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Giorgia Cecchinato\Desktop\"/>
    </mc:Choice>
  </mc:AlternateContent>
  <bookViews>
    <workbookView xWindow="0" yWindow="0" windowWidth="17970" windowHeight="6135" firstSheet="2" activeTab="2"/>
  </bookViews>
  <sheets>
    <sheet name="Country EITI report summary" sheetId="1" r:id="rId1"/>
    <sheet name="Sheet1" sheetId="5" r:id="rId2"/>
    <sheet name="Country-level" sheetId="2" r:id="rId3"/>
    <sheet name="EITI Revenues" sheetId="16" r:id="rId4"/>
    <sheet name="WB Data" sheetId="9" r:id="rId5"/>
    <sheet name="WB Data 2" sheetId="17" r:id="rId6"/>
    <sheet name="UNCTAD" sheetId="11" r:id="rId7"/>
    <sheet name="RGI" sheetId="13" r:id="rId8"/>
    <sheet name="WGI" sheetId="14" r:id="rId9"/>
    <sheet name="CPI 2014" sheetId="15" r:id="rId10"/>
    <sheet name="Project-level" sheetId="3" r:id="rId11"/>
    <sheet name="Notes" sheetId="4" r:id="rId12"/>
  </sheets>
  <externalReferences>
    <externalReference r:id="rId13"/>
    <externalReference r:id="rId14"/>
    <externalReference r:id="rId15"/>
    <externalReference r:id="rId16"/>
  </externalReferences>
  <definedNames>
    <definedName name="_xlnm._FilterDatabase" localSheetId="0" hidden="1">'Country EITI report summary'!$2:$2</definedName>
    <definedName name="_xlnm._FilterDatabase" localSheetId="2" hidden="1">'Country-level'!$A$1:$BZ$2132</definedName>
    <definedName name="_xlnm._FilterDatabase" localSheetId="9" hidden="1">'CPI 2014'!$A$1:$G$178</definedName>
    <definedName name="_xlnm._FilterDatabase" localSheetId="3" hidden="1">'EITI Revenues'!$A$1:$G$1</definedName>
    <definedName name="_xlnm._FilterDatabase" localSheetId="6" hidden="1">UNCTAD!$A$3:$V$529</definedName>
    <definedName name="_xlnm._FilterDatabase" localSheetId="4" hidden="1">'WB Data'!$A$2:$M$578</definedName>
    <definedName name="_xlnm._FilterDatabase" localSheetId="8" hidden="1">WGI!$A$2:$O$478</definedName>
    <definedName name="comp">[1]Indexing!$D$2:$D$5</definedName>
    <definedName name="country">[1]Indexing!$A$3:$A$60</definedName>
    <definedName name="country3">[1]Indexing!$A$3:$A$68</definedName>
    <definedName name="country4">[2]Indexing!$Q$10:$Q$67</definedName>
    <definedName name="CPI_2012">#REF!</definedName>
    <definedName name="CPI_2013">'CPI 2014'!$B$4:$G$178</definedName>
    <definedName name="Revenue_type">'[3]Dropdown options'!$J$4:$J$15</definedName>
  </definedNames>
  <calcPr calcId="152511"/>
  <pivotCaches>
    <pivotCache cacheId="2" r:id="rId17"/>
  </pivotCaches>
</workbook>
</file>

<file path=xl/calcChain.xml><?xml version="1.0" encoding="utf-8"?>
<calcChain xmlns="http://schemas.openxmlformats.org/spreadsheetml/2006/main">
  <c r="BE3" i="2" l="1"/>
  <c r="BE4" i="2"/>
  <c r="BE5" i="2"/>
  <c r="BE6" i="2"/>
  <c r="BE7" i="2"/>
  <c r="BE8" i="2"/>
  <c r="BE9" i="2"/>
  <c r="BE10" i="2"/>
  <c r="BE11" i="2"/>
  <c r="BE12" i="2"/>
  <c r="BE13" i="2"/>
  <c r="BE14" i="2"/>
  <c r="BE15" i="2"/>
  <c r="BE16" i="2"/>
  <c r="BE17" i="2"/>
  <c r="BE18" i="2"/>
  <c r="BE19" i="2"/>
  <c r="BE20" i="2"/>
  <c r="BE21" i="2"/>
  <c r="BE22" i="2"/>
  <c r="BE23" i="2"/>
  <c r="BE24" i="2"/>
  <c r="BE25" i="2"/>
  <c r="BE26" i="2"/>
  <c r="BE27" i="2"/>
  <c r="BE28" i="2"/>
  <c r="BE29" i="2"/>
  <c r="BE30" i="2"/>
  <c r="BE31" i="2"/>
  <c r="BE32" i="2"/>
  <c r="BE33" i="2"/>
  <c r="BE34" i="2"/>
  <c r="BE35" i="2"/>
  <c r="BE36" i="2"/>
  <c r="BE37" i="2"/>
  <c r="BE38" i="2"/>
  <c r="BE39" i="2"/>
  <c r="BE40" i="2"/>
  <c r="BE41" i="2"/>
  <c r="BE42" i="2"/>
  <c r="BE43" i="2"/>
  <c r="BE44" i="2"/>
  <c r="BE45" i="2"/>
  <c r="BE46" i="2"/>
  <c r="BE47" i="2"/>
  <c r="BE48" i="2"/>
  <c r="BE49" i="2"/>
  <c r="BE50" i="2"/>
  <c r="BE51" i="2"/>
  <c r="BE52" i="2"/>
  <c r="BE53" i="2"/>
  <c r="BE54" i="2"/>
  <c r="BE55" i="2"/>
  <c r="BE56" i="2"/>
  <c r="BE57" i="2"/>
  <c r="BE58" i="2"/>
  <c r="BE59" i="2"/>
  <c r="BE60" i="2"/>
  <c r="BE61" i="2"/>
  <c r="BE62" i="2"/>
  <c r="BE63" i="2"/>
  <c r="BE64" i="2"/>
  <c r="BE65" i="2"/>
  <c r="BE66" i="2"/>
  <c r="BE67" i="2"/>
  <c r="BE68" i="2"/>
  <c r="BE69" i="2"/>
  <c r="BE70" i="2"/>
  <c r="BE71" i="2"/>
  <c r="BE72" i="2"/>
  <c r="BE73" i="2"/>
  <c r="BE74" i="2"/>
  <c r="BE75" i="2"/>
  <c r="BE76" i="2"/>
  <c r="BE77" i="2"/>
  <c r="BE78" i="2"/>
  <c r="BE79" i="2"/>
  <c r="BE80" i="2"/>
  <c r="BE81" i="2"/>
  <c r="BE82" i="2"/>
  <c r="BE83" i="2"/>
  <c r="BE84" i="2"/>
  <c r="BE85" i="2"/>
  <c r="BE86" i="2"/>
  <c r="BE87" i="2"/>
  <c r="BE88" i="2"/>
  <c r="BE89" i="2"/>
  <c r="BE90" i="2"/>
  <c r="BE91" i="2"/>
  <c r="BE92" i="2"/>
  <c r="BE93" i="2"/>
  <c r="BE94" i="2"/>
  <c r="BE95" i="2"/>
  <c r="BE96" i="2"/>
  <c r="BE97" i="2"/>
  <c r="BE98" i="2"/>
  <c r="BE99" i="2"/>
  <c r="BE100" i="2"/>
  <c r="BE101" i="2"/>
  <c r="BE102" i="2"/>
  <c r="BE103" i="2"/>
  <c r="BE104" i="2"/>
  <c r="BE105" i="2"/>
  <c r="BE106" i="2"/>
  <c r="BE107" i="2"/>
  <c r="BE108" i="2"/>
  <c r="BE109" i="2"/>
  <c r="BE110" i="2"/>
  <c r="BE111" i="2"/>
  <c r="BE112" i="2"/>
  <c r="BE113" i="2"/>
  <c r="BE114" i="2"/>
  <c r="BE115" i="2"/>
  <c r="BE116" i="2"/>
  <c r="BE117" i="2"/>
  <c r="BE118" i="2"/>
  <c r="BE119" i="2"/>
  <c r="BE120" i="2"/>
  <c r="BE121" i="2"/>
  <c r="BE122" i="2"/>
  <c r="BE123" i="2"/>
  <c r="BE124" i="2"/>
  <c r="BE125" i="2"/>
  <c r="BE126" i="2"/>
  <c r="BE127" i="2"/>
  <c r="BE128" i="2"/>
  <c r="BE129" i="2"/>
  <c r="BE130" i="2"/>
  <c r="BE131" i="2"/>
  <c r="BE132" i="2"/>
  <c r="BE133" i="2"/>
  <c r="BE134" i="2"/>
  <c r="BE135" i="2"/>
  <c r="BE136" i="2"/>
  <c r="BE137" i="2"/>
  <c r="BE138" i="2"/>
  <c r="BE139" i="2"/>
  <c r="BE140" i="2"/>
  <c r="BE141" i="2"/>
  <c r="BE142" i="2"/>
  <c r="BE143" i="2"/>
  <c r="BE144" i="2"/>
  <c r="BE145" i="2"/>
  <c r="BE146" i="2"/>
  <c r="BE147" i="2"/>
  <c r="BE148" i="2"/>
  <c r="BE149" i="2"/>
  <c r="BE150" i="2"/>
  <c r="BE151" i="2"/>
  <c r="BE152" i="2"/>
  <c r="BE153" i="2"/>
  <c r="BE154" i="2"/>
  <c r="BE155" i="2"/>
  <c r="BE156" i="2"/>
  <c r="BE157" i="2"/>
  <c r="BE158" i="2"/>
  <c r="BE159" i="2"/>
  <c r="BE160" i="2"/>
  <c r="BE161" i="2"/>
  <c r="BE162" i="2"/>
  <c r="BE163" i="2"/>
  <c r="BE164" i="2"/>
  <c r="BE165" i="2"/>
  <c r="BE166" i="2"/>
  <c r="BE167" i="2"/>
  <c r="BE168" i="2"/>
  <c r="BE169" i="2"/>
  <c r="BE170" i="2"/>
  <c r="BE171" i="2"/>
  <c r="BE172" i="2"/>
  <c r="BE173" i="2"/>
  <c r="BE174" i="2"/>
  <c r="BE175" i="2"/>
  <c r="BE176" i="2"/>
  <c r="BE177" i="2"/>
  <c r="BE178" i="2"/>
  <c r="BE179" i="2"/>
  <c r="BE180" i="2"/>
  <c r="BE181" i="2"/>
  <c r="BE182" i="2"/>
  <c r="BE183" i="2"/>
  <c r="BE184" i="2"/>
  <c r="BE185" i="2"/>
  <c r="BE186" i="2"/>
  <c r="BE187" i="2"/>
  <c r="BE188" i="2"/>
  <c r="BE189" i="2"/>
  <c r="BE190" i="2"/>
  <c r="BE191" i="2"/>
  <c r="BE192" i="2"/>
  <c r="BE193" i="2"/>
  <c r="BE194" i="2"/>
  <c r="BE195" i="2"/>
  <c r="BE196" i="2"/>
  <c r="BE197" i="2"/>
  <c r="BE198" i="2"/>
  <c r="BE199" i="2"/>
  <c r="BE200" i="2"/>
  <c r="BE201" i="2"/>
  <c r="BE202" i="2"/>
  <c r="BE203" i="2"/>
  <c r="BE204" i="2"/>
  <c r="BE205" i="2"/>
  <c r="BE206" i="2"/>
  <c r="BE207" i="2"/>
  <c r="BE208" i="2"/>
  <c r="BE209" i="2"/>
  <c r="BE210" i="2"/>
  <c r="BE211" i="2"/>
  <c r="BE212" i="2"/>
  <c r="BE213" i="2"/>
  <c r="BE214" i="2"/>
  <c r="BE215" i="2"/>
  <c r="BE216" i="2"/>
  <c r="BE217" i="2"/>
  <c r="BE218" i="2"/>
  <c r="BE219" i="2"/>
  <c r="BE220" i="2"/>
  <c r="BE221" i="2"/>
  <c r="BE222" i="2"/>
  <c r="BE223" i="2"/>
  <c r="BE224" i="2"/>
  <c r="BE225" i="2"/>
  <c r="BE226" i="2"/>
  <c r="BE227" i="2"/>
  <c r="BE228" i="2"/>
  <c r="BE229" i="2"/>
  <c r="BE230" i="2"/>
  <c r="BE231" i="2"/>
  <c r="BE232" i="2"/>
  <c r="BE233" i="2"/>
  <c r="BE234" i="2"/>
  <c r="BE235" i="2"/>
  <c r="BE236" i="2"/>
  <c r="BE237" i="2"/>
  <c r="BE238" i="2"/>
  <c r="BE239" i="2"/>
  <c r="BE240" i="2"/>
  <c r="BE241" i="2"/>
  <c r="BE242" i="2"/>
  <c r="BE243" i="2"/>
  <c r="BE244" i="2"/>
  <c r="BE245" i="2"/>
  <c r="BE246" i="2"/>
  <c r="BE247" i="2"/>
  <c r="BE248" i="2"/>
  <c r="BE249" i="2"/>
  <c r="BE250" i="2"/>
  <c r="BE251" i="2"/>
  <c r="BE252" i="2"/>
  <c r="BE253" i="2"/>
  <c r="BE254" i="2"/>
  <c r="BE255" i="2"/>
  <c r="BE256" i="2"/>
  <c r="BE257" i="2"/>
  <c r="BE258" i="2"/>
  <c r="BE259" i="2"/>
  <c r="BE260" i="2"/>
  <c r="BE261" i="2"/>
  <c r="BE262" i="2"/>
  <c r="BE263" i="2"/>
  <c r="BE264" i="2"/>
  <c r="BE265" i="2"/>
  <c r="BE266" i="2"/>
  <c r="BE267" i="2"/>
  <c r="BE268" i="2"/>
  <c r="BE269" i="2"/>
  <c r="BE270" i="2"/>
  <c r="BE271" i="2"/>
  <c r="BE272" i="2"/>
  <c r="BE273" i="2"/>
  <c r="BE274" i="2"/>
  <c r="BE275" i="2"/>
  <c r="BE276" i="2"/>
  <c r="BE277" i="2"/>
  <c r="BE278" i="2"/>
  <c r="BE279" i="2"/>
  <c r="BE280" i="2"/>
  <c r="BE281" i="2"/>
  <c r="BE282" i="2"/>
  <c r="BE283" i="2"/>
  <c r="BE284" i="2"/>
  <c r="BE285" i="2"/>
  <c r="BE286" i="2"/>
  <c r="BE287" i="2"/>
  <c r="BE288" i="2"/>
  <c r="BE289" i="2"/>
  <c r="BE290" i="2"/>
  <c r="BE291" i="2"/>
  <c r="BE292" i="2"/>
  <c r="BE293" i="2"/>
  <c r="BE294" i="2"/>
  <c r="BE295" i="2"/>
  <c r="BE296" i="2"/>
  <c r="BE297" i="2"/>
  <c r="BE298" i="2"/>
  <c r="BE299" i="2"/>
  <c r="BE300" i="2"/>
  <c r="BE301" i="2"/>
  <c r="BE302" i="2"/>
  <c r="BE303" i="2"/>
  <c r="BE304" i="2"/>
  <c r="BE305" i="2"/>
  <c r="BE306" i="2"/>
  <c r="BE307" i="2"/>
  <c r="BE308" i="2"/>
  <c r="BE309" i="2"/>
  <c r="BE310" i="2"/>
  <c r="BE311" i="2"/>
  <c r="BE312" i="2"/>
  <c r="BE313" i="2"/>
  <c r="BE314" i="2"/>
  <c r="BE315" i="2"/>
  <c r="BE316" i="2"/>
  <c r="BE317" i="2"/>
  <c r="BE318" i="2"/>
  <c r="BE319" i="2"/>
  <c r="BE320" i="2"/>
  <c r="BE321" i="2"/>
  <c r="BE322" i="2"/>
  <c r="BE323" i="2"/>
  <c r="BE324" i="2"/>
  <c r="BE325" i="2"/>
  <c r="BE326" i="2"/>
  <c r="BE327" i="2"/>
  <c r="BE328" i="2"/>
  <c r="BE329" i="2"/>
  <c r="BE330" i="2"/>
  <c r="BE331" i="2"/>
  <c r="BE332" i="2"/>
  <c r="BE333" i="2"/>
  <c r="BE334" i="2"/>
  <c r="BE335" i="2"/>
  <c r="BE336" i="2"/>
  <c r="BE337" i="2"/>
  <c r="BE338" i="2"/>
  <c r="BE339" i="2"/>
  <c r="BE340" i="2"/>
  <c r="BE341" i="2"/>
  <c r="BE342" i="2"/>
  <c r="BE343" i="2"/>
  <c r="BE344" i="2"/>
  <c r="BE345" i="2"/>
  <c r="BE346" i="2"/>
  <c r="BE347" i="2"/>
  <c r="BE348" i="2"/>
  <c r="BE349" i="2"/>
  <c r="BE350" i="2"/>
  <c r="BE351" i="2"/>
  <c r="BE352" i="2"/>
  <c r="BE353" i="2"/>
  <c r="BE354" i="2"/>
  <c r="BE355" i="2"/>
  <c r="BE356" i="2"/>
  <c r="BE357" i="2"/>
  <c r="BE358" i="2"/>
  <c r="BE359" i="2"/>
  <c r="BE360" i="2"/>
  <c r="BE361" i="2"/>
  <c r="BE362" i="2"/>
  <c r="BE363" i="2"/>
  <c r="BE364" i="2"/>
  <c r="BE365" i="2"/>
  <c r="BE366" i="2"/>
  <c r="BE367" i="2"/>
  <c r="BE368" i="2"/>
  <c r="BE369" i="2"/>
  <c r="BE370" i="2"/>
  <c r="BE371" i="2"/>
  <c r="BE372" i="2"/>
  <c r="BE373" i="2"/>
  <c r="BE374" i="2"/>
  <c r="BE375" i="2"/>
  <c r="BE376" i="2"/>
  <c r="BE377" i="2"/>
  <c r="BE378" i="2"/>
  <c r="BE379" i="2"/>
  <c r="BE380" i="2"/>
  <c r="BE381" i="2"/>
  <c r="BE382" i="2"/>
  <c r="BE383" i="2"/>
  <c r="BE384" i="2"/>
  <c r="BE385" i="2"/>
  <c r="BE386" i="2"/>
  <c r="BE387" i="2"/>
  <c r="BE388" i="2"/>
  <c r="BE389" i="2"/>
  <c r="BE390" i="2"/>
  <c r="BE391" i="2"/>
  <c r="BE392" i="2"/>
  <c r="BE393" i="2"/>
  <c r="BE394" i="2"/>
  <c r="BE395" i="2"/>
  <c r="BE396" i="2"/>
  <c r="BE397" i="2"/>
  <c r="BE398" i="2"/>
  <c r="BE399" i="2"/>
  <c r="BE400" i="2"/>
  <c r="BE401" i="2"/>
  <c r="BE402" i="2"/>
  <c r="BE403" i="2"/>
  <c r="BE404" i="2"/>
  <c r="BE405" i="2"/>
  <c r="BE406" i="2"/>
  <c r="BE407" i="2"/>
  <c r="BE408" i="2"/>
  <c r="BE409" i="2"/>
  <c r="BE410" i="2"/>
  <c r="BE411" i="2"/>
  <c r="BE412" i="2"/>
  <c r="BE413" i="2"/>
  <c r="BE414" i="2"/>
  <c r="BE415" i="2"/>
  <c r="BE416" i="2"/>
  <c r="BE417" i="2"/>
  <c r="BE418" i="2"/>
  <c r="BE419" i="2"/>
  <c r="BE420" i="2"/>
  <c r="BE421" i="2"/>
  <c r="BE422" i="2"/>
  <c r="BE423" i="2"/>
  <c r="BE424" i="2"/>
  <c r="BE425" i="2"/>
  <c r="BE426" i="2"/>
  <c r="BE427" i="2"/>
  <c r="BE428" i="2"/>
  <c r="BE429" i="2"/>
  <c r="BE430" i="2"/>
  <c r="BE431" i="2"/>
  <c r="BE432" i="2"/>
  <c r="BE433" i="2"/>
  <c r="BE434" i="2"/>
  <c r="BE435" i="2"/>
  <c r="BE436" i="2"/>
  <c r="BE437" i="2"/>
  <c r="BE438" i="2"/>
  <c r="BE439" i="2"/>
  <c r="BE440" i="2"/>
  <c r="BE441" i="2"/>
  <c r="BE442" i="2"/>
  <c r="BE443" i="2"/>
  <c r="BE444" i="2"/>
  <c r="BE445" i="2"/>
  <c r="BE446" i="2"/>
  <c r="BE447" i="2"/>
  <c r="BE448" i="2"/>
  <c r="BE449" i="2"/>
  <c r="BE450" i="2"/>
  <c r="BE451" i="2"/>
  <c r="BE452" i="2"/>
  <c r="BE453" i="2"/>
  <c r="BE454" i="2"/>
  <c r="BE455" i="2"/>
  <c r="BE456" i="2"/>
  <c r="BE457" i="2"/>
  <c r="BE458" i="2"/>
  <c r="BE459" i="2"/>
  <c r="BE460" i="2"/>
  <c r="BE461" i="2"/>
  <c r="BE462" i="2"/>
  <c r="BE463" i="2"/>
  <c r="BE464" i="2"/>
  <c r="BE465" i="2"/>
  <c r="BE466" i="2"/>
  <c r="BE467" i="2"/>
  <c r="BE468" i="2"/>
  <c r="BE469" i="2"/>
  <c r="BE470" i="2"/>
  <c r="BE471" i="2"/>
  <c r="BE472" i="2"/>
  <c r="BE473" i="2"/>
  <c r="BE474" i="2"/>
  <c r="BE475" i="2"/>
  <c r="BE476" i="2"/>
  <c r="BE477" i="2"/>
  <c r="BE478" i="2"/>
  <c r="BE479" i="2"/>
  <c r="BE480" i="2"/>
  <c r="BE481" i="2"/>
  <c r="BE482" i="2"/>
  <c r="BE483" i="2"/>
  <c r="BE484" i="2"/>
  <c r="BE485" i="2"/>
  <c r="BE486" i="2"/>
  <c r="BE487" i="2"/>
  <c r="BE488" i="2"/>
  <c r="BE489" i="2"/>
  <c r="BE490" i="2"/>
  <c r="BE491" i="2"/>
  <c r="BE492" i="2"/>
  <c r="BE493" i="2"/>
  <c r="BE494" i="2"/>
  <c r="BE495" i="2"/>
  <c r="BE496" i="2"/>
  <c r="BE497" i="2"/>
  <c r="BE498" i="2"/>
  <c r="BE499" i="2"/>
  <c r="BE500" i="2"/>
  <c r="BE501" i="2"/>
  <c r="BE502" i="2"/>
  <c r="BE503" i="2"/>
  <c r="BE504" i="2"/>
  <c r="BE505" i="2"/>
  <c r="BE506" i="2"/>
  <c r="BE507" i="2"/>
  <c r="BE508" i="2"/>
  <c r="BE509" i="2"/>
  <c r="BE510" i="2"/>
  <c r="BE511" i="2"/>
  <c r="BE512" i="2"/>
  <c r="BE513" i="2"/>
  <c r="BE514" i="2"/>
  <c r="BE515" i="2"/>
  <c r="BE516" i="2"/>
  <c r="BE517" i="2"/>
  <c r="BE518" i="2"/>
  <c r="BE519" i="2"/>
  <c r="BE520" i="2"/>
  <c r="BE521" i="2"/>
  <c r="BE522" i="2"/>
  <c r="BE523" i="2"/>
  <c r="BE524" i="2"/>
  <c r="BE525" i="2"/>
  <c r="BE526" i="2"/>
  <c r="BE527" i="2"/>
  <c r="BE528" i="2"/>
  <c r="BE529" i="2"/>
  <c r="BE530" i="2"/>
  <c r="BE531" i="2"/>
  <c r="BE532" i="2"/>
  <c r="BE533" i="2"/>
  <c r="BE534" i="2"/>
  <c r="BE535" i="2"/>
  <c r="BE536" i="2"/>
  <c r="BE537" i="2"/>
  <c r="BE538" i="2"/>
  <c r="BE539" i="2"/>
  <c r="BE540" i="2"/>
  <c r="BE541" i="2"/>
  <c r="BE542" i="2"/>
  <c r="BE543" i="2"/>
  <c r="BE544" i="2"/>
  <c r="BE545" i="2"/>
  <c r="BE546" i="2"/>
  <c r="BE547" i="2"/>
  <c r="BE548" i="2"/>
  <c r="BE549" i="2"/>
  <c r="BE550" i="2"/>
  <c r="BE551" i="2"/>
  <c r="BE552" i="2"/>
  <c r="BE553" i="2"/>
  <c r="BE554" i="2"/>
  <c r="BE555" i="2"/>
  <c r="BE556" i="2"/>
  <c r="BE557" i="2"/>
  <c r="BE558" i="2"/>
  <c r="BE559" i="2"/>
  <c r="BE560" i="2"/>
  <c r="BE561" i="2"/>
  <c r="BE562" i="2"/>
  <c r="BE563" i="2"/>
  <c r="BE564" i="2"/>
  <c r="BE565" i="2"/>
  <c r="BE566" i="2"/>
  <c r="BE567" i="2"/>
  <c r="BE568" i="2"/>
  <c r="BE569" i="2"/>
  <c r="BE570" i="2"/>
  <c r="BE571" i="2"/>
  <c r="BE572" i="2"/>
  <c r="BE573" i="2"/>
  <c r="BE574" i="2"/>
  <c r="BE575" i="2"/>
  <c r="BE576" i="2"/>
  <c r="BE577" i="2"/>
  <c r="BE578" i="2"/>
  <c r="BE579" i="2"/>
  <c r="BE580" i="2"/>
  <c r="BE581" i="2"/>
  <c r="BE582" i="2"/>
  <c r="BE583" i="2"/>
  <c r="BE584" i="2"/>
  <c r="BE585" i="2"/>
  <c r="BE586" i="2"/>
  <c r="BE587" i="2"/>
  <c r="BE588" i="2"/>
  <c r="BE589" i="2"/>
  <c r="BE590" i="2"/>
  <c r="BE591" i="2"/>
  <c r="BE592" i="2"/>
  <c r="BE593" i="2"/>
  <c r="BE594" i="2"/>
  <c r="BE595" i="2"/>
  <c r="BE596" i="2"/>
  <c r="BE597" i="2"/>
  <c r="BE598" i="2"/>
  <c r="BE599" i="2"/>
  <c r="BE600" i="2"/>
  <c r="BE601" i="2"/>
  <c r="BE602" i="2"/>
  <c r="BE603" i="2"/>
  <c r="BE604" i="2"/>
  <c r="BE605" i="2"/>
  <c r="BE606" i="2"/>
  <c r="BE607" i="2"/>
  <c r="BE608" i="2"/>
  <c r="BE609" i="2"/>
  <c r="BE610" i="2"/>
  <c r="BE611" i="2"/>
  <c r="BE612" i="2"/>
  <c r="BE613" i="2"/>
  <c r="BE614" i="2"/>
  <c r="BE615" i="2"/>
  <c r="BE616" i="2"/>
  <c r="BE617" i="2"/>
  <c r="BE618" i="2"/>
  <c r="BE619" i="2"/>
  <c r="BE620" i="2"/>
  <c r="BE621" i="2"/>
  <c r="BE622" i="2"/>
  <c r="BE623" i="2"/>
  <c r="BE624" i="2"/>
  <c r="BE625" i="2"/>
  <c r="BE626" i="2"/>
  <c r="BE627" i="2"/>
  <c r="BE628" i="2"/>
  <c r="BE629" i="2"/>
  <c r="BE630" i="2"/>
  <c r="BE631" i="2"/>
  <c r="BE632" i="2"/>
  <c r="BE633" i="2"/>
  <c r="BE634" i="2"/>
  <c r="BE635" i="2"/>
  <c r="BE636" i="2"/>
  <c r="BE637" i="2"/>
  <c r="BE638" i="2"/>
  <c r="BE639" i="2"/>
  <c r="BE640" i="2"/>
  <c r="BE641" i="2"/>
  <c r="BE642" i="2"/>
  <c r="BE643" i="2"/>
  <c r="BE644" i="2"/>
  <c r="BE645" i="2"/>
  <c r="BE646" i="2"/>
  <c r="BE647" i="2"/>
  <c r="BE648" i="2"/>
  <c r="BE649" i="2"/>
  <c r="BE650" i="2"/>
  <c r="BE651" i="2"/>
  <c r="BE652" i="2"/>
  <c r="BE653" i="2"/>
  <c r="BE654" i="2"/>
  <c r="BE655" i="2"/>
  <c r="BE656" i="2"/>
  <c r="BE657" i="2"/>
  <c r="BE658" i="2"/>
  <c r="BE659" i="2"/>
  <c r="BE660" i="2"/>
  <c r="BE661" i="2"/>
  <c r="BE662" i="2"/>
  <c r="BE663" i="2"/>
  <c r="BE664" i="2"/>
  <c r="BE665" i="2"/>
  <c r="BE666" i="2"/>
  <c r="BE667" i="2"/>
  <c r="BE668" i="2"/>
  <c r="BE669" i="2"/>
  <c r="BE670" i="2"/>
  <c r="BE671" i="2"/>
  <c r="BE672" i="2"/>
  <c r="BE673" i="2"/>
  <c r="BE674" i="2"/>
  <c r="BE675" i="2"/>
  <c r="BE676" i="2"/>
  <c r="BE677" i="2"/>
  <c r="BE678" i="2"/>
  <c r="BE679" i="2"/>
  <c r="BE680" i="2"/>
  <c r="BE681" i="2"/>
  <c r="BE682" i="2"/>
  <c r="BE683" i="2"/>
  <c r="BE684" i="2"/>
  <c r="BE685" i="2"/>
  <c r="BE686" i="2"/>
  <c r="BE687" i="2"/>
  <c r="BE688" i="2"/>
  <c r="BE689" i="2"/>
  <c r="BE690" i="2"/>
  <c r="BE691" i="2"/>
  <c r="BE692" i="2"/>
  <c r="BE693" i="2"/>
  <c r="BE694" i="2"/>
  <c r="BE695" i="2"/>
  <c r="BE696" i="2"/>
  <c r="BE697" i="2"/>
  <c r="BE698" i="2"/>
  <c r="BE699" i="2"/>
  <c r="BE700" i="2"/>
  <c r="BE701" i="2"/>
  <c r="BE702" i="2"/>
  <c r="BE703" i="2"/>
  <c r="BE704" i="2"/>
  <c r="BE705" i="2"/>
  <c r="BE706" i="2"/>
  <c r="BE707" i="2"/>
  <c r="BE708" i="2"/>
  <c r="BE709" i="2"/>
  <c r="BE710" i="2"/>
  <c r="BE711" i="2"/>
  <c r="BE712" i="2"/>
  <c r="BE713" i="2"/>
  <c r="BE714" i="2"/>
  <c r="BE715" i="2"/>
  <c r="BE716" i="2"/>
  <c r="BE717" i="2"/>
  <c r="BE718" i="2"/>
  <c r="BE719" i="2"/>
  <c r="BE720" i="2"/>
  <c r="BE721" i="2"/>
  <c r="BE722" i="2"/>
  <c r="BE723" i="2"/>
  <c r="BE724" i="2"/>
  <c r="BE725" i="2"/>
  <c r="BE726" i="2"/>
  <c r="BE727" i="2"/>
  <c r="BE728" i="2"/>
  <c r="BE729" i="2"/>
  <c r="BE730" i="2"/>
  <c r="BE731" i="2"/>
  <c r="BE732" i="2"/>
  <c r="BE733" i="2"/>
  <c r="BE734" i="2"/>
  <c r="BE735" i="2"/>
  <c r="BE736" i="2"/>
  <c r="BE737" i="2"/>
  <c r="BE738" i="2"/>
  <c r="BE739" i="2"/>
  <c r="BE740" i="2"/>
  <c r="BE741" i="2"/>
  <c r="BE742" i="2"/>
  <c r="BE743" i="2"/>
  <c r="BE744" i="2"/>
  <c r="BE745" i="2"/>
  <c r="BE746" i="2"/>
  <c r="BE747" i="2"/>
  <c r="BE748" i="2"/>
  <c r="BE749" i="2"/>
  <c r="BE750" i="2"/>
  <c r="BE751" i="2"/>
  <c r="BE752" i="2"/>
  <c r="BE753" i="2"/>
  <c r="BE754" i="2"/>
  <c r="BE755" i="2"/>
  <c r="BE756" i="2"/>
  <c r="BE757" i="2"/>
  <c r="BE758" i="2"/>
  <c r="BE759" i="2"/>
  <c r="BE760" i="2"/>
  <c r="BE761" i="2"/>
  <c r="BE762" i="2"/>
  <c r="BE763" i="2"/>
  <c r="BE764" i="2"/>
  <c r="BE765" i="2"/>
  <c r="BE766" i="2"/>
  <c r="BE767" i="2"/>
  <c r="BE768" i="2"/>
  <c r="BE769" i="2"/>
  <c r="BE770" i="2"/>
  <c r="BE771" i="2"/>
  <c r="BE772" i="2"/>
  <c r="BE773" i="2"/>
  <c r="BE774" i="2"/>
  <c r="BE775" i="2"/>
  <c r="BE776" i="2"/>
  <c r="BE777" i="2"/>
  <c r="BE778" i="2"/>
  <c r="BE779" i="2"/>
  <c r="BE780" i="2"/>
  <c r="BE781" i="2"/>
  <c r="BE782" i="2"/>
  <c r="BE783" i="2"/>
  <c r="BE784" i="2"/>
  <c r="BE785" i="2"/>
  <c r="BE786" i="2"/>
  <c r="BE787" i="2"/>
  <c r="BE788" i="2"/>
  <c r="BE789" i="2"/>
  <c r="BE790" i="2"/>
  <c r="BE791" i="2"/>
  <c r="BE792" i="2"/>
  <c r="BE793" i="2"/>
  <c r="BE794" i="2"/>
  <c r="BE795" i="2"/>
  <c r="BE796" i="2"/>
  <c r="BE797" i="2"/>
  <c r="BE798" i="2"/>
  <c r="BE799" i="2"/>
  <c r="BE800" i="2"/>
  <c r="BE801" i="2"/>
  <c r="BE802" i="2"/>
  <c r="BE803" i="2"/>
  <c r="BE804" i="2"/>
  <c r="BE805" i="2"/>
  <c r="BE806" i="2"/>
  <c r="BE807" i="2"/>
  <c r="BE808" i="2"/>
  <c r="BE809" i="2"/>
  <c r="BE810" i="2"/>
  <c r="BE811" i="2"/>
  <c r="BE812" i="2"/>
  <c r="BE813" i="2"/>
  <c r="BE814" i="2"/>
  <c r="BE815" i="2"/>
  <c r="BE816" i="2"/>
  <c r="BE817" i="2"/>
  <c r="BE818" i="2"/>
  <c r="BE819" i="2"/>
  <c r="BE820" i="2"/>
  <c r="BE821" i="2"/>
  <c r="BE822" i="2"/>
  <c r="BE823" i="2"/>
  <c r="BE824" i="2"/>
  <c r="BE825" i="2"/>
  <c r="BE826" i="2"/>
  <c r="BE827" i="2"/>
  <c r="BE828" i="2"/>
  <c r="BE829" i="2"/>
  <c r="BE830" i="2"/>
  <c r="BE831" i="2"/>
  <c r="BE832" i="2"/>
  <c r="BE833" i="2"/>
  <c r="BE834" i="2"/>
  <c r="BE835" i="2"/>
  <c r="BE836" i="2"/>
  <c r="BE837" i="2"/>
  <c r="BE838" i="2"/>
  <c r="BE839" i="2"/>
  <c r="BE840" i="2"/>
  <c r="BE841" i="2"/>
  <c r="BE842" i="2"/>
  <c r="BE843" i="2"/>
  <c r="BE844" i="2"/>
  <c r="BE845" i="2"/>
  <c r="BE846" i="2"/>
  <c r="BE847" i="2"/>
  <c r="BE848" i="2"/>
  <c r="BE849" i="2"/>
  <c r="BE850" i="2"/>
  <c r="BE851" i="2"/>
  <c r="BE852" i="2"/>
  <c r="BE853" i="2"/>
  <c r="BE854" i="2"/>
  <c r="BE855" i="2"/>
  <c r="BE856" i="2"/>
  <c r="BE857" i="2"/>
  <c r="BE858" i="2"/>
  <c r="BE859" i="2"/>
  <c r="BE860" i="2"/>
  <c r="BE861" i="2"/>
  <c r="BE862" i="2"/>
  <c r="BE863" i="2"/>
  <c r="BE864" i="2"/>
  <c r="BE865" i="2"/>
  <c r="BE866" i="2"/>
  <c r="BE867" i="2"/>
  <c r="BE868" i="2"/>
  <c r="BE869" i="2"/>
  <c r="BE870" i="2"/>
  <c r="BE871" i="2"/>
  <c r="BE872" i="2"/>
  <c r="BE873" i="2"/>
  <c r="BE874" i="2"/>
  <c r="BE875" i="2"/>
  <c r="BE876" i="2"/>
  <c r="BE877" i="2"/>
  <c r="BE878" i="2"/>
  <c r="BE879" i="2"/>
  <c r="BE880" i="2"/>
  <c r="BE881" i="2"/>
  <c r="BE882" i="2"/>
  <c r="BE883" i="2"/>
  <c r="BE884" i="2"/>
  <c r="BE885" i="2"/>
  <c r="BE886" i="2"/>
  <c r="BE887" i="2"/>
  <c r="BE888" i="2"/>
  <c r="BE889" i="2"/>
  <c r="BE890" i="2"/>
  <c r="BE891" i="2"/>
  <c r="BE892" i="2"/>
  <c r="BE893" i="2"/>
  <c r="BE894" i="2"/>
  <c r="BE895" i="2"/>
  <c r="BE896" i="2"/>
  <c r="BE897" i="2"/>
  <c r="BE898" i="2"/>
  <c r="BE899" i="2"/>
  <c r="BE900" i="2"/>
  <c r="BE901" i="2"/>
  <c r="BE902" i="2"/>
  <c r="BE903" i="2"/>
  <c r="BE904" i="2"/>
  <c r="BE905" i="2"/>
  <c r="BE906" i="2"/>
  <c r="BE907" i="2"/>
  <c r="BE908" i="2"/>
  <c r="BE909" i="2"/>
  <c r="BE910" i="2"/>
  <c r="BE911" i="2"/>
  <c r="BE912" i="2"/>
  <c r="BE913" i="2"/>
  <c r="BE914" i="2"/>
  <c r="BE915" i="2"/>
  <c r="BE916" i="2"/>
  <c r="BE917" i="2"/>
  <c r="BE918" i="2"/>
  <c r="BE919" i="2"/>
  <c r="BE920" i="2"/>
  <c r="BE921" i="2"/>
  <c r="BE922" i="2"/>
  <c r="BE923" i="2"/>
  <c r="BE924" i="2"/>
  <c r="BE925" i="2"/>
  <c r="BE926" i="2"/>
  <c r="BE927" i="2"/>
  <c r="BE928" i="2"/>
  <c r="BE929" i="2"/>
  <c r="BE930" i="2"/>
  <c r="BE931" i="2"/>
  <c r="BE932" i="2"/>
  <c r="BE933" i="2"/>
  <c r="BE934" i="2"/>
  <c r="BE935" i="2"/>
  <c r="BE936" i="2"/>
  <c r="BE937" i="2"/>
  <c r="BE938" i="2"/>
  <c r="BE939" i="2"/>
  <c r="BE940" i="2"/>
  <c r="BE941" i="2"/>
  <c r="BE942" i="2"/>
  <c r="BE943" i="2"/>
  <c r="BE944" i="2"/>
  <c r="BE945" i="2"/>
  <c r="BE946" i="2"/>
  <c r="BE947" i="2"/>
  <c r="BE948" i="2"/>
  <c r="BE949" i="2"/>
  <c r="BE950" i="2"/>
  <c r="BE951" i="2"/>
  <c r="BE952" i="2"/>
  <c r="BE953" i="2"/>
  <c r="BE954" i="2"/>
  <c r="BE955" i="2"/>
  <c r="BE956" i="2"/>
  <c r="BE957" i="2"/>
  <c r="BE958" i="2"/>
  <c r="BE959" i="2"/>
  <c r="BE960" i="2"/>
  <c r="BE961" i="2"/>
  <c r="BE962" i="2"/>
  <c r="BE963" i="2"/>
  <c r="BE964" i="2"/>
  <c r="BE965" i="2"/>
  <c r="BE966" i="2"/>
  <c r="BE967" i="2"/>
  <c r="BE968" i="2"/>
  <c r="BE969" i="2"/>
  <c r="BE970" i="2"/>
  <c r="BE971" i="2"/>
  <c r="BE972" i="2"/>
  <c r="BE973" i="2"/>
  <c r="BE974" i="2"/>
  <c r="BE975" i="2"/>
  <c r="BE976" i="2"/>
  <c r="BE977" i="2"/>
  <c r="BE978" i="2"/>
  <c r="BE979" i="2"/>
  <c r="BE980" i="2"/>
  <c r="BE981" i="2"/>
  <c r="BE982" i="2"/>
  <c r="BE983" i="2"/>
  <c r="BE984" i="2"/>
  <c r="BE985" i="2"/>
  <c r="BE986" i="2"/>
  <c r="BE987" i="2"/>
  <c r="BE988" i="2"/>
  <c r="BE989" i="2"/>
  <c r="BE990" i="2"/>
  <c r="BE991" i="2"/>
  <c r="BE992" i="2"/>
  <c r="BE993" i="2"/>
  <c r="BE994" i="2"/>
  <c r="BE995" i="2"/>
  <c r="BE996" i="2"/>
  <c r="BE997" i="2"/>
  <c r="BE998" i="2"/>
  <c r="BE999" i="2"/>
  <c r="BE1000" i="2"/>
  <c r="BE1001" i="2"/>
  <c r="BE1002" i="2"/>
  <c r="BE1003" i="2"/>
  <c r="BE1004" i="2"/>
  <c r="BE1005" i="2"/>
  <c r="BE1006" i="2"/>
  <c r="BE1007" i="2"/>
  <c r="BE1008" i="2"/>
  <c r="BE1009" i="2"/>
  <c r="BE1010" i="2"/>
  <c r="BE1011" i="2"/>
  <c r="BE1012" i="2"/>
  <c r="BE1013" i="2"/>
  <c r="BE1014" i="2"/>
  <c r="BE1015" i="2"/>
  <c r="BE1016" i="2"/>
  <c r="BE1017" i="2"/>
  <c r="BE1018" i="2"/>
  <c r="BE1019" i="2"/>
  <c r="BE1020" i="2"/>
  <c r="BE1021" i="2"/>
  <c r="BE1022" i="2"/>
  <c r="BE1023" i="2"/>
  <c r="BE1024" i="2"/>
  <c r="BE1025" i="2"/>
  <c r="BE1026" i="2"/>
  <c r="BE1027" i="2"/>
  <c r="BE1028" i="2"/>
  <c r="BE1029" i="2"/>
  <c r="BE1030" i="2"/>
  <c r="BE1031" i="2"/>
  <c r="BE1032" i="2"/>
  <c r="BE1033" i="2"/>
  <c r="BE1034" i="2"/>
  <c r="BE1035" i="2"/>
  <c r="BE1036" i="2"/>
  <c r="BE1037" i="2"/>
  <c r="BE1038" i="2"/>
  <c r="BE1039" i="2"/>
  <c r="BE1040" i="2"/>
  <c r="BE1041" i="2"/>
  <c r="BE1042" i="2"/>
  <c r="BE1043" i="2"/>
  <c r="BE1044" i="2"/>
  <c r="BE1045" i="2"/>
  <c r="BE1046" i="2"/>
  <c r="BE1047" i="2"/>
  <c r="BE1048" i="2"/>
  <c r="BE1049" i="2"/>
  <c r="BE1050" i="2"/>
  <c r="BE1051" i="2"/>
  <c r="BE1052" i="2"/>
  <c r="BE1053" i="2"/>
  <c r="BE1054" i="2"/>
  <c r="BE1055" i="2"/>
  <c r="BE1056" i="2"/>
  <c r="BE1057" i="2"/>
  <c r="BE1058" i="2"/>
  <c r="BE1059" i="2"/>
  <c r="BE1060" i="2"/>
  <c r="BE1061" i="2"/>
  <c r="BE1062" i="2"/>
  <c r="BE1063" i="2"/>
  <c r="BE1064" i="2"/>
  <c r="BE1065" i="2"/>
  <c r="BE1066" i="2"/>
  <c r="BE1067" i="2"/>
  <c r="BE1068" i="2"/>
  <c r="BE1069" i="2"/>
  <c r="BE1070" i="2"/>
  <c r="BE1071" i="2"/>
  <c r="BE1072" i="2"/>
  <c r="BE1073" i="2"/>
  <c r="BE1074" i="2"/>
  <c r="BE1075" i="2"/>
  <c r="BE1076" i="2"/>
  <c r="BE1077" i="2"/>
  <c r="BE1078" i="2"/>
  <c r="BE1079" i="2"/>
  <c r="BE1080" i="2"/>
  <c r="BE1081" i="2"/>
  <c r="BE1082" i="2"/>
  <c r="BE1083" i="2"/>
  <c r="BE1084" i="2"/>
  <c r="BE1085" i="2"/>
  <c r="BE1086" i="2"/>
  <c r="BE1087" i="2"/>
  <c r="BE1088" i="2"/>
  <c r="BE1089" i="2"/>
  <c r="BE1090" i="2"/>
  <c r="BE1091" i="2"/>
  <c r="BE1092" i="2"/>
  <c r="BE1093" i="2"/>
  <c r="BE1094" i="2"/>
  <c r="BE1095" i="2"/>
  <c r="BE1096" i="2"/>
  <c r="BE1097" i="2"/>
  <c r="BE1098" i="2"/>
  <c r="BE1099" i="2"/>
  <c r="BE1100" i="2"/>
  <c r="BE1101" i="2"/>
  <c r="BE1102" i="2"/>
  <c r="BE1103" i="2"/>
  <c r="BE1104" i="2"/>
  <c r="BE1105" i="2"/>
  <c r="BE1106" i="2"/>
  <c r="BE1107" i="2"/>
  <c r="BE1108" i="2"/>
  <c r="BE1109" i="2"/>
  <c r="BE1110" i="2"/>
  <c r="BE1111" i="2"/>
  <c r="BE1112" i="2"/>
  <c r="BE1113" i="2"/>
  <c r="BE1114" i="2"/>
  <c r="BE1115" i="2"/>
  <c r="BE1116" i="2"/>
  <c r="BE1117" i="2"/>
  <c r="BE1118" i="2"/>
  <c r="BE1119" i="2"/>
  <c r="BE1120" i="2"/>
  <c r="BE1121" i="2"/>
  <c r="BE1122" i="2"/>
  <c r="BE1123" i="2"/>
  <c r="BE1124" i="2"/>
  <c r="BE1125" i="2"/>
  <c r="BE1126" i="2"/>
  <c r="BE1127" i="2"/>
  <c r="BE1128" i="2"/>
  <c r="BE1129" i="2"/>
  <c r="BE1130" i="2"/>
  <c r="BE1131" i="2"/>
  <c r="BE1132" i="2"/>
  <c r="BE1133" i="2"/>
  <c r="BE1134" i="2"/>
  <c r="BE1135" i="2"/>
  <c r="BE1136" i="2"/>
  <c r="BE1137" i="2"/>
  <c r="BE1138" i="2"/>
  <c r="BE1139" i="2"/>
  <c r="BE1140" i="2"/>
  <c r="BE1141" i="2"/>
  <c r="BE1142" i="2"/>
  <c r="BE1143" i="2"/>
  <c r="BE1144" i="2"/>
  <c r="BE1145" i="2"/>
  <c r="BE1146" i="2"/>
  <c r="BE1147" i="2"/>
  <c r="BE1148" i="2"/>
  <c r="BE1149" i="2"/>
  <c r="BE1150" i="2"/>
  <c r="BE1151" i="2"/>
  <c r="BE1152" i="2"/>
  <c r="BE1153" i="2"/>
  <c r="BE1154" i="2"/>
  <c r="BE1155" i="2"/>
  <c r="BE1156" i="2"/>
  <c r="BE1157" i="2"/>
  <c r="BE1158" i="2"/>
  <c r="BE1159" i="2"/>
  <c r="BE1160" i="2"/>
  <c r="BE1161" i="2"/>
  <c r="BE1162" i="2"/>
  <c r="BE1163" i="2"/>
  <c r="BE1164" i="2"/>
  <c r="BE1165" i="2"/>
  <c r="BE1166" i="2"/>
  <c r="BE1167" i="2"/>
  <c r="BE1168" i="2"/>
  <c r="BE1169" i="2"/>
  <c r="BE1170" i="2"/>
  <c r="BE1171" i="2"/>
  <c r="BE1172" i="2"/>
  <c r="BE1173" i="2"/>
  <c r="BE1174" i="2"/>
  <c r="BE1175" i="2"/>
  <c r="BE1176" i="2"/>
  <c r="BE1177" i="2"/>
  <c r="BE1178" i="2"/>
  <c r="BE1179" i="2"/>
  <c r="BE1180" i="2"/>
  <c r="BE1181" i="2"/>
  <c r="BE1182" i="2"/>
  <c r="BE1183" i="2"/>
  <c r="BE1184" i="2"/>
  <c r="BE1185" i="2"/>
  <c r="BE1186" i="2"/>
  <c r="BE1187" i="2"/>
  <c r="BE1188" i="2"/>
  <c r="BE1189" i="2"/>
  <c r="BE1190" i="2"/>
  <c r="BE1191" i="2"/>
  <c r="BE1192" i="2"/>
  <c r="BE1193" i="2"/>
  <c r="BE1194" i="2"/>
  <c r="BE1195" i="2"/>
  <c r="BE1196" i="2"/>
  <c r="BE1197" i="2"/>
  <c r="BE1198" i="2"/>
  <c r="BE1199" i="2"/>
  <c r="BE1200" i="2"/>
  <c r="BE1201" i="2"/>
  <c r="BE1202" i="2"/>
  <c r="BE1203" i="2"/>
  <c r="BE1204" i="2"/>
  <c r="BE1205" i="2"/>
  <c r="BE1206" i="2"/>
  <c r="BE1207" i="2"/>
  <c r="BE1208" i="2"/>
  <c r="BE1209" i="2"/>
  <c r="BE1210" i="2"/>
  <c r="BE1211" i="2"/>
  <c r="BE1212" i="2"/>
  <c r="BE1213" i="2"/>
  <c r="BE1214" i="2"/>
  <c r="BE1215" i="2"/>
  <c r="BE1216" i="2"/>
  <c r="BE1217" i="2"/>
  <c r="BE1218" i="2"/>
  <c r="BE1219" i="2"/>
  <c r="BE1220" i="2"/>
  <c r="BE1221" i="2"/>
  <c r="BE1222" i="2"/>
  <c r="BE1223" i="2"/>
  <c r="BE1224" i="2"/>
  <c r="BE1225" i="2"/>
  <c r="BE1226" i="2"/>
  <c r="BE1227" i="2"/>
  <c r="BE1228" i="2"/>
  <c r="BE1229" i="2"/>
  <c r="BE1230" i="2"/>
  <c r="BE1231" i="2"/>
  <c r="BE1232" i="2"/>
  <c r="BE1233" i="2"/>
  <c r="BE1234" i="2"/>
  <c r="BE1235" i="2"/>
  <c r="BE1236" i="2"/>
  <c r="BE1237" i="2"/>
  <c r="BE1238" i="2"/>
  <c r="BE1239" i="2"/>
  <c r="BE1240" i="2"/>
  <c r="BE1241" i="2"/>
  <c r="BE1242" i="2"/>
  <c r="BE1243" i="2"/>
  <c r="BE1244" i="2"/>
  <c r="BE1245" i="2"/>
  <c r="BE1246" i="2"/>
  <c r="BE1247" i="2"/>
  <c r="BE1248" i="2"/>
  <c r="BE1249" i="2"/>
  <c r="BE1250" i="2"/>
  <c r="BE1251" i="2"/>
  <c r="BE1252" i="2"/>
  <c r="BE1253" i="2"/>
  <c r="BE1254" i="2"/>
  <c r="BE1255" i="2"/>
  <c r="BE1256" i="2"/>
  <c r="BE1257" i="2"/>
  <c r="BE1258" i="2"/>
  <c r="BE1259" i="2"/>
  <c r="BE1260" i="2"/>
  <c r="BE1261" i="2"/>
  <c r="BE1262" i="2"/>
  <c r="BE1263" i="2"/>
  <c r="BE1264" i="2"/>
  <c r="BE1265" i="2"/>
  <c r="BE1266" i="2"/>
  <c r="BE1267" i="2"/>
  <c r="BE1268" i="2"/>
  <c r="BE1269" i="2"/>
  <c r="BE1270" i="2"/>
  <c r="BE1271" i="2"/>
  <c r="BE1272" i="2"/>
  <c r="BE1273" i="2"/>
  <c r="BE1274" i="2"/>
  <c r="BE1275" i="2"/>
  <c r="BE1276" i="2"/>
  <c r="BE1277" i="2"/>
  <c r="BE1278" i="2"/>
  <c r="BE1279" i="2"/>
  <c r="BE1280" i="2"/>
  <c r="BE1281" i="2"/>
  <c r="BE1282" i="2"/>
  <c r="BE1283" i="2"/>
  <c r="BE1284" i="2"/>
  <c r="BE1285" i="2"/>
  <c r="BE1286" i="2"/>
  <c r="BE1287" i="2"/>
  <c r="BE1288" i="2"/>
  <c r="BE1289" i="2"/>
  <c r="BE1290" i="2"/>
  <c r="BE1291" i="2"/>
  <c r="BE1292" i="2"/>
  <c r="BE1293" i="2"/>
  <c r="BE1294" i="2"/>
  <c r="BE1295" i="2"/>
  <c r="BE1296" i="2"/>
  <c r="BE1297" i="2"/>
  <c r="BE1298" i="2"/>
  <c r="BE1299" i="2"/>
  <c r="BE1300" i="2"/>
  <c r="BE1301" i="2"/>
  <c r="BE1302" i="2"/>
  <c r="BE1303" i="2"/>
  <c r="BE1304" i="2"/>
  <c r="BE1305" i="2"/>
  <c r="BE1306" i="2"/>
  <c r="BE1307" i="2"/>
  <c r="BE1308" i="2"/>
  <c r="BE1309" i="2"/>
  <c r="BE1310" i="2"/>
  <c r="BE1311" i="2"/>
  <c r="BE1312" i="2"/>
  <c r="BE1313" i="2"/>
  <c r="BE1314" i="2"/>
  <c r="BE1315" i="2"/>
  <c r="BE1316" i="2"/>
  <c r="BE1317" i="2"/>
  <c r="BE1318" i="2"/>
  <c r="BE1319" i="2"/>
  <c r="BE1320" i="2"/>
  <c r="BE1321" i="2"/>
  <c r="BE1322" i="2"/>
  <c r="BE1323" i="2"/>
  <c r="BE1324" i="2"/>
  <c r="BE1325" i="2"/>
  <c r="BE1326" i="2"/>
  <c r="BE1327" i="2"/>
  <c r="BE1328" i="2"/>
  <c r="BE1329" i="2"/>
  <c r="BE1330" i="2"/>
  <c r="BE1331" i="2"/>
  <c r="BE1332" i="2"/>
  <c r="BE1333" i="2"/>
  <c r="BE1334" i="2"/>
  <c r="BE1335" i="2"/>
  <c r="BE1336" i="2"/>
  <c r="BE1337" i="2"/>
  <c r="BE1338" i="2"/>
  <c r="BE1339" i="2"/>
  <c r="BE1340" i="2"/>
  <c r="BE1341" i="2"/>
  <c r="BE1342" i="2"/>
  <c r="BE1343" i="2"/>
  <c r="BE1344" i="2"/>
  <c r="BE1345" i="2"/>
  <c r="BE1346" i="2"/>
  <c r="BE1347" i="2"/>
  <c r="BE1348" i="2"/>
  <c r="BE1349" i="2"/>
  <c r="BE1350" i="2"/>
  <c r="BE1351" i="2"/>
  <c r="BE1352" i="2"/>
  <c r="BE1353" i="2"/>
  <c r="BE1354" i="2"/>
  <c r="BE1355" i="2"/>
  <c r="BE1356" i="2"/>
  <c r="BE1357" i="2"/>
  <c r="BE1358" i="2"/>
  <c r="BE1359" i="2"/>
  <c r="BE1360" i="2"/>
  <c r="BE1361" i="2"/>
  <c r="BE1362" i="2"/>
  <c r="BE1363" i="2"/>
  <c r="BE1364" i="2"/>
  <c r="BE1365" i="2"/>
  <c r="BE1366" i="2"/>
  <c r="BE1367" i="2"/>
  <c r="BE1368" i="2"/>
  <c r="BE1369" i="2"/>
  <c r="BE1370" i="2"/>
  <c r="BE1371" i="2"/>
  <c r="BE1372" i="2"/>
  <c r="BE1373" i="2"/>
  <c r="BE1374" i="2"/>
  <c r="BE1375" i="2"/>
  <c r="BE1376" i="2"/>
  <c r="BE1377" i="2"/>
  <c r="BE1378" i="2"/>
  <c r="BE1379" i="2"/>
  <c r="BE1380" i="2"/>
  <c r="BE1381" i="2"/>
  <c r="BE1382" i="2"/>
  <c r="BE1383" i="2"/>
  <c r="BE1384" i="2"/>
  <c r="BE1385" i="2"/>
  <c r="BE1386" i="2"/>
  <c r="BE1387" i="2"/>
  <c r="BE1388" i="2"/>
  <c r="BE1389" i="2"/>
  <c r="BE1390" i="2"/>
  <c r="BE1391" i="2"/>
  <c r="BE1392" i="2"/>
  <c r="BE1393" i="2"/>
  <c r="BE1394" i="2"/>
  <c r="BE1395" i="2"/>
  <c r="BE1396" i="2"/>
  <c r="BE1397" i="2"/>
  <c r="BE1398" i="2"/>
  <c r="BE1399" i="2"/>
  <c r="BE1400" i="2"/>
  <c r="BE1401" i="2"/>
  <c r="BE1402" i="2"/>
  <c r="BE1403" i="2"/>
  <c r="BE1404" i="2"/>
  <c r="BE1405" i="2"/>
  <c r="BE1406" i="2"/>
  <c r="BE1407" i="2"/>
  <c r="BE1408" i="2"/>
  <c r="BE1409" i="2"/>
  <c r="BE1410" i="2"/>
  <c r="BE1411" i="2"/>
  <c r="BE1412" i="2"/>
  <c r="BE1413" i="2"/>
  <c r="BE1414" i="2"/>
  <c r="BE1415" i="2"/>
  <c r="BE1416" i="2"/>
  <c r="BE1417" i="2"/>
  <c r="BE1418" i="2"/>
  <c r="BE1419" i="2"/>
  <c r="BE1420" i="2"/>
  <c r="BE1421" i="2"/>
  <c r="BE1422" i="2"/>
  <c r="BE1423" i="2"/>
  <c r="BE1424" i="2"/>
  <c r="BE1425" i="2"/>
  <c r="BE1426" i="2"/>
  <c r="BE1427" i="2"/>
  <c r="BE1428" i="2"/>
  <c r="BE1429" i="2"/>
  <c r="BE1430" i="2"/>
  <c r="BE1431" i="2"/>
  <c r="BE1432" i="2"/>
  <c r="BE1433" i="2"/>
  <c r="BE1434" i="2"/>
  <c r="BE1435" i="2"/>
  <c r="BE1436" i="2"/>
  <c r="BE1437" i="2"/>
  <c r="BE1438" i="2"/>
  <c r="BE1439" i="2"/>
  <c r="BE1440" i="2"/>
  <c r="BE1441" i="2"/>
  <c r="BE1442" i="2"/>
  <c r="BE1443" i="2"/>
  <c r="BE1444" i="2"/>
  <c r="BE1445" i="2"/>
  <c r="BE1446" i="2"/>
  <c r="BE1447" i="2"/>
  <c r="BE1448" i="2"/>
  <c r="BE1449" i="2"/>
  <c r="BE1450" i="2"/>
  <c r="BE1451" i="2"/>
  <c r="BE1452" i="2"/>
  <c r="BE1453" i="2"/>
  <c r="BE1454" i="2"/>
  <c r="BE1455" i="2"/>
  <c r="BE1456" i="2"/>
  <c r="BE1457" i="2"/>
  <c r="BE1458" i="2"/>
  <c r="BE1459" i="2"/>
  <c r="BE1460" i="2"/>
  <c r="BE1461" i="2"/>
  <c r="BE1462" i="2"/>
  <c r="BE1463" i="2"/>
  <c r="BE1464" i="2"/>
  <c r="BE1465" i="2"/>
  <c r="BE1466" i="2"/>
  <c r="BE1467" i="2"/>
  <c r="BE1468" i="2"/>
  <c r="BE1469" i="2"/>
  <c r="BE1470" i="2"/>
  <c r="BE1471" i="2"/>
  <c r="BE1472" i="2"/>
  <c r="BE1473" i="2"/>
  <c r="BE1474" i="2"/>
  <c r="BE1475" i="2"/>
  <c r="BE1476" i="2"/>
  <c r="BE1477" i="2"/>
  <c r="BE1478" i="2"/>
  <c r="BE1479" i="2"/>
  <c r="BE1480" i="2"/>
  <c r="BE1481" i="2"/>
  <c r="BE1482" i="2"/>
  <c r="BE1483" i="2"/>
  <c r="BE1484" i="2"/>
  <c r="BE1485" i="2"/>
  <c r="BE1486" i="2"/>
  <c r="BE1487" i="2"/>
  <c r="BE1488" i="2"/>
  <c r="BE1489" i="2"/>
  <c r="BE1490" i="2"/>
  <c r="BE1491" i="2"/>
  <c r="BE1492" i="2"/>
  <c r="BE1493" i="2"/>
  <c r="BE1494" i="2"/>
  <c r="BE1495" i="2"/>
  <c r="BE1496" i="2"/>
  <c r="BE1497" i="2"/>
  <c r="BE1498" i="2"/>
  <c r="BE1499" i="2"/>
  <c r="BE1500" i="2"/>
  <c r="BE1501" i="2"/>
  <c r="BE1502" i="2"/>
  <c r="BE1503" i="2"/>
  <c r="BE1504" i="2"/>
  <c r="BE1505" i="2"/>
  <c r="BE1506" i="2"/>
  <c r="BE1507" i="2"/>
  <c r="BE1508" i="2"/>
  <c r="BE1509" i="2"/>
  <c r="BE1510" i="2"/>
  <c r="BE1511" i="2"/>
  <c r="BE1512" i="2"/>
  <c r="BE1513" i="2"/>
  <c r="BE1514" i="2"/>
  <c r="BE1515" i="2"/>
  <c r="BE1516" i="2"/>
  <c r="BE1517" i="2"/>
  <c r="BE1518" i="2"/>
  <c r="BE1519" i="2"/>
  <c r="BE1520" i="2"/>
  <c r="BE1521" i="2"/>
  <c r="BE1522" i="2"/>
  <c r="BE1523" i="2"/>
  <c r="BE1524" i="2"/>
  <c r="BE1525" i="2"/>
  <c r="BE1526" i="2"/>
  <c r="BE1527" i="2"/>
  <c r="BE1528" i="2"/>
  <c r="BE1529" i="2"/>
  <c r="BE1530" i="2"/>
  <c r="BE1531" i="2"/>
  <c r="BE1532" i="2"/>
  <c r="BE1533" i="2"/>
  <c r="BE1534" i="2"/>
  <c r="BE1535" i="2"/>
  <c r="BE1536" i="2"/>
  <c r="BE1537" i="2"/>
  <c r="BE1538" i="2"/>
  <c r="BE1539" i="2"/>
  <c r="BE1540" i="2"/>
  <c r="BE1541" i="2"/>
  <c r="BE1542" i="2"/>
  <c r="BE1543" i="2"/>
  <c r="BE1544" i="2"/>
  <c r="BE1545" i="2"/>
  <c r="BE1546" i="2"/>
  <c r="BE1547" i="2"/>
  <c r="BE1548" i="2"/>
  <c r="BE1549" i="2"/>
  <c r="BE1550" i="2"/>
  <c r="BE1551" i="2"/>
  <c r="BE1552" i="2"/>
  <c r="BE1553" i="2"/>
  <c r="BE1554" i="2"/>
  <c r="BE1555" i="2"/>
  <c r="BE1556" i="2"/>
  <c r="BE1557" i="2"/>
  <c r="BE1558" i="2"/>
  <c r="BE1559" i="2"/>
  <c r="BE1560" i="2"/>
  <c r="BE1561" i="2"/>
  <c r="BE1562" i="2"/>
  <c r="BE1563" i="2"/>
  <c r="BE1564" i="2"/>
  <c r="BE1565" i="2"/>
  <c r="BE1566" i="2"/>
  <c r="BE1567" i="2"/>
  <c r="BE1568" i="2"/>
  <c r="BE1569" i="2"/>
  <c r="BE1570" i="2"/>
  <c r="BE1571" i="2"/>
  <c r="BE1572" i="2"/>
  <c r="BE1573" i="2"/>
  <c r="BE1574" i="2"/>
  <c r="BE1575" i="2"/>
  <c r="BE1576" i="2"/>
  <c r="BE1577" i="2"/>
  <c r="BE1578" i="2"/>
  <c r="BE1579" i="2"/>
  <c r="BE1580" i="2"/>
  <c r="BE1581" i="2"/>
  <c r="BE1582" i="2"/>
  <c r="BE1583" i="2"/>
  <c r="BE1584" i="2"/>
  <c r="BE1585" i="2"/>
  <c r="BE1586" i="2"/>
  <c r="BE1587" i="2"/>
  <c r="BE1588" i="2"/>
  <c r="BE1589" i="2"/>
  <c r="BE1590" i="2"/>
  <c r="BE1591" i="2"/>
  <c r="BE1592" i="2"/>
  <c r="BE1593" i="2"/>
  <c r="BE1594" i="2"/>
  <c r="BE1595" i="2"/>
  <c r="BE1596" i="2"/>
  <c r="BE1597" i="2"/>
  <c r="BE1598" i="2"/>
  <c r="BE1599" i="2"/>
  <c r="BE1600" i="2"/>
  <c r="BE1601" i="2"/>
  <c r="BE1602" i="2"/>
  <c r="BE1603" i="2"/>
  <c r="BE1604" i="2"/>
  <c r="BE1605" i="2"/>
  <c r="BE1606" i="2"/>
  <c r="BE1607" i="2"/>
  <c r="BE1608" i="2"/>
  <c r="BE1609" i="2"/>
  <c r="BE1610" i="2"/>
  <c r="BE1611" i="2"/>
  <c r="BE1612" i="2"/>
  <c r="BE1613" i="2"/>
  <c r="BE1614" i="2"/>
  <c r="BE1615" i="2"/>
  <c r="BE1616" i="2"/>
  <c r="BE1617" i="2"/>
  <c r="BE1618" i="2"/>
  <c r="BE1619" i="2"/>
  <c r="BE1620" i="2"/>
  <c r="BE1621" i="2"/>
  <c r="BE1622" i="2"/>
  <c r="BE1623" i="2"/>
  <c r="BE1624" i="2"/>
  <c r="BE1625" i="2"/>
  <c r="BE1626" i="2"/>
  <c r="BE1627" i="2"/>
  <c r="BE1628" i="2"/>
  <c r="BE1629" i="2"/>
  <c r="BE1630" i="2"/>
  <c r="BE1631" i="2"/>
  <c r="BE1632" i="2"/>
  <c r="BE1633" i="2"/>
  <c r="BE1634" i="2"/>
  <c r="BE1635" i="2"/>
  <c r="BE1636" i="2"/>
  <c r="BE1637" i="2"/>
  <c r="BE1638" i="2"/>
  <c r="BE1639" i="2"/>
  <c r="BE1640" i="2"/>
  <c r="BE1641" i="2"/>
  <c r="BE1642" i="2"/>
  <c r="BE1643" i="2"/>
  <c r="BE1644" i="2"/>
  <c r="BE1645" i="2"/>
  <c r="BE1646" i="2"/>
  <c r="BE1647" i="2"/>
  <c r="BE1648" i="2"/>
  <c r="BE1649" i="2"/>
  <c r="BE1650" i="2"/>
  <c r="BE1651" i="2"/>
  <c r="BE1652" i="2"/>
  <c r="BE1653" i="2"/>
  <c r="BE1654" i="2"/>
  <c r="BE1655" i="2"/>
  <c r="BE1656" i="2"/>
  <c r="BE1657" i="2"/>
  <c r="BE1658" i="2"/>
  <c r="BE1659" i="2"/>
  <c r="BE1660" i="2"/>
  <c r="BE1661" i="2"/>
  <c r="BE1662" i="2"/>
  <c r="BE1663" i="2"/>
  <c r="BE1664" i="2"/>
  <c r="BE1665" i="2"/>
  <c r="BE1666" i="2"/>
  <c r="BE1667" i="2"/>
  <c r="BE1668" i="2"/>
  <c r="BE1669" i="2"/>
  <c r="BE1670" i="2"/>
  <c r="BE1671" i="2"/>
  <c r="BE1672" i="2"/>
  <c r="BE1673" i="2"/>
  <c r="BE1674" i="2"/>
  <c r="BE1675" i="2"/>
  <c r="BE1676" i="2"/>
  <c r="BE1677" i="2"/>
  <c r="BE1678" i="2"/>
  <c r="BE1679" i="2"/>
  <c r="BE1680" i="2"/>
  <c r="BE1681" i="2"/>
  <c r="BE1682" i="2"/>
  <c r="BE1683" i="2"/>
  <c r="BE1684" i="2"/>
  <c r="BE1685" i="2"/>
  <c r="BE1686" i="2"/>
  <c r="BE1687" i="2"/>
  <c r="BE1688" i="2"/>
  <c r="BE1689" i="2"/>
  <c r="BE1690" i="2"/>
  <c r="BE1691" i="2"/>
  <c r="BE1692" i="2"/>
  <c r="BE1693" i="2"/>
  <c r="BE1694" i="2"/>
  <c r="BE1695" i="2"/>
  <c r="BE1696" i="2"/>
  <c r="BE1697" i="2"/>
  <c r="BE1698" i="2"/>
  <c r="BE1699" i="2"/>
  <c r="BE1700" i="2"/>
  <c r="BE1701" i="2"/>
  <c r="BE1702" i="2"/>
  <c r="BE1703" i="2"/>
  <c r="BE1704" i="2"/>
  <c r="BE1705" i="2"/>
  <c r="BE1706" i="2"/>
  <c r="BE1707" i="2"/>
  <c r="BE1708" i="2"/>
  <c r="BE1709" i="2"/>
  <c r="BE1710" i="2"/>
  <c r="BE1711" i="2"/>
  <c r="BE1712" i="2"/>
  <c r="BE1713" i="2"/>
  <c r="BE1714" i="2"/>
  <c r="BE1715" i="2"/>
  <c r="BE1716" i="2"/>
  <c r="BE1717" i="2"/>
  <c r="BE1718" i="2"/>
  <c r="BE1719" i="2"/>
  <c r="BE1720" i="2"/>
  <c r="BE1721" i="2"/>
  <c r="BE1722" i="2"/>
  <c r="BE1723" i="2"/>
  <c r="BE1724" i="2"/>
  <c r="BE1725" i="2"/>
  <c r="BE1726" i="2"/>
  <c r="BE1727" i="2"/>
  <c r="BE1728" i="2"/>
  <c r="BE1729" i="2"/>
  <c r="BE1730" i="2"/>
  <c r="BE1731" i="2"/>
  <c r="BE1732" i="2"/>
  <c r="BE1733" i="2"/>
  <c r="BE1734" i="2"/>
  <c r="BE1735" i="2"/>
  <c r="BE1736" i="2"/>
  <c r="BE1737" i="2"/>
  <c r="BE1738" i="2"/>
  <c r="BE1739" i="2"/>
  <c r="BE1740" i="2"/>
  <c r="BE1741" i="2"/>
  <c r="BE1742" i="2"/>
  <c r="BE1743" i="2"/>
  <c r="BE1744" i="2"/>
  <c r="BE1745" i="2"/>
  <c r="BE1746" i="2"/>
  <c r="BE1747" i="2"/>
  <c r="BE1748" i="2"/>
  <c r="BE1749" i="2"/>
  <c r="BE1750" i="2"/>
  <c r="BE1751" i="2"/>
  <c r="BE1752" i="2"/>
  <c r="BE1753" i="2"/>
  <c r="BE1754" i="2"/>
  <c r="BE1755" i="2"/>
  <c r="BE1756" i="2"/>
  <c r="BE1757" i="2"/>
  <c r="BE1758" i="2"/>
  <c r="BE1759" i="2"/>
  <c r="BE1760" i="2"/>
  <c r="BE1761" i="2"/>
  <c r="BE1762" i="2"/>
  <c r="BE1763" i="2"/>
  <c r="BE1764" i="2"/>
  <c r="BE1765" i="2"/>
  <c r="BE1766" i="2"/>
  <c r="BE1767" i="2"/>
  <c r="BE1768" i="2"/>
  <c r="BE1769" i="2"/>
  <c r="BE1770" i="2"/>
  <c r="BE1771" i="2"/>
  <c r="BE1772" i="2"/>
  <c r="BE1773" i="2"/>
  <c r="BE1774" i="2"/>
  <c r="BE1775" i="2"/>
  <c r="BE1776" i="2"/>
  <c r="BE1777" i="2"/>
  <c r="BE1778" i="2"/>
  <c r="BE1779" i="2"/>
  <c r="BE1780" i="2"/>
  <c r="BE1781" i="2"/>
  <c r="BE1782" i="2"/>
  <c r="BE1783" i="2"/>
  <c r="BE1784" i="2"/>
  <c r="BE1785" i="2"/>
  <c r="BE1786" i="2"/>
  <c r="BE1787" i="2"/>
  <c r="BE1788" i="2"/>
  <c r="BE1789" i="2"/>
  <c r="BE1790" i="2"/>
  <c r="BE1791" i="2"/>
  <c r="BE1792" i="2"/>
  <c r="BE1793" i="2"/>
  <c r="BE1794" i="2"/>
  <c r="BE1795" i="2"/>
  <c r="BE1796" i="2"/>
  <c r="BE1797" i="2"/>
  <c r="BE1798" i="2"/>
  <c r="BE1799" i="2"/>
  <c r="BE1800" i="2"/>
  <c r="BE1801" i="2"/>
  <c r="BE1802" i="2"/>
  <c r="BE1803" i="2"/>
  <c r="BE1804" i="2"/>
  <c r="BE1805" i="2"/>
  <c r="BE1806" i="2"/>
  <c r="BE1807" i="2"/>
  <c r="BE1808" i="2"/>
  <c r="BE1809" i="2"/>
  <c r="BE1810" i="2"/>
  <c r="BE1811" i="2"/>
  <c r="BE1812" i="2"/>
  <c r="BE1813" i="2"/>
  <c r="BE1814" i="2"/>
  <c r="BE1815" i="2"/>
  <c r="BE1816" i="2"/>
  <c r="BE1817" i="2"/>
  <c r="BE1818" i="2"/>
  <c r="BE1819" i="2"/>
  <c r="BE1820" i="2"/>
  <c r="BE1821" i="2"/>
  <c r="BE1822" i="2"/>
  <c r="BE1823" i="2"/>
  <c r="BE1824" i="2"/>
  <c r="BE1825" i="2"/>
  <c r="BE1826" i="2"/>
  <c r="BE1827" i="2"/>
  <c r="BE1828" i="2"/>
  <c r="BE1829" i="2"/>
  <c r="BE1830" i="2"/>
  <c r="BE1831" i="2"/>
  <c r="BE1832" i="2"/>
  <c r="BE1833" i="2"/>
  <c r="BE1834" i="2"/>
  <c r="BE1835" i="2"/>
  <c r="BE1836" i="2"/>
  <c r="BE1837" i="2"/>
  <c r="BE1838" i="2"/>
  <c r="BE1839" i="2"/>
  <c r="BE1840" i="2"/>
  <c r="BE1841" i="2"/>
  <c r="BE1842" i="2"/>
  <c r="BE1843" i="2"/>
  <c r="BE1844" i="2"/>
  <c r="BE1845" i="2"/>
  <c r="BE1846" i="2"/>
  <c r="BE1847" i="2"/>
  <c r="BE1848" i="2"/>
  <c r="BE1849" i="2"/>
  <c r="BE1850" i="2"/>
  <c r="BE1851" i="2"/>
  <c r="BE1852" i="2"/>
  <c r="BE1853" i="2"/>
  <c r="BE1854" i="2"/>
  <c r="BE1855" i="2"/>
  <c r="BE1856" i="2"/>
  <c r="BE1857" i="2"/>
  <c r="BE1858" i="2"/>
  <c r="BE1859" i="2"/>
  <c r="BE1860" i="2"/>
  <c r="BE1861" i="2"/>
  <c r="BE1862" i="2"/>
  <c r="BE1863" i="2"/>
  <c r="BE1864" i="2"/>
  <c r="BE1865" i="2"/>
  <c r="BE1866" i="2"/>
  <c r="BE1867" i="2"/>
  <c r="BE1868" i="2"/>
  <c r="BE1869" i="2"/>
  <c r="BE1870" i="2"/>
  <c r="BE1871" i="2"/>
  <c r="BE1872" i="2"/>
  <c r="BE1873" i="2"/>
  <c r="BE1874" i="2"/>
  <c r="BE1875" i="2"/>
  <c r="BE1876" i="2"/>
  <c r="BE1877" i="2"/>
  <c r="BE1878" i="2"/>
  <c r="BE1879" i="2"/>
  <c r="BE1880" i="2"/>
  <c r="BE1881" i="2"/>
  <c r="BE1882" i="2"/>
  <c r="BE1883" i="2"/>
  <c r="BE1884" i="2"/>
  <c r="BE1885" i="2"/>
  <c r="BE1886" i="2"/>
  <c r="BE1887" i="2"/>
  <c r="BE1888" i="2"/>
  <c r="BE1889" i="2"/>
  <c r="BE1890" i="2"/>
  <c r="BE1891" i="2"/>
  <c r="BE1892" i="2"/>
  <c r="BE1893" i="2"/>
  <c r="BE1894" i="2"/>
  <c r="BE1895" i="2"/>
  <c r="BE1896" i="2"/>
  <c r="BE1897" i="2"/>
  <c r="BE1898" i="2"/>
  <c r="BE1899" i="2"/>
  <c r="BE1900" i="2"/>
  <c r="BE1901" i="2"/>
  <c r="BE1902" i="2"/>
  <c r="BE1903" i="2"/>
  <c r="BE1904" i="2"/>
  <c r="BE1905" i="2"/>
  <c r="BE1906" i="2"/>
  <c r="BE1907" i="2"/>
  <c r="BE1908" i="2"/>
  <c r="BE1909" i="2"/>
  <c r="BE1910" i="2"/>
  <c r="BE1911" i="2"/>
  <c r="BE1912" i="2"/>
  <c r="BE1913" i="2"/>
  <c r="BE1914" i="2"/>
  <c r="BE1915" i="2"/>
  <c r="BE1916" i="2"/>
  <c r="BE1917" i="2"/>
  <c r="BE1918" i="2"/>
  <c r="BE1919" i="2"/>
  <c r="BE1920" i="2"/>
  <c r="BE1921" i="2"/>
  <c r="BE1922" i="2"/>
  <c r="BE1923" i="2"/>
  <c r="BE1924" i="2"/>
  <c r="BE1925" i="2"/>
  <c r="BE1926" i="2"/>
  <c r="BE1927" i="2"/>
  <c r="BE1928" i="2"/>
  <c r="BE1929" i="2"/>
  <c r="BE1930" i="2"/>
  <c r="BE1931" i="2"/>
  <c r="BE1932" i="2"/>
  <c r="BE1933" i="2"/>
  <c r="BE1934" i="2"/>
  <c r="BE1935" i="2"/>
  <c r="BE1936" i="2"/>
  <c r="BE1937" i="2"/>
  <c r="BE1938" i="2"/>
  <c r="BE1939" i="2"/>
  <c r="BE1940" i="2"/>
  <c r="BE1941" i="2"/>
  <c r="BE1942" i="2"/>
  <c r="BE1943" i="2"/>
  <c r="BE1944" i="2"/>
  <c r="BE1945" i="2"/>
  <c r="BE1946" i="2"/>
  <c r="BE1947" i="2"/>
  <c r="BE1948" i="2"/>
  <c r="BE1949" i="2"/>
  <c r="BE1950" i="2"/>
  <c r="BE1951" i="2"/>
  <c r="BE1952" i="2"/>
  <c r="BE1953" i="2"/>
  <c r="BE1954" i="2"/>
  <c r="BE1955" i="2"/>
  <c r="BE1956" i="2"/>
  <c r="BE1957" i="2"/>
  <c r="BE1958" i="2"/>
  <c r="BE1959" i="2"/>
  <c r="BE1960" i="2"/>
  <c r="BE1961" i="2"/>
  <c r="BE1962" i="2"/>
  <c r="BE1963" i="2"/>
  <c r="BE1964" i="2"/>
  <c r="BE1965" i="2"/>
  <c r="BE1966" i="2"/>
  <c r="BE1967" i="2"/>
  <c r="BE1968" i="2"/>
  <c r="BE1969" i="2"/>
  <c r="BE1970" i="2"/>
  <c r="BE1971" i="2"/>
  <c r="BE1972" i="2"/>
  <c r="BE1973" i="2"/>
  <c r="BE1974" i="2"/>
  <c r="BE1975" i="2"/>
  <c r="BE1976" i="2"/>
  <c r="BE1977" i="2"/>
  <c r="BE1978" i="2"/>
  <c r="BE1979" i="2"/>
  <c r="BE1980" i="2"/>
  <c r="BE1981" i="2"/>
  <c r="BE1982" i="2"/>
  <c r="BE1983" i="2"/>
  <c r="BE1984" i="2"/>
  <c r="BE1985" i="2"/>
  <c r="BE1986" i="2"/>
  <c r="BE1987" i="2"/>
  <c r="BE1988" i="2"/>
  <c r="BE1989" i="2"/>
  <c r="BE1990" i="2"/>
  <c r="BE1991" i="2"/>
  <c r="BE1992" i="2"/>
  <c r="BE1993" i="2"/>
  <c r="BE1994" i="2"/>
  <c r="BE1995" i="2"/>
  <c r="BE1996" i="2"/>
  <c r="BE1997" i="2"/>
  <c r="BE1998" i="2"/>
  <c r="BE1999" i="2"/>
  <c r="BE2000" i="2"/>
  <c r="BE2001" i="2"/>
  <c r="BE2002" i="2"/>
  <c r="BE2003" i="2"/>
  <c r="BE2004" i="2"/>
  <c r="BE2005" i="2"/>
  <c r="BE2006" i="2"/>
  <c r="BE2007" i="2"/>
  <c r="BE2008" i="2"/>
  <c r="BE2009" i="2"/>
  <c r="BE2010" i="2"/>
  <c r="BE2011" i="2"/>
  <c r="BE2012" i="2"/>
  <c r="BE2013" i="2"/>
  <c r="BE2014" i="2"/>
  <c r="BE2015" i="2"/>
  <c r="BE2016" i="2"/>
  <c r="BE2017" i="2"/>
  <c r="BE2018" i="2"/>
  <c r="BE2019" i="2"/>
  <c r="BE2020" i="2"/>
  <c r="BE2021" i="2"/>
  <c r="BE2022" i="2"/>
  <c r="BE2023" i="2"/>
  <c r="BE2024" i="2"/>
  <c r="BE2025" i="2"/>
  <c r="BE2026" i="2"/>
  <c r="BE2027" i="2"/>
  <c r="BE2028" i="2"/>
  <c r="BE2029" i="2"/>
  <c r="BE2030" i="2"/>
  <c r="BE2031" i="2"/>
  <c r="BE2032" i="2"/>
  <c r="BE2033" i="2"/>
  <c r="BE2034" i="2"/>
  <c r="BE2035" i="2"/>
  <c r="BE2036" i="2"/>
  <c r="BE2037" i="2"/>
  <c r="BE2038" i="2"/>
  <c r="BE2039" i="2"/>
  <c r="BE2040" i="2"/>
  <c r="BE2041" i="2"/>
  <c r="BE2042" i="2"/>
  <c r="BE2043" i="2"/>
  <c r="BE2044" i="2"/>
  <c r="BE2045" i="2"/>
  <c r="BE2046" i="2"/>
  <c r="BE2047" i="2"/>
  <c r="BE2048" i="2"/>
  <c r="BE2049" i="2"/>
  <c r="BE2050" i="2"/>
  <c r="BE2051" i="2"/>
  <c r="BE2052" i="2"/>
  <c r="BE2053" i="2"/>
  <c r="BE2054" i="2"/>
  <c r="BE2055" i="2"/>
  <c r="BE2056" i="2"/>
  <c r="BE2057" i="2"/>
  <c r="BE2058" i="2"/>
  <c r="BE2059" i="2"/>
  <c r="BE2060" i="2"/>
  <c r="BE2061" i="2"/>
  <c r="BE2062" i="2"/>
  <c r="BE2063" i="2"/>
  <c r="BE2064" i="2"/>
  <c r="BE2065" i="2"/>
  <c r="BE2066" i="2"/>
  <c r="BE2067" i="2"/>
  <c r="BE2068" i="2"/>
  <c r="BE2069" i="2"/>
  <c r="BE2070" i="2"/>
  <c r="BE2071" i="2"/>
  <c r="BE2072" i="2"/>
  <c r="BE2073" i="2"/>
  <c r="BE2074" i="2"/>
  <c r="BE2075" i="2"/>
  <c r="BE2076" i="2"/>
  <c r="BE2077" i="2"/>
  <c r="BE2078" i="2"/>
  <c r="BE2079" i="2"/>
  <c r="BE2080" i="2"/>
  <c r="BE2081" i="2"/>
  <c r="BE2082" i="2"/>
  <c r="BE2083" i="2"/>
  <c r="BE2084" i="2"/>
  <c r="BE2085" i="2"/>
  <c r="BE2086" i="2"/>
  <c r="BE2087" i="2"/>
  <c r="BE2088" i="2"/>
  <c r="BE2089" i="2"/>
  <c r="BE2090" i="2"/>
  <c r="BE2091" i="2"/>
  <c r="BE2092" i="2"/>
  <c r="BE2093" i="2"/>
  <c r="BE2094" i="2"/>
  <c r="BE2095" i="2"/>
  <c r="BE2096" i="2"/>
  <c r="BE2097" i="2"/>
  <c r="BE2098" i="2"/>
  <c r="BE2099" i="2"/>
  <c r="BE2100" i="2"/>
  <c r="BE2101" i="2"/>
  <c r="BE2102" i="2"/>
  <c r="BE2103" i="2"/>
  <c r="BE2104" i="2"/>
  <c r="BE2105" i="2"/>
  <c r="BE2106" i="2"/>
  <c r="BE2107" i="2"/>
  <c r="BE2108" i="2"/>
  <c r="BE2109" i="2"/>
  <c r="BE2110" i="2"/>
  <c r="BE2111" i="2"/>
  <c r="BE2112" i="2"/>
  <c r="BE2113" i="2"/>
  <c r="BE2114" i="2"/>
  <c r="BE2115" i="2"/>
  <c r="BE2116" i="2"/>
  <c r="BE2117" i="2"/>
  <c r="BE2118" i="2"/>
  <c r="BE2119" i="2"/>
  <c r="BE2120" i="2"/>
  <c r="BE2121" i="2"/>
  <c r="BE2122" i="2"/>
  <c r="BE2123" i="2"/>
  <c r="BE2124" i="2"/>
  <c r="BE2125" i="2"/>
  <c r="BE2126" i="2"/>
  <c r="BE2127" i="2"/>
  <c r="BE2128" i="2"/>
  <c r="BE2129" i="2"/>
  <c r="BE2130" i="2"/>
  <c r="BE2131" i="2"/>
  <c r="BE2132" i="2"/>
  <c r="BE2" i="2"/>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523" i="11"/>
  <c r="F524" i="11"/>
  <c r="F525" i="11"/>
  <c r="F526" i="11"/>
  <c r="F527" i="11"/>
  <c r="F528" i="11"/>
  <c r="F529" i="11"/>
  <c r="F5" i="11"/>
  <c r="BD3" i="2"/>
  <c r="BD4" i="2"/>
  <c r="BD5" i="2"/>
  <c r="BD6" i="2"/>
  <c r="BD7" i="2"/>
  <c r="BD8" i="2"/>
  <c r="BD9" i="2"/>
  <c r="BD10" i="2"/>
  <c r="BD11" i="2"/>
  <c r="BD12" i="2"/>
  <c r="BD13" i="2"/>
  <c r="BD14" i="2"/>
  <c r="BD15" i="2"/>
  <c r="BD16" i="2"/>
  <c r="BD17" i="2"/>
  <c r="BD18" i="2"/>
  <c r="BD19" i="2"/>
  <c r="BD20" i="2"/>
  <c r="BD21" i="2"/>
  <c r="BD22" i="2"/>
  <c r="BD23" i="2"/>
  <c r="BD24" i="2"/>
  <c r="BD25" i="2"/>
  <c r="BD26" i="2"/>
  <c r="BD27" i="2"/>
  <c r="BD28" i="2"/>
  <c r="BD29" i="2"/>
  <c r="BD30" i="2"/>
  <c r="BD31" i="2"/>
  <c r="BD32" i="2"/>
  <c r="BD33" i="2"/>
  <c r="BD34" i="2"/>
  <c r="BD35" i="2"/>
  <c r="BD36" i="2"/>
  <c r="BD37" i="2"/>
  <c r="BD38" i="2"/>
  <c r="BD39" i="2"/>
  <c r="BD40" i="2"/>
  <c r="BD41" i="2"/>
  <c r="BD42" i="2"/>
  <c r="BD43" i="2"/>
  <c r="BD44" i="2"/>
  <c r="BD45" i="2"/>
  <c r="BD46" i="2"/>
  <c r="BD47" i="2"/>
  <c r="BD48" i="2"/>
  <c r="BD49" i="2"/>
  <c r="BD50" i="2"/>
  <c r="BD51" i="2"/>
  <c r="BD52" i="2"/>
  <c r="BD53" i="2"/>
  <c r="BD54" i="2"/>
  <c r="BD55" i="2"/>
  <c r="BD56" i="2"/>
  <c r="BD57" i="2"/>
  <c r="BD58" i="2"/>
  <c r="BD59" i="2"/>
  <c r="BD60" i="2"/>
  <c r="BD61" i="2"/>
  <c r="BD62" i="2"/>
  <c r="BD63" i="2"/>
  <c r="BD64" i="2"/>
  <c r="BD65" i="2"/>
  <c r="BD66" i="2"/>
  <c r="BD67" i="2"/>
  <c r="BD68" i="2"/>
  <c r="BD69" i="2"/>
  <c r="BD70" i="2"/>
  <c r="BD71" i="2"/>
  <c r="BD72" i="2"/>
  <c r="BD73" i="2"/>
  <c r="BD74" i="2"/>
  <c r="BD75" i="2"/>
  <c r="BD76" i="2"/>
  <c r="BD77" i="2"/>
  <c r="BD78" i="2"/>
  <c r="BD79" i="2"/>
  <c r="BD80" i="2"/>
  <c r="BD81" i="2"/>
  <c r="BD82" i="2"/>
  <c r="BD83" i="2"/>
  <c r="BD84" i="2"/>
  <c r="BD85" i="2"/>
  <c r="BD86" i="2"/>
  <c r="BD87" i="2"/>
  <c r="BD88" i="2"/>
  <c r="BD89" i="2"/>
  <c r="BD90" i="2"/>
  <c r="BD91" i="2"/>
  <c r="BD92" i="2"/>
  <c r="BD93" i="2"/>
  <c r="BD94" i="2"/>
  <c r="BD95" i="2"/>
  <c r="BD96" i="2"/>
  <c r="BD97" i="2"/>
  <c r="BD98" i="2"/>
  <c r="BD99" i="2"/>
  <c r="BD100" i="2"/>
  <c r="BD101" i="2"/>
  <c r="BD102" i="2"/>
  <c r="BD103" i="2"/>
  <c r="BD104" i="2"/>
  <c r="BD105" i="2"/>
  <c r="BD106" i="2"/>
  <c r="BD107" i="2"/>
  <c r="BD108" i="2"/>
  <c r="BD109" i="2"/>
  <c r="BD110" i="2"/>
  <c r="BD111" i="2"/>
  <c r="BD112" i="2"/>
  <c r="BD113" i="2"/>
  <c r="BD114" i="2"/>
  <c r="BD115" i="2"/>
  <c r="BD116" i="2"/>
  <c r="BD117" i="2"/>
  <c r="BD118" i="2"/>
  <c r="BD119" i="2"/>
  <c r="BD120" i="2"/>
  <c r="BD121" i="2"/>
  <c r="BD122" i="2"/>
  <c r="BD123" i="2"/>
  <c r="BD124" i="2"/>
  <c r="BD125" i="2"/>
  <c r="BD126" i="2"/>
  <c r="BD127" i="2"/>
  <c r="BD128" i="2"/>
  <c r="BD129" i="2"/>
  <c r="BD130" i="2"/>
  <c r="BD131" i="2"/>
  <c r="BD132" i="2"/>
  <c r="BD133" i="2"/>
  <c r="BD134" i="2"/>
  <c r="BD135" i="2"/>
  <c r="BD136" i="2"/>
  <c r="BD137" i="2"/>
  <c r="BD138" i="2"/>
  <c r="BD139" i="2"/>
  <c r="BD140" i="2"/>
  <c r="BD141" i="2"/>
  <c r="BD142" i="2"/>
  <c r="BD143" i="2"/>
  <c r="BD144" i="2"/>
  <c r="BD145" i="2"/>
  <c r="BD146" i="2"/>
  <c r="BD147" i="2"/>
  <c r="BD148" i="2"/>
  <c r="BD149" i="2"/>
  <c r="BD150" i="2"/>
  <c r="BD151" i="2"/>
  <c r="BD152" i="2"/>
  <c r="BD153" i="2"/>
  <c r="BD154" i="2"/>
  <c r="BD155" i="2"/>
  <c r="BD156" i="2"/>
  <c r="BD157" i="2"/>
  <c r="BD158" i="2"/>
  <c r="BD159" i="2"/>
  <c r="BD160" i="2"/>
  <c r="BD161" i="2"/>
  <c r="BD162" i="2"/>
  <c r="BD163" i="2"/>
  <c r="BD164" i="2"/>
  <c r="BD165" i="2"/>
  <c r="BD166" i="2"/>
  <c r="BD167" i="2"/>
  <c r="BD168" i="2"/>
  <c r="BD169" i="2"/>
  <c r="BD170" i="2"/>
  <c r="BD171" i="2"/>
  <c r="BD172" i="2"/>
  <c r="BD173" i="2"/>
  <c r="BD174" i="2"/>
  <c r="BD175" i="2"/>
  <c r="BD176" i="2"/>
  <c r="BD177" i="2"/>
  <c r="BD178" i="2"/>
  <c r="BD179" i="2"/>
  <c r="BD180" i="2"/>
  <c r="BD181" i="2"/>
  <c r="BD182" i="2"/>
  <c r="BD183" i="2"/>
  <c r="BD184" i="2"/>
  <c r="BD185" i="2"/>
  <c r="BD186" i="2"/>
  <c r="BD187" i="2"/>
  <c r="BD188" i="2"/>
  <c r="BD189" i="2"/>
  <c r="BD190" i="2"/>
  <c r="BD191" i="2"/>
  <c r="BD192" i="2"/>
  <c r="BD193" i="2"/>
  <c r="BD194" i="2"/>
  <c r="BD195" i="2"/>
  <c r="BD196" i="2"/>
  <c r="BD197" i="2"/>
  <c r="BD198" i="2"/>
  <c r="BD199" i="2"/>
  <c r="BD200" i="2"/>
  <c r="BD201" i="2"/>
  <c r="BD202" i="2"/>
  <c r="BD203" i="2"/>
  <c r="BD204" i="2"/>
  <c r="BD205" i="2"/>
  <c r="BD206" i="2"/>
  <c r="BD207" i="2"/>
  <c r="BD208" i="2"/>
  <c r="BD209" i="2"/>
  <c r="BD210" i="2"/>
  <c r="BD211" i="2"/>
  <c r="BD212" i="2"/>
  <c r="BD213" i="2"/>
  <c r="BD214" i="2"/>
  <c r="BD215" i="2"/>
  <c r="BD216" i="2"/>
  <c r="BD217" i="2"/>
  <c r="BD218" i="2"/>
  <c r="BD219" i="2"/>
  <c r="BD220" i="2"/>
  <c r="BD221" i="2"/>
  <c r="BD222" i="2"/>
  <c r="BD223" i="2"/>
  <c r="BD224" i="2"/>
  <c r="BD225" i="2"/>
  <c r="BD226" i="2"/>
  <c r="BD227" i="2"/>
  <c r="BD228" i="2"/>
  <c r="BD229" i="2"/>
  <c r="BD230" i="2"/>
  <c r="BD231" i="2"/>
  <c r="BD232" i="2"/>
  <c r="BD233" i="2"/>
  <c r="BD234" i="2"/>
  <c r="BD235" i="2"/>
  <c r="BD236" i="2"/>
  <c r="BD237" i="2"/>
  <c r="BD238" i="2"/>
  <c r="BD239" i="2"/>
  <c r="BD240" i="2"/>
  <c r="BD241" i="2"/>
  <c r="BD242" i="2"/>
  <c r="BD243" i="2"/>
  <c r="BD244" i="2"/>
  <c r="BD245" i="2"/>
  <c r="BD246" i="2"/>
  <c r="BD247" i="2"/>
  <c r="BD248" i="2"/>
  <c r="BD249" i="2"/>
  <c r="BD250" i="2"/>
  <c r="BD251" i="2"/>
  <c r="BD252" i="2"/>
  <c r="BD253" i="2"/>
  <c r="BD254" i="2"/>
  <c r="BD255" i="2"/>
  <c r="BD256" i="2"/>
  <c r="BD257" i="2"/>
  <c r="BD258" i="2"/>
  <c r="BD259" i="2"/>
  <c r="BD260" i="2"/>
  <c r="BD261" i="2"/>
  <c r="BD262" i="2"/>
  <c r="BD263" i="2"/>
  <c r="BD264" i="2"/>
  <c r="BD265" i="2"/>
  <c r="BD266" i="2"/>
  <c r="BD267" i="2"/>
  <c r="BD268" i="2"/>
  <c r="BD269" i="2"/>
  <c r="BD270" i="2"/>
  <c r="BD271" i="2"/>
  <c r="BD272" i="2"/>
  <c r="BD273" i="2"/>
  <c r="BD274" i="2"/>
  <c r="BD275" i="2"/>
  <c r="BD276" i="2"/>
  <c r="BD277" i="2"/>
  <c r="BD278" i="2"/>
  <c r="BD279" i="2"/>
  <c r="BD280" i="2"/>
  <c r="BD281" i="2"/>
  <c r="BD282" i="2"/>
  <c r="BD283" i="2"/>
  <c r="BD284" i="2"/>
  <c r="BD285" i="2"/>
  <c r="BD286" i="2"/>
  <c r="BD287" i="2"/>
  <c r="BD288" i="2"/>
  <c r="BD289" i="2"/>
  <c r="BD290" i="2"/>
  <c r="BD291" i="2"/>
  <c r="BD292" i="2"/>
  <c r="BD293" i="2"/>
  <c r="BD294" i="2"/>
  <c r="BD295" i="2"/>
  <c r="BD296" i="2"/>
  <c r="BD297" i="2"/>
  <c r="BD298" i="2"/>
  <c r="BD299" i="2"/>
  <c r="BD300" i="2"/>
  <c r="BD301" i="2"/>
  <c r="BD302" i="2"/>
  <c r="BD303" i="2"/>
  <c r="BD304" i="2"/>
  <c r="BD305" i="2"/>
  <c r="BD306" i="2"/>
  <c r="BD307" i="2"/>
  <c r="BD308" i="2"/>
  <c r="BD309" i="2"/>
  <c r="BD310" i="2"/>
  <c r="BD311" i="2"/>
  <c r="BD312" i="2"/>
  <c r="BD313" i="2"/>
  <c r="BD314" i="2"/>
  <c r="BD315" i="2"/>
  <c r="BD316" i="2"/>
  <c r="BD317" i="2"/>
  <c r="BD318" i="2"/>
  <c r="BD319" i="2"/>
  <c r="BD320" i="2"/>
  <c r="BD321" i="2"/>
  <c r="BD322" i="2"/>
  <c r="BD323" i="2"/>
  <c r="BD324" i="2"/>
  <c r="BD325" i="2"/>
  <c r="BD326" i="2"/>
  <c r="BD327" i="2"/>
  <c r="BD328" i="2"/>
  <c r="BD329" i="2"/>
  <c r="BD330" i="2"/>
  <c r="BD331" i="2"/>
  <c r="BD332" i="2"/>
  <c r="BD333" i="2"/>
  <c r="BD334" i="2"/>
  <c r="BD335" i="2"/>
  <c r="BD336" i="2"/>
  <c r="BD337" i="2"/>
  <c r="BD338" i="2"/>
  <c r="BD339" i="2"/>
  <c r="BD340" i="2"/>
  <c r="BD341" i="2"/>
  <c r="BD342" i="2"/>
  <c r="BD343" i="2"/>
  <c r="BD344" i="2"/>
  <c r="BD345" i="2"/>
  <c r="BD346" i="2"/>
  <c r="BD347" i="2"/>
  <c r="BD348" i="2"/>
  <c r="BD349" i="2"/>
  <c r="BD350" i="2"/>
  <c r="BD351" i="2"/>
  <c r="BD352" i="2"/>
  <c r="BD353" i="2"/>
  <c r="BD354" i="2"/>
  <c r="BD355" i="2"/>
  <c r="BD356" i="2"/>
  <c r="BD357" i="2"/>
  <c r="BD358" i="2"/>
  <c r="BD359" i="2"/>
  <c r="BD360" i="2"/>
  <c r="BD361" i="2"/>
  <c r="BD362" i="2"/>
  <c r="BD363" i="2"/>
  <c r="BD364" i="2"/>
  <c r="BD365" i="2"/>
  <c r="BD366" i="2"/>
  <c r="BD367" i="2"/>
  <c r="BD368" i="2"/>
  <c r="BD369" i="2"/>
  <c r="BD370" i="2"/>
  <c r="BD371" i="2"/>
  <c r="BD372" i="2"/>
  <c r="BD373" i="2"/>
  <c r="BD374" i="2"/>
  <c r="BD375" i="2"/>
  <c r="BD376" i="2"/>
  <c r="BD377" i="2"/>
  <c r="BD378" i="2"/>
  <c r="BD379" i="2"/>
  <c r="BD380" i="2"/>
  <c r="BD381" i="2"/>
  <c r="BD382" i="2"/>
  <c r="BD383" i="2"/>
  <c r="BD384" i="2"/>
  <c r="BD385" i="2"/>
  <c r="BD386" i="2"/>
  <c r="BD387" i="2"/>
  <c r="BD388" i="2"/>
  <c r="BD389" i="2"/>
  <c r="BD390" i="2"/>
  <c r="BD391" i="2"/>
  <c r="BD392" i="2"/>
  <c r="BD393" i="2"/>
  <c r="BD394" i="2"/>
  <c r="BD395" i="2"/>
  <c r="BD396" i="2"/>
  <c r="BD397" i="2"/>
  <c r="BD398" i="2"/>
  <c r="BD399" i="2"/>
  <c r="BD400" i="2"/>
  <c r="BD401" i="2"/>
  <c r="BD402" i="2"/>
  <c r="BD403" i="2"/>
  <c r="BD404" i="2"/>
  <c r="BD405" i="2"/>
  <c r="BD406" i="2"/>
  <c r="BD407" i="2"/>
  <c r="BD408" i="2"/>
  <c r="BD409" i="2"/>
  <c r="BD410" i="2"/>
  <c r="BD411" i="2"/>
  <c r="BD412" i="2"/>
  <c r="BD413" i="2"/>
  <c r="BD414" i="2"/>
  <c r="BD415" i="2"/>
  <c r="BD416" i="2"/>
  <c r="BD417" i="2"/>
  <c r="BD418" i="2"/>
  <c r="BD419" i="2"/>
  <c r="BD420" i="2"/>
  <c r="BD421" i="2"/>
  <c r="BD422" i="2"/>
  <c r="BD423" i="2"/>
  <c r="BD424" i="2"/>
  <c r="BD425" i="2"/>
  <c r="BD426" i="2"/>
  <c r="BD427" i="2"/>
  <c r="BD428" i="2"/>
  <c r="BD429" i="2"/>
  <c r="BD430" i="2"/>
  <c r="BD431" i="2"/>
  <c r="BD432" i="2"/>
  <c r="BD433" i="2"/>
  <c r="BD434" i="2"/>
  <c r="BD435" i="2"/>
  <c r="BD436" i="2"/>
  <c r="BD437" i="2"/>
  <c r="BD438" i="2"/>
  <c r="BD439" i="2"/>
  <c r="BD440" i="2"/>
  <c r="BD441" i="2"/>
  <c r="BD442" i="2"/>
  <c r="BD443" i="2"/>
  <c r="BD444" i="2"/>
  <c r="BD445" i="2"/>
  <c r="BD446" i="2"/>
  <c r="BD447" i="2"/>
  <c r="BD448" i="2"/>
  <c r="BD449" i="2"/>
  <c r="BD450" i="2"/>
  <c r="BD451" i="2"/>
  <c r="BD452" i="2"/>
  <c r="BD453" i="2"/>
  <c r="BD454" i="2"/>
  <c r="BD455" i="2"/>
  <c r="BD456" i="2"/>
  <c r="BD457" i="2"/>
  <c r="BD458" i="2"/>
  <c r="BD459" i="2"/>
  <c r="BD460" i="2"/>
  <c r="BD461" i="2"/>
  <c r="BD462" i="2"/>
  <c r="BD463" i="2"/>
  <c r="BD464" i="2"/>
  <c r="BD465" i="2"/>
  <c r="BD466" i="2"/>
  <c r="BD467" i="2"/>
  <c r="BD468" i="2"/>
  <c r="BD469" i="2"/>
  <c r="BD470" i="2"/>
  <c r="BD471" i="2"/>
  <c r="BD472" i="2"/>
  <c r="BD473" i="2"/>
  <c r="BD474" i="2"/>
  <c r="BD475" i="2"/>
  <c r="BD476" i="2"/>
  <c r="BD477" i="2"/>
  <c r="BD478" i="2"/>
  <c r="BD479" i="2"/>
  <c r="BD480" i="2"/>
  <c r="BD481" i="2"/>
  <c r="BD482" i="2"/>
  <c r="BD483" i="2"/>
  <c r="BD484" i="2"/>
  <c r="BD485" i="2"/>
  <c r="BD486" i="2"/>
  <c r="BD487" i="2"/>
  <c r="BD488" i="2"/>
  <c r="BD489" i="2"/>
  <c r="BD490" i="2"/>
  <c r="BD491" i="2"/>
  <c r="BD492" i="2"/>
  <c r="BD493" i="2"/>
  <c r="BD494" i="2"/>
  <c r="BD495" i="2"/>
  <c r="BD496" i="2"/>
  <c r="BD497" i="2"/>
  <c r="BD498" i="2"/>
  <c r="BD499" i="2"/>
  <c r="BD500" i="2"/>
  <c r="BD501" i="2"/>
  <c r="BD502" i="2"/>
  <c r="BD503" i="2"/>
  <c r="BD504" i="2"/>
  <c r="BD505" i="2"/>
  <c r="BD506" i="2"/>
  <c r="BD507" i="2"/>
  <c r="BD508" i="2"/>
  <c r="BD509" i="2"/>
  <c r="BD510" i="2"/>
  <c r="BD511" i="2"/>
  <c r="BD512" i="2"/>
  <c r="BD513" i="2"/>
  <c r="BD514" i="2"/>
  <c r="BD515" i="2"/>
  <c r="BD516" i="2"/>
  <c r="BD517" i="2"/>
  <c r="BD518" i="2"/>
  <c r="BD519" i="2"/>
  <c r="BD520" i="2"/>
  <c r="BD521" i="2"/>
  <c r="BD522" i="2"/>
  <c r="BD523" i="2"/>
  <c r="BD524" i="2"/>
  <c r="BD525" i="2"/>
  <c r="BD526" i="2"/>
  <c r="BD527" i="2"/>
  <c r="BD528" i="2"/>
  <c r="BD529" i="2"/>
  <c r="BD530" i="2"/>
  <c r="BD531" i="2"/>
  <c r="BD532" i="2"/>
  <c r="BD533" i="2"/>
  <c r="BD534" i="2"/>
  <c r="BD535" i="2"/>
  <c r="BD536" i="2"/>
  <c r="BD537" i="2"/>
  <c r="BD538" i="2"/>
  <c r="BD539" i="2"/>
  <c r="BD540" i="2"/>
  <c r="BD541" i="2"/>
  <c r="BD542" i="2"/>
  <c r="BD543" i="2"/>
  <c r="BD544" i="2"/>
  <c r="BD545" i="2"/>
  <c r="BD546" i="2"/>
  <c r="BD547" i="2"/>
  <c r="BD548" i="2"/>
  <c r="BD549" i="2"/>
  <c r="BD550" i="2"/>
  <c r="BD551" i="2"/>
  <c r="BD552" i="2"/>
  <c r="BD553" i="2"/>
  <c r="BD554" i="2"/>
  <c r="BD555" i="2"/>
  <c r="BD556" i="2"/>
  <c r="BD557" i="2"/>
  <c r="BD558" i="2"/>
  <c r="BD559" i="2"/>
  <c r="BD560" i="2"/>
  <c r="BD561" i="2"/>
  <c r="BD562" i="2"/>
  <c r="BD563" i="2"/>
  <c r="BD564" i="2"/>
  <c r="BD565" i="2"/>
  <c r="BD566" i="2"/>
  <c r="BD567" i="2"/>
  <c r="BD568" i="2"/>
  <c r="BD569" i="2"/>
  <c r="BD570" i="2"/>
  <c r="BD571" i="2"/>
  <c r="BD572" i="2"/>
  <c r="BD573" i="2"/>
  <c r="BD574" i="2"/>
  <c r="BD575" i="2"/>
  <c r="BD576" i="2"/>
  <c r="BD577" i="2"/>
  <c r="BD578" i="2"/>
  <c r="BD579" i="2"/>
  <c r="BD580" i="2"/>
  <c r="BD581" i="2"/>
  <c r="BD582" i="2"/>
  <c r="BD583" i="2"/>
  <c r="BD584" i="2"/>
  <c r="BD585" i="2"/>
  <c r="BD586" i="2"/>
  <c r="BD587" i="2"/>
  <c r="BD588" i="2"/>
  <c r="BD589" i="2"/>
  <c r="BD590" i="2"/>
  <c r="BD591" i="2"/>
  <c r="BD592" i="2"/>
  <c r="BD593" i="2"/>
  <c r="BD594" i="2"/>
  <c r="BD595" i="2"/>
  <c r="BD596" i="2"/>
  <c r="BD597" i="2"/>
  <c r="BD598" i="2"/>
  <c r="BD599" i="2"/>
  <c r="BD600" i="2"/>
  <c r="BD601" i="2"/>
  <c r="BD602" i="2"/>
  <c r="BD603" i="2"/>
  <c r="BD604" i="2"/>
  <c r="BD605" i="2"/>
  <c r="BD606" i="2"/>
  <c r="BD607" i="2"/>
  <c r="BD608" i="2"/>
  <c r="BD609" i="2"/>
  <c r="BD610" i="2"/>
  <c r="BD611" i="2"/>
  <c r="BD612" i="2"/>
  <c r="BD613" i="2"/>
  <c r="BD614" i="2"/>
  <c r="BD615" i="2"/>
  <c r="BD616" i="2"/>
  <c r="BD617" i="2"/>
  <c r="BD618" i="2"/>
  <c r="BD619" i="2"/>
  <c r="BD620" i="2"/>
  <c r="BD621" i="2"/>
  <c r="BD622" i="2"/>
  <c r="BD623" i="2"/>
  <c r="BD624" i="2"/>
  <c r="BD625" i="2"/>
  <c r="BD626" i="2"/>
  <c r="BD627" i="2"/>
  <c r="BD628" i="2"/>
  <c r="BD629" i="2"/>
  <c r="BD630" i="2"/>
  <c r="BD631" i="2"/>
  <c r="BD632" i="2"/>
  <c r="BD633" i="2"/>
  <c r="BD634" i="2"/>
  <c r="BD635" i="2"/>
  <c r="BD636" i="2"/>
  <c r="BD637" i="2"/>
  <c r="BD638" i="2"/>
  <c r="BD639" i="2"/>
  <c r="BD640" i="2"/>
  <c r="BD641" i="2"/>
  <c r="BD642" i="2"/>
  <c r="BD643" i="2"/>
  <c r="BD644" i="2"/>
  <c r="BD645" i="2"/>
  <c r="BD646" i="2"/>
  <c r="BD647" i="2"/>
  <c r="BD648" i="2"/>
  <c r="BD649" i="2"/>
  <c r="BD650" i="2"/>
  <c r="BD651" i="2"/>
  <c r="BD652" i="2"/>
  <c r="BD653" i="2"/>
  <c r="BD654" i="2"/>
  <c r="BD655" i="2"/>
  <c r="BD656" i="2"/>
  <c r="BD657" i="2"/>
  <c r="BD658" i="2"/>
  <c r="BD659" i="2"/>
  <c r="BD660" i="2"/>
  <c r="BD661" i="2"/>
  <c r="BD662" i="2"/>
  <c r="BD663" i="2"/>
  <c r="BD664" i="2"/>
  <c r="BD665" i="2"/>
  <c r="BD666" i="2"/>
  <c r="BD667" i="2"/>
  <c r="BD668" i="2"/>
  <c r="BD669" i="2"/>
  <c r="BD670" i="2"/>
  <c r="BD671" i="2"/>
  <c r="BD672" i="2"/>
  <c r="BD673" i="2"/>
  <c r="BD674" i="2"/>
  <c r="BD675" i="2"/>
  <c r="BD676" i="2"/>
  <c r="BD677" i="2"/>
  <c r="BD678" i="2"/>
  <c r="BD679" i="2"/>
  <c r="BD680" i="2"/>
  <c r="BD681" i="2"/>
  <c r="BD682" i="2"/>
  <c r="BD683" i="2"/>
  <c r="BD684" i="2"/>
  <c r="BD685" i="2"/>
  <c r="BD686" i="2"/>
  <c r="BD687" i="2"/>
  <c r="BD688" i="2"/>
  <c r="BD689" i="2"/>
  <c r="BD690" i="2"/>
  <c r="BD691" i="2"/>
  <c r="BD692" i="2"/>
  <c r="BD693" i="2"/>
  <c r="BD694" i="2"/>
  <c r="BD695" i="2"/>
  <c r="BD696" i="2"/>
  <c r="BD697" i="2"/>
  <c r="BD698" i="2"/>
  <c r="BD699" i="2"/>
  <c r="BD700" i="2"/>
  <c r="BD701" i="2"/>
  <c r="BD702" i="2"/>
  <c r="BD703" i="2"/>
  <c r="BD704" i="2"/>
  <c r="BD705" i="2"/>
  <c r="BD706" i="2"/>
  <c r="BD707" i="2"/>
  <c r="BD708" i="2"/>
  <c r="BD709" i="2"/>
  <c r="BD710" i="2"/>
  <c r="BD711" i="2"/>
  <c r="BD712" i="2"/>
  <c r="BD713" i="2"/>
  <c r="BD714" i="2"/>
  <c r="BD715" i="2"/>
  <c r="BD716" i="2"/>
  <c r="BD717" i="2"/>
  <c r="BD718" i="2"/>
  <c r="BD719" i="2"/>
  <c r="BD720" i="2"/>
  <c r="BD721" i="2"/>
  <c r="BD722" i="2"/>
  <c r="BD723" i="2"/>
  <c r="BD724" i="2"/>
  <c r="BD725" i="2"/>
  <c r="BD726" i="2"/>
  <c r="BD727" i="2"/>
  <c r="BD728" i="2"/>
  <c r="BD729" i="2"/>
  <c r="BD730" i="2"/>
  <c r="BD731" i="2"/>
  <c r="BD732" i="2"/>
  <c r="BD733" i="2"/>
  <c r="BD734" i="2"/>
  <c r="BD735" i="2"/>
  <c r="BD736" i="2"/>
  <c r="BD737" i="2"/>
  <c r="BD738" i="2"/>
  <c r="BD739" i="2"/>
  <c r="BD740" i="2"/>
  <c r="BD741" i="2"/>
  <c r="BD742" i="2"/>
  <c r="BD743" i="2"/>
  <c r="BD744" i="2"/>
  <c r="BD745" i="2"/>
  <c r="BD746" i="2"/>
  <c r="BD747" i="2"/>
  <c r="BD748" i="2"/>
  <c r="BD749" i="2"/>
  <c r="BD750" i="2"/>
  <c r="BD751" i="2"/>
  <c r="BD752" i="2"/>
  <c r="BD753" i="2"/>
  <c r="BD754" i="2"/>
  <c r="BD755" i="2"/>
  <c r="BD756" i="2"/>
  <c r="BD757" i="2"/>
  <c r="BD758" i="2"/>
  <c r="BD759" i="2"/>
  <c r="BD760" i="2"/>
  <c r="BD761" i="2"/>
  <c r="BD762" i="2"/>
  <c r="BD763" i="2"/>
  <c r="BD764" i="2"/>
  <c r="BD765" i="2"/>
  <c r="BD766" i="2"/>
  <c r="BD767" i="2"/>
  <c r="BD768" i="2"/>
  <c r="BD769" i="2"/>
  <c r="BD770" i="2"/>
  <c r="BD771" i="2"/>
  <c r="BD772" i="2"/>
  <c r="BD773" i="2"/>
  <c r="BD774" i="2"/>
  <c r="BD775" i="2"/>
  <c r="BD776" i="2"/>
  <c r="BD777" i="2"/>
  <c r="BD778" i="2"/>
  <c r="BD779" i="2"/>
  <c r="BD780" i="2"/>
  <c r="BD781" i="2"/>
  <c r="BD782" i="2"/>
  <c r="BD783" i="2"/>
  <c r="BD784" i="2"/>
  <c r="BD785" i="2"/>
  <c r="BD786" i="2"/>
  <c r="BD787" i="2"/>
  <c r="BD788" i="2"/>
  <c r="BD789" i="2"/>
  <c r="BD790" i="2"/>
  <c r="BD791" i="2"/>
  <c r="BD792" i="2"/>
  <c r="BD793" i="2"/>
  <c r="BD794" i="2"/>
  <c r="BD795" i="2"/>
  <c r="BD796" i="2"/>
  <c r="BD797" i="2"/>
  <c r="BD798" i="2"/>
  <c r="BD799" i="2"/>
  <c r="BD800" i="2"/>
  <c r="BD801" i="2"/>
  <c r="BD802" i="2"/>
  <c r="BD803" i="2"/>
  <c r="BD804" i="2"/>
  <c r="BD805" i="2"/>
  <c r="BD806" i="2"/>
  <c r="BD807" i="2"/>
  <c r="BD808" i="2"/>
  <c r="BD809" i="2"/>
  <c r="BD810" i="2"/>
  <c r="BD811" i="2"/>
  <c r="BD812" i="2"/>
  <c r="BD813" i="2"/>
  <c r="BD814" i="2"/>
  <c r="BD815" i="2"/>
  <c r="BD816" i="2"/>
  <c r="BD817" i="2"/>
  <c r="BD818" i="2"/>
  <c r="BD819" i="2"/>
  <c r="BD820" i="2"/>
  <c r="BD821" i="2"/>
  <c r="BD822" i="2"/>
  <c r="BD823" i="2"/>
  <c r="BD824" i="2"/>
  <c r="BD825" i="2"/>
  <c r="BD826" i="2"/>
  <c r="BD827" i="2"/>
  <c r="BD828" i="2"/>
  <c r="BD829" i="2"/>
  <c r="BD830" i="2"/>
  <c r="BD831" i="2"/>
  <c r="BD832" i="2"/>
  <c r="BD833" i="2"/>
  <c r="BD834" i="2"/>
  <c r="BD835" i="2"/>
  <c r="BD836" i="2"/>
  <c r="BD837" i="2"/>
  <c r="BD838" i="2"/>
  <c r="BD839" i="2"/>
  <c r="BD840" i="2"/>
  <c r="BD841" i="2"/>
  <c r="BD842" i="2"/>
  <c r="BD843" i="2"/>
  <c r="BD844" i="2"/>
  <c r="BD845" i="2"/>
  <c r="BD846" i="2"/>
  <c r="BD847" i="2"/>
  <c r="BD848" i="2"/>
  <c r="BD849" i="2"/>
  <c r="BD850" i="2"/>
  <c r="BD851" i="2"/>
  <c r="BD852" i="2"/>
  <c r="BD853" i="2"/>
  <c r="BD854" i="2"/>
  <c r="BD855" i="2"/>
  <c r="BD856" i="2"/>
  <c r="BD857" i="2"/>
  <c r="BD858" i="2"/>
  <c r="BD859" i="2"/>
  <c r="BD860" i="2"/>
  <c r="BD861" i="2"/>
  <c r="BD862" i="2"/>
  <c r="BD863" i="2"/>
  <c r="BD864" i="2"/>
  <c r="BD865" i="2"/>
  <c r="BD866" i="2"/>
  <c r="BD867" i="2"/>
  <c r="BD868" i="2"/>
  <c r="BD869" i="2"/>
  <c r="BD870" i="2"/>
  <c r="BD871" i="2"/>
  <c r="BD872" i="2"/>
  <c r="BD873" i="2"/>
  <c r="BD874" i="2"/>
  <c r="BD875" i="2"/>
  <c r="BD876" i="2"/>
  <c r="BD877" i="2"/>
  <c r="BD878" i="2"/>
  <c r="BD879" i="2"/>
  <c r="BD880" i="2"/>
  <c r="BD881" i="2"/>
  <c r="BD882" i="2"/>
  <c r="BD883" i="2"/>
  <c r="BD884" i="2"/>
  <c r="BD885" i="2"/>
  <c r="BD886" i="2"/>
  <c r="BD887" i="2"/>
  <c r="BD888" i="2"/>
  <c r="BD889" i="2"/>
  <c r="BD890" i="2"/>
  <c r="BD891" i="2"/>
  <c r="BD892" i="2"/>
  <c r="BD893" i="2"/>
  <c r="BD894" i="2"/>
  <c r="BD895" i="2"/>
  <c r="BD896" i="2"/>
  <c r="BD897" i="2"/>
  <c r="BD898" i="2"/>
  <c r="BD899" i="2"/>
  <c r="BD900" i="2"/>
  <c r="BD901" i="2"/>
  <c r="BD902" i="2"/>
  <c r="BD903" i="2"/>
  <c r="BD904" i="2"/>
  <c r="BD905" i="2"/>
  <c r="BD906" i="2"/>
  <c r="BD907" i="2"/>
  <c r="BD908" i="2"/>
  <c r="BD909" i="2"/>
  <c r="BD910" i="2"/>
  <c r="BD911" i="2"/>
  <c r="BD912" i="2"/>
  <c r="BD913" i="2"/>
  <c r="BD914" i="2"/>
  <c r="BD915" i="2"/>
  <c r="BD916" i="2"/>
  <c r="BD917" i="2"/>
  <c r="BD918" i="2"/>
  <c r="BD919" i="2"/>
  <c r="BD920" i="2"/>
  <c r="BD921" i="2"/>
  <c r="BD922" i="2"/>
  <c r="BD923" i="2"/>
  <c r="BD924" i="2"/>
  <c r="BD925" i="2"/>
  <c r="BD926" i="2"/>
  <c r="BD927" i="2"/>
  <c r="BD928" i="2"/>
  <c r="BD929" i="2"/>
  <c r="BD930" i="2"/>
  <c r="BD931" i="2"/>
  <c r="BD932" i="2"/>
  <c r="BD933" i="2"/>
  <c r="BD934" i="2"/>
  <c r="BD935" i="2"/>
  <c r="BD936" i="2"/>
  <c r="BD937" i="2"/>
  <c r="BD938" i="2"/>
  <c r="BD939" i="2"/>
  <c r="BD940" i="2"/>
  <c r="BD941" i="2"/>
  <c r="BD942" i="2"/>
  <c r="BD943" i="2"/>
  <c r="BD944" i="2"/>
  <c r="BD945" i="2"/>
  <c r="BD946" i="2"/>
  <c r="BD947" i="2"/>
  <c r="BD948" i="2"/>
  <c r="BD949" i="2"/>
  <c r="BD950" i="2"/>
  <c r="BD951" i="2"/>
  <c r="BD952" i="2"/>
  <c r="BD953" i="2"/>
  <c r="BD954" i="2"/>
  <c r="BD955" i="2"/>
  <c r="BD956" i="2"/>
  <c r="BD957" i="2"/>
  <c r="BD958" i="2"/>
  <c r="BD959" i="2"/>
  <c r="BD960" i="2"/>
  <c r="BD961" i="2"/>
  <c r="BD962" i="2"/>
  <c r="BD963" i="2"/>
  <c r="BD964" i="2"/>
  <c r="BD965" i="2"/>
  <c r="BD966" i="2"/>
  <c r="BD967" i="2"/>
  <c r="BD968" i="2"/>
  <c r="BD969" i="2"/>
  <c r="BD970" i="2"/>
  <c r="BD971" i="2"/>
  <c r="BD972" i="2"/>
  <c r="BD973" i="2"/>
  <c r="BD974" i="2"/>
  <c r="BD975" i="2"/>
  <c r="BD976" i="2"/>
  <c r="BD977" i="2"/>
  <c r="BD978" i="2"/>
  <c r="BD979" i="2"/>
  <c r="BD980" i="2"/>
  <c r="BD981" i="2"/>
  <c r="BD982" i="2"/>
  <c r="BD983" i="2"/>
  <c r="BD984" i="2"/>
  <c r="BD985" i="2"/>
  <c r="BD986" i="2"/>
  <c r="BD987" i="2"/>
  <c r="BD988" i="2"/>
  <c r="BD989" i="2"/>
  <c r="BD990" i="2"/>
  <c r="BD991" i="2"/>
  <c r="BD992" i="2"/>
  <c r="BD993" i="2"/>
  <c r="BD994" i="2"/>
  <c r="BD995" i="2"/>
  <c r="BD996" i="2"/>
  <c r="BD997" i="2"/>
  <c r="BD998" i="2"/>
  <c r="BD999" i="2"/>
  <c r="BD1000" i="2"/>
  <c r="BD1001" i="2"/>
  <c r="BD1002" i="2"/>
  <c r="BD1003" i="2"/>
  <c r="BD1004" i="2"/>
  <c r="BD1005" i="2"/>
  <c r="BD1006" i="2"/>
  <c r="BD1007" i="2"/>
  <c r="BD1008" i="2"/>
  <c r="BD1009" i="2"/>
  <c r="BD1010" i="2"/>
  <c r="BD1011" i="2"/>
  <c r="BD1012" i="2"/>
  <c r="BD1013" i="2"/>
  <c r="BD1014" i="2"/>
  <c r="BD1015" i="2"/>
  <c r="BD1016" i="2"/>
  <c r="BD1017" i="2"/>
  <c r="BD1018" i="2"/>
  <c r="BD1019" i="2"/>
  <c r="BD1020" i="2"/>
  <c r="BD1021" i="2"/>
  <c r="BD1022" i="2"/>
  <c r="BD1023" i="2"/>
  <c r="BD1024" i="2"/>
  <c r="BD1025" i="2"/>
  <c r="BD1026" i="2"/>
  <c r="BD1027" i="2"/>
  <c r="BD1028" i="2"/>
  <c r="BD1029" i="2"/>
  <c r="BD1030" i="2"/>
  <c r="BD1031" i="2"/>
  <c r="BD1032" i="2"/>
  <c r="BD1033" i="2"/>
  <c r="BD1034" i="2"/>
  <c r="BD1035" i="2"/>
  <c r="BD1036" i="2"/>
  <c r="BD1037" i="2"/>
  <c r="BD1038" i="2"/>
  <c r="BD1039" i="2"/>
  <c r="BD1040" i="2"/>
  <c r="BD1041" i="2"/>
  <c r="BD1042" i="2"/>
  <c r="BD1043" i="2"/>
  <c r="BD1044" i="2"/>
  <c r="BD1045" i="2"/>
  <c r="BD1046" i="2"/>
  <c r="BD1047" i="2"/>
  <c r="BD1048" i="2"/>
  <c r="BD1049" i="2"/>
  <c r="BD1050" i="2"/>
  <c r="BD1051" i="2"/>
  <c r="BD1052" i="2"/>
  <c r="BD1053" i="2"/>
  <c r="BD1054" i="2"/>
  <c r="BD1055" i="2"/>
  <c r="BD1056" i="2"/>
  <c r="BD1057" i="2"/>
  <c r="BD1058" i="2"/>
  <c r="BD1059" i="2"/>
  <c r="BD1060" i="2"/>
  <c r="BD1061" i="2"/>
  <c r="BD1062" i="2"/>
  <c r="BD1063" i="2"/>
  <c r="BD1064" i="2"/>
  <c r="BD1065" i="2"/>
  <c r="BD1066" i="2"/>
  <c r="BD1067" i="2"/>
  <c r="BD1068" i="2"/>
  <c r="BD1069" i="2"/>
  <c r="BD1070" i="2"/>
  <c r="BD1071" i="2"/>
  <c r="BD1072" i="2"/>
  <c r="BD1073" i="2"/>
  <c r="BD1074" i="2"/>
  <c r="BD1075" i="2"/>
  <c r="BD1076" i="2"/>
  <c r="BD1077" i="2"/>
  <c r="BD1078" i="2"/>
  <c r="BD1079" i="2"/>
  <c r="BD1080" i="2"/>
  <c r="BD1081" i="2"/>
  <c r="BD1082" i="2"/>
  <c r="BD1083" i="2"/>
  <c r="BD1084" i="2"/>
  <c r="BD1085" i="2"/>
  <c r="BD1086" i="2"/>
  <c r="BD1087" i="2"/>
  <c r="BD1088" i="2"/>
  <c r="BD1089" i="2"/>
  <c r="BD1090" i="2"/>
  <c r="BD1091" i="2"/>
  <c r="BD1092" i="2"/>
  <c r="BD1093" i="2"/>
  <c r="BD1094" i="2"/>
  <c r="BD1095" i="2"/>
  <c r="BD1096" i="2"/>
  <c r="BD1097" i="2"/>
  <c r="BD1098" i="2"/>
  <c r="BD1099" i="2"/>
  <c r="BD1100" i="2"/>
  <c r="BD1101" i="2"/>
  <c r="BD1102" i="2"/>
  <c r="BD1103" i="2"/>
  <c r="BD1104" i="2"/>
  <c r="BD1105" i="2"/>
  <c r="BD1106" i="2"/>
  <c r="BD1107" i="2"/>
  <c r="BD1108" i="2"/>
  <c r="BD1109" i="2"/>
  <c r="BD1110" i="2"/>
  <c r="BD1111" i="2"/>
  <c r="BD1112" i="2"/>
  <c r="BD1113" i="2"/>
  <c r="BD1114" i="2"/>
  <c r="BD1115" i="2"/>
  <c r="BD1116" i="2"/>
  <c r="BD1117" i="2"/>
  <c r="BD1118" i="2"/>
  <c r="BD1119" i="2"/>
  <c r="BD1120" i="2"/>
  <c r="BD1121" i="2"/>
  <c r="BD1122" i="2"/>
  <c r="BD1123" i="2"/>
  <c r="BD1124" i="2"/>
  <c r="BD1125" i="2"/>
  <c r="BD1126" i="2"/>
  <c r="BD1127" i="2"/>
  <c r="BD1128" i="2"/>
  <c r="BD1129" i="2"/>
  <c r="BD1130" i="2"/>
  <c r="BD1131" i="2"/>
  <c r="BD1132" i="2"/>
  <c r="BD1133" i="2"/>
  <c r="BD1134" i="2"/>
  <c r="BD1135" i="2"/>
  <c r="BD1136" i="2"/>
  <c r="BD1137" i="2"/>
  <c r="BD1138" i="2"/>
  <c r="BD1139" i="2"/>
  <c r="BD1140" i="2"/>
  <c r="BD1141" i="2"/>
  <c r="BD1142" i="2"/>
  <c r="BD1143" i="2"/>
  <c r="BD1144" i="2"/>
  <c r="BD1145" i="2"/>
  <c r="BD1146" i="2"/>
  <c r="BD1147" i="2"/>
  <c r="BD1148" i="2"/>
  <c r="BD1149" i="2"/>
  <c r="BD1150" i="2"/>
  <c r="BD1151" i="2"/>
  <c r="BD1152" i="2"/>
  <c r="BD1153" i="2"/>
  <c r="BD1154" i="2"/>
  <c r="BD1155" i="2"/>
  <c r="BD1156" i="2"/>
  <c r="BD1157" i="2"/>
  <c r="BD1158" i="2"/>
  <c r="BD1159" i="2"/>
  <c r="BD1160" i="2"/>
  <c r="BD1161" i="2"/>
  <c r="BD1162" i="2"/>
  <c r="BD1163" i="2"/>
  <c r="BD1164" i="2"/>
  <c r="BD1165" i="2"/>
  <c r="BD1166" i="2"/>
  <c r="BD1167" i="2"/>
  <c r="BD1168" i="2"/>
  <c r="BD1169" i="2"/>
  <c r="BD1170" i="2"/>
  <c r="BD1171" i="2"/>
  <c r="BD1172" i="2"/>
  <c r="BD1173" i="2"/>
  <c r="BD1174" i="2"/>
  <c r="BD1175" i="2"/>
  <c r="BD1176" i="2"/>
  <c r="BD1177" i="2"/>
  <c r="BD1178" i="2"/>
  <c r="BD1179" i="2"/>
  <c r="BD1180" i="2"/>
  <c r="BD1181" i="2"/>
  <c r="BD1182" i="2"/>
  <c r="BD1183" i="2"/>
  <c r="BD1184" i="2"/>
  <c r="BD1185" i="2"/>
  <c r="BD1186" i="2"/>
  <c r="BD1187" i="2"/>
  <c r="BD1188" i="2"/>
  <c r="BD1189" i="2"/>
  <c r="BD1190" i="2"/>
  <c r="BD1191" i="2"/>
  <c r="BD1192" i="2"/>
  <c r="BD1193" i="2"/>
  <c r="BD1194" i="2"/>
  <c r="BD1195" i="2"/>
  <c r="BD1196" i="2"/>
  <c r="BD1197" i="2"/>
  <c r="BD1198" i="2"/>
  <c r="BD1199" i="2"/>
  <c r="BD1200" i="2"/>
  <c r="BD1201" i="2"/>
  <c r="BD1202" i="2"/>
  <c r="BD1203" i="2"/>
  <c r="BD1204" i="2"/>
  <c r="BD1205" i="2"/>
  <c r="BD1206" i="2"/>
  <c r="BD1207" i="2"/>
  <c r="BD1208" i="2"/>
  <c r="BD1209" i="2"/>
  <c r="BD1210" i="2"/>
  <c r="BD1211" i="2"/>
  <c r="BD1212" i="2"/>
  <c r="BD1213" i="2"/>
  <c r="BD1214" i="2"/>
  <c r="BD1215" i="2"/>
  <c r="BD1216" i="2"/>
  <c r="BD1217" i="2"/>
  <c r="BD1218" i="2"/>
  <c r="BD1219" i="2"/>
  <c r="BD1220" i="2"/>
  <c r="BD1221" i="2"/>
  <c r="BD1222" i="2"/>
  <c r="BD1223" i="2"/>
  <c r="BD1224" i="2"/>
  <c r="BD1225" i="2"/>
  <c r="BD1226" i="2"/>
  <c r="BD1227" i="2"/>
  <c r="BD1228" i="2"/>
  <c r="BD1229" i="2"/>
  <c r="BD1230" i="2"/>
  <c r="BD1231" i="2"/>
  <c r="BD1232" i="2"/>
  <c r="BD1233" i="2"/>
  <c r="BD1234" i="2"/>
  <c r="BD1235" i="2"/>
  <c r="BD1236" i="2"/>
  <c r="BD1237" i="2"/>
  <c r="BD1238" i="2"/>
  <c r="BD1239" i="2"/>
  <c r="BD1240" i="2"/>
  <c r="BD1241" i="2"/>
  <c r="BD1242" i="2"/>
  <c r="BD1243" i="2"/>
  <c r="BD1244" i="2"/>
  <c r="BD1245" i="2"/>
  <c r="BD1246" i="2"/>
  <c r="BD1247" i="2"/>
  <c r="BD1248" i="2"/>
  <c r="BD1249" i="2"/>
  <c r="BD1250" i="2"/>
  <c r="BD1251" i="2"/>
  <c r="BD1252" i="2"/>
  <c r="BD1253" i="2"/>
  <c r="BD1254" i="2"/>
  <c r="BD1255" i="2"/>
  <c r="BD1256" i="2"/>
  <c r="BD1257" i="2"/>
  <c r="BD1258" i="2"/>
  <c r="BD1259" i="2"/>
  <c r="BD1260" i="2"/>
  <c r="BD1261" i="2"/>
  <c r="BD1262" i="2"/>
  <c r="BD1263" i="2"/>
  <c r="BD1264" i="2"/>
  <c r="BD1265" i="2"/>
  <c r="BD1266" i="2"/>
  <c r="BD1267" i="2"/>
  <c r="BD1268" i="2"/>
  <c r="BD1269" i="2"/>
  <c r="BD1270" i="2"/>
  <c r="BD1271" i="2"/>
  <c r="BD1272" i="2"/>
  <c r="BD1273" i="2"/>
  <c r="BD1274" i="2"/>
  <c r="BD1275" i="2"/>
  <c r="BD1276" i="2"/>
  <c r="BD1277" i="2"/>
  <c r="BD1278" i="2"/>
  <c r="BD1279" i="2"/>
  <c r="BD1280" i="2"/>
  <c r="BD1281" i="2"/>
  <c r="BD1282" i="2"/>
  <c r="BD1283" i="2"/>
  <c r="BD1284" i="2"/>
  <c r="BD1285" i="2"/>
  <c r="BD1286" i="2"/>
  <c r="BD1287" i="2"/>
  <c r="BD1288" i="2"/>
  <c r="BD1289" i="2"/>
  <c r="BD1290" i="2"/>
  <c r="BD1291" i="2"/>
  <c r="BD1292" i="2"/>
  <c r="BD1293" i="2"/>
  <c r="BD1294" i="2"/>
  <c r="BD1295" i="2"/>
  <c r="BD1296" i="2"/>
  <c r="BD1297" i="2"/>
  <c r="BD1298" i="2"/>
  <c r="BD1299" i="2"/>
  <c r="BD1300" i="2"/>
  <c r="BD1301" i="2"/>
  <c r="BD1302" i="2"/>
  <c r="BD1303" i="2"/>
  <c r="BD1304" i="2"/>
  <c r="BD1305" i="2"/>
  <c r="BD1306" i="2"/>
  <c r="BD1307" i="2"/>
  <c r="BD1308" i="2"/>
  <c r="BD1309" i="2"/>
  <c r="BD1310" i="2"/>
  <c r="BD1311" i="2"/>
  <c r="BD1312" i="2"/>
  <c r="BD1313" i="2"/>
  <c r="BD1314" i="2"/>
  <c r="BD1315" i="2"/>
  <c r="BD1316" i="2"/>
  <c r="BD1317" i="2"/>
  <c r="BD1318" i="2"/>
  <c r="BD1319" i="2"/>
  <c r="BD1320" i="2"/>
  <c r="BD1321" i="2"/>
  <c r="BD1322" i="2"/>
  <c r="BD1323" i="2"/>
  <c r="BD1324" i="2"/>
  <c r="BD1325" i="2"/>
  <c r="BD1326" i="2"/>
  <c r="BD1327" i="2"/>
  <c r="BD1328" i="2"/>
  <c r="BD1329" i="2"/>
  <c r="BD1330" i="2"/>
  <c r="BD1331" i="2"/>
  <c r="BD1332" i="2"/>
  <c r="BD1333" i="2"/>
  <c r="BD1334" i="2"/>
  <c r="BD1335" i="2"/>
  <c r="BD1336" i="2"/>
  <c r="BD1337" i="2"/>
  <c r="BD1338" i="2"/>
  <c r="BD1339" i="2"/>
  <c r="BD1340" i="2"/>
  <c r="BD1341" i="2"/>
  <c r="BD1342" i="2"/>
  <c r="BD1343" i="2"/>
  <c r="BD1344" i="2"/>
  <c r="BD1345" i="2"/>
  <c r="BD1346" i="2"/>
  <c r="BD1347" i="2"/>
  <c r="BD1348" i="2"/>
  <c r="BD1349" i="2"/>
  <c r="BD1350" i="2"/>
  <c r="BD1351" i="2"/>
  <c r="BD1352" i="2"/>
  <c r="BD1353" i="2"/>
  <c r="BD1354" i="2"/>
  <c r="BD1355" i="2"/>
  <c r="BD1356" i="2"/>
  <c r="BD1357" i="2"/>
  <c r="BD1358" i="2"/>
  <c r="BD1359" i="2"/>
  <c r="BD1360" i="2"/>
  <c r="BD1361" i="2"/>
  <c r="BD1362" i="2"/>
  <c r="BD1363" i="2"/>
  <c r="BD1364" i="2"/>
  <c r="BD1365" i="2"/>
  <c r="BD1366" i="2"/>
  <c r="BD1367" i="2"/>
  <c r="BD1368" i="2"/>
  <c r="BD1369" i="2"/>
  <c r="BD1370" i="2"/>
  <c r="BD1371" i="2"/>
  <c r="BD1372" i="2"/>
  <c r="BD1373" i="2"/>
  <c r="BD1374" i="2"/>
  <c r="BD1375" i="2"/>
  <c r="BD1376" i="2"/>
  <c r="BD1377" i="2"/>
  <c r="BD1378" i="2"/>
  <c r="BD1379" i="2"/>
  <c r="BD1380" i="2"/>
  <c r="BD1381" i="2"/>
  <c r="BD1382" i="2"/>
  <c r="BD1383" i="2"/>
  <c r="BD1384" i="2"/>
  <c r="BD1385" i="2"/>
  <c r="BD1386" i="2"/>
  <c r="BD1387" i="2"/>
  <c r="BD1388" i="2"/>
  <c r="BD1389" i="2"/>
  <c r="BD1390" i="2"/>
  <c r="BD1391" i="2"/>
  <c r="BD1392" i="2"/>
  <c r="BD1393" i="2"/>
  <c r="BD1394" i="2"/>
  <c r="BD1395" i="2"/>
  <c r="BD1396" i="2"/>
  <c r="BD1397" i="2"/>
  <c r="BD1398" i="2"/>
  <c r="BD1399" i="2"/>
  <c r="BD1400" i="2"/>
  <c r="BD1401" i="2"/>
  <c r="BD1402" i="2"/>
  <c r="BD1403" i="2"/>
  <c r="BD1404" i="2"/>
  <c r="BD1405" i="2"/>
  <c r="BD1406" i="2"/>
  <c r="BD1407" i="2"/>
  <c r="BD1408" i="2"/>
  <c r="BD1409" i="2"/>
  <c r="BD1410" i="2"/>
  <c r="BD1411" i="2"/>
  <c r="BD1412" i="2"/>
  <c r="BD1413" i="2"/>
  <c r="BD1414" i="2"/>
  <c r="BD1415" i="2"/>
  <c r="BD1416" i="2"/>
  <c r="BD1417" i="2"/>
  <c r="BD1418" i="2"/>
  <c r="BD1419" i="2"/>
  <c r="BD1420" i="2"/>
  <c r="BD1421" i="2"/>
  <c r="BD1422" i="2"/>
  <c r="BD1423" i="2"/>
  <c r="BD1424" i="2"/>
  <c r="BD1425" i="2"/>
  <c r="BD1426" i="2"/>
  <c r="BD1427" i="2"/>
  <c r="BD1428" i="2"/>
  <c r="BD1429" i="2"/>
  <c r="BD1430" i="2"/>
  <c r="BD1431" i="2"/>
  <c r="BD1432" i="2"/>
  <c r="BD1433" i="2"/>
  <c r="BD1434" i="2"/>
  <c r="BD1435" i="2"/>
  <c r="BD1436" i="2"/>
  <c r="BD1437" i="2"/>
  <c r="BD1438" i="2"/>
  <c r="BD1439" i="2"/>
  <c r="BD1440" i="2"/>
  <c r="BD1441" i="2"/>
  <c r="BD1442" i="2"/>
  <c r="BD1443" i="2"/>
  <c r="BD1444" i="2"/>
  <c r="BD1445" i="2"/>
  <c r="BD1446" i="2"/>
  <c r="BD1447" i="2"/>
  <c r="BD1448" i="2"/>
  <c r="BD1449" i="2"/>
  <c r="BD1450" i="2"/>
  <c r="BD1451" i="2"/>
  <c r="BD1452" i="2"/>
  <c r="BD1453" i="2"/>
  <c r="BD1454" i="2"/>
  <c r="BD1455" i="2"/>
  <c r="BD1456" i="2"/>
  <c r="BD1457" i="2"/>
  <c r="BD1458" i="2"/>
  <c r="BD1459" i="2"/>
  <c r="BD1460" i="2"/>
  <c r="BD1461" i="2"/>
  <c r="BD1462" i="2"/>
  <c r="BD1463" i="2"/>
  <c r="BD1464" i="2"/>
  <c r="BD1465" i="2"/>
  <c r="BD1466" i="2"/>
  <c r="BD1467" i="2"/>
  <c r="BD1468" i="2"/>
  <c r="BD1469" i="2"/>
  <c r="BD1470" i="2"/>
  <c r="BD1471" i="2"/>
  <c r="BD1472" i="2"/>
  <c r="BD1473" i="2"/>
  <c r="BD1474" i="2"/>
  <c r="BD1475" i="2"/>
  <c r="BD1476" i="2"/>
  <c r="BD1477" i="2"/>
  <c r="BD1478" i="2"/>
  <c r="BD1479" i="2"/>
  <c r="BD1480" i="2"/>
  <c r="BD1481" i="2"/>
  <c r="BD1482" i="2"/>
  <c r="BD1483" i="2"/>
  <c r="BD1484" i="2"/>
  <c r="BD1485" i="2"/>
  <c r="BD1486" i="2"/>
  <c r="BD1487" i="2"/>
  <c r="BD1488" i="2"/>
  <c r="BD1489" i="2"/>
  <c r="BD1490" i="2"/>
  <c r="BD1491" i="2"/>
  <c r="BD1492" i="2"/>
  <c r="BD1493" i="2"/>
  <c r="BD1494" i="2"/>
  <c r="BD1495" i="2"/>
  <c r="BD1496" i="2"/>
  <c r="BD1497" i="2"/>
  <c r="BD1498" i="2"/>
  <c r="BD1499" i="2"/>
  <c r="BD1500" i="2"/>
  <c r="BD1501" i="2"/>
  <c r="BD1502" i="2"/>
  <c r="BD1503" i="2"/>
  <c r="BD1504" i="2"/>
  <c r="BD1505" i="2"/>
  <c r="BD1506" i="2"/>
  <c r="BD1507" i="2"/>
  <c r="BD1508" i="2"/>
  <c r="BD1509" i="2"/>
  <c r="BD1510" i="2"/>
  <c r="BD1511" i="2"/>
  <c r="BD1512" i="2"/>
  <c r="BD1513" i="2"/>
  <c r="BD1514" i="2"/>
  <c r="BD1515" i="2"/>
  <c r="BD1516" i="2"/>
  <c r="BD1517" i="2"/>
  <c r="BD1518" i="2"/>
  <c r="BD1519" i="2"/>
  <c r="BD1520" i="2"/>
  <c r="BD1521" i="2"/>
  <c r="BD1522" i="2"/>
  <c r="BD1523" i="2"/>
  <c r="BD1524" i="2"/>
  <c r="BD1525" i="2"/>
  <c r="BD1526" i="2"/>
  <c r="BD1527" i="2"/>
  <c r="BD1528" i="2"/>
  <c r="BD1529" i="2"/>
  <c r="BD1530" i="2"/>
  <c r="BD1531" i="2"/>
  <c r="BD1532" i="2"/>
  <c r="BD1533" i="2"/>
  <c r="BD1534" i="2"/>
  <c r="BD1535" i="2"/>
  <c r="BD1536" i="2"/>
  <c r="BD1537" i="2"/>
  <c r="BD1538" i="2"/>
  <c r="BD1539" i="2"/>
  <c r="BD1540" i="2"/>
  <c r="BD1541" i="2"/>
  <c r="BD1542" i="2"/>
  <c r="BD1543" i="2"/>
  <c r="BD1544" i="2"/>
  <c r="BD1545" i="2"/>
  <c r="BD1546" i="2"/>
  <c r="BD1547" i="2"/>
  <c r="BD1548" i="2"/>
  <c r="BD1549" i="2"/>
  <c r="BD1550" i="2"/>
  <c r="BD1551" i="2"/>
  <c r="BD1552" i="2"/>
  <c r="BD1553" i="2"/>
  <c r="BD1554" i="2"/>
  <c r="BD1555" i="2"/>
  <c r="BD1556" i="2"/>
  <c r="BD1557" i="2"/>
  <c r="BD1558" i="2"/>
  <c r="BD1559" i="2"/>
  <c r="BD1560" i="2"/>
  <c r="BD1561" i="2"/>
  <c r="BD1562" i="2"/>
  <c r="BD1563" i="2"/>
  <c r="BD1564" i="2"/>
  <c r="BD1565" i="2"/>
  <c r="BD1566" i="2"/>
  <c r="BD1567" i="2"/>
  <c r="BD1568" i="2"/>
  <c r="BD1569" i="2"/>
  <c r="BD1570" i="2"/>
  <c r="BD1571" i="2"/>
  <c r="BD1572" i="2"/>
  <c r="BD1573" i="2"/>
  <c r="BD1574" i="2"/>
  <c r="BD1575" i="2"/>
  <c r="BD1576" i="2"/>
  <c r="BD1577" i="2"/>
  <c r="BD1578" i="2"/>
  <c r="BD1579" i="2"/>
  <c r="BD1580" i="2"/>
  <c r="BD1581" i="2"/>
  <c r="BD1582" i="2"/>
  <c r="BD1583" i="2"/>
  <c r="BD1584" i="2"/>
  <c r="BD1585" i="2"/>
  <c r="BD1586" i="2"/>
  <c r="BD1587" i="2"/>
  <c r="BD1588" i="2"/>
  <c r="BD1589" i="2"/>
  <c r="BD1590" i="2"/>
  <c r="BD1591" i="2"/>
  <c r="BD1592" i="2"/>
  <c r="BD1593" i="2"/>
  <c r="BD1594" i="2"/>
  <c r="BD1595" i="2"/>
  <c r="BD1596" i="2"/>
  <c r="BD1597" i="2"/>
  <c r="BD1598" i="2"/>
  <c r="BD1599" i="2"/>
  <c r="BD1600" i="2"/>
  <c r="BD1601" i="2"/>
  <c r="BD1602" i="2"/>
  <c r="BD1603" i="2"/>
  <c r="BD1604" i="2"/>
  <c r="BD1605" i="2"/>
  <c r="BD1606" i="2"/>
  <c r="BD1607" i="2"/>
  <c r="BD1608" i="2"/>
  <c r="BD1609" i="2"/>
  <c r="BD1610" i="2"/>
  <c r="BD1611" i="2"/>
  <c r="BD1612" i="2"/>
  <c r="BD1613" i="2"/>
  <c r="BD1614" i="2"/>
  <c r="BD1615" i="2"/>
  <c r="BD1616" i="2"/>
  <c r="BD1617" i="2"/>
  <c r="BD1618" i="2"/>
  <c r="BD1619" i="2"/>
  <c r="BD1620" i="2"/>
  <c r="BD1621" i="2"/>
  <c r="BD1622" i="2"/>
  <c r="BD1623" i="2"/>
  <c r="BD1624" i="2"/>
  <c r="BD1625" i="2"/>
  <c r="BD1626" i="2"/>
  <c r="BD1627" i="2"/>
  <c r="BD1628" i="2"/>
  <c r="BD1629" i="2"/>
  <c r="BD1630" i="2"/>
  <c r="BD1631" i="2"/>
  <c r="BD1632" i="2"/>
  <c r="BD1633" i="2"/>
  <c r="BD1634" i="2"/>
  <c r="BD1635" i="2"/>
  <c r="BD1636" i="2"/>
  <c r="BD1637" i="2"/>
  <c r="BD1638" i="2"/>
  <c r="BD1639" i="2"/>
  <c r="BD1640" i="2"/>
  <c r="BD1641" i="2"/>
  <c r="BD1642" i="2"/>
  <c r="BD1643" i="2"/>
  <c r="BD1644" i="2"/>
  <c r="BD1645" i="2"/>
  <c r="BD1646" i="2"/>
  <c r="BD1647" i="2"/>
  <c r="BD1648" i="2"/>
  <c r="BD1649" i="2"/>
  <c r="BD1650" i="2"/>
  <c r="BD1651" i="2"/>
  <c r="BD1652" i="2"/>
  <c r="BD1653" i="2"/>
  <c r="BD1654" i="2"/>
  <c r="BD1655" i="2"/>
  <c r="BD1656" i="2"/>
  <c r="BD1657" i="2"/>
  <c r="BD1658" i="2"/>
  <c r="BD1659" i="2"/>
  <c r="BD1660" i="2"/>
  <c r="BD1661" i="2"/>
  <c r="BD1662" i="2"/>
  <c r="BD1663" i="2"/>
  <c r="BD1664" i="2"/>
  <c r="BD1665" i="2"/>
  <c r="BD1666" i="2"/>
  <c r="BD1667" i="2"/>
  <c r="BD1668" i="2"/>
  <c r="BD1669" i="2"/>
  <c r="BD1670" i="2"/>
  <c r="BD1671" i="2"/>
  <c r="BD1672" i="2"/>
  <c r="BD1673" i="2"/>
  <c r="BD1674" i="2"/>
  <c r="BD1675" i="2"/>
  <c r="BD1676" i="2"/>
  <c r="BD1677" i="2"/>
  <c r="BD1678" i="2"/>
  <c r="BD1679" i="2"/>
  <c r="BD1680" i="2"/>
  <c r="BD1681" i="2"/>
  <c r="BD1682" i="2"/>
  <c r="BD1683" i="2"/>
  <c r="BD1684" i="2"/>
  <c r="BD1685" i="2"/>
  <c r="BD1686" i="2"/>
  <c r="BD1687" i="2"/>
  <c r="BD1688" i="2"/>
  <c r="BD1689" i="2"/>
  <c r="BD1690" i="2"/>
  <c r="BD1691" i="2"/>
  <c r="BD1692" i="2"/>
  <c r="BD1693" i="2"/>
  <c r="BD1694" i="2"/>
  <c r="BD1695" i="2"/>
  <c r="BD1696" i="2"/>
  <c r="BD1697" i="2"/>
  <c r="BD1698" i="2"/>
  <c r="BD1699" i="2"/>
  <c r="BD1700" i="2"/>
  <c r="BD1701" i="2"/>
  <c r="BD1702" i="2"/>
  <c r="BD1703" i="2"/>
  <c r="BD1704" i="2"/>
  <c r="BD1705" i="2"/>
  <c r="BD1706" i="2"/>
  <c r="BD1707" i="2"/>
  <c r="BD1708" i="2"/>
  <c r="BD1709" i="2"/>
  <c r="BD1710" i="2"/>
  <c r="BD1711" i="2"/>
  <c r="BD1712" i="2"/>
  <c r="BD1713" i="2"/>
  <c r="BD1714" i="2"/>
  <c r="BD1715" i="2"/>
  <c r="BD1716" i="2"/>
  <c r="BD1717" i="2"/>
  <c r="BD1718" i="2"/>
  <c r="BD1719" i="2"/>
  <c r="BD1720" i="2"/>
  <c r="BD1721" i="2"/>
  <c r="BD1722" i="2"/>
  <c r="BD1723" i="2"/>
  <c r="BD1724" i="2"/>
  <c r="BD1725" i="2"/>
  <c r="BD1726" i="2"/>
  <c r="BD1727" i="2"/>
  <c r="BD1728" i="2"/>
  <c r="BD1729" i="2"/>
  <c r="BD1730" i="2"/>
  <c r="BD1731" i="2"/>
  <c r="BD1732" i="2"/>
  <c r="BD1733" i="2"/>
  <c r="BD1734" i="2"/>
  <c r="BD1735" i="2"/>
  <c r="BD1736" i="2"/>
  <c r="BD1737" i="2"/>
  <c r="BD1738" i="2"/>
  <c r="BD1739" i="2"/>
  <c r="BD1740" i="2"/>
  <c r="BD1741" i="2"/>
  <c r="BD1742" i="2"/>
  <c r="BD1743" i="2"/>
  <c r="BD1744" i="2"/>
  <c r="BD1745" i="2"/>
  <c r="BD1746" i="2"/>
  <c r="BD1747" i="2"/>
  <c r="BD1748" i="2"/>
  <c r="BD1749" i="2"/>
  <c r="BD1750" i="2"/>
  <c r="BD1751" i="2"/>
  <c r="BD1752" i="2"/>
  <c r="BD1753" i="2"/>
  <c r="BD1754" i="2"/>
  <c r="BD1755" i="2"/>
  <c r="BD1756" i="2"/>
  <c r="BD1757" i="2"/>
  <c r="BD1758" i="2"/>
  <c r="BD1759" i="2"/>
  <c r="BD1760" i="2"/>
  <c r="BD1761" i="2"/>
  <c r="BD1762" i="2"/>
  <c r="BD1763" i="2"/>
  <c r="BD1764" i="2"/>
  <c r="BD1765" i="2"/>
  <c r="BD1766" i="2"/>
  <c r="BD1767" i="2"/>
  <c r="BD1768" i="2"/>
  <c r="BD1769" i="2"/>
  <c r="BD1770" i="2"/>
  <c r="BD1771" i="2"/>
  <c r="BD1772" i="2"/>
  <c r="BD1773" i="2"/>
  <c r="BD1774" i="2"/>
  <c r="BD1775" i="2"/>
  <c r="BD1776" i="2"/>
  <c r="BD1777" i="2"/>
  <c r="BD1778" i="2"/>
  <c r="BD1779" i="2"/>
  <c r="BD1780" i="2"/>
  <c r="BD1781" i="2"/>
  <c r="BD1782" i="2"/>
  <c r="BD1783" i="2"/>
  <c r="BD1784" i="2"/>
  <c r="BD1785" i="2"/>
  <c r="BD1786" i="2"/>
  <c r="BD1787" i="2"/>
  <c r="BD1788" i="2"/>
  <c r="BD1789" i="2"/>
  <c r="BD1790" i="2"/>
  <c r="BD1791" i="2"/>
  <c r="BD1792" i="2"/>
  <c r="BD1793" i="2"/>
  <c r="BD1794" i="2"/>
  <c r="BD1795" i="2"/>
  <c r="BD1796" i="2"/>
  <c r="BD1797" i="2"/>
  <c r="BD1798" i="2"/>
  <c r="BD1799" i="2"/>
  <c r="BD1800" i="2"/>
  <c r="BD1801" i="2"/>
  <c r="BD1802" i="2"/>
  <c r="BD1803" i="2"/>
  <c r="BD1804" i="2"/>
  <c r="BD1805" i="2"/>
  <c r="BD1806" i="2"/>
  <c r="BD1807" i="2"/>
  <c r="BD1808" i="2"/>
  <c r="BD1809" i="2"/>
  <c r="BD1810" i="2"/>
  <c r="BD1811" i="2"/>
  <c r="BD1812" i="2"/>
  <c r="BD1813" i="2"/>
  <c r="BD1814" i="2"/>
  <c r="BD1815" i="2"/>
  <c r="BD1816" i="2"/>
  <c r="BD1817" i="2"/>
  <c r="BD1818" i="2"/>
  <c r="BD1819" i="2"/>
  <c r="BD1820" i="2"/>
  <c r="BD1821" i="2"/>
  <c r="BD1822" i="2"/>
  <c r="BD1823" i="2"/>
  <c r="BD1824" i="2"/>
  <c r="BD1825" i="2"/>
  <c r="BD1826" i="2"/>
  <c r="BD1827" i="2"/>
  <c r="BD1828" i="2"/>
  <c r="BD1829" i="2"/>
  <c r="BD1830" i="2"/>
  <c r="BD1831" i="2"/>
  <c r="BD1832" i="2"/>
  <c r="BD1833" i="2"/>
  <c r="BD1834" i="2"/>
  <c r="BD1835" i="2"/>
  <c r="BD1836" i="2"/>
  <c r="BD1837" i="2"/>
  <c r="BD1838" i="2"/>
  <c r="BD1839" i="2"/>
  <c r="BD1840" i="2"/>
  <c r="BD1841" i="2"/>
  <c r="BD1842" i="2"/>
  <c r="BD1843" i="2"/>
  <c r="BD1844" i="2"/>
  <c r="BD1845" i="2"/>
  <c r="BD1846" i="2"/>
  <c r="BD1847" i="2"/>
  <c r="BD1848" i="2"/>
  <c r="BD1849" i="2"/>
  <c r="BD1850" i="2"/>
  <c r="BD1851" i="2"/>
  <c r="BD1852" i="2"/>
  <c r="BD1853" i="2"/>
  <c r="BD1854" i="2"/>
  <c r="BD1855" i="2"/>
  <c r="BD1856" i="2"/>
  <c r="BD1857" i="2"/>
  <c r="BD1858" i="2"/>
  <c r="BD1859" i="2"/>
  <c r="BD1860" i="2"/>
  <c r="BD1861" i="2"/>
  <c r="BD1862" i="2"/>
  <c r="BD1863" i="2"/>
  <c r="BD1864" i="2"/>
  <c r="BD1865" i="2"/>
  <c r="BD1866" i="2"/>
  <c r="BD1867" i="2"/>
  <c r="BD1868" i="2"/>
  <c r="BD1869" i="2"/>
  <c r="BD1870" i="2"/>
  <c r="BD1871" i="2"/>
  <c r="BD1872" i="2"/>
  <c r="BD1873" i="2"/>
  <c r="BD1874" i="2"/>
  <c r="BD1875" i="2"/>
  <c r="BD1876" i="2"/>
  <c r="BD1877" i="2"/>
  <c r="BD1878" i="2"/>
  <c r="BD1879" i="2"/>
  <c r="BD1880" i="2"/>
  <c r="BD1881" i="2"/>
  <c r="BD1882" i="2"/>
  <c r="BD1883" i="2"/>
  <c r="BD1884" i="2"/>
  <c r="BD1885" i="2"/>
  <c r="BD1886" i="2"/>
  <c r="BD1887" i="2"/>
  <c r="BD1888" i="2"/>
  <c r="BD1889" i="2"/>
  <c r="BD1890" i="2"/>
  <c r="BD1891" i="2"/>
  <c r="BD1892" i="2"/>
  <c r="BD1893" i="2"/>
  <c r="BD1894" i="2"/>
  <c r="BD1895" i="2"/>
  <c r="BD1896" i="2"/>
  <c r="BD1897" i="2"/>
  <c r="BD1898" i="2"/>
  <c r="BD1899" i="2"/>
  <c r="BD1900" i="2"/>
  <c r="BD1901" i="2"/>
  <c r="BD1902" i="2"/>
  <c r="BD1903" i="2"/>
  <c r="BD1904" i="2"/>
  <c r="BD1905" i="2"/>
  <c r="BD1906" i="2"/>
  <c r="BD1907" i="2"/>
  <c r="BD1908" i="2"/>
  <c r="BD1909" i="2"/>
  <c r="BD1910" i="2"/>
  <c r="BD1911" i="2"/>
  <c r="BD1912" i="2"/>
  <c r="BD1913" i="2"/>
  <c r="BD1914" i="2"/>
  <c r="BD1915" i="2"/>
  <c r="BD1916" i="2"/>
  <c r="BD1917" i="2"/>
  <c r="BD1918" i="2"/>
  <c r="BD1919" i="2"/>
  <c r="BD1920" i="2"/>
  <c r="BD1921" i="2"/>
  <c r="BD1922" i="2"/>
  <c r="BD1923" i="2"/>
  <c r="BD1924" i="2"/>
  <c r="BD1925" i="2"/>
  <c r="BD1926" i="2"/>
  <c r="BD1927" i="2"/>
  <c r="BD1928" i="2"/>
  <c r="BD1929" i="2"/>
  <c r="BD1930" i="2"/>
  <c r="BD1931" i="2"/>
  <c r="BD1932" i="2"/>
  <c r="BD1933" i="2"/>
  <c r="BD1934" i="2"/>
  <c r="BD1935" i="2"/>
  <c r="BD1936" i="2"/>
  <c r="BD1937" i="2"/>
  <c r="BD1938" i="2"/>
  <c r="BD1939" i="2"/>
  <c r="BD1940" i="2"/>
  <c r="BD1941" i="2"/>
  <c r="BD1942" i="2"/>
  <c r="BD1943" i="2"/>
  <c r="BD1944" i="2"/>
  <c r="BD1945" i="2"/>
  <c r="BD1946" i="2"/>
  <c r="BD1947" i="2"/>
  <c r="BD1948" i="2"/>
  <c r="BD1949" i="2"/>
  <c r="BD1950" i="2"/>
  <c r="BD1951" i="2"/>
  <c r="BD1952" i="2"/>
  <c r="BD1953" i="2"/>
  <c r="BD1954" i="2"/>
  <c r="BD1955" i="2"/>
  <c r="BD1956" i="2"/>
  <c r="BD1957" i="2"/>
  <c r="BD1958" i="2"/>
  <c r="BD1959" i="2"/>
  <c r="BD1960" i="2"/>
  <c r="BD1961" i="2"/>
  <c r="BD1962" i="2"/>
  <c r="BD1963" i="2"/>
  <c r="BD1964" i="2"/>
  <c r="BD1965" i="2"/>
  <c r="BD1966" i="2"/>
  <c r="BD1967" i="2"/>
  <c r="BD1968" i="2"/>
  <c r="BD1969" i="2"/>
  <c r="BD1970" i="2"/>
  <c r="BD1971" i="2"/>
  <c r="BD1972" i="2"/>
  <c r="BD1973" i="2"/>
  <c r="BD1974" i="2"/>
  <c r="BD1975" i="2"/>
  <c r="BD1976" i="2"/>
  <c r="BD1977" i="2"/>
  <c r="BD1978" i="2"/>
  <c r="BD1979" i="2"/>
  <c r="BD1980" i="2"/>
  <c r="BD1981" i="2"/>
  <c r="BD1982" i="2"/>
  <c r="BD1983" i="2"/>
  <c r="BD1984" i="2"/>
  <c r="BD1985" i="2"/>
  <c r="BD1986" i="2"/>
  <c r="BD1987" i="2"/>
  <c r="BD1988" i="2"/>
  <c r="BD1989" i="2"/>
  <c r="BD1990" i="2"/>
  <c r="BD1991" i="2"/>
  <c r="BD1992" i="2"/>
  <c r="BD1993" i="2"/>
  <c r="BD1994" i="2"/>
  <c r="BD1995" i="2"/>
  <c r="BD1996" i="2"/>
  <c r="BD1997" i="2"/>
  <c r="BD1998" i="2"/>
  <c r="BD1999" i="2"/>
  <c r="BD2000" i="2"/>
  <c r="BD2001" i="2"/>
  <c r="BD2002" i="2"/>
  <c r="BD2003" i="2"/>
  <c r="BD2004" i="2"/>
  <c r="BD2005" i="2"/>
  <c r="BD2006" i="2"/>
  <c r="BD2007" i="2"/>
  <c r="BD2008" i="2"/>
  <c r="BD2009" i="2"/>
  <c r="BD2010" i="2"/>
  <c r="BD2011" i="2"/>
  <c r="BD2012" i="2"/>
  <c r="BD2013" i="2"/>
  <c r="BD2014" i="2"/>
  <c r="BD2015" i="2"/>
  <c r="BD2016" i="2"/>
  <c r="BD2017" i="2"/>
  <c r="BD2018" i="2"/>
  <c r="BD2019" i="2"/>
  <c r="BD2020" i="2"/>
  <c r="BD2021" i="2"/>
  <c r="BD2022" i="2"/>
  <c r="BD2023" i="2"/>
  <c r="BD2024" i="2"/>
  <c r="BD2025" i="2"/>
  <c r="BD2026" i="2"/>
  <c r="BD2027" i="2"/>
  <c r="BD2028" i="2"/>
  <c r="BD2029" i="2"/>
  <c r="BD2030" i="2"/>
  <c r="BD2031" i="2"/>
  <c r="BD2032" i="2"/>
  <c r="BD2033" i="2"/>
  <c r="BD2034" i="2"/>
  <c r="BD2035" i="2"/>
  <c r="BD2036" i="2"/>
  <c r="BD2037" i="2"/>
  <c r="BD2038" i="2"/>
  <c r="BD2039" i="2"/>
  <c r="BD2040" i="2"/>
  <c r="BD2041" i="2"/>
  <c r="BD2042" i="2"/>
  <c r="BD2043" i="2"/>
  <c r="BD2044" i="2"/>
  <c r="BD2045" i="2"/>
  <c r="BD2046" i="2"/>
  <c r="BD2047" i="2"/>
  <c r="BD2048" i="2"/>
  <c r="BD2049" i="2"/>
  <c r="BD2050" i="2"/>
  <c r="BD2051" i="2"/>
  <c r="BD2052" i="2"/>
  <c r="BD2053" i="2"/>
  <c r="BD2054" i="2"/>
  <c r="BD2055" i="2"/>
  <c r="BD2056" i="2"/>
  <c r="BD2057" i="2"/>
  <c r="BD2058" i="2"/>
  <c r="BD2059" i="2"/>
  <c r="BD2060" i="2"/>
  <c r="BD2061" i="2"/>
  <c r="BD2062" i="2"/>
  <c r="BD2063" i="2"/>
  <c r="BD2064" i="2"/>
  <c r="BD2065" i="2"/>
  <c r="BD2066" i="2"/>
  <c r="BD2067" i="2"/>
  <c r="BD2068" i="2"/>
  <c r="BD2069" i="2"/>
  <c r="BD2070" i="2"/>
  <c r="BD2071" i="2"/>
  <c r="BD2072" i="2"/>
  <c r="BD2073" i="2"/>
  <c r="BD2074" i="2"/>
  <c r="BD2075" i="2"/>
  <c r="BD2076" i="2"/>
  <c r="BD2077" i="2"/>
  <c r="BD2078" i="2"/>
  <c r="BD2079" i="2"/>
  <c r="BD2080" i="2"/>
  <c r="BD2081" i="2"/>
  <c r="BD2082" i="2"/>
  <c r="BD2083" i="2"/>
  <c r="BD2084" i="2"/>
  <c r="BD2085" i="2"/>
  <c r="BD2086" i="2"/>
  <c r="BD2087" i="2"/>
  <c r="BD2088" i="2"/>
  <c r="BD2089" i="2"/>
  <c r="BD2090" i="2"/>
  <c r="BD2091" i="2"/>
  <c r="BD2092" i="2"/>
  <c r="BD2093" i="2"/>
  <c r="BD2094" i="2"/>
  <c r="BD2095" i="2"/>
  <c r="BD2096" i="2"/>
  <c r="BD2097" i="2"/>
  <c r="BD2098" i="2"/>
  <c r="BD2099" i="2"/>
  <c r="BD2100" i="2"/>
  <c r="BD2101" i="2"/>
  <c r="BD2102" i="2"/>
  <c r="BD2103" i="2"/>
  <c r="BD2104" i="2"/>
  <c r="BD2105" i="2"/>
  <c r="BD2106" i="2"/>
  <c r="BD2107" i="2"/>
  <c r="BD2108" i="2"/>
  <c r="BD2109" i="2"/>
  <c r="BD2110" i="2"/>
  <c r="BD2111" i="2"/>
  <c r="BD2112" i="2"/>
  <c r="BD2113" i="2"/>
  <c r="BD2114" i="2"/>
  <c r="BD2115" i="2"/>
  <c r="BD2116" i="2"/>
  <c r="BD2117" i="2"/>
  <c r="BD2118" i="2"/>
  <c r="BD2119" i="2"/>
  <c r="BD2120" i="2"/>
  <c r="BD2121" i="2"/>
  <c r="BD2122" i="2"/>
  <c r="BD2123" i="2"/>
  <c r="BD2124" i="2"/>
  <c r="BD2125" i="2"/>
  <c r="BD2126" i="2"/>
  <c r="BD2127" i="2"/>
  <c r="BD2128" i="2"/>
  <c r="BD2129" i="2"/>
  <c r="BD2130" i="2"/>
  <c r="BD2131" i="2"/>
  <c r="BD2132" i="2"/>
  <c r="BD2" i="2"/>
  <c r="BS3" i="2"/>
  <c r="BS4" i="2"/>
  <c r="BS5" i="2"/>
  <c r="BS6" i="2"/>
  <c r="BS7" i="2"/>
  <c r="BS8" i="2"/>
  <c r="BS9" i="2"/>
  <c r="BS10" i="2"/>
  <c r="BS11" i="2"/>
  <c r="BS12" i="2"/>
  <c r="BS13" i="2"/>
  <c r="BS14" i="2"/>
  <c r="BS15" i="2"/>
  <c r="BS16" i="2"/>
  <c r="BS17" i="2"/>
  <c r="BS18" i="2"/>
  <c r="BS19" i="2"/>
  <c r="BS20" i="2"/>
  <c r="BS21" i="2"/>
  <c r="BS22" i="2"/>
  <c r="BS23" i="2"/>
  <c r="BS24" i="2"/>
  <c r="BS25" i="2"/>
  <c r="BS26" i="2"/>
  <c r="BS27" i="2"/>
  <c r="BS28" i="2"/>
  <c r="BS29" i="2"/>
  <c r="BS30" i="2"/>
  <c r="BS31" i="2"/>
  <c r="BS32" i="2"/>
  <c r="BS33" i="2"/>
  <c r="BS34" i="2"/>
  <c r="BS35" i="2"/>
  <c r="BS36" i="2"/>
  <c r="BS37" i="2"/>
  <c r="BS38" i="2"/>
  <c r="BS39" i="2"/>
  <c r="BS40" i="2"/>
  <c r="BS41" i="2"/>
  <c r="BS42" i="2"/>
  <c r="BS43" i="2"/>
  <c r="BS44" i="2"/>
  <c r="BS45" i="2"/>
  <c r="BS46" i="2"/>
  <c r="BS47" i="2"/>
  <c r="BS48" i="2"/>
  <c r="BS49" i="2"/>
  <c r="BS50" i="2"/>
  <c r="BS51" i="2"/>
  <c r="BS52" i="2"/>
  <c r="BS53" i="2"/>
  <c r="BS54" i="2"/>
  <c r="BS55" i="2"/>
  <c r="BS56" i="2"/>
  <c r="BS57" i="2"/>
  <c r="BS58" i="2"/>
  <c r="BS59" i="2"/>
  <c r="BS60" i="2"/>
  <c r="BS61" i="2"/>
  <c r="BS62" i="2"/>
  <c r="BS63" i="2"/>
  <c r="BS64" i="2"/>
  <c r="BS65" i="2"/>
  <c r="BS66" i="2"/>
  <c r="BS67" i="2"/>
  <c r="BS68" i="2"/>
  <c r="BS69" i="2"/>
  <c r="BS70" i="2"/>
  <c r="BS71" i="2"/>
  <c r="BS72" i="2"/>
  <c r="BS73" i="2"/>
  <c r="BS74" i="2"/>
  <c r="BS75" i="2"/>
  <c r="BS76" i="2"/>
  <c r="BS77" i="2"/>
  <c r="BS78" i="2"/>
  <c r="BS79" i="2"/>
  <c r="BS80" i="2"/>
  <c r="BS81" i="2"/>
  <c r="BS82" i="2"/>
  <c r="BS83" i="2"/>
  <c r="BS84" i="2"/>
  <c r="BS85" i="2"/>
  <c r="BS86" i="2"/>
  <c r="BS87" i="2"/>
  <c r="BS88" i="2"/>
  <c r="BS89" i="2"/>
  <c r="BS90" i="2"/>
  <c r="BS91" i="2"/>
  <c r="BS92" i="2"/>
  <c r="BS93" i="2"/>
  <c r="BS94" i="2"/>
  <c r="BS95" i="2"/>
  <c r="BS96" i="2"/>
  <c r="BS97" i="2"/>
  <c r="BS98" i="2"/>
  <c r="BS99" i="2"/>
  <c r="BS100" i="2"/>
  <c r="BS101" i="2"/>
  <c r="BS102" i="2"/>
  <c r="BS103" i="2"/>
  <c r="BS104" i="2"/>
  <c r="BS105" i="2"/>
  <c r="BS106" i="2"/>
  <c r="BS107" i="2"/>
  <c r="BS108" i="2"/>
  <c r="BS109" i="2"/>
  <c r="BS110" i="2"/>
  <c r="BS111" i="2"/>
  <c r="BS112" i="2"/>
  <c r="BS113" i="2"/>
  <c r="BS114" i="2"/>
  <c r="BS115" i="2"/>
  <c r="BS116" i="2"/>
  <c r="BS117" i="2"/>
  <c r="BS118" i="2"/>
  <c r="BS119" i="2"/>
  <c r="BS120" i="2"/>
  <c r="BS121" i="2"/>
  <c r="BS122" i="2"/>
  <c r="BS123" i="2"/>
  <c r="BS124" i="2"/>
  <c r="BS125" i="2"/>
  <c r="BS126" i="2"/>
  <c r="BS127" i="2"/>
  <c r="BS128" i="2"/>
  <c r="BS129" i="2"/>
  <c r="BS130" i="2"/>
  <c r="BS131" i="2"/>
  <c r="BS132" i="2"/>
  <c r="BS133" i="2"/>
  <c r="BS134" i="2"/>
  <c r="BS135" i="2"/>
  <c r="BS136" i="2"/>
  <c r="BS137" i="2"/>
  <c r="BS138" i="2"/>
  <c r="BS139" i="2"/>
  <c r="BS140" i="2"/>
  <c r="BS141" i="2"/>
  <c r="BS142" i="2"/>
  <c r="BS143" i="2"/>
  <c r="BS144" i="2"/>
  <c r="BS145" i="2"/>
  <c r="BS146" i="2"/>
  <c r="BS147" i="2"/>
  <c r="BS148" i="2"/>
  <c r="BS149" i="2"/>
  <c r="BS150" i="2"/>
  <c r="BS151" i="2"/>
  <c r="BS152" i="2"/>
  <c r="BS153" i="2"/>
  <c r="BS154" i="2"/>
  <c r="BS155" i="2"/>
  <c r="BS156" i="2"/>
  <c r="BS157" i="2"/>
  <c r="BS158" i="2"/>
  <c r="BS159" i="2"/>
  <c r="BS160" i="2"/>
  <c r="BS161" i="2"/>
  <c r="BS162" i="2"/>
  <c r="BS163" i="2"/>
  <c r="BS164" i="2"/>
  <c r="BS165" i="2"/>
  <c r="BS166" i="2"/>
  <c r="BS167" i="2"/>
  <c r="BS168" i="2"/>
  <c r="BS169" i="2"/>
  <c r="BS170" i="2"/>
  <c r="BS171" i="2"/>
  <c r="BS172" i="2"/>
  <c r="BS173" i="2"/>
  <c r="BS174" i="2"/>
  <c r="BS175" i="2"/>
  <c r="BS176" i="2"/>
  <c r="BS177" i="2"/>
  <c r="BS178" i="2"/>
  <c r="BS179" i="2"/>
  <c r="BS180" i="2"/>
  <c r="BS181" i="2"/>
  <c r="BS182" i="2"/>
  <c r="BS183" i="2"/>
  <c r="BS184" i="2"/>
  <c r="BS185" i="2"/>
  <c r="BS186" i="2"/>
  <c r="BS187" i="2"/>
  <c r="BS188" i="2"/>
  <c r="BS189" i="2"/>
  <c r="BS190" i="2"/>
  <c r="BS191" i="2"/>
  <c r="BS192" i="2"/>
  <c r="BS193" i="2"/>
  <c r="BS194" i="2"/>
  <c r="BS195" i="2"/>
  <c r="BS196" i="2"/>
  <c r="BS197" i="2"/>
  <c r="BS198" i="2"/>
  <c r="BS199" i="2"/>
  <c r="BS200" i="2"/>
  <c r="BS201" i="2"/>
  <c r="BS202" i="2"/>
  <c r="BS203" i="2"/>
  <c r="BS204" i="2"/>
  <c r="BS205" i="2"/>
  <c r="BS206" i="2"/>
  <c r="BS207" i="2"/>
  <c r="BS208" i="2"/>
  <c r="BS209" i="2"/>
  <c r="BS210" i="2"/>
  <c r="BS211" i="2"/>
  <c r="BS212" i="2"/>
  <c r="BS213" i="2"/>
  <c r="BS214" i="2"/>
  <c r="BS215" i="2"/>
  <c r="BS216" i="2"/>
  <c r="BS217" i="2"/>
  <c r="BS218" i="2"/>
  <c r="BS219" i="2"/>
  <c r="BS220" i="2"/>
  <c r="BS221" i="2"/>
  <c r="BS222" i="2"/>
  <c r="BS223" i="2"/>
  <c r="BS224" i="2"/>
  <c r="BS225" i="2"/>
  <c r="BS226" i="2"/>
  <c r="BS227" i="2"/>
  <c r="BS228" i="2"/>
  <c r="BS229" i="2"/>
  <c r="BS230" i="2"/>
  <c r="BS231" i="2"/>
  <c r="BS232" i="2"/>
  <c r="BS233" i="2"/>
  <c r="BS234" i="2"/>
  <c r="BS235" i="2"/>
  <c r="BS236" i="2"/>
  <c r="BS237" i="2"/>
  <c r="BS238" i="2"/>
  <c r="BS239" i="2"/>
  <c r="BS240" i="2"/>
  <c r="BS241" i="2"/>
  <c r="BS242" i="2"/>
  <c r="BS243" i="2"/>
  <c r="BS244" i="2"/>
  <c r="BS245" i="2"/>
  <c r="BS246" i="2"/>
  <c r="BS247" i="2"/>
  <c r="BS248" i="2"/>
  <c r="BS249" i="2"/>
  <c r="BS250" i="2"/>
  <c r="BS251" i="2"/>
  <c r="BS252" i="2"/>
  <c r="BS253" i="2"/>
  <c r="BS254" i="2"/>
  <c r="BS255" i="2"/>
  <c r="BS256" i="2"/>
  <c r="BS257" i="2"/>
  <c r="BS258" i="2"/>
  <c r="BS259" i="2"/>
  <c r="BS260" i="2"/>
  <c r="BS261" i="2"/>
  <c r="BS262" i="2"/>
  <c r="BS263" i="2"/>
  <c r="BS264" i="2"/>
  <c r="BS265" i="2"/>
  <c r="BS266" i="2"/>
  <c r="BS267" i="2"/>
  <c r="BS268" i="2"/>
  <c r="BS269" i="2"/>
  <c r="BS270" i="2"/>
  <c r="BS271" i="2"/>
  <c r="BS272" i="2"/>
  <c r="BS273" i="2"/>
  <c r="BS274" i="2"/>
  <c r="BS275" i="2"/>
  <c r="BS276" i="2"/>
  <c r="BS277" i="2"/>
  <c r="BS278" i="2"/>
  <c r="BS279" i="2"/>
  <c r="BS280" i="2"/>
  <c r="BS281" i="2"/>
  <c r="BS282" i="2"/>
  <c r="BS283" i="2"/>
  <c r="BS284" i="2"/>
  <c r="BS285" i="2"/>
  <c r="BS286" i="2"/>
  <c r="BS287" i="2"/>
  <c r="BS288" i="2"/>
  <c r="BS289" i="2"/>
  <c r="BS290" i="2"/>
  <c r="BS291" i="2"/>
  <c r="BS292" i="2"/>
  <c r="BS293" i="2"/>
  <c r="BS294" i="2"/>
  <c r="BS295" i="2"/>
  <c r="BS296" i="2"/>
  <c r="BS297" i="2"/>
  <c r="BS298" i="2"/>
  <c r="BS299" i="2"/>
  <c r="BS300" i="2"/>
  <c r="BS301" i="2"/>
  <c r="BS302" i="2"/>
  <c r="BS303" i="2"/>
  <c r="BS304" i="2"/>
  <c r="BS305" i="2"/>
  <c r="BS306" i="2"/>
  <c r="BS307" i="2"/>
  <c r="BS308" i="2"/>
  <c r="BS309" i="2"/>
  <c r="BS310" i="2"/>
  <c r="BS311" i="2"/>
  <c r="BS312" i="2"/>
  <c r="BS313" i="2"/>
  <c r="BS314" i="2"/>
  <c r="BS315" i="2"/>
  <c r="BS316" i="2"/>
  <c r="BS317" i="2"/>
  <c r="BS318" i="2"/>
  <c r="BS319" i="2"/>
  <c r="BS320" i="2"/>
  <c r="BS321" i="2"/>
  <c r="BS322" i="2"/>
  <c r="BS323" i="2"/>
  <c r="BS324" i="2"/>
  <c r="BS325" i="2"/>
  <c r="BS326" i="2"/>
  <c r="BS327" i="2"/>
  <c r="BS328" i="2"/>
  <c r="BS329" i="2"/>
  <c r="BS330" i="2"/>
  <c r="BS331" i="2"/>
  <c r="BS332" i="2"/>
  <c r="BS333" i="2"/>
  <c r="BS334" i="2"/>
  <c r="BS335" i="2"/>
  <c r="BS336" i="2"/>
  <c r="BS337" i="2"/>
  <c r="BS338" i="2"/>
  <c r="BS339" i="2"/>
  <c r="BS340" i="2"/>
  <c r="BS341" i="2"/>
  <c r="BS342" i="2"/>
  <c r="BS343" i="2"/>
  <c r="BS344" i="2"/>
  <c r="BS345" i="2"/>
  <c r="BS346" i="2"/>
  <c r="BS347" i="2"/>
  <c r="BS348" i="2"/>
  <c r="BS349" i="2"/>
  <c r="BS350" i="2"/>
  <c r="BS351" i="2"/>
  <c r="BS352" i="2"/>
  <c r="BS353" i="2"/>
  <c r="BS354" i="2"/>
  <c r="BS355" i="2"/>
  <c r="BS356" i="2"/>
  <c r="BS357" i="2"/>
  <c r="BS358" i="2"/>
  <c r="BS359" i="2"/>
  <c r="BS360" i="2"/>
  <c r="BS361" i="2"/>
  <c r="BS362" i="2"/>
  <c r="BS363" i="2"/>
  <c r="BS364" i="2"/>
  <c r="BS365" i="2"/>
  <c r="BS366" i="2"/>
  <c r="BS367" i="2"/>
  <c r="BS368" i="2"/>
  <c r="BS369" i="2"/>
  <c r="BS370" i="2"/>
  <c r="BS371" i="2"/>
  <c r="BS372" i="2"/>
  <c r="BS373" i="2"/>
  <c r="BS374" i="2"/>
  <c r="BS375" i="2"/>
  <c r="BS376" i="2"/>
  <c r="BS377" i="2"/>
  <c r="BS378" i="2"/>
  <c r="BS379" i="2"/>
  <c r="BS380" i="2"/>
  <c r="BS381" i="2"/>
  <c r="BS382" i="2"/>
  <c r="BS383" i="2"/>
  <c r="BS384" i="2"/>
  <c r="BS385" i="2"/>
  <c r="BS386" i="2"/>
  <c r="BS387" i="2"/>
  <c r="BS388" i="2"/>
  <c r="BS389" i="2"/>
  <c r="BS390" i="2"/>
  <c r="BS391" i="2"/>
  <c r="BS392" i="2"/>
  <c r="BS393" i="2"/>
  <c r="BS394" i="2"/>
  <c r="BS395" i="2"/>
  <c r="BS396" i="2"/>
  <c r="BS397" i="2"/>
  <c r="BS398" i="2"/>
  <c r="BS399" i="2"/>
  <c r="BS400" i="2"/>
  <c r="BS401" i="2"/>
  <c r="BS402" i="2"/>
  <c r="BS403" i="2"/>
  <c r="BS404" i="2"/>
  <c r="BS405" i="2"/>
  <c r="BS406" i="2"/>
  <c r="BS407" i="2"/>
  <c r="BS408" i="2"/>
  <c r="BS409" i="2"/>
  <c r="BS410" i="2"/>
  <c r="BS411" i="2"/>
  <c r="BS412" i="2"/>
  <c r="BS413" i="2"/>
  <c r="BS414" i="2"/>
  <c r="BS415" i="2"/>
  <c r="BS416" i="2"/>
  <c r="BS417" i="2"/>
  <c r="BS418" i="2"/>
  <c r="BS419" i="2"/>
  <c r="BS420" i="2"/>
  <c r="BS421" i="2"/>
  <c r="BS422" i="2"/>
  <c r="BS423" i="2"/>
  <c r="BS424" i="2"/>
  <c r="BS425" i="2"/>
  <c r="BS426" i="2"/>
  <c r="BS427" i="2"/>
  <c r="BS428" i="2"/>
  <c r="BS429" i="2"/>
  <c r="BS430" i="2"/>
  <c r="BS431" i="2"/>
  <c r="BS432" i="2"/>
  <c r="BS433" i="2"/>
  <c r="BS434" i="2"/>
  <c r="BS435" i="2"/>
  <c r="BS436" i="2"/>
  <c r="BS437" i="2"/>
  <c r="BS438" i="2"/>
  <c r="BS439" i="2"/>
  <c r="BS440" i="2"/>
  <c r="BS441" i="2"/>
  <c r="BS442" i="2"/>
  <c r="BS443" i="2"/>
  <c r="BS444" i="2"/>
  <c r="BS445" i="2"/>
  <c r="BS446" i="2"/>
  <c r="BS447" i="2"/>
  <c r="BS448" i="2"/>
  <c r="BS449" i="2"/>
  <c r="BS450" i="2"/>
  <c r="BS451" i="2"/>
  <c r="BS452" i="2"/>
  <c r="BS453" i="2"/>
  <c r="BS454" i="2"/>
  <c r="BS455" i="2"/>
  <c r="BS456" i="2"/>
  <c r="BS457" i="2"/>
  <c r="BS458" i="2"/>
  <c r="BS459" i="2"/>
  <c r="BS460" i="2"/>
  <c r="BS461" i="2"/>
  <c r="BS462" i="2"/>
  <c r="BS463" i="2"/>
  <c r="BS464" i="2"/>
  <c r="BS465" i="2"/>
  <c r="BS466" i="2"/>
  <c r="BS467" i="2"/>
  <c r="BS468" i="2"/>
  <c r="BS469" i="2"/>
  <c r="BS470" i="2"/>
  <c r="BS471" i="2"/>
  <c r="BS472" i="2"/>
  <c r="BS473" i="2"/>
  <c r="BS474" i="2"/>
  <c r="BS475" i="2"/>
  <c r="BS476" i="2"/>
  <c r="BS477" i="2"/>
  <c r="BS478" i="2"/>
  <c r="BS479" i="2"/>
  <c r="BS480" i="2"/>
  <c r="BS481" i="2"/>
  <c r="BS482" i="2"/>
  <c r="BS483" i="2"/>
  <c r="BS484" i="2"/>
  <c r="BS485" i="2"/>
  <c r="BS486" i="2"/>
  <c r="BS487" i="2"/>
  <c r="BS488" i="2"/>
  <c r="BS489" i="2"/>
  <c r="BS490" i="2"/>
  <c r="BS491" i="2"/>
  <c r="BS492" i="2"/>
  <c r="BS493" i="2"/>
  <c r="BS494" i="2"/>
  <c r="BS495" i="2"/>
  <c r="BS496" i="2"/>
  <c r="BS497" i="2"/>
  <c r="BS498" i="2"/>
  <c r="BS499" i="2"/>
  <c r="BS500" i="2"/>
  <c r="BS501" i="2"/>
  <c r="BS502" i="2"/>
  <c r="BS503" i="2"/>
  <c r="BS504" i="2"/>
  <c r="BS505" i="2"/>
  <c r="BS506" i="2"/>
  <c r="BS507" i="2"/>
  <c r="BS508" i="2"/>
  <c r="BS509" i="2"/>
  <c r="BS510" i="2"/>
  <c r="BS511" i="2"/>
  <c r="BS512" i="2"/>
  <c r="BS513" i="2"/>
  <c r="BS514" i="2"/>
  <c r="BS515" i="2"/>
  <c r="BS516" i="2"/>
  <c r="BS517" i="2"/>
  <c r="BS518" i="2"/>
  <c r="BS519" i="2"/>
  <c r="BS520" i="2"/>
  <c r="BS521" i="2"/>
  <c r="BS522" i="2"/>
  <c r="BS523" i="2"/>
  <c r="BS524" i="2"/>
  <c r="BS525" i="2"/>
  <c r="BS526" i="2"/>
  <c r="BS527" i="2"/>
  <c r="BS528" i="2"/>
  <c r="BS529" i="2"/>
  <c r="BS530" i="2"/>
  <c r="BS531" i="2"/>
  <c r="BS532" i="2"/>
  <c r="BS533" i="2"/>
  <c r="BS534" i="2"/>
  <c r="BS535" i="2"/>
  <c r="BS536" i="2"/>
  <c r="BS537" i="2"/>
  <c r="BS538" i="2"/>
  <c r="BS539" i="2"/>
  <c r="BS540" i="2"/>
  <c r="BS541" i="2"/>
  <c r="BS542" i="2"/>
  <c r="BS543" i="2"/>
  <c r="BS544" i="2"/>
  <c r="BS545" i="2"/>
  <c r="BS546" i="2"/>
  <c r="BS547" i="2"/>
  <c r="BS548" i="2"/>
  <c r="BS549" i="2"/>
  <c r="BS550" i="2"/>
  <c r="BS551" i="2"/>
  <c r="BS552" i="2"/>
  <c r="BS553" i="2"/>
  <c r="BS554" i="2"/>
  <c r="BS555" i="2"/>
  <c r="BS556" i="2"/>
  <c r="BS557" i="2"/>
  <c r="BS558" i="2"/>
  <c r="BS559" i="2"/>
  <c r="BS560" i="2"/>
  <c r="BS561" i="2"/>
  <c r="BS562" i="2"/>
  <c r="BS563" i="2"/>
  <c r="BS564" i="2"/>
  <c r="BS565" i="2"/>
  <c r="BS566" i="2"/>
  <c r="BS567" i="2"/>
  <c r="BS568" i="2"/>
  <c r="BS569" i="2"/>
  <c r="BS570" i="2"/>
  <c r="BS571" i="2"/>
  <c r="BS572" i="2"/>
  <c r="BS573" i="2"/>
  <c r="BS574" i="2"/>
  <c r="BS575" i="2"/>
  <c r="BS576" i="2"/>
  <c r="BS577" i="2"/>
  <c r="BS578" i="2"/>
  <c r="BS579" i="2"/>
  <c r="BS580" i="2"/>
  <c r="BS581" i="2"/>
  <c r="BS582" i="2"/>
  <c r="BS583" i="2"/>
  <c r="BS584" i="2"/>
  <c r="BS585" i="2"/>
  <c r="BS586" i="2"/>
  <c r="BS587" i="2"/>
  <c r="BS588" i="2"/>
  <c r="BS589" i="2"/>
  <c r="BS590" i="2"/>
  <c r="BS591" i="2"/>
  <c r="BS592" i="2"/>
  <c r="BS593" i="2"/>
  <c r="BS594" i="2"/>
  <c r="BS595" i="2"/>
  <c r="BS596" i="2"/>
  <c r="BS597" i="2"/>
  <c r="BS598" i="2"/>
  <c r="BS599" i="2"/>
  <c r="BS600" i="2"/>
  <c r="BS601" i="2"/>
  <c r="BS602" i="2"/>
  <c r="BS603" i="2"/>
  <c r="BS604" i="2"/>
  <c r="BS605" i="2"/>
  <c r="BS606" i="2"/>
  <c r="BS607" i="2"/>
  <c r="BS608" i="2"/>
  <c r="BS609" i="2"/>
  <c r="BS610" i="2"/>
  <c r="BS611" i="2"/>
  <c r="BS612" i="2"/>
  <c r="BS613" i="2"/>
  <c r="BS614" i="2"/>
  <c r="BS615" i="2"/>
  <c r="BS616" i="2"/>
  <c r="BS617" i="2"/>
  <c r="BS618" i="2"/>
  <c r="BS619" i="2"/>
  <c r="BS620" i="2"/>
  <c r="BS621" i="2"/>
  <c r="BS622" i="2"/>
  <c r="BS623" i="2"/>
  <c r="BS624" i="2"/>
  <c r="BS625" i="2"/>
  <c r="BS626" i="2"/>
  <c r="BS627" i="2"/>
  <c r="BS628" i="2"/>
  <c r="BS629" i="2"/>
  <c r="BS630" i="2"/>
  <c r="BS631" i="2"/>
  <c r="BS632" i="2"/>
  <c r="BS633" i="2"/>
  <c r="BS634" i="2"/>
  <c r="BS635" i="2"/>
  <c r="BS636" i="2"/>
  <c r="BS637" i="2"/>
  <c r="BS638" i="2"/>
  <c r="BS639" i="2"/>
  <c r="BS640" i="2"/>
  <c r="BS641" i="2"/>
  <c r="BS642" i="2"/>
  <c r="BS643" i="2"/>
  <c r="BS644" i="2"/>
  <c r="BS645" i="2"/>
  <c r="BS646" i="2"/>
  <c r="BS647" i="2"/>
  <c r="BS648" i="2"/>
  <c r="BS649" i="2"/>
  <c r="BS650" i="2"/>
  <c r="BS651" i="2"/>
  <c r="BS652" i="2"/>
  <c r="BS653" i="2"/>
  <c r="BS654" i="2"/>
  <c r="BS655" i="2"/>
  <c r="BS656" i="2"/>
  <c r="BS657" i="2"/>
  <c r="BS658" i="2"/>
  <c r="BS659" i="2"/>
  <c r="BS660" i="2"/>
  <c r="BS661" i="2"/>
  <c r="BS662" i="2"/>
  <c r="BS663" i="2"/>
  <c r="BS664" i="2"/>
  <c r="BS665" i="2"/>
  <c r="BS666" i="2"/>
  <c r="BS667" i="2"/>
  <c r="BS668" i="2"/>
  <c r="BS669" i="2"/>
  <c r="BS670" i="2"/>
  <c r="BS671" i="2"/>
  <c r="BS672" i="2"/>
  <c r="BS673" i="2"/>
  <c r="BS674" i="2"/>
  <c r="BS675" i="2"/>
  <c r="BS676" i="2"/>
  <c r="BS677" i="2"/>
  <c r="BS678" i="2"/>
  <c r="BS679" i="2"/>
  <c r="BS680" i="2"/>
  <c r="BS681" i="2"/>
  <c r="BS682" i="2"/>
  <c r="BS683" i="2"/>
  <c r="BS684" i="2"/>
  <c r="BS685" i="2"/>
  <c r="BS686" i="2"/>
  <c r="BS687" i="2"/>
  <c r="BS688" i="2"/>
  <c r="BS689" i="2"/>
  <c r="BS690" i="2"/>
  <c r="BS691" i="2"/>
  <c r="BS692" i="2"/>
  <c r="BS693" i="2"/>
  <c r="BS694" i="2"/>
  <c r="BS695" i="2"/>
  <c r="BS696" i="2"/>
  <c r="BS697" i="2"/>
  <c r="BS698" i="2"/>
  <c r="BS699" i="2"/>
  <c r="BS700" i="2"/>
  <c r="BS701" i="2"/>
  <c r="BS702" i="2"/>
  <c r="BS703" i="2"/>
  <c r="BS704" i="2"/>
  <c r="BS705" i="2"/>
  <c r="BS706" i="2"/>
  <c r="BS707" i="2"/>
  <c r="BS708" i="2"/>
  <c r="BS709" i="2"/>
  <c r="BS710" i="2"/>
  <c r="BS711" i="2"/>
  <c r="BS712" i="2"/>
  <c r="BS713" i="2"/>
  <c r="BS714" i="2"/>
  <c r="BS715" i="2"/>
  <c r="BS716" i="2"/>
  <c r="BS717" i="2"/>
  <c r="BS718" i="2"/>
  <c r="BS719" i="2"/>
  <c r="BS720" i="2"/>
  <c r="BS721" i="2"/>
  <c r="BS722" i="2"/>
  <c r="BS723" i="2"/>
  <c r="BS724" i="2"/>
  <c r="BS725" i="2"/>
  <c r="BS726" i="2"/>
  <c r="BS727" i="2"/>
  <c r="BS728" i="2"/>
  <c r="BS729" i="2"/>
  <c r="BS730" i="2"/>
  <c r="BS731" i="2"/>
  <c r="BS732" i="2"/>
  <c r="BS733" i="2"/>
  <c r="BS734" i="2"/>
  <c r="BS735" i="2"/>
  <c r="BS736" i="2"/>
  <c r="BS737" i="2"/>
  <c r="BS738" i="2"/>
  <c r="BS739" i="2"/>
  <c r="BS740" i="2"/>
  <c r="BS741" i="2"/>
  <c r="BS742" i="2"/>
  <c r="BS743" i="2"/>
  <c r="BS744" i="2"/>
  <c r="BS745" i="2"/>
  <c r="BS746" i="2"/>
  <c r="BS747" i="2"/>
  <c r="BS748" i="2"/>
  <c r="BS749" i="2"/>
  <c r="BS750" i="2"/>
  <c r="BS751" i="2"/>
  <c r="BS752" i="2"/>
  <c r="BS753" i="2"/>
  <c r="BS754" i="2"/>
  <c r="BS755" i="2"/>
  <c r="BS756" i="2"/>
  <c r="BS757" i="2"/>
  <c r="BS758" i="2"/>
  <c r="BS759" i="2"/>
  <c r="BS760" i="2"/>
  <c r="BS761" i="2"/>
  <c r="BS762" i="2"/>
  <c r="BS763" i="2"/>
  <c r="BS764" i="2"/>
  <c r="BS765" i="2"/>
  <c r="BS766" i="2"/>
  <c r="BS767" i="2"/>
  <c r="BS768" i="2"/>
  <c r="BS769" i="2"/>
  <c r="BS770" i="2"/>
  <c r="BS771" i="2"/>
  <c r="BS772" i="2"/>
  <c r="BS773" i="2"/>
  <c r="BS774" i="2"/>
  <c r="BS775" i="2"/>
  <c r="BS776" i="2"/>
  <c r="BS777" i="2"/>
  <c r="BS778" i="2"/>
  <c r="BS779" i="2"/>
  <c r="BS780" i="2"/>
  <c r="BS781" i="2"/>
  <c r="BS782" i="2"/>
  <c r="BS783" i="2"/>
  <c r="BS784" i="2"/>
  <c r="BS785" i="2"/>
  <c r="BS786" i="2"/>
  <c r="BS787" i="2"/>
  <c r="BS788" i="2"/>
  <c r="BS789" i="2"/>
  <c r="BS790" i="2"/>
  <c r="BS791" i="2"/>
  <c r="BS792" i="2"/>
  <c r="BS793" i="2"/>
  <c r="BS794" i="2"/>
  <c r="BS795" i="2"/>
  <c r="BS796" i="2"/>
  <c r="BS797" i="2"/>
  <c r="BS798" i="2"/>
  <c r="BS799" i="2"/>
  <c r="BS800" i="2"/>
  <c r="BS801" i="2"/>
  <c r="BS802" i="2"/>
  <c r="BS803" i="2"/>
  <c r="BS804" i="2"/>
  <c r="BS805" i="2"/>
  <c r="BS806" i="2"/>
  <c r="BS807" i="2"/>
  <c r="BS808" i="2"/>
  <c r="BS809" i="2"/>
  <c r="BS810" i="2"/>
  <c r="BS811" i="2"/>
  <c r="BS812" i="2"/>
  <c r="BS813" i="2"/>
  <c r="BS814" i="2"/>
  <c r="BS815" i="2"/>
  <c r="BS816" i="2"/>
  <c r="BS817" i="2"/>
  <c r="BS818" i="2"/>
  <c r="BS819" i="2"/>
  <c r="BS820" i="2"/>
  <c r="BS821" i="2"/>
  <c r="BS822" i="2"/>
  <c r="BS823" i="2"/>
  <c r="BS824" i="2"/>
  <c r="BS825" i="2"/>
  <c r="BS826" i="2"/>
  <c r="BS827" i="2"/>
  <c r="BS828" i="2"/>
  <c r="BS829" i="2"/>
  <c r="BS830" i="2"/>
  <c r="BS831" i="2"/>
  <c r="BS832" i="2"/>
  <c r="BS833" i="2"/>
  <c r="BS834" i="2"/>
  <c r="BS835" i="2"/>
  <c r="BS836" i="2"/>
  <c r="BS837" i="2"/>
  <c r="BS838" i="2"/>
  <c r="BS839" i="2"/>
  <c r="BS840" i="2"/>
  <c r="BS841" i="2"/>
  <c r="BS842" i="2"/>
  <c r="BS843" i="2"/>
  <c r="BS844" i="2"/>
  <c r="BS845" i="2"/>
  <c r="BS846" i="2"/>
  <c r="BS847" i="2"/>
  <c r="BS848" i="2"/>
  <c r="BS849" i="2"/>
  <c r="BS850" i="2"/>
  <c r="BS851" i="2"/>
  <c r="BS852" i="2"/>
  <c r="BS853" i="2"/>
  <c r="BS854" i="2"/>
  <c r="BS855" i="2"/>
  <c r="BS856" i="2"/>
  <c r="BS857" i="2"/>
  <c r="BS858" i="2"/>
  <c r="BS859" i="2"/>
  <c r="BS860" i="2"/>
  <c r="BS861" i="2"/>
  <c r="BS862" i="2"/>
  <c r="BS863" i="2"/>
  <c r="BS864" i="2"/>
  <c r="BS865" i="2"/>
  <c r="BS866" i="2"/>
  <c r="BS867" i="2"/>
  <c r="BS868" i="2"/>
  <c r="BS869" i="2"/>
  <c r="BS870" i="2"/>
  <c r="BS871" i="2"/>
  <c r="BS872" i="2"/>
  <c r="BS873" i="2"/>
  <c r="BS874" i="2"/>
  <c r="BS875" i="2"/>
  <c r="BS876" i="2"/>
  <c r="BS877" i="2"/>
  <c r="BS878" i="2"/>
  <c r="BS879" i="2"/>
  <c r="BS880" i="2"/>
  <c r="BS881" i="2"/>
  <c r="BS882" i="2"/>
  <c r="BS883" i="2"/>
  <c r="BS884" i="2"/>
  <c r="BS885" i="2"/>
  <c r="BS886" i="2"/>
  <c r="BS887" i="2"/>
  <c r="BS888" i="2"/>
  <c r="BS889" i="2"/>
  <c r="BS890" i="2"/>
  <c r="BS891" i="2"/>
  <c r="BS892" i="2"/>
  <c r="BS893" i="2"/>
  <c r="BS894" i="2"/>
  <c r="BS895" i="2"/>
  <c r="BS896" i="2"/>
  <c r="BS897" i="2"/>
  <c r="BS898" i="2"/>
  <c r="BS899" i="2"/>
  <c r="BS900" i="2"/>
  <c r="BS901" i="2"/>
  <c r="BS902" i="2"/>
  <c r="BS903" i="2"/>
  <c r="BS904" i="2"/>
  <c r="BS905" i="2"/>
  <c r="BS906" i="2"/>
  <c r="BS907" i="2"/>
  <c r="BS908" i="2"/>
  <c r="BS909" i="2"/>
  <c r="BS910" i="2"/>
  <c r="BS911" i="2"/>
  <c r="BS912" i="2"/>
  <c r="BS913" i="2"/>
  <c r="BS914" i="2"/>
  <c r="BS915" i="2"/>
  <c r="BS916" i="2"/>
  <c r="BS917" i="2"/>
  <c r="BS918" i="2"/>
  <c r="BS919" i="2"/>
  <c r="BS920" i="2"/>
  <c r="BS921" i="2"/>
  <c r="BS922" i="2"/>
  <c r="BS923" i="2"/>
  <c r="BS924" i="2"/>
  <c r="BS925" i="2"/>
  <c r="BS926" i="2"/>
  <c r="BS927" i="2"/>
  <c r="BS928" i="2"/>
  <c r="BS929" i="2"/>
  <c r="BS930" i="2"/>
  <c r="BS931" i="2"/>
  <c r="BS932" i="2"/>
  <c r="BS933" i="2"/>
  <c r="BS934" i="2"/>
  <c r="BS935" i="2"/>
  <c r="BS936" i="2"/>
  <c r="BS937" i="2"/>
  <c r="BS938" i="2"/>
  <c r="BS939" i="2"/>
  <c r="BS940" i="2"/>
  <c r="BS941" i="2"/>
  <c r="BS942" i="2"/>
  <c r="BS943" i="2"/>
  <c r="BS944" i="2"/>
  <c r="BS945" i="2"/>
  <c r="BS946" i="2"/>
  <c r="BS947" i="2"/>
  <c r="BS948" i="2"/>
  <c r="BS949" i="2"/>
  <c r="BS950" i="2"/>
  <c r="BS951" i="2"/>
  <c r="BS952" i="2"/>
  <c r="BS953" i="2"/>
  <c r="BS954" i="2"/>
  <c r="BS955" i="2"/>
  <c r="BS956" i="2"/>
  <c r="BS957" i="2"/>
  <c r="BS958" i="2"/>
  <c r="BS959" i="2"/>
  <c r="BS960" i="2"/>
  <c r="BS961" i="2"/>
  <c r="BS962" i="2"/>
  <c r="BS963" i="2"/>
  <c r="BS964" i="2"/>
  <c r="BS965" i="2"/>
  <c r="BS966" i="2"/>
  <c r="BS967" i="2"/>
  <c r="BS968" i="2"/>
  <c r="BS969" i="2"/>
  <c r="BS970" i="2"/>
  <c r="BS971" i="2"/>
  <c r="BS972" i="2"/>
  <c r="BS973" i="2"/>
  <c r="BS974" i="2"/>
  <c r="BS975" i="2"/>
  <c r="BS976" i="2"/>
  <c r="BS977" i="2"/>
  <c r="BS978" i="2"/>
  <c r="BS979" i="2"/>
  <c r="BS980" i="2"/>
  <c r="BS981" i="2"/>
  <c r="BS982" i="2"/>
  <c r="BS983" i="2"/>
  <c r="BS984" i="2"/>
  <c r="BS985" i="2"/>
  <c r="BS986" i="2"/>
  <c r="BS987" i="2"/>
  <c r="BS988" i="2"/>
  <c r="BS989" i="2"/>
  <c r="BS990" i="2"/>
  <c r="BS991" i="2"/>
  <c r="BS992" i="2"/>
  <c r="BS993" i="2"/>
  <c r="BS994" i="2"/>
  <c r="BS995" i="2"/>
  <c r="BS996" i="2"/>
  <c r="BS997" i="2"/>
  <c r="BS998" i="2"/>
  <c r="BS999" i="2"/>
  <c r="BS1000" i="2"/>
  <c r="BS1001" i="2"/>
  <c r="BS1002" i="2"/>
  <c r="BS1003" i="2"/>
  <c r="BS1004" i="2"/>
  <c r="BS1005" i="2"/>
  <c r="BS1006" i="2"/>
  <c r="BS1007" i="2"/>
  <c r="BS1008" i="2"/>
  <c r="BS1009" i="2"/>
  <c r="BS1010" i="2"/>
  <c r="BS1011" i="2"/>
  <c r="BS1012" i="2"/>
  <c r="BS1013" i="2"/>
  <c r="BS1014" i="2"/>
  <c r="BS1015" i="2"/>
  <c r="BS1016" i="2"/>
  <c r="BS1017" i="2"/>
  <c r="BS1018" i="2"/>
  <c r="BS1019" i="2"/>
  <c r="BS1020" i="2"/>
  <c r="BS1021" i="2"/>
  <c r="BS1022" i="2"/>
  <c r="BS1023" i="2"/>
  <c r="BS1024" i="2"/>
  <c r="BS1025" i="2"/>
  <c r="BS1026" i="2"/>
  <c r="BS1027" i="2"/>
  <c r="BS1028" i="2"/>
  <c r="BS1029" i="2"/>
  <c r="BS1030" i="2"/>
  <c r="BS1031" i="2"/>
  <c r="BS1032" i="2"/>
  <c r="BS1033" i="2"/>
  <c r="BS1034" i="2"/>
  <c r="BS1035" i="2"/>
  <c r="BS1036" i="2"/>
  <c r="BS1037" i="2"/>
  <c r="BS1038" i="2"/>
  <c r="BS1039" i="2"/>
  <c r="BS1040" i="2"/>
  <c r="BS1041" i="2"/>
  <c r="BS1042" i="2"/>
  <c r="BS1043" i="2"/>
  <c r="BS1044" i="2"/>
  <c r="BS1045" i="2"/>
  <c r="BS1046" i="2"/>
  <c r="BS1047" i="2"/>
  <c r="BS1048" i="2"/>
  <c r="BS1049" i="2"/>
  <c r="BS1050" i="2"/>
  <c r="BS1051" i="2"/>
  <c r="BS1052" i="2"/>
  <c r="BS1053" i="2"/>
  <c r="BS1054" i="2"/>
  <c r="BS1055" i="2"/>
  <c r="BS1056" i="2"/>
  <c r="BS1057" i="2"/>
  <c r="BS1058" i="2"/>
  <c r="BS1059" i="2"/>
  <c r="BS1060" i="2"/>
  <c r="BS1061" i="2"/>
  <c r="BS1062" i="2"/>
  <c r="BS1063" i="2"/>
  <c r="BS1064" i="2"/>
  <c r="BS1065" i="2"/>
  <c r="BS1066" i="2"/>
  <c r="BS1067" i="2"/>
  <c r="BS1068" i="2"/>
  <c r="BS1069" i="2"/>
  <c r="BS1070" i="2"/>
  <c r="BS1071" i="2"/>
  <c r="BS1072" i="2"/>
  <c r="BS1073" i="2"/>
  <c r="BS1074" i="2"/>
  <c r="BS1075" i="2"/>
  <c r="BS1076" i="2"/>
  <c r="BS1077" i="2"/>
  <c r="BS1078" i="2"/>
  <c r="BS1079" i="2"/>
  <c r="BS1080" i="2"/>
  <c r="BS1081" i="2"/>
  <c r="BS1082" i="2"/>
  <c r="BS1083" i="2"/>
  <c r="BS1084" i="2"/>
  <c r="BS1085" i="2"/>
  <c r="BS1086" i="2"/>
  <c r="BS1087" i="2"/>
  <c r="BS1088" i="2"/>
  <c r="BS1089" i="2"/>
  <c r="BS1090" i="2"/>
  <c r="BS1091" i="2"/>
  <c r="BS1092" i="2"/>
  <c r="BS1093" i="2"/>
  <c r="BS1094" i="2"/>
  <c r="BS1095" i="2"/>
  <c r="BS1096" i="2"/>
  <c r="BS1097" i="2"/>
  <c r="BS1098" i="2"/>
  <c r="BS1099" i="2"/>
  <c r="BS1100" i="2"/>
  <c r="BS1101" i="2"/>
  <c r="BS1102" i="2"/>
  <c r="BS1103" i="2"/>
  <c r="BS1104" i="2"/>
  <c r="BS1105" i="2"/>
  <c r="BS1106" i="2"/>
  <c r="BS1107" i="2"/>
  <c r="BS1108" i="2"/>
  <c r="BS1109" i="2"/>
  <c r="BS1110" i="2"/>
  <c r="BS1111" i="2"/>
  <c r="BS1112" i="2"/>
  <c r="BS1113" i="2"/>
  <c r="BS1114" i="2"/>
  <c r="BS1115" i="2"/>
  <c r="BS1116" i="2"/>
  <c r="BS1117" i="2"/>
  <c r="BS1118" i="2"/>
  <c r="BS1119" i="2"/>
  <c r="BS1120" i="2"/>
  <c r="BS1121" i="2"/>
  <c r="BS1122" i="2"/>
  <c r="BS1123" i="2"/>
  <c r="BS1124" i="2"/>
  <c r="BS1125" i="2"/>
  <c r="BS1126" i="2"/>
  <c r="BS1127" i="2"/>
  <c r="BS1128" i="2"/>
  <c r="BS1129" i="2"/>
  <c r="BS1130" i="2"/>
  <c r="BS1131" i="2"/>
  <c r="BS1132" i="2"/>
  <c r="BS1133" i="2"/>
  <c r="BS1134" i="2"/>
  <c r="BS1135" i="2"/>
  <c r="BS1136" i="2"/>
  <c r="BS1137" i="2"/>
  <c r="BS1138" i="2"/>
  <c r="BS1139" i="2"/>
  <c r="BS1140" i="2"/>
  <c r="BS1141" i="2"/>
  <c r="BS1142" i="2"/>
  <c r="BS1143" i="2"/>
  <c r="BS1144" i="2"/>
  <c r="BS1145" i="2"/>
  <c r="BS1146" i="2"/>
  <c r="BS1147" i="2"/>
  <c r="BS1148" i="2"/>
  <c r="BS1149" i="2"/>
  <c r="BS1150" i="2"/>
  <c r="BS1151" i="2"/>
  <c r="BS1152" i="2"/>
  <c r="BS1153" i="2"/>
  <c r="BS1154" i="2"/>
  <c r="BS1155" i="2"/>
  <c r="BS1156" i="2"/>
  <c r="BS1157" i="2"/>
  <c r="BS1158" i="2"/>
  <c r="BS1159" i="2"/>
  <c r="BS1160" i="2"/>
  <c r="BS1161" i="2"/>
  <c r="BS1162" i="2"/>
  <c r="BS1163" i="2"/>
  <c r="BS1164" i="2"/>
  <c r="BS1165" i="2"/>
  <c r="BS1166" i="2"/>
  <c r="BS1167" i="2"/>
  <c r="BS1168" i="2"/>
  <c r="BS1169" i="2"/>
  <c r="BS1170" i="2"/>
  <c r="BS1171" i="2"/>
  <c r="BS1172" i="2"/>
  <c r="BS1173" i="2"/>
  <c r="BS1174" i="2"/>
  <c r="BS1175" i="2"/>
  <c r="BS1176" i="2"/>
  <c r="BS1177" i="2"/>
  <c r="BS1178" i="2"/>
  <c r="BS1179" i="2"/>
  <c r="BS1180" i="2"/>
  <c r="BS1181" i="2"/>
  <c r="BS1182" i="2"/>
  <c r="BS1183" i="2"/>
  <c r="BS1184" i="2"/>
  <c r="BS1185" i="2"/>
  <c r="BS1186" i="2"/>
  <c r="BS1187" i="2"/>
  <c r="BS1188" i="2"/>
  <c r="BS1189" i="2"/>
  <c r="BS1190" i="2"/>
  <c r="BS1191" i="2"/>
  <c r="BS1192" i="2"/>
  <c r="BS1193" i="2"/>
  <c r="BS1194" i="2"/>
  <c r="BS1195" i="2"/>
  <c r="BS1196" i="2"/>
  <c r="BS1197" i="2"/>
  <c r="BS1198" i="2"/>
  <c r="BS1199" i="2"/>
  <c r="BS1200" i="2"/>
  <c r="BS1201" i="2"/>
  <c r="BS1202" i="2"/>
  <c r="BS1203" i="2"/>
  <c r="BS1204" i="2"/>
  <c r="BS1205" i="2"/>
  <c r="BS1206" i="2"/>
  <c r="BS1207" i="2"/>
  <c r="BS1208" i="2"/>
  <c r="BS1209" i="2"/>
  <c r="BS1210" i="2"/>
  <c r="BS1211" i="2"/>
  <c r="BS1212" i="2"/>
  <c r="BS1213" i="2"/>
  <c r="BS1214" i="2"/>
  <c r="BS1215" i="2"/>
  <c r="BS1216" i="2"/>
  <c r="BS1217" i="2"/>
  <c r="BS1218" i="2"/>
  <c r="BS1219" i="2"/>
  <c r="BS1220" i="2"/>
  <c r="BS1221" i="2"/>
  <c r="BS1222" i="2"/>
  <c r="BS1223" i="2"/>
  <c r="BS1224" i="2"/>
  <c r="BS1225" i="2"/>
  <c r="BS1226" i="2"/>
  <c r="BS1227" i="2"/>
  <c r="BS1228" i="2"/>
  <c r="BS1229" i="2"/>
  <c r="BS1230" i="2"/>
  <c r="BS1231" i="2"/>
  <c r="BS1232" i="2"/>
  <c r="BS1233" i="2"/>
  <c r="BS1234" i="2"/>
  <c r="BS1235" i="2"/>
  <c r="BS1236" i="2"/>
  <c r="BS1237" i="2"/>
  <c r="BS1238" i="2"/>
  <c r="BS1239" i="2"/>
  <c r="BS1240" i="2"/>
  <c r="BS1241" i="2"/>
  <c r="BS1242" i="2"/>
  <c r="BS1243" i="2"/>
  <c r="BS1244" i="2"/>
  <c r="BS1245" i="2"/>
  <c r="BS1246" i="2"/>
  <c r="BS1247" i="2"/>
  <c r="BS1248" i="2"/>
  <c r="BS1249" i="2"/>
  <c r="BS1250" i="2"/>
  <c r="BS1251" i="2"/>
  <c r="BS1252" i="2"/>
  <c r="BS1253" i="2"/>
  <c r="BS1254" i="2"/>
  <c r="BS1255" i="2"/>
  <c r="BS1256" i="2"/>
  <c r="BS1257" i="2"/>
  <c r="BS1258" i="2"/>
  <c r="BS1259" i="2"/>
  <c r="BS1260" i="2"/>
  <c r="BS1261" i="2"/>
  <c r="BS1262" i="2"/>
  <c r="BS1263" i="2"/>
  <c r="BS1264" i="2"/>
  <c r="BS1265" i="2"/>
  <c r="BS1266" i="2"/>
  <c r="BS1267" i="2"/>
  <c r="BS1268" i="2"/>
  <c r="BS1269" i="2"/>
  <c r="BS1270" i="2"/>
  <c r="BS1271" i="2"/>
  <c r="BS1272" i="2"/>
  <c r="BS1273" i="2"/>
  <c r="BS1274" i="2"/>
  <c r="BS1275" i="2"/>
  <c r="BS1276" i="2"/>
  <c r="BS1277" i="2"/>
  <c r="BS1278" i="2"/>
  <c r="BS1279" i="2"/>
  <c r="BS1280" i="2"/>
  <c r="BS1281" i="2"/>
  <c r="BS1282" i="2"/>
  <c r="BS1283" i="2"/>
  <c r="BS1284" i="2"/>
  <c r="BS1285" i="2"/>
  <c r="BS1286" i="2"/>
  <c r="BS1287" i="2"/>
  <c r="BS1288" i="2"/>
  <c r="BS1289" i="2"/>
  <c r="BS1290" i="2"/>
  <c r="BS1291" i="2"/>
  <c r="BS1292" i="2"/>
  <c r="BS1293" i="2"/>
  <c r="BS1294" i="2"/>
  <c r="BS1295" i="2"/>
  <c r="BS1296" i="2"/>
  <c r="BS1297" i="2"/>
  <c r="BS1298" i="2"/>
  <c r="BS1299" i="2"/>
  <c r="BS1300" i="2"/>
  <c r="BS1301" i="2"/>
  <c r="BS1302" i="2"/>
  <c r="BS1303" i="2"/>
  <c r="BS1304" i="2"/>
  <c r="BS1305" i="2"/>
  <c r="BS1306" i="2"/>
  <c r="BS1307" i="2"/>
  <c r="BS1308" i="2"/>
  <c r="BS1309" i="2"/>
  <c r="BS1310" i="2"/>
  <c r="BS1311" i="2"/>
  <c r="BS1312" i="2"/>
  <c r="BS1313" i="2"/>
  <c r="BS1314" i="2"/>
  <c r="BS1315" i="2"/>
  <c r="BS1316" i="2"/>
  <c r="BS1317" i="2"/>
  <c r="BS1318" i="2"/>
  <c r="BS1319" i="2"/>
  <c r="BS1320" i="2"/>
  <c r="BS1321" i="2"/>
  <c r="BS1322" i="2"/>
  <c r="BS1323" i="2"/>
  <c r="BS1324" i="2"/>
  <c r="BS1325" i="2"/>
  <c r="BS1326" i="2"/>
  <c r="BS1327" i="2"/>
  <c r="BS1328" i="2"/>
  <c r="BS1329" i="2"/>
  <c r="BS1330" i="2"/>
  <c r="BS1331" i="2"/>
  <c r="BS1332" i="2"/>
  <c r="BS1333" i="2"/>
  <c r="BS1334" i="2"/>
  <c r="BS1335" i="2"/>
  <c r="BS1336" i="2"/>
  <c r="BS1337" i="2"/>
  <c r="BS1338" i="2"/>
  <c r="BS1339" i="2"/>
  <c r="BS1340" i="2"/>
  <c r="BS1341" i="2"/>
  <c r="BS1342" i="2"/>
  <c r="BS1343" i="2"/>
  <c r="BS1344" i="2"/>
  <c r="BS1345" i="2"/>
  <c r="BS1346" i="2"/>
  <c r="BS1347" i="2"/>
  <c r="BS1348" i="2"/>
  <c r="BS1349" i="2"/>
  <c r="BS1350" i="2"/>
  <c r="BS1351" i="2"/>
  <c r="BS1352" i="2"/>
  <c r="BS1353" i="2"/>
  <c r="BS1354" i="2"/>
  <c r="BS1355" i="2"/>
  <c r="BS1356" i="2"/>
  <c r="BS1357" i="2"/>
  <c r="BS1358" i="2"/>
  <c r="BS1359" i="2"/>
  <c r="BS1360" i="2"/>
  <c r="BS1361" i="2"/>
  <c r="BS1362" i="2"/>
  <c r="BS1363" i="2"/>
  <c r="BS1364" i="2"/>
  <c r="BS1365" i="2"/>
  <c r="BS1366" i="2"/>
  <c r="BS1367" i="2"/>
  <c r="BS1368" i="2"/>
  <c r="BS1369" i="2"/>
  <c r="BS1370" i="2"/>
  <c r="BS1371" i="2"/>
  <c r="BS1372" i="2"/>
  <c r="BS1373" i="2"/>
  <c r="BS1374" i="2"/>
  <c r="BS1375" i="2"/>
  <c r="BS1376" i="2"/>
  <c r="BS1377" i="2"/>
  <c r="BS1378" i="2"/>
  <c r="BS1379" i="2"/>
  <c r="BS1380" i="2"/>
  <c r="BS1381" i="2"/>
  <c r="BS1382" i="2"/>
  <c r="BS1383" i="2"/>
  <c r="BS1384" i="2"/>
  <c r="BS1385" i="2"/>
  <c r="BS1386" i="2"/>
  <c r="BS1387" i="2"/>
  <c r="BS1388" i="2"/>
  <c r="BS1389" i="2"/>
  <c r="BS1390" i="2"/>
  <c r="BS1391" i="2"/>
  <c r="BS1392" i="2"/>
  <c r="BS1393" i="2"/>
  <c r="BS1394" i="2"/>
  <c r="BS1395" i="2"/>
  <c r="BS1396" i="2"/>
  <c r="BS1397" i="2"/>
  <c r="BS1398" i="2"/>
  <c r="BS1399" i="2"/>
  <c r="BS1400" i="2"/>
  <c r="BS1401" i="2"/>
  <c r="BS1402" i="2"/>
  <c r="BS1403" i="2"/>
  <c r="BS1404" i="2"/>
  <c r="BS1405" i="2"/>
  <c r="BS1406" i="2"/>
  <c r="BS1407" i="2"/>
  <c r="BS1408" i="2"/>
  <c r="BS1409" i="2"/>
  <c r="BS1410" i="2"/>
  <c r="BS1411" i="2"/>
  <c r="BS1412" i="2"/>
  <c r="BS1413" i="2"/>
  <c r="BS1414" i="2"/>
  <c r="BS1415" i="2"/>
  <c r="BS1416" i="2"/>
  <c r="BS1417" i="2"/>
  <c r="BS1418" i="2"/>
  <c r="BS1419" i="2"/>
  <c r="BS1420" i="2"/>
  <c r="BS1421" i="2"/>
  <c r="BS1422" i="2"/>
  <c r="BS1423" i="2"/>
  <c r="BS1424" i="2"/>
  <c r="BS1425" i="2"/>
  <c r="BS1426" i="2"/>
  <c r="BS1427" i="2"/>
  <c r="BS1428" i="2"/>
  <c r="BS1429" i="2"/>
  <c r="BS1430" i="2"/>
  <c r="BS1431" i="2"/>
  <c r="BS1432" i="2"/>
  <c r="BS1433" i="2"/>
  <c r="BS1434" i="2"/>
  <c r="BS1435" i="2"/>
  <c r="BS1436" i="2"/>
  <c r="BS1437" i="2"/>
  <c r="BS1438" i="2"/>
  <c r="BS1439" i="2"/>
  <c r="BS1440" i="2"/>
  <c r="BS1441" i="2"/>
  <c r="BS1442" i="2"/>
  <c r="BS1443" i="2"/>
  <c r="BS1444" i="2"/>
  <c r="BS1445" i="2"/>
  <c r="BS1446" i="2"/>
  <c r="BS1447" i="2"/>
  <c r="BS1448" i="2"/>
  <c r="BS1449" i="2"/>
  <c r="BS1450" i="2"/>
  <c r="BS1451" i="2"/>
  <c r="BS1452" i="2"/>
  <c r="BS1453" i="2"/>
  <c r="BS1454" i="2"/>
  <c r="BS1455" i="2"/>
  <c r="BS1456" i="2"/>
  <c r="BS1457" i="2"/>
  <c r="BS1458" i="2"/>
  <c r="BS1459" i="2"/>
  <c r="BS1460" i="2"/>
  <c r="BS1461" i="2"/>
  <c r="BS1462" i="2"/>
  <c r="BS1463" i="2"/>
  <c r="BS1464" i="2"/>
  <c r="BS1465" i="2"/>
  <c r="BS1466" i="2"/>
  <c r="BS1467" i="2"/>
  <c r="BS1468" i="2"/>
  <c r="BS1469" i="2"/>
  <c r="BS1470" i="2"/>
  <c r="BS1471" i="2"/>
  <c r="BS1472" i="2"/>
  <c r="BS1473" i="2"/>
  <c r="BS1474" i="2"/>
  <c r="BS1475" i="2"/>
  <c r="BS1476" i="2"/>
  <c r="BS1477" i="2"/>
  <c r="BS1478" i="2"/>
  <c r="BS1479" i="2"/>
  <c r="BS1480" i="2"/>
  <c r="BS1481" i="2"/>
  <c r="BS1482" i="2"/>
  <c r="BS1483" i="2"/>
  <c r="BS1484" i="2"/>
  <c r="BS1485" i="2"/>
  <c r="BS1486" i="2"/>
  <c r="BS1487" i="2"/>
  <c r="BS1488" i="2"/>
  <c r="BS1489" i="2"/>
  <c r="BS1490" i="2"/>
  <c r="BS1491" i="2"/>
  <c r="BS1492" i="2"/>
  <c r="BS1493" i="2"/>
  <c r="BS1494" i="2"/>
  <c r="BS1495" i="2"/>
  <c r="BS1496" i="2"/>
  <c r="BS1497" i="2"/>
  <c r="BS1498" i="2"/>
  <c r="BS1499" i="2"/>
  <c r="BS1500" i="2"/>
  <c r="BS1501" i="2"/>
  <c r="BS1502" i="2"/>
  <c r="BS1503" i="2"/>
  <c r="BS1504" i="2"/>
  <c r="BS1505" i="2"/>
  <c r="BS1506" i="2"/>
  <c r="BS1507" i="2"/>
  <c r="BS1508" i="2"/>
  <c r="BS1509" i="2"/>
  <c r="BS1510" i="2"/>
  <c r="BS1511" i="2"/>
  <c r="BS1512" i="2"/>
  <c r="BS1513" i="2"/>
  <c r="BS1514" i="2"/>
  <c r="BS1515" i="2"/>
  <c r="BS1516" i="2"/>
  <c r="BS1517" i="2"/>
  <c r="BS1518" i="2"/>
  <c r="BS1519" i="2"/>
  <c r="BS1520" i="2"/>
  <c r="BS1521" i="2"/>
  <c r="BS1522" i="2"/>
  <c r="BS1523" i="2"/>
  <c r="BS1524" i="2"/>
  <c r="BS1525" i="2"/>
  <c r="BS1526" i="2"/>
  <c r="BS1527" i="2"/>
  <c r="BS1528" i="2"/>
  <c r="BS1529" i="2"/>
  <c r="BS1530" i="2"/>
  <c r="BS1531" i="2"/>
  <c r="BS1532" i="2"/>
  <c r="BS1533" i="2"/>
  <c r="BS1534" i="2"/>
  <c r="BS1535" i="2"/>
  <c r="BS1536" i="2"/>
  <c r="BS1537" i="2"/>
  <c r="BS1538" i="2"/>
  <c r="BS1539" i="2"/>
  <c r="BS1540" i="2"/>
  <c r="BS1541" i="2"/>
  <c r="BS1542" i="2"/>
  <c r="BS1543" i="2"/>
  <c r="BS1544" i="2"/>
  <c r="BS1545" i="2"/>
  <c r="BS1546" i="2"/>
  <c r="BS1547" i="2"/>
  <c r="BS1548" i="2"/>
  <c r="BS1549" i="2"/>
  <c r="BS1550" i="2"/>
  <c r="BS1551" i="2"/>
  <c r="BS1552" i="2"/>
  <c r="BS1553" i="2"/>
  <c r="BS1554" i="2"/>
  <c r="BS1555" i="2"/>
  <c r="BS1556" i="2"/>
  <c r="BS1557" i="2"/>
  <c r="BS1558" i="2"/>
  <c r="BS1559" i="2"/>
  <c r="BS1560" i="2"/>
  <c r="BS1561" i="2"/>
  <c r="BS1562" i="2"/>
  <c r="BS1563" i="2"/>
  <c r="BS1564" i="2"/>
  <c r="BS1565" i="2"/>
  <c r="BS1566" i="2"/>
  <c r="BS1567" i="2"/>
  <c r="BS1568" i="2"/>
  <c r="BS1569" i="2"/>
  <c r="BS1570" i="2"/>
  <c r="BS1571" i="2"/>
  <c r="BS1572" i="2"/>
  <c r="BS1573" i="2"/>
  <c r="BS1574" i="2"/>
  <c r="BS1575" i="2"/>
  <c r="BS1576" i="2"/>
  <c r="BS1577" i="2"/>
  <c r="BS1578" i="2"/>
  <c r="BS1579" i="2"/>
  <c r="BS1580" i="2"/>
  <c r="BS1581" i="2"/>
  <c r="BS1582" i="2"/>
  <c r="BS1583" i="2"/>
  <c r="BS1584" i="2"/>
  <c r="BS1585" i="2"/>
  <c r="BS1586" i="2"/>
  <c r="BS1587" i="2"/>
  <c r="BS1588" i="2"/>
  <c r="BS1589" i="2"/>
  <c r="BS1590" i="2"/>
  <c r="BS1591" i="2"/>
  <c r="BS1592" i="2"/>
  <c r="BS1593" i="2"/>
  <c r="BS1594" i="2"/>
  <c r="BS1595" i="2"/>
  <c r="BS1596" i="2"/>
  <c r="BS1597" i="2"/>
  <c r="BS1598" i="2"/>
  <c r="BS1599" i="2"/>
  <c r="BS1600" i="2"/>
  <c r="BS1601" i="2"/>
  <c r="BS1602" i="2"/>
  <c r="BS1603" i="2"/>
  <c r="BS1604" i="2"/>
  <c r="BS1605" i="2"/>
  <c r="BS1606" i="2"/>
  <c r="BS1607" i="2"/>
  <c r="BS1608" i="2"/>
  <c r="BS1609" i="2"/>
  <c r="BS1610" i="2"/>
  <c r="BS1611" i="2"/>
  <c r="BS1612" i="2"/>
  <c r="BS1613" i="2"/>
  <c r="BS1614" i="2"/>
  <c r="BS1615" i="2"/>
  <c r="BS1616" i="2"/>
  <c r="BS1617" i="2"/>
  <c r="BS1618" i="2"/>
  <c r="BS1619" i="2"/>
  <c r="BS1620" i="2"/>
  <c r="BS1621" i="2"/>
  <c r="BS1622" i="2"/>
  <c r="BS1623" i="2"/>
  <c r="BS1624" i="2"/>
  <c r="BS1625" i="2"/>
  <c r="BS1626" i="2"/>
  <c r="BS1627" i="2"/>
  <c r="BS1628" i="2"/>
  <c r="BS1629" i="2"/>
  <c r="BS1630" i="2"/>
  <c r="BS1631" i="2"/>
  <c r="BS1632" i="2"/>
  <c r="BS1633" i="2"/>
  <c r="BS1634" i="2"/>
  <c r="BS1635" i="2"/>
  <c r="BS1636" i="2"/>
  <c r="BS1637" i="2"/>
  <c r="BS1638" i="2"/>
  <c r="BS1639" i="2"/>
  <c r="BS1640" i="2"/>
  <c r="BS1641" i="2"/>
  <c r="BS1642" i="2"/>
  <c r="BS1643" i="2"/>
  <c r="BS1644" i="2"/>
  <c r="BS1645" i="2"/>
  <c r="BS1646" i="2"/>
  <c r="BS1647" i="2"/>
  <c r="BS1648" i="2"/>
  <c r="BS1649" i="2"/>
  <c r="BS1650" i="2"/>
  <c r="BS1651" i="2"/>
  <c r="BS1652" i="2"/>
  <c r="BS1653" i="2"/>
  <c r="BS1654" i="2"/>
  <c r="BS1655" i="2"/>
  <c r="BS1656" i="2"/>
  <c r="BS1657" i="2"/>
  <c r="BS1658" i="2"/>
  <c r="BS1659" i="2"/>
  <c r="BS1660" i="2"/>
  <c r="BS1661" i="2"/>
  <c r="BS1662" i="2"/>
  <c r="BS1663" i="2"/>
  <c r="BS1664" i="2"/>
  <c r="BS1665" i="2"/>
  <c r="BS1666" i="2"/>
  <c r="BS1667" i="2"/>
  <c r="BS1668" i="2"/>
  <c r="BS1669" i="2"/>
  <c r="BS1670" i="2"/>
  <c r="BS1671" i="2"/>
  <c r="BS1672" i="2"/>
  <c r="BS1673" i="2"/>
  <c r="BS1674" i="2"/>
  <c r="BS1675" i="2"/>
  <c r="BS1676" i="2"/>
  <c r="BS1677" i="2"/>
  <c r="BS1678" i="2"/>
  <c r="BS1679" i="2"/>
  <c r="BS1680" i="2"/>
  <c r="BS1681" i="2"/>
  <c r="BS1682" i="2"/>
  <c r="BS1683" i="2"/>
  <c r="BS1684" i="2"/>
  <c r="BS1685" i="2"/>
  <c r="BS1686" i="2"/>
  <c r="BS1687" i="2"/>
  <c r="BS1688" i="2"/>
  <c r="BS1689" i="2"/>
  <c r="BS1690" i="2"/>
  <c r="BS1691" i="2"/>
  <c r="BS1692" i="2"/>
  <c r="BS1693" i="2"/>
  <c r="BS1694" i="2"/>
  <c r="BS1695" i="2"/>
  <c r="BS1696" i="2"/>
  <c r="BS1697" i="2"/>
  <c r="BS1698" i="2"/>
  <c r="BS1699" i="2"/>
  <c r="BS1700" i="2"/>
  <c r="BS1701" i="2"/>
  <c r="BS1702" i="2"/>
  <c r="BS1703" i="2"/>
  <c r="BS1704" i="2"/>
  <c r="BS1705" i="2"/>
  <c r="BS1706" i="2"/>
  <c r="BS1707" i="2"/>
  <c r="BS1708" i="2"/>
  <c r="BS1709" i="2"/>
  <c r="BS1710" i="2"/>
  <c r="BS1711" i="2"/>
  <c r="BS1712" i="2"/>
  <c r="BS1713" i="2"/>
  <c r="BS1714" i="2"/>
  <c r="BS1715" i="2"/>
  <c r="BS1716" i="2"/>
  <c r="BS1717" i="2"/>
  <c r="BS1718" i="2"/>
  <c r="BS1719" i="2"/>
  <c r="BS1720" i="2"/>
  <c r="BS1721" i="2"/>
  <c r="BS1722" i="2"/>
  <c r="BS1723" i="2"/>
  <c r="BS1724" i="2"/>
  <c r="BS1725" i="2"/>
  <c r="BS1726" i="2"/>
  <c r="BS1727" i="2"/>
  <c r="BS1728" i="2"/>
  <c r="BS1729" i="2"/>
  <c r="BS1730" i="2"/>
  <c r="BS1731" i="2"/>
  <c r="BS1732" i="2"/>
  <c r="BS1733" i="2"/>
  <c r="BS1734" i="2"/>
  <c r="BS1735" i="2"/>
  <c r="BS1736" i="2"/>
  <c r="BS1737" i="2"/>
  <c r="BS1738" i="2"/>
  <c r="BS1739" i="2"/>
  <c r="BS1740" i="2"/>
  <c r="BS1741" i="2"/>
  <c r="BS1742" i="2"/>
  <c r="BS1743" i="2"/>
  <c r="BS1744" i="2"/>
  <c r="BS1745" i="2"/>
  <c r="BS1746" i="2"/>
  <c r="BS1747" i="2"/>
  <c r="BS1748" i="2"/>
  <c r="BS1749" i="2"/>
  <c r="BS1750" i="2"/>
  <c r="BS1751" i="2"/>
  <c r="BS1752" i="2"/>
  <c r="BS1753" i="2"/>
  <c r="BS1754" i="2"/>
  <c r="BS1755" i="2"/>
  <c r="BS1756" i="2"/>
  <c r="BS1757" i="2"/>
  <c r="BS1758" i="2"/>
  <c r="BS1759" i="2"/>
  <c r="BS1760" i="2"/>
  <c r="BS1761" i="2"/>
  <c r="BS1762" i="2"/>
  <c r="BS1763" i="2"/>
  <c r="BS1764" i="2"/>
  <c r="BS1765" i="2"/>
  <c r="BS1766" i="2"/>
  <c r="BS1767" i="2"/>
  <c r="BS1768" i="2"/>
  <c r="BS1769" i="2"/>
  <c r="BS1770" i="2"/>
  <c r="BS1771" i="2"/>
  <c r="BS1772" i="2"/>
  <c r="BS1773" i="2"/>
  <c r="BS1774" i="2"/>
  <c r="BS1775" i="2"/>
  <c r="BS1776" i="2"/>
  <c r="BS1777" i="2"/>
  <c r="BS1778" i="2"/>
  <c r="BS1779" i="2"/>
  <c r="BS1780" i="2"/>
  <c r="BS1781" i="2"/>
  <c r="BS1782" i="2"/>
  <c r="BS1783" i="2"/>
  <c r="BS1784" i="2"/>
  <c r="BS1785" i="2"/>
  <c r="BS1786" i="2"/>
  <c r="BS1787" i="2"/>
  <c r="BS1788" i="2"/>
  <c r="BS1789" i="2"/>
  <c r="BS1790" i="2"/>
  <c r="BS1791" i="2"/>
  <c r="BS1792" i="2"/>
  <c r="BS1793" i="2"/>
  <c r="BS1794" i="2"/>
  <c r="BS1795" i="2"/>
  <c r="BS1796" i="2"/>
  <c r="BS1797" i="2"/>
  <c r="BS1798" i="2"/>
  <c r="BS1799" i="2"/>
  <c r="BS1800" i="2"/>
  <c r="BS1801" i="2"/>
  <c r="BS1802" i="2"/>
  <c r="BS1803" i="2"/>
  <c r="BS1804" i="2"/>
  <c r="BS1805" i="2"/>
  <c r="BS1806" i="2"/>
  <c r="BS1807" i="2"/>
  <c r="BS1808" i="2"/>
  <c r="BS1809" i="2"/>
  <c r="BS1810" i="2"/>
  <c r="BS1811" i="2"/>
  <c r="BS1812" i="2"/>
  <c r="BS1813" i="2"/>
  <c r="BS1814" i="2"/>
  <c r="BS1815" i="2"/>
  <c r="BS1816" i="2"/>
  <c r="BS1817" i="2"/>
  <c r="BS1818" i="2"/>
  <c r="BS1819" i="2"/>
  <c r="BS1820" i="2"/>
  <c r="BS1821" i="2"/>
  <c r="BS1822" i="2"/>
  <c r="BS1823" i="2"/>
  <c r="BS1824" i="2"/>
  <c r="BS1825" i="2"/>
  <c r="BS1826" i="2"/>
  <c r="BS1827" i="2"/>
  <c r="BS1828" i="2"/>
  <c r="BS1829" i="2"/>
  <c r="BS1830" i="2"/>
  <c r="BS1831" i="2"/>
  <c r="BS1832" i="2"/>
  <c r="BS1833" i="2"/>
  <c r="BS1834" i="2"/>
  <c r="BS1835" i="2"/>
  <c r="BS1836" i="2"/>
  <c r="BS1837" i="2"/>
  <c r="BS1838" i="2"/>
  <c r="BS1839" i="2"/>
  <c r="BS1840" i="2"/>
  <c r="BS1841" i="2"/>
  <c r="BS1842" i="2"/>
  <c r="BS1843" i="2"/>
  <c r="BS1844" i="2"/>
  <c r="BS1845" i="2"/>
  <c r="BS1846" i="2"/>
  <c r="BS1847" i="2"/>
  <c r="BS1848" i="2"/>
  <c r="BS1849" i="2"/>
  <c r="BS1850" i="2"/>
  <c r="BS1851" i="2"/>
  <c r="BS1852" i="2"/>
  <c r="BS1853" i="2"/>
  <c r="BS1854" i="2"/>
  <c r="BS1855" i="2"/>
  <c r="BS1856" i="2"/>
  <c r="BS1857" i="2"/>
  <c r="BS1858" i="2"/>
  <c r="BS1859" i="2"/>
  <c r="BS1860" i="2"/>
  <c r="BS1861" i="2"/>
  <c r="BS1862" i="2"/>
  <c r="BS1863" i="2"/>
  <c r="BS1864" i="2"/>
  <c r="BS1865" i="2"/>
  <c r="BS1866" i="2"/>
  <c r="BS1867" i="2"/>
  <c r="BS1868" i="2"/>
  <c r="BS1869" i="2"/>
  <c r="BS1870" i="2"/>
  <c r="BS1871" i="2"/>
  <c r="BS1872" i="2"/>
  <c r="BS1873" i="2"/>
  <c r="BS1874" i="2"/>
  <c r="BS1875" i="2"/>
  <c r="BS1876" i="2"/>
  <c r="BS1877" i="2"/>
  <c r="BS1878" i="2"/>
  <c r="BS1879" i="2"/>
  <c r="BS1880" i="2"/>
  <c r="BS1881" i="2"/>
  <c r="BS1882" i="2"/>
  <c r="BS1883" i="2"/>
  <c r="BS1884" i="2"/>
  <c r="BS1885" i="2"/>
  <c r="BS1886" i="2"/>
  <c r="BS1887" i="2"/>
  <c r="BS1888" i="2"/>
  <c r="BS1889" i="2"/>
  <c r="BS1890" i="2"/>
  <c r="BS1891" i="2"/>
  <c r="BS1892" i="2"/>
  <c r="BS1893" i="2"/>
  <c r="BS1894" i="2"/>
  <c r="BS1895" i="2"/>
  <c r="BS1896" i="2"/>
  <c r="BS1897" i="2"/>
  <c r="BS1898" i="2"/>
  <c r="BS1899" i="2"/>
  <c r="BS1900" i="2"/>
  <c r="BS1901" i="2"/>
  <c r="BS1902" i="2"/>
  <c r="BS1903" i="2"/>
  <c r="BS1904" i="2"/>
  <c r="BS1905" i="2"/>
  <c r="BS1906" i="2"/>
  <c r="BS1907" i="2"/>
  <c r="BS1908" i="2"/>
  <c r="BS1909" i="2"/>
  <c r="BS1910" i="2"/>
  <c r="BS1911" i="2"/>
  <c r="BS1912" i="2"/>
  <c r="BS1913" i="2"/>
  <c r="BS1914" i="2"/>
  <c r="BS1915" i="2"/>
  <c r="BS1916" i="2"/>
  <c r="BS1917" i="2"/>
  <c r="BS1918" i="2"/>
  <c r="BS1919" i="2"/>
  <c r="BS1920" i="2"/>
  <c r="BS1921" i="2"/>
  <c r="BS1922" i="2"/>
  <c r="BS1923" i="2"/>
  <c r="BS1924" i="2"/>
  <c r="BS1925" i="2"/>
  <c r="BS1926" i="2"/>
  <c r="BS1927" i="2"/>
  <c r="BS1928" i="2"/>
  <c r="BS1929" i="2"/>
  <c r="BS1930" i="2"/>
  <c r="BS1931" i="2"/>
  <c r="BS1932" i="2"/>
  <c r="BS1933" i="2"/>
  <c r="BS1934" i="2"/>
  <c r="BS1935" i="2"/>
  <c r="BS1936" i="2"/>
  <c r="BS1937" i="2"/>
  <c r="BS1938" i="2"/>
  <c r="BS1939" i="2"/>
  <c r="BS1940" i="2"/>
  <c r="BS1941" i="2"/>
  <c r="BS1942" i="2"/>
  <c r="BS1943" i="2"/>
  <c r="BS1944" i="2"/>
  <c r="BS1945" i="2"/>
  <c r="BS1946" i="2"/>
  <c r="BS1947" i="2"/>
  <c r="BS1948" i="2"/>
  <c r="BS1949" i="2"/>
  <c r="BS1950" i="2"/>
  <c r="BS1951" i="2"/>
  <c r="BS1952" i="2"/>
  <c r="BS1953" i="2"/>
  <c r="BS1954" i="2"/>
  <c r="BS1955" i="2"/>
  <c r="BS1956" i="2"/>
  <c r="BS1957" i="2"/>
  <c r="BS1958" i="2"/>
  <c r="BS1959" i="2"/>
  <c r="BS1960" i="2"/>
  <c r="BS1961" i="2"/>
  <c r="BS1962" i="2"/>
  <c r="BS1963" i="2"/>
  <c r="BS1964" i="2"/>
  <c r="BS1965" i="2"/>
  <c r="BS1966" i="2"/>
  <c r="BS1967" i="2"/>
  <c r="BS1968" i="2"/>
  <c r="BS1969" i="2"/>
  <c r="BS1970" i="2"/>
  <c r="BS1971" i="2"/>
  <c r="BS1972" i="2"/>
  <c r="BS1973" i="2"/>
  <c r="BS1974" i="2"/>
  <c r="BS1975" i="2"/>
  <c r="BS1976" i="2"/>
  <c r="BS1977" i="2"/>
  <c r="BS1978" i="2"/>
  <c r="BS1979" i="2"/>
  <c r="BS1980" i="2"/>
  <c r="BS1981" i="2"/>
  <c r="BS1982" i="2"/>
  <c r="BS1983" i="2"/>
  <c r="BS1984" i="2"/>
  <c r="BS1985" i="2"/>
  <c r="BS1986" i="2"/>
  <c r="BS1987" i="2"/>
  <c r="BS1988" i="2"/>
  <c r="BS1989" i="2"/>
  <c r="BS1990" i="2"/>
  <c r="BS1991" i="2"/>
  <c r="BS1992" i="2"/>
  <c r="BS1993" i="2"/>
  <c r="BS1994" i="2"/>
  <c r="BS1995" i="2"/>
  <c r="BS1996" i="2"/>
  <c r="BS1997" i="2"/>
  <c r="BS1998" i="2"/>
  <c r="BS1999" i="2"/>
  <c r="BS2000" i="2"/>
  <c r="BS2001" i="2"/>
  <c r="BS2002" i="2"/>
  <c r="BS2003" i="2"/>
  <c r="BS2004" i="2"/>
  <c r="BS2005" i="2"/>
  <c r="BS2006" i="2"/>
  <c r="BS2007" i="2"/>
  <c r="BS2008" i="2"/>
  <c r="BS2009" i="2"/>
  <c r="BS2010" i="2"/>
  <c r="BS2011" i="2"/>
  <c r="BS2012" i="2"/>
  <c r="BS2013" i="2"/>
  <c r="BS2014" i="2"/>
  <c r="BS2015" i="2"/>
  <c r="BS2016" i="2"/>
  <c r="BS2017" i="2"/>
  <c r="BS2018" i="2"/>
  <c r="BS2019" i="2"/>
  <c r="BS2020" i="2"/>
  <c r="BS2021" i="2"/>
  <c r="BS2022" i="2"/>
  <c r="BS2023" i="2"/>
  <c r="BS2024" i="2"/>
  <c r="BS2025" i="2"/>
  <c r="BS2026" i="2"/>
  <c r="BS2027" i="2"/>
  <c r="BS2028" i="2"/>
  <c r="BS2029" i="2"/>
  <c r="BS2030" i="2"/>
  <c r="BS2031" i="2"/>
  <c r="BS2032" i="2"/>
  <c r="BS2033" i="2"/>
  <c r="BS2034" i="2"/>
  <c r="BS2035" i="2"/>
  <c r="BS2036" i="2"/>
  <c r="BS2037" i="2"/>
  <c r="BS2038" i="2"/>
  <c r="BS2039" i="2"/>
  <c r="BS2040" i="2"/>
  <c r="BS2041" i="2"/>
  <c r="BS2042" i="2"/>
  <c r="BS2043" i="2"/>
  <c r="BS2044" i="2"/>
  <c r="BS2045" i="2"/>
  <c r="BS2046" i="2"/>
  <c r="BS2047" i="2"/>
  <c r="BS2048" i="2"/>
  <c r="BS2049" i="2"/>
  <c r="BS2050" i="2"/>
  <c r="BS2051" i="2"/>
  <c r="BS2052" i="2"/>
  <c r="BS2053" i="2"/>
  <c r="BS2054" i="2"/>
  <c r="BS2055" i="2"/>
  <c r="BS2056" i="2"/>
  <c r="BS2057" i="2"/>
  <c r="BS2058" i="2"/>
  <c r="BS2059" i="2"/>
  <c r="BS2060" i="2"/>
  <c r="BS2061" i="2"/>
  <c r="BS2062" i="2"/>
  <c r="BS2063" i="2"/>
  <c r="BS2064" i="2"/>
  <c r="BS2065" i="2"/>
  <c r="BS2066" i="2"/>
  <c r="BS2067" i="2"/>
  <c r="BS2068" i="2"/>
  <c r="BS2069" i="2"/>
  <c r="BS2070" i="2"/>
  <c r="BS2071" i="2"/>
  <c r="BS2072" i="2"/>
  <c r="BS2073" i="2"/>
  <c r="BS2074" i="2"/>
  <c r="BS2075" i="2"/>
  <c r="BS2076" i="2"/>
  <c r="BS2077" i="2"/>
  <c r="BS2078" i="2"/>
  <c r="BS2079" i="2"/>
  <c r="BS2080" i="2"/>
  <c r="BS2081" i="2"/>
  <c r="BS2082" i="2"/>
  <c r="BS2083" i="2"/>
  <c r="BS2084" i="2"/>
  <c r="BS2085" i="2"/>
  <c r="BS2086" i="2"/>
  <c r="BS2087" i="2"/>
  <c r="BS2088" i="2"/>
  <c r="BS2089" i="2"/>
  <c r="BS2090" i="2"/>
  <c r="BS2091" i="2"/>
  <c r="BS2092" i="2"/>
  <c r="BS2093" i="2"/>
  <c r="BS2094" i="2"/>
  <c r="BS2095" i="2"/>
  <c r="BS2096" i="2"/>
  <c r="BS2097" i="2"/>
  <c r="BS2098" i="2"/>
  <c r="BS2099" i="2"/>
  <c r="BS2100" i="2"/>
  <c r="BS2101" i="2"/>
  <c r="BS2102" i="2"/>
  <c r="BS2103" i="2"/>
  <c r="BS2104" i="2"/>
  <c r="BS2105" i="2"/>
  <c r="BS2106" i="2"/>
  <c r="BS2107" i="2"/>
  <c r="BS2108" i="2"/>
  <c r="BS2109" i="2"/>
  <c r="BS2110" i="2"/>
  <c r="BS2111" i="2"/>
  <c r="BS2112" i="2"/>
  <c r="BS2113" i="2"/>
  <c r="BS2114" i="2"/>
  <c r="BS2115" i="2"/>
  <c r="BS2116" i="2"/>
  <c r="BS2117" i="2"/>
  <c r="BS2118" i="2"/>
  <c r="BS2119" i="2"/>
  <c r="BS2120" i="2"/>
  <c r="BS2121" i="2"/>
  <c r="BS2122" i="2"/>
  <c r="BS2123" i="2"/>
  <c r="BS2124" i="2"/>
  <c r="BS2125" i="2"/>
  <c r="BS2126" i="2"/>
  <c r="BS2127" i="2"/>
  <c r="BS2128" i="2"/>
  <c r="BS2129" i="2"/>
  <c r="BS2130" i="2"/>
  <c r="BS2131" i="2"/>
  <c r="BS2132" i="2"/>
  <c r="BS2" i="2"/>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436" i="17"/>
  <c r="H437" i="17"/>
  <c r="H438" i="17"/>
  <c r="H439" i="17"/>
  <c r="H440" i="17"/>
  <c r="H441" i="17"/>
  <c r="H442" i="17"/>
  <c r="H443" i="17"/>
  <c r="H444" i="17"/>
  <c r="H445" i="17"/>
  <c r="H446" i="17"/>
  <c r="H447" i="17"/>
  <c r="H448" i="17"/>
  <c r="H449" i="17"/>
  <c r="H450" i="17"/>
  <c r="H451" i="17"/>
  <c r="H452" i="17"/>
  <c r="H453" i="17"/>
  <c r="H454" i="17"/>
  <c r="H455" i="17"/>
  <c r="H456" i="17"/>
  <c r="H457" i="17"/>
  <c r="H458" i="17"/>
  <c r="H459" i="17"/>
  <c r="H460" i="17"/>
  <c r="H461" i="17"/>
  <c r="H462" i="17"/>
  <c r="H463" i="17"/>
  <c r="H464" i="17"/>
  <c r="H465" i="17"/>
  <c r="H466" i="17"/>
  <c r="H467" i="17"/>
  <c r="H468" i="17"/>
  <c r="H469" i="17"/>
  <c r="H470" i="17"/>
  <c r="H471" i="17"/>
  <c r="H472" i="17"/>
  <c r="H473" i="17"/>
  <c r="H474" i="17"/>
  <c r="H475" i="17"/>
  <c r="H476" i="17"/>
  <c r="H477" i="17"/>
  <c r="H478" i="17"/>
  <c r="H479" i="17"/>
  <c r="H480" i="17"/>
  <c r="H481" i="17"/>
  <c r="H482" i="17"/>
  <c r="H483" i="17"/>
  <c r="H484" i="17"/>
  <c r="H485" i="17"/>
  <c r="H486" i="17"/>
  <c r="H487" i="17"/>
  <c r="H488" i="17"/>
  <c r="H489" i="17"/>
  <c r="H490" i="17"/>
  <c r="H491" i="17"/>
  <c r="H492" i="17"/>
  <c r="H493" i="17"/>
  <c r="H494" i="17"/>
  <c r="H495" i="17"/>
  <c r="H496" i="17"/>
  <c r="H497" i="17"/>
  <c r="H498" i="17"/>
  <c r="H499" i="17"/>
  <c r="H500" i="17"/>
  <c r="H501" i="17"/>
  <c r="H502" i="17"/>
  <c r="H503" i="17"/>
  <c r="H504" i="17"/>
  <c r="H505" i="17"/>
  <c r="H506" i="17"/>
  <c r="H507" i="17"/>
  <c r="H508" i="17"/>
  <c r="H509" i="17"/>
  <c r="H510" i="17"/>
  <c r="H511" i="17"/>
  <c r="H512" i="17"/>
  <c r="H513" i="17"/>
  <c r="H514" i="17"/>
  <c r="H515" i="17"/>
  <c r="H516" i="17"/>
  <c r="H517" i="17"/>
  <c r="H518" i="17"/>
  <c r="H519" i="17"/>
  <c r="H520" i="17"/>
  <c r="H521" i="17"/>
  <c r="H522" i="17"/>
  <c r="H523" i="17"/>
  <c r="H524" i="17"/>
  <c r="H525" i="17"/>
  <c r="H526" i="17"/>
  <c r="H527" i="17"/>
  <c r="H528" i="17"/>
  <c r="H529" i="17"/>
  <c r="H530" i="17"/>
  <c r="H531" i="17"/>
  <c r="H532" i="17"/>
  <c r="H533" i="17"/>
  <c r="H534" i="17"/>
  <c r="H535" i="17"/>
  <c r="H536" i="17"/>
  <c r="H537" i="17"/>
  <c r="H538" i="17"/>
  <c r="H539" i="17"/>
  <c r="H540" i="17"/>
  <c r="H541" i="17"/>
  <c r="H542" i="17"/>
  <c r="H543" i="17"/>
  <c r="H544" i="17"/>
  <c r="H545" i="17"/>
  <c r="H2"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2" i="17"/>
  <c r="C2"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C169" i="17"/>
  <c r="C170" i="17"/>
  <c r="C171" i="17"/>
  <c r="C172" i="17"/>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19" i="17"/>
  <c r="C520" i="17"/>
  <c r="C521" i="17"/>
  <c r="C522" i="17"/>
  <c r="C523" i="17"/>
  <c r="C524" i="17"/>
  <c r="C525" i="17"/>
  <c r="C526" i="17"/>
  <c r="C527" i="17"/>
  <c r="C528" i="17"/>
  <c r="C529" i="17"/>
  <c r="C530" i="17"/>
  <c r="C531" i="17"/>
  <c r="C532" i="17"/>
  <c r="C533" i="17"/>
  <c r="C534" i="17"/>
  <c r="C535" i="17"/>
  <c r="C536" i="17"/>
  <c r="C537" i="17"/>
  <c r="C538" i="17"/>
  <c r="C539" i="17"/>
  <c r="C540" i="17"/>
  <c r="C541" i="17"/>
  <c r="C542" i="17"/>
  <c r="C543" i="17"/>
  <c r="C544" i="17"/>
  <c r="C545" i="17"/>
  <c r="BL3" i="2"/>
  <c r="BL4" i="2"/>
  <c r="BL5" i="2"/>
  <c r="BL6" i="2"/>
  <c r="BL7" i="2"/>
  <c r="BL8" i="2"/>
  <c r="BL9" i="2"/>
  <c r="BL10" i="2"/>
  <c r="BL11" i="2"/>
  <c r="BL12" i="2"/>
  <c r="BL13" i="2"/>
  <c r="BL14" i="2"/>
  <c r="BL15" i="2"/>
  <c r="BL16" i="2"/>
  <c r="BL17" i="2"/>
  <c r="BL18" i="2"/>
  <c r="BL19" i="2"/>
  <c r="BL20" i="2"/>
  <c r="BL21" i="2"/>
  <c r="BL22" i="2"/>
  <c r="BL23" i="2"/>
  <c r="BL24" i="2"/>
  <c r="BL25" i="2"/>
  <c r="BL26" i="2"/>
  <c r="BL27" i="2"/>
  <c r="BL28" i="2"/>
  <c r="BL29" i="2"/>
  <c r="BL30" i="2"/>
  <c r="BL31" i="2"/>
  <c r="BL32" i="2"/>
  <c r="BL33" i="2"/>
  <c r="BL34" i="2"/>
  <c r="BL35" i="2"/>
  <c r="BL36" i="2"/>
  <c r="BL37" i="2"/>
  <c r="BL38" i="2"/>
  <c r="BL39" i="2"/>
  <c r="BL40" i="2"/>
  <c r="BL41" i="2"/>
  <c r="BL42" i="2"/>
  <c r="BL43" i="2"/>
  <c r="BL44" i="2"/>
  <c r="BL45" i="2"/>
  <c r="BL46" i="2"/>
  <c r="BL47" i="2"/>
  <c r="BL48" i="2"/>
  <c r="BL49" i="2"/>
  <c r="BL50" i="2"/>
  <c r="BL51" i="2"/>
  <c r="BL52" i="2"/>
  <c r="BL53" i="2"/>
  <c r="BL54" i="2"/>
  <c r="BL55" i="2"/>
  <c r="BL56" i="2"/>
  <c r="BL57" i="2"/>
  <c r="BL58" i="2"/>
  <c r="BL59" i="2"/>
  <c r="BL60" i="2"/>
  <c r="BL61" i="2"/>
  <c r="BL62" i="2"/>
  <c r="BL63" i="2"/>
  <c r="BL64" i="2"/>
  <c r="BL65" i="2"/>
  <c r="BL66" i="2"/>
  <c r="BL67" i="2"/>
  <c r="BL68" i="2"/>
  <c r="BL69" i="2"/>
  <c r="BL70" i="2"/>
  <c r="BL71" i="2"/>
  <c r="BL72" i="2"/>
  <c r="BL73" i="2"/>
  <c r="BL74" i="2"/>
  <c r="BL75" i="2"/>
  <c r="BL76" i="2"/>
  <c r="BL77" i="2"/>
  <c r="BL78" i="2"/>
  <c r="BL79" i="2"/>
  <c r="BL80" i="2"/>
  <c r="BL81" i="2"/>
  <c r="BL82" i="2"/>
  <c r="BL83" i="2"/>
  <c r="BL84" i="2"/>
  <c r="BL85" i="2"/>
  <c r="BL86" i="2"/>
  <c r="BL87" i="2"/>
  <c r="BL88" i="2"/>
  <c r="BL89" i="2"/>
  <c r="BL90" i="2"/>
  <c r="BL91" i="2"/>
  <c r="BL92" i="2"/>
  <c r="BL93" i="2"/>
  <c r="BL94" i="2"/>
  <c r="BL95" i="2"/>
  <c r="BL96" i="2"/>
  <c r="BL97" i="2"/>
  <c r="BL98" i="2"/>
  <c r="BL99" i="2"/>
  <c r="BL100" i="2"/>
  <c r="BL101" i="2"/>
  <c r="BL102" i="2"/>
  <c r="BL103" i="2"/>
  <c r="BL104" i="2"/>
  <c r="BL105" i="2"/>
  <c r="BL106" i="2"/>
  <c r="BL107" i="2"/>
  <c r="BL108" i="2"/>
  <c r="BL109" i="2"/>
  <c r="BL110" i="2"/>
  <c r="BL111" i="2"/>
  <c r="BL112" i="2"/>
  <c r="BL113" i="2"/>
  <c r="BL114" i="2"/>
  <c r="BL115" i="2"/>
  <c r="BL116" i="2"/>
  <c r="BL117" i="2"/>
  <c r="BL118" i="2"/>
  <c r="BL119" i="2"/>
  <c r="BL120" i="2"/>
  <c r="BL121" i="2"/>
  <c r="BL122" i="2"/>
  <c r="BL123" i="2"/>
  <c r="BL124" i="2"/>
  <c r="BL125" i="2"/>
  <c r="BL126" i="2"/>
  <c r="BL127" i="2"/>
  <c r="BL128" i="2"/>
  <c r="BL129" i="2"/>
  <c r="BL130" i="2"/>
  <c r="BL131" i="2"/>
  <c r="BL132" i="2"/>
  <c r="BL133" i="2"/>
  <c r="BL134" i="2"/>
  <c r="BL135" i="2"/>
  <c r="BL136" i="2"/>
  <c r="BL137" i="2"/>
  <c r="BL138" i="2"/>
  <c r="BL139" i="2"/>
  <c r="BL140" i="2"/>
  <c r="BL141" i="2"/>
  <c r="BL142" i="2"/>
  <c r="BL143" i="2"/>
  <c r="BL144" i="2"/>
  <c r="BL145" i="2"/>
  <c r="BL146" i="2"/>
  <c r="BL147" i="2"/>
  <c r="BL148" i="2"/>
  <c r="BL149" i="2"/>
  <c r="BL150" i="2"/>
  <c r="BL151" i="2"/>
  <c r="BL152" i="2"/>
  <c r="BL153" i="2"/>
  <c r="BL154" i="2"/>
  <c r="BL155" i="2"/>
  <c r="BL156" i="2"/>
  <c r="BL157" i="2"/>
  <c r="BL158" i="2"/>
  <c r="BL159" i="2"/>
  <c r="BL160" i="2"/>
  <c r="BL161" i="2"/>
  <c r="BL162" i="2"/>
  <c r="BL163" i="2"/>
  <c r="BL164" i="2"/>
  <c r="BL165" i="2"/>
  <c r="BL166" i="2"/>
  <c r="BL167" i="2"/>
  <c r="BL168" i="2"/>
  <c r="BL169" i="2"/>
  <c r="BL170" i="2"/>
  <c r="BL171" i="2"/>
  <c r="BL172" i="2"/>
  <c r="BL173" i="2"/>
  <c r="BL174" i="2"/>
  <c r="BL175" i="2"/>
  <c r="BL176" i="2"/>
  <c r="BL177" i="2"/>
  <c r="BL178" i="2"/>
  <c r="BL179" i="2"/>
  <c r="BL180" i="2"/>
  <c r="BL181" i="2"/>
  <c r="BL182" i="2"/>
  <c r="BL183" i="2"/>
  <c r="BL184" i="2"/>
  <c r="BL185" i="2"/>
  <c r="BL186" i="2"/>
  <c r="BL187" i="2"/>
  <c r="BL188" i="2"/>
  <c r="BL189" i="2"/>
  <c r="BL190" i="2"/>
  <c r="BL191" i="2"/>
  <c r="BL192" i="2"/>
  <c r="BL193" i="2"/>
  <c r="BL194" i="2"/>
  <c r="BL195" i="2"/>
  <c r="BL196" i="2"/>
  <c r="BL197" i="2"/>
  <c r="BL198" i="2"/>
  <c r="BL199" i="2"/>
  <c r="BL200" i="2"/>
  <c r="BL201" i="2"/>
  <c r="BL202" i="2"/>
  <c r="BL203" i="2"/>
  <c r="BL204" i="2"/>
  <c r="BL205" i="2"/>
  <c r="BL206" i="2"/>
  <c r="BL207" i="2"/>
  <c r="BL208" i="2"/>
  <c r="BL209" i="2"/>
  <c r="BL210" i="2"/>
  <c r="BL211" i="2"/>
  <c r="BL212" i="2"/>
  <c r="BL213" i="2"/>
  <c r="BL214" i="2"/>
  <c r="BL215" i="2"/>
  <c r="BL216" i="2"/>
  <c r="BL217" i="2"/>
  <c r="BL218" i="2"/>
  <c r="BL219" i="2"/>
  <c r="BL220" i="2"/>
  <c r="BL221" i="2"/>
  <c r="BL222" i="2"/>
  <c r="BL223" i="2"/>
  <c r="BL224" i="2"/>
  <c r="BL225" i="2"/>
  <c r="BL226" i="2"/>
  <c r="BL227" i="2"/>
  <c r="BL228" i="2"/>
  <c r="BL229" i="2"/>
  <c r="BL230" i="2"/>
  <c r="BL231" i="2"/>
  <c r="BL232" i="2"/>
  <c r="BL233" i="2"/>
  <c r="BL234" i="2"/>
  <c r="BL235" i="2"/>
  <c r="BL236" i="2"/>
  <c r="BL237" i="2"/>
  <c r="BL238" i="2"/>
  <c r="BL239" i="2"/>
  <c r="BL240" i="2"/>
  <c r="BL241" i="2"/>
  <c r="BL242" i="2"/>
  <c r="BL243" i="2"/>
  <c r="BL244" i="2"/>
  <c r="BL245" i="2"/>
  <c r="BL246" i="2"/>
  <c r="BL247" i="2"/>
  <c r="BL248" i="2"/>
  <c r="BL249" i="2"/>
  <c r="BL250" i="2"/>
  <c r="BL251" i="2"/>
  <c r="BL252" i="2"/>
  <c r="BL253" i="2"/>
  <c r="BL254" i="2"/>
  <c r="BL255" i="2"/>
  <c r="BL256" i="2"/>
  <c r="BL257" i="2"/>
  <c r="BL258" i="2"/>
  <c r="BL259" i="2"/>
  <c r="BL260" i="2"/>
  <c r="BL261" i="2"/>
  <c r="BL262" i="2"/>
  <c r="BL263" i="2"/>
  <c r="BL264" i="2"/>
  <c r="BL265" i="2"/>
  <c r="BL266" i="2"/>
  <c r="BL267" i="2"/>
  <c r="BL268" i="2"/>
  <c r="BL269" i="2"/>
  <c r="BL270" i="2"/>
  <c r="BL271" i="2"/>
  <c r="BL272" i="2"/>
  <c r="BL273" i="2"/>
  <c r="BL274" i="2"/>
  <c r="BL275" i="2"/>
  <c r="BL276" i="2"/>
  <c r="BL277" i="2"/>
  <c r="BL278" i="2"/>
  <c r="BL279" i="2"/>
  <c r="BL280" i="2"/>
  <c r="BL281" i="2"/>
  <c r="BL282" i="2"/>
  <c r="BL283" i="2"/>
  <c r="BL284" i="2"/>
  <c r="BL285" i="2"/>
  <c r="BL286" i="2"/>
  <c r="BL287" i="2"/>
  <c r="BL288" i="2"/>
  <c r="BL289" i="2"/>
  <c r="BL290" i="2"/>
  <c r="BL291" i="2"/>
  <c r="BL292" i="2"/>
  <c r="BL293" i="2"/>
  <c r="BL294" i="2"/>
  <c r="BL295" i="2"/>
  <c r="BL296" i="2"/>
  <c r="BL297" i="2"/>
  <c r="BL298" i="2"/>
  <c r="BL299" i="2"/>
  <c r="BL300" i="2"/>
  <c r="BL301" i="2"/>
  <c r="BL302" i="2"/>
  <c r="BL303" i="2"/>
  <c r="BL304" i="2"/>
  <c r="BL305" i="2"/>
  <c r="BL306" i="2"/>
  <c r="BL307" i="2"/>
  <c r="BL308" i="2"/>
  <c r="BL309" i="2"/>
  <c r="BL310" i="2"/>
  <c r="BL311" i="2"/>
  <c r="BL312" i="2"/>
  <c r="BL313" i="2"/>
  <c r="BL314" i="2"/>
  <c r="BL315" i="2"/>
  <c r="BL316" i="2"/>
  <c r="BL317" i="2"/>
  <c r="BL318" i="2"/>
  <c r="BL319" i="2"/>
  <c r="BL320" i="2"/>
  <c r="BL321" i="2"/>
  <c r="BL322" i="2"/>
  <c r="BL323" i="2"/>
  <c r="BL324" i="2"/>
  <c r="BL325" i="2"/>
  <c r="BL326" i="2"/>
  <c r="BL327" i="2"/>
  <c r="BL328" i="2"/>
  <c r="BL329" i="2"/>
  <c r="BL330" i="2"/>
  <c r="BL331" i="2"/>
  <c r="BL332" i="2"/>
  <c r="BL333" i="2"/>
  <c r="BL334" i="2"/>
  <c r="BL335" i="2"/>
  <c r="BL336" i="2"/>
  <c r="BL337" i="2"/>
  <c r="BL338" i="2"/>
  <c r="BL339" i="2"/>
  <c r="BL340" i="2"/>
  <c r="BL341" i="2"/>
  <c r="BL342" i="2"/>
  <c r="BL343" i="2"/>
  <c r="BL344" i="2"/>
  <c r="BL345" i="2"/>
  <c r="BL346" i="2"/>
  <c r="BL347" i="2"/>
  <c r="BL348" i="2"/>
  <c r="BL349" i="2"/>
  <c r="BL350" i="2"/>
  <c r="BL351" i="2"/>
  <c r="BL352" i="2"/>
  <c r="BL353" i="2"/>
  <c r="BL354" i="2"/>
  <c r="BL355" i="2"/>
  <c r="BL356" i="2"/>
  <c r="BL357" i="2"/>
  <c r="BL358" i="2"/>
  <c r="BL359" i="2"/>
  <c r="BL360" i="2"/>
  <c r="BL361" i="2"/>
  <c r="BL362" i="2"/>
  <c r="BL363" i="2"/>
  <c r="BL364" i="2"/>
  <c r="BL365" i="2"/>
  <c r="BL366" i="2"/>
  <c r="BL367" i="2"/>
  <c r="BL368" i="2"/>
  <c r="BL369" i="2"/>
  <c r="BL370" i="2"/>
  <c r="BL371" i="2"/>
  <c r="BL372" i="2"/>
  <c r="BL373" i="2"/>
  <c r="BL374" i="2"/>
  <c r="BL375" i="2"/>
  <c r="BL376" i="2"/>
  <c r="BL377" i="2"/>
  <c r="BL378" i="2"/>
  <c r="BL379" i="2"/>
  <c r="BL380" i="2"/>
  <c r="BL381" i="2"/>
  <c r="BL382" i="2"/>
  <c r="BL383" i="2"/>
  <c r="BL384" i="2"/>
  <c r="BL385" i="2"/>
  <c r="BL386" i="2"/>
  <c r="BL387" i="2"/>
  <c r="BL388" i="2"/>
  <c r="BL389" i="2"/>
  <c r="BL390" i="2"/>
  <c r="BL391" i="2"/>
  <c r="BL392" i="2"/>
  <c r="BL393" i="2"/>
  <c r="BL394" i="2"/>
  <c r="BL395" i="2"/>
  <c r="BL396" i="2"/>
  <c r="BL397" i="2"/>
  <c r="BL398" i="2"/>
  <c r="BL399" i="2"/>
  <c r="BL400" i="2"/>
  <c r="BL401" i="2"/>
  <c r="BL402" i="2"/>
  <c r="BL403" i="2"/>
  <c r="BL404" i="2"/>
  <c r="BL405" i="2"/>
  <c r="BL406" i="2"/>
  <c r="BL407" i="2"/>
  <c r="BL408" i="2"/>
  <c r="BL409" i="2"/>
  <c r="BL410" i="2"/>
  <c r="BL411" i="2"/>
  <c r="BL412" i="2"/>
  <c r="BL413" i="2"/>
  <c r="BL414" i="2"/>
  <c r="BL415" i="2"/>
  <c r="BL416" i="2"/>
  <c r="BL417" i="2"/>
  <c r="BL418" i="2"/>
  <c r="BL419" i="2"/>
  <c r="BL420" i="2"/>
  <c r="BL421" i="2"/>
  <c r="BL422" i="2"/>
  <c r="BL423" i="2"/>
  <c r="BL424" i="2"/>
  <c r="BL425" i="2"/>
  <c r="BL426" i="2"/>
  <c r="BL427" i="2"/>
  <c r="BL428" i="2"/>
  <c r="BL429" i="2"/>
  <c r="BL430" i="2"/>
  <c r="BL431" i="2"/>
  <c r="BL432" i="2"/>
  <c r="BL433" i="2"/>
  <c r="BL434" i="2"/>
  <c r="BL435" i="2"/>
  <c r="BL436" i="2"/>
  <c r="BL437" i="2"/>
  <c r="BL438" i="2"/>
  <c r="BL439" i="2"/>
  <c r="BL440" i="2"/>
  <c r="BL441" i="2"/>
  <c r="BL442" i="2"/>
  <c r="BL443" i="2"/>
  <c r="BL444" i="2"/>
  <c r="BL445" i="2"/>
  <c r="BL446" i="2"/>
  <c r="BL447" i="2"/>
  <c r="BL448" i="2"/>
  <c r="BL449" i="2"/>
  <c r="BL450" i="2"/>
  <c r="BL451" i="2"/>
  <c r="BL452" i="2"/>
  <c r="BL453" i="2"/>
  <c r="BL454" i="2"/>
  <c r="BL455" i="2"/>
  <c r="BL456" i="2"/>
  <c r="BL457" i="2"/>
  <c r="BL458" i="2"/>
  <c r="BL459" i="2"/>
  <c r="BL460" i="2"/>
  <c r="BL461" i="2"/>
  <c r="BL462" i="2"/>
  <c r="BL463" i="2"/>
  <c r="BL464" i="2"/>
  <c r="BL465" i="2"/>
  <c r="BL466" i="2"/>
  <c r="BL467" i="2"/>
  <c r="BL468" i="2"/>
  <c r="BL469" i="2"/>
  <c r="BL470" i="2"/>
  <c r="BL471" i="2"/>
  <c r="BL472" i="2"/>
  <c r="BL473" i="2"/>
  <c r="BL474" i="2"/>
  <c r="BL475" i="2"/>
  <c r="BL476" i="2"/>
  <c r="BL477" i="2"/>
  <c r="BL478" i="2"/>
  <c r="BL479" i="2"/>
  <c r="BL480" i="2"/>
  <c r="BL481" i="2"/>
  <c r="BL482" i="2"/>
  <c r="BL483" i="2"/>
  <c r="BL484" i="2"/>
  <c r="BL485" i="2"/>
  <c r="BL486" i="2"/>
  <c r="BL487" i="2"/>
  <c r="BL488" i="2"/>
  <c r="BL489" i="2"/>
  <c r="BL490" i="2"/>
  <c r="BL491" i="2"/>
  <c r="BL492" i="2"/>
  <c r="BL493" i="2"/>
  <c r="BL494" i="2"/>
  <c r="BL495" i="2"/>
  <c r="BL496" i="2"/>
  <c r="BL497" i="2"/>
  <c r="BL498" i="2"/>
  <c r="BL499" i="2"/>
  <c r="BL500" i="2"/>
  <c r="BL501" i="2"/>
  <c r="BL502" i="2"/>
  <c r="BL503" i="2"/>
  <c r="BL504" i="2"/>
  <c r="BL505" i="2"/>
  <c r="BL506" i="2"/>
  <c r="BL507" i="2"/>
  <c r="BL508" i="2"/>
  <c r="BL509" i="2"/>
  <c r="BL510" i="2"/>
  <c r="BL511" i="2"/>
  <c r="BL512" i="2"/>
  <c r="BL513" i="2"/>
  <c r="BL514" i="2"/>
  <c r="BL515" i="2"/>
  <c r="BL516" i="2"/>
  <c r="BL517" i="2"/>
  <c r="BL518" i="2"/>
  <c r="BL519" i="2"/>
  <c r="BL520" i="2"/>
  <c r="BL521" i="2"/>
  <c r="BL522" i="2"/>
  <c r="BL523" i="2"/>
  <c r="BL524" i="2"/>
  <c r="BL525" i="2"/>
  <c r="BL526" i="2"/>
  <c r="BL527" i="2"/>
  <c r="BL528" i="2"/>
  <c r="BL529" i="2"/>
  <c r="BL530" i="2"/>
  <c r="BL531" i="2"/>
  <c r="BL532" i="2"/>
  <c r="BL533" i="2"/>
  <c r="BL534" i="2"/>
  <c r="BL535" i="2"/>
  <c r="BL536" i="2"/>
  <c r="BL537" i="2"/>
  <c r="BL538" i="2"/>
  <c r="BL539" i="2"/>
  <c r="BL540" i="2"/>
  <c r="BL541" i="2"/>
  <c r="BL542" i="2"/>
  <c r="BL543" i="2"/>
  <c r="BL544" i="2"/>
  <c r="BL545" i="2"/>
  <c r="BL546" i="2"/>
  <c r="BL547" i="2"/>
  <c r="BL548" i="2"/>
  <c r="BL549" i="2"/>
  <c r="BL550" i="2"/>
  <c r="BL551" i="2"/>
  <c r="BL552" i="2"/>
  <c r="BL553" i="2"/>
  <c r="BL554" i="2"/>
  <c r="BL555" i="2"/>
  <c r="BL556" i="2"/>
  <c r="BL557" i="2"/>
  <c r="BL558" i="2"/>
  <c r="BL559" i="2"/>
  <c r="BL560" i="2"/>
  <c r="BL561" i="2"/>
  <c r="BL562" i="2"/>
  <c r="BL563" i="2"/>
  <c r="BL564" i="2"/>
  <c r="BL565" i="2"/>
  <c r="BL566" i="2"/>
  <c r="BL567" i="2"/>
  <c r="BL568" i="2"/>
  <c r="BL569" i="2"/>
  <c r="BL570" i="2"/>
  <c r="BL571" i="2"/>
  <c r="BL572" i="2"/>
  <c r="BL573" i="2"/>
  <c r="BL574" i="2"/>
  <c r="BL575" i="2"/>
  <c r="BL576" i="2"/>
  <c r="BL577" i="2"/>
  <c r="BL578" i="2"/>
  <c r="BL579" i="2"/>
  <c r="BL580" i="2"/>
  <c r="BL581" i="2"/>
  <c r="BL582" i="2"/>
  <c r="BL583" i="2"/>
  <c r="BL584" i="2"/>
  <c r="BL585" i="2"/>
  <c r="BL586" i="2"/>
  <c r="BL587" i="2"/>
  <c r="BL588" i="2"/>
  <c r="BL589" i="2"/>
  <c r="BL590" i="2"/>
  <c r="BL591" i="2"/>
  <c r="BL592" i="2"/>
  <c r="BL593" i="2"/>
  <c r="BL594" i="2"/>
  <c r="BL595" i="2"/>
  <c r="BL596" i="2"/>
  <c r="BL597" i="2"/>
  <c r="BL598" i="2"/>
  <c r="BL599" i="2"/>
  <c r="BL600" i="2"/>
  <c r="BL601" i="2"/>
  <c r="BL602" i="2"/>
  <c r="BL603" i="2"/>
  <c r="BL604" i="2"/>
  <c r="BL605" i="2"/>
  <c r="BL606" i="2"/>
  <c r="BL607" i="2"/>
  <c r="BL608" i="2"/>
  <c r="BL609" i="2"/>
  <c r="BL610" i="2"/>
  <c r="BL611" i="2"/>
  <c r="BL612" i="2"/>
  <c r="BL613" i="2"/>
  <c r="BL614" i="2"/>
  <c r="BL615" i="2"/>
  <c r="BL616" i="2"/>
  <c r="BL617" i="2"/>
  <c r="BL618" i="2"/>
  <c r="BL619" i="2"/>
  <c r="BL620" i="2"/>
  <c r="BL621" i="2"/>
  <c r="BL622" i="2"/>
  <c r="BL623" i="2"/>
  <c r="BL624" i="2"/>
  <c r="BL625" i="2"/>
  <c r="BL626" i="2"/>
  <c r="BL627" i="2"/>
  <c r="BL628" i="2"/>
  <c r="BL629" i="2"/>
  <c r="BL630" i="2"/>
  <c r="BL631" i="2"/>
  <c r="BL632" i="2"/>
  <c r="BL633" i="2"/>
  <c r="BL634" i="2"/>
  <c r="BL635" i="2"/>
  <c r="BL636" i="2"/>
  <c r="BL637" i="2"/>
  <c r="BL638" i="2"/>
  <c r="BL639" i="2"/>
  <c r="BL640" i="2"/>
  <c r="BL641" i="2"/>
  <c r="BL642" i="2"/>
  <c r="BL643" i="2"/>
  <c r="BL644" i="2"/>
  <c r="BL645" i="2"/>
  <c r="BL646" i="2"/>
  <c r="BL647" i="2"/>
  <c r="BL648" i="2"/>
  <c r="BL649" i="2"/>
  <c r="BL650" i="2"/>
  <c r="BL651" i="2"/>
  <c r="BL652" i="2"/>
  <c r="BL653" i="2"/>
  <c r="BL654" i="2"/>
  <c r="BL655" i="2"/>
  <c r="BL656" i="2"/>
  <c r="BL657" i="2"/>
  <c r="BL658" i="2"/>
  <c r="BL659" i="2"/>
  <c r="BL660" i="2"/>
  <c r="BL661" i="2"/>
  <c r="BL662" i="2"/>
  <c r="BL663" i="2"/>
  <c r="BL664" i="2"/>
  <c r="BL665" i="2"/>
  <c r="BL666" i="2"/>
  <c r="BL667" i="2"/>
  <c r="BL668" i="2"/>
  <c r="BL669" i="2"/>
  <c r="BL670" i="2"/>
  <c r="BL671" i="2"/>
  <c r="BL672" i="2"/>
  <c r="BL673" i="2"/>
  <c r="BL674" i="2"/>
  <c r="BL675" i="2"/>
  <c r="BL676" i="2"/>
  <c r="BL677" i="2"/>
  <c r="BL678" i="2"/>
  <c r="BL679" i="2"/>
  <c r="BL680" i="2"/>
  <c r="BL681" i="2"/>
  <c r="BL682" i="2"/>
  <c r="BL683" i="2"/>
  <c r="BL684" i="2"/>
  <c r="BL685" i="2"/>
  <c r="BL686" i="2"/>
  <c r="BL687" i="2"/>
  <c r="BL688" i="2"/>
  <c r="BL689" i="2"/>
  <c r="BL690" i="2"/>
  <c r="BL691" i="2"/>
  <c r="BL692" i="2"/>
  <c r="BL693" i="2"/>
  <c r="BL694" i="2"/>
  <c r="BL695" i="2"/>
  <c r="BL696" i="2"/>
  <c r="BL697" i="2"/>
  <c r="BL698" i="2"/>
  <c r="BL699" i="2"/>
  <c r="BL700" i="2"/>
  <c r="BL701" i="2"/>
  <c r="BL702" i="2"/>
  <c r="BL703" i="2"/>
  <c r="BL704" i="2"/>
  <c r="BL705" i="2"/>
  <c r="BL706" i="2"/>
  <c r="BL707" i="2"/>
  <c r="BL708" i="2"/>
  <c r="BL709" i="2"/>
  <c r="BL710" i="2"/>
  <c r="BL711" i="2"/>
  <c r="BL712" i="2"/>
  <c r="BL713" i="2"/>
  <c r="BL714" i="2"/>
  <c r="BL715" i="2"/>
  <c r="BL716" i="2"/>
  <c r="BL717" i="2"/>
  <c r="BL718" i="2"/>
  <c r="BL719" i="2"/>
  <c r="BL720" i="2"/>
  <c r="BL721" i="2"/>
  <c r="BL722" i="2"/>
  <c r="BL723" i="2"/>
  <c r="BL724" i="2"/>
  <c r="BL725" i="2"/>
  <c r="BL726" i="2"/>
  <c r="BL727" i="2"/>
  <c r="BL728" i="2"/>
  <c r="BL729" i="2"/>
  <c r="BL730" i="2"/>
  <c r="BL731" i="2"/>
  <c r="BL732" i="2"/>
  <c r="BL733" i="2"/>
  <c r="BL734" i="2"/>
  <c r="BL735" i="2"/>
  <c r="BL736" i="2"/>
  <c r="BL737" i="2"/>
  <c r="BL738" i="2"/>
  <c r="BL739" i="2"/>
  <c r="BL740" i="2"/>
  <c r="BL741" i="2"/>
  <c r="BL742" i="2"/>
  <c r="BL743" i="2"/>
  <c r="BL744" i="2"/>
  <c r="BL745" i="2"/>
  <c r="BL746" i="2"/>
  <c r="BL747" i="2"/>
  <c r="BL748" i="2"/>
  <c r="BL749" i="2"/>
  <c r="BL750" i="2"/>
  <c r="BL751" i="2"/>
  <c r="BL752" i="2"/>
  <c r="BL753" i="2"/>
  <c r="BL754" i="2"/>
  <c r="BL755" i="2"/>
  <c r="BL756" i="2"/>
  <c r="BL757" i="2"/>
  <c r="BL758" i="2"/>
  <c r="BL759" i="2"/>
  <c r="BL760" i="2"/>
  <c r="BL761" i="2"/>
  <c r="BL762" i="2"/>
  <c r="BL763" i="2"/>
  <c r="BL764" i="2"/>
  <c r="BL765" i="2"/>
  <c r="BL766" i="2"/>
  <c r="BL767" i="2"/>
  <c r="BL768" i="2"/>
  <c r="BL769" i="2"/>
  <c r="BL770" i="2"/>
  <c r="BL771" i="2"/>
  <c r="BL772" i="2"/>
  <c r="BL773" i="2"/>
  <c r="BL774" i="2"/>
  <c r="BL775" i="2"/>
  <c r="BL776" i="2"/>
  <c r="BL777" i="2"/>
  <c r="BL778" i="2"/>
  <c r="BL779" i="2"/>
  <c r="BL780" i="2"/>
  <c r="BL781" i="2"/>
  <c r="BL782" i="2"/>
  <c r="BL783" i="2"/>
  <c r="BL784" i="2"/>
  <c r="BL785" i="2"/>
  <c r="BL786" i="2"/>
  <c r="BL787" i="2"/>
  <c r="BL788" i="2"/>
  <c r="BL789" i="2"/>
  <c r="BL790" i="2"/>
  <c r="BL791" i="2"/>
  <c r="BL792" i="2"/>
  <c r="BL793" i="2"/>
  <c r="BL794" i="2"/>
  <c r="BL795" i="2"/>
  <c r="BL796" i="2"/>
  <c r="BL797" i="2"/>
  <c r="BL798" i="2"/>
  <c r="BL799" i="2"/>
  <c r="BL800" i="2"/>
  <c r="BL801" i="2"/>
  <c r="BL802" i="2"/>
  <c r="BL803" i="2"/>
  <c r="BL804" i="2"/>
  <c r="BL805" i="2"/>
  <c r="BL806" i="2"/>
  <c r="BL807" i="2"/>
  <c r="BL808" i="2"/>
  <c r="BL809" i="2"/>
  <c r="BL810" i="2"/>
  <c r="BL811" i="2"/>
  <c r="BL812" i="2"/>
  <c r="BL813" i="2"/>
  <c r="BL814" i="2"/>
  <c r="BL815" i="2"/>
  <c r="BL816" i="2"/>
  <c r="BL817" i="2"/>
  <c r="BL818" i="2"/>
  <c r="BL819" i="2"/>
  <c r="BL820" i="2"/>
  <c r="BL821" i="2"/>
  <c r="BL822" i="2"/>
  <c r="BL823" i="2"/>
  <c r="BL824" i="2"/>
  <c r="BL825" i="2"/>
  <c r="BL826" i="2"/>
  <c r="BL827" i="2"/>
  <c r="BL828" i="2"/>
  <c r="BL829" i="2"/>
  <c r="BL830" i="2"/>
  <c r="BL831" i="2"/>
  <c r="BL832" i="2"/>
  <c r="BL833" i="2"/>
  <c r="BL834" i="2"/>
  <c r="BL835" i="2"/>
  <c r="BL836" i="2"/>
  <c r="BL837" i="2"/>
  <c r="BL838" i="2"/>
  <c r="BL839" i="2"/>
  <c r="BL840" i="2"/>
  <c r="BL841" i="2"/>
  <c r="BL842" i="2"/>
  <c r="BL843" i="2"/>
  <c r="BL844" i="2"/>
  <c r="BL845" i="2"/>
  <c r="BL846" i="2"/>
  <c r="BL847" i="2"/>
  <c r="BL848" i="2"/>
  <c r="BL849" i="2"/>
  <c r="BL850" i="2"/>
  <c r="BL851" i="2"/>
  <c r="BL852" i="2"/>
  <c r="BL853" i="2"/>
  <c r="BL854" i="2"/>
  <c r="BL855" i="2"/>
  <c r="BL856" i="2"/>
  <c r="BL857" i="2"/>
  <c r="BL858" i="2"/>
  <c r="BL859" i="2"/>
  <c r="BL860" i="2"/>
  <c r="BL861" i="2"/>
  <c r="BL862" i="2"/>
  <c r="BL863" i="2"/>
  <c r="BL864" i="2"/>
  <c r="BL865" i="2"/>
  <c r="BL866" i="2"/>
  <c r="BL867" i="2"/>
  <c r="BL868" i="2"/>
  <c r="BL869" i="2"/>
  <c r="BL870" i="2"/>
  <c r="BL871" i="2"/>
  <c r="BL872" i="2"/>
  <c r="BL873" i="2"/>
  <c r="BL874" i="2"/>
  <c r="BL875" i="2"/>
  <c r="BL876" i="2"/>
  <c r="BL877" i="2"/>
  <c r="BL878" i="2"/>
  <c r="BL879" i="2"/>
  <c r="BL880" i="2"/>
  <c r="BL881" i="2"/>
  <c r="BL882" i="2"/>
  <c r="BL883" i="2"/>
  <c r="BL884" i="2"/>
  <c r="BL885" i="2"/>
  <c r="BL886" i="2"/>
  <c r="BL887" i="2"/>
  <c r="BL888" i="2"/>
  <c r="BL889" i="2"/>
  <c r="BL890" i="2"/>
  <c r="BL891" i="2"/>
  <c r="BL892" i="2"/>
  <c r="BL893" i="2"/>
  <c r="BL894" i="2"/>
  <c r="BL895" i="2"/>
  <c r="BL896" i="2"/>
  <c r="BL897" i="2"/>
  <c r="BL898" i="2"/>
  <c r="BL899" i="2"/>
  <c r="BL900" i="2"/>
  <c r="BL901" i="2"/>
  <c r="BL902" i="2"/>
  <c r="BL903" i="2"/>
  <c r="BL904" i="2"/>
  <c r="BL905" i="2"/>
  <c r="BL906" i="2"/>
  <c r="BL907" i="2"/>
  <c r="BL908" i="2"/>
  <c r="BL909" i="2"/>
  <c r="BL910" i="2"/>
  <c r="BL911" i="2"/>
  <c r="BL912" i="2"/>
  <c r="BL913" i="2"/>
  <c r="BL914" i="2"/>
  <c r="BL915" i="2"/>
  <c r="BL916" i="2"/>
  <c r="BL917" i="2"/>
  <c r="BL918" i="2"/>
  <c r="BL919" i="2"/>
  <c r="BL920" i="2"/>
  <c r="BL921" i="2"/>
  <c r="BL922" i="2"/>
  <c r="BL923" i="2"/>
  <c r="BL924" i="2"/>
  <c r="BL925" i="2"/>
  <c r="BL926" i="2"/>
  <c r="BL927" i="2"/>
  <c r="BL928" i="2"/>
  <c r="BL929" i="2"/>
  <c r="BL930" i="2"/>
  <c r="BL931" i="2"/>
  <c r="BL932" i="2"/>
  <c r="BL933" i="2"/>
  <c r="BL934" i="2"/>
  <c r="BL935" i="2"/>
  <c r="BL936" i="2"/>
  <c r="BL937" i="2"/>
  <c r="BL938" i="2"/>
  <c r="BL939" i="2"/>
  <c r="BL940" i="2"/>
  <c r="BL941" i="2"/>
  <c r="BL942" i="2"/>
  <c r="BL943" i="2"/>
  <c r="BL944" i="2"/>
  <c r="BL945" i="2"/>
  <c r="BL946" i="2"/>
  <c r="BL947" i="2"/>
  <c r="BL948" i="2"/>
  <c r="BL949" i="2"/>
  <c r="BL950" i="2"/>
  <c r="BL951" i="2"/>
  <c r="BL952" i="2"/>
  <c r="BL953" i="2"/>
  <c r="BL954" i="2"/>
  <c r="BL955" i="2"/>
  <c r="BL956" i="2"/>
  <c r="BL957" i="2"/>
  <c r="BL958" i="2"/>
  <c r="BL959" i="2"/>
  <c r="BL960" i="2"/>
  <c r="BL961" i="2"/>
  <c r="BL962" i="2"/>
  <c r="BL963" i="2"/>
  <c r="BL964" i="2"/>
  <c r="BL965" i="2"/>
  <c r="BL966" i="2"/>
  <c r="BL967" i="2"/>
  <c r="BL968" i="2"/>
  <c r="BL969" i="2"/>
  <c r="BL970" i="2"/>
  <c r="BL971" i="2"/>
  <c r="BL972" i="2"/>
  <c r="BL973" i="2"/>
  <c r="BL974" i="2"/>
  <c r="BL975" i="2"/>
  <c r="BL976" i="2"/>
  <c r="BL977" i="2"/>
  <c r="BL978" i="2"/>
  <c r="BL979" i="2"/>
  <c r="BL980" i="2"/>
  <c r="BL981" i="2"/>
  <c r="BL982" i="2"/>
  <c r="BL983" i="2"/>
  <c r="BL984" i="2"/>
  <c r="BL985" i="2"/>
  <c r="BL986" i="2"/>
  <c r="BL987" i="2"/>
  <c r="BL988" i="2"/>
  <c r="BL989" i="2"/>
  <c r="BL990" i="2"/>
  <c r="BL991" i="2"/>
  <c r="BL992" i="2"/>
  <c r="BL993" i="2"/>
  <c r="BL994" i="2"/>
  <c r="BL995" i="2"/>
  <c r="BL996" i="2"/>
  <c r="BL997" i="2"/>
  <c r="BL998" i="2"/>
  <c r="BL999" i="2"/>
  <c r="BL1000" i="2"/>
  <c r="BL1001" i="2"/>
  <c r="BL1002" i="2"/>
  <c r="BL1003" i="2"/>
  <c r="BL1004" i="2"/>
  <c r="BL1005" i="2"/>
  <c r="BL1006" i="2"/>
  <c r="BL1007" i="2"/>
  <c r="BL1008" i="2"/>
  <c r="BL1009" i="2"/>
  <c r="BL1010" i="2"/>
  <c r="BL1011" i="2"/>
  <c r="BL1012" i="2"/>
  <c r="BL1013" i="2"/>
  <c r="BL1014" i="2"/>
  <c r="BL1015" i="2"/>
  <c r="BL1016" i="2"/>
  <c r="BL1017" i="2"/>
  <c r="BL1018" i="2"/>
  <c r="BL1019" i="2"/>
  <c r="BL1020" i="2"/>
  <c r="BL1021" i="2"/>
  <c r="BL1022" i="2"/>
  <c r="BL1023" i="2"/>
  <c r="BL1024" i="2"/>
  <c r="BL1025" i="2"/>
  <c r="BL1026" i="2"/>
  <c r="BL1027" i="2"/>
  <c r="BL1028" i="2"/>
  <c r="BL1029" i="2"/>
  <c r="BL1030" i="2"/>
  <c r="BL1031" i="2"/>
  <c r="BL1032" i="2"/>
  <c r="BL1033" i="2"/>
  <c r="BL1034" i="2"/>
  <c r="BL1035" i="2"/>
  <c r="BL1036" i="2"/>
  <c r="BL1037" i="2"/>
  <c r="BL1038" i="2"/>
  <c r="BL1039" i="2"/>
  <c r="BL1040" i="2"/>
  <c r="BL1041" i="2"/>
  <c r="BL1042" i="2"/>
  <c r="BL1043" i="2"/>
  <c r="BL1044" i="2"/>
  <c r="BL1045" i="2"/>
  <c r="BL1046" i="2"/>
  <c r="BL1047" i="2"/>
  <c r="BL1048" i="2"/>
  <c r="BL1049" i="2"/>
  <c r="BL1050" i="2"/>
  <c r="BL1051" i="2"/>
  <c r="BL1052" i="2"/>
  <c r="BL1053" i="2"/>
  <c r="BL1054" i="2"/>
  <c r="BL1055" i="2"/>
  <c r="BL1056" i="2"/>
  <c r="BL1057" i="2"/>
  <c r="BL1058" i="2"/>
  <c r="BL1059" i="2"/>
  <c r="BL1060" i="2"/>
  <c r="BL1061" i="2"/>
  <c r="BL1062" i="2"/>
  <c r="BL1063" i="2"/>
  <c r="BL1064" i="2"/>
  <c r="BL1065" i="2"/>
  <c r="BL1066" i="2"/>
  <c r="BL1067" i="2"/>
  <c r="BL1068" i="2"/>
  <c r="BL1069" i="2"/>
  <c r="BL1070" i="2"/>
  <c r="BL1071" i="2"/>
  <c r="BL1072" i="2"/>
  <c r="BL1073" i="2"/>
  <c r="BL1074" i="2"/>
  <c r="BL1075" i="2"/>
  <c r="BL1076" i="2"/>
  <c r="BL1077" i="2"/>
  <c r="BL1078" i="2"/>
  <c r="BL1079" i="2"/>
  <c r="BL1080" i="2"/>
  <c r="BL1081" i="2"/>
  <c r="BL1082" i="2"/>
  <c r="BL1083" i="2"/>
  <c r="BL1084" i="2"/>
  <c r="BL1085" i="2"/>
  <c r="BL1086" i="2"/>
  <c r="BL1087" i="2"/>
  <c r="BL1088" i="2"/>
  <c r="BL1089" i="2"/>
  <c r="BL1090" i="2"/>
  <c r="BL1091" i="2"/>
  <c r="BL1092" i="2"/>
  <c r="BL1093" i="2"/>
  <c r="BL1094" i="2"/>
  <c r="BL1095" i="2"/>
  <c r="BL1096" i="2"/>
  <c r="BL1097" i="2"/>
  <c r="BL1098" i="2"/>
  <c r="BL1099" i="2"/>
  <c r="BL1100" i="2"/>
  <c r="BL1101" i="2"/>
  <c r="BL1102" i="2"/>
  <c r="BL1103" i="2"/>
  <c r="BL1104" i="2"/>
  <c r="BL1105" i="2"/>
  <c r="BL1106" i="2"/>
  <c r="BL1107" i="2"/>
  <c r="BL1108" i="2"/>
  <c r="BL1109" i="2"/>
  <c r="BL1110" i="2"/>
  <c r="BL1111" i="2"/>
  <c r="BL1112" i="2"/>
  <c r="BL1113" i="2"/>
  <c r="BL1114" i="2"/>
  <c r="BL1115" i="2"/>
  <c r="BL1116" i="2"/>
  <c r="BL1117" i="2"/>
  <c r="BL1118" i="2"/>
  <c r="BL1119" i="2"/>
  <c r="BL1120" i="2"/>
  <c r="BL1121" i="2"/>
  <c r="BL1122" i="2"/>
  <c r="BL1123" i="2"/>
  <c r="BL1124" i="2"/>
  <c r="BL1125" i="2"/>
  <c r="BL1126" i="2"/>
  <c r="BL1127" i="2"/>
  <c r="BL1128" i="2"/>
  <c r="BL1129" i="2"/>
  <c r="BL1130" i="2"/>
  <c r="BL1131" i="2"/>
  <c r="BL1132" i="2"/>
  <c r="BL1133" i="2"/>
  <c r="BL1134" i="2"/>
  <c r="BL1135" i="2"/>
  <c r="BL1136" i="2"/>
  <c r="BL1137" i="2"/>
  <c r="BL1138" i="2"/>
  <c r="BL1139" i="2"/>
  <c r="BL1140" i="2"/>
  <c r="BL1141" i="2"/>
  <c r="BL1142" i="2"/>
  <c r="BL1143" i="2"/>
  <c r="BL1144" i="2"/>
  <c r="BL1145" i="2"/>
  <c r="BL1146" i="2"/>
  <c r="BL1147" i="2"/>
  <c r="BL1148" i="2"/>
  <c r="BL1149" i="2"/>
  <c r="BL1150" i="2"/>
  <c r="BL1151" i="2"/>
  <c r="BL1152" i="2"/>
  <c r="BL1153" i="2"/>
  <c r="BL1154" i="2"/>
  <c r="BL1155" i="2"/>
  <c r="BL1156" i="2"/>
  <c r="BL1157" i="2"/>
  <c r="BL1158" i="2"/>
  <c r="BL1159" i="2"/>
  <c r="BL1160" i="2"/>
  <c r="BL1161" i="2"/>
  <c r="BL1162" i="2"/>
  <c r="BL1163" i="2"/>
  <c r="BL1164" i="2"/>
  <c r="BL1165" i="2"/>
  <c r="BL1166" i="2"/>
  <c r="BL1167" i="2"/>
  <c r="BL1168" i="2"/>
  <c r="BL1169" i="2"/>
  <c r="BL1170" i="2"/>
  <c r="BL1171" i="2"/>
  <c r="BL1172" i="2"/>
  <c r="BL1173" i="2"/>
  <c r="BL1174" i="2"/>
  <c r="BL1175" i="2"/>
  <c r="BL1176" i="2"/>
  <c r="BL1177" i="2"/>
  <c r="BL1178" i="2"/>
  <c r="BL1179" i="2"/>
  <c r="BL1180" i="2"/>
  <c r="BL1181" i="2"/>
  <c r="BL1182" i="2"/>
  <c r="BL1183" i="2"/>
  <c r="BL1184" i="2"/>
  <c r="BL1185" i="2"/>
  <c r="BL1186" i="2"/>
  <c r="BL1187" i="2"/>
  <c r="BL1188" i="2"/>
  <c r="BL1189" i="2"/>
  <c r="BL1190" i="2"/>
  <c r="BL1191" i="2"/>
  <c r="BL1192" i="2"/>
  <c r="BL1193" i="2"/>
  <c r="BL1194" i="2"/>
  <c r="BL1195" i="2"/>
  <c r="BL1196" i="2"/>
  <c r="BL1197" i="2"/>
  <c r="BL1198" i="2"/>
  <c r="BL1199" i="2"/>
  <c r="BL1200" i="2"/>
  <c r="BL1201" i="2"/>
  <c r="BL1202" i="2"/>
  <c r="BL1203" i="2"/>
  <c r="BL1204" i="2"/>
  <c r="BL1205" i="2"/>
  <c r="BL1206" i="2"/>
  <c r="BL1207" i="2"/>
  <c r="BL1208" i="2"/>
  <c r="BL1209" i="2"/>
  <c r="BL1210" i="2"/>
  <c r="BL1211" i="2"/>
  <c r="BL1212" i="2"/>
  <c r="BL1213" i="2"/>
  <c r="BL1214" i="2"/>
  <c r="BL1215" i="2"/>
  <c r="BL1216" i="2"/>
  <c r="BL1217" i="2"/>
  <c r="BL1218" i="2"/>
  <c r="BL1219" i="2"/>
  <c r="BL1220" i="2"/>
  <c r="BL1221" i="2"/>
  <c r="BL1222" i="2"/>
  <c r="BL1223" i="2"/>
  <c r="BL1224" i="2"/>
  <c r="BL1225" i="2"/>
  <c r="BL1226" i="2"/>
  <c r="BL1227" i="2"/>
  <c r="BL1228" i="2"/>
  <c r="BL1229" i="2"/>
  <c r="BL1230" i="2"/>
  <c r="BL1231" i="2"/>
  <c r="BL1232" i="2"/>
  <c r="BL1233" i="2"/>
  <c r="BL1234" i="2"/>
  <c r="BL1235" i="2"/>
  <c r="BL1236" i="2"/>
  <c r="BL1237" i="2"/>
  <c r="BL1238" i="2"/>
  <c r="BL1239" i="2"/>
  <c r="BL1240" i="2"/>
  <c r="BL1241" i="2"/>
  <c r="BL1242" i="2"/>
  <c r="BL1243" i="2"/>
  <c r="BL1244" i="2"/>
  <c r="BL1245" i="2"/>
  <c r="BL1246" i="2"/>
  <c r="BL1247" i="2"/>
  <c r="BL1248" i="2"/>
  <c r="BL1249" i="2"/>
  <c r="BL1250" i="2"/>
  <c r="BL1251" i="2"/>
  <c r="BL1252" i="2"/>
  <c r="BL1253" i="2"/>
  <c r="BL1254" i="2"/>
  <c r="BL1255" i="2"/>
  <c r="BL1256" i="2"/>
  <c r="BL1257" i="2"/>
  <c r="BL1258" i="2"/>
  <c r="BL1259" i="2"/>
  <c r="BL1260" i="2"/>
  <c r="BL1261" i="2"/>
  <c r="BL1262" i="2"/>
  <c r="BL1263" i="2"/>
  <c r="BL1264" i="2"/>
  <c r="BL1265" i="2"/>
  <c r="BL1266" i="2"/>
  <c r="BL1267" i="2"/>
  <c r="BL1268" i="2"/>
  <c r="BL1269" i="2"/>
  <c r="BL1270" i="2"/>
  <c r="BL1271" i="2"/>
  <c r="BL1272" i="2"/>
  <c r="BL1273" i="2"/>
  <c r="BL1274" i="2"/>
  <c r="BL1275" i="2"/>
  <c r="BL1276" i="2"/>
  <c r="BL1277" i="2"/>
  <c r="BL1278" i="2"/>
  <c r="BL1279" i="2"/>
  <c r="BL1280" i="2"/>
  <c r="BL1281" i="2"/>
  <c r="BL1282" i="2"/>
  <c r="BL1283" i="2"/>
  <c r="BL1284" i="2"/>
  <c r="BL1285" i="2"/>
  <c r="BL1286" i="2"/>
  <c r="BL1287" i="2"/>
  <c r="BL1288" i="2"/>
  <c r="BL1289" i="2"/>
  <c r="BL1290" i="2"/>
  <c r="BL1291" i="2"/>
  <c r="BL1292" i="2"/>
  <c r="BL1293" i="2"/>
  <c r="BL1294" i="2"/>
  <c r="BL1295" i="2"/>
  <c r="BL1296" i="2"/>
  <c r="BL1297" i="2"/>
  <c r="BL1298" i="2"/>
  <c r="BL1299" i="2"/>
  <c r="BL1300" i="2"/>
  <c r="BL1301" i="2"/>
  <c r="BL1302" i="2"/>
  <c r="BL1303" i="2"/>
  <c r="BL1304" i="2"/>
  <c r="BL1305" i="2"/>
  <c r="BL1306" i="2"/>
  <c r="BL1307" i="2"/>
  <c r="BL1308" i="2"/>
  <c r="BL1309" i="2"/>
  <c r="BL1310" i="2"/>
  <c r="BL1311" i="2"/>
  <c r="BL1312" i="2"/>
  <c r="BL1313" i="2"/>
  <c r="BL1314" i="2"/>
  <c r="BL1315" i="2"/>
  <c r="BL1316" i="2"/>
  <c r="BL1317" i="2"/>
  <c r="BL1318" i="2"/>
  <c r="BL1319" i="2"/>
  <c r="BL1320" i="2"/>
  <c r="BL1321" i="2"/>
  <c r="BL1322" i="2"/>
  <c r="BL1323" i="2"/>
  <c r="BL1324" i="2"/>
  <c r="BL1325" i="2"/>
  <c r="BL1326" i="2"/>
  <c r="BL1327" i="2"/>
  <c r="BL1328" i="2"/>
  <c r="BL1329" i="2"/>
  <c r="BL1330" i="2"/>
  <c r="BL1331" i="2"/>
  <c r="BL1332" i="2"/>
  <c r="BL1333" i="2"/>
  <c r="BL1334" i="2"/>
  <c r="BL1335" i="2"/>
  <c r="BL1336" i="2"/>
  <c r="BL1337" i="2"/>
  <c r="BL1338" i="2"/>
  <c r="BL1339" i="2"/>
  <c r="BL1340" i="2"/>
  <c r="BL1341" i="2"/>
  <c r="BL1342" i="2"/>
  <c r="BL1343" i="2"/>
  <c r="BL1344" i="2"/>
  <c r="BL1345" i="2"/>
  <c r="BL1346" i="2"/>
  <c r="BL1347" i="2"/>
  <c r="BL1348" i="2"/>
  <c r="BL1349" i="2"/>
  <c r="BL1350" i="2"/>
  <c r="BL1351" i="2"/>
  <c r="BL1352" i="2"/>
  <c r="BL1353" i="2"/>
  <c r="BL1354" i="2"/>
  <c r="BL1355" i="2"/>
  <c r="BL1356" i="2"/>
  <c r="BL1357" i="2"/>
  <c r="BL1358" i="2"/>
  <c r="BL1359" i="2"/>
  <c r="BL1360" i="2"/>
  <c r="BL1361" i="2"/>
  <c r="BL1362" i="2"/>
  <c r="BL1363" i="2"/>
  <c r="BL1364" i="2"/>
  <c r="BL1365" i="2"/>
  <c r="BL1366" i="2"/>
  <c r="BL1367" i="2"/>
  <c r="BL1368" i="2"/>
  <c r="BL1369" i="2"/>
  <c r="BL1370" i="2"/>
  <c r="BL1371" i="2"/>
  <c r="BL1372" i="2"/>
  <c r="BL1373" i="2"/>
  <c r="BL1374" i="2"/>
  <c r="BL1375" i="2"/>
  <c r="BL1376" i="2"/>
  <c r="BL1377" i="2"/>
  <c r="BL1378" i="2"/>
  <c r="BL1379" i="2"/>
  <c r="BL1380" i="2"/>
  <c r="BL1381" i="2"/>
  <c r="BL1382" i="2"/>
  <c r="BL1383" i="2"/>
  <c r="BL1384" i="2"/>
  <c r="BL1385" i="2"/>
  <c r="BL1386" i="2"/>
  <c r="BL1387" i="2"/>
  <c r="BL1388" i="2"/>
  <c r="BL1389" i="2"/>
  <c r="BL1390" i="2"/>
  <c r="BL1391" i="2"/>
  <c r="BL1392" i="2"/>
  <c r="BL1393" i="2"/>
  <c r="BL1394" i="2"/>
  <c r="BL1395" i="2"/>
  <c r="BL1396" i="2"/>
  <c r="BL1397" i="2"/>
  <c r="BL1398" i="2"/>
  <c r="BL1399" i="2"/>
  <c r="BL1400" i="2"/>
  <c r="BL1401" i="2"/>
  <c r="BL1402" i="2"/>
  <c r="BL1403" i="2"/>
  <c r="BL1404" i="2"/>
  <c r="BL1405" i="2"/>
  <c r="BL1406" i="2"/>
  <c r="BL1407" i="2"/>
  <c r="BL1408" i="2"/>
  <c r="BL1409" i="2"/>
  <c r="BL1410" i="2"/>
  <c r="BL1411" i="2"/>
  <c r="BL1412" i="2"/>
  <c r="BL1413" i="2"/>
  <c r="BL1414" i="2"/>
  <c r="BL1415" i="2"/>
  <c r="BL1416" i="2"/>
  <c r="BL1417" i="2"/>
  <c r="BL1418" i="2"/>
  <c r="BL1419" i="2"/>
  <c r="BL1420" i="2"/>
  <c r="BL1421" i="2"/>
  <c r="BL1422" i="2"/>
  <c r="BL1423" i="2"/>
  <c r="BL1424" i="2"/>
  <c r="BL1425" i="2"/>
  <c r="BL1426" i="2"/>
  <c r="BL1427" i="2"/>
  <c r="BL1428" i="2"/>
  <c r="BL1429" i="2"/>
  <c r="BL1430" i="2"/>
  <c r="BL1431" i="2"/>
  <c r="BL1432" i="2"/>
  <c r="BL1433" i="2"/>
  <c r="BL1434" i="2"/>
  <c r="BL1435" i="2"/>
  <c r="BL1436" i="2"/>
  <c r="BL1437" i="2"/>
  <c r="BL1438" i="2"/>
  <c r="BL1439" i="2"/>
  <c r="BL1440" i="2"/>
  <c r="BL1441" i="2"/>
  <c r="BL1442" i="2"/>
  <c r="BL1443" i="2"/>
  <c r="BL1444" i="2"/>
  <c r="BL1445" i="2"/>
  <c r="BL1446" i="2"/>
  <c r="BL1447" i="2"/>
  <c r="BL1448" i="2"/>
  <c r="BL1449" i="2"/>
  <c r="BL1450" i="2"/>
  <c r="BL1451" i="2"/>
  <c r="BL1452" i="2"/>
  <c r="BL1453" i="2"/>
  <c r="BL1454" i="2"/>
  <c r="BL1455" i="2"/>
  <c r="BL1456" i="2"/>
  <c r="BL1457" i="2"/>
  <c r="BL1458" i="2"/>
  <c r="BL1459" i="2"/>
  <c r="BL1460" i="2"/>
  <c r="BL1461" i="2"/>
  <c r="BL1462" i="2"/>
  <c r="BL1463" i="2"/>
  <c r="BL1464" i="2"/>
  <c r="BL1465" i="2"/>
  <c r="BL1466" i="2"/>
  <c r="BL1467" i="2"/>
  <c r="BL1468" i="2"/>
  <c r="BL1469" i="2"/>
  <c r="BL1470" i="2"/>
  <c r="BL1471" i="2"/>
  <c r="BL1472" i="2"/>
  <c r="BL1473" i="2"/>
  <c r="BL1474" i="2"/>
  <c r="BL1475" i="2"/>
  <c r="BL1476" i="2"/>
  <c r="BL1477" i="2"/>
  <c r="BL1478" i="2"/>
  <c r="BL1479" i="2"/>
  <c r="BL1480" i="2"/>
  <c r="BL1481" i="2"/>
  <c r="BL1482" i="2"/>
  <c r="BL1483" i="2"/>
  <c r="BL1484" i="2"/>
  <c r="BL1485" i="2"/>
  <c r="BL1486" i="2"/>
  <c r="BL1487" i="2"/>
  <c r="BL1488" i="2"/>
  <c r="BL1489" i="2"/>
  <c r="BL1490" i="2"/>
  <c r="BL1491" i="2"/>
  <c r="BL1492" i="2"/>
  <c r="BL1493" i="2"/>
  <c r="BL1494" i="2"/>
  <c r="BL1495" i="2"/>
  <c r="BL1496" i="2"/>
  <c r="BL1497" i="2"/>
  <c r="BL1498" i="2"/>
  <c r="BL1499" i="2"/>
  <c r="BL1500" i="2"/>
  <c r="BL1501" i="2"/>
  <c r="BL1502" i="2"/>
  <c r="BL1503" i="2"/>
  <c r="BL1504" i="2"/>
  <c r="BL1505" i="2"/>
  <c r="BL1506" i="2"/>
  <c r="BL1507" i="2"/>
  <c r="BL1508" i="2"/>
  <c r="BL1509" i="2"/>
  <c r="BL1510" i="2"/>
  <c r="BL1511" i="2"/>
  <c r="BL1512" i="2"/>
  <c r="BL1513" i="2"/>
  <c r="BL1514" i="2"/>
  <c r="BL1515" i="2"/>
  <c r="BL1516" i="2"/>
  <c r="BL1517" i="2"/>
  <c r="BL1518" i="2"/>
  <c r="BL1519" i="2"/>
  <c r="BL1520" i="2"/>
  <c r="BL1521" i="2"/>
  <c r="BL1522" i="2"/>
  <c r="BL1523" i="2"/>
  <c r="BL1524" i="2"/>
  <c r="BL1525" i="2"/>
  <c r="BL1526" i="2"/>
  <c r="BL1527" i="2"/>
  <c r="BL1528" i="2"/>
  <c r="BL1529" i="2"/>
  <c r="BL1530" i="2"/>
  <c r="BL1531" i="2"/>
  <c r="BL1532" i="2"/>
  <c r="BL1533" i="2"/>
  <c r="BL1534" i="2"/>
  <c r="BL1535" i="2"/>
  <c r="BL1536" i="2"/>
  <c r="BL1537" i="2"/>
  <c r="BL1538" i="2"/>
  <c r="BL1539" i="2"/>
  <c r="BL1540" i="2"/>
  <c r="BL1541" i="2"/>
  <c r="BL1542" i="2"/>
  <c r="BL1543" i="2"/>
  <c r="BL1544" i="2"/>
  <c r="BL1545" i="2"/>
  <c r="BL1546" i="2"/>
  <c r="BL1547" i="2"/>
  <c r="BL1548" i="2"/>
  <c r="BL1549" i="2"/>
  <c r="BL1550" i="2"/>
  <c r="BL1551" i="2"/>
  <c r="BL1552" i="2"/>
  <c r="BL1553" i="2"/>
  <c r="BL1554" i="2"/>
  <c r="BL1555" i="2"/>
  <c r="BL1556" i="2"/>
  <c r="BL1557" i="2"/>
  <c r="BL1558" i="2"/>
  <c r="BL1559" i="2"/>
  <c r="BL1560" i="2"/>
  <c r="BL1561" i="2"/>
  <c r="BL1562" i="2"/>
  <c r="BL1563" i="2"/>
  <c r="BL1564" i="2"/>
  <c r="BL1565" i="2"/>
  <c r="BL1566" i="2"/>
  <c r="BL1567" i="2"/>
  <c r="BL1568" i="2"/>
  <c r="BL1569" i="2"/>
  <c r="BL1570" i="2"/>
  <c r="BL1571" i="2"/>
  <c r="BL1572" i="2"/>
  <c r="BL1573" i="2"/>
  <c r="BL1574" i="2"/>
  <c r="BL1575" i="2"/>
  <c r="BL1576" i="2"/>
  <c r="BL1577" i="2"/>
  <c r="BL1578" i="2"/>
  <c r="BL1579" i="2"/>
  <c r="BL1580" i="2"/>
  <c r="BL1581" i="2"/>
  <c r="BL1582" i="2"/>
  <c r="BL1583" i="2"/>
  <c r="BL1584" i="2"/>
  <c r="BL1585" i="2"/>
  <c r="BL1586" i="2"/>
  <c r="BL1587" i="2"/>
  <c r="BL1588" i="2"/>
  <c r="BL1589" i="2"/>
  <c r="BL1590" i="2"/>
  <c r="BL1591" i="2"/>
  <c r="BL1592" i="2"/>
  <c r="BL1593" i="2"/>
  <c r="BL1594" i="2"/>
  <c r="BL1595" i="2"/>
  <c r="BL1596" i="2"/>
  <c r="BL1597" i="2"/>
  <c r="BL1598" i="2"/>
  <c r="BL1599" i="2"/>
  <c r="BL1600" i="2"/>
  <c r="BL1601" i="2"/>
  <c r="BL1602" i="2"/>
  <c r="BL1603" i="2"/>
  <c r="BL1604" i="2"/>
  <c r="BL1605" i="2"/>
  <c r="BL1606" i="2"/>
  <c r="BL1607" i="2"/>
  <c r="BL1608" i="2"/>
  <c r="BL1609" i="2"/>
  <c r="BL1610" i="2"/>
  <c r="BL1611" i="2"/>
  <c r="BL1612" i="2"/>
  <c r="BL1613" i="2"/>
  <c r="BL1614" i="2"/>
  <c r="BL1615" i="2"/>
  <c r="BL1616" i="2"/>
  <c r="BL1617" i="2"/>
  <c r="BL1618" i="2"/>
  <c r="BL1619" i="2"/>
  <c r="BL1620" i="2"/>
  <c r="BL1621" i="2"/>
  <c r="BL1622" i="2"/>
  <c r="BL1623" i="2"/>
  <c r="BL1624" i="2"/>
  <c r="BL1625" i="2"/>
  <c r="BL1626" i="2"/>
  <c r="BL1627" i="2"/>
  <c r="BL1628" i="2"/>
  <c r="BL1629" i="2"/>
  <c r="BL1630" i="2"/>
  <c r="BL1631" i="2"/>
  <c r="BL1632" i="2"/>
  <c r="BL1633" i="2"/>
  <c r="BL1634" i="2"/>
  <c r="BL1635" i="2"/>
  <c r="BL1636" i="2"/>
  <c r="BL1637" i="2"/>
  <c r="BL1638" i="2"/>
  <c r="BL1639" i="2"/>
  <c r="BL1640" i="2"/>
  <c r="BL1641" i="2"/>
  <c r="BL1642" i="2"/>
  <c r="BL1643" i="2"/>
  <c r="BL1644" i="2"/>
  <c r="BL1645" i="2"/>
  <c r="BL1646" i="2"/>
  <c r="BL1647" i="2"/>
  <c r="BL1648" i="2"/>
  <c r="BL1649" i="2"/>
  <c r="BL1650" i="2"/>
  <c r="BL1651" i="2"/>
  <c r="BL1652" i="2"/>
  <c r="BL1653" i="2"/>
  <c r="BL1654" i="2"/>
  <c r="BL1655" i="2"/>
  <c r="BL1656" i="2"/>
  <c r="BL1657" i="2"/>
  <c r="BL1658" i="2"/>
  <c r="BL1659" i="2"/>
  <c r="BL1660" i="2"/>
  <c r="BL1661" i="2"/>
  <c r="BL1662" i="2"/>
  <c r="BL1663" i="2"/>
  <c r="BL1664" i="2"/>
  <c r="BL1665" i="2"/>
  <c r="BL1666" i="2"/>
  <c r="BL1667" i="2"/>
  <c r="BL1668" i="2"/>
  <c r="BL1669" i="2"/>
  <c r="BL1670" i="2"/>
  <c r="BL1671" i="2"/>
  <c r="BL1672" i="2"/>
  <c r="BL1673" i="2"/>
  <c r="BL1674" i="2"/>
  <c r="BL1675" i="2"/>
  <c r="BL1676" i="2"/>
  <c r="BL1677" i="2"/>
  <c r="BL1678" i="2"/>
  <c r="BL1679" i="2"/>
  <c r="BL1680" i="2"/>
  <c r="BL1681" i="2"/>
  <c r="BL1682" i="2"/>
  <c r="BL1683" i="2"/>
  <c r="BL1684" i="2"/>
  <c r="BL1685" i="2"/>
  <c r="BL1686" i="2"/>
  <c r="BL1687" i="2"/>
  <c r="BL1688" i="2"/>
  <c r="BL1689" i="2"/>
  <c r="BL1690" i="2"/>
  <c r="BL1691" i="2"/>
  <c r="BL1692" i="2"/>
  <c r="BL1693" i="2"/>
  <c r="BL1694" i="2"/>
  <c r="BL1695" i="2"/>
  <c r="BL1696" i="2"/>
  <c r="BL1697" i="2"/>
  <c r="BL1698" i="2"/>
  <c r="BL1699" i="2"/>
  <c r="BL1700" i="2"/>
  <c r="BL1701" i="2"/>
  <c r="BL1702" i="2"/>
  <c r="BL1703" i="2"/>
  <c r="BL1704" i="2"/>
  <c r="BL1705" i="2"/>
  <c r="BL1706" i="2"/>
  <c r="BL1707" i="2"/>
  <c r="BL1708" i="2"/>
  <c r="BL1709" i="2"/>
  <c r="BL1710" i="2"/>
  <c r="BL1711" i="2"/>
  <c r="BL1712" i="2"/>
  <c r="BL1713" i="2"/>
  <c r="BL1714" i="2"/>
  <c r="BL1715" i="2"/>
  <c r="BL1716" i="2"/>
  <c r="BL1717" i="2"/>
  <c r="BL1718" i="2"/>
  <c r="BL1719" i="2"/>
  <c r="BL1720" i="2"/>
  <c r="BL1721" i="2"/>
  <c r="BL1722" i="2"/>
  <c r="BL1723" i="2"/>
  <c r="BL1724" i="2"/>
  <c r="BL1725" i="2"/>
  <c r="BL1726" i="2"/>
  <c r="BL1727" i="2"/>
  <c r="BL1728" i="2"/>
  <c r="BL1729" i="2"/>
  <c r="BL1730" i="2"/>
  <c r="BL1731" i="2"/>
  <c r="BL1732" i="2"/>
  <c r="BL1733" i="2"/>
  <c r="BL1734" i="2"/>
  <c r="BL1735" i="2"/>
  <c r="BL1736" i="2"/>
  <c r="BL1737" i="2"/>
  <c r="BL1738" i="2"/>
  <c r="BL1739" i="2"/>
  <c r="BL1740" i="2"/>
  <c r="BL1741" i="2"/>
  <c r="BL1742" i="2"/>
  <c r="BL1743" i="2"/>
  <c r="BL1744" i="2"/>
  <c r="BL1745" i="2"/>
  <c r="BL1746" i="2"/>
  <c r="BL1747" i="2"/>
  <c r="BL1748" i="2"/>
  <c r="BL1749" i="2"/>
  <c r="BL1750" i="2"/>
  <c r="BL1751" i="2"/>
  <c r="BL1752" i="2"/>
  <c r="BL1753" i="2"/>
  <c r="BL1754" i="2"/>
  <c r="BL1755" i="2"/>
  <c r="BL1756" i="2"/>
  <c r="BL1757" i="2"/>
  <c r="BL1758" i="2"/>
  <c r="BL1759" i="2"/>
  <c r="BL1760" i="2"/>
  <c r="BL1761" i="2"/>
  <c r="BL1762" i="2"/>
  <c r="BL1763" i="2"/>
  <c r="BL1764" i="2"/>
  <c r="BL1765" i="2"/>
  <c r="BL1766" i="2"/>
  <c r="BL1767" i="2"/>
  <c r="BL1768" i="2"/>
  <c r="BL1769" i="2"/>
  <c r="BL1770" i="2"/>
  <c r="BL1771" i="2"/>
  <c r="BL1772" i="2"/>
  <c r="BL1773" i="2"/>
  <c r="BL1774" i="2"/>
  <c r="BL1775" i="2"/>
  <c r="BL1776" i="2"/>
  <c r="BL1777" i="2"/>
  <c r="BL1778" i="2"/>
  <c r="BL1779" i="2"/>
  <c r="BL1780" i="2"/>
  <c r="BL1781" i="2"/>
  <c r="BL1782" i="2"/>
  <c r="BL1783" i="2"/>
  <c r="BL1784" i="2"/>
  <c r="BL1785" i="2"/>
  <c r="BL1786" i="2"/>
  <c r="BL1787" i="2"/>
  <c r="BL1788" i="2"/>
  <c r="BL1789" i="2"/>
  <c r="BL1790" i="2"/>
  <c r="BL1791" i="2"/>
  <c r="BL1792" i="2"/>
  <c r="BL1793" i="2"/>
  <c r="BL1794" i="2"/>
  <c r="BL1795" i="2"/>
  <c r="BL1796" i="2"/>
  <c r="BL1797" i="2"/>
  <c r="BL1798" i="2"/>
  <c r="BL1799" i="2"/>
  <c r="BL1800" i="2"/>
  <c r="BL1801" i="2"/>
  <c r="BL1802" i="2"/>
  <c r="BL1803" i="2"/>
  <c r="BL1804" i="2"/>
  <c r="BL1805" i="2"/>
  <c r="BL1806" i="2"/>
  <c r="BL1807" i="2"/>
  <c r="BL1808" i="2"/>
  <c r="BL1809" i="2"/>
  <c r="BL1810" i="2"/>
  <c r="BL1811" i="2"/>
  <c r="BL1812" i="2"/>
  <c r="BL1813" i="2"/>
  <c r="BL1814" i="2"/>
  <c r="BL1815" i="2"/>
  <c r="BL1816" i="2"/>
  <c r="BL1817" i="2"/>
  <c r="BL1818" i="2"/>
  <c r="BL1819" i="2"/>
  <c r="BL1820" i="2"/>
  <c r="BL1821" i="2"/>
  <c r="BL1822" i="2"/>
  <c r="BL1823" i="2"/>
  <c r="BL1824" i="2"/>
  <c r="BL1825" i="2"/>
  <c r="BL1826" i="2"/>
  <c r="BL1827" i="2"/>
  <c r="BL1828" i="2"/>
  <c r="BL1829" i="2"/>
  <c r="BL1830" i="2"/>
  <c r="BL1831" i="2"/>
  <c r="BL1832" i="2"/>
  <c r="BL1833" i="2"/>
  <c r="BL1834" i="2"/>
  <c r="BL1835" i="2"/>
  <c r="BL1836" i="2"/>
  <c r="BL1837" i="2"/>
  <c r="BL1838" i="2"/>
  <c r="BL1839" i="2"/>
  <c r="BL1840" i="2"/>
  <c r="BL1841" i="2"/>
  <c r="BL1842" i="2"/>
  <c r="BL1843" i="2"/>
  <c r="BL1844" i="2"/>
  <c r="BL1845" i="2"/>
  <c r="BL1846" i="2"/>
  <c r="BL1847" i="2"/>
  <c r="BL1848" i="2"/>
  <c r="BL1849" i="2"/>
  <c r="BL1850" i="2"/>
  <c r="BL1851" i="2"/>
  <c r="BL1852" i="2"/>
  <c r="BL1853" i="2"/>
  <c r="BL1854" i="2"/>
  <c r="BL1855" i="2"/>
  <c r="BL1856" i="2"/>
  <c r="BL1857" i="2"/>
  <c r="BL1858" i="2"/>
  <c r="BL1859" i="2"/>
  <c r="BL1860" i="2"/>
  <c r="BL1861" i="2"/>
  <c r="BL1862" i="2"/>
  <c r="BL1863" i="2"/>
  <c r="BL1864" i="2"/>
  <c r="BL1865" i="2"/>
  <c r="BL1866" i="2"/>
  <c r="BL1867" i="2"/>
  <c r="BL1868" i="2"/>
  <c r="BL1869" i="2"/>
  <c r="BL1870" i="2"/>
  <c r="BL1871" i="2"/>
  <c r="BL1872" i="2"/>
  <c r="BL1873" i="2"/>
  <c r="BL1874" i="2"/>
  <c r="BL1875" i="2"/>
  <c r="BL1876" i="2"/>
  <c r="BL1877" i="2"/>
  <c r="BL1878" i="2"/>
  <c r="BL1879" i="2"/>
  <c r="BL1880" i="2"/>
  <c r="BL1881" i="2"/>
  <c r="BL1882" i="2"/>
  <c r="BL1883" i="2"/>
  <c r="BL1884" i="2"/>
  <c r="BL1885" i="2"/>
  <c r="BL1886" i="2"/>
  <c r="BL1887" i="2"/>
  <c r="BL1888" i="2"/>
  <c r="BL1889" i="2"/>
  <c r="BL1890" i="2"/>
  <c r="BL1891" i="2"/>
  <c r="BL1892" i="2"/>
  <c r="BL1893" i="2"/>
  <c r="BL1894" i="2"/>
  <c r="BL1895" i="2"/>
  <c r="BL1896" i="2"/>
  <c r="BL1897" i="2"/>
  <c r="BL1898" i="2"/>
  <c r="BL1899" i="2"/>
  <c r="BL1900" i="2"/>
  <c r="BL1901" i="2"/>
  <c r="BL1902" i="2"/>
  <c r="BL1903" i="2"/>
  <c r="BL1904" i="2"/>
  <c r="BL1905" i="2"/>
  <c r="BL1906" i="2"/>
  <c r="BL1907" i="2"/>
  <c r="BL1908" i="2"/>
  <c r="BL1909" i="2"/>
  <c r="BL1910" i="2"/>
  <c r="BL1911" i="2"/>
  <c r="BL1912" i="2"/>
  <c r="BL1913" i="2"/>
  <c r="BL1914" i="2"/>
  <c r="BL1915" i="2"/>
  <c r="BL1916" i="2"/>
  <c r="BL1917" i="2"/>
  <c r="BL1918" i="2"/>
  <c r="BL1919" i="2"/>
  <c r="BL1920" i="2"/>
  <c r="BL1921" i="2"/>
  <c r="BL1922" i="2"/>
  <c r="BL1923" i="2"/>
  <c r="BL1924" i="2"/>
  <c r="BL1925" i="2"/>
  <c r="BL1926" i="2"/>
  <c r="BL1927" i="2"/>
  <c r="BL1928" i="2"/>
  <c r="BL1929" i="2"/>
  <c r="BL1930" i="2"/>
  <c r="BL1931" i="2"/>
  <c r="BL1932" i="2"/>
  <c r="BL1933" i="2"/>
  <c r="BL1934" i="2"/>
  <c r="BL1935" i="2"/>
  <c r="BL1936" i="2"/>
  <c r="BL1937" i="2"/>
  <c r="BL1938" i="2"/>
  <c r="BL1939" i="2"/>
  <c r="BL1940" i="2"/>
  <c r="BL1941" i="2"/>
  <c r="BL1942" i="2"/>
  <c r="BL1943" i="2"/>
  <c r="BL1944" i="2"/>
  <c r="BL1945" i="2"/>
  <c r="BL1946" i="2"/>
  <c r="BL1947" i="2"/>
  <c r="BL1948" i="2"/>
  <c r="BL1949" i="2"/>
  <c r="BL1950" i="2"/>
  <c r="BL1951" i="2"/>
  <c r="BL1952" i="2"/>
  <c r="BL1953" i="2"/>
  <c r="BL1954" i="2"/>
  <c r="BL1955" i="2"/>
  <c r="BL1956" i="2"/>
  <c r="BL1957" i="2"/>
  <c r="BL1958" i="2"/>
  <c r="BL1959" i="2"/>
  <c r="BL1960" i="2"/>
  <c r="BL1961" i="2"/>
  <c r="BL1962" i="2"/>
  <c r="BL1963" i="2"/>
  <c r="BL1964" i="2"/>
  <c r="BL1965" i="2"/>
  <c r="BL1966" i="2"/>
  <c r="BL1967" i="2"/>
  <c r="BL1968" i="2"/>
  <c r="BL1969" i="2"/>
  <c r="BL1970" i="2"/>
  <c r="BL1971" i="2"/>
  <c r="BL1972" i="2"/>
  <c r="BL1973" i="2"/>
  <c r="BL1974" i="2"/>
  <c r="BL1975" i="2"/>
  <c r="BL1976" i="2"/>
  <c r="BL1977" i="2"/>
  <c r="BL1978" i="2"/>
  <c r="BL1979" i="2"/>
  <c r="BL1980" i="2"/>
  <c r="BL1981" i="2"/>
  <c r="BL1982" i="2"/>
  <c r="BL1983" i="2"/>
  <c r="BL1984" i="2"/>
  <c r="BL1985" i="2"/>
  <c r="BL1986" i="2"/>
  <c r="BL1987" i="2"/>
  <c r="BL1988" i="2"/>
  <c r="BL1989" i="2"/>
  <c r="BL1990" i="2"/>
  <c r="BL1991" i="2"/>
  <c r="BL1992" i="2"/>
  <c r="BL1993" i="2"/>
  <c r="BL1994" i="2"/>
  <c r="BL1995" i="2"/>
  <c r="BL1996" i="2"/>
  <c r="BL1997" i="2"/>
  <c r="BL1998" i="2"/>
  <c r="BL1999" i="2"/>
  <c r="BL2000" i="2"/>
  <c r="BL2001" i="2"/>
  <c r="BL2002" i="2"/>
  <c r="BL2003" i="2"/>
  <c r="BL2004" i="2"/>
  <c r="BL2005" i="2"/>
  <c r="BL2006" i="2"/>
  <c r="BL2007" i="2"/>
  <c r="BL2008" i="2"/>
  <c r="BL2009" i="2"/>
  <c r="BL2010" i="2"/>
  <c r="BL2011" i="2"/>
  <c r="BL2012" i="2"/>
  <c r="BL2013" i="2"/>
  <c r="BL2014" i="2"/>
  <c r="BL2015" i="2"/>
  <c r="BL2016" i="2"/>
  <c r="BL2017" i="2"/>
  <c r="BL2018" i="2"/>
  <c r="BL2019" i="2"/>
  <c r="BL2020" i="2"/>
  <c r="BL2021" i="2"/>
  <c r="BL2022" i="2"/>
  <c r="BL2023" i="2"/>
  <c r="BL2024" i="2"/>
  <c r="BL2025" i="2"/>
  <c r="BL2026" i="2"/>
  <c r="BL2027" i="2"/>
  <c r="BL2028" i="2"/>
  <c r="BL2029" i="2"/>
  <c r="BL2030" i="2"/>
  <c r="BL2031" i="2"/>
  <c r="BL2032" i="2"/>
  <c r="BL2033" i="2"/>
  <c r="BL2034" i="2"/>
  <c r="BL2035" i="2"/>
  <c r="BL2036" i="2"/>
  <c r="BL2037" i="2"/>
  <c r="BL2038" i="2"/>
  <c r="BL2039" i="2"/>
  <c r="BL2040" i="2"/>
  <c r="BL2041" i="2"/>
  <c r="BL2042" i="2"/>
  <c r="BL2043" i="2"/>
  <c r="BL2044" i="2"/>
  <c r="BL2045" i="2"/>
  <c r="BL2046" i="2"/>
  <c r="BL2047" i="2"/>
  <c r="BL2048" i="2"/>
  <c r="BL2049" i="2"/>
  <c r="BL2050" i="2"/>
  <c r="BL2051" i="2"/>
  <c r="BL2052" i="2"/>
  <c r="BL2053" i="2"/>
  <c r="BL2054" i="2"/>
  <c r="BL2055" i="2"/>
  <c r="BL2056" i="2"/>
  <c r="BL2057" i="2"/>
  <c r="BL2058" i="2"/>
  <c r="BL2059" i="2"/>
  <c r="BL2060" i="2"/>
  <c r="BL2061" i="2"/>
  <c r="BL2062" i="2"/>
  <c r="BL2063" i="2"/>
  <c r="BL2064" i="2"/>
  <c r="BL2065" i="2"/>
  <c r="BL2066" i="2"/>
  <c r="BL2067" i="2"/>
  <c r="BL2068" i="2"/>
  <c r="BL2069" i="2"/>
  <c r="BL2070" i="2"/>
  <c r="BL2071" i="2"/>
  <c r="BL2072" i="2"/>
  <c r="BL2073" i="2"/>
  <c r="BL2074" i="2"/>
  <c r="BL2075" i="2"/>
  <c r="BL2076" i="2"/>
  <c r="BL2077" i="2"/>
  <c r="BL2078" i="2"/>
  <c r="BL2079" i="2"/>
  <c r="BL2080" i="2"/>
  <c r="BL2081" i="2"/>
  <c r="BL2082" i="2"/>
  <c r="BL2083" i="2"/>
  <c r="BL2084" i="2"/>
  <c r="BL2085" i="2"/>
  <c r="BL2086" i="2"/>
  <c r="BL2087" i="2"/>
  <c r="BL2088" i="2"/>
  <c r="BL2089" i="2"/>
  <c r="BL2090" i="2"/>
  <c r="BL2091" i="2"/>
  <c r="BL2092" i="2"/>
  <c r="BL2093" i="2"/>
  <c r="BL2094" i="2"/>
  <c r="BL2095" i="2"/>
  <c r="BL2096" i="2"/>
  <c r="BL2097" i="2"/>
  <c r="BL2098" i="2"/>
  <c r="BL2099" i="2"/>
  <c r="BL2100" i="2"/>
  <c r="BL2101" i="2"/>
  <c r="BL2102" i="2"/>
  <c r="BL2103" i="2"/>
  <c r="BL2104" i="2"/>
  <c r="BL2105" i="2"/>
  <c r="BL2106" i="2"/>
  <c r="BL2107" i="2"/>
  <c r="BL2108" i="2"/>
  <c r="BL2109" i="2"/>
  <c r="BL2110" i="2"/>
  <c r="BL2111" i="2"/>
  <c r="BL2112" i="2"/>
  <c r="BL2113" i="2"/>
  <c r="BL2114" i="2"/>
  <c r="BL2115" i="2"/>
  <c r="BL2116" i="2"/>
  <c r="BL2117" i="2"/>
  <c r="BL2118" i="2"/>
  <c r="BL2119" i="2"/>
  <c r="BL2120" i="2"/>
  <c r="BL2121" i="2"/>
  <c r="BL2122" i="2"/>
  <c r="BL2123" i="2"/>
  <c r="BL2124" i="2"/>
  <c r="BL2125" i="2"/>
  <c r="BL2126" i="2"/>
  <c r="BL2127" i="2"/>
  <c r="BL2128" i="2"/>
  <c r="BL2129" i="2"/>
  <c r="BL2130" i="2"/>
  <c r="BL2131" i="2"/>
  <c r="BL2132" i="2"/>
  <c r="BL2" i="2"/>
  <c r="BI3" i="2"/>
  <c r="BI4" i="2"/>
  <c r="BI5" i="2"/>
  <c r="BI6" i="2"/>
  <c r="BI7" i="2"/>
  <c r="BI8" i="2"/>
  <c r="BI9" i="2"/>
  <c r="BI10" i="2"/>
  <c r="BI11" i="2"/>
  <c r="BI12" i="2"/>
  <c r="BI13" i="2"/>
  <c r="BI14" i="2"/>
  <c r="BI15" i="2"/>
  <c r="BI16" i="2"/>
  <c r="BI17" i="2"/>
  <c r="BI18" i="2"/>
  <c r="BI19" i="2"/>
  <c r="BI20" i="2"/>
  <c r="BI21" i="2"/>
  <c r="BI22" i="2"/>
  <c r="BI23" i="2"/>
  <c r="BI24" i="2"/>
  <c r="BI25" i="2"/>
  <c r="BI26" i="2"/>
  <c r="BI27" i="2"/>
  <c r="BI28" i="2"/>
  <c r="BI29" i="2"/>
  <c r="BI30" i="2"/>
  <c r="BI31" i="2"/>
  <c r="BI32" i="2"/>
  <c r="BI33" i="2"/>
  <c r="BI34" i="2"/>
  <c r="BI35" i="2"/>
  <c r="BI36" i="2"/>
  <c r="BI37" i="2"/>
  <c r="BI38" i="2"/>
  <c r="BI39" i="2"/>
  <c r="BI40" i="2"/>
  <c r="BI41" i="2"/>
  <c r="BI42" i="2"/>
  <c r="BI43" i="2"/>
  <c r="BI44" i="2"/>
  <c r="BI45" i="2"/>
  <c r="BI46" i="2"/>
  <c r="BI47" i="2"/>
  <c r="BI48" i="2"/>
  <c r="BI49" i="2"/>
  <c r="BI50" i="2"/>
  <c r="BI51" i="2"/>
  <c r="BI52" i="2"/>
  <c r="BI53" i="2"/>
  <c r="BI54" i="2"/>
  <c r="BI55" i="2"/>
  <c r="BI56" i="2"/>
  <c r="BI57" i="2"/>
  <c r="BI58" i="2"/>
  <c r="BI59" i="2"/>
  <c r="BI60" i="2"/>
  <c r="BI61" i="2"/>
  <c r="BI62" i="2"/>
  <c r="BI63" i="2"/>
  <c r="BI64" i="2"/>
  <c r="BI65" i="2"/>
  <c r="BI66" i="2"/>
  <c r="BI67" i="2"/>
  <c r="BI68" i="2"/>
  <c r="BI69" i="2"/>
  <c r="BI70" i="2"/>
  <c r="BI71" i="2"/>
  <c r="BI72" i="2"/>
  <c r="BI73" i="2"/>
  <c r="BI74" i="2"/>
  <c r="BI75" i="2"/>
  <c r="BI76" i="2"/>
  <c r="BI77" i="2"/>
  <c r="BI78" i="2"/>
  <c r="BI79" i="2"/>
  <c r="BI80" i="2"/>
  <c r="BI81" i="2"/>
  <c r="BI82" i="2"/>
  <c r="BI83" i="2"/>
  <c r="BI84" i="2"/>
  <c r="BI85" i="2"/>
  <c r="BI86" i="2"/>
  <c r="BI87" i="2"/>
  <c r="BI88" i="2"/>
  <c r="BI89" i="2"/>
  <c r="BI90" i="2"/>
  <c r="BI91" i="2"/>
  <c r="BI92" i="2"/>
  <c r="BI93" i="2"/>
  <c r="BI94" i="2"/>
  <c r="BI95" i="2"/>
  <c r="BI96" i="2"/>
  <c r="BI97" i="2"/>
  <c r="BI98" i="2"/>
  <c r="BI99" i="2"/>
  <c r="BI100" i="2"/>
  <c r="BI101" i="2"/>
  <c r="BI102" i="2"/>
  <c r="BI103" i="2"/>
  <c r="BI104" i="2"/>
  <c r="BI105" i="2"/>
  <c r="BI106" i="2"/>
  <c r="BI107" i="2"/>
  <c r="BI108" i="2"/>
  <c r="BI109" i="2"/>
  <c r="BI110" i="2"/>
  <c r="BI111" i="2"/>
  <c r="BI112" i="2"/>
  <c r="BI113" i="2"/>
  <c r="BI114" i="2"/>
  <c r="BI115" i="2"/>
  <c r="BI116" i="2"/>
  <c r="BI117" i="2"/>
  <c r="BI118" i="2"/>
  <c r="BI119" i="2"/>
  <c r="BI120" i="2"/>
  <c r="BI121" i="2"/>
  <c r="BI122" i="2"/>
  <c r="BI123" i="2"/>
  <c r="BI124" i="2"/>
  <c r="BI125" i="2"/>
  <c r="BI126" i="2"/>
  <c r="BI127" i="2"/>
  <c r="BI128" i="2"/>
  <c r="BI129" i="2"/>
  <c r="BI130" i="2"/>
  <c r="BI131" i="2"/>
  <c r="BI132" i="2"/>
  <c r="BI133" i="2"/>
  <c r="BI134" i="2"/>
  <c r="BI135" i="2"/>
  <c r="BI136" i="2"/>
  <c r="BI137" i="2"/>
  <c r="BI138" i="2"/>
  <c r="BI139" i="2"/>
  <c r="BI140" i="2"/>
  <c r="BI141" i="2"/>
  <c r="BI142" i="2"/>
  <c r="BI143" i="2"/>
  <c r="BI144" i="2"/>
  <c r="BI145" i="2"/>
  <c r="BI146" i="2"/>
  <c r="BI147" i="2"/>
  <c r="BI148" i="2"/>
  <c r="BI149" i="2"/>
  <c r="BI150" i="2"/>
  <c r="BI151" i="2"/>
  <c r="BI152" i="2"/>
  <c r="BI153" i="2"/>
  <c r="BI154" i="2"/>
  <c r="BI155" i="2"/>
  <c r="BI156" i="2"/>
  <c r="BI157" i="2"/>
  <c r="BI158" i="2"/>
  <c r="BI159" i="2"/>
  <c r="BI160" i="2"/>
  <c r="BI161" i="2"/>
  <c r="BI162" i="2"/>
  <c r="BI163" i="2"/>
  <c r="BI164" i="2"/>
  <c r="BI165" i="2"/>
  <c r="BI166" i="2"/>
  <c r="BI167" i="2"/>
  <c r="BI168" i="2"/>
  <c r="BI169" i="2"/>
  <c r="BI170" i="2"/>
  <c r="BI171" i="2"/>
  <c r="BI172" i="2"/>
  <c r="BI173" i="2"/>
  <c r="BI174" i="2"/>
  <c r="BI175" i="2"/>
  <c r="BI176" i="2"/>
  <c r="BI177" i="2"/>
  <c r="BI178" i="2"/>
  <c r="BI179" i="2"/>
  <c r="BI180" i="2"/>
  <c r="BI181" i="2"/>
  <c r="BI182" i="2"/>
  <c r="BI183" i="2"/>
  <c r="BI184" i="2"/>
  <c r="BI185" i="2"/>
  <c r="BI186" i="2"/>
  <c r="BI187" i="2"/>
  <c r="BI188" i="2"/>
  <c r="BI189" i="2"/>
  <c r="BI190" i="2"/>
  <c r="BI191" i="2"/>
  <c r="BI192" i="2"/>
  <c r="BI193" i="2"/>
  <c r="BI194" i="2"/>
  <c r="BI195" i="2"/>
  <c r="BI196" i="2"/>
  <c r="BI197" i="2"/>
  <c r="BI198" i="2"/>
  <c r="BI199" i="2"/>
  <c r="BI200" i="2"/>
  <c r="BI201" i="2"/>
  <c r="BI202" i="2"/>
  <c r="BI203" i="2"/>
  <c r="BI204" i="2"/>
  <c r="BI205" i="2"/>
  <c r="BI206" i="2"/>
  <c r="BI207" i="2"/>
  <c r="BI208" i="2"/>
  <c r="BI209" i="2"/>
  <c r="BI210" i="2"/>
  <c r="BI211" i="2"/>
  <c r="BI212" i="2"/>
  <c r="BI213" i="2"/>
  <c r="BI214" i="2"/>
  <c r="BI215" i="2"/>
  <c r="BI216" i="2"/>
  <c r="BI217" i="2"/>
  <c r="BI218" i="2"/>
  <c r="BI219" i="2"/>
  <c r="BI220" i="2"/>
  <c r="BI221" i="2"/>
  <c r="BI222" i="2"/>
  <c r="BI223" i="2"/>
  <c r="BI224" i="2"/>
  <c r="BI225" i="2"/>
  <c r="BI226" i="2"/>
  <c r="BI227" i="2"/>
  <c r="BI228" i="2"/>
  <c r="BI229" i="2"/>
  <c r="BI230" i="2"/>
  <c r="BI231" i="2"/>
  <c r="BI232" i="2"/>
  <c r="BI233" i="2"/>
  <c r="BI234" i="2"/>
  <c r="BI235" i="2"/>
  <c r="BI236" i="2"/>
  <c r="BI237" i="2"/>
  <c r="BI238" i="2"/>
  <c r="BI239" i="2"/>
  <c r="BI240" i="2"/>
  <c r="BI241" i="2"/>
  <c r="BI242" i="2"/>
  <c r="BI243" i="2"/>
  <c r="BI244" i="2"/>
  <c r="BI245" i="2"/>
  <c r="BI246" i="2"/>
  <c r="BI247" i="2"/>
  <c r="BI248" i="2"/>
  <c r="BI249" i="2"/>
  <c r="BI250" i="2"/>
  <c r="BI251" i="2"/>
  <c r="BI252" i="2"/>
  <c r="BI253" i="2"/>
  <c r="BI254" i="2"/>
  <c r="BI255" i="2"/>
  <c r="BI256" i="2"/>
  <c r="BI257" i="2"/>
  <c r="BI258" i="2"/>
  <c r="BI259" i="2"/>
  <c r="BI260" i="2"/>
  <c r="BI261" i="2"/>
  <c r="BI262" i="2"/>
  <c r="BI263" i="2"/>
  <c r="BI264" i="2"/>
  <c r="BI265" i="2"/>
  <c r="BI266" i="2"/>
  <c r="BI267" i="2"/>
  <c r="BI268" i="2"/>
  <c r="BI269" i="2"/>
  <c r="BI270" i="2"/>
  <c r="BI271" i="2"/>
  <c r="BI272" i="2"/>
  <c r="BI273" i="2"/>
  <c r="BI274" i="2"/>
  <c r="BI275" i="2"/>
  <c r="BI276" i="2"/>
  <c r="BI277" i="2"/>
  <c r="BI278" i="2"/>
  <c r="BI279" i="2"/>
  <c r="BI280" i="2"/>
  <c r="BI281" i="2"/>
  <c r="BI282" i="2"/>
  <c r="BI283" i="2"/>
  <c r="BI284" i="2"/>
  <c r="BI285" i="2"/>
  <c r="BI286" i="2"/>
  <c r="BI287" i="2"/>
  <c r="BI288" i="2"/>
  <c r="BI289" i="2"/>
  <c r="BI290" i="2"/>
  <c r="BI291" i="2"/>
  <c r="BI292" i="2"/>
  <c r="BI293" i="2"/>
  <c r="BI294" i="2"/>
  <c r="BI295" i="2"/>
  <c r="BI296" i="2"/>
  <c r="BI297" i="2"/>
  <c r="BI298" i="2"/>
  <c r="BI299" i="2"/>
  <c r="BI300" i="2"/>
  <c r="BI301" i="2"/>
  <c r="BI302" i="2"/>
  <c r="BI303" i="2"/>
  <c r="BI304" i="2"/>
  <c r="BI305" i="2"/>
  <c r="BI306" i="2"/>
  <c r="BI307" i="2"/>
  <c r="BI308" i="2"/>
  <c r="BI309" i="2"/>
  <c r="BI310" i="2"/>
  <c r="BI311" i="2"/>
  <c r="BI312" i="2"/>
  <c r="BI313" i="2"/>
  <c r="BI314" i="2"/>
  <c r="BI315" i="2"/>
  <c r="BI316" i="2"/>
  <c r="BI317" i="2"/>
  <c r="BI318" i="2"/>
  <c r="BI319" i="2"/>
  <c r="BI320" i="2"/>
  <c r="BI321" i="2"/>
  <c r="BI322" i="2"/>
  <c r="BI323" i="2"/>
  <c r="BI324" i="2"/>
  <c r="BI325" i="2"/>
  <c r="BI326" i="2"/>
  <c r="BI327" i="2"/>
  <c r="BI328" i="2"/>
  <c r="BI329" i="2"/>
  <c r="BI330" i="2"/>
  <c r="BI331" i="2"/>
  <c r="BI332" i="2"/>
  <c r="BI333" i="2"/>
  <c r="BI334" i="2"/>
  <c r="BI335" i="2"/>
  <c r="BI336" i="2"/>
  <c r="BI337" i="2"/>
  <c r="BI338" i="2"/>
  <c r="BI339" i="2"/>
  <c r="BI340" i="2"/>
  <c r="BI341" i="2"/>
  <c r="BI342" i="2"/>
  <c r="BI343" i="2"/>
  <c r="BI344" i="2"/>
  <c r="BI345" i="2"/>
  <c r="BI346" i="2"/>
  <c r="BI347" i="2"/>
  <c r="BI348" i="2"/>
  <c r="BI349" i="2"/>
  <c r="BI350" i="2"/>
  <c r="BI351" i="2"/>
  <c r="BI352" i="2"/>
  <c r="BI353" i="2"/>
  <c r="BI354" i="2"/>
  <c r="BI355" i="2"/>
  <c r="BI356" i="2"/>
  <c r="BI357" i="2"/>
  <c r="BI358" i="2"/>
  <c r="BI359" i="2"/>
  <c r="BI360" i="2"/>
  <c r="BI361" i="2"/>
  <c r="BI362" i="2"/>
  <c r="BI363" i="2"/>
  <c r="BI364" i="2"/>
  <c r="BI365" i="2"/>
  <c r="BI366" i="2"/>
  <c r="BI367" i="2"/>
  <c r="BI368" i="2"/>
  <c r="BI369" i="2"/>
  <c r="BI370" i="2"/>
  <c r="BI371" i="2"/>
  <c r="BI372" i="2"/>
  <c r="BI373" i="2"/>
  <c r="BI374" i="2"/>
  <c r="BI375" i="2"/>
  <c r="BI376" i="2"/>
  <c r="BI377" i="2"/>
  <c r="BI378" i="2"/>
  <c r="BI379" i="2"/>
  <c r="BI380" i="2"/>
  <c r="BI381" i="2"/>
  <c r="BI382" i="2"/>
  <c r="BI383" i="2"/>
  <c r="BI384" i="2"/>
  <c r="BI385" i="2"/>
  <c r="BI386" i="2"/>
  <c r="BI387" i="2"/>
  <c r="BI388" i="2"/>
  <c r="BI389" i="2"/>
  <c r="BI390" i="2"/>
  <c r="BI391" i="2"/>
  <c r="BI392" i="2"/>
  <c r="BI393" i="2"/>
  <c r="BI394" i="2"/>
  <c r="BI395" i="2"/>
  <c r="BI396" i="2"/>
  <c r="BI397" i="2"/>
  <c r="BI398" i="2"/>
  <c r="BI399" i="2"/>
  <c r="BI400" i="2"/>
  <c r="BI401" i="2"/>
  <c r="BI402" i="2"/>
  <c r="BI403" i="2"/>
  <c r="BI404" i="2"/>
  <c r="BI405" i="2"/>
  <c r="BI406" i="2"/>
  <c r="BI407" i="2"/>
  <c r="BI408" i="2"/>
  <c r="BI409" i="2"/>
  <c r="BI410" i="2"/>
  <c r="BI411" i="2"/>
  <c r="BI412" i="2"/>
  <c r="BI413" i="2"/>
  <c r="BI414" i="2"/>
  <c r="BI415" i="2"/>
  <c r="BI416" i="2"/>
  <c r="BI417" i="2"/>
  <c r="BI418" i="2"/>
  <c r="BI419" i="2"/>
  <c r="BI420" i="2"/>
  <c r="BI421" i="2"/>
  <c r="BI422" i="2"/>
  <c r="BI423" i="2"/>
  <c r="BI424" i="2"/>
  <c r="BI425" i="2"/>
  <c r="BI426" i="2"/>
  <c r="BI427" i="2"/>
  <c r="BI428" i="2"/>
  <c r="BI429" i="2"/>
  <c r="BI430" i="2"/>
  <c r="BI431" i="2"/>
  <c r="BI432" i="2"/>
  <c r="BI433" i="2"/>
  <c r="BI434" i="2"/>
  <c r="BI435" i="2"/>
  <c r="BI436" i="2"/>
  <c r="BI437" i="2"/>
  <c r="BI438" i="2"/>
  <c r="BI439" i="2"/>
  <c r="BI440" i="2"/>
  <c r="BI441" i="2"/>
  <c r="BI442" i="2"/>
  <c r="BI443" i="2"/>
  <c r="BI444" i="2"/>
  <c r="BI445" i="2"/>
  <c r="BI446" i="2"/>
  <c r="BI447" i="2"/>
  <c r="BI448" i="2"/>
  <c r="BI449" i="2"/>
  <c r="BI450" i="2"/>
  <c r="BI451" i="2"/>
  <c r="BI452" i="2"/>
  <c r="BI453" i="2"/>
  <c r="BI454" i="2"/>
  <c r="BI455" i="2"/>
  <c r="BI456" i="2"/>
  <c r="BI457" i="2"/>
  <c r="BI458" i="2"/>
  <c r="BI459" i="2"/>
  <c r="BI460" i="2"/>
  <c r="BI461" i="2"/>
  <c r="BI462" i="2"/>
  <c r="BI463" i="2"/>
  <c r="BI464" i="2"/>
  <c r="BI465" i="2"/>
  <c r="BI466" i="2"/>
  <c r="BI467" i="2"/>
  <c r="BI468" i="2"/>
  <c r="BI469" i="2"/>
  <c r="BI470" i="2"/>
  <c r="BI471" i="2"/>
  <c r="BI472" i="2"/>
  <c r="BI473" i="2"/>
  <c r="BI474" i="2"/>
  <c r="BI475" i="2"/>
  <c r="BI476" i="2"/>
  <c r="BI477" i="2"/>
  <c r="BI478" i="2"/>
  <c r="BI479" i="2"/>
  <c r="BI480" i="2"/>
  <c r="BI481" i="2"/>
  <c r="BI482" i="2"/>
  <c r="BI483" i="2"/>
  <c r="BI484" i="2"/>
  <c r="BI485" i="2"/>
  <c r="BI486" i="2"/>
  <c r="BI487" i="2"/>
  <c r="BI488" i="2"/>
  <c r="BI489" i="2"/>
  <c r="BI490" i="2"/>
  <c r="BI491" i="2"/>
  <c r="BI492" i="2"/>
  <c r="BI493" i="2"/>
  <c r="BI494" i="2"/>
  <c r="BI495" i="2"/>
  <c r="BI496" i="2"/>
  <c r="BI497" i="2"/>
  <c r="BI498" i="2"/>
  <c r="BI499" i="2"/>
  <c r="BI500" i="2"/>
  <c r="BI501" i="2"/>
  <c r="BI502" i="2"/>
  <c r="BI503" i="2"/>
  <c r="BI504" i="2"/>
  <c r="BI505" i="2"/>
  <c r="BI506" i="2"/>
  <c r="BI507" i="2"/>
  <c r="BI508" i="2"/>
  <c r="BI509" i="2"/>
  <c r="BI510" i="2"/>
  <c r="BI511" i="2"/>
  <c r="BI512" i="2"/>
  <c r="BI513" i="2"/>
  <c r="BI514" i="2"/>
  <c r="BI515" i="2"/>
  <c r="BI516" i="2"/>
  <c r="BI517" i="2"/>
  <c r="BI518" i="2"/>
  <c r="BI519" i="2"/>
  <c r="BI520" i="2"/>
  <c r="BI521" i="2"/>
  <c r="BI522" i="2"/>
  <c r="BI523" i="2"/>
  <c r="BI524" i="2"/>
  <c r="BI525" i="2"/>
  <c r="BI526" i="2"/>
  <c r="BI527" i="2"/>
  <c r="BI528" i="2"/>
  <c r="BI529" i="2"/>
  <c r="BI530" i="2"/>
  <c r="BI531" i="2"/>
  <c r="BI532" i="2"/>
  <c r="BI533" i="2"/>
  <c r="BI534" i="2"/>
  <c r="BI535" i="2"/>
  <c r="BI536" i="2"/>
  <c r="BI537" i="2"/>
  <c r="BI538" i="2"/>
  <c r="BI539" i="2"/>
  <c r="BI540" i="2"/>
  <c r="BI541" i="2"/>
  <c r="BI542" i="2"/>
  <c r="BI543" i="2"/>
  <c r="BI544" i="2"/>
  <c r="BI545" i="2"/>
  <c r="BI546" i="2"/>
  <c r="BI547" i="2"/>
  <c r="BI548" i="2"/>
  <c r="BI549" i="2"/>
  <c r="BI550" i="2"/>
  <c r="BI551" i="2"/>
  <c r="BI552" i="2"/>
  <c r="BI553" i="2"/>
  <c r="BI554" i="2"/>
  <c r="BI555" i="2"/>
  <c r="BI556" i="2"/>
  <c r="BI557" i="2"/>
  <c r="BI558" i="2"/>
  <c r="BI559" i="2"/>
  <c r="BI560" i="2"/>
  <c r="BI561" i="2"/>
  <c r="BI562" i="2"/>
  <c r="BI563" i="2"/>
  <c r="BI564" i="2"/>
  <c r="BI565" i="2"/>
  <c r="BI566" i="2"/>
  <c r="BI567" i="2"/>
  <c r="BI568" i="2"/>
  <c r="BI569" i="2"/>
  <c r="BI570" i="2"/>
  <c r="BI571" i="2"/>
  <c r="BI572" i="2"/>
  <c r="BI573" i="2"/>
  <c r="BI574" i="2"/>
  <c r="BI575" i="2"/>
  <c r="BI576" i="2"/>
  <c r="BI577" i="2"/>
  <c r="BI578" i="2"/>
  <c r="BI579" i="2"/>
  <c r="BI580" i="2"/>
  <c r="BI581" i="2"/>
  <c r="BI582" i="2"/>
  <c r="BI583" i="2"/>
  <c r="BI584" i="2"/>
  <c r="BI585" i="2"/>
  <c r="BI586" i="2"/>
  <c r="BI587" i="2"/>
  <c r="BI588" i="2"/>
  <c r="BI589" i="2"/>
  <c r="BI590" i="2"/>
  <c r="BI591" i="2"/>
  <c r="BI592" i="2"/>
  <c r="BI593" i="2"/>
  <c r="BI594" i="2"/>
  <c r="BI595" i="2"/>
  <c r="BI596" i="2"/>
  <c r="BI597" i="2"/>
  <c r="BI598" i="2"/>
  <c r="BI599" i="2"/>
  <c r="BI600" i="2"/>
  <c r="BI601" i="2"/>
  <c r="BI602" i="2"/>
  <c r="BI603" i="2"/>
  <c r="BI604" i="2"/>
  <c r="BI605" i="2"/>
  <c r="BI606" i="2"/>
  <c r="BI607" i="2"/>
  <c r="BI608" i="2"/>
  <c r="BI609" i="2"/>
  <c r="BI610" i="2"/>
  <c r="BI611" i="2"/>
  <c r="BI612" i="2"/>
  <c r="BI613" i="2"/>
  <c r="BI614" i="2"/>
  <c r="BI615" i="2"/>
  <c r="BI616" i="2"/>
  <c r="BI617" i="2"/>
  <c r="BI618" i="2"/>
  <c r="BI619" i="2"/>
  <c r="BI620" i="2"/>
  <c r="BI621" i="2"/>
  <c r="BI622" i="2"/>
  <c r="BI623" i="2"/>
  <c r="BI624" i="2"/>
  <c r="BI625" i="2"/>
  <c r="BI626" i="2"/>
  <c r="BI627" i="2"/>
  <c r="BI628" i="2"/>
  <c r="BI629" i="2"/>
  <c r="BI630" i="2"/>
  <c r="BI631" i="2"/>
  <c r="BI632" i="2"/>
  <c r="BI633" i="2"/>
  <c r="BI634" i="2"/>
  <c r="BI635" i="2"/>
  <c r="BI636" i="2"/>
  <c r="BI637" i="2"/>
  <c r="BI638" i="2"/>
  <c r="BI639" i="2"/>
  <c r="BI640" i="2"/>
  <c r="BI641" i="2"/>
  <c r="BI642" i="2"/>
  <c r="BI643" i="2"/>
  <c r="BI644" i="2"/>
  <c r="BI645" i="2"/>
  <c r="BI646" i="2"/>
  <c r="BI647" i="2"/>
  <c r="BI648" i="2"/>
  <c r="BI649" i="2"/>
  <c r="BI650" i="2"/>
  <c r="BI651" i="2"/>
  <c r="BI652" i="2"/>
  <c r="BI653" i="2"/>
  <c r="BI654" i="2"/>
  <c r="BI655" i="2"/>
  <c r="BI656" i="2"/>
  <c r="BI657" i="2"/>
  <c r="BI658" i="2"/>
  <c r="BI659" i="2"/>
  <c r="BI660" i="2"/>
  <c r="BI661" i="2"/>
  <c r="BI662" i="2"/>
  <c r="BI663" i="2"/>
  <c r="BI664" i="2"/>
  <c r="BI665" i="2"/>
  <c r="BI666" i="2"/>
  <c r="BI667" i="2"/>
  <c r="BI668" i="2"/>
  <c r="BI669" i="2"/>
  <c r="BI670" i="2"/>
  <c r="BI671" i="2"/>
  <c r="BI672" i="2"/>
  <c r="BI673" i="2"/>
  <c r="BI674" i="2"/>
  <c r="BI675" i="2"/>
  <c r="BI676" i="2"/>
  <c r="BI677" i="2"/>
  <c r="BI678" i="2"/>
  <c r="BI679" i="2"/>
  <c r="BI680" i="2"/>
  <c r="BI681" i="2"/>
  <c r="BI682" i="2"/>
  <c r="BI683" i="2"/>
  <c r="BI684" i="2"/>
  <c r="BI685" i="2"/>
  <c r="BI686" i="2"/>
  <c r="BI687" i="2"/>
  <c r="BI688" i="2"/>
  <c r="BI689" i="2"/>
  <c r="BI690" i="2"/>
  <c r="BI691" i="2"/>
  <c r="BI692" i="2"/>
  <c r="BI693" i="2"/>
  <c r="BI694" i="2"/>
  <c r="BI695" i="2"/>
  <c r="BI696" i="2"/>
  <c r="BI697" i="2"/>
  <c r="BI698" i="2"/>
  <c r="BI699" i="2"/>
  <c r="BI700" i="2"/>
  <c r="BI701" i="2"/>
  <c r="BI702" i="2"/>
  <c r="BI703" i="2"/>
  <c r="BI704" i="2"/>
  <c r="BI705" i="2"/>
  <c r="BI706" i="2"/>
  <c r="BI707" i="2"/>
  <c r="BI708" i="2"/>
  <c r="BI709" i="2"/>
  <c r="BI710" i="2"/>
  <c r="BI711" i="2"/>
  <c r="BI712" i="2"/>
  <c r="BI713" i="2"/>
  <c r="BI714" i="2"/>
  <c r="BI715" i="2"/>
  <c r="BI716" i="2"/>
  <c r="BI717" i="2"/>
  <c r="BI718" i="2"/>
  <c r="BI719" i="2"/>
  <c r="BI720" i="2"/>
  <c r="BI721" i="2"/>
  <c r="BI722" i="2"/>
  <c r="BI723" i="2"/>
  <c r="BI724" i="2"/>
  <c r="BI725" i="2"/>
  <c r="BI726" i="2"/>
  <c r="BI727" i="2"/>
  <c r="BI728" i="2"/>
  <c r="BI729" i="2"/>
  <c r="BI730" i="2"/>
  <c r="BI731" i="2"/>
  <c r="BI732" i="2"/>
  <c r="BI733" i="2"/>
  <c r="BI734" i="2"/>
  <c r="BI735" i="2"/>
  <c r="BI736" i="2"/>
  <c r="BI737" i="2"/>
  <c r="BI738" i="2"/>
  <c r="BI739" i="2"/>
  <c r="BI740" i="2"/>
  <c r="BI741" i="2"/>
  <c r="BI742" i="2"/>
  <c r="BI743" i="2"/>
  <c r="BI744" i="2"/>
  <c r="BI745" i="2"/>
  <c r="BI746" i="2"/>
  <c r="BI747" i="2"/>
  <c r="BI748" i="2"/>
  <c r="BI749" i="2"/>
  <c r="BI750" i="2"/>
  <c r="BI751" i="2"/>
  <c r="BI752" i="2"/>
  <c r="BI753" i="2"/>
  <c r="BI754" i="2"/>
  <c r="BI755" i="2"/>
  <c r="BI756" i="2"/>
  <c r="BI757" i="2"/>
  <c r="BI758" i="2"/>
  <c r="BI759" i="2"/>
  <c r="BI760" i="2"/>
  <c r="BI761" i="2"/>
  <c r="BI762" i="2"/>
  <c r="BI763" i="2"/>
  <c r="BI764" i="2"/>
  <c r="BI765" i="2"/>
  <c r="BI766" i="2"/>
  <c r="BI767" i="2"/>
  <c r="BI768" i="2"/>
  <c r="BI769" i="2"/>
  <c r="BI770" i="2"/>
  <c r="BI771" i="2"/>
  <c r="BI772" i="2"/>
  <c r="BI773" i="2"/>
  <c r="BI774" i="2"/>
  <c r="BI775" i="2"/>
  <c r="BI776" i="2"/>
  <c r="BI777" i="2"/>
  <c r="BI778" i="2"/>
  <c r="BI779" i="2"/>
  <c r="BI780" i="2"/>
  <c r="BI781" i="2"/>
  <c r="BI782" i="2"/>
  <c r="BI783" i="2"/>
  <c r="BI784" i="2"/>
  <c r="BI785" i="2"/>
  <c r="BI786" i="2"/>
  <c r="BI787" i="2"/>
  <c r="BI788" i="2"/>
  <c r="BI789" i="2"/>
  <c r="BI790" i="2"/>
  <c r="BI791" i="2"/>
  <c r="BI792" i="2"/>
  <c r="BI793" i="2"/>
  <c r="BI794" i="2"/>
  <c r="BI795" i="2"/>
  <c r="BI796" i="2"/>
  <c r="BI797" i="2"/>
  <c r="BI798" i="2"/>
  <c r="BI799" i="2"/>
  <c r="BI800" i="2"/>
  <c r="BI801" i="2"/>
  <c r="BI802" i="2"/>
  <c r="BI803" i="2"/>
  <c r="BI804" i="2"/>
  <c r="BI805" i="2"/>
  <c r="BI806" i="2"/>
  <c r="BI807" i="2"/>
  <c r="BI808" i="2"/>
  <c r="BI809" i="2"/>
  <c r="BI810" i="2"/>
  <c r="BI811" i="2"/>
  <c r="BI812" i="2"/>
  <c r="BI813" i="2"/>
  <c r="BI814" i="2"/>
  <c r="BI815" i="2"/>
  <c r="BI816" i="2"/>
  <c r="BI817" i="2"/>
  <c r="BI818" i="2"/>
  <c r="BI819" i="2"/>
  <c r="BI820" i="2"/>
  <c r="BI821" i="2"/>
  <c r="BI822" i="2"/>
  <c r="BI823" i="2"/>
  <c r="BI824" i="2"/>
  <c r="BI825" i="2"/>
  <c r="BI826" i="2"/>
  <c r="BI827" i="2"/>
  <c r="BI828" i="2"/>
  <c r="BI829" i="2"/>
  <c r="BI830" i="2"/>
  <c r="BI831" i="2"/>
  <c r="BI832" i="2"/>
  <c r="BI833" i="2"/>
  <c r="BI834" i="2"/>
  <c r="BI835" i="2"/>
  <c r="BI836" i="2"/>
  <c r="BI837" i="2"/>
  <c r="BI838" i="2"/>
  <c r="BI839" i="2"/>
  <c r="BI840" i="2"/>
  <c r="BI841" i="2"/>
  <c r="BI842" i="2"/>
  <c r="BI843" i="2"/>
  <c r="BI844" i="2"/>
  <c r="BI845" i="2"/>
  <c r="BI846" i="2"/>
  <c r="BI847" i="2"/>
  <c r="BI848" i="2"/>
  <c r="BI849" i="2"/>
  <c r="BI850" i="2"/>
  <c r="BI851" i="2"/>
  <c r="BI852" i="2"/>
  <c r="BI853" i="2"/>
  <c r="BI854" i="2"/>
  <c r="BI855" i="2"/>
  <c r="BI856" i="2"/>
  <c r="BI857" i="2"/>
  <c r="BI858" i="2"/>
  <c r="BI859" i="2"/>
  <c r="BI860" i="2"/>
  <c r="BI861" i="2"/>
  <c r="BI862" i="2"/>
  <c r="BI863" i="2"/>
  <c r="BI864" i="2"/>
  <c r="BI865" i="2"/>
  <c r="BI866" i="2"/>
  <c r="BI867" i="2"/>
  <c r="BI868" i="2"/>
  <c r="BI869" i="2"/>
  <c r="BI870" i="2"/>
  <c r="BI871" i="2"/>
  <c r="BI872" i="2"/>
  <c r="BI873" i="2"/>
  <c r="BI874" i="2"/>
  <c r="BI875" i="2"/>
  <c r="BI876" i="2"/>
  <c r="BI877" i="2"/>
  <c r="BI878" i="2"/>
  <c r="BI879" i="2"/>
  <c r="BI880" i="2"/>
  <c r="BI881" i="2"/>
  <c r="BI882" i="2"/>
  <c r="BI883" i="2"/>
  <c r="BI884" i="2"/>
  <c r="BI885" i="2"/>
  <c r="BI886" i="2"/>
  <c r="BI887" i="2"/>
  <c r="BI888" i="2"/>
  <c r="BI889" i="2"/>
  <c r="BI890" i="2"/>
  <c r="BI891" i="2"/>
  <c r="BI892" i="2"/>
  <c r="BI893" i="2"/>
  <c r="BI894" i="2"/>
  <c r="BI895" i="2"/>
  <c r="BI896" i="2"/>
  <c r="BI897" i="2"/>
  <c r="BI898" i="2"/>
  <c r="BI899" i="2"/>
  <c r="BI900" i="2"/>
  <c r="BI901" i="2"/>
  <c r="BI902" i="2"/>
  <c r="BI903" i="2"/>
  <c r="BI904" i="2"/>
  <c r="BI905" i="2"/>
  <c r="BI906" i="2"/>
  <c r="BI907" i="2"/>
  <c r="BI908" i="2"/>
  <c r="BI909" i="2"/>
  <c r="BI910" i="2"/>
  <c r="BI911" i="2"/>
  <c r="BI912" i="2"/>
  <c r="BI913" i="2"/>
  <c r="BI914" i="2"/>
  <c r="BI915" i="2"/>
  <c r="BI916" i="2"/>
  <c r="BI917" i="2"/>
  <c r="BI918" i="2"/>
  <c r="BI919" i="2"/>
  <c r="BI920" i="2"/>
  <c r="BI921" i="2"/>
  <c r="BI922" i="2"/>
  <c r="BI923" i="2"/>
  <c r="BI924" i="2"/>
  <c r="BI925" i="2"/>
  <c r="BI926" i="2"/>
  <c r="BI927" i="2"/>
  <c r="BI928" i="2"/>
  <c r="BI929" i="2"/>
  <c r="BI930" i="2"/>
  <c r="BI931" i="2"/>
  <c r="BI932" i="2"/>
  <c r="BI933" i="2"/>
  <c r="BI934" i="2"/>
  <c r="BI935" i="2"/>
  <c r="BI936" i="2"/>
  <c r="BI937" i="2"/>
  <c r="BI938" i="2"/>
  <c r="BI939" i="2"/>
  <c r="BI940" i="2"/>
  <c r="BI941" i="2"/>
  <c r="BI942" i="2"/>
  <c r="BI943" i="2"/>
  <c r="BI944" i="2"/>
  <c r="BI945" i="2"/>
  <c r="BI946" i="2"/>
  <c r="BI947" i="2"/>
  <c r="BI948" i="2"/>
  <c r="BI949" i="2"/>
  <c r="BI950" i="2"/>
  <c r="BI951" i="2"/>
  <c r="BI952" i="2"/>
  <c r="BI953" i="2"/>
  <c r="BI954" i="2"/>
  <c r="BI955" i="2"/>
  <c r="BI956" i="2"/>
  <c r="BI957" i="2"/>
  <c r="BI958" i="2"/>
  <c r="BI959" i="2"/>
  <c r="BI960" i="2"/>
  <c r="BI961" i="2"/>
  <c r="BI962" i="2"/>
  <c r="BI963" i="2"/>
  <c r="BI964" i="2"/>
  <c r="BI965" i="2"/>
  <c r="BI966" i="2"/>
  <c r="BI967" i="2"/>
  <c r="BI968" i="2"/>
  <c r="BI969" i="2"/>
  <c r="BI970" i="2"/>
  <c r="BI971" i="2"/>
  <c r="BI972" i="2"/>
  <c r="BI973" i="2"/>
  <c r="BI974" i="2"/>
  <c r="BI975" i="2"/>
  <c r="BI976" i="2"/>
  <c r="BI977" i="2"/>
  <c r="BI978" i="2"/>
  <c r="BI979" i="2"/>
  <c r="BI980" i="2"/>
  <c r="BI981" i="2"/>
  <c r="BI982" i="2"/>
  <c r="BI983" i="2"/>
  <c r="BI984" i="2"/>
  <c r="BI985" i="2"/>
  <c r="BI986" i="2"/>
  <c r="BI987" i="2"/>
  <c r="BI988" i="2"/>
  <c r="BI989" i="2"/>
  <c r="BI990" i="2"/>
  <c r="BI991" i="2"/>
  <c r="BI992" i="2"/>
  <c r="BI993" i="2"/>
  <c r="BI994" i="2"/>
  <c r="BI995" i="2"/>
  <c r="BI996" i="2"/>
  <c r="BI997" i="2"/>
  <c r="BI998" i="2"/>
  <c r="BI999" i="2"/>
  <c r="BI1000" i="2"/>
  <c r="BI1001" i="2"/>
  <c r="BI1002" i="2"/>
  <c r="BI1003" i="2"/>
  <c r="BI1004" i="2"/>
  <c r="BI1005" i="2"/>
  <c r="BI1006" i="2"/>
  <c r="BI1007" i="2"/>
  <c r="BI1008" i="2"/>
  <c r="BI1009" i="2"/>
  <c r="BI1010" i="2"/>
  <c r="BI1011" i="2"/>
  <c r="BI1012" i="2"/>
  <c r="BI1013" i="2"/>
  <c r="BI1014" i="2"/>
  <c r="BI1015" i="2"/>
  <c r="BI1016" i="2"/>
  <c r="BI1017" i="2"/>
  <c r="BI1018" i="2"/>
  <c r="BI1019" i="2"/>
  <c r="BI1020" i="2"/>
  <c r="BI1021" i="2"/>
  <c r="BI1022" i="2"/>
  <c r="BI1023" i="2"/>
  <c r="BI1024" i="2"/>
  <c r="BI1025" i="2"/>
  <c r="BI1026" i="2"/>
  <c r="BI1027" i="2"/>
  <c r="BI1028" i="2"/>
  <c r="BI1029" i="2"/>
  <c r="BI1030" i="2"/>
  <c r="BI1031" i="2"/>
  <c r="BI1032" i="2"/>
  <c r="BI1033" i="2"/>
  <c r="BI1034" i="2"/>
  <c r="BI1035" i="2"/>
  <c r="BI1036" i="2"/>
  <c r="BI1037" i="2"/>
  <c r="BI1038" i="2"/>
  <c r="BI1039" i="2"/>
  <c r="BI1040" i="2"/>
  <c r="BI1041" i="2"/>
  <c r="BI1042" i="2"/>
  <c r="BI1043" i="2"/>
  <c r="BI1044" i="2"/>
  <c r="BI1045" i="2"/>
  <c r="BI1046" i="2"/>
  <c r="BI1047" i="2"/>
  <c r="BI1048" i="2"/>
  <c r="BI1049" i="2"/>
  <c r="BI1050" i="2"/>
  <c r="BI1051" i="2"/>
  <c r="BI1052" i="2"/>
  <c r="BI1053" i="2"/>
  <c r="BI1054" i="2"/>
  <c r="BI1055" i="2"/>
  <c r="BI1056" i="2"/>
  <c r="BI1057" i="2"/>
  <c r="BI1058" i="2"/>
  <c r="BI1059" i="2"/>
  <c r="BI1060" i="2"/>
  <c r="BI1061" i="2"/>
  <c r="BI1062" i="2"/>
  <c r="BI1063" i="2"/>
  <c r="BI1064" i="2"/>
  <c r="BI1065" i="2"/>
  <c r="BI1066" i="2"/>
  <c r="BI1067" i="2"/>
  <c r="BI1068" i="2"/>
  <c r="BI1069" i="2"/>
  <c r="BI1070" i="2"/>
  <c r="BI1071" i="2"/>
  <c r="BI1072" i="2"/>
  <c r="BI1073" i="2"/>
  <c r="BI1074" i="2"/>
  <c r="BI1075" i="2"/>
  <c r="BI1076" i="2"/>
  <c r="BI1077" i="2"/>
  <c r="BI1078" i="2"/>
  <c r="BI1079" i="2"/>
  <c r="BI1080" i="2"/>
  <c r="BI1081" i="2"/>
  <c r="BI1082" i="2"/>
  <c r="BI1083" i="2"/>
  <c r="BI1084" i="2"/>
  <c r="BI1085" i="2"/>
  <c r="BI1086" i="2"/>
  <c r="BI1087" i="2"/>
  <c r="BI1088" i="2"/>
  <c r="BI1089" i="2"/>
  <c r="BI1090" i="2"/>
  <c r="BI1091" i="2"/>
  <c r="BI1092" i="2"/>
  <c r="BI1093" i="2"/>
  <c r="BI1094" i="2"/>
  <c r="BI1095" i="2"/>
  <c r="BI1096" i="2"/>
  <c r="BI1097" i="2"/>
  <c r="BI1098" i="2"/>
  <c r="BI1099" i="2"/>
  <c r="BI1100" i="2"/>
  <c r="BI1101" i="2"/>
  <c r="BI1102" i="2"/>
  <c r="BI1103" i="2"/>
  <c r="BI1104" i="2"/>
  <c r="BI1105" i="2"/>
  <c r="BI1106" i="2"/>
  <c r="BI1107" i="2"/>
  <c r="BI1108" i="2"/>
  <c r="BI1109" i="2"/>
  <c r="BI1110" i="2"/>
  <c r="BI1111" i="2"/>
  <c r="BI1112" i="2"/>
  <c r="BI1113" i="2"/>
  <c r="BI1114" i="2"/>
  <c r="BI1115" i="2"/>
  <c r="BI1116" i="2"/>
  <c r="BI1117" i="2"/>
  <c r="BI1118" i="2"/>
  <c r="BI1119" i="2"/>
  <c r="BI1120" i="2"/>
  <c r="BI1121" i="2"/>
  <c r="BI1122" i="2"/>
  <c r="BI1123" i="2"/>
  <c r="BI1124" i="2"/>
  <c r="BI1125" i="2"/>
  <c r="BI1126" i="2"/>
  <c r="BI1127" i="2"/>
  <c r="BI1128" i="2"/>
  <c r="BI1129" i="2"/>
  <c r="BI1130" i="2"/>
  <c r="BI1131" i="2"/>
  <c r="BI1132" i="2"/>
  <c r="BI1133" i="2"/>
  <c r="BI1134" i="2"/>
  <c r="BI1135" i="2"/>
  <c r="BI1136" i="2"/>
  <c r="BI1137" i="2"/>
  <c r="BI1138" i="2"/>
  <c r="BI1139" i="2"/>
  <c r="BI1140" i="2"/>
  <c r="BI1141" i="2"/>
  <c r="BI1142" i="2"/>
  <c r="BI1143" i="2"/>
  <c r="BI1144" i="2"/>
  <c r="BI1145" i="2"/>
  <c r="BI1146" i="2"/>
  <c r="BI1147" i="2"/>
  <c r="BI1148" i="2"/>
  <c r="BI1149" i="2"/>
  <c r="BI1150" i="2"/>
  <c r="BI1151" i="2"/>
  <c r="BI1152" i="2"/>
  <c r="BI1153" i="2"/>
  <c r="BI1154" i="2"/>
  <c r="BI1155" i="2"/>
  <c r="BI1156" i="2"/>
  <c r="BI1157" i="2"/>
  <c r="BI1158" i="2"/>
  <c r="BI1159" i="2"/>
  <c r="BI1160" i="2"/>
  <c r="BI1161" i="2"/>
  <c r="BI1162" i="2"/>
  <c r="BI1163" i="2"/>
  <c r="BI1164" i="2"/>
  <c r="BI1165" i="2"/>
  <c r="BI1166" i="2"/>
  <c r="BI1167" i="2"/>
  <c r="BI1168" i="2"/>
  <c r="BI1169" i="2"/>
  <c r="BI1170" i="2"/>
  <c r="BI1171" i="2"/>
  <c r="BI1172" i="2"/>
  <c r="BI1173" i="2"/>
  <c r="BI1174" i="2"/>
  <c r="BI1175" i="2"/>
  <c r="BI1176" i="2"/>
  <c r="BI1177" i="2"/>
  <c r="BI1178" i="2"/>
  <c r="BI1179" i="2"/>
  <c r="BI1180" i="2"/>
  <c r="BI1181" i="2"/>
  <c r="BI1182" i="2"/>
  <c r="BI1183" i="2"/>
  <c r="BI1184" i="2"/>
  <c r="BI1185" i="2"/>
  <c r="BI1186" i="2"/>
  <c r="BI1187" i="2"/>
  <c r="BI1188" i="2"/>
  <c r="BI1189" i="2"/>
  <c r="BI1190" i="2"/>
  <c r="BI1191" i="2"/>
  <c r="BI1192" i="2"/>
  <c r="BI1193" i="2"/>
  <c r="BI1194" i="2"/>
  <c r="BI1195" i="2"/>
  <c r="BI1196" i="2"/>
  <c r="BI1197" i="2"/>
  <c r="BI1198" i="2"/>
  <c r="BI1199" i="2"/>
  <c r="BI1200" i="2"/>
  <c r="BI1201" i="2"/>
  <c r="BI1202" i="2"/>
  <c r="BI1203" i="2"/>
  <c r="BI1204" i="2"/>
  <c r="BI1205" i="2"/>
  <c r="BI1206" i="2"/>
  <c r="BI1207" i="2"/>
  <c r="BI1208" i="2"/>
  <c r="BI1209" i="2"/>
  <c r="BI1210" i="2"/>
  <c r="BI1211" i="2"/>
  <c r="BI1212" i="2"/>
  <c r="BI1213" i="2"/>
  <c r="BI1214" i="2"/>
  <c r="BI1215" i="2"/>
  <c r="BI1216" i="2"/>
  <c r="BI1217" i="2"/>
  <c r="BI1218" i="2"/>
  <c r="BI1219" i="2"/>
  <c r="BI1220" i="2"/>
  <c r="BI1221" i="2"/>
  <c r="BI1222" i="2"/>
  <c r="BI1223" i="2"/>
  <c r="BI1224" i="2"/>
  <c r="BI1225" i="2"/>
  <c r="BI1226" i="2"/>
  <c r="BI1227" i="2"/>
  <c r="BI1228" i="2"/>
  <c r="BI1229" i="2"/>
  <c r="BI1230" i="2"/>
  <c r="BI1231" i="2"/>
  <c r="BI1232" i="2"/>
  <c r="BI1233" i="2"/>
  <c r="BI1234" i="2"/>
  <c r="BI1235" i="2"/>
  <c r="BI1236" i="2"/>
  <c r="BI1237" i="2"/>
  <c r="BI1238" i="2"/>
  <c r="BI1239" i="2"/>
  <c r="BI1240" i="2"/>
  <c r="BI1241" i="2"/>
  <c r="BI1242" i="2"/>
  <c r="BI1243" i="2"/>
  <c r="BI1244" i="2"/>
  <c r="BI1245" i="2"/>
  <c r="BI1246" i="2"/>
  <c r="BI1247" i="2"/>
  <c r="BI1248" i="2"/>
  <c r="BI1249" i="2"/>
  <c r="BI1250" i="2"/>
  <c r="BI1251" i="2"/>
  <c r="BI1252" i="2"/>
  <c r="BI1253" i="2"/>
  <c r="BI1254" i="2"/>
  <c r="BI1255" i="2"/>
  <c r="BI1256" i="2"/>
  <c r="BI1257" i="2"/>
  <c r="BI1258" i="2"/>
  <c r="BI1259" i="2"/>
  <c r="BI1260" i="2"/>
  <c r="BI1261" i="2"/>
  <c r="BI1262" i="2"/>
  <c r="BI1263" i="2"/>
  <c r="BI1264" i="2"/>
  <c r="BI1265" i="2"/>
  <c r="BI1266" i="2"/>
  <c r="BI1267" i="2"/>
  <c r="BI1268" i="2"/>
  <c r="BI1269" i="2"/>
  <c r="BI1270" i="2"/>
  <c r="BI1271" i="2"/>
  <c r="BI1272" i="2"/>
  <c r="BI1273" i="2"/>
  <c r="BI1274" i="2"/>
  <c r="BI1275" i="2"/>
  <c r="BI1276" i="2"/>
  <c r="BI1277" i="2"/>
  <c r="BI1278" i="2"/>
  <c r="BI1279" i="2"/>
  <c r="BI1280" i="2"/>
  <c r="BI1281" i="2"/>
  <c r="BI1282" i="2"/>
  <c r="BI1283" i="2"/>
  <c r="BI1284" i="2"/>
  <c r="BI1285" i="2"/>
  <c r="BI1286" i="2"/>
  <c r="BI1287" i="2"/>
  <c r="BI1288" i="2"/>
  <c r="BI1289" i="2"/>
  <c r="BI1290" i="2"/>
  <c r="BI1291" i="2"/>
  <c r="BI1292" i="2"/>
  <c r="BI1293" i="2"/>
  <c r="BI1294" i="2"/>
  <c r="BI1295" i="2"/>
  <c r="BI1296" i="2"/>
  <c r="BI1297" i="2"/>
  <c r="BI1298" i="2"/>
  <c r="BI1299" i="2"/>
  <c r="BI1300" i="2"/>
  <c r="BI1301" i="2"/>
  <c r="BI1302" i="2"/>
  <c r="BI1303" i="2"/>
  <c r="BI1304" i="2"/>
  <c r="BI1305" i="2"/>
  <c r="BI1306" i="2"/>
  <c r="BI1307" i="2"/>
  <c r="BI1308" i="2"/>
  <c r="BI1309" i="2"/>
  <c r="BI1310" i="2"/>
  <c r="BI1311" i="2"/>
  <c r="BI1312" i="2"/>
  <c r="BI1313" i="2"/>
  <c r="BI1314" i="2"/>
  <c r="BI1315" i="2"/>
  <c r="BI1316" i="2"/>
  <c r="BI1317" i="2"/>
  <c r="BI1318" i="2"/>
  <c r="BI1319" i="2"/>
  <c r="BI1320" i="2"/>
  <c r="BI1321" i="2"/>
  <c r="BI1322" i="2"/>
  <c r="BI1323" i="2"/>
  <c r="BI1324" i="2"/>
  <c r="BI1325" i="2"/>
  <c r="BI1326" i="2"/>
  <c r="BI1327" i="2"/>
  <c r="BI1328" i="2"/>
  <c r="BI1329" i="2"/>
  <c r="BI1330" i="2"/>
  <c r="BI1331" i="2"/>
  <c r="BI1332" i="2"/>
  <c r="BI1333" i="2"/>
  <c r="BI1334" i="2"/>
  <c r="BI1335" i="2"/>
  <c r="BI1336" i="2"/>
  <c r="BI1337" i="2"/>
  <c r="BI1338" i="2"/>
  <c r="BI1339" i="2"/>
  <c r="BI1340" i="2"/>
  <c r="BI1341" i="2"/>
  <c r="BI1342" i="2"/>
  <c r="BI1343" i="2"/>
  <c r="BI1344" i="2"/>
  <c r="BI1345" i="2"/>
  <c r="BI1346" i="2"/>
  <c r="BI1347" i="2"/>
  <c r="BI1348" i="2"/>
  <c r="BI1349" i="2"/>
  <c r="BI1350" i="2"/>
  <c r="BI1351" i="2"/>
  <c r="BI1352" i="2"/>
  <c r="BI1353" i="2"/>
  <c r="BI1354" i="2"/>
  <c r="BI1355" i="2"/>
  <c r="BI1356" i="2"/>
  <c r="BI1357" i="2"/>
  <c r="BI1358" i="2"/>
  <c r="BI1359" i="2"/>
  <c r="BI1360" i="2"/>
  <c r="BI1361" i="2"/>
  <c r="BI1362" i="2"/>
  <c r="BI1363" i="2"/>
  <c r="BI1364" i="2"/>
  <c r="BI1365" i="2"/>
  <c r="BI1366" i="2"/>
  <c r="BI1367" i="2"/>
  <c r="BI1368" i="2"/>
  <c r="BI1369" i="2"/>
  <c r="BI1370" i="2"/>
  <c r="BI1371" i="2"/>
  <c r="BI1372" i="2"/>
  <c r="BI1373" i="2"/>
  <c r="BI1374" i="2"/>
  <c r="BI1375" i="2"/>
  <c r="BI1376" i="2"/>
  <c r="BI1377" i="2"/>
  <c r="BI1378" i="2"/>
  <c r="BI1379" i="2"/>
  <c r="BI1380" i="2"/>
  <c r="BI1381" i="2"/>
  <c r="BI1382" i="2"/>
  <c r="BI1383" i="2"/>
  <c r="BI1384" i="2"/>
  <c r="BI1385" i="2"/>
  <c r="BI1386" i="2"/>
  <c r="BI1387" i="2"/>
  <c r="BI1388" i="2"/>
  <c r="BI1389" i="2"/>
  <c r="BI1390" i="2"/>
  <c r="BI1391" i="2"/>
  <c r="BI1392" i="2"/>
  <c r="BI1393" i="2"/>
  <c r="BI1394" i="2"/>
  <c r="BI1395" i="2"/>
  <c r="BI1396" i="2"/>
  <c r="BI1397" i="2"/>
  <c r="BI1398" i="2"/>
  <c r="BI1399" i="2"/>
  <c r="BI1400" i="2"/>
  <c r="BI1401" i="2"/>
  <c r="BI1402" i="2"/>
  <c r="BI1403" i="2"/>
  <c r="BI1404" i="2"/>
  <c r="BI1405" i="2"/>
  <c r="BI1406" i="2"/>
  <c r="BI1407" i="2"/>
  <c r="BI1408" i="2"/>
  <c r="BI1409" i="2"/>
  <c r="BI1410" i="2"/>
  <c r="BI1411" i="2"/>
  <c r="BI1412" i="2"/>
  <c r="BI1413" i="2"/>
  <c r="BI1414" i="2"/>
  <c r="BI1415" i="2"/>
  <c r="BI1416" i="2"/>
  <c r="BI1417" i="2"/>
  <c r="BI1418" i="2"/>
  <c r="BI1419" i="2"/>
  <c r="BI1420" i="2"/>
  <c r="BI1421" i="2"/>
  <c r="BI1422" i="2"/>
  <c r="BI1423" i="2"/>
  <c r="BI1424" i="2"/>
  <c r="BI1425" i="2"/>
  <c r="BI1426" i="2"/>
  <c r="BI1427" i="2"/>
  <c r="BI1428" i="2"/>
  <c r="BI1429" i="2"/>
  <c r="BI1430" i="2"/>
  <c r="BI1431" i="2"/>
  <c r="BI1432" i="2"/>
  <c r="BI1433" i="2"/>
  <c r="BI1434" i="2"/>
  <c r="BI1435" i="2"/>
  <c r="BI1436" i="2"/>
  <c r="BI1437" i="2"/>
  <c r="BI1438" i="2"/>
  <c r="BI1439" i="2"/>
  <c r="BI1440" i="2"/>
  <c r="BI1441" i="2"/>
  <c r="BI1442" i="2"/>
  <c r="BI1443" i="2"/>
  <c r="BI1444" i="2"/>
  <c r="BI1445" i="2"/>
  <c r="BI1446" i="2"/>
  <c r="BI1447" i="2"/>
  <c r="BI1448" i="2"/>
  <c r="BI1449" i="2"/>
  <c r="BI1450" i="2"/>
  <c r="BI1451" i="2"/>
  <c r="BI1452" i="2"/>
  <c r="BI1453" i="2"/>
  <c r="BI1454" i="2"/>
  <c r="BI1455" i="2"/>
  <c r="BI1456" i="2"/>
  <c r="BI1457" i="2"/>
  <c r="BI1458" i="2"/>
  <c r="BI1459" i="2"/>
  <c r="BI1460" i="2"/>
  <c r="BI1461" i="2"/>
  <c r="BI1462" i="2"/>
  <c r="BI1463" i="2"/>
  <c r="BI1464" i="2"/>
  <c r="BI1465" i="2"/>
  <c r="BI1466" i="2"/>
  <c r="BI1467" i="2"/>
  <c r="BI1468" i="2"/>
  <c r="BI1469" i="2"/>
  <c r="BI1470" i="2"/>
  <c r="BI1471" i="2"/>
  <c r="BI1472" i="2"/>
  <c r="BI1473" i="2"/>
  <c r="BI1474" i="2"/>
  <c r="BI1475" i="2"/>
  <c r="BI1476" i="2"/>
  <c r="BI1477" i="2"/>
  <c r="BI1478" i="2"/>
  <c r="BI1479" i="2"/>
  <c r="BI1480" i="2"/>
  <c r="BI1481" i="2"/>
  <c r="BI1482" i="2"/>
  <c r="BI1483" i="2"/>
  <c r="BI1484" i="2"/>
  <c r="BI1485" i="2"/>
  <c r="BI1486" i="2"/>
  <c r="BI1487" i="2"/>
  <c r="BI1488" i="2"/>
  <c r="BI1489" i="2"/>
  <c r="BI1490" i="2"/>
  <c r="BI1491" i="2"/>
  <c r="BI1492" i="2"/>
  <c r="BI1493" i="2"/>
  <c r="BI1494" i="2"/>
  <c r="BI1495" i="2"/>
  <c r="BI1496" i="2"/>
  <c r="BI1497" i="2"/>
  <c r="BI1498" i="2"/>
  <c r="BI1499" i="2"/>
  <c r="BI1500" i="2"/>
  <c r="BI1501" i="2"/>
  <c r="BI1502" i="2"/>
  <c r="BI1503" i="2"/>
  <c r="BI1504" i="2"/>
  <c r="BI1505" i="2"/>
  <c r="BI1506" i="2"/>
  <c r="BI1507" i="2"/>
  <c r="BI1508" i="2"/>
  <c r="BI1509" i="2"/>
  <c r="BI1510" i="2"/>
  <c r="BI1511" i="2"/>
  <c r="BI1512" i="2"/>
  <c r="BI1513" i="2"/>
  <c r="BI1514" i="2"/>
  <c r="BI1515" i="2"/>
  <c r="BI1516" i="2"/>
  <c r="BI1517" i="2"/>
  <c r="BI1518" i="2"/>
  <c r="BI1519" i="2"/>
  <c r="BI1520" i="2"/>
  <c r="BI1521" i="2"/>
  <c r="BI1522" i="2"/>
  <c r="BI1523" i="2"/>
  <c r="BI1524" i="2"/>
  <c r="BI1525" i="2"/>
  <c r="BI1526" i="2"/>
  <c r="BI1527" i="2"/>
  <c r="BI1528" i="2"/>
  <c r="BI1529" i="2"/>
  <c r="BI1530" i="2"/>
  <c r="BI1531" i="2"/>
  <c r="BI1532" i="2"/>
  <c r="BI1533" i="2"/>
  <c r="BI1534" i="2"/>
  <c r="BI1535" i="2"/>
  <c r="BI1536" i="2"/>
  <c r="BI1537" i="2"/>
  <c r="BI1538" i="2"/>
  <c r="BI1539" i="2"/>
  <c r="BI1540" i="2"/>
  <c r="BI1541" i="2"/>
  <c r="BI1542" i="2"/>
  <c r="BI1543" i="2"/>
  <c r="BI1544" i="2"/>
  <c r="BI1545" i="2"/>
  <c r="BI1546" i="2"/>
  <c r="BI1547" i="2"/>
  <c r="BI1548" i="2"/>
  <c r="BI1549" i="2"/>
  <c r="BI1550" i="2"/>
  <c r="BI1551" i="2"/>
  <c r="BI1552" i="2"/>
  <c r="BI1553" i="2"/>
  <c r="BI1554" i="2"/>
  <c r="BI1555" i="2"/>
  <c r="BI1556" i="2"/>
  <c r="BI1557" i="2"/>
  <c r="BI1558" i="2"/>
  <c r="BI1559" i="2"/>
  <c r="BI1560" i="2"/>
  <c r="BI1561" i="2"/>
  <c r="BI1562" i="2"/>
  <c r="BI1563" i="2"/>
  <c r="BI1564" i="2"/>
  <c r="BI1565" i="2"/>
  <c r="BI1566" i="2"/>
  <c r="BI1567" i="2"/>
  <c r="BI1568" i="2"/>
  <c r="BI1569" i="2"/>
  <c r="BI1570" i="2"/>
  <c r="BI1571" i="2"/>
  <c r="BI1572" i="2"/>
  <c r="BI1573" i="2"/>
  <c r="BI1574" i="2"/>
  <c r="BI1575" i="2"/>
  <c r="BI1576" i="2"/>
  <c r="BI1577" i="2"/>
  <c r="BI1578" i="2"/>
  <c r="BI1579" i="2"/>
  <c r="BI1580" i="2"/>
  <c r="BI1581" i="2"/>
  <c r="BI1582" i="2"/>
  <c r="BI1583" i="2"/>
  <c r="BI1584" i="2"/>
  <c r="BI1585" i="2"/>
  <c r="BI1586" i="2"/>
  <c r="BI1587" i="2"/>
  <c r="BI1588" i="2"/>
  <c r="BI1589" i="2"/>
  <c r="BI1590" i="2"/>
  <c r="BI1591" i="2"/>
  <c r="BI1592" i="2"/>
  <c r="BI1593" i="2"/>
  <c r="BI1594" i="2"/>
  <c r="BI1595" i="2"/>
  <c r="BI1596" i="2"/>
  <c r="BI1597" i="2"/>
  <c r="BI1598" i="2"/>
  <c r="BI1599" i="2"/>
  <c r="BI1600" i="2"/>
  <c r="BI1601" i="2"/>
  <c r="BI1602" i="2"/>
  <c r="BI1603" i="2"/>
  <c r="BI1604" i="2"/>
  <c r="BI1605" i="2"/>
  <c r="BI1606" i="2"/>
  <c r="BI1607" i="2"/>
  <c r="BI1608" i="2"/>
  <c r="BI1609" i="2"/>
  <c r="BI1610" i="2"/>
  <c r="BI1611" i="2"/>
  <c r="BI1612" i="2"/>
  <c r="BI1613" i="2"/>
  <c r="BI1614" i="2"/>
  <c r="BI1615" i="2"/>
  <c r="BI1616" i="2"/>
  <c r="BI1617" i="2"/>
  <c r="BI1618" i="2"/>
  <c r="BI1619" i="2"/>
  <c r="BI1620" i="2"/>
  <c r="BI1621" i="2"/>
  <c r="BI1622" i="2"/>
  <c r="BI1623" i="2"/>
  <c r="BI1624" i="2"/>
  <c r="BI1625" i="2"/>
  <c r="BI1626" i="2"/>
  <c r="BI1627" i="2"/>
  <c r="BI1628" i="2"/>
  <c r="BI1629" i="2"/>
  <c r="BI1630" i="2"/>
  <c r="BI1631" i="2"/>
  <c r="BI1632" i="2"/>
  <c r="BI1633" i="2"/>
  <c r="BI1634" i="2"/>
  <c r="BI1635" i="2"/>
  <c r="BI1636" i="2"/>
  <c r="BI1637" i="2"/>
  <c r="BI1638" i="2"/>
  <c r="BI1639" i="2"/>
  <c r="BI1640" i="2"/>
  <c r="BI1641" i="2"/>
  <c r="BI1642" i="2"/>
  <c r="BI1643" i="2"/>
  <c r="BI1644" i="2"/>
  <c r="BI1645" i="2"/>
  <c r="BI1646" i="2"/>
  <c r="BI1647" i="2"/>
  <c r="BI1648" i="2"/>
  <c r="BI1649" i="2"/>
  <c r="BI1650" i="2"/>
  <c r="BI1651" i="2"/>
  <c r="BI1652" i="2"/>
  <c r="BI1653" i="2"/>
  <c r="BI1654" i="2"/>
  <c r="BI1655" i="2"/>
  <c r="BI1656" i="2"/>
  <c r="BI1657" i="2"/>
  <c r="BI1658" i="2"/>
  <c r="BI1659" i="2"/>
  <c r="BI1660" i="2"/>
  <c r="BI1661" i="2"/>
  <c r="BI1662" i="2"/>
  <c r="BI1663" i="2"/>
  <c r="BI1664" i="2"/>
  <c r="BI1665" i="2"/>
  <c r="BI1666" i="2"/>
  <c r="BI1667" i="2"/>
  <c r="BI1668" i="2"/>
  <c r="BI1669" i="2"/>
  <c r="BI1670" i="2"/>
  <c r="BI1671" i="2"/>
  <c r="BI1672" i="2"/>
  <c r="BI1673" i="2"/>
  <c r="BI1674" i="2"/>
  <c r="BI1675" i="2"/>
  <c r="BI1676" i="2"/>
  <c r="BI1677" i="2"/>
  <c r="BI1678" i="2"/>
  <c r="BI1679" i="2"/>
  <c r="BI1680" i="2"/>
  <c r="BI1681" i="2"/>
  <c r="BI1682" i="2"/>
  <c r="BI1683" i="2"/>
  <c r="BI1684" i="2"/>
  <c r="BI1685" i="2"/>
  <c r="BI1686" i="2"/>
  <c r="BI1687" i="2"/>
  <c r="BI1688" i="2"/>
  <c r="BI1689" i="2"/>
  <c r="BI1690" i="2"/>
  <c r="BI1691" i="2"/>
  <c r="BI1692" i="2"/>
  <c r="BI1693" i="2"/>
  <c r="BI1694" i="2"/>
  <c r="BI1695" i="2"/>
  <c r="BI1696" i="2"/>
  <c r="BI1697" i="2"/>
  <c r="BI1698" i="2"/>
  <c r="BI1699" i="2"/>
  <c r="BI1700" i="2"/>
  <c r="BI1701" i="2"/>
  <c r="BI1702" i="2"/>
  <c r="BI1703" i="2"/>
  <c r="BI1704" i="2"/>
  <c r="BI1705" i="2"/>
  <c r="BI1706" i="2"/>
  <c r="BI1707" i="2"/>
  <c r="BI1708" i="2"/>
  <c r="BI1709" i="2"/>
  <c r="BI1710" i="2"/>
  <c r="BI1711" i="2"/>
  <c r="BI1712" i="2"/>
  <c r="BI1713" i="2"/>
  <c r="BI1714" i="2"/>
  <c r="BI1715" i="2"/>
  <c r="BI1716" i="2"/>
  <c r="BI1717" i="2"/>
  <c r="BI1718" i="2"/>
  <c r="BI1719" i="2"/>
  <c r="BI1720" i="2"/>
  <c r="BI1721" i="2"/>
  <c r="BI1722" i="2"/>
  <c r="BI1723" i="2"/>
  <c r="BI1724" i="2"/>
  <c r="BI1725" i="2"/>
  <c r="BI1726" i="2"/>
  <c r="BI1727" i="2"/>
  <c r="BI1728" i="2"/>
  <c r="BI1729" i="2"/>
  <c r="BI1730" i="2"/>
  <c r="BI1731" i="2"/>
  <c r="BI1732" i="2"/>
  <c r="BI1733" i="2"/>
  <c r="BI1734" i="2"/>
  <c r="BI1735" i="2"/>
  <c r="BI1736" i="2"/>
  <c r="BI1737" i="2"/>
  <c r="BI1738" i="2"/>
  <c r="BI1739" i="2"/>
  <c r="BI1740" i="2"/>
  <c r="BI1741" i="2"/>
  <c r="BI1742" i="2"/>
  <c r="BI1743" i="2"/>
  <c r="BI1744" i="2"/>
  <c r="BI1745" i="2"/>
  <c r="BI1746" i="2"/>
  <c r="BI1747" i="2"/>
  <c r="BI1748" i="2"/>
  <c r="BI1749" i="2"/>
  <c r="BI1750" i="2"/>
  <c r="BI1751" i="2"/>
  <c r="BI1752" i="2"/>
  <c r="BI1753" i="2"/>
  <c r="BI1754" i="2"/>
  <c r="BI1755" i="2"/>
  <c r="BI1756" i="2"/>
  <c r="BI1757" i="2"/>
  <c r="BI1758" i="2"/>
  <c r="BI1759" i="2"/>
  <c r="BI1760" i="2"/>
  <c r="BI1761" i="2"/>
  <c r="BI1762" i="2"/>
  <c r="BI1763" i="2"/>
  <c r="BI1764" i="2"/>
  <c r="BI1765" i="2"/>
  <c r="BI1766" i="2"/>
  <c r="BI1767" i="2"/>
  <c r="BI1768" i="2"/>
  <c r="BI1769" i="2"/>
  <c r="BI1770" i="2"/>
  <c r="BI1771" i="2"/>
  <c r="BI1772" i="2"/>
  <c r="BI1773" i="2"/>
  <c r="BI1774" i="2"/>
  <c r="BI1775" i="2"/>
  <c r="BI1776" i="2"/>
  <c r="BI1777" i="2"/>
  <c r="BI1778" i="2"/>
  <c r="BI1779" i="2"/>
  <c r="BI1780" i="2"/>
  <c r="BI1781" i="2"/>
  <c r="BI1782" i="2"/>
  <c r="BI1783" i="2"/>
  <c r="BI1784" i="2"/>
  <c r="BI1785" i="2"/>
  <c r="BI1786" i="2"/>
  <c r="BI1787" i="2"/>
  <c r="BI1788" i="2"/>
  <c r="BI1789" i="2"/>
  <c r="BI1790" i="2"/>
  <c r="BI1791" i="2"/>
  <c r="BI1792" i="2"/>
  <c r="BI1793" i="2"/>
  <c r="BI1794" i="2"/>
  <c r="BI1795" i="2"/>
  <c r="BI1796" i="2"/>
  <c r="BI1797" i="2"/>
  <c r="BI1798" i="2"/>
  <c r="BI1799" i="2"/>
  <c r="BI1800" i="2"/>
  <c r="BI1801" i="2"/>
  <c r="BI1802" i="2"/>
  <c r="BI1803" i="2"/>
  <c r="BI1804" i="2"/>
  <c r="BI1805" i="2"/>
  <c r="BI1806" i="2"/>
  <c r="BI1807" i="2"/>
  <c r="BI1808" i="2"/>
  <c r="BI1809" i="2"/>
  <c r="BI1810" i="2"/>
  <c r="BI1811" i="2"/>
  <c r="BI1812" i="2"/>
  <c r="BI1813" i="2"/>
  <c r="BI1814" i="2"/>
  <c r="BI1815" i="2"/>
  <c r="BI1816" i="2"/>
  <c r="BI1817" i="2"/>
  <c r="BI1818" i="2"/>
  <c r="BI1819" i="2"/>
  <c r="BI1820" i="2"/>
  <c r="BI1821" i="2"/>
  <c r="BI1822" i="2"/>
  <c r="BI1823" i="2"/>
  <c r="BI1824" i="2"/>
  <c r="BI1825" i="2"/>
  <c r="BI1826" i="2"/>
  <c r="BI1827" i="2"/>
  <c r="BI1828" i="2"/>
  <c r="BI1829" i="2"/>
  <c r="BI1830" i="2"/>
  <c r="BI1831" i="2"/>
  <c r="BI1832" i="2"/>
  <c r="BI1833" i="2"/>
  <c r="BI1834" i="2"/>
  <c r="BI1835" i="2"/>
  <c r="BI1836" i="2"/>
  <c r="BI1837" i="2"/>
  <c r="BI1838" i="2"/>
  <c r="BI1839" i="2"/>
  <c r="BI1840" i="2"/>
  <c r="BI1841" i="2"/>
  <c r="BI1842" i="2"/>
  <c r="BI1843" i="2"/>
  <c r="BI1844" i="2"/>
  <c r="BI1845" i="2"/>
  <c r="BI1846" i="2"/>
  <c r="BI1847" i="2"/>
  <c r="BI1848" i="2"/>
  <c r="BI1849" i="2"/>
  <c r="BI1850" i="2"/>
  <c r="BI1851" i="2"/>
  <c r="BI1852" i="2"/>
  <c r="BI1853" i="2"/>
  <c r="BI1854" i="2"/>
  <c r="BI1855" i="2"/>
  <c r="BI1856" i="2"/>
  <c r="BI1857" i="2"/>
  <c r="BI1858" i="2"/>
  <c r="BI1859" i="2"/>
  <c r="BI1860" i="2"/>
  <c r="BI1861" i="2"/>
  <c r="BI1862" i="2"/>
  <c r="BI1863" i="2"/>
  <c r="BI1864" i="2"/>
  <c r="BI1865" i="2"/>
  <c r="BI1866" i="2"/>
  <c r="BI1867" i="2"/>
  <c r="BI1868" i="2"/>
  <c r="BI1869" i="2"/>
  <c r="BI1870" i="2"/>
  <c r="BI1871" i="2"/>
  <c r="BI1872" i="2"/>
  <c r="BI1873" i="2"/>
  <c r="BI1874" i="2"/>
  <c r="BI1875" i="2"/>
  <c r="BI1876" i="2"/>
  <c r="BI1877" i="2"/>
  <c r="BI1878" i="2"/>
  <c r="BI1879" i="2"/>
  <c r="BI1880" i="2"/>
  <c r="BI1881" i="2"/>
  <c r="BI1882" i="2"/>
  <c r="BI1883" i="2"/>
  <c r="BI1884" i="2"/>
  <c r="BI1885" i="2"/>
  <c r="BI1886" i="2"/>
  <c r="BI1887" i="2"/>
  <c r="BI1888" i="2"/>
  <c r="BI1889" i="2"/>
  <c r="BI1890" i="2"/>
  <c r="BI1891" i="2"/>
  <c r="BI1892" i="2"/>
  <c r="BI1893" i="2"/>
  <c r="BI1894" i="2"/>
  <c r="BI1895" i="2"/>
  <c r="BI1896" i="2"/>
  <c r="BI1897" i="2"/>
  <c r="BI1898" i="2"/>
  <c r="BI1899" i="2"/>
  <c r="BI1900" i="2"/>
  <c r="BI1901" i="2"/>
  <c r="BI1902" i="2"/>
  <c r="BI1903" i="2"/>
  <c r="BI1904" i="2"/>
  <c r="BI1905" i="2"/>
  <c r="BI1906" i="2"/>
  <c r="BI1907" i="2"/>
  <c r="BI1908" i="2"/>
  <c r="BI1909" i="2"/>
  <c r="BI1910" i="2"/>
  <c r="BI1911" i="2"/>
  <c r="BI1912" i="2"/>
  <c r="BI1913" i="2"/>
  <c r="BI1914" i="2"/>
  <c r="BI1915" i="2"/>
  <c r="BI1916" i="2"/>
  <c r="BI1917" i="2"/>
  <c r="BI1918" i="2"/>
  <c r="BI1919" i="2"/>
  <c r="BI1920" i="2"/>
  <c r="BI1921" i="2"/>
  <c r="BI1922" i="2"/>
  <c r="BI1923" i="2"/>
  <c r="BI1924" i="2"/>
  <c r="BI1925" i="2"/>
  <c r="BI1926" i="2"/>
  <c r="BI1927" i="2"/>
  <c r="BI1928" i="2"/>
  <c r="BI1929" i="2"/>
  <c r="BI1930" i="2"/>
  <c r="BI1931" i="2"/>
  <c r="BI1932" i="2"/>
  <c r="BI1933" i="2"/>
  <c r="BI1934" i="2"/>
  <c r="BI1935" i="2"/>
  <c r="BI1936" i="2"/>
  <c r="BI1937" i="2"/>
  <c r="BI1938" i="2"/>
  <c r="BI1939" i="2"/>
  <c r="BI1940" i="2"/>
  <c r="BI1941" i="2"/>
  <c r="BI1942" i="2"/>
  <c r="BI1943" i="2"/>
  <c r="BI1944" i="2"/>
  <c r="BI1945" i="2"/>
  <c r="BI1946" i="2"/>
  <c r="BI1947" i="2"/>
  <c r="BI1948" i="2"/>
  <c r="BI1949" i="2"/>
  <c r="BI1950" i="2"/>
  <c r="BI1951" i="2"/>
  <c r="BI1952" i="2"/>
  <c r="BI1953" i="2"/>
  <c r="BI1954" i="2"/>
  <c r="BI1955" i="2"/>
  <c r="BI1956" i="2"/>
  <c r="BI1957" i="2"/>
  <c r="BI1958" i="2"/>
  <c r="BI1959" i="2"/>
  <c r="BI1960" i="2"/>
  <c r="BI1961" i="2"/>
  <c r="BI1962" i="2"/>
  <c r="BI1963" i="2"/>
  <c r="BI1964" i="2"/>
  <c r="BI1965" i="2"/>
  <c r="BI1966" i="2"/>
  <c r="BI1967" i="2"/>
  <c r="BI1968" i="2"/>
  <c r="BI1969" i="2"/>
  <c r="BI1970" i="2"/>
  <c r="BI1971" i="2"/>
  <c r="BI1972" i="2"/>
  <c r="BI1973" i="2"/>
  <c r="BI1974" i="2"/>
  <c r="BI1975" i="2"/>
  <c r="BI1976" i="2"/>
  <c r="BI1977" i="2"/>
  <c r="BI1978" i="2"/>
  <c r="BI1979" i="2"/>
  <c r="BI1980" i="2"/>
  <c r="BI1981" i="2"/>
  <c r="BI1982" i="2"/>
  <c r="BI1983" i="2"/>
  <c r="BI1984" i="2"/>
  <c r="BI1985" i="2"/>
  <c r="BI1986" i="2"/>
  <c r="BI1987" i="2"/>
  <c r="BI1988" i="2"/>
  <c r="BI1989" i="2"/>
  <c r="BI1990" i="2"/>
  <c r="BI1991" i="2"/>
  <c r="BI1992" i="2"/>
  <c r="BI1993" i="2"/>
  <c r="BI1994" i="2"/>
  <c r="BI1995" i="2"/>
  <c r="BI1996" i="2"/>
  <c r="BI1997" i="2"/>
  <c r="BI1998" i="2"/>
  <c r="BI1999" i="2"/>
  <c r="BI2000" i="2"/>
  <c r="BI2001" i="2"/>
  <c r="BI2002" i="2"/>
  <c r="BI2003" i="2"/>
  <c r="BI2004" i="2"/>
  <c r="BI2005" i="2"/>
  <c r="BI2006" i="2"/>
  <c r="BI2007" i="2"/>
  <c r="BI2008" i="2"/>
  <c r="BI2009" i="2"/>
  <c r="BI2010" i="2"/>
  <c r="BI2011" i="2"/>
  <c r="BI2012" i="2"/>
  <c r="BI2013" i="2"/>
  <c r="BI2014" i="2"/>
  <c r="BI2015" i="2"/>
  <c r="BI2016" i="2"/>
  <c r="BI2017" i="2"/>
  <c r="BI2018" i="2"/>
  <c r="BI2019" i="2"/>
  <c r="BI2020" i="2"/>
  <c r="BI2021" i="2"/>
  <c r="BI2022" i="2"/>
  <c r="BI2023" i="2"/>
  <c r="BI2024" i="2"/>
  <c r="BI2025" i="2"/>
  <c r="BI2026" i="2"/>
  <c r="BI2027" i="2"/>
  <c r="BI2028" i="2"/>
  <c r="BI2029" i="2"/>
  <c r="BI2030" i="2"/>
  <c r="BI2031" i="2"/>
  <c r="BI2032" i="2"/>
  <c r="BI2033" i="2"/>
  <c r="BI2034" i="2"/>
  <c r="BI2035" i="2"/>
  <c r="BI2036" i="2"/>
  <c r="BI2037" i="2"/>
  <c r="BI2038" i="2"/>
  <c r="BI2039" i="2"/>
  <c r="BI2040" i="2"/>
  <c r="BI2041" i="2"/>
  <c r="BI2042" i="2"/>
  <c r="BI2043" i="2"/>
  <c r="BI2044" i="2"/>
  <c r="BI2045" i="2"/>
  <c r="BI2046" i="2"/>
  <c r="BI2047" i="2"/>
  <c r="BI2048" i="2"/>
  <c r="BI2049" i="2"/>
  <c r="BI2050" i="2"/>
  <c r="BI2051" i="2"/>
  <c r="BI2052" i="2"/>
  <c r="BI2053" i="2"/>
  <c r="BI2054" i="2"/>
  <c r="BI2055" i="2"/>
  <c r="BI2056" i="2"/>
  <c r="BI2057" i="2"/>
  <c r="BI2058" i="2"/>
  <c r="BI2059" i="2"/>
  <c r="BI2060" i="2"/>
  <c r="BI2061" i="2"/>
  <c r="BI2062" i="2"/>
  <c r="BI2063" i="2"/>
  <c r="BI2064" i="2"/>
  <c r="BI2065" i="2"/>
  <c r="BI2066" i="2"/>
  <c r="BI2067" i="2"/>
  <c r="BI2068" i="2"/>
  <c r="BI2069" i="2"/>
  <c r="BI2070" i="2"/>
  <c r="BI2071" i="2"/>
  <c r="BI2072" i="2"/>
  <c r="BI2073" i="2"/>
  <c r="BI2074" i="2"/>
  <c r="BI2075" i="2"/>
  <c r="BI2076" i="2"/>
  <c r="BI2077" i="2"/>
  <c r="BI2078" i="2"/>
  <c r="BI2079" i="2"/>
  <c r="BI2080" i="2"/>
  <c r="BI2081" i="2"/>
  <c r="BI2082" i="2"/>
  <c r="BI2083" i="2"/>
  <c r="BI2084" i="2"/>
  <c r="BI2085" i="2"/>
  <c r="BI2086" i="2"/>
  <c r="BI2087" i="2"/>
  <c r="BI2088" i="2"/>
  <c r="BI2089" i="2"/>
  <c r="BI2090" i="2"/>
  <c r="BI2091" i="2"/>
  <c r="BI2092" i="2"/>
  <c r="BI2093" i="2"/>
  <c r="BI2094" i="2"/>
  <c r="BI2095" i="2"/>
  <c r="BI2096" i="2"/>
  <c r="BI2097" i="2"/>
  <c r="BI2098" i="2"/>
  <c r="BI2099" i="2"/>
  <c r="BI2100" i="2"/>
  <c r="BI2101" i="2"/>
  <c r="BI2102" i="2"/>
  <c r="BI2103" i="2"/>
  <c r="BI2104" i="2"/>
  <c r="BI2105" i="2"/>
  <c r="BI2106" i="2"/>
  <c r="BI2107" i="2"/>
  <c r="BI2108" i="2"/>
  <c r="BI2109" i="2"/>
  <c r="BI2110" i="2"/>
  <c r="BI2111" i="2"/>
  <c r="BI2112" i="2"/>
  <c r="BI2113" i="2"/>
  <c r="BI2114" i="2"/>
  <c r="BI2115" i="2"/>
  <c r="BI2116" i="2"/>
  <c r="BI2117" i="2"/>
  <c r="BI2118" i="2"/>
  <c r="BI2119" i="2"/>
  <c r="BI2120" i="2"/>
  <c r="BI2121" i="2"/>
  <c r="BI2122" i="2"/>
  <c r="BI2123" i="2"/>
  <c r="BI2124" i="2"/>
  <c r="BI2125" i="2"/>
  <c r="BI2126" i="2"/>
  <c r="BI2127" i="2"/>
  <c r="BI2128" i="2"/>
  <c r="BI2129" i="2"/>
  <c r="BI2130" i="2"/>
  <c r="BI2131" i="2"/>
  <c r="BI2132" i="2"/>
  <c r="BI2" i="2"/>
  <c r="BB2092" i="2"/>
  <c r="BB2093" i="2"/>
  <c r="BB2094" i="2"/>
  <c r="BB2095" i="2"/>
  <c r="BB2096" i="2"/>
  <c r="BB2097" i="2"/>
  <c r="BB2098" i="2"/>
  <c r="BB2099" i="2"/>
  <c r="BB2100" i="2"/>
  <c r="BB2101" i="2"/>
  <c r="BB2102" i="2"/>
  <c r="BB2103" i="2"/>
  <c r="BB2104" i="2"/>
  <c r="BB2105" i="2"/>
  <c r="BB2106" i="2"/>
  <c r="BB2107" i="2"/>
  <c r="BB2108" i="2"/>
  <c r="BB2109" i="2"/>
  <c r="BB2110" i="2"/>
  <c r="BB2111" i="2"/>
  <c r="BB2112" i="2"/>
  <c r="BB2113" i="2"/>
  <c r="BB2114" i="2"/>
  <c r="BB2115" i="2"/>
  <c r="BB2116" i="2"/>
  <c r="BB2117" i="2"/>
  <c r="BB2118" i="2"/>
  <c r="BB2119" i="2"/>
  <c r="BB2120" i="2"/>
  <c r="BB2121" i="2"/>
  <c r="BB2122" i="2"/>
  <c r="BB2123" i="2"/>
  <c r="BB2124" i="2"/>
  <c r="BB2125" i="2"/>
  <c r="BB2126" i="2"/>
  <c r="BB2127" i="2"/>
  <c r="BB2128" i="2"/>
  <c r="BB2129" i="2"/>
  <c r="BB2130" i="2"/>
  <c r="BB2131" i="2"/>
  <c r="BB2132" i="2"/>
  <c r="BB2091" i="2"/>
  <c r="BB826" i="2"/>
  <c r="BB827" i="2"/>
  <c r="BB828" i="2"/>
  <c r="BB829" i="2"/>
  <c r="BB830" i="2"/>
  <c r="BB831" i="2"/>
  <c r="BB832" i="2"/>
  <c r="BB833" i="2"/>
  <c r="BB834" i="2"/>
  <c r="BB835" i="2"/>
  <c r="BB836" i="2"/>
  <c r="BB837" i="2"/>
  <c r="BB838" i="2"/>
  <c r="BB839" i="2"/>
  <c r="BB840" i="2"/>
  <c r="BB841" i="2"/>
  <c r="BB842" i="2"/>
  <c r="BB843" i="2"/>
  <c r="BB844" i="2"/>
  <c r="BB845" i="2"/>
  <c r="BB846" i="2"/>
  <c r="BB847" i="2"/>
  <c r="BB848" i="2"/>
  <c r="BB849" i="2"/>
  <c r="BB850" i="2"/>
  <c r="BB851" i="2"/>
  <c r="BB852" i="2"/>
  <c r="BB853" i="2"/>
  <c r="BB854" i="2"/>
  <c r="BB855" i="2"/>
  <c r="BB856" i="2"/>
  <c r="BB857" i="2"/>
  <c r="BB858" i="2"/>
  <c r="BB859" i="2"/>
  <c r="BB860" i="2"/>
  <c r="BB861" i="2"/>
  <c r="BB862" i="2"/>
  <c r="BB863" i="2"/>
  <c r="BB864" i="2"/>
  <c r="BB865" i="2"/>
  <c r="BB866" i="2"/>
  <c r="BB867" i="2"/>
  <c r="BB868" i="2"/>
  <c r="BB869" i="2"/>
  <c r="BB870" i="2"/>
  <c r="BB871" i="2"/>
  <c r="BB872" i="2"/>
  <c r="BB873" i="2"/>
  <c r="BB874" i="2"/>
  <c r="BB875" i="2"/>
  <c r="BB876" i="2"/>
  <c r="BB877" i="2"/>
  <c r="BB878" i="2"/>
  <c r="BB879" i="2"/>
  <c r="BB880" i="2"/>
  <c r="BB881" i="2"/>
  <c r="BB882" i="2"/>
  <c r="BB883" i="2"/>
  <c r="BB884" i="2"/>
  <c r="BB885" i="2"/>
  <c r="BB886" i="2"/>
  <c r="BB887" i="2"/>
  <c r="BB888" i="2"/>
  <c r="BB889" i="2"/>
  <c r="BB890" i="2"/>
  <c r="BB891" i="2"/>
  <c r="BB892" i="2"/>
  <c r="BB893" i="2"/>
  <c r="BB894" i="2"/>
  <c r="BB895" i="2"/>
  <c r="BB896" i="2"/>
  <c r="BB897" i="2"/>
  <c r="BB898" i="2"/>
  <c r="BB899" i="2"/>
  <c r="BB900" i="2"/>
  <c r="BB901" i="2"/>
  <c r="BB902" i="2"/>
  <c r="BB903" i="2"/>
  <c r="BB904" i="2"/>
  <c r="BB905" i="2"/>
  <c r="BB906" i="2"/>
  <c r="BB907" i="2"/>
  <c r="BB908" i="2"/>
  <c r="BB909" i="2"/>
  <c r="BB910" i="2"/>
  <c r="BB911" i="2"/>
  <c r="BB912" i="2"/>
  <c r="BB913" i="2"/>
  <c r="BB914" i="2"/>
  <c r="BB915" i="2"/>
  <c r="BB916" i="2"/>
  <c r="BB917" i="2"/>
  <c r="BB918" i="2"/>
  <c r="BB919" i="2"/>
  <c r="BB920" i="2"/>
  <c r="BB921" i="2"/>
  <c r="BB922" i="2"/>
  <c r="BB923" i="2"/>
  <c r="BB924" i="2"/>
  <c r="BB925" i="2"/>
  <c r="BB926" i="2"/>
  <c r="BB927" i="2"/>
  <c r="BB928" i="2"/>
  <c r="BB929" i="2"/>
  <c r="BB930" i="2"/>
  <c r="BB931" i="2"/>
  <c r="BB932" i="2"/>
  <c r="BB933" i="2"/>
  <c r="BB934" i="2"/>
  <c r="BB935" i="2"/>
  <c r="BB936" i="2"/>
  <c r="BB937" i="2"/>
  <c r="BB938" i="2"/>
  <c r="BB939" i="2"/>
  <c r="BB940" i="2"/>
  <c r="BB941" i="2"/>
  <c r="BB942" i="2"/>
  <c r="BB943" i="2"/>
  <c r="BB944" i="2"/>
  <c r="BB945" i="2"/>
  <c r="BB946" i="2"/>
  <c r="BB947" i="2"/>
  <c r="BB948" i="2"/>
  <c r="BB949" i="2"/>
  <c r="BB950" i="2"/>
  <c r="BB951" i="2"/>
  <c r="BB952" i="2"/>
  <c r="BB953" i="2"/>
  <c r="BB954" i="2"/>
  <c r="BB955" i="2"/>
  <c r="BB956" i="2"/>
  <c r="BB957" i="2"/>
  <c r="BB958" i="2"/>
  <c r="BB959" i="2"/>
  <c r="BB960" i="2"/>
  <c r="BB961" i="2"/>
  <c r="BB962" i="2"/>
  <c r="BB963" i="2"/>
  <c r="BB964" i="2"/>
  <c r="BB965" i="2"/>
  <c r="BB966" i="2"/>
  <c r="BB967" i="2"/>
  <c r="BB968" i="2"/>
  <c r="BB969" i="2"/>
  <c r="BB970" i="2"/>
  <c r="BB971" i="2"/>
  <c r="BB972" i="2"/>
  <c r="BB973" i="2"/>
  <c r="BB974" i="2"/>
  <c r="BB975" i="2"/>
  <c r="BB976" i="2"/>
  <c r="BB977" i="2"/>
  <c r="BB978" i="2"/>
  <c r="BB979" i="2"/>
  <c r="BB980" i="2"/>
  <c r="BB981" i="2"/>
  <c r="BB982" i="2"/>
  <c r="BB983" i="2"/>
  <c r="BB984" i="2"/>
  <c r="BB985" i="2"/>
  <c r="BB986" i="2"/>
  <c r="BB987" i="2"/>
  <c r="BB988" i="2"/>
  <c r="BB989" i="2"/>
  <c r="BB990" i="2"/>
  <c r="BB991" i="2"/>
  <c r="BB992" i="2"/>
  <c r="BB993" i="2"/>
  <c r="BB994" i="2"/>
  <c r="BB995" i="2"/>
  <c r="BB996" i="2"/>
  <c r="BB997" i="2"/>
  <c r="BB998" i="2"/>
  <c r="BB999" i="2"/>
  <c r="BB1000" i="2"/>
  <c r="BB1001" i="2"/>
  <c r="BB1002" i="2"/>
  <c r="BB1003" i="2"/>
  <c r="BB1004" i="2"/>
  <c r="BB1005" i="2"/>
  <c r="BB1006" i="2"/>
  <c r="BB1007" i="2"/>
  <c r="BB1008" i="2"/>
  <c r="BB1009" i="2"/>
  <c r="BB1010" i="2"/>
  <c r="BB1011" i="2"/>
  <c r="BB1012" i="2"/>
  <c r="BB1013" i="2"/>
  <c r="BB1014" i="2"/>
  <c r="BB1015" i="2"/>
  <c r="BB1016" i="2"/>
  <c r="BB1017" i="2"/>
  <c r="BB1018" i="2"/>
  <c r="BB1019" i="2"/>
  <c r="BB1020" i="2"/>
  <c r="BB1021" i="2"/>
  <c r="BB1022" i="2"/>
  <c r="BB1023" i="2"/>
  <c r="BB1024" i="2"/>
  <c r="BB1025" i="2"/>
  <c r="BB1026" i="2"/>
  <c r="BB1027" i="2"/>
  <c r="BB1028" i="2"/>
  <c r="BB1029" i="2"/>
  <c r="BB1030" i="2"/>
  <c r="BB1031" i="2"/>
  <c r="BB1032" i="2"/>
  <c r="BB1033" i="2"/>
  <c r="BB1034" i="2"/>
  <c r="BB1035" i="2"/>
  <c r="BB1036" i="2"/>
  <c r="BB1037" i="2"/>
  <c r="BB1038" i="2"/>
  <c r="BB1039" i="2"/>
  <c r="BB1040" i="2"/>
  <c r="BB1041" i="2"/>
  <c r="BB1042" i="2"/>
  <c r="BB1043" i="2"/>
  <c r="BB1044" i="2"/>
  <c r="BB1045" i="2"/>
  <c r="BB1046" i="2"/>
  <c r="BB1047" i="2"/>
  <c r="BB1048" i="2"/>
  <c r="BB1049" i="2"/>
  <c r="BB1050" i="2"/>
  <c r="BB1051" i="2"/>
  <c r="BB1052" i="2"/>
  <c r="BB1053" i="2"/>
  <c r="BB1054" i="2"/>
  <c r="BB1055" i="2"/>
  <c r="BB1056" i="2"/>
  <c r="BB1057" i="2"/>
  <c r="BB1058" i="2"/>
  <c r="BB1059" i="2"/>
  <c r="BB1060" i="2"/>
  <c r="BB1061" i="2"/>
  <c r="BB1062" i="2"/>
  <c r="BB1063" i="2"/>
  <c r="BB1064" i="2"/>
  <c r="BB1065" i="2"/>
  <c r="BB1066" i="2"/>
  <c r="BB1067" i="2"/>
  <c r="BB1068" i="2"/>
  <c r="BB1069" i="2"/>
  <c r="BB1070" i="2"/>
  <c r="BB1071" i="2"/>
  <c r="BB1072" i="2"/>
  <c r="BB1073" i="2"/>
  <c r="BB1074" i="2"/>
  <c r="BB1075" i="2"/>
  <c r="BB1076" i="2"/>
  <c r="BB1077" i="2"/>
  <c r="BB1078" i="2"/>
  <c r="BB1079" i="2"/>
  <c r="BB1080" i="2"/>
  <c r="BB1081" i="2"/>
  <c r="BB1082" i="2"/>
  <c r="BB1083" i="2"/>
  <c r="BB1084" i="2"/>
  <c r="BB1085" i="2"/>
  <c r="BB1086" i="2"/>
  <c r="BB1087" i="2"/>
  <c r="BB1088" i="2"/>
  <c r="BB1089" i="2"/>
  <c r="BB1090" i="2"/>
  <c r="BB1091" i="2"/>
  <c r="BB1092" i="2"/>
  <c r="BB1093" i="2"/>
  <c r="BB1094" i="2"/>
  <c r="BB1095" i="2"/>
  <c r="BB1096" i="2"/>
  <c r="BB1097" i="2"/>
  <c r="BB1098" i="2"/>
  <c r="BB1099" i="2"/>
  <c r="BB1100" i="2"/>
  <c r="BB1101" i="2"/>
  <c r="BB1102" i="2"/>
  <c r="BB1103" i="2"/>
  <c r="BB1104" i="2"/>
  <c r="BB1105" i="2"/>
  <c r="BB1106" i="2"/>
  <c r="BB1107" i="2"/>
  <c r="BB1108" i="2"/>
  <c r="BB1109" i="2"/>
  <c r="BB1110" i="2"/>
  <c r="BB1111" i="2"/>
  <c r="BB1112" i="2"/>
  <c r="BB1113" i="2"/>
  <c r="BB1114" i="2"/>
  <c r="BB1115" i="2"/>
  <c r="BB1116" i="2"/>
  <c r="BB1117" i="2"/>
  <c r="BB1118" i="2"/>
  <c r="BB1119" i="2"/>
  <c r="BB1120" i="2"/>
  <c r="BB1121" i="2"/>
  <c r="BB1122" i="2"/>
  <c r="BB1123" i="2"/>
  <c r="BB1124" i="2"/>
  <c r="BB1125" i="2"/>
  <c r="BB1126" i="2"/>
  <c r="BB1127" i="2"/>
  <c r="BB1128" i="2"/>
  <c r="BB1129" i="2"/>
  <c r="BB1130" i="2"/>
  <c r="BB1131" i="2"/>
  <c r="BB1132" i="2"/>
  <c r="BB1133" i="2"/>
  <c r="BB1134" i="2"/>
  <c r="BB1135" i="2"/>
  <c r="BB1136" i="2"/>
  <c r="BB1137" i="2"/>
  <c r="BB1138" i="2"/>
  <c r="BB1139" i="2"/>
  <c r="BB1140" i="2"/>
  <c r="BB1141" i="2"/>
  <c r="BB1142" i="2"/>
  <c r="BB1143" i="2"/>
  <c r="BB1144" i="2"/>
  <c r="BB1145" i="2"/>
  <c r="BB1146" i="2"/>
  <c r="BB1147" i="2"/>
  <c r="BB1148" i="2"/>
  <c r="BB1149" i="2"/>
  <c r="BB1150" i="2"/>
  <c r="BB1151" i="2"/>
  <c r="BB1152" i="2"/>
  <c r="BB1153" i="2"/>
  <c r="BB1154" i="2"/>
  <c r="BB1155" i="2"/>
  <c r="BB1156" i="2"/>
  <c r="BB1157" i="2"/>
  <c r="BB1158" i="2"/>
  <c r="BB1159" i="2"/>
  <c r="BB1160" i="2"/>
  <c r="BB1161" i="2"/>
  <c r="BB1162" i="2"/>
  <c r="BB1163" i="2"/>
  <c r="BB1164" i="2"/>
  <c r="BB1165" i="2"/>
  <c r="BB1166" i="2"/>
  <c r="BB1167" i="2"/>
  <c r="BB1168" i="2"/>
  <c r="BB1169" i="2"/>
  <c r="BB1170" i="2"/>
  <c r="BB1171" i="2"/>
  <c r="BB1172" i="2"/>
  <c r="BB1173" i="2"/>
  <c r="BB1174" i="2"/>
  <c r="BB1175" i="2"/>
  <c r="BB1176" i="2"/>
  <c r="BB1177" i="2"/>
  <c r="BB1178" i="2"/>
  <c r="BB1179" i="2"/>
  <c r="BB1180" i="2"/>
  <c r="BB1181" i="2"/>
  <c r="BB1182" i="2"/>
  <c r="BB1183" i="2"/>
  <c r="BB1184" i="2"/>
  <c r="BB1185" i="2"/>
  <c r="BB1186" i="2"/>
  <c r="BB1187" i="2"/>
  <c r="BB1188" i="2"/>
  <c r="BB1189" i="2"/>
  <c r="BB1190" i="2"/>
  <c r="BB1191" i="2"/>
  <c r="BB1192" i="2"/>
  <c r="BB1193" i="2"/>
  <c r="BB1194" i="2"/>
  <c r="BB1195" i="2"/>
  <c r="BB1196" i="2"/>
  <c r="BB1197" i="2"/>
  <c r="BB1198" i="2"/>
  <c r="BB1199" i="2"/>
  <c r="BB1200" i="2"/>
  <c r="BB1201" i="2"/>
  <c r="BB1202" i="2"/>
  <c r="BB1203" i="2"/>
  <c r="BB1204" i="2"/>
  <c r="BB1205" i="2"/>
  <c r="BB1206" i="2"/>
  <c r="BB1207" i="2"/>
  <c r="BB1208" i="2"/>
  <c r="BB1209" i="2"/>
  <c r="BB1210" i="2"/>
  <c r="BB1211" i="2"/>
  <c r="BB1212" i="2"/>
  <c r="BB1213" i="2"/>
  <c r="BB1214" i="2"/>
  <c r="BB1215" i="2"/>
  <c r="BB1216" i="2"/>
  <c r="BB1217" i="2"/>
  <c r="BB1218" i="2"/>
  <c r="BB1219" i="2"/>
  <c r="BB1220" i="2"/>
  <c r="BB1221" i="2"/>
  <c r="BB1222" i="2"/>
  <c r="BB1223" i="2"/>
  <c r="BB1224" i="2"/>
  <c r="BB1225" i="2"/>
  <c r="BB1226" i="2"/>
  <c r="BB1227" i="2"/>
  <c r="BB1228" i="2"/>
  <c r="BB1229" i="2"/>
  <c r="BB1230" i="2"/>
  <c r="BB1231" i="2"/>
  <c r="BB1232" i="2"/>
  <c r="BB1233" i="2"/>
  <c r="BB1234" i="2"/>
  <c r="BB1235" i="2"/>
  <c r="BB1236" i="2"/>
  <c r="BB1237" i="2"/>
  <c r="BB1238" i="2"/>
  <c r="BB1239" i="2"/>
  <c r="BB1240" i="2"/>
  <c r="BB1241" i="2"/>
  <c r="BB1242" i="2"/>
  <c r="BB1243" i="2"/>
  <c r="BB1244" i="2"/>
  <c r="BB1245" i="2"/>
  <c r="BB1246" i="2"/>
  <c r="BB1247" i="2"/>
  <c r="BB1248" i="2"/>
  <c r="BB1249" i="2"/>
  <c r="BB1250" i="2"/>
  <c r="BB1251" i="2"/>
  <c r="BB1252" i="2"/>
  <c r="BB1253" i="2"/>
  <c r="BB1254" i="2"/>
  <c r="BB1255" i="2"/>
  <c r="BB1256" i="2"/>
  <c r="BB1257" i="2"/>
  <c r="BB1258" i="2"/>
  <c r="BB1259" i="2"/>
  <c r="BB1260" i="2"/>
  <c r="BB1261" i="2"/>
  <c r="BB1262" i="2"/>
  <c r="BB1263" i="2"/>
  <c r="BB1264" i="2"/>
  <c r="BB1265" i="2"/>
  <c r="BB1266" i="2"/>
  <c r="BB1267" i="2"/>
  <c r="BB1268" i="2"/>
  <c r="BB1269" i="2"/>
  <c r="BB1270" i="2"/>
  <c r="BB1271" i="2"/>
  <c r="BB1272" i="2"/>
  <c r="BB1273" i="2"/>
  <c r="BB1274" i="2"/>
  <c r="BB1275" i="2"/>
  <c r="BB1276" i="2"/>
  <c r="BB1277" i="2"/>
  <c r="BB1278" i="2"/>
  <c r="BB1279" i="2"/>
  <c r="BB1280" i="2"/>
  <c r="BB1281" i="2"/>
  <c r="BB1282" i="2"/>
  <c r="BB1283" i="2"/>
  <c r="BB1284" i="2"/>
  <c r="BB1285" i="2"/>
  <c r="BB1286" i="2"/>
  <c r="BB1287" i="2"/>
  <c r="BB1288" i="2"/>
  <c r="BB1289" i="2"/>
  <c r="BB1290" i="2"/>
  <c r="BB1291" i="2"/>
  <c r="BB1292" i="2"/>
  <c r="BB1293" i="2"/>
  <c r="BB1294" i="2"/>
  <c r="BB1295" i="2"/>
  <c r="BB1296" i="2"/>
  <c r="BB1297" i="2"/>
  <c r="BB1298" i="2"/>
  <c r="BB1299" i="2"/>
  <c r="BB1300" i="2"/>
  <c r="BB1301" i="2"/>
  <c r="BB1302" i="2"/>
  <c r="BB1303" i="2"/>
  <c r="BB1304" i="2"/>
  <c r="BB1305" i="2"/>
  <c r="BB1306" i="2"/>
  <c r="BB1307" i="2"/>
  <c r="BB1308" i="2"/>
  <c r="BB1309" i="2"/>
  <c r="BB1310" i="2"/>
  <c r="BB1311" i="2"/>
  <c r="BB1312" i="2"/>
  <c r="BB1313" i="2"/>
  <c r="BB1314" i="2"/>
  <c r="BB1315" i="2"/>
  <c r="BB1316" i="2"/>
  <c r="BB1317" i="2"/>
  <c r="BB1318" i="2"/>
  <c r="BB1319" i="2"/>
  <c r="BB1320" i="2"/>
  <c r="BB1321" i="2"/>
  <c r="BB1322" i="2"/>
  <c r="BB1323" i="2"/>
  <c r="BB1324" i="2"/>
  <c r="BB1325" i="2"/>
  <c r="BB1326" i="2"/>
  <c r="BB1327" i="2"/>
  <c r="BB1328" i="2"/>
  <c r="BB1329" i="2"/>
  <c r="BB1330" i="2"/>
  <c r="BB1331" i="2"/>
  <c r="BB1332" i="2"/>
  <c r="BB1333" i="2"/>
  <c r="BB1334" i="2"/>
  <c r="BB1335" i="2"/>
  <c r="BB1336" i="2"/>
  <c r="BB1337" i="2"/>
  <c r="BB1338" i="2"/>
  <c r="BB1339" i="2"/>
  <c r="BB1340" i="2"/>
  <c r="BB1341" i="2"/>
  <c r="BB1342" i="2"/>
  <c r="BB1343" i="2"/>
  <c r="BB1344" i="2"/>
  <c r="BB1345" i="2"/>
  <c r="BB1346" i="2"/>
  <c r="BB1347" i="2"/>
  <c r="BB1348" i="2"/>
  <c r="BB1349" i="2"/>
  <c r="BB1350" i="2"/>
  <c r="BB1351" i="2"/>
  <c r="BB1352" i="2"/>
  <c r="BB1353" i="2"/>
  <c r="BB1354" i="2"/>
  <c r="BB1355" i="2"/>
  <c r="BB1356" i="2"/>
  <c r="BB1357" i="2"/>
  <c r="BB1358" i="2"/>
  <c r="BB1359" i="2"/>
  <c r="BB1360" i="2"/>
  <c r="BB1361" i="2"/>
  <c r="BB1362" i="2"/>
  <c r="BB1363" i="2"/>
  <c r="BB1364" i="2"/>
  <c r="BB1365" i="2"/>
  <c r="BB1366" i="2"/>
  <c r="BB1367" i="2"/>
  <c r="BB1368" i="2"/>
  <c r="BB1369" i="2"/>
  <c r="BB1370" i="2"/>
  <c r="BB1371" i="2"/>
  <c r="BB1372" i="2"/>
  <c r="BB1373" i="2"/>
  <c r="BB1374" i="2"/>
  <c r="BB1375" i="2"/>
  <c r="BB1376" i="2"/>
  <c r="BB1377" i="2"/>
  <c r="BB1378" i="2"/>
  <c r="BB1379" i="2"/>
  <c r="BB1380" i="2"/>
  <c r="BB1381" i="2"/>
  <c r="BB1382" i="2"/>
  <c r="BB1383" i="2"/>
  <c r="BB1384" i="2"/>
  <c r="BB1385" i="2"/>
  <c r="BB1386" i="2"/>
  <c r="BB1387" i="2"/>
  <c r="BB1388" i="2"/>
  <c r="BB1389" i="2"/>
  <c r="BB1390" i="2"/>
  <c r="BB1391" i="2"/>
  <c r="BB1392" i="2"/>
  <c r="BB1393" i="2"/>
  <c r="BB1394" i="2"/>
  <c r="BB1395" i="2"/>
  <c r="BB1396" i="2"/>
  <c r="BB1397" i="2"/>
  <c r="BB1398" i="2"/>
  <c r="BB1399" i="2"/>
  <c r="BB1400" i="2"/>
  <c r="BB1401" i="2"/>
  <c r="BB1402" i="2"/>
  <c r="BB1403" i="2"/>
  <c r="BB1404" i="2"/>
  <c r="BB1405" i="2"/>
  <c r="BB1406" i="2"/>
  <c r="BB1407" i="2"/>
  <c r="BB1408" i="2"/>
  <c r="BB1409" i="2"/>
  <c r="BB1410" i="2"/>
  <c r="BB1411" i="2"/>
  <c r="BB1412" i="2"/>
  <c r="BB1413" i="2"/>
  <c r="BB1414" i="2"/>
  <c r="BB1415" i="2"/>
  <c r="BB1416" i="2"/>
  <c r="BB1417" i="2"/>
  <c r="BB1418" i="2"/>
  <c r="BB1419" i="2"/>
  <c r="BB1420" i="2"/>
  <c r="BB1421" i="2"/>
  <c r="BB1422" i="2"/>
  <c r="BB1423" i="2"/>
  <c r="BB1424" i="2"/>
  <c r="BB1425" i="2"/>
  <c r="BB1426" i="2"/>
  <c r="BB1427" i="2"/>
  <c r="BB1428" i="2"/>
  <c r="BB1429" i="2"/>
  <c r="BB1430" i="2"/>
  <c r="BB1431" i="2"/>
  <c r="BB1432" i="2"/>
  <c r="BB1433" i="2"/>
  <c r="BB1434" i="2"/>
  <c r="BB1435" i="2"/>
  <c r="BB1436" i="2"/>
  <c r="BB1437" i="2"/>
  <c r="BB1438" i="2"/>
  <c r="BB1439" i="2"/>
  <c r="BB1440" i="2"/>
  <c r="BB1441" i="2"/>
  <c r="BB1442" i="2"/>
  <c r="BB1443" i="2"/>
  <c r="BB1444" i="2"/>
  <c r="BB1445" i="2"/>
  <c r="BB1446" i="2"/>
  <c r="BB1447" i="2"/>
  <c r="BB1448" i="2"/>
  <c r="BB1449" i="2"/>
  <c r="BB1450" i="2"/>
  <c r="BB1451" i="2"/>
  <c r="BB1452" i="2"/>
  <c r="BB1453" i="2"/>
  <c r="BB1454" i="2"/>
  <c r="BB1455" i="2"/>
  <c r="BB1456" i="2"/>
  <c r="BB1457" i="2"/>
  <c r="BB1458" i="2"/>
  <c r="BB1459" i="2"/>
  <c r="BB1460" i="2"/>
  <c r="BB1461" i="2"/>
  <c r="BB1462" i="2"/>
  <c r="BB1463" i="2"/>
  <c r="BB1464" i="2"/>
  <c r="BB1465" i="2"/>
  <c r="BB1466" i="2"/>
  <c r="BB1467" i="2"/>
  <c r="BB1468" i="2"/>
  <c r="BB1469" i="2"/>
  <c r="BB1470" i="2"/>
  <c r="BB1471" i="2"/>
  <c r="BB1472" i="2"/>
  <c r="BB1473" i="2"/>
  <c r="BB1474" i="2"/>
  <c r="BB1475" i="2"/>
  <c r="BB1476" i="2"/>
  <c r="BB1477" i="2"/>
  <c r="BB1478" i="2"/>
  <c r="BB1479" i="2"/>
  <c r="BB1480" i="2"/>
  <c r="BB1481" i="2"/>
  <c r="BB1482" i="2"/>
  <c r="BB1483" i="2"/>
  <c r="BB1484" i="2"/>
  <c r="BB1485" i="2"/>
  <c r="BB1486" i="2"/>
  <c r="BB1487" i="2"/>
  <c r="BB1488" i="2"/>
  <c r="BB1489" i="2"/>
  <c r="BB1490" i="2"/>
  <c r="BB1491" i="2"/>
  <c r="BB1492" i="2"/>
  <c r="BB1493" i="2"/>
  <c r="BB1494" i="2"/>
  <c r="BB1495" i="2"/>
  <c r="BB1496" i="2"/>
  <c r="BB1497" i="2"/>
  <c r="BB1498" i="2"/>
  <c r="BB1499" i="2"/>
  <c r="BB1500" i="2"/>
  <c r="BB1501" i="2"/>
  <c r="BB1502" i="2"/>
  <c r="BB1503" i="2"/>
  <c r="BB1504" i="2"/>
  <c r="BB1505" i="2"/>
  <c r="BB1506" i="2"/>
  <c r="BB1507" i="2"/>
  <c r="BB1508" i="2"/>
  <c r="BB1509" i="2"/>
  <c r="BB1510" i="2"/>
  <c r="BB1511" i="2"/>
  <c r="BB1512" i="2"/>
  <c r="BB1513" i="2"/>
  <c r="BB1514" i="2"/>
  <c r="BB1515" i="2"/>
  <c r="BB1516" i="2"/>
  <c r="BB1517" i="2"/>
  <c r="BB1518" i="2"/>
  <c r="BB1519" i="2"/>
  <c r="BB1520" i="2"/>
  <c r="BB1521" i="2"/>
  <c r="BB1522" i="2"/>
  <c r="BB1523" i="2"/>
  <c r="BB1524" i="2"/>
  <c r="BB1525" i="2"/>
  <c r="BB1526" i="2"/>
  <c r="BB1527" i="2"/>
  <c r="BB1528" i="2"/>
  <c r="BB1529" i="2"/>
  <c r="BB1530" i="2"/>
  <c r="BB1531" i="2"/>
  <c r="BB1532" i="2"/>
  <c r="BB1533" i="2"/>
  <c r="BB1534" i="2"/>
  <c r="BB1535" i="2"/>
  <c r="BB1536" i="2"/>
  <c r="BB1537" i="2"/>
  <c r="BB1538" i="2"/>
  <c r="BB1539" i="2"/>
  <c r="BB1540" i="2"/>
  <c r="BB1541" i="2"/>
  <c r="BB1542" i="2"/>
  <c r="BB1543" i="2"/>
  <c r="BB1544" i="2"/>
  <c r="BB1545" i="2"/>
  <c r="BB1546" i="2"/>
  <c r="BB1547" i="2"/>
  <c r="BB1548" i="2"/>
  <c r="BB1549" i="2"/>
  <c r="BB1550" i="2"/>
  <c r="BB1551" i="2"/>
  <c r="BB1552" i="2"/>
  <c r="BB1553" i="2"/>
  <c r="BB1554" i="2"/>
  <c r="BB1555" i="2"/>
  <c r="BB1556" i="2"/>
  <c r="BB1557" i="2"/>
  <c r="BB1558" i="2"/>
  <c r="BB1559" i="2"/>
  <c r="BB1560" i="2"/>
  <c r="BB1561" i="2"/>
  <c r="BB1562" i="2"/>
  <c r="BB1563" i="2"/>
  <c r="BB1564" i="2"/>
  <c r="BB1565" i="2"/>
  <c r="BB1566" i="2"/>
  <c r="BB1567" i="2"/>
  <c r="BB1568" i="2"/>
  <c r="BB1569" i="2"/>
  <c r="BB1570" i="2"/>
  <c r="BB1571" i="2"/>
  <c r="BB1572" i="2"/>
  <c r="BB1573" i="2"/>
  <c r="BB1574" i="2"/>
  <c r="BB1575" i="2"/>
  <c r="BB1576" i="2"/>
  <c r="BB1577" i="2"/>
  <c r="BB1578" i="2"/>
  <c r="BB1579" i="2"/>
  <c r="BB1580" i="2"/>
  <c r="BB1581" i="2"/>
  <c r="BB1582" i="2"/>
  <c r="BB1583" i="2"/>
  <c r="BB1584" i="2"/>
  <c r="BB1585" i="2"/>
  <c r="BB1586" i="2"/>
  <c r="BB1587" i="2"/>
  <c r="BB1588" i="2"/>
  <c r="BB1589" i="2"/>
  <c r="BB1590" i="2"/>
  <c r="BB1591" i="2"/>
  <c r="BB1592" i="2"/>
  <c r="BB1593" i="2"/>
  <c r="BB1594" i="2"/>
  <c r="BB1595" i="2"/>
  <c r="BB1596" i="2"/>
  <c r="BB1597" i="2"/>
  <c r="BB1598" i="2"/>
  <c r="BB1599" i="2"/>
  <c r="BB1600" i="2"/>
  <c r="BB1601" i="2"/>
  <c r="BB1602" i="2"/>
  <c r="BB1603" i="2"/>
  <c r="BB1604" i="2"/>
  <c r="BB1605" i="2"/>
  <c r="BB1606" i="2"/>
  <c r="BB1607" i="2"/>
  <c r="BB1608" i="2"/>
  <c r="BB1609" i="2"/>
  <c r="BB1610" i="2"/>
  <c r="BB1611" i="2"/>
  <c r="BB1612" i="2"/>
  <c r="BB1613" i="2"/>
  <c r="BB1614" i="2"/>
  <c r="BB1615" i="2"/>
  <c r="BB1616" i="2"/>
  <c r="BB1617" i="2"/>
  <c r="BB1618" i="2"/>
  <c r="BB1619" i="2"/>
  <c r="BB1620" i="2"/>
  <c r="BB1621" i="2"/>
  <c r="BB1622" i="2"/>
  <c r="BB1623" i="2"/>
  <c r="BB1624" i="2"/>
  <c r="BB1625" i="2"/>
  <c r="BB1626" i="2"/>
  <c r="BB1627" i="2"/>
  <c r="BB1628" i="2"/>
  <c r="BB1629" i="2"/>
  <c r="BB1630" i="2"/>
  <c r="BB1631" i="2"/>
  <c r="BB1632" i="2"/>
  <c r="BB1633" i="2"/>
  <c r="BB1634" i="2"/>
  <c r="BB1635" i="2"/>
  <c r="BB1636" i="2"/>
  <c r="BB1637" i="2"/>
  <c r="BB1638" i="2"/>
  <c r="BB1639" i="2"/>
  <c r="BB1640" i="2"/>
  <c r="BB1641" i="2"/>
  <c r="BB1642" i="2"/>
  <c r="BB1643" i="2"/>
  <c r="BB1644" i="2"/>
  <c r="BB1645" i="2"/>
  <c r="BB1646" i="2"/>
  <c r="BB1647" i="2"/>
  <c r="BB1648" i="2"/>
  <c r="BB1649" i="2"/>
  <c r="BB1650" i="2"/>
  <c r="BB1651" i="2"/>
  <c r="BB1652" i="2"/>
  <c r="BB1653" i="2"/>
  <c r="BB1654" i="2"/>
  <c r="BB1655" i="2"/>
  <c r="BB1656" i="2"/>
  <c r="BB1657" i="2"/>
  <c r="BB1658" i="2"/>
  <c r="BB1659" i="2"/>
  <c r="BB1660" i="2"/>
  <c r="BB1661" i="2"/>
  <c r="BB1662" i="2"/>
  <c r="BB1663" i="2"/>
  <c r="BB1664" i="2"/>
  <c r="BB1665" i="2"/>
  <c r="BB1666" i="2"/>
  <c r="BB1667" i="2"/>
  <c r="BB1668" i="2"/>
  <c r="BB1669" i="2"/>
  <c r="BB1670" i="2"/>
  <c r="BB1671" i="2"/>
  <c r="BB1672" i="2"/>
  <c r="BB1673" i="2"/>
  <c r="BB1674" i="2"/>
  <c r="BB1675" i="2"/>
  <c r="BB1676" i="2"/>
  <c r="BB1677" i="2"/>
  <c r="BB1678" i="2"/>
  <c r="BB1679" i="2"/>
  <c r="BB1680" i="2"/>
  <c r="BB1681" i="2"/>
  <c r="BB1682" i="2"/>
  <c r="BB1683" i="2"/>
  <c r="BB1684" i="2"/>
  <c r="BB1685" i="2"/>
  <c r="BB1686" i="2"/>
  <c r="BB1687" i="2"/>
  <c r="BB1688" i="2"/>
  <c r="BB1689" i="2"/>
  <c r="BB1690" i="2"/>
  <c r="BB1691" i="2"/>
  <c r="BB1692" i="2"/>
  <c r="BB1693" i="2"/>
  <c r="BB1694" i="2"/>
  <c r="BB1695" i="2"/>
  <c r="BB1696" i="2"/>
  <c r="BB1697" i="2"/>
  <c r="BB1698" i="2"/>
  <c r="BB1699" i="2"/>
  <c r="BB1700" i="2"/>
  <c r="BB1701" i="2"/>
  <c r="BB1702" i="2"/>
  <c r="BB1703" i="2"/>
  <c r="BB1704" i="2"/>
  <c r="BB1705" i="2"/>
  <c r="BB1706" i="2"/>
  <c r="BB1707" i="2"/>
  <c r="BB1708" i="2"/>
  <c r="BB1709" i="2"/>
  <c r="BB1710" i="2"/>
  <c r="BB1711" i="2"/>
  <c r="BB1712" i="2"/>
  <c r="BB1713" i="2"/>
  <c r="BB1714" i="2"/>
  <c r="BB1715" i="2"/>
  <c r="BB1716" i="2"/>
  <c r="BB1717" i="2"/>
  <c r="BB1718" i="2"/>
  <c r="BB1719" i="2"/>
  <c r="BB1720" i="2"/>
  <c r="BB1721" i="2"/>
  <c r="BB1722" i="2"/>
  <c r="BB1723" i="2"/>
  <c r="BB1724" i="2"/>
  <c r="BB1725" i="2"/>
  <c r="BB1726" i="2"/>
  <c r="BB1727" i="2"/>
  <c r="BB1728" i="2"/>
  <c r="BB1729" i="2"/>
  <c r="BB1730" i="2"/>
  <c r="BB1731" i="2"/>
  <c r="BB1732" i="2"/>
  <c r="BB1733" i="2"/>
  <c r="BB1734" i="2"/>
  <c r="BB1735" i="2"/>
  <c r="BB1736" i="2"/>
  <c r="BB1737" i="2"/>
  <c r="BB1738" i="2"/>
  <c r="BB1739" i="2"/>
  <c r="BB1740" i="2"/>
  <c r="BB1741" i="2"/>
  <c r="BB1742" i="2"/>
  <c r="BB1743" i="2"/>
  <c r="BB1744" i="2"/>
  <c r="BB1745" i="2"/>
  <c r="BB1746" i="2"/>
  <c r="BB1747" i="2"/>
  <c r="BB1748" i="2"/>
  <c r="BB1749" i="2"/>
  <c r="BB1750" i="2"/>
  <c r="BB1751" i="2"/>
  <c r="BB1752" i="2"/>
  <c r="BB1753" i="2"/>
  <c r="BB1754" i="2"/>
  <c r="BB1755" i="2"/>
  <c r="BB1756" i="2"/>
  <c r="BB1757" i="2"/>
  <c r="BB1758" i="2"/>
  <c r="BB1759" i="2"/>
  <c r="BB1760" i="2"/>
  <c r="BB1761" i="2"/>
  <c r="BB1762" i="2"/>
  <c r="BB1763" i="2"/>
  <c r="BB1764" i="2"/>
  <c r="BB1765" i="2"/>
  <c r="BB1766" i="2"/>
  <c r="BB1767" i="2"/>
  <c r="BB1768" i="2"/>
  <c r="BB1769" i="2"/>
  <c r="BB1770" i="2"/>
  <c r="BB1771" i="2"/>
  <c r="BB1772" i="2"/>
  <c r="BB1773" i="2"/>
  <c r="BB1774" i="2"/>
  <c r="BB1775" i="2"/>
  <c r="BB1776" i="2"/>
  <c r="BB1777" i="2"/>
  <c r="BB1778" i="2"/>
  <c r="BB1779" i="2"/>
  <c r="BB1780" i="2"/>
  <c r="BB1781" i="2"/>
  <c r="BB1782" i="2"/>
  <c r="BB1783" i="2"/>
  <c r="BB1784" i="2"/>
  <c r="BB1785" i="2"/>
  <c r="BB1786" i="2"/>
  <c r="BB1787" i="2"/>
  <c r="BB1788" i="2"/>
  <c r="BB1789" i="2"/>
  <c r="BB1790" i="2"/>
  <c r="BB1791" i="2"/>
  <c r="BB1792" i="2"/>
  <c r="BB1793" i="2"/>
  <c r="BB1794" i="2"/>
  <c r="BB1795" i="2"/>
  <c r="BB1796" i="2"/>
  <c r="BB1797" i="2"/>
  <c r="BB1798" i="2"/>
  <c r="BB1799" i="2"/>
  <c r="BB1800" i="2"/>
  <c r="BB1801" i="2"/>
  <c r="BB1802" i="2"/>
  <c r="BB1803" i="2"/>
  <c r="BB1804" i="2"/>
  <c r="BB1805" i="2"/>
  <c r="BB1806" i="2"/>
  <c r="BB1807" i="2"/>
  <c r="BB1808" i="2"/>
  <c r="BB1809" i="2"/>
  <c r="BB1810" i="2"/>
  <c r="BB1811" i="2"/>
  <c r="BB1812" i="2"/>
  <c r="BB1813" i="2"/>
  <c r="BB1814" i="2"/>
  <c r="BB1815" i="2"/>
  <c r="BB1816" i="2"/>
  <c r="BB1817" i="2"/>
  <c r="BB1818" i="2"/>
  <c r="BB1819" i="2"/>
  <c r="BB1820" i="2"/>
  <c r="BB1821" i="2"/>
  <c r="BB1822" i="2"/>
  <c r="BB1823" i="2"/>
  <c r="BB1824" i="2"/>
  <c r="BB1825" i="2"/>
  <c r="BB1826" i="2"/>
  <c r="BB1827" i="2"/>
  <c r="BB1828" i="2"/>
  <c r="BB1829" i="2"/>
  <c r="BB1830" i="2"/>
  <c r="BB1831" i="2"/>
  <c r="BB1832" i="2"/>
  <c r="BB1833" i="2"/>
  <c r="BB1834" i="2"/>
  <c r="BB1835" i="2"/>
  <c r="BB1836" i="2"/>
  <c r="BB1837" i="2"/>
  <c r="BB1838" i="2"/>
  <c r="BB1839" i="2"/>
  <c r="BB1840" i="2"/>
  <c r="BB1841" i="2"/>
  <c r="BB1842" i="2"/>
  <c r="BB1843" i="2"/>
  <c r="BB1844" i="2"/>
  <c r="BB1845" i="2"/>
  <c r="BB1846" i="2"/>
  <c r="BB1847" i="2"/>
  <c r="BB1848" i="2"/>
  <c r="BB1849" i="2"/>
  <c r="BB1850" i="2"/>
  <c r="BB1851" i="2"/>
  <c r="BB1852" i="2"/>
  <c r="BB1853" i="2"/>
  <c r="BB1854" i="2"/>
  <c r="BB1855" i="2"/>
  <c r="BB1856" i="2"/>
  <c r="BB1857" i="2"/>
  <c r="BB1858" i="2"/>
  <c r="BB1859" i="2"/>
  <c r="BB1860" i="2"/>
  <c r="BB1861" i="2"/>
  <c r="BB1862" i="2"/>
  <c r="BB1863" i="2"/>
  <c r="BB1864" i="2"/>
  <c r="BB1865" i="2"/>
  <c r="BB1866" i="2"/>
  <c r="BB1867" i="2"/>
  <c r="BB1868" i="2"/>
  <c r="BB1869" i="2"/>
  <c r="BB1870" i="2"/>
  <c r="BB1871" i="2"/>
  <c r="BB1872" i="2"/>
  <c r="BB1873" i="2"/>
  <c r="BB1874" i="2"/>
  <c r="BB1875" i="2"/>
  <c r="BB1876" i="2"/>
  <c r="BB1877" i="2"/>
  <c r="BB1878" i="2"/>
  <c r="BB1879" i="2"/>
  <c r="BB1880" i="2"/>
  <c r="BB1881" i="2"/>
  <c r="BB1882" i="2"/>
  <c r="BB1883" i="2"/>
  <c r="BB1884" i="2"/>
  <c r="BB1885" i="2"/>
  <c r="BB1886" i="2"/>
  <c r="BB1887" i="2"/>
  <c r="BB1888" i="2"/>
  <c r="BB1889" i="2"/>
  <c r="BB1890" i="2"/>
  <c r="BB1891" i="2"/>
  <c r="BB1892" i="2"/>
  <c r="BB1893" i="2"/>
  <c r="BB1894" i="2"/>
  <c r="BB1895" i="2"/>
  <c r="BB1896" i="2"/>
  <c r="BB1897" i="2"/>
  <c r="BB1898" i="2"/>
  <c r="BB1899" i="2"/>
  <c r="BB1900" i="2"/>
  <c r="BB1901" i="2"/>
  <c r="BB1902" i="2"/>
  <c r="BB1903" i="2"/>
  <c r="BB1904" i="2"/>
  <c r="BB1905" i="2"/>
  <c r="BB1906" i="2"/>
  <c r="BB1907" i="2"/>
  <c r="BB1908" i="2"/>
  <c r="BB1909" i="2"/>
  <c r="BB1910" i="2"/>
  <c r="BB1911" i="2"/>
  <c r="BB1912" i="2"/>
  <c r="BB1913" i="2"/>
  <c r="BB1914" i="2"/>
  <c r="BB1915" i="2"/>
  <c r="BB1916" i="2"/>
  <c r="BB1917" i="2"/>
  <c r="BB1918" i="2"/>
  <c r="BB1919" i="2"/>
  <c r="BB1920" i="2"/>
  <c r="BB1921" i="2"/>
  <c r="BB1922" i="2"/>
  <c r="BB1923" i="2"/>
  <c r="BB1924" i="2"/>
  <c r="BB1925" i="2"/>
  <c r="BB1926" i="2"/>
  <c r="BB1927" i="2"/>
  <c r="BB1928" i="2"/>
  <c r="BB1929" i="2"/>
  <c r="BB1930" i="2"/>
  <c r="BB1931" i="2"/>
  <c r="BB1932" i="2"/>
  <c r="BB1933" i="2"/>
  <c r="BB1934" i="2"/>
  <c r="BB1935" i="2"/>
  <c r="BB1936" i="2"/>
  <c r="BB1937" i="2"/>
  <c r="BB1938" i="2"/>
  <c r="BB1939" i="2"/>
  <c r="BB1940" i="2"/>
  <c r="BB1941" i="2"/>
  <c r="BB1942" i="2"/>
  <c r="BB1943" i="2"/>
  <c r="BB1944" i="2"/>
  <c r="BB1945" i="2"/>
  <c r="BB1946" i="2"/>
  <c r="BB1947" i="2"/>
  <c r="BB1948" i="2"/>
  <c r="BB1949" i="2"/>
  <c r="BB1950" i="2"/>
  <c r="BB1951" i="2"/>
  <c r="BB1952" i="2"/>
  <c r="BB1953" i="2"/>
  <c r="BB1954" i="2"/>
  <c r="BB1955" i="2"/>
  <c r="BB1956" i="2"/>
  <c r="BB1957" i="2"/>
  <c r="BB1958" i="2"/>
  <c r="BB1959" i="2"/>
  <c r="BB1960" i="2"/>
  <c r="BB1961" i="2"/>
  <c r="BB1962" i="2"/>
  <c r="BB1963" i="2"/>
  <c r="BB1964" i="2"/>
  <c r="BB1965" i="2"/>
  <c r="BB1966" i="2"/>
  <c r="BB1967" i="2"/>
  <c r="BB1968" i="2"/>
  <c r="BB1969" i="2"/>
  <c r="BB1970" i="2"/>
  <c r="BB1971" i="2"/>
  <c r="BB1972" i="2"/>
  <c r="BB1973" i="2"/>
  <c r="BB1974" i="2"/>
  <c r="BB1975" i="2"/>
  <c r="BB1976" i="2"/>
  <c r="BB1977" i="2"/>
  <c r="BB1978" i="2"/>
  <c r="BB1979" i="2"/>
  <c r="BB1980" i="2"/>
  <c r="BB1981" i="2"/>
  <c r="BB1982" i="2"/>
  <c r="BB1983" i="2"/>
  <c r="BB1984" i="2"/>
  <c r="BB1985" i="2"/>
  <c r="BB1986" i="2"/>
  <c r="BB1987" i="2"/>
  <c r="BB1988" i="2"/>
  <c r="BB1989" i="2"/>
  <c r="BB1990" i="2"/>
  <c r="BB1991" i="2"/>
  <c r="BB1992" i="2"/>
  <c r="BB1993" i="2"/>
  <c r="BB1994" i="2"/>
  <c r="BB1995" i="2"/>
  <c r="BB1996" i="2"/>
  <c r="BB1997" i="2"/>
  <c r="BB1998" i="2"/>
  <c r="BB1999" i="2"/>
  <c r="BB2000" i="2"/>
  <c r="BB2001" i="2"/>
  <c r="BB2002" i="2"/>
  <c r="BB2003" i="2"/>
  <c r="BB2004" i="2"/>
  <c r="BB2005" i="2"/>
  <c r="BB2006" i="2"/>
  <c r="BB2007" i="2"/>
  <c r="BB2008" i="2"/>
  <c r="BB2009" i="2"/>
  <c r="BB2010" i="2"/>
  <c r="BB2011" i="2"/>
  <c r="BB2012" i="2"/>
  <c r="BB2013" i="2"/>
  <c r="BB2014" i="2"/>
  <c r="BB2015" i="2"/>
  <c r="BB2016" i="2"/>
  <c r="BB2017" i="2"/>
  <c r="BB2018" i="2"/>
  <c r="BB2019" i="2"/>
  <c r="BB2020" i="2"/>
  <c r="BB2021" i="2"/>
  <c r="BB2022" i="2"/>
  <c r="BB2023" i="2"/>
  <c r="BB2024" i="2"/>
  <c r="BB2025" i="2"/>
  <c r="BB2026" i="2"/>
  <c r="BB2027" i="2"/>
  <c r="BB2028" i="2"/>
  <c r="BB2029" i="2"/>
  <c r="BB2030" i="2"/>
  <c r="BB2031" i="2"/>
  <c r="BB2032" i="2"/>
  <c r="BB2033" i="2"/>
  <c r="BB2034" i="2"/>
  <c r="BB2035" i="2"/>
  <c r="BB2036" i="2"/>
  <c r="BB2037" i="2"/>
  <c r="BB2038" i="2"/>
  <c r="BB2039" i="2"/>
  <c r="BB2040" i="2"/>
  <c r="BB2041" i="2"/>
  <c r="BB2042" i="2"/>
  <c r="BB2043" i="2"/>
  <c r="BB2044" i="2"/>
  <c r="BB2045" i="2"/>
  <c r="BB2046" i="2"/>
  <c r="BB2047" i="2"/>
  <c r="BB2048" i="2"/>
  <c r="BB2049" i="2"/>
  <c r="BB2050" i="2"/>
  <c r="BB2051" i="2"/>
  <c r="BB2052" i="2"/>
  <c r="BB2053" i="2"/>
  <c r="BB2054" i="2"/>
  <c r="BB2055" i="2"/>
  <c r="BB2056" i="2"/>
  <c r="BB2057" i="2"/>
  <c r="BB2058" i="2"/>
  <c r="BB2059" i="2"/>
  <c r="BB2060" i="2"/>
  <c r="BB2061" i="2"/>
  <c r="BB2062" i="2"/>
  <c r="BB2063" i="2"/>
  <c r="BB2064" i="2"/>
  <c r="BB2065" i="2"/>
  <c r="BB2066" i="2"/>
  <c r="BB2067" i="2"/>
  <c r="BB2068" i="2"/>
  <c r="BB2069" i="2"/>
  <c r="BB2070" i="2"/>
  <c r="BB2071" i="2"/>
  <c r="BB2072" i="2"/>
  <c r="BB2073" i="2"/>
  <c r="BB2074" i="2"/>
  <c r="BB2075" i="2"/>
  <c r="BB2076" i="2"/>
  <c r="BB2077" i="2"/>
  <c r="BB2078" i="2"/>
  <c r="BB2079" i="2"/>
  <c r="BB2080" i="2"/>
  <c r="BB2081" i="2"/>
  <c r="BB2082" i="2"/>
  <c r="BB2083" i="2"/>
  <c r="BB2084" i="2"/>
  <c r="BB2085" i="2"/>
  <c r="BB2086" i="2"/>
  <c r="BB2087" i="2"/>
  <c r="BB2088" i="2"/>
  <c r="BB2089" i="2"/>
  <c r="BB2090" i="2"/>
  <c r="BB3" i="2"/>
  <c r="BB4" i="2"/>
  <c r="BB5" i="2"/>
  <c r="BB6" i="2"/>
  <c r="BB7" i="2"/>
  <c r="BB8" i="2"/>
  <c r="BB9" i="2"/>
  <c r="BB10" i="2"/>
  <c r="BB11" i="2"/>
  <c r="BB12" i="2"/>
  <c r="BB13" i="2"/>
  <c r="BB14" i="2"/>
  <c r="BB15" i="2"/>
  <c r="BB16" i="2"/>
  <c r="BB17" i="2"/>
  <c r="BB18" i="2"/>
  <c r="BB19" i="2"/>
  <c r="BB20" i="2"/>
  <c r="BB21" i="2"/>
  <c r="BB22" i="2"/>
  <c r="BB23" i="2"/>
  <c r="BB24" i="2"/>
  <c r="BB25" i="2"/>
  <c r="BB26" i="2"/>
  <c r="BB27" i="2"/>
  <c r="BB28" i="2"/>
  <c r="BB29" i="2"/>
  <c r="BB30" i="2"/>
  <c r="BB31" i="2"/>
  <c r="BB32" i="2"/>
  <c r="BB33" i="2"/>
  <c r="BB34" i="2"/>
  <c r="BB35" i="2"/>
  <c r="BB36" i="2"/>
  <c r="BB37" i="2"/>
  <c r="BB38" i="2"/>
  <c r="BB39" i="2"/>
  <c r="BB40" i="2"/>
  <c r="BB41" i="2"/>
  <c r="BB42" i="2"/>
  <c r="BB43" i="2"/>
  <c r="BB44" i="2"/>
  <c r="BB45" i="2"/>
  <c r="BB46" i="2"/>
  <c r="BB47" i="2"/>
  <c r="BB48" i="2"/>
  <c r="BB49" i="2"/>
  <c r="BB50" i="2"/>
  <c r="BB51" i="2"/>
  <c r="BB52" i="2"/>
  <c r="BB53" i="2"/>
  <c r="BB54" i="2"/>
  <c r="BB55" i="2"/>
  <c r="BB56" i="2"/>
  <c r="BB57" i="2"/>
  <c r="BB58" i="2"/>
  <c r="BB59" i="2"/>
  <c r="BB60" i="2"/>
  <c r="BB61" i="2"/>
  <c r="BB62" i="2"/>
  <c r="BB63" i="2"/>
  <c r="BB64" i="2"/>
  <c r="BB65" i="2"/>
  <c r="BB66" i="2"/>
  <c r="BB67" i="2"/>
  <c r="BB68" i="2"/>
  <c r="BB69" i="2"/>
  <c r="BB70" i="2"/>
  <c r="BB71" i="2"/>
  <c r="BB72" i="2"/>
  <c r="BB73" i="2"/>
  <c r="BB74" i="2"/>
  <c r="BB75" i="2"/>
  <c r="BB76" i="2"/>
  <c r="BB77" i="2"/>
  <c r="BB78" i="2"/>
  <c r="BB79" i="2"/>
  <c r="BB80" i="2"/>
  <c r="BB81" i="2"/>
  <c r="BB82" i="2"/>
  <c r="BB83" i="2"/>
  <c r="BB84" i="2"/>
  <c r="BB85" i="2"/>
  <c r="BB86" i="2"/>
  <c r="BB87" i="2"/>
  <c r="BB88" i="2"/>
  <c r="BB89" i="2"/>
  <c r="BB90" i="2"/>
  <c r="BB91" i="2"/>
  <c r="BB92" i="2"/>
  <c r="BB93" i="2"/>
  <c r="BB94" i="2"/>
  <c r="BB95" i="2"/>
  <c r="BB96" i="2"/>
  <c r="BB97" i="2"/>
  <c r="BB98" i="2"/>
  <c r="BB99" i="2"/>
  <c r="BB100" i="2"/>
  <c r="BB101" i="2"/>
  <c r="BB102" i="2"/>
  <c r="BB103" i="2"/>
  <c r="BB104" i="2"/>
  <c r="BB105" i="2"/>
  <c r="BB106" i="2"/>
  <c r="BB107" i="2"/>
  <c r="BB108" i="2"/>
  <c r="BB109" i="2"/>
  <c r="BB110" i="2"/>
  <c r="BB111" i="2"/>
  <c r="BB112" i="2"/>
  <c r="BB113" i="2"/>
  <c r="BB114" i="2"/>
  <c r="BB115" i="2"/>
  <c r="BB116" i="2"/>
  <c r="BB117" i="2"/>
  <c r="BB118" i="2"/>
  <c r="BB119" i="2"/>
  <c r="BB120" i="2"/>
  <c r="BB121" i="2"/>
  <c r="BB122" i="2"/>
  <c r="BB123" i="2"/>
  <c r="BB124" i="2"/>
  <c r="BB125" i="2"/>
  <c r="BB126" i="2"/>
  <c r="BB127" i="2"/>
  <c r="BB128" i="2"/>
  <c r="BB129" i="2"/>
  <c r="BB130" i="2"/>
  <c r="BB131" i="2"/>
  <c r="BB132" i="2"/>
  <c r="BB133" i="2"/>
  <c r="BB134" i="2"/>
  <c r="BB135" i="2"/>
  <c r="BB136" i="2"/>
  <c r="BB137" i="2"/>
  <c r="BB138" i="2"/>
  <c r="BB139" i="2"/>
  <c r="BB140" i="2"/>
  <c r="BB141" i="2"/>
  <c r="BB142" i="2"/>
  <c r="BB143" i="2"/>
  <c r="BB144" i="2"/>
  <c r="BB145" i="2"/>
  <c r="BB146" i="2"/>
  <c r="BB147" i="2"/>
  <c r="BB148" i="2"/>
  <c r="BB149" i="2"/>
  <c r="BB150" i="2"/>
  <c r="BB151" i="2"/>
  <c r="BB152" i="2"/>
  <c r="BB153" i="2"/>
  <c r="BB154" i="2"/>
  <c r="BB155" i="2"/>
  <c r="BB156" i="2"/>
  <c r="BB157" i="2"/>
  <c r="BB158" i="2"/>
  <c r="BB159" i="2"/>
  <c r="BB160" i="2"/>
  <c r="BB161" i="2"/>
  <c r="BB162" i="2"/>
  <c r="BB163" i="2"/>
  <c r="BB164" i="2"/>
  <c r="BB165" i="2"/>
  <c r="BB166" i="2"/>
  <c r="BB167" i="2"/>
  <c r="BB168" i="2"/>
  <c r="BB169" i="2"/>
  <c r="BB170" i="2"/>
  <c r="BB171" i="2"/>
  <c r="BB172" i="2"/>
  <c r="BB173" i="2"/>
  <c r="BB174" i="2"/>
  <c r="BB175" i="2"/>
  <c r="BB176" i="2"/>
  <c r="BB177" i="2"/>
  <c r="BB178" i="2"/>
  <c r="BB179" i="2"/>
  <c r="BB180" i="2"/>
  <c r="BB181" i="2"/>
  <c r="BB182" i="2"/>
  <c r="BB183" i="2"/>
  <c r="BB184" i="2"/>
  <c r="BB185" i="2"/>
  <c r="BB186" i="2"/>
  <c r="BB187" i="2"/>
  <c r="BB188" i="2"/>
  <c r="BB189" i="2"/>
  <c r="BB190" i="2"/>
  <c r="BB191" i="2"/>
  <c r="BB192" i="2"/>
  <c r="BB193" i="2"/>
  <c r="BB194" i="2"/>
  <c r="BB195" i="2"/>
  <c r="BB196" i="2"/>
  <c r="BB197" i="2"/>
  <c r="BB198" i="2"/>
  <c r="BB199" i="2"/>
  <c r="BB200" i="2"/>
  <c r="BB201" i="2"/>
  <c r="BB202" i="2"/>
  <c r="BB203" i="2"/>
  <c r="BB204" i="2"/>
  <c r="BB205" i="2"/>
  <c r="BB206" i="2"/>
  <c r="BB207" i="2"/>
  <c r="BB208" i="2"/>
  <c r="BB209" i="2"/>
  <c r="BB210" i="2"/>
  <c r="BB211" i="2"/>
  <c r="BB212" i="2"/>
  <c r="BB213" i="2"/>
  <c r="BB214" i="2"/>
  <c r="BB215" i="2"/>
  <c r="BB216" i="2"/>
  <c r="BB217" i="2"/>
  <c r="BB218" i="2"/>
  <c r="BB219" i="2"/>
  <c r="BB220" i="2"/>
  <c r="BB221" i="2"/>
  <c r="BB222" i="2"/>
  <c r="BB223" i="2"/>
  <c r="BB224" i="2"/>
  <c r="BB225" i="2"/>
  <c r="BB226" i="2"/>
  <c r="BB227" i="2"/>
  <c r="BB228" i="2"/>
  <c r="BB229" i="2"/>
  <c r="BB230" i="2"/>
  <c r="BB231" i="2"/>
  <c r="BB232" i="2"/>
  <c r="BB233" i="2"/>
  <c r="BB234" i="2"/>
  <c r="BB235" i="2"/>
  <c r="BB236" i="2"/>
  <c r="BB237" i="2"/>
  <c r="BB238" i="2"/>
  <c r="BB239" i="2"/>
  <c r="BB240" i="2"/>
  <c r="BB241" i="2"/>
  <c r="BB242" i="2"/>
  <c r="BB243" i="2"/>
  <c r="BB244" i="2"/>
  <c r="BB245" i="2"/>
  <c r="BB246" i="2"/>
  <c r="BB247" i="2"/>
  <c r="BB248" i="2"/>
  <c r="BB249" i="2"/>
  <c r="BB250" i="2"/>
  <c r="BB251" i="2"/>
  <c r="BB252" i="2"/>
  <c r="BB253" i="2"/>
  <c r="BB254" i="2"/>
  <c r="BB255" i="2"/>
  <c r="BB256" i="2"/>
  <c r="BB257" i="2"/>
  <c r="BB258" i="2"/>
  <c r="BB259" i="2"/>
  <c r="BB260" i="2"/>
  <c r="BB261" i="2"/>
  <c r="BB262" i="2"/>
  <c r="BB263" i="2"/>
  <c r="BB264" i="2"/>
  <c r="BB265" i="2"/>
  <c r="BB266" i="2"/>
  <c r="BB267" i="2"/>
  <c r="BB268" i="2"/>
  <c r="BB269" i="2"/>
  <c r="BB270" i="2"/>
  <c r="BB271" i="2"/>
  <c r="BB272" i="2"/>
  <c r="BB273" i="2"/>
  <c r="BB274" i="2"/>
  <c r="BB275" i="2"/>
  <c r="BB276" i="2"/>
  <c r="BB277" i="2"/>
  <c r="BB278" i="2"/>
  <c r="BB279" i="2"/>
  <c r="BB280" i="2"/>
  <c r="BB281" i="2"/>
  <c r="BB282" i="2"/>
  <c r="BB283" i="2"/>
  <c r="BB284" i="2"/>
  <c r="BB285" i="2"/>
  <c r="BB286" i="2"/>
  <c r="BB287" i="2"/>
  <c r="BB288" i="2"/>
  <c r="BB289" i="2"/>
  <c r="BB290" i="2"/>
  <c r="BB291" i="2"/>
  <c r="BB292" i="2"/>
  <c r="BB293" i="2"/>
  <c r="BB294" i="2"/>
  <c r="BB295" i="2"/>
  <c r="BB296" i="2"/>
  <c r="BB297" i="2"/>
  <c r="BB298" i="2"/>
  <c r="BB299" i="2"/>
  <c r="BB300" i="2"/>
  <c r="BB301" i="2"/>
  <c r="BB302" i="2"/>
  <c r="BB303" i="2"/>
  <c r="BB304" i="2"/>
  <c r="BB305" i="2"/>
  <c r="BB306" i="2"/>
  <c r="BB307" i="2"/>
  <c r="BB308" i="2"/>
  <c r="BB309" i="2"/>
  <c r="BB310" i="2"/>
  <c r="BB311" i="2"/>
  <c r="BB312" i="2"/>
  <c r="BB313" i="2"/>
  <c r="BB314" i="2"/>
  <c r="BB315" i="2"/>
  <c r="BB316" i="2"/>
  <c r="BB317" i="2"/>
  <c r="BB318" i="2"/>
  <c r="BB319" i="2"/>
  <c r="BB320" i="2"/>
  <c r="BB321" i="2"/>
  <c r="BB322" i="2"/>
  <c r="BB323" i="2"/>
  <c r="BB324" i="2"/>
  <c r="BB325" i="2"/>
  <c r="BB326" i="2"/>
  <c r="BB327" i="2"/>
  <c r="BB328" i="2"/>
  <c r="BB329" i="2"/>
  <c r="BB330" i="2"/>
  <c r="BB331" i="2"/>
  <c r="BB332" i="2"/>
  <c r="BB333" i="2"/>
  <c r="BB334" i="2"/>
  <c r="BB335" i="2"/>
  <c r="BB336" i="2"/>
  <c r="BB337" i="2"/>
  <c r="BB338" i="2"/>
  <c r="BB339" i="2"/>
  <c r="BB340" i="2"/>
  <c r="BB341" i="2"/>
  <c r="BB342" i="2"/>
  <c r="BB343" i="2"/>
  <c r="BB344" i="2"/>
  <c r="BB345" i="2"/>
  <c r="BB346" i="2"/>
  <c r="BB347" i="2"/>
  <c r="BB348" i="2"/>
  <c r="BB349" i="2"/>
  <c r="BB350" i="2"/>
  <c r="BB351" i="2"/>
  <c r="BB352" i="2"/>
  <c r="BB353" i="2"/>
  <c r="BB354" i="2"/>
  <c r="BB355" i="2"/>
  <c r="BB356" i="2"/>
  <c r="BB357" i="2"/>
  <c r="BB358" i="2"/>
  <c r="BB359" i="2"/>
  <c r="BB360" i="2"/>
  <c r="BB361" i="2"/>
  <c r="BB362" i="2"/>
  <c r="BB363" i="2"/>
  <c r="BB364" i="2"/>
  <c r="BB365" i="2"/>
  <c r="BB366" i="2"/>
  <c r="BB367" i="2"/>
  <c r="BB368" i="2"/>
  <c r="BB369" i="2"/>
  <c r="BB370" i="2"/>
  <c r="BB371" i="2"/>
  <c r="BB372" i="2"/>
  <c r="BB373" i="2"/>
  <c r="BB374" i="2"/>
  <c r="BB375" i="2"/>
  <c r="BB376" i="2"/>
  <c r="BB377" i="2"/>
  <c r="BB378" i="2"/>
  <c r="BB379" i="2"/>
  <c r="BB380" i="2"/>
  <c r="BB381" i="2"/>
  <c r="BB382" i="2"/>
  <c r="BB383" i="2"/>
  <c r="BB384" i="2"/>
  <c r="BB385" i="2"/>
  <c r="BB386" i="2"/>
  <c r="BB387" i="2"/>
  <c r="BB388" i="2"/>
  <c r="BB389" i="2"/>
  <c r="BB390" i="2"/>
  <c r="BB391" i="2"/>
  <c r="BB392" i="2"/>
  <c r="BB393" i="2"/>
  <c r="BB394" i="2"/>
  <c r="BB395" i="2"/>
  <c r="BB396" i="2"/>
  <c r="BB397" i="2"/>
  <c r="BB398" i="2"/>
  <c r="BB399" i="2"/>
  <c r="BB400" i="2"/>
  <c r="BB401" i="2"/>
  <c r="BB402" i="2"/>
  <c r="BB403" i="2"/>
  <c r="BB404" i="2"/>
  <c r="BB405" i="2"/>
  <c r="BB406" i="2"/>
  <c r="BB407" i="2"/>
  <c r="BB408" i="2"/>
  <c r="BB409" i="2"/>
  <c r="BB410" i="2"/>
  <c r="BB411" i="2"/>
  <c r="BB412" i="2"/>
  <c r="BB413" i="2"/>
  <c r="BB414" i="2"/>
  <c r="BB415" i="2"/>
  <c r="BB416" i="2"/>
  <c r="BB417" i="2"/>
  <c r="BB418" i="2"/>
  <c r="BB419" i="2"/>
  <c r="BB420" i="2"/>
  <c r="BB421" i="2"/>
  <c r="BB422" i="2"/>
  <c r="BB423" i="2"/>
  <c r="BB424" i="2"/>
  <c r="BB425" i="2"/>
  <c r="BB426" i="2"/>
  <c r="BB427" i="2"/>
  <c r="BB428" i="2"/>
  <c r="BB429" i="2"/>
  <c r="BB430" i="2"/>
  <c r="BB431" i="2"/>
  <c r="BB432" i="2"/>
  <c r="BB433" i="2"/>
  <c r="BB434" i="2"/>
  <c r="BB435" i="2"/>
  <c r="BB436" i="2"/>
  <c r="BB437" i="2"/>
  <c r="BB438" i="2"/>
  <c r="BB439" i="2"/>
  <c r="BB440" i="2"/>
  <c r="BB441" i="2"/>
  <c r="BB442" i="2"/>
  <c r="BB443" i="2"/>
  <c r="BB444" i="2"/>
  <c r="BB445" i="2"/>
  <c r="BB446" i="2"/>
  <c r="BB447" i="2"/>
  <c r="BB448" i="2"/>
  <c r="BB449" i="2"/>
  <c r="BB450" i="2"/>
  <c r="BB451" i="2"/>
  <c r="BB452" i="2"/>
  <c r="BB453" i="2"/>
  <c r="BB454" i="2"/>
  <c r="BB455" i="2"/>
  <c r="BB456" i="2"/>
  <c r="BB457" i="2"/>
  <c r="BB458" i="2"/>
  <c r="BB459" i="2"/>
  <c r="BB460" i="2"/>
  <c r="BB461" i="2"/>
  <c r="BB462" i="2"/>
  <c r="BB463" i="2"/>
  <c r="BB464" i="2"/>
  <c r="BB465" i="2"/>
  <c r="BB466" i="2"/>
  <c r="BB467" i="2"/>
  <c r="BB468" i="2"/>
  <c r="BB469" i="2"/>
  <c r="BB470" i="2"/>
  <c r="BB471" i="2"/>
  <c r="BB472" i="2"/>
  <c r="BB473" i="2"/>
  <c r="BB474" i="2"/>
  <c r="BB475" i="2"/>
  <c r="BB476" i="2"/>
  <c r="BB477" i="2"/>
  <c r="BB478" i="2"/>
  <c r="BB479" i="2"/>
  <c r="BB480" i="2"/>
  <c r="BB481" i="2"/>
  <c r="BB482" i="2"/>
  <c r="BB483" i="2"/>
  <c r="BB484" i="2"/>
  <c r="BB485" i="2"/>
  <c r="BB486" i="2"/>
  <c r="BB487" i="2"/>
  <c r="BB488" i="2"/>
  <c r="BB489" i="2"/>
  <c r="BB490" i="2"/>
  <c r="BB491" i="2"/>
  <c r="BB492" i="2"/>
  <c r="BB493" i="2"/>
  <c r="BB494" i="2"/>
  <c r="BB495" i="2"/>
  <c r="BB496" i="2"/>
  <c r="BB497" i="2"/>
  <c r="BB498" i="2"/>
  <c r="BB499" i="2"/>
  <c r="BB500" i="2"/>
  <c r="BB501" i="2"/>
  <c r="BB502" i="2"/>
  <c r="BB503" i="2"/>
  <c r="BB504" i="2"/>
  <c r="BB505" i="2"/>
  <c r="BB506" i="2"/>
  <c r="BB507" i="2"/>
  <c r="BB508" i="2"/>
  <c r="BB509" i="2"/>
  <c r="BB510" i="2"/>
  <c r="BB511" i="2"/>
  <c r="BB512" i="2"/>
  <c r="BB513" i="2"/>
  <c r="BB514" i="2"/>
  <c r="BB515" i="2"/>
  <c r="BB516" i="2"/>
  <c r="BB517" i="2"/>
  <c r="BB518" i="2"/>
  <c r="BB519" i="2"/>
  <c r="BB520" i="2"/>
  <c r="BB521" i="2"/>
  <c r="BB522" i="2"/>
  <c r="BB523" i="2"/>
  <c r="BB524" i="2"/>
  <c r="BB525" i="2"/>
  <c r="BB526" i="2"/>
  <c r="BB527" i="2"/>
  <c r="BB528" i="2"/>
  <c r="BB529" i="2"/>
  <c r="BB530" i="2"/>
  <c r="BB531" i="2"/>
  <c r="BB532" i="2"/>
  <c r="BB533" i="2"/>
  <c r="BB534" i="2"/>
  <c r="BB535" i="2"/>
  <c r="BB536" i="2"/>
  <c r="BB537" i="2"/>
  <c r="BB538" i="2"/>
  <c r="BB539" i="2"/>
  <c r="BB540" i="2"/>
  <c r="BB541" i="2"/>
  <c r="BB542" i="2"/>
  <c r="BB543" i="2"/>
  <c r="BB544" i="2"/>
  <c r="BB545" i="2"/>
  <c r="BB546" i="2"/>
  <c r="BB547" i="2"/>
  <c r="BB548" i="2"/>
  <c r="BB549" i="2"/>
  <c r="BB550" i="2"/>
  <c r="BB551" i="2"/>
  <c r="BB552" i="2"/>
  <c r="BB553" i="2"/>
  <c r="BB554" i="2"/>
  <c r="BB555" i="2"/>
  <c r="BB556" i="2"/>
  <c r="BB557" i="2"/>
  <c r="BB558" i="2"/>
  <c r="BB559" i="2"/>
  <c r="BB560" i="2"/>
  <c r="BB561" i="2"/>
  <c r="BB562" i="2"/>
  <c r="BB563" i="2"/>
  <c r="BB564" i="2"/>
  <c r="BB565" i="2"/>
  <c r="BB566" i="2"/>
  <c r="BB567" i="2"/>
  <c r="BB568" i="2"/>
  <c r="BB569" i="2"/>
  <c r="BB570" i="2"/>
  <c r="BB571" i="2"/>
  <c r="BB572" i="2"/>
  <c r="BB573" i="2"/>
  <c r="BB574" i="2"/>
  <c r="BB575" i="2"/>
  <c r="BB576" i="2"/>
  <c r="BB577" i="2"/>
  <c r="BB578" i="2"/>
  <c r="BB579" i="2"/>
  <c r="BB580" i="2"/>
  <c r="BB581" i="2"/>
  <c r="BB582" i="2"/>
  <c r="BB583" i="2"/>
  <c r="BB584" i="2"/>
  <c r="BB585" i="2"/>
  <c r="BB586" i="2"/>
  <c r="BB587" i="2"/>
  <c r="BB588" i="2"/>
  <c r="BB589" i="2"/>
  <c r="BB590" i="2"/>
  <c r="BB591" i="2"/>
  <c r="BB592" i="2"/>
  <c r="BB593" i="2"/>
  <c r="BB594" i="2"/>
  <c r="BB595" i="2"/>
  <c r="BB596" i="2"/>
  <c r="BB597" i="2"/>
  <c r="BB598" i="2"/>
  <c r="BB599" i="2"/>
  <c r="BB600" i="2"/>
  <c r="BB601" i="2"/>
  <c r="BB602" i="2"/>
  <c r="BB603" i="2"/>
  <c r="BB604" i="2"/>
  <c r="BB605" i="2"/>
  <c r="BB606" i="2"/>
  <c r="BB607" i="2"/>
  <c r="BB608" i="2"/>
  <c r="BB609" i="2"/>
  <c r="BB610" i="2"/>
  <c r="BB611" i="2"/>
  <c r="BB612" i="2"/>
  <c r="BB613" i="2"/>
  <c r="BB614" i="2"/>
  <c r="BB615" i="2"/>
  <c r="BB616" i="2"/>
  <c r="BB617" i="2"/>
  <c r="BB618" i="2"/>
  <c r="BB619" i="2"/>
  <c r="BB620" i="2"/>
  <c r="BB621" i="2"/>
  <c r="BB622" i="2"/>
  <c r="BB623" i="2"/>
  <c r="BB624" i="2"/>
  <c r="BB625" i="2"/>
  <c r="BB626" i="2"/>
  <c r="BB627" i="2"/>
  <c r="BB628" i="2"/>
  <c r="BB629" i="2"/>
  <c r="BB630" i="2"/>
  <c r="BB631" i="2"/>
  <c r="BB632" i="2"/>
  <c r="BB633" i="2"/>
  <c r="BB634" i="2"/>
  <c r="BB635" i="2"/>
  <c r="BB636" i="2"/>
  <c r="BB637" i="2"/>
  <c r="BB638" i="2"/>
  <c r="BB639" i="2"/>
  <c r="BB640" i="2"/>
  <c r="BB641" i="2"/>
  <c r="BB642" i="2"/>
  <c r="BB643" i="2"/>
  <c r="BB644" i="2"/>
  <c r="BB645" i="2"/>
  <c r="BB646" i="2"/>
  <c r="BB647" i="2"/>
  <c r="BB648" i="2"/>
  <c r="BB649" i="2"/>
  <c r="BB650" i="2"/>
  <c r="BB651" i="2"/>
  <c r="BB652" i="2"/>
  <c r="BB653" i="2"/>
  <c r="BB654" i="2"/>
  <c r="BB655" i="2"/>
  <c r="BB656" i="2"/>
  <c r="BB657" i="2"/>
  <c r="BB658" i="2"/>
  <c r="BB659" i="2"/>
  <c r="BB660" i="2"/>
  <c r="BB661" i="2"/>
  <c r="BB662" i="2"/>
  <c r="BB663" i="2"/>
  <c r="BB664" i="2"/>
  <c r="BB665" i="2"/>
  <c r="BB666" i="2"/>
  <c r="BB667" i="2"/>
  <c r="BB668" i="2"/>
  <c r="BB669" i="2"/>
  <c r="BB670" i="2"/>
  <c r="BB671" i="2"/>
  <c r="BB672" i="2"/>
  <c r="BB673" i="2"/>
  <c r="BB674" i="2"/>
  <c r="BB675" i="2"/>
  <c r="BB676" i="2"/>
  <c r="BB677" i="2"/>
  <c r="BB678" i="2"/>
  <c r="BB679" i="2"/>
  <c r="BB680" i="2"/>
  <c r="BB681" i="2"/>
  <c r="BB682" i="2"/>
  <c r="BB683" i="2"/>
  <c r="BB684" i="2"/>
  <c r="BB685" i="2"/>
  <c r="BB686" i="2"/>
  <c r="BB687" i="2"/>
  <c r="BB688" i="2"/>
  <c r="BB689" i="2"/>
  <c r="BB690" i="2"/>
  <c r="BB691" i="2"/>
  <c r="BB692" i="2"/>
  <c r="BB693" i="2"/>
  <c r="BB694" i="2"/>
  <c r="BB695" i="2"/>
  <c r="BB696" i="2"/>
  <c r="BB697" i="2"/>
  <c r="BB698" i="2"/>
  <c r="BB699" i="2"/>
  <c r="BB700" i="2"/>
  <c r="BB701" i="2"/>
  <c r="BB702" i="2"/>
  <c r="BB703" i="2"/>
  <c r="BB704" i="2"/>
  <c r="BB705" i="2"/>
  <c r="BB706" i="2"/>
  <c r="BB707" i="2"/>
  <c r="BB708" i="2"/>
  <c r="BB709" i="2"/>
  <c r="BB710" i="2"/>
  <c r="BB711" i="2"/>
  <c r="BB712" i="2"/>
  <c r="BB713" i="2"/>
  <c r="BB714" i="2"/>
  <c r="BB715" i="2"/>
  <c r="BB716" i="2"/>
  <c r="BB717" i="2"/>
  <c r="BB718" i="2"/>
  <c r="BB719" i="2"/>
  <c r="BB720" i="2"/>
  <c r="BB721" i="2"/>
  <c r="BB722" i="2"/>
  <c r="BB723" i="2"/>
  <c r="BB724" i="2"/>
  <c r="BB725" i="2"/>
  <c r="BB726" i="2"/>
  <c r="BB727" i="2"/>
  <c r="BB728" i="2"/>
  <c r="BB729" i="2"/>
  <c r="BB730" i="2"/>
  <c r="BB731" i="2"/>
  <c r="BB732" i="2"/>
  <c r="BB733" i="2"/>
  <c r="BB734" i="2"/>
  <c r="BB735" i="2"/>
  <c r="BB736" i="2"/>
  <c r="BB737" i="2"/>
  <c r="BB738" i="2"/>
  <c r="BB739" i="2"/>
  <c r="BB740" i="2"/>
  <c r="BB741" i="2"/>
  <c r="BB742" i="2"/>
  <c r="BB743" i="2"/>
  <c r="BB744" i="2"/>
  <c r="BB745" i="2"/>
  <c r="BB746" i="2"/>
  <c r="BB747" i="2"/>
  <c r="BB748" i="2"/>
  <c r="BB749" i="2"/>
  <c r="BB750" i="2"/>
  <c r="BB751" i="2"/>
  <c r="BB752" i="2"/>
  <c r="BB753" i="2"/>
  <c r="BB754" i="2"/>
  <c r="BB755" i="2"/>
  <c r="BB756" i="2"/>
  <c r="BB757" i="2"/>
  <c r="BB758" i="2"/>
  <c r="BB759" i="2"/>
  <c r="BB760" i="2"/>
  <c r="BB761" i="2"/>
  <c r="BB762" i="2"/>
  <c r="BB763" i="2"/>
  <c r="BB764" i="2"/>
  <c r="BB765" i="2"/>
  <c r="BB766" i="2"/>
  <c r="BB767" i="2"/>
  <c r="BB768" i="2"/>
  <c r="BB769" i="2"/>
  <c r="BB770" i="2"/>
  <c r="BB771" i="2"/>
  <c r="BB772" i="2"/>
  <c r="BB773" i="2"/>
  <c r="BB774" i="2"/>
  <c r="BB775" i="2"/>
  <c r="BB776" i="2"/>
  <c r="BB777" i="2"/>
  <c r="BB778" i="2"/>
  <c r="BB779" i="2"/>
  <c r="BB780" i="2"/>
  <c r="BB781" i="2"/>
  <c r="BB782" i="2"/>
  <c r="BB783" i="2"/>
  <c r="BB784" i="2"/>
  <c r="BB785" i="2"/>
  <c r="BB786" i="2"/>
  <c r="BB787" i="2"/>
  <c r="BB788" i="2"/>
  <c r="BB789" i="2"/>
  <c r="BB790" i="2"/>
  <c r="BB791" i="2"/>
  <c r="BB792" i="2"/>
  <c r="BB793" i="2"/>
  <c r="BB794" i="2"/>
  <c r="BB795" i="2"/>
  <c r="BB796" i="2"/>
  <c r="BB797" i="2"/>
  <c r="BB798" i="2"/>
  <c r="BB799" i="2"/>
  <c r="BB800" i="2"/>
  <c r="BB801" i="2"/>
  <c r="BB802" i="2"/>
  <c r="BB803" i="2"/>
  <c r="BB804" i="2"/>
  <c r="BB805" i="2"/>
  <c r="BB806" i="2"/>
  <c r="BB807" i="2"/>
  <c r="BB808" i="2"/>
  <c r="BB809" i="2"/>
  <c r="BB810" i="2"/>
  <c r="BB811" i="2"/>
  <c r="BB812" i="2"/>
  <c r="BB813" i="2"/>
  <c r="BB814" i="2"/>
  <c r="BB815" i="2"/>
  <c r="BB816" i="2"/>
  <c r="BB817" i="2"/>
  <c r="BB818" i="2"/>
  <c r="BB819" i="2"/>
  <c r="BB820" i="2"/>
  <c r="BB821" i="2"/>
  <c r="BB822" i="2"/>
  <c r="BB823" i="2"/>
  <c r="BB824" i="2"/>
  <c r="BB825" i="2"/>
  <c r="BB2" i="2"/>
  <c r="AZ3" i="2"/>
  <c r="AZ4" i="2"/>
  <c r="AZ5" i="2"/>
  <c r="AZ6" i="2"/>
  <c r="AZ7" i="2"/>
  <c r="AZ8" i="2"/>
  <c r="AZ9" i="2"/>
  <c r="AZ10" i="2"/>
  <c r="AZ11" i="2"/>
  <c r="AZ12" i="2"/>
  <c r="AZ13" i="2"/>
  <c r="AZ14" i="2"/>
  <c r="AZ15" i="2"/>
  <c r="AZ16" i="2"/>
  <c r="AZ17" i="2"/>
  <c r="AZ18" i="2"/>
  <c r="AZ19" i="2"/>
  <c r="AZ20" i="2"/>
  <c r="AZ21" i="2"/>
  <c r="AZ22" i="2"/>
  <c r="AZ23" i="2"/>
  <c r="AZ24" i="2"/>
  <c r="AZ25" i="2"/>
  <c r="AZ26" i="2"/>
  <c r="AZ27" i="2"/>
  <c r="AZ28" i="2"/>
  <c r="AZ29" i="2"/>
  <c r="AZ30" i="2"/>
  <c r="AZ31" i="2"/>
  <c r="AZ32" i="2"/>
  <c r="AZ33" i="2"/>
  <c r="AZ34" i="2"/>
  <c r="AZ35" i="2"/>
  <c r="AZ36" i="2"/>
  <c r="AZ37" i="2"/>
  <c r="AZ38" i="2"/>
  <c r="AZ39" i="2"/>
  <c r="AZ40" i="2"/>
  <c r="AZ41" i="2"/>
  <c r="AZ42" i="2"/>
  <c r="AZ43" i="2"/>
  <c r="AZ44" i="2"/>
  <c r="AZ45" i="2"/>
  <c r="AZ46" i="2"/>
  <c r="AZ47" i="2"/>
  <c r="AZ48" i="2"/>
  <c r="AZ49" i="2"/>
  <c r="AZ50" i="2"/>
  <c r="AZ51" i="2"/>
  <c r="AZ52" i="2"/>
  <c r="AZ53" i="2"/>
  <c r="AZ54" i="2"/>
  <c r="AZ55" i="2"/>
  <c r="AZ56" i="2"/>
  <c r="AZ57" i="2"/>
  <c r="AZ58" i="2"/>
  <c r="AZ59" i="2"/>
  <c r="AZ60" i="2"/>
  <c r="AZ61" i="2"/>
  <c r="AZ62" i="2"/>
  <c r="AZ63" i="2"/>
  <c r="AZ64" i="2"/>
  <c r="AZ65" i="2"/>
  <c r="AZ66" i="2"/>
  <c r="AZ67" i="2"/>
  <c r="AZ68" i="2"/>
  <c r="AZ69" i="2"/>
  <c r="AZ70" i="2"/>
  <c r="AZ71" i="2"/>
  <c r="AZ72" i="2"/>
  <c r="AZ73" i="2"/>
  <c r="AZ74" i="2"/>
  <c r="AZ75" i="2"/>
  <c r="AZ76" i="2"/>
  <c r="AZ77" i="2"/>
  <c r="AZ78" i="2"/>
  <c r="AZ79" i="2"/>
  <c r="AZ80" i="2"/>
  <c r="AZ81" i="2"/>
  <c r="AZ82" i="2"/>
  <c r="AZ83" i="2"/>
  <c r="AZ84" i="2"/>
  <c r="AZ85" i="2"/>
  <c r="AZ86" i="2"/>
  <c r="AZ87" i="2"/>
  <c r="AZ88" i="2"/>
  <c r="AZ89" i="2"/>
  <c r="AZ90" i="2"/>
  <c r="AZ91" i="2"/>
  <c r="AZ92" i="2"/>
  <c r="AZ93" i="2"/>
  <c r="AZ94" i="2"/>
  <c r="AZ95" i="2"/>
  <c r="AZ96" i="2"/>
  <c r="AZ97" i="2"/>
  <c r="AZ98" i="2"/>
  <c r="AZ99" i="2"/>
  <c r="AZ100" i="2"/>
  <c r="AZ101" i="2"/>
  <c r="AZ102" i="2"/>
  <c r="AZ103" i="2"/>
  <c r="AZ104" i="2"/>
  <c r="AZ105" i="2"/>
  <c r="AZ106" i="2"/>
  <c r="AZ107" i="2"/>
  <c r="AZ108" i="2"/>
  <c r="AZ109" i="2"/>
  <c r="AZ110" i="2"/>
  <c r="AZ111" i="2"/>
  <c r="AZ112" i="2"/>
  <c r="AZ113" i="2"/>
  <c r="AZ114" i="2"/>
  <c r="AZ115" i="2"/>
  <c r="AZ116" i="2"/>
  <c r="AZ117" i="2"/>
  <c r="AZ118" i="2"/>
  <c r="AZ119" i="2"/>
  <c r="AZ120" i="2"/>
  <c r="AZ121" i="2"/>
  <c r="AZ122" i="2"/>
  <c r="AZ123" i="2"/>
  <c r="AZ124" i="2"/>
  <c r="AZ125" i="2"/>
  <c r="AZ126" i="2"/>
  <c r="AZ127" i="2"/>
  <c r="AZ128" i="2"/>
  <c r="AZ129" i="2"/>
  <c r="AZ130" i="2"/>
  <c r="AZ131" i="2"/>
  <c r="AZ132" i="2"/>
  <c r="AZ133" i="2"/>
  <c r="AZ134" i="2"/>
  <c r="AZ135" i="2"/>
  <c r="AZ136" i="2"/>
  <c r="AZ137" i="2"/>
  <c r="AZ138" i="2"/>
  <c r="AZ139" i="2"/>
  <c r="AZ140" i="2"/>
  <c r="AZ141" i="2"/>
  <c r="AZ142" i="2"/>
  <c r="AZ143" i="2"/>
  <c r="AZ144" i="2"/>
  <c r="AZ145" i="2"/>
  <c r="AZ146" i="2"/>
  <c r="AZ147" i="2"/>
  <c r="AZ148" i="2"/>
  <c r="AZ149" i="2"/>
  <c r="AZ150" i="2"/>
  <c r="AZ151" i="2"/>
  <c r="AZ152" i="2"/>
  <c r="AZ153" i="2"/>
  <c r="AZ154" i="2"/>
  <c r="AZ155" i="2"/>
  <c r="AZ156" i="2"/>
  <c r="AZ157" i="2"/>
  <c r="AZ158" i="2"/>
  <c r="AZ159" i="2"/>
  <c r="AZ160" i="2"/>
  <c r="AZ161" i="2"/>
  <c r="AZ162" i="2"/>
  <c r="AZ163" i="2"/>
  <c r="AZ164" i="2"/>
  <c r="AZ165" i="2"/>
  <c r="AZ166" i="2"/>
  <c r="AZ167" i="2"/>
  <c r="AZ168" i="2"/>
  <c r="AZ169" i="2"/>
  <c r="AZ170" i="2"/>
  <c r="AZ171" i="2"/>
  <c r="AZ172" i="2"/>
  <c r="AZ173" i="2"/>
  <c r="AZ174" i="2"/>
  <c r="AZ175" i="2"/>
  <c r="AZ176" i="2"/>
  <c r="AZ177" i="2"/>
  <c r="AZ178" i="2"/>
  <c r="AZ179" i="2"/>
  <c r="AZ180" i="2"/>
  <c r="AZ181" i="2"/>
  <c r="AZ182" i="2"/>
  <c r="AZ183" i="2"/>
  <c r="AZ184" i="2"/>
  <c r="AZ185" i="2"/>
  <c r="AZ186" i="2"/>
  <c r="AZ187" i="2"/>
  <c r="AZ188" i="2"/>
  <c r="AZ189" i="2"/>
  <c r="AZ190" i="2"/>
  <c r="AZ191" i="2"/>
  <c r="AZ192" i="2"/>
  <c r="AZ193" i="2"/>
  <c r="AZ194" i="2"/>
  <c r="AZ195" i="2"/>
  <c r="AZ196" i="2"/>
  <c r="AZ197" i="2"/>
  <c r="AZ198" i="2"/>
  <c r="AZ199" i="2"/>
  <c r="AZ200" i="2"/>
  <c r="AZ201" i="2"/>
  <c r="AZ202" i="2"/>
  <c r="AZ203" i="2"/>
  <c r="AZ204" i="2"/>
  <c r="AZ205" i="2"/>
  <c r="AZ206" i="2"/>
  <c r="AZ207" i="2"/>
  <c r="AZ208" i="2"/>
  <c r="AZ209" i="2"/>
  <c r="AZ210" i="2"/>
  <c r="AZ211" i="2"/>
  <c r="AZ212" i="2"/>
  <c r="AZ213" i="2"/>
  <c r="AZ214" i="2"/>
  <c r="AZ215" i="2"/>
  <c r="AZ216" i="2"/>
  <c r="AZ217" i="2"/>
  <c r="AZ218" i="2"/>
  <c r="AZ219" i="2"/>
  <c r="AZ220" i="2"/>
  <c r="AZ221" i="2"/>
  <c r="AZ222" i="2"/>
  <c r="AZ223" i="2"/>
  <c r="AZ224" i="2"/>
  <c r="AZ225" i="2"/>
  <c r="AZ226" i="2"/>
  <c r="AZ227" i="2"/>
  <c r="AZ228" i="2"/>
  <c r="AZ229" i="2"/>
  <c r="AZ230" i="2"/>
  <c r="AZ231" i="2"/>
  <c r="AZ232" i="2"/>
  <c r="AZ233" i="2"/>
  <c r="AZ234" i="2"/>
  <c r="AZ235" i="2"/>
  <c r="AZ236" i="2"/>
  <c r="AZ237" i="2"/>
  <c r="AZ238" i="2"/>
  <c r="AZ239" i="2"/>
  <c r="AZ240" i="2"/>
  <c r="AZ241" i="2"/>
  <c r="AZ242" i="2"/>
  <c r="AZ243" i="2"/>
  <c r="AZ244" i="2"/>
  <c r="AZ245" i="2"/>
  <c r="AZ246" i="2"/>
  <c r="AZ247" i="2"/>
  <c r="AZ248" i="2"/>
  <c r="AZ249" i="2"/>
  <c r="AZ250" i="2"/>
  <c r="AZ251" i="2"/>
  <c r="AZ252" i="2"/>
  <c r="AZ253" i="2"/>
  <c r="AZ254" i="2"/>
  <c r="AZ255" i="2"/>
  <c r="AZ256" i="2"/>
  <c r="AZ257" i="2"/>
  <c r="AZ258" i="2"/>
  <c r="AZ259" i="2"/>
  <c r="AZ260" i="2"/>
  <c r="AZ261" i="2"/>
  <c r="AZ262" i="2"/>
  <c r="AZ263" i="2"/>
  <c r="AZ264" i="2"/>
  <c r="AZ265" i="2"/>
  <c r="AZ266" i="2"/>
  <c r="AZ267" i="2"/>
  <c r="AZ268" i="2"/>
  <c r="AZ269" i="2"/>
  <c r="AZ270" i="2"/>
  <c r="AZ271" i="2"/>
  <c r="AZ272" i="2"/>
  <c r="AZ273" i="2"/>
  <c r="AZ274" i="2"/>
  <c r="AZ275" i="2"/>
  <c r="AZ276" i="2"/>
  <c r="AZ277" i="2"/>
  <c r="AZ278" i="2"/>
  <c r="AZ279" i="2"/>
  <c r="AZ280" i="2"/>
  <c r="AZ281" i="2"/>
  <c r="AZ282" i="2"/>
  <c r="AZ283" i="2"/>
  <c r="AZ284" i="2"/>
  <c r="AZ285" i="2"/>
  <c r="AZ286" i="2"/>
  <c r="AZ287" i="2"/>
  <c r="AZ288" i="2"/>
  <c r="AZ289" i="2"/>
  <c r="AZ290" i="2"/>
  <c r="AZ291" i="2"/>
  <c r="AZ292" i="2"/>
  <c r="AZ293" i="2"/>
  <c r="AZ294" i="2"/>
  <c r="AZ295" i="2"/>
  <c r="AZ296" i="2"/>
  <c r="AZ297" i="2"/>
  <c r="AZ298" i="2"/>
  <c r="AZ299" i="2"/>
  <c r="AZ300" i="2"/>
  <c r="AZ301" i="2"/>
  <c r="AZ302" i="2"/>
  <c r="AZ303" i="2"/>
  <c r="AZ304" i="2"/>
  <c r="AZ305" i="2"/>
  <c r="AZ306" i="2"/>
  <c r="AZ307" i="2"/>
  <c r="AZ308" i="2"/>
  <c r="AZ309" i="2"/>
  <c r="AZ310" i="2"/>
  <c r="AZ311" i="2"/>
  <c r="AZ312" i="2"/>
  <c r="AZ313" i="2"/>
  <c r="AZ314" i="2"/>
  <c r="AZ315" i="2"/>
  <c r="AZ316" i="2"/>
  <c r="AZ317" i="2"/>
  <c r="AZ318" i="2"/>
  <c r="AZ319" i="2"/>
  <c r="AZ320" i="2"/>
  <c r="AZ321" i="2"/>
  <c r="AZ322" i="2"/>
  <c r="AZ323" i="2"/>
  <c r="AZ324" i="2"/>
  <c r="AZ325" i="2"/>
  <c r="AZ326" i="2"/>
  <c r="AZ327" i="2"/>
  <c r="AZ328" i="2"/>
  <c r="AZ329" i="2"/>
  <c r="AZ330" i="2"/>
  <c r="AZ331" i="2"/>
  <c r="AZ332" i="2"/>
  <c r="AZ333" i="2"/>
  <c r="AZ334" i="2"/>
  <c r="AZ335" i="2"/>
  <c r="AZ336" i="2"/>
  <c r="AZ337" i="2"/>
  <c r="AZ338" i="2"/>
  <c r="AZ339" i="2"/>
  <c r="AZ340" i="2"/>
  <c r="AZ341" i="2"/>
  <c r="AZ342" i="2"/>
  <c r="AZ343" i="2"/>
  <c r="AZ344" i="2"/>
  <c r="AZ345" i="2"/>
  <c r="AZ346" i="2"/>
  <c r="AZ347" i="2"/>
  <c r="AZ348" i="2"/>
  <c r="AZ349" i="2"/>
  <c r="AZ350" i="2"/>
  <c r="AZ351" i="2"/>
  <c r="AZ352" i="2"/>
  <c r="AZ353" i="2"/>
  <c r="AZ354" i="2"/>
  <c r="AZ355" i="2"/>
  <c r="AZ356" i="2"/>
  <c r="AZ357" i="2"/>
  <c r="AZ358" i="2"/>
  <c r="AZ359" i="2"/>
  <c r="AZ360" i="2"/>
  <c r="AZ361" i="2"/>
  <c r="AZ362" i="2"/>
  <c r="AZ363" i="2"/>
  <c r="AZ364" i="2"/>
  <c r="AZ365" i="2"/>
  <c r="AZ366" i="2"/>
  <c r="AZ367" i="2"/>
  <c r="AZ368" i="2"/>
  <c r="AZ369" i="2"/>
  <c r="AZ370" i="2"/>
  <c r="AZ371" i="2"/>
  <c r="AZ372" i="2"/>
  <c r="AZ373" i="2"/>
  <c r="AZ374" i="2"/>
  <c r="AZ375" i="2"/>
  <c r="AZ376" i="2"/>
  <c r="AZ377" i="2"/>
  <c r="AZ378" i="2"/>
  <c r="AZ379" i="2"/>
  <c r="AZ380" i="2"/>
  <c r="AZ381" i="2"/>
  <c r="AZ382" i="2"/>
  <c r="AZ383" i="2"/>
  <c r="AZ384" i="2"/>
  <c r="AZ385" i="2"/>
  <c r="AZ386" i="2"/>
  <c r="AZ387" i="2"/>
  <c r="AZ388" i="2"/>
  <c r="AZ389" i="2"/>
  <c r="AZ390" i="2"/>
  <c r="AZ391" i="2"/>
  <c r="AZ392" i="2"/>
  <c r="AZ393" i="2"/>
  <c r="AZ394" i="2"/>
  <c r="AZ395" i="2"/>
  <c r="AZ396" i="2"/>
  <c r="AZ397" i="2"/>
  <c r="AZ398" i="2"/>
  <c r="AZ399" i="2"/>
  <c r="AZ400" i="2"/>
  <c r="AZ401" i="2"/>
  <c r="AZ402" i="2"/>
  <c r="AZ403" i="2"/>
  <c r="AZ404" i="2"/>
  <c r="AZ405" i="2"/>
  <c r="AZ406" i="2"/>
  <c r="AZ407" i="2"/>
  <c r="AZ408" i="2"/>
  <c r="AZ409" i="2"/>
  <c r="AZ410" i="2"/>
  <c r="AZ411" i="2"/>
  <c r="AZ412" i="2"/>
  <c r="AZ413" i="2"/>
  <c r="AZ414" i="2"/>
  <c r="AZ415" i="2"/>
  <c r="AZ416" i="2"/>
  <c r="AZ417" i="2"/>
  <c r="AZ418" i="2"/>
  <c r="AZ419" i="2"/>
  <c r="AZ420" i="2"/>
  <c r="AZ421" i="2"/>
  <c r="AZ422" i="2"/>
  <c r="AZ423" i="2"/>
  <c r="AZ424" i="2"/>
  <c r="AZ425" i="2"/>
  <c r="AZ426" i="2"/>
  <c r="AZ427" i="2"/>
  <c r="AZ428" i="2"/>
  <c r="AZ429" i="2"/>
  <c r="AZ430" i="2"/>
  <c r="AZ431" i="2"/>
  <c r="AZ432" i="2"/>
  <c r="AZ433" i="2"/>
  <c r="AZ434" i="2"/>
  <c r="AZ435" i="2"/>
  <c r="AZ436" i="2"/>
  <c r="AZ437" i="2"/>
  <c r="AZ438" i="2"/>
  <c r="AZ439" i="2"/>
  <c r="AZ440" i="2"/>
  <c r="AZ441" i="2"/>
  <c r="AZ442" i="2"/>
  <c r="AZ443" i="2"/>
  <c r="AZ444" i="2"/>
  <c r="AZ445" i="2"/>
  <c r="AZ446" i="2"/>
  <c r="AZ447" i="2"/>
  <c r="AZ448" i="2"/>
  <c r="AZ449" i="2"/>
  <c r="AZ450" i="2"/>
  <c r="AZ451" i="2"/>
  <c r="AZ452" i="2"/>
  <c r="AZ453" i="2"/>
  <c r="AZ454" i="2"/>
  <c r="AZ455" i="2"/>
  <c r="AZ456" i="2"/>
  <c r="AZ457" i="2"/>
  <c r="AZ458" i="2"/>
  <c r="AZ459" i="2"/>
  <c r="AZ460" i="2"/>
  <c r="AZ461" i="2"/>
  <c r="AZ462" i="2"/>
  <c r="AZ463" i="2"/>
  <c r="AZ464" i="2"/>
  <c r="AZ465" i="2"/>
  <c r="AZ466" i="2"/>
  <c r="AZ467" i="2"/>
  <c r="AZ468" i="2"/>
  <c r="AZ469" i="2"/>
  <c r="AZ470" i="2"/>
  <c r="AZ471" i="2"/>
  <c r="AZ472" i="2"/>
  <c r="AZ473" i="2"/>
  <c r="AZ474" i="2"/>
  <c r="AZ475" i="2"/>
  <c r="AZ476" i="2"/>
  <c r="AZ477" i="2"/>
  <c r="AZ478" i="2"/>
  <c r="AZ479" i="2"/>
  <c r="AZ480" i="2"/>
  <c r="AZ481" i="2"/>
  <c r="AZ482" i="2"/>
  <c r="AZ483" i="2"/>
  <c r="AZ484" i="2"/>
  <c r="AZ485" i="2"/>
  <c r="AZ486" i="2"/>
  <c r="AZ487" i="2"/>
  <c r="AZ488" i="2"/>
  <c r="AZ489" i="2"/>
  <c r="AZ490" i="2"/>
  <c r="AZ491" i="2"/>
  <c r="AZ492" i="2"/>
  <c r="AZ493" i="2"/>
  <c r="AZ494" i="2"/>
  <c r="AZ495" i="2"/>
  <c r="AZ496" i="2"/>
  <c r="AZ497" i="2"/>
  <c r="AZ498" i="2"/>
  <c r="AZ499" i="2"/>
  <c r="AZ500" i="2"/>
  <c r="AZ501" i="2"/>
  <c r="AZ502" i="2"/>
  <c r="AZ503" i="2"/>
  <c r="AZ504" i="2"/>
  <c r="AZ505" i="2"/>
  <c r="AZ506" i="2"/>
  <c r="AZ507" i="2"/>
  <c r="AZ508" i="2"/>
  <c r="AZ509" i="2"/>
  <c r="AZ510" i="2"/>
  <c r="AZ511" i="2"/>
  <c r="AZ512" i="2"/>
  <c r="AZ513" i="2"/>
  <c r="AZ514" i="2"/>
  <c r="AZ515" i="2"/>
  <c r="AZ516" i="2"/>
  <c r="AZ517" i="2"/>
  <c r="AZ518" i="2"/>
  <c r="AZ519" i="2"/>
  <c r="AZ520" i="2"/>
  <c r="AZ521" i="2"/>
  <c r="AZ522" i="2"/>
  <c r="AZ523" i="2"/>
  <c r="AZ524" i="2"/>
  <c r="AZ525" i="2"/>
  <c r="AZ526" i="2"/>
  <c r="AZ527" i="2"/>
  <c r="AZ528" i="2"/>
  <c r="AZ529" i="2"/>
  <c r="AZ530" i="2"/>
  <c r="AZ531" i="2"/>
  <c r="AZ532" i="2"/>
  <c r="AZ533" i="2"/>
  <c r="AZ534" i="2"/>
  <c r="AZ535" i="2"/>
  <c r="AZ536" i="2"/>
  <c r="AZ537" i="2"/>
  <c r="AZ538" i="2"/>
  <c r="AZ539" i="2"/>
  <c r="AZ540" i="2"/>
  <c r="AZ541" i="2"/>
  <c r="AZ542" i="2"/>
  <c r="AZ543" i="2"/>
  <c r="AZ544" i="2"/>
  <c r="AZ545" i="2"/>
  <c r="AZ546" i="2"/>
  <c r="AZ547" i="2"/>
  <c r="AZ548" i="2"/>
  <c r="AZ549" i="2"/>
  <c r="AZ550" i="2"/>
  <c r="AZ551" i="2"/>
  <c r="AZ552" i="2"/>
  <c r="AZ553" i="2"/>
  <c r="AZ554" i="2"/>
  <c r="AZ555" i="2"/>
  <c r="AZ556" i="2"/>
  <c r="AZ557" i="2"/>
  <c r="AZ558" i="2"/>
  <c r="AZ559" i="2"/>
  <c r="AZ560" i="2"/>
  <c r="AZ561" i="2"/>
  <c r="AZ562" i="2"/>
  <c r="AZ563" i="2"/>
  <c r="AZ564" i="2"/>
  <c r="AZ565" i="2"/>
  <c r="AZ566" i="2"/>
  <c r="AZ567" i="2"/>
  <c r="AZ568" i="2"/>
  <c r="AZ569" i="2"/>
  <c r="AZ570" i="2"/>
  <c r="AZ571" i="2"/>
  <c r="AZ572" i="2"/>
  <c r="AZ573" i="2"/>
  <c r="AZ574" i="2"/>
  <c r="AZ575" i="2"/>
  <c r="AZ576" i="2"/>
  <c r="AZ577" i="2"/>
  <c r="AZ578" i="2"/>
  <c r="AZ579" i="2"/>
  <c r="AZ580" i="2"/>
  <c r="AZ581" i="2"/>
  <c r="AZ582" i="2"/>
  <c r="AZ583" i="2"/>
  <c r="AZ584" i="2"/>
  <c r="AZ585" i="2"/>
  <c r="AZ586" i="2"/>
  <c r="AZ587" i="2"/>
  <c r="AZ588" i="2"/>
  <c r="AZ589" i="2"/>
  <c r="AZ590" i="2"/>
  <c r="AZ591" i="2"/>
  <c r="AZ592" i="2"/>
  <c r="AZ593" i="2"/>
  <c r="AZ594" i="2"/>
  <c r="AZ595" i="2"/>
  <c r="AZ596" i="2"/>
  <c r="AZ597" i="2"/>
  <c r="AZ598" i="2"/>
  <c r="AZ599" i="2"/>
  <c r="AZ600" i="2"/>
  <c r="AZ601" i="2"/>
  <c r="AZ602" i="2"/>
  <c r="AZ603" i="2"/>
  <c r="AZ604" i="2"/>
  <c r="AZ605" i="2"/>
  <c r="AZ606" i="2"/>
  <c r="AZ607" i="2"/>
  <c r="AZ608" i="2"/>
  <c r="AZ609" i="2"/>
  <c r="AZ610" i="2"/>
  <c r="AZ611" i="2"/>
  <c r="AZ612" i="2"/>
  <c r="AZ613" i="2"/>
  <c r="AZ614" i="2"/>
  <c r="AZ615" i="2"/>
  <c r="AZ616" i="2"/>
  <c r="AZ617" i="2"/>
  <c r="AZ618" i="2"/>
  <c r="AZ619" i="2"/>
  <c r="AZ620" i="2"/>
  <c r="AZ621" i="2"/>
  <c r="AZ622" i="2"/>
  <c r="AZ623" i="2"/>
  <c r="AZ624" i="2"/>
  <c r="AZ625" i="2"/>
  <c r="AZ626" i="2"/>
  <c r="AZ627" i="2"/>
  <c r="AZ628" i="2"/>
  <c r="AZ629" i="2"/>
  <c r="AZ630" i="2"/>
  <c r="AZ631" i="2"/>
  <c r="AZ632" i="2"/>
  <c r="AZ633" i="2"/>
  <c r="AZ634" i="2"/>
  <c r="AZ635" i="2"/>
  <c r="AZ636" i="2"/>
  <c r="AZ637" i="2"/>
  <c r="AZ638" i="2"/>
  <c r="AZ639" i="2"/>
  <c r="AZ640" i="2"/>
  <c r="AZ641" i="2"/>
  <c r="AZ642" i="2"/>
  <c r="AZ643" i="2"/>
  <c r="AZ644" i="2"/>
  <c r="AZ645" i="2"/>
  <c r="AZ646" i="2"/>
  <c r="AZ647" i="2"/>
  <c r="AZ648" i="2"/>
  <c r="AZ649" i="2"/>
  <c r="AZ650" i="2"/>
  <c r="AZ651" i="2"/>
  <c r="AZ652" i="2"/>
  <c r="AZ653" i="2"/>
  <c r="AZ654" i="2"/>
  <c r="AZ655" i="2"/>
  <c r="AZ656" i="2"/>
  <c r="AZ657" i="2"/>
  <c r="AZ658" i="2"/>
  <c r="AZ659" i="2"/>
  <c r="AZ660" i="2"/>
  <c r="AZ661" i="2"/>
  <c r="AZ662" i="2"/>
  <c r="AZ663" i="2"/>
  <c r="AZ664" i="2"/>
  <c r="AZ665" i="2"/>
  <c r="AZ666" i="2"/>
  <c r="AZ667" i="2"/>
  <c r="AZ668" i="2"/>
  <c r="AZ669" i="2"/>
  <c r="AZ670" i="2"/>
  <c r="AZ671" i="2"/>
  <c r="AZ672" i="2"/>
  <c r="AZ673" i="2"/>
  <c r="AZ674" i="2"/>
  <c r="AZ675" i="2"/>
  <c r="AZ676" i="2"/>
  <c r="AZ677" i="2"/>
  <c r="AZ678" i="2"/>
  <c r="AZ679" i="2"/>
  <c r="AZ680" i="2"/>
  <c r="AZ681" i="2"/>
  <c r="AZ682" i="2"/>
  <c r="AZ683" i="2"/>
  <c r="AZ684" i="2"/>
  <c r="AZ685" i="2"/>
  <c r="AZ686" i="2"/>
  <c r="AZ687" i="2"/>
  <c r="AZ688" i="2"/>
  <c r="AZ689" i="2"/>
  <c r="AZ690" i="2"/>
  <c r="AZ691" i="2"/>
  <c r="AZ692" i="2"/>
  <c r="AZ693" i="2"/>
  <c r="AZ694" i="2"/>
  <c r="AZ695" i="2"/>
  <c r="AZ696" i="2"/>
  <c r="AZ697" i="2"/>
  <c r="AZ698" i="2"/>
  <c r="AZ699" i="2"/>
  <c r="AZ700" i="2"/>
  <c r="AZ701" i="2"/>
  <c r="AZ702" i="2"/>
  <c r="AZ703" i="2"/>
  <c r="AZ704" i="2"/>
  <c r="AZ705" i="2"/>
  <c r="AZ706" i="2"/>
  <c r="AZ707" i="2"/>
  <c r="AZ708" i="2"/>
  <c r="AZ709" i="2"/>
  <c r="AZ710" i="2"/>
  <c r="AZ711" i="2"/>
  <c r="AZ712" i="2"/>
  <c r="AZ713" i="2"/>
  <c r="AZ714" i="2"/>
  <c r="AZ715" i="2"/>
  <c r="AZ716" i="2"/>
  <c r="AZ717" i="2"/>
  <c r="AZ718" i="2"/>
  <c r="AZ719" i="2"/>
  <c r="AZ720" i="2"/>
  <c r="AZ721" i="2"/>
  <c r="AZ722" i="2"/>
  <c r="AZ723" i="2"/>
  <c r="AZ724" i="2"/>
  <c r="AZ725" i="2"/>
  <c r="AZ726" i="2"/>
  <c r="AZ727" i="2"/>
  <c r="AZ728" i="2"/>
  <c r="AZ729" i="2"/>
  <c r="AZ730" i="2"/>
  <c r="AZ731" i="2"/>
  <c r="AZ732" i="2"/>
  <c r="AZ733" i="2"/>
  <c r="AZ734" i="2"/>
  <c r="AZ735" i="2"/>
  <c r="AZ736" i="2"/>
  <c r="AZ737" i="2"/>
  <c r="AZ738" i="2"/>
  <c r="AZ739" i="2"/>
  <c r="AZ740" i="2"/>
  <c r="AZ741" i="2"/>
  <c r="AZ742" i="2"/>
  <c r="AZ743" i="2"/>
  <c r="AZ744" i="2"/>
  <c r="AZ745" i="2"/>
  <c r="AZ746" i="2"/>
  <c r="AZ747" i="2"/>
  <c r="AZ748" i="2"/>
  <c r="AZ749" i="2"/>
  <c r="AZ750" i="2"/>
  <c r="AZ751" i="2"/>
  <c r="AZ752" i="2"/>
  <c r="AZ753" i="2"/>
  <c r="AZ754" i="2"/>
  <c r="AZ755" i="2"/>
  <c r="AZ756" i="2"/>
  <c r="AZ757" i="2"/>
  <c r="AZ758" i="2"/>
  <c r="AZ759" i="2"/>
  <c r="AZ760" i="2"/>
  <c r="AZ761" i="2"/>
  <c r="AZ762" i="2"/>
  <c r="AZ763" i="2"/>
  <c r="AZ764" i="2"/>
  <c r="AZ765" i="2"/>
  <c r="AZ766" i="2"/>
  <c r="AZ767" i="2"/>
  <c r="AZ768" i="2"/>
  <c r="AZ769" i="2"/>
  <c r="AZ770" i="2"/>
  <c r="AZ771" i="2"/>
  <c r="AZ772" i="2"/>
  <c r="AZ773" i="2"/>
  <c r="AZ774" i="2"/>
  <c r="AZ775" i="2"/>
  <c r="AZ776" i="2"/>
  <c r="AZ777" i="2"/>
  <c r="AZ778" i="2"/>
  <c r="AZ779" i="2"/>
  <c r="AZ780" i="2"/>
  <c r="AZ781" i="2"/>
  <c r="AZ782" i="2"/>
  <c r="AZ783" i="2"/>
  <c r="AZ784" i="2"/>
  <c r="AZ785" i="2"/>
  <c r="AZ786" i="2"/>
  <c r="AZ787" i="2"/>
  <c r="AZ788" i="2"/>
  <c r="AZ789" i="2"/>
  <c r="AZ790" i="2"/>
  <c r="AZ791" i="2"/>
  <c r="AZ792" i="2"/>
  <c r="AZ793" i="2"/>
  <c r="AZ794" i="2"/>
  <c r="AZ795" i="2"/>
  <c r="AZ796" i="2"/>
  <c r="AZ797" i="2"/>
  <c r="AZ798" i="2"/>
  <c r="AZ799" i="2"/>
  <c r="AZ800" i="2"/>
  <c r="AZ801" i="2"/>
  <c r="AZ802" i="2"/>
  <c r="AZ803" i="2"/>
  <c r="AZ804" i="2"/>
  <c r="AZ805" i="2"/>
  <c r="AZ806" i="2"/>
  <c r="AZ807" i="2"/>
  <c r="AZ808" i="2"/>
  <c r="AZ809" i="2"/>
  <c r="AZ810" i="2"/>
  <c r="AZ811" i="2"/>
  <c r="AZ812" i="2"/>
  <c r="AZ813" i="2"/>
  <c r="AZ814" i="2"/>
  <c r="AZ815" i="2"/>
  <c r="AZ816" i="2"/>
  <c r="AZ817" i="2"/>
  <c r="AZ818" i="2"/>
  <c r="AZ819" i="2"/>
  <c r="AZ820" i="2"/>
  <c r="AZ821" i="2"/>
  <c r="AZ822" i="2"/>
  <c r="AZ823" i="2"/>
  <c r="AZ824" i="2"/>
  <c r="AZ825" i="2"/>
  <c r="AZ826" i="2"/>
  <c r="AZ827" i="2"/>
  <c r="AZ828" i="2"/>
  <c r="AZ829" i="2"/>
  <c r="AZ830" i="2"/>
  <c r="AZ831" i="2"/>
  <c r="AZ832" i="2"/>
  <c r="AZ833" i="2"/>
  <c r="AZ834" i="2"/>
  <c r="AZ835" i="2"/>
  <c r="AZ836" i="2"/>
  <c r="AZ837" i="2"/>
  <c r="AZ838" i="2"/>
  <c r="AZ839" i="2"/>
  <c r="AZ840" i="2"/>
  <c r="AZ841" i="2"/>
  <c r="AZ842" i="2"/>
  <c r="AZ843" i="2"/>
  <c r="AZ844" i="2"/>
  <c r="AZ845" i="2"/>
  <c r="AZ846" i="2"/>
  <c r="AZ847" i="2"/>
  <c r="AZ848" i="2"/>
  <c r="AZ849" i="2"/>
  <c r="AZ850" i="2"/>
  <c r="AZ851" i="2"/>
  <c r="AZ852" i="2"/>
  <c r="AZ853" i="2"/>
  <c r="AZ854" i="2"/>
  <c r="AZ855" i="2"/>
  <c r="AZ856" i="2"/>
  <c r="AZ857" i="2"/>
  <c r="AZ858" i="2"/>
  <c r="AZ859" i="2"/>
  <c r="AZ860" i="2"/>
  <c r="AZ861" i="2"/>
  <c r="AZ862" i="2"/>
  <c r="AZ863" i="2"/>
  <c r="AZ864" i="2"/>
  <c r="AZ865" i="2"/>
  <c r="AZ866" i="2"/>
  <c r="AZ867" i="2"/>
  <c r="AZ868" i="2"/>
  <c r="AZ869" i="2"/>
  <c r="AZ870" i="2"/>
  <c r="AZ871" i="2"/>
  <c r="AZ872" i="2"/>
  <c r="AZ873" i="2"/>
  <c r="AZ874" i="2"/>
  <c r="AZ875" i="2"/>
  <c r="AZ876" i="2"/>
  <c r="AZ877" i="2"/>
  <c r="AZ878" i="2"/>
  <c r="AZ879" i="2"/>
  <c r="AZ880" i="2"/>
  <c r="AZ881" i="2"/>
  <c r="AZ882" i="2"/>
  <c r="AZ883" i="2"/>
  <c r="AZ884" i="2"/>
  <c r="AZ885" i="2"/>
  <c r="AZ886" i="2"/>
  <c r="AZ887" i="2"/>
  <c r="AZ888" i="2"/>
  <c r="AZ889" i="2"/>
  <c r="AZ890" i="2"/>
  <c r="AZ891" i="2"/>
  <c r="AZ892" i="2"/>
  <c r="AZ893" i="2"/>
  <c r="AZ894" i="2"/>
  <c r="AZ895" i="2"/>
  <c r="AZ896" i="2"/>
  <c r="AZ897" i="2"/>
  <c r="AZ898" i="2"/>
  <c r="AZ899" i="2"/>
  <c r="AZ900" i="2"/>
  <c r="AZ901" i="2"/>
  <c r="AZ902" i="2"/>
  <c r="AZ903" i="2"/>
  <c r="AZ904" i="2"/>
  <c r="AZ905" i="2"/>
  <c r="AZ906" i="2"/>
  <c r="AZ907" i="2"/>
  <c r="AZ908" i="2"/>
  <c r="AZ909" i="2"/>
  <c r="AZ910" i="2"/>
  <c r="AZ911" i="2"/>
  <c r="AZ912" i="2"/>
  <c r="AZ913" i="2"/>
  <c r="AZ914" i="2"/>
  <c r="AZ915" i="2"/>
  <c r="AZ916" i="2"/>
  <c r="AZ917" i="2"/>
  <c r="AZ918" i="2"/>
  <c r="AZ919" i="2"/>
  <c r="AZ920" i="2"/>
  <c r="AZ921" i="2"/>
  <c r="AZ922" i="2"/>
  <c r="AZ923" i="2"/>
  <c r="AZ924" i="2"/>
  <c r="AZ925" i="2"/>
  <c r="AZ926" i="2"/>
  <c r="AZ927" i="2"/>
  <c r="AZ928" i="2"/>
  <c r="AZ929" i="2"/>
  <c r="AZ930" i="2"/>
  <c r="AZ931" i="2"/>
  <c r="AZ932" i="2"/>
  <c r="AZ933" i="2"/>
  <c r="AZ934" i="2"/>
  <c r="AZ935" i="2"/>
  <c r="AZ936" i="2"/>
  <c r="AZ937" i="2"/>
  <c r="AZ938" i="2"/>
  <c r="AZ939" i="2"/>
  <c r="AZ940" i="2"/>
  <c r="AZ941" i="2"/>
  <c r="AZ942" i="2"/>
  <c r="AZ943" i="2"/>
  <c r="AZ944" i="2"/>
  <c r="AZ945" i="2"/>
  <c r="AZ946" i="2"/>
  <c r="AZ947" i="2"/>
  <c r="AZ948" i="2"/>
  <c r="AZ949" i="2"/>
  <c r="AZ950" i="2"/>
  <c r="AZ951" i="2"/>
  <c r="AZ952" i="2"/>
  <c r="AZ953" i="2"/>
  <c r="AZ954" i="2"/>
  <c r="AZ955" i="2"/>
  <c r="AZ956" i="2"/>
  <c r="AZ957" i="2"/>
  <c r="AZ958" i="2"/>
  <c r="AZ959" i="2"/>
  <c r="AZ960" i="2"/>
  <c r="AZ961" i="2"/>
  <c r="AZ962" i="2"/>
  <c r="AZ963" i="2"/>
  <c r="AZ964" i="2"/>
  <c r="AZ965" i="2"/>
  <c r="AZ966" i="2"/>
  <c r="AZ967" i="2"/>
  <c r="AZ968" i="2"/>
  <c r="AZ969" i="2"/>
  <c r="AZ970" i="2"/>
  <c r="AZ971" i="2"/>
  <c r="AZ972" i="2"/>
  <c r="AZ973" i="2"/>
  <c r="AZ974" i="2"/>
  <c r="AZ975" i="2"/>
  <c r="AZ976" i="2"/>
  <c r="AZ977" i="2"/>
  <c r="AZ978" i="2"/>
  <c r="AZ979" i="2"/>
  <c r="AZ980" i="2"/>
  <c r="AZ981" i="2"/>
  <c r="AZ982" i="2"/>
  <c r="AZ983" i="2"/>
  <c r="AZ984" i="2"/>
  <c r="AZ985" i="2"/>
  <c r="AZ986" i="2"/>
  <c r="AZ987" i="2"/>
  <c r="AZ988" i="2"/>
  <c r="AZ989" i="2"/>
  <c r="AZ990" i="2"/>
  <c r="AZ991" i="2"/>
  <c r="AZ992" i="2"/>
  <c r="AZ993" i="2"/>
  <c r="AZ994" i="2"/>
  <c r="AZ995" i="2"/>
  <c r="AZ996" i="2"/>
  <c r="AZ997" i="2"/>
  <c r="AZ998" i="2"/>
  <c r="AZ999" i="2"/>
  <c r="AZ1000" i="2"/>
  <c r="AZ1001" i="2"/>
  <c r="AZ1002" i="2"/>
  <c r="AZ1003" i="2"/>
  <c r="AZ1004" i="2"/>
  <c r="AZ1005" i="2"/>
  <c r="AZ1006" i="2"/>
  <c r="AZ1007" i="2"/>
  <c r="AZ1008" i="2"/>
  <c r="AZ1009" i="2"/>
  <c r="AZ1010" i="2"/>
  <c r="AZ1011" i="2"/>
  <c r="AZ1012" i="2"/>
  <c r="AZ1013" i="2"/>
  <c r="AZ1014" i="2"/>
  <c r="AZ1015" i="2"/>
  <c r="AZ1016" i="2"/>
  <c r="AZ1017" i="2"/>
  <c r="AZ1018" i="2"/>
  <c r="AZ1019" i="2"/>
  <c r="AZ1020" i="2"/>
  <c r="AZ1021" i="2"/>
  <c r="AZ1022" i="2"/>
  <c r="AZ1023" i="2"/>
  <c r="AZ1024" i="2"/>
  <c r="AZ1025" i="2"/>
  <c r="AZ1026" i="2"/>
  <c r="AZ1027" i="2"/>
  <c r="AZ1028" i="2"/>
  <c r="AZ1029" i="2"/>
  <c r="AZ1030" i="2"/>
  <c r="AZ1031" i="2"/>
  <c r="AZ1032" i="2"/>
  <c r="AZ1033" i="2"/>
  <c r="AZ1034" i="2"/>
  <c r="AZ1035" i="2"/>
  <c r="AZ1036" i="2"/>
  <c r="AZ1037" i="2"/>
  <c r="AZ1038" i="2"/>
  <c r="AZ1039" i="2"/>
  <c r="AZ1040" i="2"/>
  <c r="AZ1041" i="2"/>
  <c r="AZ1042" i="2"/>
  <c r="AZ1043" i="2"/>
  <c r="AZ1044" i="2"/>
  <c r="AZ1045" i="2"/>
  <c r="AZ1046" i="2"/>
  <c r="AZ1047" i="2"/>
  <c r="AZ1048" i="2"/>
  <c r="AZ1049" i="2"/>
  <c r="AZ1050" i="2"/>
  <c r="AZ1051" i="2"/>
  <c r="AZ1052" i="2"/>
  <c r="AZ1053" i="2"/>
  <c r="AZ1054" i="2"/>
  <c r="AZ1055" i="2"/>
  <c r="AZ1056" i="2"/>
  <c r="AZ1057" i="2"/>
  <c r="AZ1058" i="2"/>
  <c r="AZ1059" i="2"/>
  <c r="AZ1060" i="2"/>
  <c r="AZ1061" i="2"/>
  <c r="AZ1062" i="2"/>
  <c r="AZ1063" i="2"/>
  <c r="AZ1064" i="2"/>
  <c r="AZ1065" i="2"/>
  <c r="AZ1066" i="2"/>
  <c r="AZ1067" i="2"/>
  <c r="AZ1068" i="2"/>
  <c r="AZ1069" i="2"/>
  <c r="AZ1070" i="2"/>
  <c r="AZ1071" i="2"/>
  <c r="AZ1072" i="2"/>
  <c r="AZ1073" i="2"/>
  <c r="AZ1074" i="2"/>
  <c r="AZ1075" i="2"/>
  <c r="AZ1076" i="2"/>
  <c r="AZ1077" i="2"/>
  <c r="AZ1078" i="2"/>
  <c r="AZ1079" i="2"/>
  <c r="AZ1080" i="2"/>
  <c r="AZ1081" i="2"/>
  <c r="AZ1082" i="2"/>
  <c r="AZ1083" i="2"/>
  <c r="AZ1084" i="2"/>
  <c r="AZ1085" i="2"/>
  <c r="AZ1086" i="2"/>
  <c r="AZ1087" i="2"/>
  <c r="AZ1088" i="2"/>
  <c r="AZ1089" i="2"/>
  <c r="AZ1090" i="2"/>
  <c r="AZ1091" i="2"/>
  <c r="AZ1092" i="2"/>
  <c r="AZ1093" i="2"/>
  <c r="AZ1094" i="2"/>
  <c r="AZ1095" i="2"/>
  <c r="AZ1096" i="2"/>
  <c r="AZ1097" i="2"/>
  <c r="AZ1098" i="2"/>
  <c r="AZ1099" i="2"/>
  <c r="AZ1100" i="2"/>
  <c r="AZ1101" i="2"/>
  <c r="AZ1102" i="2"/>
  <c r="AZ1103" i="2"/>
  <c r="AZ1104" i="2"/>
  <c r="AZ1105" i="2"/>
  <c r="AZ1106" i="2"/>
  <c r="AZ1107" i="2"/>
  <c r="AZ1108" i="2"/>
  <c r="AZ1109" i="2"/>
  <c r="AZ1110" i="2"/>
  <c r="AZ1111" i="2"/>
  <c r="AZ1112" i="2"/>
  <c r="AZ1113" i="2"/>
  <c r="AZ1114" i="2"/>
  <c r="AZ1115" i="2"/>
  <c r="AZ1116" i="2"/>
  <c r="AZ1117" i="2"/>
  <c r="AZ1118" i="2"/>
  <c r="AZ1119" i="2"/>
  <c r="AZ1120" i="2"/>
  <c r="AZ1121" i="2"/>
  <c r="AZ1122" i="2"/>
  <c r="AZ1123" i="2"/>
  <c r="AZ1124" i="2"/>
  <c r="AZ1125" i="2"/>
  <c r="AZ1126" i="2"/>
  <c r="AZ1127" i="2"/>
  <c r="AZ1128" i="2"/>
  <c r="AZ1129" i="2"/>
  <c r="AZ1130" i="2"/>
  <c r="AZ1131" i="2"/>
  <c r="AZ1132" i="2"/>
  <c r="AZ1133" i="2"/>
  <c r="AZ1134" i="2"/>
  <c r="AZ1135" i="2"/>
  <c r="AZ1136" i="2"/>
  <c r="AZ1137" i="2"/>
  <c r="AZ1138" i="2"/>
  <c r="AZ1139" i="2"/>
  <c r="AZ1140" i="2"/>
  <c r="AZ1141" i="2"/>
  <c r="AZ1142" i="2"/>
  <c r="AZ1143" i="2"/>
  <c r="AZ1144" i="2"/>
  <c r="AZ1145" i="2"/>
  <c r="AZ1146" i="2"/>
  <c r="AZ1147" i="2"/>
  <c r="AZ1148" i="2"/>
  <c r="AZ1149" i="2"/>
  <c r="AZ1150" i="2"/>
  <c r="AZ1151" i="2"/>
  <c r="AZ1152" i="2"/>
  <c r="AZ1153" i="2"/>
  <c r="AZ1154" i="2"/>
  <c r="AZ1155" i="2"/>
  <c r="AZ1156" i="2"/>
  <c r="AZ1157" i="2"/>
  <c r="AZ1158" i="2"/>
  <c r="AZ1159" i="2"/>
  <c r="AZ1160" i="2"/>
  <c r="AZ1161" i="2"/>
  <c r="AZ1162" i="2"/>
  <c r="AZ1163" i="2"/>
  <c r="AZ1164" i="2"/>
  <c r="AZ1165" i="2"/>
  <c r="AZ1166" i="2"/>
  <c r="AZ1167" i="2"/>
  <c r="AZ1168" i="2"/>
  <c r="AZ1169" i="2"/>
  <c r="AZ1170" i="2"/>
  <c r="AZ1171" i="2"/>
  <c r="AZ1172" i="2"/>
  <c r="AZ1173" i="2"/>
  <c r="AZ1174" i="2"/>
  <c r="AZ1175" i="2"/>
  <c r="AZ1176" i="2"/>
  <c r="AZ1177" i="2"/>
  <c r="AZ1178" i="2"/>
  <c r="AZ1179" i="2"/>
  <c r="AZ1180" i="2"/>
  <c r="AZ1181" i="2"/>
  <c r="AZ1182" i="2"/>
  <c r="AZ1183" i="2"/>
  <c r="AZ1184" i="2"/>
  <c r="AZ1185" i="2"/>
  <c r="AZ1186" i="2"/>
  <c r="AZ1187" i="2"/>
  <c r="AZ1188" i="2"/>
  <c r="AZ1189" i="2"/>
  <c r="AZ1190" i="2"/>
  <c r="AZ1191" i="2"/>
  <c r="AZ1192" i="2"/>
  <c r="AZ1193" i="2"/>
  <c r="AZ1194" i="2"/>
  <c r="AZ1195" i="2"/>
  <c r="AZ1196" i="2"/>
  <c r="AZ1197" i="2"/>
  <c r="AZ1198" i="2"/>
  <c r="AZ1199" i="2"/>
  <c r="AZ1200" i="2"/>
  <c r="AZ1201" i="2"/>
  <c r="AZ1202" i="2"/>
  <c r="AZ1203" i="2"/>
  <c r="AZ1204" i="2"/>
  <c r="AZ1205" i="2"/>
  <c r="AZ1206" i="2"/>
  <c r="AZ1207" i="2"/>
  <c r="AZ1208" i="2"/>
  <c r="AZ1209" i="2"/>
  <c r="AZ1210" i="2"/>
  <c r="AZ1211" i="2"/>
  <c r="AZ1212" i="2"/>
  <c r="AZ1213" i="2"/>
  <c r="AZ1214" i="2"/>
  <c r="AZ1215" i="2"/>
  <c r="AZ1216" i="2"/>
  <c r="AZ1217" i="2"/>
  <c r="AZ1218" i="2"/>
  <c r="AZ1219" i="2"/>
  <c r="AZ1220" i="2"/>
  <c r="AZ1221" i="2"/>
  <c r="AZ1222" i="2"/>
  <c r="AZ1223" i="2"/>
  <c r="AZ1224" i="2"/>
  <c r="AZ1225" i="2"/>
  <c r="AZ1226" i="2"/>
  <c r="AZ1227" i="2"/>
  <c r="AZ1228" i="2"/>
  <c r="AZ1229" i="2"/>
  <c r="AZ1230" i="2"/>
  <c r="AZ1231" i="2"/>
  <c r="AZ1232" i="2"/>
  <c r="AZ1233" i="2"/>
  <c r="AZ1234" i="2"/>
  <c r="AZ1235" i="2"/>
  <c r="AZ1236" i="2"/>
  <c r="AZ1237" i="2"/>
  <c r="AZ1238" i="2"/>
  <c r="AZ1239" i="2"/>
  <c r="AZ1240" i="2"/>
  <c r="AZ1241" i="2"/>
  <c r="AZ1242" i="2"/>
  <c r="AZ1243" i="2"/>
  <c r="AZ1244" i="2"/>
  <c r="AZ1245" i="2"/>
  <c r="AZ1246" i="2"/>
  <c r="AZ1247" i="2"/>
  <c r="AZ1248" i="2"/>
  <c r="AZ1249" i="2"/>
  <c r="AZ1250" i="2"/>
  <c r="AZ1251" i="2"/>
  <c r="AZ1252" i="2"/>
  <c r="AZ1253" i="2"/>
  <c r="AZ1254" i="2"/>
  <c r="AZ1255" i="2"/>
  <c r="AZ1256" i="2"/>
  <c r="AZ1257" i="2"/>
  <c r="AZ1258" i="2"/>
  <c r="AZ1259" i="2"/>
  <c r="AZ1260" i="2"/>
  <c r="AZ1261" i="2"/>
  <c r="AZ1262" i="2"/>
  <c r="AZ1263" i="2"/>
  <c r="AZ1264" i="2"/>
  <c r="AZ1265" i="2"/>
  <c r="AZ1266" i="2"/>
  <c r="AZ1267" i="2"/>
  <c r="AZ1268" i="2"/>
  <c r="AZ1269" i="2"/>
  <c r="AZ1270" i="2"/>
  <c r="AZ1271" i="2"/>
  <c r="AZ1272" i="2"/>
  <c r="AZ1273" i="2"/>
  <c r="AZ1274" i="2"/>
  <c r="AZ1275" i="2"/>
  <c r="AZ1276" i="2"/>
  <c r="AZ1277" i="2"/>
  <c r="AZ1278" i="2"/>
  <c r="AZ1279" i="2"/>
  <c r="AZ1280" i="2"/>
  <c r="AZ1281" i="2"/>
  <c r="AZ1282" i="2"/>
  <c r="AZ1283" i="2"/>
  <c r="AZ1284" i="2"/>
  <c r="AZ1285" i="2"/>
  <c r="AZ1286" i="2"/>
  <c r="AZ1287" i="2"/>
  <c r="AZ1288" i="2"/>
  <c r="AZ1289" i="2"/>
  <c r="AZ1290" i="2"/>
  <c r="AZ1291" i="2"/>
  <c r="AZ1292" i="2"/>
  <c r="AZ1293" i="2"/>
  <c r="AZ1294" i="2"/>
  <c r="AZ1295" i="2"/>
  <c r="AZ1296" i="2"/>
  <c r="AZ1297" i="2"/>
  <c r="AZ1298" i="2"/>
  <c r="AZ1299" i="2"/>
  <c r="AZ1300" i="2"/>
  <c r="AZ1301" i="2"/>
  <c r="AZ1302" i="2"/>
  <c r="AZ1303" i="2"/>
  <c r="AZ1304" i="2"/>
  <c r="AZ1305" i="2"/>
  <c r="AZ1306" i="2"/>
  <c r="AZ1307" i="2"/>
  <c r="AZ1308" i="2"/>
  <c r="AZ1309" i="2"/>
  <c r="AZ1310" i="2"/>
  <c r="AZ1311" i="2"/>
  <c r="AZ1312" i="2"/>
  <c r="AZ1313" i="2"/>
  <c r="AZ1314" i="2"/>
  <c r="AZ1315" i="2"/>
  <c r="AZ1316" i="2"/>
  <c r="AZ1317" i="2"/>
  <c r="AZ1318" i="2"/>
  <c r="AZ1319" i="2"/>
  <c r="AZ1320" i="2"/>
  <c r="AZ1321" i="2"/>
  <c r="AZ1322" i="2"/>
  <c r="AZ1323" i="2"/>
  <c r="AZ1324" i="2"/>
  <c r="AZ1325" i="2"/>
  <c r="AZ1326" i="2"/>
  <c r="AZ1327" i="2"/>
  <c r="AZ1328" i="2"/>
  <c r="AZ1329" i="2"/>
  <c r="AZ1330" i="2"/>
  <c r="AZ1331" i="2"/>
  <c r="AZ1332" i="2"/>
  <c r="AZ1333" i="2"/>
  <c r="AZ1334" i="2"/>
  <c r="AZ1335" i="2"/>
  <c r="AZ1336" i="2"/>
  <c r="AZ1337" i="2"/>
  <c r="AZ1338" i="2"/>
  <c r="AZ1339" i="2"/>
  <c r="AZ1340" i="2"/>
  <c r="AZ1341" i="2"/>
  <c r="AZ1342" i="2"/>
  <c r="AZ1343" i="2"/>
  <c r="AZ1344" i="2"/>
  <c r="AZ1345" i="2"/>
  <c r="AZ1346" i="2"/>
  <c r="AZ1347" i="2"/>
  <c r="AZ1348" i="2"/>
  <c r="AZ1349" i="2"/>
  <c r="AZ1350" i="2"/>
  <c r="AZ1351" i="2"/>
  <c r="AZ1352" i="2"/>
  <c r="AZ1353" i="2"/>
  <c r="AZ1354" i="2"/>
  <c r="AZ1355" i="2"/>
  <c r="AZ1356" i="2"/>
  <c r="AZ1357" i="2"/>
  <c r="AZ1358" i="2"/>
  <c r="AZ1359" i="2"/>
  <c r="AZ1360" i="2"/>
  <c r="AZ1361" i="2"/>
  <c r="AZ1362" i="2"/>
  <c r="AZ1363" i="2"/>
  <c r="AZ1364" i="2"/>
  <c r="AZ1365" i="2"/>
  <c r="AZ1366" i="2"/>
  <c r="AZ1367" i="2"/>
  <c r="AZ1368" i="2"/>
  <c r="AZ1369" i="2"/>
  <c r="AZ1370" i="2"/>
  <c r="AZ1371" i="2"/>
  <c r="AZ1372" i="2"/>
  <c r="AZ1373" i="2"/>
  <c r="AZ1374" i="2"/>
  <c r="AZ1375" i="2"/>
  <c r="AZ1376" i="2"/>
  <c r="AZ1377" i="2"/>
  <c r="AZ1378" i="2"/>
  <c r="AZ1379" i="2"/>
  <c r="AZ1380" i="2"/>
  <c r="AZ1381" i="2"/>
  <c r="AZ1382" i="2"/>
  <c r="AZ1383" i="2"/>
  <c r="AZ1384" i="2"/>
  <c r="AZ1385" i="2"/>
  <c r="AZ1386" i="2"/>
  <c r="AZ1387" i="2"/>
  <c r="AZ1388" i="2"/>
  <c r="AZ1389" i="2"/>
  <c r="AZ1390" i="2"/>
  <c r="AZ1391" i="2"/>
  <c r="AZ1392" i="2"/>
  <c r="AZ1393" i="2"/>
  <c r="AZ1394" i="2"/>
  <c r="AZ1395" i="2"/>
  <c r="AZ1396" i="2"/>
  <c r="AZ1397" i="2"/>
  <c r="AZ1398" i="2"/>
  <c r="AZ1399" i="2"/>
  <c r="AZ1400" i="2"/>
  <c r="AZ1401" i="2"/>
  <c r="AZ1402" i="2"/>
  <c r="AZ1403" i="2"/>
  <c r="AZ1404" i="2"/>
  <c r="AZ1405" i="2"/>
  <c r="AZ1406" i="2"/>
  <c r="AZ1407" i="2"/>
  <c r="AZ1408" i="2"/>
  <c r="AZ1409" i="2"/>
  <c r="AZ1410" i="2"/>
  <c r="AZ1411" i="2"/>
  <c r="AZ1412" i="2"/>
  <c r="AZ1413" i="2"/>
  <c r="AZ1414" i="2"/>
  <c r="AZ1415" i="2"/>
  <c r="AZ1416" i="2"/>
  <c r="AZ1417" i="2"/>
  <c r="AZ1418" i="2"/>
  <c r="AZ1419" i="2"/>
  <c r="AZ1420" i="2"/>
  <c r="AZ1421" i="2"/>
  <c r="AZ1422" i="2"/>
  <c r="AZ1423" i="2"/>
  <c r="AZ1424" i="2"/>
  <c r="AZ1425" i="2"/>
  <c r="AZ1426" i="2"/>
  <c r="AZ1427" i="2"/>
  <c r="AZ1428" i="2"/>
  <c r="AZ1429" i="2"/>
  <c r="AZ1430" i="2"/>
  <c r="AZ1431" i="2"/>
  <c r="AZ1432" i="2"/>
  <c r="AZ1433" i="2"/>
  <c r="AZ1434" i="2"/>
  <c r="AZ1435" i="2"/>
  <c r="AZ1436" i="2"/>
  <c r="AZ1437" i="2"/>
  <c r="AZ1438" i="2"/>
  <c r="AZ1439" i="2"/>
  <c r="AZ1440" i="2"/>
  <c r="AZ1441" i="2"/>
  <c r="AZ1442" i="2"/>
  <c r="AZ1443" i="2"/>
  <c r="AZ1444" i="2"/>
  <c r="AZ1445" i="2"/>
  <c r="AZ1446" i="2"/>
  <c r="AZ1447" i="2"/>
  <c r="AZ1448" i="2"/>
  <c r="AZ1449" i="2"/>
  <c r="AZ1450" i="2"/>
  <c r="AZ1451" i="2"/>
  <c r="AZ1452" i="2"/>
  <c r="AZ1453" i="2"/>
  <c r="AZ1454" i="2"/>
  <c r="AZ1455" i="2"/>
  <c r="AZ1456" i="2"/>
  <c r="AZ1457" i="2"/>
  <c r="AZ1458" i="2"/>
  <c r="AZ1459" i="2"/>
  <c r="AZ1460" i="2"/>
  <c r="AZ1461" i="2"/>
  <c r="AZ1462" i="2"/>
  <c r="AZ1463" i="2"/>
  <c r="AZ1464" i="2"/>
  <c r="AZ1465" i="2"/>
  <c r="AZ1466" i="2"/>
  <c r="AZ1467" i="2"/>
  <c r="AZ1468" i="2"/>
  <c r="AZ1469" i="2"/>
  <c r="AZ1470" i="2"/>
  <c r="AZ1471" i="2"/>
  <c r="AZ1472" i="2"/>
  <c r="AZ1473" i="2"/>
  <c r="AZ1474" i="2"/>
  <c r="AZ1475" i="2"/>
  <c r="AZ1476" i="2"/>
  <c r="AZ1477" i="2"/>
  <c r="AZ1478" i="2"/>
  <c r="AZ1479" i="2"/>
  <c r="AZ1480" i="2"/>
  <c r="AZ1481" i="2"/>
  <c r="AZ1482" i="2"/>
  <c r="AZ1483" i="2"/>
  <c r="AZ1484" i="2"/>
  <c r="AZ1485" i="2"/>
  <c r="AZ1486" i="2"/>
  <c r="AZ1487" i="2"/>
  <c r="AZ1488" i="2"/>
  <c r="AZ1489" i="2"/>
  <c r="AZ1490" i="2"/>
  <c r="AZ1491" i="2"/>
  <c r="AZ1492" i="2"/>
  <c r="AZ1493" i="2"/>
  <c r="AZ1494" i="2"/>
  <c r="AZ1495" i="2"/>
  <c r="AZ1496" i="2"/>
  <c r="AZ1497" i="2"/>
  <c r="AZ1498" i="2"/>
  <c r="AZ1499" i="2"/>
  <c r="AZ1500" i="2"/>
  <c r="AZ1501" i="2"/>
  <c r="AZ1502" i="2"/>
  <c r="AZ1503" i="2"/>
  <c r="AZ1504" i="2"/>
  <c r="AZ1505" i="2"/>
  <c r="AZ1506" i="2"/>
  <c r="AZ1507" i="2"/>
  <c r="AZ1508" i="2"/>
  <c r="AZ1509" i="2"/>
  <c r="AZ1510" i="2"/>
  <c r="AZ1511" i="2"/>
  <c r="AZ1512" i="2"/>
  <c r="AZ1513" i="2"/>
  <c r="AZ1514" i="2"/>
  <c r="AZ1515" i="2"/>
  <c r="AZ1516" i="2"/>
  <c r="AZ1517" i="2"/>
  <c r="AZ1518" i="2"/>
  <c r="AZ1519" i="2"/>
  <c r="AZ1520" i="2"/>
  <c r="AZ1521" i="2"/>
  <c r="AZ1522" i="2"/>
  <c r="AZ1523" i="2"/>
  <c r="AZ1524" i="2"/>
  <c r="AZ1525" i="2"/>
  <c r="AZ1526" i="2"/>
  <c r="AZ1527" i="2"/>
  <c r="AZ1528" i="2"/>
  <c r="AZ1529" i="2"/>
  <c r="AZ1530" i="2"/>
  <c r="AZ1531" i="2"/>
  <c r="AZ1532" i="2"/>
  <c r="AZ1533" i="2"/>
  <c r="AZ1534" i="2"/>
  <c r="AZ1535" i="2"/>
  <c r="AZ1536" i="2"/>
  <c r="AZ1537" i="2"/>
  <c r="AZ1538" i="2"/>
  <c r="AZ1539" i="2"/>
  <c r="AZ1540" i="2"/>
  <c r="AZ1541" i="2"/>
  <c r="AZ1542" i="2"/>
  <c r="AZ1543" i="2"/>
  <c r="AZ1544" i="2"/>
  <c r="AZ1545" i="2"/>
  <c r="AZ1546" i="2"/>
  <c r="AZ1547" i="2"/>
  <c r="AZ1548" i="2"/>
  <c r="AZ1549" i="2"/>
  <c r="AZ1550" i="2"/>
  <c r="AZ1551" i="2"/>
  <c r="AZ1552" i="2"/>
  <c r="AZ1553" i="2"/>
  <c r="AZ1554" i="2"/>
  <c r="AZ1555" i="2"/>
  <c r="AZ1556" i="2"/>
  <c r="AZ1557" i="2"/>
  <c r="AZ1558" i="2"/>
  <c r="AZ1559" i="2"/>
  <c r="AZ1560" i="2"/>
  <c r="AZ1561" i="2"/>
  <c r="AZ1562" i="2"/>
  <c r="AZ1563" i="2"/>
  <c r="AZ1564" i="2"/>
  <c r="AZ1565" i="2"/>
  <c r="AZ1566" i="2"/>
  <c r="AZ1567" i="2"/>
  <c r="AZ1568" i="2"/>
  <c r="AZ1569" i="2"/>
  <c r="AZ1570" i="2"/>
  <c r="AZ1571" i="2"/>
  <c r="AZ1572" i="2"/>
  <c r="AZ1573" i="2"/>
  <c r="AZ1574" i="2"/>
  <c r="AZ1575" i="2"/>
  <c r="AZ1576" i="2"/>
  <c r="AZ1577" i="2"/>
  <c r="AZ1578" i="2"/>
  <c r="AZ1579" i="2"/>
  <c r="AZ1580" i="2"/>
  <c r="AZ1581" i="2"/>
  <c r="AZ1582" i="2"/>
  <c r="AZ1583" i="2"/>
  <c r="AZ1584" i="2"/>
  <c r="AZ1585" i="2"/>
  <c r="AZ1586" i="2"/>
  <c r="AZ1587" i="2"/>
  <c r="AZ1588" i="2"/>
  <c r="AZ1589" i="2"/>
  <c r="AZ1590" i="2"/>
  <c r="AZ1591" i="2"/>
  <c r="AZ1592" i="2"/>
  <c r="AZ1593" i="2"/>
  <c r="AZ1594" i="2"/>
  <c r="AZ1595" i="2"/>
  <c r="AZ1596" i="2"/>
  <c r="AZ1597" i="2"/>
  <c r="AZ1598" i="2"/>
  <c r="AZ1599" i="2"/>
  <c r="AZ1600" i="2"/>
  <c r="AZ1601" i="2"/>
  <c r="AZ1602" i="2"/>
  <c r="AZ1603" i="2"/>
  <c r="AZ1604" i="2"/>
  <c r="AZ1605" i="2"/>
  <c r="AZ1606" i="2"/>
  <c r="AZ1607" i="2"/>
  <c r="AZ1608" i="2"/>
  <c r="AZ1609" i="2"/>
  <c r="AZ1610" i="2"/>
  <c r="AZ1611" i="2"/>
  <c r="AZ1612" i="2"/>
  <c r="AZ1613" i="2"/>
  <c r="AZ1614" i="2"/>
  <c r="AZ1615" i="2"/>
  <c r="AZ1616" i="2"/>
  <c r="AZ1617" i="2"/>
  <c r="AZ1618" i="2"/>
  <c r="AZ1619" i="2"/>
  <c r="AZ1620" i="2"/>
  <c r="AZ1621" i="2"/>
  <c r="AZ1622" i="2"/>
  <c r="AZ1623" i="2"/>
  <c r="AZ1624" i="2"/>
  <c r="AZ1625" i="2"/>
  <c r="AZ1626" i="2"/>
  <c r="AZ1627" i="2"/>
  <c r="AZ1628" i="2"/>
  <c r="AZ1629" i="2"/>
  <c r="AZ1630" i="2"/>
  <c r="AZ1631" i="2"/>
  <c r="AZ1632" i="2"/>
  <c r="AZ1633" i="2"/>
  <c r="AZ1634" i="2"/>
  <c r="AZ1635" i="2"/>
  <c r="AZ1636" i="2"/>
  <c r="AZ1637" i="2"/>
  <c r="AZ1638" i="2"/>
  <c r="AZ1639" i="2"/>
  <c r="AZ1640" i="2"/>
  <c r="AZ1641" i="2"/>
  <c r="AZ1642" i="2"/>
  <c r="AZ1643" i="2"/>
  <c r="AZ1644" i="2"/>
  <c r="AZ1645" i="2"/>
  <c r="AZ1646" i="2"/>
  <c r="AZ1647" i="2"/>
  <c r="AZ1648" i="2"/>
  <c r="AZ1649" i="2"/>
  <c r="AZ1650" i="2"/>
  <c r="AZ1651" i="2"/>
  <c r="AZ1652" i="2"/>
  <c r="AZ1653" i="2"/>
  <c r="AZ1654" i="2"/>
  <c r="AZ1655" i="2"/>
  <c r="AZ1656" i="2"/>
  <c r="AZ1657" i="2"/>
  <c r="AZ1658" i="2"/>
  <c r="AZ1659" i="2"/>
  <c r="AZ1660" i="2"/>
  <c r="AZ1661" i="2"/>
  <c r="AZ1662" i="2"/>
  <c r="AZ1663" i="2"/>
  <c r="AZ1664" i="2"/>
  <c r="AZ1665" i="2"/>
  <c r="AZ1666" i="2"/>
  <c r="AZ1667" i="2"/>
  <c r="AZ1668" i="2"/>
  <c r="AZ1669" i="2"/>
  <c r="AZ1670" i="2"/>
  <c r="AZ1671" i="2"/>
  <c r="AZ1672" i="2"/>
  <c r="AZ1673" i="2"/>
  <c r="AZ1674" i="2"/>
  <c r="AZ1675" i="2"/>
  <c r="AZ1676" i="2"/>
  <c r="AZ1677" i="2"/>
  <c r="AZ1678" i="2"/>
  <c r="AZ1679" i="2"/>
  <c r="AZ1680" i="2"/>
  <c r="AZ1681" i="2"/>
  <c r="AZ1682" i="2"/>
  <c r="AZ1683" i="2"/>
  <c r="AZ1684" i="2"/>
  <c r="AZ1685" i="2"/>
  <c r="AZ1686" i="2"/>
  <c r="AZ1687" i="2"/>
  <c r="AZ1688" i="2"/>
  <c r="AZ1689" i="2"/>
  <c r="AZ1690" i="2"/>
  <c r="AZ1691" i="2"/>
  <c r="AZ1692" i="2"/>
  <c r="AZ1693" i="2"/>
  <c r="AZ1694" i="2"/>
  <c r="AZ1695" i="2"/>
  <c r="AZ1696" i="2"/>
  <c r="AZ1697" i="2"/>
  <c r="AZ1698" i="2"/>
  <c r="AZ1699" i="2"/>
  <c r="AZ1700" i="2"/>
  <c r="AZ1701" i="2"/>
  <c r="AZ1702" i="2"/>
  <c r="AZ1703" i="2"/>
  <c r="AZ1704" i="2"/>
  <c r="AZ1705" i="2"/>
  <c r="AZ1706" i="2"/>
  <c r="AZ1707" i="2"/>
  <c r="AZ1708" i="2"/>
  <c r="AZ1709" i="2"/>
  <c r="AZ1710" i="2"/>
  <c r="AZ1711" i="2"/>
  <c r="AZ1712" i="2"/>
  <c r="AZ1713" i="2"/>
  <c r="AZ1714" i="2"/>
  <c r="AZ1715" i="2"/>
  <c r="AZ1716" i="2"/>
  <c r="AZ1717" i="2"/>
  <c r="AZ1718" i="2"/>
  <c r="AZ1719" i="2"/>
  <c r="AZ1720" i="2"/>
  <c r="AZ1721" i="2"/>
  <c r="AZ1722" i="2"/>
  <c r="AZ1723" i="2"/>
  <c r="AZ1724" i="2"/>
  <c r="AZ1725" i="2"/>
  <c r="AZ1726" i="2"/>
  <c r="AZ1727" i="2"/>
  <c r="AZ1728" i="2"/>
  <c r="AZ1729" i="2"/>
  <c r="AZ1730" i="2"/>
  <c r="AZ1731" i="2"/>
  <c r="AZ1732" i="2"/>
  <c r="AZ1733" i="2"/>
  <c r="AZ1734" i="2"/>
  <c r="AZ1735" i="2"/>
  <c r="AZ1736" i="2"/>
  <c r="AZ1737" i="2"/>
  <c r="AZ1738" i="2"/>
  <c r="AZ1739" i="2"/>
  <c r="AZ1740" i="2"/>
  <c r="AZ1741" i="2"/>
  <c r="AZ1742" i="2"/>
  <c r="AZ1743" i="2"/>
  <c r="AZ1744" i="2"/>
  <c r="AZ1745" i="2"/>
  <c r="AZ1746" i="2"/>
  <c r="AZ1747" i="2"/>
  <c r="AZ1748" i="2"/>
  <c r="AZ1749" i="2"/>
  <c r="AZ1750" i="2"/>
  <c r="AZ1751" i="2"/>
  <c r="AZ1752" i="2"/>
  <c r="AZ1753" i="2"/>
  <c r="AZ1754" i="2"/>
  <c r="AZ1755" i="2"/>
  <c r="AZ1756" i="2"/>
  <c r="AZ1757" i="2"/>
  <c r="AZ1758" i="2"/>
  <c r="AZ1759" i="2"/>
  <c r="AZ1760" i="2"/>
  <c r="AZ1761" i="2"/>
  <c r="AZ1762" i="2"/>
  <c r="AZ1763" i="2"/>
  <c r="AZ1764" i="2"/>
  <c r="AZ1765" i="2"/>
  <c r="AZ1766" i="2"/>
  <c r="AZ1767" i="2"/>
  <c r="AZ1768" i="2"/>
  <c r="AZ1769" i="2"/>
  <c r="AZ1770" i="2"/>
  <c r="AZ1771" i="2"/>
  <c r="AZ1772" i="2"/>
  <c r="AZ1773" i="2"/>
  <c r="AZ1774" i="2"/>
  <c r="AZ1775" i="2"/>
  <c r="AZ1776" i="2"/>
  <c r="AZ1777" i="2"/>
  <c r="AZ1778" i="2"/>
  <c r="AZ1779" i="2"/>
  <c r="AZ1780" i="2"/>
  <c r="AZ1781" i="2"/>
  <c r="AZ1782" i="2"/>
  <c r="AZ1783" i="2"/>
  <c r="AZ1784" i="2"/>
  <c r="AZ1785" i="2"/>
  <c r="AZ1786" i="2"/>
  <c r="AZ1787" i="2"/>
  <c r="AZ1788" i="2"/>
  <c r="AZ1789" i="2"/>
  <c r="AZ1790" i="2"/>
  <c r="AZ1791" i="2"/>
  <c r="AZ1792" i="2"/>
  <c r="AZ1793" i="2"/>
  <c r="AZ1794" i="2"/>
  <c r="AZ1795" i="2"/>
  <c r="AZ1796" i="2"/>
  <c r="AZ1797" i="2"/>
  <c r="AZ1798" i="2"/>
  <c r="AZ1799" i="2"/>
  <c r="AZ1800" i="2"/>
  <c r="AZ1801" i="2"/>
  <c r="AZ1802" i="2"/>
  <c r="AZ1803" i="2"/>
  <c r="AZ1804" i="2"/>
  <c r="AZ1805" i="2"/>
  <c r="AZ1806" i="2"/>
  <c r="AZ1807" i="2"/>
  <c r="AZ1808" i="2"/>
  <c r="AZ1809" i="2"/>
  <c r="AZ1810" i="2"/>
  <c r="AZ1811" i="2"/>
  <c r="AZ1812" i="2"/>
  <c r="AZ1813" i="2"/>
  <c r="AZ1814" i="2"/>
  <c r="AZ1815" i="2"/>
  <c r="AZ1816" i="2"/>
  <c r="AZ1817" i="2"/>
  <c r="AZ1818" i="2"/>
  <c r="AZ1819" i="2"/>
  <c r="AZ1820" i="2"/>
  <c r="AZ1821" i="2"/>
  <c r="AZ1822" i="2"/>
  <c r="AZ1823" i="2"/>
  <c r="AZ1824" i="2"/>
  <c r="AZ1825" i="2"/>
  <c r="AZ1826" i="2"/>
  <c r="AZ1827" i="2"/>
  <c r="AZ1828" i="2"/>
  <c r="AZ1829" i="2"/>
  <c r="AZ1830" i="2"/>
  <c r="AZ1831" i="2"/>
  <c r="AZ1832" i="2"/>
  <c r="AZ1833" i="2"/>
  <c r="AZ1834" i="2"/>
  <c r="AZ1835" i="2"/>
  <c r="AZ1836" i="2"/>
  <c r="AZ1837" i="2"/>
  <c r="AZ1838" i="2"/>
  <c r="AZ1839" i="2"/>
  <c r="AZ1840" i="2"/>
  <c r="AZ1841" i="2"/>
  <c r="AZ1842" i="2"/>
  <c r="AZ1843" i="2"/>
  <c r="AZ1844" i="2"/>
  <c r="AZ1845" i="2"/>
  <c r="AZ1846" i="2"/>
  <c r="AZ1847" i="2"/>
  <c r="AZ1848" i="2"/>
  <c r="AZ1849" i="2"/>
  <c r="AZ1850" i="2"/>
  <c r="AZ1851" i="2"/>
  <c r="AZ1852" i="2"/>
  <c r="AZ1853" i="2"/>
  <c r="AZ1854" i="2"/>
  <c r="AZ1855" i="2"/>
  <c r="AZ1856" i="2"/>
  <c r="AZ1857" i="2"/>
  <c r="AZ1858" i="2"/>
  <c r="AZ1859" i="2"/>
  <c r="AZ1860" i="2"/>
  <c r="AZ1861" i="2"/>
  <c r="AZ1862" i="2"/>
  <c r="AZ1863" i="2"/>
  <c r="AZ1864" i="2"/>
  <c r="AZ1865" i="2"/>
  <c r="AZ1866" i="2"/>
  <c r="AZ1867" i="2"/>
  <c r="AZ1868" i="2"/>
  <c r="AZ1869" i="2"/>
  <c r="AZ1870" i="2"/>
  <c r="AZ1871" i="2"/>
  <c r="AZ1872" i="2"/>
  <c r="AZ1873" i="2"/>
  <c r="AZ1874" i="2"/>
  <c r="AZ1875" i="2"/>
  <c r="AZ1876" i="2"/>
  <c r="AZ1877" i="2"/>
  <c r="AZ1878" i="2"/>
  <c r="AZ1879" i="2"/>
  <c r="AZ1880" i="2"/>
  <c r="AZ1881" i="2"/>
  <c r="AZ1882" i="2"/>
  <c r="AZ1883" i="2"/>
  <c r="AZ1884" i="2"/>
  <c r="AZ1885" i="2"/>
  <c r="AZ1886" i="2"/>
  <c r="AZ1887" i="2"/>
  <c r="AZ1888" i="2"/>
  <c r="AZ1889" i="2"/>
  <c r="AZ1890" i="2"/>
  <c r="AZ1891" i="2"/>
  <c r="AZ1892" i="2"/>
  <c r="AZ1893" i="2"/>
  <c r="AZ1894" i="2"/>
  <c r="AZ1895" i="2"/>
  <c r="AZ1896" i="2"/>
  <c r="AZ1897" i="2"/>
  <c r="AZ1898" i="2"/>
  <c r="AZ1899" i="2"/>
  <c r="AZ1900" i="2"/>
  <c r="AZ1901" i="2"/>
  <c r="AZ1902" i="2"/>
  <c r="AZ1903" i="2"/>
  <c r="AZ1904" i="2"/>
  <c r="AZ1905" i="2"/>
  <c r="AZ1906" i="2"/>
  <c r="AZ1907" i="2"/>
  <c r="AZ1908" i="2"/>
  <c r="AZ1909" i="2"/>
  <c r="AZ1910" i="2"/>
  <c r="AZ1911" i="2"/>
  <c r="AZ1912" i="2"/>
  <c r="AZ1913" i="2"/>
  <c r="AZ1914" i="2"/>
  <c r="AZ1915" i="2"/>
  <c r="AZ1916" i="2"/>
  <c r="AZ1917" i="2"/>
  <c r="AZ1918" i="2"/>
  <c r="AZ1919" i="2"/>
  <c r="AZ1920" i="2"/>
  <c r="AZ1921" i="2"/>
  <c r="AZ1922" i="2"/>
  <c r="AZ1923" i="2"/>
  <c r="AZ1924" i="2"/>
  <c r="AZ1925" i="2"/>
  <c r="AZ1926" i="2"/>
  <c r="AZ1927" i="2"/>
  <c r="AZ1928" i="2"/>
  <c r="AZ1929" i="2"/>
  <c r="AZ1930" i="2"/>
  <c r="AZ1931" i="2"/>
  <c r="AZ1932" i="2"/>
  <c r="AZ1933" i="2"/>
  <c r="AZ1934" i="2"/>
  <c r="AZ1935" i="2"/>
  <c r="AZ1936" i="2"/>
  <c r="AZ1937" i="2"/>
  <c r="AZ1938" i="2"/>
  <c r="AZ1939" i="2"/>
  <c r="AZ1940" i="2"/>
  <c r="AZ1941" i="2"/>
  <c r="AZ1942" i="2"/>
  <c r="AZ1943" i="2"/>
  <c r="AZ1944" i="2"/>
  <c r="AZ1945" i="2"/>
  <c r="AZ1946" i="2"/>
  <c r="AZ1947" i="2"/>
  <c r="AZ1948" i="2"/>
  <c r="AZ1949" i="2"/>
  <c r="AZ1950" i="2"/>
  <c r="AZ1951" i="2"/>
  <c r="AZ1952" i="2"/>
  <c r="AZ1953" i="2"/>
  <c r="AZ1954" i="2"/>
  <c r="AZ1955" i="2"/>
  <c r="AZ1956" i="2"/>
  <c r="AZ1957" i="2"/>
  <c r="AZ1958" i="2"/>
  <c r="AZ1959" i="2"/>
  <c r="AZ1960" i="2"/>
  <c r="AZ1961" i="2"/>
  <c r="AZ1962" i="2"/>
  <c r="AZ1963" i="2"/>
  <c r="AZ1964" i="2"/>
  <c r="AZ1965" i="2"/>
  <c r="AZ1966" i="2"/>
  <c r="AZ1967" i="2"/>
  <c r="AZ1968" i="2"/>
  <c r="AZ1969" i="2"/>
  <c r="AZ1970" i="2"/>
  <c r="AZ1971" i="2"/>
  <c r="AZ1972" i="2"/>
  <c r="AZ1973" i="2"/>
  <c r="AZ1974" i="2"/>
  <c r="AZ1975" i="2"/>
  <c r="AZ1976" i="2"/>
  <c r="AZ1977" i="2"/>
  <c r="AZ1978" i="2"/>
  <c r="AZ1979" i="2"/>
  <c r="AZ1980" i="2"/>
  <c r="AZ1981" i="2"/>
  <c r="AZ1982" i="2"/>
  <c r="AZ1983" i="2"/>
  <c r="AZ1984" i="2"/>
  <c r="AZ1985" i="2"/>
  <c r="AZ1986" i="2"/>
  <c r="AZ1987" i="2"/>
  <c r="AZ1988" i="2"/>
  <c r="AZ1989" i="2"/>
  <c r="AZ1990" i="2"/>
  <c r="AZ1991" i="2"/>
  <c r="AZ1992" i="2"/>
  <c r="AZ1993" i="2"/>
  <c r="AZ1994" i="2"/>
  <c r="AZ1995" i="2"/>
  <c r="AZ1996" i="2"/>
  <c r="AZ1997" i="2"/>
  <c r="AZ1998" i="2"/>
  <c r="AZ1999" i="2"/>
  <c r="AZ2000" i="2"/>
  <c r="AZ2001" i="2"/>
  <c r="AZ2002" i="2"/>
  <c r="AZ2003" i="2"/>
  <c r="AZ2004" i="2"/>
  <c r="AZ2005" i="2"/>
  <c r="AZ2006" i="2"/>
  <c r="AZ2007" i="2"/>
  <c r="AZ2008" i="2"/>
  <c r="AZ2009" i="2"/>
  <c r="AZ2010" i="2"/>
  <c r="AZ2011" i="2"/>
  <c r="AZ2012" i="2"/>
  <c r="AZ2013" i="2"/>
  <c r="AZ2014" i="2"/>
  <c r="AZ2015" i="2"/>
  <c r="AZ2016" i="2"/>
  <c r="AZ2017" i="2"/>
  <c r="AZ2018" i="2"/>
  <c r="AZ2019" i="2"/>
  <c r="AZ2020" i="2"/>
  <c r="AZ2021" i="2"/>
  <c r="AZ2022" i="2"/>
  <c r="AZ2023" i="2"/>
  <c r="AZ2024" i="2"/>
  <c r="AZ2025" i="2"/>
  <c r="AZ2026" i="2"/>
  <c r="AZ2027" i="2"/>
  <c r="AZ2028" i="2"/>
  <c r="AZ2029" i="2"/>
  <c r="AZ2030" i="2"/>
  <c r="AZ2031" i="2"/>
  <c r="AZ2032" i="2"/>
  <c r="AZ2033" i="2"/>
  <c r="AZ2034" i="2"/>
  <c r="AZ2035" i="2"/>
  <c r="AZ2036" i="2"/>
  <c r="AZ2037" i="2"/>
  <c r="AZ2038" i="2"/>
  <c r="AZ2039" i="2"/>
  <c r="AZ2040" i="2"/>
  <c r="AZ2041" i="2"/>
  <c r="AZ2042" i="2"/>
  <c r="AZ2043" i="2"/>
  <c r="AZ2044" i="2"/>
  <c r="AZ2045" i="2"/>
  <c r="AZ2046" i="2"/>
  <c r="AZ2047" i="2"/>
  <c r="AZ2048" i="2"/>
  <c r="AZ2049" i="2"/>
  <c r="AZ2050" i="2"/>
  <c r="AZ2051" i="2"/>
  <c r="AZ2052" i="2"/>
  <c r="AZ2053" i="2"/>
  <c r="AZ2054" i="2"/>
  <c r="AZ2055" i="2"/>
  <c r="AZ2056" i="2"/>
  <c r="AZ2057" i="2"/>
  <c r="AZ2058" i="2"/>
  <c r="AZ2059" i="2"/>
  <c r="AZ2060" i="2"/>
  <c r="AZ2061" i="2"/>
  <c r="AZ2062" i="2"/>
  <c r="AZ2063" i="2"/>
  <c r="AZ2064" i="2"/>
  <c r="AZ2065" i="2"/>
  <c r="AZ2066" i="2"/>
  <c r="AZ2067" i="2"/>
  <c r="AZ2068" i="2"/>
  <c r="AZ2069" i="2"/>
  <c r="AZ2070" i="2"/>
  <c r="AZ2071" i="2"/>
  <c r="AZ2072" i="2"/>
  <c r="AZ2073" i="2"/>
  <c r="AZ2074" i="2"/>
  <c r="AZ2075" i="2"/>
  <c r="AZ2076" i="2"/>
  <c r="AZ2077" i="2"/>
  <c r="AZ2078" i="2"/>
  <c r="AZ2079" i="2"/>
  <c r="AZ2080" i="2"/>
  <c r="AZ2081" i="2"/>
  <c r="AZ2082" i="2"/>
  <c r="AZ2083" i="2"/>
  <c r="AZ2084" i="2"/>
  <c r="AZ2085" i="2"/>
  <c r="AZ2086" i="2"/>
  <c r="AZ2087" i="2"/>
  <c r="AZ2088" i="2"/>
  <c r="AZ2089" i="2"/>
  <c r="AZ2090" i="2"/>
  <c r="AZ2091" i="2"/>
  <c r="AZ2092" i="2"/>
  <c r="AZ2093" i="2"/>
  <c r="AZ2094" i="2"/>
  <c r="AZ2095" i="2"/>
  <c r="AZ2096" i="2"/>
  <c r="AZ2097" i="2"/>
  <c r="AZ2098" i="2"/>
  <c r="AZ2099" i="2"/>
  <c r="AZ2100" i="2"/>
  <c r="AZ2101" i="2"/>
  <c r="AZ2102" i="2"/>
  <c r="AZ2103" i="2"/>
  <c r="AZ2104" i="2"/>
  <c r="AZ2105" i="2"/>
  <c r="AZ2106" i="2"/>
  <c r="AZ2107" i="2"/>
  <c r="AZ2108" i="2"/>
  <c r="AZ2109" i="2"/>
  <c r="AZ2110" i="2"/>
  <c r="AZ2111" i="2"/>
  <c r="AZ2112" i="2"/>
  <c r="AZ2113" i="2"/>
  <c r="AZ2114" i="2"/>
  <c r="AZ2115" i="2"/>
  <c r="AZ2116" i="2"/>
  <c r="AZ2117" i="2"/>
  <c r="AZ2118" i="2"/>
  <c r="AZ2119" i="2"/>
  <c r="AZ2120" i="2"/>
  <c r="AZ2121" i="2"/>
  <c r="AZ2122" i="2"/>
  <c r="AZ2123" i="2"/>
  <c r="AZ2124" i="2"/>
  <c r="AZ2125" i="2"/>
  <c r="AZ2126" i="2"/>
  <c r="AZ2127" i="2"/>
  <c r="AZ2128" i="2"/>
  <c r="AZ2129" i="2"/>
  <c r="AZ2130" i="2"/>
  <c r="AZ2131" i="2"/>
  <c r="AZ2132" i="2"/>
  <c r="AZ2" i="2"/>
  <c r="C2" i="16"/>
  <c r="C3" i="16"/>
  <c r="C4" i="16"/>
  <c r="C6" i="16"/>
  <c r="C5"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BZ3" i="2" l="1"/>
  <c r="BZ4" i="2"/>
  <c r="BZ5" i="2"/>
  <c r="BZ6" i="2"/>
  <c r="BZ7" i="2"/>
  <c r="BZ8" i="2"/>
  <c r="BZ9" i="2"/>
  <c r="BZ10" i="2"/>
  <c r="BZ11" i="2"/>
  <c r="BZ12" i="2"/>
  <c r="BZ13" i="2"/>
  <c r="BZ14" i="2"/>
  <c r="BZ15" i="2"/>
  <c r="BZ16" i="2"/>
  <c r="BZ17" i="2"/>
  <c r="BZ18" i="2"/>
  <c r="BZ19" i="2"/>
  <c r="BZ20" i="2"/>
  <c r="BZ21" i="2"/>
  <c r="BZ22" i="2"/>
  <c r="BZ23" i="2"/>
  <c r="BZ24" i="2"/>
  <c r="BZ25" i="2"/>
  <c r="BZ26" i="2"/>
  <c r="BZ27" i="2"/>
  <c r="BZ28" i="2"/>
  <c r="BZ29" i="2"/>
  <c r="BZ30" i="2"/>
  <c r="BZ31" i="2"/>
  <c r="BZ32" i="2"/>
  <c r="BZ33" i="2"/>
  <c r="BZ34" i="2"/>
  <c r="BZ35" i="2"/>
  <c r="BZ36" i="2"/>
  <c r="BZ37" i="2"/>
  <c r="BZ38" i="2"/>
  <c r="BZ39" i="2"/>
  <c r="BZ40" i="2"/>
  <c r="BZ41" i="2"/>
  <c r="BZ42" i="2"/>
  <c r="BZ43" i="2"/>
  <c r="BZ44" i="2"/>
  <c r="BZ45" i="2"/>
  <c r="BZ46" i="2"/>
  <c r="BZ47" i="2"/>
  <c r="BZ48" i="2"/>
  <c r="BZ49" i="2"/>
  <c r="BZ50" i="2"/>
  <c r="BZ51" i="2"/>
  <c r="BZ52" i="2"/>
  <c r="BZ53" i="2"/>
  <c r="BZ54" i="2"/>
  <c r="BZ55" i="2"/>
  <c r="BZ56" i="2"/>
  <c r="BZ57" i="2"/>
  <c r="BZ58" i="2"/>
  <c r="BZ59" i="2"/>
  <c r="BZ60" i="2"/>
  <c r="BZ61" i="2"/>
  <c r="BZ62" i="2"/>
  <c r="BZ63" i="2"/>
  <c r="BZ64" i="2"/>
  <c r="BZ65" i="2"/>
  <c r="BZ66" i="2"/>
  <c r="BZ67" i="2"/>
  <c r="BZ68" i="2"/>
  <c r="BZ69" i="2"/>
  <c r="BZ70" i="2"/>
  <c r="BZ71" i="2"/>
  <c r="BZ72" i="2"/>
  <c r="BZ73" i="2"/>
  <c r="BZ74" i="2"/>
  <c r="BZ75" i="2"/>
  <c r="BZ76" i="2"/>
  <c r="BZ77" i="2"/>
  <c r="BZ78" i="2"/>
  <c r="BZ79" i="2"/>
  <c r="BZ80" i="2"/>
  <c r="BZ81" i="2"/>
  <c r="BZ82" i="2"/>
  <c r="BZ83" i="2"/>
  <c r="BZ84" i="2"/>
  <c r="BZ85" i="2"/>
  <c r="BZ86" i="2"/>
  <c r="BZ87" i="2"/>
  <c r="BZ88" i="2"/>
  <c r="BZ89" i="2"/>
  <c r="BZ90" i="2"/>
  <c r="BZ91" i="2"/>
  <c r="BZ92" i="2"/>
  <c r="BZ93" i="2"/>
  <c r="BZ94" i="2"/>
  <c r="BZ95" i="2"/>
  <c r="BZ96" i="2"/>
  <c r="BZ97" i="2"/>
  <c r="BZ98" i="2"/>
  <c r="BZ99" i="2"/>
  <c r="BZ100" i="2"/>
  <c r="BZ101" i="2"/>
  <c r="BZ102" i="2"/>
  <c r="BZ103" i="2"/>
  <c r="BZ104" i="2"/>
  <c r="BZ105" i="2"/>
  <c r="BZ106" i="2"/>
  <c r="BZ107" i="2"/>
  <c r="BZ108" i="2"/>
  <c r="BZ109" i="2"/>
  <c r="BZ110" i="2"/>
  <c r="BZ111" i="2"/>
  <c r="BZ112" i="2"/>
  <c r="BZ113" i="2"/>
  <c r="BZ114" i="2"/>
  <c r="BZ115" i="2"/>
  <c r="BZ116" i="2"/>
  <c r="BZ117" i="2"/>
  <c r="BZ118" i="2"/>
  <c r="BZ119" i="2"/>
  <c r="BZ120" i="2"/>
  <c r="BZ121" i="2"/>
  <c r="BZ122" i="2"/>
  <c r="BZ123" i="2"/>
  <c r="BZ124" i="2"/>
  <c r="BZ125" i="2"/>
  <c r="BZ126" i="2"/>
  <c r="BZ127" i="2"/>
  <c r="BZ128" i="2"/>
  <c r="BZ129" i="2"/>
  <c r="BZ130" i="2"/>
  <c r="BZ131" i="2"/>
  <c r="BZ132" i="2"/>
  <c r="BZ133" i="2"/>
  <c r="BZ134" i="2"/>
  <c r="BZ135" i="2"/>
  <c r="BZ136" i="2"/>
  <c r="BZ137" i="2"/>
  <c r="BZ138" i="2"/>
  <c r="BZ139" i="2"/>
  <c r="BZ140" i="2"/>
  <c r="BZ141" i="2"/>
  <c r="BZ142" i="2"/>
  <c r="BZ143" i="2"/>
  <c r="BZ144" i="2"/>
  <c r="BZ145" i="2"/>
  <c r="BZ146" i="2"/>
  <c r="BZ147" i="2"/>
  <c r="BZ148" i="2"/>
  <c r="BZ149" i="2"/>
  <c r="BZ150" i="2"/>
  <c r="BZ151" i="2"/>
  <c r="BZ152" i="2"/>
  <c r="BZ153" i="2"/>
  <c r="BZ154" i="2"/>
  <c r="BZ155" i="2"/>
  <c r="BZ156" i="2"/>
  <c r="BZ157" i="2"/>
  <c r="BZ158" i="2"/>
  <c r="BZ159" i="2"/>
  <c r="BZ160" i="2"/>
  <c r="BZ161" i="2"/>
  <c r="BZ162" i="2"/>
  <c r="BZ163" i="2"/>
  <c r="BZ164" i="2"/>
  <c r="BZ165" i="2"/>
  <c r="BZ166" i="2"/>
  <c r="BZ167" i="2"/>
  <c r="BZ168" i="2"/>
  <c r="BZ169" i="2"/>
  <c r="BZ170" i="2"/>
  <c r="BZ171" i="2"/>
  <c r="BZ172" i="2"/>
  <c r="BZ173" i="2"/>
  <c r="BZ174" i="2"/>
  <c r="BZ175" i="2"/>
  <c r="BZ176" i="2"/>
  <c r="BZ177" i="2"/>
  <c r="BZ178" i="2"/>
  <c r="BZ179" i="2"/>
  <c r="BZ180" i="2"/>
  <c r="BZ181" i="2"/>
  <c r="BZ182" i="2"/>
  <c r="BZ183" i="2"/>
  <c r="BZ184" i="2"/>
  <c r="BZ185" i="2"/>
  <c r="BZ186" i="2"/>
  <c r="BZ187" i="2"/>
  <c r="BZ188" i="2"/>
  <c r="BZ189" i="2"/>
  <c r="BZ190" i="2"/>
  <c r="BZ191" i="2"/>
  <c r="BZ192" i="2"/>
  <c r="BZ193" i="2"/>
  <c r="BZ194" i="2"/>
  <c r="BZ195" i="2"/>
  <c r="BZ196" i="2"/>
  <c r="BZ197" i="2"/>
  <c r="BZ198" i="2"/>
  <c r="BZ199" i="2"/>
  <c r="BZ200" i="2"/>
  <c r="BZ201" i="2"/>
  <c r="BZ202" i="2"/>
  <c r="BZ203" i="2"/>
  <c r="BZ204" i="2"/>
  <c r="BZ205" i="2"/>
  <c r="BZ206" i="2"/>
  <c r="BZ207" i="2"/>
  <c r="BZ208" i="2"/>
  <c r="BZ209" i="2"/>
  <c r="BZ210" i="2"/>
  <c r="BZ211" i="2"/>
  <c r="BZ212" i="2"/>
  <c r="BZ213" i="2"/>
  <c r="BZ214" i="2"/>
  <c r="BZ215" i="2"/>
  <c r="BZ216" i="2"/>
  <c r="BZ217" i="2"/>
  <c r="BZ218" i="2"/>
  <c r="BZ219" i="2"/>
  <c r="BZ220" i="2"/>
  <c r="BZ221" i="2"/>
  <c r="BZ222" i="2"/>
  <c r="BZ223" i="2"/>
  <c r="BZ224" i="2"/>
  <c r="BZ225" i="2"/>
  <c r="BZ226" i="2"/>
  <c r="BZ227" i="2"/>
  <c r="BZ228" i="2"/>
  <c r="BZ229" i="2"/>
  <c r="BZ230" i="2"/>
  <c r="BZ231" i="2"/>
  <c r="BZ232" i="2"/>
  <c r="BZ233" i="2"/>
  <c r="BZ234" i="2"/>
  <c r="BZ235" i="2"/>
  <c r="BZ236" i="2"/>
  <c r="BZ237" i="2"/>
  <c r="BZ238" i="2"/>
  <c r="BZ239" i="2"/>
  <c r="BZ240" i="2"/>
  <c r="BZ241" i="2"/>
  <c r="BZ242" i="2"/>
  <c r="BZ243" i="2"/>
  <c r="BZ244" i="2"/>
  <c r="BZ245" i="2"/>
  <c r="BZ246" i="2"/>
  <c r="BZ247" i="2"/>
  <c r="BZ248" i="2"/>
  <c r="BZ249" i="2"/>
  <c r="BZ250" i="2"/>
  <c r="BZ251" i="2"/>
  <c r="BZ252" i="2"/>
  <c r="BZ253" i="2"/>
  <c r="BZ254" i="2"/>
  <c r="BZ255" i="2"/>
  <c r="BZ256" i="2"/>
  <c r="BZ257" i="2"/>
  <c r="BZ258" i="2"/>
  <c r="BZ259" i="2"/>
  <c r="BZ260" i="2"/>
  <c r="BZ261" i="2"/>
  <c r="BZ262" i="2"/>
  <c r="BZ263" i="2"/>
  <c r="BZ264" i="2"/>
  <c r="BZ265" i="2"/>
  <c r="BZ266" i="2"/>
  <c r="BZ267" i="2"/>
  <c r="BZ268" i="2"/>
  <c r="BZ269" i="2"/>
  <c r="BZ270" i="2"/>
  <c r="BZ271" i="2"/>
  <c r="BZ272" i="2"/>
  <c r="BZ273" i="2"/>
  <c r="BZ274" i="2"/>
  <c r="BZ275" i="2"/>
  <c r="BZ276" i="2"/>
  <c r="BZ277" i="2"/>
  <c r="BZ278" i="2"/>
  <c r="BZ279" i="2"/>
  <c r="BZ280" i="2"/>
  <c r="BZ281" i="2"/>
  <c r="BZ282" i="2"/>
  <c r="BZ283" i="2"/>
  <c r="BZ284" i="2"/>
  <c r="BZ285" i="2"/>
  <c r="BZ286" i="2"/>
  <c r="BZ287" i="2"/>
  <c r="BZ288" i="2"/>
  <c r="BZ289" i="2"/>
  <c r="BZ290" i="2"/>
  <c r="BZ291" i="2"/>
  <c r="BZ292" i="2"/>
  <c r="BZ293" i="2"/>
  <c r="BZ294" i="2"/>
  <c r="BZ295" i="2"/>
  <c r="BZ296" i="2"/>
  <c r="BZ297" i="2"/>
  <c r="BZ298" i="2"/>
  <c r="BZ299" i="2"/>
  <c r="BZ300" i="2"/>
  <c r="BZ301" i="2"/>
  <c r="BZ302" i="2"/>
  <c r="BZ303" i="2"/>
  <c r="BZ304" i="2"/>
  <c r="BZ305" i="2"/>
  <c r="BZ306" i="2"/>
  <c r="BZ307" i="2"/>
  <c r="BZ308" i="2"/>
  <c r="BZ309" i="2"/>
  <c r="BZ310" i="2"/>
  <c r="BZ311" i="2"/>
  <c r="BZ312" i="2"/>
  <c r="BZ313" i="2"/>
  <c r="BZ314" i="2"/>
  <c r="BZ315" i="2"/>
  <c r="BZ316" i="2"/>
  <c r="BZ317" i="2"/>
  <c r="BZ318" i="2"/>
  <c r="BZ319" i="2"/>
  <c r="BZ320" i="2"/>
  <c r="BZ321" i="2"/>
  <c r="BZ322" i="2"/>
  <c r="BZ323" i="2"/>
  <c r="BZ324" i="2"/>
  <c r="BZ325" i="2"/>
  <c r="BZ326" i="2"/>
  <c r="BZ327" i="2"/>
  <c r="BZ328" i="2"/>
  <c r="BZ329" i="2"/>
  <c r="BZ330" i="2"/>
  <c r="BZ331" i="2"/>
  <c r="BZ332" i="2"/>
  <c r="BZ333" i="2"/>
  <c r="BZ334" i="2"/>
  <c r="BZ335" i="2"/>
  <c r="BZ336" i="2"/>
  <c r="BZ337" i="2"/>
  <c r="BZ338" i="2"/>
  <c r="BZ339" i="2"/>
  <c r="BZ340" i="2"/>
  <c r="BZ341" i="2"/>
  <c r="BZ342" i="2"/>
  <c r="BZ343" i="2"/>
  <c r="BZ344" i="2"/>
  <c r="BZ345" i="2"/>
  <c r="BZ346" i="2"/>
  <c r="BZ347" i="2"/>
  <c r="BZ348" i="2"/>
  <c r="BZ349" i="2"/>
  <c r="BZ350" i="2"/>
  <c r="BZ351" i="2"/>
  <c r="BZ352" i="2"/>
  <c r="BZ353" i="2"/>
  <c r="BZ354" i="2"/>
  <c r="BZ355" i="2"/>
  <c r="BZ356" i="2"/>
  <c r="BZ357" i="2"/>
  <c r="BZ358" i="2"/>
  <c r="BZ359" i="2"/>
  <c r="BZ360" i="2"/>
  <c r="BZ361" i="2"/>
  <c r="BZ362" i="2"/>
  <c r="BZ363" i="2"/>
  <c r="BZ364" i="2"/>
  <c r="BZ365" i="2"/>
  <c r="BZ366" i="2"/>
  <c r="BZ367" i="2"/>
  <c r="BZ368" i="2"/>
  <c r="BZ369" i="2"/>
  <c r="BZ370" i="2"/>
  <c r="BZ371" i="2"/>
  <c r="BZ372" i="2"/>
  <c r="BZ373" i="2"/>
  <c r="BZ374" i="2"/>
  <c r="BZ375" i="2"/>
  <c r="BZ376" i="2"/>
  <c r="BZ377" i="2"/>
  <c r="BZ378" i="2"/>
  <c r="BZ379" i="2"/>
  <c r="BZ380" i="2"/>
  <c r="BZ381" i="2"/>
  <c r="BZ382" i="2"/>
  <c r="BZ383" i="2"/>
  <c r="BZ384" i="2"/>
  <c r="BZ385" i="2"/>
  <c r="BZ386" i="2"/>
  <c r="BZ387" i="2"/>
  <c r="BZ388" i="2"/>
  <c r="BZ389" i="2"/>
  <c r="BZ390" i="2"/>
  <c r="BZ391" i="2"/>
  <c r="BZ392" i="2"/>
  <c r="BZ393" i="2"/>
  <c r="BZ394" i="2"/>
  <c r="BZ395" i="2"/>
  <c r="BZ396" i="2"/>
  <c r="BZ397" i="2"/>
  <c r="BZ398" i="2"/>
  <c r="BZ399" i="2"/>
  <c r="BZ400" i="2"/>
  <c r="BZ401" i="2"/>
  <c r="BZ402" i="2"/>
  <c r="BZ403" i="2"/>
  <c r="BZ404" i="2"/>
  <c r="BZ405" i="2"/>
  <c r="BZ406" i="2"/>
  <c r="BZ407" i="2"/>
  <c r="BZ408" i="2"/>
  <c r="BZ409" i="2"/>
  <c r="BZ410" i="2"/>
  <c r="BZ411" i="2"/>
  <c r="BZ412" i="2"/>
  <c r="BZ413" i="2"/>
  <c r="BZ414" i="2"/>
  <c r="BZ415" i="2"/>
  <c r="BZ416" i="2"/>
  <c r="BZ417" i="2"/>
  <c r="BZ418" i="2"/>
  <c r="BZ419" i="2"/>
  <c r="BZ420" i="2"/>
  <c r="BZ421" i="2"/>
  <c r="BZ422" i="2"/>
  <c r="BZ423" i="2"/>
  <c r="BZ424" i="2"/>
  <c r="BZ425" i="2"/>
  <c r="BZ426" i="2"/>
  <c r="BZ427" i="2"/>
  <c r="BZ428" i="2"/>
  <c r="BZ429" i="2"/>
  <c r="BZ430" i="2"/>
  <c r="BZ431" i="2"/>
  <c r="BZ432" i="2"/>
  <c r="BZ433" i="2"/>
  <c r="BZ434" i="2"/>
  <c r="BZ435" i="2"/>
  <c r="BZ436" i="2"/>
  <c r="BZ437" i="2"/>
  <c r="BZ438" i="2"/>
  <c r="BZ439" i="2"/>
  <c r="BZ440" i="2"/>
  <c r="BZ441" i="2"/>
  <c r="BZ442" i="2"/>
  <c r="BZ443" i="2"/>
  <c r="BZ444" i="2"/>
  <c r="BZ445" i="2"/>
  <c r="BZ446" i="2"/>
  <c r="BZ447" i="2"/>
  <c r="BZ448" i="2"/>
  <c r="BZ449" i="2"/>
  <c r="BZ450" i="2"/>
  <c r="BZ451" i="2"/>
  <c r="BZ452" i="2"/>
  <c r="BZ453" i="2"/>
  <c r="BZ454" i="2"/>
  <c r="BZ455" i="2"/>
  <c r="BZ456" i="2"/>
  <c r="BZ457" i="2"/>
  <c r="BZ458" i="2"/>
  <c r="BZ459" i="2"/>
  <c r="BZ460" i="2"/>
  <c r="BZ461" i="2"/>
  <c r="BZ462" i="2"/>
  <c r="BZ463" i="2"/>
  <c r="BZ464" i="2"/>
  <c r="BZ465" i="2"/>
  <c r="BZ466" i="2"/>
  <c r="BZ467" i="2"/>
  <c r="BZ468" i="2"/>
  <c r="BZ469" i="2"/>
  <c r="BZ470" i="2"/>
  <c r="BZ471" i="2"/>
  <c r="BZ472" i="2"/>
  <c r="BZ473" i="2"/>
  <c r="BZ474" i="2"/>
  <c r="BZ475" i="2"/>
  <c r="BZ476" i="2"/>
  <c r="BZ477" i="2"/>
  <c r="BZ478" i="2"/>
  <c r="BZ479" i="2"/>
  <c r="BZ480" i="2"/>
  <c r="BZ481" i="2"/>
  <c r="BZ482" i="2"/>
  <c r="BZ483" i="2"/>
  <c r="BZ484" i="2"/>
  <c r="BZ485" i="2"/>
  <c r="BZ486" i="2"/>
  <c r="BZ487" i="2"/>
  <c r="BZ488" i="2"/>
  <c r="BZ489" i="2"/>
  <c r="BZ490" i="2"/>
  <c r="BZ491" i="2"/>
  <c r="BZ492" i="2"/>
  <c r="BZ493" i="2"/>
  <c r="BZ494" i="2"/>
  <c r="BZ495" i="2"/>
  <c r="BZ496" i="2"/>
  <c r="BZ497" i="2"/>
  <c r="BZ498" i="2"/>
  <c r="BZ499" i="2"/>
  <c r="BZ500" i="2"/>
  <c r="BZ501" i="2"/>
  <c r="BZ502" i="2"/>
  <c r="BZ503" i="2"/>
  <c r="BZ504" i="2"/>
  <c r="BZ505" i="2"/>
  <c r="BZ506" i="2"/>
  <c r="BZ507" i="2"/>
  <c r="BZ508" i="2"/>
  <c r="BZ509" i="2"/>
  <c r="BZ510" i="2"/>
  <c r="BZ511" i="2"/>
  <c r="BZ512" i="2"/>
  <c r="BZ513" i="2"/>
  <c r="BZ514" i="2"/>
  <c r="BZ515" i="2"/>
  <c r="BZ516" i="2"/>
  <c r="BZ517" i="2"/>
  <c r="BZ518" i="2"/>
  <c r="BZ519" i="2"/>
  <c r="BZ520" i="2"/>
  <c r="BZ521" i="2"/>
  <c r="BZ522" i="2"/>
  <c r="BZ523" i="2"/>
  <c r="BZ524" i="2"/>
  <c r="BZ525" i="2"/>
  <c r="BZ526" i="2"/>
  <c r="BZ527" i="2"/>
  <c r="BZ528" i="2"/>
  <c r="BZ529" i="2"/>
  <c r="BZ530" i="2"/>
  <c r="BZ531" i="2"/>
  <c r="BZ532" i="2"/>
  <c r="BZ533" i="2"/>
  <c r="BZ534" i="2"/>
  <c r="BZ535" i="2"/>
  <c r="BZ536" i="2"/>
  <c r="BZ537" i="2"/>
  <c r="BZ538" i="2"/>
  <c r="BZ539" i="2"/>
  <c r="BZ540" i="2"/>
  <c r="BZ541" i="2"/>
  <c r="BZ542" i="2"/>
  <c r="BZ543" i="2"/>
  <c r="BZ544" i="2"/>
  <c r="BZ545" i="2"/>
  <c r="BZ546" i="2"/>
  <c r="BZ547" i="2"/>
  <c r="BZ548" i="2"/>
  <c r="BZ549" i="2"/>
  <c r="BZ550" i="2"/>
  <c r="BZ551" i="2"/>
  <c r="BZ552" i="2"/>
  <c r="BZ553" i="2"/>
  <c r="BZ554" i="2"/>
  <c r="BZ555" i="2"/>
  <c r="BZ556" i="2"/>
  <c r="BZ557" i="2"/>
  <c r="BZ558" i="2"/>
  <c r="BZ559" i="2"/>
  <c r="BZ560" i="2"/>
  <c r="BZ561" i="2"/>
  <c r="BZ562" i="2"/>
  <c r="BZ563" i="2"/>
  <c r="BZ564" i="2"/>
  <c r="BZ565" i="2"/>
  <c r="BZ566" i="2"/>
  <c r="BZ567" i="2"/>
  <c r="BZ568" i="2"/>
  <c r="BZ569" i="2"/>
  <c r="BZ570" i="2"/>
  <c r="BZ571" i="2"/>
  <c r="BZ572" i="2"/>
  <c r="BZ573" i="2"/>
  <c r="BZ574" i="2"/>
  <c r="BZ575" i="2"/>
  <c r="BZ576" i="2"/>
  <c r="BZ577" i="2"/>
  <c r="BZ578" i="2"/>
  <c r="BZ579" i="2"/>
  <c r="BZ580" i="2"/>
  <c r="BZ581" i="2"/>
  <c r="BZ582" i="2"/>
  <c r="BZ583" i="2"/>
  <c r="BZ584" i="2"/>
  <c r="BZ585" i="2"/>
  <c r="BZ586" i="2"/>
  <c r="BZ587" i="2"/>
  <c r="BZ588" i="2"/>
  <c r="BZ589" i="2"/>
  <c r="BZ590" i="2"/>
  <c r="BZ591" i="2"/>
  <c r="BZ592" i="2"/>
  <c r="BZ593" i="2"/>
  <c r="BZ594" i="2"/>
  <c r="BZ595" i="2"/>
  <c r="BZ596" i="2"/>
  <c r="BZ597" i="2"/>
  <c r="BZ598" i="2"/>
  <c r="BZ599" i="2"/>
  <c r="BZ600" i="2"/>
  <c r="BZ601" i="2"/>
  <c r="BZ602" i="2"/>
  <c r="BZ603" i="2"/>
  <c r="BZ604" i="2"/>
  <c r="BZ605" i="2"/>
  <c r="BZ606" i="2"/>
  <c r="BZ607" i="2"/>
  <c r="BZ608" i="2"/>
  <c r="BZ609" i="2"/>
  <c r="BZ610" i="2"/>
  <c r="BZ611" i="2"/>
  <c r="BZ612" i="2"/>
  <c r="BZ613" i="2"/>
  <c r="BZ614" i="2"/>
  <c r="BZ615" i="2"/>
  <c r="BZ616" i="2"/>
  <c r="BZ617" i="2"/>
  <c r="BZ618" i="2"/>
  <c r="BZ619" i="2"/>
  <c r="BZ620" i="2"/>
  <c r="BZ621" i="2"/>
  <c r="BZ622" i="2"/>
  <c r="BZ623" i="2"/>
  <c r="BZ624" i="2"/>
  <c r="BZ625" i="2"/>
  <c r="BZ626" i="2"/>
  <c r="BZ627" i="2"/>
  <c r="BZ628" i="2"/>
  <c r="BZ629" i="2"/>
  <c r="BZ630" i="2"/>
  <c r="BZ631" i="2"/>
  <c r="BZ632" i="2"/>
  <c r="BZ633" i="2"/>
  <c r="BZ634" i="2"/>
  <c r="BZ635" i="2"/>
  <c r="BZ636" i="2"/>
  <c r="BZ637" i="2"/>
  <c r="BZ638" i="2"/>
  <c r="BZ639" i="2"/>
  <c r="BZ640" i="2"/>
  <c r="BZ641" i="2"/>
  <c r="BZ642" i="2"/>
  <c r="BZ643" i="2"/>
  <c r="BZ644" i="2"/>
  <c r="BZ645" i="2"/>
  <c r="BZ646" i="2"/>
  <c r="BZ647" i="2"/>
  <c r="BZ648" i="2"/>
  <c r="BZ649" i="2"/>
  <c r="BZ650" i="2"/>
  <c r="BZ651" i="2"/>
  <c r="BZ652" i="2"/>
  <c r="BZ653" i="2"/>
  <c r="BZ654" i="2"/>
  <c r="BZ655" i="2"/>
  <c r="BZ656" i="2"/>
  <c r="BZ657" i="2"/>
  <c r="BZ658" i="2"/>
  <c r="BZ659" i="2"/>
  <c r="BZ660" i="2"/>
  <c r="BZ661" i="2"/>
  <c r="BZ662" i="2"/>
  <c r="BZ663" i="2"/>
  <c r="BZ664" i="2"/>
  <c r="BZ665" i="2"/>
  <c r="BZ666" i="2"/>
  <c r="BZ667" i="2"/>
  <c r="BZ668" i="2"/>
  <c r="BZ669" i="2"/>
  <c r="BZ670" i="2"/>
  <c r="BZ671" i="2"/>
  <c r="BZ672" i="2"/>
  <c r="BZ673" i="2"/>
  <c r="BZ674" i="2"/>
  <c r="BZ675" i="2"/>
  <c r="BZ676" i="2"/>
  <c r="BZ677" i="2"/>
  <c r="BZ678" i="2"/>
  <c r="BZ679" i="2"/>
  <c r="BZ680" i="2"/>
  <c r="BZ681" i="2"/>
  <c r="BZ682" i="2"/>
  <c r="BZ683" i="2"/>
  <c r="BZ684" i="2"/>
  <c r="BZ685" i="2"/>
  <c r="BZ686" i="2"/>
  <c r="BZ687" i="2"/>
  <c r="BZ688" i="2"/>
  <c r="BZ689" i="2"/>
  <c r="BZ690" i="2"/>
  <c r="BZ691" i="2"/>
  <c r="BZ692" i="2"/>
  <c r="BZ693" i="2"/>
  <c r="BZ694" i="2"/>
  <c r="BZ695" i="2"/>
  <c r="BZ696" i="2"/>
  <c r="BZ697" i="2"/>
  <c r="BZ698" i="2"/>
  <c r="BZ699" i="2"/>
  <c r="BZ700" i="2"/>
  <c r="BZ701" i="2"/>
  <c r="BZ702" i="2"/>
  <c r="BZ703" i="2"/>
  <c r="BZ704" i="2"/>
  <c r="BZ705" i="2"/>
  <c r="BZ706" i="2"/>
  <c r="BZ707" i="2"/>
  <c r="BZ708" i="2"/>
  <c r="BZ709" i="2"/>
  <c r="BZ710" i="2"/>
  <c r="BZ711" i="2"/>
  <c r="BZ712" i="2"/>
  <c r="BZ713" i="2"/>
  <c r="BZ714" i="2"/>
  <c r="BZ715" i="2"/>
  <c r="BZ716" i="2"/>
  <c r="BZ717" i="2"/>
  <c r="BZ718" i="2"/>
  <c r="BZ719" i="2"/>
  <c r="BZ720" i="2"/>
  <c r="BZ721" i="2"/>
  <c r="BZ722" i="2"/>
  <c r="BZ723" i="2"/>
  <c r="BZ724" i="2"/>
  <c r="BZ725" i="2"/>
  <c r="BZ726" i="2"/>
  <c r="BZ727" i="2"/>
  <c r="BZ728" i="2"/>
  <c r="BZ729" i="2"/>
  <c r="BZ730" i="2"/>
  <c r="BZ731" i="2"/>
  <c r="BZ732" i="2"/>
  <c r="BZ733" i="2"/>
  <c r="BZ734" i="2"/>
  <c r="BZ735" i="2"/>
  <c r="BZ736" i="2"/>
  <c r="BZ737" i="2"/>
  <c r="BZ738" i="2"/>
  <c r="BZ739" i="2"/>
  <c r="BZ740" i="2"/>
  <c r="BZ741" i="2"/>
  <c r="BZ742" i="2"/>
  <c r="BZ743" i="2"/>
  <c r="BZ744" i="2"/>
  <c r="BZ745" i="2"/>
  <c r="BZ746" i="2"/>
  <c r="BZ747" i="2"/>
  <c r="BZ748" i="2"/>
  <c r="BZ749" i="2"/>
  <c r="BZ750" i="2"/>
  <c r="BZ751" i="2"/>
  <c r="BZ752" i="2"/>
  <c r="BZ753" i="2"/>
  <c r="BZ754" i="2"/>
  <c r="BZ755" i="2"/>
  <c r="BZ756" i="2"/>
  <c r="BZ757" i="2"/>
  <c r="BZ758" i="2"/>
  <c r="BZ759" i="2"/>
  <c r="BZ760" i="2"/>
  <c r="BZ761" i="2"/>
  <c r="BZ762" i="2"/>
  <c r="BZ763" i="2"/>
  <c r="BZ764" i="2"/>
  <c r="BZ765" i="2"/>
  <c r="BZ766" i="2"/>
  <c r="BZ767" i="2"/>
  <c r="BZ768" i="2"/>
  <c r="BZ769" i="2"/>
  <c r="BZ770" i="2"/>
  <c r="BZ771" i="2"/>
  <c r="BZ772" i="2"/>
  <c r="BZ773" i="2"/>
  <c r="BZ774" i="2"/>
  <c r="BZ775" i="2"/>
  <c r="BZ776" i="2"/>
  <c r="BZ777" i="2"/>
  <c r="BZ778" i="2"/>
  <c r="BZ779" i="2"/>
  <c r="BZ780" i="2"/>
  <c r="BZ781" i="2"/>
  <c r="BZ782" i="2"/>
  <c r="BZ783" i="2"/>
  <c r="BZ784" i="2"/>
  <c r="BZ785" i="2"/>
  <c r="BZ786" i="2"/>
  <c r="BZ787" i="2"/>
  <c r="BZ788" i="2"/>
  <c r="BZ789" i="2"/>
  <c r="BZ790" i="2"/>
  <c r="BZ791" i="2"/>
  <c r="BZ792" i="2"/>
  <c r="BZ793" i="2"/>
  <c r="BZ794" i="2"/>
  <c r="BZ795" i="2"/>
  <c r="BZ796" i="2"/>
  <c r="BZ797" i="2"/>
  <c r="BZ798" i="2"/>
  <c r="BZ799" i="2"/>
  <c r="BZ800" i="2"/>
  <c r="BZ801" i="2"/>
  <c r="BZ802" i="2"/>
  <c r="BZ803" i="2"/>
  <c r="BZ804" i="2"/>
  <c r="BZ805" i="2"/>
  <c r="BZ806" i="2"/>
  <c r="BZ807" i="2"/>
  <c r="BZ808" i="2"/>
  <c r="BZ809" i="2"/>
  <c r="BZ810" i="2"/>
  <c r="BZ811" i="2"/>
  <c r="BZ812" i="2"/>
  <c r="BZ813" i="2"/>
  <c r="BZ814" i="2"/>
  <c r="BZ815" i="2"/>
  <c r="BZ816" i="2"/>
  <c r="BZ817" i="2"/>
  <c r="BZ818" i="2"/>
  <c r="BZ819" i="2"/>
  <c r="BZ820" i="2"/>
  <c r="BZ821" i="2"/>
  <c r="BZ822" i="2"/>
  <c r="BZ823" i="2"/>
  <c r="BZ824" i="2"/>
  <c r="BZ825" i="2"/>
  <c r="BZ826" i="2"/>
  <c r="BZ827" i="2"/>
  <c r="BZ828" i="2"/>
  <c r="BZ829" i="2"/>
  <c r="BZ830" i="2"/>
  <c r="BZ831" i="2"/>
  <c r="BZ832" i="2"/>
  <c r="BZ833" i="2"/>
  <c r="BZ834" i="2"/>
  <c r="BZ835" i="2"/>
  <c r="BZ836" i="2"/>
  <c r="BZ837" i="2"/>
  <c r="BZ838" i="2"/>
  <c r="BZ839" i="2"/>
  <c r="BZ840" i="2"/>
  <c r="BZ841" i="2"/>
  <c r="BZ842" i="2"/>
  <c r="BZ843" i="2"/>
  <c r="BZ844" i="2"/>
  <c r="BZ845" i="2"/>
  <c r="BZ846" i="2"/>
  <c r="BZ847" i="2"/>
  <c r="BZ848" i="2"/>
  <c r="BZ849" i="2"/>
  <c r="BZ850" i="2"/>
  <c r="BZ851" i="2"/>
  <c r="BZ852" i="2"/>
  <c r="BZ853" i="2"/>
  <c r="BZ854" i="2"/>
  <c r="BZ855" i="2"/>
  <c r="BZ856" i="2"/>
  <c r="BZ857" i="2"/>
  <c r="BZ858" i="2"/>
  <c r="BZ859" i="2"/>
  <c r="BZ860" i="2"/>
  <c r="BZ861" i="2"/>
  <c r="BZ862" i="2"/>
  <c r="BZ863" i="2"/>
  <c r="BZ864" i="2"/>
  <c r="BZ865" i="2"/>
  <c r="BZ866" i="2"/>
  <c r="BZ867" i="2"/>
  <c r="BZ868" i="2"/>
  <c r="BZ869" i="2"/>
  <c r="BZ870" i="2"/>
  <c r="BZ871" i="2"/>
  <c r="BZ872" i="2"/>
  <c r="BZ873" i="2"/>
  <c r="BZ874" i="2"/>
  <c r="BZ875" i="2"/>
  <c r="BZ876" i="2"/>
  <c r="BZ877" i="2"/>
  <c r="BZ878" i="2"/>
  <c r="BZ879" i="2"/>
  <c r="BZ880" i="2"/>
  <c r="BZ881" i="2"/>
  <c r="BZ882" i="2"/>
  <c r="BZ883" i="2"/>
  <c r="BZ884" i="2"/>
  <c r="BZ885" i="2"/>
  <c r="BZ886" i="2"/>
  <c r="BZ887" i="2"/>
  <c r="BZ888" i="2"/>
  <c r="BZ889" i="2"/>
  <c r="BZ890" i="2"/>
  <c r="BZ891" i="2"/>
  <c r="BZ892" i="2"/>
  <c r="BZ893" i="2"/>
  <c r="BZ894" i="2"/>
  <c r="BZ895" i="2"/>
  <c r="BZ896" i="2"/>
  <c r="BZ897" i="2"/>
  <c r="BZ898" i="2"/>
  <c r="BZ899" i="2"/>
  <c r="BZ900" i="2"/>
  <c r="BZ901" i="2"/>
  <c r="BZ902" i="2"/>
  <c r="BZ903" i="2"/>
  <c r="BZ904" i="2"/>
  <c r="BZ905" i="2"/>
  <c r="BZ906" i="2"/>
  <c r="BZ907" i="2"/>
  <c r="BZ908" i="2"/>
  <c r="BZ909" i="2"/>
  <c r="BZ910" i="2"/>
  <c r="BZ911" i="2"/>
  <c r="BZ912" i="2"/>
  <c r="BZ913" i="2"/>
  <c r="BZ914" i="2"/>
  <c r="BZ915" i="2"/>
  <c r="BZ916" i="2"/>
  <c r="BZ917" i="2"/>
  <c r="BZ918" i="2"/>
  <c r="BZ919" i="2"/>
  <c r="BZ920" i="2"/>
  <c r="BZ921" i="2"/>
  <c r="BZ922" i="2"/>
  <c r="BZ923" i="2"/>
  <c r="BZ924" i="2"/>
  <c r="BZ925" i="2"/>
  <c r="BZ926" i="2"/>
  <c r="BZ927" i="2"/>
  <c r="BZ928" i="2"/>
  <c r="BZ929" i="2"/>
  <c r="BZ930" i="2"/>
  <c r="BZ931" i="2"/>
  <c r="BZ932" i="2"/>
  <c r="BZ933" i="2"/>
  <c r="BZ934" i="2"/>
  <c r="BZ935" i="2"/>
  <c r="BZ936" i="2"/>
  <c r="BZ937" i="2"/>
  <c r="BZ938" i="2"/>
  <c r="BZ939" i="2"/>
  <c r="BZ940" i="2"/>
  <c r="BZ941" i="2"/>
  <c r="BZ942" i="2"/>
  <c r="BZ943" i="2"/>
  <c r="BZ944" i="2"/>
  <c r="BZ945" i="2"/>
  <c r="BZ946" i="2"/>
  <c r="BZ947" i="2"/>
  <c r="BZ948" i="2"/>
  <c r="BZ949" i="2"/>
  <c r="BZ950" i="2"/>
  <c r="BZ951" i="2"/>
  <c r="BZ952" i="2"/>
  <c r="BZ953" i="2"/>
  <c r="BZ954" i="2"/>
  <c r="BZ955" i="2"/>
  <c r="BZ956" i="2"/>
  <c r="BZ957" i="2"/>
  <c r="BZ958" i="2"/>
  <c r="BZ959" i="2"/>
  <c r="BZ960" i="2"/>
  <c r="BZ961" i="2"/>
  <c r="BZ962" i="2"/>
  <c r="BZ963" i="2"/>
  <c r="BZ964" i="2"/>
  <c r="BZ965" i="2"/>
  <c r="BZ966" i="2"/>
  <c r="BZ967" i="2"/>
  <c r="BZ968" i="2"/>
  <c r="BZ969" i="2"/>
  <c r="BZ970" i="2"/>
  <c r="BZ971" i="2"/>
  <c r="BZ972" i="2"/>
  <c r="BZ973" i="2"/>
  <c r="BZ974" i="2"/>
  <c r="BZ975" i="2"/>
  <c r="BZ976" i="2"/>
  <c r="BZ977" i="2"/>
  <c r="BZ978" i="2"/>
  <c r="BZ979" i="2"/>
  <c r="BZ980" i="2"/>
  <c r="BZ981" i="2"/>
  <c r="BZ982" i="2"/>
  <c r="BZ983" i="2"/>
  <c r="BZ984" i="2"/>
  <c r="BZ985" i="2"/>
  <c r="BZ986" i="2"/>
  <c r="BZ987" i="2"/>
  <c r="BZ988" i="2"/>
  <c r="BZ989" i="2"/>
  <c r="BZ990" i="2"/>
  <c r="BZ991" i="2"/>
  <c r="BZ992" i="2"/>
  <c r="BZ993" i="2"/>
  <c r="BZ994" i="2"/>
  <c r="BZ995" i="2"/>
  <c r="BZ996" i="2"/>
  <c r="BZ997" i="2"/>
  <c r="BZ998" i="2"/>
  <c r="BZ999" i="2"/>
  <c r="BZ1000" i="2"/>
  <c r="BZ1001" i="2"/>
  <c r="BZ1002" i="2"/>
  <c r="BZ1003" i="2"/>
  <c r="BZ1004" i="2"/>
  <c r="BZ1005" i="2"/>
  <c r="BZ1006" i="2"/>
  <c r="BZ1007" i="2"/>
  <c r="BZ1008" i="2"/>
  <c r="BZ1009" i="2"/>
  <c r="BZ1010" i="2"/>
  <c r="BZ1011" i="2"/>
  <c r="BZ1012" i="2"/>
  <c r="BZ1013" i="2"/>
  <c r="BZ1014" i="2"/>
  <c r="BZ1015" i="2"/>
  <c r="BZ1016" i="2"/>
  <c r="BZ1017" i="2"/>
  <c r="BZ1018" i="2"/>
  <c r="BZ1019" i="2"/>
  <c r="BZ1020" i="2"/>
  <c r="BZ1021" i="2"/>
  <c r="BZ1022" i="2"/>
  <c r="BZ1023" i="2"/>
  <c r="BZ1024" i="2"/>
  <c r="BZ1025" i="2"/>
  <c r="BZ1026" i="2"/>
  <c r="BZ1027" i="2"/>
  <c r="BZ1028" i="2"/>
  <c r="BZ1029" i="2"/>
  <c r="BZ1030" i="2"/>
  <c r="BZ1031" i="2"/>
  <c r="BZ1032" i="2"/>
  <c r="BZ1033" i="2"/>
  <c r="BZ1034" i="2"/>
  <c r="BZ1035" i="2"/>
  <c r="BZ1036" i="2"/>
  <c r="BZ1037" i="2"/>
  <c r="BZ1038" i="2"/>
  <c r="BZ1039" i="2"/>
  <c r="BZ1040" i="2"/>
  <c r="BZ1041" i="2"/>
  <c r="BZ1042" i="2"/>
  <c r="BZ1043" i="2"/>
  <c r="BZ1044" i="2"/>
  <c r="BZ1045" i="2"/>
  <c r="BZ1046" i="2"/>
  <c r="BZ1047" i="2"/>
  <c r="BZ1048" i="2"/>
  <c r="BZ1049" i="2"/>
  <c r="BZ1050" i="2"/>
  <c r="BZ1051" i="2"/>
  <c r="BZ1052" i="2"/>
  <c r="BZ1053" i="2"/>
  <c r="BZ1054" i="2"/>
  <c r="BZ1055" i="2"/>
  <c r="BZ1056" i="2"/>
  <c r="BZ1057" i="2"/>
  <c r="BZ1058" i="2"/>
  <c r="BZ1059" i="2"/>
  <c r="BZ1060" i="2"/>
  <c r="BZ1061" i="2"/>
  <c r="BZ1062" i="2"/>
  <c r="BZ1063" i="2"/>
  <c r="BZ1064" i="2"/>
  <c r="BZ1065" i="2"/>
  <c r="BZ1066" i="2"/>
  <c r="BZ1067" i="2"/>
  <c r="BZ1068" i="2"/>
  <c r="BZ1069" i="2"/>
  <c r="BZ1070" i="2"/>
  <c r="BZ1071" i="2"/>
  <c r="BZ1072" i="2"/>
  <c r="BZ1073" i="2"/>
  <c r="BZ1074" i="2"/>
  <c r="BZ1075" i="2"/>
  <c r="BZ1076" i="2"/>
  <c r="BZ1077" i="2"/>
  <c r="BZ1078" i="2"/>
  <c r="BZ1079" i="2"/>
  <c r="BZ1080" i="2"/>
  <c r="BZ1081" i="2"/>
  <c r="BZ1082" i="2"/>
  <c r="BZ1083" i="2"/>
  <c r="BZ1084" i="2"/>
  <c r="BZ1085" i="2"/>
  <c r="BZ1086" i="2"/>
  <c r="BZ1087" i="2"/>
  <c r="BZ1088" i="2"/>
  <c r="BZ1089" i="2"/>
  <c r="BZ1090" i="2"/>
  <c r="BZ1091" i="2"/>
  <c r="BZ1092" i="2"/>
  <c r="BZ1093" i="2"/>
  <c r="BZ1094" i="2"/>
  <c r="BZ1095" i="2"/>
  <c r="BZ1096" i="2"/>
  <c r="BZ1097" i="2"/>
  <c r="BZ1098" i="2"/>
  <c r="BZ1099" i="2"/>
  <c r="BZ1100" i="2"/>
  <c r="BZ1101" i="2"/>
  <c r="BZ1102" i="2"/>
  <c r="BZ1103" i="2"/>
  <c r="BZ1104" i="2"/>
  <c r="BZ1105" i="2"/>
  <c r="BZ1106" i="2"/>
  <c r="BZ1107" i="2"/>
  <c r="BZ1108" i="2"/>
  <c r="BZ1109" i="2"/>
  <c r="BZ1110" i="2"/>
  <c r="BZ1111" i="2"/>
  <c r="BZ1112" i="2"/>
  <c r="BZ1113" i="2"/>
  <c r="BZ1114" i="2"/>
  <c r="BZ1115" i="2"/>
  <c r="BZ1116" i="2"/>
  <c r="BZ1117" i="2"/>
  <c r="BZ1118" i="2"/>
  <c r="BZ1119" i="2"/>
  <c r="BZ1120" i="2"/>
  <c r="BZ1121" i="2"/>
  <c r="BZ1122" i="2"/>
  <c r="BZ1123" i="2"/>
  <c r="BZ1124" i="2"/>
  <c r="BZ1125" i="2"/>
  <c r="BZ1126" i="2"/>
  <c r="BZ1127" i="2"/>
  <c r="BZ1128" i="2"/>
  <c r="BZ1129" i="2"/>
  <c r="BZ1130" i="2"/>
  <c r="BZ1131" i="2"/>
  <c r="BZ1132" i="2"/>
  <c r="BZ1133" i="2"/>
  <c r="BZ1134" i="2"/>
  <c r="BZ1135" i="2"/>
  <c r="BZ1136" i="2"/>
  <c r="BZ1137" i="2"/>
  <c r="BZ1138" i="2"/>
  <c r="BZ1139" i="2"/>
  <c r="BZ1140" i="2"/>
  <c r="BZ1141" i="2"/>
  <c r="BZ1142" i="2"/>
  <c r="BZ1143" i="2"/>
  <c r="BZ1144" i="2"/>
  <c r="BZ1145" i="2"/>
  <c r="BZ1146" i="2"/>
  <c r="BZ1147" i="2"/>
  <c r="BZ1148" i="2"/>
  <c r="BZ1149" i="2"/>
  <c r="BZ1150" i="2"/>
  <c r="BZ1151" i="2"/>
  <c r="BZ1152" i="2"/>
  <c r="BZ1153" i="2"/>
  <c r="BZ1154" i="2"/>
  <c r="BZ1155" i="2"/>
  <c r="BZ1156" i="2"/>
  <c r="BZ1157" i="2"/>
  <c r="BZ1158" i="2"/>
  <c r="BZ1159" i="2"/>
  <c r="BZ1160" i="2"/>
  <c r="BZ1161" i="2"/>
  <c r="BZ1162" i="2"/>
  <c r="BZ1163" i="2"/>
  <c r="BZ1164" i="2"/>
  <c r="BZ1165" i="2"/>
  <c r="BZ1166" i="2"/>
  <c r="BZ1167" i="2"/>
  <c r="BZ1168" i="2"/>
  <c r="BZ1169" i="2"/>
  <c r="BZ1170" i="2"/>
  <c r="BZ1171" i="2"/>
  <c r="BZ1172" i="2"/>
  <c r="BZ1173" i="2"/>
  <c r="BZ1174" i="2"/>
  <c r="BZ1175" i="2"/>
  <c r="BZ1176" i="2"/>
  <c r="BZ1177" i="2"/>
  <c r="BZ1178" i="2"/>
  <c r="BZ1179" i="2"/>
  <c r="BZ1180" i="2"/>
  <c r="BZ1181" i="2"/>
  <c r="BZ1182" i="2"/>
  <c r="BZ1183" i="2"/>
  <c r="BZ1184" i="2"/>
  <c r="BZ1185" i="2"/>
  <c r="BZ1186" i="2"/>
  <c r="BZ1187" i="2"/>
  <c r="BZ1188" i="2"/>
  <c r="BZ1189" i="2"/>
  <c r="BZ1190" i="2"/>
  <c r="BZ1191" i="2"/>
  <c r="BZ1192" i="2"/>
  <c r="BZ1193" i="2"/>
  <c r="BZ1194" i="2"/>
  <c r="BZ1195" i="2"/>
  <c r="BZ1196" i="2"/>
  <c r="BZ1197" i="2"/>
  <c r="BZ1198" i="2"/>
  <c r="BZ1199" i="2"/>
  <c r="BZ1200" i="2"/>
  <c r="BZ1201" i="2"/>
  <c r="BZ1202" i="2"/>
  <c r="BZ1203" i="2"/>
  <c r="BZ1204" i="2"/>
  <c r="BZ1205" i="2"/>
  <c r="BZ1206" i="2"/>
  <c r="BZ1207" i="2"/>
  <c r="BZ1208" i="2"/>
  <c r="BZ1209" i="2"/>
  <c r="BZ1210" i="2"/>
  <c r="BZ1211" i="2"/>
  <c r="BZ1212" i="2"/>
  <c r="BZ1213" i="2"/>
  <c r="BZ1214" i="2"/>
  <c r="BZ1215" i="2"/>
  <c r="BZ1216" i="2"/>
  <c r="BZ1217" i="2"/>
  <c r="BZ1218" i="2"/>
  <c r="BZ1219" i="2"/>
  <c r="BZ1220" i="2"/>
  <c r="BZ1221" i="2"/>
  <c r="BZ1222" i="2"/>
  <c r="BZ1223" i="2"/>
  <c r="BZ1224" i="2"/>
  <c r="BZ1225" i="2"/>
  <c r="BZ1226" i="2"/>
  <c r="BZ1227" i="2"/>
  <c r="BZ1228" i="2"/>
  <c r="BZ1229" i="2"/>
  <c r="BZ1230" i="2"/>
  <c r="BZ1231" i="2"/>
  <c r="BZ1232" i="2"/>
  <c r="BZ1233" i="2"/>
  <c r="BZ1234" i="2"/>
  <c r="BZ1235" i="2"/>
  <c r="BZ1236" i="2"/>
  <c r="BZ1237" i="2"/>
  <c r="BZ1238" i="2"/>
  <c r="BZ1239" i="2"/>
  <c r="BZ1240" i="2"/>
  <c r="BZ1241" i="2"/>
  <c r="BZ1242" i="2"/>
  <c r="BZ1243" i="2"/>
  <c r="BZ1244" i="2"/>
  <c r="BZ1245" i="2"/>
  <c r="BZ1246" i="2"/>
  <c r="BZ1247" i="2"/>
  <c r="BZ1248" i="2"/>
  <c r="BZ1249" i="2"/>
  <c r="BZ1250" i="2"/>
  <c r="BZ1251" i="2"/>
  <c r="BZ1252" i="2"/>
  <c r="BZ1253" i="2"/>
  <c r="BZ1254" i="2"/>
  <c r="BZ1255" i="2"/>
  <c r="BZ1256" i="2"/>
  <c r="BZ1257" i="2"/>
  <c r="BZ1258" i="2"/>
  <c r="BZ1259" i="2"/>
  <c r="BZ1260" i="2"/>
  <c r="BZ1261" i="2"/>
  <c r="BZ1262" i="2"/>
  <c r="BZ1263" i="2"/>
  <c r="BZ1264" i="2"/>
  <c r="BZ1265" i="2"/>
  <c r="BZ1266" i="2"/>
  <c r="BZ1267" i="2"/>
  <c r="BZ1268" i="2"/>
  <c r="BZ1269" i="2"/>
  <c r="BZ1270" i="2"/>
  <c r="BZ1271" i="2"/>
  <c r="BZ1272" i="2"/>
  <c r="BZ1273" i="2"/>
  <c r="BZ1274" i="2"/>
  <c r="BZ1275" i="2"/>
  <c r="BZ1276" i="2"/>
  <c r="BZ1277" i="2"/>
  <c r="BZ1278" i="2"/>
  <c r="BZ1279" i="2"/>
  <c r="BZ1280" i="2"/>
  <c r="BZ1281" i="2"/>
  <c r="BZ1282" i="2"/>
  <c r="BZ1283" i="2"/>
  <c r="BZ1284" i="2"/>
  <c r="BZ1285" i="2"/>
  <c r="BZ1286" i="2"/>
  <c r="BZ1287" i="2"/>
  <c r="BZ1288" i="2"/>
  <c r="BZ1289" i="2"/>
  <c r="BZ1290" i="2"/>
  <c r="BZ1291" i="2"/>
  <c r="BZ1292" i="2"/>
  <c r="BZ1293" i="2"/>
  <c r="BZ1294" i="2"/>
  <c r="BZ1295" i="2"/>
  <c r="BZ1296" i="2"/>
  <c r="BZ1297" i="2"/>
  <c r="BZ1298" i="2"/>
  <c r="BZ1299" i="2"/>
  <c r="BZ1300" i="2"/>
  <c r="BZ1301" i="2"/>
  <c r="BZ1302" i="2"/>
  <c r="BZ1303" i="2"/>
  <c r="BZ1304" i="2"/>
  <c r="BZ1305" i="2"/>
  <c r="BZ1306" i="2"/>
  <c r="BZ1307" i="2"/>
  <c r="BZ1308" i="2"/>
  <c r="BZ1309" i="2"/>
  <c r="BZ1310" i="2"/>
  <c r="BZ1311" i="2"/>
  <c r="BZ1312" i="2"/>
  <c r="BZ1313" i="2"/>
  <c r="BZ1314" i="2"/>
  <c r="BZ1315" i="2"/>
  <c r="BZ1316" i="2"/>
  <c r="BZ1317" i="2"/>
  <c r="BZ1318" i="2"/>
  <c r="BZ1319" i="2"/>
  <c r="BZ1320" i="2"/>
  <c r="BZ1321" i="2"/>
  <c r="BZ1322" i="2"/>
  <c r="BZ1323" i="2"/>
  <c r="BZ1324" i="2"/>
  <c r="BZ1325" i="2"/>
  <c r="BZ1326" i="2"/>
  <c r="BZ1327" i="2"/>
  <c r="BZ1328" i="2"/>
  <c r="BZ1329" i="2"/>
  <c r="BZ1330" i="2"/>
  <c r="BZ1331" i="2"/>
  <c r="BZ1332" i="2"/>
  <c r="BZ1333" i="2"/>
  <c r="BZ1334" i="2"/>
  <c r="BZ1335" i="2"/>
  <c r="BZ1336" i="2"/>
  <c r="BZ1337" i="2"/>
  <c r="BZ1338" i="2"/>
  <c r="BZ1339" i="2"/>
  <c r="BZ1340" i="2"/>
  <c r="BZ1341" i="2"/>
  <c r="BZ1342" i="2"/>
  <c r="BZ1343" i="2"/>
  <c r="BZ1344" i="2"/>
  <c r="BZ1345" i="2"/>
  <c r="BZ1346" i="2"/>
  <c r="BZ1347" i="2"/>
  <c r="BZ1348" i="2"/>
  <c r="BZ1349" i="2"/>
  <c r="BZ1350" i="2"/>
  <c r="BZ1351" i="2"/>
  <c r="BZ1352" i="2"/>
  <c r="BZ1353" i="2"/>
  <c r="BZ1354" i="2"/>
  <c r="BZ1355" i="2"/>
  <c r="BZ1356" i="2"/>
  <c r="BZ1357" i="2"/>
  <c r="BZ1358" i="2"/>
  <c r="BZ1359" i="2"/>
  <c r="BZ1360" i="2"/>
  <c r="BZ1361" i="2"/>
  <c r="BZ1362" i="2"/>
  <c r="BZ1363" i="2"/>
  <c r="BZ1364" i="2"/>
  <c r="BZ1365" i="2"/>
  <c r="BZ1366" i="2"/>
  <c r="BZ1367" i="2"/>
  <c r="BZ1368" i="2"/>
  <c r="BZ1369" i="2"/>
  <c r="BZ1370" i="2"/>
  <c r="BZ1371" i="2"/>
  <c r="BZ1372" i="2"/>
  <c r="BZ1373" i="2"/>
  <c r="BZ1374" i="2"/>
  <c r="BZ1375" i="2"/>
  <c r="BZ1376" i="2"/>
  <c r="BZ1377" i="2"/>
  <c r="BZ1378" i="2"/>
  <c r="BZ1379" i="2"/>
  <c r="BZ1380" i="2"/>
  <c r="BZ1381" i="2"/>
  <c r="BZ1382" i="2"/>
  <c r="BZ1383" i="2"/>
  <c r="BZ1384" i="2"/>
  <c r="BZ1385" i="2"/>
  <c r="BZ1386" i="2"/>
  <c r="BZ1387" i="2"/>
  <c r="BZ1388" i="2"/>
  <c r="BZ1389" i="2"/>
  <c r="BZ1390" i="2"/>
  <c r="BZ1391" i="2"/>
  <c r="BZ1392" i="2"/>
  <c r="BZ1393" i="2"/>
  <c r="BZ1394" i="2"/>
  <c r="BZ1395" i="2"/>
  <c r="BZ1396" i="2"/>
  <c r="BZ1397" i="2"/>
  <c r="BZ1398" i="2"/>
  <c r="BZ1399" i="2"/>
  <c r="BZ1400" i="2"/>
  <c r="BZ1401" i="2"/>
  <c r="BZ1402" i="2"/>
  <c r="BZ1403" i="2"/>
  <c r="BZ1404" i="2"/>
  <c r="BZ1405" i="2"/>
  <c r="BZ1406" i="2"/>
  <c r="BZ1407" i="2"/>
  <c r="BZ1408" i="2"/>
  <c r="BZ1409" i="2"/>
  <c r="BZ1410" i="2"/>
  <c r="BZ1411" i="2"/>
  <c r="BZ1412" i="2"/>
  <c r="BZ1413" i="2"/>
  <c r="BZ1414" i="2"/>
  <c r="BZ1415" i="2"/>
  <c r="BZ1416" i="2"/>
  <c r="BZ1417" i="2"/>
  <c r="BZ1418" i="2"/>
  <c r="BZ1419" i="2"/>
  <c r="BZ1420" i="2"/>
  <c r="BZ1421" i="2"/>
  <c r="BZ1422" i="2"/>
  <c r="BZ1423" i="2"/>
  <c r="BZ1424" i="2"/>
  <c r="BZ1425" i="2"/>
  <c r="BZ1426" i="2"/>
  <c r="BZ1427" i="2"/>
  <c r="BZ1428" i="2"/>
  <c r="BZ1429" i="2"/>
  <c r="BZ1430" i="2"/>
  <c r="BZ1431" i="2"/>
  <c r="BZ1432" i="2"/>
  <c r="BZ1433" i="2"/>
  <c r="BZ1434" i="2"/>
  <c r="BZ1435" i="2"/>
  <c r="BZ1436" i="2"/>
  <c r="BZ1437" i="2"/>
  <c r="BZ1438" i="2"/>
  <c r="BZ1439" i="2"/>
  <c r="BZ1440" i="2"/>
  <c r="BZ1441" i="2"/>
  <c r="BZ1442" i="2"/>
  <c r="BZ1443" i="2"/>
  <c r="BZ1444" i="2"/>
  <c r="BZ1445" i="2"/>
  <c r="BZ1446" i="2"/>
  <c r="BZ1447" i="2"/>
  <c r="BZ1448" i="2"/>
  <c r="BZ1449" i="2"/>
  <c r="BZ1450" i="2"/>
  <c r="BZ1451" i="2"/>
  <c r="BZ1452" i="2"/>
  <c r="BZ1453" i="2"/>
  <c r="BZ1454" i="2"/>
  <c r="BZ1455" i="2"/>
  <c r="BZ1456" i="2"/>
  <c r="BZ1457" i="2"/>
  <c r="BZ1458" i="2"/>
  <c r="BZ1459" i="2"/>
  <c r="BZ1460" i="2"/>
  <c r="BZ1461" i="2"/>
  <c r="BZ1462" i="2"/>
  <c r="BZ1463" i="2"/>
  <c r="BZ1464" i="2"/>
  <c r="BZ1465" i="2"/>
  <c r="BZ1466" i="2"/>
  <c r="BZ1467" i="2"/>
  <c r="BZ1468" i="2"/>
  <c r="BZ1469" i="2"/>
  <c r="BZ1470" i="2"/>
  <c r="BZ1471" i="2"/>
  <c r="BZ1472" i="2"/>
  <c r="BZ1473" i="2"/>
  <c r="BZ1474" i="2"/>
  <c r="BZ1475" i="2"/>
  <c r="BZ1476" i="2"/>
  <c r="BZ1477" i="2"/>
  <c r="BZ1478" i="2"/>
  <c r="BZ1479" i="2"/>
  <c r="BZ1480" i="2"/>
  <c r="BZ1481" i="2"/>
  <c r="BZ1482" i="2"/>
  <c r="BZ1483" i="2"/>
  <c r="BZ1484" i="2"/>
  <c r="BZ1485" i="2"/>
  <c r="BZ1486" i="2"/>
  <c r="BZ1487" i="2"/>
  <c r="BZ1488" i="2"/>
  <c r="BZ1489" i="2"/>
  <c r="BZ1490" i="2"/>
  <c r="BZ1491" i="2"/>
  <c r="BZ1492" i="2"/>
  <c r="BZ1493" i="2"/>
  <c r="BZ1494" i="2"/>
  <c r="BZ1495" i="2"/>
  <c r="BZ1496" i="2"/>
  <c r="BZ1497" i="2"/>
  <c r="BZ1498" i="2"/>
  <c r="BZ1499" i="2"/>
  <c r="BZ1500" i="2"/>
  <c r="BZ1501" i="2"/>
  <c r="BZ1502" i="2"/>
  <c r="BZ1503" i="2"/>
  <c r="BZ1504" i="2"/>
  <c r="BZ1505" i="2"/>
  <c r="BZ1506" i="2"/>
  <c r="BZ1507" i="2"/>
  <c r="BZ1508" i="2"/>
  <c r="BZ1509" i="2"/>
  <c r="BZ1510" i="2"/>
  <c r="BZ1511" i="2"/>
  <c r="BZ1512" i="2"/>
  <c r="BZ1513" i="2"/>
  <c r="BZ1514" i="2"/>
  <c r="BZ1515" i="2"/>
  <c r="BZ1516" i="2"/>
  <c r="BZ1517" i="2"/>
  <c r="BZ1518" i="2"/>
  <c r="BZ1519" i="2"/>
  <c r="BZ1520" i="2"/>
  <c r="BZ1521" i="2"/>
  <c r="BZ1522" i="2"/>
  <c r="BZ1523" i="2"/>
  <c r="BZ1524" i="2"/>
  <c r="BZ1525" i="2"/>
  <c r="BZ1526" i="2"/>
  <c r="BZ1527" i="2"/>
  <c r="BZ1528" i="2"/>
  <c r="BZ1529" i="2"/>
  <c r="BZ1530" i="2"/>
  <c r="BZ1531" i="2"/>
  <c r="BZ1532" i="2"/>
  <c r="BZ1533" i="2"/>
  <c r="BZ1534" i="2"/>
  <c r="BZ1535" i="2"/>
  <c r="BZ1536" i="2"/>
  <c r="BZ1537" i="2"/>
  <c r="BZ1538" i="2"/>
  <c r="BZ1539" i="2"/>
  <c r="BZ1540" i="2"/>
  <c r="BZ1541" i="2"/>
  <c r="BZ1542" i="2"/>
  <c r="BZ1543" i="2"/>
  <c r="BZ1544" i="2"/>
  <c r="BZ1545" i="2"/>
  <c r="BZ1546" i="2"/>
  <c r="BZ1547" i="2"/>
  <c r="BZ1548" i="2"/>
  <c r="BZ1549" i="2"/>
  <c r="BZ1550" i="2"/>
  <c r="BZ1551" i="2"/>
  <c r="BZ1552" i="2"/>
  <c r="BZ1553" i="2"/>
  <c r="BZ1554" i="2"/>
  <c r="BZ1555" i="2"/>
  <c r="BZ1556" i="2"/>
  <c r="BZ1557" i="2"/>
  <c r="BZ1558" i="2"/>
  <c r="BZ1559" i="2"/>
  <c r="BZ1560" i="2"/>
  <c r="BZ1561" i="2"/>
  <c r="BZ1562" i="2"/>
  <c r="BZ1563" i="2"/>
  <c r="BZ1564" i="2"/>
  <c r="BZ1565" i="2"/>
  <c r="BZ1566" i="2"/>
  <c r="BZ1567" i="2"/>
  <c r="BZ1568" i="2"/>
  <c r="BZ1569" i="2"/>
  <c r="BZ1570" i="2"/>
  <c r="BZ1571" i="2"/>
  <c r="BZ1572" i="2"/>
  <c r="BZ1573" i="2"/>
  <c r="BZ1574" i="2"/>
  <c r="BZ1575" i="2"/>
  <c r="BZ1576" i="2"/>
  <c r="BZ1577" i="2"/>
  <c r="BZ1578" i="2"/>
  <c r="BZ1579" i="2"/>
  <c r="BZ1580" i="2"/>
  <c r="BZ1581" i="2"/>
  <c r="BZ1582" i="2"/>
  <c r="BZ1583" i="2"/>
  <c r="BZ1584" i="2"/>
  <c r="BZ1585" i="2"/>
  <c r="BZ1586" i="2"/>
  <c r="BZ1587" i="2"/>
  <c r="BZ1588" i="2"/>
  <c r="BZ1589" i="2"/>
  <c r="BZ1590" i="2"/>
  <c r="BZ1591" i="2"/>
  <c r="BZ1592" i="2"/>
  <c r="BZ1593" i="2"/>
  <c r="BZ1594" i="2"/>
  <c r="BZ1595" i="2"/>
  <c r="BZ1596" i="2"/>
  <c r="BZ1597" i="2"/>
  <c r="BZ1598" i="2"/>
  <c r="BZ1599" i="2"/>
  <c r="BZ1600" i="2"/>
  <c r="BZ1601" i="2"/>
  <c r="BZ1602" i="2"/>
  <c r="BZ1603" i="2"/>
  <c r="BZ1604" i="2"/>
  <c r="BZ1605" i="2"/>
  <c r="BZ1606" i="2"/>
  <c r="BZ1607" i="2"/>
  <c r="BZ1608" i="2"/>
  <c r="BZ1609" i="2"/>
  <c r="BZ1610" i="2"/>
  <c r="BZ1611" i="2"/>
  <c r="BZ1612" i="2"/>
  <c r="BZ1613" i="2"/>
  <c r="BZ1614" i="2"/>
  <c r="BZ1615" i="2"/>
  <c r="BZ1616" i="2"/>
  <c r="BZ1617" i="2"/>
  <c r="BZ1618" i="2"/>
  <c r="BZ1619" i="2"/>
  <c r="BZ1620" i="2"/>
  <c r="BZ1621" i="2"/>
  <c r="BZ1622" i="2"/>
  <c r="BZ1623" i="2"/>
  <c r="BZ1624" i="2"/>
  <c r="BZ1625" i="2"/>
  <c r="BZ1626" i="2"/>
  <c r="BZ1627" i="2"/>
  <c r="BZ1628" i="2"/>
  <c r="BZ1629" i="2"/>
  <c r="BZ1630" i="2"/>
  <c r="BZ1631" i="2"/>
  <c r="BZ1632" i="2"/>
  <c r="BZ1633" i="2"/>
  <c r="BZ1634" i="2"/>
  <c r="BZ1635" i="2"/>
  <c r="BZ1636" i="2"/>
  <c r="BZ1637" i="2"/>
  <c r="BZ1638" i="2"/>
  <c r="BZ1639" i="2"/>
  <c r="BZ1640" i="2"/>
  <c r="BZ1641" i="2"/>
  <c r="BZ1642" i="2"/>
  <c r="BZ1643" i="2"/>
  <c r="BZ1644" i="2"/>
  <c r="BZ1645" i="2"/>
  <c r="BZ1646" i="2"/>
  <c r="BZ1647" i="2"/>
  <c r="BZ1648" i="2"/>
  <c r="BZ1649" i="2"/>
  <c r="BZ1650" i="2"/>
  <c r="BZ1651" i="2"/>
  <c r="BZ1652" i="2"/>
  <c r="BZ1653" i="2"/>
  <c r="BZ1654" i="2"/>
  <c r="BZ1655" i="2"/>
  <c r="BZ1656" i="2"/>
  <c r="BZ1657" i="2"/>
  <c r="BZ1658" i="2"/>
  <c r="BZ1659" i="2"/>
  <c r="BZ1660" i="2"/>
  <c r="BZ1661" i="2"/>
  <c r="BZ1662" i="2"/>
  <c r="BZ1663" i="2"/>
  <c r="BZ1664" i="2"/>
  <c r="BZ1665" i="2"/>
  <c r="BZ1666" i="2"/>
  <c r="BZ1667" i="2"/>
  <c r="BZ1668" i="2"/>
  <c r="BZ1669" i="2"/>
  <c r="BZ1670" i="2"/>
  <c r="BZ1671" i="2"/>
  <c r="BZ1672" i="2"/>
  <c r="BZ1673" i="2"/>
  <c r="BZ1674" i="2"/>
  <c r="BZ1675" i="2"/>
  <c r="BZ1676" i="2"/>
  <c r="BZ1677" i="2"/>
  <c r="BZ1678" i="2"/>
  <c r="BZ1679" i="2"/>
  <c r="BZ1680" i="2"/>
  <c r="BZ1681" i="2"/>
  <c r="BZ1682" i="2"/>
  <c r="BZ1683" i="2"/>
  <c r="BZ1684" i="2"/>
  <c r="BZ1685" i="2"/>
  <c r="BZ1686" i="2"/>
  <c r="BZ1687" i="2"/>
  <c r="BZ1688" i="2"/>
  <c r="BZ1689" i="2"/>
  <c r="BZ1690" i="2"/>
  <c r="BZ1691" i="2"/>
  <c r="BZ1692" i="2"/>
  <c r="BZ1693" i="2"/>
  <c r="BZ1694" i="2"/>
  <c r="BZ1695" i="2"/>
  <c r="BZ1696" i="2"/>
  <c r="BZ1697" i="2"/>
  <c r="BZ1698" i="2"/>
  <c r="BZ1699" i="2"/>
  <c r="BZ1700" i="2"/>
  <c r="BZ1701" i="2"/>
  <c r="BZ1702" i="2"/>
  <c r="BZ1703" i="2"/>
  <c r="BZ1704" i="2"/>
  <c r="BZ1705" i="2"/>
  <c r="BZ1706" i="2"/>
  <c r="BZ1707" i="2"/>
  <c r="BZ1708" i="2"/>
  <c r="BZ1709" i="2"/>
  <c r="BZ1710" i="2"/>
  <c r="BZ1711" i="2"/>
  <c r="BZ1712" i="2"/>
  <c r="BZ1713" i="2"/>
  <c r="BZ1714" i="2"/>
  <c r="BZ1715" i="2"/>
  <c r="BZ1716" i="2"/>
  <c r="BZ1717" i="2"/>
  <c r="BZ1718" i="2"/>
  <c r="BZ1719" i="2"/>
  <c r="BZ1720" i="2"/>
  <c r="BZ1721" i="2"/>
  <c r="BZ1722" i="2"/>
  <c r="BZ1723" i="2"/>
  <c r="BZ1724" i="2"/>
  <c r="BZ1725" i="2"/>
  <c r="BZ1726" i="2"/>
  <c r="BZ1727" i="2"/>
  <c r="BZ1728" i="2"/>
  <c r="BZ1729" i="2"/>
  <c r="BZ1730" i="2"/>
  <c r="BZ1731" i="2"/>
  <c r="BZ1732" i="2"/>
  <c r="BZ1733" i="2"/>
  <c r="BZ1734" i="2"/>
  <c r="BZ1735" i="2"/>
  <c r="BZ1736" i="2"/>
  <c r="BZ1737" i="2"/>
  <c r="BZ1738" i="2"/>
  <c r="BZ1739" i="2"/>
  <c r="BZ1740" i="2"/>
  <c r="BZ1741" i="2"/>
  <c r="BZ1742" i="2"/>
  <c r="BZ1743" i="2"/>
  <c r="BZ1744" i="2"/>
  <c r="BZ1745" i="2"/>
  <c r="BZ1746" i="2"/>
  <c r="BZ1747" i="2"/>
  <c r="BZ1748" i="2"/>
  <c r="BZ1749" i="2"/>
  <c r="BZ1750" i="2"/>
  <c r="BZ1751" i="2"/>
  <c r="BZ1752" i="2"/>
  <c r="BZ1753" i="2"/>
  <c r="BZ1754" i="2"/>
  <c r="BZ1755" i="2"/>
  <c r="BZ1756" i="2"/>
  <c r="BZ1757" i="2"/>
  <c r="BZ1758" i="2"/>
  <c r="BZ1759" i="2"/>
  <c r="BZ1760" i="2"/>
  <c r="BZ1761" i="2"/>
  <c r="BZ1762" i="2"/>
  <c r="BZ1763" i="2"/>
  <c r="BZ1764" i="2"/>
  <c r="BZ1765" i="2"/>
  <c r="BZ1766" i="2"/>
  <c r="BZ1767" i="2"/>
  <c r="BZ1768" i="2"/>
  <c r="BZ1769" i="2"/>
  <c r="BZ1770" i="2"/>
  <c r="BZ1771" i="2"/>
  <c r="BZ1772" i="2"/>
  <c r="BZ1773" i="2"/>
  <c r="BZ1774" i="2"/>
  <c r="BZ1775" i="2"/>
  <c r="BZ1776" i="2"/>
  <c r="BZ1777" i="2"/>
  <c r="BZ1778" i="2"/>
  <c r="BZ1779" i="2"/>
  <c r="BZ1780" i="2"/>
  <c r="BZ1781" i="2"/>
  <c r="BZ1782" i="2"/>
  <c r="BZ1783" i="2"/>
  <c r="BZ1784" i="2"/>
  <c r="BZ1785" i="2"/>
  <c r="BZ1786" i="2"/>
  <c r="BZ1787" i="2"/>
  <c r="BZ1788" i="2"/>
  <c r="BZ1789" i="2"/>
  <c r="BZ1790" i="2"/>
  <c r="BZ1791" i="2"/>
  <c r="BZ1792" i="2"/>
  <c r="BZ1793" i="2"/>
  <c r="BZ1794" i="2"/>
  <c r="BZ1795" i="2"/>
  <c r="BZ1796" i="2"/>
  <c r="BZ1797" i="2"/>
  <c r="BZ1798" i="2"/>
  <c r="BZ1799" i="2"/>
  <c r="BZ1800" i="2"/>
  <c r="BZ1801" i="2"/>
  <c r="BZ1802" i="2"/>
  <c r="BZ1803" i="2"/>
  <c r="BZ1804" i="2"/>
  <c r="BZ1805" i="2"/>
  <c r="BZ1806" i="2"/>
  <c r="BZ1807" i="2"/>
  <c r="BZ1808" i="2"/>
  <c r="BZ1809" i="2"/>
  <c r="BZ1810" i="2"/>
  <c r="BZ1811" i="2"/>
  <c r="BZ1812" i="2"/>
  <c r="BZ1813" i="2"/>
  <c r="BZ1814" i="2"/>
  <c r="BZ1815" i="2"/>
  <c r="BZ1816" i="2"/>
  <c r="BZ1817" i="2"/>
  <c r="BZ1818" i="2"/>
  <c r="BZ1819" i="2"/>
  <c r="BZ1820" i="2"/>
  <c r="BZ1821" i="2"/>
  <c r="BZ1822" i="2"/>
  <c r="BZ1823" i="2"/>
  <c r="BZ1824" i="2"/>
  <c r="BZ1825" i="2"/>
  <c r="BZ1826" i="2"/>
  <c r="BZ1827" i="2"/>
  <c r="BZ1828" i="2"/>
  <c r="BZ1829" i="2"/>
  <c r="BZ1830" i="2"/>
  <c r="BZ1831" i="2"/>
  <c r="BZ1832" i="2"/>
  <c r="BZ1833" i="2"/>
  <c r="BZ1834" i="2"/>
  <c r="BZ1835" i="2"/>
  <c r="BZ1836" i="2"/>
  <c r="BZ1837" i="2"/>
  <c r="BZ1838" i="2"/>
  <c r="BZ1839" i="2"/>
  <c r="BZ1840" i="2"/>
  <c r="BZ1841" i="2"/>
  <c r="BZ1842" i="2"/>
  <c r="BZ1843" i="2"/>
  <c r="BZ1844" i="2"/>
  <c r="BZ1845" i="2"/>
  <c r="BZ1846" i="2"/>
  <c r="BZ1847" i="2"/>
  <c r="BZ1848" i="2"/>
  <c r="BZ1849" i="2"/>
  <c r="BZ1850" i="2"/>
  <c r="BZ1851" i="2"/>
  <c r="BZ1852" i="2"/>
  <c r="BZ1853" i="2"/>
  <c r="BZ1854" i="2"/>
  <c r="BZ1855" i="2"/>
  <c r="BZ1856" i="2"/>
  <c r="BZ1857" i="2"/>
  <c r="BZ1858" i="2"/>
  <c r="BZ1859" i="2"/>
  <c r="BZ1860" i="2"/>
  <c r="BZ1861" i="2"/>
  <c r="BZ1862" i="2"/>
  <c r="BZ1863" i="2"/>
  <c r="BZ1864" i="2"/>
  <c r="BZ1865" i="2"/>
  <c r="BZ1866" i="2"/>
  <c r="BZ1867" i="2"/>
  <c r="BZ1868" i="2"/>
  <c r="BZ1869" i="2"/>
  <c r="BZ1870" i="2"/>
  <c r="BZ1871" i="2"/>
  <c r="BZ1872" i="2"/>
  <c r="BZ1873" i="2"/>
  <c r="BZ1874" i="2"/>
  <c r="BZ1875" i="2"/>
  <c r="BZ1876" i="2"/>
  <c r="BZ1877" i="2"/>
  <c r="BZ1878" i="2"/>
  <c r="BZ1879" i="2"/>
  <c r="BZ1880" i="2"/>
  <c r="BZ1881" i="2"/>
  <c r="BZ1882" i="2"/>
  <c r="BZ1883" i="2"/>
  <c r="BZ1884" i="2"/>
  <c r="BZ1885" i="2"/>
  <c r="BZ1886" i="2"/>
  <c r="BZ1887" i="2"/>
  <c r="BZ1888" i="2"/>
  <c r="BZ1889" i="2"/>
  <c r="BZ1890" i="2"/>
  <c r="BZ1891" i="2"/>
  <c r="BZ1892" i="2"/>
  <c r="BZ1893" i="2"/>
  <c r="BZ1894" i="2"/>
  <c r="BZ1895" i="2"/>
  <c r="BZ1896" i="2"/>
  <c r="BZ1897" i="2"/>
  <c r="BZ1898" i="2"/>
  <c r="BZ1899" i="2"/>
  <c r="BZ1900" i="2"/>
  <c r="BZ1901" i="2"/>
  <c r="BZ1902" i="2"/>
  <c r="BZ1903" i="2"/>
  <c r="BZ1904" i="2"/>
  <c r="BZ1905" i="2"/>
  <c r="BZ1906" i="2"/>
  <c r="BZ1907" i="2"/>
  <c r="BZ1908" i="2"/>
  <c r="BZ1909" i="2"/>
  <c r="BZ1910" i="2"/>
  <c r="BZ1911" i="2"/>
  <c r="BZ1912" i="2"/>
  <c r="BZ1913" i="2"/>
  <c r="BZ1914" i="2"/>
  <c r="BZ1915" i="2"/>
  <c r="BZ1916" i="2"/>
  <c r="BZ1917" i="2"/>
  <c r="BZ1918" i="2"/>
  <c r="BZ1919" i="2"/>
  <c r="BZ1920" i="2"/>
  <c r="BZ1921" i="2"/>
  <c r="BZ1922" i="2"/>
  <c r="BZ1923" i="2"/>
  <c r="BZ1924" i="2"/>
  <c r="BZ1925" i="2"/>
  <c r="BZ1926" i="2"/>
  <c r="BZ1927" i="2"/>
  <c r="BZ1928" i="2"/>
  <c r="BZ1929" i="2"/>
  <c r="BZ1930" i="2"/>
  <c r="BZ1931" i="2"/>
  <c r="BZ1932" i="2"/>
  <c r="BZ1933" i="2"/>
  <c r="BZ1934" i="2"/>
  <c r="BZ1935" i="2"/>
  <c r="BZ1936" i="2"/>
  <c r="BZ1937" i="2"/>
  <c r="BZ1938" i="2"/>
  <c r="BZ1939" i="2"/>
  <c r="BZ1940" i="2"/>
  <c r="BZ1941" i="2"/>
  <c r="BZ1942" i="2"/>
  <c r="BZ1943" i="2"/>
  <c r="BZ1944" i="2"/>
  <c r="BZ1945" i="2"/>
  <c r="BZ1946" i="2"/>
  <c r="BZ1947" i="2"/>
  <c r="BZ1948" i="2"/>
  <c r="BZ1949" i="2"/>
  <c r="BZ1950" i="2"/>
  <c r="BZ1951" i="2"/>
  <c r="BZ1952" i="2"/>
  <c r="BZ1953" i="2"/>
  <c r="BZ1954" i="2"/>
  <c r="BZ1955" i="2"/>
  <c r="BZ1956" i="2"/>
  <c r="BZ1957" i="2"/>
  <c r="BZ1958" i="2"/>
  <c r="BZ1959" i="2"/>
  <c r="BZ1960" i="2"/>
  <c r="BZ1961" i="2"/>
  <c r="BZ1962" i="2"/>
  <c r="BZ1963" i="2"/>
  <c r="BZ1964" i="2"/>
  <c r="BZ1965" i="2"/>
  <c r="BZ1966" i="2"/>
  <c r="BZ1967" i="2"/>
  <c r="BZ1968" i="2"/>
  <c r="BZ1969" i="2"/>
  <c r="BZ1970" i="2"/>
  <c r="BZ1971" i="2"/>
  <c r="BZ1972" i="2"/>
  <c r="BZ1973" i="2"/>
  <c r="BZ1974" i="2"/>
  <c r="BZ1975" i="2"/>
  <c r="BZ1976" i="2"/>
  <c r="BZ1977" i="2"/>
  <c r="BZ1978" i="2"/>
  <c r="BZ1979" i="2"/>
  <c r="BZ1980" i="2"/>
  <c r="BZ1981" i="2"/>
  <c r="BZ1982" i="2"/>
  <c r="BZ1983" i="2"/>
  <c r="BZ1984" i="2"/>
  <c r="BZ1985" i="2"/>
  <c r="BZ1986" i="2"/>
  <c r="BZ1987" i="2"/>
  <c r="BZ1988" i="2"/>
  <c r="BZ1989" i="2"/>
  <c r="BZ1990" i="2"/>
  <c r="BZ1991" i="2"/>
  <c r="BZ1992" i="2"/>
  <c r="BZ1993" i="2"/>
  <c r="BZ1994" i="2"/>
  <c r="BZ1995" i="2"/>
  <c r="BZ1996" i="2"/>
  <c r="BZ1997" i="2"/>
  <c r="BZ1998" i="2"/>
  <c r="BZ1999" i="2"/>
  <c r="BZ2000" i="2"/>
  <c r="BZ2001" i="2"/>
  <c r="BZ2002" i="2"/>
  <c r="BZ2003" i="2"/>
  <c r="BZ2004" i="2"/>
  <c r="BZ2005" i="2"/>
  <c r="BZ2006" i="2"/>
  <c r="BZ2007" i="2"/>
  <c r="BZ2008" i="2"/>
  <c r="BZ2009" i="2"/>
  <c r="BZ2010" i="2"/>
  <c r="BZ2011" i="2"/>
  <c r="BZ2012" i="2"/>
  <c r="BZ2013" i="2"/>
  <c r="BZ2014" i="2"/>
  <c r="BZ2015" i="2"/>
  <c r="BZ2016" i="2"/>
  <c r="BZ2017" i="2"/>
  <c r="BZ2018" i="2"/>
  <c r="BZ2019" i="2"/>
  <c r="BZ2020" i="2"/>
  <c r="BZ2021" i="2"/>
  <c r="BZ2022" i="2"/>
  <c r="BZ2023" i="2"/>
  <c r="BZ2024" i="2"/>
  <c r="BZ2025" i="2"/>
  <c r="BZ2026" i="2"/>
  <c r="BZ2027" i="2"/>
  <c r="BZ2028" i="2"/>
  <c r="BZ2029" i="2"/>
  <c r="BZ2030" i="2"/>
  <c r="BZ2031" i="2"/>
  <c r="BZ2032" i="2"/>
  <c r="BZ2033" i="2"/>
  <c r="BZ2034" i="2"/>
  <c r="BZ2035" i="2"/>
  <c r="BZ2036" i="2"/>
  <c r="BZ2037" i="2"/>
  <c r="BZ2038" i="2"/>
  <c r="BZ2039" i="2"/>
  <c r="BZ2040" i="2"/>
  <c r="BZ2041" i="2"/>
  <c r="BZ2042" i="2"/>
  <c r="BZ2043" i="2"/>
  <c r="BZ2044" i="2"/>
  <c r="BZ2045" i="2"/>
  <c r="BZ2046" i="2"/>
  <c r="BZ2047" i="2"/>
  <c r="BZ2048" i="2"/>
  <c r="BZ2049" i="2"/>
  <c r="BZ2050" i="2"/>
  <c r="BZ2051" i="2"/>
  <c r="BZ2052" i="2"/>
  <c r="BZ2053" i="2"/>
  <c r="BZ2054" i="2"/>
  <c r="BZ2055" i="2"/>
  <c r="BZ2056" i="2"/>
  <c r="BZ2057" i="2"/>
  <c r="BZ2058" i="2"/>
  <c r="BZ2059" i="2"/>
  <c r="BZ2060" i="2"/>
  <c r="BZ2061" i="2"/>
  <c r="BZ2062" i="2"/>
  <c r="BZ2063" i="2"/>
  <c r="BZ2064" i="2"/>
  <c r="BZ2065" i="2"/>
  <c r="BZ2066" i="2"/>
  <c r="BZ2067" i="2"/>
  <c r="BZ2068" i="2"/>
  <c r="BZ2069" i="2"/>
  <c r="BZ2070" i="2"/>
  <c r="BZ2071" i="2"/>
  <c r="BZ2072" i="2"/>
  <c r="BZ2073" i="2"/>
  <c r="BZ2074" i="2"/>
  <c r="BZ2075" i="2"/>
  <c r="BZ2076" i="2"/>
  <c r="BZ2077" i="2"/>
  <c r="BZ2078" i="2"/>
  <c r="BZ2079" i="2"/>
  <c r="BZ2080" i="2"/>
  <c r="BZ2081" i="2"/>
  <c r="BZ2082" i="2"/>
  <c r="BZ2083" i="2"/>
  <c r="BZ2084" i="2"/>
  <c r="BZ2085" i="2"/>
  <c r="BZ2086" i="2"/>
  <c r="BZ2087" i="2"/>
  <c r="BZ2088" i="2"/>
  <c r="BZ2089" i="2"/>
  <c r="BZ2090" i="2"/>
  <c r="BZ2091" i="2"/>
  <c r="BZ2092" i="2"/>
  <c r="BZ2093" i="2"/>
  <c r="BZ2094" i="2"/>
  <c r="BZ2095" i="2"/>
  <c r="BZ2096" i="2"/>
  <c r="BZ2097" i="2"/>
  <c r="BZ2098" i="2"/>
  <c r="BZ2099" i="2"/>
  <c r="BZ2100" i="2"/>
  <c r="BZ2101" i="2"/>
  <c r="BZ2102" i="2"/>
  <c r="BZ2103" i="2"/>
  <c r="BZ2104" i="2"/>
  <c r="BZ2105" i="2"/>
  <c r="BZ2106" i="2"/>
  <c r="BZ2107" i="2"/>
  <c r="BZ2108" i="2"/>
  <c r="BZ2109" i="2"/>
  <c r="BZ2110" i="2"/>
  <c r="BZ2111" i="2"/>
  <c r="BZ2112" i="2"/>
  <c r="BZ2113" i="2"/>
  <c r="BZ2114" i="2"/>
  <c r="BZ2115" i="2"/>
  <c r="BZ2116" i="2"/>
  <c r="BZ2117" i="2"/>
  <c r="BZ2118" i="2"/>
  <c r="BZ2119" i="2"/>
  <c r="BZ2120" i="2"/>
  <c r="BZ2121" i="2"/>
  <c r="BZ2122" i="2"/>
  <c r="BZ2123" i="2"/>
  <c r="BZ2124" i="2"/>
  <c r="BZ2125" i="2"/>
  <c r="BZ2126" i="2"/>
  <c r="BZ2127" i="2"/>
  <c r="BZ2128" i="2"/>
  <c r="BZ2129" i="2"/>
  <c r="BZ2130" i="2"/>
  <c r="BZ2131" i="2"/>
  <c r="BZ2132" i="2"/>
  <c r="BZ2" i="2"/>
  <c r="BY3" i="2"/>
  <c r="BY4" i="2"/>
  <c r="BY5" i="2"/>
  <c r="BY6" i="2"/>
  <c r="BY7" i="2"/>
  <c r="BY8" i="2"/>
  <c r="BY9" i="2"/>
  <c r="BY10" i="2"/>
  <c r="BY11" i="2"/>
  <c r="BY12" i="2"/>
  <c r="BY13" i="2"/>
  <c r="BY14" i="2"/>
  <c r="BY15" i="2"/>
  <c r="BY16" i="2"/>
  <c r="BY17" i="2"/>
  <c r="BY18" i="2"/>
  <c r="BY19" i="2"/>
  <c r="BY20" i="2"/>
  <c r="BY21" i="2"/>
  <c r="BY22" i="2"/>
  <c r="BY23" i="2"/>
  <c r="BY24" i="2"/>
  <c r="BY25" i="2"/>
  <c r="BY26" i="2"/>
  <c r="BY27" i="2"/>
  <c r="BY28" i="2"/>
  <c r="BY29" i="2"/>
  <c r="BY30" i="2"/>
  <c r="BY31" i="2"/>
  <c r="BY32" i="2"/>
  <c r="BY33" i="2"/>
  <c r="BY34" i="2"/>
  <c r="BY35" i="2"/>
  <c r="BY36" i="2"/>
  <c r="BY37" i="2"/>
  <c r="BY38" i="2"/>
  <c r="BY39" i="2"/>
  <c r="BY40" i="2"/>
  <c r="BY41" i="2"/>
  <c r="BY42" i="2"/>
  <c r="BY43" i="2"/>
  <c r="BY44" i="2"/>
  <c r="BY45" i="2"/>
  <c r="BY46" i="2"/>
  <c r="BY47" i="2"/>
  <c r="BY48" i="2"/>
  <c r="BY49" i="2"/>
  <c r="BY50" i="2"/>
  <c r="BY51" i="2"/>
  <c r="BY52" i="2"/>
  <c r="BY53" i="2"/>
  <c r="BY54" i="2"/>
  <c r="BY55" i="2"/>
  <c r="BY56" i="2"/>
  <c r="BY57" i="2"/>
  <c r="BY58" i="2"/>
  <c r="BY59" i="2"/>
  <c r="BY60" i="2"/>
  <c r="BY61" i="2"/>
  <c r="BY62" i="2"/>
  <c r="BY63" i="2"/>
  <c r="BY64" i="2"/>
  <c r="BY65" i="2"/>
  <c r="BY66" i="2"/>
  <c r="BY67" i="2"/>
  <c r="BY68" i="2"/>
  <c r="BY69" i="2"/>
  <c r="BY70" i="2"/>
  <c r="BY71" i="2"/>
  <c r="BY72" i="2"/>
  <c r="BY73" i="2"/>
  <c r="BY74" i="2"/>
  <c r="BY75" i="2"/>
  <c r="BY76" i="2"/>
  <c r="BY77" i="2"/>
  <c r="BY78" i="2"/>
  <c r="BY79" i="2"/>
  <c r="BY80" i="2"/>
  <c r="BY81" i="2"/>
  <c r="BY82" i="2"/>
  <c r="BY83" i="2"/>
  <c r="BY84" i="2"/>
  <c r="BY85" i="2"/>
  <c r="BY86" i="2"/>
  <c r="BY87" i="2"/>
  <c r="BY88" i="2"/>
  <c r="BY89" i="2"/>
  <c r="BY90" i="2"/>
  <c r="BY91" i="2"/>
  <c r="BY92" i="2"/>
  <c r="BY93" i="2"/>
  <c r="BY94" i="2"/>
  <c r="BY95" i="2"/>
  <c r="BY96" i="2"/>
  <c r="BY97" i="2"/>
  <c r="BY98" i="2"/>
  <c r="BY99" i="2"/>
  <c r="BY100" i="2"/>
  <c r="BY101" i="2"/>
  <c r="BY102" i="2"/>
  <c r="BY103" i="2"/>
  <c r="BY104" i="2"/>
  <c r="BY105" i="2"/>
  <c r="BY106" i="2"/>
  <c r="BY107" i="2"/>
  <c r="BY108" i="2"/>
  <c r="BY109" i="2"/>
  <c r="BY110" i="2"/>
  <c r="BY111" i="2"/>
  <c r="BY112" i="2"/>
  <c r="BY113" i="2"/>
  <c r="BY114" i="2"/>
  <c r="BY115" i="2"/>
  <c r="BY116" i="2"/>
  <c r="BY117" i="2"/>
  <c r="BY118" i="2"/>
  <c r="BY119" i="2"/>
  <c r="BY120" i="2"/>
  <c r="BY121" i="2"/>
  <c r="BY122" i="2"/>
  <c r="BY123" i="2"/>
  <c r="BY124" i="2"/>
  <c r="BY125" i="2"/>
  <c r="BY126" i="2"/>
  <c r="BY127" i="2"/>
  <c r="BY128" i="2"/>
  <c r="BY129" i="2"/>
  <c r="BY130" i="2"/>
  <c r="BY131" i="2"/>
  <c r="BY132" i="2"/>
  <c r="BY133" i="2"/>
  <c r="BY134" i="2"/>
  <c r="BY135" i="2"/>
  <c r="BY136" i="2"/>
  <c r="BY137" i="2"/>
  <c r="BY138" i="2"/>
  <c r="BY139" i="2"/>
  <c r="BY140" i="2"/>
  <c r="BY141" i="2"/>
  <c r="BY142" i="2"/>
  <c r="BY143" i="2"/>
  <c r="BY144" i="2"/>
  <c r="BY145" i="2"/>
  <c r="BY146" i="2"/>
  <c r="BY147" i="2"/>
  <c r="BY148" i="2"/>
  <c r="BY149" i="2"/>
  <c r="BY150" i="2"/>
  <c r="BY151" i="2"/>
  <c r="BY152" i="2"/>
  <c r="BY153" i="2"/>
  <c r="BY154" i="2"/>
  <c r="BY155" i="2"/>
  <c r="BY156" i="2"/>
  <c r="BY157" i="2"/>
  <c r="BY158" i="2"/>
  <c r="BY159" i="2"/>
  <c r="BY160" i="2"/>
  <c r="BY161" i="2"/>
  <c r="BY162" i="2"/>
  <c r="BY163" i="2"/>
  <c r="BY164" i="2"/>
  <c r="BY165" i="2"/>
  <c r="BY166" i="2"/>
  <c r="BY167" i="2"/>
  <c r="BY168" i="2"/>
  <c r="BY169" i="2"/>
  <c r="BY170" i="2"/>
  <c r="BY171" i="2"/>
  <c r="BY172" i="2"/>
  <c r="BY173" i="2"/>
  <c r="BY174" i="2"/>
  <c r="BY175" i="2"/>
  <c r="BY176" i="2"/>
  <c r="BY177" i="2"/>
  <c r="BY178" i="2"/>
  <c r="BY179" i="2"/>
  <c r="BY180" i="2"/>
  <c r="BY181" i="2"/>
  <c r="BY182" i="2"/>
  <c r="BY183" i="2"/>
  <c r="BY184" i="2"/>
  <c r="BY185" i="2"/>
  <c r="BY186" i="2"/>
  <c r="BY187" i="2"/>
  <c r="BY188" i="2"/>
  <c r="BY189" i="2"/>
  <c r="BY190" i="2"/>
  <c r="BY191" i="2"/>
  <c r="BY192" i="2"/>
  <c r="BY193" i="2"/>
  <c r="BY194" i="2"/>
  <c r="BY195" i="2"/>
  <c r="BY196" i="2"/>
  <c r="BY197" i="2"/>
  <c r="BY198" i="2"/>
  <c r="BY199" i="2"/>
  <c r="BY200" i="2"/>
  <c r="BY201" i="2"/>
  <c r="BY202" i="2"/>
  <c r="BY203" i="2"/>
  <c r="BY204" i="2"/>
  <c r="BY205" i="2"/>
  <c r="BY206" i="2"/>
  <c r="BY207" i="2"/>
  <c r="BY208" i="2"/>
  <c r="BY209" i="2"/>
  <c r="BY210" i="2"/>
  <c r="BY211" i="2"/>
  <c r="BY212" i="2"/>
  <c r="BY213" i="2"/>
  <c r="BY214" i="2"/>
  <c r="BY215" i="2"/>
  <c r="BY216" i="2"/>
  <c r="BY217" i="2"/>
  <c r="BY218" i="2"/>
  <c r="BY219" i="2"/>
  <c r="BY220" i="2"/>
  <c r="BY221" i="2"/>
  <c r="BY222" i="2"/>
  <c r="BY223" i="2"/>
  <c r="BY224" i="2"/>
  <c r="BY225" i="2"/>
  <c r="BY226" i="2"/>
  <c r="BY227" i="2"/>
  <c r="BY228" i="2"/>
  <c r="BY229" i="2"/>
  <c r="BY230" i="2"/>
  <c r="BY231" i="2"/>
  <c r="BY232" i="2"/>
  <c r="BY233" i="2"/>
  <c r="BY234" i="2"/>
  <c r="BY235" i="2"/>
  <c r="BY236" i="2"/>
  <c r="BY237" i="2"/>
  <c r="BY238" i="2"/>
  <c r="BY239" i="2"/>
  <c r="BY240" i="2"/>
  <c r="BY241" i="2"/>
  <c r="BY242" i="2"/>
  <c r="BY243" i="2"/>
  <c r="BY244" i="2"/>
  <c r="BY245" i="2"/>
  <c r="BY246" i="2"/>
  <c r="BY247" i="2"/>
  <c r="BY248" i="2"/>
  <c r="BY249" i="2"/>
  <c r="BY250" i="2"/>
  <c r="BY251" i="2"/>
  <c r="BY252" i="2"/>
  <c r="BY253" i="2"/>
  <c r="BY254" i="2"/>
  <c r="BY255" i="2"/>
  <c r="BY256" i="2"/>
  <c r="BY257" i="2"/>
  <c r="BY258" i="2"/>
  <c r="BY259" i="2"/>
  <c r="BY260" i="2"/>
  <c r="BY261" i="2"/>
  <c r="BY262" i="2"/>
  <c r="BY263" i="2"/>
  <c r="BY264" i="2"/>
  <c r="BY265" i="2"/>
  <c r="BY266" i="2"/>
  <c r="BY267" i="2"/>
  <c r="BY268" i="2"/>
  <c r="BY269" i="2"/>
  <c r="BY270" i="2"/>
  <c r="BY271" i="2"/>
  <c r="BY272" i="2"/>
  <c r="BY273" i="2"/>
  <c r="BY274" i="2"/>
  <c r="BY275" i="2"/>
  <c r="BY276" i="2"/>
  <c r="BY277" i="2"/>
  <c r="BY278" i="2"/>
  <c r="BY279" i="2"/>
  <c r="BY280" i="2"/>
  <c r="BY281" i="2"/>
  <c r="BY282" i="2"/>
  <c r="BY283" i="2"/>
  <c r="BY284" i="2"/>
  <c r="BY285" i="2"/>
  <c r="BY286" i="2"/>
  <c r="BY287" i="2"/>
  <c r="BY288" i="2"/>
  <c r="BY289" i="2"/>
  <c r="BY290" i="2"/>
  <c r="BY291" i="2"/>
  <c r="BY292" i="2"/>
  <c r="BY293" i="2"/>
  <c r="BY294" i="2"/>
  <c r="BY295" i="2"/>
  <c r="BY296" i="2"/>
  <c r="BY297" i="2"/>
  <c r="BY298" i="2"/>
  <c r="BY299" i="2"/>
  <c r="BY300" i="2"/>
  <c r="BY301" i="2"/>
  <c r="BY302" i="2"/>
  <c r="BY303" i="2"/>
  <c r="BY304" i="2"/>
  <c r="BY305" i="2"/>
  <c r="BY306" i="2"/>
  <c r="BY307" i="2"/>
  <c r="BY308" i="2"/>
  <c r="BY309" i="2"/>
  <c r="BY310" i="2"/>
  <c r="BY311" i="2"/>
  <c r="BY312" i="2"/>
  <c r="BY313" i="2"/>
  <c r="BY314" i="2"/>
  <c r="BY315" i="2"/>
  <c r="BY316" i="2"/>
  <c r="BY317" i="2"/>
  <c r="BY318" i="2"/>
  <c r="BY319" i="2"/>
  <c r="BY320" i="2"/>
  <c r="BY321" i="2"/>
  <c r="BY322" i="2"/>
  <c r="BY323" i="2"/>
  <c r="BY324" i="2"/>
  <c r="BY325" i="2"/>
  <c r="BY326" i="2"/>
  <c r="BY327" i="2"/>
  <c r="BY328" i="2"/>
  <c r="BY329" i="2"/>
  <c r="BY330" i="2"/>
  <c r="BY331" i="2"/>
  <c r="BY332" i="2"/>
  <c r="BY333" i="2"/>
  <c r="BY334" i="2"/>
  <c r="BY335" i="2"/>
  <c r="BY336" i="2"/>
  <c r="BY337" i="2"/>
  <c r="BY338" i="2"/>
  <c r="BY339" i="2"/>
  <c r="BY340" i="2"/>
  <c r="BY341" i="2"/>
  <c r="BY342" i="2"/>
  <c r="BY343" i="2"/>
  <c r="BY344" i="2"/>
  <c r="BY345" i="2"/>
  <c r="BY346" i="2"/>
  <c r="BY347" i="2"/>
  <c r="BY348" i="2"/>
  <c r="BY349" i="2"/>
  <c r="BY350" i="2"/>
  <c r="BY351" i="2"/>
  <c r="BY352" i="2"/>
  <c r="BY353" i="2"/>
  <c r="BY354" i="2"/>
  <c r="BY355" i="2"/>
  <c r="BY356" i="2"/>
  <c r="BY357" i="2"/>
  <c r="BY358" i="2"/>
  <c r="BY359" i="2"/>
  <c r="BY360" i="2"/>
  <c r="BY361" i="2"/>
  <c r="BY362" i="2"/>
  <c r="BY363" i="2"/>
  <c r="BY364" i="2"/>
  <c r="BY365" i="2"/>
  <c r="BY366" i="2"/>
  <c r="BY367" i="2"/>
  <c r="BY368" i="2"/>
  <c r="BY369" i="2"/>
  <c r="BY370" i="2"/>
  <c r="BY371" i="2"/>
  <c r="BY372" i="2"/>
  <c r="BY373" i="2"/>
  <c r="BY374" i="2"/>
  <c r="BY375" i="2"/>
  <c r="BY376" i="2"/>
  <c r="BY377" i="2"/>
  <c r="BY378" i="2"/>
  <c r="BY379" i="2"/>
  <c r="BY380" i="2"/>
  <c r="BY381" i="2"/>
  <c r="BY382" i="2"/>
  <c r="BY383" i="2"/>
  <c r="BY384" i="2"/>
  <c r="BY385" i="2"/>
  <c r="BY386" i="2"/>
  <c r="BY387" i="2"/>
  <c r="BY388" i="2"/>
  <c r="BY389" i="2"/>
  <c r="BY390" i="2"/>
  <c r="BY391" i="2"/>
  <c r="BY392" i="2"/>
  <c r="BY393" i="2"/>
  <c r="BY394" i="2"/>
  <c r="BY395" i="2"/>
  <c r="BY396" i="2"/>
  <c r="BY397" i="2"/>
  <c r="BY398" i="2"/>
  <c r="BY399" i="2"/>
  <c r="BY400" i="2"/>
  <c r="BY401" i="2"/>
  <c r="BY402" i="2"/>
  <c r="BY403" i="2"/>
  <c r="BY404" i="2"/>
  <c r="BY405" i="2"/>
  <c r="BY406" i="2"/>
  <c r="BY407" i="2"/>
  <c r="BY408" i="2"/>
  <c r="BY409" i="2"/>
  <c r="BY410" i="2"/>
  <c r="BY411" i="2"/>
  <c r="BY412" i="2"/>
  <c r="BY413" i="2"/>
  <c r="BY414" i="2"/>
  <c r="BY415" i="2"/>
  <c r="BY416" i="2"/>
  <c r="BY417" i="2"/>
  <c r="BY418" i="2"/>
  <c r="BY419" i="2"/>
  <c r="BY420" i="2"/>
  <c r="BY421" i="2"/>
  <c r="BY422" i="2"/>
  <c r="BY423" i="2"/>
  <c r="BY424" i="2"/>
  <c r="BY425" i="2"/>
  <c r="BY426" i="2"/>
  <c r="BY427" i="2"/>
  <c r="BY428" i="2"/>
  <c r="BY429" i="2"/>
  <c r="BY430" i="2"/>
  <c r="BY431" i="2"/>
  <c r="BY432" i="2"/>
  <c r="BY433" i="2"/>
  <c r="BY434" i="2"/>
  <c r="BY435" i="2"/>
  <c r="BY436" i="2"/>
  <c r="BY437" i="2"/>
  <c r="BY438" i="2"/>
  <c r="BY439" i="2"/>
  <c r="BY440" i="2"/>
  <c r="BY441" i="2"/>
  <c r="BY442" i="2"/>
  <c r="BY443" i="2"/>
  <c r="BY444" i="2"/>
  <c r="BY445" i="2"/>
  <c r="BY446" i="2"/>
  <c r="BY447" i="2"/>
  <c r="BY448" i="2"/>
  <c r="BY449" i="2"/>
  <c r="BY450" i="2"/>
  <c r="BY451" i="2"/>
  <c r="BY452" i="2"/>
  <c r="BY453" i="2"/>
  <c r="BY454" i="2"/>
  <c r="BY455" i="2"/>
  <c r="BY456" i="2"/>
  <c r="BY457" i="2"/>
  <c r="BY458" i="2"/>
  <c r="BY459" i="2"/>
  <c r="BY460" i="2"/>
  <c r="BY461" i="2"/>
  <c r="BY462" i="2"/>
  <c r="BY463" i="2"/>
  <c r="BY464" i="2"/>
  <c r="BY465" i="2"/>
  <c r="BY466" i="2"/>
  <c r="BY467" i="2"/>
  <c r="BY468" i="2"/>
  <c r="BY469" i="2"/>
  <c r="BY470" i="2"/>
  <c r="BY471" i="2"/>
  <c r="BY472" i="2"/>
  <c r="BY473" i="2"/>
  <c r="BY474" i="2"/>
  <c r="BY475" i="2"/>
  <c r="BY476" i="2"/>
  <c r="BY477" i="2"/>
  <c r="BY478" i="2"/>
  <c r="BY479" i="2"/>
  <c r="BY480" i="2"/>
  <c r="BY481" i="2"/>
  <c r="BY482" i="2"/>
  <c r="BY483" i="2"/>
  <c r="BY484" i="2"/>
  <c r="BY485" i="2"/>
  <c r="BY486" i="2"/>
  <c r="BY487" i="2"/>
  <c r="BY488" i="2"/>
  <c r="BY489" i="2"/>
  <c r="BY490" i="2"/>
  <c r="BY491" i="2"/>
  <c r="BY492" i="2"/>
  <c r="BY493" i="2"/>
  <c r="BY494" i="2"/>
  <c r="BY495" i="2"/>
  <c r="BY496" i="2"/>
  <c r="BY497" i="2"/>
  <c r="BY498" i="2"/>
  <c r="BY499" i="2"/>
  <c r="BY500" i="2"/>
  <c r="BY501" i="2"/>
  <c r="BY502" i="2"/>
  <c r="BY503" i="2"/>
  <c r="BY504" i="2"/>
  <c r="BY505" i="2"/>
  <c r="BY506" i="2"/>
  <c r="BY507" i="2"/>
  <c r="BY508" i="2"/>
  <c r="BY509" i="2"/>
  <c r="BY510" i="2"/>
  <c r="BY511" i="2"/>
  <c r="BY512" i="2"/>
  <c r="BY513" i="2"/>
  <c r="BY514" i="2"/>
  <c r="BY515" i="2"/>
  <c r="BY516" i="2"/>
  <c r="BY517" i="2"/>
  <c r="BY518" i="2"/>
  <c r="BY519" i="2"/>
  <c r="BY520" i="2"/>
  <c r="BY521" i="2"/>
  <c r="BY522" i="2"/>
  <c r="BY523" i="2"/>
  <c r="BY524" i="2"/>
  <c r="BY525" i="2"/>
  <c r="BY526" i="2"/>
  <c r="BY527" i="2"/>
  <c r="BY528" i="2"/>
  <c r="BY529" i="2"/>
  <c r="BY530" i="2"/>
  <c r="BY531" i="2"/>
  <c r="BY532" i="2"/>
  <c r="BY533" i="2"/>
  <c r="BY534" i="2"/>
  <c r="BY535" i="2"/>
  <c r="BY536" i="2"/>
  <c r="BY537" i="2"/>
  <c r="BY538" i="2"/>
  <c r="BY539" i="2"/>
  <c r="BY540" i="2"/>
  <c r="BY541" i="2"/>
  <c r="BY542" i="2"/>
  <c r="BY543" i="2"/>
  <c r="BY544" i="2"/>
  <c r="BY545" i="2"/>
  <c r="BY546" i="2"/>
  <c r="BY547" i="2"/>
  <c r="BY548" i="2"/>
  <c r="BY549" i="2"/>
  <c r="BY550" i="2"/>
  <c r="BY551" i="2"/>
  <c r="BY552" i="2"/>
  <c r="BY553" i="2"/>
  <c r="BY554" i="2"/>
  <c r="BY555" i="2"/>
  <c r="BY556" i="2"/>
  <c r="BY557" i="2"/>
  <c r="BY558" i="2"/>
  <c r="BY559" i="2"/>
  <c r="BY560" i="2"/>
  <c r="BY561" i="2"/>
  <c r="BY562" i="2"/>
  <c r="BY563" i="2"/>
  <c r="BY564" i="2"/>
  <c r="BY565" i="2"/>
  <c r="BY566" i="2"/>
  <c r="BY567" i="2"/>
  <c r="BY568" i="2"/>
  <c r="BY569" i="2"/>
  <c r="BY570" i="2"/>
  <c r="BY571" i="2"/>
  <c r="BY572" i="2"/>
  <c r="BY573" i="2"/>
  <c r="BY574" i="2"/>
  <c r="BY575" i="2"/>
  <c r="BY576" i="2"/>
  <c r="BY577" i="2"/>
  <c r="BY578" i="2"/>
  <c r="BY579" i="2"/>
  <c r="BY580" i="2"/>
  <c r="BY581" i="2"/>
  <c r="BY582" i="2"/>
  <c r="BY583" i="2"/>
  <c r="BY584" i="2"/>
  <c r="BY585" i="2"/>
  <c r="BY586" i="2"/>
  <c r="BY587" i="2"/>
  <c r="BY588" i="2"/>
  <c r="BY589" i="2"/>
  <c r="BY590" i="2"/>
  <c r="BY591" i="2"/>
  <c r="BY592" i="2"/>
  <c r="BY593" i="2"/>
  <c r="BY594" i="2"/>
  <c r="BY595" i="2"/>
  <c r="BY596" i="2"/>
  <c r="BY597" i="2"/>
  <c r="BY598" i="2"/>
  <c r="BY599" i="2"/>
  <c r="BY600" i="2"/>
  <c r="BY601" i="2"/>
  <c r="BY602" i="2"/>
  <c r="BY603" i="2"/>
  <c r="BY604" i="2"/>
  <c r="BY605" i="2"/>
  <c r="BY606" i="2"/>
  <c r="BY607" i="2"/>
  <c r="BY608" i="2"/>
  <c r="BY609" i="2"/>
  <c r="BY610" i="2"/>
  <c r="BY611" i="2"/>
  <c r="BY612" i="2"/>
  <c r="BY613" i="2"/>
  <c r="BY614" i="2"/>
  <c r="BY615" i="2"/>
  <c r="BY616" i="2"/>
  <c r="BY617" i="2"/>
  <c r="BY618" i="2"/>
  <c r="BY619" i="2"/>
  <c r="BY620" i="2"/>
  <c r="BY621" i="2"/>
  <c r="BY622" i="2"/>
  <c r="BY623" i="2"/>
  <c r="BY624" i="2"/>
  <c r="BY625" i="2"/>
  <c r="BY626" i="2"/>
  <c r="BY627" i="2"/>
  <c r="BY628" i="2"/>
  <c r="BY629" i="2"/>
  <c r="BY630" i="2"/>
  <c r="BY631" i="2"/>
  <c r="BY632" i="2"/>
  <c r="BY633" i="2"/>
  <c r="BY634" i="2"/>
  <c r="BY635" i="2"/>
  <c r="BY636" i="2"/>
  <c r="BY637" i="2"/>
  <c r="BY638" i="2"/>
  <c r="BY639" i="2"/>
  <c r="BY640" i="2"/>
  <c r="BY641" i="2"/>
  <c r="BY642" i="2"/>
  <c r="BY643" i="2"/>
  <c r="BY644" i="2"/>
  <c r="BY645" i="2"/>
  <c r="BY646" i="2"/>
  <c r="BY647" i="2"/>
  <c r="BY648" i="2"/>
  <c r="BY649" i="2"/>
  <c r="BY650" i="2"/>
  <c r="BY651" i="2"/>
  <c r="BY652" i="2"/>
  <c r="BY653" i="2"/>
  <c r="BY654" i="2"/>
  <c r="BY655" i="2"/>
  <c r="BY656" i="2"/>
  <c r="BY657" i="2"/>
  <c r="BY658" i="2"/>
  <c r="BY659" i="2"/>
  <c r="BY660" i="2"/>
  <c r="BY661" i="2"/>
  <c r="BY662" i="2"/>
  <c r="BY663" i="2"/>
  <c r="BY664" i="2"/>
  <c r="BY665" i="2"/>
  <c r="BY666" i="2"/>
  <c r="BY667" i="2"/>
  <c r="BY668" i="2"/>
  <c r="BY669" i="2"/>
  <c r="BY670" i="2"/>
  <c r="BY671" i="2"/>
  <c r="BY672" i="2"/>
  <c r="BY673" i="2"/>
  <c r="BY674" i="2"/>
  <c r="BY675" i="2"/>
  <c r="BY676" i="2"/>
  <c r="BY677" i="2"/>
  <c r="BY678" i="2"/>
  <c r="BY679" i="2"/>
  <c r="BY680" i="2"/>
  <c r="BY681" i="2"/>
  <c r="BY682" i="2"/>
  <c r="BY683" i="2"/>
  <c r="BY684" i="2"/>
  <c r="BY685" i="2"/>
  <c r="BY686" i="2"/>
  <c r="BY687" i="2"/>
  <c r="BY688" i="2"/>
  <c r="BY689" i="2"/>
  <c r="BY690" i="2"/>
  <c r="BY691" i="2"/>
  <c r="BY692" i="2"/>
  <c r="BY693" i="2"/>
  <c r="BY694" i="2"/>
  <c r="BY695" i="2"/>
  <c r="BY696" i="2"/>
  <c r="BY697" i="2"/>
  <c r="BY698" i="2"/>
  <c r="BY699" i="2"/>
  <c r="BY700" i="2"/>
  <c r="BY701" i="2"/>
  <c r="BY702" i="2"/>
  <c r="BY703" i="2"/>
  <c r="BY704" i="2"/>
  <c r="BY705" i="2"/>
  <c r="BY706" i="2"/>
  <c r="BY707" i="2"/>
  <c r="BY708" i="2"/>
  <c r="BY709" i="2"/>
  <c r="BY710" i="2"/>
  <c r="BY711" i="2"/>
  <c r="BY712" i="2"/>
  <c r="BY713" i="2"/>
  <c r="BY714" i="2"/>
  <c r="BY715" i="2"/>
  <c r="BY716" i="2"/>
  <c r="BY717" i="2"/>
  <c r="BY718" i="2"/>
  <c r="BY719" i="2"/>
  <c r="BY720" i="2"/>
  <c r="BY721" i="2"/>
  <c r="BY722" i="2"/>
  <c r="BY723" i="2"/>
  <c r="BY724" i="2"/>
  <c r="BY725" i="2"/>
  <c r="BY726" i="2"/>
  <c r="BY727" i="2"/>
  <c r="BY728" i="2"/>
  <c r="BY729" i="2"/>
  <c r="BY730" i="2"/>
  <c r="BY731" i="2"/>
  <c r="BY732" i="2"/>
  <c r="BY733" i="2"/>
  <c r="BY734" i="2"/>
  <c r="BY735" i="2"/>
  <c r="BY736" i="2"/>
  <c r="BY737" i="2"/>
  <c r="BY738" i="2"/>
  <c r="BY739" i="2"/>
  <c r="BY740" i="2"/>
  <c r="BY741" i="2"/>
  <c r="BY742" i="2"/>
  <c r="BY743" i="2"/>
  <c r="BY744" i="2"/>
  <c r="BY745" i="2"/>
  <c r="BY746" i="2"/>
  <c r="BY747" i="2"/>
  <c r="BY748" i="2"/>
  <c r="BY749" i="2"/>
  <c r="BY750" i="2"/>
  <c r="BY751" i="2"/>
  <c r="BY752" i="2"/>
  <c r="BY753" i="2"/>
  <c r="BY754" i="2"/>
  <c r="BY755" i="2"/>
  <c r="BY756" i="2"/>
  <c r="BY757" i="2"/>
  <c r="BY758" i="2"/>
  <c r="BY759" i="2"/>
  <c r="BY760" i="2"/>
  <c r="BY761" i="2"/>
  <c r="BY762" i="2"/>
  <c r="BY763" i="2"/>
  <c r="BY764" i="2"/>
  <c r="BY765" i="2"/>
  <c r="BY766" i="2"/>
  <c r="BY767" i="2"/>
  <c r="BY768" i="2"/>
  <c r="BY769" i="2"/>
  <c r="BY770" i="2"/>
  <c r="BY771" i="2"/>
  <c r="BY772" i="2"/>
  <c r="BY773" i="2"/>
  <c r="BY774" i="2"/>
  <c r="BY775" i="2"/>
  <c r="BY776" i="2"/>
  <c r="BY777" i="2"/>
  <c r="BY778" i="2"/>
  <c r="BY779" i="2"/>
  <c r="BY780" i="2"/>
  <c r="BY781" i="2"/>
  <c r="BY782" i="2"/>
  <c r="BY783" i="2"/>
  <c r="BY784" i="2"/>
  <c r="BY785" i="2"/>
  <c r="BY786" i="2"/>
  <c r="BY787" i="2"/>
  <c r="BY788" i="2"/>
  <c r="BY789" i="2"/>
  <c r="BY790" i="2"/>
  <c r="BY791" i="2"/>
  <c r="BY792" i="2"/>
  <c r="BY793" i="2"/>
  <c r="BY794" i="2"/>
  <c r="BY795" i="2"/>
  <c r="BY796" i="2"/>
  <c r="BY797" i="2"/>
  <c r="BY798" i="2"/>
  <c r="BY799" i="2"/>
  <c r="BY800" i="2"/>
  <c r="BY801" i="2"/>
  <c r="BY802" i="2"/>
  <c r="BY803" i="2"/>
  <c r="BY804" i="2"/>
  <c r="BY805" i="2"/>
  <c r="BY806" i="2"/>
  <c r="BY807" i="2"/>
  <c r="BY808" i="2"/>
  <c r="BY809" i="2"/>
  <c r="BY810" i="2"/>
  <c r="BY811" i="2"/>
  <c r="BY812" i="2"/>
  <c r="BY813" i="2"/>
  <c r="BY814" i="2"/>
  <c r="BY815" i="2"/>
  <c r="BY816" i="2"/>
  <c r="BY817" i="2"/>
  <c r="BY818" i="2"/>
  <c r="BY819" i="2"/>
  <c r="BY820" i="2"/>
  <c r="BY821" i="2"/>
  <c r="BY822" i="2"/>
  <c r="BY823" i="2"/>
  <c r="BY824" i="2"/>
  <c r="BY825" i="2"/>
  <c r="BY826" i="2"/>
  <c r="BY827" i="2"/>
  <c r="BY828" i="2"/>
  <c r="BY829" i="2"/>
  <c r="BY830" i="2"/>
  <c r="BY831" i="2"/>
  <c r="BY832" i="2"/>
  <c r="BY833" i="2"/>
  <c r="BY834" i="2"/>
  <c r="BY835" i="2"/>
  <c r="BY836" i="2"/>
  <c r="BY837" i="2"/>
  <c r="BY838" i="2"/>
  <c r="BY839" i="2"/>
  <c r="BY840" i="2"/>
  <c r="BY841" i="2"/>
  <c r="BY842" i="2"/>
  <c r="BY843" i="2"/>
  <c r="BY844" i="2"/>
  <c r="BY845" i="2"/>
  <c r="BY846" i="2"/>
  <c r="BY847" i="2"/>
  <c r="BY848" i="2"/>
  <c r="BY849" i="2"/>
  <c r="BY850" i="2"/>
  <c r="BY851" i="2"/>
  <c r="BY852" i="2"/>
  <c r="BY853" i="2"/>
  <c r="BY854" i="2"/>
  <c r="BY855" i="2"/>
  <c r="BY856" i="2"/>
  <c r="BY857" i="2"/>
  <c r="BY858" i="2"/>
  <c r="BY859" i="2"/>
  <c r="BY860" i="2"/>
  <c r="BY861" i="2"/>
  <c r="BY862" i="2"/>
  <c r="BY863" i="2"/>
  <c r="BY864" i="2"/>
  <c r="BY865" i="2"/>
  <c r="BY866" i="2"/>
  <c r="BY867" i="2"/>
  <c r="BY868" i="2"/>
  <c r="BY869" i="2"/>
  <c r="BY870" i="2"/>
  <c r="BY871" i="2"/>
  <c r="BY872" i="2"/>
  <c r="BY873" i="2"/>
  <c r="BY874" i="2"/>
  <c r="BY875" i="2"/>
  <c r="BY876" i="2"/>
  <c r="BY877" i="2"/>
  <c r="BY878" i="2"/>
  <c r="BY879" i="2"/>
  <c r="BY880" i="2"/>
  <c r="BY881" i="2"/>
  <c r="BY882" i="2"/>
  <c r="BY883" i="2"/>
  <c r="BY884" i="2"/>
  <c r="BY885" i="2"/>
  <c r="BY886" i="2"/>
  <c r="BY887" i="2"/>
  <c r="BY888" i="2"/>
  <c r="BY889" i="2"/>
  <c r="BY890" i="2"/>
  <c r="BY891" i="2"/>
  <c r="BY892" i="2"/>
  <c r="BY893" i="2"/>
  <c r="BY894" i="2"/>
  <c r="BY895" i="2"/>
  <c r="BY896" i="2"/>
  <c r="BY897" i="2"/>
  <c r="BY898" i="2"/>
  <c r="BY899" i="2"/>
  <c r="BY900" i="2"/>
  <c r="BY901" i="2"/>
  <c r="BY902" i="2"/>
  <c r="BY903" i="2"/>
  <c r="BY904" i="2"/>
  <c r="BY905" i="2"/>
  <c r="BY906" i="2"/>
  <c r="BY907" i="2"/>
  <c r="BY908" i="2"/>
  <c r="BY909" i="2"/>
  <c r="BY910" i="2"/>
  <c r="BY911" i="2"/>
  <c r="BY912" i="2"/>
  <c r="BY913" i="2"/>
  <c r="BY914" i="2"/>
  <c r="BY915" i="2"/>
  <c r="BY916" i="2"/>
  <c r="BY917" i="2"/>
  <c r="BY918" i="2"/>
  <c r="BY919" i="2"/>
  <c r="BY920" i="2"/>
  <c r="BY921" i="2"/>
  <c r="BY922" i="2"/>
  <c r="BY923" i="2"/>
  <c r="BY924" i="2"/>
  <c r="BY925" i="2"/>
  <c r="BY926" i="2"/>
  <c r="BY927" i="2"/>
  <c r="BY928" i="2"/>
  <c r="BY929" i="2"/>
  <c r="BY930" i="2"/>
  <c r="BY931" i="2"/>
  <c r="BY932" i="2"/>
  <c r="BY933" i="2"/>
  <c r="BY934" i="2"/>
  <c r="BY935" i="2"/>
  <c r="BY936" i="2"/>
  <c r="BY937" i="2"/>
  <c r="BY938" i="2"/>
  <c r="BY939" i="2"/>
  <c r="BY940" i="2"/>
  <c r="BY941" i="2"/>
  <c r="BY942" i="2"/>
  <c r="BY943" i="2"/>
  <c r="BY944" i="2"/>
  <c r="BY945" i="2"/>
  <c r="BY946" i="2"/>
  <c r="BY947" i="2"/>
  <c r="BY948" i="2"/>
  <c r="BY949" i="2"/>
  <c r="BY950" i="2"/>
  <c r="BY951" i="2"/>
  <c r="BY952" i="2"/>
  <c r="BY953" i="2"/>
  <c r="BY954" i="2"/>
  <c r="BY955" i="2"/>
  <c r="BY956" i="2"/>
  <c r="BY957" i="2"/>
  <c r="BY958" i="2"/>
  <c r="BY959" i="2"/>
  <c r="BY960" i="2"/>
  <c r="BY961" i="2"/>
  <c r="BY962" i="2"/>
  <c r="BY963" i="2"/>
  <c r="BY964" i="2"/>
  <c r="BY965" i="2"/>
  <c r="BY966" i="2"/>
  <c r="BY967" i="2"/>
  <c r="BY968" i="2"/>
  <c r="BY969" i="2"/>
  <c r="BY970" i="2"/>
  <c r="BY971" i="2"/>
  <c r="BY972" i="2"/>
  <c r="BY973" i="2"/>
  <c r="BY974" i="2"/>
  <c r="BY975" i="2"/>
  <c r="BY976" i="2"/>
  <c r="BY977" i="2"/>
  <c r="BY978" i="2"/>
  <c r="BY979" i="2"/>
  <c r="BY980" i="2"/>
  <c r="BY981" i="2"/>
  <c r="BY982" i="2"/>
  <c r="BY983" i="2"/>
  <c r="BY984" i="2"/>
  <c r="BY985" i="2"/>
  <c r="BY986" i="2"/>
  <c r="BY987" i="2"/>
  <c r="BY988" i="2"/>
  <c r="BY989" i="2"/>
  <c r="BY990" i="2"/>
  <c r="BY991" i="2"/>
  <c r="BY992" i="2"/>
  <c r="BY993" i="2"/>
  <c r="BY994" i="2"/>
  <c r="BY995" i="2"/>
  <c r="BY996" i="2"/>
  <c r="BY997" i="2"/>
  <c r="BY998" i="2"/>
  <c r="BY999" i="2"/>
  <c r="BY1000" i="2"/>
  <c r="BY1001" i="2"/>
  <c r="BY1002" i="2"/>
  <c r="BY1003" i="2"/>
  <c r="BY1004" i="2"/>
  <c r="BY1005" i="2"/>
  <c r="BY1006" i="2"/>
  <c r="BY1007" i="2"/>
  <c r="BY1008" i="2"/>
  <c r="BY1009" i="2"/>
  <c r="BY1010" i="2"/>
  <c r="BY1011" i="2"/>
  <c r="BY1012" i="2"/>
  <c r="BY1013" i="2"/>
  <c r="BY1014" i="2"/>
  <c r="BY1015" i="2"/>
  <c r="BY1016" i="2"/>
  <c r="BY1017" i="2"/>
  <c r="BY1018" i="2"/>
  <c r="BY1019" i="2"/>
  <c r="BY1020" i="2"/>
  <c r="BY1021" i="2"/>
  <c r="BY1022" i="2"/>
  <c r="BY1023" i="2"/>
  <c r="BY1024" i="2"/>
  <c r="BY1025" i="2"/>
  <c r="BY1026" i="2"/>
  <c r="BY1027" i="2"/>
  <c r="BY1028" i="2"/>
  <c r="BY1029" i="2"/>
  <c r="BY1030" i="2"/>
  <c r="BY1031" i="2"/>
  <c r="BY1032" i="2"/>
  <c r="BY1033" i="2"/>
  <c r="BY1034" i="2"/>
  <c r="BY1035" i="2"/>
  <c r="BY1036" i="2"/>
  <c r="BY1037" i="2"/>
  <c r="BY1038" i="2"/>
  <c r="BY1039" i="2"/>
  <c r="BY1040" i="2"/>
  <c r="BY1041" i="2"/>
  <c r="BY1042" i="2"/>
  <c r="BY1043" i="2"/>
  <c r="BY1044" i="2"/>
  <c r="BY1045" i="2"/>
  <c r="BY1046" i="2"/>
  <c r="BY1047" i="2"/>
  <c r="BY1048" i="2"/>
  <c r="BY1049" i="2"/>
  <c r="BY1050" i="2"/>
  <c r="BY1051" i="2"/>
  <c r="BY1052" i="2"/>
  <c r="BY1053" i="2"/>
  <c r="BY1054" i="2"/>
  <c r="BY1055" i="2"/>
  <c r="BY1056" i="2"/>
  <c r="BY1057" i="2"/>
  <c r="BY1058" i="2"/>
  <c r="BY1059" i="2"/>
  <c r="BY1060" i="2"/>
  <c r="BY1061" i="2"/>
  <c r="BY1062" i="2"/>
  <c r="BY1063" i="2"/>
  <c r="BY1064" i="2"/>
  <c r="BY1065" i="2"/>
  <c r="BY1066" i="2"/>
  <c r="BY1067" i="2"/>
  <c r="BY1068" i="2"/>
  <c r="BY1069" i="2"/>
  <c r="BY1070" i="2"/>
  <c r="BY1071" i="2"/>
  <c r="BY1072" i="2"/>
  <c r="BY1073" i="2"/>
  <c r="BY1074" i="2"/>
  <c r="BY1075" i="2"/>
  <c r="BY1076" i="2"/>
  <c r="BY1077" i="2"/>
  <c r="BY1078" i="2"/>
  <c r="BY1079" i="2"/>
  <c r="BY1080" i="2"/>
  <c r="BY1081" i="2"/>
  <c r="BY1082" i="2"/>
  <c r="BY1083" i="2"/>
  <c r="BY1084" i="2"/>
  <c r="BY1085" i="2"/>
  <c r="BY1086" i="2"/>
  <c r="BY1087" i="2"/>
  <c r="BY1088" i="2"/>
  <c r="BY1089" i="2"/>
  <c r="BY1090" i="2"/>
  <c r="BY1091" i="2"/>
  <c r="BY1092" i="2"/>
  <c r="BY1093" i="2"/>
  <c r="BY1094" i="2"/>
  <c r="BY1095" i="2"/>
  <c r="BY1096" i="2"/>
  <c r="BY1097" i="2"/>
  <c r="BY1098" i="2"/>
  <c r="BY1099" i="2"/>
  <c r="BY1100" i="2"/>
  <c r="BY1101" i="2"/>
  <c r="BY1102" i="2"/>
  <c r="BY1103" i="2"/>
  <c r="BY1104" i="2"/>
  <c r="BY1105" i="2"/>
  <c r="BY1106" i="2"/>
  <c r="BY1107" i="2"/>
  <c r="BY1108" i="2"/>
  <c r="BY1109" i="2"/>
  <c r="BY1110" i="2"/>
  <c r="BY1111" i="2"/>
  <c r="BY1112" i="2"/>
  <c r="BY1113" i="2"/>
  <c r="BY1114" i="2"/>
  <c r="BY1115" i="2"/>
  <c r="BY1116" i="2"/>
  <c r="BY1117" i="2"/>
  <c r="BY1118" i="2"/>
  <c r="BY1119" i="2"/>
  <c r="BY1120" i="2"/>
  <c r="BY1121" i="2"/>
  <c r="BY1122" i="2"/>
  <c r="BY1123" i="2"/>
  <c r="BY1124" i="2"/>
  <c r="BY1125" i="2"/>
  <c r="BY1126" i="2"/>
  <c r="BY1127" i="2"/>
  <c r="BY1128" i="2"/>
  <c r="BY1129" i="2"/>
  <c r="BY1130" i="2"/>
  <c r="BY1131" i="2"/>
  <c r="BY1132" i="2"/>
  <c r="BY1133" i="2"/>
  <c r="BY1134" i="2"/>
  <c r="BY1135" i="2"/>
  <c r="BY1136" i="2"/>
  <c r="BY1137" i="2"/>
  <c r="BY1138" i="2"/>
  <c r="BY1139" i="2"/>
  <c r="BY1140" i="2"/>
  <c r="BY1141" i="2"/>
  <c r="BY1142" i="2"/>
  <c r="BY1143" i="2"/>
  <c r="BY1144" i="2"/>
  <c r="BY1145" i="2"/>
  <c r="BY1146" i="2"/>
  <c r="BY1147" i="2"/>
  <c r="BY1148" i="2"/>
  <c r="BY1149" i="2"/>
  <c r="BY1150" i="2"/>
  <c r="BY1151" i="2"/>
  <c r="BY1152" i="2"/>
  <c r="BY1153" i="2"/>
  <c r="BY1154" i="2"/>
  <c r="BY1155" i="2"/>
  <c r="BY1156" i="2"/>
  <c r="BY1157" i="2"/>
  <c r="BY1158" i="2"/>
  <c r="BY1159" i="2"/>
  <c r="BY1160" i="2"/>
  <c r="BY1161" i="2"/>
  <c r="BY1162" i="2"/>
  <c r="BY1163" i="2"/>
  <c r="BY1164" i="2"/>
  <c r="BY1165" i="2"/>
  <c r="BY1166" i="2"/>
  <c r="BY1167" i="2"/>
  <c r="BY1168" i="2"/>
  <c r="BY1169" i="2"/>
  <c r="BY1170" i="2"/>
  <c r="BY1171" i="2"/>
  <c r="BY1172" i="2"/>
  <c r="BY1173" i="2"/>
  <c r="BY1174" i="2"/>
  <c r="BY1175" i="2"/>
  <c r="BY1176" i="2"/>
  <c r="BY1177" i="2"/>
  <c r="BY1178" i="2"/>
  <c r="BY1179" i="2"/>
  <c r="BY1180" i="2"/>
  <c r="BY1181" i="2"/>
  <c r="BY1182" i="2"/>
  <c r="BY1183" i="2"/>
  <c r="BY1184" i="2"/>
  <c r="BY1185" i="2"/>
  <c r="BY1186" i="2"/>
  <c r="BY1187" i="2"/>
  <c r="BY1188" i="2"/>
  <c r="BY1189" i="2"/>
  <c r="BY1190" i="2"/>
  <c r="BY1191" i="2"/>
  <c r="BY1192" i="2"/>
  <c r="BY1193" i="2"/>
  <c r="BY1194" i="2"/>
  <c r="BY1195" i="2"/>
  <c r="BY1196" i="2"/>
  <c r="BY1197" i="2"/>
  <c r="BY1198" i="2"/>
  <c r="BY1199" i="2"/>
  <c r="BY1200" i="2"/>
  <c r="BY1201" i="2"/>
  <c r="BY1202" i="2"/>
  <c r="BY1203" i="2"/>
  <c r="BY1204" i="2"/>
  <c r="BY1205" i="2"/>
  <c r="BY1206" i="2"/>
  <c r="BY1207" i="2"/>
  <c r="BY1208" i="2"/>
  <c r="BY1209" i="2"/>
  <c r="BY1210" i="2"/>
  <c r="BY1211" i="2"/>
  <c r="BY1212" i="2"/>
  <c r="BY1213" i="2"/>
  <c r="BY1214" i="2"/>
  <c r="BY1215" i="2"/>
  <c r="BY1216" i="2"/>
  <c r="BY1217" i="2"/>
  <c r="BY1218" i="2"/>
  <c r="BY1219" i="2"/>
  <c r="BY1220" i="2"/>
  <c r="BY1221" i="2"/>
  <c r="BY1222" i="2"/>
  <c r="BY1223" i="2"/>
  <c r="BY1224" i="2"/>
  <c r="BY1225" i="2"/>
  <c r="BY1226" i="2"/>
  <c r="BY1227" i="2"/>
  <c r="BY1228" i="2"/>
  <c r="BY1229" i="2"/>
  <c r="BY1230" i="2"/>
  <c r="BY1231" i="2"/>
  <c r="BY1232" i="2"/>
  <c r="BY1233" i="2"/>
  <c r="BY1234" i="2"/>
  <c r="BY1235" i="2"/>
  <c r="BY1236" i="2"/>
  <c r="BY1237" i="2"/>
  <c r="BY1238" i="2"/>
  <c r="BY1239" i="2"/>
  <c r="BY1240" i="2"/>
  <c r="BY1241" i="2"/>
  <c r="BY1242" i="2"/>
  <c r="BY1243" i="2"/>
  <c r="BY1244" i="2"/>
  <c r="BY1245" i="2"/>
  <c r="BY1246" i="2"/>
  <c r="BY1247" i="2"/>
  <c r="BY1248" i="2"/>
  <c r="BY1249" i="2"/>
  <c r="BY1250" i="2"/>
  <c r="BY1251" i="2"/>
  <c r="BY1252" i="2"/>
  <c r="BY1253" i="2"/>
  <c r="BY1254" i="2"/>
  <c r="BY1255" i="2"/>
  <c r="BY1256" i="2"/>
  <c r="BY1257" i="2"/>
  <c r="BY1258" i="2"/>
  <c r="BY1259" i="2"/>
  <c r="BY1260" i="2"/>
  <c r="BY1261" i="2"/>
  <c r="BY1262" i="2"/>
  <c r="BY1263" i="2"/>
  <c r="BY1264" i="2"/>
  <c r="BY1265" i="2"/>
  <c r="BY1266" i="2"/>
  <c r="BY1267" i="2"/>
  <c r="BY1268" i="2"/>
  <c r="BY1269" i="2"/>
  <c r="BY1270" i="2"/>
  <c r="BY1271" i="2"/>
  <c r="BY1272" i="2"/>
  <c r="BY1273" i="2"/>
  <c r="BY1274" i="2"/>
  <c r="BY1275" i="2"/>
  <c r="BY1276" i="2"/>
  <c r="BY1277" i="2"/>
  <c r="BY1278" i="2"/>
  <c r="BY1279" i="2"/>
  <c r="BY1280" i="2"/>
  <c r="BY1281" i="2"/>
  <c r="BY1282" i="2"/>
  <c r="BY1283" i="2"/>
  <c r="BY1284" i="2"/>
  <c r="BY1285" i="2"/>
  <c r="BY1286" i="2"/>
  <c r="BY1287" i="2"/>
  <c r="BY1288" i="2"/>
  <c r="BY1289" i="2"/>
  <c r="BY1290" i="2"/>
  <c r="BY1291" i="2"/>
  <c r="BY1292" i="2"/>
  <c r="BY1293" i="2"/>
  <c r="BY1294" i="2"/>
  <c r="BY1295" i="2"/>
  <c r="BY1296" i="2"/>
  <c r="BY1297" i="2"/>
  <c r="BY1298" i="2"/>
  <c r="BY1299" i="2"/>
  <c r="BY1300" i="2"/>
  <c r="BY1301" i="2"/>
  <c r="BY1302" i="2"/>
  <c r="BY1303" i="2"/>
  <c r="BY1304" i="2"/>
  <c r="BY1305" i="2"/>
  <c r="BY1306" i="2"/>
  <c r="BY1307" i="2"/>
  <c r="BY1308" i="2"/>
  <c r="BY1309" i="2"/>
  <c r="BY1310" i="2"/>
  <c r="BY1311" i="2"/>
  <c r="BY1312" i="2"/>
  <c r="BY1313" i="2"/>
  <c r="BY1314" i="2"/>
  <c r="BY1315" i="2"/>
  <c r="BY1316" i="2"/>
  <c r="BY1317" i="2"/>
  <c r="BY1318" i="2"/>
  <c r="BY1319" i="2"/>
  <c r="BY1320" i="2"/>
  <c r="BY1321" i="2"/>
  <c r="BY1322" i="2"/>
  <c r="BY1323" i="2"/>
  <c r="BY1324" i="2"/>
  <c r="BY1325" i="2"/>
  <c r="BY1326" i="2"/>
  <c r="BY1327" i="2"/>
  <c r="BY1328" i="2"/>
  <c r="BY1329" i="2"/>
  <c r="BY1330" i="2"/>
  <c r="BY1331" i="2"/>
  <c r="BY1332" i="2"/>
  <c r="BY1333" i="2"/>
  <c r="BY1334" i="2"/>
  <c r="BY1335" i="2"/>
  <c r="BY1336" i="2"/>
  <c r="BY1337" i="2"/>
  <c r="BY1338" i="2"/>
  <c r="BY1339" i="2"/>
  <c r="BY1340" i="2"/>
  <c r="BY1341" i="2"/>
  <c r="BY1342" i="2"/>
  <c r="BY1343" i="2"/>
  <c r="BY1344" i="2"/>
  <c r="BY1345" i="2"/>
  <c r="BY1346" i="2"/>
  <c r="BY1347" i="2"/>
  <c r="BY1348" i="2"/>
  <c r="BY1349" i="2"/>
  <c r="BY1350" i="2"/>
  <c r="BY1351" i="2"/>
  <c r="BY1352" i="2"/>
  <c r="BY1353" i="2"/>
  <c r="BY1354" i="2"/>
  <c r="BY1355" i="2"/>
  <c r="BY1356" i="2"/>
  <c r="BY1357" i="2"/>
  <c r="BY1358" i="2"/>
  <c r="BY1359" i="2"/>
  <c r="BY1360" i="2"/>
  <c r="BY1361" i="2"/>
  <c r="BY1362" i="2"/>
  <c r="BY1363" i="2"/>
  <c r="BY1364" i="2"/>
  <c r="BY1365" i="2"/>
  <c r="BY1366" i="2"/>
  <c r="BY1367" i="2"/>
  <c r="BY1368" i="2"/>
  <c r="BY1369" i="2"/>
  <c r="BY1370" i="2"/>
  <c r="BY1371" i="2"/>
  <c r="BY1372" i="2"/>
  <c r="BY1373" i="2"/>
  <c r="BY1374" i="2"/>
  <c r="BY1375" i="2"/>
  <c r="BY1376" i="2"/>
  <c r="BY1377" i="2"/>
  <c r="BY1378" i="2"/>
  <c r="BY1379" i="2"/>
  <c r="BY1380" i="2"/>
  <c r="BY1381" i="2"/>
  <c r="BY1382" i="2"/>
  <c r="BY1383" i="2"/>
  <c r="BY1384" i="2"/>
  <c r="BY1385" i="2"/>
  <c r="BY1386" i="2"/>
  <c r="BY1387" i="2"/>
  <c r="BY1388" i="2"/>
  <c r="BY1389" i="2"/>
  <c r="BY1390" i="2"/>
  <c r="BY1391" i="2"/>
  <c r="BY1392" i="2"/>
  <c r="BY1393" i="2"/>
  <c r="BY1394" i="2"/>
  <c r="BY1395" i="2"/>
  <c r="BY1396" i="2"/>
  <c r="BY1397" i="2"/>
  <c r="BY1398" i="2"/>
  <c r="BY1399" i="2"/>
  <c r="BY1400" i="2"/>
  <c r="BY1401" i="2"/>
  <c r="BY1402" i="2"/>
  <c r="BY1403" i="2"/>
  <c r="BY1404" i="2"/>
  <c r="BY1405" i="2"/>
  <c r="BY1406" i="2"/>
  <c r="BY1407" i="2"/>
  <c r="BY1408" i="2"/>
  <c r="BY1409" i="2"/>
  <c r="BY1410" i="2"/>
  <c r="BY1411" i="2"/>
  <c r="BY1412" i="2"/>
  <c r="BY1413" i="2"/>
  <c r="BY1414" i="2"/>
  <c r="BY1415" i="2"/>
  <c r="BY1416" i="2"/>
  <c r="BY1417" i="2"/>
  <c r="BY1418" i="2"/>
  <c r="BY1419" i="2"/>
  <c r="BY1420" i="2"/>
  <c r="BY1421" i="2"/>
  <c r="BY1422" i="2"/>
  <c r="BY1423" i="2"/>
  <c r="BY1424" i="2"/>
  <c r="BY1425" i="2"/>
  <c r="BY1426" i="2"/>
  <c r="BY1427" i="2"/>
  <c r="BY1428" i="2"/>
  <c r="BY1429" i="2"/>
  <c r="BY1430" i="2"/>
  <c r="BY1431" i="2"/>
  <c r="BY1432" i="2"/>
  <c r="BY1433" i="2"/>
  <c r="BY1434" i="2"/>
  <c r="BY1435" i="2"/>
  <c r="BY1436" i="2"/>
  <c r="BY1437" i="2"/>
  <c r="BY1438" i="2"/>
  <c r="BY1439" i="2"/>
  <c r="BY1440" i="2"/>
  <c r="BY1441" i="2"/>
  <c r="BY1442" i="2"/>
  <c r="BY1443" i="2"/>
  <c r="BY1444" i="2"/>
  <c r="BY1445" i="2"/>
  <c r="BY1446" i="2"/>
  <c r="BY1447" i="2"/>
  <c r="BY1448" i="2"/>
  <c r="BY1449" i="2"/>
  <c r="BY1450" i="2"/>
  <c r="BY1451" i="2"/>
  <c r="BY1452" i="2"/>
  <c r="BY1453" i="2"/>
  <c r="BY1454" i="2"/>
  <c r="BY1455" i="2"/>
  <c r="BY1456" i="2"/>
  <c r="BY1457" i="2"/>
  <c r="BY1458" i="2"/>
  <c r="BY1459" i="2"/>
  <c r="BY1460" i="2"/>
  <c r="BY1461" i="2"/>
  <c r="BY1462" i="2"/>
  <c r="BY1463" i="2"/>
  <c r="BY1464" i="2"/>
  <c r="BY1465" i="2"/>
  <c r="BY1466" i="2"/>
  <c r="BY1467" i="2"/>
  <c r="BY1468" i="2"/>
  <c r="BY1469" i="2"/>
  <c r="BY1470" i="2"/>
  <c r="BY1471" i="2"/>
  <c r="BY1472" i="2"/>
  <c r="BY1473" i="2"/>
  <c r="BY1474" i="2"/>
  <c r="BY1475" i="2"/>
  <c r="BY1476" i="2"/>
  <c r="BY1477" i="2"/>
  <c r="BY1478" i="2"/>
  <c r="BY1479" i="2"/>
  <c r="BY1480" i="2"/>
  <c r="BY1481" i="2"/>
  <c r="BY1482" i="2"/>
  <c r="BY1483" i="2"/>
  <c r="BY1484" i="2"/>
  <c r="BY1485" i="2"/>
  <c r="BY1486" i="2"/>
  <c r="BY1487" i="2"/>
  <c r="BY1488" i="2"/>
  <c r="BY1489" i="2"/>
  <c r="BY1490" i="2"/>
  <c r="BY1491" i="2"/>
  <c r="BY1492" i="2"/>
  <c r="BY1493" i="2"/>
  <c r="BY1494" i="2"/>
  <c r="BY1495" i="2"/>
  <c r="BY1496" i="2"/>
  <c r="BY1497" i="2"/>
  <c r="BY1498" i="2"/>
  <c r="BY1499" i="2"/>
  <c r="BY1500" i="2"/>
  <c r="BY1501" i="2"/>
  <c r="BY1502" i="2"/>
  <c r="BY1503" i="2"/>
  <c r="BY1504" i="2"/>
  <c r="BY1505" i="2"/>
  <c r="BY1506" i="2"/>
  <c r="BY1507" i="2"/>
  <c r="BY1508" i="2"/>
  <c r="BY1509" i="2"/>
  <c r="BY1510" i="2"/>
  <c r="BY1511" i="2"/>
  <c r="BY1512" i="2"/>
  <c r="BY1513" i="2"/>
  <c r="BY1514" i="2"/>
  <c r="BY1515" i="2"/>
  <c r="BY1516" i="2"/>
  <c r="BY1517" i="2"/>
  <c r="BY1518" i="2"/>
  <c r="BY1519" i="2"/>
  <c r="BY1520" i="2"/>
  <c r="BY1521" i="2"/>
  <c r="BY1522" i="2"/>
  <c r="BY1523" i="2"/>
  <c r="BY1524" i="2"/>
  <c r="BY1525" i="2"/>
  <c r="BY1526" i="2"/>
  <c r="BY1527" i="2"/>
  <c r="BY1528" i="2"/>
  <c r="BY1529" i="2"/>
  <c r="BY1530" i="2"/>
  <c r="BY1531" i="2"/>
  <c r="BY1532" i="2"/>
  <c r="BY1533" i="2"/>
  <c r="BY1534" i="2"/>
  <c r="BY1535" i="2"/>
  <c r="BY1536" i="2"/>
  <c r="BY1537" i="2"/>
  <c r="BY1538" i="2"/>
  <c r="BY1539" i="2"/>
  <c r="BY1540" i="2"/>
  <c r="BY1541" i="2"/>
  <c r="BY1542" i="2"/>
  <c r="BY1543" i="2"/>
  <c r="BY1544" i="2"/>
  <c r="BY1545" i="2"/>
  <c r="BY1546" i="2"/>
  <c r="BY1547" i="2"/>
  <c r="BY1548" i="2"/>
  <c r="BY1549" i="2"/>
  <c r="BY1550" i="2"/>
  <c r="BY1551" i="2"/>
  <c r="BY1552" i="2"/>
  <c r="BY1553" i="2"/>
  <c r="BY1554" i="2"/>
  <c r="BY1555" i="2"/>
  <c r="BY1556" i="2"/>
  <c r="BY1557" i="2"/>
  <c r="BY1558" i="2"/>
  <c r="BY1559" i="2"/>
  <c r="BY1560" i="2"/>
  <c r="BY1561" i="2"/>
  <c r="BY1562" i="2"/>
  <c r="BY1563" i="2"/>
  <c r="BY1564" i="2"/>
  <c r="BY1565" i="2"/>
  <c r="BY1566" i="2"/>
  <c r="BY1567" i="2"/>
  <c r="BY1568" i="2"/>
  <c r="BY1569" i="2"/>
  <c r="BY1570" i="2"/>
  <c r="BY1571" i="2"/>
  <c r="BY1572" i="2"/>
  <c r="BY1573" i="2"/>
  <c r="BY1574" i="2"/>
  <c r="BY1575" i="2"/>
  <c r="BY1576" i="2"/>
  <c r="BY1577" i="2"/>
  <c r="BY1578" i="2"/>
  <c r="BY1579" i="2"/>
  <c r="BY1580" i="2"/>
  <c r="BY1581" i="2"/>
  <c r="BY1582" i="2"/>
  <c r="BY1583" i="2"/>
  <c r="BY1584" i="2"/>
  <c r="BY1585" i="2"/>
  <c r="BY1586" i="2"/>
  <c r="BY1587" i="2"/>
  <c r="BY1588" i="2"/>
  <c r="BY1589" i="2"/>
  <c r="BY1590" i="2"/>
  <c r="BY1591" i="2"/>
  <c r="BY1592" i="2"/>
  <c r="BY1593" i="2"/>
  <c r="BY1594" i="2"/>
  <c r="BY1595" i="2"/>
  <c r="BY1596" i="2"/>
  <c r="BY1597" i="2"/>
  <c r="BY1598" i="2"/>
  <c r="BY1599" i="2"/>
  <c r="BY1600" i="2"/>
  <c r="BY1601" i="2"/>
  <c r="BY1602" i="2"/>
  <c r="BY1603" i="2"/>
  <c r="BY1604" i="2"/>
  <c r="BY1605" i="2"/>
  <c r="BY1606" i="2"/>
  <c r="BY1607" i="2"/>
  <c r="BY1608" i="2"/>
  <c r="BY1609" i="2"/>
  <c r="BY1610" i="2"/>
  <c r="BY1611" i="2"/>
  <c r="BY1612" i="2"/>
  <c r="BY1613" i="2"/>
  <c r="BY1614" i="2"/>
  <c r="BY1615" i="2"/>
  <c r="BY1616" i="2"/>
  <c r="BY1617" i="2"/>
  <c r="BY1618" i="2"/>
  <c r="BY1619" i="2"/>
  <c r="BY1620" i="2"/>
  <c r="BY1621" i="2"/>
  <c r="BY1622" i="2"/>
  <c r="BY1623" i="2"/>
  <c r="BY1624" i="2"/>
  <c r="BY1625" i="2"/>
  <c r="BY1626" i="2"/>
  <c r="BY1627" i="2"/>
  <c r="BY1628" i="2"/>
  <c r="BY1629" i="2"/>
  <c r="BY1630" i="2"/>
  <c r="BY1631" i="2"/>
  <c r="BY1632" i="2"/>
  <c r="BY1633" i="2"/>
  <c r="BY1634" i="2"/>
  <c r="BY1635" i="2"/>
  <c r="BY1636" i="2"/>
  <c r="BY1637" i="2"/>
  <c r="BY1638" i="2"/>
  <c r="BY1639" i="2"/>
  <c r="BY1640" i="2"/>
  <c r="BY1641" i="2"/>
  <c r="BY1642" i="2"/>
  <c r="BY1643" i="2"/>
  <c r="BY1644" i="2"/>
  <c r="BY1645" i="2"/>
  <c r="BY1646" i="2"/>
  <c r="BY1647" i="2"/>
  <c r="BY1648" i="2"/>
  <c r="BY1649" i="2"/>
  <c r="BY1650" i="2"/>
  <c r="BY1651" i="2"/>
  <c r="BY1652" i="2"/>
  <c r="BY1653" i="2"/>
  <c r="BY1654" i="2"/>
  <c r="BY1655" i="2"/>
  <c r="BY1656" i="2"/>
  <c r="BY1657" i="2"/>
  <c r="BY1658" i="2"/>
  <c r="BY1659" i="2"/>
  <c r="BY1660" i="2"/>
  <c r="BY1661" i="2"/>
  <c r="BY1662" i="2"/>
  <c r="BY1663" i="2"/>
  <c r="BY1664" i="2"/>
  <c r="BY1665" i="2"/>
  <c r="BY1666" i="2"/>
  <c r="BY1667" i="2"/>
  <c r="BY1668" i="2"/>
  <c r="BY1669" i="2"/>
  <c r="BY1670" i="2"/>
  <c r="BY1671" i="2"/>
  <c r="BY1672" i="2"/>
  <c r="BY1673" i="2"/>
  <c r="BY1674" i="2"/>
  <c r="BY1675" i="2"/>
  <c r="BY1676" i="2"/>
  <c r="BY1677" i="2"/>
  <c r="BY1678" i="2"/>
  <c r="BY1679" i="2"/>
  <c r="BY1680" i="2"/>
  <c r="BY1681" i="2"/>
  <c r="BY1682" i="2"/>
  <c r="BY1683" i="2"/>
  <c r="BY1684" i="2"/>
  <c r="BY1685" i="2"/>
  <c r="BY1686" i="2"/>
  <c r="BY1687" i="2"/>
  <c r="BY1688" i="2"/>
  <c r="BY1689" i="2"/>
  <c r="BY1690" i="2"/>
  <c r="BY1691" i="2"/>
  <c r="BY1692" i="2"/>
  <c r="BY1693" i="2"/>
  <c r="BY1694" i="2"/>
  <c r="BY1695" i="2"/>
  <c r="BY1696" i="2"/>
  <c r="BY1697" i="2"/>
  <c r="BY1698" i="2"/>
  <c r="BY1699" i="2"/>
  <c r="BY1700" i="2"/>
  <c r="BY1701" i="2"/>
  <c r="BY1702" i="2"/>
  <c r="BY1703" i="2"/>
  <c r="BY1704" i="2"/>
  <c r="BY1705" i="2"/>
  <c r="BY1706" i="2"/>
  <c r="BY1707" i="2"/>
  <c r="BY1708" i="2"/>
  <c r="BY1709" i="2"/>
  <c r="BY1710" i="2"/>
  <c r="BY1711" i="2"/>
  <c r="BY1712" i="2"/>
  <c r="BY1713" i="2"/>
  <c r="BY1714" i="2"/>
  <c r="BY1715" i="2"/>
  <c r="BY1716" i="2"/>
  <c r="BY1717" i="2"/>
  <c r="BY1718" i="2"/>
  <c r="BY1719" i="2"/>
  <c r="BY1720" i="2"/>
  <c r="BY1721" i="2"/>
  <c r="BY1722" i="2"/>
  <c r="BY1723" i="2"/>
  <c r="BY1724" i="2"/>
  <c r="BY1725" i="2"/>
  <c r="BY1726" i="2"/>
  <c r="BY1727" i="2"/>
  <c r="BY1728" i="2"/>
  <c r="BY1729" i="2"/>
  <c r="BY1730" i="2"/>
  <c r="BY1731" i="2"/>
  <c r="BY1732" i="2"/>
  <c r="BY1733" i="2"/>
  <c r="BY1734" i="2"/>
  <c r="BY1735" i="2"/>
  <c r="BY1736" i="2"/>
  <c r="BY1737" i="2"/>
  <c r="BY1738" i="2"/>
  <c r="BY1739" i="2"/>
  <c r="BY1740" i="2"/>
  <c r="BY1741" i="2"/>
  <c r="BY1742" i="2"/>
  <c r="BY1743" i="2"/>
  <c r="BY1744" i="2"/>
  <c r="BY1745" i="2"/>
  <c r="BY1746" i="2"/>
  <c r="BY1747" i="2"/>
  <c r="BY1748" i="2"/>
  <c r="BY1749" i="2"/>
  <c r="BY1750" i="2"/>
  <c r="BY1751" i="2"/>
  <c r="BY1752" i="2"/>
  <c r="BY1753" i="2"/>
  <c r="BY1754" i="2"/>
  <c r="BY1755" i="2"/>
  <c r="BY1756" i="2"/>
  <c r="BY1757" i="2"/>
  <c r="BY1758" i="2"/>
  <c r="BY1759" i="2"/>
  <c r="BY1760" i="2"/>
  <c r="BY1761" i="2"/>
  <c r="BY1762" i="2"/>
  <c r="BY1763" i="2"/>
  <c r="BY1764" i="2"/>
  <c r="BY1765" i="2"/>
  <c r="BY1766" i="2"/>
  <c r="BY1767" i="2"/>
  <c r="BY1768" i="2"/>
  <c r="BY1769" i="2"/>
  <c r="BY1770" i="2"/>
  <c r="BY1771" i="2"/>
  <c r="BY1772" i="2"/>
  <c r="BY1773" i="2"/>
  <c r="BY1774" i="2"/>
  <c r="BY1775" i="2"/>
  <c r="BY1776" i="2"/>
  <c r="BY1777" i="2"/>
  <c r="BY1778" i="2"/>
  <c r="BY1779" i="2"/>
  <c r="BY1780" i="2"/>
  <c r="BY1781" i="2"/>
  <c r="BY1782" i="2"/>
  <c r="BY1783" i="2"/>
  <c r="BY1784" i="2"/>
  <c r="BY1785" i="2"/>
  <c r="BY1786" i="2"/>
  <c r="BY1787" i="2"/>
  <c r="BY1788" i="2"/>
  <c r="BY1789" i="2"/>
  <c r="BY1790" i="2"/>
  <c r="BY1791" i="2"/>
  <c r="BY1792" i="2"/>
  <c r="BY1793" i="2"/>
  <c r="BY1794" i="2"/>
  <c r="BY1795" i="2"/>
  <c r="BY1796" i="2"/>
  <c r="BY1797" i="2"/>
  <c r="BY1798" i="2"/>
  <c r="BY1799" i="2"/>
  <c r="BY1800" i="2"/>
  <c r="BY1801" i="2"/>
  <c r="BY1802" i="2"/>
  <c r="BY1803" i="2"/>
  <c r="BY1804" i="2"/>
  <c r="BY1805" i="2"/>
  <c r="BY1806" i="2"/>
  <c r="BY1807" i="2"/>
  <c r="BY1808" i="2"/>
  <c r="BY1809" i="2"/>
  <c r="BY1810" i="2"/>
  <c r="BY1811" i="2"/>
  <c r="BY1812" i="2"/>
  <c r="BY1813" i="2"/>
  <c r="BY1814" i="2"/>
  <c r="BY1815" i="2"/>
  <c r="BY1816" i="2"/>
  <c r="BY1817" i="2"/>
  <c r="BY1818" i="2"/>
  <c r="BY1819" i="2"/>
  <c r="BY1820" i="2"/>
  <c r="BY1821" i="2"/>
  <c r="BY1822" i="2"/>
  <c r="BY1823" i="2"/>
  <c r="BY1824" i="2"/>
  <c r="BY1825" i="2"/>
  <c r="BY1826" i="2"/>
  <c r="BY1827" i="2"/>
  <c r="BY1828" i="2"/>
  <c r="BY1829" i="2"/>
  <c r="BY1830" i="2"/>
  <c r="BY1831" i="2"/>
  <c r="BY1832" i="2"/>
  <c r="BY1833" i="2"/>
  <c r="BY1834" i="2"/>
  <c r="BY1835" i="2"/>
  <c r="BY1836" i="2"/>
  <c r="BY1837" i="2"/>
  <c r="BY1838" i="2"/>
  <c r="BY1839" i="2"/>
  <c r="BY1840" i="2"/>
  <c r="BY1841" i="2"/>
  <c r="BY1842" i="2"/>
  <c r="BY1843" i="2"/>
  <c r="BY1844" i="2"/>
  <c r="BY1845" i="2"/>
  <c r="BY1846" i="2"/>
  <c r="BY1847" i="2"/>
  <c r="BY1848" i="2"/>
  <c r="BY1849" i="2"/>
  <c r="BY1850" i="2"/>
  <c r="BY1851" i="2"/>
  <c r="BY1852" i="2"/>
  <c r="BY1853" i="2"/>
  <c r="BY1854" i="2"/>
  <c r="BY1855" i="2"/>
  <c r="BY1856" i="2"/>
  <c r="BY1857" i="2"/>
  <c r="BY1858" i="2"/>
  <c r="BY1859" i="2"/>
  <c r="BY1860" i="2"/>
  <c r="BY1861" i="2"/>
  <c r="BY1862" i="2"/>
  <c r="BY1863" i="2"/>
  <c r="BY1864" i="2"/>
  <c r="BY1865" i="2"/>
  <c r="BY1866" i="2"/>
  <c r="BY1867" i="2"/>
  <c r="BY1868" i="2"/>
  <c r="BY1869" i="2"/>
  <c r="BY1870" i="2"/>
  <c r="BY1871" i="2"/>
  <c r="BY1872" i="2"/>
  <c r="BY1873" i="2"/>
  <c r="BY1874" i="2"/>
  <c r="BY1875" i="2"/>
  <c r="BY1876" i="2"/>
  <c r="BY1877" i="2"/>
  <c r="BY1878" i="2"/>
  <c r="BY1879" i="2"/>
  <c r="BY1880" i="2"/>
  <c r="BY1881" i="2"/>
  <c r="BY1882" i="2"/>
  <c r="BY1883" i="2"/>
  <c r="BY1884" i="2"/>
  <c r="BY1885" i="2"/>
  <c r="BY1886" i="2"/>
  <c r="BY1887" i="2"/>
  <c r="BY1888" i="2"/>
  <c r="BY1889" i="2"/>
  <c r="BY1890" i="2"/>
  <c r="BY1891" i="2"/>
  <c r="BY1892" i="2"/>
  <c r="BY1893" i="2"/>
  <c r="BY1894" i="2"/>
  <c r="BY1895" i="2"/>
  <c r="BY1896" i="2"/>
  <c r="BY1897" i="2"/>
  <c r="BY1898" i="2"/>
  <c r="BY1899" i="2"/>
  <c r="BY1900" i="2"/>
  <c r="BY1901" i="2"/>
  <c r="BY1902" i="2"/>
  <c r="BY1903" i="2"/>
  <c r="BY1904" i="2"/>
  <c r="BY1905" i="2"/>
  <c r="BY1906" i="2"/>
  <c r="BY1907" i="2"/>
  <c r="BY1908" i="2"/>
  <c r="BY1909" i="2"/>
  <c r="BY1910" i="2"/>
  <c r="BY1911" i="2"/>
  <c r="BY1912" i="2"/>
  <c r="BY1913" i="2"/>
  <c r="BY1914" i="2"/>
  <c r="BY1915" i="2"/>
  <c r="BY1916" i="2"/>
  <c r="BY1917" i="2"/>
  <c r="BY1918" i="2"/>
  <c r="BY1919" i="2"/>
  <c r="BY1920" i="2"/>
  <c r="BY1921" i="2"/>
  <c r="BY1922" i="2"/>
  <c r="BY1923" i="2"/>
  <c r="BY1924" i="2"/>
  <c r="BY1925" i="2"/>
  <c r="BY1926" i="2"/>
  <c r="BY1927" i="2"/>
  <c r="BY1928" i="2"/>
  <c r="BY1929" i="2"/>
  <c r="BY1930" i="2"/>
  <c r="BY1931" i="2"/>
  <c r="BY1932" i="2"/>
  <c r="BY1933" i="2"/>
  <c r="BY1934" i="2"/>
  <c r="BY1935" i="2"/>
  <c r="BY1936" i="2"/>
  <c r="BY1937" i="2"/>
  <c r="BY1938" i="2"/>
  <c r="BY1939" i="2"/>
  <c r="BY1940" i="2"/>
  <c r="BY1941" i="2"/>
  <c r="BY1942" i="2"/>
  <c r="BY1943" i="2"/>
  <c r="BY1944" i="2"/>
  <c r="BY1945" i="2"/>
  <c r="BY1946" i="2"/>
  <c r="BY1947" i="2"/>
  <c r="BY1948" i="2"/>
  <c r="BY1949" i="2"/>
  <c r="BY1950" i="2"/>
  <c r="BY1951" i="2"/>
  <c r="BY1952" i="2"/>
  <c r="BY1953" i="2"/>
  <c r="BY1954" i="2"/>
  <c r="BY1955" i="2"/>
  <c r="BY1956" i="2"/>
  <c r="BY1957" i="2"/>
  <c r="BY1958" i="2"/>
  <c r="BY1959" i="2"/>
  <c r="BY1960" i="2"/>
  <c r="BY1961" i="2"/>
  <c r="BY1962" i="2"/>
  <c r="BY1963" i="2"/>
  <c r="BY1964" i="2"/>
  <c r="BY1965" i="2"/>
  <c r="BY1966" i="2"/>
  <c r="BY1967" i="2"/>
  <c r="BY1968" i="2"/>
  <c r="BY1969" i="2"/>
  <c r="BY1970" i="2"/>
  <c r="BY1971" i="2"/>
  <c r="BY1972" i="2"/>
  <c r="BY1973" i="2"/>
  <c r="BY1974" i="2"/>
  <c r="BY1975" i="2"/>
  <c r="BY1976" i="2"/>
  <c r="BY1977" i="2"/>
  <c r="BY1978" i="2"/>
  <c r="BY1979" i="2"/>
  <c r="BY1980" i="2"/>
  <c r="BY1981" i="2"/>
  <c r="BY1982" i="2"/>
  <c r="BY1983" i="2"/>
  <c r="BY1984" i="2"/>
  <c r="BY1985" i="2"/>
  <c r="BY1986" i="2"/>
  <c r="BY1987" i="2"/>
  <c r="BY1988" i="2"/>
  <c r="BY1989" i="2"/>
  <c r="BY1990" i="2"/>
  <c r="BY1991" i="2"/>
  <c r="BY1992" i="2"/>
  <c r="BY1993" i="2"/>
  <c r="BY1994" i="2"/>
  <c r="BY1995" i="2"/>
  <c r="BY1996" i="2"/>
  <c r="BY1997" i="2"/>
  <c r="BY1998" i="2"/>
  <c r="BY1999" i="2"/>
  <c r="BY2000" i="2"/>
  <c r="BY2001" i="2"/>
  <c r="BY2002" i="2"/>
  <c r="BY2003" i="2"/>
  <c r="BY2004" i="2"/>
  <c r="BY2005" i="2"/>
  <c r="BY2006" i="2"/>
  <c r="BY2007" i="2"/>
  <c r="BY2008" i="2"/>
  <c r="BY2009" i="2"/>
  <c r="BY2010" i="2"/>
  <c r="BY2011" i="2"/>
  <c r="BY2012" i="2"/>
  <c r="BY2013" i="2"/>
  <c r="BY2014" i="2"/>
  <c r="BY2015" i="2"/>
  <c r="BY2016" i="2"/>
  <c r="BY2017" i="2"/>
  <c r="BY2018" i="2"/>
  <c r="BY2019" i="2"/>
  <c r="BY2020" i="2"/>
  <c r="BY2021" i="2"/>
  <c r="BY2022" i="2"/>
  <c r="BY2023" i="2"/>
  <c r="BY2024" i="2"/>
  <c r="BY2025" i="2"/>
  <c r="BY2026" i="2"/>
  <c r="BY2027" i="2"/>
  <c r="BY2028" i="2"/>
  <c r="BY2029" i="2"/>
  <c r="BY2030" i="2"/>
  <c r="BY2031" i="2"/>
  <c r="BY2032" i="2"/>
  <c r="BY2033" i="2"/>
  <c r="BY2034" i="2"/>
  <c r="BY2035" i="2"/>
  <c r="BY2036" i="2"/>
  <c r="BY2037" i="2"/>
  <c r="BY2038" i="2"/>
  <c r="BY2039" i="2"/>
  <c r="BY2040" i="2"/>
  <c r="BY2041" i="2"/>
  <c r="BY2042" i="2"/>
  <c r="BY2043" i="2"/>
  <c r="BY2044" i="2"/>
  <c r="BY2045" i="2"/>
  <c r="BY2046" i="2"/>
  <c r="BY2047" i="2"/>
  <c r="BY2048" i="2"/>
  <c r="BY2049" i="2"/>
  <c r="BY2050" i="2"/>
  <c r="BY2051" i="2"/>
  <c r="BY2052" i="2"/>
  <c r="BY2053" i="2"/>
  <c r="BY2054" i="2"/>
  <c r="BY2055" i="2"/>
  <c r="BY2056" i="2"/>
  <c r="BY2057" i="2"/>
  <c r="BY2058" i="2"/>
  <c r="BY2059" i="2"/>
  <c r="BY2060" i="2"/>
  <c r="BY2061" i="2"/>
  <c r="BY2062" i="2"/>
  <c r="BY2063" i="2"/>
  <c r="BY2064" i="2"/>
  <c r="BY2065" i="2"/>
  <c r="BY2066" i="2"/>
  <c r="BY2067" i="2"/>
  <c r="BY2068" i="2"/>
  <c r="BY2069" i="2"/>
  <c r="BY2070" i="2"/>
  <c r="BY2071" i="2"/>
  <c r="BY2072" i="2"/>
  <c r="BY2073" i="2"/>
  <c r="BY2074" i="2"/>
  <c r="BY2075" i="2"/>
  <c r="BY2076" i="2"/>
  <c r="BY2077" i="2"/>
  <c r="BY2078" i="2"/>
  <c r="BY2079" i="2"/>
  <c r="BY2080" i="2"/>
  <c r="BY2081" i="2"/>
  <c r="BY2082" i="2"/>
  <c r="BY2083" i="2"/>
  <c r="BY2084" i="2"/>
  <c r="BY2085" i="2"/>
  <c r="BY2086" i="2"/>
  <c r="BY2087" i="2"/>
  <c r="BY2088" i="2"/>
  <c r="BY2089" i="2"/>
  <c r="BY2090" i="2"/>
  <c r="BY2091" i="2"/>
  <c r="BY2092" i="2"/>
  <c r="BY2093" i="2"/>
  <c r="BY2094" i="2"/>
  <c r="BY2095" i="2"/>
  <c r="BY2096" i="2"/>
  <c r="BY2097" i="2"/>
  <c r="BY2098" i="2"/>
  <c r="BY2099" i="2"/>
  <c r="BY2100" i="2"/>
  <c r="BY2101" i="2"/>
  <c r="BY2102" i="2"/>
  <c r="BY2103" i="2"/>
  <c r="BY2104" i="2"/>
  <c r="BY2105" i="2"/>
  <c r="BY2106" i="2"/>
  <c r="BY2107" i="2"/>
  <c r="BY2108" i="2"/>
  <c r="BY2109" i="2"/>
  <c r="BY2110" i="2"/>
  <c r="BY2111" i="2"/>
  <c r="BY2112" i="2"/>
  <c r="BY2113" i="2"/>
  <c r="BY2114" i="2"/>
  <c r="BY2115" i="2"/>
  <c r="BY2116" i="2"/>
  <c r="BY2117" i="2"/>
  <c r="BY2118" i="2"/>
  <c r="BY2119" i="2"/>
  <c r="BY2120" i="2"/>
  <c r="BY2121" i="2"/>
  <c r="BY2122" i="2"/>
  <c r="BY2123" i="2"/>
  <c r="BY2124" i="2"/>
  <c r="BY2125" i="2"/>
  <c r="BY2126" i="2"/>
  <c r="BY2127" i="2"/>
  <c r="BY2128" i="2"/>
  <c r="BY2129" i="2"/>
  <c r="BY2130" i="2"/>
  <c r="BY2131" i="2"/>
  <c r="BY2132" i="2"/>
  <c r="BY2" i="2"/>
  <c r="BX3" i="2"/>
  <c r="BX4" i="2"/>
  <c r="BX5" i="2"/>
  <c r="BX6" i="2"/>
  <c r="BX7" i="2"/>
  <c r="BX8" i="2"/>
  <c r="BX9" i="2"/>
  <c r="BX10" i="2"/>
  <c r="BX11" i="2"/>
  <c r="BX12" i="2"/>
  <c r="BX13" i="2"/>
  <c r="BX14" i="2"/>
  <c r="BX15" i="2"/>
  <c r="BX16" i="2"/>
  <c r="BX17" i="2"/>
  <c r="BX18" i="2"/>
  <c r="BX19" i="2"/>
  <c r="BX20" i="2"/>
  <c r="BX21" i="2"/>
  <c r="BX22" i="2"/>
  <c r="BX23" i="2"/>
  <c r="BX24" i="2"/>
  <c r="BX25" i="2"/>
  <c r="BX26" i="2"/>
  <c r="BX27" i="2"/>
  <c r="BX28" i="2"/>
  <c r="BX29" i="2"/>
  <c r="BX30" i="2"/>
  <c r="BX31" i="2"/>
  <c r="BX32" i="2"/>
  <c r="BX33" i="2"/>
  <c r="BX34" i="2"/>
  <c r="BX35" i="2"/>
  <c r="BX36" i="2"/>
  <c r="BX37" i="2"/>
  <c r="BX38" i="2"/>
  <c r="BX39" i="2"/>
  <c r="BX40" i="2"/>
  <c r="BX41" i="2"/>
  <c r="BX42" i="2"/>
  <c r="BX43" i="2"/>
  <c r="BX44" i="2"/>
  <c r="BX45" i="2"/>
  <c r="BX46" i="2"/>
  <c r="BX47" i="2"/>
  <c r="BX48" i="2"/>
  <c r="BX49" i="2"/>
  <c r="BX50" i="2"/>
  <c r="BX51" i="2"/>
  <c r="BX52" i="2"/>
  <c r="BX53" i="2"/>
  <c r="BX54" i="2"/>
  <c r="BX55" i="2"/>
  <c r="BX56" i="2"/>
  <c r="BX57" i="2"/>
  <c r="BX58" i="2"/>
  <c r="BX59" i="2"/>
  <c r="BX60" i="2"/>
  <c r="BX61" i="2"/>
  <c r="BX62" i="2"/>
  <c r="BX63" i="2"/>
  <c r="BX64" i="2"/>
  <c r="BX65" i="2"/>
  <c r="BX66" i="2"/>
  <c r="BX67" i="2"/>
  <c r="BX68" i="2"/>
  <c r="BX69" i="2"/>
  <c r="BX70" i="2"/>
  <c r="BX71" i="2"/>
  <c r="BX72" i="2"/>
  <c r="BX73" i="2"/>
  <c r="BX74" i="2"/>
  <c r="BX75" i="2"/>
  <c r="BX76" i="2"/>
  <c r="BX77" i="2"/>
  <c r="BX78" i="2"/>
  <c r="BX79" i="2"/>
  <c r="BX80" i="2"/>
  <c r="BX81" i="2"/>
  <c r="BX82" i="2"/>
  <c r="BX83" i="2"/>
  <c r="BX84" i="2"/>
  <c r="BX85" i="2"/>
  <c r="BX86" i="2"/>
  <c r="BX87" i="2"/>
  <c r="BX88" i="2"/>
  <c r="BX89" i="2"/>
  <c r="BX90" i="2"/>
  <c r="BX91" i="2"/>
  <c r="BX92" i="2"/>
  <c r="BX93" i="2"/>
  <c r="BX94" i="2"/>
  <c r="BX95" i="2"/>
  <c r="BX96" i="2"/>
  <c r="BX97" i="2"/>
  <c r="BX98" i="2"/>
  <c r="BX99" i="2"/>
  <c r="BX100" i="2"/>
  <c r="BX101" i="2"/>
  <c r="BX102" i="2"/>
  <c r="BX103" i="2"/>
  <c r="BX104" i="2"/>
  <c r="BX105" i="2"/>
  <c r="BX106" i="2"/>
  <c r="BX107" i="2"/>
  <c r="BX108" i="2"/>
  <c r="BX109" i="2"/>
  <c r="BX110" i="2"/>
  <c r="BX111" i="2"/>
  <c r="BX112" i="2"/>
  <c r="BX113" i="2"/>
  <c r="BX114" i="2"/>
  <c r="BX115" i="2"/>
  <c r="BX116" i="2"/>
  <c r="BX117" i="2"/>
  <c r="BX118" i="2"/>
  <c r="BX119" i="2"/>
  <c r="BX120" i="2"/>
  <c r="BX121" i="2"/>
  <c r="BX122" i="2"/>
  <c r="BX123" i="2"/>
  <c r="BX124" i="2"/>
  <c r="BX125" i="2"/>
  <c r="BX126" i="2"/>
  <c r="BX127" i="2"/>
  <c r="BX128" i="2"/>
  <c r="BX129" i="2"/>
  <c r="BX130" i="2"/>
  <c r="BX131" i="2"/>
  <c r="BX132" i="2"/>
  <c r="BX133" i="2"/>
  <c r="BX134" i="2"/>
  <c r="BX135" i="2"/>
  <c r="BX136" i="2"/>
  <c r="BX137" i="2"/>
  <c r="BX138" i="2"/>
  <c r="BX139" i="2"/>
  <c r="BX140" i="2"/>
  <c r="BX141" i="2"/>
  <c r="BX142" i="2"/>
  <c r="BX143" i="2"/>
  <c r="BX144" i="2"/>
  <c r="BX145" i="2"/>
  <c r="BX146" i="2"/>
  <c r="BX147" i="2"/>
  <c r="BX148" i="2"/>
  <c r="BX149" i="2"/>
  <c r="BX150" i="2"/>
  <c r="BX151" i="2"/>
  <c r="BX152" i="2"/>
  <c r="BX153" i="2"/>
  <c r="BX154" i="2"/>
  <c r="BX155" i="2"/>
  <c r="BX156" i="2"/>
  <c r="BX157" i="2"/>
  <c r="BX158" i="2"/>
  <c r="BX159" i="2"/>
  <c r="BX160" i="2"/>
  <c r="BX161" i="2"/>
  <c r="BX162" i="2"/>
  <c r="BX163" i="2"/>
  <c r="BX164" i="2"/>
  <c r="BX165" i="2"/>
  <c r="BX166" i="2"/>
  <c r="BX167" i="2"/>
  <c r="BX168" i="2"/>
  <c r="BX169" i="2"/>
  <c r="BX170" i="2"/>
  <c r="BX171" i="2"/>
  <c r="BX172" i="2"/>
  <c r="BX173" i="2"/>
  <c r="BX174" i="2"/>
  <c r="BX175" i="2"/>
  <c r="BX176" i="2"/>
  <c r="BX177" i="2"/>
  <c r="BX178" i="2"/>
  <c r="BX179" i="2"/>
  <c r="BX180" i="2"/>
  <c r="BX181" i="2"/>
  <c r="BX182" i="2"/>
  <c r="BX183" i="2"/>
  <c r="BX184" i="2"/>
  <c r="BX185" i="2"/>
  <c r="BX186" i="2"/>
  <c r="BX187" i="2"/>
  <c r="BX188" i="2"/>
  <c r="BX189" i="2"/>
  <c r="BX190" i="2"/>
  <c r="BX191" i="2"/>
  <c r="BX192" i="2"/>
  <c r="BX193" i="2"/>
  <c r="BX194" i="2"/>
  <c r="BX195" i="2"/>
  <c r="BX196" i="2"/>
  <c r="BX197" i="2"/>
  <c r="BX198" i="2"/>
  <c r="BX199" i="2"/>
  <c r="BX200" i="2"/>
  <c r="BX201" i="2"/>
  <c r="BX202" i="2"/>
  <c r="BX203" i="2"/>
  <c r="BX204" i="2"/>
  <c r="BX205" i="2"/>
  <c r="BX206" i="2"/>
  <c r="BX207" i="2"/>
  <c r="BX208" i="2"/>
  <c r="BX209" i="2"/>
  <c r="BX210" i="2"/>
  <c r="BX211" i="2"/>
  <c r="BX212" i="2"/>
  <c r="BX213" i="2"/>
  <c r="BX214" i="2"/>
  <c r="BX215" i="2"/>
  <c r="BX216" i="2"/>
  <c r="BX217" i="2"/>
  <c r="BX218" i="2"/>
  <c r="BX219" i="2"/>
  <c r="BX220" i="2"/>
  <c r="BX221" i="2"/>
  <c r="BX222" i="2"/>
  <c r="BX223" i="2"/>
  <c r="BX224" i="2"/>
  <c r="BX225" i="2"/>
  <c r="BX226" i="2"/>
  <c r="BX227" i="2"/>
  <c r="BX228" i="2"/>
  <c r="BX229" i="2"/>
  <c r="BX230" i="2"/>
  <c r="BX231" i="2"/>
  <c r="BX232" i="2"/>
  <c r="BX233" i="2"/>
  <c r="BX234" i="2"/>
  <c r="BX235" i="2"/>
  <c r="BX236" i="2"/>
  <c r="BX237" i="2"/>
  <c r="BX238" i="2"/>
  <c r="BX239" i="2"/>
  <c r="BX240" i="2"/>
  <c r="BX241" i="2"/>
  <c r="BX242" i="2"/>
  <c r="BX243" i="2"/>
  <c r="BX244" i="2"/>
  <c r="BX245" i="2"/>
  <c r="BX246" i="2"/>
  <c r="BX247" i="2"/>
  <c r="BX248" i="2"/>
  <c r="BX249" i="2"/>
  <c r="BX250" i="2"/>
  <c r="BX251" i="2"/>
  <c r="BX252" i="2"/>
  <c r="BX253" i="2"/>
  <c r="BX254" i="2"/>
  <c r="BX255" i="2"/>
  <c r="BX256" i="2"/>
  <c r="BX257" i="2"/>
  <c r="BX258" i="2"/>
  <c r="BX259" i="2"/>
  <c r="BX260" i="2"/>
  <c r="BX261" i="2"/>
  <c r="BX262" i="2"/>
  <c r="BX263" i="2"/>
  <c r="BX264" i="2"/>
  <c r="BX265" i="2"/>
  <c r="BX266" i="2"/>
  <c r="BX267" i="2"/>
  <c r="BX268" i="2"/>
  <c r="BX269" i="2"/>
  <c r="BX270" i="2"/>
  <c r="BX271" i="2"/>
  <c r="BX272" i="2"/>
  <c r="BX273" i="2"/>
  <c r="BX274" i="2"/>
  <c r="BX275" i="2"/>
  <c r="BX276" i="2"/>
  <c r="BX277" i="2"/>
  <c r="BX278" i="2"/>
  <c r="BX279" i="2"/>
  <c r="BX280" i="2"/>
  <c r="BX281" i="2"/>
  <c r="BX282" i="2"/>
  <c r="BX283" i="2"/>
  <c r="BX284" i="2"/>
  <c r="BX285" i="2"/>
  <c r="BX286" i="2"/>
  <c r="BX287" i="2"/>
  <c r="BX288" i="2"/>
  <c r="BX289" i="2"/>
  <c r="BX290" i="2"/>
  <c r="BX291" i="2"/>
  <c r="BX292" i="2"/>
  <c r="BX293" i="2"/>
  <c r="BX294" i="2"/>
  <c r="BX295" i="2"/>
  <c r="BX296" i="2"/>
  <c r="BX297" i="2"/>
  <c r="BX298" i="2"/>
  <c r="BX299" i="2"/>
  <c r="BX300" i="2"/>
  <c r="BX301" i="2"/>
  <c r="BX302" i="2"/>
  <c r="BX303" i="2"/>
  <c r="BX304" i="2"/>
  <c r="BX305" i="2"/>
  <c r="BX306" i="2"/>
  <c r="BX307" i="2"/>
  <c r="BX308" i="2"/>
  <c r="BX309" i="2"/>
  <c r="BX310" i="2"/>
  <c r="BX311" i="2"/>
  <c r="BX312" i="2"/>
  <c r="BX313" i="2"/>
  <c r="BX314" i="2"/>
  <c r="BX315" i="2"/>
  <c r="BX316" i="2"/>
  <c r="BX317" i="2"/>
  <c r="BX318" i="2"/>
  <c r="BX319" i="2"/>
  <c r="BX320" i="2"/>
  <c r="BX321" i="2"/>
  <c r="BX322" i="2"/>
  <c r="BX323" i="2"/>
  <c r="BX324" i="2"/>
  <c r="BX325" i="2"/>
  <c r="BX326" i="2"/>
  <c r="BX327" i="2"/>
  <c r="BX328" i="2"/>
  <c r="BX329" i="2"/>
  <c r="BX330" i="2"/>
  <c r="BX331" i="2"/>
  <c r="BX332" i="2"/>
  <c r="BX333" i="2"/>
  <c r="BX334" i="2"/>
  <c r="BX335" i="2"/>
  <c r="BX336" i="2"/>
  <c r="BX337" i="2"/>
  <c r="BX338" i="2"/>
  <c r="BX339" i="2"/>
  <c r="BX340" i="2"/>
  <c r="BX341" i="2"/>
  <c r="BX342" i="2"/>
  <c r="BX343" i="2"/>
  <c r="BX344" i="2"/>
  <c r="BX345" i="2"/>
  <c r="BX346" i="2"/>
  <c r="BX347" i="2"/>
  <c r="BX348" i="2"/>
  <c r="BX349" i="2"/>
  <c r="BX350" i="2"/>
  <c r="BX351" i="2"/>
  <c r="BX352" i="2"/>
  <c r="BX353" i="2"/>
  <c r="BX354" i="2"/>
  <c r="BX355" i="2"/>
  <c r="BX356" i="2"/>
  <c r="BX357" i="2"/>
  <c r="BX358" i="2"/>
  <c r="BX359" i="2"/>
  <c r="BX360" i="2"/>
  <c r="BX361" i="2"/>
  <c r="BX362" i="2"/>
  <c r="BX363" i="2"/>
  <c r="BX364" i="2"/>
  <c r="BX365" i="2"/>
  <c r="BX366" i="2"/>
  <c r="BX367" i="2"/>
  <c r="BX368" i="2"/>
  <c r="BX369" i="2"/>
  <c r="BX370" i="2"/>
  <c r="BX371" i="2"/>
  <c r="BX372" i="2"/>
  <c r="BX373" i="2"/>
  <c r="BX374" i="2"/>
  <c r="BX375" i="2"/>
  <c r="BX376" i="2"/>
  <c r="BX377" i="2"/>
  <c r="BX378" i="2"/>
  <c r="BX379" i="2"/>
  <c r="BX380" i="2"/>
  <c r="BX381" i="2"/>
  <c r="BX382" i="2"/>
  <c r="BX383" i="2"/>
  <c r="BX384" i="2"/>
  <c r="BX385" i="2"/>
  <c r="BX386" i="2"/>
  <c r="BX387" i="2"/>
  <c r="BX388" i="2"/>
  <c r="BX389" i="2"/>
  <c r="BX390" i="2"/>
  <c r="BX391" i="2"/>
  <c r="BX392" i="2"/>
  <c r="BX393" i="2"/>
  <c r="BX394" i="2"/>
  <c r="BX395" i="2"/>
  <c r="BX396" i="2"/>
  <c r="BX397" i="2"/>
  <c r="BX398" i="2"/>
  <c r="BX399" i="2"/>
  <c r="BX400" i="2"/>
  <c r="BX401" i="2"/>
  <c r="BX402" i="2"/>
  <c r="BX403" i="2"/>
  <c r="BX404" i="2"/>
  <c r="BX405" i="2"/>
  <c r="BX406" i="2"/>
  <c r="BX407" i="2"/>
  <c r="BX408" i="2"/>
  <c r="BX409" i="2"/>
  <c r="BX410" i="2"/>
  <c r="BX411" i="2"/>
  <c r="BX412" i="2"/>
  <c r="BX413" i="2"/>
  <c r="BX414" i="2"/>
  <c r="BX415" i="2"/>
  <c r="BX416" i="2"/>
  <c r="BX417" i="2"/>
  <c r="BX418" i="2"/>
  <c r="BX419" i="2"/>
  <c r="BX420" i="2"/>
  <c r="BX421" i="2"/>
  <c r="BX422" i="2"/>
  <c r="BX423" i="2"/>
  <c r="BX424" i="2"/>
  <c r="BX425" i="2"/>
  <c r="BX426" i="2"/>
  <c r="BX427" i="2"/>
  <c r="BX428" i="2"/>
  <c r="BX429" i="2"/>
  <c r="BX430" i="2"/>
  <c r="BX431" i="2"/>
  <c r="BX432" i="2"/>
  <c r="BX433" i="2"/>
  <c r="BX434" i="2"/>
  <c r="BX435" i="2"/>
  <c r="BX436" i="2"/>
  <c r="BX437" i="2"/>
  <c r="BX438" i="2"/>
  <c r="BX439" i="2"/>
  <c r="BX440" i="2"/>
  <c r="BX441" i="2"/>
  <c r="BX442" i="2"/>
  <c r="BX443" i="2"/>
  <c r="BX444" i="2"/>
  <c r="BX445" i="2"/>
  <c r="BX446" i="2"/>
  <c r="BX447" i="2"/>
  <c r="BX448" i="2"/>
  <c r="BX449" i="2"/>
  <c r="BX450" i="2"/>
  <c r="BX451" i="2"/>
  <c r="BX452" i="2"/>
  <c r="BX453" i="2"/>
  <c r="BX454" i="2"/>
  <c r="BX455" i="2"/>
  <c r="BX456" i="2"/>
  <c r="BX457" i="2"/>
  <c r="BX458" i="2"/>
  <c r="BX459" i="2"/>
  <c r="BX460" i="2"/>
  <c r="BX461" i="2"/>
  <c r="BX462" i="2"/>
  <c r="BX463" i="2"/>
  <c r="BX464" i="2"/>
  <c r="BX465" i="2"/>
  <c r="BX466" i="2"/>
  <c r="BX467" i="2"/>
  <c r="BX468" i="2"/>
  <c r="BX469" i="2"/>
  <c r="BX470" i="2"/>
  <c r="BX471" i="2"/>
  <c r="BX472" i="2"/>
  <c r="BX473" i="2"/>
  <c r="BX474" i="2"/>
  <c r="BX475" i="2"/>
  <c r="BX476" i="2"/>
  <c r="BX477" i="2"/>
  <c r="BX478" i="2"/>
  <c r="BX479" i="2"/>
  <c r="BX480" i="2"/>
  <c r="BX481" i="2"/>
  <c r="BX482" i="2"/>
  <c r="BX483" i="2"/>
  <c r="BX484" i="2"/>
  <c r="BX485" i="2"/>
  <c r="BX486" i="2"/>
  <c r="BX487" i="2"/>
  <c r="BX488" i="2"/>
  <c r="BX489" i="2"/>
  <c r="BX490" i="2"/>
  <c r="BX491" i="2"/>
  <c r="BX492" i="2"/>
  <c r="BX493" i="2"/>
  <c r="BX494" i="2"/>
  <c r="BX495" i="2"/>
  <c r="BX496" i="2"/>
  <c r="BX497" i="2"/>
  <c r="BX498" i="2"/>
  <c r="BX499" i="2"/>
  <c r="BX500" i="2"/>
  <c r="BX501" i="2"/>
  <c r="BX502" i="2"/>
  <c r="BX503" i="2"/>
  <c r="BX504" i="2"/>
  <c r="BX505" i="2"/>
  <c r="BX506" i="2"/>
  <c r="BX507" i="2"/>
  <c r="BX508" i="2"/>
  <c r="BX509" i="2"/>
  <c r="BX510" i="2"/>
  <c r="BX511" i="2"/>
  <c r="BX512" i="2"/>
  <c r="BX513" i="2"/>
  <c r="BX514" i="2"/>
  <c r="BX515" i="2"/>
  <c r="BX516" i="2"/>
  <c r="BX517" i="2"/>
  <c r="BX518" i="2"/>
  <c r="BX519" i="2"/>
  <c r="BX520" i="2"/>
  <c r="BX521" i="2"/>
  <c r="BX522" i="2"/>
  <c r="BX523" i="2"/>
  <c r="BX524" i="2"/>
  <c r="BX525" i="2"/>
  <c r="BX526" i="2"/>
  <c r="BX527" i="2"/>
  <c r="BX528" i="2"/>
  <c r="BX529" i="2"/>
  <c r="BX530" i="2"/>
  <c r="BX531" i="2"/>
  <c r="BX532" i="2"/>
  <c r="BX533" i="2"/>
  <c r="BX534" i="2"/>
  <c r="BX535" i="2"/>
  <c r="BX536" i="2"/>
  <c r="BX537" i="2"/>
  <c r="BX538" i="2"/>
  <c r="BX539" i="2"/>
  <c r="BX540" i="2"/>
  <c r="BX541" i="2"/>
  <c r="BX542" i="2"/>
  <c r="BX543" i="2"/>
  <c r="BX544" i="2"/>
  <c r="BX545" i="2"/>
  <c r="BX546" i="2"/>
  <c r="BX547" i="2"/>
  <c r="BX548" i="2"/>
  <c r="BX549" i="2"/>
  <c r="BX550" i="2"/>
  <c r="BX551" i="2"/>
  <c r="BX552" i="2"/>
  <c r="BX553" i="2"/>
  <c r="BX554" i="2"/>
  <c r="BX555" i="2"/>
  <c r="BX556" i="2"/>
  <c r="BX557" i="2"/>
  <c r="BX558" i="2"/>
  <c r="BX559" i="2"/>
  <c r="BX560" i="2"/>
  <c r="BX561" i="2"/>
  <c r="BX562" i="2"/>
  <c r="BX563" i="2"/>
  <c r="BX564" i="2"/>
  <c r="BX565" i="2"/>
  <c r="BX566" i="2"/>
  <c r="BX567" i="2"/>
  <c r="BX568" i="2"/>
  <c r="BX569" i="2"/>
  <c r="BX570" i="2"/>
  <c r="BX571" i="2"/>
  <c r="BX572" i="2"/>
  <c r="BX573" i="2"/>
  <c r="BX574" i="2"/>
  <c r="BX575" i="2"/>
  <c r="BX576" i="2"/>
  <c r="BX577" i="2"/>
  <c r="BX578" i="2"/>
  <c r="BX579" i="2"/>
  <c r="BX580" i="2"/>
  <c r="BX581" i="2"/>
  <c r="BX582" i="2"/>
  <c r="BX583" i="2"/>
  <c r="BX584" i="2"/>
  <c r="BX585" i="2"/>
  <c r="BX586" i="2"/>
  <c r="BX587" i="2"/>
  <c r="BX588" i="2"/>
  <c r="BX589" i="2"/>
  <c r="BX590" i="2"/>
  <c r="BX591" i="2"/>
  <c r="BX592" i="2"/>
  <c r="BX593" i="2"/>
  <c r="BX594" i="2"/>
  <c r="BX595" i="2"/>
  <c r="BX596" i="2"/>
  <c r="BX597" i="2"/>
  <c r="BX598" i="2"/>
  <c r="BX599" i="2"/>
  <c r="BX600" i="2"/>
  <c r="BX601" i="2"/>
  <c r="BX602" i="2"/>
  <c r="BX603" i="2"/>
  <c r="BX604" i="2"/>
  <c r="BX605" i="2"/>
  <c r="BX606" i="2"/>
  <c r="BX607" i="2"/>
  <c r="BX608" i="2"/>
  <c r="BX609" i="2"/>
  <c r="BX610" i="2"/>
  <c r="BX611" i="2"/>
  <c r="BX612" i="2"/>
  <c r="BX613" i="2"/>
  <c r="BX614" i="2"/>
  <c r="BX615" i="2"/>
  <c r="BX616" i="2"/>
  <c r="BX617" i="2"/>
  <c r="BX618" i="2"/>
  <c r="BX619" i="2"/>
  <c r="BX620" i="2"/>
  <c r="BX621" i="2"/>
  <c r="BX622" i="2"/>
  <c r="BX623" i="2"/>
  <c r="BX624" i="2"/>
  <c r="BX625" i="2"/>
  <c r="BX626" i="2"/>
  <c r="BX627" i="2"/>
  <c r="BX628" i="2"/>
  <c r="BX629" i="2"/>
  <c r="BX630" i="2"/>
  <c r="BX631" i="2"/>
  <c r="BX632" i="2"/>
  <c r="BX633" i="2"/>
  <c r="BX634" i="2"/>
  <c r="BX635" i="2"/>
  <c r="BX636" i="2"/>
  <c r="BX637" i="2"/>
  <c r="BX638" i="2"/>
  <c r="BX639" i="2"/>
  <c r="BX640" i="2"/>
  <c r="BX641" i="2"/>
  <c r="BX642" i="2"/>
  <c r="BX643" i="2"/>
  <c r="BX644" i="2"/>
  <c r="BX645" i="2"/>
  <c r="BX646" i="2"/>
  <c r="BX647" i="2"/>
  <c r="BX648" i="2"/>
  <c r="BX649" i="2"/>
  <c r="BX650" i="2"/>
  <c r="BX651" i="2"/>
  <c r="BX652" i="2"/>
  <c r="BX653" i="2"/>
  <c r="BX654" i="2"/>
  <c r="BX655" i="2"/>
  <c r="BX656" i="2"/>
  <c r="BX657" i="2"/>
  <c r="BX658" i="2"/>
  <c r="BX659" i="2"/>
  <c r="BX660" i="2"/>
  <c r="BX661" i="2"/>
  <c r="BX662" i="2"/>
  <c r="BX663" i="2"/>
  <c r="BX664" i="2"/>
  <c r="BX665" i="2"/>
  <c r="BX666" i="2"/>
  <c r="BX667" i="2"/>
  <c r="BX668" i="2"/>
  <c r="BX669" i="2"/>
  <c r="BX670" i="2"/>
  <c r="BX671" i="2"/>
  <c r="BX672" i="2"/>
  <c r="BX673" i="2"/>
  <c r="BX674" i="2"/>
  <c r="BX675" i="2"/>
  <c r="BX676" i="2"/>
  <c r="BX677" i="2"/>
  <c r="BX678" i="2"/>
  <c r="BX679" i="2"/>
  <c r="BX680" i="2"/>
  <c r="BX681" i="2"/>
  <c r="BX682" i="2"/>
  <c r="BX683" i="2"/>
  <c r="BX684" i="2"/>
  <c r="BX685" i="2"/>
  <c r="BX686" i="2"/>
  <c r="BX687" i="2"/>
  <c r="BX688" i="2"/>
  <c r="BX689" i="2"/>
  <c r="BX690" i="2"/>
  <c r="BX691" i="2"/>
  <c r="BX692" i="2"/>
  <c r="BX693" i="2"/>
  <c r="BX694" i="2"/>
  <c r="BX695" i="2"/>
  <c r="BX696" i="2"/>
  <c r="BX697" i="2"/>
  <c r="BX698" i="2"/>
  <c r="BX699" i="2"/>
  <c r="BX700" i="2"/>
  <c r="BX701" i="2"/>
  <c r="BX702" i="2"/>
  <c r="BX703" i="2"/>
  <c r="BX704" i="2"/>
  <c r="BX705" i="2"/>
  <c r="BX706" i="2"/>
  <c r="BX707" i="2"/>
  <c r="BX708" i="2"/>
  <c r="BX709" i="2"/>
  <c r="BX710" i="2"/>
  <c r="BX711" i="2"/>
  <c r="BX712" i="2"/>
  <c r="BX713" i="2"/>
  <c r="BX714" i="2"/>
  <c r="BX715" i="2"/>
  <c r="BX716" i="2"/>
  <c r="BX717" i="2"/>
  <c r="BX718" i="2"/>
  <c r="BX719" i="2"/>
  <c r="BX720" i="2"/>
  <c r="BX721" i="2"/>
  <c r="BX722" i="2"/>
  <c r="BX723" i="2"/>
  <c r="BX724" i="2"/>
  <c r="BX725" i="2"/>
  <c r="BX726" i="2"/>
  <c r="BX727" i="2"/>
  <c r="BX728" i="2"/>
  <c r="BX729" i="2"/>
  <c r="BX730" i="2"/>
  <c r="BX731" i="2"/>
  <c r="BX732" i="2"/>
  <c r="BX733" i="2"/>
  <c r="BX734" i="2"/>
  <c r="BX735" i="2"/>
  <c r="BX736" i="2"/>
  <c r="BX737" i="2"/>
  <c r="BX738" i="2"/>
  <c r="BX739" i="2"/>
  <c r="BX740" i="2"/>
  <c r="BX741" i="2"/>
  <c r="BX742" i="2"/>
  <c r="BX743" i="2"/>
  <c r="BX744" i="2"/>
  <c r="BX745" i="2"/>
  <c r="BX746" i="2"/>
  <c r="BX747" i="2"/>
  <c r="BX748" i="2"/>
  <c r="BX749" i="2"/>
  <c r="BX750" i="2"/>
  <c r="BX751" i="2"/>
  <c r="BX752" i="2"/>
  <c r="BX753" i="2"/>
  <c r="BX754" i="2"/>
  <c r="BX755" i="2"/>
  <c r="BX756" i="2"/>
  <c r="BX757" i="2"/>
  <c r="BX758" i="2"/>
  <c r="BX759" i="2"/>
  <c r="BX760" i="2"/>
  <c r="BX761" i="2"/>
  <c r="BX762" i="2"/>
  <c r="BX763" i="2"/>
  <c r="BX764" i="2"/>
  <c r="BX765" i="2"/>
  <c r="BX766" i="2"/>
  <c r="BX767" i="2"/>
  <c r="BX768" i="2"/>
  <c r="BX769" i="2"/>
  <c r="BX770" i="2"/>
  <c r="BX771" i="2"/>
  <c r="BX772" i="2"/>
  <c r="BX773" i="2"/>
  <c r="BX774" i="2"/>
  <c r="BX775" i="2"/>
  <c r="BX776" i="2"/>
  <c r="BX777" i="2"/>
  <c r="BX778" i="2"/>
  <c r="BX779" i="2"/>
  <c r="BX780" i="2"/>
  <c r="BX781" i="2"/>
  <c r="BX782" i="2"/>
  <c r="BX783" i="2"/>
  <c r="BX784" i="2"/>
  <c r="BX785" i="2"/>
  <c r="BX786" i="2"/>
  <c r="BX787" i="2"/>
  <c r="BX788" i="2"/>
  <c r="BX789" i="2"/>
  <c r="BX790" i="2"/>
  <c r="BX791" i="2"/>
  <c r="BX792" i="2"/>
  <c r="BX793" i="2"/>
  <c r="BX794" i="2"/>
  <c r="BX795" i="2"/>
  <c r="BX796" i="2"/>
  <c r="BX797" i="2"/>
  <c r="BX798" i="2"/>
  <c r="BX799" i="2"/>
  <c r="BX800" i="2"/>
  <c r="BX801" i="2"/>
  <c r="BX802" i="2"/>
  <c r="BX803" i="2"/>
  <c r="BX804" i="2"/>
  <c r="BX805" i="2"/>
  <c r="BX806" i="2"/>
  <c r="BX807" i="2"/>
  <c r="BX808" i="2"/>
  <c r="BX809" i="2"/>
  <c r="BX810" i="2"/>
  <c r="BX811" i="2"/>
  <c r="BX812" i="2"/>
  <c r="BX813" i="2"/>
  <c r="BX814" i="2"/>
  <c r="BX815" i="2"/>
  <c r="BX816" i="2"/>
  <c r="BX817" i="2"/>
  <c r="BX818" i="2"/>
  <c r="BX819" i="2"/>
  <c r="BX820" i="2"/>
  <c r="BX821" i="2"/>
  <c r="BX822" i="2"/>
  <c r="BX823" i="2"/>
  <c r="BX824" i="2"/>
  <c r="BX825" i="2"/>
  <c r="BX826" i="2"/>
  <c r="BX827" i="2"/>
  <c r="BX828" i="2"/>
  <c r="BX829" i="2"/>
  <c r="BX830" i="2"/>
  <c r="BX831" i="2"/>
  <c r="BX832" i="2"/>
  <c r="BX833" i="2"/>
  <c r="BX834" i="2"/>
  <c r="BX835" i="2"/>
  <c r="BX836" i="2"/>
  <c r="BX837" i="2"/>
  <c r="BX838" i="2"/>
  <c r="BX839" i="2"/>
  <c r="BX840" i="2"/>
  <c r="BX841" i="2"/>
  <c r="BX842" i="2"/>
  <c r="BX843" i="2"/>
  <c r="BX844" i="2"/>
  <c r="BX845" i="2"/>
  <c r="BX846" i="2"/>
  <c r="BX847" i="2"/>
  <c r="BX848" i="2"/>
  <c r="BX849" i="2"/>
  <c r="BX850" i="2"/>
  <c r="BX851" i="2"/>
  <c r="BX852" i="2"/>
  <c r="BX853" i="2"/>
  <c r="BX854" i="2"/>
  <c r="BX855" i="2"/>
  <c r="BX856" i="2"/>
  <c r="BX857" i="2"/>
  <c r="BX858" i="2"/>
  <c r="BX859" i="2"/>
  <c r="BX860" i="2"/>
  <c r="BX861" i="2"/>
  <c r="BX862" i="2"/>
  <c r="BX863" i="2"/>
  <c r="BX864" i="2"/>
  <c r="BX865" i="2"/>
  <c r="BX866" i="2"/>
  <c r="BX867" i="2"/>
  <c r="BX868" i="2"/>
  <c r="BX869" i="2"/>
  <c r="BX870" i="2"/>
  <c r="BX871" i="2"/>
  <c r="BX872" i="2"/>
  <c r="BX873" i="2"/>
  <c r="BX874" i="2"/>
  <c r="BX875" i="2"/>
  <c r="BX876" i="2"/>
  <c r="BX877" i="2"/>
  <c r="BX878" i="2"/>
  <c r="BX879" i="2"/>
  <c r="BX880" i="2"/>
  <c r="BX881" i="2"/>
  <c r="BX882" i="2"/>
  <c r="BX883" i="2"/>
  <c r="BX884" i="2"/>
  <c r="BX885" i="2"/>
  <c r="BX886" i="2"/>
  <c r="BX887" i="2"/>
  <c r="BX888" i="2"/>
  <c r="BX889" i="2"/>
  <c r="BX890" i="2"/>
  <c r="BX891" i="2"/>
  <c r="BX892" i="2"/>
  <c r="BX893" i="2"/>
  <c r="BX894" i="2"/>
  <c r="BX895" i="2"/>
  <c r="BX896" i="2"/>
  <c r="BX897" i="2"/>
  <c r="BX898" i="2"/>
  <c r="BX899" i="2"/>
  <c r="BX900" i="2"/>
  <c r="BX901" i="2"/>
  <c r="BX902" i="2"/>
  <c r="BX903" i="2"/>
  <c r="BX904" i="2"/>
  <c r="BX905" i="2"/>
  <c r="BX906" i="2"/>
  <c r="BX907" i="2"/>
  <c r="BX908" i="2"/>
  <c r="BX909" i="2"/>
  <c r="BX910" i="2"/>
  <c r="BX911" i="2"/>
  <c r="BX912" i="2"/>
  <c r="BX913" i="2"/>
  <c r="BX914" i="2"/>
  <c r="BX915" i="2"/>
  <c r="BX916" i="2"/>
  <c r="BX917" i="2"/>
  <c r="BX918" i="2"/>
  <c r="BX919" i="2"/>
  <c r="BX920" i="2"/>
  <c r="BX921" i="2"/>
  <c r="BX922" i="2"/>
  <c r="BX923" i="2"/>
  <c r="BX924" i="2"/>
  <c r="BX925" i="2"/>
  <c r="BX926" i="2"/>
  <c r="BX927" i="2"/>
  <c r="BX928" i="2"/>
  <c r="BX929" i="2"/>
  <c r="BX930" i="2"/>
  <c r="BX931" i="2"/>
  <c r="BX932" i="2"/>
  <c r="BX933" i="2"/>
  <c r="BX934" i="2"/>
  <c r="BX935" i="2"/>
  <c r="BX936" i="2"/>
  <c r="BX937" i="2"/>
  <c r="BX938" i="2"/>
  <c r="BX939" i="2"/>
  <c r="BX940" i="2"/>
  <c r="BX941" i="2"/>
  <c r="BX942" i="2"/>
  <c r="BX943" i="2"/>
  <c r="BX944" i="2"/>
  <c r="BX945" i="2"/>
  <c r="BX946" i="2"/>
  <c r="BX947" i="2"/>
  <c r="BX948" i="2"/>
  <c r="BX949" i="2"/>
  <c r="BX950" i="2"/>
  <c r="BX951" i="2"/>
  <c r="BX952" i="2"/>
  <c r="BX953" i="2"/>
  <c r="BX954" i="2"/>
  <c r="BX955" i="2"/>
  <c r="BX956" i="2"/>
  <c r="BX957" i="2"/>
  <c r="BX958" i="2"/>
  <c r="BX959" i="2"/>
  <c r="BX960" i="2"/>
  <c r="BX961" i="2"/>
  <c r="BX962" i="2"/>
  <c r="BX963" i="2"/>
  <c r="BX964" i="2"/>
  <c r="BX965" i="2"/>
  <c r="BX966" i="2"/>
  <c r="BX967" i="2"/>
  <c r="BX968" i="2"/>
  <c r="BX969" i="2"/>
  <c r="BX970" i="2"/>
  <c r="BX971" i="2"/>
  <c r="BX972" i="2"/>
  <c r="BX973" i="2"/>
  <c r="BX974" i="2"/>
  <c r="BX975" i="2"/>
  <c r="BX976" i="2"/>
  <c r="BX977" i="2"/>
  <c r="BX978" i="2"/>
  <c r="BX979" i="2"/>
  <c r="BX980" i="2"/>
  <c r="BX981" i="2"/>
  <c r="BX982" i="2"/>
  <c r="BX983" i="2"/>
  <c r="BX984" i="2"/>
  <c r="BX985" i="2"/>
  <c r="BX986" i="2"/>
  <c r="BX987" i="2"/>
  <c r="BX988" i="2"/>
  <c r="BX989" i="2"/>
  <c r="BX990" i="2"/>
  <c r="BX991" i="2"/>
  <c r="BX992" i="2"/>
  <c r="BX993" i="2"/>
  <c r="BX994" i="2"/>
  <c r="BX995" i="2"/>
  <c r="BX996" i="2"/>
  <c r="BX997" i="2"/>
  <c r="BX998" i="2"/>
  <c r="BX999" i="2"/>
  <c r="BX1000" i="2"/>
  <c r="BX1001" i="2"/>
  <c r="BX1002" i="2"/>
  <c r="BX1003" i="2"/>
  <c r="BX1004" i="2"/>
  <c r="BX1005" i="2"/>
  <c r="BX1006" i="2"/>
  <c r="BX1007" i="2"/>
  <c r="BX1008" i="2"/>
  <c r="BX1009" i="2"/>
  <c r="BX1010" i="2"/>
  <c r="BX1011" i="2"/>
  <c r="BX1012" i="2"/>
  <c r="BX1013" i="2"/>
  <c r="BX1014" i="2"/>
  <c r="BX1015" i="2"/>
  <c r="BX1016" i="2"/>
  <c r="BX1017" i="2"/>
  <c r="BX1018" i="2"/>
  <c r="BX1019" i="2"/>
  <c r="BX1020" i="2"/>
  <c r="BX1021" i="2"/>
  <c r="BX1022" i="2"/>
  <c r="BX1023" i="2"/>
  <c r="BX1024" i="2"/>
  <c r="BX1025" i="2"/>
  <c r="BX1026" i="2"/>
  <c r="BX1027" i="2"/>
  <c r="BX1028" i="2"/>
  <c r="BX1029" i="2"/>
  <c r="BX1030" i="2"/>
  <c r="BX1031" i="2"/>
  <c r="BX1032" i="2"/>
  <c r="BX1033" i="2"/>
  <c r="BX1034" i="2"/>
  <c r="BX1035" i="2"/>
  <c r="BX1036" i="2"/>
  <c r="BX1037" i="2"/>
  <c r="BX1038" i="2"/>
  <c r="BX1039" i="2"/>
  <c r="BX1040" i="2"/>
  <c r="BX1041" i="2"/>
  <c r="BX1042" i="2"/>
  <c r="BX1043" i="2"/>
  <c r="BX1044" i="2"/>
  <c r="BX1045" i="2"/>
  <c r="BX1046" i="2"/>
  <c r="BX1047" i="2"/>
  <c r="BX1048" i="2"/>
  <c r="BX1049" i="2"/>
  <c r="BX1050" i="2"/>
  <c r="BX1051" i="2"/>
  <c r="BX1052" i="2"/>
  <c r="BX1053" i="2"/>
  <c r="BX1054" i="2"/>
  <c r="BX1055" i="2"/>
  <c r="BX1056" i="2"/>
  <c r="BX1057" i="2"/>
  <c r="BX1058" i="2"/>
  <c r="BX1059" i="2"/>
  <c r="BX1060" i="2"/>
  <c r="BX1061" i="2"/>
  <c r="BX1062" i="2"/>
  <c r="BX1063" i="2"/>
  <c r="BX1064" i="2"/>
  <c r="BX1065" i="2"/>
  <c r="BX1066" i="2"/>
  <c r="BX1067" i="2"/>
  <c r="BX1068" i="2"/>
  <c r="BX1069" i="2"/>
  <c r="BX1070" i="2"/>
  <c r="BX1071" i="2"/>
  <c r="BX1072" i="2"/>
  <c r="BX1073" i="2"/>
  <c r="BX1074" i="2"/>
  <c r="BX1075" i="2"/>
  <c r="BX1076" i="2"/>
  <c r="BX1077" i="2"/>
  <c r="BX1078" i="2"/>
  <c r="BX1079" i="2"/>
  <c r="BX1080" i="2"/>
  <c r="BX1081" i="2"/>
  <c r="BX1082" i="2"/>
  <c r="BX1083" i="2"/>
  <c r="BX1084" i="2"/>
  <c r="BX1085" i="2"/>
  <c r="BX1086" i="2"/>
  <c r="BX1087" i="2"/>
  <c r="BX1088" i="2"/>
  <c r="BX1089" i="2"/>
  <c r="BX1090" i="2"/>
  <c r="BX1091" i="2"/>
  <c r="BX1092" i="2"/>
  <c r="BX1093" i="2"/>
  <c r="BX1094" i="2"/>
  <c r="BX1095" i="2"/>
  <c r="BX1096" i="2"/>
  <c r="BX1097" i="2"/>
  <c r="BX1098" i="2"/>
  <c r="BX1099" i="2"/>
  <c r="BX1100" i="2"/>
  <c r="BX1101" i="2"/>
  <c r="BX1102" i="2"/>
  <c r="BX1103" i="2"/>
  <c r="BX1104" i="2"/>
  <c r="BX1105" i="2"/>
  <c r="BX1106" i="2"/>
  <c r="BX1107" i="2"/>
  <c r="BX1108" i="2"/>
  <c r="BX1109" i="2"/>
  <c r="BX1110" i="2"/>
  <c r="BX1111" i="2"/>
  <c r="BX1112" i="2"/>
  <c r="BX1113" i="2"/>
  <c r="BX1114" i="2"/>
  <c r="BX1115" i="2"/>
  <c r="BX1116" i="2"/>
  <c r="BX1117" i="2"/>
  <c r="BX1118" i="2"/>
  <c r="BX1119" i="2"/>
  <c r="BX1120" i="2"/>
  <c r="BX1121" i="2"/>
  <c r="BX1122" i="2"/>
  <c r="BX1123" i="2"/>
  <c r="BX1124" i="2"/>
  <c r="BX1125" i="2"/>
  <c r="BX1126" i="2"/>
  <c r="BX1127" i="2"/>
  <c r="BX1128" i="2"/>
  <c r="BX1129" i="2"/>
  <c r="BX1130" i="2"/>
  <c r="BX1131" i="2"/>
  <c r="BX1132" i="2"/>
  <c r="BX1133" i="2"/>
  <c r="BX1134" i="2"/>
  <c r="BX1135" i="2"/>
  <c r="BX1136" i="2"/>
  <c r="BX1137" i="2"/>
  <c r="BX1138" i="2"/>
  <c r="BX1139" i="2"/>
  <c r="BX1140" i="2"/>
  <c r="BX1141" i="2"/>
  <c r="BX1142" i="2"/>
  <c r="BX1143" i="2"/>
  <c r="BX1144" i="2"/>
  <c r="BX1145" i="2"/>
  <c r="BX1146" i="2"/>
  <c r="BX1147" i="2"/>
  <c r="BX1148" i="2"/>
  <c r="BX1149" i="2"/>
  <c r="BX1150" i="2"/>
  <c r="BX1151" i="2"/>
  <c r="BX1152" i="2"/>
  <c r="BX1153" i="2"/>
  <c r="BX1154" i="2"/>
  <c r="BX1155" i="2"/>
  <c r="BX1156" i="2"/>
  <c r="BX1157" i="2"/>
  <c r="BX1158" i="2"/>
  <c r="BX1159" i="2"/>
  <c r="BX1160" i="2"/>
  <c r="BX1161" i="2"/>
  <c r="BX1162" i="2"/>
  <c r="BX1163" i="2"/>
  <c r="BX1164" i="2"/>
  <c r="BX1165" i="2"/>
  <c r="BX1166" i="2"/>
  <c r="BX1167" i="2"/>
  <c r="BX1168" i="2"/>
  <c r="BX1169" i="2"/>
  <c r="BX1170" i="2"/>
  <c r="BX1171" i="2"/>
  <c r="BX1172" i="2"/>
  <c r="BX1173" i="2"/>
  <c r="BX1174" i="2"/>
  <c r="BX1175" i="2"/>
  <c r="BX1176" i="2"/>
  <c r="BX1177" i="2"/>
  <c r="BX1178" i="2"/>
  <c r="BX1179" i="2"/>
  <c r="BX1180" i="2"/>
  <c r="BX1181" i="2"/>
  <c r="BX1182" i="2"/>
  <c r="BX1183" i="2"/>
  <c r="BX1184" i="2"/>
  <c r="BX1185" i="2"/>
  <c r="BX1186" i="2"/>
  <c r="BX1187" i="2"/>
  <c r="BX1188" i="2"/>
  <c r="BX1189" i="2"/>
  <c r="BX1190" i="2"/>
  <c r="BX1191" i="2"/>
  <c r="BX1192" i="2"/>
  <c r="BX1193" i="2"/>
  <c r="BX1194" i="2"/>
  <c r="BX1195" i="2"/>
  <c r="BX1196" i="2"/>
  <c r="BX1197" i="2"/>
  <c r="BX1198" i="2"/>
  <c r="BX1199" i="2"/>
  <c r="BX1200" i="2"/>
  <c r="BX1201" i="2"/>
  <c r="BX1202" i="2"/>
  <c r="BX1203" i="2"/>
  <c r="BX1204" i="2"/>
  <c r="BX1205" i="2"/>
  <c r="BX1206" i="2"/>
  <c r="BX1207" i="2"/>
  <c r="BX1208" i="2"/>
  <c r="BX1209" i="2"/>
  <c r="BX1210" i="2"/>
  <c r="BX1211" i="2"/>
  <c r="BX1212" i="2"/>
  <c r="BX1213" i="2"/>
  <c r="BX1214" i="2"/>
  <c r="BX1215" i="2"/>
  <c r="BX1216" i="2"/>
  <c r="BX1217" i="2"/>
  <c r="BX1218" i="2"/>
  <c r="BX1219" i="2"/>
  <c r="BX1220" i="2"/>
  <c r="BX1221" i="2"/>
  <c r="BX1222" i="2"/>
  <c r="BX1223" i="2"/>
  <c r="BX1224" i="2"/>
  <c r="BX1225" i="2"/>
  <c r="BX1226" i="2"/>
  <c r="BX1227" i="2"/>
  <c r="BX1228" i="2"/>
  <c r="BX1229" i="2"/>
  <c r="BX1230" i="2"/>
  <c r="BX1231" i="2"/>
  <c r="BX1232" i="2"/>
  <c r="BX1233" i="2"/>
  <c r="BX1234" i="2"/>
  <c r="BX1235" i="2"/>
  <c r="BX1236" i="2"/>
  <c r="BX1237" i="2"/>
  <c r="BX1238" i="2"/>
  <c r="BX1239" i="2"/>
  <c r="BX1240" i="2"/>
  <c r="BX1241" i="2"/>
  <c r="BX1242" i="2"/>
  <c r="BX1243" i="2"/>
  <c r="BX1244" i="2"/>
  <c r="BX1245" i="2"/>
  <c r="BX1246" i="2"/>
  <c r="BX1247" i="2"/>
  <c r="BX1248" i="2"/>
  <c r="BX1249" i="2"/>
  <c r="BX1250" i="2"/>
  <c r="BX1251" i="2"/>
  <c r="BX1252" i="2"/>
  <c r="BX1253" i="2"/>
  <c r="BX1254" i="2"/>
  <c r="BX1255" i="2"/>
  <c r="BX1256" i="2"/>
  <c r="BX1257" i="2"/>
  <c r="BX1258" i="2"/>
  <c r="BX1259" i="2"/>
  <c r="BX1260" i="2"/>
  <c r="BX1261" i="2"/>
  <c r="BX1262" i="2"/>
  <c r="BX1263" i="2"/>
  <c r="BX1264" i="2"/>
  <c r="BX1265" i="2"/>
  <c r="BX1266" i="2"/>
  <c r="BX1267" i="2"/>
  <c r="BX1268" i="2"/>
  <c r="BX1269" i="2"/>
  <c r="BX1270" i="2"/>
  <c r="BX1271" i="2"/>
  <c r="BX1272" i="2"/>
  <c r="BX1273" i="2"/>
  <c r="BX1274" i="2"/>
  <c r="BX1275" i="2"/>
  <c r="BX1276" i="2"/>
  <c r="BX1277" i="2"/>
  <c r="BX1278" i="2"/>
  <c r="BX1279" i="2"/>
  <c r="BX1280" i="2"/>
  <c r="BX1281" i="2"/>
  <c r="BX1282" i="2"/>
  <c r="BX1283" i="2"/>
  <c r="BX1284" i="2"/>
  <c r="BX1285" i="2"/>
  <c r="BX1286" i="2"/>
  <c r="BX1287" i="2"/>
  <c r="BX1288" i="2"/>
  <c r="BX1289" i="2"/>
  <c r="BX1290" i="2"/>
  <c r="BX1291" i="2"/>
  <c r="BX1292" i="2"/>
  <c r="BX1293" i="2"/>
  <c r="BX1294" i="2"/>
  <c r="BX1295" i="2"/>
  <c r="BX1296" i="2"/>
  <c r="BX1297" i="2"/>
  <c r="BX1298" i="2"/>
  <c r="BX1299" i="2"/>
  <c r="BX1300" i="2"/>
  <c r="BX1301" i="2"/>
  <c r="BX1302" i="2"/>
  <c r="BX1303" i="2"/>
  <c r="BX1304" i="2"/>
  <c r="BX1305" i="2"/>
  <c r="BX1306" i="2"/>
  <c r="BX1307" i="2"/>
  <c r="BX1308" i="2"/>
  <c r="BX1309" i="2"/>
  <c r="BX1310" i="2"/>
  <c r="BX1311" i="2"/>
  <c r="BX1312" i="2"/>
  <c r="BX1313" i="2"/>
  <c r="BX1314" i="2"/>
  <c r="BX1315" i="2"/>
  <c r="BX1316" i="2"/>
  <c r="BX1317" i="2"/>
  <c r="BX1318" i="2"/>
  <c r="BX1319" i="2"/>
  <c r="BX1320" i="2"/>
  <c r="BX1321" i="2"/>
  <c r="BX1322" i="2"/>
  <c r="BX1323" i="2"/>
  <c r="BX1324" i="2"/>
  <c r="BX1325" i="2"/>
  <c r="BX1326" i="2"/>
  <c r="BX1327" i="2"/>
  <c r="BX1328" i="2"/>
  <c r="BX1329" i="2"/>
  <c r="BX1330" i="2"/>
  <c r="BX1331" i="2"/>
  <c r="BX1332" i="2"/>
  <c r="BX1333" i="2"/>
  <c r="BX1334" i="2"/>
  <c r="BX1335" i="2"/>
  <c r="BX1336" i="2"/>
  <c r="BX1337" i="2"/>
  <c r="BX1338" i="2"/>
  <c r="BX1339" i="2"/>
  <c r="BX1340" i="2"/>
  <c r="BX1341" i="2"/>
  <c r="BX1342" i="2"/>
  <c r="BX1343" i="2"/>
  <c r="BX1344" i="2"/>
  <c r="BX1345" i="2"/>
  <c r="BX1346" i="2"/>
  <c r="BX1347" i="2"/>
  <c r="BX1348" i="2"/>
  <c r="BX1349" i="2"/>
  <c r="BX1350" i="2"/>
  <c r="BX1351" i="2"/>
  <c r="BX1352" i="2"/>
  <c r="BX1353" i="2"/>
  <c r="BX1354" i="2"/>
  <c r="BX1355" i="2"/>
  <c r="BX1356" i="2"/>
  <c r="BX1357" i="2"/>
  <c r="BX1358" i="2"/>
  <c r="BX1359" i="2"/>
  <c r="BX1360" i="2"/>
  <c r="BX1361" i="2"/>
  <c r="BX1362" i="2"/>
  <c r="BX1363" i="2"/>
  <c r="BX1364" i="2"/>
  <c r="BX1365" i="2"/>
  <c r="BX1366" i="2"/>
  <c r="BX1367" i="2"/>
  <c r="BX1368" i="2"/>
  <c r="BX1369" i="2"/>
  <c r="BX1370" i="2"/>
  <c r="BX1371" i="2"/>
  <c r="BX1372" i="2"/>
  <c r="BX1373" i="2"/>
  <c r="BX1374" i="2"/>
  <c r="BX1375" i="2"/>
  <c r="BX1376" i="2"/>
  <c r="BX1377" i="2"/>
  <c r="BX1378" i="2"/>
  <c r="BX1379" i="2"/>
  <c r="BX1380" i="2"/>
  <c r="BX1381" i="2"/>
  <c r="BX1382" i="2"/>
  <c r="BX1383" i="2"/>
  <c r="BX1384" i="2"/>
  <c r="BX1385" i="2"/>
  <c r="BX1386" i="2"/>
  <c r="BX1387" i="2"/>
  <c r="BX1388" i="2"/>
  <c r="BX1389" i="2"/>
  <c r="BX1390" i="2"/>
  <c r="BX1391" i="2"/>
  <c r="BX1392" i="2"/>
  <c r="BX1393" i="2"/>
  <c r="BX1394" i="2"/>
  <c r="BX1395" i="2"/>
  <c r="BX1396" i="2"/>
  <c r="BX1397" i="2"/>
  <c r="BX1398" i="2"/>
  <c r="BX1399" i="2"/>
  <c r="BX1400" i="2"/>
  <c r="BX1401" i="2"/>
  <c r="BX1402" i="2"/>
  <c r="BX1403" i="2"/>
  <c r="BX1404" i="2"/>
  <c r="BX1405" i="2"/>
  <c r="BX1406" i="2"/>
  <c r="BX1407" i="2"/>
  <c r="BX1408" i="2"/>
  <c r="BX1409" i="2"/>
  <c r="BX1410" i="2"/>
  <c r="BX1411" i="2"/>
  <c r="BX1412" i="2"/>
  <c r="BX1413" i="2"/>
  <c r="BX1414" i="2"/>
  <c r="BX1415" i="2"/>
  <c r="BX1416" i="2"/>
  <c r="BX1417" i="2"/>
  <c r="BX1418" i="2"/>
  <c r="BX1419" i="2"/>
  <c r="BX1420" i="2"/>
  <c r="BX1421" i="2"/>
  <c r="BX1422" i="2"/>
  <c r="BX1423" i="2"/>
  <c r="BX1424" i="2"/>
  <c r="BX1425" i="2"/>
  <c r="BX1426" i="2"/>
  <c r="BX1427" i="2"/>
  <c r="BX1428" i="2"/>
  <c r="BX1429" i="2"/>
  <c r="BX1430" i="2"/>
  <c r="BX1431" i="2"/>
  <c r="BX1432" i="2"/>
  <c r="BX1433" i="2"/>
  <c r="BX1434" i="2"/>
  <c r="BX1435" i="2"/>
  <c r="BX1436" i="2"/>
  <c r="BX1437" i="2"/>
  <c r="BX1438" i="2"/>
  <c r="BX1439" i="2"/>
  <c r="BX1440" i="2"/>
  <c r="BX1441" i="2"/>
  <c r="BX1442" i="2"/>
  <c r="BX1443" i="2"/>
  <c r="BX1444" i="2"/>
  <c r="BX1445" i="2"/>
  <c r="BX1446" i="2"/>
  <c r="BX1447" i="2"/>
  <c r="BX1448" i="2"/>
  <c r="BX1449" i="2"/>
  <c r="BX1450" i="2"/>
  <c r="BX1451" i="2"/>
  <c r="BX1452" i="2"/>
  <c r="BX1453" i="2"/>
  <c r="BX1454" i="2"/>
  <c r="BX1455" i="2"/>
  <c r="BX1456" i="2"/>
  <c r="BX1457" i="2"/>
  <c r="BX1458" i="2"/>
  <c r="BX1459" i="2"/>
  <c r="BX1460" i="2"/>
  <c r="BX1461" i="2"/>
  <c r="BX1462" i="2"/>
  <c r="BX1463" i="2"/>
  <c r="BX1464" i="2"/>
  <c r="BX1465" i="2"/>
  <c r="BX1466" i="2"/>
  <c r="BX1467" i="2"/>
  <c r="BX1468" i="2"/>
  <c r="BX1469" i="2"/>
  <c r="BX1470" i="2"/>
  <c r="BX1471" i="2"/>
  <c r="BX1472" i="2"/>
  <c r="BX1473" i="2"/>
  <c r="BX1474" i="2"/>
  <c r="BX1475" i="2"/>
  <c r="BX1476" i="2"/>
  <c r="BX1477" i="2"/>
  <c r="BX1478" i="2"/>
  <c r="BX1479" i="2"/>
  <c r="BX1480" i="2"/>
  <c r="BX1481" i="2"/>
  <c r="BX1482" i="2"/>
  <c r="BX1483" i="2"/>
  <c r="BX1484" i="2"/>
  <c r="BX1485" i="2"/>
  <c r="BX1486" i="2"/>
  <c r="BX1487" i="2"/>
  <c r="BX1488" i="2"/>
  <c r="BX1489" i="2"/>
  <c r="BX1490" i="2"/>
  <c r="BX1491" i="2"/>
  <c r="BX1492" i="2"/>
  <c r="BX1493" i="2"/>
  <c r="BX1494" i="2"/>
  <c r="BX1495" i="2"/>
  <c r="BX1496" i="2"/>
  <c r="BX1497" i="2"/>
  <c r="BX1498" i="2"/>
  <c r="BX1499" i="2"/>
  <c r="BX1500" i="2"/>
  <c r="BX1501" i="2"/>
  <c r="BX1502" i="2"/>
  <c r="BX1503" i="2"/>
  <c r="BX1504" i="2"/>
  <c r="BX1505" i="2"/>
  <c r="BX1506" i="2"/>
  <c r="BX1507" i="2"/>
  <c r="BX1508" i="2"/>
  <c r="BX1509" i="2"/>
  <c r="BX1510" i="2"/>
  <c r="BX1511" i="2"/>
  <c r="BX1512" i="2"/>
  <c r="BX1513" i="2"/>
  <c r="BX1514" i="2"/>
  <c r="BX1515" i="2"/>
  <c r="BX1516" i="2"/>
  <c r="BX1517" i="2"/>
  <c r="BX1518" i="2"/>
  <c r="BX1519" i="2"/>
  <c r="BX1520" i="2"/>
  <c r="BX1521" i="2"/>
  <c r="BX1522" i="2"/>
  <c r="BX1523" i="2"/>
  <c r="BX1524" i="2"/>
  <c r="BX1525" i="2"/>
  <c r="BX1526" i="2"/>
  <c r="BX1527" i="2"/>
  <c r="BX1528" i="2"/>
  <c r="BX1529" i="2"/>
  <c r="BX1530" i="2"/>
  <c r="BX1531" i="2"/>
  <c r="BX1532" i="2"/>
  <c r="BX1533" i="2"/>
  <c r="BX1534" i="2"/>
  <c r="BX1535" i="2"/>
  <c r="BX1536" i="2"/>
  <c r="BX1537" i="2"/>
  <c r="BX1538" i="2"/>
  <c r="BX1539" i="2"/>
  <c r="BX1540" i="2"/>
  <c r="BX1541" i="2"/>
  <c r="BX1542" i="2"/>
  <c r="BX1543" i="2"/>
  <c r="BX1544" i="2"/>
  <c r="BX1545" i="2"/>
  <c r="BX1546" i="2"/>
  <c r="BX1547" i="2"/>
  <c r="BX1548" i="2"/>
  <c r="BX1549" i="2"/>
  <c r="BX1550" i="2"/>
  <c r="BX1551" i="2"/>
  <c r="BX1552" i="2"/>
  <c r="BX1553" i="2"/>
  <c r="BX1554" i="2"/>
  <c r="BX1555" i="2"/>
  <c r="BX1556" i="2"/>
  <c r="BX1557" i="2"/>
  <c r="BX1558" i="2"/>
  <c r="BX1559" i="2"/>
  <c r="BX1560" i="2"/>
  <c r="BX1561" i="2"/>
  <c r="BX1562" i="2"/>
  <c r="BX1563" i="2"/>
  <c r="BX1564" i="2"/>
  <c r="BX1565" i="2"/>
  <c r="BX1566" i="2"/>
  <c r="BX1567" i="2"/>
  <c r="BX1568" i="2"/>
  <c r="BX1569" i="2"/>
  <c r="BX1570" i="2"/>
  <c r="BX1571" i="2"/>
  <c r="BX1572" i="2"/>
  <c r="BX1573" i="2"/>
  <c r="BX1574" i="2"/>
  <c r="BX1575" i="2"/>
  <c r="BX1576" i="2"/>
  <c r="BX1577" i="2"/>
  <c r="BX1578" i="2"/>
  <c r="BX1579" i="2"/>
  <c r="BX1580" i="2"/>
  <c r="BX1581" i="2"/>
  <c r="BX1582" i="2"/>
  <c r="BX1583" i="2"/>
  <c r="BX1584" i="2"/>
  <c r="BX1585" i="2"/>
  <c r="BX1586" i="2"/>
  <c r="BX1587" i="2"/>
  <c r="BX1588" i="2"/>
  <c r="BX1589" i="2"/>
  <c r="BX1590" i="2"/>
  <c r="BX1591" i="2"/>
  <c r="BX1592" i="2"/>
  <c r="BX1593" i="2"/>
  <c r="BX1594" i="2"/>
  <c r="BX1595" i="2"/>
  <c r="BX1596" i="2"/>
  <c r="BX1597" i="2"/>
  <c r="BX1598" i="2"/>
  <c r="BX1599" i="2"/>
  <c r="BX1600" i="2"/>
  <c r="BX1601" i="2"/>
  <c r="BX1602" i="2"/>
  <c r="BX1603" i="2"/>
  <c r="BX1604" i="2"/>
  <c r="BX1605" i="2"/>
  <c r="BX1606" i="2"/>
  <c r="BX1607" i="2"/>
  <c r="BX1608" i="2"/>
  <c r="BX1609" i="2"/>
  <c r="BX1610" i="2"/>
  <c r="BX1611" i="2"/>
  <c r="BX1612" i="2"/>
  <c r="BX1613" i="2"/>
  <c r="BX1614" i="2"/>
  <c r="BX1615" i="2"/>
  <c r="BX1616" i="2"/>
  <c r="BX1617" i="2"/>
  <c r="BX1618" i="2"/>
  <c r="BX1619" i="2"/>
  <c r="BX1620" i="2"/>
  <c r="BX1621" i="2"/>
  <c r="BX1622" i="2"/>
  <c r="BX1623" i="2"/>
  <c r="BX1624" i="2"/>
  <c r="BX1625" i="2"/>
  <c r="BX1626" i="2"/>
  <c r="BX1627" i="2"/>
  <c r="BX1628" i="2"/>
  <c r="BX1629" i="2"/>
  <c r="BX1630" i="2"/>
  <c r="BX1631" i="2"/>
  <c r="BX1632" i="2"/>
  <c r="BX1633" i="2"/>
  <c r="BX1634" i="2"/>
  <c r="BX1635" i="2"/>
  <c r="BX1636" i="2"/>
  <c r="BX1637" i="2"/>
  <c r="BX1638" i="2"/>
  <c r="BX1639" i="2"/>
  <c r="BX1640" i="2"/>
  <c r="BX1641" i="2"/>
  <c r="BX1642" i="2"/>
  <c r="BX1643" i="2"/>
  <c r="BX1644" i="2"/>
  <c r="BX1645" i="2"/>
  <c r="BX1646" i="2"/>
  <c r="BX1647" i="2"/>
  <c r="BX1648" i="2"/>
  <c r="BX1649" i="2"/>
  <c r="BX1650" i="2"/>
  <c r="BX1651" i="2"/>
  <c r="BX1652" i="2"/>
  <c r="BX1653" i="2"/>
  <c r="BX1654" i="2"/>
  <c r="BX1655" i="2"/>
  <c r="BX1656" i="2"/>
  <c r="BX1657" i="2"/>
  <c r="BX1658" i="2"/>
  <c r="BX1659" i="2"/>
  <c r="BX1660" i="2"/>
  <c r="BX1661" i="2"/>
  <c r="BX1662" i="2"/>
  <c r="BX1663" i="2"/>
  <c r="BX1664" i="2"/>
  <c r="BX1665" i="2"/>
  <c r="BX1666" i="2"/>
  <c r="BX1667" i="2"/>
  <c r="BX1668" i="2"/>
  <c r="BX1669" i="2"/>
  <c r="BX1670" i="2"/>
  <c r="BX1671" i="2"/>
  <c r="BX1672" i="2"/>
  <c r="BX1673" i="2"/>
  <c r="BX1674" i="2"/>
  <c r="BX1675" i="2"/>
  <c r="BX1676" i="2"/>
  <c r="BX1677" i="2"/>
  <c r="BX1678" i="2"/>
  <c r="BX1679" i="2"/>
  <c r="BX1680" i="2"/>
  <c r="BX1681" i="2"/>
  <c r="BX1682" i="2"/>
  <c r="BX1683" i="2"/>
  <c r="BX1684" i="2"/>
  <c r="BX1685" i="2"/>
  <c r="BX1686" i="2"/>
  <c r="BX1687" i="2"/>
  <c r="BX1688" i="2"/>
  <c r="BX1689" i="2"/>
  <c r="BX1690" i="2"/>
  <c r="BX1691" i="2"/>
  <c r="BX1692" i="2"/>
  <c r="BX1693" i="2"/>
  <c r="BX1694" i="2"/>
  <c r="BX1695" i="2"/>
  <c r="BX1696" i="2"/>
  <c r="BX1697" i="2"/>
  <c r="BX1698" i="2"/>
  <c r="BX1699" i="2"/>
  <c r="BX1700" i="2"/>
  <c r="BX1701" i="2"/>
  <c r="BX1702" i="2"/>
  <c r="BX1703" i="2"/>
  <c r="BX1704" i="2"/>
  <c r="BX1705" i="2"/>
  <c r="BX1706" i="2"/>
  <c r="BX1707" i="2"/>
  <c r="BX1708" i="2"/>
  <c r="BX1709" i="2"/>
  <c r="BX1710" i="2"/>
  <c r="BX1711" i="2"/>
  <c r="BX1712" i="2"/>
  <c r="BX1713" i="2"/>
  <c r="BX1714" i="2"/>
  <c r="BX1715" i="2"/>
  <c r="BX1716" i="2"/>
  <c r="BX1717" i="2"/>
  <c r="BX1718" i="2"/>
  <c r="BX1719" i="2"/>
  <c r="BX1720" i="2"/>
  <c r="BX1721" i="2"/>
  <c r="BX1722" i="2"/>
  <c r="BX1723" i="2"/>
  <c r="BX1724" i="2"/>
  <c r="BX1725" i="2"/>
  <c r="BX1726" i="2"/>
  <c r="BX1727" i="2"/>
  <c r="BX1728" i="2"/>
  <c r="BX1729" i="2"/>
  <c r="BX1730" i="2"/>
  <c r="BX1731" i="2"/>
  <c r="BX1732" i="2"/>
  <c r="BX1733" i="2"/>
  <c r="BX1734" i="2"/>
  <c r="BX1735" i="2"/>
  <c r="BX1736" i="2"/>
  <c r="BX1737" i="2"/>
  <c r="BX1738" i="2"/>
  <c r="BX1739" i="2"/>
  <c r="BX1740" i="2"/>
  <c r="BX1741" i="2"/>
  <c r="BX1742" i="2"/>
  <c r="BX1743" i="2"/>
  <c r="BX1744" i="2"/>
  <c r="BX1745" i="2"/>
  <c r="BX1746" i="2"/>
  <c r="BX1747" i="2"/>
  <c r="BX1748" i="2"/>
  <c r="BX1749" i="2"/>
  <c r="BX1750" i="2"/>
  <c r="BX1751" i="2"/>
  <c r="BX1752" i="2"/>
  <c r="BX1753" i="2"/>
  <c r="BX1754" i="2"/>
  <c r="BX1755" i="2"/>
  <c r="BX1756" i="2"/>
  <c r="BX1757" i="2"/>
  <c r="BX1758" i="2"/>
  <c r="BX1759" i="2"/>
  <c r="BX1760" i="2"/>
  <c r="BX1761" i="2"/>
  <c r="BX1762" i="2"/>
  <c r="BX1763" i="2"/>
  <c r="BX1764" i="2"/>
  <c r="BX1765" i="2"/>
  <c r="BX1766" i="2"/>
  <c r="BX1767" i="2"/>
  <c r="BX1768" i="2"/>
  <c r="BX1769" i="2"/>
  <c r="BX1770" i="2"/>
  <c r="BX1771" i="2"/>
  <c r="BX1772" i="2"/>
  <c r="BX1773" i="2"/>
  <c r="BX1774" i="2"/>
  <c r="BX1775" i="2"/>
  <c r="BX1776" i="2"/>
  <c r="BX1777" i="2"/>
  <c r="BX1778" i="2"/>
  <c r="BX1779" i="2"/>
  <c r="BX1780" i="2"/>
  <c r="BX1781" i="2"/>
  <c r="BX1782" i="2"/>
  <c r="BX1783" i="2"/>
  <c r="BX1784" i="2"/>
  <c r="BX1785" i="2"/>
  <c r="BX1786" i="2"/>
  <c r="BX1787" i="2"/>
  <c r="BX1788" i="2"/>
  <c r="BX1789" i="2"/>
  <c r="BX1790" i="2"/>
  <c r="BX1791" i="2"/>
  <c r="BX1792" i="2"/>
  <c r="BX1793" i="2"/>
  <c r="BX1794" i="2"/>
  <c r="BX1795" i="2"/>
  <c r="BX1796" i="2"/>
  <c r="BX1797" i="2"/>
  <c r="BX1798" i="2"/>
  <c r="BX1799" i="2"/>
  <c r="BX1800" i="2"/>
  <c r="BX1801" i="2"/>
  <c r="BX1802" i="2"/>
  <c r="BX1803" i="2"/>
  <c r="BX1804" i="2"/>
  <c r="BX1805" i="2"/>
  <c r="BX1806" i="2"/>
  <c r="BX1807" i="2"/>
  <c r="BX1808" i="2"/>
  <c r="BX1809" i="2"/>
  <c r="BX1810" i="2"/>
  <c r="BX1811" i="2"/>
  <c r="BX1812" i="2"/>
  <c r="BX1813" i="2"/>
  <c r="BX1814" i="2"/>
  <c r="BX1815" i="2"/>
  <c r="BX1816" i="2"/>
  <c r="BX1817" i="2"/>
  <c r="BX1818" i="2"/>
  <c r="BX1819" i="2"/>
  <c r="BX1820" i="2"/>
  <c r="BX1821" i="2"/>
  <c r="BX1822" i="2"/>
  <c r="BX1823" i="2"/>
  <c r="BX1824" i="2"/>
  <c r="BX1825" i="2"/>
  <c r="BX1826" i="2"/>
  <c r="BX1827" i="2"/>
  <c r="BX1828" i="2"/>
  <c r="BX1829" i="2"/>
  <c r="BX1830" i="2"/>
  <c r="BX1831" i="2"/>
  <c r="BX1832" i="2"/>
  <c r="BX1833" i="2"/>
  <c r="BX1834" i="2"/>
  <c r="BX1835" i="2"/>
  <c r="BX1836" i="2"/>
  <c r="BX1837" i="2"/>
  <c r="BX1838" i="2"/>
  <c r="BX1839" i="2"/>
  <c r="BX1840" i="2"/>
  <c r="BX1841" i="2"/>
  <c r="BX1842" i="2"/>
  <c r="BX1843" i="2"/>
  <c r="BX1844" i="2"/>
  <c r="BX1845" i="2"/>
  <c r="BX1846" i="2"/>
  <c r="BX1847" i="2"/>
  <c r="BX1848" i="2"/>
  <c r="BX1849" i="2"/>
  <c r="BX1850" i="2"/>
  <c r="BX1851" i="2"/>
  <c r="BX1852" i="2"/>
  <c r="BX1853" i="2"/>
  <c r="BX1854" i="2"/>
  <c r="BX1855" i="2"/>
  <c r="BX1856" i="2"/>
  <c r="BX1857" i="2"/>
  <c r="BX1858" i="2"/>
  <c r="BX1859" i="2"/>
  <c r="BX1860" i="2"/>
  <c r="BX1861" i="2"/>
  <c r="BX1862" i="2"/>
  <c r="BX1863" i="2"/>
  <c r="BX1864" i="2"/>
  <c r="BX1865" i="2"/>
  <c r="BX1866" i="2"/>
  <c r="BX1867" i="2"/>
  <c r="BX1868" i="2"/>
  <c r="BX1869" i="2"/>
  <c r="BX1870" i="2"/>
  <c r="BX1871" i="2"/>
  <c r="BX1872" i="2"/>
  <c r="BX1873" i="2"/>
  <c r="BX1874" i="2"/>
  <c r="BX1875" i="2"/>
  <c r="BX1876" i="2"/>
  <c r="BX1877" i="2"/>
  <c r="BX1878" i="2"/>
  <c r="BX1879" i="2"/>
  <c r="BX1880" i="2"/>
  <c r="BX1881" i="2"/>
  <c r="BX1882" i="2"/>
  <c r="BX1883" i="2"/>
  <c r="BX1884" i="2"/>
  <c r="BX1885" i="2"/>
  <c r="BX1886" i="2"/>
  <c r="BX1887" i="2"/>
  <c r="BX1888" i="2"/>
  <c r="BX1889" i="2"/>
  <c r="BX1890" i="2"/>
  <c r="BX1891" i="2"/>
  <c r="BX1892" i="2"/>
  <c r="BX1893" i="2"/>
  <c r="BX1894" i="2"/>
  <c r="BX1895" i="2"/>
  <c r="BX1896" i="2"/>
  <c r="BX1897" i="2"/>
  <c r="BX1898" i="2"/>
  <c r="BX1899" i="2"/>
  <c r="BX1900" i="2"/>
  <c r="BX1901" i="2"/>
  <c r="BX1902" i="2"/>
  <c r="BX1903" i="2"/>
  <c r="BX1904" i="2"/>
  <c r="BX1905" i="2"/>
  <c r="BX1906" i="2"/>
  <c r="BX1907" i="2"/>
  <c r="BX1908" i="2"/>
  <c r="BX1909" i="2"/>
  <c r="BX1910" i="2"/>
  <c r="BX1911" i="2"/>
  <c r="BX1912" i="2"/>
  <c r="BX1913" i="2"/>
  <c r="BX1914" i="2"/>
  <c r="BX1915" i="2"/>
  <c r="BX1916" i="2"/>
  <c r="BX1917" i="2"/>
  <c r="BX1918" i="2"/>
  <c r="BX1919" i="2"/>
  <c r="BX1920" i="2"/>
  <c r="BX1921" i="2"/>
  <c r="BX1922" i="2"/>
  <c r="BX1923" i="2"/>
  <c r="BX1924" i="2"/>
  <c r="BX1925" i="2"/>
  <c r="BX1926" i="2"/>
  <c r="BX1927" i="2"/>
  <c r="BX1928" i="2"/>
  <c r="BX1929" i="2"/>
  <c r="BX1930" i="2"/>
  <c r="BX1931" i="2"/>
  <c r="BX1932" i="2"/>
  <c r="BX1933" i="2"/>
  <c r="BX1934" i="2"/>
  <c r="BX1935" i="2"/>
  <c r="BX1936" i="2"/>
  <c r="BX1937" i="2"/>
  <c r="BX1938" i="2"/>
  <c r="BX1939" i="2"/>
  <c r="BX1940" i="2"/>
  <c r="BX1941" i="2"/>
  <c r="BX1942" i="2"/>
  <c r="BX1943" i="2"/>
  <c r="BX1944" i="2"/>
  <c r="BX1945" i="2"/>
  <c r="BX1946" i="2"/>
  <c r="BX1947" i="2"/>
  <c r="BX1948" i="2"/>
  <c r="BX1949" i="2"/>
  <c r="BX1950" i="2"/>
  <c r="BX1951" i="2"/>
  <c r="BX1952" i="2"/>
  <c r="BX1953" i="2"/>
  <c r="BX1954" i="2"/>
  <c r="BX1955" i="2"/>
  <c r="BX1956" i="2"/>
  <c r="BX1957" i="2"/>
  <c r="BX1958" i="2"/>
  <c r="BX1959" i="2"/>
  <c r="BX1960" i="2"/>
  <c r="BX1961" i="2"/>
  <c r="BX1962" i="2"/>
  <c r="BX1963" i="2"/>
  <c r="BX1964" i="2"/>
  <c r="BX1965" i="2"/>
  <c r="BX1966" i="2"/>
  <c r="BX1967" i="2"/>
  <c r="BX1968" i="2"/>
  <c r="BX1969" i="2"/>
  <c r="BX1970" i="2"/>
  <c r="BX1971" i="2"/>
  <c r="BX1972" i="2"/>
  <c r="BX1973" i="2"/>
  <c r="BX1974" i="2"/>
  <c r="BX1975" i="2"/>
  <c r="BX1976" i="2"/>
  <c r="BX1977" i="2"/>
  <c r="BX1978" i="2"/>
  <c r="BX1979" i="2"/>
  <c r="BX1980" i="2"/>
  <c r="BX1981" i="2"/>
  <c r="BX1982" i="2"/>
  <c r="BX1983" i="2"/>
  <c r="BX1984" i="2"/>
  <c r="BX1985" i="2"/>
  <c r="BX1986" i="2"/>
  <c r="BX1987" i="2"/>
  <c r="BX1988" i="2"/>
  <c r="BX1989" i="2"/>
  <c r="BX1990" i="2"/>
  <c r="BX1991" i="2"/>
  <c r="BX1992" i="2"/>
  <c r="BX1993" i="2"/>
  <c r="BX1994" i="2"/>
  <c r="BX1995" i="2"/>
  <c r="BX1996" i="2"/>
  <c r="BX1997" i="2"/>
  <c r="BX1998" i="2"/>
  <c r="BX1999" i="2"/>
  <c r="BX2000" i="2"/>
  <c r="BX2001" i="2"/>
  <c r="BX2002" i="2"/>
  <c r="BX2003" i="2"/>
  <c r="BX2004" i="2"/>
  <c r="BX2005" i="2"/>
  <c r="BX2006" i="2"/>
  <c r="BX2007" i="2"/>
  <c r="BX2008" i="2"/>
  <c r="BX2009" i="2"/>
  <c r="BX2010" i="2"/>
  <c r="BX2011" i="2"/>
  <c r="BX2012" i="2"/>
  <c r="BX2013" i="2"/>
  <c r="BX2014" i="2"/>
  <c r="BX2015" i="2"/>
  <c r="BX2016" i="2"/>
  <c r="BX2017" i="2"/>
  <c r="BX2018" i="2"/>
  <c r="BX2019" i="2"/>
  <c r="BX2020" i="2"/>
  <c r="BX2021" i="2"/>
  <c r="BX2022" i="2"/>
  <c r="BX2023" i="2"/>
  <c r="BX2024" i="2"/>
  <c r="BX2025" i="2"/>
  <c r="BX2026" i="2"/>
  <c r="BX2027" i="2"/>
  <c r="BX2028" i="2"/>
  <c r="BX2029" i="2"/>
  <c r="BX2030" i="2"/>
  <c r="BX2031" i="2"/>
  <c r="BX2032" i="2"/>
  <c r="BX2033" i="2"/>
  <c r="BX2034" i="2"/>
  <c r="BX2035" i="2"/>
  <c r="BX2036" i="2"/>
  <c r="BX2037" i="2"/>
  <c r="BX2038" i="2"/>
  <c r="BX2039" i="2"/>
  <c r="BX2040" i="2"/>
  <c r="BX2041" i="2"/>
  <c r="BX2042" i="2"/>
  <c r="BX2043" i="2"/>
  <c r="BX2044" i="2"/>
  <c r="BX2045" i="2"/>
  <c r="BX2046" i="2"/>
  <c r="BX2047" i="2"/>
  <c r="BX2048" i="2"/>
  <c r="BX2049" i="2"/>
  <c r="BX2050" i="2"/>
  <c r="BX2051" i="2"/>
  <c r="BX2052" i="2"/>
  <c r="BX2053" i="2"/>
  <c r="BX2054" i="2"/>
  <c r="BX2055" i="2"/>
  <c r="BX2056" i="2"/>
  <c r="BX2057" i="2"/>
  <c r="BX2058" i="2"/>
  <c r="BX2059" i="2"/>
  <c r="BX2060" i="2"/>
  <c r="BX2061" i="2"/>
  <c r="BX2062" i="2"/>
  <c r="BX2063" i="2"/>
  <c r="BX2064" i="2"/>
  <c r="BX2065" i="2"/>
  <c r="BX2066" i="2"/>
  <c r="BX2067" i="2"/>
  <c r="BX2068" i="2"/>
  <c r="BX2069" i="2"/>
  <c r="BX2070" i="2"/>
  <c r="BX2071" i="2"/>
  <c r="BX2072" i="2"/>
  <c r="BX2073" i="2"/>
  <c r="BX2074" i="2"/>
  <c r="BX2075" i="2"/>
  <c r="BX2076" i="2"/>
  <c r="BX2077" i="2"/>
  <c r="BX2078" i="2"/>
  <c r="BX2079" i="2"/>
  <c r="BX2080" i="2"/>
  <c r="BX2081" i="2"/>
  <c r="BX2082" i="2"/>
  <c r="BX2083" i="2"/>
  <c r="BX2084" i="2"/>
  <c r="BX2085" i="2"/>
  <c r="BX2086" i="2"/>
  <c r="BX2087" i="2"/>
  <c r="BX2088" i="2"/>
  <c r="BX2089" i="2"/>
  <c r="BX2090" i="2"/>
  <c r="BX2091" i="2"/>
  <c r="BX2092" i="2"/>
  <c r="BX2093" i="2"/>
  <c r="BX2094" i="2"/>
  <c r="BX2095" i="2"/>
  <c r="BX2096" i="2"/>
  <c r="BX2097" i="2"/>
  <c r="BX2098" i="2"/>
  <c r="BX2099" i="2"/>
  <c r="BX2100" i="2"/>
  <c r="BX2101" i="2"/>
  <c r="BX2102" i="2"/>
  <c r="BX2103" i="2"/>
  <c r="BX2104" i="2"/>
  <c r="BX2105" i="2"/>
  <c r="BX2106" i="2"/>
  <c r="BX2107" i="2"/>
  <c r="BX2108" i="2"/>
  <c r="BX2109" i="2"/>
  <c r="BX2110" i="2"/>
  <c r="BX2111" i="2"/>
  <c r="BX2112" i="2"/>
  <c r="BX2113" i="2"/>
  <c r="BX2114" i="2"/>
  <c r="BX2115" i="2"/>
  <c r="BX2116" i="2"/>
  <c r="BX2117" i="2"/>
  <c r="BX2118" i="2"/>
  <c r="BX2119" i="2"/>
  <c r="BX2120" i="2"/>
  <c r="BX2121" i="2"/>
  <c r="BX2122" i="2"/>
  <c r="BX2123" i="2"/>
  <c r="BX2124" i="2"/>
  <c r="BX2125" i="2"/>
  <c r="BX2126" i="2"/>
  <c r="BX2127" i="2"/>
  <c r="BX2128" i="2"/>
  <c r="BX2129" i="2"/>
  <c r="BX2130" i="2"/>
  <c r="BX2131" i="2"/>
  <c r="BX2132" i="2"/>
  <c r="BX2" i="2"/>
  <c r="BW3" i="2"/>
  <c r="BW4" i="2"/>
  <c r="BW5" i="2"/>
  <c r="BW6" i="2"/>
  <c r="BW7" i="2"/>
  <c r="BW8" i="2"/>
  <c r="BW9" i="2"/>
  <c r="BW10" i="2"/>
  <c r="BW11" i="2"/>
  <c r="BW12" i="2"/>
  <c r="BW13" i="2"/>
  <c r="BW14" i="2"/>
  <c r="BW15" i="2"/>
  <c r="BW16" i="2"/>
  <c r="BW17" i="2"/>
  <c r="BW18" i="2"/>
  <c r="BW19" i="2"/>
  <c r="BW20" i="2"/>
  <c r="BW21" i="2"/>
  <c r="BW22" i="2"/>
  <c r="BW23" i="2"/>
  <c r="BW24" i="2"/>
  <c r="BW25" i="2"/>
  <c r="BW26" i="2"/>
  <c r="BW27" i="2"/>
  <c r="BW28" i="2"/>
  <c r="BW29" i="2"/>
  <c r="BW30" i="2"/>
  <c r="BW31" i="2"/>
  <c r="BW32" i="2"/>
  <c r="BW33" i="2"/>
  <c r="BW34" i="2"/>
  <c r="BW35" i="2"/>
  <c r="BW36" i="2"/>
  <c r="BW37" i="2"/>
  <c r="BW38" i="2"/>
  <c r="BW39" i="2"/>
  <c r="BW40" i="2"/>
  <c r="BW41" i="2"/>
  <c r="BW42" i="2"/>
  <c r="BW43" i="2"/>
  <c r="BW44" i="2"/>
  <c r="BW45" i="2"/>
  <c r="BW46" i="2"/>
  <c r="BW47" i="2"/>
  <c r="BW48" i="2"/>
  <c r="BW49" i="2"/>
  <c r="BW50" i="2"/>
  <c r="BW51" i="2"/>
  <c r="BW52" i="2"/>
  <c r="BW53" i="2"/>
  <c r="BW54" i="2"/>
  <c r="BW55" i="2"/>
  <c r="BW56" i="2"/>
  <c r="BW57" i="2"/>
  <c r="BW58" i="2"/>
  <c r="BW59" i="2"/>
  <c r="BW60" i="2"/>
  <c r="BW61" i="2"/>
  <c r="BW62" i="2"/>
  <c r="BW63" i="2"/>
  <c r="BW64" i="2"/>
  <c r="BW65" i="2"/>
  <c r="BW66" i="2"/>
  <c r="BW67" i="2"/>
  <c r="BW68" i="2"/>
  <c r="BW69" i="2"/>
  <c r="BW70" i="2"/>
  <c r="BW71" i="2"/>
  <c r="BW72" i="2"/>
  <c r="BW73" i="2"/>
  <c r="BW74" i="2"/>
  <c r="BW75" i="2"/>
  <c r="BW76" i="2"/>
  <c r="BW77" i="2"/>
  <c r="BW78" i="2"/>
  <c r="BW79" i="2"/>
  <c r="BW80" i="2"/>
  <c r="BW81" i="2"/>
  <c r="BW82" i="2"/>
  <c r="BW83" i="2"/>
  <c r="BW84" i="2"/>
  <c r="BW85" i="2"/>
  <c r="BW86" i="2"/>
  <c r="BW87" i="2"/>
  <c r="BW88" i="2"/>
  <c r="BW89" i="2"/>
  <c r="BW90" i="2"/>
  <c r="BW91" i="2"/>
  <c r="BW92" i="2"/>
  <c r="BW93" i="2"/>
  <c r="BW94" i="2"/>
  <c r="BW95" i="2"/>
  <c r="BW96" i="2"/>
  <c r="BW97" i="2"/>
  <c r="BW98" i="2"/>
  <c r="BW99" i="2"/>
  <c r="BW100" i="2"/>
  <c r="BW101" i="2"/>
  <c r="BW102" i="2"/>
  <c r="BW103" i="2"/>
  <c r="BW104" i="2"/>
  <c r="BW105" i="2"/>
  <c r="BW106" i="2"/>
  <c r="BW107" i="2"/>
  <c r="BW108" i="2"/>
  <c r="BW109" i="2"/>
  <c r="BW110" i="2"/>
  <c r="BW111" i="2"/>
  <c r="BW112" i="2"/>
  <c r="BW113" i="2"/>
  <c r="BW114" i="2"/>
  <c r="BW115" i="2"/>
  <c r="BW116" i="2"/>
  <c r="BW117" i="2"/>
  <c r="BW118" i="2"/>
  <c r="BW119" i="2"/>
  <c r="BW120" i="2"/>
  <c r="BW121" i="2"/>
  <c r="BW122" i="2"/>
  <c r="BW123" i="2"/>
  <c r="BW124" i="2"/>
  <c r="BW125" i="2"/>
  <c r="BW126" i="2"/>
  <c r="BW127" i="2"/>
  <c r="BW128" i="2"/>
  <c r="BW129" i="2"/>
  <c r="BW130" i="2"/>
  <c r="BW131" i="2"/>
  <c r="BW132" i="2"/>
  <c r="BW133" i="2"/>
  <c r="BW134" i="2"/>
  <c r="BW135" i="2"/>
  <c r="BW136" i="2"/>
  <c r="BW137" i="2"/>
  <c r="BW138" i="2"/>
  <c r="BW139" i="2"/>
  <c r="BW140" i="2"/>
  <c r="BW141" i="2"/>
  <c r="BW142" i="2"/>
  <c r="BW143" i="2"/>
  <c r="BW144" i="2"/>
  <c r="BW145" i="2"/>
  <c r="BW146" i="2"/>
  <c r="BW147" i="2"/>
  <c r="BW148" i="2"/>
  <c r="BW149" i="2"/>
  <c r="BW150" i="2"/>
  <c r="BW151" i="2"/>
  <c r="BW152" i="2"/>
  <c r="BW153" i="2"/>
  <c r="BW154" i="2"/>
  <c r="BW155" i="2"/>
  <c r="BW156" i="2"/>
  <c r="BW157" i="2"/>
  <c r="BW158" i="2"/>
  <c r="BW159" i="2"/>
  <c r="BW160" i="2"/>
  <c r="BW161" i="2"/>
  <c r="BW162" i="2"/>
  <c r="BW163" i="2"/>
  <c r="BW164" i="2"/>
  <c r="BW165" i="2"/>
  <c r="BW166" i="2"/>
  <c r="BW167" i="2"/>
  <c r="BW168" i="2"/>
  <c r="BW169" i="2"/>
  <c r="BW170" i="2"/>
  <c r="BW171" i="2"/>
  <c r="BW172" i="2"/>
  <c r="BW173" i="2"/>
  <c r="BW174" i="2"/>
  <c r="BW175" i="2"/>
  <c r="BW176" i="2"/>
  <c r="BW177" i="2"/>
  <c r="BW178" i="2"/>
  <c r="BW179" i="2"/>
  <c r="BW180" i="2"/>
  <c r="BW181" i="2"/>
  <c r="BW182" i="2"/>
  <c r="BW183" i="2"/>
  <c r="BW184" i="2"/>
  <c r="BW185" i="2"/>
  <c r="BW186" i="2"/>
  <c r="BW187" i="2"/>
  <c r="BW188" i="2"/>
  <c r="BW189" i="2"/>
  <c r="BW190" i="2"/>
  <c r="BW191" i="2"/>
  <c r="BW192" i="2"/>
  <c r="BW193" i="2"/>
  <c r="BW194" i="2"/>
  <c r="BW195" i="2"/>
  <c r="BW196" i="2"/>
  <c r="BW197" i="2"/>
  <c r="BW198" i="2"/>
  <c r="BW199" i="2"/>
  <c r="BW200" i="2"/>
  <c r="BW201" i="2"/>
  <c r="BW202" i="2"/>
  <c r="BW203" i="2"/>
  <c r="BW204" i="2"/>
  <c r="BW205" i="2"/>
  <c r="BW206" i="2"/>
  <c r="BW207" i="2"/>
  <c r="BW208" i="2"/>
  <c r="BW209" i="2"/>
  <c r="BW210" i="2"/>
  <c r="BW211" i="2"/>
  <c r="BW212" i="2"/>
  <c r="BW213" i="2"/>
  <c r="BW214" i="2"/>
  <c r="BW215" i="2"/>
  <c r="BW216" i="2"/>
  <c r="BW217" i="2"/>
  <c r="BW218" i="2"/>
  <c r="BW219" i="2"/>
  <c r="BW220" i="2"/>
  <c r="BW221" i="2"/>
  <c r="BW222" i="2"/>
  <c r="BW223" i="2"/>
  <c r="BW224" i="2"/>
  <c r="BW225" i="2"/>
  <c r="BW226" i="2"/>
  <c r="BW227" i="2"/>
  <c r="BW228" i="2"/>
  <c r="BW229" i="2"/>
  <c r="BW230" i="2"/>
  <c r="BW231" i="2"/>
  <c r="BW232" i="2"/>
  <c r="BW233" i="2"/>
  <c r="BW234" i="2"/>
  <c r="BW235" i="2"/>
  <c r="BW236" i="2"/>
  <c r="BW237" i="2"/>
  <c r="BW238" i="2"/>
  <c r="BW239" i="2"/>
  <c r="BW240" i="2"/>
  <c r="BW241" i="2"/>
  <c r="BW242" i="2"/>
  <c r="BW243" i="2"/>
  <c r="BW244" i="2"/>
  <c r="BW245" i="2"/>
  <c r="BW246" i="2"/>
  <c r="BW247" i="2"/>
  <c r="BW248" i="2"/>
  <c r="BW249" i="2"/>
  <c r="BW250" i="2"/>
  <c r="BW251" i="2"/>
  <c r="BW252" i="2"/>
  <c r="BW253" i="2"/>
  <c r="BW254" i="2"/>
  <c r="BW255" i="2"/>
  <c r="BW256" i="2"/>
  <c r="BW257" i="2"/>
  <c r="BW258" i="2"/>
  <c r="BW259" i="2"/>
  <c r="BW260" i="2"/>
  <c r="BW261" i="2"/>
  <c r="BW262" i="2"/>
  <c r="BW263" i="2"/>
  <c r="BW264" i="2"/>
  <c r="BW265" i="2"/>
  <c r="BW266" i="2"/>
  <c r="BW267" i="2"/>
  <c r="BW268" i="2"/>
  <c r="BW269" i="2"/>
  <c r="BW270" i="2"/>
  <c r="BW271" i="2"/>
  <c r="BW272" i="2"/>
  <c r="BW273" i="2"/>
  <c r="BW274" i="2"/>
  <c r="BW275" i="2"/>
  <c r="BW276" i="2"/>
  <c r="BW277" i="2"/>
  <c r="BW278" i="2"/>
  <c r="BW279" i="2"/>
  <c r="BW280" i="2"/>
  <c r="BW281" i="2"/>
  <c r="BW282" i="2"/>
  <c r="BW283" i="2"/>
  <c r="BW284" i="2"/>
  <c r="BW285" i="2"/>
  <c r="BW286" i="2"/>
  <c r="BW287" i="2"/>
  <c r="BW288" i="2"/>
  <c r="BW289" i="2"/>
  <c r="BW290" i="2"/>
  <c r="BW291" i="2"/>
  <c r="BW292" i="2"/>
  <c r="BW293" i="2"/>
  <c r="BW294" i="2"/>
  <c r="BW295" i="2"/>
  <c r="BW296" i="2"/>
  <c r="BW297" i="2"/>
  <c r="BW298" i="2"/>
  <c r="BW299" i="2"/>
  <c r="BW300" i="2"/>
  <c r="BW301" i="2"/>
  <c r="BW302" i="2"/>
  <c r="BW303" i="2"/>
  <c r="BW304" i="2"/>
  <c r="BW305" i="2"/>
  <c r="BW306" i="2"/>
  <c r="BW307" i="2"/>
  <c r="BW308" i="2"/>
  <c r="BW309" i="2"/>
  <c r="BW310" i="2"/>
  <c r="BW311" i="2"/>
  <c r="BW312" i="2"/>
  <c r="BW313" i="2"/>
  <c r="BW314" i="2"/>
  <c r="BW315" i="2"/>
  <c r="BW316" i="2"/>
  <c r="BW317" i="2"/>
  <c r="BW318" i="2"/>
  <c r="BW319" i="2"/>
  <c r="BW320" i="2"/>
  <c r="BW321" i="2"/>
  <c r="BW322" i="2"/>
  <c r="BW323" i="2"/>
  <c r="BW324" i="2"/>
  <c r="BW325" i="2"/>
  <c r="BW326" i="2"/>
  <c r="BW327" i="2"/>
  <c r="BW328" i="2"/>
  <c r="BW329" i="2"/>
  <c r="BW330" i="2"/>
  <c r="BW331" i="2"/>
  <c r="BW332" i="2"/>
  <c r="BW333" i="2"/>
  <c r="BW334" i="2"/>
  <c r="BW335" i="2"/>
  <c r="BW336" i="2"/>
  <c r="BW337" i="2"/>
  <c r="BW338" i="2"/>
  <c r="BW339" i="2"/>
  <c r="BW340" i="2"/>
  <c r="BW341" i="2"/>
  <c r="BW342" i="2"/>
  <c r="BW343" i="2"/>
  <c r="BW344" i="2"/>
  <c r="BW345" i="2"/>
  <c r="BW346" i="2"/>
  <c r="BW347" i="2"/>
  <c r="BW348" i="2"/>
  <c r="BW349" i="2"/>
  <c r="BW350" i="2"/>
  <c r="BW351" i="2"/>
  <c r="BW352" i="2"/>
  <c r="BW353" i="2"/>
  <c r="BW354" i="2"/>
  <c r="BW355" i="2"/>
  <c r="BW356" i="2"/>
  <c r="BW357" i="2"/>
  <c r="BW358" i="2"/>
  <c r="BW359" i="2"/>
  <c r="BW360" i="2"/>
  <c r="BW361" i="2"/>
  <c r="BW362" i="2"/>
  <c r="BW363" i="2"/>
  <c r="BW364" i="2"/>
  <c r="BW365" i="2"/>
  <c r="BW366" i="2"/>
  <c r="BW367" i="2"/>
  <c r="BW368" i="2"/>
  <c r="BW369" i="2"/>
  <c r="BW370" i="2"/>
  <c r="BW371" i="2"/>
  <c r="BW372" i="2"/>
  <c r="BW373" i="2"/>
  <c r="BW374" i="2"/>
  <c r="BW375" i="2"/>
  <c r="BW376" i="2"/>
  <c r="BW377" i="2"/>
  <c r="BW378" i="2"/>
  <c r="BW379" i="2"/>
  <c r="BW380" i="2"/>
  <c r="BW381" i="2"/>
  <c r="BW382" i="2"/>
  <c r="BW383" i="2"/>
  <c r="BW384" i="2"/>
  <c r="BW385" i="2"/>
  <c r="BW386" i="2"/>
  <c r="BW387" i="2"/>
  <c r="BW388" i="2"/>
  <c r="BW389" i="2"/>
  <c r="BW390" i="2"/>
  <c r="BW391" i="2"/>
  <c r="BW392" i="2"/>
  <c r="BW393" i="2"/>
  <c r="BW394" i="2"/>
  <c r="BW395" i="2"/>
  <c r="BW396" i="2"/>
  <c r="BW397" i="2"/>
  <c r="BW398" i="2"/>
  <c r="BW399" i="2"/>
  <c r="BW400" i="2"/>
  <c r="BW401" i="2"/>
  <c r="BW402" i="2"/>
  <c r="BW403" i="2"/>
  <c r="BW404" i="2"/>
  <c r="BW405" i="2"/>
  <c r="BW406" i="2"/>
  <c r="BW407" i="2"/>
  <c r="BW408" i="2"/>
  <c r="BW409" i="2"/>
  <c r="BW410" i="2"/>
  <c r="BW411" i="2"/>
  <c r="BW412" i="2"/>
  <c r="BW413" i="2"/>
  <c r="BW414" i="2"/>
  <c r="BW415" i="2"/>
  <c r="BW416" i="2"/>
  <c r="BW417" i="2"/>
  <c r="BW418" i="2"/>
  <c r="BW419" i="2"/>
  <c r="BW420" i="2"/>
  <c r="BW421" i="2"/>
  <c r="BW422" i="2"/>
  <c r="BW423" i="2"/>
  <c r="BW424" i="2"/>
  <c r="BW425" i="2"/>
  <c r="BW426" i="2"/>
  <c r="BW427" i="2"/>
  <c r="BW428" i="2"/>
  <c r="BW429" i="2"/>
  <c r="BW430" i="2"/>
  <c r="BW431" i="2"/>
  <c r="BW432" i="2"/>
  <c r="BW433" i="2"/>
  <c r="BW434" i="2"/>
  <c r="BW435" i="2"/>
  <c r="BW436" i="2"/>
  <c r="BW437" i="2"/>
  <c r="BW438" i="2"/>
  <c r="BW439" i="2"/>
  <c r="BW440" i="2"/>
  <c r="BW441" i="2"/>
  <c r="BW442" i="2"/>
  <c r="BW443" i="2"/>
  <c r="BW444" i="2"/>
  <c r="BW445" i="2"/>
  <c r="BW446" i="2"/>
  <c r="BW447" i="2"/>
  <c r="BW448" i="2"/>
  <c r="BW449" i="2"/>
  <c r="BW450" i="2"/>
  <c r="BW451" i="2"/>
  <c r="BW452" i="2"/>
  <c r="BW453" i="2"/>
  <c r="BW454" i="2"/>
  <c r="BW455" i="2"/>
  <c r="BW456" i="2"/>
  <c r="BW457" i="2"/>
  <c r="BW458" i="2"/>
  <c r="BW459" i="2"/>
  <c r="BW460" i="2"/>
  <c r="BW461" i="2"/>
  <c r="BW462" i="2"/>
  <c r="BW463" i="2"/>
  <c r="BW464" i="2"/>
  <c r="BW465" i="2"/>
  <c r="BW466" i="2"/>
  <c r="BW467" i="2"/>
  <c r="BW468" i="2"/>
  <c r="BW469" i="2"/>
  <c r="BW470" i="2"/>
  <c r="BW471" i="2"/>
  <c r="BW472" i="2"/>
  <c r="BW473" i="2"/>
  <c r="BW474" i="2"/>
  <c r="BW475" i="2"/>
  <c r="BW476" i="2"/>
  <c r="BW477" i="2"/>
  <c r="BW478" i="2"/>
  <c r="BW479" i="2"/>
  <c r="BW480" i="2"/>
  <c r="BW481" i="2"/>
  <c r="BW482" i="2"/>
  <c r="BW483" i="2"/>
  <c r="BW484" i="2"/>
  <c r="BW485" i="2"/>
  <c r="BW486" i="2"/>
  <c r="BW487" i="2"/>
  <c r="BW488" i="2"/>
  <c r="BW489" i="2"/>
  <c r="BW490" i="2"/>
  <c r="BW491" i="2"/>
  <c r="BW492" i="2"/>
  <c r="BW493" i="2"/>
  <c r="BW494" i="2"/>
  <c r="BW495" i="2"/>
  <c r="BW496" i="2"/>
  <c r="BW497" i="2"/>
  <c r="BW498" i="2"/>
  <c r="BW499" i="2"/>
  <c r="BW500" i="2"/>
  <c r="BW501" i="2"/>
  <c r="BW502" i="2"/>
  <c r="BW503" i="2"/>
  <c r="BW504" i="2"/>
  <c r="BW505" i="2"/>
  <c r="BW506" i="2"/>
  <c r="BW507" i="2"/>
  <c r="BW508" i="2"/>
  <c r="BW509" i="2"/>
  <c r="BW510" i="2"/>
  <c r="BW511" i="2"/>
  <c r="BW512" i="2"/>
  <c r="BW513" i="2"/>
  <c r="BW514" i="2"/>
  <c r="BW515" i="2"/>
  <c r="BW516" i="2"/>
  <c r="BW517" i="2"/>
  <c r="BW518" i="2"/>
  <c r="BW519" i="2"/>
  <c r="BW520" i="2"/>
  <c r="BW521" i="2"/>
  <c r="BW522" i="2"/>
  <c r="BW523" i="2"/>
  <c r="BW524" i="2"/>
  <c r="BW525" i="2"/>
  <c r="BW526" i="2"/>
  <c r="BW527" i="2"/>
  <c r="BW528" i="2"/>
  <c r="BW529" i="2"/>
  <c r="BW530" i="2"/>
  <c r="BW531" i="2"/>
  <c r="BW532" i="2"/>
  <c r="BW533" i="2"/>
  <c r="BW534" i="2"/>
  <c r="BW535" i="2"/>
  <c r="BW536" i="2"/>
  <c r="BW537" i="2"/>
  <c r="BW538" i="2"/>
  <c r="BW539" i="2"/>
  <c r="BW540" i="2"/>
  <c r="BW541" i="2"/>
  <c r="BW542" i="2"/>
  <c r="BW543" i="2"/>
  <c r="BW544" i="2"/>
  <c r="BW545" i="2"/>
  <c r="BW546" i="2"/>
  <c r="BW547" i="2"/>
  <c r="BW548" i="2"/>
  <c r="BW549" i="2"/>
  <c r="BW550" i="2"/>
  <c r="BW551" i="2"/>
  <c r="BW552" i="2"/>
  <c r="BW553" i="2"/>
  <c r="BW554" i="2"/>
  <c r="BW555" i="2"/>
  <c r="BW556" i="2"/>
  <c r="BW557" i="2"/>
  <c r="BW558" i="2"/>
  <c r="BW559" i="2"/>
  <c r="BW560" i="2"/>
  <c r="BW561" i="2"/>
  <c r="BW562" i="2"/>
  <c r="BW563" i="2"/>
  <c r="BW564" i="2"/>
  <c r="BW565" i="2"/>
  <c r="BW566" i="2"/>
  <c r="BW567" i="2"/>
  <c r="BW568" i="2"/>
  <c r="BW569" i="2"/>
  <c r="BW570" i="2"/>
  <c r="BW571" i="2"/>
  <c r="BW572" i="2"/>
  <c r="BW573" i="2"/>
  <c r="BW574" i="2"/>
  <c r="BW575" i="2"/>
  <c r="BW576" i="2"/>
  <c r="BW577" i="2"/>
  <c r="BW578" i="2"/>
  <c r="BW579" i="2"/>
  <c r="BW580" i="2"/>
  <c r="BW581" i="2"/>
  <c r="BW582" i="2"/>
  <c r="BW583" i="2"/>
  <c r="BW584" i="2"/>
  <c r="BW585" i="2"/>
  <c r="BW586" i="2"/>
  <c r="BW587" i="2"/>
  <c r="BW588" i="2"/>
  <c r="BW589" i="2"/>
  <c r="BW590" i="2"/>
  <c r="BW591" i="2"/>
  <c r="BW592" i="2"/>
  <c r="BW593" i="2"/>
  <c r="BW594" i="2"/>
  <c r="BW595" i="2"/>
  <c r="BW596" i="2"/>
  <c r="BW597" i="2"/>
  <c r="BW598" i="2"/>
  <c r="BW599" i="2"/>
  <c r="BW600" i="2"/>
  <c r="BW601" i="2"/>
  <c r="BW602" i="2"/>
  <c r="BW603" i="2"/>
  <c r="BW604" i="2"/>
  <c r="BW605" i="2"/>
  <c r="BW606" i="2"/>
  <c r="BW607" i="2"/>
  <c r="BW608" i="2"/>
  <c r="BW609" i="2"/>
  <c r="BW610" i="2"/>
  <c r="BW611" i="2"/>
  <c r="BW612" i="2"/>
  <c r="BW613" i="2"/>
  <c r="BW614" i="2"/>
  <c r="BW615" i="2"/>
  <c r="BW616" i="2"/>
  <c r="BW617" i="2"/>
  <c r="BW618" i="2"/>
  <c r="BW619" i="2"/>
  <c r="BW620" i="2"/>
  <c r="BW621" i="2"/>
  <c r="BW622" i="2"/>
  <c r="BW623" i="2"/>
  <c r="BW624" i="2"/>
  <c r="BW625" i="2"/>
  <c r="BW626" i="2"/>
  <c r="BW627" i="2"/>
  <c r="BW628" i="2"/>
  <c r="BW629" i="2"/>
  <c r="BW630" i="2"/>
  <c r="BW631" i="2"/>
  <c r="BW632" i="2"/>
  <c r="BW633" i="2"/>
  <c r="BW634" i="2"/>
  <c r="BW635" i="2"/>
  <c r="BW636" i="2"/>
  <c r="BW637" i="2"/>
  <c r="BW638" i="2"/>
  <c r="BW639" i="2"/>
  <c r="BW640" i="2"/>
  <c r="BW641" i="2"/>
  <c r="BW642" i="2"/>
  <c r="BW643" i="2"/>
  <c r="BW644" i="2"/>
  <c r="BW645" i="2"/>
  <c r="BW646" i="2"/>
  <c r="BW647" i="2"/>
  <c r="BW648" i="2"/>
  <c r="BW649" i="2"/>
  <c r="BW650" i="2"/>
  <c r="BW651" i="2"/>
  <c r="BW652" i="2"/>
  <c r="BW653" i="2"/>
  <c r="BW654" i="2"/>
  <c r="BW655" i="2"/>
  <c r="BW656" i="2"/>
  <c r="BW657" i="2"/>
  <c r="BW658" i="2"/>
  <c r="BW659" i="2"/>
  <c r="BW660" i="2"/>
  <c r="BW661" i="2"/>
  <c r="BW662" i="2"/>
  <c r="BW663" i="2"/>
  <c r="BW664" i="2"/>
  <c r="BW665" i="2"/>
  <c r="BW666" i="2"/>
  <c r="BW667" i="2"/>
  <c r="BW668" i="2"/>
  <c r="BW669" i="2"/>
  <c r="BW670" i="2"/>
  <c r="BW671" i="2"/>
  <c r="BW672" i="2"/>
  <c r="BW673" i="2"/>
  <c r="BW674" i="2"/>
  <c r="BW675" i="2"/>
  <c r="BW676" i="2"/>
  <c r="BW677" i="2"/>
  <c r="BW678" i="2"/>
  <c r="BW679" i="2"/>
  <c r="BW680" i="2"/>
  <c r="BW681" i="2"/>
  <c r="BW682" i="2"/>
  <c r="BW683" i="2"/>
  <c r="BW684" i="2"/>
  <c r="BW685" i="2"/>
  <c r="BW686" i="2"/>
  <c r="BW687" i="2"/>
  <c r="BW688" i="2"/>
  <c r="BW689" i="2"/>
  <c r="BW690" i="2"/>
  <c r="BW691" i="2"/>
  <c r="BW692" i="2"/>
  <c r="BW693" i="2"/>
  <c r="BW694" i="2"/>
  <c r="BW695" i="2"/>
  <c r="BW696" i="2"/>
  <c r="BW697" i="2"/>
  <c r="BW698" i="2"/>
  <c r="BW699" i="2"/>
  <c r="BW700" i="2"/>
  <c r="BW701" i="2"/>
  <c r="BW702" i="2"/>
  <c r="BW703" i="2"/>
  <c r="BW704" i="2"/>
  <c r="BW705" i="2"/>
  <c r="BW706" i="2"/>
  <c r="BW707" i="2"/>
  <c r="BW708" i="2"/>
  <c r="BW709" i="2"/>
  <c r="BW710" i="2"/>
  <c r="BW711" i="2"/>
  <c r="BW712" i="2"/>
  <c r="BW713" i="2"/>
  <c r="BW714" i="2"/>
  <c r="BW715" i="2"/>
  <c r="BW716" i="2"/>
  <c r="BW717" i="2"/>
  <c r="BW718" i="2"/>
  <c r="BW719" i="2"/>
  <c r="BW720" i="2"/>
  <c r="BW721" i="2"/>
  <c r="BW722" i="2"/>
  <c r="BW723" i="2"/>
  <c r="BW724" i="2"/>
  <c r="BW725" i="2"/>
  <c r="BW726" i="2"/>
  <c r="BW727" i="2"/>
  <c r="BW728" i="2"/>
  <c r="BW729" i="2"/>
  <c r="BW730" i="2"/>
  <c r="BW731" i="2"/>
  <c r="BW732" i="2"/>
  <c r="BW733" i="2"/>
  <c r="BW734" i="2"/>
  <c r="BW735" i="2"/>
  <c r="BW736" i="2"/>
  <c r="BW737" i="2"/>
  <c r="BW738" i="2"/>
  <c r="BW739" i="2"/>
  <c r="BW740" i="2"/>
  <c r="BW741" i="2"/>
  <c r="BW742" i="2"/>
  <c r="BW743" i="2"/>
  <c r="BW744" i="2"/>
  <c r="BW745" i="2"/>
  <c r="BW746" i="2"/>
  <c r="BW747" i="2"/>
  <c r="BW748" i="2"/>
  <c r="BW749" i="2"/>
  <c r="BW750" i="2"/>
  <c r="BW751" i="2"/>
  <c r="BW752" i="2"/>
  <c r="BW753" i="2"/>
  <c r="BW754" i="2"/>
  <c r="BW755" i="2"/>
  <c r="BW756" i="2"/>
  <c r="BW757" i="2"/>
  <c r="BW758" i="2"/>
  <c r="BW759" i="2"/>
  <c r="BW760" i="2"/>
  <c r="BW761" i="2"/>
  <c r="BW762" i="2"/>
  <c r="BW763" i="2"/>
  <c r="BW764" i="2"/>
  <c r="BW765" i="2"/>
  <c r="BW766" i="2"/>
  <c r="BW767" i="2"/>
  <c r="BW768" i="2"/>
  <c r="BW769" i="2"/>
  <c r="BW770" i="2"/>
  <c r="BW771" i="2"/>
  <c r="BW772" i="2"/>
  <c r="BW773" i="2"/>
  <c r="BW774" i="2"/>
  <c r="BW775" i="2"/>
  <c r="BW776" i="2"/>
  <c r="BW777" i="2"/>
  <c r="BW778" i="2"/>
  <c r="BW779" i="2"/>
  <c r="BW780" i="2"/>
  <c r="BW781" i="2"/>
  <c r="BW782" i="2"/>
  <c r="BW783" i="2"/>
  <c r="BW784" i="2"/>
  <c r="BW785" i="2"/>
  <c r="BW786" i="2"/>
  <c r="BW787" i="2"/>
  <c r="BW788" i="2"/>
  <c r="BW789" i="2"/>
  <c r="BW790" i="2"/>
  <c r="BW791" i="2"/>
  <c r="BW792" i="2"/>
  <c r="BW793" i="2"/>
  <c r="BW794" i="2"/>
  <c r="BW795" i="2"/>
  <c r="BW796" i="2"/>
  <c r="BW797" i="2"/>
  <c r="BW798" i="2"/>
  <c r="BW799" i="2"/>
  <c r="BW800" i="2"/>
  <c r="BW801" i="2"/>
  <c r="BW802" i="2"/>
  <c r="BW803" i="2"/>
  <c r="BW804" i="2"/>
  <c r="BW805" i="2"/>
  <c r="BW806" i="2"/>
  <c r="BW807" i="2"/>
  <c r="BW808" i="2"/>
  <c r="BW809" i="2"/>
  <c r="BW810" i="2"/>
  <c r="BW811" i="2"/>
  <c r="BW812" i="2"/>
  <c r="BW813" i="2"/>
  <c r="BW814" i="2"/>
  <c r="BW815" i="2"/>
  <c r="BW816" i="2"/>
  <c r="BW817" i="2"/>
  <c r="BW818" i="2"/>
  <c r="BW819" i="2"/>
  <c r="BW820" i="2"/>
  <c r="BW821" i="2"/>
  <c r="BW822" i="2"/>
  <c r="BW823" i="2"/>
  <c r="BW824" i="2"/>
  <c r="BW825" i="2"/>
  <c r="BW826" i="2"/>
  <c r="BW827" i="2"/>
  <c r="BW828" i="2"/>
  <c r="BW829" i="2"/>
  <c r="BW830" i="2"/>
  <c r="BW831" i="2"/>
  <c r="BW832" i="2"/>
  <c r="BW833" i="2"/>
  <c r="BW834" i="2"/>
  <c r="BW835" i="2"/>
  <c r="BW836" i="2"/>
  <c r="BW837" i="2"/>
  <c r="BW838" i="2"/>
  <c r="BW839" i="2"/>
  <c r="BW840" i="2"/>
  <c r="BW841" i="2"/>
  <c r="BW842" i="2"/>
  <c r="BW843" i="2"/>
  <c r="BW844" i="2"/>
  <c r="BW845" i="2"/>
  <c r="BW846" i="2"/>
  <c r="BW847" i="2"/>
  <c r="BW848" i="2"/>
  <c r="BW849" i="2"/>
  <c r="BW850" i="2"/>
  <c r="BW851" i="2"/>
  <c r="BW852" i="2"/>
  <c r="BW853" i="2"/>
  <c r="BW854" i="2"/>
  <c r="BW855" i="2"/>
  <c r="BW856" i="2"/>
  <c r="BW857" i="2"/>
  <c r="BW858" i="2"/>
  <c r="BW859" i="2"/>
  <c r="BW860" i="2"/>
  <c r="BW861" i="2"/>
  <c r="BW862" i="2"/>
  <c r="BW863" i="2"/>
  <c r="BW864" i="2"/>
  <c r="BW865" i="2"/>
  <c r="BW866" i="2"/>
  <c r="BW867" i="2"/>
  <c r="BW868" i="2"/>
  <c r="BW869" i="2"/>
  <c r="BW870" i="2"/>
  <c r="BW871" i="2"/>
  <c r="BW872" i="2"/>
  <c r="BW873" i="2"/>
  <c r="BW874" i="2"/>
  <c r="BW875" i="2"/>
  <c r="BW876" i="2"/>
  <c r="BW877" i="2"/>
  <c r="BW878" i="2"/>
  <c r="BW879" i="2"/>
  <c r="BW880" i="2"/>
  <c r="BW881" i="2"/>
  <c r="BW882" i="2"/>
  <c r="BW883" i="2"/>
  <c r="BW884" i="2"/>
  <c r="BW885" i="2"/>
  <c r="BW886" i="2"/>
  <c r="BW887" i="2"/>
  <c r="BW888" i="2"/>
  <c r="BW889" i="2"/>
  <c r="BW890" i="2"/>
  <c r="BW891" i="2"/>
  <c r="BW892" i="2"/>
  <c r="BW893" i="2"/>
  <c r="BW894" i="2"/>
  <c r="BW895" i="2"/>
  <c r="BW896" i="2"/>
  <c r="BW897" i="2"/>
  <c r="BW898" i="2"/>
  <c r="BW899" i="2"/>
  <c r="BW900" i="2"/>
  <c r="BW901" i="2"/>
  <c r="BW902" i="2"/>
  <c r="BW903" i="2"/>
  <c r="BW904" i="2"/>
  <c r="BW905" i="2"/>
  <c r="BW906" i="2"/>
  <c r="BW907" i="2"/>
  <c r="BW908" i="2"/>
  <c r="BW909" i="2"/>
  <c r="BW910" i="2"/>
  <c r="BW911" i="2"/>
  <c r="BW912" i="2"/>
  <c r="BW913" i="2"/>
  <c r="BW914" i="2"/>
  <c r="BW915" i="2"/>
  <c r="BW916" i="2"/>
  <c r="BW917" i="2"/>
  <c r="BW918" i="2"/>
  <c r="BW919" i="2"/>
  <c r="BW920" i="2"/>
  <c r="BW921" i="2"/>
  <c r="BW922" i="2"/>
  <c r="BW923" i="2"/>
  <c r="BW924" i="2"/>
  <c r="BW925" i="2"/>
  <c r="BW926" i="2"/>
  <c r="BW927" i="2"/>
  <c r="BW928" i="2"/>
  <c r="BW929" i="2"/>
  <c r="BW930" i="2"/>
  <c r="BW931" i="2"/>
  <c r="BW932" i="2"/>
  <c r="BW933" i="2"/>
  <c r="BW934" i="2"/>
  <c r="BW935" i="2"/>
  <c r="BW936" i="2"/>
  <c r="BW937" i="2"/>
  <c r="BW938" i="2"/>
  <c r="BW939" i="2"/>
  <c r="BW940" i="2"/>
  <c r="BW941" i="2"/>
  <c r="BW942" i="2"/>
  <c r="BW943" i="2"/>
  <c r="BW944" i="2"/>
  <c r="BW945" i="2"/>
  <c r="BW946" i="2"/>
  <c r="BW947" i="2"/>
  <c r="BW948" i="2"/>
  <c r="BW949" i="2"/>
  <c r="BW950" i="2"/>
  <c r="BW951" i="2"/>
  <c r="BW952" i="2"/>
  <c r="BW953" i="2"/>
  <c r="BW954" i="2"/>
  <c r="BW955" i="2"/>
  <c r="BW956" i="2"/>
  <c r="BW957" i="2"/>
  <c r="BW958" i="2"/>
  <c r="BW959" i="2"/>
  <c r="BW960" i="2"/>
  <c r="BW961" i="2"/>
  <c r="BW962" i="2"/>
  <c r="BW963" i="2"/>
  <c r="BW964" i="2"/>
  <c r="BW965" i="2"/>
  <c r="BW966" i="2"/>
  <c r="BW967" i="2"/>
  <c r="BW968" i="2"/>
  <c r="BW969" i="2"/>
  <c r="BW970" i="2"/>
  <c r="BW971" i="2"/>
  <c r="BW972" i="2"/>
  <c r="BW973" i="2"/>
  <c r="BW974" i="2"/>
  <c r="BW975" i="2"/>
  <c r="BW976" i="2"/>
  <c r="BW977" i="2"/>
  <c r="BW978" i="2"/>
  <c r="BW979" i="2"/>
  <c r="BW980" i="2"/>
  <c r="BW981" i="2"/>
  <c r="BW982" i="2"/>
  <c r="BW983" i="2"/>
  <c r="BW984" i="2"/>
  <c r="BW985" i="2"/>
  <c r="BW986" i="2"/>
  <c r="BW987" i="2"/>
  <c r="BW988" i="2"/>
  <c r="BW989" i="2"/>
  <c r="BW990" i="2"/>
  <c r="BW991" i="2"/>
  <c r="BW992" i="2"/>
  <c r="BW993" i="2"/>
  <c r="BW994" i="2"/>
  <c r="BW995" i="2"/>
  <c r="BW996" i="2"/>
  <c r="BW997" i="2"/>
  <c r="BW998" i="2"/>
  <c r="BW999" i="2"/>
  <c r="BW1000" i="2"/>
  <c r="BW1001" i="2"/>
  <c r="BW1002" i="2"/>
  <c r="BW1003" i="2"/>
  <c r="BW1004" i="2"/>
  <c r="BW1005" i="2"/>
  <c r="BW1006" i="2"/>
  <c r="BW1007" i="2"/>
  <c r="BW1008" i="2"/>
  <c r="BW1009" i="2"/>
  <c r="BW1010" i="2"/>
  <c r="BW1011" i="2"/>
  <c r="BW1012" i="2"/>
  <c r="BW1013" i="2"/>
  <c r="BW1014" i="2"/>
  <c r="BW1015" i="2"/>
  <c r="BW1016" i="2"/>
  <c r="BW1017" i="2"/>
  <c r="BW1018" i="2"/>
  <c r="BW1019" i="2"/>
  <c r="BW1020" i="2"/>
  <c r="BW1021" i="2"/>
  <c r="BW1022" i="2"/>
  <c r="BW1023" i="2"/>
  <c r="BW1024" i="2"/>
  <c r="BW1025" i="2"/>
  <c r="BW1026" i="2"/>
  <c r="BW1027" i="2"/>
  <c r="BW1028" i="2"/>
  <c r="BW1029" i="2"/>
  <c r="BW1030" i="2"/>
  <c r="BW1031" i="2"/>
  <c r="BW1032" i="2"/>
  <c r="BW1033" i="2"/>
  <c r="BW1034" i="2"/>
  <c r="BW1035" i="2"/>
  <c r="BW1036" i="2"/>
  <c r="BW1037" i="2"/>
  <c r="BW1038" i="2"/>
  <c r="BW1039" i="2"/>
  <c r="BW1040" i="2"/>
  <c r="BW1041" i="2"/>
  <c r="BW1042" i="2"/>
  <c r="BW1043" i="2"/>
  <c r="BW1044" i="2"/>
  <c r="BW1045" i="2"/>
  <c r="BW1046" i="2"/>
  <c r="BW1047" i="2"/>
  <c r="BW1048" i="2"/>
  <c r="BW1049" i="2"/>
  <c r="BW1050" i="2"/>
  <c r="BW1051" i="2"/>
  <c r="BW1052" i="2"/>
  <c r="BW1053" i="2"/>
  <c r="BW1054" i="2"/>
  <c r="BW1055" i="2"/>
  <c r="BW1056" i="2"/>
  <c r="BW1057" i="2"/>
  <c r="BW1058" i="2"/>
  <c r="BW1059" i="2"/>
  <c r="BW1060" i="2"/>
  <c r="BW1061" i="2"/>
  <c r="BW1062" i="2"/>
  <c r="BW1063" i="2"/>
  <c r="BW1064" i="2"/>
  <c r="BW1065" i="2"/>
  <c r="BW1066" i="2"/>
  <c r="BW1067" i="2"/>
  <c r="BW1068" i="2"/>
  <c r="BW1069" i="2"/>
  <c r="BW1070" i="2"/>
  <c r="BW1071" i="2"/>
  <c r="BW1072" i="2"/>
  <c r="BW1073" i="2"/>
  <c r="BW1074" i="2"/>
  <c r="BW1075" i="2"/>
  <c r="BW1076" i="2"/>
  <c r="BW1077" i="2"/>
  <c r="BW1078" i="2"/>
  <c r="BW1079" i="2"/>
  <c r="BW1080" i="2"/>
  <c r="BW1081" i="2"/>
  <c r="BW1082" i="2"/>
  <c r="BW1083" i="2"/>
  <c r="BW1084" i="2"/>
  <c r="BW1085" i="2"/>
  <c r="BW1086" i="2"/>
  <c r="BW1087" i="2"/>
  <c r="BW1088" i="2"/>
  <c r="BW1089" i="2"/>
  <c r="BW1090" i="2"/>
  <c r="BW1091" i="2"/>
  <c r="BW1092" i="2"/>
  <c r="BW1093" i="2"/>
  <c r="BW1094" i="2"/>
  <c r="BW1095" i="2"/>
  <c r="BW1096" i="2"/>
  <c r="BW1097" i="2"/>
  <c r="BW1098" i="2"/>
  <c r="BW1099" i="2"/>
  <c r="BW1100" i="2"/>
  <c r="BW1101" i="2"/>
  <c r="BW1102" i="2"/>
  <c r="BW1103" i="2"/>
  <c r="BW1104" i="2"/>
  <c r="BW1105" i="2"/>
  <c r="BW1106" i="2"/>
  <c r="BW1107" i="2"/>
  <c r="BW1108" i="2"/>
  <c r="BW1109" i="2"/>
  <c r="BW1110" i="2"/>
  <c r="BW1111" i="2"/>
  <c r="BW1112" i="2"/>
  <c r="BW1113" i="2"/>
  <c r="BW1114" i="2"/>
  <c r="BW1115" i="2"/>
  <c r="BW1116" i="2"/>
  <c r="BW1117" i="2"/>
  <c r="BW1118" i="2"/>
  <c r="BW1119" i="2"/>
  <c r="BW1120" i="2"/>
  <c r="BW1121" i="2"/>
  <c r="BW1122" i="2"/>
  <c r="BW1123" i="2"/>
  <c r="BW1124" i="2"/>
  <c r="BW1125" i="2"/>
  <c r="BW1126" i="2"/>
  <c r="BW1127" i="2"/>
  <c r="BW1128" i="2"/>
  <c r="BW1129" i="2"/>
  <c r="BW1130" i="2"/>
  <c r="BW1131" i="2"/>
  <c r="BW1132" i="2"/>
  <c r="BW1133" i="2"/>
  <c r="BW1134" i="2"/>
  <c r="BW1135" i="2"/>
  <c r="BW1136" i="2"/>
  <c r="BW1137" i="2"/>
  <c r="BW1138" i="2"/>
  <c r="BW1139" i="2"/>
  <c r="BW1140" i="2"/>
  <c r="BW1141" i="2"/>
  <c r="BW1142" i="2"/>
  <c r="BW1143" i="2"/>
  <c r="BW1144" i="2"/>
  <c r="BW1145" i="2"/>
  <c r="BW1146" i="2"/>
  <c r="BW1147" i="2"/>
  <c r="BW1148" i="2"/>
  <c r="BW1149" i="2"/>
  <c r="BW1150" i="2"/>
  <c r="BW1151" i="2"/>
  <c r="BW1152" i="2"/>
  <c r="BW1153" i="2"/>
  <c r="BW1154" i="2"/>
  <c r="BW1155" i="2"/>
  <c r="BW1156" i="2"/>
  <c r="BW1157" i="2"/>
  <c r="BW1158" i="2"/>
  <c r="BW1159" i="2"/>
  <c r="BW1160" i="2"/>
  <c r="BW1161" i="2"/>
  <c r="BW1162" i="2"/>
  <c r="BW1163" i="2"/>
  <c r="BW1164" i="2"/>
  <c r="BW1165" i="2"/>
  <c r="BW1166" i="2"/>
  <c r="BW1167" i="2"/>
  <c r="BW1168" i="2"/>
  <c r="BW1169" i="2"/>
  <c r="BW1170" i="2"/>
  <c r="BW1171" i="2"/>
  <c r="BW1172" i="2"/>
  <c r="BW1173" i="2"/>
  <c r="BW1174" i="2"/>
  <c r="BW1175" i="2"/>
  <c r="BW1176" i="2"/>
  <c r="BW1177" i="2"/>
  <c r="BW1178" i="2"/>
  <c r="BW1179" i="2"/>
  <c r="BW1180" i="2"/>
  <c r="BW1181" i="2"/>
  <c r="BW1182" i="2"/>
  <c r="BW1183" i="2"/>
  <c r="BW1184" i="2"/>
  <c r="BW1185" i="2"/>
  <c r="BW1186" i="2"/>
  <c r="BW1187" i="2"/>
  <c r="BW1188" i="2"/>
  <c r="BW1189" i="2"/>
  <c r="BW1190" i="2"/>
  <c r="BW1191" i="2"/>
  <c r="BW1192" i="2"/>
  <c r="BW1193" i="2"/>
  <c r="BW1194" i="2"/>
  <c r="BW1195" i="2"/>
  <c r="BW1196" i="2"/>
  <c r="BW1197" i="2"/>
  <c r="BW1198" i="2"/>
  <c r="BW1199" i="2"/>
  <c r="BW1200" i="2"/>
  <c r="BW1201" i="2"/>
  <c r="BW1202" i="2"/>
  <c r="BW1203" i="2"/>
  <c r="BW1204" i="2"/>
  <c r="BW1205" i="2"/>
  <c r="BW1206" i="2"/>
  <c r="BW1207" i="2"/>
  <c r="BW1208" i="2"/>
  <c r="BW1209" i="2"/>
  <c r="BW1210" i="2"/>
  <c r="BW1211" i="2"/>
  <c r="BW1212" i="2"/>
  <c r="BW1213" i="2"/>
  <c r="BW1214" i="2"/>
  <c r="BW1215" i="2"/>
  <c r="BW1216" i="2"/>
  <c r="BW1217" i="2"/>
  <c r="BW1218" i="2"/>
  <c r="BW1219" i="2"/>
  <c r="BW1220" i="2"/>
  <c r="BW1221" i="2"/>
  <c r="BW1222" i="2"/>
  <c r="BW1223" i="2"/>
  <c r="BW1224" i="2"/>
  <c r="BW1225" i="2"/>
  <c r="BW1226" i="2"/>
  <c r="BW1227" i="2"/>
  <c r="BW1228" i="2"/>
  <c r="BW1229" i="2"/>
  <c r="BW1230" i="2"/>
  <c r="BW1231" i="2"/>
  <c r="BW1232" i="2"/>
  <c r="BW1233" i="2"/>
  <c r="BW1234" i="2"/>
  <c r="BW1235" i="2"/>
  <c r="BW1236" i="2"/>
  <c r="BW1237" i="2"/>
  <c r="BW1238" i="2"/>
  <c r="BW1239" i="2"/>
  <c r="BW1240" i="2"/>
  <c r="BW1241" i="2"/>
  <c r="BW1242" i="2"/>
  <c r="BW1243" i="2"/>
  <c r="BW1244" i="2"/>
  <c r="BW1245" i="2"/>
  <c r="BW1246" i="2"/>
  <c r="BW1247" i="2"/>
  <c r="BW1248" i="2"/>
  <c r="BW1249" i="2"/>
  <c r="BW1250" i="2"/>
  <c r="BW1251" i="2"/>
  <c r="BW1252" i="2"/>
  <c r="BW1253" i="2"/>
  <c r="BW1254" i="2"/>
  <c r="BW1255" i="2"/>
  <c r="BW1256" i="2"/>
  <c r="BW1257" i="2"/>
  <c r="BW1258" i="2"/>
  <c r="BW1259" i="2"/>
  <c r="BW1260" i="2"/>
  <c r="BW1261" i="2"/>
  <c r="BW1262" i="2"/>
  <c r="BW1263" i="2"/>
  <c r="BW1264" i="2"/>
  <c r="BW1265" i="2"/>
  <c r="BW1266" i="2"/>
  <c r="BW1267" i="2"/>
  <c r="BW1268" i="2"/>
  <c r="BW1269" i="2"/>
  <c r="BW1270" i="2"/>
  <c r="BW1271" i="2"/>
  <c r="BW1272" i="2"/>
  <c r="BW1273" i="2"/>
  <c r="BW1274" i="2"/>
  <c r="BW1275" i="2"/>
  <c r="BW1276" i="2"/>
  <c r="BW1277" i="2"/>
  <c r="BW1278" i="2"/>
  <c r="BW1279" i="2"/>
  <c r="BW1280" i="2"/>
  <c r="BW1281" i="2"/>
  <c r="BW1282" i="2"/>
  <c r="BW1283" i="2"/>
  <c r="BW1284" i="2"/>
  <c r="BW1285" i="2"/>
  <c r="BW1286" i="2"/>
  <c r="BW1287" i="2"/>
  <c r="BW1288" i="2"/>
  <c r="BW1289" i="2"/>
  <c r="BW1290" i="2"/>
  <c r="BW1291" i="2"/>
  <c r="BW1292" i="2"/>
  <c r="BW1293" i="2"/>
  <c r="BW1294" i="2"/>
  <c r="BW1295" i="2"/>
  <c r="BW1296" i="2"/>
  <c r="BW1297" i="2"/>
  <c r="BW1298" i="2"/>
  <c r="BW1299" i="2"/>
  <c r="BW1300" i="2"/>
  <c r="BW1301" i="2"/>
  <c r="BW1302" i="2"/>
  <c r="BW1303" i="2"/>
  <c r="BW1304" i="2"/>
  <c r="BW1305" i="2"/>
  <c r="BW1306" i="2"/>
  <c r="BW1307" i="2"/>
  <c r="BW1308" i="2"/>
  <c r="BW1309" i="2"/>
  <c r="BW1310" i="2"/>
  <c r="BW1311" i="2"/>
  <c r="BW1312" i="2"/>
  <c r="BW1313" i="2"/>
  <c r="BW1314" i="2"/>
  <c r="BW1315" i="2"/>
  <c r="BW1316" i="2"/>
  <c r="BW1317" i="2"/>
  <c r="BW1318" i="2"/>
  <c r="BW1319" i="2"/>
  <c r="BW1320" i="2"/>
  <c r="BW1321" i="2"/>
  <c r="BW1322" i="2"/>
  <c r="BW1323" i="2"/>
  <c r="BW1324" i="2"/>
  <c r="BW1325" i="2"/>
  <c r="BW1326" i="2"/>
  <c r="BW1327" i="2"/>
  <c r="BW1328" i="2"/>
  <c r="BW1329" i="2"/>
  <c r="BW1330" i="2"/>
  <c r="BW1331" i="2"/>
  <c r="BW1332" i="2"/>
  <c r="BW1333" i="2"/>
  <c r="BW1334" i="2"/>
  <c r="BW1335" i="2"/>
  <c r="BW1336" i="2"/>
  <c r="BW1337" i="2"/>
  <c r="BW1338" i="2"/>
  <c r="BW1339" i="2"/>
  <c r="BW1340" i="2"/>
  <c r="BW1341" i="2"/>
  <c r="BW1342" i="2"/>
  <c r="BW1343" i="2"/>
  <c r="BW1344" i="2"/>
  <c r="BW1345" i="2"/>
  <c r="BW1346" i="2"/>
  <c r="BW1347" i="2"/>
  <c r="BW1348" i="2"/>
  <c r="BW1349" i="2"/>
  <c r="BW1350" i="2"/>
  <c r="BW1351" i="2"/>
  <c r="BW1352" i="2"/>
  <c r="BW1353" i="2"/>
  <c r="BW1354" i="2"/>
  <c r="BW1355" i="2"/>
  <c r="BW1356" i="2"/>
  <c r="BW1357" i="2"/>
  <c r="BW1358" i="2"/>
  <c r="BW1359" i="2"/>
  <c r="BW1360" i="2"/>
  <c r="BW1361" i="2"/>
  <c r="BW1362" i="2"/>
  <c r="BW1363" i="2"/>
  <c r="BW1364" i="2"/>
  <c r="BW1365" i="2"/>
  <c r="BW1366" i="2"/>
  <c r="BW1367" i="2"/>
  <c r="BW1368" i="2"/>
  <c r="BW1369" i="2"/>
  <c r="BW1370" i="2"/>
  <c r="BW1371" i="2"/>
  <c r="BW1372" i="2"/>
  <c r="BW1373" i="2"/>
  <c r="BW1374" i="2"/>
  <c r="BW1375" i="2"/>
  <c r="BW1376" i="2"/>
  <c r="BW1377" i="2"/>
  <c r="BW1378" i="2"/>
  <c r="BW1379" i="2"/>
  <c r="BW1380" i="2"/>
  <c r="BW1381" i="2"/>
  <c r="BW1382" i="2"/>
  <c r="BW1383" i="2"/>
  <c r="BW1384" i="2"/>
  <c r="BW1385" i="2"/>
  <c r="BW1386" i="2"/>
  <c r="BW1387" i="2"/>
  <c r="BW1388" i="2"/>
  <c r="BW1389" i="2"/>
  <c r="BW1390" i="2"/>
  <c r="BW1391" i="2"/>
  <c r="BW1392" i="2"/>
  <c r="BW1393" i="2"/>
  <c r="BW1394" i="2"/>
  <c r="BW1395" i="2"/>
  <c r="BW1396" i="2"/>
  <c r="BW1397" i="2"/>
  <c r="BW1398" i="2"/>
  <c r="BW1399" i="2"/>
  <c r="BW1400" i="2"/>
  <c r="BW1401" i="2"/>
  <c r="BW1402" i="2"/>
  <c r="BW1403" i="2"/>
  <c r="BW1404" i="2"/>
  <c r="BW1405" i="2"/>
  <c r="BW1406" i="2"/>
  <c r="BW1407" i="2"/>
  <c r="BW1408" i="2"/>
  <c r="BW1409" i="2"/>
  <c r="BW1410" i="2"/>
  <c r="BW1411" i="2"/>
  <c r="BW1412" i="2"/>
  <c r="BW1413" i="2"/>
  <c r="BW1414" i="2"/>
  <c r="BW1415" i="2"/>
  <c r="BW1416" i="2"/>
  <c r="BW1417" i="2"/>
  <c r="BW1418" i="2"/>
  <c r="BW1419" i="2"/>
  <c r="BW1420" i="2"/>
  <c r="BW1421" i="2"/>
  <c r="BW1422" i="2"/>
  <c r="BW1423" i="2"/>
  <c r="BW1424" i="2"/>
  <c r="BW1425" i="2"/>
  <c r="BW1426" i="2"/>
  <c r="BW1427" i="2"/>
  <c r="BW1428" i="2"/>
  <c r="BW1429" i="2"/>
  <c r="BW1430" i="2"/>
  <c r="BW1431" i="2"/>
  <c r="BW1432" i="2"/>
  <c r="BW1433" i="2"/>
  <c r="BW1434" i="2"/>
  <c r="BW1435" i="2"/>
  <c r="BW1436" i="2"/>
  <c r="BW1437" i="2"/>
  <c r="BW1438" i="2"/>
  <c r="BW1439" i="2"/>
  <c r="BW1440" i="2"/>
  <c r="BW1441" i="2"/>
  <c r="BW1442" i="2"/>
  <c r="BW1443" i="2"/>
  <c r="BW1444" i="2"/>
  <c r="BW1445" i="2"/>
  <c r="BW1446" i="2"/>
  <c r="BW1447" i="2"/>
  <c r="BW1448" i="2"/>
  <c r="BW1449" i="2"/>
  <c r="BW1450" i="2"/>
  <c r="BW1451" i="2"/>
  <c r="BW1452" i="2"/>
  <c r="BW1453" i="2"/>
  <c r="BW1454" i="2"/>
  <c r="BW1455" i="2"/>
  <c r="BW1456" i="2"/>
  <c r="BW1457" i="2"/>
  <c r="BW1458" i="2"/>
  <c r="BW1459" i="2"/>
  <c r="BW1460" i="2"/>
  <c r="BW1461" i="2"/>
  <c r="BW1462" i="2"/>
  <c r="BW1463" i="2"/>
  <c r="BW1464" i="2"/>
  <c r="BW1465" i="2"/>
  <c r="BW1466" i="2"/>
  <c r="BW1467" i="2"/>
  <c r="BW1468" i="2"/>
  <c r="BW1469" i="2"/>
  <c r="BW1470" i="2"/>
  <c r="BW1471" i="2"/>
  <c r="BW1472" i="2"/>
  <c r="BW1473" i="2"/>
  <c r="BW1474" i="2"/>
  <c r="BW1475" i="2"/>
  <c r="BW1476" i="2"/>
  <c r="BW1477" i="2"/>
  <c r="BW1478" i="2"/>
  <c r="BW1479" i="2"/>
  <c r="BW1480" i="2"/>
  <c r="BW1481" i="2"/>
  <c r="BW1482" i="2"/>
  <c r="BW1483" i="2"/>
  <c r="BW1484" i="2"/>
  <c r="BW1485" i="2"/>
  <c r="BW1486" i="2"/>
  <c r="BW1487" i="2"/>
  <c r="BW1488" i="2"/>
  <c r="BW1489" i="2"/>
  <c r="BW1490" i="2"/>
  <c r="BW1491" i="2"/>
  <c r="BW1492" i="2"/>
  <c r="BW1493" i="2"/>
  <c r="BW1494" i="2"/>
  <c r="BW1495" i="2"/>
  <c r="BW1496" i="2"/>
  <c r="BW1497" i="2"/>
  <c r="BW1498" i="2"/>
  <c r="BW1499" i="2"/>
  <c r="BW1500" i="2"/>
  <c r="BW1501" i="2"/>
  <c r="BW1502" i="2"/>
  <c r="BW1503" i="2"/>
  <c r="BW1504" i="2"/>
  <c r="BW1505" i="2"/>
  <c r="BW1506" i="2"/>
  <c r="BW1507" i="2"/>
  <c r="BW1508" i="2"/>
  <c r="BW1509" i="2"/>
  <c r="BW1510" i="2"/>
  <c r="BW1511" i="2"/>
  <c r="BW1512" i="2"/>
  <c r="BW1513" i="2"/>
  <c r="BW1514" i="2"/>
  <c r="BW1515" i="2"/>
  <c r="BW1516" i="2"/>
  <c r="BW1517" i="2"/>
  <c r="BW1518" i="2"/>
  <c r="BW1519" i="2"/>
  <c r="BW1520" i="2"/>
  <c r="BW1521" i="2"/>
  <c r="BW1522" i="2"/>
  <c r="BW1523" i="2"/>
  <c r="BW1524" i="2"/>
  <c r="BW1525" i="2"/>
  <c r="BW1526" i="2"/>
  <c r="BW1527" i="2"/>
  <c r="BW1528" i="2"/>
  <c r="BW1529" i="2"/>
  <c r="BW1530" i="2"/>
  <c r="BW1531" i="2"/>
  <c r="BW1532" i="2"/>
  <c r="BW1533" i="2"/>
  <c r="BW1534" i="2"/>
  <c r="BW1535" i="2"/>
  <c r="BW1536" i="2"/>
  <c r="BW1537" i="2"/>
  <c r="BW1538" i="2"/>
  <c r="BW1539" i="2"/>
  <c r="BW1540" i="2"/>
  <c r="BW1541" i="2"/>
  <c r="BW1542" i="2"/>
  <c r="BW1543" i="2"/>
  <c r="BW1544" i="2"/>
  <c r="BW1545" i="2"/>
  <c r="BW1546" i="2"/>
  <c r="BW1547" i="2"/>
  <c r="BW1548" i="2"/>
  <c r="BW1549" i="2"/>
  <c r="BW1550" i="2"/>
  <c r="BW1551" i="2"/>
  <c r="BW1552" i="2"/>
  <c r="BW1553" i="2"/>
  <c r="BW1554" i="2"/>
  <c r="BW1555" i="2"/>
  <c r="BW1556" i="2"/>
  <c r="BW1557" i="2"/>
  <c r="BW1558" i="2"/>
  <c r="BW1559" i="2"/>
  <c r="BW1560" i="2"/>
  <c r="BW1561" i="2"/>
  <c r="BW1562" i="2"/>
  <c r="BW1563" i="2"/>
  <c r="BW1564" i="2"/>
  <c r="BW1565" i="2"/>
  <c r="BW1566" i="2"/>
  <c r="BW1567" i="2"/>
  <c r="BW1568" i="2"/>
  <c r="BW1569" i="2"/>
  <c r="BW1570" i="2"/>
  <c r="BW1571" i="2"/>
  <c r="BW1572" i="2"/>
  <c r="BW1573" i="2"/>
  <c r="BW1574" i="2"/>
  <c r="BW1575" i="2"/>
  <c r="BW1576" i="2"/>
  <c r="BW1577" i="2"/>
  <c r="BW1578" i="2"/>
  <c r="BW1579" i="2"/>
  <c r="BW1580" i="2"/>
  <c r="BW1581" i="2"/>
  <c r="BW1582" i="2"/>
  <c r="BW1583" i="2"/>
  <c r="BW1584" i="2"/>
  <c r="BW1585" i="2"/>
  <c r="BW1586" i="2"/>
  <c r="BW1587" i="2"/>
  <c r="BW1588" i="2"/>
  <c r="BW1589" i="2"/>
  <c r="BW1590" i="2"/>
  <c r="BW1591" i="2"/>
  <c r="BW1592" i="2"/>
  <c r="BW1593" i="2"/>
  <c r="BW1594" i="2"/>
  <c r="BW1595" i="2"/>
  <c r="BW1596" i="2"/>
  <c r="BW1597" i="2"/>
  <c r="BW1598" i="2"/>
  <c r="BW1599" i="2"/>
  <c r="BW1600" i="2"/>
  <c r="BW1601" i="2"/>
  <c r="BW1602" i="2"/>
  <c r="BW1603" i="2"/>
  <c r="BW1604" i="2"/>
  <c r="BW1605" i="2"/>
  <c r="BW1606" i="2"/>
  <c r="BW1607" i="2"/>
  <c r="BW1608" i="2"/>
  <c r="BW1609" i="2"/>
  <c r="BW1610" i="2"/>
  <c r="BW1611" i="2"/>
  <c r="BW1612" i="2"/>
  <c r="BW1613" i="2"/>
  <c r="BW1614" i="2"/>
  <c r="BW1615" i="2"/>
  <c r="BW1616" i="2"/>
  <c r="BW1617" i="2"/>
  <c r="BW1618" i="2"/>
  <c r="BW1619" i="2"/>
  <c r="BW1620" i="2"/>
  <c r="BW1621" i="2"/>
  <c r="BW1622" i="2"/>
  <c r="BW1623" i="2"/>
  <c r="BW1624" i="2"/>
  <c r="BW1625" i="2"/>
  <c r="BW1626" i="2"/>
  <c r="BW1627" i="2"/>
  <c r="BW1628" i="2"/>
  <c r="BW1629" i="2"/>
  <c r="BW1630" i="2"/>
  <c r="BW1631" i="2"/>
  <c r="BW1632" i="2"/>
  <c r="BW1633" i="2"/>
  <c r="BW1634" i="2"/>
  <c r="BW1635" i="2"/>
  <c r="BW1636" i="2"/>
  <c r="BW1637" i="2"/>
  <c r="BW1638" i="2"/>
  <c r="BW1639" i="2"/>
  <c r="BW1640" i="2"/>
  <c r="BW1641" i="2"/>
  <c r="BW1642" i="2"/>
  <c r="BW1643" i="2"/>
  <c r="BW1644" i="2"/>
  <c r="BW1645" i="2"/>
  <c r="BW1646" i="2"/>
  <c r="BW1647" i="2"/>
  <c r="BW1648" i="2"/>
  <c r="BW1649" i="2"/>
  <c r="BW1650" i="2"/>
  <c r="BW1651" i="2"/>
  <c r="BW1652" i="2"/>
  <c r="BW1653" i="2"/>
  <c r="BW1654" i="2"/>
  <c r="BW1655" i="2"/>
  <c r="BW1656" i="2"/>
  <c r="BW1657" i="2"/>
  <c r="BW1658" i="2"/>
  <c r="BW1659" i="2"/>
  <c r="BW1660" i="2"/>
  <c r="BW1661" i="2"/>
  <c r="BW1662" i="2"/>
  <c r="BW1663" i="2"/>
  <c r="BW1664" i="2"/>
  <c r="BW1665" i="2"/>
  <c r="BW1666" i="2"/>
  <c r="BW1667" i="2"/>
  <c r="BW1668" i="2"/>
  <c r="BW1669" i="2"/>
  <c r="BW1670" i="2"/>
  <c r="BW1671" i="2"/>
  <c r="BW1672" i="2"/>
  <c r="BW1673" i="2"/>
  <c r="BW1674" i="2"/>
  <c r="BW1675" i="2"/>
  <c r="BW1676" i="2"/>
  <c r="BW1677" i="2"/>
  <c r="BW1678" i="2"/>
  <c r="BW1679" i="2"/>
  <c r="BW1680" i="2"/>
  <c r="BW1681" i="2"/>
  <c r="BW1682" i="2"/>
  <c r="BW1683" i="2"/>
  <c r="BW1684" i="2"/>
  <c r="BW1685" i="2"/>
  <c r="BW1686" i="2"/>
  <c r="BW1687" i="2"/>
  <c r="BW1688" i="2"/>
  <c r="BW1689" i="2"/>
  <c r="BW1690" i="2"/>
  <c r="BW1691" i="2"/>
  <c r="BW1692" i="2"/>
  <c r="BW1693" i="2"/>
  <c r="BW1694" i="2"/>
  <c r="BW1695" i="2"/>
  <c r="BW1696" i="2"/>
  <c r="BW1697" i="2"/>
  <c r="BW1698" i="2"/>
  <c r="BW1699" i="2"/>
  <c r="BW1700" i="2"/>
  <c r="BW1701" i="2"/>
  <c r="BW1702" i="2"/>
  <c r="BW1703" i="2"/>
  <c r="BW1704" i="2"/>
  <c r="BW1705" i="2"/>
  <c r="BW1706" i="2"/>
  <c r="BW1707" i="2"/>
  <c r="BW1708" i="2"/>
  <c r="BW1709" i="2"/>
  <c r="BW1710" i="2"/>
  <c r="BW1711" i="2"/>
  <c r="BW1712" i="2"/>
  <c r="BW1713" i="2"/>
  <c r="BW1714" i="2"/>
  <c r="BW1715" i="2"/>
  <c r="BW1716" i="2"/>
  <c r="BW1717" i="2"/>
  <c r="BW1718" i="2"/>
  <c r="BW1719" i="2"/>
  <c r="BW1720" i="2"/>
  <c r="BW1721" i="2"/>
  <c r="BW1722" i="2"/>
  <c r="BW1723" i="2"/>
  <c r="BW1724" i="2"/>
  <c r="BW1725" i="2"/>
  <c r="BW1726" i="2"/>
  <c r="BW1727" i="2"/>
  <c r="BW1728" i="2"/>
  <c r="BW1729" i="2"/>
  <c r="BW1730" i="2"/>
  <c r="BW1731" i="2"/>
  <c r="BW1732" i="2"/>
  <c r="BW1733" i="2"/>
  <c r="BW1734" i="2"/>
  <c r="BW1735" i="2"/>
  <c r="BW1736" i="2"/>
  <c r="BW1737" i="2"/>
  <c r="BW1738" i="2"/>
  <c r="BW1739" i="2"/>
  <c r="BW1740" i="2"/>
  <c r="BW1741" i="2"/>
  <c r="BW1742" i="2"/>
  <c r="BW1743" i="2"/>
  <c r="BW1744" i="2"/>
  <c r="BW1745" i="2"/>
  <c r="BW1746" i="2"/>
  <c r="BW1747" i="2"/>
  <c r="BW1748" i="2"/>
  <c r="BW1749" i="2"/>
  <c r="BW1750" i="2"/>
  <c r="BW1751" i="2"/>
  <c r="BW1752" i="2"/>
  <c r="BW1753" i="2"/>
  <c r="BW1754" i="2"/>
  <c r="BW1755" i="2"/>
  <c r="BW1756" i="2"/>
  <c r="BW1757" i="2"/>
  <c r="BW1758" i="2"/>
  <c r="BW1759" i="2"/>
  <c r="BW1760" i="2"/>
  <c r="BW1761" i="2"/>
  <c r="BW1762" i="2"/>
  <c r="BW1763" i="2"/>
  <c r="BW1764" i="2"/>
  <c r="BW1765" i="2"/>
  <c r="BW1766" i="2"/>
  <c r="BW1767" i="2"/>
  <c r="BW1768" i="2"/>
  <c r="BW1769" i="2"/>
  <c r="BW1770" i="2"/>
  <c r="BW1771" i="2"/>
  <c r="BW1772" i="2"/>
  <c r="BW1773" i="2"/>
  <c r="BW1774" i="2"/>
  <c r="BW1775" i="2"/>
  <c r="BW1776" i="2"/>
  <c r="BW1777" i="2"/>
  <c r="BW1778" i="2"/>
  <c r="BW1779" i="2"/>
  <c r="BW1780" i="2"/>
  <c r="BW1781" i="2"/>
  <c r="BW1782" i="2"/>
  <c r="BW1783" i="2"/>
  <c r="BW1784" i="2"/>
  <c r="BW1785" i="2"/>
  <c r="BW1786" i="2"/>
  <c r="BW1787" i="2"/>
  <c r="BW1788" i="2"/>
  <c r="BW1789" i="2"/>
  <c r="BW1790" i="2"/>
  <c r="BW1791" i="2"/>
  <c r="BW1792" i="2"/>
  <c r="BW1793" i="2"/>
  <c r="BW1794" i="2"/>
  <c r="BW1795" i="2"/>
  <c r="BW1796" i="2"/>
  <c r="BW1797" i="2"/>
  <c r="BW1798" i="2"/>
  <c r="BW1799" i="2"/>
  <c r="BW1800" i="2"/>
  <c r="BW1801" i="2"/>
  <c r="BW1802" i="2"/>
  <c r="BW1803" i="2"/>
  <c r="BW1804" i="2"/>
  <c r="BW1805" i="2"/>
  <c r="BW1806" i="2"/>
  <c r="BW1807" i="2"/>
  <c r="BW1808" i="2"/>
  <c r="BW1809" i="2"/>
  <c r="BW1810" i="2"/>
  <c r="BW1811" i="2"/>
  <c r="BW1812" i="2"/>
  <c r="BW1813" i="2"/>
  <c r="BW1814" i="2"/>
  <c r="BW1815" i="2"/>
  <c r="BW1816" i="2"/>
  <c r="BW1817" i="2"/>
  <c r="BW1818" i="2"/>
  <c r="BW1819" i="2"/>
  <c r="BW1820" i="2"/>
  <c r="BW1821" i="2"/>
  <c r="BW1822" i="2"/>
  <c r="BW1823" i="2"/>
  <c r="BW1824" i="2"/>
  <c r="BW1825" i="2"/>
  <c r="BW1826" i="2"/>
  <c r="BW1827" i="2"/>
  <c r="BW1828" i="2"/>
  <c r="BW1829" i="2"/>
  <c r="BW1830" i="2"/>
  <c r="BW1831" i="2"/>
  <c r="BW1832" i="2"/>
  <c r="BW1833" i="2"/>
  <c r="BW1834" i="2"/>
  <c r="BW1835" i="2"/>
  <c r="BW1836" i="2"/>
  <c r="BW1837" i="2"/>
  <c r="BW1838" i="2"/>
  <c r="BW1839" i="2"/>
  <c r="BW1840" i="2"/>
  <c r="BW1841" i="2"/>
  <c r="BW1842" i="2"/>
  <c r="BW1843" i="2"/>
  <c r="BW1844" i="2"/>
  <c r="BW1845" i="2"/>
  <c r="BW1846" i="2"/>
  <c r="BW1847" i="2"/>
  <c r="BW1848" i="2"/>
  <c r="BW1849" i="2"/>
  <c r="BW1850" i="2"/>
  <c r="BW1851" i="2"/>
  <c r="BW1852" i="2"/>
  <c r="BW1853" i="2"/>
  <c r="BW1854" i="2"/>
  <c r="BW1855" i="2"/>
  <c r="BW1856" i="2"/>
  <c r="BW1857" i="2"/>
  <c r="BW1858" i="2"/>
  <c r="BW1859" i="2"/>
  <c r="BW1860" i="2"/>
  <c r="BW1861" i="2"/>
  <c r="BW1862" i="2"/>
  <c r="BW1863" i="2"/>
  <c r="BW1864" i="2"/>
  <c r="BW1865" i="2"/>
  <c r="BW1866" i="2"/>
  <c r="BW1867" i="2"/>
  <c r="BW1868" i="2"/>
  <c r="BW1869" i="2"/>
  <c r="BW1870" i="2"/>
  <c r="BW1871" i="2"/>
  <c r="BW1872" i="2"/>
  <c r="BW1873" i="2"/>
  <c r="BW1874" i="2"/>
  <c r="BW1875" i="2"/>
  <c r="BW1876" i="2"/>
  <c r="BW1877" i="2"/>
  <c r="BW1878" i="2"/>
  <c r="BW1879" i="2"/>
  <c r="BW1880" i="2"/>
  <c r="BW1881" i="2"/>
  <c r="BW1882" i="2"/>
  <c r="BW1883" i="2"/>
  <c r="BW1884" i="2"/>
  <c r="BW1885" i="2"/>
  <c r="BW1886" i="2"/>
  <c r="BW1887" i="2"/>
  <c r="BW1888" i="2"/>
  <c r="BW1889" i="2"/>
  <c r="BW1890" i="2"/>
  <c r="BW1891" i="2"/>
  <c r="BW1892" i="2"/>
  <c r="BW1893" i="2"/>
  <c r="BW1894" i="2"/>
  <c r="BW1895" i="2"/>
  <c r="BW1896" i="2"/>
  <c r="BW1897" i="2"/>
  <c r="BW1898" i="2"/>
  <c r="BW1899" i="2"/>
  <c r="BW1900" i="2"/>
  <c r="BW1901" i="2"/>
  <c r="BW1902" i="2"/>
  <c r="BW1903" i="2"/>
  <c r="BW1904" i="2"/>
  <c r="BW1905" i="2"/>
  <c r="BW1906" i="2"/>
  <c r="BW1907" i="2"/>
  <c r="BW1908" i="2"/>
  <c r="BW1909" i="2"/>
  <c r="BW1910" i="2"/>
  <c r="BW1911" i="2"/>
  <c r="BW1912" i="2"/>
  <c r="BW1913" i="2"/>
  <c r="BW1914" i="2"/>
  <c r="BW1915" i="2"/>
  <c r="BW1916" i="2"/>
  <c r="BW1917" i="2"/>
  <c r="BW1918" i="2"/>
  <c r="BW1919" i="2"/>
  <c r="BW1920" i="2"/>
  <c r="BW1921" i="2"/>
  <c r="BW1922" i="2"/>
  <c r="BW1923" i="2"/>
  <c r="BW1924" i="2"/>
  <c r="BW1925" i="2"/>
  <c r="BW1926" i="2"/>
  <c r="BW1927" i="2"/>
  <c r="BW1928" i="2"/>
  <c r="BW1929" i="2"/>
  <c r="BW1930" i="2"/>
  <c r="BW1931" i="2"/>
  <c r="BW1932" i="2"/>
  <c r="BW1933" i="2"/>
  <c r="BW1934" i="2"/>
  <c r="BW1935" i="2"/>
  <c r="BW1936" i="2"/>
  <c r="BW1937" i="2"/>
  <c r="BW1938" i="2"/>
  <c r="BW1939" i="2"/>
  <c r="BW1940" i="2"/>
  <c r="BW1941" i="2"/>
  <c r="BW1942" i="2"/>
  <c r="BW1943" i="2"/>
  <c r="BW1944" i="2"/>
  <c r="BW1945" i="2"/>
  <c r="BW1946" i="2"/>
  <c r="BW1947" i="2"/>
  <c r="BW1948" i="2"/>
  <c r="BW1949" i="2"/>
  <c r="BW1950" i="2"/>
  <c r="BW1951" i="2"/>
  <c r="BW1952" i="2"/>
  <c r="BW1953" i="2"/>
  <c r="BW1954" i="2"/>
  <c r="BW1955" i="2"/>
  <c r="BW1956" i="2"/>
  <c r="BW1957" i="2"/>
  <c r="BW1958" i="2"/>
  <c r="BW1959" i="2"/>
  <c r="BW1960" i="2"/>
  <c r="BW1961" i="2"/>
  <c r="BW1962" i="2"/>
  <c r="BW1963" i="2"/>
  <c r="BW1964" i="2"/>
  <c r="BW1965" i="2"/>
  <c r="BW1966" i="2"/>
  <c r="BW1967" i="2"/>
  <c r="BW1968" i="2"/>
  <c r="BW1969" i="2"/>
  <c r="BW1970" i="2"/>
  <c r="BW1971" i="2"/>
  <c r="BW1972" i="2"/>
  <c r="BW1973" i="2"/>
  <c r="BW1974" i="2"/>
  <c r="BW1975" i="2"/>
  <c r="BW1976" i="2"/>
  <c r="BW1977" i="2"/>
  <c r="BW1978" i="2"/>
  <c r="BW1979" i="2"/>
  <c r="BW1980" i="2"/>
  <c r="BW1981" i="2"/>
  <c r="BW1982" i="2"/>
  <c r="BW1983" i="2"/>
  <c r="BW1984" i="2"/>
  <c r="BW1985" i="2"/>
  <c r="BW1986" i="2"/>
  <c r="BW1987" i="2"/>
  <c r="BW1988" i="2"/>
  <c r="BW1989" i="2"/>
  <c r="BW1990" i="2"/>
  <c r="BW1991" i="2"/>
  <c r="BW1992" i="2"/>
  <c r="BW1993" i="2"/>
  <c r="BW1994" i="2"/>
  <c r="BW1995" i="2"/>
  <c r="BW1996" i="2"/>
  <c r="BW1997" i="2"/>
  <c r="BW1998" i="2"/>
  <c r="BW1999" i="2"/>
  <c r="BW2000" i="2"/>
  <c r="BW2001" i="2"/>
  <c r="BW2002" i="2"/>
  <c r="BW2003" i="2"/>
  <c r="BW2004" i="2"/>
  <c r="BW2005" i="2"/>
  <c r="BW2006" i="2"/>
  <c r="BW2007" i="2"/>
  <c r="BW2008" i="2"/>
  <c r="BW2009" i="2"/>
  <c r="BW2010" i="2"/>
  <c r="BW2011" i="2"/>
  <c r="BW2012" i="2"/>
  <c r="BW2013" i="2"/>
  <c r="BW2014" i="2"/>
  <c r="BW2015" i="2"/>
  <c r="BW2016" i="2"/>
  <c r="BW2017" i="2"/>
  <c r="BW2018" i="2"/>
  <c r="BW2019" i="2"/>
  <c r="BW2020" i="2"/>
  <c r="BW2021" i="2"/>
  <c r="BW2022" i="2"/>
  <c r="BW2023" i="2"/>
  <c r="BW2024" i="2"/>
  <c r="BW2025" i="2"/>
  <c r="BW2026" i="2"/>
  <c r="BW2027" i="2"/>
  <c r="BW2028" i="2"/>
  <c r="BW2029" i="2"/>
  <c r="BW2030" i="2"/>
  <c r="BW2031" i="2"/>
  <c r="BW2032" i="2"/>
  <c r="BW2033" i="2"/>
  <c r="BW2034" i="2"/>
  <c r="BW2035" i="2"/>
  <c r="BW2036" i="2"/>
  <c r="BW2037" i="2"/>
  <c r="BW2038" i="2"/>
  <c r="BW2039" i="2"/>
  <c r="BW2040" i="2"/>
  <c r="BW2041" i="2"/>
  <c r="BW2042" i="2"/>
  <c r="BW2043" i="2"/>
  <c r="BW2044" i="2"/>
  <c r="BW2045" i="2"/>
  <c r="BW2046" i="2"/>
  <c r="BW2047" i="2"/>
  <c r="BW2048" i="2"/>
  <c r="BW2049" i="2"/>
  <c r="BW2050" i="2"/>
  <c r="BW2051" i="2"/>
  <c r="BW2052" i="2"/>
  <c r="BW2053" i="2"/>
  <c r="BW2054" i="2"/>
  <c r="BW2055" i="2"/>
  <c r="BW2056" i="2"/>
  <c r="BW2057" i="2"/>
  <c r="BW2058" i="2"/>
  <c r="BW2059" i="2"/>
  <c r="BW2060" i="2"/>
  <c r="BW2061" i="2"/>
  <c r="BW2062" i="2"/>
  <c r="BW2063" i="2"/>
  <c r="BW2064" i="2"/>
  <c r="BW2065" i="2"/>
  <c r="BW2066" i="2"/>
  <c r="BW2067" i="2"/>
  <c r="BW2068" i="2"/>
  <c r="BW2069" i="2"/>
  <c r="BW2070" i="2"/>
  <c r="BW2071" i="2"/>
  <c r="BW2072" i="2"/>
  <c r="BW2073" i="2"/>
  <c r="BW2074" i="2"/>
  <c r="BW2075" i="2"/>
  <c r="BW2076" i="2"/>
  <c r="BW2077" i="2"/>
  <c r="BW2078" i="2"/>
  <c r="BW2079" i="2"/>
  <c r="BW2080" i="2"/>
  <c r="BW2081" i="2"/>
  <c r="BW2082" i="2"/>
  <c r="BW2083" i="2"/>
  <c r="BW2084" i="2"/>
  <c r="BW2085" i="2"/>
  <c r="BW2086" i="2"/>
  <c r="BW2087" i="2"/>
  <c r="BW2088" i="2"/>
  <c r="BW2089" i="2"/>
  <c r="BW2090" i="2"/>
  <c r="BW2091" i="2"/>
  <c r="BW2092" i="2"/>
  <c r="BW2093" i="2"/>
  <c r="BW2094" i="2"/>
  <c r="BW2095" i="2"/>
  <c r="BW2096" i="2"/>
  <c r="BW2097" i="2"/>
  <c r="BW2098" i="2"/>
  <c r="BW2099" i="2"/>
  <c r="BW2100" i="2"/>
  <c r="BW2101" i="2"/>
  <c r="BW2102" i="2"/>
  <c r="BW2103" i="2"/>
  <c r="BW2104" i="2"/>
  <c r="BW2105" i="2"/>
  <c r="BW2106" i="2"/>
  <c r="BW2107" i="2"/>
  <c r="BW2108" i="2"/>
  <c r="BW2109" i="2"/>
  <c r="BW2110" i="2"/>
  <c r="BW2111" i="2"/>
  <c r="BW2112" i="2"/>
  <c r="BW2113" i="2"/>
  <c r="BW2114" i="2"/>
  <c r="BW2115" i="2"/>
  <c r="BW2116" i="2"/>
  <c r="BW2117" i="2"/>
  <c r="BW2118" i="2"/>
  <c r="BW2119" i="2"/>
  <c r="BW2120" i="2"/>
  <c r="BW2121" i="2"/>
  <c r="BW2122" i="2"/>
  <c r="BW2123" i="2"/>
  <c r="BW2124" i="2"/>
  <c r="BW2125" i="2"/>
  <c r="BW2126" i="2"/>
  <c r="BW2127" i="2"/>
  <c r="BW2128" i="2"/>
  <c r="BW2129" i="2"/>
  <c r="BW2130" i="2"/>
  <c r="BW2131" i="2"/>
  <c r="BW2132" i="2"/>
  <c r="BW2" i="2"/>
  <c r="BV3" i="2"/>
  <c r="BV4" i="2"/>
  <c r="BV5" i="2"/>
  <c r="BV6" i="2"/>
  <c r="BV7" i="2"/>
  <c r="BV8" i="2"/>
  <c r="BV9" i="2"/>
  <c r="BV10" i="2"/>
  <c r="BV11" i="2"/>
  <c r="BV12" i="2"/>
  <c r="BV13" i="2"/>
  <c r="BV14" i="2"/>
  <c r="BV15" i="2"/>
  <c r="BV16" i="2"/>
  <c r="BV17" i="2"/>
  <c r="BV18" i="2"/>
  <c r="BV19" i="2"/>
  <c r="BV20" i="2"/>
  <c r="BV21" i="2"/>
  <c r="BV22" i="2"/>
  <c r="BV23" i="2"/>
  <c r="BV24" i="2"/>
  <c r="BV25" i="2"/>
  <c r="BV26" i="2"/>
  <c r="BV27" i="2"/>
  <c r="BV28" i="2"/>
  <c r="BV29" i="2"/>
  <c r="BV30" i="2"/>
  <c r="BV31" i="2"/>
  <c r="BV32" i="2"/>
  <c r="BV33" i="2"/>
  <c r="BV34" i="2"/>
  <c r="BV35" i="2"/>
  <c r="BV36" i="2"/>
  <c r="BV37" i="2"/>
  <c r="BV38" i="2"/>
  <c r="BV39" i="2"/>
  <c r="BV40" i="2"/>
  <c r="BV41" i="2"/>
  <c r="BV42" i="2"/>
  <c r="BV43" i="2"/>
  <c r="BV44" i="2"/>
  <c r="BV45" i="2"/>
  <c r="BV46" i="2"/>
  <c r="BV47" i="2"/>
  <c r="BV48" i="2"/>
  <c r="BV49" i="2"/>
  <c r="BV50" i="2"/>
  <c r="BV51" i="2"/>
  <c r="BV52" i="2"/>
  <c r="BV53" i="2"/>
  <c r="BV54" i="2"/>
  <c r="BV55" i="2"/>
  <c r="BV56" i="2"/>
  <c r="BV57" i="2"/>
  <c r="BV58" i="2"/>
  <c r="BV59" i="2"/>
  <c r="BV60" i="2"/>
  <c r="BV61" i="2"/>
  <c r="BV62" i="2"/>
  <c r="BV63" i="2"/>
  <c r="BV64" i="2"/>
  <c r="BV65" i="2"/>
  <c r="BV66" i="2"/>
  <c r="BV67" i="2"/>
  <c r="BV68" i="2"/>
  <c r="BV69" i="2"/>
  <c r="BV70" i="2"/>
  <c r="BV71" i="2"/>
  <c r="BV72" i="2"/>
  <c r="BV73" i="2"/>
  <c r="BV74" i="2"/>
  <c r="BV75" i="2"/>
  <c r="BV76" i="2"/>
  <c r="BV77" i="2"/>
  <c r="BV78" i="2"/>
  <c r="BV79" i="2"/>
  <c r="BV80" i="2"/>
  <c r="BV81" i="2"/>
  <c r="BV82" i="2"/>
  <c r="BV83" i="2"/>
  <c r="BV84" i="2"/>
  <c r="BV85" i="2"/>
  <c r="BV86" i="2"/>
  <c r="BV87" i="2"/>
  <c r="BV88" i="2"/>
  <c r="BV89" i="2"/>
  <c r="BV90" i="2"/>
  <c r="BV91" i="2"/>
  <c r="BV92" i="2"/>
  <c r="BV93" i="2"/>
  <c r="BV94" i="2"/>
  <c r="BV95" i="2"/>
  <c r="BV96" i="2"/>
  <c r="BV97" i="2"/>
  <c r="BV98" i="2"/>
  <c r="BV99" i="2"/>
  <c r="BV100" i="2"/>
  <c r="BV101" i="2"/>
  <c r="BV102" i="2"/>
  <c r="BV103" i="2"/>
  <c r="BV104" i="2"/>
  <c r="BV105" i="2"/>
  <c r="BV106" i="2"/>
  <c r="BV107" i="2"/>
  <c r="BV108" i="2"/>
  <c r="BV109" i="2"/>
  <c r="BV110" i="2"/>
  <c r="BV111" i="2"/>
  <c r="BV112" i="2"/>
  <c r="BV113" i="2"/>
  <c r="BV114" i="2"/>
  <c r="BV115" i="2"/>
  <c r="BV116" i="2"/>
  <c r="BV117" i="2"/>
  <c r="BV118" i="2"/>
  <c r="BV119" i="2"/>
  <c r="BV120" i="2"/>
  <c r="BV121" i="2"/>
  <c r="BV122" i="2"/>
  <c r="BV123" i="2"/>
  <c r="BV124" i="2"/>
  <c r="BV125" i="2"/>
  <c r="BV126" i="2"/>
  <c r="BV127" i="2"/>
  <c r="BV128" i="2"/>
  <c r="BV129" i="2"/>
  <c r="BV130" i="2"/>
  <c r="BV131" i="2"/>
  <c r="BV132" i="2"/>
  <c r="BV133" i="2"/>
  <c r="BV134" i="2"/>
  <c r="BV135" i="2"/>
  <c r="BV136" i="2"/>
  <c r="BV137" i="2"/>
  <c r="BV138" i="2"/>
  <c r="BV139" i="2"/>
  <c r="BV140" i="2"/>
  <c r="BV141" i="2"/>
  <c r="BV142" i="2"/>
  <c r="BV143" i="2"/>
  <c r="BV144" i="2"/>
  <c r="BV145" i="2"/>
  <c r="BV146" i="2"/>
  <c r="BV147" i="2"/>
  <c r="BV148" i="2"/>
  <c r="BV149" i="2"/>
  <c r="BV150" i="2"/>
  <c r="BV151" i="2"/>
  <c r="BV152" i="2"/>
  <c r="BV153" i="2"/>
  <c r="BV154" i="2"/>
  <c r="BV155" i="2"/>
  <c r="BV156" i="2"/>
  <c r="BV157" i="2"/>
  <c r="BV158" i="2"/>
  <c r="BV159" i="2"/>
  <c r="BV160" i="2"/>
  <c r="BV161" i="2"/>
  <c r="BV162" i="2"/>
  <c r="BV163" i="2"/>
  <c r="BV164" i="2"/>
  <c r="BV165" i="2"/>
  <c r="BV166" i="2"/>
  <c r="BV167" i="2"/>
  <c r="BV168" i="2"/>
  <c r="BV169" i="2"/>
  <c r="BV170" i="2"/>
  <c r="BV171" i="2"/>
  <c r="BV172" i="2"/>
  <c r="BV173" i="2"/>
  <c r="BV174" i="2"/>
  <c r="BV175" i="2"/>
  <c r="BV176" i="2"/>
  <c r="BV177" i="2"/>
  <c r="BV178" i="2"/>
  <c r="BV179" i="2"/>
  <c r="BV180" i="2"/>
  <c r="BV181" i="2"/>
  <c r="BV182" i="2"/>
  <c r="BV183" i="2"/>
  <c r="BV184" i="2"/>
  <c r="BV185" i="2"/>
  <c r="BV186" i="2"/>
  <c r="BV187" i="2"/>
  <c r="BV188" i="2"/>
  <c r="BV189" i="2"/>
  <c r="BV190" i="2"/>
  <c r="BV191" i="2"/>
  <c r="BV192" i="2"/>
  <c r="BV193" i="2"/>
  <c r="BV194" i="2"/>
  <c r="BV195" i="2"/>
  <c r="BV196" i="2"/>
  <c r="BV197" i="2"/>
  <c r="BV198" i="2"/>
  <c r="BV199" i="2"/>
  <c r="BV200" i="2"/>
  <c r="BV201" i="2"/>
  <c r="BV202" i="2"/>
  <c r="BV203" i="2"/>
  <c r="BV204" i="2"/>
  <c r="BV205" i="2"/>
  <c r="BV206" i="2"/>
  <c r="BV207" i="2"/>
  <c r="BV208" i="2"/>
  <c r="BV209" i="2"/>
  <c r="BV210" i="2"/>
  <c r="BV211" i="2"/>
  <c r="BV212" i="2"/>
  <c r="BV213" i="2"/>
  <c r="BV214" i="2"/>
  <c r="BV215" i="2"/>
  <c r="BV216" i="2"/>
  <c r="BV217" i="2"/>
  <c r="BV218" i="2"/>
  <c r="BV219" i="2"/>
  <c r="BV220" i="2"/>
  <c r="BV221" i="2"/>
  <c r="BV222" i="2"/>
  <c r="BV223" i="2"/>
  <c r="BV224" i="2"/>
  <c r="BV225" i="2"/>
  <c r="BV226" i="2"/>
  <c r="BV227" i="2"/>
  <c r="BV228" i="2"/>
  <c r="BV229" i="2"/>
  <c r="BV230" i="2"/>
  <c r="BV231" i="2"/>
  <c r="BV232" i="2"/>
  <c r="BV233" i="2"/>
  <c r="BV234" i="2"/>
  <c r="BV235" i="2"/>
  <c r="BV236" i="2"/>
  <c r="BV237" i="2"/>
  <c r="BV238" i="2"/>
  <c r="BV239" i="2"/>
  <c r="BV240" i="2"/>
  <c r="BV241" i="2"/>
  <c r="BV242" i="2"/>
  <c r="BV243" i="2"/>
  <c r="BV244" i="2"/>
  <c r="BV245" i="2"/>
  <c r="BV246" i="2"/>
  <c r="BV247" i="2"/>
  <c r="BV248" i="2"/>
  <c r="BV249" i="2"/>
  <c r="BV250" i="2"/>
  <c r="BV251" i="2"/>
  <c r="BV252" i="2"/>
  <c r="BV253" i="2"/>
  <c r="BV254" i="2"/>
  <c r="BV255" i="2"/>
  <c r="BV256" i="2"/>
  <c r="BV257" i="2"/>
  <c r="BV258" i="2"/>
  <c r="BV259" i="2"/>
  <c r="BV260" i="2"/>
  <c r="BV261" i="2"/>
  <c r="BV262" i="2"/>
  <c r="BV263" i="2"/>
  <c r="BV264" i="2"/>
  <c r="BV265" i="2"/>
  <c r="BV266" i="2"/>
  <c r="BV267" i="2"/>
  <c r="BV268" i="2"/>
  <c r="BV269" i="2"/>
  <c r="BV270" i="2"/>
  <c r="BV271" i="2"/>
  <c r="BV272" i="2"/>
  <c r="BV273" i="2"/>
  <c r="BV274" i="2"/>
  <c r="BV275" i="2"/>
  <c r="BV276" i="2"/>
  <c r="BV277" i="2"/>
  <c r="BV278" i="2"/>
  <c r="BV279" i="2"/>
  <c r="BV280" i="2"/>
  <c r="BV281" i="2"/>
  <c r="BV282" i="2"/>
  <c r="BV283" i="2"/>
  <c r="BV284" i="2"/>
  <c r="BV285" i="2"/>
  <c r="BV286" i="2"/>
  <c r="BV287" i="2"/>
  <c r="BV288" i="2"/>
  <c r="BV289" i="2"/>
  <c r="BV290" i="2"/>
  <c r="BV291" i="2"/>
  <c r="BV292" i="2"/>
  <c r="BV293" i="2"/>
  <c r="BV294" i="2"/>
  <c r="BV295" i="2"/>
  <c r="BV296" i="2"/>
  <c r="BV297" i="2"/>
  <c r="BV298" i="2"/>
  <c r="BV299" i="2"/>
  <c r="BV300" i="2"/>
  <c r="BV301" i="2"/>
  <c r="BV302" i="2"/>
  <c r="BV303" i="2"/>
  <c r="BV304" i="2"/>
  <c r="BV305" i="2"/>
  <c r="BV306" i="2"/>
  <c r="BV307" i="2"/>
  <c r="BV308" i="2"/>
  <c r="BV309" i="2"/>
  <c r="BV310" i="2"/>
  <c r="BV311" i="2"/>
  <c r="BV312" i="2"/>
  <c r="BV313" i="2"/>
  <c r="BV314" i="2"/>
  <c r="BV315" i="2"/>
  <c r="BV316" i="2"/>
  <c r="BV317" i="2"/>
  <c r="BV318" i="2"/>
  <c r="BV319" i="2"/>
  <c r="BV320" i="2"/>
  <c r="BV321" i="2"/>
  <c r="BV322" i="2"/>
  <c r="BV323" i="2"/>
  <c r="BV324" i="2"/>
  <c r="BV325" i="2"/>
  <c r="BV326" i="2"/>
  <c r="BV327" i="2"/>
  <c r="BV328" i="2"/>
  <c r="BV329" i="2"/>
  <c r="BV330" i="2"/>
  <c r="BV331" i="2"/>
  <c r="BV332" i="2"/>
  <c r="BV333" i="2"/>
  <c r="BV334" i="2"/>
  <c r="BV335" i="2"/>
  <c r="BV336" i="2"/>
  <c r="BV337" i="2"/>
  <c r="BV338" i="2"/>
  <c r="BV339" i="2"/>
  <c r="BV340" i="2"/>
  <c r="BV341" i="2"/>
  <c r="BV342" i="2"/>
  <c r="BV343" i="2"/>
  <c r="BV344" i="2"/>
  <c r="BV345" i="2"/>
  <c r="BV346" i="2"/>
  <c r="BV347" i="2"/>
  <c r="BV348" i="2"/>
  <c r="BV349" i="2"/>
  <c r="BV350" i="2"/>
  <c r="BV351" i="2"/>
  <c r="BV352" i="2"/>
  <c r="BV353" i="2"/>
  <c r="BV354" i="2"/>
  <c r="BV355" i="2"/>
  <c r="BV356" i="2"/>
  <c r="BV357" i="2"/>
  <c r="BV358" i="2"/>
  <c r="BV359" i="2"/>
  <c r="BV360" i="2"/>
  <c r="BV361" i="2"/>
  <c r="BV362" i="2"/>
  <c r="BV363" i="2"/>
  <c r="BV364" i="2"/>
  <c r="BV365" i="2"/>
  <c r="BV366" i="2"/>
  <c r="BV367" i="2"/>
  <c r="BV368" i="2"/>
  <c r="BV369" i="2"/>
  <c r="BV370" i="2"/>
  <c r="BV371" i="2"/>
  <c r="BV372" i="2"/>
  <c r="BV373" i="2"/>
  <c r="BV374" i="2"/>
  <c r="BV375" i="2"/>
  <c r="BV376" i="2"/>
  <c r="BV377" i="2"/>
  <c r="BV378" i="2"/>
  <c r="BV379" i="2"/>
  <c r="BV380" i="2"/>
  <c r="BV381" i="2"/>
  <c r="BV382" i="2"/>
  <c r="BV383" i="2"/>
  <c r="BV384" i="2"/>
  <c r="BV385" i="2"/>
  <c r="BV386" i="2"/>
  <c r="BV387" i="2"/>
  <c r="BV388" i="2"/>
  <c r="BV389" i="2"/>
  <c r="BV390" i="2"/>
  <c r="BV391" i="2"/>
  <c r="BV392" i="2"/>
  <c r="BV393" i="2"/>
  <c r="BV394" i="2"/>
  <c r="BV395" i="2"/>
  <c r="BV396" i="2"/>
  <c r="BV397" i="2"/>
  <c r="BV398" i="2"/>
  <c r="BV399" i="2"/>
  <c r="BV400" i="2"/>
  <c r="BV401" i="2"/>
  <c r="BV402" i="2"/>
  <c r="BV403" i="2"/>
  <c r="BV404" i="2"/>
  <c r="BV405" i="2"/>
  <c r="BV406" i="2"/>
  <c r="BV407" i="2"/>
  <c r="BV408" i="2"/>
  <c r="BV409" i="2"/>
  <c r="BV410" i="2"/>
  <c r="BV411" i="2"/>
  <c r="BV412" i="2"/>
  <c r="BV413" i="2"/>
  <c r="BV414" i="2"/>
  <c r="BV415" i="2"/>
  <c r="BV416" i="2"/>
  <c r="BV417" i="2"/>
  <c r="BV418" i="2"/>
  <c r="BV419" i="2"/>
  <c r="BV420" i="2"/>
  <c r="BV421" i="2"/>
  <c r="BV422" i="2"/>
  <c r="BV423" i="2"/>
  <c r="BV424" i="2"/>
  <c r="BV425" i="2"/>
  <c r="BV426" i="2"/>
  <c r="BV427" i="2"/>
  <c r="BV428" i="2"/>
  <c r="BV429" i="2"/>
  <c r="BV430" i="2"/>
  <c r="BV431" i="2"/>
  <c r="BV432" i="2"/>
  <c r="BV433" i="2"/>
  <c r="BV434" i="2"/>
  <c r="BV435" i="2"/>
  <c r="BV436" i="2"/>
  <c r="BV437" i="2"/>
  <c r="BV438" i="2"/>
  <c r="BV439" i="2"/>
  <c r="BV440" i="2"/>
  <c r="BV441" i="2"/>
  <c r="BV442" i="2"/>
  <c r="BV443" i="2"/>
  <c r="BV444" i="2"/>
  <c r="BV445" i="2"/>
  <c r="BV446" i="2"/>
  <c r="BV447" i="2"/>
  <c r="BV448" i="2"/>
  <c r="BV449" i="2"/>
  <c r="BV450" i="2"/>
  <c r="BV451" i="2"/>
  <c r="BV452" i="2"/>
  <c r="BV453" i="2"/>
  <c r="BV454" i="2"/>
  <c r="BV455" i="2"/>
  <c r="BV456" i="2"/>
  <c r="BV457" i="2"/>
  <c r="BV458" i="2"/>
  <c r="BV459" i="2"/>
  <c r="BV460" i="2"/>
  <c r="BV461" i="2"/>
  <c r="BV462" i="2"/>
  <c r="BV463" i="2"/>
  <c r="BV464" i="2"/>
  <c r="BV465" i="2"/>
  <c r="BV466" i="2"/>
  <c r="BV467" i="2"/>
  <c r="BV468" i="2"/>
  <c r="BV469" i="2"/>
  <c r="BV470" i="2"/>
  <c r="BV471" i="2"/>
  <c r="BV472" i="2"/>
  <c r="BV473" i="2"/>
  <c r="BV474" i="2"/>
  <c r="BV475" i="2"/>
  <c r="BV476" i="2"/>
  <c r="BV477" i="2"/>
  <c r="BV478" i="2"/>
  <c r="BV479" i="2"/>
  <c r="BV480" i="2"/>
  <c r="BV481" i="2"/>
  <c r="BV482" i="2"/>
  <c r="BV483" i="2"/>
  <c r="BV484" i="2"/>
  <c r="BV485" i="2"/>
  <c r="BV486" i="2"/>
  <c r="BV487" i="2"/>
  <c r="BV488" i="2"/>
  <c r="BV489" i="2"/>
  <c r="BV490" i="2"/>
  <c r="BV491" i="2"/>
  <c r="BV492" i="2"/>
  <c r="BV493" i="2"/>
  <c r="BV494" i="2"/>
  <c r="BV495" i="2"/>
  <c r="BV496" i="2"/>
  <c r="BV497" i="2"/>
  <c r="BV498" i="2"/>
  <c r="BV499" i="2"/>
  <c r="BV500" i="2"/>
  <c r="BV501" i="2"/>
  <c r="BV502" i="2"/>
  <c r="BV503" i="2"/>
  <c r="BV504" i="2"/>
  <c r="BV505" i="2"/>
  <c r="BV506" i="2"/>
  <c r="BV507" i="2"/>
  <c r="BV508" i="2"/>
  <c r="BV509" i="2"/>
  <c r="BV510" i="2"/>
  <c r="BV511" i="2"/>
  <c r="BV512" i="2"/>
  <c r="BV513" i="2"/>
  <c r="BV514" i="2"/>
  <c r="BV515" i="2"/>
  <c r="BV516" i="2"/>
  <c r="BV517" i="2"/>
  <c r="BV518" i="2"/>
  <c r="BV519" i="2"/>
  <c r="BV520" i="2"/>
  <c r="BV521" i="2"/>
  <c r="BV522" i="2"/>
  <c r="BV523" i="2"/>
  <c r="BV524" i="2"/>
  <c r="BV525" i="2"/>
  <c r="BV526" i="2"/>
  <c r="BV527" i="2"/>
  <c r="BV528" i="2"/>
  <c r="BV529" i="2"/>
  <c r="BV530" i="2"/>
  <c r="BV531" i="2"/>
  <c r="BV532" i="2"/>
  <c r="BV533" i="2"/>
  <c r="BV534" i="2"/>
  <c r="BV535" i="2"/>
  <c r="BV536" i="2"/>
  <c r="BV537" i="2"/>
  <c r="BV538" i="2"/>
  <c r="BV539" i="2"/>
  <c r="BV540" i="2"/>
  <c r="BV541" i="2"/>
  <c r="BV542" i="2"/>
  <c r="BV543" i="2"/>
  <c r="BV544" i="2"/>
  <c r="BV545" i="2"/>
  <c r="BV546" i="2"/>
  <c r="BV547" i="2"/>
  <c r="BV548" i="2"/>
  <c r="BV549" i="2"/>
  <c r="BV550" i="2"/>
  <c r="BV551" i="2"/>
  <c r="BV552" i="2"/>
  <c r="BV553" i="2"/>
  <c r="BV554" i="2"/>
  <c r="BV555" i="2"/>
  <c r="BV556" i="2"/>
  <c r="BV557" i="2"/>
  <c r="BV558" i="2"/>
  <c r="BV559" i="2"/>
  <c r="BV560" i="2"/>
  <c r="BV561" i="2"/>
  <c r="BV562" i="2"/>
  <c r="BV563" i="2"/>
  <c r="BV564" i="2"/>
  <c r="BV565" i="2"/>
  <c r="BV566" i="2"/>
  <c r="BV567" i="2"/>
  <c r="BV568" i="2"/>
  <c r="BV569" i="2"/>
  <c r="BV570" i="2"/>
  <c r="BV571" i="2"/>
  <c r="BV572" i="2"/>
  <c r="BV573" i="2"/>
  <c r="BV574" i="2"/>
  <c r="BV575" i="2"/>
  <c r="BV576" i="2"/>
  <c r="BV577" i="2"/>
  <c r="BV578" i="2"/>
  <c r="BV579" i="2"/>
  <c r="BV580" i="2"/>
  <c r="BV581" i="2"/>
  <c r="BV582" i="2"/>
  <c r="BV583" i="2"/>
  <c r="BV584" i="2"/>
  <c r="BV585" i="2"/>
  <c r="BV586" i="2"/>
  <c r="BV587" i="2"/>
  <c r="BV588" i="2"/>
  <c r="BV589" i="2"/>
  <c r="BV590" i="2"/>
  <c r="BV591" i="2"/>
  <c r="BV592" i="2"/>
  <c r="BV593" i="2"/>
  <c r="BV594" i="2"/>
  <c r="BV595" i="2"/>
  <c r="BV596" i="2"/>
  <c r="BV597" i="2"/>
  <c r="BV598" i="2"/>
  <c r="BV599" i="2"/>
  <c r="BV600" i="2"/>
  <c r="BV601" i="2"/>
  <c r="BV602" i="2"/>
  <c r="BV603" i="2"/>
  <c r="BV604" i="2"/>
  <c r="BV605" i="2"/>
  <c r="BV606" i="2"/>
  <c r="BV607" i="2"/>
  <c r="BV608" i="2"/>
  <c r="BV609" i="2"/>
  <c r="BV610" i="2"/>
  <c r="BV611" i="2"/>
  <c r="BV612" i="2"/>
  <c r="BV613" i="2"/>
  <c r="BV614" i="2"/>
  <c r="BV615" i="2"/>
  <c r="BV616" i="2"/>
  <c r="BV617" i="2"/>
  <c r="BV618" i="2"/>
  <c r="BV619" i="2"/>
  <c r="BV620" i="2"/>
  <c r="BV621" i="2"/>
  <c r="BV622" i="2"/>
  <c r="BV623" i="2"/>
  <c r="BV624" i="2"/>
  <c r="BV625" i="2"/>
  <c r="BV626" i="2"/>
  <c r="BV627" i="2"/>
  <c r="BV628" i="2"/>
  <c r="BV629" i="2"/>
  <c r="BV630" i="2"/>
  <c r="BV631" i="2"/>
  <c r="BV632" i="2"/>
  <c r="BV633" i="2"/>
  <c r="BV634" i="2"/>
  <c r="BV635" i="2"/>
  <c r="BV636" i="2"/>
  <c r="BV637" i="2"/>
  <c r="BV638" i="2"/>
  <c r="BV639" i="2"/>
  <c r="BV640" i="2"/>
  <c r="BV641" i="2"/>
  <c r="BV642" i="2"/>
  <c r="BV643" i="2"/>
  <c r="BV644" i="2"/>
  <c r="BV645" i="2"/>
  <c r="BV646" i="2"/>
  <c r="BV647" i="2"/>
  <c r="BV648" i="2"/>
  <c r="BV649" i="2"/>
  <c r="BV650" i="2"/>
  <c r="BV651" i="2"/>
  <c r="BV652" i="2"/>
  <c r="BV653" i="2"/>
  <c r="BV654" i="2"/>
  <c r="BV655" i="2"/>
  <c r="BV656" i="2"/>
  <c r="BV657" i="2"/>
  <c r="BV658" i="2"/>
  <c r="BV659" i="2"/>
  <c r="BV660" i="2"/>
  <c r="BV661" i="2"/>
  <c r="BV662" i="2"/>
  <c r="BV663" i="2"/>
  <c r="BV664" i="2"/>
  <c r="BV665" i="2"/>
  <c r="BV666" i="2"/>
  <c r="BV667" i="2"/>
  <c r="BV668" i="2"/>
  <c r="BV669" i="2"/>
  <c r="BV670" i="2"/>
  <c r="BV671" i="2"/>
  <c r="BV672" i="2"/>
  <c r="BV673" i="2"/>
  <c r="BV674" i="2"/>
  <c r="BV675" i="2"/>
  <c r="BV676" i="2"/>
  <c r="BV677" i="2"/>
  <c r="BV678" i="2"/>
  <c r="BV679" i="2"/>
  <c r="BV680" i="2"/>
  <c r="BV681" i="2"/>
  <c r="BV682" i="2"/>
  <c r="BV683" i="2"/>
  <c r="BV684" i="2"/>
  <c r="BV685" i="2"/>
  <c r="BV686" i="2"/>
  <c r="BV687" i="2"/>
  <c r="BV688" i="2"/>
  <c r="BV689" i="2"/>
  <c r="BV690" i="2"/>
  <c r="BV691" i="2"/>
  <c r="BV692" i="2"/>
  <c r="BV693" i="2"/>
  <c r="BV694" i="2"/>
  <c r="BV695" i="2"/>
  <c r="BV696" i="2"/>
  <c r="BV697" i="2"/>
  <c r="BV698" i="2"/>
  <c r="BV699" i="2"/>
  <c r="BV700" i="2"/>
  <c r="BV701" i="2"/>
  <c r="BV702" i="2"/>
  <c r="BV703" i="2"/>
  <c r="BV704" i="2"/>
  <c r="BV705" i="2"/>
  <c r="BV706" i="2"/>
  <c r="BV707" i="2"/>
  <c r="BV708" i="2"/>
  <c r="BV709" i="2"/>
  <c r="BV710" i="2"/>
  <c r="BV711" i="2"/>
  <c r="BV712" i="2"/>
  <c r="BV713" i="2"/>
  <c r="BV714" i="2"/>
  <c r="BV715" i="2"/>
  <c r="BV716" i="2"/>
  <c r="BV717" i="2"/>
  <c r="BV718" i="2"/>
  <c r="BV719" i="2"/>
  <c r="BV720" i="2"/>
  <c r="BV721" i="2"/>
  <c r="BV722" i="2"/>
  <c r="BV723" i="2"/>
  <c r="BV724" i="2"/>
  <c r="BV725" i="2"/>
  <c r="BV726" i="2"/>
  <c r="BV727" i="2"/>
  <c r="BV728" i="2"/>
  <c r="BV729" i="2"/>
  <c r="BV730" i="2"/>
  <c r="BV731" i="2"/>
  <c r="BV732" i="2"/>
  <c r="BV733" i="2"/>
  <c r="BV734" i="2"/>
  <c r="BV735" i="2"/>
  <c r="BV736" i="2"/>
  <c r="BV737" i="2"/>
  <c r="BV738" i="2"/>
  <c r="BV739" i="2"/>
  <c r="BV740" i="2"/>
  <c r="BV741" i="2"/>
  <c r="BV742" i="2"/>
  <c r="BV743" i="2"/>
  <c r="BV744" i="2"/>
  <c r="BV745" i="2"/>
  <c r="BV746" i="2"/>
  <c r="BV747" i="2"/>
  <c r="BV748" i="2"/>
  <c r="BV749" i="2"/>
  <c r="BV750" i="2"/>
  <c r="BV751" i="2"/>
  <c r="BV752" i="2"/>
  <c r="BV753" i="2"/>
  <c r="BV754" i="2"/>
  <c r="BV755" i="2"/>
  <c r="BV756" i="2"/>
  <c r="BV757" i="2"/>
  <c r="BV758" i="2"/>
  <c r="BV759" i="2"/>
  <c r="BV760" i="2"/>
  <c r="BV761" i="2"/>
  <c r="BV762" i="2"/>
  <c r="BV763" i="2"/>
  <c r="BV764" i="2"/>
  <c r="BV765" i="2"/>
  <c r="BV766" i="2"/>
  <c r="BV767" i="2"/>
  <c r="BV768" i="2"/>
  <c r="BV769" i="2"/>
  <c r="BV770" i="2"/>
  <c r="BV771" i="2"/>
  <c r="BV772" i="2"/>
  <c r="BV773" i="2"/>
  <c r="BV774" i="2"/>
  <c r="BV775" i="2"/>
  <c r="BV776" i="2"/>
  <c r="BV777" i="2"/>
  <c r="BV778" i="2"/>
  <c r="BV779" i="2"/>
  <c r="BV780" i="2"/>
  <c r="BV781" i="2"/>
  <c r="BV782" i="2"/>
  <c r="BV783" i="2"/>
  <c r="BV784" i="2"/>
  <c r="BV785" i="2"/>
  <c r="BV786" i="2"/>
  <c r="BV787" i="2"/>
  <c r="BV788" i="2"/>
  <c r="BV789" i="2"/>
  <c r="BV790" i="2"/>
  <c r="BV791" i="2"/>
  <c r="BV792" i="2"/>
  <c r="BV793" i="2"/>
  <c r="BV794" i="2"/>
  <c r="BV795" i="2"/>
  <c r="BV796" i="2"/>
  <c r="BV797" i="2"/>
  <c r="BV798" i="2"/>
  <c r="BV799" i="2"/>
  <c r="BV800" i="2"/>
  <c r="BV801" i="2"/>
  <c r="BV802" i="2"/>
  <c r="BV803" i="2"/>
  <c r="BV804" i="2"/>
  <c r="BV805" i="2"/>
  <c r="BV806" i="2"/>
  <c r="BV807" i="2"/>
  <c r="BV808" i="2"/>
  <c r="BV809" i="2"/>
  <c r="BV810" i="2"/>
  <c r="BV811" i="2"/>
  <c r="BV812" i="2"/>
  <c r="BV813" i="2"/>
  <c r="BV814" i="2"/>
  <c r="BV815" i="2"/>
  <c r="BV816" i="2"/>
  <c r="BV817" i="2"/>
  <c r="BV818" i="2"/>
  <c r="BV819" i="2"/>
  <c r="BV820" i="2"/>
  <c r="BV821" i="2"/>
  <c r="BV822" i="2"/>
  <c r="BV823" i="2"/>
  <c r="BV824" i="2"/>
  <c r="BV825" i="2"/>
  <c r="BV826" i="2"/>
  <c r="BV827" i="2"/>
  <c r="BV828" i="2"/>
  <c r="BV829" i="2"/>
  <c r="BV830" i="2"/>
  <c r="BV831" i="2"/>
  <c r="BV832" i="2"/>
  <c r="BV833" i="2"/>
  <c r="BV834" i="2"/>
  <c r="BV835" i="2"/>
  <c r="BV836" i="2"/>
  <c r="BV837" i="2"/>
  <c r="BV838" i="2"/>
  <c r="BV839" i="2"/>
  <c r="BV840" i="2"/>
  <c r="BV841" i="2"/>
  <c r="BV842" i="2"/>
  <c r="BV843" i="2"/>
  <c r="BV844" i="2"/>
  <c r="BV845" i="2"/>
  <c r="BV846" i="2"/>
  <c r="BV847" i="2"/>
  <c r="BV848" i="2"/>
  <c r="BV849" i="2"/>
  <c r="BV850" i="2"/>
  <c r="BV851" i="2"/>
  <c r="BV852" i="2"/>
  <c r="BV853" i="2"/>
  <c r="BV854" i="2"/>
  <c r="BV855" i="2"/>
  <c r="BV856" i="2"/>
  <c r="BV857" i="2"/>
  <c r="BV858" i="2"/>
  <c r="BV859" i="2"/>
  <c r="BV860" i="2"/>
  <c r="BV861" i="2"/>
  <c r="BV862" i="2"/>
  <c r="BV863" i="2"/>
  <c r="BV864" i="2"/>
  <c r="BV865" i="2"/>
  <c r="BV866" i="2"/>
  <c r="BV867" i="2"/>
  <c r="BV868" i="2"/>
  <c r="BV869" i="2"/>
  <c r="BV870" i="2"/>
  <c r="BV871" i="2"/>
  <c r="BV872" i="2"/>
  <c r="BV873" i="2"/>
  <c r="BV874" i="2"/>
  <c r="BV875" i="2"/>
  <c r="BV876" i="2"/>
  <c r="BV877" i="2"/>
  <c r="BV878" i="2"/>
  <c r="BV879" i="2"/>
  <c r="BV880" i="2"/>
  <c r="BV881" i="2"/>
  <c r="BV882" i="2"/>
  <c r="BV883" i="2"/>
  <c r="BV884" i="2"/>
  <c r="BV885" i="2"/>
  <c r="BV886" i="2"/>
  <c r="BV887" i="2"/>
  <c r="BV888" i="2"/>
  <c r="BV889" i="2"/>
  <c r="BV890" i="2"/>
  <c r="BV891" i="2"/>
  <c r="BV892" i="2"/>
  <c r="BV893" i="2"/>
  <c r="BV894" i="2"/>
  <c r="BV895" i="2"/>
  <c r="BV896" i="2"/>
  <c r="BV897" i="2"/>
  <c r="BV898" i="2"/>
  <c r="BV899" i="2"/>
  <c r="BV900" i="2"/>
  <c r="BV901" i="2"/>
  <c r="BV902" i="2"/>
  <c r="BV903" i="2"/>
  <c r="BV904" i="2"/>
  <c r="BV905" i="2"/>
  <c r="BV906" i="2"/>
  <c r="BV907" i="2"/>
  <c r="BV908" i="2"/>
  <c r="BV909" i="2"/>
  <c r="BV910" i="2"/>
  <c r="BV911" i="2"/>
  <c r="BV912" i="2"/>
  <c r="BV913" i="2"/>
  <c r="BV914" i="2"/>
  <c r="BV915" i="2"/>
  <c r="BV916" i="2"/>
  <c r="BV917" i="2"/>
  <c r="BV918" i="2"/>
  <c r="BV919" i="2"/>
  <c r="BV920" i="2"/>
  <c r="BV921" i="2"/>
  <c r="BV922" i="2"/>
  <c r="BV923" i="2"/>
  <c r="BV924" i="2"/>
  <c r="BV925" i="2"/>
  <c r="BV926" i="2"/>
  <c r="BV927" i="2"/>
  <c r="BV928" i="2"/>
  <c r="BV929" i="2"/>
  <c r="BV930" i="2"/>
  <c r="BV931" i="2"/>
  <c r="BV932" i="2"/>
  <c r="BV933" i="2"/>
  <c r="BV934" i="2"/>
  <c r="BV935" i="2"/>
  <c r="BV936" i="2"/>
  <c r="BV937" i="2"/>
  <c r="BV938" i="2"/>
  <c r="BV939" i="2"/>
  <c r="BV940" i="2"/>
  <c r="BV941" i="2"/>
  <c r="BV942" i="2"/>
  <c r="BV943" i="2"/>
  <c r="BV944" i="2"/>
  <c r="BV945" i="2"/>
  <c r="BV946" i="2"/>
  <c r="BV947" i="2"/>
  <c r="BV948" i="2"/>
  <c r="BV949" i="2"/>
  <c r="BV950" i="2"/>
  <c r="BV951" i="2"/>
  <c r="BV952" i="2"/>
  <c r="BV953" i="2"/>
  <c r="BV954" i="2"/>
  <c r="BV955" i="2"/>
  <c r="BV956" i="2"/>
  <c r="BV957" i="2"/>
  <c r="BV958" i="2"/>
  <c r="BV959" i="2"/>
  <c r="BV960" i="2"/>
  <c r="BV961" i="2"/>
  <c r="BV962" i="2"/>
  <c r="BV963" i="2"/>
  <c r="BV964" i="2"/>
  <c r="BV965" i="2"/>
  <c r="BV966" i="2"/>
  <c r="BV967" i="2"/>
  <c r="BV968" i="2"/>
  <c r="BV969" i="2"/>
  <c r="BV970" i="2"/>
  <c r="BV971" i="2"/>
  <c r="BV972" i="2"/>
  <c r="BV973" i="2"/>
  <c r="BV974" i="2"/>
  <c r="BV975" i="2"/>
  <c r="BV976" i="2"/>
  <c r="BV977" i="2"/>
  <c r="BV978" i="2"/>
  <c r="BV979" i="2"/>
  <c r="BV980" i="2"/>
  <c r="BV981" i="2"/>
  <c r="BV982" i="2"/>
  <c r="BV983" i="2"/>
  <c r="BV984" i="2"/>
  <c r="BV985" i="2"/>
  <c r="BV986" i="2"/>
  <c r="BV987" i="2"/>
  <c r="BV988" i="2"/>
  <c r="BV989" i="2"/>
  <c r="BV990" i="2"/>
  <c r="BV991" i="2"/>
  <c r="BV992" i="2"/>
  <c r="BV993" i="2"/>
  <c r="BV994" i="2"/>
  <c r="BV995" i="2"/>
  <c r="BV996" i="2"/>
  <c r="BV997" i="2"/>
  <c r="BV998" i="2"/>
  <c r="BV999" i="2"/>
  <c r="BV1000" i="2"/>
  <c r="BV1001" i="2"/>
  <c r="BV1002" i="2"/>
  <c r="BV1003" i="2"/>
  <c r="BV1004" i="2"/>
  <c r="BV1005" i="2"/>
  <c r="BV1006" i="2"/>
  <c r="BV1007" i="2"/>
  <c r="BV1008" i="2"/>
  <c r="BV1009" i="2"/>
  <c r="BV1010" i="2"/>
  <c r="BV1011" i="2"/>
  <c r="BV1012" i="2"/>
  <c r="BV1013" i="2"/>
  <c r="BV1014" i="2"/>
  <c r="BV1015" i="2"/>
  <c r="BV1016" i="2"/>
  <c r="BV1017" i="2"/>
  <c r="BV1018" i="2"/>
  <c r="BV1019" i="2"/>
  <c r="BV1020" i="2"/>
  <c r="BV1021" i="2"/>
  <c r="BV1022" i="2"/>
  <c r="BV1023" i="2"/>
  <c r="BV1024" i="2"/>
  <c r="BV1025" i="2"/>
  <c r="BV1026" i="2"/>
  <c r="BV1027" i="2"/>
  <c r="BV1028" i="2"/>
  <c r="BV1029" i="2"/>
  <c r="BV1030" i="2"/>
  <c r="BV1031" i="2"/>
  <c r="BV1032" i="2"/>
  <c r="BV1033" i="2"/>
  <c r="BV1034" i="2"/>
  <c r="BV1035" i="2"/>
  <c r="BV1036" i="2"/>
  <c r="BV1037" i="2"/>
  <c r="BV1038" i="2"/>
  <c r="BV1039" i="2"/>
  <c r="BV1040" i="2"/>
  <c r="BV1041" i="2"/>
  <c r="BV1042" i="2"/>
  <c r="BV1043" i="2"/>
  <c r="BV1044" i="2"/>
  <c r="BV1045" i="2"/>
  <c r="BV1046" i="2"/>
  <c r="BV1047" i="2"/>
  <c r="BV1048" i="2"/>
  <c r="BV1049" i="2"/>
  <c r="BV1050" i="2"/>
  <c r="BV1051" i="2"/>
  <c r="BV1052" i="2"/>
  <c r="BV1053" i="2"/>
  <c r="BV1054" i="2"/>
  <c r="BV1055" i="2"/>
  <c r="BV1056" i="2"/>
  <c r="BV1057" i="2"/>
  <c r="BV1058" i="2"/>
  <c r="BV1059" i="2"/>
  <c r="BV1060" i="2"/>
  <c r="BV1061" i="2"/>
  <c r="BV1062" i="2"/>
  <c r="BV1063" i="2"/>
  <c r="BV1064" i="2"/>
  <c r="BV1065" i="2"/>
  <c r="BV1066" i="2"/>
  <c r="BV1067" i="2"/>
  <c r="BV1068" i="2"/>
  <c r="BV1069" i="2"/>
  <c r="BV1070" i="2"/>
  <c r="BV1071" i="2"/>
  <c r="BV1072" i="2"/>
  <c r="BV1073" i="2"/>
  <c r="BV1074" i="2"/>
  <c r="BV1075" i="2"/>
  <c r="BV1076" i="2"/>
  <c r="BV1077" i="2"/>
  <c r="BV1078" i="2"/>
  <c r="BV1079" i="2"/>
  <c r="BV1080" i="2"/>
  <c r="BV1081" i="2"/>
  <c r="BV1082" i="2"/>
  <c r="BV1083" i="2"/>
  <c r="BV1084" i="2"/>
  <c r="BV1085" i="2"/>
  <c r="BV1086" i="2"/>
  <c r="BV1087" i="2"/>
  <c r="BV1088" i="2"/>
  <c r="BV1089" i="2"/>
  <c r="BV1090" i="2"/>
  <c r="BV1091" i="2"/>
  <c r="BV1092" i="2"/>
  <c r="BV1093" i="2"/>
  <c r="BV1094" i="2"/>
  <c r="BV1095" i="2"/>
  <c r="BV1096" i="2"/>
  <c r="BV1097" i="2"/>
  <c r="BV1098" i="2"/>
  <c r="BV1099" i="2"/>
  <c r="BV1100" i="2"/>
  <c r="BV1101" i="2"/>
  <c r="BV1102" i="2"/>
  <c r="BV1103" i="2"/>
  <c r="BV1104" i="2"/>
  <c r="BV1105" i="2"/>
  <c r="BV1106" i="2"/>
  <c r="BV1107" i="2"/>
  <c r="BV1108" i="2"/>
  <c r="BV1109" i="2"/>
  <c r="BV1110" i="2"/>
  <c r="BV1111" i="2"/>
  <c r="BV1112" i="2"/>
  <c r="BV1113" i="2"/>
  <c r="BV1114" i="2"/>
  <c r="BV1115" i="2"/>
  <c r="BV1116" i="2"/>
  <c r="BV1117" i="2"/>
  <c r="BV1118" i="2"/>
  <c r="BV1119" i="2"/>
  <c r="BV1120" i="2"/>
  <c r="BV1121" i="2"/>
  <c r="BV1122" i="2"/>
  <c r="BV1123" i="2"/>
  <c r="BV1124" i="2"/>
  <c r="BV1125" i="2"/>
  <c r="BV1126" i="2"/>
  <c r="BV1127" i="2"/>
  <c r="BV1128" i="2"/>
  <c r="BV1129" i="2"/>
  <c r="BV1130" i="2"/>
  <c r="BV1131" i="2"/>
  <c r="BV1132" i="2"/>
  <c r="BV1133" i="2"/>
  <c r="BV1134" i="2"/>
  <c r="BV1135" i="2"/>
  <c r="BV1136" i="2"/>
  <c r="BV1137" i="2"/>
  <c r="BV1138" i="2"/>
  <c r="BV1139" i="2"/>
  <c r="BV1140" i="2"/>
  <c r="BV1141" i="2"/>
  <c r="BV1142" i="2"/>
  <c r="BV1143" i="2"/>
  <c r="BV1144" i="2"/>
  <c r="BV1145" i="2"/>
  <c r="BV1146" i="2"/>
  <c r="BV1147" i="2"/>
  <c r="BV1148" i="2"/>
  <c r="BV1149" i="2"/>
  <c r="BV1150" i="2"/>
  <c r="BV1151" i="2"/>
  <c r="BV1152" i="2"/>
  <c r="BV1153" i="2"/>
  <c r="BV1154" i="2"/>
  <c r="BV1155" i="2"/>
  <c r="BV1156" i="2"/>
  <c r="BV1157" i="2"/>
  <c r="BV1158" i="2"/>
  <c r="BV1159" i="2"/>
  <c r="BV1160" i="2"/>
  <c r="BV1161" i="2"/>
  <c r="BV1162" i="2"/>
  <c r="BV1163" i="2"/>
  <c r="BV1164" i="2"/>
  <c r="BV1165" i="2"/>
  <c r="BV1166" i="2"/>
  <c r="BV1167" i="2"/>
  <c r="BV1168" i="2"/>
  <c r="BV1169" i="2"/>
  <c r="BV1170" i="2"/>
  <c r="BV1171" i="2"/>
  <c r="BV1172" i="2"/>
  <c r="BV1173" i="2"/>
  <c r="BV1174" i="2"/>
  <c r="BV1175" i="2"/>
  <c r="BV1176" i="2"/>
  <c r="BV1177" i="2"/>
  <c r="BV1178" i="2"/>
  <c r="BV1179" i="2"/>
  <c r="BV1180" i="2"/>
  <c r="BV1181" i="2"/>
  <c r="BV1182" i="2"/>
  <c r="BV1183" i="2"/>
  <c r="BV1184" i="2"/>
  <c r="BV1185" i="2"/>
  <c r="BV1186" i="2"/>
  <c r="BV1187" i="2"/>
  <c r="BV1188" i="2"/>
  <c r="BV1189" i="2"/>
  <c r="BV1190" i="2"/>
  <c r="BV1191" i="2"/>
  <c r="BV1192" i="2"/>
  <c r="BV1193" i="2"/>
  <c r="BV1194" i="2"/>
  <c r="BV1195" i="2"/>
  <c r="BV1196" i="2"/>
  <c r="BV1197" i="2"/>
  <c r="BV1198" i="2"/>
  <c r="BV1199" i="2"/>
  <c r="BV1200" i="2"/>
  <c r="BV1201" i="2"/>
  <c r="BV1202" i="2"/>
  <c r="BV1203" i="2"/>
  <c r="BV1204" i="2"/>
  <c r="BV1205" i="2"/>
  <c r="BV1206" i="2"/>
  <c r="BV1207" i="2"/>
  <c r="BV1208" i="2"/>
  <c r="BV1209" i="2"/>
  <c r="BV1210" i="2"/>
  <c r="BV1211" i="2"/>
  <c r="BV1212" i="2"/>
  <c r="BV1213" i="2"/>
  <c r="BV1214" i="2"/>
  <c r="BV1215" i="2"/>
  <c r="BV1216" i="2"/>
  <c r="BV1217" i="2"/>
  <c r="BV1218" i="2"/>
  <c r="BV1219" i="2"/>
  <c r="BV1220" i="2"/>
  <c r="BV1221" i="2"/>
  <c r="BV1222" i="2"/>
  <c r="BV1223" i="2"/>
  <c r="BV1224" i="2"/>
  <c r="BV1225" i="2"/>
  <c r="BV1226" i="2"/>
  <c r="BV1227" i="2"/>
  <c r="BV1228" i="2"/>
  <c r="BV1229" i="2"/>
  <c r="BV1230" i="2"/>
  <c r="BV1231" i="2"/>
  <c r="BV1232" i="2"/>
  <c r="BV1233" i="2"/>
  <c r="BV1234" i="2"/>
  <c r="BV1235" i="2"/>
  <c r="BV1236" i="2"/>
  <c r="BV1237" i="2"/>
  <c r="BV1238" i="2"/>
  <c r="BV1239" i="2"/>
  <c r="BV1240" i="2"/>
  <c r="BV1241" i="2"/>
  <c r="BV1242" i="2"/>
  <c r="BV1243" i="2"/>
  <c r="BV1244" i="2"/>
  <c r="BV1245" i="2"/>
  <c r="BV1246" i="2"/>
  <c r="BV1247" i="2"/>
  <c r="BV1248" i="2"/>
  <c r="BV1249" i="2"/>
  <c r="BV1250" i="2"/>
  <c r="BV1251" i="2"/>
  <c r="BV1252" i="2"/>
  <c r="BV1253" i="2"/>
  <c r="BV1254" i="2"/>
  <c r="BV1255" i="2"/>
  <c r="BV1256" i="2"/>
  <c r="BV1257" i="2"/>
  <c r="BV1258" i="2"/>
  <c r="BV1259" i="2"/>
  <c r="BV1260" i="2"/>
  <c r="BV1261" i="2"/>
  <c r="BV1262" i="2"/>
  <c r="BV1263" i="2"/>
  <c r="BV1264" i="2"/>
  <c r="BV1265" i="2"/>
  <c r="BV1266" i="2"/>
  <c r="BV1267" i="2"/>
  <c r="BV1268" i="2"/>
  <c r="BV1269" i="2"/>
  <c r="BV1270" i="2"/>
  <c r="BV1271" i="2"/>
  <c r="BV1272" i="2"/>
  <c r="BV1273" i="2"/>
  <c r="BV1274" i="2"/>
  <c r="BV1275" i="2"/>
  <c r="BV1276" i="2"/>
  <c r="BV1277" i="2"/>
  <c r="BV1278" i="2"/>
  <c r="BV1279" i="2"/>
  <c r="BV1280" i="2"/>
  <c r="BV1281" i="2"/>
  <c r="BV1282" i="2"/>
  <c r="BV1283" i="2"/>
  <c r="BV1284" i="2"/>
  <c r="BV1285" i="2"/>
  <c r="BV1286" i="2"/>
  <c r="BV1287" i="2"/>
  <c r="BV1288" i="2"/>
  <c r="BV1289" i="2"/>
  <c r="BV1290" i="2"/>
  <c r="BV1291" i="2"/>
  <c r="BV1292" i="2"/>
  <c r="BV1293" i="2"/>
  <c r="BV1294" i="2"/>
  <c r="BV1295" i="2"/>
  <c r="BV1296" i="2"/>
  <c r="BV1297" i="2"/>
  <c r="BV1298" i="2"/>
  <c r="BV1299" i="2"/>
  <c r="BV1300" i="2"/>
  <c r="BV1301" i="2"/>
  <c r="BV1302" i="2"/>
  <c r="BV1303" i="2"/>
  <c r="BV1304" i="2"/>
  <c r="BV1305" i="2"/>
  <c r="BV1306" i="2"/>
  <c r="BV1307" i="2"/>
  <c r="BV1308" i="2"/>
  <c r="BV1309" i="2"/>
  <c r="BV1310" i="2"/>
  <c r="BV1311" i="2"/>
  <c r="BV1312" i="2"/>
  <c r="BV1313" i="2"/>
  <c r="BV1314" i="2"/>
  <c r="BV1315" i="2"/>
  <c r="BV1316" i="2"/>
  <c r="BV1317" i="2"/>
  <c r="BV1318" i="2"/>
  <c r="BV1319" i="2"/>
  <c r="BV1320" i="2"/>
  <c r="BV1321" i="2"/>
  <c r="BV1322" i="2"/>
  <c r="BV1323" i="2"/>
  <c r="BV1324" i="2"/>
  <c r="BV1325" i="2"/>
  <c r="BV1326" i="2"/>
  <c r="BV1327" i="2"/>
  <c r="BV1328" i="2"/>
  <c r="BV1329" i="2"/>
  <c r="BV1330" i="2"/>
  <c r="BV1331" i="2"/>
  <c r="BV1332" i="2"/>
  <c r="BV1333" i="2"/>
  <c r="BV1334" i="2"/>
  <c r="BV1335" i="2"/>
  <c r="BV1336" i="2"/>
  <c r="BV1337" i="2"/>
  <c r="BV1338" i="2"/>
  <c r="BV1339" i="2"/>
  <c r="BV1340" i="2"/>
  <c r="BV1341" i="2"/>
  <c r="BV1342" i="2"/>
  <c r="BV1343" i="2"/>
  <c r="BV1344" i="2"/>
  <c r="BV1345" i="2"/>
  <c r="BV1346" i="2"/>
  <c r="BV1347" i="2"/>
  <c r="BV1348" i="2"/>
  <c r="BV1349" i="2"/>
  <c r="BV1350" i="2"/>
  <c r="BV1351" i="2"/>
  <c r="BV1352" i="2"/>
  <c r="BV1353" i="2"/>
  <c r="BV1354" i="2"/>
  <c r="BV1355" i="2"/>
  <c r="BV1356" i="2"/>
  <c r="BV1357" i="2"/>
  <c r="BV1358" i="2"/>
  <c r="BV1359" i="2"/>
  <c r="BV1360" i="2"/>
  <c r="BV1361" i="2"/>
  <c r="BV1362" i="2"/>
  <c r="BV1363" i="2"/>
  <c r="BV1364" i="2"/>
  <c r="BV1365" i="2"/>
  <c r="BV1366" i="2"/>
  <c r="BV1367" i="2"/>
  <c r="BV1368" i="2"/>
  <c r="BV1369" i="2"/>
  <c r="BV1370" i="2"/>
  <c r="BV1371" i="2"/>
  <c r="BV1372" i="2"/>
  <c r="BV1373" i="2"/>
  <c r="BV1374" i="2"/>
  <c r="BV1375" i="2"/>
  <c r="BV1376" i="2"/>
  <c r="BV1377" i="2"/>
  <c r="BV1378" i="2"/>
  <c r="BV1379" i="2"/>
  <c r="BV1380" i="2"/>
  <c r="BV1381" i="2"/>
  <c r="BV1382" i="2"/>
  <c r="BV1383" i="2"/>
  <c r="BV1384" i="2"/>
  <c r="BV1385" i="2"/>
  <c r="BV1386" i="2"/>
  <c r="BV1387" i="2"/>
  <c r="BV1388" i="2"/>
  <c r="BV1389" i="2"/>
  <c r="BV1390" i="2"/>
  <c r="BV1391" i="2"/>
  <c r="BV1392" i="2"/>
  <c r="BV1393" i="2"/>
  <c r="BV1394" i="2"/>
  <c r="BV1395" i="2"/>
  <c r="BV1396" i="2"/>
  <c r="BV1397" i="2"/>
  <c r="BV1398" i="2"/>
  <c r="BV1399" i="2"/>
  <c r="BV1400" i="2"/>
  <c r="BV1401" i="2"/>
  <c r="BV1402" i="2"/>
  <c r="BV1403" i="2"/>
  <c r="BV1404" i="2"/>
  <c r="BV1405" i="2"/>
  <c r="BV1406" i="2"/>
  <c r="BV1407" i="2"/>
  <c r="BV1408" i="2"/>
  <c r="BV1409" i="2"/>
  <c r="BV1410" i="2"/>
  <c r="BV1411" i="2"/>
  <c r="BV1412" i="2"/>
  <c r="BV1413" i="2"/>
  <c r="BV1414" i="2"/>
  <c r="BV1415" i="2"/>
  <c r="BV1416" i="2"/>
  <c r="BV1417" i="2"/>
  <c r="BV1418" i="2"/>
  <c r="BV1419" i="2"/>
  <c r="BV1420" i="2"/>
  <c r="BV1421" i="2"/>
  <c r="BV1422" i="2"/>
  <c r="BV1423" i="2"/>
  <c r="BV1424" i="2"/>
  <c r="BV1425" i="2"/>
  <c r="BV1426" i="2"/>
  <c r="BV1427" i="2"/>
  <c r="BV1428" i="2"/>
  <c r="BV1429" i="2"/>
  <c r="BV1430" i="2"/>
  <c r="BV1431" i="2"/>
  <c r="BV1432" i="2"/>
  <c r="BV1433" i="2"/>
  <c r="BV1434" i="2"/>
  <c r="BV1435" i="2"/>
  <c r="BV1436" i="2"/>
  <c r="BV1437" i="2"/>
  <c r="BV1438" i="2"/>
  <c r="BV1439" i="2"/>
  <c r="BV1440" i="2"/>
  <c r="BV1441" i="2"/>
  <c r="BV1442" i="2"/>
  <c r="BV1443" i="2"/>
  <c r="BV1444" i="2"/>
  <c r="BV1445" i="2"/>
  <c r="BV1446" i="2"/>
  <c r="BV1447" i="2"/>
  <c r="BV1448" i="2"/>
  <c r="BV1449" i="2"/>
  <c r="BV1450" i="2"/>
  <c r="BV1451" i="2"/>
  <c r="BV1452" i="2"/>
  <c r="BV1453" i="2"/>
  <c r="BV1454" i="2"/>
  <c r="BV1455" i="2"/>
  <c r="BV1456" i="2"/>
  <c r="BV1457" i="2"/>
  <c r="BV1458" i="2"/>
  <c r="BV1459" i="2"/>
  <c r="BV1460" i="2"/>
  <c r="BV1461" i="2"/>
  <c r="BV1462" i="2"/>
  <c r="BV1463" i="2"/>
  <c r="BV1464" i="2"/>
  <c r="BV1465" i="2"/>
  <c r="BV1466" i="2"/>
  <c r="BV1467" i="2"/>
  <c r="BV1468" i="2"/>
  <c r="BV1469" i="2"/>
  <c r="BV1470" i="2"/>
  <c r="BV1471" i="2"/>
  <c r="BV1472" i="2"/>
  <c r="BV1473" i="2"/>
  <c r="BV1474" i="2"/>
  <c r="BV1475" i="2"/>
  <c r="BV1476" i="2"/>
  <c r="BV1477" i="2"/>
  <c r="BV1478" i="2"/>
  <c r="BV1479" i="2"/>
  <c r="BV1480" i="2"/>
  <c r="BV1481" i="2"/>
  <c r="BV1482" i="2"/>
  <c r="BV1483" i="2"/>
  <c r="BV1484" i="2"/>
  <c r="BV1485" i="2"/>
  <c r="BV1486" i="2"/>
  <c r="BV1487" i="2"/>
  <c r="BV1488" i="2"/>
  <c r="BV1489" i="2"/>
  <c r="BV1490" i="2"/>
  <c r="BV1491" i="2"/>
  <c r="BV1492" i="2"/>
  <c r="BV1493" i="2"/>
  <c r="BV1494" i="2"/>
  <c r="BV1495" i="2"/>
  <c r="BV1496" i="2"/>
  <c r="BV1497" i="2"/>
  <c r="BV1498" i="2"/>
  <c r="BV1499" i="2"/>
  <c r="BV1500" i="2"/>
  <c r="BV1501" i="2"/>
  <c r="BV1502" i="2"/>
  <c r="BV1503" i="2"/>
  <c r="BV1504" i="2"/>
  <c r="BV1505" i="2"/>
  <c r="BV1506" i="2"/>
  <c r="BV1507" i="2"/>
  <c r="BV1508" i="2"/>
  <c r="BV1509" i="2"/>
  <c r="BV1510" i="2"/>
  <c r="BV1511" i="2"/>
  <c r="BV1512" i="2"/>
  <c r="BV1513" i="2"/>
  <c r="BV1514" i="2"/>
  <c r="BV1515" i="2"/>
  <c r="BV1516" i="2"/>
  <c r="BV1517" i="2"/>
  <c r="BV1518" i="2"/>
  <c r="BV1519" i="2"/>
  <c r="BV1520" i="2"/>
  <c r="BV1521" i="2"/>
  <c r="BV1522" i="2"/>
  <c r="BV1523" i="2"/>
  <c r="BV1524" i="2"/>
  <c r="BV1525" i="2"/>
  <c r="BV1526" i="2"/>
  <c r="BV1527" i="2"/>
  <c r="BV1528" i="2"/>
  <c r="BV1529" i="2"/>
  <c r="BV1530" i="2"/>
  <c r="BV1531" i="2"/>
  <c r="BV1532" i="2"/>
  <c r="BV1533" i="2"/>
  <c r="BV1534" i="2"/>
  <c r="BV1535" i="2"/>
  <c r="BV1536" i="2"/>
  <c r="BV1537" i="2"/>
  <c r="BV1538" i="2"/>
  <c r="BV1539" i="2"/>
  <c r="BV1540" i="2"/>
  <c r="BV1541" i="2"/>
  <c r="BV1542" i="2"/>
  <c r="BV1543" i="2"/>
  <c r="BV1544" i="2"/>
  <c r="BV1545" i="2"/>
  <c r="BV1546" i="2"/>
  <c r="BV1547" i="2"/>
  <c r="BV1548" i="2"/>
  <c r="BV1549" i="2"/>
  <c r="BV1550" i="2"/>
  <c r="BV1551" i="2"/>
  <c r="BV1552" i="2"/>
  <c r="BV1553" i="2"/>
  <c r="BV1554" i="2"/>
  <c r="BV1555" i="2"/>
  <c r="BV1556" i="2"/>
  <c r="BV1557" i="2"/>
  <c r="BV1558" i="2"/>
  <c r="BV1559" i="2"/>
  <c r="BV1560" i="2"/>
  <c r="BV1561" i="2"/>
  <c r="BV1562" i="2"/>
  <c r="BV1563" i="2"/>
  <c r="BV1564" i="2"/>
  <c r="BV1565" i="2"/>
  <c r="BV1566" i="2"/>
  <c r="BV1567" i="2"/>
  <c r="BV1568" i="2"/>
  <c r="BV1569" i="2"/>
  <c r="BV1570" i="2"/>
  <c r="BV1571" i="2"/>
  <c r="BV1572" i="2"/>
  <c r="BV1573" i="2"/>
  <c r="BV1574" i="2"/>
  <c r="BV1575" i="2"/>
  <c r="BV1576" i="2"/>
  <c r="BV1577" i="2"/>
  <c r="BV1578" i="2"/>
  <c r="BV1579" i="2"/>
  <c r="BV1580" i="2"/>
  <c r="BV1581" i="2"/>
  <c r="BV1582" i="2"/>
  <c r="BV1583" i="2"/>
  <c r="BV1584" i="2"/>
  <c r="BV1585" i="2"/>
  <c r="BV1586" i="2"/>
  <c r="BV1587" i="2"/>
  <c r="BV1588" i="2"/>
  <c r="BV1589" i="2"/>
  <c r="BV1590" i="2"/>
  <c r="BV1591" i="2"/>
  <c r="BV1592" i="2"/>
  <c r="BV1593" i="2"/>
  <c r="BV1594" i="2"/>
  <c r="BV1595" i="2"/>
  <c r="BV1596" i="2"/>
  <c r="BV1597" i="2"/>
  <c r="BV1598" i="2"/>
  <c r="BV1599" i="2"/>
  <c r="BV1600" i="2"/>
  <c r="BV1601" i="2"/>
  <c r="BV1602" i="2"/>
  <c r="BV1603" i="2"/>
  <c r="BV1604" i="2"/>
  <c r="BV1605" i="2"/>
  <c r="BV1606" i="2"/>
  <c r="BV1607" i="2"/>
  <c r="BV1608" i="2"/>
  <c r="BV1609" i="2"/>
  <c r="BV1610" i="2"/>
  <c r="BV1611" i="2"/>
  <c r="BV1612" i="2"/>
  <c r="BV1613" i="2"/>
  <c r="BV1614" i="2"/>
  <c r="BV1615" i="2"/>
  <c r="BV1616" i="2"/>
  <c r="BV1617" i="2"/>
  <c r="BV1618" i="2"/>
  <c r="BV1619" i="2"/>
  <c r="BV1620" i="2"/>
  <c r="BV1621" i="2"/>
  <c r="BV1622" i="2"/>
  <c r="BV1623" i="2"/>
  <c r="BV1624" i="2"/>
  <c r="BV1625" i="2"/>
  <c r="BV1626" i="2"/>
  <c r="BV1627" i="2"/>
  <c r="BV1628" i="2"/>
  <c r="BV1629" i="2"/>
  <c r="BV1630" i="2"/>
  <c r="BV1631" i="2"/>
  <c r="BV1632" i="2"/>
  <c r="BV1633" i="2"/>
  <c r="BV1634" i="2"/>
  <c r="BV1635" i="2"/>
  <c r="BV1636" i="2"/>
  <c r="BV1637" i="2"/>
  <c r="BV1638" i="2"/>
  <c r="BV1639" i="2"/>
  <c r="BV1640" i="2"/>
  <c r="BV1641" i="2"/>
  <c r="BV1642" i="2"/>
  <c r="BV1643" i="2"/>
  <c r="BV1644" i="2"/>
  <c r="BV1645" i="2"/>
  <c r="BV1646" i="2"/>
  <c r="BV1647" i="2"/>
  <c r="BV1648" i="2"/>
  <c r="BV1649" i="2"/>
  <c r="BV1650" i="2"/>
  <c r="BV1651" i="2"/>
  <c r="BV1652" i="2"/>
  <c r="BV1653" i="2"/>
  <c r="BV1654" i="2"/>
  <c r="BV1655" i="2"/>
  <c r="BV1656" i="2"/>
  <c r="BV1657" i="2"/>
  <c r="BV1658" i="2"/>
  <c r="BV1659" i="2"/>
  <c r="BV1660" i="2"/>
  <c r="BV1661" i="2"/>
  <c r="BV1662" i="2"/>
  <c r="BV1663" i="2"/>
  <c r="BV1664" i="2"/>
  <c r="BV1665" i="2"/>
  <c r="BV1666" i="2"/>
  <c r="BV1667" i="2"/>
  <c r="BV1668" i="2"/>
  <c r="BV1669" i="2"/>
  <c r="BV1670" i="2"/>
  <c r="BV1671" i="2"/>
  <c r="BV1672" i="2"/>
  <c r="BV1673" i="2"/>
  <c r="BV1674" i="2"/>
  <c r="BV1675" i="2"/>
  <c r="BV1676" i="2"/>
  <c r="BV1677" i="2"/>
  <c r="BV1678" i="2"/>
  <c r="BV1679" i="2"/>
  <c r="BV1680" i="2"/>
  <c r="BV1681" i="2"/>
  <c r="BV1682" i="2"/>
  <c r="BV1683" i="2"/>
  <c r="BV1684" i="2"/>
  <c r="BV1685" i="2"/>
  <c r="BV1686" i="2"/>
  <c r="BV1687" i="2"/>
  <c r="BV1688" i="2"/>
  <c r="BV1689" i="2"/>
  <c r="BV1690" i="2"/>
  <c r="BV1691" i="2"/>
  <c r="BV1692" i="2"/>
  <c r="BV1693" i="2"/>
  <c r="BV1694" i="2"/>
  <c r="BV1695" i="2"/>
  <c r="BV1696" i="2"/>
  <c r="BV1697" i="2"/>
  <c r="BV1698" i="2"/>
  <c r="BV1699" i="2"/>
  <c r="BV1700" i="2"/>
  <c r="BV1701" i="2"/>
  <c r="BV1702" i="2"/>
  <c r="BV1703" i="2"/>
  <c r="BV1704" i="2"/>
  <c r="BV1705" i="2"/>
  <c r="BV1706" i="2"/>
  <c r="BV1707" i="2"/>
  <c r="BV1708" i="2"/>
  <c r="BV1709" i="2"/>
  <c r="BV1710" i="2"/>
  <c r="BV1711" i="2"/>
  <c r="BV1712" i="2"/>
  <c r="BV1713" i="2"/>
  <c r="BV1714" i="2"/>
  <c r="BV1715" i="2"/>
  <c r="BV1716" i="2"/>
  <c r="BV1717" i="2"/>
  <c r="BV1718" i="2"/>
  <c r="BV1719" i="2"/>
  <c r="BV1720" i="2"/>
  <c r="BV1721" i="2"/>
  <c r="BV1722" i="2"/>
  <c r="BV1723" i="2"/>
  <c r="BV1724" i="2"/>
  <c r="BV1725" i="2"/>
  <c r="BV1726" i="2"/>
  <c r="BV1727" i="2"/>
  <c r="BV1728" i="2"/>
  <c r="BV1729" i="2"/>
  <c r="BV1730" i="2"/>
  <c r="BV1731" i="2"/>
  <c r="BV1732" i="2"/>
  <c r="BV1733" i="2"/>
  <c r="BV1734" i="2"/>
  <c r="BV1735" i="2"/>
  <c r="BV1736" i="2"/>
  <c r="BV1737" i="2"/>
  <c r="BV1738" i="2"/>
  <c r="BV1739" i="2"/>
  <c r="BV1740" i="2"/>
  <c r="BV1741" i="2"/>
  <c r="BV1742" i="2"/>
  <c r="BV1743" i="2"/>
  <c r="BV1744" i="2"/>
  <c r="BV1745" i="2"/>
  <c r="BV1746" i="2"/>
  <c r="BV1747" i="2"/>
  <c r="BV1748" i="2"/>
  <c r="BV1749" i="2"/>
  <c r="BV1750" i="2"/>
  <c r="BV1751" i="2"/>
  <c r="BV1752" i="2"/>
  <c r="BV1753" i="2"/>
  <c r="BV1754" i="2"/>
  <c r="BV1755" i="2"/>
  <c r="BV1756" i="2"/>
  <c r="BV1757" i="2"/>
  <c r="BV1758" i="2"/>
  <c r="BV1759" i="2"/>
  <c r="BV1760" i="2"/>
  <c r="BV1761" i="2"/>
  <c r="BV1762" i="2"/>
  <c r="BV1763" i="2"/>
  <c r="BV1764" i="2"/>
  <c r="BV1765" i="2"/>
  <c r="BV1766" i="2"/>
  <c r="BV1767" i="2"/>
  <c r="BV1768" i="2"/>
  <c r="BV1769" i="2"/>
  <c r="BV1770" i="2"/>
  <c r="BV1771" i="2"/>
  <c r="BV1772" i="2"/>
  <c r="BV1773" i="2"/>
  <c r="BV1774" i="2"/>
  <c r="BV1775" i="2"/>
  <c r="BV1776" i="2"/>
  <c r="BV1777" i="2"/>
  <c r="BV1778" i="2"/>
  <c r="BV1779" i="2"/>
  <c r="BV1780" i="2"/>
  <c r="BV1781" i="2"/>
  <c r="BV1782" i="2"/>
  <c r="BV1783" i="2"/>
  <c r="BV1784" i="2"/>
  <c r="BV1785" i="2"/>
  <c r="BV1786" i="2"/>
  <c r="BV1787" i="2"/>
  <c r="BV1788" i="2"/>
  <c r="BV1789" i="2"/>
  <c r="BV1790" i="2"/>
  <c r="BV1791" i="2"/>
  <c r="BV1792" i="2"/>
  <c r="BV1793" i="2"/>
  <c r="BV1794" i="2"/>
  <c r="BV1795" i="2"/>
  <c r="BV1796" i="2"/>
  <c r="BV1797" i="2"/>
  <c r="BV1798" i="2"/>
  <c r="BV1799" i="2"/>
  <c r="BV1800" i="2"/>
  <c r="BV1801" i="2"/>
  <c r="BV1802" i="2"/>
  <c r="BV1803" i="2"/>
  <c r="BV1804" i="2"/>
  <c r="BV1805" i="2"/>
  <c r="BV1806" i="2"/>
  <c r="BV1807" i="2"/>
  <c r="BV1808" i="2"/>
  <c r="BV1809" i="2"/>
  <c r="BV1810" i="2"/>
  <c r="BV1811" i="2"/>
  <c r="BV1812" i="2"/>
  <c r="BV1813" i="2"/>
  <c r="BV1814" i="2"/>
  <c r="BV1815" i="2"/>
  <c r="BV1816" i="2"/>
  <c r="BV1817" i="2"/>
  <c r="BV1818" i="2"/>
  <c r="BV1819" i="2"/>
  <c r="BV1820" i="2"/>
  <c r="BV1821" i="2"/>
  <c r="BV1822" i="2"/>
  <c r="BV1823" i="2"/>
  <c r="BV1824" i="2"/>
  <c r="BV1825" i="2"/>
  <c r="BV1826" i="2"/>
  <c r="BV1827" i="2"/>
  <c r="BV1828" i="2"/>
  <c r="BV1829" i="2"/>
  <c r="BV1830" i="2"/>
  <c r="BV1831" i="2"/>
  <c r="BV1832" i="2"/>
  <c r="BV1833" i="2"/>
  <c r="BV1834" i="2"/>
  <c r="BV1835" i="2"/>
  <c r="BV1836" i="2"/>
  <c r="BV1837" i="2"/>
  <c r="BV1838" i="2"/>
  <c r="BV1839" i="2"/>
  <c r="BV1840" i="2"/>
  <c r="BV1841" i="2"/>
  <c r="BV1842" i="2"/>
  <c r="BV1843" i="2"/>
  <c r="BV1844" i="2"/>
  <c r="BV1845" i="2"/>
  <c r="BV1846" i="2"/>
  <c r="BV1847" i="2"/>
  <c r="BV1848" i="2"/>
  <c r="BV1849" i="2"/>
  <c r="BV1850" i="2"/>
  <c r="BV1851" i="2"/>
  <c r="BV1852" i="2"/>
  <c r="BV1853" i="2"/>
  <c r="BV1854" i="2"/>
  <c r="BV1855" i="2"/>
  <c r="BV1856" i="2"/>
  <c r="BV1857" i="2"/>
  <c r="BV1858" i="2"/>
  <c r="BV1859" i="2"/>
  <c r="BV1860" i="2"/>
  <c r="BV1861" i="2"/>
  <c r="BV1862" i="2"/>
  <c r="BV1863" i="2"/>
  <c r="BV1864" i="2"/>
  <c r="BV1865" i="2"/>
  <c r="BV1866" i="2"/>
  <c r="BV1867" i="2"/>
  <c r="BV1868" i="2"/>
  <c r="BV1869" i="2"/>
  <c r="BV1870" i="2"/>
  <c r="BV1871" i="2"/>
  <c r="BV1872" i="2"/>
  <c r="BV1873" i="2"/>
  <c r="BV1874" i="2"/>
  <c r="BV1875" i="2"/>
  <c r="BV1876" i="2"/>
  <c r="BV1877" i="2"/>
  <c r="BV1878" i="2"/>
  <c r="BV1879" i="2"/>
  <c r="BV1880" i="2"/>
  <c r="BV1881" i="2"/>
  <c r="BV1882" i="2"/>
  <c r="BV1883" i="2"/>
  <c r="BV1884" i="2"/>
  <c r="BV1885" i="2"/>
  <c r="BV1886" i="2"/>
  <c r="BV1887" i="2"/>
  <c r="BV1888" i="2"/>
  <c r="BV1889" i="2"/>
  <c r="BV1890" i="2"/>
  <c r="BV1891" i="2"/>
  <c r="BV1892" i="2"/>
  <c r="BV1893" i="2"/>
  <c r="BV1894" i="2"/>
  <c r="BV1895" i="2"/>
  <c r="BV1896" i="2"/>
  <c r="BV1897" i="2"/>
  <c r="BV1898" i="2"/>
  <c r="BV1899" i="2"/>
  <c r="BV1900" i="2"/>
  <c r="BV1901" i="2"/>
  <c r="BV1902" i="2"/>
  <c r="BV1903" i="2"/>
  <c r="BV1904" i="2"/>
  <c r="BV1905" i="2"/>
  <c r="BV1906" i="2"/>
  <c r="BV1907" i="2"/>
  <c r="BV1908" i="2"/>
  <c r="BV1909" i="2"/>
  <c r="BV1910" i="2"/>
  <c r="BV1911" i="2"/>
  <c r="BV1912" i="2"/>
  <c r="BV1913" i="2"/>
  <c r="BV1914" i="2"/>
  <c r="BV1915" i="2"/>
  <c r="BV1916" i="2"/>
  <c r="BV1917" i="2"/>
  <c r="BV1918" i="2"/>
  <c r="BV1919" i="2"/>
  <c r="BV1920" i="2"/>
  <c r="BV1921" i="2"/>
  <c r="BV1922" i="2"/>
  <c r="BV1923" i="2"/>
  <c r="BV1924" i="2"/>
  <c r="BV1925" i="2"/>
  <c r="BV1926" i="2"/>
  <c r="BV1927" i="2"/>
  <c r="BV1928" i="2"/>
  <c r="BV1929" i="2"/>
  <c r="BV1930" i="2"/>
  <c r="BV1931" i="2"/>
  <c r="BV1932" i="2"/>
  <c r="BV1933" i="2"/>
  <c r="BV1934" i="2"/>
  <c r="BV1935" i="2"/>
  <c r="BV1936" i="2"/>
  <c r="BV1937" i="2"/>
  <c r="BV1938" i="2"/>
  <c r="BV1939" i="2"/>
  <c r="BV1940" i="2"/>
  <c r="BV1941" i="2"/>
  <c r="BV1942" i="2"/>
  <c r="BV1943" i="2"/>
  <c r="BV1944" i="2"/>
  <c r="BV1945" i="2"/>
  <c r="BV1946" i="2"/>
  <c r="BV1947" i="2"/>
  <c r="BV1948" i="2"/>
  <c r="BV1949" i="2"/>
  <c r="BV1950" i="2"/>
  <c r="BV1951" i="2"/>
  <c r="BV1952" i="2"/>
  <c r="BV1953" i="2"/>
  <c r="BV1954" i="2"/>
  <c r="BV1955" i="2"/>
  <c r="BV1956" i="2"/>
  <c r="BV1957" i="2"/>
  <c r="BV1958" i="2"/>
  <c r="BV1959" i="2"/>
  <c r="BV1960" i="2"/>
  <c r="BV1961" i="2"/>
  <c r="BV1962" i="2"/>
  <c r="BV1963" i="2"/>
  <c r="BV1964" i="2"/>
  <c r="BV1965" i="2"/>
  <c r="BV1966" i="2"/>
  <c r="BV1967" i="2"/>
  <c r="BV1968" i="2"/>
  <c r="BV1969" i="2"/>
  <c r="BV1970" i="2"/>
  <c r="BV1971" i="2"/>
  <c r="BV1972" i="2"/>
  <c r="BV1973" i="2"/>
  <c r="BV1974" i="2"/>
  <c r="BV1975" i="2"/>
  <c r="BV1976" i="2"/>
  <c r="BV1977" i="2"/>
  <c r="BV1978" i="2"/>
  <c r="BV1979" i="2"/>
  <c r="BV1980" i="2"/>
  <c r="BV1981" i="2"/>
  <c r="BV1982" i="2"/>
  <c r="BV1983" i="2"/>
  <c r="BV1984" i="2"/>
  <c r="BV1985" i="2"/>
  <c r="BV1986" i="2"/>
  <c r="BV1987" i="2"/>
  <c r="BV1988" i="2"/>
  <c r="BV1989" i="2"/>
  <c r="BV1990" i="2"/>
  <c r="BV1991" i="2"/>
  <c r="BV1992" i="2"/>
  <c r="BV1993" i="2"/>
  <c r="BV1994" i="2"/>
  <c r="BV1995" i="2"/>
  <c r="BV1996" i="2"/>
  <c r="BV1997" i="2"/>
  <c r="BV1998" i="2"/>
  <c r="BV1999" i="2"/>
  <c r="BV2000" i="2"/>
  <c r="BV2001" i="2"/>
  <c r="BV2002" i="2"/>
  <c r="BV2003" i="2"/>
  <c r="BV2004" i="2"/>
  <c r="BV2005" i="2"/>
  <c r="BV2006" i="2"/>
  <c r="BV2007" i="2"/>
  <c r="BV2008" i="2"/>
  <c r="BV2009" i="2"/>
  <c r="BV2010" i="2"/>
  <c r="BV2011" i="2"/>
  <c r="BV2012" i="2"/>
  <c r="BV2013" i="2"/>
  <c r="BV2014" i="2"/>
  <c r="BV2015" i="2"/>
  <c r="BV2016" i="2"/>
  <c r="BV2017" i="2"/>
  <c r="BV2018" i="2"/>
  <c r="BV2019" i="2"/>
  <c r="BV2020" i="2"/>
  <c r="BV2021" i="2"/>
  <c r="BV2022" i="2"/>
  <c r="BV2023" i="2"/>
  <c r="BV2024" i="2"/>
  <c r="BV2025" i="2"/>
  <c r="BV2026" i="2"/>
  <c r="BV2027" i="2"/>
  <c r="BV2028" i="2"/>
  <c r="BV2029" i="2"/>
  <c r="BV2030" i="2"/>
  <c r="BV2031" i="2"/>
  <c r="BV2032" i="2"/>
  <c r="BV2033" i="2"/>
  <c r="BV2034" i="2"/>
  <c r="BV2035" i="2"/>
  <c r="BV2036" i="2"/>
  <c r="BV2037" i="2"/>
  <c r="BV2038" i="2"/>
  <c r="BV2039" i="2"/>
  <c r="BV2040" i="2"/>
  <c r="BV2041" i="2"/>
  <c r="BV2042" i="2"/>
  <c r="BV2043" i="2"/>
  <c r="BV2044" i="2"/>
  <c r="BV2045" i="2"/>
  <c r="BV2046" i="2"/>
  <c r="BV2047" i="2"/>
  <c r="BV2048" i="2"/>
  <c r="BV2049" i="2"/>
  <c r="BV2050" i="2"/>
  <c r="BV2051" i="2"/>
  <c r="BV2052" i="2"/>
  <c r="BV2053" i="2"/>
  <c r="BV2054" i="2"/>
  <c r="BV2055" i="2"/>
  <c r="BV2056" i="2"/>
  <c r="BV2057" i="2"/>
  <c r="BV2058" i="2"/>
  <c r="BV2059" i="2"/>
  <c r="BV2060" i="2"/>
  <c r="BV2061" i="2"/>
  <c r="BV2062" i="2"/>
  <c r="BV2063" i="2"/>
  <c r="BV2064" i="2"/>
  <c r="BV2065" i="2"/>
  <c r="BV2066" i="2"/>
  <c r="BV2067" i="2"/>
  <c r="BV2068" i="2"/>
  <c r="BV2069" i="2"/>
  <c r="BV2070" i="2"/>
  <c r="BV2071" i="2"/>
  <c r="BV2072" i="2"/>
  <c r="BV2073" i="2"/>
  <c r="BV2074" i="2"/>
  <c r="BV2075" i="2"/>
  <c r="BV2076" i="2"/>
  <c r="BV2077" i="2"/>
  <c r="BV2078" i="2"/>
  <c r="BV2079" i="2"/>
  <c r="BV2080" i="2"/>
  <c r="BV2081" i="2"/>
  <c r="BV2082" i="2"/>
  <c r="BV2083" i="2"/>
  <c r="BV2084" i="2"/>
  <c r="BV2085" i="2"/>
  <c r="BV2086" i="2"/>
  <c r="BV2087" i="2"/>
  <c r="BV2088" i="2"/>
  <c r="BV2089" i="2"/>
  <c r="BV2090" i="2"/>
  <c r="BV2091" i="2"/>
  <c r="BV2092" i="2"/>
  <c r="BV2093" i="2"/>
  <c r="BV2094" i="2"/>
  <c r="BV2095" i="2"/>
  <c r="BV2096" i="2"/>
  <c r="BV2097" i="2"/>
  <c r="BV2098" i="2"/>
  <c r="BV2099" i="2"/>
  <c r="BV2100" i="2"/>
  <c r="BV2101" i="2"/>
  <c r="BV2102" i="2"/>
  <c r="BV2103" i="2"/>
  <c r="BV2104" i="2"/>
  <c r="BV2105" i="2"/>
  <c r="BV2106" i="2"/>
  <c r="BV2107" i="2"/>
  <c r="BV2108" i="2"/>
  <c r="BV2109" i="2"/>
  <c r="BV2110" i="2"/>
  <c r="BV2111" i="2"/>
  <c r="BV2112" i="2"/>
  <c r="BV2113" i="2"/>
  <c r="BV2114" i="2"/>
  <c r="BV2115" i="2"/>
  <c r="BV2116" i="2"/>
  <c r="BV2117" i="2"/>
  <c r="BV2118" i="2"/>
  <c r="BV2119" i="2"/>
  <c r="BV2120" i="2"/>
  <c r="BV2121" i="2"/>
  <c r="BV2122" i="2"/>
  <c r="BV2123" i="2"/>
  <c r="BV2124" i="2"/>
  <c r="BV2125" i="2"/>
  <c r="BV2126" i="2"/>
  <c r="BV2127" i="2"/>
  <c r="BV2128" i="2"/>
  <c r="BV2129" i="2"/>
  <c r="BV2130" i="2"/>
  <c r="BV2131" i="2"/>
  <c r="BV2132" i="2"/>
  <c r="BV2" i="2"/>
  <c r="BR3" i="2"/>
  <c r="BR4" i="2"/>
  <c r="BR5" i="2"/>
  <c r="BR6" i="2"/>
  <c r="BR7" i="2"/>
  <c r="BR8" i="2"/>
  <c r="BR9" i="2"/>
  <c r="BR10" i="2"/>
  <c r="BR11" i="2"/>
  <c r="BR12" i="2"/>
  <c r="BR13" i="2"/>
  <c r="BR14" i="2"/>
  <c r="BR15" i="2"/>
  <c r="BR16" i="2"/>
  <c r="BR17" i="2"/>
  <c r="BR18" i="2"/>
  <c r="BR19" i="2"/>
  <c r="BR20" i="2"/>
  <c r="BR21" i="2"/>
  <c r="BR22" i="2"/>
  <c r="BR23" i="2"/>
  <c r="BR24" i="2"/>
  <c r="BR25" i="2"/>
  <c r="BR26" i="2"/>
  <c r="BR27" i="2"/>
  <c r="BR28" i="2"/>
  <c r="BR29" i="2"/>
  <c r="BR30" i="2"/>
  <c r="BR31" i="2"/>
  <c r="BR32" i="2"/>
  <c r="BR33" i="2"/>
  <c r="BR34" i="2"/>
  <c r="BR35" i="2"/>
  <c r="BR36" i="2"/>
  <c r="BR37" i="2"/>
  <c r="BR38" i="2"/>
  <c r="BR39" i="2"/>
  <c r="BR40" i="2"/>
  <c r="BR41" i="2"/>
  <c r="BR42" i="2"/>
  <c r="BR43" i="2"/>
  <c r="BR44" i="2"/>
  <c r="BR45" i="2"/>
  <c r="BR46" i="2"/>
  <c r="BR47" i="2"/>
  <c r="BR48" i="2"/>
  <c r="BR49" i="2"/>
  <c r="BR50" i="2"/>
  <c r="BR51" i="2"/>
  <c r="BR52" i="2"/>
  <c r="BR53" i="2"/>
  <c r="BR54" i="2"/>
  <c r="BR55" i="2"/>
  <c r="BR56" i="2"/>
  <c r="BR57" i="2"/>
  <c r="BR58" i="2"/>
  <c r="BR59" i="2"/>
  <c r="BR60" i="2"/>
  <c r="BR61" i="2"/>
  <c r="BR62" i="2"/>
  <c r="BR63" i="2"/>
  <c r="BR64" i="2"/>
  <c r="BR65" i="2"/>
  <c r="BR66" i="2"/>
  <c r="BR67" i="2"/>
  <c r="BR68" i="2"/>
  <c r="BR69" i="2"/>
  <c r="BR70" i="2"/>
  <c r="BR71" i="2"/>
  <c r="BR72" i="2"/>
  <c r="BR73" i="2"/>
  <c r="BR74" i="2"/>
  <c r="BR75" i="2"/>
  <c r="BR76" i="2"/>
  <c r="BR77" i="2"/>
  <c r="BR78" i="2"/>
  <c r="BR79" i="2"/>
  <c r="BR80" i="2"/>
  <c r="BR81" i="2"/>
  <c r="BR82" i="2"/>
  <c r="BR83" i="2"/>
  <c r="BR84" i="2"/>
  <c r="BR85" i="2"/>
  <c r="BR86" i="2"/>
  <c r="BR87" i="2"/>
  <c r="BR88" i="2"/>
  <c r="BR89" i="2"/>
  <c r="BR90" i="2"/>
  <c r="BR91" i="2"/>
  <c r="BR92" i="2"/>
  <c r="BR93" i="2"/>
  <c r="BR94" i="2"/>
  <c r="BR95" i="2"/>
  <c r="BR96" i="2"/>
  <c r="BR97" i="2"/>
  <c r="BR98" i="2"/>
  <c r="BR99" i="2"/>
  <c r="BR100" i="2"/>
  <c r="BR101" i="2"/>
  <c r="BR102" i="2"/>
  <c r="BR103" i="2"/>
  <c r="BR104" i="2"/>
  <c r="BR105" i="2"/>
  <c r="BR106" i="2"/>
  <c r="BR107" i="2"/>
  <c r="BR108" i="2"/>
  <c r="BR109" i="2"/>
  <c r="BR110" i="2"/>
  <c r="BR111" i="2"/>
  <c r="BR112" i="2"/>
  <c r="BR113" i="2"/>
  <c r="BR114" i="2"/>
  <c r="BR115" i="2"/>
  <c r="BR116" i="2"/>
  <c r="BR117" i="2"/>
  <c r="BR118" i="2"/>
  <c r="BR119" i="2"/>
  <c r="BR120" i="2"/>
  <c r="BR121" i="2"/>
  <c r="BR122" i="2"/>
  <c r="BR123" i="2"/>
  <c r="BR124" i="2"/>
  <c r="BR125" i="2"/>
  <c r="BR126" i="2"/>
  <c r="BR127" i="2"/>
  <c r="BR128" i="2"/>
  <c r="BR129" i="2"/>
  <c r="BR130" i="2"/>
  <c r="BR131" i="2"/>
  <c r="BR132" i="2"/>
  <c r="BR133" i="2"/>
  <c r="BR134" i="2"/>
  <c r="BR135" i="2"/>
  <c r="BR136" i="2"/>
  <c r="BR137" i="2"/>
  <c r="BR138" i="2"/>
  <c r="BR139" i="2"/>
  <c r="BR140" i="2"/>
  <c r="BR141" i="2"/>
  <c r="BR142" i="2"/>
  <c r="BR143" i="2"/>
  <c r="BR144" i="2"/>
  <c r="BR145" i="2"/>
  <c r="BR146" i="2"/>
  <c r="BR147" i="2"/>
  <c r="BR148" i="2"/>
  <c r="BR149" i="2"/>
  <c r="BR150" i="2"/>
  <c r="BR151" i="2"/>
  <c r="BR152" i="2"/>
  <c r="BR153" i="2"/>
  <c r="BR154" i="2"/>
  <c r="BR155" i="2"/>
  <c r="BR156" i="2"/>
  <c r="BR157" i="2"/>
  <c r="BR158" i="2"/>
  <c r="BR159" i="2"/>
  <c r="BR160" i="2"/>
  <c r="BR161" i="2"/>
  <c r="BR162" i="2"/>
  <c r="BR163" i="2"/>
  <c r="BR164" i="2"/>
  <c r="BR165" i="2"/>
  <c r="BR166" i="2"/>
  <c r="BR167" i="2"/>
  <c r="BR168" i="2"/>
  <c r="BR169" i="2"/>
  <c r="BR170" i="2"/>
  <c r="BR171" i="2"/>
  <c r="BR172" i="2"/>
  <c r="BR173" i="2"/>
  <c r="BR174" i="2"/>
  <c r="BR175" i="2"/>
  <c r="BR176" i="2"/>
  <c r="BR177" i="2"/>
  <c r="BR178" i="2"/>
  <c r="BR179" i="2"/>
  <c r="BR180" i="2"/>
  <c r="BR181" i="2"/>
  <c r="BR182" i="2"/>
  <c r="BR183" i="2"/>
  <c r="BR184" i="2"/>
  <c r="BR185" i="2"/>
  <c r="BR186" i="2"/>
  <c r="BR187" i="2"/>
  <c r="BR188" i="2"/>
  <c r="BR189" i="2"/>
  <c r="BR190" i="2"/>
  <c r="BR191" i="2"/>
  <c r="BR192" i="2"/>
  <c r="BR193" i="2"/>
  <c r="BR194" i="2"/>
  <c r="BR195" i="2"/>
  <c r="BR196" i="2"/>
  <c r="BR197" i="2"/>
  <c r="BR198" i="2"/>
  <c r="BR199" i="2"/>
  <c r="BR200" i="2"/>
  <c r="BR201" i="2"/>
  <c r="BR202" i="2"/>
  <c r="BR203" i="2"/>
  <c r="BR204" i="2"/>
  <c r="BR205" i="2"/>
  <c r="BR206" i="2"/>
  <c r="BR207" i="2"/>
  <c r="BR208" i="2"/>
  <c r="BR209" i="2"/>
  <c r="BR210" i="2"/>
  <c r="BR211" i="2"/>
  <c r="BR212" i="2"/>
  <c r="BR213" i="2"/>
  <c r="BR214" i="2"/>
  <c r="BR215" i="2"/>
  <c r="BR216" i="2"/>
  <c r="BR217" i="2"/>
  <c r="BR218" i="2"/>
  <c r="BR219" i="2"/>
  <c r="BR220" i="2"/>
  <c r="BR221" i="2"/>
  <c r="BR222" i="2"/>
  <c r="BR223" i="2"/>
  <c r="BR224" i="2"/>
  <c r="BR225" i="2"/>
  <c r="BR226" i="2"/>
  <c r="BR227" i="2"/>
  <c r="BR228" i="2"/>
  <c r="BR229" i="2"/>
  <c r="BR230" i="2"/>
  <c r="BR231" i="2"/>
  <c r="BR232" i="2"/>
  <c r="BR233" i="2"/>
  <c r="BR234" i="2"/>
  <c r="BR235" i="2"/>
  <c r="BR236" i="2"/>
  <c r="BR237" i="2"/>
  <c r="BR238" i="2"/>
  <c r="BR239" i="2"/>
  <c r="BR240" i="2"/>
  <c r="BR241" i="2"/>
  <c r="BR242" i="2"/>
  <c r="BR243" i="2"/>
  <c r="BR244" i="2"/>
  <c r="BR245" i="2"/>
  <c r="BR246" i="2"/>
  <c r="BR247" i="2"/>
  <c r="BR248" i="2"/>
  <c r="BR249" i="2"/>
  <c r="BR250" i="2"/>
  <c r="BR251" i="2"/>
  <c r="BR252" i="2"/>
  <c r="BR253" i="2"/>
  <c r="BR254" i="2"/>
  <c r="BR255" i="2"/>
  <c r="BR256" i="2"/>
  <c r="BR257" i="2"/>
  <c r="BR258" i="2"/>
  <c r="BR259" i="2"/>
  <c r="BR260" i="2"/>
  <c r="BR261" i="2"/>
  <c r="BR262" i="2"/>
  <c r="BR263" i="2"/>
  <c r="BR264" i="2"/>
  <c r="BR265" i="2"/>
  <c r="BR266" i="2"/>
  <c r="BR267" i="2"/>
  <c r="BR268" i="2"/>
  <c r="BR269" i="2"/>
  <c r="BR270" i="2"/>
  <c r="BR271" i="2"/>
  <c r="BR272" i="2"/>
  <c r="BR273" i="2"/>
  <c r="BR274" i="2"/>
  <c r="BR275" i="2"/>
  <c r="BR276" i="2"/>
  <c r="BR277" i="2"/>
  <c r="BR278" i="2"/>
  <c r="BR279" i="2"/>
  <c r="BR280" i="2"/>
  <c r="BR281" i="2"/>
  <c r="BR282" i="2"/>
  <c r="BR283" i="2"/>
  <c r="BR284" i="2"/>
  <c r="BR285" i="2"/>
  <c r="BR286" i="2"/>
  <c r="BR287" i="2"/>
  <c r="BR288" i="2"/>
  <c r="BR289" i="2"/>
  <c r="BR290" i="2"/>
  <c r="BR291" i="2"/>
  <c r="BR292" i="2"/>
  <c r="BR293" i="2"/>
  <c r="BR294" i="2"/>
  <c r="BR295" i="2"/>
  <c r="BR296" i="2"/>
  <c r="BR297" i="2"/>
  <c r="BR298" i="2"/>
  <c r="BR299" i="2"/>
  <c r="BR300" i="2"/>
  <c r="BR301" i="2"/>
  <c r="BR302" i="2"/>
  <c r="BR303" i="2"/>
  <c r="BR304" i="2"/>
  <c r="BR305" i="2"/>
  <c r="BR306" i="2"/>
  <c r="BR307" i="2"/>
  <c r="BR308" i="2"/>
  <c r="BR309" i="2"/>
  <c r="BR310" i="2"/>
  <c r="BR311" i="2"/>
  <c r="BR312" i="2"/>
  <c r="BR313" i="2"/>
  <c r="BR314" i="2"/>
  <c r="BR315" i="2"/>
  <c r="BR316" i="2"/>
  <c r="BR317" i="2"/>
  <c r="BR318" i="2"/>
  <c r="BR319" i="2"/>
  <c r="BR320" i="2"/>
  <c r="BR321" i="2"/>
  <c r="BR322" i="2"/>
  <c r="BR323" i="2"/>
  <c r="BR324" i="2"/>
  <c r="BR325" i="2"/>
  <c r="BR326" i="2"/>
  <c r="BR327" i="2"/>
  <c r="BR328" i="2"/>
  <c r="BR329" i="2"/>
  <c r="BR330" i="2"/>
  <c r="BR331" i="2"/>
  <c r="BR332" i="2"/>
  <c r="BR333" i="2"/>
  <c r="BR334" i="2"/>
  <c r="BR335" i="2"/>
  <c r="BR336" i="2"/>
  <c r="BR337" i="2"/>
  <c r="BR338" i="2"/>
  <c r="BR339" i="2"/>
  <c r="BR340" i="2"/>
  <c r="BR341" i="2"/>
  <c r="BR342" i="2"/>
  <c r="BR343" i="2"/>
  <c r="BR344" i="2"/>
  <c r="BR345" i="2"/>
  <c r="BR346" i="2"/>
  <c r="BR347" i="2"/>
  <c r="BR348" i="2"/>
  <c r="BR349" i="2"/>
  <c r="BR350" i="2"/>
  <c r="BR351" i="2"/>
  <c r="BR352" i="2"/>
  <c r="BR353" i="2"/>
  <c r="BR354" i="2"/>
  <c r="BR355" i="2"/>
  <c r="BR356" i="2"/>
  <c r="BR357" i="2"/>
  <c r="BR358" i="2"/>
  <c r="BR359" i="2"/>
  <c r="BR360" i="2"/>
  <c r="BR361" i="2"/>
  <c r="BR362" i="2"/>
  <c r="BR363" i="2"/>
  <c r="BR364" i="2"/>
  <c r="BR365" i="2"/>
  <c r="BR366" i="2"/>
  <c r="BR367" i="2"/>
  <c r="BR368" i="2"/>
  <c r="BR369" i="2"/>
  <c r="BR370" i="2"/>
  <c r="BR371" i="2"/>
  <c r="BR372" i="2"/>
  <c r="BR373" i="2"/>
  <c r="BR374" i="2"/>
  <c r="BR375" i="2"/>
  <c r="BR376" i="2"/>
  <c r="BR377" i="2"/>
  <c r="BR378" i="2"/>
  <c r="BR379" i="2"/>
  <c r="BR380" i="2"/>
  <c r="BR381" i="2"/>
  <c r="BR382" i="2"/>
  <c r="BR383" i="2"/>
  <c r="BR384" i="2"/>
  <c r="BR385" i="2"/>
  <c r="BR386" i="2"/>
  <c r="BR387" i="2"/>
  <c r="BR388" i="2"/>
  <c r="BR389" i="2"/>
  <c r="BR390" i="2"/>
  <c r="BR391" i="2"/>
  <c r="BR392" i="2"/>
  <c r="BR393" i="2"/>
  <c r="BR394" i="2"/>
  <c r="BR395" i="2"/>
  <c r="BR396" i="2"/>
  <c r="BR397" i="2"/>
  <c r="BR398" i="2"/>
  <c r="BR399" i="2"/>
  <c r="BR400" i="2"/>
  <c r="BR401" i="2"/>
  <c r="BR402" i="2"/>
  <c r="BR403" i="2"/>
  <c r="BR404" i="2"/>
  <c r="BR405" i="2"/>
  <c r="BR406" i="2"/>
  <c r="BR407" i="2"/>
  <c r="BR408" i="2"/>
  <c r="BR409" i="2"/>
  <c r="BR410" i="2"/>
  <c r="BR411" i="2"/>
  <c r="BR412" i="2"/>
  <c r="BR413" i="2"/>
  <c r="BR414" i="2"/>
  <c r="BR415" i="2"/>
  <c r="BR416" i="2"/>
  <c r="BR417" i="2"/>
  <c r="BR418" i="2"/>
  <c r="BR419" i="2"/>
  <c r="BR420" i="2"/>
  <c r="BR421" i="2"/>
  <c r="BR422" i="2"/>
  <c r="BR423" i="2"/>
  <c r="BR424" i="2"/>
  <c r="BR425" i="2"/>
  <c r="BR426" i="2"/>
  <c r="BR427" i="2"/>
  <c r="BR428" i="2"/>
  <c r="BR429" i="2"/>
  <c r="BR430" i="2"/>
  <c r="BR431" i="2"/>
  <c r="BR432" i="2"/>
  <c r="BR433" i="2"/>
  <c r="BR434" i="2"/>
  <c r="BR435" i="2"/>
  <c r="BR436" i="2"/>
  <c r="BR437" i="2"/>
  <c r="BR438" i="2"/>
  <c r="BR439" i="2"/>
  <c r="BR440" i="2"/>
  <c r="BR441" i="2"/>
  <c r="BR442" i="2"/>
  <c r="BR443" i="2"/>
  <c r="BR444" i="2"/>
  <c r="BR445" i="2"/>
  <c r="BR446" i="2"/>
  <c r="BR447" i="2"/>
  <c r="BR448" i="2"/>
  <c r="BR449" i="2"/>
  <c r="BR450" i="2"/>
  <c r="BR451" i="2"/>
  <c r="BR452" i="2"/>
  <c r="BR453" i="2"/>
  <c r="BR454" i="2"/>
  <c r="BR455" i="2"/>
  <c r="BR456" i="2"/>
  <c r="BR457" i="2"/>
  <c r="BR458" i="2"/>
  <c r="BR459" i="2"/>
  <c r="BR460" i="2"/>
  <c r="BR461" i="2"/>
  <c r="BR462" i="2"/>
  <c r="BR463" i="2"/>
  <c r="BR464" i="2"/>
  <c r="BR465" i="2"/>
  <c r="BR466" i="2"/>
  <c r="BR467" i="2"/>
  <c r="BR468" i="2"/>
  <c r="BR469" i="2"/>
  <c r="BR470" i="2"/>
  <c r="BR471" i="2"/>
  <c r="BR472" i="2"/>
  <c r="BR473" i="2"/>
  <c r="BR474" i="2"/>
  <c r="BR475" i="2"/>
  <c r="BR476" i="2"/>
  <c r="BR477" i="2"/>
  <c r="BR478" i="2"/>
  <c r="BR479" i="2"/>
  <c r="BR480" i="2"/>
  <c r="BR481" i="2"/>
  <c r="BR482" i="2"/>
  <c r="BR483" i="2"/>
  <c r="BR484" i="2"/>
  <c r="BR485" i="2"/>
  <c r="BR486" i="2"/>
  <c r="BR487" i="2"/>
  <c r="BR488" i="2"/>
  <c r="BR489" i="2"/>
  <c r="BR490" i="2"/>
  <c r="BR491" i="2"/>
  <c r="BR492" i="2"/>
  <c r="BR493" i="2"/>
  <c r="BR494" i="2"/>
  <c r="BR495" i="2"/>
  <c r="BR496" i="2"/>
  <c r="BR497" i="2"/>
  <c r="BR498" i="2"/>
  <c r="BR499" i="2"/>
  <c r="BR500" i="2"/>
  <c r="BR501" i="2"/>
  <c r="BR502" i="2"/>
  <c r="BR503" i="2"/>
  <c r="BR504" i="2"/>
  <c r="BR505" i="2"/>
  <c r="BR506" i="2"/>
  <c r="BR507" i="2"/>
  <c r="BR508" i="2"/>
  <c r="BR509" i="2"/>
  <c r="BR510" i="2"/>
  <c r="BR511" i="2"/>
  <c r="BR512" i="2"/>
  <c r="BR513" i="2"/>
  <c r="BR514" i="2"/>
  <c r="BR515" i="2"/>
  <c r="BR516" i="2"/>
  <c r="BR517" i="2"/>
  <c r="BR518" i="2"/>
  <c r="BR519" i="2"/>
  <c r="BR520" i="2"/>
  <c r="BR521" i="2"/>
  <c r="BR522" i="2"/>
  <c r="BR523" i="2"/>
  <c r="BR524" i="2"/>
  <c r="BR525" i="2"/>
  <c r="BR526" i="2"/>
  <c r="BR527" i="2"/>
  <c r="BR528" i="2"/>
  <c r="BR529" i="2"/>
  <c r="BR530" i="2"/>
  <c r="BR531" i="2"/>
  <c r="BR532" i="2"/>
  <c r="BR533" i="2"/>
  <c r="BR534" i="2"/>
  <c r="BR535" i="2"/>
  <c r="BR536" i="2"/>
  <c r="BR537" i="2"/>
  <c r="BR538" i="2"/>
  <c r="BR539" i="2"/>
  <c r="BR540" i="2"/>
  <c r="BR541" i="2"/>
  <c r="BR542" i="2"/>
  <c r="BR543" i="2"/>
  <c r="BR544" i="2"/>
  <c r="BR545" i="2"/>
  <c r="BR546" i="2"/>
  <c r="BR547" i="2"/>
  <c r="BR548" i="2"/>
  <c r="BR549" i="2"/>
  <c r="BR550" i="2"/>
  <c r="BR551" i="2"/>
  <c r="BR552" i="2"/>
  <c r="BR553" i="2"/>
  <c r="BR554" i="2"/>
  <c r="BR555" i="2"/>
  <c r="BR556" i="2"/>
  <c r="BR557" i="2"/>
  <c r="BR558" i="2"/>
  <c r="BR559" i="2"/>
  <c r="BR560" i="2"/>
  <c r="BR561" i="2"/>
  <c r="BR562" i="2"/>
  <c r="BR563" i="2"/>
  <c r="BR564" i="2"/>
  <c r="BR565" i="2"/>
  <c r="BR566" i="2"/>
  <c r="BR567" i="2"/>
  <c r="BR568" i="2"/>
  <c r="BR569" i="2"/>
  <c r="BR570" i="2"/>
  <c r="BR571" i="2"/>
  <c r="BR572" i="2"/>
  <c r="BR573" i="2"/>
  <c r="BR574" i="2"/>
  <c r="BR575" i="2"/>
  <c r="BR576" i="2"/>
  <c r="BR577" i="2"/>
  <c r="BR578" i="2"/>
  <c r="BR579" i="2"/>
  <c r="BR580" i="2"/>
  <c r="BR581" i="2"/>
  <c r="BR582" i="2"/>
  <c r="BR583" i="2"/>
  <c r="BR584" i="2"/>
  <c r="BR585" i="2"/>
  <c r="BR586" i="2"/>
  <c r="BR587" i="2"/>
  <c r="BR588" i="2"/>
  <c r="BR589" i="2"/>
  <c r="BR590" i="2"/>
  <c r="BR591" i="2"/>
  <c r="BR592" i="2"/>
  <c r="BR593" i="2"/>
  <c r="BR594" i="2"/>
  <c r="BR595" i="2"/>
  <c r="BR596" i="2"/>
  <c r="BR597" i="2"/>
  <c r="BR598" i="2"/>
  <c r="BR599" i="2"/>
  <c r="BR600" i="2"/>
  <c r="BR601" i="2"/>
  <c r="BR602" i="2"/>
  <c r="BR603" i="2"/>
  <c r="BR604" i="2"/>
  <c r="BR605" i="2"/>
  <c r="BR606" i="2"/>
  <c r="BR607" i="2"/>
  <c r="BR608" i="2"/>
  <c r="BR609" i="2"/>
  <c r="BR610" i="2"/>
  <c r="BR611" i="2"/>
  <c r="BR612" i="2"/>
  <c r="BR613" i="2"/>
  <c r="BR614" i="2"/>
  <c r="BR615" i="2"/>
  <c r="BR616" i="2"/>
  <c r="BR617" i="2"/>
  <c r="BR618" i="2"/>
  <c r="BR619" i="2"/>
  <c r="BR620" i="2"/>
  <c r="BR621" i="2"/>
  <c r="BR622" i="2"/>
  <c r="BR623" i="2"/>
  <c r="BR624" i="2"/>
  <c r="BR625" i="2"/>
  <c r="BR626" i="2"/>
  <c r="BR627" i="2"/>
  <c r="BR628" i="2"/>
  <c r="BR629" i="2"/>
  <c r="BR630" i="2"/>
  <c r="BR631" i="2"/>
  <c r="BR632" i="2"/>
  <c r="BR633" i="2"/>
  <c r="BR634" i="2"/>
  <c r="BR635" i="2"/>
  <c r="BR636" i="2"/>
  <c r="BR637" i="2"/>
  <c r="BR638" i="2"/>
  <c r="BR639" i="2"/>
  <c r="BR640" i="2"/>
  <c r="BR641" i="2"/>
  <c r="BR642" i="2"/>
  <c r="BR643" i="2"/>
  <c r="BR644" i="2"/>
  <c r="BR645" i="2"/>
  <c r="BR646" i="2"/>
  <c r="BR647" i="2"/>
  <c r="BR648" i="2"/>
  <c r="BR649" i="2"/>
  <c r="BR650" i="2"/>
  <c r="BR651" i="2"/>
  <c r="BR652" i="2"/>
  <c r="BR653" i="2"/>
  <c r="BR654" i="2"/>
  <c r="BR655" i="2"/>
  <c r="BR656" i="2"/>
  <c r="BR657" i="2"/>
  <c r="BR658" i="2"/>
  <c r="BR659" i="2"/>
  <c r="BR660" i="2"/>
  <c r="BR661" i="2"/>
  <c r="BR662" i="2"/>
  <c r="BR663" i="2"/>
  <c r="BR664" i="2"/>
  <c r="BR665" i="2"/>
  <c r="BR666" i="2"/>
  <c r="BR667" i="2"/>
  <c r="BR668" i="2"/>
  <c r="BR669" i="2"/>
  <c r="BR670" i="2"/>
  <c r="BR671" i="2"/>
  <c r="BR672" i="2"/>
  <c r="BR673" i="2"/>
  <c r="BR674" i="2"/>
  <c r="BR675" i="2"/>
  <c r="BR676" i="2"/>
  <c r="BR677" i="2"/>
  <c r="BR678" i="2"/>
  <c r="BR679" i="2"/>
  <c r="BR680" i="2"/>
  <c r="BR681" i="2"/>
  <c r="BR682" i="2"/>
  <c r="BR683" i="2"/>
  <c r="BR684" i="2"/>
  <c r="BR685" i="2"/>
  <c r="BR686" i="2"/>
  <c r="BR687" i="2"/>
  <c r="BR688" i="2"/>
  <c r="BR689" i="2"/>
  <c r="BR690" i="2"/>
  <c r="BR691" i="2"/>
  <c r="BR692" i="2"/>
  <c r="BR693" i="2"/>
  <c r="BR694" i="2"/>
  <c r="BR695" i="2"/>
  <c r="BR696" i="2"/>
  <c r="BR697" i="2"/>
  <c r="BR698" i="2"/>
  <c r="BR699" i="2"/>
  <c r="BR700" i="2"/>
  <c r="BR701" i="2"/>
  <c r="BR702" i="2"/>
  <c r="BR703" i="2"/>
  <c r="BR704" i="2"/>
  <c r="BR705" i="2"/>
  <c r="BR706" i="2"/>
  <c r="BR707" i="2"/>
  <c r="BR708" i="2"/>
  <c r="BR709" i="2"/>
  <c r="BR710" i="2"/>
  <c r="BR711" i="2"/>
  <c r="BR712" i="2"/>
  <c r="BR713" i="2"/>
  <c r="BR714" i="2"/>
  <c r="BR715" i="2"/>
  <c r="BR716" i="2"/>
  <c r="BR717" i="2"/>
  <c r="BR718" i="2"/>
  <c r="BR719" i="2"/>
  <c r="BR720" i="2"/>
  <c r="BR721" i="2"/>
  <c r="BR722" i="2"/>
  <c r="BR723" i="2"/>
  <c r="BR724" i="2"/>
  <c r="BR725" i="2"/>
  <c r="BR726" i="2"/>
  <c r="BR727" i="2"/>
  <c r="BR728" i="2"/>
  <c r="BR729" i="2"/>
  <c r="BR730" i="2"/>
  <c r="BR731" i="2"/>
  <c r="BR732" i="2"/>
  <c r="BR733" i="2"/>
  <c r="BR734" i="2"/>
  <c r="BR735" i="2"/>
  <c r="BR736" i="2"/>
  <c r="BR737" i="2"/>
  <c r="BR738" i="2"/>
  <c r="BR739" i="2"/>
  <c r="BR740" i="2"/>
  <c r="BR741" i="2"/>
  <c r="BR742" i="2"/>
  <c r="BR743" i="2"/>
  <c r="BR744" i="2"/>
  <c r="BR745" i="2"/>
  <c r="BR746" i="2"/>
  <c r="BR747" i="2"/>
  <c r="BR748" i="2"/>
  <c r="BR749" i="2"/>
  <c r="BR750" i="2"/>
  <c r="BR751" i="2"/>
  <c r="BR752" i="2"/>
  <c r="BR753" i="2"/>
  <c r="BR754" i="2"/>
  <c r="BR755" i="2"/>
  <c r="BR756" i="2"/>
  <c r="BR757" i="2"/>
  <c r="BR758" i="2"/>
  <c r="BR759" i="2"/>
  <c r="BR760" i="2"/>
  <c r="BR761" i="2"/>
  <c r="BR762" i="2"/>
  <c r="BR763" i="2"/>
  <c r="BR764" i="2"/>
  <c r="BR765" i="2"/>
  <c r="BR766" i="2"/>
  <c r="BR767" i="2"/>
  <c r="BR768" i="2"/>
  <c r="BR769" i="2"/>
  <c r="BR770" i="2"/>
  <c r="BR771" i="2"/>
  <c r="BR772" i="2"/>
  <c r="BR773" i="2"/>
  <c r="BR774" i="2"/>
  <c r="BR775" i="2"/>
  <c r="BR776" i="2"/>
  <c r="BR777" i="2"/>
  <c r="BR778" i="2"/>
  <c r="BR779" i="2"/>
  <c r="BR780" i="2"/>
  <c r="BR781" i="2"/>
  <c r="BR782" i="2"/>
  <c r="BR783" i="2"/>
  <c r="BR784" i="2"/>
  <c r="BR785" i="2"/>
  <c r="BR786" i="2"/>
  <c r="BR787" i="2"/>
  <c r="BR788" i="2"/>
  <c r="BR789" i="2"/>
  <c r="BR790" i="2"/>
  <c r="BR791" i="2"/>
  <c r="BR792" i="2"/>
  <c r="BR793" i="2"/>
  <c r="BR794" i="2"/>
  <c r="BR795" i="2"/>
  <c r="BR796" i="2"/>
  <c r="BR797" i="2"/>
  <c r="BR798" i="2"/>
  <c r="BR799" i="2"/>
  <c r="BR800" i="2"/>
  <c r="BR801" i="2"/>
  <c r="BR802" i="2"/>
  <c r="BR803" i="2"/>
  <c r="BR804" i="2"/>
  <c r="BR805" i="2"/>
  <c r="BR806" i="2"/>
  <c r="BR807" i="2"/>
  <c r="BR808" i="2"/>
  <c r="BR809" i="2"/>
  <c r="BR810" i="2"/>
  <c r="BR811" i="2"/>
  <c r="BR812" i="2"/>
  <c r="BR813" i="2"/>
  <c r="BR814" i="2"/>
  <c r="BR815" i="2"/>
  <c r="BR816" i="2"/>
  <c r="BR817" i="2"/>
  <c r="BR818" i="2"/>
  <c r="BR819" i="2"/>
  <c r="BR820" i="2"/>
  <c r="BR821" i="2"/>
  <c r="BR822" i="2"/>
  <c r="BR823" i="2"/>
  <c r="BR824" i="2"/>
  <c r="BR825" i="2"/>
  <c r="BR826" i="2"/>
  <c r="BR827" i="2"/>
  <c r="BR828" i="2"/>
  <c r="BR829" i="2"/>
  <c r="BR830" i="2"/>
  <c r="BR831" i="2"/>
  <c r="BR832" i="2"/>
  <c r="BR833" i="2"/>
  <c r="BR834" i="2"/>
  <c r="BR835" i="2"/>
  <c r="BR836" i="2"/>
  <c r="BR837" i="2"/>
  <c r="BR838" i="2"/>
  <c r="BR839" i="2"/>
  <c r="BR840" i="2"/>
  <c r="BR841" i="2"/>
  <c r="BR842" i="2"/>
  <c r="BR843" i="2"/>
  <c r="BR844" i="2"/>
  <c r="BR845" i="2"/>
  <c r="BR846" i="2"/>
  <c r="BR847" i="2"/>
  <c r="BR848" i="2"/>
  <c r="BR849" i="2"/>
  <c r="BR850" i="2"/>
  <c r="BR851" i="2"/>
  <c r="BR852" i="2"/>
  <c r="BR853" i="2"/>
  <c r="BR854" i="2"/>
  <c r="BR855" i="2"/>
  <c r="BR856" i="2"/>
  <c r="BR857" i="2"/>
  <c r="BR858" i="2"/>
  <c r="BR859" i="2"/>
  <c r="BR860" i="2"/>
  <c r="BR861" i="2"/>
  <c r="BR862" i="2"/>
  <c r="BR863" i="2"/>
  <c r="BR864" i="2"/>
  <c r="BR865" i="2"/>
  <c r="BR866" i="2"/>
  <c r="BR867" i="2"/>
  <c r="BR868" i="2"/>
  <c r="BR869" i="2"/>
  <c r="BR870" i="2"/>
  <c r="BR871" i="2"/>
  <c r="BR872" i="2"/>
  <c r="BR873" i="2"/>
  <c r="BR874" i="2"/>
  <c r="BR875" i="2"/>
  <c r="BR876" i="2"/>
  <c r="BR877" i="2"/>
  <c r="BR878" i="2"/>
  <c r="BR879" i="2"/>
  <c r="BR880" i="2"/>
  <c r="BR881" i="2"/>
  <c r="BR882" i="2"/>
  <c r="BR883" i="2"/>
  <c r="BR884" i="2"/>
  <c r="BR885" i="2"/>
  <c r="BR886" i="2"/>
  <c r="BR887" i="2"/>
  <c r="BR888" i="2"/>
  <c r="BR889" i="2"/>
  <c r="BR890" i="2"/>
  <c r="BR891" i="2"/>
  <c r="BR892" i="2"/>
  <c r="BR893" i="2"/>
  <c r="BR894" i="2"/>
  <c r="BR895" i="2"/>
  <c r="BR896" i="2"/>
  <c r="BR897" i="2"/>
  <c r="BR898" i="2"/>
  <c r="BR899" i="2"/>
  <c r="BR900" i="2"/>
  <c r="BR901" i="2"/>
  <c r="BR902" i="2"/>
  <c r="BR903" i="2"/>
  <c r="BR904" i="2"/>
  <c r="BR905" i="2"/>
  <c r="BR906" i="2"/>
  <c r="BR907" i="2"/>
  <c r="BR908" i="2"/>
  <c r="BR909" i="2"/>
  <c r="BR910" i="2"/>
  <c r="BR911" i="2"/>
  <c r="BR912" i="2"/>
  <c r="BR913" i="2"/>
  <c r="BR914" i="2"/>
  <c r="BR915" i="2"/>
  <c r="BR916" i="2"/>
  <c r="BR917" i="2"/>
  <c r="BR918" i="2"/>
  <c r="BR919" i="2"/>
  <c r="BR920" i="2"/>
  <c r="BR921" i="2"/>
  <c r="BR922" i="2"/>
  <c r="BR923" i="2"/>
  <c r="BR924" i="2"/>
  <c r="BR925" i="2"/>
  <c r="BR926" i="2"/>
  <c r="BR927" i="2"/>
  <c r="BR928" i="2"/>
  <c r="BR929" i="2"/>
  <c r="BR930" i="2"/>
  <c r="BR931" i="2"/>
  <c r="BR932" i="2"/>
  <c r="BR933" i="2"/>
  <c r="BR934" i="2"/>
  <c r="BR935" i="2"/>
  <c r="BR936" i="2"/>
  <c r="BR937" i="2"/>
  <c r="BR938" i="2"/>
  <c r="BR939" i="2"/>
  <c r="BR940" i="2"/>
  <c r="BR941" i="2"/>
  <c r="BR942" i="2"/>
  <c r="BR943" i="2"/>
  <c r="BR944" i="2"/>
  <c r="BR945" i="2"/>
  <c r="BR946" i="2"/>
  <c r="BR947" i="2"/>
  <c r="BR948" i="2"/>
  <c r="BR949" i="2"/>
  <c r="BR950" i="2"/>
  <c r="BR951" i="2"/>
  <c r="BR952" i="2"/>
  <c r="BR953" i="2"/>
  <c r="BR954" i="2"/>
  <c r="BR955" i="2"/>
  <c r="BR956" i="2"/>
  <c r="BR957" i="2"/>
  <c r="BR958" i="2"/>
  <c r="BR959" i="2"/>
  <c r="BR960" i="2"/>
  <c r="BR961" i="2"/>
  <c r="BR962" i="2"/>
  <c r="BR963" i="2"/>
  <c r="BR964" i="2"/>
  <c r="BR965" i="2"/>
  <c r="BR966" i="2"/>
  <c r="BR967" i="2"/>
  <c r="BR968" i="2"/>
  <c r="BR969" i="2"/>
  <c r="BR970" i="2"/>
  <c r="BR971" i="2"/>
  <c r="BR972" i="2"/>
  <c r="BR973" i="2"/>
  <c r="BR974" i="2"/>
  <c r="BR975" i="2"/>
  <c r="BR976" i="2"/>
  <c r="BR977" i="2"/>
  <c r="BR978" i="2"/>
  <c r="BR979" i="2"/>
  <c r="BR980" i="2"/>
  <c r="BR981" i="2"/>
  <c r="BR982" i="2"/>
  <c r="BR983" i="2"/>
  <c r="BR984" i="2"/>
  <c r="BR985" i="2"/>
  <c r="BR986" i="2"/>
  <c r="BR987" i="2"/>
  <c r="BR988" i="2"/>
  <c r="BR989" i="2"/>
  <c r="BR990" i="2"/>
  <c r="BR991" i="2"/>
  <c r="BR992" i="2"/>
  <c r="BR993" i="2"/>
  <c r="BR994" i="2"/>
  <c r="BR995" i="2"/>
  <c r="BR996" i="2"/>
  <c r="BR997" i="2"/>
  <c r="BR998" i="2"/>
  <c r="BR999" i="2"/>
  <c r="BR1000" i="2"/>
  <c r="BR1001" i="2"/>
  <c r="BR1002" i="2"/>
  <c r="BR1003" i="2"/>
  <c r="BR1004" i="2"/>
  <c r="BR1005" i="2"/>
  <c r="BR1006" i="2"/>
  <c r="BR1007" i="2"/>
  <c r="BR1008" i="2"/>
  <c r="BR1009" i="2"/>
  <c r="BR1010" i="2"/>
  <c r="BR1011" i="2"/>
  <c r="BR1012" i="2"/>
  <c r="BR1013" i="2"/>
  <c r="BR1014" i="2"/>
  <c r="BR1015" i="2"/>
  <c r="BR1016" i="2"/>
  <c r="BR1017" i="2"/>
  <c r="BR1018" i="2"/>
  <c r="BR1019" i="2"/>
  <c r="BR1020" i="2"/>
  <c r="BR1021" i="2"/>
  <c r="BR1022" i="2"/>
  <c r="BR1023" i="2"/>
  <c r="BR1024" i="2"/>
  <c r="BR1025" i="2"/>
  <c r="BR1026" i="2"/>
  <c r="BR1027" i="2"/>
  <c r="BR1028" i="2"/>
  <c r="BR1029" i="2"/>
  <c r="BR1030" i="2"/>
  <c r="BR1031" i="2"/>
  <c r="BR1032" i="2"/>
  <c r="BR1033" i="2"/>
  <c r="BR1034" i="2"/>
  <c r="BR1035" i="2"/>
  <c r="BR1036" i="2"/>
  <c r="BR1037" i="2"/>
  <c r="BR1038" i="2"/>
  <c r="BR1039" i="2"/>
  <c r="BR1040" i="2"/>
  <c r="BR1041" i="2"/>
  <c r="BR1042" i="2"/>
  <c r="BR1043" i="2"/>
  <c r="BR1044" i="2"/>
  <c r="BR1045" i="2"/>
  <c r="BR1046" i="2"/>
  <c r="BR1047" i="2"/>
  <c r="BR1048" i="2"/>
  <c r="BR1049" i="2"/>
  <c r="BR1050" i="2"/>
  <c r="BR1051" i="2"/>
  <c r="BR1052" i="2"/>
  <c r="BR1053" i="2"/>
  <c r="BR1054" i="2"/>
  <c r="BR1055" i="2"/>
  <c r="BR1056" i="2"/>
  <c r="BR1057" i="2"/>
  <c r="BR1058" i="2"/>
  <c r="BR1059" i="2"/>
  <c r="BR1060" i="2"/>
  <c r="BR1061" i="2"/>
  <c r="BR1062" i="2"/>
  <c r="BR1063" i="2"/>
  <c r="BR1064" i="2"/>
  <c r="BR1065" i="2"/>
  <c r="BR1066" i="2"/>
  <c r="BR1067" i="2"/>
  <c r="BR1068" i="2"/>
  <c r="BR1069" i="2"/>
  <c r="BR1070" i="2"/>
  <c r="BR1071" i="2"/>
  <c r="BR1072" i="2"/>
  <c r="BR1073" i="2"/>
  <c r="BR1074" i="2"/>
  <c r="BR1075" i="2"/>
  <c r="BR1076" i="2"/>
  <c r="BR1077" i="2"/>
  <c r="BR1078" i="2"/>
  <c r="BR1079" i="2"/>
  <c r="BR1080" i="2"/>
  <c r="BR1081" i="2"/>
  <c r="BR1082" i="2"/>
  <c r="BR1083" i="2"/>
  <c r="BR1084" i="2"/>
  <c r="BR1085" i="2"/>
  <c r="BR1086" i="2"/>
  <c r="BR1087" i="2"/>
  <c r="BR1088" i="2"/>
  <c r="BR1089" i="2"/>
  <c r="BR1090" i="2"/>
  <c r="BR1091" i="2"/>
  <c r="BR1092" i="2"/>
  <c r="BR1093" i="2"/>
  <c r="BR1094" i="2"/>
  <c r="BR1095" i="2"/>
  <c r="BR1096" i="2"/>
  <c r="BR1097" i="2"/>
  <c r="BR1098" i="2"/>
  <c r="BR1099" i="2"/>
  <c r="BR1100" i="2"/>
  <c r="BR1101" i="2"/>
  <c r="BR1102" i="2"/>
  <c r="BR1103" i="2"/>
  <c r="BR1104" i="2"/>
  <c r="BR1105" i="2"/>
  <c r="BR1106" i="2"/>
  <c r="BR1107" i="2"/>
  <c r="BR1108" i="2"/>
  <c r="BR1109" i="2"/>
  <c r="BR1110" i="2"/>
  <c r="BR1111" i="2"/>
  <c r="BR1112" i="2"/>
  <c r="BR1113" i="2"/>
  <c r="BR1114" i="2"/>
  <c r="BR1115" i="2"/>
  <c r="BR1116" i="2"/>
  <c r="BR1117" i="2"/>
  <c r="BR1118" i="2"/>
  <c r="BR1119" i="2"/>
  <c r="BR1120" i="2"/>
  <c r="BR1121" i="2"/>
  <c r="BR1122" i="2"/>
  <c r="BR1123" i="2"/>
  <c r="BR1124" i="2"/>
  <c r="BR1125" i="2"/>
  <c r="BR1126" i="2"/>
  <c r="BR1127" i="2"/>
  <c r="BR1128" i="2"/>
  <c r="BR1129" i="2"/>
  <c r="BR1130" i="2"/>
  <c r="BR1131" i="2"/>
  <c r="BR1132" i="2"/>
  <c r="BR1133" i="2"/>
  <c r="BR1134" i="2"/>
  <c r="BR1135" i="2"/>
  <c r="BR1136" i="2"/>
  <c r="BR1137" i="2"/>
  <c r="BR1138" i="2"/>
  <c r="BR1139" i="2"/>
  <c r="BR1140" i="2"/>
  <c r="BR1141" i="2"/>
  <c r="BR1142" i="2"/>
  <c r="BR1143" i="2"/>
  <c r="BR1144" i="2"/>
  <c r="BR1145" i="2"/>
  <c r="BR1146" i="2"/>
  <c r="BR1147" i="2"/>
  <c r="BR1148" i="2"/>
  <c r="BR1149" i="2"/>
  <c r="BR1150" i="2"/>
  <c r="BR1151" i="2"/>
  <c r="BR1152" i="2"/>
  <c r="BR1153" i="2"/>
  <c r="BR1154" i="2"/>
  <c r="BR1155" i="2"/>
  <c r="BR1156" i="2"/>
  <c r="BR1157" i="2"/>
  <c r="BR1158" i="2"/>
  <c r="BR1159" i="2"/>
  <c r="BR1160" i="2"/>
  <c r="BR1161" i="2"/>
  <c r="BR1162" i="2"/>
  <c r="BR1163" i="2"/>
  <c r="BR1164" i="2"/>
  <c r="BR1165" i="2"/>
  <c r="BR1166" i="2"/>
  <c r="BR1167" i="2"/>
  <c r="BR1168" i="2"/>
  <c r="BR1169" i="2"/>
  <c r="BR1170" i="2"/>
  <c r="BR1171" i="2"/>
  <c r="BR1172" i="2"/>
  <c r="BR1173" i="2"/>
  <c r="BR1174" i="2"/>
  <c r="BR1175" i="2"/>
  <c r="BR1176" i="2"/>
  <c r="BR1177" i="2"/>
  <c r="BR1178" i="2"/>
  <c r="BR1179" i="2"/>
  <c r="BR1180" i="2"/>
  <c r="BR1181" i="2"/>
  <c r="BR1182" i="2"/>
  <c r="BR1183" i="2"/>
  <c r="BR1184" i="2"/>
  <c r="BR1185" i="2"/>
  <c r="BR1186" i="2"/>
  <c r="BR1187" i="2"/>
  <c r="BR1188" i="2"/>
  <c r="BR1189" i="2"/>
  <c r="BR1190" i="2"/>
  <c r="BR1191" i="2"/>
  <c r="BR1192" i="2"/>
  <c r="BR1193" i="2"/>
  <c r="BR1194" i="2"/>
  <c r="BR1195" i="2"/>
  <c r="BR1196" i="2"/>
  <c r="BR1197" i="2"/>
  <c r="BR1198" i="2"/>
  <c r="BR1199" i="2"/>
  <c r="BR1200" i="2"/>
  <c r="BR1201" i="2"/>
  <c r="BR1202" i="2"/>
  <c r="BR1203" i="2"/>
  <c r="BR1204" i="2"/>
  <c r="BR1205" i="2"/>
  <c r="BR1206" i="2"/>
  <c r="BR1207" i="2"/>
  <c r="BR1208" i="2"/>
  <c r="BR1209" i="2"/>
  <c r="BR1210" i="2"/>
  <c r="BR1211" i="2"/>
  <c r="BR1212" i="2"/>
  <c r="BR1213" i="2"/>
  <c r="BR1214" i="2"/>
  <c r="BR1215" i="2"/>
  <c r="BR1216" i="2"/>
  <c r="BR1217" i="2"/>
  <c r="BR1218" i="2"/>
  <c r="BR1219" i="2"/>
  <c r="BR1220" i="2"/>
  <c r="BR1221" i="2"/>
  <c r="BR1222" i="2"/>
  <c r="BR1223" i="2"/>
  <c r="BR1224" i="2"/>
  <c r="BR1225" i="2"/>
  <c r="BR1226" i="2"/>
  <c r="BR1227" i="2"/>
  <c r="BR1228" i="2"/>
  <c r="BR1229" i="2"/>
  <c r="BR1230" i="2"/>
  <c r="BR1231" i="2"/>
  <c r="BR1232" i="2"/>
  <c r="BR1233" i="2"/>
  <c r="BR1234" i="2"/>
  <c r="BR1235" i="2"/>
  <c r="BR1236" i="2"/>
  <c r="BR1237" i="2"/>
  <c r="BR1238" i="2"/>
  <c r="BR1239" i="2"/>
  <c r="BR1240" i="2"/>
  <c r="BR1241" i="2"/>
  <c r="BR1242" i="2"/>
  <c r="BR1243" i="2"/>
  <c r="BR1244" i="2"/>
  <c r="BR1245" i="2"/>
  <c r="BR1246" i="2"/>
  <c r="BR1247" i="2"/>
  <c r="BR1248" i="2"/>
  <c r="BR1249" i="2"/>
  <c r="BR1250" i="2"/>
  <c r="BR1251" i="2"/>
  <c r="BR1252" i="2"/>
  <c r="BR1253" i="2"/>
  <c r="BR1254" i="2"/>
  <c r="BR1255" i="2"/>
  <c r="BR1256" i="2"/>
  <c r="BR1257" i="2"/>
  <c r="BR1258" i="2"/>
  <c r="BR1259" i="2"/>
  <c r="BR1260" i="2"/>
  <c r="BR1261" i="2"/>
  <c r="BR1262" i="2"/>
  <c r="BR1263" i="2"/>
  <c r="BR1264" i="2"/>
  <c r="BR1265" i="2"/>
  <c r="BR1266" i="2"/>
  <c r="BR1267" i="2"/>
  <c r="BR1268" i="2"/>
  <c r="BR1269" i="2"/>
  <c r="BR1270" i="2"/>
  <c r="BR1271" i="2"/>
  <c r="BR1272" i="2"/>
  <c r="BR1273" i="2"/>
  <c r="BR1274" i="2"/>
  <c r="BR1275" i="2"/>
  <c r="BR1276" i="2"/>
  <c r="BR1277" i="2"/>
  <c r="BR1278" i="2"/>
  <c r="BR1279" i="2"/>
  <c r="BR1280" i="2"/>
  <c r="BR1281" i="2"/>
  <c r="BR1282" i="2"/>
  <c r="BR1283" i="2"/>
  <c r="BR1284" i="2"/>
  <c r="BR1285" i="2"/>
  <c r="BR1286" i="2"/>
  <c r="BR1287" i="2"/>
  <c r="BR1288" i="2"/>
  <c r="BR1289" i="2"/>
  <c r="BR1290" i="2"/>
  <c r="BR1291" i="2"/>
  <c r="BR1292" i="2"/>
  <c r="BR1293" i="2"/>
  <c r="BR1294" i="2"/>
  <c r="BR1295" i="2"/>
  <c r="BR1296" i="2"/>
  <c r="BR1297" i="2"/>
  <c r="BR1298" i="2"/>
  <c r="BR1299" i="2"/>
  <c r="BR1300" i="2"/>
  <c r="BR1301" i="2"/>
  <c r="BR1302" i="2"/>
  <c r="BR1303" i="2"/>
  <c r="BR1304" i="2"/>
  <c r="BR1305" i="2"/>
  <c r="BR1306" i="2"/>
  <c r="BR1307" i="2"/>
  <c r="BR1308" i="2"/>
  <c r="BR1309" i="2"/>
  <c r="BR1310" i="2"/>
  <c r="BR1311" i="2"/>
  <c r="BR1312" i="2"/>
  <c r="BR1313" i="2"/>
  <c r="BR1314" i="2"/>
  <c r="BR1315" i="2"/>
  <c r="BR1316" i="2"/>
  <c r="BR1317" i="2"/>
  <c r="BR1318" i="2"/>
  <c r="BR1319" i="2"/>
  <c r="BR1320" i="2"/>
  <c r="BR1321" i="2"/>
  <c r="BR1322" i="2"/>
  <c r="BR1323" i="2"/>
  <c r="BR1324" i="2"/>
  <c r="BR1325" i="2"/>
  <c r="BR1326" i="2"/>
  <c r="BR1327" i="2"/>
  <c r="BR1328" i="2"/>
  <c r="BR1329" i="2"/>
  <c r="BR1330" i="2"/>
  <c r="BR1331" i="2"/>
  <c r="BR1332" i="2"/>
  <c r="BR1333" i="2"/>
  <c r="BR1334" i="2"/>
  <c r="BR1335" i="2"/>
  <c r="BR1336" i="2"/>
  <c r="BR1337" i="2"/>
  <c r="BR1338" i="2"/>
  <c r="BR1339" i="2"/>
  <c r="BR1340" i="2"/>
  <c r="BR1341" i="2"/>
  <c r="BR1342" i="2"/>
  <c r="BR1343" i="2"/>
  <c r="BR1344" i="2"/>
  <c r="BR1345" i="2"/>
  <c r="BR1346" i="2"/>
  <c r="BR1347" i="2"/>
  <c r="BR1348" i="2"/>
  <c r="BR1349" i="2"/>
  <c r="BR1350" i="2"/>
  <c r="BR1351" i="2"/>
  <c r="BR1352" i="2"/>
  <c r="BR1353" i="2"/>
  <c r="BR1354" i="2"/>
  <c r="BR1355" i="2"/>
  <c r="BR1356" i="2"/>
  <c r="BR1357" i="2"/>
  <c r="BR1358" i="2"/>
  <c r="BR1359" i="2"/>
  <c r="BR1360" i="2"/>
  <c r="BR1361" i="2"/>
  <c r="BR1362" i="2"/>
  <c r="BR1363" i="2"/>
  <c r="BR1364" i="2"/>
  <c r="BR1365" i="2"/>
  <c r="BR1366" i="2"/>
  <c r="BR1367" i="2"/>
  <c r="BR1368" i="2"/>
  <c r="BR1369" i="2"/>
  <c r="BR1370" i="2"/>
  <c r="BR1371" i="2"/>
  <c r="BR1372" i="2"/>
  <c r="BR1373" i="2"/>
  <c r="BR1374" i="2"/>
  <c r="BR1375" i="2"/>
  <c r="BR1376" i="2"/>
  <c r="BR1377" i="2"/>
  <c r="BR1378" i="2"/>
  <c r="BR1379" i="2"/>
  <c r="BR1380" i="2"/>
  <c r="BR1381" i="2"/>
  <c r="BR1382" i="2"/>
  <c r="BR1383" i="2"/>
  <c r="BR1384" i="2"/>
  <c r="BR1385" i="2"/>
  <c r="BR1386" i="2"/>
  <c r="BR1387" i="2"/>
  <c r="BR1388" i="2"/>
  <c r="BR1389" i="2"/>
  <c r="BR1390" i="2"/>
  <c r="BR1391" i="2"/>
  <c r="BR1392" i="2"/>
  <c r="BR1393" i="2"/>
  <c r="BR1394" i="2"/>
  <c r="BR1395" i="2"/>
  <c r="BR1396" i="2"/>
  <c r="BR1397" i="2"/>
  <c r="BR1398" i="2"/>
  <c r="BR1399" i="2"/>
  <c r="BR1400" i="2"/>
  <c r="BR1401" i="2"/>
  <c r="BR1402" i="2"/>
  <c r="BR1403" i="2"/>
  <c r="BR1404" i="2"/>
  <c r="BR1405" i="2"/>
  <c r="BR1406" i="2"/>
  <c r="BR1407" i="2"/>
  <c r="BR1408" i="2"/>
  <c r="BR1409" i="2"/>
  <c r="BR1410" i="2"/>
  <c r="BR1411" i="2"/>
  <c r="BR1412" i="2"/>
  <c r="BR1413" i="2"/>
  <c r="BR1414" i="2"/>
  <c r="BR1415" i="2"/>
  <c r="BR1416" i="2"/>
  <c r="BR1417" i="2"/>
  <c r="BR1418" i="2"/>
  <c r="BR1419" i="2"/>
  <c r="BR1420" i="2"/>
  <c r="BR1421" i="2"/>
  <c r="BR1422" i="2"/>
  <c r="BR1423" i="2"/>
  <c r="BR1424" i="2"/>
  <c r="BR1425" i="2"/>
  <c r="BR1426" i="2"/>
  <c r="BR1427" i="2"/>
  <c r="BR1428" i="2"/>
  <c r="BR1429" i="2"/>
  <c r="BR1430" i="2"/>
  <c r="BR1431" i="2"/>
  <c r="BR1432" i="2"/>
  <c r="BR1433" i="2"/>
  <c r="BR1434" i="2"/>
  <c r="BR1435" i="2"/>
  <c r="BR1436" i="2"/>
  <c r="BR1437" i="2"/>
  <c r="BR1438" i="2"/>
  <c r="BR1439" i="2"/>
  <c r="BR1440" i="2"/>
  <c r="BR1441" i="2"/>
  <c r="BR1442" i="2"/>
  <c r="BR1443" i="2"/>
  <c r="BR1444" i="2"/>
  <c r="BR1445" i="2"/>
  <c r="BR1446" i="2"/>
  <c r="BR1447" i="2"/>
  <c r="BR1448" i="2"/>
  <c r="BR1449" i="2"/>
  <c r="BR1450" i="2"/>
  <c r="BR1451" i="2"/>
  <c r="BR1452" i="2"/>
  <c r="BR1453" i="2"/>
  <c r="BR1454" i="2"/>
  <c r="BR1455" i="2"/>
  <c r="BR1456" i="2"/>
  <c r="BR1457" i="2"/>
  <c r="BR1458" i="2"/>
  <c r="BR1459" i="2"/>
  <c r="BR1460" i="2"/>
  <c r="BR1461" i="2"/>
  <c r="BR1462" i="2"/>
  <c r="BR1463" i="2"/>
  <c r="BR1464" i="2"/>
  <c r="BR1465" i="2"/>
  <c r="BR1466" i="2"/>
  <c r="BR1467" i="2"/>
  <c r="BR1468" i="2"/>
  <c r="BR1469" i="2"/>
  <c r="BR1470" i="2"/>
  <c r="BR1471" i="2"/>
  <c r="BR1472" i="2"/>
  <c r="BR1473" i="2"/>
  <c r="BR1474" i="2"/>
  <c r="BR1475" i="2"/>
  <c r="BR1476" i="2"/>
  <c r="BR1477" i="2"/>
  <c r="BR1478" i="2"/>
  <c r="BR1479" i="2"/>
  <c r="BR1480" i="2"/>
  <c r="BR1481" i="2"/>
  <c r="BR1482" i="2"/>
  <c r="BR1483" i="2"/>
  <c r="BR1484" i="2"/>
  <c r="BR1485" i="2"/>
  <c r="BR1486" i="2"/>
  <c r="BR1487" i="2"/>
  <c r="BR1488" i="2"/>
  <c r="BR1489" i="2"/>
  <c r="BR1490" i="2"/>
  <c r="BR1491" i="2"/>
  <c r="BR1492" i="2"/>
  <c r="BR1493" i="2"/>
  <c r="BR1494" i="2"/>
  <c r="BR1495" i="2"/>
  <c r="BR1496" i="2"/>
  <c r="BR1497" i="2"/>
  <c r="BR1498" i="2"/>
  <c r="BR1499" i="2"/>
  <c r="BR1500" i="2"/>
  <c r="BR1501" i="2"/>
  <c r="BR1502" i="2"/>
  <c r="BR1503" i="2"/>
  <c r="BR1504" i="2"/>
  <c r="BR1505" i="2"/>
  <c r="BR1506" i="2"/>
  <c r="BR1507" i="2"/>
  <c r="BR1508" i="2"/>
  <c r="BR1509" i="2"/>
  <c r="BR1510" i="2"/>
  <c r="BR1511" i="2"/>
  <c r="BR1512" i="2"/>
  <c r="BR1513" i="2"/>
  <c r="BR1514" i="2"/>
  <c r="BR1515" i="2"/>
  <c r="BR1516" i="2"/>
  <c r="BR1517" i="2"/>
  <c r="BR1518" i="2"/>
  <c r="BR1519" i="2"/>
  <c r="BR1520" i="2"/>
  <c r="BR1521" i="2"/>
  <c r="BR1522" i="2"/>
  <c r="BR1523" i="2"/>
  <c r="BR1524" i="2"/>
  <c r="BR1525" i="2"/>
  <c r="BR1526" i="2"/>
  <c r="BR1527" i="2"/>
  <c r="BR1528" i="2"/>
  <c r="BR1529" i="2"/>
  <c r="BR1530" i="2"/>
  <c r="BR1531" i="2"/>
  <c r="BR1532" i="2"/>
  <c r="BR1533" i="2"/>
  <c r="BR1534" i="2"/>
  <c r="BR1535" i="2"/>
  <c r="BR1536" i="2"/>
  <c r="BR1537" i="2"/>
  <c r="BR1538" i="2"/>
  <c r="BR1539" i="2"/>
  <c r="BR1540" i="2"/>
  <c r="BR1541" i="2"/>
  <c r="BR1542" i="2"/>
  <c r="BR1543" i="2"/>
  <c r="BR1544" i="2"/>
  <c r="BR1545" i="2"/>
  <c r="BR1546" i="2"/>
  <c r="BR1547" i="2"/>
  <c r="BR1548" i="2"/>
  <c r="BR1549" i="2"/>
  <c r="BR1550" i="2"/>
  <c r="BR1551" i="2"/>
  <c r="BR1552" i="2"/>
  <c r="BR1553" i="2"/>
  <c r="BR1554" i="2"/>
  <c r="BR1555" i="2"/>
  <c r="BR1556" i="2"/>
  <c r="BR1557" i="2"/>
  <c r="BR1558" i="2"/>
  <c r="BR1559" i="2"/>
  <c r="BR1560" i="2"/>
  <c r="BR1561" i="2"/>
  <c r="BR1562" i="2"/>
  <c r="BR1563" i="2"/>
  <c r="BR1564" i="2"/>
  <c r="BR1565" i="2"/>
  <c r="BR1566" i="2"/>
  <c r="BR1567" i="2"/>
  <c r="BR1568" i="2"/>
  <c r="BR1569" i="2"/>
  <c r="BR1570" i="2"/>
  <c r="BR1571" i="2"/>
  <c r="BR1572" i="2"/>
  <c r="BR1573" i="2"/>
  <c r="BR1574" i="2"/>
  <c r="BR1575" i="2"/>
  <c r="BR1576" i="2"/>
  <c r="BR1577" i="2"/>
  <c r="BR1578" i="2"/>
  <c r="BR1579" i="2"/>
  <c r="BR1580" i="2"/>
  <c r="BR1581" i="2"/>
  <c r="BR1582" i="2"/>
  <c r="BR1583" i="2"/>
  <c r="BR1584" i="2"/>
  <c r="BR1585" i="2"/>
  <c r="BR1586" i="2"/>
  <c r="BR1587" i="2"/>
  <c r="BR1588" i="2"/>
  <c r="BR1589" i="2"/>
  <c r="BR1590" i="2"/>
  <c r="BR1591" i="2"/>
  <c r="BR1592" i="2"/>
  <c r="BR1593" i="2"/>
  <c r="BR1594" i="2"/>
  <c r="BR1595" i="2"/>
  <c r="BR1596" i="2"/>
  <c r="BR1597" i="2"/>
  <c r="BR1598" i="2"/>
  <c r="BR1599" i="2"/>
  <c r="BR1600" i="2"/>
  <c r="BR1601" i="2"/>
  <c r="BR1602" i="2"/>
  <c r="BR1603" i="2"/>
  <c r="BR1604" i="2"/>
  <c r="BR1605" i="2"/>
  <c r="BR1606" i="2"/>
  <c r="BR1607" i="2"/>
  <c r="BR1608" i="2"/>
  <c r="BR1609" i="2"/>
  <c r="BR1610" i="2"/>
  <c r="BR1611" i="2"/>
  <c r="BR1612" i="2"/>
  <c r="BR1613" i="2"/>
  <c r="BR1614" i="2"/>
  <c r="BR1615" i="2"/>
  <c r="BR1616" i="2"/>
  <c r="BR1617" i="2"/>
  <c r="BR1618" i="2"/>
  <c r="BR1619" i="2"/>
  <c r="BR1620" i="2"/>
  <c r="BR1621" i="2"/>
  <c r="BR1622" i="2"/>
  <c r="BR1623" i="2"/>
  <c r="BR1624" i="2"/>
  <c r="BR1625" i="2"/>
  <c r="BR1626" i="2"/>
  <c r="BR1627" i="2"/>
  <c r="BR1628" i="2"/>
  <c r="BR1629" i="2"/>
  <c r="BR1630" i="2"/>
  <c r="BR1631" i="2"/>
  <c r="BR1632" i="2"/>
  <c r="BR1633" i="2"/>
  <c r="BR1634" i="2"/>
  <c r="BR1635" i="2"/>
  <c r="BR1636" i="2"/>
  <c r="BR1637" i="2"/>
  <c r="BR1638" i="2"/>
  <c r="BR1639" i="2"/>
  <c r="BR1640" i="2"/>
  <c r="BR1641" i="2"/>
  <c r="BR1642" i="2"/>
  <c r="BR1643" i="2"/>
  <c r="BR1644" i="2"/>
  <c r="BR1645" i="2"/>
  <c r="BR1646" i="2"/>
  <c r="BR1647" i="2"/>
  <c r="BR1648" i="2"/>
  <c r="BR1649" i="2"/>
  <c r="BR1650" i="2"/>
  <c r="BR1651" i="2"/>
  <c r="BR1652" i="2"/>
  <c r="BR1653" i="2"/>
  <c r="BR1654" i="2"/>
  <c r="BR1655" i="2"/>
  <c r="BR1656" i="2"/>
  <c r="BR1657" i="2"/>
  <c r="BR1658" i="2"/>
  <c r="BR1659" i="2"/>
  <c r="BR1660" i="2"/>
  <c r="BR1661" i="2"/>
  <c r="BR1662" i="2"/>
  <c r="BR1663" i="2"/>
  <c r="BR1664" i="2"/>
  <c r="BR1665" i="2"/>
  <c r="BR1666" i="2"/>
  <c r="BR1667" i="2"/>
  <c r="BR1668" i="2"/>
  <c r="BR1669" i="2"/>
  <c r="BR1670" i="2"/>
  <c r="BR1671" i="2"/>
  <c r="BR1672" i="2"/>
  <c r="BR1673" i="2"/>
  <c r="BR1674" i="2"/>
  <c r="BR1675" i="2"/>
  <c r="BR1676" i="2"/>
  <c r="BR1677" i="2"/>
  <c r="BR1678" i="2"/>
  <c r="BR1679" i="2"/>
  <c r="BR1680" i="2"/>
  <c r="BR1681" i="2"/>
  <c r="BR1682" i="2"/>
  <c r="BR1683" i="2"/>
  <c r="BR1684" i="2"/>
  <c r="BR1685" i="2"/>
  <c r="BR1686" i="2"/>
  <c r="BR1687" i="2"/>
  <c r="BR1688" i="2"/>
  <c r="BR1689" i="2"/>
  <c r="BR1690" i="2"/>
  <c r="BR1691" i="2"/>
  <c r="BR1692" i="2"/>
  <c r="BR1693" i="2"/>
  <c r="BR1694" i="2"/>
  <c r="BR1695" i="2"/>
  <c r="BR1696" i="2"/>
  <c r="BR1697" i="2"/>
  <c r="BR1698" i="2"/>
  <c r="BR1699" i="2"/>
  <c r="BR1700" i="2"/>
  <c r="BR1701" i="2"/>
  <c r="BR1702" i="2"/>
  <c r="BR1703" i="2"/>
  <c r="BR1704" i="2"/>
  <c r="BR1705" i="2"/>
  <c r="BR1706" i="2"/>
  <c r="BR1707" i="2"/>
  <c r="BR1708" i="2"/>
  <c r="BR1709" i="2"/>
  <c r="BR1710" i="2"/>
  <c r="BR1711" i="2"/>
  <c r="BR1712" i="2"/>
  <c r="BR1713" i="2"/>
  <c r="BR1714" i="2"/>
  <c r="BR1715" i="2"/>
  <c r="BR1716" i="2"/>
  <c r="BR1717" i="2"/>
  <c r="BR1718" i="2"/>
  <c r="BR1719" i="2"/>
  <c r="BR1720" i="2"/>
  <c r="BR1721" i="2"/>
  <c r="BR1722" i="2"/>
  <c r="BR1723" i="2"/>
  <c r="BR1724" i="2"/>
  <c r="BR1725" i="2"/>
  <c r="BR1726" i="2"/>
  <c r="BR1727" i="2"/>
  <c r="BR1728" i="2"/>
  <c r="BR1729" i="2"/>
  <c r="BR1730" i="2"/>
  <c r="BR1731" i="2"/>
  <c r="BR1732" i="2"/>
  <c r="BR1733" i="2"/>
  <c r="BR1734" i="2"/>
  <c r="BR1735" i="2"/>
  <c r="BR1736" i="2"/>
  <c r="BR1737" i="2"/>
  <c r="BR1738" i="2"/>
  <c r="BR1739" i="2"/>
  <c r="BR1740" i="2"/>
  <c r="BR1741" i="2"/>
  <c r="BR1742" i="2"/>
  <c r="BR1743" i="2"/>
  <c r="BR1744" i="2"/>
  <c r="BR1745" i="2"/>
  <c r="BR1746" i="2"/>
  <c r="BR1747" i="2"/>
  <c r="BR1748" i="2"/>
  <c r="BR1749" i="2"/>
  <c r="BR1750" i="2"/>
  <c r="BR1751" i="2"/>
  <c r="BR1752" i="2"/>
  <c r="BR1753" i="2"/>
  <c r="BR1754" i="2"/>
  <c r="BR1755" i="2"/>
  <c r="BR1756" i="2"/>
  <c r="BR1757" i="2"/>
  <c r="BR1758" i="2"/>
  <c r="BR1759" i="2"/>
  <c r="BR1760" i="2"/>
  <c r="BR1761" i="2"/>
  <c r="BR1762" i="2"/>
  <c r="BR1763" i="2"/>
  <c r="BR1764" i="2"/>
  <c r="BR1765" i="2"/>
  <c r="BR1766" i="2"/>
  <c r="BR1767" i="2"/>
  <c r="BR1768" i="2"/>
  <c r="BR1769" i="2"/>
  <c r="BR1770" i="2"/>
  <c r="BR1771" i="2"/>
  <c r="BR1772" i="2"/>
  <c r="BR1773" i="2"/>
  <c r="BR1774" i="2"/>
  <c r="BR1775" i="2"/>
  <c r="BR1776" i="2"/>
  <c r="BR1777" i="2"/>
  <c r="BR1778" i="2"/>
  <c r="BR1779" i="2"/>
  <c r="BR1780" i="2"/>
  <c r="BR1781" i="2"/>
  <c r="BR1782" i="2"/>
  <c r="BR1783" i="2"/>
  <c r="BR1784" i="2"/>
  <c r="BR1785" i="2"/>
  <c r="BR1786" i="2"/>
  <c r="BR1787" i="2"/>
  <c r="BR1788" i="2"/>
  <c r="BR1789" i="2"/>
  <c r="BR1790" i="2"/>
  <c r="BR1791" i="2"/>
  <c r="BR1792" i="2"/>
  <c r="BR1793" i="2"/>
  <c r="BR1794" i="2"/>
  <c r="BR1795" i="2"/>
  <c r="BR1796" i="2"/>
  <c r="BR1797" i="2"/>
  <c r="BR1798" i="2"/>
  <c r="BR1799" i="2"/>
  <c r="BR1800" i="2"/>
  <c r="BR1801" i="2"/>
  <c r="BR1802" i="2"/>
  <c r="BR1803" i="2"/>
  <c r="BR1804" i="2"/>
  <c r="BR1805" i="2"/>
  <c r="BR1806" i="2"/>
  <c r="BR1807" i="2"/>
  <c r="BR1808" i="2"/>
  <c r="BR1809" i="2"/>
  <c r="BR1810" i="2"/>
  <c r="BR1811" i="2"/>
  <c r="BR1812" i="2"/>
  <c r="BR1813" i="2"/>
  <c r="BR1814" i="2"/>
  <c r="BR1815" i="2"/>
  <c r="BR1816" i="2"/>
  <c r="BR1817" i="2"/>
  <c r="BR1818" i="2"/>
  <c r="BR1819" i="2"/>
  <c r="BR1820" i="2"/>
  <c r="BR1821" i="2"/>
  <c r="BR1822" i="2"/>
  <c r="BR1823" i="2"/>
  <c r="BR1824" i="2"/>
  <c r="BR1825" i="2"/>
  <c r="BR1826" i="2"/>
  <c r="BR1827" i="2"/>
  <c r="BR1828" i="2"/>
  <c r="BR1829" i="2"/>
  <c r="BR1830" i="2"/>
  <c r="BR1831" i="2"/>
  <c r="BR1832" i="2"/>
  <c r="BR1833" i="2"/>
  <c r="BR1834" i="2"/>
  <c r="BR1835" i="2"/>
  <c r="BR1836" i="2"/>
  <c r="BR1837" i="2"/>
  <c r="BR1838" i="2"/>
  <c r="BR1839" i="2"/>
  <c r="BR1840" i="2"/>
  <c r="BR1841" i="2"/>
  <c r="BR1842" i="2"/>
  <c r="BR1843" i="2"/>
  <c r="BR1844" i="2"/>
  <c r="BR1845" i="2"/>
  <c r="BR1846" i="2"/>
  <c r="BR1847" i="2"/>
  <c r="BR1848" i="2"/>
  <c r="BR1849" i="2"/>
  <c r="BR1850" i="2"/>
  <c r="BR1851" i="2"/>
  <c r="BR1852" i="2"/>
  <c r="BR1853" i="2"/>
  <c r="BR1854" i="2"/>
  <c r="BR1855" i="2"/>
  <c r="BR1856" i="2"/>
  <c r="BR1857" i="2"/>
  <c r="BR1858" i="2"/>
  <c r="BR1859" i="2"/>
  <c r="BR1860" i="2"/>
  <c r="BR1861" i="2"/>
  <c r="BR1862" i="2"/>
  <c r="BR1863" i="2"/>
  <c r="BR1864" i="2"/>
  <c r="BR1865" i="2"/>
  <c r="BR1866" i="2"/>
  <c r="BR1867" i="2"/>
  <c r="BR1868" i="2"/>
  <c r="BR1869" i="2"/>
  <c r="BR1870" i="2"/>
  <c r="BR1871" i="2"/>
  <c r="BR1872" i="2"/>
  <c r="BR1873" i="2"/>
  <c r="BR1874" i="2"/>
  <c r="BR1875" i="2"/>
  <c r="BR1876" i="2"/>
  <c r="BR1877" i="2"/>
  <c r="BR1878" i="2"/>
  <c r="BR1879" i="2"/>
  <c r="BR1880" i="2"/>
  <c r="BR1881" i="2"/>
  <c r="BR1882" i="2"/>
  <c r="BR1883" i="2"/>
  <c r="BR1884" i="2"/>
  <c r="BR1885" i="2"/>
  <c r="BR1886" i="2"/>
  <c r="BR1887" i="2"/>
  <c r="BR1888" i="2"/>
  <c r="BR1889" i="2"/>
  <c r="BR1890" i="2"/>
  <c r="BR1891" i="2"/>
  <c r="BR1892" i="2"/>
  <c r="BR1893" i="2"/>
  <c r="BR1894" i="2"/>
  <c r="BR1895" i="2"/>
  <c r="BR1896" i="2"/>
  <c r="BR1897" i="2"/>
  <c r="BR1898" i="2"/>
  <c r="BR1899" i="2"/>
  <c r="BR1900" i="2"/>
  <c r="BR1901" i="2"/>
  <c r="BR1902" i="2"/>
  <c r="BR1903" i="2"/>
  <c r="BR1904" i="2"/>
  <c r="BR1905" i="2"/>
  <c r="BR1906" i="2"/>
  <c r="BR1907" i="2"/>
  <c r="BR1908" i="2"/>
  <c r="BR1909" i="2"/>
  <c r="BR1910" i="2"/>
  <c r="BR1911" i="2"/>
  <c r="BR1912" i="2"/>
  <c r="BR1913" i="2"/>
  <c r="BR1914" i="2"/>
  <c r="BR1915" i="2"/>
  <c r="BR1916" i="2"/>
  <c r="BR1917" i="2"/>
  <c r="BR1918" i="2"/>
  <c r="BR1919" i="2"/>
  <c r="BR1920" i="2"/>
  <c r="BR1921" i="2"/>
  <c r="BR1922" i="2"/>
  <c r="BR1923" i="2"/>
  <c r="BR1924" i="2"/>
  <c r="BR1925" i="2"/>
  <c r="BR1926" i="2"/>
  <c r="BR1927" i="2"/>
  <c r="BR1928" i="2"/>
  <c r="BR1929" i="2"/>
  <c r="BR1930" i="2"/>
  <c r="BR1931" i="2"/>
  <c r="BR1932" i="2"/>
  <c r="BR1933" i="2"/>
  <c r="BR1934" i="2"/>
  <c r="BR1935" i="2"/>
  <c r="BR1936" i="2"/>
  <c r="BR1937" i="2"/>
  <c r="BR1938" i="2"/>
  <c r="BR1939" i="2"/>
  <c r="BR1940" i="2"/>
  <c r="BR1941" i="2"/>
  <c r="BR1942" i="2"/>
  <c r="BR1943" i="2"/>
  <c r="BR1944" i="2"/>
  <c r="BR1945" i="2"/>
  <c r="BR1946" i="2"/>
  <c r="BR1947" i="2"/>
  <c r="BR1948" i="2"/>
  <c r="BR1949" i="2"/>
  <c r="BR1950" i="2"/>
  <c r="BR1951" i="2"/>
  <c r="BR1952" i="2"/>
  <c r="BR1953" i="2"/>
  <c r="BR1954" i="2"/>
  <c r="BR1955" i="2"/>
  <c r="BR1956" i="2"/>
  <c r="BR1957" i="2"/>
  <c r="BR1958" i="2"/>
  <c r="BR1959" i="2"/>
  <c r="BR1960" i="2"/>
  <c r="BR1961" i="2"/>
  <c r="BR1962" i="2"/>
  <c r="BR1963" i="2"/>
  <c r="BR1964" i="2"/>
  <c r="BR1965" i="2"/>
  <c r="BR1966" i="2"/>
  <c r="BR1967" i="2"/>
  <c r="BR1968" i="2"/>
  <c r="BR1969" i="2"/>
  <c r="BR1970" i="2"/>
  <c r="BR1971" i="2"/>
  <c r="BR1972" i="2"/>
  <c r="BR1973" i="2"/>
  <c r="BR1974" i="2"/>
  <c r="BR1975" i="2"/>
  <c r="BR1976" i="2"/>
  <c r="BR1977" i="2"/>
  <c r="BR1978" i="2"/>
  <c r="BR1979" i="2"/>
  <c r="BR1980" i="2"/>
  <c r="BR1981" i="2"/>
  <c r="BR1982" i="2"/>
  <c r="BR1983" i="2"/>
  <c r="BR1984" i="2"/>
  <c r="BR1985" i="2"/>
  <c r="BR1986" i="2"/>
  <c r="BR1987" i="2"/>
  <c r="BR1988" i="2"/>
  <c r="BR1989" i="2"/>
  <c r="BR1990" i="2"/>
  <c r="BR1991" i="2"/>
  <c r="BR1992" i="2"/>
  <c r="BR1993" i="2"/>
  <c r="BR1994" i="2"/>
  <c r="BR1995" i="2"/>
  <c r="BR1996" i="2"/>
  <c r="BR1997" i="2"/>
  <c r="BR1998" i="2"/>
  <c r="BR1999" i="2"/>
  <c r="BR2000" i="2"/>
  <c r="BR2001" i="2"/>
  <c r="BR2002" i="2"/>
  <c r="BR2003" i="2"/>
  <c r="BR2004" i="2"/>
  <c r="BR2005" i="2"/>
  <c r="BR2006" i="2"/>
  <c r="BR2007" i="2"/>
  <c r="BR2008" i="2"/>
  <c r="BR2009" i="2"/>
  <c r="BR2010" i="2"/>
  <c r="BR2011" i="2"/>
  <c r="BR2012" i="2"/>
  <c r="BR2013" i="2"/>
  <c r="BR2014" i="2"/>
  <c r="BR2015" i="2"/>
  <c r="BR2016" i="2"/>
  <c r="BR2017" i="2"/>
  <c r="BR2018" i="2"/>
  <c r="BR2019" i="2"/>
  <c r="BR2020" i="2"/>
  <c r="BR2021" i="2"/>
  <c r="BR2022" i="2"/>
  <c r="BR2023" i="2"/>
  <c r="BR2024" i="2"/>
  <c r="BR2025" i="2"/>
  <c r="BR2026" i="2"/>
  <c r="BR2027" i="2"/>
  <c r="BR2028" i="2"/>
  <c r="BR2029" i="2"/>
  <c r="BR2030" i="2"/>
  <c r="BR2031" i="2"/>
  <c r="BR2032" i="2"/>
  <c r="BR2033" i="2"/>
  <c r="BR2034" i="2"/>
  <c r="BR2035" i="2"/>
  <c r="BR2036" i="2"/>
  <c r="BR2037" i="2"/>
  <c r="BR2038" i="2"/>
  <c r="BR2039" i="2"/>
  <c r="BR2040" i="2"/>
  <c r="BR2041" i="2"/>
  <c r="BR2042" i="2"/>
  <c r="BR2043" i="2"/>
  <c r="BR2044" i="2"/>
  <c r="BR2045" i="2"/>
  <c r="BR2046" i="2"/>
  <c r="BR2047" i="2"/>
  <c r="BR2048" i="2"/>
  <c r="BR2049" i="2"/>
  <c r="BR2050" i="2"/>
  <c r="BR2051" i="2"/>
  <c r="BR2052" i="2"/>
  <c r="BR2053" i="2"/>
  <c r="BR2054" i="2"/>
  <c r="BR2055" i="2"/>
  <c r="BR2056" i="2"/>
  <c r="BR2057" i="2"/>
  <c r="BR2058" i="2"/>
  <c r="BR2059" i="2"/>
  <c r="BR2060" i="2"/>
  <c r="BR2061" i="2"/>
  <c r="BR2062" i="2"/>
  <c r="BR2063" i="2"/>
  <c r="BR2064" i="2"/>
  <c r="BR2065" i="2"/>
  <c r="BR2066" i="2"/>
  <c r="BR2067" i="2"/>
  <c r="BR2068" i="2"/>
  <c r="BR2069" i="2"/>
  <c r="BR2070" i="2"/>
  <c r="BR2071" i="2"/>
  <c r="BR2072" i="2"/>
  <c r="BR2073" i="2"/>
  <c r="BR2074" i="2"/>
  <c r="BR2075" i="2"/>
  <c r="BR2076" i="2"/>
  <c r="BR2077" i="2"/>
  <c r="BR2078" i="2"/>
  <c r="BR2079" i="2"/>
  <c r="BR2080" i="2"/>
  <c r="BR2081" i="2"/>
  <c r="BR2082" i="2"/>
  <c r="BR2083" i="2"/>
  <c r="BR2084" i="2"/>
  <c r="BR2085" i="2"/>
  <c r="BR2086" i="2"/>
  <c r="BR2087" i="2"/>
  <c r="BR2088" i="2"/>
  <c r="BR2089" i="2"/>
  <c r="BR2090" i="2"/>
  <c r="BR2091" i="2"/>
  <c r="BR2092" i="2"/>
  <c r="BR2093" i="2"/>
  <c r="BR2094" i="2"/>
  <c r="BR2095" i="2"/>
  <c r="BR2096" i="2"/>
  <c r="BR2097" i="2"/>
  <c r="BR2098" i="2"/>
  <c r="BR2099" i="2"/>
  <c r="BR2100" i="2"/>
  <c r="BR2101" i="2"/>
  <c r="BR2102" i="2"/>
  <c r="BR2103" i="2"/>
  <c r="BR2104" i="2"/>
  <c r="BR2105" i="2"/>
  <c r="BR2106" i="2"/>
  <c r="BR2107" i="2"/>
  <c r="BR2108" i="2"/>
  <c r="BR2109" i="2"/>
  <c r="BR2110" i="2"/>
  <c r="BR2111" i="2"/>
  <c r="BR2112" i="2"/>
  <c r="BR2113" i="2"/>
  <c r="BR2114" i="2"/>
  <c r="BR2115" i="2"/>
  <c r="BR2116" i="2"/>
  <c r="BR2117" i="2"/>
  <c r="BR2118" i="2"/>
  <c r="BR2119" i="2"/>
  <c r="BR2120" i="2"/>
  <c r="BR2121" i="2"/>
  <c r="BR2122" i="2"/>
  <c r="BR2123" i="2"/>
  <c r="BR2124" i="2"/>
  <c r="BR2125" i="2"/>
  <c r="BR2126" i="2"/>
  <c r="BR2127" i="2"/>
  <c r="BR2128" i="2"/>
  <c r="BR2129" i="2"/>
  <c r="BR2130" i="2"/>
  <c r="BR2131" i="2"/>
  <c r="BR2132" i="2"/>
  <c r="BR2" i="2"/>
  <c r="BQ3" i="2"/>
  <c r="BQ4" i="2"/>
  <c r="BQ5" i="2"/>
  <c r="BQ6" i="2"/>
  <c r="BQ7" i="2"/>
  <c r="BQ8" i="2"/>
  <c r="BQ9" i="2"/>
  <c r="BQ10" i="2"/>
  <c r="BQ11" i="2"/>
  <c r="BQ12" i="2"/>
  <c r="BQ13" i="2"/>
  <c r="BQ14" i="2"/>
  <c r="BQ15" i="2"/>
  <c r="BQ16" i="2"/>
  <c r="BQ17" i="2"/>
  <c r="BQ18" i="2"/>
  <c r="BQ19" i="2"/>
  <c r="BQ20" i="2"/>
  <c r="BQ21" i="2"/>
  <c r="BQ22" i="2"/>
  <c r="BQ23" i="2"/>
  <c r="BQ24" i="2"/>
  <c r="BQ25" i="2"/>
  <c r="BQ26" i="2"/>
  <c r="BQ27" i="2"/>
  <c r="BQ28" i="2"/>
  <c r="BQ29" i="2"/>
  <c r="BQ30" i="2"/>
  <c r="BQ31" i="2"/>
  <c r="BQ32" i="2"/>
  <c r="BQ33" i="2"/>
  <c r="BQ34" i="2"/>
  <c r="BQ35" i="2"/>
  <c r="BQ36" i="2"/>
  <c r="BQ37" i="2"/>
  <c r="BQ38" i="2"/>
  <c r="BQ39" i="2"/>
  <c r="BQ40" i="2"/>
  <c r="BQ41" i="2"/>
  <c r="BQ42" i="2"/>
  <c r="BQ43" i="2"/>
  <c r="BQ44" i="2"/>
  <c r="BQ45" i="2"/>
  <c r="BQ46" i="2"/>
  <c r="BQ47" i="2"/>
  <c r="BQ48" i="2"/>
  <c r="BQ49" i="2"/>
  <c r="BQ50" i="2"/>
  <c r="BQ51" i="2"/>
  <c r="BQ52" i="2"/>
  <c r="BQ53" i="2"/>
  <c r="BQ54" i="2"/>
  <c r="BQ55" i="2"/>
  <c r="BQ56" i="2"/>
  <c r="BQ57" i="2"/>
  <c r="BQ58" i="2"/>
  <c r="BQ59" i="2"/>
  <c r="BQ60" i="2"/>
  <c r="BQ61" i="2"/>
  <c r="BQ62" i="2"/>
  <c r="BQ63" i="2"/>
  <c r="BQ64" i="2"/>
  <c r="BQ65" i="2"/>
  <c r="BQ66" i="2"/>
  <c r="BQ67" i="2"/>
  <c r="BQ68" i="2"/>
  <c r="BQ69" i="2"/>
  <c r="BQ70" i="2"/>
  <c r="BQ71" i="2"/>
  <c r="BQ72" i="2"/>
  <c r="BQ73" i="2"/>
  <c r="BQ74" i="2"/>
  <c r="BQ75" i="2"/>
  <c r="BQ76" i="2"/>
  <c r="BQ77" i="2"/>
  <c r="BQ78" i="2"/>
  <c r="BQ79" i="2"/>
  <c r="BQ80" i="2"/>
  <c r="BQ81" i="2"/>
  <c r="BQ82" i="2"/>
  <c r="BQ83" i="2"/>
  <c r="BQ84" i="2"/>
  <c r="BQ85" i="2"/>
  <c r="BQ86" i="2"/>
  <c r="BQ87" i="2"/>
  <c r="BQ88" i="2"/>
  <c r="BQ89" i="2"/>
  <c r="BQ90" i="2"/>
  <c r="BQ91" i="2"/>
  <c r="BQ92" i="2"/>
  <c r="BQ93" i="2"/>
  <c r="BQ94" i="2"/>
  <c r="BQ95" i="2"/>
  <c r="BQ96" i="2"/>
  <c r="BQ97" i="2"/>
  <c r="BQ98" i="2"/>
  <c r="BQ99" i="2"/>
  <c r="BQ100" i="2"/>
  <c r="BQ101" i="2"/>
  <c r="BQ102" i="2"/>
  <c r="BQ103" i="2"/>
  <c r="BQ104" i="2"/>
  <c r="BQ105" i="2"/>
  <c r="BQ106" i="2"/>
  <c r="BQ107" i="2"/>
  <c r="BQ108" i="2"/>
  <c r="BQ109" i="2"/>
  <c r="BQ110" i="2"/>
  <c r="BQ111" i="2"/>
  <c r="BQ112" i="2"/>
  <c r="BQ113" i="2"/>
  <c r="BQ114" i="2"/>
  <c r="BQ115" i="2"/>
  <c r="BQ116" i="2"/>
  <c r="BQ117" i="2"/>
  <c r="BQ118" i="2"/>
  <c r="BQ119" i="2"/>
  <c r="BQ120" i="2"/>
  <c r="BQ121" i="2"/>
  <c r="BQ122" i="2"/>
  <c r="BQ123" i="2"/>
  <c r="BQ124" i="2"/>
  <c r="BQ125" i="2"/>
  <c r="BQ126" i="2"/>
  <c r="BQ127" i="2"/>
  <c r="BQ128" i="2"/>
  <c r="BQ129" i="2"/>
  <c r="BQ130" i="2"/>
  <c r="BQ131" i="2"/>
  <c r="BQ132" i="2"/>
  <c r="BQ133" i="2"/>
  <c r="BQ134" i="2"/>
  <c r="BQ135" i="2"/>
  <c r="BQ136" i="2"/>
  <c r="BQ137" i="2"/>
  <c r="BQ138" i="2"/>
  <c r="BQ139" i="2"/>
  <c r="BQ140" i="2"/>
  <c r="BQ141" i="2"/>
  <c r="BQ142" i="2"/>
  <c r="BQ143" i="2"/>
  <c r="BQ144" i="2"/>
  <c r="BQ145" i="2"/>
  <c r="BQ146" i="2"/>
  <c r="BQ147" i="2"/>
  <c r="BQ148" i="2"/>
  <c r="BQ149" i="2"/>
  <c r="BQ150" i="2"/>
  <c r="BQ151" i="2"/>
  <c r="BQ152" i="2"/>
  <c r="BQ153" i="2"/>
  <c r="BQ154" i="2"/>
  <c r="BQ155" i="2"/>
  <c r="BQ156" i="2"/>
  <c r="BQ157" i="2"/>
  <c r="BQ158" i="2"/>
  <c r="BQ159" i="2"/>
  <c r="BQ160" i="2"/>
  <c r="BQ161" i="2"/>
  <c r="BQ162" i="2"/>
  <c r="BQ163" i="2"/>
  <c r="BQ164" i="2"/>
  <c r="BQ165" i="2"/>
  <c r="BQ166" i="2"/>
  <c r="BQ167" i="2"/>
  <c r="BQ168" i="2"/>
  <c r="BQ169" i="2"/>
  <c r="BQ170" i="2"/>
  <c r="BQ171" i="2"/>
  <c r="BQ172" i="2"/>
  <c r="BQ173" i="2"/>
  <c r="BQ174" i="2"/>
  <c r="BQ175" i="2"/>
  <c r="BQ176" i="2"/>
  <c r="BQ177" i="2"/>
  <c r="BQ178" i="2"/>
  <c r="BQ179" i="2"/>
  <c r="BQ180" i="2"/>
  <c r="BQ181" i="2"/>
  <c r="BQ182" i="2"/>
  <c r="BQ183" i="2"/>
  <c r="BQ184" i="2"/>
  <c r="BQ185" i="2"/>
  <c r="BQ186" i="2"/>
  <c r="BQ187" i="2"/>
  <c r="BQ188" i="2"/>
  <c r="BQ189" i="2"/>
  <c r="BQ190" i="2"/>
  <c r="BQ191" i="2"/>
  <c r="BQ192" i="2"/>
  <c r="BQ193" i="2"/>
  <c r="BQ194" i="2"/>
  <c r="BQ195" i="2"/>
  <c r="BQ196" i="2"/>
  <c r="BQ197" i="2"/>
  <c r="BQ198" i="2"/>
  <c r="BQ199" i="2"/>
  <c r="BQ200" i="2"/>
  <c r="BQ201" i="2"/>
  <c r="BQ202" i="2"/>
  <c r="BQ203" i="2"/>
  <c r="BQ204" i="2"/>
  <c r="BQ205" i="2"/>
  <c r="BQ206" i="2"/>
  <c r="BQ207" i="2"/>
  <c r="BQ208" i="2"/>
  <c r="BQ209" i="2"/>
  <c r="BQ210" i="2"/>
  <c r="BQ211" i="2"/>
  <c r="BQ212" i="2"/>
  <c r="BQ213" i="2"/>
  <c r="BQ214" i="2"/>
  <c r="BQ215" i="2"/>
  <c r="BQ216" i="2"/>
  <c r="BQ217" i="2"/>
  <c r="BQ218" i="2"/>
  <c r="BQ219" i="2"/>
  <c r="BQ220" i="2"/>
  <c r="BQ221" i="2"/>
  <c r="BQ222" i="2"/>
  <c r="BQ223" i="2"/>
  <c r="BQ224" i="2"/>
  <c r="BQ225" i="2"/>
  <c r="BQ226" i="2"/>
  <c r="BQ227" i="2"/>
  <c r="BQ228" i="2"/>
  <c r="BQ229" i="2"/>
  <c r="BQ230" i="2"/>
  <c r="BQ231" i="2"/>
  <c r="BQ232" i="2"/>
  <c r="BQ233" i="2"/>
  <c r="BQ234" i="2"/>
  <c r="BQ235" i="2"/>
  <c r="BQ236" i="2"/>
  <c r="BQ237" i="2"/>
  <c r="BQ238" i="2"/>
  <c r="BQ239" i="2"/>
  <c r="BQ240" i="2"/>
  <c r="BQ241" i="2"/>
  <c r="BQ242" i="2"/>
  <c r="BQ243" i="2"/>
  <c r="BQ244" i="2"/>
  <c r="BQ245" i="2"/>
  <c r="BQ246" i="2"/>
  <c r="BQ247" i="2"/>
  <c r="BQ248" i="2"/>
  <c r="BQ249" i="2"/>
  <c r="BQ250" i="2"/>
  <c r="BQ251" i="2"/>
  <c r="BQ252" i="2"/>
  <c r="BQ253" i="2"/>
  <c r="BQ254" i="2"/>
  <c r="BQ255" i="2"/>
  <c r="BQ256" i="2"/>
  <c r="BQ257" i="2"/>
  <c r="BQ258" i="2"/>
  <c r="BQ259" i="2"/>
  <c r="BQ260" i="2"/>
  <c r="BQ261" i="2"/>
  <c r="BQ262" i="2"/>
  <c r="BQ263" i="2"/>
  <c r="BQ264" i="2"/>
  <c r="BQ265" i="2"/>
  <c r="BQ266" i="2"/>
  <c r="BQ267" i="2"/>
  <c r="BQ268" i="2"/>
  <c r="BQ269" i="2"/>
  <c r="BQ270" i="2"/>
  <c r="BQ271" i="2"/>
  <c r="BQ272" i="2"/>
  <c r="BQ273" i="2"/>
  <c r="BQ274" i="2"/>
  <c r="BQ275" i="2"/>
  <c r="BQ276" i="2"/>
  <c r="BQ277" i="2"/>
  <c r="BQ278" i="2"/>
  <c r="BQ279" i="2"/>
  <c r="BQ280" i="2"/>
  <c r="BQ281" i="2"/>
  <c r="BQ282" i="2"/>
  <c r="BQ283" i="2"/>
  <c r="BQ284" i="2"/>
  <c r="BQ285" i="2"/>
  <c r="BQ286" i="2"/>
  <c r="BQ287" i="2"/>
  <c r="BQ288" i="2"/>
  <c r="BQ289" i="2"/>
  <c r="BQ290" i="2"/>
  <c r="BQ291" i="2"/>
  <c r="BQ292" i="2"/>
  <c r="BQ293" i="2"/>
  <c r="BQ294" i="2"/>
  <c r="BQ295" i="2"/>
  <c r="BQ296" i="2"/>
  <c r="BQ297" i="2"/>
  <c r="BQ298" i="2"/>
  <c r="BQ299" i="2"/>
  <c r="BQ300" i="2"/>
  <c r="BQ301" i="2"/>
  <c r="BQ302" i="2"/>
  <c r="BQ303" i="2"/>
  <c r="BQ304" i="2"/>
  <c r="BQ305" i="2"/>
  <c r="BQ306" i="2"/>
  <c r="BQ307" i="2"/>
  <c r="BQ308" i="2"/>
  <c r="BQ309" i="2"/>
  <c r="BQ310" i="2"/>
  <c r="BQ311" i="2"/>
  <c r="BQ312" i="2"/>
  <c r="BQ313" i="2"/>
  <c r="BQ314" i="2"/>
  <c r="BQ315" i="2"/>
  <c r="BQ316" i="2"/>
  <c r="BQ317" i="2"/>
  <c r="BQ318" i="2"/>
  <c r="BQ319" i="2"/>
  <c r="BQ320" i="2"/>
  <c r="BQ321" i="2"/>
  <c r="BQ322" i="2"/>
  <c r="BQ323" i="2"/>
  <c r="BQ324" i="2"/>
  <c r="BQ325" i="2"/>
  <c r="BQ326" i="2"/>
  <c r="BQ327" i="2"/>
  <c r="BQ328" i="2"/>
  <c r="BQ329" i="2"/>
  <c r="BQ330" i="2"/>
  <c r="BQ331" i="2"/>
  <c r="BQ332" i="2"/>
  <c r="BQ333" i="2"/>
  <c r="BQ334" i="2"/>
  <c r="BQ335" i="2"/>
  <c r="BQ336" i="2"/>
  <c r="BQ337" i="2"/>
  <c r="BQ338" i="2"/>
  <c r="BQ339" i="2"/>
  <c r="BQ340" i="2"/>
  <c r="BQ341" i="2"/>
  <c r="BQ342" i="2"/>
  <c r="BQ343" i="2"/>
  <c r="BQ344" i="2"/>
  <c r="BQ345" i="2"/>
  <c r="BQ346" i="2"/>
  <c r="BQ347" i="2"/>
  <c r="BQ348" i="2"/>
  <c r="BQ349" i="2"/>
  <c r="BQ350" i="2"/>
  <c r="BQ351" i="2"/>
  <c r="BQ352" i="2"/>
  <c r="BQ353" i="2"/>
  <c r="BQ354" i="2"/>
  <c r="BQ355" i="2"/>
  <c r="BQ356" i="2"/>
  <c r="BQ357" i="2"/>
  <c r="BQ358" i="2"/>
  <c r="BQ359" i="2"/>
  <c r="BQ360" i="2"/>
  <c r="BQ361" i="2"/>
  <c r="BQ362" i="2"/>
  <c r="BQ363" i="2"/>
  <c r="BQ364" i="2"/>
  <c r="BQ365" i="2"/>
  <c r="BQ366" i="2"/>
  <c r="BQ367" i="2"/>
  <c r="BQ368" i="2"/>
  <c r="BQ369" i="2"/>
  <c r="BQ370" i="2"/>
  <c r="BQ371" i="2"/>
  <c r="BQ372" i="2"/>
  <c r="BQ373" i="2"/>
  <c r="BQ374" i="2"/>
  <c r="BQ375" i="2"/>
  <c r="BQ376" i="2"/>
  <c r="BQ377" i="2"/>
  <c r="BQ378" i="2"/>
  <c r="BQ379" i="2"/>
  <c r="BQ380" i="2"/>
  <c r="BQ381" i="2"/>
  <c r="BQ382" i="2"/>
  <c r="BQ383" i="2"/>
  <c r="BQ384" i="2"/>
  <c r="BQ385" i="2"/>
  <c r="BQ386" i="2"/>
  <c r="BQ387" i="2"/>
  <c r="BQ388" i="2"/>
  <c r="BQ389" i="2"/>
  <c r="BQ390" i="2"/>
  <c r="BQ391" i="2"/>
  <c r="BQ392" i="2"/>
  <c r="BQ393" i="2"/>
  <c r="BQ394" i="2"/>
  <c r="BQ395" i="2"/>
  <c r="BQ396" i="2"/>
  <c r="BQ397" i="2"/>
  <c r="BQ398" i="2"/>
  <c r="BQ399" i="2"/>
  <c r="BQ400" i="2"/>
  <c r="BQ401" i="2"/>
  <c r="BQ402" i="2"/>
  <c r="BQ403" i="2"/>
  <c r="BQ404" i="2"/>
  <c r="BQ405" i="2"/>
  <c r="BQ406" i="2"/>
  <c r="BQ407" i="2"/>
  <c r="BQ408" i="2"/>
  <c r="BQ409" i="2"/>
  <c r="BQ410" i="2"/>
  <c r="BQ411" i="2"/>
  <c r="BQ412" i="2"/>
  <c r="BQ413" i="2"/>
  <c r="BQ414" i="2"/>
  <c r="BQ415" i="2"/>
  <c r="BQ416" i="2"/>
  <c r="BQ417" i="2"/>
  <c r="BQ418" i="2"/>
  <c r="BQ419" i="2"/>
  <c r="BQ420" i="2"/>
  <c r="BQ421" i="2"/>
  <c r="BQ422" i="2"/>
  <c r="BQ423" i="2"/>
  <c r="BQ424" i="2"/>
  <c r="BQ425" i="2"/>
  <c r="BQ426" i="2"/>
  <c r="BQ427" i="2"/>
  <c r="BQ428" i="2"/>
  <c r="BQ429" i="2"/>
  <c r="BQ430" i="2"/>
  <c r="BQ431" i="2"/>
  <c r="BQ432" i="2"/>
  <c r="BQ433" i="2"/>
  <c r="BQ434" i="2"/>
  <c r="BQ435" i="2"/>
  <c r="BQ436" i="2"/>
  <c r="BQ437" i="2"/>
  <c r="BQ438" i="2"/>
  <c r="BQ439" i="2"/>
  <c r="BQ440" i="2"/>
  <c r="BQ441" i="2"/>
  <c r="BQ442" i="2"/>
  <c r="BQ443" i="2"/>
  <c r="BQ444" i="2"/>
  <c r="BQ445" i="2"/>
  <c r="BQ446" i="2"/>
  <c r="BQ447" i="2"/>
  <c r="BQ448" i="2"/>
  <c r="BQ449" i="2"/>
  <c r="BQ450" i="2"/>
  <c r="BQ451" i="2"/>
  <c r="BQ452" i="2"/>
  <c r="BQ453" i="2"/>
  <c r="BQ454" i="2"/>
  <c r="BQ455" i="2"/>
  <c r="BQ456" i="2"/>
  <c r="BQ457" i="2"/>
  <c r="BQ458" i="2"/>
  <c r="BQ459" i="2"/>
  <c r="BQ460" i="2"/>
  <c r="BQ461" i="2"/>
  <c r="BQ462" i="2"/>
  <c r="BQ463" i="2"/>
  <c r="BQ464" i="2"/>
  <c r="BQ465" i="2"/>
  <c r="BQ466" i="2"/>
  <c r="BQ467" i="2"/>
  <c r="BQ468" i="2"/>
  <c r="BQ469" i="2"/>
  <c r="BQ470" i="2"/>
  <c r="BQ471" i="2"/>
  <c r="BQ472" i="2"/>
  <c r="BQ473" i="2"/>
  <c r="BQ474" i="2"/>
  <c r="BQ475" i="2"/>
  <c r="BQ476" i="2"/>
  <c r="BQ477" i="2"/>
  <c r="BQ478" i="2"/>
  <c r="BQ479" i="2"/>
  <c r="BQ480" i="2"/>
  <c r="BQ481" i="2"/>
  <c r="BQ482" i="2"/>
  <c r="BQ483" i="2"/>
  <c r="BQ484" i="2"/>
  <c r="BQ485" i="2"/>
  <c r="BQ486" i="2"/>
  <c r="BQ487" i="2"/>
  <c r="BQ488" i="2"/>
  <c r="BQ489" i="2"/>
  <c r="BQ490" i="2"/>
  <c r="BQ491" i="2"/>
  <c r="BQ492" i="2"/>
  <c r="BQ493" i="2"/>
  <c r="BQ494" i="2"/>
  <c r="BQ495" i="2"/>
  <c r="BQ496" i="2"/>
  <c r="BQ497" i="2"/>
  <c r="BQ498" i="2"/>
  <c r="BQ499" i="2"/>
  <c r="BQ500" i="2"/>
  <c r="BQ501" i="2"/>
  <c r="BQ502" i="2"/>
  <c r="BQ503" i="2"/>
  <c r="BQ504" i="2"/>
  <c r="BQ505" i="2"/>
  <c r="BQ506" i="2"/>
  <c r="BQ507" i="2"/>
  <c r="BQ508" i="2"/>
  <c r="BQ509" i="2"/>
  <c r="BQ510" i="2"/>
  <c r="BQ511" i="2"/>
  <c r="BQ512" i="2"/>
  <c r="BQ513" i="2"/>
  <c r="BQ514" i="2"/>
  <c r="BQ515" i="2"/>
  <c r="BQ516" i="2"/>
  <c r="BQ517" i="2"/>
  <c r="BQ518" i="2"/>
  <c r="BQ519" i="2"/>
  <c r="BQ520" i="2"/>
  <c r="BQ521" i="2"/>
  <c r="BQ522" i="2"/>
  <c r="BQ523" i="2"/>
  <c r="BQ524" i="2"/>
  <c r="BQ525" i="2"/>
  <c r="BQ526" i="2"/>
  <c r="BQ527" i="2"/>
  <c r="BQ528" i="2"/>
  <c r="BQ529" i="2"/>
  <c r="BQ530" i="2"/>
  <c r="BQ531" i="2"/>
  <c r="BQ532" i="2"/>
  <c r="BQ533" i="2"/>
  <c r="BQ534" i="2"/>
  <c r="BQ535" i="2"/>
  <c r="BQ536" i="2"/>
  <c r="BQ537" i="2"/>
  <c r="BQ538" i="2"/>
  <c r="BQ539" i="2"/>
  <c r="BQ540" i="2"/>
  <c r="BQ541" i="2"/>
  <c r="BQ542" i="2"/>
  <c r="BQ543" i="2"/>
  <c r="BQ544" i="2"/>
  <c r="BQ545" i="2"/>
  <c r="BQ546" i="2"/>
  <c r="BQ547" i="2"/>
  <c r="BQ548" i="2"/>
  <c r="BQ549" i="2"/>
  <c r="BQ550" i="2"/>
  <c r="BQ551" i="2"/>
  <c r="BQ552" i="2"/>
  <c r="BQ553" i="2"/>
  <c r="BQ554" i="2"/>
  <c r="BQ555" i="2"/>
  <c r="BQ556" i="2"/>
  <c r="BQ557" i="2"/>
  <c r="BQ558" i="2"/>
  <c r="BQ559" i="2"/>
  <c r="BQ560" i="2"/>
  <c r="BQ561" i="2"/>
  <c r="BQ562" i="2"/>
  <c r="BQ563" i="2"/>
  <c r="BQ564" i="2"/>
  <c r="BQ565" i="2"/>
  <c r="BQ566" i="2"/>
  <c r="BQ567" i="2"/>
  <c r="BQ568" i="2"/>
  <c r="BQ569" i="2"/>
  <c r="BQ570" i="2"/>
  <c r="BQ571" i="2"/>
  <c r="BQ572" i="2"/>
  <c r="BQ573" i="2"/>
  <c r="BQ574" i="2"/>
  <c r="BQ575" i="2"/>
  <c r="BQ576" i="2"/>
  <c r="BQ577" i="2"/>
  <c r="BQ578" i="2"/>
  <c r="BQ579" i="2"/>
  <c r="BQ580" i="2"/>
  <c r="BQ581" i="2"/>
  <c r="BQ582" i="2"/>
  <c r="BQ583" i="2"/>
  <c r="BQ584" i="2"/>
  <c r="BQ585" i="2"/>
  <c r="BQ586" i="2"/>
  <c r="BQ587" i="2"/>
  <c r="BQ588" i="2"/>
  <c r="BQ589" i="2"/>
  <c r="BQ590" i="2"/>
  <c r="BQ591" i="2"/>
  <c r="BQ592" i="2"/>
  <c r="BQ593" i="2"/>
  <c r="BQ594" i="2"/>
  <c r="BQ595" i="2"/>
  <c r="BQ596" i="2"/>
  <c r="BQ597" i="2"/>
  <c r="BQ598" i="2"/>
  <c r="BQ599" i="2"/>
  <c r="BQ600" i="2"/>
  <c r="BQ601" i="2"/>
  <c r="BQ602" i="2"/>
  <c r="BQ603" i="2"/>
  <c r="BQ604" i="2"/>
  <c r="BQ605" i="2"/>
  <c r="BQ606" i="2"/>
  <c r="BQ607" i="2"/>
  <c r="BQ608" i="2"/>
  <c r="BQ609" i="2"/>
  <c r="BQ610" i="2"/>
  <c r="BQ611" i="2"/>
  <c r="BQ612" i="2"/>
  <c r="BQ613" i="2"/>
  <c r="BQ614" i="2"/>
  <c r="BQ615" i="2"/>
  <c r="BQ616" i="2"/>
  <c r="BQ617" i="2"/>
  <c r="BQ618" i="2"/>
  <c r="BQ619" i="2"/>
  <c r="BQ620" i="2"/>
  <c r="BQ621" i="2"/>
  <c r="BQ622" i="2"/>
  <c r="BQ623" i="2"/>
  <c r="BQ624" i="2"/>
  <c r="BQ625" i="2"/>
  <c r="BQ626" i="2"/>
  <c r="BQ627" i="2"/>
  <c r="BQ628" i="2"/>
  <c r="BQ629" i="2"/>
  <c r="BQ630" i="2"/>
  <c r="BQ631" i="2"/>
  <c r="BQ632" i="2"/>
  <c r="BQ633" i="2"/>
  <c r="BQ634" i="2"/>
  <c r="BQ635" i="2"/>
  <c r="BQ636" i="2"/>
  <c r="BQ637" i="2"/>
  <c r="BQ638" i="2"/>
  <c r="BQ639" i="2"/>
  <c r="BQ640" i="2"/>
  <c r="BQ641" i="2"/>
  <c r="BQ642" i="2"/>
  <c r="BQ643" i="2"/>
  <c r="BQ644" i="2"/>
  <c r="BQ645" i="2"/>
  <c r="BQ646" i="2"/>
  <c r="BQ647" i="2"/>
  <c r="BQ648" i="2"/>
  <c r="BQ649" i="2"/>
  <c r="BQ650" i="2"/>
  <c r="BQ651" i="2"/>
  <c r="BQ652" i="2"/>
  <c r="BQ653" i="2"/>
  <c r="BQ654" i="2"/>
  <c r="BQ655" i="2"/>
  <c r="BQ656" i="2"/>
  <c r="BQ657" i="2"/>
  <c r="BQ658" i="2"/>
  <c r="BQ659" i="2"/>
  <c r="BQ660" i="2"/>
  <c r="BQ661" i="2"/>
  <c r="BQ662" i="2"/>
  <c r="BQ663" i="2"/>
  <c r="BQ664" i="2"/>
  <c r="BQ665" i="2"/>
  <c r="BQ666" i="2"/>
  <c r="BQ667" i="2"/>
  <c r="BQ668" i="2"/>
  <c r="BQ669" i="2"/>
  <c r="BQ670" i="2"/>
  <c r="BQ671" i="2"/>
  <c r="BQ672" i="2"/>
  <c r="BQ673" i="2"/>
  <c r="BQ674" i="2"/>
  <c r="BQ675" i="2"/>
  <c r="BQ676" i="2"/>
  <c r="BQ677" i="2"/>
  <c r="BQ678" i="2"/>
  <c r="BQ679" i="2"/>
  <c r="BQ680" i="2"/>
  <c r="BQ681" i="2"/>
  <c r="BQ682" i="2"/>
  <c r="BQ683" i="2"/>
  <c r="BQ684" i="2"/>
  <c r="BQ685" i="2"/>
  <c r="BQ686" i="2"/>
  <c r="BQ687" i="2"/>
  <c r="BQ688" i="2"/>
  <c r="BQ689" i="2"/>
  <c r="BQ690" i="2"/>
  <c r="BQ691" i="2"/>
  <c r="BQ692" i="2"/>
  <c r="BQ693" i="2"/>
  <c r="BQ694" i="2"/>
  <c r="BQ695" i="2"/>
  <c r="BQ696" i="2"/>
  <c r="BQ697" i="2"/>
  <c r="BQ698" i="2"/>
  <c r="BQ699" i="2"/>
  <c r="BQ700" i="2"/>
  <c r="BQ701" i="2"/>
  <c r="BQ702" i="2"/>
  <c r="BQ703" i="2"/>
  <c r="BQ704" i="2"/>
  <c r="BQ705" i="2"/>
  <c r="BQ706" i="2"/>
  <c r="BQ707" i="2"/>
  <c r="BQ708" i="2"/>
  <c r="BQ709" i="2"/>
  <c r="BQ710" i="2"/>
  <c r="BQ711" i="2"/>
  <c r="BQ712" i="2"/>
  <c r="BQ713" i="2"/>
  <c r="BQ714" i="2"/>
  <c r="BQ715" i="2"/>
  <c r="BQ716" i="2"/>
  <c r="BQ717" i="2"/>
  <c r="BQ718" i="2"/>
  <c r="BQ719" i="2"/>
  <c r="BQ720" i="2"/>
  <c r="BQ721" i="2"/>
  <c r="BQ722" i="2"/>
  <c r="BQ723" i="2"/>
  <c r="BQ724" i="2"/>
  <c r="BQ725" i="2"/>
  <c r="BQ726" i="2"/>
  <c r="BQ727" i="2"/>
  <c r="BQ728" i="2"/>
  <c r="BQ729" i="2"/>
  <c r="BQ730" i="2"/>
  <c r="BQ731" i="2"/>
  <c r="BQ732" i="2"/>
  <c r="BQ733" i="2"/>
  <c r="BQ734" i="2"/>
  <c r="BQ735" i="2"/>
  <c r="BQ736" i="2"/>
  <c r="BQ737" i="2"/>
  <c r="BQ738" i="2"/>
  <c r="BQ739" i="2"/>
  <c r="BQ740" i="2"/>
  <c r="BQ741" i="2"/>
  <c r="BQ742" i="2"/>
  <c r="BQ743" i="2"/>
  <c r="BQ744" i="2"/>
  <c r="BQ745" i="2"/>
  <c r="BQ746" i="2"/>
  <c r="BQ747" i="2"/>
  <c r="BQ748" i="2"/>
  <c r="BQ749" i="2"/>
  <c r="BQ750" i="2"/>
  <c r="BQ751" i="2"/>
  <c r="BQ752" i="2"/>
  <c r="BQ753" i="2"/>
  <c r="BQ754" i="2"/>
  <c r="BQ755" i="2"/>
  <c r="BQ756" i="2"/>
  <c r="BQ757" i="2"/>
  <c r="BQ758" i="2"/>
  <c r="BQ759" i="2"/>
  <c r="BQ760" i="2"/>
  <c r="BQ761" i="2"/>
  <c r="BQ762" i="2"/>
  <c r="BQ763" i="2"/>
  <c r="BQ764" i="2"/>
  <c r="BQ765" i="2"/>
  <c r="BQ766" i="2"/>
  <c r="BQ767" i="2"/>
  <c r="BQ768" i="2"/>
  <c r="BQ769" i="2"/>
  <c r="BQ770" i="2"/>
  <c r="BQ771" i="2"/>
  <c r="BQ772" i="2"/>
  <c r="BQ773" i="2"/>
  <c r="BQ774" i="2"/>
  <c r="BQ775" i="2"/>
  <c r="BQ776" i="2"/>
  <c r="BQ777" i="2"/>
  <c r="BQ778" i="2"/>
  <c r="BQ779" i="2"/>
  <c r="BQ780" i="2"/>
  <c r="BQ781" i="2"/>
  <c r="BQ782" i="2"/>
  <c r="BQ783" i="2"/>
  <c r="BQ784" i="2"/>
  <c r="BQ785" i="2"/>
  <c r="BQ786" i="2"/>
  <c r="BQ787" i="2"/>
  <c r="BQ788" i="2"/>
  <c r="BQ789" i="2"/>
  <c r="BQ790" i="2"/>
  <c r="BQ791" i="2"/>
  <c r="BQ792" i="2"/>
  <c r="BQ793" i="2"/>
  <c r="BQ794" i="2"/>
  <c r="BQ795" i="2"/>
  <c r="BQ796" i="2"/>
  <c r="BQ797" i="2"/>
  <c r="BQ798" i="2"/>
  <c r="BQ799" i="2"/>
  <c r="BQ800" i="2"/>
  <c r="BQ801" i="2"/>
  <c r="BQ802" i="2"/>
  <c r="BQ803" i="2"/>
  <c r="BQ804" i="2"/>
  <c r="BQ805" i="2"/>
  <c r="BQ806" i="2"/>
  <c r="BQ807" i="2"/>
  <c r="BQ808" i="2"/>
  <c r="BQ809" i="2"/>
  <c r="BQ810" i="2"/>
  <c r="BQ811" i="2"/>
  <c r="BQ812" i="2"/>
  <c r="BQ813" i="2"/>
  <c r="BQ814" i="2"/>
  <c r="BQ815" i="2"/>
  <c r="BQ816" i="2"/>
  <c r="BQ817" i="2"/>
  <c r="BQ818" i="2"/>
  <c r="BQ819" i="2"/>
  <c r="BQ820" i="2"/>
  <c r="BQ821" i="2"/>
  <c r="BQ822" i="2"/>
  <c r="BQ823" i="2"/>
  <c r="BQ824" i="2"/>
  <c r="BQ825" i="2"/>
  <c r="BQ826" i="2"/>
  <c r="BQ827" i="2"/>
  <c r="BQ828" i="2"/>
  <c r="BQ829" i="2"/>
  <c r="BQ830" i="2"/>
  <c r="BQ831" i="2"/>
  <c r="BQ832" i="2"/>
  <c r="BQ833" i="2"/>
  <c r="BQ834" i="2"/>
  <c r="BQ835" i="2"/>
  <c r="BQ836" i="2"/>
  <c r="BQ837" i="2"/>
  <c r="BQ838" i="2"/>
  <c r="BQ839" i="2"/>
  <c r="BQ840" i="2"/>
  <c r="BQ841" i="2"/>
  <c r="BQ842" i="2"/>
  <c r="BQ843" i="2"/>
  <c r="BQ844" i="2"/>
  <c r="BQ845" i="2"/>
  <c r="BQ846" i="2"/>
  <c r="BQ847" i="2"/>
  <c r="BQ848" i="2"/>
  <c r="BQ849" i="2"/>
  <c r="BQ850" i="2"/>
  <c r="BQ851" i="2"/>
  <c r="BQ852" i="2"/>
  <c r="BQ853" i="2"/>
  <c r="BQ854" i="2"/>
  <c r="BQ855" i="2"/>
  <c r="BQ856" i="2"/>
  <c r="BQ857" i="2"/>
  <c r="BQ858" i="2"/>
  <c r="BQ859" i="2"/>
  <c r="BQ860" i="2"/>
  <c r="BQ861" i="2"/>
  <c r="BQ862" i="2"/>
  <c r="BQ863" i="2"/>
  <c r="BQ864" i="2"/>
  <c r="BQ865" i="2"/>
  <c r="BQ866" i="2"/>
  <c r="BQ867" i="2"/>
  <c r="BQ868" i="2"/>
  <c r="BQ869" i="2"/>
  <c r="BQ870" i="2"/>
  <c r="BQ871" i="2"/>
  <c r="BQ872" i="2"/>
  <c r="BQ873" i="2"/>
  <c r="BQ874" i="2"/>
  <c r="BQ875" i="2"/>
  <c r="BQ876" i="2"/>
  <c r="BQ877" i="2"/>
  <c r="BQ878" i="2"/>
  <c r="BQ879" i="2"/>
  <c r="BQ880" i="2"/>
  <c r="BQ881" i="2"/>
  <c r="BQ882" i="2"/>
  <c r="BQ883" i="2"/>
  <c r="BQ884" i="2"/>
  <c r="BQ885" i="2"/>
  <c r="BQ886" i="2"/>
  <c r="BQ887" i="2"/>
  <c r="BQ888" i="2"/>
  <c r="BQ889" i="2"/>
  <c r="BQ890" i="2"/>
  <c r="BQ891" i="2"/>
  <c r="BQ892" i="2"/>
  <c r="BQ893" i="2"/>
  <c r="BQ894" i="2"/>
  <c r="BQ895" i="2"/>
  <c r="BQ896" i="2"/>
  <c r="BQ897" i="2"/>
  <c r="BQ898" i="2"/>
  <c r="BQ899" i="2"/>
  <c r="BQ900" i="2"/>
  <c r="BQ901" i="2"/>
  <c r="BQ902" i="2"/>
  <c r="BQ903" i="2"/>
  <c r="BQ904" i="2"/>
  <c r="BQ905" i="2"/>
  <c r="BQ906" i="2"/>
  <c r="BQ907" i="2"/>
  <c r="BQ908" i="2"/>
  <c r="BQ909" i="2"/>
  <c r="BQ910" i="2"/>
  <c r="BQ911" i="2"/>
  <c r="BQ912" i="2"/>
  <c r="BQ913" i="2"/>
  <c r="BQ914" i="2"/>
  <c r="BQ915" i="2"/>
  <c r="BQ916" i="2"/>
  <c r="BQ917" i="2"/>
  <c r="BQ918" i="2"/>
  <c r="BQ919" i="2"/>
  <c r="BQ920" i="2"/>
  <c r="BQ921" i="2"/>
  <c r="BQ922" i="2"/>
  <c r="BQ923" i="2"/>
  <c r="BQ924" i="2"/>
  <c r="BQ925" i="2"/>
  <c r="BQ926" i="2"/>
  <c r="BQ927" i="2"/>
  <c r="BQ928" i="2"/>
  <c r="BQ929" i="2"/>
  <c r="BQ930" i="2"/>
  <c r="BQ931" i="2"/>
  <c r="BQ932" i="2"/>
  <c r="BQ933" i="2"/>
  <c r="BQ934" i="2"/>
  <c r="BQ935" i="2"/>
  <c r="BQ936" i="2"/>
  <c r="BQ937" i="2"/>
  <c r="BQ938" i="2"/>
  <c r="BQ939" i="2"/>
  <c r="BQ940" i="2"/>
  <c r="BQ941" i="2"/>
  <c r="BQ942" i="2"/>
  <c r="BQ943" i="2"/>
  <c r="BQ944" i="2"/>
  <c r="BQ945" i="2"/>
  <c r="BQ946" i="2"/>
  <c r="BQ947" i="2"/>
  <c r="BQ948" i="2"/>
  <c r="BQ949" i="2"/>
  <c r="BQ950" i="2"/>
  <c r="BQ951" i="2"/>
  <c r="BQ952" i="2"/>
  <c r="BQ953" i="2"/>
  <c r="BQ954" i="2"/>
  <c r="BQ955" i="2"/>
  <c r="BQ956" i="2"/>
  <c r="BQ957" i="2"/>
  <c r="BQ958" i="2"/>
  <c r="BQ959" i="2"/>
  <c r="BQ960" i="2"/>
  <c r="BQ961" i="2"/>
  <c r="BQ962" i="2"/>
  <c r="BQ963" i="2"/>
  <c r="BQ964" i="2"/>
  <c r="BQ965" i="2"/>
  <c r="BQ966" i="2"/>
  <c r="BQ967" i="2"/>
  <c r="BQ968" i="2"/>
  <c r="BQ969" i="2"/>
  <c r="BQ970" i="2"/>
  <c r="BQ971" i="2"/>
  <c r="BQ972" i="2"/>
  <c r="BQ973" i="2"/>
  <c r="BQ974" i="2"/>
  <c r="BQ975" i="2"/>
  <c r="BQ976" i="2"/>
  <c r="BQ977" i="2"/>
  <c r="BQ978" i="2"/>
  <c r="BQ979" i="2"/>
  <c r="BQ980" i="2"/>
  <c r="BQ981" i="2"/>
  <c r="BQ982" i="2"/>
  <c r="BQ983" i="2"/>
  <c r="BQ984" i="2"/>
  <c r="BQ985" i="2"/>
  <c r="BQ986" i="2"/>
  <c r="BQ987" i="2"/>
  <c r="BQ988" i="2"/>
  <c r="BQ989" i="2"/>
  <c r="BQ990" i="2"/>
  <c r="BQ991" i="2"/>
  <c r="BQ992" i="2"/>
  <c r="BQ993" i="2"/>
  <c r="BQ994" i="2"/>
  <c r="BQ995" i="2"/>
  <c r="BQ996" i="2"/>
  <c r="BQ997" i="2"/>
  <c r="BQ998" i="2"/>
  <c r="BQ999" i="2"/>
  <c r="BQ1000" i="2"/>
  <c r="BQ1001" i="2"/>
  <c r="BQ1002" i="2"/>
  <c r="BQ1003" i="2"/>
  <c r="BQ1004" i="2"/>
  <c r="BQ1005" i="2"/>
  <c r="BQ1006" i="2"/>
  <c r="BQ1007" i="2"/>
  <c r="BQ1008" i="2"/>
  <c r="BQ1009" i="2"/>
  <c r="BQ1010" i="2"/>
  <c r="BQ1011" i="2"/>
  <c r="BQ1012" i="2"/>
  <c r="BQ1013" i="2"/>
  <c r="BQ1014" i="2"/>
  <c r="BQ1015" i="2"/>
  <c r="BQ1016" i="2"/>
  <c r="BQ1017" i="2"/>
  <c r="BQ1018" i="2"/>
  <c r="BQ1019" i="2"/>
  <c r="BQ1020" i="2"/>
  <c r="BQ1021" i="2"/>
  <c r="BQ1022" i="2"/>
  <c r="BQ1023" i="2"/>
  <c r="BQ1024" i="2"/>
  <c r="BQ1025" i="2"/>
  <c r="BQ1026" i="2"/>
  <c r="BQ1027" i="2"/>
  <c r="BQ1028" i="2"/>
  <c r="BQ1029" i="2"/>
  <c r="BQ1030" i="2"/>
  <c r="BQ1031" i="2"/>
  <c r="BQ1032" i="2"/>
  <c r="BQ1033" i="2"/>
  <c r="BQ1034" i="2"/>
  <c r="BQ1035" i="2"/>
  <c r="BQ1036" i="2"/>
  <c r="BQ1037" i="2"/>
  <c r="BQ1038" i="2"/>
  <c r="BQ1039" i="2"/>
  <c r="BQ1040" i="2"/>
  <c r="BQ1041" i="2"/>
  <c r="BQ1042" i="2"/>
  <c r="BQ1043" i="2"/>
  <c r="BQ1044" i="2"/>
  <c r="BQ1045" i="2"/>
  <c r="BQ1046" i="2"/>
  <c r="BQ1047" i="2"/>
  <c r="BQ1048" i="2"/>
  <c r="BQ1049" i="2"/>
  <c r="BQ1050" i="2"/>
  <c r="BQ1051" i="2"/>
  <c r="BQ1052" i="2"/>
  <c r="BQ1053" i="2"/>
  <c r="BQ1054" i="2"/>
  <c r="BQ1055" i="2"/>
  <c r="BQ1056" i="2"/>
  <c r="BQ1057" i="2"/>
  <c r="BQ1058" i="2"/>
  <c r="BQ1059" i="2"/>
  <c r="BQ1060" i="2"/>
  <c r="BQ1061" i="2"/>
  <c r="BQ1062" i="2"/>
  <c r="BQ1063" i="2"/>
  <c r="BQ1064" i="2"/>
  <c r="BQ1065" i="2"/>
  <c r="BQ1066" i="2"/>
  <c r="BQ1067" i="2"/>
  <c r="BQ1068" i="2"/>
  <c r="BQ1069" i="2"/>
  <c r="BQ1070" i="2"/>
  <c r="BQ1071" i="2"/>
  <c r="BQ1072" i="2"/>
  <c r="BQ1073" i="2"/>
  <c r="BQ1074" i="2"/>
  <c r="BQ1075" i="2"/>
  <c r="BQ1076" i="2"/>
  <c r="BQ1077" i="2"/>
  <c r="BQ1078" i="2"/>
  <c r="BQ1079" i="2"/>
  <c r="BQ1080" i="2"/>
  <c r="BQ1081" i="2"/>
  <c r="BQ1082" i="2"/>
  <c r="BQ1083" i="2"/>
  <c r="BQ1084" i="2"/>
  <c r="BQ1085" i="2"/>
  <c r="BQ1086" i="2"/>
  <c r="BQ1087" i="2"/>
  <c r="BQ1088" i="2"/>
  <c r="BQ1089" i="2"/>
  <c r="BQ1090" i="2"/>
  <c r="BQ1091" i="2"/>
  <c r="BQ1092" i="2"/>
  <c r="BQ1093" i="2"/>
  <c r="BQ1094" i="2"/>
  <c r="BQ1095" i="2"/>
  <c r="BQ1096" i="2"/>
  <c r="BQ1097" i="2"/>
  <c r="BQ1098" i="2"/>
  <c r="BQ1099" i="2"/>
  <c r="BQ1100" i="2"/>
  <c r="BQ1101" i="2"/>
  <c r="BQ1102" i="2"/>
  <c r="BQ1103" i="2"/>
  <c r="BQ1104" i="2"/>
  <c r="BQ1105" i="2"/>
  <c r="BQ1106" i="2"/>
  <c r="BQ1107" i="2"/>
  <c r="BQ1108" i="2"/>
  <c r="BQ1109" i="2"/>
  <c r="BQ1110" i="2"/>
  <c r="BQ1111" i="2"/>
  <c r="BQ1112" i="2"/>
  <c r="BQ1113" i="2"/>
  <c r="BQ1114" i="2"/>
  <c r="BQ1115" i="2"/>
  <c r="BQ1116" i="2"/>
  <c r="BQ1117" i="2"/>
  <c r="BQ1118" i="2"/>
  <c r="BQ1119" i="2"/>
  <c r="BQ1120" i="2"/>
  <c r="BQ1121" i="2"/>
  <c r="BQ1122" i="2"/>
  <c r="BQ1123" i="2"/>
  <c r="BQ1124" i="2"/>
  <c r="BQ1125" i="2"/>
  <c r="BQ1126" i="2"/>
  <c r="BQ1127" i="2"/>
  <c r="BQ1128" i="2"/>
  <c r="BQ1129" i="2"/>
  <c r="BQ1130" i="2"/>
  <c r="BQ1131" i="2"/>
  <c r="BQ1132" i="2"/>
  <c r="BQ1133" i="2"/>
  <c r="BQ1134" i="2"/>
  <c r="BQ1135" i="2"/>
  <c r="BQ1136" i="2"/>
  <c r="BQ1137" i="2"/>
  <c r="BQ1138" i="2"/>
  <c r="BQ1139" i="2"/>
  <c r="BQ1140" i="2"/>
  <c r="BQ1141" i="2"/>
  <c r="BQ1142" i="2"/>
  <c r="BQ1143" i="2"/>
  <c r="BQ1144" i="2"/>
  <c r="BQ1145" i="2"/>
  <c r="BQ1146" i="2"/>
  <c r="BQ1147" i="2"/>
  <c r="BQ1148" i="2"/>
  <c r="BQ1149" i="2"/>
  <c r="BQ1150" i="2"/>
  <c r="BQ1151" i="2"/>
  <c r="BQ1152" i="2"/>
  <c r="BQ1153" i="2"/>
  <c r="BQ1154" i="2"/>
  <c r="BQ1155" i="2"/>
  <c r="BQ1156" i="2"/>
  <c r="BQ1157" i="2"/>
  <c r="BQ1158" i="2"/>
  <c r="BQ1159" i="2"/>
  <c r="BQ1160" i="2"/>
  <c r="BQ1161" i="2"/>
  <c r="BQ1162" i="2"/>
  <c r="BQ1163" i="2"/>
  <c r="BQ1164" i="2"/>
  <c r="BQ1165" i="2"/>
  <c r="BQ1166" i="2"/>
  <c r="BQ1167" i="2"/>
  <c r="BQ1168" i="2"/>
  <c r="BQ1169" i="2"/>
  <c r="BQ1170" i="2"/>
  <c r="BQ1171" i="2"/>
  <c r="BQ1172" i="2"/>
  <c r="BQ1173" i="2"/>
  <c r="BQ1174" i="2"/>
  <c r="BQ1175" i="2"/>
  <c r="BQ1176" i="2"/>
  <c r="BQ1177" i="2"/>
  <c r="BQ1178" i="2"/>
  <c r="BQ1179" i="2"/>
  <c r="BQ1180" i="2"/>
  <c r="BQ1181" i="2"/>
  <c r="BQ1182" i="2"/>
  <c r="BQ1183" i="2"/>
  <c r="BQ1184" i="2"/>
  <c r="BQ1185" i="2"/>
  <c r="BQ1186" i="2"/>
  <c r="BQ1187" i="2"/>
  <c r="BQ1188" i="2"/>
  <c r="BQ1189" i="2"/>
  <c r="BQ1190" i="2"/>
  <c r="BQ1191" i="2"/>
  <c r="BQ1192" i="2"/>
  <c r="BQ1193" i="2"/>
  <c r="BQ1194" i="2"/>
  <c r="BQ1195" i="2"/>
  <c r="BQ1196" i="2"/>
  <c r="BQ1197" i="2"/>
  <c r="BQ1198" i="2"/>
  <c r="BQ1199" i="2"/>
  <c r="BQ1200" i="2"/>
  <c r="BQ1201" i="2"/>
  <c r="BQ1202" i="2"/>
  <c r="BQ1203" i="2"/>
  <c r="BQ1204" i="2"/>
  <c r="BQ1205" i="2"/>
  <c r="BQ1206" i="2"/>
  <c r="BQ1207" i="2"/>
  <c r="BQ1208" i="2"/>
  <c r="BQ1209" i="2"/>
  <c r="BQ1210" i="2"/>
  <c r="BQ1211" i="2"/>
  <c r="BQ1212" i="2"/>
  <c r="BQ1213" i="2"/>
  <c r="BQ1214" i="2"/>
  <c r="BQ1215" i="2"/>
  <c r="BQ1216" i="2"/>
  <c r="BQ1217" i="2"/>
  <c r="BQ1218" i="2"/>
  <c r="BQ1219" i="2"/>
  <c r="BQ1220" i="2"/>
  <c r="BQ1221" i="2"/>
  <c r="BQ1222" i="2"/>
  <c r="BQ1223" i="2"/>
  <c r="BQ1224" i="2"/>
  <c r="BQ1225" i="2"/>
  <c r="BQ1226" i="2"/>
  <c r="BQ1227" i="2"/>
  <c r="BQ1228" i="2"/>
  <c r="BQ1229" i="2"/>
  <c r="BQ1230" i="2"/>
  <c r="BQ1231" i="2"/>
  <c r="BQ1232" i="2"/>
  <c r="BQ1233" i="2"/>
  <c r="BQ1234" i="2"/>
  <c r="BQ1235" i="2"/>
  <c r="BQ1236" i="2"/>
  <c r="BQ1237" i="2"/>
  <c r="BQ1238" i="2"/>
  <c r="BQ1239" i="2"/>
  <c r="BQ1240" i="2"/>
  <c r="BQ1241" i="2"/>
  <c r="BQ1242" i="2"/>
  <c r="BQ1243" i="2"/>
  <c r="BQ1244" i="2"/>
  <c r="BQ1245" i="2"/>
  <c r="BQ1246" i="2"/>
  <c r="BQ1247" i="2"/>
  <c r="BQ1248" i="2"/>
  <c r="BQ1249" i="2"/>
  <c r="BQ1250" i="2"/>
  <c r="BQ1251" i="2"/>
  <c r="BQ1252" i="2"/>
  <c r="BQ1253" i="2"/>
  <c r="BQ1254" i="2"/>
  <c r="BQ1255" i="2"/>
  <c r="BQ1256" i="2"/>
  <c r="BQ1257" i="2"/>
  <c r="BQ1258" i="2"/>
  <c r="BQ1259" i="2"/>
  <c r="BQ1260" i="2"/>
  <c r="BQ1261" i="2"/>
  <c r="BQ1262" i="2"/>
  <c r="BQ1263" i="2"/>
  <c r="BQ1264" i="2"/>
  <c r="BQ1265" i="2"/>
  <c r="BQ1266" i="2"/>
  <c r="BQ1267" i="2"/>
  <c r="BQ1268" i="2"/>
  <c r="BQ1269" i="2"/>
  <c r="BQ1270" i="2"/>
  <c r="BQ1271" i="2"/>
  <c r="BQ1272" i="2"/>
  <c r="BQ1273" i="2"/>
  <c r="BQ1274" i="2"/>
  <c r="BQ1275" i="2"/>
  <c r="BQ1276" i="2"/>
  <c r="BQ1277" i="2"/>
  <c r="BQ1278" i="2"/>
  <c r="BQ1279" i="2"/>
  <c r="BQ1280" i="2"/>
  <c r="BQ1281" i="2"/>
  <c r="BQ1282" i="2"/>
  <c r="BQ1283" i="2"/>
  <c r="BQ1284" i="2"/>
  <c r="BQ1285" i="2"/>
  <c r="BQ1286" i="2"/>
  <c r="BQ1287" i="2"/>
  <c r="BQ1288" i="2"/>
  <c r="BQ1289" i="2"/>
  <c r="BQ1290" i="2"/>
  <c r="BQ1291" i="2"/>
  <c r="BQ1292" i="2"/>
  <c r="BQ1293" i="2"/>
  <c r="BQ1294" i="2"/>
  <c r="BQ1295" i="2"/>
  <c r="BQ1296" i="2"/>
  <c r="BQ1297" i="2"/>
  <c r="BQ1298" i="2"/>
  <c r="BQ1299" i="2"/>
  <c r="BQ1300" i="2"/>
  <c r="BQ1301" i="2"/>
  <c r="BQ1302" i="2"/>
  <c r="BQ1303" i="2"/>
  <c r="BQ1304" i="2"/>
  <c r="BQ1305" i="2"/>
  <c r="BQ1306" i="2"/>
  <c r="BQ1307" i="2"/>
  <c r="BQ1308" i="2"/>
  <c r="BQ1309" i="2"/>
  <c r="BQ1310" i="2"/>
  <c r="BQ1311" i="2"/>
  <c r="BQ1312" i="2"/>
  <c r="BQ1313" i="2"/>
  <c r="BQ1314" i="2"/>
  <c r="BQ1315" i="2"/>
  <c r="BQ1316" i="2"/>
  <c r="BQ1317" i="2"/>
  <c r="BQ1318" i="2"/>
  <c r="BQ1319" i="2"/>
  <c r="BQ1320" i="2"/>
  <c r="BQ1321" i="2"/>
  <c r="BQ1322" i="2"/>
  <c r="BQ1323" i="2"/>
  <c r="BQ1324" i="2"/>
  <c r="BQ1325" i="2"/>
  <c r="BQ1326" i="2"/>
  <c r="BQ1327" i="2"/>
  <c r="BQ1328" i="2"/>
  <c r="BQ1329" i="2"/>
  <c r="BQ1330" i="2"/>
  <c r="BQ1331" i="2"/>
  <c r="BQ1332" i="2"/>
  <c r="BQ1333" i="2"/>
  <c r="BQ1334" i="2"/>
  <c r="BQ1335" i="2"/>
  <c r="BQ1336" i="2"/>
  <c r="BQ1337" i="2"/>
  <c r="BQ1338" i="2"/>
  <c r="BQ1339" i="2"/>
  <c r="BQ1340" i="2"/>
  <c r="BQ1341" i="2"/>
  <c r="BQ1342" i="2"/>
  <c r="BQ1343" i="2"/>
  <c r="BQ1344" i="2"/>
  <c r="BQ1345" i="2"/>
  <c r="BQ1346" i="2"/>
  <c r="BQ1347" i="2"/>
  <c r="BQ1348" i="2"/>
  <c r="BQ1349" i="2"/>
  <c r="BQ1350" i="2"/>
  <c r="BQ1351" i="2"/>
  <c r="BQ1352" i="2"/>
  <c r="BQ1353" i="2"/>
  <c r="BQ1354" i="2"/>
  <c r="BQ1355" i="2"/>
  <c r="BQ1356" i="2"/>
  <c r="BQ1357" i="2"/>
  <c r="BQ1358" i="2"/>
  <c r="BQ1359" i="2"/>
  <c r="BQ1360" i="2"/>
  <c r="BQ1361" i="2"/>
  <c r="BQ1362" i="2"/>
  <c r="BQ1363" i="2"/>
  <c r="BQ1364" i="2"/>
  <c r="BQ1365" i="2"/>
  <c r="BQ1366" i="2"/>
  <c r="BQ1367" i="2"/>
  <c r="BQ1368" i="2"/>
  <c r="BQ1369" i="2"/>
  <c r="BQ1370" i="2"/>
  <c r="BQ1371" i="2"/>
  <c r="BQ1372" i="2"/>
  <c r="BQ1373" i="2"/>
  <c r="BQ1374" i="2"/>
  <c r="BQ1375" i="2"/>
  <c r="BQ1376" i="2"/>
  <c r="BQ1377" i="2"/>
  <c r="BQ1378" i="2"/>
  <c r="BQ1379" i="2"/>
  <c r="BQ1380" i="2"/>
  <c r="BQ1381" i="2"/>
  <c r="BQ1382" i="2"/>
  <c r="BQ1383" i="2"/>
  <c r="BQ1384" i="2"/>
  <c r="BQ1385" i="2"/>
  <c r="BQ1386" i="2"/>
  <c r="BQ1387" i="2"/>
  <c r="BQ1388" i="2"/>
  <c r="BQ1389" i="2"/>
  <c r="BQ1390" i="2"/>
  <c r="BQ1391" i="2"/>
  <c r="BQ1392" i="2"/>
  <c r="BQ1393" i="2"/>
  <c r="BQ1394" i="2"/>
  <c r="BQ1395" i="2"/>
  <c r="BQ1396" i="2"/>
  <c r="BQ1397" i="2"/>
  <c r="BQ1398" i="2"/>
  <c r="BQ1399" i="2"/>
  <c r="BQ1400" i="2"/>
  <c r="BQ1401" i="2"/>
  <c r="BQ1402" i="2"/>
  <c r="BQ1403" i="2"/>
  <c r="BQ1404" i="2"/>
  <c r="BQ1405" i="2"/>
  <c r="BQ1406" i="2"/>
  <c r="BQ1407" i="2"/>
  <c r="BQ1408" i="2"/>
  <c r="BQ1409" i="2"/>
  <c r="BQ1410" i="2"/>
  <c r="BQ1411" i="2"/>
  <c r="BQ1412" i="2"/>
  <c r="BQ1413" i="2"/>
  <c r="BQ1414" i="2"/>
  <c r="BQ1415" i="2"/>
  <c r="BQ1416" i="2"/>
  <c r="BQ1417" i="2"/>
  <c r="BQ1418" i="2"/>
  <c r="BQ1419" i="2"/>
  <c r="BQ1420" i="2"/>
  <c r="BQ1421" i="2"/>
  <c r="BQ1422" i="2"/>
  <c r="BQ1423" i="2"/>
  <c r="BQ1424" i="2"/>
  <c r="BQ1425" i="2"/>
  <c r="BQ1426" i="2"/>
  <c r="BQ1427" i="2"/>
  <c r="BQ1428" i="2"/>
  <c r="BQ1429" i="2"/>
  <c r="BQ1430" i="2"/>
  <c r="BQ1431" i="2"/>
  <c r="BQ1432" i="2"/>
  <c r="BQ1433" i="2"/>
  <c r="BQ1434" i="2"/>
  <c r="BQ1435" i="2"/>
  <c r="BQ1436" i="2"/>
  <c r="BQ1437" i="2"/>
  <c r="BQ1438" i="2"/>
  <c r="BQ1439" i="2"/>
  <c r="BQ1440" i="2"/>
  <c r="BQ1441" i="2"/>
  <c r="BQ1442" i="2"/>
  <c r="BQ1443" i="2"/>
  <c r="BQ1444" i="2"/>
  <c r="BQ1445" i="2"/>
  <c r="BQ1446" i="2"/>
  <c r="BQ1447" i="2"/>
  <c r="BQ1448" i="2"/>
  <c r="BQ1449" i="2"/>
  <c r="BQ1450" i="2"/>
  <c r="BQ1451" i="2"/>
  <c r="BQ1452" i="2"/>
  <c r="BQ1453" i="2"/>
  <c r="BQ1454" i="2"/>
  <c r="BQ1455" i="2"/>
  <c r="BQ1456" i="2"/>
  <c r="BQ1457" i="2"/>
  <c r="BQ1458" i="2"/>
  <c r="BQ1459" i="2"/>
  <c r="BQ1460" i="2"/>
  <c r="BQ1461" i="2"/>
  <c r="BQ1462" i="2"/>
  <c r="BQ1463" i="2"/>
  <c r="BQ1464" i="2"/>
  <c r="BQ1465" i="2"/>
  <c r="BQ1466" i="2"/>
  <c r="BQ1467" i="2"/>
  <c r="BQ1468" i="2"/>
  <c r="BQ1469" i="2"/>
  <c r="BQ1470" i="2"/>
  <c r="BQ1471" i="2"/>
  <c r="BQ1472" i="2"/>
  <c r="BQ1473" i="2"/>
  <c r="BQ1474" i="2"/>
  <c r="BQ1475" i="2"/>
  <c r="BQ1476" i="2"/>
  <c r="BQ1477" i="2"/>
  <c r="BQ1478" i="2"/>
  <c r="BQ1479" i="2"/>
  <c r="BQ1480" i="2"/>
  <c r="BQ1481" i="2"/>
  <c r="BQ1482" i="2"/>
  <c r="BQ1483" i="2"/>
  <c r="BQ1484" i="2"/>
  <c r="BQ1485" i="2"/>
  <c r="BQ1486" i="2"/>
  <c r="BQ1487" i="2"/>
  <c r="BQ1488" i="2"/>
  <c r="BQ1489" i="2"/>
  <c r="BQ1490" i="2"/>
  <c r="BQ1491" i="2"/>
  <c r="BQ1492" i="2"/>
  <c r="BQ1493" i="2"/>
  <c r="BQ1494" i="2"/>
  <c r="BQ1495" i="2"/>
  <c r="BQ1496" i="2"/>
  <c r="BQ1497" i="2"/>
  <c r="BQ1498" i="2"/>
  <c r="BQ1499" i="2"/>
  <c r="BQ1500" i="2"/>
  <c r="BQ1501" i="2"/>
  <c r="BQ1502" i="2"/>
  <c r="BQ1503" i="2"/>
  <c r="BQ1504" i="2"/>
  <c r="BQ1505" i="2"/>
  <c r="BQ1506" i="2"/>
  <c r="BQ1507" i="2"/>
  <c r="BQ1508" i="2"/>
  <c r="BQ1509" i="2"/>
  <c r="BQ1510" i="2"/>
  <c r="BQ1511" i="2"/>
  <c r="BQ1512" i="2"/>
  <c r="BQ1513" i="2"/>
  <c r="BQ1514" i="2"/>
  <c r="BQ1515" i="2"/>
  <c r="BQ1516" i="2"/>
  <c r="BQ1517" i="2"/>
  <c r="BQ1518" i="2"/>
  <c r="BQ1519" i="2"/>
  <c r="BQ1520" i="2"/>
  <c r="BQ1521" i="2"/>
  <c r="BQ1522" i="2"/>
  <c r="BQ1523" i="2"/>
  <c r="BQ1524" i="2"/>
  <c r="BQ1525" i="2"/>
  <c r="BQ1526" i="2"/>
  <c r="BQ1527" i="2"/>
  <c r="BQ1528" i="2"/>
  <c r="BQ1529" i="2"/>
  <c r="BQ1530" i="2"/>
  <c r="BQ1531" i="2"/>
  <c r="BQ1532" i="2"/>
  <c r="BQ1533" i="2"/>
  <c r="BQ1534" i="2"/>
  <c r="BQ1535" i="2"/>
  <c r="BQ1536" i="2"/>
  <c r="BQ1537" i="2"/>
  <c r="BQ1538" i="2"/>
  <c r="BQ1539" i="2"/>
  <c r="BQ1540" i="2"/>
  <c r="BQ1541" i="2"/>
  <c r="BQ1542" i="2"/>
  <c r="BQ1543" i="2"/>
  <c r="BQ1544" i="2"/>
  <c r="BQ1545" i="2"/>
  <c r="BQ1546" i="2"/>
  <c r="BQ1547" i="2"/>
  <c r="BQ1548" i="2"/>
  <c r="BQ1549" i="2"/>
  <c r="BQ1550" i="2"/>
  <c r="BQ1551" i="2"/>
  <c r="BQ1552" i="2"/>
  <c r="BQ1553" i="2"/>
  <c r="BQ1554" i="2"/>
  <c r="BQ1555" i="2"/>
  <c r="BQ1556" i="2"/>
  <c r="BQ1557" i="2"/>
  <c r="BQ1558" i="2"/>
  <c r="BQ1559" i="2"/>
  <c r="BQ1560" i="2"/>
  <c r="BQ1561" i="2"/>
  <c r="BQ1562" i="2"/>
  <c r="BQ1563" i="2"/>
  <c r="BQ1564" i="2"/>
  <c r="BQ1565" i="2"/>
  <c r="BQ1566" i="2"/>
  <c r="BQ1567" i="2"/>
  <c r="BQ1568" i="2"/>
  <c r="BQ1569" i="2"/>
  <c r="BQ1570" i="2"/>
  <c r="BQ1571" i="2"/>
  <c r="BQ1572" i="2"/>
  <c r="BQ1573" i="2"/>
  <c r="BQ1574" i="2"/>
  <c r="BQ1575" i="2"/>
  <c r="BQ1576" i="2"/>
  <c r="BQ1577" i="2"/>
  <c r="BQ1578" i="2"/>
  <c r="BQ1579" i="2"/>
  <c r="BQ1580" i="2"/>
  <c r="BQ1581" i="2"/>
  <c r="BQ1582" i="2"/>
  <c r="BQ1583" i="2"/>
  <c r="BQ1584" i="2"/>
  <c r="BQ1585" i="2"/>
  <c r="BQ1586" i="2"/>
  <c r="BQ1587" i="2"/>
  <c r="BQ1588" i="2"/>
  <c r="BQ1589" i="2"/>
  <c r="BQ1590" i="2"/>
  <c r="BQ1591" i="2"/>
  <c r="BQ1592" i="2"/>
  <c r="BQ1593" i="2"/>
  <c r="BQ1594" i="2"/>
  <c r="BQ1595" i="2"/>
  <c r="BQ1596" i="2"/>
  <c r="BQ1597" i="2"/>
  <c r="BQ1598" i="2"/>
  <c r="BQ1599" i="2"/>
  <c r="BQ1600" i="2"/>
  <c r="BQ1601" i="2"/>
  <c r="BQ1602" i="2"/>
  <c r="BQ1603" i="2"/>
  <c r="BQ1604" i="2"/>
  <c r="BQ1605" i="2"/>
  <c r="BQ1606" i="2"/>
  <c r="BQ1607" i="2"/>
  <c r="BQ1608" i="2"/>
  <c r="BQ1609" i="2"/>
  <c r="BQ1610" i="2"/>
  <c r="BQ1611" i="2"/>
  <c r="BQ1612" i="2"/>
  <c r="BQ1613" i="2"/>
  <c r="BQ1614" i="2"/>
  <c r="BQ1615" i="2"/>
  <c r="BQ1616" i="2"/>
  <c r="BQ1617" i="2"/>
  <c r="BQ1618" i="2"/>
  <c r="BQ1619" i="2"/>
  <c r="BQ1620" i="2"/>
  <c r="BQ1621" i="2"/>
  <c r="BQ1622" i="2"/>
  <c r="BQ1623" i="2"/>
  <c r="BQ1624" i="2"/>
  <c r="BQ1625" i="2"/>
  <c r="BQ1626" i="2"/>
  <c r="BQ1627" i="2"/>
  <c r="BQ1628" i="2"/>
  <c r="BQ1629" i="2"/>
  <c r="BQ1630" i="2"/>
  <c r="BQ1631" i="2"/>
  <c r="BQ1632" i="2"/>
  <c r="BQ1633" i="2"/>
  <c r="BQ1634" i="2"/>
  <c r="BQ1635" i="2"/>
  <c r="BQ1636" i="2"/>
  <c r="BQ1637" i="2"/>
  <c r="BQ1638" i="2"/>
  <c r="BQ1639" i="2"/>
  <c r="BQ1640" i="2"/>
  <c r="BQ1641" i="2"/>
  <c r="BQ1642" i="2"/>
  <c r="BQ1643" i="2"/>
  <c r="BQ1644" i="2"/>
  <c r="BQ1645" i="2"/>
  <c r="BQ1646" i="2"/>
  <c r="BQ1647" i="2"/>
  <c r="BQ1648" i="2"/>
  <c r="BQ1649" i="2"/>
  <c r="BQ1650" i="2"/>
  <c r="BQ1651" i="2"/>
  <c r="BQ1652" i="2"/>
  <c r="BQ1653" i="2"/>
  <c r="BQ1654" i="2"/>
  <c r="BQ1655" i="2"/>
  <c r="BQ1656" i="2"/>
  <c r="BQ1657" i="2"/>
  <c r="BQ1658" i="2"/>
  <c r="BQ1659" i="2"/>
  <c r="BQ1660" i="2"/>
  <c r="BQ1661" i="2"/>
  <c r="BQ1662" i="2"/>
  <c r="BQ1663" i="2"/>
  <c r="BQ1664" i="2"/>
  <c r="BQ1665" i="2"/>
  <c r="BQ1666" i="2"/>
  <c r="BQ1667" i="2"/>
  <c r="BQ1668" i="2"/>
  <c r="BQ1669" i="2"/>
  <c r="BQ1670" i="2"/>
  <c r="BQ1671" i="2"/>
  <c r="BQ1672" i="2"/>
  <c r="BQ1673" i="2"/>
  <c r="BQ1674" i="2"/>
  <c r="BQ1675" i="2"/>
  <c r="BQ1676" i="2"/>
  <c r="BQ1677" i="2"/>
  <c r="BQ1678" i="2"/>
  <c r="BQ1679" i="2"/>
  <c r="BQ1680" i="2"/>
  <c r="BQ1681" i="2"/>
  <c r="BQ1682" i="2"/>
  <c r="BQ1683" i="2"/>
  <c r="BQ1684" i="2"/>
  <c r="BQ1685" i="2"/>
  <c r="BQ1686" i="2"/>
  <c r="BQ1687" i="2"/>
  <c r="BQ1688" i="2"/>
  <c r="BQ1689" i="2"/>
  <c r="BQ1690" i="2"/>
  <c r="BQ1691" i="2"/>
  <c r="BQ1692" i="2"/>
  <c r="BQ1693" i="2"/>
  <c r="BQ1694" i="2"/>
  <c r="BQ1695" i="2"/>
  <c r="BQ1696" i="2"/>
  <c r="BQ1697" i="2"/>
  <c r="BQ1698" i="2"/>
  <c r="BQ1699" i="2"/>
  <c r="BQ1700" i="2"/>
  <c r="BQ1701" i="2"/>
  <c r="BQ1702" i="2"/>
  <c r="BQ1703" i="2"/>
  <c r="BQ1704" i="2"/>
  <c r="BQ1705" i="2"/>
  <c r="BQ1706" i="2"/>
  <c r="BQ1707" i="2"/>
  <c r="BQ1708" i="2"/>
  <c r="BQ1709" i="2"/>
  <c r="BQ1710" i="2"/>
  <c r="BQ1711" i="2"/>
  <c r="BQ1712" i="2"/>
  <c r="BQ1713" i="2"/>
  <c r="BQ1714" i="2"/>
  <c r="BQ1715" i="2"/>
  <c r="BQ1716" i="2"/>
  <c r="BQ1717" i="2"/>
  <c r="BQ1718" i="2"/>
  <c r="BQ1719" i="2"/>
  <c r="BQ1720" i="2"/>
  <c r="BQ1721" i="2"/>
  <c r="BQ1722" i="2"/>
  <c r="BQ1723" i="2"/>
  <c r="BQ1724" i="2"/>
  <c r="BQ1725" i="2"/>
  <c r="BQ1726" i="2"/>
  <c r="BQ1727" i="2"/>
  <c r="BQ1728" i="2"/>
  <c r="BQ1729" i="2"/>
  <c r="BQ1730" i="2"/>
  <c r="BQ1731" i="2"/>
  <c r="BQ1732" i="2"/>
  <c r="BQ1733" i="2"/>
  <c r="BQ1734" i="2"/>
  <c r="BQ1735" i="2"/>
  <c r="BQ1736" i="2"/>
  <c r="BQ1737" i="2"/>
  <c r="BQ1738" i="2"/>
  <c r="BQ1739" i="2"/>
  <c r="BQ1740" i="2"/>
  <c r="BQ1741" i="2"/>
  <c r="BQ1742" i="2"/>
  <c r="BQ1743" i="2"/>
  <c r="BQ1744" i="2"/>
  <c r="BQ1745" i="2"/>
  <c r="BQ1746" i="2"/>
  <c r="BQ1747" i="2"/>
  <c r="BQ1748" i="2"/>
  <c r="BQ1749" i="2"/>
  <c r="BQ1750" i="2"/>
  <c r="BQ1751" i="2"/>
  <c r="BQ1752" i="2"/>
  <c r="BQ1753" i="2"/>
  <c r="BQ1754" i="2"/>
  <c r="BQ1755" i="2"/>
  <c r="BQ1756" i="2"/>
  <c r="BQ1757" i="2"/>
  <c r="BQ1758" i="2"/>
  <c r="BQ1759" i="2"/>
  <c r="BQ1760" i="2"/>
  <c r="BQ1761" i="2"/>
  <c r="BQ1762" i="2"/>
  <c r="BQ1763" i="2"/>
  <c r="BQ1764" i="2"/>
  <c r="BQ1765" i="2"/>
  <c r="BQ1766" i="2"/>
  <c r="BQ1767" i="2"/>
  <c r="BQ1768" i="2"/>
  <c r="BQ1769" i="2"/>
  <c r="BQ1770" i="2"/>
  <c r="BQ1771" i="2"/>
  <c r="BQ1772" i="2"/>
  <c r="BQ1773" i="2"/>
  <c r="BQ1774" i="2"/>
  <c r="BQ1775" i="2"/>
  <c r="BQ1776" i="2"/>
  <c r="BQ1777" i="2"/>
  <c r="BQ1778" i="2"/>
  <c r="BQ1779" i="2"/>
  <c r="BQ1780" i="2"/>
  <c r="BQ1781" i="2"/>
  <c r="BQ1782" i="2"/>
  <c r="BQ1783" i="2"/>
  <c r="BQ1784" i="2"/>
  <c r="BQ1785" i="2"/>
  <c r="BQ1786" i="2"/>
  <c r="BQ1787" i="2"/>
  <c r="BQ1788" i="2"/>
  <c r="BQ1789" i="2"/>
  <c r="BQ1790" i="2"/>
  <c r="BQ1791" i="2"/>
  <c r="BQ1792" i="2"/>
  <c r="BQ1793" i="2"/>
  <c r="BQ1794" i="2"/>
  <c r="BQ1795" i="2"/>
  <c r="BQ1796" i="2"/>
  <c r="BQ1797" i="2"/>
  <c r="BQ1798" i="2"/>
  <c r="BQ1799" i="2"/>
  <c r="BQ1800" i="2"/>
  <c r="BQ1801" i="2"/>
  <c r="BQ1802" i="2"/>
  <c r="BQ1803" i="2"/>
  <c r="BQ1804" i="2"/>
  <c r="BQ1805" i="2"/>
  <c r="BQ1806" i="2"/>
  <c r="BQ1807" i="2"/>
  <c r="BQ1808" i="2"/>
  <c r="BQ1809" i="2"/>
  <c r="BQ1810" i="2"/>
  <c r="BQ1811" i="2"/>
  <c r="BQ1812" i="2"/>
  <c r="BQ1813" i="2"/>
  <c r="BQ1814" i="2"/>
  <c r="BQ1815" i="2"/>
  <c r="BQ1816" i="2"/>
  <c r="BQ1817" i="2"/>
  <c r="BQ1818" i="2"/>
  <c r="BQ1819" i="2"/>
  <c r="BQ1820" i="2"/>
  <c r="BQ1821" i="2"/>
  <c r="BQ1822" i="2"/>
  <c r="BQ1823" i="2"/>
  <c r="BQ1824" i="2"/>
  <c r="BQ1825" i="2"/>
  <c r="BQ1826" i="2"/>
  <c r="BQ1827" i="2"/>
  <c r="BQ1828" i="2"/>
  <c r="BQ1829" i="2"/>
  <c r="BQ1830" i="2"/>
  <c r="BQ1831" i="2"/>
  <c r="BQ1832" i="2"/>
  <c r="BQ1833" i="2"/>
  <c r="BQ1834" i="2"/>
  <c r="BQ1835" i="2"/>
  <c r="BQ1836" i="2"/>
  <c r="BQ1837" i="2"/>
  <c r="BQ1838" i="2"/>
  <c r="BQ1839" i="2"/>
  <c r="BQ1840" i="2"/>
  <c r="BQ1841" i="2"/>
  <c r="BQ1842" i="2"/>
  <c r="BQ1843" i="2"/>
  <c r="BQ1844" i="2"/>
  <c r="BQ1845" i="2"/>
  <c r="BQ1846" i="2"/>
  <c r="BQ1847" i="2"/>
  <c r="BQ1848" i="2"/>
  <c r="BQ1849" i="2"/>
  <c r="BQ1850" i="2"/>
  <c r="BQ1851" i="2"/>
  <c r="BQ1852" i="2"/>
  <c r="BQ1853" i="2"/>
  <c r="BQ1854" i="2"/>
  <c r="BQ1855" i="2"/>
  <c r="BQ1856" i="2"/>
  <c r="BQ1857" i="2"/>
  <c r="BQ1858" i="2"/>
  <c r="BQ1859" i="2"/>
  <c r="BQ1860" i="2"/>
  <c r="BQ1861" i="2"/>
  <c r="BQ1862" i="2"/>
  <c r="BQ1863" i="2"/>
  <c r="BQ1864" i="2"/>
  <c r="BQ1865" i="2"/>
  <c r="BQ1866" i="2"/>
  <c r="BQ1867" i="2"/>
  <c r="BQ1868" i="2"/>
  <c r="BQ1869" i="2"/>
  <c r="BQ1870" i="2"/>
  <c r="BQ1871" i="2"/>
  <c r="BQ1872" i="2"/>
  <c r="BQ1873" i="2"/>
  <c r="BQ1874" i="2"/>
  <c r="BQ1875" i="2"/>
  <c r="BQ1876" i="2"/>
  <c r="BQ1877" i="2"/>
  <c r="BQ1878" i="2"/>
  <c r="BQ1879" i="2"/>
  <c r="BQ1880" i="2"/>
  <c r="BQ1881" i="2"/>
  <c r="BQ1882" i="2"/>
  <c r="BQ1883" i="2"/>
  <c r="BQ1884" i="2"/>
  <c r="BQ1885" i="2"/>
  <c r="BQ1886" i="2"/>
  <c r="BQ1887" i="2"/>
  <c r="BQ1888" i="2"/>
  <c r="BQ1889" i="2"/>
  <c r="BQ1890" i="2"/>
  <c r="BQ1891" i="2"/>
  <c r="BQ1892" i="2"/>
  <c r="BQ1893" i="2"/>
  <c r="BQ1894" i="2"/>
  <c r="BQ1895" i="2"/>
  <c r="BQ1896" i="2"/>
  <c r="BQ1897" i="2"/>
  <c r="BQ1898" i="2"/>
  <c r="BQ1899" i="2"/>
  <c r="BQ1900" i="2"/>
  <c r="BQ1901" i="2"/>
  <c r="BQ1902" i="2"/>
  <c r="BQ1903" i="2"/>
  <c r="BQ1904" i="2"/>
  <c r="BQ1905" i="2"/>
  <c r="BQ1906" i="2"/>
  <c r="BQ1907" i="2"/>
  <c r="BQ1908" i="2"/>
  <c r="BQ1909" i="2"/>
  <c r="BQ1910" i="2"/>
  <c r="BQ1911" i="2"/>
  <c r="BQ1912" i="2"/>
  <c r="BQ1913" i="2"/>
  <c r="BQ1914" i="2"/>
  <c r="BQ1915" i="2"/>
  <c r="BQ1916" i="2"/>
  <c r="BQ1917" i="2"/>
  <c r="BQ1918" i="2"/>
  <c r="BQ1919" i="2"/>
  <c r="BQ1920" i="2"/>
  <c r="BQ1921" i="2"/>
  <c r="BQ1922" i="2"/>
  <c r="BQ1923" i="2"/>
  <c r="BQ1924" i="2"/>
  <c r="BQ1925" i="2"/>
  <c r="BQ1926" i="2"/>
  <c r="BQ1927" i="2"/>
  <c r="BQ1928" i="2"/>
  <c r="BQ1929" i="2"/>
  <c r="BQ1930" i="2"/>
  <c r="BQ1931" i="2"/>
  <c r="BQ1932" i="2"/>
  <c r="BQ1933" i="2"/>
  <c r="BQ1934" i="2"/>
  <c r="BQ1935" i="2"/>
  <c r="BQ1936" i="2"/>
  <c r="BQ1937" i="2"/>
  <c r="BQ1938" i="2"/>
  <c r="BQ1939" i="2"/>
  <c r="BQ1940" i="2"/>
  <c r="BQ1941" i="2"/>
  <c r="BQ1942" i="2"/>
  <c r="BQ1943" i="2"/>
  <c r="BQ1944" i="2"/>
  <c r="BQ1945" i="2"/>
  <c r="BQ1946" i="2"/>
  <c r="BQ1947" i="2"/>
  <c r="BQ1948" i="2"/>
  <c r="BQ1949" i="2"/>
  <c r="BQ1950" i="2"/>
  <c r="BQ1951" i="2"/>
  <c r="BQ1952" i="2"/>
  <c r="BQ1953" i="2"/>
  <c r="BQ1954" i="2"/>
  <c r="BQ1955" i="2"/>
  <c r="BQ1956" i="2"/>
  <c r="BQ1957" i="2"/>
  <c r="BQ1958" i="2"/>
  <c r="BQ1959" i="2"/>
  <c r="BQ1960" i="2"/>
  <c r="BQ1961" i="2"/>
  <c r="BQ1962" i="2"/>
  <c r="BQ1963" i="2"/>
  <c r="BQ1964" i="2"/>
  <c r="BQ1965" i="2"/>
  <c r="BQ1966" i="2"/>
  <c r="BQ1967" i="2"/>
  <c r="BQ1968" i="2"/>
  <c r="BQ1969" i="2"/>
  <c r="BQ1970" i="2"/>
  <c r="BQ1971" i="2"/>
  <c r="BQ1972" i="2"/>
  <c r="BQ1973" i="2"/>
  <c r="BQ1974" i="2"/>
  <c r="BQ1975" i="2"/>
  <c r="BQ1976" i="2"/>
  <c r="BQ1977" i="2"/>
  <c r="BQ1978" i="2"/>
  <c r="BQ1979" i="2"/>
  <c r="BQ1980" i="2"/>
  <c r="BQ1981" i="2"/>
  <c r="BQ1982" i="2"/>
  <c r="BQ1983" i="2"/>
  <c r="BQ1984" i="2"/>
  <c r="BQ1985" i="2"/>
  <c r="BQ1986" i="2"/>
  <c r="BQ1987" i="2"/>
  <c r="BQ1988" i="2"/>
  <c r="BQ1989" i="2"/>
  <c r="BQ1990" i="2"/>
  <c r="BQ1991" i="2"/>
  <c r="BQ1992" i="2"/>
  <c r="BQ1993" i="2"/>
  <c r="BQ1994" i="2"/>
  <c r="BQ1995" i="2"/>
  <c r="BQ1996" i="2"/>
  <c r="BQ1997" i="2"/>
  <c r="BQ1998" i="2"/>
  <c r="BQ1999" i="2"/>
  <c r="BQ2000" i="2"/>
  <c r="BQ2001" i="2"/>
  <c r="BQ2002" i="2"/>
  <c r="BQ2003" i="2"/>
  <c r="BQ2004" i="2"/>
  <c r="BQ2005" i="2"/>
  <c r="BQ2006" i="2"/>
  <c r="BQ2007" i="2"/>
  <c r="BQ2008" i="2"/>
  <c r="BQ2009" i="2"/>
  <c r="BQ2010" i="2"/>
  <c r="BQ2011" i="2"/>
  <c r="BQ2012" i="2"/>
  <c r="BQ2013" i="2"/>
  <c r="BQ2014" i="2"/>
  <c r="BQ2015" i="2"/>
  <c r="BQ2016" i="2"/>
  <c r="BQ2017" i="2"/>
  <c r="BQ2018" i="2"/>
  <c r="BQ2019" i="2"/>
  <c r="BQ2020" i="2"/>
  <c r="BQ2021" i="2"/>
  <c r="BQ2022" i="2"/>
  <c r="BQ2023" i="2"/>
  <c r="BQ2024" i="2"/>
  <c r="BQ2025" i="2"/>
  <c r="BQ2026" i="2"/>
  <c r="BQ2027" i="2"/>
  <c r="BQ2028" i="2"/>
  <c r="BQ2029" i="2"/>
  <c r="BQ2030" i="2"/>
  <c r="BQ2031" i="2"/>
  <c r="BQ2032" i="2"/>
  <c r="BQ2033" i="2"/>
  <c r="BQ2034" i="2"/>
  <c r="BQ2035" i="2"/>
  <c r="BQ2036" i="2"/>
  <c r="BQ2037" i="2"/>
  <c r="BQ2038" i="2"/>
  <c r="BQ2039" i="2"/>
  <c r="BQ2040" i="2"/>
  <c r="BQ2041" i="2"/>
  <c r="BQ2042" i="2"/>
  <c r="BQ2043" i="2"/>
  <c r="BQ2044" i="2"/>
  <c r="BQ2045" i="2"/>
  <c r="BQ2046" i="2"/>
  <c r="BQ2047" i="2"/>
  <c r="BQ2048" i="2"/>
  <c r="BQ2049" i="2"/>
  <c r="BQ2050" i="2"/>
  <c r="BQ2051" i="2"/>
  <c r="BQ2052" i="2"/>
  <c r="BQ2053" i="2"/>
  <c r="BQ2054" i="2"/>
  <c r="BQ2055" i="2"/>
  <c r="BQ2056" i="2"/>
  <c r="BQ2057" i="2"/>
  <c r="BQ2058" i="2"/>
  <c r="BQ2059" i="2"/>
  <c r="BQ2060" i="2"/>
  <c r="BQ2061" i="2"/>
  <c r="BQ2062" i="2"/>
  <c r="BQ2063" i="2"/>
  <c r="BQ2064" i="2"/>
  <c r="BQ2065" i="2"/>
  <c r="BQ2066" i="2"/>
  <c r="BQ2067" i="2"/>
  <c r="BQ2068" i="2"/>
  <c r="BQ2069" i="2"/>
  <c r="BQ2070" i="2"/>
  <c r="BQ2071" i="2"/>
  <c r="BQ2072" i="2"/>
  <c r="BQ2073" i="2"/>
  <c r="BQ2074" i="2"/>
  <c r="BQ2075" i="2"/>
  <c r="BQ2076" i="2"/>
  <c r="BQ2077" i="2"/>
  <c r="BQ2078" i="2"/>
  <c r="BQ2079" i="2"/>
  <c r="BQ2080" i="2"/>
  <c r="BQ2081" i="2"/>
  <c r="BQ2082" i="2"/>
  <c r="BQ2083" i="2"/>
  <c r="BQ2084" i="2"/>
  <c r="BQ2085" i="2"/>
  <c r="BQ2086" i="2"/>
  <c r="BQ2087" i="2"/>
  <c r="BQ2088" i="2"/>
  <c r="BQ2089" i="2"/>
  <c r="BQ2090" i="2"/>
  <c r="BQ2091" i="2"/>
  <c r="BQ2092" i="2"/>
  <c r="BQ2093" i="2"/>
  <c r="BQ2094" i="2"/>
  <c r="BQ2095" i="2"/>
  <c r="BQ2096" i="2"/>
  <c r="BQ2097" i="2"/>
  <c r="BQ2098" i="2"/>
  <c r="BQ2099" i="2"/>
  <c r="BQ2100" i="2"/>
  <c r="BQ2101" i="2"/>
  <c r="BQ2102" i="2"/>
  <c r="BQ2103" i="2"/>
  <c r="BQ2104" i="2"/>
  <c r="BQ2105" i="2"/>
  <c r="BQ2106" i="2"/>
  <c r="BQ2107" i="2"/>
  <c r="BQ2108" i="2"/>
  <c r="BQ2109" i="2"/>
  <c r="BQ2110" i="2"/>
  <c r="BQ2111" i="2"/>
  <c r="BQ2112" i="2"/>
  <c r="BQ2113" i="2"/>
  <c r="BQ2114" i="2"/>
  <c r="BQ2115" i="2"/>
  <c r="BQ2116" i="2"/>
  <c r="BQ2117" i="2"/>
  <c r="BQ2118" i="2"/>
  <c r="BQ2119" i="2"/>
  <c r="BQ2120" i="2"/>
  <c r="BQ2121" i="2"/>
  <c r="BQ2122" i="2"/>
  <c r="BQ2123" i="2"/>
  <c r="BQ2124" i="2"/>
  <c r="BQ2125" i="2"/>
  <c r="BQ2126" i="2"/>
  <c r="BQ2127" i="2"/>
  <c r="BQ2128" i="2"/>
  <c r="BQ2129" i="2"/>
  <c r="BQ2130" i="2"/>
  <c r="BQ2131" i="2"/>
  <c r="BQ2132" i="2"/>
  <c r="BQ2" i="2"/>
  <c r="BP3" i="2"/>
  <c r="BP4" i="2"/>
  <c r="BP5" i="2"/>
  <c r="BP6" i="2"/>
  <c r="BP7" i="2"/>
  <c r="BP8" i="2"/>
  <c r="BP9" i="2"/>
  <c r="BP10" i="2"/>
  <c r="BP11" i="2"/>
  <c r="BP12" i="2"/>
  <c r="BP13" i="2"/>
  <c r="BP14" i="2"/>
  <c r="BP15" i="2"/>
  <c r="BP16" i="2"/>
  <c r="BP17" i="2"/>
  <c r="BP18" i="2"/>
  <c r="BP19" i="2"/>
  <c r="BP20" i="2"/>
  <c r="BP21" i="2"/>
  <c r="BP22" i="2"/>
  <c r="BP23" i="2"/>
  <c r="BP24" i="2"/>
  <c r="BP25" i="2"/>
  <c r="BP26" i="2"/>
  <c r="BP27" i="2"/>
  <c r="BP28" i="2"/>
  <c r="BP29" i="2"/>
  <c r="BP30" i="2"/>
  <c r="BP31" i="2"/>
  <c r="BP32" i="2"/>
  <c r="BP33" i="2"/>
  <c r="BP34" i="2"/>
  <c r="BP35" i="2"/>
  <c r="BP36" i="2"/>
  <c r="BP37" i="2"/>
  <c r="BP38" i="2"/>
  <c r="BP39" i="2"/>
  <c r="BP40" i="2"/>
  <c r="BP41" i="2"/>
  <c r="BP42" i="2"/>
  <c r="BP43" i="2"/>
  <c r="BP44" i="2"/>
  <c r="BP45" i="2"/>
  <c r="BP46" i="2"/>
  <c r="BP47" i="2"/>
  <c r="BP48" i="2"/>
  <c r="BP49" i="2"/>
  <c r="BP50" i="2"/>
  <c r="BP51" i="2"/>
  <c r="BP52" i="2"/>
  <c r="BP53" i="2"/>
  <c r="BP54" i="2"/>
  <c r="BP55" i="2"/>
  <c r="BP56" i="2"/>
  <c r="BP57" i="2"/>
  <c r="BP58" i="2"/>
  <c r="BP59" i="2"/>
  <c r="BP60" i="2"/>
  <c r="BP61" i="2"/>
  <c r="BP62" i="2"/>
  <c r="BP63" i="2"/>
  <c r="BP64" i="2"/>
  <c r="BP65" i="2"/>
  <c r="BP66" i="2"/>
  <c r="BP67" i="2"/>
  <c r="BP68" i="2"/>
  <c r="BP69" i="2"/>
  <c r="BP70" i="2"/>
  <c r="BP71" i="2"/>
  <c r="BP72" i="2"/>
  <c r="BP73" i="2"/>
  <c r="BP74" i="2"/>
  <c r="BP75" i="2"/>
  <c r="BP76" i="2"/>
  <c r="BP77" i="2"/>
  <c r="BP78" i="2"/>
  <c r="BP79" i="2"/>
  <c r="BP80" i="2"/>
  <c r="BP81" i="2"/>
  <c r="BP82" i="2"/>
  <c r="BP83" i="2"/>
  <c r="BP84" i="2"/>
  <c r="BP85" i="2"/>
  <c r="BP86" i="2"/>
  <c r="BP87" i="2"/>
  <c r="BP88" i="2"/>
  <c r="BP89" i="2"/>
  <c r="BP90" i="2"/>
  <c r="BP91" i="2"/>
  <c r="BP92" i="2"/>
  <c r="BP93" i="2"/>
  <c r="BP94" i="2"/>
  <c r="BP95" i="2"/>
  <c r="BP96" i="2"/>
  <c r="BP97" i="2"/>
  <c r="BP98" i="2"/>
  <c r="BP99" i="2"/>
  <c r="BP100" i="2"/>
  <c r="BP101" i="2"/>
  <c r="BP102" i="2"/>
  <c r="BP103" i="2"/>
  <c r="BP104" i="2"/>
  <c r="BP105" i="2"/>
  <c r="BP106" i="2"/>
  <c r="BP107" i="2"/>
  <c r="BP108" i="2"/>
  <c r="BP109" i="2"/>
  <c r="BP110" i="2"/>
  <c r="BP111" i="2"/>
  <c r="BP112" i="2"/>
  <c r="BP113" i="2"/>
  <c r="BP114" i="2"/>
  <c r="BP115" i="2"/>
  <c r="BP116" i="2"/>
  <c r="BP117" i="2"/>
  <c r="BP118" i="2"/>
  <c r="BP119" i="2"/>
  <c r="BP120" i="2"/>
  <c r="BP121" i="2"/>
  <c r="BP122" i="2"/>
  <c r="BP123" i="2"/>
  <c r="BP124" i="2"/>
  <c r="BP125" i="2"/>
  <c r="BP126" i="2"/>
  <c r="BP127" i="2"/>
  <c r="BP128" i="2"/>
  <c r="BP129" i="2"/>
  <c r="BP130" i="2"/>
  <c r="BP131" i="2"/>
  <c r="BP132" i="2"/>
  <c r="BP133" i="2"/>
  <c r="BP134" i="2"/>
  <c r="BP135" i="2"/>
  <c r="BP136" i="2"/>
  <c r="BP137" i="2"/>
  <c r="BP138" i="2"/>
  <c r="BP139" i="2"/>
  <c r="BP140" i="2"/>
  <c r="BP141" i="2"/>
  <c r="BP142" i="2"/>
  <c r="BP143" i="2"/>
  <c r="BP144" i="2"/>
  <c r="BP145" i="2"/>
  <c r="BP146" i="2"/>
  <c r="BP147" i="2"/>
  <c r="BP148" i="2"/>
  <c r="BP149" i="2"/>
  <c r="BP150" i="2"/>
  <c r="BP151" i="2"/>
  <c r="BP152" i="2"/>
  <c r="BP153" i="2"/>
  <c r="BP154" i="2"/>
  <c r="BP155" i="2"/>
  <c r="BP156" i="2"/>
  <c r="BP157" i="2"/>
  <c r="BP158" i="2"/>
  <c r="BP159" i="2"/>
  <c r="BP160" i="2"/>
  <c r="BP161" i="2"/>
  <c r="BP162" i="2"/>
  <c r="BP163" i="2"/>
  <c r="BP164" i="2"/>
  <c r="BP165" i="2"/>
  <c r="BP166" i="2"/>
  <c r="BP167" i="2"/>
  <c r="BP168" i="2"/>
  <c r="BP169" i="2"/>
  <c r="BP170" i="2"/>
  <c r="BP171" i="2"/>
  <c r="BP172" i="2"/>
  <c r="BP173" i="2"/>
  <c r="BP174" i="2"/>
  <c r="BP175" i="2"/>
  <c r="BP176" i="2"/>
  <c r="BP177" i="2"/>
  <c r="BP178" i="2"/>
  <c r="BP179" i="2"/>
  <c r="BP180" i="2"/>
  <c r="BP181" i="2"/>
  <c r="BP182" i="2"/>
  <c r="BP183" i="2"/>
  <c r="BP184" i="2"/>
  <c r="BP185" i="2"/>
  <c r="BP186" i="2"/>
  <c r="BP187" i="2"/>
  <c r="BP188" i="2"/>
  <c r="BP189" i="2"/>
  <c r="BP190" i="2"/>
  <c r="BP191" i="2"/>
  <c r="BP192" i="2"/>
  <c r="BP193" i="2"/>
  <c r="BP194" i="2"/>
  <c r="BP195" i="2"/>
  <c r="BP196" i="2"/>
  <c r="BP197" i="2"/>
  <c r="BP198" i="2"/>
  <c r="BP199" i="2"/>
  <c r="BP200" i="2"/>
  <c r="BP201" i="2"/>
  <c r="BP202" i="2"/>
  <c r="BP203" i="2"/>
  <c r="BP204" i="2"/>
  <c r="BP205" i="2"/>
  <c r="BP206" i="2"/>
  <c r="BP207" i="2"/>
  <c r="BP208" i="2"/>
  <c r="BP209" i="2"/>
  <c r="BP210" i="2"/>
  <c r="BP211" i="2"/>
  <c r="BP212" i="2"/>
  <c r="BP213" i="2"/>
  <c r="BP214" i="2"/>
  <c r="BP215" i="2"/>
  <c r="BP216" i="2"/>
  <c r="BP217" i="2"/>
  <c r="BP218" i="2"/>
  <c r="BP219" i="2"/>
  <c r="BP220" i="2"/>
  <c r="BP221" i="2"/>
  <c r="BP222" i="2"/>
  <c r="BP223" i="2"/>
  <c r="BP224" i="2"/>
  <c r="BP225" i="2"/>
  <c r="BP226" i="2"/>
  <c r="BP227" i="2"/>
  <c r="BP228" i="2"/>
  <c r="BP229" i="2"/>
  <c r="BP230" i="2"/>
  <c r="BP231" i="2"/>
  <c r="BP232" i="2"/>
  <c r="BP233" i="2"/>
  <c r="BP234" i="2"/>
  <c r="BP235" i="2"/>
  <c r="BP236" i="2"/>
  <c r="BP237" i="2"/>
  <c r="BP238" i="2"/>
  <c r="BP239" i="2"/>
  <c r="BP240" i="2"/>
  <c r="BP241" i="2"/>
  <c r="BP242" i="2"/>
  <c r="BP243" i="2"/>
  <c r="BP244" i="2"/>
  <c r="BP245" i="2"/>
  <c r="BP246" i="2"/>
  <c r="BP247" i="2"/>
  <c r="BP248" i="2"/>
  <c r="BP249" i="2"/>
  <c r="BP250" i="2"/>
  <c r="BP251" i="2"/>
  <c r="BP252" i="2"/>
  <c r="BP253" i="2"/>
  <c r="BP254" i="2"/>
  <c r="BP255" i="2"/>
  <c r="BP256" i="2"/>
  <c r="BP257" i="2"/>
  <c r="BP258" i="2"/>
  <c r="BP259" i="2"/>
  <c r="BP260" i="2"/>
  <c r="BP261" i="2"/>
  <c r="BP262" i="2"/>
  <c r="BP263" i="2"/>
  <c r="BP264" i="2"/>
  <c r="BP265" i="2"/>
  <c r="BP266" i="2"/>
  <c r="BP267" i="2"/>
  <c r="BP268" i="2"/>
  <c r="BP269" i="2"/>
  <c r="BP270" i="2"/>
  <c r="BP271" i="2"/>
  <c r="BP272" i="2"/>
  <c r="BP273" i="2"/>
  <c r="BP274" i="2"/>
  <c r="BP275" i="2"/>
  <c r="BP276" i="2"/>
  <c r="BP277" i="2"/>
  <c r="BP278" i="2"/>
  <c r="BP279" i="2"/>
  <c r="BP280" i="2"/>
  <c r="BP281" i="2"/>
  <c r="BP282" i="2"/>
  <c r="BP283" i="2"/>
  <c r="BP284" i="2"/>
  <c r="BP285" i="2"/>
  <c r="BP286" i="2"/>
  <c r="BP287" i="2"/>
  <c r="BP288" i="2"/>
  <c r="BP289" i="2"/>
  <c r="BP290" i="2"/>
  <c r="BP291" i="2"/>
  <c r="BP292" i="2"/>
  <c r="BP293" i="2"/>
  <c r="BP294" i="2"/>
  <c r="BP295" i="2"/>
  <c r="BP296" i="2"/>
  <c r="BP297" i="2"/>
  <c r="BP298" i="2"/>
  <c r="BP299" i="2"/>
  <c r="BP300" i="2"/>
  <c r="BP301" i="2"/>
  <c r="BP302" i="2"/>
  <c r="BP303" i="2"/>
  <c r="BP304" i="2"/>
  <c r="BP305" i="2"/>
  <c r="BP306" i="2"/>
  <c r="BP307" i="2"/>
  <c r="BP308" i="2"/>
  <c r="BP309" i="2"/>
  <c r="BP310" i="2"/>
  <c r="BP311" i="2"/>
  <c r="BP312" i="2"/>
  <c r="BP313" i="2"/>
  <c r="BP314" i="2"/>
  <c r="BP315" i="2"/>
  <c r="BP316" i="2"/>
  <c r="BP317" i="2"/>
  <c r="BP318" i="2"/>
  <c r="BP319" i="2"/>
  <c r="BP320" i="2"/>
  <c r="BP321" i="2"/>
  <c r="BP322" i="2"/>
  <c r="BP323" i="2"/>
  <c r="BP324" i="2"/>
  <c r="BP325" i="2"/>
  <c r="BP326" i="2"/>
  <c r="BP327" i="2"/>
  <c r="BP328" i="2"/>
  <c r="BP329" i="2"/>
  <c r="BP330" i="2"/>
  <c r="BP331" i="2"/>
  <c r="BP332" i="2"/>
  <c r="BP333" i="2"/>
  <c r="BP334" i="2"/>
  <c r="BP335" i="2"/>
  <c r="BP336" i="2"/>
  <c r="BP337" i="2"/>
  <c r="BP338" i="2"/>
  <c r="BP339" i="2"/>
  <c r="BP340" i="2"/>
  <c r="BP341" i="2"/>
  <c r="BP342" i="2"/>
  <c r="BP343" i="2"/>
  <c r="BP344" i="2"/>
  <c r="BP345" i="2"/>
  <c r="BP346" i="2"/>
  <c r="BP347" i="2"/>
  <c r="BP348" i="2"/>
  <c r="BP349" i="2"/>
  <c r="BP350" i="2"/>
  <c r="BP351" i="2"/>
  <c r="BP352" i="2"/>
  <c r="BP353" i="2"/>
  <c r="BP354" i="2"/>
  <c r="BP355" i="2"/>
  <c r="BP356" i="2"/>
  <c r="BP357" i="2"/>
  <c r="BP358" i="2"/>
  <c r="BP359" i="2"/>
  <c r="BP360" i="2"/>
  <c r="BP361" i="2"/>
  <c r="BP362" i="2"/>
  <c r="BP363" i="2"/>
  <c r="BP364" i="2"/>
  <c r="BP365" i="2"/>
  <c r="BP366" i="2"/>
  <c r="BP367" i="2"/>
  <c r="BP368" i="2"/>
  <c r="BP369" i="2"/>
  <c r="BP370" i="2"/>
  <c r="BP371" i="2"/>
  <c r="BP372" i="2"/>
  <c r="BP373" i="2"/>
  <c r="BP374" i="2"/>
  <c r="BP375" i="2"/>
  <c r="BP376" i="2"/>
  <c r="BP377" i="2"/>
  <c r="BP378" i="2"/>
  <c r="BP379" i="2"/>
  <c r="BP380" i="2"/>
  <c r="BP381" i="2"/>
  <c r="BP382" i="2"/>
  <c r="BP383" i="2"/>
  <c r="BP384" i="2"/>
  <c r="BP385" i="2"/>
  <c r="BP386" i="2"/>
  <c r="BP387" i="2"/>
  <c r="BP388" i="2"/>
  <c r="BP389" i="2"/>
  <c r="BP390" i="2"/>
  <c r="BP391" i="2"/>
  <c r="BP392" i="2"/>
  <c r="BP393" i="2"/>
  <c r="BP394" i="2"/>
  <c r="BP395" i="2"/>
  <c r="BP396" i="2"/>
  <c r="BP397" i="2"/>
  <c r="BP398" i="2"/>
  <c r="BP399" i="2"/>
  <c r="BP400" i="2"/>
  <c r="BP401" i="2"/>
  <c r="BP402" i="2"/>
  <c r="BP403" i="2"/>
  <c r="BP404" i="2"/>
  <c r="BP405" i="2"/>
  <c r="BP406" i="2"/>
  <c r="BP407" i="2"/>
  <c r="BP408" i="2"/>
  <c r="BP409" i="2"/>
  <c r="BP410" i="2"/>
  <c r="BP411" i="2"/>
  <c r="BP412" i="2"/>
  <c r="BP413" i="2"/>
  <c r="BP414" i="2"/>
  <c r="BP415" i="2"/>
  <c r="BP416" i="2"/>
  <c r="BP417" i="2"/>
  <c r="BP418" i="2"/>
  <c r="BP419" i="2"/>
  <c r="BP420" i="2"/>
  <c r="BP421" i="2"/>
  <c r="BP422" i="2"/>
  <c r="BP423" i="2"/>
  <c r="BP424" i="2"/>
  <c r="BP425" i="2"/>
  <c r="BP426" i="2"/>
  <c r="BP427" i="2"/>
  <c r="BP428" i="2"/>
  <c r="BP429" i="2"/>
  <c r="BP430" i="2"/>
  <c r="BP431" i="2"/>
  <c r="BP432" i="2"/>
  <c r="BP433" i="2"/>
  <c r="BP434" i="2"/>
  <c r="BP435" i="2"/>
  <c r="BP436" i="2"/>
  <c r="BP437" i="2"/>
  <c r="BP438" i="2"/>
  <c r="BP439" i="2"/>
  <c r="BP440" i="2"/>
  <c r="BP441" i="2"/>
  <c r="BP442" i="2"/>
  <c r="BP443" i="2"/>
  <c r="BP444" i="2"/>
  <c r="BP445" i="2"/>
  <c r="BP446" i="2"/>
  <c r="BP447" i="2"/>
  <c r="BP448" i="2"/>
  <c r="BP449" i="2"/>
  <c r="BP450" i="2"/>
  <c r="BP451" i="2"/>
  <c r="BP452" i="2"/>
  <c r="BP453" i="2"/>
  <c r="BP454" i="2"/>
  <c r="BP455" i="2"/>
  <c r="BP456" i="2"/>
  <c r="BP457" i="2"/>
  <c r="BP458" i="2"/>
  <c r="BP459" i="2"/>
  <c r="BP460" i="2"/>
  <c r="BP461" i="2"/>
  <c r="BP462" i="2"/>
  <c r="BP463" i="2"/>
  <c r="BP464" i="2"/>
  <c r="BP465" i="2"/>
  <c r="BP466" i="2"/>
  <c r="BP467" i="2"/>
  <c r="BP468" i="2"/>
  <c r="BP469" i="2"/>
  <c r="BP470" i="2"/>
  <c r="BP471" i="2"/>
  <c r="BP472" i="2"/>
  <c r="BP473" i="2"/>
  <c r="BP474" i="2"/>
  <c r="BP475" i="2"/>
  <c r="BP476" i="2"/>
  <c r="BP477" i="2"/>
  <c r="BP478" i="2"/>
  <c r="BP479" i="2"/>
  <c r="BP480" i="2"/>
  <c r="BP481" i="2"/>
  <c r="BP482" i="2"/>
  <c r="BP483" i="2"/>
  <c r="BP484" i="2"/>
  <c r="BP485" i="2"/>
  <c r="BP486" i="2"/>
  <c r="BP487" i="2"/>
  <c r="BP488" i="2"/>
  <c r="BP489" i="2"/>
  <c r="BP490" i="2"/>
  <c r="BP491" i="2"/>
  <c r="BP492" i="2"/>
  <c r="BP493" i="2"/>
  <c r="BP494" i="2"/>
  <c r="BP495" i="2"/>
  <c r="BP496" i="2"/>
  <c r="BP497" i="2"/>
  <c r="BP498" i="2"/>
  <c r="BP499" i="2"/>
  <c r="BP500" i="2"/>
  <c r="BP501" i="2"/>
  <c r="BP502" i="2"/>
  <c r="BP503" i="2"/>
  <c r="BP504" i="2"/>
  <c r="BP505" i="2"/>
  <c r="BP506" i="2"/>
  <c r="BP507" i="2"/>
  <c r="BP508" i="2"/>
  <c r="BP509" i="2"/>
  <c r="BP510" i="2"/>
  <c r="BP511" i="2"/>
  <c r="BP512" i="2"/>
  <c r="BP513" i="2"/>
  <c r="BP514" i="2"/>
  <c r="BP515" i="2"/>
  <c r="BP516" i="2"/>
  <c r="BP517" i="2"/>
  <c r="BP518" i="2"/>
  <c r="BP519" i="2"/>
  <c r="BP520" i="2"/>
  <c r="BP521" i="2"/>
  <c r="BP522" i="2"/>
  <c r="BP523" i="2"/>
  <c r="BP524" i="2"/>
  <c r="BP525" i="2"/>
  <c r="BP526" i="2"/>
  <c r="BP527" i="2"/>
  <c r="BP528" i="2"/>
  <c r="BP529" i="2"/>
  <c r="BP530" i="2"/>
  <c r="BP531" i="2"/>
  <c r="BP532" i="2"/>
  <c r="BP533" i="2"/>
  <c r="BP534" i="2"/>
  <c r="BP535" i="2"/>
  <c r="BP536" i="2"/>
  <c r="BP537" i="2"/>
  <c r="BP538" i="2"/>
  <c r="BP539" i="2"/>
  <c r="BP540" i="2"/>
  <c r="BP541" i="2"/>
  <c r="BP542" i="2"/>
  <c r="BP543" i="2"/>
  <c r="BP544" i="2"/>
  <c r="BP545" i="2"/>
  <c r="BP546" i="2"/>
  <c r="BP547" i="2"/>
  <c r="BP548" i="2"/>
  <c r="BP549" i="2"/>
  <c r="BP550" i="2"/>
  <c r="BP551" i="2"/>
  <c r="BP552" i="2"/>
  <c r="BP553" i="2"/>
  <c r="BP554" i="2"/>
  <c r="BP555" i="2"/>
  <c r="BP556" i="2"/>
  <c r="BP557" i="2"/>
  <c r="BP558" i="2"/>
  <c r="BP559" i="2"/>
  <c r="BP560" i="2"/>
  <c r="BP561" i="2"/>
  <c r="BP562" i="2"/>
  <c r="BP563" i="2"/>
  <c r="BP564" i="2"/>
  <c r="BP565" i="2"/>
  <c r="BP566" i="2"/>
  <c r="BP567" i="2"/>
  <c r="BP568" i="2"/>
  <c r="BP569" i="2"/>
  <c r="BP570" i="2"/>
  <c r="BP571" i="2"/>
  <c r="BP572" i="2"/>
  <c r="BP573" i="2"/>
  <c r="BP574" i="2"/>
  <c r="BP575" i="2"/>
  <c r="BP576" i="2"/>
  <c r="BP577" i="2"/>
  <c r="BP578" i="2"/>
  <c r="BP579" i="2"/>
  <c r="BP580" i="2"/>
  <c r="BP581" i="2"/>
  <c r="BP582" i="2"/>
  <c r="BP583" i="2"/>
  <c r="BP584" i="2"/>
  <c r="BP585" i="2"/>
  <c r="BP586" i="2"/>
  <c r="BP587" i="2"/>
  <c r="BP588" i="2"/>
  <c r="BP589" i="2"/>
  <c r="BP590" i="2"/>
  <c r="BP591" i="2"/>
  <c r="BP592" i="2"/>
  <c r="BP593" i="2"/>
  <c r="BP594" i="2"/>
  <c r="BP595" i="2"/>
  <c r="BP596" i="2"/>
  <c r="BP597" i="2"/>
  <c r="BP598" i="2"/>
  <c r="BP599" i="2"/>
  <c r="BP600" i="2"/>
  <c r="BP601" i="2"/>
  <c r="BP602" i="2"/>
  <c r="BP603" i="2"/>
  <c r="BP604" i="2"/>
  <c r="BP605" i="2"/>
  <c r="BP606" i="2"/>
  <c r="BP607" i="2"/>
  <c r="BP608" i="2"/>
  <c r="BP609" i="2"/>
  <c r="BP610" i="2"/>
  <c r="BP611" i="2"/>
  <c r="BP612" i="2"/>
  <c r="BP613" i="2"/>
  <c r="BP614" i="2"/>
  <c r="BP615" i="2"/>
  <c r="BP616" i="2"/>
  <c r="BP617" i="2"/>
  <c r="BP618" i="2"/>
  <c r="BP619" i="2"/>
  <c r="BP620" i="2"/>
  <c r="BP621" i="2"/>
  <c r="BP622" i="2"/>
  <c r="BP623" i="2"/>
  <c r="BP624" i="2"/>
  <c r="BP625" i="2"/>
  <c r="BP626" i="2"/>
  <c r="BP627" i="2"/>
  <c r="BP628" i="2"/>
  <c r="BP629" i="2"/>
  <c r="BP630" i="2"/>
  <c r="BP631" i="2"/>
  <c r="BP632" i="2"/>
  <c r="BP633" i="2"/>
  <c r="BP634" i="2"/>
  <c r="BP635" i="2"/>
  <c r="BP636" i="2"/>
  <c r="BP637" i="2"/>
  <c r="BP638" i="2"/>
  <c r="BP639" i="2"/>
  <c r="BP640" i="2"/>
  <c r="BP641" i="2"/>
  <c r="BP642" i="2"/>
  <c r="BP643" i="2"/>
  <c r="BP644" i="2"/>
  <c r="BP645" i="2"/>
  <c r="BP646" i="2"/>
  <c r="BP647" i="2"/>
  <c r="BP648" i="2"/>
  <c r="BP649" i="2"/>
  <c r="BP650" i="2"/>
  <c r="BP651" i="2"/>
  <c r="BP652" i="2"/>
  <c r="BP653" i="2"/>
  <c r="BP654" i="2"/>
  <c r="BP655" i="2"/>
  <c r="BP656" i="2"/>
  <c r="BP657" i="2"/>
  <c r="BP658" i="2"/>
  <c r="BP659" i="2"/>
  <c r="BP660" i="2"/>
  <c r="BP661" i="2"/>
  <c r="BP662" i="2"/>
  <c r="BP663" i="2"/>
  <c r="BP664" i="2"/>
  <c r="BP665" i="2"/>
  <c r="BP666" i="2"/>
  <c r="BP667" i="2"/>
  <c r="BP668" i="2"/>
  <c r="BP669" i="2"/>
  <c r="BP670" i="2"/>
  <c r="BP671" i="2"/>
  <c r="BP672" i="2"/>
  <c r="BP673" i="2"/>
  <c r="BP674" i="2"/>
  <c r="BP675" i="2"/>
  <c r="BP676" i="2"/>
  <c r="BP677" i="2"/>
  <c r="BP678" i="2"/>
  <c r="BP679" i="2"/>
  <c r="BP680" i="2"/>
  <c r="BP681" i="2"/>
  <c r="BP682" i="2"/>
  <c r="BP683" i="2"/>
  <c r="BP684" i="2"/>
  <c r="BP685" i="2"/>
  <c r="BP686" i="2"/>
  <c r="BP687" i="2"/>
  <c r="BP688" i="2"/>
  <c r="BP689" i="2"/>
  <c r="BP690" i="2"/>
  <c r="BP691" i="2"/>
  <c r="BP692" i="2"/>
  <c r="BP693" i="2"/>
  <c r="BP694" i="2"/>
  <c r="BP695" i="2"/>
  <c r="BP696" i="2"/>
  <c r="BP697" i="2"/>
  <c r="BP698" i="2"/>
  <c r="BP699" i="2"/>
  <c r="BP700" i="2"/>
  <c r="BP701" i="2"/>
  <c r="BP702" i="2"/>
  <c r="BP703" i="2"/>
  <c r="BP704" i="2"/>
  <c r="BP705" i="2"/>
  <c r="BP706" i="2"/>
  <c r="BP707" i="2"/>
  <c r="BP708" i="2"/>
  <c r="BP709" i="2"/>
  <c r="BP710" i="2"/>
  <c r="BP711" i="2"/>
  <c r="BP712" i="2"/>
  <c r="BP713" i="2"/>
  <c r="BP714" i="2"/>
  <c r="BP715" i="2"/>
  <c r="BP716" i="2"/>
  <c r="BP717" i="2"/>
  <c r="BP718" i="2"/>
  <c r="BP719" i="2"/>
  <c r="BP720" i="2"/>
  <c r="BP721" i="2"/>
  <c r="BP722" i="2"/>
  <c r="BP723" i="2"/>
  <c r="BP724" i="2"/>
  <c r="BP725" i="2"/>
  <c r="BP726" i="2"/>
  <c r="BP727" i="2"/>
  <c r="BP728" i="2"/>
  <c r="BP729" i="2"/>
  <c r="BP730" i="2"/>
  <c r="BP731" i="2"/>
  <c r="BP732" i="2"/>
  <c r="BP733" i="2"/>
  <c r="BP734" i="2"/>
  <c r="BP735" i="2"/>
  <c r="BP736" i="2"/>
  <c r="BP737" i="2"/>
  <c r="BP738" i="2"/>
  <c r="BP739" i="2"/>
  <c r="BP740" i="2"/>
  <c r="BP741" i="2"/>
  <c r="BP742" i="2"/>
  <c r="BP743" i="2"/>
  <c r="BP744" i="2"/>
  <c r="BP745" i="2"/>
  <c r="BP746" i="2"/>
  <c r="BP747" i="2"/>
  <c r="BP748" i="2"/>
  <c r="BP749" i="2"/>
  <c r="BP750" i="2"/>
  <c r="BP751" i="2"/>
  <c r="BP752" i="2"/>
  <c r="BP753" i="2"/>
  <c r="BP754" i="2"/>
  <c r="BP755" i="2"/>
  <c r="BP756" i="2"/>
  <c r="BP757" i="2"/>
  <c r="BP758" i="2"/>
  <c r="BP759" i="2"/>
  <c r="BP760" i="2"/>
  <c r="BP761" i="2"/>
  <c r="BP762" i="2"/>
  <c r="BP763" i="2"/>
  <c r="BP764" i="2"/>
  <c r="BP765" i="2"/>
  <c r="BP766" i="2"/>
  <c r="BP767" i="2"/>
  <c r="BP768" i="2"/>
  <c r="BP769" i="2"/>
  <c r="BP770" i="2"/>
  <c r="BP771" i="2"/>
  <c r="BP772" i="2"/>
  <c r="BP773" i="2"/>
  <c r="BP774" i="2"/>
  <c r="BP775" i="2"/>
  <c r="BP776" i="2"/>
  <c r="BP777" i="2"/>
  <c r="BP778" i="2"/>
  <c r="BP779" i="2"/>
  <c r="BP780" i="2"/>
  <c r="BP781" i="2"/>
  <c r="BP782" i="2"/>
  <c r="BP783" i="2"/>
  <c r="BP784" i="2"/>
  <c r="BP785" i="2"/>
  <c r="BP786" i="2"/>
  <c r="BP787" i="2"/>
  <c r="BP788" i="2"/>
  <c r="BP789" i="2"/>
  <c r="BP790" i="2"/>
  <c r="BP791" i="2"/>
  <c r="BP792" i="2"/>
  <c r="BP793" i="2"/>
  <c r="BP794" i="2"/>
  <c r="BP795" i="2"/>
  <c r="BP796" i="2"/>
  <c r="BP797" i="2"/>
  <c r="BP798" i="2"/>
  <c r="BP799" i="2"/>
  <c r="BP800" i="2"/>
  <c r="BP801" i="2"/>
  <c r="BP802" i="2"/>
  <c r="BP803" i="2"/>
  <c r="BP804" i="2"/>
  <c r="BP805" i="2"/>
  <c r="BP806" i="2"/>
  <c r="BP807" i="2"/>
  <c r="BP808" i="2"/>
  <c r="BP809" i="2"/>
  <c r="BP810" i="2"/>
  <c r="BP811" i="2"/>
  <c r="BP812" i="2"/>
  <c r="BP813" i="2"/>
  <c r="BP814" i="2"/>
  <c r="BP815" i="2"/>
  <c r="BP816" i="2"/>
  <c r="BP817" i="2"/>
  <c r="BP818" i="2"/>
  <c r="BP819" i="2"/>
  <c r="BP820" i="2"/>
  <c r="BP821" i="2"/>
  <c r="BP822" i="2"/>
  <c r="BP823" i="2"/>
  <c r="BP824" i="2"/>
  <c r="BP825" i="2"/>
  <c r="BP826" i="2"/>
  <c r="BP827" i="2"/>
  <c r="BP828" i="2"/>
  <c r="BP829" i="2"/>
  <c r="BP830" i="2"/>
  <c r="BP831" i="2"/>
  <c r="BP832" i="2"/>
  <c r="BP833" i="2"/>
  <c r="BP834" i="2"/>
  <c r="BP835" i="2"/>
  <c r="BP836" i="2"/>
  <c r="BP837" i="2"/>
  <c r="BP838" i="2"/>
  <c r="BP839" i="2"/>
  <c r="BP840" i="2"/>
  <c r="BP841" i="2"/>
  <c r="BP842" i="2"/>
  <c r="BP843" i="2"/>
  <c r="BP844" i="2"/>
  <c r="BP845" i="2"/>
  <c r="BP846" i="2"/>
  <c r="BP847" i="2"/>
  <c r="BP848" i="2"/>
  <c r="BP849" i="2"/>
  <c r="BP850" i="2"/>
  <c r="BP851" i="2"/>
  <c r="BP852" i="2"/>
  <c r="BP853" i="2"/>
  <c r="BP854" i="2"/>
  <c r="BP855" i="2"/>
  <c r="BP856" i="2"/>
  <c r="BP857" i="2"/>
  <c r="BP858" i="2"/>
  <c r="BP859" i="2"/>
  <c r="BP860" i="2"/>
  <c r="BP861" i="2"/>
  <c r="BP862" i="2"/>
  <c r="BP863" i="2"/>
  <c r="BP864" i="2"/>
  <c r="BP865" i="2"/>
  <c r="BP866" i="2"/>
  <c r="BP867" i="2"/>
  <c r="BP868" i="2"/>
  <c r="BP869" i="2"/>
  <c r="BP870" i="2"/>
  <c r="BP871" i="2"/>
  <c r="BP872" i="2"/>
  <c r="BP873" i="2"/>
  <c r="BP874" i="2"/>
  <c r="BP875" i="2"/>
  <c r="BP876" i="2"/>
  <c r="BP877" i="2"/>
  <c r="BP878" i="2"/>
  <c r="BP879" i="2"/>
  <c r="BP880" i="2"/>
  <c r="BP881" i="2"/>
  <c r="BP882" i="2"/>
  <c r="BP883" i="2"/>
  <c r="BP884" i="2"/>
  <c r="BP885" i="2"/>
  <c r="BP886" i="2"/>
  <c r="BP887" i="2"/>
  <c r="BP888" i="2"/>
  <c r="BP889" i="2"/>
  <c r="BP890" i="2"/>
  <c r="BP891" i="2"/>
  <c r="BP892" i="2"/>
  <c r="BP893" i="2"/>
  <c r="BP894" i="2"/>
  <c r="BP895" i="2"/>
  <c r="BP896" i="2"/>
  <c r="BP897" i="2"/>
  <c r="BP898" i="2"/>
  <c r="BP899" i="2"/>
  <c r="BP900" i="2"/>
  <c r="BP901" i="2"/>
  <c r="BP902" i="2"/>
  <c r="BP903" i="2"/>
  <c r="BP904" i="2"/>
  <c r="BP905" i="2"/>
  <c r="BP906" i="2"/>
  <c r="BP907" i="2"/>
  <c r="BP908" i="2"/>
  <c r="BP909" i="2"/>
  <c r="BP910" i="2"/>
  <c r="BP911" i="2"/>
  <c r="BP912" i="2"/>
  <c r="BP913" i="2"/>
  <c r="BP914" i="2"/>
  <c r="BP915" i="2"/>
  <c r="BP916" i="2"/>
  <c r="BP917" i="2"/>
  <c r="BP918" i="2"/>
  <c r="BP919" i="2"/>
  <c r="BP920" i="2"/>
  <c r="BP921" i="2"/>
  <c r="BP922" i="2"/>
  <c r="BP923" i="2"/>
  <c r="BP924" i="2"/>
  <c r="BP925" i="2"/>
  <c r="BP926" i="2"/>
  <c r="BP927" i="2"/>
  <c r="BP928" i="2"/>
  <c r="BP929" i="2"/>
  <c r="BP930" i="2"/>
  <c r="BP931" i="2"/>
  <c r="BP932" i="2"/>
  <c r="BP933" i="2"/>
  <c r="BP934" i="2"/>
  <c r="BP935" i="2"/>
  <c r="BP936" i="2"/>
  <c r="BP937" i="2"/>
  <c r="BP938" i="2"/>
  <c r="BP939" i="2"/>
  <c r="BP940" i="2"/>
  <c r="BP941" i="2"/>
  <c r="BP942" i="2"/>
  <c r="BP943" i="2"/>
  <c r="BP944" i="2"/>
  <c r="BP945" i="2"/>
  <c r="BP946" i="2"/>
  <c r="BP947" i="2"/>
  <c r="BP948" i="2"/>
  <c r="BP949" i="2"/>
  <c r="BP950" i="2"/>
  <c r="BP951" i="2"/>
  <c r="BP952" i="2"/>
  <c r="BP953" i="2"/>
  <c r="BP954" i="2"/>
  <c r="BP955" i="2"/>
  <c r="BP956" i="2"/>
  <c r="BP957" i="2"/>
  <c r="BP958" i="2"/>
  <c r="BP959" i="2"/>
  <c r="BP960" i="2"/>
  <c r="BP961" i="2"/>
  <c r="BP962" i="2"/>
  <c r="BP963" i="2"/>
  <c r="BP964" i="2"/>
  <c r="BP965" i="2"/>
  <c r="BP966" i="2"/>
  <c r="BP967" i="2"/>
  <c r="BP968" i="2"/>
  <c r="BP969" i="2"/>
  <c r="BP970" i="2"/>
  <c r="BP971" i="2"/>
  <c r="BP972" i="2"/>
  <c r="BP973" i="2"/>
  <c r="BP974" i="2"/>
  <c r="BP975" i="2"/>
  <c r="BP976" i="2"/>
  <c r="BP977" i="2"/>
  <c r="BP978" i="2"/>
  <c r="BP979" i="2"/>
  <c r="BP980" i="2"/>
  <c r="BP981" i="2"/>
  <c r="BP982" i="2"/>
  <c r="BP983" i="2"/>
  <c r="BP984" i="2"/>
  <c r="BP985" i="2"/>
  <c r="BP986" i="2"/>
  <c r="BP987" i="2"/>
  <c r="BP988" i="2"/>
  <c r="BP989" i="2"/>
  <c r="BP990" i="2"/>
  <c r="BP991" i="2"/>
  <c r="BP992" i="2"/>
  <c r="BP993" i="2"/>
  <c r="BP994" i="2"/>
  <c r="BP995" i="2"/>
  <c r="BP996" i="2"/>
  <c r="BP997" i="2"/>
  <c r="BP998" i="2"/>
  <c r="BP999" i="2"/>
  <c r="BP1000" i="2"/>
  <c r="BP1001" i="2"/>
  <c r="BP1002" i="2"/>
  <c r="BP1003" i="2"/>
  <c r="BP1004" i="2"/>
  <c r="BP1005" i="2"/>
  <c r="BP1006" i="2"/>
  <c r="BP1007" i="2"/>
  <c r="BP1008" i="2"/>
  <c r="BP1009" i="2"/>
  <c r="BP1010" i="2"/>
  <c r="BP1011" i="2"/>
  <c r="BP1012" i="2"/>
  <c r="BP1013" i="2"/>
  <c r="BP1014" i="2"/>
  <c r="BP1015" i="2"/>
  <c r="BP1016" i="2"/>
  <c r="BP1017" i="2"/>
  <c r="BP1018" i="2"/>
  <c r="BP1019" i="2"/>
  <c r="BP1020" i="2"/>
  <c r="BP1021" i="2"/>
  <c r="BP1022" i="2"/>
  <c r="BP1023" i="2"/>
  <c r="BP1024" i="2"/>
  <c r="BP1025" i="2"/>
  <c r="BP1026" i="2"/>
  <c r="BP1027" i="2"/>
  <c r="BP1028" i="2"/>
  <c r="BP1029" i="2"/>
  <c r="BP1030" i="2"/>
  <c r="BP1031" i="2"/>
  <c r="BP1032" i="2"/>
  <c r="BP1033" i="2"/>
  <c r="BP1034" i="2"/>
  <c r="BP1035" i="2"/>
  <c r="BP1036" i="2"/>
  <c r="BP1037" i="2"/>
  <c r="BP1038" i="2"/>
  <c r="BP1039" i="2"/>
  <c r="BP1040" i="2"/>
  <c r="BP1041" i="2"/>
  <c r="BP1042" i="2"/>
  <c r="BP1043" i="2"/>
  <c r="BP1044" i="2"/>
  <c r="BP1045" i="2"/>
  <c r="BP1046" i="2"/>
  <c r="BP1047" i="2"/>
  <c r="BP1048" i="2"/>
  <c r="BP1049" i="2"/>
  <c r="BP1050" i="2"/>
  <c r="BP1051" i="2"/>
  <c r="BP1052" i="2"/>
  <c r="BP1053" i="2"/>
  <c r="BP1054" i="2"/>
  <c r="BP1055" i="2"/>
  <c r="BP1056" i="2"/>
  <c r="BP1057" i="2"/>
  <c r="BP1058" i="2"/>
  <c r="BP1059" i="2"/>
  <c r="BP1060" i="2"/>
  <c r="BP1061" i="2"/>
  <c r="BP1062" i="2"/>
  <c r="BP1063" i="2"/>
  <c r="BP1064" i="2"/>
  <c r="BP1065" i="2"/>
  <c r="BP1066" i="2"/>
  <c r="BP1067" i="2"/>
  <c r="BP1068" i="2"/>
  <c r="BP1069" i="2"/>
  <c r="BP1070" i="2"/>
  <c r="BP1071" i="2"/>
  <c r="BP1072" i="2"/>
  <c r="BP1073" i="2"/>
  <c r="BP1074" i="2"/>
  <c r="BP1075" i="2"/>
  <c r="BP1076" i="2"/>
  <c r="BP1077" i="2"/>
  <c r="BP1078" i="2"/>
  <c r="BP1079" i="2"/>
  <c r="BP1080" i="2"/>
  <c r="BP1081" i="2"/>
  <c r="BP1082" i="2"/>
  <c r="BP1083" i="2"/>
  <c r="BP1084" i="2"/>
  <c r="BP1085" i="2"/>
  <c r="BP1086" i="2"/>
  <c r="BP1087" i="2"/>
  <c r="BP1088" i="2"/>
  <c r="BP1089" i="2"/>
  <c r="BP1090" i="2"/>
  <c r="BP1091" i="2"/>
  <c r="BP1092" i="2"/>
  <c r="BP1093" i="2"/>
  <c r="BP1094" i="2"/>
  <c r="BP1095" i="2"/>
  <c r="BP1096" i="2"/>
  <c r="BP1097" i="2"/>
  <c r="BP1098" i="2"/>
  <c r="BP1099" i="2"/>
  <c r="BP1100" i="2"/>
  <c r="BP1101" i="2"/>
  <c r="BP1102" i="2"/>
  <c r="BP1103" i="2"/>
  <c r="BP1104" i="2"/>
  <c r="BP1105" i="2"/>
  <c r="BP1106" i="2"/>
  <c r="BP1107" i="2"/>
  <c r="BP1108" i="2"/>
  <c r="BP1109" i="2"/>
  <c r="BP1110" i="2"/>
  <c r="BP1111" i="2"/>
  <c r="BP1112" i="2"/>
  <c r="BP1113" i="2"/>
  <c r="BP1114" i="2"/>
  <c r="BP1115" i="2"/>
  <c r="BP1116" i="2"/>
  <c r="BP1117" i="2"/>
  <c r="BP1118" i="2"/>
  <c r="BP1119" i="2"/>
  <c r="BP1120" i="2"/>
  <c r="BP1121" i="2"/>
  <c r="BP1122" i="2"/>
  <c r="BP1123" i="2"/>
  <c r="BP1124" i="2"/>
  <c r="BP1125" i="2"/>
  <c r="BP1126" i="2"/>
  <c r="BP1127" i="2"/>
  <c r="BP1128" i="2"/>
  <c r="BP1129" i="2"/>
  <c r="BP1130" i="2"/>
  <c r="BP1131" i="2"/>
  <c r="BP1132" i="2"/>
  <c r="BP1133" i="2"/>
  <c r="BP1134" i="2"/>
  <c r="BP1135" i="2"/>
  <c r="BP1136" i="2"/>
  <c r="BP1137" i="2"/>
  <c r="BP1138" i="2"/>
  <c r="BP1139" i="2"/>
  <c r="BP1140" i="2"/>
  <c r="BP1141" i="2"/>
  <c r="BP1142" i="2"/>
  <c r="BP1143" i="2"/>
  <c r="BP1144" i="2"/>
  <c r="BP1145" i="2"/>
  <c r="BP1146" i="2"/>
  <c r="BP1147" i="2"/>
  <c r="BP1148" i="2"/>
  <c r="BP1149" i="2"/>
  <c r="BP1150" i="2"/>
  <c r="BP1151" i="2"/>
  <c r="BP1152" i="2"/>
  <c r="BP1153" i="2"/>
  <c r="BP1154" i="2"/>
  <c r="BP1155" i="2"/>
  <c r="BP1156" i="2"/>
  <c r="BP1157" i="2"/>
  <c r="BP1158" i="2"/>
  <c r="BP1159" i="2"/>
  <c r="BP1160" i="2"/>
  <c r="BP1161" i="2"/>
  <c r="BP1162" i="2"/>
  <c r="BP1163" i="2"/>
  <c r="BP1164" i="2"/>
  <c r="BP1165" i="2"/>
  <c r="BP1166" i="2"/>
  <c r="BP1167" i="2"/>
  <c r="BP1168" i="2"/>
  <c r="BP1169" i="2"/>
  <c r="BP1170" i="2"/>
  <c r="BP1171" i="2"/>
  <c r="BP1172" i="2"/>
  <c r="BP1173" i="2"/>
  <c r="BP1174" i="2"/>
  <c r="BP1175" i="2"/>
  <c r="BP1176" i="2"/>
  <c r="BP1177" i="2"/>
  <c r="BP1178" i="2"/>
  <c r="BP1179" i="2"/>
  <c r="BP1180" i="2"/>
  <c r="BP1181" i="2"/>
  <c r="BP1182" i="2"/>
  <c r="BP1183" i="2"/>
  <c r="BP1184" i="2"/>
  <c r="BP1185" i="2"/>
  <c r="BP1186" i="2"/>
  <c r="BP1187" i="2"/>
  <c r="BP1188" i="2"/>
  <c r="BP1189" i="2"/>
  <c r="BP1190" i="2"/>
  <c r="BP1191" i="2"/>
  <c r="BP1192" i="2"/>
  <c r="BP1193" i="2"/>
  <c r="BP1194" i="2"/>
  <c r="BP1195" i="2"/>
  <c r="BP1196" i="2"/>
  <c r="BP1197" i="2"/>
  <c r="BP1198" i="2"/>
  <c r="BP1199" i="2"/>
  <c r="BP1200" i="2"/>
  <c r="BP1201" i="2"/>
  <c r="BP1202" i="2"/>
  <c r="BP1203" i="2"/>
  <c r="BP1204" i="2"/>
  <c r="BP1205" i="2"/>
  <c r="BP1206" i="2"/>
  <c r="BP1207" i="2"/>
  <c r="BP1208" i="2"/>
  <c r="BP1209" i="2"/>
  <c r="BP1210" i="2"/>
  <c r="BP1211" i="2"/>
  <c r="BP1212" i="2"/>
  <c r="BP1213" i="2"/>
  <c r="BP1214" i="2"/>
  <c r="BP1215" i="2"/>
  <c r="BP1216" i="2"/>
  <c r="BP1217" i="2"/>
  <c r="BP1218" i="2"/>
  <c r="BP1219" i="2"/>
  <c r="BP1220" i="2"/>
  <c r="BP1221" i="2"/>
  <c r="BP1222" i="2"/>
  <c r="BP1223" i="2"/>
  <c r="BP1224" i="2"/>
  <c r="BP1225" i="2"/>
  <c r="BP1226" i="2"/>
  <c r="BP1227" i="2"/>
  <c r="BP1228" i="2"/>
  <c r="BP1229" i="2"/>
  <c r="BP1230" i="2"/>
  <c r="BP1231" i="2"/>
  <c r="BP1232" i="2"/>
  <c r="BP1233" i="2"/>
  <c r="BP1234" i="2"/>
  <c r="BP1235" i="2"/>
  <c r="BP1236" i="2"/>
  <c r="BP1237" i="2"/>
  <c r="BP1238" i="2"/>
  <c r="BP1239" i="2"/>
  <c r="BP1240" i="2"/>
  <c r="BP1241" i="2"/>
  <c r="BP1242" i="2"/>
  <c r="BP1243" i="2"/>
  <c r="BP1244" i="2"/>
  <c r="BP1245" i="2"/>
  <c r="BP1246" i="2"/>
  <c r="BP1247" i="2"/>
  <c r="BP1248" i="2"/>
  <c r="BP1249" i="2"/>
  <c r="BP1250" i="2"/>
  <c r="BP1251" i="2"/>
  <c r="BP1252" i="2"/>
  <c r="BP1253" i="2"/>
  <c r="BP1254" i="2"/>
  <c r="BP1255" i="2"/>
  <c r="BP1256" i="2"/>
  <c r="BP1257" i="2"/>
  <c r="BP1258" i="2"/>
  <c r="BP1259" i="2"/>
  <c r="BP1260" i="2"/>
  <c r="BP1261" i="2"/>
  <c r="BP1262" i="2"/>
  <c r="BP1263" i="2"/>
  <c r="BP1264" i="2"/>
  <c r="BP1265" i="2"/>
  <c r="BP1266" i="2"/>
  <c r="BP1267" i="2"/>
  <c r="BP1268" i="2"/>
  <c r="BP1269" i="2"/>
  <c r="BP1270" i="2"/>
  <c r="BP1271" i="2"/>
  <c r="BP1272" i="2"/>
  <c r="BP1273" i="2"/>
  <c r="BP1274" i="2"/>
  <c r="BP1275" i="2"/>
  <c r="BP1276" i="2"/>
  <c r="BP1277" i="2"/>
  <c r="BP1278" i="2"/>
  <c r="BP1279" i="2"/>
  <c r="BP1280" i="2"/>
  <c r="BP1281" i="2"/>
  <c r="BP1282" i="2"/>
  <c r="BP1283" i="2"/>
  <c r="BP1284" i="2"/>
  <c r="BP1285" i="2"/>
  <c r="BP1286" i="2"/>
  <c r="BP1287" i="2"/>
  <c r="BP1288" i="2"/>
  <c r="BP1289" i="2"/>
  <c r="BP1290" i="2"/>
  <c r="BP1291" i="2"/>
  <c r="BP1292" i="2"/>
  <c r="BP1293" i="2"/>
  <c r="BP1294" i="2"/>
  <c r="BP1295" i="2"/>
  <c r="BP1296" i="2"/>
  <c r="BP1297" i="2"/>
  <c r="BP1298" i="2"/>
  <c r="BP1299" i="2"/>
  <c r="BP1300" i="2"/>
  <c r="BP1301" i="2"/>
  <c r="BP1302" i="2"/>
  <c r="BP1303" i="2"/>
  <c r="BP1304" i="2"/>
  <c r="BP1305" i="2"/>
  <c r="BP1306" i="2"/>
  <c r="BP1307" i="2"/>
  <c r="BP1308" i="2"/>
  <c r="BP1309" i="2"/>
  <c r="BP1310" i="2"/>
  <c r="BP1311" i="2"/>
  <c r="BP1312" i="2"/>
  <c r="BP1313" i="2"/>
  <c r="BP1314" i="2"/>
  <c r="BP1315" i="2"/>
  <c r="BP1316" i="2"/>
  <c r="BP1317" i="2"/>
  <c r="BP1318" i="2"/>
  <c r="BP1319" i="2"/>
  <c r="BP1320" i="2"/>
  <c r="BP1321" i="2"/>
  <c r="BP1322" i="2"/>
  <c r="BP1323" i="2"/>
  <c r="BP1324" i="2"/>
  <c r="BP1325" i="2"/>
  <c r="BP1326" i="2"/>
  <c r="BP1327" i="2"/>
  <c r="BP1328" i="2"/>
  <c r="BP1329" i="2"/>
  <c r="BP1330" i="2"/>
  <c r="BP1331" i="2"/>
  <c r="BP1332" i="2"/>
  <c r="BP1333" i="2"/>
  <c r="BP1334" i="2"/>
  <c r="BP1335" i="2"/>
  <c r="BP1336" i="2"/>
  <c r="BP1337" i="2"/>
  <c r="BP1338" i="2"/>
  <c r="BP1339" i="2"/>
  <c r="BP1340" i="2"/>
  <c r="BP1341" i="2"/>
  <c r="BP1342" i="2"/>
  <c r="BP1343" i="2"/>
  <c r="BP1344" i="2"/>
  <c r="BP1345" i="2"/>
  <c r="BP1346" i="2"/>
  <c r="BP1347" i="2"/>
  <c r="BP1348" i="2"/>
  <c r="BP1349" i="2"/>
  <c r="BP1350" i="2"/>
  <c r="BP1351" i="2"/>
  <c r="BP1352" i="2"/>
  <c r="BP1353" i="2"/>
  <c r="BP1354" i="2"/>
  <c r="BP1355" i="2"/>
  <c r="BP1356" i="2"/>
  <c r="BP1357" i="2"/>
  <c r="BP1358" i="2"/>
  <c r="BP1359" i="2"/>
  <c r="BP1360" i="2"/>
  <c r="BP1361" i="2"/>
  <c r="BP1362" i="2"/>
  <c r="BP1363" i="2"/>
  <c r="BP1364" i="2"/>
  <c r="BP1365" i="2"/>
  <c r="BP1366" i="2"/>
  <c r="BP1367" i="2"/>
  <c r="BP1368" i="2"/>
  <c r="BP1369" i="2"/>
  <c r="BP1370" i="2"/>
  <c r="BP1371" i="2"/>
  <c r="BP1372" i="2"/>
  <c r="BP1373" i="2"/>
  <c r="BP1374" i="2"/>
  <c r="BP1375" i="2"/>
  <c r="BP1376" i="2"/>
  <c r="BP1377" i="2"/>
  <c r="BP1378" i="2"/>
  <c r="BP1379" i="2"/>
  <c r="BP1380" i="2"/>
  <c r="BP1381" i="2"/>
  <c r="BP1382" i="2"/>
  <c r="BP1383" i="2"/>
  <c r="BP1384" i="2"/>
  <c r="BP1385" i="2"/>
  <c r="BP1386" i="2"/>
  <c r="BP1387" i="2"/>
  <c r="BP1388" i="2"/>
  <c r="BP1389" i="2"/>
  <c r="BP1390" i="2"/>
  <c r="BP1391" i="2"/>
  <c r="BP1392" i="2"/>
  <c r="BP1393" i="2"/>
  <c r="BP1394" i="2"/>
  <c r="BP1395" i="2"/>
  <c r="BP1396" i="2"/>
  <c r="BP1397" i="2"/>
  <c r="BP1398" i="2"/>
  <c r="BP1399" i="2"/>
  <c r="BP1400" i="2"/>
  <c r="BP1401" i="2"/>
  <c r="BP1402" i="2"/>
  <c r="BP1403" i="2"/>
  <c r="BP1404" i="2"/>
  <c r="BP1405" i="2"/>
  <c r="BP1406" i="2"/>
  <c r="BP1407" i="2"/>
  <c r="BP1408" i="2"/>
  <c r="BP1409" i="2"/>
  <c r="BP1410" i="2"/>
  <c r="BP1411" i="2"/>
  <c r="BP1412" i="2"/>
  <c r="BP1413" i="2"/>
  <c r="BP1414" i="2"/>
  <c r="BP1415" i="2"/>
  <c r="BP1416" i="2"/>
  <c r="BP1417" i="2"/>
  <c r="BP1418" i="2"/>
  <c r="BP1419" i="2"/>
  <c r="BP1420" i="2"/>
  <c r="BP1421" i="2"/>
  <c r="BP1422" i="2"/>
  <c r="BP1423" i="2"/>
  <c r="BP1424" i="2"/>
  <c r="BP1425" i="2"/>
  <c r="BP1426" i="2"/>
  <c r="BP1427" i="2"/>
  <c r="BP1428" i="2"/>
  <c r="BP1429" i="2"/>
  <c r="BP1430" i="2"/>
  <c r="BP1431" i="2"/>
  <c r="BP1432" i="2"/>
  <c r="BP1433" i="2"/>
  <c r="BP1434" i="2"/>
  <c r="BP1435" i="2"/>
  <c r="BP1436" i="2"/>
  <c r="BP1437" i="2"/>
  <c r="BP1438" i="2"/>
  <c r="BP1439" i="2"/>
  <c r="BP1440" i="2"/>
  <c r="BP1441" i="2"/>
  <c r="BP1442" i="2"/>
  <c r="BP1443" i="2"/>
  <c r="BP1444" i="2"/>
  <c r="BP1445" i="2"/>
  <c r="BP1446" i="2"/>
  <c r="BP1447" i="2"/>
  <c r="BP1448" i="2"/>
  <c r="BP1449" i="2"/>
  <c r="BP1450" i="2"/>
  <c r="BP1451" i="2"/>
  <c r="BP1452" i="2"/>
  <c r="BP1453" i="2"/>
  <c r="BP1454" i="2"/>
  <c r="BP1455" i="2"/>
  <c r="BP1456" i="2"/>
  <c r="BP1457" i="2"/>
  <c r="BP1458" i="2"/>
  <c r="BP1459" i="2"/>
  <c r="BP1460" i="2"/>
  <c r="BP1461" i="2"/>
  <c r="BP1462" i="2"/>
  <c r="BP1463" i="2"/>
  <c r="BP1464" i="2"/>
  <c r="BP1465" i="2"/>
  <c r="BP1466" i="2"/>
  <c r="BP1467" i="2"/>
  <c r="BP1468" i="2"/>
  <c r="BP1469" i="2"/>
  <c r="BP1470" i="2"/>
  <c r="BP1471" i="2"/>
  <c r="BP1472" i="2"/>
  <c r="BP1473" i="2"/>
  <c r="BP1474" i="2"/>
  <c r="BP1475" i="2"/>
  <c r="BP1476" i="2"/>
  <c r="BP1477" i="2"/>
  <c r="BP1478" i="2"/>
  <c r="BP1479" i="2"/>
  <c r="BP1480" i="2"/>
  <c r="BP1481" i="2"/>
  <c r="BP1482" i="2"/>
  <c r="BP1483" i="2"/>
  <c r="BP1484" i="2"/>
  <c r="BP1485" i="2"/>
  <c r="BP1486" i="2"/>
  <c r="BP1487" i="2"/>
  <c r="BP1488" i="2"/>
  <c r="BP1489" i="2"/>
  <c r="BP1490" i="2"/>
  <c r="BP1491" i="2"/>
  <c r="BP1492" i="2"/>
  <c r="BP1493" i="2"/>
  <c r="BP1494" i="2"/>
  <c r="BP1495" i="2"/>
  <c r="BP1496" i="2"/>
  <c r="BP1497" i="2"/>
  <c r="BP1498" i="2"/>
  <c r="BP1499" i="2"/>
  <c r="BP1500" i="2"/>
  <c r="BP1501" i="2"/>
  <c r="BP1502" i="2"/>
  <c r="BP1503" i="2"/>
  <c r="BP1504" i="2"/>
  <c r="BP1505" i="2"/>
  <c r="BP1506" i="2"/>
  <c r="BP1507" i="2"/>
  <c r="BP1508" i="2"/>
  <c r="BP1509" i="2"/>
  <c r="BP1510" i="2"/>
  <c r="BP1511" i="2"/>
  <c r="BP1512" i="2"/>
  <c r="BP1513" i="2"/>
  <c r="BP1514" i="2"/>
  <c r="BP1515" i="2"/>
  <c r="BP1516" i="2"/>
  <c r="BP1517" i="2"/>
  <c r="BP1518" i="2"/>
  <c r="BP1519" i="2"/>
  <c r="BP1520" i="2"/>
  <c r="BP1521" i="2"/>
  <c r="BP1522" i="2"/>
  <c r="BP1523" i="2"/>
  <c r="BP1524" i="2"/>
  <c r="BP1525" i="2"/>
  <c r="BP1526" i="2"/>
  <c r="BP1527" i="2"/>
  <c r="BP1528" i="2"/>
  <c r="BP1529" i="2"/>
  <c r="BP1530" i="2"/>
  <c r="BP1531" i="2"/>
  <c r="BP1532" i="2"/>
  <c r="BP1533" i="2"/>
  <c r="BP1534" i="2"/>
  <c r="BP1535" i="2"/>
  <c r="BP1536" i="2"/>
  <c r="BP1537" i="2"/>
  <c r="BP1538" i="2"/>
  <c r="BP1539" i="2"/>
  <c r="BP1540" i="2"/>
  <c r="BP1541" i="2"/>
  <c r="BP1542" i="2"/>
  <c r="BP1543" i="2"/>
  <c r="BP1544" i="2"/>
  <c r="BP1545" i="2"/>
  <c r="BP1546" i="2"/>
  <c r="BP1547" i="2"/>
  <c r="BP1548" i="2"/>
  <c r="BP1549" i="2"/>
  <c r="BP1550" i="2"/>
  <c r="BP1551" i="2"/>
  <c r="BP1552" i="2"/>
  <c r="BP1553" i="2"/>
  <c r="BP1554" i="2"/>
  <c r="BP1555" i="2"/>
  <c r="BP1556" i="2"/>
  <c r="BP1557" i="2"/>
  <c r="BP1558" i="2"/>
  <c r="BP1559" i="2"/>
  <c r="BP1560" i="2"/>
  <c r="BP1561" i="2"/>
  <c r="BP1562" i="2"/>
  <c r="BP1563" i="2"/>
  <c r="BP1564" i="2"/>
  <c r="BP1565" i="2"/>
  <c r="BP1566" i="2"/>
  <c r="BP1567" i="2"/>
  <c r="BP1568" i="2"/>
  <c r="BP1569" i="2"/>
  <c r="BP1570" i="2"/>
  <c r="BP1571" i="2"/>
  <c r="BP1572" i="2"/>
  <c r="BP1573" i="2"/>
  <c r="BP1574" i="2"/>
  <c r="BP1575" i="2"/>
  <c r="BP1576" i="2"/>
  <c r="BP1577" i="2"/>
  <c r="BP1578" i="2"/>
  <c r="BP1579" i="2"/>
  <c r="BP1580" i="2"/>
  <c r="BP1581" i="2"/>
  <c r="BP1582" i="2"/>
  <c r="BP1583" i="2"/>
  <c r="BP1584" i="2"/>
  <c r="BP1585" i="2"/>
  <c r="BP1586" i="2"/>
  <c r="BP1587" i="2"/>
  <c r="BP1588" i="2"/>
  <c r="BP1589" i="2"/>
  <c r="BP1590" i="2"/>
  <c r="BP1591" i="2"/>
  <c r="BP1592" i="2"/>
  <c r="BP1593" i="2"/>
  <c r="BP1594" i="2"/>
  <c r="BP1595" i="2"/>
  <c r="BP1596" i="2"/>
  <c r="BP1597" i="2"/>
  <c r="BP1598" i="2"/>
  <c r="BP1599" i="2"/>
  <c r="BP1600" i="2"/>
  <c r="BP1601" i="2"/>
  <c r="BP1602" i="2"/>
  <c r="BP1603" i="2"/>
  <c r="BP1604" i="2"/>
  <c r="BP1605" i="2"/>
  <c r="BP1606" i="2"/>
  <c r="BP1607" i="2"/>
  <c r="BP1608" i="2"/>
  <c r="BP1609" i="2"/>
  <c r="BP1610" i="2"/>
  <c r="BP1611" i="2"/>
  <c r="BP1612" i="2"/>
  <c r="BP1613" i="2"/>
  <c r="BP1614" i="2"/>
  <c r="BP1615" i="2"/>
  <c r="BP1616" i="2"/>
  <c r="BP1617" i="2"/>
  <c r="BP1618" i="2"/>
  <c r="BP1619" i="2"/>
  <c r="BP1620" i="2"/>
  <c r="BP1621" i="2"/>
  <c r="BP1622" i="2"/>
  <c r="BP1623" i="2"/>
  <c r="BP1624" i="2"/>
  <c r="BP1625" i="2"/>
  <c r="BP1626" i="2"/>
  <c r="BP1627" i="2"/>
  <c r="BP1628" i="2"/>
  <c r="BP1629" i="2"/>
  <c r="BP1630" i="2"/>
  <c r="BP1631" i="2"/>
  <c r="BP1632" i="2"/>
  <c r="BP1633" i="2"/>
  <c r="BP1634" i="2"/>
  <c r="BP1635" i="2"/>
  <c r="BP1636" i="2"/>
  <c r="BP1637" i="2"/>
  <c r="BP1638" i="2"/>
  <c r="BP1639" i="2"/>
  <c r="BP1640" i="2"/>
  <c r="BP1641" i="2"/>
  <c r="BP1642" i="2"/>
  <c r="BP1643" i="2"/>
  <c r="BP1644" i="2"/>
  <c r="BP1645" i="2"/>
  <c r="BP1646" i="2"/>
  <c r="BP1647" i="2"/>
  <c r="BP1648" i="2"/>
  <c r="BP1649" i="2"/>
  <c r="BP1650" i="2"/>
  <c r="BP1651" i="2"/>
  <c r="BP1652" i="2"/>
  <c r="BP1653" i="2"/>
  <c r="BP1654" i="2"/>
  <c r="BP1655" i="2"/>
  <c r="BP1656" i="2"/>
  <c r="BP1657" i="2"/>
  <c r="BP1658" i="2"/>
  <c r="BP1659" i="2"/>
  <c r="BP1660" i="2"/>
  <c r="BP1661" i="2"/>
  <c r="BP1662" i="2"/>
  <c r="BP1663" i="2"/>
  <c r="BP1664" i="2"/>
  <c r="BP1665" i="2"/>
  <c r="BP1666" i="2"/>
  <c r="BP1667" i="2"/>
  <c r="BP1668" i="2"/>
  <c r="BP1669" i="2"/>
  <c r="BP1670" i="2"/>
  <c r="BP1671" i="2"/>
  <c r="BP1672" i="2"/>
  <c r="BP1673" i="2"/>
  <c r="BP1674" i="2"/>
  <c r="BP1675" i="2"/>
  <c r="BP1676" i="2"/>
  <c r="BP1677" i="2"/>
  <c r="BP1678" i="2"/>
  <c r="BP1679" i="2"/>
  <c r="BP1680" i="2"/>
  <c r="BP1681" i="2"/>
  <c r="BP1682" i="2"/>
  <c r="BP1683" i="2"/>
  <c r="BP1684" i="2"/>
  <c r="BP1685" i="2"/>
  <c r="BP1686" i="2"/>
  <c r="BP1687" i="2"/>
  <c r="BP1688" i="2"/>
  <c r="BP1689" i="2"/>
  <c r="BP1690" i="2"/>
  <c r="BP1691" i="2"/>
  <c r="BP1692" i="2"/>
  <c r="BP1693" i="2"/>
  <c r="BP1694" i="2"/>
  <c r="BP1695" i="2"/>
  <c r="BP1696" i="2"/>
  <c r="BP1697" i="2"/>
  <c r="BP1698" i="2"/>
  <c r="BP1699" i="2"/>
  <c r="BP1700" i="2"/>
  <c r="BP1701" i="2"/>
  <c r="BP1702" i="2"/>
  <c r="BP1703" i="2"/>
  <c r="BP1704" i="2"/>
  <c r="BP1705" i="2"/>
  <c r="BP1706" i="2"/>
  <c r="BP1707" i="2"/>
  <c r="BP1708" i="2"/>
  <c r="BP1709" i="2"/>
  <c r="BP1710" i="2"/>
  <c r="BP1711" i="2"/>
  <c r="BP1712" i="2"/>
  <c r="BP1713" i="2"/>
  <c r="BP1714" i="2"/>
  <c r="BP1715" i="2"/>
  <c r="BP1716" i="2"/>
  <c r="BP1717" i="2"/>
  <c r="BP1718" i="2"/>
  <c r="BP1719" i="2"/>
  <c r="BP1720" i="2"/>
  <c r="BP1721" i="2"/>
  <c r="BP1722" i="2"/>
  <c r="BP1723" i="2"/>
  <c r="BP1724" i="2"/>
  <c r="BP1725" i="2"/>
  <c r="BP1726" i="2"/>
  <c r="BP1727" i="2"/>
  <c r="BP1728" i="2"/>
  <c r="BP1729" i="2"/>
  <c r="BP1730" i="2"/>
  <c r="BP1731" i="2"/>
  <c r="BP1732" i="2"/>
  <c r="BP1733" i="2"/>
  <c r="BP1734" i="2"/>
  <c r="BP1735" i="2"/>
  <c r="BP1736" i="2"/>
  <c r="BP1737" i="2"/>
  <c r="BP1738" i="2"/>
  <c r="BP1739" i="2"/>
  <c r="BP1740" i="2"/>
  <c r="BP1741" i="2"/>
  <c r="BP1742" i="2"/>
  <c r="BP1743" i="2"/>
  <c r="BP1744" i="2"/>
  <c r="BP1745" i="2"/>
  <c r="BP1746" i="2"/>
  <c r="BP1747" i="2"/>
  <c r="BP1748" i="2"/>
  <c r="BP1749" i="2"/>
  <c r="BP1750" i="2"/>
  <c r="BP1751" i="2"/>
  <c r="BP1752" i="2"/>
  <c r="BP1753" i="2"/>
  <c r="BP1754" i="2"/>
  <c r="BP1755" i="2"/>
  <c r="BP1756" i="2"/>
  <c r="BP1757" i="2"/>
  <c r="BP1758" i="2"/>
  <c r="BP1759" i="2"/>
  <c r="BP1760" i="2"/>
  <c r="BP1761" i="2"/>
  <c r="BP1762" i="2"/>
  <c r="BP1763" i="2"/>
  <c r="BP1764" i="2"/>
  <c r="BP1765" i="2"/>
  <c r="BP1766" i="2"/>
  <c r="BP1767" i="2"/>
  <c r="BP1768" i="2"/>
  <c r="BP1769" i="2"/>
  <c r="BP1770" i="2"/>
  <c r="BP1771" i="2"/>
  <c r="BP1772" i="2"/>
  <c r="BP1773" i="2"/>
  <c r="BP1774" i="2"/>
  <c r="BP1775" i="2"/>
  <c r="BP1776" i="2"/>
  <c r="BP1777" i="2"/>
  <c r="BP1778" i="2"/>
  <c r="BP1779" i="2"/>
  <c r="BP1780" i="2"/>
  <c r="BP1781" i="2"/>
  <c r="BP1782" i="2"/>
  <c r="BP1783" i="2"/>
  <c r="BP1784" i="2"/>
  <c r="BP1785" i="2"/>
  <c r="BP1786" i="2"/>
  <c r="BP1787" i="2"/>
  <c r="BP1788" i="2"/>
  <c r="BP1789" i="2"/>
  <c r="BP1790" i="2"/>
  <c r="BP1791" i="2"/>
  <c r="BP1792" i="2"/>
  <c r="BP1793" i="2"/>
  <c r="BP1794" i="2"/>
  <c r="BP1795" i="2"/>
  <c r="BP1796" i="2"/>
  <c r="BP1797" i="2"/>
  <c r="BP1798" i="2"/>
  <c r="BP1799" i="2"/>
  <c r="BP1800" i="2"/>
  <c r="BP1801" i="2"/>
  <c r="BP1802" i="2"/>
  <c r="BP1803" i="2"/>
  <c r="BP1804" i="2"/>
  <c r="BP1805" i="2"/>
  <c r="BP1806" i="2"/>
  <c r="BP1807" i="2"/>
  <c r="BP1808" i="2"/>
  <c r="BP1809" i="2"/>
  <c r="BP1810" i="2"/>
  <c r="BP1811" i="2"/>
  <c r="BP1812" i="2"/>
  <c r="BP1813" i="2"/>
  <c r="BP1814" i="2"/>
  <c r="BP1815" i="2"/>
  <c r="BP1816" i="2"/>
  <c r="BP1817" i="2"/>
  <c r="BP1818" i="2"/>
  <c r="BP1819" i="2"/>
  <c r="BP1820" i="2"/>
  <c r="BP1821" i="2"/>
  <c r="BP1822" i="2"/>
  <c r="BP1823" i="2"/>
  <c r="BP1824" i="2"/>
  <c r="BP1825" i="2"/>
  <c r="BP1826" i="2"/>
  <c r="BP1827" i="2"/>
  <c r="BP1828" i="2"/>
  <c r="BP1829" i="2"/>
  <c r="BP1830" i="2"/>
  <c r="BP1831" i="2"/>
  <c r="BP1832" i="2"/>
  <c r="BP1833" i="2"/>
  <c r="BP1834" i="2"/>
  <c r="BP1835" i="2"/>
  <c r="BP1836" i="2"/>
  <c r="BP1837" i="2"/>
  <c r="BP1838" i="2"/>
  <c r="BP1839" i="2"/>
  <c r="BP1840" i="2"/>
  <c r="BP1841" i="2"/>
  <c r="BP1842" i="2"/>
  <c r="BP1843" i="2"/>
  <c r="BP1844" i="2"/>
  <c r="BP1845" i="2"/>
  <c r="BP1846" i="2"/>
  <c r="BP1847" i="2"/>
  <c r="BP1848" i="2"/>
  <c r="BP1849" i="2"/>
  <c r="BP1850" i="2"/>
  <c r="BP1851" i="2"/>
  <c r="BP1852" i="2"/>
  <c r="BP1853" i="2"/>
  <c r="BP1854" i="2"/>
  <c r="BP1855" i="2"/>
  <c r="BP1856" i="2"/>
  <c r="BP1857" i="2"/>
  <c r="BP1858" i="2"/>
  <c r="BP1859" i="2"/>
  <c r="BP1860" i="2"/>
  <c r="BP1861" i="2"/>
  <c r="BP1862" i="2"/>
  <c r="BP1863" i="2"/>
  <c r="BP1864" i="2"/>
  <c r="BP1865" i="2"/>
  <c r="BP1866" i="2"/>
  <c r="BP1867" i="2"/>
  <c r="BP1868" i="2"/>
  <c r="BP1869" i="2"/>
  <c r="BP1870" i="2"/>
  <c r="BP1871" i="2"/>
  <c r="BP1872" i="2"/>
  <c r="BP1873" i="2"/>
  <c r="BP1874" i="2"/>
  <c r="BP1875" i="2"/>
  <c r="BP1876" i="2"/>
  <c r="BP1877" i="2"/>
  <c r="BP1878" i="2"/>
  <c r="BP1879" i="2"/>
  <c r="BP1880" i="2"/>
  <c r="BP1881" i="2"/>
  <c r="BP1882" i="2"/>
  <c r="BP1883" i="2"/>
  <c r="BP1884" i="2"/>
  <c r="BP1885" i="2"/>
  <c r="BP1886" i="2"/>
  <c r="BP1887" i="2"/>
  <c r="BP1888" i="2"/>
  <c r="BP1889" i="2"/>
  <c r="BP1890" i="2"/>
  <c r="BP1891" i="2"/>
  <c r="BP1892" i="2"/>
  <c r="BP1893" i="2"/>
  <c r="BP1894" i="2"/>
  <c r="BP1895" i="2"/>
  <c r="BP1896" i="2"/>
  <c r="BP1897" i="2"/>
  <c r="BP1898" i="2"/>
  <c r="BP1899" i="2"/>
  <c r="BP1900" i="2"/>
  <c r="BP1901" i="2"/>
  <c r="BP1902" i="2"/>
  <c r="BP1903" i="2"/>
  <c r="BP1904" i="2"/>
  <c r="BP1905" i="2"/>
  <c r="BP1906" i="2"/>
  <c r="BP1907" i="2"/>
  <c r="BP1908" i="2"/>
  <c r="BP1909" i="2"/>
  <c r="BP1910" i="2"/>
  <c r="BP1911" i="2"/>
  <c r="BP1912" i="2"/>
  <c r="BP1913" i="2"/>
  <c r="BP1914" i="2"/>
  <c r="BP1915" i="2"/>
  <c r="BP1916" i="2"/>
  <c r="BP1917" i="2"/>
  <c r="BP1918" i="2"/>
  <c r="BP1919" i="2"/>
  <c r="BP1920" i="2"/>
  <c r="BP1921" i="2"/>
  <c r="BP1922" i="2"/>
  <c r="BP1923" i="2"/>
  <c r="BP1924" i="2"/>
  <c r="BP1925" i="2"/>
  <c r="BP1926" i="2"/>
  <c r="BP1927" i="2"/>
  <c r="BP1928" i="2"/>
  <c r="BP1929" i="2"/>
  <c r="BP1930" i="2"/>
  <c r="BP1931" i="2"/>
  <c r="BP1932" i="2"/>
  <c r="BP1933" i="2"/>
  <c r="BP1934" i="2"/>
  <c r="BP1935" i="2"/>
  <c r="BP1936" i="2"/>
  <c r="BP1937" i="2"/>
  <c r="BP1938" i="2"/>
  <c r="BP1939" i="2"/>
  <c r="BP1940" i="2"/>
  <c r="BP1941" i="2"/>
  <c r="BP1942" i="2"/>
  <c r="BP1943" i="2"/>
  <c r="BP1944" i="2"/>
  <c r="BP1945" i="2"/>
  <c r="BP1946" i="2"/>
  <c r="BP1947" i="2"/>
  <c r="BP1948" i="2"/>
  <c r="BP1949" i="2"/>
  <c r="BP1950" i="2"/>
  <c r="BP1951" i="2"/>
  <c r="BP1952" i="2"/>
  <c r="BP1953" i="2"/>
  <c r="BP1954" i="2"/>
  <c r="BP1955" i="2"/>
  <c r="BP1956" i="2"/>
  <c r="BP1957" i="2"/>
  <c r="BP1958" i="2"/>
  <c r="BP1959" i="2"/>
  <c r="BP1960" i="2"/>
  <c r="BP1961" i="2"/>
  <c r="BP1962" i="2"/>
  <c r="BP1963" i="2"/>
  <c r="BP1964" i="2"/>
  <c r="BP1965" i="2"/>
  <c r="BP1966" i="2"/>
  <c r="BP1967" i="2"/>
  <c r="BP1968" i="2"/>
  <c r="BP1969" i="2"/>
  <c r="BP1970" i="2"/>
  <c r="BP1971" i="2"/>
  <c r="BP1972" i="2"/>
  <c r="BP1973" i="2"/>
  <c r="BP1974" i="2"/>
  <c r="BP1975" i="2"/>
  <c r="BP1976" i="2"/>
  <c r="BP1977" i="2"/>
  <c r="BP1978" i="2"/>
  <c r="BP1979" i="2"/>
  <c r="BP1980" i="2"/>
  <c r="BP1981" i="2"/>
  <c r="BP1982" i="2"/>
  <c r="BP1983" i="2"/>
  <c r="BP1984" i="2"/>
  <c r="BP1985" i="2"/>
  <c r="BP1986" i="2"/>
  <c r="BP1987" i="2"/>
  <c r="BP1988" i="2"/>
  <c r="BP1989" i="2"/>
  <c r="BP1990" i="2"/>
  <c r="BP1991" i="2"/>
  <c r="BP1992" i="2"/>
  <c r="BP1993" i="2"/>
  <c r="BP1994" i="2"/>
  <c r="BP1995" i="2"/>
  <c r="BP1996" i="2"/>
  <c r="BP1997" i="2"/>
  <c r="BP1998" i="2"/>
  <c r="BP1999" i="2"/>
  <c r="BP2000" i="2"/>
  <c r="BP2001" i="2"/>
  <c r="BP2002" i="2"/>
  <c r="BP2003" i="2"/>
  <c r="BP2004" i="2"/>
  <c r="BP2005" i="2"/>
  <c r="BP2006" i="2"/>
  <c r="BP2007" i="2"/>
  <c r="BP2008" i="2"/>
  <c r="BP2009" i="2"/>
  <c r="BP2010" i="2"/>
  <c r="BP2011" i="2"/>
  <c r="BP2012" i="2"/>
  <c r="BP2013" i="2"/>
  <c r="BP2014" i="2"/>
  <c r="BP2015" i="2"/>
  <c r="BP2016" i="2"/>
  <c r="BP2017" i="2"/>
  <c r="BP2018" i="2"/>
  <c r="BP2019" i="2"/>
  <c r="BP2020" i="2"/>
  <c r="BP2021" i="2"/>
  <c r="BP2022" i="2"/>
  <c r="BP2023" i="2"/>
  <c r="BP2024" i="2"/>
  <c r="BP2025" i="2"/>
  <c r="BP2026" i="2"/>
  <c r="BP2027" i="2"/>
  <c r="BP2028" i="2"/>
  <c r="BP2029" i="2"/>
  <c r="BP2030" i="2"/>
  <c r="BP2031" i="2"/>
  <c r="BP2032" i="2"/>
  <c r="BP2033" i="2"/>
  <c r="BP2034" i="2"/>
  <c r="BP2035" i="2"/>
  <c r="BP2036" i="2"/>
  <c r="BP2037" i="2"/>
  <c r="BP2038" i="2"/>
  <c r="BP2039" i="2"/>
  <c r="BP2040" i="2"/>
  <c r="BP2041" i="2"/>
  <c r="BP2042" i="2"/>
  <c r="BP2043" i="2"/>
  <c r="BP2044" i="2"/>
  <c r="BP2045" i="2"/>
  <c r="BP2046" i="2"/>
  <c r="BP2047" i="2"/>
  <c r="BP2048" i="2"/>
  <c r="BP2049" i="2"/>
  <c r="BP2050" i="2"/>
  <c r="BP2051" i="2"/>
  <c r="BP2052" i="2"/>
  <c r="BP2053" i="2"/>
  <c r="BP2054" i="2"/>
  <c r="BP2055" i="2"/>
  <c r="BP2056" i="2"/>
  <c r="BP2057" i="2"/>
  <c r="BP2058" i="2"/>
  <c r="BP2059" i="2"/>
  <c r="BP2060" i="2"/>
  <c r="BP2061" i="2"/>
  <c r="BP2062" i="2"/>
  <c r="BP2063" i="2"/>
  <c r="BP2064" i="2"/>
  <c r="BP2065" i="2"/>
  <c r="BP2066" i="2"/>
  <c r="BP2067" i="2"/>
  <c r="BP2068" i="2"/>
  <c r="BP2069" i="2"/>
  <c r="BP2070" i="2"/>
  <c r="BP2071" i="2"/>
  <c r="BP2072" i="2"/>
  <c r="BP2073" i="2"/>
  <c r="BP2074" i="2"/>
  <c r="BP2075" i="2"/>
  <c r="BP2076" i="2"/>
  <c r="BP2077" i="2"/>
  <c r="BP2078" i="2"/>
  <c r="BP2079" i="2"/>
  <c r="BP2080" i="2"/>
  <c r="BP2081" i="2"/>
  <c r="BP2082" i="2"/>
  <c r="BP2083" i="2"/>
  <c r="BP2084" i="2"/>
  <c r="BP2085" i="2"/>
  <c r="BP2086" i="2"/>
  <c r="BP2087" i="2"/>
  <c r="BP2088" i="2"/>
  <c r="BP2089" i="2"/>
  <c r="BP2090" i="2"/>
  <c r="BP2091" i="2"/>
  <c r="BP2092" i="2"/>
  <c r="BP2093" i="2"/>
  <c r="BP2094" i="2"/>
  <c r="BP2095" i="2"/>
  <c r="BP2096" i="2"/>
  <c r="BP2097" i="2"/>
  <c r="BP2098" i="2"/>
  <c r="BP2099" i="2"/>
  <c r="BP2100" i="2"/>
  <c r="BP2101" i="2"/>
  <c r="BP2102" i="2"/>
  <c r="BP2103" i="2"/>
  <c r="BP2104" i="2"/>
  <c r="BP2105" i="2"/>
  <c r="BP2106" i="2"/>
  <c r="BP2107" i="2"/>
  <c r="BP2108" i="2"/>
  <c r="BP2109" i="2"/>
  <c r="BP2110" i="2"/>
  <c r="BP2111" i="2"/>
  <c r="BP2112" i="2"/>
  <c r="BP2113" i="2"/>
  <c r="BP2114" i="2"/>
  <c r="BP2115" i="2"/>
  <c r="BP2116" i="2"/>
  <c r="BP2117" i="2"/>
  <c r="BP2118" i="2"/>
  <c r="BP2119" i="2"/>
  <c r="BP2120" i="2"/>
  <c r="BP2121" i="2"/>
  <c r="BP2122" i="2"/>
  <c r="BP2123" i="2"/>
  <c r="BP2124" i="2"/>
  <c r="BP2125" i="2"/>
  <c r="BP2126" i="2"/>
  <c r="BP2127" i="2"/>
  <c r="BP2128" i="2"/>
  <c r="BP2129" i="2"/>
  <c r="BP2130" i="2"/>
  <c r="BP2131" i="2"/>
  <c r="BP2132" i="2"/>
  <c r="BP2" i="2"/>
  <c r="BG3" i="2"/>
  <c r="BH3" i="2" s="1"/>
  <c r="BG4" i="2"/>
  <c r="BH4" i="2" s="1"/>
  <c r="BG5" i="2"/>
  <c r="BH5" i="2" s="1"/>
  <c r="BG6" i="2"/>
  <c r="BH6" i="2" s="1"/>
  <c r="BG7" i="2"/>
  <c r="BH7" i="2" s="1"/>
  <c r="BG8" i="2"/>
  <c r="BH8" i="2" s="1"/>
  <c r="BG9" i="2"/>
  <c r="BH9" i="2" s="1"/>
  <c r="BG10" i="2"/>
  <c r="BH10" i="2" s="1"/>
  <c r="BG11" i="2"/>
  <c r="BH11" i="2" s="1"/>
  <c r="BG12" i="2"/>
  <c r="BH12" i="2" s="1"/>
  <c r="BG13" i="2"/>
  <c r="BH13" i="2" s="1"/>
  <c r="BG14" i="2"/>
  <c r="BH14" i="2" s="1"/>
  <c r="BG15" i="2"/>
  <c r="BH15" i="2" s="1"/>
  <c r="BG16" i="2"/>
  <c r="BH16" i="2" s="1"/>
  <c r="BG17" i="2"/>
  <c r="BH17" i="2" s="1"/>
  <c r="BG18" i="2"/>
  <c r="BH18" i="2" s="1"/>
  <c r="BG19" i="2"/>
  <c r="BH19" i="2" s="1"/>
  <c r="BG20" i="2"/>
  <c r="BH20" i="2" s="1"/>
  <c r="BG21" i="2"/>
  <c r="BH21" i="2" s="1"/>
  <c r="BG22" i="2"/>
  <c r="BH22" i="2" s="1"/>
  <c r="BG23" i="2"/>
  <c r="BH23" i="2" s="1"/>
  <c r="BG24" i="2"/>
  <c r="BH24" i="2" s="1"/>
  <c r="BG25" i="2"/>
  <c r="BH25" i="2" s="1"/>
  <c r="BG26" i="2"/>
  <c r="BH26" i="2" s="1"/>
  <c r="BG27" i="2"/>
  <c r="BH27" i="2" s="1"/>
  <c r="BG28" i="2"/>
  <c r="BH28" i="2" s="1"/>
  <c r="BG29" i="2"/>
  <c r="BH29" i="2" s="1"/>
  <c r="BG30" i="2"/>
  <c r="BH30" i="2" s="1"/>
  <c r="BG31" i="2"/>
  <c r="BH31" i="2" s="1"/>
  <c r="BG32" i="2"/>
  <c r="BH32" i="2" s="1"/>
  <c r="BG33" i="2"/>
  <c r="BH33" i="2" s="1"/>
  <c r="BG34" i="2"/>
  <c r="BH34" i="2" s="1"/>
  <c r="BG35" i="2"/>
  <c r="BH35" i="2" s="1"/>
  <c r="BG36" i="2"/>
  <c r="BH36" i="2" s="1"/>
  <c r="BG37" i="2"/>
  <c r="BH37" i="2" s="1"/>
  <c r="BG38" i="2"/>
  <c r="BH38" i="2" s="1"/>
  <c r="BG39" i="2"/>
  <c r="BH39" i="2" s="1"/>
  <c r="BG40" i="2"/>
  <c r="BH40" i="2" s="1"/>
  <c r="BG41" i="2"/>
  <c r="BH41" i="2" s="1"/>
  <c r="BG42" i="2"/>
  <c r="BH42" i="2" s="1"/>
  <c r="BG43" i="2"/>
  <c r="BH43" i="2" s="1"/>
  <c r="BG44" i="2"/>
  <c r="BH44" i="2" s="1"/>
  <c r="BG45" i="2"/>
  <c r="BH45" i="2" s="1"/>
  <c r="BG46" i="2"/>
  <c r="BH46" i="2" s="1"/>
  <c r="BG47" i="2"/>
  <c r="BH47" i="2" s="1"/>
  <c r="BG48" i="2"/>
  <c r="BH48" i="2" s="1"/>
  <c r="BG49" i="2"/>
  <c r="BH49" i="2" s="1"/>
  <c r="BG50" i="2"/>
  <c r="BH50" i="2" s="1"/>
  <c r="BG51" i="2"/>
  <c r="BH51" i="2" s="1"/>
  <c r="BG52" i="2"/>
  <c r="BH52" i="2" s="1"/>
  <c r="BG53" i="2"/>
  <c r="BH53" i="2" s="1"/>
  <c r="BG54" i="2"/>
  <c r="BH54" i="2" s="1"/>
  <c r="BG55" i="2"/>
  <c r="BH55" i="2" s="1"/>
  <c r="BG56" i="2"/>
  <c r="BH56" i="2" s="1"/>
  <c r="BG57" i="2"/>
  <c r="BH57" i="2" s="1"/>
  <c r="BG58" i="2"/>
  <c r="BH58" i="2" s="1"/>
  <c r="BG59" i="2"/>
  <c r="BH59" i="2" s="1"/>
  <c r="BG60" i="2"/>
  <c r="BH60" i="2" s="1"/>
  <c r="BG61" i="2"/>
  <c r="BH61" i="2" s="1"/>
  <c r="BG62" i="2"/>
  <c r="BH62" i="2" s="1"/>
  <c r="BG63" i="2"/>
  <c r="BH63" i="2" s="1"/>
  <c r="BG64" i="2"/>
  <c r="BH64" i="2" s="1"/>
  <c r="BG65" i="2"/>
  <c r="BH65" i="2" s="1"/>
  <c r="BG66" i="2"/>
  <c r="BH66" i="2" s="1"/>
  <c r="BG67" i="2"/>
  <c r="BH67" i="2" s="1"/>
  <c r="BG68" i="2"/>
  <c r="BH68" i="2" s="1"/>
  <c r="BG69" i="2"/>
  <c r="BH69" i="2" s="1"/>
  <c r="BG70" i="2"/>
  <c r="BH70" i="2" s="1"/>
  <c r="BG71" i="2"/>
  <c r="BH71" i="2" s="1"/>
  <c r="BG72" i="2"/>
  <c r="BH72" i="2" s="1"/>
  <c r="BG73" i="2"/>
  <c r="BH73" i="2" s="1"/>
  <c r="BG74" i="2"/>
  <c r="BH74" i="2" s="1"/>
  <c r="BG75" i="2"/>
  <c r="BH75" i="2" s="1"/>
  <c r="BG76" i="2"/>
  <c r="BH76" i="2" s="1"/>
  <c r="BG77" i="2"/>
  <c r="BH77" i="2" s="1"/>
  <c r="BG78" i="2"/>
  <c r="BH78" i="2" s="1"/>
  <c r="BG79" i="2"/>
  <c r="BH79" i="2" s="1"/>
  <c r="BG80" i="2"/>
  <c r="BH80" i="2" s="1"/>
  <c r="BG81" i="2"/>
  <c r="BH81" i="2" s="1"/>
  <c r="BG82" i="2"/>
  <c r="BH82" i="2" s="1"/>
  <c r="BG83" i="2"/>
  <c r="BH83" i="2" s="1"/>
  <c r="BG84" i="2"/>
  <c r="BH84" i="2" s="1"/>
  <c r="BG85" i="2"/>
  <c r="BH85" i="2" s="1"/>
  <c r="BG86" i="2"/>
  <c r="BH86" i="2" s="1"/>
  <c r="BG87" i="2"/>
  <c r="BH87" i="2" s="1"/>
  <c r="BG88" i="2"/>
  <c r="BH88" i="2" s="1"/>
  <c r="BG89" i="2"/>
  <c r="BH89" i="2" s="1"/>
  <c r="BG90" i="2"/>
  <c r="BH90" i="2" s="1"/>
  <c r="BG91" i="2"/>
  <c r="BH91" i="2" s="1"/>
  <c r="BG92" i="2"/>
  <c r="BH92" i="2" s="1"/>
  <c r="BG93" i="2"/>
  <c r="BH93" i="2" s="1"/>
  <c r="BG94" i="2"/>
  <c r="BH94" i="2" s="1"/>
  <c r="BG95" i="2"/>
  <c r="BH95" i="2" s="1"/>
  <c r="BG96" i="2"/>
  <c r="BH96" i="2" s="1"/>
  <c r="BG97" i="2"/>
  <c r="BH97" i="2" s="1"/>
  <c r="BG98" i="2"/>
  <c r="BH98" i="2" s="1"/>
  <c r="BG99" i="2"/>
  <c r="BH99" i="2" s="1"/>
  <c r="BG100" i="2"/>
  <c r="BH100" i="2" s="1"/>
  <c r="BG101" i="2"/>
  <c r="BH101" i="2" s="1"/>
  <c r="BG102" i="2"/>
  <c r="BH102" i="2" s="1"/>
  <c r="BG103" i="2"/>
  <c r="BH103" i="2" s="1"/>
  <c r="BG104" i="2"/>
  <c r="BH104" i="2" s="1"/>
  <c r="BG105" i="2"/>
  <c r="BH105" i="2" s="1"/>
  <c r="BG106" i="2"/>
  <c r="BH106" i="2" s="1"/>
  <c r="BG107" i="2"/>
  <c r="BH107" i="2" s="1"/>
  <c r="BG108" i="2"/>
  <c r="BH108" i="2" s="1"/>
  <c r="BG109" i="2"/>
  <c r="BH109" i="2" s="1"/>
  <c r="BG110" i="2"/>
  <c r="BH110" i="2" s="1"/>
  <c r="BG111" i="2"/>
  <c r="BH111" i="2" s="1"/>
  <c r="BG112" i="2"/>
  <c r="BH112" i="2" s="1"/>
  <c r="BG113" i="2"/>
  <c r="BH113" i="2" s="1"/>
  <c r="BG114" i="2"/>
  <c r="BH114" i="2" s="1"/>
  <c r="BG115" i="2"/>
  <c r="BH115" i="2" s="1"/>
  <c r="BG116" i="2"/>
  <c r="BH116" i="2" s="1"/>
  <c r="BG117" i="2"/>
  <c r="BH117" i="2" s="1"/>
  <c r="BG118" i="2"/>
  <c r="BH118" i="2" s="1"/>
  <c r="BG119" i="2"/>
  <c r="BH119" i="2" s="1"/>
  <c r="BG120" i="2"/>
  <c r="BH120" i="2" s="1"/>
  <c r="BG121" i="2"/>
  <c r="BH121" i="2" s="1"/>
  <c r="BG122" i="2"/>
  <c r="BH122" i="2" s="1"/>
  <c r="BG123" i="2"/>
  <c r="BH123" i="2" s="1"/>
  <c r="BG124" i="2"/>
  <c r="BH124" i="2" s="1"/>
  <c r="BG125" i="2"/>
  <c r="BH125" i="2" s="1"/>
  <c r="BG126" i="2"/>
  <c r="BH126" i="2" s="1"/>
  <c r="BG127" i="2"/>
  <c r="BH127" i="2" s="1"/>
  <c r="BG128" i="2"/>
  <c r="BH128" i="2" s="1"/>
  <c r="BG129" i="2"/>
  <c r="BH129" i="2" s="1"/>
  <c r="BG130" i="2"/>
  <c r="BH130" i="2" s="1"/>
  <c r="BG131" i="2"/>
  <c r="BH131" i="2" s="1"/>
  <c r="BG132" i="2"/>
  <c r="BH132" i="2" s="1"/>
  <c r="BG133" i="2"/>
  <c r="BH133" i="2" s="1"/>
  <c r="BG134" i="2"/>
  <c r="BH134" i="2" s="1"/>
  <c r="BG135" i="2"/>
  <c r="BH135" i="2" s="1"/>
  <c r="BG136" i="2"/>
  <c r="BH136" i="2" s="1"/>
  <c r="BG137" i="2"/>
  <c r="BH137" i="2" s="1"/>
  <c r="BG138" i="2"/>
  <c r="BH138" i="2" s="1"/>
  <c r="BG139" i="2"/>
  <c r="BH139" i="2" s="1"/>
  <c r="BG140" i="2"/>
  <c r="BH140" i="2" s="1"/>
  <c r="BG141" i="2"/>
  <c r="BH141" i="2" s="1"/>
  <c r="BG142" i="2"/>
  <c r="BH142" i="2" s="1"/>
  <c r="BG143" i="2"/>
  <c r="BH143" i="2" s="1"/>
  <c r="BG144" i="2"/>
  <c r="BH144" i="2" s="1"/>
  <c r="BG145" i="2"/>
  <c r="BH145" i="2" s="1"/>
  <c r="BG146" i="2"/>
  <c r="BH146" i="2" s="1"/>
  <c r="BG147" i="2"/>
  <c r="BH147" i="2" s="1"/>
  <c r="BG148" i="2"/>
  <c r="BH148" i="2" s="1"/>
  <c r="BG149" i="2"/>
  <c r="BH149" i="2" s="1"/>
  <c r="BG150" i="2"/>
  <c r="BH150" i="2" s="1"/>
  <c r="BG151" i="2"/>
  <c r="BH151" i="2" s="1"/>
  <c r="BG152" i="2"/>
  <c r="BH152" i="2" s="1"/>
  <c r="BG153" i="2"/>
  <c r="BH153" i="2" s="1"/>
  <c r="BG154" i="2"/>
  <c r="BH154" i="2" s="1"/>
  <c r="BG155" i="2"/>
  <c r="BH155" i="2" s="1"/>
  <c r="BG156" i="2"/>
  <c r="BH156" i="2" s="1"/>
  <c r="BG157" i="2"/>
  <c r="BH157" i="2" s="1"/>
  <c r="BG158" i="2"/>
  <c r="BH158" i="2" s="1"/>
  <c r="BG159" i="2"/>
  <c r="BH159" i="2" s="1"/>
  <c r="BG160" i="2"/>
  <c r="BH160" i="2" s="1"/>
  <c r="BG161" i="2"/>
  <c r="BH161" i="2" s="1"/>
  <c r="BG162" i="2"/>
  <c r="BH162" i="2" s="1"/>
  <c r="BG163" i="2"/>
  <c r="BH163" i="2" s="1"/>
  <c r="BG164" i="2"/>
  <c r="BH164" i="2" s="1"/>
  <c r="BG165" i="2"/>
  <c r="BH165" i="2" s="1"/>
  <c r="BG166" i="2"/>
  <c r="BH166" i="2" s="1"/>
  <c r="BG167" i="2"/>
  <c r="BH167" i="2" s="1"/>
  <c r="BG168" i="2"/>
  <c r="BH168" i="2" s="1"/>
  <c r="BG169" i="2"/>
  <c r="BH169" i="2" s="1"/>
  <c r="BG170" i="2"/>
  <c r="BH170" i="2" s="1"/>
  <c r="BG171" i="2"/>
  <c r="BH171" i="2" s="1"/>
  <c r="BG172" i="2"/>
  <c r="BH172" i="2" s="1"/>
  <c r="BG173" i="2"/>
  <c r="BH173" i="2" s="1"/>
  <c r="BG174" i="2"/>
  <c r="BH174" i="2" s="1"/>
  <c r="BG175" i="2"/>
  <c r="BH175" i="2" s="1"/>
  <c r="BG176" i="2"/>
  <c r="BH176" i="2" s="1"/>
  <c r="BG177" i="2"/>
  <c r="BH177" i="2" s="1"/>
  <c r="BG178" i="2"/>
  <c r="BH178" i="2" s="1"/>
  <c r="BG179" i="2"/>
  <c r="BH179" i="2" s="1"/>
  <c r="BG180" i="2"/>
  <c r="BH180" i="2" s="1"/>
  <c r="BG181" i="2"/>
  <c r="BH181" i="2" s="1"/>
  <c r="BG182" i="2"/>
  <c r="BH182" i="2" s="1"/>
  <c r="BG183" i="2"/>
  <c r="BH183" i="2" s="1"/>
  <c r="BG184" i="2"/>
  <c r="BH184" i="2" s="1"/>
  <c r="BG185" i="2"/>
  <c r="BH185" i="2" s="1"/>
  <c r="BG186" i="2"/>
  <c r="BH186" i="2" s="1"/>
  <c r="BG187" i="2"/>
  <c r="BH187" i="2" s="1"/>
  <c r="BG188" i="2"/>
  <c r="BH188" i="2" s="1"/>
  <c r="BG189" i="2"/>
  <c r="BH189" i="2" s="1"/>
  <c r="BG190" i="2"/>
  <c r="BH190" i="2" s="1"/>
  <c r="BG191" i="2"/>
  <c r="BH191" i="2" s="1"/>
  <c r="BG192" i="2"/>
  <c r="BH192" i="2" s="1"/>
  <c r="BG193" i="2"/>
  <c r="BH193" i="2" s="1"/>
  <c r="BG194" i="2"/>
  <c r="BH194" i="2" s="1"/>
  <c r="BG195" i="2"/>
  <c r="BH195" i="2" s="1"/>
  <c r="BG196" i="2"/>
  <c r="BH196" i="2" s="1"/>
  <c r="BG197" i="2"/>
  <c r="BH197" i="2" s="1"/>
  <c r="BG198" i="2"/>
  <c r="BH198" i="2" s="1"/>
  <c r="BG199" i="2"/>
  <c r="BH199" i="2" s="1"/>
  <c r="BG200" i="2"/>
  <c r="BH200" i="2" s="1"/>
  <c r="BG201" i="2"/>
  <c r="BH201" i="2" s="1"/>
  <c r="BG202" i="2"/>
  <c r="BH202" i="2" s="1"/>
  <c r="BG203" i="2"/>
  <c r="BH203" i="2" s="1"/>
  <c r="BG204" i="2"/>
  <c r="BH204" i="2" s="1"/>
  <c r="BG205" i="2"/>
  <c r="BH205" i="2" s="1"/>
  <c r="BG206" i="2"/>
  <c r="BH206" i="2" s="1"/>
  <c r="BG207" i="2"/>
  <c r="BH207" i="2" s="1"/>
  <c r="BG208" i="2"/>
  <c r="BH208" i="2" s="1"/>
  <c r="BG209" i="2"/>
  <c r="BH209" i="2" s="1"/>
  <c r="BG210" i="2"/>
  <c r="BH210" i="2" s="1"/>
  <c r="BG211" i="2"/>
  <c r="BH211" i="2" s="1"/>
  <c r="BG212" i="2"/>
  <c r="BH212" i="2" s="1"/>
  <c r="BG213" i="2"/>
  <c r="BH213" i="2" s="1"/>
  <c r="BG214" i="2"/>
  <c r="BH214" i="2" s="1"/>
  <c r="BG215" i="2"/>
  <c r="BH215" i="2" s="1"/>
  <c r="BG216" i="2"/>
  <c r="BH216" i="2" s="1"/>
  <c r="BG217" i="2"/>
  <c r="BH217" i="2" s="1"/>
  <c r="BG218" i="2"/>
  <c r="BH218" i="2" s="1"/>
  <c r="BG219" i="2"/>
  <c r="BH219" i="2" s="1"/>
  <c r="BG220" i="2"/>
  <c r="BH220" i="2" s="1"/>
  <c r="BG221" i="2"/>
  <c r="BH221" i="2" s="1"/>
  <c r="BG222" i="2"/>
  <c r="BH222" i="2" s="1"/>
  <c r="BG223" i="2"/>
  <c r="BH223" i="2" s="1"/>
  <c r="BG224" i="2"/>
  <c r="BH224" i="2" s="1"/>
  <c r="BG225" i="2"/>
  <c r="BH225" i="2" s="1"/>
  <c r="BG226" i="2"/>
  <c r="BH226" i="2" s="1"/>
  <c r="BG227" i="2"/>
  <c r="BH227" i="2" s="1"/>
  <c r="BG228" i="2"/>
  <c r="BH228" i="2" s="1"/>
  <c r="BG229" i="2"/>
  <c r="BH229" i="2" s="1"/>
  <c r="BG230" i="2"/>
  <c r="BH230" i="2" s="1"/>
  <c r="BG231" i="2"/>
  <c r="BH231" i="2" s="1"/>
  <c r="BG232" i="2"/>
  <c r="BH232" i="2" s="1"/>
  <c r="BG233" i="2"/>
  <c r="BH233" i="2" s="1"/>
  <c r="BG234" i="2"/>
  <c r="BH234" i="2" s="1"/>
  <c r="BG235" i="2"/>
  <c r="BH235" i="2" s="1"/>
  <c r="BG236" i="2"/>
  <c r="BH236" i="2" s="1"/>
  <c r="BG237" i="2"/>
  <c r="BH237" i="2" s="1"/>
  <c r="BG238" i="2"/>
  <c r="BH238" i="2" s="1"/>
  <c r="BG239" i="2"/>
  <c r="BH239" i="2" s="1"/>
  <c r="BG240" i="2"/>
  <c r="BH240" i="2" s="1"/>
  <c r="BG241" i="2"/>
  <c r="BH241" i="2" s="1"/>
  <c r="BG242" i="2"/>
  <c r="BH242" i="2" s="1"/>
  <c r="BG243" i="2"/>
  <c r="BH243" i="2" s="1"/>
  <c r="BG244" i="2"/>
  <c r="BH244" i="2" s="1"/>
  <c r="BG245" i="2"/>
  <c r="BH245" i="2" s="1"/>
  <c r="BG246" i="2"/>
  <c r="BH246" i="2" s="1"/>
  <c r="BG247" i="2"/>
  <c r="BH247" i="2" s="1"/>
  <c r="BG248" i="2"/>
  <c r="BH248" i="2" s="1"/>
  <c r="BG249" i="2"/>
  <c r="BH249" i="2" s="1"/>
  <c r="BG250" i="2"/>
  <c r="BH250" i="2" s="1"/>
  <c r="BG251" i="2"/>
  <c r="BH251" i="2" s="1"/>
  <c r="BG252" i="2"/>
  <c r="BH252" i="2" s="1"/>
  <c r="BG253" i="2"/>
  <c r="BH253" i="2" s="1"/>
  <c r="BG254" i="2"/>
  <c r="BH254" i="2" s="1"/>
  <c r="BG255" i="2"/>
  <c r="BH255" i="2" s="1"/>
  <c r="BG256" i="2"/>
  <c r="BH256" i="2" s="1"/>
  <c r="BG257" i="2"/>
  <c r="BH257" i="2" s="1"/>
  <c r="BG258" i="2"/>
  <c r="BH258" i="2" s="1"/>
  <c r="BG259" i="2"/>
  <c r="BH259" i="2" s="1"/>
  <c r="BG260" i="2"/>
  <c r="BH260" i="2" s="1"/>
  <c r="BG261" i="2"/>
  <c r="BH261" i="2" s="1"/>
  <c r="BG262" i="2"/>
  <c r="BH262" i="2" s="1"/>
  <c r="BG263" i="2"/>
  <c r="BH263" i="2" s="1"/>
  <c r="BG264" i="2"/>
  <c r="BH264" i="2" s="1"/>
  <c r="BG265" i="2"/>
  <c r="BH265" i="2" s="1"/>
  <c r="BG266" i="2"/>
  <c r="BH266" i="2" s="1"/>
  <c r="BG267" i="2"/>
  <c r="BH267" i="2" s="1"/>
  <c r="BG268" i="2"/>
  <c r="BH268" i="2" s="1"/>
  <c r="BG269" i="2"/>
  <c r="BH269" i="2" s="1"/>
  <c r="BG270" i="2"/>
  <c r="BH270" i="2" s="1"/>
  <c r="BG271" i="2"/>
  <c r="BH271" i="2" s="1"/>
  <c r="BG272" i="2"/>
  <c r="BH272" i="2" s="1"/>
  <c r="BG273" i="2"/>
  <c r="BH273" i="2" s="1"/>
  <c r="BG274" i="2"/>
  <c r="BH274" i="2" s="1"/>
  <c r="BG275" i="2"/>
  <c r="BH275" i="2" s="1"/>
  <c r="BG276" i="2"/>
  <c r="BH276" i="2" s="1"/>
  <c r="BG277" i="2"/>
  <c r="BH277" i="2" s="1"/>
  <c r="BG278" i="2"/>
  <c r="BH278" i="2" s="1"/>
  <c r="BG279" i="2"/>
  <c r="BH279" i="2" s="1"/>
  <c r="BG280" i="2"/>
  <c r="BH280" i="2" s="1"/>
  <c r="BG281" i="2"/>
  <c r="BH281" i="2" s="1"/>
  <c r="BG282" i="2"/>
  <c r="BH282" i="2" s="1"/>
  <c r="BG283" i="2"/>
  <c r="BH283" i="2" s="1"/>
  <c r="BG284" i="2"/>
  <c r="BH284" i="2" s="1"/>
  <c r="BG285" i="2"/>
  <c r="BH285" i="2" s="1"/>
  <c r="BG286" i="2"/>
  <c r="BH286" i="2" s="1"/>
  <c r="BG287" i="2"/>
  <c r="BH287" i="2" s="1"/>
  <c r="BG288" i="2"/>
  <c r="BH288" i="2" s="1"/>
  <c r="BG289" i="2"/>
  <c r="BH289" i="2" s="1"/>
  <c r="BG290" i="2"/>
  <c r="BH290" i="2" s="1"/>
  <c r="BG291" i="2"/>
  <c r="BH291" i="2" s="1"/>
  <c r="BG292" i="2"/>
  <c r="BH292" i="2" s="1"/>
  <c r="BG293" i="2"/>
  <c r="BH293" i="2" s="1"/>
  <c r="BG294" i="2"/>
  <c r="BH294" i="2" s="1"/>
  <c r="BG295" i="2"/>
  <c r="BH295" i="2" s="1"/>
  <c r="BG296" i="2"/>
  <c r="BH296" i="2" s="1"/>
  <c r="BG297" i="2"/>
  <c r="BH297" i="2" s="1"/>
  <c r="BG298" i="2"/>
  <c r="BH298" i="2" s="1"/>
  <c r="BG299" i="2"/>
  <c r="BH299" i="2" s="1"/>
  <c r="BG300" i="2"/>
  <c r="BH300" i="2" s="1"/>
  <c r="BG301" i="2"/>
  <c r="BH301" i="2" s="1"/>
  <c r="BG302" i="2"/>
  <c r="BH302" i="2" s="1"/>
  <c r="BG303" i="2"/>
  <c r="BH303" i="2" s="1"/>
  <c r="BG304" i="2"/>
  <c r="BH304" i="2" s="1"/>
  <c r="BG305" i="2"/>
  <c r="BH305" i="2" s="1"/>
  <c r="BG306" i="2"/>
  <c r="BH306" i="2" s="1"/>
  <c r="BG307" i="2"/>
  <c r="BH307" i="2" s="1"/>
  <c r="BG308" i="2"/>
  <c r="BH308" i="2" s="1"/>
  <c r="BG309" i="2"/>
  <c r="BH309" i="2" s="1"/>
  <c r="BG310" i="2"/>
  <c r="BH310" i="2" s="1"/>
  <c r="BG311" i="2"/>
  <c r="BH311" i="2" s="1"/>
  <c r="BG312" i="2"/>
  <c r="BH312" i="2" s="1"/>
  <c r="BG313" i="2"/>
  <c r="BH313" i="2" s="1"/>
  <c r="BG314" i="2"/>
  <c r="BH314" i="2" s="1"/>
  <c r="BG315" i="2"/>
  <c r="BH315" i="2" s="1"/>
  <c r="BG316" i="2"/>
  <c r="BH316" i="2" s="1"/>
  <c r="BG317" i="2"/>
  <c r="BH317" i="2" s="1"/>
  <c r="BG318" i="2"/>
  <c r="BH318" i="2" s="1"/>
  <c r="BG319" i="2"/>
  <c r="BH319" i="2" s="1"/>
  <c r="BG320" i="2"/>
  <c r="BH320" i="2" s="1"/>
  <c r="BG321" i="2"/>
  <c r="BH321" i="2" s="1"/>
  <c r="BG322" i="2"/>
  <c r="BH322" i="2" s="1"/>
  <c r="BG323" i="2"/>
  <c r="BH323" i="2" s="1"/>
  <c r="BG324" i="2"/>
  <c r="BH324" i="2" s="1"/>
  <c r="BG325" i="2"/>
  <c r="BH325" i="2" s="1"/>
  <c r="BG326" i="2"/>
  <c r="BH326" i="2" s="1"/>
  <c r="BG327" i="2"/>
  <c r="BH327" i="2" s="1"/>
  <c r="BG328" i="2"/>
  <c r="BH328" i="2" s="1"/>
  <c r="BG329" i="2"/>
  <c r="BH329" i="2" s="1"/>
  <c r="BG330" i="2"/>
  <c r="BH330" i="2" s="1"/>
  <c r="BG331" i="2"/>
  <c r="BH331" i="2" s="1"/>
  <c r="BG332" i="2"/>
  <c r="BH332" i="2" s="1"/>
  <c r="BG333" i="2"/>
  <c r="BH333" i="2" s="1"/>
  <c r="BG334" i="2"/>
  <c r="BH334" i="2" s="1"/>
  <c r="BG335" i="2"/>
  <c r="BH335" i="2" s="1"/>
  <c r="BG336" i="2"/>
  <c r="BH336" i="2" s="1"/>
  <c r="BG337" i="2"/>
  <c r="BH337" i="2" s="1"/>
  <c r="BG338" i="2"/>
  <c r="BH338" i="2" s="1"/>
  <c r="BG339" i="2"/>
  <c r="BH339" i="2" s="1"/>
  <c r="BG340" i="2"/>
  <c r="BH340" i="2" s="1"/>
  <c r="BG341" i="2"/>
  <c r="BH341" i="2" s="1"/>
  <c r="BG342" i="2"/>
  <c r="BH342" i="2" s="1"/>
  <c r="BG343" i="2"/>
  <c r="BH343" i="2" s="1"/>
  <c r="BG344" i="2"/>
  <c r="BH344" i="2" s="1"/>
  <c r="BG345" i="2"/>
  <c r="BH345" i="2" s="1"/>
  <c r="BG346" i="2"/>
  <c r="BH346" i="2" s="1"/>
  <c r="BG347" i="2"/>
  <c r="BH347" i="2" s="1"/>
  <c r="BG348" i="2"/>
  <c r="BH348" i="2" s="1"/>
  <c r="BG349" i="2"/>
  <c r="BH349" i="2" s="1"/>
  <c r="BG350" i="2"/>
  <c r="BH350" i="2" s="1"/>
  <c r="BG351" i="2"/>
  <c r="BH351" i="2" s="1"/>
  <c r="BG352" i="2"/>
  <c r="BH352" i="2" s="1"/>
  <c r="BG353" i="2"/>
  <c r="BH353" i="2" s="1"/>
  <c r="BG354" i="2"/>
  <c r="BH354" i="2" s="1"/>
  <c r="BG355" i="2"/>
  <c r="BH355" i="2" s="1"/>
  <c r="BG356" i="2"/>
  <c r="BH356" i="2" s="1"/>
  <c r="BG357" i="2"/>
  <c r="BH357" i="2" s="1"/>
  <c r="BG358" i="2"/>
  <c r="BH358" i="2" s="1"/>
  <c r="BG359" i="2"/>
  <c r="BH359" i="2" s="1"/>
  <c r="BG360" i="2"/>
  <c r="BH360" i="2" s="1"/>
  <c r="BG361" i="2"/>
  <c r="BH361" i="2" s="1"/>
  <c r="BG362" i="2"/>
  <c r="BH362" i="2" s="1"/>
  <c r="BG363" i="2"/>
  <c r="BH363" i="2" s="1"/>
  <c r="BG364" i="2"/>
  <c r="BH364" i="2" s="1"/>
  <c r="BG365" i="2"/>
  <c r="BH365" i="2" s="1"/>
  <c r="BG366" i="2"/>
  <c r="BH366" i="2" s="1"/>
  <c r="BG367" i="2"/>
  <c r="BH367" i="2" s="1"/>
  <c r="BG368" i="2"/>
  <c r="BH368" i="2" s="1"/>
  <c r="BG369" i="2"/>
  <c r="BH369" i="2" s="1"/>
  <c r="BG370" i="2"/>
  <c r="BH370" i="2" s="1"/>
  <c r="BG371" i="2"/>
  <c r="BH371" i="2" s="1"/>
  <c r="BG372" i="2"/>
  <c r="BH372" i="2" s="1"/>
  <c r="BG373" i="2"/>
  <c r="BH373" i="2" s="1"/>
  <c r="BG374" i="2"/>
  <c r="BH374" i="2" s="1"/>
  <c r="BG375" i="2"/>
  <c r="BH375" i="2" s="1"/>
  <c r="BG376" i="2"/>
  <c r="BH376" i="2" s="1"/>
  <c r="BG377" i="2"/>
  <c r="BH377" i="2" s="1"/>
  <c r="BG378" i="2"/>
  <c r="BH378" i="2" s="1"/>
  <c r="BG379" i="2"/>
  <c r="BH379" i="2" s="1"/>
  <c r="BG380" i="2"/>
  <c r="BH380" i="2" s="1"/>
  <c r="BG381" i="2"/>
  <c r="BH381" i="2" s="1"/>
  <c r="BG382" i="2"/>
  <c r="BH382" i="2" s="1"/>
  <c r="BG383" i="2"/>
  <c r="BH383" i="2" s="1"/>
  <c r="BG384" i="2"/>
  <c r="BH384" i="2" s="1"/>
  <c r="BG385" i="2"/>
  <c r="BH385" i="2" s="1"/>
  <c r="BG386" i="2"/>
  <c r="BH386" i="2" s="1"/>
  <c r="BG387" i="2"/>
  <c r="BH387" i="2" s="1"/>
  <c r="BG388" i="2"/>
  <c r="BH388" i="2" s="1"/>
  <c r="BG389" i="2"/>
  <c r="BH389" i="2" s="1"/>
  <c r="BG390" i="2"/>
  <c r="BH390" i="2" s="1"/>
  <c r="BG391" i="2"/>
  <c r="BH391" i="2" s="1"/>
  <c r="BG392" i="2"/>
  <c r="BH392" i="2" s="1"/>
  <c r="BG393" i="2"/>
  <c r="BH393" i="2" s="1"/>
  <c r="BG394" i="2"/>
  <c r="BH394" i="2" s="1"/>
  <c r="BG395" i="2"/>
  <c r="BH395" i="2" s="1"/>
  <c r="BG396" i="2"/>
  <c r="BH396" i="2" s="1"/>
  <c r="BG397" i="2"/>
  <c r="BH397" i="2" s="1"/>
  <c r="BG398" i="2"/>
  <c r="BH398" i="2" s="1"/>
  <c r="BG399" i="2"/>
  <c r="BH399" i="2" s="1"/>
  <c r="BG400" i="2"/>
  <c r="BH400" i="2" s="1"/>
  <c r="BG401" i="2"/>
  <c r="BH401" i="2" s="1"/>
  <c r="BG402" i="2"/>
  <c r="BH402" i="2" s="1"/>
  <c r="BG403" i="2"/>
  <c r="BH403" i="2" s="1"/>
  <c r="BG404" i="2"/>
  <c r="BH404" i="2" s="1"/>
  <c r="BG405" i="2"/>
  <c r="BH405" i="2" s="1"/>
  <c r="BG406" i="2"/>
  <c r="BH406" i="2" s="1"/>
  <c r="BG407" i="2"/>
  <c r="BH407" i="2" s="1"/>
  <c r="BG408" i="2"/>
  <c r="BH408" i="2" s="1"/>
  <c r="BG409" i="2"/>
  <c r="BH409" i="2" s="1"/>
  <c r="BG410" i="2"/>
  <c r="BH410" i="2" s="1"/>
  <c r="BG411" i="2"/>
  <c r="BH411" i="2" s="1"/>
  <c r="BG412" i="2"/>
  <c r="BH412" i="2" s="1"/>
  <c r="BG413" i="2"/>
  <c r="BH413" i="2" s="1"/>
  <c r="BG414" i="2"/>
  <c r="BH414" i="2" s="1"/>
  <c r="BG415" i="2"/>
  <c r="BH415" i="2" s="1"/>
  <c r="BG416" i="2"/>
  <c r="BH416" i="2" s="1"/>
  <c r="BG417" i="2"/>
  <c r="BH417" i="2" s="1"/>
  <c r="BG418" i="2"/>
  <c r="BH418" i="2" s="1"/>
  <c r="BG419" i="2"/>
  <c r="BH419" i="2" s="1"/>
  <c r="BG420" i="2"/>
  <c r="BH420" i="2" s="1"/>
  <c r="BG421" i="2"/>
  <c r="BH421" i="2" s="1"/>
  <c r="BG422" i="2"/>
  <c r="BH422" i="2" s="1"/>
  <c r="BG423" i="2"/>
  <c r="BH423" i="2" s="1"/>
  <c r="BG424" i="2"/>
  <c r="BH424" i="2" s="1"/>
  <c r="BG425" i="2"/>
  <c r="BH425" i="2" s="1"/>
  <c r="BG426" i="2"/>
  <c r="BH426" i="2" s="1"/>
  <c r="BG427" i="2"/>
  <c r="BH427" i="2" s="1"/>
  <c r="BG428" i="2"/>
  <c r="BH428" i="2" s="1"/>
  <c r="BG429" i="2"/>
  <c r="BH429" i="2" s="1"/>
  <c r="BG430" i="2"/>
  <c r="BH430" i="2" s="1"/>
  <c r="BG431" i="2"/>
  <c r="BH431" i="2" s="1"/>
  <c r="BG432" i="2"/>
  <c r="BH432" i="2" s="1"/>
  <c r="BG433" i="2"/>
  <c r="BH433" i="2" s="1"/>
  <c r="BG434" i="2"/>
  <c r="BH434" i="2" s="1"/>
  <c r="BG435" i="2"/>
  <c r="BH435" i="2" s="1"/>
  <c r="BG436" i="2"/>
  <c r="BH436" i="2" s="1"/>
  <c r="BG437" i="2"/>
  <c r="BH437" i="2" s="1"/>
  <c r="BG438" i="2"/>
  <c r="BH438" i="2" s="1"/>
  <c r="BG439" i="2"/>
  <c r="BH439" i="2" s="1"/>
  <c r="BG440" i="2"/>
  <c r="BH440" i="2" s="1"/>
  <c r="BG441" i="2"/>
  <c r="BH441" i="2" s="1"/>
  <c r="BG442" i="2"/>
  <c r="BH442" i="2" s="1"/>
  <c r="BG443" i="2"/>
  <c r="BH443" i="2" s="1"/>
  <c r="BG444" i="2"/>
  <c r="BH444" i="2" s="1"/>
  <c r="BG445" i="2"/>
  <c r="BH445" i="2" s="1"/>
  <c r="BG446" i="2"/>
  <c r="BH446" i="2" s="1"/>
  <c r="BG447" i="2"/>
  <c r="BH447" i="2" s="1"/>
  <c r="BG448" i="2"/>
  <c r="BH448" i="2" s="1"/>
  <c r="BG449" i="2"/>
  <c r="BH449" i="2" s="1"/>
  <c r="BG450" i="2"/>
  <c r="BH450" i="2" s="1"/>
  <c r="BG451" i="2"/>
  <c r="BH451" i="2" s="1"/>
  <c r="BG452" i="2"/>
  <c r="BH452" i="2" s="1"/>
  <c r="BG453" i="2"/>
  <c r="BH453" i="2" s="1"/>
  <c r="BG454" i="2"/>
  <c r="BH454" i="2" s="1"/>
  <c r="BG455" i="2"/>
  <c r="BH455" i="2" s="1"/>
  <c r="BG456" i="2"/>
  <c r="BH456" i="2" s="1"/>
  <c r="BG457" i="2"/>
  <c r="BH457" i="2" s="1"/>
  <c r="BG458" i="2"/>
  <c r="BH458" i="2" s="1"/>
  <c r="BG459" i="2"/>
  <c r="BH459" i="2" s="1"/>
  <c r="BG460" i="2"/>
  <c r="BH460" i="2" s="1"/>
  <c r="BG461" i="2"/>
  <c r="BH461" i="2" s="1"/>
  <c r="BG462" i="2"/>
  <c r="BH462" i="2" s="1"/>
  <c r="BG463" i="2"/>
  <c r="BH463" i="2" s="1"/>
  <c r="BG464" i="2"/>
  <c r="BH464" i="2" s="1"/>
  <c r="BG465" i="2"/>
  <c r="BH465" i="2" s="1"/>
  <c r="BG466" i="2"/>
  <c r="BH466" i="2" s="1"/>
  <c r="BG467" i="2"/>
  <c r="BH467" i="2" s="1"/>
  <c r="BG468" i="2"/>
  <c r="BH468" i="2" s="1"/>
  <c r="BG469" i="2"/>
  <c r="BH469" i="2" s="1"/>
  <c r="BG470" i="2"/>
  <c r="BH470" i="2" s="1"/>
  <c r="BG471" i="2"/>
  <c r="BH471" i="2" s="1"/>
  <c r="BG472" i="2"/>
  <c r="BH472" i="2" s="1"/>
  <c r="BG473" i="2"/>
  <c r="BH473" i="2" s="1"/>
  <c r="BG474" i="2"/>
  <c r="BH474" i="2" s="1"/>
  <c r="BG475" i="2"/>
  <c r="BH475" i="2" s="1"/>
  <c r="BG476" i="2"/>
  <c r="BH476" i="2" s="1"/>
  <c r="BG477" i="2"/>
  <c r="BH477" i="2" s="1"/>
  <c r="BG478" i="2"/>
  <c r="BH478" i="2" s="1"/>
  <c r="BG479" i="2"/>
  <c r="BH479" i="2" s="1"/>
  <c r="BG480" i="2"/>
  <c r="BH480" i="2" s="1"/>
  <c r="BG481" i="2"/>
  <c r="BH481" i="2" s="1"/>
  <c r="BG482" i="2"/>
  <c r="BH482" i="2" s="1"/>
  <c r="BG483" i="2"/>
  <c r="BH483" i="2" s="1"/>
  <c r="BG484" i="2"/>
  <c r="BH484" i="2" s="1"/>
  <c r="BG485" i="2"/>
  <c r="BH485" i="2" s="1"/>
  <c r="BG486" i="2"/>
  <c r="BH486" i="2" s="1"/>
  <c r="BG487" i="2"/>
  <c r="BH487" i="2" s="1"/>
  <c r="BG488" i="2"/>
  <c r="BH488" i="2" s="1"/>
  <c r="BG489" i="2"/>
  <c r="BH489" i="2" s="1"/>
  <c r="BG490" i="2"/>
  <c r="BH490" i="2" s="1"/>
  <c r="BG491" i="2"/>
  <c r="BH491" i="2" s="1"/>
  <c r="BG492" i="2"/>
  <c r="BH492" i="2" s="1"/>
  <c r="BG493" i="2"/>
  <c r="BH493" i="2" s="1"/>
  <c r="BG494" i="2"/>
  <c r="BH494" i="2" s="1"/>
  <c r="BG495" i="2"/>
  <c r="BH495" i="2" s="1"/>
  <c r="BG496" i="2"/>
  <c r="BH496" i="2" s="1"/>
  <c r="BG497" i="2"/>
  <c r="BH497" i="2" s="1"/>
  <c r="BG498" i="2"/>
  <c r="BH498" i="2" s="1"/>
  <c r="BG499" i="2"/>
  <c r="BH499" i="2" s="1"/>
  <c r="BG500" i="2"/>
  <c r="BH500" i="2" s="1"/>
  <c r="BG501" i="2"/>
  <c r="BH501" i="2" s="1"/>
  <c r="BG502" i="2"/>
  <c r="BH502" i="2" s="1"/>
  <c r="BG503" i="2"/>
  <c r="BH503" i="2" s="1"/>
  <c r="BG504" i="2"/>
  <c r="BH504" i="2" s="1"/>
  <c r="BG505" i="2"/>
  <c r="BH505" i="2" s="1"/>
  <c r="BG506" i="2"/>
  <c r="BH506" i="2" s="1"/>
  <c r="BG507" i="2"/>
  <c r="BH507" i="2" s="1"/>
  <c r="BG508" i="2"/>
  <c r="BH508" i="2" s="1"/>
  <c r="BG509" i="2"/>
  <c r="BH509" i="2" s="1"/>
  <c r="BG510" i="2"/>
  <c r="BH510" i="2" s="1"/>
  <c r="BG511" i="2"/>
  <c r="BH511" i="2" s="1"/>
  <c r="BG512" i="2"/>
  <c r="BH512" i="2" s="1"/>
  <c r="BG513" i="2"/>
  <c r="BH513" i="2" s="1"/>
  <c r="BG514" i="2"/>
  <c r="BH514" i="2" s="1"/>
  <c r="BG515" i="2"/>
  <c r="BH515" i="2" s="1"/>
  <c r="BG516" i="2"/>
  <c r="BH516" i="2" s="1"/>
  <c r="BG517" i="2"/>
  <c r="BH517" i="2" s="1"/>
  <c r="BG518" i="2"/>
  <c r="BH518" i="2" s="1"/>
  <c r="BG519" i="2"/>
  <c r="BH519" i="2" s="1"/>
  <c r="BG520" i="2"/>
  <c r="BH520" i="2" s="1"/>
  <c r="BG521" i="2"/>
  <c r="BH521" i="2" s="1"/>
  <c r="BG522" i="2"/>
  <c r="BH522" i="2" s="1"/>
  <c r="BG523" i="2"/>
  <c r="BH523" i="2" s="1"/>
  <c r="BG524" i="2"/>
  <c r="BH524" i="2" s="1"/>
  <c r="BG525" i="2"/>
  <c r="BH525" i="2" s="1"/>
  <c r="BG526" i="2"/>
  <c r="BH526" i="2" s="1"/>
  <c r="BG527" i="2"/>
  <c r="BH527" i="2" s="1"/>
  <c r="BG528" i="2"/>
  <c r="BH528" i="2" s="1"/>
  <c r="BG529" i="2"/>
  <c r="BH529" i="2" s="1"/>
  <c r="BG530" i="2"/>
  <c r="BH530" i="2" s="1"/>
  <c r="BG531" i="2"/>
  <c r="BH531" i="2" s="1"/>
  <c r="BG532" i="2"/>
  <c r="BH532" i="2" s="1"/>
  <c r="BG533" i="2"/>
  <c r="BH533" i="2" s="1"/>
  <c r="BG534" i="2"/>
  <c r="BH534" i="2" s="1"/>
  <c r="BG535" i="2"/>
  <c r="BH535" i="2" s="1"/>
  <c r="BG536" i="2"/>
  <c r="BH536" i="2" s="1"/>
  <c r="BG537" i="2"/>
  <c r="BH537" i="2" s="1"/>
  <c r="BG538" i="2"/>
  <c r="BH538" i="2" s="1"/>
  <c r="BG539" i="2"/>
  <c r="BH539" i="2" s="1"/>
  <c r="BG540" i="2"/>
  <c r="BH540" i="2" s="1"/>
  <c r="BG541" i="2"/>
  <c r="BH541" i="2" s="1"/>
  <c r="BG542" i="2"/>
  <c r="BH542" i="2" s="1"/>
  <c r="BG543" i="2"/>
  <c r="BH543" i="2" s="1"/>
  <c r="BG544" i="2"/>
  <c r="BH544" i="2" s="1"/>
  <c r="BG545" i="2"/>
  <c r="BH545" i="2" s="1"/>
  <c r="BG546" i="2"/>
  <c r="BH546" i="2" s="1"/>
  <c r="BG547" i="2"/>
  <c r="BH547" i="2" s="1"/>
  <c r="BG548" i="2"/>
  <c r="BH548" i="2" s="1"/>
  <c r="BG549" i="2"/>
  <c r="BH549" i="2" s="1"/>
  <c r="BG550" i="2"/>
  <c r="BH550" i="2" s="1"/>
  <c r="BG551" i="2"/>
  <c r="BH551" i="2" s="1"/>
  <c r="BG552" i="2"/>
  <c r="BH552" i="2" s="1"/>
  <c r="BG553" i="2"/>
  <c r="BH553" i="2" s="1"/>
  <c r="BG554" i="2"/>
  <c r="BH554" i="2" s="1"/>
  <c r="BG555" i="2"/>
  <c r="BH555" i="2" s="1"/>
  <c r="BG556" i="2"/>
  <c r="BH556" i="2" s="1"/>
  <c r="BG557" i="2"/>
  <c r="BH557" i="2" s="1"/>
  <c r="BG558" i="2"/>
  <c r="BH558" i="2" s="1"/>
  <c r="BG559" i="2"/>
  <c r="BH559" i="2" s="1"/>
  <c r="BG560" i="2"/>
  <c r="BH560" i="2" s="1"/>
  <c r="BG561" i="2"/>
  <c r="BH561" i="2" s="1"/>
  <c r="BG562" i="2"/>
  <c r="BH562" i="2" s="1"/>
  <c r="BG563" i="2"/>
  <c r="BH563" i="2" s="1"/>
  <c r="BG564" i="2"/>
  <c r="BH564" i="2" s="1"/>
  <c r="BG565" i="2"/>
  <c r="BH565" i="2" s="1"/>
  <c r="BG566" i="2"/>
  <c r="BH566" i="2" s="1"/>
  <c r="BG567" i="2"/>
  <c r="BH567" i="2" s="1"/>
  <c r="BG568" i="2"/>
  <c r="BH568" i="2" s="1"/>
  <c r="BG569" i="2"/>
  <c r="BH569" i="2" s="1"/>
  <c r="BG570" i="2"/>
  <c r="BH570" i="2" s="1"/>
  <c r="BG571" i="2"/>
  <c r="BH571" i="2" s="1"/>
  <c r="BG572" i="2"/>
  <c r="BH572" i="2" s="1"/>
  <c r="BG573" i="2"/>
  <c r="BH573" i="2" s="1"/>
  <c r="BG574" i="2"/>
  <c r="BH574" i="2" s="1"/>
  <c r="BG575" i="2"/>
  <c r="BH575" i="2" s="1"/>
  <c r="BG576" i="2"/>
  <c r="BH576" i="2" s="1"/>
  <c r="BG577" i="2"/>
  <c r="BH577" i="2" s="1"/>
  <c r="BG578" i="2"/>
  <c r="BH578" i="2" s="1"/>
  <c r="BG579" i="2"/>
  <c r="BH579" i="2" s="1"/>
  <c r="BG580" i="2"/>
  <c r="BH580" i="2" s="1"/>
  <c r="BG581" i="2"/>
  <c r="BH581" i="2" s="1"/>
  <c r="BG582" i="2"/>
  <c r="BH582" i="2" s="1"/>
  <c r="BG583" i="2"/>
  <c r="BH583" i="2" s="1"/>
  <c r="BG584" i="2"/>
  <c r="BH584" i="2" s="1"/>
  <c r="BG585" i="2"/>
  <c r="BH585" i="2" s="1"/>
  <c r="BG586" i="2"/>
  <c r="BH586" i="2" s="1"/>
  <c r="BG587" i="2"/>
  <c r="BH587" i="2" s="1"/>
  <c r="BG588" i="2"/>
  <c r="BH588" i="2" s="1"/>
  <c r="BG589" i="2"/>
  <c r="BH589" i="2" s="1"/>
  <c r="BG590" i="2"/>
  <c r="BH590" i="2" s="1"/>
  <c r="BG591" i="2"/>
  <c r="BH591" i="2" s="1"/>
  <c r="BG592" i="2"/>
  <c r="BH592" i="2" s="1"/>
  <c r="BG593" i="2"/>
  <c r="BH593" i="2" s="1"/>
  <c r="BG594" i="2"/>
  <c r="BH594" i="2" s="1"/>
  <c r="BG595" i="2"/>
  <c r="BH595" i="2" s="1"/>
  <c r="BG596" i="2"/>
  <c r="BH596" i="2" s="1"/>
  <c r="BG597" i="2"/>
  <c r="BH597" i="2" s="1"/>
  <c r="BG598" i="2"/>
  <c r="BH598" i="2" s="1"/>
  <c r="BG599" i="2"/>
  <c r="BH599" i="2" s="1"/>
  <c r="BG600" i="2"/>
  <c r="BH600" i="2" s="1"/>
  <c r="BG601" i="2"/>
  <c r="BH601" i="2" s="1"/>
  <c r="BG602" i="2"/>
  <c r="BH602" i="2" s="1"/>
  <c r="BG603" i="2"/>
  <c r="BH603" i="2" s="1"/>
  <c r="BG604" i="2"/>
  <c r="BH604" i="2" s="1"/>
  <c r="BG605" i="2"/>
  <c r="BH605" i="2" s="1"/>
  <c r="BG606" i="2"/>
  <c r="BH606" i="2" s="1"/>
  <c r="BG607" i="2"/>
  <c r="BH607" i="2" s="1"/>
  <c r="BG608" i="2"/>
  <c r="BH608" i="2" s="1"/>
  <c r="BG609" i="2"/>
  <c r="BH609" i="2" s="1"/>
  <c r="BG610" i="2"/>
  <c r="BH610" i="2" s="1"/>
  <c r="BG611" i="2"/>
  <c r="BH611" i="2" s="1"/>
  <c r="BG612" i="2"/>
  <c r="BH612" i="2" s="1"/>
  <c r="BG613" i="2"/>
  <c r="BH613" i="2" s="1"/>
  <c r="BG614" i="2"/>
  <c r="BH614" i="2" s="1"/>
  <c r="BG615" i="2"/>
  <c r="BH615" i="2" s="1"/>
  <c r="BG616" i="2"/>
  <c r="BH616" i="2" s="1"/>
  <c r="BG617" i="2"/>
  <c r="BH617" i="2" s="1"/>
  <c r="BG618" i="2"/>
  <c r="BH618" i="2" s="1"/>
  <c r="BG619" i="2"/>
  <c r="BH619" i="2" s="1"/>
  <c r="BG620" i="2"/>
  <c r="BH620" i="2" s="1"/>
  <c r="BG621" i="2"/>
  <c r="BH621" i="2" s="1"/>
  <c r="BG622" i="2"/>
  <c r="BH622" i="2" s="1"/>
  <c r="BG623" i="2"/>
  <c r="BH623" i="2" s="1"/>
  <c r="BG624" i="2"/>
  <c r="BH624" i="2" s="1"/>
  <c r="BG625" i="2"/>
  <c r="BH625" i="2" s="1"/>
  <c r="BG626" i="2"/>
  <c r="BH626" i="2" s="1"/>
  <c r="BG627" i="2"/>
  <c r="BH627" i="2" s="1"/>
  <c r="BG628" i="2"/>
  <c r="BH628" i="2" s="1"/>
  <c r="BG629" i="2"/>
  <c r="BH629" i="2" s="1"/>
  <c r="BG630" i="2"/>
  <c r="BH630" i="2" s="1"/>
  <c r="BG631" i="2"/>
  <c r="BH631" i="2" s="1"/>
  <c r="BG632" i="2"/>
  <c r="BH632" i="2" s="1"/>
  <c r="BG633" i="2"/>
  <c r="BH633" i="2" s="1"/>
  <c r="BG634" i="2"/>
  <c r="BH634" i="2" s="1"/>
  <c r="BG635" i="2"/>
  <c r="BH635" i="2" s="1"/>
  <c r="BG636" i="2"/>
  <c r="BH636" i="2" s="1"/>
  <c r="BG637" i="2"/>
  <c r="BH637" i="2" s="1"/>
  <c r="BG638" i="2"/>
  <c r="BH638" i="2" s="1"/>
  <c r="BG639" i="2"/>
  <c r="BH639" i="2" s="1"/>
  <c r="BG640" i="2"/>
  <c r="BH640" i="2" s="1"/>
  <c r="BG641" i="2"/>
  <c r="BH641" i="2" s="1"/>
  <c r="BG642" i="2"/>
  <c r="BH642" i="2" s="1"/>
  <c r="BG643" i="2"/>
  <c r="BH643" i="2" s="1"/>
  <c r="BG644" i="2"/>
  <c r="BH644" i="2" s="1"/>
  <c r="BG645" i="2"/>
  <c r="BH645" i="2" s="1"/>
  <c r="BG646" i="2"/>
  <c r="BH646" i="2" s="1"/>
  <c r="BG647" i="2"/>
  <c r="BH647" i="2" s="1"/>
  <c r="BG648" i="2"/>
  <c r="BH648" i="2" s="1"/>
  <c r="BG649" i="2"/>
  <c r="BH649" i="2" s="1"/>
  <c r="BG650" i="2"/>
  <c r="BH650" i="2" s="1"/>
  <c r="BG651" i="2"/>
  <c r="BH651" i="2" s="1"/>
  <c r="BG652" i="2"/>
  <c r="BH652" i="2" s="1"/>
  <c r="BG653" i="2"/>
  <c r="BH653" i="2" s="1"/>
  <c r="BG654" i="2"/>
  <c r="BH654" i="2" s="1"/>
  <c r="BG655" i="2"/>
  <c r="BH655" i="2" s="1"/>
  <c r="BG656" i="2"/>
  <c r="BH656" i="2" s="1"/>
  <c r="BG657" i="2"/>
  <c r="BH657" i="2" s="1"/>
  <c r="BG658" i="2"/>
  <c r="BH658" i="2" s="1"/>
  <c r="BG659" i="2"/>
  <c r="BH659" i="2" s="1"/>
  <c r="BG660" i="2"/>
  <c r="BH660" i="2" s="1"/>
  <c r="BG661" i="2"/>
  <c r="BH661" i="2" s="1"/>
  <c r="BG662" i="2"/>
  <c r="BH662" i="2" s="1"/>
  <c r="BG663" i="2"/>
  <c r="BH663" i="2" s="1"/>
  <c r="BG664" i="2"/>
  <c r="BH664" i="2" s="1"/>
  <c r="BG665" i="2"/>
  <c r="BH665" i="2" s="1"/>
  <c r="BG666" i="2"/>
  <c r="BH666" i="2" s="1"/>
  <c r="BG667" i="2"/>
  <c r="BH667" i="2" s="1"/>
  <c r="BG668" i="2"/>
  <c r="BH668" i="2" s="1"/>
  <c r="BG669" i="2"/>
  <c r="BH669" i="2" s="1"/>
  <c r="BG670" i="2"/>
  <c r="BH670" i="2" s="1"/>
  <c r="BG671" i="2"/>
  <c r="BH671" i="2" s="1"/>
  <c r="BG672" i="2"/>
  <c r="BH672" i="2" s="1"/>
  <c r="BG673" i="2"/>
  <c r="BH673" i="2" s="1"/>
  <c r="BG674" i="2"/>
  <c r="BH674" i="2" s="1"/>
  <c r="BG675" i="2"/>
  <c r="BH675" i="2" s="1"/>
  <c r="BG676" i="2"/>
  <c r="BH676" i="2" s="1"/>
  <c r="BG677" i="2"/>
  <c r="BH677" i="2" s="1"/>
  <c r="BG678" i="2"/>
  <c r="BH678" i="2" s="1"/>
  <c r="BG679" i="2"/>
  <c r="BH679" i="2" s="1"/>
  <c r="BG680" i="2"/>
  <c r="BH680" i="2" s="1"/>
  <c r="BG681" i="2"/>
  <c r="BH681" i="2" s="1"/>
  <c r="BG682" i="2"/>
  <c r="BH682" i="2" s="1"/>
  <c r="BG683" i="2"/>
  <c r="BH683" i="2" s="1"/>
  <c r="BG684" i="2"/>
  <c r="BH684" i="2" s="1"/>
  <c r="BG685" i="2"/>
  <c r="BH685" i="2" s="1"/>
  <c r="BG686" i="2"/>
  <c r="BH686" i="2" s="1"/>
  <c r="BG687" i="2"/>
  <c r="BH687" i="2" s="1"/>
  <c r="BG688" i="2"/>
  <c r="BH688" i="2" s="1"/>
  <c r="BG689" i="2"/>
  <c r="BH689" i="2" s="1"/>
  <c r="BG690" i="2"/>
  <c r="BH690" i="2" s="1"/>
  <c r="BG691" i="2"/>
  <c r="BH691" i="2" s="1"/>
  <c r="BG692" i="2"/>
  <c r="BH692" i="2" s="1"/>
  <c r="BG693" i="2"/>
  <c r="BH693" i="2" s="1"/>
  <c r="BG694" i="2"/>
  <c r="BH694" i="2" s="1"/>
  <c r="BG695" i="2"/>
  <c r="BH695" i="2" s="1"/>
  <c r="BG696" i="2"/>
  <c r="BH696" i="2" s="1"/>
  <c r="BG697" i="2"/>
  <c r="BH697" i="2" s="1"/>
  <c r="BG698" i="2"/>
  <c r="BH698" i="2" s="1"/>
  <c r="BG699" i="2"/>
  <c r="BH699" i="2" s="1"/>
  <c r="BG700" i="2"/>
  <c r="BH700" i="2" s="1"/>
  <c r="BG701" i="2"/>
  <c r="BH701" i="2" s="1"/>
  <c r="BG702" i="2"/>
  <c r="BH702" i="2" s="1"/>
  <c r="BG703" i="2"/>
  <c r="BH703" i="2" s="1"/>
  <c r="BG704" i="2"/>
  <c r="BH704" i="2" s="1"/>
  <c r="BG705" i="2"/>
  <c r="BH705" i="2" s="1"/>
  <c r="BG706" i="2"/>
  <c r="BH706" i="2" s="1"/>
  <c r="BG707" i="2"/>
  <c r="BH707" i="2" s="1"/>
  <c r="BG708" i="2"/>
  <c r="BH708" i="2" s="1"/>
  <c r="BG709" i="2"/>
  <c r="BH709" i="2" s="1"/>
  <c r="BG710" i="2"/>
  <c r="BH710" i="2" s="1"/>
  <c r="BG711" i="2"/>
  <c r="BH711" i="2" s="1"/>
  <c r="BG712" i="2"/>
  <c r="BH712" i="2" s="1"/>
  <c r="BG713" i="2"/>
  <c r="BH713" i="2" s="1"/>
  <c r="BG714" i="2"/>
  <c r="BH714" i="2" s="1"/>
  <c r="BG715" i="2"/>
  <c r="BH715" i="2" s="1"/>
  <c r="BG716" i="2"/>
  <c r="BH716" i="2" s="1"/>
  <c r="BG717" i="2"/>
  <c r="BH717" i="2" s="1"/>
  <c r="BG718" i="2"/>
  <c r="BH718" i="2" s="1"/>
  <c r="BG719" i="2"/>
  <c r="BH719" i="2" s="1"/>
  <c r="BG720" i="2"/>
  <c r="BH720" i="2" s="1"/>
  <c r="BG721" i="2"/>
  <c r="BH721" i="2" s="1"/>
  <c r="BG722" i="2"/>
  <c r="BH722" i="2" s="1"/>
  <c r="BG723" i="2"/>
  <c r="BH723" i="2" s="1"/>
  <c r="BG724" i="2"/>
  <c r="BH724" i="2" s="1"/>
  <c r="BG725" i="2"/>
  <c r="BH725" i="2" s="1"/>
  <c r="BG726" i="2"/>
  <c r="BH726" i="2" s="1"/>
  <c r="BG727" i="2"/>
  <c r="BH727" i="2" s="1"/>
  <c r="BG728" i="2"/>
  <c r="BH728" i="2" s="1"/>
  <c r="BG729" i="2"/>
  <c r="BH729" i="2" s="1"/>
  <c r="BG730" i="2"/>
  <c r="BH730" i="2" s="1"/>
  <c r="BG731" i="2"/>
  <c r="BH731" i="2" s="1"/>
  <c r="BG732" i="2"/>
  <c r="BH732" i="2" s="1"/>
  <c r="BG733" i="2"/>
  <c r="BH733" i="2" s="1"/>
  <c r="BG734" i="2"/>
  <c r="BH734" i="2" s="1"/>
  <c r="BG735" i="2"/>
  <c r="BH735" i="2" s="1"/>
  <c r="BG736" i="2"/>
  <c r="BH736" i="2" s="1"/>
  <c r="BG737" i="2"/>
  <c r="BH737" i="2" s="1"/>
  <c r="BG738" i="2"/>
  <c r="BH738" i="2" s="1"/>
  <c r="BG739" i="2"/>
  <c r="BH739" i="2" s="1"/>
  <c r="BG740" i="2"/>
  <c r="BH740" i="2" s="1"/>
  <c r="BG741" i="2"/>
  <c r="BH741" i="2" s="1"/>
  <c r="BG742" i="2"/>
  <c r="BH742" i="2" s="1"/>
  <c r="BG743" i="2"/>
  <c r="BH743" i="2" s="1"/>
  <c r="BG744" i="2"/>
  <c r="BH744" i="2" s="1"/>
  <c r="BG745" i="2"/>
  <c r="BH745" i="2" s="1"/>
  <c r="BG746" i="2"/>
  <c r="BH746" i="2" s="1"/>
  <c r="BG747" i="2"/>
  <c r="BH747" i="2" s="1"/>
  <c r="BG748" i="2"/>
  <c r="BH748" i="2" s="1"/>
  <c r="BG749" i="2"/>
  <c r="BH749" i="2" s="1"/>
  <c r="BG750" i="2"/>
  <c r="BH750" i="2" s="1"/>
  <c r="BG751" i="2"/>
  <c r="BH751" i="2" s="1"/>
  <c r="BG752" i="2"/>
  <c r="BH752" i="2" s="1"/>
  <c r="BG753" i="2"/>
  <c r="BH753" i="2" s="1"/>
  <c r="BG754" i="2"/>
  <c r="BH754" i="2" s="1"/>
  <c r="BG755" i="2"/>
  <c r="BH755" i="2" s="1"/>
  <c r="BG756" i="2"/>
  <c r="BH756" i="2" s="1"/>
  <c r="BG757" i="2"/>
  <c r="BH757" i="2" s="1"/>
  <c r="BG758" i="2"/>
  <c r="BH758" i="2" s="1"/>
  <c r="BG759" i="2"/>
  <c r="BH759" i="2" s="1"/>
  <c r="BG760" i="2"/>
  <c r="BH760" i="2" s="1"/>
  <c r="BG761" i="2"/>
  <c r="BH761" i="2" s="1"/>
  <c r="BG762" i="2"/>
  <c r="BH762" i="2" s="1"/>
  <c r="BG763" i="2"/>
  <c r="BH763" i="2" s="1"/>
  <c r="BG764" i="2"/>
  <c r="BH764" i="2" s="1"/>
  <c r="BG765" i="2"/>
  <c r="BH765" i="2" s="1"/>
  <c r="BG766" i="2"/>
  <c r="BH766" i="2" s="1"/>
  <c r="BG767" i="2"/>
  <c r="BH767" i="2" s="1"/>
  <c r="BG768" i="2"/>
  <c r="BH768" i="2" s="1"/>
  <c r="BG769" i="2"/>
  <c r="BH769" i="2" s="1"/>
  <c r="BG770" i="2"/>
  <c r="BH770" i="2" s="1"/>
  <c r="BG771" i="2"/>
  <c r="BH771" i="2" s="1"/>
  <c r="BG772" i="2"/>
  <c r="BH772" i="2" s="1"/>
  <c r="BG773" i="2"/>
  <c r="BH773" i="2" s="1"/>
  <c r="BG774" i="2"/>
  <c r="BH774" i="2" s="1"/>
  <c r="BG775" i="2"/>
  <c r="BH775" i="2" s="1"/>
  <c r="BG776" i="2"/>
  <c r="BH776" i="2" s="1"/>
  <c r="BG777" i="2"/>
  <c r="BH777" i="2" s="1"/>
  <c r="BG778" i="2"/>
  <c r="BH778" i="2" s="1"/>
  <c r="BG779" i="2"/>
  <c r="BH779" i="2" s="1"/>
  <c r="BG780" i="2"/>
  <c r="BH780" i="2" s="1"/>
  <c r="BG781" i="2"/>
  <c r="BH781" i="2" s="1"/>
  <c r="BG782" i="2"/>
  <c r="BH782" i="2" s="1"/>
  <c r="BG783" i="2"/>
  <c r="BH783" i="2" s="1"/>
  <c r="BG784" i="2"/>
  <c r="BH784" i="2" s="1"/>
  <c r="BG785" i="2"/>
  <c r="BH785" i="2" s="1"/>
  <c r="BG786" i="2"/>
  <c r="BH786" i="2" s="1"/>
  <c r="BG787" i="2"/>
  <c r="BH787" i="2" s="1"/>
  <c r="BG788" i="2"/>
  <c r="BH788" i="2" s="1"/>
  <c r="BG789" i="2"/>
  <c r="BH789" i="2" s="1"/>
  <c r="BG790" i="2"/>
  <c r="BH790" i="2" s="1"/>
  <c r="BG791" i="2"/>
  <c r="BH791" i="2" s="1"/>
  <c r="BG792" i="2"/>
  <c r="BH792" i="2" s="1"/>
  <c r="BG793" i="2"/>
  <c r="BH793" i="2" s="1"/>
  <c r="BG794" i="2"/>
  <c r="BH794" i="2" s="1"/>
  <c r="BG795" i="2"/>
  <c r="BH795" i="2" s="1"/>
  <c r="BG796" i="2"/>
  <c r="BH796" i="2" s="1"/>
  <c r="BG797" i="2"/>
  <c r="BH797" i="2" s="1"/>
  <c r="BG798" i="2"/>
  <c r="BH798" i="2" s="1"/>
  <c r="BG799" i="2"/>
  <c r="BH799" i="2" s="1"/>
  <c r="BG800" i="2"/>
  <c r="BH800" i="2" s="1"/>
  <c r="BG801" i="2"/>
  <c r="BH801" i="2" s="1"/>
  <c r="BG802" i="2"/>
  <c r="BH802" i="2" s="1"/>
  <c r="BG803" i="2"/>
  <c r="BH803" i="2" s="1"/>
  <c r="BG804" i="2"/>
  <c r="BH804" i="2" s="1"/>
  <c r="BG805" i="2"/>
  <c r="BH805" i="2" s="1"/>
  <c r="BG806" i="2"/>
  <c r="BH806" i="2" s="1"/>
  <c r="BG807" i="2"/>
  <c r="BH807" i="2" s="1"/>
  <c r="BG808" i="2"/>
  <c r="BH808" i="2" s="1"/>
  <c r="BG809" i="2"/>
  <c r="BH809" i="2" s="1"/>
  <c r="BG810" i="2"/>
  <c r="BH810" i="2" s="1"/>
  <c r="BG811" i="2"/>
  <c r="BH811" i="2" s="1"/>
  <c r="BG812" i="2"/>
  <c r="BH812" i="2" s="1"/>
  <c r="BG813" i="2"/>
  <c r="BH813" i="2" s="1"/>
  <c r="BG814" i="2"/>
  <c r="BH814" i="2" s="1"/>
  <c r="BG815" i="2"/>
  <c r="BH815" i="2" s="1"/>
  <c r="BG816" i="2"/>
  <c r="BH816" i="2" s="1"/>
  <c r="BG817" i="2"/>
  <c r="BH817" i="2" s="1"/>
  <c r="BG818" i="2"/>
  <c r="BH818" i="2" s="1"/>
  <c r="BG819" i="2"/>
  <c r="BH819" i="2" s="1"/>
  <c r="BG820" i="2"/>
  <c r="BH820" i="2" s="1"/>
  <c r="BG821" i="2"/>
  <c r="BH821" i="2" s="1"/>
  <c r="BG822" i="2"/>
  <c r="BH822" i="2" s="1"/>
  <c r="BG823" i="2"/>
  <c r="BH823" i="2" s="1"/>
  <c r="BG824" i="2"/>
  <c r="BH824" i="2" s="1"/>
  <c r="BG825" i="2"/>
  <c r="BH825" i="2" s="1"/>
  <c r="BG826" i="2"/>
  <c r="BH826" i="2" s="1"/>
  <c r="BG827" i="2"/>
  <c r="BH827" i="2" s="1"/>
  <c r="BG828" i="2"/>
  <c r="BH828" i="2" s="1"/>
  <c r="BG829" i="2"/>
  <c r="BH829" i="2" s="1"/>
  <c r="BG830" i="2"/>
  <c r="BH830" i="2" s="1"/>
  <c r="BG831" i="2"/>
  <c r="BH831" i="2" s="1"/>
  <c r="BG832" i="2"/>
  <c r="BH832" i="2" s="1"/>
  <c r="BG833" i="2"/>
  <c r="BH833" i="2" s="1"/>
  <c r="BG834" i="2"/>
  <c r="BH834" i="2" s="1"/>
  <c r="BG835" i="2"/>
  <c r="BH835" i="2" s="1"/>
  <c r="BG836" i="2"/>
  <c r="BH836" i="2" s="1"/>
  <c r="BG837" i="2"/>
  <c r="BH837" i="2" s="1"/>
  <c r="BG838" i="2"/>
  <c r="BH838" i="2" s="1"/>
  <c r="BG839" i="2"/>
  <c r="BH839" i="2" s="1"/>
  <c r="BG840" i="2"/>
  <c r="BH840" i="2" s="1"/>
  <c r="BG841" i="2"/>
  <c r="BH841" i="2" s="1"/>
  <c r="BG842" i="2"/>
  <c r="BH842" i="2" s="1"/>
  <c r="BG843" i="2"/>
  <c r="BH843" i="2" s="1"/>
  <c r="BG844" i="2"/>
  <c r="BH844" i="2" s="1"/>
  <c r="BG845" i="2"/>
  <c r="BH845" i="2" s="1"/>
  <c r="BG846" i="2"/>
  <c r="BH846" i="2" s="1"/>
  <c r="BG847" i="2"/>
  <c r="BH847" i="2" s="1"/>
  <c r="BG848" i="2"/>
  <c r="BH848" i="2" s="1"/>
  <c r="BG849" i="2"/>
  <c r="BH849" i="2" s="1"/>
  <c r="BG850" i="2"/>
  <c r="BH850" i="2" s="1"/>
  <c r="BG851" i="2"/>
  <c r="BH851" i="2" s="1"/>
  <c r="BG852" i="2"/>
  <c r="BH852" i="2" s="1"/>
  <c r="BG853" i="2"/>
  <c r="BH853" i="2" s="1"/>
  <c r="BG854" i="2"/>
  <c r="BH854" i="2" s="1"/>
  <c r="BG855" i="2"/>
  <c r="BH855" i="2" s="1"/>
  <c r="BG856" i="2"/>
  <c r="BH856" i="2" s="1"/>
  <c r="BG857" i="2"/>
  <c r="BH857" i="2" s="1"/>
  <c r="BG858" i="2"/>
  <c r="BH858" i="2" s="1"/>
  <c r="BG859" i="2"/>
  <c r="BH859" i="2" s="1"/>
  <c r="BG860" i="2"/>
  <c r="BH860" i="2" s="1"/>
  <c r="BG861" i="2"/>
  <c r="BH861" i="2" s="1"/>
  <c r="BG862" i="2"/>
  <c r="BH862" i="2" s="1"/>
  <c r="BG863" i="2"/>
  <c r="BH863" i="2" s="1"/>
  <c r="BG864" i="2"/>
  <c r="BH864" i="2" s="1"/>
  <c r="BG865" i="2"/>
  <c r="BH865" i="2" s="1"/>
  <c r="BG866" i="2"/>
  <c r="BH866" i="2" s="1"/>
  <c r="BG867" i="2"/>
  <c r="BH867" i="2" s="1"/>
  <c r="BG868" i="2"/>
  <c r="BH868" i="2" s="1"/>
  <c r="BG869" i="2"/>
  <c r="BH869" i="2" s="1"/>
  <c r="BG870" i="2"/>
  <c r="BH870" i="2" s="1"/>
  <c r="BG871" i="2"/>
  <c r="BH871" i="2" s="1"/>
  <c r="BG872" i="2"/>
  <c r="BH872" i="2" s="1"/>
  <c r="BG873" i="2"/>
  <c r="BH873" i="2" s="1"/>
  <c r="BG874" i="2"/>
  <c r="BH874" i="2" s="1"/>
  <c r="BG875" i="2"/>
  <c r="BH875" i="2" s="1"/>
  <c r="BG876" i="2"/>
  <c r="BH876" i="2" s="1"/>
  <c r="BG877" i="2"/>
  <c r="BH877" i="2" s="1"/>
  <c r="BG878" i="2"/>
  <c r="BH878" i="2" s="1"/>
  <c r="BG879" i="2"/>
  <c r="BH879" i="2" s="1"/>
  <c r="BG880" i="2"/>
  <c r="BH880" i="2" s="1"/>
  <c r="BG881" i="2"/>
  <c r="BH881" i="2" s="1"/>
  <c r="BG882" i="2"/>
  <c r="BH882" i="2" s="1"/>
  <c r="BG883" i="2"/>
  <c r="BH883" i="2" s="1"/>
  <c r="BG884" i="2"/>
  <c r="BH884" i="2" s="1"/>
  <c r="BG885" i="2"/>
  <c r="BH885" i="2" s="1"/>
  <c r="BG886" i="2"/>
  <c r="BH886" i="2" s="1"/>
  <c r="BG887" i="2"/>
  <c r="BH887" i="2" s="1"/>
  <c r="BG888" i="2"/>
  <c r="BH888" i="2" s="1"/>
  <c r="BG889" i="2"/>
  <c r="BH889" i="2" s="1"/>
  <c r="BG890" i="2"/>
  <c r="BH890" i="2" s="1"/>
  <c r="BG891" i="2"/>
  <c r="BH891" i="2" s="1"/>
  <c r="BG892" i="2"/>
  <c r="BH892" i="2" s="1"/>
  <c r="BG893" i="2"/>
  <c r="BH893" i="2" s="1"/>
  <c r="BG894" i="2"/>
  <c r="BH894" i="2" s="1"/>
  <c r="BG895" i="2"/>
  <c r="BH895" i="2" s="1"/>
  <c r="BG896" i="2"/>
  <c r="BH896" i="2" s="1"/>
  <c r="BG897" i="2"/>
  <c r="BH897" i="2" s="1"/>
  <c r="BG898" i="2"/>
  <c r="BH898" i="2" s="1"/>
  <c r="BG899" i="2"/>
  <c r="BH899" i="2" s="1"/>
  <c r="BG900" i="2"/>
  <c r="BH900" i="2" s="1"/>
  <c r="BG901" i="2"/>
  <c r="BH901" i="2" s="1"/>
  <c r="BG902" i="2"/>
  <c r="BH902" i="2" s="1"/>
  <c r="BG903" i="2"/>
  <c r="BH903" i="2" s="1"/>
  <c r="BG904" i="2"/>
  <c r="BH904" i="2" s="1"/>
  <c r="BG905" i="2"/>
  <c r="BH905" i="2" s="1"/>
  <c r="BG906" i="2"/>
  <c r="BH906" i="2" s="1"/>
  <c r="BG907" i="2"/>
  <c r="BH907" i="2" s="1"/>
  <c r="BG908" i="2"/>
  <c r="BH908" i="2" s="1"/>
  <c r="BG909" i="2"/>
  <c r="BH909" i="2" s="1"/>
  <c r="BG910" i="2"/>
  <c r="BH910" i="2" s="1"/>
  <c r="BG911" i="2"/>
  <c r="BH911" i="2" s="1"/>
  <c r="BG912" i="2"/>
  <c r="BH912" i="2" s="1"/>
  <c r="BG913" i="2"/>
  <c r="BH913" i="2" s="1"/>
  <c r="BG914" i="2"/>
  <c r="BH914" i="2" s="1"/>
  <c r="BG915" i="2"/>
  <c r="BH915" i="2" s="1"/>
  <c r="BG916" i="2"/>
  <c r="BH916" i="2" s="1"/>
  <c r="BG917" i="2"/>
  <c r="BH917" i="2" s="1"/>
  <c r="BG918" i="2"/>
  <c r="BH918" i="2" s="1"/>
  <c r="BG919" i="2"/>
  <c r="BH919" i="2" s="1"/>
  <c r="BG920" i="2"/>
  <c r="BH920" i="2" s="1"/>
  <c r="BG921" i="2"/>
  <c r="BH921" i="2" s="1"/>
  <c r="BG922" i="2"/>
  <c r="BH922" i="2" s="1"/>
  <c r="BG923" i="2"/>
  <c r="BH923" i="2" s="1"/>
  <c r="BG924" i="2"/>
  <c r="BH924" i="2" s="1"/>
  <c r="BG925" i="2"/>
  <c r="BH925" i="2" s="1"/>
  <c r="BG926" i="2"/>
  <c r="BH926" i="2" s="1"/>
  <c r="BG927" i="2"/>
  <c r="BH927" i="2" s="1"/>
  <c r="BG928" i="2"/>
  <c r="BH928" i="2" s="1"/>
  <c r="BG929" i="2"/>
  <c r="BH929" i="2" s="1"/>
  <c r="BG930" i="2"/>
  <c r="BH930" i="2" s="1"/>
  <c r="BG931" i="2"/>
  <c r="BH931" i="2" s="1"/>
  <c r="BG932" i="2"/>
  <c r="BH932" i="2" s="1"/>
  <c r="BG933" i="2"/>
  <c r="BH933" i="2" s="1"/>
  <c r="BG934" i="2"/>
  <c r="BH934" i="2" s="1"/>
  <c r="BG935" i="2"/>
  <c r="BH935" i="2" s="1"/>
  <c r="BG936" i="2"/>
  <c r="BH936" i="2" s="1"/>
  <c r="BG937" i="2"/>
  <c r="BH937" i="2" s="1"/>
  <c r="BG938" i="2"/>
  <c r="BH938" i="2" s="1"/>
  <c r="BG939" i="2"/>
  <c r="BH939" i="2" s="1"/>
  <c r="BG940" i="2"/>
  <c r="BH940" i="2" s="1"/>
  <c r="BG941" i="2"/>
  <c r="BH941" i="2" s="1"/>
  <c r="BG942" i="2"/>
  <c r="BH942" i="2" s="1"/>
  <c r="BG943" i="2"/>
  <c r="BH943" i="2" s="1"/>
  <c r="BG944" i="2"/>
  <c r="BH944" i="2" s="1"/>
  <c r="BG945" i="2"/>
  <c r="BH945" i="2" s="1"/>
  <c r="BG946" i="2"/>
  <c r="BH946" i="2" s="1"/>
  <c r="BG947" i="2"/>
  <c r="BH947" i="2" s="1"/>
  <c r="BG948" i="2"/>
  <c r="BH948" i="2" s="1"/>
  <c r="BG949" i="2"/>
  <c r="BH949" i="2" s="1"/>
  <c r="BG950" i="2"/>
  <c r="BH950" i="2" s="1"/>
  <c r="BG951" i="2"/>
  <c r="BH951" i="2" s="1"/>
  <c r="BG952" i="2"/>
  <c r="BH952" i="2" s="1"/>
  <c r="BG953" i="2"/>
  <c r="BH953" i="2" s="1"/>
  <c r="BG954" i="2"/>
  <c r="BH954" i="2" s="1"/>
  <c r="BG955" i="2"/>
  <c r="BH955" i="2" s="1"/>
  <c r="BG956" i="2"/>
  <c r="BH956" i="2" s="1"/>
  <c r="BG957" i="2"/>
  <c r="BH957" i="2" s="1"/>
  <c r="BG958" i="2"/>
  <c r="BH958" i="2" s="1"/>
  <c r="BG959" i="2"/>
  <c r="BH959" i="2" s="1"/>
  <c r="BG960" i="2"/>
  <c r="BH960" i="2" s="1"/>
  <c r="BG961" i="2"/>
  <c r="BH961" i="2" s="1"/>
  <c r="BG962" i="2"/>
  <c r="BH962" i="2" s="1"/>
  <c r="BG963" i="2"/>
  <c r="BH963" i="2" s="1"/>
  <c r="BG964" i="2"/>
  <c r="BH964" i="2" s="1"/>
  <c r="BG965" i="2"/>
  <c r="BH965" i="2" s="1"/>
  <c r="BG966" i="2"/>
  <c r="BH966" i="2" s="1"/>
  <c r="BG967" i="2"/>
  <c r="BH967" i="2" s="1"/>
  <c r="BG968" i="2"/>
  <c r="BH968" i="2" s="1"/>
  <c r="BG969" i="2"/>
  <c r="BH969" i="2" s="1"/>
  <c r="BG970" i="2"/>
  <c r="BH970" i="2" s="1"/>
  <c r="BG971" i="2"/>
  <c r="BH971" i="2" s="1"/>
  <c r="BG972" i="2"/>
  <c r="BH972" i="2" s="1"/>
  <c r="BG973" i="2"/>
  <c r="BH973" i="2" s="1"/>
  <c r="BG974" i="2"/>
  <c r="BH974" i="2" s="1"/>
  <c r="BG975" i="2"/>
  <c r="BH975" i="2" s="1"/>
  <c r="BG976" i="2"/>
  <c r="BH976" i="2" s="1"/>
  <c r="BG977" i="2"/>
  <c r="BH977" i="2" s="1"/>
  <c r="BG978" i="2"/>
  <c r="BH978" i="2" s="1"/>
  <c r="BG979" i="2"/>
  <c r="BH979" i="2" s="1"/>
  <c r="BG980" i="2"/>
  <c r="BH980" i="2" s="1"/>
  <c r="BG981" i="2"/>
  <c r="BH981" i="2" s="1"/>
  <c r="BG982" i="2"/>
  <c r="BH982" i="2" s="1"/>
  <c r="BG983" i="2"/>
  <c r="BH983" i="2" s="1"/>
  <c r="BG984" i="2"/>
  <c r="BH984" i="2" s="1"/>
  <c r="BG985" i="2"/>
  <c r="BH985" i="2" s="1"/>
  <c r="BG986" i="2"/>
  <c r="BH986" i="2" s="1"/>
  <c r="BG987" i="2"/>
  <c r="BH987" i="2" s="1"/>
  <c r="BG988" i="2"/>
  <c r="BH988" i="2" s="1"/>
  <c r="BG989" i="2"/>
  <c r="BH989" i="2" s="1"/>
  <c r="BG990" i="2"/>
  <c r="BH990" i="2" s="1"/>
  <c r="BG991" i="2"/>
  <c r="BH991" i="2" s="1"/>
  <c r="BG992" i="2"/>
  <c r="BH992" i="2" s="1"/>
  <c r="BG993" i="2"/>
  <c r="BH993" i="2" s="1"/>
  <c r="BG994" i="2"/>
  <c r="BH994" i="2" s="1"/>
  <c r="BG995" i="2"/>
  <c r="BH995" i="2" s="1"/>
  <c r="BG996" i="2"/>
  <c r="BH996" i="2" s="1"/>
  <c r="BG997" i="2"/>
  <c r="BH997" i="2" s="1"/>
  <c r="BG998" i="2"/>
  <c r="BH998" i="2" s="1"/>
  <c r="BG999" i="2"/>
  <c r="BH999" i="2" s="1"/>
  <c r="BG1000" i="2"/>
  <c r="BH1000" i="2" s="1"/>
  <c r="BG1001" i="2"/>
  <c r="BH1001" i="2" s="1"/>
  <c r="BG1002" i="2"/>
  <c r="BH1002" i="2" s="1"/>
  <c r="BG1003" i="2"/>
  <c r="BH1003" i="2" s="1"/>
  <c r="BG1004" i="2"/>
  <c r="BH1004" i="2" s="1"/>
  <c r="BG1005" i="2"/>
  <c r="BH1005" i="2" s="1"/>
  <c r="BG1006" i="2"/>
  <c r="BH1006" i="2" s="1"/>
  <c r="BG1007" i="2"/>
  <c r="BH1007" i="2" s="1"/>
  <c r="BG1008" i="2"/>
  <c r="BH1008" i="2" s="1"/>
  <c r="BG1009" i="2"/>
  <c r="BH1009" i="2" s="1"/>
  <c r="BG1010" i="2"/>
  <c r="BH1010" i="2" s="1"/>
  <c r="BG1011" i="2"/>
  <c r="BH1011" i="2" s="1"/>
  <c r="BG1012" i="2"/>
  <c r="BH1012" i="2" s="1"/>
  <c r="BG1013" i="2"/>
  <c r="BH1013" i="2" s="1"/>
  <c r="BG1014" i="2"/>
  <c r="BH1014" i="2" s="1"/>
  <c r="BG1015" i="2"/>
  <c r="BH1015" i="2" s="1"/>
  <c r="BG1016" i="2"/>
  <c r="BH1016" i="2" s="1"/>
  <c r="BG1017" i="2"/>
  <c r="BH1017" i="2" s="1"/>
  <c r="BG1018" i="2"/>
  <c r="BH1018" i="2" s="1"/>
  <c r="BG1019" i="2"/>
  <c r="BH1019" i="2" s="1"/>
  <c r="BG1020" i="2"/>
  <c r="BH1020" i="2" s="1"/>
  <c r="BG1021" i="2"/>
  <c r="BH1021" i="2" s="1"/>
  <c r="BG1022" i="2"/>
  <c r="BH1022" i="2" s="1"/>
  <c r="BG1023" i="2"/>
  <c r="BH1023" i="2" s="1"/>
  <c r="BG1024" i="2"/>
  <c r="BH1024" i="2" s="1"/>
  <c r="BG1025" i="2"/>
  <c r="BH1025" i="2" s="1"/>
  <c r="BG1026" i="2"/>
  <c r="BH1026" i="2" s="1"/>
  <c r="BG1027" i="2"/>
  <c r="BH1027" i="2" s="1"/>
  <c r="BG1028" i="2"/>
  <c r="BH1028" i="2" s="1"/>
  <c r="BG1029" i="2"/>
  <c r="BH1029" i="2" s="1"/>
  <c r="BG1030" i="2"/>
  <c r="BH1030" i="2" s="1"/>
  <c r="BG1031" i="2"/>
  <c r="BH1031" i="2" s="1"/>
  <c r="BG1032" i="2"/>
  <c r="BH1032" i="2" s="1"/>
  <c r="BG1033" i="2"/>
  <c r="BH1033" i="2" s="1"/>
  <c r="BG1034" i="2"/>
  <c r="BH1034" i="2" s="1"/>
  <c r="BG1035" i="2"/>
  <c r="BH1035" i="2" s="1"/>
  <c r="BG1036" i="2"/>
  <c r="BH1036" i="2" s="1"/>
  <c r="BG1037" i="2"/>
  <c r="BH1037" i="2" s="1"/>
  <c r="BG1038" i="2"/>
  <c r="BH1038" i="2" s="1"/>
  <c r="BG1039" i="2"/>
  <c r="BH1039" i="2" s="1"/>
  <c r="BG1040" i="2"/>
  <c r="BH1040" i="2" s="1"/>
  <c r="BG1041" i="2"/>
  <c r="BH1041" i="2" s="1"/>
  <c r="BG1042" i="2"/>
  <c r="BH1042" i="2" s="1"/>
  <c r="BG1043" i="2"/>
  <c r="BH1043" i="2" s="1"/>
  <c r="BG1044" i="2"/>
  <c r="BH1044" i="2" s="1"/>
  <c r="BG1045" i="2"/>
  <c r="BH1045" i="2" s="1"/>
  <c r="BG1046" i="2"/>
  <c r="BH1046" i="2" s="1"/>
  <c r="BG1047" i="2"/>
  <c r="BH1047" i="2" s="1"/>
  <c r="BG1048" i="2"/>
  <c r="BH1048" i="2" s="1"/>
  <c r="BG1049" i="2"/>
  <c r="BH1049" i="2" s="1"/>
  <c r="BG1050" i="2"/>
  <c r="BH1050" i="2" s="1"/>
  <c r="BG1051" i="2"/>
  <c r="BH1051" i="2" s="1"/>
  <c r="BG1052" i="2"/>
  <c r="BH1052" i="2" s="1"/>
  <c r="BG1053" i="2"/>
  <c r="BH1053" i="2" s="1"/>
  <c r="BG1054" i="2"/>
  <c r="BH1054" i="2" s="1"/>
  <c r="BG1055" i="2"/>
  <c r="BH1055" i="2" s="1"/>
  <c r="BG1056" i="2"/>
  <c r="BH1056" i="2" s="1"/>
  <c r="BG1057" i="2"/>
  <c r="BH1057" i="2" s="1"/>
  <c r="BG1058" i="2"/>
  <c r="BH1058" i="2" s="1"/>
  <c r="BG1059" i="2"/>
  <c r="BH1059" i="2" s="1"/>
  <c r="BG1060" i="2"/>
  <c r="BH1060" i="2" s="1"/>
  <c r="BG1061" i="2"/>
  <c r="BH1061" i="2" s="1"/>
  <c r="BG1062" i="2"/>
  <c r="BH1062" i="2" s="1"/>
  <c r="BG1063" i="2"/>
  <c r="BH1063" i="2" s="1"/>
  <c r="BG1064" i="2"/>
  <c r="BH1064" i="2" s="1"/>
  <c r="BG1065" i="2"/>
  <c r="BH1065" i="2" s="1"/>
  <c r="BG1066" i="2"/>
  <c r="BH1066" i="2" s="1"/>
  <c r="BG1067" i="2"/>
  <c r="BH1067" i="2" s="1"/>
  <c r="BG1068" i="2"/>
  <c r="BH1068" i="2" s="1"/>
  <c r="BG1069" i="2"/>
  <c r="BH1069" i="2" s="1"/>
  <c r="BG1070" i="2"/>
  <c r="BH1070" i="2" s="1"/>
  <c r="BG1071" i="2"/>
  <c r="BH1071" i="2" s="1"/>
  <c r="BG1072" i="2"/>
  <c r="BH1072" i="2" s="1"/>
  <c r="BG1073" i="2"/>
  <c r="BH1073" i="2" s="1"/>
  <c r="BG1074" i="2"/>
  <c r="BH1074" i="2" s="1"/>
  <c r="BG1075" i="2"/>
  <c r="BH1075" i="2" s="1"/>
  <c r="BG1076" i="2"/>
  <c r="BH1076" i="2" s="1"/>
  <c r="BG1077" i="2"/>
  <c r="BH1077" i="2" s="1"/>
  <c r="BG1078" i="2"/>
  <c r="BH1078" i="2" s="1"/>
  <c r="BG1079" i="2"/>
  <c r="BH1079" i="2" s="1"/>
  <c r="BG1080" i="2"/>
  <c r="BH1080" i="2" s="1"/>
  <c r="BG1081" i="2"/>
  <c r="BH1081" i="2" s="1"/>
  <c r="BG1082" i="2"/>
  <c r="BH1082" i="2" s="1"/>
  <c r="BG1083" i="2"/>
  <c r="BH1083" i="2" s="1"/>
  <c r="BG1084" i="2"/>
  <c r="BH1084" i="2" s="1"/>
  <c r="BG1085" i="2"/>
  <c r="BH1085" i="2" s="1"/>
  <c r="BG1086" i="2"/>
  <c r="BH1086" i="2" s="1"/>
  <c r="BG1087" i="2"/>
  <c r="BH1087" i="2" s="1"/>
  <c r="BG1088" i="2"/>
  <c r="BH1088" i="2" s="1"/>
  <c r="BG1089" i="2"/>
  <c r="BH1089" i="2" s="1"/>
  <c r="BG1090" i="2"/>
  <c r="BH1090" i="2" s="1"/>
  <c r="BG1091" i="2"/>
  <c r="BH1091" i="2" s="1"/>
  <c r="BG1092" i="2"/>
  <c r="BH1092" i="2" s="1"/>
  <c r="BG1093" i="2"/>
  <c r="BH1093" i="2" s="1"/>
  <c r="BG1094" i="2"/>
  <c r="BH1094" i="2" s="1"/>
  <c r="BG1095" i="2"/>
  <c r="BH1095" i="2" s="1"/>
  <c r="BG1096" i="2"/>
  <c r="BH1096" i="2" s="1"/>
  <c r="BG1097" i="2"/>
  <c r="BH1097" i="2" s="1"/>
  <c r="BG1098" i="2"/>
  <c r="BH1098" i="2" s="1"/>
  <c r="BG1099" i="2"/>
  <c r="BH1099" i="2" s="1"/>
  <c r="BG1100" i="2"/>
  <c r="BH1100" i="2" s="1"/>
  <c r="BG1101" i="2"/>
  <c r="BH1101" i="2" s="1"/>
  <c r="BG1102" i="2"/>
  <c r="BH1102" i="2" s="1"/>
  <c r="BG1103" i="2"/>
  <c r="BH1103" i="2" s="1"/>
  <c r="BG1104" i="2"/>
  <c r="BH1104" i="2" s="1"/>
  <c r="BG1105" i="2"/>
  <c r="BH1105" i="2" s="1"/>
  <c r="BG1106" i="2"/>
  <c r="BH1106" i="2" s="1"/>
  <c r="BG1107" i="2"/>
  <c r="BH1107" i="2" s="1"/>
  <c r="BG1108" i="2"/>
  <c r="BH1108" i="2" s="1"/>
  <c r="BG1109" i="2"/>
  <c r="BH1109" i="2" s="1"/>
  <c r="BG1110" i="2"/>
  <c r="BH1110" i="2" s="1"/>
  <c r="BG1111" i="2"/>
  <c r="BH1111" i="2" s="1"/>
  <c r="BG1112" i="2"/>
  <c r="BH1112" i="2" s="1"/>
  <c r="BG1113" i="2"/>
  <c r="BH1113" i="2" s="1"/>
  <c r="BG1114" i="2"/>
  <c r="BH1114" i="2" s="1"/>
  <c r="BG1115" i="2"/>
  <c r="BH1115" i="2" s="1"/>
  <c r="BG1116" i="2"/>
  <c r="BH1116" i="2" s="1"/>
  <c r="BG1117" i="2"/>
  <c r="BH1117" i="2" s="1"/>
  <c r="BG1118" i="2"/>
  <c r="BH1118" i="2" s="1"/>
  <c r="BG1119" i="2"/>
  <c r="BH1119" i="2" s="1"/>
  <c r="BG1120" i="2"/>
  <c r="BH1120" i="2" s="1"/>
  <c r="BG1121" i="2"/>
  <c r="BH1121" i="2" s="1"/>
  <c r="BG1122" i="2"/>
  <c r="BH1122" i="2" s="1"/>
  <c r="BG1123" i="2"/>
  <c r="BH1123" i="2" s="1"/>
  <c r="BG1124" i="2"/>
  <c r="BH1124" i="2" s="1"/>
  <c r="BG1125" i="2"/>
  <c r="BH1125" i="2" s="1"/>
  <c r="BG1126" i="2"/>
  <c r="BH1126" i="2" s="1"/>
  <c r="BG1127" i="2"/>
  <c r="BH1127" i="2" s="1"/>
  <c r="BG1128" i="2"/>
  <c r="BH1128" i="2" s="1"/>
  <c r="BG1129" i="2"/>
  <c r="BH1129" i="2" s="1"/>
  <c r="BG1130" i="2"/>
  <c r="BH1130" i="2" s="1"/>
  <c r="BG1131" i="2"/>
  <c r="BH1131" i="2" s="1"/>
  <c r="BG1132" i="2"/>
  <c r="BH1132" i="2" s="1"/>
  <c r="BG1133" i="2"/>
  <c r="BH1133" i="2" s="1"/>
  <c r="BG1134" i="2"/>
  <c r="BH1134" i="2" s="1"/>
  <c r="BG1135" i="2"/>
  <c r="BH1135" i="2" s="1"/>
  <c r="BG1136" i="2"/>
  <c r="BH1136" i="2" s="1"/>
  <c r="BG1137" i="2"/>
  <c r="BH1137" i="2" s="1"/>
  <c r="BG1138" i="2"/>
  <c r="BH1138" i="2" s="1"/>
  <c r="BG1139" i="2"/>
  <c r="BH1139" i="2" s="1"/>
  <c r="BG1140" i="2"/>
  <c r="BH1140" i="2" s="1"/>
  <c r="BG1141" i="2"/>
  <c r="BH1141" i="2" s="1"/>
  <c r="BG1142" i="2"/>
  <c r="BH1142" i="2" s="1"/>
  <c r="BG1143" i="2"/>
  <c r="BH1143" i="2" s="1"/>
  <c r="BG1144" i="2"/>
  <c r="BH1144" i="2" s="1"/>
  <c r="BG1145" i="2"/>
  <c r="BH1145" i="2" s="1"/>
  <c r="BG1146" i="2"/>
  <c r="BH1146" i="2" s="1"/>
  <c r="BG1147" i="2"/>
  <c r="BH1147" i="2" s="1"/>
  <c r="BG1148" i="2"/>
  <c r="BH1148" i="2" s="1"/>
  <c r="BG1149" i="2"/>
  <c r="BH1149" i="2" s="1"/>
  <c r="BG1150" i="2"/>
  <c r="BH1150" i="2" s="1"/>
  <c r="BG1151" i="2"/>
  <c r="BH1151" i="2" s="1"/>
  <c r="BG1152" i="2"/>
  <c r="BH1152" i="2" s="1"/>
  <c r="BG1153" i="2"/>
  <c r="BH1153" i="2" s="1"/>
  <c r="BG1154" i="2"/>
  <c r="BH1154" i="2" s="1"/>
  <c r="BG1155" i="2"/>
  <c r="BH1155" i="2" s="1"/>
  <c r="BG1156" i="2"/>
  <c r="BH1156" i="2" s="1"/>
  <c r="BG1157" i="2"/>
  <c r="BH1157" i="2" s="1"/>
  <c r="BG1158" i="2"/>
  <c r="BH1158" i="2" s="1"/>
  <c r="BG1159" i="2"/>
  <c r="BH1159" i="2" s="1"/>
  <c r="BG1160" i="2"/>
  <c r="BH1160" i="2" s="1"/>
  <c r="BG1161" i="2"/>
  <c r="BH1161" i="2" s="1"/>
  <c r="BG1162" i="2"/>
  <c r="BH1162" i="2" s="1"/>
  <c r="BG1163" i="2"/>
  <c r="BH1163" i="2" s="1"/>
  <c r="BG1164" i="2"/>
  <c r="BH1164" i="2" s="1"/>
  <c r="BG1165" i="2"/>
  <c r="BH1165" i="2" s="1"/>
  <c r="BG1166" i="2"/>
  <c r="BH1166" i="2" s="1"/>
  <c r="BG1167" i="2"/>
  <c r="BH1167" i="2" s="1"/>
  <c r="BG1168" i="2"/>
  <c r="BH1168" i="2" s="1"/>
  <c r="BG1169" i="2"/>
  <c r="BH1169" i="2" s="1"/>
  <c r="BG1170" i="2"/>
  <c r="BH1170" i="2" s="1"/>
  <c r="BG1171" i="2"/>
  <c r="BH1171" i="2" s="1"/>
  <c r="BG1172" i="2"/>
  <c r="BH1172" i="2" s="1"/>
  <c r="BG1173" i="2"/>
  <c r="BH1173" i="2" s="1"/>
  <c r="BG1174" i="2"/>
  <c r="BH1174" i="2" s="1"/>
  <c r="BG1175" i="2"/>
  <c r="BH1175" i="2" s="1"/>
  <c r="BG1176" i="2"/>
  <c r="BH1176" i="2" s="1"/>
  <c r="BG1177" i="2"/>
  <c r="BH1177" i="2" s="1"/>
  <c r="BG1178" i="2"/>
  <c r="BH1178" i="2" s="1"/>
  <c r="BG1179" i="2"/>
  <c r="BH1179" i="2" s="1"/>
  <c r="BG1180" i="2"/>
  <c r="BH1180" i="2" s="1"/>
  <c r="BG1181" i="2"/>
  <c r="BH1181" i="2" s="1"/>
  <c r="BG1182" i="2"/>
  <c r="BH1182" i="2" s="1"/>
  <c r="BG1183" i="2"/>
  <c r="BH1183" i="2" s="1"/>
  <c r="BG1184" i="2"/>
  <c r="BH1184" i="2" s="1"/>
  <c r="BG1185" i="2"/>
  <c r="BH1185" i="2" s="1"/>
  <c r="BG1186" i="2"/>
  <c r="BH1186" i="2" s="1"/>
  <c r="BG1187" i="2"/>
  <c r="BH1187" i="2" s="1"/>
  <c r="BG1188" i="2"/>
  <c r="BH1188" i="2" s="1"/>
  <c r="BG1189" i="2"/>
  <c r="BH1189" i="2" s="1"/>
  <c r="BG1190" i="2"/>
  <c r="BH1190" i="2" s="1"/>
  <c r="BG1191" i="2"/>
  <c r="BH1191" i="2" s="1"/>
  <c r="BG1192" i="2"/>
  <c r="BH1192" i="2" s="1"/>
  <c r="BG1193" i="2"/>
  <c r="BH1193" i="2" s="1"/>
  <c r="BG1194" i="2"/>
  <c r="BH1194" i="2" s="1"/>
  <c r="BG1195" i="2"/>
  <c r="BH1195" i="2" s="1"/>
  <c r="BG1196" i="2"/>
  <c r="BH1196" i="2" s="1"/>
  <c r="BG1197" i="2"/>
  <c r="BH1197" i="2" s="1"/>
  <c r="BG1198" i="2"/>
  <c r="BH1198" i="2" s="1"/>
  <c r="BG1199" i="2"/>
  <c r="BH1199" i="2" s="1"/>
  <c r="BG1200" i="2"/>
  <c r="BH1200" i="2" s="1"/>
  <c r="BG1201" i="2"/>
  <c r="BH1201" i="2" s="1"/>
  <c r="BG1202" i="2"/>
  <c r="BH1202" i="2" s="1"/>
  <c r="BG1203" i="2"/>
  <c r="BH1203" i="2" s="1"/>
  <c r="BG1204" i="2"/>
  <c r="BH1204" i="2" s="1"/>
  <c r="BG1205" i="2"/>
  <c r="BH1205" i="2" s="1"/>
  <c r="BG1206" i="2"/>
  <c r="BH1206" i="2" s="1"/>
  <c r="BG1207" i="2"/>
  <c r="BH1207" i="2" s="1"/>
  <c r="BG1208" i="2"/>
  <c r="BH1208" i="2" s="1"/>
  <c r="BG1209" i="2"/>
  <c r="BH1209" i="2" s="1"/>
  <c r="BG1210" i="2"/>
  <c r="BH1210" i="2" s="1"/>
  <c r="BG1211" i="2"/>
  <c r="BH1211" i="2" s="1"/>
  <c r="BG1212" i="2"/>
  <c r="BH1212" i="2" s="1"/>
  <c r="BG1213" i="2"/>
  <c r="BH1213" i="2" s="1"/>
  <c r="BG1214" i="2"/>
  <c r="BH1214" i="2" s="1"/>
  <c r="BG1215" i="2"/>
  <c r="BH1215" i="2" s="1"/>
  <c r="BG1216" i="2"/>
  <c r="BH1216" i="2" s="1"/>
  <c r="BG1217" i="2"/>
  <c r="BH1217" i="2" s="1"/>
  <c r="BG1218" i="2"/>
  <c r="BH1218" i="2" s="1"/>
  <c r="BG1219" i="2"/>
  <c r="BH1219" i="2" s="1"/>
  <c r="BG1220" i="2"/>
  <c r="BH1220" i="2" s="1"/>
  <c r="BG1221" i="2"/>
  <c r="BH1221" i="2" s="1"/>
  <c r="BG1222" i="2"/>
  <c r="BH1222" i="2" s="1"/>
  <c r="BG1223" i="2"/>
  <c r="BH1223" i="2" s="1"/>
  <c r="BG1224" i="2"/>
  <c r="BH1224" i="2" s="1"/>
  <c r="BG1225" i="2"/>
  <c r="BH1225" i="2" s="1"/>
  <c r="BG1226" i="2"/>
  <c r="BH1226" i="2" s="1"/>
  <c r="BG1227" i="2"/>
  <c r="BH1227" i="2" s="1"/>
  <c r="BG1228" i="2"/>
  <c r="BH1228" i="2" s="1"/>
  <c r="BG1229" i="2"/>
  <c r="BH1229" i="2" s="1"/>
  <c r="BG1230" i="2"/>
  <c r="BH1230" i="2" s="1"/>
  <c r="BG1231" i="2"/>
  <c r="BH1231" i="2" s="1"/>
  <c r="BG1232" i="2"/>
  <c r="BH1232" i="2" s="1"/>
  <c r="BG1233" i="2"/>
  <c r="BH1233" i="2" s="1"/>
  <c r="BG1234" i="2"/>
  <c r="BH1234" i="2" s="1"/>
  <c r="BG1235" i="2"/>
  <c r="BH1235" i="2" s="1"/>
  <c r="BG1236" i="2"/>
  <c r="BH1236" i="2" s="1"/>
  <c r="BG1237" i="2"/>
  <c r="BH1237" i="2" s="1"/>
  <c r="BG1238" i="2"/>
  <c r="BH1238" i="2" s="1"/>
  <c r="BG1239" i="2"/>
  <c r="BH1239" i="2" s="1"/>
  <c r="BG1240" i="2"/>
  <c r="BH1240" i="2" s="1"/>
  <c r="BG1241" i="2"/>
  <c r="BH1241" i="2" s="1"/>
  <c r="BG1242" i="2"/>
  <c r="BH1242" i="2" s="1"/>
  <c r="BG1243" i="2"/>
  <c r="BH1243" i="2" s="1"/>
  <c r="BG1244" i="2"/>
  <c r="BH1244" i="2" s="1"/>
  <c r="BG1245" i="2"/>
  <c r="BH1245" i="2" s="1"/>
  <c r="BG1246" i="2"/>
  <c r="BH1246" i="2" s="1"/>
  <c r="BG1247" i="2"/>
  <c r="BH1247" i="2" s="1"/>
  <c r="BG1248" i="2"/>
  <c r="BH1248" i="2" s="1"/>
  <c r="BG1249" i="2"/>
  <c r="BH1249" i="2" s="1"/>
  <c r="BG1250" i="2"/>
  <c r="BH1250" i="2" s="1"/>
  <c r="BG1251" i="2"/>
  <c r="BH1251" i="2" s="1"/>
  <c r="BG1252" i="2"/>
  <c r="BH1252" i="2" s="1"/>
  <c r="BG1253" i="2"/>
  <c r="BH1253" i="2" s="1"/>
  <c r="BG1254" i="2"/>
  <c r="BH1254" i="2" s="1"/>
  <c r="BG1255" i="2"/>
  <c r="BH1255" i="2" s="1"/>
  <c r="BG1256" i="2"/>
  <c r="BH1256" i="2" s="1"/>
  <c r="BG1257" i="2"/>
  <c r="BH1257" i="2" s="1"/>
  <c r="BG1258" i="2"/>
  <c r="BH1258" i="2" s="1"/>
  <c r="BG1259" i="2"/>
  <c r="BH1259" i="2" s="1"/>
  <c r="BG1260" i="2"/>
  <c r="BH1260" i="2" s="1"/>
  <c r="BG1261" i="2"/>
  <c r="BH1261" i="2" s="1"/>
  <c r="BG1262" i="2"/>
  <c r="BH1262" i="2" s="1"/>
  <c r="BG1263" i="2"/>
  <c r="BH1263" i="2" s="1"/>
  <c r="BG1264" i="2"/>
  <c r="BH1264" i="2" s="1"/>
  <c r="BG1265" i="2"/>
  <c r="BH1265" i="2" s="1"/>
  <c r="BG1266" i="2"/>
  <c r="BH1266" i="2" s="1"/>
  <c r="BG1267" i="2"/>
  <c r="BH1267" i="2" s="1"/>
  <c r="BG1268" i="2"/>
  <c r="BH1268" i="2" s="1"/>
  <c r="BG1269" i="2"/>
  <c r="BH1269" i="2" s="1"/>
  <c r="BG1270" i="2"/>
  <c r="BH1270" i="2" s="1"/>
  <c r="BG1271" i="2"/>
  <c r="BH1271" i="2" s="1"/>
  <c r="BG1272" i="2"/>
  <c r="BH1272" i="2" s="1"/>
  <c r="BG1273" i="2"/>
  <c r="BH1273" i="2" s="1"/>
  <c r="BG1274" i="2"/>
  <c r="BH1274" i="2" s="1"/>
  <c r="BG1275" i="2"/>
  <c r="BH1275" i="2" s="1"/>
  <c r="BG1276" i="2"/>
  <c r="BH1276" i="2" s="1"/>
  <c r="BG1277" i="2"/>
  <c r="BH1277" i="2" s="1"/>
  <c r="BG1278" i="2"/>
  <c r="BH1278" i="2" s="1"/>
  <c r="BG1279" i="2"/>
  <c r="BH1279" i="2" s="1"/>
  <c r="BG1280" i="2"/>
  <c r="BH1280" i="2" s="1"/>
  <c r="BG1281" i="2"/>
  <c r="BH1281" i="2" s="1"/>
  <c r="BG1282" i="2"/>
  <c r="BH1282" i="2" s="1"/>
  <c r="BG1283" i="2"/>
  <c r="BH1283" i="2" s="1"/>
  <c r="BG1284" i="2"/>
  <c r="BH1284" i="2" s="1"/>
  <c r="BG1285" i="2"/>
  <c r="BH1285" i="2" s="1"/>
  <c r="BG1286" i="2"/>
  <c r="BH1286" i="2" s="1"/>
  <c r="BG1287" i="2"/>
  <c r="BH1287" i="2" s="1"/>
  <c r="BG1288" i="2"/>
  <c r="BH1288" i="2" s="1"/>
  <c r="BG1289" i="2"/>
  <c r="BH1289" i="2" s="1"/>
  <c r="BG1290" i="2"/>
  <c r="BH1290" i="2" s="1"/>
  <c r="BG1291" i="2"/>
  <c r="BH1291" i="2" s="1"/>
  <c r="BG1292" i="2"/>
  <c r="BH1292" i="2" s="1"/>
  <c r="BG1293" i="2"/>
  <c r="BH1293" i="2" s="1"/>
  <c r="BG1294" i="2"/>
  <c r="BH1294" i="2" s="1"/>
  <c r="BG1295" i="2"/>
  <c r="BH1295" i="2" s="1"/>
  <c r="BG1296" i="2"/>
  <c r="BH1296" i="2" s="1"/>
  <c r="BG1297" i="2"/>
  <c r="BH1297" i="2" s="1"/>
  <c r="BG1298" i="2"/>
  <c r="BH1298" i="2" s="1"/>
  <c r="BG1299" i="2"/>
  <c r="BH1299" i="2" s="1"/>
  <c r="BG1300" i="2"/>
  <c r="BH1300" i="2" s="1"/>
  <c r="BG1301" i="2"/>
  <c r="BH1301" i="2" s="1"/>
  <c r="BG1302" i="2"/>
  <c r="BH1302" i="2" s="1"/>
  <c r="BG1303" i="2"/>
  <c r="BH1303" i="2" s="1"/>
  <c r="BG1304" i="2"/>
  <c r="BH1304" i="2" s="1"/>
  <c r="BG1305" i="2"/>
  <c r="BH1305" i="2" s="1"/>
  <c r="BG1306" i="2"/>
  <c r="BH1306" i="2" s="1"/>
  <c r="BG1307" i="2"/>
  <c r="BH1307" i="2" s="1"/>
  <c r="BG1308" i="2"/>
  <c r="BH1308" i="2" s="1"/>
  <c r="BG1309" i="2"/>
  <c r="BH1309" i="2" s="1"/>
  <c r="BG1310" i="2"/>
  <c r="BH1310" i="2" s="1"/>
  <c r="BG1311" i="2"/>
  <c r="BH1311" i="2" s="1"/>
  <c r="BG1312" i="2"/>
  <c r="BH1312" i="2" s="1"/>
  <c r="BG1313" i="2"/>
  <c r="BH1313" i="2" s="1"/>
  <c r="BG1314" i="2"/>
  <c r="BH1314" i="2" s="1"/>
  <c r="BG1315" i="2"/>
  <c r="BH1315" i="2" s="1"/>
  <c r="BG1316" i="2"/>
  <c r="BH1316" i="2" s="1"/>
  <c r="BG1317" i="2"/>
  <c r="BH1317" i="2" s="1"/>
  <c r="BG1318" i="2"/>
  <c r="BH1318" i="2" s="1"/>
  <c r="BG1319" i="2"/>
  <c r="BH1319" i="2" s="1"/>
  <c r="BG1320" i="2"/>
  <c r="BH1320" i="2" s="1"/>
  <c r="BG1321" i="2"/>
  <c r="BH1321" i="2" s="1"/>
  <c r="BG1322" i="2"/>
  <c r="BH1322" i="2" s="1"/>
  <c r="BG1323" i="2"/>
  <c r="BH1323" i="2" s="1"/>
  <c r="BG1324" i="2"/>
  <c r="BH1324" i="2" s="1"/>
  <c r="BG1325" i="2"/>
  <c r="BH1325" i="2" s="1"/>
  <c r="BG1326" i="2"/>
  <c r="BH1326" i="2" s="1"/>
  <c r="BG1327" i="2"/>
  <c r="BH1327" i="2" s="1"/>
  <c r="BG1328" i="2"/>
  <c r="BH1328" i="2" s="1"/>
  <c r="BG1329" i="2"/>
  <c r="BH1329" i="2" s="1"/>
  <c r="BG1330" i="2"/>
  <c r="BH1330" i="2" s="1"/>
  <c r="BG1331" i="2"/>
  <c r="BH1331" i="2" s="1"/>
  <c r="BG1332" i="2"/>
  <c r="BH1332" i="2" s="1"/>
  <c r="BG1333" i="2"/>
  <c r="BH1333" i="2" s="1"/>
  <c r="BG1334" i="2"/>
  <c r="BH1334" i="2" s="1"/>
  <c r="BG1335" i="2"/>
  <c r="BH1335" i="2" s="1"/>
  <c r="BG1336" i="2"/>
  <c r="BH1336" i="2" s="1"/>
  <c r="BG1337" i="2"/>
  <c r="BH1337" i="2" s="1"/>
  <c r="BG1338" i="2"/>
  <c r="BH1338" i="2" s="1"/>
  <c r="BG1339" i="2"/>
  <c r="BH1339" i="2" s="1"/>
  <c r="BG1340" i="2"/>
  <c r="BH1340" i="2" s="1"/>
  <c r="BG1341" i="2"/>
  <c r="BH1341" i="2" s="1"/>
  <c r="BG1342" i="2"/>
  <c r="BH1342" i="2" s="1"/>
  <c r="BG1343" i="2"/>
  <c r="BH1343" i="2" s="1"/>
  <c r="BG1344" i="2"/>
  <c r="BH1344" i="2" s="1"/>
  <c r="BG1345" i="2"/>
  <c r="BH1345" i="2" s="1"/>
  <c r="BG1346" i="2"/>
  <c r="BH1346" i="2" s="1"/>
  <c r="BG1347" i="2"/>
  <c r="BH1347" i="2" s="1"/>
  <c r="BG1348" i="2"/>
  <c r="BH1348" i="2" s="1"/>
  <c r="BG1349" i="2"/>
  <c r="BH1349" i="2" s="1"/>
  <c r="BG1350" i="2"/>
  <c r="BH1350" i="2" s="1"/>
  <c r="BG1351" i="2"/>
  <c r="BH1351" i="2" s="1"/>
  <c r="BG1352" i="2"/>
  <c r="BH1352" i="2" s="1"/>
  <c r="BG1353" i="2"/>
  <c r="BH1353" i="2" s="1"/>
  <c r="BG1354" i="2"/>
  <c r="BH1354" i="2" s="1"/>
  <c r="BG1355" i="2"/>
  <c r="BH1355" i="2" s="1"/>
  <c r="BG1356" i="2"/>
  <c r="BH1356" i="2" s="1"/>
  <c r="BG1357" i="2"/>
  <c r="BH1357" i="2" s="1"/>
  <c r="BG1358" i="2"/>
  <c r="BH1358" i="2" s="1"/>
  <c r="BG1359" i="2"/>
  <c r="BH1359" i="2" s="1"/>
  <c r="BG1360" i="2"/>
  <c r="BH1360" i="2" s="1"/>
  <c r="BG1361" i="2"/>
  <c r="BH1361" i="2" s="1"/>
  <c r="BG1362" i="2"/>
  <c r="BH1362" i="2" s="1"/>
  <c r="BG1363" i="2"/>
  <c r="BH1363" i="2" s="1"/>
  <c r="BG1364" i="2"/>
  <c r="BH1364" i="2" s="1"/>
  <c r="BG1365" i="2"/>
  <c r="BH1365" i="2" s="1"/>
  <c r="BG1366" i="2"/>
  <c r="BH1366" i="2" s="1"/>
  <c r="BG1367" i="2"/>
  <c r="BH1367" i="2" s="1"/>
  <c r="BG1368" i="2"/>
  <c r="BH1368" i="2" s="1"/>
  <c r="BG1369" i="2"/>
  <c r="BH1369" i="2" s="1"/>
  <c r="BG1370" i="2"/>
  <c r="BH1370" i="2" s="1"/>
  <c r="BG1371" i="2"/>
  <c r="BH1371" i="2" s="1"/>
  <c r="BG1372" i="2"/>
  <c r="BH1372" i="2" s="1"/>
  <c r="BG1373" i="2"/>
  <c r="BH1373" i="2" s="1"/>
  <c r="BG1374" i="2"/>
  <c r="BH1374" i="2" s="1"/>
  <c r="BG1375" i="2"/>
  <c r="BH1375" i="2" s="1"/>
  <c r="BG1376" i="2"/>
  <c r="BH1376" i="2" s="1"/>
  <c r="BG1377" i="2"/>
  <c r="BH1377" i="2" s="1"/>
  <c r="BG1378" i="2"/>
  <c r="BH1378" i="2" s="1"/>
  <c r="BG1379" i="2"/>
  <c r="BH1379" i="2" s="1"/>
  <c r="BG1380" i="2"/>
  <c r="BH1380" i="2" s="1"/>
  <c r="BG1381" i="2"/>
  <c r="BH1381" i="2" s="1"/>
  <c r="BG1382" i="2"/>
  <c r="BH1382" i="2" s="1"/>
  <c r="BG1383" i="2"/>
  <c r="BH1383" i="2" s="1"/>
  <c r="BG1384" i="2"/>
  <c r="BH1384" i="2" s="1"/>
  <c r="BG1385" i="2"/>
  <c r="BH1385" i="2" s="1"/>
  <c r="BG1386" i="2"/>
  <c r="BH1386" i="2" s="1"/>
  <c r="BG1387" i="2"/>
  <c r="BH1387" i="2" s="1"/>
  <c r="BG1388" i="2"/>
  <c r="BH1388" i="2" s="1"/>
  <c r="BG1389" i="2"/>
  <c r="BH1389" i="2" s="1"/>
  <c r="BG1390" i="2"/>
  <c r="BH1390" i="2" s="1"/>
  <c r="BG1391" i="2"/>
  <c r="BH1391" i="2" s="1"/>
  <c r="BG1392" i="2"/>
  <c r="BH1392" i="2" s="1"/>
  <c r="BG1393" i="2"/>
  <c r="BH1393" i="2" s="1"/>
  <c r="BG1394" i="2"/>
  <c r="BH1394" i="2" s="1"/>
  <c r="BG1395" i="2"/>
  <c r="BH1395" i="2" s="1"/>
  <c r="BG1396" i="2"/>
  <c r="BH1396" i="2" s="1"/>
  <c r="BG1397" i="2"/>
  <c r="BH1397" i="2" s="1"/>
  <c r="BG1398" i="2"/>
  <c r="BH1398" i="2" s="1"/>
  <c r="BG1399" i="2"/>
  <c r="BH1399" i="2" s="1"/>
  <c r="BG1400" i="2"/>
  <c r="BH1400" i="2" s="1"/>
  <c r="BG1401" i="2"/>
  <c r="BH1401" i="2" s="1"/>
  <c r="BG1402" i="2"/>
  <c r="BH1402" i="2" s="1"/>
  <c r="BG1403" i="2"/>
  <c r="BH1403" i="2" s="1"/>
  <c r="BG1404" i="2"/>
  <c r="BH1404" i="2" s="1"/>
  <c r="BG1405" i="2"/>
  <c r="BH1405" i="2" s="1"/>
  <c r="BG1406" i="2"/>
  <c r="BH1406" i="2" s="1"/>
  <c r="BG1407" i="2"/>
  <c r="BH1407" i="2" s="1"/>
  <c r="BG1408" i="2"/>
  <c r="BH1408" i="2" s="1"/>
  <c r="BG1409" i="2"/>
  <c r="BH1409" i="2" s="1"/>
  <c r="BG1410" i="2"/>
  <c r="BH1410" i="2" s="1"/>
  <c r="BG1411" i="2"/>
  <c r="BH1411" i="2" s="1"/>
  <c r="BG1412" i="2"/>
  <c r="BH1412" i="2" s="1"/>
  <c r="BG1413" i="2"/>
  <c r="BH1413" i="2" s="1"/>
  <c r="BG1414" i="2"/>
  <c r="BH1414" i="2" s="1"/>
  <c r="BG1415" i="2"/>
  <c r="BH1415" i="2" s="1"/>
  <c r="BG1416" i="2"/>
  <c r="BH1416" i="2" s="1"/>
  <c r="BG1417" i="2"/>
  <c r="BH1417" i="2" s="1"/>
  <c r="BG1418" i="2"/>
  <c r="BH1418" i="2" s="1"/>
  <c r="BG1419" i="2"/>
  <c r="BH1419" i="2" s="1"/>
  <c r="BG1420" i="2"/>
  <c r="BH1420" i="2" s="1"/>
  <c r="BG1421" i="2"/>
  <c r="BH1421" i="2" s="1"/>
  <c r="BG1422" i="2"/>
  <c r="BH1422" i="2" s="1"/>
  <c r="BG1423" i="2"/>
  <c r="BH1423" i="2" s="1"/>
  <c r="BG1424" i="2"/>
  <c r="BH1424" i="2" s="1"/>
  <c r="BG1425" i="2"/>
  <c r="BH1425" i="2" s="1"/>
  <c r="BG1426" i="2"/>
  <c r="BH1426" i="2" s="1"/>
  <c r="BG1427" i="2"/>
  <c r="BH1427" i="2" s="1"/>
  <c r="BG1428" i="2"/>
  <c r="BH1428" i="2" s="1"/>
  <c r="BG1429" i="2"/>
  <c r="BH1429" i="2" s="1"/>
  <c r="BG1430" i="2"/>
  <c r="BH1430" i="2" s="1"/>
  <c r="BG1431" i="2"/>
  <c r="BH1431" i="2" s="1"/>
  <c r="BG1432" i="2"/>
  <c r="BH1432" i="2" s="1"/>
  <c r="BG1433" i="2"/>
  <c r="BH1433" i="2" s="1"/>
  <c r="BG1434" i="2"/>
  <c r="BH1434" i="2" s="1"/>
  <c r="BG1435" i="2"/>
  <c r="BH1435" i="2" s="1"/>
  <c r="BG1436" i="2"/>
  <c r="BH1436" i="2" s="1"/>
  <c r="BG1437" i="2"/>
  <c r="BH1437" i="2" s="1"/>
  <c r="BG1438" i="2"/>
  <c r="BH1438" i="2" s="1"/>
  <c r="BG1439" i="2"/>
  <c r="BH1439" i="2" s="1"/>
  <c r="BG1440" i="2"/>
  <c r="BH1440" i="2" s="1"/>
  <c r="BG1441" i="2"/>
  <c r="BH1441" i="2" s="1"/>
  <c r="BG1442" i="2"/>
  <c r="BH1442" i="2" s="1"/>
  <c r="BG1443" i="2"/>
  <c r="BH1443" i="2" s="1"/>
  <c r="BG1444" i="2"/>
  <c r="BH1444" i="2" s="1"/>
  <c r="BG1445" i="2"/>
  <c r="BH1445" i="2" s="1"/>
  <c r="BG1446" i="2"/>
  <c r="BH1446" i="2" s="1"/>
  <c r="BG1447" i="2"/>
  <c r="BH1447" i="2" s="1"/>
  <c r="BG1448" i="2"/>
  <c r="BH1448" i="2" s="1"/>
  <c r="BG1449" i="2"/>
  <c r="BH1449" i="2" s="1"/>
  <c r="BG1450" i="2"/>
  <c r="BH1450" i="2" s="1"/>
  <c r="BG1451" i="2"/>
  <c r="BH1451" i="2" s="1"/>
  <c r="BG1452" i="2"/>
  <c r="BH1452" i="2" s="1"/>
  <c r="BG1453" i="2"/>
  <c r="BH1453" i="2" s="1"/>
  <c r="BG1454" i="2"/>
  <c r="BH1454" i="2" s="1"/>
  <c r="BG1455" i="2"/>
  <c r="BH1455" i="2" s="1"/>
  <c r="BG1456" i="2"/>
  <c r="BH1456" i="2" s="1"/>
  <c r="BG1457" i="2"/>
  <c r="BH1457" i="2" s="1"/>
  <c r="BG1458" i="2"/>
  <c r="BH1458" i="2" s="1"/>
  <c r="BG1459" i="2"/>
  <c r="BH1459" i="2" s="1"/>
  <c r="BG1460" i="2"/>
  <c r="BH1460" i="2" s="1"/>
  <c r="BG1461" i="2"/>
  <c r="BH1461" i="2" s="1"/>
  <c r="BG1462" i="2"/>
  <c r="BH1462" i="2" s="1"/>
  <c r="BG1463" i="2"/>
  <c r="BH1463" i="2" s="1"/>
  <c r="BG1464" i="2"/>
  <c r="BH1464" i="2" s="1"/>
  <c r="BG1465" i="2"/>
  <c r="BH1465" i="2" s="1"/>
  <c r="BG1466" i="2"/>
  <c r="BH1466" i="2" s="1"/>
  <c r="BG1467" i="2"/>
  <c r="BH1467" i="2" s="1"/>
  <c r="BG1468" i="2"/>
  <c r="BH1468" i="2" s="1"/>
  <c r="BG1469" i="2"/>
  <c r="BH1469" i="2" s="1"/>
  <c r="BG1470" i="2"/>
  <c r="BH1470" i="2" s="1"/>
  <c r="BG1471" i="2"/>
  <c r="BH1471" i="2" s="1"/>
  <c r="BG1472" i="2"/>
  <c r="BH1472" i="2" s="1"/>
  <c r="BG1473" i="2"/>
  <c r="BH1473" i="2" s="1"/>
  <c r="BG1474" i="2"/>
  <c r="BH1474" i="2" s="1"/>
  <c r="BG1475" i="2"/>
  <c r="BH1475" i="2" s="1"/>
  <c r="BG1476" i="2"/>
  <c r="BH1476" i="2" s="1"/>
  <c r="BG1477" i="2"/>
  <c r="BH1477" i="2" s="1"/>
  <c r="BG1478" i="2"/>
  <c r="BH1478" i="2" s="1"/>
  <c r="BG1479" i="2"/>
  <c r="BH1479" i="2" s="1"/>
  <c r="BG1480" i="2"/>
  <c r="BH1480" i="2" s="1"/>
  <c r="BG1481" i="2"/>
  <c r="BH1481" i="2" s="1"/>
  <c r="BG1482" i="2"/>
  <c r="BH1482" i="2" s="1"/>
  <c r="BG1483" i="2"/>
  <c r="BH1483" i="2" s="1"/>
  <c r="BG1484" i="2"/>
  <c r="BH1484" i="2" s="1"/>
  <c r="BG1485" i="2"/>
  <c r="BH1485" i="2" s="1"/>
  <c r="BG1486" i="2"/>
  <c r="BH1486" i="2" s="1"/>
  <c r="BG1487" i="2"/>
  <c r="BH1487" i="2" s="1"/>
  <c r="BG1488" i="2"/>
  <c r="BH1488" i="2" s="1"/>
  <c r="BG1489" i="2"/>
  <c r="BH1489" i="2" s="1"/>
  <c r="BG1490" i="2"/>
  <c r="BH1490" i="2" s="1"/>
  <c r="BG1491" i="2"/>
  <c r="BH1491" i="2" s="1"/>
  <c r="BG1492" i="2"/>
  <c r="BH1492" i="2" s="1"/>
  <c r="BG1493" i="2"/>
  <c r="BH1493" i="2" s="1"/>
  <c r="BG1494" i="2"/>
  <c r="BH1494" i="2" s="1"/>
  <c r="BG1495" i="2"/>
  <c r="BH1495" i="2" s="1"/>
  <c r="BG1496" i="2"/>
  <c r="BH1496" i="2" s="1"/>
  <c r="BG1497" i="2"/>
  <c r="BH1497" i="2" s="1"/>
  <c r="BG1498" i="2"/>
  <c r="BH1498" i="2" s="1"/>
  <c r="BG1499" i="2"/>
  <c r="BH1499" i="2" s="1"/>
  <c r="BG1500" i="2"/>
  <c r="BH1500" i="2" s="1"/>
  <c r="BG1501" i="2"/>
  <c r="BH1501" i="2" s="1"/>
  <c r="BG1502" i="2"/>
  <c r="BH1502" i="2" s="1"/>
  <c r="BG1503" i="2"/>
  <c r="BH1503" i="2" s="1"/>
  <c r="BG1504" i="2"/>
  <c r="BH1504" i="2" s="1"/>
  <c r="BG1505" i="2"/>
  <c r="BH1505" i="2" s="1"/>
  <c r="BG1506" i="2"/>
  <c r="BH1506" i="2" s="1"/>
  <c r="BG1507" i="2"/>
  <c r="BH1507" i="2" s="1"/>
  <c r="BG1508" i="2"/>
  <c r="BH1508" i="2" s="1"/>
  <c r="BG1509" i="2"/>
  <c r="BH1509" i="2" s="1"/>
  <c r="BG1510" i="2"/>
  <c r="BH1510" i="2" s="1"/>
  <c r="BG1511" i="2"/>
  <c r="BH1511" i="2" s="1"/>
  <c r="BG1512" i="2"/>
  <c r="BH1512" i="2" s="1"/>
  <c r="BG1513" i="2"/>
  <c r="BH1513" i="2" s="1"/>
  <c r="BG1514" i="2"/>
  <c r="BH1514" i="2" s="1"/>
  <c r="BG1515" i="2"/>
  <c r="BH1515" i="2" s="1"/>
  <c r="BG1516" i="2"/>
  <c r="BH1516" i="2" s="1"/>
  <c r="BG1517" i="2"/>
  <c r="BH1517" i="2" s="1"/>
  <c r="BG1518" i="2"/>
  <c r="BH1518" i="2" s="1"/>
  <c r="BG1519" i="2"/>
  <c r="BH1519" i="2" s="1"/>
  <c r="BG1520" i="2"/>
  <c r="BH1520" i="2" s="1"/>
  <c r="BG1521" i="2"/>
  <c r="BH1521" i="2" s="1"/>
  <c r="BG1522" i="2"/>
  <c r="BH1522" i="2" s="1"/>
  <c r="BG1523" i="2"/>
  <c r="BH1523" i="2" s="1"/>
  <c r="BG1524" i="2"/>
  <c r="BH1524" i="2" s="1"/>
  <c r="BG1525" i="2"/>
  <c r="BH1525" i="2" s="1"/>
  <c r="BG1526" i="2"/>
  <c r="BH1526" i="2" s="1"/>
  <c r="BG1527" i="2"/>
  <c r="BH1527" i="2" s="1"/>
  <c r="BG1528" i="2"/>
  <c r="BH1528" i="2" s="1"/>
  <c r="BG1529" i="2"/>
  <c r="BH1529" i="2" s="1"/>
  <c r="BG1530" i="2"/>
  <c r="BH1530" i="2" s="1"/>
  <c r="BG1531" i="2"/>
  <c r="BH1531" i="2" s="1"/>
  <c r="BG1532" i="2"/>
  <c r="BH1532" i="2" s="1"/>
  <c r="BG1533" i="2"/>
  <c r="BH1533" i="2" s="1"/>
  <c r="BG1534" i="2"/>
  <c r="BH1534" i="2" s="1"/>
  <c r="BG1535" i="2"/>
  <c r="BH1535" i="2" s="1"/>
  <c r="BG1536" i="2"/>
  <c r="BH1536" i="2" s="1"/>
  <c r="BG1537" i="2"/>
  <c r="BH1537" i="2" s="1"/>
  <c r="BG1538" i="2"/>
  <c r="BH1538" i="2" s="1"/>
  <c r="BG1539" i="2"/>
  <c r="BH1539" i="2" s="1"/>
  <c r="BG1540" i="2"/>
  <c r="BH1540" i="2" s="1"/>
  <c r="BG1541" i="2"/>
  <c r="BH1541" i="2" s="1"/>
  <c r="BG1542" i="2"/>
  <c r="BH1542" i="2" s="1"/>
  <c r="BG1543" i="2"/>
  <c r="BH1543" i="2" s="1"/>
  <c r="BG1544" i="2"/>
  <c r="BH1544" i="2" s="1"/>
  <c r="BG1545" i="2"/>
  <c r="BH1545" i="2" s="1"/>
  <c r="BG1546" i="2"/>
  <c r="BH1546" i="2" s="1"/>
  <c r="BG1547" i="2"/>
  <c r="BH1547" i="2" s="1"/>
  <c r="BG1548" i="2"/>
  <c r="BH1548" i="2" s="1"/>
  <c r="BG1549" i="2"/>
  <c r="BH1549" i="2" s="1"/>
  <c r="BG1550" i="2"/>
  <c r="BH1550" i="2" s="1"/>
  <c r="BG1551" i="2"/>
  <c r="BH1551" i="2" s="1"/>
  <c r="BG1552" i="2"/>
  <c r="BH1552" i="2" s="1"/>
  <c r="BG1553" i="2"/>
  <c r="BH1553" i="2" s="1"/>
  <c r="BG1554" i="2"/>
  <c r="BH1554" i="2" s="1"/>
  <c r="BG1555" i="2"/>
  <c r="BH1555" i="2" s="1"/>
  <c r="BG1556" i="2"/>
  <c r="BH1556" i="2" s="1"/>
  <c r="BG1557" i="2"/>
  <c r="BH1557" i="2" s="1"/>
  <c r="BG1558" i="2"/>
  <c r="BH1558" i="2" s="1"/>
  <c r="BG1559" i="2"/>
  <c r="BH1559" i="2" s="1"/>
  <c r="BG1560" i="2"/>
  <c r="BH1560" i="2" s="1"/>
  <c r="BG1561" i="2"/>
  <c r="BH1561" i="2" s="1"/>
  <c r="BG1562" i="2"/>
  <c r="BH1562" i="2" s="1"/>
  <c r="BG1563" i="2"/>
  <c r="BH1563" i="2" s="1"/>
  <c r="BG1564" i="2"/>
  <c r="BH1564" i="2" s="1"/>
  <c r="BG1565" i="2"/>
  <c r="BH1565" i="2" s="1"/>
  <c r="BG1566" i="2"/>
  <c r="BH1566" i="2" s="1"/>
  <c r="BG1567" i="2"/>
  <c r="BH1567" i="2" s="1"/>
  <c r="BG1568" i="2"/>
  <c r="BH1568" i="2" s="1"/>
  <c r="BG1569" i="2"/>
  <c r="BH1569" i="2" s="1"/>
  <c r="BG1570" i="2"/>
  <c r="BH1570" i="2" s="1"/>
  <c r="BG1571" i="2"/>
  <c r="BH1571" i="2" s="1"/>
  <c r="BG1572" i="2"/>
  <c r="BH1572" i="2" s="1"/>
  <c r="BG1573" i="2"/>
  <c r="BH1573" i="2" s="1"/>
  <c r="BG1574" i="2"/>
  <c r="BH1574" i="2" s="1"/>
  <c r="BG1575" i="2"/>
  <c r="BH1575" i="2" s="1"/>
  <c r="BG1576" i="2"/>
  <c r="BH1576" i="2" s="1"/>
  <c r="BG1577" i="2"/>
  <c r="BH1577" i="2" s="1"/>
  <c r="BG1578" i="2"/>
  <c r="BH1578" i="2" s="1"/>
  <c r="BG1579" i="2"/>
  <c r="BH1579" i="2" s="1"/>
  <c r="BG1580" i="2"/>
  <c r="BH1580" i="2" s="1"/>
  <c r="BG1581" i="2"/>
  <c r="BH1581" i="2" s="1"/>
  <c r="BG1582" i="2"/>
  <c r="BH1582" i="2" s="1"/>
  <c r="BG1583" i="2"/>
  <c r="BH1583" i="2" s="1"/>
  <c r="BG1584" i="2"/>
  <c r="BH1584" i="2" s="1"/>
  <c r="BG1585" i="2"/>
  <c r="BH1585" i="2" s="1"/>
  <c r="BG1586" i="2"/>
  <c r="BH1586" i="2" s="1"/>
  <c r="BG1587" i="2"/>
  <c r="BH1587" i="2" s="1"/>
  <c r="BG1588" i="2"/>
  <c r="BH1588" i="2" s="1"/>
  <c r="BG1589" i="2"/>
  <c r="BH1589" i="2" s="1"/>
  <c r="BG1590" i="2"/>
  <c r="BH1590" i="2" s="1"/>
  <c r="BG1591" i="2"/>
  <c r="BH1591" i="2" s="1"/>
  <c r="BG1592" i="2"/>
  <c r="BH1592" i="2" s="1"/>
  <c r="BG1593" i="2"/>
  <c r="BH1593" i="2" s="1"/>
  <c r="BG1594" i="2"/>
  <c r="BH1594" i="2" s="1"/>
  <c r="BG1595" i="2"/>
  <c r="BH1595" i="2" s="1"/>
  <c r="BG1596" i="2"/>
  <c r="BH1596" i="2" s="1"/>
  <c r="BG1597" i="2"/>
  <c r="BH1597" i="2" s="1"/>
  <c r="BG1598" i="2"/>
  <c r="BH1598" i="2" s="1"/>
  <c r="BG1599" i="2"/>
  <c r="BH1599" i="2" s="1"/>
  <c r="BG1600" i="2"/>
  <c r="BH1600" i="2" s="1"/>
  <c r="BG1601" i="2"/>
  <c r="BH1601" i="2" s="1"/>
  <c r="BG1602" i="2"/>
  <c r="BH1602" i="2" s="1"/>
  <c r="BG1603" i="2"/>
  <c r="BH1603" i="2" s="1"/>
  <c r="BG1604" i="2"/>
  <c r="BH1604" i="2" s="1"/>
  <c r="BG1605" i="2"/>
  <c r="BH1605" i="2" s="1"/>
  <c r="BG1606" i="2"/>
  <c r="BH1606" i="2" s="1"/>
  <c r="BG1607" i="2"/>
  <c r="BH1607" i="2" s="1"/>
  <c r="BG1608" i="2"/>
  <c r="BH1608" i="2" s="1"/>
  <c r="BG1609" i="2"/>
  <c r="BH1609" i="2" s="1"/>
  <c r="BG1610" i="2"/>
  <c r="BH1610" i="2" s="1"/>
  <c r="BG1611" i="2"/>
  <c r="BH1611" i="2" s="1"/>
  <c r="BG1612" i="2"/>
  <c r="BH1612" i="2" s="1"/>
  <c r="BG1613" i="2"/>
  <c r="BH1613" i="2" s="1"/>
  <c r="BG1614" i="2"/>
  <c r="BH1614" i="2" s="1"/>
  <c r="BG1615" i="2"/>
  <c r="BH1615" i="2" s="1"/>
  <c r="BG1616" i="2"/>
  <c r="BH1616" i="2" s="1"/>
  <c r="BG1617" i="2"/>
  <c r="BH1617" i="2" s="1"/>
  <c r="BG1618" i="2"/>
  <c r="BH1618" i="2" s="1"/>
  <c r="BG1619" i="2"/>
  <c r="BH1619" i="2" s="1"/>
  <c r="BG1620" i="2"/>
  <c r="BH1620" i="2" s="1"/>
  <c r="BG1621" i="2"/>
  <c r="BH1621" i="2" s="1"/>
  <c r="BG1622" i="2"/>
  <c r="BH1622" i="2" s="1"/>
  <c r="BG1623" i="2"/>
  <c r="BH1623" i="2" s="1"/>
  <c r="BG1624" i="2"/>
  <c r="BH1624" i="2" s="1"/>
  <c r="BG1625" i="2"/>
  <c r="BH1625" i="2" s="1"/>
  <c r="BG1626" i="2"/>
  <c r="BH1626" i="2" s="1"/>
  <c r="BG1627" i="2"/>
  <c r="BH1627" i="2" s="1"/>
  <c r="BG1628" i="2"/>
  <c r="BH1628" i="2" s="1"/>
  <c r="BG1629" i="2"/>
  <c r="BH1629" i="2" s="1"/>
  <c r="BG1630" i="2"/>
  <c r="BH1630" i="2" s="1"/>
  <c r="BG1631" i="2"/>
  <c r="BH1631" i="2" s="1"/>
  <c r="BG1632" i="2"/>
  <c r="BH1632" i="2" s="1"/>
  <c r="BG1633" i="2"/>
  <c r="BH1633" i="2" s="1"/>
  <c r="BG1634" i="2"/>
  <c r="BH1634" i="2" s="1"/>
  <c r="BG1635" i="2"/>
  <c r="BH1635" i="2" s="1"/>
  <c r="BG1636" i="2"/>
  <c r="BH1636" i="2" s="1"/>
  <c r="BG1637" i="2"/>
  <c r="BH1637" i="2" s="1"/>
  <c r="BG1638" i="2"/>
  <c r="BH1638" i="2" s="1"/>
  <c r="BG1639" i="2"/>
  <c r="BH1639" i="2" s="1"/>
  <c r="BG1640" i="2"/>
  <c r="BH1640" i="2" s="1"/>
  <c r="BG1641" i="2"/>
  <c r="BH1641" i="2" s="1"/>
  <c r="BG1642" i="2"/>
  <c r="BH1642" i="2" s="1"/>
  <c r="BG1643" i="2"/>
  <c r="BH1643" i="2" s="1"/>
  <c r="BG1644" i="2"/>
  <c r="BH1644" i="2" s="1"/>
  <c r="BG1645" i="2"/>
  <c r="BH1645" i="2" s="1"/>
  <c r="BG1646" i="2"/>
  <c r="BH1646" i="2" s="1"/>
  <c r="BG1647" i="2"/>
  <c r="BH1647" i="2" s="1"/>
  <c r="BG1648" i="2"/>
  <c r="BH1648" i="2" s="1"/>
  <c r="BG1649" i="2"/>
  <c r="BH1649" i="2" s="1"/>
  <c r="BG1650" i="2"/>
  <c r="BH1650" i="2" s="1"/>
  <c r="BG1651" i="2"/>
  <c r="BH1651" i="2" s="1"/>
  <c r="BG1652" i="2"/>
  <c r="BH1652" i="2" s="1"/>
  <c r="BG1653" i="2"/>
  <c r="BH1653" i="2" s="1"/>
  <c r="BG1654" i="2"/>
  <c r="BH1654" i="2" s="1"/>
  <c r="BG1655" i="2"/>
  <c r="BH1655" i="2" s="1"/>
  <c r="BG1656" i="2"/>
  <c r="BH1656" i="2" s="1"/>
  <c r="BG1657" i="2"/>
  <c r="BH1657" i="2" s="1"/>
  <c r="BG1658" i="2"/>
  <c r="BH1658" i="2" s="1"/>
  <c r="BG1659" i="2"/>
  <c r="BH1659" i="2" s="1"/>
  <c r="BG1660" i="2"/>
  <c r="BH1660" i="2" s="1"/>
  <c r="BG1661" i="2"/>
  <c r="BH1661" i="2" s="1"/>
  <c r="BG1662" i="2"/>
  <c r="BH1662" i="2" s="1"/>
  <c r="BG1663" i="2"/>
  <c r="BH1663" i="2" s="1"/>
  <c r="BG1664" i="2"/>
  <c r="BH1664" i="2" s="1"/>
  <c r="BG1665" i="2"/>
  <c r="BH1665" i="2" s="1"/>
  <c r="BG1666" i="2"/>
  <c r="BH1666" i="2" s="1"/>
  <c r="BG1667" i="2"/>
  <c r="BH1667" i="2" s="1"/>
  <c r="BG1668" i="2"/>
  <c r="BH1668" i="2" s="1"/>
  <c r="BG1669" i="2"/>
  <c r="BH1669" i="2" s="1"/>
  <c r="BG1670" i="2"/>
  <c r="BH1670" i="2" s="1"/>
  <c r="BG1671" i="2"/>
  <c r="BH1671" i="2" s="1"/>
  <c r="BG1672" i="2"/>
  <c r="BH1672" i="2" s="1"/>
  <c r="BG1673" i="2"/>
  <c r="BH1673" i="2" s="1"/>
  <c r="BG1674" i="2"/>
  <c r="BH1674" i="2" s="1"/>
  <c r="BG1675" i="2"/>
  <c r="BH1675" i="2" s="1"/>
  <c r="BG1676" i="2"/>
  <c r="BH1676" i="2" s="1"/>
  <c r="BG1677" i="2"/>
  <c r="BH1677" i="2" s="1"/>
  <c r="BG1678" i="2"/>
  <c r="BH1678" i="2" s="1"/>
  <c r="BG1679" i="2"/>
  <c r="BH1679" i="2" s="1"/>
  <c r="BG1680" i="2"/>
  <c r="BH1680" i="2" s="1"/>
  <c r="BG1681" i="2"/>
  <c r="BH1681" i="2" s="1"/>
  <c r="BG1682" i="2"/>
  <c r="BH1682" i="2" s="1"/>
  <c r="BG1683" i="2"/>
  <c r="BH1683" i="2" s="1"/>
  <c r="BG1684" i="2"/>
  <c r="BH1684" i="2" s="1"/>
  <c r="BG1685" i="2"/>
  <c r="BH1685" i="2" s="1"/>
  <c r="BG1686" i="2"/>
  <c r="BH1686" i="2" s="1"/>
  <c r="BG1687" i="2"/>
  <c r="BH1687" i="2" s="1"/>
  <c r="BG1688" i="2"/>
  <c r="BH1688" i="2" s="1"/>
  <c r="BG1689" i="2"/>
  <c r="BH1689" i="2" s="1"/>
  <c r="BG1690" i="2"/>
  <c r="BH1690" i="2" s="1"/>
  <c r="BG1691" i="2"/>
  <c r="BH1691" i="2" s="1"/>
  <c r="BG1692" i="2"/>
  <c r="BH1692" i="2" s="1"/>
  <c r="BG1693" i="2"/>
  <c r="BH1693" i="2" s="1"/>
  <c r="BG1694" i="2"/>
  <c r="BH1694" i="2" s="1"/>
  <c r="BG1695" i="2"/>
  <c r="BH1695" i="2" s="1"/>
  <c r="BG1696" i="2"/>
  <c r="BH1696" i="2" s="1"/>
  <c r="BG1697" i="2"/>
  <c r="BH1697" i="2" s="1"/>
  <c r="BG1698" i="2"/>
  <c r="BH1698" i="2" s="1"/>
  <c r="BG1699" i="2"/>
  <c r="BH1699" i="2" s="1"/>
  <c r="BG1700" i="2"/>
  <c r="BH1700" i="2" s="1"/>
  <c r="BG1701" i="2"/>
  <c r="BH1701" i="2" s="1"/>
  <c r="BG1702" i="2"/>
  <c r="BH1702" i="2" s="1"/>
  <c r="BG1703" i="2"/>
  <c r="BH1703" i="2" s="1"/>
  <c r="BG1704" i="2"/>
  <c r="BH1704" i="2" s="1"/>
  <c r="BG1705" i="2"/>
  <c r="BH1705" i="2" s="1"/>
  <c r="BG1706" i="2"/>
  <c r="BH1706" i="2" s="1"/>
  <c r="BG1707" i="2"/>
  <c r="BH1707" i="2" s="1"/>
  <c r="BG1708" i="2"/>
  <c r="BH1708" i="2" s="1"/>
  <c r="BG1709" i="2"/>
  <c r="BH1709" i="2" s="1"/>
  <c r="BG1710" i="2"/>
  <c r="BH1710" i="2" s="1"/>
  <c r="BG1711" i="2"/>
  <c r="BH1711" i="2" s="1"/>
  <c r="BG1712" i="2"/>
  <c r="BH1712" i="2" s="1"/>
  <c r="BG1713" i="2"/>
  <c r="BH1713" i="2" s="1"/>
  <c r="BG1714" i="2"/>
  <c r="BH1714" i="2" s="1"/>
  <c r="BG1715" i="2"/>
  <c r="BH1715" i="2" s="1"/>
  <c r="BG1716" i="2"/>
  <c r="BH1716" i="2" s="1"/>
  <c r="BG1717" i="2"/>
  <c r="BH1717" i="2" s="1"/>
  <c r="BG1718" i="2"/>
  <c r="BH1718" i="2" s="1"/>
  <c r="BG1719" i="2"/>
  <c r="BH1719" i="2" s="1"/>
  <c r="BG1720" i="2"/>
  <c r="BH1720" i="2" s="1"/>
  <c r="BG1721" i="2"/>
  <c r="BH1721" i="2" s="1"/>
  <c r="BG1722" i="2"/>
  <c r="BH1722" i="2" s="1"/>
  <c r="BG1723" i="2"/>
  <c r="BH1723" i="2" s="1"/>
  <c r="BG1724" i="2"/>
  <c r="BH1724" i="2" s="1"/>
  <c r="BG1725" i="2"/>
  <c r="BH1725" i="2" s="1"/>
  <c r="BG1726" i="2"/>
  <c r="BH1726" i="2" s="1"/>
  <c r="BG1727" i="2"/>
  <c r="BH1727" i="2" s="1"/>
  <c r="BG1728" i="2"/>
  <c r="BH1728" i="2" s="1"/>
  <c r="BG1729" i="2"/>
  <c r="BH1729" i="2" s="1"/>
  <c r="BG1730" i="2"/>
  <c r="BH1730" i="2" s="1"/>
  <c r="BG1731" i="2"/>
  <c r="BH1731" i="2" s="1"/>
  <c r="BG1732" i="2"/>
  <c r="BH1732" i="2" s="1"/>
  <c r="BG1733" i="2"/>
  <c r="BH1733" i="2" s="1"/>
  <c r="BG1734" i="2"/>
  <c r="BH1734" i="2" s="1"/>
  <c r="BG1735" i="2"/>
  <c r="BH1735" i="2" s="1"/>
  <c r="BG1736" i="2"/>
  <c r="BH1736" i="2" s="1"/>
  <c r="BG1737" i="2"/>
  <c r="BH1737" i="2" s="1"/>
  <c r="BG1738" i="2"/>
  <c r="BH1738" i="2" s="1"/>
  <c r="BG1739" i="2"/>
  <c r="BH1739" i="2" s="1"/>
  <c r="BG1740" i="2"/>
  <c r="BH1740" i="2" s="1"/>
  <c r="BG1741" i="2"/>
  <c r="BH1741" i="2" s="1"/>
  <c r="BG1742" i="2"/>
  <c r="BH1742" i="2" s="1"/>
  <c r="BG1743" i="2"/>
  <c r="BH1743" i="2" s="1"/>
  <c r="BG1744" i="2"/>
  <c r="BH1744" i="2" s="1"/>
  <c r="BG1745" i="2"/>
  <c r="BH1745" i="2" s="1"/>
  <c r="BG1746" i="2"/>
  <c r="BH1746" i="2" s="1"/>
  <c r="BG1747" i="2"/>
  <c r="BH1747" i="2" s="1"/>
  <c r="BG1748" i="2"/>
  <c r="BH1748" i="2" s="1"/>
  <c r="BG1749" i="2"/>
  <c r="BH1749" i="2" s="1"/>
  <c r="BG1750" i="2"/>
  <c r="BH1750" i="2" s="1"/>
  <c r="BG1751" i="2"/>
  <c r="BH1751" i="2" s="1"/>
  <c r="BG1752" i="2"/>
  <c r="BH1752" i="2" s="1"/>
  <c r="BG1753" i="2"/>
  <c r="BH1753" i="2" s="1"/>
  <c r="BG1754" i="2"/>
  <c r="BH1754" i="2" s="1"/>
  <c r="BG1755" i="2"/>
  <c r="BH1755" i="2" s="1"/>
  <c r="BG1756" i="2"/>
  <c r="BH1756" i="2" s="1"/>
  <c r="BG1757" i="2"/>
  <c r="BH1757" i="2" s="1"/>
  <c r="BG1758" i="2"/>
  <c r="BH1758" i="2" s="1"/>
  <c r="BG1759" i="2"/>
  <c r="BH1759" i="2" s="1"/>
  <c r="BG1760" i="2"/>
  <c r="BH1760" i="2" s="1"/>
  <c r="BG1761" i="2"/>
  <c r="BH1761" i="2" s="1"/>
  <c r="BG1762" i="2"/>
  <c r="BH1762" i="2" s="1"/>
  <c r="BG1763" i="2"/>
  <c r="BH1763" i="2" s="1"/>
  <c r="BG1764" i="2"/>
  <c r="BH1764" i="2" s="1"/>
  <c r="BG1765" i="2"/>
  <c r="BH1765" i="2" s="1"/>
  <c r="BG1766" i="2"/>
  <c r="BH1766" i="2" s="1"/>
  <c r="BG1767" i="2"/>
  <c r="BH1767" i="2" s="1"/>
  <c r="BG1768" i="2"/>
  <c r="BH1768" i="2" s="1"/>
  <c r="BG1769" i="2"/>
  <c r="BH1769" i="2" s="1"/>
  <c r="BG1770" i="2"/>
  <c r="BH1770" i="2" s="1"/>
  <c r="BG1771" i="2"/>
  <c r="BH1771" i="2" s="1"/>
  <c r="BG1772" i="2"/>
  <c r="BH1772" i="2" s="1"/>
  <c r="BG1773" i="2"/>
  <c r="BH1773" i="2" s="1"/>
  <c r="BG1774" i="2"/>
  <c r="BH1774" i="2" s="1"/>
  <c r="BG1775" i="2"/>
  <c r="BH1775" i="2" s="1"/>
  <c r="BG1776" i="2"/>
  <c r="BH1776" i="2" s="1"/>
  <c r="BG1777" i="2"/>
  <c r="BH1777" i="2" s="1"/>
  <c r="BG1778" i="2"/>
  <c r="BH1778" i="2" s="1"/>
  <c r="BG1779" i="2"/>
  <c r="BH1779" i="2" s="1"/>
  <c r="BG1780" i="2"/>
  <c r="BH1780" i="2" s="1"/>
  <c r="BG1781" i="2"/>
  <c r="BH1781" i="2" s="1"/>
  <c r="BG1782" i="2"/>
  <c r="BH1782" i="2" s="1"/>
  <c r="BG1783" i="2"/>
  <c r="BH1783" i="2" s="1"/>
  <c r="BG1784" i="2"/>
  <c r="BH1784" i="2" s="1"/>
  <c r="BG1785" i="2"/>
  <c r="BH1785" i="2" s="1"/>
  <c r="BG1786" i="2"/>
  <c r="BH1786" i="2" s="1"/>
  <c r="BG1787" i="2"/>
  <c r="BH1787" i="2" s="1"/>
  <c r="BG1788" i="2"/>
  <c r="BH1788" i="2" s="1"/>
  <c r="BG1789" i="2"/>
  <c r="BH1789" i="2" s="1"/>
  <c r="BG1790" i="2"/>
  <c r="BH1790" i="2" s="1"/>
  <c r="BG1791" i="2"/>
  <c r="BH1791" i="2" s="1"/>
  <c r="BG1792" i="2"/>
  <c r="BH1792" i="2" s="1"/>
  <c r="BG1793" i="2"/>
  <c r="BH1793" i="2" s="1"/>
  <c r="BG1794" i="2"/>
  <c r="BH1794" i="2" s="1"/>
  <c r="BG1795" i="2"/>
  <c r="BH1795" i="2" s="1"/>
  <c r="BG1796" i="2"/>
  <c r="BH1796" i="2" s="1"/>
  <c r="BG1797" i="2"/>
  <c r="BH1797" i="2" s="1"/>
  <c r="BG1798" i="2"/>
  <c r="BH1798" i="2" s="1"/>
  <c r="BG1799" i="2"/>
  <c r="BH1799" i="2" s="1"/>
  <c r="BG1800" i="2"/>
  <c r="BH1800" i="2" s="1"/>
  <c r="BG1801" i="2"/>
  <c r="BH1801" i="2" s="1"/>
  <c r="BG1802" i="2"/>
  <c r="BH1802" i="2" s="1"/>
  <c r="BG1803" i="2"/>
  <c r="BH1803" i="2" s="1"/>
  <c r="BG1804" i="2"/>
  <c r="BH1804" i="2" s="1"/>
  <c r="BG1805" i="2"/>
  <c r="BH1805" i="2" s="1"/>
  <c r="BG1806" i="2"/>
  <c r="BH1806" i="2" s="1"/>
  <c r="BG1807" i="2"/>
  <c r="BH1807" i="2" s="1"/>
  <c r="BG1808" i="2"/>
  <c r="BH1808" i="2" s="1"/>
  <c r="BG1809" i="2"/>
  <c r="BH1809" i="2" s="1"/>
  <c r="BG1810" i="2"/>
  <c r="BH1810" i="2" s="1"/>
  <c r="BG1811" i="2"/>
  <c r="BH1811" i="2" s="1"/>
  <c r="BG1812" i="2"/>
  <c r="BH1812" i="2" s="1"/>
  <c r="BG1813" i="2"/>
  <c r="BH1813" i="2" s="1"/>
  <c r="BG1814" i="2"/>
  <c r="BH1814" i="2" s="1"/>
  <c r="BG1815" i="2"/>
  <c r="BH1815" i="2" s="1"/>
  <c r="BG1816" i="2"/>
  <c r="BH1816" i="2" s="1"/>
  <c r="BG1817" i="2"/>
  <c r="BH1817" i="2" s="1"/>
  <c r="BG1818" i="2"/>
  <c r="BH1818" i="2" s="1"/>
  <c r="BG1819" i="2"/>
  <c r="BH1819" i="2" s="1"/>
  <c r="BG1820" i="2"/>
  <c r="BH1820" i="2" s="1"/>
  <c r="BG1821" i="2"/>
  <c r="BH1821" i="2" s="1"/>
  <c r="BG1822" i="2"/>
  <c r="BH1822" i="2" s="1"/>
  <c r="BG1823" i="2"/>
  <c r="BH1823" i="2" s="1"/>
  <c r="BG1824" i="2"/>
  <c r="BH1824" i="2" s="1"/>
  <c r="BG1825" i="2"/>
  <c r="BH1825" i="2" s="1"/>
  <c r="BG1826" i="2"/>
  <c r="BH1826" i="2" s="1"/>
  <c r="BG1827" i="2"/>
  <c r="BH1827" i="2" s="1"/>
  <c r="BG1828" i="2"/>
  <c r="BH1828" i="2" s="1"/>
  <c r="BG1829" i="2"/>
  <c r="BH1829" i="2" s="1"/>
  <c r="BG1830" i="2"/>
  <c r="BH1830" i="2" s="1"/>
  <c r="BG1831" i="2"/>
  <c r="BH1831" i="2" s="1"/>
  <c r="BG1832" i="2"/>
  <c r="BH1832" i="2" s="1"/>
  <c r="BG1833" i="2"/>
  <c r="BH1833" i="2" s="1"/>
  <c r="BG1834" i="2"/>
  <c r="BH1834" i="2" s="1"/>
  <c r="BG1835" i="2"/>
  <c r="BH1835" i="2" s="1"/>
  <c r="BG1836" i="2"/>
  <c r="BH1836" i="2" s="1"/>
  <c r="BG1837" i="2"/>
  <c r="BH1837" i="2" s="1"/>
  <c r="BG1838" i="2"/>
  <c r="BH1838" i="2" s="1"/>
  <c r="BG1839" i="2"/>
  <c r="BH1839" i="2" s="1"/>
  <c r="BG1840" i="2"/>
  <c r="BH1840" i="2" s="1"/>
  <c r="BG1841" i="2"/>
  <c r="BH1841" i="2" s="1"/>
  <c r="BG1842" i="2"/>
  <c r="BH1842" i="2" s="1"/>
  <c r="BG1843" i="2"/>
  <c r="BH1843" i="2" s="1"/>
  <c r="BG1844" i="2"/>
  <c r="BH1844" i="2" s="1"/>
  <c r="BG1845" i="2"/>
  <c r="BH1845" i="2" s="1"/>
  <c r="BG1846" i="2"/>
  <c r="BH1846" i="2" s="1"/>
  <c r="BG1847" i="2"/>
  <c r="BH1847" i="2" s="1"/>
  <c r="BG1848" i="2"/>
  <c r="BH1848" i="2" s="1"/>
  <c r="BG1849" i="2"/>
  <c r="BH1849" i="2" s="1"/>
  <c r="BG1850" i="2"/>
  <c r="BH1850" i="2" s="1"/>
  <c r="BG1851" i="2"/>
  <c r="BH1851" i="2" s="1"/>
  <c r="BG1852" i="2"/>
  <c r="BH1852" i="2" s="1"/>
  <c r="BG1853" i="2"/>
  <c r="BH1853" i="2" s="1"/>
  <c r="BG1854" i="2"/>
  <c r="BH1854" i="2" s="1"/>
  <c r="BG1855" i="2"/>
  <c r="BH1855" i="2" s="1"/>
  <c r="BG1856" i="2"/>
  <c r="BH1856" i="2" s="1"/>
  <c r="BG1857" i="2"/>
  <c r="BH1857" i="2" s="1"/>
  <c r="BG1858" i="2"/>
  <c r="BH1858" i="2" s="1"/>
  <c r="BG1859" i="2"/>
  <c r="BH1859" i="2" s="1"/>
  <c r="BG1860" i="2"/>
  <c r="BH1860" i="2" s="1"/>
  <c r="BG1861" i="2"/>
  <c r="BH1861" i="2" s="1"/>
  <c r="BG1862" i="2"/>
  <c r="BH1862" i="2" s="1"/>
  <c r="BG1863" i="2"/>
  <c r="BH1863" i="2" s="1"/>
  <c r="BG1864" i="2"/>
  <c r="BH1864" i="2" s="1"/>
  <c r="BG1865" i="2"/>
  <c r="BH1865" i="2" s="1"/>
  <c r="BG1866" i="2"/>
  <c r="BH1866" i="2" s="1"/>
  <c r="BG1867" i="2"/>
  <c r="BH1867" i="2" s="1"/>
  <c r="BG1868" i="2"/>
  <c r="BH1868" i="2" s="1"/>
  <c r="BG1869" i="2"/>
  <c r="BH1869" i="2" s="1"/>
  <c r="BG1870" i="2"/>
  <c r="BH1870" i="2" s="1"/>
  <c r="BG1871" i="2"/>
  <c r="BH1871" i="2" s="1"/>
  <c r="BG1872" i="2"/>
  <c r="BH1872" i="2" s="1"/>
  <c r="BG1873" i="2"/>
  <c r="BH1873" i="2" s="1"/>
  <c r="BG1874" i="2"/>
  <c r="BH1874" i="2" s="1"/>
  <c r="BG1875" i="2"/>
  <c r="BH1875" i="2" s="1"/>
  <c r="BG1876" i="2"/>
  <c r="BH1876" i="2" s="1"/>
  <c r="BG1877" i="2"/>
  <c r="BH1877" i="2" s="1"/>
  <c r="BG1878" i="2"/>
  <c r="BH1878" i="2" s="1"/>
  <c r="BG1879" i="2"/>
  <c r="BH1879" i="2" s="1"/>
  <c r="BG1880" i="2"/>
  <c r="BH1880" i="2" s="1"/>
  <c r="BG1881" i="2"/>
  <c r="BH1881" i="2" s="1"/>
  <c r="BG1882" i="2"/>
  <c r="BH1882" i="2" s="1"/>
  <c r="BG1883" i="2"/>
  <c r="BH1883" i="2" s="1"/>
  <c r="BG1884" i="2"/>
  <c r="BH1884" i="2" s="1"/>
  <c r="BG1885" i="2"/>
  <c r="BH1885" i="2" s="1"/>
  <c r="BG1886" i="2"/>
  <c r="BH1886" i="2" s="1"/>
  <c r="BG1887" i="2"/>
  <c r="BH1887" i="2" s="1"/>
  <c r="BG1888" i="2"/>
  <c r="BH1888" i="2" s="1"/>
  <c r="BG1889" i="2"/>
  <c r="BH1889" i="2" s="1"/>
  <c r="BG1890" i="2"/>
  <c r="BH1890" i="2" s="1"/>
  <c r="BG1891" i="2"/>
  <c r="BH1891" i="2" s="1"/>
  <c r="BG1892" i="2"/>
  <c r="BH1892" i="2" s="1"/>
  <c r="BG1893" i="2"/>
  <c r="BH1893" i="2" s="1"/>
  <c r="BG1894" i="2"/>
  <c r="BH1894" i="2" s="1"/>
  <c r="BG1895" i="2"/>
  <c r="BH1895" i="2" s="1"/>
  <c r="BG1896" i="2"/>
  <c r="BH1896" i="2" s="1"/>
  <c r="BG1897" i="2"/>
  <c r="BH1897" i="2" s="1"/>
  <c r="BG1898" i="2"/>
  <c r="BH1898" i="2" s="1"/>
  <c r="BG1899" i="2"/>
  <c r="BH1899" i="2" s="1"/>
  <c r="BG1900" i="2"/>
  <c r="BH1900" i="2" s="1"/>
  <c r="BG1901" i="2"/>
  <c r="BH1901" i="2" s="1"/>
  <c r="BG1902" i="2"/>
  <c r="BH1902" i="2" s="1"/>
  <c r="BG1903" i="2"/>
  <c r="BH1903" i="2" s="1"/>
  <c r="BG1904" i="2"/>
  <c r="BH1904" i="2" s="1"/>
  <c r="BG1905" i="2"/>
  <c r="BH1905" i="2" s="1"/>
  <c r="BG1906" i="2"/>
  <c r="BH1906" i="2" s="1"/>
  <c r="BG1907" i="2"/>
  <c r="BH1907" i="2" s="1"/>
  <c r="BG1908" i="2"/>
  <c r="BH1908" i="2" s="1"/>
  <c r="BG1909" i="2"/>
  <c r="BH1909" i="2" s="1"/>
  <c r="BG1910" i="2"/>
  <c r="BH1910" i="2" s="1"/>
  <c r="BG1911" i="2"/>
  <c r="BH1911" i="2" s="1"/>
  <c r="BG1912" i="2"/>
  <c r="BH1912" i="2" s="1"/>
  <c r="BG1913" i="2"/>
  <c r="BH1913" i="2" s="1"/>
  <c r="BG1914" i="2"/>
  <c r="BH1914" i="2" s="1"/>
  <c r="BG1915" i="2"/>
  <c r="BH1915" i="2" s="1"/>
  <c r="BG1916" i="2"/>
  <c r="BH1916" i="2" s="1"/>
  <c r="BG1917" i="2"/>
  <c r="BH1917" i="2" s="1"/>
  <c r="BG1918" i="2"/>
  <c r="BH1918" i="2" s="1"/>
  <c r="BG1919" i="2"/>
  <c r="BH1919" i="2" s="1"/>
  <c r="BG1920" i="2"/>
  <c r="BH1920" i="2" s="1"/>
  <c r="BG1921" i="2"/>
  <c r="BH1921" i="2" s="1"/>
  <c r="BG1922" i="2"/>
  <c r="BH1922" i="2" s="1"/>
  <c r="BG1923" i="2"/>
  <c r="BH1923" i="2" s="1"/>
  <c r="BG1924" i="2"/>
  <c r="BH1924" i="2" s="1"/>
  <c r="BG1925" i="2"/>
  <c r="BH1925" i="2" s="1"/>
  <c r="BG1926" i="2"/>
  <c r="BH1926" i="2" s="1"/>
  <c r="BG1927" i="2"/>
  <c r="BH1927" i="2" s="1"/>
  <c r="BG1928" i="2"/>
  <c r="BH1928" i="2" s="1"/>
  <c r="BG1929" i="2"/>
  <c r="BH1929" i="2" s="1"/>
  <c r="BG1930" i="2"/>
  <c r="BH1930" i="2" s="1"/>
  <c r="BG1931" i="2"/>
  <c r="BH1931" i="2" s="1"/>
  <c r="BG1932" i="2"/>
  <c r="BH1932" i="2" s="1"/>
  <c r="BG1933" i="2"/>
  <c r="BH1933" i="2" s="1"/>
  <c r="BG1934" i="2"/>
  <c r="BH1934" i="2" s="1"/>
  <c r="BG1935" i="2"/>
  <c r="BH1935" i="2" s="1"/>
  <c r="BG1936" i="2"/>
  <c r="BH1936" i="2" s="1"/>
  <c r="BG1937" i="2"/>
  <c r="BH1937" i="2" s="1"/>
  <c r="BG1938" i="2"/>
  <c r="BH1938" i="2" s="1"/>
  <c r="BG1939" i="2"/>
  <c r="BH1939" i="2" s="1"/>
  <c r="BG1940" i="2"/>
  <c r="BH1940" i="2" s="1"/>
  <c r="BG1941" i="2"/>
  <c r="BH1941" i="2" s="1"/>
  <c r="BG1942" i="2"/>
  <c r="BH1942" i="2" s="1"/>
  <c r="BG1943" i="2"/>
  <c r="BH1943" i="2" s="1"/>
  <c r="BG1944" i="2"/>
  <c r="BH1944" i="2" s="1"/>
  <c r="BG1945" i="2"/>
  <c r="BH1945" i="2" s="1"/>
  <c r="BG1946" i="2"/>
  <c r="BH1946" i="2" s="1"/>
  <c r="BG1947" i="2"/>
  <c r="BH1947" i="2" s="1"/>
  <c r="BG1948" i="2"/>
  <c r="BH1948" i="2" s="1"/>
  <c r="BG1949" i="2"/>
  <c r="BH1949" i="2" s="1"/>
  <c r="BG1950" i="2"/>
  <c r="BH1950" i="2" s="1"/>
  <c r="BG1951" i="2"/>
  <c r="BH1951" i="2" s="1"/>
  <c r="BG1952" i="2"/>
  <c r="BH1952" i="2" s="1"/>
  <c r="BG1953" i="2"/>
  <c r="BH1953" i="2" s="1"/>
  <c r="BG1954" i="2"/>
  <c r="BH1954" i="2" s="1"/>
  <c r="BG1955" i="2"/>
  <c r="BH1955" i="2" s="1"/>
  <c r="BG1956" i="2"/>
  <c r="BH1956" i="2" s="1"/>
  <c r="BG1957" i="2"/>
  <c r="BH1957" i="2" s="1"/>
  <c r="BG1958" i="2"/>
  <c r="BH1958" i="2" s="1"/>
  <c r="BG1959" i="2"/>
  <c r="BH1959" i="2" s="1"/>
  <c r="BG1960" i="2"/>
  <c r="BH1960" i="2" s="1"/>
  <c r="BG1961" i="2"/>
  <c r="BH1961" i="2" s="1"/>
  <c r="BG1962" i="2"/>
  <c r="BH1962" i="2" s="1"/>
  <c r="BG1963" i="2"/>
  <c r="BH1963" i="2" s="1"/>
  <c r="BG1964" i="2"/>
  <c r="BH1964" i="2" s="1"/>
  <c r="BG1965" i="2"/>
  <c r="BH1965" i="2" s="1"/>
  <c r="BG1966" i="2"/>
  <c r="BH1966" i="2" s="1"/>
  <c r="BG1967" i="2"/>
  <c r="BH1967" i="2" s="1"/>
  <c r="BG1968" i="2"/>
  <c r="BH1968" i="2" s="1"/>
  <c r="BG1969" i="2"/>
  <c r="BH1969" i="2" s="1"/>
  <c r="BG1970" i="2"/>
  <c r="BH1970" i="2" s="1"/>
  <c r="BG1971" i="2"/>
  <c r="BH1971" i="2" s="1"/>
  <c r="BG1972" i="2"/>
  <c r="BH1972" i="2" s="1"/>
  <c r="BG1973" i="2"/>
  <c r="BH1973" i="2" s="1"/>
  <c r="BG1974" i="2"/>
  <c r="BH1974" i="2" s="1"/>
  <c r="BG1975" i="2"/>
  <c r="BH1975" i="2" s="1"/>
  <c r="BG1976" i="2"/>
  <c r="BH1976" i="2" s="1"/>
  <c r="BG1977" i="2"/>
  <c r="BH1977" i="2" s="1"/>
  <c r="BG1978" i="2"/>
  <c r="BH1978" i="2" s="1"/>
  <c r="BG1979" i="2"/>
  <c r="BH1979" i="2" s="1"/>
  <c r="BG1980" i="2"/>
  <c r="BH1980" i="2" s="1"/>
  <c r="BG1981" i="2"/>
  <c r="BH1981" i="2" s="1"/>
  <c r="BG1982" i="2"/>
  <c r="BH1982" i="2" s="1"/>
  <c r="BG1983" i="2"/>
  <c r="BH1983" i="2" s="1"/>
  <c r="BG1984" i="2"/>
  <c r="BH1984" i="2" s="1"/>
  <c r="BG1985" i="2"/>
  <c r="BH1985" i="2" s="1"/>
  <c r="BG1986" i="2"/>
  <c r="BH1986" i="2" s="1"/>
  <c r="BG1987" i="2"/>
  <c r="BH1987" i="2" s="1"/>
  <c r="BG1988" i="2"/>
  <c r="BH1988" i="2" s="1"/>
  <c r="BG1989" i="2"/>
  <c r="BH1989" i="2" s="1"/>
  <c r="BG1990" i="2"/>
  <c r="BH1990" i="2" s="1"/>
  <c r="BG1991" i="2"/>
  <c r="BH1991" i="2" s="1"/>
  <c r="BG1992" i="2"/>
  <c r="BH1992" i="2" s="1"/>
  <c r="BG1993" i="2"/>
  <c r="BH1993" i="2" s="1"/>
  <c r="BG1994" i="2"/>
  <c r="BH1994" i="2" s="1"/>
  <c r="BG1995" i="2"/>
  <c r="BH1995" i="2" s="1"/>
  <c r="BG1996" i="2"/>
  <c r="BH1996" i="2" s="1"/>
  <c r="BG1997" i="2"/>
  <c r="BH1997" i="2" s="1"/>
  <c r="BG1998" i="2"/>
  <c r="BH1998" i="2" s="1"/>
  <c r="BG1999" i="2"/>
  <c r="BH1999" i="2" s="1"/>
  <c r="BG2000" i="2"/>
  <c r="BH2000" i="2" s="1"/>
  <c r="BG2001" i="2"/>
  <c r="BH2001" i="2" s="1"/>
  <c r="BG2002" i="2"/>
  <c r="BH2002" i="2" s="1"/>
  <c r="BG2003" i="2"/>
  <c r="BH2003" i="2" s="1"/>
  <c r="BG2004" i="2"/>
  <c r="BH2004" i="2" s="1"/>
  <c r="BG2005" i="2"/>
  <c r="BH2005" i="2" s="1"/>
  <c r="BG2006" i="2"/>
  <c r="BH2006" i="2" s="1"/>
  <c r="BG2007" i="2"/>
  <c r="BH2007" i="2" s="1"/>
  <c r="BG2008" i="2"/>
  <c r="BH2008" i="2" s="1"/>
  <c r="BG2009" i="2"/>
  <c r="BH2009" i="2" s="1"/>
  <c r="BG2010" i="2"/>
  <c r="BH2010" i="2" s="1"/>
  <c r="BG2011" i="2"/>
  <c r="BH2011" i="2" s="1"/>
  <c r="BG2012" i="2"/>
  <c r="BH2012" i="2" s="1"/>
  <c r="BG2013" i="2"/>
  <c r="BH2013" i="2" s="1"/>
  <c r="BG2014" i="2"/>
  <c r="BH2014" i="2" s="1"/>
  <c r="BG2015" i="2"/>
  <c r="BH2015" i="2" s="1"/>
  <c r="BG2016" i="2"/>
  <c r="BH2016" i="2" s="1"/>
  <c r="BG2017" i="2"/>
  <c r="BH2017" i="2" s="1"/>
  <c r="BG2018" i="2"/>
  <c r="BH2018" i="2" s="1"/>
  <c r="BG2019" i="2"/>
  <c r="BH2019" i="2" s="1"/>
  <c r="BG2020" i="2"/>
  <c r="BH2020" i="2" s="1"/>
  <c r="BG2021" i="2"/>
  <c r="BH2021" i="2" s="1"/>
  <c r="BG2022" i="2"/>
  <c r="BH2022" i="2" s="1"/>
  <c r="BG2023" i="2"/>
  <c r="BH2023" i="2" s="1"/>
  <c r="BG2024" i="2"/>
  <c r="BH2024" i="2" s="1"/>
  <c r="BG2025" i="2"/>
  <c r="BH2025" i="2" s="1"/>
  <c r="BG2026" i="2"/>
  <c r="BH2026" i="2" s="1"/>
  <c r="BG2027" i="2"/>
  <c r="BH2027" i="2" s="1"/>
  <c r="BG2028" i="2"/>
  <c r="BH2028" i="2" s="1"/>
  <c r="BG2029" i="2"/>
  <c r="BH2029" i="2" s="1"/>
  <c r="BG2030" i="2"/>
  <c r="BH2030" i="2" s="1"/>
  <c r="BG2031" i="2"/>
  <c r="BH2031" i="2" s="1"/>
  <c r="BG2032" i="2"/>
  <c r="BH2032" i="2" s="1"/>
  <c r="BG2033" i="2"/>
  <c r="BH2033" i="2" s="1"/>
  <c r="BG2034" i="2"/>
  <c r="BH2034" i="2" s="1"/>
  <c r="BG2035" i="2"/>
  <c r="BH2035" i="2" s="1"/>
  <c r="BG2036" i="2"/>
  <c r="BH2036" i="2" s="1"/>
  <c r="BG2037" i="2"/>
  <c r="BH2037" i="2" s="1"/>
  <c r="BG2038" i="2"/>
  <c r="BH2038" i="2" s="1"/>
  <c r="BG2039" i="2"/>
  <c r="BH2039" i="2" s="1"/>
  <c r="BG2040" i="2"/>
  <c r="BH2040" i="2" s="1"/>
  <c r="BG2041" i="2"/>
  <c r="BH2041" i="2" s="1"/>
  <c r="BG2042" i="2"/>
  <c r="BH2042" i="2" s="1"/>
  <c r="BG2043" i="2"/>
  <c r="BH2043" i="2" s="1"/>
  <c r="BG2044" i="2"/>
  <c r="BH2044" i="2" s="1"/>
  <c r="BG2045" i="2"/>
  <c r="BH2045" i="2" s="1"/>
  <c r="BG2046" i="2"/>
  <c r="BH2046" i="2" s="1"/>
  <c r="BG2047" i="2"/>
  <c r="BH2047" i="2" s="1"/>
  <c r="BG2048" i="2"/>
  <c r="BH2048" i="2" s="1"/>
  <c r="BG2049" i="2"/>
  <c r="BH2049" i="2" s="1"/>
  <c r="BG2050" i="2"/>
  <c r="BH2050" i="2" s="1"/>
  <c r="BG2051" i="2"/>
  <c r="BH2051" i="2" s="1"/>
  <c r="BG2052" i="2"/>
  <c r="BH2052" i="2" s="1"/>
  <c r="BG2053" i="2"/>
  <c r="BH2053" i="2" s="1"/>
  <c r="BG2054" i="2"/>
  <c r="BH2054" i="2" s="1"/>
  <c r="BG2055" i="2"/>
  <c r="BH2055" i="2" s="1"/>
  <c r="BG2056" i="2"/>
  <c r="BH2056" i="2" s="1"/>
  <c r="BG2057" i="2"/>
  <c r="BH2057" i="2" s="1"/>
  <c r="BG2058" i="2"/>
  <c r="BH2058" i="2" s="1"/>
  <c r="BG2059" i="2"/>
  <c r="BH2059" i="2" s="1"/>
  <c r="BG2060" i="2"/>
  <c r="BH2060" i="2" s="1"/>
  <c r="BG2061" i="2"/>
  <c r="BH2061" i="2" s="1"/>
  <c r="BG2062" i="2"/>
  <c r="BH2062" i="2" s="1"/>
  <c r="BG2063" i="2"/>
  <c r="BH2063" i="2" s="1"/>
  <c r="BG2064" i="2"/>
  <c r="BH2064" i="2" s="1"/>
  <c r="BG2065" i="2"/>
  <c r="BH2065" i="2" s="1"/>
  <c r="BG2066" i="2"/>
  <c r="BH2066" i="2" s="1"/>
  <c r="BG2067" i="2"/>
  <c r="BH2067" i="2" s="1"/>
  <c r="BG2068" i="2"/>
  <c r="BH2068" i="2" s="1"/>
  <c r="BG2069" i="2"/>
  <c r="BH2069" i="2" s="1"/>
  <c r="BG2070" i="2"/>
  <c r="BH2070" i="2" s="1"/>
  <c r="BG2071" i="2"/>
  <c r="BH2071" i="2" s="1"/>
  <c r="BG2072" i="2"/>
  <c r="BH2072" i="2" s="1"/>
  <c r="BG2073" i="2"/>
  <c r="BH2073" i="2" s="1"/>
  <c r="BG2074" i="2"/>
  <c r="BH2074" i="2" s="1"/>
  <c r="BG2075" i="2"/>
  <c r="BH2075" i="2" s="1"/>
  <c r="BG2076" i="2"/>
  <c r="BH2076" i="2" s="1"/>
  <c r="BG2077" i="2"/>
  <c r="BH2077" i="2" s="1"/>
  <c r="BG2078" i="2"/>
  <c r="BH2078" i="2" s="1"/>
  <c r="BG2079" i="2"/>
  <c r="BH2079" i="2" s="1"/>
  <c r="BG2080" i="2"/>
  <c r="BH2080" i="2" s="1"/>
  <c r="BG2081" i="2"/>
  <c r="BH2081" i="2" s="1"/>
  <c r="BG2082" i="2"/>
  <c r="BH2082" i="2" s="1"/>
  <c r="BG2083" i="2"/>
  <c r="BH2083" i="2" s="1"/>
  <c r="BG2084" i="2"/>
  <c r="BH2084" i="2" s="1"/>
  <c r="BG2085" i="2"/>
  <c r="BH2085" i="2" s="1"/>
  <c r="BG2086" i="2"/>
  <c r="BH2086" i="2" s="1"/>
  <c r="BG2087" i="2"/>
  <c r="BH2087" i="2" s="1"/>
  <c r="BG2088" i="2"/>
  <c r="BH2088" i="2" s="1"/>
  <c r="BG2089" i="2"/>
  <c r="BH2089" i="2" s="1"/>
  <c r="BG2090" i="2"/>
  <c r="BH2090" i="2" s="1"/>
  <c r="BG2091" i="2"/>
  <c r="BH2091" i="2" s="1"/>
  <c r="BG2092" i="2"/>
  <c r="BH2092" i="2" s="1"/>
  <c r="BG2093" i="2"/>
  <c r="BH2093" i="2" s="1"/>
  <c r="BG2094" i="2"/>
  <c r="BH2094" i="2" s="1"/>
  <c r="BG2095" i="2"/>
  <c r="BH2095" i="2" s="1"/>
  <c r="BG2096" i="2"/>
  <c r="BH2096" i="2" s="1"/>
  <c r="BG2097" i="2"/>
  <c r="BH2097" i="2" s="1"/>
  <c r="BG2098" i="2"/>
  <c r="BH2098" i="2" s="1"/>
  <c r="BG2099" i="2"/>
  <c r="BH2099" i="2" s="1"/>
  <c r="BG2100" i="2"/>
  <c r="BH2100" i="2" s="1"/>
  <c r="BG2101" i="2"/>
  <c r="BH2101" i="2" s="1"/>
  <c r="BG2102" i="2"/>
  <c r="BH2102" i="2" s="1"/>
  <c r="BG2103" i="2"/>
  <c r="BH2103" i="2" s="1"/>
  <c r="BG2104" i="2"/>
  <c r="BH2104" i="2" s="1"/>
  <c r="BG2105" i="2"/>
  <c r="BH2105" i="2" s="1"/>
  <c r="BG2106" i="2"/>
  <c r="BH2106" i="2" s="1"/>
  <c r="BG2107" i="2"/>
  <c r="BH2107" i="2" s="1"/>
  <c r="BG2108" i="2"/>
  <c r="BH2108" i="2" s="1"/>
  <c r="BG2109" i="2"/>
  <c r="BH2109" i="2" s="1"/>
  <c r="BG2110" i="2"/>
  <c r="BH2110" i="2" s="1"/>
  <c r="BG2111" i="2"/>
  <c r="BH2111" i="2" s="1"/>
  <c r="BG2112" i="2"/>
  <c r="BH2112" i="2" s="1"/>
  <c r="BG2113" i="2"/>
  <c r="BH2113" i="2" s="1"/>
  <c r="BG2114" i="2"/>
  <c r="BH2114" i="2" s="1"/>
  <c r="BG2115" i="2"/>
  <c r="BH2115" i="2" s="1"/>
  <c r="BG2116" i="2"/>
  <c r="BH2116" i="2" s="1"/>
  <c r="BG2117" i="2"/>
  <c r="BH2117" i="2" s="1"/>
  <c r="BG2118" i="2"/>
  <c r="BH2118" i="2" s="1"/>
  <c r="BG2119" i="2"/>
  <c r="BH2119" i="2" s="1"/>
  <c r="BG2120" i="2"/>
  <c r="BH2120" i="2" s="1"/>
  <c r="BG2121" i="2"/>
  <c r="BH2121" i="2" s="1"/>
  <c r="BG2122" i="2"/>
  <c r="BH2122" i="2" s="1"/>
  <c r="BG2123" i="2"/>
  <c r="BH2123" i="2" s="1"/>
  <c r="BG2124" i="2"/>
  <c r="BH2124" i="2" s="1"/>
  <c r="BG2125" i="2"/>
  <c r="BH2125" i="2" s="1"/>
  <c r="BG2126" i="2"/>
  <c r="BH2126" i="2" s="1"/>
  <c r="BG2127" i="2"/>
  <c r="BH2127" i="2" s="1"/>
  <c r="BG2128" i="2"/>
  <c r="BH2128" i="2" s="1"/>
  <c r="BG2129" i="2"/>
  <c r="BH2129" i="2" s="1"/>
  <c r="BG2130" i="2"/>
  <c r="BH2130" i="2" s="1"/>
  <c r="BG2131" i="2"/>
  <c r="BH2131" i="2" s="1"/>
  <c r="BG2132" i="2"/>
  <c r="BH2132" i="2" s="1"/>
  <c r="BG2" i="2"/>
  <c r="BH2" i="2" s="1"/>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5"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7" i="2"/>
  <c r="AX78" i="2"/>
  <c r="AX79" i="2"/>
  <c r="AX80" i="2"/>
  <c r="AX81" i="2"/>
  <c r="AX82" i="2"/>
  <c r="AX83" i="2"/>
  <c r="AX84" i="2"/>
  <c r="AX85" i="2"/>
  <c r="AX86" i="2"/>
  <c r="AX87" i="2"/>
  <c r="AX88" i="2"/>
  <c r="AX89" i="2"/>
  <c r="AX90" i="2"/>
  <c r="AX91" i="2"/>
  <c r="AX92" i="2"/>
  <c r="AX93" i="2"/>
  <c r="AX94" i="2"/>
  <c r="AX95" i="2"/>
  <c r="AX96" i="2"/>
  <c r="AX97" i="2"/>
  <c r="AX98" i="2"/>
  <c r="AX99" i="2"/>
  <c r="AX100" i="2"/>
  <c r="AX101" i="2"/>
  <c r="AX102" i="2"/>
  <c r="AX103" i="2"/>
  <c r="AX104" i="2"/>
  <c r="AX105" i="2"/>
  <c r="AX106" i="2"/>
  <c r="AX107" i="2"/>
  <c r="AX108" i="2"/>
  <c r="AX109" i="2"/>
  <c r="AX110" i="2"/>
  <c r="AX111" i="2"/>
  <c r="AX112" i="2"/>
  <c r="AX113" i="2"/>
  <c r="AX114" i="2"/>
  <c r="AX115" i="2"/>
  <c r="AX116" i="2"/>
  <c r="AX117" i="2"/>
  <c r="AX118" i="2"/>
  <c r="AX119" i="2"/>
  <c r="AX120" i="2"/>
  <c r="AX121" i="2"/>
  <c r="AX122" i="2"/>
  <c r="AX123" i="2"/>
  <c r="AX124" i="2"/>
  <c r="AX125" i="2"/>
  <c r="AX126" i="2"/>
  <c r="AX127" i="2"/>
  <c r="AX128" i="2"/>
  <c r="AX129" i="2"/>
  <c r="AX130" i="2"/>
  <c r="AX131" i="2"/>
  <c r="AX132" i="2"/>
  <c r="AX133" i="2"/>
  <c r="AX134" i="2"/>
  <c r="AX135" i="2"/>
  <c r="AX136" i="2"/>
  <c r="AX137" i="2"/>
  <c r="AX138" i="2"/>
  <c r="AX139" i="2"/>
  <c r="AX140" i="2"/>
  <c r="AX141" i="2"/>
  <c r="AX142" i="2"/>
  <c r="AX143" i="2"/>
  <c r="AX144" i="2"/>
  <c r="AX145" i="2"/>
  <c r="AX146" i="2"/>
  <c r="AX147" i="2"/>
  <c r="AX148" i="2"/>
  <c r="AX149" i="2"/>
  <c r="AX150" i="2"/>
  <c r="AX151" i="2"/>
  <c r="AX152" i="2"/>
  <c r="AX153" i="2"/>
  <c r="AX154" i="2"/>
  <c r="AX155" i="2"/>
  <c r="AX156" i="2"/>
  <c r="AX157" i="2"/>
  <c r="AX158" i="2"/>
  <c r="AX159" i="2"/>
  <c r="AX160" i="2"/>
  <c r="AX161" i="2"/>
  <c r="AX162" i="2"/>
  <c r="AX163" i="2"/>
  <c r="AX164" i="2"/>
  <c r="AX165" i="2"/>
  <c r="AX166" i="2"/>
  <c r="AX167" i="2"/>
  <c r="AX168" i="2"/>
  <c r="AX169" i="2"/>
  <c r="AX170" i="2"/>
  <c r="AX171" i="2"/>
  <c r="AX172" i="2"/>
  <c r="AX173" i="2"/>
  <c r="AX174" i="2"/>
  <c r="AX175" i="2"/>
  <c r="AX176" i="2"/>
  <c r="AX177" i="2"/>
  <c r="AX178" i="2"/>
  <c r="AX179" i="2"/>
  <c r="AX180" i="2"/>
  <c r="AX181" i="2"/>
  <c r="AX182" i="2"/>
  <c r="AX183" i="2"/>
  <c r="AX184" i="2"/>
  <c r="AX185" i="2"/>
  <c r="AX186" i="2"/>
  <c r="AX187" i="2"/>
  <c r="AX188" i="2"/>
  <c r="AX189" i="2"/>
  <c r="AX190" i="2"/>
  <c r="AX191" i="2"/>
  <c r="AX192" i="2"/>
  <c r="AX193" i="2"/>
  <c r="AX194" i="2"/>
  <c r="AX195" i="2"/>
  <c r="AX196" i="2"/>
  <c r="AX197" i="2"/>
  <c r="AX198" i="2"/>
  <c r="AX199" i="2"/>
  <c r="AX200" i="2"/>
  <c r="AX201" i="2"/>
  <c r="AX202" i="2"/>
  <c r="AX203" i="2"/>
  <c r="AX204" i="2"/>
  <c r="AX205" i="2"/>
  <c r="AX206" i="2"/>
  <c r="AX207" i="2"/>
  <c r="AX208" i="2"/>
  <c r="AX209" i="2"/>
  <c r="AX210" i="2"/>
  <c r="AX211" i="2"/>
  <c r="AX212" i="2"/>
  <c r="AX213" i="2"/>
  <c r="AX214" i="2"/>
  <c r="AX215" i="2"/>
  <c r="AX216" i="2"/>
  <c r="AX217" i="2"/>
  <c r="AX218" i="2"/>
  <c r="AX219" i="2"/>
  <c r="AX220" i="2"/>
  <c r="AX221" i="2"/>
  <c r="AX222" i="2"/>
  <c r="AX223" i="2"/>
  <c r="AX224" i="2"/>
  <c r="AX225" i="2"/>
  <c r="AX226" i="2"/>
  <c r="AX227" i="2"/>
  <c r="AX228" i="2"/>
  <c r="AX229" i="2"/>
  <c r="AX230" i="2"/>
  <c r="AX231" i="2"/>
  <c r="AX232" i="2"/>
  <c r="AX233" i="2"/>
  <c r="AX234" i="2"/>
  <c r="AX235" i="2"/>
  <c r="AX236" i="2"/>
  <c r="AX237" i="2"/>
  <c r="AX238" i="2"/>
  <c r="AX239" i="2"/>
  <c r="AX240" i="2"/>
  <c r="AX241" i="2"/>
  <c r="AX242" i="2"/>
  <c r="AX243" i="2"/>
  <c r="AX244" i="2"/>
  <c r="AX245" i="2"/>
  <c r="AX246" i="2"/>
  <c r="AX247" i="2"/>
  <c r="AX248" i="2"/>
  <c r="AX249" i="2"/>
  <c r="AX250" i="2"/>
  <c r="AX251" i="2"/>
  <c r="AX252" i="2"/>
  <c r="AX253" i="2"/>
  <c r="AX254" i="2"/>
  <c r="AX255" i="2"/>
  <c r="AX256" i="2"/>
  <c r="AX257" i="2"/>
  <c r="AX258" i="2"/>
  <c r="AX259" i="2"/>
  <c r="AX260" i="2"/>
  <c r="AX261" i="2"/>
  <c r="AX262" i="2"/>
  <c r="AX263" i="2"/>
  <c r="AX264" i="2"/>
  <c r="AX265" i="2"/>
  <c r="AX266" i="2"/>
  <c r="AX267" i="2"/>
  <c r="AX268" i="2"/>
  <c r="AX269" i="2"/>
  <c r="AX270" i="2"/>
  <c r="AX271" i="2"/>
  <c r="AX272" i="2"/>
  <c r="AX273" i="2"/>
  <c r="AX274" i="2"/>
  <c r="AX275" i="2"/>
  <c r="AX276" i="2"/>
  <c r="AX277" i="2"/>
  <c r="AX278" i="2"/>
  <c r="AX279" i="2"/>
  <c r="AX280" i="2"/>
  <c r="AX281" i="2"/>
  <c r="AX282" i="2"/>
  <c r="AX283" i="2"/>
  <c r="AX284" i="2"/>
  <c r="AX285" i="2"/>
  <c r="AX286" i="2"/>
  <c r="AX287" i="2"/>
  <c r="AX288" i="2"/>
  <c r="AX289" i="2"/>
  <c r="AX290" i="2"/>
  <c r="AX291" i="2"/>
  <c r="AX292" i="2"/>
  <c r="AX293" i="2"/>
  <c r="AX294" i="2"/>
  <c r="AX295" i="2"/>
  <c r="AX296" i="2"/>
  <c r="AX297" i="2"/>
  <c r="AX298" i="2"/>
  <c r="AX299" i="2"/>
  <c r="AX300" i="2"/>
  <c r="AX301" i="2"/>
  <c r="AX302" i="2"/>
  <c r="AX303" i="2"/>
  <c r="AX304" i="2"/>
  <c r="AX305" i="2"/>
  <c r="AX306" i="2"/>
  <c r="AX307" i="2"/>
  <c r="AX308" i="2"/>
  <c r="AX309" i="2"/>
  <c r="AX310" i="2"/>
  <c r="AX311" i="2"/>
  <c r="AX312" i="2"/>
  <c r="AX313" i="2"/>
  <c r="AX314" i="2"/>
  <c r="AX315" i="2"/>
  <c r="AX316" i="2"/>
  <c r="AX317" i="2"/>
  <c r="AX318" i="2"/>
  <c r="AX319" i="2"/>
  <c r="AX320" i="2"/>
  <c r="AX321" i="2"/>
  <c r="AX322" i="2"/>
  <c r="AX323" i="2"/>
  <c r="AX324" i="2"/>
  <c r="AX325" i="2"/>
  <c r="AX326" i="2"/>
  <c r="AX327" i="2"/>
  <c r="AX328" i="2"/>
  <c r="AX329" i="2"/>
  <c r="AX330" i="2"/>
  <c r="AX331" i="2"/>
  <c r="AX332" i="2"/>
  <c r="AX333" i="2"/>
  <c r="AX334" i="2"/>
  <c r="AX335" i="2"/>
  <c r="AX336" i="2"/>
  <c r="AX337" i="2"/>
  <c r="AX338" i="2"/>
  <c r="AX339" i="2"/>
  <c r="AX340" i="2"/>
  <c r="AX341" i="2"/>
  <c r="AX342" i="2"/>
  <c r="AX343" i="2"/>
  <c r="AX344" i="2"/>
  <c r="AX345" i="2"/>
  <c r="AX346" i="2"/>
  <c r="AX347" i="2"/>
  <c r="AX348" i="2"/>
  <c r="AX349" i="2"/>
  <c r="AX350" i="2"/>
  <c r="AX351" i="2"/>
  <c r="AX352" i="2"/>
  <c r="AX353" i="2"/>
  <c r="AX354" i="2"/>
  <c r="AX355" i="2"/>
  <c r="AX356" i="2"/>
  <c r="AX357" i="2"/>
  <c r="AX358" i="2"/>
  <c r="AX359" i="2"/>
  <c r="AX360" i="2"/>
  <c r="AX361" i="2"/>
  <c r="AX362" i="2"/>
  <c r="AX363" i="2"/>
  <c r="AX364" i="2"/>
  <c r="AX365" i="2"/>
  <c r="AX366" i="2"/>
  <c r="AX367" i="2"/>
  <c r="AX368" i="2"/>
  <c r="AX369" i="2"/>
  <c r="AX370" i="2"/>
  <c r="AX371" i="2"/>
  <c r="AX372" i="2"/>
  <c r="AX373" i="2"/>
  <c r="AX374" i="2"/>
  <c r="AX375" i="2"/>
  <c r="AX376" i="2"/>
  <c r="AX377" i="2"/>
  <c r="AX378" i="2"/>
  <c r="AX379" i="2"/>
  <c r="AX380" i="2"/>
  <c r="AX381" i="2"/>
  <c r="AX382" i="2"/>
  <c r="AX383" i="2"/>
  <c r="AX384" i="2"/>
  <c r="AX385" i="2"/>
  <c r="AX386" i="2"/>
  <c r="AX387" i="2"/>
  <c r="AX388" i="2"/>
  <c r="AX389" i="2"/>
  <c r="AX390" i="2"/>
  <c r="AX391" i="2"/>
  <c r="AX392" i="2"/>
  <c r="AX393" i="2"/>
  <c r="AX394" i="2"/>
  <c r="AX395" i="2"/>
  <c r="AX396" i="2"/>
  <c r="AX397" i="2"/>
  <c r="AX398" i="2"/>
  <c r="AX399" i="2"/>
  <c r="AX400" i="2"/>
  <c r="AX401" i="2"/>
  <c r="AX402" i="2"/>
  <c r="AX403" i="2"/>
  <c r="AX404" i="2"/>
  <c r="AX405" i="2"/>
  <c r="AX406" i="2"/>
  <c r="AX407" i="2"/>
  <c r="AX408" i="2"/>
  <c r="AX409" i="2"/>
  <c r="AX410" i="2"/>
  <c r="AX411" i="2"/>
  <c r="AX412" i="2"/>
  <c r="AX413" i="2"/>
  <c r="AX414" i="2"/>
  <c r="AX415" i="2"/>
  <c r="AX416" i="2"/>
  <c r="AX417" i="2"/>
  <c r="AX418" i="2"/>
  <c r="AX419" i="2"/>
  <c r="AX420" i="2"/>
  <c r="AX421" i="2"/>
  <c r="AX422" i="2"/>
  <c r="AX423" i="2"/>
  <c r="AX424" i="2"/>
  <c r="AX425" i="2"/>
  <c r="AX426" i="2"/>
  <c r="AX427" i="2"/>
  <c r="AX428" i="2"/>
  <c r="AX429" i="2"/>
  <c r="AX430" i="2"/>
  <c r="AX431" i="2"/>
  <c r="AX432" i="2"/>
  <c r="AX433" i="2"/>
  <c r="AX434" i="2"/>
  <c r="AX435" i="2"/>
  <c r="AX436" i="2"/>
  <c r="AX437" i="2"/>
  <c r="AX438" i="2"/>
  <c r="AX439" i="2"/>
  <c r="AX440" i="2"/>
  <c r="AX441" i="2"/>
  <c r="AX442" i="2"/>
  <c r="AX443" i="2"/>
  <c r="AX444" i="2"/>
  <c r="AX445" i="2"/>
  <c r="AX446" i="2"/>
  <c r="AX447" i="2"/>
  <c r="AX448" i="2"/>
  <c r="AX449" i="2"/>
  <c r="AX450" i="2"/>
  <c r="AX451" i="2"/>
  <c r="AX452" i="2"/>
  <c r="AX453" i="2"/>
  <c r="AX454" i="2"/>
  <c r="AX455" i="2"/>
  <c r="AX456" i="2"/>
  <c r="AX457" i="2"/>
  <c r="AX458" i="2"/>
  <c r="AX459" i="2"/>
  <c r="AX460" i="2"/>
  <c r="AX461" i="2"/>
  <c r="AX462" i="2"/>
  <c r="AX463" i="2"/>
  <c r="AX464" i="2"/>
  <c r="AX465" i="2"/>
  <c r="AX466" i="2"/>
  <c r="AX467" i="2"/>
  <c r="AX468" i="2"/>
  <c r="AX469" i="2"/>
  <c r="AX470" i="2"/>
  <c r="AX471" i="2"/>
  <c r="AX472" i="2"/>
  <c r="AX473" i="2"/>
  <c r="AX474" i="2"/>
  <c r="AX475" i="2"/>
  <c r="AX476" i="2"/>
  <c r="AX477" i="2"/>
  <c r="AX478" i="2"/>
  <c r="AX479" i="2"/>
  <c r="AX480" i="2"/>
  <c r="AX481" i="2"/>
  <c r="AX482" i="2"/>
  <c r="AX483" i="2"/>
  <c r="AX484" i="2"/>
  <c r="AX485" i="2"/>
  <c r="AX486" i="2"/>
  <c r="AX487" i="2"/>
  <c r="AX488" i="2"/>
  <c r="AX489" i="2"/>
  <c r="AX490" i="2"/>
  <c r="AX491" i="2"/>
  <c r="AX492" i="2"/>
  <c r="AX493" i="2"/>
  <c r="AX494" i="2"/>
  <c r="AX495" i="2"/>
  <c r="AX496" i="2"/>
  <c r="AX497" i="2"/>
  <c r="AX498" i="2"/>
  <c r="AX499" i="2"/>
  <c r="AX500" i="2"/>
  <c r="AX501" i="2"/>
  <c r="AX502" i="2"/>
  <c r="AX503" i="2"/>
  <c r="AX504" i="2"/>
  <c r="AX505" i="2"/>
  <c r="AX506" i="2"/>
  <c r="AX507" i="2"/>
  <c r="AX508" i="2"/>
  <c r="AX509" i="2"/>
  <c r="AX510" i="2"/>
  <c r="AX511" i="2"/>
  <c r="AX512" i="2"/>
  <c r="AX513" i="2"/>
  <c r="AX514" i="2"/>
  <c r="AX515" i="2"/>
  <c r="AX516" i="2"/>
  <c r="AX517" i="2"/>
  <c r="AX518" i="2"/>
  <c r="AX519" i="2"/>
  <c r="AX520" i="2"/>
  <c r="AX521" i="2"/>
  <c r="AX522" i="2"/>
  <c r="AX523" i="2"/>
  <c r="AX524" i="2"/>
  <c r="AX525" i="2"/>
  <c r="AX526" i="2"/>
  <c r="AX527" i="2"/>
  <c r="AX528" i="2"/>
  <c r="AX529" i="2"/>
  <c r="AX530" i="2"/>
  <c r="AX531" i="2"/>
  <c r="AX532" i="2"/>
  <c r="AX533" i="2"/>
  <c r="AX534" i="2"/>
  <c r="AX535" i="2"/>
  <c r="AX536" i="2"/>
  <c r="AX537" i="2"/>
  <c r="AX538" i="2"/>
  <c r="AX539" i="2"/>
  <c r="AX540" i="2"/>
  <c r="AX541" i="2"/>
  <c r="AX542" i="2"/>
  <c r="AX543" i="2"/>
  <c r="AX544" i="2"/>
  <c r="AX545" i="2"/>
  <c r="AX546" i="2"/>
  <c r="AX547" i="2"/>
  <c r="AX548" i="2"/>
  <c r="AX549" i="2"/>
  <c r="AX550" i="2"/>
  <c r="AX551" i="2"/>
  <c r="AX552" i="2"/>
  <c r="AX553" i="2"/>
  <c r="AX554" i="2"/>
  <c r="AX555" i="2"/>
  <c r="AX556" i="2"/>
  <c r="AX557" i="2"/>
  <c r="AX558" i="2"/>
  <c r="AX559" i="2"/>
  <c r="AX560" i="2"/>
  <c r="AX561" i="2"/>
  <c r="AX562" i="2"/>
  <c r="AX563" i="2"/>
  <c r="AX564" i="2"/>
  <c r="AX565" i="2"/>
  <c r="AX566" i="2"/>
  <c r="AX567" i="2"/>
  <c r="AX568" i="2"/>
  <c r="AX569" i="2"/>
  <c r="AX570" i="2"/>
  <c r="AX571" i="2"/>
  <c r="AX572" i="2"/>
  <c r="AX573" i="2"/>
  <c r="AX574" i="2"/>
  <c r="AX575" i="2"/>
  <c r="AX576" i="2"/>
  <c r="AX577" i="2"/>
  <c r="AX578" i="2"/>
  <c r="AX579" i="2"/>
  <c r="AX580" i="2"/>
  <c r="AX581" i="2"/>
  <c r="AX582" i="2"/>
  <c r="AX583" i="2"/>
  <c r="AX584" i="2"/>
  <c r="AX585" i="2"/>
  <c r="AX586" i="2"/>
  <c r="AX587" i="2"/>
  <c r="AX588" i="2"/>
  <c r="AX589" i="2"/>
  <c r="AX590" i="2"/>
  <c r="AX591" i="2"/>
  <c r="AX592" i="2"/>
  <c r="AX593" i="2"/>
  <c r="AX594" i="2"/>
  <c r="AX595" i="2"/>
  <c r="AX596" i="2"/>
  <c r="AX597" i="2"/>
  <c r="AX598" i="2"/>
  <c r="AX599" i="2"/>
  <c r="AX600" i="2"/>
  <c r="AX601" i="2"/>
  <c r="AX602" i="2"/>
  <c r="AX603" i="2"/>
  <c r="AX604" i="2"/>
  <c r="AX605" i="2"/>
  <c r="AX606" i="2"/>
  <c r="AX607" i="2"/>
  <c r="AX608" i="2"/>
  <c r="AX609" i="2"/>
  <c r="AX610" i="2"/>
  <c r="AX611" i="2"/>
  <c r="AX612" i="2"/>
  <c r="AX613" i="2"/>
  <c r="AX614" i="2"/>
  <c r="AX615" i="2"/>
  <c r="AX616" i="2"/>
  <c r="AX617" i="2"/>
  <c r="AX618" i="2"/>
  <c r="AX619" i="2"/>
  <c r="AX620" i="2"/>
  <c r="AX621" i="2"/>
  <c r="AX622" i="2"/>
  <c r="AX623" i="2"/>
  <c r="AX624" i="2"/>
  <c r="AX625" i="2"/>
  <c r="AX626" i="2"/>
  <c r="AX627" i="2"/>
  <c r="AX628" i="2"/>
  <c r="AX629" i="2"/>
  <c r="AX630" i="2"/>
  <c r="AX631" i="2"/>
  <c r="AX632" i="2"/>
  <c r="AX633" i="2"/>
  <c r="AX634" i="2"/>
  <c r="AX635" i="2"/>
  <c r="AX636" i="2"/>
  <c r="AX637" i="2"/>
  <c r="AX638" i="2"/>
  <c r="AX639" i="2"/>
  <c r="AX640" i="2"/>
  <c r="AX641" i="2"/>
  <c r="AX642" i="2"/>
  <c r="AX643" i="2"/>
  <c r="AX644" i="2"/>
  <c r="AX645" i="2"/>
  <c r="AX646" i="2"/>
  <c r="AX647" i="2"/>
  <c r="AX648" i="2"/>
  <c r="AX649" i="2"/>
  <c r="AX650" i="2"/>
  <c r="AX651" i="2"/>
  <c r="AX652" i="2"/>
  <c r="AX653" i="2"/>
  <c r="AX654" i="2"/>
  <c r="AX655" i="2"/>
  <c r="AX656" i="2"/>
  <c r="AX657" i="2"/>
  <c r="AX658" i="2"/>
  <c r="AX659" i="2"/>
  <c r="AX660" i="2"/>
  <c r="AX661" i="2"/>
  <c r="AX662" i="2"/>
  <c r="AX663" i="2"/>
  <c r="AX664" i="2"/>
  <c r="AX665" i="2"/>
  <c r="AX666" i="2"/>
  <c r="AX667" i="2"/>
  <c r="AX668" i="2"/>
  <c r="AX669" i="2"/>
  <c r="AX670" i="2"/>
  <c r="AX671" i="2"/>
  <c r="AX672" i="2"/>
  <c r="AX673" i="2"/>
  <c r="AX674" i="2"/>
  <c r="AX675" i="2"/>
  <c r="AX676" i="2"/>
  <c r="AX677" i="2"/>
  <c r="AX678" i="2"/>
  <c r="AX679" i="2"/>
  <c r="AX680" i="2"/>
  <c r="AX681" i="2"/>
  <c r="AX682" i="2"/>
  <c r="AX683" i="2"/>
  <c r="AX684" i="2"/>
  <c r="AX685" i="2"/>
  <c r="AX686" i="2"/>
  <c r="AX687" i="2"/>
  <c r="AX688" i="2"/>
  <c r="AX689" i="2"/>
  <c r="AX690" i="2"/>
  <c r="AX691" i="2"/>
  <c r="AX692" i="2"/>
  <c r="AX693" i="2"/>
  <c r="AX694" i="2"/>
  <c r="AX695" i="2"/>
  <c r="AX696" i="2"/>
  <c r="AX697" i="2"/>
  <c r="AX698" i="2"/>
  <c r="AX699" i="2"/>
  <c r="AX700" i="2"/>
  <c r="AX701" i="2"/>
  <c r="AX702" i="2"/>
  <c r="AX703" i="2"/>
  <c r="AX704" i="2"/>
  <c r="AX705" i="2"/>
  <c r="AX706" i="2"/>
  <c r="AX707" i="2"/>
  <c r="AX708" i="2"/>
  <c r="AX709" i="2"/>
  <c r="AX710" i="2"/>
  <c r="AX711" i="2"/>
  <c r="AX712" i="2"/>
  <c r="AX713" i="2"/>
  <c r="AX714" i="2"/>
  <c r="AX715" i="2"/>
  <c r="AX716" i="2"/>
  <c r="AX717" i="2"/>
  <c r="AX718" i="2"/>
  <c r="AX719" i="2"/>
  <c r="AX720" i="2"/>
  <c r="AX721" i="2"/>
  <c r="AX722" i="2"/>
  <c r="AX723" i="2"/>
  <c r="AX724" i="2"/>
  <c r="AX725" i="2"/>
  <c r="AX726" i="2"/>
  <c r="AX727" i="2"/>
  <c r="AX728" i="2"/>
  <c r="AX729" i="2"/>
  <c r="AX730" i="2"/>
  <c r="AX731" i="2"/>
  <c r="AX732" i="2"/>
  <c r="AX733" i="2"/>
  <c r="AX734" i="2"/>
  <c r="AX735" i="2"/>
  <c r="AX736" i="2"/>
  <c r="AX737" i="2"/>
  <c r="AX738" i="2"/>
  <c r="AX739" i="2"/>
  <c r="AX740" i="2"/>
  <c r="AX741" i="2"/>
  <c r="AX742" i="2"/>
  <c r="AX743" i="2"/>
  <c r="AX744" i="2"/>
  <c r="AX745" i="2"/>
  <c r="AX746" i="2"/>
  <c r="AX747" i="2"/>
  <c r="AX748" i="2"/>
  <c r="AX749" i="2"/>
  <c r="AX750" i="2"/>
  <c r="AX751" i="2"/>
  <c r="AX752" i="2"/>
  <c r="AX753" i="2"/>
  <c r="AX754" i="2"/>
  <c r="AX755" i="2"/>
  <c r="AX756" i="2"/>
  <c r="AX757" i="2"/>
  <c r="AX758" i="2"/>
  <c r="AX759" i="2"/>
  <c r="AX760" i="2"/>
  <c r="AX761" i="2"/>
  <c r="AX762" i="2"/>
  <c r="AX763" i="2"/>
  <c r="AX764" i="2"/>
  <c r="AX765" i="2"/>
  <c r="AX766" i="2"/>
  <c r="AX767" i="2"/>
  <c r="AX768" i="2"/>
  <c r="AX769" i="2"/>
  <c r="AX770" i="2"/>
  <c r="AX771" i="2"/>
  <c r="AX772" i="2"/>
  <c r="AX773" i="2"/>
  <c r="AX774" i="2"/>
  <c r="AX775" i="2"/>
  <c r="AX776" i="2"/>
  <c r="AX777" i="2"/>
  <c r="AX778" i="2"/>
  <c r="AX779" i="2"/>
  <c r="AX780" i="2"/>
  <c r="AX781" i="2"/>
  <c r="AX782" i="2"/>
  <c r="AX783" i="2"/>
  <c r="AX784" i="2"/>
  <c r="AX785" i="2"/>
  <c r="AX786" i="2"/>
  <c r="AX787" i="2"/>
  <c r="AX788" i="2"/>
  <c r="AX789" i="2"/>
  <c r="AX790" i="2"/>
  <c r="AX791" i="2"/>
  <c r="AX792" i="2"/>
  <c r="AX793" i="2"/>
  <c r="AX794" i="2"/>
  <c r="AX795" i="2"/>
  <c r="AX796" i="2"/>
  <c r="AX797" i="2"/>
  <c r="AX798" i="2"/>
  <c r="AX799" i="2"/>
  <c r="AX800" i="2"/>
  <c r="AX801" i="2"/>
  <c r="AX802" i="2"/>
  <c r="AX803" i="2"/>
  <c r="AX804" i="2"/>
  <c r="AX805" i="2"/>
  <c r="AX806" i="2"/>
  <c r="AX807" i="2"/>
  <c r="AX808" i="2"/>
  <c r="AX809" i="2"/>
  <c r="AX810" i="2"/>
  <c r="AX811" i="2"/>
  <c r="AX812" i="2"/>
  <c r="AX813" i="2"/>
  <c r="AX814" i="2"/>
  <c r="AX815" i="2"/>
  <c r="AX816" i="2"/>
  <c r="AX817" i="2"/>
  <c r="AX818" i="2"/>
  <c r="AX819" i="2"/>
  <c r="AX820" i="2"/>
  <c r="AX821" i="2"/>
  <c r="AX822" i="2"/>
  <c r="AX823" i="2"/>
  <c r="AX824" i="2"/>
  <c r="AX825" i="2"/>
  <c r="AX826" i="2"/>
  <c r="AX827" i="2"/>
  <c r="AX828" i="2"/>
  <c r="AX829" i="2"/>
  <c r="AX830" i="2"/>
  <c r="AX831" i="2"/>
  <c r="AX832" i="2"/>
  <c r="AX833" i="2"/>
  <c r="AX834" i="2"/>
  <c r="AX835" i="2"/>
  <c r="AX836" i="2"/>
  <c r="AX837" i="2"/>
  <c r="AX838" i="2"/>
  <c r="AX839" i="2"/>
  <c r="AX840" i="2"/>
  <c r="AX841" i="2"/>
  <c r="AX842" i="2"/>
  <c r="AX843" i="2"/>
  <c r="AX844" i="2"/>
  <c r="AX845" i="2"/>
  <c r="AX846" i="2"/>
  <c r="AX847" i="2"/>
  <c r="AX848" i="2"/>
  <c r="AX849" i="2"/>
  <c r="AX850" i="2"/>
  <c r="AX851" i="2"/>
  <c r="AX852" i="2"/>
  <c r="AX853" i="2"/>
  <c r="AX854" i="2"/>
  <c r="AX855" i="2"/>
  <c r="AX856" i="2"/>
  <c r="AX857" i="2"/>
  <c r="AX858" i="2"/>
  <c r="AX859" i="2"/>
  <c r="AX860" i="2"/>
  <c r="AX861" i="2"/>
  <c r="AX862" i="2"/>
  <c r="AX863" i="2"/>
  <c r="AX864" i="2"/>
  <c r="AX865" i="2"/>
  <c r="AX866" i="2"/>
  <c r="AX867" i="2"/>
  <c r="AX868" i="2"/>
  <c r="AX869" i="2"/>
  <c r="AX870" i="2"/>
  <c r="AX871" i="2"/>
  <c r="AX872" i="2"/>
  <c r="AX873" i="2"/>
  <c r="AX874" i="2"/>
  <c r="AX875" i="2"/>
  <c r="AX876" i="2"/>
  <c r="AX877" i="2"/>
  <c r="AX878" i="2"/>
  <c r="AX879" i="2"/>
  <c r="AX880" i="2"/>
  <c r="AX881" i="2"/>
  <c r="AX882" i="2"/>
  <c r="AX883" i="2"/>
  <c r="AX884" i="2"/>
  <c r="AX885" i="2"/>
  <c r="AX886" i="2"/>
  <c r="AX887" i="2"/>
  <c r="AX888" i="2"/>
  <c r="AX889" i="2"/>
  <c r="AX890" i="2"/>
  <c r="AX891" i="2"/>
  <c r="AX892" i="2"/>
  <c r="AX893" i="2"/>
  <c r="AX894" i="2"/>
  <c r="AX895" i="2"/>
  <c r="AX896" i="2"/>
  <c r="AX897" i="2"/>
  <c r="AX898" i="2"/>
  <c r="AX899" i="2"/>
  <c r="AX900" i="2"/>
  <c r="AX901" i="2"/>
  <c r="AX902" i="2"/>
  <c r="AX903" i="2"/>
  <c r="AX904" i="2"/>
  <c r="AX905" i="2"/>
  <c r="AX906" i="2"/>
  <c r="AX907" i="2"/>
  <c r="AX908" i="2"/>
  <c r="AX909" i="2"/>
  <c r="AX910" i="2"/>
  <c r="AX911" i="2"/>
  <c r="AX912" i="2"/>
  <c r="AX913" i="2"/>
  <c r="AX914" i="2"/>
  <c r="AX915" i="2"/>
  <c r="AX916" i="2"/>
  <c r="AX917" i="2"/>
  <c r="AX918" i="2"/>
  <c r="AX919" i="2"/>
  <c r="AX920" i="2"/>
  <c r="AX921" i="2"/>
  <c r="AX922" i="2"/>
  <c r="AX923" i="2"/>
  <c r="AX924" i="2"/>
  <c r="AX925" i="2"/>
  <c r="AX926" i="2"/>
  <c r="AX927" i="2"/>
  <c r="AX928" i="2"/>
  <c r="AX929" i="2"/>
  <c r="AX930" i="2"/>
  <c r="AX931" i="2"/>
  <c r="AX932" i="2"/>
  <c r="AX933" i="2"/>
  <c r="AX934" i="2"/>
  <c r="AX935" i="2"/>
  <c r="AX936" i="2"/>
  <c r="AX937" i="2"/>
  <c r="AX938" i="2"/>
  <c r="AX939" i="2"/>
  <c r="AX940" i="2"/>
  <c r="AX941" i="2"/>
  <c r="AX942" i="2"/>
  <c r="AX943" i="2"/>
  <c r="AX944" i="2"/>
  <c r="AX945" i="2"/>
  <c r="AX946" i="2"/>
  <c r="AX947" i="2"/>
  <c r="AX948" i="2"/>
  <c r="AX949" i="2"/>
  <c r="AX950" i="2"/>
  <c r="AX951" i="2"/>
  <c r="AX952" i="2"/>
  <c r="AX953" i="2"/>
  <c r="AX954" i="2"/>
  <c r="AX955" i="2"/>
  <c r="AX956" i="2"/>
  <c r="AX957" i="2"/>
  <c r="AX958" i="2"/>
  <c r="AX959" i="2"/>
  <c r="AX960" i="2"/>
  <c r="AX961" i="2"/>
  <c r="AX962" i="2"/>
  <c r="AX963" i="2"/>
  <c r="AX964" i="2"/>
  <c r="AX965" i="2"/>
  <c r="AX966" i="2"/>
  <c r="AX967" i="2"/>
  <c r="AX968" i="2"/>
  <c r="AX969" i="2"/>
  <c r="AX970" i="2"/>
  <c r="AX971" i="2"/>
  <c r="AX972" i="2"/>
  <c r="AX973" i="2"/>
  <c r="AX974" i="2"/>
  <c r="AX975" i="2"/>
  <c r="AX976" i="2"/>
  <c r="AX977" i="2"/>
  <c r="AX978" i="2"/>
  <c r="AX979" i="2"/>
  <c r="AX980" i="2"/>
  <c r="AX981" i="2"/>
  <c r="AX982" i="2"/>
  <c r="AX983" i="2"/>
  <c r="AX984" i="2"/>
  <c r="AX985" i="2"/>
  <c r="AX986" i="2"/>
  <c r="AX987" i="2"/>
  <c r="AX988" i="2"/>
  <c r="AX989" i="2"/>
  <c r="AX990" i="2"/>
  <c r="AX991" i="2"/>
  <c r="AX992" i="2"/>
  <c r="AX993" i="2"/>
  <c r="AX994" i="2"/>
  <c r="AX995" i="2"/>
  <c r="AX996" i="2"/>
  <c r="AX997" i="2"/>
  <c r="AX998" i="2"/>
  <c r="AX999" i="2"/>
  <c r="AX1000" i="2"/>
  <c r="AX1001" i="2"/>
  <c r="AX1002" i="2"/>
  <c r="AX1003" i="2"/>
  <c r="AX1004" i="2"/>
  <c r="AX1005" i="2"/>
  <c r="AX1006" i="2"/>
  <c r="AX1007" i="2"/>
  <c r="AX1008" i="2"/>
  <c r="AX1009" i="2"/>
  <c r="AX1010" i="2"/>
  <c r="AX1011" i="2"/>
  <c r="AX1012" i="2"/>
  <c r="AX1013" i="2"/>
  <c r="AX1014" i="2"/>
  <c r="AX1015" i="2"/>
  <c r="AX1016" i="2"/>
  <c r="AX1017" i="2"/>
  <c r="AX1018" i="2"/>
  <c r="AX1019" i="2"/>
  <c r="AX1020" i="2"/>
  <c r="AX1021" i="2"/>
  <c r="AX1022" i="2"/>
  <c r="AX1023" i="2"/>
  <c r="AX1024" i="2"/>
  <c r="AX1025" i="2"/>
  <c r="AX1026" i="2"/>
  <c r="AX1027" i="2"/>
  <c r="AX1028" i="2"/>
  <c r="AX1029" i="2"/>
  <c r="AX1030" i="2"/>
  <c r="AX1031" i="2"/>
  <c r="AX1032" i="2"/>
  <c r="AX1033" i="2"/>
  <c r="AX1034" i="2"/>
  <c r="AX1035" i="2"/>
  <c r="AX1036" i="2"/>
  <c r="AX1037" i="2"/>
  <c r="AX1038" i="2"/>
  <c r="AX1039" i="2"/>
  <c r="AX1040" i="2"/>
  <c r="AX1041" i="2"/>
  <c r="AX1042" i="2"/>
  <c r="AX1043" i="2"/>
  <c r="AX1044" i="2"/>
  <c r="AX1045" i="2"/>
  <c r="AX1046" i="2"/>
  <c r="AX1047" i="2"/>
  <c r="AX1048" i="2"/>
  <c r="AX1049" i="2"/>
  <c r="AX1050" i="2"/>
  <c r="AX1051" i="2"/>
  <c r="AX1052" i="2"/>
  <c r="AX1053" i="2"/>
  <c r="AX1054" i="2"/>
  <c r="AX1055" i="2"/>
  <c r="AX1056" i="2"/>
  <c r="AX1057" i="2"/>
  <c r="AX1058" i="2"/>
  <c r="AX1059" i="2"/>
  <c r="AX1060" i="2"/>
  <c r="AX1061" i="2"/>
  <c r="AX1062" i="2"/>
  <c r="AX1063" i="2"/>
  <c r="AX1064" i="2"/>
  <c r="AX1065" i="2"/>
  <c r="AX1066" i="2"/>
  <c r="AX1067" i="2"/>
  <c r="AX1068" i="2"/>
  <c r="AX1069" i="2"/>
  <c r="AX1070" i="2"/>
  <c r="AX1071" i="2"/>
  <c r="AX1072" i="2"/>
  <c r="AX1073" i="2"/>
  <c r="AX1074" i="2"/>
  <c r="AX1075" i="2"/>
  <c r="AX1076" i="2"/>
  <c r="AX1077" i="2"/>
  <c r="AX1078" i="2"/>
  <c r="AX1079" i="2"/>
  <c r="AX1080" i="2"/>
  <c r="AX1081" i="2"/>
  <c r="AX1082" i="2"/>
  <c r="AX1083" i="2"/>
  <c r="AX1084" i="2"/>
  <c r="AX1085" i="2"/>
  <c r="AX1086" i="2"/>
  <c r="AX1087" i="2"/>
  <c r="AX1088" i="2"/>
  <c r="AX1089" i="2"/>
  <c r="AX1090" i="2"/>
  <c r="AX1091" i="2"/>
  <c r="AX1092" i="2"/>
  <c r="AX1093" i="2"/>
  <c r="AX1094" i="2"/>
  <c r="AX1095" i="2"/>
  <c r="AX1096" i="2"/>
  <c r="AX1097" i="2"/>
  <c r="AX1098" i="2"/>
  <c r="AX1099" i="2"/>
  <c r="AX1100" i="2"/>
  <c r="AX1101" i="2"/>
  <c r="AX1102" i="2"/>
  <c r="AX1103" i="2"/>
  <c r="AX1104" i="2"/>
  <c r="AX1105" i="2"/>
  <c r="AX1106" i="2"/>
  <c r="AX1107" i="2"/>
  <c r="AX1108" i="2"/>
  <c r="AX1109" i="2"/>
  <c r="AX1110" i="2"/>
  <c r="AX1111" i="2"/>
  <c r="AX1112" i="2"/>
  <c r="AX1113" i="2"/>
  <c r="AX1114" i="2"/>
  <c r="AX1115" i="2"/>
  <c r="AX1116" i="2"/>
  <c r="AX1117" i="2"/>
  <c r="AX1118" i="2"/>
  <c r="AX1119" i="2"/>
  <c r="AX1120" i="2"/>
  <c r="AX1121" i="2"/>
  <c r="AX1122" i="2"/>
  <c r="AX1123" i="2"/>
  <c r="AX1124" i="2"/>
  <c r="AX1125" i="2"/>
  <c r="AX1126" i="2"/>
  <c r="AX1127" i="2"/>
  <c r="AX1128" i="2"/>
  <c r="AX1129" i="2"/>
  <c r="AX1130" i="2"/>
  <c r="AX1131" i="2"/>
  <c r="AX1132" i="2"/>
  <c r="AX1133" i="2"/>
  <c r="AX1134" i="2"/>
  <c r="AX1135" i="2"/>
  <c r="AX1136" i="2"/>
  <c r="AX1137" i="2"/>
  <c r="AX1138" i="2"/>
  <c r="AX1139" i="2"/>
  <c r="AX1140" i="2"/>
  <c r="AX1141" i="2"/>
  <c r="AX1142" i="2"/>
  <c r="AX1143" i="2"/>
  <c r="AX1144" i="2"/>
  <c r="AX1145" i="2"/>
  <c r="AX1146" i="2"/>
  <c r="AX1147" i="2"/>
  <c r="AX1148" i="2"/>
  <c r="AX1149" i="2"/>
  <c r="AX1150" i="2"/>
  <c r="AX1151" i="2"/>
  <c r="AX1152" i="2"/>
  <c r="AX1153" i="2"/>
  <c r="AX1154" i="2"/>
  <c r="AX1155" i="2"/>
  <c r="AX1156" i="2"/>
  <c r="AX1157" i="2"/>
  <c r="AX1158" i="2"/>
  <c r="AX1159" i="2"/>
  <c r="AX1160" i="2"/>
  <c r="AX1161" i="2"/>
  <c r="AX1162" i="2"/>
  <c r="AX1163" i="2"/>
  <c r="AX1164" i="2"/>
  <c r="AX1165" i="2"/>
  <c r="AX1166" i="2"/>
  <c r="AX1167" i="2"/>
  <c r="AX1168" i="2"/>
  <c r="AX1169" i="2"/>
  <c r="AX1170" i="2"/>
  <c r="AX1171" i="2"/>
  <c r="AX1172" i="2"/>
  <c r="AX1173" i="2"/>
  <c r="AX1174" i="2"/>
  <c r="AX1175" i="2"/>
  <c r="AX1176" i="2"/>
  <c r="AX1177" i="2"/>
  <c r="AX1178" i="2"/>
  <c r="AX1179" i="2"/>
  <c r="AX1180" i="2"/>
  <c r="AX1181" i="2"/>
  <c r="AX1182" i="2"/>
  <c r="AX1183" i="2"/>
  <c r="AX1184" i="2"/>
  <c r="AX1185" i="2"/>
  <c r="AX1186" i="2"/>
  <c r="AX1187" i="2"/>
  <c r="AX1188" i="2"/>
  <c r="AX1189" i="2"/>
  <c r="AX1190" i="2"/>
  <c r="AX1191" i="2"/>
  <c r="AX1192" i="2"/>
  <c r="AX1193" i="2"/>
  <c r="AX1194" i="2"/>
  <c r="AX1195" i="2"/>
  <c r="AX1196" i="2"/>
  <c r="AX1197" i="2"/>
  <c r="AX1198" i="2"/>
  <c r="AX1199" i="2"/>
  <c r="AX1200" i="2"/>
  <c r="AX1201" i="2"/>
  <c r="AX1202" i="2"/>
  <c r="AX1203" i="2"/>
  <c r="AX1204" i="2"/>
  <c r="AX1205" i="2"/>
  <c r="AX1206" i="2"/>
  <c r="AX1207" i="2"/>
  <c r="AX1208" i="2"/>
  <c r="AX1209" i="2"/>
  <c r="AX1210" i="2"/>
  <c r="AX1211" i="2"/>
  <c r="AX1212" i="2"/>
  <c r="AX1213" i="2"/>
  <c r="AX1214" i="2"/>
  <c r="AX1215" i="2"/>
  <c r="AX1216" i="2"/>
  <c r="AX1217" i="2"/>
  <c r="AX1218" i="2"/>
  <c r="AX1219" i="2"/>
  <c r="AX1220" i="2"/>
  <c r="AX1221" i="2"/>
  <c r="AX1222" i="2"/>
  <c r="AX1223" i="2"/>
  <c r="AX1224" i="2"/>
  <c r="AX1225" i="2"/>
  <c r="AX1226" i="2"/>
  <c r="AX1227" i="2"/>
  <c r="AX1228" i="2"/>
  <c r="AX1229" i="2"/>
  <c r="AX1230" i="2"/>
  <c r="AX1231" i="2"/>
  <c r="AX1232" i="2"/>
  <c r="AX1233" i="2"/>
  <c r="AX1234" i="2"/>
  <c r="AX1235" i="2"/>
  <c r="AX1236" i="2"/>
  <c r="AX1237" i="2"/>
  <c r="AX1238" i="2"/>
  <c r="AX1239" i="2"/>
  <c r="AX1240" i="2"/>
  <c r="AX1241" i="2"/>
  <c r="AX1242" i="2"/>
  <c r="AX1243" i="2"/>
  <c r="AX1244" i="2"/>
  <c r="AX1245" i="2"/>
  <c r="AX1246" i="2"/>
  <c r="AX1247" i="2"/>
  <c r="AX1248" i="2"/>
  <c r="AX1249" i="2"/>
  <c r="AX1250" i="2"/>
  <c r="AX1251" i="2"/>
  <c r="AX1252" i="2"/>
  <c r="AX1253" i="2"/>
  <c r="AX1254" i="2"/>
  <c r="AX1255" i="2"/>
  <c r="AX1256" i="2"/>
  <c r="AX1257" i="2"/>
  <c r="AX1258" i="2"/>
  <c r="AX1259" i="2"/>
  <c r="AX1260" i="2"/>
  <c r="AX1261" i="2"/>
  <c r="AX1262" i="2"/>
  <c r="AX1263" i="2"/>
  <c r="AX1264" i="2"/>
  <c r="AX1265" i="2"/>
  <c r="AX1266" i="2"/>
  <c r="AX1267" i="2"/>
  <c r="AX1268" i="2"/>
  <c r="AX1269" i="2"/>
  <c r="AX1270" i="2"/>
  <c r="AX1271" i="2"/>
  <c r="AX1272" i="2"/>
  <c r="AX1273" i="2"/>
  <c r="AX1274" i="2"/>
  <c r="AX1275" i="2"/>
  <c r="AX1276" i="2"/>
  <c r="AX1277" i="2"/>
  <c r="AX1278" i="2"/>
  <c r="AX1279" i="2"/>
  <c r="AX1280" i="2"/>
  <c r="AX1281" i="2"/>
  <c r="AX1282" i="2"/>
  <c r="AX1283" i="2"/>
  <c r="AX1284" i="2"/>
  <c r="AX1285" i="2"/>
  <c r="AX1286" i="2"/>
  <c r="AX1287" i="2"/>
  <c r="AX1288" i="2"/>
  <c r="AX1289" i="2"/>
  <c r="AX1290" i="2"/>
  <c r="AX1291" i="2"/>
  <c r="AX1292" i="2"/>
  <c r="AX1293" i="2"/>
  <c r="AX1294" i="2"/>
  <c r="AX1295" i="2"/>
  <c r="AX1296" i="2"/>
  <c r="AX1297" i="2"/>
  <c r="AX1298" i="2"/>
  <c r="AX1299" i="2"/>
  <c r="AX1300" i="2"/>
  <c r="AX1301" i="2"/>
  <c r="AX1302" i="2"/>
  <c r="AX1303" i="2"/>
  <c r="AX1304" i="2"/>
  <c r="AX1305" i="2"/>
  <c r="AX1306" i="2"/>
  <c r="AX1307" i="2"/>
  <c r="AX1308" i="2"/>
  <c r="AX1309" i="2"/>
  <c r="AX1310" i="2"/>
  <c r="AX1311" i="2"/>
  <c r="AX1312" i="2"/>
  <c r="AX1313" i="2"/>
  <c r="AX1314" i="2"/>
  <c r="AX1315" i="2"/>
  <c r="AX1316" i="2"/>
  <c r="AX1317" i="2"/>
  <c r="AX1318" i="2"/>
  <c r="AX1319" i="2"/>
  <c r="AX1320" i="2"/>
  <c r="AX1321" i="2"/>
  <c r="AX1322" i="2"/>
  <c r="AX1323" i="2"/>
  <c r="AX1324" i="2"/>
  <c r="AX1325" i="2"/>
  <c r="AX1326" i="2"/>
  <c r="AX1327" i="2"/>
  <c r="AX1328" i="2"/>
  <c r="AX1329" i="2"/>
  <c r="AX1330" i="2"/>
  <c r="AX1331" i="2"/>
  <c r="AX1332" i="2"/>
  <c r="AX1333" i="2"/>
  <c r="AX1334" i="2"/>
  <c r="AX1335" i="2"/>
  <c r="AX1336" i="2"/>
  <c r="AX1337" i="2"/>
  <c r="AX1338" i="2"/>
  <c r="AX1339" i="2"/>
  <c r="AX1340" i="2"/>
  <c r="AX1341" i="2"/>
  <c r="AX1342" i="2"/>
  <c r="AX1343" i="2"/>
  <c r="AX1344" i="2"/>
  <c r="AX1345" i="2"/>
  <c r="AX1346" i="2"/>
  <c r="AX1347" i="2"/>
  <c r="AX1348" i="2"/>
  <c r="AX1349" i="2"/>
  <c r="AX1350" i="2"/>
  <c r="AX1351" i="2"/>
  <c r="AX1352" i="2"/>
  <c r="AX1353" i="2"/>
  <c r="AX1354" i="2"/>
  <c r="AX1355" i="2"/>
  <c r="AX1356" i="2"/>
  <c r="AX1357" i="2"/>
  <c r="AX1358" i="2"/>
  <c r="AX1359" i="2"/>
  <c r="AX1360" i="2"/>
  <c r="AX1361" i="2"/>
  <c r="AX1362" i="2"/>
  <c r="AX1363" i="2"/>
  <c r="AX1364" i="2"/>
  <c r="AX1365" i="2"/>
  <c r="AX1366" i="2"/>
  <c r="AX1367" i="2"/>
  <c r="AX1368" i="2"/>
  <c r="AX1369" i="2"/>
  <c r="AX1370" i="2"/>
  <c r="AX1371" i="2"/>
  <c r="AX1372" i="2"/>
  <c r="AX1373" i="2"/>
  <c r="AX1374" i="2"/>
  <c r="AX1375" i="2"/>
  <c r="AX1376" i="2"/>
  <c r="AX1377" i="2"/>
  <c r="AX1378" i="2"/>
  <c r="AX1379" i="2"/>
  <c r="AX1380" i="2"/>
  <c r="AX1381" i="2"/>
  <c r="AX1382" i="2"/>
  <c r="AX1383" i="2"/>
  <c r="AX1384" i="2"/>
  <c r="AX1385" i="2"/>
  <c r="AX1386" i="2"/>
  <c r="AX1387" i="2"/>
  <c r="AX1388" i="2"/>
  <c r="AX1389" i="2"/>
  <c r="AX1390" i="2"/>
  <c r="AX1391" i="2"/>
  <c r="AX1392" i="2"/>
  <c r="AX1393" i="2"/>
  <c r="AX1394" i="2"/>
  <c r="AX1395" i="2"/>
  <c r="AX1396" i="2"/>
  <c r="AX1397" i="2"/>
  <c r="AX1398" i="2"/>
  <c r="AX1399" i="2"/>
  <c r="AX1400" i="2"/>
  <c r="AX1401" i="2"/>
  <c r="AX1402" i="2"/>
  <c r="AX1403" i="2"/>
  <c r="AX1404" i="2"/>
  <c r="AX1405" i="2"/>
  <c r="AX1406" i="2"/>
  <c r="AX1407" i="2"/>
  <c r="AX1408" i="2"/>
  <c r="AX1409" i="2"/>
  <c r="AX1410" i="2"/>
  <c r="AX1411" i="2"/>
  <c r="AX1412" i="2"/>
  <c r="AX1413" i="2"/>
  <c r="AX1414" i="2"/>
  <c r="AX1415" i="2"/>
  <c r="AX1416" i="2"/>
  <c r="AX1417" i="2"/>
  <c r="AX1418" i="2"/>
  <c r="AX1419" i="2"/>
  <c r="AX1420" i="2"/>
  <c r="AX1421" i="2"/>
  <c r="AX1422" i="2"/>
  <c r="AX1423" i="2"/>
  <c r="AX1424" i="2"/>
  <c r="AX1425" i="2"/>
  <c r="AX1426" i="2"/>
  <c r="AX1427" i="2"/>
  <c r="AX1428" i="2"/>
  <c r="AX1429" i="2"/>
  <c r="AX1430" i="2"/>
  <c r="AX1431" i="2"/>
  <c r="AX1432" i="2"/>
  <c r="AX1433" i="2"/>
  <c r="AX1434" i="2"/>
  <c r="AX1435" i="2"/>
  <c r="AX1436" i="2"/>
  <c r="AX1437" i="2"/>
  <c r="AX1438" i="2"/>
  <c r="AX1439" i="2"/>
  <c r="AX1440" i="2"/>
  <c r="AX1441" i="2"/>
  <c r="AX1442" i="2"/>
  <c r="AX1443" i="2"/>
  <c r="AX1444" i="2"/>
  <c r="AX1445" i="2"/>
  <c r="AX1446" i="2"/>
  <c r="AX1447" i="2"/>
  <c r="AX1448" i="2"/>
  <c r="AX1449" i="2"/>
  <c r="AX1450" i="2"/>
  <c r="AX1451" i="2"/>
  <c r="AX1452" i="2"/>
  <c r="AX1453" i="2"/>
  <c r="AX1454" i="2"/>
  <c r="AX1455" i="2"/>
  <c r="AX1456" i="2"/>
  <c r="AX1457" i="2"/>
  <c r="AX1458" i="2"/>
  <c r="AX1459" i="2"/>
  <c r="AX1460" i="2"/>
  <c r="AX1461" i="2"/>
  <c r="AX1462" i="2"/>
  <c r="AX1463" i="2"/>
  <c r="AX1464" i="2"/>
  <c r="AX1465" i="2"/>
  <c r="AX1466" i="2"/>
  <c r="AX1467" i="2"/>
  <c r="AX1468" i="2"/>
  <c r="AX1469" i="2"/>
  <c r="AX1470" i="2"/>
  <c r="AX1471" i="2"/>
  <c r="AX1472" i="2"/>
  <c r="AX1473" i="2"/>
  <c r="AX1474" i="2"/>
  <c r="AX1475" i="2"/>
  <c r="AX1476" i="2"/>
  <c r="AX1477" i="2"/>
  <c r="AX1478" i="2"/>
  <c r="AX1479" i="2"/>
  <c r="AX1480" i="2"/>
  <c r="AX1481" i="2"/>
  <c r="AX1482" i="2"/>
  <c r="AX1483" i="2"/>
  <c r="AX1484" i="2"/>
  <c r="AX1485" i="2"/>
  <c r="AX1486" i="2"/>
  <c r="AX1487" i="2"/>
  <c r="AX1488" i="2"/>
  <c r="AX1489" i="2"/>
  <c r="AX1490" i="2"/>
  <c r="AX1491" i="2"/>
  <c r="AX1492" i="2"/>
  <c r="AX1493" i="2"/>
  <c r="AX1494" i="2"/>
  <c r="AX1495" i="2"/>
  <c r="AX1496" i="2"/>
  <c r="AX1497" i="2"/>
  <c r="AX1498" i="2"/>
  <c r="AX1499" i="2"/>
  <c r="AX1500" i="2"/>
  <c r="AX1501" i="2"/>
  <c r="AX1502" i="2"/>
  <c r="AX1503" i="2"/>
  <c r="AX1504" i="2"/>
  <c r="AX1505" i="2"/>
  <c r="AX1506" i="2"/>
  <c r="AX1507" i="2"/>
  <c r="AX1508" i="2"/>
  <c r="AX1509" i="2"/>
  <c r="AX1510" i="2"/>
  <c r="AX1511" i="2"/>
  <c r="AX1512" i="2"/>
  <c r="AX1513" i="2"/>
  <c r="AX1514" i="2"/>
  <c r="AX1515" i="2"/>
  <c r="AX1516" i="2"/>
  <c r="AX1517" i="2"/>
  <c r="AX1518" i="2"/>
  <c r="AX1519" i="2"/>
  <c r="AX1520" i="2"/>
  <c r="AX1521" i="2"/>
  <c r="AX1522" i="2"/>
  <c r="AX1523" i="2"/>
  <c r="AX1524" i="2"/>
  <c r="AX1525" i="2"/>
  <c r="AX1526" i="2"/>
  <c r="AX1527" i="2"/>
  <c r="AX1528" i="2"/>
  <c r="AX1529" i="2"/>
  <c r="AX1530" i="2"/>
  <c r="AX1531" i="2"/>
  <c r="AX1532" i="2"/>
  <c r="AX1533" i="2"/>
  <c r="AX1534" i="2"/>
  <c r="AX1535" i="2"/>
  <c r="AX1536" i="2"/>
  <c r="AX1537" i="2"/>
  <c r="AX1538" i="2"/>
  <c r="AX1539" i="2"/>
  <c r="AX1540" i="2"/>
  <c r="AX1541" i="2"/>
  <c r="AX1542" i="2"/>
  <c r="AX1543" i="2"/>
  <c r="AX1544" i="2"/>
  <c r="AX1545" i="2"/>
  <c r="AX1546" i="2"/>
  <c r="AX1547" i="2"/>
  <c r="AX1548" i="2"/>
  <c r="AX1549" i="2"/>
  <c r="AX1550" i="2"/>
  <c r="AX1551" i="2"/>
  <c r="AX1552" i="2"/>
  <c r="AX1553" i="2"/>
  <c r="AX1554" i="2"/>
  <c r="AX1555" i="2"/>
  <c r="AX1556" i="2"/>
  <c r="AX1557" i="2"/>
  <c r="AX1558" i="2"/>
  <c r="AX1559" i="2"/>
  <c r="AX1560" i="2"/>
  <c r="AX1561" i="2"/>
  <c r="AX1562" i="2"/>
  <c r="AX1563" i="2"/>
  <c r="AX1564" i="2"/>
  <c r="AX1565" i="2"/>
  <c r="AX1566" i="2"/>
  <c r="AX1567" i="2"/>
  <c r="AX1568" i="2"/>
  <c r="AX1569" i="2"/>
  <c r="AX1570" i="2"/>
  <c r="AX1571" i="2"/>
  <c r="AX1572" i="2"/>
  <c r="AX1573" i="2"/>
  <c r="AX1574" i="2"/>
  <c r="AX1575" i="2"/>
  <c r="AX1576" i="2"/>
  <c r="AX1577" i="2"/>
  <c r="AX1578" i="2"/>
  <c r="AX1579" i="2"/>
  <c r="AX1580" i="2"/>
  <c r="AX1581" i="2"/>
  <c r="AX1582" i="2"/>
  <c r="AX1583" i="2"/>
  <c r="AX1584" i="2"/>
  <c r="AX1585" i="2"/>
  <c r="AX1586" i="2"/>
  <c r="AX1587" i="2"/>
  <c r="AX1588" i="2"/>
  <c r="AX1589" i="2"/>
  <c r="AX1590" i="2"/>
  <c r="AX1591" i="2"/>
  <c r="AX1592" i="2"/>
  <c r="AX1593" i="2"/>
  <c r="AX1594" i="2"/>
  <c r="AX1595" i="2"/>
  <c r="AX1596" i="2"/>
  <c r="AX1597" i="2"/>
  <c r="AX1598" i="2"/>
  <c r="AX1599" i="2"/>
  <c r="AX1600" i="2"/>
  <c r="AX1601" i="2"/>
  <c r="AX1602" i="2"/>
  <c r="AX1603" i="2"/>
  <c r="AX1604" i="2"/>
  <c r="AX1605" i="2"/>
  <c r="AX1606" i="2"/>
  <c r="AX1607" i="2"/>
  <c r="AX1608" i="2"/>
  <c r="AX1609" i="2"/>
  <c r="AX1610" i="2"/>
  <c r="AX1611" i="2"/>
  <c r="AX1612" i="2"/>
  <c r="AX1613" i="2"/>
  <c r="AX1614" i="2"/>
  <c r="AX1615" i="2"/>
  <c r="AX1616" i="2"/>
  <c r="AX1617" i="2"/>
  <c r="AX1618" i="2"/>
  <c r="AX1619" i="2"/>
  <c r="AX1620" i="2"/>
  <c r="AX1621" i="2"/>
  <c r="AX1622" i="2"/>
  <c r="AX1623" i="2"/>
  <c r="AX1624" i="2"/>
  <c r="AX1625" i="2"/>
  <c r="AX1626" i="2"/>
  <c r="AX1627" i="2"/>
  <c r="AX1628" i="2"/>
  <c r="AX1629" i="2"/>
  <c r="AX1630" i="2"/>
  <c r="AX1631" i="2"/>
  <c r="AX1632" i="2"/>
  <c r="AX1633" i="2"/>
  <c r="AX1634" i="2"/>
  <c r="AX1635" i="2"/>
  <c r="AX1636" i="2"/>
  <c r="AX1637" i="2"/>
  <c r="AX1638" i="2"/>
  <c r="AX1639" i="2"/>
  <c r="AX1640" i="2"/>
  <c r="AX1641" i="2"/>
  <c r="AX1642" i="2"/>
  <c r="AX1643" i="2"/>
  <c r="AX1644" i="2"/>
  <c r="AX1645" i="2"/>
  <c r="AX1646" i="2"/>
  <c r="AX1647" i="2"/>
  <c r="AX1648" i="2"/>
  <c r="AX1649" i="2"/>
  <c r="AX1650" i="2"/>
  <c r="AX1651" i="2"/>
  <c r="AX1652" i="2"/>
  <c r="AX1653" i="2"/>
  <c r="AX1654" i="2"/>
  <c r="AX1655" i="2"/>
  <c r="AX1656" i="2"/>
  <c r="AX1657" i="2"/>
  <c r="AX1658" i="2"/>
  <c r="AX1659" i="2"/>
  <c r="AX1660" i="2"/>
  <c r="AX1661" i="2"/>
  <c r="AX1662" i="2"/>
  <c r="AX1663" i="2"/>
  <c r="AX1664" i="2"/>
  <c r="AX1665" i="2"/>
  <c r="AX1666" i="2"/>
  <c r="AX1667" i="2"/>
  <c r="AX1668" i="2"/>
  <c r="AX1669" i="2"/>
  <c r="AX1670" i="2"/>
  <c r="AX1671" i="2"/>
  <c r="AX1672" i="2"/>
  <c r="AX1673" i="2"/>
  <c r="AX1674" i="2"/>
  <c r="AX1675" i="2"/>
  <c r="AX1676" i="2"/>
  <c r="AX1677" i="2"/>
  <c r="AX1678" i="2"/>
  <c r="AX1679" i="2"/>
  <c r="AX1680" i="2"/>
  <c r="AX1681" i="2"/>
  <c r="AX1682" i="2"/>
  <c r="AX1683" i="2"/>
  <c r="AX1684" i="2"/>
  <c r="AX1685" i="2"/>
  <c r="AX1686" i="2"/>
  <c r="AX1687" i="2"/>
  <c r="AX1688" i="2"/>
  <c r="AX1689" i="2"/>
  <c r="AX1690" i="2"/>
  <c r="AX1691" i="2"/>
  <c r="AX1692" i="2"/>
  <c r="AX1693" i="2"/>
  <c r="AX1694" i="2"/>
  <c r="AX1695" i="2"/>
  <c r="AX1696" i="2"/>
  <c r="AX1697" i="2"/>
  <c r="AX1698" i="2"/>
  <c r="AX1699" i="2"/>
  <c r="AX1700" i="2"/>
  <c r="AX1701" i="2"/>
  <c r="AX1702" i="2"/>
  <c r="AX1703" i="2"/>
  <c r="AX1704" i="2"/>
  <c r="AX1705" i="2"/>
  <c r="AX1706" i="2"/>
  <c r="AX1707" i="2"/>
  <c r="AX1708" i="2"/>
  <c r="AX1709" i="2"/>
  <c r="AX1710" i="2"/>
  <c r="AX1711" i="2"/>
  <c r="AX1712" i="2"/>
  <c r="AX1713" i="2"/>
  <c r="AX1714" i="2"/>
  <c r="AX1715" i="2"/>
  <c r="AX1716" i="2"/>
  <c r="AX1717" i="2"/>
  <c r="AX1718" i="2"/>
  <c r="AX1719" i="2"/>
  <c r="AX1720" i="2"/>
  <c r="AX1721" i="2"/>
  <c r="AX1722" i="2"/>
  <c r="AX1723" i="2"/>
  <c r="AX1724" i="2"/>
  <c r="AX1725" i="2"/>
  <c r="AX1726" i="2"/>
  <c r="AX1727" i="2"/>
  <c r="AX1728" i="2"/>
  <c r="AX1729" i="2"/>
  <c r="AX1730" i="2"/>
  <c r="AX1731" i="2"/>
  <c r="AX1732" i="2"/>
  <c r="AX1733" i="2"/>
  <c r="AX1734" i="2"/>
  <c r="AX1735" i="2"/>
  <c r="AX1736" i="2"/>
  <c r="AX1737" i="2"/>
  <c r="AX1738" i="2"/>
  <c r="AX1739" i="2"/>
  <c r="AX1740" i="2"/>
  <c r="AX1741" i="2"/>
  <c r="AX1742" i="2"/>
  <c r="AX1743" i="2"/>
  <c r="AX1744" i="2"/>
  <c r="AX1745" i="2"/>
  <c r="AX1746" i="2"/>
  <c r="AX1747" i="2"/>
  <c r="AX1748" i="2"/>
  <c r="AX1749" i="2"/>
  <c r="AX1750" i="2"/>
  <c r="AX1751" i="2"/>
  <c r="AX1752" i="2"/>
  <c r="AX1753" i="2"/>
  <c r="AX1754" i="2"/>
  <c r="AX1755" i="2"/>
  <c r="AX1756" i="2"/>
  <c r="AX1757" i="2"/>
  <c r="AX1758" i="2"/>
  <c r="AX1759" i="2"/>
  <c r="AX1760" i="2"/>
  <c r="AX1761" i="2"/>
  <c r="AX1762" i="2"/>
  <c r="AX1763" i="2"/>
  <c r="AX1764" i="2"/>
  <c r="AX1765" i="2"/>
  <c r="AX1766" i="2"/>
  <c r="AX1767" i="2"/>
  <c r="AX1768" i="2"/>
  <c r="AX1769" i="2"/>
  <c r="AX1770" i="2"/>
  <c r="AX1771" i="2"/>
  <c r="AX1772" i="2"/>
  <c r="AX1773" i="2"/>
  <c r="AX1774" i="2"/>
  <c r="AX1775" i="2"/>
  <c r="AX1776" i="2"/>
  <c r="AX1777" i="2"/>
  <c r="AX1778" i="2"/>
  <c r="AX1779" i="2"/>
  <c r="AX1780" i="2"/>
  <c r="AX1781" i="2"/>
  <c r="AX1782" i="2"/>
  <c r="AX1783" i="2"/>
  <c r="AX1784" i="2"/>
  <c r="AX1785" i="2"/>
  <c r="AX1786" i="2"/>
  <c r="AX1787" i="2"/>
  <c r="AX1788" i="2"/>
  <c r="AX1789" i="2"/>
  <c r="AX1790" i="2"/>
  <c r="AX1791" i="2"/>
  <c r="AX1792" i="2"/>
  <c r="AX1793" i="2"/>
  <c r="AX1794" i="2"/>
  <c r="AX1795" i="2"/>
  <c r="AX1796" i="2"/>
  <c r="AX1797" i="2"/>
  <c r="AX1798" i="2"/>
  <c r="AX1799" i="2"/>
  <c r="AX1800" i="2"/>
  <c r="AX1801" i="2"/>
  <c r="AX1802" i="2"/>
  <c r="AX1803" i="2"/>
  <c r="AX1804" i="2"/>
  <c r="AX1805" i="2"/>
  <c r="AX1806" i="2"/>
  <c r="AX1807" i="2"/>
  <c r="AX1808" i="2"/>
  <c r="AX1809" i="2"/>
  <c r="AX1810" i="2"/>
  <c r="AX1811" i="2"/>
  <c r="AX1812" i="2"/>
  <c r="AX1813" i="2"/>
  <c r="AX1814" i="2"/>
  <c r="AX1815" i="2"/>
  <c r="AX1816" i="2"/>
  <c r="AX1817" i="2"/>
  <c r="AX1818" i="2"/>
  <c r="AX1819" i="2"/>
  <c r="AX1820" i="2"/>
  <c r="AX1821" i="2"/>
  <c r="AX1822" i="2"/>
  <c r="AX1823" i="2"/>
  <c r="AX1824" i="2"/>
  <c r="AX1825" i="2"/>
  <c r="AX1826" i="2"/>
  <c r="AX1827" i="2"/>
  <c r="AX1828" i="2"/>
  <c r="AX1829" i="2"/>
  <c r="AX1830" i="2"/>
  <c r="AX1831" i="2"/>
  <c r="AX1832" i="2"/>
  <c r="AX1833" i="2"/>
  <c r="AX1834" i="2"/>
  <c r="AX1835" i="2"/>
  <c r="AX1836" i="2"/>
  <c r="AX1837" i="2"/>
  <c r="AX1838" i="2"/>
  <c r="AX1839" i="2"/>
  <c r="AX1840" i="2"/>
  <c r="AX1841" i="2"/>
  <c r="AX1842" i="2"/>
  <c r="AX1843" i="2"/>
  <c r="AX1844" i="2"/>
  <c r="AX1845" i="2"/>
  <c r="AX1846" i="2"/>
  <c r="AX1847" i="2"/>
  <c r="AX1848" i="2"/>
  <c r="AX1849" i="2"/>
  <c r="AX1850" i="2"/>
  <c r="AX1851" i="2"/>
  <c r="AX1852" i="2"/>
  <c r="AX1853" i="2"/>
  <c r="AX1854" i="2"/>
  <c r="AX1855" i="2"/>
  <c r="AX1856" i="2"/>
  <c r="AX1857" i="2"/>
  <c r="AX1858" i="2"/>
  <c r="AX1859" i="2"/>
  <c r="AX1860" i="2"/>
  <c r="AX1861" i="2"/>
  <c r="AX1862" i="2"/>
  <c r="AX1863" i="2"/>
  <c r="AX1864" i="2"/>
  <c r="AX1865" i="2"/>
  <c r="AX1866" i="2"/>
  <c r="AX1867" i="2"/>
  <c r="AX1868" i="2"/>
  <c r="AX1869" i="2"/>
  <c r="AX1870" i="2"/>
  <c r="AX1871" i="2"/>
  <c r="AX1872" i="2"/>
  <c r="AX1873" i="2"/>
  <c r="AX1874" i="2"/>
  <c r="AX1875" i="2"/>
  <c r="AX1876" i="2"/>
  <c r="AX1877" i="2"/>
  <c r="AX1878" i="2"/>
  <c r="AX1879" i="2"/>
  <c r="AX1880" i="2"/>
  <c r="AX1881" i="2"/>
  <c r="AX1882" i="2"/>
  <c r="AX1883" i="2"/>
  <c r="AX1884" i="2"/>
  <c r="AX1885" i="2"/>
  <c r="AX1886" i="2"/>
  <c r="AX1887" i="2"/>
  <c r="AX1888" i="2"/>
  <c r="AX1889" i="2"/>
  <c r="AX1890" i="2"/>
  <c r="AX1891" i="2"/>
  <c r="AX1892" i="2"/>
  <c r="AX1893" i="2"/>
  <c r="AX1894" i="2"/>
  <c r="AX1895" i="2"/>
  <c r="AX1896" i="2"/>
  <c r="AX1897" i="2"/>
  <c r="AX1898" i="2"/>
  <c r="AX1899" i="2"/>
  <c r="AX1900" i="2"/>
  <c r="AX1901" i="2"/>
  <c r="AX1902" i="2"/>
  <c r="AX1903" i="2"/>
  <c r="AX1904" i="2"/>
  <c r="AX1905" i="2"/>
  <c r="AX1906" i="2"/>
  <c r="AX1907" i="2"/>
  <c r="AX1908" i="2"/>
  <c r="AX1909" i="2"/>
  <c r="AX1910" i="2"/>
  <c r="AX1911" i="2"/>
  <c r="AX1912" i="2"/>
  <c r="AX1913" i="2"/>
  <c r="AX1914" i="2"/>
  <c r="AX1915" i="2"/>
  <c r="AX1916" i="2"/>
  <c r="AX1917" i="2"/>
  <c r="AX1918" i="2"/>
  <c r="AX1919" i="2"/>
  <c r="AX1920" i="2"/>
  <c r="AX1921" i="2"/>
  <c r="AX1922" i="2"/>
  <c r="AX1923" i="2"/>
  <c r="AX1924" i="2"/>
  <c r="AX1925" i="2"/>
  <c r="AX1926" i="2"/>
  <c r="AX1927" i="2"/>
  <c r="AX1928" i="2"/>
  <c r="AX1929" i="2"/>
  <c r="AX1930" i="2"/>
  <c r="AX1931" i="2"/>
  <c r="AX1932" i="2"/>
  <c r="AX1933" i="2"/>
  <c r="AX1934" i="2"/>
  <c r="AX1935" i="2"/>
  <c r="AX1936" i="2"/>
  <c r="AX1937" i="2"/>
  <c r="AX1938" i="2"/>
  <c r="AX1939" i="2"/>
  <c r="AX1940" i="2"/>
  <c r="AX1941" i="2"/>
  <c r="AX1942" i="2"/>
  <c r="AX1943" i="2"/>
  <c r="AX1944" i="2"/>
  <c r="AX1945" i="2"/>
  <c r="AX1946" i="2"/>
  <c r="AX1947" i="2"/>
  <c r="AX1948" i="2"/>
  <c r="AX1949" i="2"/>
  <c r="AX1950" i="2"/>
  <c r="AX1951" i="2"/>
  <c r="AX1952" i="2"/>
  <c r="AX1953" i="2"/>
  <c r="AX1954" i="2"/>
  <c r="AX1955" i="2"/>
  <c r="AX1956" i="2"/>
  <c r="AX1957" i="2"/>
  <c r="AX1958" i="2"/>
  <c r="AX1959" i="2"/>
  <c r="AX1960" i="2"/>
  <c r="AX1961" i="2"/>
  <c r="AX1962" i="2"/>
  <c r="AX1963" i="2"/>
  <c r="AX1964" i="2"/>
  <c r="AX1965" i="2"/>
  <c r="AX1966" i="2"/>
  <c r="AX1967" i="2"/>
  <c r="AX1968" i="2"/>
  <c r="AX1969" i="2"/>
  <c r="AX1970" i="2"/>
  <c r="AX1971" i="2"/>
  <c r="AX1972" i="2"/>
  <c r="AX1973" i="2"/>
  <c r="AX1974" i="2"/>
  <c r="AX1975" i="2"/>
  <c r="AX1976" i="2"/>
  <c r="AX1977" i="2"/>
  <c r="AX1978" i="2"/>
  <c r="AX1979" i="2"/>
  <c r="AX1980" i="2"/>
  <c r="AX1981" i="2"/>
  <c r="AX1982" i="2"/>
  <c r="AX1983" i="2"/>
  <c r="AX1984" i="2"/>
  <c r="AX1985" i="2"/>
  <c r="AX1986" i="2"/>
  <c r="AX1987" i="2"/>
  <c r="AX1988" i="2"/>
  <c r="AX1989" i="2"/>
  <c r="AX1990" i="2"/>
  <c r="AX1991" i="2"/>
  <c r="AX1992" i="2"/>
  <c r="AX1993" i="2"/>
  <c r="AX1994" i="2"/>
  <c r="AX1995" i="2"/>
  <c r="AX1996" i="2"/>
  <c r="AX1997" i="2"/>
  <c r="AX1998" i="2"/>
  <c r="AX1999" i="2"/>
  <c r="AX2000" i="2"/>
  <c r="AX2001" i="2"/>
  <c r="AX2002" i="2"/>
  <c r="AX2003" i="2"/>
  <c r="AX2004" i="2"/>
  <c r="AX2005" i="2"/>
  <c r="AX2006" i="2"/>
  <c r="AX2007" i="2"/>
  <c r="AX2008" i="2"/>
  <c r="AX2009" i="2"/>
  <c r="AX2010" i="2"/>
  <c r="AX2011" i="2"/>
  <c r="AX2012" i="2"/>
  <c r="AX2013" i="2"/>
  <c r="AX2014" i="2"/>
  <c r="AX2015" i="2"/>
  <c r="AX2016" i="2"/>
  <c r="AX2017" i="2"/>
  <c r="AX2018" i="2"/>
  <c r="AX2019" i="2"/>
  <c r="AX2020" i="2"/>
  <c r="AX2021" i="2"/>
  <c r="AX2022" i="2"/>
  <c r="AX2023" i="2"/>
  <c r="AX2024" i="2"/>
  <c r="AX2025" i="2"/>
  <c r="AX2026" i="2"/>
  <c r="AX2027" i="2"/>
  <c r="AX2028" i="2"/>
  <c r="AX2029" i="2"/>
  <c r="AX2030" i="2"/>
  <c r="AX2031" i="2"/>
  <c r="AX2032" i="2"/>
  <c r="AX2033" i="2"/>
  <c r="AX2034" i="2"/>
  <c r="AX2035" i="2"/>
  <c r="AX2036" i="2"/>
  <c r="AX2037" i="2"/>
  <c r="AX2038" i="2"/>
  <c r="AX2039" i="2"/>
  <c r="AX2040" i="2"/>
  <c r="AX2041" i="2"/>
  <c r="AX2042" i="2"/>
  <c r="AX2043" i="2"/>
  <c r="AX2044" i="2"/>
  <c r="AX2045" i="2"/>
  <c r="AX2046" i="2"/>
  <c r="AX2047" i="2"/>
  <c r="AX2048" i="2"/>
  <c r="AX2049" i="2"/>
  <c r="AX2050" i="2"/>
  <c r="AX2051" i="2"/>
  <c r="AX2052" i="2"/>
  <c r="AX2053" i="2"/>
  <c r="AX2054" i="2"/>
  <c r="AX2055" i="2"/>
  <c r="AX2056" i="2"/>
  <c r="AX2057" i="2"/>
  <c r="AX2058" i="2"/>
  <c r="AX2059" i="2"/>
  <c r="AX2060" i="2"/>
  <c r="AX2061" i="2"/>
  <c r="AX2062" i="2"/>
  <c r="AX2063" i="2"/>
  <c r="AX2064" i="2"/>
  <c r="AX2065" i="2"/>
  <c r="AX2066" i="2"/>
  <c r="AX2067" i="2"/>
  <c r="AX2068" i="2"/>
  <c r="AX2069" i="2"/>
  <c r="AX2070" i="2"/>
  <c r="AX2071" i="2"/>
  <c r="AX2072" i="2"/>
  <c r="AX2073" i="2"/>
  <c r="AX2074" i="2"/>
  <c r="AX2075" i="2"/>
  <c r="AX2076" i="2"/>
  <c r="AX2077" i="2"/>
  <c r="AX2078" i="2"/>
  <c r="AX2079" i="2"/>
  <c r="AX2080" i="2"/>
  <c r="AX2081" i="2"/>
  <c r="AX2082" i="2"/>
  <c r="AX2083" i="2"/>
  <c r="AX2084" i="2"/>
  <c r="AX2085" i="2"/>
  <c r="AX2086" i="2"/>
  <c r="AX2087" i="2"/>
  <c r="AX2088" i="2"/>
  <c r="AX2089" i="2"/>
  <c r="AX2090" i="2"/>
  <c r="AX2091" i="2"/>
  <c r="AX2092" i="2"/>
  <c r="AX2093" i="2"/>
  <c r="AX2094" i="2"/>
  <c r="AX2095" i="2"/>
  <c r="AX2096" i="2"/>
  <c r="AX2097" i="2"/>
  <c r="AX2098" i="2"/>
  <c r="AX2099" i="2"/>
  <c r="AX2100" i="2"/>
  <c r="AX2101" i="2"/>
  <c r="AX2102" i="2"/>
  <c r="AX2103" i="2"/>
  <c r="AX2104" i="2"/>
  <c r="AX2105" i="2"/>
  <c r="AX2106" i="2"/>
  <c r="AX2107" i="2"/>
  <c r="AX2108" i="2"/>
  <c r="AX2109" i="2"/>
  <c r="AX2110" i="2"/>
  <c r="AX2111" i="2"/>
  <c r="AX2112" i="2"/>
  <c r="AX2113" i="2"/>
  <c r="AX2114" i="2"/>
  <c r="AX2115" i="2"/>
  <c r="AX2116" i="2"/>
  <c r="AX2117" i="2"/>
  <c r="AX2118" i="2"/>
  <c r="AX2119" i="2"/>
  <c r="AX2120" i="2"/>
  <c r="AX2121" i="2"/>
  <c r="AX2122" i="2"/>
  <c r="AX2123" i="2"/>
  <c r="AX2124" i="2"/>
  <c r="AX2125" i="2"/>
  <c r="AX2126" i="2"/>
  <c r="AX2127" i="2"/>
  <c r="AX2128" i="2"/>
  <c r="AX2129" i="2"/>
  <c r="AX2130" i="2"/>
  <c r="AX2131" i="2"/>
  <c r="AX2132" i="2"/>
  <c r="AX2" i="2"/>
  <c r="AW3" i="2"/>
  <c r="AW4" i="2"/>
  <c r="AW5" i="2"/>
  <c r="BM5" i="2" s="1"/>
  <c r="BN5" i="2" s="1"/>
  <c r="AW6" i="2"/>
  <c r="BM6" i="2" s="1"/>
  <c r="BN6" i="2" s="1"/>
  <c r="AW7" i="2"/>
  <c r="BM7" i="2" s="1"/>
  <c r="BN7" i="2" s="1"/>
  <c r="AW8" i="2"/>
  <c r="AW9" i="2"/>
  <c r="BM9" i="2" s="1"/>
  <c r="BN9" i="2" s="1"/>
  <c r="AW10" i="2"/>
  <c r="BM10" i="2" s="1"/>
  <c r="BN10" i="2" s="1"/>
  <c r="AW11" i="2"/>
  <c r="BM11" i="2" s="1"/>
  <c r="BN11" i="2" s="1"/>
  <c r="AW12" i="2"/>
  <c r="AW13" i="2"/>
  <c r="BM13" i="2" s="1"/>
  <c r="BN13" i="2" s="1"/>
  <c r="AW14" i="2"/>
  <c r="AW15" i="2"/>
  <c r="AW16" i="2"/>
  <c r="BM16" i="2" s="1"/>
  <c r="BN16" i="2" s="1"/>
  <c r="AW17" i="2"/>
  <c r="BM17" i="2" s="1"/>
  <c r="BN17" i="2" s="1"/>
  <c r="AW18" i="2"/>
  <c r="BM18" i="2" s="1"/>
  <c r="BN18" i="2" s="1"/>
  <c r="AW19" i="2"/>
  <c r="AW20" i="2"/>
  <c r="AW21" i="2"/>
  <c r="BM21" i="2" s="1"/>
  <c r="BN21" i="2" s="1"/>
  <c r="AW22" i="2"/>
  <c r="BM22" i="2" s="1"/>
  <c r="BN22" i="2" s="1"/>
  <c r="AW23" i="2"/>
  <c r="BM23" i="2" s="1"/>
  <c r="BN23" i="2" s="1"/>
  <c r="AW24" i="2"/>
  <c r="AW25" i="2"/>
  <c r="BM25" i="2" s="1"/>
  <c r="BN25" i="2" s="1"/>
  <c r="AW26" i="2"/>
  <c r="BM26" i="2" s="1"/>
  <c r="BN26" i="2" s="1"/>
  <c r="AW27" i="2"/>
  <c r="BM27" i="2" s="1"/>
  <c r="BN27" i="2" s="1"/>
  <c r="AW28" i="2"/>
  <c r="AW29" i="2"/>
  <c r="BM29" i="2" s="1"/>
  <c r="BN29" i="2" s="1"/>
  <c r="AW30" i="2"/>
  <c r="BM30" i="2" s="1"/>
  <c r="BN30" i="2" s="1"/>
  <c r="AW31" i="2"/>
  <c r="AW32" i="2"/>
  <c r="BM32" i="2" s="1"/>
  <c r="BN32" i="2" s="1"/>
  <c r="AW33" i="2"/>
  <c r="BM33" i="2" s="1"/>
  <c r="BN33" i="2" s="1"/>
  <c r="AW34" i="2"/>
  <c r="BM34" i="2" s="1"/>
  <c r="BN34" i="2" s="1"/>
  <c r="AW35" i="2"/>
  <c r="AW36" i="2"/>
  <c r="AW37" i="2"/>
  <c r="BM37" i="2" s="1"/>
  <c r="BN37" i="2" s="1"/>
  <c r="AW38" i="2"/>
  <c r="BM38" i="2" s="1"/>
  <c r="BN38" i="2" s="1"/>
  <c r="AW39" i="2"/>
  <c r="BM39" i="2" s="1"/>
  <c r="BN39" i="2" s="1"/>
  <c r="AW40" i="2"/>
  <c r="AW41" i="2"/>
  <c r="BM41" i="2" s="1"/>
  <c r="BN41" i="2" s="1"/>
  <c r="AW42" i="2"/>
  <c r="BM42" i="2" s="1"/>
  <c r="BN42" i="2" s="1"/>
  <c r="AW43" i="2"/>
  <c r="BM43" i="2" s="1"/>
  <c r="BN43" i="2" s="1"/>
  <c r="AW44" i="2"/>
  <c r="AW45" i="2"/>
  <c r="BM45" i="2" s="1"/>
  <c r="BN45" i="2" s="1"/>
  <c r="AW46" i="2"/>
  <c r="AW47" i="2"/>
  <c r="AW48" i="2"/>
  <c r="BM48" i="2" s="1"/>
  <c r="BN48" i="2" s="1"/>
  <c r="AW49" i="2"/>
  <c r="BM49" i="2" s="1"/>
  <c r="BN49" i="2" s="1"/>
  <c r="AW50" i="2"/>
  <c r="BM50" i="2" s="1"/>
  <c r="BN50" i="2" s="1"/>
  <c r="AW51" i="2"/>
  <c r="AW52" i="2"/>
  <c r="AW53" i="2"/>
  <c r="BM53" i="2" s="1"/>
  <c r="BN53" i="2" s="1"/>
  <c r="AW54" i="2"/>
  <c r="BM54" i="2" s="1"/>
  <c r="BN54" i="2" s="1"/>
  <c r="AW55" i="2"/>
  <c r="AW56" i="2"/>
  <c r="AW57" i="2"/>
  <c r="BM57" i="2" s="1"/>
  <c r="BN57" i="2" s="1"/>
  <c r="AW58" i="2"/>
  <c r="BM58" i="2" s="1"/>
  <c r="BN58" i="2" s="1"/>
  <c r="AW59" i="2"/>
  <c r="BM59" i="2" s="1"/>
  <c r="BN59" i="2" s="1"/>
  <c r="AW60" i="2"/>
  <c r="AW61" i="2"/>
  <c r="BM61" i="2" s="1"/>
  <c r="BN61" i="2" s="1"/>
  <c r="AW62" i="2"/>
  <c r="BM62" i="2" s="1"/>
  <c r="BN62" i="2" s="1"/>
  <c r="AW63" i="2"/>
  <c r="AW64" i="2"/>
  <c r="BM64" i="2" s="1"/>
  <c r="BN64" i="2" s="1"/>
  <c r="AW65" i="2"/>
  <c r="BM65" i="2" s="1"/>
  <c r="BN65" i="2" s="1"/>
  <c r="AW66" i="2"/>
  <c r="BM66" i="2" s="1"/>
  <c r="BN66" i="2" s="1"/>
  <c r="AW67" i="2"/>
  <c r="AW68" i="2"/>
  <c r="AW69" i="2"/>
  <c r="BM69" i="2" s="1"/>
  <c r="BN69" i="2" s="1"/>
  <c r="AW70" i="2"/>
  <c r="BM70" i="2" s="1"/>
  <c r="BN70" i="2" s="1"/>
  <c r="AW71" i="2"/>
  <c r="AW72" i="2"/>
  <c r="AW73" i="2"/>
  <c r="BM73" i="2" s="1"/>
  <c r="BN73" i="2" s="1"/>
  <c r="AW74" i="2"/>
  <c r="AW75" i="2"/>
  <c r="AW76" i="2"/>
  <c r="AW77" i="2"/>
  <c r="BM77" i="2" s="1"/>
  <c r="BN77" i="2" s="1"/>
  <c r="AW78" i="2"/>
  <c r="BM78" i="2" s="1"/>
  <c r="BN78" i="2" s="1"/>
  <c r="AW79" i="2"/>
  <c r="AW80" i="2"/>
  <c r="BM80" i="2" s="1"/>
  <c r="BN80" i="2" s="1"/>
  <c r="AW81" i="2"/>
  <c r="BM81" i="2" s="1"/>
  <c r="BN81" i="2" s="1"/>
  <c r="AW82" i="2"/>
  <c r="AW83" i="2"/>
  <c r="AW84" i="2"/>
  <c r="AW85" i="2"/>
  <c r="BM85" i="2" s="1"/>
  <c r="BN85" i="2" s="1"/>
  <c r="AW86" i="2"/>
  <c r="BM86" i="2" s="1"/>
  <c r="BN86" i="2" s="1"/>
  <c r="AW87" i="2"/>
  <c r="AW88" i="2"/>
  <c r="AW89" i="2"/>
  <c r="BM89" i="2" s="1"/>
  <c r="BN89" i="2" s="1"/>
  <c r="AW90" i="2"/>
  <c r="BM90" i="2" s="1"/>
  <c r="BN90" i="2" s="1"/>
  <c r="AW91" i="2"/>
  <c r="AW92" i="2"/>
  <c r="AW93" i="2"/>
  <c r="BM93" i="2" s="1"/>
  <c r="BN93" i="2" s="1"/>
  <c r="AW94" i="2"/>
  <c r="BM94" i="2" s="1"/>
  <c r="BN94" i="2" s="1"/>
  <c r="AW95" i="2"/>
  <c r="AW96" i="2"/>
  <c r="BM96" i="2" s="1"/>
  <c r="BN96" i="2" s="1"/>
  <c r="AW97" i="2"/>
  <c r="BM97" i="2" s="1"/>
  <c r="BN97" i="2" s="1"/>
  <c r="AW98" i="2"/>
  <c r="BM98" i="2" s="1"/>
  <c r="BN98" i="2" s="1"/>
  <c r="AW99" i="2"/>
  <c r="AW100" i="2"/>
  <c r="AW101" i="2"/>
  <c r="BM101" i="2" s="1"/>
  <c r="BN101" i="2" s="1"/>
  <c r="AW102" i="2"/>
  <c r="BM102" i="2" s="1"/>
  <c r="BN102" i="2" s="1"/>
  <c r="AW103" i="2"/>
  <c r="AW104" i="2"/>
  <c r="AW105" i="2"/>
  <c r="BM105" i="2" s="1"/>
  <c r="BN105" i="2" s="1"/>
  <c r="AW106" i="2"/>
  <c r="BM106" i="2" s="1"/>
  <c r="BN106" i="2" s="1"/>
  <c r="AW107" i="2"/>
  <c r="AW108" i="2"/>
  <c r="AW109" i="2"/>
  <c r="BM109" i="2" s="1"/>
  <c r="BN109" i="2" s="1"/>
  <c r="AW110" i="2"/>
  <c r="AW111" i="2"/>
  <c r="AW112" i="2"/>
  <c r="BM112" i="2" s="1"/>
  <c r="BN112" i="2" s="1"/>
  <c r="AW113" i="2"/>
  <c r="BM113" i="2" s="1"/>
  <c r="BN113" i="2" s="1"/>
  <c r="AW114" i="2"/>
  <c r="BM114" i="2" s="1"/>
  <c r="BN114" i="2" s="1"/>
  <c r="AW115" i="2"/>
  <c r="AW116" i="2"/>
  <c r="AW117" i="2"/>
  <c r="BM117" i="2" s="1"/>
  <c r="BN117" i="2" s="1"/>
  <c r="AW118" i="2"/>
  <c r="BM118" i="2" s="1"/>
  <c r="BN118" i="2" s="1"/>
  <c r="AW119" i="2"/>
  <c r="AW120" i="2"/>
  <c r="AW121" i="2"/>
  <c r="BM121" i="2" s="1"/>
  <c r="BN121" i="2" s="1"/>
  <c r="AW122" i="2"/>
  <c r="BM122" i="2" s="1"/>
  <c r="BN122" i="2" s="1"/>
  <c r="AW123" i="2"/>
  <c r="AW124" i="2"/>
  <c r="AW125" i="2"/>
  <c r="BM125" i="2" s="1"/>
  <c r="BN125" i="2" s="1"/>
  <c r="AW126" i="2"/>
  <c r="BM126" i="2" s="1"/>
  <c r="BN126" i="2" s="1"/>
  <c r="AW127" i="2"/>
  <c r="AW128" i="2"/>
  <c r="BM128" i="2" s="1"/>
  <c r="BN128" i="2" s="1"/>
  <c r="AW129" i="2"/>
  <c r="BM129" i="2" s="1"/>
  <c r="BN129" i="2" s="1"/>
  <c r="AW130" i="2"/>
  <c r="BM130" i="2" s="1"/>
  <c r="BN130" i="2" s="1"/>
  <c r="AW131" i="2"/>
  <c r="AW132" i="2"/>
  <c r="AW133" i="2"/>
  <c r="BM133" i="2" s="1"/>
  <c r="BN133" i="2" s="1"/>
  <c r="AW134" i="2"/>
  <c r="BM134" i="2" s="1"/>
  <c r="BN134" i="2" s="1"/>
  <c r="AW135" i="2"/>
  <c r="AW136" i="2"/>
  <c r="AW137" i="2"/>
  <c r="BM137" i="2" s="1"/>
  <c r="BN137" i="2" s="1"/>
  <c r="AW138" i="2"/>
  <c r="AW139" i="2"/>
  <c r="AW140" i="2"/>
  <c r="AW141" i="2"/>
  <c r="BM141" i="2" s="1"/>
  <c r="BN141" i="2" s="1"/>
  <c r="AW142" i="2"/>
  <c r="BM142" i="2" s="1"/>
  <c r="BN142" i="2" s="1"/>
  <c r="AW143" i="2"/>
  <c r="AW144" i="2"/>
  <c r="BM144" i="2" s="1"/>
  <c r="BN144" i="2" s="1"/>
  <c r="AW145" i="2"/>
  <c r="BM145" i="2" s="1"/>
  <c r="BN145" i="2" s="1"/>
  <c r="AW146" i="2"/>
  <c r="AW147" i="2"/>
  <c r="AW148" i="2"/>
  <c r="AW149" i="2"/>
  <c r="BM149" i="2" s="1"/>
  <c r="BN149" i="2" s="1"/>
  <c r="AW150" i="2"/>
  <c r="BM150" i="2" s="1"/>
  <c r="BN150" i="2" s="1"/>
  <c r="AW151" i="2"/>
  <c r="AW152" i="2"/>
  <c r="AW153" i="2"/>
  <c r="BM153" i="2" s="1"/>
  <c r="BN153" i="2" s="1"/>
  <c r="AW154" i="2"/>
  <c r="BM154" i="2" s="1"/>
  <c r="BN154" i="2" s="1"/>
  <c r="AW155" i="2"/>
  <c r="AW156" i="2"/>
  <c r="AW157" i="2"/>
  <c r="BM157" i="2" s="1"/>
  <c r="BN157" i="2" s="1"/>
  <c r="AW158" i="2"/>
  <c r="BM158" i="2" s="1"/>
  <c r="BN158" i="2" s="1"/>
  <c r="AW159" i="2"/>
  <c r="AW160" i="2"/>
  <c r="BM160" i="2" s="1"/>
  <c r="BN160" i="2" s="1"/>
  <c r="AW161" i="2"/>
  <c r="BM161" i="2" s="1"/>
  <c r="BN161" i="2" s="1"/>
  <c r="AW162" i="2"/>
  <c r="BM162" i="2" s="1"/>
  <c r="BN162" i="2" s="1"/>
  <c r="AW163" i="2"/>
  <c r="AW164" i="2"/>
  <c r="AW165" i="2"/>
  <c r="BM165" i="2" s="1"/>
  <c r="BN165" i="2" s="1"/>
  <c r="AW166" i="2"/>
  <c r="BM166" i="2" s="1"/>
  <c r="BN166" i="2" s="1"/>
  <c r="AW167" i="2"/>
  <c r="AW168" i="2"/>
  <c r="BM168" i="2" s="1"/>
  <c r="BN168" i="2" s="1"/>
  <c r="AW169" i="2"/>
  <c r="BM169" i="2" s="1"/>
  <c r="BN169" i="2" s="1"/>
  <c r="AW170" i="2"/>
  <c r="BM170" i="2" s="1"/>
  <c r="BN170" i="2" s="1"/>
  <c r="AW171" i="2"/>
  <c r="AW172" i="2"/>
  <c r="AW173" i="2"/>
  <c r="BM173" i="2" s="1"/>
  <c r="BN173" i="2" s="1"/>
  <c r="AW174" i="2"/>
  <c r="AW175" i="2"/>
  <c r="AW176" i="2"/>
  <c r="BM176" i="2" s="1"/>
  <c r="BN176" i="2" s="1"/>
  <c r="AW177" i="2"/>
  <c r="BM177" i="2" s="1"/>
  <c r="BN177" i="2" s="1"/>
  <c r="AW178" i="2"/>
  <c r="BM178" i="2" s="1"/>
  <c r="BN178" i="2" s="1"/>
  <c r="AW179" i="2"/>
  <c r="AW180" i="2"/>
  <c r="AW181" i="2"/>
  <c r="BM181" i="2" s="1"/>
  <c r="BN181" i="2" s="1"/>
  <c r="AW182" i="2"/>
  <c r="BM182" i="2" s="1"/>
  <c r="BN182" i="2" s="1"/>
  <c r="AW183" i="2"/>
  <c r="AW184" i="2"/>
  <c r="BM184" i="2" s="1"/>
  <c r="BN184" i="2" s="1"/>
  <c r="AW185" i="2"/>
  <c r="BM185" i="2" s="1"/>
  <c r="BN185" i="2" s="1"/>
  <c r="AW186" i="2"/>
  <c r="BM186" i="2" s="1"/>
  <c r="BN186" i="2" s="1"/>
  <c r="AW187" i="2"/>
  <c r="AW188" i="2"/>
  <c r="AW189" i="2"/>
  <c r="BM189" i="2" s="1"/>
  <c r="BN189" i="2" s="1"/>
  <c r="AW190" i="2"/>
  <c r="BM190" i="2" s="1"/>
  <c r="BN190" i="2" s="1"/>
  <c r="AW191" i="2"/>
  <c r="AW192" i="2"/>
  <c r="BM192" i="2" s="1"/>
  <c r="BN192" i="2" s="1"/>
  <c r="AW193" i="2"/>
  <c r="BM193" i="2" s="1"/>
  <c r="BN193" i="2" s="1"/>
  <c r="AW194" i="2"/>
  <c r="BM194" i="2" s="1"/>
  <c r="BN194" i="2" s="1"/>
  <c r="AW195" i="2"/>
  <c r="AW196" i="2"/>
  <c r="BM196" i="2" s="1"/>
  <c r="BN196" i="2" s="1"/>
  <c r="AW197" i="2"/>
  <c r="BM197" i="2" s="1"/>
  <c r="BN197" i="2" s="1"/>
  <c r="AW198" i="2"/>
  <c r="BM198" i="2" s="1"/>
  <c r="BN198" i="2" s="1"/>
  <c r="AW199" i="2"/>
  <c r="AW200" i="2"/>
  <c r="AW201" i="2"/>
  <c r="BM201" i="2" s="1"/>
  <c r="BN201" i="2" s="1"/>
  <c r="AW202" i="2"/>
  <c r="AW203" i="2"/>
  <c r="AW204" i="2"/>
  <c r="BM204" i="2" s="1"/>
  <c r="BN204" i="2" s="1"/>
  <c r="AW205" i="2"/>
  <c r="BM205" i="2" s="1"/>
  <c r="BN205" i="2" s="1"/>
  <c r="AW206" i="2"/>
  <c r="BM206" i="2" s="1"/>
  <c r="BN206" i="2" s="1"/>
  <c r="AW207" i="2"/>
  <c r="AW208" i="2"/>
  <c r="BM208" i="2" s="1"/>
  <c r="BN208" i="2" s="1"/>
  <c r="AW209" i="2"/>
  <c r="BM209" i="2" s="1"/>
  <c r="BN209" i="2" s="1"/>
  <c r="AW210" i="2"/>
  <c r="AW211" i="2"/>
  <c r="AW212" i="2"/>
  <c r="BM212" i="2" s="1"/>
  <c r="BN212" i="2" s="1"/>
  <c r="AW213" i="2"/>
  <c r="BM213" i="2" s="1"/>
  <c r="BN213" i="2" s="1"/>
  <c r="AW214" i="2"/>
  <c r="BM214" i="2" s="1"/>
  <c r="BN214" i="2" s="1"/>
  <c r="AW215" i="2"/>
  <c r="AW216" i="2"/>
  <c r="AW217" i="2"/>
  <c r="BM217" i="2" s="1"/>
  <c r="BN217" i="2" s="1"/>
  <c r="AW218" i="2"/>
  <c r="BM218" i="2" s="1"/>
  <c r="BN218" i="2" s="1"/>
  <c r="AW219" i="2"/>
  <c r="AW220" i="2"/>
  <c r="BM220" i="2" s="1"/>
  <c r="BN220" i="2" s="1"/>
  <c r="AW221" i="2"/>
  <c r="BM221" i="2" s="1"/>
  <c r="BN221" i="2" s="1"/>
  <c r="AW222" i="2"/>
  <c r="BM222" i="2" s="1"/>
  <c r="BN222" i="2" s="1"/>
  <c r="AW223" i="2"/>
  <c r="AW224" i="2"/>
  <c r="BM224" i="2" s="1"/>
  <c r="BN224" i="2" s="1"/>
  <c r="AW225" i="2"/>
  <c r="BM225" i="2" s="1"/>
  <c r="BN225" i="2" s="1"/>
  <c r="AW226" i="2"/>
  <c r="BM226" i="2" s="1"/>
  <c r="BN226" i="2" s="1"/>
  <c r="AW227" i="2"/>
  <c r="AW228" i="2"/>
  <c r="AW229" i="2"/>
  <c r="BM229" i="2" s="1"/>
  <c r="BN229" i="2" s="1"/>
  <c r="AW230" i="2"/>
  <c r="BM230" i="2" s="1"/>
  <c r="BN230" i="2" s="1"/>
  <c r="AW231" i="2"/>
  <c r="AW232" i="2"/>
  <c r="BM232" i="2" s="1"/>
  <c r="BN232" i="2" s="1"/>
  <c r="AW233" i="2"/>
  <c r="BM233" i="2" s="1"/>
  <c r="BN233" i="2" s="1"/>
  <c r="AW234" i="2"/>
  <c r="BM234" i="2" s="1"/>
  <c r="BN234" i="2" s="1"/>
  <c r="AW235" i="2"/>
  <c r="AW236" i="2"/>
  <c r="AW237" i="2"/>
  <c r="BM237" i="2" s="1"/>
  <c r="BN237" i="2" s="1"/>
  <c r="AW238" i="2"/>
  <c r="AW239" i="2"/>
  <c r="AW240" i="2"/>
  <c r="BM240" i="2" s="1"/>
  <c r="BN240" i="2" s="1"/>
  <c r="AW241" i="2"/>
  <c r="BM241" i="2" s="1"/>
  <c r="BN241" i="2" s="1"/>
  <c r="AW242" i="2"/>
  <c r="BM242" i="2" s="1"/>
  <c r="BN242" i="2" s="1"/>
  <c r="AW243" i="2"/>
  <c r="AW244" i="2"/>
  <c r="AW245" i="2"/>
  <c r="BM245" i="2" s="1"/>
  <c r="BN245" i="2" s="1"/>
  <c r="AW246" i="2"/>
  <c r="BM246" i="2" s="1"/>
  <c r="BN246" i="2" s="1"/>
  <c r="AW247" i="2"/>
  <c r="AW248" i="2"/>
  <c r="BM248" i="2" s="1"/>
  <c r="BN248" i="2" s="1"/>
  <c r="AW249" i="2"/>
  <c r="BM249" i="2" s="1"/>
  <c r="BN249" i="2" s="1"/>
  <c r="AW250" i="2"/>
  <c r="BM250" i="2" s="1"/>
  <c r="BN250" i="2" s="1"/>
  <c r="AW251" i="2"/>
  <c r="AW252" i="2"/>
  <c r="AW253" i="2"/>
  <c r="BM253" i="2" s="1"/>
  <c r="BN253" i="2" s="1"/>
  <c r="AW254" i="2"/>
  <c r="BM254" i="2" s="1"/>
  <c r="BN254" i="2" s="1"/>
  <c r="AW255" i="2"/>
  <c r="AW256" i="2"/>
  <c r="BM256" i="2" s="1"/>
  <c r="BN256" i="2" s="1"/>
  <c r="AW257" i="2"/>
  <c r="BM257" i="2" s="1"/>
  <c r="BN257" i="2" s="1"/>
  <c r="AW258" i="2"/>
  <c r="BM258" i="2" s="1"/>
  <c r="BN258" i="2" s="1"/>
  <c r="AW259" i="2"/>
  <c r="AW260" i="2"/>
  <c r="BM260" i="2" s="1"/>
  <c r="BN260" i="2" s="1"/>
  <c r="AW261" i="2"/>
  <c r="BM261" i="2" s="1"/>
  <c r="BN261" i="2" s="1"/>
  <c r="AW262" i="2"/>
  <c r="BM262" i="2" s="1"/>
  <c r="BN262" i="2" s="1"/>
  <c r="AW263" i="2"/>
  <c r="AW264" i="2"/>
  <c r="AW265" i="2"/>
  <c r="BM265" i="2" s="1"/>
  <c r="BN265" i="2" s="1"/>
  <c r="AW266" i="2"/>
  <c r="AW267" i="2"/>
  <c r="AW268" i="2"/>
  <c r="BM268" i="2" s="1"/>
  <c r="BN268" i="2" s="1"/>
  <c r="AW269" i="2"/>
  <c r="BM269" i="2" s="1"/>
  <c r="BN269" i="2" s="1"/>
  <c r="AW270" i="2"/>
  <c r="BM270" i="2" s="1"/>
  <c r="BN270" i="2" s="1"/>
  <c r="AW271" i="2"/>
  <c r="AW272" i="2"/>
  <c r="BM272" i="2" s="1"/>
  <c r="BN272" i="2" s="1"/>
  <c r="AW273" i="2"/>
  <c r="BM273" i="2" s="1"/>
  <c r="BN273" i="2" s="1"/>
  <c r="AW274" i="2"/>
  <c r="AW275" i="2"/>
  <c r="AW276" i="2"/>
  <c r="BM276" i="2" s="1"/>
  <c r="BN276" i="2" s="1"/>
  <c r="AW277" i="2"/>
  <c r="BM277" i="2" s="1"/>
  <c r="BN277" i="2" s="1"/>
  <c r="AW278" i="2"/>
  <c r="BM278" i="2" s="1"/>
  <c r="BN278" i="2" s="1"/>
  <c r="AW279" i="2"/>
  <c r="AW280" i="2"/>
  <c r="AW281" i="2"/>
  <c r="BM281" i="2" s="1"/>
  <c r="BN281" i="2" s="1"/>
  <c r="AW282" i="2"/>
  <c r="BM282" i="2" s="1"/>
  <c r="BN282" i="2" s="1"/>
  <c r="AW283" i="2"/>
  <c r="AW284" i="2"/>
  <c r="BM284" i="2" s="1"/>
  <c r="BN284" i="2" s="1"/>
  <c r="AW285" i="2"/>
  <c r="BM285" i="2" s="1"/>
  <c r="BN285" i="2" s="1"/>
  <c r="AW286" i="2"/>
  <c r="BM286" i="2" s="1"/>
  <c r="BN286" i="2" s="1"/>
  <c r="AW287" i="2"/>
  <c r="AW288" i="2"/>
  <c r="BM288" i="2" s="1"/>
  <c r="BN288" i="2" s="1"/>
  <c r="AW289" i="2"/>
  <c r="BM289" i="2" s="1"/>
  <c r="BN289" i="2" s="1"/>
  <c r="AW290" i="2"/>
  <c r="BM290" i="2" s="1"/>
  <c r="BN290" i="2" s="1"/>
  <c r="AW291" i="2"/>
  <c r="AW292" i="2"/>
  <c r="AW293" i="2"/>
  <c r="BM293" i="2" s="1"/>
  <c r="BN293" i="2" s="1"/>
  <c r="AW294" i="2"/>
  <c r="BM294" i="2" s="1"/>
  <c r="BN294" i="2" s="1"/>
  <c r="AW295" i="2"/>
  <c r="AW296" i="2"/>
  <c r="BM296" i="2" s="1"/>
  <c r="BN296" i="2" s="1"/>
  <c r="AW297" i="2"/>
  <c r="BM297" i="2" s="1"/>
  <c r="BN297" i="2" s="1"/>
  <c r="AW298" i="2"/>
  <c r="BM298" i="2" s="1"/>
  <c r="BN298" i="2" s="1"/>
  <c r="AW299" i="2"/>
  <c r="AW300" i="2"/>
  <c r="AW301" i="2"/>
  <c r="BM301" i="2" s="1"/>
  <c r="BN301" i="2" s="1"/>
  <c r="AW302" i="2"/>
  <c r="AW303" i="2"/>
  <c r="AW304" i="2"/>
  <c r="BM304" i="2" s="1"/>
  <c r="BN304" i="2" s="1"/>
  <c r="AW305" i="2"/>
  <c r="BM305" i="2" s="1"/>
  <c r="BN305" i="2" s="1"/>
  <c r="AW306" i="2"/>
  <c r="BM306" i="2" s="1"/>
  <c r="BN306" i="2" s="1"/>
  <c r="AW307" i="2"/>
  <c r="AW308" i="2"/>
  <c r="AW309" i="2"/>
  <c r="BM309" i="2" s="1"/>
  <c r="BN309" i="2" s="1"/>
  <c r="AW310" i="2"/>
  <c r="BM310" i="2" s="1"/>
  <c r="BN310" i="2" s="1"/>
  <c r="AW311" i="2"/>
  <c r="AW312" i="2"/>
  <c r="BM312" i="2" s="1"/>
  <c r="BN312" i="2" s="1"/>
  <c r="AW313" i="2"/>
  <c r="BM313" i="2" s="1"/>
  <c r="BN313" i="2" s="1"/>
  <c r="AW314" i="2"/>
  <c r="BM314" i="2" s="1"/>
  <c r="BN314" i="2" s="1"/>
  <c r="AW315" i="2"/>
  <c r="AW316" i="2"/>
  <c r="AW317" i="2"/>
  <c r="BM317" i="2" s="1"/>
  <c r="BN317" i="2" s="1"/>
  <c r="AW318" i="2"/>
  <c r="BM318" i="2" s="1"/>
  <c r="BN318" i="2" s="1"/>
  <c r="AW319" i="2"/>
  <c r="AW320" i="2"/>
  <c r="BM320" i="2" s="1"/>
  <c r="BN320" i="2" s="1"/>
  <c r="AW321" i="2"/>
  <c r="BM321" i="2" s="1"/>
  <c r="BN321" i="2" s="1"/>
  <c r="AW322" i="2"/>
  <c r="BM322" i="2" s="1"/>
  <c r="BN322" i="2" s="1"/>
  <c r="AW323" i="2"/>
  <c r="AW324" i="2"/>
  <c r="BM324" i="2" s="1"/>
  <c r="BN324" i="2" s="1"/>
  <c r="AW325" i="2"/>
  <c r="BM325" i="2" s="1"/>
  <c r="BN325" i="2" s="1"/>
  <c r="AW326" i="2"/>
  <c r="BM326" i="2" s="1"/>
  <c r="BN326" i="2" s="1"/>
  <c r="AW327" i="2"/>
  <c r="AW328" i="2"/>
  <c r="AW329" i="2"/>
  <c r="BM329" i="2" s="1"/>
  <c r="BN329" i="2" s="1"/>
  <c r="AW330" i="2"/>
  <c r="BM330" i="2" s="1"/>
  <c r="BN330" i="2" s="1"/>
  <c r="AW331" i="2"/>
  <c r="AW332" i="2"/>
  <c r="BM332" i="2" s="1"/>
  <c r="BN332" i="2" s="1"/>
  <c r="AW333" i="2"/>
  <c r="BM333" i="2" s="1"/>
  <c r="BN333" i="2" s="1"/>
  <c r="AW334" i="2"/>
  <c r="BM334" i="2" s="1"/>
  <c r="BN334" i="2" s="1"/>
  <c r="AW335" i="2"/>
  <c r="AW336" i="2"/>
  <c r="BM336" i="2" s="1"/>
  <c r="BN336" i="2" s="1"/>
  <c r="AW337" i="2"/>
  <c r="BM337" i="2" s="1"/>
  <c r="BN337" i="2" s="1"/>
  <c r="AW338" i="2"/>
  <c r="BM338" i="2" s="1"/>
  <c r="BN338" i="2" s="1"/>
  <c r="AW339" i="2"/>
  <c r="AW340" i="2"/>
  <c r="BM340" i="2" s="1"/>
  <c r="BN340" i="2" s="1"/>
  <c r="AW341" i="2"/>
  <c r="BM341" i="2" s="1"/>
  <c r="BN341" i="2" s="1"/>
  <c r="AW342" i="2"/>
  <c r="BM342" i="2" s="1"/>
  <c r="BN342" i="2" s="1"/>
  <c r="AW343" i="2"/>
  <c r="AW344" i="2"/>
  <c r="AW345" i="2"/>
  <c r="BM345" i="2" s="1"/>
  <c r="BN345" i="2" s="1"/>
  <c r="AW346" i="2"/>
  <c r="BM346" i="2" s="1"/>
  <c r="BN346" i="2" s="1"/>
  <c r="AW347" i="2"/>
  <c r="AW348" i="2"/>
  <c r="BM348" i="2" s="1"/>
  <c r="BN348" i="2" s="1"/>
  <c r="AW349" i="2"/>
  <c r="BM349" i="2" s="1"/>
  <c r="BN349" i="2" s="1"/>
  <c r="AW350" i="2"/>
  <c r="BM350" i="2" s="1"/>
  <c r="BN350" i="2" s="1"/>
  <c r="AW351" i="2"/>
  <c r="AW352" i="2"/>
  <c r="BM352" i="2" s="1"/>
  <c r="BN352" i="2" s="1"/>
  <c r="AW353" i="2"/>
  <c r="BM353" i="2" s="1"/>
  <c r="BN353" i="2" s="1"/>
  <c r="AW354" i="2"/>
  <c r="BM354" i="2" s="1"/>
  <c r="BN354" i="2" s="1"/>
  <c r="AW355" i="2"/>
  <c r="AW356" i="2"/>
  <c r="AW357" i="2"/>
  <c r="BM357" i="2" s="1"/>
  <c r="BN357" i="2" s="1"/>
  <c r="AW358" i="2"/>
  <c r="BM358" i="2" s="1"/>
  <c r="BN358" i="2" s="1"/>
  <c r="AW359" i="2"/>
  <c r="AW360" i="2"/>
  <c r="BM360" i="2" s="1"/>
  <c r="BN360" i="2" s="1"/>
  <c r="AW361" i="2"/>
  <c r="BM361" i="2" s="1"/>
  <c r="BN361" i="2" s="1"/>
  <c r="AW362" i="2"/>
  <c r="BM362" i="2" s="1"/>
  <c r="BN362" i="2" s="1"/>
  <c r="AW363" i="2"/>
  <c r="AW364" i="2"/>
  <c r="AW365" i="2"/>
  <c r="BM365" i="2" s="1"/>
  <c r="BN365" i="2" s="1"/>
  <c r="AW366" i="2"/>
  <c r="BM366" i="2" s="1"/>
  <c r="BN366" i="2" s="1"/>
  <c r="AW367" i="2"/>
  <c r="AW368" i="2"/>
  <c r="BM368" i="2" s="1"/>
  <c r="BN368" i="2" s="1"/>
  <c r="AW369" i="2"/>
  <c r="BM369" i="2" s="1"/>
  <c r="BN369" i="2" s="1"/>
  <c r="AW370" i="2"/>
  <c r="BM370" i="2" s="1"/>
  <c r="BN370" i="2" s="1"/>
  <c r="AW371" i="2"/>
  <c r="AW372" i="2"/>
  <c r="AW373" i="2"/>
  <c r="BM373" i="2" s="1"/>
  <c r="BN373" i="2" s="1"/>
  <c r="AW374" i="2"/>
  <c r="BM374" i="2" s="1"/>
  <c r="BN374" i="2" s="1"/>
  <c r="AW375" i="2"/>
  <c r="AW376" i="2"/>
  <c r="BM376" i="2" s="1"/>
  <c r="BN376" i="2" s="1"/>
  <c r="AW377" i="2"/>
  <c r="BM377" i="2" s="1"/>
  <c r="BN377" i="2" s="1"/>
  <c r="AW378" i="2"/>
  <c r="BM378" i="2" s="1"/>
  <c r="BN378" i="2" s="1"/>
  <c r="AW379" i="2"/>
  <c r="AW380" i="2"/>
  <c r="AW381" i="2"/>
  <c r="BM381" i="2" s="1"/>
  <c r="BN381" i="2" s="1"/>
  <c r="AW382" i="2"/>
  <c r="BM382" i="2" s="1"/>
  <c r="BN382" i="2" s="1"/>
  <c r="AW383" i="2"/>
  <c r="AW384" i="2"/>
  <c r="BM384" i="2" s="1"/>
  <c r="BN384" i="2" s="1"/>
  <c r="AW385" i="2"/>
  <c r="BM385" i="2" s="1"/>
  <c r="BN385" i="2" s="1"/>
  <c r="AW386" i="2"/>
  <c r="BM386" i="2" s="1"/>
  <c r="BN386" i="2" s="1"/>
  <c r="AW387" i="2"/>
  <c r="AW388" i="2"/>
  <c r="BM388" i="2" s="1"/>
  <c r="BN388" i="2" s="1"/>
  <c r="AW389" i="2"/>
  <c r="BM389" i="2" s="1"/>
  <c r="BN389" i="2" s="1"/>
  <c r="AW390" i="2"/>
  <c r="BM390" i="2" s="1"/>
  <c r="BN390" i="2" s="1"/>
  <c r="AW391" i="2"/>
  <c r="AW392" i="2"/>
  <c r="AW393" i="2"/>
  <c r="BM393" i="2" s="1"/>
  <c r="BN393" i="2" s="1"/>
  <c r="AW394" i="2"/>
  <c r="BM394" i="2" s="1"/>
  <c r="BN394" i="2" s="1"/>
  <c r="AW395" i="2"/>
  <c r="AW396" i="2"/>
  <c r="BM396" i="2" s="1"/>
  <c r="BN396" i="2" s="1"/>
  <c r="AW397" i="2"/>
  <c r="BM397" i="2" s="1"/>
  <c r="BN397" i="2" s="1"/>
  <c r="AW398" i="2"/>
  <c r="BM398" i="2" s="1"/>
  <c r="BN398" i="2" s="1"/>
  <c r="AW399" i="2"/>
  <c r="AW400" i="2"/>
  <c r="BM400" i="2" s="1"/>
  <c r="BN400" i="2" s="1"/>
  <c r="AW401" i="2"/>
  <c r="BM401" i="2" s="1"/>
  <c r="BN401" i="2" s="1"/>
  <c r="AW402" i="2"/>
  <c r="BM402" i="2" s="1"/>
  <c r="BN402" i="2" s="1"/>
  <c r="AW403" i="2"/>
  <c r="AW404" i="2"/>
  <c r="BM404" i="2" s="1"/>
  <c r="BN404" i="2" s="1"/>
  <c r="AW405" i="2"/>
  <c r="BM405" i="2" s="1"/>
  <c r="BN405" i="2" s="1"/>
  <c r="AW406" i="2"/>
  <c r="BM406" i="2" s="1"/>
  <c r="BN406" i="2" s="1"/>
  <c r="AW407" i="2"/>
  <c r="AW408" i="2"/>
  <c r="AW409" i="2"/>
  <c r="BM409" i="2" s="1"/>
  <c r="BN409" i="2" s="1"/>
  <c r="AW410" i="2"/>
  <c r="BM410" i="2" s="1"/>
  <c r="BN410" i="2" s="1"/>
  <c r="AW411" i="2"/>
  <c r="AW412" i="2"/>
  <c r="BM412" i="2" s="1"/>
  <c r="BN412" i="2" s="1"/>
  <c r="AW413" i="2"/>
  <c r="BM413" i="2" s="1"/>
  <c r="BN413" i="2" s="1"/>
  <c r="AW414" i="2"/>
  <c r="BM414" i="2" s="1"/>
  <c r="BN414" i="2" s="1"/>
  <c r="AW415" i="2"/>
  <c r="AW416" i="2"/>
  <c r="BM416" i="2" s="1"/>
  <c r="BN416" i="2" s="1"/>
  <c r="AW417" i="2"/>
  <c r="BM417" i="2" s="1"/>
  <c r="BN417" i="2" s="1"/>
  <c r="AW418" i="2"/>
  <c r="BM418" i="2" s="1"/>
  <c r="BN418" i="2" s="1"/>
  <c r="AW419" i="2"/>
  <c r="AW420" i="2"/>
  <c r="AW421" i="2"/>
  <c r="BM421" i="2" s="1"/>
  <c r="BN421" i="2" s="1"/>
  <c r="AW422" i="2"/>
  <c r="BM422" i="2" s="1"/>
  <c r="BN422" i="2" s="1"/>
  <c r="AW423" i="2"/>
  <c r="AW424" i="2"/>
  <c r="BM424" i="2" s="1"/>
  <c r="BN424" i="2" s="1"/>
  <c r="AW425" i="2"/>
  <c r="BM425" i="2" s="1"/>
  <c r="BN425" i="2" s="1"/>
  <c r="AW426" i="2"/>
  <c r="BM426" i="2" s="1"/>
  <c r="BN426" i="2" s="1"/>
  <c r="AW427" i="2"/>
  <c r="AW428" i="2"/>
  <c r="AW429" i="2"/>
  <c r="BM429" i="2" s="1"/>
  <c r="BN429" i="2" s="1"/>
  <c r="AW430" i="2"/>
  <c r="BM430" i="2" s="1"/>
  <c r="BN430" i="2" s="1"/>
  <c r="AW431" i="2"/>
  <c r="AW432" i="2"/>
  <c r="BM432" i="2" s="1"/>
  <c r="BN432" i="2" s="1"/>
  <c r="AW433" i="2"/>
  <c r="BM433" i="2" s="1"/>
  <c r="BN433" i="2" s="1"/>
  <c r="AW434" i="2"/>
  <c r="BM434" i="2" s="1"/>
  <c r="BN434" i="2" s="1"/>
  <c r="AW435" i="2"/>
  <c r="AW436" i="2"/>
  <c r="AW437" i="2"/>
  <c r="BM437" i="2" s="1"/>
  <c r="BN437" i="2" s="1"/>
  <c r="AW438" i="2"/>
  <c r="BM438" i="2" s="1"/>
  <c r="BN438" i="2" s="1"/>
  <c r="AW439" i="2"/>
  <c r="AW440" i="2"/>
  <c r="BM440" i="2" s="1"/>
  <c r="BN440" i="2" s="1"/>
  <c r="AW441" i="2"/>
  <c r="BM441" i="2" s="1"/>
  <c r="BN441" i="2" s="1"/>
  <c r="AW442" i="2"/>
  <c r="BM442" i="2" s="1"/>
  <c r="BN442" i="2" s="1"/>
  <c r="AW443" i="2"/>
  <c r="AW444" i="2"/>
  <c r="AW445" i="2"/>
  <c r="BM445" i="2" s="1"/>
  <c r="BN445" i="2" s="1"/>
  <c r="AW446" i="2"/>
  <c r="BM446" i="2" s="1"/>
  <c r="BN446" i="2" s="1"/>
  <c r="AW447" i="2"/>
  <c r="AW448" i="2"/>
  <c r="BM448" i="2" s="1"/>
  <c r="BN448" i="2" s="1"/>
  <c r="AW449" i="2"/>
  <c r="BM449" i="2" s="1"/>
  <c r="BN449" i="2" s="1"/>
  <c r="AW450" i="2"/>
  <c r="BM450" i="2" s="1"/>
  <c r="BN450" i="2" s="1"/>
  <c r="AW451" i="2"/>
  <c r="AW452" i="2"/>
  <c r="BM452" i="2" s="1"/>
  <c r="BN452" i="2" s="1"/>
  <c r="AW453" i="2"/>
  <c r="BM453" i="2" s="1"/>
  <c r="BN453" i="2" s="1"/>
  <c r="AW454" i="2"/>
  <c r="BM454" i="2" s="1"/>
  <c r="BN454" i="2" s="1"/>
  <c r="AW455" i="2"/>
  <c r="AW456" i="2"/>
  <c r="AW457" i="2"/>
  <c r="BM457" i="2" s="1"/>
  <c r="BN457" i="2" s="1"/>
  <c r="AW458" i="2"/>
  <c r="BM458" i="2" s="1"/>
  <c r="BN458" i="2" s="1"/>
  <c r="AW459" i="2"/>
  <c r="AW460" i="2"/>
  <c r="BM460" i="2" s="1"/>
  <c r="BN460" i="2" s="1"/>
  <c r="AW461" i="2"/>
  <c r="BM461" i="2" s="1"/>
  <c r="BN461" i="2" s="1"/>
  <c r="AW462" i="2"/>
  <c r="BM462" i="2" s="1"/>
  <c r="BN462" i="2" s="1"/>
  <c r="AW463" i="2"/>
  <c r="AW464" i="2"/>
  <c r="BM464" i="2" s="1"/>
  <c r="BN464" i="2" s="1"/>
  <c r="AW465" i="2"/>
  <c r="BM465" i="2" s="1"/>
  <c r="BN465" i="2" s="1"/>
  <c r="AW466" i="2"/>
  <c r="BM466" i="2" s="1"/>
  <c r="BN466" i="2" s="1"/>
  <c r="AW467" i="2"/>
  <c r="AW468" i="2"/>
  <c r="BM468" i="2" s="1"/>
  <c r="BN468" i="2" s="1"/>
  <c r="AW469" i="2"/>
  <c r="BM469" i="2" s="1"/>
  <c r="BN469" i="2" s="1"/>
  <c r="AW470" i="2"/>
  <c r="BM470" i="2" s="1"/>
  <c r="BN470" i="2" s="1"/>
  <c r="AW471" i="2"/>
  <c r="AW472" i="2"/>
  <c r="AW473" i="2"/>
  <c r="BM473" i="2" s="1"/>
  <c r="BN473" i="2" s="1"/>
  <c r="AW474" i="2"/>
  <c r="BM474" i="2" s="1"/>
  <c r="BN474" i="2" s="1"/>
  <c r="AW475" i="2"/>
  <c r="AW476" i="2"/>
  <c r="BM476" i="2" s="1"/>
  <c r="BN476" i="2" s="1"/>
  <c r="AW477" i="2"/>
  <c r="BM477" i="2" s="1"/>
  <c r="BN477" i="2" s="1"/>
  <c r="AW478" i="2"/>
  <c r="BM478" i="2" s="1"/>
  <c r="BN478" i="2" s="1"/>
  <c r="AW479" i="2"/>
  <c r="AW480" i="2"/>
  <c r="BM480" i="2" s="1"/>
  <c r="BN480" i="2" s="1"/>
  <c r="AW481" i="2"/>
  <c r="BM481" i="2" s="1"/>
  <c r="BN481" i="2" s="1"/>
  <c r="AW482" i="2"/>
  <c r="BM482" i="2" s="1"/>
  <c r="BN482" i="2" s="1"/>
  <c r="AW483" i="2"/>
  <c r="AW484" i="2"/>
  <c r="AW485" i="2"/>
  <c r="BM485" i="2" s="1"/>
  <c r="BN485" i="2" s="1"/>
  <c r="AW486" i="2"/>
  <c r="BM486" i="2" s="1"/>
  <c r="BN486" i="2" s="1"/>
  <c r="AW487" i="2"/>
  <c r="AW488" i="2"/>
  <c r="BM488" i="2" s="1"/>
  <c r="BN488" i="2" s="1"/>
  <c r="AW489" i="2"/>
  <c r="BM489" i="2" s="1"/>
  <c r="BN489" i="2" s="1"/>
  <c r="AW490" i="2"/>
  <c r="BM490" i="2" s="1"/>
  <c r="BN490" i="2" s="1"/>
  <c r="AW491" i="2"/>
  <c r="AW492" i="2"/>
  <c r="AW493" i="2"/>
  <c r="BM493" i="2" s="1"/>
  <c r="BN493" i="2" s="1"/>
  <c r="AW494" i="2"/>
  <c r="BM494" i="2" s="1"/>
  <c r="BN494" i="2" s="1"/>
  <c r="AW495" i="2"/>
  <c r="AW496" i="2"/>
  <c r="BM496" i="2" s="1"/>
  <c r="BN496" i="2" s="1"/>
  <c r="AW497" i="2"/>
  <c r="BM497" i="2" s="1"/>
  <c r="BN497" i="2" s="1"/>
  <c r="AW498" i="2"/>
  <c r="BM498" i="2" s="1"/>
  <c r="BN498" i="2" s="1"/>
  <c r="AW499" i="2"/>
  <c r="AW500" i="2"/>
  <c r="AW501" i="2"/>
  <c r="BM501" i="2" s="1"/>
  <c r="BN501" i="2" s="1"/>
  <c r="AW502" i="2"/>
  <c r="BM502" i="2" s="1"/>
  <c r="BN502" i="2" s="1"/>
  <c r="AW503" i="2"/>
  <c r="AW504" i="2"/>
  <c r="BM504" i="2" s="1"/>
  <c r="BN504" i="2" s="1"/>
  <c r="AW505" i="2"/>
  <c r="BM505" i="2" s="1"/>
  <c r="BN505" i="2" s="1"/>
  <c r="AW506" i="2"/>
  <c r="BM506" i="2" s="1"/>
  <c r="BN506" i="2" s="1"/>
  <c r="AW507" i="2"/>
  <c r="AW508" i="2"/>
  <c r="AW509" i="2"/>
  <c r="BM509" i="2" s="1"/>
  <c r="BN509" i="2" s="1"/>
  <c r="AW510" i="2"/>
  <c r="BM510" i="2" s="1"/>
  <c r="BN510" i="2" s="1"/>
  <c r="AW511" i="2"/>
  <c r="AW512" i="2"/>
  <c r="BM512" i="2" s="1"/>
  <c r="BN512" i="2" s="1"/>
  <c r="AW513" i="2"/>
  <c r="BM513" i="2" s="1"/>
  <c r="BN513" i="2" s="1"/>
  <c r="AW514" i="2"/>
  <c r="BM514" i="2" s="1"/>
  <c r="BN514" i="2" s="1"/>
  <c r="AW515" i="2"/>
  <c r="AW516" i="2"/>
  <c r="BM516" i="2" s="1"/>
  <c r="BN516" i="2" s="1"/>
  <c r="AW517" i="2"/>
  <c r="BM517" i="2" s="1"/>
  <c r="BN517" i="2" s="1"/>
  <c r="AW518" i="2"/>
  <c r="BM518" i="2" s="1"/>
  <c r="BN518" i="2" s="1"/>
  <c r="AW519" i="2"/>
  <c r="AW520" i="2"/>
  <c r="BM520" i="2" s="1"/>
  <c r="BN520" i="2" s="1"/>
  <c r="AW521" i="2"/>
  <c r="BM521" i="2" s="1"/>
  <c r="BN521" i="2" s="1"/>
  <c r="AW522" i="2"/>
  <c r="BM522" i="2" s="1"/>
  <c r="BN522" i="2" s="1"/>
  <c r="AW523" i="2"/>
  <c r="AW524" i="2"/>
  <c r="BM524" i="2" s="1"/>
  <c r="BN524" i="2" s="1"/>
  <c r="AW525" i="2"/>
  <c r="BM525" i="2" s="1"/>
  <c r="BN525" i="2" s="1"/>
  <c r="AW526" i="2"/>
  <c r="BM526" i="2" s="1"/>
  <c r="BN526" i="2" s="1"/>
  <c r="AW527" i="2"/>
  <c r="AW528" i="2"/>
  <c r="BM528" i="2" s="1"/>
  <c r="BN528" i="2" s="1"/>
  <c r="AW529" i="2"/>
  <c r="BM529" i="2" s="1"/>
  <c r="BN529" i="2" s="1"/>
  <c r="AW530" i="2"/>
  <c r="BM530" i="2" s="1"/>
  <c r="BN530" i="2" s="1"/>
  <c r="AW531" i="2"/>
  <c r="AW532" i="2"/>
  <c r="BM532" i="2" s="1"/>
  <c r="BN532" i="2" s="1"/>
  <c r="AW533" i="2"/>
  <c r="BM533" i="2" s="1"/>
  <c r="BN533" i="2" s="1"/>
  <c r="AW534" i="2"/>
  <c r="BM534" i="2" s="1"/>
  <c r="BN534" i="2" s="1"/>
  <c r="AW535" i="2"/>
  <c r="AW536" i="2"/>
  <c r="AW537" i="2"/>
  <c r="BM537" i="2" s="1"/>
  <c r="BN537" i="2" s="1"/>
  <c r="AW538" i="2"/>
  <c r="BM538" i="2" s="1"/>
  <c r="BN538" i="2" s="1"/>
  <c r="AW539" i="2"/>
  <c r="AW540" i="2"/>
  <c r="BM540" i="2" s="1"/>
  <c r="BN540" i="2" s="1"/>
  <c r="AW541" i="2"/>
  <c r="BM541" i="2" s="1"/>
  <c r="BN541" i="2" s="1"/>
  <c r="AW542" i="2"/>
  <c r="BM542" i="2" s="1"/>
  <c r="BN542" i="2" s="1"/>
  <c r="AW543" i="2"/>
  <c r="AW544" i="2"/>
  <c r="BM544" i="2" s="1"/>
  <c r="BN544" i="2" s="1"/>
  <c r="AW545" i="2"/>
  <c r="BM545" i="2" s="1"/>
  <c r="BN545" i="2" s="1"/>
  <c r="AW546" i="2"/>
  <c r="BM546" i="2" s="1"/>
  <c r="BN546" i="2" s="1"/>
  <c r="AW547" i="2"/>
  <c r="AW548" i="2"/>
  <c r="BM548" i="2" s="1"/>
  <c r="BN548" i="2" s="1"/>
  <c r="AW549" i="2"/>
  <c r="BM549" i="2" s="1"/>
  <c r="BN549" i="2" s="1"/>
  <c r="AW550" i="2"/>
  <c r="BM550" i="2" s="1"/>
  <c r="BN550" i="2" s="1"/>
  <c r="AW551" i="2"/>
  <c r="AW552" i="2"/>
  <c r="BM552" i="2" s="1"/>
  <c r="BN552" i="2" s="1"/>
  <c r="AW553" i="2"/>
  <c r="BM553" i="2" s="1"/>
  <c r="BN553" i="2" s="1"/>
  <c r="AW554" i="2"/>
  <c r="BM554" i="2" s="1"/>
  <c r="BN554" i="2" s="1"/>
  <c r="AW555" i="2"/>
  <c r="AW556" i="2"/>
  <c r="BM556" i="2" s="1"/>
  <c r="BN556" i="2" s="1"/>
  <c r="AW557" i="2"/>
  <c r="BM557" i="2" s="1"/>
  <c r="BN557" i="2" s="1"/>
  <c r="AW558" i="2"/>
  <c r="BM558" i="2" s="1"/>
  <c r="BN558" i="2" s="1"/>
  <c r="AW559" i="2"/>
  <c r="AW560" i="2"/>
  <c r="BM560" i="2" s="1"/>
  <c r="BN560" i="2" s="1"/>
  <c r="AW561" i="2"/>
  <c r="BM561" i="2" s="1"/>
  <c r="BN561" i="2" s="1"/>
  <c r="AW562" i="2"/>
  <c r="BM562" i="2" s="1"/>
  <c r="BN562" i="2" s="1"/>
  <c r="AW563" i="2"/>
  <c r="AW564" i="2"/>
  <c r="AW565" i="2"/>
  <c r="BM565" i="2" s="1"/>
  <c r="BN565" i="2" s="1"/>
  <c r="AW566" i="2"/>
  <c r="BM566" i="2" s="1"/>
  <c r="BN566" i="2" s="1"/>
  <c r="AW567" i="2"/>
  <c r="AW568" i="2"/>
  <c r="BM568" i="2" s="1"/>
  <c r="BN568" i="2" s="1"/>
  <c r="AW569" i="2"/>
  <c r="BM569" i="2" s="1"/>
  <c r="BN569" i="2" s="1"/>
  <c r="AW570" i="2"/>
  <c r="BM570" i="2" s="1"/>
  <c r="BN570" i="2" s="1"/>
  <c r="AW571" i="2"/>
  <c r="AW572" i="2"/>
  <c r="AW573" i="2"/>
  <c r="BM573" i="2" s="1"/>
  <c r="BN573" i="2" s="1"/>
  <c r="AW574" i="2"/>
  <c r="BM574" i="2" s="1"/>
  <c r="BN574" i="2" s="1"/>
  <c r="AW575" i="2"/>
  <c r="AW576" i="2"/>
  <c r="BM576" i="2" s="1"/>
  <c r="BN576" i="2" s="1"/>
  <c r="AW577" i="2"/>
  <c r="BM577" i="2" s="1"/>
  <c r="BN577" i="2" s="1"/>
  <c r="AW578" i="2"/>
  <c r="BM578" i="2" s="1"/>
  <c r="BN578" i="2" s="1"/>
  <c r="AW579" i="2"/>
  <c r="AW580" i="2"/>
  <c r="BM580" i="2" s="1"/>
  <c r="BN580" i="2" s="1"/>
  <c r="AW581" i="2"/>
  <c r="BM581" i="2" s="1"/>
  <c r="BN581" i="2" s="1"/>
  <c r="AW582" i="2"/>
  <c r="BM582" i="2" s="1"/>
  <c r="BN582" i="2" s="1"/>
  <c r="AW583" i="2"/>
  <c r="AW584" i="2"/>
  <c r="BM584" i="2" s="1"/>
  <c r="BN584" i="2" s="1"/>
  <c r="AW585" i="2"/>
  <c r="BM585" i="2" s="1"/>
  <c r="BN585" i="2" s="1"/>
  <c r="AW586" i="2"/>
  <c r="BM586" i="2" s="1"/>
  <c r="BN586" i="2" s="1"/>
  <c r="AW587" i="2"/>
  <c r="AW588" i="2"/>
  <c r="BM588" i="2" s="1"/>
  <c r="BN588" i="2" s="1"/>
  <c r="AW589" i="2"/>
  <c r="BM589" i="2" s="1"/>
  <c r="BN589" i="2" s="1"/>
  <c r="AW590" i="2"/>
  <c r="BM590" i="2" s="1"/>
  <c r="BN590" i="2" s="1"/>
  <c r="AW591" i="2"/>
  <c r="AW592" i="2"/>
  <c r="BM592" i="2" s="1"/>
  <c r="BN592" i="2" s="1"/>
  <c r="AW593" i="2"/>
  <c r="BM593" i="2" s="1"/>
  <c r="BN593" i="2" s="1"/>
  <c r="AW594" i="2"/>
  <c r="BM594" i="2" s="1"/>
  <c r="BN594" i="2" s="1"/>
  <c r="AW595" i="2"/>
  <c r="AW596" i="2"/>
  <c r="BM596" i="2" s="1"/>
  <c r="BN596" i="2" s="1"/>
  <c r="AW597" i="2"/>
  <c r="BM597" i="2" s="1"/>
  <c r="BN597" i="2" s="1"/>
  <c r="AW598" i="2"/>
  <c r="BM598" i="2" s="1"/>
  <c r="BN598" i="2" s="1"/>
  <c r="AW599" i="2"/>
  <c r="AW600" i="2"/>
  <c r="AW601" i="2"/>
  <c r="BM601" i="2" s="1"/>
  <c r="BN601" i="2" s="1"/>
  <c r="AW602" i="2"/>
  <c r="BM602" i="2" s="1"/>
  <c r="BN602" i="2" s="1"/>
  <c r="AW603" i="2"/>
  <c r="AW604" i="2"/>
  <c r="BM604" i="2" s="1"/>
  <c r="BN604" i="2" s="1"/>
  <c r="AW605" i="2"/>
  <c r="BM605" i="2" s="1"/>
  <c r="BN605" i="2" s="1"/>
  <c r="AW606" i="2"/>
  <c r="BM606" i="2" s="1"/>
  <c r="BN606" i="2" s="1"/>
  <c r="AW607" i="2"/>
  <c r="AW608" i="2"/>
  <c r="BM608" i="2" s="1"/>
  <c r="BN608" i="2" s="1"/>
  <c r="AW609" i="2"/>
  <c r="BM609" i="2" s="1"/>
  <c r="BN609" i="2" s="1"/>
  <c r="AW610" i="2"/>
  <c r="BM610" i="2" s="1"/>
  <c r="BN610" i="2" s="1"/>
  <c r="AW611" i="2"/>
  <c r="AW612" i="2"/>
  <c r="BM612" i="2" s="1"/>
  <c r="BN612" i="2" s="1"/>
  <c r="AW613" i="2"/>
  <c r="BM613" i="2" s="1"/>
  <c r="BN613" i="2" s="1"/>
  <c r="AW614" i="2"/>
  <c r="BM614" i="2" s="1"/>
  <c r="BN614" i="2" s="1"/>
  <c r="AW615" i="2"/>
  <c r="AW616" i="2"/>
  <c r="BM616" i="2" s="1"/>
  <c r="BN616" i="2" s="1"/>
  <c r="AW617" i="2"/>
  <c r="BM617" i="2" s="1"/>
  <c r="BN617" i="2" s="1"/>
  <c r="AW618" i="2"/>
  <c r="BM618" i="2" s="1"/>
  <c r="BN618" i="2" s="1"/>
  <c r="AW619" i="2"/>
  <c r="AW620" i="2"/>
  <c r="BM620" i="2" s="1"/>
  <c r="BN620" i="2" s="1"/>
  <c r="AW621" i="2"/>
  <c r="BM621" i="2" s="1"/>
  <c r="BN621" i="2" s="1"/>
  <c r="AW622" i="2"/>
  <c r="BM622" i="2" s="1"/>
  <c r="BN622" i="2" s="1"/>
  <c r="AW623" i="2"/>
  <c r="AW624" i="2"/>
  <c r="BM624" i="2" s="1"/>
  <c r="BN624" i="2" s="1"/>
  <c r="AW625" i="2"/>
  <c r="BM625" i="2" s="1"/>
  <c r="BN625" i="2" s="1"/>
  <c r="AW626" i="2"/>
  <c r="BM626" i="2" s="1"/>
  <c r="BN626" i="2" s="1"/>
  <c r="AW627" i="2"/>
  <c r="AW628" i="2"/>
  <c r="AW629" i="2"/>
  <c r="BM629" i="2" s="1"/>
  <c r="BN629" i="2" s="1"/>
  <c r="AW630" i="2"/>
  <c r="BM630" i="2" s="1"/>
  <c r="BN630" i="2" s="1"/>
  <c r="AW631" i="2"/>
  <c r="AW632" i="2"/>
  <c r="BM632" i="2" s="1"/>
  <c r="BN632" i="2" s="1"/>
  <c r="AW633" i="2"/>
  <c r="BM633" i="2" s="1"/>
  <c r="BN633" i="2" s="1"/>
  <c r="AW634" i="2"/>
  <c r="BM634" i="2" s="1"/>
  <c r="BN634" i="2" s="1"/>
  <c r="AW635" i="2"/>
  <c r="AW636" i="2"/>
  <c r="AW637" i="2"/>
  <c r="BM637" i="2" s="1"/>
  <c r="BN637" i="2" s="1"/>
  <c r="AW638" i="2"/>
  <c r="BM638" i="2" s="1"/>
  <c r="BN638" i="2" s="1"/>
  <c r="AW639" i="2"/>
  <c r="AW640" i="2"/>
  <c r="BM640" i="2" s="1"/>
  <c r="BN640" i="2" s="1"/>
  <c r="AW641" i="2"/>
  <c r="BM641" i="2" s="1"/>
  <c r="BN641" i="2" s="1"/>
  <c r="AW642" i="2"/>
  <c r="BM642" i="2" s="1"/>
  <c r="BN642" i="2" s="1"/>
  <c r="AW643" i="2"/>
  <c r="AW644" i="2"/>
  <c r="BM644" i="2" s="1"/>
  <c r="BN644" i="2" s="1"/>
  <c r="AW645" i="2"/>
  <c r="BM645" i="2" s="1"/>
  <c r="BN645" i="2" s="1"/>
  <c r="AW646" i="2"/>
  <c r="BM646" i="2" s="1"/>
  <c r="BN646" i="2" s="1"/>
  <c r="AW647" i="2"/>
  <c r="AW648" i="2"/>
  <c r="BM648" i="2" s="1"/>
  <c r="BN648" i="2" s="1"/>
  <c r="AW649" i="2"/>
  <c r="BM649" i="2" s="1"/>
  <c r="BN649" i="2" s="1"/>
  <c r="AW650" i="2"/>
  <c r="BM650" i="2" s="1"/>
  <c r="BN650" i="2" s="1"/>
  <c r="AW651" i="2"/>
  <c r="AW652" i="2"/>
  <c r="BM652" i="2" s="1"/>
  <c r="BN652" i="2" s="1"/>
  <c r="AW653" i="2"/>
  <c r="BM653" i="2" s="1"/>
  <c r="BN653" i="2" s="1"/>
  <c r="AW654" i="2"/>
  <c r="BM654" i="2" s="1"/>
  <c r="BN654" i="2" s="1"/>
  <c r="AW655" i="2"/>
  <c r="AW656" i="2"/>
  <c r="BM656" i="2" s="1"/>
  <c r="BN656" i="2" s="1"/>
  <c r="AW657" i="2"/>
  <c r="BM657" i="2" s="1"/>
  <c r="BN657" i="2" s="1"/>
  <c r="AW658" i="2"/>
  <c r="BM658" i="2" s="1"/>
  <c r="BN658" i="2" s="1"/>
  <c r="AW659" i="2"/>
  <c r="AW660" i="2"/>
  <c r="BM660" i="2" s="1"/>
  <c r="BN660" i="2" s="1"/>
  <c r="AW661" i="2"/>
  <c r="BM661" i="2" s="1"/>
  <c r="BN661" i="2" s="1"/>
  <c r="AW662" i="2"/>
  <c r="BM662" i="2" s="1"/>
  <c r="BN662" i="2" s="1"/>
  <c r="AW663" i="2"/>
  <c r="AW664" i="2"/>
  <c r="AW665" i="2"/>
  <c r="BM665" i="2" s="1"/>
  <c r="BN665" i="2" s="1"/>
  <c r="AW666" i="2"/>
  <c r="BM666" i="2" s="1"/>
  <c r="BN666" i="2" s="1"/>
  <c r="AW667" i="2"/>
  <c r="AW668" i="2"/>
  <c r="BM668" i="2" s="1"/>
  <c r="BN668" i="2" s="1"/>
  <c r="AW669" i="2"/>
  <c r="BM669" i="2" s="1"/>
  <c r="BN669" i="2" s="1"/>
  <c r="AW670" i="2"/>
  <c r="BM670" i="2" s="1"/>
  <c r="BN670" i="2" s="1"/>
  <c r="AW671" i="2"/>
  <c r="AW672" i="2"/>
  <c r="BM672" i="2" s="1"/>
  <c r="BN672" i="2" s="1"/>
  <c r="AW673" i="2"/>
  <c r="BM673" i="2" s="1"/>
  <c r="BN673" i="2" s="1"/>
  <c r="AW674" i="2"/>
  <c r="BM674" i="2" s="1"/>
  <c r="BN674" i="2" s="1"/>
  <c r="AW675" i="2"/>
  <c r="AW676" i="2"/>
  <c r="BM676" i="2" s="1"/>
  <c r="BN676" i="2" s="1"/>
  <c r="AW677" i="2"/>
  <c r="BM677" i="2" s="1"/>
  <c r="BN677" i="2" s="1"/>
  <c r="AW678" i="2"/>
  <c r="BM678" i="2" s="1"/>
  <c r="BN678" i="2" s="1"/>
  <c r="AW679" i="2"/>
  <c r="AW680" i="2"/>
  <c r="BM680" i="2" s="1"/>
  <c r="BN680" i="2" s="1"/>
  <c r="AW681" i="2"/>
  <c r="BM681" i="2" s="1"/>
  <c r="BN681" i="2" s="1"/>
  <c r="AW682" i="2"/>
  <c r="BM682" i="2" s="1"/>
  <c r="BN682" i="2" s="1"/>
  <c r="AW683" i="2"/>
  <c r="AW684" i="2"/>
  <c r="BM684" i="2" s="1"/>
  <c r="BN684" i="2" s="1"/>
  <c r="AW685" i="2"/>
  <c r="BM685" i="2" s="1"/>
  <c r="BN685" i="2" s="1"/>
  <c r="AW686" i="2"/>
  <c r="BM686" i="2" s="1"/>
  <c r="BN686" i="2" s="1"/>
  <c r="AW687" i="2"/>
  <c r="AW688" i="2"/>
  <c r="BM688" i="2" s="1"/>
  <c r="BN688" i="2" s="1"/>
  <c r="AW689" i="2"/>
  <c r="BM689" i="2" s="1"/>
  <c r="BN689" i="2" s="1"/>
  <c r="AW690" i="2"/>
  <c r="BM690" i="2" s="1"/>
  <c r="BN690" i="2" s="1"/>
  <c r="AW691" i="2"/>
  <c r="AW692" i="2"/>
  <c r="AW693" i="2"/>
  <c r="BM693" i="2" s="1"/>
  <c r="BN693" i="2" s="1"/>
  <c r="AW694" i="2"/>
  <c r="BM694" i="2" s="1"/>
  <c r="BN694" i="2" s="1"/>
  <c r="AW695" i="2"/>
  <c r="AW696" i="2"/>
  <c r="BM696" i="2" s="1"/>
  <c r="BN696" i="2" s="1"/>
  <c r="AW697" i="2"/>
  <c r="BM697" i="2" s="1"/>
  <c r="BN697" i="2" s="1"/>
  <c r="AW698" i="2"/>
  <c r="BM698" i="2" s="1"/>
  <c r="BN698" i="2" s="1"/>
  <c r="AW699" i="2"/>
  <c r="AW700" i="2"/>
  <c r="AW701" i="2"/>
  <c r="BM701" i="2" s="1"/>
  <c r="BN701" i="2" s="1"/>
  <c r="AW702" i="2"/>
  <c r="BM702" i="2" s="1"/>
  <c r="BN702" i="2" s="1"/>
  <c r="AW703" i="2"/>
  <c r="AW704" i="2"/>
  <c r="BM704" i="2" s="1"/>
  <c r="BN704" i="2" s="1"/>
  <c r="AW705" i="2"/>
  <c r="BM705" i="2" s="1"/>
  <c r="BN705" i="2" s="1"/>
  <c r="AW706" i="2"/>
  <c r="BM706" i="2" s="1"/>
  <c r="BN706" i="2" s="1"/>
  <c r="AW707" i="2"/>
  <c r="AW708" i="2"/>
  <c r="BM708" i="2" s="1"/>
  <c r="BN708" i="2" s="1"/>
  <c r="AW709" i="2"/>
  <c r="BM709" i="2" s="1"/>
  <c r="BN709" i="2" s="1"/>
  <c r="AW710" i="2"/>
  <c r="BM710" i="2" s="1"/>
  <c r="BN710" i="2" s="1"/>
  <c r="AW711" i="2"/>
  <c r="AW712" i="2"/>
  <c r="BM712" i="2" s="1"/>
  <c r="BN712" i="2" s="1"/>
  <c r="AW713" i="2"/>
  <c r="BM713" i="2" s="1"/>
  <c r="BN713" i="2" s="1"/>
  <c r="AW714" i="2"/>
  <c r="BM714" i="2" s="1"/>
  <c r="BN714" i="2" s="1"/>
  <c r="AW715" i="2"/>
  <c r="AW716" i="2"/>
  <c r="BM716" i="2" s="1"/>
  <c r="BN716" i="2" s="1"/>
  <c r="AW717" i="2"/>
  <c r="BM717" i="2" s="1"/>
  <c r="BN717" i="2" s="1"/>
  <c r="AW718" i="2"/>
  <c r="BM718" i="2" s="1"/>
  <c r="BN718" i="2" s="1"/>
  <c r="AW719" i="2"/>
  <c r="AW720" i="2"/>
  <c r="BM720" i="2" s="1"/>
  <c r="BN720" i="2" s="1"/>
  <c r="AW721" i="2"/>
  <c r="BM721" i="2" s="1"/>
  <c r="BN721" i="2" s="1"/>
  <c r="AW722" i="2"/>
  <c r="BM722" i="2" s="1"/>
  <c r="BN722" i="2" s="1"/>
  <c r="AW723" i="2"/>
  <c r="AW724" i="2"/>
  <c r="BM724" i="2" s="1"/>
  <c r="BN724" i="2" s="1"/>
  <c r="AW725" i="2"/>
  <c r="BM725" i="2" s="1"/>
  <c r="BN725" i="2" s="1"/>
  <c r="AW726" i="2"/>
  <c r="BM726" i="2" s="1"/>
  <c r="BN726" i="2" s="1"/>
  <c r="AW727" i="2"/>
  <c r="AW728" i="2"/>
  <c r="AW729" i="2"/>
  <c r="BM729" i="2" s="1"/>
  <c r="BN729" i="2" s="1"/>
  <c r="AW730" i="2"/>
  <c r="BM730" i="2" s="1"/>
  <c r="BN730" i="2" s="1"/>
  <c r="AW731" i="2"/>
  <c r="AW732" i="2"/>
  <c r="BM732" i="2" s="1"/>
  <c r="BN732" i="2" s="1"/>
  <c r="AW733" i="2"/>
  <c r="BM733" i="2" s="1"/>
  <c r="BN733" i="2" s="1"/>
  <c r="AW734" i="2"/>
  <c r="BM734" i="2" s="1"/>
  <c r="BN734" i="2" s="1"/>
  <c r="AW735" i="2"/>
  <c r="AW736" i="2"/>
  <c r="BM736" i="2" s="1"/>
  <c r="BN736" i="2" s="1"/>
  <c r="AW737" i="2"/>
  <c r="BM737" i="2" s="1"/>
  <c r="BN737" i="2" s="1"/>
  <c r="AW738" i="2"/>
  <c r="BM738" i="2" s="1"/>
  <c r="BN738" i="2" s="1"/>
  <c r="AW739" i="2"/>
  <c r="AW740" i="2"/>
  <c r="BM740" i="2" s="1"/>
  <c r="BN740" i="2" s="1"/>
  <c r="AW741" i="2"/>
  <c r="BM741" i="2" s="1"/>
  <c r="BN741" i="2" s="1"/>
  <c r="AW742" i="2"/>
  <c r="BM742" i="2" s="1"/>
  <c r="BN742" i="2" s="1"/>
  <c r="AW743" i="2"/>
  <c r="AW744" i="2"/>
  <c r="BM744" i="2" s="1"/>
  <c r="BN744" i="2" s="1"/>
  <c r="AW745" i="2"/>
  <c r="BM745" i="2" s="1"/>
  <c r="BN745" i="2" s="1"/>
  <c r="AW746" i="2"/>
  <c r="BM746" i="2" s="1"/>
  <c r="BN746" i="2" s="1"/>
  <c r="AW747" i="2"/>
  <c r="AW748" i="2"/>
  <c r="BM748" i="2" s="1"/>
  <c r="BN748" i="2" s="1"/>
  <c r="AW749" i="2"/>
  <c r="BM749" i="2" s="1"/>
  <c r="BN749" i="2" s="1"/>
  <c r="AW750" i="2"/>
  <c r="BM750" i="2" s="1"/>
  <c r="BN750" i="2" s="1"/>
  <c r="AW751" i="2"/>
  <c r="AW752" i="2"/>
  <c r="BM752" i="2" s="1"/>
  <c r="BN752" i="2" s="1"/>
  <c r="AW753" i="2"/>
  <c r="BM753" i="2" s="1"/>
  <c r="BN753" i="2" s="1"/>
  <c r="AW754" i="2"/>
  <c r="BM754" i="2" s="1"/>
  <c r="BN754" i="2" s="1"/>
  <c r="AW755" i="2"/>
  <c r="AW756" i="2"/>
  <c r="AW757" i="2"/>
  <c r="BM757" i="2" s="1"/>
  <c r="BN757" i="2" s="1"/>
  <c r="AW758" i="2"/>
  <c r="BM758" i="2" s="1"/>
  <c r="BN758" i="2" s="1"/>
  <c r="AW759" i="2"/>
  <c r="AW760" i="2"/>
  <c r="BM760" i="2" s="1"/>
  <c r="BN760" i="2" s="1"/>
  <c r="AW761" i="2"/>
  <c r="BM761" i="2" s="1"/>
  <c r="BN761" i="2" s="1"/>
  <c r="AW762" i="2"/>
  <c r="BM762" i="2" s="1"/>
  <c r="BN762" i="2" s="1"/>
  <c r="AW763" i="2"/>
  <c r="AW764" i="2"/>
  <c r="AW765" i="2"/>
  <c r="BM765" i="2" s="1"/>
  <c r="BN765" i="2" s="1"/>
  <c r="AW766" i="2"/>
  <c r="BM766" i="2" s="1"/>
  <c r="BN766" i="2" s="1"/>
  <c r="AW767" i="2"/>
  <c r="AW768" i="2"/>
  <c r="BM768" i="2" s="1"/>
  <c r="BN768" i="2" s="1"/>
  <c r="AW769" i="2"/>
  <c r="BM769" i="2" s="1"/>
  <c r="BN769" i="2" s="1"/>
  <c r="AW770" i="2"/>
  <c r="BM770" i="2" s="1"/>
  <c r="BN770" i="2" s="1"/>
  <c r="AW771" i="2"/>
  <c r="AW772" i="2"/>
  <c r="BM772" i="2" s="1"/>
  <c r="BN772" i="2" s="1"/>
  <c r="AW773" i="2"/>
  <c r="BM773" i="2" s="1"/>
  <c r="BN773" i="2" s="1"/>
  <c r="AW774" i="2"/>
  <c r="BM774" i="2" s="1"/>
  <c r="BN774" i="2" s="1"/>
  <c r="AW775" i="2"/>
  <c r="AW776" i="2"/>
  <c r="BM776" i="2" s="1"/>
  <c r="BN776" i="2" s="1"/>
  <c r="AW777" i="2"/>
  <c r="BM777" i="2" s="1"/>
  <c r="BN777" i="2" s="1"/>
  <c r="AW778" i="2"/>
  <c r="BM778" i="2" s="1"/>
  <c r="BN778" i="2" s="1"/>
  <c r="AW779" i="2"/>
  <c r="AW780" i="2"/>
  <c r="BM780" i="2" s="1"/>
  <c r="BN780" i="2" s="1"/>
  <c r="AW781" i="2"/>
  <c r="BM781" i="2" s="1"/>
  <c r="BN781" i="2" s="1"/>
  <c r="AW782" i="2"/>
  <c r="BM782" i="2" s="1"/>
  <c r="BN782" i="2" s="1"/>
  <c r="AW783" i="2"/>
  <c r="AW784" i="2"/>
  <c r="BM784" i="2" s="1"/>
  <c r="BN784" i="2" s="1"/>
  <c r="AW785" i="2"/>
  <c r="BM785" i="2" s="1"/>
  <c r="BN785" i="2" s="1"/>
  <c r="AW786" i="2"/>
  <c r="BM786" i="2" s="1"/>
  <c r="BN786" i="2" s="1"/>
  <c r="AW787" i="2"/>
  <c r="AW788" i="2"/>
  <c r="BM788" i="2" s="1"/>
  <c r="BN788" i="2" s="1"/>
  <c r="AW789" i="2"/>
  <c r="BM789" i="2" s="1"/>
  <c r="BN789" i="2" s="1"/>
  <c r="AW790" i="2"/>
  <c r="BM790" i="2" s="1"/>
  <c r="BN790" i="2" s="1"/>
  <c r="AW791" i="2"/>
  <c r="AW792" i="2"/>
  <c r="AW793" i="2"/>
  <c r="BM793" i="2" s="1"/>
  <c r="BN793" i="2" s="1"/>
  <c r="AW794" i="2"/>
  <c r="BM794" i="2" s="1"/>
  <c r="BN794" i="2" s="1"/>
  <c r="AW795" i="2"/>
  <c r="AW796" i="2"/>
  <c r="BM796" i="2" s="1"/>
  <c r="BN796" i="2" s="1"/>
  <c r="AW797" i="2"/>
  <c r="BM797" i="2" s="1"/>
  <c r="BN797" i="2" s="1"/>
  <c r="AW798" i="2"/>
  <c r="BM798" i="2" s="1"/>
  <c r="BN798" i="2" s="1"/>
  <c r="AW799" i="2"/>
  <c r="AW800" i="2"/>
  <c r="BM800" i="2" s="1"/>
  <c r="BN800" i="2" s="1"/>
  <c r="AW801" i="2"/>
  <c r="BM801" i="2" s="1"/>
  <c r="BN801" i="2" s="1"/>
  <c r="AW802" i="2"/>
  <c r="BM802" i="2" s="1"/>
  <c r="BN802" i="2" s="1"/>
  <c r="AW803" i="2"/>
  <c r="AW804" i="2"/>
  <c r="BM804" i="2" s="1"/>
  <c r="BN804" i="2" s="1"/>
  <c r="AW805" i="2"/>
  <c r="BM805" i="2" s="1"/>
  <c r="BN805" i="2" s="1"/>
  <c r="AW806" i="2"/>
  <c r="BM806" i="2" s="1"/>
  <c r="BN806" i="2" s="1"/>
  <c r="AW807" i="2"/>
  <c r="AW808" i="2"/>
  <c r="BM808" i="2" s="1"/>
  <c r="BN808" i="2" s="1"/>
  <c r="AW809" i="2"/>
  <c r="BM809" i="2" s="1"/>
  <c r="BN809" i="2" s="1"/>
  <c r="AW810" i="2"/>
  <c r="BM810" i="2" s="1"/>
  <c r="BN810" i="2" s="1"/>
  <c r="AW811" i="2"/>
  <c r="AW812" i="2"/>
  <c r="BM812" i="2" s="1"/>
  <c r="BN812" i="2" s="1"/>
  <c r="AW813" i="2"/>
  <c r="BM813" i="2" s="1"/>
  <c r="BN813" i="2" s="1"/>
  <c r="AW814" i="2"/>
  <c r="BM814" i="2" s="1"/>
  <c r="BN814" i="2" s="1"/>
  <c r="AW815" i="2"/>
  <c r="AW816" i="2"/>
  <c r="BM816" i="2" s="1"/>
  <c r="BN816" i="2" s="1"/>
  <c r="AW817" i="2"/>
  <c r="BM817" i="2" s="1"/>
  <c r="BN817" i="2" s="1"/>
  <c r="AW818" i="2"/>
  <c r="BM818" i="2" s="1"/>
  <c r="BN818" i="2" s="1"/>
  <c r="AW819" i="2"/>
  <c r="AW820" i="2"/>
  <c r="AW821" i="2"/>
  <c r="BM821" i="2" s="1"/>
  <c r="BN821" i="2" s="1"/>
  <c r="AW822" i="2"/>
  <c r="BM822" i="2" s="1"/>
  <c r="BN822" i="2" s="1"/>
  <c r="AW823" i="2"/>
  <c r="AW824" i="2"/>
  <c r="BM824" i="2" s="1"/>
  <c r="BN824" i="2" s="1"/>
  <c r="AW825" i="2"/>
  <c r="BM825" i="2" s="1"/>
  <c r="BN825" i="2" s="1"/>
  <c r="AW826" i="2"/>
  <c r="BM826" i="2" s="1"/>
  <c r="BN826" i="2" s="1"/>
  <c r="AW827" i="2"/>
  <c r="AW828" i="2"/>
  <c r="AW829" i="2"/>
  <c r="BM829" i="2" s="1"/>
  <c r="BN829" i="2" s="1"/>
  <c r="AW830" i="2"/>
  <c r="BM830" i="2" s="1"/>
  <c r="BN830" i="2" s="1"/>
  <c r="AW831" i="2"/>
  <c r="AW832" i="2"/>
  <c r="BM832" i="2" s="1"/>
  <c r="BN832" i="2" s="1"/>
  <c r="AW833" i="2"/>
  <c r="BM833" i="2" s="1"/>
  <c r="BN833" i="2" s="1"/>
  <c r="AW834" i="2"/>
  <c r="BM834" i="2" s="1"/>
  <c r="BN834" i="2" s="1"/>
  <c r="AW835" i="2"/>
  <c r="AW836" i="2"/>
  <c r="BM836" i="2" s="1"/>
  <c r="BN836" i="2" s="1"/>
  <c r="AW837" i="2"/>
  <c r="BM837" i="2" s="1"/>
  <c r="BN837" i="2" s="1"/>
  <c r="AW838" i="2"/>
  <c r="BM838" i="2" s="1"/>
  <c r="BN838" i="2" s="1"/>
  <c r="AW839" i="2"/>
  <c r="AW840" i="2"/>
  <c r="BM840" i="2" s="1"/>
  <c r="BN840" i="2" s="1"/>
  <c r="AW841" i="2"/>
  <c r="BM841" i="2" s="1"/>
  <c r="BN841" i="2" s="1"/>
  <c r="AW842" i="2"/>
  <c r="BM842" i="2" s="1"/>
  <c r="BN842" i="2" s="1"/>
  <c r="AW843" i="2"/>
  <c r="AW844" i="2"/>
  <c r="BM844" i="2" s="1"/>
  <c r="BN844" i="2" s="1"/>
  <c r="AW845" i="2"/>
  <c r="BM845" i="2" s="1"/>
  <c r="BN845" i="2" s="1"/>
  <c r="AW846" i="2"/>
  <c r="BM846" i="2" s="1"/>
  <c r="BN846" i="2" s="1"/>
  <c r="AW847" i="2"/>
  <c r="AW848" i="2"/>
  <c r="BM848" i="2" s="1"/>
  <c r="BN848" i="2" s="1"/>
  <c r="AW849" i="2"/>
  <c r="BM849" i="2" s="1"/>
  <c r="BN849" i="2" s="1"/>
  <c r="AW850" i="2"/>
  <c r="BM850" i="2" s="1"/>
  <c r="BN850" i="2" s="1"/>
  <c r="AW851" i="2"/>
  <c r="AW852" i="2"/>
  <c r="BM852" i="2" s="1"/>
  <c r="BN852" i="2" s="1"/>
  <c r="AW853" i="2"/>
  <c r="BM853" i="2" s="1"/>
  <c r="BN853" i="2" s="1"/>
  <c r="AW854" i="2"/>
  <c r="BM854" i="2" s="1"/>
  <c r="BN854" i="2" s="1"/>
  <c r="AW855" i="2"/>
  <c r="AW856" i="2"/>
  <c r="BM856" i="2" s="1"/>
  <c r="BN856" i="2" s="1"/>
  <c r="AW857" i="2"/>
  <c r="BM857" i="2" s="1"/>
  <c r="BN857" i="2" s="1"/>
  <c r="AW858" i="2"/>
  <c r="BM858" i="2" s="1"/>
  <c r="BN858" i="2" s="1"/>
  <c r="AW859" i="2"/>
  <c r="AW860" i="2"/>
  <c r="BM860" i="2" s="1"/>
  <c r="BN860" i="2" s="1"/>
  <c r="AW861" i="2"/>
  <c r="BM861" i="2" s="1"/>
  <c r="BN861" i="2" s="1"/>
  <c r="AW862" i="2"/>
  <c r="BM862" i="2" s="1"/>
  <c r="BN862" i="2" s="1"/>
  <c r="AW863" i="2"/>
  <c r="AW864" i="2"/>
  <c r="BM864" i="2" s="1"/>
  <c r="BN864" i="2" s="1"/>
  <c r="AW865" i="2"/>
  <c r="BM865" i="2" s="1"/>
  <c r="BN865" i="2" s="1"/>
  <c r="AW866" i="2"/>
  <c r="BM866" i="2" s="1"/>
  <c r="BN866" i="2" s="1"/>
  <c r="AW867" i="2"/>
  <c r="AW868" i="2"/>
  <c r="BM868" i="2" s="1"/>
  <c r="BN868" i="2" s="1"/>
  <c r="AW869" i="2"/>
  <c r="BM869" i="2" s="1"/>
  <c r="BN869" i="2" s="1"/>
  <c r="AW870" i="2"/>
  <c r="BM870" i="2" s="1"/>
  <c r="BN870" i="2" s="1"/>
  <c r="AW871" i="2"/>
  <c r="AW872" i="2"/>
  <c r="BM872" i="2" s="1"/>
  <c r="BN872" i="2" s="1"/>
  <c r="AW873" i="2"/>
  <c r="BM873" i="2" s="1"/>
  <c r="BN873" i="2" s="1"/>
  <c r="AW874" i="2"/>
  <c r="BM874" i="2" s="1"/>
  <c r="BN874" i="2" s="1"/>
  <c r="AW875" i="2"/>
  <c r="AW876" i="2"/>
  <c r="BM876" i="2" s="1"/>
  <c r="BN876" i="2" s="1"/>
  <c r="AW877" i="2"/>
  <c r="BM877" i="2" s="1"/>
  <c r="BN877" i="2" s="1"/>
  <c r="AW878" i="2"/>
  <c r="BM878" i="2" s="1"/>
  <c r="BN878" i="2" s="1"/>
  <c r="AW879" i="2"/>
  <c r="AW880" i="2"/>
  <c r="BM880" i="2" s="1"/>
  <c r="BN880" i="2" s="1"/>
  <c r="AW881" i="2"/>
  <c r="BM881" i="2" s="1"/>
  <c r="BN881" i="2" s="1"/>
  <c r="AW882" i="2"/>
  <c r="BM882" i="2" s="1"/>
  <c r="BN882" i="2" s="1"/>
  <c r="AW883" i="2"/>
  <c r="AW884" i="2"/>
  <c r="BM884" i="2" s="1"/>
  <c r="BN884" i="2" s="1"/>
  <c r="AW885" i="2"/>
  <c r="BM885" i="2" s="1"/>
  <c r="BN885" i="2" s="1"/>
  <c r="AW886" i="2"/>
  <c r="BM886" i="2" s="1"/>
  <c r="BN886" i="2" s="1"/>
  <c r="AW887" i="2"/>
  <c r="AW888" i="2"/>
  <c r="BM888" i="2" s="1"/>
  <c r="BN888" i="2" s="1"/>
  <c r="AW889" i="2"/>
  <c r="BM889" i="2" s="1"/>
  <c r="BN889" i="2" s="1"/>
  <c r="AW890" i="2"/>
  <c r="BM890" i="2" s="1"/>
  <c r="BN890" i="2" s="1"/>
  <c r="AW891" i="2"/>
  <c r="AW892" i="2"/>
  <c r="BM892" i="2" s="1"/>
  <c r="BN892" i="2" s="1"/>
  <c r="AW893" i="2"/>
  <c r="BM893" i="2" s="1"/>
  <c r="BN893" i="2" s="1"/>
  <c r="AW894" i="2"/>
  <c r="BM894" i="2" s="1"/>
  <c r="BN894" i="2" s="1"/>
  <c r="AW895" i="2"/>
  <c r="AW896" i="2"/>
  <c r="BM896" i="2" s="1"/>
  <c r="BN896" i="2" s="1"/>
  <c r="AW897" i="2"/>
  <c r="BM897" i="2" s="1"/>
  <c r="BN897" i="2" s="1"/>
  <c r="AW898" i="2"/>
  <c r="BM898" i="2" s="1"/>
  <c r="BN898" i="2" s="1"/>
  <c r="AW899" i="2"/>
  <c r="AW900" i="2"/>
  <c r="BM900" i="2" s="1"/>
  <c r="BN900" i="2" s="1"/>
  <c r="AW901" i="2"/>
  <c r="BM901" i="2" s="1"/>
  <c r="BN901" i="2" s="1"/>
  <c r="AW902" i="2"/>
  <c r="BM902" i="2" s="1"/>
  <c r="BN902" i="2" s="1"/>
  <c r="AW903" i="2"/>
  <c r="AW904" i="2"/>
  <c r="BM904" i="2" s="1"/>
  <c r="BN904" i="2" s="1"/>
  <c r="AW905" i="2"/>
  <c r="BM905" i="2" s="1"/>
  <c r="BN905" i="2" s="1"/>
  <c r="AW906" i="2"/>
  <c r="BM906" i="2" s="1"/>
  <c r="BN906" i="2" s="1"/>
  <c r="AW907" i="2"/>
  <c r="AW908" i="2"/>
  <c r="BM908" i="2" s="1"/>
  <c r="BN908" i="2" s="1"/>
  <c r="AW909" i="2"/>
  <c r="BM909" i="2" s="1"/>
  <c r="BN909" i="2" s="1"/>
  <c r="AW910" i="2"/>
  <c r="BM910" i="2" s="1"/>
  <c r="BN910" i="2" s="1"/>
  <c r="AW911" i="2"/>
  <c r="AW912" i="2"/>
  <c r="BM912" i="2" s="1"/>
  <c r="BN912" i="2" s="1"/>
  <c r="AW913" i="2"/>
  <c r="BM913" i="2" s="1"/>
  <c r="BN913" i="2" s="1"/>
  <c r="AW914" i="2"/>
  <c r="BM914" i="2" s="1"/>
  <c r="BN914" i="2" s="1"/>
  <c r="AW915" i="2"/>
  <c r="AW916" i="2"/>
  <c r="BM916" i="2" s="1"/>
  <c r="BN916" i="2" s="1"/>
  <c r="AW917" i="2"/>
  <c r="BM917" i="2" s="1"/>
  <c r="BN917" i="2" s="1"/>
  <c r="AW918" i="2"/>
  <c r="BM918" i="2" s="1"/>
  <c r="BN918" i="2" s="1"/>
  <c r="AW919" i="2"/>
  <c r="AW920" i="2"/>
  <c r="BM920" i="2" s="1"/>
  <c r="BN920" i="2" s="1"/>
  <c r="AW921" i="2"/>
  <c r="BM921" i="2" s="1"/>
  <c r="BN921" i="2" s="1"/>
  <c r="AW922" i="2"/>
  <c r="BM922" i="2" s="1"/>
  <c r="BN922" i="2" s="1"/>
  <c r="AW923" i="2"/>
  <c r="AW924" i="2"/>
  <c r="BM924" i="2" s="1"/>
  <c r="BN924" i="2" s="1"/>
  <c r="AW925" i="2"/>
  <c r="BM925" i="2" s="1"/>
  <c r="BN925" i="2" s="1"/>
  <c r="AW926" i="2"/>
  <c r="BM926" i="2" s="1"/>
  <c r="BN926" i="2" s="1"/>
  <c r="AW927" i="2"/>
  <c r="AW928" i="2"/>
  <c r="BM928" i="2" s="1"/>
  <c r="BN928" i="2" s="1"/>
  <c r="AW929" i="2"/>
  <c r="BM929" i="2" s="1"/>
  <c r="BN929" i="2" s="1"/>
  <c r="AW930" i="2"/>
  <c r="BM930" i="2" s="1"/>
  <c r="BN930" i="2" s="1"/>
  <c r="AW931" i="2"/>
  <c r="AW932" i="2"/>
  <c r="BM932" i="2" s="1"/>
  <c r="BN932" i="2" s="1"/>
  <c r="AW933" i="2"/>
  <c r="BM933" i="2" s="1"/>
  <c r="BN933" i="2" s="1"/>
  <c r="AW934" i="2"/>
  <c r="BM934" i="2" s="1"/>
  <c r="BN934" i="2" s="1"/>
  <c r="AW935" i="2"/>
  <c r="AW936" i="2"/>
  <c r="BM936" i="2" s="1"/>
  <c r="BN936" i="2" s="1"/>
  <c r="AW937" i="2"/>
  <c r="BM937" i="2" s="1"/>
  <c r="BN937" i="2" s="1"/>
  <c r="AW938" i="2"/>
  <c r="BM938" i="2" s="1"/>
  <c r="BN938" i="2" s="1"/>
  <c r="AW939" i="2"/>
  <c r="AW940" i="2"/>
  <c r="BM940" i="2" s="1"/>
  <c r="BN940" i="2" s="1"/>
  <c r="AW941" i="2"/>
  <c r="BM941" i="2" s="1"/>
  <c r="BN941" i="2" s="1"/>
  <c r="AW942" i="2"/>
  <c r="BM942" i="2" s="1"/>
  <c r="BN942" i="2" s="1"/>
  <c r="AW943" i="2"/>
  <c r="AW944" i="2"/>
  <c r="BM944" i="2" s="1"/>
  <c r="BN944" i="2" s="1"/>
  <c r="AW945" i="2"/>
  <c r="BM945" i="2" s="1"/>
  <c r="BN945" i="2" s="1"/>
  <c r="AW946" i="2"/>
  <c r="BM946" i="2" s="1"/>
  <c r="BN946" i="2" s="1"/>
  <c r="AW947" i="2"/>
  <c r="AW948" i="2"/>
  <c r="BM948" i="2" s="1"/>
  <c r="BN948" i="2" s="1"/>
  <c r="AW949" i="2"/>
  <c r="BM949" i="2" s="1"/>
  <c r="BN949" i="2" s="1"/>
  <c r="AW950" i="2"/>
  <c r="BM950" i="2" s="1"/>
  <c r="BN950" i="2" s="1"/>
  <c r="AW951" i="2"/>
  <c r="AW952" i="2"/>
  <c r="BM952" i="2" s="1"/>
  <c r="BN952" i="2" s="1"/>
  <c r="AW953" i="2"/>
  <c r="BM953" i="2" s="1"/>
  <c r="BN953" i="2" s="1"/>
  <c r="AW954" i="2"/>
  <c r="BM954" i="2" s="1"/>
  <c r="BN954" i="2" s="1"/>
  <c r="AW955" i="2"/>
  <c r="AW956" i="2"/>
  <c r="BM956" i="2" s="1"/>
  <c r="BN956" i="2" s="1"/>
  <c r="AW957" i="2"/>
  <c r="BM957" i="2" s="1"/>
  <c r="BN957" i="2" s="1"/>
  <c r="AW958" i="2"/>
  <c r="BM958" i="2" s="1"/>
  <c r="BN958" i="2" s="1"/>
  <c r="AW959" i="2"/>
  <c r="AW960" i="2"/>
  <c r="BM960" i="2" s="1"/>
  <c r="BN960" i="2" s="1"/>
  <c r="AW961" i="2"/>
  <c r="BM961" i="2" s="1"/>
  <c r="BN961" i="2" s="1"/>
  <c r="AW962" i="2"/>
  <c r="BM962" i="2" s="1"/>
  <c r="BN962" i="2" s="1"/>
  <c r="AW963" i="2"/>
  <c r="AW964" i="2"/>
  <c r="BM964" i="2" s="1"/>
  <c r="BN964" i="2" s="1"/>
  <c r="AW965" i="2"/>
  <c r="BM965" i="2" s="1"/>
  <c r="BN965" i="2" s="1"/>
  <c r="AW966" i="2"/>
  <c r="BM966" i="2" s="1"/>
  <c r="BN966" i="2" s="1"/>
  <c r="AW967" i="2"/>
  <c r="AW968" i="2"/>
  <c r="BM968" i="2" s="1"/>
  <c r="BN968" i="2" s="1"/>
  <c r="AW969" i="2"/>
  <c r="BM969" i="2" s="1"/>
  <c r="BN969" i="2" s="1"/>
  <c r="AW970" i="2"/>
  <c r="BM970" i="2" s="1"/>
  <c r="BN970" i="2" s="1"/>
  <c r="AW971" i="2"/>
  <c r="AW972" i="2"/>
  <c r="BM972" i="2" s="1"/>
  <c r="BN972" i="2" s="1"/>
  <c r="AW973" i="2"/>
  <c r="BM973" i="2" s="1"/>
  <c r="BN973" i="2" s="1"/>
  <c r="AW974" i="2"/>
  <c r="BM974" i="2" s="1"/>
  <c r="BN974" i="2" s="1"/>
  <c r="AW975" i="2"/>
  <c r="AW976" i="2"/>
  <c r="BM976" i="2" s="1"/>
  <c r="BN976" i="2" s="1"/>
  <c r="AW977" i="2"/>
  <c r="BM977" i="2" s="1"/>
  <c r="BN977" i="2" s="1"/>
  <c r="AW978" i="2"/>
  <c r="BM978" i="2" s="1"/>
  <c r="BN978" i="2" s="1"/>
  <c r="AW979" i="2"/>
  <c r="AW980" i="2"/>
  <c r="BM980" i="2" s="1"/>
  <c r="BN980" i="2" s="1"/>
  <c r="AW981" i="2"/>
  <c r="BM981" i="2" s="1"/>
  <c r="BN981" i="2" s="1"/>
  <c r="AW982" i="2"/>
  <c r="BM982" i="2" s="1"/>
  <c r="BN982" i="2" s="1"/>
  <c r="AW983" i="2"/>
  <c r="AW984" i="2"/>
  <c r="BM984" i="2" s="1"/>
  <c r="BN984" i="2" s="1"/>
  <c r="AW985" i="2"/>
  <c r="BM985" i="2" s="1"/>
  <c r="BN985" i="2" s="1"/>
  <c r="AW986" i="2"/>
  <c r="BM986" i="2" s="1"/>
  <c r="BN986" i="2" s="1"/>
  <c r="AW987" i="2"/>
  <c r="AW988" i="2"/>
  <c r="BM988" i="2" s="1"/>
  <c r="BN988" i="2" s="1"/>
  <c r="AW989" i="2"/>
  <c r="BM989" i="2" s="1"/>
  <c r="BN989" i="2" s="1"/>
  <c r="AW990" i="2"/>
  <c r="BM990" i="2" s="1"/>
  <c r="BN990" i="2" s="1"/>
  <c r="AW991" i="2"/>
  <c r="AW992" i="2"/>
  <c r="BM992" i="2" s="1"/>
  <c r="BN992" i="2" s="1"/>
  <c r="AW993" i="2"/>
  <c r="BM993" i="2" s="1"/>
  <c r="BN993" i="2" s="1"/>
  <c r="AW994" i="2"/>
  <c r="BM994" i="2" s="1"/>
  <c r="BN994" i="2" s="1"/>
  <c r="AW995" i="2"/>
  <c r="AW996" i="2"/>
  <c r="BM996" i="2" s="1"/>
  <c r="BN996" i="2" s="1"/>
  <c r="AW997" i="2"/>
  <c r="BM997" i="2" s="1"/>
  <c r="BN997" i="2" s="1"/>
  <c r="AW998" i="2"/>
  <c r="BM998" i="2" s="1"/>
  <c r="BN998" i="2" s="1"/>
  <c r="AW999" i="2"/>
  <c r="AW1000" i="2"/>
  <c r="BM1000" i="2" s="1"/>
  <c r="BN1000" i="2" s="1"/>
  <c r="AW1001" i="2"/>
  <c r="BM1001" i="2" s="1"/>
  <c r="BN1001" i="2" s="1"/>
  <c r="AW1002" i="2"/>
  <c r="BM1002" i="2" s="1"/>
  <c r="BN1002" i="2" s="1"/>
  <c r="AW1003" i="2"/>
  <c r="AW1004" i="2"/>
  <c r="BM1004" i="2" s="1"/>
  <c r="BN1004" i="2" s="1"/>
  <c r="AW1005" i="2"/>
  <c r="BM1005" i="2" s="1"/>
  <c r="BN1005" i="2" s="1"/>
  <c r="AW1006" i="2"/>
  <c r="BM1006" i="2" s="1"/>
  <c r="BN1006" i="2" s="1"/>
  <c r="AW1007" i="2"/>
  <c r="AW1008" i="2"/>
  <c r="BM1008" i="2" s="1"/>
  <c r="BN1008" i="2" s="1"/>
  <c r="AW1009" i="2"/>
  <c r="BM1009" i="2" s="1"/>
  <c r="BN1009" i="2" s="1"/>
  <c r="AW1010" i="2"/>
  <c r="BM1010" i="2" s="1"/>
  <c r="BN1010" i="2" s="1"/>
  <c r="AW1011" i="2"/>
  <c r="AW1012" i="2"/>
  <c r="BM1012" i="2" s="1"/>
  <c r="BN1012" i="2" s="1"/>
  <c r="AW1013" i="2"/>
  <c r="BM1013" i="2" s="1"/>
  <c r="BN1013" i="2" s="1"/>
  <c r="AW1014" i="2"/>
  <c r="BM1014" i="2" s="1"/>
  <c r="BN1014" i="2" s="1"/>
  <c r="AW1015" i="2"/>
  <c r="AW1016" i="2"/>
  <c r="BM1016" i="2" s="1"/>
  <c r="BN1016" i="2" s="1"/>
  <c r="AW1017" i="2"/>
  <c r="BM1017" i="2" s="1"/>
  <c r="BN1017" i="2" s="1"/>
  <c r="AW1018" i="2"/>
  <c r="BM1018" i="2" s="1"/>
  <c r="BN1018" i="2" s="1"/>
  <c r="AW1019" i="2"/>
  <c r="AW1020" i="2"/>
  <c r="BM1020" i="2" s="1"/>
  <c r="BN1020" i="2" s="1"/>
  <c r="AW1021" i="2"/>
  <c r="BM1021" i="2" s="1"/>
  <c r="BN1021" i="2" s="1"/>
  <c r="AW1022" i="2"/>
  <c r="BM1022" i="2" s="1"/>
  <c r="BN1022" i="2" s="1"/>
  <c r="AW1023" i="2"/>
  <c r="AW1024" i="2"/>
  <c r="BM1024" i="2" s="1"/>
  <c r="BN1024" i="2" s="1"/>
  <c r="AW1025" i="2"/>
  <c r="BM1025" i="2" s="1"/>
  <c r="BN1025" i="2" s="1"/>
  <c r="AW1026" i="2"/>
  <c r="BM1026" i="2" s="1"/>
  <c r="BN1026" i="2" s="1"/>
  <c r="AW1027" i="2"/>
  <c r="AW1028" i="2"/>
  <c r="BM1028" i="2" s="1"/>
  <c r="BN1028" i="2" s="1"/>
  <c r="AW1029" i="2"/>
  <c r="BM1029" i="2" s="1"/>
  <c r="BN1029" i="2" s="1"/>
  <c r="AW1030" i="2"/>
  <c r="BM1030" i="2" s="1"/>
  <c r="BN1030" i="2" s="1"/>
  <c r="AW1031" i="2"/>
  <c r="AW1032" i="2"/>
  <c r="BM1032" i="2" s="1"/>
  <c r="BN1032" i="2" s="1"/>
  <c r="AW1033" i="2"/>
  <c r="BM1033" i="2" s="1"/>
  <c r="BN1033" i="2" s="1"/>
  <c r="AW1034" i="2"/>
  <c r="BM1034" i="2" s="1"/>
  <c r="BN1034" i="2" s="1"/>
  <c r="AW1035" i="2"/>
  <c r="AW1036" i="2"/>
  <c r="BM1036" i="2" s="1"/>
  <c r="BN1036" i="2" s="1"/>
  <c r="AW1037" i="2"/>
  <c r="BM1037" i="2" s="1"/>
  <c r="BN1037" i="2" s="1"/>
  <c r="AW1038" i="2"/>
  <c r="BM1038" i="2" s="1"/>
  <c r="BN1038" i="2" s="1"/>
  <c r="AW1039" i="2"/>
  <c r="AW1040" i="2"/>
  <c r="BM1040" i="2" s="1"/>
  <c r="BN1040" i="2" s="1"/>
  <c r="AW1041" i="2"/>
  <c r="BM1041" i="2" s="1"/>
  <c r="BN1041" i="2" s="1"/>
  <c r="AW1042" i="2"/>
  <c r="BM1042" i="2" s="1"/>
  <c r="BN1042" i="2" s="1"/>
  <c r="AW1043" i="2"/>
  <c r="AW1044" i="2"/>
  <c r="BM1044" i="2" s="1"/>
  <c r="BN1044" i="2" s="1"/>
  <c r="AW1045" i="2"/>
  <c r="BM1045" i="2" s="1"/>
  <c r="BN1045" i="2" s="1"/>
  <c r="AW1046" i="2"/>
  <c r="BM1046" i="2" s="1"/>
  <c r="BN1046" i="2" s="1"/>
  <c r="AW1047" i="2"/>
  <c r="AW1048" i="2"/>
  <c r="BM1048" i="2" s="1"/>
  <c r="BN1048" i="2" s="1"/>
  <c r="AW1049" i="2"/>
  <c r="BM1049" i="2" s="1"/>
  <c r="BN1049" i="2" s="1"/>
  <c r="AW1050" i="2"/>
  <c r="BM1050" i="2" s="1"/>
  <c r="BN1050" i="2" s="1"/>
  <c r="AW1051" i="2"/>
  <c r="AW1052" i="2"/>
  <c r="BM1052" i="2" s="1"/>
  <c r="BN1052" i="2" s="1"/>
  <c r="AW1053" i="2"/>
  <c r="BM1053" i="2" s="1"/>
  <c r="BN1053" i="2" s="1"/>
  <c r="AW1054" i="2"/>
  <c r="BM1054" i="2" s="1"/>
  <c r="BN1054" i="2" s="1"/>
  <c r="AW1055" i="2"/>
  <c r="AW1056" i="2"/>
  <c r="BM1056" i="2" s="1"/>
  <c r="BN1056" i="2" s="1"/>
  <c r="AW1057" i="2"/>
  <c r="BM1057" i="2" s="1"/>
  <c r="BN1057" i="2" s="1"/>
  <c r="AW1058" i="2"/>
  <c r="BM1058" i="2" s="1"/>
  <c r="BN1058" i="2" s="1"/>
  <c r="AW1059" i="2"/>
  <c r="AW1060" i="2"/>
  <c r="BM1060" i="2" s="1"/>
  <c r="BN1060" i="2" s="1"/>
  <c r="AW1061" i="2"/>
  <c r="BM1061" i="2" s="1"/>
  <c r="BN1061" i="2" s="1"/>
  <c r="AW1062" i="2"/>
  <c r="BM1062" i="2" s="1"/>
  <c r="BN1062" i="2" s="1"/>
  <c r="AW1063" i="2"/>
  <c r="AW1064" i="2"/>
  <c r="BM1064" i="2" s="1"/>
  <c r="BN1064" i="2" s="1"/>
  <c r="AW1065" i="2"/>
  <c r="BM1065" i="2" s="1"/>
  <c r="BN1065" i="2" s="1"/>
  <c r="AW1066" i="2"/>
  <c r="BM1066" i="2" s="1"/>
  <c r="BN1066" i="2" s="1"/>
  <c r="AW1067" i="2"/>
  <c r="AW1068" i="2"/>
  <c r="BM1068" i="2" s="1"/>
  <c r="BN1068" i="2" s="1"/>
  <c r="AW1069" i="2"/>
  <c r="BM1069" i="2" s="1"/>
  <c r="BN1069" i="2" s="1"/>
  <c r="AW1070" i="2"/>
  <c r="BM1070" i="2" s="1"/>
  <c r="BN1070" i="2" s="1"/>
  <c r="AW1071" i="2"/>
  <c r="AW1072" i="2"/>
  <c r="BM1072" i="2" s="1"/>
  <c r="BN1072" i="2" s="1"/>
  <c r="AW1073" i="2"/>
  <c r="BM1073" i="2" s="1"/>
  <c r="BN1073" i="2" s="1"/>
  <c r="AW1074" i="2"/>
  <c r="BM1074" i="2" s="1"/>
  <c r="BN1074" i="2" s="1"/>
  <c r="AW1075" i="2"/>
  <c r="AW1076" i="2"/>
  <c r="BM1076" i="2" s="1"/>
  <c r="BN1076" i="2" s="1"/>
  <c r="AW1077" i="2"/>
  <c r="BM1077" i="2" s="1"/>
  <c r="BN1077" i="2" s="1"/>
  <c r="AW1078" i="2"/>
  <c r="BM1078" i="2" s="1"/>
  <c r="BN1078" i="2" s="1"/>
  <c r="AW1079" i="2"/>
  <c r="AW1080" i="2"/>
  <c r="BM1080" i="2" s="1"/>
  <c r="BN1080" i="2" s="1"/>
  <c r="AW1081" i="2"/>
  <c r="BM1081" i="2" s="1"/>
  <c r="BN1081" i="2" s="1"/>
  <c r="AW1082" i="2"/>
  <c r="BM1082" i="2" s="1"/>
  <c r="BN1082" i="2" s="1"/>
  <c r="AW1083" i="2"/>
  <c r="AW1084" i="2"/>
  <c r="BM1084" i="2" s="1"/>
  <c r="BN1084" i="2" s="1"/>
  <c r="AW1085" i="2"/>
  <c r="BM1085" i="2" s="1"/>
  <c r="BN1085" i="2" s="1"/>
  <c r="AW1086" i="2"/>
  <c r="BM1086" i="2" s="1"/>
  <c r="BN1086" i="2" s="1"/>
  <c r="AW1087" i="2"/>
  <c r="AW1088" i="2"/>
  <c r="BM1088" i="2" s="1"/>
  <c r="BN1088" i="2" s="1"/>
  <c r="AW1089" i="2"/>
  <c r="BM1089" i="2" s="1"/>
  <c r="BN1089" i="2" s="1"/>
  <c r="AW1090" i="2"/>
  <c r="BM1090" i="2" s="1"/>
  <c r="BN1090" i="2" s="1"/>
  <c r="AW1091" i="2"/>
  <c r="AW1092" i="2"/>
  <c r="BM1092" i="2" s="1"/>
  <c r="BN1092" i="2" s="1"/>
  <c r="AW1093" i="2"/>
  <c r="BM1093" i="2" s="1"/>
  <c r="BN1093" i="2" s="1"/>
  <c r="AW1094" i="2"/>
  <c r="BM1094" i="2" s="1"/>
  <c r="BN1094" i="2" s="1"/>
  <c r="AW1095" i="2"/>
  <c r="AW1096" i="2"/>
  <c r="BM1096" i="2" s="1"/>
  <c r="BN1096" i="2" s="1"/>
  <c r="AW1097" i="2"/>
  <c r="BM1097" i="2" s="1"/>
  <c r="BN1097" i="2" s="1"/>
  <c r="AW1098" i="2"/>
  <c r="BM1098" i="2" s="1"/>
  <c r="BN1098" i="2" s="1"/>
  <c r="AW1099" i="2"/>
  <c r="AW1100" i="2"/>
  <c r="BM1100" i="2" s="1"/>
  <c r="BN1100" i="2" s="1"/>
  <c r="AW1101" i="2"/>
  <c r="BM1101" i="2" s="1"/>
  <c r="BN1101" i="2" s="1"/>
  <c r="AW1102" i="2"/>
  <c r="BM1102" i="2" s="1"/>
  <c r="BN1102" i="2" s="1"/>
  <c r="AW1103" i="2"/>
  <c r="AW1104" i="2"/>
  <c r="BM1104" i="2" s="1"/>
  <c r="BN1104" i="2" s="1"/>
  <c r="AW1105" i="2"/>
  <c r="BM1105" i="2" s="1"/>
  <c r="BN1105" i="2" s="1"/>
  <c r="AW1106" i="2"/>
  <c r="BM1106" i="2" s="1"/>
  <c r="BN1106" i="2" s="1"/>
  <c r="AW1107" i="2"/>
  <c r="AW1108" i="2"/>
  <c r="BM1108" i="2" s="1"/>
  <c r="BN1108" i="2" s="1"/>
  <c r="AW1109" i="2"/>
  <c r="BM1109" i="2" s="1"/>
  <c r="BN1109" i="2" s="1"/>
  <c r="AW1110" i="2"/>
  <c r="BM1110" i="2" s="1"/>
  <c r="BN1110" i="2" s="1"/>
  <c r="AW1111" i="2"/>
  <c r="AW1112" i="2"/>
  <c r="BM1112" i="2" s="1"/>
  <c r="BN1112" i="2" s="1"/>
  <c r="AW1113" i="2"/>
  <c r="BM1113" i="2" s="1"/>
  <c r="BN1113" i="2" s="1"/>
  <c r="AW1114" i="2"/>
  <c r="BM1114" i="2" s="1"/>
  <c r="BN1114" i="2" s="1"/>
  <c r="AW1115" i="2"/>
  <c r="AW1116" i="2"/>
  <c r="BM1116" i="2" s="1"/>
  <c r="BN1116" i="2" s="1"/>
  <c r="AW1117" i="2"/>
  <c r="BM1117" i="2" s="1"/>
  <c r="BN1117" i="2" s="1"/>
  <c r="AW1118" i="2"/>
  <c r="BM1118" i="2" s="1"/>
  <c r="BN1118" i="2" s="1"/>
  <c r="AW1119" i="2"/>
  <c r="AW1120" i="2"/>
  <c r="BM1120" i="2" s="1"/>
  <c r="BN1120" i="2" s="1"/>
  <c r="AW1121" i="2"/>
  <c r="BM1121" i="2" s="1"/>
  <c r="BN1121" i="2" s="1"/>
  <c r="AW1122" i="2"/>
  <c r="BM1122" i="2" s="1"/>
  <c r="BN1122" i="2" s="1"/>
  <c r="AW1123" i="2"/>
  <c r="AW1124" i="2"/>
  <c r="BM1124" i="2" s="1"/>
  <c r="BN1124" i="2" s="1"/>
  <c r="AW1125" i="2"/>
  <c r="BM1125" i="2" s="1"/>
  <c r="BN1125" i="2" s="1"/>
  <c r="AW1126" i="2"/>
  <c r="BM1126" i="2" s="1"/>
  <c r="BN1126" i="2" s="1"/>
  <c r="AW1127" i="2"/>
  <c r="AW1128" i="2"/>
  <c r="BM1128" i="2" s="1"/>
  <c r="BN1128" i="2" s="1"/>
  <c r="AW1129" i="2"/>
  <c r="BM1129" i="2" s="1"/>
  <c r="BN1129" i="2" s="1"/>
  <c r="AW1130" i="2"/>
  <c r="BM1130" i="2" s="1"/>
  <c r="BN1130" i="2" s="1"/>
  <c r="AW1131" i="2"/>
  <c r="AW1132" i="2"/>
  <c r="BM1132" i="2" s="1"/>
  <c r="BN1132" i="2" s="1"/>
  <c r="AW1133" i="2"/>
  <c r="BM1133" i="2" s="1"/>
  <c r="BN1133" i="2" s="1"/>
  <c r="AW1134" i="2"/>
  <c r="BM1134" i="2" s="1"/>
  <c r="BN1134" i="2" s="1"/>
  <c r="AW1135" i="2"/>
  <c r="AW1136" i="2"/>
  <c r="BM1136" i="2" s="1"/>
  <c r="BN1136" i="2" s="1"/>
  <c r="AW1137" i="2"/>
  <c r="BM1137" i="2" s="1"/>
  <c r="BN1137" i="2" s="1"/>
  <c r="AW1138" i="2"/>
  <c r="BM1138" i="2" s="1"/>
  <c r="BN1138" i="2" s="1"/>
  <c r="AW1139" i="2"/>
  <c r="AW1140" i="2"/>
  <c r="BM1140" i="2" s="1"/>
  <c r="BN1140" i="2" s="1"/>
  <c r="AW1141" i="2"/>
  <c r="BM1141" i="2" s="1"/>
  <c r="BN1141" i="2" s="1"/>
  <c r="AW1142" i="2"/>
  <c r="BM1142" i="2" s="1"/>
  <c r="BN1142" i="2" s="1"/>
  <c r="AW1143" i="2"/>
  <c r="AW1144" i="2"/>
  <c r="BM1144" i="2" s="1"/>
  <c r="BN1144" i="2" s="1"/>
  <c r="AW1145" i="2"/>
  <c r="BM1145" i="2" s="1"/>
  <c r="BN1145" i="2" s="1"/>
  <c r="AW1146" i="2"/>
  <c r="BM1146" i="2" s="1"/>
  <c r="BN1146" i="2" s="1"/>
  <c r="AW1147" i="2"/>
  <c r="AW1148" i="2"/>
  <c r="BM1148" i="2" s="1"/>
  <c r="BN1148" i="2" s="1"/>
  <c r="AW1149" i="2"/>
  <c r="BM1149" i="2" s="1"/>
  <c r="BN1149" i="2" s="1"/>
  <c r="AW1150" i="2"/>
  <c r="BM1150" i="2" s="1"/>
  <c r="BN1150" i="2" s="1"/>
  <c r="AW1151" i="2"/>
  <c r="AW1152" i="2"/>
  <c r="BM1152" i="2" s="1"/>
  <c r="BN1152" i="2" s="1"/>
  <c r="AW1153" i="2"/>
  <c r="BM1153" i="2" s="1"/>
  <c r="BN1153" i="2" s="1"/>
  <c r="AW1154" i="2"/>
  <c r="BM1154" i="2" s="1"/>
  <c r="BN1154" i="2" s="1"/>
  <c r="AW1155" i="2"/>
  <c r="AW1156" i="2"/>
  <c r="BM1156" i="2" s="1"/>
  <c r="BN1156" i="2" s="1"/>
  <c r="AW1157" i="2"/>
  <c r="BM1157" i="2" s="1"/>
  <c r="BN1157" i="2" s="1"/>
  <c r="AW1158" i="2"/>
  <c r="BM1158" i="2" s="1"/>
  <c r="BN1158" i="2" s="1"/>
  <c r="AW1159" i="2"/>
  <c r="AW1160" i="2"/>
  <c r="BM1160" i="2" s="1"/>
  <c r="BN1160" i="2" s="1"/>
  <c r="AW1161" i="2"/>
  <c r="BM1161" i="2" s="1"/>
  <c r="BN1161" i="2" s="1"/>
  <c r="AW1162" i="2"/>
  <c r="BM1162" i="2" s="1"/>
  <c r="BN1162" i="2" s="1"/>
  <c r="AW1163" i="2"/>
  <c r="AW1164" i="2"/>
  <c r="BM1164" i="2" s="1"/>
  <c r="BN1164" i="2" s="1"/>
  <c r="AW1165" i="2"/>
  <c r="BM1165" i="2" s="1"/>
  <c r="BN1165" i="2" s="1"/>
  <c r="AW1166" i="2"/>
  <c r="BM1166" i="2" s="1"/>
  <c r="BN1166" i="2" s="1"/>
  <c r="AW1167" i="2"/>
  <c r="AW1168" i="2"/>
  <c r="BM1168" i="2" s="1"/>
  <c r="BN1168" i="2" s="1"/>
  <c r="AW1169" i="2"/>
  <c r="BM1169" i="2" s="1"/>
  <c r="BN1169" i="2" s="1"/>
  <c r="AW1170" i="2"/>
  <c r="BM1170" i="2" s="1"/>
  <c r="BN1170" i="2" s="1"/>
  <c r="AW1171" i="2"/>
  <c r="AW1172" i="2"/>
  <c r="BM1172" i="2" s="1"/>
  <c r="BN1172" i="2" s="1"/>
  <c r="AW1173" i="2"/>
  <c r="BM1173" i="2" s="1"/>
  <c r="BN1173" i="2" s="1"/>
  <c r="AW1174" i="2"/>
  <c r="BM1174" i="2" s="1"/>
  <c r="BN1174" i="2" s="1"/>
  <c r="AW1175" i="2"/>
  <c r="AW1176" i="2"/>
  <c r="BM1176" i="2" s="1"/>
  <c r="BN1176" i="2" s="1"/>
  <c r="AW1177" i="2"/>
  <c r="BM1177" i="2" s="1"/>
  <c r="BN1177" i="2" s="1"/>
  <c r="AW1178" i="2"/>
  <c r="BM1178" i="2" s="1"/>
  <c r="BN1178" i="2" s="1"/>
  <c r="AW1179" i="2"/>
  <c r="AW1180" i="2"/>
  <c r="BM1180" i="2" s="1"/>
  <c r="BN1180" i="2" s="1"/>
  <c r="AW1181" i="2"/>
  <c r="BM1181" i="2" s="1"/>
  <c r="BN1181" i="2" s="1"/>
  <c r="AW1182" i="2"/>
  <c r="BM1182" i="2" s="1"/>
  <c r="BN1182" i="2" s="1"/>
  <c r="AW1183" i="2"/>
  <c r="AW1184" i="2"/>
  <c r="BM1184" i="2" s="1"/>
  <c r="BN1184" i="2" s="1"/>
  <c r="AW1185" i="2"/>
  <c r="BM1185" i="2" s="1"/>
  <c r="BN1185" i="2" s="1"/>
  <c r="AW1186" i="2"/>
  <c r="BM1186" i="2" s="1"/>
  <c r="BN1186" i="2" s="1"/>
  <c r="AW1187" i="2"/>
  <c r="AW1188" i="2"/>
  <c r="BM1188" i="2" s="1"/>
  <c r="BN1188" i="2" s="1"/>
  <c r="AW1189" i="2"/>
  <c r="BM1189" i="2" s="1"/>
  <c r="BN1189" i="2" s="1"/>
  <c r="AW1190" i="2"/>
  <c r="BM1190" i="2" s="1"/>
  <c r="BN1190" i="2" s="1"/>
  <c r="AW1191" i="2"/>
  <c r="AW1192" i="2"/>
  <c r="BM1192" i="2" s="1"/>
  <c r="BN1192" i="2" s="1"/>
  <c r="AW1193" i="2"/>
  <c r="BM1193" i="2" s="1"/>
  <c r="BN1193" i="2" s="1"/>
  <c r="AW1194" i="2"/>
  <c r="BM1194" i="2" s="1"/>
  <c r="BN1194" i="2" s="1"/>
  <c r="AW1195" i="2"/>
  <c r="AW1196" i="2"/>
  <c r="BM1196" i="2" s="1"/>
  <c r="BN1196" i="2" s="1"/>
  <c r="AW1197" i="2"/>
  <c r="BM1197" i="2" s="1"/>
  <c r="BN1197" i="2" s="1"/>
  <c r="AW1198" i="2"/>
  <c r="BM1198" i="2" s="1"/>
  <c r="BN1198" i="2" s="1"/>
  <c r="AW1199" i="2"/>
  <c r="AW1200" i="2"/>
  <c r="BM1200" i="2" s="1"/>
  <c r="BN1200" i="2" s="1"/>
  <c r="AW1201" i="2"/>
  <c r="BM1201" i="2" s="1"/>
  <c r="BN1201" i="2" s="1"/>
  <c r="AW1202" i="2"/>
  <c r="BM1202" i="2" s="1"/>
  <c r="BN1202" i="2" s="1"/>
  <c r="AW1203" i="2"/>
  <c r="AW1204" i="2"/>
  <c r="BM1204" i="2" s="1"/>
  <c r="BN1204" i="2" s="1"/>
  <c r="AW1205" i="2"/>
  <c r="BM1205" i="2" s="1"/>
  <c r="BN1205" i="2" s="1"/>
  <c r="AW1206" i="2"/>
  <c r="BM1206" i="2" s="1"/>
  <c r="BN1206" i="2" s="1"/>
  <c r="AW1207" i="2"/>
  <c r="AW1208" i="2"/>
  <c r="BM1208" i="2" s="1"/>
  <c r="BN1208" i="2" s="1"/>
  <c r="AW1209" i="2"/>
  <c r="BM1209" i="2" s="1"/>
  <c r="BN1209" i="2" s="1"/>
  <c r="AW1210" i="2"/>
  <c r="BM1210" i="2" s="1"/>
  <c r="BN1210" i="2" s="1"/>
  <c r="AW1211" i="2"/>
  <c r="AW1212" i="2"/>
  <c r="BM1212" i="2" s="1"/>
  <c r="BN1212" i="2" s="1"/>
  <c r="AW1213" i="2"/>
  <c r="BM1213" i="2" s="1"/>
  <c r="BN1213" i="2" s="1"/>
  <c r="AW1214" i="2"/>
  <c r="BM1214" i="2" s="1"/>
  <c r="BN1214" i="2" s="1"/>
  <c r="AW1215" i="2"/>
  <c r="AW1216" i="2"/>
  <c r="BM1216" i="2" s="1"/>
  <c r="BN1216" i="2" s="1"/>
  <c r="AW1217" i="2"/>
  <c r="BM1217" i="2" s="1"/>
  <c r="BN1217" i="2" s="1"/>
  <c r="AW1218" i="2"/>
  <c r="BM1218" i="2" s="1"/>
  <c r="BN1218" i="2" s="1"/>
  <c r="AW1219" i="2"/>
  <c r="AW1220" i="2"/>
  <c r="BM1220" i="2" s="1"/>
  <c r="BN1220" i="2" s="1"/>
  <c r="AW1221" i="2"/>
  <c r="BM1221" i="2" s="1"/>
  <c r="BN1221" i="2" s="1"/>
  <c r="AW1222" i="2"/>
  <c r="BM1222" i="2" s="1"/>
  <c r="BN1222" i="2" s="1"/>
  <c r="AW1223" i="2"/>
  <c r="AW1224" i="2"/>
  <c r="BM1224" i="2" s="1"/>
  <c r="BN1224" i="2" s="1"/>
  <c r="AW1225" i="2"/>
  <c r="BM1225" i="2" s="1"/>
  <c r="BN1225" i="2" s="1"/>
  <c r="AW1226" i="2"/>
  <c r="BM1226" i="2" s="1"/>
  <c r="BN1226" i="2" s="1"/>
  <c r="AW1227" i="2"/>
  <c r="AW1228" i="2"/>
  <c r="BM1228" i="2" s="1"/>
  <c r="BN1228" i="2" s="1"/>
  <c r="AW1229" i="2"/>
  <c r="BM1229" i="2" s="1"/>
  <c r="BN1229" i="2" s="1"/>
  <c r="AW1230" i="2"/>
  <c r="BM1230" i="2" s="1"/>
  <c r="BN1230" i="2" s="1"/>
  <c r="AW1231" i="2"/>
  <c r="AW1232" i="2"/>
  <c r="BM1232" i="2" s="1"/>
  <c r="BN1232" i="2" s="1"/>
  <c r="AW1233" i="2"/>
  <c r="BM1233" i="2" s="1"/>
  <c r="BN1233" i="2" s="1"/>
  <c r="AW1234" i="2"/>
  <c r="BM1234" i="2" s="1"/>
  <c r="BN1234" i="2" s="1"/>
  <c r="AW1235" i="2"/>
  <c r="AW1236" i="2"/>
  <c r="BM1236" i="2" s="1"/>
  <c r="BN1236" i="2" s="1"/>
  <c r="AW1237" i="2"/>
  <c r="BM1237" i="2" s="1"/>
  <c r="BN1237" i="2" s="1"/>
  <c r="AW1238" i="2"/>
  <c r="BM1238" i="2" s="1"/>
  <c r="BN1238" i="2" s="1"/>
  <c r="AW1239" i="2"/>
  <c r="AW1240" i="2"/>
  <c r="BM1240" i="2" s="1"/>
  <c r="BN1240" i="2" s="1"/>
  <c r="AW1241" i="2"/>
  <c r="BM1241" i="2" s="1"/>
  <c r="BN1241" i="2" s="1"/>
  <c r="AW1242" i="2"/>
  <c r="BM1242" i="2" s="1"/>
  <c r="BN1242" i="2" s="1"/>
  <c r="AW1243" i="2"/>
  <c r="AW1244" i="2"/>
  <c r="BM1244" i="2" s="1"/>
  <c r="BN1244" i="2" s="1"/>
  <c r="AW1245" i="2"/>
  <c r="BM1245" i="2" s="1"/>
  <c r="BN1245" i="2" s="1"/>
  <c r="AW1246" i="2"/>
  <c r="BM1246" i="2" s="1"/>
  <c r="BN1246" i="2" s="1"/>
  <c r="AW1247" i="2"/>
  <c r="AW1248" i="2"/>
  <c r="BM1248" i="2" s="1"/>
  <c r="BN1248" i="2" s="1"/>
  <c r="AW1249" i="2"/>
  <c r="BM1249" i="2" s="1"/>
  <c r="BN1249" i="2" s="1"/>
  <c r="AW1250" i="2"/>
  <c r="BM1250" i="2" s="1"/>
  <c r="BN1250" i="2" s="1"/>
  <c r="AW1251" i="2"/>
  <c r="AW1252" i="2"/>
  <c r="BM1252" i="2" s="1"/>
  <c r="BN1252" i="2" s="1"/>
  <c r="AW1253" i="2"/>
  <c r="BM1253" i="2" s="1"/>
  <c r="BN1253" i="2" s="1"/>
  <c r="AW1254" i="2"/>
  <c r="BM1254" i="2" s="1"/>
  <c r="BN1254" i="2" s="1"/>
  <c r="AW1255" i="2"/>
  <c r="AW1256" i="2"/>
  <c r="BM1256" i="2" s="1"/>
  <c r="BN1256" i="2" s="1"/>
  <c r="AW1257" i="2"/>
  <c r="BM1257" i="2" s="1"/>
  <c r="BN1257" i="2" s="1"/>
  <c r="AW1258" i="2"/>
  <c r="BM1258" i="2" s="1"/>
  <c r="BN1258" i="2" s="1"/>
  <c r="AW1259" i="2"/>
  <c r="AW1260" i="2"/>
  <c r="BM1260" i="2" s="1"/>
  <c r="BN1260" i="2" s="1"/>
  <c r="AW1261" i="2"/>
  <c r="BM1261" i="2" s="1"/>
  <c r="BN1261" i="2" s="1"/>
  <c r="AW1262" i="2"/>
  <c r="BM1262" i="2" s="1"/>
  <c r="BN1262" i="2" s="1"/>
  <c r="AW1263" i="2"/>
  <c r="AW1264" i="2"/>
  <c r="BM1264" i="2" s="1"/>
  <c r="BN1264" i="2" s="1"/>
  <c r="AW1265" i="2"/>
  <c r="BM1265" i="2" s="1"/>
  <c r="BN1265" i="2" s="1"/>
  <c r="AW1266" i="2"/>
  <c r="BM1266" i="2" s="1"/>
  <c r="BN1266" i="2" s="1"/>
  <c r="AW1267" i="2"/>
  <c r="AW1268" i="2"/>
  <c r="BM1268" i="2" s="1"/>
  <c r="BN1268" i="2" s="1"/>
  <c r="AW1269" i="2"/>
  <c r="BM1269" i="2" s="1"/>
  <c r="BN1269" i="2" s="1"/>
  <c r="AW1270" i="2"/>
  <c r="BM1270" i="2" s="1"/>
  <c r="BN1270" i="2" s="1"/>
  <c r="AW1271" i="2"/>
  <c r="AW1272" i="2"/>
  <c r="BM1272" i="2" s="1"/>
  <c r="BN1272" i="2" s="1"/>
  <c r="AW1273" i="2"/>
  <c r="BM1273" i="2" s="1"/>
  <c r="BN1273" i="2" s="1"/>
  <c r="AW1274" i="2"/>
  <c r="BM1274" i="2" s="1"/>
  <c r="BN1274" i="2" s="1"/>
  <c r="AW1275" i="2"/>
  <c r="AW1276" i="2"/>
  <c r="BM1276" i="2" s="1"/>
  <c r="BN1276" i="2" s="1"/>
  <c r="AW1277" i="2"/>
  <c r="BM1277" i="2" s="1"/>
  <c r="BN1277" i="2" s="1"/>
  <c r="AW1278" i="2"/>
  <c r="BM1278" i="2" s="1"/>
  <c r="BN1278" i="2" s="1"/>
  <c r="AW1279" i="2"/>
  <c r="AW1280" i="2"/>
  <c r="BM1280" i="2" s="1"/>
  <c r="BN1280" i="2" s="1"/>
  <c r="AW1281" i="2"/>
  <c r="BM1281" i="2" s="1"/>
  <c r="BN1281" i="2" s="1"/>
  <c r="AW1282" i="2"/>
  <c r="BM1282" i="2" s="1"/>
  <c r="BN1282" i="2" s="1"/>
  <c r="AW1283" i="2"/>
  <c r="AW1284" i="2"/>
  <c r="BM1284" i="2" s="1"/>
  <c r="BN1284" i="2" s="1"/>
  <c r="AW1285" i="2"/>
  <c r="BM1285" i="2" s="1"/>
  <c r="BN1285" i="2" s="1"/>
  <c r="AW1286" i="2"/>
  <c r="BM1286" i="2" s="1"/>
  <c r="BN1286" i="2" s="1"/>
  <c r="AW1287" i="2"/>
  <c r="AW1288" i="2"/>
  <c r="BM1288" i="2" s="1"/>
  <c r="BN1288" i="2" s="1"/>
  <c r="AW1289" i="2"/>
  <c r="BM1289" i="2" s="1"/>
  <c r="BN1289" i="2" s="1"/>
  <c r="AW1290" i="2"/>
  <c r="BM1290" i="2" s="1"/>
  <c r="BN1290" i="2" s="1"/>
  <c r="AW1291" i="2"/>
  <c r="AW1292" i="2"/>
  <c r="BM1292" i="2" s="1"/>
  <c r="BN1292" i="2" s="1"/>
  <c r="AW1293" i="2"/>
  <c r="BM1293" i="2" s="1"/>
  <c r="BN1293" i="2" s="1"/>
  <c r="AW1294" i="2"/>
  <c r="BM1294" i="2" s="1"/>
  <c r="BN1294" i="2" s="1"/>
  <c r="AW1295" i="2"/>
  <c r="AW1296" i="2"/>
  <c r="BM1296" i="2" s="1"/>
  <c r="BN1296" i="2" s="1"/>
  <c r="AW1297" i="2"/>
  <c r="BM1297" i="2" s="1"/>
  <c r="BN1297" i="2" s="1"/>
  <c r="AW1298" i="2"/>
  <c r="BM1298" i="2" s="1"/>
  <c r="BN1298" i="2" s="1"/>
  <c r="AW1299" i="2"/>
  <c r="AW1300" i="2"/>
  <c r="BM1300" i="2" s="1"/>
  <c r="BN1300" i="2" s="1"/>
  <c r="AW1301" i="2"/>
  <c r="BM1301" i="2" s="1"/>
  <c r="BN1301" i="2" s="1"/>
  <c r="AW1302" i="2"/>
  <c r="BM1302" i="2" s="1"/>
  <c r="BN1302" i="2" s="1"/>
  <c r="AW1303" i="2"/>
  <c r="AW1304" i="2"/>
  <c r="BM1304" i="2" s="1"/>
  <c r="BN1304" i="2" s="1"/>
  <c r="AW1305" i="2"/>
  <c r="BM1305" i="2" s="1"/>
  <c r="BN1305" i="2" s="1"/>
  <c r="AW1306" i="2"/>
  <c r="BM1306" i="2" s="1"/>
  <c r="BN1306" i="2" s="1"/>
  <c r="AW1307" i="2"/>
  <c r="AW1308" i="2"/>
  <c r="BM1308" i="2" s="1"/>
  <c r="BN1308" i="2" s="1"/>
  <c r="AW1309" i="2"/>
  <c r="BM1309" i="2" s="1"/>
  <c r="BN1309" i="2" s="1"/>
  <c r="AW1310" i="2"/>
  <c r="BM1310" i="2" s="1"/>
  <c r="BN1310" i="2" s="1"/>
  <c r="AW1311" i="2"/>
  <c r="AW1312" i="2"/>
  <c r="BM1312" i="2" s="1"/>
  <c r="BN1312" i="2" s="1"/>
  <c r="AW1313" i="2"/>
  <c r="BM1313" i="2" s="1"/>
  <c r="BN1313" i="2" s="1"/>
  <c r="AW1314" i="2"/>
  <c r="BM1314" i="2" s="1"/>
  <c r="BN1314" i="2" s="1"/>
  <c r="AW1315" i="2"/>
  <c r="AW1316" i="2"/>
  <c r="BM1316" i="2" s="1"/>
  <c r="BN1316" i="2" s="1"/>
  <c r="AW1317" i="2"/>
  <c r="BM1317" i="2" s="1"/>
  <c r="BN1317" i="2" s="1"/>
  <c r="AW1318" i="2"/>
  <c r="BM1318" i="2" s="1"/>
  <c r="BN1318" i="2" s="1"/>
  <c r="AW1319" i="2"/>
  <c r="AW1320" i="2"/>
  <c r="BM1320" i="2" s="1"/>
  <c r="BN1320" i="2" s="1"/>
  <c r="AW1321" i="2"/>
  <c r="BM1321" i="2" s="1"/>
  <c r="BN1321" i="2" s="1"/>
  <c r="AW1322" i="2"/>
  <c r="BM1322" i="2" s="1"/>
  <c r="BN1322" i="2" s="1"/>
  <c r="AW1323" i="2"/>
  <c r="AW1324" i="2"/>
  <c r="BM1324" i="2" s="1"/>
  <c r="BN1324" i="2" s="1"/>
  <c r="AW1325" i="2"/>
  <c r="BM1325" i="2" s="1"/>
  <c r="BN1325" i="2" s="1"/>
  <c r="AW1326" i="2"/>
  <c r="BM1326" i="2" s="1"/>
  <c r="BN1326" i="2" s="1"/>
  <c r="AW1327" i="2"/>
  <c r="AW1328" i="2"/>
  <c r="BM1328" i="2" s="1"/>
  <c r="BN1328" i="2" s="1"/>
  <c r="AW1329" i="2"/>
  <c r="BM1329" i="2" s="1"/>
  <c r="BN1329" i="2" s="1"/>
  <c r="AW1330" i="2"/>
  <c r="BM1330" i="2" s="1"/>
  <c r="BN1330" i="2" s="1"/>
  <c r="AW1331" i="2"/>
  <c r="AW1332" i="2"/>
  <c r="BM1332" i="2" s="1"/>
  <c r="BN1332" i="2" s="1"/>
  <c r="AW1333" i="2"/>
  <c r="BM1333" i="2" s="1"/>
  <c r="BN1333" i="2" s="1"/>
  <c r="AW1334" i="2"/>
  <c r="BM1334" i="2" s="1"/>
  <c r="BN1334" i="2" s="1"/>
  <c r="AW1335" i="2"/>
  <c r="AW1336" i="2"/>
  <c r="BM1336" i="2" s="1"/>
  <c r="BN1336" i="2" s="1"/>
  <c r="AW1337" i="2"/>
  <c r="BM1337" i="2" s="1"/>
  <c r="BN1337" i="2" s="1"/>
  <c r="AW1338" i="2"/>
  <c r="BM1338" i="2" s="1"/>
  <c r="BN1338" i="2" s="1"/>
  <c r="AW1339" i="2"/>
  <c r="AW1340" i="2"/>
  <c r="BM1340" i="2" s="1"/>
  <c r="BN1340" i="2" s="1"/>
  <c r="AW1341" i="2"/>
  <c r="BM1341" i="2" s="1"/>
  <c r="BN1341" i="2" s="1"/>
  <c r="AW1342" i="2"/>
  <c r="BM1342" i="2" s="1"/>
  <c r="BN1342" i="2" s="1"/>
  <c r="AW1343" i="2"/>
  <c r="AW1344" i="2"/>
  <c r="BM1344" i="2" s="1"/>
  <c r="BN1344" i="2" s="1"/>
  <c r="AW1345" i="2"/>
  <c r="BM1345" i="2" s="1"/>
  <c r="BN1345" i="2" s="1"/>
  <c r="AW1346" i="2"/>
  <c r="BM1346" i="2" s="1"/>
  <c r="BN1346" i="2" s="1"/>
  <c r="AW1347" i="2"/>
  <c r="AW1348" i="2"/>
  <c r="BM1348" i="2" s="1"/>
  <c r="BN1348" i="2" s="1"/>
  <c r="AW1349" i="2"/>
  <c r="BM1349" i="2" s="1"/>
  <c r="BN1349" i="2" s="1"/>
  <c r="AW1350" i="2"/>
  <c r="BM1350" i="2" s="1"/>
  <c r="BN1350" i="2" s="1"/>
  <c r="AW1351" i="2"/>
  <c r="AW1352" i="2"/>
  <c r="BM1352" i="2" s="1"/>
  <c r="BN1352" i="2" s="1"/>
  <c r="AW1353" i="2"/>
  <c r="BM1353" i="2" s="1"/>
  <c r="BN1353" i="2" s="1"/>
  <c r="AW1354" i="2"/>
  <c r="BM1354" i="2" s="1"/>
  <c r="BN1354" i="2" s="1"/>
  <c r="AW1355" i="2"/>
  <c r="AW1356" i="2"/>
  <c r="BM1356" i="2" s="1"/>
  <c r="BN1356" i="2" s="1"/>
  <c r="AW1357" i="2"/>
  <c r="BM1357" i="2" s="1"/>
  <c r="BN1357" i="2" s="1"/>
  <c r="AW1358" i="2"/>
  <c r="BM1358" i="2" s="1"/>
  <c r="BN1358" i="2" s="1"/>
  <c r="AW1359" i="2"/>
  <c r="AW1360" i="2"/>
  <c r="BM1360" i="2" s="1"/>
  <c r="BN1360" i="2" s="1"/>
  <c r="AW1361" i="2"/>
  <c r="BM1361" i="2" s="1"/>
  <c r="BN1361" i="2" s="1"/>
  <c r="AW1362" i="2"/>
  <c r="BM1362" i="2" s="1"/>
  <c r="BN1362" i="2" s="1"/>
  <c r="AW1363" i="2"/>
  <c r="AW1364" i="2"/>
  <c r="BM1364" i="2" s="1"/>
  <c r="BN1364" i="2" s="1"/>
  <c r="AW1365" i="2"/>
  <c r="BM1365" i="2" s="1"/>
  <c r="BN1365" i="2" s="1"/>
  <c r="AW1366" i="2"/>
  <c r="BM1366" i="2" s="1"/>
  <c r="BN1366" i="2" s="1"/>
  <c r="AW1367" i="2"/>
  <c r="AW1368" i="2"/>
  <c r="BM1368" i="2" s="1"/>
  <c r="BN1368" i="2" s="1"/>
  <c r="AW1369" i="2"/>
  <c r="BM1369" i="2" s="1"/>
  <c r="BN1369" i="2" s="1"/>
  <c r="AW1370" i="2"/>
  <c r="BM1370" i="2" s="1"/>
  <c r="BN1370" i="2" s="1"/>
  <c r="AW1371" i="2"/>
  <c r="AW1372" i="2"/>
  <c r="BM1372" i="2" s="1"/>
  <c r="BN1372" i="2" s="1"/>
  <c r="AW1373" i="2"/>
  <c r="BM1373" i="2" s="1"/>
  <c r="BN1373" i="2" s="1"/>
  <c r="AW1374" i="2"/>
  <c r="BM1374" i="2" s="1"/>
  <c r="BN1374" i="2" s="1"/>
  <c r="AW1375" i="2"/>
  <c r="AW1376" i="2"/>
  <c r="BM1376" i="2" s="1"/>
  <c r="BN1376" i="2" s="1"/>
  <c r="AW1377" i="2"/>
  <c r="BM1377" i="2" s="1"/>
  <c r="BN1377" i="2" s="1"/>
  <c r="AW1378" i="2"/>
  <c r="BM1378" i="2" s="1"/>
  <c r="BN1378" i="2" s="1"/>
  <c r="AW1379" i="2"/>
  <c r="AW1380" i="2"/>
  <c r="BM1380" i="2" s="1"/>
  <c r="BN1380" i="2" s="1"/>
  <c r="AW1381" i="2"/>
  <c r="BM1381" i="2" s="1"/>
  <c r="BN1381" i="2" s="1"/>
  <c r="AW1382" i="2"/>
  <c r="BM1382" i="2" s="1"/>
  <c r="BN1382" i="2" s="1"/>
  <c r="AW1383" i="2"/>
  <c r="AW1384" i="2"/>
  <c r="BM1384" i="2" s="1"/>
  <c r="BN1384" i="2" s="1"/>
  <c r="AW1385" i="2"/>
  <c r="BM1385" i="2" s="1"/>
  <c r="BN1385" i="2" s="1"/>
  <c r="AW1386" i="2"/>
  <c r="BM1386" i="2" s="1"/>
  <c r="BN1386" i="2" s="1"/>
  <c r="AW1387" i="2"/>
  <c r="AW1388" i="2"/>
  <c r="BM1388" i="2" s="1"/>
  <c r="BN1388" i="2" s="1"/>
  <c r="AW1389" i="2"/>
  <c r="BM1389" i="2" s="1"/>
  <c r="BN1389" i="2" s="1"/>
  <c r="AW1390" i="2"/>
  <c r="BM1390" i="2" s="1"/>
  <c r="BN1390" i="2" s="1"/>
  <c r="AW1391" i="2"/>
  <c r="AW1392" i="2"/>
  <c r="BM1392" i="2" s="1"/>
  <c r="BN1392" i="2" s="1"/>
  <c r="AW1393" i="2"/>
  <c r="BM1393" i="2" s="1"/>
  <c r="BN1393" i="2" s="1"/>
  <c r="AW1394" i="2"/>
  <c r="BM1394" i="2" s="1"/>
  <c r="BN1394" i="2" s="1"/>
  <c r="AW1395" i="2"/>
  <c r="AW1396" i="2"/>
  <c r="BM1396" i="2" s="1"/>
  <c r="BN1396" i="2" s="1"/>
  <c r="AW1397" i="2"/>
  <c r="BM1397" i="2" s="1"/>
  <c r="BN1397" i="2" s="1"/>
  <c r="AW1398" i="2"/>
  <c r="BM1398" i="2" s="1"/>
  <c r="BN1398" i="2" s="1"/>
  <c r="AW1399" i="2"/>
  <c r="AW1400" i="2"/>
  <c r="BM1400" i="2" s="1"/>
  <c r="BN1400" i="2" s="1"/>
  <c r="AW1401" i="2"/>
  <c r="BM1401" i="2" s="1"/>
  <c r="BN1401" i="2" s="1"/>
  <c r="AW1402" i="2"/>
  <c r="BM1402" i="2" s="1"/>
  <c r="BN1402" i="2" s="1"/>
  <c r="AW1403" i="2"/>
  <c r="AW1404" i="2"/>
  <c r="BM1404" i="2" s="1"/>
  <c r="BN1404" i="2" s="1"/>
  <c r="AW1405" i="2"/>
  <c r="BM1405" i="2" s="1"/>
  <c r="BN1405" i="2" s="1"/>
  <c r="AW1406" i="2"/>
  <c r="BM1406" i="2" s="1"/>
  <c r="BN1406" i="2" s="1"/>
  <c r="AW1407" i="2"/>
  <c r="AW1408" i="2"/>
  <c r="BM1408" i="2" s="1"/>
  <c r="BN1408" i="2" s="1"/>
  <c r="AW1409" i="2"/>
  <c r="BM1409" i="2" s="1"/>
  <c r="BN1409" i="2" s="1"/>
  <c r="AW1410" i="2"/>
  <c r="BM1410" i="2" s="1"/>
  <c r="BN1410" i="2" s="1"/>
  <c r="AW1411" i="2"/>
  <c r="AW1412" i="2"/>
  <c r="BM1412" i="2" s="1"/>
  <c r="BN1412" i="2" s="1"/>
  <c r="AW1413" i="2"/>
  <c r="BM1413" i="2" s="1"/>
  <c r="BN1413" i="2" s="1"/>
  <c r="AW1414" i="2"/>
  <c r="BM1414" i="2" s="1"/>
  <c r="BN1414" i="2" s="1"/>
  <c r="AW1415" i="2"/>
  <c r="AW1416" i="2"/>
  <c r="BM1416" i="2" s="1"/>
  <c r="BN1416" i="2" s="1"/>
  <c r="AW1417" i="2"/>
  <c r="BM1417" i="2" s="1"/>
  <c r="BN1417" i="2" s="1"/>
  <c r="AW1418" i="2"/>
  <c r="BM1418" i="2" s="1"/>
  <c r="BN1418" i="2" s="1"/>
  <c r="AW1419" i="2"/>
  <c r="AW1420" i="2"/>
  <c r="BM1420" i="2" s="1"/>
  <c r="BN1420" i="2" s="1"/>
  <c r="AW1421" i="2"/>
  <c r="BM1421" i="2" s="1"/>
  <c r="BN1421" i="2" s="1"/>
  <c r="AW1422" i="2"/>
  <c r="BM1422" i="2" s="1"/>
  <c r="BN1422" i="2" s="1"/>
  <c r="AW1423" i="2"/>
  <c r="AW1424" i="2"/>
  <c r="BM1424" i="2" s="1"/>
  <c r="BN1424" i="2" s="1"/>
  <c r="AW1425" i="2"/>
  <c r="BM1425" i="2" s="1"/>
  <c r="BN1425" i="2" s="1"/>
  <c r="AW1426" i="2"/>
  <c r="BM1426" i="2" s="1"/>
  <c r="BN1426" i="2" s="1"/>
  <c r="AW1427" i="2"/>
  <c r="AW1428" i="2"/>
  <c r="BM1428" i="2" s="1"/>
  <c r="BN1428" i="2" s="1"/>
  <c r="AW1429" i="2"/>
  <c r="BM1429" i="2" s="1"/>
  <c r="BN1429" i="2" s="1"/>
  <c r="AW1430" i="2"/>
  <c r="BM1430" i="2" s="1"/>
  <c r="BN1430" i="2" s="1"/>
  <c r="AW1431" i="2"/>
  <c r="AW1432" i="2"/>
  <c r="BM1432" i="2" s="1"/>
  <c r="BN1432" i="2" s="1"/>
  <c r="AW1433" i="2"/>
  <c r="BM1433" i="2" s="1"/>
  <c r="BN1433" i="2" s="1"/>
  <c r="AW1434" i="2"/>
  <c r="BM1434" i="2" s="1"/>
  <c r="BN1434" i="2" s="1"/>
  <c r="AW1435" i="2"/>
  <c r="AW1436" i="2"/>
  <c r="BM1436" i="2" s="1"/>
  <c r="BN1436" i="2" s="1"/>
  <c r="AW1437" i="2"/>
  <c r="BM1437" i="2" s="1"/>
  <c r="BN1437" i="2" s="1"/>
  <c r="AW1438" i="2"/>
  <c r="BM1438" i="2" s="1"/>
  <c r="BN1438" i="2" s="1"/>
  <c r="AW1439" i="2"/>
  <c r="AW1440" i="2"/>
  <c r="BM1440" i="2" s="1"/>
  <c r="BN1440" i="2" s="1"/>
  <c r="AW1441" i="2"/>
  <c r="BM1441" i="2" s="1"/>
  <c r="BN1441" i="2" s="1"/>
  <c r="AW1442" i="2"/>
  <c r="BM1442" i="2" s="1"/>
  <c r="BN1442" i="2" s="1"/>
  <c r="AW1443" i="2"/>
  <c r="AW1444" i="2"/>
  <c r="BM1444" i="2" s="1"/>
  <c r="BN1444" i="2" s="1"/>
  <c r="AW1445" i="2"/>
  <c r="BM1445" i="2" s="1"/>
  <c r="BN1445" i="2" s="1"/>
  <c r="AW1446" i="2"/>
  <c r="BM1446" i="2" s="1"/>
  <c r="BN1446" i="2" s="1"/>
  <c r="AW1447" i="2"/>
  <c r="AW1448" i="2"/>
  <c r="BM1448" i="2" s="1"/>
  <c r="BN1448" i="2" s="1"/>
  <c r="AW1449" i="2"/>
  <c r="BM1449" i="2" s="1"/>
  <c r="BN1449" i="2" s="1"/>
  <c r="AW1450" i="2"/>
  <c r="BM1450" i="2" s="1"/>
  <c r="BN1450" i="2" s="1"/>
  <c r="AW1451" i="2"/>
  <c r="AW1452" i="2"/>
  <c r="BM1452" i="2" s="1"/>
  <c r="BN1452" i="2" s="1"/>
  <c r="AW1453" i="2"/>
  <c r="BM1453" i="2" s="1"/>
  <c r="BN1453" i="2" s="1"/>
  <c r="AW1454" i="2"/>
  <c r="BM1454" i="2" s="1"/>
  <c r="BN1454" i="2" s="1"/>
  <c r="AW1455" i="2"/>
  <c r="AW1456" i="2"/>
  <c r="BM1456" i="2" s="1"/>
  <c r="BN1456" i="2" s="1"/>
  <c r="AW1457" i="2"/>
  <c r="BM1457" i="2" s="1"/>
  <c r="BN1457" i="2" s="1"/>
  <c r="AW1458" i="2"/>
  <c r="BM1458" i="2" s="1"/>
  <c r="BN1458" i="2" s="1"/>
  <c r="AW1459" i="2"/>
  <c r="AW1460" i="2"/>
  <c r="BM1460" i="2" s="1"/>
  <c r="BN1460" i="2" s="1"/>
  <c r="AW1461" i="2"/>
  <c r="BM1461" i="2" s="1"/>
  <c r="BN1461" i="2" s="1"/>
  <c r="AW1462" i="2"/>
  <c r="BM1462" i="2" s="1"/>
  <c r="BN1462" i="2" s="1"/>
  <c r="AW1463" i="2"/>
  <c r="AW1464" i="2"/>
  <c r="BM1464" i="2" s="1"/>
  <c r="BN1464" i="2" s="1"/>
  <c r="AW1465" i="2"/>
  <c r="BM1465" i="2" s="1"/>
  <c r="BN1465" i="2" s="1"/>
  <c r="AW1466" i="2"/>
  <c r="BM1466" i="2" s="1"/>
  <c r="BN1466" i="2" s="1"/>
  <c r="AW1467" i="2"/>
  <c r="AW1468" i="2"/>
  <c r="BM1468" i="2" s="1"/>
  <c r="BN1468" i="2" s="1"/>
  <c r="AW1469" i="2"/>
  <c r="BM1469" i="2" s="1"/>
  <c r="BN1469" i="2" s="1"/>
  <c r="AW1470" i="2"/>
  <c r="BM1470" i="2" s="1"/>
  <c r="BN1470" i="2" s="1"/>
  <c r="AW1471" i="2"/>
  <c r="AW1472" i="2"/>
  <c r="BM1472" i="2" s="1"/>
  <c r="BN1472" i="2" s="1"/>
  <c r="AW1473" i="2"/>
  <c r="BM1473" i="2" s="1"/>
  <c r="BN1473" i="2" s="1"/>
  <c r="AW1474" i="2"/>
  <c r="BM1474" i="2" s="1"/>
  <c r="BN1474" i="2" s="1"/>
  <c r="AW1475" i="2"/>
  <c r="AW1476" i="2"/>
  <c r="BM1476" i="2" s="1"/>
  <c r="BN1476" i="2" s="1"/>
  <c r="AW1477" i="2"/>
  <c r="BM1477" i="2" s="1"/>
  <c r="BN1477" i="2" s="1"/>
  <c r="AW1478" i="2"/>
  <c r="BM1478" i="2" s="1"/>
  <c r="BN1478" i="2" s="1"/>
  <c r="AW1479" i="2"/>
  <c r="AW1480" i="2"/>
  <c r="BM1480" i="2" s="1"/>
  <c r="BN1480" i="2" s="1"/>
  <c r="AW1481" i="2"/>
  <c r="BM1481" i="2" s="1"/>
  <c r="BN1481" i="2" s="1"/>
  <c r="AW1482" i="2"/>
  <c r="BM1482" i="2" s="1"/>
  <c r="BN1482" i="2" s="1"/>
  <c r="AW1483" i="2"/>
  <c r="AW1484" i="2"/>
  <c r="BM1484" i="2" s="1"/>
  <c r="BN1484" i="2" s="1"/>
  <c r="AW1485" i="2"/>
  <c r="BM1485" i="2" s="1"/>
  <c r="BN1485" i="2" s="1"/>
  <c r="AW1486" i="2"/>
  <c r="BM1486" i="2" s="1"/>
  <c r="BN1486" i="2" s="1"/>
  <c r="AW1487" i="2"/>
  <c r="AW1488" i="2"/>
  <c r="BM1488" i="2" s="1"/>
  <c r="BN1488" i="2" s="1"/>
  <c r="AW1489" i="2"/>
  <c r="BM1489" i="2" s="1"/>
  <c r="BN1489" i="2" s="1"/>
  <c r="AW1490" i="2"/>
  <c r="BM1490" i="2" s="1"/>
  <c r="BN1490" i="2" s="1"/>
  <c r="AW1491" i="2"/>
  <c r="AW1492" i="2"/>
  <c r="BM1492" i="2" s="1"/>
  <c r="BN1492" i="2" s="1"/>
  <c r="AW1493" i="2"/>
  <c r="BM1493" i="2" s="1"/>
  <c r="BN1493" i="2" s="1"/>
  <c r="AW1494" i="2"/>
  <c r="BM1494" i="2" s="1"/>
  <c r="BN1494" i="2" s="1"/>
  <c r="AW1495" i="2"/>
  <c r="AW1496" i="2"/>
  <c r="BM1496" i="2" s="1"/>
  <c r="BN1496" i="2" s="1"/>
  <c r="AW1497" i="2"/>
  <c r="BM1497" i="2" s="1"/>
  <c r="BN1497" i="2" s="1"/>
  <c r="AW1498" i="2"/>
  <c r="BM1498" i="2" s="1"/>
  <c r="BN1498" i="2" s="1"/>
  <c r="AW1499" i="2"/>
  <c r="AW1500" i="2"/>
  <c r="BM1500" i="2" s="1"/>
  <c r="BN1500" i="2" s="1"/>
  <c r="AW1501" i="2"/>
  <c r="BM1501" i="2" s="1"/>
  <c r="BN1501" i="2" s="1"/>
  <c r="AW1502" i="2"/>
  <c r="BM1502" i="2" s="1"/>
  <c r="BN1502" i="2" s="1"/>
  <c r="AW1503" i="2"/>
  <c r="AW1504" i="2"/>
  <c r="BM1504" i="2" s="1"/>
  <c r="BN1504" i="2" s="1"/>
  <c r="AW1505" i="2"/>
  <c r="BM1505" i="2" s="1"/>
  <c r="BN1505" i="2" s="1"/>
  <c r="AW1506" i="2"/>
  <c r="BM1506" i="2" s="1"/>
  <c r="BN1506" i="2" s="1"/>
  <c r="AW1507" i="2"/>
  <c r="AW1508" i="2"/>
  <c r="BM1508" i="2" s="1"/>
  <c r="BN1508" i="2" s="1"/>
  <c r="AW1509" i="2"/>
  <c r="BM1509" i="2" s="1"/>
  <c r="BN1509" i="2" s="1"/>
  <c r="AW1510" i="2"/>
  <c r="BM1510" i="2" s="1"/>
  <c r="BN1510" i="2" s="1"/>
  <c r="AW1511" i="2"/>
  <c r="AW1512" i="2"/>
  <c r="BM1512" i="2" s="1"/>
  <c r="BN1512" i="2" s="1"/>
  <c r="AW1513" i="2"/>
  <c r="BM1513" i="2" s="1"/>
  <c r="BN1513" i="2" s="1"/>
  <c r="AW1514" i="2"/>
  <c r="BM1514" i="2" s="1"/>
  <c r="BN1514" i="2" s="1"/>
  <c r="AW1515" i="2"/>
  <c r="AW1516" i="2"/>
  <c r="BM1516" i="2" s="1"/>
  <c r="BN1516" i="2" s="1"/>
  <c r="AW1517" i="2"/>
  <c r="BM1517" i="2" s="1"/>
  <c r="BN1517" i="2" s="1"/>
  <c r="AW1518" i="2"/>
  <c r="BM1518" i="2" s="1"/>
  <c r="BN1518" i="2" s="1"/>
  <c r="AW1519" i="2"/>
  <c r="AW1520" i="2"/>
  <c r="BM1520" i="2" s="1"/>
  <c r="BN1520" i="2" s="1"/>
  <c r="AW1521" i="2"/>
  <c r="BM1521" i="2" s="1"/>
  <c r="BN1521" i="2" s="1"/>
  <c r="AW1522" i="2"/>
  <c r="BM1522" i="2" s="1"/>
  <c r="BN1522" i="2" s="1"/>
  <c r="AW1523" i="2"/>
  <c r="AW1524" i="2"/>
  <c r="BM1524" i="2" s="1"/>
  <c r="BN1524" i="2" s="1"/>
  <c r="AW1525" i="2"/>
  <c r="BM1525" i="2" s="1"/>
  <c r="BN1525" i="2" s="1"/>
  <c r="AW1526" i="2"/>
  <c r="BM1526" i="2" s="1"/>
  <c r="BN1526" i="2" s="1"/>
  <c r="AW1527" i="2"/>
  <c r="AW1528" i="2"/>
  <c r="BM1528" i="2" s="1"/>
  <c r="BN1528" i="2" s="1"/>
  <c r="AW1529" i="2"/>
  <c r="BM1529" i="2" s="1"/>
  <c r="BN1529" i="2" s="1"/>
  <c r="AW1530" i="2"/>
  <c r="BM1530" i="2" s="1"/>
  <c r="BN1530" i="2" s="1"/>
  <c r="AW1531" i="2"/>
  <c r="AW1532" i="2"/>
  <c r="BM1532" i="2" s="1"/>
  <c r="BN1532" i="2" s="1"/>
  <c r="AW1533" i="2"/>
  <c r="BM1533" i="2" s="1"/>
  <c r="BN1533" i="2" s="1"/>
  <c r="AW1534" i="2"/>
  <c r="BM1534" i="2" s="1"/>
  <c r="BN1534" i="2" s="1"/>
  <c r="AW1535" i="2"/>
  <c r="AW1536" i="2"/>
  <c r="BM1536" i="2" s="1"/>
  <c r="BN1536" i="2" s="1"/>
  <c r="AW1537" i="2"/>
  <c r="BM1537" i="2" s="1"/>
  <c r="BN1537" i="2" s="1"/>
  <c r="AW1538" i="2"/>
  <c r="BM1538" i="2" s="1"/>
  <c r="BN1538" i="2" s="1"/>
  <c r="AW1539" i="2"/>
  <c r="AW1540" i="2"/>
  <c r="BM1540" i="2" s="1"/>
  <c r="BN1540" i="2" s="1"/>
  <c r="AW1541" i="2"/>
  <c r="BM1541" i="2" s="1"/>
  <c r="BN1541" i="2" s="1"/>
  <c r="AW1542" i="2"/>
  <c r="BM1542" i="2" s="1"/>
  <c r="BN1542" i="2" s="1"/>
  <c r="AW1543" i="2"/>
  <c r="AW1544" i="2"/>
  <c r="BM1544" i="2" s="1"/>
  <c r="BN1544" i="2" s="1"/>
  <c r="AW1545" i="2"/>
  <c r="BM1545" i="2" s="1"/>
  <c r="BN1545" i="2" s="1"/>
  <c r="AW1546" i="2"/>
  <c r="BM1546" i="2" s="1"/>
  <c r="BN1546" i="2" s="1"/>
  <c r="AW1547" i="2"/>
  <c r="AW1548" i="2"/>
  <c r="BM1548" i="2" s="1"/>
  <c r="BN1548" i="2" s="1"/>
  <c r="AW1549" i="2"/>
  <c r="BM1549" i="2" s="1"/>
  <c r="BN1549" i="2" s="1"/>
  <c r="AW1550" i="2"/>
  <c r="BM1550" i="2" s="1"/>
  <c r="BN1550" i="2" s="1"/>
  <c r="AW1551" i="2"/>
  <c r="AW1552" i="2"/>
  <c r="BM1552" i="2" s="1"/>
  <c r="BN1552" i="2" s="1"/>
  <c r="AW1553" i="2"/>
  <c r="BM1553" i="2" s="1"/>
  <c r="BN1553" i="2" s="1"/>
  <c r="AW1554" i="2"/>
  <c r="BM1554" i="2" s="1"/>
  <c r="BN1554" i="2" s="1"/>
  <c r="AW1555" i="2"/>
  <c r="AW1556" i="2"/>
  <c r="BM1556" i="2" s="1"/>
  <c r="BN1556" i="2" s="1"/>
  <c r="AW1557" i="2"/>
  <c r="BM1557" i="2" s="1"/>
  <c r="BN1557" i="2" s="1"/>
  <c r="AW1558" i="2"/>
  <c r="BM1558" i="2" s="1"/>
  <c r="BN1558" i="2" s="1"/>
  <c r="AW1559" i="2"/>
  <c r="AW1560" i="2"/>
  <c r="BM1560" i="2" s="1"/>
  <c r="BN1560" i="2" s="1"/>
  <c r="AW1561" i="2"/>
  <c r="BM1561" i="2" s="1"/>
  <c r="BN1561" i="2" s="1"/>
  <c r="AW1562" i="2"/>
  <c r="BM1562" i="2" s="1"/>
  <c r="BN1562" i="2" s="1"/>
  <c r="AW1563" i="2"/>
  <c r="AW1564" i="2"/>
  <c r="BM1564" i="2" s="1"/>
  <c r="BN1564" i="2" s="1"/>
  <c r="AW1565" i="2"/>
  <c r="BM1565" i="2" s="1"/>
  <c r="BN1565" i="2" s="1"/>
  <c r="AW1566" i="2"/>
  <c r="BM1566" i="2" s="1"/>
  <c r="BN1566" i="2" s="1"/>
  <c r="AW1567" i="2"/>
  <c r="AW1568" i="2"/>
  <c r="BM1568" i="2" s="1"/>
  <c r="BN1568" i="2" s="1"/>
  <c r="AW1569" i="2"/>
  <c r="BM1569" i="2" s="1"/>
  <c r="BN1569" i="2" s="1"/>
  <c r="AW1570" i="2"/>
  <c r="BM1570" i="2" s="1"/>
  <c r="BN1570" i="2" s="1"/>
  <c r="AW1571" i="2"/>
  <c r="AW1572" i="2"/>
  <c r="BM1572" i="2" s="1"/>
  <c r="BN1572" i="2" s="1"/>
  <c r="AW1573" i="2"/>
  <c r="BM1573" i="2" s="1"/>
  <c r="BN1573" i="2" s="1"/>
  <c r="AW1574" i="2"/>
  <c r="BM1574" i="2" s="1"/>
  <c r="BN1574" i="2" s="1"/>
  <c r="AW1575" i="2"/>
  <c r="AW1576" i="2"/>
  <c r="BM1576" i="2" s="1"/>
  <c r="BN1576" i="2" s="1"/>
  <c r="AW1577" i="2"/>
  <c r="BM1577" i="2" s="1"/>
  <c r="BN1577" i="2" s="1"/>
  <c r="AW1578" i="2"/>
  <c r="BM1578" i="2" s="1"/>
  <c r="BN1578" i="2" s="1"/>
  <c r="AW1579" i="2"/>
  <c r="AW1580" i="2"/>
  <c r="BM1580" i="2" s="1"/>
  <c r="BN1580" i="2" s="1"/>
  <c r="AW1581" i="2"/>
  <c r="BM1581" i="2" s="1"/>
  <c r="BN1581" i="2" s="1"/>
  <c r="AW1582" i="2"/>
  <c r="BM1582" i="2" s="1"/>
  <c r="BN1582" i="2" s="1"/>
  <c r="AW1583" i="2"/>
  <c r="AW1584" i="2"/>
  <c r="BM1584" i="2" s="1"/>
  <c r="BN1584" i="2" s="1"/>
  <c r="AW1585" i="2"/>
  <c r="BM1585" i="2" s="1"/>
  <c r="BN1585" i="2" s="1"/>
  <c r="AW1586" i="2"/>
  <c r="BM1586" i="2" s="1"/>
  <c r="BN1586" i="2" s="1"/>
  <c r="AW1587" i="2"/>
  <c r="AW1588" i="2"/>
  <c r="BM1588" i="2" s="1"/>
  <c r="BN1588" i="2" s="1"/>
  <c r="AW1589" i="2"/>
  <c r="BM1589" i="2" s="1"/>
  <c r="BN1589" i="2" s="1"/>
  <c r="AW1590" i="2"/>
  <c r="BM1590" i="2" s="1"/>
  <c r="BN1590" i="2" s="1"/>
  <c r="AW1591" i="2"/>
  <c r="AW1592" i="2"/>
  <c r="BM1592" i="2" s="1"/>
  <c r="BN1592" i="2" s="1"/>
  <c r="AW1593" i="2"/>
  <c r="BM1593" i="2" s="1"/>
  <c r="BN1593" i="2" s="1"/>
  <c r="AW1594" i="2"/>
  <c r="BM1594" i="2" s="1"/>
  <c r="BN1594" i="2" s="1"/>
  <c r="AW1595" i="2"/>
  <c r="AW1596" i="2"/>
  <c r="BM1596" i="2" s="1"/>
  <c r="BN1596" i="2" s="1"/>
  <c r="AW1597" i="2"/>
  <c r="BM1597" i="2" s="1"/>
  <c r="BN1597" i="2" s="1"/>
  <c r="AW1598" i="2"/>
  <c r="BM1598" i="2" s="1"/>
  <c r="BN1598" i="2" s="1"/>
  <c r="AW1599" i="2"/>
  <c r="AW1600" i="2"/>
  <c r="BM1600" i="2" s="1"/>
  <c r="BN1600" i="2" s="1"/>
  <c r="AW1601" i="2"/>
  <c r="BM1601" i="2" s="1"/>
  <c r="BN1601" i="2" s="1"/>
  <c r="AW1602" i="2"/>
  <c r="BM1602" i="2" s="1"/>
  <c r="BN1602" i="2" s="1"/>
  <c r="AW1603" i="2"/>
  <c r="AW1604" i="2"/>
  <c r="BM1604" i="2" s="1"/>
  <c r="BN1604" i="2" s="1"/>
  <c r="AW1605" i="2"/>
  <c r="BM1605" i="2" s="1"/>
  <c r="BN1605" i="2" s="1"/>
  <c r="AW1606" i="2"/>
  <c r="BM1606" i="2" s="1"/>
  <c r="BN1606" i="2" s="1"/>
  <c r="AW1607" i="2"/>
  <c r="AW1608" i="2"/>
  <c r="BM1608" i="2" s="1"/>
  <c r="BN1608" i="2" s="1"/>
  <c r="AW1609" i="2"/>
  <c r="BM1609" i="2" s="1"/>
  <c r="BN1609" i="2" s="1"/>
  <c r="AW1610" i="2"/>
  <c r="BM1610" i="2" s="1"/>
  <c r="BN1610" i="2" s="1"/>
  <c r="AW1611" i="2"/>
  <c r="AW1612" i="2"/>
  <c r="BM1612" i="2" s="1"/>
  <c r="BN1612" i="2" s="1"/>
  <c r="AW1613" i="2"/>
  <c r="BM1613" i="2" s="1"/>
  <c r="BN1613" i="2" s="1"/>
  <c r="AW1614" i="2"/>
  <c r="BM1614" i="2" s="1"/>
  <c r="BN1614" i="2" s="1"/>
  <c r="AW1615" i="2"/>
  <c r="AW1616" i="2"/>
  <c r="BM1616" i="2" s="1"/>
  <c r="BN1616" i="2" s="1"/>
  <c r="AW1617" i="2"/>
  <c r="BM1617" i="2" s="1"/>
  <c r="BN1617" i="2" s="1"/>
  <c r="AW1618" i="2"/>
  <c r="BM1618" i="2" s="1"/>
  <c r="BN1618" i="2" s="1"/>
  <c r="AW1619" i="2"/>
  <c r="AW1620" i="2"/>
  <c r="BM1620" i="2" s="1"/>
  <c r="BN1620" i="2" s="1"/>
  <c r="AW1621" i="2"/>
  <c r="BM1621" i="2" s="1"/>
  <c r="BN1621" i="2" s="1"/>
  <c r="AW1622" i="2"/>
  <c r="BM1622" i="2" s="1"/>
  <c r="BN1622" i="2" s="1"/>
  <c r="AW1623" i="2"/>
  <c r="AW1624" i="2"/>
  <c r="BM1624" i="2" s="1"/>
  <c r="BN1624" i="2" s="1"/>
  <c r="AW1625" i="2"/>
  <c r="BM1625" i="2" s="1"/>
  <c r="BN1625" i="2" s="1"/>
  <c r="AW1626" i="2"/>
  <c r="BM1626" i="2" s="1"/>
  <c r="BN1626" i="2" s="1"/>
  <c r="AW1627" i="2"/>
  <c r="AW1628" i="2"/>
  <c r="BM1628" i="2" s="1"/>
  <c r="BN1628" i="2" s="1"/>
  <c r="AW1629" i="2"/>
  <c r="BM1629" i="2" s="1"/>
  <c r="BN1629" i="2" s="1"/>
  <c r="AW1630" i="2"/>
  <c r="BM1630" i="2" s="1"/>
  <c r="BN1630" i="2" s="1"/>
  <c r="AW1631" i="2"/>
  <c r="AW1632" i="2"/>
  <c r="BM1632" i="2" s="1"/>
  <c r="BN1632" i="2" s="1"/>
  <c r="AW1633" i="2"/>
  <c r="BM1633" i="2" s="1"/>
  <c r="BN1633" i="2" s="1"/>
  <c r="AW1634" i="2"/>
  <c r="BM1634" i="2" s="1"/>
  <c r="BN1634" i="2" s="1"/>
  <c r="AW1635" i="2"/>
  <c r="AW1636" i="2"/>
  <c r="BM1636" i="2" s="1"/>
  <c r="BN1636" i="2" s="1"/>
  <c r="AW1637" i="2"/>
  <c r="BM1637" i="2" s="1"/>
  <c r="BN1637" i="2" s="1"/>
  <c r="AW1638" i="2"/>
  <c r="BM1638" i="2" s="1"/>
  <c r="BN1638" i="2" s="1"/>
  <c r="AW1639" i="2"/>
  <c r="AW1640" i="2"/>
  <c r="BM1640" i="2" s="1"/>
  <c r="BN1640" i="2" s="1"/>
  <c r="AW1641" i="2"/>
  <c r="BM1641" i="2" s="1"/>
  <c r="BN1641" i="2" s="1"/>
  <c r="AW1642" i="2"/>
  <c r="BM1642" i="2" s="1"/>
  <c r="BN1642" i="2" s="1"/>
  <c r="AW1643" i="2"/>
  <c r="AW1644" i="2"/>
  <c r="BM1644" i="2" s="1"/>
  <c r="BN1644" i="2" s="1"/>
  <c r="AW1645" i="2"/>
  <c r="BM1645" i="2" s="1"/>
  <c r="BN1645" i="2" s="1"/>
  <c r="AW1646" i="2"/>
  <c r="BM1646" i="2" s="1"/>
  <c r="BN1646" i="2" s="1"/>
  <c r="AW1647" i="2"/>
  <c r="AW1648" i="2"/>
  <c r="BM1648" i="2" s="1"/>
  <c r="BN1648" i="2" s="1"/>
  <c r="AW1649" i="2"/>
  <c r="BM1649" i="2" s="1"/>
  <c r="BN1649" i="2" s="1"/>
  <c r="AW1650" i="2"/>
  <c r="BM1650" i="2" s="1"/>
  <c r="BN1650" i="2" s="1"/>
  <c r="AW1651" i="2"/>
  <c r="AW1652" i="2"/>
  <c r="BM1652" i="2" s="1"/>
  <c r="BN1652" i="2" s="1"/>
  <c r="AW1653" i="2"/>
  <c r="BM1653" i="2" s="1"/>
  <c r="BN1653" i="2" s="1"/>
  <c r="AW1654" i="2"/>
  <c r="BM1654" i="2" s="1"/>
  <c r="BN1654" i="2" s="1"/>
  <c r="AW1655" i="2"/>
  <c r="AW1656" i="2"/>
  <c r="BM1656" i="2" s="1"/>
  <c r="BN1656" i="2" s="1"/>
  <c r="AW1657" i="2"/>
  <c r="BM1657" i="2" s="1"/>
  <c r="BN1657" i="2" s="1"/>
  <c r="AW1658" i="2"/>
  <c r="BM1658" i="2" s="1"/>
  <c r="BN1658" i="2" s="1"/>
  <c r="AW1659" i="2"/>
  <c r="AW1660" i="2"/>
  <c r="BM1660" i="2" s="1"/>
  <c r="BN1660" i="2" s="1"/>
  <c r="AW1661" i="2"/>
  <c r="BM1661" i="2" s="1"/>
  <c r="BN1661" i="2" s="1"/>
  <c r="AW1662" i="2"/>
  <c r="BM1662" i="2" s="1"/>
  <c r="BN1662" i="2" s="1"/>
  <c r="AW1663" i="2"/>
  <c r="AW1664" i="2"/>
  <c r="BM1664" i="2" s="1"/>
  <c r="BN1664" i="2" s="1"/>
  <c r="AW1665" i="2"/>
  <c r="BM1665" i="2" s="1"/>
  <c r="BN1665" i="2" s="1"/>
  <c r="AW1666" i="2"/>
  <c r="BM1666" i="2" s="1"/>
  <c r="BN1666" i="2" s="1"/>
  <c r="AW1667" i="2"/>
  <c r="AW1668" i="2"/>
  <c r="BM1668" i="2" s="1"/>
  <c r="BN1668" i="2" s="1"/>
  <c r="AW1669" i="2"/>
  <c r="BM1669" i="2" s="1"/>
  <c r="BN1669" i="2" s="1"/>
  <c r="AW1670" i="2"/>
  <c r="BM1670" i="2" s="1"/>
  <c r="BN1670" i="2" s="1"/>
  <c r="AW1671" i="2"/>
  <c r="AW1672" i="2"/>
  <c r="BM1672" i="2" s="1"/>
  <c r="BN1672" i="2" s="1"/>
  <c r="AW1673" i="2"/>
  <c r="BM1673" i="2" s="1"/>
  <c r="BN1673" i="2" s="1"/>
  <c r="AW1674" i="2"/>
  <c r="BM1674" i="2" s="1"/>
  <c r="BN1674" i="2" s="1"/>
  <c r="AW1675" i="2"/>
  <c r="AW1676" i="2"/>
  <c r="BM1676" i="2" s="1"/>
  <c r="BN1676" i="2" s="1"/>
  <c r="AW1677" i="2"/>
  <c r="BM1677" i="2" s="1"/>
  <c r="BN1677" i="2" s="1"/>
  <c r="AW1678" i="2"/>
  <c r="BM1678" i="2" s="1"/>
  <c r="BN1678" i="2" s="1"/>
  <c r="AW1679" i="2"/>
  <c r="AW1680" i="2"/>
  <c r="BM1680" i="2" s="1"/>
  <c r="BN1680" i="2" s="1"/>
  <c r="AW1681" i="2"/>
  <c r="BM1681" i="2" s="1"/>
  <c r="BN1681" i="2" s="1"/>
  <c r="AW1682" i="2"/>
  <c r="BM1682" i="2" s="1"/>
  <c r="BN1682" i="2" s="1"/>
  <c r="AW1683" i="2"/>
  <c r="AW1684" i="2"/>
  <c r="BM1684" i="2" s="1"/>
  <c r="BN1684" i="2" s="1"/>
  <c r="AW1685" i="2"/>
  <c r="BM1685" i="2" s="1"/>
  <c r="BN1685" i="2" s="1"/>
  <c r="AW1686" i="2"/>
  <c r="BM1686" i="2" s="1"/>
  <c r="BN1686" i="2" s="1"/>
  <c r="AW1687" i="2"/>
  <c r="AW1688" i="2"/>
  <c r="BM1688" i="2" s="1"/>
  <c r="BN1688" i="2" s="1"/>
  <c r="AW1689" i="2"/>
  <c r="BM1689" i="2" s="1"/>
  <c r="BN1689" i="2" s="1"/>
  <c r="AW1690" i="2"/>
  <c r="BM1690" i="2" s="1"/>
  <c r="BN1690" i="2" s="1"/>
  <c r="AW1691" i="2"/>
  <c r="AW1692" i="2"/>
  <c r="BM1692" i="2" s="1"/>
  <c r="BN1692" i="2" s="1"/>
  <c r="AW1693" i="2"/>
  <c r="BM1693" i="2" s="1"/>
  <c r="BN1693" i="2" s="1"/>
  <c r="AW1694" i="2"/>
  <c r="BM1694" i="2" s="1"/>
  <c r="BN1694" i="2" s="1"/>
  <c r="AW1695" i="2"/>
  <c r="AW1696" i="2"/>
  <c r="BM1696" i="2" s="1"/>
  <c r="BN1696" i="2" s="1"/>
  <c r="AW1697" i="2"/>
  <c r="BM1697" i="2" s="1"/>
  <c r="BN1697" i="2" s="1"/>
  <c r="AW1698" i="2"/>
  <c r="BM1698" i="2" s="1"/>
  <c r="BN1698" i="2" s="1"/>
  <c r="AW1699" i="2"/>
  <c r="AW1700" i="2"/>
  <c r="BM1700" i="2" s="1"/>
  <c r="BN1700" i="2" s="1"/>
  <c r="AW1701" i="2"/>
  <c r="BM1701" i="2" s="1"/>
  <c r="BN1701" i="2" s="1"/>
  <c r="AW1702" i="2"/>
  <c r="BM1702" i="2" s="1"/>
  <c r="BN1702" i="2" s="1"/>
  <c r="AW1703" i="2"/>
  <c r="AW1704" i="2"/>
  <c r="BM1704" i="2" s="1"/>
  <c r="BN1704" i="2" s="1"/>
  <c r="AW1705" i="2"/>
  <c r="BM1705" i="2" s="1"/>
  <c r="BN1705" i="2" s="1"/>
  <c r="AW1706" i="2"/>
  <c r="BM1706" i="2" s="1"/>
  <c r="BN1706" i="2" s="1"/>
  <c r="AW1707" i="2"/>
  <c r="AW1708" i="2"/>
  <c r="BM1708" i="2" s="1"/>
  <c r="BN1708" i="2" s="1"/>
  <c r="AW1709" i="2"/>
  <c r="BM1709" i="2" s="1"/>
  <c r="BN1709" i="2" s="1"/>
  <c r="AW1710" i="2"/>
  <c r="BM1710" i="2" s="1"/>
  <c r="BN1710" i="2" s="1"/>
  <c r="AW1711" i="2"/>
  <c r="AW1712" i="2"/>
  <c r="BM1712" i="2" s="1"/>
  <c r="BN1712" i="2" s="1"/>
  <c r="AW1713" i="2"/>
  <c r="BM1713" i="2" s="1"/>
  <c r="BN1713" i="2" s="1"/>
  <c r="AW1714" i="2"/>
  <c r="BM1714" i="2" s="1"/>
  <c r="BN1714" i="2" s="1"/>
  <c r="AW1715" i="2"/>
  <c r="AW1716" i="2"/>
  <c r="BM1716" i="2" s="1"/>
  <c r="BN1716" i="2" s="1"/>
  <c r="AW1717" i="2"/>
  <c r="BM1717" i="2" s="1"/>
  <c r="BN1717" i="2" s="1"/>
  <c r="AW1718" i="2"/>
  <c r="BM1718" i="2" s="1"/>
  <c r="BN1718" i="2" s="1"/>
  <c r="AW1719" i="2"/>
  <c r="AW1720" i="2"/>
  <c r="BM1720" i="2" s="1"/>
  <c r="BN1720" i="2" s="1"/>
  <c r="AW1721" i="2"/>
  <c r="BM1721" i="2" s="1"/>
  <c r="BN1721" i="2" s="1"/>
  <c r="AW1722" i="2"/>
  <c r="BM1722" i="2" s="1"/>
  <c r="BN1722" i="2" s="1"/>
  <c r="AW1723" i="2"/>
  <c r="AW1724" i="2"/>
  <c r="BM1724" i="2" s="1"/>
  <c r="BN1724" i="2" s="1"/>
  <c r="AW1725" i="2"/>
  <c r="BM1725" i="2" s="1"/>
  <c r="BN1725" i="2" s="1"/>
  <c r="AW1726" i="2"/>
  <c r="BM1726" i="2" s="1"/>
  <c r="BN1726" i="2" s="1"/>
  <c r="AW1727" i="2"/>
  <c r="AW1728" i="2"/>
  <c r="BM1728" i="2" s="1"/>
  <c r="BN1728" i="2" s="1"/>
  <c r="AW1729" i="2"/>
  <c r="BM1729" i="2" s="1"/>
  <c r="BN1729" i="2" s="1"/>
  <c r="AW1730" i="2"/>
  <c r="BM1730" i="2" s="1"/>
  <c r="BN1730" i="2" s="1"/>
  <c r="AW1731" i="2"/>
  <c r="AW1732" i="2"/>
  <c r="BM1732" i="2" s="1"/>
  <c r="BN1732" i="2" s="1"/>
  <c r="AW1733" i="2"/>
  <c r="BM1733" i="2" s="1"/>
  <c r="BN1733" i="2" s="1"/>
  <c r="AW1734" i="2"/>
  <c r="BM1734" i="2" s="1"/>
  <c r="BN1734" i="2" s="1"/>
  <c r="AW1735" i="2"/>
  <c r="AW1736" i="2"/>
  <c r="BM1736" i="2" s="1"/>
  <c r="BN1736" i="2" s="1"/>
  <c r="AW1737" i="2"/>
  <c r="BM1737" i="2" s="1"/>
  <c r="BN1737" i="2" s="1"/>
  <c r="AW1738" i="2"/>
  <c r="BM1738" i="2" s="1"/>
  <c r="BN1738" i="2" s="1"/>
  <c r="AW1739" i="2"/>
  <c r="AW1740" i="2"/>
  <c r="BM1740" i="2" s="1"/>
  <c r="BN1740" i="2" s="1"/>
  <c r="AW1741" i="2"/>
  <c r="BM1741" i="2" s="1"/>
  <c r="BN1741" i="2" s="1"/>
  <c r="AW1742" i="2"/>
  <c r="BM1742" i="2" s="1"/>
  <c r="BN1742" i="2" s="1"/>
  <c r="AW1743" i="2"/>
  <c r="AW1744" i="2"/>
  <c r="BM1744" i="2" s="1"/>
  <c r="BN1744" i="2" s="1"/>
  <c r="AW1745" i="2"/>
  <c r="BM1745" i="2" s="1"/>
  <c r="BN1745" i="2" s="1"/>
  <c r="AW1746" i="2"/>
  <c r="BM1746" i="2" s="1"/>
  <c r="BN1746" i="2" s="1"/>
  <c r="AW1747" i="2"/>
  <c r="AW1748" i="2"/>
  <c r="BM1748" i="2" s="1"/>
  <c r="BN1748" i="2" s="1"/>
  <c r="AW1749" i="2"/>
  <c r="BM1749" i="2" s="1"/>
  <c r="BN1749" i="2" s="1"/>
  <c r="AW1750" i="2"/>
  <c r="BM1750" i="2" s="1"/>
  <c r="BN1750" i="2" s="1"/>
  <c r="AW1751" i="2"/>
  <c r="AW1752" i="2"/>
  <c r="BM1752" i="2" s="1"/>
  <c r="BN1752" i="2" s="1"/>
  <c r="AW1753" i="2"/>
  <c r="BM1753" i="2" s="1"/>
  <c r="BN1753" i="2" s="1"/>
  <c r="AW1754" i="2"/>
  <c r="BM1754" i="2" s="1"/>
  <c r="BN1754" i="2" s="1"/>
  <c r="AW1755" i="2"/>
  <c r="AW1756" i="2"/>
  <c r="BM1756" i="2" s="1"/>
  <c r="BN1756" i="2" s="1"/>
  <c r="AW1757" i="2"/>
  <c r="BM1757" i="2" s="1"/>
  <c r="BN1757" i="2" s="1"/>
  <c r="AW1758" i="2"/>
  <c r="BM1758" i="2" s="1"/>
  <c r="BN1758" i="2" s="1"/>
  <c r="AW1759" i="2"/>
  <c r="AW1760" i="2"/>
  <c r="BM1760" i="2" s="1"/>
  <c r="BN1760" i="2" s="1"/>
  <c r="AW1761" i="2"/>
  <c r="BM1761" i="2" s="1"/>
  <c r="BN1761" i="2" s="1"/>
  <c r="AW1762" i="2"/>
  <c r="BM1762" i="2" s="1"/>
  <c r="BN1762" i="2" s="1"/>
  <c r="AW1763" i="2"/>
  <c r="AW1764" i="2"/>
  <c r="BM1764" i="2" s="1"/>
  <c r="BN1764" i="2" s="1"/>
  <c r="AW1765" i="2"/>
  <c r="BM1765" i="2" s="1"/>
  <c r="BN1765" i="2" s="1"/>
  <c r="AW1766" i="2"/>
  <c r="BM1766" i="2" s="1"/>
  <c r="BN1766" i="2" s="1"/>
  <c r="AW1767" i="2"/>
  <c r="AW1768" i="2"/>
  <c r="BM1768" i="2" s="1"/>
  <c r="BN1768" i="2" s="1"/>
  <c r="AW1769" i="2"/>
  <c r="BM1769" i="2" s="1"/>
  <c r="BN1769" i="2" s="1"/>
  <c r="AW1770" i="2"/>
  <c r="BM1770" i="2" s="1"/>
  <c r="BN1770" i="2" s="1"/>
  <c r="AW1771" i="2"/>
  <c r="AW1772" i="2"/>
  <c r="BM1772" i="2" s="1"/>
  <c r="BN1772" i="2" s="1"/>
  <c r="AW1773" i="2"/>
  <c r="BM1773" i="2" s="1"/>
  <c r="BN1773" i="2" s="1"/>
  <c r="AW1774" i="2"/>
  <c r="BM1774" i="2" s="1"/>
  <c r="BN1774" i="2" s="1"/>
  <c r="AW1775" i="2"/>
  <c r="AW1776" i="2"/>
  <c r="BM1776" i="2" s="1"/>
  <c r="BN1776" i="2" s="1"/>
  <c r="AW1777" i="2"/>
  <c r="BM1777" i="2" s="1"/>
  <c r="BN1777" i="2" s="1"/>
  <c r="AW1778" i="2"/>
  <c r="BM1778" i="2" s="1"/>
  <c r="BN1778" i="2" s="1"/>
  <c r="AW1779" i="2"/>
  <c r="AW1780" i="2"/>
  <c r="BM1780" i="2" s="1"/>
  <c r="BN1780" i="2" s="1"/>
  <c r="AW1781" i="2"/>
  <c r="BM1781" i="2" s="1"/>
  <c r="BN1781" i="2" s="1"/>
  <c r="AW1782" i="2"/>
  <c r="BM1782" i="2" s="1"/>
  <c r="BN1782" i="2" s="1"/>
  <c r="AW1783" i="2"/>
  <c r="AW1784" i="2"/>
  <c r="BM1784" i="2" s="1"/>
  <c r="BN1784" i="2" s="1"/>
  <c r="AW1785" i="2"/>
  <c r="BM1785" i="2" s="1"/>
  <c r="BN1785" i="2" s="1"/>
  <c r="AW1786" i="2"/>
  <c r="BM1786" i="2" s="1"/>
  <c r="BN1786" i="2" s="1"/>
  <c r="AW1787" i="2"/>
  <c r="AW1788" i="2"/>
  <c r="BM1788" i="2" s="1"/>
  <c r="BN1788" i="2" s="1"/>
  <c r="AW1789" i="2"/>
  <c r="BM1789" i="2" s="1"/>
  <c r="BN1789" i="2" s="1"/>
  <c r="AW1790" i="2"/>
  <c r="BM1790" i="2" s="1"/>
  <c r="BN1790" i="2" s="1"/>
  <c r="AW1791" i="2"/>
  <c r="AW1792" i="2"/>
  <c r="BM1792" i="2" s="1"/>
  <c r="BN1792" i="2" s="1"/>
  <c r="AW1793" i="2"/>
  <c r="BM1793" i="2" s="1"/>
  <c r="BN1793" i="2" s="1"/>
  <c r="AW1794" i="2"/>
  <c r="BM1794" i="2" s="1"/>
  <c r="BN1794" i="2" s="1"/>
  <c r="AW1795" i="2"/>
  <c r="AW1796" i="2"/>
  <c r="BM1796" i="2" s="1"/>
  <c r="BN1796" i="2" s="1"/>
  <c r="AW1797" i="2"/>
  <c r="BM1797" i="2" s="1"/>
  <c r="BN1797" i="2" s="1"/>
  <c r="AW1798" i="2"/>
  <c r="BM1798" i="2" s="1"/>
  <c r="BN1798" i="2" s="1"/>
  <c r="AW1799" i="2"/>
  <c r="AW1800" i="2"/>
  <c r="BM1800" i="2" s="1"/>
  <c r="BN1800" i="2" s="1"/>
  <c r="AW1801" i="2"/>
  <c r="BM1801" i="2" s="1"/>
  <c r="BN1801" i="2" s="1"/>
  <c r="AW1802" i="2"/>
  <c r="BM1802" i="2" s="1"/>
  <c r="BN1802" i="2" s="1"/>
  <c r="AW1803" i="2"/>
  <c r="AW1804" i="2"/>
  <c r="BM1804" i="2" s="1"/>
  <c r="BN1804" i="2" s="1"/>
  <c r="AW1805" i="2"/>
  <c r="BM1805" i="2" s="1"/>
  <c r="BN1805" i="2" s="1"/>
  <c r="AW1806" i="2"/>
  <c r="BM1806" i="2" s="1"/>
  <c r="BN1806" i="2" s="1"/>
  <c r="AW1807" i="2"/>
  <c r="AW1808" i="2"/>
  <c r="BM1808" i="2" s="1"/>
  <c r="BN1808" i="2" s="1"/>
  <c r="AW1809" i="2"/>
  <c r="BM1809" i="2" s="1"/>
  <c r="BN1809" i="2" s="1"/>
  <c r="AW1810" i="2"/>
  <c r="BM1810" i="2" s="1"/>
  <c r="BN1810" i="2" s="1"/>
  <c r="AW1811" i="2"/>
  <c r="AW1812" i="2"/>
  <c r="BM1812" i="2" s="1"/>
  <c r="BN1812" i="2" s="1"/>
  <c r="AW1813" i="2"/>
  <c r="BM1813" i="2" s="1"/>
  <c r="BN1813" i="2" s="1"/>
  <c r="AW1814" i="2"/>
  <c r="BM1814" i="2" s="1"/>
  <c r="BN1814" i="2" s="1"/>
  <c r="AW1815" i="2"/>
  <c r="AW1816" i="2"/>
  <c r="BM1816" i="2" s="1"/>
  <c r="BN1816" i="2" s="1"/>
  <c r="AW1817" i="2"/>
  <c r="BM1817" i="2" s="1"/>
  <c r="BN1817" i="2" s="1"/>
  <c r="AW1818" i="2"/>
  <c r="BM1818" i="2" s="1"/>
  <c r="BN1818" i="2" s="1"/>
  <c r="AW1819" i="2"/>
  <c r="AW1820" i="2"/>
  <c r="BM1820" i="2" s="1"/>
  <c r="BN1820" i="2" s="1"/>
  <c r="AW1821" i="2"/>
  <c r="BM1821" i="2" s="1"/>
  <c r="BN1821" i="2" s="1"/>
  <c r="AW1822" i="2"/>
  <c r="BM1822" i="2" s="1"/>
  <c r="BN1822" i="2" s="1"/>
  <c r="AW1823" i="2"/>
  <c r="AW1824" i="2"/>
  <c r="BM1824" i="2" s="1"/>
  <c r="BN1824" i="2" s="1"/>
  <c r="AW1825" i="2"/>
  <c r="BM1825" i="2" s="1"/>
  <c r="BN1825" i="2" s="1"/>
  <c r="AW1826" i="2"/>
  <c r="BM1826" i="2" s="1"/>
  <c r="BN1826" i="2" s="1"/>
  <c r="AW1827" i="2"/>
  <c r="AW1828" i="2"/>
  <c r="BM1828" i="2" s="1"/>
  <c r="BN1828" i="2" s="1"/>
  <c r="AW1829" i="2"/>
  <c r="BM1829" i="2" s="1"/>
  <c r="BN1829" i="2" s="1"/>
  <c r="AW1830" i="2"/>
  <c r="BM1830" i="2" s="1"/>
  <c r="BN1830" i="2" s="1"/>
  <c r="AW1831" i="2"/>
  <c r="AW1832" i="2"/>
  <c r="BM1832" i="2" s="1"/>
  <c r="BN1832" i="2" s="1"/>
  <c r="AW1833" i="2"/>
  <c r="BM1833" i="2" s="1"/>
  <c r="BN1833" i="2" s="1"/>
  <c r="AW1834" i="2"/>
  <c r="BM1834" i="2" s="1"/>
  <c r="BN1834" i="2" s="1"/>
  <c r="AW1835" i="2"/>
  <c r="AW1836" i="2"/>
  <c r="BM1836" i="2" s="1"/>
  <c r="BN1836" i="2" s="1"/>
  <c r="AW1837" i="2"/>
  <c r="BM1837" i="2" s="1"/>
  <c r="BN1837" i="2" s="1"/>
  <c r="AW1838" i="2"/>
  <c r="BM1838" i="2" s="1"/>
  <c r="BN1838" i="2" s="1"/>
  <c r="AW1839" i="2"/>
  <c r="AW1840" i="2"/>
  <c r="BM1840" i="2" s="1"/>
  <c r="BN1840" i="2" s="1"/>
  <c r="AW1841" i="2"/>
  <c r="BM1841" i="2" s="1"/>
  <c r="BN1841" i="2" s="1"/>
  <c r="AW1842" i="2"/>
  <c r="BM1842" i="2" s="1"/>
  <c r="BN1842" i="2" s="1"/>
  <c r="AW1843" i="2"/>
  <c r="AW1844" i="2"/>
  <c r="BM1844" i="2" s="1"/>
  <c r="BN1844" i="2" s="1"/>
  <c r="AW1845" i="2"/>
  <c r="BM1845" i="2" s="1"/>
  <c r="BN1845" i="2" s="1"/>
  <c r="AW1846" i="2"/>
  <c r="BM1846" i="2" s="1"/>
  <c r="BN1846" i="2" s="1"/>
  <c r="AW1847" i="2"/>
  <c r="AW1848" i="2"/>
  <c r="BM1848" i="2" s="1"/>
  <c r="BN1848" i="2" s="1"/>
  <c r="AW1849" i="2"/>
  <c r="BM1849" i="2" s="1"/>
  <c r="BN1849" i="2" s="1"/>
  <c r="AW1850" i="2"/>
  <c r="AW1851" i="2"/>
  <c r="AW1852" i="2"/>
  <c r="BM1852" i="2" s="1"/>
  <c r="BN1852" i="2" s="1"/>
  <c r="AW1853" i="2"/>
  <c r="BM1853" i="2" s="1"/>
  <c r="BN1853" i="2" s="1"/>
  <c r="AW1854" i="2"/>
  <c r="AW1855" i="2"/>
  <c r="AW1856" i="2"/>
  <c r="BM1856" i="2" s="1"/>
  <c r="BN1856" i="2" s="1"/>
  <c r="AW1857" i="2"/>
  <c r="BM1857" i="2" s="1"/>
  <c r="BN1857" i="2" s="1"/>
  <c r="AW1858" i="2"/>
  <c r="AW1859" i="2"/>
  <c r="AW1860" i="2"/>
  <c r="BM1860" i="2" s="1"/>
  <c r="BN1860" i="2" s="1"/>
  <c r="AW1861" i="2"/>
  <c r="BM1861" i="2" s="1"/>
  <c r="BN1861" i="2" s="1"/>
  <c r="AW1862" i="2"/>
  <c r="AW1863" i="2"/>
  <c r="AW1864" i="2"/>
  <c r="BM1864" i="2" s="1"/>
  <c r="BN1864" i="2" s="1"/>
  <c r="AW1865" i="2"/>
  <c r="BM1865" i="2" s="1"/>
  <c r="BN1865" i="2" s="1"/>
  <c r="AW1866" i="2"/>
  <c r="AW1867" i="2"/>
  <c r="AW1868" i="2"/>
  <c r="BM1868" i="2" s="1"/>
  <c r="BN1868" i="2" s="1"/>
  <c r="AW1869" i="2"/>
  <c r="BM1869" i="2" s="1"/>
  <c r="BN1869" i="2" s="1"/>
  <c r="AW1870" i="2"/>
  <c r="AW1871" i="2"/>
  <c r="AW1872" i="2"/>
  <c r="BM1872" i="2" s="1"/>
  <c r="BN1872" i="2" s="1"/>
  <c r="AW1873" i="2"/>
  <c r="BM1873" i="2" s="1"/>
  <c r="BN1873" i="2" s="1"/>
  <c r="AW1874" i="2"/>
  <c r="AW1875" i="2"/>
  <c r="AW1876" i="2"/>
  <c r="BM1876" i="2" s="1"/>
  <c r="BN1876" i="2" s="1"/>
  <c r="AW1877" i="2"/>
  <c r="BM1877" i="2" s="1"/>
  <c r="BN1877" i="2" s="1"/>
  <c r="AW1878" i="2"/>
  <c r="AW1879" i="2"/>
  <c r="AW1880" i="2"/>
  <c r="BM1880" i="2" s="1"/>
  <c r="BN1880" i="2" s="1"/>
  <c r="AW1881" i="2"/>
  <c r="BM1881" i="2" s="1"/>
  <c r="BN1881" i="2" s="1"/>
  <c r="AW1882" i="2"/>
  <c r="AW1883" i="2"/>
  <c r="AW1884" i="2"/>
  <c r="BM1884" i="2" s="1"/>
  <c r="BN1884" i="2" s="1"/>
  <c r="AW1885" i="2"/>
  <c r="BM1885" i="2" s="1"/>
  <c r="BN1885" i="2" s="1"/>
  <c r="AW1886" i="2"/>
  <c r="AW1887" i="2"/>
  <c r="AW1888" i="2"/>
  <c r="BM1888" i="2" s="1"/>
  <c r="BN1888" i="2" s="1"/>
  <c r="AW1889" i="2"/>
  <c r="BM1889" i="2" s="1"/>
  <c r="BN1889" i="2" s="1"/>
  <c r="AW1890" i="2"/>
  <c r="AW1891" i="2"/>
  <c r="AW1892" i="2"/>
  <c r="BM1892" i="2" s="1"/>
  <c r="BN1892" i="2" s="1"/>
  <c r="AW1893" i="2"/>
  <c r="BM1893" i="2" s="1"/>
  <c r="BN1893" i="2" s="1"/>
  <c r="AW1894" i="2"/>
  <c r="AW1895" i="2"/>
  <c r="AW1896" i="2"/>
  <c r="BM1896" i="2" s="1"/>
  <c r="BN1896" i="2" s="1"/>
  <c r="AW1897" i="2"/>
  <c r="BM1897" i="2" s="1"/>
  <c r="BN1897" i="2" s="1"/>
  <c r="AW1898" i="2"/>
  <c r="AW1899" i="2"/>
  <c r="AW1900" i="2"/>
  <c r="BM1900" i="2" s="1"/>
  <c r="BN1900" i="2" s="1"/>
  <c r="AW1901" i="2"/>
  <c r="BM1901" i="2" s="1"/>
  <c r="BN1901" i="2" s="1"/>
  <c r="AW1902" i="2"/>
  <c r="AW1903" i="2"/>
  <c r="AW1904" i="2"/>
  <c r="BM1904" i="2" s="1"/>
  <c r="BN1904" i="2" s="1"/>
  <c r="AW1905" i="2"/>
  <c r="BM1905" i="2" s="1"/>
  <c r="BN1905" i="2" s="1"/>
  <c r="AW1906" i="2"/>
  <c r="AW1907" i="2"/>
  <c r="AW1908" i="2"/>
  <c r="BM1908" i="2" s="1"/>
  <c r="BN1908" i="2" s="1"/>
  <c r="AW1909" i="2"/>
  <c r="BM1909" i="2" s="1"/>
  <c r="BN1909" i="2" s="1"/>
  <c r="AW1910" i="2"/>
  <c r="AW1911" i="2"/>
  <c r="AW1912" i="2"/>
  <c r="BM1912" i="2" s="1"/>
  <c r="BN1912" i="2" s="1"/>
  <c r="AW1913" i="2"/>
  <c r="BM1913" i="2" s="1"/>
  <c r="BN1913" i="2" s="1"/>
  <c r="AW1914" i="2"/>
  <c r="AW1915" i="2"/>
  <c r="AW1916" i="2"/>
  <c r="BM1916" i="2" s="1"/>
  <c r="BN1916" i="2" s="1"/>
  <c r="AW1917" i="2"/>
  <c r="BM1917" i="2" s="1"/>
  <c r="BN1917" i="2" s="1"/>
  <c r="AW1918" i="2"/>
  <c r="AW1919" i="2"/>
  <c r="AW1920" i="2"/>
  <c r="BM1920" i="2" s="1"/>
  <c r="BN1920" i="2" s="1"/>
  <c r="AW1921" i="2"/>
  <c r="BM1921" i="2" s="1"/>
  <c r="BN1921" i="2" s="1"/>
  <c r="AW1922" i="2"/>
  <c r="AW1923" i="2"/>
  <c r="AW1924" i="2"/>
  <c r="BM1924" i="2" s="1"/>
  <c r="BN1924" i="2" s="1"/>
  <c r="AW1925" i="2"/>
  <c r="BM1925" i="2" s="1"/>
  <c r="BN1925" i="2" s="1"/>
  <c r="AW1926" i="2"/>
  <c r="AW1927" i="2"/>
  <c r="AW1928" i="2"/>
  <c r="BM1928" i="2" s="1"/>
  <c r="BN1928" i="2" s="1"/>
  <c r="AW1929" i="2"/>
  <c r="BM1929" i="2" s="1"/>
  <c r="BN1929" i="2" s="1"/>
  <c r="AW1930" i="2"/>
  <c r="AW1931" i="2"/>
  <c r="AW1932" i="2"/>
  <c r="BM1932" i="2" s="1"/>
  <c r="BN1932" i="2" s="1"/>
  <c r="AW1933" i="2"/>
  <c r="BM1933" i="2" s="1"/>
  <c r="BN1933" i="2" s="1"/>
  <c r="AW1934" i="2"/>
  <c r="AW1935" i="2"/>
  <c r="AW1936" i="2"/>
  <c r="BM1936" i="2" s="1"/>
  <c r="BN1936" i="2" s="1"/>
  <c r="AW1937" i="2"/>
  <c r="BM1937" i="2" s="1"/>
  <c r="BN1937" i="2" s="1"/>
  <c r="AW1938" i="2"/>
  <c r="AW1939" i="2"/>
  <c r="AW1940" i="2"/>
  <c r="BM1940" i="2" s="1"/>
  <c r="BN1940" i="2" s="1"/>
  <c r="AW1941" i="2"/>
  <c r="BM1941" i="2" s="1"/>
  <c r="BN1941" i="2" s="1"/>
  <c r="AW1942" i="2"/>
  <c r="AW1943" i="2"/>
  <c r="AW1944" i="2"/>
  <c r="BM1944" i="2" s="1"/>
  <c r="BN1944" i="2" s="1"/>
  <c r="AW1945" i="2"/>
  <c r="BM1945" i="2" s="1"/>
  <c r="BN1945" i="2" s="1"/>
  <c r="AW1946" i="2"/>
  <c r="AW1947" i="2"/>
  <c r="AW1948" i="2"/>
  <c r="BM1948" i="2" s="1"/>
  <c r="BN1948" i="2" s="1"/>
  <c r="AW1949" i="2"/>
  <c r="BM1949" i="2" s="1"/>
  <c r="BN1949" i="2" s="1"/>
  <c r="AW1950" i="2"/>
  <c r="AW1951" i="2"/>
  <c r="AW1952" i="2"/>
  <c r="BM1952" i="2" s="1"/>
  <c r="BN1952" i="2" s="1"/>
  <c r="AW1953" i="2"/>
  <c r="BM1953" i="2" s="1"/>
  <c r="BN1953" i="2" s="1"/>
  <c r="AW1954" i="2"/>
  <c r="AW1955" i="2"/>
  <c r="AW1956" i="2"/>
  <c r="BM1956" i="2" s="1"/>
  <c r="BN1956" i="2" s="1"/>
  <c r="AW1957" i="2"/>
  <c r="BM1957" i="2" s="1"/>
  <c r="BN1957" i="2" s="1"/>
  <c r="AW1958" i="2"/>
  <c r="AW1959" i="2"/>
  <c r="AW1960" i="2"/>
  <c r="BM1960" i="2" s="1"/>
  <c r="BN1960" i="2" s="1"/>
  <c r="AW1961" i="2"/>
  <c r="BM1961" i="2" s="1"/>
  <c r="BN1961" i="2" s="1"/>
  <c r="AW1962" i="2"/>
  <c r="AW1963" i="2"/>
  <c r="AW1964" i="2"/>
  <c r="BM1964" i="2" s="1"/>
  <c r="BN1964" i="2" s="1"/>
  <c r="AW1965" i="2"/>
  <c r="BM1965" i="2" s="1"/>
  <c r="BN1965" i="2" s="1"/>
  <c r="AW1966" i="2"/>
  <c r="AW1967" i="2"/>
  <c r="AW1968" i="2"/>
  <c r="BM1968" i="2" s="1"/>
  <c r="BN1968" i="2" s="1"/>
  <c r="AW1969" i="2"/>
  <c r="BM1969" i="2" s="1"/>
  <c r="BN1969" i="2" s="1"/>
  <c r="AW1970" i="2"/>
  <c r="AW1971" i="2"/>
  <c r="AW1972" i="2"/>
  <c r="BM1972" i="2" s="1"/>
  <c r="BN1972" i="2" s="1"/>
  <c r="AW1973" i="2"/>
  <c r="BM1973" i="2" s="1"/>
  <c r="BN1973" i="2" s="1"/>
  <c r="AW1974" i="2"/>
  <c r="AW1975" i="2"/>
  <c r="AW1976" i="2"/>
  <c r="BM1976" i="2" s="1"/>
  <c r="BN1976" i="2" s="1"/>
  <c r="AW1977" i="2"/>
  <c r="BM1977" i="2" s="1"/>
  <c r="BN1977" i="2" s="1"/>
  <c r="AW1978" i="2"/>
  <c r="AW1979" i="2"/>
  <c r="AW1980" i="2"/>
  <c r="BM1980" i="2" s="1"/>
  <c r="BN1980" i="2" s="1"/>
  <c r="AW1981" i="2"/>
  <c r="BM1981" i="2" s="1"/>
  <c r="BN1981" i="2" s="1"/>
  <c r="AW1982" i="2"/>
  <c r="AW1983" i="2"/>
  <c r="AW1984" i="2"/>
  <c r="BM1984" i="2" s="1"/>
  <c r="BN1984" i="2" s="1"/>
  <c r="AW1985" i="2"/>
  <c r="BM1985" i="2" s="1"/>
  <c r="BN1985" i="2" s="1"/>
  <c r="AW1986" i="2"/>
  <c r="AW1987" i="2"/>
  <c r="AW1988" i="2"/>
  <c r="BM1988" i="2" s="1"/>
  <c r="BN1988" i="2" s="1"/>
  <c r="AW1989" i="2"/>
  <c r="BM1989" i="2" s="1"/>
  <c r="BN1989" i="2" s="1"/>
  <c r="AW1990" i="2"/>
  <c r="AW1991" i="2"/>
  <c r="AW1992" i="2"/>
  <c r="BM1992" i="2" s="1"/>
  <c r="BN1992" i="2" s="1"/>
  <c r="AW1993" i="2"/>
  <c r="BM1993" i="2" s="1"/>
  <c r="BN1993" i="2" s="1"/>
  <c r="AW1994" i="2"/>
  <c r="AW1995" i="2"/>
  <c r="AW1996" i="2"/>
  <c r="BM1996" i="2" s="1"/>
  <c r="BN1996" i="2" s="1"/>
  <c r="AW1997" i="2"/>
  <c r="BM1997" i="2" s="1"/>
  <c r="BN1997" i="2" s="1"/>
  <c r="AW1998" i="2"/>
  <c r="AW1999" i="2"/>
  <c r="AW2000" i="2"/>
  <c r="BM2000" i="2" s="1"/>
  <c r="BN2000" i="2" s="1"/>
  <c r="AW2001" i="2"/>
  <c r="BM2001" i="2" s="1"/>
  <c r="BN2001" i="2" s="1"/>
  <c r="AW2002" i="2"/>
  <c r="AW2003" i="2"/>
  <c r="AW2004" i="2"/>
  <c r="BM2004" i="2" s="1"/>
  <c r="BN2004" i="2" s="1"/>
  <c r="AW2005" i="2"/>
  <c r="BM2005" i="2" s="1"/>
  <c r="BN2005" i="2" s="1"/>
  <c r="AW2006" i="2"/>
  <c r="AW2007" i="2"/>
  <c r="AW2008" i="2"/>
  <c r="BM2008" i="2" s="1"/>
  <c r="BN2008" i="2" s="1"/>
  <c r="AW2009" i="2"/>
  <c r="BM2009" i="2" s="1"/>
  <c r="BN2009" i="2" s="1"/>
  <c r="AW2010" i="2"/>
  <c r="AW2011" i="2"/>
  <c r="AW2012" i="2"/>
  <c r="BM2012" i="2" s="1"/>
  <c r="BN2012" i="2" s="1"/>
  <c r="AW2013" i="2"/>
  <c r="BM2013" i="2" s="1"/>
  <c r="BN2013" i="2" s="1"/>
  <c r="AW2014" i="2"/>
  <c r="AW2015" i="2"/>
  <c r="AW2016" i="2"/>
  <c r="BM2016" i="2" s="1"/>
  <c r="BN2016" i="2" s="1"/>
  <c r="AW2017" i="2"/>
  <c r="BM2017" i="2" s="1"/>
  <c r="BN2017" i="2" s="1"/>
  <c r="AW2018" i="2"/>
  <c r="AW2019" i="2"/>
  <c r="AW2020" i="2"/>
  <c r="BM2020" i="2" s="1"/>
  <c r="BN2020" i="2" s="1"/>
  <c r="AW2021" i="2"/>
  <c r="BM2021" i="2" s="1"/>
  <c r="BN2021" i="2" s="1"/>
  <c r="AW2022" i="2"/>
  <c r="AW2023" i="2"/>
  <c r="AW2024" i="2"/>
  <c r="BM2024" i="2" s="1"/>
  <c r="BN2024" i="2" s="1"/>
  <c r="AW2025" i="2"/>
  <c r="BM2025" i="2" s="1"/>
  <c r="BN2025" i="2" s="1"/>
  <c r="AW2026" i="2"/>
  <c r="AW2027" i="2"/>
  <c r="AW2028" i="2"/>
  <c r="BM2028" i="2" s="1"/>
  <c r="BN2028" i="2" s="1"/>
  <c r="AW2029" i="2"/>
  <c r="BM2029" i="2" s="1"/>
  <c r="BN2029" i="2" s="1"/>
  <c r="AW2030" i="2"/>
  <c r="AW2031" i="2"/>
  <c r="AW2032" i="2"/>
  <c r="BM2032" i="2" s="1"/>
  <c r="BN2032" i="2" s="1"/>
  <c r="AW2033" i="2"/>
  <c r="BM2033" i="2" s="1"/>
  <c r="BN2033" i="2" s="1"/>
  <c r="AW2034" i="2"/>
  <c r="AW2035" i="2"/>
  <c r="AW2036" i="2"/>
  <c r="BM2036" i="2" s="1"/>
  <c r="BN2036" i="2" s="1"/>
  <c r="AW2037" i="2"/>
  <c r="BM2037" i="2" s="1"/>
  <c r="BN2037" i="2" s="1"/>
  <c r="AW2038" i="2"/>
  <c r="AW2039" i="2"/>
  <c r="AW2040" i="2"/>
  <c r="BM2040" i="2" s="1"/>
  <c r="BN2040" i="2" s="1"/>
  <c r="AW2041" i="2"/>
  <c r="BM2041" i="2" s="1"/>
  <c r="BN2041" i="2" s="1"/>
  <c r="AW2042" i="2"/>
  <c r="AW2043" i="2"/>
  <c r="AW2044" i="2"/>
  <c r="BM2044" i="2" s="1"/>
  <c r="BN2044" i="2" s="1"/>
  <c r="AW2045" i="2"/>
  <c r="BM2045" i="2" s="1"/>
  <c r="BN2045" i="2" s="1"/>
  <c r="AW2046" i="2"/>
  <c r="AW2047" i="2"/>
  <c r="AW2048" i="2"/>
  <c r="BM2048" i="2" s="1"/>
  <c r="BN2048" i="2" s="1"/>
  <c r="AW2049" i="2"/>
  <c r="BM2049" i="2" s="1"/>
  <c r="BN2049" i="2" s="1"/>
  <c r="AW2050" i="2"/>
  <c r="AW2051" i="2"/>
  <c r="AW2052" i="2"/>
  <c r="BM2052" i="2" s="1"/>
  <c r="BN2052" i="2" s="1"/>
  <c r="AW2053" i="2"/>
  <c r="BM2053" i="2" s="1"/>
  <c r="BN2053" i="2" s="1"/>
  <c r="AW2054" i="2"/>
  <c r="AW2055" i="2"/>
  <c r="AW2056" i="2"/>
  <c r="BM2056" i="2" s="1"/>
  <c r="BN2056" i="2" s="1"/>
  <c r="AW2057" i="2"/>
  <c r="BM2057" i="2" s="1"/>
  <c r="BN2057" i="2" s="1"/>
  <c r="AW2058" i="2"/>
  <c r="AW2059" i="2"/>
  <c r="AW2060" i="2"/>
  <c r="BM2060" i="2" s="1"/>
  <c r="BN2060" i="2" s="1"/>
  <c r="AW2061" i="2"/>
  <c r="BM2061" i="2" s="1"/>
  <c r="BN2061" i="2" s="1"/>
  <c r="AW2062" i="2"/>
  <c r="AW2063" i="2"/>
  <c r="AW2064" i="2"/>
  <c r="BM2064" i="2" s="1"/>
  <c r="BN2064" i="2" s="1"/>
  <c r="AW2065" i="2"/>
  <c r="BM2065" i="2" s="1"/>
  <c r="BN2065" i="2" s="1"/>
  <c r="AW2066" i="2"/>
  <c r="AW2067" i="2"/>
  <c r="AW2068" i="2"/>
  <c r="BM2068" i="2" s="1"/>
  <c r="BN2068" i="2" s="1"/>
  <c r="AW2069" i="2"/>
  <c r="BM2069" i="2" s="1"/>
  <c r="BN2069" i="2" s="1"/>
  <c r="AW2070" i="2"/>
  <c r="AW2071" i="2"/>
  <c r="AW2072" i="2"/>
  <c r="BM2072" i="2" s="1"/>
  <c r="BN2072" i="2" s="1"/>
  <c r="AW2073" i="2"/>
  <c r="BM2073" i="2" s="1"/>
  <c r="BN2073" i="2" s="1"/>
  <c r="AW2074" i="2"/>
  <c r="AW2075" i="2"/>
  <c r="AW2076" i="2"/>
  <c r="BM2076" i="2" s="1"/>
  <c r="BN2076" i="2" s="1"/>
  <c r="AW2077" i="2"/>
  <c r="BM2077" i="2" s="1"/>
  <c r="BN2077" i="2" s="1"/>
  <c r="AW2078" i="2"/>
  <c r="AW2079" i="2"/>
  <c r="AW2080" i="2"/>
  <c r="BM2080" i="2" s="1"/>
  <c r="BN2080" i="2" s="1"/>
  <c r="AW2081" i="2"/>
  <c r="BM2081" i="2" s="1"/>
  <c r="BN2081" i="2" s="1"/>
  <c r="AW2082" i="2"/>
  <c r="AW2083" i="2"/>
  <c r="AW2084" i="2"/>
  <c r="BM2084" i="2" s="1"/>
  <c r="BN2084" i="2" s="1"/>
  <c r="AW2085" i="2"/>
  <c r="BM2085" i="2" s="1"/>
  <c r="BN2085" i="2" s="1"/>
  <c r="AW2086" i="2"/>
  <c r="AW2087" i="2"/>
  <c r="AW2088" i="2"/>
  <c r="BM2088" i="2" s="1"/>
  <c r="BN2088" i="2" s="1"/>
  <c r="AW2089" i="2"/>
  <c r="BM2089" i="2" s="1"/>
  <c r="BN2089" i="2" s="1"/>
  <c r="AW2090" i="2"/>
  <c r="AW2091" i="2"/>
  <c r="AW2092" i="2"/>
  <c r="BM2092" i="2" s="1"/>
  <c r="BN2092" i="2" s="1"/>
  <c r="AW2093" i="2"/>
  <c r="BM2093" i="2" s="1"/>
  <c r="BN2093" i="2" s="1"/>
  <c r="AW2094" i="2"/>
  <c r="AW2095" i="2"/>
  <c r="AW2096" i="2"/>
  <c r="BM2096" i="2" s="1"/>
  <c r="BN2096" i="2" s="1"/>
  <c r="AW2097" i="2"/>
  <c r="BM2097" i="2" s="1"/>
  <c r="BN2097" i="2" s="1"/>
  <c r="AW2098" i="2"/>
  <c r="AW2099" i="2"/>
  <c r="AW2100" i="2"/>
  <c r="BM2100" i="2" s="1"/>
  <c r="BN2100" i="2" s="1"/>
  <c r="AW2101" i="2"/>
  <c r="BM2101" i="2" s="1"/>
  <c r="BN2101" i="2" s="1"/>
  <c r="AW2102" i="2"/>
  <c r="AW2103" i="2"/>
  <c r="AW2104" i="2"/>
  <c r="BM2104" i="2" s="1"/>
  <c r="BN2104" i="2" s="1"/>
  <c r="AW2105" i="2"/>
  <c r="BM2105" i="2" s="1"/>
  <c r="BN2105" i="2" s="1"/>
  <c r="AW2106" i="2"/>
  <c r="AW2107" i="2"/>
  <c r="AW2108" i="2"/>
  <c r="BM2108" i="2" s="1"/>
  <c r="BN2108" i="2" s="1"/>
  <c r="AW2109" i="2"/>
  <c r="BM2109" i="2" s="1"/>
  <c r="BN2109" i="2" s="1"/>
  <c r="AW2110" i="2"/>
  <c r="AW2111" i="2"/>
  <c r="AW2112" i="2"/>
  <c r="BM2112" i="2" s="1"/>
  <c r="BN2112" i="2" s="1"/>
  <c r="AW2113" i="2"/>
  <c r="BM2113" i="2" s="1"/>
  <c r="BN2113" i="2" s="1"/>
  <c r="AW2114" i="2"/>
  <c r="AW2115" i="2"/>
  <c r="AW2116" i="2"/>
  <c r="BM2116" i="2" s="1"/>
  <c r="BN2116" i="2" s="1"/>
  <c r="AW2117" i="2"/>
  <c r="BM2117" i="2" s="1"/>
  <c r="BN2117" i="2" s="1"/>
  <c r="AW2118" i="2"/>
  <c r="AW2119" i="2"/>
  <c r="AW2120" i="2"/>
  <c r="BM2120" i="2" s="1"/>
  <c r="BN2120" i="2" s="1"/>
  <c r="AW2121" i="2"/>
  <c r="BM2121" i="2" s="1"/>
  <c r="BN2121" i="2" s="1"/>
  <c r="AW2122" i="2"/>
  <c r="AW2123" i="2"/>
  <c r="AW2124" i="2"/>
  <c r="BM2124" i="2" s="1"/>
  <c r="BN2124" i="2" s="1"/>
  <c r="AW2125" i="2"/>
  <c r="BM2125" i="2" s="1"/>
  <c r="BN2125" i="2" s="1"/>
  <c r="AW2126" i="2"/>
  <c r="AW2127" i="2"/>
  <c r="AW2128" i="2"/>
  <c r="BM2128" i="2" s="1"/>
  <c r="BN2128" i="2" s="1"/>
  <c r="AW2129" i="2"/>
  <c r="BM2129" i="2" s="1"/>
  <c r="BN2129" i="2" s="1"/>
  <c r="AW2130" i="2"/>
  <c r="AW2131" i="2"/>
  <c r="AW2132" i="2"/>
  <c r="BM2132" i="2" s="1"/>
  <c r="BN2132" i="2" s="1"/>
  <c r="AW2" i="2"/>
  <c r="BM2" i="2" s="1"/>
  <c r="BN2" i="2" s="1"/>
  <c r="BO3" i="2"/>
  <c r="BO4" i="2"/>
  <c r="BO5" i="2"/>
  <c r="BO6" i="2"/>
  <c r="BO7" i="2"/>
  <c r="BO8" i="2"/>
  <c r="BO9" i="2"/>
  <c r="BO10" i="2"/>
  <c r="BO11" i="2"/>
  <c r="BO12" i="2"/>
  <c r="BO13" i="2"/>
  <c r="BO14" i="2"/>
  <c r="BO15" i="2"/>
  <c r="BO16" i="2"/>
  <c r="BO17" i="2"/>
  <c r="BO18" i="2"/>
  <c r="BO19" i="2"/>
  <c r="BO20" i="2"/>
  <c r="BO21" i="2"/>
  <c r="BO22" i="2"/>
  <c r="BO23" i="2"/>
  <c r="BO24" i="2"/>
  <c r="BO25" i="2"/>
  <c r="BO26" i="2"/>
  <c r="BO27" i="2"/>
  <c r="BO28" i="2"/>
  <c r="BO29" i="2"/>
  <c r="BO30" i="2"/>
  <c r="BO31" i="2"/>
  <c r="BO32" i="2"/>
  <c r="BO33" i="2"/>
  <c r="BO34" i="2"/>
  <c r="BO35" i="2"/>
  <c r="BO36" i="2"/>
  <c r="BO37" i="2"/>
  <c r="BO38" i="2"/>
  <c r="BO39" i="2"/>
  <c r="BO40" i="2"/>
  <c r="BO41" i="2"/>
  <c r="BO42" i="2"/>
  <c r="BO43" i="2"/>
  <c r="BO44" i="2"/>
  <c r="BO45" i="2"/>
  <c r="BO46" i="2"/>
  <c r="BO47" i="2"/>
  <c r="BO48" i="2"/>
  <c r="BO49" i="2"/>
  <c r="BO50" i="2"/>
  <c r="BO51" i="2"/>
  <c r="BO52" i="2"/>
  <c r="BO53" i="2"/>
  <c r="BO54" i="2"/>
  <c r="BO55" i="2"/>
  <c r="BO56" i="2"/>
  <c r="BO57" i="2"/>
  <c r="BO58" i="2"/>
  <c r="BO59" i="2"/>
  <c r="BO60" i="2"/>
  <c r="BO61" i="2"/>
  <c r="BO62" i="2"/>
  <c r="BO63" i="2"/>
  <c r="BO64" i="2"/>
  <c r="BO65" i="2"/>
  <c r="BO66" i="2"/>
  <c r="BO67" i="2"/>
  <c r="BO68" i="2"/>
  <c r="BO69" i="2"/>
  <c r="BO70" i="2"/>
  <c r="BO71" i="2"/>
  <c r="BO72" i="2"/>
  <c r="BO73" i="2"/>
  <c r="BO74" i="2"/>
  <c r="BO75" i="2"/>
  <c r="BO76" i="2"/>
  <c r="BO77" i="2"/>
  <c r="BO78" i="2"/>
  <c r="BO79" i="2"/>
  <c r="BO80" i="2"/>
  <c r="BO81" i="2"/>
  <c r="BO82" i="2"/>
  <c r="BO83" i="2"/>
  <c r="BO84" i="2"/>
  <c r="BO85" i="2"/>
  <c r="BO86" i="2"/>
  <c r="BO87" i="2"/>
  <c r="BO88" i="2"/>
  <c r="BO89" i="2"/>
  <c r="BO90" i="2"/>
  <c r="BO91" i="2"/>
  <c r="BO92" i="2"/>
  <c r="BO93" i="2"/>
  <c r="BO94" i="2"/>
  <c r="BO95" i="2"/>
  <c r="BO96" i="2"/>
  <c r="BO97" i="2"/>
  <c r="BO98" i="2"/>
  <c r="BO99" i="2"/>
  <c r="BO100" i="2"/>
  <c r="BO101" i="2"/>
  <c r="BO102" i="2"/>
  <c r="BO103" i="2"/>
  <c r="BO104" i="2"/>
  <c r="BO105" i="2"/>
  <c r="BO106" i="2"/>
  <c r="BO107" i="2"/>
  <c r="BO108" i="2"/>
  <c r="BO109" i="2"/>
  <c r="BO110" i="2"/>
  <c r="BO111" i="2"/>
  <c r="BO112" i="2"/>
  <c r="BO113" i="2"/>
  <c r="BO114" i="2"/>
  <c r="BO115" i="2"/>
  <c r="BO116" i="2"/>
  <c r="BO117" i="2"/>
  <c r="BO118" i="2"/>
  <c r="BO119" i="2"/>
  <c r="BO120" i="2"/>
  <c r="BO121" i="2"/>
  <c r="BO122" i="2"/>
  <c r="BO123" i="2"/>
  <c r="BO124" i="2"/>
  <c r="BO125" i="2"/>
  <c r="BO126" i="2"/>
  <c r="BO127" i="2"/>
  <c r="BO128" i="2"/>
  <c r="BO129" i="2"/>
  <c r="BO130" i="2"/>
  <c r="BO131" i="2"/>
  <c r="BO132" i="2"/>
  <c r="BO133" i="2"/>
  <c r="BO134" i="2"/>
  <c r="BO135" i="2"/>
  <c r="BO136" i="2"/>
  <c r="BO137" i="2"/>
  <c r="BO138" i="2"/>
  <c r="BO139" i="2"/>
  <c r="BO140" i="2"/>
  <c r="BO141" i="2"/>
  <c r="BO142" i="2"/>
  <c r="BO143" i="2"/>
  <c r="BO144" i="2"/>
  <c r="BO145" i="2"/>
  <c r="BO146" i="2"/>
  <c r="BO147" i="2"/>
  <c r="BO148" i="2"/>
  <c r="BO149" i="2"/>
  <c r="BO150" i="2"/>
  <c r="BO151" i="2"/>
  <c r="BO152" i="2"/>
  <c r="BO153" i="2"/>
  <c r="BO154" i="2"/>
  <c r="BO155" i="2"/>
  <c r="BO156" i="2"/>
  <c r="BO157" i="2"/>
  <c r="BO158" i="2"/>
  <c r="BO159" i="2"/>
  <c r="BO160" i="2"/>
  <c r="BO161" i="2"/>
  <c r="BO162" i="2"/>
  <c r="BO163" i="2"/>
  <c r="BO164" i="2"/>
  <c r="BO165" i="2"/>
  <c r="BO166" i="2"/>
  <c r="BO167" i="2"/>
  <c r="BO168" i="2"/>
  <c r="BO169" i="2"/>
  <c r="BO170" i="2"/>
  <c r="BO171" i="2"/>
  <c r="BO172" i="2"/>
  <c r="BO173" i="2"/>
  <c r="BO174" i="2"/>
  <c r="BO175" i="2"/>
  <c r="BO176" i="2"/>
  <c r="BO177" i="2"/>
  <c r="BO178" i="2"/>
  <c r="BO179" i="2"/>
  <c r="BO180" i="2"/>
  <c r="BO181" i="2"/>
  <c r="BO182" i="2"/>
  <c r="BO183" i="2"/>
  <c r="BO184" i="2"/>
  <c r="BO185" i="2"/>
  <c r="BO186" i="2"/>
  <c r="BO187" i="2"/>
  <c r="BO188" i="2"/>
  <c r="BO189" i="2"/>
  <c r="BO190" i="2"/>
  <c r="BO191" i="2"/>
  <c r="BO192" i="2"/>
  <c r="BO193" i="2"/>
  <c r="BO194" i="2"/>
  <c r="BO195" i="2"/>
  <c r="BO196" i="2"/>
  <c r="BO197" i="2"/>
  <c r="BO198" i="2"/>
  <c r="BO199" i="2"/>
  <c r="BO200" i="2"/>
  <c r="BO201" i="2"/>
  <c r="BO202" i="2"/>
  <c r="BO203" i="2"/>
  <c r="BO204" i="2"/>
  <c r="BO205" i="2"/>
  <c r="BO206" i="2"/>
  <c r="BO207" i="2"/>
  <c r="BO208" i="2"/>
  <c r="BO209" i="2"/>
  <c r="BO210" i="2"/>
  <c r="BO211" i="2"/>
  <c r="BO212" i="2"/>
  <c r="BO213" i="2"/>
  <c r="BO214" i="2"/>
  <c r="BO215" i="2"/>
  <c r="BO216" i="2"/>
  <c r="BO217" i="2"/>
  <c r="BO218" i="2"/>
  <c r="BO219" i="2"/>
  <c r="BO220" i="2"/>
  <c r="BO221" i="2"/>
  <c r="BO222" i="2"/>
  <c r="BO223" i="2"/>
  <c r="BO224" i="2"/>
  <c r="BO225" i="2"/>
  <c r="BO226" i="2"/>
  <c r="BO227" i="2"/>
  <c r="BO228" i="2"/>
  <c r="BO229" i="2"/>
  <c r="BO230" i="2"/>
  <c r="BO231" i="2"/>
  <c r="BO232" i="2"/>
  <c r="BO233" i="2"/>
  <c r="BO234" i="2"/>
  <c r="BO235" i="2"/>
  <c r="BO236" i="2"/>
  <c r="BO237" i="2"/>
  <c r="BO238" i="2"/>
  <c r="BO239" i="2"/>
  <c r="BO240" i="2"/>
  <c r="BO241" i="2"/>
  <c r="BO242" i="2"/>
  <c r="BO243" i="2"/>
  <c r="BO244" i="2"/>
  <c r="BO245" i="2"/>
  <c r="BO246" i="2"/>
  <c r="BO247" i="2"/>
  <c r="BO248" i="2"/>
  <c r="BO249" i="2"/>
  <c r="BO250" i="2"/>
  <c r="BO251" i="2"/>
  <c r="BO252" i="2"/>
  <c r="BO253" i="2"/>
  <c r="BO254" i="2"/>
  <c r="BO255" i="2"/>
  <c r="BO256" i="2"/>
  <c r="BO257" i="2"/>
  <c r="BO258" i="2"/>
  <c r="BO259" i="2"/>
  <c r="BO260" i="2"/>
  <c r="BO261" i="2"/>
  <c r="BO262" i="2"/>
  <c r="BO263" i="2"/>
  <c r="BO264" i="2"/>
  <c r="BO265" i="2"/>
  <c r="BO266" i="2"/>
  <c r="BO267" i="2"/>
  <c r="BO268" i="2"/>
  <c r="BO269" i="2"/>
  <c r="BO270" i="2"/>
  <c r="BO271" i="2"/>
  <c r="BO272" i="2"/>
  <c r="BO273" i="2"/>
  <c r="BO274" i="2"/>
  <c r="BO275" i="2"/>
  <c r="BO276" i="2"/>
  <c r="BO277" i="2"/>
  <c r="BO278" i="2"/>
  <c r="BO279" i="2"/>
  <c r="BO280" i="2"/>
  <c r="BO281" i="2"/>
  <c r="BO282" i="2"/>
  <c r="BO283" i="2"/>
  <c r="BO284" i="2"/>
  <c r="BO285" i="2"/>
  <c r="BO286" i="2"/>
  <c r="BO287" i="2"/>
  <c r="BO288" i="2"/>
  <c r="BO289" i="2"/>
  <c r="BO290" i="2"/>
  <c r="BO291" i="2"/>
  <c r="BO292" i="2"/>
  <c r="BO293" i="2"/>
  <c r="BO294" i="2"/>
  <c r="BO295" i="2"/>
  <c r="BO296" i="2"/>
  <c r="BO297" i="2"/>
  <c r="BO298" i="2"/>
  <c r="BO299" i="2"/>
  <c r="BO300" i="2"/>
  <c r="BO301" i="2"/>
  <c r="BO302" i="2"/>
  <c r="BO303" i="2"/>
  <c r="BO304" i="2"/>
  <c r="BO305" i="2"/>
  <c r="BO306" i="2"/>
  <c r="BO307" i="2"/>
  <c r="BO308" i="2"/>
  <c r="BO309" i="2"/>
  <c r="BO310" i="2"/>
  <c r="BO311" i="2"/>
  <c r="BO312" i="2"/>
  <c r="BO313" i="2"/>
  <c r="BO314" i="2"/>
  <c r="BO315" i="2"/>
  <c r="BO316" i="2"/>
  <c r="BO317" i="2"/>
  <c r="BO318" i="2"/>
  <c r="BO319" i="2"/>
  <c r="BO320" i="2"/>
  <c r="BO321" i="2"/>
  <c r="BO322" i="2"/>
  <c r="BO323" i="2"/>
  <c r="BO324" i="2"/>
  <c r="BO325" i="2"/>
  <c r="BO326" i="2"/>
  <c r="BO327" i="2"/>
  <c r="BO328" i="2"/>
  <c r="BO329" i="2"/>
  <c r="BO330" i="2"/>
  <c r="BO331" i="2"/>
  <c r="BO332" i="2"/>
  <c r="BO333" i="2"/>
  <c r="BO334" i="2"/>
  <c r="BO335" i="2"/>
  <c r="BO336" i="2"/>
  <c r="BO337" i="2"/>
  <c r="BO338" i="2"/>
  <c r="BO339" i="2"/>
  <c r="BO340" i="2"/>
  <c r="BO341" i="2"/>
  <c r="BO342" i="2"/>
  <c r="BO343" i="2"/>
  <c r="BO344" i="2"/>
  <c r="BO345" i="2"/>
  <c r="BO346" i="2"/>
  <c r="BO347" i="2"/>
  <c r="BO348" i="2"/>
  <c r="BO349" i="2"/>
  <c r="BO350" i="2"/>
  <c r="BO351" i="2"/>
  <c r="BO352" i="2"/>
  <c r="BO353" i="2"/>
  <c r="BO354" i="2"/>
  <c r="BO355" i="2"/>
  <c r="BO356" i="2"/>
  <c r="BO357" i="2"/>
  <c r="BO358" i="2"/>
  <c r="BO359" i="2"/>
  <c r="BO360" i="2"/>
  <c r="BO361" i="2"/>
  <c r="BO362" i="2"/>
  <c r="BO363" i="2"/>
  <c r="BO364" i="2"/>
  <c r="BO365" i="2"/>
  <c r="BO366" i="2"/>
  <c r="BO367" i="2"/>
  <c r="BO368" i="2"/>
  <c r="BO369" i="2"/>
  <c r="BO370" i="2"/>
  <c r="BO371" i="2"/>
  <c r="BO372" i="2"/>
  <c r="BO373" i="2"/>
  <c r="BO374" i="2"/>
  <c r="BO375" i="2"/>
  <c r="BO376" i="2"/>
  <c r="BO377" i="2"/>
  <c r="BO378" i="2"/>
  <c r="BO379" i="2"/>
  <c r="BO380" i="2"/>
  <c r="BO381" i="2"/>
  <c r="BO382" i="2"/>
  <c r="BO383" i="2"/>
  <c r="BO384" i="2"/>
  <c r="BO385" i="2"/>
  <c r="BO386" i="2"/>
  <c r="BO387" i="2"/>
  <c r="BO388" i="2"/>
  <c r="BO389" i="2"/>
  <c r="BO390" i="2"/>
  <c r="BO391" i="2"/>
  <c r="BO392" i="2"/>
  <c r="BO393" i="2"/>
  <c r="BO394" i="2"/>
  <c r="BO395" i="2"/>
  <c r="BO396" i="2"/>
  <c r="BO397" i="2"/>
  <c r="BO398" i="2"/>
  <c r="BO399" i="2"/>
  <c r="BO400" i="2"/>
  <c r="BO401" i="2"/>
  <c r="BO402" i="2"/>
  <c r="BO403" i="2"/>
  <c r="BO404" i="2"/>
  <c r="BO405" i="2"/>
  <c r="BO406" i="2"/>
  <c r="BO407" i="2"/>
  <c r="BO408" i="2"/>
  <c r="BO409" i="2"/>
  <c r="BO410" i="2"/>
  <c r="BO411" i="2"/>
  <c r="BO412" i="2"/>
  <c r="BO413" i="2"/>
  <c r="BO414" i="2"/>
  <c r="BO415" i="2"/>
  <c r="BO416" i="2"/>
  <c r="BO417" i="2"/>
  <c r="BO418" i="2"/>
  <c r="BO419" i="2"/>
  <c r="BO420" i="2"/>
  <c r="BO421" i="2"/>
  <c r="BO422" i="2"/>
  <c r="BO423" i="2"/>
  <c r="BO424" i="2"/>
  <c r="BO425" i="2"/>
  <c r="BO426" i="2"/>
  <c r="BO427" i="2"/>
  <c r="BO428" i="2"/>
  <c r="BO429" i="2"/>
  <c r="BO430" i="2"/>
  <c r="BO431" i="2"/>
  <c r="BO432" i="2"/>
  <c r="BO433" i="2"/>
  <c r="BO434" i="2"/>
  <c r="BO435" i="2"/>
  <c r="BO436" i="2"/>
  <c r="BO437" i="2"/>
  <c r="BO438" i="2"/>
  <c r="BO439" i="2"/>
  <c r="BO440" i="2"/>
  <c r="BO441" i="2"/>
  <c r="BO442" i="2"/>
  <c r="BO443" i="2"/>
  <c r="BO444" i="2"/>
  <c r="BO445" i="2"/>
  <c r="BO446" i="2"/>
  <c r="BO447" i="2"/>
  <c r="BO448" i="2"/>
  <c r="BO449" i="2"/>
  <c r="BO450" i="2"/>
  <c r="BO451" i="2"/>
  <c r="BO452" i="2"/>
  <c r="BO453" i="2"/>
  <c r="BO454" i="2"/>
  <c r="BO455" i="2"/>
  <c r="BO456" i="2"/>
  <c r="BO457" i="2"/>
  <c r="BO458" i="2"/>
  <c r="BO459" i="2"/>
  <c r="BO460" i="2"/>
  <c r="BO461" i="2"/>
  <c r="BO462" i="2"/>
  <c r="BO463" i="2"/>
  <c r="BO464" i="2"/>
  <c r="BO465" i="2"/>
  <c r="BO466" i="2"/>
  <c r="BO467" i="2"/>
  <c r="BO468" i="2"/>
  <c r="BO469" i="2"/>
  <c r="BO470" i="2"/>
  <c r="BO471" i="2"/>
  <c r="BO472" i="2"/>
  <c r="BO473" i="2"/>
  <c r="BO474" i="2"/>
  <c r="BO475" i="2"/>
  <c r="BO476" i="2"/>
  <c r="BO477" i="2"/>
  <c r="BO478" i="2"/>
  <c r="BO479" i="2"/>
  <c r="BO480" i="2"/>
  <c r="BO481" i="2"/>
  <c r="BO482" i="2"/>
  <c r="BO483" i="2"/>
  <c r="BO484" i="2"/>
  <c r="BO485" i="2"/>
  <c r="BO486" i="2"/>
  <c r="BO487" i="2"/>
  <c r="BO488" i="2"/>
  <c r="BO489" i="2"/>
  <c r="BO490" i="2"/>
  <c r="BO491" i="2"/>
  <c r="BO492" i="2"/>
  <c r="BO493" i="2"/>
  <c r="BO494" i="2"/>
  <c r="BO495" i="2"/>
  <c r="BO496" i="2"/>
  <c r="BO497" i="2"/>
  <c r="BO498" i="2"/>
  <c r="BO499" i="2"/>
  <c r="BO500" i="2"/>
  <c r="BO501" i="2"/>
  <c r="BO502" i="2"/>
  <c r="BO503" i="2"/>
  <c r="BO504" i="2"/>
  <c r="BO505" i="2"/>
  <c r="BO506" i="2"/>
  <c r="BO507" i="2"/>
  <c r="BO508" i="2"/>
  <c r="BO509" i="2"/>
  <c r="BO510" i="2"/>
  <c r="BO511" i="2"/>
  <c r="BO512" i="2"/>
  <c r="BO513" i="2"/>
  <c r="BO514" i="2"/>
  <c r="BO515" i="2"/>
  <c r="BO516" i="2"/>
  <c r="BO517" i="2"/>
  <c r="BO518" i="2"/>
  <c r="BO519" i="2"/>
  <c r="BO520" i="2"/>
  <c r="BO521" i="2"/>
  <c r="BO522" i="2"/>
  <c r="BO523" i="2"/>
  <c r="BO524" i="2"/>
  <c r="BO525" i="2"/>
  <c r="BO526" i="2"/>
  <c r="BO527" i="2"/>
  <c r="BO528" i="2"/>
  <c r="BO529" i="2"/>
  <c r="BO530" i="2"/>
  <c r="BO531" i="2"/>
  <c r="BO532" i="2"/>
  <c r="BO533" i="2"/>
  <c r="BO534" i="2"/>
  <c r="BO535" i="2"/>
  <c r="BO536" i="2"/>
  <c r="BO537" i="2"/>
  <c r="BO538" i="2"/>
  <c r="BO539" i="2"/>
  <c r="BO540" i="2"/>
  <c r="BO541" i="2"/>
  <c r="BO542" i="2"/>
  <c r="BO543" i="2"/>
  <c r="BO544" i="2"/>
  <c r="BO545" i="2"/>
  <c r="BO546" i="2"/>
  <c r="BO547" i="2"/>
  <c r="BO548" i="2"/>
  <c r="BO549" i="2"/>
  <c r="BO550" i="2"/>
  <c r="BO551" i="2"/>
  <c r="BO552" i="2"/>
  <c r="BO553" i="2"/>
  <c r="BO554" i="2"/>
  <c r="BO555" i="2"/>
  <c r="BO556" i="2"/>
  <c r="BO557" i="2"/>
  <c r="BO558" i="2"/>
  <c r="BO559" i="2"/>
  <c r="BO560" i="2"/>
  <c r="BO561" i="2"/>
  <c r="BO562" i="2"/>
  <c r="BO563" i="2"/>
  <c r="BO564" i="2"/>
  <c r="BO565" i="2"/>
  <c r="BO566" i="2"/>
  <c r="BO567" i="2"/>
  <c r="BO568" i="2"/>
  <c r="BO569" i="2"/>
  <c r="BO570" i="2"/>
  <c r="BO571" i="2"/>
  <c r="BO572" i="2"/>
  <c r="BO573" i="2"/>
  <c r="BO574" i="2"/>
  <c r="BO575" i="2"/>
  <c r="BO576" i="2"/>
  <c r="BO577" i="2"/>
  <c r="BO578" i="2"/>
  <c r="BO579" i="2"/>
  <c r="BO580" i="2"/>
  <c r="BO581" i="2"/>
  <c r="BO582" i="2"/>
  <c r="BO583" i="2"/>
  <c r="BO584" i="2"/>
  <c r="BO585" i="2"/>
  <c r="BO586" i="2"/>
  <c r="BO587" i="2"/>
  <c r="BO588" i="2"/>
  <c r="BO589" i="2"/>
  <c r="BO590" i="2"/>
  <c r="BO591" i="2"/>
  <c r="BO592" i="2"/>
  <c r="BO593" i="2"/>
  <c r="BO594" i="2"/>
  <c r="BO595" i="2"/>
  <c r="BO596" i="2"/>
  <c r="BO597" i="2"/>
  <c r="BO598" i="2"/>
  <c r="BO599" i="2"/>
  <c r="BO600" i="2"/>
  <c r="BO601" i="2"/>
  <c r="BO602" i="2"/>
  <c r="BO603" i="2"/>
  <c r="BO604" i="2"/>
  <c r="BO605" i="2"/>
  <c r="BO606" i="2"/>
  <c r="BO607" i="2"/>
  <c r="BO608" i="2"/>
  <c r="BO609" i="2"/>
  <c r="BO610" i="2"/>
  <c r="BO611" i="2"/>
  <c r="BO612" i="2"/>
  <c r="BO613" i="2"/>
  <c r="BO614" i="2"/>
  <c r="BO615" i="2"/>
  <c r="BO616" i="2"/>
  <c r="BO617" i="2"/>
  <c r="BO618" i="2"/>
  <c r="BO619" i="2"/>
  <c r="BO620" i="2"/>
  <c r="BO621" i="2"/>
  <c r="BO622" i="2"/>
  <c r="BO623" i="2"/>
  <c r="BO624" i="2"/>
  <c r="BO625" i="2"/>
  <c r="BO626" i="2"/>
  <c r="BO627" i="2"/>
  <c r="BO628" i="2"/>
  <c r="BO629" i="2"/>
  <c r="BO630" i="2"/>
  <c r="BO631" i="2"/>
  <c r="BO632" i="2"/>
  <c r="BO633" i="2"/>
  <c r="BO634" i="2"/>
  <c r="BO635" i="2"/>
  <c r="BO636" i="2"/>
  <c r="BO637" i="2"/>
  <c r="BO638" i="2"/>
  <c r="BO639" i="2"/>
  <c r="BO640" i="2"/>
  <c r="BO641" i="2"/>
  <c r="BO642" i="2"/>
  <c r="BO643" i="2"/>
  <c r="BO644" i="2"/>
  <c r="BO645" i="2"/>
  <c r="BO646" i="2"/>
  <c r="BO647" i="2"/>
  <c r="BO648" i="2"/>
  <c r="BO649" i="2"/>
  <c r="BO650" i="2"/>
  <c r="BO651" i="2"/>
  <c r="BO652" i="2"/>
  <c r="BO653" i="2"/>
  <c r="BO654" i="2"/>
  <c r="BO655" i="2"/>
  <c r="BO656" i="2"/>
  <c r="BO657" i="2"/>
  <c r="BO658" i="2"/>
  <c r="BO659" i="2"/>
  <c r="BO660" i="2"/>
  <c r="BO661" i="2"/>
  <c r="BO662" i="2"/>
  <c r="BO663" i="2"/>
  <c r="BO664" i="2"/>
  <c r="BO665" i="2"/>
  <c r="BO666" i="2"/>
  <c r="BO667" i="2"/>
  <c r="BO668" i="2"/>
  <c r="BO669" i="2"/>
  <c r="BO670" i="2"/>
  <c r="BO671" i="2"/>
  <c r="BO672" i="2"/>
  <c r="BO673" i="2"/>
  <c r="BO674" i="2"/>
  <c r="BO675" i="2"/>
  <c r="BO676" i="2"/>
  <c r="BO677" i="2"/>
  <c r="BO678" i="2"/>
  <c r="BO679" i="2"/>
  <c r="BO680" i="2"/>
  <c r="BO681" i="2"/>
  <c r="BO682" i="2"/>
  <c r="BO683" i="2"/>
  <c r="BO684" i="2"/>
  <c r="BO685" i="2"/>
  <c r="BO686" i="2"/>
  <c r="BO687" i="2"/>
  <c r="BO688" i="2"/>
  <c r="BO689" i="2"/>
  <c r="BO690" i="2"/>
  <c r="BO691" i="2"/>
  <c r="BO692" i="2"/>
  <c r="BO693" i="2"/>
  <c r="BO694" i="2"/>
  <c r="BO695" i="2"/>
  <c r="BO696" i="2"/>
  <c r="BO697" i="2"/>
  <c r="BO698" i="2"/>
  <c r="BO699" i="2"/>
  <c r="BO700" i="2"/>
  <c r="BO701" i="2"/>
  <c r="BO702" i="2"/>
  <c r="BO703" i="2"/>
  <c r="BO704" i="2"/>
  <c r="BO705" i="2"/>
  <c r="BO706" i="2"/>
  <c r="BO707" i="2"/>
  <c r="BO708" i="2"/>
  <c r="BO709" i="2"/>
  <c r="BO710" i="2"/>
  <c r="BO711" i="2"/>
  <c r="BO712" i="2"/>
  <c r="BO713" i="2"/>
  <c r="BO714" i="2"/>
  <c r="BO715" i="2"/>
  <c r="BO716" i="2"/>
  <c r="BO717" i="2"/>
  <c r="BO718" i="2"/>
  <c r="BO719" i="2"/>
  <c r="BO720" i="2"/>
  <c r="BO721" i="2"/>
  <c r="BO722" i="2"/>
  <c r="BO723" i="2"/>
  <c r="BO724" i="2"/>
  <c r="BO725" i="2"/>
  <c r="BO726" i="2"/>
  <c r="BO727" i="2"/>
  <c r="BO728" i="2"/>
  <c r="BO729" i="2"/>
  <c r="BO730" i="2"/>
  <c r="BO731" i="2"/>
  <c r="BO732" i="2"/>
  <c r="BO733" i="2"/>
  <c r="BO734" i="2"/>
  <c r="BO735" i="2"/>
  <c r="BO736" i="2"/>
  <c r="BO737" i="2"/>
  <c r="BO738" i="2"/>
  <c r="BO739" i="2"/>
  <c r="BO740" i="2"/>
  <c r="BO741" i="2"/>
  <c r="BO742" i="2"/>
  <c r="BO743" i="2"/>
  <c r="BO744" i="2"/>
  <c r="BO745" i="2"/>
  <c r="BO746" i="2"/>
  <c r="BO747" i="2"/>
  <c r="BO748" i="2"/>
  <c r="BO749" i="2"/>
  <c r="BO750" i="2"/>
  <c r="BO751" i="2"/>
  <c r="BO752" i="2"/>
  <c r="BO753" i="2"/>
  <c r="BO754" i="2"/>
  <c r="BO755" i="2"/>
  <c r="BO756" i="2"/>
  <c r="BO757" i="2"/>
  <c r="BO758" i="2"/>
  <c r="BO759" i="2"/>
  <c r="BO760" i="2"/>
  <c r="BO761" i="2"/>
  <c r="BO762" i="2"/>
  <c r="BO763" i="2"/>
  <c r="BO764" i="2"/>
  <c r="BO765" i="2"/>
  <c r="BO766" i="2"/>
  <c r="BO767" i="2"/>
  <c r="BO768" i="2"/>
  <c r="BO769" i="2"/>
  <c r="BO770" i="2"/>
  <c r="BO771" i="2"/>
  <c r="BO772" i="2"/>
  <c r="BO773" i="2"/>
  <c r="BO774" i="2"/>
  <c r="BO775" i="2"/>
  <c r="BO776" i="2"/>
  <c r="BO777" i="2"/>
  <c r="BO778" i="2"/>
  <c r="BO779" i="2"/>
  <c r="BO780" i="2"/>
  <c r="BO781" i="2"/>
  <c r="BO782" i="2"/>
  <c r="BO783" i="2"/>
  <c r="BO784" i="2"/>
  <c r="BO785" i="2"/>
  <c r="BO786" i="2"/>
  <c r="BO787" i="2"/>
  <c r="BO788" i="2"/>
  <c r="BO789" i="2"/>
  <c r="BO790" i="2"/>
  <c r="BO791" i="2"/>
  <c r="BO792" i="2"/>
  <c r="BO793" i="2"/>
  <c r="BO794" i="2"/>
  <c r="BO795" i="2"/>
  <c r="BO796" i="2"/>
  <c r="BO797" i="2"/>
  <c r="BO798" i="2"/>
  <c r="BO799" i="2"/>
  <c r="BO800" i="2"/>
  <c r="BO801" i="2"/>
  <c r="BO802" i="2"/>
  <c r="BO803" i="2"/>
  <c r="BO804" i="2"/>
  <c r="BO805" i="2"/>
  <c r="BO806" i="2"/>
  <c r="BO807" i="2"/>
  <c r="BO808" i="2"/>
  <c r="BO809" i="2"/>
  <c r="BO810" i="2"/>
  <c r="BO811" i="2"/>
  <c r="BO812" i="2"/>
  <c r="BO813" i="2"/>
  <c r="BO814" i="2"/>
  <c r="BO815" i="2"/>
  <c r="BO816" i="2"/>
  <c r="BO817" i="2"/>
  <c r="BO818" i="2"/>
  <c r="BO819" i="2"/>
  <c r="BO820" i="2"/>
  <c r="BO821" i="2"/>
  <c r="BO822" i="2"/>
  <c r="BO823" i="2"/>
  <c r="BO824" i="2"/>
  <c r="BO825" i="2"/>
  <c r="BO826" i="2"/>
  <c r="BO827" i="2"/>
  <c r="BO828" i="2"/>
  <c r="BO829" i="2"/>
  <c r="BO830" i="2"/>
  <c r="BO831" i="2"/>
  <c r="BO832" i="2"/>
  <c r="BO833" i="2"/>
  <c r="BO834" i="2"/>
  <c r="BO835" i="2"/>
  <c r="BO836" i="2"/>
  <c r="BO837" i="2"/>
  <c r="BO838" i="2"/>
  <c r="BO839" i="2"/>
  <c r="BO840" i="2"/>
  <c r="BO841" i="2"/>
  <c r="BO842" i="2"/>
  <c r="BO843" i="2"/>
  <c r="BO844" i="2"/>
  <c r="BO845" i="2"/>
  <c r="BO846" i="2"/>
  <c r="BO847" i="2"/>
  <c r="BO848" i="2"/>
  <c r="BO849" i="2"/>
  <c r="BO850" i="2"/>
  <c r="BO851" i="2"/>
  <c r="BO852" i="2"/>
  <c r="BO853" i="2"/>
  <c r="BO854" i="2"/>
  <c r="BO855" i="2"/>
  <c r="BO856" i="2"/>
  <c r="BO857" i="2"/>
  <c r="BO858" i="2"/>
  <c r="BO859" i="2"/>
  <c r="BO860" i="2"/>
  <c r="BO861" i="2"/>
  <c r="BO862" i="2"/>
  <c r="BO863" i="2"/>
  <c r="BO864" i="2"/>
  <c r="BO865" i="2"/>
  <c r="BO866" i="2"/>
  <c r="BO867" i="2"/>
  <c r="BO868" i="2"/>
  <c r="BO869" i="2"/>
  <c r="BO870" i="2"/>
  <c r="BO871" i="2"/>
  <c r="BO872" i="2"/>
  <c r="BO873" i="2"/>
  <c r="BO874" i="2"/>
  <c r="BO875" i="2"/>
  <c r="BO876" i="2"/>
  <c r="BO877" i="2"/>
  <c r="BO878" i="2"/>
  <c r="BO879" i="2"/>
  <c r="BO880" i="2"/>
  <c r="BO881" i="2"/>
  <c r="BO882" i="2"/>
  <c r="BO883" i="2"/>
  <c r="BO884" i="2"/>
  <c r="BO885" i="2"/>
  <c r="BO886" i="2"/>
  <c r="BO887" i="2"/>
  <c r="BO888" i="2"/>
  <c r="BO889" i="2"/>
  <c r="BO890" i="2"/>
  <c r="BO891" i="2"/>
  <c r="BO892" i="2"/>
  <c r="BO893" i="2"/>
  <c r="BO894" i="2"/>
  <c r="BO895" i="2"/>
  <c r="BO896" i="2"/>
  <c r="BO897" i="2"/>
  <c r="BO898" i="2"/>
  <c r="BO899" i="2"/>
  <c r="BO900" i="2"/>
  <c r="BO901" i="2"/>
  <c r="BO902" i="2"/>
  <c r="BO903" i="2"/>
  <c r="BO904" i="2"/>
  <c r="BO905" i="2"/>
  <c r="BO906" i="2"/>
  <c r="BO907" i="2"/>
  <c r="BO908" i="2"/>
  <c r="BO909" i="2"/>
  <c r="BO910" i="2"/>
  <c r="BO911" i="2"/>
  <c r="BO912" i="2"/>
  <c r="BO913" i="2"/>
  <c r="BO914" i="2"/>
  <c r="BO915" i="2"/>
  <c r="BO916" i="2"/>
  <c r="BO917" i="2"/>
  <c r="BO918" i="2"/>
  <c r="BO919" i="2"/>
  <c r="BO920" i="2"/>
  <c r="BO921" i="2"/>
  <c r="BO922" i="2"/>
  <c r="BO923" i="2"/>
  <c r="BO924" i="2"/>
  <c r="BO925" i="2"/>
  <c r="BO926" i="2"/>
  <c r="BO927" i="2"/>
  <c r="BO928" i="2"/>
  <c r="BO929" i="2"/>
  <c r="BO930" i="2"/>
  <c r="BO931" i="2"/>
  <c r="BO932" i="2"/>
  <c r="BO933" i="2"/>
  <c r="BO934" i="2"/>
  <c r="BO935" i="2"/>
  <c r="BO936" i="2"/>
  <c r="BO937" i="2"/>
  <c r="BO938" i="2"/>
  <c r="BO939" i="2"/>
  <c r="BO940" i="2"/>
  <c r="BO941" i="2"/>
  <c r="BO942" i="2"/>
  <c r="BO943" i="2"/>
  <c r="BO944" i="2"/>
  <c r="BO945" i="2"/>
  <c r="BO946" i="2"/>
  <c r="BO947" i="2"/>
  <c r="BO948" i="2"/>
  <c r="BO949" i="2"/>
  <c r="BO950" i="2"/>
  <c r="BO951" i="2"/>
  <c r="BO952" i="2"/>
  <c r="BO953" i="2"/>
  <c r="BO954" i="2"/>
  <c r="BO955" i="2"/>
  <c r="BO956" i="2"/>
  <c r="BO957" i="2"/>
  <c r="BO958" i="2"/>
  <c r="BO959" i="2"/>
  <c r="BO960" i="2"/>
  <c r="BO961" i="2"/>
  <c r="BO962" i="2"/>
  <c r="BO963" i="2"/>
  <c r="BO964" i="2"/>
  <c r="BO965" i="2"/>
  <c r="BO966" i="2"/>
  <c r="BO967" i="2"/>
  <c r="BO968" i="2"/>
  <c r="BO969" i="2"/>
  <c r="BO970" i="2"/>
  <c r="BO971" i="2"/>
  <c r="BO972" i="2"/>
  <c r="BO973" i="2"/>
  <c r="BO974" i="2"/>
  <c r="BO975" i="2"/>
  <c r="BO976" i="2"/>
  <c r="BO977" i="2"/>
  <c r="BO978" i="2"/>
  <c r="BO979" i="2"/>
  <c r="BO980" i="2"/>
  <c r="BO981" i="2"/>
  <c r="BO982" i="2"/>
  <c r="BO983" i="2"/>
  <c r="BO984" i="2"/>
  <c r="BO985" i="2"/>
  <c r="BO986" i="2"/>
  <c r="BO987" i="2"/>
  <c r="BO988" i="2"/>
  <c r="BO989" i="2"/>
  <c r="BO990" i="2"/>
  <c r="BO991" i="2"/>
  <c r="BO992" i="2"/>
  <c r="BO993" i="2"/>
  <c r="BO994" i="2"/>
  <c r="BO995" i="2"/>
  <c r="BO996" i="2"/>
  <c r="BO997" i="2"/>
  <c r="BO998" i="2"/>
  <c r="BO999" i="2"/>
  <c r="BO1000" i="2"/>
  <c r="BO1001" i="2"/>
  <c r="BO1002" i="2"/>
  <c r="BO1003" i="2"/>
  <c r="BO1004" i="2"/>
  <c r="BO1005" i="2"/>
  <c r="BO1006" i="2"/>
  <c r="BO1007" i="2"/>
  <c r="BO1008" i="2"/>
  <c r="BO1009" i="2"/>
  <c r="BO1010" i="2"/>
  <c r="BO1011" i="2"/>
  <c r="BO1012" i="2"/>
  <c r="BO1013" i="2"/>
  <c r="BO1014" i="2"/>
  <c r="BO1015" i="2"/>
  <c r="BO1016" i="2"/>
  <c r="BO1017" i="2"/>
  <c r="BO1018" i="2"/>
  <c r="BO1019" i="2"/>
  <c r="BO1020" i="2"/>
  <c r="BO1021" i="2"/>
  <c r="BO1022" i="2"/>
  <c r="BO1023" i="2"/>
  <c r="BO1024" i="2"/>
  <c r="BO1025" i="2"/>
  <c r="BO1026" i="2"/>
  <c r="BO1027" i="2"/>
  <c r="BO1028" i="2"/>
  <c r="BO1029" i="2"/>
  <c r="BO1030" i="2"/>
  <c r="BO1031" i="2"/>
  <c r="BO1032" i="2"/>
  <c r="BO1033" i="2"/>
  <c r="BO1034" i="2"/>
  <c r="BO1035" i="2"/>
  <c r="BO1036" i="2"/>
  <c r="BO1037" i="2"/>
  <c r="BO1038" i="2"/>
  <c r="BO1039" i="2"/>
  <c r="BO1040" i="2"/>
  <c r="BO1041" i="2"/>
  <c r="BO1042" i="2"/>
  <c r="BO1043" i="2"/>
  <c r="BO1044" i="2"/>
  <c r="BO1045" i="2"/>
  <c r="BO1046" i="2"/>
  <c r="BO1047" i="2"/>
  <c r="BO1048" i="2"/>
  <c r="BO1049" i="2"/>
  <c r="BO1050" i="2"/>
  <c r="BO1051" i="2"/>
  <c r="BO1052" i="2"/>
  <c r="BO1053" i="2"/>
  <c r="BO1054" i="2"/>
  <c r="BO1055" i="2"/>
  <c r="BO1056" i="2"/>
  <c r="BO1057" i="2"/>
  <c r="BO1058" i="2"/>
  <c r="BO1059" i="2"/>
  <c r="BO1060" i="2"/>
  <c r="BO1061" i="2"/>
  <c r="BO1062" i="2"/>
  <c r="BO1063" i="2"/>
  <c r="BO1064" i="2"/>
  <c r="BO1065" i="2"/>
  <c r="BO1066" i="2"/>
  <c r="BO1067" i="2"/>
  <c r="BO1068" i="2"/>
  <c r="BO1069" i="2"/>
  <c r="BO1070" i="2"/>
  <c r="BO1071" i="2"/>
  <c r="BO1072" i="2"/>
  <c r="BO1073" i="2"/>
  <c r="BO1074" i="2"/>
  <c r="BO1075" i="2"/>
  <c r="BO1076" i="2"/>
  <c r="BO1077" i="2"/>
  <c r="BO1078" i="2"/>
  <c r="BO1079" i="2"/>
  <c r="BO1080" i="2"/>
  <c r="BO1081" i="2"/>
  <c r="BO1082" i="2"/>
  <c r="BO1083" i="2"/>
  <c r="BO1084" i="2"/>
  <c r="BO1085" i="2"/>
  <c r="BO1086" i="2"/>
  <c r="BO1087" i="2"/>
  <c r="BO1088" i="2"/>
  <c r="BO1089" i="2"/>
  <c r="BO1090" i="2"/>
  <c r="BO1091" i="2"/>
  <c r="BO1092" i="2"/>
  <c r="BO1093" i="2"/>
  <c r="BO1094" i="2"/>
  <c r="BO1095" i="2"/>
  <c r="BO1096" i="2"/>
  <c r="BO1097" i="2"/>
  <c r="BO1098" i="2"/>
  <c r="BO1099" i="2"/>
  <c r="BO1100" i="2"/>
  <c r="BO1101" i="2"/>
  <c r="BO1102" i="2"/>
  <c r="BO1103" i="2"/>
  <c r="BO1104" i="2"/>
  <c r="BO1105" i="2"/>
  <c r="BO1106" i="2"/>
  <c r="BO1107" i="2"/>
  <c r="BO1108" i="2"/>
  <c r="BO1109" i="2"/>
  <c r="BO1110" i="2"/>
  <c r="BO1111" i="2"/>
  <c r="BO1112" i="2"/>
  <c r="BO1113" i="2"/>
  <c r="BO1114" i="2"/>
  <c r="BO1115" i="2"/>
  <c r="BO1116" i="2"/>
  <c r="BO1117" i="2"/>
  <c r="BO1118" i="2"/>
  <c r="BO1119" i="2"/>
  <c r="BO1120" i="2"/>
  <c r="BO1121" i="2"/>
  <c r="BO1122" i="2"/>
  <c r="BO1123" i="2"/>
  <c r="BO1124" i="2"/>
  <c r="BO1125" i="2"/>
  <c r="BO1126" i="2"/>
  <c r="BO1127" i="2"/>
  <c r="BO1128" i="2"/>
  <c r="BO1129" i="2"/>
  <c r="BO1130" i="2"/>
  <c r="BO1131" i="2"/>
  <c r="BO1132" i="2"/>
  <c r="BO1133" i="2"/>
  <c r="BO1134" i="2"/>
  <c r="BO1135" i="2"/>
  <c r="BO1136" i="2"/>
  <c r="BO1137" i="2"/>
  <c r="BO1138" i="2"/>
  <c r="BO1139" i="2"/>
  <c r="BO1140" i="2"/>
  <c r="BO1141" i="2"/>
  <c r="BO1142" i="2"/>
  <c r="BO1143" i="2"/>
  <c r="BO1144" i="2"/>
  <c r="BO1145" i="2"/>
  <c r="BO1146" i="2"/>
  <c r="BO1147" i="2"/>
  <c r="BO1148" i="2"/>
  <c r="BO1149" i="2"/>
  <c r="BO1150" i="2"/>
  <c r="BO1151" i="2"/>
  <c r="BO1152" i="2"/>
  <c r="BO1153" i="2"/>
  <c r="BO1154" i="2"/>
  <c r="BO1155" i="2"/>
  <c r="BO1156" i="2"/>
  <c r="BO1157" i="2"/>
  <c r="BO1158" i="2"/>
  <c r="BO1159" i="2"/>
  <c r="BO1160" i="2"/>
  <c r="BO1161" i="2"/>
  <c r="BO1162" i="2"/>
  <c r="BO1163" i="2"/>
  <c r="BO1164" i="2"/>
  <c r="BO1165" i="2"/>
  <c r="BO1166" i="2"/>
  <c r="BO1167" i="2"/>
  <c r="BO1168" i="2"/>
  <c r="BO1169" i="2"/>
  <c r="BO1170" i="2"/>
  <c r="BO1171" i="2"/>
  <c r="BO1172" i="2"/>
  <c r="BO1173" i="2"/>
  <c r="BO1174" i="2"/>
  <c r="BO1175" i="2"/>
  <c r="BO1176" i="2"/>
  <c r="BO1177" i="2"/>
  <c r="BO1178" i="2"/>
  <c r="BO1179" i="2"/>
  <c r="BO1180" i="2"/>
  <c r="BO1181" i="2"/>
  <c r="BO1182" i="2"/>
  <c r="BO1183" i="2"/>
  <c r="BO1184" i="2"/>
  <c r="BO1185" i="2"/>
  <c r="BO1186" i="2"/>
  <c r="BO1187" i="2"/>
  <c r="BO1188" i="2"/>
  <c r="BO1189" i="2"/>
  <c r="BO1190" i="2"/>
  <c r="BO1191" i="2"/>
  <c r="BO1192" i="2"/>
  <c r="BO1193" i="2"/>
  <c r="BO1194" i="2"/>
  <c r="BO1195" i="2"/>
  <c r="BO1196" i="2"/>
  <c r="BO1197" i="2"/>
  <c r="BO1198" i="2"/>
  <c r="BO1199" i="2"/>
  <c r="BO1200" i="2"/>
  <c r="BO1201" i="2"/>
  <c r="BO1202" i="2"/>
  <c r="BO1203" i="2"/>
  <c r="BO1204" i="2"/>
  <c r="BO1205" i="2"/>
  <c r="BO1206" i="2"/>
  <c r="BO1207" i="2"/>
  <c r="BO1208" i="2"/>
  <c r="BO1209" i="2"/>
  <c r="BO1210" i="2"/>
  <c r="BO1211" i="2"/>
  <c r="BO1212" i="2"/>
  <c r="BO1213" i="2"/>
  <c r="BO1214" i="2"/>
  <c r="BO1215" i="2"/>
  <c r="BO1216" i="2"/>
  <c r="BO1217" i="2"/>
  <c r="BO1218" i="2"/>
  <c r="BO1219" i="2"/>
  <c r="BO1220" i="2"/>
  <c r="BO1221" i="2"/>
  <c r="BO1222" i="2"/>
  <c r="BO1223" i="2"/>
  <c r="BO1224" i="2"/>
  <c r="BO1225" i="2"/>
  <c r="BO1226" i="2"/>
  <c r="BO1227" i="2"/>
  <c r="BO1228" i="2"/>
  <c r="BO1229" i="2"/>
  <c r="BO1230" i="2"/>
  <c r="BO1231" i="2"/>
  <c r="BO1232" i="2"/>
  <c r="BO1233" i="2"/>
  <c r="BO1234" i="2"/>
  <c r="BO1235" i="2"/>
  <c r="BO1236" i="2"/>
  <c r="BO1237" i="2"/>
  <c r="BO1238" i="2"/>
  <c r="BO1239" i="2"/>
  <c r="BO1240" i="2"/>
  <c r="BO1241" i="2"/>
  <c r="BO1242" i="2"/>
  <c r="BO1243" i="2"/>
  <c r="BO1244" i="2"/>
  <c r="BO1245" i="2"/>
  <c r="BO1246" i="2"/>
  <c r="BO1247" i="2"/>
  <c r="BO1248" i="2"/>
  <c r="BO1249" i="2"/>
  <c r="BO1250" i="2"/>
  <c r="BO1251" i="2"/>
  <c r="BO1252" i="2"/>
  <c r="BO1253" i="2"/>
  <c r="BO1254" i="2"/>
  <c r="BO1255" i="2"/>
  <c r="BO1256" i="2"/>
  <c r="BO1257" i="2"/>
  <c r="BO1258" i="2"/>
  <c r="BO1259" i="2"/>
  <c r="BO1260" i="2"/>
  <c r="BO1261" i="2"/>
  <c r="BO1262" i="2"/>
  <c r="BO1263" i="2"/>
  <c r="BO1264" i="2"/>
  <c r="BO1265" i="2"/>
  <c r="BO1266" i="2"/>
  <c r="BO1267" i="2"/>
  <c r="BO1268" i="2"/>
  <c r="BO1269" i="2"/>
  <c r="BO1270" i="2"/>
  <c r="BO1271" i="2"/>
  <c r="BO1272" i="2"/>
  <c r="BO1273" i="2"/>
  <c r="BO1274" i="2"/>
  <c r="BO1275" i="2"/>
  <c r="BO1276" i="2"/>
  <c r="BO1277" i="2"/>
  <c r="BO1278" i="2"/>
  <c r="BO1279" i="2"/>
  <c r="BO1280" i="2"/>
  <c r="BO1281" i="2"/>
  <c r="BO1282" i="2"/>
  <c r="BO1283" i="2"/>
  <c r="BO1284" i="2"/>
  <c r="BO1285" i="2"/>
  <c r="BO1286" i="2"/>
  <c r="BO1287" i="2"/>
  <c r="BO1288" i="2"/>
  <c r="BO1289" i="2"/>
  <c r="BO1290" i="2"/>
  <c r="BO1291" i="2"/>
  <c r="BO1292" i="2"/>
  <c r="BO1293" i="2"/>
  <c r="BO1294" i="2"/>
  <c r="BO1295" i="2"/>
  <c r="BO1296" i="2"/>
  <c r="BO1297" i="2"/>
  <c r="BO1298" i="2"/>
  <c r="BO1299" i="2"/>
  <c r="BO1300" i="2"/>
  <c r="BO1301" i="2"/>
  <c r="BO1302" i="2"/>
  <c r="BO1303" i="2"/>
  <c r="BO1304" i="2"/>
  <c r="BO1305" i="2"/>
  <c r="BO1306" i="2"/>
  <c r="BO1307" i="2"/>
  <c r="BO1308" i="2"/>
  <c r="BO1309" i="2"/>
  <c r="BO1310" i="2"/>
  <c r="BO1311" i="2"/>
  <c r="BO1312" i="2"/>
  <c r="BO1313" i="2"/>
  <c r="BO1314" i="2"/>
  <c r="BO1315" i="2"/>
  <c r="BO1316" i="2"/>
  <c r="BO1317" i="2"/>
  <c r="BO1318" i="2"/>
  <c r="BO1319" i="2"/>
  <c r="BO1320" i="2"/>
  <c r="BO1321" i="2"/>
  <c r="BO1322" i="2"/>
  <c r="BO1323" i="2"/>
  <c r="BO1324" i="2"/>
  <c r="BO1325" i="2"/>
  <c r="BO1326" i="2"/>
  <c r="BO1327" i="2"/>
  <c r="BO1328" i="2"/>
  <c r="BO1329" i="2"/>
  <c r="BO1330" i="2"/>
  <c r="BO1331" i="2"/>
  <c r="BO1332" i="2"/>
  <c r="BO1333" i="2"/>
  <c r="BO1334" i="2"/>
  <c r="BO1335" i="2"/>
  <c r="BO1336" i="2"/>
  <c r="BO1337" i="2"/>
  <c r="BO1338" i="2"/>
  <c r="BO1339" i="2"/>
  <c r="BO1340" i="2"/>
  <c r="BO1341" i="2"/>
  <c r="BO1342" i="2"/>
  <c r="BO1343" i="2"/>
  <c r="BO1344" i="2"/>
  <c r="BO1345" i="2"/>
  <c r="BO1346" i="2"/>
  <c r="BO1347" i="2"/>
  <c r="BO1348" i="2"/>
  <c r="BO1349" i="2"/>
  <c r="BO1350" i="2"/>
  <c r="BO1351" i="2"/>
  <c r="BO1352" i="2"/>
  <c r="BO1353" i="2"/>
  <c r="BO1354" i="2"/>
  <c r="BO1355" i="2"/>
  <c r="BO1356" i="2"/>
  <c r="BO1357" i="2"/>
  <c r="BO1358" i="2"/>
  <c r="BO1359" i="2"/>
  <c r="BO1360" i="2"/>
  <c r="BO1361" i="2"/>
  <c r="BO1362" i="2"/>
  <c r="BO1363" i="2"/>
  <c r="BO1364" i="2"/>
  <c r="BO1365" i="2"/>
  <c r="BO1366" i="2"/>
  <c r="BO1367" i="2"/>
  <c r="BO1368" i="2"/>
  <c r="BO1369" i="2"/>
  <c r="BO1370" i="2"/>
  <c r="BO1371" i="2"/>
  <c r="BO1372" i="2"/>
  <c r="BO1373" i="2"/>
  <c r="BO1374" i="2"/>
  <c r="BO1375" i="2"/>
  <c r="BO1376" i="2"/>
  <c r="BO1377" i="2"/>
  <c r="BO1378" i="2"/>
  <c r="BO1379" i="2"/>
  <c r="BO1380" i="2"/>
  <c r="BO1381" i="2"/>
  <c r="BO1382" i="2"/>
  <c r="BO1383" i="2"/>
  <c r="BO1384" i="2"/>
  <c r="BO1385" i="2"/>
  <c r="BO1386" i="2"/>
  <c r="BO1387" i="2"/>
  <c r="BO1388" i="2"/>
  <c r="BO1389" i="2"/>
  <c r="BO1390" i="2"/>
  <c r="BO1391" i="2"/>
  <c r="BO1392" i="2"/>
  <c r="BO1393" i="2"/>
  <c r="BO1394" i="2"/>
  <c r="BO1395" i="2"/>
  <c r="BO1396" i="2"/>
  <c r="BO1397" i="2"/>
  <c r="BO1398" i="2"/>
  <c r="BO1399" i="2"/>
  <c r="BO1400" i="2"/>
  <c r="BO1401" i="2"/>
  <c r="BO1402" i="2"/>
  <c r="BO1403" i="2"/>
  <c r="BO1404" i="2"/>
  <c r="BO1405" i="2"/>
  <c r="BO1406" i="2"/>
  <c r="BO1407" i="2"/>
  <c r="BO1408" i="2"/>
  <c r="BO1409" i="2"/>
  <c r="BO1410" i="2"/>
  <c r="BO1411" i="2"/>
  <c r="BO1412" i="2"/>
  <c r="BO1413" i="2"/>
  <c r="BO1414" i="2"/>
  <c r="BO1415" i="2"/>
  <c r="BO1416" i="2"/>
  <c r="BO1417" i="2"/>
  <c r="BO1418" i="2"/>
  <c r="BO1419" i="2"/>
  <c r="BO1420" i="2"/>
  <c r="BO1421" i="2"/>
  <c r="BO1422" i="2"/>
  <c r="BO1423" i="2"/>
  <c r="BO1424" i="2"/>
  <c r="BO1425" i="2"/>
  <c r="BO1426" i="2"/>
  <c r="BO1427" i="2"/>
  <c r="BO1428" i="2"/>
  <c r="BO1429" i="2"/>
  <c r="BO1430" i="2"/>
  <c r="BO1431" i="2"/>
  <c r="BO1432" i="2"/>
  <c r="BO1433" i="2"/>
  <c r="BO1434" i="2"/>
  <c r="BO1435" i="2"/>
  <c r="BO1436" i="2"/>
  <c r="BO1437" i="2"/>
  <c r="BO1438" i="2"/>
  <c r="BO1439" i="2"/>
  <c r="BO1440" i="2"/>
  <c r="BO1441" i="2"/>
  <c r="BO1442" i="2"/>
  <c r="BO1443" i="2"/>
  <c r="BO1444" i="2"/>
  <c r="BO1445" i="2"/>
  <c r="BO1446" i="2"/>
  <c r="BO1447" i="2"/>
  <c r="BO1448" i="2"/>
  <c r="BO1449" i="2"/>
  <c r="BO1450" i="2"/>
  <c r="BO1451" i="2"/>
  <c r="BO1452" i="2"/>
  <c r="BO1453" i="2"/>
  <c r="BO1454" i="2"/>
  <c r="BO1455" i="2"/>
  <c r="BO1456" i="2"/>
  <c r="BO1457" i="2"/>
  <c r="BO1458" i="2"/>
  <c r="BO1459" i="2"/>
  <c r="BO1460" i="2"/>
  <c r="BO1461" i="2"/>
  <c r="BO1462" i="2"/>
  <c r="BO1463" i="2"/>
  <c r="BO1464" i="2"/>
  <c r="BO1465" i="2"/>
  <c r="BO1466" i="2"/>
  <c r="BO1467" i="2"/>
  <c r="BO1468" i="2"/>
  <c r="BO1469" i="2"/>
  <c r="BO1470" i="2"/>
  <c r="BO1471" i="2"/>
  <c r="BO1472" i="2"/>
  <c r="BO1473" i="2"/>
  <c r="BO1474" i="2"/>
  <c r="BO1475" i="2"/>
  <c r="BO1476" i="2"/>
  <c r="BO1477" i="2"/>
  <c r="BO1478" i="2"/>
  <c r="BO1479" i="2"/>
  <c r="BO1480" i="2"/>
  <c r="BO1481" i="2"/>
  <c r="BO1482" i="2"/>
  <c r="BO1483" i="2"/>
  <c r="BO1484" i="2"/>
  <c r="BO1485" i="2"/>
  <c r="BO1486" i="2"/>
  <c r="BO1487" i="2"/>
  <c r="BO1488" i="2"/>
  <c r="BO1489" i="2"/>
  <c r="BO1490" i="2"/>
  <c r="BO1491" i="2"/>
  <c r="BO1492" i="2"/>
  <c r="BO1493" i="2"/>
  <c r="BO1494" i="2"/>
  <c r="BO1495" i="2"/>
  <c r="BO1496" i="2"/>
  <c r="BO1497" i="2"/>
  <c r="BO1498" i="2"/>
  <c r="BO1499" i="2"/>
  <c r="BO1500" i="2"/>
  <c r="BO1501" i="2"/>
  <c r="BO1502" i="2"/>
  <c r="BO1503" i="2"/>
  <c r="BO1504" i="2"/>
  <c r="BO1505" i="2"/>
  <c r="BO1506" i="2"/>
  <c r="BO1507" i="2"/>
  <c r="BO1508" i="2"/>
  <c r="BO1509" i="2"/>
  <c r="BO1510" i="2"/>
  <c r="BO1511" i="2"/>
  <c r="BO1512" i="2"/>
  <c r="BO1513" i="2"/>
  <c r="BO1514" i="2"/>
  <c r="BO1515" i="2"/>
  <c r="BO1516" i="2"/>
  <c r="BO1517" i="2"/>
  <c r="BO1518" i="2"/>
  <c r="BO1519" i="2"/>
  <c r="BO1520" i="2"/>
  <c r="BO1521" i="2"/>
  <c r="BO1522" i="2"/>
  <c r="BO1523" i="2"/>
  <c r="BO1524" i="2"/>
  <c r="BO1525" i="2"/>
  <c r="BO1526" i="2"/>
  <c r="BO1527" i="2"/>
  <c r="BO1528" i="2"/>
  <c r="BO1529" i="2"/>
  <c r="BO1530" i="2"/>
  <c r="BO1531" i="2"/>
  <c r="BO1532" i="2"/>
  <c r="BO1533" i="2"/>
  <c r="BO1534" i="2"/>
  <c r="BO1535" i="2"/>
  <c r="BO1536" i="2"/>
  <c r="BO1537" i="2"/>
  <c r="BO1538" i="2"/>
  <c r="BO1539" i="2"/>
  <c r="BO1540" i="2"/>
  <c r="BO1541" i="2"/>
  <c r="BO1542" i="2"/>
  <c r="BO1543" i="2"/>
  <c r="BO1544" i="2"/>
  <c r="BO1545" i="2"/>
  <c r="BO1546" i="2"/>
  <c r="BO1547" i="2"/>
  <c r="BO1548" i="2"/>
  <c r="BO1549" i="2"/>
  <c r="BO1550" i="2"/>
  <c r="BO1551" i="2"/>
  <c r="BO1552" i="2"/>
  <c r="BO1553" i="2"/>
  <c r="BO1554" i="2"/>
  <c r="BO1555" i="2"/>
  <c r="BO1556" i="2"/>
  <c r="BO1557" i="2"/>
  <c r="BO1558" i="2"/>
  <c r="BO1559" i="2"/>
  <c r="BO1560" i="2"/>
  <c r="BO1561" i="2"/>
  <c r="BO1562" i="2"/>
  <c r="BO1563" i="2"/>
  <c r="BO1564" i="2"/>
  <c r="BO1565" i="2"/>
  <c r="BO1566" i="2"/>
  <c r="BO1567" i="2"/>
  <c r="BO1568" i="2"/>
  <c r="BO1569" i="2"/>
  <c r="BO1570" i="2"/>
  <c r="BO1571" i="2"/>
  <c r="BO1572" i="2"/>
  <c r="BO1573" i="2"/>
  <c r="BO1574" i="2"/>
  <c r="BO1575" i="2"/>
  <c r="BO1576" i="2"/>
  <c r="BO1577" i="2"/>
  <c r="BO1578" i="2"/>
  <c r="BO1579" i="2"/>
  <c r="BO1580" i="2"/>
  <c r="BO1581" i="2"/>
  <c r="BO1582" i="2"/>
  <c r="BO1583" i="2"/>
  <c r="BO1584" i="2"/>
  <c r="BO1585" i="2"/>
  <c r="BO1586" i="2"/>
  <c r="BO1587" i="2"/>
  <c r="BO1588" i="2"/>
  <c r="BO1589" i="2"/>
  <c r="BO1590" i="2"/>
  <c r="BO1591" i="2"/>
  <c r="BO1592" i="2"/>
  <c r="BO1593" i="2"/>
  <c r="BO1594" i="2"/>
  <c r="BO1595" i="2"/>
  <c r="BO1596" i="2"/>
  <c r="BO1597" i="2"/>
  <c r="BO1598" i="2"/>
  <c r="BO1599" i="2"/>
  <c r="BO1600" i="2"/>
  <c r="BO1601" i="2"/>
  <c r="BO1602" i="2"/>
  <c r="BO1603" i="2"/>
  <c r="BO1604" i="2"/>
  <c r="BO1605" i="2"/>
  <c r="BO1606" i="2"/>
  <c r="BO1607" i="2"/>
  <c r="BO1608" i="2"/>
  <c r="BO1609" i="2"/>
  <c r="BO1610" i="2"/>
  <c r="BO1611" i="2"/>
  <c r="BO1612" i="2"/>
  <c r="BO1613" i="2"/>
  <c r="BO1614" i="2"/>
  <c r="BO1615" i="2"/>
  <c r="BO1616" i="2"/>
  <c r="BO1617" i="2"/>
  <c r="BO1618" i="2"/>
  <c r="BO1619" i="2"/>
  <c r="BO1620" i="2"/>
  <c r="BO1621" i="2"/>
  <c r="BO1622" i="2"/>
  <c r="BO1623" i="2"/>
  <c r="BO1624" i="2"/>
  <c r="BO1625" i="2"/>
  <c r="BO1626" i="2"/>
  <c r="BO1627" i="2"/>
  <c r="BO1628" i="2"/>
  <c r="BO1629" i="2"/>
  <c r="BO1630" i="2"/>
  <c r="BO1631" i="2"/>
  <c r="BO1632" i="2"/>
  <c r="BO1633" i="2"/>
  <c r="BO1634" i="2"/>
  <c r="BO1635" i="2"/>
  <c r="BO1636" i="2"/>
  <c r="BO1637" i="2"/>
  <c r="BO1638" i="2"/>
  <c r="BO1639" i="2"/>
  <c r="BO1640" i="2"/>
  <c r="BO1641" i="2"/>
  <c r="BO1642" i="2"/>
  <c r="BO1643" i="2"/>
  <c r="BO1644" i="2"/>
  <c r="BO1645" i="2"/>
  <c r="BO1646" i="2"/>
  <c r="BO1647" i="2"/>
  <c r="BO1648" i="2"/>
  <c r="BO1649" i="2"/>
  <c r="BO1650" i="2"/>
  <c r="BO1651" i="2"/>
  <c r="BO1652" i="2"/>
  <c r="BO1653" i="2"/>
  <c r="BO1654" i="2"/>
  <c r="BO1655" i="2"/>
  <c r="BO1656" i="2"/>
  <c r="BO1657" i="2"/>
  <c r="BO1658" i="2"/>
  <c r="BO1659" i="2"/>
  <c r="BO1660" i="2"/>
  <c r="BO1661" i="2"/>
  <c r="BO1662" i="2"/>
  <c r="BO1663" i="2"/>
  <c r="BO1664" i="2"/>
  <c r="BO1665" i="2"/>
  <c r="BO1666" i="2"/>
  <c r="BO1667" i="2"/>
  <c r="BO1668" i="2"/>
  <c r="BO1669" i="2"/>
  <c r="BO1670" i="2"/>
  <c r="BO1671" i="2"/>
  <c r="BO1672" i="2"/>
  <c r="BO1673" i="2"/>
  <c r="BO1674" i="2"/>
  <c r="BO1675" i="2"/>
  <c r="BO1676" i="2"/>
  <c r="BO1677" i="2"/>
  <c r="BO1678" i="2"/>
  <c r="BO1679" i="2"/>
  <c r="BO1680" i="2"/>
  <c r="BO1681" i="2"/>
  <c r="BO1682" i="2"/>
  <c r="BO1683" i="2"/>
  <c r="BO1684" i="2"/>
  <c r="BO1685" i="2"/>
  <c r="BO1686" i="2"/>
  <c r="BO1687" i="2"/>
  <c r="BO1688" i="2"/>
  <c r="BO1689" i="2"/>
  <c r="BO1690" i="2"/>
  <c r="BO1691" i="2"/>
  <c r="BO1692" i="2"/>
  <c r="BO1693" i="2"/>
  <c r="BO1694" i="2"/>
  <c r="BO1695" i="2"/>
  <c r="BO1696" i="2"/>
  <c r="BO1697" i="2"/>
  <c r="BO1698" i="2"/>
  <c r="BO1699" i="2"/>
  <c r="BO1700" i="2"/>
  <c r="BO1701" i="2"/>
  <c r="BO1702" i="2"/>
  <c r="BO1703" i="2"/>
  <c r="BO1704" i="2"/>
  <c r="BO1705" i="2"/>
  <c r="BO1706" i="2"/>
  <c r="BO1707" i="2"/>
  <c r="BO1708" i="2"/>
  <c r="BO1709" i="2"/>
  <c r="BO1710" i="2"/>
  <c r="BO1711" i="2"/>
  <c r="BO1712" i="2"/>
  <c r="BO1713" i="2"/>
  <c r="BO1714" i="2"/>
  <c r="BO1715" i="2"/>
  <c r="BO1716" i="2"/>
  <c r="BO1717" i="2"/>
  <c r="BO1718" i="2"/>
  <c r="BO1719" i="2"/>
  <c r="BO1720" i="2"/>
  <c r="BO1721" i="2"/>
  <c r="BO1722" i="2"/>
  <c r="BO1723" i="2"/>
  <c r="BO1724" i="2"/>
  <c r="BO1725" i="2"/>
  <c r="BO1726" i="2"/>
  <c r="BO1727" i="2"/>
  <c r="BO1728" i="2"/>
  <c r="BO1729" i="2"/>
  <c r="BO1730" i="2"/>
  <c r="BO1731" i="2"/>
  <c r="BO1732" i="2"/>
  <c r="BO1733" i="2"/>
  <c r="BO1734" i="2"/>
  <c r="BO1735" i="2"/>
  <c r="BO1736" i="2"/>
  <c r="BO1737" i="2"/>
  <c r="BO1738" i="2"/>
  <c r="BO1739" i="2"/>
  <c r="BO1740" i="2"/>
  <c r="BO1741" i="2"/>
  <c r="BO1742" i="2"/>
  <c r="BO1743" i="2"/>
  <c r="BO1744" i="2"/>
  <c r="BO1745" i="2"/>
  <c r="BO1746" i="2"/>
  <c r="BO1747" i="2"/>
  <c r="BO1748" i="2"/>
  <c r="BO1749" i="2"/>
  <c r="BO1750" i="2"/>
  <c r="BO1751" i="2"/>
  <c r="BO1752" i="2"/>
  <c r="BO1753" i="2"/>
  <c r="BO1754" i="2"/>
  <c r="BO1755" i="2"/>
  <c r="BO1756" i="2"/>
  <c r="BO1757" i="2"/>
  <c r="BO1758" i="2"/>
  <c r="BO1759" i="2"/>
  <c r="BO1760" i="2"/>
  <c r="BO1761" i="2"/>
  <c r="BO1762" i="2"/>
  <c r="BO1763" i="2"/>
  <c r="BO1764" i="2"/>
  <c r="BO1765" i="2"/>
  <c r="BO1766" i="2"/>
  <c r="BO1767" i="2"/>
  <c r="BO1768" i="2"/>
  <c r="BO1769" i="2"/>
  <c r="BO1770" i="2"/>
  <c r="BO1771" i="2"/>
  <c r="BO1772" i="2"/>
  <c r="BO1773" i="2"/>
  <c r="BO1774" i="2"/>
  <c r="BO1775" i="2"/>
  <c r="BO1776" i="2"/>
  <c r="BO1777" i="2"/>
  <c r="BO1778" i="2"/>
  <c r="BO1779" i="2"/>
  <c r="BO1780" i="2"/>
  <c r="BO1781" i="2"/>
  <c r="BO1782" i="2"/>
  <c r="BO1783" i="2"/>
  <c r="BO1784" i="2"/>
  <c r="BO1785" i="2"/>
  <c r="BO1786" i="2"/>
  <c r="BO1787" i="2"/>
  <c r="BO1788" i="2"/>
  <c r="BO1789" i="2"/>
  <c r="BO1790" i="2"/>
  <c r="BO1791" i="2"/>
  <c r="BO1792" i="2"/>
  <c r="BO1793" i="2"/>
  <c r="BO1794" i="2"/>
  <c r="BO1795" i="2"/>
  <c r="BO1796" i="2"/>
  <c r="BO1797" i="2"/>
  <c r="BO1798" i="2"/>
  <c r="BO1799" i="2"/>
  <c r="BO1800" i="2"/>
  <c r="BO1801" i="2"/>
  <c r="BO1802" i="2"/>
  <c r="BO1803" i="2"/>
  <c r="BO1804" i="2"/>
  <c r="BO1805" i="2"/>
  <c r="BO1806" i="2"/>
  <c r="BO1807" i="2"/>
  <c r="BO1808" i="2"/>
  <c r="BO1809" i="2"/>
  <c r="BO1810" i="2"/>
  <c r="BO1811" i="2"/>
  <c r="BO1812" i="2"/>
  <c r="BO1813" i="2"/>
  <c r="BO1814" i="2"/>
  <c r="BO1815" i="2"/>
  <c r="BO1816" i="2"/>
  <c r="BO1817" i="2"/>
  <c r="BO1818" i="2"/>
  <c r="BO1819" i="2"/>
  <c r="BO1820" i="2"/>
  <c r="BO1821" i="2"/>
  <c r="BO1822" i="2"/>
  <c r="BO1823" i="2"/>
  <c r="BO1824" i="2"/>
  <c r="BO1825" i="2"/>
  <c r="BO1826" i="2"/>
  <c r="BO1827" i="2"/>
  <c r="BO1828" i="2"/>
  <c r="BO1829" i="2"/>
  <c r="BO1830" i="2"/>
  <c r="BO1831" i="2"/>
  <c r="BO1832" i="2"/>
  <c r="BO1833" i="2"/>
  <c r="BO1834" i="2"/>
  <c r="BO1835" i="2"/>
  <c r="BO1836" i="2"/>
  <c r="BO1837" i="2"/>
  <c r="BO1838" i="2"/>
  <c r="BO1839" i="2"/>
  <c r="BO1840" i="2"/>
  <c r="BO1841" i="2"/>
  <c r="BO1842" i="2"/>
  <c r="BO1843" i="2"/>
  <c r="BO1844" i="2"/>
  <c r="BO1845" i="2"/>
  <c r="BO1846" i="2"/>
  <c r="BO1847" i="2"/>
  <c r="BO1848" i="2"/>
  <c r="BO1849" i="2"/>
  <c r="BO1850" i="2"/>
  <c r="BO1851" i="2"/>
  <c r="BO1852" i="2"/>
  <c r="BO1853" i="2"/>
  <c r="BO1854" i="2"/>
  <c r="BO1855" i="2"/>
  <c r="BO1856" i="2"/>
  <c r="BO1857" i="2"/>
  <c r="BO1858" i="2"/>
  <c r="BO1859" i="2"/>
  <c r="BO1860" i="2"/>
  <c r="BO1861" i="2"/>
  <c r="BO1862" i="2"/>
  <c r="BO1863" i="2"/>
  <c r="BO1864" i="2"/>
  <c r="BO1865" i="2"/>
  <c r="BO1866" i="2"/>
  <c r="BO1867" i="2"/>
  <c r="BO1868" i="2"/>
  <c r="BO1869" i="2"/>
  <c r="BO1870" i="2"/>
  <c r="BO1871" i="2"/>
  <c r="BO1872" i="2"/>
  <c r="BO1873" i="2"/>
  <c r="BO1874" i="2"/>
  <c r="BO1875" i="2"/>
  <c r="BO1876" i="2"/>
  <c r="BO1877" i="2"/>
  <c r="BO1878" i="2"/>
  <c r="BO1879" i="2"/>
  <c r="BO1880" i="2"/>
  <c r="BO1881" i="2"/>
  <c r="BO1882" i="2"/>
  <c r="BO1883" i="2"/>
  <c r="BO1884" i="2"/>
  <c r="BO1885" i="2"/>
  <c r="BO1886" i="2"/>
  <c r="BO1887" i="2"/>
  <c r="BO1888" i="2"/>
  <c r="BO1889" i="2"/>
  <c r="BO1890" i="2"/>
  <c r="BO1891" i="2"/>
  <c r="BO1892" i="2"/>
  <c r="BO1893" i="2"/>
  <c r="BO1894" i="2"/>
  <c r="BO1895" i="2"/>
  <c r="BO1896" i="2"/>
  <c r="BO1897" i="2"/>
  <c r="BO1898" i="2"/>
  <c r="BO1899" i="2"/>
  <c r="BO1900" i="2"/>
  <c r="BO1901" i="2"/>
  <c r="BO1902" i="2"/>
  <c r="BO1903" i="2"/>
  <c r="BO1904" i="2"/>
  <c r="BO1905" i="2"/>
  <c r="BO1906" i="2"/>
  <c r="BO1907" i="2"/>
  <c r="BO1908" i="2"/>
  <c r="BO1909" i="2"/>
  <c r="BO1910" i="2"/>
  <c r="BO1911" i="2"/>
  <c r="BO1912" i="2"/>
  <c r="BO1913" i="2"/>
  <c r="BO1914" i="2"/>
  <c r="BO1915" i="2"/>
  <c r="BO1916" i="2"/>
  <c r="BO1917" i="2"/>
  <c r="BO1918" i="2"/>
  <c r="BO1919" i="2"/>
  <c r="BO1920" i="2"/>
  <c r="BO1921" i="2"/>
  <c r="BO1922" i="2"/>
  <c r="BO1923" i="2"/>
  <c r="BO1924" i="2"/>
  <c r="BO1925" i="2"/>
  <c r="BO1926" i="2"/>
  <c r="BO1927" i="2"/>
  <c r="BO1928" i="2"/>
  <c r="BO1929" i="2"/>
  <c r="BO1930" i="2"/>
  <c r="BO1931" i="2"/>
  <c r="BO1932" i="2"/>
  <c r="BO1933" i="2"/>
  <c r="BO1934" i="2"/>
  <c r="BO1935" i="2"/>
  <c r="BO1936" i="2"/>
  <c r="BO1937" i="2"/>
  <c r="BO1938" i="2"/>
  <c r="BO1939" i="2"/>
  <c r="BO1940" i="2"/>
  <c r="BO1941" i="2"/>
  <c r="BO1942" i="2"/>
  <c r="BO1943" i="2"/>
  <c r="BO1944" i="2"/>
  <c r="BO1945" i="2"/>
  <c r="BO1946" i="2"/>
  <c r="BO1947" i="2"/>
  <c r="BO1948" i="2"/>
  <c r="BO1949" i="2"/>
  <c r="BO1950" i="2"/>
  <c r="BO1951" i="2"/>
  <c r="BO1952" i="2"/>
  <c r="BO1953" i="2"/>
  <c r="BO1954" i="2"/>
  <c r="BO1955" i="2"/>
  <c r="BO1956" i="2"/>
  <c r="BO1957" i="2"/>
  <c r="BO1958" i="2"/>
  <c r="BO1959" i="2"/>
  <c r="BO1960" i="2"/>
  <c r="BO1961" i="2"/>
  <c r="BO1962" i="2"/>
  <c r="BO1963" i="2"/>
  <c r="BO1964" i="2"/>
  <c r="BO1965" i="2"/>
  <c r="BO1966" i="2"/>
  <c r="BO1967" i="2"/>
  <c r="BO1968" i="2"/>
  <c r="BO1969" i="2"/>
  <c r="BO1970" i="2"/>
  <c r="BO1971" i="2"/>
  <c r="BO1972" i="2"/>
  <c r="BO1973" i="2"/>
  <c r="BO1974" i="2"/>
  <c r="BO1975" i="2"/>
  <c r="BO1976" i="2"/>
  <c r="BO1977" i="2"/>
  <c r="BO1978" i="2"/>
  <c r="BO1979" i="2"/>
  <c r="BO1980" i="2"/>
  <c r="BO1981" i="2"/>
  <c r="BO1982" i="2"/>
  <c r="BO1983" i="2"/>
  <c r="BO1984" i="2"/>
  <c r="BO1985" i="2"/>
  <c r="BO1986" i="2"/>
  <c r="BO1987" i="2"/>
  <c r="BO1988" i="2"/>
  <c r="BO1989" i="2"/>
  <c r="BO1990" i="2"/>
  <c r="BO1991" i="2"/>
  <c r="BO1992" i="2"/>
  <c r="BO1993" i="2"/>
  <c r="BO1994" i="2"/>
  <c r="BO1995" i="2"/>
  <c r="BO1996" i="2"/>
  <c r="BO1997" i="2"/>
  <c r="BO1998" i="2"/>
  <c r="BO1999" i="2"/>
  <c r="BO2000" i="2"/>
  <c r="BO2001" i="2"/>
  <c r="BO2002" i="2"/>
  <c r="BO2003" i="2"/>
  <c r="BO2004" i="2"/>
  <c r="BO2005" i="2"/>
  <c r="BO2006" i="2"/>
  <c r="BO2007" i="2"/>
  <c r="BO2008" i="2"/>
  <c r="BO2009" i="2"/>
  <c r="BO2010" i="2"/>
  <c r="BO2011" i="2"/>
  <c r="BO2012" i="2"/>
  <c r="BO2013" i="2"/>
  <c r="BO2014" i="2"/>
  <c r="BO2015" i="2"/>
  <c r="BO2016" i="2"/>
  <c r="BO2017" i="2"/>
  <c r="BO2018" i="2"/>
  <c r="BO2019" i="2"/>
  <c r="BO2020" i="2"/>
  <c r="BO2021" i="2"/>
  <c r="BO2022" i="2"/>
  <c r="BO2023" i="2"/>
  <c r="BO2024" i="2"/>
  <c r="BO2025" i="2"/>
  <c r="BO2026" i="2"/>
  <c r="BO2027" i="2"/>
  <c r="BO2028" i="2"/>
  <c r="BO2029" i="2"/>
  <c r="BO2030" i="2"/>
  <c r="BO2031" i="2"/>
  <c r="BO2032" i="2"/>
  <c r="BO2033" i="2"/>
  <c r="BO2034" i="2"/>
  <c r="BO2035" i="2"/>
  <c r="BO2036" i="2"/>
  <c r="BO2037" i="2"/>
  <c r="BO2038" i="2"/>
  <c r="BO2039" i="2"/>
  <c r="BO2040" i="2"/>
  <c r="BO2041" i="2"/>
  <c r="BO2042" i="2"/>
  <c r="BO2043" i="2"/>
  <c r="BO2044" i="2"/>
  <c r="BO2045" i="2"/>
  <c r="BO2046" i="2"/>
  <c r="BO2047" i="2"/>
  <c r="BO2048" i="2"/>
  <c r="BO2049" i="2"/>
  <c r="BO2050" i="2"/>
  <c r="BO2051" i="2"/>
  <c r="BO2052" i="2"/>
  <c r="BO2053" i="2"/>
  <c r="BO2054" i="2"/>
  <c r="BO2055" i="2"/>
  <c r="BO2056" i="2"/>
  <c r="BO2057" i="2"/>
  <c r="BO2058" i="2"/>
  <c r="BO2059" i="2"/>
  <c r="BO2060" i="2"/>
  <c r="BO2061" i="2"/>
  <c r="BO2062" i="2"/>
  <c r="BO2063" i="2"/>
  <c r="BO2064" i="2"/>
  <c r="BO2065" i="2"/>
  <c r="BO2066" i="2"/>
  <c r="BO2067" i="2"/>
  <c r="BO2068" i="2"/>
  <c r="BO2069" i="2"/>
  <c r="BO2070" i="2"/>
  <c r="BO2071" i="2"/>
  <c r="BO2072" i="2"/>
  <c r="BO2073" i="2"/>
  <c r="BO2074" i="2"/>
  <c r="BO2075" i="2"/>
  <c r="BO2076" i="2"/>
  <c r="BO2077" i="2"/>
  <c r="BO2078" i="2"/>
  <c r="BO2079" i="2"/>
  <c r="BO2080" i="2"/>
  <c r="BO2081" i="2"/>
  <c r="BO2082" i="2"/>
  <c r="BO2083" i="2"/>
  <c r="BO2084" i="2"/>
  <c r="BO2085" i="2"/>
  <c r="BO2086" i="2"/>
  <c r="BO2087" i="2"/>
  <c r="BO2088" i="2"/>
  <c r="BO2089" i="2"/>
  <c r="BO2090" i="2"/>
  <c r="BO2091" i="2"/>
  <c r="BO2092" i="2"/>
  <c r="BO2093" i="2"/>
  <c r="BO2094" i="2"/>
  <c r="BO2095" i="2"/>
  <c r="BO2096" i="2"/>
  <c r="BO2097" i="2"/>
  <c r="BO2098" i="2"/>
  <c r="BO2099" i="2"/>
  <c r="BO2100" i="2"/>
  <c r="BO2101" i="2"/>
  <c r="BO2102" i="2"/>
  <c r="BO2103" i="2"/>
  <c r="BO2104" i="2"/>
  <c r="BO2105" i="2"/>
  <c r="BO2106" i="2"/>
  <c r="BO2107" i="2"/>
  <c r="BO2108" i="2"/>
  <c r="BO2109" i="2"/>
  <c r="BO2110" i="2"/>
  <c r="BO2111" i="2"/>
  <c r="BO2112" i="2"/>
  <c r="BO2113" i="2"/>
  <c r="BO2114" i="2"/>
  <c r="BO2115" i="2"/>
  <c r="BO2116" i="2"/>
  <c r="BO2117" i="2"/>
  <c r="BO2118" i="2"/>
  <c r="BO2119" i="2"/>
  <c r="BO2120" i="2"/>
  <c r="BO2121" i="2"/>
  <c r="BO2122" i="2"/>
  <c r="BO2123" i="2"/>
  <c r="BO2124" i="2"/>
  <c r="BO2125" i="2"/>
  <c r="BO2126" i="2"/>
  <c r="BO2127" i="2"/>
  <c r="BO2128" i="2"/>
  <c r="BO2129" i="2"/>
  <c r="BO2130" i="2"/>
  <c r="BO2131" i="2"/>
  <c r="BO2132" i="2"/>
  <c r="BO2" i="2"/>
  <c r="BU3" i="2"/>
  <c r="BU4" i="2"/>
  <c r="BU5" i="2"/>
  <c r="BU6" i="2"/>
  <c r="BU7" i="2"/>
  <c r="BU8" i="2"/>
  <c r="BU9" i="2"/>
  <c r="BU10" i="2"/>
  <c r="BU11" i="2"/>
  <c r="BU12" i="2"/>
  <c r="BU13" i="2"/>
  <c r="BU14" i="2"/>
  <c r="BU15" i="2"/>
  <c r="BU16" i="2"/>
  <c r="BU17" i="2"/>
  <c r="BU18" i="2"/>
  <c r="BU19" i="2"/>
  <c r="BU20" i="2"/>
  <c r="BU21" i="2"/>
  <c r="BU22" i="2"/>
  <c r="BU23" i="2"/>
  <c r="BU24" i="2"/>
  <c r="BU25" i="2"/>
  <c r="BU26" i="2"/>
  <c r="BU27" i="2"/>
  <c r="BU28" i="2"/>
  <c r="BU29" i="2"/>
  <c r="BU30" i="2"/>
  <c r="BU31" i="2"/>
  <c r="BU32" i="2"/>
  <c r="BU33" i="2"/>
  <c r="BU34" i="2"/>
  <c r="BU35" i="2"/>
  <c r="BU36" i="2"/>
  <c r="BU37" i="2"/>
  <c r="BU38" i="2"/>
  <c r="BU39" i="2"/>
  <c r="BU40" i="2"/>
  <c r="BU41" i="2"/>
  <c r="BU42" i="2"/>
  <c r="BU43" i="2"/>
  <c r="BU44" i="2"/>
  <c r="BU45" i="2"/>
  <c r="BU46" i="2"/>
  <c r="BU47" i="2"/>
  <c r="BU48" i="2"/>
  <c r="BU49" i="2"/>
  <c r="BU50" i="2"/>
  <c r="BU51" i="2"/>
  <c r="BU52" i="2"/>
  <c r="BU53" i="2"/>
  <c r="BU54" i="2"/>
  <c r="BU55" i="2"/>
  <c r="BU56" i="2"/>
  <c r="BU57" i="2"/>
  <c r="BU58" i="2"/>
  <c r="BU59" i="2"/>
  <c r="BU60" i="2"/>
  <c r="BU61" i="2"/>
  <c r="BU62" i="2"/>
  <c r="BU63" i="2"/>
  <c r="BU64" i="2"/>
  <c r="BU65" i="2"/>
  <c r="BU66" i="2"/>
  <c r="BU67" i="2"/>
  <c r="BU68" i="2"/>
  <c r="BU69" i="2"/>
  <c r="BU70" i="2"/>
  <c r="BU71" i="2"/>
  <c r="BU72" i="2"/>
  <c r="BU73" i="2"/>
  <c r="BU74" i="2"/>
  <c r="BU75" i="2"/>
  <c r="BU76" i="2"/>
  <c r="BU77" i="2"/>
  <c r="BU78" i="2"/>
  <c r="BU79" i="2"/>
  <c r="BU80" i="2"/>
  <c r="BU81" i="2"/>
  <c r="BU82" i="2"/>
  <c r="BU83" i="2"/>
  <c r="BU84" i="2"/>
  <c r="BU85" i="2"/>
  <c r="BU86" i="2"/>
  <c r="BU87" i="2"/>
  <c r="BU88" i="2"/>
  <c r="BU89" i="2"/>
  <c r="BU90" i="2"/>
  <c r="BU91" i="2"/>
  <c r="BU92" i="2"/>
  <c r="BU93" i="2"/>
  <c r="BU94" i="2"/>
  <c r="BU95" i="2"/>
  <c r="BU96" i="2"/>
  <c r="BU97" i="2"/>
  <c r="BU98" i="2"/>
  <c r="BU99" i="2"/>
  <c r="BU100" i="2"/>
  <c r="BU101" i="2"/>
  <c r="BU102" i="2"/>
  <c r="BU103" i="2"/>
  <c r="BU104" i="2"/>
  <c r="BU105" i="2"/>
  <c r="BU106" i="2"/>
  <c r="BU107" i="2"/>
  <c r="BU108" i="2"/>
  <c r="BU109" i="2"/>
  <c r="BU110" i="2"/>
  <c r="BU111" i="2"/>
  <c r="BU112" i="2"/>
  <c r="BU113" i="2"/>
  <c r="BU114" i="2"/>
  <c r="BU115" i="2"/>
  <c r="BU116" i="2"/>
  <c r="BU117" i="2"/>
  <c r="BU118" i="2"/>
  <c r="BU119" i="2"/>
  <c r="BU120" i="2"/>
  <c r="BU121" i="2"/>
  <c r="BU122" i="2"/>
  <c r="BU123" i="2"/>
  <c r="BU124" i="2"/>
  <c r="BU125" i="2"/>
  <c r="BU126" i="2"/>
  <c r="BU127" i="2"/>
  <c r="BU128" i="2"/>
  <c r="BU129" i="2"/>
  <c r="BU130" i="2"/>
  <c r="BU131" i="2"/>
  <c r="BU132" i="2"/>
  <c r="BU133" i="2"/>
  <c r="BU134" i="2"/>
  <c r="BU135" i="2"/>
  <c r="BU136" i="2"/>
  <c r="BU137" i="2"/>
  <c r="BU138" i="2"/>
  <c r="BU139" i="2"/>
  <c r="BU140" i="2"/>
  <c r="BU141" i="2"/>
  <c r="BU142" i="2"/>
  <c r="BU143" i="2"/>
  <c r="BU144" i="2"/>
  <c r="BU145" i="2"/>
  <c r="BU146" i="2"/>
  <c r="BU147" i="2"/>
  <c r="BU148" i="2"/>
  <c r="BU149" i="2"/>
  <c r="BU150" i="2"/>
  <c r="BU151" i="2"/>
  <c r="BU152" i="2"/>
  <c r="BU153" i="2"/>
  <c r="BU154" i="2"/>
  <c r="BU155" i="2"/>
  <c r="BU156" i="2"/>
  <c r="BU157" i="2"/>
  <c r="BU158" i="2"/>
  <c r="BU159" i="2"/>
  <c r="BU160" i="2"/>
  <c r="BU161" i="2"/>
  <c r="BU162" i="2"/>
  <c r="BU163" i="2"/>
  <c r="BU164" i="2"/>
  <c r="BU165" i="2"/>
  <c r="BU166" i="2"/>
  <c r="BU167" i="2"/>
  <c r="BU168" i="2"/>
  <c r="BU169" i="2"/>
  <c r="BU170" i="2"/>
  <c r="BU171" i="2"/>
  <c r="BU172" i="2"/>
  <c r="BU173" i="2"/>
  <c r="BU174" i="2"/>
  <c r="BU175" i="2"/>
  <c r="BU176" i="2"/>
  <c r="BU177" i="2"/>
  <c r="BU178" i="2"/>
  <c r="BU179" i="2"/>
  <c r="BU180" i="2"/>
  <c r="BU181" i="2"/>
  <c r="BU182" i="2"/>
  <c r="BU183" i="2"/>
  <c r="BU184" i="2"/>
  <c r="BU185" i="2"/>
  <c r="BU186" i="2"/>
  <c r="BU187" i="2"/>
  <c r="BU188" i="2"/>
  <c r="BU189" i="2"/>
  <c r="BU190" i="2"/>
  <c r="BU191" i="2"/>
  <c r="BU192" i="2"/>
  <c r="BU193" i="2"/>
  <c r="BU194" i="2"/>
  <c r="BU195" i="2"/>
  <c r="BU196" i="2"/>
  <c r="BU197" i="2"/>
  <c r="BU198" i="2"/>
  <c r="BU199" i="2"/>
  <c r="BU200" i="2"/>
  <c r="BU201" i="2"/>
  <c r="BU202" i="2"/>
  <c r="BU203" i="2"/>
  <c r="BU204" i="2"/>
  <c r="BU205" i="2"/>
  <c r="BU206" i="2"/>
  <c r="BU207" i="2"/>
  <c r="BU208" i="2"/>
  <c r="BU209" i="2"/>
  <c r="BU210" i="2"/>
  <c r="BU211" i="2"/>
  <c r="BU212" i="2"/>
  <c r="BU213" i="2"/>
  <c r="BU214" i="2"/>
  <c r="BU215" i="2"/>
  <c r="BU216" i="2"/>
  <c r="BU217" i="2"/>
  <c r="BU218" i="2"/>
  <c r="BU219" i="2"/>
  <c r="BU220" i="2"/>
  <c r="BU221" i="2"/>
  <c r="BU222" i="2"/>
  <c r="BU223" i="2"/>
  <c r="BU224" i="2"/>
  <c r="BU225" i="2"/>
  <c r="BU226" i="2"/>
  <c r="BU227" i="2"/>
  <c r="BU228" i="2"/>
  <c r="BU229" i="2"/>
  <c r="BU230" i="2"/>
  <c r="BU231" i="2"/>
  <c r="BU232" i="2"/>
  <c r="BU233" i="2"/>
  <c r="BU234" i="2"/>
  <c r="BU235" i="2"/>
  <c r="BU236" i="2"/>
  <c r="BU237" i="2"/>
  <c r="BU238" i="2"/>
  <c r="BU239" i="2"/>
  <c r="BU240" i="2"/>
  <c r="BU241" i="2"/>
  <c r="BU242" i="2"/>
  <c r="BU243" i="2"/>
  <c r="BU244" i="2"/>
  <c r="BU245" i="2"/>
  <c r="BU246" i="2"/>
  <c r="BU247" i="2"/>
  <c r="BU248" i="2"/>
  <c r="BU249" i="2"/>
  <c r="BU250" i="2"/>
  <c r="BU251" i="2"/>
  <c r="BU252" i="2"/>
  <c r="BU253" i="2"/>
  <c r="BU254" i="2"/>
  <c r="BU255" i="2"/>
  <c r="BU256" i="2"/>
  <c r="BU257" i="2"/>
  <c r="BU258" i="2"/>
  <c r="BU259" i="2"/>
  <c r="BU260" i="2"/>
  <c r="BU261" i="2"/>
  <c r="BU262" i="2"/>
  <c r="BU263" i="2"/>
  <c r="BU264" i="2"/>
  <c r="BU265" i="2"/>
  <c r="BU266" i="2"/>
  <c r="BU267" i="2"/>
  <c r="BU268" i="2"/>
  <c r="BU269" i="2"/>
  <c r="BU270" i="2"/>
  <c r="BU271" i="2"/>
  <c r="BU272" i="2"/>
  <c r="BU273" i="2"/>
  <c r="BU274" i="2"/>
  <c r="BU275" i="2"/>
  <c r="BU276" i="2"/>
  <c r="BU277" i="2"/>
  <c r="BU278" i="2"/>
  <c r="BU279" i="2"/>
  <c r="BU280" i="2"/>
  <c r="BU281" i="2"/>
  <c r="BU282" i="2"/>
  <c r="BU283" i="2"/>
  <c r="BU284" i="2"/>
  <c r="BU285" i="2"/>
  <c r="BU286" i="2"/>
  <c r="BU287" i="2"/>
  <c r="BU288" i="2"/>
  <c r="BU289" i="2"/>
  <c r="BU290" i="2"/>
  <c r="BU291" i="2"/>
  <c r="BU292" i="2"/>
  <c r="BU293" i="2"/>
  <c r="BU294" i="2"/>
  <c r="BU295" i="2"/>
  <c r="BU296" i="2"/>
  <c r="BU297" i="2"/>
  <c r="BU298" i="2"/>
  <c r="BU299" i="2"/>
  <c r="BU300" i="2"/>
  <c r="BU301" i="2"/>
  <c r="BU302" i="2"/>
  <c r="BU303" i="2"/>
  <c r="BU304" i="2"/>
  <c r="BU305" i="2"/>
  <c r="BU306" i="2"/>
  <c r="BU307" i="2"/>
  <c r="BU308" i="2"/>
  <c r="BU309" i="2"/>
  <c r="BU310" i="2"/>
  <c r="BU311" i="2"/>
  <c r="BU312" i="2"/>
  <c r="BU313" i="2"/>
  <c r="BU314" i="2"/>
  <c r="BU315" i="2"/>
  <c r="BU316" i="2"/>
  <c r="BU317" i="2"/>
  <c r="BU318" i="2"/>
  <c r="BU319" i="2"/>
  <c r="BU320" i="2"/>
  <c r="BU321" i="2"/>
  <c r="BU322" i="2"/>
  <c r="BU323" i="2"/>
  <c r="BU324" i="2"/>
  <c r="BU325" i="2"/>
  <c r="BU326" i="2"/>
  <c r="BU327" i="2"/>
  <c r="BU328" i="2"/>
  <c r="BU329" i="2"/>
  <c r="BU330" i="2"/>
  <c r="BU331" i="2"/>
  <c r="BU332" i="2"/>
  <c r="BU333" i="2"/>
  <c r="BU334" i="2"/>
  <c r="BU335" i="2"/>
  <c r="BU336" i="2"/>
  <c r="BU337" i="2"/>
  <c r="BU338" i="2"/>
  <c r="BU339" i="2"/>
  <c r="BU340" i="2"/>
  <c r="BU341" i="2"/>
  <c r="BU342" i="2"/>
  <c r="BU343" i="2"/>
  <c r="BU344" i="2"/>
  <c r="BU345" i="2"/>
  <c r="BU346" i="2"/>
  <c r="BU347" i="2"/>
  <c r="BU348" i="2"/>
  <c r="BU349" i="2"/>
  <c r="BU350" i="2"/>
  <c r="BU351" i="2"/>
  <c r="BU352" i="2"/>
  <c r="BU353" i="2"/>
  <c r="BU354" i="2"/>
  <c r="BU355" i="2"/>
  <c r="BU356" i="2"/>
  <c r="BU357" i="2"/>
  <c r="BU358" i="2"/>
  <c r="BU359" i="2"/>
  <c r="BU360" i="2"/>
  <c r="BU361" i="2"/>
  <c r="BU362" i="2"/>
  <c r="BU363" i="2"/>
  <c r="BU364" i="2"/>
  <c r="BU365" i="2"/>
  <c r="BU366" i="2"/>
  <c r="BU367" i="2"/>
  <c r="BU368" i="2"/>
  <c r="BU369" i="2"/>
  <c r="BU370" i="2"/>
  <c r="BU371" i="2"/>
  <c r="BU372" i="2"/>
  <c r="BU373" i="2"/>
  <c r="BU374" i="2"/>
  <c r="BU375" i="2"/>
  <c r="BU376" i="2"/>
  <c r="BU377" i="2"/>
  <c r="BU378" i="2"/>
  <c r="BU379" i="2"/>
  <c r="BU380" i="2"/>
  <c r="BU381" i="2"/>
  <c r="BU382" i="2"/>
  <c r="BU383" i="2"/>
  <c r="BU384" i="2"/>
  <c r="BU385" i="2"/>
  <c r="BU386" i="2"/>
  <c r="BU387" i="2"/>
  <c r="BU388" i="2"/>
  <c r="BU389" i="2"/>
  <c r="BU390" i="2"/>
  <c r="BU391" i="2"/>
  <c r="BU392" i="2"/>
  <c r="BU393" i="2"/>
  <c r="BU394" i="2"/>
  <c r="BU395" i="2"/>
  <c r="BU396" i="2"/>
  <c r="BU397" i="2"/>
  <c r="BU398" i="2"/>
  <c r="BU399" i="2"/>
  <c r="BU400" i="2"/>
  <c r="BU401" i="2"/>
  <c r="BU402" i="2"/>
  <c r="BU403" i="2"/>
  <c r="BU404" i="2"/>
  <c r="BU405" i="2"/>
  <c r="BU406" i="2"/>
  <c r="BU407" i="2"/>
  <c r="BU408" i="2"/>
  <c r="BU409" i="2"/>
  <c r="BU410" i="2"/>
  <c r="BU411" i="2"/>
  <c r="BU412" i="2"/>
  <c r="BU413" i="2"/>
  <c r="BU414" i="2"/>
  <c r="BU415" i="2"/>
  <c r="BU416" i="2"/>
  <c r="BU417" i="2"/>
  <c r="BU418" i="2"/>
  <c r="BU419" i="2"/>
  <c r="BU420" i="2"/>
  <c r="BU421" i="2"/>
  <c r="BU422" i="2"/>
  <c r="BU423" i="2"/>
  <c r="BU424" i="2"/>
  <c r="BU425" i="2"/>
  <c r="BU426" i="2"/>
  <c r="BU427" i="2"/>
  <c r="BU428" i="2"/>
  <c r="BU429" i="2"/>
  <c r="BU430" i="2"/>
  <c r="BU431" i="2"/>
  <c r="BU432" i="2"/>
  <c r="BU433" i="2"/>
  <c r="BU434" i="2"/>
  <c r="BU435" i="2"/>
  <c r="BU436" i="2"/>
  <c r="BU437" i="2"/>
  <c r="BU438" i="2"/>
  <c r="BU439" i="2"/>
  <c r="BU440" i="2"/>
  <c r="BU441" i="2"/>
  <c r="BU442" i="2"/>
  <c r="BU443" i="2"/>
  <c r="BU444" i="2"/>
  <c r="BU445" i="2"/>
  <c r="BU446" i="2"/>
  <c r="BU447" i="2"/>
  <c r="BU448" i="2"/>
  <c r="BU449" i="2"/>
  <c r="BU450" i="2"/>
  <c r="BU451" i="2"/>
  <c r="BU452" i="2"/>
  <c r="BU453" i="2"/>
  <c r="BU454" i="2"/>
  <c r="BU455" i="2"/>
  <c r="BU456" i="2"/>
  <c r="BU457" i="2"/>
  <c r="BU458" i="2"/>
  <c r="BU459" i="2"/>
  <c r="BU460" i="2"/>
  <c r="BU461" i="2"/>
  <c r="BU462" i="2"/>
  <c r="BU463" i="2"/>
  <c r="BU464" i="2"/>
  <c r="BU465" i="2"/>
  <c r="BU466" i="2"/>
  <c r="BU467" i="2"/>
  <c r="BU468" i="2"/>
  <c r="BU469" i="2"/>
  <c r="BU470" i="2"/>
  <c r="BU471" i="2"/>
  <c r="BU472" i="2"/>
  <c r="BU473" i="2"/>
  <c r="BU474" i="2"/>
  <c r="BU475" i="2"/>
  <c r="BU476" i="2"/>
  <c r="BU477" i="2"/>
  <c r="BU478" i="2"/>
  <c r="BU479" i="2"/>
  <c r="BU480" i="2"/>
  <c r="BU481" i="2"/>
  <c r="BU482" i="2"/>
  <c r="BU483" i="2"/>
  <c r="BU484" i="2"/>
  <c r="BU485" i="2"/>
  <c r="BU486" i="2"/>
  <c r="BU487" i="2"/>
  <c r="BU488" i="2"/>
  <c r="BU489" i="2"/>
  <c r="BU490" i="2"/>
  <c r="BU491" i="2"/>
  <c r="BU492" i="2"/>
  <c r="BU493" i="2"/>
  <c r="BU494" i="2"/>
  <c r="BU495" i="2"/>
  <c r="BU496" i="2"/>
  <c r="BU497" i="2"/>
  <c r="BU498" i="2"/>
  <c r="BU499" i="2"/>
  <c r="BU500" i="2"/>
  <c r="BU501" i="2"/>
  <c r="BU502" i="2"/>
  <c r="BU503" i="2"/>
  <c r="BU504" i="2"/>
  <c r="BU505" i="2"/>
  <c r="BU506" i="2"/>
  <c r="BU507" i="2"/>
  <c r="BU508" i="2"/>
  <c r="BU509" i="2"/>
  <c r="BU510" i="2"/>
  <c r="BU511" i="2"/>
  <c r="BU512" i="2"/>
  <c r="BU513" i="2"/>
  <c r="BU514" i="2"/>
  <c r="BU515" i="2"/>
  <c r="BU516" i="2"/>
  <c r="BU517" i="2"/>
  <c r="BU518" i="2"/>
  <c r="BU519" i="2"/>
  <c r="BU520" i="2"/>
  <c r="BU521" i="2"/>
  <c r="BU522" i="2"/>
  <c r="BU523" i="2"/>
  <c r="BU524" i="2"/>
  <c r="BU525" i="2"/>
  <c r="BU526" i="2"/>
  <c r="BU527" i="2"/>
  <c r="BU528" i="2"/>
  <c r="BU529" i="2"/>
  <c r="BU530" i="2"/>
  <c r="BU531" i="2"/>
  <c r="BU532" i="2"/>
  <c r="BU533" i="2"/>
  <c r="BU534" i="2"/>
  <c r="BU535" i="2"/>
  <c r="BU536" i="2"/>
  <c r="BU537" i="2"/>
  <c r="BU538" i="2"/>
  <c r="BU539" i="2"/>
  <c r="BU540" i="2"/>
  <c r="BU541" i="2"/>
  <c r="BU542" i="2"/>
  <c r="BU543" i="2"/>
  <c r="BU544" i="2"/>
  <c r="BU545" i="2"/>
  <c r="BU546" i="2"/>
  <c r="BU547" i="2"/>
  <c r="BU548" i="2"/>
  <c r="BU549" i="2"/>
  <c r="BU550" i="2"/>
  <c r="BU551" i="2"/>
  <c r="BU552" i="2"/>
  <c r="BU553" i="2"/>
  <c r="BU554" i="2"/>
  <c r="BU555" i="2"/>
  <c r="BU556" i="2"/>
  <c r="BU557" i="2"/>
  <c r="BU558" i="2"/>
  <c r="BU559" i="2"/>
  <c r="BU560" i="2"/>
  <c r="BU561" i="2"/>
  <c r="BU562" i="2"/>
  <c r="BU563" i="2"/>
  <c r="BU564" i="2"/>
  <c r="BU565" i="2"/>
  <c r="BU566" i="2"/>
  <c r="BU567" i="2"/>
  <c r="BU568" i="2"/>
  <c r="BU569" i="2"/>
  <c r="BU570" i="2"/>
  <c r="BU571" i="2"/>
  <c r="BU572" i="2"/>
  <c r="BU573" i="2"/>
  <c r="BU574" i="2"/>
  <c r="BU575" i="2"/>
  <c r="BU576" i="2"/>
  <c r="BU577" i="2"/>
  <c r="BU578" i="2"/>
  <c r="BU579" i="2"/>
  <c r="BU580" i="2"/>
  <c r="BU581" i="2"/>
  <c r="BU582" i="2"/>
  <c r="BU583" i="2"/>
  <c r="BU584" i="2"/>
  <c r="BU585" i="2"/>
  <c r="BU586" i="2"/>
  <c r="BU587" i="2"/>
  <c r="BU588" i="2"/>
  <c r="BU589" i="2"/>
  <c r="BU590" i="2"/>
  <c r="BU591" i="2"/>
  <c r="BU592" i="2"/>
  <c r="BU593" i="2"/>
  <c r="BU594" i="2"/>
  <c r="BU595" i="2"/>
  <c r="BU596" i="2"/>
  <c r="BU597" i="2"/>
  <c r="BU598" i="2"/>
  <c r="BU599" i="2"/>
  <c r="BU600" i="2"/>
  <c r="BU601" i="2"/>
  <c r="BU602" i="2"/>
  <c r="BU603" i="2"/>
  <c r="BU604" i="2"/>
  <c r="BU605" i="2"/>
  <c r="BU606" i="2"/>
  <c r="BU607" i="2"/>
  <c r="BU608" i="2"/>
  <c r="BU609" i="2"/>
  <c r="BU610" i="2"/>
  <c r="BU611" i="2"/>
  <c r="BU612" i="2"/>
  <c r="BU613" i="2"/>
  <c r="BU614" i="2"/>
  <c r="BU615" i="2"/>
  <c r="BU616" i="2"/>
  <c r="BU617" i="2"/>
  <c r="BU618" i="2"/>
  <c r="BU619" i="2"/>
  <c r="BU620" i="2"/>
  <c r="BU621" i="2"/>
  <c r="BU622" i="2"/>
  <c r="BU623" i="2"/>
  <c r="BU624" i="2"/>
  <c r="BU625" i="2"/>
  <c r="BU626" i="2"/>
  <c r="BU627" i="2"/>
  <c r="BU628" i="2"/>
  <c r="BU629" i="2"/>
  <c r="BU630" i="2"/>
  <c r="BU631" i="2"/>
  <c r="BU632" i="2"/>
  <c r="BU633" i="2"/>
  <c r="BU634" i="2"/>
  <c r="BU635" i="2"/>
  <c r="BU636" i="2"/>
  <c r="BU637" i="2"/>
  <c r="BU638" i="2"/>
  <c r="BU639" i="2"/>
  <c r="BU640" i="2"/>
  <c r="BU641" i="2"/>
  <c r="BU642" i="2"/>
  <c r="BU643" i="2"/>
  <c r="BU644" i="2"/>
  <c r="BU645" i="2"/>
  <c r="BU646" i="2"/>
  <c r="BU647" i="2"/>
  <c r="BU648" i="2"/>
  <c r="BU649" i="2"/>
  <c r="BU650" i="2"/>
  <c r="BU651" i="2"/>
  <c r="BU652" i="2"/>
  <c r="BU653" i="2"/>
  <c r="BU654" i="2"/>
  <c r="BU655" i="2"/>
  <c r="BU656" i="2"/>
  <c r="BU657" i="2"/>
  <c r="BU658" i="2"/>
  <c r="BU659" i="2"/>
  <c r="BU660" i="2"/>
  <c r="BU661" i="2"/>
  <c r="BU662" i="2"/>
  <c r="BU663" i="2"/>
  <c r="BU664" i="2"/>
  <c r="BU665" i="2"/>
  <c r="BU666" i="2"/>
  <c r="BU667" i="2"/>
  <c r="BU668" i="2"/>
  <c r="BU669" i="2"/>
  <c r="BU670" i="2"/>
  <c r="BU671" i="2"/>
  <c r="BU672" i="2"/>
  <c r="BU673" i="2"/>
  <c r="BU674" i="2"/>
  <c r="BU675" i="2"/>
  <c r="BU676" i="2"/>
  <c r="BU677" i="2"/>
  <c r="BU678" i="2"/>
  <c r="BU679" i="2"/>
  <c r="BU680" i="2"/>
  <c r="BU681" i="2"/>
  <c r="BU682" i="2"/>
  <c r="BU683" i="2"/>
  <c r="BU684" i="2"/>
  <c r="BU685" i="2"/>
  <c r="BU686" i="2"/>
  <c r="BU687" i="2"/>
  <c r="BU688" i="2"/>
  <c r="BU689" i="2"/>
  <c r="BU690" i="2"/>
  <c r="BU691" i="2"/>
  <c r="BU692" i="2"/>
  <c r="BU693" i="2"/>
  <c r="BU694" i="2"/>
  <c r="BU695" i="2"/>
  <c r="BU696" i="2"/>
  <c r="BU697" i="2"/>
  <c r="BU698" i="2"/>
  <c r="BU699" i="2"/>
  <c r="BU700" i="2"/>
  <c r="BU701" i="2"/>
  <c r="BU702" i="2"/>
  <c r="BU703" i="2"/>
  <c r="BU704" i="2"/>
  <c r="BU705" i="2"/>
  <c r="BU706" i="2"/>
  <c r="BU707" i="2"/>
  <c r="BU708" i="2"/>
  <c r="BU709" i="2"/>
  <c r="BU710" i="2"/>
  <c r="BU711" i="2"/>
  <c r="BU712" i="2"/>
  <c r="BU713" i="2"/>
  <c r="BU714" i="2"/>
  <c r="BU715" i="2"/>
  <c r="BU716" i="2"/>
  <c r="BU717" i="2"/>
  <c r="BU718" i="2"/>
  <c r="BU719" i="2"/>
  <c r="BU720" i="2"/>
  <c r="BU721" i="2"/>
  <c r="BU722" i="2"/>
  <c r="BU723" i="2"/>
  <c r="BU724" i="2"/>
  <c r="BU725" i="2"/>
  <c r="BU726" i="2"/>
  <c r="BU727" i="2"/>
  <c r="BU728" i="2"/>
  <c r="BU729" i="2"/>
  <c r="BU730" i="2"/>
  <c r="BU731" i="2"/>
  <c r="BU732" i="2"/>
  <c r="BU733" i="2"/>
  <c r="BU734" i="2"/>
  <c r="BU735" i="2"/>
  <c r="BU736" i="2"/>
  <c r="BU737" i="2"/>
  <c r="BU738" i="2"/>
  <c r="BU739" i="2"/>
  <c r="BU740" i="2"/>
  <c r="BU741" i="2"/>
  <c r="BU742" i="2"/>
  <c r="BU743" i="2"/>
  <c r="BU744" i="2"/>
  <c r="BU745" i="2"/>
  <c r="BU746" i="2"/>
  <c r="BU747" i="2"/>
  <c r="BU748" i="2"/>
  <c r="BU749" i="2"/>
  <c r="BU750" i="2"/>
  <c r="BU751" i="2"/>
  <c r="BU752" i="2"/>
  <c r="BU753" i="2"/>
  <c r="BU754" i="2"/>
  <c r="BU755" i="2"/>
  <c r="BU756" i="2"/>
  <c r="BU757" i="2"/>
  <c r="BU758" i="2"/>
  <c r="BU759" i="2"/>
  <c r="BU760" i="2"/>
  <c r="BU761" i="2"/>
  <c r="BU762" i="2"/>
  <c r="BU763" i="2"/>
  <c r="BU764" i="2"/>
  <c r="BU765" i="2"/>
  <c r="BU766" i="2"/>
  <c r="BU767" i="2"/>
  <c r="BU768" i="2"/>
  <c r="BU769" i="2"/>
  <c r="BU770" i="2"/>
  <c r="BU771" i="2"/>
  <c r="BU772" i="2"/>
  <c r="BU773" i="2"/>
  <c r="BU774" i="2"/>
  <c r="BU775" i="2"/>
  <c r="BU776" i="2"/>
  <c r="BU777" i="2"/>
  <c r="BU778" i="2"/>
  <c r="BU779" i="2"/>
  <c r="BU780" i="2"/>
  <c r="BU781" i="2"/>
  <c r="BU782" i="2"/>
  <c r="BU783" i="2"/>
  <c r="BU784" i="2"/>
  <c r="BU785" i="2"/>
  <c r="BU786" i="2"/>
  <c r="BU787" i="2"/>
  <c r="BU788" i="2"/>
  <c r="BU789" i="2"/>
  <c r="BU790" i="2"/>
  <c r="BU791" i="2"/>
  <c r="BU792" i="2"/>
  <c r="BU793" i="2"/>
  <c r="BU794" i="2"/>
  <c r="BU795" i="2"/>
  <c r="BU796" i="2"/>
  <c r="BU797" i="2"/>
  <c r="BU798" i="2"/>
  <c r="BU799" i="2"/>
  <c r="BU800" i="2"/>
  <c r="BU801" i="2"/>
  <c r="BU802" i="2"/>
  <c r="BU803" i="2"/>
  <c r="BU804" i="2"/>
  <c r="BU805" i="2"/>
  <c r="BU806" i="2"/>
  <c r="BU807" i="2"/>
  <c r="BU808" i="2"/>
  <c r="BU809" i="2"/>
  <c r="BU810" i="2"/>
  <c r="BU811" i="2"/>
  <c r="BU812" i="2"/>
  <c r="BU813" i="2"/>
  <c r="BU814" i="2"/>
  <c r="BU815" i="2"/>
  <c r="BU816" i="2"/>
  <c r="BU817" i="2"/>
  <c r="BU818" i="2"/>
  <c r="BU819" i="2"/>
  <c r="BU820" i="2"/>
  <c r="BU821" i="2"/>
  <c r="BU822" i="2"/>
  <c r="BU823" i="2"/>
  <c r="BU824" i="2"/>
  <c r="BU825" i="2"/>
  <c r="BU826" i="2"/>
  <c r="BU827" i="2"/>
  <c r="BU828" i="2"/>
  <c r="BU829" i="2"/>
  <c r="BU830" i="2"/>
  <c r="BU831" i="2"/>
  <c r="BU832" i="2"/>
  <c r="BU833" i="2"/>
  <c r="BU834" i="2"/>
  <c r="BU835" i="2"/>
  <c r="BU836" i="2"/>
  <c r="BU837" i="2"/>
  <c r="BU838" i="2"/>
  <c r="BU839" i="2"/>
  <c r="BU840" i="2"/>
  <c r="BU841" i="2"/>
  <c r="BU842" i="2"/>
  <c r="BU843" i="2"/>
  <c r="BU844" i="2"/>
  <c r="BU845" i="2"/>
  <c r="BU846" i="2"/>
  <c r="BU847" i="2"/>
  <c r="BU848" i="2"/>
  <c r="BU849" i="2"/>
  <c r="BU850" i="2"/>
  <c r="BU851" i="2"/>
  <c r="BU852" i="2"/>
  <c r="BU853" i="2"/>
  <c r="BU854" i="2"/>
  <c r="BU855" i="2"/>
  <c r="BU856" i="2"/>
  <c r="BU857" i="2"/>
  <c r="BU858" i="2"/>
  <c r="BU859" i="2"/>
  <c r="BU860" i="2"/>
  <c r="BU861" i="2"/>
  <c r="BU862" i="2"/>
  <c r="BU863" i="2"/>
  <c r="BU864" i="2"/>
  <c r="BU865" i="2"/>
  <c r="BU866" i="2"/>
  <c r="BU867" i="2"/>
  <c r="BU868" i="2"/>
  <c r="BU869" i="2"/>
  <c r="BU870" i="2"/>
  <c r="BU871" i="2"/>
  <c r="BU872" i="2"/>
  <c r="BU873" i="2"/>
  <c r="BU874" i="2"/>
  <c r="BU875" i="2"/>
  <c r="BU876" i="2"/>
  <c r="BU877" i="2"/>
  <c r="BU878" i="2"/>
  <c r="BU879" i="2"/>
  <c r="BU880" i="2"/>
  <c r="BU881" i="2"/>
  <c r="BU882" i="2"/>
  <c r="BU883" i="2"/>
  <c r="BU884" i="2"/>
  <c r="BU885" i="2"/>
  <c r="BU886" i="2"/>
  <c r="BU887" i="2"/>
  <c r="BU888" i="2"/>
  <c r="BU889" i="2"/>
  <c r="BU890" i="2"/>
  <c r="BU891" i="2"/>
  <c r="BU892" i="2"/>
  <c r="BU893" i="2"/>
  <c r="BU894" i="2"/>
  <c r="BU895" i="2"/>
  <c r="BU896" i="2"/>
  <c r="BU897" i="2"/>
  <c r="BU898" i="2"/>
  <c r="BU899" i="2"/>
  <c r="BU900" i="2"/>
  <c r="BU901" i="2"/>
  <c r="BU902" i="2"/>
  <c r="BU903" i="2"/>
  <c r="BU904" i="2"/>
  <c r="BU905" i="2"/>
  <c r="BU906" i="2"/>
  <c r="BU907" i="2"/>
  <c r="BU908" i="2"/>
  <c r="BU909" i="2"/>
  <c r="BU910" i="2"/>
  <c r="BU911" i="2"/>
  <c r="BU912" i="2"/>
  <c r="BU913" i="2"/>
  <c r="BU914" i="2"/>
  <c r="BU915" i="2"/>
  <c r="BU916" i="2"/>
  <c r="BU917" i="2"/>
  <c r="BU918" i="2"/>
  <c r="BU919" i="2"/>
  <c r="BU920" i="2"/>
  <c r="BU921" i="2"/>
  <c r="BU922" i="2"/>
  <c r="BU923" i="2"/>
  <c r="BU924" i="2"/>
  <c r="BU925" i="2"/>
  <c r="BU926" i="2"/>
  <c r="BU927" i="2"/>
  <c r="BU928" i="2"/>
  <c r="BU929" i="2"/>
  <c r="BU930" i="2"/>
  <c r="BU931" i="2"/>
  <c r="BU932" i="2"/>
  <c r="BU933" i="2"/>
  <c r="BU934" i="2"/>
  <c r="BU935" i="2"/>
  <c r="BU936" i="2"/>
  <c r="BU937" i="2"/>
  <c r="BU938" i="2"/>
  <c r="BU939" i="2"/>
  <c r="BU940" i="2"/>
  <c r="BU941" i="2"/>
  <c r="BU942" i="2"/>
  <c r="BU943" i="2"/>
  <c r="BU944" i="2"/>
  <c r="BU945" i="2"/>
  <c r="BU946" i="2"/>
  <c r="BU947" i="2"/>
  <c r="BU948" i="2"/>
  <c r="BU949" i="2"/>
  <c r="BU950" i="2"/>
  <c r="BU951" i="2"/>
  <c r="BU952" i="2"/>
  <c r="BU953" i="2"/>
  <c r="BU954" i="2"/>
  <c r="BU955" i="2"/>
  <c r="BU956" i="2"/>
  <c r="BU957" i="2"/>
  <c r="BU958" i="2"/>
  <c r="BU959" i="2"/>
  <c r="BU960" i="2"/>
  <c r="BU961" i="2"/>
  <c r="BU962" i="2"/>
  <c r="BU963" i="2"/>
  <c r="BU964" i="2"/>
  <c r="BU965" i="2"/>
  <c r="BU966" i="2"/>
  <c r="BU967" i="2"/>
  <c r="BU968" i="2"/>
  <c r="BU969" i="2"/>
  <c r="BU970" i="2"/>
  <c r="BU971" i="2"/>
  <c r="BU972" i="2"/>
  <c r="BU973" i="2"/>
  <c r="BU974" i="2"/>
  <c r="BU975" i="2"/>
  <c r="BU976" i="2"/>
  <c r="BU977" i="2"/>
  <c r="BU978" i="2"/>
  <c r="BU979" i="2"/>
  <c r="BU980" i="2"/>
  <c r="BU981" i="2"/>
  <c r="BU982" i="2"/>
  <c r="BU983" i="2"/>
  <c r="BU984" i="2"/>
  <c r="BU985" i="2"/>
  <c r="BU986" i="2"/>
  <c r="BU987" i="2"/>
  <c r="BU988" i="2"/>
  <c r="BU989" i="2"/>
  <c r="BU990" i="2"/>
  <c r="BU991" i="2"/>
  <c r="BU992" i="2"/>
  <c r="BU993" i="2"/>
  <c r="BU994" i="2"/>
  <c r="BU995" i="2"/>
  <c r="BU996" i="2"/>
  <c r="BU997" i="2"/>
  <c r="BU998" i="2"/>
  <c r="BU999" i="2"/>
  <c r="BU1000" i="2"/>
  <c r="BU1001" i="2"/>
  <c r="BU1002" i="2"/>
  <c r="BU1003" i="2"/>
  <c r="BU1004" i="2"/>
  <c r="BU1005" i="2"/>
  <c r="BU1006" i="2"/>
  <c r="BU1007" i="2"/>
  <c r="BU1008" i="2"/>
  <c r="BU1009" i="2"/>
  <c r="BU1010" i="2"/>
  <c r="BU1011" i="2"/>
  <c r="BU1012" i="2"/>
  <c r="BU1013" i="2"/>
  <c r="BU1014" i="2"/>
  <c r="BU1015" i="2"/>
  <c r="BU1016" i="2"/>
  <c r="BU1017" i="2"/>
  <c r="BU1018" i="2"/>
  <c r="BU1019" i="2"/>
  <c r="BU1020" i="2"/>
  <c r="BU1021" i="2"/>
  <c r="BU1022" i="2"/>
  <c r="BU1023" i="2"/>
  <c r="BU1024" i="2"/>
  <c r="BU1025" i="2"/>
  <c r="BU1026" i="2"/>
  <c r="BU1027" i="2"/>
  <c r="BU1028" i="2"/>
  <c r="BU1029" i="2"/>
  <c r="BU1030" i="2"/>
  <c r="BU1031" i="2"/>
  <c r="BU1032" i="2"/>
  <c r="BU1033" i="2"/>
  <c r="BU1034" i="2"/>
  <c r="BU1035" i="2"/>
  <c r="BU1036" i="2"/>
  <c r="BU1037" i="2"/>
  <c r="BU1038" i="2"/>
  <c r="BU1039" i="2"/>
  <c r="BU1040" i="2"/>
  <c r="BU1041" i="2"/>
  <c r="BU1042" i="2"/>
  <c r="BU1043" i="2"/>
  <c r="BU1044" i="2"/>
  <c r="BU1045" i="2"/>
  <c r="BU1046" i="2"/>
  <c r="BU1047" i="2"/>
  <c r="BU1048" i="2"/>
  <c r="BU1049" i="2"/>
  <c r="BU1050" i="2"/>
  <c r="BU1051" i="2"/>
  <c r="BU1052" i="2"/>
  <c r="BU1053" i="2"/>
  <c r="BU1054" i="2"/>
  <c r="BU1055" i="2"/>
  <c r="BU1056" i="2"/>
  <c r="BU1057" i="2"/>
  <c r="BU1058" i="2"/>
  <c r="BU1059" i="2"/>
  <c r="BU1060" i="2"/>
  <c r="BU1061" i="2"/>
  <c r="BU1062" i="2"/>
  <c r="BU1063" i="2"/>
  <c r="BU1064" i="2"/>
  <c r="BU1065" i="2"/>
  <c r="BU1066" i="2"/>
  <c r="BU1067" i="2"/>
  <c r="BU1068" i="2"/>
  <c r="BU1069" i="2"/>
  <c r="BU1070" i="2"/>
  <c r="BU1071" i="2"/>
  <c r="BU1072" i="2"/>
  <c r="BU1073" i="2"/>
  <c r="BU1074" i="2"/>
  <c r="BU1075" i="2"/>
  <c r="BU1076" i="2"/>
  <c r="BU1077" i="2"/>
  <c r="BU1078" i="2"/>
  <c r="BU1079" i="2"/>
  <c r="BU1080" i="2"/>
  <c r="BU1081" i="2"/>
  <c r="BU1082" i="2"/>
  <c r="BU1083" i="2"/>
  <c r="BU1084" i="2"/>
  <c r="BU1085" i="2"/>
  <c r="BU1086" i="2"/>
  <c r="BU1087" i="2"/>
  <c r="BU1088" i="2"/>
  <c r="BU1089" i="2"/>
  <c r="BU1090" i="2"/>
  <c r="BU1091" i="2"/>
  <c r="BU1092" i="2"/>
  <c r="BU1093" i="2"/>
  <c r="BU1094" i="2"/>
  <c r="BU1095" i="2"/>
  <c r="BU1096" i="2"/>
  <c r="BU1097" i="2"/>
  <c r="BU1098" i="2"/>
  <c r="BU1099" i="2"/>
  <c r="BU1100" i="2"/>
  <c r="BU1101" i="2"/>
  <c r="BU1102" i="2"/>
  <c r="BU1103" i="2"/>
  <c r="BU1104" i="2"/>
  <c r="BU1105" i="2"/>
  <c r="BU1106" i="2"/>
  <c r="BU1107" i="2"/>
  <c r="BU1108" i="2"/>
  <c r="BU1109" i="2"/>
  <c r="BU1110" i="2"/>
  <c r="BU1111" i="2"/>
  <c r="BU1112" i="2"/>
  <c r="BU1113" i="2"/>
  <c r="BU1114" i="2"/>
  <c r="BU1115" i="2"/>
  <c r="BU1116" i="2"/>
  <c r="BU1117" i="2"/>
  <c r="BU1118" i="2"/>
  <c r="BU1119" i="2"/>
  <c r="BU1120" i="2"/>
  <c r="BU1121" i="2"/>
  <c r="BU1122" i="2"/>
  <c r="BU1123" i="2"/>
  <c r="BU1124" i="2"/>
  <c r="BU1125" i="2"/>
  <c r="BU1126" i="2"/>
  <c r="BU1127" i="2"/>
  <c r="BU1128" i="2"/>
  <c r="BU1129" i="2"/>
  <c r="BU1130" i="2"/>
  <c r="BU1131" i="2"/>
  <c r="BU1132" i="2"/>
  <c r="BU1133" i="2"/>
  <c r="BU1134" i="2"/>
  <c r="BU1135" i="2"/>
  <c r="BU1136" i="2"/>
  <c r="BU1137" i="2"/>
  <c r="BU1138" i="2"/>
  <c r="BU1139" i="2"/>
  <c r="BU1140" i="2"/>
  <c r="BU1141" i="2"/>
  <c r="BU1142" i="2"/>
  <c r="BU1143" i="2"/>
  <c r="BU1144" i="2"/>
  <c r="BU1145" i="2"/>
  <c r="BU1146" i="2"/>
  <c r="BU1147" i="2"/>
  <c r="BU1148" i="2"/>
  <c r="BU1149" i="2"/>
  <c r="BU1150" i="2"/>
  <c r="BU1151" i="2"/>
  <c r="BU1152" i="2"/>
  <c r="BU1153" i="2"/>
  <c r="BU1154" i="2"/>
  <c r="BU1155" i="2"/>
  <c r="BU1156" i="2"/>
  <c r="BU1157" i="2"/>
  <c r="BU1158" i="2"/>
  <c r="BU1159" i="2"/>
  <c r="BU1160" i="2"/>
  <c r="BU1161" i="2"/>
  <c r="BU1162" i="2"/>
  <c r="BU1163" i="2"/>
  <c r="BU1164" i="2"/>
  <c r="BU1165" i="2"/>
  <c r="BU1166" i="2"/>
  <c r="BU1167" i="2"/>
  <c r="BU1168" i="2"/>
  <c r="BU1169" i="2"/>
  <c r="BU1170" i="2"/>
  <c r="BU1171" i="2"/>
  <c r="BU1172" i="2"/>
  <c r="BU1173" i="2"/>
  <c r="BU1174" i="2"/>
  <c r="BU1175" i="2"/>
  <c r="BU1176" i="2"/>
  <c r="BU1177" i="2"/>
  <c r="BU1178" i="2"/>
  <c r="BU1179" i="2"/>
  <c r="BU1180" i="2"/>
  <c r="BU1181" i="2"/>
  <c r="BU1182" i="2"/>
  <c r="BU1183" i="2"/>
  <c r="BU1184" i="2"/>
  <c r="BU1185" i="2"/>
  <c r="BU1186" i="2"/>
  <c r="BU1187" i="2"/>
  <c r="BU1188" i="2"/>
  <c r="BU1189" i="2"/>
  <c r="BU1190" i="2"/>
  <c r="BU1191" i="2"/>
  <c r="BU1192" i="2"/>
  <c r="BU1193" i="2"/>
  <c r="BU1194" i="2"/>
  <c r="BU1195" i="2"/>
  <c r="BU1196" i="2"/>
  <c r="BU1197" i="2"/>
  <c r="BU1198" i="2"/>
  <c r="BU1199" i="2"/>
  <c r="BU1200" i="2"/>
  <c r="BU1201" i="2"/>
  <c r="BU1202" i="2"/>
  <c r="BU1203" i="2"/>
  <c r="BU1204" i="2"/>
  <c r="BU1205" i="2"/>
  <c r="BU1206" i="2"/>
  <c r="BU1207" i="2"/>
  <c r="BU1208" i="2"/>
  <c r="BU1209" i="2"/>
  <c r="BU1210" i="2"/>
  <c r="BU1211" i="2"/>
  <c r="BU1212" i="2"/>
  <c r="BU1213" i="2"/>
  <c r="BU1214" i="2"/>
  <c r="BU1215" i="2"/>
  <c r="BU1216" i="2"/>
  <c r="BU1217" i="2"/>
  <c r="BU1218" i="2"/>
  <c r="BU1219" i="2"/>
  <c r="BU1220" i="2"/>
  <c r="BU1221" i="2"/>
  <c r="BU1222" i="2"/>
  <c r="BU1223" i="2"/>
  <c r="BU1224" i="2"/>
  <c r="BU1225" i="2"/>
  <c r="BU1226" i="2"/>
  <c r="BU1227" i="2"/>
  <c r="BU1228" i="2"/>
  <c r="BU1229" i="2"/>
  <c r="BU1230" i="2"/>
  <c r="BU1231" i="2"/>
  <c r="BU1232" i="2"/>
  <c r="BU1233" i="2"/>
  <c r="BU1234" i="2"/>
  <c r="BU1235" i="2"/>
  <c r="BU1236" i="2"/>
  <c r="BU1237" i="2"/>
  <c r="BU1238" i="2"/>
  <c r="BU1239" i="2"/>
  <c r="BU1240" i="2"/>
  <c r="BU1241" i="2"/>
  <c r="BU1242" i="2"/>
  <c r="BU1243" i="2"/>
  <c r="BU1244" i="2"/>
  <c r="BU1245" i="2"/>
  <c r="BU1246" i="2"/>
  <c r="BU1247" i="2"/>
  <c r="BU1248" i="2"/>
  <c r="BU1249" i="2"/>
  <c r="BU1250" i="2"/>
  <c r="BU1251" i="2"/>
  <c r="BU1252" i="2"/>
  <c r="BU1253" i="2"/>
  <c r="BU1254" i="2"/>
  <c r="BU1255" i="2"/>
  <c r="BU1256" i="2"/>
  <c r="BU1257" i="2"/>
  <c r="BU1258" i="2"/>
  <c r="BU1259" i="2"/>
  <c r="BU1260" i="2"/>
  <c r="BU1261" i="2"/>
  <c r="BU1262" i="2"/>
  <c r="BU1263" i="2"/>
  <c r="BU1264" i="2"/>
  <c r="BU1265" i="2"/>
  <c r="BU1266" i="2"/>
  <c r="BU1267" i="2"/>
  <c r="BU1268" i="2"/>
  <c r="BU1269" i="2"/>
  <c r="BU1270" i="2"/>
  <c r="BU1271" i="2"/>
  <c r="BU1272" i="2"/>
  <c r="BU1273" i="2"/>
  <c r="BU1274" i="2"/>
  <c r="BU1275" i="2"/>
  <c r="BU1276" i="2"/>
  <c r="BU1277" i="2"/>
  <c r="BU1278" i="2"/>
  <c r="BU1279" i="2"/>
  <c r="BU1280" i="2"/>
  <c r="BU1281" i="2"/>
  <c r="BU1282" i="2"/>
  <c r="BU1283" i="2"/>
  <c r="BU1284" i="2"/>
  <c r="BU1285" i="2"/>
  <c r="BU1286" i="2"/>
  <c r="BU1287" i="2"/>
  <c r="BU1288" i="2"/>
  <c r="BU1289" i="2"/>
  <c r="BU1290" i="2"/>
  <c r="BU1291" i="2"/>
  <c r="BU1292" i="2"/>
  <c r="BU1293" i="2"/>
  <c r="BU1294" i="2"/>
  <c r="BU1295" i="2"/>
  <c r="BU1296" i="2"/>
  <c r="BU1297" i="2"/>
  <c r="BU1298" i="2"/>
  <c r="BU1299" i="2"/>
  <c r="BU1300" i="2"/>
  <c r="BU1301" i="2"/>
  <c r="BU1302" i="2"/>
  <c r="BU1303" i="2"/>
  <c r="BU1304" i="2"/>
  <c r="BU1305" i="2"/>
  <c r="BU1306" i="2"/>
  <c r="BU1307" i="2"/>
  <c r="BU1308" i="2"/>
  <c r="BU1309" i="2"/>
  <c r="BU1310" i="2"/>
  <c r="BU1311" i="2"/>
  <c r="BU1312" i="2"/>
  <c r="BU1313" i="2"/>
  <c r="BU1314" i="2"/>
  <c r="BU1315" i="2"/>
  <c r="BU1316" i="2"/>
  <c r="BU1317" i="2"/>
  <c r="BU1318" i="2"/>
  <c r="BU1319" i="2"/>
  <c r="BU1320" i="2"/>
  <c r="BU1321" i="2"/>
  <c r="BU1322" i="2"/>
  <c r="BU1323" i="2"/>
  <c r="BU1324" i="2"/>
  <c r="BU1325" i="2"/>
  <c r="BU1326" i="2"/>
  <c r="BU1327" i="2"/>
  <c r="BU1328" i="2"/>
  <c r="BU1329" i="2"/>
  <c r="BU1330" i="2"/>
  <c r="BU1331" i="2"/>
  <c r="BU1332" i="2"/>
  <c r="BU1333" i="2"/>
  <c r="BU1334" i="2"/>
  <c r="BU1335" i="2"/>
  <c r="BU1336" i="2"/>
  <c r="BU1337" i="2"/>
  <c r="BU1338" i="2"/>
  <c r="BU1339" i="2"/>
  <c r="BU1340" i="2"/>
  <c r="BU1341" i="2"/>
  <c r="BU1342" i="2"/>
  <c r="BU1343" i="2"/>
  <c r="BU1344" i="2"/>
  <c r="BU1345" i="2"/>
  <c r="BU1346" i="2"/>
  <c r="BU1347" i="2"/>
  <c r="BU1348" i="2"/>
  <c r="BU1349" i="2"/>
  <c r="BU1350" i="2"/>
  <c r="BU1351" i="2"/>
  <c r="BU1352" i="2"/>
  <c r="BU1353" i="2"/>
  <c r="BU1354" i="2"/>
  <c r="BU1355" i="2"/>
  <c r="BU1356" i="2"/>
  <c r="BU1357" i="2"/>
  <c r="BU1358" i="2"/>
  <c r="BU1359" i="2"/>
  <c r="BU1360" i="2"/>
  <c r="BU1361" i="2"/>
  <c r="BU1362" i="2"/>
  <c r="BU1363" i="2"/>
  <c r="BU1364" i="2"/>
  <c r="BU1365" i="2"/>
  <c r="BU1366" i="2"/>
  <c r="BU1367" i="2"/>
  <c r="BU1368" i="2"/>
  <c r="BU1369" i="2"/>
  <c r="BU1370" i="2"/>
  <c r="BU1371" i="2"/>
  <c r="BU1372" i="2"/>
  <c r="BU1373" i="2"/>
  <c r="BU1374" i="2"/>
  <c r="BU1375" i="2"/>
  <c r="BU1376" i="2"/>
  <c r="BU1377" i="2"/>
  <c r="BU1378" i="2"/>
  <c r="BU1379" i="2"/>
  <c r="BU1380" i="2"/>
  <c r="BU1381" i="2"/>
  <c r="BU1382" i="2"/>
  <c r="BU1383" i="2"/>
  <c r="BU1384" i="2"/>
  <c r="BU1385" i="2"/>
  <c r="BU1386" i="2"/>
  <c r="BU1387" i="2"/>
  <c r="BU1388" i="2"/>
  <c r="BU1389" i="2"/>
  <c r="BU1390" i="2"/>
  <c r="BU1391" i="2"/>
  <c r="BU1392" i="2"/>
  <c r="BU1393" i="2"/>
  <c r="BU1394" i="2"/>
  <c r="BU1395" i="2"/>
  <c r="BU1396" i="2"/>
  <c r="BU1397" i="2"/>
  <c r="BU1398" i="2"/>
  <c r="BU1399" i="2"/>
  <c r="BU1400" i="2"/>
  <c r="BU1401" i="2"/>
  <c r="BU1402" i="2"/>
  <c r="BU1403" i="2"/>
  <c r="BU1404" i="2"/>
  <c r="BU1405" i="2"/>
  <c r="BU1406" i="2"/>
  <c r="BU1407" i="2"/>
  <c r="BU1408" i="2"/>
  <c r="BU1409" i="2"/>
  <c r="BU1410" i="2"/>
  <c r="BU1411" i="2"/>
  <c r="BU1412" i="2"/>
  <c r="BU1413" i="2"/>
  <c r="BU1414" i="2"/>
  <c r="BU1415" i="2"/>
  <c r="BU1416" i="2"/>
  <c r="BU1417" i="2"/>
  <c r="BU1418" i="2"/>
  <c r="BU1419" i="2"/>
  <c r="BU1420" i="2"/>
  <c r="BU1421" i="2"/>
  <c r="BU1422" i="2"/>
  <c r="BU1423" i="2"/>
  <c r="BU1424" i="2"/>
  <c r="BU1425" i="2"/>
  <c r="BU1426" i="2"/>
  <c r="BU1427" i="2"/>
  <c r="BU1428" i="2"/>
  <c r="BU1429" i="2"/>
  <c r="BU1430" i="2"/>
  <c r="BU1431" i="2"/>
  <c r="BU1432" i="2"/>
  <c r="BU1433" i="2"/>
  <c r="BU1434" i="2"/>
  <c r="BU1435" i="2"/>
  <c r="BU1436" i="2"/>
  <c r="BU1437" i="2"/>
  <c r="BU1438" i="2"/>
  <c r="BU1439" i="2"/>
  <c r="BU1440" i="2"/>
  <c r="BU1441" i="2"/>
  <c r="BU1442" i="2"/>
  <c r="BU1443" i="2"/>
  <c r="BU1444" i="2"/>
  <c r="BU1445" i="2"/>
  <c r="BU1446" i="2"/>
  <c r="BU1447" i="2"/>
  <c r="BU1448" i="2"/>
  <c r="BU1449" i="2"/>
  <c r="BU1450" i="2"/>
  <c r="BU1451" i="2"/>
  <c r="BU1452" i="2"/>
  <c r="BU1453" i="2"/>
  <c r="BU1454" i="2"/>
  <c r="BU1455" i="2"/>
  <c r="BU1456" i="2"/>
  <c r="BU1457" i="2"/>
  <c r="BU1458" i="2"/>
  <c r="BU1459" i="2"/>
  <c r="BU1460" i="2"/>
  <c r="BU1461" i="2"/>
  <c r="BU1462" i="2"/>
  <c r="BU1463" i="2"/>
  <c r="BU1464" i="2"/>
  <c r="BU1465" i="2"/>
  <c r="BU1466" i="2"/>
  <c r="BU1467" i="2"/>
  <c r="BU1468" i="2"/>
  <c r="BU1469" i="2"/>
  <c r="BU1470" i="2"/>
  <c r="BU1471" i="2"/>
  <c r="BU1472" i="2"/>
  <c r="BU1473" i="2"/>
  <c r="BU1474" i="2"/>
  <c r="BU1475" i="2"/>
  <c r="BU1476" i="2"/>
  <c r="BU1477" i="2"/>
  <c r="BU1478" i="2"/>
  <c r="BU1479" i="2"/>
  <c r="BU1480" i="2"/>
  <c r="BU1481" i="2"/>
  <c r="BU1482" i="2"/>
  <c r="BU1483" i="2"/>
  <c r="BU1484" i="2"/>
  <c r="BU1485" i="2"/>
  <c r="BU1486" i="2"/>
  <c r="BU1487" i="2"/>
  <c r="BU1488" i="2"/>
  <c r="BU1489" i="2"/>
  <c r="BU1490" i="2"/>
  <c r="BU1491" i="2"/>
  <c r="BU1492" i="2"/>
  <c r="BU1493" i="2"/>
  <c r="BU1494" i="2"/>
  <c r="BU1495" i="2"/>
  <c r="BU1496" i="2"/>
  <c r="BU1497" i="2"/>
  <c r="BU1498" i="2"/>
  <c r="BU1499" i="2"/>
  <c r="BU1500" i="2"/>
  <c r="BU1501" i="2"/>
  <c r="BU1502" i="2"/>
  <c r="BU1503" i="2"/>
  <c r="BU1504" i="2"/>
  <c r="BU1505" i="2"/>
  <c r="BU1506" i="2"/>
  <c r="BU1507" i="2"/>
  <c r="BU1508" i="2"/>
  <c r="BU1509" i="2"/>
  <c r="BU1510" i="2"/>
  <c r="BU1511" i="2"/>
  <c r="BU1512" i="2"/>
  <c r="BU1513" i="2"/>
  <c r="BU1514" i="2"/>
  <c r="BU1515" i="2"/>
  <c r="BU1516" i="2"/>
  <c r="BU1517" i="2"/>
  <c r="BU1518" i="2"/>
  <c r="BU1519" i="2"/>
  <c r="BU1520" i="2"/>
  <c r="BU1521" i="2"/>
  <c r="BU1522" i="2"/>
  <c r="BU1523" i="2"/>
  <c r="BU1524" i="2"/>
  <c r="BU1525" i="2"/>
  <c r="BU1526" i="2"/>
  <c r="BU1527" i="2"/>
  <c r="BU1528" i="2"/>
  <c r="BU1529" i="2"/>
  <c r="BU1530" i="2"/>
  <c r="BU1531" i="2"/>
  <c r="BU1532" i="2"/>
  <c r="BU1533" i="2"/>
  <c r="BU1534" i="2"/>
  <c r="BU1535" i="2"/>
  <c r="BU1536" i="2"/>
  <c r="BU1537" i="2"/>
  <c r="BU1538" i="2"/>
  <c r="BU1539" i="2"/>
  <c r="BU1540" i="2"/>
  <c r="BU1541" i="2"/>
  <c r="BU1542" i="2"/>
  <c r="BU1543" i="2"/>
  <c r="BU1544" i="2"/>
  <c r="BU1545" i="2"/>
  <c r="BU1546" i="2"/>
  <c r="BU1547" i="2"/>
  <c r="BU1548" i="2"/>
  <c r="BU1549" i="2"/>
  <c r="BU1550" i="2"/>
  <c r="BU1551" i="2"/>
  <c r="BU1552" i="2"/>
  <c r="BU1553" i="2"/>
  <c r="BU1554" i="2"/>
  <c r="BU1555" i="2"/>
  <c r="BU1556" i="2"/>
  <c r="BU1557" i="2"/>
  <c r="BU1558" i="2"/>
  <c r="BU1559" i="2"/>
  <c r="BU1560" i="2"/>
  <c r="BU1561" i="2"/>
  <c r="BU1562" i="2"/>
  <c r="BU1563" i="2"/>
  <c r="BU1564" i="2"/>
  <c r="BU1565" i="2"/>
  <c r="BU1566" i="2"/>
  <c r="BU1567" i="2"/>
  <c r="BU1568" i="2"/>
  <c r="BU1569" i="2"/>
  <c r="BU1570" i="2"/>
  <c r="BU1571" i="2"/>
  <c r="BU1572" i="2"/>
  <c r="BU1573" i="2"/>
  <c r="BU1574" i="2"/>
  <c r="BU1575" i="2"/>
  <c r="BU1576" i="2"/>
  <c r="BU1577" i="2"/>
  <c r="BU1578" i="2"/>
  <c r="BU1579" i="2"/>
  <c r="BU1580" i="2"/>
  <c r="BU1581" i="2"/>
  <c r="BU1582" i="2"/>
  <c r="BU1583" i="2"/>
  <c r="BU1584" i="2"/>
  <c r="BU1585" i="2"/>
  <c r="BU1586" i="2"/>
  <c r="BU1587" i="2"/>
  <c r="BU1588" i="2"/>
  <c r="BU1589" i="2"/>
  <c r="BU1590" i="2"/>
  <c r="BU1591" i="2"/>
  <c r="BU1592" i="2"/>
  <c r="BU1593" i="2"/>
  <c r="BU1594" i="2"/>
  <c r="BU1595" i="2"/>
  <c r="BU1596" i="2"/>
  <c r="BU1597" i="2"/>
  <c r="BU1598" i="2"/>
  <c r="BU1599" i="2"/>
  <c r="BU1600" i="2"/>
  <c r="BU1601" i="2"/>
  <c r="BU1602" i="2"/>
  <c r="BU1603" i="2"/>
  <c r="BU1604" i="2"/>
  <c r="BU1605" i="2"/>
  <c r="BU1606" i="2"/>
  <c r="BU1607" i="2"/>
  <c r="BU1608" i="2"/>
  <c r="BU1609" i="2"/>
  <c r="BU1610" i="2"/>
  <c r="BU1611" i="2"/>
  <c r="BU1612" i="2"/>
  <c r="BU1613" i="2"/>
  <c r="BU1614" i="2"/>
  <c r="BU1615" i="2"/>
  <c r="BU1616" i="2"/>
  <c r="BU1617" i="2"/>
  <c r="BU1618" i="2"/>
  <c r="BU1619" i="2"/>
  <c r="BU1620" i="2"/>
  <c r="BU1621" i="2"/>
  <c r="BU1622" i="2"/>
  <c r="BU1623" i="2"/>
  <c r="BU1624" i="2"/>
  <c r="BU1625" i="2"/>
  <c r="BU1626" i="2"/>
  <c r="BU1627" i="2"/>
  <c r="BU1628" i="2"/>
  <c r="BU1629" i="2"/>
  <c r="BU1630" i="2"/>
  <c r="BU1631" i="2"/>
  <c r="BU1632" i="2"/>
  <c r="BU1633" i="2"/>
  <c r="BU1634" i="2"/>
  <c r="BU1635" i="2"/>
  <c r="BU1636" i="2"/>
  <c r="BU1637" i="2"/>
  <c r="BU1638" i="2"/>
  <c r="BU1639" i="2"/>
  <c r="BU1640" i="2"/>
  <c r="BU1641" i="2"/>
  <c r="BU1642" i="2"/>
  <c r="BU1643" i="2"/>
  <c r="BU1644" i="2"/>
  <c r="BU1645" i="2"/>
  <c r="BU1646" i="2"/>
  <c r="BU1647" i="2"/>
  <c r="BU1648" i="2"/>
  <c r="BU1649" i="2"/>
  <c r="BU1650" i="2"/>
  <c r="BU1651" i="2"/>
  <c r="BU1652" i="2"/>
  <c r="BU1653" i="2"/>
  <c r="BU1654" i="2"/>
  <c r="BU1655" i="2"/>
  <c r="BU1656" i="2"/>
  <c r="BU1657" i="2"/>
  <c r="BU1658" i="2"/>
  <c r="BU1659" i="2"/>
  <c r="BU1660" i="2"/>
  <c r="BU1661" i="2"/>
  <c r="BU1662" i="2"/>
  <c r="BU1663" i="2"/>
  <c r="BU1664" i="2"/>
  <c r="BU1665" i="2"/>
  <c r="BU1666" i="2"/>
  <c r="BU1667" i="2"/>
  <c r="BU1668" i="2"/>
  <c r="BU1669" i="2"/>
  <c r="BU1670" i="2"/>
  <c r="BU1671" i="2"/>
  <c r="BU1672" i="2"/>
  <c r="BU1673" i="2"/>
  <c r="BU1674" i="2"/>
  <c r="BU1675" i="2"/>
  <c r="BU1676" i="2"/>
  <c r="BU1677" i="2"/>
  <c r="BU1678" i="2"/>
  <c r="BU1679" i="2"/>
  <c r="BU1680" i="2"/>
  <c r="BU1681" i="2"/>
  <c r="BU1682" i="2"/>
  <c r="BU1683" i="2"/>
  <c r="BU1684" i="2"/>
  <c r="BU1685" i="2"/>
  <c r="BU1686" i="2"/>
  <c r="BU1687" i="2"/>
  <c r="BU1688" i="2"/>
  <c r="BU1689" i="2"/>
  <c r="BU1690" i="2"/>
  <c r="BU1691" i="2"/>
  <c r="BU1692" i="2"/>
  <c r="BU1693" i="2"/>
  <c r="BU1694" i="2"/>
  <c r="BU1695" i="2"/>
  <c r="BU1696" i="2"/>
  <c r="BU1697" i="2"/>
  <c r="BU1698" i="2"/>
  <c r="BU1699" i="2"/>
  <c r="BU1700" i="2"/>
  <c r="BU1701" i="2"/>
  <c r="BU1702" i="2"/>
  <c r="BU1703" i="2"/>
  <c r="BU1704" i="2"/>
  <c r="BU1705" i="2"/>
  <c r="BU1706" i="2"/>
  <c r="BU1707" i="2"/>
  <c r="BU1708" i="2"/>
  <c r="BU1709" i="2"/>
  <c r="BU1710" i="2"/>
  <c r="BU1711" i="2"/>
  <c r="BU1712" i="2"/>
  <c r="BU1713" i="2"/>
  <c r="BU1714" i="2"/>
  <c r="BU1715" i="2"/>
  <c r="BU1716" i="2"/>
  <c r="BU1717" i="2"/>
  <c r="BU1718" i="2"/>
  <c r="BU1719" i="2"/>
  <c r="BU1720" i="2"/>
  <c r="BU1721" i="2"/>
  <c r="BU1722" i="2"/>
  <c r="BU1723" i="2"/>
  <c r="BU1724" i="2"/>
  <c r="BU1725" i="2"/>
  <c r="BU1726" i="2"/>
  <c r="BU1727" i="2"/>
  <c r="BU1728" i="2"/>
  <c r="BU1729" i="2"/>
  <c r="BU1730" i="2"/>
  <c r="BU1731" i="2"/>
  <c r="BU1732" i="2"/>
  <c r="BU1733" i="2"/>
  <c r="BU1734" i="2"/>
  <c r="BU1735" i="2"/>
  <c r="BU1736" i="2"/>
  <c r="BU1737" i="2"/>
  <c r="BU1738" i="2"/>
  <c r="BU1739" i="2"/>
  <c r="BU1740" i="2"/>
  <c r="BU1741" i="2"/>
  <c r="BU1742" i="2"/>
  <c r="BU1743" i="2"/>
  <c r="BU1744" i="2"/>
  <c r="BU1745" i="2"/>
  <c r="BU1746" i="2"/>
  <c r="BU1747" i="2"/>
  <c r="BU1748" i="2"/>
  <c r="BU1749" i="2"/>
  <c r="BU1750" i="2"/>
  <c r="BU1751" i="2"/>
  <c r="BU1752" i="2"/>
  <c r="BU1753" i="2"/>
  <c r="BU1754" i="2"/>
  <c r="BU1755" i="2"/>
  <c r="BU1756" i="2"/>
  <c r="BU1757" i="2"/>
  <c r="BU1758" i="2"/>
  <c r="BU1759" i="2"/>
  <c r="BU1760" i="2"/>
  <c r="BU1761" i="2"/>
  <c r="BU1762" i="2"/>
  <c r="BU1763" i="2"/>
  <c r="BU1764" i="2"/>
  <c r="BU1765" i="2"/>
  <c r="BU1766" i="2"/>
  <c r="BU1767" i="2"/>
  <c r="BU1768" i="2"/>
  <c r="BU1769" i="2"/>
  <c r="BU1770" i="2"/>
  <c r="BU1771" i="2"/>
  <c r="BU1772" i="2"/>
  <c r="BU1773" i="2"/>
  <c r="BU1774" i="2"/>
  <c r="BU1775" i="2"/>
  <c r="BU1776" i="2"/>
  <c r="BU1777" i="2"/>
  <c r="BU1778" i="2"/>
  <c r="BU1779" i="2"/>
  <c r="BU1780" i="2"/>
  <c r="BU1781" i="2"/>
  <c r="BU1782" i="2"/>
  <c r="BU1783" i="2"/>
  <c r="BU1784" i="2"/>
  <c r="BU1785" i="2"/>
  <c r="BU1786" i="2"/>
  <c r="BU1787" i="2"/>
  <c r="BU1788" i="2"/>
  <c r="BU1789" i="2"/>
  <c r="BU1790" i="2"/>
  <c r="BU1791" i="2"/>
  <c r="BU1792" i="2"/>
  <c r="BU1793" i="2"/>
  <c r="BU1794" i="2"/>
  <c r="BU1795" i="2"/>
  <c r="BU1796" i="2"/>
  <c r="BU1797" i="2"/>
  <c r="BU1798" i="2"/>
  <c r="BU1799" i="2"/>
  <c r="BU1800" i="2"/>
  <c r="BU1801" i="2"/>
  <c r="BU1802" i="2"/>
  <c r="BU1803" i="2"/>
  <c r="BU1804" i="2"/>
  <c r="BU1805" i="2"/>
  <c r="BU1806" i="2"/>
  <c r="BU1807" i="2"/>
  <c r="BU1808" i="2"/>
  <c r="BU1809" i="2"/>
  <c r="BU1810" i="2"/>
  <c r="BU1811" i="2"/>
  <c r="BU1812" i="2"/>
  <c r="BU1813" i="2"/>
  <c r="BU1814" i="2"/>
  <c r="BU1815" i="2"/>
  <c r="BU1816" i="2"/>
  <c r="BU1817" i="2"/>
  <c r="BU1818" i="2"/>
  <c r="BU1819" i="2"/>
  <c r="BU1820" i="2"/>
  <c r="BU1821" i="2"/>
  <c r="BU1822" i="2"/>
  <c r="BU1823" i="2"/>
  <c r="BU1824" i="2"/>
  <c r="BU1825" i="2"/>
  <c r="BU1826" i="2"/>
  <c r="BU1827" i="2"/>
  <c r="BU1828" i="2"/>
  <c r="BU1829" i="2"/>
  <c r="BU1830" i="2"/>
  <c r="BU1831" i="2"/>
  <c r="BU1832" i="2"/>
  <c r="BU1833" i="2"/>
  <c r="BU1834" i="2"/>
  <c r="BU1835" i="2"/>
  <c r="BU1836" i="2"/>
  <c r="BU1837" i="2"/>
  <c r="BU1838" i="2"/>
  <c r="BU1839" i="2"/>
  <c r="BU1840" i="2"/>
  <c r="BU1841" i="2"/>
  <c r="BU1842" i="2"/>
  <c r="BU1843" i="2"/>
  <c r="BU1844" i="2"/>
  <c r="BU1845" i="2"/>
  <c r="BU1846" i="2"/>
  <c r="BU1847" i="2"/>
  <c r="BU1848" i="2"/>
  <c r="BU1849" i="2"/>
  <c r="BU1850" i="2"/>
  <c r="BU1851" i="2"/>
  <c r="BU1852" i="2"/>
  <c r="BU1853" i="2"/>
  <c r="BU1854" i="2"/>
  <c r="BU1855" i="2"/>
  <c r="BU1856" i="2"/>
  <c r="BU1857" i="2"/>
  <c r="BU1858" i="2"/>
  <c r="BU1859" i="2"/>
  <c r="BU1860" i="2"/>
  <c r="BU1861" i="2"/>
  <c r="BU1862" i="2"/>
  <c r="BU1863" i="2"/>
  <c r="BU1864" i="2"/>
  <c r="BU1865" i="2"/>
  <c r="BU1866" i="2"/>
  <c r="BU1867" i="2"/>
  <c r="BU1868" i="2"/>
  <c r="BU1869" i="2"/>
  <c r="BU1870" i="2"/>
  <c r="BU1871" i="2"/>
  <c r="BU1872" i="2"/>
  <c r="BU1873" i="2"/>
  <c r="BU1874" i="2"/>
  <c r="BU1875" i="2"/>
  <c r="BU1876" i="2"/>
  <c r="BU1877" i="2"/>
  <c r="BU1878" i="2"/>
  <c r="BU1879" i="2"/>
  <c r="BU1880" i="2"/>
  <c r="BU1881" i="2"/>
  <c r="BU1882" i="2"/>
  <c r="BU1883" i="2"/>
  <c r="BU1884" i="2"/>
  <c r="BU1885" i="2"/>
  <c r="BU1886" i="2"/>
  <c r="BU1887" i="2"/>
  <c r="BU1888" i="2"/>
  <c r="BU1889" i="2"/>
  <c r="BU1890" i="2"/>
  <c r="BU1891" i="2"/>
  <c r="BU1892" i="2"/>
  <c r="BU1893" i="2"/>
  <c r="BU1894" i="2"/>
  <c r="BU1895" i="2"/>
  <c r="BU1896" i="2"/>
  <c r="BU1897" i="2"/>
  <c r="BU1898" i="2"/>
  <c r="BU1899" i="2"/>
  <c r="BU1900" i="2"/>
  <c r="BU1901" i="2"/>
  <c r="BU1902" i="2"/>
  <c r="BU1903" i="2"/>
  <c r="BU1904" i="2"/>
  <c r="BU1905" i="2"/>
  <c r="BU1906" i="2"/>
  <c r="BU1907" i="2"/>
  <c r="BU1908" i="2"/>
  <c r="BU1909" i="2"/>
  <c r="BU1910" i="2"/>
  <c r="BU1911" i="2"/>
  <c r="BU1912" i="2"/>
  <c r="BU1913" i="2"/>
  <c r="BU1914" i="2"/>
  <c r="BU1915" i="2"/>
  <c r="BU1916" i="2"/>
  <c r="BU1917" i="2"/>
  <c r="BU1918" i="2"/>
  <c r="BU1919" i="2"/>
  <c r="BU1920" i="2"/>
  <c r="BU1921" i="2"/>
  <c r="BU1922" i="2"/>
  <c r="BU1923" i="2"/>
  <c r="BU1924" i="2"/>
  <c r="BU1925" i="2"/>
  <c r="BU1926" i="2"/>
  <c r="BU1927" i="2"/>
  <c r="BU1928" i="2"/>
  <c r="BU1929" i="2"/>
  <c r="BU1930" i="2"/>
  <c r="BU1931" i="2"/>
  <c r="BU1932" i="2"/>
  <c r="BU1933" i="2"/>
  <c r="BU1934" i="2"/>
  <c r="BU1935" i="2"/>
  <c r="BU1936" i="2"/>
  <c r="BU1937" i="2"/>
  <c r="BU1938" i="2"/>
  <c r="BU1939" i="2"/>
  <c r="BU1940" i="2"/>
  <c r="BU1941" i="2"/>
  <c r="BU1942" i="2"/>
  <c r="BU1943" i="2"/>
  <c r="BU1944" i="2"/>
  <c r="BU1945" i="2"/>
  <c r="BU1946" i="2"/>
  <c r="BU1947" i="2"/>
  <c r="BU1948" i="2"/>
  <c r="BU1949" i="2"/>
  <c r="BU1950" i="2"/>
  <c r="BU1951" i="2"/>
  <c r="BU1952" i="2"/>
  <c r="BU1953" i="2"/>
  <c r="BU1954" i="2"/>
  <c r="BU1955" i="2"/>
  <c r="BU1956" i="2"/>
  <c r="BU1957" i="2"/>
  <c r="BU1958" i="2"/>
  <c r="BU1959" i="2"/>
  <c r="BU1960" i="2"/>
  <c r="BU1961" i="2"/>
  <c r="BU1962" i="2"/>
  <c r="BU1963" i="2"/>
  <c r="BU1964" i="2"/>
  <c r="BU1965" i="2"/>
  <c r="BU1966" i="2"/>
  <c r="BU1967" i="2"/>
  <c r="BU1968" i="2"/>
  <c r="BU1969" i="2"/>
  <c r="BU1970" i="2"/>
  <c r="BU1971" i="2"/>
  <c r="BU1972" i="2"/>
  <c r="BU1973" i="2"/>
  <c r="BU1974" i="2"/>
  <c r="BU1975" i="2"/>
  <c r="BU1976" i="2"/>
  <c r="BU1977" i="2"/>
  <c r="BU1978" i="2"/>
  <c r="BU1979" i="2"/>
  <c r="BU1980" i="2"/>
  <c r="BU1981" i="2"/>
  <c r="BU1982" i="2"/>
  <c r="BU1983" i="2"/>
  <c r="BU1984" i="2"/>
  <c r="BU1985" i="2"/>
  <c r="BU1986" i="2"/>
  <c r="BU1987" i="2"/>
  <c r="BU1988" i="2"/>
  <c r="BU1989" i="2"/>
  <c r="BU1990" i="2"/>
  <c r="BU1991" i="2"/>
  <c r="BU1992" i="2"/>
  <c r="BU1993" i="2"/>
  <c r="BU1994" i="2"/>
  <c r="BU1995" i="2"/>
  <c r="BU1996" i="2"/>
  <c r="BU1997" i="2"/>
  <c r="BU1998" i="2"/>
  <c r="BU1999" i="2"/>
  <c r="BU2000" i="2"/>
  <c r="BU2001" i="2"/>
  <c r="BU2002" i="2"/>
  <c r="BU2003" i="2"/>
  <c r="BU2004" i="2"/>
  <c r="BU2005" i="2"/>
  <c r="BU2006" i="2"/>
  <c r="BU2007" i="2"/>
  <c r="BU2008" i="2"/>
  <c r="BU2009" i="2"/>
  <c r="BU2010" i="2"/>
  <c r="BU2011" i="2"/>
  <c r="BU2012" i="2"/>
  <c r="BU2013" i="2"/>
  <c r="BU2014" i="2"/>
  <c r="BU2015" i="2"/>
  <c r="BU2016" i="2"/>
  <c r="BU2017" i="2"/>
  <c r="BU2018" i="2"/>
  <c r="BU2019" i="2"/>
  <c r="BU2020" i="2"/>
  <c r="BU2021" i="2"/>
  <c r="BU2022" i="2"/>
  <c r="BU2023" i="2"/>
  <c r="BU2024" i="2"/>
  <c r="BU2025" i="2"/>
  <c r="BU2026" i="2"/>
  <c r="BU2027" i="2"/>
  <c r="BU2028" i="2"/>
  <c r="BU2029" i="2"/>
  <c r="BU2030" i="2"/>
  <c r="BU2031" i="2"/>
  <c r="BU2032" i="2"/>
  <c r="BU2033" i="2"/>
  <c r="BU2034" i="2"/>
  <c r="BU2035" i="2"/>
  <c r="BU2036" i="2"/>
  <c r="BU2037" i="2"/>
  <c r="BU2038" i="2"/>
  <c r="BU2039" i="2"/>
  <c r="BU2040" i="2"/>
  <c r="BU2041" i="2"/>
  <c r="BU2042" i="2"/>
  <c r="BU2043" i="2"/>
  <c r="BU2044" i="2"/>
  <c r="BU2045" i="2"/>
  <c r="BU2046" i="2"/>
  <c r="BU2047" i="2"/>
  <c r="BU2048" i="2"/>
  <c r="BU2049" i="2"/>
  <c r="BU2050" i="2"/>
  <c r="BU2051" i="2"/>
  <c r="BU2052" i="2"/>
  <c r="BU2053" i="2"/>
  <c r="BU2054" i="2"/>
  <c r="BU2055" i="2"/>
  <c r="BU2056" i="2"/>
  <c r="BU2057" i="2"/>
  <c r="BU2058" i="2"/>
  <c r="BU2059" i="2"/>
  <c r="BU2060" i="2"/>
  <c r="BU2061" i="2"/>
  <c r="BU2062" i="2"/>
  <c r="BU2063" i="2"/>
  <c r="BU2064" i="2"/>
  <c r="BU2065" i="2"/>
  <c r="BU2066" i="2"/>
  <c r="BU2067" i="2"/>
  <c r="BU2068" i="2"/>
  <c r="BU2069" i="2"/>
  <c r="BU2070" i="2"/>
  <c r="BU2071" i="2"/>
  <c r="BU2072" i="2"/>
  <c r="BU2073" i="2"/>
  <c r="BU2074" i="2"/>
  <c r="BU2075" i="2"/>
  <c r="BU2076" i="2"/>
  <c r="BU2077" i="2"/>
  <c r="BU2078" i="2"/>
  <c r="BU2079" i="2"/>
  <c r="BU2080" i="2"/>
  <c r="BU2081" i="2"/>
  <c r="BU2082" i="2"/>
  <c r="BU2083" i="2"/>
  <c r="BU2084" i="2"/>
  <c r="BU2085" i="2"/>
  <c r="BU2086" i="2"/>
  <c r="BU2087" i="2"/>
  <c r="BU2088" i="2"/>
  <c r="BU2089" i="2"/>
  <c r="BU2090" i="2"/>
  <c r="BU2091" i="2"/>
  <c r="BU2092" i="2"/>
  <c r="BU2093" i="2"/>
  <c r="BU2094" i="2"/>
  <c r="BU2095" i="2"/>
  <c r="BU2096" i="2"/>
  <c r="BU2097" i="2"/>
  <c r="BU2098" i="2"/>
  <c r="BU2099" i="2"/>
  <c r="BU2100" i="2"/>
  <c r="BU2101" i="2"/>
  <c r="BU2102" i="2"/>
  <c r="BU2103" i="2"/>
  <c r="BU2104" i="2"/>
  <c r="BU2105" i="2"/>
  <c r="BU2106" i="2"/>
  <c r="BU2107" i="2"/>
  <c r="BU2108" i="2"/>
  <c r="BU2109" i="2"/>
  <c r="BU2110" i="2"/>
  <c r="BU2111" i="2"/>
  <c r="BU2112" i="2"/>
  <c r="BU2113" i="2"/>
  <c r="BU2114" i="2"/>
  <c r="BU2115" i="2"/>
  <c r="BU2116" i="2"/>
  <c r="BU2117" i="2"/>
  <c r="BU2118" i="2"/>
  <c r="BU2119" i="2"/>
  <c r="BU2120" i="2"/>
  <c r="BU2121" i="2"/>
  <c r="BU2122" i="2"/>
  <c r="BU2123" i="2"/>
  <c r="BU2124" i="2"/>
  <c r="BU2125" i="2"/>
  <c r="BU2126" i="2"/>
  <c r="BU2127" i="2"/>
  <c r="BU2128" i="2"/>
  <c r="BU2129" i="2"/>
  <c r="BU2130" i="2"/>
  <c r="BU2131" i="2"/>
  <c r="BU2132" i="2"/>
  <c r="BU2" i="2"/>
  <c r="BT3" i="2"/>
  <c r="BT4" i="2"/>
  <c r="BT5" i="2"/>
  <c r="BT6" i="2"/>
  <c r="BT7" i="2"/>
  <c r="BT8" i="2"/>
  <c r="BT9" i="2"/>
  <c r="BT10" i="2"/>
  <c r="BT11" i="2"/>
  <c r="BT12" i="2"/>
  <c r="BT13" i="2"/>
  <c r="BT14" i="2"/>
  <c r="BT15" i="2"/>
  <c r="BT16" i="2"/>
  <c r="BT17" i="2"/>
  <c r="BT18" i="2"/>
  <c r="BT19" i="2"/>
  <c r="BT20" i="2"/>
  <c r="BT21" i="2"/>
  <c r="BT22" i="2"/>
  <c r="BT23" i="2"/>
  <c r="BT24" i="2"/>
  <c r="BT25" i="2"/>
  <c r="BT26" i="2"/>
  <c r="BT27" i="2"/>
  <c r="BT28" i="2"/>
  <c r="BT29" i="2"/>
  <c r="BT30" i="2"/>
  <c r="BT31" i="2"/>
  <c r="BT32" i="2"/>
  <c r="BT33" i="2"/>
  <c r="BT34" i="2"/>
  <c r="BT35" i="2"/>
  <c r="BT36" i="2"/>
  <c r="BT37" i="2"/>
  <c r="BT38" i="2"/>
  <c r="BT39" i="2"/>
  <c r="BT40" i="2"/>
  <c r="BT41" i="2"/>
  <c r="BT42" i="2"/>
  <c r="BT43" i="2"/>
  <c r="BT44" i="2"/>
  <c r="BT45" i="2"/>
  <c r="BT46" i="2"/>
  <c r="BT47" i="2"/>
  <c r="BT48" i="2"/>
  <c r="BT49" i="2"/>
  <c r="BT50" i="2"/>
  <c r="BT51" i="2"/>
  <c r="BT52" i="2"/>
  <c r="BT53" i="2"/>
  <c r="BT54" i="2"/>
  <c r="BT55" i="2"/>
  <c r="BT56" i="2"/>
  <c r="BT57" i="2"/>
  <c r="BT58" i="2"/>
  <c r="BT59" i="2"/>
  <c r="BT60" i="2"/>
  <c r="BT61" i="2"/>
  <c r="BT62" i="2"/>
  <c r="BT63" i="2"/>
  <c r="BT64" i="2"/>
  <c r="BT65" i="2"/>
  <c r="BT66" i="2"/>
  <c r="BT67" i="2"/>
  <c r="BT68" i="2"/>
  <c r="BT69" i="2"/>
  <c r="BT70" i="2"/>
  <c r="BT71" i="2"/>
  <c r="BT72" i="2"/>
  <c r="BT73" i="2"/>
  <c r="BT74" i="2"/>
  <c r="BT75" i="2"/>
  <c r="BT76" i="2"/>
  <c r="BT77" i="2"/>
  <c r="BT78" i="2"/>
  <c r="BT79" i="2"/>
  <c r="BT80" i="2"/>
  <c r="BT81" i="2"/>
  <c r="BT82" i="2"/>
  <c r="BT83" i="2"/>
  <c r="BT84" i="2"/>
  <c r="BT85" i="2"/>
  <c r="BT86" i="2"/>
  <c r="BT87" i="2"/>
  <c r="BT88" i="2"/>
  <c r="BT89" i="2"/>
  <c r="BT90" i="2"/>
  <c r="BT91" i="2"/>
  <c r="BT92" i="2"/>
  <c r="BT93" i="2"/>
  <c r="BT94" i="2"/>
  <c r="BT95" i="2"/>
  <c r="BT96" i="2"/>
  <c r="BT97" i="2"/>
  <c r="BT98" i="2"/>
  <c r="BT99" i="2"/>
  <c r="BT100" i="2"/>
  <c r="BT101" i="2"/>
  <c r="BT102" i="2"/>
  <c r="BT103" i="2"/>
  <c r="BT104" i="2"/>
  <c r="BT105" i="2"/>
  <c r="BT106" i="2"/>
  <c r="BT107" i="2"/>
  <c r="BT108" i="2"/>
  <c r="BT109" i="2"/>
  <c r="BT110" i="2"/>
  <c r="BT111" i="2"/>
  <c r="BT112" i="2"/>
  <c r="BT113" i="2"/>
  <c r="BT114" i="2"/>
  <c r="BT115" i="2"/>
  <c r="BT116" i="2"/>
  <c r="BT117" i="2"/>
  <c r="BT118" i="2"/>
  <c r="BT119" i="2"/>
  <c r="BT120" i="2"/>
  <c r="BT121" i="2"/>
  <c r="BT122" i="2"/>
  <c r="BT123" i="2"/>
  <c r="BT124" i="2"/>
  <c r="BT125" i="2"/>
  <c r="BT126" i="2"/>
  <c r="BT127" i="2"/>
  <c r="BT128" i="2"/>
  <c r="BT129" i="2"/>
  <c r="BT130" i="2"/>
  <c r="BT131" i="2"/>
  <c r="BT132" i="2"/>
  <c r="BT133" i="2"/>
  <c r="BT134" i="2"/>
  <c r="BT135" i="2"/>
  <c r="BT136" i="2"/>
  <c r="BT137" i="2"/>
  <c r="BT138" i="2"/>
  <c r="BT139" i="2"/>
  <c r="BT140" i="2"/>
  <c r="BT141" i="2"/>
  <c r="BT142" i="2"/>
  <c r="BT143" i="2"/>
  <c r="BT144" i="2"/>
  <c r="BT145" i="2"/>
  <c r="BT146" i="2"/>
  <c r="BT147" i="2"/>
  <c r="BT148" i="2"/>
  <c r="BT149" i="2"/>
  <c r="BT150" i="2"/>
  <c r="BT151" i="2"/>
  <c r="BT152" i="2"/>
  <c r="BT153" i="2"/>
  <c r="BT154" i="2"/>
  <c r="BT155" i="2"/>
  <c r="BT156" i="2"/>
  <c r="BT157" i="2"/>
  <c r="BT158" i="2"/>
  <c r="BT159" i="2"/>
  <c r="BT160" i="2"/>
  <c r="BT161" i="2"/>
  <c r="BT162" i="2"/>
  <c r="BT163" i="2"/>
  <c r="BT164" i="2"/>
  <c r="BT165" i="2"/>
  <c r="BT166" i="2"/>
  <c r="BT167" i="2"/>
  <c r="BT168" i="2"/>
  <c r="BT169" i="2"/>
  <c r="BT170" i="2"/>
  <c r="BT171" i="2"/>
  <c r="BT172" i="2"/>
  <c r="BT173" i="2"/>
  <c r="BT174" i="2"/>
  <c r="BT175" i="2"/>
  <c r="BT176" i="2"/>
  <c r="BT177" i="2"/>
  <c r="BT178" i="2"/>
  <c r="BT179" i="2"/>
  <c r="BT180" i="2"/>
  <c r="BT181" i="2"/>
  <c r="BT182" i="2"/>
  <c r="BT183" i="2"/>
  <c r="BT184" i="2"/>
  <c r="BT185" i="2"/>
  <c r="BT186" i="2"/>
  <c r="BT187" i="2"/>
  <c r="BT188" i="2"/>
  <c r="BT189" i="2"/>
  <c r="BT190" i="2"/>
  <c r="BT191" i="2"/>
  <c r="BT192" i="2"/>
  <c r="BT193" i="2"/>
  <c r="BT194" i="2"/>
  <c r="BT195" i="2"/>
  <c r="BT196" i="2"/>
  <c r="BT197" i="2"/>
  <c r="BT198" i="2"/>
  <c r="BT199" i="2"/>
  <c r="BT200" i="2"/>
  <c r="BT201" i="2"/>
  <c r="BT202" i="2"/>
  <c r="BT203" i="2"/>
  <c r="BT204" i="2"/>
  <c r="BT205" i="2"/>
  <c r="BT206" i="2"/>
  <c r="BT207" i="2"/>
  <c r="BT208" i="2"/>
  <c r="BT209" i="2"/>
  <c r="BT210" i="2"/>
  <c r="BT211" i="2"/>
  <c r="BT212" i="2"/>
  <c r="BT213" i="2"/>
  <c r="BT214" i="2"/>
  <c r="BT215" i="2"/>
  <c r="BT216" i="2"/>
  <c r="BT217" i="2"/>
  <c r="BT218" i="2"/>
  <c r="BT219" i="2"/>
  <c r="BT220" i="2"/>
  <c r="BT221" i="2"/>
  <c r="BT222" i="2"/>
  <c r="BT223" i="2"/>
  <c r="BT224" i="2"/>
  <c r="BT225" i="2"/>
  <c r="BT226" i="2"/>
  <c r="BT227" i="2"/>
  <c r="BT228" i="2"/>
  <c r="BT229" i="2"/>
  <c r="BT230" i="2"/>
  <c r="BT231" i="2"/>
  <c r="BT232" i="2"/>
  <c r="BT233" i="2"/>
  <c r="BT234" i="2"/>
  <c r="BT235" i="2"/>
  <c r="BT236" i="2"/>
  <c r="BT237" i="2"/>
  <c r="BT238" i="2"/>
  <c r="BT239" i="2"/>
  <c r="BT240" i="2"/>
  <c r="BT241" i="2"/>
  <c r="BT242" i="2"/>
  <c r="BT243" i="2"/>
  <c r="BT244" i="2"/>
  <c r="BT245" i="2"/>
  <c r="BT246" i="2"/>
  <c r="BT247" i="2"/>
  <c r="BT248" i="2"/>
  <c r="BT249" i="2"/>
  <c r="BT250" i="2"/>
  <c r="BT251" i="2"/>
  <c r="BT252" i="2"/>
  <c r="BT253" i="2"/>
  <c r="BT254" i="2"/>
  <c r="BT255" i="2"/>
  <c r="BT256" i="2"/>
  <c r="BT257" i="2"/>
  <c r="BT258" i="2"/>
  <c r="BT259" i="2"/>
  <c r="BT260" i="2"/>
  <c r="BT261" i="2"/>
  <c r="BT262" i="2"/>
  <c r="BT263" i="2"/>
  <c r="BT264" i="2"/>
  <c r="BT265" i="2"/>
  <c r="BT266" i="2"/>
  <c r="BT267" i="2"/>
  <c r="BT268" i="2"/>
  <c r="BT269" i="2"/>
  <c r="BT270" i="2"/>
  <c r="BT271" i="2"/>
  <c r="BT272" i="2"/>
  <c r="BT273" i="2"/>
  <c r="BT274" i="2"/>
  <c r="BT275" i="2"/>
  <c r="BT276" i="2"/>
  <c r="BT277" i="2"/>
  <c r="BT278" i="2"/>
  <c r="BT279" i="2"/>
  <c r="BT280" i="2"/>
  <c r="BT281" i="2"/>
  <c r="BT282" i="2"/>
  <c r="BT283" i="2"/>
  <c r="BT284" i="2"/>
  <c r="BT285" i="2"/>
  <c r="BT286" i="2"/>
  <c r="BT287" i="2"/>
  <c r="BT288" i="2"/>
  <c r="BT289" i="2"/>
  <c r="BT290" i="2"/>
  <c r="BT291" i="2"/>
  <c r="BT292" i="2"/>
  <c r="BT293" i="2"/>
  <c r="BT294" i="2"/>
  <c r="BT295" i="2"/>
  <c r="BT296" i="2"/>
  <c r="BT297" i="2"/>
  <c r="BT298" i="2"/>
  <c r="BT299" i="2"/>
  <c r="BT300" i="2"/>
  <c r="BT301" i="2"/>
  <c r="BT302" i="2"/>
  <c r="BT303" i="2"/>
  <c r="BT304" i="2"/>
  <c r="BT305" i="2"/>
  <c r="BT306" i="2"/>
  <c r="BT307" i="2"/>
  <c r="BT308" i="2"/>
  <c r="BT309" i="2"/>
  <c r="BT310" i="2"/>
  <c r="BT311" i="2"/>
  <c r="BT312" i="2"/>
  <c r="BT313" i="2"/>
  <c r="BT314" i="2"/>
  <c r="BT315" i="2"/>
  <c r="BT316" i="2"/>
  <c r="BT317" i="2"/>
  <c r="BT318" i="2"/>
  <c r="BT319" i="2"/>
  <c r="BT320" i="2"/>
  <c r="BT321" i="2"/>
  <c r="BT322" i="2"/>
  <c r="BT323" i="2"/>
  <c r="BT324" i="2"/>
  <c r="BT325" i="2"/>
  <c r="BT326" i="2"/>
  <c r="BT327" i="2"/>
  <c r="BT328" i="2"/>
  <c r="BT329" i="2"/>
  <c r="BT330" i="2"/>
  <c r="BT331" i="2"/>
  <c r="BT332" i="2"/>
  <c r="BT333" i="2"/>
  <c r="BT334" i="2"/>
  <c r="BT335" i="2"/>
  <c r="BT336" i="2"/>
  <c r="BT337" i="2"/>
  <c r="BT338" i="2"/>
  <c r="BT339" i="2"/>
  <c r="BT340" i="2"/>
  <c r="BT341" i="2"/>
  <c r="BT342" i="2"/>
  <c r="BT343" i="2"/>
  <c r="BT344" i="2"/>
  <c r="BT345" i="2"/>
  <c r="BT346" i="2"/>
  <c r="BT347" i="2"/>
  <c r="BT348" i="2"/>
  <c r="BT349" i="2"/>
  <c r="BT350" i="2"/>
  <c r="BT351" i="2"/>
  <c r="BT352" i="2"/>
  <c r="BT353" i="2"/>
  <c r="BT354" i="2"/>
  <c r="BT355" i="2"/>
  <c r="BT356" i="2"/>
  <c r="BT357" i="2"/>
  <c r="BT358" i="2"/>
  <c r="BT359" i="2"/>
  <c r="BT360" i="2"/>
  <c r="BT361" i="2"/>
  <c r="BT362" i="2"/>
  <c r="BT363" i="2"/>
  <c r="BT364" i="2"/>
  <c r="BT365" i="2"/>
  <c r="BT366" i="2"/>
  <c r="BT367" i="2"/>
  <c r="BT368" i="2"/>
  <c r="BT369" i="2"/>
  <c r="BT370" i="2"/>
  <c r="BT371" i="2"/>
  <c r="BT372" i="2"/>
  <c r="BT373" i="2"/>
  <c r="BT374" i="2"/>
  <c r="BT375" i="2"/>
  <c r="BT376" i="2"/>
  <c r="BT377" i="2"/>
  <c r="BT378" i="2"/>
  <c r="BT379" i="2"/>
  <c r="BT380" i="2"/>
  <c r="BT381" i="2"/>
  <c r="BT382" i="2"/>
  <c r="BT383" i="2"/>
  <c r="BT384" i="2"/>
  <c r="BT385" i="2"/>
  <c r="BT386" i="2"/>
  <c r="BT387" i="2"/>
  <c r="BT388" i="2"/>
  <c r="BT389" i="2"/>
  <c r="BT390" i="2"/>
  <c r="BT391" i="2"/>
  <c r="BT392" i="2"/>
  <c r="BT393" i="2"/>
  <c r="BT394" i="2"/>
  <c r="BT395" i="2"/>
  <c r="BT396" i="2"/>
  <c r="BT397" i="2"/>
  <c r="BT398" i="2"/>
  <c r="BT399" i="2"/>
  <c r="BT400" i="2"/>
  <c r="BT401" i="2"/>
  <c r="BT402" i="2"/>
  <c r="BT403" i="2"/>
  <c r="BT404" i="2"/>
  <c r="BT405" i="2"/>
  <c r="BT406" i="2"/>
  <c r="BT407" i="2"/>
  <c r="BT408" i="2"/>
  <c r="BT409" i="2"/>
  <c r="BT410" i="2"/>
  <c r="BT411" i="2"/>
  <c r="BT412" i="2"/>
  <c r="BT413" i="2"/>
  <c r="BT414" i="2"/>
  <c r="BT415" i="2"/>
  <c r="BT416" i="2"/>
  <c r="BT417" i="2"/>
  <c r="BT418" i="2"/>
  <c r="BT419" i="2"/>
  <c r="BT420" i="2"/>
  <c r="BT421" i="2"/>
  <c r="BT422" i="2"/>
  <c r="BT423" i="2"/>
  <c r="BT424" i="2"/>
  <c r="BT425" i="2"/>
  <c r="BT426" i="2"/>
  <c r="BT427" i="2"/>
  <c r="BT428" i="2"/>
  <c r="BT429" i="2"/>
  <c r="BT430" i="2"/>
  <c r="BT431" i="2"/>
  <c r="BT432" i="2"/>
  <c r="BT433" i="2"/>
  <c r="BT434" i="2"/>
  <c r="BT435" i="2"/>
  <c r="BT436" i="2"/>
  <c r="BT437" i="2"/>
  <c r="BT438" i="2"/>
  <c r="BT439" i="2"/>
  <c r="BT440" i="2"/>
  <c r="BT441" i="2"/>
  <c r="BT442" i="2"/>
  <c r="BT443" i="2"/>
  <c r="BT444" i="2"/>
  <c r="BT445" i="2"/>
  <c r="BT446" i="2"/>
  <c r="BT447" i="2"/>
  <c r="BT448" i="2"/>
  <c r="BT449" i="2"/>
  <c r="BT450" i="2"/>
  <c r="BT451" i="2"/>
  <c r="BT452" i="2"/>
  <c r="BT453" i="2"/>
  <c r="BT454" i="2"/>
  <c r="BT455" i="2"/>
  <c r="BT456" i="2"/>
  <c r="BT457" i="2"/>
  <c r="BT458" i="2"/>
  <c r="BT459" i="2"/>
  <c r="BT460" i="2"/>
  <c r="BT461" i="2"/>
  <c r="BT462" i="2"/>
  <c r="BT463" i="2"/>
  <c r="BT464" i="2"/>
  <c r="BT465" i="2"/>
  <c r="BT466" i="2"/>
  <c r="BT467" i="2"/>
  <c r="BT468" i="2"/>
  <c r="BT469" i="2"/>
  <c r="BT470" i="2"/>
  <c r="BT471" i="2"/>
  <c r="BT472" i="2"/>
  <c r="BT473" i="2"/>
  <c r="BT474" i="2"/>
  <c r="BT475" i="2"/>
  <c r="BT476" i="2"/>
  <c r="BT477" i="2"/>
  <c r="BT478" i="2"/>
  <c r="BT479" i="2"/>
  <c r="BT480" i="2"/>
  <c r="BT481" i="2"/>
  <c r="BT482" i="2"/>
  <c r="BT483" i="2"/>
  <c r="BT484" i="2"/>
  <c r="BT485" i="2"/>
  <c r="BT486" i="2"/>
  <c r="BT487" i="2"/>
  <c r="BT488" i="2"/>
  <c r="BT489" i="2"/>
  <c r="BT490" i="2"/>
  <c r="BT491" i="2"/>
  <c r="BT492" i="2"/>
  <c r="BT493" i="2"/>
  <c r="BT494" i="2"/>
  <c r="BT495" i="2"/>
  <c r="BT496" i="2"/>
  <c r="BT497" i="2"/>
  <c r="BT498" i="2"/>
  <c r="BT499" i="2"/>
  <c r="BT500" i="2"/>
  <c r="BT501" i="2"/>
  <c r="BT502" i="2"/>
  <c r="BT503" i="2"/>
  <c r="BT504" i="2"/>
  <c r="BT505" i="2"/>
  <c r="BT506" i="2"/>
  <c r="BT507" i="2"/>
  <c r="BT508" i="2"/>
  <c r="BT509" i="2"/>
  <c r="BT510" i="2"/>
  <c r="BT511" i="2"/>
  <c r="BT512" i="2"/>
  <c r="BT513" i="2"/>
  <c r="BT514" i="2"/>
  <c r="BT515" i="2"/>
  <c r="BT516" i="2"/>
  <c r="BT517" i="2"/>
  <c r="BT518" i="2"/>
  <c r="BT519" i="2"/>
  <c r="BT520" i="2"/>
  <c r="BT521" i="2"/>
  <c r="BT522" i="2"/>
  <c r="BT523" i="2"/>
  <c r="BT524" i="2"/>
  <c r="BT525" i="2"/>
  <c r="BT526" i="2"/>
  <c r="BT527" i="2"/>
  <c r="BT528" i="2"/>
  <c r="BT529" i="2"/>
  <c r="BT530" i="2"/>
  <c r="BT531" i="2"/>
  <c r="BT532" i="2"/>
  <c r="BT533" i="2"/>
  <c r="BT534" i="2"/>
  <c r="BT535" i="2"/>
  <c r="BT536" i="2"/>
  <c r="BT537" i="2"/>
  <c r="BT538" i="2"/>
  <c r="BT539" i="2"/>
  <c r="BT540" i="2"/>
  <c r="BT541" i="2"/>
  <c r="BT542" i="2"/>
  <c r="BT543" i="2"/>
  <c r="BT544" i="2"/>
  <c r="BT545" i="2"/>
  <c r="BT546" i="2"/>
  <c r="BT547" i="2"/>
  <c r="BT548" i="2"/>
  <c r="BT549" i="2"/>
  <c r="BT550" i="2"/>
  <c r="BT551" i="2"/>
  <c r="BT552" i="2"/>
  <c r="BT553" i="2"/>
  <c r="BT554" i="2"/>
  <c r="BT555" i="2"/>
  <c r="BT556" i="2"/>
  <c r="BT557" i="2"/>
  <c r="BT558" i="2"/>
  <c r="BT559" i="2"/>
  <c r="BT560" i="2"/>
  <c r="BT561" i="2"/>
  <c r="BT562" i="2"/>
  <c r="BT563" i="2"/>
  <c r="BT564" i="2"/>
  <c r="BT565" i="2"/>
  <c r="BT566" i="2"/>
  <c r="BT567" i="2"/>
  <c r="BT568" i="2"/>
  <c r="BT569" i="2"/>
  <c r="BT570" i="2"/>
  <c r="BT571" i="2"/>
  <c r="BT572" i="2"/>
  <c r="BT573" i="2"/>
  <c r="BT574" i="2"/>
  <c r="BT575" i="2"/>
  <c r="BT576" i="2"/>
  <c r="BT577" i="2"/>
  <c r="BT578" i="2"/>
  <c r="BT579" i="2"/>
  <c r="BT580" i="2"/>
  <c r="BT581" i="2"/>
  <c r="BT582" i="2"/>
  <c r="BT583" i="2"/>
  <c r="BT584" i="2"/>
  <c r="BT585" i="2"/>
  <c r="BT586" i="2"/>
  <c r="BT587" i="2"/>
  <c r="BT588" i="2"/>
  <c r="BT589" i="2"/>
  <c r="BT590" i="2"/>
  <c r="BT591" i="2"/>
  <c r="BT592" i="2"/>
  <c r="BT593" i="2"/>
  <c r="BT594" i="2"/>
  <c r="BT595" i="2"/>
  <c r="BT596" i="2"/>
  <c r="BT597" i="2"/>
  <c r="BT598" i="2"/>
  <c r="BT599" i="2"/>
  <c r="BT600" i="2"/>
  <c r="BT601" i="2"/>
  <c r="BT602" i="2"/>
  <c r="BT603" i="2"/>
  <c r="BT604" i="2"/>
  <c r="BT605" i="2"/>
  <c r="BT606" i="2"/>
  <c r="BT607" i="2"/>
  <c r="BT608" i="2"/>
  <c r="BT609" i="2"/>
  <c r="BT610" i="2"/>
  <c r="BT611" i="2"/>
  <c r="BT612" i="2"/>
  <c r="BT613" i="2"/>
  <c r="BT614" i="2"/>
  <c r="BT615" i="2"/>
  <c r="BT616" i="2"/>
  <c r="BT617" i="2"/>
  <c r="BT618" i="2"/>
  <c r="BT619" i="2"/>
  <c r="BT620" i="2"/>
  <c r="BT621" i="2"/>
  <c r="BT622" i="2"/>
  <c r="BT623" i="2"/>
  <c r="BT624" i="2"/>
  <c r="BT625" i="2"/>
  <c r="BT626" i="2"/>
  <c r="BT627" i="2"/>
  <c r="BT628" i="2"/>
  <c r="BT629" i="2"/>
  <c r="BT630" i="2"/>
  <c r="BT631" i="2"/>
  <c r="BT632" i="2"/>
  <c r="BT633" i="2"/>
  <c r="BT634" i="2"/>
  <c r="BT635" i="2"/>
  <c r="BT636" i="2"/>
  <c r="BT637" i="2"/>
  <c r="BT638" i="2"/>
  <c r="BT639" i="2"/>
  <c r="BT640" i="2"/>
  <c r="BT641" i="2"/>
  <c r="BT642" i="2"/>
  <c r="BT643" i="2"/>
  <c r="BT644" i="2"/>
  <c r="BT645" i="2"/>
  <c r="BT646" i="2"/>
  <c r="BT647" i="2"/>
  <c r="BT648" i="2"/>
  <c r="BT649" i="2"/>
  <c r="BT650" i="2"/>
  <c r="BT651" i="2"/>
  <c r="BT652" i="2"/>
  <c r="BT653" i="2"/>
  <c r="BT654" i="2"/>
  <c r="BT655" i="2"/>
  <c r="BT656" i="2"/>
  <c r="BT657" i="2"/>
  <c r="BT658" i="2"/>
  <c r="BT659" i="2"/>
  <c r="BT660" i="2"/>
  <c r="BT661" i="2"/>
  <c r="BT662" i="2"/>
  <c r="BT663" i="2"/>
  <c r="BT664" i="2"/>
  <c r="BT665" i="2"/>
  <c r="BT666" i="2"/>
  <c r="BT667" i="2"/>
  <c r="BT668" i="2"/>
  <c r="BT669" i="2"/>
  <c r="BT670" i="2"/>
  <c r="BT671" i="2"/>
  <c r="BT672" i="2"/>
  <c r="BT673" i="2"/>
  <c r="BT674" i="2"/>
  <c r="BT675" i="2"/>
  <c r="BT676" i="2"/>
  <c r="BT677" i="2"/>
  <c r="BT678" i="2"/>
  <c r="BT679" i="2"/>
  <c r="BT680" i="2"/>
  <c r="BT681" i="2"/>
  <c r="BT682" i="2"/>
  <c r="BT683" i="2"/>
  <c r="BT684" i="2"/>
  <c r="BT685" i="2"/>
  <c r="BT686" i="2"/>
  <c r="BT687" i="2"/>
  <c r="BT688" i="2"/>
  <c r="BT689" i="2"/>
  <c r="BT690" i="2"/>
  <c r="BT691" i="2"/>
  <c r="BT692" i="2"/>
  <c r="BT693" i="2"/>
  <c r="BT694" i="2"/>
  <c r="BT695" i="2"/>
  <c r="BT696" i="2"/>
  <c r="BT697" i="2"/>
  <c r="BT698" i="2"/>
  <c r="BT699" i="2"/>
  <c r="BT700" i="2"/>
  <c r="BT701" i="2"/>
  <c r="BT702" i="2"/>
  <c r="BT703" i="2"/>
  <c r="BT704" i="2"/>
  <c r="BT705" i="2"/>
  <c r="BT706" i="2"/>
  <c r="BT707" i="2"/>
  <c r="BT708" i="2"/>
  <c r="BT709" i="2"/>
  <c r="BT710" i="2"/>
  <c r="BT711" i="2"/>
  <c r="BT712" i="2"/>
  <c r="BT713" i="2"/>
  <c r="BT714" i="2"/>
  <c r="BT715" i="2"/>
  <c r="BT716" i="2"/>
  <c r="BT717" i="2"/>
  <c r="BT718" i="2"/>
  <c r="BT719" i="2"/>
  <c r="BT720" i="2"/>
  <c r="BT721" i="2"/>
  <c r="BT722" i="2"/>
  <c r="BT723" i="2"/>
  <c r="BT724" i="2"/>
  <c r="BT725" i="2"/>
  <c r="BT726" i="2"/>
  <c r="BT727" i="2"/>
  <c r="BT728" i="2"/>
  <c r="BT729" i="2"/>
  <c r="BT730" i="2"/>
  <c r="BT731" i="2"/>
  <c r="BT732" i="2"/>
  <c r="BT733" i="2"/>
  <c r="BT734" i="2"/>
  <c r="BT735" i="2"/>
  <c r="BT736" i="2"/>
  <c r="BT737" i="2"/>
  <c r="BT738" i="2"/>
  <c r="BT739" i="2"/>
  <c r="BT740" i="2"/>
  <c r="BT741" i="2"/>
  <c r="BT742" i="2"/>
  <c r="BT743" i="2"/>
  <c r="BT744" i="2"/>
  <c r="BT745" i="2"/>
  <c r="BT746" i="2"/>
  <c r="BT747" i="2"/>
  <c r="BT748" i="2"/>
  <c r="BT749" i="2"/>
  <c r="BT750" i="2"/>
  <c r="BT751" i="2"/>
  <c r="BT752" i="2"/>
  <c r="BT753" i="2"/>
  <c r="BT754" i="2"/>
  <c r="BT755" i="2"/>
  <c r="BT756" i="2"/>
  <c r="BT757" i="2"/>
  <c r="BT758" i="2"/>
  <c r="BT759" i="2"/>
  <c r="BT760" i="2"/>
  <c r="BT761" i="2"/>
  <c r="BT762" i="2"/>
  <c r="BT763" i="2"/>
  <c r="BT764" i="2"/>
  <c r="BT765" i="2"/>
  <c r="BT766" i="2"/>
  <c r="BT767" i="2"/>
  <c r="BT768" i="2"/>
  <c r="BT769" i="2"/>
  <c r="BT770" i="2"/>
  <c r="BT771" i="2"/>
  <c r="BT772" i="2"/>
  <c r="BT773" i="2"/>
  <c r="BT774" i="2"/>
  <c r="BT775" i="2"/>
  <c r="BT776" i="2"/>
  <c r="BT777" i="2"/>
  <c r="BT778" i="2"/>
  <c r="BT779" i="2"/>
  <c r="BT780" i="2"/>
  <c r="BT781" i="2"/>
  <c r="BT782" i="2"/>
  <c r="BT783" i="2"/>
  <c r="BT784" i="2"/>
  <c r="BT785" i="2"/>
  <c r="BT786" i="2"/>
  <c r="BT787" i="2"/>
  <c r="BT788" i="2"/>
  <c r="BT789" i="2"/>
  <c r="BT790" i="2"/>
  <c r="BT791" i="2"/>
  <c r="BT792" i="2"/>
  <c r="BT793" i="2"/>
  <c r="BT794" i="2"/>
  <c r="BT795" i="2"/>
  <c r="BT796" i="2"/>
  <c r="BT797" i="2"/>
  <c r="BT798" i="2"/>
  <c r="BT799" i="2"/>
  <c r="BT800" i="2"/>
  <c r="BT801" i="2"/>
  <c r="BT802" i="2"/>
  <c r="BT803" i="2"/>
  <c r="BT804" i="2"/>
  <c r="BT805" i="2"/>
  <c r="BT806" i="2"/>
  <c r="BT807" i="2"/>
  <c r="BT808" i="2"/>
  <c r="BT809" i="2"/>
  <c r="BT810" i="2"/>
  <c r="BT811" i="2"/>
  <c r="BT812" i="2"/>
  <c r="BT813" i="2"/>
  <c r="BT814" i="2"/>
  <c r="BT815" i="2"/>
  <c r="BT816" i="2"/>
  <c r="BT817" i="2"/>
  <c r="BT818" i="2"/>
  <c r="BT819" i="2"/>
  <c r="BT820" i="2"/>
  <c r="BT821" i="2"/>
  <c r="BT822" i="2"/>
  <c r="BT823" i="2"/>
  <c r="BT824" i="2"/>
  <c r="BT825" i="2"/>
  <c r="BT826" i="2"/>
  <c r="BT827" i="2"/>
  <c r="BT828" i="2"/>
  <c r="BT829" i="2"/>
  <c r="BT830" i="2"/>
  <c r="BT831" i="2"/>
  <c r="BT832" i="2"/>
  <c r="BT833" i="2"/>
  <c r="BT834" i="2"/>
  <c r="BT835" i="2"/>
  <c r="BT836" i="2"/>
  <c r="BT837" i="2"/>
  <c r="BT838" i="2"/>
  <c r="BT839" i="2"/>
  <c r="BT840" i="2"/>
  <c r="BT841" i="2"/>
  <c r="BT842" i="2"/>
  <c r="BT843" i="2"/>
  <c r="BT844" i="2"/>
  <c r="BT845" i="2"/>
  <c r="BT846" i="2"/>
  <c r="BT847" i="2"/>
  <c r="BT848" i="2"/>
  <c r="BT849" i="2"/>
  <c r="BT850" i="2"/>
  <c r="BT851" i="2"/>
  <c r="BT852" i="2"/>
  <c r="BT853" i="2"/>
  <c r="BT854" i="2"/>
  <c r="BT855" i="2"/>
  <c r="BT856" i="2"/>
  <c r="BT857" i="2"/>
  <c r="BT858" i="2"/>
  <c r="BT859" i="2"/>
  <c r="BT860" i="2"/>
  <c r="BT861" i="2"/>
  <c r="BT862" i="2"/>
  <c r="BT863" i="2"/>
  <c r="BT864" i="2"/>
  <c r="BT865" i="2"/>
  <c r="BT866" i="2"/>
  <c r="BT867" i="2"/>
  <c r="BT868" i="2"/>
  <c r="BT869" i="2"/>
  <c r="BT870" i="2"/>
  <c r="BT871" i="2"/>
  <c r="BT872" i="2"/>
  <c r="BT873" i="2"/>
  <c r="BT874" i="2"/>
  <c r="BT875" i="2"/>
  <c r="BT876" i="2"/>
  <c r="BT877" i="2"/>
  <c r="BT878" i="2"/>
  <c r="BT879" i="2"/>
  <c r="BT880" i="2"/>
  <c r="BT881" i="2"/>
  <c r="BT882" i="2"/>
  <c r="BT883" i="2"/>
  <c r="BT884" i="2"/>
  <c r="BT885" i="2"/>
  <c r="BT886" i="2"/>
  <c r="BT887" i="2"/>
  <c r="BT888" i="2"/>
  <c r="BT889" i="2"/>
  <c r="BT890" i="2"/>
  <c r="BT891" i="2"/>
  <c r="BT892" i="2"/>
  <c r="BT893" i="2"/>
  <c r="BT894" i="2"/>
  <c r="BT895" i="2"/>
  <c r="BT896" i="2"/>
  <c r="BT897" i="2"/>
  <c r="BT898" i="2"/>
  <c r="BT899" i="2"/>
  <c r="BT900" i="2"/>
  <c r="BT901" i="2"/>
  <c r="BT902" i="2"/>
  <c r="BT903" i="2"/>
  <c r="BT904" i="2"/>
  <c r="BT905" i="2"/>
  <c r="BT906" i="2"/>
  <c r="BT907" i="2"/>
  <c r="BT908" i="2"/>
  <c r="BT909" i="2"/>
  <c r="BT910" i="2"/>
  <c r="BT911" i="2"/>
  <c r="BT912" i="2"/>
  <c r="BT913" i="2"/>
  <c r="BT914" i="2"/>
  <c r="BT915" i="2"/>
  <c r="BT916" i="2"/>
  <c r="BT917" i="2"/>
  <c r="BT918" i="2"/>
  <c r="BT919" i="2"/>
  <c r="BT920" i="2"/>
  <c r="BT921" i="2"/>
  <c r="BT922" i="2"/>
  <c r="BT923" i="2"/>
  <c r="BT924" i="2"/>
  <c r="BT925" i="2"/>
  <c r="BT926" i="2"/>
  <c r="BT927" i="2"/>
  <c r="BT928" i="2"/>
  <c r="BT929" i="2"/>
  <c r="BT930" i="2"/>
  <c r="BT931" i="2"/>
  <c r="BT932" i="2"/>
  <c r="BT933" i="2"/>
  <c r="BT934" i="2"/>
  <c r="BT935" i="2"/>
  <c r="BT936" i="2"/>
  <c r="BT937" i="2"/>
  <c r="BT938" i="2"/>
  <c r="BT939" i="2"/>
  <c r="BT940" i="2"/>
  <c r="BT941" i="2"/>
  <c r="BT942" i="2"/>
  <c r="BT943" i="2"/>
  <c r="BT944" i="2"/>
  <c r="BT945" i="2"/>
  <c r="BT946" i="2"/>
  <c r="BT947" i="2"/>
  <c r="BT948" i="2"/>
  <c r="BT949" i="2"/>
  <c r="BT950" i="2"/>
  <c r="BT951" i="2"/>
  <c r="BT952" i="2"/>
  <c r="BT953" i="2"/>
  <c r="BT954" i="2"/>
  <c r="BT955" i="2"/>
  <c r="BT956" i="2"/>
  <c r="BT957" i="2"/>
  <c r="BT958" i="2"/>
  <c r="BT959" i="2"/>
  <c r="BT960" i="2"/>
  <c r="BT961" i="2"/>
  <c r="BT962" i="2"/>
  <c r="BT963" i="2"/>
  <c r="BT964" i="2"/>
  <c r="BT965" i="2"/>
  <c r="BT966" i="2"/>
  <c r="BT967" i="2"/>
  <c r="BT968" i="2"/>
  <c r="BT969" i="2"/>
  <c r="BT970" i="2"/>
  <c r="BT971" i="2"/>
  <c r="BT972" i="2"/>
  <c r="BT973" i="2"/>
  <c r="BT974" i="2"/>
  <c r="BT975" i="2"/>
  <c r="BT976" i="2"/>
  <c r="BT977" i="2"/>
  <c r="BT978" i="2"/>
  <c r="BT979" i="2"/>
  <c r="BT980" i="2"/>
  <c r="BT981" i="2"/>
  <c r="BT982" i="2"/>
  <c r="BT983" i="2"/>
  <c r="BT984" i="2"/>
  <c r="BT985" i="2"/>
  <c r="BT986" i="2"/>
  <c r="BT987" i="2"/>
  <c r="BT988" i="2"/>
  <c r="BT989" i="2"/>
  <c r="BT990" i="2"/>
  <c r="BT991" i="2"/>
  <c r="BT992" i="2"/>
  <c r="BT993" i="2"/>
  <c r="BT994" i="2"/>
  <c r="BT995" i="2"/>
  <c r="BT996" i="2"/>
  <c r="BT997" i="2"/>
  <c r="BT998" i="2"/>
  <c r="BT999" i="2"/>
  <c r="BT1000" i="2"/>
  <c r="BT1001" i="2"/>
  <c r="BT1002" i="2"/>
  <c r="BT1003" i="2"/>
  <c r="BT1004" i="2"/>
  <c r="BT1005" i="2"/>
  <c r="BT1006" i="2"/>
  <c r="BT1007" i="2"/>
  <c r="BT1008" i="2"/>
  <c r="BT1009" i="2"/>
  <c r="BT1010" i="2"/>
  <c r="BT1011" i="2"/>
  <c r="BT1012" i="2"/>
  <c r="BT1013" i="2"/>
  <c r="BT1014" i="2"/>
  <c r="BT1015" i="2"/>
  <c r="BT1016" i="2"/>
  <c r="BT1017" i="2"/>
  <c r="BT1018" i="2"/>
  <c r="BT1019" i="2"/>
  <c r="BT1020" i="2"/>
  <c r="BT1021" i="2"/>
  <c r="BT1022" i="2"/>
  <c r="BT1023" i="2"/>
  <c r="BT1024" i="2"/>
  <c r="BT1025" i="2"/>
  <c r="BT1026" i="2"/>
  <c r="BT1027" i="2"/>
  <c r="BT1028" i="2"/>
  <c r="BT1029" i="2"/>
  <c r="BT1030" i="2"/>
  <c r="BT1031" i="2"/>
  <c r="BT1032" i="2"/>
  <c r="BT1033" i="2"/>
  <c r="BT1034" i="2"/>
  <c r="BT1035" i="2"/>
  <c r="BT1036" i="2"/>
  <c r="BT1037" i="2"/>
  <c r="BT1038" i="2"/>
  <c r="BT1039" i="2"/>
  <c r="BT1040" i="2"/>
  <c r="BT1041" i="2"/>
  <c r="BT1042" i="2"/>
  <c r="BT1043" i="2"/>
  <c r="BT1044" i="2"/>
  <c r="BT1045" i="2"/>
  <c r="BT1046" i="2"/>
  <c r="BT1047" i="2"/>
  <c r="BT1048" i="2"/>
  <c r="BT1049" i="2"/>
  <c r="BT1050" i="2"/>
  <c r="BT1051" i="2"/>
  <c r="BT1052" i="2"/>
  <c r="BT1053" i="2"/>
  <c r="BT1054" i="2"/>
  <c r="BT1055" i="2"/>
  <c r="BT1056" i="2"/>
  <c r="BT1057" i="2"/>
  <c r="BT1058" i="2"/>
  <c r="BT1059" i="2"/>
  <c r="BT1060" i="2"/>
  <c r="BT1061" i="2"/>
  <c r="BT1062" i="2"/>
  <c r="BT1063" i="2"/>
  <c r="BT1064" i="2"/>
  <c r="BT1065" i="2"/>
  <c r="BT1066" i="2"/>
  <c r="BT1067" i="2"/>
  <c r="BT1068" i="2"/>
  <c r="BT1069" i="2"/>
  <c r="BT1070" i="2"/>
  <c r="BT1071" i="2"/>
  <c r="BT1072" i="2"/>
  <c r="BT1073" i="2"/>
  <c r="BT1074" i="2"/>
  <c r="BT1075" i="2"/>
  <c r="BT1076" i="2"/>
  <c r="BT1077" i="2"/>
  <c r="BT1078" i="2"/>
  <c r="BT1079" i="2"/>
  <c r="BT1080" i="2"/>
  <c r="BT1081" i="2"/>
  <c r="BT1082" i="2"/>
  <c r="BT1083" i="2"/>
  <c r="BT1084" i="2"/>
  <c r="BT1085" i="2"/>
  <c r="BT1086" i="2"/>
  <c r="BT1087" i="2"/>
  <c r="BT1088" i="2"/>
  <c r="BT1089" i="2"/>
  <c r="BT1090" i="2"/>
  <c r="BT1091" i="2"/>
  <c r="BT1092" i="2"/>
  <c r="BT1093" i="2"/>
  <c r="BT1094" i="2"/>
  <c r="BT1095" i="2"/>
  <c r="BT1096" i="2"/>
  <c r="BT1097" i="2"/>
  <c r="BT1098" i="2"/>
  <c r="BT1099" i="2"/>
  <c r="BT1100" i="2"/>
  <c r="BT1101" i="2"/>
  <c r="BT1102" i="2"/>
  <c r="BT1103" i="2"/>
  <c r="BT1104" i="2"/>
  <c r="BT1105" i="2"/>
  <c r="BT1106" i="2"/>
  <c r="BT1107" i="2"/>
  <c r="BT1108" i="2"/>
  <c r="BT1109" i="2"/>
  <c r="BT1110" i="2"/>
  <c r="BT1111" i="2"/>
  <c r="BT1112" i="2"/>
  <c r="BT1113" i="2"/>
  <c r="BT1114" i="2"/>
  <c r="BT1115" i="2"/>
  <c r="BT1116" i="2"/>
  <c r="BT1117" i="2"/>
  <c r="BT1118" i="2"/>
  <c r="BT1119" i="2"/>
  <c r="BT1120" i="2"/>
  <c r="BT1121" i="2"/>
  <c r="BT1122" i="2"/>
  <c r="BT1123" i="2"/>
  <c r="BT1124" i="2"/>
  <c r="BT1125" i="2"/>
  <c r="BT1126" i="2"/>
  <c r="BT1127" i="2"/>
  <c r="BT1128" i="2"/>
  <c r="BT1129" i="2"/>
  <c r="BT1130" i="2"/>
  <c r="BT1131" i="2"/>
  <c r="BT1132" i="2"/>
  <c r="BT1133" i="2"/>
  <c r="BT1134" i="2"/>
  <c r="BT1135" i="2"/>
  <c r="BT1136" i="2"/>
  <c r="BT1137" i="2"/>
  <c r="BT1138" i="2"/>
  <c r="BT1139" i="2"/>
  <c r="BT1140" i="2"/>
  <c r="BT1141" i="2"/>
  <c r="BT1142" i="2"/>
  <c r="BT1143" i="2"/>
  <c r="BT1144" i="2"/>
  <c r="BT1145" i="2"/>
  <c r="BT1146" i="2"/>
  <c r="BT1147" i="2"/>
  <c r="BT1148" i="2"/>
  <c r="BT1149" i="2"/>
  <c r="BT1150" i="2"/>
  <c r="BT1151" i="2"/>
  <c r="BT1152" i="2"/>
  <c r="BT1153" i="2"/>
  <c r="BT1154" i="2"/>
  <c r="BT1155" i="2"/>
  <c r="BT1156" i="2"/>
  <c r="BT1157" i="2"/>
  <c r="BT1158" i="2"/>
  <c r="BT1159" i="2"/>
  <c r="BT1160" i="2"/>
  <c r="BT1161" i="2"/>
  <c r="BT1162" i="2"/>
  <c r="BT1163" i="2"/>
  <c r="BT1164" i="2"/>
  <c r="BT1165" i="2"/>
  <c r="BT1166" i="2"/>
  <c r="BT1167" i="2"/>
  <c r="BT1168" i="2"/>
  <c r="BT1169" i="2"/>
  <c r="BT1170" i="2"/>
  <c r="BT1171" i="2"/>
  <c r="BT1172" i="2"/>
  <c r="BT1173" i="2"/>
  <c r="BT1174" i="2"/>
  <c r="BT1175" i="2"/>
  <c r="BT1176" i="2"/>
  <c r="BT1177" i="2"/>
  <c r="BT1178" i="2"/>
  <c r="BT1179" i="2"/>
  <c r="BT1180" i="2"/>
  <c r="BT1181" i="2"/>
  <c r="BT1182" i="2"/>
  <c r="BT1183" i="2"/>
  <c r="BT1184" i="2"/>
  <c r="BT1185" i="2"/>
  <c r="BT1186" i="2"/>
  <c r="BT1187" i="2"/>
  <c r="BT1188" i="2"/>
  <c r="BT1189" i="2"/>
  <c r="BT1190" i="2"/>
  <c r="BT1191" i="2"/>
  <c r="BT1192" i="2"/>
  <c r="BT1193" i="2"/>
  <c r="BT1194" i="2"/>
  <c r="BT1195" i="2"/>
  <c r="BT1196" i="2"/>
  <c r="BT1197" i="2"/>
  <c r="BT1198" i="2"/>
  <c r="BT1199" i="2"/>
  <c r="BT1200" i="2"/>
  <c r="BT1201" i="2"/>
  <c r="BT1202" i="2"/>
  <c r="BT1203" i="2"/>
  <c r="BT1204" i="2"/>
  <c r="BT1205" i="2"/>
  <c r="BT1206" i="2"/>
  <c r="BT1207" i="2"/>
  <c r="BT1208" i="2"/>
  <c r="BT1209" i="2"/>
  <c r="BT1210" i="2"/>
  <c r="BT1211" i="2"/>
  <c r="BT1212" i="2"/>
  <c r="BT1213" i="2"/>
  <c r="BT1214" i="2"/>
  <c r="BT1215" i="2"/>
  <c r="BT1216" i="2"/>
  <c r="BT1217" i="2"/>
  <c r="BT1218" i="2"/>
  <c r="BT1219" i="2"/>
  <c r="BT1220" i="2"/>
  <c r="BT1221" i="2"/>
  <c r="BT1222" i="2"/>
  <c r="BT1223" i="2"/>
  <c r="BT1224" i="2"/>
  <c r="BT1225" i="2"/>
  <c r="BT1226" i="2"/>
  <c r="BT1227" i="2"/>
  <c r="BT1228" i="2"/>
  <c r="BT1229" i="2"/>
  <c r="BT1230" i="2"/>
  <c r="BT1231" i="2"/>
  <c r="BT1232" i="2"/>
  <c r="BT1233" i="2"/>
  <c r="BT1234" i="2"/>
  <c r="BT1235" i="2"/>
  <c r="BT1236" i="2"/>
  <c r="BT1237" i="2"/>
  <c r="BT1238" i="2"/>
  <c r="BT1239" i="2"/>
  <c r="BT1240" i="2"/>
  <c r="BT1241" i="2"/>
  <c r="BT1242" i="2"/>
  <c r="BT1243" i="2"/>
  <c r="BT1244" i="2"/>
  <c r="BT1245" i="2"/>
  <c r="BT1246" i="2"/>
  <c r="BT1247" i="2"/>
  <c r="BT1248" i="2"/>
  <c r="BT1249" i="2"/>
  <c r="BT1250" i="2"/>
  <c r="BT1251" i="2"/>
  <c r="BT1252" i="2"/>
  <c r="BT1253" i="2"/>
  <c r="BT1254" i="2"/>
  <c r="BT1255" i="2"/>
  <c r="BT1256" i="2"/>
  <c r="BT1257" i="2"/>
  <c r="BT1258" i="2"/>
  <c r="BT1259" i="2"/>
  <c r="BT1260" i="2"/>
  <c r="BT1261" i="2"/>
  <c r="BT1262" i="2"/>
  <c r="BT1263" i="2"/>
  <c r="BT1264" i="2"/>
  <c r="BT1265" i="2"/>
  <c r="BT1266" i="2"/>
  <c r="BT1267" i="2"/>
  <c r="BT1268" i="2"/>
  <c r="BT1269" i="2"/>
  <c r="BT1270" i="2"/>
  <c r="BT1271" i="2"/>
  <c r="BT1272" i="2"/>
  <c r="BT1273" i="2"/>
  <c r="BT1274" i="2"/>
  <c r="BT1275" i="2"/>
  <c r="BT1276" i="2"/>
  <c r="BT1277" i="2"/>
  <c r="BT1278" i="2"/>
  <c r="BT1279" i="2"/>
  <c r="BT1280" i="2"/>
  <c r="BT1281" i="2"/>
  <c r="BT1282" i="2"/>
  <c r="BT1283" i="2"/>
  <c r="BT1284" i="2"/>
  <c r="BT1285" i="2"/>
  <c r="BT1286" i="2"/>
  <c r="BT1287" i="2"/>
  <c r="BT1288" i="2"/>
  <c r="BT1289" i="2"/>
  <c r="BT1290" i="2"/>
  <c r="BT1291" i="2"/>
  <c r="BT1292" i="2"/>
  <c r="BT1293" i="2"/>
  <c r="BT1294" i="2"/>
  <c r="BT1295" i="2"/>
  <c r="BT1296" i="2"/>
  <c r="BT1297" i="2"/>
  <c r="BT1298" i="2"/>
  <c r="BT1299" i="2"/>
  <c r="BT1300" i="2"/>
  <c r="BT1301" i="2"/>
  <c r="BT1302" i="2"/>
  <c r="BT1303" i="2"/>
  <c r="BT1304" i="2"/>
  <c r="BT1305" i="2"/>
  <c r="BT1306" i="2"/>
  <c r="BT1307" i="2"/>
  <c r="BT1308" i="2"/>
  <c r="BT1309" i="2"/>
  <c r="BT1310" i="2"/>
  <c r="BT1311" i="2"/>
  <c r="BT1312" i="2"/>
  <c r="BT1313" i="2"/>
  <c r="BT1314" i="2"/>
  <c r="BT1315" i="2"/>
  <c r="BT1316" i="2"/>
  <c r="BT1317" i="2"/>
  <c r="BT1318" i="2"/>
  <c r="BT1319" i="2"/>
  <c r="BT1320" i="2"/>
  <c r="BT1321" i="2"/>
  <c r="BT1322" i="2"/>
  <c r="BT1323" i="2"/>
  <c r="BT1324" i="2"/>
  <c r="BT1325" i="2"/>
  <c r="BT1326" i="2"/>
  <c r="BT1327" i="2"/>
  <c r="BT1328" i="2"/>
  <c r="BT1329" i="2"/>
  <c r="BT1330" i="2"/>
  <c r="BT1331" i="2"/>
  <c r="BT1332" i="2"/>
  <c r="BT1333" i="2"/>
  <c r="BT1334" i="2"/>
  <c r="BT1335" i="2"/>
  <c r="BT1336" i="2"/>
  <c r="BT1337" i="2"/>
  <c r="BT1338" i="2"/>
  <c r="BT1339" i="2"/>
  <c r="BT1340" i="2"/>
  <c r="BT1341" i="2"/>
  <c r="BT1342" i="2"/>
  <c r="BT1343" i="2"/>
  <c r="BT1344" i="2"/>
  <c r="BT1345" i="2"/>
  <c r="BT1346" i="2"/>
  <c r="BT1347" i="2"/>
  <c r="BT1348" i="2"/>
  <c r="BT1349" i="2"/>
  <c r="BT1350" i="2"/>
  <c r="BT1351" i="2"/>
  <c r="BT1352" i="2"/>
  <c r="BT1353" i="2"/>
  <c r="BT1354" i="2"/>
  <c r="BT1355" i="2"/>
  <c r="BT1356" i="2"/>
  <c r="BT1357" i="2"/>
  <c r="BT1358" i="2"/>
  <c r="BT1359" i="2"/>
  <c r="BT1360" i="2"/>
  <c r="BT1361" i="2"/>
  <c r="BT1362" i="2"/>
  <c r="BT1363" i="2"/>
  <c r="BT1364" i="2"/>
  <c r="BT1365" i="2"/>
  <c r="BT1366" i="2"/>
  <c r="BT1367" i="2"/>
  <c r="BT1368" i="2"/>
  <c r="BT1369" i="2"/>
  <c r="BT1370" i="2"/>
  <c r="BT1371" i="2"/>
  <c r="BT1372" i="2"/>
  <c r="BT1373" i="2"/>
  <c r="BT1374" i="2"/>
  <c r="BT1375" i="2"/>
  <c r="BT1376" i="2"/>
  <c r="BT1377" i="2"/>
  <c r="BT1378" i="2"/>
  <c r="BT1379" i="2"/>
  <c r="BT1380" i="2"/>
  <c r="BT1381" i="2"/>
  <c r="BT1382" i="2"/>
  <c r="BT1383" i="2"/>
  <c r="BT1384" i="2"/>
  <c r="BT1385" i="2"/>
  <c r="BT1386" i="2"/>
  <c r="BT1387" i="2"/>
  <c r="BT1388" i="2"/>
  <c r="BT1389" i="2"/>
  <c r="BT1390" i="2"/>
  <c r="BT1391" i="2"/>
  <c r="BT1392" i="2"/>
  <c r="BT1393" i="2"/>
  <c r="BT1394" i="2"/>
  <c r="BT1395" i="2"/>
  <c r="BT1396" i="2"/>
  <c r="BT1397" i="2"/>
  <c r="BT1398" i="2"/>
  <c r="BT1399" i="2"/>
  <c r="BT1400" i="2"/>
  <c r="BT1401" i="2"/>
  <c r="BT1402" i="2"/>
  <c r="BT1403" i="2"/>
  <c r="BT1404" i="2"/>
  <c r="BT1405" i="2"/>
  <c r="BT1406" i="2"/>
  <c r="BT1407" i="2"/>
  <c r="BT1408" i="2"/>
  <c r="BT1409" i="2"/>
  <c r="BT1410" i="2"/>
  <c r="BT1411" i="2"/>
  <c r="BT1412" i="2"/>
  <c r="BT1413" i="2"/>
  <c r="BT1414" i="2"/>
  <c r="BT1415" i="2"/>
  <c r="BT1416" i="2"/>
  <c r="BT1417" i="2"/>
  <c r="BT1418" i="2"/>
  <c r="BT1419" i="2"/>
  <c r="BT1420" i="2"/>
  <c r="BT1421" i="2"/>
  <c r="BT1422" i="2"/>
  <c r="BT1423" i="2"/>
  <c r="BT1424" i="2"/>
  <c r="BT1425" i="2"/>
  <c r="BT1426" i="2"/>
  <c r="BT1427" i="2"/>
  <c r="BT1428" i="2"/>
  <c r="BT1429" i="2"/>
  <c r="BT1430" i="2"/>
  <c r="BT1431" i="2"/>
  <c r="BT1432" i="2"/>
  <c r="BT1433" i="2"/>
  <c r="BT1434" i="2"/>
  <c r="BT1435" i="2"/>
  <c r="BT1436" i="2"/>
  <c r="BT1437" i="2"/>
  <c r="BT1438" i="2"/>
  <c r="BT1439" i="2"/>
  <c r="BT1440" i="2"/>
  <c r="BT1441" i="2"/>
  <c r="BT1442" i="2"/>
  <c r="BT1443" i="2"/>
  <c r="BT1444" i="2"/>
  <c r="BT1445" i="2"/>
  <c r="BT1446" i="2"/>
  <c r="BT1447" i="2"/>
  <c r="BT1448" i="2"/>
  <c r="BT1449" i="2"/>
  <c r="BT1450" i="2"/>
  <c r="BT1451" i="2"/>
  <c r="BT1452" i="2"/>
  <c r="BT1453" i="2"/>
  <c r="BT1454" i="2"/>
  <c r="BT1455" i="2"/>
  <c r="BT1456" i="2"/>
  <c r="BT1457" i="2"/>
  <c r="BT1458" i="2"/>
  <c r="BT1459" i="2"/>
  <c r="BT1460" i="2"/>
  <c r="BT1461" i="2"/>
  <c r="BT1462" i="2"/>
  <c r="BT1463" i="2"/>
  <c r="BT1464" i="2"/>
  <c r="BT1465" i="2"/>
  <c r="BT1466" i="2"/>
  <c r="BT1467" i="2"/>
  <c r="BT1468" i="2"/>
  <c r="BT1469" i="2"/>
  <c r="BT1470" i="2"/>
  <c r="BT1471" i="2"/>
  <c r="BT1472" i="2"/>
  <c r="BT1473" i="2"/>
  <c r="BT1474" i="2"/>
  <c r="BT1475" i="2"/>
  <c r="BT1476" i="2"/>
  <c r="BT1477" i="2"/>
  <c r="BT1478" i="2"/>
  <c r="BT1479" i="2"/>
  <c r="BT1480" i="2"/>
  <c r="BT1481" i="2"/>
  <c r="BT1482" i="2"/>
  <c r="BT1483" i="2"/>
  <c r="BT1484" i="2"/>
  <c r="BT1485" i="2"/>
  <c r="BT1486" i="2"/>
  <c r="BT1487" i="2"/>
  <c r="BT1488" i="2"/>
  <c r="BT1489" i="2"/>
  <c r="BT1490" i="2"/>
  <c r="BT1491" i="2"/>
  <c r="BT1492" i="2"/>
  <c r="BT1493" i="2"/>
  <c r="BT1494" i="2"/>
  <c r="BT1495" i="2"/>
  <c r="BT1496" i="2"/>
  <c r="BT1497" i="2"/>
  <c r="BT1498" i="2"/>
  <c r="BT1499" i="2"/>
  <c r="BT1500" i="2"/>
  <c r="BT1501" i="2"/>
  <c r="BT1502" i="2"/>
  <c r="BT1503" i="2"/>
  <c r="BT1504" i="2"/>
  <c r="BT1505" i="2"/>
  <c r="BT1506" i="2"/>
  <c r="BT1507" i="2"/>
  <c r="BT1508" i="2"/>
  <c r="BT1509" i="2"/>
  <c r="BT1510" i="2"/>
  <c r="BT1511" i="2"/>
  <c r="BT1512" i="2"/>
  <c r="BT1513" i="2"/>
  <c r="BT1514" i="2"/>
  <c r="BT1515" i="2"/>
  <c r="BT1516" i="2"/>
  <c r="BT1517" i="2"/>
  <c r="BT1518" i="2"/>
  <c r="BT1519" i="2"/>
  <c r="BT1520" i="2"/>
  <c r="BT1521" i="2"/>
  <c r="BT1522" i="2"/>
  <c r="BT1523" i="2"/>
  <c r="BT1524" i="2"/>
  <c r="BT1525" i="2"/>
  <c r="BT1526" i="2"/>
  <c r="BT1527" i="2"/>
  <c r="BT1528" i="2"/>
  <c r="BT1529" i="2"/>
  <c r="BT1530" i="2"/>
  <c r="BT1531" i="2"/>
  <c r="BT1532" i="2"/>
  <c r="BT1533" i="2"/>
  <c r="BT1534" i="2"/>
  <c r="BT1535" i="2"/>
  <c r="BT1536" i="2"/>
  <c r="BT1537" i="2"/>
  <c r="BT1538" i="2"/>
  <c r="BT1539" i="2"/>
  <c r="BT1540" i="2"/>
  <c r="BT1541" i="2"/>
  <c r="BT1542" i="2"/>
  <c r="BT1543" i="2"/>
  <c r="BT1544" i="2"/>
  <c r="BT1545" i="2"/>
  <c r="BT1546" i="2"/>
  <c r="BT1547" i="2"/>
  <c r="BT1548" i="2"/>
  <c r="BT1549" i="2"/>
  <c r="BT1550" i="2"/>
  <c r="BT1551" i="2"/>
  <c r="BT1552" i="2"/>
  <c r="BT1553" i="2"/>
  <c r="BT1554" i="2"/>
  <c r="BT1555" i="2"/>
  <c r="BT1556" i="2"/>
  <c r="BT1557" i="2"/>
  <c r="BT1558" i="2"/>
  <c r="BT1559" i="2"/>
  <c r="BT1560" i="2"/>
  <c r="BT1561" i="2"/>
  <c r="BT1562" i="2"/>
  <c r="BT1563" i="2"/>
  <c r="BT1564" i="2"/>
  <c r="BT1565" i="2"/>
  <c r="BT1566" i="2"/>
  <c r="BT1567" i="2"/>
  <c r="BT1568" i="2"/>
  <c r="BT1569" i="2"/>
  <c r="BT1570" i="2"/>
  <c r="BT1571" i="2"/>
  <c r="BT1572" i="2"/>
  <c r="BT1573" i="2"/>
  <c r="BT1574" i="2"/>
  <c r="BT1575" i="2"/>
  <c r="BT1576" i="2"/>
  <c r="BT1577" i="2"/>
  <c r="BT1578" i="2"/>
  <c r="BT1579" i="2"/>
  <c r="BT1580" i="2"/>
  <c r="BT1581" i="2"/>
  <c r="BT1582" i="2"/>
  <c r="BT1583" i="2"/>
  <c r="BT1584" i="2"/>
  <c r="BT1585" i="2"/>
  <c r="BT1586" i="2"/>
  <c r="BT1587" i="2"/>
  <c r="BT1588" i="2"/>
  <c r="BT1589" i="2"/>
  <c r="BT1590" i="2"/>
  <c r="BT1591" i="2"/>
  <c r="BT1592" i="2"/>
  <c r="BT1593" i="2"/>
  <c r="BT1594" i="2"/>
  <c r="BT1595" i="2"/>
  <c r="BT1596" i="2"/>
  <c r="BT1597" i="2"/>
  <c r="BT1598" i="2"/>
  <c r="BT1599" i="2"/>
  <c r="BT1600" i="2"/>
  <c r="BT1601" i="2"/>
  <c r="BT1602" i="2"/>
  <c r="BT1603" i="2"/>
  <c r="BT1604" i="2"/>
  <c r="BT1605" i="2"/>
  <c r="BT1606" i="2"/>
  <c r="BT1607" i="2"/>
  <c r="BT1608" i="2"/>
  <c r="BT1609" i="2"/>
  <c r="BT1610" i="2"/>
  <c r="BT1611" i="2"/>
  <c r="BT1612" i="2"/>
  <c r="BT1613" i="2"/>
  <c r="BT1614" i="2"/>
  <c r="BT1615" i="2"/>
  <c r="BT1616" i="2"/>
  <c r="BT1617" i="2"/>
  <c r="BT1618" i="2"/>
  <c r="BT1619" i="2"/>
  <c r="BT1620" i="2"/>
  <c r="BT1621" i="2"/>
  <c r="BT1622" i="2"/>
  <c r="BT1623" i="2"/>
  <c r="BT1624" i="2"/>
  <c r="BT1625" i="2"/>
  <c r="BT1626" i="2"/>
  <c r="BT1627" i="2"/>
  <c r="BT1628" i="2"/>
  <c r="BT1629" i="2"/>
  <c r="BT1630" i="2"/>
  <c r="BT1631" i="2"/>
  <c r="BT1632" i="2"/>
  <c r="BT1633" i="2"/>
  <c r="BT1634" i="2"/>
  <c r="BT1635" i="2"/>
  <c r="BT1636" i="2"/>
  <c r="BT1637" i="2"/>
  <c r="BT1638" i="2"/>
  <c r="BT1639" i="2"/>
  <c r="BT1640" i="2"/>
  <c r="BT1641" i="2"/>
  <c r="BT1642" i="2"/>
  <c r="BT1643" i="2"/>
  <c r="BT1644" i="2"/>
  <c r="BT1645" i="2"/>
  <c r="BT1646" i="2"/>
  <c r="BT1647" i="2"/>
  <c r="BT1648" i="2"/>
  <c r="BT1649" i="2"/>
  <c r="BT1650" i="2"/>
  <c r="BT1651" i="2"/>
  <c r="BT1652" i="2"/>
  <c r="BT1653" i="2"/>
  <c r="BT1654" i="2"/>
  <c r="BT1655" i="2"/>
  <c r="BT1656" i="2"/>
  <c r="BT1657" i="2"/>
  <c r="BT1658" i="2"/>
  <c r="BT1659" i="2"/>
  <c r="BT1660" i="2"/>
  <c r="BT1661" i="2"/>
  <c r="BT1662" i="2"/>
  <c r="BT1663" i="2"/>
  <c r="BT1664" i="2"/>
  <c r="BT1665" i="2"/>
  <c r="BT1666" i="2"/>
  <c r="BT1667" i="2"/>
  <c r="BT1668" i="2"/>
  <c r="BT1669" i="2"/>
  <c r="BT1670" i="2"/>
  <c r="BT1671" i="2"/>
  <c r="BT1672" i="2"/>
  <c r="BT1673" i="2"/>
  <c r="BT1674" i="2"/>
  <c r="BT1675" i="2"/>
  <c r="BT1676" i="2"/>
  <c r="BT1677" i="2"/>
  <c r="BT1678" i="2"/>
  <c r="BT1679" i="2"/>
  <c r="BT1680" i="2"/>
  <c r="BT1681" i="2"/>
  <c r="BT1682" i="2"/>
  <c r="BT1683" i="2"/>
  <c r="BT1684" i="2"/>
  <c r="BT1685" i="2"/>
  <c r="BT1686" i="2"/>
  <c r="BT1687" i="2"/>
  <c r="BT1688" i="2"/>
  <c r="BT1689" i="2"/>
  <c r="BT1690" i="2"/>
  <c r="BT1691" i="2"/>
  <c r="BT1692" i="2"/>
  <c r="BT1693" i="2"/>
  <c r="BT1694" i="2"/>
  <c r="BT1695" i="2"/>
  <c r="BT1696" i="2"/>
  <c r="BT1697" i="2"/>
  <c r="BT1698" i="2"/>
  <c r="BT1699" i="2"/>
  <c r="BT1700" i="2"/>
  <c r="BT1701" i="2"/>
  <c r="BT1702" i="2"/>
  <c r="BT1703" i="2"/>
  <c r="BT1704" i="2"/>
  <c r="BT1705" i="2"/>
  <c r="BT1706" i="2"/>
  <c r="BT1707" i="2"/>
  <c r="BT1708" i="2"/>
  <c r="BT1709" i="2"/>
  <c r="BT1710" i="2"/>
  <c r="BT1711" i="2"/>
  <c r="BT1712" i="2"/>
  <c r="BT1713" i="2"/>
  <c r="BT1714" i="2"/>
  <c r="BT1715" i="2"/>
  <c r="BT1716" i="2"/>
  <c r="BT1717" i="2"/>
  <c r="BT1718" i="2"/>
  <c r="BT1719" i="2"/>
  <c r="BT1720" i="2"/>
  <c r="BT1721" i="2"/>
  <c r="BT1722" i="2"/>
  <c r="BT1723" i="2"/>
  <c r="BT1724" i="2"/>
  <c r="BT1725" i="2"/>
  <c r="BT1726" i="2"/>
  <c r="BT1727" i="2"/>
  <c r="BT1728" i="2"/>
  <c r="BT1729" i="2"/>
  <c r="BT1730" i="2"/>
  <c r="BT1731" i="2"/>
  <c r="BT1732" i="2"/>
  <c r="BT1733" i="2"/>
  <c r="BT1734" i="2"/>
  <c r="BT1735" i="2"/>
  <c r="BT1736" i="2"/>
  <c r="BT1737" i="2"/>
  <c r="BT1738" i="2"/>
  <c r="BT1739" i="2"/>
  <c r="BT1740" i="2"/>
  <c r="BT1741" i="2"/>
  <c r="BT1742" i="2"/>
  <c r="BT1743" i="2"/>
  <c r="BT1744" i="2"/>
  <c r="BT1745" i="2"/>
  <c r="BT1746" i="2"/>
  <c r="BT1747" i="2"/>
  <c r="BT1748" i="2"/>
  <c r="BT1749" i="2"/>
  <c r="BT1750" i="2"/>
  <c r="BT1751" i="2"/>
  <c r="BT1752" i="2"/>
  <c r="BT1753" i="2"/>
  <c r="BT1754" i="2"/>
  <c r="BT1755" i="2"/>
  <c r="BT1756" i="2"/>
  <c r="BT1757" i="2"/>
  <c r="BT1758" i="2"/>
  <c r="BT1759" i="2"/>
  <c r="BT1760" i="2"/>
  <c r="BT1761" i="2"/>
  <c r="BT1762" i="2"/>
  <c r="BT1763" i="2"/>
  <c r="BT1764" i="2"/>
  <c r="BT1765" i="2"/>
  <c r="BT1766" i="2"/>
  <c r="BT1767" i="2"/>
  <c r="BT1768" i="2"/>
  <c r="BT1769" i="2"/>
  <c r="BT1770" i="2"/>
  <c r="BT1771" i="2"/>
  <c r="BT1772" i="2"/>
  <c r="BT1773" i="2"/>
  <c r="BT1774" i="2"/>
  <c r="BT1775" i="2"/>
  <c r="BT1776" i="2"/>
  <c r="BT1777" i="2"/>
  <c r="BT1778" i="2"/>
  <c r="BT1779" i="2"/>
  <c r="BT1780" i="2"/>
  <c r="BT1781" i="2"/>
  <c r="BT1782" i="2"/>
  <c r="BT1783" i="2"/>
  <c r="BT1784" i="2"/>
  <c r="BT1785" i="2"/>
  <c r="BT1786" i="2"/>
  <c r="BT1787" i="2"/>
  <c r="BT1788" i="2"/>
  <c r="BT1789" i="2"/>
  <c r="BT1790" i="2"/>
  <c r="BT1791" i="2"/>
  <c r="BT1792" i="2"/>
  <c r="BT1793" i="2"/>
  <c r="BT1794" i="2"/>
  <c r="BT1795" i="2"/>
  <c r="BT1796" i="2"/>
  <c r="BT1797" i="2"/>
  <c r="BT1798" i="2"/>
  <c r="BT1799" i="2"/>
  <c r="BT1800" i="2"/>
  <c r="BT1801" i="2"/>
  <c r="BT1802" i="2"/>
  <c r="BT1803" i="2"/>
  <c r="BT1804" i="2"/>
  <c r="BT1805" i="2"/>
  <c r="BT1806" i="2"/>
  <c r="BT1807" i="2"/>
  <c r="BT1808" i="2"/>
  <c r="BT1809" i="2"/>
  <c r="BT1810" i="2"/>
  <c r="BT1811" i="2"/>
  <c r="BT1812" i="2"/>
  <c r="BT1813" i="2"/>
  <c r="BT1814" i="2"/>
  <c r="BT1815" i="2"/>
  <c r="BT1816" i="2"/>
  <c r="BT1817" i="2"/>
  <c r="BT1818" i="2"/>
  <c r="BT1819" i="2"/>
  <c r="BT1820" i="2"/>
  <c r="BT1821" i="2"/>
  <c r="BT1822" i="2"/>
  <c r="BT1823" i="2"/>
  <c r="BT1824" i="2"/>
  <c r="BT1825" i="2"/>
  <c r="BT1826" i="2"/>
  <c r="BT1827" i="2"/>
  <c r="BT1828" i="2"/>
  <c r="BT1829" i="2"/>
  <c r="BT1830" i="2"/>
  <c r="BT1831" i="2"/>
  <c r="BT1832" i="2"/>
  <c r="BT1833" i="2"/>
  <c r="BT1834" i="2"/>
  <c r="BT1835" i="2"/>
  <c r="BT1836" i="2"/>
  <c r="BT1837" i="2"/>
  <c r="BT1838" i="2"/>
  <c r="BT1839" i="2"/>
  <c r="BT1840" i="2"/>
  <c r="BT1841" i="2"/>
  <c r="BT1842" i="2"/>
  <c r="BT1843" i="2"/>
  <c r="BT1844" i="2"/>
  <c r="BT1845" i="2"/>
  <c r="BT1846" i="2"/>
  <c r="BT1847" i="2"/>
  <c r="BT1848" i="2"/>
  <c r="BT1849" i="2"/>
  <c r="BT1850" i="2"/>
  <c r="BT1851" i="2"/>
  <c r="BT1852" i="2"/>
  <c r="BT1853" i="2"/>
  <c r="BT1854" i="2"/>
  <c r="BT1855" i="2"/>
  <c r="BT1856" i="2"/>
  <c r="BT1857" i="2"/>
  <c r="BT1858" i="2"/>
  <c r="BT1859" i="2"/>
  <c r="BT1860" i="2"/>
  <c r="BT1861" i="2"/>
  <c r="BT1862" i="2"/>
  <c r="BT1863" i="2"/>
  <c r="BT1864" i="2"/>
  <c r="BT1865" i="2"/>
  <c r="BT1866" i="2"/>
  <c r="BT1867" i="2"/>
  <c r="BT1868" i="2"/>
  <c r="BT1869" i="2"/>
  <c r="BT1870" i="2"/>
  <c r="BT1871" i="2"/>
  <c r="BT1872" i="2"/>
  <c r="BT1873" i="2"/>
  <c r="BT1874" i="2"/>
  <c r="BT1875" i="2"/>
  <c r="BT1876" i="2"/>
  <c r="BT1877" i="2"/>
  <c r="BT1878" i="2"/>
  <c r="BT1879" i="2"/>
  <c r="BT1880" i="2"/>
  <c r="BT1881" i="2"/>
  <c r="BT1882" i="2"/>
  <c r="BT1883" i="2"/>
  <c r="BT1884" i="2"/>
  <c r="BT1885" i="2"/>
  <c r="BT1886" i="2"/>
  <c r="BT1887" i="2"/>
  <c r="BT1888" i="2"/>
  <c r="BT1889" i="2"/>
  <c r="BT1890" i="2"/>
  <c r="BT1891" i="2"/>
  <c r="BT1892" i="2"/>
  <c r="BT1893" i="2"/>
  <c r="BT1894" i="2"/>
  <c r="BT1895" i="2"/>
  <c r="BT1896" i="2"/>
  <c r="BT1897" i="2"/>
  <c r="BT1898" i="2"/>
  <c r="BT1899" i="2"/>
  <c r="BT1900" i="2"/>
  <c r="BT1901" i="2"/>
  <c r="BT1902" i="2"/>
  <c r="BT1903" i="2"/>
  <c r="BT1904" i="2"/>
  <c r="BT1905" i="2"/>
  <c r="BT1906" i="2"/>
  <c r="BT1907" i="2"/>
  <c r="BT1908" i="2"/>
  <c r="BT1909" i="2"/>
  <c r="BT1910" i="2"/>
  <c r="BT1911" i="2"/>
  <c r="BT1912" i="2"/>
  <c r="BT1913" i="2"/>
  <c r="BT1914" i="2"/>
  <c r="BT1915" i="2"/>
  <c r="BT1916" i="2"/>
  <c r="BT1917" i="2"/>
  <c r="BT1918" i="2"/>
  <c r="BT1919" i="2"/>
  <c r="BT1920" i="2"/>
  <c r="BT1921" i="2"/>
  <c r="BT1922" i="2"/>
  <c r="BT1923" i="2"/>
  <c r="BT1924" i="2"/>
  <c r="BT1925" i="2"/>
  <c r="BT1926" i="2"/>
  <c r="BT1927" i="2"/>
  <c r="BT1928" i="2"/>
  <c r="BT1929" i="2"/>
  <c r="BT1930" i="2"/>
  <c r="BT1931" i="2"/>
  <c r="BT1932" i="2"/>
  <c r="BT1933" i="2"/>
  <c r="BT1934" i="2"/>
  <c r="BT1935" i="2"/>
  <c r="BT1936" i="2"/>
  <c r="BT1937" i="2"/>
  <c r="BT1938" i="2"/>
  <c r="BT1939" i="2"/>
  <c r="BT1940" i="2"/>
  <c r="BT1941" i="2"/>
  <c r="BT1942" i="2"/>
  <c r="BT1943" i="2"/>
  <c r="BT1944" i="2"/>
  <c r="BT1945" i="2"/>
  <c r="BT1946" i="2"/>
  <c r="BT1947" i="2"/>
  <c r="BT1948" i="2"/>
  <c r="BT1949" i="2"/>
  <c r="BT1950" i="2"/>
  <c r="BT1951" i="2"/>
  <c r="BT1952" i="2"/>
  <c r="BT1953" i="2"/>
  <c r="BT1954" i="2"/>
  <c r="BT1955" i="2"/>
  <c r="BT1956" i="2"/>
  <c r="BT1957" i="2"/>
  <c r="BT1958" i="2"/>
  <c r="BT1959" i="2"/>
  <c r="BT1960" i="2"/>
  <c r="BT1961" i="2"/>
  <c r="BT1962" i="2"/>
  <c r="BT1963" i="2"/>
  <c r="BT1964" i="2"/>
  <c r="BT1965" i="2"/>
  <c r="BT1966" i="2"/>
  <c r="BT1967" i="2"/>
  <c r="BT1968" i="2"/>
  <c r="BT1969" i="2"/>
  <c r="BT1970" i="2"/>
  <c r="BT1971" i="2"/>
  <c r="BT1972" i="2"/>
  <c r="BT1973" i="2"/>
  <c r="BT1974" i="2"/>
  <c r="BT1975" i="2"/>
  <c r="BT1976" i="2"/>
  <c r="BT1977" i="2"/>
  <c r="BT1978" i="2"/>
  <c r="BT1979" i="2"/>
  <c r="BT1980" i="2"/>
  <c r="BT1981" i="2"/>
  <c r="BT1982" i="2"/>
  <c r="BT1983" i="2"/>
  <c r="BT1984" i="2"/>
  <c r="BT1985" i="2"/>
  <c r="BT1986" i="2"/>
  <c r="BT1987" i="2"/>
  <c r="BT1988" i="2"/>
  <c r="BT1989" i="2"/>
  <c r="BT1990" i="2"/>
  <c r="BT1991" i="2"/>
  <c r="BT1992" i="2"/>
  <c r="BT1993" i="2"/>
  <c r="BT1994" i="2"/>
  <c r="BT1995" i="2"/>
  <c r="BT1996" i="2"/>
  <c r="BT1997" i="2"/>
  <c r="BT1998" i="2"/>
  <c r="BT1999" i="2"/>
  <c r="BT2000" i="2"/>
  <c r="BT2001" i="2"/>
  <c r="BT2002" i="2"/>
  <c r="BT2003" i="2"/>
  <c r="BT2004" i="2"/>
  <c r="BT2005" i="2"/>
  <c r="BT2006" i="2"/>
  <c r="BT2007" i="2"/>
  <c r="BT2008" i="2"/>
  <c r="BT2009" i="2"/>
  <c r="BT2010" i="2"/>
  <c r="BT2011" i="2"/>
  <c r="BT2012" i="2"/>
  <c r="BT2013" i="2"/>
  <c r="BT2014" i="2"/>
  <c r="BT2015" i="2"/>
  <c r="BT2016" i="2"/>
  <c r="BT2017" i="2"/>
  <c r="BT2018" i="2"/>
  <c r="BT2019" i="2"/>
  <c r="BT2020" i="2"/>
  <c r="BT2021" i="2"/>
  <c r="BT2022" i="2"/>
  <c r="BT2023" i="2"/>
  <c r="BT2024" i="2"/>
  <c r="BT2025" i="2"/>
  <c r="BT2026" i="2"/>
  <c r="BT2027" i="2"/>
  <c r="BT2028" i="2"/>
  <c r="BT2029" i="2"/>
  <c r="BT2030" i="2"/>
  <c r="BT2031" i="2"/>
  <c r="BT2032" i="2"/>
  <c r="BT2033" i="2"/>
  <c r="BT2034" i="2"/>
  <c r="BT2035" i="2"/>
  <c r="BT2036" i="2"/>
  <c r="BT2037" i="2"/>
  <c r="BT2038" i="2"/>
  <c r="BT2039" i="2"/>
  <c r="BT2040" i="2"/>
  <c r="BT2041" i="2"/>
  <c r="BT2042" i="2"/>
  <c r="BT2043" i="2"/>
  <c r="BT2044" i="2"/>
  <c r="BT2045" i="2"/>
  <c r="BT2046" i="2"/>
  <c r="BT2047" i="2"/>
  <c r="BT2048" i="2"/>
  <c r="BT2049" i="2"/>
  <c r="BT2050" i="2"/>
  <c r="BT2051" i="2"/>
  <c r="BT2052" i="2"/>
  <c r="BT2053" i="2"/>
  <c r="BT2054" i="2"/>
  <c r="BT2055" i="2"/>
  <c r="BT2056" i="2"/>
  <c r="BT2057" i="2"/>
  <c r="BT2058" i="2"/>
  <c r="BT2059" i="2"/>
  <c r="BT2060" i="2"/>
  <c r="BT2061" i="2"/>
  <c r="BT2062" i="2"/>
  <c r="BT2063" i="2"/>
  <c r="BT2064" i="2"/>
  <c r="BT2065" i="2"/>
  <c r="BT2066" i="2"/>
  <c r="BT2067" i="2"/>
  <c r="BT2068" i="2"/>
  <c r="BT2069" i="2"/>
  <c r="BT2070" i="2"/>
  <c r="BT2071" i="2"/>
  <c r="BT2072" i="2"/>
  <c r="BT2073" i="2"/>
  <c r="BT2074" i="2"/>
  <c r="BT2075" i="2"/>
  <c r="BT2076" i="2"/>
  <c r="BT2077" i="2"/>
  <c r="BT2078" i="2"/>
  <c r="BT2079" i="2"/>
  <c r="BT2080" i="2"/>
  <c r="BT2081" i="2"/>
  <c r="BT2082" i="2"/>
  <c r="BT2083" i="2"/>
  <c r="BT2084" i="2"/>
  <c r="BT2085" i="2"/>
  <c r="BT2086" i="2"/>
  <c r="BT2087" i="2"/>
  <c r="BT2088" i="2"/>
  <c r="BT2089" i="2"/>
  <c r="BT2090" i="2"/>
  <c r="BT2091" i="2"/>
  <c r="BT2092" i="2"/>
  <c r="BT2093" i="2"/>
  <c r="BT2094" i="2"/>
  <c r="BT2095" i="2"/>
  <c r="BT2096" i="2"/>
  <c r="BT2097" i="2"/>
  <c r="BT2098" i="2"/>
  <c r="BT2099" i="2"/>
  <c r="BT2100" i="2"/>
  <c r="BT2101" i="2"/>
  <c r="BT2102" i="2"/>
  <c r="BT2103" i="2"/>
  <c r="BT2104" i="2"/>
  <c r="BT2105" i="2"/>
  <c r="BT2106" i="2"/>
  <c r="BT2107" i="2"/>
  <c r="BT2108" i="2"/>
  <c r="BT2109" i="2"/>
  <c r="BT2110" i="2"/>
  <c r="BT2111" i="2"/>
  <c r="BT2112" i="2"/>
  <c r="BT2113" i="2"/>
  <c r="BT2114" i="2"/>
  <c r="BT2115" i="2"/>
  <c r="BT2116" i="2"/>
  <c r="BT2117" i="2"/>
  <c r="BT2118" i="2"/>
  <c r="BT2119" i="2"/>
  <c r="BT2120" i="2"/>
  <c r="BT2121" i="2"/>
  <c r="BT2122" i="2"/>
  <c r="BT2123" i="2"/>
  <c r="BT2124" i="2"/>
  <c r="BT2125" i="2"/>
  <c r="BT2126" i="2"/>
  <c r="BT2127" i="2"/>
  <c r="BT2128" i="2"/>
  <c r="BT2129" i="2"/>
  <c r="BT2130" i="2"/>
  <c r="BT2131" i="2"/>
  <c r="BT2132" i="2"/>
  <c r="BT2" i="2"/>
  <c r="C2" i="13"/>
  <c r="C3" i="13"/>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BM1994" i="2" l="1"/>
  <c r="BN1994" i="2" s="1"/>
  <c r="BJ1994" i="2"/>
  <c r="BK1994" i="2" s="1"/>
  <c r="BM1978" i="2"/>
  <c r="BN1978" i="2" s="1"/>
  <c r="BJ1978" i="2"/>
  <c r="BK1978" i="2" s="1"/>
  <c r="BM1962" i="2"/>
  <c r="BN1962" i="2" s="1"/>
  <c r="BJ1962" i="2"/>
  <c r="BK1962" i="2" s="1"/>
  <c r="BM1946" i="2"/>
  <c r="BN1946" i="2" s="1"/>
  <c r="BJ1946" i="2"/>
  <c r="BK1946" i="2" s="1"/>
  <c r="BM1930" i="2"/>
  <c r="BN1930" i="2" s="1"/>
  <c r="BJ1930" i="2"/>
  <c r="BK1930" i="2" s="1"/>
  <c r="BM1914" i="2"/>
  <c r="BN1914" i="2" s="1"/>
  <c r="BJ1914" i="2"/>
  <c r="BK1914" i="2" s="1"/>
  <c r="BM1898" i="2"/>
  <c r="BN1898" i="2" s="1"/>
  <c r="BJ1898" i="2"/>
  <c r="BK1898" i="2" s="1"/>
  <c r="BM1882" i="2"/>
  <c r="BN1882" i="2" s="1"/>
  <c r="BJ1882" i="2"/>
  <c r="BK1882" i="2" s="1"/>
  <c r="BM1858" i="2"/>
  <c r="BN1858" i="2" s="1"/>
  <c r="BJ1858" i="2"/>
  <c r="BK1858" i="2" s="1"/>
  <c r="BM210" i="2"/>
  <c r="BN210" i="2" s="1"/>
  <c r="BJ210" i="2"/>
  <c r="BK210" i="2" s="1"/>
  <c r="BM138" i="2"/>
  <c r="BN138" i="2" s="1"/>
  <c r="BJ138" i="2"/>
  <c r="BK138" i="2" s="1"/>
  <c r="BJ27" i="2"/>
  <c r="BK27" i="2" s="1"/>
  <c r="BJ16" i="2"/>
  <c r="BK16" i="2" s="1"/>
  <c r="BJ80" i="2"/>
  <c r="BK80" i="2" s="1"/>
  <c r="BJ144" i="2"/>
  <c r="BK144" i="2" s="1"/>
  <c r="BJ208" i="2"/>
  <c r="BK208" i="2" s="1"/>
  <c r="BJ272" i="2"/>
  <c r="BK272" i="2" s="1"/>
  <c r="BJ336" i="2"/>
  <c r="BK336" i="2" s="1"/>
  <c r="BJ400" i="2"/>
  <c r="BK400" i="2" s="1"/>
  <c r="BJ464" i="2"/>
  <c r="BK464" i="2" s="1"/>
  <c r="BJ528" i="2"/>
  <c r="BK528" i="2" s="1"/>
  <c r="BJ592" i="2"/>
  <c r="BK592" i="2" s="1"/>
  <c r="BJ656" i="2"/>
  <c r="BK656" i="2" s="1"/>
  <c r="BJ720" i="2"/>
  <c r="BK720" i="2" s="1"/>
  <c r="BJ784" i="2"/>
  <c r="BK784" i="2" s="1"/>
  <c r="BJ848" i="2"/>
  <c r="BK848" i="2" s="1"/>
  <c r="BJ912" i="2"/>
  <c r="BK912" i="2" s="1"/>
  <c r="BJ13" i="2"/>
  <c r="BK13" i="2" s="1"/>
  <c r="BJ29" i="2"/>
  <c r="BK29" i="2" s="1"/>
  <c r="BJ45" i="2"/>
  <c r="BK45" i="2" s="1"/>
  <c r="BJ61" i="2"/>
  <c r="BK61" i="2" s="1"/>
  <c r="BJ77" i="2"/>
  <c r="BK77" i="2" s="1"/>
  <c r="BJ93" i="2"/>
  <c r="BK93" i="2" s="1"/>
  <c r="BJ109" i="2"/>
  <c r="BK109" i="2" s="1"/>
  <c r="BJ125" i="2"/>
  <c r="BK125" i="2" s="1"/>
  <c r="BJ141" i="2"/>
  <c r="BK141" i="2" s="1"/>
  <c r="BJ157" i="2"/>
  <c r="BK157" i="2" s="1"/>
  <c r="BJ173" i="2"/>
  <c r="BK173" i="2" s="1"/>
  <c r="BJ189" i="2"/>
  <c r="BK189" i="2" s="1"/>
  <c r="BJ205" i="2"/>
  <c r="BK205" i="2" s="1"/>
  <c r="BJ221" i="2"/>
  <c r="BK221" i="2" s="1"/>
  <c r="BJ237" i="2"/>
  <c r="BK237" i="2" s="1"/>
  <c r="BJ253" i="2"/>
  <c r="BK253" i="2" s="1"/>
  <c r="BJ269" i="2"/>
  <c r="BK269" i="2" s="1"/>
  <c r="BJ285" i="2"/>
  <c r="BK285" i="2" s="1"/>
  <c r="BJ301" i="2"/>
  <c r="BK301" i="2" s="1"/>
  <c r="BJ317" i="2"/>
  <c r="BK317" i="2" s="1"/>
  <c r="BJ333" i="2"/>
  <c r="BK333" i="2" s="1"/>
  <c r="BJ349" i="2"/>
  <c r="BK349" i="2" s="1"/>
  <c r="BJ365" i="2"/>
  <c r="BK365" i="2" s="1"/>
  <c r="BJ381" i="2"/>
  <c r="BK381" i="2" s="1"/>
  <c r="BJ397" i="2"/>
  <c r="BK397" i="2" s="1"/>
  <c r="BJ413" i="2"/>
  <c r="BK413" i="2" s="1"/>
  <c r="BJ429" i="2"/>
  <c r="BK429" i="2" s="1"/>
  <c r="BJ445" i="2"/>
  <c r="BK445" i="2" s="1"/>
  <c r="BJ461" i="2"/>
  <c r="BK461" i="2" s="1"/>
  <c r="BJ477" i="2"/>
  <c r="BK477" i="2" s="1"/>
  <c r="BJ493" i="2"/>
  <c r="BK493" i="2" s="1"/>
  <c r="BJ509" i="2"/>
  <c r="BK509" i="2" s="1"/>
  <c r="BJ525" i="2"/>
  <c r="BK525" i="2" s="1"/>
  <c r="BJ541" i="2"/>
  <c r="BK541" i="2" s="1"/>
  <c r="BJ557" i="2"/>
  <c r="BK557" i="2" s="1"/>
  <c r="BJ573" i="2"/>
  <c r="BK573" i="2" s="1"/>
  <c r="BJ589" i="2"/>
  <c r="BK589" i="2" s="1"/>
  <c r="BJ605" i="2"/>
  <c r="BK605" i="2" s="1"/>
  <c r="BJ621" i="2"/>
  <c r="BK621" i="2" s="1"/>
  <c r="BJ637" i="2"/>
  <c r="BK637" i="2" s="1"/>
  <c r="BJ653" i="2"/>
  <c r="BK653" i="2" s="1"/>
  <c r="BJ34" i="2"/>
  <c r="BK34" i="2" s="1"/>
  <c r="BJ86" i="2"/>
  <c r="BK86" i="2" s="1"/>
  <c r="BJ150" i="2"/>
  <c r="BK150" i="2" s="1"/>
  <c r="BJ214" i="2"/>
  <c r="BK214" i="2" s="1"/>
  <c r="BJ278" i="2"/>
  <c r="BK278" i="2" s="1"/>
  <c r="BJ342" i="2"/>
  <c r="BK342" i="2" s="1"/>
  <c r="BJ406" i="2"/>
  <c r="BK406" i="2" s="1"/>
  <c r="BJ196" i="2"/>
  <c r="BK196" i="2" s="1"/>
  <c r="BJ232" i="2"/>
  <c r="BK232" i="2" s="1"/>
  <c r="BJ276" i="2"/>
  <c r="BK276" i="2" s="1"/>
  <c r="BJ324" i="2"/>
  <c r="BK324" i="2" s="1"/>
  <c r="BJ360" i="2"/>
  <c r="BK360" i="2" s="1"/>
  <c r="BJ404" i="2"/>
  <c r="BK404" i="2" s="1"/>
  <c r="BJ452" i="2"/>
  <c r="BK452" i="2" s="1"/>
  <c r="BJ488" i="2"/>
  <c r="BK488" i="2" s="1"/>
  <c r="BJ524" i="2"/>
  <c r="BK524" i="2" s="1"/>
  <c r="BJ552" i="2"/>
  <c r="BK552" i="2" s="1"/>
  <c r="BJ584" i="2"/>
  <c r="BK584" i="2" s="1"/>
  <c r="BJ612" i="2"/>
  <c r="BK612" i="2" s="1"/>
  <c r="BJ644" i="2"/>
  <c r="BK644" i="2" s="1"/>
  <c r="BJ668" i="2"/>
  <c r="BK668" i="2" s="1"/>
  <c r="BJ696" i="2"/>
  <c r="BK696" i="2" s="1"/>
  <c r="BJ724" i="2"/>
  <c r="BK724" i="2" s="1"/>
  <c r="BJ748" i="2"/>
  <c r="BK748" i="2" s="1"/>
  <c r="BJ780" i="2"/>
  <c r="BK780" i="2" s="1"/>
  <c r="BJ808" i="2"/>
  <c r="BK808" i="2" s="1"/>
  <c r="BJ840" i="2"/>
  <c r="BK840" i="2" s="1"/>
  <c r="BJ860" i="2"/>
  <c r="BK860" i="2" s="1"/>
  <c r="BJ884" i="2"/>
  <c r="BK884" i="2" s="1"/>
  <c r="BJ904" i="2"/>
  <c r="BK904" i="2" s="1"/>
  <c r="BJ924" i="2"/>
  <c r="BK924" i="2" s="1"/>
  <c r="BJ944" i="2"/>
  <c r="BK944" i="2" s="1"/>
  <c r="BJ960" i="2"/>
  <c r="BK960" i="2" s="1"/>
  <c r="BJ976" i="2"/>
  <c r="BK976" i="2" s="1"/>
  <c r="BJ992" i="2"/>
  <c r="BK992" i="2" s="1"/>
  <c r="BJ1008" i="2"/>
  <c r="BK1008" i="2" s="1"/>
  <c r="BJ1024" i="2"/>
  <c r="BK1024" i="2" s="1"/>
  <c r="BJ1040" i="2"/>
  <c r="BK1040" i="2" s="1"/>
  <c r="BJ1056" i="2"/>
  <c r="BK1056" i="2" s="1"/>
  <c r="BJ1072" i="2"/>
  <c r="BK1072" i="2" s="1"/>
  <c r="BJ1088" i="2"/>
  <c r="BK1088" i="2" s="1"/>
  <c r="BJ1104" i="2"/>
  <c r="BK1104" i="2" s="1"/>
  <c r="BJ1120" i="2"/>
  <c r="BK1120" i="2" s="1"/>
  <c r="BJ1136" i="2"/>
  <c r="BK1136" i="2" s="1"/>
  <c r="BJ1152" i="2"/>
  <c r="BK1152" i="2" s="1"/>
  <c r="BJ1168" i="2"/>
  <c r="BK1168" i="2" s="1"/>
  <c r="BJ1184" i="2"/>
  <c r="BK1184" i="2" s="1"/>
  <c r="BJ1200" i="2"/>
  <c r="BK1200" i="2" s="1"/>
  <c r="BJ1216" i="2"/>
  <c r="BK1216" i="2" s="1"/>
  <c r="BJ1232" i="2"/>
  <c r="BK1232" i="2" s="1"/>
  <c r="BJ1248" i="2"/>
  <c r="BK1248" i="2" s="1"/>
  <c r="BJ1264" i="2"/>
  <c r="BK1264" i="2" s="1"/>
  <c r="BJ1280" i="2"/>
  <c r="BK1280" i="2" s="1"/>
  <c r="BJ1296" i="2"/>
  <c r="BK1296" i="2" s="1"/>
  <c r="BJ1312" i="2"/>
  <c r="BK1312" i="2" s="1"/>
  <c r="BJ1328" i="2"/>
  <c r="BK1328" i="2" s="1"/>
  <c r="BJ1344" i="2"/>
  <c r="BK1344" i="2" s="1"/>
  <c r="BJ1360" i="2"/>
  <c r="BK1360" i="2" s="1"/>
  <c r="BJ1376" i="2"/>
  <c r="BK1376" i="2" s="1"/>
  <c r="BJ1392" i="2"/>
  <c r="BK1392" i="2" s="1"/>
  <c r="BJ1408" i="2"/>
  <c r="BK1408" i="2" s="1"/>
  <c r="BJ1424" i="2"/>
  <c r="BK1424" i="2" s="1"/>
  <c r="BJ1440" i="2"/>
  <c r="BK1440" i="2" s="1"/>
  <c r="BJ1456" i="2"/>
  <c r="BK1456" i="2" s="1"/>
  <c r="BJ1472" i="2"/>
  <c r="BK1472" i="2" s="1"/>
  <c r="BJ1488" i="2"/>
  <c r="BK1488" i="2" s="1"/>
  <c r="BJ1504" i="2"/>
  <c r="BK1504" i="2" s="1"/>
  <c r="BJ1520" i="2"/>
  <c r="BK1520" i="2" s="1"/>
  <c r="BJ1536" i="2"/>
  <c r="BK1536" i="2" s="1"/>
  <c r="BJ1552" i="2"/>
  <c r="BK1552" i="2" s="1"/>
  <c r="BJ1568" i="2"/>
  <c r="BK1568" i="2" s="1"/>
  <c r="BJ1584" i="2"/>
  <c r="BK1584" i="2" s="1"/>
  <c r="BJ1600" i="2"/>
  <c r="BK1600" i="2" s="1"/>
  <c r="BJ1616" i="2"/>
  <c r="BK1616" i="2" s="1"/>
  <c r="BJ1632" i="2"/>
  <c r="BK1632" i="2" s="1"/>
  <c r="BJ1648" i="2"/>
  <c r="BK1648" i="2" s="1"/>
  <c r="BJ1664" i="2"/>
  <c r="BK1664" i="2" s="1"/>
  <c r="BJ1680" i="2"/>
  <c r="BK1680" i="2" s="1"/>
  <c r="BJ1696" i="2"/>
  <c r="BK1696" i="2" s="1"/>
  <c r="BJ1712" i="2"/>
  <c r="BK1712" i="2" s="1"/>
  <c r="BJ1728" i="2"/>
  <c r="BK1728" i="2" s="1"/>
  <c r="BJ1744" i="2"/>
  <c r="BK1744" i="2" s="1"/>
  <c r="BJ1760" i="2"/>
  <c r="BK1760" i="2" s="1"/>
  <c r="BJ1776" i="2"/>
  <c r="BK1776" i="2" s="1"/>
  <c r="BJ1792" i="2"/>
  <c r="BK1792" i="2" s="1"/>
  <c r="BJ1808" i="2"/>
  <c r="BK1808" i="2" s="1"/>
  <c r="BJ1824" i="2"/>
  <c r="BK1824" i="2" s="1"/>
  <c r="BJ1840" i="2"/>
  <c r="BK1840" i="2" s="1"/>
  <c r="BJ1856" i="2"/>
  <c r="BK1856" i="2" s="1"/>
  <c r="BJ1872" i="2"/>
  <c r="BK1872" i="2" s="1"/>
  <c r="BJ1888" i="2"/>
  <c r="BK1888" i="2" s="1"/>
  <c r="BJ1904" i="2"/>
  <c r="BK1904" i="2" s="1"/>
  <c r="BJ1920" i="2"/>
  <c r="BK1920" i="2" s="1"/>
  <c r="BJ1936" i="2"/>
  <c r="BK1936" i="2" s="1"/>
  <c r="BJ1952" i="2"/>
  <c r="BK1952" i="2" s="1"/>
  <c r="BJ1968" i="2"/>
  <c r="BK1968" i="2" s="1"/>
  <c r="BJ1984" i="2"/>
  <c r="BK1984" i="2" s="1"/>
  <c r="BJ2000" i="2"/>
  <c r="BK2000" i="2" s="1"/>
  <c r="BJ2016" i="2"/>
  <c r="BK2016" i="2" s="1"/>
  <c r="BJ2032" i="2"/>
  <c r="BK2032" i="2" s="1"/>
  <c r="BJ2048" i="2"/>
  <c r="BK2048" i="2" s="1"/>
  <c r="BJ2064" i="2"/>
  <c r="BK2064" i="2" s="1"/>
  <c r="BJ2080" i="2"/>
  <c r="BK2080" i="2" s="1"/>
  <c r="BJ2096" i="2"/>
  <c r="BK2096" i="2" s="1"/>
  <c r="BJ2112" i="2"/>
  <c r="BK2112" i="2" s="1"/>
  <c r="BJ2128" i="2"/>
  <c r="BK2128" i="2" s="1"/>
  <c r="BJ657" i="2"/>
  <c r="BK657" i="2" s="1"/>
  <c r="BJ673" i="2"/>
  <c r="BK673" i="2" s="1"/>
  <c r="BJ689" i="2"/>
  <c r="BK689" i="2" s="1"/>
  <c r="BJ705" i="2"/>
  <c r="BK705" i="2" s="1"/>
  <c r="BJ721" i="2"/>
  <c r="BK721" i="2" s="1"/>
  <c r="BJ737" i="2"/>
  <c r="BK737" i="2" s="1"/>
  <c r="BJ753" i="2"/>
  <c r="BK753" i="2" s="1"/>
  <c r="BJ769" i="2"/>
  <c r="BK769" i="2" s="1"/>
  <c r="BJ785" i="2"/>
  <c r="BK785" i="2" s="1"/>
  <c r="BJ801" i="2"/>
  <c r="BK801" i="2" s="1"/>
  <c r="BJ817" i="2"/>
  <c r="BK817" i="2" s="1"/>
  <c r="BJ833" i="2"/>
  <c r="BK833" i="2" s="1"/>
  <c r="BJ849" i="2"/>
  <c r="BK849" i="2" s="1"/>
  <c r="BJ865" i="2"/>
  <c r="BK865" i="2" s="1"/>
  <c r="BJ881" i="2"/>
  <c r="BK881" i="2" s="1"/>
  <c r="BJ897" i="2"/>
  <c r="BK897" i="2" s="1"/>
  <c r="BJ913" i="2"/>
  <c r="BK913" i="2" s="1"/>
  <c r="BJ929" i="2"/>
  <c r="BK929" i="2" s="1"/>
  <c r="BJ945" i="2"/>
  <c r="BK945" i="2" s="1"/>
  <c r="BJ961" i="2"/>
  <c r="BK961" i="2" s="1"/>
  <c r="BJ977" i="2"/>
  <c r="BK977" i="2" s="1"/>
  <c r="BJ993" i="2"/>
  <c r="BK993" i="2" s="1"/>
  <c r="BJ1009" i="2"/>
  <c r="BK1009" i="2" s="1"/>
  <c r="BJ1025" i="2"/>
  <c r="BK1025" i="2" s="1"/>
  <c r="BJ1041" i="2"/>
  <c r="BK1041" i="2" s="1"/>
  <c r="BJ1057" i="2"/>
  <c r="BK1057" i="2" s="1"/>
  <c r="BJ1073" i="2"/>
  <c r="BK1073" i="2" s="1"/>
  <c r="BJ1089" i="2"/>
  <c r="BK1089" i="2" s="1"/>
  <c r="BJ1105" i="2"/>
  <c r="BK1105" i="2" s="1"/>
  <c r="BJ1121" i="2"/>
  <c r="BK1121" i="2" s="1"/>
  <c r="BJ1137" i="2"/>
  <c r="BK1137" i="2" s="1"/>
  <c r="BJ1153" i="2"/>
  <c r="BK1153" i="2" s="1"/>
  <c r="BJ1169" i="2"/>
  <c r="BK1169" i="2" s="1"/>
  <c r="BJ1185" i="2"/>
  <c r="BK1185" i="2" s="1"/>
  <c r="BJ1201" i="2"/>
  <c r="BK1201" i="2" s="1"/>
  <c r="BJ1217" i="2"/>
  <c r="BK1217" i="2" s="1"/>
  <c r="BJ1233" i="2"/>
  <c r="BK1233" i="2" s="1"/>
  <c r="BJ1249" i="2"/>
  <c r="BK1249" i="2" s="1"/>
  <c r="BJ1265" i="2"/>
  <c r="BK1265" i="2" s="1"/>
  <c r="BJ1281" i="2"/>
  <c r="BK1281" i="2" s="1"/>
  <c r="BJ1297" i="2"/>
  <c r="BK1297" i="2" s="1"/>
  <c r="BJ1313" i="2"/>
  <c r="BK1313" i="2" s="1"/>
  <c r="BJ1329" i="2"/>
  <c r="BK1329" i="2" s="1"/>
  <c r="BJ1345" i="2"/>
  <c r="BK1345" i="2" s="1"/>
  <c r="BJ1361" i="2"/>
  <c r="BK1361" i="2" s="1"/>
  <c r="BJ1377" i="2"/>
  <c r="BK1377" i="2" s="1"/>
  <c r="BJ1393" i="2"/>
  <c r="BK1393" i="2" s="1"/>
  <c r="BJ1409" i="2"/>
  <c r="BK1409" i="2" s="1"/>
  <c r="BJ1425" i="2"/>
  <c r="BK1425" i="2" s="1"/>
  <c r="BJ1441" i="2"/>
  <c r="BK1441" i="2" s="1"/>
  <c r="BJ1457" i="2"/>
  <c r="BK1457" i="2" s="1"/>
  <c r="BJ1473" i="2"/>
  <c r="BK1473" i="2" s="1"/>
  <c r="BJ1489" i="2"/>
  <c r="BK1489" i="2" s="1"/>
  <c r="BJ1505" i="2"/>
  <c r="BK1505" i="2" s="1"/>
  <c r="BJ1521" i="2"/>
  <c r="BK1521" i="2" s="1"/>
  <c r="BJ1537" i="2"/>
  <c r="BK1537" i="2" s="1"/>
  <c r="BJ1553" i="2"/>
  <c r="BK1553" i="2" s="1"/>
  <c r="BJ1569" i="2"/>
  <c r="BK1569" i="2" s="1"/>
  <c r="BJ1585" i="2"/>
  <c r="BK1585" i="2" s="1"/>
  <c r="BJ1601" i="2"/>
  <c r="BK1601" i="2" s="1"/>
  <c r="BJ1617" i="2"/>
  <c r="BK1617" i="2" s="1"/>
  <c r="BJ1633" i="2"/>
  <c r="BK1633" i="2" s="1"/>
  <c r="BJ1649" i="2"/>
  <c r="BK1649" i="2" s="1"/>
  <c r="BJ1665" i="2"/>
  <c r="BK1665" i="2" s="1"/>
  <c r="BJ1681" i="2"/>
  <c r="BK1681" i="2" s="1"/>
  <c r="BJ1697" i="2"/>
  <c r="BK1697" i="2" s="1"/>
  <c r="BJ1713" i="2"/>
  <c r="BK1713" i="2" s="1"/>
  <c r="BJ1729" i="2"/>
  <c r="BK1729" i="2" s="1"/>
  <c r="BJ1745" i="2"/>
  <c r="BK1745" i="2" s="1"/>
  <c r="BJ1761" i="2"/>
  <c r="BK1761" i="2" s="1"/>
  <c r="BJ1777" i="2"/>
  <c r="BK1777" i="2" s="1"/>
  <c r="BJ1793" i="2"/>
  <c r="BK1793" i="2" s="1"/>
  <c r="BJ1809" i="2"/>
  <c r="BK1809" i="2" s="1"/>
  <c r="BJ1825" i="2"/>
  <c r="BK1825" i="2" s="1"/>
  <c r="BJ1841" i="2"/>
  <c r="BK1841" i="2" s="1"/>
  <c r="BJ1857" i="2"/>
  <c r="BK1857" i="2" s="1"/>
  <c r="BJ1873" i="2"/>
  <c r="BK1873" i="2" s="1"/>
  <c r="BJ1889" i="2"/>
  <c r="BK1889" i="2" s="1"/>
  <c r="BJ1905" i="2"/>
  <c r="BK1905" i="2" s="1"/>
  <c r="BJ1921" i="2"/>
  <c r="BK1921" i="2" s="1"/>
  <c r="BJ1937" i="2"/>
  <c r="BK1937" i="2" s="1"/>
  <c r="BJ1953" i="2"/>
  <c r="BK1953" i="2" s="1"/>
  <c r="BJ1969" i="2"/>
  <c r="BK1969" i="2" s="1"/>
  <c r="BJ1985" i="2"/>
  <c r="BK1985" i="2" s="1"/>
  <c r="BJ2001" i="2"/>
  <c r="BK2001" i="2" s="1"/>
  <c r="BJ2017" i="2"/>
  <c r="BK2017" i="2" s="1"/>
  <c r="BJ2033" i="2"/>
  <c r="BK2033" i="2" s="1"/>
  <c r="BJ2049" i="2"/>
  <c r="BK2049" i="2" s="1"/>
  <c r="BJ2065" i="2"/>
  <c r="BK2065" i="2" s="1"/>
  <c r="BJ2081" i="2"/>
  <c r="BK2081" i="2" s="1"/>
  <c r="BJ2097" i="2"/>
  <c r="BK2097" i="2" s="1"/>
  <c r="BJ2113" i="2"/>
  <c r="BK2113" i="2" s="1"/>
  <c r="BJ2129" i="2"/>
  <c r="BK2129" i="2" s="1"/>
  <c r="BJ30" i="2"/>
  <c r="BK30" i="2" s="1"/>
  <c r="BJ62" i="2"/>
  <c r="BK62" i="2" s="1"/>
  <c r="BJ94" i="2"/>
  <c r="BK94" i="2" s="1"/>
  <c r="BJ122" i="2"/>
  <c r="BK122" i="2" s="1"/>
  <c r="BJ154" i="2"/>
  <c r="BK154" i="2" s="1"/>
  <c r="BJ178" i="2"/>
  <c r="BK178" i="2" s="1"/>
  <c r="BJ206" i="2"/>
  <c r="BK206" i="2" s="1"/>
  <c r="BJ234" i="2"/>
  <c r="BK234" i="2" s="1"/>
  <c r="BJ258" i="2"/>
  <c r="BK258" i="2" s="1"/>
  <c r="BJ290" i="2"/>
  <c r="BK290" i="2" s="1"/>
  <c r="BJ318" i="2"/>
  <c r="BK318" i="2" s="1"/>
  <c r="BJ338" i="2"/>
  <c r="BK338" i="2" s="1"/>
  <c r="BJ362" i="2"/>
  <c r="BK362" i="2" s="1"/>
  <c r="BJ382" i="2"/>
  <c r="BK382" i="2" s="1"/>
  <c r="BJ402" i="2"/>
  <c r="BK402" i="2" s="1"/>
  <c r="BJ426" i="2"/>
  <c r="BK426" i="2" s="1"/>
  <c r="BJ442" i="2"/>
  <c r="BK442" i="2" s="1"/>
  <c r="BJ458" i="2"/>
  <c r="BK458" i="2" s="1"/>
  <c r="BJ474" i="2"/>
  <c r="BK474" i="2" s="1"/>
  <c r="BJ490" i="2"/>
  <c r="BK490" i="2" s="1"/>
  <c r="BJ506" i="2"/>
  <c r="BK506" i="2" s="1"/>
  <c r="BJ522" i="2"/>
  <c r="BK522" i="2" s="1"/>
  <c r="BJ538" i="2"/>
  <c r="BK538" i="2" s="1"/>
  <c r="BJ554" i="2"/>
  <c r="BK554" i="2" s="1"/>
  <c r="BJ570" i="2"/>
  <c r="BK570" i="2" s="1"/>
  <c r="BJ586" i="2"/>
  <c r="BK586" i="2" s="1"/>
  <c r="BJ602" i="2"/>
  <c r="BK602" i="2" s="1"/>
  <c r="BJ618" i="2"/>
  <c r="BK618" i="2" s="1"/>
  <c r="BJ634" i="2"/>
  <c r="BK634" i="2" s="1"/>
  <c r="BJ650" i="2"/>
  <c r="BK650" i="2" s="1"/>
  <c r="BJ666" i="2"/>
  <c r="BK666" i="2" s="1"/>
  <c r="BJ682" i="2"/>
  <c r="BK682" i="2" s="1"/>
  <c r="BJ698" i="2"/>
  <c r="BK698" i="2" s="1"/>
  <c r="BJ714" i="2"/>
  <c r="BK714" i="2" s="1"/>
  <c r="BJ730" i="2"/>
  <c r="BK730" i="2" s="1"/>
  <c r="BJ746" i="2"/>
  <c r="BK746" i="2" s="1"/>
  <c r="BJ762" i="2"/>
  <c r="BK762" i="2" s="1"/>
  <c r="BJ778" i="2"/>
  <c r="BK778" i="2" s="1"/>
  <c r="BJ794" i="2"/>
  <c r="BK794" i="2" s="1"/>
  <c r="BJ810" i="2"/>
  <c r="BK810" i="2" s="1"/>
  <c r="BJ826" i="2"/>
  <c r="BK826" i="2" s="1"/>
  <c r="BJ842" i="2"/>
  <c r="BK842" i="2" s="1"/>
  <c r="BJ858" i="2"/>
  <c r="BK858" i="2" s="1"/>
  <c r="BJ874" i="2"/>
  <c r="BK874" i="2" s="1"/>
  <c r="BJ890" i="2"/>
  <c r="BK890" i="2" s="1"/>
  <c r="BJ906" i="2"/>
  <c r="BK906" i="2" s="1"/>
  <c r="BJ922" i="2"/>
  <c r="BK922" i="2" s="1"/>
  <c r="BJ938" i="2"/>
  <c r="BK938" i="2" s="1"/>
  <c r="BJ954" i="2"/>
  <c r="BK954" i="2" s="1"/>
  <c r="BJ970" i="2"/>
  <c r="BK970" i="2" s="1"/>
  <c r="BJ986" i="2"/>
  <c r="BK986" i="2" s="1"/>
  <c r="BJ1002" i="2"/>
  <c r="BK1002" i="2" s="1"/>
  <c r="BJ1018" i="2"/>
  <c r="BK1018" i="2" s="1"/>
  <c r="BJ1034" i="2"/>
  <c r="BK1034" i="2" s="1"/>
  <c r="BJ1050" i="2"/>
  <c r="BK1050" i="2" s="1"/>
  <c r="BJ1066" i="2"/>
  <c r="BK1066" i="2" s="1"/>
  <c r="BJ1082" i="2"/>
  <c r="BK1082" i="2" s="1"/>
  <c r="BJ1098" i="2"/>
  <c r="BK1098" i="2" s="1"/>
  <c r="BJ1114" i="2"/>
  <c r="BK1114" i="2" s="1"/>
  <c r="BJ1130" i="2"/>
  <c r="BK1130" i="2" s="1"/>
  <c r="BJ1146" i="2"/>
  <c r="BK1146" i="2" s="1"/>
  <c r="BJ1162" i="2"/>
  <c r="BK1162" i="2" s="1"/>
  <c r="BJ1178" i="2"/>
  <c r="BK1178" i="2" s="1"/>
  <c r="BJ1194" i="2"/>
  <c r="BK1194" i="2" s="1"/>
  <c r="BJ1210" i="2"/>
  <c r="BK1210" i="2" s="1"/>
  <c r="BJ1226" i="2"/>
  <c r="BK1226" i="2" s="1"/>
  <c r="BJ1242" i="2"/>
  <c r="BK1242" i="2" s="1"/>
  <c r="BJ1258" i="2"/>
  <c r="BK1258" i="2" s="1"/>
  <c r="BJ1274" i="2"/>
  <c r="BK1274" i="2" s="1"/>
  <c r="BJ1290" i="2"/>
  <c r="BK1290" i="2" s="1"/>
  <c r="BJ1306" i="2"/>
  <c r="BK1306" i="2" s="1"/>
  <c r="BJ1322" i="2"/>
  <c r="BK1322" i="2" s="1"/>
  <c r="BJ1338" i="2"/>
  <c r="BK1338" i="2" s="1"/>
  <c r="BJ1354" i="2"/>
  <c r="BK1354" i="2" s="1"/>
  <c r="BJ1370" i="2"/>
  <c r="BK1370" i="2" s="1"/>
  <c r="BJ1386" i="2"/>
  <c r="BK1386" i="2" s="1"/>
  <c r="BJ1402" i="2"/>
  <c r="BK1402" i="2" s="1"/>
  <c r="BJ1418" i="2"/>
  <c r="BK1418" i="2" s="1"/>
  <c r="BJ1434" i="2"/>
  <c r="BK1434" i="2" s="1"/>
  <c r="BJ1450" i="2"/>
  <c r="BK1450" i="2" s="1"/>
  <c r="BJ1466" i="2"/>
  <c r="BK1466" i="2" s="1"/>
  <c r="BJ1482" i="2"/>
  <c r="BK1482" i="2" s="1"/>
  <c r="BJ1498" i="2"/>
  <c r="BK1498" i="2" s="1"/>
  <c r="BJ1514" i="2"/>
  <c r="BK1514" i="2" s="1"/>
  <c r="BJ1530" i="2"/>
  <c r="BK1530" i="2" s="1"/>
  <c r="BJ1546" i="2"/>
  <c r="BK1546" i="2" s="1"/>
  <c r="BJ1562" i="2"/>
  <c r="BK1562" i="2" s="1"/>
  <c r="BJ1578" i="2"/>
  <c r="BK1578" i="2" s="1"/>
  <c r="BJ1594" i="2"/>
  <c r="BK1594" i="2" s="1"/>
  <c r="BJ1610" i="2"/>
  <c r="BK1610" i="2" s="1"/>
  <c r="BJ1626" i="2"/>
  <c r="BK1626" i="2" s="1"/>
  <c r="BJ1642" i="2"/>
  <c r="BK1642" i="2" s="1"/>
  <c r="BJ1658" i="2"/>
  <c r="BK1658" i="2" s="1"/>
  <c r="BJ1674" i="2"/>
  <c r="BK1674" i="2" s="1"/>
  <c r="BJ1690" i="2"/>
  <c r="BK1690" i="2" s="1"/>
  <c r="BJ1706" i="2"/>
  <c r="BK1706" i="2" s="1"/>
  <c r="BJ1722" i="2"/>
  <c r="BK1722" i="2" s="1"/>
  <c r="BJ1738" i="2"/>
  <c r="BK1738" i="2" s="1"/>
  <c r="BJ1754" i="2"/>
  <c r="BK1754" i="2" s="1"/>
  <c r="BJ1770" i="2"/>
  <c r="BK1770" i="2" s="1"/>
  <c r="BJ1786" i="2"/>
  <c r="BK1786" i="2" s="1"/>
  <c r="BJ1802" i="2"/>
  <c r="BK1802" i="2" s="1"/>
  <c r="BJ1818" i="2"/>
  <c r="BK1818" i="2" s="1"/>
  <c r="BJ1834" i="2"/>
  <c r="BK1834" i="2" s="1"/>
  <c r="BM2130" i="2"/>
  <c r="BN2130" i="2" s="1"/>
  <c r="BJ2130" i="2"/>
  <c r="BK2130" i="2" s="1"/>
  <c r="BM2122" i="2"/>
  <c r="BN2122" i="2" s="1"/>
  <c r="BJ2122" i="2"/>
  <c r="BK2122" i="2" s="1"/>
  <c r="BM2110" i="2"/>
  <c r="BN2110" i="2" s="1"/>
  <c r="BJ2110" i="2"/>
  <c r="BK2110" i="2" s="1"/>
  <c r="BM2098" i="2"/>
  <c r="BN2098" i="2" s="1"/>
  <c r="BJ2098" i="2"/>
  <c r="BK2098" i="2" s="1"/>
  <c r="BM2086" i="2"/>
  <c r="BN2086" i="2" s="1"/>
  <c r="BJ2086" i="2"/>
  <c r="BK2086" i="2" s="1"/>
  <c r="BM2074" i="2"/>
  <c r="BN2074" i="2" s="1"/>
  <c r="BJ2074" i="2"/>
  <c r="BK2074" i="2" s="1"/>
  <c r="BM2062" i="2"/>
  <c r="BN2062" i="2" s="1"/>
  <c r="BJ2062" i="2"/>
  <c r="BK2062" i="2" s="1"/>
  <c r="BM2050" i="2"/>
  <c r="BN2050" i="2" s="1"/>
  <c r="BJ2050" i="2"/>
  <c r="BK2050" i="2" s="1"/>
  <c r="BM2038" i="2"/>
  <c r="BN2038" i="2" s="1"/>
  <c r="BJ2038" i="2"/>
  <c r="BK2038" i="2" s="1"/>
  <c r="BM2026" i="2"/>
  <c r="BN2026" i="2" s="1"/>
  <c r="BJ2026" i="2"/>
  <c r="BK2026" i="2" s="1"/>
  <c r="BM2010" i="2"/>
  <c r="BN2010" i="2" s="1"/>
  <c r="BJ2010" i="2"/>
  <c r="BK2010" i="2" s="1"/>
  <c r="BM1998" i="2"/>
  <c r="BN1998" i="2" s="1"/>
  <c r="BJ1998" i="2"/>
  <c r="BK1998" i="2" s="1"/>
  <c r="BM1982" i="2"/>
  <c r="BN1982" i="2" s="1"/>
  <c r="BJ1982" i="2"/>
  <c r="BK1982" i="2" s="1"/>
  <c r="BM1970" i="2"/>
  <c r="BN1970" i="2" s="1"/>
  <c r="BJ1970" i="2"/>
  <c r="BK1970" i="2" s="1"/>
  <c r="BM1954" i="2"/>
  <c r="BN1954" i="2" s="1"/>
  <c r="BJ1954" i="2"/>
  <c r="BK1954" i="2" s="1"/>
  <c r="BM1938" i="2"/>
  <c r="BN1938" i="2" s="1"/>
  <c r="BJ1938" i="2"/>
  <c r="BK1938" i="2" s="1"/>
  <c r="BM1922" i="2"/>
  <c r="BN1922" i="2" s="1"/>
  <c r="BJ1922" i="2"/>
  <c r="BK1922" i="2" s="1"/>
  <c r="BM1906" i="2"/>
  <c r="BN1906" i="2" s="1"/>
  <c r="BJ1906" i="2"/>
  <c r="BK1906" i="2" s="1"/>
  <c r="BM1890" i="2"/>
  <c r="BN1890" i="2" s="1"/>
  <c r="BJ1890" i="2"/>
  <c r="BK1890" i="2" s="1"/>
  <c r="BM1874" i="2"/>
  <c r="BN1874" i="2" s="1"/>
  <c r="BJ1874" i="2"/>
  <c r="BK1874" i="2" s="1"/>
  <c r="BM1862" i="2"/>
  <c r="BN1862" i="2" s="1"/>
  <c r="BJ1862" i="2"/>
  <c r="BK1862" i="2" s="1"/>
  <c r="BM302" i="2"/>
  <c r="BN302" i="2" s="1"/>
  <c r="BJ302" i="2"/>
  <c r="BK302" i="2" s="1"/>
  <c r="BM238" i="2"/>
  <c r="BN238" i="2" s="1"/>
  <c r="BJ238" i="2"/>
  <c r="BK238" i="2" s="1"/>
  <c r="BM174" i="2"/>
  <c r="BN174" i="2" s="1"/>
  <c r="BJ174" i="2"/>
  <c r="BK174" i="2" s="1"/>
  <c r="BM146" i="2"/>
  <c r="BN146" i="2" s="1"/>
  <c r="BJ146" i="2"/>
  <c r="BK146" i="2" s="1"/>
  <c r="BM110" i="2"/>
  <c r="BN110" i="2" s="1"/>
  <c r="BJ110" i="2"/>
  <c r="BK110" i="2" s="1"/>
  <c r="BM74" i="2"/>
  <c r="BN74" i="2" s="1"/>
  <c r="BJ74" i="2"/>
  <c r="BK74" i="2" s="1"/>
  <c r="BM14" i="2"/>
  <c r="BN14" i="2" s="1"/>
  <c r="BJ14" i="2"/>
  <c r="BK14" i="2" s="1"/>
  <c r="BJ7" i="2"/>
  <c r="BK7" i="2" s="1"/>
  <c r="BJ39" i="2"/>
  <c r="BK39" i="2" s="1"/>
  <c r="BJ32" i="2"/>
  <c r="BK32" i="2" s="1"/>
  <c r="BJ96" i="2"/>
  <c r="BK96" i="2" s="1"/>
  <c r="BJ160" i="2"/>
  <c r="BK160" i="2" s="1"/>
  <c r="BJ224" i="2"/>
  <c r="BK224" i="2" s="1"/>
  <c r="BJ288" i="2"/>
  <c r="BK288" i="2" s="1"/>
  <c r="BJ352" i="2"/>
  <c r="BK352" i="2" s="1"/>
  <c r="BJ416" i="2"/>
  <c r="BK416" i="2" s="1"/>
  <c r="BJ480" i="2"/>
  <c r="BK480" i="2" s="1"/>
  <c r="BJ544" i="2"/>
  <c r="BK544" i="2" s="1"/>
  <c r="BJ608" i="2"/>
  <c r="BK608" i="2" s="1"/>
  <c r="BJ672" i="2"/>
  <c r="BK672" i="2" s="1"/>
  <c r="BJ736" i="2"/>
  <c r="BK736" i="2" s="1"/>
  <c r="BJ800" i="2"/>
  <c r="BK800" i="2" s="1"/>
  <c r="BJ864" i="2"/>
  <c r="BK864" i="2" s="1"/>
  <c r="BJ928" i="2"/>
  <c r="BK928" i="2" s="1"/>
  <c r="BJ17" i="2"/>
  <c r="BK17" i="2" s="1"/>
  <c r="BJ33" i="2"/>
  <c r="BK33" i="2" s="1"/>
  <c r="BJ49" i="2"/>
  <c r="BK49" i="2" s="1"/>
  <c r="BJ65" i="2"/>
  <c r="BK65" i="2" s="1"/>
  <c r="BJ81" i="2"/>
  <c r="BK81" i="2" s="1"/>
  <c r="BJ97" i="2"/>
  <c r="BK97" i="2" s="1"/>
  <c r="BJ113" i="2"/>
  <c r="BK113" i="2" s="1"/>
  <c r="BJ129" i="2"/>
  <c r="BK129" i="2" s="1"/>
  <c r="BJ145" i="2"/>
  <c r="BK145" i="2" s="1"/>
  <c r="BJ161" i="2"/>
  <c r="BK161" i="2" s="1"/>
  <c r="BJ177" i="2"/>
  <c r="BK177" i="2" s="1"/>
  <c r="BJ193" i="2"/>
  <c r="BK193" i="2" s="1"/>
  <c r="BJ209" i="2"/>
  <c r="BK209" i="2" s="1"/>
  <c r="BJ225" i="2"/>
  <c r="BK225" i="2" s="1"/>
  <c r="BJ241" i="2"/>
  <c r="BK241" i="2" s="1"/>
  <c r="BJ257" i="2"/>
  <c r="BK257" i="2" s="1"/>
  <c r="BJ273" i="2"/>
  <c r="BK273" i="2" s="1"/>
  <c r="BJ289" i="2"/>
  <c r="BK289" i="2" s="1"/>
  <c r="BJ305" i="2"/>
  <c r="BK305" i="2" s="1"/>
  <c r="BJ321" i="2"/>
  <c r="BK321" i="2" s="1"/>
  <c r="BJ337" i="2"/>
  <c r="BK337" i="2" s="1"/>
  <c r="BJ353" i="2"/>
  <c r="BK353" i="2" s="1"/>
  <c r="BJ369" i="2"/>
  <c r="BK369" i="2" s="1"/>
  <c r="BJ385" i="2"/>
  <c r="BK385" i="2" s="1"/>
  <c r="BJ401" i="2"/>
  <c r="BK401" i="2" s="1"/>
  <c r="BJ417" i="2"/>
  <c r="BK417" i="2" s="1"/>
  <c r="BJ433" i="2"/>
  <c r="BK433" i="2" s="1"/>
  <c r="BJ449" i="2"/>
  <c r="BK449" i="2" s="1"/>
  <c r="BJ465" i="2"/>
  <c r="BK465" i="2" s="1"/>
  <c r="BJ481" i="2"/>
  <c r="BK481" i="2" s="1"/>
  <c r="BJ497" i="2"/>
  <c r="BK497" i="2" s="1"/>
  <c r="BJ513" i="2"/>
  <c r="BK513" i="2" s="1"/>
  <c r="BJ529" i="2"/>
  <c r="BK529" i="2" s="1"/>
  <c r="BJ545" i="2"/>
  <c r="BK545" i="2" s="1"/>
  <c r="BJ561" i="2"/>
  <c r="BK561" i="2" s="1"/>
  <c r="BJ577" i="2"/>
  <c r="BK577" i="2" s="1"/>
  <c r="BJ593" i="2"/>
  <c r="BK593" i="2" s="1"/>
  <c r="BJ609" i="2"/>
  <c r="BK609" i="2" s="1"/>
  <c r="BJ625" i="2"/>
  <c r="BK625" i="2" s="1"/>
  <c r="BJ641" i="2"/>
  <c r="BK641" i="2" s="1"/>
  <c r="BJ6" i="2"/>
  <c r="BK6" i="2" s="1"/>
  <c r="BJ38" i="2"/>
  <c r="BK38" i="2" s="1"/>
  <c r="BJ102" i="2"/>
  <c r="BK102" i="2" s="1"/>
  <c r="BJ166" i="2"/>
  <c r="BK166" i="2" s="1"/>
  <c r="BJ230" i="2"/>
  <c r="BK230" i="2" s="1"/>
  <c r="BJ294" i="2"/>
  <c r="BK294" i="2" s="1"/>
  <c r="BJ358" i="2"/>
  <c r="BK358" i="2" s="1"/>
  <c r="BJ422" i="2"/>
  <c r="BK422" i="2" s="1"/>
  <c r="BJ204" i="2"/>
  <c r="BK204" i="2" s="1"/>
  <c r="BJ248" i="2"/>
  <c r="BK248" i="2" s="1"/>
  <c r="BJ284" i="2"/>
  <c r="BK284" i="2" s="1"/>
  <c r="BJ332" i="2"/>
  <c r="BK332" i="2" s="1"/>
  <c r="BJ376" i="2"/>
  <c r="BK376" i="2" s="1"/>
  <c r="BJ412" i="2"/>
  <c r="BK412" i="2" s="1"/>
  <c r="BJ460" i="2"/>
  <c r="BK460" i="2" s="1"/>
  <c r="BJ504" i="2"/>
  <c r="BK504" i="2" s="1"/>
  <c r="BJ532" i="2"/>
  <c r="BK532" i="2" s="1"/>
  <c r="BJ556" i="2"/>
  <c r="BK556" i="2" s="1"/>
  <c r="BJ588" i="2"/>
  <c r="BK588" i="2" s="1"/>
  <c r="BJ616" i="2"/>
  <c r="BK616" i="2" s="1"/>
  <c r="BJ648" i="2"/>
  <c r="BK648" i="2" s="1"/>
  <c r="BJ676" i="2"/>
  <c r="BK676" i="2" s="1"/>
  <c r="BJ708" i="2"/>
  <c r="BK708" i="2" s="1"/>
  <c r="BJ732" i="2"/>
  <c r="BK732" i="2" s="1"/>
  <c r="BJ760" i="2"/>
  <c r="BK760" i="2" s="1"/>
  <c r="BJ788" i="2"/>
  <c r="BK788" i="2" s="1"/>
  <c r="BJ812" i="2"/>
  <c r="BK812" i="2" s="1"/>
  <c r="BJ844" i="2"/>
  <c r="BK844" i="2" s="1"/>
  <c r="BJ868" i="2"/>
  <c r="BK868" i="2" s="1"/>
  <c r="BJ888" i="2"/>
  <c r="BK888" i="2" s="1"/>
  <c r="BJ908" i="2"/>
  <c r="BK908" i="2" s="1"/>
  <c r="BJ932" i="2"/>
  <c r="BK932" i="2" s="1"/>
  <c r="BJ948" i="2"/>
  <c r="BK948" i="2" s="1"/>
  <c r="BJ964" i="2"/>
  <c r="BK964" i="2" s="1"/>
  <c r="BJ980" i="2"/>
  <c r="BK980" i="2" s="1"/>
  <c r="BJ996" i="2"/>
  <c r="BK996" i="2" s="1"/>
  <c r="BJ1012" i="2"/>
  <c r="BK1012" i="2" s="1"/>
  <c r="BJ1028" i="2"/>
  <c r="BK1028" i="2" s="1"/>
  <c r="BJ1044" i="2"/>
  <c r="BK1044" i="2" s="1"/>
  <c r="BJ1060" i="2"/>
  <c r="BK1060" i="2" s="1"/>
  <c r="BJ1076" i="2"/>
  <c r="BK1076" i="2" s="1"/>
  <c r="BJ1092" i="2"/>
  <c r="BK1092" i="2" s="1"/>
  <c r="BJ1108" i="2"/>
  <c r="BK1108" i="2" s="1"/>
  <c r="BJ1124" i="2"/>
  <c r="BK1124" i="2" s="1"/>
  <c r="BJ1140" i="2"/>
  <c r="BK1140" i="2" s="1"/>
  <c r="BJ1156" i="2"/>
  <c r="BK1156" i="2" s="1"/>
  <c r="BJ1172" i="2"/>
  <c r="BK1172" i="2" s="1"/>
  <c r="BJ1188" i="2"/>
  <c r="BK1188" i="2" s="1"/>
  <c r="BJ1204" i="2"/>
  <c r="BK1204" i="2" s="1"/>
  <c r="BJ1220" i="2"/>
  <c r="BK1220" i="2" s="1"/>
  <c r="BJ1236" i="2"/>
  <c r="BK1236" i="2" s="1"/>
  <c r="BJ1252" i="2"/>
  <c r="BK1252" i="2" s="1"/>
  <c r="BJ1268" i="2"/>
  <c r="BK1268" i="2" s="1"/>
  <c r="BJ1284" i="2"/>
  <c r="BK1284" i="2" s="1"/>
  <c r="BJ1300" i="2"/>
  <c r="BK1300" i="2" s="1"/>
  <c r="BJ1316" i="2"/>
  <c r="BK1316" i="2" s="1"/>
  <c r="BJ1332" i="2"/>
  <c r="BK1332" i="2" s="1"/>
  <c r="BJ1348" i="2"/>
  <c r="BK1348" i="2" s="1"/>
  <c r="BJ1364" i="2"/>
  <c r="BK1364" i="2" s="1"/>
  <c r="BJ1380" i="2"/>
  <c r="BK1380" i="2" s="1"/>
  <c r="BJ1396" i="2"/>
  <c r="BK1396" i="2" s="1"/>
  <c r="BJ1412" i="2"/>
  <c r="BK1412" i="2" s="1"/>
  <c r="BJ1428" i="2"/>
  <c r="BK1428" i="2" s="1"/>
  <c r="BJ1444" i="2"/>
  <c r="BK1444" i="2" s="1"/>
  <c r="BJ1460" i="2"/>
  <c r="BK1460" i="2" s="1"/>
  <c r="BJ1476" i="2"/>
  <c r="BK1476" i="2" s="1"/>
  <c r="BJ1492" i="2"/>
  <c r="BK1492" i="2" s="1"/>
  <c r="BJ1508" i="2"/>
  <c r="BK1508" i="2" s="1"/>
  <c r="BJ1524" i="2"/>
  <c r="BK1524" i="2" s="1"/>
  <c r="BJ1540" i="2"/>
  <c r="BK1540" i="2" s="1"/>
  <c r="BJ1556" i="2"/>
  <c r="BK1556" i="2" s="1"/>
  <c r="BJ1572" i="2"/>
  <c r="BK1572" i="2" s="1"/>
  <c r="BJ1588" i="2"/>
  <c r="BK1588" i="2" s="1"/>
  <c r="BJ1604" i="2"/>
  <c r="BK1604" i="2" s="1"/>
  <c r="BJ1620" i="2"/>
  <c r="BK1620" i="2" s="1"/>
  <c r="BJ1636" i="2"/>
  <c r="BK1636" i="2" s="1"/>
  <c r="BJ1652" i="2"/>
  <c r="BK1652" i="2" s="1"/>
  <c r="BJ1668" i="2"/>
  <c r="BK1668" i="2" s="1"/>
  <c r="BJ1684" i="2"/>
  <c r="BK1684" i="2" s="1"/>
  <c r="BJ1700" i="2"/>
  <c r="BK1700" i="2" s="1"/>
  <c r="BJ1716" i="2"/>
  <c r="BK1716" i="2" s="1"/>
  <c r="BJ1732" i="2"/>
  <c r="BK1732" i="2" s="1"/>
  <c r="BJ1748" i="2"/>
  <c r="BK1748" i="2" s="1"/>
  <c r="BJ1764" i="2"/>
  <c r="BK1764" i="2" s="1"/>
  <c r="BJ1780" i="2"/>
  <c r="BK1780" i="2" s="1"/>
  <c r="BJ1796" i="2"/>
  <c r="BK1796" i="2" s="1"/>
  <c r="BJ1812" i="2"/>
  <c r="BK1812" i="2" s="1"/>
  <c r="BJ1828" i="2"/>
  <c r="BK1828" i="2" s="1"/>
  <c r="BJ1844" i="2"/>
  <c r="BK1844" i="2" s="1"/>
  <c r="BJ1860" i="2"/>
  <c r="BK1860" i="2" s="1"/>
  <c r="BJ1876" i="2"/>
  <c r="BK1876" i="2" s="1"/>
  <c r="BJ1892" i="2"/>
  <c r="BK1892" i="2" s="1"/>
  <c r="BJ1908" i="2"/>
  <c r="BK1908" i="2" s="1"/>
  <c r="BJ1924" i="2"/>
  <c r="BK1924" i="2" s="1"/>
  <c r="BJ1940" i="2"/>
  <c r="BK1940" i="2" s="1"/>
  <c r="BJ1956" i="2"/>
  <c r="BK1956" i="2" s="1"/>
  <c r="BJ1972" i="2"/>
  <c r="BK1972" i="2" s="1"/>
  <c r="BJ1988" i="2"/>
  <c r="BK1988" i="2" s="1"/>
  <c r="BJ2004" i="2"/>
  <c r="BK2004" i="2" s="1"/>
  <c r="BJ2020" i="2"/>
  <c r="BK2020" i="2" s="1"/>
  <c r="BJ2036" i="2"/>
  <c r="BK2036" i="2" s="1"/>
  <c r="BJ2052" i="2"/>
  <c r="BK2052" i="2" s="1"/>
  <c r="BJ2068" i="2"/>
  <c r="BK2068" i="2" s="1"/>
  <c r="BJ2084" i="2"/>
  <c r="BK2084" i="2" s="1"/>
  <c r="BJ2100" i="2"/>
  <c r="BK2100" i="2" s="1"/>
  <c r="BJ2116" i="2"/>
  <c r="BK2116" i="2" s="1"/>
  <c r="BJ2132" i="2"/>
  <c r="BK2132" i="2" s="1"/>
  <c r="BJ661" i="2"/>
  <c r="BK661" i="2" s="1"/>
  <c r="BJ677" i="2"/>
  <c r="BK677" i="2" s="1"/>
  <c r="BJ693" i="2"/>
  <c r="BK693" i="2" s="1"/>
  <c r="BJ709" i="2"/>
  <c r="BK709" i="2" s="1"/>
  <c r="BJ725" i="2"/>
  <c r="BK725" i="2" s="1"/>
  <c r="BJ741" i="2"/>
  <c r="BK741" i="2" s="1"/>
  <c r="BJ757" i="2"/>
  <c r="BK757" i="2" s="1"/>
  <c r="BJ773" i="2"/>
  <c r="BK773" i="2" s="1"/>
  <c r="BJ789" i="2"/>
  <c r="BK789" i="2" s="1"/>
  <c r="BJ805" i="2"/>
  <c r="BK805" i="2" s="1"/>
  <c r="BJ821" i="2"/>
  <c r="BK821" i="2" s="1"/>
  <c r="BJ837" i="2"/>
  <c r="BK837" i="2" s="1"/>
  <c r="BJ853" i="2"/>
  <c r="BK853" i="2" s="1"/>
  <c r="BJ869" i="2"/>
  <c r="BK869" i="2" s="1"/>
  <c r="BJ885" i="2"/>
  <c r="BK885" i="2" s="1"/>
  <c r="BJ901" i="2"/>
  <c r="BK901" i="2" s="1"/>
  <c r="BJ917" i="2"/>
  <c r="BK917" i="2" s="1"/>
  <c r="BJ933" i="2"/>
  <c r="BK933" i="2" s="1"/>
  <c r="BJ949" i="2"/>
  <c r="BK949" i="2" s="1"/>
  <c r="BJ965" i="2"/>
  <c r="BK965" i="2" s="1"/>
  <c r="BJ981" i="2"/>
  <c r="BK981" i="2" s="1"/>
  <c r="BJ997" i="2"/>
  <c r="BK997" i="2" s="1"/>
  <c r="BJ1013" i="2"/>
  <c r="BK1013" i="2" s="1"/>
  <c r="BJ1029" i="2"/>
  <c r="BK1029" i="2" s="1"/>
  <c r="BJ1045" i="2"/>
  <c r="BK1045" i="2" s="1"/>
  <c r="BJ1061" i="2"/>
  <c r="BK1061" i="2" s="1"/>
  <c r="BJ1077" i="2"/>
  <c r="BK1077" i="2" s="1"/>
  <c r="BJ1093" i="2"/>
  <c r="BK1093" i="2" s="1"/>
  <c r="BJ1109" i="2"/>
  <c r="BK1109" i="2" s="1"/>
  <c r="BJ1125" i="2"/>
  <c r="BK1125" i="2" s="1"/>
  <c r="BJ1141" i="2"/>
  <c r="BK1141" i="2" s="1"/>
  <c r="BJ1157" i="2"/>
  <c r="BK1157" i="2" s="1"/>
  <c r="BJ1173" i="2"/>
  <c r="BK1173" i="2" s="1"/>
  <c r="BJ1189" i="2"/>
  <c r="BK1189" i="2" s="1"/>
  <c r="BJ1205" i="2"/>
  <c r="BK1205" i="2" s="1"/>
  <c r="BJ1221" i="2"/>
  <c r="BK1221" i="2" s="1"/>
  <c r="BJ1237" i="2"/>
  <c r="BK1237" i="2" s="1"/>
  <c r="BJ1253" i="2"/>
  <c r="BK1253" i="2" s="1"/>
  <c r="BJ1269" i="2"/>
  <c r="BK1269" i="2" s="1"/>
  <c r="BJ1285" i="2"/>
  <c r="BK1285" i="2" s="1"/>
  <c r="BJ1301" i="2"/>
  <c r="BK1301" i="2" s="1"/>
  <c r="BJ1317" i="2"/>
  <c r="BK1317" i="2" s="1"/>
  <c r="BJ1333" i="2"/>
  <c r="BK1333" i="2" s="1"/>
  <c r="BJ1349" i="2"/>
  <c r="BK1349" i="2" s="1"/>
  <c r="BJ1365" i="2"/>
  <c r="BK1365" i="2" s="1"/>
  <c r="BJ1381" i="2"/>
  <c r="BK1381" i="2" s="1"/>
  <c r="BJ1397" i="2"/>
  <c r="BK1397" i="2" s="1"/>
  <c r="BJ1413" i="2"/>
  <c r="BK1413" i="2" s="1"/>
  <c r="BJ1429" i="2"/>
  <c r="BK1429" i="2" s="1"/>
  <c r="BJ1445" i="2"/>
  <c r="BK1445" i="2" s="1"/>
  <c r="BJ1461" i="2"/>
  <c r="BK1461" i="2" s="1"/>
  <c r="BJ1477" i="2"/>
  <c r="BK1477" i="2" s="1"/>
  <c r="BJ1493" i="2"/>
  <c r="BK1493" i="2" s="1"/>
  <c r="BJ1509" i="2"/>
  <c r="BK1509" i="2" s="1"/>
  <c r="BJ1525" i="2"/>
  <c r="BK1525" i="2" s="1"/>
  <c r="BJ1541" i="2"/>
  <c r="BK1541" i="2" s="1"/>
  <c r="BJ1557" i="2"/>
  <c r="BK1557" i="2" s="1"/>
  <c r="BJ1573" i="2"/>
  <c r="BK1573" i="2" s="1"/>
  <c r="BJ1589" i="2"/>
  <c r="BK1589" i="2" s="1"/>
  <c r="BJ1605" i="2"/>
  <c r="BK1605" i="2" s="1"/>
  <c r="BJ1621" i="2"/>
  <c r="BK1621" i="2" s="1"/>
  <c r="BJ1637" i="2"/>
  <c r="BK1637" i="2" s="1"/>
  <c r="BJ1653" i="2"/>
  <c r="BK1653" i="2" s="1"/>
  <c r="BJ1669" i="2"/>
  <c r="BK1669" i="2" s="1"/>
  <c r="BJ1685" i="2"/>
  <c r="BK1685" i="2" s="1"/>
  <c r="BJ1701" i="2"/>
  <c r="BK1701" i="2" s="1"/>
  <c r="BJ1717" i="2"/>
  <c r="BK1717" i="2" s="1"/>
  <c r="BJ1733" i="2"/>
  <c r="BK1733" i="2" s="1"/>
  <c r="BJ1749" i="2"/>
  <c r="BK1749" i="2" s="1"/>
  <c r="BJ1765" i="2"/>
  <c r="BK1765" i="2" s="1"/>
  <c r="BJ1781" i="2"/>
  <c r="BK1781" i="2" s="1"/>
  <c r="BJ1797" i="2"/>
  <c r="BK1797" i="2" s="1"/>
  <c r="BJ1813" i="2"/>
  <c r="BK1813" i="2" s="1"/>
  <c r="BJ1829" i="2"/>
  <c r="BK1829" i="2" s="1"/>
  <c r="BJ1845" i="2"/>
  <c r="BK1845" i="2" s="1"/>
  <c r="BJ1861" i="2"/>
  <c r="BK1861" i="2" s="1"/>
  <c r="BJ1877" i="2"/>
  <c r="BK1877" i="2" s="1"/>
  <c r="BJ1893" i="2"/>
  <c r="BK1893" i="2" s="1"/>
  <c r="BJ1909" i="2"/>
  <c r="BK1909" i="2" s="1"/>
  <c r="BJ1925" i="2"/>
  <c r="BK1925" i="2" s="1"/>
  <c r="BJ1941" i="2"/>
  <c r="BK1941" i="2" s="1"/>
  <c r="BJ1957" i="2"/>
  <c r="BK1957" i="2" s="1"/>
  <c r="BJ1973" i="2"/>
  <c r="BK1973" i="2" s="1"/>
  <c r="BJ1989" i="2"/>
  <c r="BK1989" i="2" s="1"/>
  <c r="BJ2005" i="2"/>
  <c r="BK2005" i="2" s="1"/>
  <c r="BJ2021" i="2"/>
  <c r="BK2021" i="2" s="1"/>
  <c r="BJ2037" i="2"/>
  <c r="BK2037" i="2" s="1"/>
  <c r="BJ2053" i="2"/>
  <c r="BK2053" i="2" s="1"/>
  <c r="BJ2069" i="2"/>
  <c r="BK2069" i="2" s="1"/>
  <c r="BJ2085" i="2"/>
  <c r="BK2085" i="2" s="1"/>
  <c r="BJ2101" i="2"/>
  <c r="BK2101" i="2" s="1"/>
  <c r="BJ2117" i="2"/>
  <c r="BK2117" i="2" s="1"/>
  <c r="BJ2" i="2"/>
  <c r="BK2" i="2" s="1"/>
  <c r="BJ42" i="2"/>
  <c r="BK42" i="2" s="1"/>
  <c r="BJ66" i="2"/>
  <c r="BK66" i="2" s="1"/>
  <c r="BJ98" i="2"/>
  <c r="BK98" i="2" s="1"/>
  <c r="BJ126" i="2"/>
  <c r="BK126" i="2" s="1"/>
  <c r="BJ158" i="2"/>
  <c r="BK158" i="2" s="1"/>
  <c r="BJ186" i="2"/>
  <c r="BK186" i="2" s="1"/>
  <c r="BJ218" i="2"/>
  <c r="BK218" i="2" s="1"/>
  <c r="BJ242" i="2"/>
  <c r="BK242" i="2" s="1"/>
  <c r="BJ270" i="2"/>
  <c r="BK270" i="2" s="1"/>
  <c r="BJ298" i="2"/>
  <c r="BK298" i="2" s="1"/>
  <c r="BJ322" i="2"/>
  <c r="BK322" i="2" s="1"/>
  <c r="BJ346" i="2"/>
  <c r="BK346" i="2" s="1"/>
  <c r="BJ366" i="2"/>
  <c r="BK366" i="2" s="1"/>
  <c r="BJ386" i="2"/>
  <c r="BK386" i="2" s="1"/>
  <c r="BJ410" i="2"/>
  <c r="BK410" i="2" s="1"/>
  <c r="BJ430" i="2"/>
  <c r="BK430" i="2" s="1"/>
  <c r="BJ446" i="2"/>
  <c r="BK446" i="2" s="1"/>
  <c r="BJ462" i="2"/>
  <c r="BK462" i="2" s="1"/>
  <c r="BJ478" i="2"/>
  <c r="BK478" i="2" s="1"/>
  <c r="BJ494" i="2"/>
  <c r="BK494" i="2" s="1"/>
  <c r="BJ510" i="2"/>
  <c r="BK510" i="2" s="1"/>
  <c r="BJ526" i="2"/>
  <c r="BK526" i="2" s="1"/>
  <c r="BJ542" i="2"/>
  <c r="BK542" i="2" s="1"/>
  <c r="BJ558" i="2"/>
  <c r="BK558" i="2" s="1"/>
  <c r="BJ574" i="2"/>
  <c r="BK574" i="2" s="1"/>
  <c r="BJ590" i="2"/>
  <c r="BK590" i="2" s="1"/>
  <c r="BJ606" i="2"/>
  <c r="BK606" i="2" s="1"/>
  <c r="BJ622" i="2"/>
  <c r="BK622" i="2" s="1"/>
  <c r="BJ638" i="2"/>
  <c r="BK638" i="2" s="1"/>
  <c r="BJ654" i="2"/>
  <c r="BK654" i="2" s="1"/>
  <c r="BJ670" i="2"/>
  <c r="BK670" i="2" s="1"/>
  <c r="BJ686" i="2"/>
  <c r="BK686" i="2" s="1"/>
  <c r="BJ702" i="2"/>
  <c r="BK702" i="2" s="1"/>
  <c r="BJ718" i="2"/>
  <c r="BK718" i="2" s="1"/>
  <c r="BJ734" i="2"/>
  <c r="BK734" i="2" s="1"/>
  <c r="BJ750" i="2"/>
  <c r="BK750" i="2" s="1"/>
  <c r="BJ766" i="2"/>
  <c r="BK766" i="2" s="1"/>
  <c r="BJ782" i="2"/>
  <c r="BK782" i="2" s="1"/>
  <c r="BJ798" i="2"/>
  <c r="BK798" i="2" s="1"/>
  <c r="BJ814" i="2"/>
  <c r="BK814" i="2" s="1"/>
  <c r="BJ830" i="2"/>
  <c r="BK830" i="2" s="1"/>
  <c r="BJ846" i="2"/>
  <c r="BK846" i="2" s="1"/>
  <c r="BJ862" i="2"/>
  <c r="BK862" i="2" s="1"/>
  <c r="BJ878" i="2"/>
  <c r="BK878" i="2" s="1"/>
  <c r="BJ894" i="2"/>
  <c r="BK894" i="2" s="1"/>
  <c r="BJ910" i="2"/>
  <c r="BK910" i="2" s="1"/>
  <c r="BJ926" i="2"/>
  <c r="BK926" i="2" s="1"/>
  <c r="BJ942" i="2"/>
  <c r="BK942" i="2" s="1"/>
  <c r="BJ958" i="2"/>
  <c r="BK958" i="2" s="1"/>
  <c r="BJ974" i="2"/>
  <c r="BK974" i="2" s="1"/>
  <c r="BJ990" i="2"/>
  <c r="BK990" i="2" s="1"/>
  <c r="BJ1006" i="2"/>
  <c r="BK1006" i="2" s="1"/>
  <c r="BJ1022" i="2"/>
  <c r="BK1022" i="2" s="1"/>
  <c r="BJ1038" i="2"/>
  <c r="BK1038" i="2" s="1"/>
  <c r="BJ1054" i="2"/>
  <c r="BK1054" i="2" s="1"/>
  <c r="BJ1070" i="2"/>
  <c r="BK1070" i="2" s="1"/>
  <c r="BJ1086" i="2"/>
  <c r="BK1086" i="2" s="1"/>
  <c r="BJ1102" i="2"/>
  <c r="BK1102" i="2" s="1"/>
  <c r="BJ1118" i="2"/>
  <c r="BK1118" i="2" s="1"/>
  <c r="BJ1134" i="2"/>
  <c r="BK1134" i="2" s="1"/>
  <c r="BJ1150" i="2"/>
  <c r="BK1150" i="2" s="1"/>
  <c r="BJ1166" i="2"/>
  <c r="BK1166" i="2" s="1"/>
  <c r="BJ1182" i="2"/>
  <c r="BK1182" i="2" s="1"/>
  <c r="BJ1198" i="2"/>
  <c r="BK1198" i="2" s="1"/>
  <c r="BJ1214" i="2"/>
  <c r="BK1214" i="2" s="1"/>
  <c r="BJ1230" i="2"/>
  <c r="BK1230" i="2" s="1"/>
  <c r="BJ1246" i="2"/>
  <c r="BK1246" i="2" s="1"/>
  <c r="BJ1262" i="2"/>
  <c r="BK1262" i="2" s="1"/>
  <c r="BJ1278" i="2"/>
  <c r="BK1278" i="2" s="1"/>
  <c r="BJ1294" i="2"/>
  <c r="BK1294" i="2" s="1"/>
  <c r="BJ1310" i="2"/>
  <c r="BK1310" i="2" s="1"/>
  <c r="BJ1326" i="2"/>
  <c r="BK1326" i="2" s="1"/>
  <c r="BJ1342" i="2"/>
  <c r="BK1342" i="2" s="1"/>
  <c r="BJ1358" i="2"/>
  <c r="BK1358" i="2" s="1"/>
  <c r="BJ1374" i="2"/>
  <c r="BK1374" i="2" s="1"/>
  <c r="BJ1390" i="2"/>
  <c r="BK1390" i="2" s="1"/>
  <c r="BJ1406" i="2"/>
  <c r="BK1406" i="2" s="1"/>
  <c r="BJ1422" i="2"/>
  <c r="BK1422" i="2" s="1"/>
  <c r="BJ1438" i="2"/>
  <c r="BK1438" i="2" s="1"/>
  <c r="BJ1454" i="2"/>
  <c r="BK1454" i="2" s="1"/>
  <c r="BJ1470" i="2"/>
  <c r="BK1470" i="2" s="1"/>
  <c r="BJ1486" i="2"/>
  <c r="BK1486" i="2" s="1"/>
  <c r="BJ1502" i="2"/>
  <c r="BK1502" i="2" s="1"/>
  <c r="BJ1518" i="2"/>
  <c r="BK1518" i="2" s="1"/>
  <c r="BJ1534" i="2"/>
  <c r="BK1534" i="2" s="1"/>
  <c r="BJ1550" i="2"/>
  <c r="BK1550" i="2" s="1"/>
  <c r="BJ1566" i="2"/>
  <c r="BK1566" i="2" s="1"/>
  <c r="BJ1582" i="2"/>
  <c r="BK1582" i="2" s="1"/>
  <c r="BJ1598" i="2"/>
  <c r="BK1598" i="2" s="1"/>
  <c r="BJ1614" i="2"/>
  <c r="BK1614" i="2" s="1"/>
  <c r="BJ1630" i="2"/>
  <c r="BK1630" i="2" s="1"/>
  <c r="BJ1646" i="2"/>
  <c r="BK1646" i="2" s="1"/>
  <c r="BJ1662" i="2"/>
  <c r="BK1662" i="2" s="1"/>
  <c r="BJ1678" i="2"/>
  <c r="BK1678" i="2" s="1"/>
  <c r="BJ1694" i="2"/>
  <c r="BK1694" i="2" s="1"/>
  <c r="BJ1710" i="2"/>
  <c r="BK1710" i="2" s="1"/>
  <c r="BJ1726" i="2"/>
  <c r="BK1726" i="2" s="1"/>
  <c r="BJ1742" i="2"/>
  <c r="BK1742" i="2" s="1"/>
  <c r="BJ1758" i="2"/>
  <c r="BK1758" i="2" s="1"/>
  <c r="BJ1774" i="2"/>
  <c r="BK1774" i="2" s="1"/>
  <c r="BJ1790" i="2"/>
  <c r="BK1790" i="2" s="1"/>
  <c r="BJ1806" i="2"/>
  <c r="BK1806" i="2" s="1"/>
  <c r="BJ1822" i="2"/>
  <c r="BK1822" i="2" s="1"/>
  <c r="BJ1838" i="2"/>
  <c r="BK1838" i="2" s="1"/>
  <c r="BM2126" i="2"/>
  <c r="BN2126" i="2" s="1"/>
  <c r="BJ2126" i="2"/>
  <c r="BK2126" i="2" s="1"/>
  <c r="BM2114" i="2"/>
  <c r="BN2114" i="2" s="1"/>
  <c r="BJ2114" i="2"/>
  <c r="BK2114" i="2" s="1"/>
  <c r="BM2102" i="2"/>
  <c r="BN2102" i="2" s="1"/>
  <c r="BJ2102" i="2"/>
  <c r="BK2102" i="2" s="1"/>
  <c r="BM2090" i="2"/>
  <c r="BN2090" i="2" s="1"/>
  <c r="BJ2090" i="2"/>
  <c r="BK2090" i="2" s="1"/>
  <c r="BM2078" i="2"/>
  <c r="BN2078" i="2" s="1"/>
  <c r="BJ2078" i="2"/>
  <c r="BK2078" i="2" s="1"/>
  <c r="BM2066" i="2"/>
  <c r="BN2066" i="2" s="1"/>
  <c r="BJ2066" i="2"/>
  <c r="BK2066" i="2" s="1"/>
  <c r="BM2054" i="2"/>
  <c r="BN2054" i="2" s="1"/>
  <c r="BJ2054" i="2"/>
  <c r="BK2054" i="2" s="1"/>
  <c r="BM2042" i="2"/>
  <c r="BN2042" i="2" s="1"/>
  <c r="BJ2042" i="2"/>
  <c r="BK2042" i="2" s="1"/>
  <c r="BM2030" i="2"/>
  <c r="BN2030" i="2" s="1"/>
  <c r="BJ2030" i="2"/>
  <c r="BK2030" i="2" s="1"/>
  <c r="BM2018" i="2"/>
  <c r="BN2018" i="2" s="1"/>
  <c r="BJ2018" i="2"/>
  <c r="BK2018" i="2" s="1"/>
  <c r="BM2006" i="2"/>
  <c r="BN2006" i="2" s="1"/>
  <c r="BJ2006" i="2"/>
  <c r="BK2006" i="2" s="1"/>
  <c r="BM1990" i="2"/>
  <c r="BN1990" i="2" s="1"/>
  <c r="BJ1990" i="2"/>
  <c r="BK1990" i="2" s="1"/>
  <c r="BM1974" i="2"/>
  <c r="BN1974" i="2" s="1"/>
  <c r="BJ1974" i="2"/>
  <c r="BK1974" i="2" s="1"/>
  <c r="BM1958" i="2"/>
  <c r="BN1958" i="2" s="1"/>
  <c r="BJ1958" i="2"/>
  <c r="BK1958" i="2" s="1"/>
  <c r="BM1942" i="2"/>
  <c r="BN1942" i="2" s="1"/>
  <c r="BJ1942" i="2"/>
  <c r="BK1942" i="2" s="1"/>
  <c r="BM1926" i="2"/>
  <c r="BN1926" i="2" s="1"/>
  <c r="BJ1926" i="2"/>
  <c r="BK1926" i="2" s="1"/>
  <c r="BM1910" i="2"/>
  <c r="BN1910" i="2" s="1"/>
  <c r="BJ1910" i="2"/>
  <c r="BK1910" i="2" s="1"/>
  <c r="BM1894" i="2"/>
  <c r="BN1894" i="2" s="1"/>
  <c r="BJ1894" i="2"/>
  <c r="BK1894" i="2" s="1"/>
  <c r="BM1878" i="2"/>
  <c r="BN1878" i="2" s="1"/>
  <c r="BJ1878" i="2"/>
  <c r="BK1878" i="2" s="1"/>
  <c r="BM1866" i="2"/>
  <c r="BN1866" i="2" s="1"/>
  <c r="BJ1866" i="2"/>
  <c r="BK1866" i="2" s="1"/>
  <c r="BM1850" i="2"/>
  <c r="BN1850" i="2" s="1"/>
  <c r="BJ1850" i="2"/>
  <c r="BK1850" i="2" s="1"/>
  <c r="BM266" i="2"/>
  <c r="BN266" i="2" s="1"/>
  <c r="BJ266" i="2"/>
  <c r="BK266" i="2" s="1"/>
  <c r="BM202" i="2"/>
  <c r="BN202" i="2" s="1"/>
  <c r="BJ202" i="2"/>
  <c r="BK202" i="2" s="1"/>
  <c r="BM46" i="2"/>
  <c r="BN46" i="2" s="1"/>
  <c r="BJ46" i="2"/>
  <c r="BK46" i="2" s="1"/>
  <c r="BM828" i="2"/>
  <c r="BN828" i="2" s="1"/>
  <c r="BJ828" i="2"/>
  <c r="BK828" i="2" s="1"/>
  <c r="BM820" i="2"/>
  <c r="BN820" i="2" s="1"/>
  <c r="BJ820" i="2"/>
  <c r="BK820" i="2" s="1"/>
  <c r="BM792" i="2"/>
  <c r="BN792" i="2" s="1"/>
  <c r="BJ792" i="2"/>
  <c r="BK792" i="2" s="1"/>
  <c r="BM764" i="2"/>
  <c r="BN764" i="2" s="1"/>
  <c r="BJ764" i="2"/>
  <c r="BK764" i="2" s="1"/>
  <c r="BM756" i="2"/>
  <c r="BN756" i="2" s="1"/>
  <c r="BJ756" i="2"/>
  <c r="BK756" i="2" s="1"/>
  <c r="BM728" i="2"/>
  <c r="BN728" i="2" s="1"/>
  <c r="BJ728" i="2"/>
  <c r="BK728" i="2" s="1"/>
  <c r="BM700" i="2"/>
  <c r="BN700" i="2" s="1"/>
  <c r="BJ700" i="2"/>
  <c r="BK700" i="2" s="1"/>
  <c r="BM692" i="2"/>
  <c r="BN692" i="2" s="1"/>
  <c r="BJ692" i="2"/>
  <c r="BK692" i="2" s="1"/>
  <c r="BM664" i="2"/>
  <c r="BN664" i="2" s="1"/>
  <c r="BJ664" i="2"/>
  <c r="BK664" i="2" s="1"/>
  <c r="BM636" i="2"/>
  <c r="BN636" i="2" s="1"/>
  <c r="BJ636" i="2"/>
  <c r="BK636" i="2" s="1"/>
  <c r="BM628" i="2"/>
  <c r="BN628" i="2" s="1"/>
  <c r="BJ628" i="2"/>
  <c r="BK628" i="2" s="1"/>
  <c r="BM600" i="2"/>
  <c r="BN600" i="2" s="1"/>
  <c r="BJ600" i="2"/>
  <c r="BK600" i="2" s="1"/>
  <c r="BM572" i="2"/>
  <c r="BN572" i="2" s="1"/>
  <c r="BJ572" i="2"/>
  <c r="BK572" i="2" s="1"/>
  <c r="BM564" i="2"/>
  <c r="BN564" i="2" s="1"/>
  <c r="BJ564" i="2"/>
  <c r="BK564" i="2" s="1"/>
  <c r="BM536" i="2"/>
  <c r="BN536" i="2" s="1"/>
  <c r="BJ536" i="2"/>
  <c r="BK536" i="2" s="1"/>
  <c r="BM508" i="2"/>
  <c r="BN508" i="2" s="1"/>
  <c r="BJ508" i="2"/>
  <c r="BK508" i="2" s="1"/>
  <c r="BM500" i="2"/>
  <c r="BN500" i="2" s="1"/>
  <c r="BJ500" i="2"/>
  <c r="BK500" i="2" s="1"/>
  <c r="BM492" i="2"/>
  <c r="BN492" i="2" s="1"/>
  <c r="BJ492" i="2"/>
  <c r="BK492" i="2" s="1"/>
  <c r="BM484" i="2"/>
  <c r="BN484" i="2" s="1"/>
  <c r="BJ484" i="2"/>
  <c r="BK484" i="2" s="1"/>
  <c r="BM472" i="2"/>
  <c r="BN472" i="2" s="1"/>
  <c r="BJ472" i="2"/>
  <c r="BK472" i="2" s="1"/>
  <c r="BM456" i="2"/>
  <c r="BN456" i="2" s="1"/>
  <c r="BJ456" i="2"/>
  <c r="BK456" i="2" s="1"/>
  <c r="BM444" i="2"/>
  <c r="BN444" i="2" s="1"/>
  <c r="BJ444" i="2"/>
  <c r="BK444" i="2" s="1"/>
  <c r="BM436" i="2"/>
  <c r="BN436" i="2" s="1"/>
  <c r="BJ436" i="2"/>
  <c r="BK436" i="2" s="1"/>
  <c r="BM428" i="2"/>
  <c r="BN428" i="2" s="1"/>
  <c r="BJ428" i="2"/>
  <c r="BK428" i="2" s="1"/>
  <c r="BM420" i="2"/>
  <c r="BN420" i="2" s="1"/>
  <c r="BJ420" i="2"/>
  <c r="BK420" i="2" s="1"/>
  <c r="BM408" i="2"/>
  <c r="BN408" i="2" s="1"/>
  <c r="BJ408" i="2"/>
  <c r="BK408" i="2" s="1"/>
  <c r="BM392" i="2"/>
  <c r="BN392" i="2" s="1"/>
  <c r="BJ392" i="2"/>
  <c r="BK392" i="2" s="1"/>
  <c r="BM380" i="2"/>
  <c r="BN380" i="2" s="1"/>
  <c r="BJ380" i="2"/>
  <c r="BK380" i="2" s="1"/>
  <c r="BM372" i="2"/>
  <c r="BN372" i="2" s="1"/>
  <c r="BJ372" i="2"/>
  <c r="BK372" i="2" s="1"/>
  <c r="BM364" i="2"/>
  <c r="BN364" i="2" s="1"/>
  <c r="BJ364" i="2"/>
  <c r="BK364" i="2" s="1"/>
  <c r="BM356" i="2"/>
  <c r="BN356" i="2" s="1"/>
  <c r="BJ356" i="2"/>
  <c r="BK356" i="2" s="1"/>
  <c r="BM344" i="2"/>
  <c r="BN344" i="2" s="1"/>
  <c r="BJ344" i="2"/>
  <c r="BK344" i="2" s="1"/>
  <c r="BM328" i="2"/>
  <c r="BN328" i="2" s="1"/>
  <c r="BJ328" i="2"/>
  <c r="BK328" i="2" s="1"/>
  <c r="BM316" i="2"/>
  <c r="BN316" i="2" s="1"/>
  <c r="BJ316" i="2"/>
  <c r="BK316" i="2" s="1"/>
  <c r="BM308" i="2"/>
  <c r="BN308" i="2" s="1"/>
  <c r="BJ308" i="2"/>
  <c r="BK308" i="2" s="1"/>
  <c r="BM300" i="2"/>
  <c r="BN300" i="2" s="1"/>
  <c r="BJ300" i="2"/>
  <c r="BK300" i="2" s="1"/>
  <c r="BM292" i="2"/>
  <c r="BN292" i="2" s="1"/>
  <c r="BJ292" i="2"/>
  <c r="BK292" i="2" s="1"/>
  <c r="BM280" i="2"/>
  <c r="BN280" i="2" s="1"/>
  <c r="BJ280" i="2"/>
  <c r="BK280" i="2" s="1"/>
  <c r="BM264" i="2"/>
  <c r="BN264" i="2" s="1"/>
  <c r="BJ264" i="2"/>
  <c r="BK264" i="2" s="1"/>
  <c r="BM252" i="2"/>
  <c r="BN252" i="2" s="1"/>
  <c r="BJ252" i="2"/>
  <c r="BK252" i="2" s="1"/>
  <c r="BM244" i="2"/>
  <c r="BN244" i="2" s="1"/>
  <c r="BJ244" i="2"/>
  <c r="BK244" i="2" s="1"/>
  <c r="BM236" i="2"/>
  <c r="BN236" i="2" s="1"/>
  <c r="BJ236" i="2"/>
  <c r="BK236" i="2" s="1"/>
  <c r="BM228" i="2"/>
  <c r="BN228" i="2" s="1"/>
  <c r="BJ228" i="2"/>
  <c r="BK228" i="2" s="1"/>
  <c r="BM216" i="2"/>
  <c r="BN216" i="2" s="1"/>
  <c r="BJ216" i="2"/>
  <c r="BK216" i="2" s="1"/>
  <c r="BM200" i="2"/>
  <c r="BN200" i="2" s="1"/>
  <c r="BJ200" i="2"/>
  <c r="BK200" i="2" s="1"/>
  <c r="BM188" i="2"/>
  <c r="BN188" i="2" s="1"/>
  <c r="BJ188" i="2"/>
  <c r="BK188" i="2" s="1"/>
  <c r="BM180" i="2"/>
  <c r="BN180" i="2" s="1"/>
  <c r="BJ180" i="2"/>
  <c r="BK180" i="2" s="1"/>
  <c r="BM172" i="2"/>
  <c r="BN172" i="2" s="1"/>
  <c r="BJ172" i="2"/>
  <c r="BK172" i="2" s="1"/>
  <c r="BM164" i="2"/>
  <c r="BN164" i="2" s="1"/>
  <c r="BJ164" i="2"/>
  <c r="BK164" i="2" s="1"/>
  <c r="BM156" i="2"/>
  <c r="BN156" i="2" s="1"/>
  <c r="BJ156" i="2"/>
  <c r="BK156" i="2" s="1"/>
  <c r="BM152" i="2"/>
  <c r="BN152" i="2" s="1"/>
  <c r="BJ152" i="2"/>
  <c r="BK152" i="2" s="1"/>
  <c r="BM148" i="2"/>
  <c r="BN148" i="2" s="1"/>
  <c r="BJ148" i="2"/>
  <c r="BK148" i="2" s="1"/>
  <c r="BM140" i="2"/>
  <c r="BN140" i="2" s="1"/>
  <c r="BJ140" i="2"/>
  <c r="BK140" i="2" s="1"/>
  <c r="BM136" i="2"/>
  <c r="BN136" i="2" s="1"/>
  <c r="BJ136" i="2"/>
  <c r="BK136" i="2" s="1"/>
  <c r="BM132" i="2"/>
  <c r="BN132" i="2" s="1"/>
  <c r="BJ132" i="2"/>
  <c r="BK132" i="2" s="1"/>
  <c r="BM124" i="2"/>
  <c r="BN124" i="2" s="1"/>
  <c r="BJ124" i="2"/>
  <c r="BK124" i="2" s="1"/>
  <c r="BM120" i="2"/>
  <c r="BN120" i="2" s="1"/>
  <c r="BJ120" i="2"/>
  <c r="BK120" i="2" s="1"/>
  <c r="BM116" i="2"/>
  <c r="BN116" i="2" s="1"/>
  <c r="BJ116" i="2"/>
  <c r="BK116" i="2" s="1"/>
  <c r="BM108" i="2"/>
  <c r="BN108" i="2" s="1"/>
  <c r="BJ108" i="2"/>
  <c r="BK108" i="2" s="1"/>
  <c r="BM104" i="2"/>
  <c r="BN104" i="2" s="1"/>
  <c r="BJ104" i="2"/>
  <c r="BK104" i="2" s="1"/>
  <c r="BM100" i="2"/>
  <c r="BN100" i="2" s="1"/>
  <c r="BJ100" i="2"/>
  <c r="BK100" i="2" s="1"/>
  <c r="BM92" i="2"/>
  <c r="BN92" i="2" s="1"/>
  <c r="BJ92" i="2"/>
  <c r="BK92" i="2" s="1"/>
  <c r="BM88" i="2"/>
  <c r="BN88" i="2" s="1"/>
  <c r="BJ88" i="2"/>
  <c r="BK88" i="2" s="1"/>
  <c r="BM84" i="2"/>
  <c r="BN84" i="2" s="1"/>
  <c r="BJ84" i="2"/>
  <c r="BK84" i="2" s="1"/>
  <c r="BM76" i="2"/>
  <c r="BN76" i="2" s="1"/>
  <c r="BJ76" i="2"/>
  <c r="BK76" i="2" s="1"/>
  <c r="BM72" i="2"/>
  <c r="BN72" i="2" s="1"/>
  <c r="BJ72" i="2"/>
  <c r="BK72" i="2" s="1"/>
  <c r="BM68" i="2"/>
  <c r="BN68" i="2" s="1"/>
  <c r="BJ68" i="2"/>
  <c r="BK68" i="2" s="1"/>
  <c r="BM60" i="2"/>
  <c r="BN60" i="2" s="1"/>
  <c r="BJ60" i="2"/>
  <c r="BK60" i="2" s="1"/>
  <c r="BM56" i="2"/>
  <c r="BN56" i="2" s="1"/>
  <c r="BJ56" i="2"/>
  <c r="BK56" i="2" s="1"/>
  <c r="BM52" i="2"/>
  <c r="BN52" i="2" s="1"/>
  <c r="BJ52" i="2"/>
  <c r="BK52" i="2" s="1"/>
  <c r="BM44" i="2"/>
  <c r="BN44" i="2" s="1"/>
  <c r="BJ44" i="2"/>
  <c r="BK44" i="2" s="1"/>
  <c r="BM40" i="2"/>
  <c r="BN40" i="2" s="1"/>
  <c r="BJ40" i="2"/>
  <c r="BK40" i="2" s="1"/>
  <c r="BM36" i="2"/>
  <c r="BN36" i="2" s="1"/>
  <c r="BJ36" i="2"/>
  <c r="BK36" i="2" s="1"/>
  <c r="BM28" i="2"/>
  <c r="BN28" i="2" s="1"/>
  <c r="BJ28" i="2"/>
  <c r="BK28" i="2" s="1"/>
  <c r="BM24" i="2"/>
  <c r="BN24" i="2" s="1"/>
  <c r="BJ24" i="2"/>
  <c r="BK24" i="2" s="1"/>
  <c r="BM20" i="2"/>
  <c r="BN20" i="2" s="1"/>
  <c r="BJ20" i="2"/>
  <c r="BK20" i="2" s="1"/>
  <c r="BM12" i="2"/>
  <c r="BN12" i="2" s="1"/>
  <c r="BJ12" i="2"/>
  <c r="BK12" i="2" s="1"/>
  <c r="BM8" i="2"/>
  <c r="BN8" i="2" s="1"/>
  <c r="BJ8" i="2"/>
  <c r="BK8" i="2" s="1"/>
  <c r="BM4" i="2"/>
  <c r="BN4" i="2" s="1"/>
  <c r="BJ4" i="2"/>
  <c r="BK4" i="2" s="1"/>
  <c r="BJ11" i="2"/>
  <c r="BK11" i="2" s="1"/>
  <c r="BJ43" i="2"/>
  <c r="BK43" i="2" s="1"/>
  <c r="BJ48" i="2"/>
  <c r="BK48" i="2" s="1"/>
  <c r="BJ112" i="2"/>
  <c r="BK112" i="2" s="1"/>
  <c r="BJ176" i="2"/>
  <c r="BK176" i="2" s="1"/>
  <c r="BJ240" i="2"/>
  <c r="BK240" i="2" s="1"/>
  <c r="BJ304" i="2"/>
  <c r="BK304" i="2" s="1"/>
  <c r="BJ368" i="2"/>
  <c r="BK368" i="2" s="1"/>
  <c r="BJ432" i="2"/>
  <c r="BK432" i="2" s="1"/>
  <c r="BJ496" i="2"/>
  <c r="BK496" i="2" s="1"/>
  <c r="BJ560" i="2"/>
  <c r="BK560" i="2" s="1"/>
  <c r="BJ624" i="2"/>
  <c r="BK624" i="2" s="1"/>
  <c r="BJ688" i="2"/>
  <c r="BK688" i="2" s="1"/>
  <c r="BJ752" i="2"/>
  <c r="BK752" i="2" s="1"/>
  <c r="BJ816" i="2"/>
  <c r="BK816" i="2" s="1"/>
  <c r="BJ880" i="2"/>
  <c r="BK880" i="2" s="1"/>
  <c r="BJ5" i="2"/>
  <c r="BK5" i="2" s="1"/>
  <c r="BJ21" i="2"/>
  <c r="BK21" i="2" s="1"/>
  <c r="BJ37" i="2"/>
  <c r="BK37" i="2" s="1"/>
  <c r="BJ53" i="2"/>
  <c r="BK53" i="2" s="1"/>
  <c r="BJ69" i="2"/>
  <c r="BK69" i="2" s="1"/>
  <c r="BJ85" i="2"/>
  <c r="BK85" i="2" s="1"/>
  <c r="BJ101" i="2"/>
  <c r="BK101" i="2" s="1"/>
  <c r="BJ117" i="2"/>
  <c r="BK117" i="2" s="1"/>
  <c r="BJ133" i="2"/>
  <c r="BK133" i="2" s="1"/>
  <c r="BJ149" i="2"/>
  <c r="BK149" i="2" s="1"/>
  <c r="BJ165" i="2"/>
  <c r="BK165" i="2" s="1"/>
  <c r="BJ181" i="2"/>
  <c r="BK181" i="2" s="1"/>
  <c r="BJ197" i="2"/>
  <c r="BK197" i="2" s="1"/>
  <c r="BJ213" i="2"/>
  <c r="BK213" i="2" s="1"/>
  <c r="BJ229" i="2"/>
  <c r="BK229" i="2" s="1"/>
  <c r="BJ245" i="2"/>
  <c r="BK245" i="2" s="1"/>
  <c r="BJ261" i="2"/>
  <c r="BK261" i="2" s="1"/>
  <c r="BJ277" i="2"/>
  <c r="BK277" i="2" s="1"/>
  <c r="BJ293" i="2"/>
  <c r="BK293" i="2" s="1"/>
  <c r="BJ309" i="2"/>
  <c r="BK309" i="2" s="1"/>
  <c r="BJ325" i="2"/>
  <c r="BK325" i="2" s="1"/>
  <c r="BJ341" i="2"/>
  <c r="BK341" i="2" s="1"/>
  <c r="BJ357" i="2"/>
  <c r="BK357" i="2" s="1"/>
  <c r="BJ373" i="2"/>
  <c r="BK373" i="2" s="1"/>
  <c r="BJ389" i="2"/>
  <c r="BK389" i="2" s="1"/>
  <c r="BJ405" i="2"/>
  <c r="BK405" i="2" s="1"/>
  <c r="BJ421" i="2"/>
  <c r="BK421" i="2" s="1"/>
  <c r="BJ437" i="2"/>
  <c r="BK437" i="2" s="1"/>
  <c r="BJ453" i="2"/>
  <c r="BK453" i="2" s="1"/>
  <c r="BJ469" i="2"/>
  <c r="BK469" i="2" s="1"/>
  <c r="BJ485" i="2"/>
  <c r="BK485" i="2" s="1"/>
  <c r="BJ501" i="2"/>
  <c r="BK501" i="2" s="1"/>
  <c r="BJ517" i="2"/>
  <c r="BK517" i="2" s="1"/>
  <c r="BJ533" i="2"/>
  <c r="BK533" i="2" s="1"/>
  <c r="BJ549" i="2"/>
  <c r="BK549" i="2" s="1"/>
  <c r="BJ565" i="2"/>
  <c r="BK565" i="2" s="1"/>
  <c r="BJ581" i="2"/>
  <c r="BK581" i="2" s="1"/>
  <c r="BJ597" i="2"/>
  <c r="BK597" i="2" s="1"/>
  <c r="BJ613" i="2"/>
  <c r="BK613" i="2" s="1"/>
  <c r="BJ629" i="2"/>
  <c r="BK629" i="2" s="1"/>
  <c r="BJ645" i="2"/>
  <c r="BK645" i="2" s="1"/>
  <c r="BJ18" i="2"/>
  <c r="BK18" i="2" s="1"/>
  <c r="BJ54" i="2"/>
  <c r="BK54" i="2" s="1"/>
  <c r="BJ118" i="2"/>
  <c r="BK118" i="2" s="1"/>
  <c r="BJ182" i="2"/>
  <c r="BK182" i="2" s="1"/>
  <c r="BJ246" i="2"/>
  <c r="BK246" i="2" s="1"/>
  <c r="BJ310" i="2"/>
  <c r="BK310" i="2" s="1"/>
  <c r="BJ374" i="2"/>
  <c r="BK374" i="2" s="1"/>
  <c r="BJ168" i="2"/>
  <c r="BK168" i="2" s="1"/>
  <c r="BJ212" i="2"/>
  <c r="BK212" i="2" s="1"/>
  <c r="BJ260" i="2"/>
  <c r="BK260" i="2" s="1"/>
  <c r="BJ296" i="2"/>
  <c r="BK296" i="2" s="1"/>
  <c r="BJ340" i="2"/>
  <c r="BK340" i="2" s="1"/>
  <c r="BJ388" i="2"/>
  <c r="BK388" i="2" s="1"/>
  <c r="BJ424" i="2"/>
  <c r="BK424" i="2" s="1"/>
  <c r="BJ468" i="2"/>
  <c r="BK468" i="2" s="1"/>
  <c r="BJ516" i="2"/>
  <c r="BK516" i="2" s="1"/>
  <c r="BJ540" i="2"/>
  <c r="BK540" i="2" s="1"/>
  <c r="BJ568" i="2"/>
  <c r="BK568" i="2" s="1"/>
  <c r="BJ596" i="2"/>
  <c r="BK596" i="2" s="1"/>
  <c r="BJ620" i="2"/>
  <c r="BK620" i="2" s="1"/>
  <c r="BJ652" i="2"/>
  <c r="BK652" i="2" s="1"/>
  <c r="BJ680" i="2"/>
  <c r="BK680" i="2" s="1"/>
  <c r="BJ712" i="2"/>
  <c r="BK712" i="2" s="1"/>
  <c r="BJ740" i="2"/>
  <c r="BK740" i="2" s="1"/>
  <c r="BJ772" i="2"/>
  <c r="BK772" i="2" s="1"/>
  <c r="BJ796" i="2"/>
  <c r="BK796" i="2" s="1"/>
  <c r="BJ824" i="2"/>
  <c r="BK824" i="2" s="1"/>
  <c r="BJ852" i="2"/>
  <c r="BK852" i="2" s="1"/>
  <c r="BJ872" i="2"/>
  <c r="BK872" i="2" s="1"/>
  <c r="BJ892" i="2"/>
  <c r="BK892" i="2" s="1"/>
  <c r="BJ916" i="2"/>
  <c r="BK916" i="2" s="1"/>
  <c r="BJ936" i="2"/>
  <c r="BK936" i="2" s="1"/>
  <c r="BJ952" i="2"/>
  <c r="BK952" i="2" s="1"/>
  <c r="BJ968" i="2"/>
  <c r="BK968" i="2" s="1"/>
  <c r="BJ984" i="2"/>
  <c r="BK984" i="2" s="1"/>
  <c r="BJ1000" i="2"/>
  <c r="BK1000" i="2" s="1"/>
  <c r="BJ1016" i="2"/>
  <c r="BK1016" i="2" s="1"/>
  <c r="BJ1032" i="2"/>
  <c r="BK1032" i="2" s="1"/>
  <c r="BJ1048" i="2"/>
  <c r="BK1048" i="2" s="1"/>
  <c r="BJ1064" i="2"/>
  <c r="BK1064" i="2" s="1"/>
  <c r="BJ1080" i="2"/>
  <c r="BK1080" i="2" s="1"/>
  <c r="BJ1096" i="2"/>
  <c r="BK1096" i="2" s="1"/>
  <c r="BJ1112" i="2"/>
  <c r="BK1112" i="2" s="1"/>
  <c r="BJ1128" i="2"/>
  <c r="BK1128" i="2" s="1"/>
  <c r="BJ1144" i="2"/>
  <c r="BK1144" i="2" s="1"/>
  <c r="BJ1160" i="2"/>
  <c r="BK1160" i="2" s="1"/>
  <c r="BJ1176" i="2"/>
  <c r="BK1176" i="2" s="1"/>
  <c r="BJ1192" i="2"/>
  <c r="BK1192" i="2" s="1"/>
  <c r="BJ1208" i="2"/>
  <c r="BK1208" i="2" s="1"/>
  <c r="BJ1224" i="2"/>
  <c r="BK1224" i="2" s="1"/>
  <c r="BJ1240" i="2"/>
  <c r="BK1240" i="2" s="1"/>
  <c r="BJ1256" i="2"/>
  <c r="BK1256" i="2" s="1"/>
  <c r="BJ1272" i="2"/>
  <c r="BK1272" i="2" s="1"/>
  <c r="BJ1288" i="2"/>
  <c r="BK1288" i="2" s="1"/>
  <c r="BJ1304" i="2"/>
  <c r="BK1304" i="2" s="1"/>
  <c r="BJ1320" i="2"/>
  <c r="BK1320" i="2" s="1"/>
  <c r="BJ1336" i="2"/>
  <c r="BK1336" i="2" s="1"/>
  <c r="BJ1352" i="2"/>
  <c r="BK1352" i="2" s="1"/>
  <c r="BJ1368" i="2"/>
  <c r="BK1368" i="2" s="1"/>
  <c r="BJ1384" i="2"/>
  <c r="BK1384" i="2" s="1"/>
  <c r="BJ1400" i="2"/>
  <c r="BK1400" i="2" s="1"/>
  <c r="BJ1416" i="2"/>
  <c r="BK1416" i="2" s="1"/>
  <c r="BJ1432" i="2"/>
  <c r="BK1432" i="2" s="1"/>
  <c r="BJ1448" i="2"/>
  <c r="BK1448" i="2" s="1"/>
  <c r="BJ1464" i="2"/>
  <c r="BK1464" i="2" s="1"/>
  <c r="BJ1480" i="2"/>
  <c r="BK1480" i="2" s="1"/>
  <c r="BJ1496" i="2"/>
  <c r="BK1496" i="2" s="1"/>
  <c r="BJ1512" i="2"/>
  <c r="BK1512" i="2" s="1"/>
  <c r="BJ1528" i="2"/>
  <c r="BK1528" i="2" s="1"/>
  <c r="BJ1544" i="2"/>
  <c r="BK1544" i="2" s="1"/>
  <c r="BJ1560" i="2"/>
  <c r="BK1560" i="2" s="1"/>
  <c r="BJ1576" i="2"/>
  <c r="BK1576" i="2" s="1"/>
  <c r="BJ1592" i="2"/>
  <c r="BK1592" i="2" s="1"/>
  <c r="BJ1608" i="2"/>
  <c r="BK1608" i="2" s="1"/>
  <c r="BJ1624" i="2"/>
  <c r="BK1624" i="2" s="1"/>
  <c r="BJ1640" i="2"/>
  <c r="BK1640" i="2" s="1"/>
  <c r="BJ1656" i="2"/>
  <c r="BK1656" i="2" s="1"/>
  <c r="BJ1672" i="2"/>
  <c r="BK1672" i="2" s="1"/>
  <c r="BJ1688" i="2"/>
  <c r="BK1688" i="2" s="1"/>
  <c r="BJ1704" i="2"/>
  <c r="BK1704" i="2" s="1"/>
  <c r="BJ1720" i="2"/>
  <c r="BK1720" i="2" s="1"/>
  <c r="BJ1736" i="2"/>
  <c r="BK1736" i="2" s="1"/>
  <c r="BJ1752" i="2"/>
  <c r="BK1752" i="2" s="1"/>
  <c r="BJ1768" i="2"/>
  <c r="BK1768" i="2" s="1"/>
  <c r="BJ1784" i="2"/>
  <c r="BK1784" i="2" s="1"/>
  <c r="BJ1800" i="2"/>
  <c r="BK1800" i="2" s="1"/>
  <c r="BJ1816" i="2"/>
  <c r="BK1816" i="2" s="1"/>
  <c r="BJ1832" i="2"/>
  <c r="BK1832" i="2" s="1"/>
  <c r="BJ1848" i="2"/>
  <c r="BK1848" i="2" s="1"/>
  <c r="BJ1864" i="2"/>
  <c r="BK1864" i="2" s="1"/>
  <c r="BJ1880" i="2"/>
  <c r="BK1880" i="2" s="1"/>
  <c r="BJ1896" i="2"/>
  <c r="BK1896" i="2" s="1"/>
  <c r="BJ1912" i="2"/>
  <c r="BK1912" i="2" s="1"/>
  <c r="BJ1928" i="2"/>
  <c r="BK1928" i="2" s="1"/>
  <c r="BJ1944" i="2"/>
  <c r="BK1944" i="2" s="1"/>
  <c r="BJ1960" i="2"/>
  <c r="BK1960" i="2" s="1"/>
  <c r="BJ1976" i="2"/>
  <c r="BK1976" i="2" s="1"/>
  <c r="BJ1992" i="2"/>
  <c r="BK1992" i="2" s="1"/>
  <c r="BJ2008" i="2"/>
  <c r="BK2008" i="2" s="1"/>
  <c r="BJ2024" i="2"/>
  <c r="BK2024" i="2" s="1"/>
  <c r="BJ2040" i="2"/>
  <c r="BK2040" i="2" s="1"/>
  <c r="BJ2056" i="2"/>
  <c r="BK2056" i="2" s="1"/>
  <c r="BJ2072" i="2"/>
  <c r="BK2072" i="2" s="1"/>
  <c r="BJ2088" i="2"/>
  <c r="BK2088" i="2" s="1"/>
  <c r="BJ2104" i="2"/>
  <c r="BK2104" i="2" s="1"/>
  <c r="BJ2120" i="2"/>
  <c r="BK2120" i="2" s="1"/>
  <c r="BJ665" i="2"/>
  <c r="BK665" i="2" s="1"/>
  <c r="BJ681" i="2"/>
  <c r="BK681" i="2" s="1"/>
  <c r="BJ697" i="2"/>
  <c r="BK697" i="2" s="1"/>
  <c r="BJ713" i="2"/>
  <c r="BK713" i="2" s="1"/>
  <c r="BJ729" i="2"/>
  <c r="BK729" i="2" s="1"/>
  <c r="BJ745" i="2"/>
  <c r="BK745" i="2" s="1"/>
  <c r="BJ761" i="2"/>
  <c r="BK761" i="2" s="1"/>
  <c r="BJ777" i="2"/>
  <c r="BK777" i="2" s="1"/>
  <c r="BJ793" i="2"/>
  <c r="BK793" i="2" s="1"/>
  <c r="BJ809" i="2"/>
  <c r="BK809" i="2" s="1"/>
  <c r="BJ825" i="2"/>
  <c r="BK825" i="2" s="1"/>
  <c r="BJ841" i="2"/>
  <c r="BK841" i="2" s="1"/>
  <c r="BJ857" i="2"/>
  <c r="BK857" i="2" s="1"/>
  <c r="BJ873" i="2"/>
  <c r="BK873" i="2" s="1"/>
  <c r="BJ889" i="2"/>
  <c r="BK889" i="2" s="1"/>
  <c r="BJ905" i="2"/>
  <c r="BK905" i="2" s="1"/>
  <c r="BJ921" i="2"/>
  <c r="BK921" i="2" s="1"/>
  <c r="BJ937" i="2"/>
  <c r="BK937" i="2" s="1"/>
  <c r="BJ953" i="2"/>
  <c r="BK953" i="2" s="1"/>
  <c r="BJ969" i="2"/>
  <c r="BK969" i="2" s="1"/>
  <c r="BJ985" i="2"/>
  <c r="BK985" i="2" s="1"/>
  <c r="BJ1001" i="2"/>
  <c r="BK1001" i="2" s="1"/>
  <c r="BJ1017" i="2"/>
  <c r="BK1017" i="2" s="1"/>
  <c r="BJ1033" i="2"/>
  <c r="BK1033" i="2" s="1"/>
  <c r="BJ1049" i="2"/>
  <c r="BK1049" i="2" s="1"/>
  <c r="BJ1065" i="2"/>
  <c r="BK1065" i="2" s="1"/>
  <c r="BJ1081" i="2"/>
  <c r="BK1081" i="2" s="1"/>
  <c r="BJ1097" i="2"/>
  <c r="BK1097" i="2" s="1"/>
  <c r="BJ1113" i="2"/>
  <c r="BK1113" i="2" s="1"/>
  <c r="BJ1129" i="2"/>
  <c r="BK1129" i="2" s="1"/>
  <c r="BJ1145" i="2"/>
  <c r="BK1145" i="2" s="1"/>
  <c r="BJ1161" i="2"/>
  <c r="BK1161" i="2" s="1"/>
  <c r="BJ1177" i="2"/>
  <c r="BK1177" i="2" s="1"/>
  <c r="BJ1193" i="2"/>
  <c r="BK1193" i="2" s="1"/>
  <c r="BJ1209" i="2"/>
  <c r="BK1209" i="2" s="1"/>
  <c r="BJ1225" i="2"/>
  <c r="BK1225" i="2" s="1"/>
  <c r="BJ1241" i="2"/>
  <c r="BK1241" i="2" s="1"/>
  <c r="BJ1257" i="2"/>
  <c r="BK1257" i="2" s="1"/>
  <c r="BJ1273" i="2"/>
  <c r="BK1273" i="2" s="1"/>
  <c r="BJ1289" i="2"/>
  <c r="BK1289" i="2" s="1"/>
  <c r="BJ1305" i="2"/>
  <c r="BK1305" i="2" s="1"/>
  <c r="BJ1321" i="2"/>
  <c r="BK1321" i="2" s="1"/>
  <c r="BJ1337" i="2"/>
  <c r="BK1337" i="2" s="1"/>
  <c r="BJ1353" i="2"/>
  <c r="BK1353" i="2" s="1"/>
  <c r="BJ1369" i="2"/>
  <c r="BK1369" i="2" s="1"/>
  <c r="BJ1385" i="2"/>
  <c r="BK1385" i="2" s="1"/>
  <c r="BJ1401" i="2"/>
  <c r="BK1401" i="2" s="1"/>
  <c r="BJ1417" i="2"/>
  <c r="BK1417" i="2" s="1"/>
  <c r="BJ1433" i="2"/>
  <c r="BK1433" i="2" s="1"/>
  <c r="BJ1449" i="2"/>
  <c r="BK1449" i="2" s="1"/>
  <c r="BJ1465" i="2"/>
  <c r="BK1465" i="2" s="1"/>
  <c r="BJ1481" i="2"/>
  <c r="BK1481" i="2" s="1"/>
  <c r="BJ1497" i="2"/>
  <c r="BK1497" i="2" s="1"/>
  <c r="BJ1513" i="2"/>
  <c r="BK1513" i="2" s="1"/>
  <c r="BJ1529" i="2"/>
  <c r="BK1529" i="2" s="1"/>
  <c r="BJ1545" i="2"/>
  <c r="BK1545" i="2" s="1"/>
  <c r="BJ1561" i="2"/>
  <c r="BK1561" i="2" s="1"/>
  <c r="BJ1577" i="2"/>
  <c r="BK1577" i="2" s="1"/>
  <c r="BJ1593" i="2"/>
  <c r="BK1593" i="2" s="1"/>
  <c r="BJ1609" i="2"/>
  <c r="BK1609" i="2" s="1"/>
  <c r="BJ1625" i="2"/>
  <c r="BK1625" i="2" s="1"/>
  <c r="BJ1641" i="2"/>
  <c r="BK1641" i="2" s="1"/>
  <c r="BJ1657" i="2"/>
  <c r="BK1657" i="2" s="1"/>
  <c r="BJ1673" i="2"/>
  <c r="BK1673" i="2" s="1"/>
  <c r="BJ1689" i="2"/>
  <c r="BK1689" i="2" s="1"/>
  <c r="BJ1705" i="2"/>
  <c r="BK1705" i="2" s="1"/>
  <c r="BJ1721" i="2"/>
  <c r="BK1721" i="2" s="1"/>
  <c r="BJ1737" i="2"/>
  <c r="BK1737" i="2" s="1"/>
  <c r="BJ1753" i="2"/>
  <c r="BK1753" i="2" s="1"/>
  <c r="BJ1769" i="2"/>
  <c r="BK1769" i="2" s="1"/>
  <c r="BJ1785" i="2"/>
  <c r="BK1785" i="2" s="1"/>
  <c r="BJ1801" i="2"/>
  <c r="BK1801" i="2" s="1"/>
  <c r="BJ1817" i="2"/>
  <c r="BK1817" i="2" s="1"/>
  <c r="BJ1833" i="2"/>
  <c r="BK1833" i="2" s="1"/>
  <c r="BJ1849" i="2"/>
  <c r="BK1849" i="2" s="1"/>
  <c r="BJ1865" i="2"/>
  <c r="BK1865" i="2" s="1"/>
  <c r="BJ1881" i="2"/>
  <c r="BK1881" i="2" s="1"/>
  <c r="BJ1897" i="2"/>
  <c r="BK1897" i="2" s="1"/>
  <c r="BJ1913" i="2"/>
  <c r="BK1913" i="2" s="1"/>
  <c r="BJ1929" i="2"/>
  <c r="BK1929" i="2" s="1"/>
  <c r="BJ1945" i="2"/>
  <c r="BK1945" i="2" s="1"/>
  <c r="BJ1961" i="2"/>
  <c r="BK1961" i="2" s="1"/>
  <c r="BJ1977" i="2"/>
  <c r="BK1977" i="2" s="1"/>
  <c r="BJ1993" i="2"/>
  <c r="BK1993" i="2" s="1"/>
  <c r="BJ2009" i="2"/>
  <c r="BK2009" i="2" s="1"/>
  <c r="BJ2025" i="2"/>
  <c r="BK2025" i="2" s="1"/>
  <c r="BJ2041" i="2"/>
  <c r="BK2041" i="2" s="1"/>
  <c r="BJ2057" i="2"/>
  <c r="BK2057" i="2" s="1"/>
  <c r="BJ2073" i="2"/>
  <c r="BK2073" i="2" s="1"/>
  <c r="BJ2089" i="2"/>
  <c r="BK2089" i="2" s="1"/>
  <c r="BJ2105" i="2"/>
  <c r="BK2105" i="2" s="1"/>
  <c r="BJ2121" i="2"/>
  <c r="BK2121" i="2" s="1"/>
  <c r="BJ10" i="2"/>
  <c r="BK10" i="2" s="1"/>
  <c r="BJ50" i="2"/>
  <c r="BK50" i="2" s="1"/>
  <c r="BJ78" i="2"/>
  <c r="BK78" i="2" s="1"/>
  <c r="BJ106" i="2"/>
  <c r="BK106" i="2" s="1"/>
  <c r="BJ130" i="2"/>
  <c r="BK130" i="2" s="1"/>
  <c r="BJ162" i="2"/>
  <c r="BK162" i="2" s="1"/>
  <c r="BJ190" i="2"/>
  <c r="BK190" i="2" s="1"/>
  <c r="BJ222" i="2"/>
  <c r="BK222" i="2" s="1"/>
  <c r="BJ250" i="2"/>
  <c r="BK250" i="2" s="1"/>
  <c r="BJ282" i="2"/>
  <c r="BK282" i="2" s="1"/>
  <c r="BJ306" i="2"/>
  <c r="BK306" i="2" s="1"/>
  <c r="BJ330" i="2"/>
  <c r="BK330" i="2" s="1"/>
  <c r="BJ350" i="2"/>
  <c r="BK350" i="2" s="1"/>
  <c r="BJ370" i="2"/>
  <c r="BK370" i="2" s="1"/>
  <c r="BJ394" i="2"/>
  <c r="BK394" i="2" s="1"/>
  <c r="BJ414" i="2"/>
  <c r="BK414" i="2" s="1"/>
  <c r="BJ434" i="2"/>
  <c r="BK434" i="2" s="1"/>
  <c r="BJ450" i="2"/>
  <c r="BK450" i="2" s="1"/>
  <c r="BJ466" i="2"/>
  <c r="BK466" i="2" s="1"/>
  <c r="BJ482" i="2"/>
  <c r="BK482" i="2" s="1"/>
  <c r="BJ498" i="2"/>
  <c r="BK498" i="2" s="1"/>
  <c r="BJ514" i="2"/>
  <c r="BK514" i="2" s="1"/>
  <c r="BJ530" i="2"/>
  <c r="BK530" i="2" s="1"/>
  <c r="BJ546" i="2"/>
  <c r="BK546" i="2" s="1"/>
  <c r="BJ562" i="2"/>
  <c r="BK562" i="2" s="1"/>
  <c r="BJ578" i="2"/>
  <c r="BK578" i="2" s="1"/>
  <c r="BJ594" i="2"/>
  <c r="BK594" i="2" s="1"/>
  <c r="BJ610" i="2"/>
  <c r="BK610" i="2" s="1"/>
  <c r="BJ626" i="2"/>
  <c r="BK626" i="2" s="1"/>
  <c r="BJ642" i="2"/>
  <c r="BK642" i="2" s="1"/>
  <c r="BJ658" i="2"/>
  <c r="BK658" i="2" s="1"/>
  <c r="BJ674" i="2"/>
  <c r="BK674" i="2" s="1"/>
  <c r="BJ690" i="2"/>
  <c r="BK690" i="2" s="1"/>
  <c r="BJ706" i="2"/>
  <c r="BK706" i="2" s="1"/>
  <c r="BJ722" i="2"/>
  <c r="BK722" i="2" s="1"/>
  <c r="BJ738" i="2"/>
  <c r="BK738" i="2" s="1"/>
  <c r="BJ754" i="2"/>
  <c r="BK754" i="2" s="1"/>
  <c r="BJ770" i="2"/>
  <c r="BK770" i="2" s="1"/>
  <c r="BJ786" i="2"/>
  <c r="BK786" i="2" s="1"/>
  <c r="BJ802" i="2"/>
  <c r="BK802" i="2" s="1"/>
  <c r="BJ818" i="2"/>
  <c r="BK818" i="2" s="1"/>
  <c r="BJ834" i="2"/>
  <c r="BK834" i="2" s="1"/>
  <c r="BJ850" i="2"/>
  <c r="BK850" i="2" s="1"/>
  <c r="BJ866" i="2"/>
  <c r="BK866" i="2" s="1"/>
  <c r="BJ882" i="2"/>
  <c r="BK882" i="2" s="1"/>
  <c r="BJ898" i="2"/>
  <c r="BK898" i="2" s="1"/>
  <c r="BJ914" i="2"/>
  <c r="BK914" i="2" s="1"/>
  <c r="BJ930" i="2"/>
  <c r="BK930" i="2" s="1"/>
  <c r="BJ946" i="2"/>
  <c r="BK946" i="2" s="1"/>
  <c r="BJ962" i="2"/>
  <c r="BK962" i="2" s="1"/>
  <c r="BJ978" i="2"/>
  <c r="BK978" i="2" s="1"/>
  <c r="BJ994" i="2"/>
  <c r="BK994" i="2" s="1"/>
  <c r="BJ1010" i="2"/>
  <c r="BK1010" i="2" s="1"/>
  <c r="BJ1026" i="2"/>
  <c r="BK1026" i="2" s="1"/>
  <c r="BJ1042" i="2"/>
  <c r="BK1042" i="2" s="1"/>
  <c r="BJ1058" i="2"/>
  <c r="BK1058" i="2" s="1"/>
  <c r="BJ1074" i="2"/>
  <c r="BK1074" i="2" s="1"/>
  <c r="BJ1090" i="2"/>
  <c r="BK1090" i="2" s="1"/>
  <c r="BJ1106" i="2"/>
  <c r="BK1106" i="2" s="1"/>
  <c r="BJ1122" i="2"/>
  <c r="BK1122" i="2" s="1"/>
  <c r="BJ1138" i="2"/>
  <c r="BK1138" i="2" s="1"/>
  <c r="BJ1154" i="2"/>
  <c r="BK1154" i="2" s="1"/>
  <c r="BJ1170" i="2"/>
  <c r="BK1170" i="2" s="1"/>
  <c r="BJ1186" i="2"/>
  <c r="BK1186" i="2" s="1"/>
  <c r="BJ1202" i="2"/>
  <c r="BK1202" i="2" s="1"/>
  <c r="BJ1218" i="2"/>
  <c r="BK1218" i="2" s="1"/>
  <c r="BJ1234" i="2"/>
  <c r="BK1234" i="2" s="1"/>
  <c r="BJ1250" i="2"/>
  <c r="BK1250" i="2" s="1"/>
  <c r="BJ1266" i="2"/>
  <c r="BK1266" i="2" s="1"/>
  <c r="BJ1282" i="2"/>
  <c r="BK1282" i="2" s="1"/>
  <c r="BJ1298" i="2"/>
  <c r="BK1298" i="2" s="1"/>
  <c r="BJ1314" i="2"/>
  <c r="BK1314" i="2" s="1"/>
  <c r="BJ1330" i="2"/>
  <c r="BK1330" i="2" s="1"/>
  <c r="BJ1346" i="2"/>
  <c r="BK1346" i="2" s="1"/>
  <c r="BJ1362" i="2"/>
  <c r="BK1362" i="2" s="1"/>
  <c r="BJ1378" i="2"/>
  <c r="BK1378" i="2" s="1"/>
  <c r="BJ1394" i="2"/>
  <c r="BK1394" i="2" s="1"/>
  <c r="BJ1410" i="2"/>
  <c r="BK1410" i="2" s="1"/>
  <c r="BJ1426" i="2"/>
  <c r="BK1426" i="2" s="1"/>
  <c r="BJ1442" i="2"/>
  <c r="BK1442" i="2" s="1"/>
  <c r="BJ1458" i="2"/>
  <c r="BK1458" i="2" s="1"/>
  <c r="BJ1474" i="2"/>
  <c r="BK1474" i="2" s="1"/>
  <c r="BJ1490" i="2"/>
  <c r="BK1490" i="2" s="1"/>
  <c r="BJ1506" i="2"/>
  <c r="BK1506" i="2" s="1"/>
  <c r="BJ1522" i="2"/>
  <c r="BK1522" i="2" s="1"/>
  <c r="BJ1538" i="2"/>
  <c r="BK1538" i="2" s="1"/>
  <c r="BJ1554" i="2"/>
  <c r="BK1554" i="2" s="1"/>
  <c r="BJ1570" i="2"/>
  <c r="BK1570" i="2" s="1"/>
  <c r="BJ1586" i="2"/>
  <c r="BK1586" i="2" s="1"/>
  <c r="BJ1602" i="2"/>
  <c r="BK1602" i="2" s="1"/>
  <c r="BJ1618" i="2"/>
  <c r="BK1618" i="2" s="1"/>
  <c r="BJ1634" i="2"/>
  <c r="BK1634" i="2" s="1"/>
  <c r="BJ1650" i="2"/>
  <c r="BK1650" i="2" s="1"/>
  <c r="BJ1666" i="2"/>
  <c r="BK1666" i="2" s="1"/>
  <c r="BJ1682" i="2"/>
  <c r="BK1682" i="2" s="1"/>
  <c r="BJ1698" i="2"/>
  <c r="BK1698" i="2" s="1"/>
  <c r="BJ1714" i="2"/>
  <c r="BK1714" i="2" s="1"/>
  <c r="BJ1730" i="2"/>
  <c r="BK1730" i="2" s="1"/>
  <c r="BJ1746" i="2"/>
  <c r="BK1746" i="2" s="1"/>
  <c r="BJ1762" i="2"/>
  <c r="BK1762" i="2" s="1"/>
  <c r="BJ1778" i="2"/>
  <c r="BK1778" i="2" s="1"/>
  <c r="BJ1794" i="2"/>
  <c r="BK1794" i="2" s="1"/>
  <c r="BJ1810" i="2"/>
  <c r="BK1810" i="2" s="1"/>
  <c r="BJ1826" i="2"/>
  <c r="BK1826" i="2" s="1"/>
  <c r="BJ1842" i="2"/>
  <c r="BK1842" i="2" s="1"/>
  <c r="BM2118" i="2"/>
  <c r="BN2118" i="2" s="1"/>
  <c r="BJ2118" i="2"/>
  <c r="BK2118" i="2" s="1"/>
  <c r="BM2106" i="2"/>
  <c r="BN2106" i="2" s="1"/>
  <c r="BJ2106" i="2"/>
  <c r="BK2106" i="2" s="1"/>
  <c r="BM2094" i="2"/>
  <c r="BN2094" i="2" s="1"/>
  <c r="BJ2094" i="2"/>
  <c r="BK2094" i="2" s="1"/>
  <c r="BM2082" i="2"/>
  <c r="BN2082" i="2" s="1"/>
  <c r="BJ2082" i="2"/>
  <c r="BK2082" i="2" s="1"/>
  <c r="BM2070" i="2"/>
  <c r="BN2070" i="2" s="1"/>
  <c r="BJ2070" i="2"/>
  <c r="BK2070" i="2" s="1"/>
  <c r="BM2058" i="2"/>
  <c r="BN2058" i="2" s="1"/>
  <c r="BJ2058" i="2"/>
  <c r="BK2058" i="2" s="1"/>
  <c r="BM2046" i="2"/>
  <c r="BN2046" i="2" s="1"/>
  <c r="BJ2046" i="2"/>
  <c r="BK2046" i="2" s="1"/>
  <c r="BM2034" i="2"/>
  <c r="BN2034" i="2" s="1"/>
  <c r="BJ2034" i="2"/>
  <c r="BK2034" i="2" s="1"/>
  <c r="BM2022" i="2"/>
  <c r="BN2022" i="2" s="1"/>
  <c r="BJ2022" i="2"/>
  <c r="BK2022" i="2" s="1"/>
  <c r="BM2014" i="2"/>
  <c r="BN2014" i="2" s="1"/>
  <c r="BJ2014" i="2"/>
  <c r="BK2014" i="2" s="1"/>
  <c r="BM2002" i="2"/>
  <c r="BN2002" i="2" s="1"/>
  <c r="BJ2002" i="2"/>
  <c r="BK2002" i="2" s="1"/>
  <c r="BM1986" i="2"/>
  <c r="BN1986" i="2" s="1"/>
  <c r="BJ1986" i="2"/>
  <c r="BK1986" i="2" s="1"/>
  <c r="BM1966" i="2"/>
  <c r="BN1966" i="2" s="1"/>
  <c r="BJ1966" i="2"/>
  <c r="BK1966" i="2" s="1"/>
  <c r="BM1950" i="2"/>
  <c r="BN1950" i="2" s="1"/>
  <c r="BJ1950" i="2"/>
  <c r="BK1950" i="2" s="1"/>
  <c r="BM1934" i="2"/>
  <c r="BN1934" i="2" s="1"/>
  <c r="BJ1934" i="2"/>
  <c r="BK1934" i="2" s="1"/>
  <c r="BM1918" i="2"/>
  <c r="BN1918" i="2" s="1"/>
  <c r="BJ1918" i="2"/>
  <c r="BK1918" i="2" s="1"/>
  <c r="BM1902" i="2"/>
  <c r="BN1902" i="2" s="1"/>
  <c r="BJ1902" i="2"/>
  <c r="BK1902" i="2" s="1"/>
  <c r="BM1886" i="2"/>
  <c r="BN1886" i="2" s="1"/>
  <c r="BJ1886" i="2"/>
  <c r="BK1886" i="2" s="1"/>
  <c r="BM1870" i="2"/>
  <c r="BN1870" i="2" s="1"/>
  <c r="BJ1870" i="2"/>
  <c r="BK1870" i="2" s="1"/>
  <c r="BM1854" i="2"/>
  <c r="BN1854" i="2" s="1"/>
  <c r="BJ1854" i="2"/>
  <c r="BK1854" i="2" s="1"/>
  <c r="BM274" i="2"/>
  <c r="BN274" i="2" s="1"/>
  <c r="BJ274" i="2"/>
  <c r="BK274" i="2" s="1"/>
  <c r="BM82" i="2"/>
  <c r="BN82" i="2" s="1"/>
  <c r="BJ82" i="2"/>
  <c r="BK82" i="2" s="1"/>
  <c r="BM2131" i="2"/>
  <c r="BN2131" i="2" s="1"/>
  <c r="BJ2131" i="2"/>
  <c r="BK2131" i="2" s="1"/>
  <c r="BM2127" i="2"/>
  <c r="BN2127" i="2" s="1"/>
  <c r="BJ2127" i="2"/>
  <c r="BK2127" i="2" s="1"/>
  <c r="BM2123" i="2"/>
  <c r="BN2123" i="2" s="1"/>
  <c r="BJ2123" i="2"/>
  <c r="BK2123" i="2" s="1"/>
  <c r="BM2119" i="2"/>
  <c r="BN2119" i="2" s="1"/>
  <c r="BJ2119" i="2"/>
  <c r="BK2119" i="2" s="1"/>
  <c r="BM2115" i="2"/>
  <c r="BN2115" i="2" s="1"/>
  <c r="BJ2115" i="2"/>
  <c r="BK2115" i="2" s="1"/>
  <c r="BM2111" i="2"/>
  <c r="BN2111" i="2" s="1"/>
  <c r="BJ2111" i="2"/>
  <c r="BK2111" i="2" s="1"/>
  <c r="BM2107" i="2"/>
  <c r="BN2107" i="2" s="1"/>
  <c r="BJ2107" i="2"/>
  <c r="BK2107" i="2" s="1"/>
  <c r="BM2103" i="2"/>
  <c r="BN2103" i="2" s="1"/>
  <c r="BJ2103" i="2"/>
  <c r="BK2103" i="2" s="1"/>
  <c r="BM2099" i="2"/>
  <c r="BN2099" i="2" s="1"/>
  <c r="BJ2099" i="2"/>
  <c r="BK2099" i="2" s="1"/>
  <c r="BM2095" i="2"/>
  <c r="BN2095" i="2" s="1"/>
  <c r="BJ2095" i="2"/>
  <c r="BK2095" i="2" s="1"/>
  <c r="BM2091" i="2"/>
  <c r="BN2091" i="2" s="1"/>
  <c r="BJ2091" i="2"/>
  <c r="BK2091" i="2" s="1"/>
  <c r="BM2087" i="2"/>
  <c r="BN2087" i="2" s="1"/>
  <c r="BJ2087" i="2"/>
  <c r="BK2087" i="2" s="1"/>
  <c r="BM2083" i="2"/>
  <c r="BN2083" i="2" s="1"/>
  <c r="BJ2083" i="2"/>
  <c r="BK2083" i="2" s="1"/>
  <c r="BM2079" i="2"/>
  <c r="BN2079" i="2" s="1"/>
  <c r="BJ2079" i="2"/>
  <c r="BK2079" i="2" s="1"/>
  <c r="BM2075" i="2"/>
  <c r="BN2075" i="2" s="1"/>
  <c r="BJ2075" i="2"/>
  <c r="BK2075" i="2" s="1"/>
  <c r="BM2071" i="2"/>
  <c r="BN2071" i="2" s="1"/>
  <c r="BJ2071" i="2"/>
  <c r="BK2071" i="2" s="1"/>
  <c r="BM2067" i="2"/>
  <c r="BN2067" i="2" s="1"/>
  <c r="BJ2067" i="2"/>
  <c r="BK2067" i="2" s="1"/>
  <c r="BM2063" i="2"/>
  <c r="BN2063" i="2" s="1"/>
  <c r="BJ2063" i="2"/>
  <c r="BK2063" i="2" s="1"/>
  <c r="BM2059" i="2"/>
  <c r="BN2059" i="2" s="1"/>
  <c r="BJ2059" i="2"/>
  <c r="BK2059" i="2" s="1"/>
  <c r="BM2055" i="2"/>
  <c r="BN2055" i="2" s="1"/>
  <c r="BJ2055" i="2"/>
  <c r="BK2055" i="2" s="1"/>
  <c r="BM2051" i="2"/>
  <c r="BN2051" i="2" s="1"/>
  <c r="BJ2051" i="2"/>
  <c r="BK2051" i="2" s="1"/>
  <c r="BM2047" i="2"/>
  <c r="BN2047" i="2" s="1"/>
  <c r="BJ2047" i="2"/>
  <c r="BK2047" i="2" s="1"/>
  <c r="BM2043" i="2"/>
  <c r="BN2043" i="2" s="1"/>
  <c r="BJ2043" i="2"/>
  <c r="BK2043" i="2" s="1"/>
  <c r="BM2039" i="2"/>
  <c r="BN2039" i="2" s="1"/>
  <c r="BJ2039" i="2"/>
  <c r="BK2039" i="2" s="1"/>
  <c r="BM2035" i="2"/>
  <c r="BN2035" i="2" s="1"/>
  <c r="BJ2035" i="2"/>
  <c r="BK2035" i="2" s="1"/>
  <c r="BM2031" i="2"/>
  <c r="BN2031" i="2" s="1"/>
  <c r="BJ2031" i="2"/>
  <c r="BK2031" i="2" s="1"/>
  <c r="BM2027" i="2"/>
  <c r="BN2027" i="2" s="1"/>
  <c r="BJ2027" i="2"/>
  <c r="BK2027" i="2" s="1"/>
  <c r="BM2023" i="2"/>
  <c r="BN2023" i="2" s="1"/>
  <c r="BJ2023" i="2"/>
  <c r="BK2023" i="2" s="1"/>
  <c r="BM2019" i="2"/>
  <c r="BN2019" i="2" s="1"/>
  <c r="BJ2019" i="2"/>
  <c r="BK2019" i="2" s="1"/>
  <c r="BM2015" i="2"/>
  <c r="BN2015" i="2" s="1"/>
  <c r="BJ2015" i="2"/>
  <c r="BK2015" i="2" s="1"/>
  <c r="BM2011" i="2"/>
  <c r="BN2011" i="2" s="1"/>
  <c r="BJ2011" i="2"/>
  <c r="BK2011" i="2" s="1"/>
  <c r="BM2007" i="2"/>
  <c r="BN2007" i="2" s="1"/>
  <c r="BJ2007" i="2"/>
  <c r="BK2007" i="2" s="1"/>
  <c r="BM2003" i="2"/>
  <c r="BN2003" i="2" s="1"/>
  <c r="BJ2003" i="2"/>
  <c r="BK2003" i="2" s="1"/>
  <c r="BM1999" i="2"/>
  <c r="BN1999" i="2" s="1"/>
  <c r="BJ1999" i="2"/>
  <c r="BK1999" i="2" s="1"/>
  <c r="BM1995" i="2"/>
  <c r="BN1995" i="2" s="1"/>
  <c r="BJ1995" i="2"/>
  <c r="BK1995" i="2" s="1"/>
  <c r="BM1991" i="2"/>
  <c r="BN1991" i="2" s="1"/>
  <c r="BJ1991" i="2"/>
  <c r="BK1991" i="2" s="1"/>
  <c r="BM1987" i="2"/>
  <c r="BN1987" i="2" s="1"/>
  <c r="BJ1987" i="2"/>
  <c r="BK1987" i="2" s="1"/>
  <c r="BM1983" i="2"/>
  <c r="BN1983" i="2" s="1"/>
  <c r="BJ1983" i="2"/>
  <c r="BK1983" i="2" s="1"/>
  <c r="BM1979" i="2"/>
  <c r="BN1979" i="2" s="1"/>
  <c r="BJ1979" i="2"/>
  <c r="BK1979" i="2" s="1"/>
  <c r="BM1975" i="2"/>
  <c r="BN1975" i="2" s="1"/>
  <c r="BJ1975" i="2"/>
  <c r="BK1975" i="2" s="1"/>
  <c r="BM1971" i="2"/>
  <c r="BN1971" i="2" s="1"/>
  <c r="BJ1971" i="2"/>
  <c r="BK1971" i="2" s="1"/>
  <c r="BM1967" i="2"/>
  <c r="BN1967" i="2" s="1"/>
  <c r="BJ1967" i="2"/>
  <c r="BK1967" i="2" s="1"/>
  <c r="BM1963" i="2"/>
  <c r="BN1963" i="2" s="1"/>
  <c r="BJ1963" i="2"/>
  <c r="BK1963" i="2" s="1"/>
  <c r="BM1959" i="2"/>
  <c r="BN1959" i="2" s="1"/>
  <c r="BJ1959" i="2"/>
  <c r="BK1959" i="2" s="1"/>
  <c r="BM1955" i="2"/>
  <c r="BN1955" i="2" s="1"/>
  <c r="BJ1955" i="2"/>
  <c r="BK1955" i="2" s="1"/>
  <c r="BM1951" i="2"/>
  <c r="BN1951" i="2" s="1"/>
  <c r="BJ1951" i="2"/>
  <c r="BK1951" i="2" s="1"/>
  <c r="BM1947" i="2"/>
  <c r="BN1947" i="2" s="1"/>
  <c r="BJ1947" i="2"/>
  <c r="BK1947" i="2" s="1"/>
  <c r="BM1943" i="2"/>
  <c r="BN1943" i="2" s="1"/>
  <c r="BJ1943" i="2"/>
  <c r="BK1943" i="2" s="1"/>
  <c r="BM1939" i="2"/>
  <c r="BN1939" i="2" s="1"/>
  <c r="BJ1939" i="2"/>
  <c r="BK1939" i="2" s="1"/>
  <c r="BM1935" i="2"/>
  <c r="BN1935" i="2" s="1"/>
  <c r="BJ1935" i="2"/>
  <c r="BK1935" i="2" s="1"/>
  <c r="BM1931" i="2"/>
  <c r="BN1931" i="2" s="1"/>
  <c r="BJ1931" i="2"/>
  <c r="BK1931" i="2" s="1"/>
  <c r="BM1927" i="2"/>
  <c r="BN1927" i="2" s="1"/>
  <c r="BJ1927" i="2"/>
  <c r="BK1927" i="2" s="1"/>
  <c r="BM1923" i="2"/>
  <c r="BN1923" i="2" s="1"/>
  <c r="BJ1923" i="2"/>
  <c r="BK1923" i="2" s="1"/>
  <c r="BM1919" i="2"/>
  <c r="BN1919" i="2" s="1"/>
  <c r="BJ1919" i="2"/>
  <c r="BK1919" i="2" s="1"/>
  <c r="BM1915" i="2"/>
  <c r="BN1915" i="2" s="1"/>
  <c r="BJ1915" i="2"/>
  <c r="BK1915" i="2" s="1"/>
  <c r="BM1911" i="2"/>
  <c r="BN1911" i="2" s="1"/>
  <c r="BJ1911" i="2"/>
  <c r="BK1911" i="2" s="1"/>
  <c r="BM1907" i="2"/>
  <c r="BN1907" i="2" s="1"/>
  <c r="BJ1907" i="2"/>
  <c r="BK1907" i="2" s="1"/>
  <c r="BM1903" i="2"/>
  <c r="BN1903" i="2" s="1"/>
  <c r="BJ1903" i="2"/>
  <c r="BK1903" i="2" s="1"/>
  <c r="BM1899" i="2"/>
  <c r="BN1899" i="2" s="1"/>
  <c r="BJ1899" i="2"/>
  <c r="BK1899" i="2" s="1"/>
  <c r="BM1895" i="2"/>
  <c r="BN1895" i="2" s="1"/>
  <c r="BJ1895" i="2"/>
  <c r="BK1895" i="2" s="1"/>
  <c r="BM1891" i="2"/>
  <c r="BN1891" i="2" s="1"/>
  <c r="BJ1891" i="2"/>
  <c r="BK1891" i="2" s="1"/>
  <c r="BM1887" i="2"/>
  <c r="BN1887" i="2" s="1"/>
  <c r="BJ1887" i="2"/>
  <c r="BK1887" i="2" s="1"/>
  <c r="BM1883" i="2"/>
  <c r="BN1883" i="2" s="1"/>
  <c r="BJ1883" i="2"/>
  <c r="BK1883" i="2" s="1"/>
  <c r="BM1879" i="2"/>
  <c r="BN1879" i="2" s="1"/>
  <c r="BJ1879" i="2"/>
  <c r="BK1879" i="2" s="1"/>
  <c r="BM1875" i="2"/>
  <c r="BN1875" i="2" s="1"/>
  <c r="BJ1875" i="2"/>
  <c r="BK1875" i="2" s="1"/>
  <c r="BM1871" i="2"/>
  <c r="BN1871" i="2" s="1"/>
  <c r="BJ1871" i="2"/>
  <c r="BK1871" i="2" s="1"/>
  <c r="BM1867" i="2"/>
  <c r="BN1867" i="2" s="1"/>
  <c r="BJ1867" i="2"/>
  <c r="BK1867" i="2" s="1"/>
  <c r="BM1863" i="2"/>
  <c r="BN1863" i="2" s="1"/>
  <c r="BJ1863" i="2"/>
  <c r="BK1863" i="2" s="1"/>
  <c r="BM1859" i="2"/>
  <c r="BN1859" i="2" s="1"/>
  <c r="BJ1859" i="2"/>
  <c r="BK1859" i="2" s="1"/>
  <c r="BM1855" i="2"/>
  <c r="BN1855" i="2" s="1"/>
  <c r="BJ1855" i="2"/>
  <c r="BK1855" i="2" s="1"/>
  <c r="BM1851" i="2"/>
  <c r="BN1851" i="2" s="1"/>
  <c r="BJ1851" i="2"/>
  <c r="BK1851" i="2" s="1"/>
  <c r="BM1847" i="2"/>
  <c r="BN1847" i="2" s="1"/>
  <c r="BJ1847" i="2"/>
  <c r="BK1847" i="2" s="1"/>
  <c r="BM1843" i="2"/>
  <c r="BN1843" i="2" s="1"/>
  <c r="BJ1843" i="2"/>
  <c r="BK1843" i="2" s="1"/>
  <c r="BM1839" i="2"/>
  <c r="BN1839" i="2" s="1"/>
  <c r="BJ1839" i="2"/>
  <c r="BK1839" i="2" s="1"/>
  <c r="BM1835" i="2"/>
  <c r="BN1835" i="2" s="1"/>
  <c r="BJ1835" i="2"/>
  <c r="BK1835" i="2" s="1"/>
  <c r="BM1831" i="2"/>
  <c r="BN1831" i="2" s="1"/>
  <c r="BJ1831" i="2"/>
  <c r="BK1831" i="2" s="1"/>
  <c r="BM1827" i="2"/>
  <c r="BN1827" i="2" s="1"/>
  <c r="BJ1827" i="2"/>
  <c r="BK1827" i="2" s="1"/>
  <c r="BM1823" i="2"/>
  <c r="BN1823" i="2" s="1"/>
  <c r="BJ1823" i="2"/>
  <c r="BK1823" i="2" s="1"/>
  <c r="BM1819" i="2"/>
  <c r="BN1819" i="2" s="1"/>
  <c r="BJ1819" i="2"/>
  <c r="BK1819" i="2" s="1"/>
  <c r="BM1815" i="2"/>
  <c r="BN1815" i="2" s="1"/>
  <c r="BJ1815" i="2"/>
  <c r="BK1815" i="2" s="1"/>
  <c r="BM1811" i="2"/>
  <c r="BN1811" i="2" s="1"/>
  <c r="BJ1811" i="2"/>
  <c r="BK1811" i="2" s="1"/>
  <c r="BM1807" i="2"/>
  <c r="BN1807" i="2" s="1"/>
  <c r="BJ1807" i="2"/>
  <c r="BK1807" i="2" s="1"/>
  <c r="BM1803" i="2"/>
  <c r="BN1803" i="2" s="1"/>
  <c r="BJ1803" i="2"/>
  <c r="BK1803" i="2" s="1"/>
  <c r="BM1799" i="2"/>
  <c r="BN1799" i="2" s="1"/>
  <c r="BJ1799" i="2"/>
  <c r="BK1799" i="2" s="1"/>
  <c r="BM1795" i="2"/>
  <c r="BN1795" i="2" s="1"/>
  <c r="BJ1795" i="2"/>
  <c r="BK1795" i="2" s="1"/>
  <c r="BM1791" i="2"/>
  <c r="BN1791" i="2" s="1"/>
  <c r="BJ1791" i="2"/>
  <c r="BK1791" i="2" s="1"/>
  <c r="BM1787" i="2"/>
  <c r="BN1787" i="2" s="1"/>
  <c r="BJ1787" i="2"/>
  <c r="BK1787" i="2" s="1"/>
  <c r="BM1783" i="2"/>
  <c r="BN1783" i="2" s="1"/>
  <c r="BJ1783" i="2"/>
  <c r="BK1783" i="2" s="1"/>
  <c r="BM1779" i="2"/>
  <c r="BN1779" i="2" s="1"/>
  <c r="BJ1779" i="2"/>
  <c r="BK1779" i="2" s="1"/>
  <c r="BM1775" i="2"/>
  <c r="BN1775" i="2" s="1"/>
  <c r="BJ1775" i="2"/>
  <c r="BK1775" i="2" s="1"/>
  <c r="BM1771" i="2"/>
  <c r="BN1771" i="2" s="1"/>
  <c r="BJ1771" i="2"/>
  <c r="BK1771" i="2" s="1"/>
  <c r="BM1767" i="2"/>
  <c r="BN1767" i="2" s="1"/>
  <c r="BJ1767" i="2"/>
  <c r="BK1767" i="2" s="1"/>
  <c r="BM1763" i="2"/>
  <c r="BN1763" i="2" s="1"/>
  <c r="BJ1763" i="2"/>
  <c r="BK1763" i="2" s="1"/>
  <c r="BM1759" i="2"/>
  <c r="BN1759" i="2" s="1"/>
  <c r="BJ1759" i="2"/>
  <c r="BK1759" i="2" s="1"/>
  <c r="BM1755" i="2"/>
  <c r="BN1755" i="2" s="1"/>
  <c r="BJ1755" i="2"/>
  <c r="BK1755" i="2" s="1"/>
  <c r="BM1751" i="2"/>
  <c r="BN1751" i="2" s="1"/>
  <c r="BJ1751" i="2"/>
  <c r="BK1751" i="2" s="1"/>
  <c r="BM1747" i="2"/>
  <c r="BN1747" i="2" s="1"/>
  <c r="BJ1747" i="2"/>
  <c r="BK1747" i="2" s="1"/>
  <c r="BM1743" i="2"/>
  <c r="BN1743" i="2" s="1"/>
  <c r="BJ1743" i="2"/>
  <c r="BK1743" i="2" s="1"/>
  <c r="BM1739" i="2"/>
  <c r="BN1739" i="2" s="1"/>
  <c r="BJ1739" i="2"/>
  <c r="BK1739" i="2" s="1"/>
  <c r="BM1735" i="2"/>
  <c r="BN1735" i="2" s="1"/>
  <c r="BJ1735" i="2"/>
  <c r="BK1735" i="2" s="1"/>
  <c r="BM1731" i="2"/>
  <c r="BN1731" i="2" s="1"/>
  <c r="BJ1731" i="2"/>
  <c r="BK1731" i="2" s="1"/>
  <c r="BM1727" i="2"/>
  <c r="BN1727" i="2" s="1"/>
  <c r="BJ1727" i="2"/>
  <c r="BK1727" i="2" s="1"/>
  <c r="BM1723" i="2"/>
  <c r="BN1723" i="2" s="1"/>
  <c r="BJ1723" i="2"/>
  <c r="BK1723" i="2" s="1"/>
  <c r="BM1719" i="2"/>
  <c r="BN1719" i="2" s="1"/>
  <c r="BJ1719" i="2"/>
  <c r="BK1719" i="2" s="1"/>
  <c r="BM1715" i="2"/>
  <c r="BN1715" i="2" s="1"/>
  <c r="BJ1715" i="2"/>
  <c r="BK1715" i="2" s="1"/>
  <c r="BM1711" i="2"/>
  <c r="BN1711" i="2" s="1"/>
  <c r="BJ1711" i="2"/>
  <c r="BK1711" i="2" s="1"/>
  <c r="BM1707" i="2"/>
  <c r="BN1707" i="2" s="1"/>
  <c r="BJ1707" i="2"/>
  <c r="BK1707" i="2" s="1"/>
  <c r="BM1703" i="2"/>
  <c r="BN1703" i="2" s="1"/>
  <c r="BJ1703" i="2"/>
  <c r="BK1703" i="2" s="1"/>
  <c r="BM1699" i="2"/>
  <c r="BN1699" i="2" s="1"/>
  <c r="BJ1699" i="2"/>
  <c r="BK1699" i="2" s="1"/>
  <c r="BM1695" i="2"/>
  <c r="BN1695" i="2" s="1"/>
  <c r="BJ1695" i="2"/>
  <c r="BK1695" i="2" s="1"/>
  <c r="BM1691" i="2"/>
  <c r="BN1691" i="2" s="1"/>
  <c r="BJ1691" i="2"/>
  <c r="BK1691" i="2" s="1"/>
  <c r="BM1687" i="2"/>
  <c r="BN1687" i="2" s="1"/>
  <c r="BJ1687" i="2"/>
  <c r="BK1687" i="2" s="1"/>
  <c r="BM1683" i="2"/>
  <c r="BN1683" i="2" s="1"/>
  <c r="BJ1683" i="2"/>
  <c r="BK1683" i="2" s="1"/>
  <c r="BM1679" i="2"/>
  <c r="BN1679" i="2" s="1"/>
  <c r="BJ1679" i="2"/>
  <c r="BK1679" i="2" s="1"/>
  <c r="BM1675" i="2"/>
  <c r="BN1675" i="2" s="1"/>
  <c r="BJ1675" i="2"/>
  <c r="BK1675" i="2" s="1"/>
  <c r="BM1671" i="2"/>
  <c r="BN1671" i="2" s="1"/>
  <c r="BJ1671" i="2"/>
  <c r="BK1671" i="2" s="1"/>
  <c r="BM1667" i="2"/>
  <c r="BN1667" i="2" s="1"/>
  <c r="BJ1667" i="2"/>
  <c r="BK1667" i="2" s="1"/>
  <c r="BM1663" i="2"/>
  <c r="BN1663" i="2" s="1"/>
  <c r="BJ1663" i="2"/>
  <c r="BK1663" i="2" s="1"/>
  <c r="BM1659" i="2"/>
  <c r="BN1659" i="2" s="1"/>
  <c r="BJ1659" i="2"/>
  <c r="BK1659" i="2" s="1"/>
  <c r="BM1655" i="2"/>
  <c r="BN1655" i="2" s="1"/>
  <c r="BJ1655" i="2"/>
  <c r="BK1655" i="2" s="1"/>
  <c r="BM1651" i="2"/>
  <c r="BN1651" i="2" s="1"/>
  <c r="BJ1651" i="2"/>
  <c r="BK1651" i="2" s="1"/>
  <c r="BM1647" i="2"/>
  <c r="BN1647" i="2" s="1"/>
  <c r="BJ1647" i="2"/>
  <c r="BK1647" i="2" s="1"/>
  <c r="BM1643" i="2"/>
  <c r="BN1643" i="2" s="1"/>
  <c r="BJ1643" i="2"/>
  <c r="BK1643" i="2" s="1"/>
  <c r="BM1639" i="2"/>
  <c r="BN1639" i="2" s="1"/>
  <c r="BJ1639" i="2"/>
  <c r="BK1639" i="2" s="1"/>
  <c r="BM1635" i="2"/>
  <c r="BN1635" i="2" s="1"/>
  <c r="BJ1635" i="2"/>
  <c r="BK1635" i="2" s="1"/>
  <c r="BM1631" i="2"/>
  <c r="BN1631" i="2" s="1"/>
  <c r="BJ1631" i="2"/>
  <c r="BK1631" i="2" s="1"/>
  <c r="BM1627" i="2"/>
  <c r="BN1627" i="2" s="1"/>
  <c r="BJ1627" i="2"/>
  <c r="BK1627" i="2" s="1"/>
  <c r="BM1623" i="2"/>
  <c r="BN1623" i="2" s="1"/>
  <c r="BJ1623" i="2"/>
  <c r="BK1623" i="2" s="1"/>
  <c r="BM1619" i="2"/>
  <c r="BN1619" i="2" s="1"/>
  <c r="BJ1619" i="2"/>
  <c r="BK1619" i="2" s="1"/>
  <c r="BM1615" i="2"/>
  <c r="BN1615" i="2" s="1"/>
  <c r="BJ1615" i="2"/>
  <c r="BK1615" i="2" s="1"/>
  <c r="BM1611" i="2"/>
  <c r="BN1611" i="2" s="1"/>
  <c r="BJ1611" i="2"/>
  <c r="BK1611" i="2" s="1"/>
  <c r="BM1607" i="2"/>
  <c r="BN1607" i="2" s="1"/>
  <c r="BJ1607" i="2"/>
  <c r="BK1607" i="2" s="1"/>
  <c r="BM1603" i="2"/>
  <c r="BN1603" i="2" s="1"/>
  <c r="BJ1603" i="2"/>
  <c r="BK1603" i="2" s="1"/>
  <c r="BM1599" i="2"/>
  <c r="BN1599" i="2" s="1"/>
  <c r="BJ1599" i="2"/>
  <c r="BK1599" i="2" s="1"/>
  <c r="BM1595" i="2"/>
  <c r="BN1595" i="2" s="1"/>
  <c r="BJ1595" i="2"/>
  <c r="BK1595" i="2" s="1"/>
  <c r="BM1591" i="2"/>
  <c r="BN1591" i="2" s="1"/>
  <c r="BJ1591" i="2"/>
  <c r="BK1591" i="2" s="1"/>
  <c r="BM1587" i="2"/>
  <c r="BN1587" i="2" s="1"/>
  <c r="BJ1587" i="2"/>
  <c r="BK1587" i="2" s="1"/>
  <c r="BM1583" i="2"/>
  <c r="BN1583" i="2" s="1"/>
  <c r="BJ1583" i="2"/>
  <c r="BK1583" i="2" s="1"/>
  <c r="BM1579" i="2"/>
  <c r="BN1579" i="2" s="1"/>
  <c r="BJ1579" i="2"/>
  <c r="BK1579" i="2" s="1"/>
  <c r="BM1575" i="2"/>
  <c r="BN1575" i="2" s="1"/>
  <c r="BJ1575" i="2"/>
  <c r="BK1575" i="2" s="1"/>
  <c r="BM1571" i="2"/>
  <c r="BN1571" i="2" s="1"/>
  <c r="BJ1571" i="2"/>
  <c r="BK1571" i="2" s="1"/>
  <c r="BM1567" i="2"/>
  <c r="BN1567" i="2" s="1"/>
  <c r="BJ1567" i="2"/>
  <c r="BK1567" i="2" s="1"/>
  <c r="BM1563" i="2"/>
  <c r="BN1563" i="2" s="1"/>
  <c r="BJ1563" i="2"/>
  <c r="BK1563" i="2" s="1"/>
  <c r="BM1559" i="2"/>
  <c r="BN1559" i="2" s="1"/>
  <c r="BJ1559" i="2"/>
  <c r="BK1559" i="2" s="1"/>
  <c r="BM1555" i="2"/>
  <c r="BN1555" i="2" s="1"/>
  <c r="BJ1555" i="2"/>
  <c r="BK1555" i="2" s="1"/>
  <c r="BM1551" i="2"/>
  <c r="BN1551" i="2" s="1"/>
  <c r="BJ1551" i="2"/>
  <c r="BK1551" i="2" s="1"/>
  <c r="BM1547" i="2"/>
  <c r="BN1547" i="2" s="1"/>
  <c r="BJ1547" i="2"/>
  <c r="BK1547" i="2" s="1"/>
  <c r="BM1543" i="2"/>
  <c r="BN1543" i="2" s="1"/>
  <c r="BJ1543" i="2"/>
  <c r="BK1543" i="2" s="1"/>
  <c r="BM1539" i="2"/>
  <c r="BN1539" i="2" s="1"/>
  <c r="BJ1539" i="2"/>
  <c r="BK1539" i="2" s="1"/>
  <c r="BM1535" i="2"/>
  <c r="BN1535" i="2" s="1"/>
  <c r="BJ1535" i="2"/>
  <c r="BK1535" i="2" s="1"/>
  <c r="BM1531" i="2"/>
  <c r="BN1531" i="2" s="1"/>
  <c r="BJ1531" i="2"/>
  <c r="BK1531" i="2" s="1"/>
  <c r="BM1527" i="2"/>
  <c r="BN1527" i="2" s="1"/>
  <c r="BJ1527" i="2"/>
  <c r="BK1527" i="2" s="1"/>
  <c r="BM1523" i="2"/>
  <c r="BN1523" i="2" s="1"/>
  <c r="BJ1523" i="2"/>
  <c r="BK1523" i="2" s="1"/>
  <c r="BM1519" i="2"/>
  <c r="BN1519" i="2" s="1"/>
  <c r="BJ1519" i="2"/>
  <c r="BK1519" i="2" s="1"/>
  <c r="BM1515" i="2"/>
  <c r="BN1515" i="2" s="1"/>
  <c r="BJ1515" i="2"/>
  <c r="BK1515" i="2" s="1"/>
  <c r="BM1511" i="2"/>
  <c r="BN1511" i="2" s="1"/>
  <c r="BJ1511" i="2"/>
  <c r="BK1511" i="2" s="1"/>
  <c r="BM1507" i="2"/>
  <c r="BN1507" i="2" s="1"/>
  <c r="BJ1507" i="2"/>
  <c r="BK1507" i="2" s="1"/>
  <c r="BM1503" i="2"/>
  <c r="BN1503" i="2" s="1"/>
  <c r="BJ1503" i="2"/>
  <c r="BK1503" i="2" s="1"/>
  <c r="BM1499" i="2"/>
  <c r="BN1499" i="2" s="1"/>
  <c r="BJ1499" i="2"/>
  <c r="BK1499" i="2" s="1"/>
  <c r="BM1495" i="2"/>
  <c r="BN1495" i="2" s="1"/>
  <c r="BJ1495" i="2"/>
  <c r="BK1495" i="2" s="1"/>
  <c r="BM1491" i="2"/>
  <c r="BN1491" i="2" s="1"/>
  <c r="BJ1491" i="2"/>
  <c r="BK1491" i="2" s="1"/>
  <c r="BM1487" i="2"/>
  <c r="BN1487" i="2" s="1"/>
  <c r="BJ1487" i="2"/>
  <c r="BK1487" i="2" s="1"/>
  <c r="BM1483" i="2"/>
  <c r="BN1483" i="2" s="1"/>
  <c r="BJ1483" i="2"/>
  <c r="BK1483" i="2" s="1"/>
  <c r="BM1479" i="2"/>
  <c r="BN1479" i="2" s="1"/>
  <c r="BJ1479" i="2"/>
  <c r="BK1479" i="2" s="1"/>
  <c r="BM1475" i="2"/>
  <c r="BN1475" i="2" s="1"/>
  <c r="BJ1475" i="2"/>
  <c r="BK1475" i="2" s="1"/>
  <c r="BM1471" i="2"/>
  <c r="BN1471" i="2" s="1"/>
  <c r="BJ1471" i="2"/>
  <c r="BK1471" i="2" s="1"/>
  <c r="BM1467" i="2"/>
  <c r="BN1467" i="2" s="1"/>
  <c r="BJ1467" i="2"/>
  <c r="BK1467" i="2" s="1"/>
  <c r="BM1463" i="2"/>
  <c r="BN1463" i="2" s="1"/>
  <c r="BJ1463" i="2"/>
  <c r="BK1463" i="2" s="1"/>
  <c r="BM1459" i="2"/>
  <c r="BN1459" i="2" s="1"/>
  <c r="BJ1459" i="2"/>
  <c r="BK1459" i="2" s="1"/>
  <c r="BM1455" i="2"/>
  <c r="BN1455" i="2" s="1"/>
  <c r="BJ1455" i="2"/>
  <c r="BK1455" i="2" s="1"/>
  <c r="BM1451" i="2"/>
  <c r="BN1451" i="2" s="1"/>
  <c r="BJ1451" i="2"/>
  <c r="BK1451" i="2" s="1"/>
  <c r="BM1447" i="2"/>
  <c r="BN1447" i="2" s="1"/>
  <c r="BJ1447" i="2"/>
  <c r="BK1447" i="2" s="1"/>
  <c r="BM1443" i="2"/>
  <c r="BN1443" i="2" s="1"/>
  <c r="BJ1443" i="2"/>
  <c r="BK1443" i="2" s="1"/>
  <c r="BM1439" i="2"/>
  <c r="BN1439" i="2" s="1"/>
  <c r="BJ1439" i="2"/>
  <c r="BK1439" i="2" s="1"/>
  <c r="BM1435" i="2"/>
  <c r="BN1435" i="2" s="1"/>
  <c r="BJ1435" i="2"/>
  <c r="BK1435" i="2" s="1"/>
  <c r="BM1431" i="2"/>
  <c r="BN1431" i="2" s="1"/>
  <c r="BJ1431" i="2"/>
  <c r="BK1431" i="2" s="1"/>
  <c r="BM1427" i="2"/>
  <c r="BN1427" i="2" s="1"/>
  <c r="BJ1427" i="2"/>
  <c r="BK1427" i="2" s="1"/>
  <c r="BM1423" i="2"/>
  <c r="BN1423" i="2" s="1"/>
  <c r="BJ1423" i="2"/>
  <c r="BK1423" i="2" s="1"/>
  <c r="BM1419" i="2"/>
  <c r="BN1419" i="2" s="1"/>
  <c r="BJ1419" i="2"/>
  <c r="BK1419" i="2" s="1"/>
  <c r="BM1415" i="2"/>
  <c r="BN1415" i="2" s="1"/>
  <c r="BJ1415" i="2"/>
  <c r="BK1415" i="2" s="1"/>
  <c r="BM1411" i="2"/>
  <c r="BN1411" i="2" s="1"/>
  <c r="BJ1411" i="2"/>
  <c r="BK1411" i="2" s="1"/>
  <c r="BM1407" i="2"/>
  <c r="BN1407" i="2" s="1"/>
  <c r="BJ1407" i="2"/>
  <c r="BK1407" i="2" s="1"/>
  <c r="BM1403" i="2"/>
  <c r="BN1403" i="2" s="1"/>
  <c r="BJ1403" i="2"/>
  <c r="BK1403" i="2" s="1"/>
  <c r="BM1399" i="2"/>
  <c r="BN1399" i="2" s="1"/>
  <c r="BJ1399" i="2"/>
  <c r="BK1399" i="2" s="1"/>
  <c r="BM1395" i="2"/>
  <c r="BN1395" i="2" s="1"/>
  <c r="BJ1395" i="2"/>
  <c r="BK1395" i="2" s="1"/>
  <c r="BM1391" i="2"/>
  <c r="BN1391" i="2" s="1"/>
  <c r="BJ1391" i="2"/>
  <c r="BK1391" i="2" s="1"/>
  <c r="BM1387" i="2"/>
  <c r="BN1387" i="2" s="1"/>
  <c r="BJ1387" i="2"/>
  <c r="BK1387" i="2" s="1"/>
  <c r="BM1383" i="2"/>
  <c r="BN1383" i="2" s="1"/>
  <c r="BJ1383" i="2"/>
  <c r="BK1383" i="2" s="1"/>
  <c r="BM1379" i="2"/>
  <c r="BN1379" i="2" s="1"/>
  <c r="BJ1379" i="2"/>
  <c r="BK1379" i="2" s="1"/>
  <c r="BM1375" i="2"/>
  <c r="BN1375" i="2" s="1"/>
  <c r="BJ1375" i="2"/>
  <c r="BK1375" i="2" s="1"/>
  <c r="BM1371" i="2"/>
  <c r="BN1371" i="2" s="1"/>
  <c r="BJ1371" i="2"/>
  <c r="BK1371" i="2" s="1"/>
  <c r="BM1367" i="2"/>
  <c r="BN1367" i="2" s="1"/>
  <c r="BJ1367" i="2"/>
  <c r="BK1367" i="2" s="1"/>
  <c r="BM1363" i="2"/>
  <c r="BN1363" i="2" s="1"/>
  <c r="BJ1363" i="2"/>
  <c r="BK1363" i="2" s="1"/>
  <c r="BM1359" i="2"/>
  <c r="BN1359" i="2" s="1"/>
  <c r="BJ1359" i="2"/>
  <c r="BK1359" i="2" s="1"/>
  <c r="BM1355" i="2"/>
  <c r="BN1355" i="2" s="1"/>
  <c r="BJ1355" i="2"/>
  <c r="BK1355" i="2" s="1"/>
  <c r="BM1351" i="2"/>
  <c r="BN1351" i="2" s="1"/>
  <c r="BJ1351" i="2"/>
  <c r="BK1351" i="2" s="1"/>
  <c r="BM1347" i="2"/>
  <c r="BN1347" i="2" s="1"/>
  <c r="BJ1347" i="2"/>
  <c r="BK1347" i="2" s="1"/>
  <c r="BM1343" i="2"/>
  <c r="BN1343" i="2" s="1"/>
  <c r="BJ1343" i="2"/>
  <c r="BK1343" i="2" s="1"/>
  <c r="BM1339" i="2"/>
  <c r="BN1339" i="2" s="1"/>
  <c r="BJ1339" i="2"/>
  <c r="BK1339" i="2" s="1"/>
  <c r="BM1335" i="2"/>
  <c r="BN1335" i="2" s="1"/>
  <c r="BJ1335" i="2"/>
  <c r="BK1335" i="2" s="1"/>
  <c r="BM1331" i="2"/>
  <c r="BN1331" i="2" s="1"/>
  <c r="BJ1331" i="2"/>
  <c r="BK1331" i="2" s="1"/>
  <c r="BM1327" i="2"/>
  <c r="BN1327" i="2" s="1"/>
  <c r="BJ1327" i="2"/>
  <c r="BK1327" i="2" s="1"/>
  <c r="BM1323" i="2"/>
  <c r="BN1323" i="2" s="1"/>
  <c r="BJ1323" i="2"/>
  <c r="BK1323" i="2" s="1"/>
  <c r="BM1319" i="2"/>
  <c r="BN1319" i="2" s="1"/>
  <c r="BJ1319" i="2"/>
  <c r="BK1319" i="2" s="1"/>
  <c r="BM1315" i="2"/>
  <c r="BN1315" i="2" s="1"/>
  <c r="BJ1315" i="2"/>
  <c r="BK1315" i="2" s="1"/>
  <c r="BM1311" i="2"/>
  <c r="BN1311" i="2" s="1"/>
  <c r="BJ1311" i="2"/>
  <c r="BK1311" i="2" s="1"/>
  <c r="BM1307" i="2"/>
  <c r="BN1307" i="2" s="1"/>
  <c r="BJ1307" i="2"/>
  <c r="BK1307" i="2" s="1"/>
  <c r="BM1303" i="2"/>
  <c r="BN1303" i="2" s="1"/>
  <c r="BJ1303" i="2"/>
  <c r="BK1303" i="2" s="1"/>
  <c r="BM1299" i="2"/>
  <c r="BN1299" i="2" s="1"/>
  <c r="BJ1299" i="2"/>
  <c r="BK1299" i="2" s="1"/>
  <c r="BM1295" i="2"/>
  <c r="BN1295" i="2" s="1"/>
  <c r="BJ1295" i="2"/>
  <c r="BK1295" i="2" s="1"/>
  <c r="BM1291" i="2"/>
  <c r="BN1291" i="2" s="1"/>
  <c r="BJ1291" i="2"/>
  <c r="BK1291" i="2" s="1"/>
  <c r="BM1287" i="2"/>
  <c r="BN1287" i="2" s="1"/>
  <c r="BJ1287" i="2"/>
  <c r="BK1287" i="2" s="1"/>
  <c r="BM1283" i="2"/>
  <c r="BN1283" i="2" s="1"/>
  <c r="BJ1283" i="2"/>
  <c r="BK1283" i="2" s="1"/>
  <c r="BM1279" i="2"/>
  <c r="BN1279" i="2" s="1"/>
  <c r="BJ1279" i="2"/>
  <c r="BK1279" i="2" s="1"/>
  <c r="BM1275" i="2"/>
  <c r="BN1275" i="2" s="1"/>
  <c r="BJ1275" i="2"/>
  <c r="BK1275" i="2" s="1"/>
  <c r="BM1271" i="2"/>
  <c r="BN1271" i="2" s="1"/>
  <c r="BJ1271" i="2"/>
  <c r="BK1271" i="2" s="1"/>
  <c r="BM1267" i="2"/>
  <c r="BN1267" i="2" s="1"/>
  <c r="BJ1267" i="2"/>
  <c r="BK1267" i="2" s="1"/>
  <c r="BM1263" i="2"/>
  <c r="BN1263" i="2" s="1"/>
  <c r="BJ1263" i="2"/>
  <c r="BK1263" i="2" s="1"/>
  <c r="BM1259" i="2"/>
  <c r="BN1259" i="2" s="1"/>
  <c r="BJ1259" i="2"/>
  <c r="BK1259" i="2" s="1"/>
  <c r="BM1255" i="2"/>
  <c r="BN1255" i="2" s="1"/>
  <c r="BJ1255" i="2"/>
  <c r="BK1255" i="2" s="1"/>
  <c r="BM1251" i="2"/>
  <c r="BN1251" i="2" s="1"/>
  <c r="BJ1251" i="2"/>
  <c r="BK1251" i="2" s="1"/>
  <c r="BM1247" i="2"/>
  <c r="BN1247" i="2" s="1"/>
  <c r="BJ1247" i="2"/>
  <c r="BK1247" i="2" s="1"/>
  <c r="BM1243" i="2"/>
  <c r="BN1243" i="2" s="1"/>
  <c r="BJ1243" i="2"/>
  <c r="BK1243" i="2" s="1"/>
  <c r="BM1239" i="2"/>
  <c r="BN1239" i="2" s="1"/>
  <c r="BJ1239" i="2"/>
  <c r="BK1239" i="2" s="1"/>
  <c r="BM1235" i="2"/>
  <c r="BN1235" i="2" s="1"/>
  <c r="BJ1235" i="2"/>
  <c r="BK1235" i="2" s="1"/>
  <c r="BM1231" i="2"/>
  <c r="BN1231" i="2" s="1"/>
  <c r="BJ1231" i="2"/>
  <c r="BK1231" i="2" s="1"/>
  <c r="BM1227" i="2"/>
  <c r="BN1227" i="2" s="1"/>
  <c r="BJ1227" i="2"/>
  <c r="BK1227" i="2" s="1"/>
  <c r="BM1223" i="2"/>
  <c r="BN1223" i="2" s="1"/>
  <c r="BJ1223" i="2"/>
  <c r="BK1223" i="2" s="1"/>
  <c r="BM1219" i="2"/>
  <c r="BN1219" i="2" s="1"/>
  <c r="BJ1219" i="2"/>
  <c r="BK1219" i="2" s="1"/>
  <c r="BM1215" i="2"/>
  <c r="BN1215" i="2" s="1"/>
  <c r="BJ1215" i="2"/>
  <c r="BK1215" i="2" s="1"/>
  <c r="BM1211" i="2"/>
  <c r="BN1211" i="2" s="1"/>
  <c r="BJ1211" i="2"/>
  <c r="BK1211" i="2" s="1"/>
  <c r="BM1207" i="2"/>
  <c r="BN1207" i="2" s="1"/>
  <c r="BJ1207" i="2"/>
  <c r="BK1207" i="2" s="1"/>
  <c r="BM1203" i="2"/>
  <c r="BN1203" i="2" s="1"/>
  <c r="BJ1203" i="2"/>
  <c r="BK1203" i="2" s="1"/>
  <c r="BM1199" i="2"/>
  <c r="BN1199" i="2" s="1"/>
  <c r="BJ1199" i="2"/>
  <c r="BK1199" i="2" s="1"/>
  <c r="BM1195" i="2"/>
  <c r="BN1195" i="2" s="1"/>
  <c r="BJ1195" i="2"/>
  <c r="BK1195" i="2" s="1"/>
  <c r="BM1191" i="2"/>
  <c r="BN1191" i="2" s="1"/>
  <c r="BJ1191" i="2"/>
  <c r="BK1191" i="2" s="1"/>
  <c r="BM1187" i="2"/>
  <c r="BN1187" i="2" s="1"/>
  <c r="BJ1187" i="2"/>
  <c r="BK1187" i="2" s="1"/>
  <c r="BM1183" i="2"/>
  <c r="BN1183" i="2" s="1"/>
  <c r="BJ1183" i="2"/>
  <c r="BK1183" i="2" s="1"/>
  <c r="BM1179" i="2"/>
  <c r="BN1179" i="2" s="1"/>
  <c r="BJ1179" i="2"/>
  <c r="BK1179" i="2" s="1"/>
  <c r="BM1175" i="2"/>
  <c r="BN1175" i="2" s="1"/>
  <c r="BJ1175" i="2"/>
  <c r="BK1175" i="2" s="1"/>
  <c r="BM1171" i="2"/>
  <c r="BN1171" i="2" s="1"/>
  <c r="BJ1171" i="2"/>
  <c r="BK1171" i="2" s="1"/>
  <c r="BM1167" i="2"/>
  <c r="BN1167" i="2" s="1"/>
  <c r="BJ1167" i="2"/>
  <c r="BK1167" i="2" s="1"/>
  <c r="BM1163" i="2"/>
  <c r="BN1163" i="2" s="1"/>
  <c r="BJ1163" i="2"/>
  <c r="BK1163" i="2" s="1"/>
  <c r="BM1159" i="2"/>
  <c r="BN1159" i="2" s="1"/>
  <c r="BJ1159" i="2"/>
  <c r="BK1159" i="2" s="1"/>
  <c r="BM1155" i="2"/>
  <c r="BN1155" i="2" s="1"/>
  <c r="BJ1155" i="2"/>
  <c r="BK1155" i="2" s="1"/>
  <c r="BM1151" i="2"/>
  <c r="BN1151" i="2" s="1"/>
  <c r="BJ1151" i="2"/>
  <c r="BK1151" i="2" s="1"/>
  <c r="BM1147" i="2"/>
  <c r="BN1147" i="2" s="1"/>
  <c r="BJ1147" i="2"/>
  <c r="BK1147" i="2" s="1"/>
  <c r="BM1143" i="2"/>
  <c r="BN1143" i="2" s="1"/>
  <c r="BJ1143" i="2"/>
  <c r="BK1143" i="2" s="1"/>
  <c r="BM1139" i="2"/>
  <c r="BN1139" i="2" s="1"/>
  <c r="BJ1139" i="2"/>
  <c r="BK1139" i="2" s="1"/>
  <c r="BM1135" i="2"/>
  <c r="BN1135" i="2" s="1"/>
  <c r="BJ1135" i="2"/>
  <c r="BK1135" i="2" s="1"/>
  <c r="BM1131" i="2"/>
  <c r="BN1131" i="2" s="1"/>
  <c r="BJ1131" i="2"/>
  <c r="BK1131" i="2" s="1"/>
  <c r="BM1127" i="2"/>
  <c r="BN1127" i="2" s="1"/>
  <c r="BJ1127" i="2"/>
  <c r="BK1127" i="2" s="1"/>
  <c r="BM1123" i="2"/>
  <c r="BN1123" i="2" s="1"/>
  <c r="BJ1123" i="2"/>
  <c r="BK1123" i="2" s="1"/>
  <c r="BM1119" i="2"/>
  <c r="BN1119" i="2" s="1"/>
  <c r="BJ1119" i="2"/>
  <c r="BK1119" i="2" s="1"/>
  <c r="BM1115" i="2"/>
  <c r="BN1115" i="2" s="1"/>
  <c r="BJ1115" i="2"/>
  <c r="BK1115" i="2" s="1"/>
  <c r="BM1111" i="2"/>
  <c r="BN1111" i="2" s="1"/>
  <c r="BJ1111" i="2"/>
  <c r="BK1111" i="2" s="1"/>
  <c r="BM1107" i="2"/>
  <c r="BN1107" i="2" s="1"/>
  <c r="BJ1107" i="2"/>
  <c r="BK1107" i="2" s="1"/>
  <c r="BM1103" i="2"/>
  <c r="BN1103" i="2" s="1"/>
  <c r="BJ1103" i="2"/>
  <c r="BK1103" i="2" s="1"/>
  <c r="BM1099" i="2"/>
  <c r="BN1099" i="2" s="1"/>
  <c r="BJ1099" i="2"/>
  <c r="BK1099" i="2" s="1"/>
  <c r="BM1095" i="2"/>
  <c r="BN1095" i="2" s="1"/>
  <c r="BJ1095" i="2"/>
  <c r="BK1095" i="2" s="1"/>
  <c r="BM1091" i="2"/>
  <c r="BN1091" i="2" s="1"/>
  <c r="BJ1091" i="2"/>
  <c r="BK1091" i="2" s="1"/>
  <c r="BM1087" i="2"/>
  <c r="BN1087" i="2" s="1"/>
  <c r="BJ1087" i="2"/>
  <c r="BK1087" i="2" s="1"/>
  <c r="BM1083" i="2"/>
  <c r="BN1083" i="2" s="1"/>
  <c r="BJ1083" i="2"/>
  <c r="BK1083" i="2" s="1"/>
  <c r="BM1079" i="2"/>
  <c r="BN1079" i="2" s="1"/>
  <c r="BJ1079" i="2"/>
  <c r="BK1079" i="2" s="1"/>
  <c r="BM1075" i="2"/>
  <c r="BN1075" i="2" s="1"/>
  <c r="BJ1075" i="2"/>
  <c r="BK1075" i="2" s="1"/>
  <c r="BM1071" i="2"/>
  <c r="BN1071" i="2" s="1"/>
  <c r="BJ1071" i="2"/>
  <c r="BK1071" i="2" s="1"/>
  <c r="BM1067" i="2"/>
  <c r="BN1067" i="2" s="1"/>
  <c r="BJ1067" i="2"/>
  <c r="BK1067" i="2" s="1"/>
  <c r="BM1063" i="2"/>
  <c r="BN1063" i="2" s="1"/>
  <c r="BJ1063" i="2"/>
  <c r="BK1063" i="2" s="1"/>
  <c r="BM1059" i="2"/>
  <c r="BN1059" i="2" s="1"/>
  <c r="BJ1059" i="2"/>
  <c r="BK1059" i="2" s="1"/>
  <c r="BM1055" i="2"/>
  <c r="BN1055" i="2" s="1"/>
  <c r="BJ1055" i="2"/>
  <c r="BK1055" i="2" s="1"/>
  <c r="BM1051" i="2"/>
  <c r="BN1051" i="2" s="1"/>
  <c r="BJ1051" i="2"/>
  <c r="BK1051" i="2" s="1"/>
  <c r="BM1047" i="2"/>
  <c r="BN1047" i="2" s="1"/>
  <c r="BJ1047" i="2"/>
  <c r="BK1047" i="2" s="1"/>
  <c r="BM1043" i="2"/>
  <c r="BN1043" i="2" s="1"/>
  <c r="BJ1043" i="2"/>
  <c r="BK1043" i="2" s="1"/>
  <c r="BM1039" i="2"/>
  <c r="BN1039" i="2" s="1"/>
  <c r="BJ1039" i="2"/>
  <c r="BK1039" i="2" s="1"/>
  <c r="BM1035" i="2"/>
  <c r="BN1035" i="2" s="1"/>
  <c r="BJ1035" i="2"/>
  <c r="BK1035" i="2" s="1"/>
  <c r="BM1031" i="2"/>
  <c r="BN1031" i="2" s="1"/>
  <c r="BJ1031" i="2"/>
  <c r="BK1031" i="2" s="1"/>
  <c r="BM1027" i="2"/>
  <c r="BN1027" i="2" s="1"/>
  <c r="BJ1027" i="2"/>
  <c r="BK1027" i="2" s="1"/>
  <c r="BM1023" i="2"/>
  <c r="BN1023" i="2" s="1"/>
  <c r="BJ1023" i="2"/>
  <c r="BK1023" i="2" s="1"/>
  <c r="BM1019" i="2"/>
  <c r="BN1019" i="2" s="1"/>
  <c r="BJ1019" i="2"/>
  <c r="BK1019" i="2" s="1"/>
  <c r="BM1015" i="2"/>
  <c r="BN1015" i="2" s="1"/>
  <c r="BJ1015" i="2"/>
  <c r="BK1015" i="2" s="1"/>
  <c r="BM1011" i="2"/>
  <c r="BN1011" i="2" s="1"/>
  <c r="BJ1011" i="2"/>
  <c r="BK1011" i="2" s="1"/>
  <c r="BM1007" i="2"/>
  <c r="BN1007" i="2" s="1"/>
  <c r="BJ1007" i="2"/>
  <c r="BK1007" i="2" s="1"/>
  <c r="BM1003" i="2"/>
  <c r="BN1003" i="2" s="1"/>
  <c r="BJ1003" i="2"/>
  <c r="BK1003" i="2" s="1"/>
  <c r="BM999" i="2"/>
  <c r="BN999" i="2" s="1"/>
  <c r="BJ999" i="2"/>
  <c r="BK999" i="2" s="1"/>
  <c r="BM995" i="2"/>
  <c r="BN995" i="2" s="1"/>
  <c r="BJ995" i="2"/>
  <c r="BK995" i="2" s="1"/>
  <c r="BM991" i="2"/>
  <c r="BN991" i="2" s="1"/>
  <c r="BJ991" i="2"/>
  <c r="BK991" i="2" s="1"/>
  <c r="BM987" i="2"/>
  <c r="BN987" i="2" s="1"/>
  <c r="BJ987" i="2"/>
  <c r="BK987" i="2" s="1"/>
  <c r="BM983" i="2"/>
  <c r="BN983" i="2" s="1"/>
  <c r="BJ983" i="2"/>
  <c r="BK983" i="2" s="1"/>
  <c r="BM979" i="2"/>
  <c r="BN979" i="2" s="1"/>
  <c r="BJ979" i="2"/>
  <c r="BK979" i="2" s="1"/>
  <c r="BM975" i="2"/>
  <c r="BN975" i="2" s="1"/>
  <c r="BJ975" i="2"/>
  <c r="BK975" i="2" s="1"/>
  <c r="BM971" i="2"/>
  <c r="BN971" i="2" s="1"/>
  <c r="BJ971" i="2"/>
  <c r="BK971" i="2" s="1"/>
  <c r="BM967" i="2"/>
  <c r="BN967" i="2" s="1"/>
  <c r="BJ967" i="2"/>
  <c r="BK967" i="2" s="1"/>
  <c r="BM963" i="2"/>
  <c r="BN963" i="2" s="1"/>
  <c r="BJ963" i="2"/>
  <c r="BK963" i="2" s="1"/>
  <c r="BM959" i="2"/>
  <c r="BN959" i="2" s="1"/>
  <c r="BJ959" i="2"/>
  <c r="BK959" i="2" s="1"/>
  <c r="BM955" i="2"/>
  <c r="BN955" i="2" s="1"/>
  <c r="BJ955" i="2"/>
  <c r="BK955" i="2" s="1"/>
  <c r="BM951" i="2"/>
  <c r="BN951" i="2" s="1"/>
  <c r="BJ951" i="2"/>
  <c r="BK951" i="2" s="1"/>
  <c r="BM947" i="2"/>
  <c r="BN947" i="2" s="1"/>
  <c r="BJ947" i="2"/>
  <c r="BK947" i="2" s="1"/>
  <c r="BM943" i="2"/>
  <c r="BN943" i="2" s="1"/>
  <c r="BJ943" i="2"/>
  <c r="BK943" i="2" s="1"/>
  <c r="BM939" i="2"/>
  <c r="BN939" i="2" s="1"/>
  <c r="BJ939" i="2"/>
  <c r="BK939" i="2" s="1"/>
  <c r="BM935" i="2"/>
  <c r="BN935" i="2" s="1"/>
  <c r="BJ935" i="2"/>
  <c r="BK935" i="2" s="1"/>
  <c r="BM931" i="2"/>
  <c r="BN931" i="2" s="1"/>
  <c r="BJ931" i="2"/>
  <c r="BK931" i="2" s="1"/>
  <c r="BM927" i="2"/>
  <c r="BN927" i="2" s="1"/>
  <c r="BJ927" i="2"/>
  <c r="BK927" i="2" s="1"/>
  <c r="BM923" i="2"/>
  <c r="BN923" i="2" s="1"/>
  <c r="BJ923" i="2"/>
  <c r="BK923" i="2" s="1"/>
  <c r="BM919" i="2"/>
  <c r="BN919" i="2" s="1"/>
  <c r="BJ919" i="2"/>
  <c r="BK919" i="2" s="1"/>
  <c r="BM915" i="2"/>
  <c r="BN915" i="2" s="1"/>
  <c r="BJ915" i="2"/>
  <c r="BK915" i="2" s="1"/>
  <c r="BM911" i="2"/>
  <c r="BN911" i="2" s="1"/>
  <c r="BJ911" i="2"/>
  <c r="BK911" i="2" s="1"/>
  <c r="BM907" i="2"/>
  <c r="BN907" i="2" s="1"/>
  <c r="BJ907" i="2"/>
  <c r="BK907" i="2" s="1"/>
  <c r="BM903" i="2"/>
  <c r="BN903" i="2" s="1"/>
  <c r="BJ903" i="2"/>
  <c r="BK903" i="2" s="1"/>
  <c r="BM899" i="2"/>
  <c r="BN899" i="2" s="1"/>
  <c r="BJ899" i="2"/>
  <c r="BK899" i="2" s="1"/>
  <c r="BM895" i="2"/>
  <c r="BN895" i="2" s="1"/>
  <c r="BJ895" i="2"/>
  <c r="BK895" i="2" s="1"/>
  <c r="BM891" i="2"/>
  <c r="BN891" i="2" s="1"/>
  <c r="BJ891" i="2"/>
  <c r="BK891" i="2" s="1"/>
  <c r="BM887" i="2"/>
  <c r="BN887" i="2" s="1"/>
  <c r="BJ887" i="2"/>
  <c r="BK887" i="2" s="1"/>
  <c r="BM883" i="2"/>
  <c r="BN883" i="2" s="1"/>
  <c r="BJ883" i="2"/>
  <c r="BK883" i="2" s="1"/>
  <c r="BM879" i="2"/>
  <c r="BN879" i="2" s="1"/>
  <c r="BJ879" i="2"/>
  <c r="BK879" i="2" s="1"/>
  <c r="BM875" i="2"/>
  <c r="BN875" i="2" s="1"/>
  <c r="BJ875" i="2"/>
  <c r="BK875" i="2" s="1"/>
  <c r="BM871" i="2"/>
  <c r="BN871" i="2" s="1"/>
  <c r="BJ871" i="2"/>
  <c r="BK871" i="2" s="1"/>
  <c r="BM867" i="2"/>
  <c r="BN867" i="2" s="1"/>
  <c r="BJ867" i="2"/>
  <c r="BK867" i="2" s="1"/>
  <c r="BM863" i="2"/>
  <c r="BN863" i="2" s="1"/>
  <c r="BJ863" i="2"/>
  <c r="BK863" i="2" s="1"/>
  <c r="BM859" i="2"/>
  <c r="BN859" i="2" s="1"/>
  <c r="BJ859" i="2"/>
  <c r="BK859" i="2" s="1"/>
  <c r="BM855" i="2"/>
  <c r="BN855" i="2" s="1"/>
  <c r="BJ855" i="2"/>
  <c r="BK855" i="2" s="1"/>
  <c r="BM851" i="2"/>
  <c r="BN851" i="2" s="1"/>
  <c r="BJ851" i="2"/>
  <c r="BK851" i="2" s="1"/>
  <c r="BM847" i="2"/>
  <c r="BN847" i="2" s="1"/>
  <c r="BJ847" i="2"/>
  <c r="BK847" i="2" s="1"/>
  <c r="BM843" i="2"/>
  <c r="BN843" i="2" s="1"/>
  <c r="BJ843" i="2"/>
  <c r="BK843" i="2" s="1"/>
  <c r="BM839" i="2"/>
  <c r="BN839" i="2" s="1"/>
  <c r="BJ839" i="2"/>
  <c r="BK839" i="2" s="1"/>
  <c r="BM835" i="2"/>
  <c r="BN835" i="2" s="1"/>
  <c r="BJ835" i="2"/>
  <c r="BK835" i="2" s="1"/>
  <c r="BM831" i="2"/>
  <c r="BN831" i="2" s="1"/>
  <c r="BJ831" i="2"/>
  <c r="BK831" i="2" s="1"/>
  <c r="BM827" i="2"/>
  <c r="BN827" i="2" s="1"/>
  <c r="BJ827" i="2"/>
  <c r="BK827" i="2" s="1"/>
  <c r="BM823" i="2"/>
  <c r="BN823" i="2" s="1"/>
  <c r="BJ823" i="2"/>
  <c r="BK823" i="2" s="1"/>
  <c r="BM819" i="2"/>
  <c r="BN819" i="2" s="1"/>
  <c r="BJ819" i="2"/>
  <c r="BK819" i="2" s="1"/>
  <c r="BM815" i="2"/>
  <c r="BN815" i="2" s="1"/>
  <c r="BJ815" i="2"/>
  <c r="BK815" i="2" s="1"/>
  <c r="BM811" i="2"/>
  <c r="BN811" i="2" s="1"/>
  <c r="BJ811" i="2"/>
  <c r="BK811" i="2" s="1"/>
  <c r="BM807" i="2"/>
  <c r="BN807" i="2" s="1"/>
  <c r="BJ807" i="2"/>
  <c r="BK807" i="2" s="1"/>
  <c r="BM803" i="2"/>
  <c r="BN803" i="2" s="1"/>
  <c r="BJ803" i="2"/>
  <c r="BK803" i="2" s="1"/>
  <c r="BM799" i="2"/>
  <c r="BN799" i="2" s="1"/>
  <c r="BJ799" i="2"/>
  <c r="BK799" i="2" s="1"/>
  <c r="BM795" i="2"/>
  <c r="BN795" i="2" s="1"/>
  <c r="BJ795" i="2"/>
  <c r="BK795" i="2" s="1"/>
  <c r="BM791" i="2"/>
  <c r="BN791" i="2" s="1"/>
  <c r="BJ791" i="2"/>
  <c r="BK791" i="2" s="1"/>
  <c r="BM787" i="2"/>
  <c r="BN787" i="2" s="1"/>
  <c r="BJ787" i="2"/>
  <c r="BK787" i="2" s="1"/>
  <c r="BM783" i="2"/>
  <c r="BN783" i="2" s="1"/>
  <c r="BJ783" i="2"/>
  <c r="BK783" i="2" s="1"/>
  <c r="BM779" i="2"/>
  <c r="BN779" i="2" s="1"/>
  <c r="BJ779" i="2"/>
  <c r="BK779" i="2" s="1"/>
  <c r="BM775" i="2"/>
  <c r="BN775" i="2" s="1"/>
  <c r="BJ775" i="2"/>
  <c r="BK775" i="2" s="1"/>
  <c r="BM771" i="2"/>
  <c r="BN771" i="2" s="1"/>
  <c r="BJ771" i="2"/>
  <c r="BK771" i="2" s="1"/>
  <c r="BM767" i="2"/>
  <c r="BN767" i="2" s="1"/>
  <c r="BJ767" i="2"/>
  <c r="BK767" i="2" s="1"/>
  <c r="BM763" i="2"/>
  <c r="BN763" i="2" s="1"/>
  <c r="BJ763" i="2"/>
  <c r="BK763" i="2" s="1"/>
  <c r="BM759" i="2"/>
  <c r="BN759" i="2" s="1"/>
  <c r="BJ759" i="2"/>
  <c r="BK759" i="2" s="1"/>
  <c r="BM755" i="2"/>
  <c r="BN755" i="2" s="1"/>
  <c r="BJ755" i="2"/>
  <c r="BK755" i="2" s="1"/>
  <c r="BM751" i="2"/>
  <c r="BN751" i="2" s="1"/>
  <c r="BJ751" i="2"/>
  <c r="BK751" i="2" s="1"/>
  <c r="BM747" i="2"/>
  <c r="BN747" i="2" s="1"/>
  <c r="BJ747" i="2"/>
  <c r="BK747" i="2" s="1"/>
  <c r="BM743" i="2"/>
  <c r="BN743" i="2" s="1"/>
  <c r="BJ743" i="2"/>
  <c r="BK743" i="2" s="1"/>
  <c r="BM739" i="2"/>
  <c r="BN739" i="2" s="1"/>
  <c r="BJ739" i="2"/>
  <c r="BK739" i="2" s="1"/>
  <c r="BM735" i="2"/>
  <c r="BN735" i="2" s="1"/>
  <c r="BJ735" i="2"/>
  <c r="BK735" i="2" s="1"/>
  <c r="BM731" i="2"/>
  <c r="BN731" i="2" s="1"/>
  <c r="BJ731" i="2"/>
  <c r="BK731" i="2" s="1"/>
  <c r="BM727" i="2"/>
  <c r="BN727" i="2" s="1"/>
  <c r="BJ727" i="2"/>
  <c r="BK727" i="2" s="1"/>
  <c r="BM723" i="2"/>
  <c r="BN723" i="2" s="1"/>
  <c r="BJ723" i="2"/>
  <c r="BK723" i="2" s="1"/>
  <c r="BM719" i="2"/>
  <c r="BN719" i="2" s="1"/>
  <c r="BJ719" i="2"/>
  <c r="BK719" i="2" s="1"/>
  <c r="BM715" i="2"/>
  <c r="BN715" i="2" s="1"/>
  <c r="BJ715" i="2"/>
  <c r="BK715" i="2" s="1"/>
  <c r="BM711" i="2"/>
  <c r="BN711" i="2" s="1"/>
  <c r="BJ711" i="2"/>
  <c r="BK711" i="2" s="1"/>
  <c r="BM707" i="2"/>
  <c r="BN707" i="2" s="1"/>
  <c r="BJ707" i="2"/>
  <c r="BK707" i="2" s="1"/>
  <c r="BM703" i="2"/>
  <c r="BN703" i="2" s="1"/>
  <c r="BJ703" i="2"/>
  <c r="BK703" i="2" s="1"/>
  <c r="BM699" i="2"/>
  <c r="BN699" i="2" s="1"/>
  <c r="BJ699" i="2"/>
  <c r="BK699" i="2" s="1"/>
  <c r="BM695" i="2"/>
  <c r="BN695" i="2" s="1"/>
  <c r="BJ695" i="2"/>
  <c r="BK695" i="2" s="1"/>
  <c r="BM691" i="2"/>
  <c r="BN691" i="2" s="1"/>
  <c r="BJ691" i="2"/>
  <c r="BK691" i="2" s="1"/>
  <c r="BM687" i="2"/>
  <c r="BN687" i="2" s="1"/>
  <c r="BJ687" i="2"/>
  <c r="BK687" i="2" s="1"/>
  <c r="BM683" i="2"/>
  <c r="BN683" i="2" s="1"/>
  <c r="BJ683" i="2"/>
  <c r="BK683" i="2" s="1"/>
  <c r="BM679" i="2"/>
  <c r="BN679" i="2" s="1"/>
  <c r="BJ679" i="2"/>
  <c r="BK679" i="2" s="1"/>
  <c r="BM675" i="2"/>
  <c r="BN675" i="2" s="1"/>
  <c r="BJ675" i="2"/>
  <c r="BK675" i="2" s="1"/>
  <c r="BM671" i="2"/>
  <c r="BN671" i="2" s="1"/>
  <c r="BJ671" i="2"/>
  <c r="BK671" i="2" s="1"/>
  <c r="BM667" i="2"/>
  <c r="BN667" i="2" s="1"/>
  <c r="BJ667" i="2"/>
  <c r="BK667" i="2" s="1"/>
  <c r="BM663" i="2"/>
  <c r="BN663" i="2" s="1"/>
  <c r="BJ663" i="2"/>
  <c r="BK663" i="2" s="1"/>
  <c r="BM659" i="2"/>
  <c r="BN659" i="2" s="1"/>
  <c r="BJ659" i="2"/>
  <c r="BK659" i="2" s="1"/>
  <c r="BM655" i="2"/>
  <c r="BN655" i="2" s="1"/>
  <c r="BJ655" i="2"/>
  <c r="BK655" i="2" s="1"/>
  <c r="BM651" i="2"/>
  <c r="BN651" i="2" s="1"/>
  <c r="BJ651" i="2"/>
  <c r="BK651" i="2" s="1"/>
  <c r="BM647" i="2"/>
  <c r="BN647" i="2" s="1"/>
  <c r="BJ647" i="2"/>
  <c r="BK647" i="2" s="1"/>
  <c r="BM643" i="2"/>
  <c r="BN643" i="2" s="1"/>
  <c r="BJ643" i="2"/>
  <c r="BK643" i="2" s="1"/>
  <c r="BM639" i="2"/>
  <c r="BN639" i="2" s="1"/>
  <c r="BJ639" i="2"/>
  <c r="BK639" i="2" s="1"/>
  <c r="BM635" i="2"/>
  <c r="BN635" i="2" s="1"/>
  <c r="BJ635" i="2"/>
  <c r="BK635" i="2" s="1"/>
  <c r="BM631" i="2"/>
  <c r="BN631" i="2" s="1"/>
  <c r="BJ631" i="2"/>
  <c r="BK631" i="2" s="1"/>
  <c r="BM627" i="2"/>
  <c r="BN627" i="2" s="1"/>
  <c r="BJ627" i="2"/>
  <c r="BK627" i="2" s="1"/>
  <c r="BM623" i="2"/>
  <c r="BN623" i="2" s="1"/>
  <c r="BJ623" i="2"/>
  <c r="BK623" i="2" s="1"/>
  <c r="BM619" i="2"/>
  <c r="BN619" i="2" s="1"/>
  <c r="BJ619" i="2"/>
  <c r="BK619" i="2" s="1"/>
  <c r="BM615" i="2"/>
  <c r="BN615" i="2" s="1"/>
  <c r="BJ615" i="2"/>
  <c r="BK615" i="2" s="1"/>
  <c r="BM611" i="2"/>
  <c r="BN611" i="2" s="1"/>
  <c r="BJ611" i="2"/>
  <c r="BK611" i="2" s="1"/>
  <c r="BM607" i="2"/>
  <c r="BN607" i="2" s="1"/>
  <c r="BJ607" i="2"/>
  <c r="BK607" i="2" s="1"/>
  <c r="BM603" i="2"/>
  <c r="BN603" i="2" s="1"/>
  <c r="BJ603" i="2"/>
  <c r="BK603" i="2" s="1"/>
  <c r="BM599" i="2"/>
  <c r="BN599" i="2" s="1"/>
  <c r="BJ599" i="2"/>
  <c r="BK599" i="2" s="1"/>
  <c r="BM595" i="2"/>
  <c r="BN595" i="2" s="1"/>
  <c r="BJ595" i="2"/>
  <c r="BK595" i="2" s="1"/>
  <c r="BM591" i="2"/>
  <c r="BN591" i="2" s="1"/>
  <c r="BJ591" i="2"/>
  <c r="BK591" i="2" s="1"/>
  <c r="BM587" i="2"/>
  <c r="BN587" i="2" s="1"/>
  <c r="BJ587" i="2"/>
  <c r="BK587" i="2" s="1"/>
  <c r="BM583" i="2"/>
  <c r="BN583" i="2" s="1"/>
  <c r="BJ583" i="2"/>
  <c r="BK583" i="2" s="1"/>
  <c r="BM579" i="2"/>
  <c r="BN579" i="2" s="1"/>
  <c r="BJ579" i="2"/>
  <c r="BK579" i="2" s="1"/>
  <c r="BM575" i="2"/>
  <c r="BN575" i="2" s="1"/>
  <c r="BJ575" i="2"/>
  <c r="BK575" i="2" s="1"/>
  <c r="BM571" i="2"/>
  <c r="BN571" i="2" s="1"/>
  <c r="BJ571" i="2"/>
  <c r="BK571" i="2" s="1"/>
  <c r="BM567" i="2"/>
  <c r="BN567" i="2" s="1"/>
  <c r="BJ567" i="2"/>
  <c r="BK567" i="2" s="1"/>
  <c r="BM563" i="2"/>
  <c r="BN563" i="2" s="1"/>
  <c r="BJ563" i="2"/>
  <c r="BK563" i="2" s="1"/>
  <c r="BM559" i="2"/>
  <c r="BN559" i="2" s="1"/>
  <c r="BJ559" i="2"/>
  <c r="BK559" i="2" s="1"/>
  <c r="BM555" i="2"/>
  <c r="BN555" i="2" s="1"/>
  <c r="BJ555" i="2"/>
  <c r="BK555" i="2" s="1"/>
  <c r="BM551" i="2"/>
  <c r="BN551" i="2" s="1"/>
  <c r="BJ551" i="2"/>
  <c r="BK551" i="2" s="1"/>
  <c r="BM547" i="2"/>
  <c r="BN547" i="2" s="1"/>
  <c r="BJ547" i="2"/>
  <c r="BK547" i="2" s="1"/>
  <c r="BM543" i="2"/>
  <c r="BN543" i="2" s="1"/>
  <c r="BJ543" i="2"/>
  <c r="BK543" i="2" s="1"/>
  <c r="BM539" i="2"/>
  <c r="BN539" i="2" s="1"/>
  <c r="BJ539" i="2"/>
  <c r="BK539" i="2" s="1"/>
  <c r="BM535" i="2"/>
  <c r="BN535" i="2" s="1"/>
  <c r="BJ535" i="2"/>
  <c r="BK535" i="2" s="1"/>
  <c r="BM531" i="2"/>
  <c r="BN531" i="2" s="1"/>
  <c r="BJ531" i="2"/>
  <c r="BK531" i="2" s="1"/>
  <c r="BM527" i="2"/>
  <c r="BN527" i="2" s="1"/>
  <c r="BJ527" i="2"/>
  <c r="BK527" i="2" s="1"/>
  <c r="BM523" i="2"/>
  <c r="BN523" i="2" s="1"/>
  <c r="BJ523" i="2"/>
  <c r="BK523" i="2" s="1"/>
  <c r="BM519" i="2"/>
  <c r="BN519" i="2" s="1"/>
  <c r="BJ519" i="2"/>
  <c r="BK519" i="2" s="1"/>
  <c r="BM515" i="2"/>
  <c r="BN515" i="2" s="1"/>
  <c r="BJ515" i="2"/>
  <c r="BK515" i="2" s="1"/>
  <c r="BM511" i="2"/>
  <c r="BN511" i="2" s="1"/>
  <c r="BJ511" i="2"/>
  <c r="BK511" i="2" s="1"/>
  <c r="BM507" i="2"/>
  <c r="BN507" i="2" s="1"/>
  <c r="BJ507" i="2"/>
  <c r="BK507" i="2" s="1"/>
  <c r="BM503" i="2"/>
  <c r="BN503" i="2" s="1"/>
  <c r="BJ503" i="2"/>
  <c r="BK503" i="2" s="1"/>
  <c r="BM499" i="2"/>
  <c r="BN499" i="2" s="1"/>
  <c r="BJ499" i="2"/>
  <c r="BK499" i="2" s="1"/>
  <c r="BM495" i="2"/>
  <c r="BN495" i="2" s="1"/>
  <c r="BJ495" i="2"/>
  <c r="BK495" i="2" s="1"/>
  <c r="BM491" i="2"/>
  <c r="BN491" i="2" s="1"/>
  <c r="BJ491" i="2"/>
  <c r="BK491" i="2" s="1"/>
  <c r="BM487" i="2"/>
  <c r="BN487" i="2" s="1"/>
  <c r="BJ487" i="2"/>
  <c r="BK487" i="2" s="1"/>
  <c r="BM483" i="2"/>
  <c r="BN483" i="2" s="1"/>
  <c r="BJ483" i="2"/>
  <c r="BK483" i="2" s="1"/>
  <c r="BM479" i="2"/>
  <c r="BN479" i="2" s="1"/>
  <c r="BJ479" i="2"/>
  <c r="BK479" i="2" s="1"/>
  <c r="BM475" i="2"/>
  <c r="BN475" i="2" s="1"/>
  <c r="BJ475" i="2"/>
  <c r="BK475" i="2" s="1"/>
  <c r="BM471" i="2"/>
  <c r="BN471" i="2" s="1"/>
  <c r="BJ471" i="2"/>
  <c r="BK471" i="2" s="1"/>
  <c r="BM467" i="2"/>
  <c r="BN467" i="2" s="1"/>
  <c r="BJ467" i="2"/>
  <c r="BK467" i="2" s="1"/>
  <c r="BM463" i="2"/>
  <c r="BN463" i="2" s="1"/>
  <c r="BJ463" i="2"/>
  <c r="BK463" i="2" s="1"/>
  <c r="BM459" i="2"/>
  <c r="BN459" i="2" s="1"/>
  <c r="BJ459" i="2"/>
  <c r="BK459" i="2" s="1"/>
  <c r="BM455" i="2"/>
  <c r="BN455" i="2" s="1"/>
  <c r="BJ455" i="2"/>
  <c r="BK455" i="2" s="1"/>
  <c r="BM451" i="2"/>
  <c r="BN451" i="2" s="1"/>
  <c r="BJ451" i="2"/>
  <c r="BK451" i="2" s="1"/>
  <c r="BM447" i="2"/>
  <c r="BN447" i="2" s="1"/>
  <c r="BJ447" i="2"/>
  <c r="BK447" i="2" s="1"/>
  <c r="BM443" i="2"/>
  <c r="BN443" i="2" s="1"/>
  <c r="BJ443" i="2"/>
  <c r="BK443" i="2" s="1"/>
  <c r="BM439" i="2"/>
  <c r="BN439" i="2" s="1"/>
  <c r="BJ439" i="2"/>
  <c r="BK439" i="2" s="1"/>
  <c r="BM435" i="2"/>
  <c r="BN435" i="2" s="1"/>
  <c r="BJ435" i="2"/>
  <c r="BK435" i="2" s="1"/>
  <c r="BM431" i="2"/>
  <c r="BN431" i="2" s="1"/>
  <c r="BJ431" i="2"/>
  <c r="BK431" i="2" s="1"/>
  <c r="BM427" i="2"/>
  <c r="BN427" i="2" s="1"/>
  <c r="BJ427" i="2"/>
  <c r="BK427" i="2" s="1"/>
  <c r="BM423" i="2"/>
  <c r="BN423" i="2" s="1"/>
  <c r="BJ423" i="2"/>
  <c r="BK423" i="2" s="1"/>
  <c r="BM419" i="2"/>
  <c r="BN419" i="2" s="1"/>
  <c r="BJ419" i="2"/>
  <c r="BK419" i="2" s="1"/>
  <c r="BM415" i="2"/>
  <c r="BN415" i="2" s="1"/>
  <c r="BJ415" i="2"/>
  <c r="BK415" i="2" s="1"/>
  <c r="BM411" i="2"/>
  <c r="BN411" i="2" s="1"/>
  <c r="BJ411" i="2"/>
  <c r="BK411" i="2" s="1"/>
  <c r="BM407" i="2"/>
  <c r="BN407" i="2" s="1"/>
  <c r="BJ407" i="2"/>
  <c r="BK407" i="2" s="1"/>
  <c r="BM403" i="2"/>
  <c r="BN403" i="2" s="1"/>
  <c r="BJ403" i="2"/>
  <c r="BK403" i="2" s="1"/>
  <c r="BM399" i="2"/>
  <c r="BN399" i="2" s="1"/>
  <c r="BJ399" i="2"/>
  <c r="BK399" i="2" s="1"/>
  <c r="BM395" i="2"/>
  <c r="BN395" i="2" s="1"/>
  <c r="BJ395" i="2"/>
  <c r="BK395" i="2" s="1"/>
  <c r="BM391" i="2"/>
  <c r="BN391" i="2" s="1"/>
  <c r="BJ391" i="2"/>
  <c r="BK391" i="2" s="1"/>
  <c r="BM387" i="2"/>
  <c r="BN387" i="2" s="1"/>
  <c r="BJ387" i="2"/>
  <c r="BK387" i="2" s="1"/>
  <c r="BM383" i="2"/>
  <c r="BN383" i="2" s="1"/>
  <c r="BJ383" i="2"/>
  <c r="BK383" i="2" s="1"/>
  <c r="BM379" i="2"/>
  <c r="BN379" i="2" s="1"/>
  <c r="BJ379" i="2"/>
  <c r="BK379" i="2" s="1"/>
  <c r="BM375" i="2"/>
  <c r="BN375" i="2" s="1"/>
  <c r="BJ375" i="2"/>
  <c r="BK375" i="2" s="1"/>
  <c r="BM371" i="2"/>
  <c r="BN371" i="2" s="1"/>
  <c r="BJ371" i="2"/>
  <c r="BK371" i="2" s="1"/>
  <c r="BM367" i="2"/>
  <c r="BN367" i="2" s="1"/>
  <c r="BJ367" i="2"/>
  <c r="BK367" i="2" s="1"/>
  <c r="BM363" i="2"/>
  <c r="BN363" i="2" s="1"/>
  <c r="BJ363" i="2"/>
  <c r="BK363" i="2" s="1"/>
  <c r="BM359" i="2"/>
  <c r="BN359" i="2" s="1"/>
  <c r="BJ359" i="2"/>
  <c r="BK359" i="2" s="1"/>
  <c r="BM355" i="2"/>
  <c r="BN355" i="2" s="1"/>
  <c r="BJ355" i="2"/>
  <c r="BK355" i="2" s="1"/>
  <c r="BM351" i="2"/>
  <c r="BN351" i="2" s="1"/>
  <c r="BJ351" i="2"/>
  <c r="BK351" i="2" s="1"/>
  <c r="BM347" i="2"/>
  <c r="BN347" i="2" s="1"/>
  <c r="BJ347" i="2"/>
  <c r="BK347" i="2" s="1"/>
  <c r="BM343" i="2"/>
  <c r="BN343" i="2" s="1"/>
  <c r="BJ343" i="2"/>
  <c r="BK343" i="2" s="1"/>
  <c r="BM339" i="2"/>
  <c r="BN339" i="2" s="1"/>
  <c r="BJ339" i="2"/>
  <c r="BK339" i="2" s="1"/>
  <c r="BM335" i="2"/>
  <c r="BN335" i="2" s="1"/>
  <c r="BJ335" i="2"/>
  <c r="BK335" i="2" s="1"/>
  <c r="BM331" i="2"/>
  <c r="BN331" i="2" s="1"/>
  <c r="BJ331" i="2"/>
  <c r="BK331" i="2" s="1"/>
  <c r="BM327" i="2"/>
  <c r="BN327" i="2" s="1"/>
  <c r="BJ327" i="2"/>
  <c r="BK327" i="2" s="1"/>
  <c r="BM323" i="2"/>
  <c r="BN323" i="2" s="1"/>
  <c r="BJ323" i="2"/>
  <c r="BK323" i="2" s="1"/>
  <c r="BM319" i="2"/>
  <c r="BN319" i="2" s="1"/>
  <c r="BJ319" i="2"/>
  <c r="BK319" i="2" s="1"/>
  <c r="BM315" i="2"/>
  <c r="BN315" i="2" s="1"/>
  <c r="BJ315" i="2"/>
  <c r="BK315" i="2" s="1"/>
  <c r="BM311" i="2"/>
  <c r="BN311" i="2" s="1"/>
  <c r="BJ311" i="2"/>
  <c r="BK311" i="2" s="1"/>
  <c r="BM307" i="2"/>
  <c r="BN307" i="2" s="1"/>
  <c r="BJ307" i="2"/>
  <c r="BK307" i="2" s="1"/>
  <c r="BM303" i="2"/>
  <c r="BN303" i="2" s="1"/>
  <c r="BJ303" i="2"/>
  <c r="BK303" i="2" s="1"/>
  <c r="BM299" i="2"/>
  <c r="BN299" i="2" s="1"/>
  <c r="BJ299" i="2"/>
  <c r="BK299" i="2" s="1"/>
  <c r="BM295" i="2"/>
  <c r="BN295" i="2" s="1"/>
  <c r="BJ295" i="2"/>
  <c r="BK295" i="2" s="1"/>
  <c r="BM291" i="2"/>
  <c r="BN291" i="2" s="1"/>
  <c r="BJ291" i="2"/>
  <c r="BK291" i="2" s="1"/>
  <c r="BM287" i="2"/>
  <c r="BN287" i="2" s="1"/>
  <c r="BJ287" i="2"/>
  <c r="BK287" i="2" s="1"/>
  <c r="BM283" i="2"/>
  <c r="BN283" i="2" s="1"/>
  <c r="BJ283" i="2"/>
  <c r="BK283" i="2" s="1"/>
  <c r="BM279" i="2"/>
  <c r="BN279" i="2" s="1"/>
  <c r="BJ279" i="2"/>
  <c r="BK279" i="2" s="1"/>
  <c r="BM275" i="2"/>
  <c r="BN275" i="2" s="1"/>
  <c r="BJ275" i="2"/>
  <c r="BK275" i="2" s="1"/>
  <c r="BM271" i="2"/>
  <c r="BN271" i="2" s="1"/>
  <c r="BJ271" i="2"/>
  <c r="BK271" i="2" s="1"/>
  <c r="BM267" i="2"/>
  <c r="BN267" i="2" s="1"/>
  <c r="BJ267" i="2"/>
  <c r="BK267" i="2" s="1"/>
  <c r="BM263" i="2"/>
  <c r="BN263" i="2" s="1"/>
  <c r="BJ263" i="2"/>
  <c r="BK263" i="2" s="1"/>
  <c r="BM259" i="2"/>
  <c r="BN259" i="2" s="1"/>
  <c r="BJ259" i="2"/>
  <c r="BK259" i="2" s="1"/>
  <c r="BM255" i="2"/>
  <c r="BN255" i="2" s="1"/>
  <c r="BJ255" i="2"/>
  <c r="BK255" i="2" s="1"/>
  <c r="BM251" i="2"/>
  <c r="BN251" i="2" s="1"/>
  <c r="BJ251" i="2"/>
  <c r="BK251" i="2" s="1"/>
  <c r="BM247" i="2"/>
  <c r="BN247" i="2" s="1"/>
  <c r="BJ247" i="2"/>
  <c r="BK247" i="2" s="1"/>
  <c r="BM243" i="2"/>
  <c r="BN243" i="2" s="1"/>
  <c r="BJ243" i="2"/>
  <c r="BK243" i="2" s="1"/>
  <c r="BM239" i="2"/>
  <c r="BN239" i="2" s="1"/>
  <c r="BJ239" i="2"/>
  <c r="BK239" i="2" s="1"/>
  <c r="BM235" i="2"/>
  <c r="BN235" i="2" s="1"/>
  <c r="BJ235" i="2"/>
  <c r="BK235" i="2" s="1"/>
  <c r="BM231" i="2"/>
  <c r="BN231" i="2" s="1"/>
  <c r="BJ231" i="2"/>
  <c r="BK231" i="2" s="1"/>
  <c r="BM227" i="2"/>
  <c r="BN227" i="2" s="1"/>
  <c r="BJ227" i="2"/>
  <c r="BK227" i="2" s="1"/>
  <c r="BM223" i="2"/>
  <c r="BN223" i="2" s="1"/>
  <c r="BJ223" i="2"/>
  <c r="BK223" i="2" s="1"/>
  <c r="BM219" i="2"/>
  <c r="BN219" i="2" s="1"/>
  <c r="BJ219" i="2"/>
  <c r="BK219" i="2" s="1"/>
  <c r="BM215" i="2"/>
  <c r="BN215" i="2" s="1"/>
  <c r="BJ215" i="2"/>
  <c r="BK215" i="2" s="1"/>
  <c r="BM211" i="2"/>
  <c r="BN211" i="2" s="1"/>
  <c r="BJ211" i="2"/>
  <c r="BK211" i="2" s="1"/>
  <c r="BM207" i="2"/>
  <c r="BN207" i="2" s="1"/>
  <c r="BJ207" i="2"/>
  <c r="BK207" i="2" s="1"/>
  <c r="BM203" i="2"/>
  <c r="BN203" i="2" s="1"/>
  <c r="BJ203" i="2"/>
  <c r="BK203" i="2" s="1"/>
  <c r="BM199" i="2"/>
  <c r="BN199" i="2" s="1"/>
  <c r="BJ199" i="2"/>
  <c r="BK199" i="2" s="1"/>
  <c r="BM195" i="2"/>
  <c r="BN195" i="2" s="1"/>
  <c r="BJ195" i="2"/>
  <c r="BK195" i="2" s="1"/>
  <c r="BM191" i="2"/>
  <c r="BN191" i="2" s="1"/>
  <c r="BJ191" i="2"/>
  <c r="BK191" i="2" s="1"/>
  <c r="BM187" i="2"/>
  <c r="BN187" i="2" s="1"/>
  <c r="BJ187" i="2"/>
  <c r="BK187" i="2" s="1"/>
  <c r="BM183" i="2"/>
  <c r="BN183" i="2" s="1"/>
  <c r="BJ183" i="2"/>
  <c r="BK183" i="2" s="1"/>
  <c r="BM179" i="2"/>
  <c r="BN179" i="2" s="1"/>
  <c r="BJ179" i="2"/>
  <c r="BK179" i="2" s="1"/>
  <c r="BM175" i="2"/>
  <c r="BN175" i="2" s="1"/>
  <c r="BJ175" i="2"/>
  <c r="BK175" i="2" s="1"/>
  <c r="BM171" i="2"/>
  <c r="BN171" i="2" s="1"/>
  <c r="BJ171" i="2"/>
  <c r="BK171" i="2" s="1"/>
  <c r="BM167" i="2"/>
  <c r="BN167" i="2" s="1"/>
  <c r="BJ167" i="2"/>
  <c r="BK167" i="2" s="1"/>
  <c r="BM163" i="2"/>
  <c r="BN163" i="2" s="1"/>
  <c r="BJ163" i="2"/>
  <c r="BK163" i="2" s="1"/>
  <c r="BM159" i="2"/>
  <c r="BN159" i="2" s="1"/>
  <c r="BJ159" i="2"/>
  <c r="BK159" i="2" s="1"/>
  <c r="BM155" i="2"/>
  <c r="BN155" i="2" s="1"/>
  <c r="BJ155" i="2"/>
  <c r="BK155" i="2" s="1"/>
  <c r="BM151" i="2"/>
  <c r="BN151" i="2" s="1"/>
  <c r="BJ151" i="2"/>
  <c r="BK151" i="2" s="1"/>
  <c r="BM147" i="2"/>
  <c r="BN147" i="2" s="1"/>
  <c r="BJ147" i="2"/>
  <c r="BK147" i="2" s="1"/>
  <c r="BM143" i="2"/>
  <c r="BN143" i="2" s="1"/>
  <c r="BJ143" i="2"/>
  <c r="BK143" i="2" s="1"/>
  <c r="BM139" i="2"/>
  <c r="BN139" i="2" s="1"/>
  <c r="BJ139" i="2"/>
  <c r="BK139" i="2" s="1"/>
  <c r="BM135" i="2"/>
  <c r="BN135" i="2" s="1"/>
  <c r="BJ135" i="2"/>
  <c r="BK135" i="2" s="1"/>
  <c r="BM131" i="2"/>
  <c r="BN131" i="2" s="1"/>
  <c r="BJ131" i="2"/>
  <c r="BK131" i="2" s="1"/>
  <c r="BM127" i="2"/>
  <c r="BN127" i="2" s="1"/>
  <c r="BJ127" i="2"/>
  <c r="BK127" i="2" s="1"/>
  <c r="BM123" i="2"/>
  <c r="BN123" i="2" s="1"/>
  <c r="BJ123" i="2"/>
  <c r="BK123" i="2" s="1"/>
  <c r="BM119" i="2"/>
  <c r="BN119" i="2" s="1"/>
  <c r="BJ119" i="2"/>
  <c r="BK119" i="2" s="1"/>
  <c r="BM115" i="2"/>
  <c r="BN115" i="2" s="1"/>
  <c r="BJ115" i="2"/>
  <c r="BK115" i="2" s="1"/>
  <c r="BM111" i="2"/>
  <c r="BN111" i="2" s="1"/>
  <c r="BJ111" i="2"/>
  <c r="BK111" i="2" s="1"/>
  <c r="BM107" i="2"/>
  <c r="BN107" i="2" s="1"/>
  <c r="BJ107" i="2"/>
  <c r="BK107" i="2" s="1"/>
  <c r="BM103" i="2"/>
  <c r="BN103" i="2" s="1"/>
  <c r="BJ103" i="2"/>
  <c r="BK103" i="2" s="1"/>
  <c r="BM99" i="2"/>
  <c r="BN99" i="2" s="1"/>
  <c r="BJ99" i="2"/>
  <c r="BK99" i="2" s="1"/>
  <c r="BM95" i="2"/>
  <c r="BN95" i="2" s="1"/>
  <c r="BJ95" i="2"/>
  <c r="BK95" i="2" s="1"/>
  <c r="BM91" i="2"/>
  <c r="BN91" i="2" s="1"/>
  <c r="BJ91" i="2"/>
  <c r="BK91" i="2" s="1"/>
  <c r="BM87" i="2"/>
  <c r="BN87" i="2" s="1"/>
  <c r="BJ87" i="2"/>
  <c r="BK87" i="2" s="1"/>
  <c r="BM83" i="2"/>
  <c r="BN83" i="2" s="1"/>
  <c r="BJ83" i="2"/>
  <c r="BK83" i="2" s="1"/>
  <c r="BM79" i="2"/>
  <c r="BN79" i="2" s="1"/>
  <c r="BJ79" i="2"/>
  <c r="BK79" i="2" s="1"/>
  <c r="BM75" i="2"/>
  <c r="BN75" i="2" s="1"/>
  <c r="BJ75" i="2"/>
  <c r="BK75" i="2" s="1"/>
  <c r="BM71" i="2"/>
  <c r="BN71" i="2" s="1"/>
  <c r="BJ71" i="2"/>
  <c r="BK71" i="2" s="1"/>
  <c r="BM67" i="2"/>
  <c r="BN67" i="2" s="1"/>
  <c r="BJ67" i="2"/>
  <c r="BK67" i="2" s="1"/>
  <c r="BM63" i="2"/>
  <c r="BN63" i="2" s="1"/>
  <c r="BJ63" i="2"/>
  <c r="BK63" i="2" s="1"/>
  <c r="BM55" i="2"/>
  <c r="BN55" i="2" s="1"/>
  <c r="BJ55" i="2"/>
  <c r="BK55" i="2" s="1"/>
  <c r="BM51" i="2"/>
  <c r="BN51" i="2" s="1"/>
  <c r="BJ51" i="2"/>
  <c r="BK51" i="2" s="1"/>
  <c r="BM47" i="2"/>
  <c r="BN47" i="2" s="1"/>
  <c r="BJ47" i="2"/>
  <c r="BK47" i="2" s="1"/>
  <c r="BM35" i="2"/>
  <c r="BN35" i="2" s="1"/>
  <c r="BJ35" i="2"/>
  <c r="BK35" i="2" s="1"/>
  <c r="BM31" i="2"/>
  <c r="BN31" i="2" s="1"/>
  <c r="BJ31" i="2"/>
  <c r="BK31" i="2" s="1"/>
  <c r="BM19" i="2"/>
  <c r="BN19" i="2" s="1"/>
  <c r="BJ19" i="2"/>
  <c r="BK19" i="2" s="1"/>
  <c r="BM15" i="2"/>
  <c r="BN15" i="2" s="1"/>
  <c r="BJ15" i="2"/>
  <c r="BK15" i="2" s="1"/>
  <c r="BM3" i="2"/>
  <c r="BN3" i="2" s="1"/>
  <c r="BJ3" i="2"/>
  <c r="BK3" i="2" s="1"/>
  <c r="BJ23" i="2"/>
  <c r="BK23" i="2" s="1"/>
  <c r="BJ59" i="2"/>
  <c r="BK59" i="2" s="1"/>
  <c r="BJ64" i="2"/>
  <c r="BK64" i="2" s="1"/>
  <c r="BJ128" i="2"/>
  <c r="BK128" i="2" s="1"/>
  <c r="BJ192" i="2"/>
  <c r="BK192" i="2" s="1"/>
  <c r="BJ256" i="2"/>
  <c r="BK256" i="2" s="1"/>
  <c r="BJ320" i="2"/>
  <c r="BK320" i="2" s="1"/>
  <c r="BJ384" i="2"/>
  <c r="BK384" i="2" s="1"/>
  <c r="BJ448" i="2"/>
  <c r="BK448" i="2" s="1"/>
  <c r="BJ512" i="2"/>
  <c r="BK512" i="2" s="1"/>
  <c r="BJ576" i="2"/>
  <c r="BK576" i="2" s="1"/>
  <c r="BJ640" i="2"/>
  <c r="BK640" i="2" s="1"/>
  <c r="BJ704" i="2"/>
  <c r="BK704" i="2" s="1"/>
  <c r="BJ768" i="2"/>
  <c r="BK768" i="2" s="1"/>
  <c r="BJ832" i="2"/>
  <c r="BK832" i="2" s="1"/>
  <c r="BJ896" i="2"/>
  <c r="BK896" i="2" s="1"/>
  <c r="BJ9" i="2"/>
  <c r="BK9" i="2" s="1"/>
  <c r="BJ25" i="2"/>
  <c r="BK25" i="2" s="1"/>
  <c r="BJ41" i="2"/>
  <c r="BK41" i="2" s="1"/>
  <c r="BJ57" i="2"/>
  <c r="BK57" i="2" s="1"/>
  <c r="BJ73" i="2"/>
  <c r="BK73" i="2" s="1"/>
  <c r="BJ89" i="2"/>
  <c r="BK89" i="2" s="1"/>
  <c r="BJ105" i="2"/>
  <c r="BK105" i="2" s="1"/>
  <c r="BJ121" i="2"/>
  <c r="BK121" i="2" s="1"/>
  <c r="BJ137" i="2"/>
  <c r="BK137" i="2" s="1"/>
  <c r="BJ153" i="2"/>
  <c r="BK153" i="2" s="1"/>
  <c r="BJ169" i="2"/>
  <c r="BK169" i="2" s="1"/>
  <c r="BJ185" i="2"/>
  <c r="BK185" i="2" s="1"/>
  <c r="BJ201" i="2"/>
  <c r="BK201" i="2" s="1"/>
  <c r="BJ217" i="2"/>
  <c r="BK217" i="2" s="1"/>
  <c r="BJ233" i="2"/>
  <c r="BK233" i="2" s="1"/>
  <c r="BJ249" i="2"/>
  <c r="BK249" i="2" s="1"/>
  <c r="BJ265" i="2"/>
  <c r="BK265" i="2" s="1"/>
  <c r="BJ281" i="2"/>
  <c r="BK281" i="2" s="1"/>
  <c r="BJ297" i="2"/>
  <c r="BK297" i="2" s="1"/>
  <c r="BJ313" i="2"/>
  <c r="BK313" i="2" s="1"/>
  <c r="BJ329" i="2"/>
  <c r="BK329" i="2" s="1"/>
  <c r="BJ345" i="2"/>
  <c r="BK345" i="2" s="1"/>
  <c r="BJ361" i="2"/>
  <c r="BK361" i="2" s="1"/>
  <c r="BJ377" i="2"/>
  <c r="BK377" i="2" s="1"/>
  <c r="BJ393" i="2"/>
  <c r="BK393" i="2" s="1"/>
  <c r="BJ409" i="2"/>
  <c r="BK409" i="2" s="1"/>
  <c r="BJ425" i="2"/>
  <c r="BK425" i="2" s="1"/>
  <c r="BJ441" i="2"/>
  <c r="BK441" i="2" s="1"/>
  <c r="BJ457" i="2"/>
  <c r="BK457" i="2" s="1"/>
  <c r="BJ473" i="2"/>
  <c r="BK473" i="2" s="1"/>
  <c r="BJ489" i="2"/>
  <c r="BK489" i="2" s="1"/>
  <c r="BJ505" i="2"/>
  <c r="BK505" i="2" s="1"/>
  <c r="BJ521" i="2"/>
  <c r="BK521" i="2" s="1"/>
  <c r="BJ537" i="2"/>
  <c r="BK537" i="2" s="1"/>
  <c r="BJ553" i="2"/>
  <c r="BK553" i="2" s="1"/>
  <c r="BJ569" i="2"/>
  <c r="BK569" i="2" s="1"/>
  <c r="BJ585" i="2"/>
  <c r="BK585" i="2" s="1"/>
  <c r="BJ601" i="2"/>
  <c r="BK601" i="2" s="1"/>
  <c r="BJ617" i="2"/>
  <c r="BK617" i="2" s="1"/>
  <c r="BJ633" i="2"/>
  <c r="BK633" i="2" s="1"/>
  <c r="BJ649" i="2"/>
  <c r="BK649" i="2" s="1"/>
  <c r="BJ22" i="2"/>
  <c r="BK22" i="2" s="1"/>
  <c r="BJ70" i="2"/>
  <c r="BK70" i="2" s="1"/>
  <c r="BJ134" i="2"/>
  <c r="BK134" i="2" s="1"/>
  <c r="BJ198" i="2"/>
  <c r="BK198" i="2" s="1"/>
  <c r="BJ262" i="2"/>
  <c r="BK262" i="2" s="1"/>
  <c r="BJ326" i="2"/>
  <c r="BK326" i="2" s="1"/>
  <c r="BJ390" i="2"/>
  <c r="BK390" i="2" s="1"/>
  <c r="BJ184" i="2"/>
  <c r="BK184" i="2" s="1"/>
  <c r="BJ220" i="2"/>
  <c r="BK220" i="2" s="1"/>
  <c r="BJ268" i="2"/>
  <c r="BK268" i="2" s="1"/>
  <c r="BJ312" i="2"/>
  <c r="BK312" i="2" s="1"/>
  <c r="BJ348" i="2"/>
  <c r="BK348" i="2" s="1"/>
  <c r="BJ396" i="2"/>
  <c r="BK396" i="2" s="1"/>
  <c r="BJ440" i="2"/>
  <c r="BK440" i="2" s="1"/>
  <c r="BJ476" i="2"/>
  <c r="BK476" i="2" s="1"/>
  <c r="BJ520" i="2"/>
  <c r="BK520" i="2" s="1"/>
  <c r="BJ548" i="2"/>
  <c r="BK548" i="2" s="1"/>
  <c r="BJ580" i="2"/>
  <c r="BK580" i="2" s="1"/>
  <c r="BJ604" i="2"/>
  <c r="BK604" i="2" s="1"/>
  <c r="BJ632" i="2"/>
  <c r="BK632" i="2" s="1"/>
  <c r="BJ660" i="2"/>
  <c r="BK660" i="2" s="1"/>
  <c r="BJ684" i="2"/>
  <c r="BK684" i="2" s="1"/>
  <c r="BJ716" i="2"/>
  <c r="BK716" i="2" s="1"/>
  <c r="BJ744" i="2"/>
  <c r="BK744" i="2" s="1"/>
  <c r="BJ776" i="2"/>
  <c r="BK776" i="2" s="1"/>
  <c r="BJ804" i="2"/>
  <c r="BK804" i="2" s="1"/>
  <c r="BJ836" i="2"/>
  <c r="BK836" i="2" s="1"/>
  <c r="BJ856" i="2"/>
  <c r="BK856" i="2" s="1"/>
  <c r="BJ876" i="2"/>
  <c r="BK876" i="2" s="1"/>
  <c r="BJ900" i="2"/>
  <c r="BK900" i="2" s="1"/>
  <c r="BJ920" i="2"/>
  <c r="BK920" i="2" s="1"/>
  <c r="BJ940" i="2"/>
  <c r="BK940" i="2" s="1"/>
  <c r="BJ956" i="2"/>
  <c r="BK956" i="2" s="1"/>
  <c r="BJ972" i="2"/>
  <c r="BK972" i="2" s="1"/>
  <c r="BJ988" i="2"/>
  <c r="BK988" i="2" s="1"/>
  <c r="BJ1004" i="2"/>
  <c r="BK1004" i="2" s="1"/>
  <c r="BJ1020" i="2"/>
  <c r="BK1020" i="2" s="1"/>
  <c r="BJ1036" i="2"/>
  <c r="BK1036" i="2" s="1"/>
  <c r="BJ1052" i="2"/>
  <c r="BK1052" i="2" s="1"/>
  <c r="BJ1068" i="2"/>
  <c r="BK1068" i="2" s="1"/>
  <c r="BJ1084" i="2"/>
  <c r="BK1084" i="2" s="1"/>
  <c r="BJ1100" i="2"/>
  <c r="BK1100" i="2" s="1"/>
  <c r="BJ1116" i="2"/>
  <c r="BK1116" i="2" s="1"/>
  <c r="BJ1132" i="2"/>
  <c r="BK1132" i="2" s="1"/>
  <c r="BJ1148" i="2"/>
  <c r="BK1148" i="2" s="1"/>
  <c r="BJ1164" i="2"/>
  <c r="BK1164" i="2" s="1"/>
  <c r="BJ1180" i="2"/>
  <c r="BK1180" i="2" s="1"/>
  <c r="BJ1196" i="2"/>
  <c r="BK1196" i="2" s="1"/>
  <c r="BJ1212" i="2"/>
  <c r="BK1212" i="2" s="1"/>
  <c r="BJ1228" i="2"/>
  <c r="BK1228" i="2" s="1"/>
  <c r="BJ1244" i="2"/>
  <c r="BK1244" i="2" s="1"/>
  <c r="BJ1260" i="2"/>
  <c r="BK1260" i="2" s="1"/>
  <c r="BJ1276" i="2"/>
  <c r="BK1276" i="2" s="1"/>
  <c r="BJ1292" i="2"/>
  <c r="BK1292" i="2" s="1"/>
  <c r="BJ1308" i="2"/>
  <c r="BK1308" i="2" s="1"/>
  <c r="BJ1324" i="2"/>
  <c r="BK1324" i="2" s="1"/>
  <c r="BJ1340" i="2"/>
  <c r="BK1340" i="2" s="1"/>
  <c r="BJ1356" i="2"/>
  <c r="BK1356" i="2" s="1"/>
  <c r="BJ1372" i="2"/>
  <c r="BK1372" i="2" s="1"/>
  <c r="BJ1388" i="2"/>
  <c r="BK1388" i="2" s="1"/>
  <c r="BJ1404" i="2"/>
  <c r="BK1404" i="2" s="1"/>
  <c r="BJ1420" i="2"/>
  <c r="BK1420" i="2" s="1"/>
  <c r="BJ1436" i="2"/>
  <c r="BK1436" i="2" s="1"/>
  <c r="BJ1452" i="2"/>
  <c r="BK1452" i="2" s="1"/>
  <c r="BJ1468" i="2"/>
  <c r="BK1468" i="2" s="1"/>
  <c r="BJ1484" i="2"/>
  <c r="BK1484" i="2" s="1"/>
  <c r="BJ1500" i="2"/>
  <c r="BK1500" i="2" s="1"/>
  <c r="BJ1516" i="2"/>
  <c r="BK1516" i="2" s="1"/>
  <c r="BJ1532" i="2"/>
  <c r="BK1532" i="2" s="1"/>
  <c r="BJ1548" i="2"/>
  <c r="BK1548" i="2" s="1"/>
  <c r="BJ1564" i="2"/>
  <c r="BK1564" i="2" s="1"/>
  <c r="BJ1580" i="2"/>
  <c r="BK1580" i="2" s="1"/>
  <c r="BJ1596" i="2"/>
  <c r="BK1596" i="2" s="1"/>
  <c r="BJ1612" i="2"/>
  <c r="BK1612" i="2" s="1"/>
  <c r="BJ1628" i="2"/>
  <c r="BK1628" i="2" s="1"/>
  <c r="BJ1644" i="2"/>
  <c r="BK1644" i="2" s="1"/>
  <c r="BJ1660" i="2"/>
  <c r="BK1660" i="2" s="1"/>
  <c r="BJ1676" i="2"/>
  <c r="BK1676" i="2" s="1"/>
  <c r="BJ1692" i="2"/>
  <c r="BK1692" i="2" s="1"/>
  <c r="BJ1708" i="2"/>
  <c r="BK1708" i="2" s="1"/>
  <c r="BJ1724" i="2"/>
  <c r="BK1724" i="2" s="1"/>
  <c r="BJ1740" i="2"/>
  <c r="BK1740" i="2" s="1"/>
  <c r="BJ1756" i="2"/>
  <c r="BK1756" i="2" s="1"/>
  <c r="BJ1772" i="2"/>
  <c r="BK1772" i="2" s="1"/>
  <c r="BJ1788" i="2"/>
  <c r="BK1788" i="2" s="1"/>
  <c r="BJ1804" i="2"/>
  <c r="BK1804" i="2" s="1"/>
  <c r="BJ1820" i="2"/>
  <c r="BK1820" i="2" s="1"/>
  <c r="BJ1836" i="2"/>
  <c r="BK1836" i="2" s="1"/>
  <c r="BJ1852" i="2"/>
  <c r="BK1852" i="2" s="1"/>
  <c r="BJ1868" i="2"/>
  <c r="BK1868" i="2" s="1"/>
  <c r="BJ1884" i="2"/>
  <c r="BK1884" i="2" s="1"/>
  <c r="BJ1900" i="2"/>
  <c r="BK1900" i="2" s="1"/>
  <c r="BJ1916" i="2"/>
  <c r="BK1916" i="2" s="1"/>
  <c r="BJ1932" i="2"/>
  <c r="BK1932" i="2" s="1"/>
  <c r="BJ1948" i="2"/>
  <c r="BK1948" i="2" s="1"/>
  <c r="BJ1964" i="2"/>
  <c r="BK1964" i="2" s="1"/>
  <c r="BJ1980" i="2"/>
  <c r="BK1980" i="2" s="1"/>
  <c r="BJ1996" i="2"/>
  <c r="BK1996" i="2" s="1"/>
  <c r="BJ2012" i="2"/>
  <c r="BK2012" i="2" s="1"/>
  <c r="BJ2028" i="2"/>
  <c r="BK2028" i="2" s="1"/>
  <c r="BJ2044" i="2"/>
  <c r="BK2044" i="2" s="1"/>
  <c r="BJ2060" i="2"/>
  <c r="BK2060" i="2" s="1"/>
  <c r="BJ2076" i="2"/>
  <c r="BK2076" i="2" s="1"/>
  <c r="BJ2092" i="2"/>
  <c r="BK2092" i="2" s="1"/>
  <c r="BJ2108" i="2"/>
  <c r="BK2108" i="2" s="1"/>
  <c r="BJ2124" i="2"/>
  <c r="BK2124" i="2" s="1"/>
  <c r="BJ669" i="2"/>
  <c r="BK669" i="2" s="1"/>
  <c r="BJ685" i="2"/>
  <c r="BK685" i="2" s="1"/>
  <c r="BJ701" i="2"/>
  <c r="BK701" i="2" s="1"/>
  <c r="BJ717" i="2"/>
  <c r="BK717" i="2" s="1"/>
  <c r="BJ733" i="2"/>
  <c r="BK733" i="2" s="1"/>
  <c r="BJ749" i="2"/>
  <c r="BK749" i="2" s="1"/>
  <c r="BJ765" i="2"/>
  <c r="BK765" i="2" s="1"/>
  <c r="BJ781" i="2"/>
  <c r="BK781" i="2" s="1"/>
  <c r="BJ797" i="2"/>
  <c r="BK797" i="2" s="1"/>
  <c r="BJ813" i="2"/>
  <c r="BK813" i="2" s="1"/>
  <c r="BJ829" i="2"/>
  <c r="BK829" i="2" s="1"/>
  <c r="BJ845" i="2"/>
  <c r="BK845" i="2" s="1"/>
  <c r="BJ861" i="2"/>
  <c r="BK861" i="2" s="1"/>
  <c r="BJ877" i="2"/>
  <c r="BK877" i="2" s="1"/>
  <c r="BJ893" i="2"/>
  <c r="BK893" i="2" s="1"/>
  <c r="BJ909" i="2"/>
  <c r="BK909" i="2" s="1"/>
  <c r="BJ925" i="2"/>
  <c r="BK925" i="2" s="1"/>
  <c r="BJ941" i="2"/>
  <c r="BK941" i="2" s="1"/>
  <c r="BJ957" i="2"/>
  <c r="BK957" i="2" s="1"/>
  <c r="BJ973" i="2"/>
  <c r="BK973" i="2" s="1"/>
  <c r="BJ989" i="2"/>
  <c r="BK989" i="2" s="1"/>
  <c r="BJ1005" i="2"/>
  <c r="BK1005" i="2" s="1"/>
  <c r="BJ1021" i="2"/>
  <c r="BK1021" i="2" s="1"/>
  <c r="BJ1037" i="2"/>
  <c r="BK1037" i="2" s="1"/>
  <c r="BJ1053" i="2"/>
  <c r="BK1053" i="2" s="1"/>
  <c r="BJ1069" i="2"/>
  <c r="BK1069" i="2" s="1"/>
  <c r="BJ1085" i="2"/>
  <c r="BK1085" i="2" s="1"/>
  <c r="BJ1101" i="2"/>
  <c r="BK1101" i="2" s="1"/>
  <c r="BJ1117" i="2"/>
  <c r="BK1117" i="2" s="1"/>
  <c r="BJ1133" i="2"/>
  <c r="BK1133" i="2" s="1"/>
  <c r="BJ1149" i="2"/>
  <c r="BK1149" i="2" s="1"/>
  <c r="BJ1165" i="2"/>
  <c r="BK1165" i="2" s="1"/>
  <c r="BJ1181" i="2"/>
  <c r="BK1181" i="2" s="1"/>
  <c r="BJ1197" i="2"/>
  <c r="BK1197" i="2" s="1"/>
  <c r="BJ1213" i="2"/>
  <c r="BK1213" i="2" s="1"/>
  <c r="BJ1229" i="2"/>
  <c r="BK1229" i="2" s="1"/>
  <c r="BJ1245" i="2"/>
  <c r="BK1245" i="2" s="1"/>
  <c r="BJ1261" i="2"/>
  <c r="BK1261" i="2" s="1"/>
  <c r="BJ1277" i="2"/>
  <c r="BK1277" i="2" s="1"/>
  <c r="BJ1293" i="2"/>
  <c r="BK1293" i="2" s="1"/>
  <c r="BJ1309" i="2"/>
  <c r="BK1309" i="2" s="1"/>
  <c r="BJ1325" i="2"/>
  <c r="BK1325" i="2" s="1"/>
  <c r="BJ1341" i="2"/>
  <c r="BK1341" i="2" s="1"/>
  <c r="BJ1357" i="2"/>
  <c r="BK1357" i="2" s="1"/>
  <c r="BJ1373" i="2"/>
  <c r="BK1373" i="2" s="1"/>
  <c r="BJ1389" i="2"/>
  <c r="BK1389" i="2" s="1"/>
  <c r="BJ1405" i="2"/>
  <c r="BK1405" i="2" s="1"/>
  <c r="BJ1421" i="2"/>
  <c r="BK1421" i="2" s="1"/>
  <c r="BJ1437" i="2"/>
  <c r="BK1437" i="2" s="1"/>
  <c r="BJ1453" i="2"/>
  <c r="BK1453" i="2" s="1"/>
  <c r="BJ1469" i="2"/>
  <c r="BK1469" i="2" s="1"/>
  <c r="BJ1485" i="2"/>
  <c r="BK1485" i="2" s="1"/>
  <c r="BJ1501" i="2"/>
  <c r="BK1501" i="2" s="1"/>
  <c r="BJ1517" i="2"/>
  <c r="BK1517" i="2" s="1"/>
  <c r="BJ1533" i="2"/>
  <c r="BK1533" i="2" s="1"/>
  <c r="BJ1549" i="2"/>
  <c r="BK1549" i="2" s="1"/>
  <c r="BJ1565" i="2"/>
  <c r="BK1565" i="2" s="1"/>
  <c r="BJ1581" i="2"/>
  <c r="BK1581" i="2" s="1"/>
  <c r="BJ1597" i="2"/>
  <c r="BK1597" i="2" s="1"/>
  <c r="BJ1613" i="2"/>
  <c r="BK1613" i="2" s="1"/>
  <c r="BJ1629" i="2"/>
  <c r="BK1629" i="2" s="1"/>
  <c r="BJ1645" i="2"/>
  <c r="BK1645" i="2" s="1"/>
  <c r="BJ1661" i="2"/>
  <c r="BK1661" i="2" s="1"/>
  <c r="BJ1677" i="2"/>
  <c r="BK1677" i="2" s="1"/>
  <c r="BJ1693" i="2"/>
  <c r="BK1693" i="2" s="1"/>
  <c r="BJ1709" i="2"/>
  <c r="BK1709" i="2" s="1"/>
  <c r="BJ1725" i="2"/>
  <c r="BK1725" i="2" s="1"/>
  <c r="BJ1741" i="2"/>
  <c r="BK1741" i="2" s="1"/>
  <c r="BJ1757" i="2"/>
  <c r="BK1757" i="2" s="1"/>
  <c r="BJ1773" i="2"/>
  <c r="BK1773" i="2" s="1"/>
  <c r="BJ1789" i="2"/>
  <c r="BK1789" i="2" s="1"/>
  <c r="BJ1805" i="2"/>
  <c r="BK1805" i="2" s="1"/>
  <c r="BJ1821" i="2"/>
  <c r="BK1821" i="2" s="1"/>
  <c r="BJ1837" i="2"/>
  <c r="BK1837" i="2" s="1"/>
  <c r="BJ1853" i="2"/>
  <c r="BK1853" i="2" s="1"/>
  <c r="BJ1869" i="2"/>
  <c r="BK1869" i="2" s="1"/>
  <c r="BJ1885" i="2"/>
  <c r="BK1885" i="2" s="1"/>
  <c r="BJ1901" i="2"/>
  <c r="BK1901" i="2" s="1"/>
  <c r="BJ1917" i="2"/>
  <c r="BK1917" i="2" s="1"/>
  <c r="BJ1933" i="2"/>
  <c r="BK1933" i="2" s="1"/>
  <c r="BJ1949" i="2"/>
  <c r="BK1949" i="2" s="1"/>
  <c r="BJ1965" i="2"/>
  <c r="BK1965" i="2" s="1"/>
  <c r="BJ1981" i="2"/>
  <c r="BK1981" i="2" s="1"/>
  <c r="BJ1997" i="2"/>
  <c r="BK1997" i="2" s="1"/>
  <c r="BJ2013" i="2"/>
  <c r="BK2013" i="2" s="1"/>
  <c r="BJ2029" i="2"/>
  <c r="BK2029" i="2" s="1"/>
  <c r="BJ2045" i="2"/>
  <c r="BK2045" i="2" s="1"/>
  <c r="BJ2061" i="2"/>
  <c r="BK2061" i="2" s="1"/>
  <c r="BJ2077" i="2"/>
  <c r="BK2077" i="2" s="1"/>
  <c r="BJ2093" i="2"/>
  <c r="BK2093" i="2" s="1"/>
  <c r="BJ2109" i="2"/>
  <c r="BK2109" i="2" s="1"/>
  <c r="BJ2125" i="2"/>
  <c r="BK2125" i="2" s="1"/>
  <c r="BJ26" i="2"/>
  <c r="BK26" i="2" s="1"/>
  <c r="BJ58" i="2"/>
  <c r="BK58" i="2" s="1"/>
  <c r="BJ90" i="2"/>
  <c r="BK90" i="2" s="1"/>
  <c r="BJ114" i="2"/>
  <c r="BK114" i="2" s="1"/>
  <c r="BJ142" i="2"/>
  <c r="BK142" i="2" s="1"/>
  <c r="BJ170" i="2"/>
  <c r="BK170" i="2" s="1"/>
  <c r="BJ194" i="2"/>
  <c r="BK194" i="2" s="1"/>
  <c r="BJ226" i="2"/>
  <c r="BK226" i="2" s="1"/>
  <c r="BJ254" i="2"/>
  <c r="BK254" i="2" s="1"/>
  <c r="BJ286" i="2"/>
  <c r="BK286" i="2" s="1"/>
  <c r="BJ314" i="2"/>
  <c r="BK314" i="2" s="1"/>
  <c r="BJ334" i="2"/>
  <c r="BK334" i="2" s="1"/>
  <c r="BJ354" i="2"/>
  <c r="BK354" i="2" s="1"/>
  <c r="BJ378" i="2"/>
  <c r="BK378" i="2" s="1"/>
  <c r="BJ398" i="2"/>
  <c r="BK398" i="2" s="1"/>
  <c r="BJ418" i="2"/>
  <c r="BK418" i="2" s="1"/>
  <c r="BJ438" i="2"/>
  <c r="BK438" i="2" s="1"/>
  <c r="BJ454" i="2"/>
  <c r="BK454" i="2" s="1"/>
  <c r="BJ470" i="2"/>
  <c r="BK470" i="2" s="1"/>
  <c r="BJ486" i="2"/>
  <c r="BK486" i="2" s="1"/>
  <c r="BJ502" i="2"/>
  <c r="BK502" i="2" s="1"/>
  <c r="BJ518" i="2"/>
  <c r="BK518" i="2" s="1"/>
  <c r="BJ534" i="2"/>
  <c r="BK534" i="2" s="1"/>
  <c r="BJ550" i="2"/>
  <c r="BK550" i="2" s="1"/>
  <c r="BJ566" i="2"/>
  <c r="BK566" i="2" s="1"/>
  <c r="BJ582" i="2"/>
  <c r="BK582" i="2" s="1"/>
  <c r="BJ598" i="2"/>
  <c r="BK598" i="2" s="1"/>
  <c r="BJ614" i="2"/>
  <c r="BK614" i="2" s="1"/>
  <c r="BJ630" i="2"/>
  <c r="BK630" i="2" s="1"/>
  <c r="BJ646" i="2"/>
  <c r="BK646" i="2" s="1"/>
  <c r="BJ662" i="2"/>
  <c r="BK662" i="2" s="1"/>
  <c r="BJ678" i="2"/>
  <c r="BK678" i="2" s="1"/>
  <c r="BJ694" i="2"/>
  <c r="BK694" i="2" s="1"/>
  <c r="BJ710" i="2"/>
  <c r="BK710" i="2" s="1"/>
  <c r="BJ726" i="2"/>
  <c r="BK726" i="2" s="1"/>
  <c r="BJ742" i="2"/>
  <c r="BK742" i="2" s="1"/>
  <c r="BJ758" i="2"/>
  <c r="BK758" i="2" s="1"/>
  <c r="BJ774" i="2"/>
  <c r="BK774" i="2" s="1"/>
  <c r="BJ790" i="2"/>
  <c r="BK790" i="2" s="1"/>
  <c r="BJ806" i="2"/>
  <c r="BK806" i="2" s="1"/>
  <c r="BJ822" i="2"/>
  <c r="BK822" i="2" s="1"/>
  <c r="BJ838" i="2"/>
  <c r="BK838" i="2" s="1"/>
  <c r="BJ854" i="2"/>
  <c r="BK854" i="2" s="1"/>
  <c r="BJ870" i="2"/>
  <c r="BK870" i="2" s="1"/>
  <c r="BJ886" i="2"/>
  <c r="BK886" i="2" s="1"/>
  <c r="BJ902" i="2"/>
  <c r="BK902" i="2" s="1"/>
  <c r="BJ918" i="2"/>
  <c r="BK918" i="2" s="1"/>
  <c r="BJ934" i="2"/>
  <c r="BK934" i="2" s="1"/>
  <c r="BJ950" i="2"/>
  <c r="BK950" i="2" s="1"/>
  <c r="BJ966" i="2"/>
  <c r="BK966" i="2" s="1"/>
  <c r="BJ982" i="2"/>
  <c r="BK982" i="2" s="1"/>
  <c r="BJ998" i="2"/>
  <c r="BK998" i="2" s="1"/>
  <c r="BJ1014" i="2"/>
  <c r="BK1014" i="2" s="1"/>
  <c r="BJ1030" i="2"/>
  <c r="BK1030" i="2" s="1"/>
  <c r="BJ1046" i="2"/>
  <c r="BK1046" i="2" s="1"/>
  <c r="BJ1062" i="2"/>
  <c r="BK1062" i="2" s="1"/>
  <c r="BJ1078" i="2"/>
  <c r="BK1078" i="2" s="1"/>
  <c r="BJ1094" i="2"/>
  <c r="BK1094" i="2" s="1"/>
  <c r="BJ1110" i="2"/>
  <c r="BK1110" i="2" s="1"/>
  <c r="BJ1126" i="2"/>
  <c r="BK1126" i="2" s="1"/>
  <c r="BJ1142" i="2"/>
  <c r="BK1142" i="2" s="1"/>
  <c r="BJ1158" i="2"/>
  <c r="BK1158" i="2" s="1"/>
  <c r="BJ1174" i="2"/>
  <c r="BK1174" i="2" s="1"/>
  <c r="BJ1190" i="2"/>
  <c r="BK1190" i="2" s="1"/>
  <c r="BJ1206" i="2"/>
  <c r="BK1206" i="2" s="1"/>
  <c r="BJ1222" i="2"/>
  <c r="BK1222" i="2" s="1"/>
  <c r="BJ1238" i="2"/>
  <c r="BK1238" i="2" s="1"/>
  <c r="BJ1254" i="2"/>
  <c r="BK1254" i="2" s="1"/>
  <c r="BJ1270" i="2"/>
  <c r="BK1270" i="2" s="1"/>
  <c r="BJ1286" i="2"/>
  <c r="BK1286" i="2" s="1"/>
  <c r="BJ1302" i="2"/>
  <c r="BK1302" i="2" s="1"/>
  <c r="BJ1318" i="2"/>
  <c r="BK1318" i="2" s="1"/>
  <c r="BJ1334" i="2"/>
  <c r="BK1334" i="2" s="1"/>
  <c r="BJ1350" i="2"/>
  <c r="BK1350" i="2" s="1"/>
  <c r="BJ1366" i="2"/>
  <c r="BK1366" i="2" s="1"/>
  <c r="BJ1382" i="2"/>
  <c r="BK1382" i="2" s="1"/>
  <c r="BJ1398" i="2"/>
  <c r="BK1398" i="2" s="1"/>
  <c r="BJ1414" i="2"/>
  <c r="BK1414" i="2" s="1"/>
  <c r="BJ1430" i="2"/>
  <c r="BK1430" i="2" s="1"/>
  <c r="BJ1446" i="2"/>
  <c r="BK1446" i="2" s="1"/>
  <c r="BJ1462" i="2"/>
  <c r="BK1462" i="2" s="1"/>
  <c r="BJ1478" i="2"/>
  <c r="BK1478" i="2" s="1"/>
  <c r="BJ1494" i="2"/>
  <c r="BK1494" i="2" s="1"/>
  <c r="BJ1510" i="2"/>
  <c r="BK1510" i="2" s="1"/>
  <c r="BJ1526" i="2"/>
  <c r="BK1526" i="2" s="1"/>
  <c r="BJ1542" i="2"/>
  <c r="BK1542" i="2" s="1"/>
  <c r="BJ1558" i="2"/>
  <c r="BK1558" i="2" s="1"/>
  <c r="BJ1574" i="2"/>
  <c r="BK1574" i="2" s="1"/>
  <c r="BJ1590" i="2"/>
  <c r="BK1590" i="2" s="1"/>
  <c r="BJ1606" i="2"/>
  <c r="BK1606" i="2" s="1"/>
  <c r="BJ1622" i="2"/>
  <c r="BK1622" i="2" s="1"/>
  <c r="BJ1638" i="2"/>
  <c r="BK1638" i="2" s="1"/>
  <c r="BJ1654" i="2"/>
  <c r="BK1654" i="2" s="1"/>
  <c r="BJ1670" i="2"/>
  <c r="BK1670" i="2" s="1"/>
  <c r="BJ1686" i="2"/>
  <c r="BK1686" i="2" s="1"/>
  <c r="BJ1702" i="2"/>
  <c r="BK1702" i="2" s="1"/>
  <c r="BJ1718" i="2"/>
  <c r="BK1718" i="2" s="1"/>
  <c r="BJ1734" i="2"/>
  <c r="BK1734" i="2" s="1"/>
  <c r="BJ1750" i="2"/>
  <c r="BK1750" i="2" s="1"/>
  <c r="BJ1766" i="2"/>
  <c r="BK1766" i="2" s="1"/>
  <c r="BJ1782" i="2"/>
  <c r="BK1782" i="2" s="1"/>
  <c r="BJ1798" i="2"/>
  <c r="BK1798" i="2" s="1"/>
  <c r="BJ1814" i="2"/>
  <c r="BK1814" i="2" s="1"/>
  <c r="BJ1830" i="2"/>
  <c r="BK1830" i="2" s="1"/>
  <c r="BJ1846" i="2"/>
  <c r="BK1846" i="2" s="1"/>
  <c r="AY2126" i="2"/>
  <c r="BA2126" i="2"/>
  <c r="BC2126" i="2" s="1"/>
  <c r="AY2114" i="2"/>
  <c r="BA2114" i="2"/>
  <c r="BC2114" i="2" s="1"/>
  <c r="AY2102" i="2"/>
  <c r="BA2102" i="2"/>
  <c r="BC2102" i="2" s="1"/>
  <c r="AY2094" i="2"/>
  <c r="BA2094" i="2"/>
  <c r="BC2094" i="2" s="1"/>
  <c r="AY2082" i="2"/>
  <c r="BA2082" i="2"/>
  <c r="BC2082" i="2" s="1"/>
  <c r="AY2070" i="2"/>
  <c r="BA2070" i="2"/>
  <c r="BC2070" i="2" s="1"/>
  <c r="AY2058" i="2"/>
  <c r="BA2058" i="2"/>
  <c r="BC2058" i="2" s="1"/>
  <c r="AY2046" i="2"/>
  <c r="BA2046" i="2"/>
  <c r="BC2046" i="2" s="1"/>
  <c r="AY2034" i="2"/>
  <c r="BA2034" i="2"/>
  <c r="BC2034" i="2" s="1"/>
  <c r="AY2022" i="2"/>
  <c r="BA2022" i="2"/>
  <c r="BC2022" i="2" s="1"/>
  <c r="AY2010" i="2"/>
  <c r="BA2010" i="2"/>
  <c r="BC2010" i="2" s="1"/>
  <c r="AY1998" i="2"/>
  <c r="BA1998" i="2"/>
  <c r="BC1998" i="2" s="1"/>
  <c r="AY1986" i="2"/>
  <c r="BA1986" i="2"/>
  <c r="BC1986" i="2" s="1"/>
  <c r="AY1974" i="2"/>
  <c r="BA1974" i="2"/>
  <c r="BC1974" i="2" s="1"/>
  <c r="AY1962" i="2"/>
  <c r="BA1962" i="2"/>
  <c r="BC1962" i="2" s="1"/>
  <c r="AY1950" i="2"/>
  <c r="BA1950" i="2"/>
  <c r="BC1950" i="2" s="1"/>
  <c r="AY1938" i="2"/>
  <c r="BA1938" i="2"/>
  <c r="BC1938" i="2" s="1"/>
  <c r="AY1926" i="2"/>
  <c r="BA1926" i="2"/>
  <c r="BC1926" i="2" s="1"/>
  <c r="AY1914" i="2"/>
  <c r="BA1914" i="2"/>
  <c r="BC1914" i="2" s="1"/>
  <c r="AY1902" i="2"/>
  <c r="BA1902" i="2"/>
  <c r="BC1902" i="2" s="1"/>
  <c r="AY1890" i="2"/>
  <c r="BA1890" i="2"/>
  <c r="BC1890" i="2" s="1"/>
  <c r="AY1878" i="2"/>
  <c r="BA1878" i="2"/>
  <c r="BC1878" i="2" s="1"/>
  <c r="AY1858" i="2"/>
  <c r="BA1858" i="2"/>
  <c r="BC1858" i="2" s="1"/>
  <c r="AY1846" i="2"/>
  <c r="BA1846" i="2"/>
  <c r="BC1846" i="2" s="1"/>
  <c r="AY1834" i="2"/>
  <c r="BA1834" i="2"/>
  <c r="BC1834" i="2" s="1"/>
  <c r="AY1822" i="2"/>
  <c r="BA1822" i="2"/>
  <c r="BC1822" i="2" s="1"/>
  <c r="AY1810" i="2"/>
  <c r="BA1810" i="2"/>
  <c r="BC1810" i="2" s="1"/>
  <c r="AY1798" i="2"/>
  <c r="BA1798" i="2"/>
  <c r="BC1798" i="2" s="1"/>
  <c r="AY1786" i="2"/>
  <c r="BA1786" i="2"/>
  <c r="BC1786" i="2" s="1"/>
  <c r="AY1774" i="2"/>
  <c r="BA1774" i="2"/>
  <c r="BC1774" i="2" s="1"/>
  <c r="AY1762" i="2"/>
  <c r="BA1762" i="2"/>
  <c r="BC1762" i="2" s="1"/>
  <c r="AY1750" i="2"/>
  <c r="BA1750" i="2"/>
  <c r="BC1750" i="2" s="1"/>
  <c r="AY1738" i="2"/>
  <c r="BA1738" i="2"/>
  <c r="BC1738" i="2" s="1"/>
  <c r="AY1726" i="2"/>
  <c r="BA1726" i="2"/>
  <c r="BC1726" i="2" s="1"/>
  <c r="AY1714" i="2"/>
  <c r="BA1714" i="2"/>
  <c r="BC1714" i="2" s="1"/>
  <c r="AY1702" i="2"/>
  <c r="BA1702" i="2"/>
  <c r="BC1702" i="2" s="1"/>
  <c r="AY1690" i="2"/>
  <c r="BA1690" i="2"/>
  <c r="BC1690" i="2" s="1"/>
  <c r="AY1678" i="2"/>
  <c r="BA1678" i="2"/>
  <c r="BC1678" i="2" s="1"/>
  <c r="AY1666" i="2"/>
  <c r="BA1666" i="2"/>
  <c r="BC1666" i="2" s="1"/>
  <c r="AY1654" i="2"/>
  <c r="BA1654" i="2"/>
  <c r="BC1654" i="2" s="1"/>
  <c r="AY1642" i="2"/>
  <c r="BA1642" i="2"/>
  <c r="BC1642" i="2" s="1"/>
  <c r="AY1630" i="2"/>
  <c r="BA1630" i="2"/>
  <c r="BC1630" i="2" s="1"/>
  <c r="AY1618" i="2"/>
  <c r="BA1618" i="2"/>
  <c r="BC1618" i="2" s="1"/>
  <c r="AY1606" i="2"/>
  <c r="BA1606" i="2"/>
  <c r="BC1606" i="2" s="1"/>
  <c r="AY1594" i="2"/>
  <c r="BA1594" i="2"/>
  <c r="BC1594" i="2" s="1"/>
  <c r="AY1582" i="2"/>
  <c r="BA1582" i="2"/>
  <c r="BC1582" i="2" s="1"/>
  <c r="AY1570" i="2"/>
  <c r="BA1570" i="2"/>
  <c r="BC1570" i="2" s="1"/>
  <c r="AY1558" i="2"/>
  <c r="BA1558" i="2"/>
  <c r="BC1558" i="2" s="1"/>
  <c r="AY1546" i="2"/>
  <c r="BA1546" i="2"/>
  <c r="BC1546" i="2" s="1"/>
  <c r="AY1534" i="2"/>
  <c r="BA1534" i="2"/>
  <c r="BC1534" i="2" s="1"/>
  <c r="AY1522" i="2"/>
  <c r="BA1522" i="2"/>
  <c r="BC1522" i="2" s="1"/>
  <c r="AY1510" i="2"/>
  <c r="BA1510" i="2"/>
  <c r="BC1510" i="2" s="1"/>
  <c r="AY1498" i="2"/>
  <c r="BA1498" i="2"/>
  <c r="BC1498" i="2" s="1"/>
  <c r="AY1486" i="2"/>
  <c r="BA1486" i="2"/>
  <c r="BC1486" i="2" s="1"/>
  <c r="AY1474" i="2"/>
  <c r="BA1474" i="2"/>
  <c r="BC1474" i="2" s="1"/>
  <c r="AY1462" i="2"/>
  <c r="BA1462" i="2"/>
  <c r="BC1462" i="2" s="1"/>
  <c r="AY1450" i="2"/>
  <c r="BA1450" i="2"/>
  <c r="BC1450" i="2" s="1"/>
  <c r="AY1434" i="2"/>
  <c r="BA1434" i="2"/>
  <c r="BC1434" i="2" s="1"/>
  <c r="AY1418" i="2"/>
  <c r="BA1418" i="2"/>
  <c r="BC1418" i="2" s="1"/>
  <c r="AY1406" i="2"/>
  <c r="BA1406" i="2"/>
  <c r="BC1406" i="2" s="1"/>
  <c r="AY1394" i="2"/>
  <c r="BA1394" i="2"/>
  <c r="BC1394" i="2" s="1"/>
  <c r="AY1382" i="2"/>
  <c r="BA1382" i="2"/>
  <c r="BC1382" i="2" s="1"/>
  <c r="AY1370" i="2"/>
  <c r="BA1370" i="2"/>
  <c r="BC1370" i="2" s="1"/>
  <c r="AY1358" i="2"/>
  <c r="BA1358" i="2"/>
  <c r="BC1358" i="2" s="1"/>
  <c r="AY1334" i="2"/>
  <c r="BA1334" i="2"/>
  <c r="BC1334" i="2" s="1"/>
  <c r="AY1322" i="2"/>
  <c r="BA1322" i="2"/>
  <c r="BC1322" i="2" s="1"/>
  <c r="AY1310" i="2"/>
  <c r="BA1310" i="2"/>
  <c r="BC1310" i="2" s="1"/>
  <c r="AY1294" i="2"/>
  <c r="BA1294" i="2"/>
  <c r="BC1294" i="2" s="1"/>
  <c r="AY1282" i="2"/>
  <c r="BA1282" i="2"/>
  <c r="BC1282" i="2" s="1"/>
  <c r="AY1270" i="2"/>
  <c r="BA1270" i="2"/>
  <c r="BC1270" i="2" s="1"/>
  <c r="AY1254" i="2"/>
  <c r="BA1254" i="2"/>
  <c r="BC1254" i="2" s="1"/>
  <c r="AY1242" i="2"/>
  <c r="BA1242" i="2"/>
  <c r="BC1242" i="2" s="1"/>
  <c r="AY1230" i="2"/>
  <c r="BA1230" i="2"/>
  <c r="BC1230" i="2" s="1"/>
  <c r="AY1218" i="2"/>
  <c r="BA1218" i="2"/>
  <c r="BC1218" i="2" s="1"/>
  <c r="AY1206" i="2"/>
  <c r="BA1206" i="2"/>
  <c r="BC1206" i="2" s="1"/>
  <c r="AY1194" i="2"/>
  <c r="BA1194" i="2"/>
  <c r="BC1194" i="2" s="1"/>
  <c r="AY1182" i="2"/>
  <c r="BA1182" i="2"/>
  <c r="BC1182" i="2" s="1"/>
  <c r="AY1170" i="2"/>
  <c r="BA1170" i="2"/>
  <c r="BC1170" i="2" s="1"/>
  <c r="AY1158" i="2"/>
  <c r="BA1158" i="2"/>
  <c r="BC1158" i="2" s="1"/>
  <c r="AY1146" i="2"/>
  <c r="BA1146" i="2"/>
  <c r="BC1146" i="2" s="1"/>
  <c r="AY1134" i="2"/>
  <c r="BA1134" i="2"/>
  <c r="BC1134" i="2" s="1"/>
  <c r="AY1122" i="2"/>
  <c r="BA1122" i="2"/>
  <c r="BC1122" i="2" s="1"/>
  <c r="AY1110" i="2"/>
  <c r="BA1110" i="2"/>
  <c r="BC1110" i="2" s="1"/>
  <c r="AY1098" i="2"/>
  <c r="BA1098" i="2"/>
  <c r="BC1098" i="2" s="1"/>
  <c r="AY1082" i="2"/>
  <c r="BA1082" i="2"/>
  <c r="BC1082" i="2" s="1"/>
  <c r="AY1070" i="2"/>
  <c r="BA1070" i="2"/>
  <c r="BC1070" i="2" s="1"/>
  <c r="AY1058" i="2"/>
  <c r="BA1058" i="2"/>
  <c r="BC1058" i="2" s="1"/>
  <c r="AY1042" i="2"/>
  <c r="BA1042" i="2"/>
  <c r="BC1042" i="2" s="1"/>
  <c r="AY1030" i="2"/>
  <c r="BA1030" i="2"/>
  <c r="BC1030" i="2" s="1"/>
  <c r="AY1018" i="2"/>
  <c r="BA1018" i="2"/>
  <c r="BC1018" i="2" s="1"/>
  <c r="AY1006" i="2"/>
  <c r="BA1006" i="2"/>
  <c r="BC1006" i="2" s="1"/>
  <c r="AY994" i="2"/>
  <c r="BA994" i="2"/>
  <c r="BC994" i="2" s="1"/>
  <c r="AY982" i="2"/>
  <c r="BA982" i="2"/>
  <c r="BC982" i="2" s="1"/>
  <c r="AY970" i="2"/>
  <c r="BA970" i="2"/>
  <c r="BC970" i="2" s="1"/>
  <c r="AY958" i="2"/>
  <c r="BA958" i="2"/>
  <c r="BC958" i="2" s="1"/>
  <c r="AY946" i="2"/>
  <c r="BA946" i="2"/>
  <c r="BC946" i="2" s="1"/>
  <c r="AY934" i="2"/>
  <c r="BA934" i="2"/>
  <c r="BC934" i="2" s="1"/>
  <c r="AY922" i="2"/>
  <c r="BA922" i="2"/>
  <c r="BC922" i="2" s="1"/>
  <c r="AY910" i="2"/>
  <c r="BA910" i="2"/>
  <c r="BC910" i="2" s="1"/>
  <c r="AY898" i="2"/>
  <c r="BA898" i="2"/>
  <c r="BC898" i="2" s="1"/>
  <c r="AY886" i="2"/>
  <c r="BA886" i="2"/>
  <c r="BC886" i="2" s="1"/>
  <c r="AY874" i="2"/>
  <c r="BA874" i="2"/>
  <c r="BC874" i="2" s="1"/>
  <c r="AY862" i="2"/>
  <c r="BA862" i="2"/>
  <c r="BC862" i="2" s="1"/>
  <c r="AY850" i="2"/>
  <c r="BA850" i="2"/>
  <c r="BC850" i="2" s="1"/>
  <c r="AY838" i="2"/>
  <c r="BA838" i="2"/>
  <c r="BC838" i="2" s="1"/>
  <c r="AY826" i="2"/>
  <c r="BA826" i="2"/>
  <c r="BC826" i="2" s="1"/>
  <c r="AY814" i="2"/>
  <c r="BA814" i="2"/>
  <c r="BC814" i="2" s="1"/>
  <c r="AY802" i="2"/>
  <c r="BA802" i="2"/>
  <c r="BC802" i="2" s="1"/>
  <c r="AY790" i="2"/>
  <c r="BA790" i="2"/>
  <c r="BC790" i="2" s="1"/>
  <c r="AY782" i="2"/>
  <c r="BA782" i="2"/>
  <c r="BC782" i="2" s="1"/>
  <c r="AY774" i="2"/>
  <c r="BA774" i="2"/>
  <c r="BC774" i="2" s="1"/>
  <c r="AY766" i="2"/>
  <c r="BA766" i="2"/>
  <c r="BC766" i="2" s="1"/>
  <c r="AY758" i="2"/>
  <c r="BA758" i="2"/>
  <c r="BC758" i="2" s="1"/>
  <c r="AY750" i="2"/>
  <c r="BA750" i="2"/>
  <c r="BC750" i="2" s="1"/>
  <c r="AY742" i="2"/>
  <c r="BA742" i="2"/>
  <c r="BC742" i="2" s="1"/>
  <c r="AY734" i="2"/>
  <c r="BA734" i="2"/>
  <c r="BC734" i="2" s="1"/>
  <c r="AY726" i="2"/>
  <c r="BA726" i="2"/>
  <c r="BC726" i="2" s="1"/>
  <c r="AY718" i="2"/>
  <c r="BA718" i="2"/>
  <c r="BC718" i="2" s="1"/>
  <c r="AY710" i="2"/>
  <c r="BA710" i="2"/>
  <c r="BC710" i="2" s="1"/>
  <c r="AY702" i="2"/>
  <c r="BA702" i="2"/>
  <c r="BC702" i="2" s="1"/>
  <c r="AY694" i="2"/>
  <c r="BA694" i="2"/>
  <c r="BC694" i="2" s="1"/>
  <c r="AY686" i="2"/>
  <c r="BA686" i="2"/>
  <c r="BC686" i="2" s="1"/>
  <c r="AY678" i="2"/>
  <c r="BA678" i="2"/>
  <c r="BC678" i="2" s="1"/>
  <c r="AY670" i="2"/>
  <c r="BA670" i="2"/>
  <c r="BC670" i="2" s="1"/>
  <c r="AY662" i="2"/>
  <c r="BA662" i="2"/>
  <c r="BC662" i="2" s="1"/>
  <c r="AY654" i="2"/>
  <c r="BA654" i="2"/>
  <c r="BC654" i="2" s="1"/>
  <c r="AY646" i="2"/>
  <c r="BA646" i="2"/>
  <c r="BC646" i="2" s="1"/>
  <c r="AY638" i="2"/>
  <c r="BA638" i="2"/>
  <c r="BC638" i="2" s="1"/>
  <c r="AY630" i="2"/>
  <c r="BA630" i="2"/>
  <c r="BC630" i="2" s="1"/>
  <c r="AY622" i="2"/>
  <c r="BA622" i="2"/>
  <c r="BC622" i="2" s="1"/>
  <c r="AY614" i="2"/>
  <c r="BA614" i="2"/>
  <c r="BC614" i="2" s="1"/>
  <c r="AY610" i="2"/>
  <c r="BA610" i="2"/>
  <c r="BC610" i="2" s="1"/>
  <c r="AY602" i="2"/>
  <c r="BA602" i="2"/>
  <c r="BC602" i="2" s="1"/>
  <c r="AY590" i="2"/>
  <c r="BA590" i="2"/>
  <c r="BC590" i="2" s="1"/>
  <c r="AY582" i="2"/>
  <c r="BA582" i="2"/>
  <c r="BC582" i="2" s="1"/>
  <c r="AY574" i="2"/>
  <c r="BA574" i="2"/>
  <c r="BC574" i="2" s="1"/>
  <c r="AY566" i="2"/>
  <c r="BA566" i="2"/>
  <c r="BC566" i="2" s="1"/>
  <c r="AY558" i="2"/>
  <c r="BA558" i="2"/>
  <c r="BC558" i="2" s="1"/>
  <c r="AY546" i="2"/>
  <c r="BA546" i="2"/>
  <c r="BC546" i="2" s="1"/>
  <c r="AY534" i="2"/>
  <c r="BA534" i="2"/>
  <c r="BC534" i="2" s="1"/>
  <c r="AY522" i="2"/>
  <c r="BA522" i="2"/>
  <c r="BC522" i="2" s="1"/>
  <c r="AY510" i="2"/>
  <c r="BA510" i="2"/>
  <c r="BC510" i="2" s="1"/>
  <c r="AY498" i="2"/>
  <c r="BA498" i="2"/>
  <c r="BC498" i="2" s="1"/>
  <c r="AY486" i="2"/>
  <c r="BA486" i="2"/>
  <c r="BC486" i="2" s="1"/>
  <c r="AY474" i="2"/>
  <c r="BA474" i="2"/>
  <c r="BC474" i="2" s="1"/>
  <c r="AY462" i="2"/>
  <c r="BA462" i="2"/>
  <c r="BC462" i="2" s="1"/>
  <c r="AY450" i="2"/>
  <c r="BA450" i="2"/>
  <c r="BC450" i="2" s="1"/>
  <c r="AY438" i="2"/>
  <c r="BA438" i="2"/>
  <c r="BC438" i="2" s="1"/>
  <c r="AY426" i="2"/>
  <c r="BA426" i="2"/>
  <c r="BC426" i="2" s="1"/>
  <c r="AY414" i="2"/>
  <c r="BA414" i="2"/>
  <c r="BC414" i="2" s="1"/>
  <c r="AY402" i="2"/>
  <c r="BA402" i="2"/>
  <c r="BC402" i="2" s="1"/>
  <c r="AY390" i="2"/>
  <c r="BA390" i="2"/>
  <c r="BC390" i="2" s="1"/>
  <c r="AY378" i="2"/>
  <c r="BA378" i="2"/>
  <c r="BC378" i="2" s="1"/>
  <c r="AY366" i="2"/>
  <c r="BA366" i="2"/>
  <c r="BC366" i="2" s="1"/>
  <c r="AY354" i="2"/>
  <c r="BA354" i="2"/>
  <c r="BC354" i="2" s="1"/>
  <c r="AY342" i="2"/>
  <c r="BA342" i="2"/>
  <c r="BC342" i="2" s="1"/>
  <c r="AY330" i="2"/>
  <c r="BA330" i="2"/>
  <c r="BC330" i="2" s="1"/>
  <c r="AY306" i="2"/>
  <c r="BA306" i="2"/>
  <c r="BC306" i="2" s="1"/>
  <c r="AY294" i="2"/>
  <c r="BA294" i="2"/>
  <c r="BC294" i="2" s="1"/>
  <c r="AY282" i="2"/>
  <c r="BA282" i="2"/>
  <c r="BC282" i="2" s="1"/>
  <c r="AY270" i="2"/>
  <c r="BA270" i="2"/>
  <c r="BC270" i="2" s="1"/>
  <c r="AY258" i="2"/>
  <c r="BA258" i="2"/>
  <c r="BC258" i="2" s="1"/>
  <c r="AY246" i="2"/>
  <c r="BA246" i="2"/>
  <c r="BC246" i="2" s="1"/>
  <c r="AY226" i="2"/>
  <c r="BA226" i="2"/>
  <c r="BC226" i="2" s="1"/>
  <c r="AY214" i="2"/>
  <c r="BA214" i="2"/>
  <c r="BC214" i="2" s="1"/>
  <c r="AY202" i="2"/>
  <c r="BA202" i="2"/>
  <c r="BC202" i="2" s="1"/>
  <c r="AY190" i="2"/>
  <c r="BA190" i="2"/>
  <c r="BC190" i="2" s="1"/>
  <c r="AY178" i="2"/>
  <c r="BA178" i="2"/>
  <c r="BC178" i="2" s="1"/>
  <c r="AY166" i="2"/>
  <c r="BA166" i="2"/>
  <c r="BC166" i="2" s="1"/>
  <c r="AY154" i="2"/>
  <c r="BA154" i="2"/>
  <c r="BC154" i="2" s="1"/>
  <c r="AY138" i="2"/>
  <c r="BA138" i="2"/>
  <c r="BC138" i="2" s="1"/>
  <c r="AY122" i="2"/>
  <c r="BA122" i="2"/>
  <c r="BC122" i="2" s="1"/>
  <c r="AY110" i="2"/>
  <c r="BA110" i="2"/>
  <c r="BC110" i="2" s="1"/>
  <c r="AY98" i="2"/>
  <c r="BA98" i="2"/>
  <c r="BC98" i="2" s="1"/>
  <c r="AY86" i="2"/>
  <c r="BA86" i="2"/>
  <c r="BC86" i="2" s="1"/>
  <c r="AY82" i="2"/>
  <c r="BA82" i="2"/>
  <c r="BC82" i="2" s="1"/>
  <c r="AY70" i="2"/>
  <c r="BA70" i="2"/>
  <c r="BC70" i="2" s="1"/>
  <c r="AY58" i="2"/>
  <c r="BA58" i="2"/>
  <c r="BC58" i="2" s="1"/>
  <c r="AY46" i="2"/>
  <c r="BA46" i="2"/>
  <c r="BC46" i="2" s="1"/>
  <c r="AY30" i="2"/>
  <c r="BA30" i="2"/>
  <c r="BC30" i="2" s="1"/>
  <c r="AY18" i="2"/>
  <c r="BA18" i="2"/>
  <c r="BC18" i="2" s="1"/>
  <c r="AY2122" i="2"/>
  <c r="BA2122" i="2"/>
  <c r="BC2122" i="2" s="1"/>
  <c r="AY2110" i="2"/>
  <c r="BA2110" i="2"/>
  <c r="BC2110" i="2" s="1"/>
  <c r="AY2098" i="2"/>
  <c r="BA2098" i="2"/>
  <c r="BC2098" i="2" s="1"/>
  <c r="AY2086" i="2"/>
  <c r="BA2086" i="2"/>
  <c r="BC2086" i="2" s="1"/>
  <c r="AY2074" i="2"/>
  <c r="BA2074" i="2"/>
  <c r="BC2074" i="2" s="1"/>
  <c r="AY2062" i="2"/>
  <c r="BA2062" i="2"/>
  <c r="BC2062" i="2" s="1"/>
  <c r="AY2050" i="2"/>
  <c r="BA2050" i="2"/>
  <c r="BC2050" i="2" s="1"/>
  <c r="AY2038" i="2"/>
  <c r="BA2038" i="2"/>
  <c r="BC2038" i="2" s="1"/>
  <c r="AY2026" i="2"/>
  <c r="BA2026" i="2"/>
  <c r="BC2026" i="2" s="1"/>
  <c r="AY2014" i="2"/>
  <c r="BA2014" i="2"/>
  <c r="BC2014" i="2" s="1"/>
  <c r="AY2002" i="2"/>
  <c r="BA2002" i="2"/>
  <c r="BC2002" i="2" s="1"/>
  <c r="AY1990" i="2"/>
  <c r="BA1990" i="2"/>
  <c r="BC1990" i="2" s="1"/>
  <c r="AY1978" i="2"/>
  <c r="BA1978" i="2"/>
  <c r="BC1978" i="2" s="1"/>
  <c r="AY1970" i="2"/>
  <c r="BA1970" i="2"/>
  <c r="BC1970" i="2" s="1"/>
  <c r="AY1958" i="2"/>
  <c r="BA1958" i="2"/>
  <c r="BC1958" i="2" s="1"/>
  <c r="AY1946" i="2"/>
  <c r="BA1946" i="2"/>
  <c r="BC1946" i="2" s="1"/>
  <c r="AY1934" i="2"/>
  <c r="BA1934" i="2"/>
  <c r="BC1934" i="2" s="1"/>
  <c r="AY1918" i="2"/>
  <c r="BA1918" i="2"/>
  <c r="BC1918" i="2" s="1"/>
  <c r="AY1906" i="2"/>
  <c r="BA1906" i="2"/>
  <c r="BC1906" i="2" s="1"/>
  <c r="AY1898" i="2"/>
  <c r="BA1898" i="2"/>
  <c r="BC1898" i="2" s="1"/>
  <c r="AY1882" i="2"/>
  <c r="BA1882" i="2"/>
  <c r="BC1882" i="2" s="1"/>
  <c r="AY1870" i="2"/>
  <c r="BA1870" i="2"/>
  <c r="BC1870" i="2" s="1"/>
  <c r="AY1866" i="2"/>
  <c r="BA1866" i="2"/>
  <c r="BC1866" i="2" s="1"/>
  <c r="AY1854" i="2"/>
  <c r="BA1854" i="2"/>
  <c r="BC1854" i="2" s="1"/>
  <c r="AY1842" i="2"/>
  <c r="BA1842" i="2"/>
  <c r="BC1842" i="2" s="1"/>
  <c r="AY1826" i="2"/>
  <c r="BA1826" i="2"/>
  <c r="BC1826" i="2" s="1"/>
  <c r="AY1814" i="2"/>
  <c r="BA1814" i="2"/>
  <c r="BC1814" i="2" s="1"/>
  <c r="AY1806" i="2"/>
  <c r="BA1806" i="2"/>
  <c r="BC1806" i="2" s="1"/>
  <c r="AY1794" i="2"/>
  <c r="BA1794" i="2"/>
  <c r="BC1794" i="2" s="1"/>
  <c r="AY1782" i="2"/>
  <c r="BA1782" i="2"/>
  <c r="BC1782" i="2" s="1"/>
  <c r="AY1770" i="2"/>
  <c r="BA1770" i="2"/>
  <c r="BC1770" i="2" s="1"/>
  <c r="AY1754" i="2"/>
  <c r="BA1754" i="2"/>
  <c r="BC1754" i="2" s="1"/>
  <c r="AY1742" i="2"/>
  <c r="BA1742" i="2"/>
  <c r="BC1742" i="2" s="1"/>
  <c r="AY1730" i="2"/>
  <c r="BA1730" i="2"/>
  <c r="BC1730" i="2" s="1"/>
  <c r="AY1718" i="2"/>
  <c r="BA1718" i="2"/>
  <c r="BC1718" i="2" s="1"/>
  <c r="AY1706" i="2"/>
  <c r="BA1706" i="2"/>
  <c r="BC1706" i="2" s="1"/>
  <c r="AY1694" i="2"/>
  <c r="BA1694" i="2"/>
  <c r="BC1694" i="2" s="1"/>
  <c r="AY1682" i="2"/>
  <c r="BA1682" i="2"/>
  <c r="BC1682" i="2" s="1"/>
  <c r="AY1670" i="2"/>
  <c r="BA1670" i="2"/>
  <c r="BC1670" i="2" s="1"/>
  <c r="AY1658" i="2"/>
  <c r="BA1658" i="2"/>
  <c r="BC1658" i="2" s="1"/>
  <c r="AY1646" i="2"/>
  <c r="BA1646" i="2"/>
  <c r="BC1646" i="2" s="1"/>
  <c r="AY1634" i="2"/>
  <c r="BA1634" i="2"/>
  <c r="BC1634" i="2" s="1"/>
  <c r="AY1622" i="2"/>
  <c r="BA1622" i="2"/>
  <c r="BC1622" i="2" s="1"/>
  <c r="AY1610" i="2"/>
  <c r="BA1610" i="2"/>
  <c r="BC1610" i="2" s="1"/>
  <c r="AY1598" i="2"/>
  <c r="BA1598" i="2"/>
  <c r="BC1598" i="2" s="1"/>
  <c r="AY1586" i="2"/>
  <c r="BA1586" i="2"/>
  <c r="BC1586" i="2" s="1"/>
  <c r="AY1574" i="2"/>
  <c r="BA1574" i="2"/>
  <c r="BC1574" i="2" s="1"/>
  <c r="AY1562" i="2"/>
  <c r="BA1562" i="2"/>
  <c r="BC1562" i="2" s="1"/>
  <c r="AY1550" i="2"/>
  <c r="BA1550" i="2"/>
  <c r="BC1550" i="2" s="1"/>
  <c r="AY1538" i="2"/>
  <c r="BA1538" i="2"/>
  <c r="BC1538" i="2" s="1"/>
  <c r="AY1526" i="2"/>
  <c r="BA1526" i="2"/>
  <c r="BC1526" i="2" s="1"/>
  <c r="AY1514" i="2"/>
  <c r="BA1514" i="2"/>
  <c r="BC1514" i="2" s="1"/>
  <c r="AY1502" i="2"/>
  <c r="BA1502" i="2"/>
  <c r="BC1502" i="2" s="1"/>
  <c r="AY1490" i="2"/>
  <c r="BA1490" i="2"/>
  <c r="BC1490" i="2" s="1"/>
  <c r="AY1478" i="2"/>
  <c r="BA1478" i="2"/>
  <c r="BC1478" i="2" s="1"/>
  <c r="AY1466" i="2"/>
  <c r="BA1466" i="2"/>
  <c r="BC1466" i="2" s="1"/>
  <c r="AY1454" i="2"/>
  <c r="BA1454" i="2"/>
  <c r="BC1454" i="2" s="1"/>
  <c r="AY1442" i="2"/>
  <c r="BA1442" i="2"/>
  <c r="BC1442" i="2" s="1"/>
  <c r="AY1430" i="2"/>
  <c r="BA1430" i="2"/>
  <c r="BC1430" i="2" s="1"/>
  <c r="AY1422" i="2"/>
  <c r="BA1422" i="2"/>
  <c r="BC1422" i="2" s="1"/>
  <c r="AY1410" i="2"/>
  <c r="BA1410" i="2"/>
  <c r="BC1410" i="2" s="1"/>
  <c r="AY1398" i="2"/>
  <c r="BA1398" i="2"/>
  <c r="BC1398" i="2" s="1"/>
  <c r="AY1386" i="2"/>
  <c r="BA1386" i="2"/>
  <c r="BC1386" i="2" s="1"/>
  <c r="AY1374" i="2"/>
  <c r="BA1374" i="2"/>
  <c r="BC1374" i="2" s="1"/>
  <c r="AY1362" i="2"/>
  <c r="BA1362" i="2"/>
  <c r="BC1362" i="2" s="1"/>
  <c r="AY1350" i="2"/>
  <c r="BA1350" i="2"/>
  <c r="BC1350" i="2" s="1"/>
  <c r="AY1342" i="2"/>
  <c r="BA1342" i="2"/>
  <c r="BC1342" i="2" s="1"/>
  <c r="AY1338" i="2"/>
  <c r="BA1338" i="2"/>
  <c r="BC1338" i="2" s="1"/>
  <c r="AY1326" i="2"/>
  <c r="BA1326" i="2"/>
  <c r="BC1326" i="2" s="1"/>
  <c r="AY1314" i="2"/>
  <c r="BA1314" i="2"/>
  <c r="BC1314" i="2" s="1"/>
  <c r="AY1302" i="2"/>
  <c r="BA1302" i="2"/>
  <c r="BC1302" i="2" s="1"/>
  <c r="AY1290" i="2"/>
  <c r="BA1290" i="2"/>
  <c r="BC1290" i="2" s="1"/>
  <c r="AY1278" i="2"/>
  <c r="BA1278" i="2"/>
  <c r="BC1278" i="2" s="1"/>
  <c r="AY1266" i="2"/>
  <c r="BA1266" i="2"/>
  <c r="BC1266" i="2" s="1"/>
  <c r="AY1258" i="2"/>
  <c r="BA1258" i="2"/>
  <c r="BC1258" i="2" s="1"/>
  <c r="AY1246" i="2"/>
  <c r="BA1246" i="2"/>
  <c r="BC1246" i="2" s="1"/>
  <c r="AY1234" i="2"/>
  <c r="BA1234" i="2"/>
  <c r="BC1234" i="2" s="1"/>
  <c r="AY1222" i="2"/>
  <c r="BA1222" i="2"/>
  <c r="BC1222" i="2" s="1"/>
  <c r="AY1210" i="2"/>
  <c r="BA1210" i="2"/>
  <c r="BC1210" i="2" s="1"/>
  <c r="AY1198" i="2"/>
  <c r="BA1198" i="2"/>
  <c r="BC1198" i="2" s="1"/>
  <c r="AY1186" i="2"/>
  <c r="BA1186" i="2"/>
  <c r="BC1186" i="2" s="1"/>
  <c r="AY1174" i="2"/>
  <c r="BA1174" i="2"/>
  <c r="BC1174" i="2" s="1"/>
  <c r="AY1162" i="2"/>
  <c r="BA1162" i="2"/>
  <c r="BC1162" i="2" s="1"/>
  <c r="AY1150" i="2"/>
  <c r="BA1150" i="2"/>
  <c r="BC1150" i="2" s="1"/>
  <c r="AY1138" i="2"/>
  <c r="BA1138" i="2"/>
  <c r="BC1138" i="2" s="1"/>
  <c r="AY1126" i="2"/>
  <c r="BA1126" i="2"/>
  <c r="BC1126" i="2" s="1"/>
  <c r="AY1114" i="2"/>
  <c r="BA1114" i="2"/>
  <c r="BC1114" i="2" s="1"/>
  <c r="AY1102" i="2"/>
  <c r="BA1102" i="2"/>
  <c r="BC1102" i="2" s="1"/>
  <c r="AY1090" i="2"/>
  <c r="BA1090" i="2"/>
  <c r="BC1090" i="2" s="1"/>
  <c r="AY1078" i="2"/>
  <c r="BA1078" i="2"/>
  <c r="BC1078" i="2" s="1"/>
  <c r="AY1066" i="2"/>
  <c r="BA1066" i="2"/>
  <c r="BC1066" i="2" s="1"/>
  <c r="AY1054" i="2"/>
  <c r="BA1054" i="2"/>
  <c r="BC1054" i="2" s="1"/>
  <c r="AY1050" i="2"/>
  <c r="BA1050" i="2"/>
  <c r="BC1050" i="2" s="1"/>
  <c r="AY1038" i="2"/>
  <c r="BA1038" i="2"/>
  <c r="BC1038" i="2" s="1"/>
  <c r="AY1026" i="2"/>
  <c r="BA1026" i="2"/>
  <c r="BC1026" i="2" s="1"/>
  <c r="AY1014" i="2"/>
  <c r="BA1014" i="2"/>
  <c r="BC1014" i="2" s="1"/>
  <c r="AY998" i="2"/>
  <c r="BA998" i="2"/>
  <c r="BC998" i="2" s="1"/>
  <c r="AY986" i="2"/>
  <c r="BA986" i="2"/>
  <c r="BC986" i="2" s="1"/>
  <c r="AY974" i="2"/>
  <c r="BA974" i="2"/>
  <c r="BC974" i="2" s="1"/>
  <c r="AY962" i="2"/>
  <c r="BA962" i="2"/>
  <c r="BC962" i="2" s="1"/>
  <c r="AY950" i="2"/>
  <c r="BA950" i="2"/>
  <c r="BC950" i="2" s="1"/>
  <c r="AY942" i="2"/>
  <c r="BA942" i="2"/>
  <c r="BC942" i="2" s="1"/>
  <c r="AY930" i="2"/>
  <c r="BA930" i="2"/>
  <c r="BC930" i="2" s="1"/>
  <c r="AY918" i="2"/>
  <c r="BA918" i="2"/>
  <c r="BC918" i="2" s="1"/>
  <c r="AY906" i="2"/>
  <c r="BA906" i="2"/>
  <c r="BC906" i="2" s="1"/>
  <c r="AY894" i="2"/>
  <c r="BA894" i="2"/>
  <c r="BC894" i="2" s="1"/>
  <c r="AY882" i="2"/>
  <c r="BA882" i="2"/>
  <c r="BC882" i="2" s="1"/>
  <c r="AY870" i="2"/>
  <c r="BA870" i="2"/>
  <c r="BC870" i="2" s="1"/>
  <c r="AY858" i="2"/>
  <c r="BA858" i="2"/>
  <c r="BC858" i="2" s="1"/>
  <c r="AY846" i="2"/>
  <c r="BA846" i="2"/>
  <c r="BC846" i="2" s="1"/>
  <c r="AY834" i="2"/>
  <c r="BA834" i="2"/>
  <c r="BC834" i="2" s="1"/>
  <c r="AY822" i="2"/>
  <c r="BA822" i="2"/>
  <c r="BC822" i="2" s="1"/>
  <c r="AY810" i="2"/>
  <c r="BA810" i="2"/>
  <c r="BC810" i="2" s="1"/>
  <c r="AY798" i="2"/>
  <c r="BA798" i="2"/>
  <c r="BC798" i="2" s="1"/>
  <c r="AY550" i="2"/>
  <c r="BA550" i="2"/>
  <c r="BC550" i="2" s="1"/>
  <c r="AY538" i="2"/>
  <c r="BA538" i="2"/>
  <c r="BC538" i="2" s="1"/>
  <c r="AY526" i="2"/>
  <c r="BA526" i="2"/>
  <c r="BC526" i="2" s="1"/>
  <c r="AY514" i="2"/>
  <c r="BA514" i="2"/>
  <c r="BC514" i="2" s="1"/>
  <c r="AY502" i="2"/>
  <c r="BA502" i="2"/>
  <c r="BC502" i="2" s="1"/>
  <c r="AY490" i="2"/>
  <c r="BA490" i="2"/>
  <c r="BC490" i="2" s="1"/>
  <c r="AY478" i="2"/>
  <c r="BA478" i="2"/>
  <c r="BC478" i="2" s="1"/>
  <c r="AY466" i="2"/>
  <c r="BA466" i="2"/>
  <c r="BC466" i="2" s="1"/>
  <c r="AY454" i="2"/>
  <c r="BA454" i="2"/>
  <c r="BC454" i="2" s="1"/>
  <c r="AY442" i="2"/>
  <c r="BA442" i="2"/>
  <c r="BC442" i="2" s="1"/>
  <c r="AY434" i="2"/>
  <c r="BA434" i="2"/>
  <c r="BC434" i="2" s="1"/>
  <c r="AY422" i="2"/>
  <c r="BA422" i="2"/>
  <c r="BC422" i="2" s="1"/>
  <c r="AY410" i="2"/>
  <c r="BA410" i="2"/>
  <c r="BC410" i="2" s="1"/>
  <c r="AY398" i="2"/>
  <c r="BA398" i="2"/>
  <c r="BC398" i="2" s="1"/>
  <c r="AY386" i="2"/>
  <c r="BA386" i="2"/>
  <c r="BC386" i="2" s="1"/>
  <c r="AY374" i="2"/>
  <c r="BA374" i="2"/>
  <c r="BC374" i="2" s="1"/>
  <c r="AY362" i="2"/>
  <c r="BA362" i="2"/>
  <c r="BC362" i="2" s="1"/>
  <c r="AY350" i="2"/>
  <c r="BA350" i="2"/>
  <c r="BC350" i="2" s="1"/>
  <c r="AY338" i="2"/>
  <c r="BA338" i="2"/>
  <c r="BC338" i="2" s="1"/>
  <c r="AY326" i="2"/>
  <c r="BA326" i="2"/>
  <c r="BC326" i="2" s="1"/>
  <c r="AY318" i="2"/>
  <c r="BA318" i="2"/>
  <c r="BC318" i="2" s="1"/>
  <c r="AY310" i="2"/>
  <c r="BA310" i="2"/>
  <c r="BC310" i="2" s="1"/>
  <c r="AY298" i="2"/>
  <c r="BA298" i="2"/>
  <c r="BC298" i="2" s="1"/>
  <c r="AY286" i="2"/>
  <c r="BA286" i="2"/>
  <c r="BC286" i="2" s="1"/>
  <c r="AY274" i="2"/>
  <c r="BA274" i="2"/>
  <c r="BC274" i="2" s="1"/>
  <c r="AY262" i="2"/>
  <c r="BA262" i="2"/>
  <c r="BC262" i="2" s="1"/>
  <c r="AY250" i="2"/>
  <c r="BA250" i="2"/>
  <c r="BC250" i="2" s="1"/>
  <c r="AY238" i="2"/>
  <c r="BA238" i="2"/>
  <c r="BC238" i="2" s="1"/>
  <c r="AY230" i="2"/>
  <c r="BA230" i="2"/>
  <c r="BC230" i="2" s="1"/>
  <c r="AY218" i="2"/>
  <c r="BA218" i="2"/>
  <c r="BC218" i="2" s="1"/>
  <c r="AY206" i="2"/>
  <c r="BA206" i="2"/>
  <c r="BC206" i="2" s="1"/>
  <c r="AY194" i="2"/>
  <c r="BA194" i="2"/>
  <c r="BC194" i="2" s="1"/>
  <c r="AY182" i="2"/>
  <c r="BA182" i="2"/>
  <c r="BC182" i="2" s="1"/>
  <c r="AY170" i="2"/>
  <c r="BA170" i="2"/>
  <c r="BC170" i="2" s="1"/>
  <c r="AY158" i="2"/>
  <c r="BA158" i="2"/>
  <c r="BC158" i="2" s="1"/>
  <c r="AY146" i="2"/>
  <c r="BA146" i="2"/>
  <c r="BC146" i="2" s="1"/>
  <c r="AY142" i="2"/>
  <c r="BA142" i="2"/>
  <c r="BC142" i="2" s="1"/>
  <c r="AY130" i="2"/>
  <c r="BA130" i="2"/>
  <c r="BC130" i="2" s="1"/>
  <c r="AY118" i="2"/>
  <c r="BA118" i="2"/>
  <c r="BC118" i="2" s="1"/>
  <c r="AY106" i="2"/>
  <c r="BA106" i="2"/>
  <c r="BC106" i="2" s="1"/>
  <c r="AY94" i="2"/>
  <c r="BA94" i="2"/>
  <c r="BC94" i="2" s="1"/>
  <c r="AY78" i="2"/>
  <c r="BA78" i="2"/>
  <c r="BC78" i="2" s="1"/>
  <c r="AY66" i="2"/>
  <c r="BA66" i="2"/>
  <c r="BC66" i="2" s="1"/>
  <c r="AY54" i="2"/>
  <c r="BA54" i="2"/>
  <c r="BC54" i="2" s="1"/>
  <c r="AY42" i="2"/>
  <c r="BA42" i="2"/>
  <c r="BC42" i="2" s="1"/>
  <c r="AY34" i="2"/>
  <c r="BA34" i="2"/>
  <c r="BC34" i="2" s="1"/>
  <c r="AY22" i="2"/>
  <c r="BA22" i="2"/>
  <c r="BC22" i="2" s="1"/>
  <c r="AY10" i="2"/>
  <c r="BA10" i="2"/>
  <c r="BC10" i="2" s="1"/>
  <c r="AY2" i="2"/>
  <c r="BA2" i="2"/>
  <c r="BC2" i="2" s="1"/>
  <c r="AY2125" i="2"/>
  <c r="BA2125" i="2"/>
  <c r="BC2125" i="2" s="1"/>
  <c r="AY2117" i="2"/>
  <c r="BA2117" i="2"/>
  <c r="BC2117" i="2" s="1"/>
  <c r="AY2109" i="2"/>
  <c r="BA2109" i="2"/>
  <c r="BC2109" i="2" s="1"/>
  <c r="AY2105" i="2"/>
  <c r="BA2105" i="2"/>
  <c r="BC2105" i="2" s="1"/>
  <c r="AY2101" i="2"/>
  <c r="BA2101" i="2"/>
  <c r="BC2101" i="2" s="1"/>
  <c r="AY2097" i="2"/>
  <c r="BA2097" i="2"/>
  <c r="BC2097" i="2" s="1"/>
  <c r="AY2093" i="2"/>
  <c r="BA2093" i="2"/>
  <c r="BC2093" i="2" s="1"/>
  <c r="AY2089" i="2"/>
  <c r="BA2089" i="2"/>
  <c r="BC2089" i="2" s="1"/>
  <c r="AY2085" i="2"/>
  <c r="BA2085" i="2"/>
  <c r="BC2085" i="2" s="1"/>
  <c r="AY2081" i="2"/>
  <c r="BA2081" i="2"/>
  <c r="BC2081" i="2" s="1"/>
  <c r="AY2077" i="2"/>
  <c r="BA2077" i="2"/>
  <c r="BC2077" i="2" s="1"/>
  <c r="AY2073" i="2"/>
  <c r="BA2073" i="2"/>
  <c r="BC2073" i="2" s="1"/>
  <c r="AY2069" i="2"/>
  <c r="BA2069" i="2"/>
  <c r="BC2069" i="2" s="1"/>
  <c r="AY2065" i="2"/>
  <c r="BA2065" i="2"/>
  <c r="BC2065" i="2" s="1"/>
  <c r="AY2061" i="2"/>
  <c r="BA2061" i="2"/>
  <c r="BC2061" i="2" s="1"/>
  <c r="AY2057" i="2"/>
  <c r="BA2057" i="2"/>
  <c r="BC2057" i="2" s="1"/>
  <c r="AY2053" i="2"/>
  <c r="BA2053" i="2"/>
  <c r="BC2053" i="2" s="1"/>
  <c r="AY2049" i="2"/>
  <c r="BA2049" i="2"/>
  <c r="BC2049" i="2" s="1"/>
  <c r="AY2045" i="2"/>
  <c r="BA2045" i="2"/>
  <c r="BC2045" i="2" s="1"/>
  <c r="AY2041" i="2"/>
  <c r="BA2041" i="2"/>
  <c r="BC2041" i="2" s="1"/>
  <c r="AY2033" i="2"/>
  <c r="BA2033" i="2"/>
  <c r="BC2033" i="2" s="1"/>
  <c r="AY2025" i="2"/>
  <c r="BA2025" i="2"/>
  <c r="BC2025" i="2" s="1"/>
  <c r="AY2017" i="2"/>
  <c r="BA2017" i="2"/>
  <c r="BC2017" i="2" s="1"/>
  <c r="AY2009" i="2"/>
  <c r="BA2009" i="2"/>
  <c r="BC2009" i="2" s="1"/>
  <c r="AY1997" i="2"/>
  <c r="BA1997" i="2"/>
  <c r="BC1997" i="2" s="1"/>
  <c r="AY1989" i="2"/>
  <c r="BA1989" i="2"/>
  <c r="BC1989" i="2" s="1"/>
  <c r="AY1981" i="2"/>
  <c r="BA1981" i="2"/>
  <c r="BC1981" i="2" s="1"/>
  <c r="AY1973" i="2"/>
  <c r="BA1973" i="2"/>
  <c r="BC1973" i="2" s="1"/>
  <c r="AY1965" i="2"/>
  <c r="BA1965" i="2"/>
  <c r="BC1965" i="2" s="1"/>
  <c r="AY1957" i="2"/>
  <c r="BA1957" i="2"/>
  <c r="BC1957" i="2" s="1"/>
  <c r="AY1949" i="2"/>
  <c r="BA1949" i="2"/>
  <c r="BC1949" i="2" s="1"/>
  <c r="AY1933" i="2"/>
  <c r="BA1933" i="2"/>
  <c r="BC1933" i="2" s="1"/>
  <c r="AY1925" i="2"/>
  <c r="BA1925" i="2"/>
  <c r="BC1925" i="2" s="1"/>
  <c r="AY1917" i="2"/>
  <c r="BA1917" i="2"/>
  <c r="BC1917" i="2" s="1"/>
  <c r="AY1909" i="2"/>
  <c r="BA1909" i="2"/>
  <c r="BC1909" i="2" s="1"/>
  <c r="AY1901" i="2"/>
  <c r="BA1901" i="2"/>
  <c r="BC1901" i="2" s="1"/>
  <c r="AY1893" i="2"/>
  <c r="BA1893" i="2"/>
  <c r="BC1893" i="2" s="1"/>
  <c r="AY1885" i="2"/>
  <c r="BA1885" i="2"/>
  <c r="BC1885" i="2" s="1"/>
  <c r="AY1877" i="2"/>
  <c r="BA1877" i="2"/>
  <c r="BC1877" i="2" s="1"/>
  <c r="AY1869" i="2"/>
  <c r="BA1869" i="2"/>
  <c r="BC1869" i="2" s="1"/>
  <c r="AY1861" i="2"/>
  <c r="BA1861" i="2"/>
  <c r="BC1861" i="2" s="1"/>
  <c r="AY1853" i="2"/>
  <c r="BA1853" i="2"/>
  <c r="BC1853" i="2" s="1"/>
  <c r="AY1845" i="2"/>
  <c r="BA1845" i="2"/>
  <c r="BC1845" i="2" s="1"/>
  <c r="AY1837" i="2"/>
  <c r="BA1837" i="2"/>
  <c r="BC1837" i="2" s="1"/>
  <c r="AY1829" i="2"/>
  <c r="BA1829" i="2"/>
  <c r="BC1829" i="2" s="1"/>
  <c r="AY1821" i="2"/>
  <c r="BA1821" i="2"/>
  <c r="BC1821" i="2" s="1"/>
  <c r="AY1813" i="2"/>
  <c r="BA1813" i="2"/>
  <c r="BC1813" i="2" s="1"/>
  <c r="AY1805" i="2"/>
  <c r="BA1805" i="2"/>
  <c r="BC1805" i="2" s="1"/>
  <c r="AY1797" i="2"/>
  <c r="BA1797" i="2"/>
  <c r="BC1797" i="2" s="1"/>
  <c r="AY1789" i="2"/>
  <c r="BA1789" i="2"/>
  <c r="BC1789" i="2" s="1"/>
  <c r="AY1781" i="2"/>
  <c r="BA1781" i="2"/>
  <c r="BC1781" i="2" s="1"/>
  <c r="AY1773" i="2"/>
  <c r="BA1773" i="2"/>
  <c r="BC1773" i="2" s="1"/>
  <c r="AY1765" i="2"/>
  <c r="BA1765" i="2"/>
  <c r="BC1765" i="2" s="1"/>
  <c r="AY1757" i="2"/>
  <c r="BA1757" i="2"/>
  <c r="BC1757" i="2" s="1"/>
  <c r="AY1749" i="2"/>
  <c r="BA1749" i="2"/>
  <c r="BC1749" i="2" s="1"/>
  <c r="AY1741" i="2"/>
  <c r="BA1741" i="2"/>
  <c r="BC1741" i="2" s="1"/>
  <c r="AY1733" i="2"/>
  <c r="BA1733" i="2"/>
  <c r="BC1733" i="2" s="1"/>
  <c r="AY1725" i="2"/>
  <c r="BA1725" i="2"/>
  <c r="BC1725" i="2" s="1"/>
  <c r="AY1721" i="2"/>
  <c r="BA1721" i="2"/>
  <c r="BC1721" i="2" s="1"/>
  <c r="AY1713" i="2"/>
  <c r="BA1713" i="2"/>
  <c r="BC1713" i="2" s="1"/>
  <c r="AY1705" i="2"/>
  <c r="BA1705" i="2"/>
  <c r="BC1705" i="2" s="1"/>
  <c r="AY1697" i="2"/>
  <c r="BA1697" i="2"/>
  <c r="BC1697" i="2" s="1"/>
  <c r="AY1689" i="2"/>
  <c r="BA1689" i="2"/>
  <c r="BC1689" i="2" s="1"/>
  <c r="AY1681" i="2"/>
  <c r="BA1681" i="2"/>
  <c r="BC1681" i="2" s="1"/>
  <c r="AY1673" i="2"/>
  <c r="BA1673" i="2"/>
  <c r="BC1673" i="2" s="1"/>
  <c r="AY1665" i="2"/>
  <c r="BA1665" i="2"/>
  <c r="BC1665" i="2" s="1"/>
  <c r="AY1657" i="2"/>
  <c r="BA1657" i="2"/>
  <c r="BC1657" i="2" s="1"/>
  <c r="AY1649" i="2"/>
  <c r="BA1649" i="2"/>
  <c r="BC1649" i="2" s="1"/>
  <c r="AY1645" i="2"/>
  <c r="BA1645" i="2"/>
  <c r="BC1645" i="2" s="1"/>
  <c r="AY1641" i="2"/>
  <c r="BA1641" i="2"/>
  <c r="BC1641" i="2" s="1"/>
  <c r="AY1637" i="2"/>
  <c r="BA1637" i="2"/>
  <c r="BC1637" i="2" s="1"/>
  <c r="AY1629" i="2"/>
  <c r="BA1629" i="2"/>
  <c r="BC1629" i="2" s="1"/>
  <c r="AY1621" i="2"/>
  <c r="BA1621" i="2"/>
  <c r="BC1621" i="2" s="1"/>
  <c r="AY1613" i="2"/>
  <c r="BA1613" i="2"/>
  <c r="BC1613" i="2" s="1"/>
  <c r="AY1605" i="2"/>
  <c r="BA1605" i="2"/>
  <c r="BC1605" i="2" s="1"/>
  <c r="AY1597" i="2"/>
  <c r="BA1597" i="2"/>
  <c r="BC1597" i="2" s="1"/>
  <c r="AY1589" i="2"/>
  <c r="BA1589" i="2"/>
  <c r="BC1589" i="2" s="1"/>
  <c r="AY1581" i="2"/>
  <c r="BA1581" i="2"/>
  <c r="BC1581" i="2" s="1"/>
  <c r="AY1573" i="2"/>
  <c r="BA1573" i="2"/>
  <c r="BC1573" i="2" s="1"/>
  <c r="AY1565" i="2"/>
  <c r="BA1565" i="2"/>
  <c r="BC1565" i="2" s="1"/>
  <c r="AY1557" i="2"/>
  <c r="BA1557" i="2"/>
  <c r="BC1557" i="2" s="1"/>
  <c r="AY1549" i="2"/>
  <c r="BA1549" i="2"/>
  <c r="BC1549" i="2" s="1"/>
  <c r="AY1541" i="2"/>
  <c r="BA1541" i="2"/>
  <c r="BC1541" i="2" s="1"/>
  <c r="AY1537" i="2"/>
  <c r="BA1537" i="2"/>
  <c r="BC1537" i="2" s="1"/>
  <c r="AY1529" i="2"/>
  <c r="BA1529" i="2"/>
  <c r="BC1529" i="2" s="1"/>
  <c r="AY1525" i="2"/>
  <c r="BA1525" i="2"/>
  <c r="BC1525" i="2" s="1"/>
  <c r="AY1517" i="2"/>
  <c r="BA1517" i="2"/>
  <c r="BC1517" i="2" s="1"/>
  <c r="AY1509" i="2"/>
  <c r="BA1509" i="2"/>
  <c r="BC1509" i="2" s="1"/>
  <c r="AY1501" i="2"/>
  <c r="BA1501" i="2"/>
  <c r="BC1501" i="2" s="1"/>
  <c r="AY1497" i="2"/>
  <c r="BA1497" i="2"/>
  <c r="BC1497" i="2" s="1"/>
  <c r="AY1489" i="2"/>
  <c r="BA1489" i="2"/>
  <c r="BC1489" i="2" s="1"/>
  <c r="AY1485" i="2"/>
  <c r="BA1485" i="2"/>
  <c r="BC1485" i="2" s="1"/>
  <c r="AY1477" i="2"/>
  <c r="BA1477" i="2"/>
  <c r="BC1477" i="2" s="1"/>
  <c r="AY1469" i="2"/>
  <c r="BA1469" i="2"/>
  <c r="BC1469" i="2" s="1"/>
  <c r="AY1461" i="2"/>
  <c r="BA1461" i="2"/>
  <c r="BC1461" i="2" s="1"/>
  <c r="AY1453" i="2"/>
  <c r="BA1453" i="2"/>
  <c r="BC1453" i="2" s="1"/>
  <c r="AY1445" i="2"/>
  <c r="BA1445" i="2"/>
  <c r="BC1445" i="2" s="1"/>
  <c r="AY1433" i="2"/>
  <c r="BA1433" i="2"/>
  <c r="BC1433" i="2" s="1"/>
  <c r="AY1429" i="2"/>
  <c r="BA1429" i="2"/>
  <c r="BC1429" i="2" s="1"/>
  <c r="AY1425" i="2"/>
  <c r="BA1425" i="2"/>
  <c r="BC1425" i="2" s="1"/>
  <c r="AY1417" i="2"/>
  <c r="BA1417" i="2"/>
  <c r="BC1417" i="2" s="1"/>
  <c r="AY1409" i="2"/>
  <c r="BA1409" i="2"/>
  <c r="BC1409" i="2" s="1"/>
  <c r="AY1401" i="2"/>
  <c r="BA1401" i="2"/>
  <c r="BC1401" i="2" s="1"/>
  <c r="AY1393" i="2"/>
  <c r="BA1393" i="2"/>
  <c r="BC1393" i="2" s="1"/>
  <c r="AY1385" i="2"/>
  <c r="BA1385" i="2"/>
  <c r="BC1385" i="2" s="1"/>
  <c r="AY1373" i="2"/>
  <c r="BA1373" i="2"/>
  <c r="BC1373" i="2" s="1"/>
  <c r="AY1365" i="2"/>
  <c r="BA1365" i="2"/>
  <c r="BC1365" i="2" s="1"/>
  <c r="AY1357" i="2"/>
  <c r="BA1357" i="2"/>
  <c r="BC1357" i="2" s="1"/>
  <c r="AY1341" i="2"/>
  <c r="BA1341" i="2"/>
  <c r="BC1341" i="2" s="1"/>
  <c r="AY1269" i="2"/>
  <c r="BA1269" i="2"/>
  <c r="BC1269" i="2" s="1"/>
  <c r="AY1261" i="2"/>
  <c r="BA1261" i="2"/>
  <c r="BC1261" i="2" s="1"/>
  <c r="AY1253" i="2"/>
  <c r="BA1253" i="2"/>
  <c r="BC1253" i="2" s="1"/>
  <c r="AY1245" i="2"/>
  <c r="BA1245" i="2"/>
  <c r="BC1245" i="2" s="1"/>
  <c r="AY1233" i="2"/>
  <c r="BA1233" i="2"/>
  <c r="BC1233" i="2" s="1"/>
  <c r="AY1225" i="2"/>
  <c r="BA1225" i="2"/>
  <c r="BC1225" i="2" s="1"/>
  <c r="AY1221" i="2"/>
  <c r="BA1221" i="2"/>
  <c r="BC1221" i="2" s="1"/>
  <c r="AY1217" i="2"/>
  <c r="BA1217" i="2"/>
  <c r="BC1217" i="2" s="1"/>
  <c r="AY1213" i="2"/>
  <c r="BA1213" i="2"/>
  <c r="BC1213" i="2" s="1"/>
  <c r="AY1209" i="2"/>
  <c r="BA1209" i="2"/>
  <c r="BC1209" i="2" s="1"/>
  <c r="AY1205" i="2"/>
  <c r="BA1205" i="2"/>
  <c r="BC1205" i="2" s="1"/>
  <c r="AY1201" i="2"/>
  <c r="BA1201" i="2"/>
  <c r="BC1201" i="2" s="1"/>
  <c r="AY1197" i="2"/>
  <c r="BA1197" i="2"/>
  <c r="BC1197" i="2" s="1"/>
  <c r="AY1193" i="2"/>
  <c r="BA1193" i="2"/>
  <c r="BC1193" i="2" s="1"/>
  <c r="AY1185" i="2"/>
  <c r="BA1185" i="2"/>
  <c r="BC1185" i="2" s="1"/>
  <c r="AY1181" i="2"/>
  <c r="BA1181" i="2"/>
  <c r="BC1181" i="2" s="1"/>
  <c r="AY1177" i="2"/>
  <c r="BA1177" i="2"/>
  <c r="BC1177" i="2" s="1"/>
  <c r="AY1173" i="2"/>
  <c r="BA1173" i="2"/>
  <c r="BC1173" i="2" s="1"/>
  <c r="AY1169" i="2"/>
  <c r="BA1169" i="2"/>
  <c r="BC1169" i="2" s="1"/>
  <c r="AY1165" i="2"/>
  <c r="BA1165" i="2"/>
  <c r="BC1165" i="2" s="1"/>
  <c r="AY1161" i="2"/>
  <c r="BA1161" i="2"/>
  <c r="BC1161" i="2" s="1"/>
  <c r="AY1157" i="2"/>
  <c r="BA1157" i="2"/>
  <c r="BC1157" i="2" s="1"/>
  <c r="AY1153" i="2"/>
  <c r="BA1153" i="2"/>
  <c r="BC1153" i="2" s="1"/>
  <c r="AY1149" i="2"/>
  <c r="BA1149" i="2"/>
  <c r="BC1149" i="2" s="1"/>
  <c r="AY1145" i="2"/>
  <c r="BA1145" i="2"/>
  <c r="BC1145" i="2" s="1"/>
  <c r="AY1141" i="2"/>
  <c r="BA1141" i="2"/>
  <c r="BC1141" i="2" s="1"/>
  <c r="AY1137" i="2"/>
  <c r="BA1137" i="2"/>
  <c r="BC1137" i="2" s="1"/>
  <c r="AY1133" i="2"/>
  <c r="BA1133" i="2"/>
  <c r="BC1133" i="2" s="1"/>
  <c r="AY1129" i="2"/>
  <c r="BA1129" i="2"/>
  <c r="BC1129" i="2" s="1"/>
  <c r="AY1125" i="2"/>
  <c r="BA1125" i="2"/>
  <c r="BC1125" i="2" s="1"/>
  <c r="AY1121" i="2"/>
  <c r="BA1121" i="2"/>
  <c r="BC1121" i="2" s="1"/>
  <c r="AY1117" i="2"/>
  <c r="BA1117" i="2"/>
  <c r="BC1117" i="2" s="1"/>
  <c r="AY1113" i="2"/>
  <c r="BA1113" i="2"/>
  <c r="BC1113" i="2" s="1"/>
  <c r="AY1109" i="2"/>
  <c r="BA1109" i="2"/>
  <c r="BC1109" i="2" s="1"/>
  <c r="AY1105" i="2"/>
  <c r="BA1105" i="2"/>
  <c r="BC1105" i="2" s="1"/>
  <c r="AY1101" i="2"/>
  <c r="BA1101" i="2"/>
  <c r="BC1101" i="2" s="1"/>
  <c r="AY1097" i="2"/>
  <c r="BA1097" i="2"/>
  <c r="BC1097" i="2" s="1"/>
  <c r="AY1093" i="2"/>
  <c r="BA1093" i="2"/>
  <c r="BC1093" i="2" s="1"/>
  <c r="AY1089" i="2"/>
  <c r="BA1089" i="2"/>
  <c r="BC1089" i="2" s="1"/>
  <c r="AY1085" i="2"/>
  <c r="BA1085" i="2"/>
  <c r="BC1085" i="2" s="1"/>
  <c r="AY1081" i="2"/>
  <c r="BA1081" i="2"/>
  <c r="BC1081" i="2" s="1"/>
  <c r="AY1077" i="2"/>
  <c r="BA1077" i="2"/>
  <c r="BC1077" i="2" s="1"/>
  <c r="AY1073" i="2"/>
  <c r="BA1073" i="2"/>
  <c r="BC1073" i="2" s="1"/>
  <c r="AY1069" i="2"/>
  <c r="BA1069" i="2"/>
  <c r="BC1069" i="2" s="1"/>
  <c r="AY1065" i="2"/>
  <c r="BA1065" i="2"/>
  <c r="BC1065" i="2" s="1"/>
  <c r="AY1061" i="2"/>
  <c r="BA1061" i="2"/>
  <c r="BC1061" i="2" s="1"/>
  <c r="AY1057" i="2"/>
  <c r="BA1057" i="2"/>
  <c r="BC1057" i="2" s="1"/>
  <c r="AY1053" i="2"/>
  <c r="BA1053" i="2"/>
  <c r="BC1053" i="2" s="1"/>
  <c r="AY1049" i="2"/>
  <c r="BA1049" i="2"/>
  <c r="BC1049" i="2" s="1"/>
  <c r="AY1045" i="2"/>
  <c r="BA1045" i="2"/>
  <c r="BC1045" i="2" s="1"/>
  <c r="AY1041" i="2"/>
  <c r="BA1041" i="2"/>
  <c r="BC1041" i="2" s="1"/>
  <c r="AY1037" i="2"/>
  <c r="BA1037" i="2"/>
  <c r="BC1037" i="2" s="1"/>
  <c r="AY1033" i="2"/>
  <c r="BA1033" i="2"/>
  <c r="BC1033" i="2" s="1"/>
  <c r="AY1029" i="2"/>
  <c r="BA1029" i="2"/>
  <c r="BC1029" i="2" s="1"/>
  <c r="AY1025" i="2"/>
  <c r="BA1025" i="2"/>
  <c r="BC1025" i="2" s="1"/>
  <c r="AY1021" i="2"/>
  <c r="BA1021" i="2"/>
  <c r="BC1021" i="2" s="1"/>
  <c r="AY1017" i="2"/>
  <c r="BA1017" i="2"/>
  <c r="BC1017" i="2" s="1"/>
  <c r="AY1013" i="2"/>
  <c r="BA1013" i="2"/>
  <c r="BC1013" i="2" s="1"/>
  <c r="AY1009" i="2"/>
  <c r="BA1009" i="2"/>
  <c r="BC1009" i="2" s="1"/>
  <c r="AY1005" i="2"/>
  <c r="BA1005" i="2"/>
  <c r="BC1005" i="2" s="1"/>
  <c r="AY1001" i="2"/>
  <c r="BA1001" i="2"/>
  <c r="BC1001" i="2" s="1"/>
  <c r="AY997" i="2"/>
  <c r="BA997" i="2"/>
  <c r="BC997" i="2" s="1"/>
  <c r="AY993" i="2"/>
  <c r="BA993" i="2"/>
  <c r="BC993" i="2" s="1"/>
  <c r="AY989" i="2"/>
  <c r="BA989" i="2"/>
  <c r="BC989" i="2" s="1"/>
  <c r="AY985" i="2"/>
  <c r="BA985" i="2"/>
  <c r="BC985" i="2" s="1"/>
  <c r="AY981" i="2"/>
  <c r="BA981" i="2"/>
  <c r="BC981" i="2" s="1"/>
  <c r="AY977" i="2"/>
  <c r="BA977" i="2"/>
  <c r="BC977" i="2" s="1"/>
  <c r="AY973" i="2"/>
  <c r="BA973" i="2"/>
  <c r="BC973" i="2" s="1"/>
  <c r="AY969" i="2"/>
  <c r="BA969" i="2"/>
  <c r="BC969" i="2" s="1"/>
  <c r="AY965" i="2"/>
  <c r="BA965" i="2"/>
  <c r="BC965" i="2" s="1"/>
  <c r="AY961" i="2"/>
  <c r="BA961" i="2"/>
  <c r="BC961" i="2" s="1"/>
  <c r="AY957" i="2"/>
  <c r="BA957" i="2"/>
  <c r="BC957" i="2" s="1"/>
  <c r="AY953" i="2"/>
  <c r="BA953" i="2"/>
  <c r="BC953" i="2" s="1"/>
  <c r="AY949" i="2"/>
  <c r="BA949" i="2"/>
  <c r="BC949" i="2" s="1"/>
  <c r="AY945" i="2"/>
  <c r="BA945" i="2"/>
  <c r="BC945" i="2" s="1"/>
  <c r="AY941" i="2"/>
  <c r="BA941" i="2"/>
  <c r="BC941" i="2" s="1"/>
  <c r="AY937" i="2"/>
  <c r="BA937" i="2"/>
  <c r="BC937" i="2" s="1"/>
  <c r="AY933" i="2"/>
  <c r="BA933" i="2"/>
  <c r="BC933" i="2" s="1"/>
  <c r="AY929" i="2"/>
  <c r="BA929" i="2"/>
  <c r="BC929" i="2" s="1"/>
  <c r="AY925" i="2"/>
  <c r="BA925" i="2"/>
  <c r="BC925" i="2" s="1"/>
  <c r="AY921" i="2"/>
  <c r="BA921" i="2"/>
  <c r="BC921" i="2" s="1"/>
  <c r="AY917" i="2"/>
  <c r="BA917" i="2"/>
  <c r="BC917" i="2" s="1"/>
  <c r="AY913" i="2"/>
  <c r="BA913" i="2"/>
  <c r="BC913" i="2" s="1"/>
  <c r="AY909" i="2"/>
  <c r="BA909" i="2"/>
  <c r="BC909" i="2" s="1"/>
  <c r="AY905" i="2"/>
  <c r="BA905" i="2"/>
  <c r="BC905" i="2" s="1"/>
  <c r="AY901" i="2"/>
  <c r="BA901" i="2"/>
  <c r="BC901" i="2" s="1"/>
  <c r="AY897" i="2"/>
  <c r="BA897" i="2"/>
  <c r="BC897" i="2" s="1"/>
  <c r="AY893" i="2"/>
  <c r="BA893" i="2"/>
  <c r="BC893" i="2" s="1"/>
  <c r="AY889" i="2"/>
  <c r="BA889" i="2"/>
  <c r="BC889" i="2" s="1"/>
  <c r="AY885" i="2"/>
  <c r="BA885" i="2"/>
  <c r="BC885" i="2" s="1"/>
  <c r="AY881" i="2"/>
  <c r="BA881" i="2"/>
  <c r="BC881" i="2" s="1"/>
  <c r="AY877" i="2"/>
  <c r="BA877" i="2"/>
  <c r="BC877" i="2" s="1"/>
  <c r="AY873" i="2"/>
  <c r="BA873" i="2"/>
  <c r="BC873" i="2" s="1"/>
  <c r="AY869" i="2"/>
  <c r="BA869" i="2"/>
  <c r="BC869" i="2" s="1"/>
  <c r="AY865" i="2"/>
  <c r="BA865" i="2"/>
  <c r="BC865" i="2" s="1"/>
  <c r="AY861" i="2"/>
  <c r="BA861" i="2"/>
  <c r="BC861" i="2" s="1"/>
  <c r="AY857" i="2"/>
  <c r="BA857" i="2"/>
  <c r="BC857" i="2" s="1"/>
  <c r="AY853" i="2"/>
  <c r="BA853" i="2"/>
  <c r="BC853" i="2" s="1"/>
  <c r="AY849" i="2"/>
  <c r="BA849" i="2"/>
  <c r="BC849" i="2" s="1"/>
  <c r="AY845" i="2"/>
  <c r="BA845" i="2"/>
  <c r="BC845" i="2" s="1"/>
  <c r="AY841" i="2"/>
  <c r="BA841" i="2"/>
  <c r="BC841" i="2" s="1"/>
  <c r="AY837" i="2"/>
  <c r="BA837" i="2"/>
  <c r="BC837" i="2" s="1"/>
  <c r="AY833" i="2"/>
  <c r="BA833" i="2"/>
  <c r="BC833" i="2" s="1"/>
  <c r="AY829" i="2"/>
  <c r="BA829" i="2"/>
  <c r="BC829" i="2" s="1"/>
  <c r="AY825" i="2"/>
  <c r="BA825" i="2"/>
  <c r="BC825" i="2" s="1"/>
  <c r="AY821" i="2"/>
  <c r="BA821" i="2"/>
  <c r="BC821" i="2" s="1"/>
  <c r="AY817" i="2"/>
  <c r="BA817" i="2"/>
  <c r="BC817" i="2" s="1"/>
  <c r="AY813" i="2"/>
  <c r="BA813" i="2"/>
  <c r="BC813" i="2" s="1"/>
  <c r="AY809" i="2"/>
  <c r="BA809" i="2"/>
  <c r="BC809" i="2" s="1"/>
  <c r="AY805" i="2"/>
  <c r="BA805" i="2"/>
  <c r="BC805" i="2" s="1"/>
  <c r="AY801" i="2"/>
  <c r="BA801" i="2"/>
  <c r="BC801" i="2" s="1"/>
  <c r="AY797" i="2"/>
  <c r="BA797" i="2"/>
  <c r="BC797" i="2" s="1"/>
  <c r="AY793" i="2"/>
  <c r="BA793" i="2"/>
  <c r="BC793" i="2" s="1"/>
  <c r="AY789" i="2"/>
  <c r="BA789" i="2"/>
  <c r="BC789" i="2" s="1"/>
  <c r="AY785" i="2"/>
  <c r="BA785" i="2"/>
  <c r="BC785" i="2" s="1"/>
  <c r="AY781" i="2"/>
  <c r="BA781" i="2"/>
  <c r="BC781" i="2" s="1"/>
  <c r="AY777" i="2"/>
  <c r="BA777" i="2"/>
  <c r="BC777" i="2" s="1"/>
  <c r="AY773" i="2"/>
  <c r="BA773" i="2"/>
  <c r="BC773" i="2" s="1"/>
  <c r="AY769" i="2"/>
  <c r="BA769" i="2"/>
  <c r="BC769" i="2" s="1"/>
  <c r="AY765" i="2"/>
  <c r="BA765" i="2"/>
  <c r="BC765" i="2" s="1"/>
  <c r="AY761" i="2"/>
  <c r="BA761" i="2"/>
  <c r="BC761" i="2" s="1"/>
  <c r="AY757" i="2"/>
  <c r="BA757" i="2"/>
  <c r="BC757" i="2" s="1"/>
  <c r="AY753" i="2"/>
  <c r="BA753" i="2"/>
  <c r="BC753" i="2" s="1"/>
  <c r="AY749" i="2"/>
  <c r="BA749" i="2"/>
  <c r="BC749" i="2" s="1"/>
  <c r="AY745" i="2"/>
  <c r="BA745" i="2"/>
  <c r="BC745" i="2" s="1"/>
  <c r="AY741" i="2"/>
  <c r="BA741" i="2"/>
  <c r="BC741" i="2" s="1"/>
  <c r="AY737" i="2"/>
  <c r="BA737" i="2"/>
  <c r="BC737" i="2" s="1"/>
  <c r="AY733" i="2"/>
  <c r="BA733" i="2"/>
  <c r="BC733" i="2" s="1"/>
  <c r="AY729" i="2"/>
  <c r="BA729" i="2"/>
  <c r="BC729" i="2" s="1"/>
  <c r="AY725" i="2"/>
  <c r="BA725" i="2"/>
  <c r="BC725" i="2" s="1"/>
  <c r="AY721" i="2"/>
  <c r="BA721" i="2"/>
  <c r="BC721" i="2" s="1"/>
  <c r="AY717" i="2"/>
  <c r="BA717" i="2"/>
  <c r="BC717" i="2" s="1"/>
  <c r="AY713" i="2"/>
  <c r="BA713" i="2"/>
  <c r="BC713" i="2" s="1"/>
  <c r="AY709" i="2"/>
  <c r="BA709" i="2"/>
  <c r="BC709" i="2" s="1"/>
  <c r="AY705" i="2"/>
  <c r="BA705" i="2"/>
  <c r="BC705" i="2" s="1"/>
  <c r="AY701" i="2"/>
  <c r="BA701" i="2"/>
  <c r="BC701" i="2" s="1"/>
  <c r="AY697" i="2"/>
  <c r="BA697" i="2"/>
  <c r="BC697" i="2" s="1"/>
  <c r="AY693" i="2"/>
  <c r="BA693" i="2"/>
  <c r="BC693" i="2" s="1"/>
  <c r="AY689" i="2"/>
  <c r="BA689" i="2"/>
  <c r="BC689" i="2" s="1"/>
  <c r="AY685" i="2"/>
  <c r="BA685" i="2"/>
  <c r="BC685" i="2" s="1"/>
  <c r="AY681" i="2"/>
  <c r="BA681" i="2"/>
  <c r="BC681" i="2" s="1"/>
  <c r="AY677" i="2"/>
  <c r="BA677" i="2"/>
  <c r="BC677" i="2" s="1"/>
  <c r="AY673" i="2"/>
  <c r="BA673" i="2"/>
  <c r="BC673" i="2" s="1"/>
  <c r="AY669" i="2"/>
  <c r="BA669" i="2"/>
  <c r="BC669" i="2" s="1"/>
  <c r="AY665" i="2"/>
  <c r="BA665" i="2"/>
  <c r="BC665" i="2" s="1"/>
  <c r="AY661" i="2"/>
  <c r="BA661" i="2"/>
  <c r="BC661" i="2" s="1"/>
  <c r="AY657" i="2"/>
  <c r="BA657" i="2"/>
  <c r="BC657" i="2" s="1"/>
  <c r="AY653" i="2"/>
  <c r="BA653" i="2"/>
  <c r="BC653" i="2" s="1"/>
  <c r="AY649" i="2"/>
  <c r="BA649" i="2"/>
  <c r="BC649" i="2" s="1"/>
  <c r="AY645" i="2"/>
  <c r="BA645" i="2"/>
  <c r="BC645" i="2" s="1"/>
  <c r="AY641" i="2"/>
  <c r="BA641" i="2"/>
  <c r="BC641" i="2" s="1"/>
  <c r="AY637" i="2"/>
  <c r="BA637" i="2"/>
  <c r="BC637" i="2" s="1"/>
  <c r="AY633" i="2"/>
  <c r="BA633" i="2"/>
  <c r="BC633" i="2" s="1"/>
  <c r="AY629" i="2"/>
  <c r="BA629" i="2"/>
  <c r="BC629" i="2" s="1"/>
  <c r="AY625" i="2"/>
  <c r="BA625" i="2"/>
  <c r="BC625" i="2" s="1"/>
  <c r="AY621" i="2"/>
  <c r="BA621" i="2"/>
  <c r="BC621" i="2" s="1"/>
  <c r="AY617" i="2"/>
  <c r="BA617" i="2"/>
  <c r="BC617" i="2" s="1"/>
  <c r="AY613" i="2"/>
  <c r="BA613" i="2"/>
  <c r="BC613" i="2" s="1"/>
  <c r="AY609" i="2"/>
  <c r="BA609" i="2"/>
  <c r="BC609" i="2" s="1"/>
  <c r="AY605" i="2"/>
  <c r="BA605" i="2"/>
  <c r="BC605" i="2" s="1"/>
  <c r="AY601" i="2"/>
  <c r="BA601" i="2"/>
  <c r="BC601" i="2" s="1"/>
  <c r="AY597" i="2"/>
  <c r="BA597" i="2"/>
  <c r="BC597" i="2" s="1"/>
  <c r="AY593" i="2"/>
  <c r="BA593" i="2"/>
  <c r="BC593" i="2" s="1"/>
  <c r="AY589" i="2"/>
  <c r="BA589" i="2"/>
  <c r="BC589" i="2" s="1"/>
  <c r="AY585" i="2"/>
  <c r="BA585" i="2"/>
  <c r="BC585" i="2" s="1"/>
  <c r="AY581" i="2"/>
  <c r="BA581" i="2"/>
  <c r="BC581" i="2" s="1"/>
  <c r="AY577" i="2"/>
  <c r="BA577" i="2"/>
  <c r="BC577" i="2" s="1"/>
  <c r="AY573" i="2"/>
  <c r="BA573" i="2"/>
  <c r="BC573" i="2" s="1"/>
  <c r="AY569" i="2"/>
  <c r="BA569" i="2"/>
  <c r="BC569" i="2" s="1"/>
  <c r="AY565" i="2"/>
  <c r="BA565" i="2"/>
  <c r="BC565" i="2" s="1"/>
  <c r="AY561" i="2"/>
  <c r="BA561" i="2"/>
  <c r="BC561" i="2" s="1"/>
  <c r="AY557" i="2"/>
  <c r="BA557" i="2"/>
  <c r="BC557" i="2" s="1"/>
  <c r="AY553" i="2"/>
  <c r="BA553" i="2"/>
  <c r="BC553" i="2" s="1"/>
  <c r="AY549" i="2"/>
  <c r="BA549" i="2"/>
  <c r="BC549" i="2" s="1"/>
  <c r="AY545" i="2"/>
  <c r="BA545" i="2"/>
  <c r="BC545" i="2" s="1"/>
  <c r="AY541" i="2"/>
  <c r="BA541" i="2"/>
  <c r="BC541" i="2" s="1"/>
  <c r="AY537" i="2"/>
  <c r="BA537" i="2"/>
  <c r="BC537" i="2" s="1"/>
  <c r="AY533" i="2"/>
  <c r="BA533" i="2"/>
  <c r="BC533" i="2" s="1"/>
  <c r="AY529" i="2"/>
  <c r="BA529" i="2"/>
  <c r="BC529" i="2" s="1"/>
  <c r="AY525" i="2"/>
  <c r="BA525" i="2"/>
  <c r="BC525" i="2" s="1"/>
  <c r="AY521" i="2"/>
  <c r="BA521" i="2"/>
  <c r="BC521" i="2" s="1"/>
  <c r="AY517" i="2"/>
  <c r="BA517" i="2"/>
  <c r="BC517" i="2" s="1"/>
  <c r="AY513" i="2"/>
  <c r="BA513" i="2"/>
  <c r="BC513" i="2" s="1"/>
  <c r="AY509" i="2"/>
  <c r="BA509" i="2"/>
  <c r="BC509" i="2" s="1"/>
  <c r="AY505" i="2"/>
  <c r="BA505" i="2"/>
  <c r="BC505" i="2" s="1"/>
  <c r="AY501" i="2"/>
  <c r="BA501" i="2"/>
  <c r="BC501" i="2" s="1"/>
  <c r="AY497" i="2"/>
  <c r="BA497" i="2"/>
  <c r="BC497" i="2" s="1"/>
  <c r="AY493" i="2"/>
  <c r="BA493" i="2"/>
  <c r="BC493" i="2" s="1"/>
  <c r="AY489" i="2"/>
  <c r="BA489" i="2"/>
  <c r="BC489" i="2" s="1"/>
  <c r="AY485" i="2"/>
  <c r="BA485" i="2"/>
  <c r="BC485" i="2" s="1"/>
  <c r="AY481" i="2"/>
  <c r="BA481" i="2"/>
  <c r="BC481" i="2" s="1"/>
  <c r="AY477" i="2"/>
  <c r="BA477" i="2"/>
  <c r="BC477" i="2" s="1"/>
  <c r="AY473" i="2"/>
  <c r="BA473" i="2"/>
  <c r="BC473" i="2" s="1"/>
  <c r="AY469" i="2"/>
  <c r="BA469" i="2"/>
  <c r="BC469" i="2" s="1"/>
  <c r="AY465" i="2"/>
  <c r="BA465" i="2"/>
  <c r="BC465" i="2" s="1"/>
  <c r="AY461" i="2"/>
  <c r="BA461" i="2"/>
  <c r="BC461" i="2" s="1"/>
  <c r="AY457" i="2"/>
  <c r="BA457" i="2"/>
  <c r="BC457" i="2" s="1"/>
  <c r="AY453" i="2"/>
  <c r="BA453" i="2"/>
  <c r="BC453" i="2" s="1"/>
  <c r="AY449" i="2"/>
  <c r="BA449" i="2"/>
  <c r="BC449" i="2" s="1"/>
  <c r="AY445" i="2"/>
  <c r="BA445" i="2"/>
  <c r="BC445" i="2" s="1"/>
  <c r="AY441" i="2"/>
  <c r="BA441" i="2"/>
  <c r="BC441" i="2" s="1"/>
  <c r="AY437" i="2"/>
  <c r="BA437" i="2"/>
  <c r="BC437" i="2" s="1"/>
  <c r="AY433" i="2"/>
  <c r="BA433" i="2"/>
  <c r="BC433" i="2" s="1"/>
  <c r="AY429" i="2"/>
  <c r="BA429" i="2"/>
  <c r="BC429" i="2" s="1"/>
  <c r="AY425" i="2"/>
  <c r="BA425" i="2"/>
  <c r="BC425" i="2" s="1"/>
  <c r="AY421" i="2"/>
  <c r="BA421" i="2"/>
  <c r="BC421" i="2" s="1"/>
  <c r="AY417" i="2"/>
  <c r="BA417" i="2"/>
  <c r="BC417" i="2" s="1"/>
  <c r="AY413" i="2"/>
  <c r="BA413" i="2"/>
  <c r="BC413" i="2" s="1"/>
  <c r="AY409" i="2"/>
  <c r="BA409" i="2"/>
  <c r="BC409" i="2" s="1"/>
  <c r="AY405" i="2"/>
  <c r="BA405" i="2"/>
  <c r="BC405" i="2" s="1"/>
  <c r="AY401" i="2"/>
  <c r="BA401" i="2"/>
  <c r="BC401" i="2" s="1"/>
  <c r="AY397" i="2"/>
  <c r="BA397" i="2"/>
  <c r="BC397" i="2" s="1"/>
  <c r="AY393" i="2"/>
  <c r="BA393" i="2"/>
  <c r="BC393" i="2" s="1"/>
  <c r="AY389" i="2"/>
  <c r="BA389" i="2"/>
  <c r="BC389" i="2" s="1"/>
  <c r="AY385" i="2"/>
  <c r="BA385" i="2"/>
  <c r="BC385" i="2" s="1"/>
  <c r="AY381" i="2"/>
  <c r="BA381" i="2"/>
  <c r="BC381" i="2" s="1"/>
  <c r="AY377" i="2"/>
  <c r="BA377" i="2"/>
  <c r="BC377" i="2" s="1"/>
  <c r="AY373" i="2"/>
  <c r="BA373" i="2"/>
  <c r="BC373" i="2" s="1"/>
  <c r="AY369" i="2"/>
  <c r="BA369" i="2"/>
  <c r="BC369" i="2" s="1"/>
  <c r="AY365" i="2"/>
  <c r="BA365" i="2"/>
  <c r="BC365" i="2" s="1"/>
  <c r="AY361" i="2"/>
  <c r="BA361" i="2"/>
  <c r="BC361" i="2" s="1"/>
  <c r="AY357" i="2"/>
  <c r="BA357" i="2"/>
  <c r="BC357" i="2" s="1"/>
  <c r="AY353" i="2"/>
  <c r="BA353" i="2"/>
  <c r="BC353" i="2" s="1"/>
  <c r="AY349" i="2"/>
  <c r="BA349" i="2"/>
  <c r="BC349" i="2" s="1"/>
  <c r="AY345" i="2"/>
  <c r="BA345" i="2"/>
  <c r="BC345" i="2" s="1"/>
  <c r="AY341" i="2"/>
  <c r="BA341" i="2"/>
  <c r="BC341" i="2" s="1"/>
  <c r="AY337" i="2"/>
  <c r="BA337" i="2"/>
  <c r="BC337" i="2" s="1"/>
  <c r="AY333" i="2"/>
  <c r="BA333" i="2"/>
  <c r="BC333" i="2" s="1"/>
  <c r="AY329" i="2"/>
  <c r="BA329" i="2"/>
  <c r="BC329" i="2" s="1"/>
  <c r="AY325" i="2"/>
  <c r="BA325" i="2"/>
  <c r="BC325" i="2" s="1"/>
  <c r="AY321" i="2"/>
  <c r="BA321" i="2"/>
  <c r="BC321" i="2" s="1"/>
  <c r="AY317" i="2"/>
  <c r="BA317" i="2"/>
  <c r="BC317" i="2" s="1"/>
  <c r="AY313" i="2"/>
  <c r="BA313" i="2"/>
  <c r="BC313" i="2" s="1"/>
  <c r="AY309" i="2"/>
  <c r="BA309" i="2"/>
  <c r="BC309" i="2" s="1"/>
  <c r="AY305" i="2"/>
  <c r="BA305" i="2"/>
  <c r="BC305" i="2" s="1"/>
  <c r="AY301" i="2"/>
  <c r="BA301" i="2"/>
  <c r="BC301" i="2" s="1"/>
  <c r="AY297" i="2"/>
  <c r="BA297" i="2"/>
  <c r="BC297" i="2" s="1"/>
  <c r="AY293" i="2"/>
  <c r="BA293" i="2"/>
  <c r="BC293" i="2" s="1"/>
  <c r="AY2130" i="2"/>
  <c r="BA2130" i="2"/>
  <c r="BC2130" i="2" s="1"/>
  <c r="AY2118" i="2"/>
  <c r="BA2118" i="2"/>
  <c r="BC2118" i="2" s="1"/>
  <c r="AY2106" i="2"/>
  <c r="BA2106" i="2"/>
  <c r="BC2106" i="2" s="1"/>
  <c r="AY2090" i="2"/>
  <c r="BA2090" i="2"/>
  <c r="BC2090" i="2" s="1"/>
  <c r="AY2078" i="2"/>
  <c r="BA2078" i="2"/>
  <c r="BC2078" i="2" s="1"/>
  <c r="AY2066" i="2"/>
  <c r="BA2066" i="2"/>
  <c r="BC2066" i="2" s="1"/>
  <c r="AY2054" i="2"/>
  <c r="BA2054" i="2"/>
  <c r="BC2054" i="2" s="1"/>
  <c r="AY2042" i="2"/>
  <c r="BA2042" i="2"/>
  <c r="BC2042" i="2" s="1"/>
  <c r="AY2030" i="2"/>
  <c r="BA2030" i="2"/>
  <c r="BC2030" i="2" s="1"/>
  <c r="AY2018" i="2"/>
  <c r="BA2018" i="2"/>
  <c r="BC2018" i="2" s="1"/>
  <c r="AY2006" i="2"/>
  <c r="BA2006" i="2"/>
  <c r="BC2006" i="2" s="1"/>
  <c r="AY1994" i="2"/>
  <c r="BA1994" i="2"/>
  <c r="BC1994" i="2" s="1"/>
  <c r="AY1982" i="2"/>
  <c r="BA1982" i="2"/>
  <c r="BC1982" i="2" s="1"/>
  <c r="AY1966" i="2"/>
  <c r="BA1966" i="2"/>
  <c r="BC1966" i="2" s="1"/>
  <c r="AY1954" i="2"/>
  <c r="BA1954" i="2"/>
  <c r="BC1954" i="2" s="1"/>
  <c r="AY1942" i="2"/>
  <c r="BA1942" i="2"/>
  <c r="BC1942" i="2" s="1"/>
  <c r="AY1930" i="2"/>
  <c r="BA1930" i="2"/>
  <c r="BC1930" i="2" s="1"/>
  <c r="AY1922" i="2"/>
  <c r="BA1922" i="2"/>
  <c r="BC1922" i="2" s="1"/>
  <c r="AY1910" i="2"/>
  <c r="BA1910" i="2"/>
  <c r="BC1910" i="2" s="1"/>
  <c r="AY1894" i="2"/>
  <c r="BA1894" i="2"/>
  <c r="BC1894" i="2" s="1"/>
  <c r="AY1886" i="2"/>
  <c r="BA1886" i="2"/>
  <c r="BC1886" i="2" s="1"/>
  <c r="AY1874" i="2"/>
  <c r="BA1874" i="2"/>
  <c r="BC1874" i="2" s="1"/>
  <c r="AY1862" i="2"/>
  <c r="BA1862" i="2"/>
  <c r="BC1862" i="2" s="1"/>
  <c r="AY1850" i="2"/>
  <c r="BA1850" i="2"/>
  <c r="BC1850" i="2" s="1"/>
  <c r="AY1838" i="2"/>
  <c r="BA1838" i="2"/>
  <c r="BC1838" i="2" s="1"/>
  <c r="AY1830" i="2"/>
  <c r="BA1830" i="2"/>
  <c r="BC1830" i="2" s="1"/>
  <c r="AY1818" i="2"/>
  <c r="BA1818" i="2"/>
  <c r="BC1818" i="2" s="1"/>
  <c r="AY1802" i="2"/>
  <c r="BA1802" i="2"/>
  <c r="BC1802" i="2" s="1"/>
  <c r="AY1790" i="2"/>
  <c r="BA1790" i="2"/>
  <c r="BC1790" i="2" s="1"/>
  <c r="AY1778" i="2"/>
  <c r="BA1778" i="2"/>
  <c r="BC1778" i="2" s="1"/>
  <c r="AY1766" i="2"/>
  <c r="BA1766" i="2"/>
  <c r="BC1766" i="2" s="1"/>
  <c r="AY1758" i="2"/>
  <c r="BA1758" i="2"/>
  <c r="BC1758" i="2" s="1"/>
  <c r="AY1746" i="2"/>
  <c r="BA1746" i="2"/>
  <c r="BC1746" i="2" s="1"/>
  <c r="AY1734" i="2"/>
  <c r="BA1734" i="2"/>
  <c r="BC1734" i="2" s="1"/>
  <c r="AY1722" i="2"/>
  <c r="BA1722" i="2"/>
  <c r="BC1722" i="2" s="1"/>
  <c r="AY1710" i="2"/>
  <c r="BA1710" i="2"/>
  <c r="BC1710" i="2" s="1"/>
  <c r="AY1698" i="2"/>
  <c r="BA1698" i="2"/>
  <c r="BC1698" i="2" s="1"/>
  <c r="AY1686" i="2"/>
  <c r="BA1686" i="2"/>
  <c r="BC1686" i="2" s="1"/>
  <c r="AY1674" i="2"/>
  <c r="BA1674" i="2"/>
  <c r="BC1674" i="2" s="1"/>
  <c r="AY1662" i="2"/>
  <c r="BA1662" i="2"/>
  <c r="BC1662" i="2" s="1"/>
  <c r="AY1650" i="2"/>
  <c r="BA1650" i="2"/>
  <c r="BC1650" i="2" s="1"/>
  <c r="AY1638" i="2"/>
  <c r="BA1638" i="2"/>
  <c r="BC1638" i="2" s="1"/>
  <c r="AY1626" i="2"/>
  <c r="BA1626" i="2"/>
  <c r="BC1626" i="2" s="1"/>
  <c r="AY1614" i="2"/>
  <c r="BA1614" i="2"/>
  <c r="BC1614" i="2" s="1"/>
  <c r="AY1602" i="2"/>
  <c r="BA1602" i="2"/>
  <c r="BC1602" i="2" s="1"/>
  <c r="AY1590" i="2"/>
  <c r="BA1590" i="2"/>
  <c r="BC1590" i="2" s="1"/>
  <c r="AY1578" i="2"/>
  <c r="BA1578" i="2"/>
  <c r="BC1578" i="2" s="1"/>
  <c r="AY1566" i="2"/>
  <c r="BA1566" i="2"/>
  <c r="BC1566" i="2" s="1"/>
  <c r="AY1554" i="2"/>
  <c r="BA1554" i="2"/>
  <c r="BC1554" i="2" s="1"/>
  <c r="AY1542" i="2"/>
  <c r="BA1542" i="2"/>
  <c r="BC1542" i="2" s="1"/>
  <c r="AY1530" i="2"/>
  <c r="BA1530" i="2"/>
  <c r="BC1530" i="2" s="1"/>
  <c r="AY1518" i="2"/>
  <c r="BA1518" i="2"/>
  <c r="BC1518" i="2" s="1"/>
  <c r="AY1506" i="2"/>
  <c r="BA1506" i="2"/>
  <c r="BC1506" i="2" s="1"/>
  <c r="AY1494" i="2"/>
  <c r="BA1494" i="2"/>
  <c r="BC1494" i="2" s="1"/>
  <c r="AY1482" i="2"/>
  <c r="BA1482" i="2"/>
  <c r="BC1482" i="2" s="1"/>
  <c r="AY1470" i="2"/>
  <c r="BA1470" i="2"/>
  <c r="BC1470" i="2" s="1"/>
  <c r="AY1458" i="2"/>
  <c r="BA1458" i="2"/>
  <c r="BC1458" i="2" s="1"/>
  <c r="AY1446" i="2"/>
  <c r="BA1446" i="2"/>
  <c r="BC1446" i="2" s="1"/>
  <c r="AY1438" i="2"/>
  <c r="BA1438" i="2"/>
  <c r="BC1438" i="2" s="1"/>
  <c r="AY1426" i="2"/>
  <c r="BA1426" i="2"/>
  <c r="BC1426" i="2" s="1"/>
  <c r="AY1414" i="2"/>
  <c r="BA1414" i="2"/>
  <c r="BC1414" i="2" s="1"/>
  <c r="AY1402" i="2"/>
  <c r="BA1402" i="2"/>
  <c r="BC1402" i="2" s="1"/>
  <c r="AY1390" i="2"/>
  <c r="BA1390" i="2"/>
  <c r="BC1390" i="2" s="1"/>
  <c r="AY1378" i="2"/>
  <c r="BA1378" i="2"/>
  <c r="BC1378" i="2" s="1"/>
  <c r="AY1366" i="2"/>
  <c r="BA1366" i="2"/>
  <c r="BC1366" i="2" s="1"/>
  <c r="AY1354" i="2"/>
  <c r="BA1354" i="2"/>
  <c r="BC1354" i="2" s="1"/>
  <c r="AY1346" i="2"/>
  <c r="BA1346" i="2"/>
  <c r="BC1346" i="2" s="1"/>
  <c r="AY1330" i="2"/>
  <c r="BA1330" i="2"/>
  <c r="BC1330" i="2" s="1"/>
  <c r="AY1318" i="2"/>
  <c r="BA1318" i="2"/>
  <c r="BC1318" i="2" s="1"/>
  <c r="AY1306" i="2"/>
  <c r="BA1306" i="2"/>
  <c r="BC1306" i="2" s="1"/>
  <c r="AY1298" i="2"/>
  <c r="BA1298" i="2"/>
  <c r="BC1298" i="2" s="1"/>
  <c r="AY1286" i="2"/>
  <c r="BA1286" i="2"/>
  <c r="BC1286" i="2" s="1"/>
  <c r="AY1274" i="2"/>
  <c r="BA1274" i="2"/>
  <c r="BC1274" i="2" s="1"/>
  <c r="AY1262" i="2"/>
  <c r="BA1262" i="2"/>
  <c r="BC1262" i="2" s="1"/>
  <c r="AY1250" i="2"/>
  <c r="BA1250" i="2"/>
  <c r="BC1250" i="2" s="1"/>
  <c r="AY1238" i="2"/>
  <c r="BA1238" i="2"/>
  <c r="BC1238" i="2" s="1"/>
  <c r="AY1226" i="2"/>
  <c r="BA1226" i="2"/>
  <c r="BC1226" i="2" s="1"/>
  <c r="AY1214" i="2"/>
  <c r="BA1214" i="2"/>
  <c r="BC1214" i="2" s="1"/>
  <c r="AY1202" i="2"/>
  <c r="BA1202" i="2"/>
  <c r="BC1202" i="2" s="1"/>
  <c r="AY1190" i="2"/>
  <c r="BA1190" i="2"/>
  <c r="BC1190" i="2" s="1"/>
  <c r="AY1178" i="2"/>
  <c r="BA1178" i="2"/>
  <c r="BC1178" i="2" s="1"/>
  <c r="AY1166" i="2"/>
  <c r="BA1166" i="2"/>
  <c r="BC1166" i="2" s="1"/>
  <c r="AY1154" i="2"/>
  <c r="BA1154" i="2"/>
  <c r="BC1154" i="2" s="1"/>
  <c r="AY1142" i="2"/>
  <c r="BA1142" i="2"/>
  <c r="BC1142" i="2" s="1"/>
  <c r="AY1130" i="2"/>
  <c r="BA1130" i="2"/>
  <c r="BC1130" i="2" s="1"/>
  <c r="AY1118" i="2"/>
  <c r="BA1118" i="2"/>
  <c r="BC1118" i="2" s="1"/>
  <c r="AY1106" i="2"/>
  <c r="BA1106" i="2"/>
  <c r="BC1106" i="2" s="1"/>
  <c r="AY1094" i="2"/>
  <c r="BA1094" i="2"/>
  <c r="BC1094" i="2" s="1"/>
  <c r="AY1086" i="2"/>
  <c r="BA1086" i="2"/>
  <c r="BC1086" i="2" s="1"/>
  <c r="AY1074" i="2"/>
  <c r="BA1074" i="2"/>
  <c r="BC1074" i="2" s="1"/>
  <c r="AY1062" i="2"/>
  <c r="BA1062" i="2"/>
  <c r="BC1062" i="2" s="1"/>
  <c r="AY1046" i="2"/>
  <c r="BA1046" i="2"/>
  <c r="BC1046" i="2" s="1"/>
  <c r="AY1034" i="2"/>
  <c r="BA1034" i="2"/>
  <c r="BC1034" i="2" s="1"/>
  <c r="AY1022" i="2"/>
  <c r="BA1022" i="2"/>
  <c r="BC1022" i="2" s="1"/>
  <c r="AY1010" i="2"/>
  <c r="BA1010" i="2"/>
  <c r="BC1010" i="2" s="1"/>
  <c r="AY1002" i="2"/>
  <c r="BA1002" i="2"/>
  <c r="BC1002" i="2" s="1"/>
  <c r="AY990" i="2"/>
  <c r="BA990" i="2"/>
  <c r="BC990" i="2" s="1"/>
  <c r="AY978" i="2"/>
  <c r="BA978" i="2"/>
  <c r="BC978" i="2" s="1"/>
  <c r="AY966" i="2"/>
  <c r="BA966" i="2"/>
  <c r="BC966" i="2" s="1"/>
  <c r="AY954" i="2"/>
  <c r="BA954" i="2"/>
  <c r="BC954" i="2" s="1"/>
  <c r="AY938" i="2"/>
  <c r="BA938" i="2"/>
  <c r="BC938" i="2" s="1"/>
  <c r="AY926" i="2"/>
  <c r="BA926" i="2"/>
  <c r="BC926" i="2" s="1"/>
  <c r="AY914" i="2"/>
  <c r="BA914" i="2"/>
  <c r="BC914" i="2" s="1"/>
  <c r="AY902" i="2"/>
  <c r="BA902" i="2"/>
  <c r="BC902" i="2" s="1"/>
  <c r="AY890" i="2"/>
  <c r="BA890" i="2"/>
  <c r="BC890" i="2" s="1"/>
  <c r="AY878" i="2"/>
  <c r="BA878" i="2"/>
  <c r="BC878" i="2" s="1"/>
  <c r="AY866" i="2"/>
  <c r="BA866" i="2"/>
  <c r="BC866" i="2" s="1"/>
  <c r="AY854" i="2"/>
  <c r="BA854" i="2"/>
  <c r="BC854" i="2" s="1"/>
  <c r="AY842" i="2"/>
  <c r="BA842" i="2"/>
  <c r="BC842" i="2" s="1"/>
  <c r="AY830" i="2"/>
  <c r="BA830" i="2"/>
  <c r="BC830" i="2" s="1"/>
  <c r="AY818" i="2"/>
  <c r="BA818" i="2"/>
  <c r="BC818" i="2" s="1"/>
  <c r="AY806" i="2"/>
  <c r="BA806" i="2"/>
  <c r="BC806" i="2" s="1"/>
  <c r="AY794" i="2"/>
  <c r="BA794" i="2"/>
  <c r="BC794" i="2" s="1"/>
  <c r="AY786" i="2"/>
  <c r="BA786" i="2"/>
  <c r="BC786" i="2" s="1"/>
  <c r="AY778" i="2"/>
  <c r="BA778" i="2"/>
  <c r="BC778" i="2" s="1"/>
  <c r="AY770" i="2"/>
  <c r="BA770" i="2"/>
  <c r="BC770" i="2" s="1"/>
  <c r="AY762" i="2"/>
  <c r="BA762" i="2"/>
  <c r="BC762" i="2" s="1"/>
  <c r="AY754" i="2"/>
  <c r="BA754" i="2"/>
  <c r="BC754" i="2" s="1"/>
  <c r="AY746" i="2"/>
  <c r="BA746" i="2"/>
  <c r="BC746" i="2" s="1"/>
  <c r="AY738" i="2"/>
  <c r="BA738" i="2"/>
  <c r="BC738" i="2" s="1"/>
  <c r="AY730" i="2"/>
  <c r="BA730" i="2"/>
  <c r="BC730" i="2" s="1"/>
  <c r="AY722" i="2"/>
  <c r="BA722" i="2"/>
  <c r="BC722" i="2" s="1"/>
  <c r="AY714" i="2"/>
  <c r="BA714" i="2"/>
  <c r="BC714" i="2" s="1"/>
  <c r="AY706" i="2"/>
  <c r="BA706" i="2"/>
  <c r="BC706" i="2" s="1"/>
  <c r="AY698" i="2"/>
  <c r="BA698" i="2"/>
  <c r="BC698" i="2" s="1"/>
  <c r="AY690" i="2"/>
  <c r="BA690" i="2"/>
  <c r="BC690" i="2" s="1"/>
  <c r="AY682" i="2"/>
  <c r="BA682" i="2"/>
  <c r="BC682" i="2" s="1"/>
  <c r="AY674" i="2"/>
  <c r="BA674" i="2"/>
  <c r="BC674" i="2" s="1"/>
  <c r="AY666" i="2"/>
  <c r="BA666" i="2"/>
  <c r="BC666" i="2" s="1"/>
  <c r="AY658" i="2"/>
  <c r="BA658" i="2"/>
  <c r="BC658" i="2" s="1"/>
  <c r="AY650" i="2"/>
  <c r="BA650" i="2"/>
  <c r="BC650" i="2" s="1"/>
  <c r="AY642" i="2"/>
  <c r="BA642" i="2"/>
  <c r="BC642" i="2" s="1"/>
  <c r="AY634" i="2"/>
  <c r="BA634" i="2"/>
  <c r="BC634" i="2" s="1"/>
  <c r="AY626" i="2"/>
  <c r="BA626" i="2"/>
  <c r="BC626" i="2" s="1"/>
  <c r="AY618" i="2"/>
  <c r="BA618" i="2"/>
  <c r="BC618" i="2" s="1"/>
  <c r="AY606" i="2"/>
  <c r="BA606" i="2"/>
  <c r="BC606" i="2" s="1"/>
  <c r="AY598" i="2"/>
  <c r="BA598" i="2"/>
  <c r="BC598" i="2" s="1"/>
  <c r="AY594" i="2"/>
  <c r="BA594" i="2"/>
  <c r="BC594" i="2" s="1"/>
  <c r="AY586" i="2"/>
  <c r="BA586" i="2"/>
  <c r="BC586" i="2" s="1"/>
  <c r="AY578" i="2"/>
  <c r="BA578" i="2"/>
  <c r="BC578" i="2" s="1"/>
  <c r="AY570" i="2"/>
  <c r="BA570" i="2"/>
  <c r="BC570" i="2" s="1"/>
  <c r="AY562" i="2"/>
  <c r="BA562" i="2"/>
  <c r="BC562" i="2" s="1"/>
  <c r="AY554" i="2"/>
  <c r="BA554" i="2"/>
  <c r="BC554" i="2" s="1"/>
  <c r="AY542" i="2"/>
  <c r="BA542" i="2"/>
  <c r="BC542" i="2" s="1"/>
  <c r="AY530" i="2"/>
  <c r="BA530" i="2"/>
  <c r="BC530" i="2" s="1"/>
  <c r="AY518" i="2"/>
  <c r="BA518" i="2"/>
  <c r="BC518" i="2" s="1"/>
  <c r="AY506" i="2"/>
  <c r="BA506" i="2"/>
  <c r="BC506" i="2" s="1"/>
  <c r="AY494" i="2"/>
  <c r="BA494" i="2"/>
  <c r="BC494" i="2" s="1"/>
  <c r="AY482" i="2"/>
  <c r="BA482" i="2"/>
  <c r="BC482" i="2" s="1"/>
  <c r="AY470" i="2"/>
  <c r="BA470" i="2"/>
  <c r="BC470" i="2" s="1"/>
  <c r="AY458" i="2"/>
  <c r="BA458" i="2"/>
  <c r="BC458" i="2" s="1"/>
  <c r="AY446" i="2"/>
  <c r="BA446" i="2"/>
  <c r="BC446" i="2" s="1"/>
  <c r="AY430" i="2"/>
  <c r="BA430" i="2"/>
  <c r="BC430" i="2" s="1"/>
  <c r="AY418" i="2"/>
  <c r="BA418" i="2"/>
  <c r="BC418" i="2" s="1"/>
  <c r="AY406" i="2"/>
  <c r="BA406" i="2"/>
  <c r="BC406" i="2" s="1"/>
  <c r="AY394" i="2"/>
  <c r="BA394" i="2"/>
  <c r="BC394" i="2" s="1"/>
  <c r="AY382" i="2"/>
  <c r="BA382" i="2"/>
  <c r="BC382" i="2" s="1"/>
  <c r="AY370" i="2"/>
  <c r="BA370" i="2"/>
  <c r="BC370" i="2" s="1"/>
  <c r="AY358" i="2"/>
  <c r="BA358" i="2"/>
  <c r="BC358" i="2" s="1"/>
  <c r="AY346" i="2"/>
  <c r="BA346" i="2"/>
  <c r="BC346" i="2" s="1"/>
  <c r="AY334" i="2"/>
  <c r="BA334" i="2"/>
  <c r="BC334" i="2" s="1"/>
  <c r="AY322" i="2"/>
  <c r="BA322" i="2"/>
  <c r="BC322" i="2" s="1"/>
  <c r="AY314" i="2"/>
  <c r="BA314" i="2"/>
  <c r="BC314" i="2" s="1"/>
  <c r="AY302" i="2"/>
  <c r="BA302" i="2"/>
  <c r="BC302" i="2" s="1"/>
  <c r="AY290" i="2"/>
  <c r="BA290" i="2"/>
  <c r="BC290" i="2" s="1"/>
  <c r="AY278" i="2"/>
  <c r="BA278" i="2"/>
  <c r="BC278" i="2" s="1"/>
  <c r="AY266" i="2"/>
  <c r="BA266" i="2"/>
  <c r="BC266" i="2" s="1"/>
  <c r="AY254" i="2"/>
  <c r="BA254" i="2"/>
  <c r="BC254" i="2" s="1"/>
  <c r="AY242" i="2"/>
  <c r="BA242" i="2"/>
  <c r="BC242" i="2" s="1"/>
  <c r="AY234" i="2"/>
  <c r="BA234" i="2"/>
  <c r="BC234" i="2" s="1"/>
  <c r="AY222" i="2"/>
  <c r="BA222" i="2"/>
  <c r="BC222" i="2" s="1"/>
  <c r="AY210" i="2"/>
  <c r="BA210" i="2"/>
  <c r="BC210" i="2" s="1"/>
  <c r="AY198" i="2"/>
  <c r="BA198" i="2"/>
  <c r="BC198" i="2" s="1"/>
  <c r="AY186" i="2"/>
  <c r="BA186" i="2"/>
  <c r="BC186" i="2" s="1"/>
  <c r="AY174" i="2"/>
  <c r="BA174" i="2"/>
  <c r="BC174" i="2" s="1"/>
  <c r="AY162" i="2"/>
  <c r="BA162" i="2"/>
  <c r="BC162" i="2" s="1"/>
  <c r="AY150" i="2"/>
  <c r="BA150" i="2"/>
  <c r="BC150" i="2" s="1"/>
  <c r="AY134" i="2"/>
  <c r="BA134" i="2"/>
  <c r="BC134" i="2" s="1"/>
  <c r="AY126" i="2"/>
  <c r="BA126" i="2"/>
  <c r="BC126" i="2" s="1"/>
  <c r="AY114" i="2"/>
  <c r="BA114" i="2"/>
  <c r="BC114" i="2" s="1"/>
  <c r="AY102" i="2"/>
  <c r="BA102" i="2"/>
  <c r="BC102" i="2" s="1"/>
  <c r="AY90" i="2"/>
  <c r="BA90" i="2"/>
  <c r="BC90" i="2" s="1"/>
  <c r="AY74" i="2"/>
  <c r="BA74" i="2"/>
  <c r="BC74" i="2" s="1"/>
  <c r="AY62" i="2"/>
  <c r="BA62" i="2"/>
  <c r="BC62" i="2" s="1"/>
  <c r="AY50" i="2"/>
  <c r="BA50" i="2"/>
  <c r="BC50" i="2" s="1"/>
  <c r="AY38" i="2"/>
  <c r="BA38" i="2"/>
  <c r="BC38" i="2" s="1"/>
  <c r="AY26" i="2"/>
  <c r="BA26" i="2"/>
  <c r="BC26" i="2" s="1"/>
  <c r="AY14" i="2"/>
  <c r="BA14" i="2"/>
  <c r="BC14" i="2" s="1"/>
  <c r="AY6" i="2"/>
  <c r="BA6" i="2"/>
  <c r="BC6" i="2" s="1"/>
  <c r="AY2129" i="2"/>
  <c r="BA2129" i="2"/>
  <c r="BC2129" i="2" s="1"/>
  <c r="AY2121" i="2"/>
  <c r="BA2121" i="2"/>
  <c r="BC2121" i="2" s="1"/>
  <c r="AY2113" i="2"/>
  <c r="BA2113" i="2"/>
  <c r="BC2113" i="2" s="1"/>
  <c r="AY2037" i="2"/>
  <c r="BA2037" i="2"/>
  <c r="BC2037" i="2" s="1"/>
  <c r="AY2029" i="2"/>
  <c r="BA2029" i="2"/>
  <c r="BC2029" i="2" s="1"/>
  <c r="AY2021" i="2"/>
  <c r="BA2021" i="2"/>
  <c r="BC2021" i="2" s="1"/>
  <c r="AY2013" i="2"/>
  <c r="BA2013" i="2"/>
  <c r="BC2013" i="2" s="1"/>
  <c r="AY2005" i="2"/>
  <c r="BA2005" i="2"/>
  <c r="BC2005" i="2" s="1"/>
  <c r="AY2001" i="2"/>
  <c r="BA2001" i="2"/>
  <c r="BC2001" i="2" s="1"/>
  <c r="AY1993" i="2"/>
  <c r="BA1993" i="2"/>
  <c r="BC1993" i="2" s="1"/>
  <c r="AY1985" i="2"/>
  <c r="BA1985" i="2"/>
  <c r="BC1985" i="2" s="1"/>
  <c r="AY1977" i="2"/>
  <c r="BA1977" i="2"/>
  <c r="BC1977" i="2" s="1"/>
  <c r="AY1969" i="2"/>
  <c r="BA1969" i="2"/>
  <c r="BC1969" i="2" s="1"/>
  <c r="AY1961" i="2"/>
  <c r="BA1961" i="2"/>
  <c r="BC1961" i="2" s="1"/>
  <c r="AY1953" i="2"/>
  <c r="BA1953" i="2"/>
  <c r="BC1953" i="2" s="1"/>
  <c r="AY1945" i="2"/>
  <c r="BA1945" i="2"/>
  <c r="BC1945" i="2" s="1"/>
  <c r="AY1941" i="2"/>
  <c r="BA1941" i="2"/>
  <c r="BC1941" i="2" s="1"/>
  <c r="AY1937" i="2"/>
  <c r="BA1937" i="2"/>
  <c r="BC1937" i="2" s="1"/>
  <c r="AY1929" i="2"/>
  <c r="BA1929" i="2"/>
  <c r="BC1929" i="2" s="1"/>
  <c r="AY1921" i="2"/>
  <c r="BA1921" i="2"/>
  <c r="BC1921" i="2" s="1"/>
  <c r="AY1913" i="2"/>
  <c r="BA1913" i="2"/>
  <c r="BC1913" i="2" s="1"/>
  <c r="AY1905" i="2"/>
  <c r="BA1905" i="2"/>
  <c r="BC1905" i="2" s="1"/>
  <c r="AY1897" i="2"/>
  <c r="BA1897" i="2"/>
  <c r="BC1897" i="2" s="1"/>
  <c r="AY1889" i="2"/>
  <c r="BA1889" i="2"/>
  <c r="BC1889" i="2" s="1"/>
  <c r="AY1881" i="2"/>
  <c r="BA1881" i="2"/>
  <c r="BC1881" i="2" s="1"/>
  <c r="AY1873" i="2"/>
  <c r="BA1873" i="2"/>
  <c r="BC1873" i="2" s="1"/>
  <c r="AY1865" i="2"/>
  <c r="BA1865" i="2"/>
  <c r="BC1865" i="2" s="1"/>
  <c r="AY1857" i="2"/>
  <c r="BA1857" i="2"/>
  <c r="BC1857" i="2" s="1"/>
  <c r="AY1849" i="2"/>
  <c r="BA1849" i="2"/>
  <c r="BC1849" i="2" s="1"/>
  <c r="AY1841" i="2"/>
  <c r="BA1841" i="2"/>
  <c r="BC1841" i="2" s="1"/>
  <c r="AY1833" i="2"/>
  <c r="BA1833" i="2"/>
  <c r="BC1833" i="2" s="1"/>
  <c r="AY1825" i="2"/>
  <c r="BA1825" i="2"/>
  <c r="BC1825" i="2" s="1"/>
  <c r="AY1817" i="2"/>
  <c r="BA1817" i="2"/>
  <c r="BC1817" i="2" s="1"/>
  <c r="AY1809" i="2"/>
  <c r="BA1809" i="2"/>
  <c r="BC1809" i="2" s="1"/>
  <c r="AY1801" i="2"/>
  <c r="BA1801" i="2"/>
  <c r="BC1801" i="2" s="1"/>
  <c r="AY1793" i="2"/>
  <c r="BA1793" i="2"/>
  <c r="BC1793" i="2" s="1"/>
  <c r="AY1785" i="2"/>
  <c r="BA1785" i="2"/>
  <c r="BC1785" i="2" s="1"/>
  <c r="AY1777" i="2"/>
  <c r="BA1777" i="2"/>
  <c r="BC1777" i="2" s="1"/>
  <c r="AY1769" i="2"/>
  <c r="BA1769" i="2"/>
  <c r="BC1769" i="2" s="1"/>
  <c r="AY1761" i="2"/>
  <c r="BA1761" i="2"/>
  <c r="BC1761" i="2" s="1"/>
  <c r="AY1753" i="2"/>
  <c r="BA1753" i="2"/>
  <c r="BC1753" i="2" s="1"/>
  <c r="AY1745" i="2"/>
  <c r="BA1745" i="2"/>
  <c r="BC1745" i="2" s="1"/>
  <c r="AY1737" i="2"/>
  <c r="BA1737" i="2"/>
  <c r="BC1737" i="2" s="1"/>
  <c r="AY1729" i="2"/>
  <c r="BA1729" i="2"/>
  <c r="BC1729" i="2" s="1"/>
  <c r="AY1717" i="2"/>
  <c r="BA1717" i="2"/>
  <c r="BC1717" i="2" s="1"/>
  <c r="AY1709" i="2"/>
  <c r="BA1709" i="2"/>
  <c r="BC1709" i="2" s="1"/>
  <c r="AY1701" i="2"/>
  <c r="BA1701" i="2"/>
  <c r="BC1701" i="2" s="1"/>
  <c r="AY1693" i="2"/>
  <c r="BA1693" i="2"/>
  <c r="BC1693" i="2" s="1"/>
  <c r="AY1685" i="2"/>
  <c r="BA1685" i="2"/>
  <c r="BC1685" i="2" s="1"/>
  <c r="AY1677" i="2"/>
  <c r="BA1677" i="2"/>
  <c r="BC1677" i="2" s="1"/>
  <c r="AY1669" i="2"/>
  <c r="BA1669" i="2"/>
  <c r="BC1669" i="2" s="1"/>
  <c r="AY1661" i="2"/>
  <c r="BA1661" i="2"/>
  <c r="BC1661" i="2" s="1"/>
  <c r="AY1653" i="2"/>
  <c r="BA1653" i="2"/>
  <c r="BC1653" i="2" s="1"/>
  <c r="AY1633" i="2"/>
  <c r="BA1633" i="2"/>
  <c r="BC1633" i="2" s="1"/>
  <c r="AY1625" i="2"/>
  <c r="BA1625" i="2"/>
  <c r="BC1625" i="2" s="1"/>
  <c r="AY1617" i="2"/>
  <c r="BA1617" i="2"/>
  <c r="BC1617" i="2" s="1"/>
  <c r="AY1609" i="2"/>
  <c r="BA1609" i="2"/>
  <c r="BC1609" i="2" s="1"/>
  <c r="AY1601" i="2"/>
  <c r="BA1601" i="2"/>
  <c r="BC1601" i="2" s="1"/>
  <c r="AY1593" i="2"/>
  <c r="BA1593" i="2"/>
  <c r="BC1593" i="2" s="1"/>
  <c r="AY1585" i="2"/>
  <c r="BA1585" i="2"/>
  <c r="BC1585" i="2" s="1"/>
  <c r="AY1577" i="2"/>
  <c r="BA1577" i="2"/>
  <c r="BC1577" i="2" s="1"/>
  <c r="AY1569" i="2"/>
  <c r="BA1569" i="2"/>
  <c r="BC1569" i="2" s="1"/>
  <c r="AY1561" i="2"/>
  <c r="BA1561" i="2"/>
  <c r="BC1561" i="2" s="1"/>
  <c r="AY1553" i="2"/>
  <c r="BA1553" i="2"/>
  <c r="BC1553" i="2" s="1"/>
  <c r="AY1545" i="2"/>
  <c r="BA1545" i="2"/>
  <c r="BC1545" i="2" s="1"/>
  <c r="AY1533" i="2"/>
  <c r="BA1533" i="2"/>
  <c r="BC1533" i="2" s="1"/>
  <c r="AY1521" i="2"/>
  <c r="BA1521" i="2"/>
  <c r="BC1521" i="2" s="1"/>
  <c r="AY1513" i="2"/>
  <c r="BA1513" i="2"/>
  <c r="BC1513" i="2" s="1"/>
  <c r="AY1505" i="2"/>
  <c r="BA1505" i="2"/>
  <c r="BC1505" i="2" s="1"/>
  <c r="AY1493" i="2"/>
  <c r="BA1493" i="2"/>
  <c r="BC1493" i="2" s="1"/>
  <c r="AY1481" i="2"/>
  <c r="BA1481" i="2"/>
  <c r="BC1481" i="2" s="1"/>
  <c r="AY1473" i="2"/>
  <c r="BA1473" i="2"/>
  <c r="BC1473" i="2" s="1"/>
  <c r="AY1465" i="2"/>
  <c r="BA1465" i="2"/>
  <c r="BC1465" i="2" s="1"/>
  <c r="AY1457" i="2"/>
  <c r="BA1457" i="2"/>
  <c r="BC1457" i="2" s="1"/>
  <c r="AY1449" i="2"/>
  <c r="BA1449" i="2"/>
  <c r="BC1449" i="2" s="1"/>
  <c r="AY1441" i="2"/>
  <c r="BA1441" i="2"/>
  <c r="BC1441" i="2" s="1"/>
  <c r="AY1437" i="2"/>
  <c r="BA1437" i="2"/>
  <c r="BC1437" i="2" s="1"/>
  <c r="AY1421" i="2"/>
  <c r="BA1421" i="2"/>
  <c r="BC1421" i="2" s="1"/>
  <c r="AY1413" i="2"/>
  <c r="BA1413" i="2"/>
  <c r="BC1413" i="2" s="1"/>
  <c r="AY1405" i="2"/>
  <c r="BA1405" i="2"/>
  <c r="BC1405" i="2" s="1"/>
  <c r="AY1397" i="2"/>
  <c r="BA1397" i="2"/>
  <c r="BC1397" i="2" s="1"/>
  <c r="AY1389" i="2"/>
  <c r="BA1389" i="2"/>
  <c r="BC1389" i="2" s="1"/>
  <c r="AY1381" i="2"/>
  <c r="BA1381" i="2"/>
  <c r="BC1381" i="2" s="1"/>
  <c r="AY1377" i="2"/>
  <c r="BA1377" i="2"/>
  <c r="BC1377" i="2" s="1"/>
  <c r="AY1369" i="2"/>
  <c r="BA1369" i="2"/>
  <c r="BC1369" i="2" s="1"/>
  <c r="AY1361" i="2"/>
  <c r="BA1361" i="2"/>
  <c r="BC1361" i="2" s="1"/>
  <c r="AY1353" i="2"/>
  <c r="BA1353" i="2"/>
  <c r="BC1353" i="2" s="1"/>
  <c r="AY1349" i="2"/>
  <c r="BA1349" i="2"/>
  <c r="BC1349" i="2" s="1"/>
  <c r="AY1345" i="2"/>
  <c r="BA1345" i="2"/>
  <c r="BC1345" i="2" s="1"/>
  <c r="AY1337" i="2"/>
  <c r="BA1337" i="2"/>
  <c r="BC1337" i="2" s="1"/>
  <c r="AY1333" i="2"/>
  <c r="BA1333" i="2"/>
  <c r="BC1333" i="2" s="1"/>
  <c r="AY1329" i="2"/>
  <c r="BA1329" i="2"/>
  <c r="BC1329" i="2" s="1"/>
  <c r="AY1325" i="2"/>
  <c r="BA1325" i="2"/>
  <c r="BC1325" i="2" s="1"/>
  <c r="AY1321" i="2"/>
  <c r="BA1321" i="2"/>
  <c r="BC1321" i="2" s="1"/>
  <c r="AY1317" i="2"/>
  <c r="BA1317" i="2"/>
  <c r="BC1317" i="2" s="1"/>
  <c r="AY1313" i="2"/>
  <c r="BA1313" i="2"/>
  <c r="BC1313" i="2" s="1"/>
  <c r="AY1309" i="2"/>
  <c r="BA1309" i="2"/>
  <c r="BC1309" i="2" s="1"/>
  <c r="AY1305" i="2"/>
  <c r="BA1305" i="2"/>
  <c r="BC1305" i="2" s="1"/>
  <c r="AY1301" i="2"/>
  <c r="BA1301" i="2"/>
  <c r="BC1301" i="2" s="1"/>
  <c r="AY1297" i="2"/>
  <c r="BA1297" i="2"/>
  <c r="BC1297" i="2" s="1"/>
  <c r="AY1293" i="2"/>
  <c r="BA1293" i="2"/>
  <c r="BC1293" i="2" s="1"/>
  <c r="AY1289" i="2"/>
  <c r="BA1289" i="2"/>
  <c r="BC1289" i="2" s="1"/>
  <c r="AY1285" i="2"/>
  <c r="BA1285" i="2"/>
  <c r="BC1285" i="2" s="1"/>
  <c r="AY1281" i="2"/>
  <c r="BA1281" i="2"/>
  <c r="BC1281" i="2" s="1"/>
  <c r="AY1277" i="2"/>
  <c r="BA1277" i="2"/>
  <c r="BC1277" i="2" s="1"/>
  <c r="AY1273" i="2"/>
  <c r="BA1273" i="2"/>
  <c r="BC1273" i="2" s="1"/>
  <c r="AY1265" i="2"/>
  <c r="BA1265" i="2"/>
  <c r="BC1265" i="2" s="1"/>
  <c r="AY1257" i="2"/>
  <c r="BA1257" i="2"/>
  <c r="BC1257" i="2" s="1"/>
  <c r="AY1249" i="2"/>
  <c r="BA1249" i="2"/>
  <c r="BC1249" i="2" s="1"/>
  <c r="AY1241" i="2"/>
  <c r="BA1241" i="2"/>
  <c r="BC1241" i="2" s="1"/>
  <c r="AY1237" i="2"/>
  <c r="BA1237" i="2"/>
  <c r="BC1237" i="2" s="1"/>
  <c r="AY1229" i="2"/>
  <c r="BA1229" i="2"/>
  <c r="BC1229" i="2" s="1"/>
  <c r="AY1189" i="2"/>
  <c r="BA1189" i="2"/>
  <c r="BC1189" i="2" s="1"/>
  <c r="AY2132" i="2"/>
  <c r="BA2132" i="2"/>
  <c r="BC2132" i="2" s="1"/>
  <c r="AY2128" i="2"/>
  <c r="BA2128" i="2"/>
  <c r="BC2128" i="2" s="1"/>
  <c r="AY2124" i="2"/>
  <c r="BA2124" i="2"/>
  <c r="BC2124" i="2" s="1"/>
  <c r="AY2120" i="2"/>
  <c r="BA2120" i="2"/>
  <c r="BC2120" i="2" s="1"/>
  <c r="AY2116" i="2"/>
  <c r="BA2116" i="2"/>
  <c r="BC2116" i="2" s="1"/>
  <c r="AY2112" i="2"/>
  <c r="BA2112" i="2"/>
  <c r="BC2112" i="2" s="1"/>
  <c r="AY2108" i="2"/>
  <c r="BA2108" i="2"/>
  <c r="BC2108" i="2" s="1"/>
  <c r="AY2104" i="2"/>
  <c r="BA2104" i="2"/>
  <c r="BC2104" i="2" s="1"/>
  <c r="AY2100" i="2"/>
  <c r="BA2100" i="2"/>
  <c r="BC2100" i="2" s="1"/>
  <c r="AY2096" i="2"/>
  <c r="BA2096" i="2"/>
  <c r="BC2096" i="2" s="1"/>
  <c r="AY2092" i="2"/>
  <c r="BA2092" i="2"/>
  <c r="BC2092" i="2" s="1"/>
  <c r="AY2088" i="2"/>
  <c r="BA2088" i="2"/>
  <c r="BC2088" i="2" s="1"/>
  <c r="AY2084" i="2"/>
  <c r="BA2084" i="2"/>
  <c r="BC2084" i="2" s="1"/>
  <c r="AY2080" i="2"/>
  <c r="BA2080" i="2"/>
  <c r="BC2080" i="2" s="1"/>
  <c r="AY2076" i="2"/>
  <c r="BA2076" i="2"/>
  <c r="BC2076" i="2" s="1"/>
  <c r="AY2072" i="2"/>
  <c r="BA2072" i="2"/>
  <c r="BC2072" i="2" s="1"/>
  <c r="AY2068" i="2"/>
  <c r="BA2068" i="2"/>
  <c r="BC2068" i="2" s="1"/>
  <c r="AY2064" i="2"/>
  <c r="BA2064" i="2"/>
  <c r="BC2064" i="2" s="1"/>
  <c r="AY2060" i="2"/>
  <c r="BA2060" i="2"/>
  <c r="BC2060" i="2" s="1"/>
  <c r="AY2056" i="2"/>
  <c r="BA2056" i="2"/>
  <c r="BC2056" i="2" s="1"/>
  <c r="AY2052" i="2"/>
  <c r="BA2052" i="2"/>
  <c r="BC2052" i="2" s="1"/>
  <c r="AY2048" i="2"/>
  <c r="BA2048" i="2"/>
  <c r="BC2048" i="2" s="1"/>
  <c r="AY2044" i="2"/>
  <c r="BA2044" i="2"/>
  <c r="BC2044" i="2" s="1"/>
  <c r="AY2040" i="2"/>
  <c r="BA2040" i="2"/>
  <c r="BC2040" i="2" s="1"/>
  <c r="AY2036" i="2"/>
  <c r="BA2036" i="2"/>
  <c r="BC2036" i="2" s="1"/>
  <c r="AY2032" i="2"/>
  <c r="BA2032" i="2"/>
  <c r="BC2032" i="2" s="1"/>
  <c r="AY2028" i="2"/>
  <c r="BA2028" i="2"/>
  <c r="BC2028" i="2" s="1"/>
  <c r="AY2024" i="2"/>
  <c r="BA2024" i="2"/>
  <c r="BC2024" i="2" s="1"/>
  <c r="AY2020" i="2"/>
  <c r="BA2020" i="2"/>
  <c r="BC2020" i="2" s="1"/>
  <c r="AY2016" i="2"/>
  <c r="BA2016" i="2"/>
  <c r="BC2016" i="2" s="1"/>
  <c r="AY2012" i="2"/>
  <c r="BA2012" i="2"/>
  <c r="BC2012" i="2" s="1"/>
  <c r="AY2008" i="2"/>
  <c r="BA2008" i="2"/>
  <c r="BC2008" i="2" s="1"/>
  <c r="AY2004" i="2"/>
  <c r="BA2004" i="2"/>
  <c r="BC2004" i="2" s="1"/>
  <c r="AY2000" i="2"/>
  <c r="BA2000" i="2"/>
  <c r="BC2000" i="2" s="1"/>
  <c r="AY1996" i="2"/>
  <c r="BA1996" i="2"/>
  <c r="BC1996" i="2" s="1"/>
  <c r="AY1992" i="2"/>
  <c r="BA1992" i="2"/>
  <c r="BC1992" i="2" s="1"/>
  <c r="AY1988" i="2"/>
  <c r="BA1988" i="2"/>
  <c r="BC1988" i="2" s="1"/>
  <c r="AY1984" i="2"/>
  <c r="BA1984" i="2"/>
  <c r="BC1984" i="2" s="1"/>
  <c r="AY1980" i="2"/>
  <c r="BA1980" i="2"/>
  <c r="BC1980" i="2" s="1"/>
  <c r="AY1976" i="2"/>
  <c r="BA1976" i="2"/>
  <c r="BC1976" i="2" s="1"/>
  <c r="AY1972" i="2"/>
  <c r="BA1972" i="2"/>
  <c r="BC1972" i="2" s="1"/>
  <c r="AY1968" i="2"/>
  <c r="BA1968" i="2"/>
  <c r="BC1968" i="2" s="1"/>
  <c r="AY1964" i="2"/>
  <c r="BA1964" i="2"/>
  <c r="BC1964" i="2" s="1"/>
  <c r="AY1960" i="2"/>
  <c r="BA1960" i="2"/>
  <c r="BC1960" i="2" s="1"/>
  <c r="AY1956" i="2"/>
  <c r="BA1956" i="2"/>
  <c r="BC1956" i="2" s="1"/>
  <c r="AY1952" i="2"/>
  <c r="BA1952" i="2"/>
  <c r="BC1952" i="2" s="1"/>
  <c r="AY1948" i="2"/>
  <c r="BA1948" i="2"/>
  <c r="BC1948" i="2" s="1"/>
  <c r="AY1944" i="2"/>
  <c r="BA1944" i="2"/>
  <c r="BC1944" i="2" s="1"/>
  <c r="AY1940" i="2"/>
  <c r="BA1940" i="2"/>
  <c r="BC1940" i="2" s="1"/>
  <c r="AY1936" i="2"/>
  <c r="BA1936" i="2"/>
  <c r="BC1936" i="2" s="1"/>
  <c r="AY1932" i="2"/>
  <c r="BA1932" i="2"/>
  <c r="BC1932" i="2" s="1"/>
  <c r="AY1928" i="2"/>
  <c r="BA1928" i="2"/>
  <c r="BC1928" i="2" s="1"/>
  <c r="AY1924" i="2"/>
  <c r="BA1924" i="2"/>
  <c r="BC1924" i="2" s="1"/>
  <c r="AY1920" i="2"/>
  <c r="BA1920" i="2"/>
  <c r="BC1920" i="2" s="1"/>
  <c r="AY1916" i="2"/>
  <c r="BA1916" i="2"/>
  <c r="BC1916" i="2" s="1"/>
  <c r="AY1912" i="2"/>
  <c r="BA1912" i="2"/>
  <c r="BC1912" i="2" s="1"/>
  <c r="AY1908" i="2"/>
  <c r="BA1908" i="2"/>
  <c r="BC1908" i="2" s="1"/>
  <c r="AY289" i="2"/>
  <c r="BA289" i="2"/>
  <c r="BC289" i="2" s="1"/>
  <c r="AY285" i="2"/>
  <c r="BA285" i="2"/>
  <c r="BC285" i="2" s="1"/>
  <c r="AY281" i="2"/>
  <c r="BA281" i="2"/>
  <c r="BC281" i="2" s="1"/>
  <c r="AY277" i="2"/>
  <c r="BA277" i="2"/>
  <c r="BC277" i="2" s="1"/>
  <c r="AY273" i="2"/>
  <c r="BA273" i="2"/>
  <c r="BC273" i="2" s="1"/>
  <c r="AY269" i="2"/>
  <c r="BA269" i="2"/>
  <c r="BC269" i="2" s="1"/>
  <c r="AY265" i="2"/>
  <c r="BA265" i="2"/>
  <c r="BC265" i="2" s="1"/>
  <c r="AY261" i="2"/>
  <c r="BA261" i="2"/>
  <c r="BC261" i="2" s="1"/>
  <c r="AY257" i="2"/>
  <c r="BA257" i="2"/>
  <c r="BC257" i="2" s="1"/>
  <c r="AY253" i="2"/>
  <c r="BA253" i="2"/>
  <c r="BC253" i="2" s="1"/>
  <c r="AY249" i="2"/>
  <c r="BA249" i="2"/>
  <c r="BC249" i="2" s="1"/>
  <c r="AY245" i="2"/>
  <c r="BA245" i="2"/>
  <c r="BC245" i="2" s="1"/>
  <c r="AY241" i="2"/>
  <c r="BA241" i="2"/>
  <c r="BC241" i="2" s="1"/>
  <c r="AY237" i="2"/>
  <c r="BA237" i="2"/>
  <c r="BC237" i="2" s="1"/>
  <c r="AY233" i="2"/>
  <c r="BA233" i="2"/>
  <c r="BC233" i="2" s="1"/>
  <c r="AY229" i="2"/>
  <c r="BA229" i="2"/>
  <c r="BC229" i="2" s="1"/>
  <c r="AY225" i="2"/>
  <c r="BA225" i="2"/>
  <c r="BC225" i="2" s="1"/>
  <c r="AY221" i="2"/>
  <c r="BA221" i="2"/>
  <c r="BC221" i="2" s="1"/>
  <c r="AY217" i="2"/>
  <c r="BA217" i="2"/>
  <c r="BC217" i="2" s="1"/>
  <c r="AY213" i="2"/>
  <c r="BA213" i="2"/>
  <c r="BC213" i="2" s="1"/>
  <c r="AY209" i="2"/>
  <c r="BA209" i="2"/>
  <c r="BC209" i="2" s="1"/>
  <c r="AY205" i="2"/>
  <c r="BA205" i="2"/>
  <c r="BC205" i="2" s="1"/>
  <c r="AY201" i="2"/>
  <c r="BA201" i="2"/>
  <c r="BC201" i="2" s="1"/>
  <c r="AY197" i="2"/>
  <c r="BA197" i="2"/>
  <c r="BC197" i="2" s="1"/>
  <c r="AY193" i="2"/>
  <c r="BA193" i="2"/>
  <c r="BC193" i="2" s="1"/>
  <c r="AY189" i="2"/>
  <c r="BA189" i="2"/>
  <c r="BC189" i="2" s="1"/>
  <c r="AY185" i="2"/>
  <c r="BA185" i="2"/>
  <c r="BC185" i="2" s="1"/>
  <c r="AY181" i="2"/>
  <c r="BA181" i="2"/>
  <c r="BC181" i="2" s="1"/>
  <c r="AY177" i="2"/>
  <c r="BA177" i="2"/>
  <c r="BC177" i="2" s="1"/>
  <c r="AY173" i="2"/>
  <c r="BA173" i="2"/>
  <c r="BC173" i="2" s="1"/>
  <c r="AY169" i="2"/>
  <c r="BA169" i="2"/>
  <c r="BC169" i="2" s="1"/>
  <c r="AY165" i="2"/>
  <c r="BA165" i="2"/>
  <c r="BC165" i="2" s="1"/>
  <c r="AY161" i="2"/>
  <c r="BA161" i="2"/>
  <c r="BC161" i="2" s="1"/>
  <c r="AY157" i="2"/>
  <c r="BA157" i="2"/>
  <c r="BC157" i="2" s="1"/>
  <c r="AY153" i="2"/>
  <c r="BA153" i="2"/>
  <c r="BC153" i="2" s="1"/>
  <c r="AY149" i="2"/>
  <c r="BA149" i="2"/>
  <c r="BC149" i="2" s="1"/>
  <c r="AY145" i="2"/>
  <c r="BA145" i="2"/>
  <c r="BC145" i="2" s="1"/>
  <c r="AY141" i="2"/>
  <c r="BA141" i="2"/>
  <c r="BC141" i="2" s="1"/>
  <c r="AY137" i="2"/>
  <c r="BA137" i="2"/>
  <c r="BC137" i="2" s="1"/>
  <c r="AY133" i="2"/>
  <c r="BA133" i="2"/>
  <c r="BC133" i="2" s="1"/>
  <c r="AY129" i="2"/>
  <c r="BA129" i="2"/>
  <c r="BC129" i="2" s="1"/>
  <c r="AY125" i="2"/>
  <c r="BA125" i="2"/>
  <c r="BC125" i="2" s="1"/>
  <c r="AY121" i="2"/>
  <c r="BA121" i="2"/>
  <c r="BC121" i="2" s="1"/>
  <c r="AY117" i="2"/>
  <c r="BA117" i="2"/>
  <c r="BC117" i="2" s="1"/>
  <c r="AY113" i="2"/>
  <c r="BA113" i="2"/>
  <c r="BC113" i="2" s="1"/>
  <c r="AY109" i="2"/>
  <c r="BA109" i="2"/>
  <c r="BC109" i="2" s="1"/>
  <c r="AY105" i="2"/>
  <c r="BA105" i="2"/>
  <c r="BC105" i="2" s="1"/>
  <c r="AY101" i="2"/>
  <c r="BA101" i="2"/>
  <c r="BC101" i="2" s="1"/>
  <c r="AY97" i="2"/>
  <c r="BA97" i="2"/>
  <c r="BC97" i="2" s="1"/>
  <c r="AY93" i="2"/>
  <c r="BA93" i="2"/>
  <c r="BC93" i="2" s="1"/>
  <c r="AY89" i="2"/>
  <c r="BA89" i="2"/>
  <c r="BC89" i="2" s="1"/>
  <c r="AY85" i="2"/>
  <c r="BA85" i="2"/>
  <c r="BC85" i="2" s="1"/>
  <c r="AY81" i="2"/>
  <c r="BA81" i="2"/>
  <c r="BC81" i="2" s="1"/>
  <c r="AY77" i="2"/>
  <c r="BA77" i="2"/>
  <c r="BC77" i="2" s="1"/>
  <c r="AY73" i="2"/>
  <c r="BA73" i="2"/>
  <c r="BC73" i="2" s="1"/>
  <c r="AY69" i="2"/>
  <c r="BA69" i="2"/>
  <c r="BC69" i="2" s="1"/>
  <c r="AY65" i="2"/>
  <c r="BA65" i="2"/>
  <c r="BC65" i="2" s="1"/>
  <c r="AY61" i="2"/>
  <c r="BA61" i="2"/>
  <c r="BC61" i="2" s="1"/>
  <c r="AY57" i="2"/>
  <c r="BA57" i="2"/>
  <c r="BC57" i="2" s="1"/>
  <c r="AY53" i="2"/>
  <c r="BA53" i="2"/>
  <c r="BC53" i="2" s="1"/>
  <c r="AY49" i="2"/>
  <c r="BA49" i="2"/>
  <c r="BC49" i="2" s="1"/>
  <c r="AY45" i="2"/>
  <c r="BA45" i="2"/>
  <c r="BC45" i="2" s="1"/>
  <c r="AY41" i="2"/>
  <c r="BA41" i="2"/>
  <c r="BC41" i="2" s="1"/>
  <c r="AY37" i="2"/>
  <c r="BA37" i="2"/>
  <c r="BC37" i="2" s="1"/>
  <c r="AY33" i="2"/>
  <c r="BA33" i="2"/>
  <c r="BC33" i="2" s="1"/>
  <c r="AY29" i="2"/>
  <c r="BA29" i="2"/>
  <c r="BC29" i="2" s="1"/>
  <c r="AY25" i="2"/>
  <c r="BA25" i="2"/>
  <c r="BC25" i="2" s="1"/>
  <c r="AY21" i="2"/>
  <c r="BA21" i="2"/>
  <c r="BC21" i="2" s="1"/>
  <c r="AY17" i="2"/>
  <c r="BA17" i="2"/>
  <c r="BC17" i="2" s="1"/>
  <c r="AY13" i="2"/>
  <c r="BA13" i="2"/>
  <c r="BC13" i="2" s="1"/>
  <c r="AY9" i="2"/>
  <c r="BA9" i="2"/>
  <c r="BC9" i="2" s="1"/>
  <c r="AY5" i="2"/>
  <c r="BA5" i="2"/>
  <c r="BC5" i="2" s="1"/>
  <c r="AY1900" i="2"/>
  <c r="BA1900" i="2"/>
  <c r="BC1900" i="2" s="1"/>
  <c r="AY1892" i="2"/>
  <c r="BA1892" i="2"/>
  <c r="BC1892" i="2" s="1"/>
  <c r="AY1884" i="2"/>
  <c r="BA1884" i="2"/>
  <c r="BC1884" i="2" s="1"/>
  <c r="AY1876" i="2"/>
  <c r="BA1876" i="2"/>
  <c r="BC1876" i="2" s="1"/>
  <c r="AY1868" i="2"/>
  <c r="BA1868" i="2"/>
  <c r="BC1868" i="2" s="1"/>
  <c r="AY1856" i="2"/>
  <c r="BA1856" i="2"/>
  <c r="BC1856" i="2" s="1"/>
  <c r="AY1848" i="2"/>
  <c r="BA1848" i="2"/>
  <c r="BC1848" i="2" s="1"/>
  <c r="AY1840" i="2"/>
  <c r="BA1840" i="2"/>
  <c r="BC1840" i="2" s="1"/>
  <c r="AY1836" i="2"/>
  <c r="BA1836" i="2"/>
  <c r="BC1836" i="2" s="1"/>
  <c r="AY1832" i="2"/>
  <c r="BA1832" i="2"/>
  <c r="BC1832" i="2" s="1"/>
  <c r="AY1824" i="2"/>
  <c r="BA1824" i="2"/>
  <c r="BC1824" i="2" s="1"/>
  <c r="AY1816" i="2"/>
  <c r="BA1816" i="2"/>
  <c r="BC1816" i="2" s="1"/>
  <c r="AY1808" i="2"/>
  <c r="BA1808" i="2"/>
  <c r="BC1808" i="2" s="1"/>
  <c r="AY1800" i="2"/>
  <c r="BA1800" i="2"/>
  <c r="BC1800" i="2" s="1"/>
  <c r="AY1792" i="2"/>
  <c r="BA1792" i="2"/>
  <c r="BC1792" i="2" s="1"/>
  <c r="AY1784" i="2"/>
  <c r="BA1784" i="2"/>
  <c r="BC1784" i="2" s="1"/>
  <c r="AY1776" i="2"/>
  <c r="BA1776" i="2"/>
  <c r="BC1776" i="2" s="1"/>
  <c r="AY1768" i="2"/>
  <c r="BA1768" i="2"/>
  <c r="BC1768" i="2" s="1"/>
  <c r="AY1760" i="2"/>
  <c r="BA1760" i="2"/>
  <c r="BC1760" i="2" s="1"/>
  <c r="AY1752" i="2"/>
  <c r="BA1752" i="2"/>
  <c r="BC1752" i="2" s="1"/>
  <c r="AY1744" i="2"/>
  <c r="BA1744" i="2"/>
  <c r="BC1744" i="2" s="1"/>
  <c r="AY1736" i="2"/>
  <c r="BA1736" i="2"/>
  <c r="BC1736" i="2" s="1"/>
  <c r="AY1728" i="2"/>
  <c r="BA1728" i="2"/>
  <c r="BC1728" i="2" s="1"/>
  <c r="AY1720" i="2"/>
  <c r="BA1720" i="2"/>
  <c r="BC1720" i="2" s="1"/>
  <c r="AY1712" i="2"/>
  <c r="BA1712" i="2"/>
  <c r="BC1712" i="2" s="1"/>
  <c r="AY1704" i="2"/>
  <c r="BA1704" i="2"/>
  <c r="BC1704" i="2" s="1"/>
  <c r="AY1696" i="2"/>
  <c r="BA1696" i="2"/>
  <c r="BC1696" i="2" s="1"/>
  <c r="AY1688" i="2"/>
  <c r="BA1688" i="2"/>
  <c r="BC1688" i="2" s="1"/>
  <c r="AY1676" i="2"/>
  <c r="BA1676" i="2"/>
  <c r="BC1676" i="2" s="1"/>
  <c r="AY1668" i="2"/>
  <c r="BA1668" i="2"/>
  <c r="BC1668" i="2" s="1"/>
  <c r="AY1660" i="2"/>
  <c r="BA1660" i="2"/>
  <c r="BC1660" i="2" s="1"/>
  <c r="AY1656" i="2"/>
  <c r="BA1656" i="2"/>
  <c r="BC1656" i="2" s="1"/>
  <c r="AY1648" i="2"/>
  <c r="BA1648" i="2"/>
  <c r="BC1648" i="2" s="1"/>
  <c r="AY1640" i="2"/>
  <c r="BA1640" i="2"/>
  <c r="BC1640" i="2" s="1"/>
  <c r="AY1632" i="2"/>
  <c r="BA1632" i="2"/>
  <c r="BC1632" i="2" s="1"/>
  <c r="AY1624" i="2"/>
  <c r="BA1624" i="2"/>
  <c r="BC1624" i="2" s="1"/>
  <c r="AY1616" i="2"/>
  <c r="BA1616" i="2"/>
  <c r="BC1616" i="2" s="1"/>
  <c r="AY1608" i="2"/>
  <c r="BA1608" i="2"/>
  <c r="BC1608" i="2" s="1"/>
  <c r="AY1600" i="2"/>
  <c r="BA1600" i="2"/>
  <c r="BC1600" i="2" s="1"/>
  <c r="AY1592" i="2"/>
  <c r="BA1592" i="2"/>
  <c r="BC1592" i="2" s="1"/>
  <c r="AY1584" i="2"/>
  <c r="BA1584" i="2"/>
  <c r="BC1584" i="2" s="1"/>
  <c r="AY1576" i="2"/>
  <c r="BA1576" i="2"/>
  <c r="BC1576" i="2" s="1"/>
  <c r="AY1568" i="2"/>
  <c r="BA1568" i="2"/>
  <c r="BC1568" i="2" s="1"/>
  <c r="AY1560" i="2"/>
  <c r="BA1560" i="2"/>
  <c r="BC1560" i="2" s="1"/>
  <c r="AY1552" i="2"/>
  <c r="BA1552" i="2"/>
  <c r="BC1552" i="2" s="1"/>
  <c r="AY1544" i="2"/>
  <c r="BA1544" i="2"/>
  <c r="BC1544" i="2" s="1"/>
  <c r="AY1536" i="2"/>
  <c r="BA1536" i="2"/>
  <c r="BC1536" i="2" s="1"/>
  <c r="AY1528" i="2"/>
  <c r="BA1528" i="2"/>
  <c r="BC1528" i="2" s="1"/>
  <c r="AY1520" i="2"/>
  <c r="BA1520" i="2"/>
  <c r="BC1520" i="2" s="1"/>
  <c r="AY1512" i="2"/>
  <c r="BA1512" i="2"/>
  <c r="BC1512" i="2" s="1"/>
  <c r="AY1504" i="2"/>
  <c r="BA1504" i="2"/>
  <c r="BC1504" i="2" s="1"/>
  <c r="AY1496" i="2"/>
  <c r="BA1496" i="2"/>
  <c r="BC1496" i="2" s="1"/>
  <c r="AY1488" i="2"/>
  <c r="BA1488" i="2"/>
  <c r="BC1488" i="2" s="1"/>
  <c r="AY1480" i="2"/>
  <c r="BA1480" i="2"/>
  <c r="BC1480" i="2" s="1"/>
  <c r="AY1472" i="2"/>
  <c r="BA1472" i="2"/>
  <c r="BC1472" i="2" s="1"/>
  <c r="AY1464" i="2"/>
  <c r="BA1464" i="2"/>
  <c r="BC1464" i="2" s="1"/>
  <c r="AY1456" i="2"/>
  <c r="BA1456" i="2"/>
  <c r="BC1456" i="2" s="1"/>
  <c r="AY1448" i="2"/>
  <c r="BA1448" i="2"/>
  <c r="BC1448" i="2" s="1"/>
  <c r="AY1440" i="2"/>
  <c r="BA1440" i="2"/>
  <c r="BC1440" i="2" s="1"/>
  <c r="AY1436" i="2"/>
  <c r="BA1436" i="2"/>
  <c r="BC1436" i="2" s="1"/>
  <c r="AY1428" i="2"/>
  <c r="BA1428" i="2"/>
  <c r="BC1428" i="2" s="1"/>
  <c r="AY1420" i="2"/>
  <c r="BA1420" i="2"/>
  <c r="BC1420" i="2" s="1"/>
  <c r="AY1412" i="2"/>
  <c r="BA1412" i="2"/>
  <c r="BC1412" i="2" s="1"/>
  <c r="AY1404" i="2"/>
  <c r="BA1404" i="2"/>
  <c r="BC1404" i="2" s="1"/>
  <c r="AY1396" i="2"/>
  <c r="BA1396" i="2"/>
  <c r="BC1396" i="2" s="1"/>
  <c r="AY1388" i="2"/>
  <c r="BA1388" i="2"/>
  <c r="BC1388" i="2" s="1"/>
  <c r="AY1380" i="2"/>
  <c r="BA1380" i="2"/>
  <c r="BC1380" i="2" s="1"/>
  <c r="AY1372" i="2"/>
  <c r="BA1372" i="2"/>
  <c r="BC1372" i="2" s="1"/>
  <c r="AY1364" i="2"/>
  <c r="BA1364" i="2"/>
  <c r="BC1364" i="2" s="1"/>
  <c r="AY1356" i="2"/>
  <c r="BA1356" i="2"/>
  <c r="BC1356" i="2" s="1"/>
  <c r="AY1348" i="2"/>
  <c r="BA1348" i="2"/>
  <c r="BC1348" i="2" s="1"/>
  <c r="AY1344" i="2"/>
  <c r="BA1344" i="2"/>
  <c r="BC1344" i="2" s="1"/>
  <c r="AY1340" i="2"/>
  <c r="BA1340" i="2"/>
  <c r="BC1340" i="2" s="1"/>
  <c r="AY1332" i="2"/>
  <c r="BA1332" i="2"/>
  <c r="BC1332" i="2" s="1"/>
  <c r="AY1324" i="2"/>
  <c r="BA1324" i="2"/>
  <c r="BC1324" i="2" s="1"/>
  <c r="AY1316" i="2"/>
  <c r="BA1316" i="2"/>
  <c r="BC1316" i="2" s="1"/>
  <c r="AY1308" i="2"/>
  <c r="BA1308" i="2"/>
  <c r="BC1308" i="2" s="1"/>
  <c r="AY1300" i="2"/>
  <c r="BA1300" i="2"/>
  <c r="BC1300" i="2" s="1"/>
  <c r="AY1292" i="2"/>
  <c r="BA1292" i="2"/>
  <c r="BC1292" i="2" s="1"/>
  <c r="AY1284" i="2"/>
  <c r="BA1284" i="2"/>
  <c r="BC1284" i="2" s="1"/>
  <c r="AY1276" i="2"/>
  <c r="BA1276" i="2"/>
  <c r="BC1276" i="2" s="1"/>
  <c r="AY1268" i="2"/>
  <c r="BA1268" i="2"/>
  <c r="BC1268" i="2" s="1"/>
  <c r="AY1260" i="2"/>
  <c r="BA1260" i="2"/>
  <c r="BC1260" i="2" s="1"/>
  <c r="AY1252" i="2"/>
  <c r="BA1252" i="2"/>
  <c r="BC1252" i="2" s="1"/>
  <c r="AY1244" i="2"/>
  <c r="BA1244" i="2"/>
  <c r="BC1244" i="2" s="1"/>
  <c r="AY1232" i="2"/>
  <c r="BA1232" i="2"/>
  <c r="BC1232" i="2" s="1"/>
  <c r="AY1224" i="2"/>
  <c r="BA1224" i="2"/>
  <c r="BC1224" i="2" s="1"/>
  <c r="AY1216" i="2"/>
  <c r="BA1216" i="2"/>
  <c r="BC1216" i="2" s="1"/>
  <c r="AY1208" i="2"/>
  <c r="BA1208" i="2"/>
  <c r="BC1208" i="2" s="1"/>
  <c r="AY1200" i="2"/>
  <c r="BA1200" i="2"/>
  <c r="BC1200" i="2" s="1"/>
  <c r="AY1192" i="2"/>
  <c r="BA1192" i="2"/>
  <c r="BC1192" i="2" s="1"/>
  <c r="AY1116" i="2"/>
  <c r="BA1116" i="2"/>
  <c r="BC1116" i="2" s="1"/>
  <c r="AY1108" i="2"/>
  <c r="BA1108" i="2"/>
  <c r="BC1108" i="2" s="1"/>
  <c r="AY1100" i="2"/>
  <c r="BA1100" i="2"/>
  <c r="BC1100" i="2" s="1"/>
  <c r="AY1092" i="2"/>
  <c r="BA1092" i="2"/>
  <c r="BC1092" i="2" s="1"/>
  <c r="AY1080" i="2"/>
  <c r="BA1080" i="2"/>
  <c r="BC1080" i="2" s="1"/>
  <c r="AY1072" i="2"/>
  <c r="BA1072" i="2"/>
  <c r="BC1072" i="2" s="1"/>
  <c r="AY1064" i="2"/>
  <c r="BA1064" i="2"/>
  <c r="BC1064" i="2" s="1"/>
  <c r="AY1056" i="2"/>
  <c r="BA1056" i="2"/>
  <c r="BC1056" i="2" s="1"/>
  <c r="AY1048" i="2"/>
  <c r="BA1048" i="2"/>
  <c r="BC1048" i="2" s="1"/>
  <c r="AY1040" i="2"/>
  <c r="BA1040" i="2"/>
  <c r="BC1040" i="2" s="1"/>
  <c r="AY1032" i="2"/>
  <c r="BA1032" i="2"/>
  <c r="BC1032" i="2" s="1"/>
  <c r="AY1024" i="2"/>
  <c r="BA1024" i="2"/>
  <c r="BC1024" i="2" s="1"/>
  <c r="AY1016" i="2"/>
  <c r="BA1016" i="2"/>
  <c r="BC1016" i="2" s="1"/>
  <c r="AY1008" i="2"/>
  <c r="BA1008" i="2"/>
  <c r="BC1008" i="2" s="1"/>
  <c r="AY1000" i="2"/>
  <c r="BA1000" i="2"/>
  <c r="BC1000" i="2" s="1"/>
  <c r="AY992" i="2"/>
  <c r="BA992" i="2"/>
  <c r="BC992" i="2" s="1"/>
  <c r="AY984" i="2"/>
  <c r="BA984" i="2"/>
  <c r="BC984" i="2" s="1"/>
  <c r="AY976" i="2"/>
  <c r="BA976" i="2"/>
  <c r="BC976" i="2" s="1"/>
  <c r="AY968" i="2"/>
  <c r="BA968" i="2"/>
  <c r="BC968" i="2" s="1"/>
  <c r="AY960" i="2"/>
  <c r="BA960" i="2"/>
  <c r="BC960" i="2" s="1"/>
  <c r="AY952" i="2"/>
  <c r="BA952" i="2"/>
  <c r="BC952" i="2" s="1"/>
  <c r="AY944" i="2"/>
  <c r="BA944" i="2"/>
  <c r="BC944" i="2" s="1"/>
  <c r="AY936" i="2"/>
  <c r="BA936" i="2"/>
  <c r="BC936" i="2" s="1"/>
  <c r="AY928" i="2"/>
  <c r="BA928" i="2"/>
  <c r="BC928" i="2" s="1"/>
  <c r="AY920" i="2"/>
  <c r="BA920" i="2"/>
  <c r="BC920" i="2" s="1"/>
  <c r="AY912" i="2"/>
  <c r="BA912" i="2"/>
  <c r="BC912" i="2" s="1"/>
  <c r="AY904" i="2"/>
  <c r="BA904" i="2"/>
  <c r="BC904" i="2" s="1"/>
  <c r="AY896" i="2"/>
  <c r="BA896" i="2"/>
  <c r="BC896" i="2" s="1"/>
  <c r="AY888" i="2"/>
  <c r="BA888" i="2"/>
  <c r="BC888" i="2" s="1"/>
  <c r="AY880" i="2"/>
  <c r="BA880" i="2"/>
  <c r="BC880" i="2" s="1"/>
  <c r="AY872" i="2"/>
  <c r="BA872" i="2"/>
  <c r="BC872" i="2" s="1"/>
  <c r="AY864" i="2"/>
  <c r="BA864" i="2"/>
  <c r="BC864" i="2" s="1"/>
  <c r="AY856" i="2"/>
  <c r="BA856" i="2"/>
  <c r="BC856" i="2" s="1"/>
  <c r="AY848" i="2"/>
  <c r="BA848" i="2"/>
  <c r="BC848" i="2" s="1"/>
  <c r="AY840" i="2"/>
  <c r="BA840" i="2"/>
  <c r="BC840" i="2" s="1"/>
  <c r="AY832" i="2"/>
  <c r="BA832" i="2"/>
  <c r="BC832" i="2" s="1"/>
  <c r="AY824" i="2"/>
  <c r="BA824" i="2"/>
  <c r="BC824" i="2" s="1"/>
  <c r="AY816" i="2"/>
  <c r="BA816" i="2"/>
  <c r="BC816" i="2" s="1"/>
  <c r="AY808" i="2"/>
  <c r="BA808" i="2"/>
  <c r="BC808" i="2" s="1"/>
  <c r="AY800" i="2"/>
  <c r="BA800" i="2"/>
  <c r="BC800" i="2" s="1"/>
  <c r="AY792" i="2"/>
  <c r="BA792" i="2"/>
  <c r="BC792" i="2" s="1"/>
  <c r="AY784" i="2"/>
  <c r="BA784" i="2"/>
  <c r="BC784" i="2" s="1"/>
  <c r="AY776" i="2"/>
  <c r="BA776" i="2"/>
  <c r="BC776" i="2" s="1"/>
  <c r="AY768" i="2"/>
  <c r="BA768" i="2"/>
  <c r="BC768" i="2" s="1"/>
  <c r="AY760" i="2"/>
  <c r="BA760" i="2"/>
  <c r="BC760" i="2" s="1"/>
  <c r="AY752" i="2"/>
  <c r="BA752" i="2"/>
  <c r="BC752" i="2" s="1"/>
  <c r="AY744" i="2"/>
  <c r="BA744" i="2"/>
  <c r="BC744" i="2" s="1"/>
  <c r="AY736" i="2"/>
  <c r="BA736" i="2"/>
  <c r="BC736" i="2" s="1"/>
  <c r="AY728" i="2"/>
  <c r="BA728" i="2"/>
  <c r="BC728" i="2" s="1"/>
  <c r="AY720" i="2"/>
  <c r="BA720" i="2"/>
  <c r="BC720" i="2" s="1"/>
  <c r="AY708" i="2"/>
  <c r="BA708" i="2"/>
  <c r="BC708" i="2" s="1"/>
  <c r="AY700" i="2"/>
  <c r="BA700" i="2"/>
  <c r="BC700" i="2" s="1"/>
  <c r="AY692" i="2"/>
  <c r="BA692" i="2"/>
  <c r="BC692" i="2" s="1"/>
  <c r="AY684" i="2"/>
  <c r="BA684" i="2"/>
  <c r="BC684" i="2" s="1"/>
  <c r="AY676" i="2"/>
  <c r="BA676" i="2"/>
  <c r="BC676" i="2" s="1"/>
  <c r="AY668" i="2"/>
  <c r="BA668" i="2"/>
  <c r="BC668" i="2" s="1"/>
  <c r="AY660" i="2"/>
  <c r="BA660" i="2"/>
  <c r="BC660" i="2" s="1"/>
  <c r="AY652" i="2"/>
  <c r="BA652" i="2"/>
  <c r="BC652" i="2" s="1"/>
  <c r="AY644" i="2"/>
  <c r="BA644" i="2"/>
  <c r="BC644" i="2" s="1"/>
  <c r="AY636" i="2"/>
  <c r="BA636" i="2"/>
  <c r="BC636" i="2" s="1"/>
  <c r="AY628" i="2"/>
  <c r="BA628" i="2"/>
  <c r="BC628" i="2" s="1"/>
  <c r="AY620" i="2"/>
  <c r="BA620" i="2"/>
  <c r="BC620" i="2" s="1"/>
  <c r="AY608" i="2"/>
  <c r="BA608" i="2"/>
  <c r="BC608" i="2" s="1"/>
  <c r="AY600" i="2"/>
  <c r="BA600" i="2"/>
  <c r="BC600" i="2" s="1"/>
  <c r="AY592" i="2"/>
  <c r="BA592" i="2"/>
  <c r="BC592" i="2" s="1"/>
  <c r="AY584" i="2"/>
  <c r="BA584" i="2"/>
  <c r="BC584" i="2" s="1"/>
  <c r="AY576" i="2"/>
  <c r="BA576" i="2"/>
  <c r="BC576" i="2" s="1"/>
  <c r="AY568" i="2"/>
  <c r="BA568" i="2"/>
  <c r="BC568" i="2" s="1"/>
  <c r="AY560" i="2"/>
  <c r="BA560" i="2"/>
  <c r="BC560" i="2" s="1"/>
  <c r="AY552" i="2"/>
  <c r="BA552" i="2"/>
  <c r="BC552" i="2" s="1"/>
  <c r="AY544" i="2"/>
  <c r="BA544" i="2"/>
  <c r="BC544" i="2" s="1"/>
  <c r="AY536" i="2"/>
  <c r="BA536" i="2"/>
  <c r="BC536" i="2" s="1"/>
  <c r="AY528" i="2"/>
  <c r="BA528" i="2"/>
  <c r="BC528" i="2" s="1"/>
  <c r="AY520" i="2"/>
  <c r="BA520" i="2"/>
  <c r="BC520" i="2" s="1"/>
  <c r="AY512" i="2"/>
  <c r="BA512" i="2"/>
  <c r="BC512" i="2" s="1"/>
  <c r="AY504" i="2"/>
  <c r="BA504" i="2"/>
  <c r="BC504" i="2" s="1"/>
  <c r="AY496" i="2"/>
  <c r="BA496" i="2"/>
  <c r="BC496" i="2" s="1"/>
  <c r="AY488" i="2"/>
  <c r="BA488" i="2"/>
  <c r="BC488" i="2" s="1"/>
  <c r="AY480" i="2"/>
  <c r="BA480" i="2"/>
  <c r="BC480" i="2" s="1"/>
  <c r="AY472" i="2"/>
  <c r="BA472" i="2"/>
  <c r="BC472" i="2" s="1"/>
  <c r="AY464" i="2"/>
  <c r="BA464" i="2"/>
  <c r="BC464" i="2" s="1"/>
  <c r="AY456" i="2"/>
  <c r="BA456" i="2"/>
  <c r="BC456" i="2" s="1"/>
  <c r="AY448" i="2"/>
  <c r="BA448" i="2"/>
  <c r="BC448" i="2" s="1"/>
  <c r="AY440" i="2"/>
  <c r="BA440" i="2"/>
  <c r="BC440" i="2" s="1"/>
  <c r="AY432" i="2"/>
  <c r="BA432" i="2"/>
  <c r="BC432" i="2" s="1"/>
  <c r="AY424" i="2"/>
  <c r="BA424" i="2"/>
  <c r="BC424" i="2" s="1"/>
  <c r="AY416" i="2"/>
  <c r="BA416" i="2"/>
  <c r="BC416" i="2" s="1"/>
  <c r="AY408" i="2"/>
  <c r="BA408" i="2"/>
  <c r="BC408" i="2" s="1"/>
  <c r="AY400" i="2"/>
  <c r="BA400" i="2"/>
  <c r="BC400" i="2" s="1"/>
  <c r="AY392" i="2"/>
  <c r="BA392" i="2"/>
  <c r="BC392" i="2" s="1"/>
  <c r="AY384" i="2"/>
  <c r="BA384" i="2"/>
  <c r="BC384" i="2" s="1"/>
  <c r="AY376" i="2"/>
  <c r="BA376" i="2"/>
  <c r="BC376" i="2" s="1"/>
  <c r="AY368" i="2"/>
  <c r="BA368" i="2"/>
  <c r="BC368" i="2" s="1"/>
  <c r="AY360" i="2"/>
  <c r="BA360" i="2"/>
  <c r="BC360" i="2" s="1"/>
  <c r="AY352" i="2"/>
  <c r="BA352" i="2"/>
  <c r="BC352" i="2" s="1"/>
  <c r="AY344" i="2"/>
  <c r="BA344" i="2"/>
  <c r="BC344" i="2" s="1"/>
  <c r="AY336" i="2"/>
  <c r="BA336" i="2"/>
  <c r="BC336" i="2" s="1"/>
  <c r="AY328" i="2"/>
  <c r="BA328" i="2"/>
  <c r="BC328" i="2" s="1"/>
  <c r="AY320" i="2"/>
  <c r="BA320" i="2"/>
  <c r="BC320" i="2" s="1"/>
  <c r="AY312" i="2"/>
  <c r="BA312" i="2"/>
  <c r="BC312" i="2" s="1"/>
  <c r="AY304" i="2"/>
  <c r="BA304" i="2"/>
  <c r="BC304" i="2" s="1"/>
  <c r="AY296" i="2"/>
  <c r="BA296" i="2"/>
  <c r="BC296" i="2" s="1"/>
  <c r="AY288" i="2"/>
  <c r="BA288" i="2"/>
  <c r="BC288" i="2" s="1"/>
  <c r="AY280" i="2"/>
  <c r="BA280" i="2"/>
  <c r="BC280" i="2" s="1"/>
  <c r="AY272" i="2"/>
  <c r="BA272" i="2"/>
  <c r="BC272" i="2" s="1"/>
  <c r="AY264" i="2"/>
  <c r="BA264" i="2"/>
  <c r="BC264" i="2" s="1"/>
  <c r="AY256" i="2"/>
  <c r="BA256" i="2"/>
  <c r="BC256" i="2" s="1"/>
  <c r="AY248" i="2"/>
  <c r="BA248" i="2"/>
  <c r="BC248" i="2" s="1"/>
  <c r="AY240" i="2"/>
  <c r="BA240" i="2"/>
  <c r="BC240" i="2" s="1"/>
  <c r="AY232" i="2"/>
  <c r="BA232" i="2"/>
  <c r="BC232" i="2" s="1"/>
  <c r="AY224" i="2"/>
  <c r="BA224" i="2"/>
  <c r="BC224" i="2" s="1"/>
  <c r="AY216" i="2"/>
  <c r="BA216" i="2"/>
  <c r="BC216" i="2" s="1"/>
  <c r="AY208" i="2"/>
  <c r="BA208" i="2"/>
  <c r="BC208" i="2" s="1"/>
  <c r="AY200" i="2"/>
  <c r="BA200" i="2"/>
  <c r="BC200" i="2" s="1"/>
  <c r="AY192" i="2"/>
  <c r="BA192" i="2"/>
  <c r="BC192" i="2" s="1"/>
  <c r="AY184" i="2"/>
  <c r="BA184" i="2"/>
  <c r="BC184" i="2" s="1"/>
  <c r="AY176" i="2"/>
  <c r="BA176" i="2"/>
  <c r="BC176" i="2" s="1"/>
  <c r="AY168" i="2"/>
  <c r="BA168" i="2"/>
  <c r="BC168" i="2" s="1"/>
  <c r="AY160" i="2"/>
  <c r="BA160" i="2"/>
  <c r="BC160" i="2" s="1"/>
  <c r="AY152" i="2"/>
  <c r="BA152" i="2"/>
  <c r="BC152" i="2" s="1"/>
  <c r="AY144" i="2"/>
  <c r="BA144" i="2"/>
  <c r="BC144" i="2" s="1"/>
  <c r="AY140" i="2"/>
  <c r="BA140" i="2"/>
  <c r="BC140" i="2" s="1"/>
  <c r="AY132" i="2"/>
  <c r="BA132" i="2"/>
  <c r="BC132" i="2" s="1"/>
  <c r="AY124" i="2"/>
  <c r="BA124" i="2"/>
  <c r="BC124" i="2" s="1"/>
  <c r="AY116" i="2"/>
  <c r="BA116" i="2"/>
  <c r="BC116" i="2" s="1"/>
  <c r="AY108" i="2"/>
  <c r="BA108" i="2"/>
  <c r="BC108" i="2" s="1"/>
  <c r="AY100" i="2"/>
  <c r="BA100" i="2"/>
  <c r="BC100" i="2" s="1"/>
  <c r="AY92" i="2"/>
  <c r="BA92" i="2"/>
  <c r="BC92" i="2" s="1"/>
  <c r="AY84" i="2"/>
  <c r="BA84" i="2"/>
  <c r="BC84" i="2" s="1"/>
  <c r="AY80" i="2"/>
  <c r="BA80" i="2"/>
  <c r="BC80" i="2" s="1"/>
  <c r="AY72" i="2"/>
  <c r="BA72" i="2"/>
  <c r="BC72" i="2" s="1"/>
  <c r="AY64" i="2"/>
  <c r="BA64" i="2"/>
  <c r="BC64" i="2" s="1"/>
  <c r="AY56" i="2"/>
  <c r="BA56" i="2"/>
  <c r="BC56" i="2" s="1"/>
  <c r="AY48" i="2"/>
  <c r="BA48" i="2"/>
  <c r="BC48" i="2" s="1"/>
  <c r="AY44" i="2"/>
  <c r="BA44" i="2"/>
  <c r="BC44" i="2" s="1"/>
  <c r="AY40" i="2"/>
  <c r="BA40" i="2"/>
  <c r="BC40" i="2" s="1"/>
  <c r="AY36" i="2"/>
  <c r="BA36" i="2"/>
  <c r="BC36" i="2" s="1"/>
  <c r="AY32" i="2"/>
  <c r="BA32" i="2"/>
  <c r="BC32" i="2" s="1"/>
  <c r="AY28" i="2"/>
  <c r="BA28" i="2"/>
  <c r="BC28" i="2" s="1"/>
  <c r="AY24" i="2"/>
  <c r="BA24" i="2"/>
  <c r="BC24" i="2" s="1"/>
  <c r="AY20" i="2"/>
  <c r="BA20" i="2"/>
  <c r="BC20" i="2" s="1"/>
  <c r="AY16" i="2"/>
  <c r="BA16" i="2"/>
  <c r="BC16" i="2" s="1"/>
  <c r="AY12" i="2"/>
  <c r="BA12" i="2"/>
  <c r="BC12" i="2" s="1"/>
  <c r="AY8" i="2"/>
  <c r="BA8" i="2"/>
  <c r="BC8" i="2" s="1"/>
  <c r="AY4" i="2"/>
  <c r="BA4" i="2"/>
  <c r="BC4" i="2" s="1"/>
  <c r="AY1904" i="2"/>
  <c r="BA1904" i="2"/>
  <c r="BC1904" i="2" s="1"/>
  <c r="AY1896" i="2"/>
  <c r="BA1896" i="2"/>
  <c r="BC1896" i="2" s="1"/>
  <c r="AY1888" i="2"/>
  <c r="BA1888" i="2"/>
  <c r="BC1888" i="2" s="1"/>
  <c r="AY1880" i="2"/>
  <c r="BA1880" i="2"/>
  <c r="BC1880" i="2" s="1"/>
  <c r="AY1872" i="2"/>
  <c r="BA1872" i="2"/>
  <c r="BC1872" i="2" s="1"/>
  <c r="AY1864" i="2"/>
  <c r="BA1864" i="2"/>
  <c r="BC1864" i="2" s="1"/>
  <c r="AY1860" i="2"/>
  <c r="BA1860" i="2"/>
  <c r="BC1860" i="2" s="1"/>
  <c r="AY1852" i="2"/>
  <c r="BA1852" i="2"/>
  <c r="BC1852" i="2" s="1"/>
  <c r="AY1844" i="2"/>
  <c r="BA1844" i="2"/>
  <c r="BC1844" i="2" s="1"/>
  <c r="AY1828" i="2"/>
  <c r="BA1828" i="2"/>
  <c r="BC1828" i="2" s="1"/>
  <c r="AY1820" i="2"/>
  <c r="BA1820" i="2"/>
  <c r="BC1820" i="2" s="1"/>
  <c r="AY1812" i="2"/>
  <c r="BA1812" i="2"/>
  <c r="BC1812" i="2" s="1"/>
  <c r="AY1804" i="2"/>
  <c r="BA1804" i="2"/>
  <c r="BC1804" i="2" s="1"/>
  <c r="AY1796" i="2"/>
  <c r="BA1796" i="2"/>
  <c r="BC1796" i="2" s="1"/>
  <c r="AY1788" i="2"/>
  <c r="BA1788" i="2"/>
  <c r="BC1788" i="2" s="1"/>
  <c r="AY1780" i="2"/>
  <c r="BA1780" i="2"/>
  <c r="BC1780" i="2" s="1"/>
  <c r="AY1772" i="2"/>
  <c r="BA1772" i="2"/>
  <c r="BC1772" i="2" s="1"/>
  <c r="AY1764" i="2"/>
  <c r="BA1764" i="2"/>
  <c r="BC1764" i="2" s="1"/>
  <c r="AY1756" i="2"/>
  <c r="BA1756" i="2"/>
  <c r="BC1756" i="2" s="1"/>
  <c r="AY1748" i="2"/>
  <c r="BA1748" i="2"/>
  <c r="BC1748" i="2" s="1"/>
  <c r="AY1740" i="2"/>
  <c r="BA1740" i="2"/>
  <c r="BC1740" i="2" s="1"/>
  <c r="AY1732" i="2"/>
  <c r="BA1732" i="2"/>
  <c r="BC1732" i="2" s="1"/>
  <c r="AY1724" i="2"/>
  <c r="BA1724" i="2"/>
  <c r="BC1724" i="2" s="1"/>
  <c r="AY1716" i="2"/>
  <c r="BA1716" i="2"/>
  <c r="BC1716" i="2" s="1"/>
  <c r="AY1708" i="2"/>
  <c r="BA1708" i="2"/>
  <c r="BC1708" i="2" s="1"/>
  <c r="AY1700" i="2"/>
  <c r="BA1700" i="2"/>
  <c r="BC1700" i="2" s="1"/>
  <c r="AY1692" i="2"/>
  <c r="BA1692" i="2"/>
  <c r="BC1692" i="2" s="1"/>
  <c r="AY1684" i="2"/>
  <c r="BA1684" i="2"/>
  <c r="BC1684" i="2" s="1"/>
  <c r="AY1680" i="2"/>
  <c r="BA1680" i="2"/>
  <c r="BC1680" i="2" s="1"/>
  <c r="AY1672" i="2"/>
  <c r="BA1672" i="2"/>
  <c r="BC1672" i="2" s="1"/>
  <c r="AY1664" i="2"/>
  <c r="BA1664" i="2"/>
  <c r="BC1664" i="2" s="1"/>
  <c r="AY1652" i="2"/>
  <c r="BA1652" i="2"/>
  <c r="BC1652" i="2" s="1"/>
  <c r="AY1644" i="2"/>
  <c r="BA1644" i="2"/>
  <c r="BC1644" i="2" s="1"/>
  <c r="AY1636" i="2"/>
  <c r="BA1636" i="2"/>
  <c r="BC1636" i="2" s="1"/>
  <c r="AY1628" i="2"/>
  <c r="BA1628" i="2"/>
  <c r="BC1628" i="2" s="1"/>
  <c r="AY1620" i="2"/>
  <c r="BA1620" i="2"/>
  <c r="BC1620" i="2" s="1"/>
  <c r="AY1612" i="2"/>
  <c r="BA1612" i="2"/>
  <c r="BC1612" i="2" s="1"/>
  <c r="AY1604" i="2"/>
  <c r="BA1604" i="2"/>
  <c r="BC1604" i="2" s="1"/>
  <c r="AY1596" i="2"/>
  <c r="BA1596" i="2"/>
  <c r="BC1596" i="2" s="1"/>
  <c r="AY1588" i="2"/>
  <c r="BA1588" i="2"/>
  <c r="BC1588" i="2" s="1"/>
  <c r="AY1580" i="2"/>
  <c r="BA1580" i="2"/>
  <c r="BC1580" i="2" s="1"/>
  <c r="AY1572" i="2"/>
  <c r="BA1572" i="2"/>
  <c r="BC1572" i="2" s="1"/>
  <c r="AY1564" i="2"/>
  <c r="BA1564" i="2"/>
  <c r="BC1564" i="2" s="1"/>
  <c r="AY1556" i="2"/>
  <c r="BA1556" i="2"/>
  <c r="BC1556" i="2" s="1"/>
  <c r="AY1548" i="2"/>
  <c r="BA1548" i="2"/>
  <c r="BC1548" i="2" s="1"/>
  <c r="AY1540" i="2"/>
  <c r="BA1540" i="2"/>
  <c r="BC1540" i="2" s="1"/>
  <c r="AY1532" i="2"/>
  <c r="BA1532" i="2"/>
  <c r="BC1532" i="2" s="1"/>
  <c r="AY1524" i="2"/>
  <c r="BA1524" i="2"/>
  <c r="BC1524" i="2" s="1"/>
  <c r="AY1516" i="2"/>
  <c r="BA1516" i="2"/>
  <c r="BC1516" i="2" s="1"/>
  <c r="AY1508" i="2"/>
  <c r="BA1508" i="2"/>
  <c r="BC1508" i="2" s="1"/>
  <c r="AY1500" i="2"/>
  <c r="BA1500" i="2"/>
  <c r="BC1500" i="2" s="1"/>
  <c r="AY1492" i="2"/>
  <c r="BA1492" i="2"/>
  <c r="BC1492" i="2" s="1"/>
  <c r="AY1484" i="2"/>
  <c r="BA1484" i="2"/>
  <c r="BC1484" i="2" s="1"/>
  <c r="AY1476" i="2"/>
  <c r="BA1476" i="2"/>
  <c r="BC1476" i="2" s="1"/>
  <c r="AY1468" i="2"/>
  <c r="BA1468" i="2"/>
  <c r="BC1468" i="2" s="1"/>
  <c r="AY1460" i="2"/>
  <c r="BA1460" i="2"/>
  <c r="BC1460" i="2" s="1"/>
  <c r="AY1452" i="2"/>
  <c r="BA1452" i="2"/>
  <c r="BC1452" i="2" s="1"/>
  <c r="AY1444" i="2"/>
  <c r="BA1444" i="2"/>
  <c r="BC1444" i="2" s="1"/>
  <c r="AY1432" i="2"/>
  <c r="BA1432" i="2"/>
  <c r="BC1432" i="2" s="1"/>
  <c r="AY1424" i="2"/>
  <c r="BA1424" i="2"/>
  <c r="BC1424" i="2" s="1"/>
  <c r="AY1416" i="2"/>
  <c r="BA1416" i="2"/>
  <c r="BC1416" i="2" s="1"/>
  <c r="AY1408" i="2"/>
  <c r="BA1408" i="2"/>
  <c r="BC1408" i="2" s="1"/>
  <c r="AY1400" i="2"/>
  <c r="BA1400" i="2"/>
  <c r="BC1400" i="2" s="1"/>
  <c r="AY1392" i="2"/>
  <c r="BA1392" i="2"/>
  <c r="BC1392" i="2" s="1"/>
  <c r="AY1384" i="2"/>
  <c r="BA1384" i="2"/>
  <c r="BC1384" i="2" s="1"/>
  <c r="AY1376" i="2"/>
  <c r="BA1376" i="2"/>
  <c r="BC1376" i="2" s="1"/>
  <c r="AY1368" i="2"/>
  <c r="BA1368" i="2"/>
  <c r="BC1368" i="2" s="1"/>
  <c r="AY1360" i="2"/>
  <c r="BA1360" i="2"/>
  <c r="BC1360" i="2" s="1"/>
  <c r="AY1352" i="2"/>
  <c r="BA1352" i="2"/>
  <c r="BC1352" i="2" s="1"/>
  <c r="AY1336" i="2"/>
  <c r="BA1336" i="2"/>
  <c r="BC1336" i="2" s="1"/>
  <c r="AY1328" i="2"/>
  <c r="BA1328" i="2"/>
  <c r="BC1328" i="2" s="1"/>
  <c r="AY1320" i="2"/>
  <c r="BA1320" i="2"/>
  <c r="BC1320" i="2" s="1"/>
  <c r="AY1312" i="2"/>
  <c r="BA1312" i="2"/>
  <c r="BC1312" i="2" s="1"/>
  <c r="AY1304" i="2"/>
  <c r="BA1304" i="2"/>
  <c r="BC1304" i="2" s="1"/>
  <c r="AY1296" i="2"/>
  <c r="BA1296" i="2"/>
  <c r="BC1296" i="2" s="1"/>
  <c r="AY1288" i="2"/>
  <c r="BA1288" i="2"/>
  <c r="BC1288" i="2" s="1"/>
  <c r="AY1280" i="2"/>
  <c r="BA1280" i="2"/>
  <c r="BC1280" i="2" s="1"/>
  <c r="AY1272" i="2"/>
  <c r="BA1272" i="2"/>
  <c r="BC1272" i="2" s="1"/>
  <c r="AY1264" i="2"/>
  <c r="BA1264" i="2"/>
  <c r="BC1264" i="2" s="1"/>
  <c r="AY1256" i="2"/>
  <c r="BA1256" i="2"/>
  <c r="BC1256" i="2" s="1"/>
  <c r="AY1248" i="2"/>
  <c r="BA1248" i="2"/>
  <c r="BC1248" i="2" s="1"/>
  <c r="AY1240" i="2"/>
  <c r="BA1240" i="2"/>
  <c r="BC1240" i="2" s="1"/>
  <c r="AY1236" i="2"/>
  <c r="BA1236" i="2"/>
  <c r="BC1236" i="2" s="1"/>
  <c r="AY1228" i="2"/>
  <c r="BA1228" i="2"/>
  <c r="BC1228" i="2" s="1"/>
  <c r="AY1220" i="2"/>
  <c r="BA1220" i="2"/>
  <c r="BC1220" i="2" s="1"/>
  <c r="AY1212" i="2"/>
  <c r="BA1212" i="2"/>
  <c r="BC1212" i="2" s="1"/>
  <c r="AY1204" i="2"/>
  <c r="BA1204" i="2"/>
  <c r="BC1204" i="2" s="1"/>
  <c r="AY1196" i="2"/>
  <c r="BA1196" i="2"/>
  <c r="BC1196" i="2" s="1"/>
  <c r="AY1188" i="2"/>
  <c r="BA1188" i="2"/>
  <c r="BC1188" i="2" s="1"/>
  <c r="AY1184" i="2"/>
  <c r="BA1184" i="2"/>
  <c r="BC1184" i="2" s="1"/>
  <c r="AY1180" i="2"/>
  <c r="BA1180" i="2"/>
  <c r="BC1180" i="2" s="1"/>
  <c r="AY1176" i="2"/>
  <c r="BA1176" i="2"/>
  <c r="BC1176" i="2" s="1"/>
  <c r="AY1172" i="2"/>
  <c r="BA1172" i="2"/>
  <c r="BC1172" i="2" s="1"/>
  <c r="AY1168" i="2"/>
  <c r="BA1168" i="2"/>
  <c r="BC1168" i="2" s="1"/>
  <c r="AY1164" i="2"/>
  <c r="BA1164" i="2"/>
  <c r="BC1164" i="2" s="1"/>
  <c r="AY1160" i="2"/>
  <c r="BA1160" i="2"/>
  <c r="BC1160" i="2" s="1"/>
  <c r="AY1156" i="2"/>
  <c r="BA1156" i="2"/>
  <c r="BC1156" i="2" s="1"/>
  <c r="AY1152" i="2"/>
  <c r="BA1152" i="2"/>
  <c r="BC1152" i="2" s="1"/>
  <c r="AY1148" i="2"/>
  <c r="BA1148" i="2"/>
  <c r="BC1148" i="2" s="1"/>
  <c r="AY1144" i="2"/>
  <c r="BA1144" i="2"/>
  <c r="BC1144" i="2" s="1"/>
  <c r="AY1140" i="2"/>
  <c r="BA1140" i="2"/>
  <c r="BC1140" i="2" s="1"/>
  <c r="AY1136" i="2"/>
  <c r="BA1136" i="2"/>
  <c r="BC1136" i="2" s="1"/>
  <c r="AY1132" i="2"/>
  <c r="BA1132" i="2"/>
  <c r="BC1132" i="2" s="1"/>
  <c r="AY1128" i="2"/>
  <c r="BA1128" i="2"/>
  <c r="BC1128" i="2" s="1"/>
  <c r="AY1124" i="2"/>
  <c r="BA1124" i="2"/>
  <c r="BC1124" i="2" s="1"/>
  <c r="AY1120" i="2"/>
  <c r="BA1120" i="2"/>
  <c r="BC1120" i="2" s="1"/>
  <c r="AY1112" i="2"/>
  <c r="BA1112" i="2"/>
  <c r="BC1112" i="2" s="1"/>
  <c r="AY1104" i="2"/>
  <c r="BA1104" i="2"/>
  <c r="BC1104" i="2" s="1"/>
  <c r="AY1096" i="2"/>
  <c r="BA1096" i="2"/>
  <c r="BC1096" i="2" s="1"/>
  <c r="AY1088" i="2"/>
  <c r="BA1088" i="2"/>
  <c r="BC1088" i="2" s="1"/>
  <c r="AY1084" i="2"/>
  <c r="BA1084" i="2"/>
  <c r="BC1084" i="2" s="1"/>
  <c r="AY1076" i="2"/>
  <c r="BA1076" i="2"/>
  <c r="BC1076" i="2" s="1"/>
  <c r="AY1068" i="2"/>
  <c r="BA1068" i="2"/>
  <c r="BC1068" i="2" s="1"/>
  <c r="AY1060" i="2"/>
  <c r="BA1060" i="2"/>
  <c r="BC1060" i="2" s="1"/>
  <c r="AY1052" i="2"/>
  <c r="BA1052" i="2"/>
  <c r="BC1052" i="2" s="1"/>
  <c r="AY1044" i="2"/>
  <c r="BA1044" i="2"/>
  <c r="BC1044" i="2" s="1"/>
  <c r="AY1036" i="2"/>
  <c r="BA1036" i="2"/>
  <c r="BC1036" i="2" s="1"/>
  <c r="AY1028" i="2"/>
  <c r="BA1028" i="2"/>
  <c r="BC1028" i="2" s="1"/>
  <c r="AY1020" i="2"/>
  <c r="BA1020" i="2"/>
  <c r="BC1020" i="2" s="1"/>
  <c r="AY1012" i="2"/>
  <c r="BA1012" i="2"/>
  <c r="BC1012" i="2" s="1"/>
  <c r="AY1004" i="2"/>
  <c r="BA1004" i="2"/>
  <c r="BC1004" i="2" s="1"/>
  <c r="AY996" i="2"/>
  <c r="BA996" i="2"/>
  <c r="BC996" i="2" s="1"/>
  <c r="AY988" i="2"/>
  <c r="BA988" i="2"/>
  <c r="BC988" i="2" s="1"/>
  <c r="AY980" i="2"/>
  <c r="BA980" i="2"/>
  <c r="BC980" i="2" s="1"/>
  <c r="AY972" i="2"/>
  <c r="BA972" i="2"/>
  <c r="BC972" i="2" s="1"/>
  <c r="AY964" i="2"/>
  <c r="BA964" i="2"/>
  <c r="BC964" i="2" s="1"/>
  <c r="AY956" i="2"/>
  <c r="BA956" i="2"/>
  <c r="BC956" i="2" s="1"/>
  <c r="AY948" i="2"/>
  <c r="BA948" i="2"/>
  <c r="BC948" i="2" s="1"/>
  <c r="AY940" i="2"/>
  <c r="BA940" i="2"/>
  <c r="BC940" i="2" s="1"/>
  <c r="AY932" i="2"/>
  <c r="BA932" i="2"/>
  <c r="BC932" i="2" s="1"/>
  <c r="AY924" i="2"/>
  <c r="BA924" i="2"/>
  <c r="BC924" i="2" s="1"/>
  <c r="AY916" i="2"/>
  <c r="BA916" i="2"/>
  <c r="BC916" i="2" s="1"/>
  <c r="AY908" i="2"/>
  <c r="BA908" i="2"/>
  <c r="BC908" i="2" s="1"/>
  <c r="AY900" i="2"/>
  <c r="BA900" i="2"/>
  <c r="BC900" i="2" s="1"/>
  <c r="AY892" i="2"/>
  <c r="BA892" i="2"/>
  <c r="BC892" i="2" s="1"/>
  <c r="AY884" i="2"/>
  <c r="BA884" i="2"/>
  <c r="BC884" i="2" s="1"/>
  <c r="AY876" i="2"/>
  <c r="BA876" i="2"/>
  <c r="BC876" i="2" s="1"/>
  <c r="AY868" i="2"/>
  <c r="BA868" i="2"/>
  <c r="BC868" i="2" s="1"/>
  <c r="AY860" i="2"/>
  <c r="BA860" i="2"/>
  <c r="BC860" i="2" s="1"/>
  <c r="AY852" i="2"/>
  <c r="BA852" i="2"/>
  <c r="BC852" i="2" s="1"/>
  <c r="AY844" i="2"/>
  <c r="BA844" i="2"/>
  <c r="BC844" i="2" s="1"/>
  <c r="AY836" i="2"/>
  <c r="BA836" i="2"/>
  <c r="BC836" i="2" s="1"/>
  <c r="AY828" i="2"/>
  <c r="BA828" i="2"/>
  <c r="BC828" i="2" s="1"/>
  <c r="AY820" i="2"/>
  <c r="BA820" i="2"/>
  <c r="BC820" i="2" s="1"/>
  <c r="AY812" i="2"/>
  <c r="BA812" i="2"/>
  <c r="BC812" i="2" s="1"/>
  <c r="AY804" i="2"/>
  <c r="BA804" i="2"/>
  <c r="BC804" i="2" s="1"/>
  <c r="AY796" i="2"/>
  <c r="BA796" i="2"/>
  <c r="BC796" i="2" s="1"/>
  <c r="AY788" i="2"/>
  <c r="BA788" i="2"/>
  <c r="BC788" i="2" s="1"/>
  <c r="AY780" i="2"/>
  <c r="BA780" i="2"/>
  <c r="BC780" i="2" s="1"/>
  <c r="AY772" i="2"/>
  <c r="BA772" i="2"/>
  <c r="BC772" i="2" s="1"/>
  <c r="AY764" i="2"/>
  <c r="BA764" i="2"/>
  <c r="BC764" i="2" s="1"/>
  <c r="AY756" i="2"/>
  <c r="BA756" i="2"/>
  <c r="BC756" i="2" s="1"/>
  <c r="AY748" i="2"/>
  <c r="BA748" i="2"/>
  <c r="BC748" i="2" s="1"/>
  <c r="AY740" i="2"/>
  <c r="BA740" i="2"/>
  <c r="BC740" i="2" s="1"/>
  <c r="AY732" i="2"/>
  <c r="BA732" i="2"/>
  <c r="BC732" i="2" s="1"/>
  <c r="AY724" i="2"/>
  <c r="BA724" i="2"/>
  <c r="BC724" i="2" s="1"/>
  <c r="AY716" i="2"/>
  <c r="BA716" i="2"/>
  <c r="BC716" i="2" s="1"/>
  <c r="AY712" i="2"/>
  <c r="BA712" i="2"/>
  <c r="BC712" i="2" s="1"/>
  <c r="AY704" i="2"/>
  <c r="BA704" i="2"/>
  <c r="BC704" i="2" s="1"/>
  <c r="AY696" i="2"/>
  <c r="BA696" i="2"/>
  <c r="BC696" i="2" s="1"/>
  <c r="AY688" i="2"/>
  <c r="BA688" i="2"/>
  <c r="BC688" i="2" s="1"/>
  <c r="AY680" i="2"/>
  <c r="BA680" i="2"/>
  <c r="BC680" i="2" s="1"/>
  <c r="AY672" i="2"/>
  <c r="BA672" i="2"/>
  <c r="BC672" i="2" s="1"/>
  <c r="AY664" i="2"/>
  <c r="BA664" i="2"/>
  <c r="BC664" i="2" s="1"/>
  <c r="AY656" i="2"/>
  <c r="BA656" i="2"/>
  <c r="BC656" i="2" s="1"/>
  <c r="AY648" i="2"/>
  <c r="BA648" i="2"/>
  <c r="BC648" i="2" s="1"/>
  <c r="AY640" i="2"/>
  <c r="BA640" i="2"/>
  <c r="BC640" i="2" s="1"/>
  <c r="AY632" i="2"/>
  <c r="BA632" i="2"/>
  <c r="BC632" i="2" s="1"/>
  <c r="AY624" i="2"/>
  <c r="BA624" i="2"/>
  <c r="BC624" i="2" s="1"/>
  <c r="AY616" i="2"/>
  <c r="BA616" i="2"/>
  <c r="BC616" i="2" s="1"/>
  <c r="AY612" i="2"/>
  <c r="BA612" i="2"/>
  <c r="BC612" i="2" s="1"/>
  <c r="AY604" i="2"/>
  <c r="BA604" i="2"/>
  <c r="BC604" i="2" s="1"/>
  <c r="AY596" i="2"/>
  <c r="BA596" i="2"/>
  <c r="BC596" i="2" s="1"/>
  <c r="AY588" i="2"/>
  <c r="BA588" i="2"/>
  <c r="BC588" i="2" s="1"/>
  <c r="AY580" i="2"/>
  <c r="BA580" i="2"/>
  <c r="BC580" i="2" s="1"/>
  <c r="AY572" i="2"/>
  <c r="BA572" i="2"/>
  <c r="BC572" i="2" s="1"/>
  <c r="AY564" i="2"/>
  <c r="BA564" i="2"/>
  <c r="BC564" i="2" s="1"/>
  <c r="AY556" i="2"/>
  <c r="BA556" i="2"/>
  <c r="BC556" i="2" s="1"/>
  <c r="AY548" i="2"/>
  <c r="BA548" i="2"/>
  <c r="BC548" i="2" s="1"/>
  <c r="AY540" i="2"/>
  <c r="BA540" i="2"/>
  <c r="BC540" i="2" s="1"/>
  <c r="AY532" i="2"/>
  <c r="BA532" i="2"/>
  <c r="BC532" i="2" s="1"/>
  <c r="AY524" i="2"/>
  <c r="BA524" i="2"/>
  <c r="BC524" i="2" s="1"/>
  <c r="AY516" i="2"/>
  <c r="BA516" i="2"/>
  <c r="BC516" i="2" s="1"/>
  <c r="AY508" i="2"/>
  <c r="BA508" i="2"/>
  <c r="BC508" i="2" s="1"/>
  <c r="AY500" i="2"/>
  <c r="BA500" i="2"/>
  <c r="BC500" i="2" s="1"/>
  <c r="AY492" i="2"/>
  <c r="BA492" i="2"/>
  <c r="BC492" i="2" s="1"/>
  <c r="AY484" i="2"/>
  <c r="BA484" i="2"/>
  <c r="BC484" i="2" s="1"/>
  <c r="AY476" i="2"/>
  <c r="BA476" i="2"/>
  <c r="BC476" i="2" s="1"/>
  <c r="AY468" i="2"/>
  <c r="BA468" i="2"/>
  <c r="BC468" i="2" s="1"/>
  <c r="AY460" i="2"/>
  <c r="BA460" i="2"/>
  <c r="BC460" i="2" s="1"/>
  <c r="AY452" i="2"/>
  <c r="BA452" i="2"/>
  <c r="BC452" i="2" s="1"/>
  <c r="AY444" i="2"/>
  <c r="BA444" i="2"/>
  <c r="BC444" i="2" s="1"/>
  <c r="AY436" i="2"/>
  <c r="BA436" i="2"/>
  <c r="BC436" i="2" s="1"/>
  <c r="AY428" i="2"/>
  <c r="BA428" i="2"/>
  <c r="BC428" i="2" s="1"/>
  <c r="AY420" i="2"/>
  <c r="BA420" i="2"/>
  <c r="BC420" i="2" s="1"/>
  <c r="AY412" i="2"/>
  <c r="BA412" i="2"/>
  <c r="BC412" i="2" s="1"/>
  <c r="AY404" i="2"/>
  <c r="BA404" i="2"/>
  <c r="BC404" i="2" s="1"/>
  <c r="AY396" i="2"/>
  <c r="BA396" i="2"/>
  <c r="BC396" i="2" s="1"/>
  <c r="AY388" i="2"/>
  <c r="BA388" i="2"/>
  <c r="BC388" i="2" s="1"/>
  <c r="AY380" i="2"/>
  <c r="BA380" i="2"/>
  <c r="BC380" i="2" s="1"/>
  <c r="AY372" i="2"/>
  <c r="BA372" i="2"/>
  <c r="BC372" i="2" s="1"/>
  <c r="AY364" i="2"/>
  <c r="BA364" i="2"/>
  <c r="BC364" i="2" s="1"/>
  <c r="AY356" i="2"/>
  <c r="BA356" i="2"/>
  <c r="BC356" i="2" s="1"/>
  <c r="AY348" i="2"/>
  <c r="BA348" i="2"/>
  <c r="BC348" i="2" s="1"/>
  <c r="AY340" i="2"/>
  <c r="BA340" i="2"/>
  <c r="BC340" i="2" s="1"/>
  <c r="AY332" i="2"/>
  <c r="BA332" i="2"/>
  <c r="BC332" i="2" s="1"/>
  <c r="AY324" i="2"/>
  <c r="BA324" i="2"/>
  <c r="BC324" i="2" s="1"/>
  <c r="AY316" i="2"/>
  <c r="BA316" i="2"/>
  <c r="BC316" i="2" s="1"/>
  <c r="AY308" i="2"/>
  <c r="BA308" i="2"/>
  <c r="BC308" i="2" s="1"/>
  <c r="AY300" i="2"/>
  <c r="BA300" i="2"/>
  <c r="BC300" i="2" s="1"/>
  <c r="AY292" i="2"/>
  <c r="BA292" i="2"/>
  <c r="BC292" i="2" s="1"/>
  <c r="AY284" i="2"/>
  <c r="BA284" i="2"/>
  <c r="BC284" i="2" s="1"/>
  <c r="AY276" i="2"/>
  <c r="BA276" i="2"/>
  <c r="BC276" i="2" s="1"/>
  <c r="AY268" i="2"/>
  <c r="BA268" i="2"/>
  <c r="BC268" i="2" s="1"/>
  <c r="AY260" i="2"/>
  <c r="BA260" i="2"/>
  <c r="BC260" i="2" s="1"/>
  <c r="AY252" i="2"/>
  <c r="BA252" i="2"/>
  <c r="BC252" i="2" s="1"/>
  <c r="AY244" i="2"/>
  <c r="BA244" i="2"/>
  <c r="BC244" i="2" s="1"/>
  <c r="AY236" i="2"/>
  <c r="BA236" i="2"/>
  <c r="BC236" i="2" s="1"/>
  <c r="AY228" i="2"/>
  <c r="BA228" i="2"/>
  <c r="BC228" i="2" s="1"/>
  <c r="AY220" i="2"/>
  <c r="BA220" i="2"/>
  <c r="BC220" i="2" s="1"/>
  <c r="AY212" i="2"/>
  <c r="BA212" i="2"/>
  <c r="BC212" i="2" s="1"/>
  <c r="AY204" i="2"/>
  <c r="BA204" i="2"/>
  <c r="BC204" i="2" s="1"/>
  <c r="AY196" i="2"/>
  <c r="BA196" i="2"/>
  <c r="BC196" i="2" s="1"/>
  <c r="AY188" i="2"/>
  <c r="BA188" i="2"/>
  <c r="BC188" i="2" s="1"/>
  <c r="AY180" i="2"/>
  <c r="BA180" i="2"/>
  <c r="BC180" i="2" s="1"/>
  <c r="AY172" i="2"/>
  <c r="BA172" i="2"/>
  <c r="BC172" i="2" s="1"/>
  <c r="AY164" i="2"/>
  <c r="BA164" i="2"/>
  <c r="BC164" i="2" s="1"/>
  <c r="AY156" i="2"/>
  <c r="BA156" i="2"/>
  <c r="BC156" i="2" s="1"/>
  <c r="AY148" i="2"/>
  <c r="BA148" i="2"/>
  <c r="BC148" i="2" s="1"/>
  <c r="AY136" i="2"/>
  <c r="BA136" i="2"/>
  <c r="BC136" i="2" s="1"/>
  <c r="AY128" i="2"/>
  <c r="BA128" i="2"/>
  <c r="BC128" i="2" s="1"/>
  <c r="AY120" i="2"/>
  <c r="BA120" i="2"/>
  <c r="BC120" i="2" s="1"/>
  <c r="AY112" i="2"/>
  <c r="BA112" i="2"/>
  <c r="BC112" i="2" s="1"/>
  <c r="AY104" i="2"/>
  <c r="BA104" i="2"/>
  <c r="BC104" i="2" s="1"/>
  <c r="AY96" i="2"/>
  <c r="BA96" i="2"/>
  <c r="BC96" i="2" s="1"/>
  <c r="AY88" i="2"/>
  <c r="BA88" i="2"/>
  <c r="BC88" i="2" s="1"/>
  <c r="AY76" i="2"/>
  <c r="BA76" i="2"/>
  <c r="BC76" i="2" s="1"/>
  <c r="AY68" i="2"/>
  <c r="BA68" i="2"/>
  <c r="BC68" i="2" s="1"/>
  <c r="AY60" i="2"/>
  <c r="BA60" i="2"/>
  <c r="BC60" i="2" s="1"/>
  <c r="AY52" i="2"/>
  <c r="BA52" i="2"/>
  <c r="BC52" i="2" s="1"/>
  <c r="AY2131" i="2"/>
  <c r="BA2131" i="2"/>
  <c r="BC2131" i="2" s="1"/>
  <c r="AY2127" i="2"/>
  <c r="BA2127" i="2"/>
  <c r="BC2127" i="2" s="1"/>
  <c r="AY2123" i="2"/>
  <c r="BA2123" i="2"/>
  <c r="BC2123" i="2" s="1"/>
  <c r="AY2119" i="2"/>
  <c r="BA2119" i="2"/>
  <c r="BC2119" i="2" s="1"/>
  <c r="AY2115" i="2"/>
  <c r="BA2115" i="2"/>
  <c r="BC2115" i="2" s="1"/>
  <c r="AY2111" i="2"/>
  <c r="BA2111" i="2"/>
  <c r="BC2111" i="2" s="1"/>
  <c r="AY2107" i="2"/>
  <c r="BA2107" i="2"/>
  <c r="BC2107" i="2" s="1"/>
  <c r="AY2103" i="2"/>
  <c r="BA2103" i="2"/>
  <c r="BC2103" i="2" s="1"/>
  <c r="AY2099" i="2"/>
  <c r="BA2099" i="2"/>
  <c r="BC2099" i="2" s="1"/>
  <c r="AY2095" i="2"/>
  <c r="BA2095" i="2"/>
  <c r="BC2095" i="2" s="1"/>
  <c r="AY2091" i="2"/>
  <c r="BA2091" i="2"/>
  <c r="BC2091" i="2" s="1"/>
  <c r="AY2087" i="2"/>
  <c r="BA2087" i="2"/>
  <c r="BC2087" i="2" s="1"/>
  <c r="AY2083" i="2"/>
  <c r="BA2083" i="2"/>
  <c r="BC2083" i="2" s="1"/>
  <c r="AY2079" i="2"/>
  <c r="BA2079" i="2"/>
  <c r="BC2079" i="2" s="1"/>
  <c r="AY2075" i="2"/>
  <c r="BA2075" i="2"/>
  <c r="BC2075" i="2" s="1"/>
  <c r="AY2071" i="2"/>
  <c r="BA2071" i="2"/>
  <c r="BC2071" i="2" s="1"/>
  <c r="AY2067" i="2"/>
  <c r="BA2067" i="2"/>
  <c r="BC2067" i="2" s="1"/>
  <c r="AY2063" i="2"/>
  <c r="BA2063" i="2"/>
  <c r="BC2063" i="2" s="1"/>
  <c r="AY2059" i="2"/>
  <c r="BA2059" i="2"/>
  <c r="BC2059" i="2" s="1"/>
  <c r="AY2055" i="2"/>
  <c r="BA2055" i="2"/>
  <c r="BC2055" i="2" s="1"/>
  <c r="AY2051" i="2"/>
  <c r="BA2051" i="2"/>
  <c r="BC2051" i="2" s="1"/>
  <c r="AY2047" i="2"/>
  <c r="BA2047" i="2"/>
  <c r="BC2047" i="2" s="1"/>
  <c r="AY2043" i="2"/>
  <c r="BA2043" i="2"/>
  <c r="BC2043" i="2" s="1"/>
  <c r="AY2039" i="2"/>
  <c r="BA2039" i="2"/>
  <c r="BC2039" i="2" s="1"/>
  <c r="AY2035" i="2"/>
  <c r="BA2035" i="2"/>
  <c r="BC2035" i="2" s="1"/>
  <c r="AY2031" i="2"/>
  <c r="BA2031" i="2"/>
  <c r="BC2031" i="2" s="1"/>
  <c r="AY2027" i="2"/>
  <c r="BA2027" i="2"/>
  <c r="BC2027" i="2" s="1"/>
  <c r="AY2023" i="2"/>
  <c r="BA2023" i="2"/>
  <c r="BC2023" i="2" s="1"/>
  <c r="AY2019" i="2"/>
  <c r="BA2019" i="2"/>
  <c r="BC2019" i="2" s="1"/>
  <c r="AY2015" i="2"/>
  <c r="BA2015" i="2"/>
  <c r="BC2015" i="2" s="1"/>
  <c r="AY2011" i="2"/>
  <c r="BA2011" i="2"/>
  <c r="BC2011" i="2" s="1"/>
  <c r="AY2007" i="2"/>
  <c r="BA2007" i="2"/>
  <c r="BC2007" i="2" s="1"/>
  <c r="AY2003" i="2"/>
  <c r="BA2003" i="2"/>
  <c r="BC2003" i="2" s="1"/>
  <c r="AY1999" i="2"/>
  <c r="BA1999" i="2"/>
  <c r="BC1999" i="2" s="1"/>
  <c r="AY1995" i="2"/>
  <c r="BA1995" i="2"/>
  <c r="BC1995" i="2" s="1"/>
  <c r="AY1991" i="2"/>
  <c r="BA1991" i="2"/>
  <c r="BC1991" i="2" s="1"/>
  <c r="AY1987" i="2"/>
  <c r="BA1987" i="2"/>
  <c r="BC1987" i="2" s="1"/>
  <c r="AY1983" i="2"/>
  <c r="BA1983" i="2"/>
  <c r="BC1983" i="2" s="1"/>
  <c r="AY1979" i="2"/>
  <c r="BA1979" i="2"/>
  <c r="BC1979" i="2" s="1"/>
  <c r="AY1975" i="2"/>
  <c r="BA1975" i="2"/>
  <c r="BC1975" i="2" s="1"/>
  <c r="AY1971" i="2"/>
  <c r="BA1971" i="2"/>
  <c r="BC1971" i="2" s="1"/>
  <c r="AY1967" i="2"/>
  <c r="BA1967" i="2"/>
  <c r="BC1967" i="2" s="1"/>
  <c r="AY1963" i="2"/>
  <c r="BA1963" i="2"/>
  <c r="BC1963" i="2" s="1"/>
  <c r="AY1959" i="2"/>
  <c r="BA1959" i="2"/>
  <c r="BC1959" i="2" s="1"/>
  <c r="AY1955" i="2"/>
  <c r="BA1955" i="2"/>
  <c r="BC1955" i="2" s="1"/>
  <c r="AY1951" i="2"/>
  <c r="BA1951" i="2"/>
  <c r="BC1951" i="2" s="1"/>
  <c r="AY1947" i="2"/>
  <c r="BA1947" i="2"/>
  <c r="BC1947" i="2" s="1"/>
  <c r="AY1943" i="2"/>
  <c r="BA1943" i="2"/>
  <c r="BC1943" i="2" s="1"/>
  <c r="AY1939" i="2"/>
  <c r="BA1939" i="2"/>
  <c r="BC1939" i="2" s="1"/>
  <c r="AY1935" i="2"/>
  <c r="BA1935" i="2"/>
  <c r="BC1935" i="2" s="1"/>
  <c r="AY1931" i="2"/>
  <c r="BA1931" i="2"/>
  <c r="BC1931" i="2" s="1"/>
  <c r="AY1927" i="2"/>
  <c r="BA1927" i="2"/>
  <c r="BC1927" i="2" s="1"/>
  <c r="AY1923" i="2"/>
  <c r="BA1923" i="2"/>
  <c r="BC1923" i="2" s="1"/>
  <c r="AY1919" i="2"/>
  <c r="BA1919" i="2"/>
  <c r="BC1919" i="2" s="1"/>
  <c r="AY1915" i="2"/>
  <c r="BA1915" i="2"/>
  <c r="BC1915" i="2" s="1"/>
  <c r="AY1911" i="2"/>
  <c r="BA1911" i="2"/>
  <c r="BC1911" i="2" s="1"/>
  <c r="AY1907" i="2"/>
  <c r="BA1907" i="2"/>
  <c r="BC1907" i="2" s="1"/>
  <c r="AY1903" i="2"/>
  <c r="BA1903" i="2"/>
  <c r="BC1903" i="2" s="1"/>
  <c r="AY1899" i="2"/>
  <c r="BA1899" i="2"/>
  <c r="BC1899" i="2" s="1"/>
  <c r="AY1895" i="2"/>
  <c r="BA1895" i="2"/>
  <c r="BC1895" i="2" s="1"/>
  <c r="AY1891" i="2"/>
  <c r="BA1891" i="2"/>
  <c r="BC1891" i="2" s="1"/>
  <c r="AY1887" i="2"/>
  <c r="BA1887" i="2"/>
  <c r="BC1887" i="2" s="1"/>
  <c r="AY1883" i="2"/>
  <c r="BA1883" i="2"/>
  <c r="BC1883" i="2" s="1"/>
  <c r="AY1879" i="2"/>
  <c r="BA1879" i="2"/>
  <c r="BC1879" i="2" s="1"/>
  <c r="AY1875" i="2"/>
  <c r="BA1875" i="2"/>
  <c r="BC1875" i="2" s="1"/>
  <c r="AY1871" i="2"/>
  <c r="BA1871" i="2"/>
  <c r="BC1871" i="2" s="1"/>
  <c r="AY1867" i="2"/>
  <c r="BA1867" i="2"/>
  <c r="BC1867" i="2" s="1"/>
  <c r="AY1863" i="2"/>
  <c r="BA1863" i="2"/>
  <c r="BC1863" i="2" s="1"/>
  <c r="AY1859" i="2"/>
  <c r="BA1859" i="2"/>
  <c r="BC1859" i="2" s="1"/>
  <c r="AY1855" i="2"/>
  <c r="BA1855" i="2"/>
  <c r="BC1855" i="2" s="1"/>
  <c r="AY1851" i="2"/>
  <c r="BA1851" i="2"/>
  <c r="BC1851" i="2" s="1"/>
  <c r="AY1847" i="2"/>
  <c r="BA1847" i="2"/>
  <c r="BC1847" i="2" s="1"/>
  <c r="AY1843" i="2"/>
  <c r="BA1843" i="2"/>
  <c r="BC1843" i="2" s="1"/>
  <c r="AY1839" i="2"/>
  <c r="BA1839" i="2"/>
  <c r="BC1839" i="2" s="1"/>
  <c r="AY1835" i="2"/>
  <c r="BA1835" i="2"/>
  <c r="BC1835" i="2" s="1"/>
  <c r="AY1831" i="2"/>
  <c r="BA1831" i="2"/>
  <c r="BC1831" i="2" s="1"/>
  <c r="AY1827" i="2"/>
  <c r="BA1827" i="2"/>
  <c r="BC1827" i="2" s="1"/>
  <c r="AY1823" i="2"/>
  <c r="BA1823" i="2"/>
  <c r="BC1823" i="2" s="1"/>
  <c r="AY1819" i="2"/>
  <c r="BA1819" i="2"/>
  <c r="BC1819" i="2" s="1"/>
  <c r="AY1815" i="2"/>
  <c r="BA1815" i="2"/>
  <c r="BC1815" i="2" s="1"/>
  <c r="AY1811" i="2"/>
  <c r="BA1811" i="2"/>
  <c r="BC1811" i="2" s="1"/>
  <c r="AY1807" i="2"/>
  <c r="BA1807" i="2"/>
  <c r="BC1807" i="2" s="1"/>
  <c r="AY1803" i="2"/>
  <c r="BA1803" i="2"/>
  <c r="BC1803" i="2" s="1"/>
  <c r="AY1799" i="2"/>
  <c r="BA1799" i="2"/>
  <c r="BC1799" i="2" s="1"/>
  <c r="AY1795" i="2"/>
  <c r="BA1795" i="2"/>
  <c r="BC1795" i="2" s="1"/>
  <c r="AY1791" i="2"/>
  <c r="BA1791" i="2"/>
  <c r="BC1791" i="2" s="1"/>
  <c r="AY1787" i="2"/>
  <c r="BA1787" i="2"/>
  <c r="BC1787" i="2" s="1"/>
  <c r="AY1783" i="2"/>
  <c r="BA1783" i="2"/>
  <c r="BC1783" i="2" s="1"/>
  <c r="AY1779" i="2"/>
  <c r="BA1779" i="2"/>
  <c r="BC1779" i="2" s="1"/>
  <c r="AY1775" i="2"/>
  <c r="BA1775" i="2"/>
  <c r="BC1775" i="2" s="1"/>
  <c r="AY1771" i="2"/>
  <c r="BA1771" i="2"/>
  <c r="BC1771" i="2" s="1"/>
  <c r="AY1767" i="2"/>
  <c r="BA1767" i="2"/>
  <c r="BC1767" i="2" s="1"/>
  <c r="AY1763" i="2"/>
  <c r="BA1763" i="2"/>
  <c r="BC1763" i="2" s="1"/>
  <c r="AY1759" i="2"/>
  <c r="BA1759" i="2"/>
  <c r="BC1759" i="2" s="1"/>
  <c r="AY1755" i="2"/>
  <c r="BA1755" i="2"/>
  <c r="BC1755" i="2" s="1"/>
  <c r="AY1751" i="2"/>
  <c r="BA1751" i="2"/>
  <c r="BC1751" i="2" s="1"/>
  <c r="AY1747" i="2"/>
  <c r="BA1747" i="2"/>
  <c r="BC1747" i="2" s="1"/>
  <c r="AY1743" i="2"/>
  <c r="BA1743" i="2"/>
  <c r="BC1743" i="2" s="1"/>
  <c r="AY1739" i="2"/>
  <c r="BA1739" i="2"/>
  <c r="BC1739" i="2" s="1"/>
  <c r="AY1735" i="2"/>
  <c r="BA1735" i="2"/>
  <c r="BC1735" i="2" s="1"/>
  <c r="AY1731" i="2"/>
  <c r="BA1731" i="2"/>
  <c r="BC1731" i="2" s="1"/>
  <c r="AY1727" i="2"/>
  <c r="BA1727" i="2"/>
  <c r="BC1727" i="2" s="1"/>
  <c r="AY1723" i="2"/>
  <c r="BA1723" i="2"/>
  <c r="BC1723" i="2" s="1"/>
  <c r="AY1719" i="2"/>
  <c r="BA1719" i="2"/>
  <c r="BC1719" i="2" s="1"/>
  <c r="AY1715" i="2"/>
  <c r="BA1715" i="2"/>
  <c r="BC1715" i="2" s="1"/>
  <c r="AY1711" i="2"/>
  <c r="BA1711" i="2"/>
  <c r="BC1711" i="2" s="1"/>
  <c r="AY1707" i="2"/>
  <c r="BA1707" i="2"/>
  <c r="BC1707" i="2" s="1"/>
  <c r="AY1703" i="2"/>
  <c r="BA1703" i="2"/>
  <c r="BC1703" i="2" s="1"/>
  <c r="AY1699" i="2"/>
  <c r="BA1699" i="2"/>
  <c r="BC1699" i="2" s="1"/>
  <c r="AY1695" i="2"/>
  <c r="BA1695" i="2"/>
  <c r="BC1695" i="2" s="1"/>
  <c r="AY1691" i="2"/>
  <c r="BA1691" i="2"/>
  <c r="BC1691" i="2" s="1"/>
  <c r="AY1687" i="2"/>
  <c r="BA1687" i="2"/>
  <c r="BC1687" i="2" s="1"/>
  <c r="AY1683" i="2"/>
  <c r="BA1683" i="2"/>
  <c r="BC1683" i="2" s="1"/>
  <c r="AY1679" i="2"/>
  <c r="BA1679" i="2"/>
  <c r="BC1679" i="2" s="1"/>
  <c r="AY1675" i="2"/>
  <c r="BA1675" i="2"/>
  <c r="BC1675" i="2" s="1"/>
  <c r="AY1671" i="2"/>
  <c r="BA1671" i="2"/>
  <c r="BC1671" i="2" s="1"/>
  <c r="AY1667" i="2"/>
  <c r="BA1667" i="2"/>
  <c r="BC1667" i="2" s="1"/>
  <c r="AY1663" i="2"/>
  <c r="BA1663" i="2"/>
  <c r="BC1663" i="2" s="1"/>
  <c r="AY1659" i="2"/>
  <c r="BA1659" i="2"/>
  <c r="BC1659" i="2" s="1"/>
  <c r="AY1655" i="2"/>
  <c r="BA1655" i="2"/>
  <c r="BC1655" i="2" s="1"/>
  <c r="AY1651" i="2"/>
  <c r="BA1651" i="2"/>
  <c r="BC1651" i="2" s="1"/>
  <c r="AY1647" i="2"/>
  <c r="BA1647" i="2"/>
  <c r="BC1647" i="2" s="1"/>
  <c r="AY1643" i="2"/>
  <c r="BA1643" i="2"/>
  <c r="BC1643" i="2" s="1"/>
  <c r="AY1639" i="2"/>
  <c r="BA1639" i="2"/>
  <c r="BC1639" i="2" s="1"/>
  <c r="AY1635" i="2"/>
  <c r="BA1635" i="2"/>
  <c r="BC1635" i="2" s="1"/>
  <c r="AY1631" i="2"/>
  <c r="BA1631" i="2"/>
  <c r="BC1631" i="2" s="1"/>
  <c r="AY1627" i="2"/>
  <c r="BA1627" i="2"/>
  <c r="BC1627" i="2" s="1"/>
  <c r="AY1623" i="2"/>
  <c r="BA1623" i="2"/>
  <c r="BC1623" i="2" s="1"/>
  <c r="AY1619" i="2"/>
  <c r="BA1619" i="2"/>
  <c r="BC1619" i="2" s="1"/>
  <c r="AY1615" i="2"/>
  <c r="BA1615" i="2"/>
  <c r="BC1615" i="2" s="1"/>
  <c r="AY1611" i="2"/>
  <c r="BA1611" i="2"/>
  <c r="BC1611" i="2" s="1"/>
  <c r="AY1607" i="2"/>
  <c r="BA1607" i="2"/>
  <c r="BC1607" i="2" s="1"/>
  <c r="AY1603" i="2"/>
  <c r="BA1603" i="2"/>
  <c r="BC1603" i="2" s="1"/>
  <c r="AY1599" i="2"/>
  <c r="BA1599" i="2"/>
  <c r="BC1599" i="2" s="1"/>
  <c r="AY1595" i="2"/>
  <c r="BA1595" i="2"/>
  <c r="BC1595" i="2" s="1"/>
  <c r="AY1591" i="2"/>
  <c r="BA1591" i="2"/>
  <c r="BC1591" i="2" s="1"/>
  <c r="AY1587" i="2"/>
  <c r="BA1587" i="2"/>
  <c r="BC1587" i="2" s="1"/>
  <c r="AY1583" i="2"/>
  <c r="BA1583" i="2"/>
  <c r="BC1583" i="2" s="1"/>
  <c r="AY1579" i="2"/>
  <c r="BA1579" i="2"/>
  <c r="BC1579" i="2" s="1"/>
  <c r="AY1575" i="2"/>
  <c r="BA1575" i="2"/>
  <c r="BC1575" i="2" s="1"/>
  <c r="AY1571" i="2"/>
  <c r="BA1571" i="2"/>
  <c r="BC1571" i="2" s="1"/>
  <c r="AY1567" i="2"/>
  <c r="BA1567" i="2"/>
  <c r="BC1567" i="2" s="1"/>
  <c r="AY1563" i="2"/>
  <c r="BA1563" i="2"/>
  <c r="BC1563" i="2" s="1"/>
  <c r="AY1559" i="2"/>
  <c r="BA1559" i="2"/>
  <c r="BC1559" i="2" s="1"/>
  <c r="AY1555" i="2"/>
  <c r="BA1555" i="2"/>
  <c r="BC1555" i="2" s="1"/>
  <c r="AY1551" i="2"/>
  <c r="BA1551" i="2"/>
  <c r="BC1551" i="2" s="1"/>
  <c r="AY1547" i="2"/>
  <c r="BA1547" i="2"/>
  <c r="BC1547" i="2" s="1"/>
  <c r="AY1543" i="2"/>
  <c r="BA1543" i="2"/>
  <c r="BC1543" i="2" s="1"/>
  <c r="AY1539" i="2"/>
  <c r="BA1539" i="2"/>
  <c r="BC1539" i="2" s="1"/>
  <c r="AY1535" i="2"/>
  <c r="BA1535" i="2"/>
  <c r="BC1535" i="2" s="1"/>
  <c r="AY1531" i="2"/>
  <c r="BA1531" i="2"/>
  <c r="BC1531" i="2" s="1"/>
  <c r="AY1527" i="2"/>
  <c r="BA1527" i="2"/>
  <c r="BC1527" i="2" s="1"/>
  <c r="AY1523" i="2"/>
  <c r="BA1523" i="2"/>
  <c r="BC1523" i="2" s="1"/>
  <c r="AY1519" i="2"/>
  <c r="BA1519" i="2"/>
  <c r="BC1519" i="2" s="1"/>
  <c r="AY1515" i="2"/>
  <c r="BA1515" i="2"/>
  <c r="BC1515" i="2" s="1"/>
  <c r="AY1511" i="2"/>
  <c r="BA1511" i="2"/>
  <c r="BC1511" i="2" s="1"/>
  <c r="AY1507" i="2"/>
  <c r="BA1507" i="2"/>
  <c r="BC1507" i="2" s="1"/>
  <c r="AY1503" i="2"/>
  <c r="BA1503" i="2"/>
  <c r="BC1503" i="2" s="1"/>
  <c r="AY1499" i="2"/>
  <c r="BA1499" i="2"/>
  <c r="BC1499" i="2" s="1"/>
  <c r="AY1495" i="2"/>
  <c r="BA1495" i="2"/>
  <c r="BC1495" i="2" s="1"/>
  <c r="AY1491" i="2"/>
  <c r="BA1491" i="2"/>
  <c r="BC1491" i="2" s="1"/>
  <c r="AY1487" i="2"/>
  <c r="BA1487" i="2"/>
  <c r="BC1487" i="2" s="1"/>
  <c r="AY1483" i="2"/>
  <c r="BA1483" i="2"/>
  <c r="BC1483" i="2" s="1"/>
  <c r="AY1479" i="2"/>
  <c r="BA1479" i="2"/>
  <c r="BC1479" i="2" s="1"/>
  <c r="AY1475" i="2"/>
  <c r="BA1475" i="2"/>
  <c r="BC1475" i="2" s="1"/>
  <c r="AY1471" i="2"/>
  <c r="BA1471" i="2"/>
  <c r="BC1471" i="2" s="1"/>
  <c r="AY1467" i="2"/>
  <c r="BA1467" i="2"/>
  <c r="BC1467" i="2" s="1"/>
  <c r="AY1463" i="2"/>
  <c r="BA1463" i="2"/>
  <c r="BC1463" i="2" s="1"/>
  <c r="AY1459" i="2"/>
  <c r="BA1459" i="2"/>
  <c r="BC1459" i="2" s="1"/>
  <c r="AY1455" i="2"/>
  <c r="BA1455" i="2"/>
  <c r="BC1455" i="2" s="1"/>
  <c r="AY1451" i="2"/>
  <c r="BA1451" i="2"/>
  <c r="BC1451" i="2" s="1"/>
  <c r="AY1447" i="2"/>
  <c r="BA1447" i="2"/>
  <c r="BC1447" i="2" s="1"/>
  <c r="AY1443" i="2"/>
  <c r="BA1443" i="2"/>
  <c r="BC1443" i="2" s="1"/>
  <c r="AY1439" i="2"/>
  <c r="BA1439" i="2"/>
  <c r="BC1439" i="2" s="1"/>
  <c r="AY1435" i="2"/>
  <c r="BA1435" i="2"/>
  <c r="BC1435" i="2" s="1"/>
  <c r="AY1431" i="2"/>
  <c r="BA1431" i="2"/>
  <c r="BC1431" i="2" s="1"/>
  <c r="AY1427" i="2"/>
  <c r="BA1427" i="2"/>
  <c r="BC1427" i="2" s="1"/>
  <c r="AY1423" i="2"/>
  <c r="BA1423" i="2"/>
  <c r="BC1423" i="2" s="1"/>
  <c r="AY1419" i="2"/>
  <c r="BA1419" i="2"/>
  <c r="BC1419" i="2" s="1"/>
  <c r="AY1415" i="2"/>
  <c r="BA1415" i="2"/>
  <c r="BC1415" i="2" s="1"/>
  <c r="AY1411" i="2"/>
  <c r="BA1411" i="2"/>
  <c r="BC1411" i="2" s="1"/>
  <c r="AY1407" i="2"/>
  <c r="BA1407" i="2"/>
  <c r="BC1407" i="2" s="1"/>
  <c r="AY1403" i="2"/>
  <c r="BA1403" i="2"/>
  <c r="BC1403" i="2" s="1"/>
  <c r="AY1399" i="2"/>
  <c r="BA1399" i="2"/>
  <c r="BC1399" i="2" s="1"/>
  <c r="AY1395" i="2"/>
  <c r="BA1395" i="2"/>
  <c r="BC1395" i="2" s="1"/>
  <c r="AY1391" i="2"/>
  <c r="BA1391" i="2"/>
  <c r="BC1391" i="2" s="1"/>
  <c r="AY1387" i="2"/>
  <c r="BA1387" i="2"/>
  <c r="BC1387" i="2" s="1"/>
  <c r="AY1383" i="2"/>
  <c r="BA1383" i="2"/>
  <c r="BC1383" i="2" s="1"/>
  <c r="AY1379" i="2"/>
  <c r="BA1379" i="2"/>
  <c r="BC1379" i="2" s="1"/>
  <c r="AY1375" i="2"/>
  <c r="BA1375" i="2"/>
  <c r="BC1375" i="2" s="1"/>
  <c r="AY1371" i="2"/>
  <c r="BA1371" i="2"/>
  <c r="BC1371" i="2" s="1"/>
  <c r="AY1367" i="2"/>
  <c r="BA1367" i="2"/>
  <c r="BC1367" i="2" s="1"/>
  <c r="AY1363" i="2"/>
  <c r="BA1363" i="2"/>
  <c r="BC1363" i="2" s="1"/>
  <c r="AY1359" i="2"/>
  <c r="BA1359" i="2"/>
  <c r="BC1359" i="2" s="1"/>
  <c r="AY1355" i="2"/>
  <c r="BA1355" i="2"/>
  <c r="BC1355" i="2" s="1"/>
  <c r="AY1351" i="2"/>
  <c r="BA1351" i="2"/>
  <c r="BC1351" i="2" s="1"/>
  <c r="AY1347" i="2"/>
  <c r="BA1347" i="2"/>
  <c r="BC1347" i="2" s="1"/>
  <c r="AY1343" i="2"/>
  <c r="BA1343" i="2"/>
  <c r="BC1343" i="2" s="1"/>
  <c r="AY1339" i="2"/>
  <c r="BA1339" i="2"/>
  <c r="BC1339" i="2" s="1"/>
  <c r="AY1335" i="2"/>
  <c r="BA1335" i="2"/>
  <c r="BC1335" i="2" s="1"/>
  <c r="AY1331" i="2"/>
  <c r="BA1331" i="2"/>
  <c r="BC1331" i="2" s="1"/>
  <c r="AY1327" i="2"/>
  <c r="BA1327" i="2"/>
  <c r="BC1327" i="2" s="1"/>
  <c r="AY1323" i="2"/>
  <c r="BA1323" i="2"/>
  <c r="BC1323" i="2" s="1"/>
  <c r="AY1319" i="2"/>
  <c r="BA1319" i="2"/>
  <c r="BC1319" i="2" s="1"/>
  <c r="AY1315" i="2"/>
  <c r="BA1315" i="2"/>
  <c r="BC1315" i="2" s="1"/>
  <c r="AY1311" i="2"/>
  <c r="BA1311" i="2"/>
  <c r="BC1311" i="2" s="1"/>
  <c r="AY1307" i="2"/>
  <c r="BA1307" i="2"/>
  <c r="BC1307" i="2" s="1"/>
  <c r="AY1303" i="2"/>
  <c r="BA1303" i="2"/>
  <c r="BC1303" i="2" s="1"/>
  <c r="AY1299" i="2"/>
  <c r="BA1299" i="2"/>
  <c r="BC1299" i="2" s="1"/>
  <c r="AY1295" i="2"/>
  <c r="BA1295" i="2"/>
  <c r="BC1295" i="2" s="1"/>
  <c r="AY1291" i="2"/>
  <c r="BA1291" i="2"/>
  <c r="BC1291" i="2" s="1"/>
  <c r="AY1287" i="2"/>
  <c r="BA1287" i="2"/>
  <c r="BC1287" i="2" s="1"/>
  <c r="AY1283" i="2"/>
  <c r="BA1283" i="2"/>
  <c r="BC1283" i="2" s="1"/>
  <c r="AY1279" i="2"/>
  <c r="BA1279" i="2"/>
  <c r="BC1279" i="2" s="1"/>
  <c r="AY1275" i="2"/>
  <c r="BA1275" i="2"/>
  <c r="BC1275" i="2" s="1"/>
  <c r="AY1271" i="2"/>
  <c r="BA1271" i="2"/>
  <c r="BC1271" i="2" s="1"/>
  <c r="AY1267" i="2"/>
  <c r="BA1267" i="2"/>
  <c r="BC1267" i="2" s="1"/>
  <c r="AY1263" i="2"/>
  <c r="BA1263" i="2"/>
  <c r="BC1263" i="2" s="1"/>
  <c r="AY1259" i="2"/>
  <c r="BA1259" i="2"/>
  <c r="BC1259" i="2" s="1"/>
  <c r="AY1255" i="2"/>
  <c r="BA1255" i="2"/>
  <c r="BC1255" i="2" s="1"/>
  <c r="AY1251" i="2"/>
  <c r="BA1251" i="2"/>
  <c r="BC1251" i="2" s="1"/>
  <c r="AY1247" i="2"/>
  <c r="BA1247" i="2"/>
  <c r="BC1247" i="2" s="1"/>
  <c r="AY1243" i="2"/>
  <c r="BA1243" i="2"/>
  <c r="BC1243" i="2" s="1"/>
  <c r="AY1239" i="2"/>
  <c r="BA1239" i="2"/>
  <c r="BC1239" i="2" s="1"/>
  <c r="AY1235" i="2"/>
  <c r="BA1235" i="2"/>
  <c r="BC1235" i="2" s="1"/>
  <c r="AY1231" i="2"/>
  <c r="BA1231" i="2"/>
  <c r="BC1231" i="2" s="1"/>
  <c r="AY1227" i="2"/>
  <c r="BA1227" i="2"/>
  <c r="BC1227" i="2" s="1"/>
  <c r="AY1223" i="2"/>
  <c r="BA1223" i="2"/>
  <c r="BC1223" i="2" s="1"/>
  <c r="AY1219" i="2"/>
  <c r="BA1219" i="2"/>
  <c r="BC1219" i="2" s="1"/>
  <c r="AY1215" i="2"/>
  <c r="BA1215" i="2"/>
  <c r="BC1215" i="2" s="1"/>
  <c r="AY1211" i="2"/>
  <c r="BA1211" i="2"/>
  <c r="BC1211" i="2" s="1"/>
  <c r="AY1207" i="2"/>
  <c r="BA1207" i="2"/>
  <c r="BC1207" i="2" s="1"/>
  <c r="AY1203" i="2"/>
  <c r="BA1203" i="2"/>
  <c r="BC1203" i="2" s="1"/>
  <c r="AY1199" i="2"/>
  <c r="BA1199" i="2"/>
  <c r="BC1199" i="2" s="1"/>
  <c r="AY1195" i="2"/>
  <c r="BA1195" i="2"/>
  <c r="BC1195" i="2" s="1"/>
  <c r="AY1191" i="2"/>
  <c r="BA1191" i="2"/>
  <c r="BC1191" i="2" s="1"/>
  <c r="AY1187" i="2"/>
  <c r="BA1187" i="2"/>
  <c r="BC1187" i="2" s="1"/>
  <c r="AY1183" i="2"/>
  <c r="BA1183" i="2"/>
  <c r="BC1183" i="2" s="1"/>
  <c r="AY1179" i="2"/>
  <c r="BA1179" i="2"/>
  <c r="BC1179" i="2" s="1"/>
  <c r="AY1175" i="2"/>
  <c r="BA1175" i="2"/>
  <c r="BC1175" i="2" s="1"/>
  <c r="AY1171" i="2"/>
  <c r="BA1171" i="2"/>
  <c r="BC1171" i="2" s="1"/>
  <c r="AY1167" i="2"/>
  <c r="BA1167" i="2"/>
  <c r="BC1167" i="2" s="1"/>
  <c r="AY1163" i="2"/>
  <c r="BA1163" i="2"/>
  <c r="BC1163" i="2" s="1"/>
  <c r="AY1159" i="2"/>
  <c r="BA1159" i="2"/>
  <c r="BC1159" i="2" s="1"/>
  <c r="AY1155" i="2"/>
  <c r="BA1155" i="2"/>
  <c r="BC1155" i="2" s="1"/>
  <c r="AY1151" i="2"/>
  <c r="BA1151" i="2"/>
  <c r="BC1151" i="2" s="1"/>
  <c r="AY1147" i="2"/>
  <c r="BA1147" i="2"/>
  <c r="BC1147" i="2" s="1"/>
  <c r="AY1143" i="2"/>
  <c r="BA1143" i="2"/>
  <c r="BC1143" i="2" s="1"/>
  <c r="AY1139" i="2"/>
  <c r="BA1139" i="2"/>
  <c r="BC1139" i="2" s="1"/>
  <c r="AY1135" i="2"/>
  <c r="BA1135" i="2"/>
  <c r="BC1135" i="2" s="1"/>
  <c r="AY1131" i="2"/>
  <c r="BA1131" i="2"/>
  <c r="BC1131" i="2" s="1"/>
  <c r="AY1127" i="2"/>
  <c r="BA1127" i="2"/>
  <c r="BC1127" i="2" s="1"/>
  <c r="AY1123" i="2"/>
  <c r="BA1123" i="2"/>
  <c r="BC1123" i="2" s="1"/>
  <c r="AY1119" i="2"/>
  <c r="BA1119" i="2"/>
  <c r="BC1119" i="2" s="1"/>
  <c r="AY1115" i="2"/>
  <c r="BA1115" i="2"/>
  <c r="BC1115" i="2" s="1"/>
  <c r="AY1111" i="2"/>
  <c r="BA1111" i="2"/>
  <c r="BC1111" i="2" s="1"/>
  <c r="AY1107" i="2"/>
  <c r="BA1107" i="2"/>
  <c r="BC1107" i="2" s="1"/>
  <c r="AY1103" i="2"/>
  <c r="BA1103" i="2"/>
  <c r="BC1103" i="2" s="1"/>
  <c r="AY1099" i="2"/>
  <c r="BA1099" i="2"/>
  <c r="BC1099" i="2" s="1"/>
  <c r="AY1095" i="2"/>
  <c r="BA1095" i="2"/>
  <c r="BC1095" i="2" s="1"/>
  <c r="AY1091" i="2"/>
  <c r="BA1091" i="2"/>
  <c r="BC1091" i="2" s="1"/>
  <c r="AY1087" i="2"/>
  <c r="BA1087" i="2"/>
  <c r="BC1087" i="2" s="1"/>
  <c r="AY1083" i="2"/>
  <c r="BA1083" i="2"/>
  <c r="BC1083" i="2" s="1"/>
  <c r="AY1079" i="2"/>
  <c r="BA1079" i="2"/>
  <c r="BC1079" i="2" s="1"/>
  <c r="AY1075" i="2"/>
  <c r="BA1075" i="2"/>
  <c r="BC1075" i="2" s="1"/>
  <c r="AY1071" i="2"/>
  <c r="BA1071" i="2"/>
  <c r="BC1071" i="2" s="1"/>
  <c r="AY1067" i="2"/>
  <c r="BA1067" i="2"/>
  <c r="BC1067" i="2" s="1"/>
  <c r="AY1063" i="2"/>
  <c r="BA1063" i="2"/>
  <c r="BC1063" i="2" s="1"/>
  <c r="AY1059" i="2"/>
  <c r="BA1059" i="2"/>
  <c r="BC1059" i="2" s="1"/>
  <c r="AY1055" i="2"/>
  <c r="BA1055" i="2"/>
  <c r="BC1055" i="2" s="1"/>
  <c r="AY1051" i="2"/>
  <c r="BA1051" i="2"/>
  <c r="BC1051" i="2" s="1"/>
  <c r="AY1047" i="2"/>
  <c r="BA1047" i="2"/>
  <c r="BC1047" i="2" s="1"/>
  <c r="AY1043" i="2"/>
  <c r="BA1043" i="2"/>
  <c r="BC1043" i="2" s="1"/>
  <c r="AY1039" i="2"/>
  <c r="BA1039" i="2"/>
  <c r="BC1039" i="2" s="1"/>
  <c r="AY1035" i="2"/>
  <c r="BA1035" i="2"/>
  <c r="BC1035" i="2" s="1"/>
  <c r="AY1031" i="2"/>
  <c r="BA1031" i="2"/>
  <c r="BC1031" i="2" s="1"/>
  <c r="AY1027" i="2"/>
  <c r="BA1027" i="2"/>
  <c r="BC1027" i="2" s="1"/>
  <c r="AY1023" i="2"/>
  <c r="BA1023" i="2"/>
  <c r="BC1023" i="2" s="1"/>
  <c r="AY1019" i="2"/>
  <c r="BA1019" i="2"/>
  <c r="BC1019" i="2" s="1"/>
  <c r="AY1015" i="2"/>
  <c r="BA1015" i="2"/>
  <c r="BC1015" i="2" s="1"/>
  <c r="AY1011" i="2"/>
  <c r="BA1011" i="2"/>
  <c r="BC1011" i="2" s="1"/>
  <c r="AY1007" i="2"/>
  <c r="BA1007" i="2"/>
  <c r="BC1007" i="2" s="1"/>
  <c r="AY1003" i="2"/>
  <c r="BA1003" i="2"/>
  <c r="BC1003" i="2" s="1"/>
  <c r="AY999" i="2"/>
  <c r="BA999" i="2"/>
  <c r="BC999" i="2" s="1"/>
  <c r="AY995" i="2"/>
  <c r="BA995" i="2"/>
  <c r="BC995" i="2" s="1"/>
  <c r="AY991" i="2"/>
  <c r="BA991" i="2"/>
  <c r="BC991" i="2" s="1"/>
  <c r="AY987" i="2"/>
  <c r="BA987" i="2"/>
  <c r="BC987" i="2" s="1"/>
  <c r="AY983" i="2"/>
  <c r="BA983" i="2"/>
  <c r="BC983" i="2" s="1"/>
  <c r="AY979" i="2"/>
  <c r="BA979" i="2"/>
  <c r="BC979" i="2" s="1"/>
  <c r="AY975" i="2"/>
  <c r="BA975" i="2"/>
  <c r="BC975" i="2" s="1"/>
  <c r="AY971" i="2"/>
  <c r="BA971" i="2"/>
  <c r="BC971" i="2" s="1"/>
  <c r="AY967" i="2"/>
  <c r="BA967" i="2"/>
  <c r="BC967" i="2" s="1"/>
  <c r="AY963" i="2"/>
  <c r="BA963" i="2"/>
  <c r="BC963" i="2" s="1"/>
  <c r="AY959" i="2"/>
  <c r="BA959" i="2"/>
  <c r="BC959" i="2" s="1"/>
  <c r="AY955" i="2"/>
  <c r="BA955" i="2"/>
  <c r="BC955" i="2" s="1"/>
  <c r="AY951" i="2"/>
  <c r="BA951" i="2"/>
  <c r="BC951" i="2" s="1"/>
  <c r="AY947" i="2"/>
  <c r="BA947" i="2"/>
  <c r="BC947" i="2" s="1"/>
  <c r="AY943" i="2"/>
  <c r="BA943" i="2"/>
  <c r="BC943" i="2" s="1"/>
  <c r="AY939" i="2"/>
  <c r="BA939" i="2"/>
  <c r="BC939" i="2" s="1"/>
  <c r="AY935" i="2"/>
  <c r="BA935" i="2"/>
  <c r="BC935" i="2" s="1"/>
  <c r="AY931" i="2"/>
  <c r="BA931" i="2"/>
  <c r="BC931" i="2" s="1"/>
  <c r="AY927" i="2"/>
  <c r="BA927" i="2"/>
  <c r="BC927" i="2" s="1"/>
  <c r="AY923" i="2"/>
  <c r="BA923" i="2"/>
  <c r="BC923" i="2" s="1"/>
  <c r="AY919" i="2"/>
  <c r="BA919" i="2"/>
  <c r="BC919" i="2" s="1"/>
  <c r="AY915" i="2"/>
  <c r="BA915" i="2"/>
  <c r="BC915" i="2" s="1"/>
  <c r="AY911" i="2"/>
  <c r="BA911" i="2"/>
  <c r="BC911" i="2" s="1"/>
  <c r="AY907" i="2"/>
  <c r="BA907" i="2"/>
  <c r="BC907" i="2" s="1"/>
  <c r="AY903" i="2"/>
  <c r="BA903" i="2"/>
  <c r="BC903" i="2" s="1"/>
  <c r="AY899" i="2"/>
  <c r="BA899" i="2"/>
  <c r="BC899" i="2" s="1"/>
  <c r="AY895" i="2"/>
  <c r="BA895" i="2"/>
  <c r="BC895" i="2" s="1"/>
  <c r="AY891" i="2"/>
  <c r="BA891" i="2"/>
  <c r="BC891" i="2" s="1"/>
  <c r="AY887" i="2"/>
  <c r="BA887" i="2"/>
  <c r="BC887" i="2" s="1"/>
  <c r="AY883" i="2"/>
  <c r="BA883" i="2"/>
  <c r="BC883" i="2" s="1"/>
  <c r="AY879" i="2"/>
  <c r="BA879" i="2"/>
  <c r="BC879" i="2" s="1"/>
  <c r="AY875" i="2"/>
  <c r="BA875" i="2"/>
  <c r="BC875" i="2" s="1"/>
  <c r="AY871" i="2"/>
  <c r="BA871" i="2"/>
  <c r="BC871" i="2" s="1"/>
  <c r="AY867" i="2"/>
  <c r="BA867" i="2"/>
  <c r="BC867" i="2" s="1"/>
  <c r="AY863" i="2"/>
  <c r="BA863" i="2"/>
  <c r="BC863" i="2" s="1"/>
  <c r="AY859" i="2"/>
  <c r="BA859" i="2"/>
  <c r="BC859" i="2" s="1"/>
  <c r="AY855" i="2"/>
  <c r="BA855" i="2"/>
  <c r="BC855" i="2" s="1"/>
  <c r="AY851" i="2"/>
  <c r="BA851" i="2"/>
  <c r="BC851" i="2" s="1"/>
  <c r="AY847" i="2"/>
  <c r="BA847" i="2"/>
  <c r="BC847" i="2" s="1"/>
  <c r="AY843" i="2"/>
  <c r="BA843" i="2"/>
  <c r="BC843" i="2" s="1"/>
  <c r="AY839" i="2"/>
  <c r="BA839" i="2"/>
  <c r="BC839" i="2" s="1"/>
  <c r="AY835" i="2"/>
  <c r="BA835" i="2"/>
  <c r="BC835" i="2" s="1"/>
  <c r="AY831" i="2"/>
  <c r="BA831" i="2"/>
  <c r="BC831" i="2" s="1"/>
  <c r="AY827" i="2"/>
  <c r="BA827" i="2"/>
  <c r="BC827" i="2" s="1"/>
  <c r="AY823" i="2"/>
  <c r="BA823" i="2"/>
  <c r="BC823" i="2" s="1"/>
  <c r="AY819" i="2"/>
  <c r="BA819" i="2"/>
  <c r="BC819" i="2" s="1"/>
  <c r="AY815" i="2"/>
  <c r="BA815" i="2"/>
  <c r="BC815" i="2" s="1"/>
  <c r="AY811" i="2"/>
  <c r="BA811" i="2"/>
  <c r="BC811" i="2" s="1"/>
  <c r="AY807" i="2"/>
  <c r="BA807" i="2"/>
  <c r="BC807" i="2" s="1"/>
  <c r="AY803" i="2"/>
  <c r="BA803" i="2"/>
  <c r="BC803" i="2" s="1"/>
  <c r="AY799" i="2"/>
  <c r="BA799" i="2"/>
  <c r="BC799" i="2" s="1"/>
  <c r="AY795" i="2"/>
  <c r="BA795" i="2"/>
  <c r="BC795" i="2" s="1"/>
  <c r="AY791" i="2"/>
  <c r="BA791" i="2"/>
  <c r="BC791" i="2" s="1"/>
  <c r="AY787" i="2"/>
  <c r="BA787" i="2"/>
  <c r="BC787" i="2" s="1"/>
  <c r="AY783" i="2"/>
  <c r="BA783" i="2"/>
  <c r="BC783" i="2" s="1"/>
  <c r="AY779" i="2"/>
  <c r="BA779" i="2"/>
  <c r="BC779" i="2" s="1"/>
  <c r="AY775" i="2"/>
  <c r="BA775" i="2"/>
  <c r="BC775" i="2" s="1"/>
  <c r="AY771" i="2"/>
  <c r="BA771" i="2"/>
  <c r="BC771" i="2" s="1"/>
  <c r="AY767" i="2"/>
  <c r="BA767" i="2"/>
  <c r="BC767" i="2" s="1"/>
  <c r="AY763" i="2"/>
  <c r="BA763" i="2"/>
  <c r="BC763" i="2" s="1"/>
  <c r="AY759" i="2"/>
  <c r="BA759" i="2"/>
  <c r="BC759" i="2" s="1"/>
  <c r="AY755" i="2"/>
  <c r="BA755" i="2"/>
  <c r="BC755" i="2" s="1"/>
  <c r="AY751" i="2"/>
  <c r="BA751" i="2"/>
  <c r="BC751" i="2" s="1"/>
  <c r="AY747" i="2"/>
  <c r="BA747" i="2"/>
  <c r="BC747" i="2" s="1"/>
  <c r="AY743" i="2"/>
  <c r="BA743" i="2"/>
  <c r="BC743" i="2" s="1"/>
  <c r="AY739" i="2"/>
  <c r="BA739" i="2"/>
  <c r="BC739" i="2" s="1"/>
  <c r="AY735" i="2"/>
  <c r="BA735" i="2"/>
  <c r="BC735" i="2" s="1"/>
  <c r="AY731" i="2"/>
  <c r="BA731" i="2"/>
  <c r="BC731" i="2" s="1"/>
  <c r="AY727" i="2"/>
  <c r="BA727" i="2"/>
  <c r="BC727" i="2" s="1"/>
  <c r="AY723" i="2"/>
  <c r="BA723" i="2"/>
  <c r="BC723" i="2" s="1"/>
  <c r="AY719" i="2"/>
  <c r="BA719" i="2"/>
  <c r="BC719" i="2" s="1"/>
  <c r="AY715" i="2"/>
  <c r="BA715" i="2"/>
  <c r="BC715" i="2" s="1"/>
  <c r="AY711" i="2"/>
  <c r="BA711" i="2"/>
  <c r="BC711" i="2" s="1"/>
  <c r="AY707" i="2"/>
  <c r="BA707" i="2"/>
  <c r="BC707" i="2" s="1"/>
  <c r="AY703" i="2"/>
  <c r="BA703" i="2"/>
  <c r="BC703" i="2" s="1"/>
  <c r="AY699" i="2"/>
  <c r="BA699" i="2"/>
  <c r="BC699" i="2" s="1"/>
  <c r="AY695" i="2"/>
  <c r="BA695" i="2"/>
  <c r="BC695" i="2" s="1"/>
  <c r="AY691" i="2"/>
  <c r="BA691" i="2"/>
  <c r="BC691" i="2" s="1"/>
  <c r="AY687" i="2"/>
  <c r="BA687" i="2"/>
  <c r="BC687" i="2" s="1"/>
  <c r="AY683" i="2"/>
  <c r="BA683" i="2"/>
  <c r="BC683" i="2" s="1"/>
  <c r="AY679" i="2"/>
  <c r="BA679" i="2"/>
  <c r="BC679" i="2" s="1"/>
  <c r="AY675" i="2"/>
  <c r="BA675" i="2"/>
  <c r="BC675" i="2" s="1"/>
  <c r="AY671" i="2"/>
  <c r="BA671" i="2"/>
  <c r="BC671" i="2" s="1"/>
  <c r="AY667" i="2"/>
  <c r="BA667" i="2"/>
  <c r="BC667" i="2" s="1"/>
  <c r="AY663" i="2"/>
  <c r="BA663" i="2"/>
  <c r="BC663" i="2" s="1"/>
  <c r="AY659" i="2"/>
  <c r="BA659" i="2"/>
  <c r="BC659" i="2" s="1"/>
  <c r="AY655" i="2"/>
  <c r="BA655" i="2"/>
  <c r="BC655" i="2" s="1"/>
  <c r="AY651" i="2"/>
  <c r="BA651" i="2"/>
  <c r="BC651" i="2" s="1"/>
  <c r="AY647" i="2"/>
  <c r="BA647" i="2"/>
  <c r="BC647" i="2" s="1"/>
  <c r="AY643" i="2"/>
  <c r="BA643" i="2"/>
  <c r="BC643" i="2" s="1"/>
  <c r="AY639" i="2"/>
  <c r="BA639" i="2"/>
  <c r="BC639" i="2" s="1"/>
  <c r="AY635" i="2"/>
  <c r="BA635" i="2"/>
  <c r="BC635" i="2" s="1"/>
  <c r="AY631" i="2"/>
  <c r="BA631" i="2"/>
  <c r="BC631" i="2" s="1"/>
  <c r="AY627" i="2"/>
  <c r="BA627" i="2"/>
  <c r="BC627" i="2" s="1"/>
  <c r="AY623" i="2"/>
  <c r="BA623" i="2"/>
  <c r="BC623" i="2" s="1"/>
  <c r="AY619" i="2"/>
  <c r="BA619" i="2"/>
  <c r="BC619" i="2" s="1"/>
  <c r="AY615" i="2"/>
  <c r="BA615" i="2"/>
  <c r="BC615" i="2" s="1"/>
  <c r="AY611" i="2"/>
  <c r="BA611" i="2"/>
  <c r="BC611" i="2" s="1"/>
  <c r="AY607" i="2"/>
  <c r="BA607" i="2"/>
  <c r="BC607" i="2" s="1"/>
  <c r="AY603" i="2"/>
  <c r="BA603" i="2"/>
  <c r="BC603" i="2" s="1"/>
  <c r="AY599" i="2"/>
  <c r="BA599" i="2"/>
  <c r="BC599" i="2" s="1"/>
  <c r="AY595" i="2"/>
  <c r="BA595" i="2"/>
  <c r="BC595" i="2" s="1"/>
  <c r="AY591" i="2"/>
  <c r="BA591" i="2"/>
  <c r="BC591" i="2" s="1"/>
  <c r="AY587" i="2"/>
  <c r="BA587" i="2"/>
  <c r="BC587" i="2" s="1"/>
  <c r="AY583" i="2"/>
  <c r="BA583" i="2"/>
  <c r="BC583" i="2" s="1"/>
  <c r="AY579" i="2"/>
  <c r="BA579" i="2"/>
  <c r="BC579" i="2" s="1"/>
  <c r="AY575" i="2"/>
  <c r="BA575" i="2"/>
  <c r="BC575" i="2" s="1"/>
  <c r="AY571" i="2"/>
  <c r="BA571" i="2"/>
  <c r="BC571" i="2" s="1"/>
  <c r="AY567" i="2"/>
  <c r="BA567" i="2"/>
  <c r="BC567" i="2" s="1"/>
  <c r="AY563" i="2"/>
  <c r="BA563" i="2"/>
  <c r="BC563" i="2" s="1"/>
  <c r="AY559" i="2"/>
  <c r="BA559" i="2"/>
  <c r="BC559" i="2" s="1"/>
  <c r="AY555" i="2"/>
  <c r="BA555" i="2"/>
  <c r="BC555" i="2" s="1"/>
  <c r="AY551" i="2"/>
  <c r="BA551" i="2"/>
  <c r="BC551" i="2" s="1"/>
  <c r="AY547" i="2"/>
  <c r="BA547" i="2"/>
  <c r="BC547" i="2" s="1"/>
  <c r="AY543" i="2"/>
  <c r="BA543" i="2"/>
  <c r="BC543" i="2" s="1"/>
  <c r="AY539" i="2"/>
  <c r="BA539" i="2"/>
  <c r="BC539" i="2" s="1"/>
  <c r="AY535" i="2"/>
  <c r="BA535" i="2"/>
  <c r="BC535" i="2" s="1"/>
  <c r="AY531" i="2"/>
  <c r="BA531" i="2"/>
  <c r="BC531" i="2" s="1"/>
  <c r="AY527" i="2"/>
  <c r="BA527" i="2"/>
  <c r="BC527" i="2" s="1"/>
  <c r="AY523" i="2"/>
  <c r="BA523" i="2"/>
  <c r="BC523" i="2" s="1"/>
  <c r="AY519" i="2"/>
  <c r="BA519" i="2"/>
  <c r="BC519" i="2" s="1"/>
  <c r="AY515" i="2"/>
  <c r="BA515" i="2"/>
  <c r="BC515" i="2" s="1"/>
  <c r="AY511" i="2"/>
  <c r="BA511" i="2"/>
  <c r="BC511" i="2" s="1"/>
  <c r="AY507" i="2"/>
  <c r="BA507" i="2"/>
  <c r="BC507" i="2" s="1"/>
  <c r="AY503" i="2"/>
  <c r="BA503" i="2"/>
  <c r="BC503" i="2" s="1"/>
  <c r="AY499" i="2"/>
  <c r="BA499" i="2"/>
  <c r="BC499" i="2" s="1"/>
  <c r="AY495" i="2"/>
  <c r="BA495" i="2"/>
  <c r="BC495" i="2" s="1"/>
  <c r="AY491" i="2"/>
  <c r="BA491" i="2"/>
  <c r="BC491" i="2" s="1"/>
  <c r="AY487" i="2"/>
  <c r="BA487" i="2"/>
  <c r="BC487" i="2" s="1"/>
  <c r="AY483" i="2"/>
  <c r="BA483" i="2"/>
  <c r="BC483" i="2" s="1"/>
  <c r="AY479" i="2"/>
  <c r="BA479" i="2"/>
  <c r="BC479" i="2" s="1"/>
  <c r="AY475" i="2"/>
  <c r="BA475" i="2"/>
  <c r="BC475" i="2" s="1"/>
  <c r="AY471" i="2"/>
  <c r="BA471" i="2"/>
  <c r="BC471" i="2" s="1"/>
  <c r="AY467" i="2"/>
  <c r="BA467" i="2"/>
  <c r="BC467" i="2" s="1"/>
  <c r="AY463" i="2"/>
  <c r="BA463" i="2"/>
  <c r="BC463" i="2" s="1"/>
  <c r="AY459" i="2"/>
  <c r="BA459" i="2"/>
  <c r="BC459" i="2" s="1"/>
  <c r="AY455" i="2"/>
  <c r="BA455" i="2"/>
  <c r="BC455" i="2" s="1"/>
  <c r="AY451" i="2"/>
  <c r="BA451" i="2"/>
  <c r="BC451" i="2" s="1"/>
  <c r="AY447" i="2"/>
  <c r="BA447" i="2"/>
  <c r="BC447" i="2" s="1"/>
  <c r="AY443" i="2"/>
  <c r="BA443" i="2"/>
  <c r="BC443" i="2" s="1"/>
  <c r="AY439" i="2"/>
  <c r="BA439" i="2"/>
  <c r="BC439" i="2" s="1"/>
  <c r="AY435" i="2"/>
  <c r="BA435" i="2"/>
  <c r="BC435" i="2" s="1"/>
  <c r="AY431" i="2"/>
  <c r="BA431" i="2"/>
  <c r="BC431" i="2" s="1"/>
  <c r="AY427" i="2"/>
  <c r="BA427" i="2"/>
  <c r="BC427" i="2" s="1"/>
  <c r="AY423" i="2"/>
  <c r="BA423" i="2"/>
  <c r="BC423" i="2" s="1"/>
  <c r="AY419" i="2"/>
  <c r="BA419" i="2"/>
  <c r="BC419" i="2" s="1"/>
  <c r="AY415" i="2"/>
  <c r="BA415" i="2"/>
  <c r="BC415" i="2" s="1"/>
  <c r="AY411" i="2"/>
  <c r="BA411" i="2"/>
  <c r="BC411" i="2" s="1"/>
  <c r="AY407" i="2"/>
  <c r="BA407" i="2"/>
  <c r="BC407" i="2" s="1"/>
  <c r="AY403" i="2"/>
  <c r="BA403" i="2"/>
  <c r="BC403" i="2" s="1"/>
  <c r="AY399" i="2"/>
  <c r="BA399" i="2"/>
  <c r="BC399" i="2" s="1"/>
  <c r="AY395" i="2"/>
  <c r="BA395" i="2"/>
  <c r="BC395" i="2" s="1"/>
  <c r="AY391" i="2"/>
  <c r="BA391" i="2"/>
  <c r="BC391" i="2" s="1"/>
  <c r="AY387" i="2"/>
  <c r="BA387" i="2"/>
  <c r="BC387" i="2" s="1"/>
  <c r="AY383" i="2"/>
  <c r="BA383" i="2"/>
  <c r="BC383" i="2" s="1"/>
  <c r="AY379" i="2"/>
  <c r="BA379" i="2"/>
  <c r="BC379" i="2" s="1"/>
  <c r="AY375" i="2"/>
  <c r="BA375" i="2"/>
  <c r="BC375" i="2" s="1"/>
  <c r="AY371" i="2"/>
  <c r="BA371" i="2"/>
  <c r="BC371" i="2" s="1"/>
  <c r="AY367" i="2"/>
  <c r="BA367" i="2"/>
  <c r="BC367" i="2" s="1"/>
  <c r="AY363" i="2"/>
  <c r="BA363" i="2"/>
  <c r="BC363" i="2" s="1"/>
  <c r="AY359" i="2"/>
  <c r="BA359" i="2"/>
  <c r="BC359" i="2" s="1"/>
  <c r="AY355" i="2"/>
  <c r="BA355" i="2"/>
  <c r="BC355" i="2" s="1"/>
  <c r="AY351" i="2"/>
  <c r="BA351" i="2"/>
  <c r="BC351" i="2" s="1"/>
  <c r="AY347" i="2"/>
  <c r="BA347" i="2"/>
  <c r="BC347" i="2" s="1"/>
  <c r="AY343" i="2"/>
  <c r="BA343" i="2"/>
  <c r="BC343" i="2" s="1"/>
  <c r="AY339" i="2"/>
  <c r="BA339" i="2"/>
  <c r="BC339" i="2" s="1"/>
  <c r="AY335" i="2"/>
  <c r="BA335" i="2"/>
  <c r="BC335" i="2" s="1"/>
  <c r="AY331" i="2"/>
  <c r="BA331" i="2"/>
  <c r="BC331" i="2" s="1"/>
  <c r="AY327" i="2"/>
  <c r="BA327" i="2"/>
  <c r="BC327" i="2" s="1"/>
  <c r="AY323" i="2"/>
  <c r="BA323" i="2"/>
  <c r="BC323" i="2" s="1"/>
  <c r="AY319" i="2"/>
  <c r="BA319" i="2"/>
  <c r="BC319" i="2" s="1"/>
  <c r="AY315" i="2"/>
  <c r="BA315" i="2"/>
  <c r="BC315" i="2" s="1"/>
  <c r="AY311" i="2"/>
  <c r="BA311" i="2"/>
  <c r="BC311" i="2" s="1"/>
  <c r="AY307" i="2"/>
  <c r="BA307" i="2"/>
  <c r="BC307" i="2" s="1"/>
  <c r="AY303" i="2"/>
  <c r="BA303" i="2"/>
  <c r="BC303" i="2" s="1"/>
  <c r="AY299" i="2"/>
  <c r="BA299" i="2"/>
  <c r="BC299" i="2" s="1"/>
  <c r="AY295" i="2"/>
  <c r="BA295" i="2"/>
  <c r="BC295" i="2" s="1"/>
  <c r="AY291" i="2"/>
  <c r="BA291" i="2"/>
  <c r="BC291" i="2" s="1"/>
  <c r="AY287" i="2"/>
  <c r="BA287" i="2"/>
  <c r="BC287" i="2" s="1"/>
  <c r="AY283" i="2"/>
  <c r="BA283" i="2"/>
  <c r="BC283" i="2" s="1"/>
  <c r="AY279" i="2"/>
  <c r="BA279" i="2"/>
  <c r="BC279" i="2" s="1"/>
  <c r="AY275" i="2"/>
  <c r="BA275" i="2"/>
  <c r="BC275" i="2" s="1"/>
  <c r="AY271" i="2"/>
  <c r="BA271" i="2"/>
  <c r="BC271" i="2" s="1"/>
  <c r="AY267" i="2"/>
  <c r="BA267" i="2"/>
  <c r="BC267" i="2" s="1"/>
  <c r="AY263" i="2"/>
  <c r="BA263" i="2"/>
  <c r="BC263" i="2" s="1"/>
  <c r="AY259" i="2"/>
  <c r="BA259" i="2"/>
  <c r="BC259" i="2" s="1"/>
  <c r="AY255" i="2"/>
  <c r="BA255" i="2"/>
  <c r="BC255" i="2" s="1"/>
  <c r="AY251" i="2"/>
  <c r="BA251" i="2"/>
  <c r="BC251" i="2" s="1"/>
  <c r="AY247" i="2"/>
  <c r="BA247" i="2"/>
  <c r="BC247" i="2" s="1"/>
  <c r="AY243" i="2"/>
  <c r="BA243" i="2"/>
  <c r="BC243" i="2" s="1"/>
  <c r="AY239" i="2"/>
  <c r="BA239" i="2"/>
  <c r="BC239" i="2" s="1"/>
  <c r="AY235" i="2"/>
  <c r="BA235" i="2"/>
  <c r="BC235" i="2" s="1"/>
  <c r="AY231" i="2"/>
  <c r="BA231" i="2"/>
  <c r="BC231" i="2" s="1"/>
  <c r="AY227" i="2"/>
  <c r="BA227" i="2"/>
  <c r="BC227" i="2" s="1"/>
  <c r="AY223" i="2"/>
  <c r="BA223" i="2"/>
  <c r="BC223" i="2" s="1"/>
  <c r="AY219" i="2"/>
  <c r="BA219" i="2"/>
  <c r="BC219" i="2" s="1"/>
  <c r="AY215" i="2"/>
  <c r="BA215" i="2"/>
  <c r="BC215" i="2" s="1"/>
  <c r="AY211" i="2"/>
  <c r="BA211" i="2"/>
  <c r="BC211" i="2" s="1"/>
  <c r="AY207" i="2"/>
  <c r="BA207" i="2"/>
  <c r="BC207" i="2" s="1"/>
  <c r="AY203" i="2"/>
  <c r="BA203" i="2"/>
  <c r="BC203" i="2" s="1"/>
  <c r="AY199" i="2"/>
  <c r="BA199" i="2"/>
  <c r="BC199" i="2" s="1"/>
  <c r="AY195" i="2"/>
  <c r="BA195" i="2"/>
  <c r="BC195" i="2" s="1"/>
  <c r="AY191" i="2"/>
  <c r="BA191" i="2"/>
  <c r="BC191" i="2" s="1"/>
  <c r="AY187" i="2"/>
  <c r="BA187" i="2"/>
  <c r="BC187" i="2" s="1"/>
  <c r="AY183" i="2"/>
  <c r="BA183" i="2"/>
  <c r="BC183" i="2" s="1"/>
  <c r="AY179" i="2"/>
  <c r="BA179" i="2"/>
  <c r="BC179" i="2" s="1"/>
  <c r="AY175" i="2"/>
  <c r="BA175" i="2"/>
  <c r="BC175" i="2" s="1"/>
  <c r="AY171" i="2"/>
  <c r="BA171" i="2"/>
  <c r="BC171" i="2" s="1"/>
  <c r="AY167" i="2"/>
  <c r="BA167" i="2"/>
  <c r="BC167" i="2" s="1"/>
  <c r="AY163" i="2"/>
  <c r="BA163" i="2"/>
  <c r="BC163" i="2" s="1"/>
  <c r="AY159" i="2"/>
  <c r="BA159" i="2"/>
  <c r="BC159" i="2" s="1"/>
  <c r="AY155" i="2"/>
  <c r="BA155" i="2"/>
  <c r="BC155" i="2" s="1"/>
  <c r="AY151" i="2"/>
  <c r="BA151" i="2"/>
  <c r="BC151" i="2" s="1"/>
  <c r="AY147" i="2"/>
  <c r="BA147" i="2"/>
  <c r="BC147" i="2" s="1"/>
  <c r="AY143" i="2"/>
  <c r="BA143" i="2"/>
  <c r="BC143" i="2" s="1"/>
  <c r="AY139" i="2"/>
  <c r="BA139" i="2"/>
  <c r="BC139" i="2" s="1"/>
  <c r="AY135" i="2"/>
  <c r="BA135" i="2"/>
  <c r="BC135" i="2" s="1"/>
  <c r="AY131" i="2"/>
  <c r="BA131" i="2"/>
  <c r="BC131" i="2" s="1"/>
  <c r="AY127" i="2"/>
  <c r="BA127" i="2"/>
  <c r="BC127" i="2" s="1"/>
  <c r="AY123" i="2"/>
  <c r="BA123" i="2"/>
  <c r="BC123" i="2" s="1"/>
  <c r="AY119" i="2"/>
  <c r="BA119" i="2"/>
  <c r="BC119" i="2" s="1"/>
  <c r="AY115" i="2"/>
  <c r="BA115" i="2"/>
  <c r="BC115" i="2" s="1"/>
  <c r="AY111" i="2"/>
  <c r="BA111" i="2"/>
  <c r="BC111" i="2" s="1"/>
  <c r="AY107" i="2"/>
  <c r="BA107" i="2"/>
  <c r="BC107" i="2" s="1"/>
  <c r="AY103" i="2"/>
  <c r="BA103" i="2"/>
  <c r="BC103" i="2" s="1"/>
  <c r="AY99" i="2"/>
  <c r="BA99" i="2"/>
  <c r="BC99" i="2" s="1"/>
  <c r="AY95" i="2"/>
  <c r="BA95" i="2"/>
  <c r="BC95" i="2" s="1"/>
  <c r="AY91" i="2"/>
  <c r="BA91" i="2"/>
  <c r="BC91" i="2" s="1"/>
  <c r="AY87" i="2"/>
  <c r="BA87" i="2"/>
  <c r="BC87" i="2" s="1"/>
  <c r="AY83" i="2"/>
  <c r="BA83" i="2"/>
  <c r="BC83" i="2" s="1"/>
  <c r="AY79" i="2"/>
  <c r="BA79" i="2"/>
  <c r="BC79" i="2" s="1"/>
  <c r="AY75" i="2"/>
  <c r="BA75" i="2"/>
  <c r="BC75" i="2" s="1"/>
  <c r="AY71" i="2"/>
  <c r="BA71" i="2"/>
  <c r="BC71" i="2" s="1"/>
  <c r="AY67" i="2"/>
  <c r="BA67" i="2"/>
  <c r="BC67" i="2" s="1"/>
  <c r="AY63" i="2"/>
  <c r="BA63" i="2"/>
  <c r="BC63" i="2" s="1"/>
  <c r="AY59" i="2"/>
  <c r="BA59" i="2"/>
  <c r="BC59" i="2" s="1"/>
  <c r="AY55" i="2"/>
  <c r="BA55" i="2"/>
  <c r="BC55" i="2" s="1"/>
  <c r="AY51" i="2"/>
  <c r="BA51" i="2"/>
  <c r="BC51" i="2" s="1"/>
  <c r="AY47" i="2"/>
  <c r="BA47" i="2"/>
  <c r="BC47" i="2" s="1"/>
  <c r="AY43" i="2"/>
  <c r="BA43" i="2"/>
  <c r="BC43" i="2" s="1"/>
  <c r="AY39" i="2"/>
  <c r="BA39" i="2"/>
  <c r="BC39" i="2" s="1"/>
  <c r="AY35" i="2"/>
  <c r="BA35" i="2"/>
  <c r="BC35" i="2" s="1"/>
  <c r="AY31" i="2"/>
  <c r="BA31" i="2"/>
  <c r="BC31" i="2" s="1"/>
  <c r="AY27" i="2"/>
  <c r="BA27" i="2"/>
  <c r="BC27" i="2" s="1"/>
  <c r="AY23" i="2"/>
  <c r="BA23" i="2"/>
  <c r="BC23" i="2" s="1"/>
  <c r="AY19" i="2"/>
  <c r="BA19" i="2"/>
  <c r="BC19" i="2" s="1"/>
  <c r="AY15" i="2"/>
  <c r="BA15" i="2"/>
  <c r="BC15" i="2" s="1"/>
  <c r="AY11" i="2"/>
  <c r="BA11" i="2"/>
  <c r="BC11" i="2" s="1"/>
  <c r="AY7" i="2"/>
  <c r="BA7" i="2"/>
  <c r="BC7" i="2" s="1"/>
  <c r="AY3" i="2"/>
  <c r="BA3" i="2"/>
  <c r="BC3" i="2" s="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 i="11"/>
  <c r="C290" i="9"/>
  <c r="C434" i="9"/>
  <c r="C362" i="9"/>
  <c r="C326"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N435" i="3"/>
  <c r="M435" i="3"/>
  <c r="N432" i="3"/>
  <c r="M432" i="3"/>
  <c r="H421" i="3"/>
  <c r="H418" i="3"/>
  <c r="H417" i="3"/>
  <c r="H414" i="3"/>
  <c r="H413" i="3"/>
  <c r="H402" i="3"/>
  <c r="H401" i="3"/>
  <c r="H378" i="3"/>
  <c r="H377" i="3"/>
  <c r="H321" i="3"/>
  <c r="H320" i="3"/>
  <c r="H317" i="3"/>
  <c r="H312" i="3"/>
  <c r="H310" i="3"/>
  <c r="H309" i="3"/>
  <c r="H265" i="3"/>
  <c r="H264" i="3"/>
  <c r="H256" i="3"/>
  <c r="H255" i="3"/>
  <c r="AC2091" i="2"/>
  <c r="W2090" i="2"/>
  <c r="L2090" i="2"/>
  <c r="M2090" i="2" s="1"/>
  <c r="J2090" i="2"/>
  <c r="I2090" i="2"/>
  <c r="H2090" i="2"/>
  <c r="W2089" i="2"/>
  <c r="L2089" i="2"/>
  <c r="M2089" i="2" s="1"/>
  <c r="J2089" i="2"/>
  <c r="I2089" i="2"/>
  <c r="H2089" i="2"/>
  <c r="L2088" i="2"/>
  <c r="M2088" i="2" s="1"/>
  <c r="J2088" i="2"/>
  <c r="I2088" i="2"/>
  <c r="H2088" i="2"/>
  <c r="L2087" i="2"/>
  <c r="M2087" i="2" s="1"/>
  <c r="J2087" i="2"/>
  <c r="I2087" i="2"/>
  <c r="H2087" i="2"/>
  <c r="W2086" i="2"/>
  <c r="L2086" i="2"/>
  <c r="M2086" i="2" s="1"/>
  <c r="J2086" i="2"/>
  <c r="I2086" i="2"/>
  <c r="H2086" i="2"/>
  <c r="W2085" i="2"/>
  <c r="L2085" i="2"/>
  <c r="M2085" i="2" s="1"/>
  <c r="J2085" i="2"/>
  <c r="I2085" i="2"/>
  <c r="H2085" i="2"/>
  <c r="W2084" i="2"/>
  <c r="L2084" i="2"/>
  <c r="M2084" i="2" s="1"/>
  <c r="J2084" i="2"/>
  <c r="I2084" i="2"/>
  <c r="H2084" i="2"/>
  <c r="N2083" i="2"/>
  <c r="W2083" i="2"/>
  <c r="L2083" i="2"/>
  <c r="M2083" i="2" s="1"/>
  <c r="J2083" i="2"/>
  <c r="I2083" i="2"/>
  <c r="H2083" i="2"/>
  <c r="W2082" i="2"/>
  <c r="L2082" i="2"/>
  <c r="M2082" i="2" s="1"/>
  <c r="J2082" i="2"/>
  <c r="I2082" i="2"/>
  <c r="H2082" i="2"/>
  <c r="L2081" i="2"/>
  <c r="M2081" i="2" s="1"/>
  <c r="J2081" i="2"/>
  <c r="I2081" i="2"/>
  <c r="H2081" i="2"/>
  <c r="L2080" i="2"/>
  <c r="M2080" i="2" s="1"/>
  <c r="J2080" i="2"/>
  <c r="I2080" i="2"/>
  <c r="H2080" i="2"/>
  <c r="L2079" i="2"/>
  <c r="M2079" i="2" s="1"/>
  <c r="J2079" i="2"/>
  <c r="I2079" i="2"/>
  <c r="H2079" i="2"/>
  <c r="W2078" i="2"/>
  <c r="L2078" i="2"/>
  <c r="M2078" i="2" s="1"/>
  <c r="J2078" i="2"/>
  <c r="I2078" i="2"/>
  <c r="H2078" i="2"/>
  <c r="L2077" i="2"/>
  <c r="M2077" i="2" s="1"/>
  <c r="J2077" i="2"/>
  <c r="I2077" i="2"/>
  <c r="H2077" i="2"/>
  <c r="L2076" i="2"/>
  <c r="M2076" i="2" s="1"/>
  <c r="J2076" i="2"/>
  <c r="I2076" i="2"/>
  <c r="H2076" i="2"/>
  <c r="W2075" i="2"/>
  <c r="L2075" i="2"/>
  <c r="M2075" i="2" s="1"/>
  <c r="J2075" i="2"/>
  <c r="I2075" i="2"/>
  <c r="H2075" i="2"/>
  <c r="W2074" i="2"/>
  <c r="L2074" i="2"/>
  <c r="M2074" i="2" s="1"/>
  <c r="J2074" i="2"/>
  <c r="I2074" i="2"/>
  <c r="H2074" i="2"/>
  <c r="W2073" i="2"/>
  <c r="L2073" i="2"/>
  <c r="M2073" i="2" s="1"/>
  <c r="J2073" i="2"/>
  <c r="I2073" i="2"/>
  <c r="H2073" i="2"/>
  <c r="L2072" i="2"/>
  <c r="M2072" i="2" s="1"/>
  <c r="J2072" i="2"/>
  <c r="I2072" i="2"/>
  <c r="H2072" i="2"/>
  <c r="T2071" i="2"/>
  <c r="W2071" i="2" s="1"/>
  <c r="L2071" i="2"/>
  <c r="M2071" i="2" s="1"/>
  <c r="J2071" i="2"/>
  <c r="I2071" i="2"/>
  <c r="H2071" i="2"/>
  <c r="L2070" i="2"/>
  <c r="M2070" i="2" s="1"/>
  <c r="J2070" i="2"/>
  <c r="I2070" i="2"/>
  <c r="H2070" i="2"/>
  <c r="N2069" i="2"/>
  <c r="W2069" i="2" s="1"/>
  <c r="T2069" i="2"/>
  <c r="L2069" i="2"/>
  <c r="M2069" i="2" s="1"/>
  <c r="J2069" i="2"/>
  <c r="I2069" i="2"/>
  <c r="H2069" i="2"/>
  <c r="W2068" i="2"/>
  <c r="AF2068" i="2" s="1"/>
  <c r="L2068" i="2"/>
  <c r="M2068" i="2" s="1"/>
  <c r="J2068" i="2"/>
  <c r="I2068" i="2"/>
  <c r="H2068" i="2"/>
  <c r="L2067" i="2"/>
  <c r="M2067" i="2" s="1"/>
  <c r="J2067" i="2"/>
  <c r="I2067" i="2"/>
  <c r="H2067" i="2"/>
  <c r="L2066" i="2"/>
  <c r="M2066" i="2" s="1"/>
  <c r="J2066" i="2"/>
  <c r="I2066" i="2"/>
  <c r="H2066" i="2"/>
  <c r="W2065" i="2"/>
  <c r="L2065" i="2"/>
  <c r="M2065" i="2" s="1"/>
  <c r="J2065" i="2"/>
  <c r="I2065" i="2"/>
  <c r="H2065" i="2"/>
  <c r="W2064" i="2"/>
  <c r="L2064" i="2"/>
  <c r="M2064" i="2" s="1"/>
  <c r="J2064" i="2"/>
  <c r="I2064" i="2"/>
  <c r="H2064" i="2"/>
  <c r="W2063" i="2"/>
  <c r="L2063" i="2"/>
  <c r="M2063" i="2" s="1"/>
  <c r="J2063" i="2"/>
  <c r="I2063" i="2"/>
  <c r="H2063" i="2"/>
  <c r="N2062" i="2"/>
  <c r="W2062" i="2"/>
  <c r="L2062" i="2"/>
  <c r="M2062" i="2" s="1"/>
  <c r="J2062" i="2"/>
  <c r="I2062" i="2"/>
  <c r="H2062" i="2"/>
  <c r="W2061" i="2"/>
  <c r="L2061" i="2"/>
  <c r="M2061" i="2" s="1"/>
  <c r="J2061" i="2"/>
  <c r="I2061" i="2"/>
  <c r="H2061" i="2"/>
  <c r="L2060" i="2"/>
  <c r="M2060" i="2" s="1"/>
  <c r="J2060" i="2"/>
  <c r="I2060" i="2"/>
  <c r="H2060" i="2"/>
  <c r="L2059" i="2"/>
  <c r="M2059" i="2" s="1"/>
  <c r="J2059" i="2"/>
  <c r="I2059" i="2"/>
  <c r="H2059" i="2"/>
  <c r="L2058" i="2"/>
  <c r="M2058" i="2" s="1"/>
  <c r="J2058" i="2"/>
  <c r="I2058" i="2"/>
  <c r="H2058" i="2"/>
  <c r="W2057" i="2"/>
  <c r="L2057" i="2"/>
  <c r="M2057" i="2" s="1"/>
  <c r="J2057" i="2"/>
  <c r="I2057" i="2"/>
  <c r="H2057" i="2"/>
  <c r="L2056" i="2"/>
  <c r="M2056" i="2" s="1"/>
  <c r="J2056" i="2"/>
  <c r="I2056" i="2"/>
  <c r="H2056" i="2"/>
  <c r="L2055" i="2"/>
  <c r="M2055" i="2" s="1"/>
  <c r="J2055" i="2"/>
  <c r="I2055" i="2"/>
  <c r="H2055" i="2"/>
  <c r="W2054" i="2"/>
  <c r="L2054" i="2"/>
  <c r="M2054" i="2" s="1"/>
  <c r="J2054" i="2"/>
  <c r="I2054" i="2"/>
  <c r="H2054" i="2"/>
  <c r="W2053" i="2"/>
  <c r="L2053" i="2"/>
  <c r="M2053" i="2" s="1"/>
  <c r="J2053" i="2"/>
  <c r="I2053" i="2"/>
  <c r="H2053" i="2"/>
  <c r="W2052" i="2"/>
  <c r="L2052" i="2"/>
  <c r="M2052" i="2" s="1"/>
  <c r="J2052" i="2"/>
  <c r="I2052" i="2"/>
  <c r="H2052" i="2"/>
  <c r="L2051" i="2"/>
  <c r="M2051" i="2" s="1"/>
  <c r="J2051" i="2"/>
  <c r="I2051" i="2"/>
  <c r="H2051" i="2"/>
  <c r="T2050" i="2"/>
  <c r="W2050" i="2" s="1"/>
  <c r="L2050" i="2"/>
  <c r="M2050" i="2" s="1"/>
  <c r="J2050" i="2"/>
  <c r="I2050" i="2"/>
  <c r="H2050" i="2"/>
  <c r="L2049" i="2"/>
  <c r="M2049" i="2" s="1"/>
  <c r="J2049" i="2"/>
  <c r="I2049" i="2"/>
  <c r="H2049" i="2"/>
  <c r="W2048" i="2"/>
  <c r="L2048" i="2"/>
  <c r="M2048" i="2" s="1"/>
  <c r="J2048" i="2"/>
  <c r="I2048" i="2"/>
  <c r="H2048" i="2"/>
  <c r="L2047" i="2"/>
  <c r="M2047" i="2" s="1"/>
  <c r="J2047" i="2"/>
  <c r="I2047" i="2"/>
  <c r="H2047" i="2"/>
  <c r="L2046" i="2"/>
  <c r="M2046" i="2" s="1"/>
  <c r="J2046" i="2"/>
  <c r="I2046" i="2"/>
  <c r="H2046" i="2"/>
  <c r="W2045" i="2"/>
  <c r="L2045" i="2"/>
  <c r="M2045" i="2" s="1"/>
  <c r="J2045" i="2"/>
  <c r="I2045" i="2"/>
  <c r="H2045" i="2"/>
  <c r="W2044" i="2"/>
  <c r="L2044" i="2"/>
  <c r="M2044" i="2" s="1"/>
  <c r="J2044" i="2"/>
  <c r="I2044" i="2"/>
  <c r="H2044" i="2"/>
  <c r="N2043" i="2"/>
  <c r="W2043" i="2"/>
  <c r="L2043" i="2"/>
  <c r="M2043" i="2" s="1"/>
  <c r="J2043" i="2"/>
  <c r="I2043" i="2"/>
  <c r="H2043" i="2"/>
  <c r="W2042" i="2"/>
  <c r="L2042" i="2"/>
  <c r="M2042" i="2" s="1"/>
  <c r="J2042" i="2"/>
  <c r="I2042" i="2"/>
  <c r="H2042" i="2"/>
  <c r="L2041" i="2"/>
  <c r="M2041" i="2" s="1"/>
  <c r="J2041" i="2"/>
  <c r="I2041" i="2"/>
  <c r="H2041" i="2"/>
  <c r="L2040" i="2"/>
  <c r="M2040" i="2" s="1"/>
  <c r="J2040" i="2"/>
  <c r="I2040" i="2"/>
  <c r="H2040" i="2"/>
  <c r="L2039" i="2"/>
  <c r="M2039" i="2" s="1"/>
  <c r="J2039" i="2"/>
  <c r="I2039" i="2"/>
  <c r="H2039" i="2"/>
  <c r="W2038" i="2"/>
  <c r="L2038" i="2"/>
  <c r="M2038" i="2" s="1"/>
  <c r="J2038" i="2"/>
  <c r="I2038" i="2"/>
  <c r="H2038" i="2"/>
  <c r="L2037" i="2"/>
  <c r="M2037" i="2" s="1"/>
  <c r="J2037" i="2"/>
  <c r="I2037" i="2"/>
  <c r="H2037" i="2"/>
  <c r="L2036" i="2"/>
  <c r="M2036" i="2" s="1"/>
  <c r="J2036" i="2"/>
  <c r="I2036" i="2"/>
  <c r="H2036" i="2"/>
  <c r="T2035" i="2"/>
  <c r="W2035" i="2"/>
  <c r="L2035" i="2"/>
  <c r="M2035" i="2" s="1"/>
  <c r="J2035" i="2"/>
  <c r="I2035" i="2"/>
  <c r="H2035" i="2"/>
  <c r="W2034" i="2"/>
  <c r="L2034" i="2"/>
  <c r="M2034" i="2" s="1"/>
  <c r="J2034" i="2"/>
  <c r="I2034" i="2"/>
  <c r="H2034" i="2"/>
  <c r="L2033" i="2"/>
  <c r="M2033" i="2" s="1"/>
  <c r="J2033" i="2"/>
  <c r="I2033" i="2"/>
  <c r="H2033" i="2"/>
  <c r="T2032" i="2"/>
  <c r="W2032" i="2" s="1"/>
  <c r="L2032" i="2"/>
  <c r="M2032" i="2" s="1"/>
  <c r="J2032" i="2"/>
  <c r="I2032" i="2"/>
  <c r="H2032" i="2"/>
  <c r="AD2031" i="2"/>
  <c r="L2031" i="2"/>
  <c r="M2031" i="2" s="1"/>
  <c r="J2031" i="2"/>
  <c r="I2031" i="2"/>
  <c r="H2031" i="2"/>
  <c r="W2030" i="2"/>
  <c r="AF2030" i="2" s="1"/>
  <c r="L2030" i="2"/>
  <c r="M2030" i="2" s="1"/>
  <c r="J2030" i="2"/>
  <c r="I2030" i="2"/>
  <c r="H2030" i="2"/>
  <c r="W2029" i="2"/>
  <c r="AF2029" i="2" s="1"/>
  <c r="L2029" i="2"/>
  <c r="M2029" i="2" s="1"/>
  <c r="J2029" i="2"/>
  <c r="I2029" i="2"/>
  <c r="H2029" i="2"/>
  <c r="W2028" i="2"/>
  <c r="L2028" i="2"/>
  <c r="M2028" i="2" s="1"/>
  <c r="J2028" i="2"/>
  <c r="I2028" i="2"/>
  <c r="H2028" i="2"/>
  <c r="N2027" i="2"/>
  <c r="W2027" i="2" s="1"/>
  <c r="L2027" i="2"/>
  <c r="M2027" i="2" s="1"/>
  <c r="J2027" i="2"/>
  <c r="I2027" i="2"/>
  <c r="H2027" i="2"/>
  <c r="T2026" i="2"/>
  <c r="W2026" i="2" s="1"/>
  <c r="L2026" i="2"/>
  <c r="M2026" i="2" s="1"/>
  <c r="J2026" i="2"/>
  <c r="I2026" i="2"/>
  <c r="H2026" i="2"/>
  <c r="W2025" i="2"/>
  <c r="L2025" i="2"/>
  <c r="M2025" i="2" s="1"/>
  <c r="J2025" i="2"/>
  <c r="I2025" i="2"/>
  <c r="H2025" i="2"/>
  <c r="L2024" i="2"/>
  <c r="M2024" i="2" s="1"/>
  <c r="J2024" i="2"/>
  <c r="I2024" i="2"/>
  <c r="H2024" i="2"/>
  <c r="T2023" i="2"/>
  <c r="W2023" i="2"/>
  <c r="L2023" i="2"/>
  <c r="M2023" i="2" s="1"/>
  <c r="J2023" i="2"/>
  <c r="I2023" i="2"/>
  <c r="H2023" i="2"/>
  <c r="L2022" i="2"/>
  <c r="M2022" i="2" s="1"/>
  <c r="J2022" i="2"/>
  <c r="I2022" i="2"/>
  <c r="H2022" i="2"/>
  <c r="L2021" i="2"/>
  <c r="M2021" i="2" s="1"/>
  <c r="J2021" i="2"/>
  <c r="I2021" i="2"/>
  <c r="H2021" i="2"/>
  <c r="L2020" i="2"/>
  <c r="M2020" i="2" s="1"/>
  <c r="J2020" i="2"/>
  <c r="I2020" i="2"/>
  <c r="H2020" i="2"/>
  <c r="L2019" i="2"/>
  <c r="M2019" i="2" s="1"/>
  <c r="J2019" i="2"/>
  <c r="I2019" i="2"/>
  <c r="H2019" i="2"/>
  <c r="W2018" i="2"/>
  <c r="L2018" i="2"/>
  <c r="M2018" i="2" s="1"/>
  <c r="J2018" i="2"/>
  <c r="I2018" i="2"/>
  <c r="H2018" i="2"/>
  <c r="L2017" i="2"/>
  <c r="M2017" i="2" s="1"/>
  <c r="J2017" i="2"/>
  <c r="I2017" i="2"/>
  <c r="H2017" i="2"/>
  <c r="L2016" i="2"/>
  <c r="M2016" i="2" s="1"/>
  <c r="J2016" i="2"/>
  <c r="I2016" i="2"/>
  <c r="H2016" i="2"/>
  <c r="T2015" i="2"/>
  <c r="W2015" i="2" s="1"/>
  <c r="L2015" i="2"/>
  <c r="M2015" i="2" s="1"/>
  <c r="J2015" i="2"/>
  <c r="I2015" i="2"/>
  <c r="H2015" i="2"/>
  <c r="AA2014" i="2"/>
  <c r="W2014" i="2"/>
  <c r="AB2014" i="2"/>
  <c r="L2014" i="2"/>
  <c r="M2014" i="2" s="1"/>
  <c r="J2014" i="2"/>
  <c r="I2014" i="2"/>
  <c r="H2014" i="2"/>
  <c r="L2013" i="2"/>
  <c r="M2013" i="2" s="1"/>
  <c r="J2013" i="2"/>
  <c r="I2013" i="2"/>
  <c r="H2013" i="2"/>
  <c r="AA2012" i="2"/>
  <c r="W2012" i="2"/>
  <c r="AF2012" i="2" s="1"/>
  <c r="AB2012" i="2"/>
  <c r="L2012" i="2"/>
  <c r="M2012" i="2" s="1"/>
  <c r="J2012" i="2"/>
  <c r="I2012" i="2"/>
  <c r="H2012" i="2"/>
  <c r="W2011" i="2"/>
  <c r="L2011" i="2"/>
  <c r="M2011" i="2" s="1"/>
  <c r="J2011" i="2"/>
  <c r="I2011" i="2"/>
  <c r="H2011" i="2"/>
  <c r="L2010" i="2"/>
  <c r="M2010" i="2" s="1"/>
  <c r="J2010" i="2"/>
  <c r="I2010" i="2"/>
  <c r="H2010" i="2"/>
  <c r="W2009" i="2"/>
  <c r="AF2009" i="2" s="1"/>
  <c r="L2009" i="2"/>
  <c r="M2009" i="2" s="1"/>
  <c r="J2009" i="2"/>
  <c r="I2009" i="2"/>
  <c r="H2009" i="2"/>
  <c r="W2008" i="2"/>
  <c r="AF2008" i="2" s="1"/>
  <c r="L2008" i="2"/>
  <c r="M2008" i="2" s="1"/>
  <c r="J2008" i="2"/>
  <c r="I2008" i="2"/>
  <c r="H2008" i="2"/>
  <c r="L2007" i="2"/>
  <c r="M2007" i="2" s="1"/>
  <c r="J2007" i="2"/>
  <c r="I2007" i="2"/>
  <c r="H2007" i="2"/>
  <c r="W2006" i="2"/>
  <c r="AF2006" i="2" s="1"/>
  <c r="L2006" i="2"/>
  <c r="M2006" i="2" s="1"/>
  <c r="J2006" i="2"/>
  <c r="I2006" i="2"/>
  <c r="H2006" i="2"/>
  <c r="W2005" i="2"/>
  <c r="AF2005" i="2" s="1"/>
  <c r="L2005" i="2"/>
  <c r="M2005" i="2" s="1"/>
  <c r="J2005" i="2"/>
  <c r="I2005" i="2"/>
  <c r="H2005" i="2"/>
  <c r="W2004" i="2"/>
  <c r="AF2004" i="2" s="1"/>
  <c r="L2004" i="2"/>
  <c r="M2004" i="2" s="1"/>
  <c r="J2004" i="2"/>
  <c r="I2004" i="2"/>
  <c r="H2004" i="2"/>
  <c r="W2003" i="2"/>
  <c r="AF2003" i="2" s="1"/>
  <c r="L2003" i="2"/>
  <c r="M2003" i="2" s="1"/>
  <c r="J2003" i="2"/>
  <c r="I2003" i="2"/>
  <c r="H2003" i="2"/>
  <c r="W2002" i="2"/>
  <c r="AF2002" i="2" s="1"/>
  <c r="L2002" i="2"/>
  <c r="M2002" i="2" s="1"/>
  <c r="J2002" i="2"/>
  <c r="I2002" i="2"/>
  <c r="H2002" i="2"/>
  <c r="N2001" i="2"/>
  <c r="W2001" i="2" s="1"/>
  <c r="T2001" i="2"/>
  <c r="L2001" i="2"/>
  <c r="M2001" i="2" s="1"/>
  <c r="J2001" i="2"/>
  <c r="I2001" i="2"/>
  <c r="H2001" i="2"/>
  <c r="N2000" i="2"/>
  <c r="W2000" i="2"/>
  <c r="L2000" i="2"/>
  <c r="M2000" i="2" s="1"/>
  <c r="J2000" i="2"/>
  <c r="I2000" i="2"/>
  <c r="H2000" i="2"/>
  <c r="L1999" i="2"/>
  <c r="M1999" i="2" s="1"/>
  <c r="J1999" i="2"/>
  <c r="I1999" i="2"/>
  <c r="H1999" i="2"/>
  <c r="W1992" i="2"/>
  <c r="L1992" i="2"/>
  <c r="M1992" i="2" s="1"/>
  <c r="J1992" i="2"/>
  <c r="I1992" i="2"/>
  <c r="H1992" i="2"/>
  <c r="W1991" i="2"/>
  <c r="L1991" i="2"/>
  <c r="M1991" i="2" s="1"/>
  <c r="J1991" i="2"/>
  <c r="I1991" i="2"/>
  <c r="H1991" i="2"/>
  <c r="W1990" i="2"/>
  <c r="L1990" i="2"/>
  <c r="M1990" i="2" s="1"/>
  <c r="J1990" i="2"/>
  <c r="I1990" i="2"/>
  <c r="H1990" i="2"/>
  <c r="W1989" i="2"/>
  <c r="L1989" i="2"/>
  <c r="M1989" i="2" s="1"/>
  <c r="J1989" i="2"/>
  <c r="I1989" i="2"/>
  <c r="H1989" i="2"/>
  <c r="N1988" i="2"/>
  <c r="W1988" i="2"/>
  <c r="P1988" i="2"/>
  <c r="L1988" i="2"/>
  <c r="M1988" i="2" s="1"/>
  <c r="J1988" i="2"/>
  <c r="I1988" i="2"/>
  <c r="H1988" i="2"/>
  <c r="N1987" i="2"/>
  <c r="W1987" i="2" s="1"/>
  <c r="L1987" i="2"/>
  <c r="M1987" i="2" s="1"/>
  <c r="J1987" i="2"/>
  <c r="I1987" i="2"/>
  <c r="H1987" i="2"/>
  <c r="W1986" i="2"/>
  <c r="L1986" i="2"/>
  <c r="M1986" i="2" s="1"/>
  <c r="J1986" i="2"/>
  <c r="I1986" i="2"/>
  <c r="H1986" i="2"/>
  <c r="W1985" i="2"/>
  <c r="L1985" i="2"/>
  <c r="M1985" i="2" s="1"/>
  <c r="J1985" i="2"/>
  <c r="I1985" i="2"/>
  <c r="H1985" i="2"/>
  <c r="L1984" i="2"/>
  <c r="M1984" i="2" s="1"/>
  <c r="J1984" i="2"/>
  <c r="I1984" i="2"/>
  <c r="H1984" i="2"/>
  <c r="W1983" i="2"/>
  <c r="L1983" i="2"/>
  <c r="M1983" i="2" s="1"/>
  <c r="J1983" i="2"/>
  <c r="I1983" i="2"/>
  <c r="H1983" i="2"/>
  <c r="L1982" i="2"/>
  <c r="M1982" i="2" s="1"/>
  <c r="J1982" i="2"/>
  <c r="I1982" i="2"/>
  <c r="H1982" i="2"/>
  <c r="W1981" i="2"/>
  <c r="L1981" i="2"/>
  <c r="M1981" i="2" s="1"/>
  <c r="J1981" i="2"/>
  <c r="I1981" i="2"/>
  <c r="H1981" i="2"/>
  <c r="N1980" i="2"/>
  <c r="W1980" i="2" s="1"/>
  <c r="P1980" i="2"/>
  <c r="L1980" i="2"/>
  <c r="M1980" i="2" s="1"/>
  <c r="J1980" i="2"/>
  <c r="I1980" i="2"/>
  <c r="H1980" i="2"/>
  <c r="W1979" i="2"/>
  <c r="L1979" i="2"/>
  <c r="M1979" i="2" s="1"/>
  <c r="J1979" i="2"/>
  <c r="I1979" i="2"/>
  <c r="H1979" i="2"/>
  <c r="W1978" i="2"/>
  <c r="L1978" i="2"/>
  <c r="M1978" i="2" s="1"/>
  <c r="J1978" i="2"/>
  <c r="I1978" i="2"/>
  <c r="H1978" i="2"/>
  <c r="N1977" i="2"/>
  <c r="W1977" i="2"/>
  <c r="P1977" i="2"/>
  <c r="L1977" i="2"/>
  <c r="M1977" i="2" s="1"/>
  <c r="J1977" i="2"/>
  <c r="I1977" i="2"/>
  <c r="H1977" i="2"/>
  <c r="N1976" i="2"/>
  <c r="W1976" i="2" s="1"/>
  <c r="L1976" i="2"/>
  <c r="M1976" i="2" s="1"/>
  <c r="J1976" i="2"/>
  <c r="I1976" i="2"/>
  <c r="H1976" i="2"/>
  <c r="W1975" i="2"/>
  <c r="L1975" i="2"/>
  <c r="M1975" i="2" s="1"/>
  <c r="J1975" i="2"/>
  <c r="I1975" i="2"/>
  <c r="H1975" i="2"/>
  <c r="W1974" i="2"/>
  <c r="L1974" i="2"/>
  <c r="M1974" i="2" s="1"/>
  <c r="J1974" i="2"/>
  <c r="I1974" i="2"/>
  <c r="H1974" i="2"/>
  <c r="L1973" i="2"/>
  <c r="M1973" i="2" s="1"/>
  <c r="J1973" i="2"/>
  <c r="I1973" i="2"/>
  <c r="H1973" i="2"/>
  <c r="W1972" i="2"/>
  <c r="L1972" i="2"/>
  <c r="M1972" i="2" s="1"/>
  <c r="J1972" i="2"/>
  <c r="I1972" i="2"/>
  <c r="H1972" i="2"/>
  <c r="L1971" i="2"/>
  <c r="M1971" i="2" s="1"/>
  <c r="J1971" i="2"/>
  <c r="I1971" i="2"/>
  <c r="H1971" i="2"/>
  <c r="W1970" i="2"/>
  <c r="AF1970" i="2" s="1"/>
  <c r="L1970" i="2"/>
  <c r="M1970" i="2" s="1"/>
  <c r="J1970" i="2"/>
  <c r="I1970" i="2"/>
  <c r="H1970" i="2"/>
  <c r="W1969" i="2"/>
  <c r="AF1969" i="2" s="1"/>
  <c r="L1969" i="2"/>
  <c r="M1969" i="2" s="1"/>
  <c r="J1969" i="2"/>
  <c r="I1969" i="2"/>
  <c r="H1969" i="2"/>
  <c r="W1968" i="2"/>
  <c r="AF1968" i="2" s="1"/>
  <c r="L1968" i="2"/>
  <c r="M1968" i="2" s="1"/>
  <c r="J1968" i="2"/>
  <c r="I1968" i="2"/>
  <c r="H1968" i="2"/>
  <c r="W1967" i="2"/>
  <c r="AF1967" i="2" s="1"/>
  <c r="L1967" i="2"/>
  <c r="M1967" i="2" s="1"/>
  <c r="J1967" i="2"/>
  <c r="I1967" i="2"/>
  <c r="H1967" i="2"/>
  <c r="N1966" i="2"/>
  <c r="W1966" i="2" s="1"/>
  <c r="T1966" i="2"/>
  <c r="L1966" i="2"/>
  <c r="M1966" i="2" s="1"/>
  <c r="J1966" i="2"/>
  <c r="I1966" i="2"/>
  <c r="H1966" i="2"/>
  <c r="N1965" i="2"/>
  <c r="T1965" i="2"/>
  <c r="W1965" i="2"/>
  <c r="L1965" i="2"/>
  <c r="M1965" i="2" s="1"/>
  <c r="J1965" i="2"/>
  <c r="I1965" i="2"/>
  <c r="H1965" i="2"/>
  <c r="N1964" i="2"/>
  <c r="T1964" i="2"/>
  <c r="W1964" i="2" s="1"/>
  <c r="L1964" i="2"/>
  <c r="M1964" i="2" s="1"/>
  <c r="J1964" i="2"/>
  <c r="I1964" i="2"/>
  <c r="H1964" i="2"/>
  <c r="N1963" i="2"/>
  <c r="W1963" i="2" s="1"/>
  <c r="T1963" i="2"/>
  <c r="L1963" i="2"/>
  <c r="M1963" i="2" s="1"/>
  <c r="J1963" i="2"/>
  <c r="I1963" i="2"/>
  <c r="H1963" i="2"/>
  <c r="N1962" i="2"/>
  <c r="W1962" i="2" s="1"/>
  <c r="T1962" i="2"/>
  <c r="L1962" i="2"/>
  <c r="M1962" i="2" s="1"/>
  <c r="J1962" i="2"/>
  <c r="I1962" i="2"/>
  <c r="H1962" i="2"/>
  <c r="N1961" i="2"/>
  <c r="T1961" i="2"/>
  <c r="W1961" i="2"/>
  <c r="L1961" i="2"/>
  <c r="M1961" i="2" s="1"/>
  <c r="J1961" i="2"/>
  <c r="I1961" i="2"/>
  <c r="H1961" i="2"/>
  <c r="N1960" i="2"/>
  <c r="T1960" i="2"/>
  <c r="W1960" i="2" s="1"/>
  <c r="L1960" i="2"/>
  <c r="M1960" i="2" s="1"/>
  <c r="J1960" i="2"/>
  <c r="I1960" i="2"/>
  <c r="H1960" i="2"/>
  <c r="L1959" i="2"/>
  <c r="M1959" i="2" s="1"/>
  <c r="J1959" i="2"/>
  <c r="I1959" i="2"/>
  <c r="H1959" i="2"/>
  <c r="W1958" i="2"/>
  <c r="L1958" i="2"/>
  <c r="M1958" i="2" s="1"/>
  <c r="J1958" i="2"/>
  <c r="I1958" i="2"/>
  <c r="H1958" i="2"/>
  <c r="N1957" i="2"/>
  <c r="W1957" i="2" s="1"/>
  <c r="T1957" i="2"/>
  <c r="L1957" i="2"/>
  <c r="M1957" i="2" s="1"/>
  <c r="J1957" i="2"/>
  <c r="I1957" i="2"/>
  <c r="H1957" i="2"/>
  <c r="L1956" i="2"/>
  <c r="M1956" i="2" s="1"/>
  <c r="J1956" i="2"/>
  <c r="I1956" i="2"/>
  <c r="H1956" i="2"/>
  <c r="AD1955" i="2"/>
  <c r="L1955" i="2"/>
  <c r="M1955" i="2" s="1"/>
  <c r="J1955" i="2"/>
  <c r="I1955" i="2"/>
  <c r="H1955" i="2"/>
  <c r="L1954" i="2"/>
  <c r="M1954" i="2" s="1"/>
  <c r="J1954" i="2"/>
  <c r="I1954" i="2"/>
  <c r="H1954" i="2"/>
  <c r="W1953" i="2"/>
  <c r="L1953" i="2"/>
  <c r="M1953" i="2" s="1"/>
  <c r="J1953" i="2"/>
  <c r="I1953" i="2"/>
  <c r="H1953" i="2"/>
  <c r="N1952" i="2"/>
  <c r="T1952" i="2"/>
  <c r="W1952" i="2"/>
  <c r="AF1952" i="2" s="1"/>
  <c r="P1952" i="2"/>
  <c r="L1952" i="2"/>
  <c r="M1952" i="2" s="1"/>
  <c r="J1952" i="2"/>
  <c r="I1952" i="2"/>
  <c r="H1952" i="2"/>
  <c r="N1951" i="2"/>
  <c r="W1951" i="2" s="1"/>
  <c r="AF1951" i="2" s="1"/>
  <c r="L1951" i="2"/>
  <c r="M1951" i="2" s="1"/>
  <c r="J1951" i="2"/>
  <c r="I1951" i="2"/>
  <c r="H1951" i="2"/>
  <c r="N1950" i="2"/>
  <c r="W1950" i="2" s="1"/>
  <c r="AF1950" i="2" s="1"/>
  <c r="T1950" i="2"/>
  <c r="L1950" i="2"/>
  <c r="M1950" i="2" s="1"/>
  <c r="J1950" i="2"/>
  <c r="I1950" i="2"/>
  <c r="H1950" i="2"/>
  <c r="N1949" i="2"/>
  <c r="W1949" i="2"/>
  <c r="AF1949" i="2" s="1"/>
  <c r="L1949" i="2"/>
  <c r="M1949" i="2" s="1"/>
  <c r="J1949" i="2"/>
  <c r="I1949" i="2"/>
  <c r="H1949" i="2"/>
  <c r="L1948" i="2"/>
  <c r="M1948" i="2" s="1"/>
  <c r="J1948" i="2"/>
  <c r="I1948" i="2"/>
  <c r="H1948" i="2"/>
  <c r="N1947" i="2"/>
  <c r="W1947" i="2" s="1"/>
  <c r="AF1947" i="2" s="1"/>
  <c r="T1947" i="2"/>
  <c r="L1947" i="2"/>
  <c r="M1947" i="2" s="1"/>
  <c r="J1947" i="2"/>
  <c r="I1947" i="2"/>
  <c r="H1947" i="2"/>
  <c r="AD1946" i="2"/>
  <c r="L1946" i="2"/>
  <c r="M1946" i="2" s="1"/>
  <c r="J1946" i="2"/>
  <c r="I1946" i="2"/>
  <c r="H1946" i="2"/>
  <c r="L1945" i="2"/>
  <c r="M1945" i="2" s="1"/>
  <c r="J1945" i="2"/>
  <c r="I1945" i="2"/>
  <c r="H1945" i="2"/>
  <c r="N1944" i="2"/>
  <c r="W1944" i="2" s="1"/>
  <c r="AF1944" i="2" s="1"/>
  <c r="T1944" i="2"/>
  <c r="L1944" i="2"/>
  <c r="M1944" i="2" s="1"/>
  <c r="J1944" i="2"/>
  <c r="I1944" i="2"/>
  <c r="H1944" i="2"/>
  <c r="N1943" i="2"/>
  <c r="W1943" i="2" s="1"/>
  <c r="AF1943" i="2" s="1"/>
  <c r="T1943" i="2"/>
  <c r="L1943" i="2"/>
  <c r="M1943" i="2" s="1"/>
  <c r="J1943" i="2"/>
  <c r="I1943" i="2"/>
  <c r="H1943" i="2"/>
  <c r="N1942" i="2"/>
  <c r="T1942" i="2"/>
  <c r="W1942" i="2" s="1"/>
  <c r="AF1942" i="2" s="1"/>
  <c r="L1942" i="2"/>
  <c r="M1942" i="2" s="1"/>
  <c r="J1942" i="2"/>
  <c r="I1942" i="2"/>
  <c r="H1942" i="2"/>
  <c r="N1941" i="2"/>
  <c r="T1941" i="2"/>
  <c r="W1941" i="2"/>
  <c r="AF1941" i="2" s="1"/>
  <c r="L1941" i="2"/>
  <c r="M1941" i="2" s="1"/>
  <c r="J1941" i="2"/>
  <c r="I1941" i="2"/>
  <c r="H1941" i="2"/>
  <c r="N1940" i="2"/>
  <c r="W1940" i="2" s="1"/>
  <c r="AF1940" i="2" s="1"/>
  <c r="T1940" i="2"/>
  <c r="L1940" i="2"/>
  <c r="M1940" i="2" s="1"/>
  <c r="J1940" i="2"/>
  <c r="I1940" i="2"/>
  <c r="H1940" i="2"/>
  <c r="N1939" i="2"/>
  <c r="W1939" i="2" s="1"/>
  <c r="T1939" i="2"/>
  <c r="L1939" i="2"/>
  <c r="M1939" i="2" s="1"/>
  <c r="J1939" i="2"/>
  <c r="I1939" i="2"/>
  <c r="H1939" i="2"/>
  <c r="L1938" i="2"/>
  <c r="M1938" i="2" s="1"/>
  <c r="J1938" i="2"/>
  <c r="I1938" i="2"/>
  <c r="H1938" i="2"/>
  <c r="N1937" i="2"/>
  <c r="T1937" i="2"/>
  <c r="W1937" i="2" s="1"/>
  <c r="AF1937" i="2" s="1"/>
  <c r="L1937" i="2"/>
  <c r="M1937" i="2" s="1"/>
  <c r="J1937" i="2"/>
  <c r="I1937" i="2"/>
  <c r="H1937" i="2"/>
  <c r="AD1936" i="2"/>
  <c r="L1936" i="2"/>
  <c r="M1936" i="2" s="1"/>
  <c r="J1936" i="2"/>
  <c r="I1936" i="2"/>
  <c r="H1936" i="2"/>
  <c r="N1935" i="2"/>
  <c r="T1935" i="2"/>
  <c r="W1935" i="2" s="1"/>
  <c r="AF1935" i="2" s="1"/>
  <c r="L1935" i="2"/>
  <c r="M1935" i="2" s="1"/>
  <c r="J1935" i="2"/>
  <c r="I1935" i="2"/>
  <c r="H1935" i="2"/>
  <c r="N1934" i="2"/>
  <c r="T1934" i="2"/>
  <c r="W1934" i="2"/>
  <c r="AF1934" i="2" s="1"/>
  <c r="L1934" i="2"/>
  <c r="M1934" i="2" s="1"/>
  <c r="J1934" i="2"/>
  <c r="I1934" i="2"/>
  <c r="H1934" i="2"/>
  <c r="N1933" i="2"/>
  <c r="W1933" i="2" s="1"/>
  <c r="T1933" i="2"/>
  <c r="L1933" i="2"/>
  <c r="M1933" i="2" s="1"/>
  <c r="J1933" i="2"/>
  <c r="I1933" i="2"/>
  <c r="H1933" i="2"/>
  <c r="L1932" i="2"/>
  <c r="M1932" i="2" s="1"/>
  <c r="J1932" i="2"/>
  <c r="I1932" i="2"/>
  <c r="H1932" i="2"/>
  <c r="N1931" i="2"/>
  <c r="W1931" i="2" s="1"/>
  <c r="T1931" i="2"/>
  <c r="L1931" i="2"/>
  <c r="M1931" i="2" s="1"/>
  <c r="J1931" i="2"/>
  <c r="I1931" i="2"/>
  <c r="H1931" i="2"/>
  <c r="L1930" i="2"/>
  <c r="M1930" i="2" s="1"/>
  <c r="J1930" i="2"/>
  <c r="I1930" i="2"/>
  <c r="H1930" i="2"/>
  <c r="W1929" i="2"/>
  <c r="L1929" i="2"/>
  <c r="M1929" i="2" s="1"/>
  <c r="J1929" i="2"/>
  <c r="I1929" i="2"/>
  <c r="H1929" i="2"/>
  <c r="W1928" i="2"/>
  <c r="L1928" i="2"/>
  <c r="M1928" i="2" s="1"/>
  <c r="J1928" i="2"/>
  <c r="I1928" i="2"/>
  <c r="H1928" i="2"/>
  <c r="W1927" i="2"/>
  <c r="L1927" i="2"/>
  <c r="M1927" i="2" s="1"/>
  <c r="J1927" i="2"/>
  <c r="I1927" i="2"/>
  <c r="H1927" i="2"/>
  <c r="L1926" i="2"/>
  <c r="M1926" i="2" s="1"/>
  <c r="J1926" i="2"/>
  <c r="I1926" i="2"/>
  <c r="H1926" i="2"/>
  <c r="W1925" i="2"/>
  <c r="AF1925" i="2" s="1"/>
  <c r="L1925" i="2"/>
  <c r="M1925" i="2" s="1"/>
  <c r="J1925" i="2"/>
  <c r="I1925" i="2"/>
  <c r="H1925" i="2"/>
  <c r="N1924" i="2"/>
  <c r="W1924" i="2"/>
  <c r="AF1924" i="2" s="1"/>
  <c r="L1924" i="2"/>
  <c r="M1924" i="2" s="1"/>
  <c r="J1924" i="2"/>
  <c r="I1924" i="2"/>
  <c r="H1924" i="2"/>
  <c r="W1923" i="2"/>
  <c r="AF1923" i="2" s="1"/>
  <c r="L1923" i="2"/>
  <c r="M1923" i="2" s="1"/>
  <c r="J1923" i="2"/>
  <c r="I1923" i="2"/>
  <c r="H1923" i="2"/>
  <c r="W1922" i="2"/>
  <c r="AF1922" i="2" s="1"/>
  <c r="L1922" i="2"/>
  <c r="M1922" i="2" s="1"/>
  <c r="J1922" i="2"/>
  <c r="I1922" i="2"/>
  <c r="H1922" i="2"/>
  <c r="L1921" i="2"/>
  <c r="M1921" i="2" s="1"/>
  <c r="J1921" i="2"/>
  <c r="I1921" i="2"/>
  <c r="H1921" i="2"/>
  <c r="W1920" i="2"/>
  <c r="L1920" i="2"/>
  <c r="M1920" i="2" s="1"/>
  <c r="J1920" i="2"/>
  <c r="I1920" i="2"/>
  <c r="H1920" i="2"/>
  <c r="W1919" i="2"/>
  <c r="L1919" i="2"/>
  <c r="M1919" i="2" s="1"/>
  <c r="J1919" i="2"/>
  <c r="I1919" i="2"/>
  <c r="H1919" i="2"/>
  <c r="AD1918" i="2"/>
  <c r="L1918" i="2"/>
  <c r="M1918" i="2" s="1"/>
  <c r="J1918" i="2"/>
  <c r="I1918" i="2"/>
  <c r="H1918" i="2"/>
  <c r="L1917" i="2"/>
  <c r="M1917" i="2" s="1"/>
  <c r="J1917" i="2"/>
  <c r="I1917" i="2"/>
  <c r="H1917" i="2"/>
  <c r="W1916" i="2"/>
  <c r="L1916" i="2"/>
  <c r="M1916" i="2" s="1"/>
  <c r="J1916" i="2"/>
  <c r="I1916" i="2"/>
  <c r="H1916" i="2"/>
  <c r="W1915" i="2"/>
  <c r="L1915" i="2"/>
  <c r="M1915" i="2" s="1"/>
  <c r="J1915" i="2"/>
  <c r="I1915" i="2"/>
  <c r="H1915" i="2"/>
  <c r="W1914" i="2"/>
  <c r="L1914" i="2"/>
  <c r="M1914" i="2" s="1"/>
  <c r="J1914" i="2"/>
  <c r="I1914" i="2"/>
  <c r="H1914" i="2"/>
  <c r="L1913" i="2"/>
  <c r="M1913" i="2" s="1"/>
  <c r="J1913" i="2"/>
  <c r="I1913" i="2"/>
  <c r="H1913" i="2"/>
  <c r="W1912" i="2"/>
  <c r="L1912" i="2"/>
  <c r="M1912" i="2" s="1"/>
  <c r="J1912" i="2"/>
  <c r="I1912" i="2"/>
  <c r="H1912" i="2"/>
  <c r="N1911" i="2"/>
  <c r="W1911" i="2" s="1"/>
  <c r="AF1911" i="2" s="1"/>
  <c r="L1911" i="2"/>
  <c r="M1911" i="2" s="1"/>
  <c r="J1911" i="2"/>
  <c r="I1911" i="2"/>
  <c r="H1911" i="2"/>
  <c r="W1910" i="2"/>
  <c r="AF1910" i="2" s="1"/>
  <c r="L1910" i="2"/>
  <c r="M1910" i="2" s="1"/>
  <c r="J1910" i="2"/>
  <c r="I1910" i="2"/>
  <c r="H1910" i="2"/>
  <c r="W1909" i="2"/>
  <c r="AF1909" i="2" s="1"/>
  <c r="L1909" i="2"/>
  <c r="M1909" i="2" s="1"/>
  <c r="J1909" i="2"/>
  <c r="I1909" i="2"/>
  <c r="H1909" i="2"/>
  <c r="L1908" i="2"/>
  <c r="M1908" i="2" s="1"/>
  <c r="J1908" i="2"/>
  <c r="I1908" i="2"/>
  <c r="H1908" i="2"/>
  <c r="W1907" i="2"/>
  <c r="L1907" i="2"/>
  <c r="M1907" i="2" s="1"/>
  <c r="J1907" i="2"/>
  <c r="I1907" i="2"/>
  <c r="H1907" i="2"/>
  <c r="W1906" i="2"/>
  <c r="L1906" i="2"/>
  <c r="M1906" i="2" s="1"/>
  <c r="J1906" i="2"/>
  <c r="I1906" i="2"/>
  <c r="H1906" i="2"/>
  <c r="AD1905" i="2"/>
  <c r="L1905" i="2"/>
  <c r="M1905" i="2" s="1"/>
  <c r="J1905" i="2"/>
  <c r="I1905" i="2"/>
  <c r="H1905" i="2"/>
  <c r="L1904" i="2"/>
  <c r="M1904" i="2" s="1"/>
  <c r="J1904" i="2"/>
  <c r="I1904" i="2"/>
  <c r="H1904" i="2"/>
  <c r="W1903" i="2"/>
  <c r="L1903" i="2"/>
  <c r="M1903" i="2" s="1"/>
  <c r="J1903" i="2"/>
  <c r="I1903" i="2"/>
  <c r="H1903" i="2"/>
  <c r="W1902" i="2"/>
  <c r="L1902" i="2"/>
  <c r="M1902" i="2" s="1"/>
  <c r="J1902" i="2"/>
  <c r="I1902" i="2"/>
  <c r="H1902" i="2"/>
  <c r="W1901" i="2"/>
  <c r="L1901" i="2"/>
  <c r="M1901" i="2" s="1"/>
  <c r="J1901" i="2"/>
  <c r="I1901" i="2"/>
  <c r="H1901" i="2"/>
  <c r="L1900" i="2"/>
  <c r="M1900" i="2" s="1"/>
  <c r="J1900" i="2"/>
  <c r="I1900" i="2"/>
  <c r="H1900" i="2"/>
  <c r="W1899" i="2"/>
  <c r="L1899" i="2"/>
  <c r="M1899" i="2" s="1"/>
  <c r="J1899" i="2"/>
  <c r="I1899" i="2"/>
  <c r="H1899" i="2"/>
  <c r="N1898" i="2"/>
  <c r="W1898" i="2"/>
  <c r="AF1898" i="2" s="1"/>
  <c r="L1898" i="2"/>
  <c r="M1898" i="2" s="1"/>
  <c r="J1898" i="2"/>
  <c r="I1898" i="2"/>
  <c r="H1898" i="2"/>
  <c r="W1897" i="2"/>
  <c r="AF1897" i="2" s="1"/>
  <c r="L1897" i="2"/>
  <c r="M1897" i="2" s="1"/>
  <c r="J1897" i="2"/>
  <c r="I1897" i="2"/>
  <c r="H1897" i="2"/>
  <c r="W1896" i="2"/>
  <c r="AF1896" i="2" s="1"/>
  <c r="L1896" i="2"/>
  <c r="M1896" i="2" s="1"/>
  <c r="J1896" i="2"/>
  <c r="I1896" i="2"/>
  <c r="H1896" i="2"/>
  <c r="L1895" i="2"/>
  <c r="M1895" i="2" s="1"/>
  <c r="J1895" i="2"/>
  <c r="I1895" i="2"/>
  <c r="H1895" i="2"/>
  <c r="W1894" i="2"/>
  <c r="L1894" i="2"/>
  <c r="M1894" i="2" s="1"/>
  <c r="J1894" i="2"/>
  <c r="I1894" i="2"/>
  <c r="H1894" i="2"/>
  <c r="W1893" i="2"/>
  <c r="L1893" i="2"/>
  <c r="M1893" i="2" s="1"/>
  <c r="J1893" i="2"/>
  <c r="I1893" i="2"/>
  <c r="H1893" i="2"/>
  <c r="AD1892" i="2"/>
  <c r="L1892" i="2"/>
  <c r="M1892" i="2" s="1"/>
  <c r="J1892" i="2"/>
  <c r="I1892" i="2"/>
  <c r="H1892" i="2"/>
  <c r="L1891" i="2"/>
  <c r="M1891" i="2" s="1"/>
  <c r="J1891" i="2"/>
  <c r="I1891" i="2"/>
  <c r="H1891" i="2"/>
  <c r="L1890" i="2"/>
  <c r="M1890" i="2" s="1"/>
  <c r="J1890" i="2"/>
  <c r="I1890" i="2"/>
  <c r="H1890" i="2"/>
  <c r="W1889" i="2"/>
  <c r="L1889" i="2"/>
  <c r="M1889" i="2" s="1"/>
  <c r="J1889" i="2"/>
  <c r="I1889" i="2"/>
  <c r="H1889" i="2"/>
  <c r="W1888" i="2"/>
  <c r="L1888" i="2"/>
  <c r="M1888" i="2" s="1"/>
  <c r="J1888" i="2"/>
  <c r="I1888" i="2"/>
  <c r="H1888" i="2"/>
  <c r="L1887" i="2"/>
  <c r="M1887" i="2" s="1"/>
  <c r="J1887" i="2"/>
  <c r="I1887" i="2"/>
  <c r="H1887" i="2"/>
  <c r="W1886" i="2"/>
  <c r="L1886" i="2"/>
  <c r="M1886" i="2" s="1"/>
  <c r="J1886" i="2"/>
  <c r="I1886" i="2"/>
  <c r="H1886" i="2"/>
  <c r="N1885" i="2"/>
  <c r="W1885" i="2"/>
  <c r="L1885" i="2"/>
  <c r="M1885" i="2" s="1"/>
  <c r="J1885" i="2"/>
  <c r="I1885" i="2"/>
  <c r="H1885" i="2"/>
  <c r="W1884" i="2"/>
  <c r="AF1884" i="2" s="1"/>
  <c r="L1884" i="2"/>
  <c r="M1884" i="2" s="1"/>
  <c r="J1884" i="2"/>
  <c r="I1884" i="2"/>
  <c r="H1884" i="2"/>
  <c r="W1883" i="2"/>
  <c r="AF1883" i="2" s="1"/>
  <c r="L1883" i="2"/>
  <c r="M1883" i="2" s="1"/>
  <c r="J1883" i="2"/>
  <c r="I1883" i="2"/>
  <c r="H1883" i="2"/>
  <c r="AA1882" i="2"/>
  <c r="L1882" i="2"/>
  <c r="M1882" i="2" s="1"/>
  <c r="J1882" i="2"/>
  <c r="I1882" i="2"/>
  <c r="H1882" i="2"/>
  <c r="W1881" i="2"/>
  <c r="L1881" i="2"/>
  <c r="M1881" i="2" s="1"/>
  <c r="J1881" i="2"/>
  <c r="I1881" i="2"/>
  <c r="H1881" i="2"/>
  <c r="W1880" i="2"/>
  <c r="L1880" i="2"/>
  <c r="M1880" i="2" s="1"/>
  <c r="J1880" i="2"/>
  <c r="I1880" i="2"/>
  <c r="H1880" i="2"/>
  <c r="AD1879" i="2"/>
  <c r="L1879" i="2"/>
  <c r="M1879" i="2" s="1"/>
  <c r="J1879" i="2"/>
  <c r="I1879" i="2"/>
  <c r="H1879" i="2"/>
  <c r="L1878" i="2"/>
  <c r="M1878" i="2" s="1"/>
  <c r="J1878" i="2"/>
  <c r="I1878" i="2"/>
  <c r="H1878" i="2"/>
  <c r="L1877" i="2"/>
  <c r="M1877" i="2" s="1"/>
  <c r="J1877" i="2"/>
  <c r="I1877" i="2"/>
  <c r="H1877" i="2"/>
  <c r="W1876" i="2"/>
  <c r="L1876" i="2"/>
  <c r="M1876" i="2" s="1"/>
  <c r="J1876" i="2"/>
  <c r="I1876" i="2"/>
  <c r="H1876" i="2"/>
  <c r="W1875" i="2"/>
  <c r="L1875" i="2"/>
  <c r="M1875" i="2" s="1"/>
  <c r="J1875" i="2"/>
  <c r="I1875" i="2"/>
  <c r="H1875" i="2"/>
  <c r="AA1874" i="2"/>
  <c r="AB1874" i="2"/>
  <c r="L1874" i="2"/>
  <c r="M1874" i="2" s="1"/>
  <c r="J1874" i="2"/>
  <c r="I1874" i="2"/>
  <c r="H1874" i="2"/>
  <c r="AB1873" i="2"/>
  <c r="AA1873" i="2"/>
  <c r="W1873" i="2"/>
  <c r="L1873" i="2"/>
  <c r="M1873" i="2" s="1"/>
  <c r="J1873" i="2"/>
  <c r="I1873" i="2"/>
  <c r="H1873" i="2"/>
  <c r="AA1872" i="2"/>
  <c r="N1872" i="2"/>
  <c r="W1872" i="2"/>
  <c r="AF1872" i="2" s="1"/>
  <c r="AB1872" i="2"/>
  <c r="L1872" i="2"/>
  <c r="M1872" i="2" s="1"/>
  <c r="J1872" i="2"/>
  <c r="I1872" i="2"/>
  <c r="H1872" i="2"/>
  <c r="AA1871" i="2"/>
  <c r="W1871" i="2"/>
  <c r="AB1871" i="2"/>
  <c r="L1871" i="2"/>
  <c r="M1871" i="2" s="1"/>
  <c r="J1871" i="2"/>
  <c r="I1871" i="2"/>
  <c r="H1871" i="2"/>
  <c r="AA1870" i="2"/>
  <c r="W1870" i="2"/>
  <c r="AF1870" i="2" s="1"/>
  <c r="AB1870" i="2"/>
  <c r="L1870" i="2"/>
  <c r="M1870" i="2" s="1"/>
  <c r="J1870" i="2"/>
  <c r="I1870" i="2"/>
  <c r="H1870" i="2"/>
  <c r="L1869" i="2"/>
  <c r="M1869" i="2" s="1"/>
  <c r="J1869" i="2"/>
  <c r="I1869" i="2"/>
  <c r="H1869" i="2"/>
  <c r="L1868" i="2"/>
  <c r="M1868" i="2" s="1"/>
  <c r="J1868" i="2"/>
  <c r="I1868" i="2"/>
  <c r="H1868" i="2"/>
  <c r="W1867" i="2"/>
  <c r="L1867" i="2"/>
  <c r="M1867" i="2" s="1"/>
  <c r="J1867" i="2"/>
  <c r="I1867" i="2"/>
  <c r="H1867" i="2"/>
  <c r="W1866" i="2"/>
  <c r="L1866" i="2"/>
  <c r="M1866" i="2" s="1"/>
  <c r="J1866" i="2"/>
  <c r="I1866" i="2"/>
  <c r="H1866" i="2"/>
  <c r="AA1865" i="2"/>
  <c r="AB1865" i="2"/>
  <c r="L1865" i="2"/>
  <c r="M1865" i="2" s="1"/>
  <c r="J1865" i="2"/>
  <c r="I1865" i="2"/>
  <c r="H1865" i="2"/>
  <c r="AB1864" i="2"/>
  <c r="AA1864" i="2"/>
  <c r="W1864" i="2"/>
  <c r="L1864" i="2"/>
  <c r="M1864" i="2" s="1"/>
  <c r="J1864" i="2"/>
  <c r="I1864" i="2"/>
  <c r="H1864" i="2"/>
  <c r="AA1863" i="2"/>
  <c r="N1863" i="2"/>
  <c r="W1863" i="2" s="1"/>
  <c r="AF1863" i="2" s="1"/>
  <c r="AB1863" i="2"/>
  <c r="L1863" i="2"/>
  <c r="M1863" i="2" s="1"/>
  <c r="J1863" i="2"/>
  <c r="I1863" i="2"/>
  <c r="H1863" i="2"/>
  <c r="AA1862" i="2"/>
  <c r="W1862" i="2"/>
  <c r="AF1862" i="2" s="1"/>
  <c r="AB1862" i="2"/>
  <c r="L1862" i="2"/>
  <c r="M1862" i="2" s="1"/>
  <c r="J1862" i="2"/>
  <c r="I1862" i="2"/>
  <c r="H1862" i="2"/>
  <c r="AA1861" i="2"/>
  <c r="W1861" i="2"/>
  <c r="AB1861" i="2"/>
  <c r="L1861" i="2"/>
  <c r="M1861" i="2" s="1"/>
  <c r="J1861" i="2"/>
  <c r="I1861" i="2"/>
  <c r="H1861" i="2"/>
  <c r="L1860" i="2"/>
  <c r="M1860" i="2" s="1"/>
  <c r="J1860" i="2"/>
  <c r="I1860" i="2"/>
  <c r="H1860" i="2"/>
  <c r="N1856" i="2"/>
  <c r="W1856" i="2"/>
  <c r="L1856" i="2"/>
  <c r="M1856" i="2" s="1"/>
  <c r="J1856" i="2"/>
  <c r="I1856" i="2"/>
  <c r="H1856" i="2"/>
  <c r="W1855" i="2"/>
  <c r="L1855" i="2"/>
  <c r="M1855" i="2" s="1"/>
  <c r="J1855" i="2"/>
  <c r="I1855" i="2"/>
  <c r="H1855" i="2"/>
  <c r="W1854" i="2"/>
  <c r="L1854" i="2"/>
  <c r="M1854" i="2" s="1"/>
  <c r="J1854" i="2"/>
  <c r="I1854" i="2"/>
  <c r="H1854" i="2"/>
  <c r="L1853" i="2"/>
  <c r="M1853" i="2" s="1"/>
  <c r="J1853" i="2"/>
  <c r="I1853" i="2"/>
  <c r="H1853" i="2"/>
  <c r="W1852" i="2"/>
  <c r="N1851" i="2"/>
  <c r="O1851" i="2" s="1"/>
  <c r="O1852" i="2" s="1"/>
  <c r="L1852" i="2"/>
  <c r="M1852" i="2" s="1"/>
  <c r="J1852" i="2"/>
  <c r="I1852" i="2"/>
  <c r="H1852" i="2"/>
  <c r="W1851" i="2"/>
  <c r="L1851" i="2"/>
  <c r="M1851" i="2" s="1"/>
  <c r="J1851" i="2"/>
  <c r="I1851" i="2"/>
  <c r="H1851" i="2"/>
  <c r="L1850" i="2"/>
  <c r="M1850" i="2" s="1"/>
  <c r="J1850" i="2"/>
  <c r="I1850" i="2"/>
  <c r="H1850" i="2"/>
  <c r="L1849" i="2"/>
  <c r="M1849" i="2" s="1"/>
  <c r="J1849" i="2"/>
  <c r="I1849" i="2"/>
  <c r="H1849" i="2"/>
  <c r="W1848" i="2"/>
  <c r="N1847" i="2"/>
  <c r="O1847" i="2" s="1"/>
  <c r="O1848" i="2" s="1"/>
  <c r="L1848" i="2"/>
  <c r="M1848" i="2" s="1"/>
  <c r="J1848" i="2"/>
  <c r="I1848" i="2"/>
  <c r="H1848" i="2"/>
  <c r="W1847" i="2"/>
  <c r="L1847" i="2"/>
  <c r="M1847" i="2" s="1"/>
  <c r="J1847" i="2"/>
  <c r="I1847" i="2"/>
  <c r="H1847" i="2"/>
  <c r="L1846" i="2"/>
  <c r="M1846" i="2" s="1"/>
  <c r="J1846" i="2"/>
  <c r="I1846" i="2"/>
  <c r="H1846" i="2"/>
  <c r="AK1845" i="2"/>
  <c r="W1845" i="2"/>
  <c r="N1844" i="2"/>
  <c r="O1844" i="2"/>
  <c r="O1845" i="2" s="1"/>
  <c r="L1845" i="2"/>
  <c r="M1845" i="2" s="1"/>
  <c r="J1845" i="2"/>
  <c r="I1845" i="2"/>
  <c r="H1845" i="2"/>
  <c r="W1844" i="2"/>
  <c r="L1844" i="2"/>
  <c r="M1844" i="2" s="1"/>
  <c r="J1844" i="2"/>
  <c r="I1844" i="2"/>
  <c r="H1844" i="2"/>
  <c r="AK1843" i="2"/>
  <c r="L1843" i="2"/>
  <c r="M1843" i="2" s="1"/>
  <c r="J1843" i="2"/>
  <c r="I1843" i="2"/>
  <c r="H1843" i="2"/>
  <c r="T1842" i="2"/>
  <c r="W1842" i="2"/>
  <c r="N1841" i="2"/>
  <c r="W1841" i="2" s="1"/>
  <c r="O1841" i="2"/>
  <c r="O1842" i="2" s="1"/>
  <c r="L1842" i="2"/>
  <c r="M1842" i="2" s="1"/>
  <c r="J1842" i="2"/>
  <c r="I1842" i="2"/>
  <c r="H1842" i="2"/>
  <c r="L1841" i="2"/>
  <c r="M1841" i="2" s="1"/>
  <c r="J1841" i="2"/>
  <c r="I1841" i="2"/>
  <c r="H1841" i="2"/>
  <c r="L1840" i="2"/>
  <c r="M1840" i="2" s="1"/>
  <c r="J1840" i="2"/>
  <c r="I1840" i="2"/>
  <c r="H1840" i="2"/>
  <c r="T1839" i="2"/>
  <c r="W1839" i="2" s="1"/>
  <c r="N1838" i="2"/>
  <c r="O1838" i="2" s="1"/>
  <c r="O1839" i="2" s="1"/>
  <c r="L1839" i="2"/>
  <c r="M1839" i="2" s="1"/>
  <c r="J1839" i="2"/>
  <c r="I1839" i="2"/>
  <c r="H1839" i="2"/>
  <c r="W1838" i="2"/>
  <c r="L1838" i="2"/>
  <c r="M1838" i="2" s="1"/>
  <c r="J1838" i="2"/>
  <c r="I1838" i="2"/>
  <c r="H1838" i="2"/>
  <c r="L1837" i="2"/>
  <c r="M1837" i="2" s="1"/>
  <c r="J1837" i="2"/>
  <c r="I1837" i="2"/>
  <c r="H1837" i="2"/>
  <c r="T1836" i="2"/>
  <c r="W1836" i="2"/>
  <c r="N1835" i="2"/>
  <c r="O1835" i="2"/>
  <c r="O1836" i="2" s="1"/>
  <c r="L1836" i="2"/>
  <c r="M1836" i="2" s="1"/>
  <c r="J1836" i="2"/>
  <c r="I1836" i="2"/>
  <c r="H1836" i="2"/>
  <c r="W1835" i="2"/>
  <c r="L1835" i="2"/>
  <c r="M1835" i="2" s="1"/>
  <c r="J1835" i="2"/>
  <c r="I1835" i="2"/>
  <c r="H1835" i="2"/>
  <c r="L1834" i="2"/>
  <c r="M1834" i="2" s="1"/>
  <c r="J1834" i="2"/>
  <c r="I1834" i="2"/>
  <c r="H1834" i="2"/>
  <c r="AK1833" i="2"/>
  <c r="N1833" i="2"/>
  <c r="T1833" i="2"/>
  <c r="W1833" i="2" s="1"/>
  <c r="AF1833" i="2" s="1"/>
  <c r="P1833" i="2"/>
  <c r="L1833" i="2"/>
  <c r="M1833" i="2" s="1"/>
  <c r="J1833" i="2"/>
  <c r="I1833" i="2"/>
  <c r="H1833" i="2"/>
  <c r="AK1832" i="2"/>
  <c r="N1832" i="2"/>
  <c r="W1832" i="2" s="1"/>
  <c r="AF1832" i="2" s="1"/>
  <c r="T1832" i="2"/>
  <c r="P1832" i="2"/>
  <c r="L1832" i="2"/>
  <c r="M1832" i="2" s="1"/>
  <c r="J1832" i="2"/>
  <c r="I1832" i="2"/>
  <c r="H1832" i="2"/>
  <c r="AK1831" i="2"/>
  <c r="N1831" i="2"/>
  <c r="W1831" i="2" s="1"/>
  <c r="AF1831" i="2" s="1"/>
  <c r="T1831" i="2"/>
  <c r="P1831" i="2"/>
  <c r="L1831" i="2"/>
  <c r="M1831" i="2" s="1"/>
  <c r="J1831" i="2"/>
  <c r="I1831" i="2"/>
  <c r="H1831" i="2"/>
  <c r="L1830" i="2"/>
  <c r="M1830" i="2" s="1"/>
  <c r="J1830" i="2"/>
  <c r="I1830" i="2"/>
  <c r="H1830" i="2"/>
  <c r="L1829" i="2"/>
  <c r="M1829" i="2" s="1"/>
  <c r="J1829" i="2"/>
  <c r="I1829" i="2"/>
  <c r="H1829" i="2"/>
  <c r="T1828" i="2"/>
  <c r="W1828" i="2"/>
  <c r="L1828" i="2"/>
  <c r="M1828" i="2" s="1"/>
  <c r="J1828" i="2"/>
  <c r="I1828" i="2"/>
  <c r="H1828" i="2"/>
  <c r="W1827" i="2"/>
  <c r="L1827" i="2"/>
  <c r="M1827" i="2" s="1"/>
  <c r="J1827" i="2"/>
  <c r="I1827" i="2"/>
  <c r="H1827" i="2"/>
  <c r="L1826" i="2"/>
  <c r="M1826" i="2" s="1"/>
  <c r="J1826" i="2"/>
  <c r="I1826" i="2"/>
  <c r="H1826" i="2"/>
  <c r="L1825" i="2"/>
  <c r="M1825" i="2" s="1"/>
  <c r="J1825" i="2"/>
  <c r="I1825" i="2"/>
  <c r="H1825" i="2"/>
  <c r="L1824" i="2"/>
  <c r="M1824" i="2" s="1"/>
  <c r="J1824" i="2"/>
  <c r="I1824" i="2"/>
  <c r="H1824" i="2"/>
  <c r="T1823" i="2"/>
  <c r="W1823" i="2" s="1"/>
  <c r="L1823" i="2"/>
  <c r="M1823" i="2" s="1"/>
  <c r="J1823" i="2"/>
  <c r="I1823" i="2"/>
  <c r="H1823" i="2"/>
  <c r="L1822" i="2"/>
  <c r="M1822" i="2" s="1"/>
  <c r="J1822" i="2"/>
  <c r="I1822" i="2"/>
  <c r="H1822" i="2"/>
  <c r="W1821" i="2"/>
  <c r="L1821" i="2"/>
  <c r="M1821" i="2" s="1"/>
  <c r="J1821" i="2"/>
  <c r="I1821" i="2"/>
  <c r="H1821" i="2"/>
  <c r="W1820" i="2"/>
  <c r="L1820" i="2"/>
  <c r="M1820" i="2" s="1"/>
  <c r="J1820" i="2"/>
  <c r="I1820" i="2"/>
  <c r="H1820" i="2"/>
  <c r="W1819" i="2"/>
  <c r="L1819" i="2"/>
  <c r="M1819" i="2" s="1"/>
  <c r="J1819" i="2"/>
  <c r="I1819" i="2"/>
  <c r="H1819" i="2"/>
  <c r="W1818" i="2"/>
  <c r="L1818" i="2"/>
  <c r="M1818" i="2" s="1"/>
  <c r="J1818" i="2"/>
  <c r="I1818" i="2"/>
  <c r="H1818" i="2"/>
  <c r="N1817" i="2"/>
  <c r="T1817" i="2"/>
  <c r="W1817" i="2"/>
  <c r="L1817" i="2"/>
  <c r="M1817" i="2" s="1"/>
  <c r="J1817" i="2"/>
  <c r="I1817" i="2"/>
  <c r="H1817" i="2"/>
  <c r="T1816" i="2"/>
  <c r="W1816" i="2"/>
  <c r="L1816" i="2"/>
  <c r="M1816" i="2" s="1"/>
  <c r="J1816" i="2"/>
  <c r="I1816" i="2"/>
  <c r="H1816" i="2"/>
  <c r="W1815" i="2"/>
  <c r="L1815" i="2"/>
  <c r="M1815" i="2" s="1"/>
  <c r="J1815" i="2"/>
  <c r="I1815" i="2"/>
  <c r="H1815" i="2"/>
  <c r="W1814" i="2"/>
  <c r="L1814" i="2"/>
  <c r="M1814" i="2" s="1"/>
  <c r="J1814" i="2"/>
  <c r="I1814" i="2"/>
  <c r="H1814" i="2"/>
  <c r="W1813" i="2"/>
  <c r="L1813" i="2"/>
  <c r="M1813" i="2" s="1"/>
  <c r="J1813" i="2"/>
  <c r="I1813" i="2"/>
  <c r="H1813" i="2"/>
  <c r="W1812" i="2"/>
  <c r="L1812" i="2"/>
  <c r="M1812" i="2" s="1"/>
  <c r="J1812" i="2"/>
  <c r="I1812" i="2"/>
  <c r="H1812" i="2"/>
  <c r="W1811" i="2"/>
  <c r="L1811" i="2"/>
  <c r="M1811" i="2" s="1"/>
  <c r="J1811" i="2"/>
  <c r="I1811" i="2"/>
  <c r="H1811" i="2"/>
  <c r="L1810" i="2"/>
  <c r="M1810" i="2" s="1"/>
  <c r="J1810" i="2"/>
  <c r="I1810" i="2"/>
  <c r="H1810" i="2"/>
  <c r="W1809" i="2"/>
  <c r="L1809" i="2"/>
  <c r="M1809" i="2" s="1"/>
  <c r="J1809" i="2"/>
  <c r="I1809" i="2"/>
  <c r="H1809" i="2"/>
  <c r="W1808" i="2"/>
  <c r="L1808" i="2"/>
  <c r="M1808" i="2" s="1"/>
  <c r="J1808" i="2"/>
  <c r="I1808" i="2"/>
  <c r="H1808" i="2"/>
  <c r="W1807" i="2"/>
  <c r="L1807" i="2"/>
  <c r="M1807" i="2" s="1"/>
  <c r="J1807" i="2"/>
  <c r="I1807" i="2"/>
  <c r="H1807" i="2"/>
  <c r="L1806" i="2"/>
  <c r="M1806" i="2" s="1"/>
  <c r="J1806" i="2"/>
  <c r="I1806" i="2"/>
  <c r="H1806" i="2"/>
  <c r="L1805" i="2"/>
  <c r="M1805" i="2" s="1"/>
  <c r="J1805" i="2"/>
  <c r="I1805" i="2"/>
  <c r="H1805" i="2"/>
  <c r="W1804" i="2"/>
  <c r="L1804" i="2"/>
  <c r="M1804" i="2" s="1"/>
  <c r="J1804" i="2"/>
  <c r="I1804" i="2"/>
  <c r="H1804" i="2"/>
  <c r="W1803" i="2"/>
  <c r="L1803" i="2"/>
  <c r="M1803" i="2" s="1"/>
  <c r="J1803" i="2"/>
  <c r="I1803" i="2"/>
  <c r="H1803" i="2"/>
  <c r="W1802" i="2"/>
  <c r="L1802" i="2"/>
  <c r="M1802" i="2" s="1"/>
  <c r="J1802" i="2"/>
  <c r="I1802" i="2"/>
  <c r="H1802" i="2"/>
  <c r="W1801" i="2"/>
  <c r="L1801" i="2"/>
  <c r="M1801" i="2" s="1"/>
  <c r="J1801" i="2"/>
  <c r="I1801" i="2"/>
  <c r="H1801" i="2"/>
  <c r="W1800" i="2"/>
  <c r="L1800" i="2"/>
  <c r="M1800" i="2" s="1"/>
  <c r="J1800" i="2"/>
  <c r="I1800" i="2"/>
  <c r="H1800" i="2"/>
  <c r="N1799" i="2"/>
  <c r="W1799" i="2" s="1"/>
  <c r="L1799" i="2"/>
  <c r="M1799" i="2" s="1"/>
  <c r="J1799" i="2"/>
  <c r="I1799" i="2"/>
  <c r="H1799" i="2"/>
  <c r="W1798" i="2"/>
  <c r="L1798" i="2"/>
  <c r="M1798" i="2" s="1"/>
  <c r="J1798" i="2"/>
  <c r="I1798" i="2"/>
  <c r="H1798" i="2"/>
  <c r="W1797" i="2"/>
  <c r="L1797" i="2"/>
  <c r="M1797" i="2" s="1"/>
  <c r="J1797" i="2"/>
  <c r="I1797" i="2"/>
  <c r="H1797" i="2"/>
  <c r="L1796" i="2"/>
  <c r="M1796" i="2" s="1"/>
  <c r="J1796" i="2"/>
  <c r="I1796" i="2"/>
  <c r="H1796" i="2"/>
  <c r="L1795" i="2"/>
  <c r="M1795" i="2" s="1"/>
  <c r="J1795" i="2"/>
  <c r="I1795" i="2"/>
  <c r="H1795" i="2"/>
  <c r="L1794" i="2"/>
  <c r="M1794" i="2" s="1"/>
  <c r="J1794" i="2"/>
  <c r="I1794" i="2"/>
  <c r="H1794" i="2"/>
  <c r="W1793" i="2"/>
  <c r="L1793" i="2"/>
  <c r="M1793" i="2" s="1"/>
  <c r="J1793" i="2"/>
  <c r="I1793" i="2"/>
  <c r="H1793" i="2"/>
  <c r="W1792" i="2"/>
  <c r="L1792" i="2"/>
  <c r="M1792" i="2" s="1"/>
  <c r="J1792" i="2"/>
  <c r="I1792" i="2"/>
  <c r="H1792" i="2"/>
  <c r="W1791" i="2"/>
  <c r="L1791" i="2"/>
  <c r="M1791" i="2" s="1"/>
  <c r="J1791" i="2"/>
  <c r="I1791" i="2"/>
  <c r="H1791" i="2"/>
  <c r="L1790" i="2"/>
  <c r="M1790" i="2" s="1"/>
  <c r="J1790" i="2"/>
  <c r="I1790" i="2"/>
  <c r="H1790" i="2"/>
  <c r="W1789" i="2"/>
  <c r="L1789" i="2"/>
  <c r="M1789" i="2" s="1"/>
  <c r="J1789" i="2"/>
  <c r="I1789" i="2"/>
  <c r="H1789" i="2"/>
  <c r="T1788" i="2"/>
  <c r="W1788" i="2" s="1"/>
  <c r="L1788" i="2"/>
  <c r="M1788" i="2" s="1"/>
  <c r="J1788" i="2"/>
  <c r="I1788" i="2"/>
  <c r="H1788" i="2"/>
  <c r="W1787" i="2"/>
  <c r="L1787" i="2"/>
  <c r="M1787" i="2" s="1"/>
  <c r="J1787" i="2"/>
  <c r="I1787" i="2"/>
  <c r="H1787" i="2"/>
  <c r="W1786" i="2"/>
  <c r="L1786" i="2"/>
  <c r="M1786" i="2" s="1"/>
  <c r="J1786" i="2"/>
  <c r="I1786" i="2"/>
  <c r="H1786" i="2"/>
  <c r="W1785" i="2"/>
  <c r="L1785" i="2"/>
  <c r="M1785" i="2" s="1"/>
  <c r="J1785" i="2"/>
  <c r="I1785" i="2"/>
  <c r="H1785" i="2"/>
  <c r="W1784" i="2"/>
  <c r="L1784" i="2"/>
  <c r="M1784" i="2" s="1"/>
  <c r="J1784" i="2"/>
  <c r="I1784" i="2"/>
  <c r="H1784" i="2"/>
  <c r="W1783" i="2"/>
  <c r="L1783" i="2"/>
  <c r="M1783" i="2" s="1"/>
  <c r="J1783" i="2"/>
  <c r="I1783" i="2"/>
  <c r="H1783" i="2"/>
  <c r="W1782" i="2"/>
  <c r="L1782" i="2"/>
  <c r="M1782" i="2" s="1"/>
  <c r="J1782" i="2"/>
  <c r="I1782" i="2"/>
  <c r="H1782" i="2"/>
  <c r="L1781" i="2"/>
  <c r="M1781" i="2" s="1"/>
  <c r="J1781" i="2"/>
  <c r="I1781" i="2"/>
  <c r="H1781" i="2"/>
  <c r="W1780" i="2"/>
  <c r="L1780" i="2"/>
  <c r="M1780" i="2" s="1"/>
  <c r="J1780" i="2"/>
  <c r="I1780" i="2"/>
  <c r="H1780" i="2"/>
  <c r="W1779" i="2"/>
  <c r="L1779" i="2"/>
  <c r="M1779" i="2" s="1"/>
  <c r="J1779" i="2"/>
  <c r="I1779" i="2"/>
  <c r="H1779" i="2"/>
  <c r="L1778" i="2"/>
  <c r="M1778" i="2" s="1"/>
  <c r="J1778" i="2"/>
  <c r="I1778" i="2"/>
  <c r="H1778" i="2"/>
  <c r="L1777" i="2"/>
  <c r="M1777" i="2" s="1"/>
  <c r="J1777" i="2"/>
  <c r="I1777" i="2"/>
  <c r="H1777" i="2"/>
  <c r="L1776" i="2"/>
  <c r="M1776" i="2" s="1"/>
  <c r="J1776" i="2"/>
  <c r="I1776" i="2"/>
  <c r="H1776" i="2"/>
  <c r="L1775" i="2"/>
  <c r="M1775" i="2" s="1"/>
  <c r="J1775" i="2"/>
  <c r="I1775" i="2"/>
  <c r="H1775" i="2"/>
  <c r="T1774" i="2"/>
  <c r="W1774" i="2" s="1"/>
  <c r="L1774" i="2"/>
  <c r="M1774" i="2" s="1"/>
  <c r="J1774" i="2"/>
  <c r="I1774" i="2"/>
  <c r="H1774" i="2"/>
  <c r="W1773" i="2"/>
  <c r="L1773" i="2"/>
  <c r="M1773" i="2" s="1"/>
  <c r="J1773" i="2"/>
  <c r="I1773" i="2"/>
  <c r="H1773" i="2"/>
  <c r="L1772" i="2"/>
  <c r="M1772" i="2" s="1"/>
  <c r="J1772" i="2"/>
  <c r="I1772" i="2"/>
  <c r="H1772" i="2"/>
  <c r="L1771" i="2"/>
  <c r="M1771" i="2" s="1"/>
  <c r="J1771" i="2"/>
  <c r="I1771" i="2"/>
  <c r="H1771" i="2"/>
  <c r="L1770" i="2"/>
  <c r="M1770" i="2" s="1"/>
  <c r="J1770" i="2"/>
  <c r="I1770" i="2"/>
  <c r="H1770" i="2"/>
  <c r="T1769" i="2"/>
  <c r="W1769" i="2"/>
  <c r="L1769" i="2"/>
  <c r="M1769" i="2" s="1"/>
  <c r="J1769" i="2"/>
  <c r="I1769" i="2"/>
  <c r="H1769" i="2"/>
  <c r="W1768" i="2"/>
  <c r="L1768" i="2"/>
  <c r="M1768" i="2" s="1"/>
  <c r="J1768" i="2"/>
  <c r="I1768" i="2"/>
  <c r="H1768" i="2"/>
  <c r="W1767" i="2"/>
  <c r="L1767" i="2"/>
  <c r="M1767" i="2" s="1"/>
  <c r="J1767" i="2"/>
  <c r="I1767" i="2"/>
  <c r="H1767" i="2"/>
  <c r="L1766" i="2"/>
  <c r="M1766" i="2" s="1"/>
  <c r="J1766" i="2"/>
  <c r="I1766" i="2"/>
  <c r="H1766" i="2"/>
  <c r="L1765" i="2"/>
  <c r="M1765" i="2" s="1"/>
  <c r="J1765" i="2"/>
  <c r="I1765" i="2"/>
  <c r="H1765" i="2"/>
  <c r="L1764" i="2"/>
  <c r="M1764" i="2" s="1"/>
  <c r="J1764" i="2"/>
  <c r="I1764" i="2"/>
  <c r="H1764" i="2"/>
  <c r="W1763" i="2"/>
  <c r="L1763" i="2"/>
  <c r="M1763" i="2" s="1"/>
  <c r="J1763" i="2"/>
  <c r="I1763" i="2"/>
  <c r="H1763" i="2"/>
  <c r="W1762" i="2"/>
  <c r="L1762" i="2"/>
  <c r="M1762" i="2" s="1"/>
  <c r="J1762" i="2"/>
  <c r="I1762" i="2"/>
  <c r="H1762" i="2"/>
  <c r="W1761" i="2"/>
  <c r="L1761" i="2"/>
  <c r="M1761" i="2" s="1"/>
  <c r="J1761" i="2"/>
  <c r="I1761" i="2"/>
  <c r="H1761" i="2"/>
  <c r="N1760" i="2"/>
  <c r="W1760" i="2" s="1"/>
  <c r="T1760" i="2"/>
  <c r="L1760" i="2"/>
  <c r="M1760" i="2" s="1"/>
  <c r="J1760" i="2"/>
  <c r="I1760" i="2"/>
  <c r="H1760" i="2"/>
  <c r="W1759" i="2"/>
  <c r="L1759" i="2"/>
  <c r="M1759" i="2" s="1"/>
  <c r="J1759" i="2"/>
  <c r="I1759" i="2"/>
  <c r="H1759" i="2"/>
  <c r="T1758" i="2"/>
  <c r="W1758" i="2" s="1"/>
  <c r="L1758" i="2"/>
  <c r="M1758" i="2" s="1"/>
  <c r="J1758" i="2"/>
  <c r="I1758" i="2"/>
  <c r="H1758" i="2"/>
  <c r="W1757" i="2"/>
  <c r="L1757" i="2"/>
  <c r="M1757" i="2" s="1"/>
  <c r="J1757" i="2"/>
  <c r="I1757" i="2"/>
  <c r="H1757" i="2"/>
  <c r="W1756" i="2"/>
  <c r="L1756" i="2"/>
  <c r="M1756" i="2" s="1"/>
  <c r="J1756" i="2"/>
  <c r="I1756" i="2"/>
  <c r="H1756" i="2"/>
  <c r="W1755" i="2"/>
  <c r="L1755" i="2"/>
  <c r="M1755" i="2" s="1"/>
  <c r="J1755" i="2"/>
  <c r="I1755" i="2"/>
  <c r="H1755" i="2"/>
  <c r="L1754" i="2"/>
  <c r="M1754" i="2" s="1"/>
  <c r="J1754" i="2"/>
  <c r="I1754" i="2"/>
  <c r="H1754" i="2"/>
  <c r="W1753" i="2"/>
  <c r="L1753" i="2"/>
  <c r="M1753" i="2" s="1"/>
  <c r="J1753" i="2"/>
  <c r="I1753" i="2"/>
  <c r="H1753" i="2"/>
  <c r="L1752" i="2"/>
  <c r="M1752" i="2" s="1"/>
  <c r="J1752" i="2"/>
  <c r="I1752" i="2"/>
  <c r="H1752" i="2"/>
  <c r="W1751" i="2"/>
  <c r="L1751" i="2"/>
  <c r="M1751" i="2" s="1"/>
  <c r="J1751" i="2"/>
  <c r="I1751" i="2"/>
  <c r="H1751" i="2"/>
  <c r="W1750" i="2"/>
  <c r="L1750" i="2"/>
  <c r="M1750" i="2" s="1"/>
  <c r="J1750" i="2"/>
  <c r="I1750" i="2"/>
  <c r="H1750" i="2"/>
  <c r="W1749" i="2"/>
  <c r="L1749" i="2"/>
  <c r="M1749" i="2" s="1"/>
  <c r="J1749" i="2"/>
  <c r="I1749" i="2"/>
  <c r="H1749" i="2"/>
  <c r="W1748" i="2"/>
  <c r="L1748" i="2"/>
  <c r="M1748" i="2" s="1"/>
  <c r="J1748" i="2"/>
  <c r="I1748" i="2"/>
  <c r="H1748" i="2"/>
  <c r="W1747" i="2"/>
  <c r="L1747" i="2"/>
  <c r="M1747" i="2" s="1"/>
  <c r="J1747" i="2"/>
  <c r="I1747" i="2"/>
  <c r="H1747" i="2"/>
  <c r="W1746" i="2"/>
  <c r="L1746" i="2"/>
  <c r="M1746" i="2" s="1"/>
  <c r="J1746" i="2"/>
  <c r="I1746" i="2"/>
  <c r="H1746" i="2"/>
  <c r="L1745" i="2"/>
  <c r="M1745" i="2" s="1"/>
  <c r="J1745" i="2"/>
  <c r="I1745" i="2"/>
  <c r="H1745" i="2"/>
  <c r="L1744" i="2"/>
  <c r="M1744" i="2" s="1"/>
  <c r="J1744" i="2"/>
  <c r="I1744" i="2"/>
  <c r="H1744" i="2"/>
  <c r="W1743" i="2"/>
  <c r="L1743" i="2"/>
  <c r="M1743" i="2" s="1"/>
  <c r="J1743" i="2"/>
  <c r="I1743" i="2"/>
  <c r="H1743" i="2"/>
  <c r="W1742" i="2"/>
  <c r="L1742" i="2"/>
  <c r="M1742" i="2" s="1"/>
  <c r="J1742" i="2"/>
  <c r="I1742" i="2"/>
  <c r="H1742" i="2"/>
  <c r="W1741" i="2"/>
  <c r="L1741" i="2"/>
  <c r="M1741" i="2" s="1"/>
  <c r="J1741" i="2"/>
  <c r="I1741" i="2"/>
  <c r="H1741" i="2"/>
  <c r="W1740" i="2"/>
  <c r="L1740" i="2"/>
  <c r="M1740" i="2" s="1"/>
  <c r="J1740" i="2"/>
  <c r="I1740" i="2"/>
  <c r="H1740" i="2"/>
  <c r="W1739" i="2"/>
  <c r="L1739" i="2"/>
  <c r="M1739" i="2" s="1"/>
  <c r="J1739" i="2"/>
  <c r="I1739" i="2"/>
  <c r="H1739" i="2"/>
  <c r="W1738" i="2"/>
  <c r="L1738" i="2"/>
  <c r="M1738" i="2" s="1"/>
  <c r="J1738" i="2"/>
  <c r="I1738" i="2"/>
  <c r="H1738" i="2"/>
  <c r="N1737" i="2"/>
  <c r="W1737" i="2" s="1"/>
  <c r="L1737" i="2"/>
  <c r="M1737" i="2" s="1"/>
  <c r="J1737" i="2"/>
  <c r="I1737" i="2"/>
  <c r="H1737" i="2"/>
  <c r="L1736" i="2"/>
  <c r="M1736" i="2" s="1"/>
  <c r="J1736" i="2"/>
  <c r="I1736" i="2"/>
  <c r="H1736" i="2"/>
  <c r="W1735" i="2"/>
  <c r="L1735" i="2"/>
  <c r="M1735" i="2" s="1"/>
  <c r="J1735" i="2"/>
  <c r="I1735" i="2"/>
  <c r="H1735" i="2"/>
  <c r="W1734" i="2"/>
  <c r="L1734" i="2"/>
  <c r="M1734" i="2" s="1"/>
  <c r="J1734" i="2"/>
  <c r="I1734" i="2"/>
  <c r="H1734" i="2"/>
  <c r="W1733" i="2"/>
  <c r="L1733" i="2"/>
  <c r="M1733" i="2" s="1"/>
  <c r="J1733" i="2"/>
  <c r="I1733" i="2"/>
  <c r="H1733" i="2"/>
  <c r="W1732" i="2"/>
  <c r="L1732" i="2"/>
  <c r="M1732" i="2" s="1"/>
  <c r="J1732" i="2"/>
  <c r="I1732" i="2"/>
  <c r="H1732" i="2"/>
  <c r="L1731" i="2"/>
  <c r="M1731" i="2" s="1"/>
  <c r="J1731" i="2"/>
  <c r="I1731" i="2"/>
  <c r="H1731" i="2"/>
  <c r="L1730" i="2"/>
  <c r="M1730" i="2" s="1"/>
  <c r="J1730" i="2"/>
  <c r="I1730" i="2"/>
  <c r="H1730" i="2"/>
  <c r="L1729" i="2"/>
  <c r="M1729" i="2" s="1"/>
  <c r="J1729" i="2"/>
  <c r="I1729" i="2"/>
  <c r="H1729" i="2"/>
  <c r="W1728" i="2"/>
  <c r="L1728" i="2"/>
  <c r="M1728" i="2" s="1"/>
  <c r="J1728" i="2"/>
  <c r="I1728" i="2"/>
  <c r="H1728" i="2"/>
  <c r="W1727" i="2"/>
  <c r="L1727" i="2"/>
  <c r="M1727" i="2" s="1"/>
  <c r="J1727" i="2"/>
  <c r="I1727" i="2"/>
  <c r="H1727" i="2"/>
  <c r="W1726" i="2"/>
  <c r="L1726" i="2"/>
  <c r="M1726" i="2" s="1"/>
  <c r="J1726" i="2"/>
  <c r="I1726" i="2"/>
  <c r="H1726" i="2"/>
  <c r="W1725" i="2"/>
  <c r="L1725" i="2"/>
  <c r="M1725" i="2" s="1"/>
  <c r="J1725" i="2"/>
  <c r="I1725" i="2"/>
  <c r="H1725" i="2"/>
  <c r="W1724" i="2"/>
  <c r="L1724" i="2"/>
  <c r="M1724" i="2" s="1"/>
  <c r="J1724" i="2"/>
  <c r="I1724" i="2"/>
  <c r="H1724" i="2"/>
  <c r="T1723" i="2"/>
  <c r="W1723" i="2"/>
  <c r="L1723" i="2"/>
  <c r="M1723" i="2" s="1"/>
  <c r="J1723" i="2"/>
  <c r="I1723" i="2"/>
  <c r="H1723" i="2"/>
  <c r="W1722" i="2"/>
  <c r="L1722" i="2"/>
  <c r="M1722" i="2" s="1"/>
  <c r="J1722" i="2"/>
  <c r="I1722" i="2"/>
  <c r="H1722" i="2"/>
  <c r="W1721" i="2"/>
  <c r="L1721" i="2"/>
  <c r="M1721" i="2" s="1"/>
  <c r="J1721" i="2"/>
  <c r="I1721" i="2"/>
  <c r="H1721" i="2"/>
  <c r="W1720" i="2"/>
  <c r="L1720" i="2"/>
  <c r="M1720" i="2" s="1"/>
  <c r="J1720" i="2"/>
  <c r="I1720" i="2"/>
  <c r="H1720" i="2"/>
  <c r="W1719" i="2"/>
  <c r="L1719" i="2"/>
  <c r="M1719" i="2" s="1"/>
  <c r="J1719" i="2"/>
  <c r="I1719" i="2"/>
  <c r="H1719" i="2"/>
  <c r="W1718" i="2"/>
  <c r="L1718" i="2"/>
  <c r="M1718" i="2" s="1"/>
  <c r="J1718" i="2"/>
  <c r="I1718" i="2"/>
  <c r="H1718" i="2"/>
  <c r="W1717" i="2"/>
  <c r="L1717" i="2"/>
  <c r="M1717" i="2" s="1"/>
  <c r="J1717" i="2"/>
  <c r="I1717" i="2"/>
  <c r="H1717" i="2"/>
  <c r="L1716" i="2"/>
  <c r="M1716" i="2" s="1"/>
  <c r="J1716" i="2"/>
  <c r="I1716" i="2"/>
  <c r="H1716" i="2"/>
  <c r="W1715" i="2"/>
  <c r="L1715" i="2"/>
  <c r="M1715" i="2" s="1"/>
  <c r="J1715" i="2"/>
  <c r="I1715" i="2"/>
  <c r="H1715" i="2"/>
  <c r="W1714" i="2"/>
  <c r="L1714" i="2"/>
  <c r="M1714" i="2" s="1"/>
  <c r="J1714" i="2"/>
  <c r="I1714" i="2"/>
  <c r="H1714" i="2"/>
  <c r="L1713" i="2"/>
  <c r="M1713" i="2" s="1"/>
  <c r="J1713" i="2"/>
  <c r="I1713" i="2"/>
  <c r="H1713" i="2"/>
  <c r="L1712" i="2"/>
  <c r="M1712" i="2" s="1"/>
  <c r="J1712" i="2"/>
  <c r="I1712" i="2"/>
  <c r="H1712" i="2"/>
  <c r="L1711" i="2"/>
  <c r="M1711" i="2" s="1"/>
  <c r="J1711" i="2"/>
  <c r="I1711" i="2"/>
  <c r="H1711" i="2"/>
  <c r="L1710" i="2"/>
  <c r="M1710" i="2" s="1"/>
  <c r="J1710" i="2"/>
  <c r="I1710" i="2"/>
  <c r="H1710" i="2"/>
  <c r="L1709" i="2"/>
  <c r="M1709" i="2" s="1"/>
  <c r="J1709" i="2"/>
  <c r="I1709" i="2"/>
  <c r="H1709" i="2"/>
  <c r="L1708" i="2"/>
  <c r="M1708" i="2" s="1"/>
  <c r="J1708" i="2"/>
  <c r="I1708" i="2"/>
  <c r="H1708" i="2"/>
  <c r="L1707" i="2"/>
  <c r="M1707" i="2" s="1"/>
  <c r="J1707" i="2"/>
  <c r="I1707" i="2"/>
  <c r="H1707" i="2"/>
  <c r="L1706" i="2"/>
  <c r="M1706" i="2" s="1"/>
  <c r="J1706" i="2"/>
  <c r="I1706" i="2"/>
  <c r="H1706" i="2"/>
  <c r="L1705" i="2"/>
  <c r="M1705" i="2" s="1"/>
  <c r="J1705" i="2"/>
  <c r="I1705" i="2"/>
  <c r="H1705" i="2"/>
  <c r="L1704" i="2"/>
  <c r="M1704" i="2" s="1"/>
  <c r="J1704" i="2"/>
  <c r="I1704" i="2"/>
  <c r="H1704" i="2"/>
  <c r="L1703" i="2"/>
  <c r="M1703" i="2" s="1"/>
  <c r="J1703" i="2"/>
  <c r="I1703" i="2"/>
  <c r="H1703" i="2"/>
  <c r="L1702" i="2"/>
  <c r="M1702" i="2" s="1"/>
  <c r="J1702" i="2"/>
  <c r="I1702" i="2"/>
  <c r="H1702" i="2"/>
  <c r="L1701" i="2"/>
  <c r="M1701" i="2" s="1"/>
  <c r="J1701" i="2"/>
  <c r="I1701" i="2"/>
  <c r="H1701" i="2"/>
  <c r="L1700" i="2"/>
  <c r="M1700" i="2" s="1"/>
  <c r="J1700" i="2"/>
  <c r="I1700" i="2"/>
  <c r="H1700" i="2"/>
  <c r="L1699" i="2"/>
  <c r="M1699" i="2" s="1"/>
  <c r="J1699" i="2"/>
  <c r="I1699" i="2"/>
  <c r="H1699" i="2"/>
  <c r="L1698" i="2"/>
  <c r="M1698" i="2" s="1"/>
  <c r="J1698" i="2"/>
  <c r="I1698" i="2"/>
  <c r="H1698" i="2"/>
  <c r="L1697" i="2"/>
  <c r="M1697" i="2" s="1"/>
  <c r="J1697" i="2"/>
  <c r="I1697" i="2"/>
  <c r="H1697" i="2"/>
  <c r="L1696" i="2"/>
  <c r="M1696" i="2" s="1"/>
  <c r="J1696" i="2"/>
  <c r="I1696" i="2"/>
  <c r="H1696" i="2"/>
  <c r="L1695" i="2"/>
  <c r="M1695" i="2" s="1"/>
  <c r="J1695" i="2"/>
  <c r="I1695" i="2"/>
  <c r="H1695" i="2"/>
  <c r="L1694" i="2"/>
  <c r="M1694" i="2" s="1"/>
  <c r="J1694" i="2"/>
  <c r="I1694" i="2"/>
  <c r="H1694" i="2"/>
  <c r="L1693" i="2"/>
  <c r="M1693" i="2" s="1"/>
  <c r="J1693" i="2"/>
  <c r="I1693" i="2"/>
  <c r="H1693" i="2"/>
  <c r="L1692" i="2"/>
  <c r="M1692" i="2" s="1"/>
  <c r="J1692" i="2"/>
  <c r="I1692" i="2"/>
  <c r="H1692" i="2"/>
  <c r="L1691" i="2"/>
  <c r="M1691" i="2" s="1"/>
  <c r="J1691" i="2"/>
  <c r="I1691" i="2"/>
  <c r="H1691" i="2"/>
  <c r="L1690" i="2"/>
  <c r="M1690" i="2" s="1"/>
  <c r="J1690" i="2"/>
  <c r="I1690" i="2"/>
  <c r="H1690" i="2"/>
  <c r="L1689" i="2"/>
  <c r="M1689" i="2" s="1"/>
  <c r="J1689" i="2"/>
  <c r="I1689" i="2"/>
  <c r="H1689" i="2"/>
  <c r="L1688" i="2"/>
  <c r="M1688" i="2" s="1"/>
  <c r="J1688" i="2"/>
  <c r="I1688" i="2"/>
  <c r="H1688" i="2"/>
  <c r="L1687" i="2"/>
  <c r="M1687" i="2" s="1"/>
  <c r="J1687" i="2"/>
  <c r="I1687" i="2"/>
  <c r="H1687" i="2"/>
  <c r="L1686" i="2"/>
  <c r="M1686" i="2" s="1"/>
  <c r="J1686" i="2"/>
  <c r="I1686" i="2"/>
  <c r="H1686" i="2"/>
  <c r="L1685" i="2"/>
  <c r="M1685" i="2" s="1"/>
  <c r="J1685" i="2"/>
  <c r="I1685" i="2"/>
  <c r="H1685" i="2"/>
  <c r="L1684" i="2"/>
  <c r="M1684" i="2" s="1"/>
  <c r="J1684" i="2"/>
  <c r="I1684" i="2"/>
  <c r="H1684" i="2"/>
  <c r="L1683" i="2"/>
  <c r="M1683" i="2" s="1"/>
  <c r="J1683" i="2"/>
  <c r="I1683" i="2"/>
  <c r="H1683" i="2"/>
  <c r="L1682" i="2"/>
  <c r="M1682" i="2" s="1"/>
  <c r="J1682" i="2"/>
  <c r="I1682" i="2"/>
  <c r="H1682" i="2"/>
  <c r="L1681" i="2"/>
  <c r="M1681" i="2" s="1"/>
  <c r="J1681" i="2"/>
  <c r="I1681" i="2"/>
  <c r="H1681" i="2"/>
  <c r="L1680" i="2"/>
  <c r="M1680" i="2" s="1"/>
  <c r="J1680" i="2"/>
  <c r="I1680" i="2"/>
  <c r="H1680" i="2"/>
  <c r="L1679" i="2"/>
  <c r="M1679" i="2" s="1"/>
  <c r="J1679" i="2"/>
  <c r="I1679" i="2"/>
  <c r="H1679" i="2"/>
  <c r="L1678" i="2"/>
  <c r="M1678" i="2" s="1"/>
  <c r="J1678" i="2"/>
  <c r="I1678" i="2"/>
  <c r="H1678" i="2"/>
  <c r="L1677" i="2"/>
  <c r="M1677" i="2" s="1"/>
  <c r="J1677" i="2"/>
  <c r="I1677" i="2"/>
  <c r="H1677" i="2"/>
  <c r="L1676" i="2"/>
  <c r="M1676" i="2" s="1"/>
  <c r="J1676" i="2"/>
  <c r="I1676" i="2"/>
  <c r="H1676" i="2"/>
  <c r="L1675" i="2"/>
  <c r="M1675" i="2" s="1"/>
  <c r="J1675" i="2"/>
  <c r="I1675" i="2"/>
  <c r="H1675" i="2"/>
  <c r="L1674" i="2"/>
  <c r="M1674" i="2" s="1"/>
  <c r="J1674" i="2"/>
  <c r="I1674" i="2"/>
  <c r="H1674" i="2"/>
  <c r="L1673" i="2"/>
  <c r="M1673" i="2" s="1"/>
  <c r="J1673" i="2"/>
  <c r="I1673" i="2"/>
  <c r="H1673" i="2"/>
  <c r="L1672" i="2"/>
  <c r="M1672" i="2" s="1"/>
  <c r="J1672" i="2"/>
  <c r="I1672" i="2"/>
  <c r="H1672" i="2"/>
  <c r="L1671" i="2"/>
  <c r="M1671" i="2" s="1"/>
  <c r="J1671" i="2"/>
  <c r="I1671" i="2"/>
  <c r="H1671" i="2"/>
  <c r="L1670" i="2"/>
  <c r="M1670" i="2" s="1"/>
  <c r="J1670" i="2"/>
  <c r="I1670" i="2"/>
  <c r="H1670" i="2"/>
  <c r="L1669" i="2"/>
  <c r="M1669" i="2" s="1"/>
  <c r="J1669" i="2"/>
  <c r="I1669" i="2"/>
  <c r="H1669" i="2"/>
  <c r="L1668" i="2"/>
  <c r="M1668" i="2" s="1"/>
  <c r="J1668" i="2"/>
  <c r="I1668" i="2"/>
  <c r="H1668" i="2"/>
  <c r="L1667" i="2"/>
  <c r="M1667" i="2" s="1"/>
  <c r="J1667" i="2"/>
  <c r="I1667" i="2"/>
  <c r="H1667" i="2"/>
  <c r="L1666" i="2"/>
  <c r="M1666" i="2" s="1"/>
  <c r="J1666" i="2"/>
  <c r="I1666" i="2"/>
  <c r="H1666" i="2"/>
  <c r="L1665" i="2"/>
  <c r="M1665" i="2" s="1"/>
  <c r="J1665" i="2"/>
  <c r="I1665" i="2"/>
  <c r="H1665" i="2"/>
  <c r="L1664" i="2"/>
  <c r="M1664" i="2" s="1"/>
  <c r="J1664" i="2"/>
  <c r="I1664" i="2"/>
  <c r="H1664" i="2"/>
  <c r="L1663" i="2"/>
  <c r="M1663" i="2" s="1"/>
  <c r="J1663" i="2"/>
  <c r="I1663" i="2"/>
  <c r="H1663" i="2"/>
  <c r="AF1662" i="2"/>
  <c r="L1662" i="2"/>
  <c r="M1662" i="2" s="1"/>
  <c r="J1662" i="2"/>
  <c r="I1662" i="2"/>
  <c r="H1662" i="2"/>
  <c r="L1661" i="2"/>
  <c r="M1661" i="2" s="1"/>
  <c r="J1661" i="2"/>
  <c r="I1661" i="2"/>
  <c r="H1661" i="2"/>
  <c r="L1660" i="2"/>
  <c r="M1660" i="2" s="1"/>
  <c r="J1660" i="2"/>
  <c r="I1660" i="2"/>
  <c r="H1660" i="2"/>
  <c r="AF1659" i="2"/>
  <c r="L1659" i="2"/>
  <c r="M1659" i="2" s="1"/>
  <c r="J1659" i="2"/>
  <c r="I1659" i="2"/>
  <c r="H1659" i="2"/>
  <c r="AF1658" i="2"/>
  <c r="W1658" i="2"/>
  <c r="L1658" i="2"/>
  <c r="M1658" i="2" s="1"/>
  <c r="J1658" i="2"/>
  <c r="I1658" i="2"/>
  <c r="H1658" i="2"/>
  <c r="L1657" i="2"/>
  <c r="M1657" i="2" s="1"/>
  <c r="J1657" i="2"/>
  <c r="I1657" i="2"/>
  <c r="H1657" i="2"/>
  <c r="L1656" i="2"/>
  <c r="M1656" i="2" s="1"/>
  <c r="J1656" i="2"/>
  <c r="I1656" i="2"/>
  <c r="H1656" i="2"/>
  <c r="L1655" i="2"/>
  <c r="M1655" i="2" s="1"/>
  <c r="J1655" i="2"/>
  <c r="I1655" i="2"/>
  <c r="H1655" i="2"/>
  <c r="L1654" i="2"/>
  <c r="M1654" i="2" s="1"/>
  <c r="J1654" i="2"/>
  <c r="I1654" i="2"/>
  <c r="H1654" i="2"/>
  <c r="L1653" i="2"/>
  <c r="M1653" i="2" s="1"/>
  <c r="J1653" i="2"/>
  <c r="I1653" i="2"/>
  <c r="H1653" i="2"/>
  <c r="L1652" i="2"/>
  <c r="M1652" i="2" s="1"/>
  <c r="J1652" i="2"/>
  <c r="I1652" i="2"/>
  <c r="H1652" i="2"/>
  <c r="L1651" i="2"/>
  <c r="M1651" i="2" s="1"/>
  <c r="J1651" i="2"/>
  <c r="I1651" i="2"/>
  <c r="H1651" i="2"/>
  <c r="L1650" i="2"/>
  <c r="M1650" i="2" s="1"/>
  <c r="J1650" i="2"/>
  <c r="I1650" i="2"/>
  <c r="H1650" i="2"/>
  <c r="L1649" i="2"/>
  <c r="M1649" i="2" s="1"/>
  <c r="J1649" i="2"/>
  <c r="I1649" i="2"/>
  <c r="H1649" i="2"/>
  <c r="L1648" i="2"/>
  <c r="M1648" i="2" s="1"/>
  <c r="J1648" i="2"/>
  <c r="I1648" i="2"/>
  <c r="H1648" i="2"/>
  <c r="L1647" i="2"/>
  <c r="M1647" i="2" s="1"/>
  <c r="J1647" i="2"/>
  <c r="I1647" i="2"/>
  <c r="H1647" i="2"/>
  <c r="L1646" i="2"/>
  <c r="M1646" i="2" s="1"/>
  <c r="J1646" i="2"/>
  <c r="I1646" i="2"/>
  <c r="H1646" i="2"/>
  <c r="L1645" i="2"/>
  <c r="M1645" i="2" s="1"/>
  <c r="J1645" i="2"/>
  <c r="I1645" i="2"/>
  <c r="H1645" i="2"/>
  <c r="L1644" i="2"/>
  <c r="M1644" i="2" s="1"/>
  <c r="J1644" i="2"/>
  <c r="I1644" i="2"/>
  <c r="H1644" i="2"/>
  <c r="L1643" i="2"/>
  <c r="M1643" i="2" s="1"/>
  <c r="J1643" i="2"/>
  <c r="I1643" i="2"/>
  <c r="H1643" i="2"/>
  <c r="L1642" i="2"/>
  <c r="M1642" i="2" s="1"/>
  <c r="J1642" i="2"/>
  <c r="I1642" i="2"/>
  <c r="H1642" i="2"/>
  <c r="L1641" i="2"/>
  <c r="M1641" i="2" s="1"/>
  <c r="J1641" i="2"/>
  <c r="I1641" i="2"/>
  <c r="H1641" i="2"/>
  <c r="L1640" i="2"/>
  <c r="M1640" i="2" s="1"/>
  <c r="J1640" i="2"/>
  <c r="I1640" i="2"/>
  <c r="H1640" i="2"/>
  <c r="L1639" i="2"/>
  <c r="M1639" i="2" s="1"/>
  <c r="J1639" i="2"/>
  <c r="I1639" i="2"/>
  <c r="H1639" i="2"/>
  <c r="L1638" i="2"/>
  <c r="M1638" i="2" s="1"/>
  <c r="J1638" i="2"/>
  <c r="I1638" i="2"/>
  <c r="H1638" i="2"/>
  <c r="L1637" i="2"/>
  <c r="M1637" i="2" s="1"/>
  <c r="J1637" i="2"/>
  <c r="I1637" i="2"/>
  <c r="H1637" i="2"/>
  <c r="L1636" i="2"/>
  <c r="M1636" i="2" s="1"/>
  <c r="J1636" i="2"/>
  <c r="I1636" i="2"/>
  <c r="H1636" i="2"/>
  <c r="L1635" i="2"/>
  <c r="M1635" i="2" s="1"/>
  <c r="J1635" i="2"/>
  <c r="I1635" i="2"/>
  <c r="H1635" i="2"/>
  <c r="L1634" i="2"/>
  <c r="M1634" i="2" s="1"/>
  <c r="J1634" i="2"/>
  <c r="I1634" i="2"/>
  <c r="H1634" i="2"/>
  <c r="L1633" i="2"/>
  <c r="M1633" i="2" s="1"/>
  <c r="J1633" i="2"/>
  <c r="I1633" i="2"/>
  <c r="H1633" i="2"/>
  <c r="L1632" i="2"/>
  <c r="M1632" i="2" s="1"/>
  <c r="J1632" i="2"/>
  <c r="I1632" i="2"/>
  <c r="H1632" i="2"/>
  <c r="L1631" i="2"/>
  <c r="M1631" i="2" s="1"/>
  <c r="J1631" i="2"/>
  <c r="I1631" i="2"/>
  <c r="H1631" i="2"/>
  <c r="L1630" i="2"/>
  <c r="M1630" i="2" s="1"/>
  <c r="J1630" i="2"/>
  <c r="I1630" i="2"/>
  <c r="H1630" i="2"/>
  <c r="L1629" i="2"/>
  <c r="M1629" i="2" s="1"/>
  <c r="J1629" i="2"/>
  <c r="I1629" i="2"/>
  <c r="H1629" i="2"/>
  <c r="L1628" i="2"/>
  <c r="M1628" i="2" s="1"/>
  <c r="J1628" i="2"/>
  <c r="I1628" i="2"/>
  <c r="H1628" i="2"/>
  <c r="L1627" i="2"/>
  <c r="M1627" i="2" s="1"/>
  <c r="J1627" i="2"/>
  <c r="I1627" i="2"/>
  <c r="H1627" i="2"/>
  <c r="L1626" i="2"/>
  <c r="M1626" i="2" s="1"/>
  <c r="J1626" i="2"/>
  <c r="I1626" i="2"/>
  <c r="H1626" i="2"/>
  <c r="L1625" i="2"/>
  <c r="M1625" i="2" s="1"/>
  <c r="J1625" i="2"/>
  <c r="I1625" i="2"/>
  <c r="H1625" i="2"/>
  <c r="L1624" i="2"/>
  <c r="M1624" i="2" s="1"/>
  <c r="J1624" i="2"/>
  <c r="I1624" i="2"/>
  <c r="H1624" i="2"/>
  <c r="L1623" i="2"/>
  <c r="M1623" i="2" s="1"/>
  <c r="J1623" i="2"/>
  <c r="I1623" i="2"/>
  <c r="H1623" i="2"/>
  <c r="L1622" i="2"/>
  <c r="M1622" i="2" s="1"/>
  <c r="J1622" i="2"/>
  <c r="I1622" i="2"/>
  <c r="H1622" i="2"/>
  <c r="L1621" i="2"/>
  <c r="M1621" i="2" s="1"/>
  <c r="J1621" i="2"/>
  <c r="I1621" i="2"/>
  <c r="H1621" i="2"/>
  <c r="L1620" i="2"/>
  <c r="M1620" i="2" s="1"/>
  <c r="J1620" i="2"/>
  <c r="I1620" i="2"/>
  <c r="H1620" i="2"/>
  <c r="L1619" i="2"/>
  <c r="M1619" i="2" s="1"/>
  <c r="J1619" i="2"/>
  <c r="I1619" i="2"/>
  <c r="H1619" i="2"/>
  <c r="L1618" i="2"/>
  <c r="M1618" i="2" s="1"/>
  <c r="J1618" i="2"/>
  <c r="I1618" i="2"/>
  <c r="H1618" i="2"/>
  <c r="L1617" i="2"/>
  <c r="M1617" i="2" s="1"/>
  <c r="J1617" i="2"/>
  <c r="I1617" i="2"/>
  <c r="H1617" i="2"/>
  <c r="L1616" i="2"/>
  <c r="M1616" i="2" s="1"/>
  <c r="J1616" i="2"/>
  <c r="I1616" i="2"/>
  <c r="H1616" i="2"/>
  <c r="L1615" i="2"/>
  <c r="M1615" i="2" s="1"/>
  <c r="J1615" i="2"/>
  <c r="I1615" i="2"/>
  <c r="H1615" i="2"/>
  <c r="L1614" i="2"/>
  <c r="M1614" i="2" s="1"/>
  <c r="J1614" i="2"/>
  <c r="I1614" i="2"/>
  <c r="H1614" i="2"/>
  <c r="L1613" i="2"/>
  <c r="M1613" i="2" s="1"/>
  <c r="J1613" i="2"/>
  <c r="I1613" i="2"/>
  <c r="H1613" i="2"/>
  <c r="L1612" i="2"/>
  <c r="M1612" i="2" s="1"/>
  <c r="J1612" i="2"/>
  <c r="I1612" i="2"/>
  <c r="H1612" i="2"/>
  <c r="L1611" i="2"/>
  <c r="M1611" i="2" s="1"/>
  <c r="J1611" i="2"/>
  <c r="I1611" i="2"/>
  <c r="H1611" i="2"/>
  <c r="L1610" i="2"/>
  <c r="M1610" i="2" s="1"/>
  <c r="J1610" i="2"/>
  <c r="I1610" i="2"/>
  <c r="H1610" i="2"/>
  <c r="L1609" i="2"/>
  <c r="M1609" i="2" s="1"/>
  <c r="J1609" i="2"/>
  <c r="I1609" i="2"/>
  <c r="H1609" i="2"/>
  <c r="L1608" i="2"/>
  <c r="M1608" i="2" s="1"/>
  <c r="J1608" i="2"/>
  <c r="I1608" i="2"/>
  <c r="H1608" i="2"/>
  <c r="L1607" i="2"/>
  <c r="M1607" i="2" s="1"/>
  <c r="J1607" i="2"/>
  <c r="I1607" i="2"/>
  <c r="H1607" i="2"/>
  <c r="AF1606" i="2"/>
  <c r="L1606" i="2"/>
  <c r="M1606" i="2" s="1"/>
  <c r="J1606" i="2"/>
  <c r="I1606" i="2"/>
  <c r="H1606" i="2"/>
  <c r="L1605" i="2"/>
  <c r="M1605" i="2" s="1"/>
  <c r="J1605" i="2"/>
  <c r="I1605" i="2"/>
  <c r="H1605" i="2"/>
  <c r="L1604" i="2"/>
  <c r="M1604" i="2" s="1"/>
  <c r="J1604" i="2"/>
  <c r="I1604" i="2"/>
  <c r="H1604" i="2"/>
  <c r="AF1603" i="2"/>
  <c r="L1603" i="2"/>
  <c r="M1603" i="2" s="1"/>
  <c r="J1603" i="2"/>
  <c r="I1603" i="2"/>
  <c r="H1603" i="2"/>
  <c r="AF1602" i="2"/>
  <c r="W1602" i="2"/>
  <c r="L1602" i="2"/>
  <c r="M1602" i="2" s="1"/>
  <c r="J1602" i="2"/>
  <c r="I1602" i="2"/>
  <c r="H1602" i="2"/>
  <c r="L1601" i="2"/>
  <c r="M1601" i="2" s="1"/>
  <c r="J1601" i="2"/>
  <c r="I1601" i="2"/>
  <c r="H1601" i="2"/>
  <c r="L1600" i="2"/>
  <c r="M1600" i="2" s="1"/>
  <c r="J1600" i="2"/>
  <c r="I1600" i="2"/>
  <c r="H1600" i="2"/>
  <c r="L1599" i="2"/>
  <c r="M1599" i="2" s="1"/>
  <c r="J1599" i="2"/>
  <c r="I1599" i="2"/>
  <c r="H1599" i="2"/>
  <c r="L1598" i="2"/>
  <c r="M1598" i="2" s="1"/>
  <c r="J1598" i="2"/>
  <c r="I1598" i="2"/>
  <c r="H1598" i="2"/>
  <c r="L1597" i="2"/>
  <c r="M1597" i="2" s="1"/>
  <c r="J1597" i="2"/>
  <c r="I1597" i="2"/>
  <c r="H1597" i="2"/>
  <c r="L1596" i="2"/>
  <c r="M1596" i="2" s="1"/>
  <c r="J1596" i="2"/>
  <c r="I1596" i="2"/>
  <c r="H1596" i="2"/>
  <c r="L1595" i="2"/>
  <c r="M1595" i="2" s="1"/>
  <c r="J1595" i="2"/>
  <c r="I1595" i="2"/>
  <c r="H1595" i="2"/>
  <c r="L1594" i="2"/>
  <c r="M1594" i="2" s="1"/>
  <c r="J1594" i="2"/>
  <c r="I1594" i="2"/>
  <c r="H1594" i="2"/>
  <c r="L1593" i="2"/>
  <c r="M1593" i="2" s="1"/>
  <c r="J1593" i="2"/>
  <c r="I1593" i="2"/>
  <c r="H1593" i="2"/>
  <c r="L1592" i="2"/>
  <c r="M1592" i="2" s="1"/>
  <c r="J1592" i="2"/>
  <c r="I1592" i="2"/>
  <c r="H1592" i="2"/>
  <c r="L1591" i="2"/>
  <c r="M1591" i="2" s="1"/>
  <c r="J1591" i="2"/>
  <c r="I1591" i="2"/>
  <c r="H1591" i="2"/>
  <c r="L1590" i="2"/>
  <c r="M1590" i="2" s="1"/>
  <c r="J1590" i="2"/>
  <c r="I1590" i="2"/>
  <c r="H1590" i="2"/>
  <c r="L1589" i="2"/>
  <c r="M1589" i="2" s="1"/>
  <c r="J1589" i="2"/>
  <c r="I1589" i="2"/>
  <c r="H1589" i="2"/>
  <c r="L1588" i="2"/>
  <c r="M1588" i="2" s="1"/>
  <c r="J1588" i="2"/>
  <c r="I1588" i="2"/>
  <c r="H1588" i="2"/>
  <c r="L1587" i="2"/>
  <c r="M1587" i="2" s="1"/>
  <c r="J1587" i="2"/>
  <c r="I1587" i="2"/>
  <c r="H1587" i="2"/>
  <c r="L1586" i="2"/>
  <c r="M1586" i="2" s="1"/>
  <c r="J1586" i="2"/>
  <c r="I1586" i="2"/>
  <c r="H1586" i="2"/>
  <c r="L1585" i="2"/>
  <c r="M1585" i="2" s="1"/>
  <c r="J1585" i="2"/>
  <c r="I1585" i="2"/>
  <c r="H1585" i="2"/>
  <c r="L1584" i="2"/>
  <c r="M1584" i="2" s="1"/>
  <c r="J1584" i="2"/>
  <c r="I1584" i="2"/>
  <c r="H1584" i="2"/>
  <c r="L1583" i="2"/>
  <c r="M1583" i="2" s="1"/>
  <c r="J1583" i="2"/>
  <c r="I1583" i="2"/>
  <c r="H1583" i="2"/>
  <c r="L1582" i="2"/>
  <c r="M1582" i="2" s="1"/>
  <c r="J1582" i="2"/>
  <c r="I1582" i="2"/>
  <c r="H1582" i="2"/>
  <c r="L1581" i="2"/>
  <c r="M1581" i="2" s="1"/>
  <c r="J1581" i="2"/>
  <c r="I1581" i="2"/>
  <c r="H1581" i="2"/>
  <c r="L1580" i="2"/>
  <c r="M1580" i="2" s="1"/>
  <c r="J1580" i="2"/>
  <c r="I1580" i="2"/>
  <c r="H1580" i="2"/>
  <c r="L1579" i="2"/>
  <c r="M1579" i="2" s="1"/>
  <c r="J1579" i="2"/>
  <c r="I1579" i="2"/>
  <c r="H1579" i="2"/>
  <c r="L1578" i="2"/>
  <c r="M1578" i="2" s="1"/>
  <c r="J1578" i="2"/>
  <c r="I1578" i="2"/>
  <c r="H1578" i="2"/>
  <c r="L1577" i="2"/>
  <c r="M1577" i="2" s="1"/>
  <c r="J1577" i="2"/>
  <c r="I1577" i="2"/>
  <c r="H1577" i="2"/>
  <c r="L1576" i="2"/>
  <c r="M1576" i="2" s="1"/>
  <c r="J1576" i="2"/>
  <c r="I1576" i="2"/>
  <c r="H1576" i="2"/>
  <c r="L1575" i="2"/>
  <c r="M1575" i="2" s="1"/>
  <c r="J1575" i="2"/>
  <c r="I1575" i="2"/>
  <c r="H1575" i="2"/>
  <c r="L1574" i="2"/>
  <c r="M1574" i="2" s="1"/>
  <c r="J1574" i="2"/>
  <c r="I1574" i="2"/>
  <c r="H1574" i="2"/>
  <c r="L1573" i="2"/>
  <c r="M1573" i="2" s="1"/>
  <c r="J1573" i="2"/>
  <c r="I1573" i="2"/>
  <c r="H1573" i="2"/>
  <c r="L1572" i="2"/>
  <c r="M1572" i="2" s="1"/>
  <c r="J1572" i="2"/>
  <c r="I1572" i="2"/>
  <c r="H1572" i="2"/>
  <c r="L1571" i="2"/>
  <c r="M1571" i="2" s="1"/>
  <c r="J1571" i="2"/>
  <c r="I1571" i="2"/>
  <c r="H1571" i="2"/>
  <c r="L1570" i="2"/>
  <c r="M1570" i="2" s="1"/>
  <c r="J1570" i="2"/>
  <c r="I1570" i="2"/>
  <c r="H1570" i="2"/>
  <c r="L1569" i="2"/>
  <c r="M1569" i="2" s="1"/>
  <c r="J1569" i="2"/>
  <c r="I1569" i="2"/>
  <c r="H1569" i="2"/>
  <c r="L1568" i="2"/>
  <c r="M1568" i="2" s="1"/>
  <c r="J1568" i="2"/>
  <c r="I1568" i="2"/>
  <c r="H1568" i="2"/>
  <c r="L1567" i="2"/>
  <c r="M1567" i="2" s="1"/>
  <c r="J1567" i="2"/>
  <c r="I1567" i="2"/>
  <c r="H1567" i="2"/>
  <c r="L1566" i="2"/>
  <c r="M1566" i="2" s="1"/>
  <c r="J1566" i="2"/>
  <c r="I1566" i="2"/>
  <c r="H1566" i="2"/>
  <c r="L1565" i="2"/>
  <c r="M1565" i="2" s="1"/>
  <c r="J1565" i="2"/>
  <c r="I1565" i="2"/>
  <c r="H1565" i="2"/>
  <c r="L1564" i="2"/>
  <c r="M1564" i="2" s="1"/>
  <c r="J1564" i="2"/>
  <c r="I1564" i="2"/>
  <c r="H1564" i="2"/>
  <c r="L1563" i="2"/>
  <c r="M1563" i="2" s="1"/>
  <c r="J1563" i="2"/>
  <c r="I1563" i="2"/>
  <c r="H1563" i="2"/>
  <c r="L1562" i="2"/>
  <c r="M1562" i="2" s="1"/>
  <c r="J1562" i="2"/>
  <c r="I1562" i="2"/>
  <c r="H1562" i="2"/>
  <c r="L1561" i="2"/>
  <c r="M1561" i="2" s="1"/>
  <c r="J1561" i="2"/>
  <c r="I1561" i="2"/>
  <c r="H1561" i="2"/>
  <c r="L1560" i="2"/>
  <c r="M1560" i="2" s="1"/>
  <c r="J1560" i="2"/>
  <c r="I1560" i="2"/>
  <c r="H1560" i="2"/>
  <c r="L1559" i="2"/>
  <c r="M1559" i="2" s="1"/>
  <c r="J1559" i="2"/>
  <c r="I1559" i="2"/>
  <c r="H1559" i="2"/>
  <c r="L1558" i="2"/>
  <c r="M1558" i="2" s="1"/>
  <c r="J1558" i="2"/>
  <c r="I1558" i="2"/>
  <c r="H1558" i="2"/>
  <c r="L1557" i="2"/>
  <c r="M1557" i="2" s="1"/>
  <c r="J1557" i="2"/>
  <c r="I1557" i="2"/>
  <c r="H1557" i="2"/>
  <c r="L1556" i="2"/>
  <c r="M1556" i="2" s="1"/>
  <c r="J1556" i="2"/>
  <c r="I1556" i="2"/>
  <c r="H1556" i="2"/>
  <c r="L1555" i="2"/>
  <c r="M1555" i="2" s="1"/>
  <c r="J1555" i="2"/>
  <c r="I1555" i="2"/>
  <c r="H1555" i="2"/>
  <c r="L1554" i="2"/>
  <c r="M1554" i="2" s="1"/>
  <c r="J1554" i="2"/>
  <c r="I1554" i="2"/>
  <c r="H1554" i="2"/>
  <c r="L1553" i="2"/>
  <c r="M1553" i="2" s="1"/>
  <c r="J1553" i="2"/>
  <c r="I1553" i="2"/>
  <c r="H1553" i="2"/>
  <c r="AF1552" i="2"/>
  <c r="L1552" i="2"/>
  <c r="M1552" i="2" s="1"/>
  <c r="J1552" i="2"/>
  <c r="I1552" i="2"/>
  <c r="H1552" i="2"/>
  <c r="L1551" i="2"/>
  <c r="M1551" i="2" s="1"/>
  <c r="J1551" i="2"/>
  <c r="I1551" i="2"/>
  <c r="H1551" i="2"/>
  <c r="L1550" i="2"/>
  <c r="M1550" i="2" s="1"/>
  <c r="J1550" i="2"/>
  <c r="I1550" i="2"/>
  <c r="H1550" i="2"/>
  <c r="AF1549" i="2"/>
  <c r="L1549" i="2"/>
  <c r="M1549" i="2" s="1"/>
  <c r="J1549" i="2"/>
  <c r="I1549" i="2"/>
  <c r="H1549" i="2"/>
  <c r="AF1548" i="2"/>
  <c r="W1548" i="2"/>
  <c r="L1548" i="2"/>
  <c r="M1548" i="2" s="1"/>
  <c r="J1548" i="2"/>
  <c r="I1548" i="2"/>
  <c r="H1548" i="2"/>
  <c r="L1547" i="2"/>
  <c r="M1547" i="2" s="1"/>
  <c r="J1547" i="2"/>
  <c r="I1547" i="2"/>
  <c r="H1547" i="2"/>
  <c r="L1546" i="2"/>
  <c r="M1546" i="2" s="1"/>
  <c r="J1546" i="2"/>
  <c r="I1546" i="2"/>
  <c r="H1546" i="2"/>
  <c r="T1545" i="2"/>
  <c r="W1545" i="2"/>
  <c r="L1545" i="2"/>
  <c r="M1545" i="2" s="1"/>
  <c r="J1545" i="2"/>
  <c r="I1545" i="2"/>
  <c r="H1545" i="2"/>
  <c r="L1544" i="2"/>
  <c r="M1544" i="2" s="1"/>
  <c r="J1544" i="2"/>
  <c r="I1544" i="2"/>
  <c r="H1544" i="2"/>
  <c r="L1543" i="2"/>
  <c r="M1543" i="2" s="1"/>
  <c r="J1543" i="2"/>
  <c r="I1543" i="2"/>
  <c r="H1543" i="2"/>
  <c r="T1542" i="2"/>
  <c r="W1542" i="2" s="1"/>
  <c r="L1542" i="2"/>
  <c r="M1542" i="2" s="1"/>
  <c r="J1542" i="2"/>
  <c r="I1542" i="2"/>
  <c r="H1542" i="2"/>
  <c r="W1541" i="2"/>
  <c r="L1541" i="2"/>
  <c r="M1541" i="2" s="1"/>
  <c r="J1541" i="2"/>
  <c r="I1541" i="2"/>
  <c r="H1541" i="2"/>
  <c r="L1540" i="2"/>
  <c r="M1540" i="2" s="1"/>
  <c r="J1540" i="2"/>
  <c r="I1540" i="2"/>
  <c r="H1540" i="2"/>
  <c r="L1539" i="2"/>
  <c r="M1539" i="2" s="1"/>
  <c r="J1539" i="2"/>
  <c r="I1539" i="2"/>
  <c r="H1539" i="2"/>
  <c r="N1538" i="2"/>
  <c r="W1538" i="2" s="1"/>
  <c r="T1538" i="2"/>
  <c r="L1538" i="2"/>
  <c r="M1538" i="2" s="1"/>
  <c r="J1538" i="2"/>
  <c r="I1538" i="2"/>
  <c r="H1538" i="2"/>
  <c r="W1537" i="2"/>
  <c r="L1537" i="2"/>
  <c r="M1537" i="2" s="1"/>
  <c r="J1537" i="2"/>
  <c r="I1537" i="2"/>
  <c r="H1537" i="2"/>
  <c r="T1536" i="2"/>
  <c r="W1536" i="2" s="1"/>
  <c r="L1536" i="2"/>
  <c r="M1536" i="2" s="1"/>
  <c r="J1536" i="2"/>
  <c r="I1536" i="2"/>
  <c r="H1536" i="2"/>
  <c r="L1535" i="2"/>
  <c r="M1535" i="2" s="1"/>
  <c r="J1535" i="2"/>
  <c r="I1535" i="2"/>
  <c r="H1535" i="2"/>
  <c r="L1534" i="2"/>
  <c r="M1534" i="2" s="1"/>
  <c r="J1534" i="2"/>
  <c r="I1534" i="2"/>
  <c r="H1534" i="2"/>
  <c r="L1533" i="2"/>
  <c r="M1533" i="2" s="1"/>
  <c r="J1533" i="2"/>
  <c r="I1533" i="2"/>
  <c r="H1533" i="2"/>
  <c r="W1532" i="2"/>
  <c r="L1532" i="2"/>
  <c r="M1532" i="2" s="1"/>
  <c r="J1532" i="2"/>
  <c r="I1532" i="2"/>
  <c r="H1532" i="2"/>
  <c r="W1531" i="2"/>
  <c r="L1531" i="2"/>
  <c r="M1531" i="2" s="1"/>
  <c r="J1531" i="2"/>
  <c r="I1531" i="2"/>
  <c r="H1531" i="2"/>
  <c r="W1530" i="2"/>
  <c r="L1530" i="2"/>
  <c r="M1530" i="2" s="1"/>
  <c r="J1530" i="2"/>
  <c r="I1530" i="2"/>
  <c r="H1530" i="2"/>
  <c r="N1529" i="2"/>
  <c r="W1529" i="2" s="1"/>
  <c r="L1529" i="2"/>
  <c r="M1529" i="2" s="1"/>
  <c r="J1529" i="2"/>
  <c r="I1529" i="2"/>
  <c r="H1529" i="2"/>
  <c r="L1528" i="2"/>
  <c r="M1528" i="2" s="1"/>
  <c r="J1528" i="2"/>
  <c r="I1528" i="2"/>
  <c r="H1528" i="2"/>
  <c r="L1527" i="2"/>
  <c r="M1527" i="2" s="1"/>
  <c r="J1527" i="2"/>
  <c r="I1527" i="2"/>
  <c r="H1527" i="2"/>
  <c r="L1526" i="2"/>
  <c r="M1526" i="2" s="1"/>
  <c r="J1526" i="2"/>
  <c r="I1526" i="2"/>
  <c r="H1526" i="2"/>
  <c r="W1525" i="2"/>
  <c r="L1525" i="2"/>
  <c r="M1525" i="2" s="1"/>
  <c r="J1525" i="2"/>
  <c r="I1525" i="2"/>
  <c r="H1525" i="2"/>
  <c r="T1524" i="2"/>
  <c r="W1524" i="2" s="1"/>
  <c r="L1524" i="2"/>
  <c r="M1524" i="2" s="1"/>
  <c r="J1524" i="2"/>
  <c r="I1524" i="2"/>
  <c r="H1524" i="2"/>
  <c r="L1523" i="2"/>
  <c r="M1523" i="2" s="1"/>
  <c r="J1523" i="2"/>
  <c r="I1523" i="2"/>
  <c r="H1523" i="2"/>
  <c r="W1522" i="2"/>
  <c r="L1522" i="2"/>
  <c r="M1522" i="2" s="1"/>
  <c r="J1522" i="2"/>
  <c r="I1522" i="2"/>
  <c r="H1522" i="2"/>
  <c r="W1521" i="2"/>
  <c r="L1521" i="2"/>
  <c r="M1521" i="2" s="1"/>
  <c r="J1521" i="2"/>
  <c r="I1521" i="2"/>
  <c r="H1521" i="2"/>
  <c r="L1520" i="2"/>
  <c r="M1520" i="2" s="1"/>
  <c r="J1520" i="2"/>
  <c r="I1520" i="2"/>
  <c r="H1520" i="2"/>
  <c r="L1519" i="2"/>
  <c r="M1519" i="2" s="1"/>
  <c r="J1519" i="2"/>
  <c r="I1519" i="2"/>
  <c r="H1519" i="2"/>
  <c r="L1518" i="2"/>
  <c r="M1518" i="2" s="1"/>
  <c r="J1518" i="2"/>
  <c r="I1518" i="2"/>
  <c r="H1518" i="2"/>
  <c r="L1517" i="2"/>
  <c r="M1517" i="2" s="1"/>
  <c r="J1517" i="2"/>
  <c r="I1517" i="2"/>
  <c r="H1517" i="2"/>
  <c r="T1516" i="2"/>
  <c r="W1516" i="2" s="1"/>
  <c r="L1516" i="2"/>
  <c r="M1516" i="2" s="1"/>
  <c r="J1516" i="2"/>
  <c r="I1516" i="2"/>
  <c r="H1516" i="2"/>
  <c r="L1515" i="2"/>
  <c r="M1515" i="2" s="1"/>
  <c r="J1515" i="2"/>
  <c r="I1515" i="2"/>
  <c r="H1515" i="2"/>
  <c r="L1514" i="2"/>
  <c r="M1514" i="2" s="1"/>
  <c r="J1514" i="2"/>
  <c r="I1514" i="2"/>
  <c r="H1514" i="2"/>
  <c r="T1513" i="2"/>
  <c r="W1513" i="2" s="1"/>
  <c r="L1513" i="2"/>
  <c r="M1513" i="2" s="1"/>
  <c r="J1513" i="2"/>
  <c r="I1513" i="2"/>
  <c r="H1513" i="2"/>
  <c r="W1512" i="2"/>
  <c r="L1512" i="2"/>
  <c r="M1512" i="2" s="1"/>
  <c r="J1512" i="2"/>
  <c r="I1512" i="2"/>
  <c r="H1512" i="2"/>
  <c r="L1511" i="2"/>
  <c r="M1511" i="2" s="1"/>
  <c r="J1511" i="2"/>
  <c r="I1511" i="2"/>
  <c r="H1511" i="2"/>
  <c r="L1510" i="2"/>
  <c r="M1510" i="2" s="1"/>
  <c r="J1510" i="2"/>
  <c r="I1510" i="2"/>
  <c r="H1510" i="2"/>
  <c r="N1509" i="2"/>
  <c r="W1509" i="2" s="1"/>
  <c r="T1509" i="2"/>
  <c r="L1509" i="2"/>
  <c r="M1509" i="2" s="1"/>
  <c r="J1509" i="2"/>
  <c r="I1509" i="2"/>
  <c r="H1509" i="2"/>
  <c r="T1508" i="2"/>
  <c r="W1508" i="2" s="1"/>
  <c r="L1508" i="2"/>
  <c r="M1508" i="2" s="1"/>
  <c r="J1508" i="2"/>
  <c r="I1508" i="2"/>
  <c r="H1508" i="2"/>
  <c r="L1507" i="2"/>
  <c r="M1507" i="2" s="1"/>
  <c r="J1507" i="2"/>
  <c r="I1507" i="2"/>
  <c r="H1507" i="2"/>
  <c r="L1506" i="2"/>
  <c r="M1506" i="2" s="1"/>
  <c r="J1506" i="2"/>
  <c r="I1506" i="2"/>
  <c r="H1506" i="2"/>
  <c r="L1505" i="2"/>
  <c r="M1505" i="2" s="1"/>
  <c r="J1505" i="2"/>
  <c r="I1505" i="2"/>
  <c r="H1505" i="2"/>
  <c r="W1504" i="2"/>
  <c r="L1504" i="2"/>
  <c r="M1504" i="2" s="1"/>
  <c r="J1504" i="2"/>
  <c r="I1504" i="2"/>
  <c r="H1504" i="2"/>
  <c r="W1503" i="2"/>
  <c r="L1503" i="2"/>
  <c r="M1503" i="2" s="1"/>
  <c r="J1503" i="2"/>
  <c r="I1503" i="2"/>
  <c r="H1503" i="2"/>
  <c r="W1502" i="2"/>
  <c r="L1502" i="2"/>
  <c r="M1502" i="2" s="1"/>
  <c r="J1502" i="2"/>
  <c r="I1502" i="2"/>
  <c r="H1502" i="2"/>
  <c r="N1501" i="2"/>
  <c r="W1501" i="2" s="1"/>
  <c r="L1501" i="2"/>
  <c r="M1501" i="2" s="1"/>
  <c r="J1501" i="2"/>
  <c r="I1501" i="2"/>
  <c r="H1501" i="2"/>
  <c r="L1500" i="2"/>
  <c r="M1500" i="2" s="1"/>
  <c r="J1500" i="2"/>
  <c r="I1500" i="2"/>
  <c r="H1500" i="2"/>
  <c r="L1499" i="2"/>
  <c r="M1499" i="2" s="1"/>
  <c r="J1499" i="2"/>
  <c r="I1499" i="2"/>
  <c r="H1499" i="2"/>
  <c r="L1498" i="2"/>
  <c r="M1498" i="2" s="1"/>
  <c r="J1498" i="2"/>
  <c r="I1498" i="2"/>
  <c r="H1498" i="2"/>
  <c r="W1497" i="2"/>
  <c r="L1497" i="2"/>
  <c r="M1497" i="2" s="1"/>
  <c r="J1497" i="2"/>
  <c r="I1497" i="2"/>
  <c r="H1497" i="2"/>
  <c r="T1496" i="2"/>
  <c r="W1496" i="2" s="1"/>
  <c r="L1496" i="2"/>
  <c r="M1496" i="2" s="1"/>
  <c r="J1496" i="2"/>
  <c r="I1496" i="2"/>
  <c r="H1496" i="2"/>
  <c r="L1495" i="2"/>
  <c r="M1495" i="2" s="1"/>
  <c r="J1495" i="2"/>
  <c r="I1495" i="2"/>
  <c r="H1495" i="2"/>
  <c r="W1494" i="2"/>
  <c r="L1494" i="2"/>
  <c r="M1494" i="2" s="1"/>
  <c r="J1494" i="2"/>
  <c r="I1494" i="2"/>
  <c r="H1494" i="2"/>
  <c r="W1493" i="2"/>
  <c r="L1493" i="2"/>
  <c r="M1493" i="2" s="1"/>
  <c r="J1493" i="2"/>
  <c r="I1493" i="2"/>
  <c r="H1493" i="2"/>
  <c r="L1492" i="2"/>
  <c r="M1492" i="2" s="1"/>
  <c r="J1492" i="2"/>
  <c r="I1492" i="2"/>
  <c r="H1492" i="2"/>
  <c r="L1491" i="2"/>
  <c r="M1491" i="2" s="1"/>
  <c r="J1491" i="2"/>
  <c r="I1491" i="2"/>
  <c r="H1491" i="2"/>
  <c r="L1490" i="2"/>
  <c r="M1490" i="2" s="1"/>
  <c r="J1490" i="2"/>
  <c r="I1490" i="2"/>
  <c r="H1490" i="2"/>
  <c r="L1489" i="2"/>
  <c r="M1489" i="2" s="1"/>
  <c r="J1489" i="2"/>
  <c r="I1489" i="2"/>
  <c r="H1489" i="2"/>
  <c r="T1488" i="2"/>
  <c r="W1488" i="2" s="1"/>
  <c r="L1488" i="2"/>
  <c r="M1488" i="2" s="1"/>
  <c r="J1488" i="2"/>
  <c r="I1488" i="2"/>
  <c r="H1488" i="2"/>
  <c r="L1487" i="2"/>
  <c r="M1487" i="2" s="1"/>
  <c r="J1487" i="2"/>
  <c r="I1487" i="2"/>
  <c r="H1487" i="2"/>
  <c r="L1486" i="2"/>
  <c r="M1486" i="2" s="1"/>
  <c r="J1486" i="2"/>
  <c r="I1486" i="2"/>
  <c r="H1486" i="2"/>
  <c r="T1485" i="2"/>
  <c r="W1485" i="2" s="1"/>
  <c r="L1485" i="2"/>
  <c r="M1485" i="2" s="1"/>
  <c r="J1485" i="2"/>
  <c r="I1485" i="2"/>
  <c r="H1485" i="2"/>
  <c r="W1484" i="2"/>
  <c r="L1484" i="2"/>
  <c r="M1484" i="2" s="1"/>
  <c r="J1484" i="2"/>
  <c r="I1484" i="2"/>
  <c r="H1484" i="2"/>
  <c r="L1483" i="2"/>
  <c r="M1483" i="2" s="1"/>
  <c r="J1483" i="2"/>
  <c r="I1483" i="2"/>
  <c r="H1483" i="2"/>
  <c r="L1482" i="2"/>
  <c r="M1482" i="2" s="1"/>
  <c r="J1482" i="2"/>
  <c r="I1482" i="2"/>
  <c r="H1482" i="2"/>
  <c r="N1481" i="2"/>
  <c r="W1481" i="2" s="1"/>
  <c r="T1481" i="2"/>
  <c r="L1481" i="2"/>
  <c r="M1481" i="2" s="1"/>
  <c r="J1481" i="2"/>
  <c r="I1481" i="2"/>
  <c r="H1481" i="2"/>
  <c r="T1480" i="2"/>
  <c r="W1480" i="2" s="1"/>
  <c r="L1480" i="2"/>
  <c r="M1480" i="2" s="1"/>
  <c r="J1480" i="2"/>
  <c r="I1480" i="2"/>
  <c r="H1480" i="2"/>
  <c r="L1479" i="2"/>
  <c r="M1479" i="2" s="1"/>
  <c r="J1479" i="2"/>
  <c r="I1479" i="2"/>
  <c r="H1479" i="2"/>
  <c r="L1478" i="2"/>
  <c r="M1478" i="2" s="1"/>
  <c r="J1478" i="2"/>
  <c r="I1478" i="2"/>
  <c r="H1478" i="2"/>
  <c r="L1477" i="2"/>
  <c r="M1477" i="2" s="1"/>
  <c r="J1477" i="2"/>
  <c r="I1477" i="2"/>
  <c r="H1477" i="2"/>
  <c r="W1476" i="2"/>
  <c r="L1476" i="2"/>
  <c r="M1476" i="2" s="1"/>
  <c r="J1476" i="2"/>
  <c r="I1476" i="2"/>
  <c r="H1476" i="2"/>
  <c r="W1475" i="2"/>
  <c r="L1475" i="2"/>
  <c r="M1475" i="2" s="1"/>
  <c r="J1475" i="2"/>
  <c r="I1475" i="2"/>
  <c r="H1475" i="2"/>
  <c r="W1474" i="2"/>
  <c r="L1474" i="2"/>
  <c r="M1474" i="2" s="1"/>
  <c r="J1474" i="2"/>
  <c r="I1474" i="2"/>
  <c r="H1474" i="2"/>
  <c r="N1473" i="2"/>
  <c r="W1473" i="2" s="1"/>
  <c r="L1473" i="2"/>
  <c r="M1473" i="2" s="1"/>
  <c r="J1473" i="2"/>
  <c r="I1473" i="2"/>
  <c r="H1473" i="2"/>
  <c r="L1472" i="2"/>
  <c r="M1472" i="2" s="1"/>
  <c r="J1472" i="2"/>
  <c r="I1472" i="2"/>
  <c r="H1472" i="2"/>
  <c r="L1471" i="2"/>
  <c r="M1471" i="2" s="1"/>
  <c r="J1471" i="2"/>
  <c r="I1471" i="2"/>
  <c r="H1471" i="2"/>
  <c r="L1470" i="2"/>
  <c r="M1470" i="2" s="1"/>
  <c r="J1470" i="2"/>
  <c r="I1470" i="2"/>
  <c r="H1470" i="2"/>
  <c r="W1469" i="2"/>
  <c r="L1469" i="2"/>
  <c r="M1469" i="2" s="1"/>
  <c r="J1469" i="2"/>
  <c r="I1469" i="2"/>
  <c r="H1469" i="2"/>
  <c r="T1468" i="2"/>
  <c r="W1468" i="2" s="1"/>
  <c r="L1468" i="2"/>
  <c r="M1468" i="2" s="1"/>
  <c r="J1468" i="2"/>
  <c r="I1468" i="2"/>
  <c r="H1468" i="2"/>
  <c r="L1467" i="2"/>
  <c r="M1467" i="2" s="1"/>
  <c r="J1467" i="2"/>
  <c r="I1467" i="2"/>
  <c r="H1467" i="2"/>
  <c r="W1466" i="2"/>
  <c r="L1466" i="2"/>
  <c r="M1466" i="2" s="1"/>
  <c r="J1466" i="2"/>
  <c r="I1466" i="2"/>
  <c r="H1466" i="2"/>
  <c r="W1465" i="2"/>
  <c r="L1465" i="2"/>
  <c r="M1465" i="2" s="1"/>
  <c r="J1465" i="2"/>
  <c r="I1465" i="2"/>
  <c r="H1465" i="2"/>
  <c r="L1464" i="2"/>
  <c r="M1464" i="2" s="1"/>
  <c r="J1464" i="2"/>
  <c r="I1464" i="2"/>
  <c r="H1464" i="2"/>
  <c r="L1463" i="2"/>
  <c r="M1463" i="2" s="1"/>
  <c r="J1463" i="2"/>
  <c r="I1463" i="2"/>
  <c r="H1463" i="2"/>
  <c r="L1462" i="2"/>
  <c r="M1462" i="2" s="1"/>
  <c r="J1462" i="2"/>
  <c r="I1462" i="2"/>
  <c r="H1462" i="2"/>
  <c r="L1461" i="2"/>
  <c r="M1461" i="2" s="1"/>
  <c r="J1461" i="2"/>
  <c r="I1461" i="2"/>
  <c r="H1461" i="2"/>
  <c r="T1460" i="2"/>
  <c r="W1460" i="2" s="1"/>
  <c r="L1460" i="2"/>
  <c r="M1460" i="2" s="1"/>
  <c r="J1460" i="2"/>
  <c r="I1460" i="2"/>
  <c r="H1460" i="2"/>
  <c r="L1459" i="2"/>
  <c r="M1459" i="2" s="1"/>
  <c r="J1459" i="2"/>
  <c r="I1459" i="2"/>
  <c r="H1459" i="2"/>
  <c r="L1458" i="2"/>
  <c r="M1458" i="2" s="1"/>
  <c r="J1458" i="2"/>
  <c r="I1458" i="2"/>
  <c r="H1458" i="2"/>
  <c r="T1457" i="2"/>
  <c r="W1457" i="2" s="1"/>
  <c r="L1457" i="2"/>
  <c r="M1457" i="2" s="1"/>
  <c r="J1457" i="2"/>
  <c r="I1457" i="2"/>
  <c r="H1457" i="2"/>
  <c r="W1456" i="2"/>
  <c r="L1456" i="2"/>
  <c r="M1456" i="2" s="1"/>
  <c r="J1456" i="2"/>
  <c r="I1456" i="2"/>
  <c r="H1456" i="2"/>
  <c r="L1455" i="2"/>
  <c r="M1455" i="2" s="1"/>
  <c r="J1455" i="2"/>
  <c r="I1455" i="2"/>
  <c r="H1455" i="2"/>
  <c r="L1454" i="2"/>
  <c r="M1454" i="2" s="1"/>
  <c r="J1454" i="2"/>
  <c r="I1454" i="2"/>
  <c r="H1454" i="2"/>
  <c r="N1453" i="2"/>
  <c r="W1453" i="2" s="1"/>
  <c r="T1453" i="2"/>
  <c r="L1453" i="2"/>
  <c r="M1453" i="2" s="1"/>
  <c r="J1453" i="2"/>
  <c r="I1453" i="2"/>
  <c r="H1453" i="2"/>
  <c r="T1452" i="2"/>
  <c r="W1452" i="2" s="1"/>
  <c r="L1452" i="2"/>
  <c r="M1452" i="2" s="1"/>
  <c r="J1452" i="2"/>
  <c r="I1452" i="2"/>
  <c r="H1452" i="2"/>
  <c r="L1451" i="2"/>
  <c r="M1451" i="2" s="1"/>
  <c r="J1451" i="2"/>
  <c r="I1451" i="2"/>
  <c r="H1451" i="2"/>
  <c r="L1450" i="2"/>
  <c r="M1450" i="2" s="1"/>
  <c r="J1450" i="2"/>
  <c r="I1450" i="2"/>
  <c r="H1450" i="2"/>
  <c r="L1449" i="2"/>
  <c r="M1449" i="2" s="1"/>
  <c r="J1449" i="2"/>
  <c r="I1449" i="2"/>
  <c r="H1449" i="2"/>
  <c r="W1448" i="2"/>
  <c r="L1448" i="2"/>
  <c r="M1448" i="2" s="1"/>
  <c r="J1448" i="2"/>
  <c r="I1448" i="2"/>
  <c r="H1448" i="2"/>
  <c r="W1447" i="2"/>
  <c r="L1447" i="2"/>
  <c r="M1447" i="2" s="1"/>
  <c r="J1447" i="2"/>
  <c r="I1447" i="2"/>
  <c r="H1447" i="2"/>
  <c r="W1446" i="2"/>
  <c r="L1446" i="2"/>
  <c r="M1446" i="2" s="1"/>
  <c r="J1446" i="2"/>
  <c r="I1446" i="2"/>
  <c r="H1446" i="2"/>
  <c r="N1445" i="2"/>
  <c r="W1445" i="2" s="1"/>
  <c r="L1445" i="2"/>
  <c r="M1445" i="2" s="1"/>
  <c r="J1445" i="2"/>
  <c r="I1445" i="2"/>
  <c r="H1445" i="2"/>
  <c r="L1444" i="2"/>
  <c r="M1444" i="2" s="1"/>
  <c r="J1444" i="2"/>
  <c r="I1444" i="2"/>
  <c r="H1444" i="2"/>
  <c r="L1443" i="2"/>
  <c r="M1443" i="2" s="1"/>
  <c r="J1443" i="2"/>
  <c r="I1443" i="2"/>
  <c r="H1443" i="2"/>
  <c r="L1442" i="2"/>
  <c r="M1442" i="2" s="1"/>
  <c r="J1442" i="2"/>
  <c r="I1442" i="2"/>
  <c r="H1442" i="2"/>
  <c r="W1441" i="2"/>
  <c r="L1441" i="2"/>
  <c r="M1441" i="2" s="1"/>
  <c r="J1441" i="2"/>
  <c r="I1441" i="2"/>
  <c r="H1441" i="2"/>
  <c r="T1440" i="2"/>
  <c r="W1440" i="2" s="1"/>
  <c r="L1440" i="2"/>
  <c r="M1440" i="2" s="1"/>
  <c r="J1440" i="2"/>
  <c r="I1440" i="2"/>
  <c r="H1440" i="2"/>
  <c r="L1439" i="2"/>
  <c r="M1439" i="2" s="1"/>
  <c r="J1439" i="2"/>
  <c r="I1439" i="2"/>
  <c r="H1439" i="2"/>
  <c r="W1438" i="2"/>
  <c r="L1438" i="2"/>
  <c r="M1438" i="2" s="1"/>
  <c r="J1438" i="2"/>
  <c r="I1438" i="2"/>
  <c r="H1438" i="2"/>
  <c r="W1437" i="2"/>
  <c r="L1437" i="2"/>
  <c r="M1437" i="2" s="1"/>
  <c r="J1437" i="2"/>
  <c r="I1437" i="2"/>
  <c r="H1437" i="2"/>
  <c r="L1436" i="2"/>
  <c r="M1436" i="2" s="1"/>
  <c r="J1436" i="2"/>
  <c r="I1436" i="2"/>
  <c r="H1436" i="2"/>
  <c r="L1435" i="2"/>
  <c r="M1435" i="2" s="1"/>
  <c r="J1435" i="2"/>
  <c r="I1435" i="2"/>
  <c r="H1435" i="2"/>
  <c r="W1434" i="2"/>
  <c r="O1433" i="2"/>
  <c r="O1434" i="2" s="1"/>
  <c r="L1434" i="2"/>
  <c r="M1434" i="2" s="1"/>
  <c r="J1434" i="2"/>
  <c r="I1434" i="2"/>
  <c r="H1434" i="2"/>
  <c r="W1433" i="2"/>
  <c r="L1433" i="2"/>
  <c r="M1433" i="2" s="1"/>
  <c r="J1433" i="2"/>
  <c r="I1433" i="2"/>
  <c r="H1433" i="2"/>
  <c r="L1432" i="2"/>
  <c r="M1432" i="2" s="1"/>
  <c r="J1432" i="2"/>
  <c r="I1432" i="2"/>
  <c r="H1432" i="2"/>
  <c r="W1431" i="2"/>
  <c r="O1430" i="2"/>
  <c r="O1431" i="2" s="1"/>
  <c r="L1431" i="2"/>
  <c r="M1431" i="2" s="1"/>
  <c r="J1431" i="2"/>
  <c r="I1431" i="2"/>
  <c r="H1431" i="2"/>
  <c r="W1430" i="2"/>
  <c r="L1430" i="2"/>
  <c r="M1430" i="2" s="1"/>
  <c r="J1430" i="2"/>
  <c r="I1430" i="2"/>
  <c r="H1430" i="2"/>
  <c r="L1429" i="2"/>
  <c r="M1429" i="2" s="1"/>
  <c r="J1429" i="2"/>
  <c r="I1429" i="2"/>
  <c r="H1429" i="2"/>
  <c r="W1428" i="2"/>
  <c r="O1427" i="2"/>
  <c r="O1428" i="2" s="1"/>
  <c r="L1428" i="2"/>
  <c r="M1428" i="2" s="1"/>
  <c r="J1428" i="2"/>
  <c r="I1428" i="2"/>
  <c r="H1428" i="2"/>
  <c r="W1427" i="2"/>
  <c r="L1427" i="2"/>
  <c r="M1427" i="2" s="1"/>
  <c r="J1427" i="2"/>
  <c r="I1427" i="2"/>
  <c r="H1427" i="2"/>
  <c r="L1426" i="2"/>
  <c r="M1426" i="2" s="1"/>
  <c r="J1426" i="2"/>
  <c r="I1426" i="2"/>
  <c r="H1426" i="2"/>
  <c r="W1425" i="2"/>
  <c r="O1424" i="2"/>
  <c r="O1425" i="2" s="1"/>
  <c r="L1425" i="2"/>
  <c r="M1425" i="2" s="1"/>
  <c r="J1425" i="2"/>
  <c r="I1425" i="2"/>
  <c r="H1425" i="2"/>
  <c r="W1424" i="2"/>
  <c r="L1424" i="2"/>
  <c r="M1424" i="2" s="1"/>
  <c r="J1424" i="2"/>
  <c r="I1424" i="2"/>
  <c r="H1424" i="2"/>
  <c r="L1423" i="2"/>
  <c r="M1423" i="2" s="1"/>
  <c r="J1423" i="2"/>
  <c r="I1423" i="2"/>
  <c r="H1423" i="2"/>
  <c r="W1422" i="2"/>
  <c r="O1421" i="2"/>
  <c r="O1422" i="2" s="1"/>
  <c r="L1422" i="2"/>
  <c r="M1422" i="2" s="1"/>
  <c r="J1422" i="2"/>
  <c r="I1422" i="2"/>
  <c r="H1422" i="2"/>
  <c r="W1421" i="2"/>
  <c r="L1421" i="2"/>
  <c r="M1421" i="2" s="1"/>
  <c r="J1421" i="2"/>
  <c r="I1421" i="2"/>
  <c r="H1421" i="2"/>
  <c r="L1420" i="2"/>
  <c r="M1420" i="2" s="1"/>
  <c r="J1420" i="2"/>
  <c r="I1420" i="2"/>
  <c r="H1420" i="2"/>
  <c r="L1407" i="2"/>
  <c r="M1407" i="2" s="1"/>
  <c r="J1407" i="2"/>
  <c r="I1407" i="2"/>
  <c r="H1407" i="2"/>
  <c r="L1406" i="2"/>
  <c r="M1406" i="2" s="1"/>
  <c r="J1406" i="2"/>
  <c r="I1406" i="2"/>
  <c r="H1406" i="2"/>
  <c r="T1405" i="2"/>
  <c r="L1405" i="2"/>
  <c r="M1405" i="2" s="1"/>
  <c r="J1405" i="2"/>
  <c r="I1405" i="2"/>
  <c r="H1405" i="2"/>
  <c r="T1404" i="2"/>
  <c r="W1404" i="2" s="1"/>
  <c r="L1404" i="2"/>
  <c r="M1404" i="2" s="1"/>
  <c r="J1404" i="2"/>
  <c r="I1404" i="2"/>
  <c r="H1404" i="2"/>
  <c r="L1403" i="2"/>
  <c r="M1403" i="2" s="1"/>
  <c r="J1403" i="2"/>
  <c r="I1403" i="2"/>
  <c r="H1403" i="2"/>
  <c r="L1402" i="2"/>
  <c r="M1402" i="2" s="1"/>
  <c r="J1402" i="2"/>
  <c r="I1402" i="2"/>
  <c r="H1402" i="2"/>
  <c r="W1401" i="2"/>
  <c r="L1401" i="2"/>
  <c r="M1401" i="2" s="1"/>
  <c r="J1401" i="2"/>
  <c r="I1401" i="2"/>
  <c r="H1401" i="2"/>
  <c r="L1400" i="2"/>
  <c r="M1400" i="2" s="1"/>
  <c r="J1400" i="2"/>
  <c r="I1400" i="2"/>
  <c r="H1400" i="2"/>
  <c r="L1399" i="2"/>
  <c r="M1399" i="2" s="1"/>
  <c r="J1399" i="2"/>
  <c r="I1399" i="2"/>
  <c r="H1399" i="2"/>
  <c r="W1398" i="2"/>
  <c r="L1398" i="2"/>
  <c r="M1398" i="2" s="1"/>
  <c r="J1398" i="2"/>
  <c r="I1398" i="2"/>
  <c r="H1398" i="2"/>
  <c r="L1397" i="2"/>
  <c r="M1397" i="2" s="1"/>
  <c r="J1397" i="2"/>
  <c r="I1397" i="2"/>
  <c r="H1397" i="2"/>
  <c r="W1396" i="2"/>
  <c r="L1396" i="2"/>
  <c r="M1396" i="2" s="1"/>
  <c r="J1396" i="2"/>
  <c r="I1396" i="2"/>
  <c r="H1396" i="2"/>
  <c r="W1395" i="2"/>
  <c r="L1395" i="2"/>
  <c r="M1395" i="2" s="1"/>
  <c r="J1395" i="2"/>
  <c r="I1395" i="2"/>
  <c r="H1395" i="2"/>
  <c r="L1394" i="2"/>
  <c r="M1394" i="2" s="1"/>
  <c r="J1394" i="2"/>
  <c r="I1394" i="2"/>
  <c r="H1394" i="2"/>
  <c r="W1393" i="2"/>
  <c r="L1393" i="2"/>
  <c r="M1393" i="2" s="1"/>
  <c r="J1393" i="2"/>
  <c r="I1393" i="2"/>
  <c r="H1393" i="2"/>
  <c r="L1392" i="2"/>
  <c r="M1392" i="2" s="1"/>
  <c r="J1392" i="2"/>
  <c r="I1392" i="2"/>
  <c r="H1392" i="2"/>
  <c r="L1391" i="2"/>
  <c r="M1391" i="2" s="1"/>
  <c r="J1391" i="2"/>
  <c r="I1391" i="2"/>
  <c r="H1391" i="2"/>
  <c r="W1390" i="2"/>
  <c r="L1390" i="2"/>
  <c r="M1390" i="2" s="1"/>
  <c r="J1390" i="2"/>
  <c r="I1390" i="2"/>
  <c r="H1390" i="2"/>
  <c r="W1389" i="2"/>
  <c r="L1389" i="2"/>
  <c r="M1389" i="2" s="1"/>
  <c r="J1389" i="2"/>
  <c r="I1389" i="2"/>
  <c r="H1389" i="2"/>
  <c r="W1388" i="2"/>
  <c r="L1388" i="2"/>
  <c r="M1388" i="2" s="1"/>
  <c r="J1388" i="2"/>
  <c r="I1388" i="2"/>
  <c r="H1388" i="2"/>
  <c r="N1387" i="2"/>
  <c r="W1387" i="2" s="1"/>
  <c r="L1387" i="2"/>
  <c r="M1387" i="2" s="1"/>
  <c r="J1387" i="2"/>
  <c r="I1387" i="2"/>
  <c r="H1387" i="2"/>
  <c r="W1386" i="2"/>
  <c r="L1386" i="2"/>
  <c r="M1386" i="2" s="1"/>
  <c r="J1386" i="2"/>
  <c r="I1386" i="2"/>
  <c r="H1386" i="2"/>
  <c r="L1385" i="2"/>
  <c r="M1385" i="2" s="1"/>
  <c r="J1385" i="2"/>
  <c r="I1385" i="2"/>
  <c r="H1385" i="2"/>
  <c r="L1384" i="2"/>
  <c r="M1384" i="2" s="1"/>
  <c r="J1384" i="2"/>
  <c r="I1384" i="2"/>
  <c r="H1384" i="2"/>
  <c r="T1383" i="2"/>
  <c r="W1383" i="2" s="1"/>
  <c r="L1383" i="2"/>
  <c r="M1383" i="2" s="1"/>
  <c r="J1383" i="2"/>
  <c r="I1383" i="2"/>
  <c r="H1383" i="2"/>
  <c r="W1382" i="2"/>
  <c r="L1382" i="2"/>
  <c r="M1382" i="2" s="1"/>
  <c r="J1382" i="2"/>
  <c r="I1382" i="2"/>
  <c r="H1382" i="2"/>
  <c r="L1381" i="2"/>
  <c r="M1381" i="2" s="1"/>
  <c r="J1381" i="2"/>
  <c r="I1381" i="2"/>
  <c r="H1381" i="2"/>
  <c r="L1380" i="2"/>
  <c r="M1380" i="2" s="1"/>
  <c r="J1380" i="2"/>
  <c r="I1380" i="2"/>
  <c r="H1380" i="2"/>
  <c r="N1379" i="2"/>
  <c r="W1379" i="2" s="1"/>
  <c r="L1379" i="2"/>
  <c r="M1379" i="2" s="1"/>
  <c r="J1379" i="2"/>
  <c r="I1379" i="2"/>
  <c r="H1379" i="2"/>
  <c r="W1378" i="2"/>
  <c r="L1378" i="2"/>
  <c r="M1378" i="2" s="1"/>
  <c r="J1378" i="2"/>
  <c r="I1378" i="2"/>
  <c r="H1378" i="2"/>
  <c r="L1377" i="2"/>
  <c r="M1377" i="2" s="1"/>
  <c r="J1377" i="2"/>
  <c r="I1377" i="2"/>
  <c r="H1377" i="2"/>
  <c r="W1376" i="2"/>
  <c r="L1376" i="2"/>
  <c r="M1376" i="2" s="1"/>
  <c r="J1376" i="2"/>
  <c r="I1376" i="2"/>
  <c r="H1376" i="2"/>
  <c r="W1375" i="2"/>
  <c r="L1375" i="2"/>
  <c r="M1375" i="2" s="1"/>
  <c r="J1375" i="2"/>
  <c r="I1375" i="2"/>
  <c r="H1375" i="2"/>
  <c r="L1374" i="2"/>
  <c r="M1374" i="2" s="1"/>
  <c r="J1374" i="2"/>
  <c r="I1374" i="2"/>
  <c r="H1374" i="2"/>
  <c r="L1373" i="2"/>
  <c r="M1373" i="2" s="1"/>
  <c r="J1373" i="2"/>
  <c r="I1373" i="2"/>
  <c r="H1373" i="2"/>
  <c r="W1372" i="2"/>
  <c r="O1371" i="2"/>
  <c r="O1372" i="2" s="1"/>
  <c r="L1372" i="2"/>
  <c r="M1372" i="2" s="1"/>
  <c r="J1372" i="2"/>
  <c r="I1372" i="2"/>
  <c r="H1372" i="2"/>
  <c r="W1371" i="2"/>
  <c r="L1371" i="2"/>
  <c r="M1371" i="2" s="1"/>
  <c r="J1371" i="2"/>
  <c r="I1371" i="2"/>
  <c r="H1371" i="2"/>
  <c r="L1370" i="2"/>
  <c r="M1370" i="2" s="1"/>
  <c r="J1370" i="2"/>
  <c r="I1370" i="2"/>
  <c r="H1370" i="2"/>
  <c r="W1369" i="2"/>
  <c r="O1368" i="2"/>
  <c r="O1369" i="2" s="1"/>
  <c r="L1369" i="2"/>
  <c r="M1369" i="2" s="1"/>
  <c r="J1369" i="2"/>
  <c r="I1369" i="2"/>
  <c r="H1369" i="2"/>
  <c r="W1368" i="2"/>
  <c r="L1368" i="2"/>
  <c r="M1368" i="2" s="1"/>
  <c r="J1368" i="2"/>
  <c r="I1368" i="2"/>
  <c r="H1368" i="2"/>
  <c r="L1367" i="2"/>
  <c r="M1367" i="2" s="1"/>
  <c r="J1367" i="2"/>
  <c r="I1367" i="2"/>
  <c r="H1367" i="2"/>
  <c r="W1366" i="2"/>
  <c r="O1365" i="2"/>
  <c r="O1366" i="2" s="1"/>
  <c r="L1366" i="2"/>
  <c r="M1366" i="2" s="1"/>
  <c r="J1366" i="2"/>
  <c r="I1366" i="2"/>
  <c r="H1366" i="2"/>
  <c r="W1365" i="2"/>
  <c r="L1365" i="2"/>
  <c r="M1365" i="2" s="1"/>
  <c r="J1365" i="2"/>
  <c r="I1365" i="2"/>
  <c r="H1365" i="2"/>
  <c r="L1364" i="2"/>
  <c r="M1364" i="2" s="1"/>
  <c r="J1364" i="2"/>
  <c r="I1364" i="2"/>
  <c r="H1364" i="2"/>
  <c r="W1363" i="2"/>
  <c r="O1362" i="2"/>
  <c r="O1363" i="2" s="1"/>
  <c r="L1363" i="2"/>
  <c r="M1363" i="2" s="1"/>
  <c r="J1363" i="2"/>
  <c r="I1363" i="2"/>
  <c r="H1363" i="2"/>
  <c r="W1362" i="2"/>
  <c r="L1362" i="2"/>
  <c r="M1362" i="2" s="1"/>
  <c r="J1362" i="2"/>
  <c r="I1362" i="2"/>
  <c r="H1362" i="2"/>
  <c r="L1361" i="2"/>
  <c r="M1361" i="2" s="1"/>
  <c r="J1361" i="2"/>
  <c r="I1361" i="2"/>
  <c r="H1361" i="2"/>
  <c r="W1360" i="2"/>
  <c r="O1359" i="2"/>
  <c r="O1360" i="2" s="1"/>
  <c r="L1360" i="2"/>
  <c r="M1360" i="2" s="1"/>
  <c r="J1360" i="2"/>
  <c r="I1360" i="2"/>
  <c r="H1360" i="2"/>
  <c r="W1359" i="2"/>
  <c r="L1359" i="2"/>
  <c r="M1359" i="2" s="1"/>
  <c r="J1359" i="2"/>
  <c r="I1359" i="2"/>
  <c r="H1359" i="2"/>
  <c r="L1358" i="2"/>
  <c r="M1358" i="2" s="1"/>
  <c r="J1358" i="2"/>
  <c r="I1358" i="2"/>
  <c r="H1358" i="2"/>
  <c r="W1357" i="2"/>
  <c r="O1356" i="2"/>
  <c r="O1357" i="2" s="1"/>
  <c r="L1357" i="2"/>
  <c r="M1357" i="2" s="1"/>
  <c r="J1357" i="2"/>
  <c r="I1357" i="2"/>
  <c r="H1357" i="2"/>
  <c r="W1356" i="2"/>
  <c r="L1356" i="2"/>
  <c r="M1356" i="2" s="1"/>
  <c r="J1356" i="2"/>
  <c r="I1356" i="2"/>
  <c r="H1356" i="2"/>
  <c r="L1355" i="2"/>
  <c r="M1355" i="2" s="1"/>
  <c r="J1355" i="2"/>
  <c r="I1355" i="2"/>
  <c r="H1355" i="2"/>
  <c r="W1354" i="2"/>
  <c r="O1353" i="2"/>
  <c r="O1354" i="2" s="1"/>
  <c r="L1354" i="2"/>
  <c r="M1354" i="2" s="1"/>
  <c r="J1354" i="2"/>
  <c r="I1354" i="2"/>
  <c r="H1354" i="2"/>
  <c r="W1353" i="2"/>
  <c r="L1353" i="2"/>
  <c r="M1353" i="2" s="1"/>
  <c r="J1353" i="2"/>
  <c r="I1353" i="2"/>
  <c r="H1353" i="2"/>
  <c r="L1352" i="2"/>
  <c r="M1352" i="2" s="1"/>
  <c r="J1352" i="2"/>
  <c r="I1352" i="2"/>
  <c r="H1352" i="2"/>
  <c r="W1351" i="2"/>
  <c r="O1350" i="2"/>
  <c r="O1351" i="2" s="1"/>
  <c r="L1351" i="2"/>
  <c r="M1351" i="2" s="1"/>
  <c r="J1351" i="2"/>
  <c r="I1351" i="2"/>
  <c r="H1351" i="2"/>
  <c r="W1350" i="2"/>
  <c r="L1350" i="2"/>
  <c r="M1350" i="2" s="1"/>
  <c r="J1350" i="2"/>
  <c r="I1350" i="2"/>
  <c r="H1350" i="2"/>
  <c r="L1349" i="2"/>
  <c r="M1349" i="2" s="1"/>
  <c r="J1349" i="2"/>
  <c r="I1349" i="2"/>
  <c r="H1349" i="2"/>
  <c r="W1348" i="2"/>
  <c r="O1347" i="2"/>
  <c r="O1348" i="2" s="1"/>
  <c r="L1348" i="2"/>
  <c r="M1348" i="2" s="1"/>
  <c r="J1348" i="2"/>
  <c r="I1348" i="2"/>
  <c r="H1348" i="2"/>
  <c r="W1347" i="2"/>
  <c r="L1347" i="2"/>
  <c r="M1347" i="2" s="1"/>
  <c r="J1347" i="2"/>
  <c r="I1347" i="2"/>
  <c r="H1347" i="2"/>
  <c r="L1346" i="2"/>
  <c r="M1346" i="2" s="1"/>
  <c r="J1346" i="2"/>
  <c r="I1346" i="2"/>
  <c r="H1346" i="2"/>
  <c r="W1345" i="2"/>
  <c r="O1344" i="2"/>
  <c r="O1345" i="2" s="1"/>
  <c r="L1345" i="2"/>
  <c r="M1345" i="2" s="1"/>
  <c r="J1345" i="2"/>
  <c r="I1345" i="2"/>
  <c r="H1345" i="2"/>
  <c r="W1344" i="2"/>
  <c r="L1344" i="2"/>
  <c r="M1344" i="2" s="1"/>
  <c r="J1344" i="2"/>
  <c r="I1344" i="2"/>
  <c r="H1344" i="2"/>
  <c r="L1343" i="2"/>
  <c r="M1343" i="2" s="1"/>
  <c r="J1343" i="2"/>
  <c r="I1343" i="2"/>
  <c r="H1343" i="2"/>
  <c r="W1342" i="2"/>
  <c r="O1341" i="2"/>
  <c r="O1342" i="2" s="1"/>
  <c r="L1342" i="2"/>
  <c r="M1342" i="2" s="1"/>
  <c r="J1342" i="2"/>
  <c r="I1342" i="2"/>
  <c r="H1342" i="2"/>
  <c r="W1341" i="2"/>
  <c r="L1341" i="2"/>
  <c r="M1341" i="2" s="1"/>
  <c r="J1341" i="2"/>
  <c r="I1341" i="2"/>
  <c r="H1341" i="2"/>
  <c r="L1340" i="2"/>
  <c r="M1340" i="2" s="1"/>
  <c r="J1340" i="2"/>
  <c r="I1340" i="2"/>
  <c r="H1340" i="2"/>
  <c r="W1339" i="2"/>
  <c r="O1338" i="2"/>
  <c r="O1339" i="2" s="1"/>
  <c r="L1339" i="2"/>
  <c r="M1339" i="2" s="1"/>
  <c r="J1339" i="2"/>
  <c r="I1339" i="2"/>
  <c r="H1339" i="2"/>
  <c r="W1338" i="2"/>
  <c r="L1338" i="2"/>
  <c r="M1338" i="2" s="1"/>
  <c r="J1338" i="2"/>
  <c r="I1338" i="2"/>
  <c r="H1338" i="2"/>
  <c r="L1337" i="2"/>
  <c r="M1337" i="2" s="1"/>
  <c r="J1337" i="2"/>
  <c r="I1337" i="2"/>
  <c r="H1337" i="2"/>
  <c r="L1332" i="2"/>
  <c r="M1332" i="2" s="1"/>
  <c r="J1332" i="2"/>
  <c r="I1332" i="2"/>
  <c r="H1332" i="2"/>
  <c r="W1331" i="2"/>
  <c r="L1331" i="2"/>
  <c r="M1331" i="2" s="1"/>
  <c r="J1331" i="2"/>
  <c r="I1331" i="2"/>
  <c r="H1331" i="2"/>
  <c r="N1330" i="2"/>
  <c r="W1330" i="2" s="1"/>
  <c r="L1330" i="2"/>
  <c r="M1330" i="2" s="1"/>
  <c r="J1330" i="2"/>
  <c r="I1330" i="2"/>
  <c r="H1330" i="2"/>
  <c r="W1329" i="2"/>
  <c r="L1329" i="2"/>
  <c r="M1329" i="2" s="1"/>
  <c r="J1329" i="2"/>
  <c r="I1329" i="2"/>
  <c r="H1329" i="2"/>
  <c r="L1328" i="2"/>
  <c r="M1328" i="2" s="1"/>
  <c r="J1328" i="2"/>
  <c r="I1328" i="2"/>
  <c r="H1328" i="2"/>
  <c r="W1327" i="2"/>
  <c r="L1327" i="2"/>
  <c r="M1327" i="2" s="1"/>
  <c r="J1327" i="2"/>
  <c r="I1327" i="2"/>
  <c r="H1327" i="2"/>
  <c r="AK1326" i="2"/>
  <c r="L1326" i="2"/>
  <c r="M1326" i="2" s="1"/>
  <c r="J1326" i="2"/>
  <c r="I1326" i="2"/>
  <c r="H1326" i="2"/>
  <c r="L1325" i="2"/>
  <c r="M1325" i="2" s="1"/>
  <c r="J1325" i="2"/>
  <c r="I1325" i="2"/>
  <c r="H1325" i="2"/>
  <c r="W1324" i="2"/>
  <c r="L1324" i="2"/>
  <c r="M1324" i="2" s="1"/>
  <c r="J1324" i="2"/>
  <c r="I1324" i="2"/>
  <c r="H1324" i="2"/>
  <c r="N1323" i="2"/>
  <c r="W1323" i="2" s="1"/>
  <c r="L1323" i="2"/>
  <c r="M1323" i="2" s="1"/>
  <c r="J1323" i="2"/>
  <c r="I1323" i="2"/>
  <c r="H1323" i="2"/>
  <c r="W1322" i="2"/>
  <c r="L1322" i="2"/>
  <c r="M1322" i="2" s="1"/>
  <c r="J1322" i="2"/>
  <c r="I1322" i="2"/>
  <c r="H1322" i="2"/>
  <c r="L1321" i="2"/>
  <c r="M1321" i="2" s="1"/>
  <c r="J1321" i="2"/>
  <c r="I1321" i="2"/>
  <c r="H1321" i="2"/>
  <c r="L1320" i="2"/>
  <c r="M1320" i="2" s="1"/>
  <c r="J1320" i="2"/>
  <c r="I1320" i="2"/>
  <c r="H1320" i="2"/>
  <c r="W1319" i="2"/>
  <c r="L1319" i="2"/>
  <c r="M1319" i="2" s="1"/>
  <c r="J1319" i="2"/>
  <c r="I1319" i="2"/>
  <c r="H1319" i="2"/>
  <c r="N1318" i="2"/>
  <c r="W1318" i="2" s="1"/>
  <c r="L1318" i="2"/>
  <c r="M1318" i="2" s="1"/>
  <c r="J1318" i="2"/>
  <c r="I1318" i="2"/>
  <c r="H1318" i="2"/>
  <c r="W1317" i="2"/>
  <c r="L1317" i="2"/>
  <c r="M1317" i="2" s="1"/>
  <c r="J1317" i="2"/>
  <c r="I1317" i="2"/>
  <c r="H1317" i="2"/>
  <c r="L1316" i="2"/>
  <c r="M1316" i="2" s="1"/>
  <c r="J1316" i="2"/>
  <c r="I1316" i="2"/>
  <c r="H1316" i="2"/>
  <c r="L1315" i="2"/>
  <c r="M1315" i="2" s="1"/>
  <c r="J1315" i="2"/>
  <c r="I1315" i="2"/>
  <c r="H1315" i="2"/>
  <c r="W1314" i="2"/>
  <c r="L1314" i="2"/>
  <c r="M1314" i="2" s="1"/>
  <c r="J1314" i="2"/>
  <c r="I1314" i="2"/>
  <c r="H1314" i="2"/>
  <c r="N1313" i="2"/>
  <c r="W1313" i="2" s="1"/>
  <c r="L1313" i="2"/>
  <c r="M1313" i="2" s="1"/>
  <c r="J1313" i="2"/>
  <c r="I1313" i="2"/>
  <c r="H1313" i="2"/>
  <c r="W1312" i="2"/>
  <c r="L1312" i="2"/>
  <c r="M1312" i="2" s="1"/>
  <c r="J1312" i="2"/>
  <c r="I1312" i="2"/>
  <c r="H1312" i="2"/>
  <c r="L1311" i="2"/>
  <c r="M1311" i="2" s="1"/>
  <c r="J1311" i="2"/>
  <c r="I1311" i="2"/>
  <c r="H1311" i="2"/>
  <c r="L1310" i="2"/>
  <c r="M1310" i="2" s="1"/>
  <c r="J1310" i="2"/>
  <c r="I1310" i="2"/>
  <c r="H1310" i="2"/>
  <c r="W1309" i="2"/>
  <c r="L1309" i="2"/>
  <c r="M1309" i="2" s="1"/>
  <c r="J1309" i="2"/>
  <c r="I1309" i="2"/>
  <c r="H1309" i="2"/>
  <c r="N1308" i="2"/>
  <c r="W1308" i="2" s="1"/>
  <c r="L1308" i="2"/>
  <c r="M1308" i="2" s="1"/>
  <c r="J1308" i="2"/>
  <c r="I1308" i="2"/>
  <c r="H1308" i="2"/>
  <c r="W1307" i="2"/>
  <c r="L1307" i="2"/>
  <c r="M1307" i="2" s="1"/>
  <c r="J1307" i="2"/>
  <c r="I1307" i="2"/>
  <c r="H1307" i="2"/>
  <c r="L1306" i="2"/>
  <c r="M1306" i="2" s="1"/>
  <c r="J1306" i="2"/>
  <c r="I1306" i="2"/>
  <c r="H1306" i="2"/>
  <c r="L1305" i="2"/>
  <c r="M1305" i="2" s="1"/>
  <c r="J1305" i="2"/>
  <c r="I1305" i="2"/>
  <c r="H1305" i="2"/>
  <c r="W1304" i="2"/>
  <c r="L1304" i="2"/>
  <c r="M1304" i="2" s="1"/>
  <c r="J1304" i="2"/>
  <c r="I1304" i="2"/>
  <c r="H1304" i="2"/>
  <c r="N1303" i="2"/>
  <c r="W1303" i="2" s="1"/>
  <c r="L1303" i="2"/>
  <c r="M1303" i="2" s="1"/>
  <c r="J1303" i="2"/>
  <c r="I1303" i="2"/>
  <c r="H1303" i="2"/>
  <c r="W1302" i="2"/>
  <c r="L1302" i="2"/>
  <c r="M1302" i="2" s="1"/>
  <c r="J1302" i="2"/>
  <c r="I1302" i="2"/>
  <c r="H1302" i="2"/>
  <c r="L1301" i="2"/>
  <c r="M1301" i="2" s="1"/>
  <c r="J1301" i="2"/>
  <c r="I1301" i="2"/>
  <c r="H1301" i="2"/>
  <c r="L1300" i="2"/>
  <c r="M1300" i="2" s="1"/>
  <c r="J1300" i="2"/>
  <c r="I1300" i="2"/>
  <c r="H1300" i="2"/>
  <c r="W1299" i="2"/>
  <c r="L1299" i="2"/>
  <c r="M1299" i="2" s="1"/>
  <c r="J1299" i="2"/>
  <c r="I1299" i="2"/>
  <c r="H1299" i="2"/>
  <c r="N1298" i="2"/>
  <c r="W1298" i="2" s="1"/>
  <c r="L1298" i="2"/>
  <c r="M1298" i="2" s="1"/>
  <c r="J1298" i="2"/>
  <c r="I1298" i="2"/>
  <c r="H1298" i="2"/>
  <c r="W1297" i="2"/>
  <c r="L1297" i="2"/>
  <c r="M1297" i="2" s="1"/>
  <c r="J1297" i="2"/>
  <c r="I1297" i="2"/>
  <c r="H1297" i="2"/>
  <c r="L1296" i="2"/>
  <c r="M1296" i="2" s="1"/>
  <c r="J1296" i="2"/>
  <c r="I1296" i="2"/>
  <c r="H1296" i="2"/>
  <c r="W1295" i="2"/>
  <c r="L1295" i="2"/>
  <c r="M1295" i="2" s="1"/>
  <c r="J1295" i="2"/>
  <c r="I1295" i="2"/>
  <c r="H1295" i="2"/>
  <c r="W1294" i="2"/>
  <c r="L1294" i="2"/>
  <c r="M1294" i="2" s="1"/>
  <c r="J1294" i="2"/>
  <c r="I1294" i="2"/>
  <c r="H1294" i="2"/>
  <c r="W1293" i="2"/>
  <c r="L1293" i="2"/>
  <c r="M1293" i="2" s="1"/>
  <c r="J1293" i="2"/>
  <c r="I1293" i="2"/>
  <c r="H1293" i="2"/>
  <c r="W1292" i="2"/>
  <c r="L1292" i="2"/>
  <c r="M1292" i="2" s="1"/>
  <c r="J1292" i="2"/>
  <c r="I1292" i="2"/>
  <c r="H1292" i="2"/>
  <c r="W1291" i="2"/>
  <c r="L1291" i="2"/>
  <c r="M1291" i="2" s="1"/>
  <c r="J1291" i="2"/>
  <c r="I1291" i="2"/>
  <c r="H1291" i="2"/>
  <c r="N1290" i="2"/>
  <c r="W1290" i="2" s="1"/>
  <c r="L1290" i="2"/>
  <c r="M1290" i="2" s="1"/>
  <c r="J1290" i="2"/>
  <c r="I1290" i="2"/>
  <c r="H1290" i="2"/>
  <c r="T1289" i="2"/>
  <c r="W1289" i="2" s="1"/>
  <c r="L1289" i="2"/>
  <c r="M1289" i="2" s="1"/>
  <c r="J1289" i="2"/>
  <c r="I1289" i="2"/>
  <c r="H1289" i="2"/>
  <c r="W1288" i="2"/>
  <c r="L1288" i="2"/>
  <c r="M1288" i="2" s="1"/>
  <c r="J1288" i="2"/>
  <c r="I1288" i="2"/>
  <c r="H1288" i="2"/>
  <c r="L1287" i="2"/>
  <c r="M1287" i="2" s="1"/>
  <c r="J1287" i="2"/>
  <c r="I1287" i="2"/>
  <c r="H1287" i="2"/>
  <c r="L1286" i="2"/>
  <c r="M1286" i="2" s="1"/>
  <c r="J1286" i="2"/>
  <c r="I1286" i="2"/>
  <c r="H1286" i="2"/>
  <c r="N1285" i="2"/>
  <c r="W1285" i="2" s="1"/>
  <c r="L1285" i="2"/>
  <c r="M1285" i="2" s="1"/>
  <c r="J1285" i="2"/>
  <c r="I1285" i="2"/>
  <c r="H1285" i="2"/>
  <c r="AA1284" i="2"/>
  <c r="AB1284" i="2"/>
  <c r="L1284" i="2"/>
  <c r="M1284" i="2" s="1"/>
  <c r="J1284" i="2"/>
  <c r="I1284" i="2"/>
  <c r="H1284" i="2"/>
  <c r="N1283" i="2"/>
  <c r="W1283" i="2" s="1"/>
  <c r="AF1283" i="2" s="1"/>
  <c r="P1283" i="2"/>
  <c r="L1283" i="2"/>
  <c r="M1283" i="2" s="1"/>
  <c r="J1283" i="2"/>
  <c r="I1283" i="2"/>
  <c r="H1283" i="2"/>
  <c r="AD1282" i="2"/>
  <c r="L1282" i="2"/>
  <c r="M1282" i="2" s="1"/>
  <c r="J1282" i="2"/>
  <c r="I1282" i="2"/>
  <c r="H1282" i="2"/>
  <c r="W1281" i="2"/>
  <c r="L1281" i="2"/>
  <c r="M1281" i="2" s="1"/>
  <c r="J1281" i="2"/>
  <c r="I1281" i="2"/>
  <c r="H1281" i="2"/>
  <c r="W1280" i="2"/>
  <c r="L1280" i="2"/>
  <c r="M1280" i="2" s="1"/>
  <c r="J1280" i="2"/>
  <c r="I1280" i="2"/>
  <c r="H1280" i="2"/>
  <c r="W1279" i="2"/>
  <c r="L1279" i="2"/>
  <c r="M1279" i="2" s="1"/>
  <c r="J1279" i="2"/>
  <c r="I1279" i="2"/>
  <c r="H1279" i="2"/>
  <c r="W1278" i="2"/>
  <c r="L1278" i="2"/>
  <c r="M1278" i="2" s="1"/>
  <c r="J1278" i="2"/>
  <c r="I1278" i="2"/>
  <c r="H1278" i="2"/>
  <c r="W1277" i="2"/>
  <c r="L1277" i="2"/>
  <c r="M1277" i="2" s="1"/>
  <c r="J1277" i="2"/>
  <c r="I1277" i="2"/>
  <c r="H1277" i="2"/>
  <c r="N1276" i="2"/>
  <c r="W1276" i="2" s="1"/>
  <c r="L1276" i="2"/>
  <c r="M1276" i="2" s="1"/>
  <c r="J1276" i="2"/>
  <c r="I1276" i="2"/>
  <c r="H1276" i="2"/>
  <c r="T1275" i="2"/>
  <c r="W1275" i="2" s="1"/>
  <c r="L1275" i="2"/>
  <c r="M1275" i="2" s="1"/>
  <c r="J1275" i="2"/>
  <c r="I1275" i="2"/>
  <c r="H1275" i="2"/>
  <c r="W1274" i="2"/>
  <c r="L1274" i="2"/>
  <c r="M1274" i="2" s="1"/>
  <c r="J1274" i="2"/>
  <c r="I1274" i="2"/>
  <c r="H1274" i="2"/>
  <c r="L1273" i="2"/>
  <c r="M1273" i="2" s="1"/>
  <c r="J1273" i="2"/>
  <c r="I1273" i="2"/>
  <c r="H1273" i="2"/>
  <c r="L1272" i="2"/>
  <c r="M1272" i="2" s="1"/>
  <c r="J1272" i="2"/>
  <c r="I1272" i="2"/>
  <c r="H1272" i="2"/>
  <c r="N1271" i="2"/>
  <c r="W1271" i="2"/>
  <c r="L1271" i="2"/>
  <c r="M1271" i="2" s="1"/>
  <c r="J1271" i="2"/>
  <c r="I1271" i="2"/>
  <c r="H1271" i="2"/>
  <c r="L1270" i="2"/>
  <c r="M1270" i="2" s="1"/>
  <c r="J1270" i="2"/>
  <c r="I1270" i="2"/>
  <c r="H1270" i="2"/>
  <c r="AA1269" i="2"/>
  <c r="AD1269" i="2" s="1"/>
  <c r="N1269" i="2"/>
  <c r="W1269" i="2" s="1"/>
  <c r="L1269" i="2"/>
  <c r="M1269" i="2" s="1"/>
  <c r="J1269" i="2"/>
  <c r="I1269" i="2"/>
  <c r="H1269" i="2"/>
  <c r="AA1268" i="2"/>
  <c r="L1268" i="2"/>
  <c r="M1268" i="2" s="1"/>
  <c r="J1268" i="2"/>
  <c r="I1268" i="2"/>
  <c r="H1268" i="2"/>
  <c r="L1267" i="2"/>
  <c r="M1267" i="2" s="1"/>
  <c r="J1267" i="2"/>
  <c r="I1267" i="2"/>
  <c r="H1267" i="2"/>
  <c r="W1266" i="2"/>
  <c r="L1266" i="2"/>
  <c r="M1266" i="2" s="1"/>
  <c r="J1266" i="2"/>
  <c r="I1266" i="2"/>
  <c r="H1266" i="2"/>
  <c r="W1265" i="2"/>
  <c r="L1265" i="2"/>
  <c r="M1265" i="2" s="1"/>
  <c r="J1265" i="2"/>
  <c r="I1265" i="2"/>
  <c r="H1265" i="2"/>
  <c r="W1264" i="2"/>
  <c r="L1264" i="2"/>
  <c r="M1264" i="2" s="1"/>
  <c r="J1264" i="2"/>
  <c r="I1264" i="2"/>
  <c r="H1264" i="2"/>
  <c r="L1263" i="2"/>
  <c r="M1263" i="2" s="1"/>
  <c r="J1263" i="2"/>
  <c r="I1263" i="2"/>
  <c r="H1263" i="2"/>
  <c r="N1262" i="2"/>
  <c r="W1262" i="2" s="1"/>
  <c r="L1262" i="2"/>
  <c r="M1262" i="2" s="1"/>
  <c r="J1262" i="2"/>
  <c r="I1262" i="2"/>
  <c r="H1262" i="2"/>
  <c r="N1261" i="2"/>
  <c r="W1261" i="2" s="1"/>
  <c r="L1261" i="2"/>
  <c r="M1261" i="2" s="1"/>
  <c r="J1261" i="2"/>
  <c r="I1261" i="2"/>
  <c r="H1261" i="2"/>
  <c r="N1260" i="2"/>
  <c r="W1260" i="2" s="1"/>
  <c r="L1260" i="2"/>
  <c r="M1260" i="2" s="1"/>
  <c r="J1260" i="2"/>
  <c r="I1260" i="2"/>
  <c r="H1260" i="2"/>
  <c r="L1259" i="2"/>
  <c r="M1259" i="2" s="1"/>
  <c r="J1259" i="2"/>
  <c r="I1259" i="2"/>
  <c r="H1259" i="2"/>
  <c r="W1258" i="2"/>
  <c r="L1258" i="2"/>
  <c r="M1258" i="2" s="1"/>
  <c r="J1258" i="2"/>
  <c r="I1258" i="2"/>
  <c r="H1258" i="2"/>
  <c r="W1257" i="2"/>
  <c r="AF1257" i="2" s="1"/>
  <c r="L1257" i="2"/>
  <c r="M1257" i="2" s="1"/>
  <c r="J1257" i="2"/>
  <c r="I1257" i="2"/>
  <c r="H1257" i="2"/>
  <c r="N1256" i="2"/>
  <c r="W1256" i="2" s="1"/>
  <c r="L1256" i="2"/>
  <c r="M1256" i="2" s="1"/>
  <c r="J1256" i="2"/>
  <c r="I1256" i="2"/>
  <c r="H1256" i="2"/>
  <c r="T1255" i="2"/>
  <c r="W1255" i="2" s="1"/>
  <c r="L1255" i="2"/>
  <c r="M1255" i="2" s="1"/>
  <c r="J1255" i="2"/>
  <c r="I1255" i="2"/>
  <c r="H1255" i="2"/>
  <c r="W1254" i="2"/>
  <c r="L1254" i="2"/>
  <c r="M1254" i="2" s="1"/>
  <c r="J1254" i="2"/>
  <c r="I1254" i="2"/>
  <c r="H1254" i="2"/>
  <c r="L1253" i="2"/>
  <c r="M1253" i="2" s="1"/>
  <c r="J1253" i="2"/>
  <c r="I1253" i="2"/>
  <c r="H1253" i="2"/>
  <c r="L1252" i="2"/>
  <c r="M1252" i="2" s="1"/>
  <c r="J1252" i="2"/>
  <c r="I1252" i="2"/>
  <c r="H1252" i="2"/>
  <c r="N1251" i="2"/>
  <c r="W1251" i="2" s="1"/>
  <c r="L1251" i="2"/>
  <c r="M1251" i="2" s="1"/>
  <c r="J1251" i="2"/>
  <c r="I1251" i="2"/>
  <c r="H1251" i="2"/>
  <c r="L1250" i="2"/>
  <c r="M1250" i="2" s="1"/>
  <c r="J1250" i="2"/>
  <c r="I1250" i="2"/>
  <c r="H1250" i="2"/>
  <c r="AA1249" i="2"/>
  <c r="N1249" i="2"/>
  <c r="W1249" i="2" s="1"/>
  <c r="L1249" i="2"/>
  <c r="M1249" i="2" s="1"/>
  <c r="J1249" i="2"/>
  <c r="I1249" i="2"/>
  <c r="H1249" i="2"/>
  <c r="AA1248" i="2"/>
  <c r="L1248" i="2"/>
  <c r="M1248" i="2" s="1"/>
  <c r="J1248" i="2"/>
  <c r="I1248" i="2"/>
  <c r="H1248" i="2"/>
  <c r="W1247" i="2"/>
  <c r="P1247" i="2"/>
  <c r="L1247" i="2"/>
  <c r="M1247" i="2" s="1"/>
  <c r="J1247" i="2"/>
  <c r="I1247" i="2"/>
  <c r="H1247" i="2"/>
  <c r="W1246" i="2"/>
  <c r="P1246" i="2"/>
  <c r="L1246" i="2"/>
  <c r="M1246" i="2" s="1"/>
  <c r="J1246" i="2"/>
  <c r="I1246" i="2"/>
  <c r="H1246" i="2"/>
  <c r="W1245" i="2"/>
  <c r="P1245" i="2"/>
  <c r="L1245" i="2"/>
  <c r="M1245" i="2" s="1"/>
  <c r="J1245" i="2"/>
  <c r="I1245" i="2"/>
  <c r="H1245" i="2"/>
  <c r="L1244" i="2"/>
  <c r="M1244" i="2" s="1"/>
  <c r="J1244" i="2"/>
  <c r="I1244" i="2"/>
  <c r="H1244" i="2"/>
  <c r="N1243" i="2"/>
  <c r="W1243" i="2" s="1"/>
  <c r="L1243" i="2"/>
  <c r="M1243" i="2" s="1"/>
  <c r="J1243" i="2"/>
  <c r="I1243" i="2"/>
  <c r="H1243" i="2"/>
  <c r="T1242" i="2"/>
  <c r="W1242" i="2"/>
  <c r="L1242" i="2"/>
  <c r="M1242" i="2" s="1"/>
  <c r="J1242" i="2"/>
  <c r="I1242" i="2"/>
  <c r="H1242" i="2"/>
  <c r="W1241" i="2"/>
  <c r="L1241" i="2"/>
  <c r="M1241" i="2" s="1"/>
  <c r="J1241" i="2"/>
  <c r="I1241" i="2"/>
  <c r="H1241" i="2"/>
  <c r="L1240" i="2"/>
  <c r="M1240" i="2" s="1"/>
  <c r="J1240" i="2"/>
  <c r="I1240" i="2"/>
  <c r="H1240" i="2"/>
  <c r="L1239" i="2"/>
  <c r="M1239" i="2" s="1"/>
  <c r="J1239" i="2"/>
  <c r="I1239" i="2"/>
  <c r="H1239" i="2"/>
  <c r="N1238" i="2"/>
  <c r="W1238" i="2" s="1"/>
  <c r="AF1238" i="2" s="1"/>
  <c r="L1238" i="2"/>
  <c r="M1238" i="2" s="1"/>
  <c r="J1238" i="2"/>
  <c r="I1238" i="2"/>
  <c r="H1238" i="2"/>
  <c r="L1237" i="2"/>
  <c r="M1237" i="2" s="1"/>
  <c r="J1237" i="2"/>
  <c r="I1237" i="2"/>
  <c r="H1237" i="2"/>
  <c r="AA1236" i="2"/>
  <c r="P1236" i="2"/>
  <c r="W1236" i="2" s="1"/>
  <c r="N1236" i="2"/>
  <c r="L1236" i="2"/>
  <c r="M1236" i="2" s="1"/>
  <c r="J1236" i="2"/>
  <c r="I1236" i="2"/>
  <c r="H1236" i="2"/>
  <c r="AA1235" i="2"/>
  <c r="L1235" i="2"/>
  <c r="M1235" i="2" s="1"/>
  <c r="J1235" i="2"/>
  <c r="I1235" i="2"/>
  <c r="H1235" i="2"/>
  <c r="N1222" i="2"/>
  <c r="W1222" i="2" s="1"/>
  <c r="P1222" i="2"/>
  <c r="L1222" i="2"/>
  <c r="M1222" i="2" s="1"/>
  <c r="J1222" i="2"/>
  <c r="I1222" i="2"/>
  <c r="H1222" i="2"/>
  <c r="W1221" i="2"/>
  <c r="L1221" i="2"/>
  <c r="M1221" i="2" s="1"/>
  <c r="J1221" i="2"/>
  <c r="I1221" i="2"/>
  <c r="H1221" i="2"/>
  <c r="N1220" i="2"/>
  <c r="W1220" i="2" s="1"/>
  <c r="L1220" i="2"/>
  <c r="M1220" i="2" s="1"/>
  <c r="J1220" i="2"/>
  <c r="I1220" i="2"/>
  <c r="H1220" i="2"/>
  <c r="N1219" i="2"/>
  <c r="W1219" i="2"/>
  <c r="P1219" i="2"/>
  <c r="L1219" i="2"/>
  <c r="M1219" i="2" s="1"/>
  <c r="J1219" i="2"/>
  <c r="I1219" i="2"/>
  <c r="H1219" i="2"/>
  <c r="N1218" i="2"/>
  <c r="W1218" i="2" s="1"/>
  <c r="P1218" i="2"/>
  <c r="L1218" i="2"/>
  <c r="M1218" i="2" s="1"/>
  <c r="J1218" i="2"/>
  <c r="I1218" i="2"/>
  <c r="H1218" i="2"/>
  <c r="N1217" i="2"/>
  <c r="W1217" i="2" s="1"/>
  <c r="T1217" i="2"/>
  <c r="P1217" i="2"/>
  <c r="L1217" i="2"/>
  <c r="M1217" i="2" s="1"/>
  <c r="J1217" i="2"/>
  <c r="I1217" i="2"/>
  <c r="H1217" i="2"/>
  <c r="N1216" i="2"/>
  <c r="W1216" i="2" s="1"/>
  <c r="P1216" i="2"/>
  <c r="L1216" i="2"/>
  <c r="M1216" i="2" s="1"/>
  <c r="J1216" i="2"/>
  <c r="I1216" i="2"/>
  <c r="H1216" i="2"/>
  <c r="N1215" i="2"/>
  <c r="W1215" i="2" s="1"/>
  <c r="P1215" i="2"/>
  <c r="L1215" i="2"/>
  <c r="M1215" i="2" s="1"/>
  <c r="J1215" i="2"/>
  <c r="I1215" i="2"/>
  <c r="H1215" i="2"/>
  <c r="N1214" i="2"/>
  <c r="W1214" i="2"/>
  <c r="P1214" i="2"/>
  <c r="L1214" i="2"/>
  <c r="M1214" i="2" s="1"/>
  <c r="J1214" i="2"/>
  <c r="I1214" i="2"/>
  <c r="H1214" i="2"/>
  <c r="L1213" i="2"/>
  <c r="M1213" i="2" s="1"/>
  <c r="J1213" i="2"/>
  <c r="I1213" i="2"/>
  <c r="H1213" i="2"/>
  <c r="W1212" i="2"/>
  <c r="L1212" i="2"/>
  <c r="M1212" i="2" s="1"/>
  <c r="J1212" i="2"/>
  <c r="I1212" i="2"/>
  <c r="H1212" i="2"/>
  <c r="L1211" i="2"/>
  <c r="M1211" i="2" s="1"/>
  <c r="J1211" i="2"/>
  <c r="I1211" i="2"/>
  <c r="H1211" i="2"/>
  <c r="N1210" i="2"/>
  <c r="W1210" i="2"/>
  <c r="P1210" i="2"/>
  <c r="L1210" i="2"/>
  <c r="M1210" i="2" s="1"/>
  <c r="J1210" i="2"/>
  <c r="I1210" i="2"/>
  <c r="H1210" i="2"/>
  <c r="L1209" i="2"/>
  <c r="M1209" i="2" s="1"/>
  <c r="J1209" i="2"/>
  <c r="I1209" i="2"/>
  <c r="H1209" i="2"/>
  <c r="W1208" i="2"/>
  <c r="L1208" i="2"/>
  <c r="M1208" i="2" s="1"/>
  <c r="J1208" i="2"/>
  <c r="I1208" i="2"/>
  <c r="H1208" i="2"/>
  <c r="N1207" i="2"/>
  <c r="T1207" i="2"/>
  <c r="W1207" i="2" s="1"/>
  <c r="L1207" i="2"/>
  <c r="M1207" i="2" s="1"/>
  <c r="J1207" i="2"/>
  <c r="I1207" i="2"/>
  <c r="H1207" i="2"/>
  <c r="N1206" i="2"/>
  <c r="W1206" i="2" s="1"/>
  <c r="P1206" i="2"/>
  <c r="L1206" i="2"/>
  <c r="M1206" i="2" s="1"/>
  <c r="J1206" i="2"/>
  <c r="I1206" i="2"/>
  <c r="H1206" i="2"/>
  <c r="L1205" i="2"/>
  <c r="M1205" i="2" s="1"/>
  <c r="J1205" i="2"/>
  <c r="I1205" i="2"/>
  <c r="H1205" i="2"/>
  <c r="N1204" i="2"/>
  <c r="W1204" i="2" s="1"/>
  <c r="AF1204" i="2" s="1"/>
  <c r="P1204" i="2"/>
  <c r="L1204" i="2"/>
  <c r="M1204" i="2" s="1"/>
  <c r="J1204" i="2"/>
  <c r="I1204" i="2"/>
  <c r="H1204" i="2"/>
  <c r="N1203" i="2"/>
  <c r="W1203" i="2" s="1"/>
  <c r="AF1203" i="2" s="1"/>
  <c r="T1203" i="2"/>
  <c r="P1203" i="2"/>
  <c r="L1203" i="2"/>
  <c r="M1203" i="2" s="1"/>
  <c r="J1203" i="2"/>
  <c r="I1203" i="2"/>
  <c r="H1203" i="2"/>
  <c r="N1202" i="2"/>
  <c r="W1202" i="2" s="1"/>
  <c r="AF1202" i="2" s="1"/>
  <c r="P1202" i="2"/>
  <c r="L1202" i="2"/>
  <c r="M1202" i="2" s="1"/>
  <c r="J1202" i="2"/>
  <c r="I1202" i="2"/>
  <c r="H1202" i="2"/>
  <c r="N1201" i="2"/>
  <c r="W1201" i="2"/>
  <c r="P1201" i="2"/>
  <c r="L1201" i="2"/>
  <c r="M1201" i="2" s="1"/>
  <c r="J1201" i="2"/>
  <c r="I1201" i="2"/>
  <c r="H1201" i="2"/>
  <c r="N1200" i="2"/>
  <c r="W1200" i="2" s="1"/>
  <c r="AF1200" i="2" s="1"/>
  <c r="P1200" i="2"/>
  <c r="L1200" i="2"/>
  <c r="M1200" i="2" s="1"/>
  <c r="J1200" i="2"/>
  <c r="I1200" i="2"/>
  <c r="H1200" i="2"/>
  <c r="L1199" i="2"/>
  <c r="M1199" i="2" s="1"/>
  <c r="J1199" i="2"/>
  <c r="I1199" i="2"/>
  <c r="H1199" i="2"/>
  <c r="W1198" i="2"/>
  <c r="AF1198" i="2" s="1"/>
  <c r="L1198" i="2"/>
  <c r="M1198" i="2" s="1"/>
  <c r="J1198" i="2"/>
  <c r="I1198" i="2"/>
  <c r="H1198" i="2"/>
  <c r="L1197" i="2"/>
  <c r="M1197" i="2" s="1"/>
  <c r="J1197" i="2"/>
  <c r="I1197" i="2"/>
  <c r="H1197" i="2"/>
  <c r="N1196" i="2"/>
  <c r="W1196" i="2" s="1"/>
  <c r="P1196" i="2"/>
  <c r="L1196" i="2"/>
  <c r="M1196" i="2" s="1"/>
  <c r="J1196" i="2"/>
  <c r="I1196" i="2"/>
  <c r="H1196" i="2"/>
  <c r="L1195" i="2"/>
  <c r="M1195" i="2" s="1"/>
  <c r="J1195" i="2"/>
  <c r="I1195" i="2"/>
  <c r="H1195" i="2"/>
  <c r="W1194" i="2"/>
  <c r="L1194" i="2"/>
  <c r="M1194" i="2" s="1"/>
  <c r="J1194" i="2"/>
  <c r="I1194" i="2"/>
  <c r="H1194" i="2"/>
  <c r="L1193" i="2"/>
  <c r="M1193" i="2" s="1"/>
  <c r="J1193" i="2"/>
  <c r="I1193" i="2"/>
  <c r="H1193" i="2"/>
  <c r="N1192" i="2"/>
  <c r="T1192" i="2"/>
  <c r="W1192" i="2"/>
  <c r="L1192" i="2"/>
  <c r="M1192" i="2" s="1"/>
  <c r="J1192" i="2"/>
  <c r="I1192" i="2"/>
  <c r="H1192" i="2"/>
  <c r="N1191" i="2"/>
  <c r="W1191" i="2" s="1"/>
  <c r="P1191" i="2"/>
  <c r="L1191" i="2"/>
  <c r="M1191" i="2" s="1"/>
  <c r="J1191" i="2"/>
  <c r="I1191" i="2"/>
  <c r="H1191" i="2"/>
  <c r="N1190" i="2"/>
  <c r="W1190" i="2" s="1"/>
  <c r="AF1190" i="2" s="1"/>
  <c r="P1190" i="2"/>
  <c r="L1190" i="2"/>
  <c r="M1190" i="2" s="1"/>
  <c r="J1190" i="2"/>
  <c r="I1190" i="2"/>
  <c r="H1190" i="2"/>
  <c r="N1189" i="2"/>
  <c r="T1189" i="2"/>
  <c r="W1189" i="2" s="1"/>
  <c r="AF1189" i="2" s="1"/>
  <c r="P1189" i="2"/>
  <c r="L1189" i="2"/>
  <c r="M1189" i="2" s="1"/>
  <c r="J1189" i="2"/>
  <c r="I1189" i="2"/>
  <c r="H1189" i="2"/>
  <c r="N1188" i="2"/>
  <c r="W1188" i="2"/>
  <c r="AF1188" i="2" s="1"/>
  <c r="P1188" i="2"/>
  <c r="L1188" i="2"/>
  <c r="M1188" i="2" s="1"/>
  <c r="J1188" i="2"/>
  <c r="I1188" i="2"/>
  <c r="H1188" i="2"/>
  <c r="N1187" i="2"/>
  <c r="W1187" i="2" s="1"/>
  <c r="P1187" i="2"/>
  <c r="L1187" i="2"/>
  <c r="M1187" i="2" s="1"/>
  <c r="J1187" i="2"/>
  <c r="I1187" i="2"/>
  <c r="H1187" i="2"/>
  <c r="N1186" i="2"/>
  <c r="W1186" i="2" s="1"/>
  <c r="AF1186" i="2" s="1"/>
  <c r="P1186" i="2"/>
  <c r="L1186" i="2"/>
  <c r="M1186" i="2" s="1"/>
  <c r="J1186" i="2"/>
  <c r="I1186" i="2"/>
  <c r="H1186" i="2"/>
  <c r="L1185" i="2"/>
  <c r="M1185" i="2" s="1"/>
  <c r="J1185" i="2"/>
  <c r="I1185" i="2"/>
  <c r="H1185" i="2"/>
  <c r="W1184" i="2"/>
  <c r="L1184" i="2"/>
  <c r="M1184" i="2" s="1"/>
  <c r="J1184" i="2"/>
  <c r="I1184" i="2"/>
  <c r="H1184" i="2"/>
  <c r="L1183" i="2"/>
  <c r="M1183" i="2" s="1"/>
  <c r="J1183" i="2"/>
  <c r="I1183" i="2"/>
  <c r="H1183" i="2"/>
  <c r="N1182" i="2"/>
  <c r="W1182" i="2" s="1"/>
  <c r="P1182" i="2"/>
  <c r="L1182" i="2"/>
  <c r="M1182" i="2" s="1"/>
  <c r="J1182" i="2"/>
  <c r="I1182" i="2"/>
  <c r="H1182" i="2"/>
  <c r="L1181" i="2"/>
  <c r="M1181" i="2" s="1"/>
  <c r="J1181" i="2"/>
  <c r="I1181" i="2"/>
  <c r="H1181" i="2"/>
  <c r="W1180" i="2"/>
  <c r="L1180" i="2"/>
  <c r="M1180" i="2" s="1"/>
  <c r="J1180" i="2"/>
  <c r="I1180" i="2"/>
  <c r="H1180" i="2"/>
  <c r="N1179" i="2"/>
  <c r="W1179" i="2" s="1"/>
  <c r="T1179" i="2"/>
  <c r="L1179" i="2"/>
  <c r="M1179" i="2" s="1"/>
  <c r="J1179" i="2"/>
  <c r="I1179" i="2"/>
  <c r="H1179" i="2"/>
  <c r="W1178" i="2"/>
  <c r="L1178" i="2"/>
  <c r="M1178" i="2" s="1"/>
  <c r="J1178" i="2"/>
  <c r="I1178" i="2"/>
  <c r="H1178" i="2"/>
  <c r="N1177" i="2"/>
  <c r="W1177" i="2" s="1"/>
  <c r="P1177" i="2"/>
  <c r="L1177" i="2"/>
  <c r="M1177" i="2" s="1"/>
  <c r="J1177" i="2"/>
  <c r="I1177" i="2"/>
  <c r="H1177" i="2"/>
  <c r="N1176" i="2"/>
  <c r="W1176" i="2" s="1"/>
  <c r="AF1176" i="2" s="1"/>
  <c r="P1176" i="2"/>
  <c r="L1176" i="2"/>
  <c r="M1176" i="2" s="1"/>
  <c r="J1176" i="2"/>
  <c r="I1176" i="2"/>
  <c r="H1176" i="2"/>
  <c r="N1175" i="2"/>
  <c r="T1175" i="2"/>
  <c r="W1175" i="2" s="1"/>
  <c r="AF1175" i="2" s="1"/>
  <c r="P1175" i="2"/>
  <c r="L1175" i="2"/>
  <c r="M1175" i="2" s="1"/>
  <c r="J1175" i="2"/>
  <c r="I1175" i="2"/>
  <c r="H1175" i="2"/>
  <c r="N1174" i="2"/>
  <c r="W1174" i="2"/>
  <c r="AF1174" i="2" s="1"/>
  <c r="P1174" i="2"/>
  <c r="L1174" i="2"/>
  <c r="M1174" i="2" s="1"/>
  <c r="J1174" i="2"/>
  <c r="I1174" i="2"/>
  <c r="H1174" i="2"/>
  <c r="N1173" i="2"/>
  <c r="W1173" i="2" s="1"/>
  <c r="P1173" i="2"/>
  <c r="L1173" i="2"/>
  <c r="M1173" i="2" s="1"/>
  <c r="J1173" i="2"/>
  <c r="I1173" i="2"/>
  <c r="H1173" i="2"/>
  <c r="N1172" i="2"/>
  <c r="W1172" i="2" s="1"/>
  <c r="AF1172" i="2" s="1"/>
  <c r="P1172" i="2"/>
  <c r="L1172" i="2"/>
  <c r="M1172" i="2" s="1"/>
  <c r="J1172" i="2"/>
  <c r="I1172" i="2"/>
  <c r="H1172" i="2"/>
  <c r="L1171" i="2"/>
  <c r="M1171" i="2" s="1"/>
  <c r="J1171" i="2"/>
  <c r="I1171" i="2"/>
  <c r="H1171" i="2"/>
  <c r="W1170" i="2"/>
  <c r="AF1170" i="2" s="1"/>
  <c r="L1170" i="2"/>
  <c r="M1170" i="2" s="1"/>
  <c r="J1170" i="2"/>
  <c r="I1170" i="2"/>
  <c r="H1170" i="2"/>
  <c r="L1169" i="2"/>
  <c r="M1169" i="2" s="1"/>
  <c r="J1169" i="2"/>
  <c r="I1169" i="2"/>
  <c r="H1169" i="2"/>
  <c r="N1168" i="2"/>
  <c r="W1168" i="2" s="1"/>
  <c r="T1168" i="2"/>
  <c r="P1168" i="2"/>
  <c r="L1168" i="2"/>
  <c r="M1168" i="2" s="1"/>
  <c r="J1168" i="2"/>
  <c r="I1168" i="2"/>
  <c r="H1168" i="2"/>
  <c r="W1167" i="2"/>
  <c r="L1167" i="2"/>
  <c r="M1167" i="2" s="1"/>
  <c r="J1167" i="2"/>
  <c r="I1167" i="2"/>
  <c r="H1167" i="2"/>
  <c r="N1166" i="2"/>
  <c r="T1166" i="2"/>
  <c r="W1166" i="2"/>
  <c r="P1166" i="2"/>
  <c r="L1166" i="2"/>
  <c r="M1166" i="2" s="1"/>
  <c r="J1166" i="2"/>
  <c r="I1166" i="2"/>
  <c r="H1166" i="2"/>
  <c r="L1165" i="2"/>
  <c r="M1165" i="2" s="1"/>
  <c r="J1165" i="2"/>
  <c r="I1165" i="2"/>
  <c r="H1165" i="2"/>
  <c r="N1164" i="2"/>
  <c r="T1164" i="2"/>
  <c r="W1164" i="2"/>
  <c r="L1164" i="2"/>
  <c r="M1164" i="2" s="1"/>
  <c r="J1164" i="2"/>
  <c r="I1164" i="2"/>
  <c r="H1164" i="2"/>
  <c r="N1163" i="2"/>
  <c r="W1163" i="2" s="1"/>
  <c r="AF1163" i="2" s="1"/>
  <c r="T1163" i="2"/>
  <c r="P1163" i="2"/>
  <c r="L1163" i="2"/>
  <c r="M1163" i="2" s="1"/>
  <c r="J1163" i="2"/>
  <c r="I1163" i="2"/>
  <c r="H1163" i="2"/>
  <c r="N1162" i="2"/>
  <c r="W1162" i="2" s="1"/>
  <c r="T1162" i="2"/>
  <c r="P1162" i="2"/>
  <c r="L1162" i="2"/>
  <c r="M1162" i="2" s="1"/>
  <c r="J1162" i="2"/>
  <c r="I1162" i="2"/>
  <c r="H1162" i="2"/>
  <c r="N1161" i="2"/>
  <c r="W1161" i="2" s="1"/>
  <c r="AF1161" i="2" s="1"/>
  <c r="T1161" i="2"/>
  <c r="P1161" i="2"/>
  <c r="L1161" i="2"/>
  <c r="M1161" i="2" s="1"/>
  <c r="J1161" i="2"/>
  <c r="I1161" i="2"/>
  <c r="H1161" i="2"/>
  <c r="N1160" i="2"/>
  <c r="W1160" i="2" s="1"/>
  <c r="T1160" i="2"/>
  <c r="P1160" i="2"/>
  <c r="L1160" i="2"/>
  <c r="M1160" i="2" s="1"/>
  <c r="J1160" i="2"/>
  <c r="I1160" i="2"/>
  <c r="H1160" i="2"/>
  <c r="N1159" i="2"/>
  <c r="W1159" i="2" s="1"/>
  <c r="AF1159" i="2" s="1"/>
  <c r="T1159" i="2"/>
  <c r="P1159" i="2"/>
  <c r="L1159" i="2"/>
  <c r="M1159" i="2" s="1"/>
  <c r="J1159" i="2"/>
  <c r="I1159" i="2"/>
  <c r="H1159" i="2"/>
  <c r="L1158" i="2"/>
  <c r="M1158" i="2" s="1"/>
  <c r="J1158" i="2"/>
  <c r="I1158" i="2"/>
  <c r="H1158" i="2"/>
  <c r="T1157" i="2"/>
  <c r="W1157" i="2" s="1"/>
  <c r="AF1157" i="2" s="1"/>
  <c r="L1157" i="2"/>
  <c r="M1157" i="2" s="1"/>
  <c r="J1157" i="2"/>
  <c r="I1157" i="2"/>
  <c r="H1157" i="2"/>
  <c r="L1156" i="2"/>
  <c r="M1156" i="2" s="1"/>
  <c r="J1156" i="2"/>
  <c r="I1156" i="2"/>
  <c r="H1156" i="2"/>
  <c r="T1155" i="2"/>
  <c r="W1155" i="2"/>
  <c r="L1155" i="2"/>
  <c r="M1155" i="2" s="1"/>
  <c r="J1155" i="2"/>
  <c r="I1155" i="2"/>
  <c r="H1155" i="2"/>
  <c r="W1154" i="2"/>
  <c r="L1154" i="2"/>
  <c r="M1154" i="2" s="1"/>
  <c r="J1154" i="2"/>
  <c r="I1154" i="2"/>
  <c r="H1154" i="2"/>
  <c r="T1153" i="2"/>
  <c r="W1153" i="2" s="1"/>
  <c r="L1153" i="2"/>
  <c r="M1153" i="2" s="1"/>
  <c r="J1153" i="2"/>
  <c r="I1153" i="2"/>
  <c r="H1153" i="2"/>
  <c r="N1152" i="2"/>
  <c r="W1152" i="2" s="1"/>
  <c r="T1152" i="2"/>
  <c r="L1152" i="2"/>
  <c r="M1152" i="2" s="1"/>
  <c r="J1152" i="2"/>
  <c r="I1152" i="2"/>
  <c r="H1152" i="2"/>
  <c r="T1151" i="2"/>
  <c r="W1151" i="2"/>
  <c r="L1151" i="2"/>
  <c r="M1151" i="2" s="1"/>
  <c r="J1151" i="2"/>
  <c r="I1151" i="2"/>
  <c r="H1151" i="2"/>
  <c r="N1150" i="2"/>
  <c r="W1150" i="2" s="1"/>
  <c r="T1150" i="2"/>
  <c r="P1150" i="2"/>
  <c r="L1150" i="2"/>
  <c r="M1150" i="2" s="1"/>
  <c r="J1150" i="2"/>
  <c r="I1150" i="2"/>
  <c r="H1150" i="2"/>
  <c r="N1149" i="2"/>
  <c r="W1149" i="2" s="1"/>
  <c r="T1149" i="2"/>
  <c r="P1149" i="2"/>
  <c r="L1149" i="2"/>
  <c r="M1149" i="2" s="1"/>
  <c r="J1149" i="2"/>
  <c r="I1149" i="2"/>
  <c r="H1149" i="2"/>
  <c r="N1148" i="2"/>
  <c r="W1148" i="2" s="1"/>
  <c r="T1148" i="2"/>
  <c r="P1148" i="2"/>
  <c r="L1148" i="2"/>
  <c r="M1148" i="2" s="1"/>
  <c r="J1148" i="2"/>
  <c r="I1148" i="2"/>
  <c r="H1148" i="2"/>
  <c r="N1147" i="2"/>
  <c r="W1147" i="2" s="1"/>
  <c r="T1147" i="2"/>
  <c r="P1147" i="2"/>
  <c r="L1147" i="2"/>
  <c r="M1147" i="2" s="1"/>
  <c r="J1147" i="2"/>
  <c r="I1147" i="2"/>
  <c r="H1147" i="2"/>
  <c r="N1146" i="2"/>
  <c r="W1146" i="2" s="1"/>
  <c r="T1146" i="2"/>
  <c r="P1146" i="2"/>
  <c r="L1146" i="2"/>
  <c r="M1146" i="2" s="1"/>
  <c r="J1146" i="2"/>
  <c r="I1146" i="2"/>
  <c r="H1146" i="2"/>
  <c r="L1145" i="2"/>
  <c r="M1145" i="2" s="1"/>
  <c r="J1145" i="2"/>
  <c r="I1145" i="2"/>
  <c r="H1145" i="2"/>
  <c r="W1144" i="2"/>
  <c r="L1144" i="2"/>
  <c r="M1144" i="2" s="1"/>
  <c r="J1144" i="2"/>
  <c r="I1144" i="2"/>
  <c r="H1144" i="2"/>
  <c r="L1143" i="2"/>
  <c r="M1143" i="2" s="1"/>
  <c r="J1143" i="2"/>
  <c r="I1143" i="2"/>
  <c r="H1143" i="2"/>
  <c r="N1142" i="2"/>
  <c r="T1142" i="2"/>
  <c r="W1142" i="2"/>
  <c r="P1142" i="2"/>
  <c r="L1142" i="2"/>
  <c r="M1142" i="2" s="1"/>
  <c r="J1142" i="2"/>
  <c r="I1142" i="2"/>
  <c r="H1142" i="2"/>
  <c r="W1141" i="2"/>
  <c r="L1141" i="2"/>
  <c r="M1141" i="2" s="1"/>
  <c r="J1141" i="2"/>
  <c r="I1141" i="2"/>
  <c r="H1141" i="2"/>
  <c r="N1140" i="2"/>
  <c r="T1140" i="2"/>
  <c r="W1140" i="2"/>
  <c r="L1140" i="2"/>
  <c r="M1140" i="2" s="1"/>
  <c r="J1140" i="2"/>
  <c r="I1140" i="2"/>
  <c r="H1140" i="2"/>
  <c r="N1139" i="2"/>
  <c r="T1139" i="2"/>
  <c r="W1139" i="2"/>
  <c r="P1139" i="2"/>
  <c r="L1139" i="2"/>
  <c r="M1139" i="2" s="1"/>
  <c r="J1139" i="2"/>
  <c r="I1139" i="2"/>
  <c r="H1139" i="2"/>
  <c r="N1138" i="2"/>
  <c r="T1138" i="2"/>
  <c r="W1138" i="2"/>
  <c r="P1138" i="2"/>
  <c r="L1138" i="2"/>
  <c r="M1138" i="2" s="1"/>
  <c r="J1138" i="2"/>
  <c r="I1138" i="2"/>
  <c r="H1138" i="2"/>
  <c r="N1137" i="2"/>
  <c r="T1137" i="2"/>
  <c r="W1137" i="2"/>
  <c r="P1137" i="2"/>
  <c r="L1137" i="2"/>
  <c r="M1137" i="2" s="1"/>
  <c r="J1137" i="2"/>
  <c r="I1137" i="2"/>
  <c r="H1137" i="2"/>
  <c r="N1136" i="2"/>
  <c r="T1136" i="2"/>
  <c r="W1136" i="2"/>
  <c r="P1136" i="2"/>
  <c r="L1136" i="2"/>
  <c r="M1136" i="2" s="1"/>
  <c r="J1136" i="2"/>
  <c r="I1136" i="2"/>
  <c r="H1136" i="2"/>
  <c r="N1135" i="2"/>
  <c r="T1135" i="2"/>
  <c r="W1135" i="2"/>
  <c r="P1135" i="2"/>
  <c r="L1135" i="2"/>
  <c r="M1135" i="2" s="1"/>
  <c r="J1135" i="2"/>
  <c r="I1135" i="2"/>
  <c r="H1135" i="2"/>
  <c r="L1134" i="2"/>
  <c r="M1134" i="2" s="1"/>
  <c r="J1134" i="2"/>
  <c r="I1134" i="2"/>
  <c r="H1134" i="2"/>
  <c r="W1133" i="2"/>
  <c r="L1133" i="2"/>
  <c r="M1133" i="2" s="1"/>
  <c r="J1133" i="2"/>
  <c r="I1133" i="2"/>
  <c r="H1133" i="2"/>
  <c r="L1132" i="2"/>
  <c r="M1132" i="2" s="1"/>
  <c r="J1132" i="2"/>
  <c r="I1132" i="2"/>
  <c r="H1132" i="2"/>
  <c r="T1124" i="2"/>
  <c r="W1124" i="2"/>
  <c r="L1124" i="2"/>
  <c r="M1124" i="2" s="1"/>
  <c r="J1124" i="2"/>
  <c r="I1124" i="2"/>
  <c r="H1124" i="2"/>
  <c r="N1123" i="2"/>
  <c r="W1123" i="2" s="1"/>
  <c r="T1123" i="2"/>
  <c r="L1123" i="2"/>
  <c r="M1123" i="2" s="1"/>
  <c r="J1123" i="2"/>
  <c r="I1123" i="2"/>
  <c r="H1123" i="2"/>
  <c r="T1122" i="2"/>
  <c r="W1122" i="2"/>
  <c r="L1122" i="2"/>
  <c r="M1122" i="2" s="1"/>
  <c r="J1122" i="2"/>
  <c r="I1122" i="2"/>
  <c r="H1122" i="2"/>
  <c r="L1121" i="2"/>
  <c r="M1121" i="2" s="1"/>
  <c r="J1121" i="2"/>
  <c r="I1121" i="2"/>
  <c r="H1121" i="2"/>
  <c r="W1120" i="2"/>
  <c r="AF1120" i="2" s="1"/>
  <c r="L1120" i="2"/>
  <c r="M1120" i="2" s="1"/>
  <c r="J1120" i="2"/>
  <c r="I1120" i="2"/>
  <c r="H1120" i="2"/>
  <c r="AK1119" i="2"/>
  <c r="L1119" i="2"/>
  <c r="M1119" i="2" s="1"/>
  <c r="J1119" i="2"/>
  <c r="I1119" i="2"/>
  <c r="H1119" i="2"/>
  <c r="W1118" i="2"/>
  <c r="L1118" i="2"/>
  <c r="M1118" i="2" s="1"/>
  <c r="J1118" i="2"/>
  <c r="I1118" i="2"/>
  <c r="H1118" i="2"/>
  <c r="N1117" i="2"/>
  <c r="W1117" i="2" s="1"/>
  <c r="L1117" i="2"/>
  <c r="M1117" i="2" s="1"/>
  <c r="J1117" i="2"/>
  <c r="I1117" i="2"/>
  <c r="H1117" i="2"/>
  <c r="W1116" i="2"/>
  <c r="L1116" i="2"/>
  <c r="M1116" i="2" s="1"/>
  <c r="J1116" i="2"/>
  <c r="I1116" i="2"/>
  <c r="H1116" i="2"/>
  <c r="W1115" i="2"/>
  <c r="L1115" i="2"/>
  <c r="M1115" i="2" s="1"/>
  <c r="J1115" i="2"/>
  <c r="I1115" i="2"/>
  <c r="H1115" i="2"/>
  <c r="L1114" i="2"/>
  <c r="M1114" i="2" s="1"/>
  <c r="J1114" i="2"/>
  <c r="I1114" i="2"/>
  <c r="H1114" i="2"/>
  <c r="W1113" i="2"/>
  <c r="AF1113" i="2" s="1"/>
  <c r="L1113" i="2"/>
  <c r="M1113" i="2" s="1"/>
  <c r="J1113" i="2"/>
  <c r="I1113" i="2"/>
  <c r="H1113" i="2"/>
  <c r="AK1112" i="2"/>
  <c r="L1112" i="2"/>
  <c r="M1112" i="2" s="1"/>
  <c r="J1112" i="2"/>
  <c r="I1112" i="2"/>
  <c r="H1112" i="2"/>
  <c r="T1111" i="2"/>
  <c r="W1111" i="2"/>
  <c r="L1111" i="2"/>
  <c r="M1111" i="2" s="1"/>
  <c r="J1111" i="2"/>
  <c r="I1111" i="2"/>
  <c r="H1111" i="2"/>
  <c r="N1110" i="2"/>
  <c r="W1110" i="2" s="1"/>
  <c r="T1110" i="2"/>
  <c r="L1110" i="2"/>
  <c r="M1110" i="2" s="1"/>
  <c r="J1110" i="2"/>
  <c r="I1110" i="2"/>
  <c r="H1110" i="2"/>
  <c r="T1109" i="2"/>
  <c r="W1109" i="2"/>
  <c r="L1109" i="2"/>
  <c r="M1109" i="2" s="1"/>
  <c r="J1109" i="2"/>
  <c r="I1109" i="2"/>
  <c r="H1109" i="2"/>
  <c r="L1108" i="2"/>
  <c r="M1108" i="2" s="1"/>
  <c r="J1108" i="2"/>
  <c r="I1108" i="2"/>
  <c r="H1108" i="2"/>
  <c r="T1107" i="2"/>
  <c r="W1107" i="2" s="1"/>
  <c r="AF1107" i="2" s="1"/>
  <c r="L1107" i="2"/>
  <c r="M1107" i="2" s="1"/>
  <c r="J1107" i="2"/>
  <c r="I1107" i="2"/>
  <c r="H1107" i="2"/>
  <c r="AK1106" i="2"/>
  <c r="L1106" i="2"/>
  <c r="M1106" i="2" s="1"/>
  <c r="J1106" i="2"/>
  <c r="I1106" i="2"/>
  <c r="H1106" i="2"/>
  <c r="T1105" i="2"/>
  <c r="W1105" i="2" s="1"/>
  <c r="L1105" i="2"/>
  <c r="M1105" i="2" s="1"/>
  <c r="J1105" i="2"/>
  <c r="I1105" i="2"/>
  <c r="H1105" i="2"/>
  <c r="N1104" i="2"/>
  <c r="T1104" i="2"/>
  <c r="W1104" i="2"/>
  <c r="L1104" i="2"/>
  <c r="M1104" i="2" s="1"/>
  <c r="J1104" i="2"/>
  <c r="I1104" i="2"/>
  <c r="H1104" i="2"/>
  <c r="T1103" i="2"/>
  <c r="W1103" i="2" s="1"/>
  <c r="L1103" i="2"/>
  <c r="M1103" i="2" s="1"/>
  <c r="J1103" i="2"/>
  <c r="I1103" i="2"/>
  <c r="H1103" i="2"/>
  <c r="L1102" i="2"/>
  <c r="M1102" i="2" s="1"/>
  <c r="J1102" i="2"/>
  <c r="I1102" i="2"/>
  <c r="H1102" i="2"/>
  <c r="T1101" i="2"/>
  <c r="W1101" i="2"/>
  <c r="AF1101" i="2" s="1"/>
  <c r="L1101" i="2"/>
  <c r="M1101" i="2" s="1"/>
  <c r="J1101" i="2"/>
  <c r="I1101" i="2"/>
  <c r="H1101" i="2"/>
  <c r="L1100" i="2"/>
  <c r="M1100" i="2" s="1"/>
  <c r="J1100" i="2"/>
  <c r="I1100" i="2"/>
  <c r="H1100" i="2"/>
  <c r="T1099" i="2"/>
  <c r="W1099" i="2" s="1"/>
  <c r="L1099" i="2"/>
  <c r="M1099" i="2" s="1"/>
  <c r="J1099" i="2"/>
  <c r="I1099" i="2"/>
  <c r="H1099" i="2"/>
  <c r="N1098" i="2"/>
  <c r="W1098" i="2" s="1"/>
  <c r="T1098" i="2"/>
  <c r="L1098" i="2"/>
  <c r="M1098" i="2" s="1"/>
  <c r="J1098" i="2"/>
  <c r="I1098" i="2"/>
  <c r="H1098" i="2"/>
  <c r="T1097" i="2"/>
  <c r="W1097" i="2"/>
  <c r="L1097" i="2"/>
  <c r="M1097" i="2" s="1"/>
  <c r="J1097" i="2"/>
  <c r="I1097" i="2"/>
  <c r="H1097" i="2"/>
  <c r="L1096" i="2"/>
  <c r="M1096" i="2" s="1"/>
  <c r="J1096" i="2"/>
  <c r="I1096" i="2"/>
  <c r="H1096" i="2"/>
  <c r="T1095" i="2"/>
  <c r="W1095" i="2" s="1"/>
  <c r="AF1095" i="2" s="1"/>
  <c r="L1095" i="2"/>
  <c r="M1095" i="2" s="1"/>
  <c r="J1095" i="2"/>
  <c r="I1095" i="2"/>
  <c r="H1095" i="2"/>
  <c r="L1094" i="2"/>
  <c r="M1094" i="2" s="1"/>
  <c r="J1094" i="2"/>
  <c r="I1094" i="2"/>
  <c r="H1094" i="2"/>
  <c r="T1093" i="2"/>
  <c r="W1093" i="2"/>
  <c r="L1093" i="2"/>
  <c r="M1093" i="2" s="1"/>
  <c r="J1093" i="2"/>
  <c r="I1093" i="2"/>
  <c r="H1093" i="2"/>
  <c r="N1092" i="2"/>
  <c r="W1092" i="2" s="1"/>
  <c r="T1092" i="2"/>
  <c r="L1092" i="2"/>
  <c r="M1092" i="2" s="1"/>
  <c r="J1092" i="2"/>
  <c r="I1092" i="2"/>
  <c r="H1092" i="2"/>
  <c r="T1091" i="2"/>
  <c r="W1091" i="2"/>
  <c r="L1091" i="2"/>
  <c r="M1091" i="2" s="1"/>
  <c r="J1091" i="2"/>
  <c r="I1091" i="2"/>
  <c r="H1091" i="2"/>
  <c r="L1090" i="2"/>
  <c r="M1090" i="2" s="1"/>
  <c r="J1090" i="2"/>
  <c r="I1090" i="2"/>
  <c r="H1090" i="2"/>
  <c r="T1089" i="2"/>
  <c r="W1089" i="2" s="1"/>
  <c r="AF1089" i="2" s="1"/>
  <c r="L1089" i="2"/>
  <c r="M1089" i="2" s="1"/>
  <c r="J1089" i="2"/>
  <c r="I1089" i="2"/>
  <c r="H1089" i="2"/>
  <c r="L1088" i="2"/>
  <c r="M1088" i="2" s="1"/>
  <c r="J1088" i="2"/>
  <c r="I1088" i="2"/>
  <c r="H1088" i="2"/>
  <c r="T1087" i="2"/>
  <c r="W1087" i="2"/>
  <c r="W1086" i="2" s="1"/>
  <c r="AF1086" i="2" s="1"/>
  <c r="L1087" i="2"/>
  <c r="M1087" i="2" s="1"/>
  <c r="J1087" i="2"/>
  <c r="I1087" i="2"/>
  <c r="H1087" i="2"/>
  <c r="L1086" i="2"/>
  <c r="M1086" i="2" s="1"/>
  <c r="J1086" i="2"/>
  <c r="I1086" i="2"/>
  <c r="H1086" i="2"/>
  <c r="L1085" i="2"/>
  <c r="M1085" i="2" s="1"/>
  <c r="J1085" i="2"/>
  <c r="I1085" i="2"/>
  <c r="H1085" i="2"/>
  <c r="L1084" i="2"/>
  <c r="M1084" i="2" s="1"/>
  <c r="J1084" i="2"/>
  <c r="I1084" i="2"/>
  <c r="H1084" i="2"/>
  <c r="P1082" i="2"/>
  <c r="L1082" i="2"/>
  <c r="M1082" i="2" s="1"/>
  <c r="J1082" i="2"/>
  <c r="I1082" i="2"/>
  <c r="H1082" i="2"/>
  <c r="N1081" i="2"/>
  <c r="T1081" i="2"/>
  <c r="W1081" i="2"/>
  <c r="AF1081" i="2" s="1"/>
  <c r="L1081" i="2"/>
  <c r="M1081" i="2" s="1"/>
  <c r="J1081" i="2"/>
  <c r="I1081" i="2"/>
  <c r="H1081" i="2"/>
  <c r="N1080" i="2"/>
  <c r="W1080" i="2" s="1"/>
  <c r="AF1080" i="2" s="1"/>
  <c r="P1080" i="2"/>
  <c r="L1080" i="2"/>
  <c r="M1080" i="2" s="1"/>
  <c r="J1080" i="2"/>
  <c r="I1080" i="2"/>
  <c r="H1080" i="2"/>
  <c r="N1079" i="2"/>
  <c r="W1079" i="2" s="1"/>
  <c r="AF1079" i="2" s="1"/>
  <c r="T1079" i="2"/>
  <c r="P1079" i="2"/>
  <c r="L1079" i="2"/>
  <c r="M1079" i="2" s="1"/>
  <c r="J1079" i="2"/>
  <c r="I1079" i="2"/>
  <c r="H1079" i="2"/>
  <c r="N1078" i="2"/>
  <c r="W1078" i="2" s="1"/>
  <c r="AF1078" i="2" s="1"/>
  <c r="T1078" i="2"/>
  <c r="L1078" i="2"/>
  <c r="M1078" i="2" s="1"/>
  <c r="J1078" i="2"/>
  <c r="I1078" i="2"/>
  <c r="H1078" i="2"/>
  <c r="N1077" i="2"/>
  <c r="T1077" i="2"/>
  <c r="L1077" i="2"/>
  <c r="M1077" i="2" s="1"/>
  <c r="J1077" i="2"/>
  <c r="I1077" i="2"/>
  <c r="H1077" i="2"/>
  <c r="T1076" i="2"/>
  <c r="W1076" i="2"/>
  <c r="AF1076" i="2" s="1"/>
  <c r="N1076" i="2"/>
  <c r="L1076" i="2"/>
  <c r="M1076" i="2" s="1"/>
  <c r="J1076" i="2"/>
  <c r="I1076" i="2"/>
  <c r="H1076" i="2"/>
  <c r="W1075" i="2"/>
  <c r="P1075" i="2"/>
  <c r="L1075" i="2"/>
  <c r="M1075" i="2" s="1"/>
  <c r="J1075" i="2"/>
  <c r="I1075" i="2"/>
  <c r="H1075" i="2"/>
  <c r="W1074" i="2"/>
  <c r="L1074" i="2"/>
  <c r="M1074" i="2" s="1"/>
  <c r="J1074" i="2"/>
  <c r="I1074" i="2"/>
  <c r="H1074" i="2"/>
  <c r="P1073" i="2"/>
  <c r="L1073" i="2"/>
  <c r="M1073" i="2" s="1"/>
  <c r="J1073" i="2"/>
  <c r="I1073" i="2"/>
  <c r="H1073" i="2"/>
  <c r="W1072" i="2"/>
  <c r="P1072" i="2"/>
  <c r="L1072" i="2"/>
  <c r="M1072" i="2" s="1"/>
  <c r="J1072" i="2"/>
  <c r="I1072" i="2"/>
  <c r="H1072" i="2"/>
  <c r="W1071" i="2"/>
  <c r="L1071" i="2"/>
  <c r="M1071" i="2" s="1"/>
  <c r="J1071" i="2"/>
  <c r="I1071" i="2"/>
  <c r="H1071" i="2"/>
  <c r="N1070" i="2"/>
  <c r="W1070" i="2" s="1"/>
  <c r="L1070" i="2"/>
  <c r="M1070" i="2" s="1"/>
  <c r="J1070" i="2"/>
  <c r="I1070" i="2"/>
  <c r="H1070" i="2"/>
  <c r="T1069" i="2"/>
  <c r="W1069" i="2"/>
  <c r="L1069" i="2"/>
  <c r="M1069" i="2" s="1"/>
  <c r="J1069" i="2"/>
  <c r="I1069" i="2"/>
  <c r="H1069" i="2"/>
  <c r="W1068" i="2"/>
  <c r="P1068" i="2"/>
  <c r="L1068" i="2"/>
  <c r="M1068" i="2" s="1"/>
  <c r="J1068" i="2"/>
  <c r="I1068" i="2"/>
  <c r="H1068" i="2"/>
  <c r="W1067" i="2"/>
  <c r="L1067" i="2"/>
  <c r="M1067" i="2" s="1"/>
  <c r="J1067" i="2"/>
  <c r="I1067" i="2"/>
  <c r="H1067" i="2"/>
  <c r="L1066" i="2"/>
  <c r="M1066" i="2" s="1"/>
  <c r="J1066" i="2"/>
  <c r="I1066" i="2"/>
  <c r="H1066" i="2"/>
  <c r="W1065" i="2"/>
  <c r="L1065" i="2"/>
  <c r="M1065" i="2" s="1"/>
  <c r="J1065" i="2"/>
  <c r="I1065" i="2"/>
  <c r="H1065" i="2"/>
  <c r="W1064" i="2"/>
  <c r="L1064" i="2"/>
  <c r="M1064" i="2" s="1"/>
  <c r="J1064" i="2"/>
  <c r="I1064" i="2"/>
  <c r="H1064" i="2"/>
  <c r="W1063" i="2"/>
  <c r="L1063" i="2"/>
  <c r="M1063" i="2" s="1"/>
  <c r="J1063" i="2"/>
  <c r="I1063" i="2"/>
  <c r="H1063" i="2"/>
  <c r="N1062" i="2"/>
  <c r="W1062" i="2"/>
  <c r="L1062" i="2"/>
  <c r="M1062" i="2" s="1"/>
  <c r="J1062" i="2"/>
  <c r="I1062" i="2"/>
  <c r="H1062" i="2"/>
  <c r="T1061" i="2"/>
  <c r="W1061" i="2" s="1"/>
  <c r="L1061" i="2"/>
  <c r="M1061" i="2" s="1"/>
  <c r="J1061" i="2"/>
  <c r="I1061" i="2"/>
  <c r="H1061" i="2"/>
  <c r="W1060" i="2"/>
  <c r="L1060" i="2"/>
  <c r="M1060" i="2" s="1"/>
  <c r="J1060" i="2"/>
  <c r="I1060" i="2"/>
  <c r="H1060" i="2"/>
  <c r="W1059" i="2"/>
  <c r="L1059" i="2"/>
  <c r="M1059" i="2" s="1"/>
  <c r="J1059" i="2"/>
  <c r="I1059" i="2"/>
  <c r="H1059" i="2"/>
  <c r="L1058" i="2"/>
  <c r="M1058" i="2" s="1"/>
  <c r="J1058" i="2"/>
  <c r="I1058" i="2"/>
  <c r="H1058" i="2"/>
  <c r="W1057" i="2"/>
  <c r="L1057" i="2"/>
  <c r="M1057" i="2" s="1"/>
  <c r="J1057" i="2"/>
  <c r="I1057" i="2"/>
  <c r="H1057" i="2"/>
  <c r="W1056" i="2"/>
  <c r="L1056" i="2"/>
  <c r="M1056" i="2" s="1"/>
  <c r="J1056" i="2"/>
  <c r="I1056" i="2"/>
  <c r="H1056" i="2"/>
  <c r="L1055" i="2"/>
  <c r="M1055" i="2" s="1"/>
  <c r="J1055" i="2"/>
  <c r="I1055" i="2"/>
  <c r="H1055" i="2"/>
  <c r="W1054" i="2"/>
  <c r="W1053" i="2" s="1"/>
  <c r="AF1053" i="2" s="1"/>
  <c r="L1054" i="2"/>
  <c r="M1054" i="2" s="1"/>
  <c r="J1054" i="2"/>
  <c r="I1054" i="2"/>
  <c r="H1054" i="2"/>
  <c r="L1053" i="2"/>
  <c r="M1053" i="2" s="1"/>
  <c r="J1053" i="2"/>
  <c r="I1053" i="2"/>
  <c r="H1053" i="2"/>
  <c r="W1052" i="2"/>
  <c r="L1052" i="2"/>
  <c r="M1052" i="2" s="1"/>
  <c r="J1052" i="2"/>
  <c r="I1052" i="2"/>
  <c r="H1052" i="2"/>
  <c r="W1051" i="2"/>
  <c r="L1051" i="2"/>
  <c r="M1051" i="2" s="1"/>
  <c r="J1051" i="2"/>
  <c r="I1051" i="2"/>
  <c r="H1051" i="2"/>
  <c r="L1050" i="2"/>
  <c r="M1050" i="2" s="1"/>
  <c r="J1050" i="2"/>
  <c r="I1050" i="2"/>
  <c r="H1050" i="2"/>
  <c r="L1049" i="2"/>
  <c r="M1049" i="2" s="1"/>
  <c r="J1049" i="2"/>
  <c r="I1049" i="2"/>
  <c r="H1049" i="2"/>
  <c r="L1048" i="2"/>
  <c r="M1048" i="2" s="1"/>
  <c r="J1048" i="2"/>
  <c r="I1048" i="2"/>
  <c r="H1048" i="2"/>
  <c r="L1047" i="2"/>
  <c r="M1047" i="2" s="1"/>
  <c r="J1047" i="2"/>
  <c r="I1047" i="2"/>
  <c r="H1047" i="2"/>
  <c r="L1046" i="2"/>
  <c r="M1046" i="2" s="1"/>
  <c r="J1046" i="2"/>
  <c r="I1046" i="2"/>
  <c r="H1046" i="2"/>
  <c r="L1045" i="2"/>
  <c r="M1045" i="2" s="1"/>
  <c r="J1045" i="2"/>
  <c r="I1045" i="2"/>
  <c r="H1045" i="2"/>
  <c r="L1044" i="2"/>
  <c r="M1044" i="2" s="1"/>
  <c r="J1044" i="2"/>
  <c r="I1044" i="2"/>
  <c r="H1044" i="2"/>
  <c r="L1043" i="2"/>
  <c r="M1043" i="2" s="1"/>
  <c r="J1043" i="2"/>
  <c r="I1043" i="2"/>
  <c r="H1043" i="2"/>
  <c r="N1042" i="2"/>
  <c r="W1042" i="2" s="1"/>
  <c r="L1042" i="2"/>
  <c r="M1042" i="2" s="1"/>
  <c r="J1042" i="2"/>
  <c r="I1042" i="2"/>
  <c r="H1042" i="2"/>
  <c r="N1041" i="2"/>
  <c r="W1041" i="2"/>
  <c r="L1041" i="2"/>
  <c r="M1041" i="2" s="1"/>
  <c r="J1041" i="2"/>
  <c r="I1041" i="2"/>
  <c r="H1041" i="2"/>
  <c r="N1040" i="2"/>
  <c r="T1040" i="2"/>
  <c r="W1040" i="2"/>
  <c r="L1040" i="2"/>
  <c r="M1040" i="2" s="1"/>
  <c r="J1040" i="2"/>
  <c r="I1040" i="2"/>
  <c r="H1040" i="2"/>
  <c r="N1039" i="2"/>
  <c r="W1039" i="2" s="1"/>
  <c r="T1039" i="2"/>
  <c r="L1039" i="2"/>
  <c r="M1039" i="2" s="1"/>
  <c r="J1039" i="2"/>
  <c r="I1039" i="2"/>
  <c r="H1039" i="2"/>
  <c r="N1038" i="2"/>
  <c r="W1038" i="2"/>
  <c r="L1038" i="2"/>
  <c r="M1038" i="2" s="1"/>
  <c r="J1038" i="2"/>
  <c r="I1038" i="2"/>
  <c r="H1038" i="2"/>
  <c r="N1037" i="2"/>
  <c r="T1037" i="2"/>
  <c r="W1037" i="2"/>
  <c r="L1037" i="2"/>
  <c r="M1037" i="2" s="1"/>
  <c r="J1037" i="2"/>
  <c r="I1037" i="2"/>
  <c r="H1037" i="2"/>
  <c r="L1036" i="2"/>
  <c r="M1036" i="2" s="1"/>
  <c r="J1036" i="2"/>
  <c r="I1036" i="2"/>
  <c r="H1036" i="2"/>
  <c r="W1035" i="2"/>
  <c r="L1035" i="2"/>
  <c r="M1035" i="2" s="1"/>
  <c r="J1035" i="2"/>
  <c r="I1035" i="2"/>
  <c r="H1035" i="2"/>
  <c r="L1034" i="2"/>
  <c r="M1034" i="2" s="1"/>
  <c r="J1034" i="2"/>
  <c r="I1034" i="2"/>
  <c r="H1034" i="2"/>
  <c r="L1033" i="2"/>
  <c r="M1033" i="2" s="1"/>
  <c r="J1033" i="2"/>
  <c r="I1033" i="2"/>
  <c r="H1033" i="2"/>
  <c r="L1032" i="2"/>
  <c r="M1032" i="2" s="1"/>
  <c r="J1032" i="2"/>
  <c r="I1032" i="2"/>
  <c r="H1032" i="2"/>
  <c r="N1031" i="2"/>
  <c r="W1031" i="2" s="1"/>
  <c r="L1031" i="2"/>
  <c r="M1031" i="2" s="1"/>
  <c r="J1031" i="2"/>
  <c r="I1031" i="2"/>
  <c r="H1031" i="2"/>
  <c r="N1030" i="2"/>
  <c r="W1030" i="2"/>
  <c r="L1030" i="2"/>
  <c r="M1030" i="2" s="1"/>
  <c r="J1030" i="2"/>
  <c r="I1030" i="2"/>
  <c r="H1030" i="2"/>
  <c r="N1029" i="2"/>
  <c r="T1029" i="2"/>
  <c r="W1029" i="2"/>
  <c r="L1029" i="2"/>
  <c r="M1029" i="2" s="1"/>
  <c r="J1029" i="2"/>
  <c r="I1029" i="2"/>
  <c r="H1029" i="2"/>
  <c r="N1028" i="2"/>
  <c r="W1028" i="2" s="1"/>
  <c r="T1028" i="2"/>
  <c r="L1028" i="2"/>
  <c r="M1028" i="2" s="1"/>
  <c r="J1028" i="2"/>
  <c r="I1028" i="2"/>
  <c r="H1028" i="2"/>
  <c r="N1027" i="2"/>
  <c r="T1027" i="2"/>
  <c r="L1027" i="2"/>
  <c r="M1027" i="2" s="1"/>
  <c r="J1027" i="2"/>
  <c r="I1027" i="2"/>
  <c r="H1027" i="2"/>
  <c r="N1026" i="2"/>
  <c r="T1026" i="2"/>
  <c r="W1026" i="2"/>
  <c r="L1026" i="2"/>
  <c r="M1026" i="2" s="1"/>
  <c r="J1026" i="2"/>
  <c r="I1026" i="2"/>
  <c r="H1026" i="2"/>
  <c r="L1025" i="2"/>
  <c r="M1025" i="2" s="1"/>
  <c r="J1025" i="2"/>
  <c r="I1025" i="2"/>
  <c r="H1025" i="2"/>
  <c r="W1024" i="2"/>
  <c r="L1024" i="2"/>
  <c r="M1024" i="2" s="1"/>
  <c r="J1024" i="2"/>
  <c r="I1024" i="2"/>
  <c r="H1024" i="2"/>
  <c r="L1023" i="2"/>
  <c r="M1023" i="2" s="1"/>
  <c r="J1023" i="2"/>
  <c r="I1023" i="2"/>
  <c r="H1023" i="2"/>
  <c r="L1022" i="2"/>
  <c r="M1022" i="2" s="1"/>
  <c r="J1022" i="2"/>
  <c r="I1022" i="2"/>
  <c r="H1022" i="2"/>
  <c r="L1021" i="2"/>
  <c r="M1021" i="2" s="1"/>
  <c r="J1021" i="2"/>
  <c r="I1021" i="2"/>
  <c r="H1021" i="2"/>
  <c r="N1020" i="2"/>
  <c r="W1020" i="2"/>
  <c r="L1020" i="2"/>
  <c r="M1020" i="2" s="1"/>
  <c r="J1020" i="2"/>
  <c r="I1020" i="2"/>
  <c r="H1020" i="2"/>
  <c r="N1019" i="2"/>
  <c r="W1019" i="2" s="1"/>
  <c r="L1019" i="2"/>
  <c r="M1019" i="2" s="1"/>
  <c r="J1019" i="2"/>
  <c r="I1019" i="2"/>
  <c r="H1019" i="2"/>
  <c r="N1018" i="2"/>
  <c r="T1018" i="2"/>
  <c r="W1018" i="2"/>
  <c r="L1018" i="2"/>
  <c r="M1018" i="2" s="1"/>
  <c r="J1018" i="2"/>
  <c r="I1018" i="2"/>
  <c r="H1018" i="2"/>
  <c r="N1017" i="2"/>
  <c r="T1017" i="2"/>
  <c r="W1017" i="2"/>
  <c r="L1017" i="2"/>
  <c r="M1017" i="2" s="1"/>
  <c r="J1017" i="2"/>
  <c r="I1017" i="2"/>
  <c r="H1017" i="2"/>
  <c r="N1016" i="2"/>
  <c r="W1016" i="2" s="1"/>
  <c r="T1016" i="2"/>
  <c r="L1016" i="2"/>
  <c r="M1016" i="2" s="1"/>
  <c r="J1016" i="2"/>
  <c r="I1016" i="2"/>
  <c r="H1016" i="2"/>
  <c r="L1015" i="2"/>
  <c r="M1015" i="2" s="1"/>
  <c r="J1015" i="2"/>
  <c r="I1015" i="2"/>
  <c r="H1015" i="2"/>
  <c r="W1014" i="2"/>
  <c r="L1014" i="2"/>
  <c r="M1014" i="2" s="1"/>
  <c r="J1014" i="2"/>
  <c r="I1014" i="2"/>
  <c r="H1014" i="2"/>
  <c r="AD1013" i="2"/>
  <c r="L1013" i="2"/>
  <c r="M1013" i="2" s="1"/>
  <c r="J1013" i="2"/>
  <c r="I1013" i="2"/>
  <c r="H1013" i="2"/>
  <c r="L1012" i="2"/>
  <c r="M1012" i="2" s="1"/>
  <c r="J1012" i="2"/>
  <c r="I1012" i="2"/>
  <c r="H1012" i="2"/>
  <c r="L1011" i="2"/>
  <c r="M1011" i="2" s="1"/>
  <c r="J1011" i="2"/>
  <c r="I1011" i="2"/>
  <c r="H1011" i="2"/>
  <c r="N1010" i="2"/>
  <c r="W1010" i="2" s="1"/>
  <c r="L1010" i="2"/>
  <c r="M1010" i="2" s="1"/>
  <c r="J1010" i="2"/>
  <c r="I1010" i="2"/>
  <c r="H1010" i="2"/>
  <c r="N1009" i="2"/>
  <c r="W1009" i="2"/>
  <c r="L1009" i="2"/>
  <c r="M1009" i="2" s="1"/>
  <c r="J1009" i="2"/>
  <c r="I1009" i="2"/>
  <c r="H1009" i="2"/>
  <c r="N1008" i="2"/>
  <c r="T1008" i="2"/>
  <c r="W1008" i="2"/>
  <c r="L1008" i="2"/>
  <c r="M1008" i="2" s="1"/>
  <c r="J1008" i="2"/>
  <c r="I1008" i="2"/>
  <c r="H1008" i="2"/>
  <c r="N1007" i="2"/>
  <c r="W1007" i="2" s="1"/>
  <c r="T1007" i="2"/>
  <c r="L1007" i="2"/>
  <c r="M1007" i="2" s="1"/>
  <c r="J1007" i="2"/>
  <c r="I1007" i="2"/>
  <c r="H1007" i="2"/>
  <c r="N1006" i="2"/>
  <c r="T1006" i="2"/>
  <c r="L1006" i="2"/>
  <c r="M1006" i="2" s="1"/>
  <c r="J1006" i="2"/>
  <c r="I1006" i="2"/>
  <c r="H1006" i="2"/>
  <c r="L1005" i="2"/>
  <c r="M1005" i="2" s="1"/>
  <c r="J1005" i="2"/>
  <c r="I1005" i="2"/>
  <c r="H1005" i="2"/>
  <c r="W1004" i="2"/>
  <c r="L1004" i="2"/>
  <c r="M1004" i="2" s="1"/>
  <c r="J1004" i="2"/>
  <c r="I1004" i="2"/>
  <c r="H1004" i="2"/>
  <c r="L1003" i="2"/>
  <c r="M1003" i="2" s="1"/>
  <c r="J1003" i="2"/>
  <c r="I1003" i="2"/>
  <c r="H1003" i="2"/>
  <c r="AH994" i="2"/>
  <c r="AA1002" i="2" s="1"/>
  <c r="AB1002" i="2"/>
  <c r="L1002" i="2"/>
  <c r="M1002" i="2" s="1"/>
  <c r="J1002" i="2"/>
  <c r="I1002" i="2"/>
  <c r="H1002" i="2"/>
  <c r="N1001" i="2"/>
  <c r="W1001" i="2"/>
  <c r="L1001" i="2"/>
  <c r="M1001" i="2" s="1"/>
  <c r="J1001" i="2"/>
  <c r="I1001" i="2"/>
  <c r="H1001" i="2"/>
  <c r="N1000" i="2"/>
  <c r="W1000" i="2" s="1"/>
  <c r="L1000" i="2"/>
  <c r="M1000" i="2" s="1"/>
  <c r="J1000" i="2"/>
  <c r="I1000" i="2"/>
  <c r="H1000" i="2"/>
  <c r="N999" i="2"/>
  <c r="T999" i="2"/>
  <c r="W999" i="2"/>
  <c r="L999" i="2"/>
  <c r="M999" i="2" s="1"/>
  <c r="J999" i="2"/>
  <c r="I999" i="2"/>
  <c r="H999" i="2"/>
  <c r="N998" i="2"/>
  <c r="T998" i="2"/>
  <c r="W998" i="2"/>
  <c r="L998" i="2"/>
  <c r="M998" i="2" s="1"/>
  <c r="J998" i="2"/>
  <c r="I998" i="2"/>
  <c r="H998" i="2"/>
  <c r="N997" i="2"/>
  <c r="W997" i="2" s="1"/>
  <c r="T997" i="2"/>
  <c r="L997" i="2"/>
  <c r="M997" i="2" s="1"/>
  <c r="J997" i="2"/>
  <c r="I997" i="2"/>
  <c r="H997" i="2"/>
  <c r="AA996" i="2"/>
  <c r="AB996" i="2"/>
  <c r="L996" i="2"/>
  <c r="M996" i="2" s="1"/>
  <c r="J996" i="2"/>
  <c r="I996" i="2"/>
  <c r="H996" i="2"/>
  <c r="W995" i="2"/>
  <c r="L995" i="2"/>
  <c r="M995" i="2" s="1"/>
  <c r="J995" i="2"/>
  <c r="I995" i="2"/>
  <c r="H995" i="2"/>
  <c r="AA994" i="2"/>
  <c r="AB994" i="2"/>
  <c r="L994" i="2"/>
  <c r="M994" i="2" s="1"/>
  <c r="J994" i="2"/>
  <c r="I994" i="2"/>
  <c r="H994" i="2"/>
  <c r="L993" i="2"/>
  <c r="M993" i="2" s="1"/>
  <c r="J993" i="2"/>
  <c r="I993" i="2"/>
  <c r="H993" i="2"/>
  <c r="L992" i="2"/>
  <c r="M992" i="2" s="1"/>
  <c r="J992" i="2"/>
  <c r="I992" i="2"/>
  <c r="H992" i="2"/>
  <c r="L991" i="2"/>
  <c r="M991" i="2" s="1"/>
  <c r="J991" i="2"/>
  <c r="I991" i="2"/>
  <c r="H991" i="2"/>
  <c r="T990" i="2"/>
  <c r="W990" i="2" s="1"/>
  <c r="L990" i="2"/>
  <c r="M990" i="2" s="1"/>
  <c r="J990" i="2"/>
  <c r="I990" i="2"/>
  <c r="H990" i="2"/>
  <c r="W989" i="2"/>
  <c r="L989" i="2"/>
  <c r="M989" i="2" s="1"/>
  <c r="J989" i="2"/>
  <c r="I989" i="2"/>
  <c r="H989" i="2"/>
  <c r="L988" i="2"/>
  <c r="M988" i="2" s="1"/>
  <c r="J988" i="2"/>
  <c r="I988" i="2"/>
  <c r="H988" i="2"/>
  <c r="L987" i="2"/>
  <c r="M987" i="2" s="1"/>
  <c r="J987" i="2"/>
  <c r="I987" i="2"/>
  <c r="H987" i="2"/>
  <c r="T986" i="2"/>
  <c r="W986" i="2" s="1"/>
  <c r="L986" i="2"/>
  <c r="M986" i="2" s="1"/>
  <c r="J986" i="2"/>
  <c r="I986" i="2"/>
  <c r="H986" i="2"/>
  <c r="L985" i="2"/>
  <c r="M985" i="2" s="1"/>
  <c r="J985" i="2"/>
  <c r="I985" i="2"/>
  <c r="H985" i="2"/>
  <c r="N984" i="2"/>
  <c r="W984" i="2"/>
  <c r="AF984" i="2" s="1"/>
  <c r="L984" i="2"/>
  <c r="M984" i="2" s="1"/>
  <c r="J984" i="2"/>
  <c r="I984" i="2"/>
  <c r="H984" i="2"/>
  <c r="N983" i="2"/>
  <c r="W983" i="2" s="1"/>
  <c r="L983" i="2"/>
  <c r="M983" i="2" s="1"/>
  <c r="J983" i="2"/>
  <c r="I983" i="2"/>
  <c r="H983" i="2"/>
  <c r="W982" i="2"/>
  <c r="L982" i="2"/>
  <c r="M982" i="2" s="1"/>
  <c r="J982" i="2"/>
  <c r="I982" i="2"/>
  <c r="H982" i="2"/>
  <c r="L981" i="2"/>
  <c r="M981" i="2" s="1"/>
  <c r="J981" i="2"/>
  <c r="I981" i="2"/>
  <c r="H981" i="2"/>
  <c r="W980" i="2"/>
  <c r="L980" i="2"/>
  <c r="M980" i="2" s="1"/>
  <c r="J980" i="2"/>
  <c r="I980" i="2"/>
  <c r="H980" i="2"/>
  <c r="W979" i="2"/>
  <c r="L979" i="2"/>
  <c r="M979" i="2" s="1"/>
  <c r="J979" i="2"/>
  <c r="I979" i="2"/>
  <c r="H979" i="2"/>
  <c r="L978" i="2"/>
  <c r="M978" i="2" s="1"/>
  <c r="J978" i="2"/>
  <c r="I978" i="2"/>
  <c r="H978" i="2"/>
  <c r="W977" i="2"/>
  <c r="AF977" i="2" s="1"/>
  <c r="L977" i="2"/>
  <c r="M977" i="2" s="1"/>
  <c r="J977" i="2"/>
  <c r="I977" i="2"/>
  <c r="H977" i="2"/>
  <c r="L976" i="2"/>
  <c r="M976" i="2" s="1"/>
  <c r="J976" i="2"/>
  <c r="I976" i="2"/>
  <c r="H976" i="2"/>
  <c r="W975" i="2"/>
  <c r="L975" i="2"/>
  <c r="M975" i="2" s="1"/>
  <c r="J975" i="2"/>
  <c r="I975" i="2"/>
  <c r="H975" i="2"/>
  <c r="W974" i="2"/>
  <c r="L974" i="2"/>
  <c r="M974" i="2" s="1"/>
  <c r="J974" i="2"/>
  <c r="I974" i="2"/>
  <c r="H974" i="2"/>
  <c r="L973" i="2"/>
  <c r="M973" i="2" s="1"/>
  <c r="J973" i="2"/>
  <c r="I973" i="2"/>
  <c r="H973" i="2"/>
  <c r="L972" i="2"/>
  <c r="M972" i="2" s="1"/>
  <c r="J972" i="2"/>
  <c r="I972" i="2"/>
  <c r="H972" i="2"/>
  <c r="L971" i="2"/>
  <c r="M971" i="2" s="1"/>
  <c r="J971" i="2"/>
  <c r="I971" i="2"/>
  <c r="H971" i="2"/>
  <c r="L970" i="2"/>
  <c r="M970" i="2" s="1"/>
  <c r="J970" i="2"/>
  <c r="I970" i="2"/>
  <c r="H970" i="2"/>
  <c r="L969" i="2"/>
  <c r="M969" i="2" s="1"/>
  <c r="J969" i="2"/>
  <c r="I969" i="2"/>
  <c r="H969" i="2"/>
  <c r="T968" i="2"/>
  <c r="W968" i="2" s="1"/>
  <c r="L968" i="2"/>
  <c r="M968" i="2" s="1"/>
  <c r="J968" i="2"/>
  <c r="I968" i="2"/>
  <c r="H968" i="2"/>
  <c r="L967" i="2"/>
  <c r="M967" i="2" s="1"/>
  <c r="J967" i="2"/>
  <c r="I967" i="2"/>
  <c r="H967" i="2"/>
  <c r="L966" i="2"/>
  <c r="M966" i="2" s="1"/>
  <c r="J966" i="2"/>
  <c r="I966" i="2"/>
  <c r="H966" i="2"/>
  <c r="T965" i="2"/>
  <c r="W965" i="2"/>
  <c r="L965" i="2"/>
  <c r="M965" i="2" s="1"/>
  <c r="J965" i="2"/>
  <c r="I965" i="2"/>
  <c r="H965" i="2"/>
  <c r="L964" i="2"/>
  <c r="M964" i="2" s="1"/>
  <c r="J964" i="2"/>
  <c r="I964" i="2"/>
  <c r="H964" i="2"/>
  <c r="N963" i="2"/>
  <c r="W963" i="2" s="1"/>
  <c r="AF963" i="2" s="1"/>
  <c r="L963" i="2"/>
  <c r="M963" i="2" s="1"/>
  <c r="J963" i="2"/>
  <c r="I963" i="2"/>
  <c r="H963" i="2"/>
  <c r="N962" i="2"/>
  <c r="W962" i="2"/>
  <c r="L962" i="2"/>
  <c r="M962" i="2" s="1"/>
  <c r="J962" i="2"/>
  <c r="I962" i="2"/>
  <c r="H962" i="2"/>
  <c r="W961" i="2"/>
  <c r="L961" i="2"/>
  <c r="M961" i="2" s="1"/>
  <c r="J961" i="2"/>
  <c r="I961" i="2"/>
  <c r="H961" i="2"/>
  <c r="W960" i="2"/>
  <c r="L960" i="2"/>
  <c r="M960" i="2" s="1"/>
  <c r="J960" i="2"/>
  <c r="I960" i="2"/>
  <c r="H960" i="2"/>
  <c r="W959" i="2"/>
  <c r="L959" i="2"/>
  <c r="M959" i="2" s="1"/>
  <c r="J959" i="2"/>
  <c r="I959" i="2"/>
  <c r="H959" i="2"/>
  <c r="L958" i="2"/>
  <c r="M958" i="2" s="1"/>
  <c r="J958" i="2"/>
  <c r="I958" i="2"/>
  <c r="H958" i="2"/>
  <c r="W957" i="2"/>
  <c r="AF957" i="2" s="1"/>
  <c r="L957" i="2"/>
  <c r="M957" i="2" s="1"/>
  <c r="J957" i="2"/>
  <c r="I957" i="2"/>
  <c r="H957" i="2"/>
  <c r="AA956" i="2"/>
  <c r="AB956" i="2"/>
  <c r="L956" i="2"/>
  <c r="M956" i="2" s="1"/>
  <c r="J956" i="2"/>
  <c r="I956" i="2"/>
  <c r="H956" i="2"/>
  <c r="W955" i="2"/>
  <c r="L955" i="2"/>
  <c r="M955" i="2" s="1"/>
  <c r="J955" i="2"/>
  <c r="I955" i="2"/>
  <c r="H955" i="2"/>
  <c r="W954" i="2"/>
  <c r="L954" i="2"/>
  <c r="M954" i="2" s="1"/>
  <c r="J954" i="2"/>
  <c r="I954" i="2"/>
  <c r="H954" i="2"/>
  <c r="L953" i="2"/>
  <c r="M953" i="2" s="1"/>
  <c r="J953" i="2"/>
  <c r="I953" i="2"/>
  <c r="H953" i="2"/>
  <c r="L952" i="2"/>
  <c r="M952" i="2" s="1"/>
  <c r="J952" i="2"/>
  <c r="I952" i="2"/>
  <c r="H952" i="2"/>
  <c r="L951" i="2"/>
  <c r="M951" i="2" s="1"/>
  <c r="J951" i="2"/>
  <c r="I951" i="2"/>
  <c r="H951" i="2"/>
  <c r="L950" i="2"/>
  <c r="M950" i="2" s="1"/>
  <c r="J950" i="2"/>
  <c r="I950" i="2"/>
  <c r="H950" i="2"/>
  <c r="L949" i="2"/>
  <c r="M949" i="2" s="1"/>
  <c r="J949" i="2"/>
  <c r="I949" i="2"/>
  <c r="H949" i="2"/>
  <c r="T948" i="2"/>
  <c r="W948" i="2" s="1"/>
  <c r="L948" i="2"/>
  <c r="M948" i="2" s="1"/>
  <c r="J948" i="2"/>
  <c r="I948" i="2"/>
  <c r="H948" i="2"/>
  <c r="L947" i="2"/>
  <c r="M947" i="2" s="1"/>
  <c r="J947" i="2"/>
  <c r="I947" i="2"/>
  <c r="H947" i="2"/>
  <c r="L946" i="2"/>
  <c r="M946" i="2" s="1"/>
  <c r="J946" i="2"/>
  <c r="I946" i="2"/>
  <c r="H946" i="2"/>
  <c r="T945" i="2"/>
  <c r="W945" i="2"/>
  <c r="L945" i="2"/>
  <c r="M945" i="2" s="1"/>
  <c r="J945" i="2"/>
  <c r="I945" i="2"/>
  <c r="H945" i="2"/>
  <c r="L944" i="2"/>
  <c r="M944" i="2" s="1"/>
  <c r="J944" i="2"/>
  <c r="I944" i="2"/>
  <c r="H944" i="2"/>
  <c r="AA943" i="2"/>
  <c r="N943" i="2"/>
  <c r="W943" i="2" s="1"/>
  <c r="AB943" i="2"/>
  <c r="AB936" i="2" s="1"/>
  <c r="L943" i="2"/>
  <c r="M943" i="2" s="1"/>
  <c r="J943" i="2"/>
  <c r="I943" i="2"/>
  <c r="H943" i="2"/>
  <c r="N942" i="2"/>
  <c r="W942" i="2" s="1"/>
  <c r="L942" i="2"/>
  <c r="M942" i="2" s="1"/>
  <c r="J942" i="2"/>
  <c r="I942" i="2"/>
  <c r="H942" i="2"/>
  <c r="W941" i="2"/>
  <c r="L941" i="2"/>
  <c r="M941" i="2" s="1"/>
  <c r="J941" i="2"/>
  <c r="I941" i="2"/>
  <c r="H941" i="2"/>
  <c r="W940" i="2"/>
  <c r="L940" i="2"/>
  <c r="M940" i="2" s="1"/>
  <c r="J940" i="2"/>
  <c r="I940" i="2"/>
  <c r="H940" i="2"/>
  <c r="W939" i="2"/>
  <c r="L939" i="2"/>
  <c r="M939" i="2" s="1"/>
  <c r="J939" i="2"/>
  <c r="I939" i="2"/>
  <c r="H939" i="2"/>
  <c r="L938" i="2"/>
  <c r="M938" i="2" s="1"/>
  <c r="J938" i="2"/>
  <c r="I938" i="2"/>
  <c r="H938" i="2"/>
  <c r="W937" i="2"/>
  <c r="AF937" i="2" s="1"/>
  <c r="L937" i="2"/>
  <c r="M937" i="2" s="1"/>
  <c r="J937" i="2"/>
  <c r="I937" i="2"/>
  <c r="H937" i="2"/>
  <c r="L936" i="2"/>
  <c r="M936" i="2" s="1"/>
  <c r="J936" i="2"/>
  <c r="I936" i="2"/>
  <c r="H936" i="2"/>
  <c r="W935" i="2"/>
  <c r="L935" i="2"/>
  <c r="M935" i="2" s="1"/>
  <c r="J935" i="2"/>
  <c r="I935" i="2"/>
  <c r="H935" i="2"/>
  <c r="W934" i="2"/>
  <c r="L934" i="2"/>
  <c r="M934" i="2" s="1"/>
  <c r="J934" i="2"/>
  <c r="I934" i="2"/>
  <c r="H934" i="2"/>
  <c r="L933" i="2"/>
  <c r="M933" i="2" s="1"/>
  <c r="J933" i="2"/>
  <c r="I933" i="2"/>
  <c r="H933" i="2"/>
  <c r="L932" i="2"/>
  <c r="M932" i="2" s="1"/>
  <c r="J932" i="2"/>
  <c r="I932" i="2"/>
  <c r="H932" i="2"/>
  <c r="L931" i="2"/>
  <c r="M931" i="2" s="1"/>
  <c r="J931" i="2"/>
  <c r="I931" i="2"/>
  <c r="H931" i="2"/>
  <c r="L930" i="2"/>
  <c r="M930" i="2" s="1"/>
  <c r="J930" i="2"/>
  <c r="I930" i="2"/>
  <c r="H930" i="2"/>
  <c r="L929" i="2"/>
  <c r="M929" i="2" s="1"/>
  <c r="J929" i="2"/>
  <c r="I929" i="2"/>
  <c r="H929" i="2"/>
  <c r="T928" i="2"/>
  <c r="W928" i="2" s="1"/>
  <c r="L928" i="2"/>
  <c r="M928" i="2" s="1"/>
  <c r="J928" i="2"/>
  <c r="I928" i="2"/>
  <c r="H928" i="2"/>
  <c r="L927" i="2"/>
  <c r="M927" i="2" s="1"/>
  <c r="J927" i="2"/>
  <c r="I927" i="2"/>
  <c r="H927" i="2"/>
  <c r="L926" i="2"/>
  <c r="M926" i="2" s="1"/>
  <c r="J926" i="2"/>
  <c r="I926" i="2"/>
  <c r="H926" i="2"/>
  <c r="T925" i="2"/>
  <c r="W925" i="2"/>
  <c r="L925" i="2"/>
  <c r="M925" i="2" s="1"/>
  <c r="J925" i="2"/>
  <c r="I925" i="2"/>
  <c r="H925" i="2"/>
  <c r="L924" i="2"/>
  <c r="M924" i="2" s="1"/>
  <c r="J924" i="2"/>
  <c r="I924" i="2"/>
  <c r="H924" i="2"/>
  <c r="N923" i="2"/>
  <c r="W923" i="2" s="1"/>
  <c r="AF923" i="2" s="1"/>
  <c r="L923" i="2"/>
  <c r="M923" i="2" s="1"/>
  <c r="J923" i="2"/>
  <c r="I923" i="2"/>
  <c r="H923" i="2"/>
  <c r="N922" i="2"/>
  <c r="W922" i="2"/>
  <c r="L922" i="2"/>
  <c r="M922" i="2" s="1"/>
  <c r="J922" i="2"/>
  <c r="I922" i="2"/>
  <c r="H922" i="2"/>
  <c r="W921" i="2"/>
  <c r="L921" i="2"/>
  <c r="M921" i="2" s="1"/>
  <c r="J921" i="2"/>
  <c r="I921" i="2"/>
  <c r="H921" i="2"/>
  <c r="W920" i="2"/>
  <c r="L920" i="2"/>
  <c r="M920" i="2" s="1"/>
  <c r="J920" i="2"/>
  <c r="I920" i="2"/>
  <c r="H920" i="2"/>
  <c r="W919" i="2"/>
  <c r="L919" i="2"/>
  <c r="M919" i="2" s="1"/>
  <c r="J919" i="2"/>
  <c r="I919" i="2"/>
  <c r="H919" i="2"/>
  <c r="L918" i="2"/>
  <c r="M918" i="2" s="1"/>
  <c r="J918" i="2"/>
  <c r="I918" i="2"/>
  <c r="H918" i="2"/>
  <c r="W917" i="2"/>
  <c r="AF917" i="2" s="1"/>
  <c r="L917" i="2"/>
  <c r="M917" i="2" s="1"/>
  <c r="J917" i="2"/>
  <c r="I917" i="2"/>
  <c r="H917" i="2"/>
  <c r="L916" i="2"/>
  <c r="M916" i="2" s="1"/>
  <c r="J916" i="2"/>
  <c r="I916" i="2"/>
  <c r="H916" i="2"/>
  <c r="W915" i="2"/>
  <c r="O914" i="2"/>
  <c r="O915" i="2" s="1"/>
  <c r="L915" i="2"/>
  <c r="M915" i="2" s="1"/>
  <c r="J915" i="2"/>
  <c r="I915" i="2"/>
  <c r="H915" i="2"/>
  <c r="W914" i="2"/>
  <c r="L914" i="2"/>
  <c r="M914" i="2" s="1"/>
  <c r="J914" i="2"/>
  <c r="I914" i="2"/>
  <c r="H914" i="2"/>
  <c r="L913" i="2"/>
  <c r="M913" i="2" s="1"/>
  <c r="J913" i="2"/>
  <c r="I913" i="2"/>
  <c r="H913" i="2"/>
  <c r="L912" i="2"/>
  <c r="M912" i="2" s="1"/>
  <c r="J912" i="2"/>
  <c r="I912" i="2"/>
  <c r="H912" i="2"/>
  <c r="L911" i="2"/>
  <c r="M911" i="2" s="1"/>
  <c r="J911" i="2"/>
  <c r="I911" i="2"/>
  <c r="H911" i="2"/>
  <c r="L910" i="2"/>
  <c r="M910" i="2" s="1"/>
  <c r="J910" i="2"/>
  <c r="I910" i="2"/>
  <c r="H910" i="2"/>
  <c r="L909" i="2"/>
  <c r="M909" i="2" s="1"/>
  <c r="J909" i="2"/>
  <c r="I909" i="2"/>
  <c r="H909" i="2"/>
  <c r="L908" i="2"/>
  <c r="M908" i="2" s="1"/>
  <c r="J908" i="2"/>
  <c r="I908" i="2"/>
  <c r="H908" i="2"/>
  <c r="T907" i="2"/>
  <c r="W907" i="2"/>
  <c r="L907" i="2"/>
  <c r="M907" i="2" s="1"/>
  <c r="J907" i="2"/>
  <c r="I907" i="2"/>
  <c r="H907" i="2"/>
  <c r="L906" i="2"/>
  <c r="M906" i="2" s="1"/>
  <c r="J906" i="2"/>
  <c r="I906" i="2"/>
  <c r="H906" i="2"/>
  <c r="N905" i="2"/>
  <c r="W905" i="2" s="1"/>
  <c r="L905" i="2"/>
  <c r="M905" i="2" s="1"/>
  <c r="J905" i="2"/>
  <c r="I905" i="2"/>
  <c r="H905" i="2"/>
  <c r="N904" i="2"/>
  <c r="W904" i="2"/>
  <c r="L904" i="2"/>
  <c r="M904" i="2" s="1"/>
  <c r="J904" i="2"/>
  <c r="I904" i="2"/>
  <c r="H904" i="2"/>
  <c r="L903" i="2"/>
  <c r="M903" i="2" s="1"/>
  <c r="J903" i="2"/>
  <c r="I903" i="2"/>
  <c r="H903" i="2"/>
  <c r="L902" i="2"/>
  <c r="M902" i="2" s="1"/>
  <c r="J902" i="2"/>
  <c r="I902" i="2"/>
  <c r="H902" i="2"/>
  <c r="W901" i="2"/>
  <c r="L901" i="2"/>
  <c r="M901" i="2" s="1"/>
  <c r="J901" i="2"/>
  <c r="I901" i="2"/>
  <c r="H901" i="2"/>
  <c r="L900" i="2"/>
  <c r="M900" i="2" s="1"/>
  <c r="J900" i="2"/>
  <c r="I900" i="2"/>
  <c r="H900" i="2"/>
  <c r="W899" i="2"/>
  <c r="L899" i="2"/>
  <c r="M899" i="2" s="1"/>
  <c r="J899" i="2"/>
  <c r="I899" i="2"/>
  <c r="H899" i="2"/>
  <c r="L898" i="2"/>
  <c r="M898" i="2" s="1"/>
  <c r="J898" i="2"/>
  <c r="I898" i="2"/>
  <c r="H898" i="2"/>
  <c r="W897" i="2"/>
  <c r="L897" i="2"/>
  <c r="M897" i="2" s="1"/>
  <c r="J897" i="2"/>
  <c r="I897" i="2"/>
  <c r="H897" i="2"/>
  <c r="L896" i="2"/>
  <c r="M896" i="2" s="1"/>
  <c r="J896" i="2"/>
  <c r="I896" i="2"/>
  <c r="H896" i="2"/>
  <c r="W895" i="2"/>
  <c r="L895" i="2"/>
  <c r="M895" i="2" s="1"/>
  <c r="J895" i="2"/>
  <c r="I895" i="2"/>
  <c r="H895" i="2"/>
  <c r="L894" i="2"/>
  <c r="M894" i="2" s="1"/>
  <c r="J894" i="2"/>
  <c r="I894" i="2"/>
  <c r="H894" i="2"/>
  <c r="W893" i="2"/>
  <c r="L893" i="2"/>
  <c r="M893" i="2" s="1"/>
  <c r="J893" i="2"/>
  <c r="I893" i="2"/>
  <c r="H893" i="2"/>
  <c r="W892" i="2"/>
  <c r="L892" i="2"/>
  <c r="M892" i="2" s="1"/>
  <c r="J892" i="2"/>
  <c r="I892" i="2"/>
  <c r="H892" i="2"/>
  <c r="L891" i="2"/>
  <c r="M891" i="2" s="1"/>
  <c r="J891" i="2"/>
  <c r="I891" i="2"/>
  <c r="H891" i="2"/>
  <c r="L890" i="2"/>
  <c r="M890" i="2" s="1"/>
  <c r="J890" i="2"/>
  <c r="I890" i="2"/>
  <c r="H890" i="2"/>
  <c r="N889" i="2"/>
  <c r="W889" i="2"/>
  <c r="L889" i="2"/>
  <c r="M889" i="2" s="1"/>
  <c r="J889" i="2"/>
  <c r="I889" i="2"/>
  <c r="H889" i="2"/>
  <c r="W888" i="2"/>
  <c r="L888" i="2"/>
  <c r="M888" i="2" s="1"/>
  <c r="J888" i="2"/>
  <c r="I888" i="2"/>
  <c r="H888" i="2"/>
  <c r="T887" i="2"/>
  <c r="W887" i="2"/>
  <c r="L887" i="2"/>
  <c r="M887" i="2" s="1"/>
  <c r="J887" i="2"/>
  <c r="I887" i="2"/>
  <c r="H887" i="2"/>
  <c r="W886" i="2"/>
  <c r="L886" i="2"/>
  <c r="M886" i="2" s="1"/>
  <c r="J886" i="2"/>
  <c r="I886" i="2"/>
  <c r="H886" i="2"/>
  <c r="W885" i="2"/>
  <c r="L885" i="2"/>
  <c r="M885" i="2" s="1"/>
  <c r="J885" i="2"/>
  <c r="I885" i="2"/>
  <c r="H885" i="2"/>
  <c r="L884" i="2"/>
  <c r="M884" i="2" s="1"/>
  <c r="J884" i="2"/>
  <c r="I884" i="2"/>
  <c r="H884" i="2"/>
  <c r="N883" i="2"/>
  <c r="W883" i="2"/>
  <c r="L883" i="2"/>
  <c r="M883" i="2" s="1"/>
  <c r="J883" i="2"/>
  <c r="I883" i="2"/>
  <c r="H883" i="2"/>
  <c r="W882" i="2"/>
  <c r="L882" i="2"/>
  <c r="M882" i="2" s="1"/>
  <c r="J882" i="2"/>
  <c r="I882" i="2"/>
  <c r="H882" i="2"/>
  <c r="L881" i="2"/>
  <c r="M881" i="2" s="1"/>
  <c r="J881" i="2"/>
  <c r="I881" i="2"/>
  <c r="H881" i="2"/>
  <c r="N880" i="2"/>
  <c r="W880" i="2" s="1"/>
  <c r="L880" i="2"/>
  <c r="M880" i="2" s="1"/>
  <c r="J880" i="2"/>
  <c r="I880" i="2"/>
  <c r="H880" i="2"/>
  <c r="W879" i="2"/>
  <c r="L879" i="2"/>
  <c r="M879" i="2" s="1"/>
  <c r="J879" i="2"/>
  <c r="I879" i="2"/>
  <c r="H879" i="2"/>
  <c r="T878" i="2"/>
  <c r="W878" i="2" s="1"/>
  <c r="L878" i="2"/>
  <c r="M878" i="2" s="1"/>
  <c r="J878" i="2"/>
  <c r="I878" i="2"/>
  <c r="H878" i="2"/>
  <c r="W877" i="2"/>
  <c r="L877" i="2"/>
  <c r="M877" i="2" s="1"/>
  <c r="J877" i="2"/>
  <c r="I877" i="2"/>
  <c r="H877" i="2"/>
  <c r="W876" i="2"/>
  <c r="L876" i="2"/>
  <c r="M876" i="2" s="1"/>
  <c r="J876" i="2"/>
  <c r="I876" i="2"/>
  <c r="H876" i="2"/>
  <c r="N875" i="2"/>
  <c r="W875" i="2" s="1"/>
  <c r="L875" i="2"/>
  <c r="M875" i="2" s="1"/>
  <c r="J875" i="2"/>
  <c r="I875" i="2"/>
  <c r="H875" i="2"/>
  <c r="W874" i="2"/>
  <c r="L874" i="2"/>
  <c r="M874" i="2" s="1"/>
  <c r="J874" i="2"/>
  <c r="I874" i="2"/>
  <c r="H874" i="2"/>
  <c r="L873" i="2"/>
  <c r="M873" i="2" s="1"/>
  <c r="J873" i="2"/>
  <c r="I873" i="2"/>
  <c r="H873" i="2"/>
  <c r="N872" i="2"/>
  <c r="W872" i="2"/>
  <c r="L872" i="2"/>
  <c r="M872" i="2" s="1"/>
  <c r="J872" i="2"/>
  <c r="I872" i="2"/>
  <c r="H872" i="2"/>
  <c r="W871" i="2"/>
  <c r="L871" i="2"/>
  <c r="M871" i="2" s="1"/>
  <c r="J871" i="2"/>
  <c r="I871" i="2"/>
  <c r="H871" i="2"/>
  <c r="T870" i="2"/>
  <c r="W870" i="2"/>
  <c r="L870" i="2"/>
  <c r="M870" i="2" s="1"/>
  <c r="J870" i="2"/>
  <c r="I870" i="2"/>
  <c r="H870" i="2"/>
  <c r="W869" i="2"/>
  <c r="L869" i="2"/>
  <c r="M869" i="2" s="1"/>
  <c r="J869" i="2"/>
  <c r="I869" i="2"/>
  <c r="H869" i="2"/>
  <c r="W868" i="2"/>
  <c r="L868" i="2"/>
  <c r="M868" i="2" s="1"/>
  <c r="J868" i="2"/>
  <c r="I868" i="2"/>
  <c r="H868" i="2"/>
  <c r="N867" i="2"/>
  <c r="W867" i="2"/>
  <c r="L867" i="2"/>
  <c r="M867" i="2" s="1"/>
  <c r="J867" i="2"/>
  <c r="I867" i="2"/>
  <c r="H867" i="2"/>
  <c r="W866" i="2"/>
  <c r="L866" i="2"/>
  <c r="M866" i="2" s="1"/>
  <c r="J866" i="2"/>
  <c r="I866" i="2"/>
  <c r="H866" i="2"/>
  <c r="L865" i="2"/>
  <c r="M865" i="2" s="1"/>
  <c r="J865" i="2"/>
  <c r="I865" i="2"/>
  <c r="H865" i="2"/>
  <c r="N864" i="2"/>
  <c r="W864" i="2" s="1"/>
  <c r="L864" i="2"/>
  <c r="M864" i="2" s="1"/>
  <c r="J864" i="2"/>
  <c r="I864" i="2"/>
  <c r="H864" i="2"/>
  <c r="N863" i="2"/>
  <c r="W863" i="2"/>
  <c r="L863" i="2"/>
  <c r="M863" i="2" s="1"/>
  <c r="J863" i="2"/>
  <c r="I863" i="2"/>
  <c r="H863" i="2"/>
  <c r="W862" i="2"/>
  <c r="L862" i="2"/>
  <c r="M862" i="2" s="1"/>
  <c r="J862" i="2"/>
  <c r="I862" i="2"/>
  <c r="H862" i="2"/>
  <c r="T861" i="2"/>
  <c r="W861" i="2"/>
  <c r="L861" i="2"/>
  <c r="M861" i="2" s="1"/>
  <c r="J861" i="2"/>
  <c r="I861" i="2"/>
  <c r="H861" i="2"/>
  <c r="W860" i="2"/>
  <c r="L860" i="2"/>
  <c r="M860" i="2" s="1"/>
  <c r="J860" i="2"/>
  <c r="I860" i="2"/>
  <c r="H860" i="2"/>
  <c r="W859" i="2"/>
  <c r="L859" i="2"/>
  <c r="M859" i="2" s="1"/>
  <c r="J859" i="2"/>
  <c r="I859" i="2"/>
  <c r="H859" i="2"/>
  <c r="W858" i="2"/>
  <c r="L858" i="2"/>
  <c r="M858" i="2" s="1"/>
  <c r="J858" i="2"/>
  <c r="I858" i="2"/>
  <c r="H858" i="2"/>
  <c r="W857" i="2"/>
  <c r="L857" i="2"/>
  <c r="M857" i="2" s="1"/>
  <c r="J857" i="2"/>
  <c r="I857" i="2"/>
  <c r="H857" i="2"/>
  <c r="N856" i="2"/>
  <c r="W856" i="2" s="1"/>
  <c r="L856" i="2"/>
  <c r="M856" i="2" s="1"/>
  <c r="J856" i="2"/>
  <c r="I856" i="2"/>
  <c r="H856" i="2"/>
  <c r="W855" i="2"/>
  <c r="L855" i="2"/>
  <c r="M855" i="2" s="1"/>
  <c r="J855" i="2"/>
  <c r="I855" i="2"/>
  <c r="H855" i="2"/>
  <c r="L854" i="2"/>
  <c r="M854" i="2" s="1"/>
  <c r="J854" i="2"/>
  <c r="I854" i="2"/>
  <c r="H854" i="2"/>
  <c r="L824" i="2"/>
  <c r="M824" i="2" s="1"/>
  <c r="J824" i="2"/>
  <c r="I824" i="2"/>
  <c r="H824" i="2"/>
  <c r="L823" i="2"/>
  <c r="M823" i="2" s="1"/>
  <c r="J823" i="2"/>
  <c r="I823" i="2"/>
  <c r="H823" i="2"/>
  <c r="T822" i="2"/>
  <c r="W822" i="2"/>
  <c r="L822" i="2"/>
  <c r="M822" i="2" s="1"/>
  <c r="J822" i="2"/>
  <c r="I822" i="2"/>
  <c r="H822" i="2"/>
  <c r="L821" i="2"/>
  <c r="M821" i="2" s="1"/>
  <c r="J821" i="2"/>
  <c r="I821" i="2"/>
  <c r="H821" i="2"/>
  <c r="L820" i="2"/>
  <c r="M820" i="2" s="1"/>
  <c r="J820" i="2"/>
  <c r="I820" i="2"/>
  <c r="H820" i="2"/>
  <c r="L819" i="2"/>
  <c r="M819" i="2" s="1"/>
  <c r="J819" i="2"/>
  <c r="I819" i="2"/>
  <c r="H819" i="2"/>
  <c r="W818" i="2"/>
  <c r="L818" i="2"/>
  <c r="M818" i="2" s="1"/>
  <c r="J818" i="2"/>
  <c r="I818" i="2"/>
  <c r="H818" i="2"/>
  <c r="T817" i="2"/>
  <c r="W817" i="2"/>
  <c r="L817" i="2"/>
  <c r="M817" i="2" s="1"/>
  <c r="J817" i="2"/>
  <c r="I817" i="2"/>
  <c r="H817" i="2"/>
  <c r="L816" i="2"/>
  <c r="M816" i="2" s="1"/>
  <c r="J816" i="2"/>
  <c r="I816" i="2"/>
  <c r="H816" i="2"/>
  <c r="W815" i="2"/>
  <c r="L815" i="2"/>
  <c r="M815" i="2" s="1"/>
  <c r="J815" i="2"/>
  <c r="I815" i="2"/>
  <c r="H815" i="2"/>
  <c r="W814" i="2"/>
  <c r="L814" i="2"/>
  <c r="M814" i="2" s="1"/>
  <c r="J814" i="2"/>
  <c r="I814" i="2"/>
  <c r="H814" i="2"/>
  <c r="L813" i="2"/>
  <c r="M813" i="2" s="1"/>
  <c r="J813" i="2"/>
  <c r="I813" i="2"/>
  <c r="H813" i="2"/>
  <c r="L812" i="2"/>
  <c r="M812" i="2" s="1"/>
  <c r="J812" i="2"/>
  <c r="I812" i="2"/>
  <c r="H812" i="2"/>
  <c r="W811" i="2"/>
  <c r="L811" i="2"/>
  <c r="M811" i="2" s="1"/>
  <c r="J811" i="2"/>
  <c r="I811" i="2"/>
  <c r="H811" i="2"/>
  <c r="W810" i="2"/>
  <c r="L810" i="2"/>
  <c r="M810" i="2" s="1"/>
  <c r="J810" i="2"/>
  <c r="I810" i="2"/>
  <c r="H810" i="2"/>
  <c r="W809" i="2"/>
  <c r="L809" i="2"/>
  <c r="M809" i="2" s="1"/>
  <c r="J809" i="2"/>
  <c r="I809" i="2"/>
  <c r="H809" i="2"/>
  <c r="N808" i="2"/>
  <c r="W808" i="2" s="1"/>
  <c r="L808" i="2"/>
  <c r="M808" i="2" s="1"/>
  <c r="J808" i="2"/>
  <c r="I808" i="2"/>
  <c r="H808" i="2"/>
  <c r="L807" i="2"/>
  <c r="M807" i="2" s="1"/>
  <c r="J807" i="2"/>
  <c r="I807" i="2"/>
  <c r="H807" i="2"/>
  <c r="T806" i="2"/>
  <c r="W806" i="2"/>
  <c r="L806" i="2"/>
  <c r="M806" i="2" s="1"/>
  <c r="J806" i="2"/>
  <c r="I806" i="2"/>
  <c r="H806" i="2"/>
  <c r="L805" i="2"/>
  <c r="M805" i="2" s="1"/>
  <c r="J805" i="2"/>
  <c r="I805" i="2"/>
  <c r="H805" i="2"/>
  <c r="T804" i="2"/>
  <c r="W804" i="2" s="1"/>
  <c r="L804" i="2"/>
  <c r="M804" i="2" s="1"/>
  <c r="J804" i="2"/>
  <c r="I804" i="2"/>
  <c r="H804" i="2"/>
  <c r="L803" i="2"/>
  <c r="M803" i="2" s="1"/>
  <c r="J803" i="2"/>
  <c r="I803" i="2"/>
  <c r="H803" i="2"/>
  <c r="L802" i="2"/>
  <c r="M802" i="2" s="1"/>
  <c r="J802" i="2"/>
  <c r="I802" i="2"/>
  <c r="H802" i="2"/>
  <c r="L801" i="2"/>
  <c r="M801" i="2" s="1"/>
  <c r="J801" i="2"/>
  <c r="I801" i="2"/>
  <c r="H801" i="2"/>
  <c r="W800" i="2"/>
  <c r="L800" i="2"/>
  <c r="M800" i="2" s="1"/>
  <c r="J800" i="2"/>
  <c r="I800" i="2"/>
  <c r="H800" i="2"/>
  <c r="W799" i="2"/>
  <c r="L799" i="2"/>
  <c r="M799" i="2" s="1"/>
  <c r="J799" i="2"/>
  <c r="I799" i="2"/>
  <c r="H799" i="2"/>
  <c r="W798" i="2"/>
  <c r="L798" i="2"/>
  <c r="M798" i="2" s="1"/>
  <c r="J798" i="2"/>
  <c r="I798" i="2"/>
  <c r="H798" i="2"/>
  <c r="W797" i="2"/>
  <c r="L797" i="2"/>
  <c r="M797" i="2" s="1"/>
  <c r="J797" i="2"/>
  <c r="I797" i="2"/>
  <c r="H797" i="2"/>
  <c r="W796" i="2"/>
  <c r="L796" i="2"/>
  <c r="M796" i="2" s="1"/>
  <c r="J796" i="2"/>
  <c r="I796" i="2"/>
  <c r="H796" i="2"/>
  <c r="L795" i="2"/>
  <c r="M795" i="2" s="1"/>
  <c r="J795" i="2"/>
  <c r="I795" i="2"/>
  <c r="H795" i="2"/>
  <c r="L794" i="2"/>
  <c r="M794" i="2" s="1"/>
  <c r="J794" i="2"/>
  <c r="I794" i="2"/>
  <c r="H794" i="2"/>
  <c r="W793" i="2"/>
  <c r="L793" i="2"/>
  <c r="M793" i="2" s="1"/>
  <c r="J793" i="2"/>
  <c r="I793" i="2"/>
  <c r="H793" i="2"/>
  <c r="W792" i="2"/>
  <c r="L792" i="2"/>
  <c r="M792" i="2" s="1"/>
  <c r="J792" i="2"/>
  <c r="I792" i="2"/>
  <c r="H792" i="2"/>
  <c r="L791" i="2"/>
  <c r="M791" i="2" s="1"/>
  <c r="J791" i="2"/>
  <c r="I791" i="2"/>
  <c r="H791" i="2"/>
  <c r="W790" i="2"/>
  <c r="L790" i="2"/>
  <c r="M790" i="2" s="1"/>
  <c r="J790" i="2"/>
  <c r="I790" i="2"/>
  <c r="H790" i="2"/>
  <c r="W789" i="2"/>
  <c r="O789" i="2"/>
  <c r="L789" i="2"/>
  <c r="M789" i="2" s="1"/>
  <c r="J789" i="2"/>
  <c r="I789" i="2"/>
  <c r="H789" i="2"/>
  <c r="L788" i="2"/>
  <c r="M788" i="2" s="1"/>
  <c r="J788" i="2"/>
  <c r="I788" i="2"/>
  <c r="H788" i="2"/>
  <c r="L787" i="2"/>
  <c r="M787" i="2" s="1"/>
  <c r="J787" i="2"/>
  <c r="I787" i="2"/>
  <c r="H787" i="2"/>
  <c r="L786" i="2"/>
  <c r="M786" i="2" s="1"/>
  <c r="J786" i="2"/>
  <c r="I786" i="2"/>
  <c r="H786" i="2"/>
  <c r="L785" i="2"/>
  <c r="M785" i="2" s="1"/>
  <c r="J785" i="2"/>
  <c r="I785" i="2"/>
  <c r="H785" i="2"/>
  <c r="T784" i="2"/>
  <c r="W784" i="2"/>
  <c r="L784" i="2"/>
  <c r="M784" i="2" s="1"/>
  <c r="J784" i="2"/>
  <c r="I784" i="2"/>
  <c r="H784" i="2"/>
  <c r="L783" i="2"/>
  <c r="M783" i="2" s="1"/>
  <c r="J783" i="2"/>
  <c r="I783" i="2"/>
  <c r="H783" i="2"/>
  <c r="L782" i="2"/>
  <c r="M782" i="2" s="1"/>
  <c r="J782" i="2"/>
  <c r="I782" i="2"/>
  <c r="H782" i="2"/>
  <c r="W781" i="2"/>
  <c r="L781" i="2"/>
  <c r="M781" i="2" s="1"/>
  <c r="J781" i="2"/>
  <c r="I781" i="2"/>
  <c r="H781" i="2"/>
  <c r="T780" i="2"/>
  <c r="W780" i="2" s="1"/>
  <c r="L780" i="2"/>
  <c r="M780" i="2" s="1"/>
  <c r="J780" i="2"/>
  <c r="I780" i="2"/>
  <c r="H780" i="2"/>
  <c r="L779" i="2"/>
  <c r="M779" i="2" s="1"/>
  <c r="J779" i="2"/>
  <c r="I779" i="2"/>
  <c r="H779" i="2"/>
  <c r="W778" i="2"/>
  <c r="L778" i="2"/>
  <c r="M778" i="2" s="1"/>
  <c r="J778" i="2"/>
  <c r="I778" i="2"/>
  <c r="H778" i="2"/>
  <c r="W777" i="2"/>
  <c r="L777" i="2"/>
  <c r="M777" i="2" s="1"/>
  <c r="J777" i="2"/>
  <c r="I777" i="2"/>
  <c r="H777" i="2"/>
  <c r="L776" i="2"/>
  <c r="M776" i="2" s="1"/>
  <c r="J776" i="2"/>
  <c r="I776" i="2"/>
  <c r="H776" i="2"/>
  <c r="L775" i="2"/>
  <c r="M775" i="2" s="1"/>
  <c r="J775" i="2"/>
  <c r="I775" i="2"/>
  <c r="H775" i="2"/>
  <c r="W774" i="2"/>
  <c r="L774" i="2"/>
  <c r="M774" i="2" s="1"/>
  <c r="J774" i="2"/>
  <c r="I774" i="2"/>
  <c r="H774" i="2"/>
  <c r="W773" i="2"/>
  <c r="L773" i="2"/>
  <c r="M773" i="2" s="1"/>
  <c r="J773" i="2"/>
  <c r="I773" i="2"/>
  <c r="H773" i="2"/>
  <c r="W772" i="2"/>
  <c r="L772" i="2"/>
  <c r="M772" i="2" s="1"/>
  <c r="J772" i="2"/>
  <c r="I772" i="2"/>
  <c r="H772" i="2"/>
  <c r="N771" i="2"/>
  <c r="W771" i="2"/>
  <c r="L771" i="2"/>
  <c r="M771" i="2" s="1"/>
  <c r="J771" i="2"/>
  <c r="I771" i="2"/>
  <c r="H771" i="2"/>
  <c r="L770" i="2"/>
  <c r="M770" i="2" s="1"/>
  <c r="J770" i="2"/>
  <c r="I770" i="2"/>
  <c r="H770" i="2"/>
  <c r="T769" i="2"/>
  <c r="W769" i="2"/>
  <c r="L769" i="2"/>
  <c r="M769" i="2" s="1"/>
  <c r="J769" i="2"/>
  <c r="I769" i="2"/>
  <c r="H769" i="2"/>
  <c r="L768" i="2"/>
  <c r="M768" i="2" s="1"/>
  <c r="J768" i="2"/>
  <c r="I768" i="2"/>
  <c r="H768" i="2"/>
  <c r="T767" i="2"/>
  <c r="W767" i="2"/>
  <c r="L767" i="2"/>
  <c r="M767" i="2" s="1"/>
  <c r="J767" i="2"/>
  <c r="I767" i="2"/>
  <c r="H767" i="2"/>
  <c r="L766" i="2"/>
  <c r="M766" i="2" s="1"/>
  <c r="J766" i="2"/>
  <c r="I766" i="2"/>
  <c r="H766" i="2"/>
  <c r="L765" i="2"/>
  <c r="M765" i="2" s="1"/>
  <c r="J765" i="2"/>
  <c r="I765" i="2"/>
  <c r="H765" i="2"/>
  <c r="L764" i="2"/>
  <c r="M764" i="2" s="1"/>
  <c r="J764" i="2"/>
  <c r="I764" i="2"/>
  <c r="H764" i="2"/>
  <c r="W763" i="2"/>
  <c r="L763" i="2"/>
  <c r="M763" i="2" s="1"/>
  <c r="J763" i="2"/>
  <c r="I763" i="2"/>
  <c r="H763" i="2"/>
  <c r="W762" i="2"/>
  <c r="L762" i="2"/>
  <c r="M762" i="2" s="1"/>
  <c r="J762" i="2"/>
  <c r="I762" i="2"/>
  <c r="H762" i="2"/>
  <c r="W761" i="2"/>
  <c r="L761" i="2"/>
  <c r="M761" i="2" s="1"/>
  <c r="J761" i="2"/>
  <c r="I761" i="2"/>
  <c r="H761" i="2"/>
  <c r="W760" i="2"/>
  <c r="L760" i="2"/>
  <c r="M760" i="2" s="1"/>
  <c r="J760" i="2"/>
  <c r="I760" i="2"/>
  <c r="H760" i="2"/>
  <c r="L759" i="2"/>
  <c r="M759" i="2" s="1"/>
  <c r="J759" i="2"/>
  <c r="I759" i="2"/>
  <c r="H759" i="2"/>
  <c r="L758" i="2"/>
  <c r="M758" i="2" s="1"/>
  <c r="J758" i="2"/>
  <c r="I758" i="2"/>
  <c r="H758" i="2"/>
  <c r="W757" i="2"/>
  <c r="L757" i="2"/>
  <c r="M757" i="2" s="1"/>
  <c r="J757" i="2"/>
  <c r="I757" i="2"/>
  <c r="H757" i="2"/>
  <c r="W756" i="2"/>
  <c r="L756" i="2"/>
  <c r="M756" i="2" s="1"/>
  <c r="J756" i="2"/>
  <c r="I756" i="2"/>
  <c r="H756" i="2"/>
  <c r="L755" i="2"/>
  <c r="M755" i="2" s="1"/>
  <c r="J755" i="2"/>
  <c r="I755" i="2"/>
  <c r="H755" i="2"/>
  <c r="W754" i="2"/>
  <c r="O753" i="2"/>
  <c r="O754" i="2" s="1"/>
  <c r="L754" i="2"/>
  <c r="M754" i="2" s="1"/>
  <c r="J754" i="2"/>
  <c r="I754" i="2"/>
  <c r="H754" i="2"/>
  <c r="W753" i="2"/>
  <c r="L753" i="2"/>
  <c r="M753" i="2" s="1"/>
  <c r="J753" i="2"/>
  <c r="I753" i="2"/>
  <c r="H753" i="2"/>
  <c r="L752" i="2"/>
  <c r="M752" i="2" s="1"/>
  <c r="J752" i="2"/>
  <c r="I752" i="2"/>
  <c r="H752" i="2"/>
  <c r="L751" i="2"/>
  <c r="M751" i="2" s="1"/>
  <c r="J751" i="2"/>
  <c r="I751" i="2"/>
  <c r="H751" i="2"/>
  <c r="L750" i="2"/>
  <c r="M750" i="2" s="1"/>
  <c r="J750" i="2"/>
  <c r="I750" i="2"/>
  <c r="H750" i="2"/>
  <c r="L749" i="2"/>
  <c r="M749" i="2" s="1"/>
  <c r="J749" i="2"/>
  <c r="I749" i="2"/>
  <c r="H749" i="2"/>
  <c r="T748" i="2"/>
  <c r="W748" i="2"/>
  <c r="L748" i="2"/>
  <c r="M748" i="2" s="1"/>
  <c r="J748" i="2"/>
  <c r="I748" i="2"/>
  <c r="H748" i="2"/>
  <c r="W747" i="2"/>
  <c r="L747" i="2"/>
  <c r="M747" i="2" s="1"/>
  <c r="J747" i="2"/>
  <c r="I747" i="2"/>
  <c r="H747" i="2"/>
  <c r="L746" i="2"/>
  <c r="M746" i="2" s="1"/>
  <c r="J746" i="2"/>
  <c r="I746" i="2"/>
  <c r="H746" i="2"/>
  <c r="W745" i="2"/>
  <c r="L745" i="2"/>
  <c r="M745" i="2" s="1"/>
  <c r="J745" i="2"/>
  <c r="I745" i="2"/>
  <c r="H745" i="2"/>
  <c r="W744" i="2"/>
  <c r="L744" i="2"/>
  <c r="M744" i="2" s="1"/>
  <c r="J744" i="2"/>
  <c r="I744" i="2"/>
  <c r="H744" i="2"/>
  <c r="L743" i="2"/>
  <c r="M743" i="2" s="1"/>
  <c r="J743" i="2"/>
  <c r="I743" i="2"/>
  <c r="H743" i="2"/>
  <c r="L742" i="2"/>
  <c r="M742" i="2" s="1"/>
  <c r="J742" i="2"/>
  <c r="I742" i="2"/>
  <c r="H742" i="2"/>
  <c r="W741" i="2"/>
  <c r="L741" i="2"/>
  <c r="M741" i="2" s="1"/>
  <c r="J741" i="2"/>
  <c r="I741" i="2"/>
  <c r="H741" i="2"/>
  <c r="W740" i="2"/>
  <c r="L740" i="2"/>
  <c r="M740" i="2" s="1"/>
  <c r="J740" i="2"/>
  <c r="I740" i="2"/>
  <c r="H740" i="2"/>
  <c r="W739" i="2"/>
  <c r="L739" i="2"/>
  <c r="M739" i="2" s="1"/>
  <c r="J739" i="2"/>
  <c r="I739" i="2"/>
  <c r="H739" i="2"/>
  <c r="N738" i="2"/>
  <c r="W738" i="2"/>
  <c r="L738" i="2"/>
  <c r="M738" i="2" s="1"/>
  <c r="J738" i="2"/>
  <c r="I738" i="2"/>
  <c r="H738" i="2"/>
  <c r="L737" i="2"/>
  <c r="M737" i="2" s="1"/>
  <c r="J737" i="2"/>
  <c r="I737" i="2"/>
  <c r="H737" i="2"/>
  <c r="T736" i="2"/>
  <c r="W736" i="2" s="1"/>
  <c r="L736" i="2"/>
  <c r="M736" i="2" s="1"/>
  <c r="J736" i="2"/>
  <c r="I736" i="2"/>
  <c r="H736" i="2"/>
  <c r="L735" i="2"/>
  <c r="M735" i="2" s="1"/>
  <c r="J735" i="2"/>
  <c r="I735" i="2"/>
  <c r="H735" i="2"/>
  <c r="T734" i="2"/>
  <c r="W734" i="2"/>
  <c r="L734" i="2"/>
  <c r="M734" i="2" s="1"/>
  <c r="J734" i="2"/>
  <c r="I734" i="2"/>
  <c r="H734" i="2"/>
  <c r="L733" i="2"/>
  <c r="M733" i="2" s="1"/>
  <c r="J733" i="2"/>
  <c r="I733" i="2"/>
  <c r="H733" i="2"/>
  <c r="L732" i="2"/>
  <c r="M732" i="2" s="1"/>
  <c r="J732" i="2"/>
  <c r="I732" i="2"/>
  <c r="H732" i="2"/>
  <c r="L731" i="2"/>
  <c r="M731" i="2" s="1"/>
  <c r="J731" i="2"/>
  <c r="I731" i="2"/>
  <c r="H731" i="2"/>
  <c r="W730" i="2"/>
  <c r="L730" i="2"/>
  <c r="M730" i="2" s="1"/>
  <c r="J730" i="2"/>
  <c r="I730" i="2"/>
  <c r="H730" i="2"/>
  <c r="W729" i="2"/>
  <c r="L729" i="2"/>
  <c r="M729" i="2" s="1"/>
  <c r="J729" i="2"/>
  <c r="I729" i="2"/>
  <c r="H729" i="2"/>
  <c r="W728" i="2"/>
  <c r="L728" i="2"/>
  <c r="M728" i="2" s="1"/>
  <c r="J728" i="2"/>
  <c r="I728" i="2"/>
  <c r="H728" i="2"/>
  <c r="L727" i="2"/>
  <c r="M727" i="2" s="1"/>
  <c r="J727" i="2"/>
  <c r="I727" i="2"/>
  <c r="H727" i="2"/>
  <c r="L726" i="2"/>
  <c r="M726" i="2" s="1"/>
  <c r="J726" i="2"/>
  <c r="I726" i="2"/>
  <c r="H726" i="2"/>
  <c r="W725" i="2"/>
  <c r="L725" i="2"/>
  <c r="M725" i="2" s="1"/>
  <c r="J725" i="2"/>
  <c r="I725" i="2"/>
  <c r="H725" i="2"/>
  <c r="W724" i="2"/>
  <c r="L724" i="2"/>
  <c r="M724" i="2" s="1"/>
  <c r="J724" i="2"/>
  <c r="I724" i="2"/>
  <c r="H724" i="2"/>
  <c r="L723" i="2"/>
  <c r="M723" i="2" s="1"/>
  <c r="J723" i="2"/>
  <c r="I723" i="2"/>
  <c r="H723" i="2"/>
  <c r="W722" i="2"/>
  <c r="L722" i="2"/>
  <c r="M722" i="2" s="1"/>
  <c r="J722" i="2"/>
  <c r="I722" i="2"/>
  <c r="H722" i="2"/>
  <c r="W721" i="2"/>
  <c r="O721" i="2"/>
  <c r="L721" i="2"/>
  <c r="M721" i="2" s="1"/>
  <c r="J721" i="2"/>
  <c r="I721" i="2"/>
  <c r="H721" i="2"/>
  <c r="L720" i="2"/>
  <c r="M720" i="2" s="1"/>
  <c r="J720" i="2"/>
  <c r="I720" i="2"/>
  <c r="H720" i="2"/>
  <c r="L719" i="2"/>
  <c r="M719" i="2" s="1"/>
  <c r="J719" i="2"/>
  <c r="I719" i="2"/>
  <c r="H719" i="2"/>
  <c r="W718" i="2"/>
  <c r="L718" i="2"/>
  <c r="M718" i="2" s="1"/>
  <c r="J718" i="2"/>
  <c r="I718" i="2"/>
  <c r="H718" i="2"/>
  <c r="W717" i="2"/>
  <c r="O717" i="2"/>
  <c r="L717" i="2"/>
  <c r="M717" i="2" s="1"/>
  <c r="J717" i="2"/>
  <c r="I717" i="2"/>
  <c r="H717" i="2"/>
  <c r="L716" i="2"/>
  <c r="M716" i="2" s="1"/>
  <c r="J716" i="2"/>
  <c r="I716" i="2"/>
  <c r="H716" i="2"/>
  <c r="W715" i="2"/>
  <c r="L715" i="2"/>
  <c r="M715" i="2" s="1"/>
  <c r="J715" i="2"/>
  <c r="I715" i="2"/>
  <c r="H715" i="2"/>
  <c r="W714" i="2"/>
  <c r="O714" i="2"/>
  <c r="L714" i="2"/>
  <c r="M714" i="2" s="1"/>
  <c r="J714" i="2"/>
  <c r="I714" i="2"/>
  <c r="H714" i="2"/>
  <c r="L713" i="2"/>
  <c r="M713" i="2" s="1"/>
  <c r="J713" i="2"/>
  <c r="I713" i="2"/>
  <c r="H713" i="2"/>
  <c r="W712" i="2"/>
  <c r="O711" i="2"/>
  <c r="O712" i="2" s="1"/>
  <c r="L712" i="2"/>
  <c r="M712" i="2" s="1"/>
  <c r="J712" i="2"/>
  <c r="I712" i="2"/>
  <c r="H712" i="2"/>
  <c r="W711" i="2"/>
  <c r="L711" i="2"/>
  <c r="M711" i="2" s="1"/>
  <c r="J711" i="2"/>
  <c r="I711" i="2"/>
  <c r="H711" i="2"/>
  <c r="L710" i="2"/>
  <c r="M710" i="2" s="1"/>
  <c r="J710" i="2"/>
  <c r="I710" i="2"/>
  <c r="H710" i="2"/>
  <c r="W709" i="2"/>
  <c r="AF709" i="2" s="1"/>
  <c r="L709" i="2"/>
  <c r="M709" i="2" s="1"/>
  <c r="J709" i="2"/>
  <c r="I709" i="2"/>
  <c r="H709" i="2"/>
  <c r="W707" i="2"/>
  <c r="AF707" i="2" s="1"/>
  <c r="L707" i="2"/>
  <c r="M707" i="2" s="1"/>
  <c r="J707" i="2"/>
  <c r="I707" i="2"/>
  <c r="H707" i="2"/>
  <c r="W706" i="2"/>
  <c r="AF706" i="2" s="1"/>
  <c r="L706" i="2"/>
  <c r="M706" i="2" s="1"/>
  <c r="J706" i="2"/>
  <c r="I706" i="2"/>
  <c r="H706" i="2"/>
  <c r="W705" i="2"/>
  <c r="AF705" i="2" s="1"/>
  <c r="L705" i="2"/>
  <c r="M705" i="2" s="1"/>
  <c r="J705" i="2"/>
  <c r="I705" i="2"/>
  <c r="H705" i="2"/>
  <c r="L704" i="2"/>
  <c r="M704" i="2" s="1"/>
  <c r="J704" i="2"/>
  <c r="I704" i="2"/>
  <c r="H704" i="2"/>
  <c r="L703" i="2"/>
  <c r="M703" i="2" s="1"/>
  <c r="J703" i="2"/>
  <c r="I703" i="2"/>
  <c r="H703" i="2"/>
  <c r="T702" i="2"/>
  <c r="W702" i="2"/>
  <c r="L702" i="2"/>
  <c r="M702" i="2" s="1"/>
  <c r="J702" i="2"/>
  <c r="I702" i="2"/>
  <c r="H702" i="2"/>
  <c r="N701" i="2"/>
  <c r="W701" i="2" s="1"/>
  <c r="T701" i="2"/>
  <c r="L701" i="2"/>
  <c r="M701" i="2" s="1"/>
  <c r="J701" i="2"/>
  <c r="I701" i="2"/>
  <c r="H701" i="2"/>
  <c r="L700" i="2"/>
  <c r="M700" i="2" s="1"/>
  <c r="J700" i="2"/>
  <c r="I700" i="2"/>
  <c r="H700" i="2"/>
  <c r="L699" i="2"/>
  <c r="M699" i="2" s="1"/>
  <c r="J699" i="2"/>
  <c r="I699" i="2"/>
  <c r="H699" i="2"/>
  <c r="L698" i="2"/>
  <c r="M698" i="2" s="1"/>
  <c r="J698" i="2"/>
  <c r="I698" i="2"/>
  <c r="H698" i="2"/>
  <c r="W697" i="2"/>
  <c r="L697" i="2"/>
  <c r="M697" i="2" s="1"/>
  <c r="J697" i="2"/>
  <c r="I697" i="2"/>
  <c r="H697" i="2"/>
  <c r="N696" i="2"/>
  <c r="W696" i="2"/>
  <c r="L696" i="2"/>
  <c r="M696" i="2" s="1"/>
  <c r="J696" i="2"/>
  <c r="I696" i="2"/>
  <c r="H696" i="2"/>
  <c r="L695" i="2"/>
  <c r="M695" i="2" s="1"/>
  <c r="J695" i="2"/>
  <c r="I695" i="2"/>
  <c r="H695" i="2"/>
  <c r="L694" i="2"/>
  <c r="M694" i="2" s="1"/>
  <c r="J694" i="2"/>
  <c r="I694" i="2"/>
  <c r="H694" i="2"/>
  <c r="L693" i="2"/>
  <c r="M693" i="2" s="1"/>
  <c r="J693" i="2"/>
  <c r="I693" i="2"/>
  <c r="H693" i="2"/>
  <c r="W692" i="2"/>
  <c r="L692" i="2"/>
  <c r="M692" i="2" s="1"/>
  <c r="J692" i="2"/>
  <c r="I692" i="2"/>
  <c r="H692" i="2"/>
  <c r="W691" i="2"/>
  <c r="L691" i="2"/>
  <c r="M691" i="2" s="1"/>
  <c r="J691" i="2"/>
  <c r="I691" i="2"/>
  <c r="H691" i="2"/>
  <c r="W690" i="2"/>
  <c r="L690" i="2"/>
  <c r="M690" i="2" s="1"/>
  <c r="J690" i="2"/>
  <c r="I690" i="2"/>
  <c r="H690" i="2"/>
  <c r="L689" i="2"/>
  <c r="M689" i="2" s="1"/>
  <c r="J689" i="2"/>
  <c r="I689" i="2"/>
  <c r="H689" i="2"/>
  <c r="W688" i="2"/>
  <c r="L688" i="2"/>
  <c r="M688" i="2" s="1"/>
  <c r="J688" i="2"/>
  <c r="I688" i="2"/>
  <c r="H688" i="2"/>
  <c r="W687" i="2"/>
  <c r="L687" i="2"/>
  <c r="M687" i="2" s="1"/>
  <c r="J687" i="2"/>
  <c r="I687" i="2"/>
  <c r="H687" i="2"/>
  <c r="L686" i="2"/>
  <c r="M686" i="2" s="1"/>
  <c r="J686" i="2"/>
  <c r="I686" i="2"/>
  <c r="H686" i="2"/>
  <c r="AA685" i="2"/>
  <c r="AB685" i="2"/>
  <c r="L685" i="2"/>
  <c r="M685" i="2" s="1"/>
  <c r="J685" i="2"/>
  <c r="I685" i="2"/>
  <c r="H685" i="2"/>
  <c r="L684" i="2"/>
  <c r="M684" i="2" s="1"/>
  <c r="J684" i="2"/>
  <c r="I684" i="2"/>
  <c r="H684" i="2"/>
  <c r="L683" i="2"/>
  <c r="M683" i="2" s="1"/>
  <c r="J683" i="2"/>
  <c r="I683" i="2"/>
  <c r="H683" i="2"/>
  <c r="T682" i="2"/>
  <c r="W682" i="2" s="1"/>
  <c r="L682" i="2"/>
  <c r="M682" i="2" s="1"/>
  <c r="J682" i="2"/>
  <c r="I682" i="2"/>
  <c r="H682" i="2"/>
  <c r="N681" i="2"/>
  <c r="T681" i="2"/>
  <c r="W681" i="2"/>
  <c r="L681" i="2"/>
  <c r="M681" i="2" s="1"/>
  <c r="J681" i="2"/>
  <c r="I681" i="2"/>
  <c r="H681" i="2"/>
  <c r="L680" i="2"/>
  <c r="M680" i="2" s="1"/>
  <c r="J680" i="2"/>
  <c r="I680" i="2"/>
  <c r="H680" i="2"/>
  <c r="L679" i="2"/>
  <c r="M679" i="2" s="1"/>
  <c r="J679" i="2"/>
  <c r="I679" i="2"/>
  <c r="H679" i="2"/>
  <c r="L678" i="2"/>
  <c r="M678" i="2" s="1"/>
  <c r="J678" i="2"/>
  <c r="I678" i="2"/>
  <c r="H678" i="2"/>
  <c r="W677" i="2"/>
  <c r="L677" i="2"/>
  <c r="M677" i="2" s="1"/>
  <c r="J677" i="2"/>
  <c r="I677" i="2"/>
  <c r="H677" i="2"/>
  <c r="N676" i="2"/>
  <c r="W676" i="2"/>
  <c r="L676" i="2"/>
  <c r="M676" i="2" s="1"/>
  <c r="J676" i="2"/>
  <c r="I676" i="2"/>
  <c r="H676" i="2"/>
  <c r="L675" i="2"/>
  <c r="M675" i="2" s="1"/>
  <c r="J675" i="2"/>
  <c r="I675" i="2"/>
  <c r="H675" i="2"/>
  <c r="L674" i="2"/>
  <c r="M674" i="2" s="1"/>
  <c r="J674" i="2"/>
  <c r="I674" i="2"/>
  <c r="H674" i="2"/>
  <c r="L673" i="2"/>
  <c r="M673" i="2" s="1"/>
  <c r="J673" i="2"/>
  <c r="I673" i="2"/>
  <c r="H673" i="2"/>
  <c r="W672" i="2"/>
  <c r="L672" i="2"/>
  <c r="M672" i="2" s="1"/>
  <c r="J672" i="2"/>
  <c r="I672" i="2"/>
  <c r="H672" i="2"/>
  <c r="W671" i="2"/>
  <c r="L671" i="2"/>
  <c r="M671" i="2" s="1"/>
  <c r="J671" i="2"/>
  <c r="I671" i="2"/>
  <c r="H671" i="2"/>
  <c r="W670" i="2"/>
  <c r="L670" i="2"/>
  <c r="M670" i="2" s="1"/>
  <c r="J670" i="2"/>
  <c r="I670" i="2"/>
  <c r="H670" i="2"/>
  <c r="L669" i="2"/>
  <c r="M669" i="2" s="1"/>
  <c r="J669" i="2"/>
  <c r="I669" i="2"/>
  <c r="H669" i="2"/>
  <c r="W668" i="2"/>
  <c r="L668" i="2"/>
  <c r="M668" i="2" s="1"/>
  <c r="J668" i="2"/>
  <c r="I668" i="2"/>
  <c r="H668" i="2"/>
  <c r="W667" i="2"/>
  <c r="L667" i="2"/>
  <c r="M667" i="2" s="1"/>
  <c r="J667" i="2"/>
  <c r="I667" i="2"/>
  <c r="H667" i="2"/>
  <c r="L666" i="2"/>
  <c r="M666" i="2" s="1"/>
  <c r="J666" i="2"/>
  <c r="I666" i="2"/>
  <c r="H666" i="2"/>
  <c r="AA665" i="2"/>
  <c r="AB665" i="2"/>
  <c r="L665" i="2"/>
  <c r="M665" i="2" s="1"/>
  <c r="J665" i="2"/>
  <c r="I665" i="2"/>
  <c r="H665" i="2"/>
  <c r="L664" i="2"/>
  <c r="M664" i="2" s="1"/>
  <c r="J664" i="2"/>
  <c r="I664" i="2"/>
  <c r="H664" i="2"/>
  <c r="L663" i="2"/>
  <c r="M663" i="2" s="1"/>
  <c r="J663" i="2"/>
  <c r="I663" i="2"/>
  <c r="H663" i="2"/>
  <c r="T662" i="2"/>
  <c r="W662" i="2"/>
  <c r="L662" i="2"/>
  <c r="M662" i="2" s="1"/>
  <c r="J662" i="2"/>
  <c r="I662" i="2"/>
  <c r="H662" i="2"/>
  <c r="N661" i="2"/>
  <c r="T661" i="2"/>
  <c r="W661" i="2"/>
  <c r="L661" i="2"/>
  <c r="M661" i="2" s="1"/>
  <c r="J661" i="2"/>
  <c r="I661" i="2"/>
  <c r="H661" i="2"/>
  <c r="L660" i="2"/>
  <c r="M660" i="2" s="1"/>
  <c r="J660" i="2"/>
  <c r="I660" i="2"/>
  <c r="H660" i="2"/>
  <c r="L659" i="2"/>
  <c r="M659" i="2" s="1"/>
  <c r="J659" i="2"/>
  <c r="I659" i="2"/>
  <c r="H659" i="2"/>
  <c r="L658" i="2"/>
  <c r="M658" i="2" s="1"/>
  <c r="J658" i="2"/>
  <c r="I658" i="2"/>
  <c r="H658" i="2"/>
  <c r="W657" i="2"/>
  <c r="L657" i="2"/>
  <c r="M657" i="2" s="1"/>
  <c r="J657" i="2"/>
  <c r="I657" i="2"/>
  <c r="H657" i="2"/>
  <c r="N656" i="2"/>
  <c r="W656" i="2"/>
  <c r="L656" i="2"/>
  <c r="M656" i="2" s="1"/>
  <c r="J656" i="2"/>
  <c r="I656" i="2"/>
  <c r="H656" i="2"/>
  <c r="L655" i="2"/>
  <c r="M655" i="2" s="1"/>
  <c r="J655" i="2"/>
  <c r="I655" i="2"/>
  <c r="H655" i="2"/>
  <c r="L654" i="2"/>
  <c r="M654" i="2" s="1"/>
  <c r="J654" i="2"/>
  <c r="I654" i="2"/>
  <c r="H654" i="2"/>
  <c r="L653" i="2"/>
  <c r="M653" i="2" s="1"/>
  <c r="J653" i="2"/>
  <c r="I653" i="2"/>
  <c r="H653" i="2"/>
  <c r="W652" i="2"/>
  <c r="L652" i="2"/>
  <c r="M652" i="2" s="1"/>
  <c r="J652" i="2"/>
  <c r="I652" i="2"/>
  <c r="H652" i="2"/>
  <c r="W651" i="2"/>
  <c r="AF651" i="2" s="1"/>
  <c r="L651" i="2"/>
  <c r="M651" i="2" s="1"/>
  <c r="J651" i="2"/>
  <c r="I651" i="2"/>
  <c r="H651" i="2"/>
  <c r="W650" i="2"/>
  <c r="L650" i="2"/>
  <c r="M650" i="2" s="1"/>
  <c r="J650" i="2"/>
  <c r="I650" i="2"/>
  <c r="H650" i="2"/>
  <c r="L649" i="2"/>
  <c r="M649" i="2" s="1"/>
  <c r="J649" i="2"/>
  <c r="I649" i="2"/>
  <c r="H649" i="2"/>
  <c r="T648" i="2"/>
  <c r="W648" i="2"/>
  <c r="O647" i="2"/>
  <c r="O648" i="2" s="1"/>
  <c r="L648" i="2"/>
  <c r="M648" i="2" s="1"/>
  <c r="J648" i="2"/>
  <c r="I648" i="2"/>
  <c r="H648" i="2"/>
  <c r="W647" i="2"/>
  <c r="L647" i="2"/>
  <c r="M647" i="2" s="1"/>
  <c r="J647" i="2"/>
  <c r="I647" i="2"/>
  <c r="H647" i="2"/>
  <c r="L646" i="2"/>
  <c r="M646" i="2" s="1"/>
  <c r="J646" i="2"/>
  <c r="I646" i="2"/>
  <c r="H646" i="2"/>
  <c r="L645" i="2"/>
  <c r="M645" i="2" s="1"/>
  <c r="J645" i="2"/>
  <c r="I645" i="2"/>
  <c r="H645" i="2"/>
  <c r="W644" i="2"/>
  <c r="L644" i="2"/>
  <c r="M644" i="2" s="1"/>
  <c r="J644" i="2"/>
  <c r="I644" i="2"/>
  <c r="H644" i="2"/>
  <c r="N643" i="2"/>
  <c r="W643" i="2" s="1"/>
  <c r="P643" i="2"/>
  <c r="L643" i="2"/>
  <c r="M643" i="2" s="1"/>
  <c r="J643" i="2"/>
  <c r="I643" i="2"/>
  <c r="H643" i="2"/>
  <c r="N642" i="2"/>
  <c r="W642" i="2"/>
  <c r="P642" i="2"/>
  <c r="L642" i="2"/>
  <c r="M642" i="2" s="1"/>
  <c r="J642" i="2"/>
  <c r="I642" i="2"/>
  <c r="H642" i="2"/>
  <c r="T641" i="2"/>
  <c r="W641" i="2"/>
  <c r="L641" i="2"/>
  <c r="M641" i="2" s="1"/>
  <c r="J641" i="2"/>
  <c r="I641" i="2"/>
  <c r="H641" i="2"/>
  <c r="L640" i="2"/>
  <c r="M640" i="2" s="1"/>
  <c r="J640" i="2"/>
  <c r="I640" i="2"/>
  <c r="H640" i="2"/>
  <c r="L639" i="2"/>
  <c r="M639" i="2" s="1"/>
  <c r="J639" i="2"/>
  <c r="I639" i="2"/>
  <c r="H639" i="2"/>
  <c r="X638" i="2"/>
  <c r="N638" i="2"/>
  <c r="W638" i="2" s="1"/>
  <c r="L638" i="2"/>
  <c r="M638" i="2" s="1"/>
  <c r="J638" i="2"/>
  <c r="I638" i="2"/>
  <c r="H638" i="2"/>
  <c r="W637" i="2"/>
  <c r="L637" i="2"/>
  <c r="M637" i="2" s="1"/>
  <c r="J637" i="2"/>
  <c r="I637" i="2"/>
  <c r="H637" i="2"/>
  <c r="X636" i="2"/>
  <c r="W636" i="2"/>
  <c r="L636" i="2"/>
  <c r="M636" i="2" s="1"/>
  <c r="J636" i="2"/>
  <c r="I636" i="2"/>
  <c r="H636" i="2"/>
  <c r="L635" i="2"/>
  <c r="M635" i="2" s="1"/>
  <c r="J635" i="2"/>
  <c r="I635" i="2"/>
  <c r="H635" i="2"/>
  <c r="L634" i="2"/>
  <c r="M634" i="2" s="1"/>
  <c r="J634" i="2"/>
  <c r="I634" i="2"/>
  <c r="H634" i="2"/>
  <c r="N633" i="2"/>
  <c r="T633" i="2"/>
  <c r="W633" i="2"/>
  <c r="AF633" i="2" s="1"/>
  <c r="L633" i="2"/>
  <c r="M633" i="2" s="1"/>
  <c r="J633" i="2"/>
  <c r="I633" i="2"/>
  <c r="H633" i="2"/>
  <c r="W632" i="2"/>
  <c r="AF632" i="2" s="1"/>
  <c r="L632" i="2"/>
  <c r="M632" i="2" s="1"/>
  <c r="J632" i="2"/>
  <c r="I632" i="2"/>
  <c r="H632" i="2"/>
  <c r="T631" i="2"/>
  <c r="W631" i="2"/>
  <c r="AF631" i="2" s="1"/>
  <c r="L631" i="2"/>
  <c r="M631" i="2" s="1"/>
  <c r="J631" i="2"/>
  <c r="I631" i="2"/>
  <c r="H631" i="2"/>
  <c r="L630" i="2"/>
  <c r="M630" i="2" s="1"/>
  <c r="J630" i="2"/>
  <c r="I630" i="2"/>
  <c r="H630" i="2"/>
  <c r="N629" i="2"/>
  <c r="T629" i="2"/>
  <c r="L629" i="2"/>
  <c r="M629" i="2" s="1"/>
  <c r="J629" i="2"/>
  <c r="I629" i="2"/>
  <c r="H629" i="2"/>
  <c r="W628" i="2"/>
  <c r="AF628" i="2" s="1"/>
  <c r="L628" i="2"/>
  <c r="M628" i="2" s="1"/>
  <c r="J628" i="2"/>
  <c r="I628" i="2"/>
  <c r="H628" i="2"/>
  <c r="T627" i="2"/>
  <c r="W627" i="2" s="1"/>
  <c r="AF627" i="2" s="1"/>
  <c r="L627" i="2"/>
  <c r="M627" i="2" s="1"/>
  <c r="J627" i="2"/>
  <c r="I627" i="2"/>
  <c r="H627" i="2"/>
  <c r="L626" i="2"/>
  <c r="M626" i="2" s="1"/>
  <c r="J626" i="2"/>
  <c r="I626" i="2"/>
  <c r="H626" i="2"/>
  <c r="N625" i="2"/>
  <c r="T625" i="2"/>
  <c r="W625" i="2"/>
  <c r="AF625" i="2" s="1"/>
  <c r="L625" i="2"/>
  <c r="M625" i="2" s="1"/>
  <c r="J625" i="2"/>
  <c r="I625" i="2"/>
  <c r="H625" i="2"/>
  <c r="W624" i="2"/>
  <c r="AF624" i="2" s="1"/>
  <c r="L624" i="2"/>
  <c r="M624" i="2" s="1"/>
  <c r="J624" i="2"/>
  <c r="I624" i="2"/>
  <c r="H624" i="2"/>
  <c r="T623" i="2"/>
  <c r="W623" i="2"/>
  <c r="L623" i="2"/>
  <c r="M623" i="2" s="1"/>
  <c r="J623" i="2"/>
  <c r="I623" i="2"/>
  <c r="H623" i="2"/>
  <c r="L622" i="2"/>
  <c r="M622" i="2" s="1"/>
  <c r="J622" i="2"/>
  <c r="I622" i="2"/>
  <c r="H622" i="2"/>
  <c r="N621" i="2"/>
  <c r="W621" i="2" s="1"/>
  <c r="AF621" i="2" s="1"/>
  <c r="T621" i="2"/>
  <c r="L621" i="2"/>
  <c r="M621" i="2" s="1"/>
  <c r="J621" i="2"/>
  <c r="I621" i="2"/>
  <c r="H621" i="2"/>
  <c r="W620" i="2"/>
  <c r="AF620" i="2" s="1"/>
  <c r="L620" i="2"/>
  <c r="M620" i="2" s="1"/>
  <c r="J620" i="2"/>
  <c r="I620" i="2"/>
  <c r="H620" i="2"/>
  <c r="T619" i="2"/>
  <c r="W619" i="2"/>
  <c r="L619" i="2"/>
  <c r="M619" i="2" s="1"/>
  <c r="J619" i="2"/>
  <c r="I619" i="2"/>
  <c r="H619" i="2"/>
  <c r="L618" i="2"/>
  <c r="M618" i="2" s="1"/>
  <c r="J618" i="2"/>
  <c r="I618" i="2"/>
  <c r="H618" i="2"/>
  <c r="N617" i="2"/>
  <c r="T617" i="2"/>
  <c r="W617" i="2"/>
  <c r="L617" i="2"/>
  <c r="M617" i="2" s="1"/>
  <c r="J617" i="2"/>
  <c r="I617" i="2"/>
  <c r="H617" i="2"/>
  <c r="L616" i="2"/>
  <c r="M616" i="2" s="1"/>
  <c r="J616" i="2"/>
  <c r="I616" i="2"/>
  <c r="H616" i="2"/>
  <c r="T615" i="2"/>
  <c r="W615" i="2" s="1"/>
  <c r="L615" i="2"/>
  <c r="M615" i="2" s="1"/>
  <c r="J615" i="2"/>
  <c r="I615" i="2"/>
  <c r="H615" i="2"/>
  <c r="L614" i="2"/>
  <c r="M614" i="2" s="1"/>
  <c r="J614" i="2"/>
  <c r="I614" i="2"/>
  <c r="H614" i="2"/>
  <c r="N613" i="2"/>
  <c r="T613" i="2"/>
  <c r="W613" i="2" s="1"/>
  <c r="L613" i="2"/>
  <c r="M613" i="2" s="1"/>
  <c r="J613" i="2"/>
  <c r="I613" i="2"/>
  <c r="H613" i="2"/>
  <c r="W612" i="2"/>
  <c r="L612" i="2"/>
  <c r="M612" i="2" s="1"/>
  <c r="J612" i="2"/>
  <c r="I612" i="2"/>
  <c r="H612" i="2"/>
  <c r="T611" i="2"/>
  <c r="W611" i="2"/>
  <c r="L611" i="2"/>
  <c r="M611" i="2" s="1"/>
  <c r="J611" i="2"/>
  <c r="I611" i="2"/>
  <c r="H611" i="2"/>
  <c r="L610" i="2"/>
  <c r="M610" i="2" s="1"/>
  <c r="J610" i="2"/>
  <c r="I610" i="2"/>
  <c r="H610" i="2"/>
  <c r="L609" i="2"/>
  <c r="M609" i="2" s="1"/>
  <c r="J609" i="2"/>
  <c r="I609" i="2"/>
  <c r="H609" i="2"/>
  <c r="W608" i="2"/>
  <c r="L608" i="2"/>
  <c r="M608" i="2" s="1"/>
  <c r="J608" i="2"/>
  <c r="I608" i="2"/>
  <c r="H608" i="2"/>
  <c r="W607" i="2"/>
  <c r="L607" i="2"/>
  <c r="M607" i="2" s="1"/>
  <c r="J607" i="2"/>
  <c r="I607" i="2"/>
  <c r="H607" i="2"/>
  <c r="N606" i="2"/>
  <c r="W606" i="2"/>
  <c r="L606" i="2"/>
  <c r="M606" i="2" s="1"/>
  <c r="J606" i="2"/>
  <c r="I606" i="2"/>
  <c r="H606" i="2"/>
  <c r="N605" i="2"/>
  <c r="W605" i="2" s="1"/>
  <c r="T605" i="2"/>
  <c r="L605" i="2"/>
  <c r="M605" i="2" s="1"/>
  <c r="J605" i="2"/>
  <c r="I605" i="2"/>
  <c r="H605" i="2"/>
  <c r="N604" i="2"/>
  <c r="W604" i="2"/>
  <c r="L604" i="2"/>
  <c r="M604" i="2" s="1"/>
  <c r="J604" i="2"/>
  <c r="I604" i="2"/>
  <c r="H604" i="2"/>
  <c r="W603" i="2"/>
  <c r="L603" i="2"/>
  <c r="M603" i="2" s="1"/>
  <c r="J603" i="2"/>
  <c r="I603" i="2"/>
  <c r="H603" i="2"/>
  <c r="L602" i="2"/>
  <c r="M602" i="2" s="1"/>
  <c r="J602" i="2"/>
  <c r="I602" i="2"/>
  <c r="H602" i="2"/>
  <c r="N601" i="2"/>
  <c r="W601" i="2"/>
  <c r="L601" i="2"/>
  <c r="M601" i="2" s="1"/>
  <c r="J601" i="2"/>
  <c r="I601" i="2"/>
  <c r="H601" i="2"/>
  <c r="N600" i="2"/>
  <c r="W600" i="2" s="1"/>
  <c r="L600" i="2"/>
  <c r="M600" i="2" s="1"/>
  <c r="J600" i="2"/>
  <c r="I600" i="2"/>
  <c r="H600" i="2"/>
  <c r="W599" i="2"/>
  <c r="L599" i="2"/>
  <c r="M599" i="2" s="1"/>
  <c r="J599" i="2"/>
  <c r="I599" i="2"/>
  <c r="H599" i="2"/>
  <c r="W598" i="2"/>
  <c r="L598" i="2"/>
  <c r="M598" i="2" s="1"/>
  <c r="J598" i="2"/>
  <c r="I598" i="2"/>
  <c r="H598" i="2"/>
  <c r="L597" i="2"/>
  <c r="M597" i="2" s="1"/>
  <c r="J597" i="2"/>
  <c r="I597" i="2"/>
  <c r="H597" i="2"/>
  <c r="W596" i="2"/>
  <c r="L596" i="2"/>
  <c r="M596" i="2" s="1"/>
  <c r="J596" i="2"/>
  <c r="I596" i="2"/>
  <c r="H596" i="2"/>
  <c r="W595" i="2"/>
  <c r="L595" i="2"/>
  <c r="M595" i="2" s="1"/>
  <c r="J595" i="2"/>
  <c r="I595" i="2"/>
  <c r="H595" i="2"/>
  <c r="W594" i="2"/>
  <c r="L594" i="2"/>
  <c r="M594" i="2" s="1"/>
  <c r="J594" i="2"/>
  <c r="I594" i="2"/>
  <c r="H594" i="2"/>
  <c r="N593" i="2"/>
  <c r="W593" i="2" s="1"/>
  <c r="L593" i="2"/>
  <c r="M593" i="2" s="1"/>
  <c r="J593" i="2"/>
  <c r="I593" i="2"/>
  <c r="H593" i="2"/>
  <c r="L592" i="2"/>
  <c r="M592" i="2" s="1"/>
  <c r="J592" i="2"/>
  <c r="I592" i="2"/>
  <c r="H592" i="2"/>
  <c r="W591" i="2"/>
  <c r="L591" i="2"/>
  <c r="M591" i="2" s="1"/>
  <c r="J591" i="2"/>
  <c r="I591" i="2"/>
  <c r="H591" i="2"/>
  <c r="W590" i="2"/>
  <c r="L590" i="2"/>
  <c r="M590" i="2" s="1"/>
  <c r="J590" i="2"/>
  <c r="I590" i="2"/>
  <c r="H590" i="2"/>
  <c r="N589" i="2"/>
  <c r="W589" i="2" s="1"/>
  <c r="L589" i="2"/>
  <c r="M589" i="2" s="1"/>
  <c r="J589" i="2"/>
  <c r="I589" i="2"/>
  <c r="H589" i="2"/>
  <c r="W588" i="2"/>
  <c r="L588" i="2"/>
  <c r="M588" i="2" s="1"/>
  <c r="J588" i="2"/>
  <c r="I588" i="2"/>
  <c r="H588" i="2"/>
  <c r="W587" i="2"/>
  <c r="L587" i="2"/>
  <c r="M587" i="2" s="1"/>
  <c r="J587" i="2"/>
  <c r="I587" i="2"/>
  <c r="H587" i="2"/>
  <c r="W586" i="2"/>
  <c r="L586" i="2"/>
  <c r="M586" i="2" s="1"/>
  <c r="J586" i="2"/>
  <c r="I586" i="2"/>
  <c r="H586" i="2"/>
  <c r="L585" i="2"/>
  <c r="M585" i="2" s="1"/>
  <c r="J585" i="2"/>
  <c r="I585" i="2"/>
  <c r="H585" i="2"/>
  <c r="W584" i="2"/>
  <c r="L584" i="2"/>
  <c r="M584" i="2" s="1"/>
  <c r="J584" i="2"/>
  <c r="I584" i="2"/>
  <c r="H584" i="2"/>
  <c r="W583" i="2"/>
  <c r="L583" i="2"/>
  <c r="M583" i="2" s="1"/>
  <c r="J583" i="2"/>
  <c r="I583" i="2"/>
  <c r="H583" i="2"/>
  <c r="L582" i="2"/>
  <c r="M582" i="2" s="1"/>
  <c r="J582" i="2"/>
  <c r="I582" i="2"/>
  <c r="H582" i="2"/>
  <c r="L581" i="2"/>
  <c r="M581" i="2" s="1"/>
  <c r="J581" i="2"/>
  <c r="I581" i="2"/>
  <c r="H581" i="2"/>
  <c r="L580" i="2"/>
  <c r="M580" i="2" s="1"/>
  <c r="J580" i="2"/>
  <c r="I580" i="2"/>
  <c r="H580" i="2"/>
  <c r="W579" i="2"/>
  <c r="L579" i="2"/>
  <c r="M579" i="2" s="1"/>
  <c r="J579" i="2"/>
  <c r="I579" i="2"/>
  <c r="H579" i="2"/>
  <c r="W578" i="2"/>
  <c r="L578" i="2"/>
  <c r="M578" i="2" s="1"/>
  <c r="J578" i="2"/>
  <c r="I578" i="2"/>
  <c r="H578" i="2"/>
  <c r="N577" i="2"/>
  <c r="W577" i="2" s="1"/>
  <c r="L577" i="2"/>
  <c r="M577" i="2" s="1"/>
  <c r="J577" i="2"/>
  <c r="I577" i="2"/>
  <c r="H577" i="2"/>
  <c r="N576" i="2"/>
  <c r="T576" i="2"/>
  <c r="W576" i="2"/>
  <c r="L576" i="2"/>
  <c r="M576" i="2" s="1"/>
  <c r="J576" i="2"/>
  <c r="I576" i="2"/>
  <c r="H576" i="2"/>
  <c r="N575" i="2"/>
  <c r="W575" i="2"/>
  <c r="L575" i="2"/>
  <c r="M575" i="2" s="1"/>
  <c r="J575" i="2"/>
  <c r="I575" i="2"/>
  <c r="H575" i="2"/>
  <c r="W574" i="2"/>
  <c r="L574" i="2"/>
  <c r="M574" i="2" s="1"/>
  <c r="J574" i="2"/>
  <c r="I574" i="2"/>
  <c r="H574" i="2"/>
  <c r="L573" i="2"/>
  <c r="M573" i="2" s="1"/>
  <c r="J573" i="2"/>
  <c r="I573" i="2"/>
  <c r="H573" i="2"/>
  <c r="N572" i="2"/>
  <c r="W572" i="2" s="1"/>
  <c r="L572" i="2"/>
  <c r="M572" i="2" s="1"/>
  <c r="J572" i="2"/>
  <c r="I572" i="2"/>
  <c r="H572" i="2"/>
  <c r="N571" i="2"/>
  <c r="W571" i="2"/>
  <c r="L571" i="2"/>
  <c r="M571" i="2" s="1"/>
  <c r="J571" i="2"/>
  <c r="I571" i="2"/>
  <c r="H571" i="2"/>
  <c r="N570" i="2"/>
  <c r="W570" i="2" s="1"/>
  <c r="L570" i="2"/>
  <c r="M570" i="2" s="1"/>
  <c r="J570" i="2"/>
  <c r="I570" i="2"/>
  <c r="H570" i="2"/>
  <c r="W569" i="2"/>
  <c r="L569" i="2"/>
  <c r="M569" i="2" s="1"/>
  <c r="J569" i="2"/>
  <c r="I569" i="2"/>
  <c r="H569" i="2"/>
  <c r="W568" i="2"/>
  <c r="L568" i="2"/>
  <c r="M568" i="2" s="1"/>
  <c r="J568" i="2"/>
  <c r="I568" i="2"/>
  <c r="H568" i="2"/>
  <c r="L567" i="2"/>
  <c r="M567" i="2" s="1"/>
  <c r="J567" i="2"/>
  <c r="I567" i="2"/>
  <c r="H567" i="2"/>
  <c r="W566" i="2"/>
  <c r="L566" i="2"/>
  <c r="M566" i="2" s="1"/>
  <c r="J566" i="2"/>
  <c r="I566" i="2"/>
  <c r="H566" i="2"/>
  <c r="W565" i="2"/>
  <c r="L565" i="2"/>
  <c r="M565" i="2" s="1"/>
  <c r="J565" i="2"/>
  <c r="I565" i="2"/>
  <c r="H565" i="2"/>
  <c r="W564" i="2"/>
  <c r="L564" i="2"/>
  <c r="M564" i="2" s="1"/>
  <c r="J564" i="2"/>
  <c r="I564" i="2"/>
  <c r="H564" i="2"/>
  <c r="N563" i="2"/>
  <c r="W563" i="2"/>
  <c r="L563" i="2"/>
  <c r="M563" i="2" s="1"/>
  <c r="J563" i="2"/>
  <c r="I563" i="2"/>
  <c r="H563" i="2"/>
  <c r="L562" i="2"/>
  <c r="M562" i="2" s="1"/>
  <c r="J562" i="2"/>
  <c r="I562" i="2"/>
  <c r="H562" i="2"/>
  <c r="W561" i="2"/>
  <c r="L561" i="2"/>
  <c r="M561" i="2" s="1"/>
  <c r="J561" i="2"/>
  <c r="I561" i="2"/>
  <c r="H561" i="2"/>
  <c r="W560" i="2"/>
  <c r="L560" i="2"/>
  <c r="M560" i="2" s="1"/>
  <c r="J560" i="2"/>
  <c r="I560" i="2"/>
  <c r="H560" i="2"/>
  <c r="N559" i="2"/>
  <c r="W559" i="2"/>
  <c r="L559" i="2"/>
  <c r="M559" i="2" s="1"/>
  <c r="J559" i="2"/>
  <c r="I559" i="2"/>
  <c r="H559" i="2"/>
  <c r="W558" i="2"/>
  <c r="L558" i="2"/>
  <c r="M558" i="2" s="1"/>
  <c r="J558" i="2"/>
  <c r="I558" i="2"/>
  <c r="H558" i="2"/>
  <c r="W557" i="2"/>
  <c r="L557" i="2"/>
  <c r="M557" i="2" s="1"/>
  <c r="J557" i="2"/>
  <c r="I557" i="2"/>
  <c r="H557" i="2"/>
  <c r="W556" i="2"/>
  <c r="L556" i="2"/>
  <c r="M556" i="2" s="1"/>
  <c r="J556" i="2"/>
  <c r="I556" i="2"/>
  <c r="H556" i="2"/>
  <c r="L555" i="2"/>
  <c r="M555" i="2" s="1"/>
  <c r="J555" i="2"/>
  <c r="I555" i="2"/>
  <c r="H555" i="2"/>
  <c r="L554" i="2"/>
  <c r="M554" i="2" s="1"/>
  <c r="J554" i="2"/>
  <c r="I554" i="2"/>
  <c r="H554" i="2"/>
  <c r="W553" i="2"/>
  <c r="L553" i="2"/>
  <c r="M553" i="2" s="1"/>
  <c r="J553" i="2"/>
  <c r="I553" i="2"/>
  <c r="H553" i="2"/>
  <c r="W552" i="2"/>
  <c r="L552" i="2"/>
  <c r="M552" i="2" s="1"/>
  <c r="J552" i="2"/>
  <c r="I552" i="2"/>
  <c r="H552" i="2"/>
  <c r="L551" i="2"/>
  <c r="M551" i="2" s="1"/>
  <c r="J551" i="2"/>
  <c r="I551" i="2"/>
  <c r="H551" i="2"/>
  <c r="L550" i="2"/>
  <c r="M550" i="2" s="1"/>
  <c r="J550" i="2"/>
  <c r="I550" i="2"/>
  <c r="H550" i="2"/>
  <c r="L535" i="2"/>
  <c r="M535" i="2" s="1"/>
  <c r="J535" i="2"/>
  <c r="I535" i="2"/>
  <c r="H535" i="2"/>
  <c r="L534" i="2"/>
  <c r="M534" i="2" s="1"/>
  <c r="J534" i="2"/>
  <c r="I534" i="2"/>
  <c r="H534" i="2"/>
  <c r="W533" i="2"/>
  <c r="AF533" i="2" s="1"/>
  <c r="L533" i="2"/>
  <c r="M533" i="2" s="1"/>
  <c r="J533" i="2"/>
  <c r="I533" i="2"/>
  <c r="H533" i="2"/>
  <c r="AA532" i="2"/>
  <c r="N532" i="2"/>
  <c r="W532" i="2" s="1"/>
  <c r="T532" i="2"/>
  <c r="AB532" i="2"/>
  <c r="T521" i="2"/>
  <c r="X532" i="2" s="1"/>
  <c r="P532" i="2"/>
  <c r="L532" i="2"/>
  <c r="M532" i="2" s="1"/>
  <c r="J532" i="2"/>
  <c r="I532" i="2"/>
  <c r="H532" i="2"/>
  <c r="W531" i="2"/>
  <c r="L531" i="2"/>
  <c r="M531" i="2" s="1"/>
  <c r="J531" i="2"/>
  <c r="I531" i="2"/>
  <c r="H531" i="2"/>
  <c r="W530" i="2"/>
  <c r="AF530" i="2" s="1"/>
  <c r="L530" i="2"/>
  <c r="M530" i="2" s="1"/>
  <c r="J530" i="2"/>
  <c r="I530" i="2"/>
  <c r="H530" i="2"/>
  <c r="L529" i="2"/>
  <c r="M529" i="2" s="1"/>
  <c r="J529" i="2"/>
  <c r="I529" i="2"/>
  <c r="H529" i="2"/>
  <c r="W528" i="2"/>
  <c r="L528" i="2"/>
  <c r="M528" i="2" s="1"/>
  <c r="J528" i="2"/>
  <c r="I528" i="2"/>
  <c r="H528" i="2"/>
  <c r="N527" i="2"/>
  <c r="W527" i="2" s="1"/>
  <c r="L527" i="2"/>
  <c r="M527" i="2" s="1"/>
  <c r="J527" i="2"/>
  <c r="I527" i="2"/>
  <c r="H527" i="2"/>
  <c r="L526" i="2"/>
  <c r="M526" i="2" s="1"/>
  <c r="J526" i="2"/>
  <c r="I526" i="2"/>
  <c r="H526" i="2"/>
  <c r="L525" i="2"/>
  <c r="M525" i="2" s="1"/>
  <c r="J525" i="2"/>
  <c r="I525" i="2"/>
  <c r="H525" i="2"/>
  <c r="L524" i="2"/>
  <c r="M524" i="2" s="1"/>
  <c r="J524" i="2"/>
  <c r="I524" i="2"/>
  <c r="H524" i="2"/>
  <c r="L523" i="2"/>
  <c r="M523" i="2" s="1"/>
  <c r="J523" i="2"/>
  <c r="I523" i="2"/>
  <c r="H523" i="2"/>
  <c r="W522" i="2"/>
  <c r="AF522" i="2" s="1"/>
  <c r="L522" i="2"/>
  <c r="M522" i="2" s="1"/>
  <c r="J522" i="2"/>
  <c r="I522" i="2"/>
  <c r="H522" i="2"/>
  <c r="N521" i="2"/>
  <c r="W521" i="2"/>
  <c r="AF521" i="2" s="1"/>
  <c r="P521" i="2"/>
  <c r="L521" i="2"/>
  <c r="M521" i="2" s="1"/>
  <c r="J521" i="2"/>
  <c r="I521" i="2"/>
  <c r="H521" i="2"/>
  <c r="W520" i="2"/>
  <c r="L520" i="2"/>
  <c r="M520" i="2" s="1"/>
  <c r="J520" i="2"/>
  <c r="I520" i="2"/>
  <c r="H520" i="2"/>
  <c r="W519" i="2"/>
  <c r="L519" i="2"/>
  <c r="M519" i="2" s="1"/>
  <c r="J519" i="2"/>
  <c r="I519" i="2"/>
  <c r="H519" i="2"/>
  <c r="L518" i="2"/>
  <c r="M518" i="2" s="1"/>
  <c r="J518" i="2"/>
  <c r="I518" i="2"/>
  <c r="H518" i="2"/>
  <c r="W517" i="2"/>
  <c r="L517" i="2"/>
  <c r="M517" i="2" s="1"/>
  <c r="J517" i="2"/>
  <c r="I517" i="2"/>
  <c r="H517" i="2"/>
  <c r="N516" i="2"/>
  <c r="W516" i="2"/>
  <c r="L516" i="2"/>
  <c r="M516" i="2" s="1"/>
  <c r="J516" i="2"/>
  <c r="I516" i="2"/>
  <c r="H516" i="2"/>
  <c r="L515" i="2"/>
  <c r="M515" i="2" s="1"/>
  <c r="J515" i="2"/>
  <c r="I515" i="2"/>
  <c r="H515" i="2"/>
  <c r="L514" i="2"/>
  <c r="M514" i="2" s="1"/>
  <c r="J514" i="2"/>
  <c r="I514" i="2"/>
  <c r="H514" i="2"/>
  <c r="N513" i="2"/>
  <c r="T513" i="2"/>
  <c r="W513" i="2" s="1"/>
  <c r="L513" i="2"/>
  <c r="M513" i="2" s="1"/>
  <c r="J513" i="2"/>
  <c r="I513" i="2"/>
  <c r="H513" i="2"/>
  <c r="W512" i="2"/>
  <c r="L512" i="2"/>
  <c r="M512" i="2" s="1"/>
  <c r="J512" i="2"/>
  <c r="I512" i="2"/>
  <c r="H512" i="2"/>
  <c r="L511" i="2"/>
  <c r="M511" i="2" s="1"/>
  <c r="J511" i="2"/>
  <c r="I511" i="2"/>
  <c r="H511" i="2"/>
  <c r="L510" i="2"/>
  <c r="M510" i="2" s="1"/>
  <c r="J510" i="2"/>
  <c r="I510" i="2"/>
  <c r="H510" i="2"/>
  <c r="W509" i="2"/>
  <c r="AF509" i="2" s="1"/>
  <c r="L509" i="2"/>
  <c r="M509" i="2" s="1"/>
  <c r="J509" i="2"/>
  <c r="I509" i="2"/>
  <c r="H509" i="2"/>
  <c r="N508" i="2"/>
  <c r="T508" i="2"/>
  <c r="W508" i="2"/>
  <c r="AF508" i="2" s="1"/>
  <c r="L508" i="2"/>
  <c r="M508" i="2" s="1"/>
  <c r="J508" i="2"/>
  <c r="I508" i="2"/>
  <c r="H508" i="2"/>
  <c r="W507" i="2"/>
  <c r="L507" i="2"/>
  <c r="M507" i="2" s="1"/>
  <c r="J507" i="2"/>
  <c r="I507" i="2"/>
  <c r="H507" i="2"/>
  <c r="W506" i="2"/>
  <c r="L506" i="2"/>
  <c r="M506" i="2" s="1"/>
  <c r="J506" i="2"/>
  <c r="I506" i="2"/>
  <c r="H506" i="2"/>
  <c r="L505" i="2"/>
  <c r="M505" i="2" s="1"/>
  <c r="J505" i="2"/>
  <c r="I505" i="2"/>
  <c r="H505" i="2"/>
  <c r="N504" i="2"/>
  <c r="T504" i="2"/>
  <c r="L504" i="2"/>
  <c r="M504" i="2" s="1"/>
  <c r="J504" i="2"/>
  <c r="I504" i="2"/>
  <c r="H504" i="2"/>
  <c r="W503" i="2"/>
  <c r="L503" i="2"/>
  <c r="M503" i="2" s="1"/>
  <c r="J503" i="2"/>
  <c r="I503" i="2"/>
  <c r="H503" i="2"/>
  <c r="L502" i="2"/>
  <c r="M502" i="2" s="1"/>
  <c r="J502" i="2"/>
  <c r="I502" i="2"/>
  <c r="H502" i="2"/>
  <c r="L501" i="2"/>
  <c r="M501" i="2" s="1"/>
  <c r="J501" i="2"/>
  <c r="I501" i="2"/>
  <c r="H501" i="2"/>
  <c r="W500" i="2"/>
  <c r="AF500" i="2" s="1"/>
  <c r="L500" i="2"/>
  <c r="M500" i="2" s="1"/>
  <c r="J500" i="2"/>
  <c r="I500" i="2"/>
  <c r="H500" i="2"/>
  <c r="N499" i="2"/>
  <c r="W499" i="2" s="1"/>
  <c r="AF499" i="2" s="1"/>
  <c r="T499" i="2"/>
  <c r="L499" i="2"/>
  <c r="M499" i="2" s="1"/>
  <c r="J499" i="2"/>
  <c r="I499" i="2"/>
  <c r="H499" i="2"/>
  <c r="W498" i="2"/>
  <c r="L498" i="2"/>
  <c r="M498" i="2" s="1"/>
  <c r="J498" i="2"/>
  <c r="I498" i="2"/>
  <c r="H498" i="2"/>
  <c r="W497" i="2"/>
  <c r="AF497" i="2" s="1"/>
  <c r="L497" i="2"/>
  <c r="M497" i="2" s="1"/>
  <c r="J497" i="2"/>
  <c r="I497" i="2"/>
  <c r="H497" i="2"/>
  <c r="AD496" i="2"/>
  <c r="L496" i="2"/>
  <c r="M496" i="2" s="1"/>
  <c r="J496" i="2"/>
  <c r="I496" i="2"/>
  <c r="H496" i="2"/>
  <c r="N495" i="2"/>
  <c r="T495" i="2"/>
  <c r="W495" i="2" s="1"/>
  <c r="L495" i="2"/>
  <c r="M495" i="2" s="1"/>
  <c r="J495" i="2"/>
  <c r="I495" i="2"/>
  <c r="H495" i="2"/>
  <c r="W494" i="2"/>
  <c r="L494" i="2"/>
  <c r="M494" i="2" s="1"/>
  <c r="J494" i="2"/>
  <c r="I494" i="2"/>
  <c r="H494" i="2"/>
  <c r="L493" i="2"/>
  <c r="M493" i="2" s="1"/>
  <c r="J493" i="2"/>
  <c r="I493" i="2"/>
  <c r="H493" i="2"/>
  <c r="L492" i="2"/>
  <c r="M492" i="2" s="1"/>
  <c r="J492" i="2"/>
  <c r="I492" i="2"/>
  <c r="H492" i="2"/>
  <c r="W491" i="2"/>
  <c r="AF491" i="2" s="1"/>
  <c r="L491" i="2"/>
  <c r="M491" i="2" s="1"/>
  <c r="J491" i="2"/>
  <c r="I491" i="2"/>
  <c r="H491" i="2"/>
  <c r="N490" i="2"/>
  <c r="T490" i="2"/>
  <c r="W490" i="2"/>
  <c r="AF490" i="2" s="1"/>
  <c r="L490" i="2"/>
  <c r="M490" i="2" s="1"/>
  <c r="J490" i="2"/>
  <c r="I490" i="2"/>
  <c r="H490" i="2"/>
  <c r="W489" i="2"/>
  <c r="L489" i="2"/>
  <c r="M489" i="2" s="1"/>
  <c r="J489" i="2"/>
  <c r="I489" i="2"/>
  <c r="H489" i="2"/>
  <c r="W488" i="2"/>
  <c r="AF488" i="2" s="1"/>
  <c r="L488" i="2"/>
  <c r="M488" i="2" s="1"/>
  <c r="J488" i="2"/>
  <c r="I488" i="2"/>
  <c r="H488" i="2"/>
  <c r="AD487" i="2"/>
  <c r="L487" i="2"/>
  <c r="M487" i="2" s="1"/>
  <c r="J487" i="2"/>
  <c r="I487" i="2"/>
  <c r="H487" i="2"/>
  <c r="N486" i="2"/>
  <c r="W486" i="2" s="1"/>
  <c r="T486" i="2"/>
  <c r="L486" i="2"/>
  <c r="M486" i="2" s="1"/>
  <c r="J486" i="2"/>
  <c r="I486" i="2"/>
  <c r="H486" i="2"/>
  <c r="W485" i="2"/>
  <c r="L485" i="2"/>
  <c r="M485" i="2" s="1"/>
  <c r="J485" i="2"/>
  <c r="I485" i="2"/>
  <c r="H485" i="2"/>
  <c r="L484" i="2"/>
  <c r="M484" i="2" s="1"/>
  <c r="J484" i="2"/>
  <c r="I484" i="2"/>
  <c r="H484" i="2"/>
  <c r="L483" i="2"/>
  <c r="M483" i="2" s="1"/>
  <c r="J483" i="2"/>
  <c r="I483" i="2"/>
  <c r="H483" i="2"/>
  <c r="W482" i="2"/>
  <c r="AF482" i="2" s="1"/>
  <c r="L482" i="2"/>
  <c r="M482" i="2" s="1"/>
  <c r="J482" i="2"/>
  <c r="I482" i="2"/>
  <c r="H482" i="2"/>
  <c r="N481" i="2"/>
  <c r="T481" i="2"/>
  <c r="W481" i="2" s="1"/>
  <c r="AF481" i="2" s="1"/>
  <c r="L481" i="2"/>
  <c r="M481" i="2" s="1"/>
  <c r="J481" i="2"/>
  <c r="I481" i="2"/>
  <c r="H481" i="2"/>
  <c r="W480" i="2"/>
  <c r="L480" i="2"/>
  <c r="M480" i="2" s="1"/>
  <c r="J480" i="2"/>
  <c r="I480" i="2"/>
  <c r="H480" i="2"/>
  <c r="W479" i="2"/>
  <c r="AF479" i="2" s="1"/>
  <c r="L479" i="2"/>
  <c r="M479" i="2" s="1"/>
  <c r="J479" i="2"/>
  <c r="I479" i="2"/>
  <c r="H479" i="2"/>
  <c r="AD478" i="2"/>
  <c r="L478" i="2"/>
  <c r="M478" i="2" s="1"/>
  <c r="J478" i="2"/>
  <c r="I478" i="2"/>
  <c r="H478" i="2"/>
  <c r="N477" i="2"/>
  <c r="W477" i="2" s="1"/>
  <c r="T477" i="2"/>
  <c r="L477" i="2"/>
  <c r="M477" i="2" s="1"/>
  <c r="J477" i="2"/>
  <c r="I477" i="2"/>
  <c r="H477" i="2"/>
  <c r="W476" i="2"/>
  <c r="L476" i="2"/>
  <c r="M476" i="2" s="1"/>
  <c r="J476" i="2"/>
  <c r="I476" i="2"/>
  <c r="H476" i="2"/>
  <c r="L475" i="2"/>
  <c r="M475" i="2" s="1"/>
  <c r="J475" i="2"/>
  <c r="I475" i="2"/>
  <c r="H475" i="2"/>
  <c r="L474" i="2"/>
  <c r="M474" i="2" s="1"/>
  <c r="J474" i="2"/>
  <c r="I474" i="2"/>
  <c r="H474" i="2"/>
  <c r="W473" i="2"/>
  <c r="AF473" i="2" s="1"/>
  <c r="L473" i="2"/>
  <c r="M473" i="2" s="1"/>
  <c r="J473" i="2"/>
  <c r="I473" i="2"/>
  <c r="H473" i="2"/>
  <c r="N472" i="2"/>
  <c r="W472" i="2" s="1"/>
  <c r="AF472" i="2" s="1"/>
  <c r="T472" i="2"/>
  <c r="L472" i="2"/>
  <c r="M472" i="2" s="1"/>
  <c r="J472" i="2"/>
  <c r="I472" i="2"/>
  <c r="H472" i="2"/>
  <c r="W471" i="2"/>
  <c r="L471" i="2"/>
  <c r="M471" i="2" s="1"/>
  <c r="J471" i="2"/>
  <c r="I471" i="2"/>
  <c r="H471" i="2"/>
  <c r="W470" i="2"/>
  <c r="AF470" i="2" s="1"/>
  <c r="L470" i="2"/>
  <c r="M470" i="2" s="1"/>
  <c r="J470" i="2"/>
  <c r="I470" i="2"/>
  <c r="H470" i="2"/>
  <c r="AD469" i="2"/>
  <c r="L469" i="2"/>
  <c r="M469" i="2" s="1"/>
  <c r="J469" i="2"/>
  <c r="I469" i="2"/>
  <c r="H469" i="2"/>
  <c r="N468" i="2"/>
  <c r="T468" i="2"/>
  <c r="W468" i="2"/>
  <c r="L468" i="2"/>
  <c r="M468" i="2" s="1"/>
  <c r="J468" i="2"/>
  <c r="I468" i="2"/>
  <c r="H468" i="2"/>
  <c r="W467" i="2"/>
  <c r="L467" i="2"/>
  <c r="M467" i="2" s="1"/>
  <c r="J467" i="2"/>
  <c r="I467" i="2"/>
  <c r="H467" i="2"/>
  <c r="L466" i="2"/>
  <c r="M466" i="2" s="1"/>
  <c r="J466" i="2"/>
  <c r="I466" i="2"/>
  <c r="H466" i="2"/>
  <c r="L465" i="2"/>
  <c r="M465" i="2" s="1"/>
  <c r="J465" i="2"/>
  <c r="I465" i="2"/>
  <c r="H465" i="2"/>
  <c r="W464" i="2"/>
  <c r="L464" i="2"/>
  <c r="M464" i="2" s="1"/>
  <c r="J464" i="2"/>
  <c r="I464" i="2"/>
  <c r="H464" i="2"/>
  <c r="N463" i="2"/>
  <c r="W463" i="2" s="1"/>
  <c r="T463" i="2"/>
  <c r="L463" i="2"/>
  <c r="M463" i="2" s="1"/>
  <c r="J463" i="2"/>
  <c r="I463" i="2"/>
  <c r="H463" i="2"/>
  <c r="W462" i="2"/>
  <c r="L462" i="2"/>
  <c r="M462" i="2" s="1"/>
  <c r="J462" i="2"/>
  <c r="I462" i="2"/>
  <c r="H462" i="2"/>
  <c r="W461" i="2"/>
  <c r="L461" i="2"/>
  <c r="M461" i="2" s="1"/>
  <c r="J461" i="2"/>
  <c r="I461" i="2"/>
  <c r="H461" i="2"/>
  <c r="AD460" i="2"/>
  <c r="L460" i="2"/>
  <c r="M460" i="2" s="1"/>
  <c r="J460" i="2"/>
  <c r="I460" i="2"/>
  <c r="H460" i="2"/>
  <c r="L459" i="2"/>
  <c r="M459" i="2" s="1"/>
  <c r="J459" i="2"/>
  <c r="I459" i="2"/>
  <c r="H459" i="2"/>
  <c r="L458" i="2"/>
  <c r="M458" i="2" s="1"/>
  <c r="J458" i="2"/>
  <c r="I458" i="2"/>
  <c r="H458" i="2"/>
  <c r="W457" i="2"/>
  <c r="L457" i="2"/>
  <c r="M457" i="2" s="1"/>
  <c r="J457" i="2"/>
  <c r="I457" i="2"/>
  <c r="H457" i="2"/>
  <c r="N456" i="2"/>
  <c r="W456" i="2" s="1"/>
  <c r="L456" i="2"/>
  <c r="M456" i="2" s="1"/>
  <c r="J456" i="2"/>
  <c r="I456" i="2"/>
  <c r="H456" i="2"/>
  <c r="W455" i="2"/>
  <c r="L455" i="2"/>
  <c r="M455" i="2" s="1"/>
  <c r="J455" i="2"/>
  <c r="I455" i="2"/>
  <c r="H455" i="2"/>
  <c r="W454" i="2"/>
  <c r="L454" i="2"/>
  <c r="M454" i="2" s="1"/>
  <c r="J454" i="2"/>
  <c r="I454" i="2"/>
  <c r="H454" i="2"/>
  <c r="L453" i="2"/>
  <c r="M453" i="2" s="1"/>
  <c r="J453" i="2"/>
  <c r="I453" i="2"/>
  <c r="H453" i="2"/>
  <c r="W452" i="2"/>
  <c r="AF452" i="2" s="1"/>
  <c r="L452" i="2"/>
  <c r="M452" i="2" s="1"/>
  <c r="J452" i="2"/>
  <c r="I452" i="2"/>
  <c r="H452" i="2"/>
  <c r="L451" i="2"/>
  <c r="M451" i="2" s="1"/>
  <c r="J451" i="2"/>
  <c r="I451" i="2"/>
  <c r="H451" i="2"/>
  <c r="L450" i="2"/>
  <c r="M450" i="2" s="1"/>
  <c r="J450" i="2"/>
  <c r="I450" i="2"/>
  <c r="H450" i="2"/>
  <c r="L449" i="2"/>
  <c r="M449" i="2" s="1"/>
  <c r="J449" i="2"/>
  <c r="I449" i="2"/>
  <c r="H449" i="2"/>
  <c r="W448" i="2"/>
  <c r="L448" i="2"/>
  <c r="M448" i="2" s="1"/>
  <c r="J448" i="2"/>
  <c r="I448" i="2"/>
  <c r="H448" i="2"/>
  <c r="N447" i="2"/>
  <c r="W447" i="2" s="1"/>
  <c r="L447" i="2"/>
  <c r="M447" i="2" s="1"/>
  <c r="J447" i="2"/>
  <c r="I447" i="2"/>
  <c r="H447" i="2"/>
  <c r="W446" i="2"/>
  <c r="L446" i="2"/>
  <c r="M446" i="2" s="1"/>
  <c r="J446" i="2"/>
  <c r="I446" i="2"/>
  <c r="H446" i="2"/>
  <c r="W445" i="2"/>
  <c r="L445" i="2"/>
  <c r="M445" i="2" s="1"/>
  <c r="J445" i="2"/>
  <c r="I445" i="2"/>
  <c r="H445" i="2"/>
  <c r="L444" i="2"/>
  <c r="M444" i="2" s="1"/>
  <c r="J444" i="2"/>
  <c r="I444" i="2"/>
  <c r="H444" i="2"/>
  <c r="W443" i="2"/>
  <c r="AF443" i="2" s="1"/>
  <c r="L443" i="2"/>
  <c r="M443" i="2" s="1"/>
  <c r="J443" i="2"/>
  <c r="I443" i="2"/>
  <c r="H443" i="2"/>
  <c r="L442" i="2"/>
  <c r="M442" i="2" s="1"/>
  <c r="J442" i="2"/>
  <c r="I442" i="2"/>
  <c r="H442" i="2"/>
  <c r="W441" i="2"/>
  <c r="AF441" i="2" s="1"/>
  <c r="L441" i="2"/>
  <c r="M441" i="2" s="1"/>
  <c r="J441" i="2"/>
  <c r="I441" i="2"/>
  <c r="H441" i="2"/>
  <c r="W440" i="2"/>
  <c r="L440" i="2"/>
  <c r="M440" i="2" s="1"/>
  <c r="J440" i="2"/>
  <c r="I440" i="2"/>
  <c r="H440" i="2"/>
  <c r="N439" i="2"/>
  <c r="W439" i="2"/>
  <c r="L439" i="2"/>
  <c r="M439" i="2" s="1"/>
  <c r="J439" i="2"/>
  <c r="I439" i="2"/>
  <c r="H439" i="2"/>
  <c r="L438" i="2"/>
  <c r="M438" i="2" s="1"/>
  <c r="J438" i="2"/>
  <c r="I438" i="2"/>
  <c r="H438" i="2"/>
  <c r="W437" i="2"/>
  <c r="L437" i="2"/>
  <c r="M437" i="2" s="1"/>
  <c r="J437" i="2"/>
  <c r="I437" i="2"/>
  <c r="H437" i="2"/>
  <c r="N436" i="2"/>
  <c r="W436" i="2" s="1"/>
  <c r="L436" i="2"/>
  <c r="M436" i="2" s="1"/>
  <c r="J436" i="2"/>
  <c r="I436" i="2"/>
  <c r="H436" i="2"/>
  <c r="L435" i="2"/>
  <c r="M435" i="2" s="1"/>
  <c r="J435" i="2"/>
  <c r="I435" i="2"/>
  <c r="H435" i="2"/>
  <c r="T423" i="2"/>
  <c r="W423" i="2" s="1"/>
  <c r="L423" i="2"/>
  <c r="M423" i="2" s="1"/>
  <c r="J423" i="2"/>
  <c r="I423" i="2"/>
  <c r="H423" i="2"/>
  <c r="L422" i="2"/>
  <c r="M422" i="2" s="1"/>
  <c r="J422" i="2"/>
  <c r="I422" i="2"/>
  <c r="H422" i="2"/>
  <c r="L421" i="2"/>
  <c r="M421" i="2" s="1"/>
  <c r="J421" i="2"/>
  <c r="I421" i="2"/>
  <c r="H421" i="2"/>
  <c r="W420" i="2"/>
  <c r="L420" i="2"/>
  <c r="M420" i="2" s="1"/>
  <c r="J420" i="2"/>
  <c r="I420" i="2"/>
  <c r="H420" i="2"/>
  <c r="L419" i="2"/>
  <c r="M419" i="2" s="1"/>
  <c r="J419" i="2"/>
  <c r="I419" i="2"/>
  <c r="H419" i="2"/>
  <c r="L418" i="2"/>
  <c r="M418" i="2" s="1"/>
  <c r="J418" i="2"/>
  <c r="I418" i="2"/>
  <c r="H418" i="2"/>
  <c r="T417" i="2"/>
  <c r="W417" i="2"/>
  <c r="L417" i="2"/>
  <c r="M417" i="2" s="1"/>
  <c r="J417" i="2"/>
  <c r="I417" i="2"/>
  <c r="H417" i="2"/>
  <c r="N416" i="2"/>
  <c r="W416" i="2"/>
  <c r="L416" i="2"/>
  <c r="M416" i="2" s="1"/>
  <c r="J416" i="2"/>
  <c r="I416" i="2"/>
  <c r="H416" i="2"/>
  <c r="W415" i="2"/>
  <c r="L415" i="2"/>
  <c r="M415" i="2" s="1"/>
  <c r="J415" i="2"/>
  <c r="I415" i="2"/>
  <c r="H415" i="2"/>
  <c r="L414" i="2"/>
  <c r="M414" i="2" s="1"/>
  <c r="J414" i="2"/>
  <c r="I414" i="2"/>
  <c r="H414" i="2"/>
  <c r="L413" i="2"/>
  <c r="M413" i="2" s="1"/>
  <c r="J413" i="2"/>
  <c r="I413" i="2"/>
  <c r="H413" i="2"/>
  <c r="T412" i="2"/>
  <c r="W412" i="2" s="1"/>
  <c r="L412" i="2"/>
  <c r="M412" i="2" s="1"/>
  <c r="J412" i="2"/>
  <c r="I412" i="2"/>
  <c r="H412" i="2"/>
  <c r="T411" i="2"/>
  <c r="W411" i="2" s="1"/>
  <c r="L411" i="2"/>
  <c r="M411" i="2" s="1"/>
  <c r="J411" i="2"/>
  <c r="I411" i="2"/>
  <c r="H411" i="2"/>
  <c r="W410" i="2"/>
  <c r="L410" i="2"/>
  <c r="M410" i="2" s="1"/>
  <c r="J410" i="2"/>
  <c r="I410" i="2"/>
  <c r="H410" i="2"/>
  <c r="L409" i="2"/>
  <c r="M409" i="2" s="1"/>
  <c r="J409" i="2"/>
  <c r="I409" i="2"/>
  <c r="H409" i="2"/>
  <c r="L408" i="2"/>
  <c r="M408" i="2" s="1"/>
  <c r="J408" i="2"/>
  <c r="I408" i="2"/>
  <c r="H408" i="2"/>
  <c r="L407" i="2"/>
  <c r="M407" i="2" s="1"/>
  <c r="J407" i="2"/>
  <c r="I407" i="2"/>
  <c r="H407" i="2"/>
  <c r="L406" i="2"/>
  <c r="M406" i="2" s="1"/>
  <c r="J406" i="2"/>
  <c r="I406" i="2"/>
  <c r="H406" i="2"/>
  <c r="T405" i="2"/>
  <c r="W405" i="2"/>
  <c r="L405" i="2"/>
  <c r="M405" i="2" s="1"/>
  <c r="J405" i="2"/>
  <c r="I405" i="2"/>
  <c r="H405" i="2"/>
  <c r="W404" i="2"/>
  <c r="L404" i="2"/>
  <c r="M404" i="2" s="1"/>
  <c r="J404" i="2"/>
  <c r="I404" i="2"/>
  <c r="H404" i="2"/>
  <c r="L403" i="2"/>
  <c r="M403" i="2" s="1"/>
  <c r="J403" i="2"/>
  <c r="I403" i="2"/>
  <c r="H403" i="2"/>
  <c r="AD402" i="2"/>
  <c r="W402" i="2"/>
  <c r="L402" i="2"/>
  <c r="M402" i="2" s="1"/>
  <c r="J402" i="2"/>
  <c r="I402" i="2"/>
  <c r="H402" i="2"/>
  <c r="L401" i="2"/>
  <c r="M401" i="2" s="1"/>
  <c r="J401" i="2"/>
  <c r="I401" i="2"/>
  <c r="H401" i="2"/>
  <c r="T400" i="2"/>
  <c r="W400" i="2" s="1"/>
  <c r="L400" i="2"/>
  <c r="M400" i="2" s="1"/>
  <c r="J400" i="2"/>
  <c r="I400" i="2"/>
  <c r="H400" i="2"/>
  <c r="L399" i="2"/>
  <c r="M399" i="2" s="1"/>
  <c r="J399" i="2"/>
  <c r="I399" i="2"/>
  <c r="H399" i="2"/>
  <c r="L398" i="2"/>
  <c r="M398" i="2" s="1"/>
  <c r="J398" i="2"/>
  <c r="I398" i="2"/>
  <c r="H398" i="2"/>
  <c r="W397" i="2"/>
  <c r="L397" i="2"/>
  <c r="M397" i="2" s="1"/>
  <c r="J397" i="2"/>
  <c r="I397" i="2"/>
  <c r="H397" i="2"/>
  <c r="L396" i="2"/>
  <c r="M396" i="2" s="1"/>
  <c r="J396" i="2"/>
  <c r="I396" i="2"/>
  <c r="H396" i="2"/>
  <c r="L395" i="2"/>
  <c r="M395" i="2" s="1"/>
  <c r="J395" i="2"/>
  <c r="I395" i="2"/>
  <c r="H395" i="2"/>
  <c r="T394" i="2"/>
  <c r="W394" i="2"/>
  <c r="L394" i="2"/>
  <c r="M394" i="2" s="1"/>
  <c r="J394" i="2"/>
  <c r="I394" i="2"/>
  <c r="H394" i="2"/>
  <c r="N393" i="2"/>
  <c r="W393" i="2"/>
  <c r="L393" i="2"/>
  <c r="M393" i="2" s="1"/>
  <c r="J393" i="2"/>
  <c r="I393" i="2"/>
  <c r="H393" i="2"/>
  <c r="W392" i="2"/>
  <c r="L392" i="2"/>
  <c r="M392" i="2" s="1"/>
  <c r="J392" i="2"/>
  <c r="I392" i="2"/>
  <c r="H392" i="2"/>
  <c r="L391" i="2"/>
  <c r="M391" i="2" s="1"/>
  <c r="J391" i="2"/>
  <c r="I391" i="2"/>
  <c r="H391" i="2"/>
  <c r="L390" i="2"/>
  <c r="M390" i="2" s="1"/>
  <c r="J390" i="2"/>
  <c r="I390" i="2"/>
  <c r="H390" i="2"/>
  <c r="T389" i="2"/>
  <c r="W389" i="2" s="1"/>
  <c r="L389" i="2"/>
  <c r="M389" i="2" s="1"/>
  <c r="J389" i="2"/>
  <c r="I389" i="2"/>
  <c r="H389" i="2"/>
  <c r="T388" i="2"/>
  <c r="W388" i="2" s="1"/>
  <c r="L388" i="2"/>
  <c r="M388" i="2" s="1"/>
  <c r="J388" i="2"/>
  <c r="I388" i="2"/>
  <c r="H388" i="2"/>
  <c r="W387" i="2"/>
  <c r="L387" i="2"/>
  <c r="M387" i="2" s="1"/>
  <c r="J387" i="2"/>
  <c r="I387" i="2"/>
  <c r="H387" i="2"/>
  <c r="L386" i="2"/>
  <c r="M386" i="2" s="1"/>
  <c r="J386" i="2"/>
  <c r="I386" i="2"/>
  <c r="H386" i="2"/>
  <c r="L385" i="2"/>
  <c r="M385" i="2" s="1"/>
  <c r="J385" i="2"/>
  <c r="I385" i="2"/>
  <c r="H385" i="2"/>
  <c r="L384" i="2"/>
  <c r="M384" i="2" s="1"/>
  <c r="J384" i="2"/>
  <c r="I384" i="2"/>
  <c r="H384" i="2"/>
  <c r="L383" i="2"/>
  <c r="M383" i="2" s="1"/>
  <c r="J383" i="2"/>
  <c r="I383" i="2"/>
  <c r="H383" i="2"/>
  <c r="T382" i="2"/>
  <c r="W382" i="2"/>
  <c r="L382" i="2"/>
  <c r="M382" i="2" s="1"/>
  <c r="J382" i="2"/>
  <c r="I382" i="2"/>
  <c r="H382" i="2"/>
  <c r="L381" i="2"/>
  <c r="M381" i="2" s="1"/>
  <c r="J381" i="2"/>
  <c r="I381" i="2"/>
  <c r="H381" i="2"/>
  <c r="W380" i="2"/>
  <c r="AF380" i="2" s="1"/>
  <c r="L380" i="2"/>
  <c r="M380" i="2" s="1"/>
  <c r="J380" i="2"/>
  <c r="I380" i="2"/>
  <c r="H380" i="2"/>
  <c r="L379" i="2"/>
  <c r="M379" i="2" s="1"/>
  <c r="J379" i="2"/>
  <c r="I379" i="2"/>
  <c r="H379" i="2"/>
  <c r="T378" i="2"/>
  <c r="W378" i="2" s="1"/>
  <c r="L378" i="2"/>
  <c r="M378" i="2" s="1"/>
  <c r="J378" i="2"/>
  <c r="I378" i="2"/>
  <c r="H378" i="2"/>
  <c r="L377" i="2"/>
  <c r="M377" i="2" s="1"/>
  <c r="J377" i="2"/>
  <c r="I377" i="2"/>
  <c r="H377" i="2"/>
  <c r="L376" i="2"/>
  <c r="M376" i="2" s="1"/>
  <c r="J376" i="2"/>
  <c r="I376" i="2"/>
  <c r="H376" i="2"/>
  <c r="W375" i="2"/>
  <c r="L375" i="2"/>
  <c r="M375" i="2" s="1"/>
  <c r="J375" i="2"/>
  <c r="I375" i="2"/>
  <c r="H375" i="2"/>
  <c r="L374" i="2"/>
  <c r="M374" i="2" s="1"/>
  <c r="J374" i="2"/>
  <c r="I374" i="2"/>
  <c r="H374" i="2"/>
  <c r="L373" i="2"/>
  <c r="M373" i="2" s="1"/>
  <c r="J373" i="2"/>
  <c r="I373" i="2"/>
  <c r="H373" i="2"/>
  <c r="T372" i="2"/>
  <c r="W372" i="2"/>
  <c r="L372" i="2"/>
  <c r="M372" i="2" s="1"/>
  <c r="J372" i="2"/>
  <c r="I372" i="2"/>
  <c r="H372" i="2"/>
  <c r="W371" i="2"/>
  <c r="L371" i="2"/>
  <c r="M371" i="2" s="1"/>
  <c r="J371" i="2"/>
  <c r="I371" i="2"/>
  <c r="H371" i="2"/>
  <c r="L370" i="2"/>
  <c r="M370" i="2" s="1"/>
  <c r="J370" i="2"/>
  <c r="I370" i="2"/>
  <c r="H370" i="2"/>
  <c r="N369" i="2"/>
  <c r="W369" i="2" s="1"/>
  <c r="L369" i="2"/>
  <c r="M369" i="2" s="1"/>
  <c r="J369" i="2"/>
  <c r="I369" i="2"/>
  <c r="H369" i="2"/>
  <c r="W368" i="2"/>
  <c r="L368" i="2"/>
  <c r="M368" i="2" s="1"/>
  <c r="J368" i="2"/>
  <c r="I368" i="2"/>
  <c r="H368" i="2"/>
  <c r="L367" i="2"/>
  <c r="M367" i="2" s="1"/>
  <c r="J367" i="2"/>
  <c r="I367" i="2"/>
  <c r="H367" i="2"/>
  <c r="L366" i="2"/>
  <c r="M366" i="2" s="1"/>
  <c r="J366" i="2"/>
  <c r="I366" i="2"/>
  <c r="H366" i="2"/>
  <c r="T365" i="2"/>
  <c r="W365" i="2"/>
  <c r="L365" i="2"/>
  <c r="M365" i="2" s="1"/>
  <c r="J365" i="2"/>
  <c r="I365" i="2"/>
  <c r="H365" i="2"/>
  <c r="T364" i="2"/>
  <c r="W364" i="2"/>
  <c r="L364" i="2"/>
  <c r="M364" i="2" s="1"/>
  <c r="J364" i="2"/>
  <c r="I364" i="2"/>
  <c r="H364" i="2"/>
  <c r="W363" i="2"/>
  <c r="L363" i="2"/>
  <c r="M363" i="2" s="1"/>
  <c r="J363" i="2"/>
  <c r="I363" i="2"/>
  <c r="H363" i="2"/>
  <c r="L362" i="2"/>
  <c r="M362" i="2" s="1"/>
  <c r="J362" i="2"/>
  <c r="I362" i="2"/>
  <c r="H362" i="2"/>
  <c r="L361" i="2"/>
  <c r="M361" i="2" s="1"/>
  <c r="J361" i="2"/>
  <c r="I361" i="2"/>
  <c r="H361" i="2"/>
  <c r="L360" i="2"/>
  <c r="M360" i="2" s="1"/>
  <c r="J360" i="2"/>
  <c r="I360" i="2"/>
  <c r="H360" i="2"/>
  <c r="L359" i="2"/>
  <c r="M359" i="2" s="1"/>
  <c r="J359" i="2"/>
  <c r="I359" i="2"/>
  <c r="H359" i="2"/>
  <c r="T358" i="2"/>
  <c r="W358" i="2" s="1"/>
  <c r="L358" i="2"/>
  <c r="M358" i="2" s="1"/>
  <c r="J358" i="2"/>
  <c r="I358" i="2"/>
  <c r="H358" i="2"/>
  <c r="L357" i="2"/>
  <c r="M357" i="2" s="1"/>
  <c r="J357" i="2"/>
  <c r="I357" i="2"/>
  <c r="H357" i="2"/>
  <c r="W356" i="2"/>
  <c r="AF356" i="2" s="1"/>
  <c r="L356" i="2"/>
  <c r="M356" i="2" s="1"/>
  <c r="J356" i="2"/>
  <c r="I356" i="2"/>
  <c r="H356" i="2"/>
  <c r="L355" i="2"/>
  <c r="M355" i="2" s="1"/>
  <c r="J355" i="2"/>
  <c r="I355" i="2"/>
  <c r="H355" i="2"/>
  <c r="T354" i="2"/>
  <c r="W354" i="2"/>
  <c r="L354" i="2"/>
  <c r="M354" i="2" s="1"/>
  <c r="J354" i="2"/>
  <c r="I354" i="2"/>
  <c r="H354" i="2"/>
  <c r="L353" i="2"/>
  <c r="M353" i="2" s="1"/>
  <c r="J353" i="2"/>
  <c r="I353" i="2"/>
  <c r="H353" i="2"/>
  <c r="L352" i="2"/>
  <c r="M352" i="2" s="1"/>
  <c r="J352" i="2"/>
  <c r="I352" i="2"/>
  <c r="H352" i="2"/>
  <c r="W351" i="2"/>
  <c r="L351" i="2"/>
  <c r="M351" i="2" s="1"/>
  <c r="J351" i="2"/>
  <c r="I351" i="2"/>
  <c r="H351" i="2"/>
  <c r="L350" i="2"/>
  <c r="M350" i="2" s="1"/>
  <c r="J350" i="2"/>
  <c r="I350" i="2"/>
  <c r="H350" i="2"/>
  <c r="L349" i="2"/>
  <c r="M349" i="2" s="1"/>
  <c r="J349" i="2"/>
  <c r="I349" i="2"/>
  <c r="H349" i="2"/>
  <c r="T348" i="2"/>
  <c r="W348" i="2" s="1"/>
  <c r="L348" i="2"/>
  <c r="M348" i="2" s="1"/>
  <c r="J348" i="2"/>
  <c r="I348" i="2"/>
  <c r="H348" i="2"/>
  <c r="W347" i="2"/>
  <c r="L347" i="2"/>
  <c r="M347" i="2" s="1"/>
  <c r="J347" i="2"/>
  <c r="I347" i="2"/>
  <c r="H347" i="2"/>
  <c r="L346" i="2"/>
  <c r="M346" i="2" s="1"/>
  <c r="J346" i="2"/>
  <c r="I346" i="2"/>
  <c r="H346" i="2"/>
  <c r="N345" i="2"/>
  <c r="W345" i="2"/>
  <c r="L345" i="2"/>
  <c r="M345" i="2" s="1"/>
  <c r="J345" i="2"/>
  <c r="I345" i="2"/>
  <c r="H345" i="2"/>
  <c r="W344" i="2"/>
  <c r="L344" i="2"/>
  <c r="M344" i="2" s="1"/>
  <c r="J344" i="2"/>
  <c r="I344" i="2"/>
  <c r="H344" i="2"/>
  <c r="L343" i="2"/>
  <c r="M343" i="2" s="1"/>
  <c r="J343" i="2"/>
  <c r="I343" i="2"/>
  <c r="H343" i="2"/>
  <c r="L342" i="2"/>
  <c r="M342" i="2" s="1"/>
  <c r="J342" i="2"/>
  <c r="I342" i="2"/>
  <c r="H342" i="2"/>
  <c r="T341" i="2"/>
  <c r="W341" i="2" s="1"/>
  <c r="L341" i="2"/>
  <c r="M341" i="2" s="1"/>
  <c r="J341" i="2"/>
  <c r="I341" i="2"/>
  <c r="H341" i="2"/>
  <c r="T340" i="2"/>
  <c r="W340" i="2" s="1"/>
  <c r="L340" i="2"/>
  <c r="M340" i="2" s="1"/>
  <c r="J340" i="2"/>
  <c r="I340" i="2"/>
  <c r="H340" i="2"/>
  <c r="W339" i="2"/>
  <c r="L339" i="2"/>
  <c r="M339" i="2" s="1"/>
  <c r="J339" i="2"/>
  <c r="I339" i="2"/>
  <c r="H339" i="2"/>
  <c r="L338" i="2"/>
  <c r="M338" i="2" s="1"/>
  <c r="J338" i="2"/>
  <c r="I338" i="2"/>
  <c r="H338" i="2"/>
  <c r="L337" i="2"/>
  <c r="M337" i="2" s="1"/>
  <c r="J337" i="2"/>
  <c r="I337" i="2"/>
  <c r="H337" i="2"/>
  <c r="L336" i="2"/>
  <c r="M336" i="2" s="1"/>
  <c r="J336" i="2"/>
  <c r="I336" i="2"/>
  <c r="H336" i="2"/>
  <c r="L335" i="2"/>
  <c r="M335" i="2" s="1"/>
  <c r="J335" i="2"/>
  <c r="I335" i="2"/>
  <c r="H335" i="2"/>
  <c r="T334" i="2"/>
  <c r="W334" i="2"/>
  <c r="L334" i="2"/>
  <c r="M334" i="2" s="1"/>
  <c r="J334" i="2"/>
  <c r="I334" i="2"/>
  <c r="H334" i="2"/>
  <c r="L333" i="2"/>
  <c r="M333" i="2" s="1"/>
  <c r="J333" i="2"/>
  <c r="I333" i="2"/>
  <c r="H333" i="2"/>
  <c r="W332" i="2"/>
  <c r="AF332" i="2" s="1"/>
  <c r="L332" i="2"/>
  <c r="M332" i="2" s="1"/>
  <c r="J332" i="2"/>
  <c r="I332" i="2"/>
  <c r="H332" i="2"/>
  <c r="L331" i="2"/>
  <c r="M331" i="2" s="1"/>
  <c r="J331" i="2"/>
  <c r="I331" i="2"/>
  <c r="H331" i="2"/>
  <c r="T330" i="2"/>
  <c r="W330" i="2" s="1"/>
  <c r="L330" i="2"/>
  <c r="M330" i="2" s="1"/>
  <c r="J330" i="2"/>
  <c r="I330" i="2"/>
  <c r="H330" i="2"/>
  <c r="L329" i="2"/>
  <c r="M329" i="2" s="1"/>
  <c r="J329" i="2"/>
  <c r="I329" i="2"/>
  <c r="H329" i="2"/>
  <c r="L328" i="2"/>
  <c r="M328" i="2" s="1"/>
  <c r="J328" i="2"/>
  <c r="I328" i="2"/>
  <c r="H328" i="2"/>
  <c r="W327" i="2"/>
  <c r="L327" i="2"/>
  <c r="M327" i="2" s="1"/>
  <c r="J327" i="2"/>
  <c r="I327" i="2"/>
  <c r="H327" i="2"/>
  <c r="L326" i="2"/>
  <c r="M326" i="2" s="1"/>
  <c r="J326" i="2"/>
  <c r="I326" i="2"/>
  <c r="H326" i="2"/>
  <c r="L325" i="2"/>
  <c r="M325" i="2" s="1"/>
  <c r="J325" i="2"/>
  <c r="I325" i="2"/>
  <c r="H325" i="2"/>
  <c r="T324" i="2"/>
  <c r="W324" i="2"/>
  <c r="L324" i="2"/>
  <c r="M324" i="2" s="1"/>
  <c r="J324" i="2"/>
  <c r="I324" i="2"/>
  <c r="H324" i="2"/>
  <c r="N323" i="2"/>
  <c r="W323" i="2"/>
  <c r="L323" i="2"/>
  <c r="M323" i="2" s="1"/>
  <c r="J323" i="2"/>
  <c r="I323" i="2"/>
  <c r="H323" i="2"/>
  <c r="W322" i="2"/>
  <c r="L322" i="2"/>
  <c r="M322" i="2" s="1"/>
  <c r="J322" i="2"/>
  <c r="I322" i="2"/>
  <c r="H322" i="2"/>
  <c r="L321" i="2"/>
  <c r="M321" i="2" s="1"/>
  <c r="J321" i="2"/>
  <c r="I321" i="2"/>
  <c r="H321" i="2"/>
  <c r="L320" i="2"/>
  <c r="M320" i="2" s="1"/>
  <c r="J320" i="2"/>
  <c r="I320" i="2"/>
  <c r="H320" i="2"/>
  <c r="T319" i="2"/>
  <c r="W319" i="2" s="1"/>
  <c r="L319" i="2"/>
  <c r="M319" i="2" s="1"/>
  <c r="J319" i="2"/>
  <c r="I319" i="2"/>
  <c r="H319" i="2"/>
  <c r="T318" i="2"/>
  <c r="W318" i="2" s="1"/>
  <c r="L318" i="2"/>
  <c r="M318" i="2" s="1"/>
  <c r="J318" i="2"/>
  <c r="I318" i="2"/>
  <c r="H318" i="2"/>
  <c r="W317" i="2"/>
  <c r="L317" i="2"/>
  <c r="M317" i="2" s="1"/>
  <c r="J317" i="2"/>
  <c r="I317" i="2"/>
  <c r="H317" i="2"/>
  <c r="L316" i="2"/>
  <c r="M316" i="2" s="1"/>
  <c r="J316" i="2"/>
  <c r="I316" i="2"/>
  <c r="H316" i="2"/>
  <c r="L315" i="2"/>
  <c r="M315" i="2" s="1"/>
  <c r="J315" i="2"/>
  <c r="I315" i="2"/>
  <c r="H315" i="2"/>
  <c r="L314" i="2"/>
  <c r="M314" i="2" s="1"/>
  <c r="J314" i="2"/>
  <c r="I314" i="2"/>
  <c r="H314" i="2"/>
  <c r="L313" i="2"/>
  <c r="M313" i="2" s="1"/>
  <c r="J313" i="2"/>
  <c r="I313" i="2"/>
  <c r="H313" i="2"/>
  <c r="T312" i="2"/>
  <c r="W312" i="2"/>
  <c r="L312" i="2"/>
  <c r="M312" i="2" s="1"/>
  <c r="J312" i="2"/>
  <c r="I312" i="2"/>
  <c r="H312" i="2"/>
  <c r="L311" i="2"/>
  <c r="M311" i="2" s="1"/>
  <c r="J311" i="2"/>
  <c r="I311" i="2"/>
  <c r="H311" i="2"/>
  <c r="W310" i="2"/>
  <c r="L310" i="2"/>
  <c r="M310" i="2" s="1"/>
  <c r="J310" i="2"/>
  <c r="I310" i="2"/>
  <c r="H310" i="2"/>
  <c r="L309" i="2"/>
  <c r="M309" i="2" s="1"/>
  <c r="J309" i="2"/>
  <c r="I309" i="2"/>
  <c r="H309" i="2"/>
  <c r="L303" i="2"/>
  <c r="M303" i="2" s="1"/>
  <c r="J303" i="2"/>
  <c r="I303" i="2"/>
  <c r="H303" i="2"/>
  <c r="L302" i="2"/>
  <c r="M302" i="2" s="1"/>
  <c r="J302" i="2"/>
  <c r="I302" i="2"/>
  <c r="H302" i="2"/>
  <c r="W301" i="2"/>
  <c r="L301" i="2"/>
  <c r="M301" i="2" s="1"/>
  <c r="J301" i="2"/>
  <c r="I301" i="2"/>
  <c r="H301" i="2"/>
  <c r="N300" i="2"/>
  <c r="W300" i="2"/>
  <c r="L300" i="2"/>
  <c r="M300" i="2" s="1"/>
  <c r="J300" i="2"/>
  <c r="I300" i="2"/>
  <c r="H300" i="2"/>
  <c r="L299" i="2"/>
  <c r="M299" i="2" s="1"/>
  <c r="J299" i="2"/>
  <c r="I299" i="2"/>
  <c r="H299" i="2"/>
  <c r="W298" i="2"/>
  <c r="L298" i="2"/>
  <c r="M298" i="2" s="1"/>
  <c r="J298" i="2"/>
  <c r="I298" i="2"/>
  <c r="H298" i="2"/>
  <c r="N297" i="2"/>
  <c r="W297" i="2" s="1"/>
  <c r="L297" i="2"/>
  <c r="M297" i="2" s="1"/>
  <c r="J297" i="2"/>
  <c r="I297" i="2"/>
  <c r="H297" i="2"/>
  <c r="L296" i="2"/>
  <c r="M296" i="2" s="1"/>
  <c r="J296" i="2"/>
  <c r="I296" i="2"/>
  <c r="H296" i="2"/>
  <c r="L295" i="2"/>
  <c r="M295" i="2" s="1"/>
  <c r="J295" i="2"/>
  <c r="I295" i="2"/>
  <c r="H295" i="2"/>
  <c r="L294" i="2"/>
  <c r="M294" i="2" s="1"/>
  <c r="J294" i="2"/>
  <c r="I294" i="2"/>
  <c r="H294" i="2"/>
  <c r="L293" i="2"/>
  <c r="M293" i="2" s="1"/>
  <c r="J293" i="2"/>
  <c r="I293" i="2"/>
  <c r="H293" i="2"/>
  <c r="W292" i="2"/>
  <c r="L292" i="2"/>
  <c r="M292" i="2" s="1"/>
  <c r="J292" i="2"/>
  <c r="I292" i="2"/>
  <c r="H292" i="2"/>
  <c r="W291" i="2"/>
  <c r="N291" i="2"/>
  <c r="L291" i="2"/>
  <c r="M291" i="2" s="1"/>
  <c r="J291" i="2"/>
  <c r="I291" i="2"/>
  <c r="H291" i="2"/>
  <c r="L290" i="2"/>
  <c r="M290" i="2" s="1"/>
  <c r="J290" i="2"/>
  <c r="I290" i="2"/>
  <c r="H290" i="2"/>
  <c r="AJ289" i="2"/>
  <c r="W289" i="2"/>
  <c r="L289" i="2"/>
  <c r="M289" i="2" s="1"/>
  <c r="J289" i="2"/>
  <c r="I289" i="2"/>
  <c r="H289" i="2"/>
  <c r="AJ288" i="2"/>
  <c r="N288" i="2"/>
  <c r="W288" i="2" s="1"/>
  <c r="L288" i="2"/>
  <c r="M288" i="2" s="1"/>
  <c r="J288" i="2"/>
  <c r="I288" i="2"/>
  <c r="H288" i="2"/>
  <c r="L287" i="2"/>
  <c r="M287" i="2" s="1"/>
  <c r="J287" i="2"/>
  <c r="I287" i="2"/>
  <c r="H287" i="2"/>
  <c r="L286" i="2"/>
  <c r="M286" i="2" s="1"/>
  <c r="J286" i="2"/>
  <c r="I286" i="2"/>
  <c r="H286" i="2"/>
  <c r="L285" i="2"/>
  <c r="M285" i="2" s="1"/>
  <c r="J285" i="2"/>
  <c r="I285" i="2"/>
  <c r="H285" i="2"/>
  <c r="L284" i="2"/>
  <c r="M284" i="2" s="1"/>
  <c r="J284" i="2"/>
  <c r="I284" i="2"/>
  <c r="H284" i="2"/>
  <c r="W283" i="2"/>
  <c r="L283" i="2"/>
  <c r="M283" i="2" s="1"/>
  <c r="J283" i="2"/>
  <c r="I283" i="2"/>
  <c r="H283" i="2"/>
  <c r="W282" i="2"/>
  <c r="N282" i="2"/>
  <c r="L282" i="2"/>
  <c r="M282" i="2" s="1"/>
  <c r="J282" i="2"/>
  <c r="I282" i="2"/>
  <c r="H282" i="2"/>
  <c r="L281" i="2"/>
  <c r="M281" i="2" s="1"/>
  <c r="J281" i="2"/>
  <c r="I281" i="2"/>
  <c r="H281" i="2"/>
  <c r="W280" i="2"/>
  <c r="L280" i="2"/>
  <c r="M280" i="2" s="1"/>
  <c r="J280" i="2"/>
  <c r="I280" i="2"/>
  <c r="H280" i="2"/>
  <c r="N279" i="2"/>
  <c r="W279" i="2" s="1"/>
  <c r="L279" i="2"/>
  <c r="M279" i="2" s="1"/>
  <c r="J279" i="2"/>
  <c r="I279" i="2"/>
  <c r="H279" i="2"/>
  <c r="L278" i="2"/>
  <c r="M278" i="2" s="1"/>
  <c r="J278" i="2"/>
  <c r="I278" i="2"/>
  <c r="H278" i="2"/>
  <c r="L277" i="2"/>
  <c r="M277" i="2" s="1"/>
  <c r="J277" i="2"/>
  <c r="I277" i="2"/>
  <c r="H277" i="2"/>
  <c r="L276" i="2"/>
  <c r="M276" i="2" s="1"/>
  <c r="J276" i="2"/>
  <c r="I276" i="2"/>
  <c r="H276" i="2"/>
  <c r="L275" i="2"/>
  <c r="M275" i="2" s="1"/>
  <c r="J275" i="2"/>
  <c r="I275" i="2"/>
  <c r="H275" i="2"/>
  <c r="W274" i="2"/>
  <c r="L274" i="2"/>
  <c r="M274" i="2" s="1"/>
  <c r="J274" i="2"/>
  <c r="I274" i="2"/>
  <c r="H274" i="2"/>
  <c r="W273" i="2"/>
  <c r="N273" i="2"/>
  <c r="L273" i="2"/>
  <c r="M273" i="2" s="1"/>
  <c r="J273" i="2"/>
  <c r="I273" i="2"/>
  <c r="H273" i="2"/>
  <c r="L272" i="2"/>
  <c r="M272" i="2" s="1"/>
  <c r="J272" i="2"/>
  <c r="I272" i="2"/>
  <c r="H272" i="2"/>
  <c r="AJ271" i="2"/>
  <c r="W271" i="2"/>
  <c r="L271" i="2"/>
  <c r="M271" i="2" s="1"/>
  <c r="J271" i="2"/>
  <c r="I271" i="2"/>
  <c r="H271" i="2"/>
  <c r="AJ270" i="2"/>
  <c r="N270" i="2"/>
  <c r="W270" i="2" s="1"/>
  <c r="L270" i="2"/>
  <c r="M270" i="2" s="1"/>
  <c r="J270" i="2"/>
  <c r="I270" i="2"/>
  <c r="H270" i="2"/>
  <c r="L269" i="2"/>
  <c r="M269" i="2" s="1"/>
  <c r="J269" i="2"/>
  <c r="I269" i="2"/>
  <c r="H269" i="2"/>
  <c r="L268" i="2"/>
  <c r="M268" i="2" s="1"/>
  <c r="J268" i="2"/>
  <c r="I268" i="2"/>
  <c r="H268" i="2"/>
  <c r="W267" i="2"/>
  <c r="L267" i="2"/>
  <c r="M267" i="2" s="1"/>
  <c r="J267" i="2"/>
  <c r="I267" i="2"/>
  <c r="H267" i="2"/>
  <c r="N266" i="2"/>
  <c r="W266" i="2"/>
  <c r="L266" i="2"/>
  <c r="M266" i="2" s="1"/>
  <c r="J266" i="2"/>
  <c r="I266" i="2"/>
  <c r="H266" i="2"/>
  <c r="L265" i="2"/>
  <c r="M265" i="2" s="1"/>
  <c r="J265" i="2"/>
  <c r="I265" i="2"/>
  <c r="H265" i="2"/>
  <c r="W264" i="2"/>
  <c r="N263" i="2"/>
  <c r="O263" i="2" s="1"/>
  <c r="O264" i="2" s="1"/>
  <c r="L264" i="2"/>
  <c r="M264" i="2" s="1"/>
  <c r="J264" i="2"/>
  <c r="I264" i="2"/>
  <c r="H264" i="2"/>
  <c r="L263" i="2"/>
  <c r="M263" i="2" s="1"/>
  <c r="J263" i="2"/>
  <c r="I263" i="2"/>
  <c r="H263" i="2"/>
  <c r="L262" i="2"/>
  <c r="M262" i="2" s="1"/>
  <c r="J262" i="2"/>
  <c r="I262" i="2"/>
  <c r="H262" i="2"/>
  <c r="AB261" i="2"/>
  <c r="L261" i="2"/>
  <c r="M261" i="2" s="1"/>
  <c r="J261" i="2"/>
  <c r="I261" i="2"/>
  <c r="H261" i="2"/>
  <c r="W260" i="2"/>
  <c r="W259" i="2" s="1"/>
  <c r="AF259" i="2" s="1"/>
  <c r="L260" i="2"/>
  <c r="M260" i="2" s="1"/>
  <c r="J260" i="2"/>
  <c r="I260" i="2"/>
  <c r="H260" i="2"/>
  <c r="L259" i="2"/>
  <c r="M259" i="2" s="1"/>
  <c r="J259" i="2"/>
  <c r="I259" i="2"/>
  <c r="H259" i="2"/>
  <c r="W258" i="2"/>
  <c r="AF258" i="2" s="1"/>
  <c r="L258" i="2"/>
  <c r="M258" i="2" s="1"/>
  <c r="J258" i="2"/>
  <c r="I258" i="2"/>
  <c r="H258" i="2"/>
  <c r="W257" i="2"/>
  <c r="AF257" i="2" s="1"/>
  <c r="L257" i="2"/>
  <c r="M257" i="2" s="1"/>
  <c r="J257" i="2"/>
  <c r="I257" i="2"/>
  <c r="H257" i="2"/>
  <c r="L256" i="2"/>
  <c r="M256" i="2" s="1"/>
  <c r="J256" i="2"/>
  <c r="I256" i="2"/>
  <c r="H256" i="2"/>
  <c r="W255" i="2"/>
  <c r="AF255" i="2" s="1"/>
  <c r="L255" i="2"/>
  <c r="M255" i="2" s="1"/>
  <c r="J255" i="2"/>
  <c r="I255" i="2"/>
  <c r="H255" i="2"/>
  <c r="W254" i="2"/>
  <c r="AF254" i="2" s="1"/>
  <c r="L254" i="2"/>
  <c r="M254" i="2" s="1"/>
  <c r="J254" i="2"/>
  <c r="I254" i="2"/>
  <c r="H254" i="2"/>
  <c r="L253" i="2"/>
  <c r="M253" i="2" s="1"/>
  <c r="J253" i="2"/>
  <c r="I253" i="2"/>
  <c r="H253" i="2"/>
  <c r="W252" i="2"/>
  <c r="AF252" i="2" s="1"/>
  <c r="L252" i="2"/>
  <c r="M252" i="2" s="1"/>
  <c r="J252" i="2"/>
  <c r="I252" i="2"/>
  <c r="H252" i="2"/>
  <c r="W251" i="2"/>
  <c r="L251" i="2"/>
  <c r="M251" i="2" s="1"/>
  <c r="J251" i="2"/>
  <c r="I251" i="2"/>
  <c r="H251" i="2"/>
  <c r="L250" i="2"/>
  <c r="M250" i="2" s="1"/>
  <c r="J250" i="2"/>
  <c r="I250" i="2"/>
  <c r="H250" i="2"/>
  <c r="W249" i="2"/>
  <c r="AF249" i="2" s="1"/>
  <c r="L249" i="2"/>
  <c r="M249" i="2" s="1"/>
  <c r="J249" i="2"/>
  <c r="I249" i="2"/>
  <c r="H249" i="2"/>
  <c r="W248" i="2"/>
  <c r="L248" i="2"/>
  <c r="M248" i="2" s="1"/>
  <c r="J248" i="2"/>
  <c r="I248" i="2"/>
  <c r="H248" i="2"/>
  <c r="L247" i="2"/>
  <c r="M247" i="2" s="1"/>
  <c r="J247" i="2"/>
  <c r="I247" i="2"/>
  <c r="H247" i="2"/>
  <c r="W246" i="2"/>
  <c r="AF246" i="2" s="1"/>
  <c r="L246" i="2"/>
  <c r="M246" i="2" s="1"/>
  <c r="J246" i="2"/>
  <c r="I246" i="2"/>
  <c r="H246" i="2"/>
  <c r="W245" i="2"/>
  <c r="AF245" i="2" s="1"/>
  <c r="L245" i="2"/>
  <c r="M245" i="2" s="1"/>
  <c r="J245" i="2"/>
  <c r="I245" i="2"/>
  <c r="H245" i="2"/>
  <c r="L244" i="2"/>
  <c r="M244" i="2" s="1"/>
  <c r="J244" i="2"/>
  <c r="I244" i="2"/>
  <c r="H244" i="2"/>
  <c r="N243" i="2"/>
  <c r="W243" i="2"/>
  <c r="L243" i="2"/>
  <c r="M243" i="2" s="1"/>
  <c r="J243" i="2"/>
  <c r="I243" i="2"/>
  <c r="H243" i="2"/>
  <c r="W242" i="2"/>
  <c r="L242" i="2"/>
  <c r="M242" i="2" s="1"/>
  <c r="J242" i="2"/>
  <c r="I242" i="2"/>
  <c r="H242" i="2"/>
  <c r="L241" i="2"/>
  <c r="M241" i="2" s="1"/>
  <c r="J241" i="2"/>
  <c r="I241" i="2"/>
  <c r="H241" i="2"/>
  <c r="N240" i="2"/>
  <c r="W240" i="2" s="1"/>
  <c r="L240" i="2"/>
  <c r="M240" i="2" s="1"/>
  <c r="J240" i="2"/>
  <c r="I240" i="2"/>
  <c r="H240" i="2"/>
  <c r="W239" i="2"/>
  <c r="L239" i="2"/>
  <c r="M239" i="2" s="1"/>
  <c r="J239" i="2"/>
  <c r="I239" i="2"/>
  <c r="H239" i="2"/>
  <c r="L238" i="2"/>
  <c r="M238" i="2" s="1"/>
  <c r="J238" i="2"/>
  <c r="I238" i="2"/>
  <c r="H238" i="2"/>
  <c r="N237" i="2"/>
  <c r="W237" i="2"/>
  <c r="L237" i="2"/>
  <c r="M237" i="2" s="1"/>
  <c r="J237" i="2"/>
  <c r="I237" i="2"/>
  <c r="H237" i="2"/>
  <c r="W236" i="2"/>
  <c r="L236" i="2"/>
  <c r="M236" i="2" s="1"/>
  <c r="J236" i="2"/>
  <c r="I236" i="2"/>
  <c r="H236" i="2"/>
  <c r="L235" i="2"/>
  <c r="M235" i="2" s="1"/>
  <c r="J235" i="2"/>
  <c r="I235" i="2"/>
  <c r="H235" i="2"/>
  <c r="N234" i="2"/>
  <c r="W234" i="2" s="1"/>
  <c r="L234" i="2"/>
  <c r="M234" i="2" s="1"/>
  <c r="J234" i="2"/>
  <c r="I234" i="2"/>
  <c r="H234" i="2"/>
  <c r="W233" i="2"/>
  <c r="L233" i="2"/>
  <c r="M233" i="2" s="1"/>
  <c r="J233" i="2"/>
  <c r="I233" i="2"/>
  <c r="H233" i="2"/>
  <c r="L232" i="2"/>
  <c r="M232" i="2" s="1"/>
  <c r="J232" i="2"/>
  <c r="I232" i="2"/>
  <c r="H232" i="2"/>
  <c r="N231" i="2"/>
  <c r="W231" i="2"/>
  <c r="L231" i="2"/>
  <c r="M231" i="2" s="1"/>
  <c r="J231" i="2"/>
  <c r="I231" i="2"/>
  <c r="H231" i="2"/>
  <c r="W230" i="2"/>
  <c r="L230" i="2"/>
  <c r="M230" i="2" s="1"/>
  <c r="J230" i="2"/>
  <c r="I230" i="2"/>
  <c r="H230" i="2"/>
  <c r="L229" i="2"/>
  <c r="M229" i="2" s="1"/>
  <c r="J229" i="2"/>
  <c r="I229" i="2"/>
  <c r="H229" i="2"/>
  <c r="P212" i="2"/>
  <c r="W212" i="2" s="1"/>
  <c r="L212" i="2"/>
  <c r="M212" i="2" s="1"/>
  <c r="J212" i="2"/>
  <c r="I212" i="2"/>
  <c r="H212" i="2"/>
  <c r="P211" i="2"/>
  <c r="W211" i="2" s="1"/>
  <c r="L211" i="2"/>
  <c r="M211" i="2" s="1"/>
  <c r="J211" i="2"/>
  <c r="I211" i="2"/>
  <c r="H211" i="2"/>
  <c r="P210" i="2"/>
  <c r="W210" i="2" s="1"/>
  <c r="L210" i="2"/>
  <c r="M210" i="2" s="1"/>
  <c r="J210" i="2"/>
  <c r="I210" i="2"/>
  <c r="H210" i="2"/>
  <c r="P209" i="2"/>
  <c r="W209" i="2" s="1"/>
  <c r="L209" i="2"/>
  <c r="M209" i="2" s="1"/>
  <c r="J209" i="2"/>
  <c r="I209" i="2"/>
  <c r="H209" i="2"/>
  <c r="P208" i="2"/>
  <c r="W208" i="2" s="1"/>
  <c r="N208" i="2"/>
  <c r="L208" i="2"/>
  <c r="M208" i="2" s="1"/>
  <c r="J208" i="2"/>
  <c r="I208" i="2"/>
  <c r="H208" i="2"/>
  <c r="P207" i="2"/>
  <c r="W207" i="2"/>
  <c r="N207" i="2"/>
  <c r="L207" i="2"/>
  <c r="M207" i="2" s="1"/>
  <c r="J207" i="2"/>
  <c r="I207" i="2"/>
  <c r="H207" i="2"/>
  <c r="P206" i="2"/>
  <c r="W206" i="2" s="1"/>
  <c r="L206" i="2"/>
  <c r="M206" i="2" s="1"/>
  <c r="J206" i="2"/>
  <c r="I206" i="2"/>
  <c r="H206" i="2"/>
  <c r="L205" i="2"/>
  <c r="M205" i="2" s="1"/>
  <c r="J205" i="2"/>
  <c r="I205" i="2"/>
  <c r="H205" i="2"/>
  <c r="T204" i="2"/>
  <c r="W204" i="2" s="1"/>
  <c r="N203" i="2"/>
  <c r="O203" i="2" s="1"/>
  <c r="O204" i="2" s="1"/>
  <c r="L204" i="2"/>
  <c r="M204" i="2" s="1"/>
  <c r="J204" i="2"/>
  <c r="I204" i="2"/>
  <c r="H204" i="2"/>
  <c r="L203" i="2"/>
  <c r="M203" i="2" s="1"/>
  <c r="J203" i="2"/>
  <c r="I203" i="2"/>
  <c r="H203" i="2"/>
  <c r="AA202" i="2"/>
  <c r="AA201" i="2" s="1"/>
  <c r="AD201" i="2" s="1"/>
  <c r="AB202" i="2"/>
  <c r="AB201" i="2" s="1"/>
  <c r="L202" i="2"/>
  <c r="M202" i="2" s="1"/>
  <c r="J202" i="2"/>
  <c r="I202" i="2"/>
  <c r="H202" i="2"/>
  <c r="L201" i="2"/>
  <c r="M201" i="2" s="1"/>
  <c r="J201" i="2"/>
  <c r="I201" i="2"/>
  <c r="H201" i="2"/>
  <c r="T200" i="2"/>
  <c r="W200" i="2"/>
  <c r="L200" i="2"/>
  <c r="M200" i="2" s="1"/>
  <c r="J200" i="2"/>
  <c r="I200" i="2"/>
  <c r="H200" i="2"/>
  <c r="W199" i="2"/>
  <c r="L199" i="2"/>
  <c r="M199" i="2" s="1"/>
  <c r="J199" i="2"/>
  <c r="I199" i="2"/>
  <c r="H199" i="2"/>
  <c r="T198" i="2"/>
  <c r="W198" i="2" s="1"/>
  <c r="L198" i="2"/>
  <c r="M198" i="2" s="1"/>
  <c r="J198" i="2"/>
  <c r="I198" i="2"/>
  <c r="H198" i="2"/>
  <c r="W197" i="2"/>
  <c r="N197" i="2"/>
  <c r="L197" i="2"/>
  <c r="M197" i="2" s="1"/>
  <c r="J197" i="2"/>
  <c r="I197" i="2"/>
  <c r="H197" i="2"/>
  <c r="T196" i="2"/>
  <c r="W196" i="2" s="1"/>
  <c r="L196" i="2"/>
  <c r="M196" i="2" s="1"/>
  <c r="J196" i="2"/>
  <c r="I196" i="2"/>
  <c r="H196" i="2"/>
  <c r="L195" i="2"/>
  <c r="M195" i="2" s="1"/>
  <c r="J195" i="2"/>
  <c r="I195" i="2"/>
  <c r="H195" i="2"/>
  <c r="AA194" i="2"/>
  <c r="T194" i="2"/>
  <c r="W194" i="2"/>
  <c r="L194" i="2"/>
  <c r="M194" i="2" s="1"/>
  <c r="J194" i="2"/>
  <c r="I194" i="2"/>
  <c r="H194" i="2"/>
  <c r="L193" i="2"/>
  <c r="M193" i="2" s="1"/>
  <c r="J193" i="2"/>
  <c r="I193" i="2"/>
  <c r="H193" i="2"/>
  <c r="T192" i="2"/>
  <c r="W192" i="2"/>
  <c r="L192" i="2"/>
  <c r="M192" i="2" s="1"/>
  <c r="J192" i="2"/>
  <c r="I192" i="2"/>
  <c r="H192" i="2"/>
  <c r="W191" i="2"/>
  <c r="L191" i="2"/>
  <c r="M191" i="2" s="1"/>
  <c r="J191" i="2"/>
  <c r="I191" i="2"/>
  <c r="H191" i="2"/>
  <c r="T190" i="2"/>
  <c r="W190" i="2" s="1"/>
  <c r="L190" i="2"/>
  <c r="M190" i="2" s="1"/>
  <c r="J190" i="2"/>
  <c r="I190" i="2"/>
  <c r="H190" i="2"/>
  <c r="W189" i="2"/>
  <c r="N189" i="2"/>
  <c r="L189" i="2"/>
  <c r="M189" i="2" s="1"/>
  <c r="J189" i="2"/>
  <c r="I189" i="2"/>
  <c r="H189" i="2"/>
  <c r="T188" i="2"/>
  <c r="W188" i="2" s="1"/>
  <c r="L188" i="2"/>
  <c r="M188" i="2" s="1"/>
  <c r="J188" i="2"/>
  <c r="I188" i="2"/>
  <c r="H188" i="2"/>
  <c r="L187" i="2"/>
  <c r="M187" i="2" s="1"/>
  <c r="J187" i="2"/>
  <c r="I187" i="2"/>
  <c r="H187" i="2"/>
  <c r="AA186" i="2"/>
  <c r="T186" i="2"/>
  <c r="W186" i="2"/>
  <c r="L186" i="2"/>
  <c r="M186" i="2" s="1"/>
  <c r="J186" i="2"/>
  <c r="I186" i="2"/>
  <c r="H186" i="2"/>
  <c r="L185" i="2"/>
  <c r="M185" i="2" s="1"/>
  <c r="J185" i="2"/>
  <c r="I185" i="2"/>
  <c r="H185" i="2"/>
  <c r="T184" i="2"/>
  <c r="W184" i="2"/>
  <c r="L184" i="2"/>
  <c r="M184" i="2" s="1"/>
  <c r="J184" i="2"/>
  <c r="I184" i="2"/>
  <c r="H184" i="2"/>
  <c r="W183" i="2"/>
  <c r="L183" i="2"/>
  <c r="M183" i="2" s="1"/>
  <c r="J183" i="2"/>
  <c r="I183" i="2"/>
  <c r="H183" i="2"/>
  <c r="T182" i="2"/>
  <c r="W182" i="2" s="1"/>
  <c r="L182" i="2"/>
  <c r="M182" i="2" s="1"/>
  <c r="J182" i="2"/>
  <c r="I182" i="2"/>
  <c r="H182" i="2"/>
  <c r="N181" i="2"/>
  <c r="L181" i="2"/>
  <c r="M181" i="2" s="1"/>
  <c r="J181" i="2"/>
  <c r="I181" i="2"/>
  <c r="H181" i="2"/>
  <c r="T180" i="2"/>
  <c r="W180" i="2"/>
  <c r="L180" i="2"/>
  <c r="M180" i="2" s="1"/>
  <c r="J180" i="2"/>
  <c r="I180" i="2"/>
  <c r="H180" i="2"/>
  <c r="AA179" i="2"/>
  <c r="AB179" i="2"/>
  <c r="L179" i="2"/>
  <c r="M179" i="2" s="1"/>
  <c r="J179" i="2"/>
  <c r="I179" i="2"/>
  <c r="H179" i="2"/>
  <c r="T178" i="2"/>
  <c r="W178" i="2"/>
  <c r="N177" i="2"/>
  <c r="O177" i="2"/>
  <c r="O178" i="2" s="1"/>
  <c r="L178" i="2"/>
  <c r="M178" i="2" s="1"/>
  <c r="J178" i="2"/>
  <c r="I178" i="2"/>
  <c r="H178" i="2"/>
  <c r="W177" i="2"/>
  <c r="L177" i="2"/>
  <c r="M177" i="2" s="1"/>
  <c r="J177" i="2"/>
  <c r="I177" i="2"/>
  <c r="H177" i="2"/>
  <c r="AA176" i="2"/>
  <c r="L176" i="2"/>
  <c r="M176" i="2" s="1"/>
  <c r="J176" i="2"/>
  <c r="I176" i="2"/>
  <c r="H176" i="2"/>
  <c r="AA175" i="2"/>
  <c r="L175" i="2"/>
  <c r="M175" i="2" s="1"/>
  <c r="J175" i="2"/>
  <c r="I175" i="2"/>
  <c r="H175" i="2"/>
  <c r="T174" i="2"/>
  <c r="W174" i="2" s="1"/>
  <c r="L174" i="2"/>
  <c r="M174" i="2" s="1"/>
  <c r="J174" i="2"/>
  <c r="I174" i="2"/>
  <c r="H174" i="2"/>
  <c r="W173" i="2"/>
  <c r="L173" i="2"/>
  <c r="M173" i="2" s="1"/>
  <c r="J173" i="2"/>
  <c r="I173" i="2"/>
  <c r="H173" i="2"/>
  <c r="T172" i="2"/>
  <c r="W172" i="2"/>
  <c r="L172" i="2"/>
  <c r="M172" i="2" s="1"/>
  <c r="J172" i="2"/>
  <c r="I172" i="2"/>
  <c r="H172" i="2"/>
  <c r="N171" i="2"/>
  <c r="L171" i="2"/>
  <c r="M171" i="2" s="1"/>
  <c r="J171" i="2"/>
  <c r="I171" i="2"/>
  <c r="H171" i="2"/>
  <c r="T170" i="2"/>
  <c r="W170" i="2" s="1"/>
  <c r="L170" i="2"/>
  <c r="M170" i="2" s="1"/>
  <c r="J170" i="2"/>
  <c r="I170" i="2"/>
  <c r="H170" i="2"/>
  <c r="L169" i="2"/>
  <c r="M169" i="2" s="1"/>
  <c r="J169" i="2"/>
  <c r="I169" i="2"/>
  <c r="H169" i="2"/>
  <c r="T168" i="2"/>
  <c r="W168" i="2" s="1"/>
  <c r="N167" i="2"/>
  <c r="O167" i="2" s="1"/>
  <c r="O168" i="2" s="1"/>
  <c r="L168" i="2"/>
  <c r="M168" i="2" s="1"/>
  <c r="J168" i="2"/>
  <c r="I168" i="2"/>
  <c r="H168" i="2"/>
  <c r="L167" i="2"/>
  <c r="M167" i="2" s="1"/>
  <c r="J167" i="2"/>
  <c r="I167" i="2"/>
  <c r="H167" i="2"/>
  <c r="AA166" i="2"/>
  <c r="L166" i="2"/>
  <c r="M166" i="2" s="1"/>
  <c r="J166" i="2"/>
  <c r="I166" i="2"/>
  <c r="H166" i="2"/>
  <c r="AA165" i="2"/>
  <c r="L165" i="2"/>
  <c r="M165" i="2" s="1"/>
  <c r="J165" i="2"/>
  <c r="I165" i="2"/>
  <c r="H165" i="2"/>
  <c r="T164" i="2"/>
  <c r="W164" i="2"/>
  <c r="L164" i="2"/>
  <c r="M164" i="2" s="1"/>
  <c r="J164" i="2"/>
  <c r="I164" i="2"/>
  <c r="H164" i="2"/>
  <c r="W163" i="2"/>
  <c r="L163" i="2"/>
  <c r="M163" i="2" s="1"/>
  <c r="J163" i="2"/>
  <c r="I163" i="2"/>
  <c r="H163" i="2"/>
  <c r="T162" i="2"/>
  <c r="W162" i="2" s="1"/>
  <c r="L162" i="2"/>
  <c r="M162" i="2" s="1"/>
  <c r="J162" i="2"/>
  <c r="I162" i="2"/>
  <c r="H162" i="2"/>
  <c r="N161" i="2"/>
  <c r="L161" i="2"/>
  <c r="M161" i="2" s="1"/>
  <c r="J161" i="2"/>
  <c r="I161" i="2"/>
  <c r="H161" i="2"/>
  <c r="T160" i="2"/>
  <c r="W160" i="2"/>
  <c r="L160" i="2"/>
  <c r="M160" i="2" s="1"/>
  <c r="J160" i="2"/>
  <c r="I160" i="2"/>
  <c r="H160" i="2"/>
  <c r="L159" i="2"/>
  <c r="M159" i="2" s="1"/>
  <c r="J159" i="2"/>
  <c r="I159" i="2"/>
  <c r="H159" i="2"/>
  <c r="T158" i="2"/>
  <c r="W158" i="2"/>
  <c r="N157" i="2"/>
  <c r="W157" i="2" s="1"/>
  <c r="O157" i="2"/>
  <c r="O158" i="2" s="1"/>
  <c r="L158" i="2"/>
  <c r="M158" i="2" s="1"/>
  <c r="J158" i="2"/>
  <c r="I158" i="2"/>
  <c r="H158" i="2"/>
  <c r="L157" i="2"/>
  <c r="M157" i="2" s="1"/>
  <c r="J157" i="2"/>
  <c r="I157" i="2"/>
  <c r="H157" i="2"/>
  <c r="AA156" i="2"/>
  <c r="L156" i="2"/>
  <c r="M156" i="2" s="1"/>
  <c r="J156" i="2"/>
  <c r="I156" i="2"/>
  <c r="H156" i="2"/>
  <c r="AA155" i="2"/>
  <c r="L155" i="2"/>
  <c r="M155" i="2" s="1"/>
  <c r="J155" i="2"/>
  <c r="I155" i="2"/>
  <c r="H155" i="2"/>
  <c r="W154" i="2"/>
  <c r="N153" i="2"/>
  <c r="O153" i="2"/>
  <c r="O154" i="2" s="1"/>
  <c r="L154" i="2"/>
  <c r="M154" i="2" s="1"/>
  <c r="J154" i="2"/>
  <c r="I154" i="2"/>
  <c r="H154" i="2"/>
  <c r="W153" i="2"/>
  <c r="L153" i="2"/>
  <c r="M153" i="2" s="1"/>
  <c r="J153" i="2"/>
  <c r="I153" i="2"/>
  <c r="H153" i="2"/>
  <c r="L152" i="2"/>
  <c r="M152" i="2" s="1"/>
  <c r="J152" i="2"/>
  <c r="I152" i="2"/>
  <c r="H152" i="2"/>
  <c r="W151" i="2"/>
  <c r="N150" i="2"/>
  <c r="O150" i="2"/>
  <c r="O151" i="2" s="1"/>
  <c r="L151" i="2"/>
  <c r="M151" i="2" s="1"/>
  <c r="J151" i="2"/>
  <c r="I151" i="2"/>
  <c r="H151" i="2"/>
  <c r="W150" i="2"/>
  <c r="L150" i="2"/>
  <c r="M150" i="2" s="1"/>
  <c r="J150" i="2"/>
  <c r="I150" i="2"/>
  <c r="H150" i="2"/>
  <c r="L149" i="2"/>
  <c r="M149" i="2" s="1"/>
  <c r="J149" i="2"/>
  <c r="I149" i="2"/>
  <c r="H149" i="2"/>
  <c r="W148" i="2"/>
  <c r="N147" i="2"/>
  <c r="O147" i="2"/>
  <c r="O148" i="2" s="1"/>
  <c r="L148" i="2"/>
  <c r="M148" i="2" s="1"/>
  <c r="J148" i="2"/>
  <c r="I148" i="2"/>
  <c r="H148" i="2"/>
  <c r="W147" i="2"/>
  <c r="L147" i="2"/>
  <c r="M147" i="2" s="1"/>
  <c r="J147" i="2"/>
  <c r="I147" i="2"/>
  <c r="H147" i="2"/>
  <c r="L146" i="2"/>
  <c r="M146" i="2" s="1"/>
  <c r="J146" i="2"/>
  <c r="I146" i="2"/>
  <c r="H146" i="2"/>
  <c r="N145" i="2"/>
  <c r="W145" i="2" s="1"/>
  <c r="P145" i="2"/>
  <c r="N144" i="2"/>
  <c r="W144" i="2" s="1"/>
  <c r="O144" i="2"/>
  <c r="O145" i="2" s="1"/>
  <c r="L145" i="2"/>
  <c r="M145" i="2" s="1"/>
  <c r="J145" i="2"/>
  <c r="I145" i="2"/>
  <c r="H145" i="2"/>
  <c r="L144" i="2"/>
  <c r="M144" i="2" s="1"/>
  <c r="J144" i="2"/>
  <c r="I144" i="2"/>
  <c r="H144" i="2"/>
  <c r="L143" i="2"/>
  <c r="M143" i="2" s="1"/>
  <c r="J143" i="2"/>
  <c r="I143" i="2"/>
  <c r="H143" i="2"/>
  <c r="N142" i="2"/>
  <c r="T142" i="2"/>
  <c r="W142" i="2"/>
  <c r="P142" i="2"/>
  <c r="N141" i="2"/>
  <c r="O141" i="2" s="1"/>
  <c r="O142" i="2" s="1"/>
  <c r="L142" i="2"/>
  <c r="M142" i="2" s="1"/>
  <c r="J142" i="2"/>
  <c r="I142" i="2"/>
  <c r="H142" i="2"/>
  <c r="W141" i="2"/>
  <c r="L141" i="2"/>
  <c r="M141" i="2" s="1"/>
  <c r="J141" i="2"/>
  <c r="I141" i="2"/>
  <c r="H141" i="2"/>
  <c r="L140" i="2"/>
  <c r="M140" i="2" s="1"/>
  <c r="J140" i="2"/>
  <c r="I140" i="2"/>
  <c r="H140" i="2"/>
  <c r="AF139" i="2"/>
  <c r="P139" i="2"/>
  <c r="L138" i="2"/>
  <c r="M138" i="2" s="1"/>
  <c r="J138" i="2"/>
  <c r="I138" i="2"/>
  <c r="H138" i="2"/>
  <c r="L137" i="2"/>
  <c r="M137" i="2" s="1"/>
  <c r="J137" i="2"/>
  <c r="I137" i="2"/>
  <c r="H137" i="2"/>
  <c r="L136" i="2"/>
  <c r="M136" i="2" s="1"/>
  <c r="J136" i="2"/>
  <c r="I136" i="2"/>
  <c r="H136" i="2"/>
  <c r="W135" i="2"/>
  <c r="L135" i="2"/>
  <c r="M135" i="2" s="1"/>
  <c r="J135" i="2"/>
  <c r="I135" i="2"/>
  <c r="H135" i="2"/>
  <c r="W134" i="2"/>
  <c r="AF134" i="2" s="1"/>
  <c r="N134" i="2"/>
  <c r="L134" i="2"/>
  <c r="M134" i="2" s="1"/>
  <c r="J134" i="2"/>
  <c r="I134" i="2"/>
  <c r="H134" i="2"/>
  <c r="AK133" i="2"/>
  <c r="L133" i="2"/>
  <c r="M133" i="2" s="1"/>
  <c r="J133" i="2"/>
  <c r="I133" i="2"/>
  <c r="H133" i="2"/>
  <c r="L132" i="2"/>
  <c r="M132" i="2" s="1"/>
  <c r="J132" i="2"/>
  <c r="I132" i="2"/>
  <c r="H132" i="2"/>
  <c r="L131" i="2"/>
  <c r="M131" i="2" s="1"/>
  <c r="J131" i="2"/>
  <c r="I131" i="2"/>
  <c r="H131" i="2"/>
  <c r="L130" i="2"/>
  <c r="M130" i="2" s="1"/>
  <c r="J130" i="2"/>
  <c r="I130" i="2"/>
  <c r="H130" i="2"/>
  <c r="W129" i="2"/>
  <c r="AF129" i="2" s="1"/>
  <c r="L129" i="2"/>
  <c r="M129" i="2" s="1"/>
  <c r="J129" i="2"/>
  <c r="I129" i="2"/>
  <c r="H129" i="2"/>
  <c r="W128" i="2"/>
  <c r="AF128" i="2" s="1"/>
  <c r="N128" i="2"/>
  <c r="L128" i="2"/>
  <c r="M128" i="2" s="1"/>
  <c r="J128" i="2"/>
  <c r="I128" i="2"/>
  <c r="H128" i="2"/>
  <c r="L127" i="2"/>
  <c r="M127" i="2" s="1"/>
  <c r="J127" i="2"/>
  <c r="I127" i="2"/>
  <c r="H127" i="2"/>
  <c r="P126" i="2"/>
  <c r="W126" i="2" s="1"/>
  <c r="AF126" i="2" s="1"/>
  <c r="L126" i="2"/>
  <c r="M126" i="2" s="1"/>
  <c r="J126" i="2"/>
  <c r="I126" i="2"/>
  <c r="H126" i="2"/>
  <c r="AA125" i="2"/>
  <c r="W125" i="2"/>
  <c r="L125" i="2"/>
  <c r="M125" i="2" s="1"/>
  <c r="J125" i="2"/>
  <c r="I125" i="2"/>
  <c r="H125" i="2"/>
  <c r="N124" i="2"/>
  <c r="T124" i="2"/>
  <c r="W124" i="2"/>
  <c r="L124" i="2"/>
  <c r="M124" i="2" s="1"/>
  <c r="J124" i="2"/>
  <c r="I124" i="2"/>
  <c r="H124" i="2"/>
  <c r="N123" i="2"/>
  <c r="W123" i="2"/>
  <c r="L123" i="2"/>
  <c r="M123" i="2" s="1"/>
  <c r="J123" i="2"/>
  <c r="I123" i="2"/>
  <c r="H123" i="2"/>
  <c r="AK122" i="2"/>
  <c r="AA118" i="2" s="1"/>
  <c r="AD118" i="2" s="1"/>
  <c r="L122" i="2"/>
  <c r="M122" i="2" s="1"/>
  <c r="J122" i="2"/>
  <c r="I122" i="2"/>
  <c r="H122" i="2"/>
  <c r="W121" i="2"/>
  <c r="O120" i="2"/>
  <c r="O121" i="2" s="1"/>
  <c r="L121" i="2"/>
  <c r="M121" i="2" s="1"/>
  <c r="J121" i="2"/>
  <c r="I121" i="2"/>
  <c r="H121" i="2"/>
  <c r="W120" i="2"/>
  <c r="L120" i="2"/>
  <c r="M120" i="2" s="1"/>
  <c r="J120" i="2"/>
  <c r="I120" i="2"/>
  <c r="H120" i="2"/>
  <c r="L119" i="2"/>
  <c r="M119" i="2" s="1"/>
  <c r="J119" i="2"/>
  <c r="I119" i="2"/>
  <c r="H119" i="2"/>
  <c r="L118" i="2"/>
  <c r="M118" i="2" s="1"/>
  <c r="J118" i="2"/>
  <c r="I118" i="2"/>
  <c r="H118" i="2"/>
  <c r="N117" i="2"/>
  <c r="W117" i="2" s="1"/>
  <c r="T117" i="2"/>
  <c r="L117" i="2"/>
  <c r="M117" i="2" s="1"/>
  <c r="J117" i="2"/>
  <c r="I117" i="2"/>
  <c r="H117" i="2"/>
  <c r="N116" i="2"/>
  <c r="W116" i="2" s="1"/>
  <c r="L116" i="2"/>
  <c r="M116" i="2" s="1"/>
  <c r="J116" i="2"/>
  <c r="I116" i="2"/>
  <c r="H116" i="2"/>
  <c r="AK115" i="2"/>
  <c r="AB111" i="2" s="1"/>
  <c r="L115" i="2"/>
  <c r="M115" i="2" s="1"/>
  <c r="J115" i="2"/>
  <c r="I115" i="2"/>
  <c r="H115" i="2"/>
  <c r="W114" i="2"/>
  <c r="O113" i="2"/>
  <c r="O114" i="2" s="1"/>
  <c r="L114" i="2"/>
  <c r="M114" i="2" s="1"/>
  <c r="J114" i="2"/>
  <c r="I114" i="2"/>
  <c r="H114" i="2"/>
  <c r="W113" i="2"/>
  <c r="L113" i="2"/>
  <c r="M113" i="2" s="1"/>
  <c r="J113" i="2"/>
  <c r="I113" i="2"/>
  <c r="H113" i="2"/>
  <c r="AK112" i="2"/>
  <c r="L112" i="2"/>
  <c r="M112" i="2" s="1"/>
  <c r="J112" i="2"/>
  <c r="I112" i="2"/>
  <c r="H112" i="2"/>
  <c r="L111" i="2"/>
  <c r="M111" i="2" s="1"/>
  <c r="J111" i="2"/>
  <c r="I111" i="2"/>
  <c r="H111" i="2"/>
  <c r="N110" i="2"/>
  <c r="T110" i="2"/>
  <c r="W110" i="2" s="1"/>
  <c r="L110" i="2"/>
  <c r="M110" i="2" s="1"/>
  <c r="J110" i="2"/>
  <c r="I110" i="2"/>
  <c r="H110" i="2"/>
  <c r="N109" i="2"/>
  <c r="W109" i="2" s="1"/>
  <c r="L109" i="2"/>
  <c r="M109" i="2" s="1"/>
  <c r="J109" i="2"/>
  <c r="I109" i="2"/>
  <c r="H109" i="2"/>
  <c r="AK108" i="2"/>
  <c r="L108" i="2"/>
  <c r="M108" i="2" s="1"/>
  <c r="J108" i="2"/>
  <c r="I108" i="2"/>
  <c r="H108" i="2"/>
  <c r="AK107" i="2"/>
  <c r="W107" i="2"/>
  <c r="O106" i="2"/>
  <c r="O107" i="2" s="1"/>
  <c r="L107" i="2"/>
  <c r="M107" i="2" s="1"/>
  <c r="J107" i="2"/>
  <c r="I107" i="2"/>
  <c r="H107" i="2"/>
  <c r="AK106" i="2"/>
  <c r="W106" i="2"/>
  <c r="L106" i="2"/>
  <c r="M106" i="2" s="1"/>
  <c r="J106" i="2"/>
  <c r="I106" i="2"/>
  <c r="H106" i="2"/>
  <c r="L105" i="2"/>
  <c r="M105" i="2" s="1"/>
  <c r="J105" i="2"/>
  <c r="I105" i="2"/>
  <c r="H105" i="2"/>
  <c r="L104" i="2"/>
  <c r="M104" i="2" s="1"/>
  <c r="J104" i="2"/>
  <c r="I104" i="2"/>
  <c r="H104" i="2"/>
  <c r="L103" i="2"/>
  <c r="N102" i="2"/>
  <c r="W102" i="2"/>
  <c r="W101" i="2" s="1"/>
  <c r="L102" i="2"/>
  <c r="M102" i="2" s="1"/>
  <c r="J102" i="2"/>
  <c r="I102" i="2"/>
  <c r="H102" i="2"/>
  <c r="AK101" i="2"/>
  <c r="L101" i="2"/>
  <c r="M101" i="2" s="1"/>
  <c r="J101" i="2"/>
  <c r="I101" i="2"/>
  <c r="H101" i="2"/>
  <c r="AK100" i="2"/>
  <c r="W100" i="2"/>
  <c r="O99" i="2"/>
  <c r="O100" i="2" s="1"/>
  <c r="L100" i="2"/>
  <c r="M100" i="2" s="1"/>
  <c r="J100" i="2"/>
  <c r="I100" i="2"/>
  <c r="H100" i="2"/>
  <c r="AK99" i="2"/>
  <c r="W99" i="2"/>
  <c r="L99" i="2"/>
  <c r="M99" i="2" s="1"/>
  <c r="J99" i="2"/>
  <c r="I99" i="2"/>
  <c r="H99" i="2"/>
  <c r="L98" i="2"/>
  <c r="M98" i="2" s="1"/>
  <c r="J98" i="2"/>
  <c r="I98" i="2"/>
  <c r="H98" i="2"/>
  <c r="L97" i="2"/>
  <c r="M97" i="2" s="1"/>
  <c r="J97" i="2"/>
  <c r="I97" i="2"/>
  <c r="H97" i="2"/>
  <c r="AK96" i="2"/>
  <c r="W96" i="2"/>
  <c r="O95" i="2"/>
  <c r="O96" i="2" s="1"/>
  <c r="L96" i="2"/>
  <c r="M96" i="2" s="1"/>
  <c r="J96" i="2"/>
  <c r="I96" i="2"/>
  <c r="H96" i="2"/>
  <c r="AK95" i="2"/>
  <c r="W95" i="2"/>
  <c r="L95" i="2"/>
  <c r="M95" i="2" s="1"/>
  <c r="J95" i="2"/>
  <c r="I95" i="2"/>
  <c r="H95" i="2"/>
  <c r="L94" i="2"/>
  <c r="M94" i="2" s="1"/>
  <c r="J94" i="2"/>
  <c r="I94" i="2"/>
  <c r="H94" i="2"/>
  <c r="AK93" i="2"/>
  <c r="W93" i="2"/>
  <c r="O92" i="2"/>
  <c r="O93" i="2" s="1"/>
  <c r="L93" i="2"/>
  <c r="M93" i="2" s="1"/>
  <c r="J93" i="2"/>
  <c r="I93" i="2"/>
  <c r="H93" i="2"/>
  <c r="AK92" i="2"/>
  <c r="W92" i="2"/>
  <c r="L92" i="2"/>
  <c r="M92" i="2" s="1"/>
  <c r="J92" i="2"/>
  <c r="I92" i="2"/>
  <c r="H92" i="2"/>
  <c r="L91" i="2"/>
  <c r="M91" i="2" s="1"/>
  <c r="J91" i="2"/>
  <c r="I91" i="2"/>
  <c r="H91" i="2"/>
  <c r="AK90" i="2"/>
  <c r="W90" i="2"/>
  <c r="O89" i="2"/>
  <c r="O90" i="2" s="1"/>
  <c r="L90" i="2"/>
  <c r="M90" i="2" s="1"/>
  <c r="J90" i="2"/>
  <c r="I90" i="2"/>
  <c r="H90" i="2"/>
  <c r="AK89" i="2"/>
  <c r="W89" i="2"/>
  <c r="L89" i="2"/>
  <c r="M89" i="2" s="1"/>
  <c r="J89" i="2"/>
  <c r="I89" i="2"/>
  <c r="H89" i="2"/>
  <c r="L88" i="2"/>
  <c r="M88" i="2" s="1"/>
  <c r="J88" i="2"/>
  <c r="I88" i="2"/>
  <c r="H88" i="2"/>
  <c r="AK87" i="2"/>
  <c r="W87" i="2"/>
  <c r="O86" i="2"/>
  <c r="O87" i="2" s="1"/>
  <c r="L87" i="2"/>
  <c r="M87" i="2" s="1"/>
  <c r="J87" i="2"/>
  <c r="I87" i="2"/>
  <c r="H87" i="2"/>
  <c r="AK86" i="2"/>
  <c r="W86" i="2"/>
  <c r="L86" i="2"/>
  <c r="M86" i="2" s="1"/>
  <c r="J86" i="2"/>
  <c r="I86" i="2"/>
  <c r="H86" i="2"/>
  <c r="AB85" i="2"/>
  <c r="L85" i="2"/>
  <c r="M85" i="2" s="1"/>
  <c r="J85" i="2"/>
  <c r="I85" i="2"/>
  <c r="H85" i="2"/>
  <c r="AK84" i="2"/>
  <c r="W84" i="2"/>
  <c r="O83" i="2"/>
  <c r="O84" i="2" s="1"/>
  <c r="L84" i="2"/>
  <c r="M84" i="2" s="1"/>
  <c r="J84" i="2"/>
  <c r="I84" i="2"/>
  <c r="H84" i="2"/>
  <c r="AK83" i="2"/>
  <c r="W83" i="2"/>
  <c r="L83" i="2"/>
  <c r="M83" i="2" s="1"/>
  <c r="J83" i="2"/>
  <c r="I83" i="2"/>
  <c r="H83" i="2"/>
  <c r="L82" i="2"/>
  <c r="M82" i="2" s="1"/>
  <c r="J82" i="2"/>
  <c r="I82" i="2"/>
  <c r="H82" i="2"/>
  <c r="AK81" i="2"/>
  <c r="W81" i="2"/>
  <c r="O80" i="2"/>
  <c r="O81" i="2" s="1"/>
  <c r="L81" i="2"/>
  <c r="M81" i="2" s="1"/>
  <c r="J81" i="2"/>
  <c r="I81" i="2"/>
  <c r="H81" i="2"/>
  <c r="AK80" i="2"/>
  <c r="W80" i="2"/>
  <c r="L80" i="2"/>
  <c r="M80" i="2" s="1"/>
  <c r="J80" i="2"/>
  <c r="I80" i="2"/>
  <c r="H80" i="2"/>
  <c r="L79" i="2"/>
  <c r="M79" i="2" s="1"/>
  <c r="J79" i="2"/>
  <c r="I79" i="2"/>
  <c r="H79" i="2"/>
  <c r="W69" i="2"/>
  <c r="AF69" i="2" s="1"/>
  <c r="L68" i="2"/>
  <c r="M68" i="2" s="1"/>
  <c r="J68" i="2"/>
  <c r="I68" i="2"/>
  <c r="H68" i="2"/>
  <c r="L67" i="2"/>
  <c r="M67" i="2" s="1"/>
  <c r="J67" i="2"/>
  <c r="I67" i="2"/>
  <c r="H67" i="2"/>
  <c r="L66" i="2"/>
  <c r="M66" i="2" s="1"/>
  <c r="J66" i="2"/>
  <c r="I66" i="2"/>
  <c r="H66" i="2"/>
  <c r="L65" i="2"/>
  <c r="M65" i="2" s="1"/>
  <c r="J65" i="2"/>
  <c r="I65" i="2"/>
  <c r="H65" i="2"/>
  <c r="L64" i="2"/>
  <c r="M64" i="2" s="1"/>
  <c r="J64" i="2"/>
  <c r="I64" i="2"/>
  <c r="H64" i="2"/>
  <c r="AD61" i="2"/>
  <c r="AD63" i="2" s="1"/>
  <c r="AF63" i="2" s="1"/>
  <c r="L63" i="2"/>
  <c r="M63" i="2" s="1"/>
  <c r="J63" i="2"/>
  <c r="I63" i="2"/>
  <c r="H63" i="2"/>
  <c r="N62" i="2"/>
  <c r="T62" i="2"/>
  <c r="W62" i="2"/>
  <c r="P62" i="2"/>
  <c r="L62" i="2"/>
  <c r="M62" i="2" s="1"/>
  <c r="J62" i="2"/>
  <c r="I62" i="2"/>
  <c r="H62" i="2"/>
  <c r="L61" i="2"/>
  <c r="M61" i="2" s="1"/>
  <c r="J61" i="2"/>
  <c r="I61" i="2"/>
  <c r="H61" i="2"/>
  <c r="L60" i="2"/>
  <c r="M60" i="2" s="1"/>
  <c r="J60" i="2"/>
  <c r="I60" i="2"/>
  <c r="H60" i="2"/>
  <c r="L59" i="2"/>
  <c r="M59" i="2" s="1"/>
  <c r="J59" i="2"/>
  <c r="I59" i="2"/>
  <c r="H59" i="2"/>
  <c r="W58" i="2"/>
  <c r="L58" i="2"/>
  <c r="M58" i="2" s="1"/>
  <c r="J58" i="2"/>
  <c r="I58" i="2"/>
  <c r="H58" i="2"/>
  <c r="N57" i="2"/>
  <c r="W57" i="2"/>
  <c r="L57" i="2"/>
  <c r="M57" i="2" s="1"/>
  <c r="J57" i="2"/>
  <c r="I57" i="2"/>
  <c r="H57" i="2"/>
  <c r="L56" i="2"/>
  <c r="M56" i="2" s="1"/>
  <c r="J56" i="2"/>
  <c r="I56" i="2"/>
  <c r="H56" i="2"/>
  <c r="L55" i="2"/>
  <c r="M55" i="2" s="1"/>
  <c r="J55" i="2"/>
  <c r="I55" i="2"/>
  <c r="H55" i="2"/>
  <c r="W54" i="2"/>
  <c r="L54" i="2"/>
  <c r="M54" i="2" s="1"/>
  <c r="J54" i="2"/>
  <c r="I54" i="2"/>
  <c r="H54" i="2"/>
  <c r="W53" i="2"/>
  <c r="L53" i="2"/>
  <c r="M53" i="2" s="1"/>
  <c r="J53" i="2"/>
  <c r="I53" i="2"/>
  <c r="H53" i="2"/>
  <c r="AD52" i="2"/>
  <c r="L52" i="2"/>
  <c r="M52" i="2" s="1"/>
  <c r="J52" i="2"/>
  <c r="I52" i="2"/>
  <c r="H52" i="2"/>
  <c r="AD51" i="2"/>
  <c r="T51" i="2"/>
  <c r="W51" i="2"/>
  <c r="L51" i="2"/>
  <c r="M51" i="2" s="1"/>
  <c r="J51" i="2"/>
  <c r="I51" i="2"/>
  <c r="H51" i="2"/>
  <c r="L50" i="2"/>
  <c r="M50" i="2" s="1"/>
  <c r="J50" i="2"/>
  <c r="I50" i="2"/>
  <c r="H50" i="2"/>
  <c r="L49" i="2"/>
  <c r="M49" i="2" s="1"/>
  <c r="J49" i="2"/>
  <c r="I49" i="2"/>
  <c r="H49" i="2"/>
  <c r="L48" i="2"/>
  <c r="M48" i="2" s="1"/>
  <c r="J48" i="2"/>
  <c r="I48" i="2"/>
  <c r="H48" i="2"/>
  <c r="W47" i="2"/>
  <c r="L47" i="2"/>
  <c r="M47" i="2" s="1"/>
  <c r="J47" i="2"/>
  <c r="I47" i="2"/>
  <c r="H47" i="2"/>
  <c r="L46" i="2"/>
  <c r="M46" i="2" s="1"/>
  <c r="J46" i="2"/>
  <c r="I46" i="2"/>
  <c r="H46" i="2"/>
  <c r="L45" i="2"/>
  <c r="M45" i="2" s="1"/>
  <c r="J45" i="2"/>
  <c r="I45" i="2"/>
  <c r="H45" i="2"/>
  <c r="W44" i="2"/>
  <c r="L44" i="2"/>
  <c r="M44" i="2" s="1"/>
  <c r="J44" i="2"/>
  <c r="I44" i="2"/>
  <c r="H44" i="2"/>
  <c r="W43" i="2"/>
  <c r="L43" i="2"/>
  <c r="M43" i="2" s="1"/>
  <c r="J43" i="2"/>
  <c r="I43" i="2"/>
  <c r="H43" i="2"/>
  <c r="AA42" i="2"/>
  <c r="AD42" i="2" s="1"/>
  <c r="AB42" i="2"/>
  <c r="L42" i="2"/>
  <c r="M42" i="2" s="1"/>
  <c r="J42" i="2"/>
  <c r="I42" i="2"/>
  <c r="H42" i="2"/>
  <c r="AD41" i="2"/>
  <c r="T41" i="2"/>
  <c r="W41" i="2" s="1"/>
  <c r="L41" i="2"/>
  <c r="M41" i="2" s="1"/>
  <c r="J41" i="2"/>
  <c r="I41" i="2"/>
  <c r="H41" i="2"/>
  <c r="AD40" i="2"/>
  <c r="L40" i="2"/>
  <c r="M40" i="2" s="1"/>
  <c r="J40" i="2"/>
  <c r="I40" i="2"/>
  <c r="H40" i="2"/>
  <c r="T39" i="2"/>
  <c r="W39" i="2"/>
  <c r="L39" i="2"/>
  <c r="M39" i="2" s="1"/>
  <c r="J39" i="2"/>
  <c r="I39" i="2"/>
  <c r="H39" i="2"/>
  <c r="N38" i="2"/>
  <c r="W38" i="2" s="1"/>
  <c r="T38" i="2"/>
  <c r="L38" i="2"/>
  <c r="M38" i="2" s="1"/>
  <c r="J38" i="2"/>
  <c r="I38" i="2"/>
  <c r="H38" i="2"/>
  <c r="N37" i="2"/>
  <c r="T37" i="2"/>
  <c r="W37" i="2"/>
  <c r="AF37" i="2" s="1"/>
  <c r="L37" i="2"/>
  <c r="M37" i="2" s="1"/>
  <c r="J37" i="2"/>
  <c r="I37" i="2"/>
  <c r="H37" i="2"/>
  <c r="N36" i="2"/>
  <c r="W36" i="2"/>
  <c r="L36" i="2"/>
  <c r="M36" i="2" s="1"/>
  <c r="J36" i="2"/>
  <c r="I36" i="2"/>
  <c r="H36" i="2"/>
  <c r="W35" i="2"/>
  <c r="L35" i="2"/>
  <c r="M35" i="2" s="1"/>
  <c r="J35" i="2"/>
  <c r="I35" i="2"/>
  <c r="H35" i="2"/>
  <c r="L34" i="2"/>
  <c r="M34" i="2" s="1"/>
  <c r="J34" i="2"/>
  <c r="I34" i="2"/>
  <c r="H34" i="2"/>
  <c r="N33" i="2"/>
  <c r="W33" i="2" s="1"/>
  <c r="T33" i="2"/>
  <c r="L33" i="2"/>
  <c r="M33" i="2" s="1"/>
  <c r="J33" i="2"/>
  <c r="I33" i="2"/>
  <c r="H33" i="2"/>
  <c r="N32" i="2"/>
  <c r="W32" i="2" s="1"/>
  <c r="T32" i="2"/>
  <c r="L32" i="2"/>
  <c r="M32" i="2" s="1"/>
  <c r="J32" i="2"/>
  <c r="I32" i="2"/>
  <c r="H32" i="2"/>
  <c r="N31" i="2"/>
  <c r="T31" i="2"/>
  <c r="W31" i="2"/>
  <c r="L31" i="2"/>
  <c r="M31" i="2" s="1"/>
  <c r="J31" i="2"/>
  <c r="I31" i="2"/>
  <c r="H31" i="2"/>
  <c r="AA30" i="2"/>
  <c r="AB30" i="2"/>
  <c r="L30" i="2"/>
  <c r="M30" i="2" s="1"/>
  <c r="J30" i="2"/>
  <c r="I30" i="2"/>
  <c r="H30" i="2"/>
  <c r="W29" i="2"/>
  <c r="L29" i="2"/>
  <c r="M29" i="2" s="1"/>
  <c r="J29" i="2"/>
  <c r="I29" i="2"/>
  <c r="H29" i="2"/>
  <c r="N28" i="2"/>
  <c r="W28" i="2" s="1"/>
  <c r="T28" i="2"/>
  <c r="L28" i="2"/>
  <c r="M28" i="2" s="1"/>
  <c r="J28" i="2"/>
  <c r="I28" i="2"/>
  <c r="H28" i="2"/>
  <c r="L27" i="2"/>
  <c r="M27" i="2" s="1"/>
  <c r="J27" i="2"/>
  <c r="I27" i="2"/>
  <c r="H27" i="2"/>
  <c r="L26" i="2"/>
  <c r="M26" i="2" s="1"/>
  <c r="J26" i="2"/>
  <c r="I26" i="2"/>
  <c r="H26" i="2"/>
  <c r="T25" i="2"/>
  <c r="W25" i="2"/>
  <c r="L25" i="2"/>
  <c r="M25" i="2" s="1"/>
  <c r="J25" i="2"/>
  <c r="I25" i="2"/>
  <c r="H25" i="2"/>
  <c r="N24" i="2"/>
  <c r="T24" i="2"/>
  <c r="W24" i="2"/>
  <c r="P24" i="2"/>
  <c r="L24" i="2"/>
  <c r="M24" i="2" s="1"/>
  <c r="J24" i="2"/>
  <c r="I24" i="2"/>
  <c r="H24" i="2"/>
  <c r="N23" i="2"/>
  <c r="T23" i="2"/>
  <c r="W23" i="2"/>
  <c r="L23" i="2"/>
  <c r="M23" i="2" s="1"/>
  <c r="J23" i="2"/>
  <c r="I23" i="2"/>
  <c r="H23" i="2"/>
  <c r="W22" i="2"/>
  <c r="L22" i="2"/>
  <c r="M22" i="2" s="1"/>
  <c r="J22" i="2"/>
  <c r="I22" i="2"/>
  <c r="H22" i="2"/>
  <c r="N21" i="2"/>
  <c r="T21" i="2"/>
  <c r="W21" i="2"/>
  <c r="L21" i="2"/>
  <c r="M21" i="2" s="1"/>
  <c r="J21" i="2"/>
  <c r="I21" i="2"/>
  <c r="H21" i="2"/>
  <c r="N20" i="2"/>
  <c r="W20" i="2" s="1"/>
  <c r="T20" i="2"/>
  <c r="L20" i="2"/>
  <c r="M20" i="2" s="1"/>
  <c r="J20" i="2"/>
  <c r="I20" i="2"/>
  <c r="H20" i="2"/>
  <c r="N19" i="2"/>
  <c r="W19" i="2" s="1"/>
  <c r="T19" i="2"/>
  <c r="L19" i="2"/>
  <c r="M19" i="2" s="1"/>
  <c r="J19" i="2"/>
  <c r="I19" i="2"/>
  <c r="H19" i="2"/>
  <c r="L18" i="2"/>
  <c r="M18" i="2" s="1"/>
  <c r="J18" i="2"/>
  <c r="I18" i="2"/>
  <c r="H18" i="2"/>
  <c r="T17" i="2"/>
  <c r="W17" i="2"/>
  <c r="L17" i="2"/>
  <c r="M17" i="2" s="1"/>
  <c r="J17" i="2"/>
  <c r="I17" i="2"/>
  <c r="H17" i="2"/>
  <c r="N16" i="2"/>
  <c r="W16" i="2" s="1"/>
  <c r="T16" i="2"/>
  <c r="P16" i="2"/>
  <c r="L16" i="2"/>
  <c r="M16" i="2" s="1"/>
  <c r="J16" i="2"/>
  <c r="I16" i="2"/>
  <c r="H16" i="2"/>
  <c r="N15" i="2"/>
  <c r="W15" i="2" s="1"/>
  <c r="T15" i="2"/>
  <c r="L15" i="2"/>
  <c r="M15" i="2" s="1"/>
  <c r="J15" i="2"/>
  <c r="I15" i="2"/>
  <c r="H15" i="2"/>
  <c r="W14" i="2"/>
  <c r="L14" i="2"/>
  <c r="M14" i="2" s="1"/>
  <c r="J14" i="2"/>
  <c r="I14" i="2"/>
  <c r="H14" i="2"/>
  <c r="N13" i="2"/>
  <c r="W13" i="2" s="1"/>
  <c r="T13" i="2"/>
  <c r="L13" i="2"/>
  <c r="M13" i="2" s="1"/>
  <c r="J13" i="2"/>
  <c r="I13" i="2"/>
  <c r="H13" i="2"/>
  <c r="N12" i="2"/>
  <c r="W12" i="2" s="1"/>
  <c r="T12" i="2"/>
  <c r="L12" i="2"/>
  <c r="M12" i="2" s="1"/>
  <c r="J12" i="2"/>
  <c r="I12" i="2"/>
  <c r="H12" i="2"/>
  <c r="N11" i="2"/>
  <c r="T11" i="2"/>
  <c r="W11" i="2"/>
  <c r="L11" i="2"/>
  <c r="M11" i="2" s="1"/>
  <c r="J11" i="2"/>
  <c r="I11" i="2"/>
  <c r="H11" i="2"/>
  <c r="L10" i="2"/>
  <c r="M10" i="2" s="1"/>
  <c r="J10" i="2"/>
  <c r="I10" i="2"/>
  <c r="H10" i="2"/>
  <c r="T9" i="2"/>
  <c r="W9" i="2"/>
  <c r="L9" i="2"/>
  <c r="M9" i="2" s="1"/>
  <c r="J9" i="2"/>
  <c r="I9" i="2"/>
  <c r="H9" i="2"/>
  <c r="N8" i="2"/>
  <c r="W8" i="2" s="1"/>
  <c r="T8" i="2"/>
  <c r="P8" i="2"/>
  <c r="L8" i="2"/>
  <c r="M8" i="2" s="1"/>
  <c r="J8" i="2"/>
  <c r="I8" i="2"/>
  <c r="H8" i="2"/>
  <c r="N7" i="2"/>
  <c r="W7" i="2" s="1"/>
  <c r="T7" i="2"/>
  <c r="L7" i="2"/>
  <c r="M7" i="2" s="1"/>
  <c r="J7" i="2"/>
  <c r="I7" i="2"/>
  <c r="H7" i="2"/>
  <c r="AB6" i="2"/>
  <c r="AA6" i="2"/>
  <c r="W6" i="2"/>
  <c r="L6" i="2"/>
  <c r="M6" i="2" s="1"/>
  <c r="J6" i="2"/>
  <c r="I6" i="2"/>
  <c r="H6" i="2"/>
  <c r="N5" i="2"/>
  <c r="T5" i="2"/>
  <c r="W5" i="2"/>
  <c r="L5" i="2"/>
  <c r="M5" i="2" s="1"/>
  <c r="J5" i="2"/>
  <c r="I5" i="2"/>
  <c r="H5" i="2"/>
  <c r="N4" i="2"/>
  <c r="W4" i="2" s="1"/>
  <c r="T4" i="2"/>
  <c r="L4" i="2"/>
  <c r="M4" i="2" s="1"/>
  <c r="J4" i="2"/>
  <c r="I4" i="2"/>
  <c r="H4" i="2"/>
  <c r="N3" i="2"/>
  <c r="W3" i="2" s="1"/>
  <c r="T3" i="2"/>
  <c r="L3" i="2"/>
  <c r="M3" i="2" s="1"/>
  <c r="J3" i="2"/>
  <c r="I3" i="2"/>
  <c r="H3" i="2"/>
  <c r="L2" i="2"/>
  <c r="M2" i="2" s="1"/>
  <c r="J2" i="2"/>
  <c r="I2" i="2"/>
  <c r="H2" i="2"/>
  <c r="BF5" i="2" l="1"/>
  <c r="BF9" i="2"/>
  <c r="BF13" i="2"/>
  <c r="BF17" i="2"/>
  <c r="BF21" i="2"/>
  <c r="BF25" i="2"/>
  <c r="BF29" i="2"/>
  <c r="BF33" i="2"/>
  <c r="BF37" i="2"/>
  <c r="BF41" i="2"/>
  <c r="BF45" i="2"/>
  <c r="BF49" i="2"/>
  <c r="BF53" i="2"/>
  <c r="BF57" i="2"/>
  <c r="BF61" i="2"/>
  <c r="BF65" i="2"/>
  <c r="BF69" i="2"/>
  <c r="BF73" i="2"/>
  <c r="BF77" i="2"/>
  <c r="BF81" i="2"/>
  <c r="BF85" i="2"/>
  <c r="BF89" i="2"/>
  <c r="BF93" i="2"/>
  <c r="BF97" i="2"/>
  <c r="BF101" i="2"/>
  <c r="BF105" i="2"/>
  <c r="BF109" i="2"/>
  <c r="BF113" i="2"/>
  <c r="BF117" i="2"/>
  <c r="BF121" i="2"/>
  <c r="BF125" i="2"/>
  <c r="BF129" i="2"/>
  <c r="BF133" i="2"/>
  <c r="BF137" i="2"/>
  <c r="BF141" i="2"/>
  <c r="BF145" i="2"/>
  <c r="BF149" i="2"/>
  <c r="BF153" i="2"/>
  <c r="BF157" i="2"/>
  <c r="BF161" i="2"/>
  <c r="BF165" i="2"/>
  <c r="BF169" i="2"/>
  <c r="BF173" i="2"/>
  <c r="BF177" i="2"/>
  <c r="BF181" i="2"/>
  <c r="BF185" i="2"/>
  <c r="BF189" i="2"/>
  <c r="BF193" i="2"/>
  <c r="BF197" i="2"/>
  <c r="BF201" i="2"/>
  <c r="BF205" i="2"/>
  <c r="BF209" i="2"/>
  <c r="BF213" i="2"/>
  <c r="BF217" i="2"/>
  <c r="BF221" i="2"/>
  <c r="BF225" i="2"/>
  <c r="BF229" i="2"/>
  <c r="BF233" i="2"/>
  <c r="BF237" i="2"/>
  <c r="BF241" i="2"/>
  <c r="BF245" i="2"/>
  <c r="BF249" i="2"/>
  <c r="BF253" i="2"/>
  <c r="BF257" i="2"/>
  <c r="BF261" i="2"/>
  <c r="BF265" i="2"/>
  <c r="BF269" i="2"/>
  <c r="BF273" i="2"/>
  <c r="BF277" i="2"/>
  <c r="BF281" i="2"/>
  <c r="BF285" i="2"/>
  <c r="BF289" i="2"/>
  <c r="BF293" i="2"/>
  <c r="BF297" i="2"/>
  <c r="BF301" i="2"/>
  <c r="BF305" i="2"/>
  <c r="BF309" i="2"/>
  <c r="BF313" i="2"/>
  <c r="BF317" i="2"/>
  <c r="BF321" i="2"/>
  <c r="BF325" i="2"/>
  <c r="BF329" i="2"/>
  <c r="BF333" i="2"/>
  <c r="BF337" i="2"/>
  <c r="BF341" i="2"/>
  <c r="BF6" i="2"/>
  <c r="BF11" i="2"/>
  <c r="BF16" i="2"/>
  <c r="BF22" i="2"/>
  <c r="BF27" i="2"/>
  <c r="BF32" i="2"/>
  <c r="BF38" i="2"/>
  <c r="BF43" i="2"/>
  <c r="BF48" i="2"/>
  <c r="BF54" i="2"/>
  <c r="BF59" i="2"/>
  <c r="BF64" i="2"/>
  <c r="BF70" i="2"/>
  <c r="BF75" i="2"/>
  <c r="BF80" i="2"/>
  <c r="BF86" i="2"/>
  <c r="BF91" i="2"/>
  <c r="BF96" i="2"/>
  <c r="BF102" i="2"/>
  <c r="BF107" i="2"/>
  <c r="BF112" i="2"/>
  <c r="BF118" i="2"/>
  <c r="BF123" i="2"/>
  <c r="BF128" i="2"/>
  <c r="BF134" i="2"/>
  <c r="BF139" i="2"/>
  <c r="BF144" i="2"/>
  <c r="BF150" i="2"/>
  <c r="BF155" i="2"/>
  <c r="BF160" i="2"/>
  <c r="BF166" i="2"/>
  <c r="BF171" i="2"/>
  <c r="BF176" i="2"/>
  <c r="BF182" i="2"/>
  <c r="BF187" i="2"/>
  <c r="BF192" i="2"/>
  <c r="BF198" i="2"/>
  <c r="BF203" i="2"/>
  <c r="BF208" i="2"/>
  <c r="BF214" i="2"/>
  <c r="BF219" i="2"/>
  <c r="BF224" i="2"/>
  <c r="BF230" i="2"/>
  <c r="BF235" i="2"/>
  <c r="BF240" i="2"/>
  <c r="BF246" i="2"/>
  <c r="BF251" i="2"/>
  <c r="BF256" i="2"/>
  <c r="BF262" i="2"/>
  <c r="BF267" i="2"/>
  <c r="BF272" i="2"/>
  <c r="BF278" i="2"/>
  <c r="BF283" i="2"/>
  <c r="BF288" i="2"/>
  <c r="BF294" i="2"/>
  <c r="BF299" i="2"/>
  <c r="BF304" i="2"/>
  <c r="BF310" i="2"/>
  <c r="BF315" i="2"/>
  <c r="BF320" i="2"/>
  <c r="BF326" i="2"/>
  <c r="BF331" i="2"/>
  <c r="BF336" i="2"/>
  <c r="BF342" i="2"/>
  <c r="BF346" i="2"/>
  <c r="BF350" i="2"/>
  <c r="BF354" i="2"/>
  <c r="BF358" i="2"/>
  <c r="BF362" i="2"/>
  <c r="BF366" i="2"/>
  <c r="BF370" i="2"/>
  <c r="BF374" i="2"/>
  <c r="BF378" i="2"/>
  <c r="BF382" i="2"/>
  <c r="BF386" i="2"/>
  <c r="BF390" i="2"/>
  <c r="BF394" i="2"/>
  <c r="BF398" i="2"/>
  <c r="BF402" i="2"/>
  <c r="BF406" i="2"/>
  <c r="BF410" i="2"/>
  <c r="BF414" i="2"/>
  <c r="BF418" i="2"/>
  <c r="BF422" i="2"/>
  <c r="BF426" i="2"/>
  <c r="BF430" i="2"/>
  <c r="BF434" i="2"/>
  <c r="BF438" i="2"/>
  <c r="BF442" i="2"/>
  <c r="BF446" i="2"/>
  <c r="BF450" i="2"/>
  <c r="BF454" i="2"/>
  <c r="BF458" i="2"/>
  <c r="BF462" i="2"/>
  <c r="BF466" i="2"/>
  <c r="BF470" i="2"/>
  <c r="BF474" i="2"/>
  <c r="BF478" i="2"/>
  <c r="BF482" i="2"/>
  <c r="BF486" i="2"/>
  <c r="BF490" i="2"/>
  <c r="BF494" i="2"/>
  <c r="BF498" i="2"/>
  <c r="BF502" i="2"/>
  <c r="BF506" i="2"/>
  <c r="BF510" i="2"/>
  <c r="BF514" i="2"/>
  <c r="BF518" i="2"/>
  <c r="BF522" i="2"/>
  <c r="BF526" i="2"/>
  <c r="BF530" i="2"/>
  <c r="BF534" i="2"/>
  <c r="BF538" i="2"/>
  <c r="BF542" i="2"/>
  <c r="BF546" i="2"/>
  <c r="BF550" i="2"/>
  <c r="BF554" i="2"/>
  <c r="BF558" i="2"/>
  <c r="BF562" i="2"/>
  <c r="BF566" i="2"/>
  <c r="BF570" i="2"/>
  <c r="BF574" i="2"/>
  <c r="BF578" i="2"/>
  <c r="BF582" i="2"/>
  <c r="BF586" i="2"/>
  <c r="BF590" i="2"/>
  <c r="BF594" i="2"/>
  <c r="BF598" i="2"/>
  <c r="BF602" i="2"/>
  <c r="BF606" i="2"/>
  <c r="BF610" i="2"/>
  <c r="BF614" i="2"/>
  <c r="BF618" i="2"/>
  <c r="BF622" i="2"/>
  <c r="BF626" i="2"/>
  <c r="BF630" i="2"/>
  <c r="BF634" i="2"/>
  <c r="BF638" i="2"/>
  <c r="BF642" i="2"/>
  <c r="BF646" i="2"/>
  <c r="BF650" i="2"/>
  <c r="BF654" i="2"/>
  <c r="BF658" i="2"/>
  <c r="BF662" i="2"/>
  <c r="BF666" i="2"/>
  <c r="BF670" i="2"/>
  <c r="BF674" i="2"/>
  <c r="BF678" i="2"/>
  <c r="BF682" i="2"/>
  <c r="BF686" i="2"/>
  <c r="BF690" i="2"/>
  <c r="BF694" i="2"/>
  <c r="BF698" i="2"/>
  <c r="BF702" i="2"/>
  <c r="BF706" i="2"/>
  <c r="BF710" i="2"/>
  <c r="BF714" i="2"/>
  <c r="BF718" i="2"/>
  <c r="BF722" i="2"/>
  <c r="BF726" i="2"/>
  <c r="BF730" i="2"/>
  <c r="BF734" i="2"/>
  <c r="BF738" i="2"/>
  <c r="BF742" i="2"/>
  <c r="BF746" i="2"/>
  <c r="BF750" i="2"/>
  <c r="BF754" i="2"/>
  <c r="BF758" i="2"/>
  <c r="BF762" i="2"/>
  <c r="BF766" i="2"/>
  <c r="BF7" i="2"/>
  <c r="BF14" i="2"/>
  <c r="BF20" i="2"/>
  <c r="BF28" i="2"/>
  <c r="BF35" i="2"/>
  <c r="BF42" i="2"/>
  <c r="BF50" i="2"/>
  <c r="BF56" i="2"/>
  <c r="BF63" i="2"/>
  <c r="BF71" i="2"/>
  <c r="BF78" i="2"/>
  <c r="BF84" i="2"/>
  <c r="BF92" i="2"/>
  <c r="BF99" i="2"/>
  <c r="BF106" i="2"/>
  <c r="BF114" i="2"/>
  <c r="BF120" i="2"/>
  <c r="BF127" i="2"/>
  <c r="BF135" i="2"/>
  <c r="BF142" i="2"/>
  <c r="BF148" i="2"/>
  <c r="BF156" i="2"/>
  <c r="BF163" i="2"/>
  <c r="BF170" i="2"/>
  <c r="BF178" i="2"/>
  <c r="BF184" i="2"/>
  <c r="BF191" i="2"/>
  <c r="BF199" i="2"/>
  <c r="BF206" i="2"/>
  <c r="BF212" i="2"/>
  <c r="BF220" i="2"/>
  <c r="BF227" i="2"/>
  <c r="BF234" i="2"/>
  <c r="BF242" i="2"/>
  <c r="BF248" i="2"/>
  <c r="BF255" i="2"/>
  <c r="BF263" i="2"/>
  <c r="BF270" i="2"/>
  <c r="BF276" i="2"/>
  <c r="BF284" i="2"/>
  <c r="BF291" i="2"/>
  <c r="BF298" i="2"/>
  <c r="BF306" i="2"/>
  <c r="BF312" i="2"/>
  <c r="BF319" i="2"/>
  <c r="BF327" i="2"/>
  <c r="BF334" i="2"/>
  <c r="BF340" i="2"/>
  <c r="BF347" i="2"/>
  <c r="BF352" i="2"/>
  <c r="BF357" i="2"/>
  <c r="BF363" i="2"/>
  <c r="BF368" i="2"/>
  <c r="BF373" i="2"/>
  <c r="BF379" i="2"/>
  <c r="BF384" i="2"/>
  <c r="BF389" i="2"/>
  <c r="BF395" i="2"/>
  <c r="BF400" i="2"/>
  <c r="BF405" i="2"/>
  <c r="BF411" i="2"/>
  <c r="BF416" i="2"/>
  <c r="BF421" i="2"/>
  <c r="BF427" i="2"/>
  <c r="BF432" i="2"/>
  <c r="BF437" i="2"/>
  <c r="BF443" i="2"/>
  <c r="BF448" i="2"/>
  <c r="BF453" i="2"/>
  <c r="BF459" i="2"/>
  <c r="BF464" i="2"/>
  <c r="BF469" i="2"/>
  <c r="BF475" i="2"/>
  <c r="BF480" i="2"/>
  <c r="BF485" i="2"/>
  <c r="BF491" i="2"/>
  <c r="BF496" i="2"/>
  <c r="BF501" i="2"/>
  <c r="BF507" i="2"/>
  <c r="BF512" i="2"/>
  <c r="BF517" i="2"/>
  <c r="BF523" i="2"/>
  <c r="BF528" i="2"/>
  <c r="BF533" i="2"/>
  <c r="BF539" i="2"/>
  <c r="BF544" i="2"/>
  <c r="BF549" i="2"/>
  <c r="BF555" i="2"/>
  <c r="BF560" i="2"/>
  <c r="BF565" i="2"/>
  <c r="BF571" i="2"/>
  <c r="BF576" i="2"/>
  <c r="BF581" i="2"/>
  <c r="BF587" i="2"/>
  <c r="BF592" i="2"/>
  <c r="BF597" i="2"/>
  <c r="BF603" i="2"/>
  <c r="BF608" i="2"/>
  <c r="BF613" i="2"/>
  <c r="BF619" i="2"/>
  <c r="BF624" i="2"/>
  <c r="BF629" i="2"/>
  <c r="BF635" i="2"/>
  <c r="BF640" i="2"/>
  <c r="BF645" i="2"/>
  <c r="BF651" i="2"/>
  <c r="BF656" i="2"/>
  <c r="BF661" i="2"/>
  <c r="BF667" i="2"/>
  <c r="BF672" i="2"/>
  <c r="BF677" i="2"/>
  <c r="BF683" i="2"/>
  <c r="BF688" i="2"/>
  <c r="BF693" i="2"/>
  <c r="BF699" i="2"/>
  <c r="BF704" i="2"/>
  <c r="BF709" i="2"/>
  <c r="BF715" i="2"/>
  <c r="BF720" i="2"/>
  <c r="BF725" i="2"/>
  <c r="BF731" i="2"/>
  <c r="BF736" i="2"/>
  <c r="BF741" i="2"/>
  <c r="BF747" i="2"/>
  <c r="BF752" i="2"/>
  <c r="BF757" i="2"/>
  <c r="BF763" i="2"/>
  <c r="BF768" i="2"/>
  <c r="BF772" i="2"/>
  <c r="BF776" i="2"/>
  <c r="BF780" i="2"/>
  <c r="BF784" i="2"/>
  <c r="BF788" i="2"/>
  <c r="BF792" i="2"/>
  <c r="BF796" i="2"/>
  <c r="BF800" i="2"/>
  <c r="BF804" i="2"/>
  <c r="BF808" i="2"/>
  <c r="BF812" i="2"/>
  <c r="BF816" i="2"/>
  <c r="BF820" i="2"/>
  <c r="BF824" i="2"/>
  <c r="BF828" i="2"/>
  <c r="BF832" i="2"/>
  <c r="BF836" i="2"/>
  <c r="BF840" i="2"/>
  <c r="BF844" i="2"/>
  <c r="BF848" i="2"/>
  <c r="BF852" i="2"/>
  <c r="BF856" i="2"/>
  <c r="BF860" i="2"/>
  <c r="BF864" i="2"/>
  <c r="BF868" i="2"/>
  <c r="BF872" i="2"/>
  <c r="BF876" i="2"/>
  <c r="BF880" i="2"/>
  <c r="BF884" i="2"/>
  <c r="BF888" i="2"/>
  <c r="BF892" i="2"/>
  <c r="BF896" i="2"/>
  <c r="BF900" i="2"/>
  <c r="BF904" i="2"/>
  <c r="BF908" i="2"/>
  <c r="BF912" i="2"/>
  <c r="BF916" i="2"/>
  <c r="BF920" i="2"/>
  <c r="BF924" i="2"/>
  <c r="BF928" i="2"/>
  <c r="BF932" i="2"/>
  <c r="BF936" i="2"/>
  <c r="BF940" i="2"/>
  <c r="BF944" i="2"/>
  <c r="BF948" i="2"/>
  <c r="BF952" i="2"/>
  <c r="BF956" i="2"/>
  <c r="BF960" i="2"/>
  <c r="BF964" i="2"/>
  <c r="BF968" i="2"/>
  <c r="BF972" i="2"/>
  <c r="BF976" i="2"/>
  <c r="BF980" i="2"/>
  <c r="BF984" i="2"/>
  <c r="BF988" i="2"/>
  <c r="BF992" i="2"/>
  <c r="BF996" i="2"/>
  <c r="BF1000" i="2"/>
  <c r="BF1004" i="2"/>
  <c r="BF1008" i="2"/>
  <c r="BF1012" i="2"/>
  <c r="BF1016" i="2"/>
  <c r="BF1020" i="2"/>
  <c r="BF1024" i="2"/>
  <c r="BF1028" i="2"/>
  <c r="BF1032" i="2"/>
  <c r="BF1036" i="2"/>
  <c r="BF1040" i="2"/>
  <c r="BF1044" i="2"/>
  <c r="BF1048" i="2"/>
  <c r="BF1052" i="2"/>
  <c r="BF1056" i="2"/>
  <c r="BF1060" i="2"/>
  <c r="BF1064" i="2"/>
  <c r="BF1068" i="2"/>
  <c r="BF1072" i="2"/>
  <c r="BF1076" i="2"/>
  <c r="BF1080" i="2"/>
  <c r="BF1084" i="2"/>
  <c r="BF1088" i="2"/>
  <c r="BF1092" i="2"/>
  <c r="BF1096" i="2"/>
  <c r="BF1100" i="2"/>
  <c r="BF1104" i="2"/>
  <c r="BF1108" i="2"/>
  <c r="BF1112" i="2"/>
  <c r="BF1116" i="2"/>
  <c r="BF1120" i="2"/>
  <c r="BF1124" i="2"/>
  <c r="BF1128" i="2"/>
  <c r="BF1132" i="2"/>
  <c r="BF1136" i="2"/>
  <c r="BF1140" i="2"/>
  <c r="BF1144" i="2"/>
  <c r="BF1148" i="2"/>
  <c r="BF1152" i="2"/>
  <c r="BF1156" i="2"/>
  <c r="BF1160" i="2"/>
  <c r="BF1164" i="2"/>
  <c r="BF1168" i="2"/>
  <c r="BF1172" i="2"/>
  <c r="BF1176" i="2"/>
  <c r="BF1180" i="2"/>
  <c r="BF1184" i="2"/>
  <c r="BF1188" i="2"/>
  <c r="BF1192" i="2"/>
  <c r="BF1196" i="2"/>
  <c r="BF1200" i="2"/>
  <c r="BF1204" i="2"/>
  <c r="BF1208" i="2"/>
  <c r="BF1212" i="2"/>
  <c r="BF1216" i="2"/>
  <c r="BF1220" i="2"/>
  <c r="BF1224" i="2"/>
  <c r="BF1228" i="2"/>
  <c r="BF1232" i="2"/>
  <c r="BF1236" i="2"/>
  <c r="BF1240" i="2"/>
  <c r="BF1244" i="2"/>
  <c r="BF1248" i="2"/>
  <c r="BF1252" i="2"/>
  <c r="BF1256" i="2"/>
  <c r="BF1260" i="2"/>
  <c r="BF1264" i="2"/>
  <c r="BF1268" i="2"/>
  <c r="BF1272" i="2"/>
  <c r="BF1276" i="2"/>
  <c r="BF1280" i="2"/>
  <c r="BF1284" i="2"/>
  <c r="BF1288" i="2"/>
  <c r="BF1292" i="2"/>
  <c r="BF1296" i="2"/>
  <c r="BF1300" i="2"/>
  <c r="BF1304" i="2"/>
  <c r="BF1308" i="2"/>
  <c r="BF1312" i="2"/>
  <c r="BF1316" i="2"/>
  <c r="BF1320" i="2"/>
  <c r="BF1324" i="2"/>
  <c r="BF1328" i="2"/>
  <c r="BF1332" i="2"/>
  <c r="BF1336" i="2"/>
  <c r="BF1340" i="2"/>
  <c r="BF1344" i="2"/>
  <c r="BF1348" i="2"/>
  <c r="BF1352" i="2"/>
  <c r="BF1356" i="2"/>
  <c r="BF1360" i="2"/>
  <c r="BF1364" i="2"/>
  <c r="BF1368" i="2"/>
  <c r="BF1372" i="2"/>
  <c r="BF1376" i="2"/>
  <c r="BF1380" i="2"/>
  <c r="BF1384" i="2"/>
  <c r="BF1388" i="2"/>
  <c r="BF1392" i="2"/>
  <c r="BF1396" i="2"/>
  <c r="BF1400" i="2"/>
  <c r="BF1404" i="2"/>
  <c r="BF1408" i="2"/>
  <c r="BF1412" i="2"/>
  <c r="BF1416" i="2"/>
  <c r="BF1420" i="2"/>
  <c r="BF1424" i="2"/>
  <c r="BF1428" i="2"/>
  <c r="BF1432" i="2"/>
  <c r="BF1436" i="2"/>
  <c r="BF1440" i="2"/>
  <c r="BF1444" i="2"/>
  <c r="BF1448" i="2"/>
  <c r="BF1452" i="2"/>
  <c r="BF1456" i="2"/>
  <c r="BF1460" i="2"/>
  <c r="BF1464" i="2"/>
  <c r="BF1468" i="2"/>
  <c r="BF1472" i="2"/>
  <c r="BF1476" i="2"/>
  <c r="BF1480" i="2"/>
  <c r="BF1484" i="2"/>
  <c r="BF1488" i="2"/>
  <c r="BF1492" i="2"/>
  <c r="BF1496" i="2"/>
  <c r="BF1500" i="2"/>
  <c r="BF1504" i="2"/>
  <c r="BF1508" i="2"/>
  <c r="BF1512" i="2"/>
  <c r="BF1516" i="2"/>
  <c r="BF1520" i="2"/>
  <c r="BF1524" i="2"/>
  <c r="BF1528" i="2"/>
  <c r="BF1532" i="2"/>
  <c r="BF1536" i="2"/>
  <c r="BF1540" i="2"/>
  <c r="BF1544" i="2"/>
  <c r="BF1548" i="2"/>
  <c r="BF1552" i="2"/>
  <c r="BF1556" i="2"/>
  <c r="BF1560" i="2"/>
  <c r="BF1564" i="2"/>
  <c r="BF1568" i="2"/>
  <c r="BF1572" i="2"/>
  <c r="BF1576" i="2"/>
  <c r="BF1580" i="2"/>
  <c r="BF1584" i="2"/>
  <c r="BF1588" i="2"/>
  <c r="BF1592" i="2"/>
  <c r="BF1596" i="2"/>
  <c r="BF1600" i="2"/>
  <c r="BF1604" i="2"/>
  <c r="BF1608" i="2"/>
  <c r="BF1612" i="2"/>
  <c r="BF1616" i="2"/>
  <c r="BF1620" i="2"/>
  <c r="BF8" i="2"/>
  <c r="BF18" i="2"/>
  <c r="BF26" i="2"/>
  <c r="BF36" i="2"/>
  <c r="BF46" i="2"/>
  <c r="BF55" i="2"/>
  <c r="BF66" i="2"/>
  <c r="BF74" i="2"/>
  <c r="BF83" i="2"/>
  <c r="BF94" i="2"/>
  <c r="BF103" i="2"/>
  <c r="BF111" i="2"/>
  <c r="BF122" i="2"/>
  <c r="BF131" i="2"/>
  <c r="BF140" i="2"/>
  <c r="BF151" i="2"/>
  <c r="BF159" i="2"/>
  <c r="BF168" i="2"/>
  <c r="BF179" i="2"/>
  <c r="BF188" i="2"/>
  <c r="BF196" i="2"/>
  <c r="BF207" i="2"/>
  <c r="BF216" i="2"/>
  <c r="BF226" i="2"/>
  <c r="BF236" i="2"/>
  <c r="BF244" i="2"/>
  <c r="BF254" i="2"/>
  <c r="BF264" i="2"/>
  <c r="BF274" i="2"/>
  <c r="BF282" i="2"/>
  <c r="BF292" i="2"/>
  <c r="BF302" i="2"/>
  <c r="BF311" i="2"/>
  <c r="BF322" i="2"/>
  <c r="BF330" i="2"/>
  <c r="BF339" i="2"/>
  <c r="BF348" i="2"/>
  <c r="BF355" i="2"/>
  <c r="BF361" i="2"/>
  <c r="BF369" i="2"/>
  <c r="BF376" i="2"/>
  <c r="BF383" i="2"/>
  <c r="BF391" i="2"/>
  <c r="BF397" i="2"/>
  <c r="BF404" i="2"/>
  <c r="BF412" i="2"/>
  <c r="BF419" i="2"/>
  <c r="BF425" i="2"/>
  <c r="BF433" i="2"/>
  <c r="BF440" i="2"/>
  <c r="BF447" i="2"/>
  <c r="BF455" i="2"/>
  <c r="BF461" i="2"/>
  <c r="BF468" i="2"/>
  <c r="BF476" i="2"/>
  <c r="BF483" i="2"/>
  <c r="BF489" i="2"/>
  <c r="BF497" i="2"/>
  <c r="BF504" i="2"/>
  <c r="BF511" i="2"/>
  <c r="BF519" i="2"/>
  <c r="BF525" i="2"/>
  <c r="BF532" i="2"/>
  <c r="BF540" i="2"/>
  <c r="BF547" i="2"/>
  <c r="BF553" i="2"/>
  <c r="BF561" i="2"/>
  <c r="BF568" i="2"/>
  <c r="BF575" i="2"/>
  <c r="BF583" i="2"/>
  <c r="BF589" i="2"/>
  <c r="BF596" i="2"/>
  <c r="BF604" i="2"/>
  <c r="BF611" i="2"/>
  <c r="BF617" i="2"/>
  <c r="BF625" i="2"/>
  <c r="BF632" i="2"/>
  <c r="BF639" i="2"/>
  <c r="BF647" i="2"/>
  <c r="BF653" i="2"/>
  <c r="BF660" i="2"/>
  <c r="BF668" i="2"/>
  <c r="BF675" i="2"/>
  <c r="BF681" i="2"/>
  <c r="BF689" i="2"/>
  <c r="BF696" i="2"/>
  <c r="BF703" i="2"/>
  <c r="BF711" i="2"/>
  <c r="BF717" i="2"/>
  <c r="BF724" i="2"/>
  <c r="BF732" i="2"/>
  <c r="BF739" i="2"/>
  <c r="BF745" i="2"/>
  <c r="BF753" i="2"/>
  <c r="BF760" i="2"/>
  <c r="BF767" i="2"/>
  <c r="BF773" i="2"/>
  <c r="BF778" i="2"/>
  <c r="BF783" i="2"/>
  <c r="BF789" i="2"/>
  <c r="BF794" i="2"/>
  <c r="BF799" i="2"/>
  <c r="BF805" i="2"/>
  <c r="BF810" i="2"/>
  <c r="BF815" i="2"/>
  <c r="BF821" i="2"/>
  <c r="BF826" i="2"/>
  <c r="BF831" i="2"/>
  <c r="BF837" i="2"/>
  <c r="BF842" i="2"/>
  <c r="BF847" i="2"/>
  <c r="BF853" i="2"/>
  <c r="BF858" i="2"/>
  <c r="BF863" i="2"/>
  <c r="BF869" i="2"/>
  <c r="BF874" i="2"/>
  <c r="BF879" i="2"/>
  <c r="BF885" i="2"/>
  <c r="BF890" i="2"/>
  <c r="BF895" i="2"/>
  <c r="BF901" i="2"/>
  <c r="BF906" i="2"/>
  <c r="BF911" i="2"/>
  <c r="BF917" i="2"/>
  <c r="BF922" i="2"/>
  <c r="BF927" i="2"/>
  <c r="BF933" i="2"/>
  <c r="BF938" i="2"/>
  <c r="BF943" i="2"/>
  <c r="BF949" i="2"/>
  <c r="BF954" i="2"/>
  <c r="BF959" i="2"/>
  <c r="BF965" i="2"/>
  <c r="BF970" i="2"/>
  <c r="BF975" i="2"/>
  <c r="BF981" i="2"/>
  <c r="BF986" i="2"/>
  <c r="BF991" i="2"/>
  <c r="BF997" i="2"/>
  <c r="BF1002" i="2"/>
  <c r="BF1007" i="2"/>
  <c r="BF1013" i="2"/>
  <c r="BF1018" i="2"/>
  <c r="BF1023" i="2"/>
  <c r="BF1029" i="2"/>
  <c r="BF1034" i="2"/>
  <c r="BF1039" i="2"/>
  <c r="BF1045" i="2"/>
  <c r="BF1050" i="2"/>
  <c r="BF1055" i="2"/>
  <c r="BF1061" i="2"/>
  <c r="BF1066" i="2"/>
  <c r="BF1071" i="2"/>
  <c r="BF1077" i="2"/>
  <c r="BF1082" i="2"/>
  <c r="BF1087" i="2"/>
  <c r="BF1093" i="2"/>
  <c r="BF1098" i="2"/>
  <c r="BF1103" i="2"/>
  <c r="BF1109" i="2"/>
  <c r="BF1114" i="2"/>
  <c r="BF1119" i="2"/>
  <c r="BF1125" i="2"/>
  <c r="BF1130" i="2"/>
  <c r="BF1135" i="2"/>
  <c r="BF1141" i="2"/>
  <c r="BF1146" i="2"/>
  <c r="BF1151" i="2"/>
  <c r="BF1157" i="2"/>
  <c r="BF1162" i="2"/>
  <c r="BF1167" i="2"/>
  <c r="BF1173" i="2"/>
  <c r="BF1178" i="2"/>
  <c r="BF1183" i="2"/>
  <c r="BF1189" i="2"/>
  <c r="BF1194" i="2"/>
  <c r="BF1199" i="2"/>
  <c r="BF1205" i="2"/>
  <c r="BF1210" i="2"/>
  <c r="BF1215" i="2"/>
  <c r="BF1221" i="2"/>
  <c r="BF1226" i="2"/>
  <c r="BF1231" i="2"/>
  <c r="BF1237" i="2"/>
  <c r="BF1242" i="2"/>
  <c r="BF1247" i="2"/>
  <c r="BF1253" i="2"/>
  <c r="BF1258" i="2"/>
  <c r="BF1263" i="2"/>
  <c r="BF1269" i="2"/>
  <c r="BF1274" i="2"/>
  <c r="BF1279" i="2"/>
  <c r="BF1285" i="2"/>
  <c r="BF1290" i="2"/>
  <c r="BF1295" i="2"/>
  <c r="BF1301" i="2"/>
  <c r="BF1306" i="2"/>
  <c r="BF1311" i="2"/>
  <c r="BF1317" i="2"/>
  <c r="BF1322" i="2"/>
  <c r="BF1327" i="2"/>
  <c r="BF1333" i="2"/>
  <c r="BF1338" i="2"/>
  <c r="BF1343" i="2"/>
  <c r="BF1349" i="2"/>
  <c r="BF1354" i="2"/>
  <c r="BF1359" i="2"/>
  <c r="BF1365" i="2"/>
  <c r="BF1370" i="2"/>
  <c r="BF1375" i="2"/>
  <c r="BF1381" i="2"/>
  <c r="BF1386" i="2"/>
  <c r="BF1391" i="2"/>
  <c r="BF1397" i="2"/>
  <c r="BF1402" i="2"/>
  <c r="BF1407" i="2"/>
  <c r="BF1413" i="2"/>
  <c r="BF1418" i="2"/>
  <c r="BF1423" i="2"/>
  <c r="BF1429" i="2"/>
  <c r="BF1434" i="2"/>
  <c r="BF1439" i="2"/>
  <c r="BF1445" i="2"/>
  <c r="BF1450" i="2"/>
  <c r="BF1455" i="2"/>
  <c r="BF1461" i="2"/>
  <c r="BF1466" i="2"/>
  <c r="BF1471" i="2"/>
  <c r="BF1477" i="2"/>
  <c r="BF1482" i="2"/>
  <c r="BF1487" i="2"/>
  <c r="BF1493" i="2"/>
  <c r="BF1498" i="2"/>
  <c r="BF1503" i="2"/>
  <c r="BF1509" i="2"/>
  <c r="BF1514" i="2"/>
  <c r="BF1519" i="2"/>
  <c r="BF1525" i="2"/>
  <c r="BF1530" i="2"/>
  <c r="BF1535" i="2"/>
  <c r="BF1541" i="2"/>
  <c r="BF1546" i="2"/>
  <c r="BF1551" i="2"/>
  <c r="BF1557" i="2"/>
  <c r="BF1562" i="2"/>
  <c r="BF1567" i="2"/>
  <c r="BF1573" i="2"/>
  <c r="BF1578" i="2"/>
  <c r="BF1583" i="2"/>
  <c r="BF1589" i="2"/>
  <c r="BF1594" i="2"/>
  <c r="BF1599" i="2"/>
  <c r="BF1605" i="2"/>
  <c r="BF1610" i="2"/>
  <c r="BF1615" i="2"/>
  <c r="BF1621" i="2"/>
  <c r="BF1625" i="2"/>
  <c r="BF1629" i="2"/>
  <c r="BF1633" i="2"/>
  <c r="BF1637" i="2"/>
  <c r="BF1641" i="2"/>
  <c r="BF1645" i="2"/>
  <c r="BF1649" i="2"/>
  <c r="BF1653" i="2"/>
  <c r="BF1657" i="2"/>
  <c r="BF1661" i="2"/>
  <c r="BF1665" i="2"/>
  <c r="BF1669" i="2"/>
  <c r="BF1673" i="2"/>
  <c r="BF1677" i="2"/>
  <c r="BF1681" i="2"/>
  <c r="BF1685" i="2"/>
  <c r="BF1689" i="2"/>
  <c r="BF1693" i="2"/>
  <c r="BF1697" i="2"/>
  <c r="BF1701" i="2"/>
  <c r="BF1705" i="2"/>
  <c r="BF1709" i="2"/>
  <c r="BF1713" i="2"/>
  <c r="BF1717" i="2"/>
  <c r="BF1721" i="2"/>
  <c r="BF1725" i="2"/>
  <c r="BF1729" i="2"/>
  <c r="BF1733" i="2"/>
  <c r="BF1737" i="2"/>
  <c r="BF1741" i="2"/>
  <c r="BF1745" i="2"/>
  <c r="BF1749" i="2"/>
  <c r="BF1753" i="2"/>
  <c r="BF1757" i="2"/>
  <c r="BF1761" i="2"/>
  <c r="BF1765" i="2"/>
  <c r="BF1769" i="2"/>
  <c r="BF1773" i="2"/>
  <c r="BF1777" i="2"/>
  <c r="BF1781" i="2"/>
  <c r="BF1785" i="2"/>
  <c r="BF1789" i="2"/>
  <c r="BF1793" i="2"/>
  <c r="BF1797" i="2"/>
  <c r="BF1801" i="2"/>
  <c r="BF1805" i="2"/>
  <c r="BF1809" i="2"/>
  <c r="BF1813" i="2"/>
  <c r="BF1817" i="2"/>
  <c r="BF1821" i="2"/>
  <c r="BF1825" i="2"/>
  <c r="BF1829" i="2"/>
  <c r="BF1833" i="2"/>
  <c r="BF1837" i="2"/>
  <c r="BF1841" i="2"/>
  <c r="BF1845" i="2"/>
  <c r="BF1849" i="2"/>
  <c r="BF1853" i="2"/>
  <c r="BF1857" i="2"/>
  <c r="BF1861" i="2"/>
  <c r="BF1865" i="2"/>
  <c r="BF1869" i="2"/>
  <c r="BF1873" i="2"/>
  <c r="BF1877" i="2"/>
  <c r="BF1881" i="2"/>
  <c r="BF1885" i="2"/>
  <c r="BF1889" i="2"/>
  <c r="BF1893" i="2"/>
  <c r="BF1897" i="2"/>
  <c r="BF1901" i="2"/>
  <c r="BF1905" i="2"/>
  <c r="BF1909" i="2"/>
  <c r="BF1913" i="2"/>
  <c r="BF1917" i="2"/>
  <c r="BF1921" i="2"/>
  <c r="BF1925" i="2"/>
  <c r="BF1929" i="2"/>
  <c r="BF1933" i="2"/>
  <c r="BF1937" i="2"/>
  <c r="BF1941" i="2"/>
  <c r="BF1945" i="2"/>
  <c r="BF1949" i="2"/>
  <c r="BF1953" i="2"/>
  <c r="BF1957" i="2"/>
  <c r="BF1961" i="2"/>
  <c r="BF1965" i="2"/>
  <c r="BF1969" i="2"/>
  <c r="BF1973" i="2"/>
  <c r="BF1977" i="2"/>
  <c r="BF1981" i="2"/>
  <c r="BF1985" i="2"/>
  <c r="BF1989" i="2"/>
  <c r="BF1993" i="2"/>
  <c r="BF1997" i="2"/>
  <c r="BF2001" i="2"/>
  <c r="BF2005" i="2"/>
  <c r="BF2009" i="2"/>
  <c r="BF2013" i="2"/>
  <c r="BF2017" i="2"/>
  <c r="BF2021" i="2"/>
  <c r="BF2025" i="2"/>
  <c r="BF2029" i="2"/>
  <c r="BF2033" i="2"/>
  <c r="BF2037" i="2"/>
  <c r="BF2041" i="2"/>
  <c r="BF2045" i="2"/>
  <c r="BF2049" i="2"/>
  <c r="BF2053" i="2"/>
  <c r="BF2057" i="2"/>
  <c r="BF2061" i="2"/>
  <c r="BF2065" i="2"/>
  <c r="BF2069" i="2"/>
  <c r="BF2073" i="2"/>
  <c r="BF2077" i="2"/>
  <c r="BF2081" i="2"/>
  <c r="BF2085" i="2"/>
  <c r="BF2089" i="2"/>
  <c r="BF2093" i="2"/>
  <c r="BF2097" i="2"/>
  <c r="BF2101" i="2"/>
  <c r="BF2105" i="2"/>
  <c r="BF2109" i="2"/>
  <c r="BF2113" i="2"/>
  <c r="BF2117" i="2"/>
  <c r="BF2121" i="2"/>
  <c r="BF2125" i="2"/>
  <c r="BF2129" i="2"/>
  <c r="BF2" i="2"/>
  <c r="BF10" i="2"/>
  <c r="BF19" i="2"/>
  <c r="BF30" i="2"/>
  <c r="BF39" i="2"/>
  <c r="BF47" i="2"/>
  <c r="BF58" i="2"/>
  <c r="BF67" i="2"/>
  <c r="BF76" i="2"/>
  <c r="BF87" i="2"/>
  <c r="BF95" i="2"/>
  <c r="BF104" i="2"/>
  <c r="BF115" i="2"/>
  <c r="BF124" i="2"/>
  <c r="BF132" i="2"/>
  <c r="BF143" i="2"/>
  <c r="BF152" i="2"/>
  <c r="BF162" i="2"/>
  <c r="BF172" i="2"/>
  <c r="BF180" i="2"/>
  <c r="BF190" i="2"/>
  <c r="BF200" i="2"/>
  <c r="BF210" i="2"/>
  <c r="BF218" i="2"/>
  <c r="BF228" i="2"/>
  <c r="BF238" i="2"/>
  <c r="BF247" i="2"/>
  <c r="BF258" i="2"/>
  <c r="BF266" i="2"/>
  <c r="BF275" i="2"/>
  <c r="BF286" i="2"/>
  <c r="BF295" i="2"/>
  <c r="BF303" i="2"/>
  <c r="BF314" i="2"/>
  <c r="BF323" i="2"/>
  <c r="BF332" i="2"/>
  <c r="BF343" i="2"/>
  <c r="BF349" i="2"/>
  <c r="BF356" i="2"/>
  <c r="BF364" i="2"/>
  <c r="BF371" i="2"/>
  <c r="BF377" i="2"/>
  <c r="BF385" i="2"/>
  <c r="BF392" i="2"/>
  <c r="BF399" i="2"/>
  <c r="BF407" i="2"/>
  <c r="BF413" i="2"/>
  <c r="BF420" i="2"/>
  <c r="BF428" i="2"/>
  <c r="BF435" i="2"/>
  <c r="BF441" i="2"/>
  <c r="BF449" i="2"/>
  <c r="BF456" i="2"/>
  <c r="BF463" i="2"/>
  <c r="BF471" i="2"/>
  <c r="BF477" i="2"/>
  <c r="BF484" i="2"/>
  <c r="BF492" i="2"/>
  <c r="BF499" i="2"/>
  <c r="BF505" i="2"/>
  <c r="BF513" i="2"/>
  <c r="BF520" i="2"/>
  <c r="BF527" i="2"/>
  <c r="BF535" i="2"/>
  <c r="BF541" i="2"/>
  <c r="BF548" i="2"/>
  <c r="BF556" i="2"/>
  <c r="BF563" i="2"/>
  <c r="BF569" i="2"/>
  <c r="BF577" i="2"/>
  <c r="BF584" i="2"/>
  <c r="BF591" i="2"/>
  <c r="BF599" i="2"/>
  <c r="BF605" i="2"/>
  <c r="BF612" i="2"/>
  <c r="BF620" i="2"/>
  <c r="BF627" i="2"/>
  <c r="BF633" i="2"/>
  <c r="BF641" i="2"/>
  <c r="BF648" i="2"/>
  <c r="BF655" i="2"/>
  <c r="BF663" i="2"/>
  <c r="BF669" i="2"/>
  <c r="BF676" i="2"/>
  <c r="BF684" i="2"/>
  <c r="BF691" i="2"/>
  <c r="BF697" i="2"/>
  <c r="BF705" i="2"/>
  <c r="BF712" i="2"/>
  <c r="BF719" i="2"/>
  <c r="BF727" i="2"/>
  <c r="BF733" i="2"/>
  <c r="BF740" i="2"/>
  <c r="BF748" i="2"/>
  <c r="BF755" i="2"/>
  <c r="BF761" i="2"/>
  <c r="BF769" i="2"/>
  <c r="BF774" i="2"/>
  <c r="BF779" i="2"/>
  <c r="BF785" i="2"/>
  <c r="BF790" i="2"/>
  <c r="BF795" i="2"/>
  <c r="BF801" i="2"/>
  <c r="BF806" i="2"/>
  <c r="BF811" i="2"/>
  <c r="BF817" i="2"/>
  <c r="BF822" i="2"/>
  <c r="BF827" i="2"/>
  <c r="BF833" i="2"/>
  <c r="BF838" i="2"/>
  <c r="BF843" i="2"/>
  <c r="BF849" i="2"/>
  <c r="BF854" i="2"/>
  <c r="BF859" i="2"/>
  <c r="BF865" i="2"/>
  <c r="BF870" i="2"/>
  <c r="BF875" i="2"/>
  <c r="BF881" i="2"/>
  <c r="BF886" i="2"/>
  <c r="BF891" i="2"/>
  <c r="BF897" i="2"/>
  <c r="BF902" i="2"/>
  <c r="BF907" i="2"/>
  <c r="BF913" i="2"/>
  <c r="BF918" i="2"/>
  <c r="BF923" i="2"/>
  <c r="BF929" i="2"/>
  <c r="BF934" i="2"/>
  <c r="BF939" i="2"/>
  <c r="BF945" i="2"/>
  <c r="BF950" i="2"/>
  <c r="BF955" i="2"/>
  <c r="BF961" i="2"/>
  <c r="BF966" i="2"/>
  <c r="BF971" i="2"/>
  <c r="BF977" i="2"/>
  <c r="BF982" i="2"/>
  <c r="BF987" i="2"/>
  <c r="BF993" i="2"/>
  <c r="BF998" i="2"/>
  <c r="BF1003" i="2"/>
  <c r="BF1009" i="2"/>
  <c r="BF1014" i="2"/>
  <c r="BF1019" i="2"/>
  <c r="BF1025" i="2"/>
  <c r="BF1030" i="2"/>
  <c r="BF1035" i="2"/>
  <c r="BF1041" i="2"/>
  <c r="BF1046" i="2"/>
  <c r="BF1051" i="2"/>
  <c r="BF1057" i="2"/>
  <c r="BF1062" i="2"/>
  <c r="BF1067" i="2"/>
  <c r="BF1073" i="2"/>
  <c r="BF1078" i="2"/>
  <c r="BF1083" i="2"/>
  <c r="BF1089" i="2"/>
  <c r="BF1094" i="2"/>
  <c r="BF1099" i="2"/>
  <c r="BF1105" i="2"/>
  <c r="BF1110" i="2"/>
  <c r="BF1115" i="2"/>
  <c r="BF1121" i="2"/>
  <c r="BF1126" i="2"/>
  <c r="BF1131" i="2"/>
  <c r="BF1137" i="2"/>
  <c r="BF1142" i="2"/>
  <c r="BF1147" i="2"/>
  <c r="BF1153" i="2"/>
  <c r="BF1158" i="2"/>
  <c r="BF1163" i="2"/>
  <c r="BF1169" i="2"/>
  <c r="BF1174" i="2"/>
  <c r="BF1179" i="2"/>
  <c r="BF1185" i="2"/>
  <c r="BF1190" i="2"/>
  <c r="BF1195" i="2"/>
  <c r="BF1201" i="2"/>
  <c r="BF1206" i="2"/>
  <c r="BF1211" i="2"/>
  <c r="BF1217" i="2"/>
  <c r="BF1222" i="2"/>
  <c r="BF1227" i="2"/>
  <c r="BF1233" i="2"/>
  <c r="BF1238" i="2"/>
  <c r="BF1243" i="2"/>
  <c r="BF1249" i="2"/>
  <c r="BF1254" i="2"/>
  <c r="BF1259" i="2"/>
  <c r="BF1265" i="2"/>
  <c r="BF1270" i="2"/>
  <c r="BF1275" i="2"/>
  <c r="BF1281" i="2"/>
  <c r="BF1286" i="2"/>
  <c r="BF1291" i="2"/>
  <c r="BF1297" i="2"/>
  <c r="BF1302" i="2"/>
  <c r="BF1307" i="2"/>
  <c r="BF1313" i="2"/>
  <c r="BF1318" i="2"/>
  <c r="BF1323" i="2"/>
  <c r="BF1329" i="2"/>
  <c r="BF1334" i="2"/>
  <c r="BF1339" i="2"/>
  <c r="BF1345" i="2"/>
  <c r="BF1350" i="2"/>
  <c r="BF1355" i="2"/>
  <c r="BF1361" i="2"/>
  <c r="BF1366" i="2"/>
  <c r="BF1371" i="2"/>
  <c r="BF1377" i="2"/>
  <c r="BF1382" i="2"/>
  <c r="BF1387" i="2"/>
  <c r="BF1393" i="2"/>
  <c r="BF1398" i="2"/>
  <c r="BF1403" i="2"/>
  <c r="BF1409" i="2"/>
  <c r="BF1414" i="2"/>
  <c r="BF1419" i="2"/>
  <c r="BF1425" i="2"/>
  <c r="BF1430" i="2"/>
  <c r="BF1435" i="2"/>
  <c r="BF1441" i="2"/>
  <c r="BF1446" i="2"/>
  <c r="BF1451" i="2"/>
  <c r="BF1457" i="2"/>
  <c r="BF1462" i="2"/>
  <c r="BF1467" i="2"/>
  <c r="BF1473" i="2"/>
  <c r="BF1478" i="2"/>
  <c r="BF1483" i="2"/>
  <c r="BF1489" i="2"/>
  <c r="BF1494" i="2"/>
  <c r="BF1499" i="2"/>
  <c r="BF1505" i="2"/>
  <c r="BF1510" i="2"/>
  <c r="BF1515" i="2"/>
  <c r="BF1521" i="2"/>
  <c r="BF1526" i="2"/>
  <c r="BF1531" i="2"/>
  <c r="BF1537" i="2"/>
  <c r="BF1542" i="2"/>
  <c r="BF1547" i="2"/>
  <c r="BF1553" i="2"/>
  <c r="BF1558" i="2"/>
  <c r="BF1563" i="2"/>
  <c r="BF1569" i="2"/>
  <c r="BF1574" i="2"/>
  <c r="BF1579" i="2"/>
  <c r="BF1585" i="2"/>
  <c r="BF1590" i="2"/>
  <c r="BF1595" i="2"/>
  <c r="BF1601" i="2"/>
  <c r="BF1606" i="2"/>
  <c r="BF1611" i="2"/>
  <c r="BF1617" i="2"/>
  <c r="BF1622" i="2"/>
  <c r="BF1626" i="2"/>
  <c r="BF1630" i="2"/>
  <c r="BF1634" i="2"/>
  <c r="BF1638" i="2"/>
  <c r="BF1642" i="2"/>
  <c r="BF1646" i="2"/>
  <c r="BF1650" i="2"/>
  <c r="BF1654" i="2"/>
  <c r="BF1658" i="2"/>
  <c r="BF1662" i="2"/>
  <c r="BF1666" i="2"/>
  <c r="BF1670" i="2"/>
  <c r="BF1674" i="2"/>
  <c r="BF1678" i="2"/>
  <c r="BF1682" i="2"/>
  <c r="BF1686" i="2"/>
  <c r="BF1690" i="2"/>
  <c r="BF1694" i="2"/>
  <c r="BF1698" i="2"/>
  <c r="BF1702" i="2"/>
  <c r="BF1706" i="2"/>
  <c r="BF1710" i="2"/>
  <c r="BF1714" i="2"/>
  <c r="BF1718" i="2"/>
  <c r="BF1722" i="2"/>
  <c r="BF1726" i="2"/>
  <c r="BF1730" i="2"/>
  <c r="BF1734" i="2"/>
  <c r="BF1738" i="2"/>
  <c r="BF1742" i="2"/>
  <c r="BF1746" i="2"/>
  <c r="BF1750" i="2"/>
  <c r="BF1754" i="2"/>
  <c r="BF1758" i="2"/>
  <c r="BF1762" i="2"/>
  <c r="BF1766" i="2"/>
  <c r="BF1770" i="2"/>
  <c r="BF1774" i="2"/>
  <c r="BF1778" i="2"/>
  <c r="BF1782" i="2"/>
  <c r="BF1786" i="2"/>
  <c r="BF1790" i="2"/>
  <c r="BF12" i="2"/>
  <c r="BF31" i="2"/>
  <c r="BF51" i="2"/>
  <c r="BF68" i="2"/>
  <c r="BF88" i="2"/>
  <c r="BF108" i="2"/>
  <c r="BF126" i="2"/>
  <c r="BF146" i="2"/>
  <c r="BF164" i="2"/>
  <c r="BF183" i="2"/>
  <c r="BF202" i="2"/>
  <c r="BF222" i="2"/>
  <c r="BF239" i="2"/>
  <c r="BF259" i="2"/>
  <c r="BF279" i="2"/>
  <c r="BF296" i="2"/>
  <c r="BF316" i="2"/>
  <c r="BF335" i="2"/>
  <c r="BF351" i="2"/>
  <c r="BF365" i="2"/>
  <c r="BF380" i="2"/>
  <c r="BF393" i="2"/>
  <c r="BF408" i="2"/>
  <c r="BF423" i="2"/>
  <c r="BF436" i="2"/>
  <c r="BF451" i="2"/>
  <c r="BF465" i="2"/>
  <c r="BF479" i="2"/>
  <c r="BF493" i="2"/>
  <c r="BF508" i="2"/>
  <c r="BF521" i="2"/>
  <c r="BF536" i="2"/>
  <c r="BF551" i="2"/>
  <c r="BF564" i="2"/>
  <c r="BF579" i="2"/>
  <c r="BF593" i="2"/>
  <c r="BF607" i="2"/>
  <c r="BF621" i="2"/>
  <c r="BF636" i="2"/>
  <c r="BF649" i="2"/>
  <c r="BF664" i="2"/>
  <c r="BF679" i="2"/>
  <c r="BF692" i="2"/>
  <c r="BF707" i="2"/>
  <c r="BF721" i="2"/>
  <c r="BF735" i="2"/>
  <c r="BF749" i="2"/>
  <c r="BF764" i="2"/>
  <c r="BF775" i="2"/>
  <c r="BF786" i="2"/>
  <c r="BF797" i="2"/>
  <c r="BF807" i="2"/>
  <c r="BF818" i="2"/>
  <c r="BF829" i="2"/>
  <c r="BF839" i="2"/>
  <c r="BF850" i="2"/>
  <c r="BF861" i="2"/>
  <c r="BF871" i="2"/>
  <c r="BF882" i="2"/>
  <c r="BF893" i="2"/>
  <c r="BF903" i="2"/>
  <c r="BF914" i="2"/>
  <c r="BF925" i="2"/>
  <c r="BF935" i="2"/>
  <c r="BF946" i="2"/>
  <c r="BF957" i="2"/>
  <c r="BF967" i="2"/>
  <c r="BF978" i="2"/>
  <c r="BF989" i="2"/>
  <c r="BF999" i="2"/>
  <c r="BF1010" i="2"/>
  <c r="BF1021" i="2"/>
  <c r="BF1031" i="2"/>
  <c r="BF1042" i="2"/>
  <c r="BF1053" i="2"/>
  <c r="BF1063" i="2"/>
  <c r="BF1074" i="2"/>
  <c r="BF1085" i="2"/>
  <c r="BF1095" i="2"/>
  <c r="BF1106" i="2"/>
  <c r="BF1117" i="2"/>
  <c r="BF1127" i="2"/>
  <c r="BF1138" i="2"/>
  <c r="BF1149" i="2"/>
  <c r="BF1159" i="2"/>
  <c r="BF1170" i="2"/>
  <c r="BF1181" i="2"/>
  <c r="BF1191" i="2"/>
  <c r="BF1202" i="2"/>
  <c r="BF1213" i="2"/>
  <c r="BF1223" i="2"/>
  <c r="BF1234" i="2"/>
  <c r="BF1245" i="2"/>
  <c r="BF1255" i="2"/>
  <c r="BF1266" i="2"/>
  <c r="BF1277" i="2"/>
  <c r="BF1287" i="2"/>
  <c r="BF1298" i="2"/>
  <c r="BF1309" i="2"/>
  <c r="BF1319" i="2"/>
  <c r="BF1330" i="2"/>
  <c r="BF1341" i="2"/>
  <c r="BF1351" i="2"/>
  <c r="BF1362" i="2"/>
  <c r="BF1373" i="2"/>
  <c r="BF1383" i="2"/>
  <c r="BF1394" i="2"/>
  <c r="BF1405" i="2"/>
  <c r="BF1415" i="2"/>
  <c r="BF1426" i="2"/>
  <c r="BF1437" i="2"/>
  <c r="BF1447" i="2"/>
  <c r="BF1458" i="2"/>
  <c r="BF1469" i="2"/>
  <c r="BF1479" i="2"/>
  <c r="BF1490" i="2"/>
  <c r="BF1501" i="2"/>
  <c r="BF1511" i="2"/>
  <c r="BF1522" i="2"/>
  <c r="BF1533" i="2"/>
  <c r="BF1543" i="2"/>
  <c r="BF1554" i="2"/>
  <c r="BF1565" i="2"/>
  <c r="BF1575" i="2"/>
  <c r="BF1586" i="2"/>
  <c r="BF1597" i="2"/>
  <c r="BF1607" i="2"/>
  <c r="BF1618" i="2"/>
  <c r="BF1627" i="2"/>
  <c r="BF1635" i="2"/>
  <c r="BF1643" i="2"/>
  <c r="BF1651" i="2"/>
  <c r="BF1659" i="2"/>
  <c r="BF1667" i="2"/>
  <c r="BF1675" i="2"/>
  <c r="BF1683" i="2"/>
  <c r="BF1691" i="2"/>
  <c r="BF1699" i="2"/>
  <c r="BF1707" i="2"/>
  <c r="BF1715" i="2"/>
  <c r="BF1723" i="2"/>
  <c r="BF1731" i="2"/>
  <c r="BF1739" i="2"/>
  <c r="BF1747" i="2"/>
  <c r="BF1755" i="2"/>
  <c r="BF1763" i="2"/>
  <c r="BF1771" i="2"/>
  <c r="BF1779" i="2"/>
  <c r="BF1787" i="2"/>
  <c r="BF1794" i="2"/>
  <c r="BF1799" i="2"/>
  <c r="BF1804" i="2"/>
  <c r="BF1810" i="2"/>
  <c r="BF1815" i="2"/>
  <c r="BF1820" i="2"/>
  <c r="BF1826" i="2"/>
  <c r="BF1831" i="2"/>
  <c r="BF1836" i="2"/>
  <c r="BF1842" i="2"/>
  <c r="BF1847" i="2"/>
  <c r="BF1852" i="2"/>
  <c r="BF1858" i="2"/>
  <c r="BF1863" i="2"/>
  <c r="BF1868" i="2"/>
  <c r="BF1874" i="2"/>
  <c r="BF1879" i="2"/>
  <c r="BF1884" i="2"/>
  <c r="BF1890" i="2"/>
  <c r="BF1895" i="2"/>
  <c r="BF1900" i="2"/>
  <c r="BF1906" i="2"/>
  <c r="BF1911" i="2"/>
  <c r="BF1916" i="2"/>
  <c r="BF1922" i="2"/>
  <c r="BF1927" i="2"/>
  <c r="BF1932" i="2"/>
  <c r="BF1938" i="2"/>
  <c r="BF1943" i="2"/>
  <c r="BF1948" i="2"/>
  <c r="BF1954" i="2"/>
  <c r="BF1959" i="2"/>
  <c r="BF1964" i="2"/>
  <c r="BF1970" i="2"/>
  <c r="BF1975" i="2"/>
  <c r="BF1980" i="2"/>
  <c r="BF1986" i="2"/>
  <c r="BF1991" i="2"/>
  <c r="BF1996" i="2"/>
  <c r="BF2002" i="2"/>
  <c r="BF2007" i="2"/>
  <c r="BF2012" i="2"/>
  <c r="BF2018" i="2"/>
  <c r="BF2023" i="2"/>
  <c r="BF2028" i="2"/>
  <c r="BF2034" i="2"/>
  <c r="BF2039" i="2"/>
  <c r="BF2044" i="2"/>
  <c r="BF2050" i="2"/>
  <c r="BF2055" i="2"/>
  <c r="BF2060" i="2"/>
  <c r="BF2066" i="2"/>
  <c r="BF2071" i="2"/>
  <c r="BF2076" i="2"/>
  <c r="BF2082" i="2"/>
  <c r="BF2087" i="2"/>
  <c r="BF2092" i="2"/>
  <c r="BF2098" i="2"/>
  <c r="BF2103" i="2"/>
  <c r="BF2108" i="2"/>
  <c r="BF2114" i="2"/>
  <c r="BF2119" i="2"/>
  <c r="BF2124" i="2"/>
  <c r="BF2130" i="2"/>
  <c r="BF15" i="2"/>
  <c r="BF34" i="2"/>
  <c r="BF52" i="2"/>
  <c r="BF72" i="2"/>
  <c r="BF90" i="2"/>
  <c r="BF110" i="2"/>
  <c r="BF130" i="2"/>
  <c r="BF147" i="2"/>
  <c r="BF167" i="2"/>
  <c r="BF186" i="2"/>
  <c r="BF204" i="2"/>
  <c r="BF223" i="2"/>
  <c r="BF243" i="2"/>
  <c r="BF260" i="2"/>
  <c r="BF280" i="2"/>
  <c r="BF300" i="2"/>
  <c r="BF318" i="2"/>
  <c r="BF338" i="2"/>
  <c r="BF353" i="2"/>
  <c r="BF367" i="2"/>
  <c r="BF381" i="2"/>
  <c r="BF396" i="2"/>
  <c r="BF409" i="2"/>
  <c r="BF424" i="2"/>
  <c r="BF439" i="2"/>
  <c r="BF452" i="2"/>
  <c r="BF467" i="2"/>
  <c r="BF481" i="2"/>
  <c r="BF495" i="2"/>
  <c r="BF509" i="2"/>
  <c r="BF524" i="2"/>
  <c r="BF537" i="2"/>
  <c r="BF552" i="2"/>
  <c r="BF567" i="2"/>
  <c r="BF580" i="2"/>
  <c r="BF595" i="2"/>
  <c r="BF609" i="2"/>
  <c r="BF623" i="2"/>
  <c r="BF637" i="2"/>
  <c r="BF652" i="2"/>
  <c r="BF665" i="2"/>
  <c r="BF680" i="2"/>
  <c r="BF695" i="2"/>
  <c r="BF708" i="2"/>
  <c r="BF723" i="2"/>
  <c r="BF737" i="2"/>
  <c r="BF751" i="2"/>
  <c r="BF765" i="2"/>
  <c r="BF777" i="2"/>
  <c r="BF787" i="2"/>
  <c r="BF798" i="2"/>
  <c r="BF809" i="2"/>
  <c r="BF819" i="2"/>
  <c r="BF830" i="2"/>
  <c r="BF841" i="2"/>
  <c r="BF851" i="2"/>
  <c r="BF862" i="2"/>
  <c r="BF873" i="2"/>
  <c r="BF883" i="2"/>
  <c r="BF894" i="2"/>
  <c r="BF905" i="2"/>
  <c r="BF915" i="2"/>
  <c r="BF926" i="2"/>
  <c r="BF937" i="2"/>
  <c r="BF947" i="2"/>
  <c r="BF958" i="2"/>
  <c r="BF969" i="2"/>
  <c r="BF979" i="2"/>
  <c r="BF990" i="2"/>
  <c r="BF1001" i="2"/>
  <c r="BF1011" i="2"/>
  <c r="BF1022" i="2"/>
  <c r="BF1033" i="2"/>
  <c r="BF1043" i="2"/>
  <c r="BF1054" i="2"/>
  <c r="BF1065" i="2"/>
  <c r="BF1075" i="2"/>
  <c r="BF1086" i="2"/>
  <c r="BF1097" i="2"/>
  <c r="BF1107" i="2"/>
  <c r="BF1118" i="2"/>
  <c r="BF1129" i="2"/>
  <c r="BF1139" i="2"/>
  <c r="BF1150" i="2"/>
  <c r="BF1161" i="2"/>
  <c r="BF1171" i="2"/>
  <c r="BF1182" i="2"/>
  <c r="BF1193" i="2"/>
  <c r="BF1203" i="2"/>
  <c r="BF1214" i="2"/>
  <c r="BF1225" i="2"/>
  <c r="BF1235" i="2"/>
  <c r="BF1246" i="2"/>
  <c r="BF1257" i="2"/>
  <c r="BF1267" i="2"/>
  <c r="BF1278" i="2"/>
  <c r="BF1289" i="2"/>
  <c r="BF1299" i="2"/>
  <c r="BF1310" i="2"/>
  <c r="BF1321" i="2"/>
  <c r="BF1331" i="2"/>
  <c r="BF1342" i="2"/>
  <c r="BF1353" i="2"/>
  <c r="BF1363" i="2"/>
  <c r="BF1374" i="2"/>
  <c r="BF1385" i="2"/>
  <c r="BF1395" i="2"/>
  <c r="BF1406" i="2"/>
  <c r="BF1417" i="2"/>
  <c r="BF1427" i="2"/>
  <c r="BF1438" i="2"/>
  <c r="BF1449" i="2"/>
  <c r="BF1459" i="2"/>
  <c r="BF1470" i="2"/>
  <c r="BF1481" i="2"/>
  <c r="BF1491" i="2"/>
  <c r="BF1502" i="2"/>
  <c r="BF1513" i="2"/>
  <c r="BF1523" i="2"/>
  <c r="BF1534" i="2"/>
  <c r="BF1545" i="2"/>
  <c r="BF1555" i="2"/>
  <c r="BF1566" i="2"/>
  <c r="BF1577" i="2"/>
  <c r="BF1587" i="2"/>
  <c r="BF1598" i="2"/>
  <c r="BF1609" i="2"/>
  <c r="BF1619" i="2"/>
  <c r="BF1628" i="2"/>
  <c r="BF1636" i="2"/>
  <c r="BF1644" i="2"/>
  <c r="BF1652" i="2"/>
  <c r="BF1660" i="2"/>
  <c r="BF1668" i="2"/>
  <c r="BF1676" i="2"/>
  <c r="BF1684" i="2"/>
  <c r="BF1692" i="2"/>
  <c r="BF1700" i="2"/>
  <c r="BF1708" i="2"/>
  <c r="BF1716" i="2"/>
  <c r="BF1724" i="2"/>
  <c r="BF1732" i="2"/>
  <c r="BF1740" i="2"/>
  <c r="BF1748" i="2"/>
  <c r="BF1756" i="2"/>
  <c r="BF1764" i="2"/>
  <c r="BF1772" i="2"/>
  <c r="BF1780" i="2"/>
  <c r="BF1788" i="2"/>
  <c r="BF1795" i="2"/>
  <c r="BF1800" i="2"/>
  <c r="BF1806" i="2"/>
  <c r="BF1811" i="2"/>
  <c r="BF1816" i="2"/>
  <c r="BF1822" i="2"/>
  <c r="BF1827" i="2"/>
  <c r="BF1832" i="2"/>
  <c r="BF1838" i="2"/>
  <c r="BF1843" i="2"/>
  <c r="BF1848" i="2"/>
  <c r="BF1854" i="2"/>
  <c r="BF1859" i="2"/>
  <c r="BF1864" i="2"/>
  <c r="BF1870" i="2"/>
  <c r="BF1875" i="2"/>
  <c r="BF1880" i="2"/>
  <c r="BF1886" i="2"/>
  <c r="BF1891" i="2"/>
  <c r="BF1896" i="2"/>
  <c r="BF1902" i="2"/>
  <c r="BF1907" i="2"/>
  <c r="BF1912" i="2"/>
  <c r="BF1918" i="2"/>
  <c r="BF1923" i="2"/>
  <c r="BF1928" i="2"/>
  <c r="BF1934" i="2"/>
  <c r="BF1939" i="2"/>
  <c r="BF1944" i="2"/>
  <c r="BF1950" i="2"/>
  <c r="BF1955" i="2"/>
  <c r="BF1960" i="2"/>
  <c r="BF1966" i="2"/>
  <c r="BF1971" i="2"/>
  <c r="BF1976" i="2"/>
  <c r="BF1982" i="2"/>
  <c r="BF1987" i="2"/>
  <c r="BF1992" i="2"/>
  <c r="BF1998" i="2"/>
  <c r="BF2003" i="2"/>
  <c r="BF2008" i="2"/>
  <c r="BF2014" i="2"/>
  <c r="BF2019" i="2"/>
  <c r="BF2024" i="2"/>
  <c r="BF2030" i="2"/>
  <c r="BF2035" i="2"/>
  <c r="BF2040" i="2"/>
  <c r="BF2046" i="2"/>
  <c r="BF2051" i="2"/>
  <c r="BF2056" i="2"/>
  <c r="BF2062" i="2"/>
  <c r="BF2067" i="2"/>
  <c r="BF2072" i="2"/>
  <c r="BF2078" i="2"/>
  <c r="BF2083" i="2"/>
  <c r="BF2088" i="2"/>
  <c r="BF2094" i="2"/>
  <c r="BF2099" i="2"/>
  <c r="BF2104" i="2"/>
  <c r="BF2110" i="2"/>
  <c r="BF2115" i="2"/>
  <c r="BF2120" i="2"/>
  <c r="BF2126" i="2"/>
  <c r="BF2131" i="2"/>
  <c r="BF3" i="2"/>
  <c r="BF23" i="2"/>
  <c r="BF40" i="2"/>
  <c r="BF60" i="2"/>
  <c r="BF79" i="2"/>
  <c r="BF98" i="2"/>
  <c r="BF116" i="2"/>
  <c r="BF136" i="2"/>
  <c r="BF154" i="2"/>
  <c r="BF174" i="2"/>
  <c r="BF194" i="2"/>
  <c r="BF211" i="2"/>
  <c r="BF231" i="2"/>
  <c r="BF250" i="2"/>
  <c r="BF268" i="2"/>
  <c r="BF287" i="2"/>
  <c r="BF307" i="2"/>
  <c r="BF324" i="2"/>
  <c r="BF344" i="2"/>
  <c r="BF359" i="2"/>
  <c r="BF372" i="2"/>
  <c r="BF387" i="2"/>
  <c r="BF401" i="2"/>
  <c r="BF415" i="2"/>
  <c r="BF429" i="2"/>
  <c r="BF444" i="2"/>
  <c r="BF457" i="2"/>
  <c r="BF472" i="2"/>
  <c r="BF487" i="2"/>
  <c r="BF500" i="2"/>
  <c r="BF515" i="2"/>
  <c r="BF529" i="2"/>
  <c r="BF543" i="2"/>
  <c r="BF557" i="2"/>
  <c r="BF572" i="2"/>
  <c r="BF585" i="2"/>
  <c r="BF600" i="2"/>
  <c r="BF615" i="2"/>
  <c r="BF628" i="2"/>
  <c r="BF643" i="2"/>
  <c r="BF657" i="2"/>
  <c r="BF671" i="2"/>
  <c r="BF685" i="2"/>
  <c r="BF700" i="2"/>
  <c r="BF713" i="2"/>
  <c r="BF728" i="2"/>
  <c r="BF743" i="2"/>
  <c r="BF756" i="2"/>
  <c r="BF770" i="2"/>
  <c r="BF781" i="2"/>
  <c r="BF791" i="2"/>
  <c r="BF802" i="2"/>
  <c r="BF813" i="2"/>
  <c r="BF823" i="2"/>
  <c r="BF834" i="2"/>
  <c r="BF845" i="2"/>
  <c r="BF855" i="2"/>
  <c r="BF866" i="2"/>
  <c r="BF877" i="2"/>
  <c r="BF887" i="2"/>
  <c r="BF898" i="2"/>
  <c r="BF909" i="2"/>
  <c r="BF919" i="2"/>
  <c r="BF930" i="2"/>
  <c r="BF941" i="2"/>
  <c r="BF951" i="2"/>
  <c r="BF962" i="2"/>
  <c r="BF973" i="2"/>
  <c r="BF983" i="2"/>
  <c r="BF994" i="2"/>
  <c r="BF1005" i="2"/>
  <c r="BF1015" i="2"/>
  <c r="BF1026" i="2"/>
  <c r="BF1037" i="2"/>
  <c r="BF1047" i="2"/>
  <c r="BF1058" i="2"/>
  <c r="BF1069" i="2"/>
  <c r="BF1079" i="2"/>
  <c r="BF1090" i="2"/>
  <c r="BF1101" i="2"/>
  <c r="BF1111" i="2"/>
  <c r="BF1122" i="2"/>
  <c r="BF1133" i="2"/>
  <c r="BF1143" i="2"/>
  <c r="BF1154" i="2"/>
  <c r="BF1165" i="2"/>
  <c r="BF1175" i="2"/>
  <c r="BF1186" i="2"/>
  <c r="BF1197" i="2"/>
  <c r="BF1207" i="2"/>
  <c r="BF1218" i="2"/>
  <c r="BF1229" i="2"/>
  <c r="BF1239" i="2"/>
  <c r="BF1250" i="2"/>
  <c r="BF1261" i="2"/>
  <c r="BF1271" i="2"/>
  <c r="BF1282" i="2"/>
  <c r="BF1293" i="2"/>
  <c r="BF1303" i="2"/>
  <c r="BF1314" i="2"/>
  <c r="BF1325" i="2"/>
  <c r="BF1335" i="2"/>
  <c r="BF1346" i="2"/>
  <c r="BF1357" i="2"/>
  <c r="BF1367" i="2"/>
  <c r="BF1378" i="2"/>
  <c r="BF1389" i="2"/>
  <c r="BF1399" i="2"/>
  <c r="BF1410" i="2"/>
  <c r="BF1421" i="2"/>
  <c r="BF1431" i="2"/>
  <c r="BF1442" i="2"/>
  <c r="BF1453" i="2"/>
  <c r="BF1463" i="2"/>
  <c r="BF1474" i="2"/>
  <c r="BF1485" i="2"/>
  <c r="BF1495" i="2"/>
  <c r="BF1506" i="2"/>
  <c r="BF1517" i="2"/>
  <c r="BF1527" i="2"/>
  <c r="BF1538" i="2"/>
  <c r="BF1549" i="2"/>
  <c r="BF1559" i="2"/>
  <c r="BF1570" i="2"/>
  <c r="BF1581" i="2"/>
  <c r="BF1591" i="2"/>
  <c r="BF1602" i="2"/>
  <c r="BF1613" i="2"/>
  <c r="BF1623" i="2"/>
  <c r="BF1631" i="2"/>
  <c r="BF1639" i="2"/>
  <c r="BF1647" i="2"/>
  <c r="BF1655" i="2"/>
  <c r="BF1663" i="2"/>
  <c r="BF1671" i="2"/>
  <c r="BF1679" i="2"/>
  <c r="BF1687" i="2"/>
  <c r="BF1695" i="2"/>
  <c r="BF1703" i="2"/>
  <c r="BF1711" i="2"/>
  <c r="BF1719" i="2"/>
  <c r="BF1727" i="2"/>
  <c r="BF1735" i="2"/>
  <c r="BF1743" i="2"/>
  <c r="BF1751" i="2"/>
  <c r="BF1759" i="2"/>
  <c r="BF1767" i="2"/>
  <c r="BF1775" i="2"/>
  <c r="BF1783" i="2"/>
  <c r="BF1791" i="2"/>
  <c r="BF1796" i="2"/>
  <c r="BF1802" i="2"/>
  <c r="BF1807" i="2"/>
  <c r="BF1812" i="2"/>
  <c r="BF1818" i="2"/>
  <c r="BF1823" i="2"/>
  <c r="BF1828" i="2"/>
  <c r="BF1834" i="2"/>
  <c r="BF1839" i="2"/>
  <c r="BF1844" i="2"/>
  <c r="BF1850" i="2"/>
  <c r="BF1855" i="2"/>
  <c r="BF1860" i="2"/>
  <c r="BF1866" i="2"/>
  <c r="BF1871" i="2"/>
  <c r="BF1876" i="2"/>
  <c r="BF1882" i="2"/>
  <c r="BF1887" i="2"/>
  <c r="BF1892" i="2"/>
  <c r="BF1898" i="2"/>
  <c r="BF1903" i="2"/>
  <c r="BF1908" i="2"/>
  <c r="BF1914" i="2"/>
  <c r="BF1919" i="2"/>
  <c r="BF1924" i="2"/>
  <c r="BF1930" i="2"/>
  <c r="BF1935" i="2"/>
  <c r="BF1940" i="2"/>
  <c r="BF1946" i="2"/>
  <c r="BF1951" i="2"/>
  <c r="BF1956" i="2"/>
  <c r="BF1962" i="2"/>
  <c r="BF1967" i="2"/>
  <c r="BF1972" i="2"/>
  <c r="BF1978" i="2"/>
  <c r="BF1983" i="2"/>
  <c r="BF1988" i="2"/>
  <c r="BF1994" i="2"/>
  <c r="BF1999" i="2"/>
  <c r="BF2004" i="2"/>
  <c r="BF2010" i="2"/>
  <c r="BF2015" i="2"/>
  <c r="BF2020" i="2"/>
  <c r="BF2026" i="2"/>
  <c r="BF2031" i="2"/>
  <c r="BF2036" i="2"/>
  <c r="BF2042" i="2"/>
  <c r="BF2047" i="2"/>
  <c r="BF2052" i="2"/>
  <c r="BF2058" i="2"/>
  <c r="BF2063" i="2"/>
  <c r="BF2068" i="2"/>
  <c r="BF2074" i="2"/>
  <c r="BF2079" i="2"/>
  <c r="BF2084" i="2"/>
  <c r="BF2090" i="2"/>
  <c r="BF2095" i="2"/>
  <c r="BF2100" i="2"/>
  <c r="BF2106" i="2"/>
  <c r="BF2111" i="2"/>
  <c r="BF2116" i="2"/>
  <c r="BF2122" i="2"/>
  <c r="BF2127" i="2"/>
  <c r="BF2132" i="2"/>
  <c r="BF4" i="2"/>
  <c r="BF24" i="2"/>
  <c r="BF44" i="2"/>
  <c r="BF62" i="2"/>
  <c r="BF82" i="2"/>
  <c r="BF100" i="2"/>
  <c r="BF119" i="2"/>
  <c r="BF138" i="2"/>
  <c r="BF158" i="2"/>
  <c r="BF175" i="2"/>
  <c r="BF195" i="2"/>
  <c r="BF215" i="2"/>
  <c r="BF232" i="2"/>
  <c r="BF252" i="2"/>
  <c r="BF271" i="2"/>
  <c r="BF290" i="2"/>
  <c r="BF308" i="2"/>
  <c r="BF328" i="2"/>
  <c r="BF345" i="2"/>
  <c r="BF360" i="2"/>
  <c r="BF375" i="2"/>
  <c r="BF388" i="2"/>
  <c r="BF403" i="2"/>
  <c r="BF417" i="2"/>
  <c r="BF431" i="2"/>
  <c r="BF445" i="2"/>
  <c r="BF460" i="2"/>
  <c r="BF473" i="2"/>
  <c r="BF488" i="2"/>
  <c r="BF503" i="2"/>
  <c r="BF516" i="2"/>
  <c r="BF531" i="2"/>
  <c r="BF545" i="2"/>
  <c r="BF559" i="2"/>
  <c r="BF573" i="2"/>
  <c r="BF588" i="2"/>
  <c r="BF601" i="2"/>
  <c r="BF616" i="2"/>
  <c r="BF631" i="2"/>
  <c r="BF644" i="2"/>
  <c r="BF659" i="2"/>
  <c r="BF673" i="2"/>
  <c r="BF687" i="2"/>
  <c r="BF701" i="2"/>
  <c r="BF716" i="2"/>
  <c r="BF729" i="2"/>
  <c r="BF744" i="2"/>
  <c r="BF759" i="2"/>
  <c r="BF771" i="2"/>
  <c r="BF782" i="2"/>
  <c r="BF793" i="2"/>
  <c r="BF803" i="2"/>
  <c r="BF814" i="2"/>
  <c r="BF825" i="2"/>
  <c r="BF835" i="2"/>
  <c r="BF846" i="2"/>
  <c r="BF857" i="2"/>
  <c r="BF867" i="2"/>
  <c r="BF878" i="2"/>
  <c r="BF889" i="2"/>
  <c r="BF899" i="2"/>
  <c r="BF910" i="2"/>
  <c r="BF921" i="2"/>
  <c r="BF931" i="2"/>
  <c r="BF942" i="2"/>
  <c r="BF953" i="2"/>
  <c r="BF963" i="2"/>
  <c r="BF974" i="2"/>
  <c r="BF985" i="2"/>
  <c r="BF995" i="2"/>
  <c r="BF1006" i="2"/>
  <c r="BF1017" i="2"/>
  <c r="BF1027" i="2"/>
  <c r="BF1038" i="2"/>
  <c r="BF1049" i="2"/>
  <c r="BF1059" i="2"/>
  <c r="BF1070" i="2"/>
  <c r="BF1081" i="2"/>
  <c r="BF1091" i="2"/>
  <c r="BF1102" i="2"/>
  <c r="BF1113" i="2"/>
  <c r="BF1123" i="2"/>
  <c r="BF1134" i="2"/>
  <c r="BF1145" i="2"/>
  <c r="BF1155" i="2"/>
  <c r="BF1166" i="2"/>
  <c r="BF1177" i="2"/>
  <c r="BF1187" i="2"/>
  <c r="BF1198" i="2"/>
  <c r="BF1209" i="2"/>
  <c r="BF1219" i="2"/>
  <c r="BF1230" i="2"/>
  <c r="BF1241" i="2"/>
  <c r="BF1251" i="2"/>
  <c r="BF1262" i="2"/>
  <c r="BF1273" i="2"/>
  <c r="BF1283" i="2"/>
  <c r="BF1294" i="2"/>
  <c r="BF1305" i="2"/>
  <c r="BF1315" i="2"/>
  <c r="BF1326" i="2"/>
  <c r="BF1337" i="2"/>
  <c r="BF1347" i="2"/>
  <c r="BF1358" i="2"/>
  <c r="BF1369" i="2"/>
  <c r="BF1379" i="2"/>
  <c r="BF1390" i="2"/>
  <c r="BF1401" i="2"/>
  <c r="BF1411" i="2"/>
  <c r="BF1422" i="2"/>
  <c r="BF1433" i="2"/>
  <c r="BF1443" i="2"/>
  <c r="BF1454" i="2"/>
  <c r="BF1465" i="2"/>
  <c r="BF1475" i="2"/>
  <c r="BF1486" i="2"/>
  <c r="BF1497" i="2"/>
  <c r="BF1507" i="2"/>
  <c r="BF1518" i="2"/>
  <c r="BF1529" i="2"/>
  <c r="BF1539" i="2"/>
  <c r="BF1550" i="2"/>
  <c r="BF1561" i="2"/>
  <c r="BF1571" i="2"/>
  <c r="BF1582" i="2"/>
  <c r="BF1593" i="2"/>
  <c r="BF1603" i="2"/>
  <c r="BF1614" i="2"/>
  <c r="BF1624" i="2"/>
  <c r="BF1632" i="2"/>
  <c r="BF1640" i="2"/>
  <c r="BF1648" i="2"/>
  <c r="BF1656" i="2"/>
  <c r="BF1664" i="2"/>
  <c r="BF1672" i="2"/>
  <c r="BF1680" i="2"/>
  <c r="BF1688" i="2"/>
  <c r="BF1696" i="2"/>
  <c r="BF1704" i="2"/>
  <c r="BF1712" i="2"/>
  <c r="BF1720" i="2"/>
  <c r="BF1728" i="2"/>
  <c r="BF1736" i="2"/>
  <c r="BF1744" i="2"/>
  <c r="BF1752" i="2"/>
  <c r="BF1760" i="2"/>
  <c r="BF1768" i="2"/>
  <c r="BF1776" i="2"/>
  <c r="BF1784" i="2"/>
  <c r="BF1792" i="2"/>
  <c r="BF1798" i="2"/>
  <c r="BF1803" i="2"/>
  <c r="BF1808" i="2"/>
  <c r="BF1814" i="2"/>
  <c r="BF1819" i="2"/>
  <c r="BF1824" i="2"/>
  <c r="BF1830" i="2"/>
  <c r="BF1835" i="2"/>
  <c r="BF1840" i="2"/>
  <c r="BF1846" i="2"/>
  <c r="BF1851" i="2"/>
  <c r="BF1856" i="2"/>
  <c r="BF1862" i="2"/>
  <c r="BF1867" i="2"/>
  <c r="BF1872" i="2"/>
  <c r="BF1878" i="2"/>
  <c r="BF1883" i="2"/>
  <c r="BF1888" i="2"/>
  <c r="BF1894" i="2"/>
  <c r="BF1899" i="2"/>
  <c r="BF1904" i="2"/>
  <c r="BF1910" i="2"/>
  <c r="BF1915" i="2"/>
  <c r="BF1920" i="2"/>
  <c r="BF1926" i="2"/>
  <c r="BF1931" i="2"/>
  <c r="BF1936" i="2"/>
  <c r="BF1942" i="2"/>
  <c r="BF1947" i="2"/>
  <c r="BF1952" i="2"/>
  <c r="BF1958" i="2"/>
  <c r="BF1963" i="2"/>
  <c r="BF1968" i="2"/>
  <c r="BF1974" i="2"/>
  <c r="BF1979" i="2"/>
  <c r="BF1984" i="2"/>
  <c r="BF1990" i="2"/>
  <c r="BF1995" i="2"/>
  <c r="BF2000" i="2"/>
  <c r="BF2006" i="2"/>
  <c r="BF2011" i="2"/>
  <c r="BF2016" i="2"/>
  <c r="BF2022" i="2"/>
  <c r="BF2027" i="2"/>
  <c r="BF2032" i="2"/>
  <c r="BF2038" i="2"/>
  <c r="BF2043" i="2"/>
  <c r="BF2048" i="2"/>
  <c r="BF2054" i="2"/>
  <c r="BF2059" i="2"/>
  <c r="BF2064" i="2"/>
  <c r="BF2070" i="2"/>
  <c r="BF2075" i="2"/>
  <c r="BF2080" i="2"/>
  <c r="BF2086" i="2"/>
  <c r="BF2091" i="2"/>
  <c r="BF2096" i="2"/>
  <c r="BF2102" i="2"/>
  <c r="BF2107" i="2"/>
  <c r="BF2112" i="2"/>
  <c r="BF2118" i="2"/>
  <c r="BF2123" i="2"/>
  <c r="BF2128" i="2"/>
  <c r="W504" i="2"/>
  <c r="W167" i="2"/>
  <c r="W203" i="2"/>
  <c r="W263" i="2"/>
  <c r="W1027" i="2"/>
  <c r="AF125" i="2"/>
  <c r="W629" i="2"/>
  <c r="AF629" i="2" s="1"/>
  <c r="W1006" i="2"/>
  <c r="W1005" i="2" s="1"/>
  <c r="AF1005" i="2" s="1"/>
  <c r="W1077" i="2"/>
  <c r="AF1077" i="2" s="1"/>
  <c r="AF1861" i="2"/>
  <c r="AF1871" i="2"/>
  <c r="AA995" i="2"/>
  <c r="AF2014" i="2"/>
  <c r="W287" i="2"/>
  <c r="AF287" i="2" s="1"/>
  <c r="W290" i="2"/>
  <c r="AF290" i="2" s="1"/>
  <c r="W1252" i="2"/>
  <c r="AF1252" i="2" s="1"/>
  <c r="W1420" i="2"/>
  <c r="AF1420" i="2" s="1"/>
  <c r="W720" i="2"/>
  <c r="W788" i="2"/>
  <c r="W1874" i="2"/>
  <c r="AF1874" i="2" s="1"/>
  <c r="W1367" i="2"/>
  <c r="AF1367" i="2" s="1"/>
  <c r="W1370" i="2"/>
  <c r="AF1370" i="2" s="1"/>
  <c r="W1358" i="2"/>
  <c r="AF1358" i="2" s="1"/>
  <c r="W88" i="2"/>
  <c r="AF88" i="2" s="1"/>
  <c r="W299" i="2"/>
  <c r="AF299" i="2" s="1"/>
  <c r="AD62" i="2"/>
  <c r="AK91" i="2"/>
  <c r="W865" i="2"/>
  <c r="AF865" i="2" s="1"/>
  <c r="W1423" i="2"/>
  <c r="AF1423" i="2" s="1"/>
  <c r="W1853" i="2"/>
  <c r="AF1853" i="2" s="1"/>
  <c r="W1892" i="2"/>
  <c r="AA86" i="2"/>
  <c r="W42" i="2"/>
  <c r="AF42" i="2" s="1"/>
  <c r="AK105" i="2"/>
  <c r="AK104" i="2" s="1"/>
  <c r="AA111" i="2"/>
  <c r="AD111" i="2" s="1"/>
  <c r="W1055" i="2"/>
  <c r="AF1055" i="2" s="1"/>
  <c r="W1337" i="2"/>
  <c r="AF1337" i="2" s="1"/>
  <c r="W1361" i="2"/>
  <c r="AF1361" i="2" s="1"/>
  <c r="W1436" i="2"/>
  <c r="W1900" i="2"/>
  <c r="AF1900" i="2" s="1"/>
  <c r="W1306" i="2"/>
  <c r="AF1306" i="2" s="1"/>
  <c r="W1374" i="2"/>
  <c r="AF1374" i="2" s="1"/>
  <c r="W82" i="2"/>
  <c r="AF82" i="2" s="1"/>
  <c r="AA157" i="2"/>
  <c r="W278" i="2"/>
  <c r="AF278" i="2" s="1"/>
  <c r="W515" i="2"/>
  <c r="AF515" i="2" s="1"/>
  <c r="W958" i="2"/>
  <c r="AF958" i="2" s="1"/>
  <c r="AF1249" i="2"/>
  <c r="W1343" i="2"/>
  <c r="AF1343" i="2" s="1"/>
  <c r="W1349" i="2"/>
  <c r="AF1349" i="2" s="1"/>
  <c r="AA92" i="2"/>
  <c r="AA106" i="2"/>
  <c r="W133" i="2"/>
  <c r="AF133" i="2" s="1"/>
  <c r="W618" i="2"/>
  <c r="AF618" i="2" s="1"/>
  <c r="W1429" i="2"/>
  <c r="AF1429" i="2" s="1"/>
  <c r="AF1492" i="2"/>
  <c r="W1834" i="2"/>
  <c r="AF1834" i="2" s="1"/>
  <c r="W1843" i="2"/>
  <c r="AF1843" i="2" s="1"/>
  <c r="AK111" i="2"/>
  <c r="W112" i="2"/>
  <c r="W156" i="2"/>
  <c r="AF156" i="2" s="1"/>
  <c r="W205" i="2"/>
  <c r="AF205" i="2" s="1"/>
  <c r="W250" i="2"/>
  <c r="AF250" i="2" s="1"/>
  <c r="W686" i="2"/>
  <c r="AF686" i="2" s="1"/>
  <c r="W881" i="2"/>
  <c r="AF881" i="2" s="1"/>
  <c r="W1025" i="2"/>
  <c r="AF1025" i="2" s="1"/>
  <c r="AF1236" i="2"/>
  <c r="W1346" i="2"/>
  <c r="AF1346" i="2" s="1"/>
  <c r="W1432" i="2"/>
  <c r="AF1432" i="2" s="1"/>
  <c r="W1713" i="2"/>
  <c r="W1837" i="2"/>
  <c r="AF1837" i="2" s="1"/>
  <c r="W1850" i="2"/>
  <c r="AF1850" i="2" s="1"/>
  <c r="W1879" i="2"/>
  <c r="W2010" i="2"/>
  <c r="AF2010" i="2" s="1"/>
  <c r="AK85" i="2"/>
  <c r="AA85" i="2" s="1"/>
  <c r="AF194" i="2"/>
  <c r="W281" i="2"/>
  <c r="AF281" i="2" s="1"/>
  <c r="W311" i="2"/>
  <c r="W309" i="2" s="1"/>
  <c r="AF309" i="2" s="1"/>
  <c r="W710" i="2"/>
  <c r="AF710" i="2" s="1"/>
  <c r="W752" i="2"/>
  <c r="AF752" i="2" s="1"/>
  <c r="W964" i="2"/>
  <c r="AF964" i="2" s="1"/>
  <c r="W973" i="2"/>
  <c r="AF973" i="2" s="1"/>
  <c r="W1015" i="2"/>
  <c r="AF1015" i="2" s="1"/>
  <c r="AF1436" i="2"/>
  <c r="AF1464" i="2"/>
  <c r="W1918" i="2"/>
  <c r="W1926" i="2"/>
  <c r="AF1926" i="2" s="1"/>
  <c r="AF186" i="2"/>
  <c r="W241" i="2"/>
  <c r="AF241" i="2" s="1"/>
  <c r="W357" i="2"/>
  <c r="W355" i="2" s="1"/>
  <c r="AF355" i="2" s="1"/>
  <c r="W403" i="2"/>
  <c r="AF403" i="2" s="1"/>
  <c r="AF28" i="2"/>
  <c r="W27" i="2"/>
  <c r="AF27" i="2" s="1"/>
  <c r="AB118" i="2"/>
  <c r="AK118" i="2"/>
  <c r="W585" i="2"/>
  <c r="W978" i="2"/>
  <c r="AF978" i="2" s="1"/>
  <c r="W460" i="2"/>
  <c r="AF402" i="2"/>
  <c r="W435" i="2"/>
  <c r="AF435" i="2" s="1"/>
  <c r="W438" i="2"/>
  <c r="AF438" i="2" s="1"/>
  <c r="W453" i="2"/>
  <c r="AF453" i="2" s="1"/>
  <c r="W469" i="2"/>
  <c r="AF469" i="2" s="1"/>
  <c r="W918" i="2"/>
  <c r="AF918" i="2" s="1"/>
  <c r="W924" i="2"/>
  <c r="AF924" i="2" s="1"/>
  <c r="W1467" i="2"/>
  <c r="AF1467" i="2" s="1"/>
  <c r="AK79" i="2"/>
  <c r="W143" i="2"/>
  <c r="AF143" i="2" s="1"/>
  <c r="W159" i="2"/>
  <c r="AF159" i="2" s="1"/>
  <c r="W179" i="2"/>
  <c r="AF179" i="2" s="1"/>
  <c r="W238" i="2"/>
  <c r="AF238" i="2" s="1"/>
  <c r="W262" i="2"/>
  <c r="AF262" i="2" s="1"/>
  <c r="W272" i="2"/>
  <c r="AF272" i="2" s="1"/>
  <c r="W333" i="2"/>
  <c r="AF333" i="2" s="1"/>
  <c r="AF532" i="2"/>
  <c r="W614" i="2"/>
  <c r="AF614" i="2" s="1"/>
  <c r="W891" i="2"/>
  <c r="W953" i="2"/>
  <c r="AF953" i="2" s="1"/>
  <c r="W1520" i="2"/>
  <c r="AK82" i="2"/>
  <c r="AK94" i="2"/>
  <c r="AA113" i="2"/>
  <c r="W115" i="2"/>
  <c r="AA147" i="2"/>
  <c r="AA153" i="2"/>
  <c r="W202" i="2"/>
  <c r="W201" i="2" s="1"/>
  <c r="AF201" i="2" s="1"/>
  <c r="W229" i="2"/>
  <c r="AF229" i="2" s="1"/>
  <c r="W269" i="2"/>
  <c r="AF269" i="2" s="1"/>
  <c r="W444" i="2"/>
  <c r="AF444" i="2" s="1"/>
  <c r="AF460" i="2"/>
  <c r="W526" i="2"/>
  <c r="AF526" i="2" s="1"/>
  <c r="W529" i="2"/>
  <c r="AF529" i="2" s="1"/>
  <c r="W582" i="2"/>
  <c r="AF619" i="2"/>
  <c r="W640" i="2"/>
  <c r="AF640" i="2" s="1"/>
  <c r="W723" i="2"/>
  <c r="W873" i="2"/>
  <c r="AF873" i="2" s="1"/>
  <c r="W1492" i="2"/>
  <c r="W1058" i="2"/>
  <c r="AF1058" i="2" s="1"/>
  <c r="W1096" i="2"/>
  <c r="W1094" i="2" s="1"/>
  <c r="AF1094" i="2" s="1"/>
  <c r="W1213" i="2"/>
  <c r="AF1213" i="2" s="1"/>
  <c r="W1263" i="2"/>
  <c r="AF1263" i="2" s="1"/>
  <c r="W1321" i="2"/>
  <c r="AF1321" i="2" s="1"/>
  <c r="W1328" i="2"/>
  <c r="W1326" i="2" s="1"/>
  <c r="AF1326" i="2" s="1"/>
  <c r="W1355" i="2"/>
  <c r="AF1355" i="2" s="1"/>
  <c r="W1464" i="2"/>
  <c r="W1463" i="2" s="1"/>
  <c r="W1840" i="2"/>
  <c r="AF1840" i="2" s="1"/>
  <c r="W2031" i="2"/>
  <c r="AF2031" i="2" s="1"/>
  <c r="W2070" i="2"/>
  <c r="AF2070" i="2" s="1"/>
  <c r="AF1269" i="2"/>
  <c r="W1352" i="2"/>
  <c r="AF1352" i="2" s="1"/>
  <c r="W1364" i="2"/>
  <c r="AF1364" i="2" s="1"/>
  <c r="W1426" i="2"/>
  <c r="AF1426" i="2" s="1"/>
  <c r="W1865" i="2"/>
  <c r="AF1865" i="2" s="1"/>
  <c r="W1959" i="2"/>
  <c r="AF1959" i="2" s="1"/>
  <c r="W1973" i="2"/>
  <c r="AF1973" i="2" s="1"/>
  <c r="W933" i="2"/>
  <c r="AF933" i="2" s="1"/>
  <c r="W996" i="2"/>
  <c r="AF996" i="2" s="1"/>
  <c r="W1036" i="2"/>
  <c r="AF1036" i="2" s="1"/>
  <c r="W1050" i="2"/>
  <c r="AF1050" i="2" s="1"/>
  <c r="W1114" i="2"/>
  <c r="AF1114" i="2" s="1"/>
  <c r="AF1520" i="2"/>
  <c r="AA95" i="2"/>
  <c r="W94" i="2"/>
  <c r="AF94" i="2" s="1"/>
  <c r="AA120" i="2"/>
  <c r="W152" i="2"/>
  <c r="AF152" i="2" s="1"/>
  <c r="AA167" i="2"/>
  <c r="W166" i="2"/>
  <c r="AF166" i="2" s="1"/>
  <c r="W187" i="2"/>
  <c r="W185" i="2" s="1"/>
  <c r="AF185" i="2" s="1"/>
  <c r="AF251" i="2"/>
  <c r="W381" i="2"/>
  <c r="AF381" i="2" s="1"/>
  <c r="W854" i="2"/>
  <c r="AF854" i="2" s="1"/>
  <c r="AF943" i="2"/>
  <c r="AA936" i="2"/>
  <c r="W985" i="2"/>
  <c r="AF985" i="2" s="1"/>
  <c r="AF62" i="2"/>
  <c r="W61" i="2"/>
  <c r="AF61" i="2" s="1"/>
  <c r="W10" i="2"/>
  <c r="AF10" i="2" s="1"/>
  <c r="AF41" i="2"/>
  <c r="AF51" i="2"/>
  <c r="W52" i="2"/>
  <c r="AF52" i="2" s="1"/>
  <c r="AA83" i="2"/>
  <c r="W91" i="2"/>
  <c r="AF91" i="2" s="1"/>
  <c r="W30" i="2"/>
  <c r="AF30" i="2" s="1"/>
  <c r="AA99" i="2"/>
  <c r="W98" i="2"/>
  <c r="W97" i="2" s="1"/>
  <c r="AF97" i="2" s="1"/>
  <c r="AK98" i="2"/>
  <c r="AK97" i="2" s="1"/>
  <c r="W505" i="2"/>
  <c r="AF505" i="2" s="1"/>
  <c r="AF506" i="2"/>
  <c r="W913" i="2"/>
  <c r="AF913" i="2" s="1"/>
  <c r="AA914" i="2"/>
  <c r="W478" i="2"/>
  <c r="AF478" i="2" s="1"/>
  <c r="W518" i="2"/>
  <c r="AF518" i="2" s="1"/>
  <c r="W610" i="2"/>
  <c r="AF610" i="2" s="1"/>
  <c r="W1134" i="2"/>
  <c r="W1132" i="2" s="1"/>
  <c r="AF1132" i="2" s="1"/>
  <c r="W1284" i="2"/>
  <c r="W1282" i="2" s="1"/>
  <c r="AF1282" i="2" s="1"/>
  <c r="W1523" i="2"/>
  <c r="AF1523" i="2" s="1"/>
  <c r="W1781" i="2"/>
  <c r="W265" i="2"/>
  <c r="AF265" i="2" s="1"/>
  <c r="W554" i="2"/>
  <c r="W666" i="2"/>
  <c r="AF666" i="2" s="1"/>
  <c r="W669" i="2"/>
  <c r="AF669" i="2" s="1"/>
  <c r="W713" i="2"/>
  <c r="AF713" i="2" s="1"/>
  <c r="W755" i="2"/>
  <c r="AF755" i="2" s="1"/>
  <c r="W938" i="2"/>
  <c r="AF938" i="2" s="1"/>
  <c r="W944" i="2"/>
  <c r="AF944" i="2" s="1"/>
  <c r="W1066" i="2"/>
  <c r="AF1066" i="2" s="1"/>
  <c r="W1084" i="2"/>
  <c r="AF1084" i="2" s="1"/>
  <c r="W1108" i="2"/>
  <c r="AF1108" i="2" s="1"/>
  <c r="W1259" i="2"/>
  <c r="AF1259" i="2" s="1"/>
  <c r="W1316" i="2"/>
  <c r="AF1316" i="2" s="1"/>
  <c r="W1956" i="2"/>
  <c r="W1984" i="2"/>
  <c r="W1982" i="2" s="1"/>
  <c r="AF1982" i="2" s="1"/>
  <c r="W169" i="2"/>
  <c r="W232" i="2"/>
  <c r="AF232" i="2" s="1"/>
  <c r="W247" i="2"/>
  <c r="AF247" i="2" s="1"/>
  <c r="W2" i="2"/>
  <c r="AF2" i="2" s="1"/>
  <c r="W18" i="2"/>
  <c r="AF18" i="2" s="1"/>
  <c r="W79" i="2"/>
  <c r="AF79" i="2" s="1"/>
  <c r="AA89" i="2"/>
  <c r="AK88" i="2"/>
  <c r="W105" i="2"/>
  <c r="W108" i="2"/>
  <c r="W122" i="2"/>
  <c r="AA141" i="2"/>
  <c r="W149" i="2"/>
  <c r="AF149" i="2" s="1"/>
  <c r="W176" i="2"/>
  <c r="W195" i="2"/>
  <c r="AF195" i="2" s="1"/>
  <c r="W235" i="2"/>
  <c r="AF235" i="2" s="1"/>
  <c r="W296" i="2"/>
  <c r="W487" i="2"/>
  <c r="AF487" i="2" s="1"/>
  <c r="W551" i="2"/>
  <c r="W550" i="2" s="1"/>
  <c r="AF550" i="2" s="1"/>
  <c r="W622" i="2"/>
  <c r="AF622" i="2" s="1"/>
  <c r="W635" i="2"/>
  <c r="AF635" i="2" s="1"/>
  <c r="W646" i="2"/>
  <c r="AF646" i="2" s="1"/>
  <c r="W689" i="2"/>
  <c r="W716" i="2"/>
  <c r="AF716" i="2" s="1"/>
  <c r="W791" i="2"/>
  <c r="AF791" i="2" s="1"/>
  <c r="W894" i="2"/>
  <c r="W1158" i="2"/>
  <c r="AF1158" i="2" s="1"/>
  <c r="W1301" i="2"/>
  <c r="AF1301" i="2" s="1"/>
  <c r="W1377" i="2"/>
  <c r="W1439" i="2"/>
  <c r="AF1439" i="2" s="1"/>
  <c r="W1495" i="2"/>
  <c r="W1491" i="2" s="1"/>
  <c r="W1716" i="2"/>
  <c r="W1778" i="2"/>
  <c r="W1777" i="2" s="1"/>
  <c r="AF1777" i="2" s="1"/>
  <c r="W1846" i="2"/>
  <c r="AF1846" i="2" s="1"/>
  <c r="AF1885" i="2"/>
  <c r="W1887" i="2"/>
  <c r="AF1887" i="2" s="1"/>
  <c r="W1932" i="2"/>
  <c r="AF1932" i="2" s="1"/>
  <c r="AF1933" i="2"/>
  <c r="W2049" i="2"/>
  <c r="AF2049" i="2" s="1"/>
  <c r="W1340" i="2"/>
  <c r="AF1340" i="2" s="1"/>
  <c r="W1913" i="2"/>
  <c r="AF1913" i="2" s="1"/>
  <c r="AF1931" i="2"/>
  <c r="W1999" i="2"/>
  <c r="AF1999" i="2" s="1"/>
  <c r="AF2011" i="2"/>
  <c r="W2022" i="2"/>
  <c r="AF2022" i="2" s="1"/>
  <c r="W1090" i="2"/>
  <c r="W1088" i="2" s="1"/>
  <c r="AF1088" i="2" s="1"/>
  <c r="W1102" i="2"/>
  <c r="W1100" i="2" s="1"/>
  <c r="AF1100" i="2" s="1"/>
  <c r="W1121" i="2"/>
  <c r="AF1121" i="2" s="1"/>
  <c r="W1145" i="2"/>
  <c r="AF1145" i="2" s="1"/>
  <c r="W1239" i="2"/>
  <c r="AF1239" i="2" s="1"/>
  <c r="W1244" i="2"/>
  <c r="AF1244" i="2" s="1"/>
  <c r="W1270" i="2"/>
  <c r="W1268" i="2" s="1"/>
  <c r="AF1268" i="2" s="1"/>
  <c r="W1296" i="2"/>
  <c r="AF1296" i="2" s="1"/>
  <c r="W1311" i="2"/>
  <c r="AF1311" i="2" s="1"/>
  <c r="W1905" i="2"/>
  <c r="W2007" i="2"/>
  <c r="AF2007" i="2" s="1"/>
  <c r="W146" i="2"/>
  <c r="AF146" i="2" s="1"/>
  <c r="AD50" i="2"/>
  <c r="W119" i="2"/>
  <c r="W127" i="2"/>
  <c r="AF127" i="2" s="1"/>
  <c r="W140" i="2"/>
  <c r="AF140" i="2" s="1"/>
  <c r="AA144" i="2"/>
  <c r="AA150" i="2"/>
  <c r="AF248" i="2"/>
  <c r="W253" i="2"/>
  <c r="AF253" i="2" s="1"/>
  <c r="AF260" i="2"/>
  <c r="W286" i="2"/>
  <c r="AF286" i="2" s="1"/>
  <c r="AF519" i="2"/>
  <c r="AF623" i="2"/>
  <c r="W630" i="2"/>
  <c r="AF630" i="2" s="1"/>
  <c r="AA711" i="2"/>
  <c r="AF788" i="2"/>
  <c r="AF1184" i="2"/>
  <c r="W1185" i="2"/>
  <c r="AF1185" i="2" s="1"/>
  <c r="AF1212" i="2"/>
  <c r="AA1878" i="2"/>
  <c r="W1938" i="2"/>
  <c r="W85" i="2"/>
  <c r="AA203" i="2"/>
  <c r="W331" i="2"/>
  <c r="AF331" i="2" s="1"/>
  <c r="W451" i="2"/>
  <c r="AF451" i="2" s="1"/>
  <c r="W1171" i="2"/>
  <c r="AF1463" i="2"/>
  <c r="AF1519" i="2"/>
  <c r="AA80" i="2"/>
  <c r="AA177" i="2"/>
  <c r="AF202" i="2"/>
  <c r="W244" i="2"/>
  <c r="AF244" i="2" s="1"/>
  <c r="W256" i="2"/>
  <c r="AF256" i="2" s="1"/>
  <c r="W626" i="2"/>
  <c r="AF626" i="2" s="1"/>
  <c r="W496" i="2"/>
  <c r="AF496" i="2" s="1"/>
  <c r="W649" i="2"/>
  <c r="AF649" i="2" s="1"/>
  <c r="W1023" i="2"/>
  <c r="AF1023" i="2" s="1"/>
  <c r="W1034" i="2"/>
  <c r="AF1034" i="2" s="1"/>
  <c r="W1199" i="2"/>
  <c r="AF1199" i="2" s="1"/>
  <c r="W1948" i="2"/>
  <c r="W1869" i="2" l="1"/>
  <c r="AF1869" i="2" s="1"/>
  <c r="W1895" i="2"/>
  <c r="AF1895" i="2" s="1"/>
  <c r="W118" i="2"/>
  <c r="AF118" i="2" s="1"/>
  <c r="W1921" i="2"/>
  <c r="AF1921" i="2" s="1"/>
  <c r="AF1096" i="2"/>
  <c r="W1860" i="2"/>
  <c r="AF1860" i="2" s="1"/>
  <c r="W1013" i="2"/>
  <c r="AF1013" i="2" s="1"/>
  <c r="AF85" i="2"/>
  <c r="W525" i="2"/>
  <c r="AF525" i="2" s="1"/>
  <c r="W401" i="2"/>
  <c r="AF401" i="2" s="1"/>
  <c r="W2013" i="2"/>
  <c r="AF2013" i="2" s="1"/>
  <c r="W1112" i="2"/>
  <c r="AF1112" i="2" s="1"/>
  <c r="W719" i="2"/>
  <c r="AF719" i="2" s="1"/>
  <c r="W685" i="2"/>
  <c r="AF685" i="2" s="1"/>
  <c r="W581" i="2"/>
  <c r="AF581" i="2" s="1"/>
  <c r="W111" i="2"/>
  <c r="AF111" i="2" s="1"/>
  <c r="W1156" i="2"/>
  <c r="AF1156" i="2" s="1"/>
  <c r="W1119" i="2"/>
  <c r="AF1119" i="2" s="1"/>
  <c r="W268" i="2"/>
  <c r="AF268" i="2" s="1"/>
  <c r="W277" i="2"/>
  <c r="AF277" i="2" s="1"/>
  <c r="W295" i="2"/>
  <c r="AF295" i="2" s="1"/>
  <c r="W40" i="2"/>
  <c r="AF40" i="2" s="1"/>
  <c r="W442" i="2"/>
  <c r="AF442" i="2" s="1"/>
  <c r="W379" i="2"/>
  <c r="AF379" i="2" s="1"/>
  <c r="W956" i="2"/>
  <c r="AF956" i="2" s="1"/>
  <c r="AF357" i="2"/>
  <c r="W1849" i="2"/>
  <c r="AF1849" i="2" s="1"/>
  <c r="W1106" i="2"/>
  <c r="AF1106" i="2" s="1"/>
  <c r="AF1435" i="2"/>
  <c r="W514" i="2"/>
  <c r="AF514" i="2" s="1"/>
  <c r="W1435" i="2"/>
  <c r="W50" i="2"/>
  <c r="AF50" i="2" s="1"/>
  <c r="AF1495" i="2"/>
  <c r="AF1090" i="2"/>
  <c r="AF1284" i="2"/>
  <c r="W1712" i="2"/>
  <c r="AF1712" i="2" s="1"/>
  <c r="W175" i="2"/>
  <c r="AF175" i="2" s="1"/>
  <c r="W165" i="2"/>
  <c r="AF165" i="2" s="1"/>
  <c r="W1250" i="2"/>
  <c r="W1248" i="2" s="1"/>
  <c r="AF1248" i="2" s="1"/>
  <c r="W890" i="2"/>
  <c r="AF890" i="2" s="1"/>
  <c r="W26" i="2"/>
  <c r="AF26" i="2" s="1"/>
  <c r="W1373" i="2"/>
  <c r="AF1373" i="2" s="1"/>
  <c r="W193" i="2"/>
  <c r="AF193" i="2" s="1"/>
  <c r="W976" i="2"/>
  <c r="AF976" i="2" s="1"/>
  <c r="AF296" i="2"/>
  <c r="W155" i="2"/>
  <c r="AF155" i="2" s="1"/>
  <c r="W1519" i="2"/>
  <c r="AF1102" i="2"/>
  <c r="W1143" i="2"/>
  <c r="AF1143" i="2" s="1"/>
  <c r="W751" i="2"/>
  <c r="AF751" i="2" s="1"/>
  <c r="W1908" i="2"/>
  <c r="AF1908" i="2" s="1"/>
  <c r="W1971" i="2"/>
  <c r="AF1971" i="2" s="1"/>
  <c r="W1930" i="2"/>
  <c r="AF1930" i="2" s="1"/>
  <c r="AF187" i="2"/>
  <c r="AF689" i="2"/>
  <c r="AF1491" i="2"/>
  <c r="W1211" i="2"/>
  <c r="AF1211" i="2" s="1"/>
  <c r="W916" i="2"/>
  <c r="AF916" i="2" s="1"/>
  <c r="AF1270" i="2"/>
  <c r="W665" i="2"/>
  <c r="AF665" i="2" s="1"/>
  <c r="W936" i="2"/>
  <c r="W994" i="2"/>
  <c r="AF994" i="2" s="1"/>
  <c r="AF1377" i="2"/>
  <c r="AF169" i="2"/>
  <c r="AF176" i="2"/>
  <c r="W787" i="2"/>
  <c r="AF787" i="2" s="1"/>
  <c r="W1003" i="2"/>
  <c r="AF1003" i="2" s="1"/>
  <c r="W1237" i="2"/>
  <c r="AF1237" i="2" s="1"/>
  <c r="W1882" i="2"/>
  <c r="W104" i="2"/>
  <c r="AF104" i="2" s="1"/>
  <c r="AF1956" i="2"/>
  <c r="W1955" i="2"/>
  <c r="AF1955" i="2" s="1"/>
  <c r="W1197" i="2"/>
  <c r="AF1197" i="2" s="1"/>
  <c r="W1891" i="2"/>
  <c r="AF1891" i="2" s="1"/>
  <c r="AF1171" i="2"/>
  <c r="W1169" i="2"/>
  <c r="AF1169" i="2" s="1"/>
  <c r="AF1948" i="2"/>
  <c r="W1946" i="2"/>
  <c r="AF1946" i="2" s="1"/>
  <c r="W1183" i="2"/>
  <c r="AF1183" i="2" s="1"/>
  <c r="W645" i="2"/>
  <c r="AF645" i="2" s="1"/>
  <c r="AF1938" i="2"/>
  <c r="W1936" i="2"/>
  <c r="AF1936" i="2" s="1"/>
  <c r="W1917" i="2" l="1"/>
  <c r="AF1917" i="2" s="1"/>
  <c r="AF1250" i="2"/>
  <c r="W912" i="2"/>
  <c r="AF912" i="2" s="1"/>
  <c r="W952" i="2"/>
  <c r="AF952" i="2" s="1"/>
  <c r="W972" i="2"/>
  <c r="AF972" i="2" s="1"/>
  <c r="W1904" i="2"/>
  <c r="AF1904" i="2" s="1"/>
  <c r="W932" i="2"/>
  <c r="AF932" i="2" s="1"/>
  <c r="AF936" i="2"/>
  <c r="AF1882" i="2"/>
  <c r="W1878" i="2"/>
  <c r="AF1878" i="2" s="1"/>
  <c r="W1235" i="2"/>
  <c r="AF1235" i="2" s="1"/>
</calcChain>
</file>

<file path=xl/comments1.xml><?xml version="1.0" encoding="utf-8"?>
<comments xmlns="http://schemas.openxmlformats.org/spreadsheetml/2006/main">
  <authors>
    <author>TScurfield2</author>
    <author>David Gionet-Landry</author>
  </authors>
  <commentList>
    <comment ref="G11" authorId="0" shapeId="0">
      <text>
        <r>
          <rPr>
            <b/>
            <sz val="9"/>
            <color indexed="81"/>
            <rFont val="Tahoma"/>
            <family val="2"/>
          </rPr>
          <t>TScurfield2:</t>
        </r>
        <r>
          <rPr>
            <sz val="9"/>
            <color indexed="81"/>
            <rFont val="Tahoma"/>
            <family val="2"/>
          </rPr>
          <t xml:space="preserve">
No exchange rate was given in the report or on www.eiti.org so this was taken from the WB after conversion from old to new local currency. Also government figure includes payments in-kind, which www.eiti.org does not. </t>
        </r>
      </text>
    </comment>
    <comment ref="G12" authorId="0" shapeId="0">
      <text>
        <r>
          <rPr>
            <b/>
            <sz val="9"/>
            <color indexed="81"/>
            <rFont val="Tahoma"/>
            <family val="2"/>
          </rPr>
          <t>TScurfield2:</t>
        </r>
        <r>
          <rPr>
            <sz val="9"/>
            <color indexed="81"/>
            <rFont val="Tahoma"/>
            <family val="2"/>
          </rPr>
          <t xml:space="preserve">
No exchange rate was given in the report or on www.eiti.org so this was taken from the WB after conversion from old to new local currency. Also government figure includes payments in-kind, which www.eiti.org does not. </t>
        </r>
      </text>
    </comment>
    <comment ref="G13" authorId="0" shapeId="0">
      <text>
        <r>
          <rPr>
            <b/>
            <sz val="9"/>
            <color indexed="81"/>
            <rFont val="Tahoma"/>
            <family val="2"/>
          </rPr>
          <t>TScurfield2:</t>
        </r>
        <r>
          <rPr>
            <sz val="9"/>
            <color indexed="81"/>
            <rFont val="Tahoma"/>
            <family val="2"/>
          </rPr>
          <t xml:space="preserve">
Clearly something significantly wrong with this but can't work out what??</t>
        </r>
      </text>
    </comment>
    <comment ref="G14" authorId="0" shape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5" authorId="0" shape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6" authorId="0" shape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7" authorId="0" shape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t>
        </r>
      </text>
    </comment>
    <comment ref="G18" authorId="0" shape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t>
        </r>
      </text>
    </comment>
    <comment ref="G19" authorId="0" shapeId="0">
      <text>
        <r>
          <rPr>
            <b/>
            <sz val="9"/>
            <color indexed="81"/>
            <rFont val="Tahoma"/>
            <family val="2"/>
          </rPr>
          <t>TScurfield2:</t>
        </r>
        <r>
          <rPr>
            <sz val="9"/>
            <color indexed="81"/>
            <rFont val="Tahoma"/>
            <family val="2"/>
          </rPr>
          <t xml:space="preserve">
The sum of the values of payments in-kind is incorrect on www.eiti.org, and the figures for the cash payments are also slightly different.</t>
        </r>
      </text>
    </comment>
    <comment ref="G26" authorId="0" shapeId="0">
      <text>
        <r>
          <rPr>
            <b/>
            <sz val="9"/>
            <color indexed="81"/>
            <rFont val="Tahoma"/>
            <family val="2"/>
          </rPr>
          <t>TScurfield2:</t>
        </r>
        <r>
          <rPr>
            <sz val="9"/>
            <color indexed="81"/>
            <rFont val="Tahoma"/>
            <family val="2"/>
          </rPr>
          <t xml:space="preserve">
Includes payments in-kind, which www.eiti.org does not.</t>
        </r>
      </text>
    </comment>
    <comment ref="G27" authorId="0" shapeId="0">
      <text>
        <r>
          <rPr>
            <b/>
            <sz val="9"/>
            <color indexed="81"/>
            <rFont val="Tahoma"/>
            <family val="2"/>
          </rPr>
          <t>TScurfield2:</t>
        </r>
        <r>
          <rPr>
            <sz val="9"/>
            <color indexed="81"/>
            <rFont val="Tahoma"/>
            <family val="2"/>
          </rPr>
          <t xml:space="preserve">
Includes payments in-kind, which www.eiti.org does not.</t>
        </r>
      </text>
    </comment>
    <comment ref="G28" authorId="0" shapeId="0">
      <text>
        <r>
          <rPr>
            <b/>
            <sz val="9"/>
            <color indexed="81"/>
            <rFont val="Tahoma"/>
            <family val="2"/>
          </rPr>
          <t>TScurfield2:</t>
        </r>
        <r>
          <rPr>
            <sz val="9"/>
            <color indexed="81"/>
            <rFont val="Tahoma"/>
            <family val="2"/>
          </rPr>
          <t xml:space="preserve">
Includes payments in-kind, which www.eiti.org does not.</t>
        </r>
      </text>
    </comment>
    <comment ref="G29" authorId="0" shapeId="0">
      <text>
        <r>
          <rPr>
            <b/>
            <sz val="9"/>
            <color indexed="81"/>
            <rFont val="Tahoma"/>
            <family val="2"/>
          </rPr>
          <t>TScurfield2:</t>
        </r>
        <r>
          <rPr>
            <sz val="9"/>
            <color indexed="81"/>
            <rFont val="Tahoma"/>
            <family val="2"/>
          </rPr>
          <t xml:space="preserve">
Includes payments in-kind, which www.eiti.org does not.</t>
        </r>
      </text>
    </comment>
    <comment ref="G30" authorId="0" shapeId="0">
      <text>
        <r>
          <rPr>
            <b/>
            <sz val="9"/>
            <color indexed="81"/>
            <rFont val="Tahoma"/>
            <family val="2"/>
          </rPr>
          <t>TScurfield2:</t>
        </r>
        <r>
          <rPr>
            <sz val="9"/>
            <color indexed="81"/>
            <rFont val="Tahoma"/>
            <family val="2"/>
          </rPr>
          <t xml:space="preserve">
Includes payments in-kind, which www.eiti.org does not.</t>
        </r>
      </text>
    </comment>
    <comment ref="G31" authorId="0" shape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2" authorId="0" shape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3" authorId="0" shape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6" authorId="0" shapeId="0">
      <text>
        <r>
          <rPr>
            <b/>
            <sz val="9"/>
            <color indexed="81"/>
            <rFont val="Tahoma"/>
            <family val="2"/>
          </rPr>
          <t>TScurfield2:</t>
        </r>
        <r>
          <rPr>
            <sz val="9"/>
            <color indexed="81"/>
            <rFont val="Tahoma"/>
            <family val="2"/>
          </rPr>
          <t xml:space="preserve">
The oil subsidy is netted on www.eiti.org, but it is not here.  But, irrespective of this, there is still a small difference.</t>
        </r>
      </text>
    </comment>
    <comment ref="G69" authorId="0" shapeId="0">
      <text>
        <r>
          <rPr>
            <b/>
            <sz val="9"/>
            <color indexed="81"/>
            <rFont val="Tahoma"/>
            <family val="2"/>
          </rPr>
          <t>TScurfield2:</t>
        </r>
        <r>
          <rPr>
            <sz val="9"/>
            <color indexed="81"/>
            <rFont val="Tahoma"/>
            <family val="2"/>
          </rPr>
          <t xml:space="preserve">
Figures are the wrong way round in the EITI summary</t>
        </r>
      </text>
    </comment>
    <comment ref="G72" authorId="0" shapeId="0">
      <text>
        <r>
          <rPr>
            <b/>
            <sz val="9"/>
            <color indexed="81"/>
            <rFont val="Tahoma"/>
            <family val="2"/>
          </rPr>
          <t>TScurfield2:</t>
        </r>
        <r>
          <rPr>
            <sz val="9"/>
            <color indexed="81"/>
            <rFont val="Tahoma"/>
            <family val="2"/>
          </rPr>
          <t xml:space="preserve">
Resolved discrepancies were not included in the report's figures so these were adjusted retrospectively. But, irrespective of this, there is still a difference.</t>
        </r>
      </text>
    </comment>
    <comment ref="H75" authorId="1" shapeId="0">
      <text>
        <r>
          <rPr>
            <b/>
            <sz val="9"/>
            <color indexed="81"/>
            <rFont val="Calibri"/>
            <family val="2"/>
          </rPr>
          <t>DLandry:</t>
        </r>
        <r>
          <rPr>
            <sz val="9"/>
            <color indexed="81"/>
            <rFont val="Calibri"/>
            <family val="2"/>
          </rPr>
          <t xml:space="preserve">
Figure not on website</t>
        </r>
      </text>
    </comment>
    <comment ref="G87" authorId="0" shapeId="0">
      <text>
        <r>
          <rPr>
            <b/>
            <sz val="9"/>
            <color indexed="81"/>
            <rFont val="Tahoma"/>
            <family val="2"/>
          </rPr>
          <t>TScurfield2:</t>
        </r>
        <r>
          <rPr>
            <sz val="9"/>
            <color indexed="81"/>
            <rFont val="Tahoma"/>
            <family val="2"/>
          </rPr>
          <t xml:space="preserve">
DMO fees are netted on www.eiti.org, but are not here. </t>
        </r>
      </text>
    </comment>
    <comment ref="G88" authorId="0" shapeId="0">
      <text>
        <r>
          <rPr>
            <b/>
            <sz val="9"/>
            <color indexed="81"/>
            <rFont val="Tahoma"/>
            <family val="2"/>
          </rPr>
          <t>TScurfield2:</t>
        </r>
        <r>
          <rPr>
            <sz val="9"/>
            <color indexed="81"/>
            <rFont val="Tahoma"/>
            <family val="2"/>
          </rPr>
          <t xml:space="preserve">
DMO fees are netted on www.eiti.org, but are not here. Although irespective of this, there is still a difference.</t>
        </r>
      </text>
    </comment>
    <comment ref="G89" authorId="0" shapeId="0">
      <text>
        <r>
          <rPr>
            <b/>
            <sz val="9"/>
            <color indexed="81"/>
            <rFont val="Tahoma"/>
            <family val="2"/>
          </rPr>
          <t>TScurfield2:</t>
        </r>
        <r>
          <rPr>
            <sz val="9"/>
            <color indexed="81"/>
            <rFont val="Tahoma"/>
            <family val="2"/>
          </rPr>
          <t xml:space="preserve">
DMO fees are netted on www.eiti.org, but are not here. Although irespective of this, there is still a difference.</t>
        </r>
      </text>
    </comment>
    <comment ref="G90" authorId="0" shapeId="0">
      <text>
        <r>
          <rPr>
            <b/>
            <sz val="9"/>
            <color indexed="81"/>
            <rFont val="Tahoma"/>
            <family val="2"/>
          </rPr>
          <t>TScurfield2:</t>
        </r>
        <r>
          <rPr>
            <sz val="9"/>
            <color indexed="81"/>
            <rFont val="Tahoma"/>
            <family val="2"/>
          </rPr>
          <t xml:space="preserve">
Possibly just slightly inaccurate rounding on www.eiti.org.</t>
        </r>
      </text>
    </comment>
    <comment ref="H90" authorId="0" shapeId="0">
      <text>
        <r>
          <rPr>
            <b/>
            <sz val="9"/>
            <color indexed="81"/>
            <rFont val="Tahoma"/>
            <family val="2"/>
          </rPr>
          <t>TScurfield2:</t>
        </r>
        <r>
          <rPr>
            <sz val="9"/>
            <color indexed="81"/>
            <rFont val="Tahoma"/>
            <family val="2"/>
          </rPr>
          <t xml:space="preserve">
Not just inaccurate rounding on www.eiti.org.</t>
        </r>
      </text>
    </comment>
    <comment ref="G91" authorId="0" shapeId="0">
      <text>
        <r>
          <rPr>
            <b/>
            <sz val="9"/>
            <color indexed="81"/>
            <rFont val="Tahoma"/>
            <family val="2"/>
          </rPr>
          <t>TScurfield2:</t>
        </r>
        <r>
          <rPr>
            <sz val="9"/>
            <color indexed="81"/>
            <rFont val="Tahoma"/>
            <family val="2"/>
          </rPr>
          <t xml:space="preserve">
Signature bonuses from IOCs are not included on www.eiti.org, but they are here.
</t>
        </r>
      </text>
    </comment>
    <comment ref="G92" authorId="0" shapeId="0">
      <text>
        <r>
          <rPr>
            <b/>
            <sz val="9"/>
            <color indexed="81"/>
            <rFont val="Tahoma"/>
            <family val="2"/>
          </rPr>
          <t>TScurfield2:</t>
        </r>
        <r>
          <rPr>
            <sz val="9"/>
            <color indexed="81"/>
            <rFont val="Tahoma"/>
            <family val="2"/>
          </rPr>
          <t xml:space="preserve">
Cost recovery and remuneration fees may have been included on www.eiti.org, whilst they are not here. Although, even accounting for this, there is still a difference.</t>
        </r>
      </text>
    </comment>
    <comment ref="G96" authorId="0" shape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97" authorId="0" shape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100" authorId="0" shape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H101" authorId="1" shapeId="0">
      <text>
        <r>
          <rPr>
            <b/>
            <sz val="9"/>
            <color indexed="81"/>
            <rFont val="Calibri"/>
            <family val="2"/>
          </rPr>
          <t>DLandry:</t>
        </r>
        <r>
          <rPr>
            <sz val="9"/>
            <color indexed="81"/>
            <rFont val="Calibri"/>
            <family val="2"/>
          </rPr>
          <t xml:space="preserve">
Information from website, unclear in report</t>
        </r>
      </text>
    </comment>
    <comment ref="H102" authorId="1" shapeId="0">
      <text>
        <r>
          <rPr>
            <b/>
            <sz val="9"/>
            <color indexed="81"/>
            <rFont val="Calibri"/>
            <family val="2"/>
          </rPr>
          <t>DLandry:</t>
        </r>
        <r>
          <rPr>
            <sz val="9"/>
            <color indexed="81"/>
            <rFont val="Calibri"/>
            <family val="2"/>
          </rPr>
          <t xml:space="preserve">
Information from website, unclear in report</t>
        </r>
      </text>
    </comment>
    <comment ref="H107" authorId="0" shapeId="0">
      <text>
        <r>
          <rPr>
            <b/>
            <sz val="9"/>
            <color indexed="81"/>
            <rFont val="Tahoma"/>
            <family val="2"/>
          </rPr>
          <t>TScurfield2:</t>
        </r>
        <r>
          <rPr>
            <sz val="9"/>
            <color indexed="81"/>
            <rFont val="Tahoma"/>
            <family val="2"/>
          </rPr>
          <t xml:space="preserve">
Company figure includes unrecocniled revenue streams that companies were asked to voluntarily report on, which www.eiti.org does not. Irrespecitve of this, the two totals are different. </t>
        </r>
      </text>
    </comment>
    <comment ref="H108" authorId="0" shapeId="0">
      <text>
        <r>
          <rPr>
            <b/>
            <sz val="9"/>
            <color indexed="81"/>
            <rFont val="Tahoma"/>
            <family val="2"/>
          </rPr>
          <t>TScurfield2:</t>
        </r>
        <r>
          <rPr>
            <sz val="9"/>
            <color indexed="81"/>
            <rFont val="Tahoma"/>
            <family val="2"/>
          </rPr>
          <t xml:space="preserve">
Company figure includes unrecocniled revenue streams that companies were asked to voluntarily report on, which www.eiti.org does not. Irrespecitve of this, the two totals are different.</t>
        </r>
      </text>
    </comment>
    <comment ref="H112" authorId="0" shapeId="0">
      <text>
        <r>
          <rPr>
            <b/>
            <sz val="9"/>
            <color indexed="81"/>
            <rFont val="Tahoma"/>
            <family val="2"/>
          </rPr>
          <t>TScurfield2:</t>
        </r>
        <r>
          <rPr>
            <sz val="9"/>
            <color indexed="81"/>
            <rFont val="Tahoma"/>
            <family val="2"/>
          </rPr>
          <t xml:space="preserve">
Possibly just inaccurate rounding on www.eiti.org.</t>
        </r>
      </text>
    </comment>
    <comment ref="H115" authorId="0" shapeId="0">
      <text>
        <r>
          <rPr>
            <b/>
            <sz val="9"/>
            <color indexed="81"/>
            <rFont val="Tahoma"/>
            <family val="2"/>
          </rPr>
          <t>TScurfield2:</t>
        </r>
        <r>
          <rPr>
            <sz val="9"/>
            <color indexed="81"/>
            <rFont val="Tahoma"/>
            <family val="2"/>
          </rPr>
          <t xml:space="preserve">
Includes unreconciled payments in-kind that companies were asked to voluntarily report on, which www.eiti.org does not. </t>
        </r>
      </text>
    </comment>
    <comment ref="G142" authorId="0" shapeId="0">
      <text>
        <r>
          <rPr>
            <b/>
            <sz val="9"/>
            <color indexed="81"/>
            <rFont val="Tahoma"/>
            <family val="2"/>
          </rPr>
          <t>TScurfield2:</t>
        </r>
        <r>
          <rPr>
            <sz val="9"/>
            <color indexed="81"/>
            <rFont val="Tahoma"/>
            <family val="2"/>
          </rPr>
          <t xml:space="preserve">
Figures are the wrong way round on www.eiti.org.</t>
        </r>
      </text>
    </comment>
    <comment ref="H143" authorId="0" shapeId="0">
      <text>
        <r>
          <rPr>
            <b/>
            <sz val="9"/>
            <color indexed="81"/>
            <rFont val="Tahoma"/>
            <family val="2"/>
          </rPr>
          <t>TScurfield2:</t>
        </r>
        <r>
          <rPr>
            <sz val="9"/>
            <color indexed="81"/>
            <rFont val="Tahoma"/>
            <family val="2"/>
          </rPr>
          <t xml:space="preserve">
Includes unrecocniled revenue streams that companies were asked to voluntarily report on, which www.eiti.org does not. </t>
        </r>
      </text>
    </comment>
    <comment ref="G145" authorId="0" shapeId="0">
      <text>
        <r>
          <rPr>
            <b/>
            <sz val="9"/>
            <color indexed="81"/>
            <rFont val="Tahoma"/>
            <family val="2"/>
          </rPr>
          <t>TScurfield2:</t>
        </r>
        <r>
          <rPr>
            <sz val="9"/>
            <color indexed="81"/>
            <rFont val="Tahoma"/>
            <family val="2"/>
          </rPr>
          <t xml:space="preserve">
Includes payments in-kind, which www.eiti.org does not. </t>
        </r>
      </text>
    </comment>
    <comment ref="G146" authorId="0" shapeId="0">
      <text>
        <r>
          <rPr>
            <b/>
            <sz val="9"/>
            <color indexed="81"/>
            <rFont val="Tahoma"/>
            <family val="2"/>
          </rPr>
          <t>TScurfield2:</t>
        </r>
        <r>
          <rPr>
            <sz val="9"/>
            <color indexed="81"/>
            <rFont val="Tahoma"/>
            <family val="2"/>
          </rPr>
          <t xml:space="preserve">
No usable exchange rate was given in the report or on www.eiti.org so this was taken from the WB. Also, government figure includes payments in-kind, which www.eiti.org does not. </t>
        </r>
      </text>
    </comment>
    <comment ref="H146" authorId="0" shapeId="0">
      <text>
        <r>
          <rPr>
            <b/>
            <sz val="9"/>
            <color indexed="81"/>
            <rFont val="Tahoma"/>
            <family val="2"/>
          </rPr>
          <t>TScurfield2:</t>
        </r>
        <r>
          <rPr>
            <sz val="9"/>
            <color indexed="81"/>
            <rFont val="Tahoma"/>
            <family val="2"/>
          </rPr>
          <t xml:space="preserve">
Company figure includes 
unreconciled social contributions that companies were asked to voluntarily report on, which www.eiti.org does not.</t>
        </r>
      </text>
    </comment>
    <comment ref="G147" authorId="0" shapeId="0">
      <text>
        <r>
          <rPr>
            <b/>
            <sz val="9"/>
            <color indexed="81"/>
            <rFont val="Tahoma"/>
            <family val="2"/>
          </rPr>
          <t>TScurfield2:</t>
        </r>
        <r>
          <rPr>
            <sz val="9"/>
            <color indexed="81"/>
            <rFont val="Tahoma"/>
            <family val="2"/>
          </rPr>
          <t xml:space="preserve">
Includes payments in-kind, which www.eiti.org does not.</t>
        </r>
      </text>
    </comment>
    <comment ref="G148" authorId="0" shapeId="0">
      <text>
        <r>
          <rPr>
            <b/>
            <sz val="9"/>
            <color indexed="81"/>
            <rFont val="Tahoma"/>
            <family val="2"/>
          </rPr>
          <t>TScurfield2:</t>
        </r>
        <r>
          <rPr>
            <sz val="9"/>
            <color indexed="81"/>
            <rFont val="Tahoma"/>
            <family val="2"/>
          </rPr>
          <t xml:space="preserve">
No usable exchange rate was given in the report or on www.eiti.org so this was taken from the WB. Also, government figure includes payments in-kind, which www.eiti.org does not. </t>
        </r>
      </text>
    </comment>
    <comment ref="G163" authorId="0" shapeId="0">
      <text>
        <r>
          <rPr>
            <b/>
            <sz val="9"/>
            <color indexed="81"/>
            <rFont val="Tahoma"/>
            <family val="2"/>
          </rPr>
          <t>TScurfield2:</t>
        </r>
        <r>
          <rPr>
            <sz val="9"/>
            <color indexed="81"/>
            <rFont val="Tahoma"/>
            <family val="2"/>
          </rPr>
          <t xml:space="preserve">
Financing of joint ventures is netted on www.eiti.org, but it is not here. Also, these figures include payments to the NDDC, which www.eiti.org does not. But the largest difference results from www.eiti.org not accounting for local currency payments.</t>
        </r>
      </text>
    </comment>
    <comment ref="H167" authorId="0" shapeId="0">
      <text>
        <r>
          <rPr>
            <b/>
            <sz val="9"/>
            <color indexed="81"/>
            <rFont val="Tahoma"/>
            <family val="2"/>
          </rPr>
          <t>TScurfield2:</t>
        </r>
        <r>
          <rPr>
            <sz val="9"/>
            <color indexed="81"/>
            <rFont val="Tahoma"/>
            <family val="2"/>
          </rPr>
          <t xml:space="preserve">
www.eiti.org does not account for difference between company and government payments, which is accounted for here.</t>
        </r>
      </text>
    </comment>
    <comment ref="H168" authorId="0" shapeId="0">
      <text>
        <r>
          <rPr>
            <b/>
            <sz val="9"/>
            <color indexed="81"/>
            <rFont val="Tahoma"/>
            <family val="2"/>
          </rPr>
          <t>TScurfield2:</t>
        </r>
        <r>
          <rPr>
            <sz val="9"/>
            <color indexed="81"/>
            <rFont val="Tahoma"/>
            <family val="2"/>
          </rPr>
          <t xml:space="preserve">
www.eiti.org does not account for difference between company and government payments, which is accounted for here.</t>
        </r>
      </text>
    </comment>
    <comment ref="H181" authorId="0" shapeId="0">
      <text>
        <r>
          <rPr>
            <b/>
            <sz val="9"/>
            <color indexed="81"/>
            <rFont val="Tahoma"/>
            <family val="2"/>
          </rPr>
          <t>TScurfield2:</t>
        </r>
        <r>
          <rPr>
            <sz val="9"/>
            <color indexed="81"/>
            <rFont val="Tahoma"/>
            <family val="2"/>
          </rPr>
          <t xml:space="preserve">
Possibly just a typo on www.eiti.org - 2,956 rather than 2,965.</t>
        </r>
      </text>
    </comment>
    <comment ref="G185" authorId="0" shape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6" authorId="0" shape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7" authorId="0" shape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8" authorId="0" shapeId="0">
      <text>
        <r>
          <rPr>
            <b/>
            <sz val="9"/>
            <color indexed="81"/>
            <rFont val="Tahoma"/>
            <family val="2"/>
          </rPr>
          <t>TScurfield2:</t>
        </r>
        <r>
          <rPr>
            <sz val="9"/>
            <color indexed="81"/>
            <rFont val="Tahoma"/>
            <family val="2"/>
          </rPr>
          <t xml:space="preserve">
Figures are the worng way round on www.eiti.org.</t>
        </r>
      </text>
    </comment>
    <comment ref="G189" authorId="0" shapeId="0">
      <text>
        <r>
          <rPr>
            <b/>
            <sz val="9"/>
            <color indexed="81"/>
            <rFont val="Tahoma"/>
            <family val="2"/>
          </rPr>
          <t>TScurfield2:</t>
        </r>
        <r>
          <rPr>
            <sz val="9"/>
            <color indexed="81"/>
            <rFont val="Tahoma"/>
            <family val="2"/>
          </rPr>
          <t xml:space="preserve">
Figures are the worng way round on www.eiti.org.</t>
        </r>
      </text>
    </comment>
    <comment ref="G190" authorId="0" shapeId="0">
      <text>
        <r>
          <rPr>
            <b/>
            <sz val="9"/>
            <color indexed="81"/>
            <rFont val="Tahoma"/>
            <family val="2"/>
          </rPr>
          <t>TScurfield2:</t>
        </r>
        <r>
          <rPr>
            <sz val="9"/>
            <color indexed="81"/>
            <rFont val="Tahoma"/>
            <family val="2"/>
          </rPr>
          <t xml:space="preserve">
Figures are the worng way round on www.eiti.org.</t>
        </r>
      </text>
    </comment>
    <comment ref="G195" authorId="0" shapeId="0">
      <text>
        <r>
          <rPr>
            <b/>
            <sz val="9"/>
            <color indexed="81"/>
            <rFont val="Tahoma"/>
            <family val="2"/>
          </rPr>
          <t>TScurfield2:</t>
        </r>
        <r>
          <rPr>
            <sz val="9"/>
            <color indexed="81"/>
            <rFont val="Tahoma"/>
            <family val="2"/>
          </rPr>
          <t xml:space="preserve">
Possibly just slightly inaccurate rounding on www.eiti.org.</t>
        </r>
      </text>
    </comment>
    <comment ref="G197" authorId="0" shapeId="0">
      <text>
        <r>
          <rPr>
            <b/>
            <sz val="9"/>
            <color indexed="81"/>
            <rFont val="Tahoma"/>
            <family val="2"/>
          </rPr>
          <t>TScurfield2:</t>
        </r>
        <r>
          <rPr>
            <sz val="9"/>
            <color indexed="81"/>
            <rFont val="Tahoma"/>
            <family val="2"/>
          </rPr>
          <t xml:space="preserve">
The sum across companies (reported here) is different to the sum reported across revenue streams (reported on www.eiti.org).</t>
        </r>
      </text>
    </comment>
    <comment ref="H219" authorId="0" shapeId="0">
      <text>
        <r>
          <rPr>
            <b/>
            <sz val="9"/>
            <color indexed="81"/>
            <rFont val="Tahoma"/>
            <family val="2"/>
          </rPr>
          <t>TScurfield2:</t>
        </r>
        <r>
          <rPr>
            <sz val="9"/>
            <color indexed="81"/>
            <rFont val="Tahoma"/>
            <family val="2"/>
          </rPr>
          <t xml:space="preserve">
www.eiti.org includes payments in-kind in the company figure, but they are not here as they are not reported on by the companies.</t>
        </r>
      </text>
    </comment>
    <comment ref="H221" authorId="0" shapeId="0">
      <text>
        <r>
          <rPr>
            <b/>
            <sz val="9"/>
            <color indexed="81"/>
            <rFont val="Tahoma"/>
            <family val="2"/>
          </rPr>
          <t>TScurfield2:</t>
        </r>
        <r>
          <rPr>
            <sz val="9"/>
            <color indexed="81"/>
            <rFont val="Tahoma"/>
            <family val="2"/>
          </rPr>
          <t xml:space="preserve">
Includes unrecocniled social payments and transfers that companies were asked to voluntarily report on, which www.eiti.org does not. </t>
        </r>
      </text>
    </comment>
    <comment ref="G222" authorId="0" shapeId="0">
      <text>
        <r>
          <rPr>
            <b/>
            <sz val="9"/>
            <color indexed="81"/>
            <rFont val="Tahoma"/>
            <family val="2"/>
          </rPr>
          <t>TScurfield2:</t>
        </r>
        <r>
          <rPr>
            <sz val="9"/>
            <color indexed="81"/>
            <rFont val="Tahoma"/>
            <family val="2"/>
          </rPr>
          <t xml:space="preserve">
Figures are the wrong way round on www.eiti.org.</t>
        </r>
      </text>
    </comment>
    <comment ref="H223" authorId="0" shapeId="0">
      <text>
        <r>
          <rPr>
            <b/>
            <sz val="9"/>
            <color indexed="81"/>
            <rFont val="Tahoma"/>
            <family val="2"/>
          </rPr>
          <t>TScurfield2:</t>
        </r>
        <r>
          <rPr>
            <sz val="9"/>
            <color indexed="81"/>
            <rFont val="Tahoma"/>
            <family val="2"/>
          </rPr>
          <t xml:space="preserve">
Company figure includes unrecocniled revenue streams that companies were asked to voluntarily report on, which www.eiti.org does not. Although irrespecitve of this, the figures are different.</t>
        </r>
      </text>
    </comment>
  </commentList>
</comments>
</file>

<file path=xl/comments2.xml><?xml version="1.0" encoding="utf-8"?>
<comments xmlns="http://schemas.openxmlformats.org/spreadsheetml/2006/main">
  <authors>
    <author>Marie Lintzer</author>
    <author>TScurfield2</author>
    <author>David Gionet-Landry</author>
  </authors>
  <commentList>
    <comment ref="E1" authorId="0" shapeId="0">
      <text>
        <r>
          <rPr>
            <b/>
            <sz val="9"/>
            <color indexed="81"/>
            <rFont val="Tahoma"/>
            <family val="2"/>
          </rPr>
          <t>Marie Lintzer:</t>
        </r>
        <r>
          <rPr>
            <sz val="9"/>
            <color indexed="81"/>
            <rFont val="Tahoma"/>
            <family val="2"/>
          </rPr>
          <t xml:space="preserve">
Use the WB regions: Africa, East Asia and Pacific, Europe and Central Asia, Latin America and the Caribbean, Middle East and North Africa, South Asia </t>
        </r>
      </text>
    </comment>
    <comment ref="Z185" authorId="1" shapeId="0">
      <text>
        <r>
          <rPr>
            <b/>
            <sz val="9"/>
            <color indexed="81"/>
            <rFont val="Tahoma"/>
            <family val="2"/>
          </rPr>
          <t>TScurfield2:</t>
        </r>
        <r>
          <rPr>
            <sz val="9"/>
            <color indexed="81"/>
            <rFont val="Tahoma"/>
            <family val="2"/>
          </rPr>
          <t xml:space="preserve">
Report analysed by Amelia.  Large revenue total suggests payments in-kind  may have already been included so these may have been double-counted.</t>
        </r>
      </text>
    </comment>
    <comment ref="AJ185" authorId="1" shapeId="0">
      <text>
        <r>
          <rPr>
            <b/>
            <sz val="9"/>
            <color indexed="81"/>
            <rFont val="Tahoma"/>
            <family val="2"/>
          </rPr>
          <t xml:space="preserve">TScurfield2:
</t>
        </r>
        <r>
          <rPr>
            <sz val="9"/>
            <color indexed="81"/>
            <rFont val="Tahoma"/>
            <family val="2"/>
          </rPr>
          <t>Volume of in-kind payments greater than total production.</t>
        </r>
      </text>
    </comment>
    <comment ref="Z193" authorId="1" shapeId="0">
      <text>
        <r>
          <rPr>
            <b/>
            <sz val="9"/>
            <color indexed="81"/>
            <rFont val="Tahoma"/>
            <family val="2"/>
          </rPr>
          <t>TScurfield2:</t>
        </r>
        <r>
          <rPr>
            <sz val="9"/>
            <color indexed="81"/>
            <rFont val="Tahoma"/>
            <family val="2"/>
          </rPr>
          <t xml:space="preserve">
Report analysed by Amelia.  Large revenue total suggests payments in-kind  may have already been included so these may have been double-counted.</t>
        </r>
      </text>
    </comment>
    <comment ref="AJ193" authorId="1" shapeId="0">
      <text>
        <r>
          <rPr>
            <b/>
            <sz val="9"/>
            <color indexed="81"/>
            <rFont val="Tahoma"/>
            <family val="2"/>
          </rPr>
          <t>TScurfield2:</t>
        </r>
        <r>
          <rPr>
            <sz val="9"/>
            <color indexed="81"/>
            <rFont val="Tahoma"/>
            <family val="2"/>
          </rPr>
          <t xml:space="preserve">
Volume of in-kind payments greater than total production.</t>
        </r>
      </text>
    </comment>
    <comment ref="A213" authorId="0" shapeId="0">
      <text>
        <r>
          <rPr>
            <b/>
            <sz val="9"/>
            <color indexed="81"/>
            <rFont val="Tahoma"/>
            <family val="2"/>
          </rPr>
          <t>Marie Lintzer:</t>
        </r>
        <r>
          <rPr>
            <sz val="9"/>
            <color indexed="81"/>
            <rFont val="Tahoma"/>
            <family val="2"/>
          </rPr>
          <t xml:space="preserve">
Need to check price and calculate value =&gt; gvt share</t>
        </r>
      </text>
    </comment>
    <comment ref="Y213" authorId="2" shapeId="0">
      <text>
        <r>
          <rPr>
            <b/>
            <sz val="9"/>
            <color indexed="81"/>
            <rFont val="Calibri"/>
            <family val="2"/>
          </rPr>
          <t>DLandry:</t>
        </r>
        <r>
          <rPr>
            <sz val="9"/>
            <color indexed="81"/>
            <rFont val="Calibri"/>
            <family val="2"/>
          </rPr>
          <t xml:space="preserve">
Unclear</t>
        </r>
      </text>
    </comment>
    <comment ref="Y304" authorId="2" shapeId="0">
      <text>
        <r>
          <rPr>
            <b/>
            <sz val="9"/>
            <color indexed="81"/>
            <rFont val="Calibri"/>
            <family val="2"/>
          </rPr>
          <t>DLandry:</t>
        </r>
        <r>
          <rPr>
            <sz val="9"/>
            <color indexed="81"/>
            <rFont val="Calibri"/>
            <family val="2"/>
          </rPr>
          <t xml:space="preserve">
Unclear</t>
        </r>
      </text>
    </comment>
    <comment ref="AP304" authorId="2" shapeId="0">
      <text>
        <r>
          <rPr>
            <b/>
            <sz val="9"/>
            <color indexed="81"/>
            <rFont val="Calibri"/>
            <family val="2"/>
          </rPr>
          <t>David Gionet-Landry:</t>
        </r>
        <r>
          <rPr>
            <sz val="9"/>
            <color indexed="81"/>
            <rFont val="Calibri"/>
            <family val="2"/>
          </rPr>
          <t xml:space="preserve">
Unclear</t>
        </r>
      </text>
    </comment>
    <comment ref="Y424" authorId="2" shapeId="0">
      <text>
        <r>
          <rPr>
            <b/>
            <sz val="9"/>
            <color indexed="81"/>
            <rFont val="Calibri"/>
            <family val="2"/>
          </rPr>
          <t>DLandry:</t>
        </r>
        <r>
          <rPr>
            <sz val="9"/>
            <color indexed="81"/>
            <rFont val="Calibri"/>
            <family val="2"/>
          </rPr>
          <t xml:space="preserve">
Unclear</t>
        </r>
      </text>
    </comment>
    <comment ref="AB536" authorId="2" shapeId="0">
      <text>
        <r>
          <rPr>
            <b/>
            <sz val="9"/>
            <color indexed="81"/>
            <rFont val="Calibri"/>
            <family val="2"/>
          </rPr>
          <t>DLandry:</t>
        </r>
        <r>
          <rPr>
            <sz val="9"/>
            <color indexed="81"/>
            <rFont val="Calibri"/>
            <family val="2"/>
          </rPr>
          <t xml:space="preserve">
Figure not on website</t>
        </r>
      </text>
    </comment>
    <comment ref="R539" authorId="2" shapeId="0">
      <text>
        <r>
          <rPr>
            <b/>
            <sz val="9"/>
            <color indexed="81"/>
            <rFont val="Calibri"/>
            <family val="2"/>
          </rPr>
          <t>Landry:</t>
        </r>
        <r>
          <rPr>
            <sz val="9"/>
            <color indexed="81"/>
            <rFont val="Calibri"/>
            <family val="2"/>
          </rPr>
          <t xml:space="preserve">
Origin of figure unclear</t>
        </r>
      </text>
    </comment>
    <comment ref="R540" authorId="2" shapeId="0">
      <text>
        <r>
          <rPr>
            <b/>
            <sz val="9"/>
            <color indexed="81"/>
            <rFont val="Calibri"/>
            <family val="2"/>
          </rPr>
          <t>DLandry:
Export Value</t>
        </r>
      </text>
    </comment>
    <comment ref="R542" authorId="2" shapeId="0">
      <text>
        <r>
          <rPr>
            <sz val="9"/>
            <color indexed="81"/>
            <rFont val="Calibri"/>
            <family val="2"/>
          </rPr>
          <t>DLandry:
Export Value</t>
        </r>
      </text>
    </comment>
    <comment ref="R546" authorId="2" shapeId="0">
      <text>
        <r>
          <rPr>
            <b/>
            <sz val="9"/>
            <color indexed="81"/>
            <rFont val="Calibri"/>
            <family val="2"/>
          </rPr>
          <t>Landry:</t>
        </r>
        <r>
          <rPr>
            <sz val="9"/>
            <color indexed="81"/>
            <rFont val="Calibri"/>
            <family val="2"/>
          </rPr>
          <t xml:space="preserve">
Origin of figure unclear</t>
        </r>
      </text>
    </comment>
    <comment ref="R547" authorId="2" shapeId="0">
      <text>
        <r>
          <rPr>
            <b/>
            <sz val="9"/>
            <color indexed="81"/>
            <rFont val="Calibri"/>
            <family val="2"/>
          </rPr>
          <t>DLandry:
Export Value</t>
        </r>
        <r>
          <rPr>
            <sz val="9"/>
            <color indexed="81"/>
            <rFont val="Calibri"/>
            <family val="2"/>
          </rPr>
          <t xml:space="preserve">
</t>
        </r>
      </text>
    </comment>
    <comment ref="R549" authorId="2" shapeId="0">
      <text>
        <r>
          <rPr>
            <b/>
            <sz val="9"/>
            <color indexed="81"/>
            <rFont val="Calibri"/>
            <family val="2"/>
          </rPr>
          <t>DLandry:
Export Value</t>
        </r>
        <r>
          <rPr>
            <sz val="9"/>
            <color indexed="81"/>
            <rFont val="Calibri"/>
            <family val="2"/>
          </rPr>
          <t xml:space="preserve">
</t>
        </r>
      </text>
    </comment>
    <comment ref="AB825" authorId="2" shapeId="0">
      <text>
        <r>
          <rPr>
            <b/>
            <sz val="9"/>
            <color indexed="81"/>
            <rFont val="Calibri"/>
            <family val="2"/>
          </rPr>
          <t>DLandry:</t>
        </r>
        <r>
          <rPr>
            <sz val="9"/>
            <color indexed="81"/>
            <rFont val="Calibri"/>
            <family val="2"/>
          </rPr>
          <t xml:space="preserve">
Information from website, unclear in report</t>
        </r>
      </text>
    </comment>
    <comment ref="Q839" authorId="2" shapeId="0">
      <text>
        <r>
          <rPr>
            <b/>
            <sz val="9"/>
            <color indexed="81"/>
            <rFont val="Calibri"/>
            <family val="2"/>
          </rPr>
          <t>DLandry:
Same values as 2013</t>
        </r>
        <r>
          <rPr>
            <sz val="9"/>
            <color indexed="81"/>
            <rFont val="Calibri"/>
            <family val="2"/>
          </rPr>
          <t xml:space="preserve">
</t>
        </r>
      </text>
    </comment>
    <comment ref="AB840" authorId="2" shapeId="0">
      <text>
        <r>
          <rPr>
            <b/>
            <sz val="9"/>
            <color indexed="81"/>
            <rFont val="Calibri"/>
            <family val="2"/>
          </rPr>
          <t>DLandry:</t>
        </r>
        <r>
          <rPr>
            <sz val="9"/>
            <color indexed="81"/>
            <rFont val="Calibri"/>
            <family val="2"/>
          </rPr>
          <t xml:space="preserve">
Information from website, unclear in report</t>
        </r>
      </text>
    </comment>
    <comment ref="W994" authorId="1" shapeId="0">
      <text>
        <r>
          <rPr>
            <b/>
            <sz val="9"/>
            <color indexed="81"/>
            <rFont val="Tahoma"/>
            <family val="2"/>
          </rPr>
          <t xml:space="preserve">Tscurfield:
</t>
        </r>
        <r>
          <rPr>
            <sz val="9"/>
            <color indexed="81"/>
            <rFont val="Tahoma"/>
            <family val="2"/>
          </rPr>
          <t>Doesn't include production value of forestry sector</t>
        </r>
      </text>
    </comment>
    <comment ref="W1003" authorId="1" shapeId="0">
      <text>
        <r>
          <rPr>
            <b/>
            <sz val="9"/>
            <color indexed="81"/>
            <rFont val="Tahoma"/>
            <family val="2"/>
          </rPr>
          <t>TScurfield2:</t>
        </r>
        <r>
          <rPr>
            <sz val="9"/>
            <color indexed="81"/>
            <rFont val="Tahoma"/>
            <family val="2"/>
          </rPr>
          <t xml:space="preserve">
Doesn't include production value of forestry sector</t>
        </r>
      </text>
    </comment>
    <comment ref="W1013" authorId="1" shapeId="0">
      <text>
        <r>
          <rPr>
            <b/>
            <sz val="9"/>
            <color indexed="81"/>
            <rFont val="Tahoma"/>
            <family val="2"/>
          </rPr>
          <t>TScurfield2:</t>
        </r>
        <r>
          <rPr>
            <sz val="9"/>
            <color indexed="81"/>
            <rFont val="Tahoma"/>
            <family val="2"/>
          </rPr>
          <t xml:space="preserve">
Doesn't include production value of forestry sector</t>
        </r>
      </text>
    </comment>
    <comment ref="W1023" authorId="1" shapeId="0">
      <text>
        <r>
          <rPr>
            <b/>
            <sz val="9"/>
            <color indexed="81"/>
            <rFont val="Tahoma"/>
            <family val="2"/>
          </rPr>
          <t>TScurfield2:</t>
        </r>
        <r>
          <rPr>
            <sz val="9"/>
            <color indexed="81"/>
            <rFont val="Tahoma"/>
            <family val="2"/>
          </rPr>
          <t xml:space="preserve">
Doesn't include production value of forestry sector</t>
        </r>
      </text>
    </comment>
    <comment ref="W1034" authorId="1" shapeId="0">
      <text>
        <r>
          <rPr>
            <b/>
            <sz val="9"/>
            <color indexed="81"/>
            <rFont val="Tahoma"/>
            <family val="2"/>
          </rPr>
          <t>TScurfield2:</t>
        </r>
        <r>
          <rPr>
            <sz val="9"/>
            <color indexed="81"/>
            <rFont val="Tahoma"/>
            <family val="2"/>
          </rPr>
          <t xml:space="preserve">
Doesn't include production value of forestry sector</t>
        </r>
      </text>
    </comment>
    <comment ref="AH1083" authorId="2" shapeId="0">
      <text>
        <r>
          <rPr>
            <b/>
            <sz val="9"/>
            <color indexed="81"/>
            <rFont val="Calibri"/>
            <family val="2"/>
          </rPr>
          <t>DLandry:
Not in report</t>
        </r>
        <r>
          <rPr>
            <sz val="9"/>
            <color indexed="81"/>
            <rFont val="Calibri"/>
            <family val="2"/>
          </rPr>
          <t xml:space="preserve">
</t>
        </r>
      </text>
    </comment>
    <comment ref="AH1223" authorId="2" shapeId="0">
      <text>
        <r>
          <rPr>
            <b/>
            <sz val="9"/>
            <color indexed="81"/>
            <rFont val="Calibri"/>
            <family val="2"/>
          </rPr>
          <t>DLandry:
Not in report</t>
        </r>
        <r>
          <rPr>
            <sz val="9"/>
            <color indexed="81"/>
            <rFont val="Calibri"/>
            <family val="2"/>
          </rPr>
          <t xml:space="preserve">
</t>
        </r>
      </text>
    </comment>
    <comment ref="AN1333" authorId="2" shapeId="0">
      <text>
        <r>
          <rPr>
            <b/>
            <sz val="9"/>
            <color indexed="81"/>
            <rFont val="Calibri"/>
            <family val="2"/>
          </rPr>
          <t>DLandry:
Unclear</t>
        </r>
      </text>
    </comment>
    <comment ref="Q1334" authorId="2" shapeId="0">
      <text>
        <r>
          <rPr>
            <b/>
            <sz val="9"/>
            <color indexed="81"/>
            <rFont val="Calibri"/>
            <family val="2"/>
          </rPr>
          <t>DLandry:</t>
        </r>
        <r>
          <rPr>
            <sz val="9"/>
            <color indexed="81"/>
            <rFont val="Calibri"/>
            <family val="2"/>
          </rPr>
          <t xml:space="preserve">
Source Unclear</t>
        </r>
      </text>
    </comment>
    <comment ref="W1405" authorId="1" shapeId="0">
      <text>
        <r>
          <rPr>
            <b/>
            <sz val="9"/>
            <color indexed="81"/>
            <rFont val="Tahoma"/>
            <family val="2"/>
          </rPr>
          <t>TScurfield2:</t>
        </r>
        <r>
          <rPr>
            <sz val="9"/>
            <color indexed="81"/>
            <rFont val="Tahoma"/>
            <family val="2"/>
          </rPr>
          <t xml:space="preserve">
Should be verified by finding the price in Nigeria.</t>
        </r>
      </text>
    </comment>
    <comment ref="W1857" authorId="0" shapeId="0">
      <text>
        <r>
          <rPr>
            <b/>
            <sz val="9"/>
            <color indexed="81"/>
            <rFont val="Tahoma"/>
            <family val="2"/>
          </rPr>
          <t>Marie Lintzer:</t>
        </r>
        <r>
          <rPr>
            <sz val="9"/>
            <color indexed="81"/>
            <rFont val="Tahoma"/>
            <family val="2"/>
          </rPr>
          <t xml:space="preserve">
Estimation</t>
        </r>
      </text>
    </comment>
    <comment ref="W2023" authorId="1" shapeId="0">
      <text>
        <r>
          <rPr>
            <b/>
            <sz val="9"/>
            <color indexed="81"/>
            <rFont val="Tahoma"/>
            <family val="2"/>
          </rPr>
          <t>TScurfield2:</t>
        </r>
        <r>
          <rPr>
            <sz val="9"/>
            <color indexed="81"/>
            <rFont val="Tahoma"/>
            <family val="2"/>
          </rPr>
          <t xml:space="preserve">
Should be verified by finding the price in Zambia.</t>
        </r>
      </text>
    </comment>
    <comment ref="W2025" authorId="1" shapeId="0">
      <text>
        <r>
          <rPr>
            <b/>
            <sz val="9"/>
            <color indexed="81"/>
            <rFont val="Tahoma"/>
            <family val="2"/>
          </rPr>
          <t>TScurfield2:</t>
        </r>
        <r>
          <rPr>
            <sz val="9"/>
            <color indexed="81"/>
            <rFont val="Tahoma"/>
            <family val="2"/>
          </rPr>
          <t xml:space="preserve">
Should be verified by finding the price in Zambia.</t>
        </r>
      </text>
    </comment>
    <comment ref="W2026" authorId="1" shapeId="0">
      <text>
        <r>
          <rPr>
            <b/>
            <sz val="9"/>
            <color indexed="81"/>
            <rFont val="Tahoma"/>
            <family val="2"/>
          </rPr>
          <t>TScurfield2:</t>
        </r>
        <r>
          <rPr>
            <sz val="9"/>
            <color indexed="81"/>
            <rFont val="Tahoma"/>
            <family val="2"/>
          </rPr>
          <t xml:space="preserve">
Should be verified by finding the price in Zambia.</t>
        </r>
      </text>
    </comment>
    <comment ref="W2032" authorId="1" shapeId="0">
      <text>
        <r>
          <rPr>
            <b/>
            <sz val="9"/>
            <color indexed="81"/>
            <rFont val="Tahoma"/>
            <family val="2"/>
          </rPr>
          <t>TScurfield2:</t>
        </r>
        <r>
          <rPr>
            <sz val="9"/>
            <color indexed="81"/>
            <rFont val="Tahoma"/>
            <family val="2"/>
          </rPr>
          <t xml:space="preserve">
Should be verified by finding the price in Zambia.</t>
        </r>
      </text>
    </comment>
    <comment ref="W2042" authorId="1" shapeId="0">
      <text>
        <r>
          <rPr>
            <b/>
            <sz val="9"/>
            <color indexed="81"/>
            <rFont val="Tahoma"/>
            <family val="2"/>
          </rPr>
          <t>TScurfield2:</t>
        </r>
        <r>
          <rPr>
            <sz val="9"/>
            <color indexed="81"/>
            <rFont val="Tahoma"/>
            <family val="2"/>
          </rPr>
          <t xml:space="preserve">
Should be verified by finding the price in Zambia.</t>
        </r>
      </text>
    </comment>
    <comment ref="W2050" authorId="1" shapeId="0">
      <text>
        <r>
          <rPr>
            <b/>
            <sz val="9"/>
            <color indexed="81"/>
            <rFont val="Tahoma"/>
            <family val="2"/>
          </rPr>
          <t>TScurfield2:</t>
        </r>
        <r>
          <rPr>
            <sz val="9"/>
            <color indexed="81"/>
            <rFont val="Tahoma"/>
            <family val="2"/>
          </rPr>
          <t xml:space="preserve">
Should be verified by finding the price in Zambia.</t>
        </r>
      </text>
    </comment>
    <comment ref="W2061" authorId="1" shapeId="0">
      <text>
        <r>
          <rPr>
            <b/>
            <sz val="9"/>
            <color indexed="81"/>
            <rFont val="Tahoma"/>
            <family val="2"/>
          </rPr>
          <t>TScurfield2:</t>
        </r>
        <r>
          <rPr>
            <sz val="9"/>
            <color indexed="81"/>
            <rFont val="Tahoma"/>
            <family val="2"/>
          </rPr>
          <t xml:space="preserve">
Should be verified by finding the price in Zambia.</t>
        </r>
      </text>
    </comment>
    <comment ref="W2071" authorId="1" shapeId="0">
      <text>
        <r>
          <rPr>
            <b/>
            <sz val="9"/>
            <color indexed="81"/>
            <rFont val="Tahoma"/>
            <family val="2"/>
          </rPr>
          <t>TScurfield2:</t>
        </r>
        <r>
          <rPr>
            <sz val="9"/>
            <color indexed="81"/>
            <rFont val="Tahoma"/>
            <family val="2"/>
          </rPr>
          <t xml:space="preserve">
Should be verified by finding the price in Zambia.</t>
        </r>
      </text>
    </comment>
    <comment ref="W2082" authorId="1" shapeId="0">
      <text>
        <r>
          <rPr>
            <b/>
            <sz val="9"/>
            <color indexed="81"/>
            <rFont val="Tahoma"/>
            <family val="2"/>
          </rPr>
          <t>TScurfield2:</t>
        </r>
        <r>
          <rPr>
            <sz val="9"/>
            <color indexed="81"/>
            <rFont val="Tahoma"/>
            <family val="2"/>
          </rPr>
          <t xml:space="preserve">
Should be verified by finding the price in Zambia.</t>
        </r>
      </text>
    </comment>
    <comment ref="AH2112" authorId="2" shapeId="0">
      <text>
        <r>
          <rPr>
            <b/>
            <sz val="9"/>
            <color indexed="81"/>
            <rFont val="Calibri"/>
            <family val="2"/>
          </rPr>
          <t>DLandry:
Not in report</t>
        </r>
        <r>
          <rPr>
            <sz val="9"/>
            <color indexed="81"/>
            <rFont val="Calibri"/>
            <family val="2"/>
          </rPr>
          <t xml:space="preserve">
</t>
        </r>
      </text>
    </comment>
  </commentList>
</comments>
</file>

<file path=xl/comments3.xml><?xml version="1.0" encoding="utf-8"?>
<comments xmlns="http://schemas.openxmlformats.org/spreadsheetml/2006/main">
  <authors>
    <author>TScurfield2</author>
  </authors>
  <commentList>
    <comment ref="G10" authorId="0" shapeId="0">
      <text>
        <r>
          <rPr>
            <b/>
            <sz val="9"/>
            <color indexed="81"/>
            <rFont val="Tahoma"/>
            <family val="2"/>
          </rPr>
          <t>TScurfield2:</t>
        </r>
        <r>
          <rPr>
            <sz val="9"/>
            <color indexed="81"/>
            <rFont val="Tahoma"/>
            <family val="2"/>
          </rPr>
          <t xml:space="preserve">
No exchange rate was given in the report or on www.eiti.org so this was taken from the WB after conversion from old to new local currency. Also government figure includes payments in-kind, which www.eiti.org does not. </t>
        </r>
      </text>
    </comment>
    <comment ref="G11" authorId="0" shapeId="0">
      <text>
        <r>
          <rPr>
            <b/>
            <sz val="9"/>
            <color indexed="81"/>
            <rFont val="Tahoma"/>
            <family val="2"/>
          </rPr>
          <t>TScurfield2:</t>
        </r>
        <r>
          <rPr>
            <sz val="9"/>
            <color indexed="81"/>
            <rFont val="Tahoma"/>
            <family val="2"/>
          </rPr>
          <t xml:space="preserve">
No exchange rate was given in the report or on www.eiti.org so this was taken from the WB after conversion from old to new local currency. Also government figure includes payments in-kind, which www.eiti.org does not. </t>
        </r>
      </text>
    </comment>
    <comment ref="G12" authorId="0" shapeId="0">
      <text>
        <r>
          <rPr>
            <b/>
            <sz val="9"/>
            <color indexed="81"/>
            <rFont val="Tahoma"/>
            <family val="2"/>
          </rPr>
          <t>TScurfield2:</t>
        </r>
        <r>
          <rPr>
            <sz val="9"/>
            <color indexed="81"/>
            <rFont val="Tahoma"/>
            <family val="2"/>
          </rPr>
          <t xml:space="preserve">
Clearly something significantly wrong with this but can't work out what??</t>
        </r>
      </text>
    </comment>
    <comment ref="G13" authorId="0" shape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4" authorId="0" shape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5" authorId="0" shape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6" authorId="0" shape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t>
        </r>
      </text>
    </comment>
    <comment ref="G17" authorId="0" shape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t>
        </r>
      </text>
    </comment>
    <comment ref="G18" authorId="0" shapeId="0">
      <text>
        <r>
          <rPr>
            <b/>
            <sz val="9"/>
            <color indexed="81"/>
            <rFont val="Tahoma"/>
            <family val="2"/>
          </rPr>
          <t>TScurfield2:</t>
        </r>
        <r>
          <rPr>
            <sz val="9"/>
            <color indexed="81"/>
            <rFont val="Tahoma"/>
            <family val="2"/>
          </rPr>
          <t xml:space="preserve">
The sum of the values of payments in-kind is incorrect on www.eiti.org, and the figures for the cash payments are also slightly different.</t>
        </r>
      </text>
    </comment>
    <comment ref="G25" authorId="0" shapeId="0">
      <text>
        <r>
          <rPr>
            <b/>
            <sz val="9"/>
            <color indexed="81"/>
            <rFont val="Tahoma"/>
            <family val="2"/>
          </rPr>
          <t>TScurfield2:</t>
        </r>
        <r>
          <rPr>
            <sz val="9"/>
            <color indexed="81"/>
            <rFont val="Tahoma"/>
            <family val="2"/>
          </rPr>
          <t xml:space="preserve">
Includes payments in-kind, which www.eiti.org does not.</t>
        </r>
      </text>
    </comment>
    <comment ref="G26" authorId="0" shapeId="0">
      <text>
        <r>
          <rPr>
            <b/>
            <sz val="9"/>
            <color indexed="81"/>
            <rFont val="Tahoma"/>
            <family val="2"/>
          </rPr>
          <t>TScurfield2:</t>
        </r>
        <r>
          <rPr>
            <sz val="9"/>
            <color indexed="81"/>
            <rFont val="Tahoma"/>
            <family val="2"/>
          </rPr>
          <t xml:space="preserve">
Includes payments in-kind, which www.eiti.org does not.</t>
        </r>
      </text>
    </comment>
    <comment ref="G27" authorId="0" shapeId="0">
      <text>
        <r>
          <rPr>
            <b/>
            <sz val="9"/>
            <color indexed="81"/>
            <rFont val="Tahoma"/>
            <family val="2"/>
          </rPr>
          <t>TScurfield2:</t>
        </r>
        <r>
          <rPr>
            <sz val="9"/>
            <color indexed="81"/>
            <rFont val="Tahoma"/>
            <family val="2"/>
          </rPr>
          <t xml:space="preserve">
Includes payments in-kind, which www.eiti.org does not.</t>
        </r>
      </text>
    </comment>
    <comment ref="G28" authorId="0" shapeId="0">
      <text>
        <r>
          <rPr>
            <b/>
            <sz val="9"/>
            <color indexed="81"/>
            <rFont val="Tahoma"/>
            <family val="2"/>
          </rPr>
          <t>TScurfield2:</t>
        </r>
        <r>
          <rPr>
            <sz val="9"/>
            <color indexed="81"/>
            <rFont val="Tahoma"/>
            <family val="2"/>
          </rPr>
          <t xml:space="preserve">
Includes payments in-kind, which www.eiti.org does not.</t>
        </r>
      </text>
    </comment>
    <comment ref="G29" authorId="0" shapeId="0">
      <text>
        <r>
          <rPr>
            <b/>
            <sz val="9"/>
            <color indexed="81"/>
            <rFont val="Tahoma"/>
            <family val="2"/>
          </rPr>
          <t>TScurfield2:</t>
        </r>
        <r>
          <rPr>
            <sz val="9"/>
            <color indexed="81"/>
            <rFont val="Tahoma"/>
            <family val="2"/>
          </rPr>
          <t xml:space="preserve">
Includes payments in-kind, which www.eiti.org does not.</t>
        </r>
      </text>
    </comment>
    <comment ref="G30" authorId="0" shape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1" authorId="0" shape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2" authorId="0" shape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5" authorId="0" shapeId="0">
      <text>
        <r>
          <rPr>
            <b/>
            <sz val="9"/>
            <color indexed="81"/>
            <rFont val="Tahoma"/>
            <family val="2"/>
          </rPr>
          <t>TScurfield2:</t>
        </r>
        <r>
          <rPr>
            <sz val="9"/>
            <color indexed="81"/>
            <rFont val="Tahoma"/>
            <family val="2"/>
          </rPr>
          <t xml:space="preserve">
The oil subsidy is netted on www.eiti.org, but it is not here.  But, irrespective of this, there is still a small difference.</t>
        </r>
      </text>
    </comment>
    <comment ref="G68" authorId="0" shapeId="0">
      <text>
        <r>
          <rPr>
            <b/>
            <sz val="9"/>
            <color indexed="81"/>
            <rFont val="Tahoma"/>
            <family val="2"/>
          </rPr>
          <t>TScurfield2:</t>
        </r>
        <r>
          <rPr>
            <sz val="9"/>
            <color indexed="81"/>
            <rFont val="Tahoma"/>
            <family val="2"/>
          </rPr>
          <t xml:space="preserve">
Figures are the wrong way round in the EITI summary</t>
        </r>
      </text>
    </comment>
    <comment ref="G71" authorId="0" shapeId="0">
      <text>
        <r>
          <rPr>
            <b/>
            <sz val="9"/>
            <color indexed="81"/>
            <rFont val="Tahoma"/>
            <family val="2"/>
          </rPr>
          <t>TScurfield2:</t>
        </r>
        <r>
          <rPr>
            <sz val="9"/>
            <color indexed="81"/>
            <rFont val="Tahoma"/>
            <family val="2"/>
          </rPr>
          <t xml:space="preserve">
Resolved discrepancies were not included in the report's figures so these were adjusted retrospectively. But, irrespective of this, there is still a difference.</t>
        </r>
      </text>
    </comment>
    <comment ref="G86" authorId="0" shapeId="0">
      <text>
        <r>
          <rPr>
            <b/>
            <sz val="9"/>
            <color indexed="81"/>
            <rFont val="Tahoma"/>
            <family val="2"/>
          </rPr>
          <t>TScurfield2:</t>
        </r>
        <r>
          <rPr>
            <sz val="9"/>
            <color indexed="81"/>
            <rFont val="Tahoma"/>
            <family val="2"/>
          </rPr>
          <t xml:space="preserve">
DMO fees are netted on www.eiti.org, but are not here. </t>
        </r>
      </text>
    </comment>
    <comment ref="G87" authorId="0" shapeId="0">
      <text>
        <r>
          <rPr>
            <b/>
            <sz val="9"/>
            <color indexed="81"/>
            <rFont val="Tahoma"/>
            <family val="2"/>
          </rPr>
          <t>TScurfield2:</t>
        </r>
        <r>
          <rPr>
            <sz val="9"/>
            <color indexed="81"/>
            <rFont val="Tahoma"/>
            <family val="2"/>
          </rPr>
          <t xml:space="preserve">
DMO fees are netted on www.eiti.org, but are not here. Although irespective of this, there is still a difference.</t>
        </r>
      </text>
    </comment>
    <comment ref="G88" authorId="0" shapeId="0">
      <text>
        <r>
          <rPr>
            <b/>
            <sz val="9"/>
            <color indexed="81"/>
            <rFont val="Tahoma"/>
            <family val="2"/>
          </rPr>
          <t>TScurfield2:</t>
        </r>
        <r>
          <rPr>
            <sz val="9"/>
            <color indexed="81"/>
            <rFont val="Tahoma"/>
            <family val="2"/>
          </rPr>
          <t xml:space="preserve">
DMO fees are netted on www.eiti.org, but are not here. Although irespective of this, there is still a difference.</t>
        </r>
      </text>
    </comment>
    <comment ref="G89" authorId="0" shapeId="0">
      <text>
        <r>
          <rPr>
            <b/>
            <sz val="9"/>
            <color indexed="81"/>
            <rFont val="Tahoma"/>
            <family val="2"/>
          </rPr>
          <t>TScurfield2:</t>
        </r>
        <r>
          <rPr>
            <sz val="9"/>
            <color indexed="81"/>
            <rFont val="Tahoma"/>
            <family val="2"/>
          </rPr>
          <t xml:space="preserve">
Possibly just slightly inaccurate rounding on www.eiti.org.</t>
        </r>
      </text>
    </comment>
    <comment ref="G90" authorId="0" shapeId="0">
      <text>
        <r>
          <rPr>
            <b/>
            <sz val="9"/>
            <color indexed="81"/>
            <rFont val="Tahoma"/>
            <family val="2"/>
          </rPr>
          <t>TScurfield2:</t>
        </r>
        <r>
          <rPr>
            <sz val="9"/>
            <color indexed="81"/>
            <rFont val="Tahoma"/>
            <family val="2"/>
          </rPr>
          <t xml:space="preserve">
Signature bonuses from IOCs are not included on www.eiti.org, but they are here.
</t>
        </r>
      </text>
    </comment>
    <comment ref="G91" authorId="0" shapeId="0">
      <text>
        <r>
          <rPr>
            <b/>
            <sz val="9"/>
            <color indexed="81"/>
            <rFont val="Tahoma"/>
            <family val="2"/>
          </rPr>
          <t>TScurfield2:</t>
        </r>
        <r>
          <rPr>
            <sz val="9"/>
            <color indexed="81"/>
            <rFont val="Tahoma"/>
            <family val="2"/>
          </rPr>
          <t xml:space="preserve">
Cost recovery and remuneration fees may have been included on www.eiti.org, whilst they are not here. Although, even accounting for this, there is still a difference.</t>
        </r>
      </text>
    </comment>
    <comment ref="G95" authorId="0" shape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96" authorId="0" shape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99" authorId="0" shape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141" authorId="0" shapeId="0">
      <text>
        <r>
          <rPr>
            <b/>
            <sz val="9"/>
            <color indexed="81"/>
            <rFont val="Tahoma"/>
            <family val="2"/>
          </rPr>
          <t>TScurfield2:</t>
        </r>
        <r>
          <rPr>
            <sz val="9"/>
            <color indexed="81"/>
            <rFont val="Tahoma"/>
            <family val="2"/>
          </rPr>
          <t xml:space="preserve">
Figures are the wrong way round on www.eiti.org.</t>
        </r>
      </text>
    </comment>
    <comment ref="G144" authorId="0" shapeId="0">
      <text>
        <r>
          <rPr>
            <b/>
            <sz val="9"/>
            <color indexed="81"/>
            <rFont val="Tahoma"/>
            <family val="2"/>
          </rPr>
          <t>TScurfield2:</t>
        </r>
        <r>
          <rPr>
            <sz val="9"/>
            <color indexed="81"/>
            <rFont val="Tahoma"/>
            <family val="2"/>
          </rPr>
          <t xml:space="preserve">
Includes payments in-kind, which www.eiti.org does not. </t>
        </r>
      </text>
    </comment>
    <comment ref="G145" authorId="0" shapeId="0">
      <text>
        <r>
          <rPr>
            <b/>
            <sz val="9"/>
            <color indexed="81"/>
            <rFont val="Tahoma"/>
            <family val="2"/>
          </rPr>
          <t>TScurfield2:</t>
        </r>
        <r>
          <rPr>
            <sz val="9"/>
            <color indexed="81"/>
            <rFont val="Tahoma"/>
            <family val="2"/>
          </rPr>
          <t xml:space="preserve">
No usable exchange rate was given in the report or on www.eiti.org so this was taken from the WB. Also, government figure includes payments in-kind, which www.eiti.org does not. </t>
        </r>
      </text>
    </comment>
    <comment ref="G146" authorId="0" shapeId="0">
      <text>
        <r>
          <rPr>
            <b/>
            <sz val="9"/>
            <color indexed="81"/>
            <rFont val="Tahoma"/>
            <family val="2"/>
          </rPr>
          <t>TScurfield2:</t>
        </r>
        <r>
          <rPr>
            <sz val="9"/>
            <color indexed="81"/>
            <rFont val="Tahoma"/>
            <family val="2"/>
          </rPr>
          <t xml:space="preserve">
Includes payments in-kind, which www.eiti.org does not.</t>
        </r>
      </text>
    </comment>
    <comment ref="G147" authorId="0" shapeId="0">
      <text>
        <r>
          <rPr>
            <b/>
            <sz val="9"/>
            <color indexed="81"/>
            <rFont val="Tahoma"/>
            <family val="2"/>
          </rPr>
          <t>TScurfield2:</t>
        </r>
        <r>
          <rPr>
            <sz val="9"/>
            <color indexed="81"/>
            <rFont val="Tahoma"/>
            <family val="2"/>
          </rPr>
          <t xml:space="preserve">
No usable exchange rate was given in the report or on www.eiti.org so this was taken from the WB. Also, government figure includes payments in-kind, which www.eiti.org does not. </t>
        </r>
      </text>
    </comment>
    <comment ref="G162" authorId="0" shapeId="0">
      <text>
        <r>
          <rPr>
            <b/>
            <sz val="9"/>
            <color indexed="81"/>
            <rFont val="Tahoma"/>
            <family val="2"/>
          </rPr>
          <t>TScurfield2:</t>
        </r>
        <r>
          <rPr>
            <sz val="9"/>
            <color indexed="81"/>
            <rFont val="Tahoma"/>
            <family val="2"/>
          </rPr>
          <t xml:space="preserve">
Financing of joint ventures is netted on www.eiti.org, but it is not here. Also, these figures include payments to the NDDC, which www.eiti.org does not. But the largest difference results from www.eiti.org not accounting for local currency payments.</t>
        </r>
      </text>
    </comment>
    <comment ref="G184" authorId="0" shape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5" authorId="0" shape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6" authorId="0" shape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7" authorId="0" shapeId="0">
      <text>
        <r>
          <rPr>
            <b/>
            <sz val="9"/>
            <color indexed="81"/>
            <rFont val="Tahoma"/>
            <family val="2"/>
          </rPr>
          <t>TScurfield2:</t>
        </r>
        <r>
          <rPr>
            <sz val="9"/>
            <color indexed="81"/>
            <rFont val="Tahoma"/>
            <family val="2"/>
          </rPr>
          <t xml:space="preserve">
Figures are the worng way round on www.eiti.org.</t>
        </r>
      </text>
    </comment>
    <comment ref="G188" authorId="0" shapeId="0">
      <text>
        <r>
          <rPr>
            <b/>
            <sz val="9"/>
            <color indexed="81"/>
            <rFont val="Tahoma"/>
            <family val="2"/>
          </rPr>
          <t>TScurfield2:</t>
        </r>
        <r>
          <rPr>
            <sz val="9"/>
            <color indexed="81"/>
            <rFont val="Tahoma"/>
            <family val="2"/>
          </rPr>
          <t xml:space="preserve">
Figures are the worng way round on www.eiti.org.</t>
        </r>
      </text>
    </comment>
    <comment ref="G189" authorId="0" shapeId="0">
      <text>
        <r>
          <rPr>
            <b/>
            <sz val="9"/>
            <color indexed="81"/>
            <rFont val="Tahoma"/>
            <family val="2"/>
          </rPr>
          <t>TScurfield2:</t>
        </r>
        <r>
          <rPr>
            <sz val="9"/>
            <color indexed="81"/>
            <rFont val="Tahoma"/>
            <family val="2"/>
          </rPr>
          <t xml:space="preserve">
Figures are the worng way round on www.eiti.org.</t>
        </r>
      </text>
    </comment>
    <comment ref="G194" authorId="0" shapeId="0">
      <text>
        <r>
          <rPr>
            <b/>
            <sz val="9"/>
            <color indexed="81"/>
            <rFont val="Tahoma"/>
            <family val="2"/>
          </rPr>
          <t>TScurfield2:</t>
        </r>
        <r>
          <rPr>
            <sz val="9"/>
            <color indexed="81"/>
            <rFont val="Tahoma"/>
            <family val="2"/>
          </rPr>
          <t xml:space="preserve">
Possibly just slightly inaccurate rounding on www.eiti.org.</t>
        </r>
      </text>
    </comment>
    <comment ref="G196" authorId="0" shapeId="0">
      <text>
        <r>
          <rPr>
            <b/>
            <sz val="9"/>
            <color indexed="81"/>
            <rFont val="Tahoma"/>
            <family val="2"/>
          </rPr>
          <t>TScurfield2:</t>
        </r>
        <r>
          <rPr>
            <sz val="9"/>
            <color indexed="81"/>
            <rFont val="Tahoma"/>
            <family val="2"/>
          </rPr>
          <t xml:space="preserve">
The sum across companies (reported here) is different to the sum reported across revenue streams (reported on www.eiti.org).</t>
        </r>
      </text>
    </comment>
    <comment ref="G221" authorId="0" shapeId="0">
      <text>
        <r>
          <rPr>
            <b/>
            <sz val="9"/>
            <color indexed="81"/>
            <rFont val="Tahoma"/>
            <family val="2"/>
          </rPr>
          <t>TScurfield2:</t>
        </r>
        <r>
          <rPr>
            <sz val="9"/>
            <color indexed="81"/>
            <rFont val="Tahoma"/>
            <family val="2"/>
          </rPr>
          <t xml:space="preserve">
Figures are the wrong way round on www.eiti.org.</t>
        </r>
      </text>
    </comment>
  </commentList>
</comments>
</file>

<file path=xl/comments4.xml><?xml version="1.0" encoding="utf-8"?>
<comments xmlns="http://schemas.openxmlformats.org/spreadsheetml/2006/main">
  <authors>
    <author>Dr. Johann Graf Lambsdorff</author>
  </authors>
  <commentList>
    <comment ref="C2" authorId="0" shapeId="0">
      <text>
        <r>
          <rPr>
            <b/>
            <sz val="8"/>
            <color indexed="81"/>
            <rFont val="Tahoma"/>
            <family val="2"/>
          </rPr>
          <t xml:space="preserve">CPI 2014 Score -  </t>
        </r>
        <r>
          <rPr>
            <sz val="8"/>
            <color indexed="81"/>
            <rFont val="Tahoma"/>
            <family val="2"/>
          </rPr>
          <t>R</t>
        </r>
        <r>
          <rPr>
            <sz val="8"/>
            <color indexed="81"/>
            <rFont val="Tahoma"/>
            <family val="2"/>
          </rPr>
          <t>elates to the degree to which corruption is perceived to exist among public officials and politicians by business people and country analysts. Score ranges between 100 (highly clean) and 0 (highly corrupt).</t>
        </r>
      </text>
    </comment>
    <comment ref="D2" authorId="0" shapeId="0">
      <text>
        <r>
          <rPr>
            <b/>
            <sz val="8"/>
            <color indexed="81"/>
            <rFont val="Tahoma"/>
            <family val="2"/>
          </rPr>
          <t xml:space="preserve">Surveys Used -  </t>
        </r>
        <r>
          <rPr>
            <sz val="8"/>
            <color indexed="81"/>
            <rFont val="Tahoma"/>
            <family val="2"/>
          </rPr>
          <t>Reflects the number of surveys or assessments used to calculate the CPI score for each country. In 2014 there were 12 surveys and expert assessments used and at least 3 were required for a country to be included in the CPI.</t>
        </r>
      </text>
    </comment>
    <comment ref="E2" authorId="0" shapeId="0">
      <text>
        <r>
          <rPr>
            <b/>
            <sz val="8"/>
            <color indexed="81"/>
            <rFont val="Tahoma"/>
            <family val="2"/>
          </rPr>
          <t xml:space="preserve">Standard Error - </t>
        </r>
        <r>
          <rPr>
            <sz val="8"/>
            <color indexed="81"/>
            <rFont val="Tahoma"/>
            <family val="2"/>
          </rPr>
          <t>I</t>
        </r>
        <r>
          <rPr>
            <sz val="8"/>
            <color indexed="81"/>
            <rFont val="Tahoma"/>
            <family val="2"/>
          </rPr>
          <t>ndicates differences in the values of the sources. The smaller the Standard Error the greater the agreement in the valuation of the sources.</t>
        </r>
      </text>
    </comment>
  </commentList>
</comments>
</file>

<file path=xl/comments5.xml><?xml version="1.0" encoding="utf-8"?>
<comments xmlns="http://schemas.openxmlformats.org/spreadsheetml/2006/main">
  <authors>
    <author>Marie Lintzer</author>
    <author>TScurfield2</author>
  </authors>
  <commentList>
    <comment ref="L1" authorId="0" shapeId="0">
      <text>
        <r>
          <rPr>
            <b/>
            <sz val="9"/>
            <color indexed="81"/>
            <rFont val="Tahoma"/>
            <family val="2"/>
          </rPr>
          <t>Marie Lintzer:</t>
        </r>
        <r>
          <rPr>
            <sz val="9"/>
            <color indexed="81"/>
            <rFont val="Tahoma"/>
            <family val="2"/>
          </rPr>
          <t xml:space="preserve">
ou can either have one or more companies operating the project. Use a row by company.</t>
        </r>
      </text>
    </comment>
    <comment ref="L13" authorId="1" shapeId="0">
      <text>
        <r>
          <rPr>
            <b/>
            <sz val="9"/>
            <color indexed="81"/>
            <rFont val="Tahoma"/>
            <family val="2"/>
          </rPr>
          <t>TScurfield2:</t>
        </r>
        <r>
          <rPr>
            <sz val="9"/>
            <color indexed="81"/>
            <rFont val="Tahoma"/>
            <family val="2"/>
          </rPr>
          <t xml:space="preserve">
The report only names the PSC participants that have to submit quarterly financial reports</t>
        </r>
      </text>
    </comment>
    <comment ref="M13" authorId="1" shapeId="0">
      <text>
        <r>
          <rPr>
            <b/>
            <sz val="9"/>
            <color indexed="81"/>
            <rFont val="Tahoma"/>
            <family val="2"/>
          </rPr>
          <t>TScurfield2:</t>
        </r>
        <r>
          <rPr>
            <sz val="9"/>
            <color indexed="81"/>
            <rFont val="Tahoma"/>
            <family val="2"/>
          </rPr>
          <t xml:space="preserve">
The figures are net of DMO fees</t>
        </r>
      </text>
    </comment>
    <comment ref="H70" authorId="1" shapeId="0">
      <text>
        <r>
          <rPr>
            <b/>
            <sz val="9"/>
            <color indexed="81"/>
            <rFont val="Tahoma"/>
            <family val="2"/>
          </rPr>
          <t>TScurfield2:</t>
        </r>
        <r>
          <rPr>
            <sz val="9"/>
            <color indexed="81"/>
            <rFont val="Tahoma"/>
            <family val="2"/>
          </rPr>
          <t xml:space="preserve">
These are liftings rather than actual production</t>
        </r>
      </text>
    </comment>
    <comment ref="M70" authorId="1" shapeId="0">
      <text>
        <r>
          <rPr>
            <b/>
            <sz val="9"/>
            <color indexed="81"/>
            <rFont val="Tahoma"/>
            <family val="2"/>
          </rPr>
          <t>TScurfield2:</t>
        </r>
        <r>
          <rPr>
            <sz val="9"/>
            <color indexed="81"/>
            <rFont val="Tahoma"/>
            <family val="2"/>
          </rPr>
          <t xml:space="preserve">
The figures are net of DMO fees.</t>
        </r>
      </text>
    </comment>
    <comment ref="H246" authorId="1" shapeId="0">
      <text>
        <r>
          <rPr>
            <b/>
            <sz val="9"/>
            <color indexed="81"/>
            <rFont val="Tahoma"/>
            <family val="2"/>
          </rPr>
          <t>TScurfield2:</t>
        </r>
        <r>
          <rPr>
            <sz val="9"/>
            <color indexed="81"/>
            <rFont val="Tahoma"/>
            <family val="2"/>
          </rPr>
          <t xml:space="preserve">
These are liftings rather than actual production</t>
        </r>
      </text>
    </comment>
    <comment ref="M246" authorId="1" shapeId="0">
      <text>
        <r>
          <rPr>
            <b/>
            <sz val="9"/>
            <color indexed="81"/>
            <rFont val="Tahoma"/>
            <family val="2"/>
          </rPr>
          <t>TScurfield2:</t>
        </r>
        <r>
          <rPr>
            <sz val="9"/>
            <color indexed="81"/>
            <rFont val="Tahoma"/>
            <family val="2"/>
          </rPr>
          <t xml:space="preserve">
 The figures are net of DMO fees</t>
        </r>
      </text>
    </comment>
    <comment ref="A429" authorId="1" shapeId="0">
      <text>
        <r>
          <rPr>
            <b/>
            <sz val="9"/>
            <color indexed="81"/>
            <rFont val="Tahoma"/>
            <family val="2"/>
          </rPr>
          <t>TScurfield2:</t>
        </r>
        <r>
          <rPr>
            <sz val="9"/>
            <color indexed="81"/>
            <rFont val="Tahoma"/>
            <family val="2"/>
          </rPr>
          <t xml:space="preserve">
Doesn't provide project-level info itself, but could be deduced from other reports</t>
        </r>
      </text>
    </comment>
    <comment ref="A430" authorId="1" shapeId="0">
      <text>
        <r>
          <rPr>
            <b/>
            <sz val="9"/>
            <color indexed="81"/>
            <rFont val="Tahoma"/>
            <family val="2"/>
          </rPr>
          <t>TScurfield2:</t>
        </r>
        <r>
          <rPr>
            <sz val="9"/>
            <color indexed="81"/>
            <rFont val="Tahoma"/>
            <family val="2"/>
          </rPr>
          <t xml:space="preserve">
Doesn't provide project-level info itself, but could be deduced from other reports</t>
        </r>
      </text>
    </comment>
    <comment ref="A436" authorId="1" shapeId="0">
      <text>
        <r>
          <rPr>
            <b/>
            <sz val="9"/>
            <color indexed="81"/>
            <rFont val="Tahoma"/>
            <family val="2"/>
          </rPr>
          <t>TScurfield2:</t>
        </r>
        <r>
          <rPr>
            <sz val="9"/>
            <color indexed="81"/>
            <rFont val="Tahoma"/>
            <family val="2"/>
          </rPr>
          <t xml:space="preserve">
Doesn't provide project-level info itself, but could be deduced from other reports</t>
        </r>
      </text>
    </comment>
    <comment ref="A437" authorId="1" shapeId="0">
      <text>
        <r>
          <rPr>
            <b/>
            <sz val="9"/>
            <color indexed="81"/>
            <rFont val="Tahoma"/>
            <family val="2"/>
          </rPr>
          <t>TScurfield2:</t>
        </r>
        <r>
          <rPr>
            <sz val="9"/>
            <color indexed="81"/>
            <rFont val="Tahoma"/>
            <family val="2"/>
          </rPr>
          <t xml:space="preserve">
Doesn't provide project-level info itself, but could be deduced from other reports</t>
        </r>
      </text>
    </comment>
    <comment ref="M439" authorId="1" shapeId="0">
      <text>
        <r>
          <rPr>
            <b/>
            <sz val="9"/>
            <color indexed="81"/>
            <rFont val="Tahoma"/>
            <family val="2"/>
          </rPr>
          <t>TScurfield2:</t>
        </r>
        <r>
          <rPr>
            <sz val="9"/>
            <color indexed="81"/>
            <rFont val="Tahoma"/>
            <family val="2"/>
          </rPr>
          <t xml:space="preserve">
Indicates insufficient disaggregation in the report</t>
        </r>
      </text>
    </comment>
    <comment ref="H654" authorId="1" shapeId="0">
      <text>
        <r>
          <rPr>
            <b/>
            <sz val="9"/>
            <color indexed="81"/>
            <rFont val="Tahoma"/>
            <family val="2"/>
          </rPr>
          <t>TScurfield2:</t>
        </r>
        <r>
          <rPr>
            <sz val="9"/>
            <color indexed="81"/>
            <rFont val="Tahoma"/>
            <family val="2"/>
          </rPr>
          <t xml:space="preserve">
This is the volume exported rather than produced</t>
        </r>
      </text>
    </comment>
    <comment ref="L654" authorId="1" shapeId="0">
      <text>
        <r>
          <rPr>
            <b/>
            <sz val="9"/>
            <color indexed="81"/>
            <rFont val="Tahoma"/>
            <family val="2"/>
          </rPr>
          <t>TScurfield2:</t>
        </r>
        <r>
          <rPr>
            <sz val="9"/>
            <color indexed="81"/>
            <rFont val="Tahoma"/>
            <family val="2"/>
          </rPr>
          <t xml:space="preserve">
It appears that Safer provides the gas in this project, but it is not mentioned as part of the joint venture</t>
        </r>
      </text>
    </comment>
    <comment ref="A661" authorId="1" shapeId="0">
      <text>
        <r>
          <rPr>
            <b/>
            <sz val="9"/>
            <color indexed="81"/>
            <rFont val="Tahoma"/>
            <family val="2"/>
          </rPr>
          <t>TScurfield2:</t>
        </r>
        <r>
          <rPr>
            <sz val="9"/>
            <color indexed="81"/>
            <rFont val="Tahoma"/>
            <family val="2"/>
          </rPr>
          <t xml:space="preserve">
Oil companies are reported by project, but the appendix, which is unavailable, provides the information on production and payments</t>
        </r>
      </text>
    </comment>
    <comment ref="H661" authorId="1" shapeId="0">
      <text>
        <r>
          <rPr>
            <b/>
            <sz val="9"/>
            <color indexed="81"/>
            <rFont val="Tahoma"/>
            <family val="2"/>
          </rPr>
          <t>TScurfield2:</t>
        </r>
        <r>
          <rPr>
            <sz val="9"/>
            <color indexed="81"/>
            <rFont val="Tahoma"/>
            <family val="2"/>
          </rPr>
          <t xml:space="preserve">
This is the volume exported rather than produced</t>
        </r>
      </text>
    </comment>
    <comment ref="L661" authorId="1" shapeId="0">
      <text>
        <r>
          <rPr>
            <b/>
            <sz val="9"/>
            <color indexed="81"/>
            <rFont val="Tahoma"/>
            <family val="2"/>
          </rPr>
          <t>TScurfield2:</t>
        </r>
        <r>
          <rPr>
            <sz val="9"/>
            <color indexed="81"/>
            <rFont val="Tahoma"/>
            <family val="2"/>
          </rPr>
          <t xml:space="preserve">
It appears that Safer provides the gas in this project, but it is not mentioned as part of the joint venture</t>
        </r>
      </text>
    </comment>
    <comment ref="A668" authorId="1" shapeId="0">
      <text>
        <r>
          <rPr>
            <b/>
            <sz val="9"/>
            <color indexed="81"/>
            <rFont val="Tahoma"/>
            <family val="2"/>
          </rPr>
          <t>TScurfield2:</t>
        </r>
        <r>
          <rPr>
            <sz val="9"/>
            <color indexed="81"/>
            <rFont val="Tahoma"/>
            <family val="2"/>
          </rPr>
          <t xml:space="preserve">
Provides lists of licenses by company but nothing else</t>
        </r>
      </text>
    </comment>
    <comment ref="A669" authorId="1" shapeId="0">
      <text>
        <r>
          <rPr>
            <b/>
            <sz val="9"/>
            <color indexed="81"/>
            <rFont val="Tahoma"/>
            <family val="2"/>
          </rPr>
          <t>TScurfield2:</t>
        </r>
        <r>
          <rPr>
            <sz val="9"/>
            <color indexed="81"/>
            <rFont val="Tahoma"/>
            <family val="2"/>
          </rPr>
          <t xml:space="preserve">
Provides lists of licenses by company but nothing else</t>
        </r>
      </text>
    </comment>
  </commentList>
</comments>
</file>

<file path=xl/sharedStrings.xml><?xml version="1.0" encoding="utf-8"?>
<sst xmlns="http://schemas.openxmlformats.org/spreadsheetml/2006/main" count="37212" uniqueCount="3825">
  <si>
    <t>Overall EITI Report Info</t>
  </si>
  <si>
    <t>EITI Report Coverage of Breakdowns</t>
  </si>
  <si>
    <t>Report ID</t>
  </si>
  <si>
    <t>Period Covered</t>
  </si>
  <si>
    <t>Country</t>
  </si>
  <si>
    <t>Region</t>
  </si>
  <si>
    <t>Publication Date</t>
  </si>
  <si>
    <t>Sector</t>
  </si>
  <si>
    <t>Government Revenues (US$)</t>
  </si>
  <si>
    <t>Company Payments (US$)</t>
  </si>
  <si>
    <t>Number of Companies Reporting</t>
  </si>
  <si>
    <t>Link to Report</t>
  </si>
  <si>
    <t>By Company</t>
  </si>
  <si>
    <t>By Commodity</t>
  </si>
  <si>
    <t>By Revenue Stream</t>
  </si>
  <si>
    <t>By Rev Stream &amp; Commodity</t>
  </si>
  <si>
    <t>By Rev Stream &amp; Company</t>
  </si>
  <si>
    <t>By Project</t>
  </si>
  <si>
    <t>Is there an SOC?</t>
  </si>
  <si>
    <t>Are Contracts Disclosed?</t>
  </si>
  <si>
    <t>Afghanistan2008</t>
  </si>
  <si>
    <t>Afghanistan</t>
  </si>
  <si>
    <t>South Asia</t>
  </si>
  <si>
    <t>August 2012</t>
  </si>
  <si>
    <t>Mining</t>
  </si>
  <si>
    <t>http://eiti.org/files/Afghanistan-2008-2009-EITI-Report.pdf</t>
  </si>
  <si>
    <t>x</t>
  </si>
  <si>
    <t>yes</t>
  </si>
  <si>
    <t>no</t>
  </si>
  <si>
    <t>Afghanistan2009</t>
  </si>
  <si>
    <t>Afghanistan2010</t>
  </si>
  <si>
    <t>October 2012</t>
  </si>
  <si>
    <t>http://eiti.org/files/Afghanistan-2010-2011-EITI-Report.pdf</t>
  </si>
  <si>
    <t>Afghanistan2011</t>
  </si>
  <si>
    <t>September 2014</t>
  </si>
  <si>
    <t>Oil, Gas, Mining</t>
  </si>
  <si>
    <t>http://eiti.org/files/Afghanistan_2011_EITI_Report.pdf</t>
  </si>
  <si>
    <t>Albania2009</t>
  </si>
  <si>
    <t>Albania</t>
  </si>
  <si>
    <t>Europe and Central Asia</t>
  </si>
  <si>
    <t>March 2011</t>
  </si>
  <si>
    <t>Oil, Mining</t>
  </si>
  <si>
    <t>http://eiti.org/files/Albania-2009-EITI-Report.pdf</t>
  </si>
  <si>
    <t>Albania2010</t>
  </si>
  <si>
    <t>December 2012</t>
  </si>
  <si>
    <t>http://eiti.org/files/Albania-2010-EITI-Report.pdf</t>
  </si>
  <si>
    <t>Albania2011</t>
  </si>
  <si>
    <t>June 2014</t>
  </si>
  <si>
    <t>http://eiti.org/files/20140701090023_eiti_report_2011_english_0.pdf</t>
  </si>
  <si>
    <t>Albania2012</t>
  </si>
  <si>
    <t>December 2014</t>
  </si>
  <si>
    <t>https://eiti.org/files/EITI%20Report%202012_English_SITE.pdf</t>
  </si>
  <si>
    <t>Azerbaijan2003</t>
  </si>
  <si>
    <t>Azerbaijan</t>
  </si>
  <si>
    <t>February 2005</t>
  </si>
  <si>
    <t>Oil, Gas</t>
  </si>
  <si>
    <t>http://eiti.org/files/Azerbaijan-2003-EITI-Report.pdf</t>
  </si>
  <si>
    <t>Azerbaijan2004</t>
  </si>
  <si>
    <t>June 2005</t>
  </si>
  <si>
    <t>http://eiti.org/files/Azerbaijan-2004-EITI-Report.pdf</t>
  </si>
  <si>
    <t>Azerbaijan2005</t>
  </si>
  <si>
    <t>June 2006</t>
  </si>
  <si>
    <t>http://eiti.org/files/Azerbaijan-2005-EITI-Report.pdf</t>
  </si>
  <si>
    <t>Azerbaijan2006</t>
  </si>
  <si>
    <t>July 2007</t>
  </si>
  <si>
    <t>http://eiti.org/files/Azerbaijan-2006-EITI-Report.pdf</t>
  </si>
  <si>
    <t>Azerbaijan2007</t>
  </si>
  <si>
    <t>May 2008</t>
  </si>
  <si>
    <t>http://eiti.org/files/Azerbaijan-2007-EITI-Report.pdf</t>
  </si>
  <si>
    <t>Azerbaijan2008</t>
  </si>
  <si>
    <t>May 2009</t>
  </si>
  <si>
    <t>http://eiti.org/files/Azerbaijan-2008-EITI-Report.pdf</t>
  </si>
  <si>
    <t>Azerbaijan2009</t>
  </si>
  <si>
    <t>April 2010</t>
  </si>
  <si>
    <t>http://eiti.org/files/Azarbaijan%202009%20EITI%20Report.pdf</t>
  </si>
  <si>
    <t>Azerbaijan2010</t>
  </si>
  <si>
    <t>May 2011</t>
  </si>
  <si>
    <t>http://eiti.org/files/Azerbaijan-2010-EITI-Report_1.pdf</t>
  </si>
  <si>
    <t>Azerbaijan2011</t>
  </si>
  <si>
    <t>June 2012</t>
  </si>
  <si>
    <t>http://eiti.org/files/Azerbaijan-2011-EITI-Report.pdf</t>
  </si>
  <si>
    <t>Azerbaijan2012</t>
  </si>
  <si>
    <t>June 2013</t>
  </si>
  <si>
    <t>http://eiti.org/files/Azerbaijan-2012-EITI-Report.pdf</t>
  </si>
  <si>
    <t>BurkinaFaso2008</t>
  </si>
  <si>
    <t xml:space="preserve">Burkina Faso </t>
  </si>
  <si>
    <t>Africa</t>
  </si>
  <si>
    <t>April 2011</t>
  </si>
  <si>
    <t>https://eiti.org/files/Burkina-Faso-2008-2009-EITI-Report_0.pdf</t>
  </si>
  <si>
    <t>BurkinaFaso2009</t>
  </si>
  <si>
    <t>https://eiti.org/files/Burkina-Faso-2008-2009-EITI-Report.pdf</t>
  </si>
  <si>
    <t>BurkinaFaso2010</t>
  </si>
  <si>
    <t>July 2012</t>
  </si>
  <si>
    <t>https://eiti.org/files/Burkina-Faso-2010-EITI-Report.pdf</t>
  </si>
  <si>
    <t>BurkinaFaso2011</t>
  </si>
  <si>
    <t>December 2013</t>
  </si>
  <si>
    <t>https://eiti.org/files/Burkina-Faso-2011-EITI-Report_FR.pdf</t>
  </si>
  <si>
    <t>BurkinaFaso2012</t>
  </si>
  <si>
    <t>Burkina Faso</t>
  </si>
  <si>
    <t>https://eiti.org/files/2012%20Burkina%20Faso%20EITI%20Report%20Final.pdf</t>
  </si>
  <si>
    <t>Cameroon2001</t>
  </si>
  <si>
    <t>Cameroon</t>
  </si>
  <si>
    <t>October 2006</t>
  </si>
  <si>
    <t>Oil</t>
  </si>
  <si>
    <t>http://eiti.org/files/Cameroon%202001-2002-2003-2004%20EITI%20Report_0.pdf</t>
  </si>
  <si>
    <t>Cameroon2002</t>
  </si>
  <si>
    <t>Cameroon2003</t>
  </si>
  <si>
    <t>Cameroon2004</t>
  </si>
  <si>
    <t>Cameroon2005</t>
  </si>
  <si>
    <t>February 2007</t>
  </si>
  <si>
    <t>http://eiti.org/files/Cameroon-2005-EITI-Report.pdf</t>
  </si>
  <si>
    <t>Cameroon2006</t>
  </si>
  <si>
    <t>June 2010</t>
  </si>
  <si>
    <t>http://eiti.org/files/Cameroon-2006-2007-2008-EITI-Report_1.pdf</t>
  </si>
  <si>
    <t>Cameroon2007</t>
  </si>
  <si>
    <t>Cameroon2008</t>
  </si>
  <si>
    <t>Cameroon2009</t>
  </si>
  <si>
    <t>April 2013</t>
  </si>
  <si>
    <t>https://eiti.org/files/Cameroon-2009-EITI-Report-French.pdf</t>
  </si>
  <si>
    <t>Cameroon2010</t>
  </si>
  <si>
    <t>https://eiti.org/files/Cameroon-2010-EITI-Report-French.pdf</t>
  </si>
  <si>
    <t>Cameroon2011</t>
  </si>
  <si>
    <t>August 2013</t>
  </si>
  <si>
    <t>https://eiti.org/files/Cameroon-2011-EITI-Report-English.pdf</t>
  </si>
  <si>
    <t>Cameroon2012</t>
  </si>
  <si>
    <t>https://eiti.org/files/Rapport%20-%20Conciliation%20ITIE%20Cameroon%202012%20Final_0.pdf</t>
  </si>
  <si>
    <t>CentralAfricanRepublic2006</t>
  </si>
  <si>
    <t>Central African Republic</t>
  </si>
  <si>
    <t>February 2009</t>
  </si>
  <si>
    <t>https://eiti.org/files/Central%20African%20Republic%202006%20EITI%20Report.pdf</t>
  </si>
  <si>
    <t>CentralAfricanRepublic2007</t>
  </si>
  <si>
    <t>July 2010</t>
  </si>
  <si>
    <t>https://eiti.org/files/Central%20African%20Republic%202007-2009%20EITI%20Report_1.pdf</t>
  </si>
  <si>
    <t>CentralAfricanRepublic2008</t>
  </si>
  <si>
    <t>CentralAfricanRepublic2009</t>
  </si>
  <si>
    <t>CentralAfricanRepublic2010</t>
  </si>
  <si>
    <t>https://eiti.org/files/Central-African-Republic-2010-EITI-Report.pdf</t>
  </si>
  <si>
    <t>Chad2007</t>
  </si>
  <si>
    <t>Chad</t>
  </si>
  <si>
    <t>http://eiti.org/files/Chad-2007-EITI-Report.pdf</t>
  </si>
  <si>
    <t>Chad2008</t>
  </si>
  <si>
    <t>http://eiti.org/files/Chad-2008-EITI-Report.pdf</t>
  </si>
  <si>
    <t>Chad2009</t>
  </si>
  <si>
    <t>http://eiti.org/files/Chad-2009-EITI-Report.pdf</t>
  </si>
  <si>
    <t>Chad2010</t>
  </si>
  <si>
    <t>May 2013</t>
  </si>
  <si>
    <t>http://eiti.org/files/Chad-2010-EITI-Report.pdf</t>
  </si>
  <si>
    <t>Chad2011</t>
  </si>
  <si>
    <t>http://eiti.org/files/Chad-2011-EITI-Report.pdf</t>
  </si>
  <si>
    <t>Chad2012</t>
  </si>
  <si>
    <t>March 2014</t>
  </si>
  <si>
    <t>http://eiti.org/files/Tchad%20EITI%20Report%202012%20RAPPORT%20DE%20RECONCILIATION%20VFIN%20DEFINITIVE%20%205%203%2014_0.pdf</t>
  </si>
  <si>
    <t>Coted'Ivoire2006</t>
  </si>
  <si>
    <t>Cote d'Ivoire</t>
  </si>
  <si>
    <t>January 2010</t>
  </si>
  <si>
    <t>http://eiti.org/files/Cote%20dIvoire%202006-2007%20EITI%20Report.pdf</t>
  </si>
  <si>
    <t>Coted'Ivoire2007</t>
  </si>
  <si>
    <t>http://eiti.org/files/Cote%20dIvoire%202006-2007%20EITI%20Report_0.pdf</t>
  </si>
  <si>
    <t>Coted'Ivoire2008</t>
  </si>
  <si>
    <t>May 2012</t>
  </si>
  <si>
    <t>http://eiti.org/files/Cote-dIvoire-2008-EITI-Report.pdf</t>
  </si>
  <si>
    <t>Coted'Ivoire2009</t>
  </si>
  <si>
    <t>http://eiti.org/files/Cote-dIvoire-2009-EITI-Report.pdf</t>
  </si>
  <si>
    <t>Coted'Ivoire2010</t>
  </si>
  <si>
    <t>http://eiti.org/files/Cote-dIvoire-2010-EITI-Report.pdf</t>
  </si>
  <si>
    <t>Coted'Ivoire2011</t>
  </si>
  <si>
    <t>http://eiti.org/files/Cote-dIvoire-2011-EITI-Report-FR.pdf</t>
  </si>
  <si>
    <t>Coted'Ivoire2012</t>
  </si>
  <si>
    <t>Coted'Ivoire</t>
  </si>
  <si>
    <t>https://eiti.org/files/CDI%202012%20EITI%20Report%20Final%20MS.pdf</t>
  </si>
  <si>
    <t>DemocraticRepublicofCongo2007</t>
  </si>
  <si>
    <t>Democratic Republic of Congo</t>
  </si>
  <si>
    <t>November 2009</t>
  </si>
  <si>
    <t>http://eiti.org/files/DRC%202007%20EITI%20Report.pdf</t>
  </si>
  <si>
    <t>DemocraticRepublicofCongo2008</t>
  </si>
  <si>
    <t>January 2012</t>
  </si>
  <si>
    <t>http://eiti.org/files/DRC%202008-2009%20EITI%20Report.pdf</t>
  </si>
  <si>
    <t>DemocraticRepublicofCongo2009</t>
  </si>
  <si>
    <t>http://eiti.org/files/DRC%202008-2009%20EITI%20Report_0.pdf</t>
  </si>
  <si>
    <t>DemocraticRepublicofCongo2010</t>
  </si>
  <si>
    <t>January 2013</t>
  </si>
  <si>
    <t>http://eiti.org/files/Congo-DRC-2010-EITI-Report-ENG_0.pdf</t>
  </si>
  <si>
    <t>DemocraticRepublicofCongo2011</t>
  </si>
  <si>
    <t>http://www.itierdc.com/Publication_et_rapport/Rapport%20Complementaire%20ITIE-RDC%202011%20-%20version%20anglaise%20%28english%29.pdf</t>
  </si>
  <si>
    <t>DemocraticRepublicofCongo2012</t>
  </si>
  <si>
    <t>Congo</t>
  </si>
  <si>
    <t>https://eiti.org/files/Rapport%20de%20Conciliation%20ITIE%20RDC%202012.pdf</t>
  </si>
  <si>
    <t>EquatorialGuinea2007</t>
  </si>
  <si>
    <t>Equatorial Guinea</t>
  </si>
  <si>
    <t>EquatorialGuinea2008</t>
  </si>
  <si>
    <t>Gabon2004</t>
  </si>
  <si>
    <t>Gabon</t>
  </si>
  <si>
    <t>Gabon2005</t>
  </si>
  <si>
    <t>Gabon2006</t>
  </si>
  <si>
    <t>Ghana2004</t>
  </si>
  <si>
    <t>Ghana</t>
  </si>
  <si>
    <t>September 2007</t>
  </si>
  <si>
    <t>http://eiti.org/files/Ghana%202004-2008%20EITI%20Report_0.pdf</t>
  </si>
  <si>
    <t>Ghana2005</t>
  </si>
  <si>
    <t>March 2008</t>
  </si>
  <si>
    <t>http://eiti.org/files/Ghana%202005%20EITI%20Report.pdf</t>
  </si>
  <si>
    <t>Ghana2006</t>
  </si>
  <si>
    <t>August 2010</t>
  </si>
  <si>
    <t>http://eiti.org/files/Ghana%202006%20EITI%20Report.pdf</t>
  </si>
  <si>
    <t>Ghana2007</t>
  </si>
  <si>
    <t>http://eiti.org/files/Ghana%202007%20EITI%20Report.pdf</t>
  </si>
  <si>
    <t>Ghana2008</t>
  </si>
  <si>
    <t>http://eiti.org/files/Ghana%202008%20EITI%20Report.pdf</t>
  </si>
  <si>
    <t>Ghana2009</t>
  </si>
  <si>
    <t>August 2011</t>
  </si>
  <si>
    <t>http://eiti.org/files/Ghana%202009%20EITI%20Report.pdf</t>
  </si>
  <si>
    <t>Ghana2010</t>
  </si>
  <si>
    <t>February 2013</t>
  </si>
  <si>
    <t>http://eiti.org/files/Ghana-2010-2011-EITI-Report.pdf; http://eiti.org/files/Ghana-2010-2011-Oil%26Gas-EITI-Report.pdf</t>
  </si>
  <si>
    <t>Ghana2011</t>
  </si>
  <si>
    <t>Ghana2012</t>
  </si>
  <si>
    <t>https://eiti.org/files/2012-2013_Final_Oil_and_Gas_Sector_Report_0.pdf</t>
  </si>
  <si>
    <t>Ghana2013</t>
  </si>
  <si>
    <t>Guatemala2010</t>
  </si>
  <si>
    <t>Guatemala</t>
  </si>
  <si>
    <t>Latin America and Caribbean</t>
  </si>
  <si>
    <t>http://eiti.org/files/Guatemala-2010-2011-EITI-Report-Spanish_0.pdf</t>
  </si>
  <si>
    <t>Guatemala2011</t>
  </si>
  <si>
    <t>http://eiti.org/files/Guatemala-2010-2011-EITI-Report.pdf</t>
  </si>
  <si>
    <t>Guinea2005</t>
  </si>
  <si>
    <t xml:space="preserve">Guinea </t>
  </si>
  <si>
    <t>http://eiti.org/files/Guinea%202005%20EITI%20Report.pdf</t>
  </si>
  <si>
    <t>Guinea2006</t>
  </si>
  <si>
    <t>March 2012</t>
  </si>
  <si>
    <t>http://eiti.org/files/Guinea-2006-EITI-Report.pdf</t>
  </si>
  <si>
    <t>Guinea2007</t>
  </si>
  <si>
    <t>http://eiti.org/files/Guinea-2007-EITI-Report.pdf</t>
  </si>
  <si>
    <t>Guinea2008</t>
  </si>
  <si>
    <t>http://eiti.org/files/Guinea-2008-EITI-Report.pdf</t>
  </si>
  <si>
    <t>Guinea2009</t>
  </si>
  <si>
    <t>http://eiti.org/files/Guinea-2009-EITI-Report.pdf</t>
  </si>
  <si>
    <t>Guinea2010</t>
  </si>
  <si>
    <t>http://eiti.org/files/Guinea-2010-EITI-Report.pdf</t>
  </si>
  <si>
    <t>Guinea2011</t>
  </si>
  <si>
    <t>http://eiti.org/files/Guinea-2011-EITI-Report-FR.pdf</t>
  </si>
  <si>
    <t>Guinea2012</t>
  </si>
  <si>
    <t>http://eiti.org/files/Guinea-2012-EITI-Report-FR.pdf</t>
  </si>
  <si>
    <t>Indonesia2009</t>
  </si>
  <si>
    <t>Indonesia</t>
  </si>
  <si>
    <t>East Asia and Pacific</t>
  </si>
  <si>
    <t>http://eiti.org/files/Indonesia_2009_EITI_Report.pdf</t>
  </si>
  <si>
    <t>Indonesia2010</t>
  </si>
  <si>
    <t>May 2014</t>
  </si>
  <si>
    <t>http://eiti.org/files/EITI-2010-2011-oil-final.pdf; http://eiti.ekon.go.id/en/laporan-eiti-2010-2011-minerba/?aid=604&amp;sa=1</t>
  </si>
  <si>
    <t>Indonesia2011</t>
  </si>
  <si>
    <t>Iraq2009</t>
  </si>
  <si>
    <t>Iraq</t>
  </si>
  <si>
    <t>Middle East and North Africa</t>
  </si>
  <si>
    <t>November 2011</t>
  </si>
  <si>
    <t>http://eiti.org/files/Iraq%202009%20EITI%20Report.pdf</t>
  </si>
  <si>
    <t>Iraq2010</t>
  </si>
  <si>
    <t>http://eiti.org/files/IEITI%202010%20English%20Final%20Report%20%2815%20May%202013%29.pdf</t>
  </si>
  <si>
    <t>Iraq2011</t>
  </si>
  <si>
    <t>http://eiti.org/files/Iraq-2011-EITI-Report.pdf</t>
  </si>
  <si>
    <t>Iraq2012</t>
  </si>
  <si>
    <t>https://eiti.org/files/IEITI%20Final%20Report%202012%20%20English.pdf</t>
  </si>
  <si>
    <t>Kazakhstan2005</t>
  </si>
  <si>
    <t>Kazakhastan</t>
  </si>
  <si>
    <t>November 2007</t>
  </si>
  <si>
    <t>https://eiti.org/files/Kazakhstan%202005%20EITI%20Report.pdf</t>
  </si>
  <si>
    <t>not specified</t>
  </si>
  <si>
    <t>Kazakhstan2006</t>
  </si>
  <si>
    <t>November 2008</t>
  </si>
  <si>
    <t>https://eiti.org/files/Kazakhstan%202006%20EITI%20Report.pdf</t>
  </si>
  <si>
    <t>Kazakhstan2007</t>
  </si>
  <si>
    <t>https://eiti.org/files/Kazakhstan%202007%20EITI%20Report.pdf</t>
  </si>
  <si>
    <t>Kazakhstan2008</t>
  </si>
  <si>
    <t>https://eiti.org/files/Kazakhstan%202008%20EITI%20Report.pdf</t>
  </si>
  <si>
    <t>Kazakhstan2009</t>
  </si>
  <si>
    <t>https://eiti.org/files/Kazakhstan%202009%20EITI%20Report.pdf</t>
  </si>
  <si>
    <t>Kazakhstan2010</t>
  </si>
  <si>
    <t>https://eiti.org/files/Kazakhstan-2010-EITI-Report.pdf</t>
  </si>
  <si>
    <t>Kazakhstan2011</t>
  </si>
  <si>
    <t>https://eiti.org/files/Kazakhstan-2011-EITI-Report.pdf</t>
  </si>
  <si>
    <t>Kazakhstan2012</t>
  </si>
  <si>
    <t>Kazakhstan</t>
  </si>
  <si>
    <t>https://eiti.org/files/EITI-Report-2012-Kazakhstan%20ANNEX.pdf</t>
  </si>
  <si>
    <t>Kazakhstan2013</t>
  </si>
  <si>
    <t>https://eiti.org/files/EITI-2013-Report-Kazakhstan_Annex.pdf</t>
  </si>
  <si>
    <t>KyrgyzRepublic2004</t>
  </si>
  <si>
    <t>Kyrgyz Republic</t>
  </si>
  <si>
    <t>http://eiti.org/files/Kyrgyz%20Republic%202008%20EITI%20Report_0.pdf</t>
  </si>
  <si>
    <t>KyrgyzRepublic2005</t>
  </si>
  <si>
    <t>KyrgyzRepublic2006</t>
  </si>
  <si>
    <t>KyrgyzRepublic2007</t>
  </si>
  <si>
    <t>KyrgyzRepublic2008</t>
  </si>
  <si>
    <t>KyrgyzRepublic2009</t>
  </si>
  <si>
    <t>July 2011</t>
  </si>
  <si>
    <t>http://eiti.org/files/Kyrgyz%20Republic%202009%20EITI%20Report.pdf</t>
  </si>
  <si>
    <t>KyrgyzRepublic2010</t>
  </si>
  <si>
    <t>KyrgyzRepublic2011</t>
  </si>
  <si>
    <t>http://eiti.org/files/Kyrgyzstan-2011-EITI-Report-2.pdf</t>
  </si>
  <si>
    <t>KyrgyzRepublic2012</t>
  </si>
  <si>
    <t>April 2014</t>
  </si>
  <si>
    <t>http://eiti.org/files/Kyrgyzstan-2012-EITI-Report.pdf</t>
  </si>
  <si>
    <t>Liberia2008</t>
  </si>
  <si>
    <t>Liberia</t>
  </si>
  <si>
    <t>January 2009</t>
  </si>
  <si>
    <t>Oil, Mining, Forestry</t>
  </si>
  <si>
    <t>http://eiti.org/files/Liberia%20Jul%202007%20-%20Jun%202008%20EITI%20Report.pdf</t>
  </si>
  <si>
    <t>Liberia2009</t>
  </si>
  <si>
    <t>Oil, Mining, Forestry, Agriculture</t>
  </si>
  <si>
    <t>http://eiti.org/files/Liberia%20Jul%202008%20-%20Jun%202009%20EITI%20Report.pdf</t>
  </si>
  <si>
    <t>Liberia2010</t>
  </si>
  <si>
    <t>January 2011</t>
  </si>
  <si>
    <t>http://eiti.org/files/Liberia%20Jul%202009%20-%20Jun%202010%20EITI%20Report.pdf</t>
  </si>
  <si>
    <t>Liberia2011</t>
  </si>
  <si>
    <t>http://eiti.org/files/Liberia-2011-EITI-Report.pdf</t>
  </si>
  <si>
    <t>Liberia2012</t>
  </si>
  <si>
    <t>http://eiti.org/files/EITI_Report_Liberia_2011-12.pdf</t>
  </si>
  <si>
    <t>Madagascar2007</t>
  </si>
  <si>
    <t>Madagascar</t>
  </si>
  <si>
    <t>http://eiti.org/files/Madagascar%202007-2008-2009-%28Jan-June2010%29%20EITI%20Report.pdf</t>
  </si>
  <si>
    <t>Madagascar2008</t>
  </si>
  <si>
    <t>http://eiti.org/files/Madagascar%202007-2008-2009-%28Jan-June2010%29%20EITI%20Report_0.pdf</t>
  </si>
  <si>
    <t>Madagascar2009</t>
  </si>
  <si>
    <t>http://eiti.org/files/Madagascar%202007-2008-2009-%28Jan-June2010%29%20EITI%20Report_1.pdf</t>
  </si>
  <si>
    <t>Madagascar2010</t>
  </si>
  <si>
    <t>September 2012</t>
  </si>
  <si>
    <t>http://eiti.org/files/Madagascar-2010-EITI-Report.pdf</t>
  </si>
  <si>
    <t>Madagascar2011</t>
  </si>
  <si>
    <t>September 2013</t>
  </si>
  <si>
    <t>http://eiti.org/files/Rapport%20FINAL%20EITI%20Madagascar%20-%20Exercice%202011%20-%20FR_0.pdf</t>
  </si>
  <si>
    <t>Mali2006</t>
  </si>
  <si>
    <t>Mali</t>
  </si>
  <si>
    <t>http://eiti.org/files/Mali%202006%20EITI%20Report.pdf</t>
  </si>
  <si>
    <t>Mali2007</t>
  </si>
  <si>
    <t>http://eiti.org/files/Mali%202007-2008%20EITI%20Report.pdf</t>
  </si>
  <si>
    <t>Mali2008</t>
  </si>
  <si>
    <t>http://eiti.org/files/Mali%202007-2008%20EITI%20Report_0.pdf</t>
  </si>
  <si>
    <t>Mali2009</t>
  </si>
  <si>
    <t>Mining, Oil</t>
  </si>
  <si>
    <t>http://eiti.org/files/Mali%202009%20EITI%20Report.pdf</t>
  </si>
  <si>
    <t>Mali2010</t>
  </si>
  <si>
    <t>http://eiti.org/files/Mali-2010-EITI-Report.pdf</t>
  </si>
  <si>
    <t>Mali2011</t>
  </si>
  <si>
    <t>http://eiti.org/files/Mali-2011-EITI-Report-FR.pdf</t>
  </si>
  <si>
    <t>Mali2012</t>
  </si>
  <si>
    <t>https://eiti.org/files/Rapport%20Final%20de%20Conciliation%20ITIE%20Mali%202012.pdf</t>
  </si>
  <si>
    <t>Mauritania2005</t>
  </si>
  <si>
    <t>Mauritania</t>
  </si>
  <si>
    <t>http://eiti.org/files/Mauritania%202005%20EITI%20Report.pdf</t>
  </si>
  <si>
    <t>Mauritania2006</t>
  </si>
  <si>
    <t>June 2007</t>
  </si>
  <si>
    <t>http://eiti.org/files/Mauritania%202006%20EITI%20Report.pdf</t>
  </si>
  <si>
    <t>Mauritania2007</t>
  </si>
  <si>
    <t>June 2011</t>
  </si>
  <si>
    <t>http://eiti.org/files/Mauritania%202007%20EITI%20Report.pdf</t>
  </si>
  <si>
    <t>Mauritania2008</t>
  </si>
  <si>
    <t>Mauritania2009</t>
  </si>
  <si>
    <t>September 2011</t>
  </si>
  <si>
    <t>http://eiti.org/files/Mauritania%202009%20EITI%20Report.pdf</t>
  </si>
  <si>
    <t>Mauritania2010</t>
  </si>
  <si>
    <t>http://eiti.org/files/Mauritania-2010-EITI-Report.pdf</t>
  </si>
  <si>
    <t>Mauritania2011</t>
  </si>
  <si>
    <t>http://eiti.org/files/Mauritania-2011-EITI-Report.pdf</t>
  </si>
  <si>
    <t>Mauritania2012</t>
  </si>
  <si>
    <t>https://eiti.org/files/Rapport%20final%20-%20Conciliation%20ITIE%20Mauritanie%202012.pdf</t>
  </si>
  <si>
    <t>Mongolia2006</t>
  </si>
  <si>
    <t>Mongolia</t>
  </si>
  <si>
    <t>December 2007</t>
  </si>
  <si>
    <t>http://eiti.org/files/Mongolia%202006%20EITI%20Report.pdf</t>
  </si>
  <si>
    <t>Mongolia2007</t>
  </si>
  <si>
    <t>October 2009</t>
  </si>
  <si>
    <t>http://eiti.org/files/Mongolia%202007%20EITI%20Report.pdf</t>
  </si>
  <si>
    <t>Mongolia2008</t>
  </si>
  <si>
    <t>May 2010</t>
  </si>
  <si>
    <t>http://eiti.org/files/Mongolia%202008%20EITI%20Report.pdf</t>
  </si>
  <si>
    <t>Mongolia2009</t>
  </si>
  <si>
    <t>http://eiti.org/files/Mongolia%202009%20EITI%20Report.pdf</t>
  </si>
  <si>
    <t>Mongolia2010</t>
  </si>
  <si>
    <t>http://eiti.org/files/Mongolia-2010-EITI-Report-FULL.pdf</t>
  </si>
  <si>
    <t>Mongolia2011</t>
  </si>
  <si>
    <t>November 2012</t>
  </si>
  <si>
    <t>http://eiti.org/files/Mongolia-2011-EITI-Report-PartI.pdf</t>
  </si>
  <si>
    <t>Mongolia2012</t>
  </si>
  <si>
    <t>http://eiti.org/files/Mongolia-2012-EITI-Report.pdf</t>
  </si>
  <si>
    <t>Mongolia2013</t>
  </si>
  <si>
    <t>https://eiti.org/files/Shorter%20PDF%20MEITI%20Report-English%20Master_final_2013.pdf</t>
  </si>
  <si>
    <t>Mozambique2008</t>
  </si>
  <si>
    <t>Mozambique</t>
  </si>
  <si>
    <t>Gas, Mining</t>
  </si>
  <si>
    <t>http://eiti.org/files/Mozambique%202008%20EITI%20Report.pdf</t>
  </si>
  <si>
    <t>Mozambique2009</t>
  </si>
  <si>
    <t>http://eiti.org/files/Mozambique-2009-EITI-Report.pdf</t>
  </si>
  <si>
    <t>http://eiti.org/files/Mozambique-2011-EITI-Report.pdf</t>
  </si>
  <si>
    <t>Mozambique2010</t>
  </si>
  <si>
    <t>http://eiti.org/files/Mozambique-2010-EITI-Report.pdf</t>
  </si>
  <si>
    <t>Niger2005</t>
  </si>
  <si>
    <t>Niger</t>
  </si>
  <si>
    <t>September 2009</t>
  </si>
  <si>
    <t>http://eiti.org/files/Niger%202005-2006%20EITI%20Report.pdf</t>
  </si>
  <si>
    <t>Niger2006</t>
  </si>
  <si>
    <t>http://eiti.org/files/Niger%202005-2006%20EITI%20Report_0.pdf</t>
  </si>
  <si>
    <t>Niger2007</t>
  </si>
  <si>
    <t>December 2010</t>
  </si>
  <si>
    <t>http://eiti.org/files/Niger%202007-2008-2009%20EITI%20Report_1.pdf</t>
  </si>
  <si>
    <t>Niger2008</t>
  </si>
  <si>
    <t>http://eiti.org/files/Niger%202007-2008-2009%20EITI%20Report_0.pdf</t>
  </si>
  <si>
    <t>Niger2009</t>
  </si>
  <si>
    <t>http://eiti.org/files/Niger%202007-2008-2009%20EITI%20Report.pdf</t>
  </si>
  <si>
    <t>Niger2010</t>
  </si>
  <si>
    <t>http://eiti.org/files/Niger-2010-EITI-Report.pdf</t>
  </si>
  <si>
    <t>Niger2011</t>
  </si>
  <si>
    <t>http://eiti.org/files/4eme_rapport_itie_niger_2011_0.pdf</t>
  </si>
  <si>
    <t>Niger2012</t>
  </si>
  <si>
    <t>https://eiti.org/files/Rapport%20du00E9finitif%20collecte%202012.pdf</t>
  </si>
  <si>
    <t>Nigeria1999</t>
  </si>
  <si>
    <t>Nigeria</t>
  </si>
  <si>
    <t>https://eiti.org/files/Nigeria%201999-%202004%20EITI%20Report_4.pdf</t>
  </si>
  <si>
    <t>Nigeria2000</t>
  </si>
  <si>
    <t>Nigeria2001</t>
  </si>
  <si>
    <t>Nigeria2002</t>
  </si>
  <si>
    <t>Nigeria2003</t>
  </si>
  <si>
    <t>Nigeria2004</t>
  </si>
  <si>
    <t>Nigeria2005</t>
  </si>
  <si>
    <t>September 2008</t>
  </si>
  <si>
    <t>https://eiti.org/files/Nigeria%202005%20EITI%20Report.pdf</t>
  </si>
  <si>
    <t>Nigeria2006</t>
  </si>
  <si>
    <t>https://eiti.org/files/Nigeria%202006-2007-2008%20EITI%20Report.pdf</t>
  </si>
  <si>
    <t>Nigeria2007</t>
  </si>
  <si>
    <t>Nigeria2008</t>
  </si>
  <si>
    <t>Nigeria2009</t>
  </si>
  <si>
    <t>https://eiti.org/files/NEITI-EITI-Core-Audit-Report-Oil-Gas-2009-2011-310113-New_0.pdf</t>
  </si>
  <si>
    <t>Nigeria2010</t>
  </si>
  <si>
    <t>Nigeria2011</t>
  </si>
  <si>
    <t>January 2013 (oil &amp; gas report); May 2014 (mining report)</t>
  </si>
  <si>
    <t>https://eiti.org/files/NEITI-EITI-Core-Audit-Report-Oil-Gas-2009-2011-310113-New_0.pdf; http://eiti.org/files/2011%20SMA%20FINAL%20CORE%20EITI%20REPORT.pdf</t>
  </si>
  <si>
    <t>Nigeria2012</t>
  </si>
  <si>
    <t>https://eiti.org/files/Nigeria-SMA-Report-2012_0.pdf</t>
  </si>
  <si>
    <t>Norway2008</t>
  </si>
  <si>
    <t>Norway</t>
  </si>
  <si>
    <t>http://eiti.org/files/Norway%202008%20EITI%20Report.pdf</t>
  </si>
  <si>
    <t>Norway2009</t>
  </si>
  <si>
    <t>October 2010</t>
  </si>
  <si>
    <t>http://eiti.org/files/Norway-2009-EITI-Report.pdf</t>
  </si>
  <si>
    <t>Norway2010</t>
  </si>
  <si>
    <t>April 2012</t>
  </si>
  <si>
    <t>http://eiti.org/files/Norway-2010-EITI-Report-Norwegian.pdf</t>
  </si>
  <si>
    <t>Norway2011</t>
  </si>
  <si>
    <t>http://www.regjeringen.no/upload/OED/pdf%20filer/EITI/1269981599_670670_EITIrapport_2012_engelsk.pdf</t>
  </si>
  <si>
    <t>Norway2012</t>
  </si>
  <si>
    <t>http://eiti.org/files/Norway-2012-EITI-report.pdf</t>
  </si>
  <si>
    <t>Peru2004</t>
  </si>
  <si>
    <t>Peru</t>
  </si>
  <si>
    <t>http://eiti.org/files/Peru%202004-2007%20EITI%20Report.pdf</t>
  </si>
  <si>
    <t>Peru2005</t>
  </si>
  <si>
    <t>Peru2006</t>
  </si>
  <si>
    <t>Peru2007</t>
  </si>
  <si>
    <t>Peru2008</t>
  </si>
  <si>
    <t>December 2011</t>
  </si>
  <si>
    <t>http://eiti.org/files/Peru%202008-2010%20EITI%20Report.pdf</t>
  </si>
  <si>
    <t>Peru2009</t>
  </si>
  <si>
    <t>Peru2010</t>
  </si>
  <si>
    <t>Peru2011</t>
  </si>
  <si>
    <t>February 2014</t>
  </si>
  <si>
    <t>http://eiti.org/files/Peru-2011-2012-EITI-Report.pdf</t>
  </si>
  <si>
    <t>Peru2012</t>
  </si>
  <si>
    <t>http://eiti.org/files/Peru-2011-2012-EITI-Report_0.pdf</t>
  </si>
  <si>
    <t>RepublicOfTheCongo2004</t>
  </si>
  <si>
    <t>Republic of the Congo</t>
  </si>
  <si>
    <t>August 2008</t>
  </si>
  <si>
    <t>http://eiti.org/files/Congo-Rep-2004-2005-2006-EITI-Report.pdf</t>
  </si>
  <si>
    <t>RepublicOfTheCongo2005</t>
  </si>
  <si>
    <t>August 2009</t>
  </si>
  <si>
    <t>http://eiti.org/files/Congo-Rep-2004-2005-2006-EITI-Report_0.pdf</t>
  </si>
  <si>
    <t>RepublicOfTheCongo2006</t>
  </si>
  <si>
    <t>http://eiti.org/files/Congo-Rep-2004-2005-2006-EITI-Report_1.pdf</t>
  </si>
  <si>
    <t>RepublicOfTheCongo2007</t>
  </si>
  <si>
    <t>http://eiti.org/files/Republic%20of%20Congo%202007-2008-2009%20EITI%20Report.pdf</t>
  </si>
  <si>
    <t>RepublicOfTheCongo2008</t>
  </si>
  <si>
    <t>http://eiti.org/files/Republic%20of%20Congo%202007-2008-2009%20EITI%20Report_0.pdf</t>
  </si>
  <si>
    <t>RepublicOfTheCongo2009</t>
  </si>
  <si>
    <t>http://eiti.org/files/Republic%20of%20Congo%202007-2008-2009%20EITI%20Report_1.pdf</t>
  </si>
  <si>
    <t>RepublicOfTheCongo2010</t>
  </si>
  <si>
    <t>http://eiti.org/files/Republic%20of%20Congo%202010%20EITI%20Report.pdf</t>
  </si>
  <si>
    <t>RepublicOfTheCongo2011</t>
  </si>
  <si>
    <t>http://eiti.org/files/Congo-Rep-2011-EITI-Report-2.pdf</t>
  </si>
  <si>
    <t>RepublicOfTheCongo2012</t>
  </si>
  <si>
    <t>http://eiti.org/files/EITI%20REPORT%202012-CONGO%20B..pdf</t>
  </si>
  <si>
    <t>RepublicOfTheCongo2013</t>
  </si>
  <si>
    <t>https://eiti.org/files/Fair%20Links%20-%20Congo%20-%20ITIE%202013%20-%20Rapport%20ITIE%202013.pdf</t>
  </si>
  <si>
    <t>Sierra Leone2006</t>
  </si>
  <si>
    <t>Sierra Leone</t>
  </si>
  <si>
    <t>February 2010</t>
  </si>
  <si>
    <t>http://eiti.org/files/Sierra%20Leone%202006-2007%20EITI%20Report.pdf</t>
  </si>
  <si>
    <t>Sierra Leone2007</t>
  </si>
  <si>
    <t>Sierra Leone2008</t>
  </si>
  <si>
    <t>http://eiti.org/files/Sierra-Leone-2008-2010-EITI-Report_1.pdf</t>
  </si>
  <si>
    <t>Sierra Leone2009</t>
  </si>
  <si>
    <t>Sierra Leone2010</t>
  </si>
  <si>
    <t>Sierra Leone2011</t>
  </si>
  <si>
    <t>http://eiti.org/files/SLEITI%20Reconciliation%20Report%202011%20-%20Final.pdf</t>
  </si>
  <si>
    <t>Tanzania2009</t>
  </si>
  <si>
    <t>Tanzania</t>
  </si>
  <si>
    <t>http://eiti.org/files/Tanzania%20Jul%202008-%20Jun%202009%20EITI%20Report.pdf</t>
  </si>
  <si>
    <t>Tanzania2010</t>
  </si>
  <si>
    <t>http://eiti.org/files/Tanzania-2010-EITI-Report.pdf</t>
  </si>
  <si>
    <t>Tanzania2011</t>
  </si>
  <si>
    <t>http://eiti.org/files/Tanzania-2011-EITI-Report.pdf</t>
  </si>
  <si>
    <t>Tanzania2012</t>
  </si>
  <si>
    <t>http://eiti.org/files/Tanzania_2012_EITI_Report.pdf</t>
  </si>
  <si>
    <t>TimorLeste2008</t>
  </si>
  <si>
    <t>Timor Leste</t>
  </si>
  <si>
    <t>http://eiti.org/files/Timor-Leste%20EITI%202008%20report_0.pdf</t>
  </si>
  <si>
    <t>TimorLeste2009</t>
  </si>
  <si>
    <t>February 2011</t>
  </si>
  <si>
    <t>http://eiti.org/files/Timor-Leste%202009%20EITI%20Report.pdf</t>
  </si>
  <si>
    <t>TimorLeste2010</t>
  </si>
  <si>
    <t>TimorLeste2011</t>
  </si>
  <si>
    <t>http://eiti.org/files/Timor-Leste-2011-EITI-Report.pdf</t>
  </si>
  <si>
    <t>Togo2010</t>
  </si>
  <si>
    <t>Togo</t>
  </si>
  <si>
    <t>February 2012</t>
  </si>
  <si>
    <t>Oil, Mining, Other</t>
  </si>
  <si>
    <t>http://eiti.org/files/Togo-2010-EITI-Report.pdf</t>
  </si>
  <si>
    <t>Togo2011</t>
  </si>
  <si>
    <t>http://eiti.org/files/Togo-2011-EITI-Report-FR.pdf</t>
  </si>
  <si>
    <t>Togo2012</t>
  </si>
  <si>
    <t>https://eiti.org/files/2012%20Togo%20EITI%20Report%20Moore%20Stephens.pdf</t>
  </si>
  <si>
    <t>Trinidad&amp;Tobago2011</t>
  </si>
  <si>
    <t>Trinidad &amp; Tobago</t>
  </si>
  <si>
    <t>http://eiti.org/files/FINAL-TTEITI-reconciliation-report-2011.pdf</t>
  </si>
  <si>
    <t>Yemen2005</t>
  </si>
  <si>
    <t>Yemen</t>
  </si>
  <si>
    <t>September 2010</t>
  </si>
  <si>
    <t>http://eiti.org/files/Yemen%202005-2006-2007%20EITI%20Report.pdf</t>
  </si>
  <si>
    <t>Yemen2006</t>
  </si>
  <si>
    <t>Yemen2007</t>
  </si>
  <si>
    <t>Yemen2008</t>
  </si>
  <si>
    <t>http://eiti.org/files/Yemen-2008-2009-2010-EITI-Report_1.pdf; http://www.yemeneiti.org/english/wp-content/uploads/2013/09/APPENDICES_Final-Edition.pdf</t>
  </si>
  <si>
    <t>Yemen2009</t>
  </si>
  <si>
    <t>Yemen2010</t>
  </si>
  <si>
    <t>Yemen2011</t>
  </si>
  <si>
    <t>http://eiti.org/files/YEM3_11_apr_2014.pdf</t>
  </si>
  <si>
    <t>Zambia2008</t>
  </si>
  <si>
    <t>Zambia</t>
  </si>
  <si>
    <t>http://eiti.org/files/Zambia%202008%20EITI%20Report.pdf</t>
  </si>
  <si>
    <t>Zambia2009</t>
  </si>
  <si>
    <t>http://eiti.org/files/Zambia-2009-EITI-Report.pdf</t>
  </si>
  <si>
    <t>Zambia2010</t>
  </si>
  <si>
    <t>http://eiti.org/files/Zambia-2010-EITI-Report.pdf; http://eiti.org/files/zambia/Zambia-EITI-2010-Report-Annexes.pdf</t>
  </si>
  <si>
    <t>Zambia2011</t>
  </si>
  <si>
    <t>http://eiti.org/files/Zambia-2011-EITI-Report.pdf</t>
  </si>
  <si>
    <t>Zambia2012</t>
  </si>
  <si>
    <t>November 2014</t>
  </si>
  <si>
    <t>https://eiti.org/files/zeiti_2012_reconciliation_final_report_18_12_14.pdf</t>
  </si>
  <si>
    <t>Zambia2013</t>
  </si>
  <si>
    <t>https://eiti.org/files/zeiti_2013_reconciliation_final_report_18_12_14%20%281%29%20%282%29.pdf</t>
  </si>
  <si>
    <t>On EITI website for each country:</t>
  </si>
  <si>
    <t>http://eiti.org/countries/reports</t>
  </si>
  <si>
    <t>For example:</t>
  </si>
  <si>
    <t>http://eiti.org/Nigeria</t>
  </si>
  <si>
    <t>Years Covered</t>
  </si>
  <si>
    <t>Country Name</t>
  </si>
  <si>
    <t>Country Webpage</t>
  </si>
  <si>
    <t>Gas</t>
  </si>
  <si>
    <t>Commodity</t>
  </si>
  <si>
    <t>Total line?</t>
  </si>
  <si>
    <t>Total and sector?</t>
  </si>
  <si>
    <t>Total Production Volume (external source)</t>
  </si>
  <si>
    <t>Gas conversion in barrels and percentage representation to oil production</t>
  </si>
  <si>
    <t>Total Reconciled Production Volume (from EITI Report)</t>
  </si>
  <si>
    <t>Total Production Volume (from EITI Report, government source)</t>
  </si>
  <si>
    <t>Total Production Volume (from EITI Report, companies source)</t>
  </si>
  <si>
    <t>Volume Metric</t>
  </si>
  <si>
    <t>Price</t>
  </si>
  <si>
    <t>Per Unit</t>
  </si>
  <si>
    <t>Source for Total Production Volume &amp; Price Information</t>
  </si>
  <si>
    <t>Total Production Value (US$)</t>
  </si>
  <si>
    <t>Revenue Streams Covered</t>
  </si>
  <si>
    <t>Includes In-kind Payments</t>
  </si>
  <si>
    <t>Added to Payments by Author</t>
  </si>
  <si>
    <t>Payments Received by Government from Covered Companies (US$)</t>
  </si>
  <si>
    <t>Payments Made by Covered Companies (US$)</t>
  </si>
  <si>
    <t>Proportion of Total Revenue/Production Covered (as indicated in EITI Report)</t>
  </si>
  <si>
    <t>Total Government Extractives Revenue (US$)</t>
  </si>
  <si>
    <t>Source for Total Government Extractives Revenues</t>
  </si>
  <si>
    <t>Government's share</t>
  </si>
  <si>
    <t>Currency</t>
  </si>
  <si>
    <t>Exchange Rate Utilized, US$1:LC</t>
  </si>
  <si>
    <t>Disaggregation</t>
  </si>
  <si>
    <t>In-kind Payment Volumes</t>
  </si>
  <si>
    <t>In-kind Payment Value (US$)</t>
  </si>
  <si>
    <t>Nature of Subsidy</t>
  </si>
  <si>
    <t>Amount of Subsidy (US$)</t>
  </si>
  <si>
    <t>Number of Companies Requested to Report</t>
  </si>
  <si>
    <t>Companies Requested to Report</t>
  </si>
  <si>
    <t>Number of Reporting Companies</t>
  </si>
  <si>
    <t>Updated Date</t>
  </si>
  <si>
    <t>Name of the Reconciler</t>
  </si>
  <si>
    <t>EITI Report</t>
  </si>
  <si>
    <t>Page of the Report</t>
  </si>
  <si>
    <t>Comments</t>
  </si>
  <si>
    <t>http://aeiti.af/</t>
  </si>
  <si>
    <t>Total Mining</t>
  </si>
  <si>
    <t>Profits/Taxes, Royalties, Bonuses, Licenses and concessions, Other significant benefits to government</t>
  </si>
  <si>
    <t>Does not include payments made in-kind</t>
  </si>
  <si>
    <t>-</t>
  </si>
  <si>
    <t>Afghanistan Afghani</t>
  </si>
  <si>
    <t>Disaggregated by revenue stream, Disaggregated by company, Disaggregated by company and revenue stream</t>
  </si>
  <si>
    <t>Afghan Investment Company (AIC), Brotheran Khoshak (Khoshak Brothers), MJAM MCC-JCL Aynak Minerals Company Ltd, North Coal Enterprise (NCE), Wens Logistics</t>
  </si>
  <si>
    <t>Moore Stephens</t>
  </si>
  <si>
    <t>The report covers the fiscal period 1387 (21 March 2008 – 20 March 2009).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discrepancies are not included in the final figures, but there is insufficent information to add these retrospectively. The North Coal Enterprise (NCE) is a SOC.</t>
  </si>
  <si>
    <t>Cement</t>
  </si>
  <si>
    <t>t</t>
  </si>
  <si>
    <t>US$/t</t>
  </si>
  <si>
    <t>Volume from USGS Mineral Yearbook 2012, adjusted to account for the fiscal year. Price from USGS Mineral Commodity Summary 2010, and is the average mill price for cement in the US, adjusted to account for the fiscal year.</t>
  </si>
  <si>
    <t>Afghan investment company (AIC)</t>
  </si>
  <si>
    <t>Chromite</t>
  </si>
  <si>
    <t>Volume from USGS Mineral Yearbook 2012, adjusted to account for the fiscal year. Price from USGS Mineral Commodity Summary 2012, and is the price in the US for the gross mass of chromite ore, adjusted to account for the fiscal year.</t>
  </si>
  <si>
    <t>Coal</t>
  </si>
  <si>
    <t>Volume from EIA, adjusted to account for the fiscal year. Price from BPSR 2014, and is an average of the American Central Appalachian, Asian and Northwest Europe marker/spot prices, adjusted to account for the fiscal year.</t>
  </si>
  <si>
    <t>Afghan Investment Company (AIC), Brotheran Khoshak (Khoshak Brothers), North Coal Enterprise (NCE)</t>
  </si>
  <si>
    <t>Copper</t>
  </si>
  <si>
    <t>Volume from USGS Mineral Yearbook 2012, adjusted to account for the fiscal year</t>
  </si>
  <si>
    <t>MJAM MCC-JCL Aynak Minerals Company Ltd</t>
  </si>
  <si>
    <t>Gypsum</t>
  </si>
  <si>
    <t>Volume from USGS Mineral Yearbook 2012, adjusted to account for the fiscal year. Price from USGS Mineral Commodity Summary 2013, and is the average f.o.b. price for crude and calcined products, adjusted to account for the fiscal year.</t>
  </si>
  <si>
    <t>Salt (rock)</t>
  </si>
  <si>
    <t>Volume from USGS Mineral Yearbook 2012, adjusted to account for the fiscal year. Price from USGS Mineral Commodity Summary 2013, and is the average f.o.b. mine and plant price for bulk, pellets and packaged rock salt, adjusted to account for the fiscal year.</t>
  </si>
  <si>
    <t>Wens Logistics</t>
  </si>
  <si>
    <t>Talc</t>
  </si>
  <si>
    <t>Volume from USGS Mineral Yearbook 2012, adjusted to account for the fiscal year. Price from USGS Mineral Commodity Summary 2013, and is the price for the processed product in the US, adjusted to account for the fiscal year.</t>
  </si>
  <si>
    <t>Afghan Investment Company (AIC), Brotheran Khoshak (Khoshak Brothers), Mesaq Sharq, MJAM MCC-JCL Aynak Minerals Company Ltd, North Coal Enterprise (NCE), Wens Logistics</t>
  </si>
  <si>
    <t>The report covers the fiscal period 1388 (21 March 2009 – 20 March 2010).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discerpancies are not included in the final figures, but there is insufficent information to add these retrospectively. The North Coal Enterprise (NCE) is a SOC.</t>
  </si>
  <si>
    <t>Volume from USGS Mineral Yearbook 2012, adjusted to account for the fiscal year. Price from USGS Mineral Commodity Summary 2014, and is the average mill price for cement in the US, adjusted to account for the fiscal year.</t>
  </si>
  <si>
    <t>Volume from USGS Mineral Yearbook 2012, adjusted to account for the fiscal year. Price from USGS Mineral Commodity Summary 2013, and is the price in the US for the gross mass of chromite ore, adjusted to account for the fiscal year.</t>
  </si>
  <si>
    <t>Profits/Taxes, Royalties, Licenses and concessions, Other significant benefits to government</t>
  </si>
  <si>
    <t>The report covers the fiscal period 1389 (21 March 2010 – 20 March 2011).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discerpancies are not included in the final figures, but there is insufficent information to add these retrospectively. The North Coal Enterprise (NCE) is a SOC.</t>
  </si>
  <si>
    <t>Afghan Investment Company (AIC), Brotheran Khoshak (Khoshak Brothers), Mesaq Sharq, North Coal Enterprise (NCE)</t>
  </si>
  <si>
    <t>Total Oil, Gas, Mining</t>
  </si>
  <si>
    <t>Profits/Taxes, Royalties, Bonuses</t>
  </si>
  <si>
    <t>Northern Coal Enterprise, Afghan Gas Enterprise, MCC-JCL Aynak Minerals Company, Afghan Investment Company, Technologist Company, Korea Road Construction Company, 
Hewadwal Road Construction Company, Khushak Brothers Company, Meesaq Sharq Company, West Land General Trading, Salim Karwan, Kod Barq, China National Petroleum Company CNPCI-W, Equity Capital Group</t>
  </si>
  <si>
    <t>The report covers the fiscal period 1390 (21 March 2011 – 20 March 2012).  Materiality threshold: companies which have made payments of at least 2 million Afghanis should be reconciled. Disaggregation by commodity is only indirect through disaggregation by company, and therefore limited. The North Coal Enterprise (NCE) and two gas companies, Afghan Gas Enterprise and Kod-e-Barq, are SOCs.</t>
  </si>
  <si>
    <t>Total Oil &amp; Gas</t>
  </si>
  <si>
    <t>Afghan Gas Enterprise, Kod Barq, China National Petroleum Company CNPCI-W</t>
  </si>
  <si>
    <t>m³</t>
  </si>
  <si>
    <t>US$/m³</t>
  </si>
  <si>
    <t>Volume from EIA, adjusted to account for the fiscal year. Price from BPSR 2014, and is an average of the UK, US and Canada Indices for natural gas, adjusted to account for the fiscal year.</t>
  </si>
  <si>
    <t xml:space="preserve">Afghan Gas Enterprise, Kod Barq </t>
  </si>
  <si>
    <t>bbl</t>
  </si>
  <si>
    <t>Volume from EIA, adjusted to account for the fiscal year</t>
  </si>
  <si>
    <t>China National Petroleum Company CNPCI-W</t>
  </si>
  <si>
    <t>Northern Coal Enterprise, Afghan Investment Company (AIC), Khushak Brothers Company, Meesaq Sharq Company, Technologist Company, Korea Road Construction Company, Hewadwal Road Construction Company, Salim Karwan, MCC-JCL Aynak Minerals Company, Equity Capital Group</t>
  </si>
  <si>
    <t>Afghan Investment Company (AIC)</t>
  </si>
  <si>
    <t xml:space="preserve">Northern Coal Enterprise, Afghan Investment Company (AIC), Khushak Brothers Company, Meesaq Sharq Company, </t>
  </si>
  <si>
    <t>Construction stone</t>
  </si>
  <si>
    <t>Technologist Company, Korea Road Construction Company, Hewadwal Road Construction Company, Salim Karwan</t>
  </si>
  <si>
    <t>These commodities are not mentioned in the USGS Mineral Yearbook 2012.</t>
  </si>
  <si>
    <t>MCC-JCL Aynak Minerals Company</t>
  </si>
  <si>
    <t>Marble</t>
  </si>
  <si>
    <t>Volume from USGS Mineral Yearbook 2012, adjusted to account for the fiscal year. Price from USGS Mineral Yearbook 2012, and is the price in the US for crushed marble, adjusted to account for the fiscal year.</t>
  </si>
  <si>
    <t>Equity Capital Group</t>
  </si>
  <si>
    <t xml:space="preserve">Albania </t>
  </si>
  <si>
    <t>http://www.albeiti.org/</t>
  </si>
  <si>
    <t>Total Oil, Mining</t>
  </si>
  <si>
    <t>Host government's production entitlement, Royalties</t>
  </si>
  <si>
    <t>Also covers payments made in-kind</t>
  </si>
  <si>
    <t>No</t>
  </si>
  <si>
    <t>Inferred from EITI Report</t>
  </si>
  <si>
    <t>United States Dollar and Albanian Lek</t>
  </si>
  <si>
    <t>Disaggregated by revenue stream</t>
  </si>
  <si>
    <t>Unknown quantity of bbl of oil - only the value is given in report</t>
  </si>
  <si>
    <t>Albpetrol, Bankers Petroleum, Capricorn Albania, IEC Visoka, Island International Exploration, Manas Adriatic, Sherwood Internationl, Sky Petroleum, Stream Oil and Gas, ACR/Albanian Chrome, Alb-Canaj, Alba-Co, Alfa Nikel, Ateani, Balkan Resources, Ber Alb, Bledi, Egi-K, Empire Mining Albania, Fabirka e Pasurimit te Kromit, Geri Trevi, Herbi, 11 Heronjte e Batres, Isaku, Jab Resources, K-12, Klosi, Koka, Krypi, L.B.M., Neli, Prodhime Karbonike, Ral, Rej, Shkalla, Mineral Tadri, Tirex Exploration, Xhireton, Ylberi, YZO, Zguri, Dollar Oil, Gentari, Geri's 2002, Klervibris, Shkembi</t>
  </si>
  <si>
    <t>Fair Links</t>
  </si>
  <si>
    <t>15-16</t>
  </si>
  <si>
    <t>The report uses US dollars for oil payments, and the local currency, the Albanian Lek, for mining payments. Materiality threshold: All active oil &amp; gas companies should be reconciled; Mining companies should be reconciled depending on their level of production. The report doesn't distinguish between oil and gas companies.  It is unclear whether unilateral declarations are included in the figures. Payments made to Albpetrol, a SOC, accounted for 44% of total revenues. The 2010 Report gives total mining sector revenues for 2009, but this figure is actually less than the revenues reconciled in the 2009 Report. It is therefore assumed that the reconciled revenues account for all mining revenues in 2009.</t>
  </si>
  <si>
    <t>US$/bbl</t>
  </si>
  <si>
    <t>Volume from EITI Report. Price from BPSR 2014, and is an average of the spot prices for Brent, Dubai, Nigerian Forcados and West Texas Intermediate crude oil, adjusted to account for the price given in the 2011 EITI Report being 65.35% of this in 2011.</t>
  </si>
  <si>
    <t>100% of revenue</t>
  </si>
  <si>
    <t>Albpetrol, Bankers Petroleum, Capricorn Albania, IEC Visoka, Island International Exploration, Manas Adriatic, Sherwood Internationl, Sky Petroleum, Stream Oil and Gas</t>
  </si>
  <si>
    <t>4, 15</t>
  </si>
  <si>
    <t>ACR/Albanian Chrome, Alb-Canaj, Alba-Co, Alfa Nikel, Ateani, Balkan Resources, Ber Alb, Bledi, Egi-K, Empire Mining Albania, Fabirka e Pasurimit te Kromit,Geri Trevi, Herbi, 11 Heronjte e Batres, Isaku, Jab Resources, K-12, Klosi, Koka, Krypi, L.B.M., Neli, Prodhime Karbonike, Ral, Rej, Shkalla, Mineral Tadri, Tirex Exploration, Xhireton, Ylberi, YZO, Zguri, Dollar Oil, Gentari, Geri's 2002, Klervibris, Shkembi</t>
  </si>
  <si>
    <t>Volume from USGS Mineral Yearbook 2012. Price from USGS Mineral Commodity Summary 2013, and is the price in the US for the gross mass of chromite ore.</t>
  </si>
  <si>
    <t>ACR/Albanian Chrome, Alb-Canaj, Alba-Co, Ateani, Bledi, Egi-K, Empire Mining Albania, Fabirka e Pasurimit te Kromit, Geri Trevi, Herbi, 11 Heronjte e Batres, Isaku, Jab Resources, Klosi, Koka, Krypi, L.B.M., Neli, Ral, Shkalla, Mineral Tadri, Xhireton, Ylberi, Zguri, Gentari, Geri's 2002, Klervibris, Shkembi</t>
  </si>
  <si>
    <t>Price from World Bank (Global Economic Monitor (GEM) Commodities database), and is defined as: Copper (LME), grade A, minimum 99.9935% purity, cathodes and wire bar shapes, settlement price.</t>
  </si>
  <si>
    <t>Ber Alb, Tirex Exploration, Balkan Resorces</t>
  </si>
  <si>
    <t>o/w Copper ore</t>
  </si>
  <si>
    <t>Volume from USGS Mineral Yearbook 2012</t>
  </si>
  <si>
    <t>o/w Copper content of ore</t>
  </si>
  <si>
    <t>Nickel</t>
  </si>
  <si>
    <t>Price from World Bank (Global Economic Monitor (GEM) Commodities database), and is defined as: Nickel (LME), cathodes, minimum 99.8% purity, settlement price beginning 2005; previously cash price.</t>
  </si>
  <si>
    <t>Alfa Nikel, Dollar Oil, K-12, Prodhime Karbonike, Rej, YZO, Balkan Resources</t>
  </si>
  <si>
    <t>o/w Iron-nickel and nickel-silicate ore</t>
  </si>
  <si>
    <t>o/w Nickel content of ores</t>
  </si>
  <si>
    <t>State-owned company production entitlement, Profits/Taxes, Royalties, Dividends, Bonuses, Other significant benefits to government</t>
  </si>
  <si>
    <t>Bankers Petroleum, Stream Oil &amp; Gas, IEC Visoka, Capricorn Albania (subsidiary of Cairn), Island International Exploration (subsidiary of San Leon Energy plc), Manas Adriatic (subsidiary of DWM then Petromanas Energy Inc.), Sherwood International Petroleum Ltd (subsidiary of Bankers Petroleum), Sky Petroleum, Albpetrol, Albanian Chrome shpk, BerAlba shpk, Empire Mining, Jab Resources, Balkan Resources, Cougar Mining, Tirex Exploration, Afrimi-k, Alb-Canaj, Algej shpk, Ateani shpk, Bytyci, Egi-K, Elidon - 06, Ernisi shpk, Fabrika e Pasurimit te Kromit, Florida shpk, Gentari, Gjoni shpk, Herbi, Info Metal Plast al shpk, Klervibris shpk, Klosi shpk, Koka shpk, Aren 2003, Alb Xhoi, Koxheri shpk, Krasta shpk, Kromex Import Export, Lahaze, Lamnica shpk, Leshnica, Marei shpk, Mineral - Invest shpk, Miniera e kromit katjel, Neli, Ral shpk, Runja, Shkalla shpk, Shkembi shpk, Tadri shpk, Tollja, Vellazeria shpk, Ylberi shpk, Selenice Bitumi sha, Alb Tiefbau, Antea cement, Babasi coo shpk, F. Kruja cement factory, Makaresh shpk, Salillari shpk, Shkodra intert, Stone Production, Vellezerit Llupo shpk, B &amp; b Stone, Dks Group shpk, Albitoil shpk, Prodhime Karbonike sha, Arsi shpk, Klervibris shpk</t>
  </si>
  <si>
    <t>14-15</t>
  </si>
  <si>
    <t xml:space="preserve">The report uses US dollars for oil payments, and the local currency, the Albanian Lek, for mining payments.  Materiality threshold: All active oil &amp; gas companies should be reconciled;  All large-scale mining companies, and all other mining companies with a turnover greater than 50 million Leks, should be reconciled. The report doesn't distinguish between oil and gas companies. It is unclear whether unilateral declarations are included in the figures. Payments made to Albpetrol, a SOC, accounted for 39% of total revenues. </t>
  </si>
  <si>
    <t>Bankers Petroleum, Stream Oil &amp; Gas, IEC Visoka, Capricorn Albania (subsidiary of Cairn), Island International Exploration (subsidiary of San Leon Energy plc), Manas Adriatic (subsidiary of DWM then Petromanas Energy Inc.), Sherwood International Petroleum Ltd (subsidiary of Bankers Petroleum), Sky Petroleum, Albpetrol</t>
  </si>
  <si>
    <t>7, 14</t>
  </si>
  <si>
    <t>≈97% of revenue</t>
  </si>
  <si>
    <t>Albanian Chrome shpk, BerAlba shpk, Empire Mining, Jab Resources, Balkan Resources, Cougar Mining, Tirex Exploration, Afrimi-k, Alb-Canaj, Algej shpk, Ateani shpk, Bytyci, Egi-K, Elidon - 06, Ernisi shpk, Fabrika e Pasurimit te Kromit, Florida shpk, Gentari, Gjoni shpk, Herbi, Info Metal Plast al shpk, Klervibris shpk, Klosi shpk, Koka shpk, Aren 2003, Alb Xhoi, Koxheri shpk, Krasta shpk, Kromex Import Export, Lahaze, Lamnica shpk, Leshnica, Marei shpk, Mineral - Invest shpk, Miniera e kromit katjel, Neli, Ral shpk, Runja, Shkalla shpk, Shkembi shpk, Tadri shpk, Tollja, Vellazeria shpk, Ylberi shpk, Selenice Bitumi sha, Alb Tiefbau, Antea cement, Babasi coo shpk, F. Kruja cement factory, Makaresh shpk, Salillari shpk, Shkodra intert, Stone Production, Vellezerit Llupo shpk, B &amp; b Stone, Dks Group shpk, Albitoil shpk, Prodhime Karbonike sha, Arsi shpk, Klervibris shpk</t>
  </si>
  <si>
    <t>Albanian Chrome shpk, Empire Mining, Jab Resources, Afrimi-k, Alb-Canaj, Algej shpk, Ateani shpk, Bytyci, Egi-K, Elidon - 06, Ernisi shpk, Fabrika e Pasurimit te Kromit, Florida shpk, Gentari, Gjoni shpk, Herbi, Info Metal Plast al shpk, Klervibris shpk, Klosi shpk, Koka shpk, Koxheri shpk, Krasta shpk, Kromex Import Export, Lahaze, Lamnica shpk, Leshnica, Marei shpk, Mineral - Invest shpk, Miniera e kromit katjel, Neli, Ral shpk, Runja, Shkalla shpk, Shkembi shpk, Tadri shpk, Tollja, Vellazeria shpk, Ylberi shpk</t>
  </si>
  <si>
    <t>Production volumes of chromite, copper, limestone and nickel given p. 8</t>
  </si>
  <si>
    <t>BerAlba shpk, Balkan Resources, Cougar Mining, Tirex Exploration</t>
  </si>
  <si>
    <t>o/w Copper content</t>
  </si>
  <si>
    <t>Limestone</t>
  </si>
  <si>
    <t>Volume from USGS Mineral Yearbook 2012. Price from USGS Mineral Yearbook 2010, and is the price in the US for crushed limestone.</t>
  </si>
  <si>
    <t>Alb Tiefbau, Antea cement, Babasi coo shpk, Makaresh shpk, Salillari shpk, Shkodra intert, Stone Production, Vellezerit Llupo shpk</t>
  </si>
  <si>
    <t>The EITI report a production volume of 2.3 million m3 for the limestone.</t>
  </si>
  <si>
    <t>Balkan Resources, Aren 2003, Alb xhoi</t>
  </si>
  <si>
    <t>o/w Nickel content</t>
  </si>
  <si>
    <t>Total</t>
  </si>
  <si>
    <t>Profits/Taxes, Royalties, Dividends, Bonuses</t>
  </si>
  <si>
    <t>Bankers Petroleum Albania Ltd, Dega Ne Shqiperi E Stream Oil &amp; Gas Ltd, Petromanas Albania GmbH, San Leon Durressi B.V., Sky Petroleum - Albanian Branch, Albpetrol, Beralb Sh.A., Albchrome Sh.p.k., Salillari Sh.p.k., Egi-K Sh.p.k., Miniera E Kromit Katjel Sh.p.k., Shkalla Sh.p.k., Fabrika E Pasurmit Te Kromit Bulqize Sh.p.k., Ernisi Sh.p.k., Fushe Kruja Cement Factory Sh.p.k., Gentari Sh.p.k., Kromex Sh.p.k., Koka Sh.p.k., Herbi Sh.p.k., Heidorn &amp; Binjaku Sh.p.k., Antea Cement Sh.A., Stone Production Sh.p.k., Alb-Canaj Sh.p.k., 11 Heronjte Bater Sh.p.k., Drini Bulqize Sh.p.k., Gjoni Sh.p.k., Shpresa - Al Sh.p.k., Isaku Sh.p.k., Favina Sh.p.k., Klosi Sh.p.k., Bytyci Sh.p.k., Rej Sh.A., Vellazeria Sh.p.k., Gerold Sh.p.k., Ral Sh.p.k., Rier Sh.p.k., Prodhme Karbonike Sh.a., United Quarries Sh.p.k., Alb-Xhoi Sh.p.k., Kuarci Blace Sh.p.k., Runja Sh.p.k., Babasi Coo Sh.p.k., Feni Korca Sh.A., Neli Sh.p.k., Ervin Sh.p.k., Aris Albania Sh.p.k., Leshnica Sh.p.k., Krasta Sh.p.k., Lubima Sh.p.k., Ra Krom - Tirana Sh.k.p., Koxheri Sh.p.k., Lamnia Sh.p.k., Latomia Tirana Sh.A., Elidon - 06 Sh.p.k., Jab Resoucres Sh.p.k., Bakan Resources Sh.p.k., Tirex Explorations Sh.p.., Knauf - Tirana Sh.p.k., Other entities</t>
  </si>
  <si>
    <t>Deloitte</t>
  </si>
  <si>
    <t>3, 4</t>
  </si>
  <si>
    <t xml:space="preserve">The report uses US dollars for oil payments, and the local currency, the Albanian Lek, for mining payments.  Materiality threshold: All active oil &amp; gas companies should be reconciled; All mining companies with a revenue of at least US$750,000, and all other mining companies that produce a mineral-specific volume, should be reconciled. The report notes that 67 companies were asked to report, but only 58 are named. The report doesn't distinguish between oil and gas companies, or between mining companies producing different commodities. Unilateral declarations are included in the figures. Oil and gas revenues reported account for 100% of the cashflows contributed by the sector for the selcted revenue streams. Mining revenues reported account for 50% of the cashflows contributed by the sector for the selected revenue streams, but the mining companies covered account for 71.4% of the production value of the sector in 2011, which is given in the report as US$217,469,880. Given the production value of the mining sector is given in the report, production information for individual mining commodities has not been collected. Payments made to Albpetrol, a SOC, accounted for 39% of total revenues. </t>
  </si>
  <si>
    <t>Volume and price from EITI Report. Price is based on the reported volume and value of production (and is 65.35% of the average of the spot prices for Brent, Dubai, Nigerian Forcados and West Texas Intermediate crude oil).</t>
  </si>
  <si>
    <t>Bankers Petroleum Albania Ltd, Dega Ne Shqiperi E Stream Oil &amp; Gas Ltd, Petromanas Albania GmbH, San Leon Durressi B.V., Sky Petroleum - Albanian Branch, Albpetrol</t>
  </si>
  <si>
    <t>3, 4, 11</t>
  </si>
  <si>
    <t>Bitumen</t>
  </si>
  <si>
    <t xml:space="preserve">Chromium production value given in EITI report (p. 10). The report also includes the % contribution of each mineral to total production value. </t>
  </si>
  <si>
    <t>Profits/Taxes, Royalties, Dividends</t>
  </si>
  <si>
    <t>Albanian Lek</t>
  </si>
  <si>
    <t>Disaggregated by revenue stream, Disaggregated by company</t>
  </si>
  <si>
    <t xml:space="preserve">Bankers Petroleum Albania Ltd., Dega në Shqipëri e Stream Oil &amp; Gas Ltd., Sherwood International Petroleum Ltd., Transoil Group - Dega në Shqipëri, Petromanas Albania GmbH, Capricorn Albania Limited, San Leon Durrësi B.V., Emanuelle Adriatic Energy Ltd., Fushe Kruja Cement Factory Sh.p.k., Antea Cement Sh.a., Babasi COO Sh.p.k., Beralb Sh.a., United Quarries, Sh.p.k., Gerold Sh.p.k., Miniera e Kromit Katjel Sh.p.k., Bytyçi Sh.p.k., Ernisi Sh.p.k., Vëllazëria Sh.p.k., Cahani Sh.p.k., Leshnica Sh.p.k., Nika BL Sh.p.k., Lamnica Sh.p.k., Albchrome Sh.p.k., Koka Sh.p.k., Egi - K Sh.p.k., Zasha Sh.p.k., Runja Sh.p.k., Gjoni Sh.p.k., Gentari Sh.p.k., Fabrika e Pasurimit të Kromit Bulqizë Sh.p.k., Isaku Sh.p.k., Rier Sh.p.k., Alb - Canaj Sh.p.k., Herbi Sh.p.k., Klosi Sh.p.k., Krasta Sh.p.k., Koxheri Sh.p.k., Kuarci Blace Sh.p.k., Neli Sh.p.k., Lubima Sh.p.k., Favina Sh.p.k., Ral Sh.p.k. 
Shkalla Sh.p.k., Bledi Sh.p.k., Aliaj Group Sh.p.k. Romes Sh.p.k., Tili Inert Sh.p.k., Grenast Sh.p.k., Minex Sh.p.k., Brisel Sh.p.k., Albanisa - Krypi Sh.p.k., Ylberi, Sh.p.k., Ylberi Sh.p.k., Mineral Invest Sh.p.k., Kurti Sh.p.k. 
Arkev Sh.p.k., Lita Brothers Construction Sh.p.k., Geri's 2002 Sh.p.k., Info Metal Plast - Al Sh.p.k., Ateani Sh.p.k., Yzo Sh.p.k., Platinium ALB Sh.p.k. 
Vëllezërit Llupo Sh.p.k., Heidorn &amp; Binjaku Sh.p.k., Kromex Sh.p.k., Aris Albania Sh.p.k., Drini Bulqizë Sh.p.k., Prodhime Karbonike Sh.a., Salillari Sh.p.k., Stone Production Sh.p.k., 11 Heronjtë Bater Sh.p.k., Rej Sh.a., KNAUF - Tirana Sh.p.k., Pula - X Sh.p.k. </t>
  </si>
  <si>
    <t>Total production value (and certain commodity production values) missing but calculated here adding the oil and mining values. Payment values differ from EITI website (Website may have double counted)</t>
  </si>
  <si>
    <t>Volume from EITI Report</t>
  </si>
  <si>
    <t>Chromium</t>
  </si>
  <si>
    <t>Iron-Nickel &amp; Nickel-Silicate</t>
  </si>
  <si>
    <t>Clay</t>
  </si>
  <si>
    <t>http://www.eiti.az</t>
  </si>
  <si>
    <t>Host government's production entitlement, State-owned company production entitlement, Royalties, Other significant benefits to government</t>
  </si>
  <si>
    <t>Also covers payments made in-kind (though these are only reported for Government)</t>
  </si>
  <si>
    <t>Yes</t>
  </si>
  <si>
    <t xml:space="preserve">United States Dollar and Azerbaijani Manat (converted from the </t>
  </si>
  <si>
    <t>6,600,000 bbl of oil; 1,052,200 thousand cubic metres of gas</t>
  </si>
  <si>
    <t>BP Exploration (Caspian Sea) Limited, State Oil Company of the Republic of Azerbaijan, Total E&amp;P Azerbaijan B.V., ITOCHU Oil Exploration (Azerbaijan) Inc., Statoil, Turkish Petroleum A.O., Commonwealth Oil and Gas, Exxon Azerbaijan Limited, ConocoPhillips, Amerada Hess (ACG) Limited, Devon Energy Caspian Corporation, Lukoil Overseas, Unocal Khazar, Shengli Oil, Salyan Oil Limited, Karasu Operating Company, Shell Azerbaijan Exploration and Production, Middle East Petroleum, Anshad Petrol JV, Shirvan Oil JV, Azgerneft JV</t>
  </si>
  <si>
    <t>2-3</t>
  </si>
  <si>
    <t>The report uses US dollars for payments by foreign companies, and the local currency, the Old Azerbaijani Manat (AZM), for payments by local companies. An exchange rate is not provided to convert the latter. The local currency has since changed to the New Old Azerbijani Manat (AZN) at the rate 5000AZM=1AZN. This is used to convert the local currency payments to AZN and then the exchange rate for US$:AZN of the World Bank is used (http://data.worldbank.org/indicator/PA.NUS.FCRF).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are not included in the final figures, but these have been added retrospectively. Unilateral declarations are included in the figures. Five companies were not asked to report, but are reported on by government.</t>
  </si>
  <si>
    <t>Volume and price from BPSR 2014. Price is an average of the UK, US and Canada Indices for natural gas.</t>
  </si>
  <si>
    <t>1,052,200,000 cubic metres of gas</t>
  </si>
  <si>
    <t>Volume and price from BPSR 2014. Price is an average of the spot prices for Brent, Dubai, Nigerian Forcados and West Texas Intermediate crude oil.</t>
  </si>
  <si>
    <t>6,600,000 bbl</t>
  </si>
  <si>
    <t>Host government's production entitlement, State-owned company production entitlement, Profits/Taxes, Royalties, Dividends, Other significant benefits to government</t>
  </si>
  <si>
    <t>United States Dollar and Azerbaijani Manat</t>
  </si>
  <si>
    <t>6,700,000 bbl of oil; 1,050,000 thousand cubic metres of gas</t>
  </si>
  <si>
    <t>2-4</t>
  </si>
  <si>
    <t>The report uses US dollars for payments by foreign companies, and the local currency, the Old Azerbaijani Manat (AZM), for payments by local companies. An exchange rate is not provided to convert the latter. The local currency has since changed to the New Old Azerbijani Manat (AZN) at the rate 5000AZM=1AZN. This is used to convert the local currency payments to AZN and then the exchange rate for US$:AZN of the World Bank is used (http://data.worldbank.org/indicator/PA.NUS.FCRF).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Five companies were not asked to report, but are reported on by government.</t>
  </si>
  <si>
    <t>1,050,000,000 thousand cubic metres of gas</t>
  </si>
  <si>
    <t>6,700,000 bbl of oil</t>
  </si>
  <si>
    <t>Host government's production entitlement, State-owned company production entitlement, Profits/Taxes, Bonuses, Other significant benefits to government</t>
  </si>
  <si>
    <t>14,300,000 bbl of oil; 1,919,709,000 cubic metres of gas</t>
  </si>
  <si>
    <t>BP Exploration (Caspian Sea) Limited, State Oil Company of the Republic of Azerbaijan, Total E&amp;P Azerbaijan B.V., ITOCHU Oil Exploration (Azerbaijan) Inc., Statoil, Turkish Petroleum A.O., Commonwealth Oil and Gas, Exxon Azerbaijan Limited, ConocoPhillips,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t>
  </si>
  <si>
    <t>The report uses US dollars for payments by foreign companies, and the local currency, the Old Azerbaijani Manat (AZM), for payments by local companies. An exchange rate is not provided to convert the latter as the local currency has since changed to the New Old Azerbijani Manat (AZN) at the rate 5000AZM=1AZN. This is used to convert the local currency payments to AZN and then the exchange rate provided in the report for US$:AZN is used.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Three companies were not asked to report, but are reported on by government.</t>
  </si>
  <si>
    <t>1,919,709,000 cubic metres of gas</t>
  </si>
  <si>
    <t>14,300,000 bbl of oil</t>
  </si>
  <si>
    <t>Host government's production entitlement, State-owned company production entitlement, Profits/Taxes, Royalties, Bonuses, Other significant benefits to government</t>
  </si>
  <si>
    <t>19,000,000 bbl of oil; 2,395,468,900 thousand cubic metres of gas</t>
  </si>
  <si>
    <t>BP Exploration (Caspian Sea) Limited, State Oil Company of the Republic of Azerbaijan, Total E&amp;ampP Azerbaijan B..,V ITOCHU Oil Exploration (Azerbaijan) Inc., Statoil, Turkish Petroleum A.O., Commonwealth Oil and Gas, Exxon Azerbaijan Limited, ConocoPhillips,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 Binegedi Oil Operating Company, Royal Association of Finance Investors, Naftiran Intergrade Co Ltd, The Baku-Tbilisi-Ceyhan Pipeline Company, Azerbaijan International Operating Company</t>
  </si>
  <si>
    <t>5-10</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</si>
  <si>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Two companies were not asked to report, but are reported on by government.</t>
  </si>
  <si>
    <t>2,395,468,900 cubic metres of gas</t>
  </si>
  <si>
    <t>19,000,000 bbl of oil</t>
  </si>
  <si>
    <t>30,300,000 bbl of oil; 2,423,507,200 cubic metres of gas</t>
  </si>
  <si>
    <t>BP Exploration (Caspian Sea) Limited, State Oil Company of the Republic of Azerbaijan, Total E&amp;P Azerbaijan B.V., ITOCHU Oil Exploration (Azerbaijan) Inc., Statoil, Turkish Petroleum A.O., Commonwealth Oil and Gas, Exxon Azerbaijan Limited,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 Binagadi Oil Operating Company Rafi Oil F.Z.E., Naftiran Intertrade Co. (NICO) Limited, Absheron Investments Ltd</t>
  </si>
  <si>
    <t>4-9</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</si>
  <si>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and mistaken omissions by companies) are not included in the final figures, but these have been added retrospectively. Unilateral declarations are not included in the figures.</t>
  </si>
  <si>
    <t>2,423,507,200 cubic metres of gas</t>
  </si>
  <si>
    <t>30,300,000 bbl of oil</t>
  </si>
  <si>
    <t>150,200,000 bbl of oil; 2,139,058,000 cubic metres of gas</t>
  </si>
  <si>
    <t>BP Exploration (Caspian Sea) Limited, State Oil Company of the Republic of Azerbaijan, Total E&amp;P Azerbaijan B.V., ITOCHU Oil Exploration (Azerbaijan) Inc., Statoil, Turkish Petroleum A.O., Commonwealth Oil and Gas, Exxon Azerbaijan Limited, ConocoPhilips, Amerada Hess (ACG) Limited, Devon Energy Caspian Corporation, Lukoil Overseas, Chevron, Petro-Hongkong-Piesaat Oil Ltd, Salyan Oil, Karasu Operating Company, Shell Azerbaijan Exploration and Production, Middle East Petroleum, Anshad Petrol JV, Shirvan Oil JV, Azgerneft JV, Inpex, Binagadi Oil Operating Company, Rafi Oil F.Z.E., Naftiran Intertrade Co. (NICO) Limited, Absheron Investments Ltd</t>
  </si>
  <si>
    <t>2-7</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</si>
  <si>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and mistaken omissions by companies) are not included in the final figures, but these have been added retrospectively. Unilateral declarations are included in the figures.</t>
  </si>
  <si>
    <t>2,139,058,000 cubic metres of gas</t>
  </si>
  <si>
    <t>150,200,000 bbl of oil</t>
  </si>
  <si>
    <t>Europe and Cenmtral Asia</t>
  </si>
  <si>
    <t>Host government's production entitlement, State-owned company production entitlement, Profits/Taxes, Royalties, Dividends, Bonuses, Other significant benefits to government</t>
  </si>
  <si>
    <t>192,600,000 bbl of oil; 3,938,027,100 cubic metres of gas; 1,400 ounces of gold; 500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</si>
  <si>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Shell Azerbaijan Exploration and Production, GDF Suez Exploration Caspian B.V., Middle East Petroleum, Arshad Petrol J.V., Shirvan Oil J.V., Azgemeft J.V., Binagadi Oil Operating Company, Rafi Oil F.Z.E., Naftiran Intertrade Co. (NICO) Limited, Absheron Investments Ltd, Shirvan Operating Company Limited, Netchala Operating Company Limited, Azerbaijan International Mining Company Azerbaijan (AIMC), Azerbaijan International Operating Company</t>
  </si>
  <si>
    <t>5-13</t>
  </si>
  <si>
    <t>The report uses US dollars for payments by foreign companies, and the local currency, the Azerbaijani Manat, for payments by local companies. An exchange rate is not provided to convert the latter. Materiality threshold: Not given. The report doesn't distinguish between oil, gas and mining companies. The report gives the volumes but not values for the payments in kind. The values are calculated using the relevant commodity prices from the BPSR 2014 and World Bank (detailed below). Resolved discerpancies (mainly caused by accrual v cash reporting and mistaken omissions by companies) are not included in the final figures, but these have been added retrospectively. Unilateral declarations are included in the figures.</t>
  </si>
  <si>
    <t>192,600,000 bbl of oil; 3,938,027,100 cubic metres of gas</t>
  </si>
  <si>
    <t>3,938,027,100 cubic metres of gas</t>
  </si>
  <si>
    <t>192,600,000 bbl of oil</t>
  </si>
  <si>
    <t>1,400 ounces of gold; 500 ounces of silver</t>
  </si>
  <si>
    <t>Gold</t>
  </si>
  <si>
    <t>toz</t>
  </si>
  <si>
    <t>US$/toz</t>
  </si>
  <si>
    <t>Volume from USGS Mineral Yearbook 2012. Price from World Bank (Global Economic Monitor (GEM) Commodities database), and is defined as: Gold (UK), 99.5% fine, London afternoon fixing, average of daily rates.</t>
  </si>
  <si>
    <t>1,400 ounces (1,276 toz)</t>
  </si>
  <si>
    <t>Silver</t>
  </si>
  <si>
    <t>215,400,000 bbl of oil; 3,484,870,400 cubic metres of gas; 8,400 ounces of gold; 5,400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</si>
  <si>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Petro-HongKong-Pirsaat Oil Limited, Salyan Oil Limited, Karasu Operating Company, Shell Azerbaijan Exploration and Production, GDF Suez Exploration Caspian B.V., Middle East Petroleum, Arshad Petrol J.V., Shirvan Oil J.V., Azgemeft J.V., Inpex, Binagadi Oil Operating Company, Rafi Oil F.Z.E., Naftiran Intertrade Co. (NICO) Limited, Apsheron Investments Ltd, Shirvan Operating Company Limited, Netchala Operating Company Limited, Azerbaijan International Mining Company Azerbaijan (AIMC), Bahar Energy</t>
  </si>
  <si>
    <t>5-12</t>
  </si>
  <si>
    <t>215,400,000 bbl of oil; 3,484,870,400 cubic metres of gas</t>
  </si>
  <si>
    <t>3,484,870,400 cubic metres of gas</t>
  </si>
  <si>
    <t>215,400,000 bbl of oil</t>
  </si>
  <si>
    <t>8,400 ounces of gold; 5,400 ounces of silver</t>
  </si>
  <si>
    <t>8,400 ounces (7,656 toz)</t>
  </si>
  <si>
    <t>Volume from USGS Mineral Yearbook 2012. Price from World Bank (Global Economic Monitor (GEM) Commodities database), and is defined as: Silver (Handy &amp; Harman), 99.9% grade refined, New York.</t>
  </si>
  <si>
    <t>5,400 ounces (4,921 toz)</t>
  </si>
  <si>
    <t>Host government's production entitlement, State-owned company production entitlement, Profits/Taxes, Royalties, Bonuses, Licenses and concessions, Other significant benefits to government</t>
  </si>
  <si>
    <t>99.99% of revenue</t>
  </si>
  <si>
    <t>181,100,000 bbl of oil; 3,413,226,300 cubic metres of gas; 7,000 ounces of gold; 5,000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</si>
  <si>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Petro-HongKong-Pirsaat Oil Limited, Salyan Oil Limited, Karasu Operating Company, Shell Azerbaijan Exploration and Production, GDF Suez Exploration Caspian B.V., Middle East Petroleum, Arshad Petrol J.V., Shirvan Oil J.V., Azgemeft J.V., Inpex, Binagadi Oil Operating Company, Rafi Oil F.Z.E., Naftiran Intertrade Co. (NICO) Limited, Apsheron Investments Ltd, Shirvan Operating Company Limited, Neftchala Operating Company Limited, Azerbaijan International Mining Company Azerbaijan (AIMC), Bahar Energy</t>
  </si>
  <si>
    <t>40-41</t>
  </si>
  <si>
    <t xml:space="preserve">The report uses US dollars for payments by foreign companies, and the local currency, the Azerbaijani Manat, for payments by local companies. Materiality threshold: All companies that made a payment for one or more of the covered revenue streams should be reconciled. The covered revenue streams make up 99.99% of total government revenues from the extractive industries. The report doesn't distinguish between oil, gas and mining companies. Values for payments in kind are not given in the report, but the International Secretariat calculate these for oil and gas separately (though the sum of these appear incorrect) (http://eiti.org/news-events/azerbaijan-kind-payments-larger-cash). These were based on the following assumptions: associated and natural gas is equivalent to 22,185,917 bbl of oil (1,000,000 cubic meters equals 6,500 bbl of oil equivalent); a referential oil price of $111.20; and gas prices are 25% of the oil price. </t>
  </si>
  <si>
    <t>181,100,000 bbl of oil; 3,413,226,300 cubic metres of gas</t>
  </si>
  <si>
    <t>Volume from BPSR 2014. Price from EITI International Secretariat (http://eiti.org/news-events/azerbaijan-kind-payments-larger-cash).</t>
  </si>
  <si>
    <t>3,413,226,300 cubic metres of gas</t>
  </si>
  <si>
    <t>181,100,000 bbl</t>
  </si>
  <si>
    <t>74,000 ounces gold; 5,000 ounces silver</t>
  </si>
  <si>
    <t>74,000 ounces (67,448 toz)</t>
  </si>
  <si>
    <t>5,000 ounces (4,557 toz)</t>
  </si>
  <si>
    <t>≈100% of revenue</t>
  </si>
  <si>
    <t>160,800,000 bbl of oil; 3,519,627,000 cubic metres of gas; 6,100 ounces of golds; 6,400 ounces of silver</t>
  </si>
  <si>
    <t>BP Exploration (Caspian Sea) Limited, State Oil Company of the Republic of Azerbaijan, Total E&amp;P Azerbaijan B.V., ITOCHU Oil Exploration (Azerbaijan) Inc., Statoil, Turkish Petroleum A.O., Commonwealth Gobustan, Exxon Azerbaijan Limited, Hess (ACG) Limited, Lukoil Overseas, Chevron Khazar, Petro-HongKong-Pirsaat Oil Limited, Salyan Oil Limited, Karasu Operating Company, GDF Suez Exploration Caspian B.V., Azgemeft J.V., Inpex, Binagadi Oil Operating Company, Rafi Oil F.Z.E., Naftiran Intertrade Co. (NICO) Limited, Apsheron Investments Ltd, Shirvan Operating Company Limited, Neftchala Operating Company Limited, Azerbaijan International Mining Company Azerbaijan (AIMC), Bahar Energy, Uge-Lancer PTE. Ltd</t>
  </si>
  <si>
    <t>21</t>
  </si>
  <si>
    <t xml:space="preserve">The report uses US dollars for payments by foreign companies, and the local currency, the Azerbaijani Manat, for payments by local companies. Materiality threshold: All companies that made a payment for one or more of the covered revenue streams should be reconciled. The covered revenue streams make up 99.99% of total government revenues from the extractive industries. The report doesn't distinguish between oil, gas and mining companies. Values for payments in kind are not given in the report, but the International Secretariat calculate these for oil and gas separately. These were based on the following assumptions: associated and natural gas is equivalent to 22,877,576 bbl of oil (1,000,000 cubic meters equals 6,500 bbl of oil equivalent); a referential oil price of $112.21; and gas prices are 25% of the oil price. </t>
  </si>
  <si>
    <t>160,800,000 bbl of oil; 3,519,627,000 cubic metres of gas</t>
  </si>
  <si>
    <t>Volume from BPSR 2014. Price from EITI International Secretariat (https://eiti.org/report/azerbaijan/2012).</t>
  </si>
  <si>
    <t>3,519,627,000 cubic metres</t>
  </si>
  <si>
    <t>160,800,000 bbl</t>
  </si>
  <si>
    <t>6,100 ounces gold; 6,400 ounces silver</t>
  </si>
  <si>
    <t>6,100 ounces (5,560 toz)</t>
  </si>
  <si>
    <t>6,400 ounces (5833 toz)</t>
  </si>
  <si>
    <t>http://www.itie-bf.gov.bf/spip.php</t>
  </si>
  <si>
    <t>Volume and price from EITI 2008 report</t>
  </si>
  <si>
    <t>Profits/Taxes, Royalties, Other significant benefits to government</t>
  </si>
  <si>
    <t>SOMITA</t>
  </si>
  <si>
    <t>KPMG</t>
  </si>
  <si>
    <t>http://eiti.org/files/Burkina-Faso-2008-2009-EITI-Report_0.pdf</t>
  </si>
  <si>
    <t>Only production of gold was included in the EITI report, and only one company, SOMITA, reported.</t>
  </si>
  <si>
    <t>Volume and price from EITI 2009 report</t>
  </si>
  <si>
    <t>SOMITA, BMC, Kalsaka, SEMAFO</t>
  </si>
  <si>
    <t>http://eiti.org/files/Burkina-Faso-2008-2009-EITI-Report.pdf</t>
  </si>
  <si>
    <t>Profits/Taxes, Royalties, Dividends, Other significant benefits to government</t>
  </si>
  <si>
    <t>West African CFA Franc</t>
  </si>
  <si>
    <t>Burkina Mining Company (BMC), Kalsaka Mining SA, Société des Mines de Taparko (SOMITA), Société d’Exploitation Minière d’Afrique de l’Ouest (SEMAFO), Essakane SA, Société des Mines de Belahouro (SMB), Burkina Manganèse SA, Nantou Mining, Stremco</t>
  </si>
  <si>
    <t>Moore Stephens LLP</t>
  </si>
  <si>
    <t>http://eiti.org/files/Burkina-Faso-2010-EITI-Report.pdf</t>
  </si>
  <si>
    <t>Each company appears to produce just one mineral, allowing revenues to be disaggregated by commodity.</t>
  </si>
  <si>
    <t>Volume from USGS Mineral Yearbook 2011. Price from World Bank (Global Economic Monitor (GEM) Commodities database), and is defined as: Gold (UK), 99.5% fine, London afternoon fixing, average of daily rates.</t>
  </si>
  <si>
    <t>The gold volume reported in the EITI report is 21082kg, which was converted to Troy ounces here.</t>
  </si>
  <si>
    <t>Manganese</t>
  </si>
  <si>
    <t xml:space="preserve">Price from USGS Mineral Commodity Summary 2013, and is the c.i.f. price at US ports for metallurgical ore with 46-48% manganese content. </t>
  </si>
  <si>
    <t>The EITI Report covers one manganese company (Burkia Manganese SA).</t>
  </si>
  <si>
    <t>o/w Manganese ore (processed)</t>
  </si>
  <si>
    <t>Volume from USGS Mineral Yearbook 2011</t>
  </si>
  <si>
    <t>o/w Manganese content</t>
  </si>
  <si>
    <t>Zinc</t>
  </si>
  <si>
    <t>The EITI Report covers one zinc company (Nantou Mining) that has not yet begun production.</t>
  </si>
  <si>
    <t>Also covers payments made in-kind (though these are only reported by companies)</t>
  </si>
  <si>
    <t>Not given (in-kind social payments made in the form of infrastructure projects, etc)</t>
  </si>
  <si>
    <t xml:space="preserve">IAM Gold Essakane SA, Semafo Burkina Faso, Société des Mines de Taparko (SOMITA), Société des Mines de Belahouro (SMB), Kalsaka Mining, Burkina Mining Company (BMC), Société Ampella Mining Gold, BISSA Gold, Nantou Mining SA, Orezone Inc. SARL, AMPELLA Mining, Gryphon Minerals Burkina Faso, Goldbelt Resources, Mana Minerals, High River Gold Mines (WA), Kiaka Gold, GEP Mines, Jilbey Burkina SARL </t>
  </si>
  <si>
    <t xml:space="preserve"> Moore Stephens LLP</t>
  </si>
  <si>
    <t>http://eiti.org/files/Burkina-Faso-2011-EITI-Report_FR.pdf</t>
  </si>
  <si>
    <t>36, 50, 51</t>
  </si>
  <si>
    <t>Each company appears to produce just one mineral, allowing total revenues to be disaggregated by commodity. Payment/revenue totals from eiti.org do not include social payments (made in both cash and kind, with cash values for the latter reported unilaterally by company (p.50)) or subnational transfers (made in cash to local governments, reported unilaterally by the Government (p.51)). The value of social payments has been added to Total Payments by Companies; subnational transfers has been added to Total Received by Government.</t>
  </si>
  <si>
    <t>Total Company Payments includes social payments reported unilaterally by gold companies; Total Government Revenues does not include subnational transfers reported unilaterally by the Government because these revenues were not disaggregated by company/commodity. Gold production volumes converted from kg (31210.34 kg) to ounces.</t>
  </si>
  <si>
    <t xml:space="preserve">The EITI Report covers one zinc company (Nantou Mining) that has not yet begun production. </t>
  </si>
  <si>
    <t>Volume and Price from EITI Report</t>
  </si>
  <si>
    <t>IAM Gold Essakane SA, Orezone Inc. SARL., Semafo Burkina Faso, AMPELLA Mining, Société des Mines de Belahouro (SMB), Gryphon Minerals Burkina Faso, Société des Mines de Taparko (SOMITA), Goldbelt Resources Kalsaka Mining, Mana Minerals, Burkina Mining Company (BMC), High River Gold Mines (WA), Société ampella Mining Gold, Kiaka Gold, BISSA Gold, Jilbey Burkina SARL, Nantou Mining SA, Riverstone Resources, Riverstone Resources, Roxgold Burkina Faso, Stremco SA, Pinsapo Gold, Essakane Exploration SARL, Pan African Burkina Ltd (PAB), GEP Mines, SAV’OR</t>
  </si>
  <si>
    <t xml:space="preserve">Gold production volume given in kg in the EITI report, converted here in toz. The production value is given directly in the report. Exchange rate calculated for each transaction, at the value of the day when the transaction occurred </t>
  </si>
  <si>
    <t>http://www.eiticameroon.org/index.php/home</t>
  </si>
  <si>
    <t>United States Dollar</t>
  </si>
  <si>
    <t/>
  </si>
  <si>
    <t>24,965,343 bbl of oil</t>
  </si>
  <si>
    <t>Total Exploration &amp; Production (E&amp;P) Cameroon, Pecten Cameroon, Perenco Cameroon, ExxonMobil Cameroon, NHC Functioning</t>
  </si>
  <si>
    <t>Hart Group/Mazars Cameroon</t>
  </si>
  <si>
    <t>The report covers the fiscal period of 1 July 2001 – 30 June 2002. 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$23.39 over the fiscal year.</t>
  </si>
  <si>
    <t>Volume from EIA, adjusted to acount for the fiscal year. Price from BPSR 2014, and is an average of the UK, US and Canada Indices for natural gas, adjusted to account for the fiscal year.</t>
  </si>
  <si>
    <t>Volume and price from EITI Report, adjusted to account for the fiscal year</t>
  </si>
  <si>
    <t>14, 26</t>
  </si>
  <si>
    <t>24,310,000 bbl of oil</t>
  </si>
  <si>
    <t>http://eiti.org/files/Cameroon%202001-2002-2003-2004%20EITI%20Report.pdf</t>
  </si>
  <si>
    <t>The report covers the fiscal period of 1 July 2002 – 31 December 2002. Materiality threshold: All oil companies involved in production and exploration should be reconciled. Unilateral declarations do not appear to be included in the figures. The production volume has been adjusted to account for the fiscal year.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$23.74 in 2002.</t>
  </si>
  <si>
    <t>23,140,000 bbl of oil</t>
  </si>
  <si>
    <t>Hart group/Mazars Cameroon</t>
  </si>
  <si>
    <t>http://eiti.org/files/Cameroon%202001%202002%202003%202004%20EITI%20Report.pdf</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</si>
  <si>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$27.12 in 2003.</t>
  </si>
  <si>
    <t>Volume from EIA. Price from BPSR 2014, and is an average of the UK, US and Canada Indices for natural gas.</t>
  </si>
  <si>
    <t>Volume and price from EITI Report</t>
  </si>
  <si>
    <t>21,190,000 bbl of oil</t>
  </si>
  <si>
    <t>http://eiti.org/files/Cameroon-2001-2002-2003-2004-EITI-Report.pdf</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</si>
  <si>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$37.29 in 2004.</t>
  </si>
  <si>
    <t>Host government's production entitlement, Profits/Taxes, Royalties, Dividends, Bonuses</t>
  </si>
  <si>
    <t>19,553,950 bbl of oil</t>
  </si>
  <si>
    <t>Total Exploration &amp; Production (E&amp;P) Cameroon, Pecten Cameroon, Perenco Cameroon, ExxonMobil Cameroon, NHC Functioning, Euroil Ltd, Addax Petroleum Cameroon Ltd, Noble, Turnberry Resource Inc, Tullow Cameroon Ltd, Sterling Cameroon Ltd, RSM Production Corporation, Sonara</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</si>
  <si>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63% of production. The value of this payment in kind is not given in the report, but has been calculated using the official sales price given in the report, which is determined by a commission comprising of the NHC and the oil companies. This was $50.35 in 2005.</t>
  </si>
  <si>
    <t>13, 25, 50</t>
  </si>
  <si>
    <t>Profits/Taxes, Royalties, Dividends, Bonuses, Other significant benefits to government</t>
  </si>
  <si>
    <t>United States Dollar and Central African CFA Franc</t>
  </si>
  <si>
    <t>20,996,780 bbl of oil</t>
  </si>
  <si>
    <t>Proportional mining royalty</t>
  </si>
  <si>
    <t>Total Exploration &amp; Production (E&amp;P) Cameroon, Pecten Cameroon, Perenco Cameroon, Mobil Producing Cameroon Inc., Euroil Ltd, Addax Petroleum Cameroon Ltd, Noble Energy Cameroon Ltd, Sterling Energy, Rodeo Development Ltd, Kosmos Energy, Glencore Exploration Cameroon, Societe Nationale de Raffinage (SONARA), African Aura Resources, Sinosteel CAM SA, Cam Iron SA, Mega Urnaium Corporation Cameroon Plc, Hydrmine Inc., Free Mining Company, Ets Rocaglia, Cimencam, Geovic</t>
  </si>
  <si>
    <t>15,16, 19</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</si>
  <si>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65.8%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2006 it was negative and has therefore been classified as a subsidy.</t>
  </si>
  <si>
    <t>Total Exploration &amp; Production (E&amp;P) Cameroon, Pecten Cameroon, Perenco Cameroon, Mobil Producing Cameroon Inc., Euroil Ltd, Addax Petroleum Cameroon Ltd, Noble Energy Cameroon Ltd, Sterling Energy, Rodeo Development Ltd, Kosmos Energy, Glencore Exploration Cameroon, Societe Nationale de Raffinage (SONARA)</t>
  </si>
  <si>
    <t>Volume from EITI Report. Price from BPSR 2014, and is an average of the spot prices for Brent, Dubai, Nigerian Forcados and West Texas Intermediate crude oil, adjusted to account for the prices given in the 2001-2005 EITI Reports being an average 94.97% of this in 2001-2005.</t>
  </si>
  <si>
    <t>African Aura Resources, Sinosteel CAM SA, Cam Iron SA, Mega Urnaium Corporation Cameroon Plc, Hydrmine Inc., Free Mining Company, Ets Rocaglia, Cimencam, Geovic</t>
  </si>
  <si>
    <t>16</t>
  </si>
  <si>
    <t>Volume from USGS Mineral Yearbook 2008. Price from USGS Mineral Commodity Summary 2009, and is the price for common clay in the US, adjusted to account for the price given in the 2011 EITI Report being 14.17% of this in 2011.</t>
  </si>
  <si>
    <t>Volume from USGS Mineral Yearbook 2008. Price from World Bank (Global Economic Monitor (GEM) Commodities database), and is defined as: Gold (UK), 99.5% fine, London afternoon fixing, average of daily rates.</t>
  </si>
  <si>
    <t>Years after report production volumes of gold dust that are minimal compared to the production volume listed by the USGS. Better to not consider the gold value in the total productio value.</t>
  </si>
  <si>
    <t>Volume from USGS Mineral Yearbook 2008. Price from USGS Mineral Yearbook 2007, and is the price in the US for crushed limestone, adjusted to account for the price given in the 2011 EITI Report being 184.33% of this in 2011.</t>
  </si>
  <si>
    <t>Pozzolana</t>
  </si>
  <si>
    <t>Volume from USGS Mineral Yearbook 2008. Price from 2011 EITI Report, and is based on the reported volume and value of exports in 2011 (the price for this year is not given in the EITI Report or by USGS).</t>
  </si>
  <si>
    <t>Sand and gravel</t>
  </si>
  <si>
    <t>Volume from USGS Mineral Yearbook 2008. Price from USGS Mineral Yearbook 2007, and is the price in the US for construction sand and gravel, adjusted to account for the price given in the 2011 EITI Report being 19.49% of this in 2011.</t>
  </si>
  <si>
    <t>20,743,360 bbl of oil</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</si>
  <si>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66.4%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2007 it was negative and has therefore been classified as a subsidy.</t>
  </si>
  <si>
    <t>Volume from USGS Mineral Yearbook 2008. Price from USGS Mineral Yearbook 2007, and is the price crushed limestone in the US, adjusted to account for the price given in the 2011 EITI Report being 184.33% of this in 2011.</t>
  </si>
  <si>
    <t>20,507,600 bbl of oil</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</si>
  <si>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66.8%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2008 it was negative and has therefore been classified as a subsidy.</t>
  </si>
  <si>
    <t>Volume from USGS Mineral Yearbook 2011. Price from USGS Mineral Commodity Summary 2009, and is the price for common clay in the US, adjusted to account for the price given in the 2011 EITI Report being 14.17% of this in 2011.</t>
  </si>
  <si>
    <t>Volume from USGS Mineral Yearbook 2011. Price from USGS Mineral Yearbook 2009, and is the price crushed limestone in the US, adjusted to account for the price given in the 2011 EITI Report being 184.33% of this in 2011.</t>
  </si>
  <si>
    <t>Volume from USGS Mineral Yearbook 2011. Price from 2011 EITI Report, and is based on the reported volume and value of exports in 2011 (the price for this year is not given in the EITI Report or by USGS).</t>
  </si>
  <si>
    <t>Volume from USGS Mineral Yearbook 2011. Price from USGS Mineral Yearbook 2009, and is the price in the US for construction sand and gravel, adjusted to account for the price given in the 2011 EITI Report being 19.49% of this in 2011.</t>
  </si>
  <si>
    <t>Host government's production entitlement, State-owned company production entitlement, Profits/Taxes, Royalties, Dividends, Bonuses, Licenses and concessions, Other significant benefits to government</t>
  </si>
  <si>
    <t>Central African CFA Franc</t>
  </si>
  <si>
    <t>36,124,483 bbl of oil (govt reported ); 36,124,478 bbl of oil (company reported)</t>
  </si>
  <si>
    <t>Petroleum: SNH-Fonctionnement, Total Exploration &amp; Production Cameroun (actuellement Perenco Rio Del Rey), Perenco Cameroun, Perenco Oil &amp; Gas Cameroun, Pecten Cameroon Company (actuellement Addax Petroleum Cameroon Company), Mobil Producing Cameroon Inc, Addax Petroleum Cam LTD, Euroil Ltd, Noble Energy Cameroon LTD, Murphy (pour Sterling Energy), Rodeo Development LTD, Kosmos Energy, Glencore Exploration Cameroon, Yang Chang Logone, RSM, AFEX, Petronas. Mining: Geovic, Razel, Cimencam, C&amp;K Mining.</t>
  </si>
  <si>
    <t>http://eiti.org/files/Cameroon-2009-EITI-Report-French.pdf</t>
  </si>
  <si>
    <t>28-29</t>
  </si>
  <si>
    <t xml:space="preserve">Govt revenues include the value of in-kind receipts, and company payments made to local govts ("Les paiements infranationaux," unilaterally reported by central govt) and payments from companies below the materiality threshold. Company payments include unilaterally reported "other significant payments" and social payments. The government reported to have received FCFA 9,242,044,569 from mining companies that were not included in the scope; subnational transfers of FCFA 44,491,757. Companies reported to have contributed FCFA 774,034,334 for social and other payments. </t>
  </si>
  <si>
    <t>Volume from EIA. Price from BPSR 2014, and is an average of the spot prices for Brent, Dubai, Nigerian Forcados and West Texas Intermediate crude oil, adjusted to account for the prices given in the 2001-2005 EITI Reports being an average 94.97% of this in 2001-2005.</t>
  </si>
  <si>
    <t>SNH-Fonctionnement, Total Exploration &amp; Production Cameroun (actuellement Perenco Rio Del Rey), Perenco Cameroun, Perenco Oil &amp; Gas Cameroun, Pecten Cameroon Company (actuellement Addax Petroleum Cameroon Company), Mobil Producing Cameroon Inc, Addax Petroleum Cam LTD, Euroil Ltd, Noble Energy Cameroon LTD, Murphy (pour Sterling Energy), Rodeo Development LTD, Kosmos Energy, Glencore Exploration Cameroon, Yang Chang Logone, RSM, AFEX, Petronas</t>
  </si>
  <si>
    <t>EITI production volume is from p.5; no discrepancy between company and govt reported production volumes. Revenue totals include oil transport revenues and transfers from SNH-Mandat; revenue totals do not include in-kind payments or unilaterally declared payments. In-kind value is govt-reported total.</t>
  </si>
  <si>
    <t>Geovic, Razel, Cimencam, C&amp;K Mining.</t>
  </si>
  <si>
    <t>Volume from USGS Mineral Yearbook 2011. Price from USGS Mineral Commodity Summary 2014, and is the price for common clay in the US, adjusted to account for the price given in the 2011 EITI Report being 14.17% of this in 2011.</t>
  </si>
  <si>
    <t xml:space="preserve">Only gold dust is included in the EITI Report. </t>
  </si>
  <si>
    <t>Volume from USGS Mineral Yearbook 2011. Price from USGS Mineral Yearbook 2010, and is the price crushed limestone in the US, adjusted to account for the price given in the 2011 EITI Report being 184.33% of this in 2011.</t>
  </si>
  <si>
    <t>Volume from USGS Mineral Yearbook 2011. Price from USGS Mineral Yearbook 2010, and is the price in the US for construction sand and gravel, adjusted to account for the price given in the 2011 EITI Report being 19.49% of this in 2011.</t>
  </si>
  <si>
    <t>Also covers payments made in-kind (oil)</t>
  </si>
  <si>
    <t>32,659,731 bbl of oil (govt reported), 32,659,731 bbl of oil (company reported)</t>
  </si>
  <si>
    <t>http://eiti.org/files/Cameroon-2010-EITI-Report-French.pdf</t>
  </si>
  <si>
    <t>29-30</t>
  </si>
  <si>
    <t xml:space="preserve">Govt revenues include the value of in-kind receipts, and company payments made to local govts ("Les paiements infranationaux," unilaterally reported by central govt) and payments from companies below the materiality threshold. Company payments include unilaterally reported "other significant payments" and social payments. In-kind value is govt-reported total. The government reported to have received FCFA 10,654,141,826 from mining companies that were not included in the scope;  subnational transfers of FCFA 65,337,042 in subnational payments (p.25). Companies reported to have contributed FCFA,512 532,379 for social and "other significant" payments. </t>
  </si>
  <si>
    <t>EITI production volume is from p.5; no discrepancy between company and govt reported production volumes. Revenue totals include oil transport revenues and transfers from SNH-Mandat; revenue totals do not include unilaterally declared payments.</t>
  </si>
  <si>
    <t>Geovic, Razel, Cimencam, C&amp;K Mining</t>
  </si>
  <si>
    <t>Revenue totals do not include unilaterally declared payments.</t>
  </si>
  <si>
    <t>100% of revenue (when unilateral declarations from both entities are summed)</t>
  </si>
  <si>
    <t>14,615,395 bbl of oil</t>
  </si>
  <si>
    <t>Not given</t>
  </si>
  <si>
    <t>National Hydrocarbons Company (NHC), Total Exploration &amp; Production Cameroon (Perenco Rio Del Rey), Perenco Cameroon, Perenco Oil &amp; Gas Cameroon, Pecten Cameroon Company (Currently Addax Petroleum Cameroon Company), Mobil Producing Cameroon Inc, Addax Petroleum Cam LTD, Euroil Ltd, Noble Energy Cameroon LTD, Murphy (Sterling Energy), Rodeo Development LTD, Kosmos Energy, Glencore Exploration Cameroon, Yang Chang Logone, RSM, AFEX, Petronas, Cameroon Oil Transportation Company (COTCO), Geovic, Razel, Cimencam, C&amp;K Mining</t>
  </si>
  <si>
    <t>http://eiti.org/files/Cameroon-2011-EITI-Report-English.pdf</t>
  </si>
  <si>
    <t>32-33, 39-45</t>
  </si>
  <si>
    <t>Materiality threshold: all companies that made a payment of at least FCFA 55,000,000 in 2011 should be reconciled. This means all oil &amp; gas producers are reconciled. Disaggregation by commodity is only indirect through disaggregation by company, and therefore limited. Unilateral declarations are included in the figures: US$497,487 of payments outside the reconciliation scope and US$118,687 of social contributions reported by companies, and US$894,430 of payments from companies below the materiality threshold reported by government. The value of the payments made in-kind included in the figures for 2011 is not consistent with the volume of payments made-in kind in 2011 given the time lapse between the oil being transferred and commercialised. The value of the latter is not clear, but the volume has been indicated in the appropriate column. Total payments given on pg.8 do not appear to be consistent with the reconciliation results on pg 32-33 and unilateral declarations on pg 39-45. NHC has two functions. NHC-Operation operates as a company, involved in a number of oil concessions both directly and indirectly as a shareholder of other companies. NHC-Mandate is a state agency, managing the commercialisation of Government's share in the oil extracted. COTCO is a oil transport company, which the Government has a shareholding, indirectly through NHC, of 5.17%.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2011 it was negative and has therefore been classified as a subsidy. The report also includes: licensing information for both sectors.</t>
  </si>
  <si>
    <t>National Hydrocarbons Company (NHC), Total Exploration &amp; Production Cameroon (Perenco Rio Del Rey), Perenco Cameroon, Perenco Oil &amp; Gas Cameroon, Pecten Cameroon Company (Currently Addax Petroleum Cameroon Company), Mobil Producing Cameroon Inc, Addax Petroleum Cam LTD, Euroil Ltd, Noble Energy Cameroon LTD, Murphy (Sterling Energy), Rodeo Development LTD, Kosmos Energy, Glencore Exploration Cameroon, Yang Chang Logone, RSM, AFEX, Petronas, CAmeroon Oil Transportation Company (COTCO)</t>
  </si>
  <si>
    <t>33, 39-40</t>
  </si>
  <si>
    <t>32, 40-45</t>
  </si>
  <si>
    <t>Volume from USGS Mineral Yearbook 2011. Price from EITI Report, and is based on the reported volume and value of exports (and is 14.17% of the  price for common clay in the US).</t>
  </si>
  <si>
    <t>Cimencam</t>
  </si>
  <si>
    <t>11, 80</t>
  </si>
  <si>
    <t>C&amp;K Mining</t>
  </si>
  <si>
    <t>Granite</t>
  </si>
  <si>
    <t>Volume from EITI Report, but is only that of the covered companies. Price from USGS Mineral Yearbook 2012, and is the price in the US for crushed granite.</t>
  </si>
  <si>
    <t xml:space="preserve">The USGS Mineral Yearbook 2012 indicates that there was insufficent data to estimate production volumes. </t>
  </si>
  <si>
    <t>Volume from USGS Mineral Yearbook 2011. Price from EITI Report, and is based on the reported volume and value of exports (and is 184.33% of the  price for crushed limestone in the US).</t>
  </si>
  <si>
    <t>Volume from USGS Mineral Yearbook 2011. Price from USGS Mineral Yearbook 2012, and is the price in the US for crushed marble.</t>
  </si>
  <si>
    <t>Volume from USGS Mineral Yearbook 2011. Price from EITI Report, and is based on the reported volume and value of exports.</t>
  </si>
  <si>
    <t>Volume from USGS Mineral Yearbook 2011. Price from EITI Report, and is based on the reported volume and value of exports (and is 19.49% of the  price for construction sand and gravel in the US).</t>
  </si>
  <si>
    <t>Cimencam, Razel</t>
  </si>
  <si>
    <t>Volume from EITI report</t>
  </si>
  <si>
    <t>Host government's production entitlement, State-owned company production entitlement, Profits/Taxes, Royalties, Dividends, Licenses and concessions</t>
  </si>
  <si>
    <t>SNH-Mandat, SNH, Perenco Rio Del Rey, Perenco Cameroun, Perenco Oil &amp; Gas Cameroun, Euroil LTD, Noble Energy Cameroon LTD, Addax Petroleum Cameroon LTD, Murphy, Rodeo Development LTD, Kosmos Energy, Glencore Exploration Cameroon, Yang Chang Logone, Dana Petroleum, COTCO, Geovic, C&amp;K Mining, ROCAGLIA, CAPAM, Cimencam, Razel, CAM IRON ***</t>
  </si>
  <si>
    <t>ft³</t>
  </si>
  <si>
    <t>kg</t>
  </si>
  <si>
    <t>Sapphire</t>
  </si>
  <si>
    <t>Quartz</t>
  </si>
  <si>
    <t>Sand</t>
  </si>
  <si>
    <t>Disthene</t>
  </si>
  <si>
    <t>Pozzolan</t>
  </si>
  <si>
    <t>Argile</t>
  </si>
  <si>
    <t>Aggregates</t>
  </si>
  <si>
    <t xml:space="preserve">Central African Republic </t>
  </si>
  <si>
    <t>http://www.itierca.org/</t>
  </si>
  <si>
    <t>Bonuses, Licenses and concessions, Other significant benefits to government</t>
  </si>
  <si>
    <t>Valentin NZAPAOKO</t>
  </si>
  <si>
    <t>http://eiti.org/files/Central%20African%20Republic%202006%20EITI%20Report.pdf</t>
  </si>
  <si>
    <t>Diamond</t>
  </si>
  <si>
    <t>carats</t>
  </si>
  <si>
    <t>US$/carat</t>
  </si>
  <si>
    <t>Volume from USGS Mineral Yearbook 2010. Price from kimberley Process Annual Summary 2006.</t>
  </si>
  <si>
    <t>Volume from USGS Mineral Yearbook 2010. Price from World Bank (Global Economic Monitor (GEM) Commodities database), and is defined as: Gold (UK), 99.5% fine, London afternoon fixing, average of daily rates.</t>
  </si>
  <si>
    <t>Bonuses, Licenses and concessions</t>
  </si>
  <si>
    <t>http://eiti.org/files/Central%20African%20Republic%202007-2009%20EITI%20Report_1.pdf</t>
  </si>
  <si>
    <t>Volume from USGS Mineral Yearbook 2010. Price from kimberley Process Annual Summary 2007.</t>
  </si>
  <si>
    <t>http://eiti.org/files/Central%20African%20Republic%202007-2009%20EITI%20Report_0.pdf</t>
  </si>
  <si>
    <t>Volume from USGS Mineral Yearbook 2010. Price from kimberley Process Annual Summary 2008.</t>
  </si>
  <si>
    <t>http://eiti.org/files/Central%20African%20Republic%202007-2009%20EITI%20Report.pdf</t>
  </si>
  <si>
    <t>Volume from USGS Mineral Yearbook 2012. Price from kimberley Process Annual Summary 2009.</t>
  </si>
  <si>
    <t>Industrial mining companies: Areva, Aurafrique (Axmin), Gem Diamond, Minesca, Tala Mining. Import/Export offices: Adamas-Swiss, ADR, Badica, Comigem, Inala, Sodiam.</t>
  </si>
  <si>
    <t>http://eiti.org/files/Central-African-Republic-2010-EITI-Report.pdf</t>
  </si>
  <si>
    <t xml:space="preserve"> In addition to the reconciled figures, the government reported to have received US$34,304 from the mining cooperatives and US$701,248 from small-scale miners.</t>
  </si>
  <si>
    <t>Volume from USGS Mineral Yearbook 2012. Price from kimberley Process Annual Summary 2010.</t>
  </si>
  <si>
    <t xml:space="preserve">Chad </t>
  </si>
  <si>
    <t>http://www.itie-tchad.org/</t>
  </si>
  <si>
    <t>Profits/Taxes, Royalties, Dividends, Licenses and concessions, Other significant benefits to government</t>
  </si>
  <si>
    <t>Subsidy to NOC</t>
  </si>
  <si>
    <t xml:space="preserve">Petroleum: SHT (National Oil Company), Esso, Petronas, Chevron, CNPCI, OPIC. Petroleum transport: TOTCO, COTCO. </t>
  </si>
  <si>
    <t>4,5,14,15</t>
  </si>
  <si>
    <t>Mining revenues were reported unilaterally by govt for one company (SOTEC). Total revenues/payments include petroleum transport revenues, do not include subsidies paid to the national oil company.</t>
  </si>
  <si>
    <t>Volume and price from BPRS 2014. Price is an average of the spot prices for Brent, Dubai, Nigerian Forcados and West Texas Intermediate crude oil.</t>
  </si>
  <si>
    <t>SHT (National Oil Company), Esso, Petronas, Chevron, CNPCI, OPIC, TOTCO, COTCO</t>
  </si>
  <si>
    <t>Revenue/payment totals include transport sector.</t>
  </si>
  <si>
    <t>Aggregate, sand and stone</t>
  </si>
  <si>
    <t>Volume from USGS Mineral Yearbook 2011. Price from USGS Mineral Yearbook 2007, and is the price in the US for crushed misecellaneous stone.</t>
  </si>
  <si>
    <t>Mining payments reported unilaterally by govt.</t>
  </si>
  <si>
    <t>4,5, 14, 15</t>
  </si>
  <si>
    <t>Volume from USGS Mineral Yearbook 2012. Price from USGS Mineral Yearbook 2009, and is the price in the US for crushed misecellaneous stone.</t>
  </si>
  <si>
    <t xml:space="preserve"> SHT (National Oil Company), Esso, Petronas, Chevron, CNPCI, OPIC, TOTCO, COTCO. </t>
  </si>
  <si>
    <t>Petroleum: SHT (National Oil Company), Esso, Petronas, Chevron, CNPCI, OPIC. Petroleum transport: TOTCO, COTCO. Mining: SOTEC.</t>
  </si>
  <si>
    <t>Mining revenues were reported unilaterally by one company (SOTEC) (in previous reports SOTEC payments had been reported unilaterally by the govt). Total revenues/payments include petroleum transport revenues, do not include subsidies paid to the national oil company.</t>
  </si>
  <si>
    <t>Volume from USGS Mineral Yearbook 2012. Price from USGS Mineral Yearbook 2010, and is the price in the US for crushed misecellaneous stone.</t>
  </si>
  <si>
    <t>Petroleum: SHT (National Oil Company), Esso, Petronas, Chevron, CNPCI, OPIC, ERHC Energy, Global Petroleum, Griffiths Energy International. Petroleum transport: TOTCO, COTCO. Mining: SOTEC.</t>
  </si>
  <si>
    <t>19-21</t>
  </si>
  <si>
    <t>Mining revenues were reported unilaterally by one company (SOTEC). Total petroleum revenues/payments include petroleum transport revenues and payments made by the national oil company to the state. Total revenues/payments do not include subsidies paid by the state to the national oil company.</t>
  </si>
  <si>
    <t>SHT (National Oil Company), Esso, Petronas, Chevron, CNPCI, OPIC, ERHC Energy, Global Petroleum, Griffiths Energy International, TOTCO, COTCO</t>
  </si>
  <si>
    <t>Volume from USGS Mineral Yearbook 2012. Price from USGS Mineral Yearbook 2012, and is the price in the US for crushed misecellaneous stone.</t>
  </si>
  <si>
    <t>3,676,000 bbl oil (govt reported); 3,679,000 bbl oil (company reported)</t>
  </si>
  <si>
    <t>See comments</t>
  </si>
  <si>
    <t>Petroleum: SHT (National Oil Company), Esso, Petronas, Chevron, CNPCI, OPIC, ERHC Energy, Global Petroleum, Caracal Energy (ex Griffiths Energy International), Petral BV, SAS Petroleum, Simba Energy, TCA International (GTI), United Hydrocarbon Chad, Viking Exploration, Oil Trek. Petroleum transport: TOTCO, COTCO. Petroleum refinery: SRN. Mining exploration: Chad Mining Services (CMS), GPB Chad Minerals, SP Mining. Mining production: SOTEC, SCHL.</t>
  </si>
  <si>
    <t>FairLinks</t>
  </si>
  <si>
    <t>45-52</t>
  </si>
  <si>
    <t>Mining revenues were reported unilaterally by mining companies. Total petroleum revenues/payments include petroleum transport and refining revenues. The national oil company (SHT) is considered both a paying and collecting entity; its payments to the state are included in total company payments, while the revenues it receives from companies are included in government revenues. However, total revenues/payments do not include subsidies paid by the state to SHT (see subsidies column). A portion of the state's in-kind receipts are commercialized by SHT; SHT reported commercializing 2,807,000 bbl, resulting in $287,888,000, from which fees were deducted (see p.51). These revenues are included in revenue totals. Note on difference between eiti.org revenue totals and those calculated from the EITI Report (in purple): eiti.org totals seem based on summary table on p.51 of the report, which doesn't appear to include SHT payments/receipts; however, even with SHT flows added in, the summary table on p.51 doesn't seem to reflect the upstream petroleum totals from p.46.</t>
  </si>
  <si>
    <t>SHT (National Oil Company), Esso, Petronas, Chevron, CNPCI, OPIC, ERHC Energy, Global Petroleum, Caracal Energy (ex Griffiths Energy International), Petral BV, SAS Petroleum, Simba Energy, TCA International (GTI), United Hydrocarbon Chad, Viking Exploration, Oil Trek, TOTCO, COTCO, SRN</t>
  </si>
  <si>
    <t xml:space="preserve">Côte d'Ivoire </t>
  </si>
  <si>
    <t>http://www.cnitie.ci/</t>
  </si>
  <si>
    <t>Hart Group</t>
  </si>
  <si>
    <t>Volume from EIA. Price from BPSR 2014, and is an average of the spot prices for Brent, Dubai, Nigerian Forcados and West Texas Intermediate crude oil.</t>
  </si>
  <si>
    <t>State-owned company production entitlement, Profits/Taxes, Royalties, Dividends, Bonuses, Licenses and concessions, Other significant benefits to government</t>
  </si>
  <si>
    <t>Petroleum: Petroci Holding (National oil company), Afren, Canadian National Resources (CRN), Foxtrot International, Anadarko, C&amp;L Natural Resources, Edison, Lukoil, Oranto, Tullow Oil, Vanco, Yam's Petroleum. Mining: Sodemi (state mining company), LGL-Equigold, Societe des Mines D'Ity (SMI), Yaoure mining, BIPTFOP, Cominor, Etruscan Resources, Golden Oriole, Golden Star Exloration, Jofema Mineral Resources, Mayana SARL, New African Business Corporation, Newmont Overseas Exploration, Occidental Gold, Rockstone GOld, Randgold Resources, SOMICI, Tata Steel, Taurian, TD Continental.</t>
  </si>
  <si>
    <t>4, 5, 9-11</t>
  </si>
  <si>
    <t>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5 companies did not report, and were not included in reconciliation.</t>
  </si>
  <si>
    <t>In-kind receipts include gas received by state and PETROCI. Value of in-kind payments has not been calculated because part of in-kind oil/gas is commercialized by PETROCI on behalf of the state and already included in revenue totals.</t>
  </si>
  <si>
    <t>In-kind receipts include oil received by state and PETROCI. Value of in-kind payments has not been calculated because part of in-kind oil/gas is commercialized by PETROCI on behalf of the state and already included in revenue totals.</t>
  </si>
  <si>
    <t>Revenue totals include dividends collected from companies by Sodemi, a state-owned company.</t>
  </si>
  <si>
    <t>o/w Manganese ore</t>
  </si>
  <si>
    <t>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Note that eiti.org totals appear to include dividends paid to Sodemi by private companies as company payments, rather than govt receipts. Here, "Total received by govt" includes FCFA 1,552,320,000 in dividends paid to Sodemi by other mining companies. (There is still a small difference  (less than 1%) between totals calculated here and those from eiti.org.) 5 companies did not report, and were not included in reconciliation.</t>
  </si>
  <si>
    <t>In-kind receipts include gas received by state and PETROCI.  Value of in-kind payments has not been calculated because part of in-kind oil/gas is commercialized by PETROCI on behalf of the state and already included in revenue totals.</t>
  </si>
  <si>
    <t>In-kind receipts include oil received by state and PETROCI.  Value of in-kind payments has not been calculated because part of in-kind oil/gas is commercialized by PETROCI on behalf of the state and already included in revenue totals.</t>
  </si>
  <si>
    <t xml:space="preserve"> 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Note that eiti.org totals appear to include dividends paid to Sodemi by private companies as company payments, rather than govt receipts. Here, "Total received by govt" includes FCFA 2,382,480,000 in dividends paid to Sodemi by other mining companies. Five companies did not report, and were not included in reconciliation.</t>
  </si>
  <si>
    <t>PETROCI's payments to the state are included in Total Payments by Companies</t>
  </si>
  <si>
    <t>Sodemi's receipts are included in Total Received by Govt</t>
  </si>
  <si>
    <t>Host government's production entitlement, State-owned company production entitlement, Royalties, Dividends, Licenses and concessions, Other significant benefits to government</t>
  </si>
  <si>
    <t>Petroleum: Petroci Holding (National oil company), Afren, Canadian National Resources (CRN), Foxtrot International, African Petroleum, Anadarko, Edison, Lukoil, Oranto, Rialto Energy (ex C&amp;L Natural Resources), Taleveras, Total, Tullow Oil, Vanco, Yam's Petroleum. Mining: Sodemi (state mining company), LGL-Equigold, Societe des Mines D'Ity (SMI), Yaoure mining, Tongon, Boundoukou Manganese (ex Taurian), Carem (ex BIPTFOP), Cominor, Etruscan Resources, Golden Oriole, Golden Star Exloration, Jofema Mineral Resources, New African Business Corporation, Newmont Overseas Exploration, Occidental Gold, Randgold Resources, Rockstone Gold, SOMICI, Tata Steel, TD Continental.</t>
  </si>
  <si>
    <t>8, 9, 16-18</t>
  </si>
  <si>
    <t>PETROCI, the national petroleum company, is included both as a recipient of certain revenues (in-kind profit oil and gas, Besoins nationaux) and a paying entity (it pays dividends and the proceeds of commercialized profit oil/gas and dividends to the state). Total state revenues include companies' financial payments, Petroci's dividends, and the value of profit oil/gas commercialized by PETROCI on behalf of the state. The value of profit oil/gas retained by PETROCI is not included in government totals and has not been added. Sodemi, the state mining company, collects dividends from companies on behalf of the state; these revenues are included in govt totals. Sodemi also makes payments (royalties, BIC tax) to the government. eiti.org totals do not appear to include PETROCI and SODEMI flows; however, even when these flows are added there are small (less than 1%) differences between the totals here and those given by eiti.org. One mining company (Rockstone Gold) did not report, and were not included in reconciliation.</t>
  </si>
  <si>
    <t>Total Received by Govt includes Profit-Oil et Cost-Oil Etat-Associé (numéraire) and Besoins nationaux received by PETROCI on behalf of the state. Total Payments by Companies includes PETROCI's payment of Profit-Oil Etat-Puissance Publique (numéraire) to the state.</t>
  </si>
  <si>
    <t>In-kind receipts include gas received by PETROCI on behalf of the state and by PETROCI for its own account. Note that in-kind volumes are as reported by Petroci; unlike past EITI Reports, the 2011 report also gives company reported in-kind payments. Company payments match PETROCI's reported receipts except for the state's share of entitlement gas: companies reported paying 670 MMBTU (24 million cubic meters) more than Petroci reported receiving.  Value of in-kind payments has not been calculated because part of in-kind oil/gas is commercialized by PETROCI on behalf of the state and already included in revenue totals.</t>
  </si>
  <si>
    <t>In-kind receipts include oil received by state and PETROCI.  Note that in-kind volumes are as reported by Petroci; unlike past EITI Reports, the 2011 report also gives company reported in-kind payments. Company oil payments match PETROCI's reported receipts. Value of in-kind payments has not been calculated because part of in-kind oil/gas is commercialized by PETROCI on behalf of the state and already included in revenue totals.</t>
  </si>
  <si>
    <t>Total Received by Govt includes Sodemi receipts of Dividendes issus des participations de SODEMI. Total Payments by Companies includes Sodemi's payments to the state of Redevances superficiaires and Impot BIC.</t>
  </si>
  <si>
    <t xml:space="preserve">Gold exports are given in the report (12 tons) but not the production. </t>
  </si>
  <si>
    <t>Host government's production entitlement, State-owned company production entitlement, Profits/Taxes, Royalties, Dividends, Bonuses, Licenses and concessions</t>
  </si>
  <si>
    <t>Tullow Oil, African Petroleum, Vitol Côte d'Ivoire, Vioco Petroleum (Rialto Petroleum), Anadarko, CNR International, Lukoil, Foxtrot International, Taleveras, Agbaou Gold Operations, Equigold CI, CMMK, Bondoukou Manganese SA, Etruscan Resources CI, Geb &amp;
Nut Ressources, CML, Golden Oriole, Geoservice, Niquelafrica, Jofema Mineral Resources, New Mining, Planet Mineral, NABC SA, Mayana SARL, Newmont Overseas Exploration LTD, B.I.P.T.F.O.P., Rockstone Gold SA, Resolute, Caystar CI, Somici, Sani Resources, Golden Star Exploration, Tata Steel CI SA, Sermis, Cominor, TD Continental, IBG ***</t>
  </si>
  <si>
    <t xml:space="preserve">Companies requested to report / reporting section unclear (and discrepancy with the website). Production volumes unclear. Only export volumes provided for some commodities. The prodcution value figures are the ones reported by the government. The EITI report also inlcudes companies production figures : USD1125024847.54 of oil and USD 587465312.84 of gold. </t>
  </si>
  <si>
    <t>btu</t>
  </si>
  <si>
    <t xml:space="preserve">Democratic Republic of Congo </t>
  </si>
  <si>
    <t>http://www.itierdc.com</t>
  </si>
  <si>
    <t>PricewaterhouseCoopers DRC</t>
  </si>
  <si>
    <t>Cobalt</t>
  </si>
  <si>
    <t>Price from USGS Mineral Yearbook 2008, and is the average U.S. spot price for minimum 99.8% cobalt cathode reported by Platts Metals Week</t>
  </si>
  <si>
    <t>o/w Cobalt content of mine output</t>
  </si>
  <si>
    <t>o/w Cobalt (metal)</t>
  </si>
  <si>
    <t>Columbite-tantalite concentrate</t>
  </si>
  <si>
    <t>o/w Gross weight</t>
  </si>
  <si>
    <t>o/w Columbium content</t>
  </si>
  <si>
    <t>Volume from USGS Mineral Yearbook 2011. Price from USGS Mineral Commodity Summary 2009, and is the price for ferroniobium with 65% columbium content in the US.</t>
  </si>
  <si>
    <t>o/w Tantalum content</t>
  </si>
  <si>
    <t>Volume from USGS Mineral Yearbook 2011. Price from USGS Mineral Commodity Summary 2009, and is the price for the Ta2O5 content of tantalite in the US.</t>
  </si>
  <si>
    <t>Price from World Bank (Global Economic Monitor (GEM) Commodities database) - defined as: Copper (LME), grade A, minimum 99.9935% purity, cathodes and wire bar shapes, settlement price - adjusted to account for the prices given in the Freeport-McMoRan Copper &amp; Gold Inc. Annual Report 2011 for output from the Tenke Fungurume mine being an average 102.89% of this in 2009-2011.</t>
  </si>
  <si>
    <t>o/w Copper content of mine output</t>
  </si>
  <si>
    <t>o/w Copper (refined)</t>
  </si>
  <si>
    <t>Volume from USGS Mineral Yearbook 2011. Price from kimberley Process Annual Summary 2007.</t>
  </si>
  <si>
    <t>Tin concentrate</t>
  </si>
  <si>
    <t>Price from World Bank (Global Economic Monitor (GEM) Commodities database), and is defined as: Tin (LME), refined, 99.85% purity, settlement price.</t>
  </si>
  <si>
    <t>o/w Tin content</t>
  </si>
  <si>
    <t>Tungsten concentrate</t>
  </si>
  <si>
    <t>Price from USGS Mineral Commodity Summary 2009, and is the average price on the US and European spot markets for a metric ton unit of tungsten trioxide, which contains 7.93kg of tungsten.</t>
  </si>
  <si>
    <t>o/w Tungsten content</t>
  </si>
  <si>
    <t>Zinc (content of mine output)</t>
  </si>
  <si>
    <t>Volume from USGS Mineral Yearbook 2011. Price from World Bank (Global Economic Monitor (GEM) Commodities database), and is defined as: Zinc (LME), high grade, minimum 99.95% purity, settlement price beginning April 1990; previously special high grade, minimum 99.995%, cash prices.</t>
  </si>
  <si>
    <t>Profits/Taxes, Royalties, Dividends, Bonuses, Licenses and concessions</t>
  </si>
  <si>
    <t>United States Dollar and Congolese Franc</t>
  </si>
  <si>
    <t>PETROLEUM: Perenco, Chevron ODS, Muanda International Oil Company, Lirex, Surestream, Teikoku Oil. MINING PRODUCTION: Anvil Mining Company Katanga, Anvil Mining Congo, Bazano, Boss Mining SPRL, Chemical of Africa, Compagnie Miniere de Sakania, Compagnie Miniere du Sud Katanga, DRC Cooper et Cobalt Project, Frontier, Generale des Carrieres et des Mines, Kamoto Copper Company, La Miniere de Bakwanga, Ciming Company Katanga (MCK), Mutanda Mining, New Dathy Corp, Ruashi Mining, Societe de Tratement du Terril de Lubumbashi, Societe d'Exploitation de Kipoi, Societe de Developpement Industriel et Minier du Congo, Tanke Fungurume Mining, Volcano Mining. MINING EXPLORATION: African Minerals (Barbados) Ltd SPRL, Anglogold, Bolfast Company, Cluff Mining, Congo Cobalt Corp, Congo Dongfang Intl Mining, Congo Loyal Will Mining, De Beers DRC Exploration, Jindal Mineral Metals Africa Congo, Kasonto Lupoto Mines SPRL, Kibali Goldmine, Kingamiambo Musonoi Tailing, Miniere de Musoshi &amp; Kinsenda SARL, Roan Prospecting &amp; Mining. ARTISENAL/MINERAL TRADERS: North Kivu: AMUR, Afromet, CLEPAD, Donson Intl., Ebir, FRADEBU, GMC Global Mining Company, Hillside, Huaying Trading Co, Kivu Metal, METACHEM, Mining and Processing Congo, MUNSAD, Mutombo, Namukaya, Pan African Business Group, Sodexmines, Tin Tantalite Tungestene, Tengen Metals Congo. South Kivu: Bakulikira, Panju, WMC. Diamond traders Kinshasa: ACD, ADEX, Congo Diam, Gama, k.w.b, Margaux, Primo-Gem.</t>
  </si>
  <si>
    <t>Unclear</t>
  </si>
  <si>
    <t>Petroleum: 7, Mining: 8-10</t>
  </si>
  <si>
    <t>DRC produced separate EITI Reports for petroleum and minerals; the reports include data for 2008 and 2009. Totals include SOC receipts (counted as govt revenues) and SOC payments (counted as company payments).</t>
  </si>
  <si>
    <t>State-owned companies (ie, Gecamines) act as both paying and receiving entities. Here, revenues collected by SOCs are included under Total Received by Govt, and revenues paid to the central govt by SOCs are included under Total Payments by Companies. Total mining revenues/payments covers production, exploration, and artisinal mining.</t>
  </si>
  <si>
    <t>Price from USGS Mineral Yearbook 2012, and is the average U.S. spot price for minimum 99.8% cobalt cathode reported by Platts Metals Week</t>
  </si>
  <si>
    <t>Volume from USGS Mineral Yearbook 2012. Price from USGS Mineral Commodity Summary 2013, and is the price for ferroniobium with 65% columbium content in the US.</t>
  </si>
  <si>
    <t>Volume from USGS Mineral Yearbook 2012. Price from USGS Mineral Commodity Summary 2013, and is the price for the Ta2O5 content of tantalite in the US.</t>
  </si>
  <si>
    <t>Volume from USGS Mineral Yearbook 2012. Price from kimberley Process Annual Summary 2008.</t>
  </si>
  <si>
    <t>The EITI Report notes that one company, MIBA, produced at least 1 million carats before operations were suspended in Nov 2008 (see p.4 of mining report).</t>
  </si>
  <si>
    <t>Price from USGS Mineral Commodity Summary 2013, and is the average price on the US and European spot markets for a metric ton unit of tungsten trioxide, which contains 7.93kg of tungsten.</t>
  </si>
  <si>
    <t>Volume from USGS Mineral Yearbook 2012. Price from World Bank (Global Economic Monitor (GEM) Commodities database), and is defined as: Zinc (LME), high grade, minimum 99.95% purity, settlement price beginning April 1990; previously special high grade, minimum 99.995%, cash prices.</t>
  </si>
  <si>
    <t>Price from the Freeport-McMoRan Copper &amp; Gold Inc. Annual Report 2011 and is for output from the Tenke Fungurume mine.</t>
  </si>
  <si>
    <t>Host government's production entitlement, Profits/Taxes, Royalties, Dividends, Bonuses, Licenses and concessions, Other significant benefits to government</t>
  </si>
  <si>
    <t>Mining: AMC, AMCK, BAZANO, BOLFAST, BOSS MINING, CDM, CHEMAF, CMSK, COMISA, CONGO LOYAL, FEZA MINING, FRONTIER, GECAMINES, GOLDEN AFRICA, KCC, MUMI, MIBA, SEK, CHABARA, COMIDE, KANSUKI, KISANFU, LUGUSHWA, NAMOYA, SECAKAT, SICOMINES, SMKK, SODIFOR, SODIMIKA, SWANMINES, TWANGIZA, SAKIMA, SCMK-Mn, SOKIMO. Petroleum: CHEVRON, LIREX, MIOC, PERENCO, TEIKOKU, DIVINE, ENRGULF, NESSERGY, OIL OF DRC, SOCO, SURESTREAM.</t>
  </si>
  <si>
    <t>33-35</t>
  </si>
  <si>
    <r>
      <t xml:space="preserve">The 2010 report has 'positive' discrepancies of US$ 13,360, 092, i.e., company declarations superior to government declarations. It has 'negative' discrepancies of US$ 38,043,591, i.e., government declarations superior to company declarations. In addition, there is a negative discrepancy of US$ 77,633,233 from the 'unilateral' government declaration of the payments from the companies Frontier and Comisa which were sold in 2010 and legally not obliged to report.On 25 January 2013, EITI DRC published the 2010 report which was adopted on 15 January 2013 in new design. The content remains unaltered. Two companies (Frontier and Comisa) did not report; their payments ($ </t>
    </r>
    <r>
      <rPr>
        <u/>
        <sz val="11"/>
        <color indexed="8"/>
        <rFont val="Calibri"/>
        <family val="2"/>
      </rPr>
      <t>77 633 233)</t>
    </r>
    <r>
      <rPr>
        <sz val="11"/>
        <color indexed="8"/>
        <rFont val="Calibri"/>
        <family val="2"/>
      </rPr>
      <t xml:space="preserve"> were reported unilaterally by the state and included in Total Received by Govt. Three SOCs (GECAMINES, SODIMICO and SOKIMO) receive signing bonus and royalty payments from private companies; these receipts are included as govt revenues.</t>
    </r>
  </si>
  <si>
    <t>Disaggregated by companies</t>
  </si>
  <si>
    <t xml:space="preserve">Cohydro, Mioc, Perencorep, Energulf, Eni Rd Congo, Nessergy, Oil of DR Congo, Soco DRC, Surestream, Total, Caprikate Congo, Chevron ODS, Divine Inspiration Group, Foxwhelp Congo, Glencore, Japeco, Kinrex, Socorep, Soreplico, Solico, Inpex, Ibos, Lirex, Semliki, Teikoku Oil, Cobit, Comico, African Minerals (Barbados), Anvil Mining Company of Katanga (AMCK), Anvil Mining Congo, Ashanti Goldfiels Kilo Sarl, Bazano, Boss Mining Sprl, Chemical of Africa Sprl, Compagnie Miniere du Sud-Katanga Sprl, Congo Dong Fang Minerals, Congo Loyal Will Mining (CLWM), Congolaise des Mines et de Development (COMIDE), Entreprise Generale Mala Forest (EGMF), Gecamines, Sodifor, Kamituga Mining, Kamoto Copper Company, Kansuki Mining Sprl, Kasontolupoto Mines, KGL - Somituri (Societe Miniere de L'Ituri), Kibali Gold Mines, Kimin/Kisanfu Mining, Kinsenda Copper Company, Kipushi Corporation (Kico), Loncor Resources Congo Sprl, Mining Mineral Resources (MMR), Mutanda Mining, Orama, Ruashi Mining, Rubamin, Shituru Mining Corporation, SMKK, S. d'Exploitation de Gisements de Kalukundi (Swan Mines), Societe d'Exploitation de Kipoi (SEK), Societe d'Exploitation Miniere de Chabara Sprl, Societe d'Exploitation Miniere du Haut-Katanga, Societe Miniere du Katange (SOMIKA), SODIMICO, SOKIMO, STL, Tenke Fungurume Mining (TFM), Twangiaz Mining, Bolfast, Congo International Mining Corporation, Cota Mining, Exploitation Artisanale du Congo (EXACO), Feza Mining, Huachin Sprl, JMT, Magma Minerals, Metals Mines, Volcano, La COmminiere, SAKIMA, SCMK - Mn, Societe Congolaise d'Investissement (SCIM), Societe Miniere de Bakwanga (MIBA), Societe Immobiliere du Congo (SIMCO), CLuff Mining, Comagniermusonoi (COMMOS), Compagnie Miniere du Luisha (COMILU) Cooompagnie Miniere Kambove (COMIKA), GTL, La Miniere de Kalumbwemyunga (MKM), La Miniere de Kasombo (MIKAS), Long Fei Mining, Lugushwa Mining, Manono Minerals, Mwana Africa COngo Gold (MIZAKO), Namoya Mining Salr, SECAKAT, SEGMAL, SICOMINES, Societe de Beers DRC Exploration Sprl, Societe Minierede Kolwezi, Societe Miniere de Moku-Beverendi (SMB), Soceite Miniere de Ziwaecaille (SOMIDEC), SODIMIKA (Kimpermabaya), SOMIMI, Wanga Mining, Compagnie Miniere Sakania (COMISA), Frontier, Golden Africa Resources, Metalkol </t>
  </si>
  <si>
    <t>This information has been taken from a complementary report as the report on the oil sector has not been translated in to English. Materiality threshold: all oil companies should be reconciled; mining companies that have made payment of more than $500,000 in 2011, state-owned mining companies, mining companies that are in a joint venture with mining companies, and mining companies that have participated in previous EITI Reports, should be reconciled. The report doesn't specify what minerals are mined. Unilateral declarations are included in the figures. The report contains extensive information on the Sicomines project.</t>
  </si>
  <si>
    <t>100% of production value &amp; revenue</t>
  </si>
  <si>
    <t>Cohydro, Mioc, Perencorep, Energulf, Eni Rd Congo, Nessergy, Oil of DR Congo, Soco DRC, Surestream, Total, Caprikate Congo, Chevron ODS, Divine Inspiration Group, Foxwhelp Congo, Glencore, Japeco, Kinrex, Socorep, Soreplico, Solico, Inpex, Ibos, Lirex, Semliki, Teikoku Oil, Cobit, Comico</t>
  </si>
  <si>
    <t xml:space="preserve">African Minerals (Barbados), Anvil Mining Company of Katanga (AMCK), Anvil Mining Congo, Ashanti Goldfiels Kilo Sarl, Bazano, Boss Mining Sprl, Chemical of Africa Sprl, Compagnie Miniere du Sud-Katanga Sprl, Congo Dong Fang Minerals, Congo Loyal Will Mining (CLWM), Congolaise des Mines et de Development (COMIDE), Entreprise Generale Mala Forest (EGMF), Gecamines, Sodifor, Kamituga Mining, Kamoto Copper Company, Kansuki Mining Sprl, Kasontolupoto Mines, KGL - Somituri (Societe Miniere de L'Ituri), Kibali Gold Mines, Kimin/Kisanfu Mining, Kinsenda Copper Company, Kipushi Corporation (Kico), Loncor Resources Congo Sprl, Mining Mineral Resources (MMR), Mutanda Mining, Orama, Ruashi Mining, Rubamin, Shituru Mining Corporation, SMKK, S. d'Exploitation de Gisements de Kalukundi (Swan Mines), Societe d'Exploitation de Kipoi (SEK), Societe d'Exploitation Miniere de Chabara Sprl, Societe d'Exploitation Miniere du Haut-Katanga, Societe Miniere du Katange (SOMIKA), SODIMICO, SOKIMO, STL, Tenke Fungurume Mining (TFM), Twangiaz Mining, Bolfast, Congo International Mining Corporation, Cota Mining, Exploitation Artisanale du Congo (EXACO), Feza Mining, Huachin Sprl, JMT, Magma Minerals, Metals Mines, Volcano, La COmminiere, SAKIMA, SCMK - Mn, Societe Congolaise d'Investissement (SCIM), Societe Miniere de Bakwanga (MIBA), Societe Immobiliere du Congo (SIMCO), CLuff Mining, Comagniermusonoi (COMMOS), Compagnie Miniere du Luisha (COMILU) Cooompagnie Miniere Kambove (COMIKA), GTL, La Miniere de Kalumbwemyunga (MKM), La Miniere de Kasombo (MIKAS), Long Fei Mining, Lugushwa Mining, Manono Minerals, Mwana Africa COngo Gold (MIZAKO), Namoya Mining Salr, SECAKAT, SEGMAL, SICOMINES, Societe de Beers DRC Exploration Sprl, Societe Minierede Kolwezi, Societe Miniere de Moku-Beverendi (SMB), Soceite Miniere de Ziwaecaille (SOMIDEC), SODIMIKA (Kimpermabaya), SOMIMI, Wanga Mining, Compagnie Miniere Sakania (COMISA), Frontier, Golden Africa Resources, Metalkol </t>
  </si>
  <si>
    <t>Volume from USGS Mineral Yearbook 2012. Price from BPSR 2014, and is an average of the American Central Appalachian, Asian and Northwest Europe marker/spot prices.</t>
  </si>
  <si>
    <t>Volume from USGS Mineral Yearbook 2012. Price from kimberley Process Annual Summary 2011.</t>
  </si>
  <si>
    <t>Production volume information from USGS Mineral Yearbook 2012, price information from World Bank (Global Economic Monitor (GEM) Commodities database). Price is defined as: Zinc (LME), high grade, minimum 99.95% purity, settlement price beginning April 1990; previously special high grade, minimum 99.995%, cash prices.</t>
  </si>
  <si>
    <t>Profits/Taxes, Royalties, Dividends, Bonuses, Licenses and concessions, Other significant benefits to government</t>
  </si>
  <si>
    <t>Congolese Franc</t>
  </si>
  <si>
    <t xml:space="preserve">Caprikat, Chevron ODS, Cohydro, Divine, Energulf, Eni, Foxwelp, Glencore, IBOS, INPEX, Japeco, Kinrex, Lirex, MIOC, Nessergy, Oil of DRC, Perencorep, Semliki, Soco, Socorep, Solico, Soreplico, Surestream, Teikoku, Total, African Minerals, Alsesy Trading SPRL, Anvil Mining Compagny Kinsevere (AMCK), Anvil Mining Congo, Ashanti Goldfields Kilo SARL, Bolfast, Bon Geni K. Mining, Boss Mining, Chabara SPRL, Chemical Of Africa, Compagnie De Musonoie Global SPRL, Compagnie Minere De Tondo, Compagnie Miniere De Kambove, Compagnie Miniere De Luisha, Compagnie Miniere Du Sud Katanga, Compagnie Miniere Sakania, Company Miniere De Dilala SPRL, Congo Dongfang International Mining, Congo International Mining Corporation SPRL, Congo Jinjun Cheng Mining Compagny, Entreprise Generale Malta Forest, Exploitations Artisanales Du Congo, Feza Mining, Frontier, Giro Gold, Groupe Bazano, Groupement Du Terril De Lubumbashi, Huachin Metal Leach SPRL, Huachin Mining SPRL, JMT, Kamoto Copper Company, Kansuki Mining SPRL, Kasonto Lupoto Mines, KGL-Somituri (Socitete Miniere De Ituri), Kibali Gold Mines, Kinsenda Copper Company (KICC), Kipushi Corporation, Kisanfu Mining SPRL, La Congolaise D’exploitation Miniere, La Congolaise Des Mines Et De Developpement SPRL, La Generale Des Carrieres Et Des Mines, La Miniere De Kalumbwe Myunga, La Miniere De Kasombo, La Sino Congolaise Des Mines, Loncor Resources Congo SPRL, Long Fei Mining, Magma Minerals, Metal Mines, Mineral Invest International Congo, Mines D’Or De Kisenge SPRL (Cluff Mining), Miniere De Bakwanga, Mining Mineral Resources, Mutanda Mining, Namoya Mining SARL, Orama, Phelps Dodge Congo, Rio Tinto Congo, Ruashi Mining, Rubamin, Shituru Mining Company, Societe Aurifere Du Kivu Et Du Maniema, Societe, Commerciale Miniere De Kisenge Manganese, Societe Congolaise D’investissement Minier, Societe D Exploitation De La Cassiterite Au Katanga SPRL, Societe D Exploitation Des Gisements De Malemba Nkulu SPRL, Societe D’exploitation Des Rejets De Kingamyambo Societe D’Exploitation Kipoi, Societe D’exploration Miniere Du Haut Katanga, Societe D’exploitation Des Gisements De Kalunkundi, Societe De Beers Drc Exploration SPRL, Societe De Developpement Et D’investissement Minier Du Congo, Societe De Developpement Industriel Et Minier De Katanga, Societe De Traitement De Terril De Lubumbashi, Societe Golden Africa Ressources SPRL, Societe Immobiliere Du Congo, Societe Kamituga Mining S.A.R.L, Societe Lugushwa Mining S.A.R.L, Societe Miniere De Kabolela Et Kipese, Societe Miniere De Kilo Moto, Societe Miniere De Kolwezi, Societe Miniere De Moku Beverend, Societe Miniere Deziwa Ecaille, Societe Miniere Du Katanga, Sodifor SPRL,Tenke Fungurume Mining, Twangiza Mining, Wana Africa Congo Gold ***
</t>
  </si>
  <si>
    <t>Companies requested to report / reporting section unclear.</t>
  </si>
  <si>
    <t>Cassiterite</t>
  </si>
  <si>
    <t>Wolframite</t>
  </si>
  <si>
    <t>Columbite–Tantalite</t>
  </si>
  <si>
    <t>This report is not mentioned on www.eiti.org.</t>
  </si>
  <si>
    <t>Host government's production entitlement, State-owned company production entitlement, Profits/Taxes, Royalties, Dividends, Bonuses</t>
  </si>
  <si>
    <t xml:space="preserve">This report is not mentioned on www.eiti.org. </t>
  </si>
  <si>
    <t>Volume from USGS Mineral Yearbook 2007. Price from USGS Mineral Commodity Summary 2009, and is the average mill price for cement in the US.</t>
  </si>
  <si>
    <t>Volume from USGS Mineral Yearbook 2007. Price from Kimberley Process Annual Summary 2005, and is the average price for countries participating in the Kimberley Process.</t>
  </si>
  <si>
    <t>Volume from USGS Mineral Yearbook 2007. Price from World Bank (Global Economic Monitor (GEM) Commodities database), and is defined as: Gold (UK), 99.5% fine, London afternoon fixing, average of daily rates.</t>
  </si>
  <si>
    <t>Price from NRGI dataset</t>
  </si>
  <si>
    <t>o/w Manganese ore (50-53% Mn)</t>
  </si>
  <si>
    <t>Volume from USGS Mineral Yearbook 2007</t>
  </si>
  <si>
    <t>o/w Manganese pellets (82-85% MnO2)</t>
  </si>
  <si>
    <t>Volume from USGS Mineral Yearbook 2007. Price from Kimberley Process Annual Summary 2006, and is the average price for countries participating in the Kimberley Process.</t>
  </si>
  <si>
    <t xml:space="preserve">Ghana </t>
  </si>
  <si>
    <t>http://www.gheiti.gov.gh/</t>
  </si>
  <si>
    <t>Royalty, mineral right license, ground rent, property rates, corporate tax, dividends</t>
  </si>
  <si>
    <t>≈80% of revenue</t>
  </si>
  <si>
    <t>Ghana Cedi</t>
  </si>
  <si>
    <t>Anglogold Ashanti-Obuasi, Anglogold Ashanti-Bibiani, Anglogold Ashanti-Iduaprim, GSR-Prestea/Bogosu, Gold Fields (Ghana) Ltd-Tarkwa, Abosso Goldfields Ltd, Ghana Manganese Ltd, Ghana Bauxite Co. Ltd</t>
  </si>
  <si>
    <t>Boas &amp; Associates</t>
  </si>
  <si>
    <t>33-34</t>
  </si>
  <si>
    <t xml:space="preserve">Materiality threshold: The largest companies which make up over 80% of total mining revenues in 2004-8, and paid over 99% of mineral royalties in 2004, should be reconciled. There is some disaggregation by company, and therefore also by commodity, but this is not comprehensive. Unilateral declarations do not appear to be included in the figures. </t>
  </si>
  <si>
    <t>Bauxite</t>
  </si>
  <si>
    <t>Volume from USGS Mineral Yearbook 2008. Price from USGS Mineral Yearbook 2005, and is the average f.a.s. price of US imports of crude and dried bauxite.</t>
  </si>
  <si>
    <t>Ghana Bauxite Co. Ltd</t>
  </si>
  <si>
    <t>Volume from USGS Mineral Yearbook 2008. Price from kimberley Process Annual Summary 2004.</t>
  </si>
  <si>
    <t>Volume from USGS Mineral Yearbook 2008.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t>
  </si>
  <si>
    <t>Anglogold Ashanti-Obuasi, Anglogold Ashanti-Bibiani, Anglogold Ashanti-Iduaprim, GSR-Prestea/Bogosu, Gold Fields (Ghana) Ltd-Tarkwa, Abosso Goldfields Ltd</t>
  </si>
  <si>
    <t xml:space="preserve">Price from USGS Mineral Commodity Summary 2009, and is the c.i.f. price at US ports for metallurgical ore with 46-48% manganese content. </t>
  </si>
  <si>
    <t>Ghana Manganese Ltd</t>
  </si>
  <si>
    <t>Volume from USGS Mineral Yearbook 2008</t>
  </si>
  <si>
    <t>Salt</t>
  </si>
  <si>
    <t>Volume from USGS Mineral Yearbook 2008. Price from USGS Mineral Commodity Summary 2009, and is the average f.o.b. mine and plant price for bulk, pellets and packaged vacuum and open pan salt, solar salt, rock salt and salt in brine.</t>
  </si>
  <si>
    <t>Volume from USGS Mineral Yearbook 2008. Price from World Bank (Global Economic Monitor (GEM) Commodities database), and is defined as: Silver (Handy &amp; Harman), 99.9% grade refined, New York.</t>
  </si>
  <si>
    <t>Profits/Taxes, Royalties, Dividends, Licenses and concessions</t>
  </si>
  <si>
    <t>Disaggregated by revenue stream, Disaggregated by commodity, Disaggregated by company, Disaggregated by company and revenue stream, Disaggregated by commodity and revenue stream</t>
  </si>
  <si>
    <t>Anglogold Ashanti-Obuasi, Anglogold Ashanti-Bibiani, Anglogold Ashanti-Iduaprim, Bogosu Gikd Ktd (GSR), Gold Fields (Ghana) Ltd-Tarkwa, Abosso Goldfields Ltd, Wexford Goldfield (GSR-Ayempim), Ghana Manganese Ltd, Ghana Bauxite Co. Ltd</t>
  </si>
  <si>
    <t xml:space="preserve">Materiality threshold: The largest companies which make up over 80% of total mining revenues in 2004-8, and paid over 99% of mineral royalties in 2005, should be reconciled. Unilateral declarations do not appear to be included in the figures. </t>
  </si>
  <si>
    <t>12-13</t>
  </si>
  <si>
    <t>Volume from USGS Mineral Yearbook 2008. Price from kimberley Process Annual Summary 2005.</t>
  </si>
  <si>
    <t>Anglogold Ashanti-Obuasi, Anglogold Ashanti-Bibiani, Anglogold Ashanti-Iduaprim, Bogosu Gikd Ktd (GSR), Gold Fields (Ghana) Ltd-Tarkwa, Abosso Goldfields Ltd, Wexford Goldfield (GSR-Ayempim)</t>
  </si>
  <si>
    <t>Anglogold Ashanti-Obuasi, Anglogold Ashanti-Iduaprim, GSR (Prestea/Bogosu), Gold Fields (Ghana) Ltd-Tarkwa, Abosso Goldfields Ltd, GSR(Wassa) Ltd, Central African Gold, Chirano Goldmines, Newmont (Ghana) Ltd, Ghana Manganese Ltd, Ghana Bauxite Co. Ltd</t>
  </si>
  <si>
    <t xml:space="preserve">Materiality threshold: The largest companies which make up over 80% of total mining revenues in 2004-8, and paid over 99% of mineral royalties in 2006, should be reconciled. Unilateral declarations do not appear to be included in the figures. </t>
  </si>
  <si>
    <t>Volume from USGS Mineral Yearbook 2008. Price from USGS Mineral Yearbook 2007, and is the average f.a.s. price of US imports of crude and dried bauxite.</t>
  </si>
  <si>
    <t>18-19</t>
  </si>
  <si>
    <t>Volume from USGS Mineral Yearbook 2008. Price from kimberley Process Annual Summary 2006.</t>
  </si>
  <si>
    <t>Anglogold Ashanti-Obuasi, Anglogold Ashanti-Iduaprim, GSR (Prestea/Bogosu), Gold Fields (Ghana) Ltd-Tarkwa, Abosso Goldfields Ltd, GSR(Wassa) Ltd, Central African Gold, Chirano Goldmines, Newmont (Ghana) Ltd</t>
  </si>
  <si>
    <t xml:space="preserve">Materiality threshold: The largest companies which make up over 80% of total mining revenues in 2004-8, and paid over 99% of mineral royalties in 2007, should be reconciled. Unilateral declarations do not appear to be included in the figures. </t>
  </si>
  <si>
    <t>Volume from USGS Mineral Yearbook 2011. Price from USGS Mineral Yearbook 2007, and is the average f.a.s. price of US imports of crude and dried bauxite.</t>
  </si>
  <si>
    <t>Volume from USGS Mineral Yearbook 2011.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t>
  </si>
  <si>
    <t>Volume from USGS Mineral Yearbook 2011. Price from USGS Mineral Commodity Summary 2009, and is the average f.o.b. mine and plant price for bulk, pellets and packaged vacuum and open pan salt, solar salt, rock salt and salt in brine.</t>
  </si>
  <si>
    <t>Volume from USGS Mineral Yearbook 2011. Price from World Bank (Global Economic Monitor (GEM) Commodities database), and is defined as: Silver (Handy &amp; Harman), 99.9% grade refined, New York.</t>
  </si>
  <si>
    <t xml:space="preserve">Materiality threshold: The largest companies which make up over 80% of total mining revenues in 2004-8, and paid over 99% of mineral royalties in 2008, should be reconciled. Unilateral declarations do not appear to be included in the figures. </t>
  </si>
  <si>
    <t>Volume from USGS Mineral Yearbook 2011. Price from USGS Mineral Yearbook 2008, and is the average f.a.s. price of US imports of crude and dried bauxite.</t>
  </si>
  <si>
    <t>17-18</t>
  </si>
  <si>
    <t>Volume from USGS Mineral Yearbook 2011. Price from kimberley Process Annual Summary 2008.</t>
  </si>
  <si>
    <t>Volume from USGS Mineral Yearbook 2011. Price from USGS Mineral Commodity Summary 2013, and is the average f.o.b. mine and plant price for bulk, pellets and packaged vacuum and open pan salt, solar salt, rock salt and salt in brine.</t>
  </si>
  <si>
    <t>Anglogold Ashanti-Obuasi, Anglogold Ashanti-Iduaprim, GSR (Prestea/Bogosu), Gold Fields (Ghana) Ltd-Tarkwa, Abosso Goldfields Ltd, GSR(Wassa) Ltd, Chirano Goldmines, Newmont (Ghana) Ltd, Ghana Manganese Ltd, Ghana Bauxite Co. Ltd</t>
  </si>
  <si>
    <t xml:space="preserve">Materiality threshold: The largest companies which paid 99% of mineral royalties in 2009 should be reconciled. Resolved discerpancies are not included in the final figures, but these have been added retrospectively. Unilateral declarations do not appear to be included in the figures. </t>
  </si>
  <si>
    <t>Volume from USGS Mineral Yearbook 2011. Price from USGS Mineral Yearbook 2010, and is the average f.a.s. price of US imports of crude and dried bauxite.</t>
  </si>
  <si>
    <t>15</t>
  </si>
  <si>
    <t>Volume from USGS Mineral Yearbook 2011. Price from kimberley Process Annual Summary 2009.</t>
  </si>
  <si>
    <t>Anglogold Ashanti-Obuasi, Anglogold Ashanti-Iduaprim, GSR (Prestea/Bogosu), Gold Fields (Ghana) Ltd-Tarkwa, Abosso Goldfields Ltd, GSR(Wassa) Ltd, Chirano Goldmines, Newmont (Ghana) Ltd</t>
  </si>
  <si>
    <t>State-owned company production entitlement, Profits/Taxes, Royalties, Dividends, Licenses and concessions, Other significant benefits to government</t>
  </si>
  <si>
    <t>United States Dollar and Ghana Cedi</t>
  </si>
  <si>
    <t>Anglogold Ashanti-Obuasi, Anglogold Ashanti-Iduaprim, Adamus Resources Ltd, GSR (Prestea/Bogosu), Gold Fields (Ghana) Ltd-Tarkwa, Abosso Goldfields Ltd, GSR(Wassa) Ltd, Chirano Goldmines, Newmont (Ghana) Ltd, Ghana Manganese Ltd, Ghana Bauxite Co. Ltd, Tullow (Ghana) Limited, Kosmos Energy Ghana HC, Ghana National Petroleum Corporation (GNPC), Saltpond Oil Fields, Anadarko (Ghana) Limited, Sabre Oil and Gas Holdings Ltd, E.O. Group Ltd</t>
  </si>
  <si>
    <t>31 (of oil &amp; gas report), 19 (of mining report)</t>
  </si>
  <si>
    <t>The report uses US dollars for payments by oil companies, and the local currency, the Ghana Cedi, for payments by mining companies. Materiality threshold: All oil &amp; gas comapnies operating in the Jubilee and Saltpond field should be reconciled; the largest mining companies which paid 99% of mineral royalties in 2010 should be reconciled. The report doesn't distinguish between oil and gas producers. Oil and gas payments are only comprehensively disaggregated by revenue stream. Resolved discrepancies are not included in the final figures for mining payments, but there is insufficent information to add these retrospectively. Unilateral declarations do not appear to be included in the figures. The Ghana National Petroleum Corporation is a SOC engaged in the in exploration, production and disposal of petroleum products. The report also includes: company and project costs; the pricing mechanism for oil; the expenditure of extractive industry revenues.</t>
  </si>
  <si>
    <t>Tullow (Ghana) Limited, Kosmos Energy Ghana HC, Ghana National Petroleum Corporation (GNPC), Saltpond Oil Fields, Anadarko (Ghana) Limited, Sabre Oil and Gas Holdings Ltd, E.O. Group Ltd</t>
  </si>
  <si>
    <t>31 (of oil &amp; gas report)</t>
  </si>
  <si>
    <t>Anglogold Ashanti-Obuasi, Anglogold Ashanti-Iduaprim, Adamus Resources Ltd, GSR (Prestea/Bogosu), Gold Fields (Ghana) Ltd-Tarkwa, Abosso Goldfields Ltd, GSR(Wassa) Ltd, Chirano Goldmines, Newmont (Ghana) Ltd, Ghana Manganese Ltd, Ghana Bauxite Co. Ltd</t>
  </si>
  <si>
    <t>19 (of mining report)</t>
  </si>
  <si>
    <t>Volume from USGS Mineral Yearbook 2011. Price from kimberley Process Annual Summary 2010.</t>
  </si>
  <si>
    <t>Volume from USGS Mineral Yearbook 2011. Price from the Golden Star Annual Report 2011 and is for output from the Bogoso/Prestea and Wassa mines.</t>
  </si>
  <si>
    <t>Anglogold Ashanti-Obuasi, Anglogold Ashanti-Iduaprim, Adamus Resources Ltd, GSR (Prestea/Bogosu), Gold Fields (Ghana) Ltd-Tarkwa, Abosso Goldfields Ltd, GSR(Wassa) Ltd, Chirano Goldmines, Newmont (Ghana) Ltd</t>
  </si>
  <si>
    <t>14, 19 (of mining report)</t>
  </si>
  <si>
    <t>The production volume by the covered companies does not include Adamus Resources.</t>
  </si>
  <si>
    <t>3,930,189 bbl of oil</t>
  </si>
  <si>
    <t>25, 31 (of oil &amp; gas report), 29 (of mining report)</t>
  </si>
  <si>
    <t>The report uses US dollars for payments by oil companies, and the local currency, the Ghana Cedi, for payments by mining companies. Materiality threshold: All oil &amp; gas comapnies operating in the Jubilee and Saltpond field should be reconciled; the largest mining companies which paid 99% of mineral royalties in 2011 should be reconciled. The report doesn't distinguish between oil and gas producers. Oil and gas payments are only comprehensively disaggregated by revenue stream. Resolved discrepancies are not included in the final figures for mining payments, but there is insufficent information to add these retrospectively. Unilateral declarations do not appear to be included in the figures. Almost 100% of oil payments were made in kind, with the average barrel of oil being valued at $113. The Ghana National Petroleum Corporation is a SOC engaged in the in exploration, production and disposal of petroleum products. The report also includes: company and project costs; the pricing mechanism for oil; the expenditure of extractive industry revenues.</t>
  </si>
  <si>
    <t>25, 31 (of oil &amp; gas report)</t>
  </si>
  <si>
    <t>21 (of oil &amp; gas report)</t>
  </si>
  <si>
    <t>29 (of mining report)</t>
  </si>
  <si>
    <t>Volume from USGS Mineral Yearbook 2011. Price from USGS Mineral Yearbook 2012, and is the average f.a.s. price of US imports of crude and dried bauxite.</t>
  </si>
  <si>
    <t>Volume from USGS Mineral Yearbook 2011. Price from kimberley Process Annual Summary 2011.</t>
  </si>
  <si>
    <t>14, 29 (of mining report)</t>
  </si>
  <si>
    <t>Ghanaian Cedi</t>
  </si>
  <si>
    <t>Disaggregated by revenue stream, Disaggregated by companies</t>
  </si>
  <si>
    <t>GNPC, Tullow, Kosmos, Saltpond, Anglogold-Obuasi, Anglogold –Iduaprim, *** (indicated as such in the report), Adamus Resources Ltd, GSR-Prestea/Bogosu, Ghana Bauxite Co., Ghana Manganese Co., Goldfields–Tarkwa, Abosso Goldfields Ltd., GSR (Wassa) Ltd., Chirano Gold Mines Ltd., Newmont Ghana Gold, Perseus Mining Co Ltd., West African Quarries Ltd.</t>
  </si>
  <si>
    <t>Two reports, each covering both 2012 and 2013, but split between oil and gas, and mining. Unclear report. Production volume reflects exports, not production. Mining payments originally in Cedi, recalculated to USD.</t>
  </si>
  <si>
    <t>oz</t>
  </si>
  <si>
    <t>Diamonds</t>
  </si>
  <si>
    <t xml:space="preserve">GNPC, Tullow, Kosmos, Saltpond, Anglogold-Obuasi, Anglogold–Iduaprim, Adamus Resources Ltd, GSR-Prestea/Bogosu, Ghana Bauxite Co., Ghana Manganese Co., Goldfields–Tarkwa, Abosso Goldfields Ltd., GSR (Wassa) Ltd., Chirano Gold Mines Ltd., Newmont Ghana Gold, Perseus Mining Co Ltd., Newmont Golden Ridge, West African Quarries Ltd. Prestea Sankofa Gold Ltd. </t>
  </si>
  <si>
    <t>Two reports, each covering both 2012 and 2013, but split between oil and gas, and mining. Unclear report. Production volume reflects exports, not production. Minng payments originally in Cedi, recalculated to USD. Payments differ from EITI website.</t>
  </si>
  <si>
    <t>http://eitiguatemala.org.gt/</t>
  </si>
  <si>
    <t>Host government's production entitlement, Profits/Taxes, Royalties, Licenses and concessions, Other significant benefits to government</t>
  </si>
  <si>
    <t>Ernst &amp; Young, S.A.</t>
  </si>
  <si>
    <t>Volume from USGS Mineral Yearbook 2012. Price from BPSR 2014, and is an average of the UK, US and Canada Indices for natural gas.</t>
  </si>
  <si>
    <t>Basalt</t>
  </si>
  <si>
    <t>Bentonite clay</t>
  </si>
  <si>
    <t>Volume from USGS Mineral Yearbook 2012. Price from USGS Mineral Commodity Summary 2014, and is the price for bentonite clay in the US.</t>
  </si>
  <si>
    <t>Volume from USGS Mineral Yearbook 2012. Price from USGS Mineral Commodity Summary 2014, and is the average mill price for cement in the US.</t>
  </si>
  <si>
    <t>Dolomite</t>
  </si>
  <si>
    <t>Volume from USGS Mineral Yearbook 2012. Price from USGS Mineral Yearbook 2010, and is the price in the US for crushed dolomite.</t>
  </si>
  <si>
    <t>Feldspar</t>
  </si>
  <si>
    <t>Volume from USGS Mineral Yearbook 2012. Price from USGS Mineral Commodity Summary 2014, and is the price for marketable production in the US.</t>
  </si>
  <si>
    <t>Ferruginous clay</t>
  </si>
  <si>
    <t>Volume from USGS Mineral Yearbook 2012. Price from USGS Mineral Commodity Summary 2014, and is the price for common clay in the US.</t>
  </si>
  <si>
    <t>Flagstone (phyllite)</t>
  </si>
  <si>
    <t>Volume from USGS Mineral Yearbook 2012. Price from USGS Mineral Yearbook 2011, and is the price in the US for crushed granite.</t>
  </si>
  <si>
    <t>Gypsum (crude)</t>
  </si>
  <si>
    <t>Volume from USGS Mineral Yearbook 2012. Price from USGS Mineral Commodity Summary 2013, and is the average f.o.b. price for crude and calcined products.</t>
  </si>
  <si>
    <t>Iron ore</t>
  </si>
  <si>
    <t>Jadeite</t>
  </si>
  <si>
    <t>Kaolin clay</t>
  </si>
  <si>
    <t>Volume from USGS Mineral Yearbook 2012. Price from USGS Mineral Commodity Summary 2014, and is the price for kaolin clay in the US.</t>
  </si>
  <si>
    <t>Limestone (crude)</t>
  </si>
  <si>
    <t>Marble (block)</t>
  </si>
  <si>
    <t>Volume from USGS Mineral Yearbook 2012. Price from USGS Mineral Yearbook 2010, and is the price in the US for crushed marble.</t>
  </si>
  <si>
    <t>Marl</t>
  </si>
  <si>
    <t>Volume from USGS Mineral Yearbook 2012. Price from USGS Mineral Yearbook 2011, and is the price in the US for crushed marl.</t>
  </si>
  <si>
    <t>Pumice</t>
  </si>
  <si>
    <t>Volume from USGS Mineral Yearbook 2012. Price from USGS Mineral Commodity Summary 2013, and is the f.o.b. mine or mill price for pumice and pumicite.</t>
  </si>
  <si>
    <t>Volume from USGS Mineral Yearbook 2012. Price from USGS Mineral Commodity Summary 2013, and is the average f.o.b. mine and plant price for bulk, pellets and packaged vacuum and open pan salt, solar salt, rock salt and salt in brine.</t>
  </si>
  <si>
    <t>Volume from USGS Mineral Yearbook 2012. Price from USGS Mineral Yearbook 2010, and is the price in the US for construction sand and gravel.</t>
  </si>
  <si>
    <t>Slate</t>
  </si>
  <si>
    <t>Volume from USGS Mineral Yearbook 2012. Price from USGS Mineral Yearbook 2011, and is the price in the US for crushed slate.</t>
  </si>
  <si>
    <t>Steel (crude)</t>
  </si>
  <si>
    <t>Volume from USGS Mineral Yearbook 2012. Price from World Bank (Global Economic Monitor (GEM) Commodities database), and is an average of the prices for steel coilsheets, wirerods and rebars.</t>
  </si>
  <si>
    <t>Talc and steatite</t>
  </si>
  <si>
    <t>Volume from USGS Mineral Yearbook 2012. Price from USGS Mineral Commodity Summary 2013, and is the price for processed talc in the US.</t>
  </si>
  <si>
    <t>Tuff</t>
  </si>
  <si>
    <t>Ernst &amp; Young S.A.</t>
  </si>
  <si>
    <t>Volume from USGS Mineral Yearbook 2012. Price from USGS Mineral Yearbook 2012, and is the price in the US for crushed dolomite.</t>
  </si>
  <si>
    <t>Magnesium compounds (magnesite)</t>
  </si>
  <si>
    <t>Volume from USGS Mineral Yearbook 2012. Price is from the USGS Mineral Commodity Summary 2013, and is the average price in the US and China markets.</t>
  </si>
  <si>
    <t>Volume from USGS Mineral Yearbook 2012. Price from USGS Mineral Yearbook 2012, and is the price in the US for crushed marble.</t>
  </si>
  <si>
    <t>Volume from USGS Mineral Yearbook 2012. Price from USGS Mineral Yearbook 2012, and is the price in the US for construction sand and gravel.</t>
  </si>
  <si>
    <t>http://www.itie-guinee.org/</t>
  </si>
  <si>
    <t>United States Dollar and Guinean Franc</t>
  </si>
  <si>
    <t>Alumina Company of Guinea (ACG), Compagnie des Bauxites de Guinée (CBG), Compagnie des Bauxites de Kindia (CBK), Societé Anglo Gold Ashanti de Guinée
(SAG), Société Minière de DINGUIRAYE (SMD), SEMAFO</t>
  </si>
  <si>
    <t>5</t>
  </si>
  <si>
    <t xml:space="preserve">The report uses US dollars for payments to central government, and the local currency, the Guinean Franc, for payments to local government and import/export taxes. Materiality threshold: not given. Unilateral declarations are included in the figures.  The report does not specify what minerals are mined. </t>
  </si>
  <si>
    <t>Volume from USGS Mineral Yearbook 2009 (though, based on volume information in subsequent EITI Reports, it is assumed to be millions, rather than thousands, of tonnes). Price from USGS Mineral Yearbook 2005, and is the average f.a.s. price of US imports of crude and dried bauxite, adjusted to account for the price given in the 2011 EITI Report being 86.09% of this in 2011.</t>
  </si>
  <si>
    <t>Volume from USGS Mineral Yearbook 2009. Price from kimberley Process Annual Summary 2005.</t>
  </si>
  <si>
    <t>Volume from USGS Mineral Yearbook 2009. Price from World Bank (Global Economic Monitor (GEM) Commodities database) - defined as: Gold (UK), 99.5% fine, London afternoon fixing, average of daily rates - adjusted to account for the prices given in the 2011-2012 EITI Reports being an average 105.95% of this in 2011-2012.</t>
  </si>
  <si>
    <t>Guinean Franc</t>
  </si>
  <si>
    <t>4, 5, 6</t>
  </si>
  <si>
    <t>Company total payments include community development payments made by companies to local communities (reported unilaterally by companies for a total of GNF 8 632 000 000 (see p.6)).</t>
  </si>
  <si>
    <t>Volume from USGS Mineral Yearbook 2009 (though, based on volume information in the EITI Report, it is assumed to be millions, rather than thousands, of tonnes). Price from USGS Mineral Yearbook 2007, and is the average f.a.s. price of US imports of crude and dried bauxite, adjusted to account for the price given in the 2011 EITI Report being 86.09% of this in 2011.</t>
  </si>
  <si>
    <t>Volume from USGS Mineral Yearbook 2009</t>
  </si>
  <si>
    <t>Profits/Taxes, Dividends, Licenses and concessions, Other significant benefits to government</t>
  </si>
  <si>
    <t>Compagnie des Bauxites de Guinée (CBG), Compagnie des Bauxites de Kindia (CBK), Rusal Friguia, Société Ashanti Goldfields (SAG), Société Minière de Dinguiraye (SMD), Société d’Exploitation Minière d’Afrique de l’Ouest
(SEMAFO)</t>
  </si>
  <si>
    <t>24, 43, 44-53</t>
  </si>
  <si>
    <t xml:space="preserve">The government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GNF 12 904 151 410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</si>
  <si>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2007, and is the average f.a.s. price of US imports of crude and dried bauxite, adjusted to account for the price given in the 2011 EITI Report being 86.09% of this in 2011.</t>
  </si>
  <si>
    <t>Govt revenues by commodity on p.35. Company payments for bauxite is for payments by CBG, CBK, and Rusal Friguia (See p.44-53).</t>
  </si>
  <si>
    <t>Govt revenues by commodity on p.35. No company payments were reported because the government received payments from only one diamond company (BNE), which did not report (see p.44-53).</t>
  </si>
  <si>
    <t>Volume from USGS Mineral Yearbook 2011. Price from World Bank (Global Economic Monitor (GEM) Commodities database) - defined as: Gold (UK), 99.5% fine, London afternoon fixing, average of daily rates - adjusted to account for the prices given in the 2011-2012 EITI Reports being an average 105.95% of this in 2011-2012.</t>
  </si>
  <si>
    <t>Govt revenues by commodity on p.35; gold revenues include industrial and artisanal. Company payments for gold is for payments by SAG, SMD, and SEMAFO (See p.44-53).</t>
  </si>
  <si>
    <t xml:space="preserve">The government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17 868 691 856 GNF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</si>
  <si>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2008, and is the average f.a.s. price of US imports of crude and dried bauxite, adjusted to account for the price given in the 2011 EITI Report being 86.09% of this in 2011.</t>
  </si>
  <si>
    <t>Profits/Taxes, Licenses and concessions, Other significant benefits to government</t>
  </si>
  <si>
    <t>Compagnie des Bauxites de Guinée (CBG), Compagnie des Bauxites de Kindia (CBK), Rusal Friguia, Société Ashanti Goldfields (SAG), Société Minière de Dinguiraye (SMD), Société d’Exploitation Minière d’Afrique de l’Ouest (SEMAFO)</t>
  </si>
  <si>
    <t xml:space="preserve">The governemnt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14 010 928 359 GNF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</si>
  <si>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2010, and is the average f.a.s. price of US imports of crude and dried bauxite, adjusted to account for the price given in the 2011 EITI Report being 86.09% of this in 2011.</t>
  </si>
  <si>
    <t>Govt revenues by commodity on p.34. Company payments for bauxite is for payments by CBG, CBK, and Rusal Friguia (See p.44-53).</t>
  </si>
  <si>
    <t>Govt revenues by commodity on p.34. No company payments were reported because the government received payments from only one diamond company (BNE), which did not report (see p.44-53).</t>
  </si>
  <si>
    <t>Govt revenues by commodity on p.34; gold revenues include industrial and artisanal. Company payments for gold is for payments by SAG, SMD, and SEMAFO (See p.44-53).</t>
  </si>
  <si>
    <t>Compagnie des Bauxites de Guinée (CBG), Compagnie des Bauxites de Kindia (CBK), Rusal Friguia, Société Ashanti Goldfields (SAG), Société Minière de Dinguiraye (SMD), Société d’Exploitation Minière d’Afrique de l’Ouest (SEMAFO), Rio Tinto</t>
  </si>
  <si>
    <t>24, 42, 43-53</t>
  </si>
  <si>
    <t xml:space="preserve">The governemnt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12 804 665 961 (see p.7)). Two national trading companies (comptoirs), BNE and BCRG, did not report; their payments were reported unilaterally by govt.  </t>
  </si>
  <si>
    <t>Govt revenues by commodity on p.33. Company payments for bauxite is for payments by CBG, CBK, and Rusal Friguia (See p.44-53).</t>
  </si>
  <si>
    <t>Govt revenues by commodity on p.33. No company payments were reported because the government received payments from only one diamond company (BNE), which did not report (see p.44-53).</t>
  </si>
  <si>
    <t>Govt revenues by commodity on p.33; gold revenues include industrial and artisanal. Company payments for gold is for payments by SAG, SMD, and SEMAFO (See p.44-53).</t>
  </si>
  <si>
    <t>Iron Ore</t>
  </si>
  <si>
    <t>This commodity was not mentioned in the USGS Mineral Yearbook 2011. One iron ore company (Rio Tinto) was included in the EITI Report. It is in the development phase and reported no production.</t>
  </si>
  <si>
    <t>Mining companies: COMPAGNIE DES BAUXITES DE GUINEE CBG, ANGLOGOLD ASHANTI DE GUINEE SAG SA., Sté. MINIERE DE DINGUIRAYE (SMD), SIMFER S.A / RIO TINTO, Sté. SEMAFO-GUINEE SA, ALLIANCE MINING COMMODITIES AMC, RUSAL FRIGUIA, Sté HENAN-CHINE, Sté GUITER MINING SA, COMPAGNIE DES BAUXITES DE KINDIA (CBK), Sté DES MINES DE FER DE GUINEE (SMFG), SOCIETE BSGR GUINEE LIMITED / VALEE, Sté WEGA MINING GUINEE SA., Sté BELLZONE HOLDING PTY.LTD., Sté. ALUFER - PITA -LABE, Sté. CASSIDY GOLD GUINEE-SARL, Sté DELTA LOG, Sté GDC MINING AND OIL &amp; GAS SA. Diamond trading companies (Comptoirs): FELLA SANDANFARA, IDC, RUFEX SARL. Gold trading companies (Comptoirs): SOFICOM, ETS DANTA, L.B, BOROKO MINING, M BUSINESS.</t>
  </si>
  <si>
    <t>34-37, 44-47, 54</t>
  </si>
  <si>
    <t>eiti.org figures only included the reconciled revenue flows detailed on p.35-37. Here, Total Payments by Companies includes unilaterally reported payments: "other" payments, payments to local governments, and voluntary social payments. Total Received by Govt includes unilateral receipts from small traders (comptoirs) and quarries (le secteur d’exploitation des carrières). Also included in both govt revenue and company payment totals is an "exceptional" payment from Rio Tinto of $700,000,000. The government unilaterally reported transfers  it made to local governments of 3 898 491 262 GNF and transfers it made to the Fonds d'Investissement Minier totalling 42 500 585 333 GNF (see p.47-48); these transfers are not included in revenue/payment totals. Subtotals by commodity cannot be calculated based on company-by-company data in Annex 6 because some companies produce more than one commodity, or did not report which commodity they produce. State revenues by commodity presented on p.44 cannot be used here because they include payments reported unilaterally by companies as well as those reported unilaterally by govt.</t>
  </si>
  <si>
    <t>Volume from USGS Mineral Yearbook 2011 (though, based on volume information in the EITI Report, it is assumed to be millions, rather than thousands, of tonnes). Price from EITI Report, and is based on the reported value and volume of exports.</t>
  </si>
  <si>
    <t>Volume from USGS Mineral Yearbook 2011. Price from EITI Report, and is based on the reported value and volume of exports.</t>
  </si>
  <si>
    <t xml:space="preserve">This commodity was not mentioned in the USGS Mineral Yearbook 2011. </t>
  </si>
  <si>
    <t xml:space="preserve">Mining companies: COMPAGNIE DES BAUXITES DE GUINEE CBG, ANGLOGOLD ASHANTI DE GUINEE SAG SA., Sté. MINIERE DE DINGUIRAYE (SMD), SIMFER S.A / RIO TINTO, Sté. SEMAFO-GUINEE SA, ALLIANCE MINING COMMODITIES AMC, RUSAL FRIGUIA, Sté HENAN-CHINE, Sté GUITER MINING SA, COMPAGNIE DES BAUXITES DE KINDIA (CBK), Sté DES MINES DE FER DE GUINEE (SMFG), SOCIETE BSGR GUINEE LIMITED / VALEE, Sté WEGA MINING GUINEE SA., Sté BELLZONE HOLDING PTY.LTD., Sté. ALUFER - PITA -LABE, Sté. CASSIDY GOLD GUINEE-SARL, Sté DELTA LOG, Sté GDC MINING AND OIL &amp; GAS SA. Diamond trading companies (Comptoirs): FELLA SANDANFARA, IDC, RUFEX SARL. Gold trading companies (Comptoirs): SOFICOM, ETS DANTA, L.B, BOROKO MINING, M BUSINESS. </t>
  </si>
  <si>
    <t>34-36, 46-49, 56</t>
  </si>
  <si>
    <t>The USGS Mineral Yearbook 2012 is not yet available. Note that eiti.org figures only included the reconciled revenue flows detailed on p.34-36. Here, Total Payments by Companies includes unilaterally reported payments: "other" payments, payments to local governments, and voluntary social payments. Total Received by Govt includes unilateral receipts from small traders (comptoirs) and quarries (le secteur d’exploitation des carrières), and "other" unilaterally reported revenues. The government unilaterally reported transfers it made to local governments of 3,844,321,277 GNF and transfers it made to the Fonds d'Investissement Minier totalling 24,645,489,166 GNF (see p.46-49); these transfers are not included in revenue/payment totals. Subtotals by commodity cannot be calculated based on company-by-company data in Annex 6 because some companies produce more than one commodity, or did not report which commodity they produce. State revenues by commodity presented on p.45 cannot be used here because they include payments reported unilaterally by companies as well as those reported unilaterally by govt.</t>
  </si>
  <si>
    <t>Volume from EITI Report. Price from USGS Mineral Yearbook 2012, and is the average f.a.s. price of US imports of crude and dried bauxite, adjusted to account for the price given in the 2011 EITI Report being 86.09% of this in 2011.</t>
  </si>
  <si>
    <t>Volume from EITI Report. Price from kimberley Process Annual Summary 2012.</t>
  </si>
  <si>
    <t>Volume and price from EITI Report. Price is based on the reported value and volume of exports.</t>
  </si>
  <si>
    <t xml:space="preserve">Indonesia </t>
  </si>
  <si>
    <t>http://eiti.ekon.go.id</t>
  </si>
  <si>
    <t>Host government's production entitlement, Profits/Taxes, Royalties, Dividends, Bonuses, Other significant benefits to government</t>
  </si>
  <si>
    <t>Disaggregated by revenue stream, Disaggregated by company, Disaggregated by company and revenue stream, Disaggregated by project</t>
  </si>
  <si>
    <t>179,240,272 bbl of oil; 25,004,903 bbl of DMO oil; 588,873,273MSCF of gas</t>
  </si>
  <si>
    <t>DMO fees</t>
  </si>
  <si>
    <t>PT Chevron Pacific Indonesia, Chevron Indonesia Company, Chevron Makassar Ltd, Chevron Siak Inc., Chevron Mountain Front Kuantan Inc., Total E&amp;P Indonesie, Inpex Corporation, ConocoPhillips Indonesia Inc. Ltd., ConocoPhillips (Grissik) Ltd., ConocoPhillips (South Jambi) Ltd., PT Pertamina EP, Virginia Indonesia Co., Mobil Expl. Indo (NSO) Inc., ExxonMobil Oil Indonesia Inc., Mobil Cepu Ltd., Mobil Pase Inc., CNOOC SES Ltd., PT Bumi Siak Pusako, PT Pertamina Hulu Energi West Madura, PT Pertamina Hulu Energi East Java, PT Pertamina Hulu Energi Ogan Komering, PT Pertamina Hulu Energi Salawati, PT Pertamina Hulu Energi Tomori Sulawesi, PT Pertamina Hulu Energi Raja Tempirai, PetroChina International Jabung Ltd., PetroChina East Java, PetroChina International Salawati Ltd., PetroChina International (Bermuda) Ltd., PetroChina International Bangko Ltd., Pertamina Hulu Energi ONWJ Ltd., BP Berau Ltd., BP Muturi Ltd., BP Wiriagar Ltd., PT Medco E&amp;P Rimau, PT Medco E&amp;P Indonesia, PT Medco E&amp;P Tarakan, PT Medco E&amp;P Tomori Sulawesi, PT Medco E&amp;P Lematang, Premier Oil Natuna SEA BV, Kondur Petroleum S.A, Kangean Energy Indonesia Ltd., Kalila (Korinci) Ltd., Lapindo Brantas Inc., Kodeco Energy Co. Ltd., Star Energy Kakap Ltd., Talisman (Ogan Komering) Ltd., Hess (Indonesia-Pangkah) Ltd., Santos (Sampang) Pty. Ltd., Santos (Madura Offshore) Pty. Ltd., Energy Equity Epic (Sengkang) Pty. Ltd., Golden Spike Ltd., CITIC Seram Energy Ltd., Kalrez Petroleum (Seram) Ltd., Pearl Oil (Tungkal) Ltd., Petroselat Ltd, Perusda Benuo Taka, Costa International Group Ltd., PT Harita Prima Abadi Mineral, PT Gunung Sion, 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 PT Freeport Indonesia, PT Newmont Nusa Tenggara, PT Nusa Halmahera Minerals, Aneka Tambang (Persero) Tbk, PT Indo Muro Kencana, PT Avocet Bolaang Mongondow, PT Billy Indonesia, PT INCO, PT Timah (Persero) Tbk, PT Koba Tin, PT DS Jaya Abadi, PT Bukit Timah, PT Belitung Industri Sejahtera, CV Donna Kebara Jaya, CV Makmur Jaya</t>
  </si>
  <si>
    <t>KAP Gideon Ikhwan Sofwan</t>
  </si>
  <si>
    <t>14,16,17</t>
  </si>
  <si>
    <t>Materiality threshold: All operators of oil &amp; gas production sharing contract (PSC) areas in 2009 from which the Government of Indonesia obtained a share of production in one form or another should be reconciled; mining companies that made royalty payments of at least US$500,000 should be reconciled. These mining companies accounted for 81% of royalty payments in 2009. Unilateral declarations are included. The report doesn't indicate how the value of payments in-kind are calculated.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t>
  </si>
  <si>
    <t xml:space="preserve">PT Chevron Pacific Indonesia, Chevron Indonesia Company, Chevron Makassar Ltd, Chevron Siak Inc., Chevron Mountain Front Kuantan Inc., Total E&amp;P Indonesie, Inpex Corporation, ConocoPhillips Indonesia Inc. Ltd., ConocoPhillips (Grissik) Ltd., ConocoPhillips (South Jambi) Ltd., PT Pertamina EP, Virginia Indonesia Co., Mobil Expl. Indo (NSO) Inc., ExxonMobil Oil Indonesia Inc., Mobil Cepu Ltd., Mobil Pase Inc., CNOOC SES Ltd., PT Bumi Siak Pusako, PT Pertamina Hulu Energi West Madura, PT Pertamina Hulu Energi East Java, PT Pertamina Hulu Energi Ogan Komering, PT Pertamina Hulu Energi Salawati, PT Pertamina Hulu Energi Tomori Sulawesi, PT Pertamina Hulu Energi Raja Tempirai, PetroChina International Jabung Ltd., PetroChina East Java, PetroChina International Salawati Ltd., PetroChina International (Bermuda) Ltd., PetroChina International Bangko Ltd., Pertamina Hulu Energi ONWJ Ltd., BP Berau Ltd., BP Muturi Ltd., BP Wiriagar Ltd., PT Medco E&amp;P Rimau, PT Medco E&amp;P Indonesia, PT Medco E&amp;P Tarakan, PT Medco E&amp;P Tomori Sulawesi, PT Medco E&amp;P Lematang, Premier Oil Natuna SEA BV, Kondur Petroleum S.A, Kangean Energy Indonesia Ltd., Kalila (Korinci) Ltd., Lapindo Brantas Inc., Kodeco Energy Co. Ltd., Star Energy Kakap Ltd., Talisman (Ogan Komering) Ltd., Hess (Indonesia-Pangkah) Ltd., Santos (Sampang) Pty. Ltd., Santos (Madura Offshore) Pty. Ltd., Energy Equity Epic (Sengkang) Pty. Ltd., Golden Spike Ltd., CITIC Seram Energy Ltd., Kalrez Petroleum (Seram) Ltd., Pearl Oil (Tungkal) Ltd., Petroselat Ltd, Perusda Benuo Taka, Costa International Group Ltd. </t>
  </si>
  <si>
    <t>Volume from EITI Report. Price from BPSR 2014, and is an average of the spot prices for Brent, Dubai, Nigerian Forcados and West Texas Intermediate crude oil, adjusted to account for the prices given in the 2010-2011 EITI Reports being an average 102.62% of this in 2010-2011.</t>
  </si>
  <si>
    <t>PT Harita Prima Abadi Mineral, PT Gunung Sion, 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 PT Freeport Indonesia, PT Newmont Nusa Tenggara, PT Nusa Halmahera Minerals, Aneka Tambang (Persero) Tbk, PT Indo Muro Kencana, PT Avocet Bolaang Mongondow, PT Billy Indonesia, PT INCO, PT Timah (Persero) Tbk, PT Koba Tin, PT DS Jaya Abadi, PT Bukit Timah, PT Belitung Industri Sejahtera, CV Donna Kebara Jaya, CV Makmur Jaya</t>
  </si>
  <si>
    <t>16-17</t>
  </si>
  <si>
    <t>Volume from USGS Mineral Yearbook 2012. Price from USGS Mineral Yearbook 2010, and is the average f.a.s. price of US imports of crude and dried bauxite.</t>
  </si>
  <si>
    <t>PT Harita Prima Abadi Mineral, PT Gunung Sion</t>
  </si>
  <si>
    <t>Volume and price from BPSR 2014. Price is an average of the American Central Appalachian, Asian and Northwest Europe marker/spot prices.</t>
  </si>
  <si>
    <t>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t>
  </si>
  <si>
    <t>PT Freeport Indonesia, PT Newmont Nusa Tenggara, PT Nusa Halmahera Minerals, Aneka Tambang (Persero) Tbk, PT Indo Muro Kencana, PT Avocet Bolaang Mongondow</t>
  </si>
  <si>
    <t>o/w Copper content in mine output</t>
  </si>
  <si>
    <t>o/w Metal (smelter, primary)</t>
  </si>
  <si>
    <t>o/w Metal (refinery, primary)</t>
  </si>
  <si>
    <t>Price from World Bank (Global Economic Monitor (GEM) Commodities database), and is defined as: Nickel (LME), cathodes, minimum 99.8% purity, settlement price beginning 2005; previously cash price</t>
  </si>
  <si>
    <t>Aneka Tambang (Persero) Tbk, PT Billy Indonesia, PT INCO</t>
  </si>
  <si>
    <t>o/w Nickel content in mine output</t>
  </si>
  <si>
    <t>o/w Nickel content in matte</t>
  </si>
  <si>
    <t>o/w Nickel content in ferronickel</t>
  </si>
  <si>
    <t>Tin</t>
  </si>
  <si>
    <t>Price from World Bank (Global Economic Monitor (GEM) Commodities database), and is defined as: Tin (LME), refined, 99.85% purity, settlement price</t>
  </si>
  <si>
    <t>PT Timah (Persero) Tbk, PT Koba Tin, PT DS Jaya Abadi, PT Bukit Timah, PT Belitung Industri Sejahtera, CV Donna Kebara Jaya, CV Makmur Jaya</t>
  </si>
  <si>
    <t>o/w Tin content in mine output</t>
  </si>
  <si>
    <t>o/w Metal</t>
  </si>
  <si>
    <t>Host government's production entitlement, State-owned production entitlement, Profits/Taxes, Royalties, Dividends, Bonuses, Licenses and concessions, Other significant benefits to government</t>
  </si>
  <si>
    <t>United States Dollar and Indonesian Rupiah</t>
  </si>
  <si>
    <t>188,720,891 bbl of oil; 26,790,161 bbl of DMO oil; 661,224,716MSCF of gas</t>
  </si>
  <si>
    <t>See project-level data for list of oil and gas companies; PT Harita Prima Abadi Mineral, PT Gunung Sion,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PT Freeport Indonesia, PT Newmont Nusa Tenggara, PT Nusa Halmahera Minerals, Aneka Tambang (Persero) Tbk, Aneka Tambang (Persero) Tbk, INCO/Vale Indonesia, PT Timah (Persero) Tbk, PT Koba Tin, Tambang Timah</t>
  </si>
  <si>
    <t>43-47 (of oil &amp; gas report), 37 (of mining report)</t>
  </si>
  <si>
    <t>The report uses US dollars for payments by oil &amp; gas companies, and the local currency, the Indonesian Rupiah, for payments by mining companies. Materiality threshold: All oil and gas operators and non-operators of Production Sharing Contract (PSC) areas in 2010 from which the Government of Indonesia obtained a share of production in one form or another should be reconciled; mining companies that made royalty payments of at least IDR25bn should be reconciled. These mining companies accounted for 83% of royalty payments in 2010. The report doesn't indicate how the government liftings of oil and gas are calculated, but notes that the price for DMO crude for up to 60 months of production is 10-25%  of the Indonesia Crude Price. Unilateral declarations are included.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 The report also covers: the ownership of mining companies; the distribution and use of extractive industry revenues.</t>
  </si>
  <si>
    <t>See project-level data</t>
  </si>
  <si>
    <t>43-47 (of oil &amp; gas report)</t>
  </si>
  <si>
    <t>Volume and price from EITI Report. Price is that for government liftings.</t>
  </si>
  <si>
    <t>16 (of oil &amp; gas report)</t>
  </si>
  <si>
    <t>PT Harita Prima Abadi Mineral, PT Gunung Sion,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PT Freeport Indonesia, PT Newmont Nusa Tenggara, PT Nusa Halmahera Minerals, Aneka Tambang (Persero) Tbk, Aneka Tambang (Persero) Tbk, INCO/Vale Indonesia, PT Timah (Persero) Tbk, PT Koba Tin, Tambang Timah</t>
  </si>
  <si>
    <t>37 (of mining report)</t>
  </si>
  <si>
    <t>Bauxite (wet)</t>
  </si>
  <si>
    <t>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t>
  </si>
  <si>
    <t>PT Freeport Indonesia, PT Newmont Nusa Tenggara, PT Nusa Halmahera Minerals, Aneka Tambang (Persero) Tbk</t>
  </si>
  <si>
    <t>Aneka Tambang (Persero) Tbk, INCO/Vale Indonesia</t>
  </si>
  <si>
    <t>PT Timah (Persero) Tbk, PT Koba Tin, Tambang Timah</t>
  </si>
  <si>
    <t>187,299,271 bbl of oil; 26,350,022 bbl of DMO oil; 609,520,962MSCF of gas</t>
  </si>
  <si>
    <t>See project-level data for list of oil and gas companies; PT Harita Prima Abadi Mineral, PT Gunung Sion, Karya Utama Tambang Jaya, PT Harita Prima Abadi Mineral, PT Gunung Sion, Karya Utama Tambang Jaya,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PT Freeport Indonesia, PT Newmont Nusa Tenggara, PT Nusa Halmahera Minerals, Aneka Tambang (Persero) Tbk, Aneka Tambang (Persero) Tbk, INCO/Vale Indonesia, Billy Indonesia, Bintang Delapan Mineral, PT Timah (Persero) Tbk, PT Koba Tin, Tambang Timah, Bukit Timah, Tinido Internusa, Venus Intl Perkasa, Refined Bangka, Bangka Timah Utama Sejahtera, United Smelting</t>
  </si>
  <si>
    <t>49-52 (of oil &amp; gas report), 41 (of mining report)</t>
  </si>
  <si>
    <t>The report uses US dollars for payments by oil &amp; gas companies, and the local currency, the Indonesian Rupiah, for payments by mining companies. Materiality threshold: All oil and gas operators and non-operators of Production Sharing Contract (PSC) areas in 2011 from which the Government of Indonesia obtained a share of production in one form or another should be reconciled; mining companies that made royalty payments of at least IDR25bn should be reconciled. These mining companies accounted for 81% of royalty payments in 2011. The report doesn't indicate how the government liftings of oil and gas are calculated, but notes that the price for DMO crude for up to 60 months of production is 10-25%  of the Indonesia Crude Price. Unilateral declarations are included.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 The report also covers: the ownership of mining companies; the distribution and use of extractive industry revenues.</t>
  </si>
  <si>
    <t>49-52 (of oil &amp; gas report)</t>
  </si>
  <si>
    <t>PT Harita Prima Abadi Mineral, PT Gunung Sion, Karya Utama Tambang Jaya, PT Harita Prima Abadi Mineral, PT Gunung Sion, Karya Utama Tambang Jaya,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PT Freeport Indonesia, PT Newmont Nusa Tenggara, PT Nusa Halmahera Minerals, Aneka Tambang (Persero) Tbk, Aneka Tambang (Persero) Tbk, INCO/Vale Indonesia, Billy Indonesia, Bintang Delapan Mineral, PT Timah (Persero) Tbk, PT Koba Tin, Tambang Timah, Bukit Timah, Tinido Internusa, Venus Intl Perkasa, Refined Bangka, Bangka Timah Utama Sejahtera, United Smelting</t>
  </si>
  <si>
    <t>41  (of mining report)</t>
  </si>
  <si>
    <t>Volume from USGS Mineral Yearbook 2012. Price from USGS Mineral Yearbook 2012, and is the average f.a.s. price of US imports of crude and dried bauxite.</t>
  </si>
  <si>
    <t>PT Harita Prima Abadi Mineral, PT Gunung Sion, Karya Utama Tambang Jaya</t>
  </si>
  <si>
    <t xml:space="preserve">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t>
  </si>
  <si>
    <t>Aneka Tambang (Persero) Tbk, INCO/Vale Indonesia, Billy Indonesia, Bintang Delapan Mineral</t>
  </si>
  <si>
    <t>PT Timah (Persero) Tbk, PT Koba Tin, Tambang Timah, Bukit Timah, Tinido Internusa, Venus Intl Perkasa, Refined Bangka, Bangka Timah Utama Sejahtera, United Smelting</t>
  </si>
  <si>
    <t xml:space="preserve">Iraq </t>
  </si>
  <si>
    <t>http://ieiti.org.iq</t>
  </si>
  <si>
    <t>Volume and price from EITI Report. Price is based on reported value and quantity of export.</t>
  </si>
  <si>
    <t>Host government's production entitlement</t>
  </si>
  <si>
    <t>≈82% of production volume</t>
  </si>
  <si>
    <t>N.A. for buyers</t>
  </si>
  <si>
    <t>28-30,35,37, 39, 42</t>
  </si>
  <si>
    <t>All oil exports are sold through the state-owned Iraq Oil Marketing Company (SOMO). The report reconciles the payments made by buyers and the revenues received from these sales by the SOMO. No other revenue streams are considered. Resolved discrepancies are not included in the final figures, but there is insufficent information to add these retrospectively. Unilateral declarations are not included in the figures. The report also covers the destination of the shipments, as well as having a separate section on the mining sector (though no actual figures are provided). The report indicates that 82% of oil extracted in 2009 was exported.</t>
  </si>
  <si>
    <t>≈80% of production volume</t>
  </si>
  <si>
    <t>N.A. for buyers; IOCs -  BP, Petrochina, ENI, Occidental, Kogas, Exxon Mobil, Shell,CNOOC, TPAO, Lukoil, Statoil, Petronas, Gazprom, Sonangol, Japex</t>
  </si>
  <si>
    <t>PWC</t>
  </si>
  <si>
    <t>43,47,52,54,56</t>
  </si>
  <si>
    <t>All oil exports are sold through the state-owned Iraq Oil Marketing Company (SOMO). The report reconciles the payments made by buyers and the revenues received from these sales by the SOMO, and the signature bonuses paid by IOCs which are involved in oil field development. Resolved discrepancies are not included in the final figures, but there is insufficent information to add these retrospectively. Unilateral declarations are not included in the figures. The report also covers internal service payments made by Government to SOCs, the destination of the shipments, as well as having separate sections on Kurdistan and the mining sector (though no actual figures are provided). 690,010,000 bbl of oil were exported in 2010, the remainder were consumed locally.</t>
  </si>
  <si>
    <t>≈85% of production volume</t>
  </si>
  <si>
    <t>Cost recovery and remuneration fees to IOCs developing Iraq's state-owned oil fields</t>
  </si>
  <si>
    <t>N.A. for buyers; IOCs -  BP, Petrochina, ENI, Occidental, Kogas, Exxon Mobil, Shell, Al Waha Petroleum Co. Ltd.</t>
  </si>
  <si>
    <t>Ernst &amp; Young</t>
  </si>
  <si>
    <t>49,61-62,90</t>
  </si>
  <si>
    <t>All oil exports are sold through the state-owned Iraq Oil Marketing Company (SOMO). The report reconciles the payments made by buyers and the revenues received from these sales by the SOMO, and the signature bonuses paid by IOCs which are involved in oil field development (though there weren't actually any in 2011). Resolved discrepancies are not included in the final figures, but there is insufficent information to add these retrospectively. Unilateral declarations are not included in the figures. The report also covers internal service payments made by Government to SOCs, cost recovery and remuneration fees paid by Government to the IOCs (included here under subsidies), the destination of the shipments, the local consumption of oil and gas, as well as having a separate section on the mining sector (though no actual figures are provided). No information was provided by the Kurdistan Regional Government. 790,590,000 bbl of oil were exported in 2011, the remainder were consumed locally.</t>
  </si>
  <si>
    <t>Production entitlement, Bonuses</t>
  </si>
  <si>
    <t>Al Waha Petroleum, API, Bharat Petroleum, BP Oil, Cepsa, Chevron, China International, China National, China Offshore Oil, CNOOC, ENI, Erg Spa, Exxonmobil Sales And Supply Corporatio Gallows, Gazprom, GS Caltex Singapore Pte. Ltd., Hindustan Petroleum Corporation Limited, Indian, Iplom, Jordan (Jordan Petroleum Refinery), JX Nippon Oil, Koch Supply &amp; Trading, Kogas Iraq B.V., Korea National Oil, Litasco, Motor Oil, North Petroleum, Occidental Energy Iraq LLC., Petrochina, Petro Diamond, Petrogal, Petroleo Brasileiro, Petronas Halfaya, Phillips 66, Repsol, Samir, Saras Spa –Milano, Shell, Sinochem, SK Energy, Socar, Totsa Total, Toyota, TPAO, Turkish Petroleum Iternational, Valero Marketing &amp; Supply Company, Vitol</t>
  </si>
  <si>
    <t>The total government revenues figure includes all the disclosed payments in the report, although the methodology used to produce them was unclear.</t>
  </si>
  <si>
    <t xml:space="preserve">Kazakhstan2005 </t>
  </si>
  <si>
    <t xml:space="preserve">Kazakhstan </t>
  </si>
  <si>
    <t>http://geology.gov.kz/en/eiti</t>
  </si>
  <si>
    <t>United States Dollar and Kazakhastan tenge</t>
  </si>
  <si>
    <t>JSC Karazhanbasmunai, Nelson Petroleum Buzachi B.V., Kazakhoil Aktobe LLP, Karakudukmunai LLP, JV Arman LLP, Branch of Maersk oil Kazakhstan Gmbh, ChevronTexaco International Petroleum Co., BN Munai LLP, BG Karachaganak Limited, JSC Lancaster Petroleum, Aral Petroleum Capital. LLP, Ravninnoe oil Ltd, JSC Petro Kazakhstan Kumkol Resources, JSC CNPC-Aktobemunaigas/CNPC-International (Buzachi) Inc., Agip Karachaganak B. V., Lukoil Overseas Karachaganak B.V., KhazarMunai LLP, Kazakturkmunai LLP, Kazneftehim-Kopa LLP, South-oil LLP, Gural LLP, Zhaikmunai LLP, MONTAZHMALIKMUNAI LLP, JSC Kaspiyneft, Embavedoil LLP, Affiliate of Buzachi Operating Ltd, JV KazGerMunai LLP, JSC Mangistaumunaygas, Tobearal-oil LLP, Adai Petroleum LLP, Altius Petroleum International B.V., Zhalgiztobemunay LLP, Korporatsiya Modulnaya Technologiya, LLP, Svetland-Oil LLP, ANAKO LLP, Tasbulat Oil Corporation LLP, Shinzhir LLP, Affiliate of JSC Kaspiyneft TME, JSC Exploration and Production KazMunaiGas</t>
  </si>
  <si>
    <t>http://eiti.org/files/Kazakhstan%202005%20EITI%20Report.pdf</t>
  </si>
  <si>
    <t>9-11</t>
  </si>
  <si>
    <t xml:space="preserve">Materiality threshold: not given. It is not clear whether unilateral declarations are included. </t>
  </si>
  <si>
    <t>“Adai Petroleum Company” LLP, AITI, “Lukoil Overseas Karachaganak B.V.” Kazakhstan Branch, “BG Karachaganak Limited” (Aksai), “Chevron International Petroleum Company”, “Agip Karachaganak B.V.”, “Agip Caspian Sea B.V.”, Branch of the company “Inpex North Caspian Sea.Ltd” in the Republic of Kazakhstan, Branch of the Company “ConocoPhillips North Caspian. Ltd.” in the Republic of Kazakhstan, Branch “TOTAL E&amp;P Kazakhstan”, Branch of the company “Shell Kazakhstan Development B.V.” in the Republic of Kazakhstan, Branch of the Corporation “ExxonMobil Kazakhstan Inc.” in the Republic of Kazakhstan, Branch of the company “Alties Petroleum International B.V.” in Aktobe, Branch of the company “Alties Petroleum International B.V.” in Atyrau, “Altyn Ken”, LLP, “Aluminum of Kazakhstan” (PAZ) JSC, Krasnooktyabr bauxite ore management - Branch of “Aluminum of Kazakhstan” JSC, “Kergetas” (KIR) mine - Branch of “Aluminum of Kazakhstan” JSC, Representative office of “Aluminum of Kazakhstan” JSC in Almaty, Representative office of “Aluminum of Kazakhstan” JSC in Astana, Torgai bauxite ore management - Branch of “Aluminum of Kazakhstan” JSC, “АNACO” LLP, “Aral Petroleum Capital” LLP, “Arnaoil” LLP, Joint venture “Arman” LLP, “Arman 100” LLP, “Alga CaspiGas” LLP, “Artel Staratelei Gornyak” LLP, “SNPS - Aktobemunaigas” JSC, “FIK Alel” JSC, “Betonit &amp;Co” LLP, “Betbastau-Nedra” LLP, “Bogatyr Akses Komir” LLP, “Belogorskyi GOK” LLP, Branch of the company "Buzachi Operating Ltd", “Bast” LLP, “Vasilkovskyi GOK” JSC, Joint venture “Vasilkovskoe zoloto” JSC, “Voshod Oriel”, LLP, “Gural” LLP, “Degelen” LLP, “Eurasian Energy Corporation” JSC, “Zhaikmunai” LLP, “ Zhairemskyi gorno-obogotitelnyi kombinat” JSC, “Zhaikhydrogeology” LLP, “Zhalair” LLP, “Zherek” LLP, “Zhalgiztobemunai” DTOO, Joint venture “Inkai”, Joint venture “KATCO” LLP, NSC “Kazatomprom” JSC, New Projects Management – Branch of SC of NSC “Kazatomprom”, “Kazakhmys Corporation” LLP, “Kazakhoil Aktobe” LLP, “KazakhTurkMunai” LLP, Joint venture “Kazgermunai” LLP, “KazMunaiGas” JS of National Company, “Kazneftehim Kopa” LLP, ‘Kazpolmunay’ LLP, Transnational company “Kazchrom” JSC, “Kazzink” JSC, “Karazhanbasmunai” JSC, “Karakudukmunai” LLP, “Caspi oil TME” JSC, “Caspi oil” JSC, “Kor-Tazh” LLP, “Kumkol Trans service” LLP, “GRK Kazakhstanskyi Nikel” LLP, “Lains Jump” LLP, “Lancaster Petroleum” JSC, Kazakhstan branch of “Maersk Oil Kazakhstan GmbX” company, “Mangistaumunaigas” JSC, Joint venture “Matin” LLP, Metal Still Temirtau, “Montazhmalikmunai” LLP, “GRK Narymaltyn” LLP, Branch of “CNPC International (Buzachi) Inc.” company, Branch of the company “Nelson Petroleum Buzachi B.V.” in the Republic of Kazakhstan, “PetroKazakhstan Kumkol Resources” JSC, “Ravninnoe Oil” LLP, Razvedka-dobycha “KazMunaiGas” LLP, Branch of “Repsol Exploracion Kazahtsan C.A.”, “Samek International” LLP, “Samek Development Enterprises” LLP, “Satpayevsk Titanium Mines LTD” LLP, “Svetland oil” LLP, “Sauts oil” LLP, “Sokolov-Sarybay mountain-concentrating association” JSC, Alekseevskyi Dolgomatovyi Mine - Branch of “Sokolov-Sarybay mountain-concentrating association” JSC, Branch of “Statoil North Caspian AC” Company, “Syarymbet” JSC, Joint venture “Tenge” LLP, “Tabynai” LLP, “Tasbulat oil Corporation” LLP, “Tengizchevroil” LLP, “Tetis Aral Gas” LLP,  “Tobearal Oil” LLP, “Tolkynneftegaz” LLP, GOK “Tory Kuduk”, “Electrometallurgical combine of Temirtau” LLP, Akmolinskyi branch of “Electrometallurgical combine of Temirtau” LLP, “Metal factory of Ulbinsk” JSC, “Ural oil and Gas” LLP, “FML Kazakhstan” LLP, “KhazarMunai” LLP, “Cvetmet engineering” LLP, “Shalkiya Zink LTD.” LLP, “Shinzhir” LLP, “Embavedoil” LLP</t>
  </si>
  <si>
    <t>Inaudit LLP</t>
  </si>
  <si>
    <t>http://eiti.org/files/Kazakhstan%202006%20EITI%20Report.pdf</t>
  </si>
  <si>
    <t>8</t>
  </si>
  <si>
    <t xml:space="preserve">Materiality threshold: not given. The report doesn't distinguish between oil and gas producers. It is not clear whether unilateral declarations are included. </t>
  </si>
  <si>
    <t>Aday Petreoleum Company LLP, Agip Karachaganak BV Kazakhstan branch, Alties Petroleum International BV Aktobe branch, Alties Petroleum International BV Atyrau branch, 
АNACO LLP, Aral Petroleum Capital LLP, Arnaoil LLP, JV Arman LLP, BG Karachaganak Limited (Aksai), Tetis Aral Gas LLP, Buzachi Operating Ltd, Kazakhstan branch of Nelson Petroleum Buzachi BV, CNPC International (Buzachi) Inc., Gural LLP, Caspi neft TME JSC, Subsidiary of Zhalgiztobemunay LLP, Zhaikmunay LLP, Kazakhoil Aktobe LLP, JV Kazgermunay LLP, Kazneftechim-Kopa LLP, Kazpolmunay LLP, JSC Karazhanbasmunay, Karakudukmunay LLP, JSC Caspi neft, Kor-Tazh LLP, Lions Jump LLP, Lancaster Petrokeum JSC, Affiliate of Lukoil Overseas Karachaganak BV Aksai, JV MATIN LLP, Kazakhstan branch of Maersk oil Kazakhstan GmbH, JSC Mangistaumunaygas, Affiliate North Caspian Petroleum Limited, JSC PetroKazakhstan Kumkol Resources, KazMunayGas Exploration and Production JSC, Souts Oil LLP, Svetland oil LLP, CNPC-Aktobemunaygas JSC, Tasbolat Oil corporation LLP, JV Tenge LLP, Tobearal Oil LLP, Tolkynneftegas LLP, Tengizchevroil LLP, Khazarmunay LLP, Affiliate of Chevron International Petroleum Company, Shinzhir LLP, Embavedoil LLP, Affiliate Agip Caspian Sea BV
Alga Caspian Gas LLP, SC NC KazMunayGas, Kumkol Trans Service LLP, Ravninnoye Oil LLP, Kazakhstan branch of Repsol Exploration Kazakhstan, S.А., Samek Development Enterprises LLP, Samek International LLP, Affiliate of Statoil North Caspian АS, Tabynay LLP, Tetis AralGas LLP, Affiliation of Total E&amp;P Kazakhstan, Ural oil and gas LLP, Affiliate of Shell Kazakhstan Development BV, ExxonMobil Kazakhstan Inc, JSC FIC Alel, Altyn Ken LLP, Mining company Altyn Kulager LLP, JSC Altyn Almas, JSC Kazakhstan Aluminum, Balausa firm LLP, Bast LLP, Mining company Belogorsky mining and processing complex LLP, Bentonit &amp; K LLP, Betbastau Nedra LLP, Bogatyr Komir LLP, Vasikovski mining and processing complex JSC, Voskhod-Oriel LLP, Artel Starateley Gornyak LLP, Dzhentek International Kazakhstan LLP, Degelen LLP, Diana-Aliya LLP, JSC Eurasian energy corporation, JSC Zhairem mining and processing complex, Zherek LLP, JV Inkay LLP, JSC National atomic company Kazatomprom, Kazakhmys corporation LLP, Mining company Kazakhstanski nikel LLP, JSC Transnational company KazChrome, Kazzinc LLP, Karaoba-2005 LLP, Karazhyra Ltd LLP, JV Katko LLP, JSC ArselorMittal Temirtau, Mining company Narymaltyn LLP, Satpayevsk Titanium Mines LTD LLP, Mining company Severnyi katpar LLP, Semizbay-U LLP, JSC Sokolovsko-Sarbayskoye industrial association, JSC Syrymbet, Temirtau electric metallurgic complex LLP, Mining and processing complex Tort Kuduk LLP, JSC Ulbinski metallurgic plant, FML Kazakhstan LLP, Tsvetmet Engineering LLP, JSC JV Vasilkovskoye zoloto, Shalkiya Zinc LLP, Munayly Kazakhstan LLP, Affiliation Inpex North Caspian Sea Ltd, ConocoPhillips North Caspian Ltd in Kazakhstan, JSC KazTransGas</t>
  </si>
  <si>
    <t>UHY Sapa-Consulting</t>
  </si>
  <si>
    <t>12</t>
  </si>
  <si>
    <t>Aday Petreoleum Company LLP, Agip Karachaganak BV Kazakhstan branch, Alties Petroleum International BV Aktobe branch, Alties Petroleum International BV Atyrau branch, 
АNACO LLP, Aral Petroleum Capital LLP, Arnaoil LLP, JV Arman LLP, BG Karachaganak Limited (Aksai), Tetis Aral Gas LLP, Buzachi Operating Ltd, Kazakhstan branch of Nelson Petroleum Buzachi BV, CNPC International (Buzachi) Inc., Gural LLP, Caspi neft TME JSC, Subsidiary of Zhalgiztobemunay LLP, Zhaikmunay LLP, Kazakhoil Aktobe LLP, JV Kazgermunay LLP, Kazneftechim-Kopa LLP, Kazpolmunay LLP, JSC Karazhanbasmunay, Karakudukmunay LLP, JSC Caspi neft, Kor-Tazh LLP, Lions Jump LLP, Lancaster Petrokeum JSC, Affiliate of Lukoil Overseas Karachaganak BV Aksai, JV MATIN LLP, Kazakhstan branch of Maersk oil Kazakhstan GmbH, JSC Mangistaumunaygas, Affiliate North Caspian Petroleum Limited, JSC PetroKazakhstan Kumkol Resources, KazMunayGas Exploration and Production JSC, Souts Oil LLP, Svetland oil LLP, CNPC-Aktobemunaygas JSC, Tasbolat Oil corporation LLP, JV Tenge LLP, Tobearal Oil LLP, Tolkynneftegas LLP, Tengizchevroil LLP, Khazarmunay LLP, Affiliate of Chevron International Petroleum Company, Shinzhir LLP, Embavedoil LLP, Affiliate Agip Caspian Sea BV
Alga Caspian Gas LLP, SC NC KazMunayGas, Kumkol Trans Service LLP, Ravninnoye Oil LLP, Kazakhstan branch of Repsol Exploration Kazakhstan, S.А., Samek Development Enterprises LLP, Samek International LLP, Affiliate of Statoil North Caspian АS, Tabynay LLP, Tetis AralGas LLP, Affiliation of Total E&amp;P Kazakhstan, Ural oil and gas LLP, Affiliate of Shell Kazakhstan Development BV, ExxonMobil Kazakhstan Inc, JSC FIC Alel, Altyn Ken LLP, Mining company Altyn Kulager LLP, JSC Altyn Almas, JSC Kazakhstan Aluminum, Balausa firm LLP, Bast LLP, Mining company Belogorsky mining and processing complex LLP, Bentonit &amp; K LLP, Betbastau Nedra LLP, Bogatyr Komir LLP, Vasikovski mining and processing complex JSC, Voskhod-Oriel LLP, Artel Starateley Gornyak LLP, Dzhentek International Kazakhstan LLP, Degelen LLP, Diana-Aliya LLP, JSC Eurasian energy corporation, JSC Zhairem mining and processing complex, Zherek LLP, JV Inkay LLP, JSC National atomic company Kazatomprom, Kazakhmys corporation LLP, Mining company Kazakhstanski nikel LLP, JSC Transnational company KazChrome, Kazzinc LLP, Karaoba-2005 LLP, Karazhyra Ltd LLP, JV Katko LLP, JSC ArselorMittal Temirtau, Mining company Narymaltyn LLP, Satpayevsk Titanium Mines LTD LLP, Mining company Severnyi katpar LLP, Semizbay-U LLP, JSC Sokolovsko-Sarbayskoye industrial association, JSC Syrymbet, Temirtau electric metallurgic complex LLP, Mining and processing complex Tort Kuduk LLP, JSC Ulbinski metallurgic plant, FML Kazakhstan LLP, Tsvetmet Engineering LLP, JSC JV Vasilkovskoye zoloto, Shalkiya Zinc LLP, Munayly Kazakhstan LLP, Affiliation Inpex North Caspian Sea Ltd, ConocoPhillips North Caspian Ltd in Kazakhstan, JSC KazTransGas, Altyn KDT LLP</t>
  </si>
  <si>
    <t>http://eiti.org/files/Kazakhstan%202008%20EITI%20Report.pdf</t>
  </si>
  <si>
    <t>Alties Petroleum International B.V., Aktobe branch, Altyn KTD LLP, Agip Caspian Sea B.V., NC Kazmunaygaz JSC, Ravninnoe Oil LLP, SvetlandOil LLP, KhazarMunai LLP, 
Zherek LLP, EmbavedOil LLP, Shell Kazakhstan Development B.V., Branch, Tasbulat Oil Corp. LLP, Kor –Tazh LLP, JV MATIN LLP, Tabynai LLP, Lions –Jump LLP, Integracia Oil LLP,
Satpayevsk Titanium Mines LTD, Zhaikmunai LLP, Karakudukmunai LLP, Karazhanbasmunai JSC, KazZink LLP, Degelen LLP, Eurasian energy corporation JSC, KMK Мunay JSC, ANACO LLP, Karazhyra LTD LLP, Temirtau Electrometallurgical Combine LLP, KazakhOil Aktobe LLP, BNG Ltd LLP, KDO Production LLP, Lukoil Overseas Karachaganak B.V., Aksai 
Chevron International Company, Repsol Exploration Kazakhstan, Branch, KazTransGas JSC, Ural Oil and Gas LLP, Arnaoil LLP, TNG Company LLP, North Caspian Petroleum Ltd Affiliate in RK, TENIR LOGISTIC LLP, Kumkol Trans Service LLP, Mangyshlak - Munay LLP, Samek International LLP, AlgaCaspiGaz LLP, FIC Alel JSC, JV KazGerMunai LLP, 
Aral Petroleum Capital LLP, JV Arman LLP, Мunay-Service LLP, JV Inkai LLP, Branch Total &amp; P Kazakhstan, TNK Kazkhrom LLP, Caspi Neft JSC, Kostanayiskiye minerali LLP, 
Kazakhmys Corporation LLP, Ecogeoneftegaz LLP, Alties Petroleum International B.V., Amir Ltd LLP, Mangistaumunaygas JSC, Tengizchevroil LLP, Tau-Ken Samruk JSC, Impex North Caspian Sea, Branch, Zhairem Mining and Concentration Plant, Vasilkovsky Mining and Concentration Plant JSC, KNOOK Caspian (Kazakhstan) Ltd, Adai Petroleum Company LLP, Zhalgiztobemunay LLP, Saryarka - Energy JSC, JV Katco LLP, BG Karachaganak Limited, Branch, JV Tenge LLP, JSC Caspi Neft TME, Metalterminalservice LLP, KF Agip Karachaganak, Voskhod – Oriel LLP, CNPC-International (Buzachi), JSC PetroKazakhstan Kumkol Resources, ExxonMobil Kazakhstan Inc., Branch, GRK Altyn –Kulager LLP, Statoil North Caspian AS LLP, Tobearal-Oil LLP, Affiliate of Nelson Petroleum Buzachi, Altyn Almas JSC, GRK Kazakhstansky Nikel LLP, Alluminium of Kazakhstan JSC, Exploration and Production KazMunaiGas JSC , Kazatamprom JSC, FML Kazakhstan LLP, South Oil LLP, Samek Development Enterprise LLP, Affiliate of Buzachi Operating Ltd, Cvetmet Engineering LLP, JV Arman 100 LLP, Balausa Firm LLP, Sokolovsko – Sarbayskoe Mining and Concentration Complex JSC, GRK Narymaltyn LLP, Betonit &amp;C LLP, MGK LLP, Semizbay LLP, Arselor Mitall Temirtau LLP, AS Gorniyak LLP, Bast LLP, Tetis Aral Gas LLP, Gentech International Kazakhstan LLP, GRK Tokhtar LLP, Falcon Oil &amp; Gas Ltd LLP, Sary Kazna LLP, Bogatyr Komir LLP, Sarymbet LLP, Nurmunay Petrogaz LLP, Affiliate of ConocoPhilips North Caspian Ltd. in Kazakhstan, Diana Aliya LLP, Altyn Ken LLP, Betbastau - Nedra LLP, CNPC Ai Dan Munay JSC, Karaoba 2005 LLP, Severniy Katpar LLP, Kazneftehim - Kopa LLP, Zhinzhir LLP</t>
  </si>
  <si>
    <t>http://eiti.org/files/Kazakhstan%202009%20EITI%20Report.pdf</t>
  </si>
  <si>
    <t>91</t>
  </si>
  <si>
    <t xml:space="preserve">Materiality threshold: not given. The report doesn't distinguish between oil, gas and mining companies. The report does not specify what minerals are mined. It is not clear whether unilateral declarations are included. </t>
  </si>
  <si>
    <t>Asbestos</t>
  </si>
  <si>
    <t>Volume from USGS Mineral Yearbook 2011. Price from USGS Mineral Commodity Summary 2014, and is the price in the US.</t>
  </si>
  <si>
    <t>This commodity is not mentioned in the EITI Report, but its production is reported on in the USGS Mineral Yearbook 2011.</t>
  </si>
  <si>
    <t>Barite</t>
  </si>
  <si>
    <t>Price from USGS Mineral Commodity Summary 2014, and is the estimated f.o.b. mine price in the US.</t>
  </si>
  <si>
    <t>o/w Ore and concentrate</t>
  </si>
  <si>
    <t>o/w Marketable</t>
  </si>
  <si>
    <t>Boron</t>
  </si>
  <si>
    <t>Volume from USGS Mineral Yearbook 2011. Price from USGS Mineral Commodity Summary 2013, and is the average f.a.s. price of US imports.</t>
  </si>
  <si>
    <t>Price from World Bank (Global Economic Monitor (GEM) Commodities database), and is defined as: Copper (LME), grade A, minimum 99.9935% purity, cathodes and wire bar shapes, settlement price</t>
  </si>
  <si>
    <t xml:space="preserve">This commodity is not mentioned in the EITI Report, but its production is reported on in the USGS Mineral Yearbook 2011. </t>
  </si>
  <si>
    <t>o/w Metal (smelter)</t>
  </si>
  <si>
    <t>o/w Metal (refined, primary)</t>
  </si>
  <si>
    <t>Ferrochromium</t>
  </si>
  <si>
    <t xml:space="preserve">Volume from USGS Mineral Yearbook 2011. Price from USGS Mineral Yearbook 2009, and is the average price for chromium content in ferrochromium with chromium content of 49-51% and 60-65% in the US. </t>
  </si>
  <si>
    <t>Ferrosilicochromium</t>
  </si>
  <si>
    <t>Ferrosilicon</t>
  </si>
  <si>
    <t>Volume from USGS Mineral Yearbook 2011. Price from USGS Mineral Commodity Summary 2014, and is the average price for ferrosilicon with 50% and 75% silicon content in the US.</t>
  </si>
  <si>
    <t>Fluourspar</t>
  </si>
  <si>
    <t>Ilmenite &amp; leucoxene</t>
  </si>
  <si>
    <t>Volume from USGS Mineral Yearbook 2011. Price from USGS Mineral Commodity Summary 2013, and is the f.o.b. price in Australia for a bulk product with a minimum TiO2 content of 54%.</t>
  </si>
  <si>
    <t>Volume from USGS Mineral Yearbook 2011. Price from World Bank (Global Economic Monitor (GEM) Commodities database), and is defined as: Iron ore (any origin) fines, spot price, c.f.r. China, 62% Fe.</t>
  </si>
  <si>
    <t>o/w Mn content</t>
  </si>
  <si>
    <t>Nickel (nickel content of laterite ore)</t>
  </si>
  <si>
    <t>Volume from USGS Mineral Yearbook 2011. Price from World Bank (Global Economic Monitor (GEM) Commodities database), and is defined as: Nickel (LME), cathodes, minimum 99.8% purity, settlement price beginning 2005; previously cash price.</t>
  </si>
  <si>
    <t>Phoshpate rock (beneficated)</t>
  </si>
  <si>
    <t>Volume from USGS Mineral Yearbook 2011. Price from World Bank (Global Economic Monitor (GEM) Commodities database), and is defined as: Phosphate rock (Morocco), 70% BPL, contract, f.a.s. Casablanca.</t>
  </si>
  <si>
    <t>Pig iron</t>
  </si>
  <si>
    <t>Titanium sponge</t>
  </si>
  <si>
    <t>Volume from USGS Mineral Yearbook 2011. Price from USGS Mineral Commodity Summary 2013, and is the year-end price in the US.</t>
  </si>
  <si>
    <t>Price from World Bank (Global Economic Monitor (GEM) Commodities database), and is defined as: Zinc (LME), high grade, minimum 99.95% purity, settlement price beginning April 1990; previously special high grade, minimum 99.995%, cash prices.</t>
  </si>
  <si>
    <t>o/w Zinc content of concentrate</t>
  </si>
  <si>
    <t>o/w Smelter (primary, secondary)</t>
  </si>
  <si>
    <t>Tengizchevroil LLP, CNPC-AktobeMunaiGas JSC, MangistauMunaiGas JSC, KPO (Karachganak Petroleum Operating BV) Lukoil Overseas Branch, KPO (Karachganak Petroleum Operating BV) КФ AgipKarachaganak, KPO (Karachganak Petroleum Operating BV) Branch B.G.Karachfanak limited, KPO (Karachganak Petroleum Operating BV), Kazgermunai LLP, PF Uzenmunaigas PF Embamunaigas JSC EP KazMunayGas, PetroKazakhstan Kumkol Resourses ОJSC JSC, Turgai-petroleum JSC, Karazhambasmunai JSC, Nelson Petroleum Buzachi BV CK/CNPC International (Buzachi) Inc FC/  Buzachi Operating Ltd FC, North Caspian Operating Company, KazakhOil Aktobe LLP, Kuatamlonmunai JV LLP, Alties Petroleum International Б.В., CNPC Ai-Dan Munai JSC, ArnaOil LLP, Sauts Oil LLP, ROC Oil company JSC, JV Zhaikmunai LLP, Kom-munai LLP, Maersk Oil Kazakhstan, JV Matin LLP, ANACO JSC, Tasbulat Oil Corporation LLP, JV Arman LLP, Sazankurak LLP, JV Kazakhturkmunai LLP, Potential Oil LLP, Kolzhan LLP, КоЖаН LLP, Caspi Meruert Operating Company BV, Zhalgiztobemunai ДLLP, Hazarmunai LLP, CaspiOil TME JSC, Company PhysTech LLP, CaspiOil JSC, KazTransGas JSC, AstanaOil Company LLP, Svetland Oil LLP, KMK Munai JSC, Tandai Petroleum LLP, Buzachi Oil LLP, Gural LLP, Tabinay LLP, Embavedoil LLP, ВМВ Munai LLP, Caspi OilGas LLP, JV Tenge LLP, AtyrauMunai LLP, SagizPetroleum Company LLP, Pricaspian Petroleum Company LLP, Tobearal Oil LLP, TetisAralGas LLP, EmbaMunai LLP, Ravninnoe Oil LLP, KazGPZ LLP JSC EP KazMunayGas, UrihtauOperating LLP, Е.М.Е. LLP, Jupiter Energy Лтд, Kor-Tazh LLP, N operating company LLP (JSC "NC KazMunayGas"), Abi Petroleum Company LLP, NBK LLP, Kolzhan Oil LLP, SEP Assets Group LLP (LLP "Korned"), MGK LLP, Altyn KDT LLP, NurMunai Petrogaz LLP, Ecogeoneftegas LLP, TNG Company LLP, Kazneftehim-Kopa LLP, Samek Development Enterprise LLP, SHALKIYA CINK LTD LLP, Ushger GHK JSC Ontustik JVК NK
JSC, ArsellorMittalTemirtau UD JSC, GRK Zhety Kazyna LLP, Firm Rapid LLP, Firm Madina LLP, TPK Bas LLP, Tioline LLP, JV Saga Krik Gold Company LLP, Semyzbai - U MTD/Mining Company LLP/KazAtomProm NAK JSC, Orken LLP, Metal Trading LLP, Razrez Priozerniy KRK LLP, Zhanalyk GOLD LLP, Anues – Altyn GRK LLP, Sat Komir GRK LLP, Gold land LLP, Yubileinoye LLP, Shahta Zapadnaya LLP, Forpost DP/Global Business LLP, FML Kazakhstan LLP, Ulba - Ftorkomplex LLP, Temirtauskyi electrometalurgicheskiy kombinat JSC, Transkomir LLP, Taskara LLP, Semgeo LLP, SGHK LLP, Satbor LLP, Saryarka-ENERGY LLP, Sarah Treasury LLP, On-Olzha LLP, Jade-2030 LLP, Maikuben West LLP, Kazakhmys LLP, Copper Technology LLP, Kazcink LLP, Zherek LLP, GRK Vizol LLP, Gamma LLP, Voskhod-Oriel LLP, Bogatyr komir LLP, Batir LLP, Bakyrchikskoye GDP LLP, AS Gorniyak LLP, Arman-100 LLP, Angrensor LLP, Aktobe - Temir-ВС LLP,  Satpayevsk Titanium Mines LTD LLP, Nova-Zinc LLP, Inter Gold Capital LLP, Dala Mining LLP, Bapy Mining LLP, Karazhyra Ltd LLP, Yesнк LLP, Teriskey LLP, Stroyservice LLP, ОYESК LLP/АБС-Balkhash JSC, JVК Batys НК, Marum Zhar Gold LLP, Kyzylkum LLP, KazAtomProm НАК JSC, Kulan TB LLP, KATKO JV LLP, Karatau LLP, KazAtomProm НАК JSC, Inkai JV LLP, Zarechnoye ЗJSC KRK JV/KazAtomProm НАК JSC, ER - TAI LLP/NOVA CINK LLP, GDP Sekisovskaya LLP, Mining Company, LLP, KazAtomProm NAK JSC, Vostochnoye RU LLP/KATEP JSSOT, Betpak Yesla JV LLP/KazAtomProm
NAK JSC, BAIKEN-U LLP/KazAtomProm NAK JSC, АPPAK LLP/KazAtomProm NAK JSC, Shaimerden JSC, FIK ALEL JSC, SSGPO JSC, NK JV Tobol JSC, Kostanay minerals JSC, Varvarinskoye JSC, Aluminiy JSC Branch TBRU, AK AltynAlmas JSC (Akbokaisky GOK), Shubarkol komir JSC, TNK Kazkhrom JSC, Maikaingold JSC, Corporation Duniye JSC, Zhairemskiy GOK JSC, Evroaziatskaya energeticheskaya
corporation JSC, GOK Tort - Kuduk JSC, Akbastau JV JSC/KazAtomProm NAK JSC, AVENUE LLP, ZDP Kvarc, Cvetmet Engineering LLP, GRK Tokhtar LLP, GRK Kazakhstanskiy nikel LLP, Severnyi katpar LLP, Metalterminalservice LLP, Karaoba-2005 LLP, Diana - Aliya LLP, Bast LLP, Balausa firma LLP, Syrymbet JSC, Altyn Ken LLP/Аktas NP JSC</t>
  </si>
  <si>
    <t>http://eiti.org/files/Kazakhstan-2010-EITI-Report.pdf</t>
  </si>
  <si>
    <t>Materiality threshold: oil &amp; gas companies that have made an annual payment of at least 30,000,000KZT should be reconciled; mining companies that have made an annual payments of at least 15,000,000KZT should be reconciled. It does not appear that unilateral declarations are included. Tengizchevroil LLP accounted for 34% of government revenues. The appendix is not available in its entirety, and therefore though the report also covers social payments made by companies, these figures are not provided.</t>
  </si>
  <si>
    <t>Tengizchevroil LLP, CNPC-AktobeMunaiGas JSC, MangistauMunaiGas JSC, KPO (Karachganak Petroleum Operating BV) Lukoil Overseas Branch, KPO (Karachganak Petroleum Operating BV) КФ AgipKarachaganak, KPO (Karachganak Petroleum Operating BV) Branch B.G.Karachfanak limited, KPO (Karachganak Petroleum Operating BV), Kazgermunai LLP, PF Uzenmunaigas PF Embamunaigas JSC EP KazMunayGas, PetroKazakhstan Kumkol Resourses ОJSC JSC, Turgai-petroleum JSC, Karazhambasmunai JSC, Nelson Petroleum Buzachi BV CK/CNPC International (Buzachi) Inc FC/  Buzachi Operating Ltd FC, North Caspian Operating Company, KazakhOil Aktobe LLP, Kuatamlonmunai JV LLP, Alties Petroleum International Б.В., CNPC Ai-Dan Munai JSC, ArnaOil LLP, Sauts Oil LLP, ROC Oil company JSC, JV Zhaikmunai LLP, Kom-munai LLP, Maersk Oil Kazakhstan, JV Matin LLP, ANACO JSC, Tasbulat Oil Corporation LLP, JV Arman LLP, Sazankurak LLP, JV Kazakhturkmunai LLP, Potential Oil LLP, Kolzhan LLP, КоЖаН LLP, Caspi Meruert Operating Company BV, Zhalgiztobemunai ДLLP, Hazarmunai LLP, CaspiOil TME JSC, Company PhysTech LLP, CaspiOil JSC, KazTransGas JSC, AstanaOil Company LLP, Svetland Oil LLP, KMK Munai JSC, Tandai Petroleum LLP, Buzachi Oil LLP, Gural LLP, Tabinay LLP, Embavedoil LLP, ВМВ Munai LLP, Caspi OilGas LLP, JV Tenge LLP, AtyrauMunai LLP, SagizPetroleum Company LLP, Pricaspian Petroleum Company LLP, Tobearal Oil LLP, TetisAralGas LLP, EmbaMunai LLP, Ravninnoe Oil LLP, KazGPZ LLP JSC EP KazMunayGas, UrihtauOperating LLP, Е.М.Е. LLP, Jupiter Energy Лтд, Kor-Tazh LLP, N operating company LLP (JSC "NC KazMunayGas"), Abi Petroleum Company LLP, NBK LLP, Kolzhan Oil LLP, SEP Assets Group LLP (LLP "Korned"), MGK LLP, Altyn KDT LLP, NurMunai Petrogaz LLP, Ecogeoneftegas LLP, TNG Company LLP, Kazneftehim-Kopa LLP, Samek Development Enterprise LLP</t>
  </si>
  <si>
    <t>25</t>
  </si>
  <si>
    <t>SHALKIYA CINK LTD LLP, Ushger GHK JSC Ontustik JVК NK
JSC, ArsellorMittalTemirtau UD JSC, GRK Zhety Kazyna LLP, Firm Rapid LLP, Firm Madina LLP, TPK Bas LLP, Tioline LLP, JV Saga Krik Gold Company LLP, Semyzbai - U MTD/Mining Company LLP/KazAtomProm NAK JSC, Orken LLP, Metal Trading LLP, Razrez Priozerniy KRK LLP, Zhanalyk GOLD LLP, Anues – Altyn GRK LLP, Sat Komir GRK LLP, Gold land LLP, Yubileinoye LLP, Shahta Zapadnaya LLP, Forpost DP/Global Business LLP, FML Kazakhstan LLP, Ulba - Ftorkomplex LLP, Temirtauskyi electrometalurgicheskiy kombinat JSC, Transkomir LLP, Taskara LLP, Semgeo LLP, SGHK LLP, Satbor LLP, Saryarka-ENERGY LLP, Sarah Treasury LLP, On-Olzha LLP, Jade-2030 LLP, Maikuben West LLP, Kazakhmys LLP, Copper Technology LLP, Kazcink LLP, Zherek LLP, GRK Vizol LLP, Gamma LLP, Voskhod-Oriel LLP, Bogatyr komir LLP, Batir LLP, Bakyrchikskoye GDP LLP, AS Gorniyak LLP, Arman-100 LLP, Angrensor LLP, Aktobe - Temir-ВС LLP,  Satpayevsk Titanium Mines LTD LLP, Nova-Zinc LLP, Inter Gold Capital LLP, Dala Mining LLP, Bapy Mining LLP, Karazhyra Ltd LLP, Yesнк LLP, Teriskey LLP, Stroyservice LLP, ОYESК LLP/АБС-Balkhash JSC, JVК Batys НК, Marum Zhar Gold LLP, Kyzylkum LLP, KazAtomProm НАК JSC, Kulan TB LLP, KATKO JV LLP, Karatau LLP, KazAtomProm НАК JSC, Inkai JV LLP, Zarechnoye ЗJSC KRK JV/KazAtomProm НАК JSC, ER - TAI LLP/NOVA CINK LLP, GDP Sekisovskaya LLP, Mining Company, LLP, KazAtomProm NAK JSC, Vostochnoye RU LLP/KATEP JSSOT, Betpak Yesla JV LLP/KazAtomProm
NAK JSC, BAIKEN-U LLP/KazAtomProm NAK JSC, АPPAK LLP/KazAtomProm NAK JSC, Shaimerden JSC, FIK ALEL JSC, SSGPO JSC, NK JV Tobol JSC, Kostanay minerals JSC, Varvarinskoye JSC, Aluminiy JSC Branch TBRU, AK AltynAlmas JSC (Akbokaisky GOK), Shubarkol komir JSC, TNK Kazkhrom JSC, Maikaingold JSC, Corporation Duniye JSC, Zhairemskiy GOK JSC, Evroaziatskaya energeticheskaya
corporation JSC, GOK Tort - Kuduk JSC, Akbastau JV JSC/KazAtomProm NAK JSC, AVENUE LLP, ZDP Kvarc, Cvetmet Engineering LLP, GRK Tokhtar LLP, GRK Kazakhstanskiy nikel LLP, Severnyi katpar LLP, Metalterminalservice LLP, Karaoba-2005 LLP, Diana - Aliya LLP, Bast LLP, Balausa firma LLP, Syrymbet JSC, Altyn Ken LLP/Аktas NP JSC</t>
  </si>
  <si>
    <t>Chromite (marketable ore)</t>
  </si>
  <si>
    <t>Volume from USGS Mineral Yearbook 2011. Price from USGS Mineral Commodity Summary 2013, and is the price in the US for the gross mass of chromite ore.</t>
  </si>
  <si>
    <t>o/w Metal (refined, primary</t>
  </si>
  <si>
    <t xml:space="preserve">Volume from USGS Mineral Yearbook 2011. Price from USGS Mineral Yearbook 2010, and is the average price for chromium content in ferrochromium with chromium content of 49-51% and 60-65% in the US. </t>
  </si>
  <si>
    <t>Silicon (metal)</t>
  </si>
  <si>
    <t>Volume from USGS Mineral Yearbook 2011. Price from USGS Mineral Commodity Summary 2014, and is the price for the metallurgical-grade metal in the US.</t>
  </si>
  <si>
    <t>o/w U content</t>
  </si>
  <si>
    <t>o/w U3O8 content</t>
  </si>
  <si>
    <t>Host government's production entitlement, Royalties, Dividends, Bonuses, Other significant benefits to government</t>
  </si>
  <si>
    <t>"Tengizchevroil" LLP, JSC SNPC-Aktobemunaigas, JSC Mangistaumunaigas, ПФ "Uzenmunaigas" PF "Embamunaigas" JSC EP "KazMunaiGas", КПО(karachaganak Petroleum Operating B.V.) Branch "Lukoil overseas", KPO(Karachaganak Petroleum Operating B.V.) KF Ajip Karachaganak, KPO(Karachaganak Petroleum Operating B.V.) Branch "B G Karachaganak Limited",  KPO(Karachaganak Petroleum Operating B.V.), JSC PetroKazakhstan Kumkol Resourses, Karazhanbasmunai LLP, Karakudukmunai LLP, KFK «Nelson Petroleum Buzachi BV», FK SNPC International (Buzachi) Inc., FK «BuzachiOperating Ltd.», North Caspian Operating Company, Kazakhoil-Aktobe LLP, SP KuatAmlonMunai LLP, Maten Petroleum LLP, Sauts Oil LLP, JSC SNPC-Ai-Dan_Munai, JSC KOR Oil Company, FK Maersk Oil Kazakhstan Gmbh, Kom-Munai LLP, JSC Caspi Oil, ZhaikMunai LLP, Tasbulat Oil Corporation LLP, Sazankurak LLP, ANACO LLP, Potential Oil LLP, SP Arman LLP, Alties Petroelum International B.V. Company (Atyrau Branch), Samek International LLP, KoZhaN LLP, Kolzhan LLP, SP KazakhTurkMunai LLP, Zhalgiztobemunai LLP, Sagiz Petroleum Company LLP, JSC Amangeldi Gas, Hazar Munai LLP, Gural LLP, JSC Caspi Oil TME, Svetland Oil LLP, Abi Petroleum Capital LLP, Branch Caspi Meruert Operating
Company B.V., Lines-Jump LLP, JSC KMK Munai, Pricaspian petroleum LLP, Tandai Petroleum LLP, SP Tenge LLP, Aral Petroleum Capital LLP, Embavedoil LLP, N Operating Company LLP, Buzachi Oil LLP, Tobe aral Oil LLP, CaspiOilGas LLP, Embamunaigas LLP, Kolzhan Oil LLP, Urihtau operating LLP, Tettis Aral Gas LLP, Kaz GPZ LLP, Astana Oil Company LLP, Кор-Таж LLP, Е.М.Е LLP, KAZPETROL GROUP LLP, NBK LLP, Kaz Oil-Chem copa LLP, SP Matin LLP, ZDP "Quartz", Akbastau JV JSC, KazAtomProm NAK JSC, AltynAlmas AK (Akbokay GOK), JSC "GMK Kazakhaltyn", JSC "GOK Tort-Kuduk", JSC "Eurasian energy corporation", JSC "Zhayrem GOK", JSC "Maykaingold", JSC "Temirtau electrometallurgical plant", JSC "TNK Kazchrome", JSC "Shubarkol Komir", JSC Aluminium of Kazakhstan branch KBRU, JSC Aluminium of Kazakhstan branch TBRU, JSC Varvarinskoe, JSC Kostanai minerals, JSC FIK "Alel", JSC Shaimerden, APPAK LLP/KazAtomProm NAK JSC, BAYKEN-U LLP/KazAtomProm NAK JSC, Firm Balausa LLP, Betpak Dala JV LLP/KazAtomProm NAK JSC, Eastern RU LLP, Mining company LLP/KazAtomProm NAK JSC/Kendala Кz JSC, ER-TAY LLP/NOVA ZINC LLP, Zarechnoe JSC KRK JV/KazAtomProm NAK JSC, Inkay JV LLP, Kazphosphate branch LLP/Chulaktau GPK, Karatau LLP/KazAtomProm
NAK JSC, KATKO JV LLP, Koksu/GRK/Shungite LLP.Т-
К./Mining company "Koksu", Kulan Komir LLP, Kyzylkum LLP/KazAtomProm NAK JSC, Marum Zhar G LLP, Semizbay - U MTD/Mining company LLP/KazAtomProm NAK JSC, Stroyservice LLP, Taza-Su LLP/RisTas JSC, Teriskey LLP, Dank LLP, "Karazhira LLP, BaKaF engineering LTD, Bapy Mining LLP, BAR NE LLP, LLP "Dala Mining" (LLP "Altyn Dala Mining"), LLP "Fonet Er-Tai AK Mining", LLP "Nova-Zinc", LLP "Satpayevsk Titanium Mines LTD", LLP "Silicon mining", LLP "Akmola Gold", LLP "Ak0Tas", LLP "Aktobe Temir VS", LLP "Angrensor", LLP "Arman-100", LLP "AS "Gornyak", LLP "Bakirchikskoe GDP", LLP "Bast", LLP "Batyr", LLP "Batis Potassium", LLP "Bogatir Komir", LLP "Voshod-Oriel", LLP "Gamma", LLP "GRK Vizol", LLP "GRK Kambar", LLP "GRK Koytas", LLP "GRK MLD", LLP "GRK MLD", LLP "KazVtorProm", LLP "Copper Technology", LLP "Kazakhmys corporation", LLP "Maykuben-west", LLP "NPP Manganese", LLP "On-Olzha", LLP "Orken", LLP "Saki Kazyna", LLP "Sariarka-ENERGY", LLP "Satbor", LLP "SGHK", LLP "Semgeo", LLP "Taskara", LLP "Temir-Service", LLP "Transkomir", LLP "Ulbavtor complex", LLP "FML Kazakhstan", LLP "Forpost" DP "Глобал Бизнес", LLP "Mine West", LLP "Yubileynoe", LLP GMK "Hurdaulet", LLP Gold Lend, LLP GRK "Sat Komir", LLP GRK "Andas Altyn", LLP Zhanalyk GOLD, LLP KazZinc, LLP КРК razrez Priozerniy, LLP Metal Trading, LLP JV Saga Krik Gold Company, LLP Tioline, LLP ТПК "BAS", LLP Firm "Madina", LLP Firm "Rapid", UD JSC "Arselor Metal Temirtau", Ushger GHK JSC (Ontustik JV NK JSC), ShalkiyaZinc LTD/Tau-Ken LLP GMK, AltynKenLLP Aktas NP JSC, LLP "Diana-Aliya", LLP "Karaoba-2005", LLP "Metlaterminalservice", LLP "North Katpar", LLP GRK Kazakhstani Nickel, LLP GRK Tokhtar, CvetMetengineering LLP</t>
  </si>
  <si>
    <t>http://eiti.org/files/Kazakhstan-2011-EITI-Report.pdf</t>
  </si>
  <si>
    <t>23</t>
  </si>
  <si>
    <t>Materiality threshold: oil &amp; gas companies that have made an annual payment of at least 30,000,000KZT should be reconciled; mining companies that have made an annual payments of at least 15,000,000KZT should be reconciled. It does not appear that unilateral declarations are included. Tengizchevroil LLP accounted for 38% of government revenues. The appendix is not available in its entirety, and therefore though the report also covers social payments made by companies, these figures are not provided.</t>
  </si>
  <si>
    <t>"Tengizchevroil" LLP, JSC SNPC-Aktobemunaigas, JSC Mangistaumunaigas, ПФ "Uzenmunaigas" PF "Embamunaigas" JSC EP "KazMunaiGas", КПО(karachaganak Petroleum Operating B.V.) Branch "Lukoil overseas", KPO(Karachaganak Petroleum Operating B.V.) KF Ajip Karachaganak, KPO(Karachaganak Petroleum Operating B.V.) Branch "B G Karachaganak Limited",  KPO(Karachaganak Petroleum Operating B.V.), JSC PetroKazakhstan Kumkol Resourses, Karazhanbasmunai LLP, Karakudukmunai LLP, KFK «Nelson Petroleum Buzachi BV», FK SNPC International (Buzachi) Inc., FK «BuzachiOperating Ltd.», North Caspian Operating Company, Kazakhoil-Aktobe LLP, SP KuatAmlonMunai LLP, Maten Petroleum LLP, Sauts Oil LLP, JSC SNPC-Ai-Dan_Munai, JSC KOR Oil Company, FK Maersk Oil Kazakhstan Gmbh, Kom-Munai LLP, JSC Caspi Oil, ZhaikMunai LLP, Tasbulat Oil Corporation LLP, Sazankurak LLP, ANACO LLP, Potential Oil LLP, SP Arman LLP, Alties Petroelum International B.V. Company (Atyrau Branch), Samek International LLP, KoZhaN LLP, Kolzhan LLP, SP KazakhTurkMunai LLP, Zhalgiztobemunai LLP, Sagiz Petroleum Company LLP, JSC Amangeldi Gas, Hazar Munai LLP, Gural LLP, JSC Caspi Oil TME, Svetland Oil LLP, Abi Petroleum Capital LLP, Branch Caspi Meruert Operating
Company B.V., Lines-Jump LLP, JSC KMK Munai, Pricaspian petroleum LLP, Tandai Petroleum LLP, SP Tenge LLP, Aral Petroleum Capital LLP, Embavedoil LLP, N Operating Company LLP, Buzachi Oil LLP, Tobe aral Oil LLP, CaspiOilGas LLP, Embamunaigas LLP, Kolzhan Oil LLP, Urihtau operating LLP, Tettis Aral Gas LLP, Kaz GPZ LLP, Astana Oil Company LLP, Кор-Таж LLP, Е.М.Е LLP, KAZPETROL GROUP LLP, NBK LLP, Kaz Oil-Chem copa LLP, SP Matin LLP</t>
  </si>
  <si>
    <t>26</t>
  </si>
  <si>
    <r>
      <t xml:space="preserve">ZDP "Quartz", Akbastau JV JSC, KazAtomProm NAK JSC, AltynAlmas AK (Akbokay GOK), JSC "GMK Kazakhaltyn", JSC "GOK Tort-Kuduk", JSC "Eurasian energy corporation", JSC "Zhayrem GOK", JSC "Maykaingold", JSC "Temirtau electrometallurgical plant", JSC "TNK Kazchrome", JSC "Shubarkol Komir", JSC Aluminium of Kazakhstan branch KBRU, JSC Aluminium of Kazakhstan branch TBRU, JSC Varvarinskoe, JSC Kostanai minerals, JSC FIK "Alel", JSC Shaimerden, APPAK LLP/KazAtomProm NAK JSC, BAYKEN-U LLP/KazAtomProm NAK JSC, Firm Balausa LLP, Betpak Dala JV LLP/KazAtomProm NAK JSC, Eastern RU LLP, Mining company LLP/KazAtomProm NAK JSC/Kendala Кz JSC, ER-TAY LLP/NOVA ZINC LLP, Zarechnoe JSC KRK JV/KazAtomProm NAK JSC, Inkay JV LLP, Kazphosphate branch LLP/Chulaktau GPK, Karatau LLP/KazAtomProm
NAK JSC, KATKO JV LLP, Koksu/GRK/Shungite LLP.Т-
К./Mining company "Koksu", Kulan Komir LLP, Kyzylkum LLP/KazAtomProm NAK JSC, Marum Zhar G LLP, Semizbay - U MTD/Mining company LLP/KazAtomProm NAK JSC, Stroyservice LLP, Taza-Su LLP/RisTas JSC, Teriskey LLP, Dank LLP, "Karazhira LLP, BaKaF engineering LTD, Bapy Mining LLP, BAR NE LLP, LLP "Dala Mining" (LLP "Altyn Dala Mining"), LLP "Fonet Er-Tai AK Mining", LLP "Nova-Zinc", LLP "Satpayevsk Titanium Mines LTD", LLP "Silicon mining", LLP "Akmola Gold", LLP "Ak0Tas", LLP "Aktobe Temir VS", LLP "Angrensor", LLP "Arman-100", LLP "AS "Gornyak", LLP "Bakirchikskoe GDP", LLP "Bast", LLP "Batyr", LLP "Batis Potassium", LLP "Bogatir Komir", LLP "Voshod-Oriel", LLP "Gamma", LLP "GRK Vizol", LLP "GRK Kambar", LLP "GRK Koytas", LLP "GRK MLD", LLP "GRK MLD", LLP "KazVtorProm", LLP "Copper Technology", LLP "Kazakhmys corporation", LLP "Maykuben-west", LLP "NPP Manganese", LLP "On-Olzha", LLP "Orken", LLP "Saki Kazyna", LLP "Sariarka-ENERGY", LLP "Satbor", LLP "SGHK", LLP "Semgeo", LLP "Taskara", LLP "Temir-Service", LLP "Transkomir", LLP "Ulbavtor complex", LLP "FML Kazakhstan", LLP "Forpost" DP "Глобал Бизнес", LLP "Mine West", LLP "Yubileynoe", LLP GMK "Hurdaulet", LLP Gold Lend, LLP GRK "Sat Komir", LLP GRK "Andas Altyn", LLP Zhanalyk GOLD, LLP KazZinc, LLP КРК razrez Priozerniy, LLP Metal Trading, LLP JV Saga Krik Gold Company, LLP Tioline, LLP ТПК "BAS", LLP Firm "Madina", LLP Firm "Rapid", UD JSC "Arselor Metal Temirtau", Ushger GHK JSC (Ontustik JV NK JSC), ShalkiyaZinc LTD/Tau-Ken LLP GMK, AltynKenLLP Aktas NP JSC, LLP "Diana-Aliya", </t>
    </r>
    <r>
      <rPr>
        <b/>
        <sz val="11"/>
        <color indexed="8"/>
        <rFont val="Calibri"/>
        <family val="2"/>
      </rPr>
      <t>LLP "Karaoba-2005", LLP "Metlaterminalservice", LLP "North Katpar", LLP GRK Kazakhstani Nickel, LLP GRK Tokhtar, CvetMetengineering LLP</t>
    </r>
  </si>
  <si>
    <t xml:space="preserve">Volume from USGS Mineral Yearbook 2011. Price from USGS Mineral Yearbook 2011, and is the average price for chromium content in ferrochromium with chromium content of 49-51% and 60-65% in the US. </t>
  </si>
  <si>
    <t>Uranium</t>
  </si>
  <si>
    <t>http://eiti.org.kg/</t>
  </si>
  <si>
    <t>Profits/Taxes, Royalties</t>
  </si>
  <si>
    <t>Kazakhstani Tenge</t>
  </si>
  <si>
    <t>Uhy Sapa Consulting</t>
  </si>
  <si>
    <t>Companies requested to report / reporting section unclear. Missing information. Payments by company / government differ from EITI website. Some production volumes are the same in 2012 and 2013.</t>
  </si>
  <si>
    <t>Lead &amp; Zinc</t>
  </si>
  <si>
    <t>Lead</t>
  </si>
  <si>
    <t>Iron Ores</t>
  </si>
  <si>
    <t>Manganese Ores</t>
  </si>
  <si>
    <t>Bauxites</t>
  </si>
  <si>
    <t>Chromites</t>
  </si>
  <si>
    <t xml:space="preserve">Companies requested to report / reporting section unclear. Missing information. Payments by company / government differ from EITI website </t>
  </si>
  <si>
    <t xml:space="preserve">Kyrgyz Republic </t>
  </si>
  <si>
    <t>Kyrgyzstan Som</t>
  </si>
  <si>
    <t>W Jacbos Audit CJSC</t>
  </si>
  <si>
    <t>Annex 3</t>
  </si>
  <si>
    <t>The 2008 EITI Report contains the figures for 2004 (though the figures given for 2004 in the 2009, 2010 and 2011 reports are significantly different). No other information is given however. The 2011 Report indicates that mining exports were worth US$230m in 2004.</t>
  </si>
  <si>
    <t>Volume from USGS Mineral Yearbook 2007. Price from BPSR 2014, and is an average of the American Central Appalachian, Asian and Northwest Europe marker/spot prices.</t>
  </si>
  <si>
    <t>This commodity is not mentioned in the EITI Report, but its production is reported on in the USGS Mineral Yearbook 2007.</t>
  </si>
  <si>
    <t>Volume from USGS Mineral Yearbook 2007. Price from USGS Mineral Commodity Summary 2009, and is the average f.o.b. price for crude and calcined products.</t>
  </si>
  <si>
    <t>Volume from USGS Mineral Yearbook 2007. Price from USGS Mineral Commodity 2009, and is the price for kaolin clay in the US.</t>
  </si>
  <si>
    <t>Lime (dead-burned)</t>
  </si>
  <si>
    <t>Volume from USGS Mineral Yearbook 2007. Price from USGS Mineral Commodity Summary 2009, and is the average plant price for quicklime and hydrate products in the US.</t>
  </si>
  <si>
    <t>Volume from USGS Mineral Yearbook 2007. Price from USGS Mineral Yearbook 2005, and is the price in the US for crushed limestone.</t>
  </si>
  <si>
    <t>Mercury</t>
  </si>
  <si>
    <t>Volume from USGS Mineral Yearbook 2007. Price from USGS Mineral Commodity Summary 2009, and is the price in the US.</t>
  </si>
  <si>
    <t>Molybdenum</t>
  </si>
  <si>
    <t>Sand-gravel aggregate</t>
  </si>
  <si>
    <t>Volume from USGS Mineral Yearbook 2007. Price from USGS Mineral Yearbook 2005, and is the price in the US for construction sand and gravel.</t>
  </si>
  <si>
    <t>Sands</t>
  </si>
  <si>
    <t>The 2008 EITI Report contains the figures for 2005 (though the figures given for 2005 in the 2009, 2010 and 2011 reports are significantly different). No other information is given however. The 2011 Report indicates that mining exports were worth US$239m in 2005.</t>
  </si>
  <si>
    <t>Volume from USGS Mineral Yearbook 2009. Price from BPSR 2014, and is an average of the American Central Appalachian, Asian and Northwest Europe marker/spot prices.</t>
  </si>
  <si>
    <t>This commodity is not mentioned in the EITI Report, but its production is reported on in the USGS Mineral Yearbook 2009.</t>
  </si>
  <si>
    <t>Volume from USGS Mineral Yearbook 2009. Price from World Bank (Global Economic Monitor (GEM) Commodities database), and is defined as: Gold (UK), 99.5% fine, London afternoon fixing, average of daily rates.</t>
  </si>
  <si>
    <t>Volume from USGS Mineral Yearbook 2009. Price from USGS Mineral Commodity 2009, and is the price for kaolin clay in the US.</t>
  </si>
  <si>
    <t>Volume from USGS Mineral Yearbook 2009. Price from USGS Mineral Commodity Summary 2009, and is the average plant price for quicklime and hydrate products in the US.</t>
  </si>
  <si>
    <t>Volume from USGS Mineral Yearbook 2009. Price from USGS Mineral Commodity Summary 2009, and is the price in the US.</t>
  </si>
  <si>
    <t>Volume from USGS Mineral Yearbook 2009. Price from USGS Mineral Yearbook 2005, and is the price in the US for construction sand and gravel.</t>
  </si>
  <si>
    <t>The 2008 EITI Report contains the figures for 2006 (though the figures given for 2006 in the 2009, 2010 and 2011 reports are significantly different). No other information is given however.  The 2011 Report indicates that mining exports were worth US$215m in 2006.</t>
  </si>
  <si>
    <t>Volume from USGS Mineral Yearbook 2009. Price from USGS Mineral Yearbook 2007, and is the price in the US for construction sand and gravel.</t>
  </si>
  <si>
    <t>The 2008 EITI Report contains the figures for 2007  (though the figures given for 2007 in the 2009, 2010 and 2011 reports are significantly different). No other information is given however.  The 2011 Report indicates that mining exports were worth US$250m in 2007.</t>
  </si>
  <si>
    <t>This commodity is not mentioned in the EITI Report, but its production is reported on in the USGS Mineral Yearbook 2009 (though there was insufficent data to estimate production volumes).</t>
  </si>
  <si>
    <t>Kumtor Gold Company Closed Joint-Stock Company, Kyrgyzaltyn Open Joint-Stock Company, Jerooyaltyn Closed Joint-Stock Company, Altynken LLC, Andash Mining Company LLC, Khaidarkan Mercury Joint-Stock Company Open Joint-Stock, Kadamjay Antimony Plant Open Joint-Stock Company, Kara-Balta Mining Plant Open Joint-Stock Company, Saryjaz Mineral Mining Company, Bozymchak Mining Company, Full Gold Mining LLC, Kichi-Chaarat Closed Joint-Stock Company, Kyrgyzneftegaz Open Joint-Stock Company, Besh-Sary-K LLC, Ak-Jol-Komur LLC, Razrez Ak-Ulak State Joint-Stock Company, Sharbon Closed Joint-Stock Company, Razrez Buzurmankul-T LLC, Shakhta Jyrgalan Open Joint-
Stock Company, Kok-Bel-Komur LLC, Kyzyl-Kyia komur Open Joint-Stock Company, Sulyukta-komur Joint-Stock Company, Bishkekstroymaterialy Open Joint-Stock Company, Kum-Shagyl Open Joint-Stock Company, Tokmok Plant KSM Open Joint-Stock Company, Silikat Open Joint-Stock Company, Iygilik Open Joint-Stock Company Company</t>
  </si>
  <si>
    <t>Annex 2</t>
  </si>
  <si>
    <t xml:space="preserve">Materiality threshold: Not given. Unilateral declarations are included in the figures, mainly unreconciled voluntary social payments US$1,931,346 that companies were asked to voluntarily report on. The report notes that production by these companies in 2008 was worth US$1,029,314,168 according to the government, and US$556,922,648 according to the companies, at current prices.  The 2011 Report indicates that total exports were worth US$480m in 2008. One of the revenue streams is dividends from state shares, but the report does not specify whether the state is the majority shareholder in any of the companies. </t>
  </si>
  <si>
    <t>Kyrgyzneftegaz Open Joint-Stock Company</t>
  </si>
  <si>
    <t xml:space="preserve">Volume from USGS Mineral Yearbook 2012. Price from BPSR 2014, and is an average of the UK, US and Canada Indices for natural gas. </t>
  </si>
  <si>
    <t xml:space="preserve">Oil </t>
  </si>
  <si>
    <t>Volume from USGS Mineral Yearbook 2012. Price from BPSR 2014, and is an average of the spot prices for Brent, Dubai, Nigerian Forcados and West Texas Intermediate crude oil.</t>
  </si>
  <si>
    <t>Kumtor Gold Company Closed Joint-Stock Company, Kyrgyzaltyn Open Joint-Stock Company, Jerooyaltyn Closed Joint-Stock Company, Altynken LLC, Andash Mining Company LLC, Khaidarkan Mercury Joint-Stock Company Open Joint-Stock, Kadamjay Antimony Plant Open Joint-Stock Company, Kara-Balta Mining Plant Open Joint-Stock Company, Saryjaz Mineral Mining Company, Bozymchak Mining Company, Full Gold Mining LLC, Kichi-Chaarat Closed Joint-Stock Company, Besh-Sary-K LLC, Ak-Jol-Komur LLC, Razrez Ak-Ulak State Joint-Stock Company, Sharbon Closed Joint-Stock Company, Razrez Buzurmankul-T LLC, Shakhta Jyrgalan Open Joint-Stock Company, Kok-Bel-Komur LLC, Kyzyl-Kyia komur Open Joint-Stock Company, Sulyukta-komur Joint-Stock Company, Bishkekstroymaterialy Open Joint-Stock Company, Kum-Shagyl Open Joint-Stock Company, Tokmok Plant KSM Open Joint-Stock Company, Silikat Open Joint-Stock Company, Iygilik Open Joint-Stock Company Company</t>
  </si>
  <si>
    <t>Besh-Sary-K LLC, Ak-Jol-Komur LLC, Razrez Ak-Ulak State Joint-Stock Company, Sharbon Closed Joint-Stock Company, Kyzyl-Kyia komur Open Joint-Stock Company, Sulyukta-komur Joint-Stock Company, Razrez Buzurmankul-T LLC, Shakhta Jyrgalan Open Joint-Stock Company, Kok-Bel-Komur LLC</t>
  </si>
  <si>
    <t xml:space="preserve">Construction Materials </t>
  </si>
  <si>
    <t>Bishkekstroymaterialy Open Joint-Stock Company, Kum-Shagyl Open Joint-Stock Company, Tokmok Plant KSM Open Joint-Stock Company, Silikat Open Joint-Stock Company, Iygilik Open Joint-Stock Company Company</t>
  </si>
  <si>
    <t>o/w Cement</t>
  </si>
  <si>
    <t>Volume from USGS Mineral Yearbook 2012. Price from USGS Mineral Commodity Summary 2009, and is the average mill price for cement in the US.</t>
  </si>
  <si>
    <t>o/w Clay</t>
  </si>
  <si>
    <t>o/w Gypsum</t>
  </si>
  <si>
    <t>o/w Kaolin clay</t>
  </si>
  <si>
    <t>o/w Lime</t>
  </si>
  <si>
    <t>Volume from USGS Mineral Yearbook 2012. Price from USGS Mineral Commodity Summary 2009, and is the average plant price for quicklime and hydrate products in the US.</t>
  </si>
  <si>
    <t>o/w Limestone</t>
  </si>
  <si>
    <t>o/w Sand-gravel aggregate</t>
  </si>
  <si>
    <t>o/w Sands</t>
  </si>
  <si>
    <t>Volume from USGS Mineral Yearbook 2012. Price from USGS Mineral Yearbook 2009, and is the price in the US for construction sand and gravel.</t>
  </si>
  <si>
    <t>Kumtor Gold Company Closed Joint-Stock Company</t>
  </si>
  <si>
    <t>Non-ferrous and rare metals</t>
  </si>
  <si>
    <t>Kadamjay Antimony Plant Open Joint-Stock Company, Saryjaz Mineral Mining Company, Bozymchak Mining Company, Khaidarkan Mercury Joint-Stock Company Open Joint-Stock, Kara-Balta Mining Plant Open Joint-Stock Company</t>
  </si>
  <si>
    <t>o/w Antimony</t>
  </si>
  <si>
    <t>Price from USGS Mineral Yearbook 2012 - defined as: New York dealer price for 99.5% to 99.6% metal, cost, insurance, freight U.S. ports - adjusted to account for the price given in the US Mining Industry Overview of Kyrgyzstan being an average 0.26% of this in 2004.</t>
  </si>
  <si>
    <t>Kadamjay Antimony Plant Open Joint-Stock Company</t>
  </si>
  <si>
    <t xml:space="preserve">   o/w Metal and compounds</t>
  </si>
  <si>
    <t xml:space="preserve">   o/w Antimony content</t>
  </si>
  <si>
    <t xml:space="preserve">   o/w Uranium content</t>
  </si>
  <si>
    <t xml:space="preserve">   o/w U3O8 content</t>
  </si>
  <si>
    <t xml:space="preserve">Materiality threshold: Not given. Unilateral declarations are included in the figures, mainly unreconciled voluntary social payments of US$3,206,788 that companies were asked to voluntarily report on. The 2011 Report indicates that exports were worth US$540m in 2009. One of the revenue streams is dividends from state shares, but the report does not specify whether the state is the majority shareholder in any of the companies. Disaggregation by commodity is based on the percentage breakdown in the report. The report does not provide actual figures for this.  </t>
  </si>
  <si>
    <t>Razrez Buzurmankul-T LLC, Shakhta Jyrgalan Open Joint-Stock Company, Kok-Bel-Komur LLC, Besh-Sary-K LLC, Ak-Jol-Komur LLC, Razrez Ak-Ulak State Joint-Stock Company, Sharbon Closed Joint-Stock Company, Kyzyl-Kyia komur Open Joint-Stock Company, Sulyukta-komur Joint-Stock Company</t>
  </si>
  <si>
    <t>Volume from USGS Mineral Yearbook 2012. Price from USGS Mineral Commodity Summary 2014, and is the average plant price for quicklime and hydrate products in the US.</t>
  </si>
  <si>
    <t>Kadamjay Antimony Plant Open Joint-Stock Company, Saryjaz Mineral Mining Company, Bozymchak Mining Company, Khaidarkan Mercury Joint-Stock Company Open Joint-Stock</t>
  </si>
  <si>
    <t>o/w Mercury</t>
  </si>
  <si>
    <t>Volume from USGS Mineral Yearbook 2012. Price from USGS Mineral Commodity Summary 2014, and is the price in the US.</t>
  </si>
  <si>
    <t>o/w Uranium processed)</t>
  </si>
  <si>
    <t>Disaggregated by revenue stream, Disaggregated by company, Disaggregated by commodity</t>
  </si>
  <si>
    <t>Kyrgyzneftegaz Open Joint-Stock Company, Ak-Jol Komur LLC, Tash Komur LLC, Sharbon JSC, Busurmankul T LLC, Shakhta Jyrgalan JSC, Kok-Bel Komur LLC, Kyzyl-Kiya Komur JSC, Sulyukta Komur JSC, Kara-Keche State Enterprise, Parity Coal LLC, Bishkekstroymaterialy JSC, Kum-Shagyl JSC, Tokmok plant KSM JSC, Silikat JSC, Iygilik JSC, South Plant of Construction Materials LLC, Kyrgyz Too-Tash JSC, ZhBI Plant JSC, Nur KM JSC, Dary-Bulak-Abshir LLC, South Kyrgyz Cement JSC, Dannur Yug LLC, Khaidarkan Mercury JSC, Kadamzhay Antimony Enterprise JSC, Saryjaz Mineral Mining Company LLC, Central Asian Tin Company LLC, Kutesay Mining LLC, Mineral Trade LLC, Polimetal Investstroi LLC, Kumtor Gold Company CJSC, Kyrgyzaltyn JSC, Vertex Gold Company LLC, Altynken LLC, Andash Mining Company LLC, Kazakhmys LLC, Full Gold Mining LLC, Kichi-Chaarat JSC, Fonta LLC, Eventys LLC, Dolina Kasana LLC, ELKO-service LLC, Interbusiness LLC, Kaidi Mining Investment Company LLC, Kumbel-Resource LLC</t>
  </si>
  <si>
    <t xml:space="preserve">KPMG Bishkek LLC </t>
  </si>
  <si>
    <t>http://eiti.org/files/Kyrgyzstan-%202010-EITI-Report.pdf</t>
  </si>
  <si>
    <t xml:space="preserve">Materiality threshold: Not given. Unilateral declarations are included in the figures. Voluntary social payments are not included in the figures as they are not disaggregated by company. Government reported voluntary social payments of US$6,458,023 while companies reported payments of US$2,691,182 (though the wording suggests these payment totals are the wrong idea). Some of these were payments in-kind, but the report does not specify the type or value of these. The 2011 Report indicates that exports were worth US$739m in 2010. One of the revenue streams is dividends from state shares, but the report does not specify whether the state is the majority shareholder in any of the companies. </t>
  </si>
  <si>
    <t>Ak-Jol Komur LLC, Tash Komur LLC, Sharbon JSC, Busurmankul T LLC, Shakhta Jyrgalan JSC, Kok-Bel Komur LLC, Kyzyl-Kiya Komur JSC, Sulyukta Komur JSC, Kara-Keche State Enterprise, Parity Coal LLC, Bishkekstroymaterialy JSC, Kum-Shagyl JSC, Tokmok plant KSM JSC, Silikat JSC, Iygilik JSC, South Plant of Construction Materials LLC, Kyrgyz Too-Tash JSC, ZhBI Plant JSC, Nur KM JSC, Dary-Bulak-Abshir LLC, South Kyrgyz Cement JSC, Dannur Yug LLC, Khaidarkan Mercury JSC, Kadamzhay Antimony Enterprise JSC, Saryjaz Mineral Mining Company LLC, Central Asian Tin Company LLC, Kutesay Mining LLC, Mineral Trade LLC, Polimetal Investstroi LLC, Kumtor Gold Company CJSC, Kyrgyzaltyn JSC, Vertex Gold Company LLC, Altynken LLC, Andash Mining Company LLC, Kazakhmys LLC, Full Gold Mining LLC, Kichi-Chaarat JSC, Fonta LLC, Eventys LLC, Dolina Kasana LLC, ELKO-service LLC, Interbusiness LLC, Kaidi Mining Investment Company LLC, Kumbel-Resource LLC</t>
  </si>
  <si>
    <t>13-15</t>
  </si>
  <si>
    <t>Ak-Jol Komur LLC, Tash Komur LLC,, Sharbon JSC, Busurmankul T LLC, Shakhta Jyrgalan JSC, Kok-Bel Komur LLC, Kyzyl-Kiya Komur JSC, Sulyukta Komur JSC, Kara-Keche State Enterprise, Parity Coal LLC</t>
  </si>
  <si>
    <t>Bishkekstroymaterialy JSC, Kum-Shagyl JSC, Tokmok plant KSM JSC, Silikat JSC, Iygilik JSC, South Plant of Construction Materials LLC, Kyrgyz Too-Tash JSC, ZhBI Plant JSC, Nur KM JSC, Dary-Bulak-Abshir LLC, South Kyrgyz Cement JSC, Dannur Yug LLC</t>
  </si>
  <si>
    <t>Khaidarkan Mercury JSC, Kadamzhay Antimony Enterprise JSC, Saryjaz Mineral Mining Company LLC, Central Asian Tin Company LLC, Kutesay Mining LLC, Mineral Trade LLC, Polimetal Investstroi LLC</t>
  </si>
  <si>
    <t>13-14</t>
  </si>
  <si>
    <t>96.5% of production value</t>
  </si>
  <si>
    <t>Kyrgyzneftegaz Open Joint-Stock Company, 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Bishkekstroymaterialy JSC, Kum-Shagyl JSC, Silikat JSC, Iygilik JSC, South Plant of Construction Materials LLC, Kyrgyz Too-Tash JSC, ZhBI Plant JSC, Nur KM JSC, Dary-Bulak-Abshir LLC, South Kyrgyz Cement JSC, Dannur Yug LLC, Kyrgyz Tash JSC, Onion Mining Company  LLC, Khaidarkan Mercury JSC, Kadamzhay Antimony Enterprise JSC, Saryjaz Mineral Mining Company LLC, Central Asian Tin Company LLC, Kutesay Mining LLC, Mineral Trade LLC, Kumtor Gold Company CJSC, Kyrgyzaltyn JSC, Altynken LLC, Andash Mining Company LLC, Kazakhmys LLC, Full Gold Mining LLC, Kichi-Chaarat JSC, Fonta LLC, Eventys LLC, Dolina Kasana LLC, ELKO-service LLC, Interbusiness LLC, Kaidi Mining Investment Company LLC, Vertex Gold Company LLC</t>
  </si>
  <si>
    <t>11</t>
  </si>
  <si>
    <t>Materiality threshold: Companies that had an income of US$1,000,000 in 2011, or have indicated that they will when fully operational, should be reconciled. These companies accounted for 96.5% of the value of production  in 2011. Unilateral declarations are included in the figures. Voluntary social payments are not included in the figures as they are not disaggregated by company. Government reported voluntary social payments of US$1,291,649 while companies reported payments of US$14,787,462. Some of these were payments in-kind, but the report does not specify the type or value of these. One of the revenue streams is dividends from state shares, but the report does not specify whether the state is the majority shareholder in any of the companies. Total exports were worth US$1,045m in 2011.</t>
  </si>
  <si>
    <t>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Bishkekstroymaterialy JSC, Kum-Shagyl JSC, Silikat JSC, Iygilik JSC, South Plant of Construction Materials LLC, Kyrgyz Too-Tash JSC, ZhBI Plant JSC, Nur KM JSC, Dary-Bulak-Abshir LLC, South Kyrgyz Cement JSC, Dannur Yug LLC, Kyrgyz Tash JSC, Onion Mining Company  LLC, Khaidarkan Mercury JSC, Kadamzhay Antimony Enterprise JSC, Saryjaz Mineral Mining Company LLC, Central Asian Tin Company LLC, Kutesay Mining LLC, Mineral Trade LLC, Kumtor Gold Company CJSC, Kyrgyzaltyn JSC, Altynken LLC, Andash Mining Company LLC, Kazakhmys LLC, Full Gold Mining LLC, Kichi-Chaarat JSC, Fonta LLC, Eventys LLC, Dolina Kasana LLC, ELKO-service LLC, Interbusiness LLC, Kaidi Mining Investment Company LLC, Vertex Gold Company LLC</t>
  </si>
  <si>
    <t>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t>
  </si>
  <si>
    <t>3, 14-15</t>
  </si>
  <si>
    <t>Bishkekstroymaterialy JSC, Kum-Shagyl JSC, Silikat JSC, Iygilik JSC, South Plant of Construction Materials LLC, Kyrgyz Too-Tash JSC, ZhBI Plant JSC, Nur KM JSC, Dary-Bulak-Abshir LLC, South Kyrgyz Cement JSC, Dannur Yug LLC, Kyrgyz Tash JSC, Onion Mining Company  LLC</t>
  </si>
  <si>
    <t>Kumtor Gold Company CJSC, Kyrgyzaltyn JSC, Altynken LLC, Andash Mining Company LLC, Kazakhmys LLC, Full Gold Mining LLC, Kichi-Chaarat JSC, Fonta LLC, Eventys LLC, Dolina Kasana LLC, ELKO-service LLC, Interbusiness LLC, Kaidi Mining Investment Company LLC, Vertex Gold Company LLC</t>
  </si>
  <si>
    <t>Khaidarkan Mercury JSC, Kadamzhay Antimony Enterprise JSC, Saryjaz Mineral Mining Company LLC, Central Asian Tin Company LLC, Kutesay Mining LLC, Mineral Trade LLC</t>
  </si>
  <si>
    <t>o/w Uranium</t>
  </si>
  <si>
    <t>Disaggregated by revenue stream, Disaggregated by company, Disaggregated by commodity, Disaggregated by company and revenue stream</t>
  </si>
  <si>
    <t>Kyrgyzneftegaz Open Joint-Stock Company, Batkenneftegaz OJSC, South Derrik LLC, Textonic CJSC, GlavNefteGaz CJSC, 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 Bishkekstroymaterialy JSC, Kum-Shagyl JSC, Silikat JSC, Iygilik JSC, South Plant of Construction Materials LLC, Kyrgyz Too-Tash JSC, ZhBI Plant JSC, Nur KM JSC, Dary-Bulak-Abshir LLC, South Kyrgyz Cement JSC, Dannur Yug LLC, Kyrgyz Tash JSC, Onion Mining Company  LLC, ESK LTD LLC, Khaidarkan Mercury JSC, Kadamzhay Antimony Enterprise JSC, Saryjaz Mineral Mining Company LLC, Central Asian Tin Company LLC, Kutesay Mining LLC, Mineral Trade LLC, Merit More Investments Ltd, Sparkler Mining Inc, 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</si>
  <si>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10</t>
  </si>
  <si>
    <t>Materiality threshold: Companies that had an income of US$1,000,000 in 2012 should be reconciled. Unilateral declarations do not appear to be included in the figures. One of the revenue streams is dividends from state shares, but the report does not specify whether the state is the majority shareholder in any of the companies.</t>
  </si>
  <si>
    <t>Kyrgyzneftegaz Open Joint-Stock Company, Batkenneftegaz OJSC, South Derrik LLC, Textonic CJSC, GlavNefteGaz CJSC</t>
  </si>
  <si>
    <t xml:space="preserve">Production volume information from USGS Mineral Yearbook 2012 and price information from BPSR 2014. Price is an average of the UK, US and Canada Indices for natural gas. </t>
  </si>
  <si>
    <t>Production volume information from USGS Mineral Yearbook 2012 and price information from BPSR 2014. price is an average of the spot prices for Brent, Dubai, Nigerian Forcados and West Texas Intermediate crude oil.</t>
  </si>
  <si>
    <t>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 Bishkekstroymaterialy JSC, Kum-Shagyl JSC, Silikat JSC, Iygilik JSC, South Plant of Construction Materials LLC, Kyrgyz Too-Tash JSC, ZhBI Plant JSC, Nur KM JSC, Dary-Bulak-Abshir LLC, South Kyrgyz Cement JSC, Dannur Yug LLC, Kyrgyz Tash JSC, Onion Mining Company  LLC, ESK LTD LLC, Khaidarkan Mercury JSC, Kadamzhay Antimony Enterprise JSC, Saryjaz Mineral Mining Company LLC, Central Asian Tin Company LLC, Kutesay Mining LLC, Mineral Trade LLC, Merit More Investments Ltd, Sparkler Mining Inc, 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</si>
  <si>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18-20</t>
  </si>
  <si>
    <t>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t>
  </si>
  <si>
    <t>Production volume information from USGS Mineral Yearbook 2012 and price information from BPSR 2014. Price is an average of the American Central Appalachian, Asian and Northwest Europe marker/spot prices.</t>
  </si>
  <si>
    <t>Bishkekstroymaterialy JSC, Kum-Shagyl JSC, Silikat JSC, Iygilik JSC, South Plant of Construction Materials LLC, Kyrgyz Too-Tash JSC, ZhBI Plant JSC, Nur KM JSC, Dary-Bulak-Abshir LLC, South Kyrgyz Cement JSC, Dannur Yug LLC, Kyrgyz Tash JSC, Onion Mining Company  LLC, ESK LTD LLC</t>
  </si>
  <si>
    <t>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</si>
  <si>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Khaidarkan Mercury JSC, Kadamzhay Antimony Enterprise JSC, Saryjaz Mineral Mining Company LLC, Central Asian Tin Company LLC, Kutesay Mining LLC, Mineral Trade LLC, Merit More Investments Ltd, Sparkler Mining Inc</t>
  </si>
  <si>
    <t>o/w Lead</t>
  </si>
  <si>
    <t>Production volume information from USGS Mineral Yearbook 2012.</t>
  </si>
  <si>
    <t xml:space="preserve">Liberia </t>
  </si>
  <si>
    <t>http://www.leiti.org.lr/</t>
  </si>
  <si>
    <t>United States Dollar and Liberian Dollar</t>
  </si>
  <si>
    <t>Broadway Consolidated Plc, NOCAL, Oranto Petroleum Limited, Unitimber, UFC Regnais, African Aura Resources, Afro Minerals, Amlib United Minerals, ArcelorMittal Liberia, BEA Mountain Mining Corporation, BHP Billiton World Exploration, Broadway Consolidated Plc, Bukon Jedeh Resources, Crafton Development INC, Ducor Minerals Incorporated, G-10 Resources Inc, Golden Ventures Inc, Hummingbird Resources, Iron Resources Limited, KPO Resources Corporation, Liberia Gold Corporation, Liberty Gold &amp; Diamond Mining Inc, Magma Mineral Resources Inc., Mano River Resources Incorporated, Ousomar Mines &amp; Minerals, Precious Minerals &amp; Mining CO, Target Resources Inc., T-Rex Resources Inc, Universal Mining Corporation, Western Mineral Resources
Corporation</t>
  </si>
  <si>
    <t xml:space="preserve">Crane White and Associates </t>
  </si>
  <si>
    <t>The report covers the  financial year of 1 July 2007 to 30 June 2008. The report uses US dollars and the local currency, the Liberian Dollar. An exchange rate is not provided to convert the latter, so that of the World Bank, adjusted to account for the fiscal year, is used (http://data.worldbank.org/indicator/PA.NUS.FCRF). Materiality threshold: All known companies were requested to participate. Only the 30 companies that did are named in the report. The report doesn't specify what minerals are mined. Unilateral declarations do not appear to be included in the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t>
  </si>
  <si>
    <t>Broadway Consolidated Plc, NOCAL, Oranto Petroleum Limited</t>
  </si>
  <si>
    <t>Production volume information from EIA, adjusted to account for the fiscal year.</t>
  </si>
  <si>
    <t>African Aura Resources, Afro Minerals, Amlib United Minerals, ArcelorMittal Liberia, BEA Mountain Mining Corporation, BHP Billiton World Exploration, Broadway Consolidated Plc, Bukon Jedeh Resources, Crafton Development INC, Ducor Minerals Incorporated, G-10 Resources Inc, Golden Ventures Inc, Hummingbird Resources, Iron Resources Limited, KPO Resources Corporation, Liberia Gold Corporation, Liberty Gold &amp; Diamond Mining Inc, Magma Mineral Resources Inc., Mano River Resources Incorporated, Ousomar Mines &amp; Minerals, Precious Minerals &amp; Mining CO, Target Resources Inc., T-Rex Resources Inc, Universal Mining Corporation, Western Mineral Resources
Corporation</t>
  </si>
  <si>
    <t>Volume from USGS Mineral Yearbook 2011, adjusted to account for the fiscal year. Price from USGS Mineral Commodity Summary 2009, and is the average mill price for cement in the US, adjusted to account for the fiscal year.</t>
  </si>
  <si>
    <t>Production volume information from USGS Mineral Yearbook 2011, adjusted to account for the fiscal year.</t>
  </si>
  <si>
    <t>Volume from USGS Mineral Yearbook 2011, adjusted to account for the fiscal year. Price from kimberley Process Annual Summary 2007 and 2008, adjusted to account for the fiscal year.</t>
  </si>
  <si>
    <t>Volume from USGS Mineral Yearbook 2011, adjusted to account for the fiscal year. Price from World Bank (Global Economic Monitor (GEM) Commodities database) - defined as: Gold (UK), 99.5% fine, London afternoon fixing, average of daily rates - adjusted to account for the fiscal year and for the price given in the 2012 EITI Report being 86.63% of this in the fiscal year of 2011-12.</t>
  </si>
  <si>
    <t>Production volume information from USGS Mineral Yearbook 2011 and price information from World Bank (Global Economic Monitor (GEM) Commodities database), adjusted to account for the fiscal year. Price is defined as: Gold (UK), 99.5% fine, London afternoon fixing, average of daily rates.</t>
  </si>
  <si>
    <t>Volume from USGS Mineral Yearbook 2011, adjusted to account for the fiscal year. Price from USGS Mineral Yearbook 2009, and is the price in the US for construction sand and gravel, adjusted to account for the fiscal year.</t>
  </si>
  <si>
    <t>Stone (crushed)</t>
  </si>
  <si>
    <t>Volume from USGS Mineral Yearbook 2011, adjusted to account for the fiscal year. Price from USGS Mineral Yearbook 2009, and is the price in the US for crushed misecellaneous stone, adjusted to account for the fiscal year.</t>
  </si>
  <si>
    <t>Other</t>
  </si>
  <si>
    <t>Forestry</t>
  </si>
  <si>
    <t>Unitimber, UFC Regnais</t>
  </si>
  <si>
    <t>Broadway Consolidated Plc, NOCAL, Oranto Petroleum Limited, Anadarko Group, International Resources Strategic Liberia Energy, AmLib United Minerals, Bea Mountain Mining Corp, Putu Iron Ore Mining Inc, Liberia Gold Corporation, Western Mineral Resources Corp,
KPO Resources, Alex Stewart Assayers Ltd., Bokun Jedeh Resources Inc, ArcelorMittal Liberia, 
African Aura Resources,
B H P Billiton World Exploration, Broadway Consolidated PLC, Ducor Minerals, Inc. (Diamond Fields, Inc), Hummingbird Resources, Afro Minerals, Deveton Mining Company, Sinoe Exploration, Precious Minerals Mining Company, SubSea Resources DMCC, Italgems &amp; Malavasi Mining Company, Black Sand Mining Company, Kwakmas Inc. Texas International Group, Pride Land, KBL Mining Company, Mancnemo Incorporated,
China Union Investment (Liberia) Bong
Mines Company Ltd, China Union (Hong Kong) Gold Investment, Ocean Bottom Resource West Africa Inc., Fundy Minerals Ltd, Shine Star Business Corporation, Vision Inc, Golden Vision Trading, Royal Company, Nimba Diamond Enterprises, A D M T Company, Gemmacom Liberia Limited, Yuly Diam Company Inc, Tarpeh Timber Co., B&amp;V Timber Company, Bargor &amp; Bargor Enterprise Inc., Alpha Logging &amp; Wood Processing Inc., E J &amp; J Investment Corporation, Liberia Tree and Trading Company, Euro Logging, D. C. Wilson Incorporated, Geblo Logging, BOPOLU, UNITIMBER Corporation, UNIVERSAL Forestry Corporation, Malavasi Logging Company, Atlantic Resources LTA, Global Wood Industries Inc, Olam Liberia Ltd, International Consultant Capital, Omiejoe Group of Companies Inc., S &amp; Z Corporation Liberia Inc, Buchanan Renewable Energy, Salala Rubber Corp, Liberia Agricultural Company, Cavalla Rubber Corporation, Firestone Liberia, Cocopa, Sime Darby, LIBINC Oil Palm Inc., NOVEL Liberia Inc, Equatorial Bio-Fuels Liberia</t>
  </si>
  <si>
    <t>The report covers the  financial year of 1 July 2008 to 30 June 2009. Materiality threshold: All known companies were requested to participate. The report doesn't specify what minerals are mined. Unilateral declarations are included in the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t>
  </si>
  <si>
    <t>Broadway Consolidated Plc, NOCAL, Oranto Petroleum Limited, Anadarko Group, International Resources Strategic Liberia Energy</t>
  </si>
  <si>
    <t>AmLib United Minerals, Bea Mountain Mining Corp, Putu Iron Ore Mining Inc, Liberia Gold Corporation, Western Mineral Resources Corp,
KPO Resources, Alex Stewart Assayers Ltd., Bokun Jedeh Resources Inc, ArcelorMittal Liberia, 
African Aura Resources,
B H P Billiton World Exploration, Broadway Consolidated PLC, Ducor Minerals, Inc. (Diamond Fields, Inc), Hummingbird Resources, Afro Minerals, Deveton Mining Company, Sinoe Exploration, Precious Minerals Mining Company, SubSea Resources DMCC, Italgems &amp; Malavasi Mining Company, Black Sand Mining Company, Kwakmas Inc. Texas International Group, Pride Land, KBL Mining Company, Mancnemo Incorporated,
China Union Investment (Liberia) Bong
Mines Company Ltd, China Union (Hong Kong) Gold Investment, Ocean Bottom Resource West Africa Inc., Fundy Minerals Ltd, Shine Star Business Corporation, Vision Inc, Golden Vision Trading, Royal Company, Nimba Diamond Enterprises, A D M T Company, Gemmacom Liberia Limited, Yuly Diam Company Inc</t>
  </si>
  <si>
    <t>Volume from USGS Mineral Yearbook 2011, adjusted to account for the fiscal year. Price from kimberley Process Annual Summary 2008 and 2009, adjusted to account for the fiscal year.</t>
  </si>
  <si>
    <t>Tarpeh Timber Co., B&amp;V Timber Company, Bargor &amp; Bargor Enterprise Inc., Alpha Logging &amp; Wood Processing Inc., E J &amp; J Investment Corporation, Liberia Tree and Trading Company, Euro Logging, D. C. Wilson Incorporated, Geblo Logging, BOPOLU, UNITIMBER Corporation, UNIVERSAL Forestry Corporation, Malavasi Logging Company, Atlantic Resources LTA, Global Wood Industries Inc, Olam Liberia Ltd, International Consultant Capital, Omiejoe Group of Companies Inc., S &amp; Z Corporation Liberia Inc, Buchanan Renewable Energy</t>
  </si>
  <si>
    <t>Agriculture</t>
  </si>
  <si>
    <t>Salala Rubber Corp, Liberia Agricultural Company, Cavalla Rubber Corporation, Firestone Liberia, Cocopa, Sime Darby, LIBINC Oil Palm Inc., NOVEL Liberia Inc, Equatorial Bio-Fuels Liberia</t>
  </si>
  <si>
    <t>Broadway Consolidated Plc, NOCAL, Oranto Petroleum Limited, Anadarko Group, International Resources Strategic Liberia Energy, Regal Liberia Limited/European Hydrocarbons Limited - African Petroleum Corporation, AmLib United Minerals, Bea Mountain Mining Corp, Putu Iron Ore Mining Inc, KPO Resources, Alex Stewart Assayers Ltd., Bokun Jedeh Resources Inc, ArcelorMittal Liberia, B H P Billiton World Exploration, Ducor Minerals, Inc. (Diamond Fields, Inc), Hummingbird Resources, Afro Minerals, Deveton Mining Company, Sinoe Exploration, Precious Minerals Mining Company, SubSea Resources DMCC, Texas International Group, KBL Liberia Mining Company, China Union Mining Corporation Limited, Ocean Bottom Resource West Africa Inc., Shine Star Business Corporation, Vision Inc, Golden Vision Trading, Royal Company, A D M T Company, Yuly Diam Company Inc, Konblo Bumi Incorporated, Golden Mass Trading, Treco Mining company, West Africa Gold and Diamond Incorporated, Pedra Corporation, H10 International Incorporated, Star Diamond Company, Jamu Resources Incorporated, Ascension Resources Corporation, Global Mining Incorporated, N.E.S. Incorporated, Massa Investment Coporation, Larwuo-Wolu Incorporated, Thackett Mining Incorporated, Australian Exploration, G-10 Exploration Incorporated, Liberty Gold and Diamond Mning, Global Minerals Investment, YOussef Diamond Mining Company, African Aura Resources Liberia Limited, Horizon Investment Incorporated, Diasoma Mineral Incorporated, M &amp; G Infinity Incorporated, Noya Mining Company Limited, S.A.J. Minerals, Libera Tailing Incorporated, J.D.C. Diamond, Estmor Gold Mining Company, Five Talents Incorporated, Explorex Overseas Limited, Weajue Hill Mining Corporation, Fairview Mineral Incorporated, Hualee International Corporation, Sinlib Mining Company Liberia Limited, CIT Incorporated, Contact Internatonal Clearing Agency, RAFF Resouces Incorporated, GBF Investments Incorporated, Louise T Steele, BSG Resources Liberia Limited, Silla Enteprises Incorporated, Fine Minerals Inter Limited, Balaji Gems Export-Import Incorporated, Kights Group Incorporated, Liberia Mining Company, Explorex Liberia Company, KPO Resources Incorporated, Comptoire de Diamant du Liberia, International Mining Assciate Incorporated, Belle Resources Limited, Liberia Gold Refinery Corporation, Small Scale Miners (consolidated), Tarpeh Timber Co., B&amp;V Timber Company, Bargor &amp; Bargor Enterprise Inc., Alpha Logging &amp; Wood Processing Inc., E J &amp; J Investment Corporation, Liberia Tree and Trading Company, Euro Liberia Logging Company, Geblo Logging, Bopolu Development, Universal Forestry Corporation, Malavasi Logging Company, Atlantic Resources LTA, International Consultant Capital, Ecowood Incorporated/Texas International Incorporated, Mandra LTTC Incorporated, Mandra Forestry Liberia Limited, Bassa Timber and Logging Company, Eco Timber, Akewa Group of Companies, Pit Sawyers (consolidated), Salala Rubber Company, Liberian Agricultural Company, Cavalla Rubber Corporation, Firestone Liberia, The Liberia Company (LIBCO-COCOPA), Sime Darby, LIBINC Oil Palm Inc., NOVEL Liberia Inc, Equatorial Palm Oil, Buchanan Renewables Fuel Incorporated, Morris American Rubber Company, Liberia Forest Products Incorporated, The Lee Group of Companies, ADA/LAP</t>
  </si>
  <si>
    <t>The report covers the  financial year of 1 July 2009 to 30 June 2010. Materiality threshold: All known companies were requested to participate. The report doesn't specify what minerals are mined. Unilateral declarations are included in the report. Although the report states that 71 companies returned their templates, only 67 are named as doing so.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t>
  </si>
  <si>
    <t>Broadway Consolidated Plc, NOCAL, Oranto Petroleum Limited, Anadarko Group, International Resources Strategic Liberia Energy, Regal Liberia Limited/European Hydrocarbons Limited - African Petroleum Corporation</t>
  </si>
  <si>
    <t>AmLib United Minerals, Bea Mountain Mining Corp, Putu Iron Ore Mining Inc, KPO Resources, Alex Stewart Assayers Ltd., Bokun Jedeh Resources Inc, ArcelorMittal Liberia, B H P Billiton World Exploration, Ducor Minerals, Inc. (Diamond Fields, Inc), Hummingbird Resources, Afro Minerals, Deveton Mining Company, Sinoe Exploration, Precious Minerals Mining Company, SubSea Resources DMCC, Texas International Group, KBL Liberia Mining Company, China Union Mining Corporation Limited, Ocean Bottom Resource West Africa Inc., Shine Star Business Corporation, Vision Inc, Golden Vision Trading, Royal Company, A D M T Company, Yuly Diam Company Inc, Konblo Bumi Incorporated, Golden Mass Trading, Treco Mining company, West Africa Gold and Diamond Incorporated, Pedra Corporation, H10 International Incorporated, Star Diamond Company, Jamu Resources Incorporated, Ascension Resources Corporation, Global Mining Incorporated, N.E.S. Incorporated, Massa Investment Coporation, Larwuo-Wolu Incorporated, Thackett Mining Incorporated, Australian Exploration, G-10 Exploration Incorporated, Liberty Gold and Diamond Mning, Global Minerals Investment, YOussef Diamond Mining Company, African Aura Resources Liberia Limited, Horizon Investment Incorporated, Diasoma Mineral Incorporated, M &amp; G Infinity Incorporated, Noya Mining Company Limited, S.A.J. Minerals, Libera Tailing Incorporated, J.D.C. Diamond, Estmor Gold Mining Company, Five Talents Incorporated, Explorex Overseas Limited, Weajue Hill Mining Corporation, Fairview Mineral Incorporated, Hualee International Corporation, Sinlib Mining Company Liberia Limited, CIT Incorporated, Contact Internatonal Clearing Agency, RAFF Resouces Incorporated, GBF Investments Incorporated, Louise T Steele, BSG Resources Liberia Limited, Silla Enteprises Incorporated, Fine Minerals Inter Limited, Balaji Gems Export-Import Incorporated, Kights Group Incorporated, Liberia Mining Company, Explorex Liberia Company, KPO Resources Incorporated, Comptoire de Diamant du Liberia, International Mining Assciate Incorporated, Belle Resources Limited, Liberia Gold Refinery Corporation, Small Scale Miners (consolidated)</t>
  </si>
  <si>
    <t>6-7</t>
  </si>
  <si>
    <t>Volume from USGS Mineral Yearbook 2011, adjusted to account for the fiscal year. Price from USGS Mineral Commodity Summary 2014, and is the average mill price for cement in the US, adjusted to account for the fiscal year.</t>
  </si>
  <si>
    <t>Volume from USGS Mineral Yearbook 2011, adjusted to account for the fiscal year. Price from kimberley Process Annual Summary 2009 and 2010, adjusted to account for the fiscal year.</t>
  </si>
  <si>
    <t>Volume from USGS Mineral Yearbook 2011, adjusted to account for the fiscal year. Price from USGS Mineral Yearbook 2010, and is the price in the US for construction sand and gravel, adjusted to account for the fiscal year.</t>
  </si>
  <si>
    <t>Volume from USGS Mineral Yearbook 2011, adjusted to account for the fiscal year. Price from USGS Mineral Yearbook 2010, and is the price in the US for crushed misecellaneous stone, adjusted to account for the fiscal year.</t>
  </si>
  <si>
    <t>Tarpeh Timber Co., B&amp;V Timber Company, Bargor &amp; Bargor Enterprise Inc., Alpha Logging &amp; Wood Processing Inc., E J &amp; J Investment Corporation, Liberia Tree and Trading Company, Euro Liberia Logging Company, Geblo Logging, Bopolu Development, Universal Forestry Corporation, Malavasi Logging Company, Atlantic Resources LTA, International Consultant Capital, Ecowood Incorporated/Texas International Incorporated, Mandra LTTC Incorporated, Mandra Forestry Liberia Limited, Bassa Timber and Logging Company, Eco Timber, Akewa Group of Companies, Pit Sawyers (consolidated)</t>
  </si>
  <si>
    <t>7-8</t>
  </si>
  <si>
    <t>Salala Rubber Company, Liberian Agricultural Company, Cavalla Rubber Corporation, Firestone Liberia, The Liberia Company (LIBCO-COCOPA), Sime Darby, LIBINC Oil Palm Inc., NOVEL Liberia Inc, Equatorial Palm Oil, Buchanan Renewables Fuel Incorporated, Morris American Rubber Company, Liberia Forest Products Incorporated, The Lee Group of Companies, ADA/LAP</t>
  </si>
  <si>
    <t>Also covers payments made in-kind (though these were only reported by companies)</t>
  </si>
  <si>
    <t>See below</t>
  </si>
  <si>
    <t>African Petroleum, Anardarko, Chevron, National Oil Company, Oranto Petroleum, Peppercoast, AmLib United Minerals, Afric DIam Company Ltd, Bea Mountain Mining Corp, Putu Iron Ore Mining Inc, Bokun Jedeh Resources Inc, ArcelorMittal Liberia, B H P Billiton World Exploration, Hummingbird Resources, Afro Minerals, Sinoe Exploration, KBL Liberia Mining Company, China Union Mining Corporation Limited, Ocean Bottom Resource West Africa Inc., Golden Vision Trading, Royal Company, A D M T Liberia, Konblo Bumi Incorporated, Golden Mass, Treco Mining company, West Africa Gold and Diamond Incorporated, Pedra Mining, Star Diamond Company, Ascension Resources Corporation, Global Mining Incorporated, Massa Investment Coporation, Thackett Mining Incorporated, Global Mineral Investment, Youssef Diamond Mining Company, Diasoma Mineral Incorporated, Fine Minerals International Limited, Belle Resources Limited, African Gold Mining, Brown Stone Inc, Charis Mineral Inc, Gryphon Minerals, Hamana International, International Business Exchanges, Investment Developemtn Corporation, Iron Resources Limited, MIddle Island Resources, Pedra Mining, Planet Minerals Limited, Southern Cross, Spri Group Africa Ltd,  Star Diamond Company, Superior Mineral Resources Ltd, Task Investment Ltd, The Diamond Star Plus, Trade Right, VbgVale bsgr Liberia Ltd, Voila International Inc, West African Resources Co. Ltd, West peak Iron Ltd, Winestock Development Ltd, Hard Rock Crusher, Deveton Mining Company, Planet Minerals Mining, South East, Iron Bird Resources Inc., Jungle Water Group Of Investment, Comptoir De Diamant, Alpha B. Diallo, Bentley Business Center Mining, Dykov Dumar Mining, Good Brother Trading Mining, Millinarie Gold Mining, Taiti Trading Mining, Gemrocks Mining Inc, Across Africa Incorporated, Consolidated Brokers' License, Consolidated Class B Licenses, Consolidated Class C licenses, Consolidated Gold Dealers' Licenses, Consolidated Prospecting Licenses,  Tarpeh Timber Co., B&amp;V Timber Company, Bargor &amp; Bargor Enterprise Inc., Alpha Logging &amp; Wood Processing Inc., E J &amp; J Investment Corporation, Liberia Tree and Trading Company, Euro Liberia Logging Company, Geblo Logging, Atlantic Resources LTA, International Consultant Capital, Ecowood Incorporated, Mandra Forestry Liberia Limited, Bassa Logging &amp; Timber, Ecotimbers Liberia Limited, Akewa Group of Companies, K-Mark Indo Liberia Ltd, Mandra LTTC Incorporated, Thunder Bird International Limited, Sun Yeun Corporation, Pit Sawyers (consolidated), Salala Rubber Company, Liberian Agricultural Company, Cavalla Rubber Corporation, Firestone Liberia, The Liberia Company (LIBCO-COCOPA), Sime Darby, LIBINC Oil Palm Inc., Buchanan Renewables Fuel Incorporated, Morris American Rubber Company, Liberia Forest Products Incorporated, Golden Veroleum</t>
  </si>
  <si>
    <t>Ernst &amp; Young - MGI Monbo and Co.</t>
  </si>
  <si>
    <t>29, 50</t>
  </si>
  <si>
    <t>The report covers the  financial year of 1 July 2010 to 30 June 2011. Materiality threshold: oil, mining, forestry and agriculture companies that made a payment of at least US$200,000, US$15,000, US$10,000, US$30,000 respectively in the financial year should be reconciled. The report doesn't specify what minerals are mined. Unilateral declarations are included in the report, including the unilateral reporting by government agencies of US$632,541 from the small scale miners and pit sawyers. The originally reported total revenue was US$117m but a US$15m double count in the Oranto/Chevron signing fees was adjusted for in the 2012 EITI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report also covers: payments between the national port authority, its contractor and companies; the tracking of revenues particulary to social development entities; an 'amounts due' reconciliation for some revenue streams in the forestry sector; in-kind contributions. Companies reported on their in-kind payments and its value, but did not explain how this was estimated.</t>
  </si>
  <si>
    <t>University of Liberia furniture, low cost housing, resettlement, youth support services (no volumes given)</t>
  </si>
  <si>
    <t>African Petroleum, Anardarko, Chevron, National Oil Company, Oranto Petroleum, Peppercoast</t>
  </si>
  <si>
    <t>29, 54</t>
  </si>
  <si>
    <t>&lt;50km road renovation, construction of a clinic/hospital, water and sanitation, youth support services</t>
  </si>
  <si>
    <t>AmLib United Minerals, Afric DIam Company Ltd, Bea Mountain Mining Corp, Putu Iron Ore Mining Inc, Bokun Jedeh Resources Inc, ArcelorMittal Liberia, B H P Billiton World Exploration, Hummingbird Resources, Afro Minerals, Sinoe Exploration, KBL Liberia Mining Company, China Union Mining Corporation Limited, Ocean Bottom Resource West Africa Inc., Golden Vision Trading, Royal Company, A D M T Liberia, Konblo Bumi Incorporated, Golden Mass, Treco Mining company, West Africa Gold and Diamond Incorporated, Pedra Mining, Star Diamond Company, Ascension Resources Corporation, Global Mining Incorporated, Massa Investment Coporation, Thackett Mining Incorporated, Global Mineral Investment, Youssef Diamond Mining Company, Diasoma Mineral Incorporated, Fine Minerals International Limited, Belle Resources Limited, African Gold Mining, Brown Stone Inc, Charis Mineral Inc, Gryphon Minerals, Hamana International, International Business Exchanges, Investment Developemtn Corporation, Iron Resources Limited, MIddle Island Resources, Pedra Mining, Planet Minerals Limited, Southern Cross, Spri Group Africa Ltd,  Star Diamond Company, Superior Mineral Resources Ltd, Task Investment Ltd, The Diamond Star Plus, Trade Right, VbgVale bsgr Liberia Ltd, Voila International Inc, West African Resources Co. Ltd, West peak Iron Ltd, Winestock Development Ltd, Hard Rock Crusher, Deveton Mining Company, Planet Minerals Mining, South East, Iron Bird Resources Inc., Jungle Water Group Of Investment,
Comptoir De Diamant, Alpha B. Diallo, Bentley Business Center Mining, Dykov Dumar Mining, Good Brother Trading Mining, Millinarie Gold Mining, Taiti Trading Mining, Gemrocks Mining Inc, Across Africa Incorporated, Consolidated Brokers' License, Consolidated Class B Licenses, Consolidated Class C licenses, Consolidated Gold Dealers' Licenses, Consolidated Prospecting Licenses</t>
  </si>
  <si>
    <t>29, 51-53</t>
  </si>
  <si>
    <t>Volume from USGS Mineral Yearbook 2011, adjusted to account for the fiscal year. Price from kimberley Process Annual Summary 2010 and 2011, adjusted to account for the fiscal year.</t>
  </si>
  <si>
    <t>Volume from USGS Mineral Yearbook 2011, adjusted to account for the fiscal year. Price from World Bank (Global Economic Monitor (GEM) Commodities database) - defined as: Iron ore (any origin) fines, spot price, c.f.r. China, 62% Fe - adjusted to account for the fiscal year.</t>
  </si>
  <si>
    <t>Volume from USGS Mineral Yearbook 2011, adjusted to account for the fiscal year. Price from USGS Mineral Yearbook 2012, and is the price in the US for construction sand and gravel, adjusted to account for the fiscal year.</t>
  </si>
  <si>
    <t>Volume from USGS Mineral Yearbook 2011, adjusted to account for the fiscal year. Price from USGS Mineral Yearbook 2012, and is the price in the US for crushed misecellaneous stone, adjusted to account for the fiscal year.</t>
  </si>
  <si>
    <t>Various including 200 miles road rehabilitation, 88 education scholarships, 52 teacher salaries, an adult education programme for 250 students, clinic/hospital supplies, water and sanitation</t>
  </si>
  <si>
    <t>Tarpeh Timber Co., B&amp;V Timber Company, Bargor &amp; Bargor Enterprise Inc., Alpha Logging &amp; Wood Processing Inc., E J &amp; J Investment Corporation, Liberia Tree and Trading Company, Euro Liberia Logging Company, Geblo Logging, Atlantic Resources LTA, International Consultant Capital, Ecowood Incorporated, Mandra Forestry Liberia Limited, Bassa Logging &amp; Timber, Ecotimbers Liberia Limited, Akewa Group of Companies, K-Mark Indo Liberia Ltd, Mandra LTTC Incorporated, Thunder Bird International Limited, Sun Yeun Corporation, Pit Sawyers (consolidated)</t>
  </si>
  <si>
    <t>29, 57</t>
  </si>
  <si>
    <t>Road construction, market building construction, education scholarships, water and sanitation, youth support services (no volumes given)</t>
  </si>
  <si>
    <t>Salala Rubber Company, Liberian Agricultural Company, Cavalla Rubber Corporation, Firestone Liberia, The Liberia Company (LIBCO-COCOPA), Sime Darby, LIBINC Oil Palm Inc., Buchanan Renewables Fuel Incorporated, Morris American Rubber Company, Liberia Forest Products Incorporated, Golden Veroleum</t>
  </si>
  <si>
    <t>29, 55-56</t>
  </si>
  <si>
    <t>Various including road rehabilitation, education scholarships, clinic/hospital supplies, water and sanitation, youth support services (volumes generally not given)</t>
  </si>
  <si>
    <t xml:space="preserve">African Petroleum, Anardarko, Chevron, National Oil Company, Oranto Petroleum, Broadway Peppercoast, Western Cluster Limited, Arcelor Mittal Liberia, China Union Investment (Liberia) Bong Mines Company Limited, BHP Biliton (Liberia) Incorporated, Putu Iron Mining Company, Amlib United Minerals Incorporated, Bea Mountain Mining Coporation, Hummingbird Resources Incorporated, Bukon Jedeh Resources Incorporated, Pedsam Mining Limited, Knights Group Incorporated, Souterhn Cross Investment Limited, Tietto Minerals (Liberia) Limited, Jonah Capital (BVI) Limited, Konblo Bumi Incorporated, Investment Development Corporation, BG Minerals (Liberia) Limited, West Peak Iron Limited, Birimian Gold Limited, BCM INternational, Iron Resources Limited, Deveton Mining Company, Sinoe Exploration Limited, Middle Island Resources Liberia Limited, Noya Mining Company, Tiawana Resources Liberia, Planet Mines and Mienrals Limited, Treco Mining Company, Global Minerals Investment LLC, Acquarian Commercial Holdings Inc., Youssef Diamond Mining Company, Bopulu Commercial Ltd, WInestock Development Liberia Corporation, West African Resources (Lib) Corp. Limtied, Archaen Gold, Superior Mineral Resources Incorporated, African Gold Mining Liberia Limited, Mount Belle Resources (Liberia) Limited, Aforo Resources/Indo Gold Ltd, Afro Minerals Incorporated (Kana Hills), Ironbird Resources Incorporated, BAO CHICO Resources Liberia Limited, Ascension Resources Corporation, Jamu Resources Incorporated, Salmec Resources Limited (Belle Resources Limited), THackett Mining Incorporated, Voila International Inc., Liberia Development corporation, Shankil Resources (Liberia) Inc., Royal COmpany, VBG Valle BSGR Liberia, The Diamond Star Plus Inc., Steinbock Mineral (lib) Ltd, Damaka Mining Inc., Sarama Mining Liberia Ltd, Sinoe Mining and Exploration Inc., Consor International (Liberia) ltd, Earthcons Inc., Weajue Hill Mining, Fine Mineral International Ltd, Alex Stewart (Assayers) Ltd, Mining and Geotechnical (Lib) Ltd, Elephant Fall Mining Company, Lofa Mineral Minerals Corporation, Nimba Mining Company, H-10 International Inc., Kidoon Enterprises Inc., Pedra Mining, Comptoire de Diamant, Xin Yuan Transnational Corporation Inc., Handin Resources Investment Corp. Lib. Ltd, Han-Uman Company, White Rock (lib) General Trading Inc., Kbl Liberia Mining Company, Liberia - Mineral Reosurces, Madansu's Incorporated, WDL Corporation, BSD Incorporated, Gryphon Minerals, South East Resources Inc., Golden Mass Trading, Golden Vision Trading, Afric Diam COmpany Inc., Trasn-Atlantic Petroleum and Oil Reosurces, West Africa Gold and Diamond Inc., Diamco Inc., Monnet Global (Liberia) Ltd, Castle Gem (Liberia) Ltd, Massa Investment Corp., Africa Diamond Resources, Gemrock Mining Inc., Nyan Bartee Corporation, Star Diamond Company, Rusalka Group, Abundant Resources Liberia Ltd, Estmor Gold Mining Company, Madas Corporaton, Task International Ltd, SRPI Group African Ltd, Charis Minerals Inc., Fortress (Liberia) Ltd, B-2 (Bereket D. Tesfamariam), Small scale miners (consolidated), Tarpeh Timber Co., B&amp;V Timber Company, Bargor &amp; Bargor Enterprise Inc., Alpha Logging &amp; Wood Processing Inc., E J &amp; J Investment Corporation/Mandra Forestry, Liberia Tree and Trading Company/Mandra LTTC Incorporated, Euro Logging Company, Geblo Logging, Atlantic Resources LTA, International Consultant Capital, Ecowood Incorporated, Bassa Logging &amp; Timber, Eco-Timber Liberia Limited, Akewa Group of Companies, K-Mark Indo Liberia Ltd, Thunder Bird International Limited, Sun Yeun Corporation, Liberia Hard Wood Corporation, Forest Venture, Global Logging, Tropical Timber Inc., Universal Forestry Corp, TImber Liberia, Nature Orientated, Cavalla Logging, Frank Brooks Ltd, Quantum Resource, Buchanan Renewable Energy, Pit Sawyers (consolidated), Salala Rubber Company, Liberia Agricultural Company, Cavalla Rubber Corporation, Firestone Liberia, The Liberia Company (LIBCO-COCOPA), Sime Darby, LIBINC Oil Palm Inc., Morris American Rubber Company, Liberia Forest Products Incorporated, Golden Veroleum, Lee Group of Enterprises, Equitorial Palm Oil   </t>
  </si>
  <si>
    <t>The report covers the  financial year of 1 July 2011 to 30 June 2012. Materiality threshold: oil, mining, forestry and agriculture companies that made a payment of at least US$350,000, US$50,000, US$5,000, US$50,000 respectively in the financial year should be reconciled. The report doesn't distinguish between mining companies producing different commodities. Unilateral declarations are included in the report, including the unilateral reporting by government agencies of US$912,242 from the small scale miners, pit sawyers and companies below the threshold.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report also covers: the value of exports; employment levels for the mining, forestry and agriculture sectors and some companies; the revenue of some agricultural companies; the tracking of revenues particulary to social development entities; an 'amounts due' reconciliation for some fixed amount revenue streams in the oil, mining and forestry sectors; in-kind contributions (though values for these are not reported).</t>
  </si>
  <si>
    <t>African Petroleum, Anardarko, Chevron, National Oil Company, Oranto Petroleum, Broadway Peppercoast</t>
  </si>
  <si>
    <t xml:space="preserve">Western Cluster Limited, Arcelor Mittal Liberia, China Union Investment (Liberia) Bong Mines Company Limited, BHP Biliton (Liberia) Incorporated, Putu Iron Mining Company, Amlib United Minerals Incorporated, Bea Mountain Mining Coporation, Hummingbird Resources Incorporated, Bukon Jedeh Resources Incorporated, Pedsam Mining Limited, Knights Group Incorporated, Souterhn Cross Investment Limited, Tietto Minerals (Liberia) Limited, Jonah Capital (BVI) Limited, Konblo Bumi Incorporated, Investment Development Corporation, BG Minerals (Liberia) Limited, West Peak Iron Limited, Birimian Gold Limited, BCM INternational, Iron Resources Limited, Deveton Mining Company, Sinoe Exploration Limited, Middle Island Resources Liberia Limited, Noya Mining Company, Tiawana Resources Liberia, Planet Mines and Mienrals Limited, Treco Mining Company, Global Minerals Investment LLC, Acquarian Commercial Holdings Inc., Youssef Diamond Mining Company, Bopulu Commercial Ltd, WInestock Development Liberia Corporation, West African Resources (Lib) Corp. Limtied, Archaen Gold, Superior Mineral Resources Incorporated, African Gold Mining Liberia Limited, Mount Belle Resources (Liberia) Limited, Aforo Resources/Indo Gold Ltd, Afro Minerals Incorporated (Kana Hills), Ironbird Resources Incorporated, BAO CHICO Resources Liberia Limited, Ascension Resources Corporation, Jamu Resources Incorporated, Salmec Resources Limited (Belle Resources Limited), THackett Mining Incorporated, Voila International Inc., Liberia Development corporation, Shankil Resources (Liberia) Inc., Royal COmpany, VBG Valle BSGR Liberia, The Diamond Star Plus Inc., Steinbock Mineral (lib) Ltd, Damaka Mining Inc., Sarama Mining Liberia Ltd, Sinoe Mining and Exploration Inc., Consor International (Liberia) ltd, Earthcons Inc., Weajue Hill Mining, Fine Mineral International Ltd, Alex Stewart (Assayers) Ltd, Mining and Geotechnical (Lib) Ltd, Elephant Fall Mining Company, Lofa Mineral Minerals Corporation, Nimba Mining Company, H-10 International Inc., Kidoon Enterprises Inc., Pedra Mining, Comptoire de Diamant, Xin Yuan Transnational Corporation Inc., Handin Resources Investment Corp. Lib. Ltd, Han-Uman Company, White Rock (lib) General Trading Inc., Kbl Liberia Mining Company, Liberia - Mineral Reosurces, Madansu's Incorporated, WDL Corporation, BSD Incorporated, Gryphon Minerals, South East Resources Inc., Golden Mass Trading, Golden Vision Trading, Afric Diam COmpany Inc., Trasn-Atlantic Petroleum and Oil Reosurces, West Africa Gold and Diamond Inc., Diamco Inc., Monnet Global (Liberia) Ltd, Castle Gem (Liberia) Ltd, Massa Investment Corp., Africa Diamond Resources, Gemrock Mining Inc., Nyan Bartee Corporation, Star Diamond Company, Rusalka Group, Abundant Resources Liberia Ltd, Estmor Gold Mining Company, Madas Corporaton, Task International Ltd, SRPI Group African Ltd, Charis Minerals Inc., Fortress (Liberia) Ltd, B-2 (Bereket D. Tesfamariam), small scale miners   </t>
  </si>
  <si>
    <t>Volume from USGS Mineral Yearbook 2012, adjusted to account for the fiscal year. Price from EITI Report, and is based on the reported value and quantity of exports.</t>
  </si>
  <si>
    <t>Volume from USGS Mineral Yearbook 2012 (adjusted to account for the fiscal year). Price from EITI Report, and is based on the reported value and quantity of exports (and is 86.63% of the  price for gold reported by the World Bank).</t>
  </si>
  <si>
    <t>Volume from USGS Mineral Yearbook 2012, adjusted to account for the fiscal year. Price from World Bank (Global Economic Monitor (GEM) Commodities database) - defined as: Iron ore (any origin) fines, spot price, c.f.r. China, 62% Fe - adjusted to account for the fiscal year.</t>
  </si>
  <si>
    <t>Total Forestry</t>
  </si>
  <si>
    <t>Tarpeh Timber Co., B&amp;V Timber Company, Bargor &amp; Bargor Enterprise Inc., Alpha Logging &amp; Wood Processing Inc., E J &amp; J Investment Corporation/Mandra Forestry, Liberia Tree and Trading Company/Mandra LTTC Incorporated, Euro Logging Company, Geblo Logging, Atlantic Resources LTA, International Consultant Capital, Ecowood Incorporated, Bassa Logging &amp; Timber, Eco-Timber Liberia Limited, Akewa Group of Companies, K-Mark Indo Liberia Ltd, Thunder Bird International Limited, Sun Yeun Corporation, Liberia Hard Wood Corporation, Forest Venture, Global Logging, Tropical Timber Inc., Universal Forestry Corp, TImber Liberia, Nature Orientated, Cavalla Logging, Frank Brooks Ltd, Quantum Resource, Buchanan Renewable Energy, Pit Sawyers (consolidated)</t>
  </si>
  <si>
    <t>Round Logs</t>
  </si>
  <si>
    <t>Sawn Timber</t>
  </si>
  <si>
    <t>pes.</t>
  </si>
  <si>
    <t>Total Agriculture</t>
  </si>
  <si>
    <t>Salala Rubber Company, Liberia Agricultural Company, Cavalla Rubber Corporation, Firestone Liberia, The Liberia Company (LIBCO-COCOPA), Sime Darby, LIBINC Oil Palm Inc., Morris American Rubber Company, Liberia Forest Products Incorporated, Golden Veroleum, Lee Group of Enterprises, Equitorial Palm Oil</t>
  </si>
  <si>
    <t>Cocoa</t>
  </si>
  <si>
    <t>Coffee</t>
  </si>
  <si>
    <t>Rubber</t>
  </si>
  <si>
    <t>http://www.eiti-madagascar.org/</t>
  </si>
  <si>
    <t>The 2007-2009 EITI Report does not disaggregate revenues by year - it's not clear where the payment totals on eiti.org come from.</t>
  </si>
  <si>
    <t>Volume from USGS Mineral Yearbook 2011. Price from USGS Mineral Commodity Summary 2012, and is the price for chromium metal in the US.</t>
  </si>
  <si>
    <t>Volume from USGS Mineral Yearbook 2012. Price from USGS Mineral Commodity Summary 2013, and is the price for chromium metal in the US.</t>
  </si>
  <si>
    <t>Ilmenite concentrate</t>
  </si>
  <si>
    <t>Volume from USGS Mineral Yearbook 2012. Price from USGS Mineral Commodity Summary 2013, and is the f.o.b. price in Australia for a bulk product with a minimum TiO2 content of 54%.</t>
  </si>
  <si>
    <t>Malagasy Ariary</t>
  </si>
  <si>
    <t>Disaggregated by revenue stream, Disaggregated by company, Disaggregated by project</t>
  </si>
  <si>
    <t>Voluntary social payments (but specific volumes are not given)</t>
  </si>
  <si>
    <t>Projet Ambatovy (Ambatovy Minerals S.A et Dynatec Minerals S.A)/ Holcim S.A/ Qit Madagascar Minerals / Wisco Madagascar / Groupe Pan African Mining (PAM Madagascar, PAM Sakoa, PAM Atomique) /HOLCIM SA/ Mainland Mining Limited/ Gold Sand / Madagascar Oil.</t>
  </si>
  <si>
    <t>6, 29-30, 39-40</t>
  </si>
  <si>
    <t>The report includes a US$ 100 million payment made by the Chinese company Wisco for the iron ore exploration permit in the Soalala region. Also included in EITI Report totals are payments made by companies to subnational governments and voluntary social payments (including the value of voluntary payments made in kind). In addition to the 9 companies required to report, 3 companies voluntarily submitted payment figures. Total Received by Govt includes receipts that fell below the materiality threshold (17.6 billion MGA, see p.29-30). The eiti.org payment/revenue totals were taken from Annex 6.1, where totals were given in USD; however, these totals don't appear to match the totals given in MGA elsewhere in the report. The figures given here are MGA converted to USD.</t>
  </si>
  <si>
    <t>Volume from USGS Mineral Yearbook 2012. Price from USGS Mineral Yearbook 2012, and is the average U.S. spot price for minimum 99.8% cobalt cathode reported by Platts Metals Week</t>
  </si>
  <si>
    <t>Nickel (nickel content of mine output)</t>
  </si>
  <si>
    <t>Volume from USGS Mineral Yearbook 2012. Price from World Bank (Global Economic Monitor (GEM) Commodities database), and is defined as: Nickel (LME), cathodes, minimum 99.8% purity, settlement price beginning 2005; previously cash price.</t>
  </si>
  <si>
    <t>Zirconium concentrate</t>
  </si>
  <si>
    <t>Volume from USGS Mineral Yearbook 2012. Price from USGS Mineral Commodity Summary 2013, and is the price of unwrought zirconium imports in the US.</t>
  </si>
  <si>
    <t>PROJET AMBATOVY, HOLCIM MADAGASCAR S.A., QIT MADAGASCAR MINERALS S.A., GROUPE PAM, KRAOMA S.A., TANTALUM RARE EARTH (MALAGASY) S.A.R.L.U, MADAGASCAR OIL, MADAGASCAR CONSOLIDATED MINING S.A., MAINLAND MINING LTD S.A.R.L.U, GOLD SAND S.A.R.L., ZISY DAVID MICHAEL, MPUMALANGA MINING RESOURCES S.A.U, MADAGASCAR CHROMIUM COMPANY LTD S.A.R.L.U, TOTAL EP1, NICOH-ENERMAD, MADA-AUST S.A.R.L., GALLOIS ETABLISSEMENT, MADAGASCAR WISCO GUANGXIN KAM WAH RESSOURCES S.A.U., CALIBRA RESOURCES &amp; ENGINEERS MADAGASCAR S.A.R.L.U, CALIBRA RESOURCES &amp; ENGINEERS MADAGASCAR S.A.R.L.U, TULLOW, MADAGASCAR INTERNATIONAL TAK MINING S.A.R.L., MADAGASCAR MINING RESOURCES LTD S.A.R.L., NOVA RESOURCES S.A.R.L.U, STERLING, LABRADOR MADAGASCAR, WILTON PETROLEUM, URAMAD S.A, AMICOH, COAL MINING MADAGASCAR S.A.R.L., ACCES MADAGASCAR S.A.R.L., ACCRINGTON MINERALS S.A., ROC OIL / SAPETRO, MINVEST MADAGASCAR S.A.U., MINERAL PRODUCTS INTERNATIONAL GROUP S.A.R.L., TOLIARA SANDS S.A.R.L., RAKOTOMALALA Herindrainy Olivier, GROUPE EXXON MOBIL.</t>
  </si>
  <si>
    <t>3-4, 43, 63</t>
  </si>
  <si>
    <t>Exchange rate is World Bank average. Eiti.org totals include only reconciled flows ("Group A") and use the USD value given in the report. Totals here are converted from MGA amounts. Total Received by Govt includes revenues from smaller companies reported unilaterally by govt (see figures for Groups B and C on p.4). Government and company totals in EITI Report include payments made by companies to local governments and voluntary social payments ("dons") made in cash and kind. Total In-Kind Payment Value is the value of in-kind donations, which are already included in revenue totals. The report also details subnational transfers made by central govt (BCMM) to communes/regions totalling 2 404 744 992 MGA, and payments owed to communes by BCMM totalling 573 503 006.69 MGA (p.5-6); these transfers are not included in revenue/payment figures. 3 companies did not report (ACCRINGTON MINERALS SA, ACCESS Madagascar, and GROUPE EXXON MOBIL); their payments were reported unilaterally by govt and included in Total Received by Govt.</t>
  </si>
  <si>
    <t>EITI Report gives export volumes only; Chrome exports reported by Kraoma and include both "chrome concentré" and "chrome rocheux" (p.63).</t>
  </si>
  <si>
    <t>Graphite</t>
  </si>
  <si>
    <t>Volume from USGS Mineral Yearbook 2012. Price from USGS Mineral Commodity Summary 2012, and is the average f.o.b. price for flake, lump and chip, and amorphous products.</t>
  </si>
  <si>
    <t>EITI Report gives export volumes only; Graphite exports reported by Etablissment Gallois SA (p.63).</t>
  </si>
  <si>
    <t>EITI Report gives export volumes only; Ilmenite exports reported by Mainland and QMM (p.63).</t>
  </si>
  <si>
    <t>Labradorite</t>
  </si>
  <si>
    <t xml:space="preserve"> EITI Report gives export volumes only; Labradorite exports reported by Labrador and Mada Aust (p.63).</t>
  </si>
  <si>
    <t>EITI Report gives export volumes only; Zircon exports reported by QMM (p.63).</t>
  </si>
  <si>
    <t>Volume from USGS Mineral Yearbook 2010. Price from World Bank (Global Economic Monitor (GEM) Commodities database) - defined as: Gold (UK), 99.5% fine, London afternoon fixing, average of daily rates - adjusted to account for the price given in the 2010 EITI Report being 113.50% of this in 2010.</t>
  </si>
  <si>
    <t>Mazars</t>
  </si>
  <si>
    <t xml:space="preserve">According to the EITI report, the total gold production of gold in Mali in 2006 was 58 tons, of which 3 were produced by artisanal miners. I subtracted 3 tons and converted 55 tons to toz to get thee EITI production figure. </t>
  </si>
  <si>
    <t>Volume from USGS Mineral Yearbook 2011. Price from World Bank (Global Economic Monitor (GEM) Commodities database) - defined as: Gold (UK), 99.5% fine, London afternoon fixing, average of daily rates - adjusted to account for the price given in the 2010 EITI Report being 113.50% of this in 2010.</t>
  </si>
  <si>
    <t>MINING - PRODUCTION PHASE: Société d'Exploitation des Mines d'Or de YATELA (YATELA), Société des Mines d'Or de LOULOU (SOMILO), Société des Mines de MORILA (MORILA), Société des Mines d'Or de Kalana (SOMIKA), Société des Mines d'Or de SYAMA (SOMISY), Société d'Exploitation des Mines d'Or de SADIOLA (SEMOS), Tamboura Mining CO SA (TAMICO), Wassoul’or, SegalaMiningCompany (SEMICO). MINING - EXPLORATION PHASE: SegalaMiningCompany (SEMICO), Etruscan Ressources Mali SARL, Etruscan Ressources Bermuda Ltd, Page Management, New Gold Mali, Axmin Mali (Ex Africa Gold), GlencarMining, Songhoï Ressources, Great QuestMetals, Tichitt Sa, Touba Mining JvMerrex Gold Inc, Mali Gold Mining, Golden Spear, Robex, Mali MineralResources. PETROLEUM - EXPLORATION PHASE: Société HeritageOil Block 7, Société HeritageOil Block 11, Mali Petroleum SA, Sipex, Petroma, Afex Global, MOH Oil PVT Ltd, JV Falcon Martagon, ENI Mali, SelierEnergy. SUBCONTRACTORS: MoolmanMiningYatela, AfricanMining Services, BCM - Bay Xater Construction And Mining, MARS - Mining And Rechandling Service, SFTP - Société de Forage et Travaux Publics, PW Mining International Limited.</t>
  </si>
  <si>
    <t>5, 9-10, 20-23</t>
  </si>
  <si>
    <t>"Compensation" (reimboursement of tax payments) was included in tax totals by EITI reconcilers (see p.16).</t>
  </si>
  <si>
    <t>Volume from USGS Mineral Yearbook 2011. Price from EITI Report, and is 113.50% of the price for gold given by the World Bank.</t>
  </si>
  <si>
    <t>MORILA, SEMOS, YATELA, SOMILO, SOMISY, SOMIKA, TAMICO, SEMICO, WASSOUL’OR</t>
  </si>
  <si>
    <t>5, 6, 7, 16-17</t>
  </si>
  <si>
    <t>Compensation (reimboursement of tax payments) was included in tax totals by EITI reconcilers (see p.16). Voluntary social payments were reported unilaterally by companies (759,744,000 FCFA) and have been added to Company Total Payments.</t>
  </si>
  <si>
    <t>Semos, Morila, Somilo, Yatela, Somisy, Tamico, Semico, Somika, Wassoul'or, Sahara mining</t>
  </si>
  <si>
    <t>7, 9, 10, 31-33, 39, 53</t>
  </si>
  <si>
    <t xml:space="preserve">Ten companies were required to report; 8 other companies' payments were reported unilaterally by govt--these revenues (170,210,465 FCFA, see p.29, 39) were included in government totals.Voluntary social payments were reported unilaterally by companies (1,198,782,000 FCFA) and have been added to Company Total Payments. </t>
  </si>
  <si>
    <t>http://www.itie.mines.gouv.ml/</t>
  </si>
  <si>
    <t>Morila SA, Semos, Somilo, Sté des Mines d'Or de Gounkoto, Resolute (SOMISY-SA), Segala Mining Company SA, Yatela SA, SOMIKA (Avnel), Toguna, Randgold Resources Mali SARL., Glencar Mali SARL., Wassoul’or, Goldfields Exploration Mali SARL., Mali Mineral Resources</t>
  </si>
  <si>
    <t>No exchange rate provided</t>
  </si>
  <si>
    <t>http://www.CNITIE.mr</t>
  </si>
  <si>
    <t>Host government's production entitlement, Royalties, Dividends, Bonuses</t>
  </si>
  <si>
    <t>Volume from USGS Mineral Yearbook 2009. Price from World Bank (Global Economic Monitor (GEM) Commodities database) - defined as: Iron ore (any origin) fines, spot price, c.f.r. China, 62% Fe -  adjusted to account for the price given in the 2010 EITI Report being 59.64% of this in 2010.</t>
  </si>
  <si>
    <t>Volume from EIA. Price from BPSR 2014, and is an average of the spot prices for Brent, Dubai, Nigerian Forcados and West Texas Intermediate crude oil, adjusted to account for the prices given in the 2010-11 EITI Reports being an average 101.64% of this in 2010-11.</t>
  </si>
  <si>
    <t>Copper (in concentrate)</t>
  </si>
  <si>
    <t>Volume from USGS Mineral Yearbook 2009. Price from World Bank (Global Economic Monitor (GEM) Commodities database) - defined as: Copper (LME), grade A, minimum 99.9935% purity, cathodes and wire bar shapes, settlement price -  adjusted to account for the price given in the 2010 EITI Report being 68.15% of this in 2010.</t>
  </si>
  <si>
    <t>Volume from USGS Mineral Yearbook 2009. Price from World Bank (Global Economic Monitor (GEM) Commodities database) - defined as: Gold (UK), 99.5% fine, London afternoon fixing, average of daily rates - adjusted to account for the price given in the 2010 EITI Report being 98.42% of this in 2010.</t>
  </si>
  <si>
    <t>http://eiti.org/files/Mauritania%202008%20EITI%20Report.pdf</t>
  </si>
  <si>
    <t>Volume from USGS Mineral Yearbook 2011. Price from World Bank (Global Economic Monitor (GEM) Commodities database) - defined as: Copper (LME), grade A, minimum 99.9935% purity, cathodes and wire bar shapes, settlement price -  adjusted to account for the price given in the 2010 EITI Report being 68.15% of this in 2010.</t>
  </si>
  <si>
    <t>Volume from USGS Mineral Yearbook 2011. Price from World Bank (Global Economic Monitor (GEM) Commodities database) - defined as: Gold (UK), 99.5% fine, London afternoon fixing, average of daily rates - adjusted to account for the price given in the 2010 EITI Report being 98.42% of this in 2010.</t>
  </si>
  <si>
    <t>Volume from USGS Mineral Yearbook 2011. Price from World Bank (Global Economic Monitor (GEM) Commodities database) - defined as: Iron ore (any origin) fines, spot price, c.f.r. China, 62% Fe -  adjusted to account for the price given in the 2010 EITI Report being 59.64% of this in 2010.</t>
  </si>
  <si>
    <t>United States Dollar and Mauritanian Ouguiya</t>
  </si>
  <si>
    <t>PETROLEUM PRODUCTION: Petronas, Tullow Oil, Roc Oil, Premier Oil, Kufpec. PETROLEUM EXPLORATION: 4M Energy, Baraka Petroleum, Blue Chip, Brimax, CNPCI, Dana Petroleum, Groupe ASB, Groupe Hi-Tech Mauritanie, IPG, Repsol YPF, Total E&amp;P Mauritanie, Wintershall, Zaver Petroleum Gulf. NATIONAL OIL COMPANY: Societe Mauritanienne des Hydrocarbures (SMH). MINING PRODUCTION: SNIM (Societe Nationale Industrielle et Miniere), MCM (Mauritanian Copper Mines), Tasiast Mauritanie. MINING EXPLORATION: Agrineq, Alco Materials, Atlantic Metals, Aura Energy, BSA, Bumi Mauritanie, Bumi Ressources, Caracal Gold, CIFC, El Aouj Mining Company, ID Geoservices, Macoba-TP, Maghreb Mining (2M), Managem, Maurigold, Mauritania Mining, Mauritania Holding, Mining Resources, Murchison United, Peak Metals, Resource Investment International, Roxwell Mining, Segma, Shield Metal, Shield Saboussiri, Somaso, Sonko Lowenthal, Sphere Mauritania, THL Mauritania Gold, Uranimetrics, Wadi al Rawda.</t>
  </si>
  <si>
    <t>Profit-oil ("Etat-Puissance Publique") is received in-kind (see description of commercialization on p.10); the value of this oil is included in govt receipts. The value of cost-oil and profit-oil ("Etat Associé") received by the national oil company (SMH) from private companies is also included as government receipts. No volume or price information is given for in-kind receipts. Total In-kind Payment Value includes profit oil received by govt, profit oil received by SMH, and cost oil received by SMH. Note that SMH paid US$17,443,000 to Sterling Energy to finance state parternship in the Chinguetti field (see footnote on p.16) -- this payment is not reflected in payment/revenue totals.  SMH also pays dividends to the state (none reported).</t>
  </si>
  <si>
    <t>Host government's production entitlement, Profits/Taxes, Dividends, Bonuses, Licenses and concessions, Other significant benefits to government</t>
  </si>
  <si>
    <t>Yes (value of national oil company's in-kind receipts has been added to totals, the value of govt in-kind receipts commercialized by the NOC is already included)</t>
  </si>
  <si>
    <t>726,859 bbl of oil</t>
  </si>
  <si>
    <t>NATIONAL OIL COMPANY: Societe Maurtanienne des Hydrocarbures (SMH). PETROLEUM PRODUCTION: Petronas. PETROLEUM EXPLORATION: Dana Petroleum, International Petroleum Grouping (IPG), Repsol, Sonatrach, Total, Tullow Oil, Wintershall. STATE-OWNED MINING COMPANY: Societe Nationale Indtrielle et Minere (SNIM). MINING PRODUCTION: Mauritanian Copper Mines (MCM), Tasiast. MINING EXPLORATION: AGRINEQ, Alco Materials, Alecto Holdings International, Atlantic Metals, Aura Energy, Bofal Indo Mining Company, BSA, Bumi Mauritanie, Caracal Gold, CIFC, Curve Capital Ventures, Drake Resources, Durman International Group, Al Aouj Mining Company, ELite Earth Minerals and Metals, Forte Energy, Ghana Ressources, Ghazal Minerals, Gulf Western Mining, ID Geoservices, Lusitania Iron, Lusitania Metals, Lusitania Uranium, Macoba-TP, Maghreb Oil and Mining, Managem, Massadir, Mauriplat, Mauritania for Mining and Services, Mauritania Mining Resources, Mayritanian Minerals Company (MMC), Mauritania Ventures, Mauritanian Holding, Mineralis, Mining Resources, Mining Ventures, Murchison, Negoce International Mining, Peak Metals, Piedras Ornementales Hergha SL, Resource Investment International, Roxwell Mining, Shield Mining, Shield Mining Saboussiri, Silvrex, SMCRP, Somaso SA, Somaso 1, Sonko Lowenthal, Sphere Mauritania, Tafoli Minerals, Tayssir Resources, TransAfrika, THL Mauritania Gold, NMIN Limited, Uranimetrics, Wadi Al Rawda, Wafa Mining, Wirama Entiti Mauritania.</t>
  </si>
  <si>
    <t>8, 10, 12, 18-21</t>
  </si>
  <si>
    <t>eiti.org totals do not include "indirect payments" or the value of in-kind receipts recieved by SMH for its own account. Total In-kind Payment Volumes include oil received by SMH for its own account (Cost Oil/Profit Oil-Etat Associé = 280,025 bbl) and the volume received by SMH and commercialized on behalf of the state (Profit Oil-Puissance Publique = 446,834 bbl). Note that Total In-kind Payment Value includes the value of "Etat-Associe" in-kind receipts priced at $80.20/bbl (the state received $34,705,000, or  $77.67/bbl for the "Puissance-Publique" portion). Note also that SMH is considered both a receiving entity (for Cost Oil/Profit Oil-Etat Associé) and a paying company (for the commercialized value of Profit Oil-Puissance Publique and Dividends). The value of Profit Oil-Puissance Publique is included in the EITI Report's revenue totals, but the value of in-kind Cost Oil/Profit Oil-Etat Associé received by SMH from private companies is not; it has been added to totals here based on the average oil price given in the report ($80.20/bbl, see p.10). Of the 280,025 bbl received by SMH as Cost Oil/Profit Oil-Etat Associé, 173,983 bbl was "paid" to Sterling Energy to finance the state's interest in the Chinguetti field (see footnote p.18); the value of this payment is not reflected in Government receipts or company payments. "Indirect payments" were reported unilaterally by govt and have been included in Total Received by Govt.</t>
  </si>
  <si>
    <t>Volume from EIA. Price from EITI Report, and is an average of the spot prices for Brent, Dubai, Nigerian Forcados and West Texas Intermediate crude oil.</t>
  </si>
  <si>
    <t>Volume from USGS Mineral Yearbook 2011. Price from USGS Mineral Commodity Summary 2014, and is the average mill price for cement in the US.</t>
  </si>
  <si>
    <t>Copper exports were valued at $190,000,000 (p.12).</t>
  </si>
  <si>
    <t>Gold exports were valued at $310,000,000 (p.12).</t>
  </si>
  <si>
    <t>Iron ore exports were valued at $1,000,000,000 (p.12).</t>
  </si>
  <si>
    <t>767,817 bbl of oil</t>
  </si>
  <si>
    <t>NATIONAL OIL COMPANY: Societe Maurtanienne des Hydrocarbures (SMH). PETROLEUM PRODUCTION: Petronas. PETROLEUM EXPLORATION: Dana Petroleum, International Petroleum Grouping (IPG), Repsol, Sonatrach, Total, Tullow Oil, Wintershall. STATE-OWNED MINING COMPANY: Societe Nationale Indtrielle et Minere (SNIM). MINING PRODUCTION: Mauritanian Copper Mines (MCM), Tasiast. MINING EXPLORATION: AGRINEQ, Amssega Exploration, ARVG Specialty Mines (PVT), Atlantic Metals, Aura Energy, Bofal Indo Mining Company, BSA, Bumi Mauritanie, Caracal Gold, CIFC, Curve Capital Ventures, Drake Resources, Durman International Group, Earthstone RM, El Aouj Mining Company, Elite Earth Minerals and Metals, Energie Atlantique, Es Minerals, Forte Energy, Generale Miniere Mauritanienne, Ghazal Minerals, Global Mauritania Mining, ID Geoservices, Karfahane Co., Lusitania Iron, Lusitania Metals, Lusitania Uranium, Macoba-TP, Mauritania Energy Minerals, Mauritanian Minerals Company (MMC), Mauritania Mining Resources, Mauritania Ventures, Mauritanian Ressources, Mineralis, Negoce International Mining, Orecorp Mauritania, Pacific Andes Resources Development, Peak Metals, Sahara Minerals, Shield Mining, Shield Mining Saboussiri, Silvrex, Societe MAS, Somaso SA, Somaso 1, Sonko Lowenthal, Sphere Mauritania, Tafoli, Minerals, TAJ-Africa, Tamagot Bumi, Tayssir Resources, Tazadit Underground Mine, THL Mauritania Gold, TransAfrika, Wada Al Rawda, Wafa Mining, Wirama Entiti Mauritania.</t>
  </si>
  <si>
    <t>eiti.org totals do not include "indirect payments" or the value of in-kind receipts recieved by SMH for its own account. Total In-kind Payment Volumes include oil received by SMH for its own account (Cost Oil/Profit Oil-Etat Associé = 297,764 bbl) and the volume received by SMH and commercialized on behalf of the state (Profit Oil-Puissance Publique = 470,053 bbl). Note that Total In-kind Payment Value includes the value of "Etat Associé" in-kind receipts priced at $108.90/bbl (the state received $48,062,000, or  $102.25/bbl, for the Puissance-Publique portion). Note also that SMH is considered both a receiving entity (for Cost Oil/Profit Oil-Etat Associé) and a paying company (for the commercialized value of Profit Oil-Puissance Publique and Dividends). The value of Profit Oil-Puissance Publique is included in the EITI Report's revenue totals, but the value of in-kind Cost Oil/Profit Oil-Etat Associé received by SMH from private companies is not; it has been added to totals here based on the average oil price given in the report ($108.90/bbl, see p.10). Of the 297,764 bbl received by SMH as Cost Oil/Profit Oil-Etat Associé, 235,710 bbl was "paid" to Sterling Energy to finance the state's interest in the Chinguetti field (see footnote p.18); the value of this payment is not reflected in Government receipts or company payments. "Indirect payments" were reported unilaterally by govt and have been included in Total Received by Govt.</t>
  </si>
  <si>
    <t>Mauritanian Ouguiya</t>
  </si>
  <si>
    <t>SNIM, MCM, Tasiast Mauritanie, El Aouj Mining Company SA, Sphere Mauritania SA, Société Mauritanienne des Hydrocarbures et du Patrimoine Minier, Petronas, Dana Petroleum, International Petroleum Grouping (IPG), Repsol, Sonatrach (SIPEX), Total, Tullow Oil, Chariot Oil Gas Limited, Kosmos Energy</t>
  </si>
  <si>
    <t>Total payments by stream/company differ. Production value is export value and are figures reported by companies (not the government).</t>
  </si>
  <si>
    <t>Iron</t>
  </si>
  <si>
    <t xml:space="preserve">Mongolia2006 </t>
  </si>
  <si>
    <t xml:space="preserve">Mongolia </t>
  </si>
  <si>
    <t>http://eitimongolia.mn/</t>
  </si>
  <si>
    <t>Host government's production entitlement, Profits/Taxes, Royalties, Dividends, Licenses and concessions, Other significant benefits to government</t>
  </si>
  <si>
    <t>Mongolian Tugrik</t>
  </si>
  <si>
    <t>AltanDornot Mongol, Aduunchuluun, Baganuur, Boroo Gold, Chinhua MAK Nariin Sukhait, Cold Gold, Datsan Trade, ErdesHolding, Erdenet Mining Corporation, Gatsuurt, Ivanhoe Mines Mongolia Inc, Jump LLC, MAK, MGH, Mongol Gazar, Mongolrostsvetment JV, Petro China Daqing Tamsag (Mongol) LLC, Sharyn Gol, Shim Technology LLC, Shin Shin LLC, Shivee Ovoo SC, Shizhir Alt LLC, Tavantolgoi, Tsairt Minerals LLC, Ulz Gol Cooperative</t>
  </si>
  <si>
    <t>Crane White and Associates</t>
  </si>
  <si>
    <t>Materiality threshold: Companies that made a payment of at least MNT200,000,000 in 2006 should be reconciled. The report does not provide post-adjustment figures by company. Unilateral declarations are included in the figures, including donations made to government entities that only companies reported on. Some of these donations were in-kind payments, and have been given a monetary value by companies, but the amount these account for is unclear. The report provides production volumes for some companies, but this is not comprehensive. The 2008 Report provides historical productions volumes however. Baganuur and  Shivee Ovoo SC are 75% and 90% state-owned respectively. Erdenet Mining Corporation (EMC) and Mongolrostsvetment JV are both 51% owned by the Government of Mongolia and 49% owned by the Government of Russia. EMC accounted for 90% of (pre-adjustment) revenues reported by Government.</t>
  </si>
  <si>
    <t>Volume from 2008 EITI Report</t>
  </si>
  <si>
    <t>Petro China Daqing Tamsag (Mongol) LLC</t>
  </si>
  <si>
    <t>AltanDornot Mongol, Aduunchuluun, Baganuur, Boroo Gold, Chinhua MAK Nariin Sukhait, Cold Gold, Datsan Trade, ErdesHolding, Erdenet Mining Corporation, Gatsuurt, Ivanhoe Mines Mongolia Inc, Jump LLC, MAK, MGH, Mongol Gazar, Mongolrostsvetment JV, Sharyn Gol, Shim Technology LLC, Shin Shin LLC, Shivee Ovoo SC, Shizhir Alt LLC, Tavantolgoi, Tsairt Minerals LLC, Ulz Gol Cooperative</t>
  </si>
  <si>
    <t>Volume from 2008 EITI Report. Price from BPSR 2014, and is an average of the American Central Appalachian, Asian and Northwest Europe marker/spot prices, adjusted to account for the prices given in the 2011-2012 EITI Reports being an average 80.60% of this in 2009-2012.</t>
  </si>
  <si>
    <t>Aduunchuluun, Baganuur, Chinhua MAK Nariin Sukhait, Mongolrostsvetment JV, Sharyn Gol, Shivee Ovoo SC, Tavantolgoi</t>
  </si>
  <si>
    <t>Volume from 2008 EITI Report. Price from World Bank (Global Economic Monitor (GEM) Commodities database) - defined as: Copper (LME), grade A, minimum 99.9935% purity, cathodes and wire bar shapes, settlement price - adjusted to account for the prices given in the 2011-2012 EITI Reports being an average 18.16% of this in 2009-2012.</t>
  </si>
  <si>
    <t>Ivanhoe Mines Mongolia Inc</t>
  </si>
  <si>
    <t>Fluorspar</t>
  </si>
  <si>
    <t>Volume from 2008 EITI Report. Price from USGS Mineral Yearbook 2006, and is the average of the medians of the f.o.b. price ranges for US imports of Mexican and South African acidspar, adjusted to account for the prices given in the 2011-2012 EITI Reports being an average 53.81% of this in 2009-2012.</t>
  </si>
  <si>
    <t>Mongolrostsvetment JV</t>
  </si>
  <si>
    <t>Volume from 2008 EITI Report. Price from World Bank (Global Economic Monitor (GEM) Commodities database) - defined as: Gold (UK), 99.5% fine, London afternoon fixing, average of daily rates - adjusted to account for the prices given in the 2011-2012 EITI Reports being an average 83.00% of this in 2009-2012.</t>
  </si>
  <si>
    <t>AltanDornot Mongol, Boroo Gold, Cold Gold, Datsan Trade, ErdesHolding, Erdenet Mining Corporation, Gatsuurt, Ivanhoe Mines Mongolia Inc,  Jump LLC, MGH, Mongol Gazar, Mongolrostsvetment JV, Shizhir Alt LLC, Ulz Gol Cooperative</t>
  </si>
  <si>
    <t>Volume from 2008 EITI Report. Price from World Bank (Global Economic Monitor (GEM) Commodities database) - defined as: Iron ore (any origin) fines, spot price, c.f.r. China, 62% Fe - adjusted to account for the prices given in the 2011-2012 EITI Reports being an average 54.74% of this in 2009-2012.</t>
  </si>
  <si>
    <t>Volume from USGS Mineral Yearbook 2010. Price from USGS Mineral Commodity Summary 2009, and is the price in the US, adjusted to account for the prices given in the 2011-2012 EITI Reports being an average 31.21% of this in 2009-2012.</t>
  </si>
  <si>
    <t>Erdenet Mining Corporation, Shim Technology LLC</t>
  </si>
  <si>
    <t>Tungsten (W content of mine output)</t>
  </si>
  <si>
    <t>Volume from USGS Mineral Yearbook 2010. Price from USGS Mineral Commodity Summary 2009, and is the average price on the US and European spot markets for a metric ton unit of tungsten trioxide, which contains 7.93kg of tungsten.</t>
  </si>
  <si>
    <t>Zinc concentrate</t>
  </si>
  <si>
    <t>Volume from 2008 EITI Report. Price from World Bank (Global Economic Monitor (GEM) Commodities database) - defined as: Zinc (LME), high grade, minimum 99.95% purity, settlement price beginning April 1990; previously special high grade, minimum 99.995%, cash prices - adjusted to account for the prices given in the 2011-2012 EITI Reports being an average 50.71% of this in 2009-2012.</t>
  </si>
  <si>
    <t>Shin Shin LLC, Tsairt Minerals LLC</t>
  </si>
  <si>
    <t>Petro China Daqing Tamsag (Mongol) LLC, Adamas Mining LLC, AltanDornot Mongol, Baganuur, Bold Tumur Eruu Gol LLC, Boroo Gold, Bud Invest LLC, Buurgent LLC, Chinhua MAK Nariin Sukhait, Cold Gold, Datsan Trade, Eltrana LLC, ErdesHolding, Erdenet Mining Corporation, Erdmin LLC, Gatsuurt, Gobi Coal and Energy LLC, Gurvan Tuhum LLC, Ivanhoe Mines Mongolia Inc, Jump LLC, Mon Dulaan Trade LLC, Mongol-Czech Metal SPIE, Mongolrostsvetment JV, Mongolyn Alt LLC, Monpolimet LLC, Shanlun LLC, Shariin Gol LLC, Shijir Alt SHC, Shim Technology LLC, Shin Shin LLC, Shivee Ovoo SC, Sonor Trade LLC, Tavantolgoi, Tethys Minig LLC, Tsairt Minerals LLC, Tun Shen LLC, Ulz Gol Cooperative</t>
  </si>
  <si>
    <t>Materiality threshold: Companies that made a payment of at least MNT200,000,000 in 2007 should be reconciled. Resolved discrepancies are not included in the final figures, but there is insufficent information to add these retrospectively. Unilateral declarations are included in the figures. Some donations to government entities and 'expenditures on environmental protection' are in-kind payments and have been given a monetary value by companies, but the amount these account for is unclear. Disaggregation by commodity is only indirect through disaggregation by company, and therefore limited. The report provides production volumes for some companies, but this is not comprehensive. The 2008 Report provides historical productions volumes however. Baganuur and  Shivee Ovoo SC are 75% and 90% state-owned respectively. Erdenet Mining Corporation (EMC) and Mongolrostsvetment JV are both 51% owned by the Government of Mongolia and 49% owned by the Government of Russia. EMC accounted for 80% of revenues reported by Government.</t>
  </si>
  <si>
    <t>Appendix C26</t>
  </si>
  <si>
    <t>Adamas Mining LLC, AltanDornot Mongol, Baganuur, Bold Tumur Eruu Gol LLC, Boroo Gold, Bud Invest LLC, Buurgent LLC, Chinhua MAK Nariin Sukhait, Cold Gold, Datsan Trade, Eltrana LLC, ErdesHolding, Erdenet Mining Corporation, Erdmin LLC, Gatsuurt, Gobi Coal and Energy LLC, Gurvan Tuhum LLC, Ivanhoe Mines Mongolia Inc, Jump LLC, Khan Shijir SHC, Mon Dulaan Trade LLC, Mongol-Czech Metal SPIE, Mongolrostsvetment JV, Mongolyn Alt LLC, Monpolimet LLC, Shanlun LLC, Shariin Gol LLC, Shijir Alt SHC, Shim Technology LLC, Shin Shin LLC, Shivee Ovoo SC, Sonor Trade LLC, Tavantolgoi, Tethys Minig LLC, Tsairt Minerals LLC, Tun Shen LLC, Ulz Gol Cooperative</t>
  </si>
  <si>
    <t>Ivanhoe Mines Mongolia Inc, Erdmin LLC, Mongolyn Alt LLC</t>
  </si>
  <si>
    <t>Volume from 2008 EITI Report. Price from USGS Mineral Yearbook 2008, and is the average of the medians of the f.o.b. price ranges for US imports of Mexican and South African acidspar, adjusted to account for the prices given in the 2011-2012 EITI Reports being an average 53.81% of this in 2009-2012.</t>
  </si>
  <si>
    <t>Mongolrostsvetment JV, Bud Invest LLC, Mongol-Czech Metal SPIE</t>
  </si>
  <si>
    <t>Adamas Mining LLC, AltanDornot Mongol, Boroo Gold, Buurgent LLC, Cold Gold, Datsan Trade, Eltrana LLC, ErdesHolding, Erdenet Mining Corporation, Gatsuurt, Gurvan Tuhum LLC, Ivanhoe Mines Mongolia Inc, Jump LLC, Khan Shijir SHC, Mon Dulaan Trade LLC, Mongol-Czech Metal SPIE, Mongolrostsvetment JV, Mongolyn Alt LLC, Monpolimet LLC, Shijir Alt SHC, Sonor Trade LLC, Tethys Minig LLC, Ulz Gol Cooperative</t>
  </si>
  <si>
    <t>Appendix C4 &amp; C37</t>
  </si>
  <si>
    <t>Bold Tumur Eruu Gol LLC, Tun Shen LLC</t>
  </si>
  <si>
    <t>Volume from USGS Mineral Yearbook 2010. Price from World Bank (Global Economic Monitor (GEM) Commodities database), and is defined as: Silver (Handy &amp; Harman), 99.9% grade refined, New York.</t>
  </si>
  <si>
    <t xml:space="preserve">Buurgent LLC, Datsan Trade, Eltrana LLC, Jump LLC, Khan Shijir SHC, </t>
  </si>
  <si>
    <t>Tin Concentrate</t>
  </si>
  <si>
    <t>Volume from 2008 EITI Report. Price from World Bank (Global Economic Monitor (GEM) Commodities database), and is defined as: Tin (LME), refined, 99.85% purity, settlement price.</t>
  </si>
  <si>
    <t>Shanlun LLC, Shin Shin LLC, Tsairt Minerals LLC</t>
  </si>
  <si>
    <t>AltanDornot Mongol, Aduunchuluun, Baganuur, Boroo Gold, Chinhua MAK Nariin Sukhait, Cold Gold, Datsan Trade, ErdesHolding, Erdenet Mining Corporation, Gatsuurt, Ivanhoe Mines Mongolia Inc, Jump LLC, Khan Shijir SHC, MAK, MGH, Mongol Gazar, Mongolrostsvetment JV, Petro China Daqing Tamsag (Mongol) LLC, Sharyn Gol, Shim Technology LLC, Shin Shin LLC, Shivee Ovoo SC, Shizhir Alt LLC, Tavantolgoi, Tsairt Minerals LLC, Ulz Gol Cooperative</t>
  </si>
  <si>
    <t>Hart Nurse &amp;amp; Ulaambaatar Audit Corp.</t>
  </si>
  <si>
    <t>Materiality threshold: Companies that made a payment of at least MNT100,000,000 in 2008 should be reconciled. Unilateral declarations are included in the figures. Some donations to government entities and 'expenditures on environmental protection' are in-kind payments and have been given a monetary value by companies, but the amount these account for is unclear. Disaggregation by commodity is only indirect through disaggregation by company, and therefore limited. Baganuur and  Shivee Ovoo SC are 75% and 90% state-owned respectively. Erdenet Mining Corporation (EMC) and Mongolrostsvetment JV are both 51% owned by the Government of Mongolia and 49% owned by the Government of Russia. EMC accounted for 77% of revenues reported by Government.</t>
  </si>
  <si>
    <t>Volume from EITI Report. Price from BPSR 2014, and is an average of the spot prices for Brent, Dubai, Nigerian Forcados and West Texas Intermediate crude oil, adjusted to account for the prices given in the 2011-2012 EITI Reports being an average 92.19% of this in 2009-2012.</t>
  </si>
  <si>
    <t>Adamas Mining LLC, Aduunchuluun JSC, Ankhai International LLC, AUM LLC, Baganuur, Berleg Mining LLC, Bold Tumur Eruu Gol LLC, Boroo Gold, Chinhua MAK Nariin Sukhait, Cold Gold, Datsan Trade, Eltrana LLC, Engui Tal LLC, Erdes Holding LLC, Erdenet Mining Corporation, Erel LLC, Gatsuurt, Gobi Coal and Energy LLC, Ivanhoe Mines Mongolia Inc, Jump LLC, Khan Shijir LLC, Khunanjinlen LLC, Mongolrostsvetment JV, Mongolyn Alt LLC, Mongol Gazar LLC, Mongol Tsamkhag LLC, Monpolimet LLC, Shanlun LLC, Shariin Gol LLC, Shijir Alt SHC, Shijir Taslst LLC, Shin Shin LLC, Shivee Ovoo SC, Sonor Trade LLC, Talbulag Trade LLC, Tavantolgoi, Ten Khun LLC, Tethys Mining LLC, Tsairt Minerals LLC, Tun Shen LLC, Uuls Zaamar LLC, Urmum Uul LLC, Uurt Gold LLC, Zurin Bulan LLC</t>
  </si>
  <si>
    <t>Volume from EITI Report. Price from BPSR 2014, and is an average of the American Central Appalachian, Asian and Northwest Europe marker/spot prices, adjusted to account for the prices given in the 2011-2012 EITI Reports being an average 80.60% of this in 2009-2012.</t>
  </si>
  <si>
    <t>Aduunchuluun JSC, Baganuur, Chinhua MAK Nariin Sukhait, Engui Tal LLC, Gobi Coal and Energy LLC, Mongolyn Alt LLC, Shariin Gol LLC, Shivee Ovoo SC, Tavantolgoi</t>
  </si>
  <si>
    <t>15, 61-224</t>
  </si>
  <si>
    <t>Volume from EITI Report. Price from World Bank (Global Economic Monitor (GEM) Commodities database) - defined as: Copper (LME), grade A, minimum 99.9935% purity, cathodes and wire bar shapes, settlement price - adjusted to account for the prices given in the 2011-2012 EITI Reports being an average 18.16% of this in 2009-2012.</t>
  </si>
  <si>
    <t>Ivanhoe Mines Mongolia Inc, Mongolyn Alt LLC</t>
  </si>
  <si>
    <t>Volume from EITI Report. Price from USGS Mineral Yearbook 2008, and is the average of the medians of the f.o.b. price ranges for US imports of Mexican and South African acidspar, adjusted to account for the prices given in the 2011-2012 EITI Reports being an average 53.81% of this in 2009-2012.</t>
  </si>
  <si>
    <t>Volume from EITI Report. Price from World Bank (Global Economic Monitor (GEM) Commodities database) - defined as: Gold (UK), 99.5% fine, London afternoon fixing, average of daily rates - adjusted to account for the prices given in the 2011-2012 EITI Reports being an average 83.00% of this in 2009-2012.</t>
  </si>
  <si>
    <t>Adamas Mining LLC, AUM LLC, Berleg Mining LLC, Boroo Gold, Buurgent LLC, Cold Gold, Datsan Trade, Eltrana LLC, ErdesHolding, Erdenet Mining Corporation, Erel LLC, Gatsuurt, Gurvan Tuhum LLC, Ivanhoe Mines Mongolia Inc, Jump LLC, Khan Shijir SHC, Khunanjinlen LLC, Mongolyn Alt LLC, Mongol Gazar LLC, Mongol Tsamkhag LLC, Monpolimet LLC, Shijir Alt SHC, Shijir Taslst LLC, Sonor Trade LLC, Talbulag Trade LLC, Ten Khun LLC, Tethys Minig LLC, Uuls Zaamar LLC, Urmum Uul LLC, Uurt Gold LLC, Zurin Bulan LLC</t>
  </si>
  <si>
    <t>Volume from EITI Report. Price from World Bank (Global Economic Monitor (GEM) Commodities database) - defined as: Iron ore (any origin) fines, spot price, c.f.r. China, 62% Fe - adjusted to account for the prices given in the 2011-2012 EITI Reports being an average 54.74% of this in 2009-2012.</t>
  </si>
  <si>
    <t>Bold Tumur Eruu Gol LLC, Ankhai International LLC, Tun Shen LLC</t>
  </si>
  <si>
    <t>Molybdenum Concentrate (47%)</t>
  </si>
  <si>
    <t>Volume from USGS Mineral Yearbook 2010. Price from USGS Mineral Commodity Summary 2013, and is the price in the US, adjusted to account for the prices given in the 2011-2012 EITI Reports being an average 31.21% of this in 2009-2012.</t>
  </si>
  <si>
    <t>Erdenet Mining Corporation</t>
  </si>
  <si>
    <t>Polimet</t>
  </si>
  <si>
    <t>Shin Shin LLC</t>
  </si>
  <si>
    <t>61-224</t>
  </si>
  <si>
    <t>This commodity is not mentioned in the USGS Mineral Yearbook 2012.</t>
  </si>
  <si>
    <t>Volume from EITI Report. Price from World Bank (Global Economic Monitor (GEM) Commodities database), and is defined as: Tin (LME), refined, 99.85% purity, settlement price.</t>
  </si>
  <si>
    <t>Shanlun LLC</t>
  </si>
  <si>
    <t>Volume from USGS Mineral Yearbook 2012. Price from USGS Mineral Commodity Summary 2013, and is the average price on the US and European spot markets for a metric ton unit of tungsten trioxide, which contains 7.93kg of tungsten.</t>
  </si>
  <si>
    <t>Volume from EITI Report. Price from World Bank (Global Economic Monitor (GEM) Commodities database) - defined as: Zinc (LME), high grade, minimum 99.95% purity, settlement price beginning April 1990; previously special high grade, minimum 99.995%, cash prices - adjusted to account for the prices given in the 2011-2012 EITI Reports being an average 50.71% of this in 2009-2012.</t>
  </si>
  <si>
    <t>Dongsheng petroleum LLC, Petro china dachin tamsag LLC, Zhong Chen Utian, Central Asiam Petroleum, Petro Matad, DWM Petroleum AG, NPI, MCS, Adamas mining LLC, Aduunchuluun LLC, Anian resources LLC, AFC tavt LLC, Adil och LLC, Almaz group LLC, Altai gold LLC, AUM LLC, Altain khuder LLC, Ankhai international LLC, Areva mongol LLC, Baganuur JSC, Berkh uul LLC, Bayan erch LLC, Bayalag jonsh LLC, Berkh uul LLC, Bayarsgold LLC, Boroo gold LLC, Bud invest LLC, Bulgangangat LLC, Bumbat LLC, Buurgent LLC, Bold tumur yruu gol LLC, Beren group LLC, Bayan airag exploration LLC, Braveheart resources LLC, Chinkhua MAK nariin sukhait LLC, Commod LLC, Centerra gold LLC, Childson LLC, Datsan trade LLC, Dun-Erdene LLC, Energy resources LLC, Erdene mongol LLC, Erdenet mining corporation LLC, Erdes Kholding LLC, Erel LLC, Erven khuder LLC, Emeelt mines LLC, Flink Mongolia LLC, Govi coal and energy LLC, Gatsuurt LLC, Guravt LLC, Gurvan tuhum LLC, Ivanhoe mines /Oyu tolgoi/ LLC, Ikh tokhoirol LLC, Ikh mongol mining LLC, Jump LLC, J and U gold LLC, Kojigovi LLC, Khan shijir LLC, KHOTU LLC, Khurai LLC, Kynar wolfram LLC, Khangad exploration LLC, Mongoliin alt corporation LLC, MonEnCo LLC, Mongolrustsevetmet LLC, Mongolchezmetal LLC, Mongol gazar LLC, Mongol tsamkhag LLC, Mongolbulgar geo LLC, Monpolimet LLC, Megaplast Mongolia LLC, Northwind LLC, Noyon Gary LLC, Odod LLC, Olon ovoot gold LLC, Ochir undraa LLC, Polo resources LLC, Rio LLC, Southgovi sands LLC, Shariin gol JSC, Shivee ovoo JSC, Sonor trade LLC, Suikhent LLC, Shijir alt LLC, MGH LLC, Shanlun LLC, Shin shin LLC, Suchigo LLC, Shijir talst LLC, SBF LLC, Tavan tolgoi JSC, T and Ch LLC, Tavan shuteen trade LLC, Tethys mining LLC, Tsogt onon LLC, Tsevdeg LLC, Tunsin LLC, Tsairt minerals LLC, Uuls zaamar LLC, Uuls noyon LLC, Uyan gan LLC, Uurt gold LLC, Urmun uul LLC, Western prospector LLC, Zaamariin ikh alt LLC, Zubgol LLC, Zuriin bulan LLC</t>
  </si>
  <si>
    <t>Materiality threshold: Companies that made a payment of at least MNT50,000,000 in 2009 should be reconciled. Unilateral declarations are included in the figures, including payments by six oil companies that were not requested to report and are therefore only reported on by government. Production volumes given in this report differ from those in the 2011 report. The latter are set out here. Some donations to government entities and 'expenditures on environmental protection' are in-kind payments and have been given a monetary value by companies, but the amount these account for is unclear. The report disaggregates government receipts by commodity (although aggregates copper and molybdenum), but only with reference to pre-adjustment figures. Post-adjustment figures are only provided indirectly through disaggregation by company. Where possible, post-adjustment figures have been given, but where this isn't, the breakdown of pre-adjustment figures have been used to estimate post-adjustment government receipts. Baganuur and  Shivee Ovoo SC are 75% and 90% state-owned respectively. Erdenet Mining Corporation (EMC) and Mongolrostsvetment JV are both 51% owned by the Government of Mongolia and 49% owned by the Government of Russia. EMC accounted for 48% of revenues reported by Government.</t>
  </si>
  <si>
    <t>Volume and price from 2011 EITI Report. Price is based on the reported value and quantity of exports.</t>
  </si>
  <si>
    <t>Dongsheng petroleum LLC, Petro china dachin tamsag LLC, Zhong Chen Utian, Central Asiam Petroleum, Petro Matad, DWM Petroleum AG, NPI, MCS</t>
  </si>
  <si>
    <t>Adamas mining LLC, Aduunchuluun LLC, Anian resources LLC, AFC tavt LLC, Adil och LLC, Almaz group LLC, Altai gold LLC, AUM LLC, Altain khuder LLC, Ankhai international LLC, Areva mongol LLC, Baganuur JSC, Berkh uul LLC, Bayan erch LLC, Bayalag jonsh LLC, Berkh uul LLC, Bayarsgold LLC, Boroo gold LLC, Bud invest LLC, Bulgangangat LLC, Bumbat LLC, Buurgent LLC, Bold tumur yruu gol LLC, Beren group LLC, Bayan airag exploration LLC, Braveheart resources LLC, Chinkhua MAK nariin sukhait LLC, Commod LLC, Centerra gold LLC, Childson LLC, Datsan trade LLC, Dun-Erdene LLC, Energy resources LLC, Erdene mongol LLC, Erdenet mining corporation LLC, Erdes Kholding LLC, Erel LLC, Erven khuder LLC, Emeelt mines LLC, Flink Mongolia LLC, Govi coal and energy LLC, Gatsuurt LLC, Guravt LLC, Gurvan tuhum LLC, Ivanhoe mines /Oyu tolgoi/ LLC, Ikh tokhoirol LLC, Ikh mongol mining LLC, Jump LLC, J and U gold LLC, Kojigovi LLC, Khan shijir LLC, KHOTU LLC, Khurai LLC, Kynar wolfram LLC, Khangad exploration LLC, Mongoliin alt corporation LLC, MonEnCo LLC, Mongolrustsevetmet LLC, Mongolchezmetal LLC, Mongol gazar LLC, Mongol tsamkhag LLC, Mongolbulgar geo LLC, Monpolimet LLC, Megaplast Mongolia LLC, Northwind LLC, Noyon Gary LLC, Odod LLC, Olon ovoot gold LLC, Ochir undraa LLC, Polo resources LLC, Rio LLC, Southgovi sands LLC, Shariin gol JSC, Shivee ovoo JSC, Sonor trade LLC, Suikhent LLC, Shijir alt LLC, MGH LLC, Shanlun LLC, Shin shin LLC, Suchigo LLC, Shijir talst LLC, SBF LLC, Tavan tolgoi JSC, T and Ch LLC, Tavan shuteen trade LLC, Tethys mining LLC, Tsogt onon LLC, Tsevdeg LLC, Tunsin LLC, Tsairt minerals LLC, Uuls zaamar LLC, Uuls noyon LLC, Uyan gan LLC, Uurt gold LLC, Urmun uul LLC, Western prospector LLC, Zaamariin ikh alt LLC, Zubgol LLC, Zuriin bulan LLC</t>
  </si>
  <si>
    <t>Adamas mining LLC, Aduunchuluun LLC, Anian resources LLC, Baganuur JSC, Berkh uul LLC, Govi coal and energy LLC, Mongoliin alt corporation LLC, MonEnCo LLC, Polo resources LLC, Southgovi sands LLC, Tavan tolgoi JSC, Chinkhua MAK nariin sukhait LLC, Shariin gol JSC, Shivee ovoo JSC, Energy resources LLC, Erdene mongol LLC</t>
  </si>
  <si>
    <t>69-376</t>
  </si>
  <si>
    <t>Copper Concentrate (35%)</t>
  </si>
  <si>
    <t>Ivanhoe mines /Oyu tolgoi/ LLC, AFC tavt LLC, Erdenet mining corporation LLC, Bayan erch LLC</t>
  </si>
  <si>
    <t>Adil och LLC, Bayalag jonsh LLC, Berkh uul LLC, Commod LLC, Mongolrustsevetmet LLC, Mongolchezmetal LLC, Northwind LLC</t>
  </si>
  <si>
    <t>Ivanhoe mines /Oyu tolgoi/ LLC, Almaz group LLC, Altai gold LLC, AUM LLC, AFC tavt LLC, Bayarsgold LLC, Boroo gold LLC, Bud invest LLC, Bulgangangat LLC, Bumbat LLC, Buurgent LLC, Berkh uul LLC, Gatsuurt LLC, Guravt LLC, Gurvan tuhum LLC, Datsan trade LLC, Dun-Erdene LLC, Jump LLC, J and U gold LLC, Zaamariin ikh alt LLC, Zubgol LLC, Zuriin bulan LLC, Ikh tokhoirol LLC, Kojigovi LLC, Mongol gazar LLC, Mongol tsamkhag LLC, Mongolbulgar geo LLC, Mongolrustsevetmet LLC, Monpolimet LLC, Noyon Gary LLC, Odod LLC, Olon ovoot gold LLC, Urmun uul LLC, Rio LLC, Centerra gold LLC, Sonor trade LLC, Suikhent LLC, T and Ch LLC, Tavan shuteen trade LLC, Tethys mining LLC, Uuls zaamar LLC, Uuls noyon LLC, Uyan gan LLC, Uurt gold LLC, Flink Mongolia LLC, Khan shijir LLC, KHOTU LLC, Khurai LLC, Tsogt onon LLC, Tsevdeg LLC, Childson LLC, Shijir alt LLC, MGH LLC, Erdes Kholding LLC, Erel LLC, SBF LLC</t>
  </si>
  <si>
    <t>Altain khuder LLC, Ankhai international LLC, Bold tumur yruu gol LLC, Beren group LLC, Kynar wolfram LLC, Tunsin LLC, Khangad exploration LLC, Erven khuder LLC</t>
  </si>
  <si>
    <t>AUM LLC, Boroo gold LLC, Buurgent LLC, Gatsuurt LLC, Datsan trade LLC, Jump LLC, J and U gold LLC, Zubgol LLC, Olon ovoot gold LLC, Uuls noyon LLC, Khan shijir LLC, Tsogt onon LLC</t>
  </si>
  <si>
    <t>Areva mongol LLC, Western prospector LLC</t>
  </si>
  <si>
    <t>Tsairt minerals LLC, Shanlun LLC</t>
  </si>
  <si>
    <t>Donations and assistance provided to Government organisations (type and volumes are not comprehensively given)</t>
  </si>
  <si>
    <t>Govi Energy partners LLC, Don Seng LLC, Zon heng yu tian LLC, Capcorp LLC, Petro Matad LLC, Petro China Dachin Tamsag LLC, Sansariin geology haiguul LLC, Sheiman LLC, MCS holding LLC, Agit Khangai LLC, AGM mining LLC, Adamas mining LLC, Adamas mountain LLC, Adil-Och LLC, Aduunchuluun JSC, Asia gold Mongolia LLC, Ivonhoe mines Mongolia inc /Oyu tolgoi/ LLC, Altain khuder LLC, Altan dornod Mongol LLC, Amin tsetseg LLC, Andin Ilch LLC, Andiin temuulel LLC, Ankhai International LLC, AUM LLC, AFK TAVT LLC, Baganur JSC
Baga Tayan LLC, Bayan airag exploration LLC, Bayan- Erch LLC, Buurgent LLC, Bold tumor eruu gol LLC, Boroo gold LLC, Brave heart resouces LLC, Bud Invest LLC, Bulgan Gangat LLC, Bumbat LLC, Bumbat resources LLC, Berkh resources LLC, Berkh-Uul LLC, Beren-Group LLC, Beren mining LLC, Western Prosector Mongolia LLC, Garryson-Asia LLC, Gatsuurt LLC, Geosan LLC, Geo-Erel LLC, Gun Bileg Trade LLC, Gobi Coal and Energy LLC, GoviEx Mongolia LLC, Gobigeo LLC, Golden cross LLC, Goldan Pogada LLC, Gurvan tuhum LLC, Datsan trade LLC, DQI International Mongolia LLC, Don young LLC, Dun-Erdene LLC, Urmon-Uul LLC, Jump-Alt LLC, Ten Khun LLC, GKMK LLC, G and U gold LLC, Jotoin bajuna LLC, Zaamariin Ikh Alt LLC, Zaraya holdings LLC, ZBAA LLC, Zuriin bulan LLC, IAM khukh adar LLC, Ilt gold LLC, Ikh mongol mining LLC, Ikh tokhoirol LLC, Uurt gold LLC, Kevin-Invest LLC, Kojigobi LLC, Commod LLC, QGX mongol LLC, Lon Shengda LLC, MGMK LLC, MES LLC, Mogoin gol LLC, Mogul International LLC, Mon Ajnai LLC, Mon poliment LLC, Mongol road prom LLC, Mongol Alt Mak LLC, Mongol bolgar geo LLC, Mongol gazar LLC, Mongol tsamkhag LLC, Mongolczechmetal LLC, Mongol-Alt LLC, Mongolia development resources LLC, Mongolrustsvetmet LLC, Mondulaan trade LLC, Monrosprom LLC, MONENCO LLC, Noyon Garry LLC, North wind LLC, Nuclear energy LLC, Odod LLC, Odod gold LLC, Olon ovoot gold LLC, ONTRE LLC, Ochir tuv LLC, Peabody winsway resources LLC, South gobi sands LLC, Centerra gold Mongolia LLC, Taats muron LLC, Tavantolgoi LLC, Tethys mining LLC, TRAMM LLC, Tumen and LLC, Tunderklap LLC, Tunsini LLC, Urt khoshuu LLC, Uyangan LLC, Khan shijir LLC, Khangad exploration LLC, Khar tarvagatai LLC, Khuder-Erdene LLC, HOTU LLC, Khotiin zam LLC, Khuusgul LLC, Kuady kyon LLC, Khunan jinlen LLC, Khunnu resources LLC, Khurai LLC, Tsairt mineral LLC, Chamin-Alt LLC, Chinhua Mac Nariin Sukhait LLC
Shanlun LLC, Shar narst LLC, Shariin gol JSC, Shivee-Ovoo JSC, Shijir talst LLC, Shijir-Alt LLC, Shin shin LLC, MOOICO LLC, Emeelt mines LLC, Engui tal LLC, Energy resources LLC, Erven khuder LLC, Erdene Jas LLC, Erdenes MGL LLC, Erdenet uildver LLC, Erdes holding LLC, Eringovi LLC, Erel LLC, SBF LLC, Universal copper LLC</t>
  </si>
  <si>
    <t>Materiality threshold: Companies that made a payment of at least MNT50,000,000 in 2010 should be reconciled. Some companies have been included that are not directly involved in mining activities, but provide services, such as catering, to companies that are. Unilateral declarations are included in the figures. Production volumes given in this report differ from those in the 2011 report. The latter are set out here. The report disaggregates government receipts by the main commodities (although aggregates copper and molybdenum). Some others are provided indirectly through disaggregation by company. Baganuur and  Shivee Ovoo SC are 75% and 90% state-owned respectively. Erdenet Mining Corporation (EMC) and Mongolrostsvetment JV are both 51% owned by the Government of Mongolia and 49% owned by the Government of Russia. EMC accounted for 51% of revenues reported by Government.  The report also includes: mineral reserves; FDI in the extractive sector; a detailed reconciliation of flows to some local government entities.</t>
  </si>
  <si>
    <t>Govi Energy partners LLC, Don Seng LLC, Zon heng yu tian LLC, Capcorp LLC, Petro Matad LLC, Petro China Dachin Tamsag LLC, Sansariin geology haiguul LLC, Sheiman LLC, MCS holding LLC</t>
  </si>
  <si>
    <t>Agit Khangai LLC, AGM mining LLC, Adamas mining LLC, Adamas mountain LLC, Adil-Och LLC, Aduunchuluun JSC, Asia gold Mongolia LLC, Ivonhoe mines Mongolia inc /Oyu tolgoi/ LLC, Altain khuder LLC, Altan dornod Mongol LLC, Amin tsetseg LLC, Andin Ilch LLC, Andiin temuulel LLC, Ankhai International LLC, AUM LLC, AFK TAVT LLC, Baganur JSC
Baga Tayan LLC, Bayan airag exploration LLC, Bayan- Erch LLC, Buurgent LLC, Bold tumor eruu gol LLC, Boroo gold LLC, Brave heart resouces LLC, Bud Invest LLC, Bulgan Gangat LLC, Bumbat LLC, Bumbat resources LLC, Berkh resources LLC, Berkh-Uul LLC, Beren-Group LLC, Beren mining LLC, Western Prosector Mongolia LLC, Garryson-Asia LLC, Gatsuurt LLC, Geosan LLC, Geo-Erel LLC, Gun Bileg Trade LLC, Gobi Coal and Energy LLC, GoviEx Mongolia LLC, Gobigeo LLC, Golden cross LLC, Goldan Pogada LLC, Gurvan tuhum LLC, Datsan trade LLC, DQI International Mongolia LLC, Don young LLC, Dun-Erdene LLC, Urmon-Uul LLC, Jump-Alt LLC, Ten Khun LLC, GKMK LLC, G and U gold LLC, Jotoin bajuna LLC, Zaamariin Ikh Alt LLC, Zaraya holdings LLC, ZBAA LLC, Zuriin bulan LLC, IAM khukh adar LLC, Ilt gold LLC, Ikh mongol mining LLC, Ikh tokhoirol LLC, Uurt gold LLC, Kevin-Invest LLC, Kojigobi LLC, Commod LLC, QGX mongol LLC, Lon Shengda LLC, MGMK LLC, MES LLC, Mogoin gol LLC, Mogul International LLC, Mon Ajnai LLC, Mon poliment LLC, Mongol road prom LLC, Mongol Alt Mak LLC, Mongol bolgar geo LLC, Mongol gazar LLC, Mongol tsamkhag LLC, Mongolczechmetal LLC, Mongol-Alt LLC, Mongolia development resources LLC, Mongolrustsvetmet LLC, Mondulaan trade LLC, Monrosprom LLC, MONENCO LLC, Noyon Garry LLC, North wind LLC, Nuclear energy LLC, Odod LLC, Odod gold LLC, Olon ovoot gold LLC, ONTRE LLC, Ochir tuv LLC, Peabody winsway resources LLC, South gobi sands LLC, Centerra gold Mongolia LLC, Taats muron LLC, Tavantolgoi LLC, Tethys mining LLC, TRAMM LLC, Tumen and LLC, Tunderklap LLC, Tunsini LLC, Urt khoshuu LLC, Uyangan LLC, Khan shijir LLC, Khangad exploration LLC, Khar tarvagatai LLC, Khuder-Erdene LLC, HOTU LLC, Khotiin zam LLC, Khuusgul LLC, Kuady kyon LLC, Khunan jinlen LLC, Khunnu resources LLC, Khurai LLC, Tsairt mineral LLC, Chamin-Alt LLC, Chinhua Mac Nariin Sukhait LLC
Shanlun LLC, Shar narst LLC, Shariin gol JSC, Shivee-Ovoo JSC, Shijir talst LLC, Shijir-Alt LLC, Shin shin LLC, MOOICO LLC, Emeelt mines LLC, Engui tal LLC, Energy resources LLC, Erven khuder LLC, Erdene Jas LLC, Erdenes MGL LLC, Erdenet uildver LLC, Erdes holding LLC, Eringovi LLC, Erel LLC, SBF LLC, Universal copper LLC</t>
  </si>
  <si>
    <t>Sulfide</t>
  </si>
  <si>
    <t>113-116</t>
  </si>
  <si>
    <t>Zinc concentrate (wet)</t>
  </si>
  <si>
    <t>Profits/Taxes, Dividends, Licenses and concessions</t>
  </si>
  <si>
    <r>
      <t xml:space="preserve">Petrochina dachin tamsag LLC, Magnai trade LLC, Dongsheng petroleum LLC, NPI LLC, Petro matad LLC, Golden sea petrolium LLC, Gobi energy partners LLC, Zon Xen U Tian LLC, Cupcorp Mongolia LLC, MCS petro mongolia LLC, Sansariin geologi khaiguul LLC, Shaiman LLC, </t>
    </r>
    <r>
      <rPr>
        <b/>
        <sz val="11"/>
        <color indexed="8"/>
        <rFont val="Calibri"/>
        <family val="2"/>
      </rPr>
      <t>APEXPRO LLC, Erdenet mining corporation LLC, Oyu tolgoi LLC, Erdenes Tavan tolgoi JSC, Tavantolgoi JSC, Mongol Alt Mak LLC, Energy resource LLC, South Govi Energy LLC, Bold tumur yruu gol LLC, Tsairt Mineral LLC, Boroo gold LLC, Altain khuder LLC, Chinkhua Mak nariin sukhait LLC, Shin Shin LLC, Mongolrustsevetmet LLC, Baganuur JSC, Monpolimet LLC, GEM international LLC, Olon Ovoot gold LLC, Centerra Gold Mongolia LLC, Mo En Ko LLC, Shijir Alt LLC, Ochir Undraa LLC, Mon dulaan trade LLC, Shivee-Ovoo JSC, Ankhai international LLC, Gatsuurt LLC, Marco Polo LLC, Kojegovi LLC, Erel LLC, Shariin gol JSC, AUM LLC, MPHCL LLC, ONTRE LLC, Hera Investment LLC, Lutchuluu LLC, Urmun-Uul LLC, Khangad exploration LLC, Peabody-Winsway resources LLC, Cascade mining LLC, Emeelt Mines LLC, Ikh Khan Uul LLC, Orchlon ord LLC, Beren mining LLC, Zhu Yu E LLC, Gunbileg trade LLC, Buman olz LLC, Erdes kholding LLC, Erdene jas LLC, Mongol metal mining LLC, Mongol gazar LLC, SBF LLC, Agmmining LLC, MRCMGL LLC, Zanadumetals mongolia LLC, Geomin LLC, JKMK LLC, Eermel LLC, Mongolczechmetal LLC, QGX Mongol LLC, Datsan trade LLC, MEC LLC, Ulzgol LLC, Samtan mores LLC, Mongol tsamkhag LLC, Camex LLC, Gobi consolidated LLC, Shine Ellion Neng Yuan LLC, Ejbaley LLC, Mongol altai resources LLC, Khurgatai khairkhan LLC, Adil och LLC, Broad LLC, KHOTU LLC, Tsevdeg LLC, Bayanteeg LLC, Berkh resources LLC, Mongol uranium resources LLC, Taats murun LLC, Gobi coal and Eenergy LLC, Shanlun LLC, Bayan erch LLC, Cazmon contact LLC, Khuadi khuonez LLC, Andiin ilch LLC, Tethys Mining LLC, Altan dorNod mongol LLC, OGCHL LLC, Ten khun LLC, Zaraya holdings LLC, Delger-Orchlon LLC, Jump alt LLC, Alshaakhairkhan LLC, Bulgan gangat LLC, Odod gold LLC, Remet LLC, Beren group LLC, Erdenes MGL LLC, Mon Laa LLC, Bayan airag exploration LLC, Redhill Mongolia LLC, Shine shivee LLC, Mongolbulgargeo LLC, Dun Yuan LLC, Gobi-exploration LLC, Aduunchuluun JSC, Jinghua ord LLC, CCM LLC, Tengre terra resources LLC, Terra-Energy LLC, GBNB LLC, Batu Mining Mongolia LLC, Munkh Noyon suvarga LLC, Tienjinsanjo LLC, Sinchi-Oil LLC, Mongolrudprom LLC, CMKI LLC, Dun erdene LLC, Khan shijir LLC, Asia gold Mongolia LLC, GLDB LLC, Mongoljuanli LLC, ZBAA LLC, Khotgor Shanaga LLC, Khotgor LLC, Belgravia mining LLC, Golden Govi mining LLC, Buurgent LLC, Khartarvagatai JSC, Sod Gazar LLC, Mogoin Gol LLC, Longshenda LLC, Khuree del LLC, CCEM LLC, Jotoin Bajuuna LLC, Dorniin Khuder LLC, GCB mining LLC, Bold Fo Ar Da LLC, Bayantegsh Impex LLC, Temuulel LLC, Mon Ajnai LLC, Gurvan zam LLC, COAL LLC, Bayalag ord LLC, Bumbat resources LLC, Oyut ulaan LLC, Gurvan tuhum LLC, Olova LLC, Berkh uul LLC, Chingisiin khar alt, Tugrug nuuriin energy LLC, Uurt Gold LLC, Kherlen energo LLC, Ilt gold LLC, KVP LLC, FMI LLC, TBE LLC, Commod LLC, Ikh Mongol mining LLC, Bumbat LLC, Golden cross LLC, Gunbileg gold LLC, Dedizi Yuan LLC, MCTT LLC, Erven khuder LLC, Shar narst LLC, North wind LLC, G and U gold LLC, Khuden LLC, SoNor Trade LLC, Zuun mod uul LLC, Khuslemj LLC, Khurai LLC, Bud invest LLC, Taisheng development LLC, Petro coal LLC, Avdar bayan LLC, Aivuun tes LLC, Bayajmal LLC, Khos khas LLC, Big Mogul Coal and Energy LLC, Peninsulamining LLC, Mongol alt LLC, Altai khangai burd LLC, Western prospector mongolia LLC, Treiga mountain international mining LLC, Khunanjinlen LLC, MGMK LLC</t>
    </r>
  </si>
  <si>
    <t>Materiality threshold: Companies that made a payment of at least MNT40,000,000 in 2011 should be reconciled. Some companies have been included that are not directly involved in mining activities, but provide services, such as catering, to companies that are. Unilateral declarations are included in the figures. The report disaggregates government receipts by the main commodities (although aggregates copper and molybdenum). Some others are provided indirectly through disaggregation by company. Post-adjustment figures are disaggregated by company for government receipts only, not for company payments. Baganuur, Oyu Tolgoi LLC, Shivee Ovoo SC and Tavantolgoi JSC are 75%, 34%, 90% and 51% state-owned respectively. Erdenet Mining Corporation (EMC) and Mongolrostsvetment JV are both 51% owned by the Government of Mongolia and 49% owned by the Government of Russia. EMC accounted for 26% of revenues reported by Government. The report also includes: mineral reserves; FDI in the extractive sector; mining activity and environmental protection reports by some companies; a detailed reconciliation of flows to some local government entities.</t>
  </si>
  <si>
    <t>Volume and price from EITI Report. Price is based on the reported value and quantity of exports.</t>
  </si>
  <si>
    <r>
      <t xml:space="preserve">Petrochina dachin tamsag LLC, Magnai trade LLC, Dongsheng petroleum LLC, NPI LLC, Petro matad LLC, Golden sea petrolium LLC, Gobi energy partners LLC, Zon Xen U Tian LLC, Cupcorp Mongolia LLC, MCS petro mongolia LLC, Sansariin geologi khaiguul LLC, Shaiman LLC, </t>
    </r>
    <r>
      <rPr>
        <b/>
        <sz val="11"/>
        <color indexed="8"/>
        <rFont val="Calibri"/>
        <family val="2"/>
      </rPr>
      <t>APEXPRO LLC</t>
    </r>
  </si>
  <si>
    <t>8-9, 19</t>
  </si>
  <si>
    <t>Erdenet mining corporation LLC, Oyu tolgoi LLC, Erdenes Tavan tolgoi JSC, Tavantolgoi JSC, Mongol Alt Mak LLC, Energy resource LLC, South Govi Energy LLC, Bold tumur yruu gol LLC, Tsairt Mineral LLC, Boroo gold LLC, Altain khuder LLC, Chinkhua Mak nariin sukhait LLC, Shin Shin LLC, Mongolrustsevetmet LLC, Baganuur JSC, Monpolimet LLC, GEM international LLC, Olon Ovoot gold LLC, Centerra Gold Mongolia LLC, Mo En Ko LLC, Shijir Alt LLC, Ochir Undraa LLC, Mon dulaan trade LLC, Shivee-Ovoo JSC, Ankhai international LLC, Gatsuurt LLC, Marco Polo LLC, Kojegovi LLC, Erel LLC, Shariin gol JSC, AUM LLC, MPHCL LLC, ONTRE LLC, Hera Investment LLC, Lutchuluu LLC, Urmun-Uul LLC, Khangad exploration LLC, Peabody-Winsway resources LLC, Cascade mining LLC, Emeelt Mines LLC, Ikh Khan Uul LLC, Orchlon ord LLC, Beren mining LLC, Zhu Yu E LLC, Gunbileg trade LLC, Buman olz LLC, Erdes kholding LLC, Erdene jas LLC, Mongol metal mining LLC, Mongol gazar LLC, SBF LLC, Agmmining LLC, MRCMGL LLC, Zanadumetals mongolia LLC, Geomin LLC, JKMK LLC, Eermel LLC, Mongolczechmetal LLC, QGX Mongol LLC, Datsan trade LLC, MEC LLC, Ulzgol LLC, Samtan mores LLC, Mongol tsamkhag LLC, Camex LLC, Gobi consolidated LLC, Shine Ellion Neng Yuan LLC, Ejbaley LLC, Mongol altai resources LLC, Khurgatai khairkhan LLC, Adil och LLC, Broad LLC, KHOTU LLC, Tsevdeg LLC, Bayanteeg LLC, Berkh resources LLC, Mongol uranium resources LLC, Taats murun LLC, Gobi coal and Eenergy LLC, Shanlun LLC, Bayan erch LLC, Cazmon contact LLC, Khuadi khuonez LLC, Andiin ilch LLC, Tethys Mining LLC, Altan dorNod mongol LLC, OGCHL LLC, Ten khun LLC, Zaraya holdings LLC, Delger-Orchlon LLC, Jump alt LLC, Alshaakhairkhan LLC, Bulgan gangat LLC, Odod gold LLC, Remet LLC, Beren group LLC, Erdenes MGL LLC, Mon Laa LLC, Bayan airag exploration LLC, Redhill Mongolia LLC, Shine shivee LLC, Mongolbulgargeo LLC, Dun Yuan LLC, Gobi-exploration LLC, Aduunchuluun JSC, Jinghua ord LLC, CCM LLC, Tengre terra resources LLC, Terra-Energy LLC, GBNB LLC, Batu Mining Mongolia LLC, Munkh Noyon suvarga LLC, Tienjinsanjo LLC, Sinchi-Oil LLC, Mongolrudprom LLC, CMKI LLC, Dun erdene LLC, Khan shijir LLC, Asia gold Mongolia LLC, GLDB LLC, Mongoljuanli LLC, ZBAA LLC, Khotgor Shanaga LLC, Khotgor LLC, Belgravia mining LLC, Golden Govi mining LLC, Buurgent LLC, Khartarvagatai JSC, Sod Gazar LLC, Mogoin Gol LLC, Longshenda LLC, Khuree del LLC, CCEM LLC, Jotoin Bajuuna LLC, Dorniin Khuder LLC, GCB mining LLC, Bold Fo Ar Da LLC, Bayantegsh Impex LLC, Temuulel LLC, Mon Ajnai LLC, Gurvan zam LLC, COAL LLC, Bayalag ord LLC, Bumbat resources LLC, Oyut ulaan LLC, Gurvan tuhum LLC, Olova LLC, Berkh uul LLC, Chingisiin khar alt, Tugrug nuuriin energy LLC, Uurt Gold LLC, Kherlen energo LLC, Ilt gold LLC, KVP LLC, FMI LLC, TBE LLC, Commod LLC, Ikh Mongol mining LLC, Bumbat LLC, Golden cross LLC, Gunbileg gold LLC, Dedizi Yuan LLC, MCTT LLC, Erven khuder LLC, Shar narst LLC, North wind LLC, G and U gold LLC, Khuden LLC, SoNor Trade LLC, Zuun mod uul LLC, Khuslemj LLC, Khurai LLC, Bud invest LLC, Taisheng development LLC, Petro coal LLC, Avdar bayan LLC, Aivuun tes LLC, Bayajmal LLC, Khos khas LLC, Big Mogul Coal and Energy LLC, Peninsulamining LLC, Mongol alt LLC, Altai khangai burd LLC, Western prospector mongolia LLC, Treiga mountain international mining LLC, Khunanjinlen LLC, MGMK LLC</t>
  </si>
  <si>
    <t>8-9</t>
  </si>
  <si>
    <t>9, 19</t>
  </si>
  <si>
    <t>9</t>
  </si>
  <si>
    <t>Gobi Energy Partners LLC, Golden Sea Petroleum LLC, Dongsheng Petroleum LLC, Zon Hen Yun Tian LLC, Catcorp Mongolia LLC, Magnai Trade LLC, Petro Matad LLC, Petro China Dachin Tamsag LLC, Sansaryn Geology Khaiguul LLC, Avdar Bayan LLC, AGM Mining LLC, Adamas Mining LLC, Adil-Och LLC, Aduunchuluun JSC, Asiagold Mongolia LLC, Altain Khuder LLC, Altan Dornod Mongol LLC, Altanrio Mongolia LLC, And Survey LLC, Andiin Ilch LLC, Anian Resources LLC, Ankhai-International LLC, AUM LLC, Baganuur JSC, Badmaarag Khash LLC, Batu Mining Mongolia LLC, Bayalag Ord LLC, Bayan-Erch LLC, Bayan Airag Exploration LLC, Bayantegsh Impex LLC, Bayanteeg JSC, BDBL LLC, BCMM LLC, BHM LLC, Bilguuntrade LLC, Blake Mount Mining LLC, Bold Tumur Eruu Gol LLC, Boroo Gold LLC, Bridge Construction LLC, Broad LLC, Bud Undram LLC, Bulgan Gangat LLC, Bumbat Resources LLC, Bumbat LLC, Berkh-Uul LLC, Berkh Resources LLC, Beren Group LLC, Beren Mining LLC, Vantage LLC, Voyager Gold LLC,  Galaxy Mining Mongolia, Gan-Ilch LLC, Gatsuurt LLC,GBNB LLC, Geosan LLC, Gobi Coal and Energy LLC, Gobi Exploration LLC, Golden Cross LLC, Grand Montana Mining LLC, Gurvan Tukhum LLC, Darkhan Bor Khujir LLC, Darkhan Tumurlugiin Uildver JSC, Darkhan Shar Burd LLC, Datsan Trade LLC, Duchin Delgerekh LLC, Dun Yuan LLC, Dun-Erdene LLC, DUN LI LLC, Jado Zambala LLC, Jinghua Ord LLC, Jotoin Bajuuna LLC, Jun Yuan LLC, Zanadu Copper Mongolia LLC, Zaraya Holdings LLC, Zhu Yu E LLC, Zuun Naiman Suvraga LLC, Ing Hu LLC, Ikh Gobi Energy LLC, Ikh Tokhoirol LLC, Casiop Contact LLC, Kojegobi LLC, KVP LLC, Lutchuluu LLC, Max Impex LLC, Mandal-Altai Group LLC, MARCO POLO LLC, Mon En Ko LLC, Mogol International LLC, Monvolfram LLC, Mongol Altai Resources LLC, Mongol Gazar LLC, Mongol Metal Mining LLC, Mongolbulgar Geo LLC, Mongolrustsvetmet LLC, Mongol Czech Metall LLC, Mongolyn Alt Mak LLC, Mondulaan Trade LLC, Monlaa LLC, Monpolimet LLC, Munkh Noyon Suvarga LLC, NABD LLC, Narantuul Trade LLC,NK LLC, Northwind LLC, Odod Gold LLC, Olova LLC, Olon Ovoot Gold LLC, ONTRE LLC, Ord Talst LLC, Orchlon Construction LLC, Ochir Tuv LLC, Ochir-Undraa LLC, Oyu Tolgoi LLC, Urmun-Uul LLC, OGCHL LLC, Poloresources - Peabody Winsway Resources, Reservoir Moly Mongolia LLC, Reo LLC, Redhill Mongolia LLC, Samton Morris LLC, South Gobi Blake Gold LLC, Southgobi Sands LLC, Centerra Gold Mongolia LLC, COAL LLC, CCM LLC, CMKI LLC, Sonor Trade LLC, Suuri LLC, Seruun Selbe LLC, Tavan Tolgoi Trans LLC, Tavantolgoi JSC, Taliin Shigtgee LLC, Terra Energy LLC, TBE LLC, Tegshtplant LLC,  Ten Khun LLC, Teso LLC, Tefis Mining LLC, Ulzgol LLC, Uugan Ilch LLC, Uuls Zaamar LLC, Focus Metal Mining LLC, Freegood Erin LLC, Fenchun International LLC, Khangad Exploration LLC, Khangi Prospecting LLC, Khangi Khuder LLC, Khartarvagatai JSC, Kharanga Khuder LLC, Hera Investment LLC, Khongor Khangain Erdenes LLC, Khotgor Shanaga LLC, Khukh Tur LLC, Huadi Kuonyez LLC, Khurgatai Khairkhan LLC, Khureedel LLC, Khuslemj LLC, Kheltrege LLC, Tsairtmineral LLC, Cement &amp; Lime JSC, Central Asian Cement LLC, Central Asia Mining LLC, Tsevdeg LLC, Tsengeg-Orog LLC, Tsetsens Mining and Energy LLC, Chandmani Tal LLC, Chinkhua MAK Nariin Sukhait LLC, Shanlun LLC, Shanjin Ord LLC, Shar Narst LLC, Shariin Gol JSC, Shengangyuntun LLC, Shivee Ovoo JSC, Shin Shin LLC, Shine Asia Mining Group LLC, Shine Ilion Nen Yuan LLC, Shine Longda LLC, Shine Shivee LLC, Sheiman LLC, Ejbalei LLC, APEXPRO LLC, HMMB LLC, MJB LLC, MPHCL LLC, MCGT LLC, MCTT LLC, MMRI LLC, Emeelt Mines LLC, NPI LLC, Energy Resource LLC, Erdene Mongol LLC, Erdenedalai Coal LLC, Erdenejas LLC, Erdenes MGL LLC, Erdenes Tavan Tolgoi JSC, Erdenet Mining Corporation LLC, Erel Cement LLC, SBF LLC, ESTO LLC, Universal Resources</t>
  </si>
  <si>
    <t>Moore Stephens LLP &amp;amp; Dalaivan Audit LLC</t>
  </si>
  <si>
    <t>6,13</t>
  </si>
  <si>
    <r>
      <t xml:space="preserve">Materiality threshold: Companies that made a payment of at least MNT40,000,000 in 2012 should be reconciled. Some companies have been included that are not directly involved in mining activities, but provide services to companies that are. Unilateral declarations are included in the figures. Company payments include additonal, unreconciled revenue streams of $1,052,182,778 that companies were asked to voluntarily report on. The figure for payments in-kind is that which government reported, companies reported paying $3,226,933. Baganuur, Oyu Tolgoi LLC, Shivee Ovoo SC and Tavantolgoi JSC are 75%, 34%, 90% and 51% state-owned respectively. Erdenet Mining Corporation (EMC) and Mongolrostsvetment JV are both 51% owned by the Government of Mongolia and 49% owned by the Government of Russia. </t>
    </r>
    <r>
      <rPr>
        <b/>
        <sz val="11"/>
        <color indexed="8"/>
        <rFont val="Calibri"/>
        <family val="2"/>
      </rPr>
      <t xml:space="preserve">Bayanteeg JSC, Erdenes MGL LLC, </t>
    </r>
    <r>
      <rPr>
        <sz val="11"/>
        <color indexed="8"/>
        <rFont val="Calibri"/>
        <family val="2"/>
      </rPr>
      <t xml:space="preserve">Erdenes Tavan Tolgoi JSC, </t>
    </r>
    <r>
      <rPr>
        <b/>
        <sz val="11"/>
        <color indexed="8"/>
        <rFont val="Calibri"/>
        <family val="2"/>
      </rPr>
      <t xml:space="preserve">Darkhan Tumurlugiin Uildver JSC and Cement &amp; Lime JSC are also state-owned. </t>
    </r>
    <r>
      <rPr>
        <sz val="11"/>
        <color indexed="8"/>
        <rFont val="Calibri"/>
        <family val="2"/>
      </rPr>
      <t>EMC accounted for 33% of revenues reported by Government.  The report also includes: production volumes and values for some companies; mineral reserves; FDI in the extractive sector; mining activity and environmental protection reports by some companies; a detailed reconciliation of flows to some local government entities.</t>
    </r>
  </si>
  <si>
    <t>Gobi Energy Partners LLC, Golden Sea Petroleum LLC, Dongsheng Petroleum LLC, Zon Hen Yun Tian LLC, Catcorp Mongolia LLC, Magnai Trade LLC, Petro Matad LLC, Petro China Dachin Tamsag LLC, Sansaryn Geology Khaiguul LLC</t>
  </si>
  <si>
    <t>Avdar Bayan LLC, AGM Mining LLC, Adamas Mining LLC, Adil-Och LLC, Aduunchuluun JSC, Asiagold Mongolia LLC, Altain Khuder LLC, Altan Dornod Mongol LLC, Altanrio Mongolia LLC, And Survey LLC, Andiin Ilch LLC, Anian Resources LLC, Ankhai-International LLC, AUM LLC, Baganuur JSC, Badmaarag Khash LLC, Batu Mining Mongolia LLC, Bayalag Ord LLC, Bayan-Erch LLC, Bayan Airag Exploration LLC, Bayantegsh Impex LLC, Bayanteeg JSC, BDBL LLC, BCMM LLC, BHM LLC, Bilguuntrade LLC, Blake Mount Mining LLC, Bold Tumur Eruu Gol LLC, Boroo Gold LLC, Bridge Construction LLC, Broad LLC, Bud Undram LLC, Bulgan Gangat LLC, Bumbat Resources LLC, Bumbat LLC, Berkh-Uul LLC, Berkh Resources LLC, Beren Group LLC, Beren Mining LLC, Vantage LLC, Voyager Gold LLC,  Galaxy Mining Mongolia, Gan-Ilch LLC, Gatsuurt LLC,GBNB LLC, Geosan LLC, Gobi Coal and Energy LLC, Gobi Exploration LLC, Golden Cross LLC, Grand Montana Mining LLC, Gurvan Tukhum LLC, Darkhan Bor Khujir LLC, Darkhan Tumurlugiin Uildver JSC, Darkhan Shar Burd LLC, Datsan Trade LLC, Duchin Delgerekh LLC, Dun Yuan LLC, Dun-Erdene LLC, DUN LI LLC, Jado Zambala LLC, Jinghua Ord LLC, Jotoin Bajuuna LLC, Jun Yuan LLC, Zanadu Copper Mongolia LLC, Zaraya Holdings LLC, Zhu Yu E LLC, Zuun Naiman Suvraga LLC, Ing Hu LLC, Ikh Gobi Energy LLC, Ikh Tokhoirol LLC, Casiop Contact LLC, Kojegobi LLC, KVP LLC, Lutchuluu LLC, Max Impex LLC, Mandal-Altai Group LLC, MARCO POLO LLC, Mon En Ko LLC, Mogol International LLC, Monvolfram LLC, Mongol Altai Resources LLC, Mongol Gazar LLC, Mongol Metal Mining LLC, Mongolbulgar Geo LLC, Mongolrustsvetmet LLC, Mongol Czech Metall LLC, Mongolyn Alt Mak LLC, Mondulaan Trade LLC, Monlaa LLC, Monpolimet LLC, Munkh Noyon Suvarga LLC, NABD LLC, Narantuul Trade LLC,NK LLC, Northwind LLC, Odod Gold LLC, Olova LLC, Olon Ovoot Gold LLC, ONTRE LLC, Ord Talst LLC, Orchlon Construction LLC, Ochir Tuv LLC, Ochir-Undraa LLC, Oyu Tolgoi LLC, Urmun-Uul LLC, OGCHL LLC, Poloresources - Peabody Winsway Resources, Reservoir Moly Mongolia LLC, Reo LLC, Redhill Mongolia LLC, Samton Morris LLC, South Gobi Blake Gold LLC, Southgobi Sands LLC, Centerra Gold Mongolia LLC, COAL LLC, CCM LLC, CMKI LLC, Sonor Trade LLC, Suuri LLC, Seruun Selbe LLC, Tavan Tolgoi Trans LLC, Tavantolgoi JSC, Taliin Shigtgee LLC, Terra Energy LLC, TBE LLC, Tegshtplant LLC,  Ten Khun LLC, Teso LLC, Tefis Mining LLC, Ulzgol LLC, Uugan Ilch LLC, Uuls Zaamar LLC, Focus Metal Mining LLC, Freegood Erin LLC, Fenchun International LLC, Khangad Exploration LLC, Khangi Prospecting LLC, Khangi Khuder LLC, Khartarvagatai JSC, Kharanga Khuder LLC, Hera Investment LLC, Khongor Khangain Erdenes LLC, Khotgor Shanaga LLC, Khukh Tur LLC, Huadi Kuonyez LLC, Khurgatai Khairkhan LLC, Khureedel LLC, Khuslemj LLC, Kheltrege LLC, Tsairtmineral LLC, Cement &amp; Lime JSC, Central Asian Cement LLC, Central Asia Mining LLC, Tsevdeg LLC, Tsengeg-Orog LLC, Tsetsens Mining and Energy LLC, Chandmani Tal LLC, Chinkhua MAK Nariin Sukhait LLC, Shanlun LLC, Shanjin Ord LLC, Shar Narst LLC, Shariin Gol JSC, Shengangyuntun LLC, Shivee Ovoo JSC, Shin Shin LLC, Shine Asia Mining Group LLC, Shine Ilion Nen Yuan LLC, Shine Longda LLC, Shine Shivee LLC, Sheiman LLC, Ejbalei LLC, APEXPRO LLC, HMMB LLC, MJB LLC, MPHCL LLC, MCGT LLC, MCTT LLC, MMRI LLC, Emeelt Mines LLC, NPI LLC, Energy Resource LLC, Erdene Mongol LLC, Erdenedalai Coal LLC, Erdenejas LLC, Erdenes MGL LLC, Erdenes Tavan Tolgoi JSC, Erdenet Mining Corporation LLC, Erel Cement LLC, SBF LLC, ESTO LLC, Universal Resources</t>
  </si>
  <si>
    <t>14,15</t>
  </si>
  <si>
    <t>Mongolian Tughrik</t>
  </si>
  <si>
    <t>Hart Nurse LTD and Ulaanbaatar Audit Corporation LLC</t>
  </si>
  <si>
    <t>Exchange rate not in EITI report. Reporting companies differ from report to website. Value of payments differ from report to EITI website.</t>
  </si>
  <si>
    <t>Tungsten</t>
  </si>
  <si>
    <t>Tungsten Concentrate</t>
  </si>
  <si>
    <t>Zinc Concentrate</t>
  </si>
  <si>
    <t xml:space="preserve">Mozambique </t>
  </si>
  <si>
    <t>http://www.itie.org.mz</t>
  </si>
  <si>
    <t>Host government's production entitlement, Profits/Taxes, Royalties, Dividends, Licenses and concessions</t>
  </si>
  <si>
    <t>Mozambique Meticais</t>
  </si>
  <si>
    <t>Disaggregated by revenue stream, Disaggregated by company, Disaggregated by commodity, Disaggregated by company and revenue stream, Disaggregated by commodity and revenue stream, Disaggregated by project</t>
  </si>
  <si>
    <t>2,528,854 gigajoules (66,096,657 cubic metres) of gas</t>
  </si>
  <si>
    <t xml:space="preserve"> Vale Mozambique Ltd, Kenmare Moma Mining (Mauritius) Ltd, HAMC (Highland African Mining Co.), Rio Tinto Mining and Exploration MozambiqueCompanhia Moçambicana de Hidro-carbonetos Sarl, Sasol Petroleum Temane Ltd,</t>
  </si>
  <si>
    <t>Materiality threshold: Companies that made a payment of at least 1,500,000MT in 2008 should be reconciled. The report gives the volumes but not values for the payments in kind. The values are calculated using the relevant commodity price from the BPSR 2014 (detailed below). Unilateral declarations are included in the figures. Sasol Petroleum Temane Ltd, a South African Energy Company, currently operates the Pande and Temane Natural Gas Fields with Companhia Moçambicana de Hidrocarbonetos SARL (CMH) and the International Finance Corporation (IFC). Sasol Petroleum is the operator and majority shareholder with 70% shares, with CMH having 25% and IFC with 5% share interest. The Pande-Temane gas project includes a gas pipeline, completed in 2004, stretching over 865 km between Temane and a Sasol gas processing petrochemical complex in Secunda, South Africa. CMH's shareholding structure comprises 70% to Empresa Nactional de Hidrocarbonetos Company (ENH), 20% to the Government of Mozambique and 10% owned by corporate bodies and individuals. ENH is the National Oil Company of Mozambique and is 100% owned by the State. Sasol Petroleum accounted for 57% of payments reported by the companies, with CMH accouting for a further 35%. The payment in kind of natural gas is for part of Sasol Petroleum Temane Ltd's royalty obligations.</t>
  </si>
  <si>
    <t>Companhia Moçambicana de Hidro-carbonetos Sarl, Sasol Petroleum Temane Ltd</t>
  </si>
  <si>
    <t>26-27, 32</t>
  </si>
  <si>
    <t>Pande-Temane gas project is currently the only producer of gas.</t>
  </si>
  <si>
    <t>Vale Mozambique Ltd, Kenmare Moma Mining (Mauritius) Ltd, HAMC (Highland African Mining Co.), Rio Tinto Mining and Exploration Mozambique</t>
  </si>
  <si>
    <t>26-27</t>
  </si>
  <si>
    <t>Volume from EIA. Price from BPSR 2014, and is an average of the American Central Appalachian, Asian and Northwest Europe marker/spot prices.</t>
  </si>
  <si>
    <t>Vale Mozambique Ltd</t>
  </si>
  <si>
    <t>HAMC (Highland African Mining Co.)</t>
  </si>
  <si>
    <t>US$/kg</t>
  </si>
  <si>
    <t>Titanium minerals &amp; zircon</t>
  </si>
  <si>
    <t>Kenmare Moma Mining (Mauritius) Ltd, Rio Tinto Mining and Exploration Mozambique</t>
  </si>
  <si>
    <t>o/w Ilmenite</t>
  </si>
  <si>
    <t>o/w Rutile</t>
  </si>
  <si>
    <t>Volume from USGS Mineral Yearbook 2012. Price from USGS Mineral Commodity Summary 2013, and is the f.o.b. price in Australia for a bulk product with a minimum TiO2 content of 95%.</t>
  </si>
  <si>
    <t>o/w Zircon</t>
  </si>
  <si>
    <t>Volume from USGS Mineral Yearbook 2012. Price from USGS Mineral Commodity Summary 2013, and is the f.o.b. price for US imports.</t>
  </si>
  <si>
    <t>3,226,666 gigajoules (84,335,369 cubic metres) of gas</t>
  </si>
  <si>
    <t>Anadarko Mocambique Area 1 Ltd, Companhia Moçambicana de Hidro-carbonetos Sarl, D N O Asa, Empresa Nacional de Hidrocarbonetos-EP, Eni East Africa S.P.A., Petronas Carigali Mozambique E &amp; P Ltd, Sasol Petroleum Sofala Ltd, Sasol Petroleum Temane Ltd, Wentworth Mocambqiue Petroleos Ltd, Buzi Hydrocarbons, Statoil Ltd, Sasol Petroleum Mocambique Ltd, Rovuma Resources Ltd, Capitol Resources Ltd, Africa Drilling Company -Afrodroll, Twigg Exploration and Mining Ltd, Mozambique Minerals Ltd, Manica Minerals (Moz) Ltd, Opti Metal Trading Mocambique Ltd, Afriminas Minerais Ltd, Riversdale Mocambique Ltd, JWS Natural Resources Mozambique Ltd, Essar Minas de Mocambique Ltd, Rio Tinto Mining and Exploration Ltd, JSPL Mozambique Minerais Ltd, Kenmare Moma Mining Ltd, Cimentos de Mozambique Sarl, AP Capital Ltd, Tantalum Mineracao Prospeccao Ltd, Highland African Mining Company Ltd, Omegacorp Minerais Ltd</t>
  </si>
  <si>
    <t>7, 36, 42</t>
  </si>
  <si>
    <t>An exchange rate is not provided to convert the figures from the local currency, so that of the World Bank is used (http://data.worldbank.org/indicator/PA.NUS.FCRF). Materiality threshold: all oil &amp; gas companies should be reconciled; mining companies that made a payment of at least 500,000MT and were directly involed in mining activities should be reconciled. The report gives the volumes but not values for the payments in kind. The values are calculated using the relevant commodity price from the BPSR 2014 (detailed below). Unilateral declarations are included in the figures, including unreconciled social payments of US$3,705,376 that companies were asked to voluntarily report on.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70% to Empresa Nactional de Hidrocarbonetos Company (ENH), 20% to the Government of Mozambique and 10% owned by corporate bodies and individuals. ENH is the National Oil Company of Mozambique and is 100% owned by the State. The payment in kind of natural gas is for part of Sasol Petroleum Temane Ltd's royalty obligations.</t>
  </si>
  <si>
    <t>Total Gas</t>
  </si>
  <si>
    <t>Anadarko Mocambique Area 1 Ltd, Companhia Moçambicana de Hidro-carbonetos Sarl, D N O Asa, Empresa Nacional de Hidrocarbonetos-EP, Eni East Africa S.P.A., Petronas Carigali Mozambique E &amp; P Ltd, Sasol Petroleum Sofala Ltd, Sasol Petroleum Temane Ltd, Wentworth Mocambqiue Petroleos Ltd, Buzi Hydrocarbons, Statoil Ltd, Sasol Petroleum Mocambique Ltd</t>
  </si>
  <si>
    <t>Rovuma Resources Ltd, Capitol Resources Ltd, Africa Drilling Company -Afrodroll, Twigg Exploration and Mining Ltd, Mozambique Minerals Ltd, Manica Minerals (Moz) Ltd, Opti Metal Trading Mocambique Ltd, Afriminas Minerais Ltd, Rio Doce Mocambique/Vale, Riversdale Mocambique Ltd, JWS Natural Resources Mozambique Ltd, Minas Moatize Ltd, Eta Star Mozambique SA, Essar Minas de Mocambique Ltd, Rio Tinto Mining and Exploration Ltd, JSPL Mozambique Minerais Ltd, Kenmare Moma Mining Ltd, Cimentos de Mozambique Sarl, AP Capital Ltd, Grinaker Mocambique Ltd, Acosterras Mocambique Ltd, Tantalum Mineracao Prospeccao Ltd, Highland African Mining Company Ltd, Omegacorp Minerais Ltd</t>
  </si>
  <si>
    <t>7, 42</t>
  </si>
  <si>
    <t>Volume from USGS Mineral Yearbook 2012. Price from USGS Mineral Yearbook 2009, and is the price in the US for crushed limestone.</t>
  </si>
  <si>
    <t>8, 42</t>
  </si>
  <si>
    <t>Stone</t>
  </si>
  <si>
    <t>o/w Granite</t>
  </si>
  <si>
    <t>Volume from USGS Mineral Yearbook 2012. Price from USGS Mineral Yearbook 2009, and is the price in the US for crushed granite.</t>
  </si>
  <si>
    <t>o/w Gravel &amp; crushed rock</t>
  </si>
  <si>
    <t>o/w Marble</t>
  </si>
  <si>
    <t>Volume from USGS Mineral Yearbook 2012. Price from USGS Mineral Yearbook 2009, and is the price in the US for crushed marble.</t>
  </si>
  <si>
    <t>3,249,722 gigajoules (84,937,984 cubic metres) of gas</t>
  </si>
  <si>
    <t>Anadarko Mocambique Area 1 Ltd, Buzi Hydrocarbons, Companhia Moçambicana de Hidro-carbonetos Sarl, Empresa Nacional de Hidrocarbonetos-EP, Eni East Africa S.P.A., Petronas Carigali Mozambique E &amp; P Ltd, Sasol Petroleum M-10 Ltd, Sasol Petroleum Mocambique Ltd, Sasol Petroleum Sengala Ltd, Sasol Petroleum Sofala Ltd, Sasol Petroleum Temane Ltd, Statoil, Acosterras Mocambique Ltd, Africa Great Wall Mining Development Company Ltd, Afrifocus Reosuces Ltd, Afriminas Minerais Ltd, Biworld International Ltd, Capitol Resources Ltd, Companhia Carvoeira de Samoa Ltd, Enrc Mozambique Ltd, Essar Minas de Mocambique Ltd, Eta Star Mozambique SA, Global Mineral Resources (Mozambique) Ltd, Highland African Mining Company Ltd, JSPL Mozambique Minerais Ltd, JWS Natural Resources Mozambique Ltd, Kenmare Moma Mining Ltd, Magmas de Mocambique Ltd, Manica Lands Corporation Ltd, Midwest Africa Ltd, Mimoc - Minerais Industrias de Mocambique Ltd, Minas Moatize Ltd, Mozambqiue Gems Ltd, Mozambique Minerals Ltd, Omegacorp Minerais Ltd, Patel Mining Concession Ltd, Rio Tinto Benga Ltd, Rio TInto Changarra Ltd, Rio Tinto Zambeze Ltd, Rio Tinto Mining and Exploration Ltd, Rovuma Resources Ltd, Tantalum Mineracao Prospeccao Ltd, Twigg Exploration and Mining Ltd, Vale Mocambique, Vale Projectos e Desenvolvimento Mocambique Ltd, Zambezi Energy Corporation Ltd/Nconcdezi Coal Company Mozambique Ltd</t>
  </si>
  <si>
    <t>9, 41</t>
  </si>
  <si>
    <t>An exchange rate is not provided to convert the figures from the local currency, so that of the World Bank is used (http://data.worldbank.org/indicator/PA.NUS.FCRF). Materiality threshold: all oil &amp; gas companies should be reconciled; mining companies that made a payment of at least 500,000MT and were directly involed in mining activities should be reconciled. The report gives the volumes but not values for the payments in kind. The values are calculated using the relevant commodity price from the BPSR 2014 (detailed below). Unilateral declarations are not included in the figures.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70% to Empresa Nactional de Hidrocarbonetos Company (ENH), 20% to the Government of Mozambique and 10% owned by corporate bodies and individuals. ENH is the National Oil Company of Mozambique and is 100% owned by the State. The payment in kind of natural gas is part of Sasol Petroleum Temane Ltd's royalty obligations. The payment in kind of natural gas is for part of Sasol Petroleum Temane Ltd's royalty obligations.</t>
  </si>
  <si>
    <t>Anadarko Mocambique Area 1 Ltd, Buzi Hydrocarbons, Companhia Moçambicana de Hidro-carbonetos Sarl, Empresa Nacional de Hidrocarbonetos-EP, Eni East Africa S.P.A., Petronas Carigali Mozambique E &amp; P Ltd, Sasol Petroleum M-10 Ltd, Sasol Petroleum Mocambique Ltd, Sasol Petroleum Sengala Ltd, Sasol Petroleum Sofala Ltd, Sasol Petroleum Temane Ltd, Statoil</t>
  </si>
  <si>
    <r>
      <t xml:space="preserve">Acosterras Mocambique Ltd, Africa Great Wall Mining Development Company Ltd, Afrifocus Reosuces Ltd, </t>
    </r>
    <r>
      <rPr>
        <b/>
        <sz val="11"/>
        <color indexed="8"/>
        <rFont val="Calibri"/>
        <family val="2"/>
      </rPr>
      <t xml:space="preserve">Afriminas Minerais Ltd, Biworld International Ltd, Capitol Resources Ltd, Companhia Carvoeira de Samoa Ltd, Enrc Mozambique Ltd, Essar Minas de Mocambique Ltd, Eta Star Mozambique SA, Global Mineral Resources (Mozambique) Ltd, Highland African Mining Company Ltd, JSPL Mozambique Minerais Ltd, JWS Natural Resources Mozambique Ltd, Kenmare Moma Mining Ltd, Magmas de Mocambique Ltd, Manica Lands Corporation Ltd, Midwest Africa Ltd, Mimoc - Minerais Industrias de Mocambique Ltd, Minas Moatize Ltd, Mozambqiue Gems Ltd, Mozambique Minerals Ltd, Omegacorp Minerais Ltd, Patel Mining Concession Ltd, Rio Tinto Benga Ltd, Rio TInto Changarra Ltd, Rio Tinto Zambeze Ltd, Rio Tinto Mining and Exploration Ltd, </t>
    </r>
    <r>
      <rPr>
        <sz val="11"/>
        <color indexed="8"/>
        <rFont val="Calibri"/>
        <family val="2"/>
      </rPr>
      <t>Rovuma Resources Ltd, Tantalum Mineracao Prospeccao Ltd, Twigg Exploration and Mining Ltd, Vale Mocambique, Vale Projectos e Desenvolvimento Mocambique Ltd, Zambezi Energy Corporation Ltd/Nconcdezi Coal Company Mozambique Ltd</t>
    </r>
  </si>
  <si>
    <t xml:space="preserve">Gold </t>
  </si>
  <si>
    <t>Rutile concentrate</t>
  </si>
  <si>
    <t>Zircon concentrate</t>
  </si>
  <si>
    <t>Mozambique2011</t>
  </si>
  <si>
    <t>Host government's production entitlement, Profits/Taxes, Dividends, Licenses and concessions, Other significant benefits to government</t>
  </si>
  <si>
    <t>99.93% of revenue</t>
  </si>
  <si>
    <t>3,503,780 gigajoules (91,578,298 cubic metres) of gas</t>
  </si>
  <si>
    <t>Anadarko Mocambique Area 1 Ltd, Buzi Hydrocarbons, Companhia Moçambicana de Hidro-carbonetos Sarl, Empresa Nacional de Hidrocarbonetos-EP, Eni East Africa S.P.A., Petronas Rovuma Basin, Petronas Carigali Mozambique E &amp; P Ltd, Republic of Mozambique Pipeline Company (Rompco), Sasol Gas, Sasol Petroleum M-10 Ltd, Sasol Petroleum Mocambique Ltd, Sasol Petroleum Mozambique Exploration, Sasol Petroleum Sengala Ltd, Sasol Petroleum Sofala Ltd, Sasol Petroleum Temane Ltd, Statoil Oil &amp; Gas Mozambique AS, África Great Wall Mining Development Company Lda, Afrifocus Resources Lda, Biworld International Limited, Capital Resources Lda, Companhia Carvoeira de Samoa Lda, ENRC Moçambique Lda, Eta Star Moçambique S.A., Highland African Mining Company Lda, JSPL Mozambique Minerais Lda, JSW Natural Resources Mozambique Lda, Kenmare Moma Mining (Mauritius) Lda, Midwest Africa, Minas Moatize, Mozambique Minerals Ltd,   Patel Mining Concession Lda, Rio Tinto Benga Lda, Rio Tinto Zambeze Lda, Rio Tinto Mining and Exploration (Moçambique) Lda, Rovuma Resources Lda, Twigg Exploration e Mining Lda, VALE Projectos e Desenvolvimento Lda, Vale Moçambique S.A., Ncondezi Coal Company Mozambique Lda</t>
  </si>
  <si>
    <t>Intellica</t>
  </si>
  <si>
    <t>11,22</t>
  </si>
  <si>
    <t>Materiality threshold: all oil &amp; gas companies should be reconciled; mining companies that made a payment of at least 500,000MT and were directly involed in mining activities should be reconciled. Reporting companies accounted for 99.93% of revenues reported by government from companies directly involved in the oil, gas and mining sectors in 2011. The report doesn't distinguish between oil and gas producers. The report gives the volumes but not values for the payments in kind. The values are calculated using the relevant commodity price from the BPSR 2014 (detailed below). Unilateral declarations are included in the figures.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of 70% to Empresa Nactional de Hidrocarbonetos Company (ENH), 20% to the Government of Mozambique and 10% owned by corporate bodies and individuals. ENH is the National Oil Company of Mozambique and is 100% owned by the State. The Pande-Temane gas project includes a gas pipeline between Temane and a Sasol gas processing petrochemical complex in Secunda, South Africa. This is operated by Republic of Mozambique Pipeline Company (Rompco), which is owned by SASOL (50%), CMH (25%) and iGas, a subsidiary of the South Africa Energy Fund (25%). Sasol Petroleum Mocambique Ltd is also involved in this project. The payment in kind of natural gas is for part of Sasol Petroleum Temane Ltd's royalty obligations. Its value is calculated with a 'weight factor' in use by the National Oil Institute. The report provides production volumes for some companies, but this is not comprehensive. The report also covers: the areas in which the oil &amp; gas companies operate; employment information for some companies.</t>
  </si>
  <si>
    <t>Anadarko Mocambique Area 1 Ltd, Buzi Hydrocarbons, Companhia Moçambicana de Hidro-carbonetos Sarl, Empresa Nacional de Hidrocarbonetos-EP, Eni East Africa S.P.A., Petronas Rovuma Basin, Petronas Carigali Mozambique E &amp; P Ltd, Republic of Mozambique Pipeline Company (Rompco), Sasol Gas, Sasol Petroleum M-10 Ltd, Sasol Petroleum Mocambique Ltd, Sasol Petroleum Mozambique Exploration, Sasol Petroleum Sengala Ltd, Sasol Petroleum Sofala Ltd, Sasol Petroleum Temane Ltd, Statoil Oil &amp; Gas Mozambique AS</t>
  </si>
  <si>
    <r>
      <t xml:space="preserve">África Great Wall Mining Development Company Lda, Afrifocus Resources Lda, Biworld International Limited, Capital Resources Lda, Companhia Carvoeira de Samoa Lda, ENRC Moçambique Lda, Eta Star Moçambique S.A., Highland African Mining Company Lda, JSPL Mozambique Minerais Lda, JSW Natural Resources Mozambique Lda, Kenmare Moma Mining (Mauritius) Lda, </t>
    </r>
    <r>
      <rPr>
        <b/>
        <sz val="11"/>
        <color indexed="8"/>
        <rFont val="Calibri"/>
        <family val="2"/>
      </rPr>
      <t>Midwest Africa, Minas Moatize, Mozambique Minerals Ltd,   Patel Mining Concession Lda, Rio Tinto Benga Lda, Rio Tinto Zambeze Lda, Rio Tinto Mining and Exploration (Moçambique) Lda, Rovuma Resources Lda, Twigg Exploration e Mining Lda, VALE Projectos e Desenvolvimento Lda, Vale Moçambique S.A., Ncondezi Coal Company Mozambique Lda</t>
    </r>
  </si>
  <si>
    <t>Volume from USGS Mineral Yearbook 2012. Price from USGS Mineral Yearbook 2012, and is the price in the US for crushed limestone.</t>
  </si>
  <si>
    <t>http://www.itieniger.ne</t>
  </si>
  <si>
    <t>Ibrahim Issoufou</t>
  </si>
  <si>
    <t>Volume from USGS Mineral Yearbook 2009. Price from BPSR 2014, is an average of the American Central Appalachian, Asian and Northwest Europe marker/spot prices.</t>
  </si>
  <si>
    <t>Volume from USGS Mineral Yearbook 2009. Price from USGS Mineral Commodity Summary 2009, and is the average f.o.b. mine and plant price for bulk, pellets and packaged vacuum and open pan salt, solar salt, rock salt and salt in brine.</t>
  </si>
  <si>
    <t>Guilbert &amp; Associates</t>
  </si>
  <si>
    <t>Volume from USGS Mineral Yearbook 2011. Price from BPSR 2014, is an average of the American Central Appalachian, Asian and Northwest Europe marker/spot prices.</t>
  </si>
  <si>
    <r>
      <t xml:space="preserve">Production: CNPC INTERNATIONAL NIGER, CNPC INTERNATIONAL TENERE, CNPC NIGER PETROLEUM, COMINAK, IMOURAREN SA, SML, SNC MALBAZA, SOMAIR, SOMINA, SONICHAR SA, SOPAMIN SA, SORAZ. Exploration:AFRICAN URANIUM SARL, AGADEZ LTD, AGMDC, AMI AFRICA EXPLORATION, AREVA NC, CARACAL GOLD BURKINA, CLUFF AFRICA ASSOCIATES, COOPER MINERALS, COOPERATIVE ALHER AGADEZ, DELTA EXPLORATION, DREYFUS JULES, ETS NADIA GOLD SHOP, FARIA ASIA GROUP NIGER, GECKO GOLD NIGER, GLOBAL URANIUM, GOLDEN STAR EXPLORATION, GOVIEX NIGER HOLDING, GRADOUA SA, INDO ENERGY LIMITED, ISLAND ARC EXPLORATION, LIPTAKO INVESTMENT, </t>
    </r>
    <r>
      <rPr>
        <b/>
        <sz val="11"/>
        <color indexed="8"/>
        <rFont val="Calibri"/>
        <family val="2"/>
      </rPr>
      <t xml:space="preserve">MOHAN EXPORT INDIA, MOHAN EXPORT PVT LTD, NEW URANIUM NIGER, NIGER MINING SERVICES,NIGER RESOURCES INC (OREZONE),  NIGER URANIUM SA, </t>
    </r>
    <r>
      <rPr>
        <sz val="11"/>
        <color indexed="8"/>
        <rFont val="Calibri"/>
        <family val="2"/>
      </rPr>
      <t>ROCKGATE CAPITAL, SAHEL LAB SA, SAHEL MINING CONS., SAVIGNY MINING NIGER SA, SEMAFO, SEMMOUS LION MINING LTD, SIPEX/SONATRACH, STE DES CIMENTS DU NIGER, TAURIAN RESOURCES, TREND FIELD GOLD MINING, URANIUM EXPLORATION, URANIUM INTERNATIONAL.</t>
    </r>
  </si>
  <si>
    <t>6, 14-18</t>
  </si>
  <si>
    <t>Revenues include receipts from small-scale miners, reported unilaterally by govt. The report notes that the state's production share of oil is commercialized by SOPAMIN; however the report doesn't include data on in-kind receipts.</t>
  </si>
  <si>
    <t>851.80 tonnes of uranium</t>
  </si>
  <si>
    <t>See notes</t>
  </si>
  <si>
    <t>Cabinet Expertise Comptable Ibrahim Issoufou</t>
  </si>
  <si>
    <t>15, 23</t>
  </si>
  <si>
    <t xml:space="preserve">Slight differences with eiti.org totals probably due to exchange rate. The report descibes in-kind ("quote-part") uranium receipts by SOPAMIN, the state mining company, of 851.80 tonnes valued at FCFA 68,730,445 (see p.15); this value has been added to Total Received by Govt. Declaration of some payments was optional (droits de doane et taxes assimilées, etc, see p.19-21); these payments are included in totals. Company names (including individual miners) are too numerous to input manually; see list of producing companies on p.12-14 and company-by-company data in Annex, which includes company-reported payments for only 20 companies). </t>
  </si>
  <si>
    <t>Profits/Taxes, Royalties, Dividends, Bonuses, Licenses and concessions
Other significant benefits to government</t>
  </si>
  <si>
    <t>Does not include payments made in-kind ***</t>
  </si>
  <si>
    <t>CCII Ibrahim Issoufou</t>
  </si>
  <si>
    <t>Companies requested to report / reporting section unclear (and discrepancy with the website). Exchange rate not indicated in the report. In-kind payments not included (as opposed to what is stated on EITI website).</t>
  </si>
  <si>
    <t>http://neiti.org.ng/</t>
  </si>
  <si>
    <t>430,000,000 bbl of oil</t>
  </si>
  <si>
    <t>Addax Petroleum, Agip Energy &amp; Natural Resources Limited, AMNI International Petroleum Development Company, Atlas Petroleum International, Chevron Nigeria Ltd, Chevron Oil Company Nigeria, Chevron Texaco, Canoil Producing, Continental Oil and gas, Dubri Oil Company, Elf Petroleum, Express Petroleum, Mobil Producing Nigeria Unlimited, Moni Pulo Petroleum Development Company, Nigerian Agip Exploration, Nigerian Agip Oil Company, Nigerian LNG Ltd, Nigerian Petroleum Development Company, Panocean, Phillips Oil Company (Nigeria), Shell Exploration, Shell Petroleum Development Company, Texaco Overseas</t>
  </si>
  <si>
    <t>Hart group</t>
  </si>
  <si>
    <t>http://eiti.org/files/Nigeria%201999-%202004%20EITI%20Report_4.pdf</t>
  </si>
  <si>
    <t>Materiality threshold: not given. The report does not clearly compare government receipts and company payments for all revenue streams, but implies that those with differences are listed. Unilateral declarations are not included. Government has a majority share in joint ventures through the National Nigerian Petroleum Company's (NPCC) upstream subsidiary, the Nigerian Petroleum Development Company (NPDC), with Chevron, Elf, Mobil, NAOC, Panocean, SPDC, Topcon. It also has a 49% shareholding in Nigerian LNG Ltd. The report also reports on: the calculation of the petroleum profits tax, including company costs; the financing of joint ventures.</t>
  </si>
  <si>
    <t>Volume from BPSR 2014. Price from EITI Report, and is based on the reported value and quantity of payments in-kind.</t>
  </si>
  <si>
    <t>462,000,000 bbl of oil</t>
  </si>
  <si>
    <t>473,000,000 bbl of oil</t>
  </si>
  <si>
    <t>407,000,000 bbl of oil</t>
  </si>
  <si>
    <t xml:space="preserve">Nigeria </t>
  </si>
  <si>
    <t>424,000,000 bbl of oil</t>
  </si>
  <si>
    <t>455,000,000 bbl of oil</t>
  </si>
  <si>
    <t>United States Dollar and Nigerian Naira</t>
  </si>
  <si>
    <t>Financing of joint ventures</t>
  </si>
  <si>
    <t>The report uses US dollars and the local currency, the Nigerian Naira. An exchange rate is not provided to convert the latter, so that of the World Bank is used (http://data.worldbank.org/indicator/PA.NUS.FCRF).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joint ventures with Chevron, Elf, Mobil, NAOC, Panocean, SPDC, Topcon. It also has a 49% shareholding in Nigerian LNG Ltd. The value or volume of oil transferred to Government as payment made in-kind are not provided in the report. The report also reports on: the calculation of the petroleum profits tax, including company costs; the financing of joint ventures (classified here as a subsidy).</t>
  </si>
  <si>
    <t>Volume and price from BPSR 2014. Price is spot price for Nigerian Forcados.</t>
  </si>
  <si>
    <t>https://eiti.org/files/Nigeria%202006-2007-2008%20EITI%20Report_1.pdf</t>
  </si>
  <si>
    <t>15-19</t>
  </si>
  <si>
    <t xml:space="preserve">The report uses US dollars and the local currency, the Nigerian Naira.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six joint ventures, through the National Nigerian Petroleum Company, with the composition of these provided in the report. It also has a 49% shareholding in Nigerian LNG Ltd. The value or volume of oil transferred to Government as payment made in-kind are not clearly provided in the report. </t>
  </si>
  <si>
    <t xml:space="preserve">The report uses US dollars and the local currency, the Nigerian Naira.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six joint ventures, through the National Nigerian Petroleum Company, with the composition of these provided in the report. It also has a 49% shareholding in Nigerian LNG Ltd. The value or volume of oil transferred to Government as payment made in-kind are not clearly provided in the report. </t>
  </si>
  <si>
    <t>336,161,000 bbl of oil</t>
  </si>
  <si>
    <t xml:space="preserve">Financing of joint ventures, and subsidies for importation of petroleum products </t>
  </si>
  <si>
    <t>Sada, Idris &amp; Co</t>
  </si>
  <si>
    <t>http://eiti.org/files/NEITI-EITI-Core-Audit-Report-Oil-Gas-2009-2011-310113-New_0.pdf</t>
  </si>
  <si>
    <t>43, 51, 53, 62, 70, 74</t>
  </si>
  <si>
    <t>The report uses US dollars and the local currency, the Nigerian Naira. Materiality threshold: all companies involved in the production of oil &amp; gas should be reconciled. The report does not clearly compare government receipts and company payments for all revenue streams, but implies that those with differences are listed. The appendix which contains information such as the names of reporting companies is not available on either the International or National Secretariat websites. Government has a majority share in eight joint ventures, through the National Nigerian Petroleum Company, with the composition of these provided in the report. It also has a 49% shareholding in Nigerian LNG Ltd. The report also covers: the financing of its joint venture operations and subsidies to the NPCC (both classified as subsidies here).</t>
  </si>
  <si>
    <t>Volume from BPSR 2014. Price from EITI Report.</t>
  </si>
  <si>
    <t>387,632,000 bbl of oil</t>
  </si>
  <si>
    <t>http://eiti.org/files/NEITI-EITI-Core-Audit-Report-Oil-Gas-2009-2011-310113-New_2.pdf</t>
  </si>
  <si>
    <t>385,937,000 bbl of oil</t>
  </si>
  <si>
    <t>Sada, Idris &amp; Co (oil &amp; gas report); Haruna Yahaya &amp; Co (mining report)</t>
  </si>
  <si>
    <t>43, 51, 53, 62, 70, 74 (of the oil &amp; gas report); 10 (of the mining report)</t>
  </si>
  <si>
    <t>The report uses US dollars and the local currency, the Nigerian Naira. Materiality threshold: all companies involved in the production of oil &amp; gas should be reconciled; mining companies that have paid at least N10,000,000 for the relevant revenue streams should be reconciled. Disagreggation by company is given in the mining report, but not in the oil &amp; gas report. The oil &amp; gas report does not clearly compare government receipts and company payments for all revenue streams in the oil &amp; gas sector, but implies that those with differences are listed. The appendix of the oil &amp; gas report which contains information such as the names of reporting companies is not available on either the International or National Secretariat websites. Government has a majority share in eight oil &amp; gas joint ventures, through the National Nigerian Petroleum Company, with the composition of these provided in the report. It also has a 49% shareholding in Nigerian LNG Ltd. The oil &amp; gas report also covers: the financing of its joint venture operations and subsidies to the NPCC (both classified as subsidies here). The mining report also covers: production volumes of reconciled companies; volume and value of exports; amount of royalty outstanding.</t>
  </si>
  <si>
    <t>43, 51, 53, 74 (of the oil &amp; gas report)</t>
  </si>
  <si>
    <t>5 (of the oil &amp; gas report)</t>
  </si>
  <si>
    <t xml:space="preserve">A.G. Vision, ABL Granite Co Ltd, Ahmu International Mining Company, Alren Construction Nigeria Ltd, Arab Construction Nig. Ltd, Ashaka Cement Plc, Associated Granite Ind. Limited, Astro Minerals Ltd, BiwaterNig Ltd, Blackstone Crushing Company Limited, BoriniProno&amp; constr. Nig. Ltd., Bulletine Construction Company Limited, C &amp;.C. Construction Comp. Ltd., Cement Company of Northern Nigeria Plc., CCC Construction Nigeria Ltd, CCECC Nig. Ltd, CGC Nig. Ltd, CIBI Nigeria Limited, CNC Engineering Company, Construction Surport Nig. Ltd, Crushed Rock Nig Ltd, Crush Stones Industries Ltd, Dangote Cement Plc, Dantata&amp;Sawoe Construction Co., De Crown Quarry Ltd, Ebenezer mining &amp; ceramic Ind. Ltd, Elegant One Nigeria Ltd, EnercoProrox, ENL Construction Ltd, Freedom Development Co. Ltd, FW San He Concepts Ltd, Georgio Rock Ltd, GilmorEng’g Ltd, Gitto Construction Company, Glossands Ltd, Gyartagere Stone Crushing Co. Ltd, Habibu Engineering Nig. Ltd., Hajaig Const. Ltd, Harvey Ltd, Hitec Construction Company, Hongyun Mining Ind. Co. Ltd, Inter-Bau Construction Company Ltd, Japaul Mines &amp; Products Limited, JiaBao Quarry Nig Ltd, Julius Berger Nig. Plc, Kopek Nig. Limited, LadliceNig Ltd, Levant Construction Ltd, M.F.W Dredging &amp;Marine, Mac Daniels Quarry Ltd, MAC Engineering Const. Ltd., Madodel Eng. and Construction Com., Magcobar Manufacturing Nig. Ltd, Master Rock Nig Ltd, Moulds Nig. Limited, Milatex Nigeria Limited, Moelink Company Ltd, Mother CAT Ltd., Multiverse Resources Limited, NRC Ltd, P. W. Nigeria Limited, Para Crushing Nig. Ltd, Paul B Nigeria Plc, Perfect Stone Quarry, Piccolo Bruneill Eng. Ltd, Porcelainware Industries Ltd, Purechem Industries Limited, Qumecs Nig. Ltd, R.C.C (Nig) Ltd, Ratcon Construction Company Limited, Roads Nigeria Limited, Rockbridge Const. Co.Ltd, S.CC (Nig) Ltd, Salini Nig. Ltd, Samchase Nig. Limited, Saydoun Ltd, Serena Nigeria Limited, SetracoNig Limited, Soject Nigeria Ltd, Spectrums Minerals Ltd, Star Advantage Co. Ltd, State Quarry, Triacta Nigeria Ltd, Unichem Cement Company, West African Portland Cement Plc, Zeberceed Ltd, Zenith Const. Ltd.  </t>
  </si>
  <si>
    <t>10 (of the mining report)</t>
  </si>
  <si>
    <t>Clay (inc. Kaolin)</t>
  </si>
  <si>
    <t>Volume from USGS Mineral Yearbook 2012. Price from USGS Mineral Commodity Summary 2014, and is the average price for clay in the US.</t>
  </si>
  <si>
    <t>81 (of the mining report)</t>
  </si>
  <si>
    <t>Columbium and tantalum concentrate</t>
  </si>
  <si>
    <t>Price from EITI Report, and is based on the reported volume and value of exports.</t>
  </si>
  <si>
    <t>83 (of the mining report)</t>
  </si>
  <si>
    <t>The USGS Mineral Yearbook 2012 indicates that there was insufficent data to estimate production volumes.</t>
  </si>
  <si>
    <t>Dolerite</t>
  </si>
  <si>
    <t>Volume from USGS Mineral Yearbook 2012. Price from USGS Mineral Yearbook 2012, and is the price in the US for crushed granite.</t>
  </si>
  <si>
    <t>Volume from USGS Mineral Yearbook 2012. Price from World Bank (Global Economic Monitor (GEM) Commodities database), and is defined as: Iron ore (any origin) fines, spot price, c.f.r. China, 62% Fe.</t>
  </si>
  <si>
    <t>Laterite</t>
  </si>
  <si>
    <t>Lead-zinc ore</t>
  </si>
  <si>
    <t>Marble (crushed)</t>
  </si>
  <si>
    <t>Nitrogen (fixed - ammonia)</t>
  </si>
  <si>
    <t>Volume from USGS Mineral Yearbook 2012. Price from USGS Mineral Commodity Summary 2013, and is the f.o.b price in the US.</t>
  </si>
  <si>
    <t>Red Alluvium</t>
  </si>
  <si>
    <t>Volume from EITI Report, but is only that of the covered companies</t>
  </si>
  <si>
    <t>Sandstone</t>
  </si>
  <si>
    <t>Shale</t>
  </si>
  <si>
    <t>Tin (cassiterite concentrate)</t>
  </si>
  <si>
    <t>81, 83 (of the mining report)</t>
  </si>
  <si>
    <t>Topaz</t>
  </si>
  <si>
    <t>Volume from USGS Mineral Yearbook 2012. Price from the USGS Mineral Yearbook 2011, and is the median of the price range for cut blue topaz in the US.</t>
  </si>
  <si>
    <t>Tourmaline</t>
  </si>
  <si>
    <t>Volume from EITI Report, but is only that of the covered companies. Price from the USGS Mineral Yearbook 2011, and is the average of the medians of the year-end price ranges for cut green and pink tourmaline in the US.</t>
  </si>
  <si>
    <t>Zircon</t>
  </si>
  <si>
    <t xml:space="preserve">Profits/Taxes, Royalties, Dividends, Licenses and concessions, Other significant benefits to government
</t>
  </si>
  <si>
    <t>Nigerian Naira</t>
  </si>
  <si>
    <t>Dangote Cement Plc., Levant Const. Ltd., West African Portland Cement Plc., Madodel Eng’g Nig. Ltd., Julius Berger (Nig.) Plc., Zenith Const. Co. Ltd., United Cement Nig. Ltd., Perfect Stone Quarries, Setraco Nig. Ltd., Asphalt Unity Const Ltd., Crushed Rock Ind. Ltd., Brothers Quarry Nig. Ltd., Rcc (Nig.) Ltd., First Tipper Drivers Mining Entrp., Arab Contractor (Oao) Nig Ltd., Habibu Eng. Nig. Ltd., Gilmor Engineering Nig. Ltd., Kunlun Nig. Ltd., Ashaka Cem Plc., Ratcon Construction Co. Ltd., Dantata &amp; Sawoe Ng Ltd., Japaul Mines &amp; Prd., Tongyi Allied Mining Ltd., Mac Daniel’s Quarry &amp; Conc Ltd., P.W. Nig Ltd., Purechem Industries Limited, Ccnn Plc., Saydoun Ltd., C.C.E.C.C. (Nig.) Ltd., Equishare Nig. Ltd., Mother Cat Nig. Ltd., Paras Crushing Company Ltd., Georgio Rock Ltd., Mould Nig. Ltd., Kopek Construction Limited, Ahmu International Mining Ltd., Petra Quarries Ltd., Dantata Land And Sea, F.W. Dredging Co, Salini Nig Ltd., Pzan International Ltd., Elegant One Co. Ltd., Zeberced Nig Ltd., Porcelainware Industries Ltd., Borini Prono &amp; Constr. Co. Ltd., Gitto Quarry Project, Triacta Nig. Ltd., C.G.C Nig. Ltd., Moelinks Company Ltd., Ccc Construction Nig. Ltd., Rockwell Quarry, Hitech Cost. Co. Ltd., Multiverse Resources Limited, Magcobar Manufacturing Nig Ltd., Fw San He Concepts Limited Buying Centres, Astro Minerals, Inter- Bau Const Ltd., Spectrum Minerals Ltd.</t>
  </si>
  <si>
    <t>Dolorite</t>
  </si>
  <si>
    <t>Kaoline</t>
  </si>
  <si>
    <t>Others</t>
  </si>
  <si>
    <t xml:space="preserve">Norway </t>
  </si>
  <si>
    <t>http://www.eiti.no</t>
  </si>
  <si>
    <t>State-owned company production entitlement, Profits/Taxes, Licenses and concessions, Other significant benefits to government</t>
  </si>
  <si>
    <t>Norwegian Kroner</t>
  </si>
  <si>
    <t>4Sea Energy AS, Aker Exploration AS, Altinex Oil Norway AS, A/S Norske Shell, Bayerngas Norge AS, Bayerngas Produksjon Norge AS, BG Norge AS, BP Norge AS, Bridge Energy AS, Centrica Resources (Norge) AS, Concedo AS, ConocoPhilips Skandinavia AS, Dana Petroleum Norway AS, Det norske oljeselskap ASA (incl NOIL Energy), Discover Petroleum AS, DONG E&amp;P Norge AS, Edison International Spa, Eni Norge AS, Enterprise Oil Norge AS, E.ON Ruhrgas Norge AS, ExxonMobil Exploration &amp; Production Norway AS, Faroe Petroleum Norge AS, GDF SUEZ E&amp;P Norge AS, Genesis Petroleum Norway AS, Hess Norge AS, Idemitsu Petroleum Norge AS, Lotos Exploration and Production Norge AS, Lundin Norway AS, Maersk Oil Norway AS, Maersk Oil PL 018C Norway AS, Marathon Petroleum Norge AS, Nexen Exploration Norge AS, Norske AEDC A/S, North Energy AS, Norwegian Energy Company ASA, OMV (Norge) AS, PGNiG Norway AS, Petoro AS, Petro-Canada Norge AS, Premier Oil Norge AS, Repsol Exploracion S.A, Rocksource ASA, RWE Dea Norge AS, Sagex Petroleum Norge AS, Skagen 44 AS, Skeie Energy AS, Spring Energy Exploration AS, Spring Energy Norway AS, StatoilHydro Petroleum AS inkl StatoilHydro ASA, Svenska Petroleum Exploration AS, Talisman Energy Norge AS, Total E&amp;P Norge AS, VNG Norge (Operations) AS inkl Endeavour, VNG Norge AS, Wintershall Norge NUF, Wintershall Norge ASA inkl Revus Energy AS, Skeie Oil &amp; Gas AS, Wintershall Norge AS, Noble Energy Europe Ltd, Norpipe Oil AS, Norsea Gas AS, Petrofac Resources Ltf NUF, Maersk Oil GB Limited, Total Norge AS, Serica Energy UK Ltd, Shell International pipelines Inc, Excel Expro Norge AS, Marathon Petroleum Company</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</si>
  <si>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39% of total revenues. The report also covers transfer of revenues to the Government Pension Fund.</t>
  </si>
  <si>
    <t>4Sea Energy AS, Altinex Oil Norway AS, A/S Norske Shell, Bayerngas Norge AS, Bayerngas Produksjon Norge AS, BG Norge AS, BP Norge AS, Bridge Energy AS, Centrica Resources (Norge) AS, Chevron Norge AS, Concedo AS, ConocoPhilips Skandinavia AS, Dana Petroleum Norway AS, Det norske oljeselskap AS, Det norske oljeselskap ASA, DONG E&amp;P Norge AS, Edison International Spa, Eni Norge AS, Enterprise Oil Norge AS, E.ON Ruhrgas Norge AS, Excel Expro Norge AS, ExxonMobil Exploration &amp; Production Norway AS, Faroe Petroleum Norge AS, Front Exploration AS, GDF SUEZ E&amp;P Norge AS, Genesis Petroleum Norway AS, Hess Norge AS, Idemitsu Petroleum Norge AS, Lotos Exploration and Production Norge AS, Lundin Norway AS, Maersk Oil Norway AS, Maersk Oil PL 018C Norway AS, Marathon Petroleum Norge AS, Nexen Exploration Norge AS, Norpipe Oil AS, Norsea Gas AS, Norske AEDC A/S, North Energy AS, Norwegian Energy Company ASA, OMV (Norge) AS, Petoro AS, Petro-Canada Norge AS, Petrofac Norge AS, PGNiG Norway AS, Premier Oil Norge AS, Repsol Exploration Norge AS, Rocksource ASA, RWE Dea Norge AS, Sagex Petroleum Norge AS, Skagen 44 AS, Skele Energy AS, Skele Oil&amp;Gas AS, Spring Energy Exploration AS, Spring Energy Norway AS, StatoilHydro Petroleum AS inkl StatoilHydro ASA, Svenska Petroleum Exploration AS, Talisman Energy Norge AS, Total E&amp;P Norge AS, VNG Norge AS, Wintershall Norge NUF, Wintershall Norge ASA inkl Revus Energy AS, Wintershall Norge AS, Shell International pipelines Inc</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</si>
  <si>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36% of total revenues. The report also covers transfer of revenues to the Government Pension Fund.</t>
  </si>
  <si>
    <t>Host government's production entitlement, State-owned company production entitlement, Profits/Taxes, Licenses and concessions, Other significant benefits to government</t>
  </si>
  <si>
    <t xml:space="preserve">The income from the "Petroleum tax" accounted for 62.1% of the reported amounts. The Report is not available yet in English. </t>
  </si>
  <si>
    <t>4Sea Energy AS, Agora Oil &amp; Gas AS, Altinex Oil Norway AS, A/S Norske Shell, Bayerngas Norge AS, Bayerngas Produksjon Norge AS, BG Norge AS, BP Norge AS, Bridge Energy AS, Centrica Resources (Norge) AS, Chevron Norge AS, Concedo AS, ConocoPhilips Skandinavia AS, Dana Petroleum Norway AS, Det norske oljeselskap AS, Det norske oljeselskap ASA, DONG E&amp;P Norge AS, Edison International Spa, Eni Norge AS, Enterprise Oil Norge AS, E.ON Ruhrgas Norge AS, ExxonMobil Exploration &amp; Production Norway AS, Faroe Petroleum Norge AS, Fortis Petroleum Norway AS, Front Exploration AS, GDF SUEZ E&amp;P Norge AS, Genesis Petroleum Norway AS, Hess Norge AS, Idemitsu Petroleum Norge AS, Lotos Exploration and Production Norge AS, Lundin Norway AS, Maersk Oil Norway AS, Maersk Oil PL 018C Norway AS, Marathon Petroleum Norge AS, Nexen Exploration Norge AS, Njord Gas Infrastructure AS, Norpipe Oil AS, Norsea Gas AS, Norske AEDC A/S, North Energy AS, Norwegian Energy Company ASA, OMV (Norge) AS, Petoro AS, PGNiG Norway AS, Premier Oil Norge AS, Repsol Exploration Norge AS, Rocksource ASA, RWE Dea Norge AS, Sagex Petroleum Norge AS, Skagen 44 AS, Skeie Energy AS, Spring Energy Exploration AS, Spring Energy Norway AS, StatoilHydro Petroleum AS inkl StatoilHydro ASA, Suncor Energy Norge AS, Svenska Petroleum Exploration AS, Talisman Energy Norge AS, Total E&amp;P Norge AS, VNG Norge AS, Wintershall Norge NUF, Wintershall Norge ASA inkl Revus Energy AS, Wintershall Norge AS, Shell International pipelines Inc</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</si>
  <si>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38% of total revenues. The report also covers transfer of revenues to the Government Pension Fund.</t>
  </si>
  <si>
    <t>4Sea Energy AS, A/S Norske Shell, Bayerngas Norge AS, Bayerngas Produksjon Norge AS, BG Norge AS, BP Norge AS, Bridge Energy AS, Capricorn Norge AS, Centrica Resources (Norge) AS, Chevron Norge AS, Concedo AS, ConocoPhilips Skandinavia AS, Core Energy AS, Dana Petroleum Norway AS, Det norske oljeselskap ASA, DONG E&amp;P Norge AS, E&amp;P Holding AS, Edison International Spa, Eni Norge AS, EnQuest Norge AS, Enterprise Oil Norge AS, E.ON Ruhrgas Norge AS, Explora Petroleum AS, ExxonMobil Exploration &amp; Production Norway AS, Faroe Petroleum Norge AS, Fortis Petroleum Norway AS, Front Exploration AS, GDF SUEZ E&amp;P Norge AS, Hess Norge AS, Idemitsu Petroleum Norge AS, Infragas Norge AS, Lotos Exploration and Production Norge AS, Lukoil Oil Company, Lundin Norway AS, Maersk Oil Norway AS, Marathon Oil Norge AS, Nexen Exploration Norge AS, Njord Gas Infrastructure AS, Noreco Norway AS, Norpipe Oil AS, Norsea Gas AS, Norske AEDC A/S, North Energy AS, Norwegian Energy Company ASA, OMV (Norge) AS, Petoro AS, Petrolia Norway AS, PGNiG Norway AS, Premier Oil Norge AS, Repsol Exploration SA, Repsol Exploration Norge AS, RN Nordic Oil AS, Rocksource ASA, RWE Dea Norge AS, Silex Gas Norway AS, Skagen 44 AS, Skeie Energy AS, Solveig Gas Norway AS, StatoilHydro Petroleum AS inkl StatoilHydro ASA, Stratum Energy AS, Suncor Energy Norge AS, Svenska Petroleum Exploration AS, Talisman Energy Norge AS, Total E&amp;P Norge AS, Tullow Oil (Bream) Norge AS, Tullow Oil Norge AS, Valiant Petroleum Norge AS, VNG Norge AS, Wintershall Norge AS</t>
  </si>
  <si>
    <t>http://eitiperu.minem.gob.pe/</t>
  </si>
  <si>
    <t>Profits/Taxes, Royalties, Licenses and concessions</t>
  </si>
  <si>
    <t>United States Dollar and the Peruvian neuvo sol</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</si>
  <si>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t>
  </si>
  <si>
    <t>63-65</t>
  </si>
  <si>
    <t>The report uses US dollars and the local currency, the Peruvian nuevo sol. An exchange rate is not provided to convert the latter, so that of the World Bank is used (http://data.worldbank.org/indicator/PA.NUS.FCRF). Materiality threshold: Companies volunteered to participate in the process. These accounted for the following shares of production in 2004: Oil - 74%, Gas - 27%, Copper - 96%, Gold - 70%, Lead - 37%, Molybendum - 100%, Silver - 51%,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</si>
  <si>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t>
  </si>
  <si>
    <t>27% of production volume</t>
  </si>
  <si>
    <t>Hunt Oil Company of Perú L.L.C., Olympic Perú INC Sucursal del Perú, Petrobras Energía Perú S.A., Pluspetrol Perú Corporation S.A., Pluspetrol Camisea S.A., Repsol Exploración Perú Sucursal del Perú</t>
  </si>
  <si>
    <t>74% of production volume</t>
  </si>
  <si>
    <t>Hunt Oil Company of Perú L.L.C., Maple Gas Corporation del Perú S.R.L., Olympic Perú INC Sucursal del Perú, Petrobras Energía Perú S.A., Pluspetrol Norte S.A., Pluspetrol Perú Corporation S.A., Pluspetrol Camisea S.A., Repsol Exploración Perú Sucursal del Perú</t>
  </si>
  <si>
    <t>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t>
  </si>
  <si>
    <t>Bismuth (metal)</t>
  </si>
  <si>
    <t>Volume from USGS Mineral Yearbook 2008. Price from USGS Mineral Commodity Summary 2009, and is the price in the US.</t>
  </si>
  <si>
    <t>96% of production volume</t>
  </si>
  <si>
    <t xml:space="preserve">Southern Perú Copper Corporation Sucursal del Perú, Compañía Minera Antamina S.A., Xstrata Tintaya S.A., Sociedad Minera Cerro Verde S.A.A, Empresa Minera Los Quenuales S.A., Compañía Minera Argentum S.A., Sociedad Minera El Brocal S.A.A., Inversiones Mineras del Sur S.A., Compañía de Minas Buenaventura S.A.A., Minera Pampa de Cobre S.A., Minsur S.A., Minera Bateas S.A.C., Cedimin S.A.C. </t>
  </si>
  <si>
    <t>70% of production volume</t>
  </si>
  <si>
    <t>Minera Yanacocha S.R.L., Minera Barrick Misquichilca S.A., Compañía de Minas Buenaventura S.A.A., Inversiones Mineras del Sur S.A., Xstrata Tintaya S.A., Cedimin S.A.C., Southern Perú Copper Corporation Sucursal del Perú, Pan American Silver S.A.C. Mina Quiruvilca, Compañía Minera Milpo S.A.A., Minera Bateas S.A.C., Sociedad Minera El Brocal S.A.A.</t>
  </si>
  <si>
    <t>Indium</t>
  </si>
  <si>
    <t>Volume from USGS Mineral Yearbook 2008. Price from USGS Mineral Commodity Summary 2009, and is the price of Indium Corp, a US producer, for 99.97% purity metal.</t>
  </si>
  <si>
    <t>Volume from USGS Mineral Yearbook 2008. Price from World Bank (Global Economic Monitor (GEM) Commodities database), and is defined as: Iron ore (any origin) fines, spot price, c.f.r. China, 62% Fe.</t>
  </si>
  <si>
    <t>Price from World Bank (Global Economic Monitor (GEM) Commodities database), and is defined as: Lead (LME), refined, 99.97% purity, settlement price</t>
  </si>
  <si>
    <t>37% of production volume</t>
  </si>
  <si>
    <t>Sociedad Minera El Brocal S.A.A., Empresa Minera Los Quenuales S.A., Compañía Minera Milpo S.A.A., Perubar S.A., Compañía Minera Raura S.A., Compañía de Minas Buenaventura S.A.A., Pan American Silver S.A.C. Mina Quiruvilca,  Compañía Minera Antamina S.A., Compañía Minera Argentum S.A., Minera Bateas S.A.C.</t>
  </si>
  <si>
    <t>o/w Lead content of mine output</t>
  </si>
  <si>
    <t>Selenium (metal, refined)</t>
  </si>
  <si>
    <t>Volume from USGS Mineral Yearbook 2008. Price from the USGS Mineral Commodity Summary 2009, and is the price for the refined product in the US.</t>
  </si>
  <si>
    <t>51% of production volume</t>
  </si>
  <si>
    <t>Compañía de Minas Buenaventura S.A.A., Compañía Minera Antamina S.A., Empresa Minera Los Quenuales S.A., Southern Perú Copper Corporation Sucursal del Perú, Sociedad Minera El Brocal S.A.A., Minera Yanacocha S.R.L., Pan American Silver S.A.C. Mina Quiruvilca, Compañía Minera Milpo S.A.A., Compañía Minera Raura S.A., Minera Barrick Misquichilca S.A., Xstrata Tintaya S.A., Compañía Minera Argentum S.A., Cedimin S.A.C., Inversiones Mineras del Sur S.A., Minera Bateas S.A.C.</t>
  </si>
  <si>
    <t>o/w Native</t>
  </si>
  <si>
    <t>o/w Sulfuric acid</t>
  </si>
  <si>
    <t>Tellurium (metal)</t>
  </si>
  <si>
    <t>Volume from USGS Mineral Yearbook 2008. Price is from the USGS Mineral Commodity Summary 2009, and is the price for a lump and powder product of minimum 99.95% quality in the US.</t>
  </si>
  <si>
    <t>100% of production volume</t>
  </si>
  <si>
    <t>Minsur S.A.</t>
  </si>
  <si>
    <t>o/w Tin content of mine output</t>
  </si>
  <si>
    <t>Price from World Bank (Global Economic Monitor (GEM) Commodities database), and is defined as: Zinc (LME), high grade, minimum 99.95% purity, settlement price beginning April 1990; previously special high grade, minimum 99.995%, cash prices</t>
  </si>
  <si>
    <t>52% of production volume</t>
  </si>
  <si>
    <t xml:space="preserve">Compañía Minera Antamina S.A.,  Empresa Minera Los Quenuales S.A., Compañía Minera Milpo S.A.A., Sociedad Minera El Brocal S.A.A., Compañía Minera Raura S.A., Perubar S.A., Pan American Silver S.A.C. Mina Quiruvilca, Compañía de Minas Buenaventura S.A.A., Compañía Minera Argentum S.A., Minera Bateas S.A.C., Perubar S.A., </t>
  </si>
  <si>
    <t>o/w Zinc content of mine output</t>
  </si>
  <si>
    <t>The report uses US dollars and the local currency, the Peruvian nuevo sol. Materiality threshold: Companies volunteered to participate in the process. These accounted for the following shares of production in 2005: Oil - 71%, Gas - 41%, Copper - 95%, Gold - 74%, Lead - 30%, Molybendum - 100%, Silver - 55%,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</si>
  <si>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41% of production volume</t>
  </si>
  <si>
    <t>71% of production volume</t>
  </si>
  <si>
    <t>95% of production volume</t>
  </si>
  <si>
    <t>30% of production volume</t>
  </si>
  <si>
    <t>55% of production volume</t>
  </si>
  <si>
    <t>The report uses US dollars and the local currency, the Peruvian nuevo sol. Materiality threshold: Companies volunteered to participate in the process. These accounted for the following shares of production in 2006: Oil - 70%, Gas - 44%, Copper - 95%, Gold - 73%, Lead - 44%, Molybendum - 100%, Silver - 58%,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</si>
  <si>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44% of production volume</t>
  </si>
  <si>
    <t>73% of production volume</t>
  </si>
  <si>
    <t>58% of production volume</t>
  </si>
  <si>
    <t>The report uses US dollars and the local currency, the Peruvian nuevo sol. Materiality threshold: Companies volunteered to participate in the process. These accounted for the following shares of production in 2007: Oil - 71%, Gas - 50%, Copper - 95%, Gold - 66%, Lead - 43%, Molybendum - 100%, Silver - 53%, Tin - 100%, Zinc - 56%.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</si>
  <si>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50% of production volume</t>
  </si>
  <si>
    <t>Volume from USGS Mineral Yearbook 2011. Price from USGS Mineral Commodity Summary 2009, and is the price in the US.</t>
  </si>
  <si>
    <t>66% of production volume</t>
  </si>
  <si>
    <t>Volume from USGS Mineral Yearbook 2011. Price from USGS Mineral Commodity Summary 2009, and is the price of Indium Corp, a US producer, for 99.97% purity metal.</t>
  </si>
  <si>
    <t>43% of production volume</t>
  </si>
  <si>
    <t>Volume from USGS Mineral Yearbook 2011. Price from the USGS Mineral Commodity Summary 2009, and is the price for the refined product in the US.</t>
  </si>
  <si>
    <t>Shell</t>
  </si>
  <si>
    <t>Volume from USGS Mineral Yearbook 2008. Price from USGS Mineral Yearbook 2007, and is the price in the US for crushed shell.</t>
  </si>
  <si>
    <t>53% of production volume</t>
  </si>
  <si>
    <t>Volume from USGS Mineral Yearbook 2011. Price is from the USGS Mineral Commodity Summary 2009, and is the price for a lump and powder product of minimum 99.95% quality in the US.</t>
  </si>
  <si>
    <t>56% of production volume</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</si>
  <si>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Pacific Stratus Energy S.A. PeruDivision, Savia Perú S.A., Pluspetrol Lote 56 S.A, Interoil Perú S.A., Sonatrach Perú Corporation S.A.C,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t>
  </si>
  <si>
    <t>76-78</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</si>
  <si>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88% of national oil &amp; gas production and 87% of national mining production in 2008, which is given in the report as US$5,469,782,913 and US$21,360,787,879.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</si>
  <si>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88% of production value</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</si>
  <si>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Compañía de Minas Buenaventura S.A.A., Pacific Stratus Energy S.A. PeruDivision, Savia Perú S.A., Pluspetrol Lote 56 S.A, Interoil Perú S.A., Sonatrach Perú Corporation S.A.C</t>
  </si>
  <si>
    <t>87% of production value</t>
  </si>
  <si>
    <t>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t>
  </si>
  <si>
    <t>Antimony (metal)</t>
  </si>
  <si>
    <t>Arsenic (white)</t>
  </si>
  <si>
    <t>Boron materials (crude)</t>
  </si>
  <si>
    <t>Cadmium (metal)</t>
  </si>
  <si>
    <t>Chalk</t>
  </si>
  <si>
    <t>Common clay</t>
  </si>
  <si>
    <t>Diatomite</t>
  </si>
  <si>
    <t xml:space="preserve">Dolomite </t>
  </si>
  <si>
    <t>Fire clay</t>
  </si>
  <si>
    <t>Flagstone</t>
  </si>
  <si>
    <t>Lime</t>
  </si>
  <si>
    <t>Onyx</t>
  </si>
  <si>
    <t>Phosphate rock</t>
  </si>
  <si>
    <t>Quartz and quartzite (crushed)</t>
  </si>
  <si>
    <t>Steel</t>
  </si>
  <si>
    <t>Stone (construction)</t>
  </si>
  <si>
    <t>Sulfur (elemental)</t>
  </si>
  <si>
    <t>Travertine</t>
  </si>
  <si>
    <t>Tungsten (metal)</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</si>
  <si>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90% of national oil &amp; gas production and 84% of national mining production in 2009, which is given in the report as US$3,764,019,399 and US$18,161,827,319.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</si>
  <si>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90% of production value</t>
  </si>
  <si>
    <t>84% of production value</t>
  </si>
  <si>
    <t>o/w P2O5 content</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</si>
  <si>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90% of national oil &amp; gas production and 83% of national mining production in 2010, which is given in the report as US$5,687,106,188 and US$23,412,898,360.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</si>
  <si>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83% of production value</t>
  </si>
  <si>
    <t xml:space="preserve">The Report is partially disaggregated by company.  </t>
  </si>
  <si>
    <t>Volume from USGS Mineral Yearbook 2011. Price from USGS Mineral Commodity Summary 2014, and is the estimated f.o.b. mine price in the US.</t>
  </si>
  <si>
    <t>Volume from USGS Mineral Yearbook 2011. Price from USGS Mineral Commodity Summary 2014, and is price for bentonite clay in the US.</t>
  </si>
  <si>
    <t>Volume from USGS Mineral Yearbook 2011. Price from USGS Mineral Yearbook 2012, and is the price in the US.</t>
  </si>
  <si>
    <t>Volume from USGS Mineral Yearbook 2011. Price is from BPSR 2014, and is an average of the American Central Appalachian, Asian and Northwest Europe marker/spot prices.</t>
  </si>
  <si>
    <t>Volume from USGS Mineral Yearbook 2011. Price from USGS Mineral Commodity Summary 2014, and is price for common clay in the US.</t>
  </si>
  <si>
    <t>Volume from USGS Mineral Yearbook 2011. Price from USGS Mineral Commodity Summary 2013, and is the f.o.b. plant price in the US.</t>
  </si>
  <si>
    <t>Volume from USGS Mineral Yearbook 2011. Price from USGS Mineral Yearbook 2012, and is the price in the US for crushed dolomite.</t>
  </si>
  <si>
    <t>Volume from USGS Mineral Yearbook 2011. Price from USGS Mineral Commodity Summary 2014, and is the price for marketable production in the US.</t>
  </si>
  <si>
    <t>Volume from USGS Mineral Yearbook 2011. Price from USGS Mineral Commodity Summary 2014, and is price for fire clay in the US.</t>
  </si>
  <si>
    <t>Volume from USGS Mineral Yearbook 2011. Price from USGS Mineral Yearbook 2012, and is the price in the US for crushed granite.</t>
  </si>
  <si>
    <t>Volume from USGS Mineral Yearbook 2011. Price from USGS Mineral Commodity Summary 2013, and is the average f.o.b. price for crude and calcined products.</t>
  </si>
  <si>
    <t>Volume from USGS Mineral Yearbook 2011. Price from USGS Mineral Commodity Summary 2014, and is price for kaolin clay in the US.</t>
  </si>
  <si>
    <t>Volume from USGS Mineral Yearbook 2011. Price from USGS Mineral Commodity Summary 2014, and is the average plant price for quicklime and hydrate products in the US.</t>
  </si>
  <si>
    <t>Volume from USGS Mineral Yearbook 2011. Price from USGS Mineral Yearbook 2012, and is the price in the US for crushed limestone.</t>
  </si>
  <si>
    <t xml:space="preserve">Volume from USGS Mineral Yearbook 2011. Price from USGS Mineral Commodity Summary 2013, and is the c.i.f. price at US ports for metallurgical ore with 46-48% manganese content. </t>
  </si>
  <si>
    <t>Volume from USGS Mineral Yearbook 2011. Price from USGS Mineral Commodity Summary 2013, and is the price in the US.</t>
  </si>
  <si>
    <t>Volume from USGS Mineral Yearbook 2011. Price from USGS Mineral Commodity Summary 2013, and is the f.o.b price in the US.</t>
  </si>
  <si>
    <t>Volume from USGS Mineral Yearbook 2011. Price from USGS Mineral Yearbook 2012, and is the price in the US for crushed quartzite.</t>
  </si>
  <si>
    <t>Volume from USGS Mineral Yearbook 2011. Price from USGS Mineral Yearbook 2012, and is the price in the US for construction sand and gravel.</t>
  </si>
  <si>
    <t>Volume from USGS Mineral Yearbook 2011. Price from the USGS Mineral Commodity Summary 2014, and is the price for the refined product in the US.</t>
  </si>
  <si>
    <t xml:space="preserve">Shell </t>
  </si>
  <si>
    <t>Volume from USGS Mineral Yearbook 2011. Price from USGS Mineral Yearbook 2012, and is the price in the US for crushed shell.</t>
  </si>
  <si>
    <t>Volume from USGS Mineral Yearbook 2011. Price from USGS Mineral Yearbook 2012, and is the price in the US for crushed slate.</t>
  </si>
  <si>
    <t>Steel (various)</t>
  </si>
  <si>
    <t>Volume from USGS Mineral Yearbook 2011. Price from World Bank (Global Economic Monitor (GEM) Commodities database), and is an average of the prices for steel coilsheets, wirerods and rebars.</t>
  </si>
  <si>
    <t>Volume from USGS Mineral Yearbook 2011. Price from USGS Mineral Yearbook 2012, and is the price in the US for crushed miscellaneous stone.</t>
  </si>
  <si>
    <t>Volume from USGS Mineral Yearbook 2011. Price from USGS Mineral Commodity Summary 2013, and is f.o.b. mine and/or plant price for elemental sulfur in the US.</t>
  </si>
  <si>
    <t>Volume from USGS Mineral Yearbook 2011. Price from USGS Mineral Commodity Summary 2013, and is the price for processed talc in the US.</t>
  </si>
  <si>
    <t>Volume from USGS Mineral Yearbook 2011. Price from USGS Mineral Commodity Summary 2013, and is the average price on the US and European spot markets for a metric ton unit of tungsten trioxide, which contains 7.93kg of tungsten.</t>
  </si>
  <si>
    <t>Volume from USGS Mineral Yearbook 2012. Price from USGS Mineral Commodity Summary 2014, and is the estimated f.o.b. mine price in the US.</t>
  </si>
  <si>
    <t>Volume from USGS Mineral Yearbook 2012. Price from USGS Mineral Commodity Summary 2014, and is price for bentonite clay in the US.</t>
  </si>
  <si>
    <t>Volume from USGS Mineral Yearbook 2012. Price from USGS Mineral Commodity Summary 2013, and is the average f.a.s. price of US imports.</t>
  </si>
  <si>
    <t>Volume from USGS Mineral Yearbook 2012. Price from USGS Mineral Yearbook 2012, and is the price in the US.</t>
  </si>
  <si>
    <t>Volume from USGS Mineral Yearbook 2012. Price is from BPSR 2014, and is an average of the American Central Appalachian, Asian and Northwest Europe marker/spot prices.</t>
  </si>
  <si>
    <t>Volume from USGS Mineral Yearbook 2012. Price from USGS Mineral Commodity Summary 2014, and is price for common clay in the US.</t>
  </si>
  <si>
    <t>Volume from USGS Mineral Yearbook 2012. Price from USGS Mineral Commodity Summary 2013, and is the f.o.b. plant price in the US.</t>
  </si>
  <si>
    <t>Volume from USGS Mineral Yearbook 2012. Price from USGS Mineral Commodity Summary 2014, and is the price of Indium Corp, a US producer, for 99.97% purity metal.</t>
  </si>
  <si>
    <t>Volume from USGS Mineral Yearbook 2012. Price from USGS Mineral Commodity Summary 2014, and is price for kaolin clay in the US.</t>
  </si>
  <si>
    <t>Volume from USGS Mineral Yearbook 2012. Price from USGS Mineral Commodity Summary 2013, and is the price in the US.</t>
  </si>
  <si>
    <t>Volume from USGS Mineral Yearbook 2012. Price from World Bank (Global Economic Monitor (GEM) Commodities database), and is defined as: Phosphate rock (Morocco), 70% BPL, contract, f.a.s. Casablanca.</t>
  </si>
  <si>
    <t>Volume from USGS Mineral Yearbook 2012. Price from USGS Mineral Yearbook 2012, and is the price in the US for crushed quartzite.</t>
  </si>
  <si>
    <t>Volume from USGS Mineral Yearbook 2012. Price from the USGS Mineral Commodity Summary 2014, and is the price for the refined product in the US.</t>
  </si>
  <si>
    <t>Volume from USGS Mineral Yearbook 2012. Price from USGS Mineral Yearbook 2012, and is the price in the US for crushed slate.</t>
  </si>
  <si>
    <t>Volume from USGS Mineral Yearbook 2012. Price from World Bank (Global Economic Monitor (GEM) Commodities database), and is an average of the prices for steel coilsheets, wirerods and rebars in 2011 (steel prices in 2012 are not given by the World Bank or USGS).</t>
  </si>
  <si>
    <t>The price for this year is not available from the World Bank or USGS.</t>
  </si>
  <si>
    <t>Volume from USGS Mineral Yearbook 2012. Price from USGS Mineral Yearbook 2012, and is the price in the US for crushed miscellaneous stone.</t>
  </si>
  <si>
    <t>Ghelber &amp; Gourdon</t>
  </si>
  <si>
    <t>61, 134</t>
  </si>
  <si>
    <t xml:space="preserve">EITI Report for 2004-2006 does not include revenue/payment totals or company/govt reconciliated figures, and eiti.org does not give data on payments or revenues. Four fields were selected for reconciliation and in-kind receipts from these fields were reported (see p.58-59), but it is not clear whether these are government or company reported amounts, or both, and what these in-kind payments include. Project-by-project production data is given on p.134; production figures are taken from the totals given here. Total production value in FCFA is given on p.61; value was determined by "prix fiscale", which is defined in Article 8 of the CPP (contrat de partage de production). The "prix fiscale" is given for each quarter on p.69; prices here are annual averages of these prices. (Note slight differences between EITI production volume x price and the producton values given). Total Received by Govt is "Recettes constatées du Trésor" from p.61; however, this appears to be revenues from the government's production share only. Total In-kind Payment Value is production share ("droits") from p.61. Note that the value of the state's share of production (column AB) is greater than the total received by the Treasury (column R); the report states that fees and debts are deducted from production share (p.61). The value of oil delivered to CORAF, the state refinery, for domestic consumption is equivalent to US$11,792,881 (p.65-66). Also, information on how in-kind receipts (profit oil, cost oil, etc) are calculated is on p.18, p.33; project-by-project profit oil and royalties are given on p.132-133. 17 upstream petroleum companies were covered by the report (p.99); company names are not given, and it's not clear how many actually participated (according to eiti.org, 25 companies reported; it's unclear where this number comes from). </t>
  </si>
  <si>
    <t xml:space="preserve">EITI Report for 2004-2006 does not include revenue/payment totals or company/govt reconciliated figures. Four fields were selected for reconciliation and in-kind receipts from these fields were reported (see p.58-59), but it is not clear whether these are government or company reported amounts, or both, and what these in-kind payments include. Project-by-project production data is given on p.134; production figures are taken from the totals given here. Total production value in FCFA is given on p.61; value was determined by "prix fiscale", which is defined in Article 8 of the CPP (contrat de partage de production). The "prix fiscale" is given for each quarter on p.69; prices here are annual averages of these prices. (Note slight differences between EITI production volume x price and the producton values given). Total Received by Govt is "Recettes constatées du Trésor" from p.61; however, this appears to be revenues from the government's production share only. Total In-kind Payment Value is production share ("droits") from p.61. Note that the value of the state's share of production (column W) is greater than the total received by the treasury (column Q); the report states that fees and debts are deducted from production share (p.61). The value of oil delivered to CORAF, the state refinery, for domestic consumption is given on p.65-66; these values are included in the Subsidy column. Also, information on how in-kind receipts (profit oil, cost oil, etc) are caluclated is on p.18, p.33; project-by-project profit oil and royalties are given on p.132-133. 17 upstream petroleum companies were covered by the report (p.99); company names are not given, and it's not clear how many actually participated (according to eiti.org, 25 companies reported; it's unclear where this number comes from). </t>
  </si>
  <si>
    <t>http://www.itie-congo.org/</t>
  </si>
  <si>
    <t>Volume and price from BPSR 2014. Price is an average of the spot prices for Brent, Dubai, Nigerian Forcados and West Texas Intermediate crude oil, adjusted to account for the prices given in the 2004-2006 and 2010-2012 EITI Reports being an average 87.94% of this in 2004-2006 and 2010-2012.</t>
  </si>
  <si>
    <t>Disaggregated by revenue stream, disaggregated by company</t>
  </si>
  <si>
    <t>56,430,394 bbl of oil</t>
  </si>
  <si>
    <t>SNPC, TOTAL, ENI CONGO, CONGOREP, PERENCO EP CONGO, PERENCO EP CONGO, CMS NOMECO, NUEVO CONGO COMPANY, NUEVO CONGO LIMITED, MURPHY, PRESTOIL, AOGC, CHEVRON, MAUREL &amp; PROM CONGO, SOCO, ENGEN, BUREN, TULLOW, PREMIER, PILATUS, CLIVEDEN, CNOOC, SVENSKA, WING WAH, OPHIR CONGO</t>
  </si>
  <si>
    <t>6, 7, 8, 24-27</t>
  </si>
  <si>
    <t>Voluntary social payments were reported unilaterally by companies are and included here under Total Payments by Company.  Revenue/payment totals given in FCFA in the report include the earnings of the state from the commercialization of in-kind oil receipts (commercialized on behalf of the state by SNPC). To avoid double counting, in-kind flows received by SNPC on behalf of the state have not been added to revenue/payment totals.  The exchange rate used in the EITI Report is 495 FCFA/$, which is different from the WB rate used here. In-kind receipts include state (51,334,916 bbl) and SNPC (5,095,478 bbl) production share, as reported by the government (p.26). Note, however, that Total In-kind Payment Value reflects only the amount SNPC paid to the state after commercializing the state's share of production, as reported by govt (ie, for 51.3 mill bbl the state received $2.86 bill). CORAF, the state refinery, also received a portion of the state's production share (for provision of subsidized fuel to the domestic market), but these volumes were not included in the report. Note that some revenue streams were not reported by govt and couldn't be reconciled (see p.4).</t>
  </si>
  <si>
    <t>Volume from BPSR 2014. Price from EITI Report, and is basd on the value and volume of payments made in-kind.</t>
  </si>
  <si>
    <t>58,610,387 bbl of oil</t>
  </si>
  <si>
    <t>5,038,537,547 (commercialized value of the portion of Govt in-kind receipts that go to the Treasury only)</t>
  </si>
  <si>
    <t>Total (TEP Congo), ENI Congo, SNPC, Congorep, Societe Chevron, Burren, Murphy West Africa, PA Ressources, CMS Nomeco, Tullow, Nuevo Congo Company, Nuevo Congo Limited, Presoil, Maurel &amp; Prom Congo, AOGC, Petroci, Prevail.</t>
  </si>
  <si>
    <t>5, 6, 29-31, 35, 36</t>
  </si>
  <si>
    <t>Total Payments by Companies includes unilaterally reported "taxe maritime" and voluntary social payments.  Reported amounts cover the earnings of the state from the commercialization of the oil; SNPC commercializes the state's production share on the international market (p.12), so all in-kind receipts are received by SNPC and converted to cash before being remitted to the state. To avoid double counting, in-kind flows received by SNPC on behalf of the state have not been added to revenue/payment totals. The state receives a total of 55,600,658 bbl, of which 4,350,547 bbl (see p.41) goes to CORAF for the domestic market. The remainder (51,035,686 bbl) is commercialized by SNPC on behalf of the state, for which the state received FCFA 2,386,755,236,000. In addition, SNPC received 3,009,729 bbl for its own account. Here, Total In-kind Payment Volume includes State and SNPC in-kind receipts (55,600,658 bbl+3,009,729 bbl, as reported by the government). But note that the Total In-Kind Payment Value is for commercialized barrels only (ie, 51 million bbl sold for 2.39 trillion FCFA, or about $99/bbl). The repor also includes mining revenues reported unilaterally by the state but these are not included in Total Revenues Reported by Government</t>
  </si>
  <si>
    <t>Central African CFA Franc and United States Dollar</t>
  </si>
  <si>
    <t>54,922,000 bbl of oil (includes total govt in-kind receipts and SNPC receipts)</t>
  </si>
  <si>
    <t>2,748,286,000 (commercialized value of the portion of Govt in-kind receipts that go to the Treasury only)</t>
  </si>
  <si>
    <t>PETROLEUM SOC: Societe Nationale des Petroles du Congo (SNPC). PETROLEUM PRODUCTION: Africa Oil and Gas Corporation (AOGC), Chevron Overseas Congo, CMS Nomeco, Congorep, ENI Congo, Murphy West Africa, Prestoil, Nuevo Congo Company, Nuevo Congo Ltd, PA Resources Congo, Petro Kouilou, Total E&amp;P Congo, Maurel &amp; Prom Congo. PETROLEUM EXPLORATION: China National Offshore Oil Corporation (CNOOC), Ophir Congo, Perenco Exploration &amp; Production Congo, Pilatus, Premier Oil, SOCO Exploration and Production Congo, Wing Wah. MINING PRODUCTION: Lulu, Magminerals Potasses Congo, Societe de Recherche et d'Exploitation Miniere (SOREMI).</t>
  </si>
  <si>
    <t>4-7, 30-34</t>
  </si>
  <si>
    <t xml:space="preserve">Total Received by Govt includes revenues from mining companies in the exploratory phase reported unilaterally by the state. Total Payments by Companies includes unilaterally reported "taxe maritime" and voluntary social payments. SNPC, the state oil company, is included as both a paying company (in-kind royalties and tax oil paid to state and some financial flows) and a receiving entity (production share received for SNPC's own account and SNPC dividends are included in govt totals). Reported dollar amounts include the earnings of the state from the commercialization of the oil; SNPC commercializes the state's production share on the international market (p.15), so all in-kind receipts are received by SNPC and converted to cash before being remitted to the state. To avoid double counting, in-kind flows received by SNPC on behalf of the state have not been added to revenue/payment totals. The state received a total of 53,078,000 bbl of oil (before "prelevements" were deducted), valued at $5,573,156,000. Of this production share, 5,959,000 bbl went to CORAF for refining and sale at subsidized prices to the domestic market (this transfer was valued at $600 million, see p.6). The in-kind receipts to the treasury (26,681,000 bbl) were commercialized by SNPC on behalf of the state, for which the state received $2,748,286,000. In addition, SNPC received 1,694,000 bbl for its own account. Here, Total In-kind Payment Volume includes all State and SNPC in-kind receipts, before deductions (ie, 53,228,000 bbl+1,694,000 bbl, as reported by the government). But note that the Total In-Kind Payment Value is for commercialized barrels only (ie, 26.7 million bbl sold for $2.75 bill, or about $103/bbl). </t>
  </si>
  <si>
    <t>Export value reported as $10 billion, but this does not reflect total production value as some oil is refined and used domestically</t>
  </si>
  <si>
    <t>Volume from USGS Mineral Yearbook 2012. Price from kimberley Process Annual Summary 2012.</t>
  </si>
  <si>
    <t xml:space="preserve">Total </t>
  </si>
  <si>
    <t>Congo Iron*, Magminerals Potasses Congo*, Core Mining Congo, Sintoukola Potash*, Dmc, Iron Congo*, Societe De Recherche Et D'exploitation Miniere (Soremi)*, Lulu B, African Iron, Macpela Mining, Afrimines, Managem, Agil Congo, Maud Congo, Alassane Geomines, Million Well Holding, Alector Congo, Mpd Congo*, Allante Resources Congo, Natural Resources Exploration, Alpha Minerals, Newco Mining, Amd, Niel Congo, Avima Gold, Nyanga Congo, China Development Resources, Nyive Congo, Cominco*, Oky Services International, Comisa, Sadem, Congo Gold, Potasses Du Congo, Congo Mining*, Sai Congo, Coredem, Saison Zhong, Corem, Sanu Resources, Distribution Internationale, Sino Congo Development, Eni Congo, Sino Congo Gold, Equamineral, Sino Congo Resources, Gan Congo, Societe Des Potasses Du Congo, Golden Lion, Societe Des Potasses Et Des Mines, Guided By Grace Ministries, Soneco, Kimin Congo, Srem, La Congolaise Des Mines, Yuan Wang, Luyan Des Mines, Zhong Jin Hui Da Beijing, Mac Congo C, African Minerals Compagny (Amc), Niall Mellon, Bikonga Mining, Oyabi Gold Mine, Dimension Finances, Panex, Equateur Mining Congo, Qatar Mining, First Republic Resources, Renaissance Copper, Gbgm, Societe Congolaise Des Mines Et Des Potasses (Socomip), Hind Metal Corp, Societe D'exploitation Miniere Du Congo (Emc), La Congolaise De Graphite, Transfrontiergroup Compagny Mayombe Gold Societe Nationale Des Petroles Du Congo (Snpc) B, Africa Oil And Gas Corporation (Aogc), Nuevo Congo Company, Cms Nomeco, Nuevo Congo Limited, Congorep, Pa Resources Congo, Eni Congo, Petro Kouilou (Ex Prestoil), Murphy West Africa, Total E&amp;P Congo C, China National Offshore Oil Corporation (Cnooc), Perenco Exploration &amp; Production Congo, Chevron Overseas Congo, Philia*, Dig Oil*, Pilatus, Maurel &amp; Prom Congo, Soco Exploration And Production Congo, Ophir Congo, Wing Wah</t>
  </si>
  <si>
    <t>Missing a Great Deal of Information and Clarification (Information on EITI website is innacurate). Payments from companies and government revenues unclear.</t>
  </si>
  <si>
    <t>SierraLeone2006</t>
  </si>
  <si>
    <t xml:space="preserve">Sierra Leone </t>
  </si>
  <si>
    <t>http://www.sleiti.gov.sl</t>
  </si>
  <si>
    <t>United States Dollar and the Sierra Leone Leone</t>
  </si>
  <si>
    <t>African Minerals, Andre Hope, Cluff Gold, Hisham Mackie (H.M. Diamonds), Kassim Basma, Koidu Holdings SA, London Mining Co, Sierra Minerals, Sierra Rutile</t>
  </si>
  <si>
    <t>Verdi Consulting</t>
  </si>
  <si>
    <t xml:space="preserve">The report uses both US dollars and the local currency, the Sierra Leone Leone. Materiality threshold: not given. Unilateral declarations are included in the figures. </t>
  </si>
  <si>
    <t>Volume from USGS Mineral Yearbook 2010. Price from USGS Mineral Yearbook 2007, and is the average f.a.s. price of US imports of crude and dried bauxite.</t>
  </si>
  <si>
    <t>Sierra Minerals</t>
  </si>
  <si>
    <t>Andre Hope, Hisham Mackie (H.M. Diamonds), Kassim Basma, Koidu Holdings SA</t>
  </si>
  <si>
    <t>Cluff Gold</t>
  </si>
  <si>
    <t>Volume from USGS Mineral Yearbook 2010</t>
  </si>
  <si>
    <t>African Minerals, London Mining Co</t>
  </si>
  <si>
    <t>Titanium minerals &amp; Zircon</t>
  </si>
  <si>
    <t>Sierra Rutile</t>
  </si>
  <si>
    <t>o/w Ilmenite concentrate</t>
  </si>
  <si>
    <t>Volume from USGS Mineral Yearbook 2010. Price from USGS Mineral Commodity Summary 2009, and is the f.o.b. price in Australia for a bulk product with a minimum TiO2 content of 54%.</t>
  </si>
  <si>
    <t>o/w Rutile concentrate</t>
  </si>
  <si>
    <t>Volume from USGS Mineral Yearbook 2010. Price from USGS Mineral Commodity Summary 2009, and is the f.o.b. price in Australia for a bulk product with a minimum TiO2 content of 95%.</t>
  </si>
  <si>
    <t>o/w Zirconconium concentrate</t>
  </si>
  <si>
    <t xml:space="preserve">The USGS Mineral Yearbook 2010 indicates that there was insufficent data to estimate production volumes. </t>
  </si>
  <si>
    <t>SierraLeone2007</t>
  </si>
  <si>
    <t>http://eiti.org/files/Sierra%20Leone%202006-2007%20EITI%20Report_0.pdf</t>
  </si>
  <si>
    <t>Volume from USGS Mineral Yearbook 2010. Price from Kimberly Process Annual Summary 2007.</t>
  </si>
  <si>
    <t>SierraLeone2008</t>
  </si>
  <si>
    <t>African Minerals Ltd, Cluff Gold Resources, Koidu Holdings SA, London Mining Co Ltd, Nimini Mining Ltd, Sierra Minerals Ltd, Sierra Rutile Ltd, HM Diamonds, Kassim Basma, Anardako Petroleum, Prontinal Ltd, Oranto Ltd</t>
  </si>
  <si>
    <t>23-29</t>
  </si>
  <si>
    <t xml:space="preserve">The report uses both US dollars and the local currency, the Sierra Leone Leone. Materiality threshold: all active oil &amp; gas companies should be reconciled; all mining entities that have made a payment of at least $4,000 in 2008 should be reconciled. The report doesn't distinguish between oil and gas producers. Resolved discrepancies do not appear to be included in the final figures, but there is insufficent information to add these retrospectively. Unilateral declarations do not appear to be included in the figures. </t>
  </si>
  <si>
    <t>100% of production value  &amp; revenue</t>
  </si>
  <si>
    <t>Anardako Petroleum, Prontinal Ltd, Oranto Ltd</t>
  </si>
  <si>
    <t>cbf</t>
  </si>
  <si>
    <t>Volume from EIA</t>
  </si>
  <si>
    <t>African Minerals Ltd, Cluff Gold Resources, Koidu Holdings SA, London Mining Co Ltd, Nimini Mining Ltd, Sierra Minerals Ltd, Sierra Rutile Ltd, HM Diamonds, Kassim Basma</t>
  </si>
  <si>
    <t>Volume from USGS Mineral Yearbook 2012. Price from USGS Mineral Yearbook 2008, and is the average f.a.s. price of US imports of crude and dried bauxite.</t>
  </si>
  <si>
    <t>Sierra Minerals Ltd</t>
  </si>
  <si>
    <t>Volume from USGS Mineral Yearbook 2012. Price from Kimberly Process Annual Summary 2008.</t>
  </si>
  <si>
    <t>Koidu Holdings SA, HM Diamonds, Kassim Basma</t>
  </si>
  <si>
    <t>Cluff Gold Resources, Nimini Mining Ltd</t>
  </si>
  <si>
    <t>African Minerals Ltd, London Mining Co Ltd</t>
  </si>
  <si>
    <t>Sierra Rutile Ltd</t>
  </si>
  <si>
    <t>SierraLeone2009</t>
  </si>
  <si>
    <t>African Minerals Ltd, Cluff Gold Resources, Koidu Holdings SA, London Mining Co Ltd, Nimini Mining Ltd Sierra Minerals Ltd, Sierra Rutile Ltd, Chang Feng, HM Diamonds, Kassim Basma, Anardako Petroleum, Prontinal Ltd, Oranto Ltd</t>
  </si>
  <si>
    <t>30-37</t>
  </si>
  <si>
    <t xml:space="preserve">The report uses both US dollars and the local currency, the Sierra Leone Leone. Materiality threshold: all active oil &amp; gas companies should be reconciled; all mining entities that have made a payment of at least $4,000 in 2009 should be reconciled. The report doesn't distinguish between oil and gas producers. Resolved discrepancies do not appear to be included in the final figures, but there is insufficent information to add these retrospectively. Unilateral declarations are included in the figures. </t>
  </si>
  <si>
    <t>African Minerals Ltd, Cluff Gold Resources, Koidu Holdings SA, London Mining Co Ltd, Nimini Mining Ltd, Sierra Minerals Ltd, Sierra Rutile Ltd, Chang Feng, HM Diamonds, Kassim Basma</t>
  </si>
  <si>
    <t>Volume from USGS Mineral Yearbook 2012. Price from Kimberly Process Annual Summary 2009.</t>
  </si>
  <si>
    <t>Cluff Gold Resources, Nimini Mining Ltd, Chang Feng</t>
  </si>
  <si>
    <t>SierraLeone2010</t>
  </si>
  <si>
    <t>African Minerals Ltd, Cluff Gold Resources, Kingho Investment Co Ltd, Koidu Holdings SA, London Mining Co Ltd, Nimini Mining Ltd Sierra Minerals Ltd, Sierra Rutile Ltd, West African Zircon Ltd, Chang Feng, HM Diamonds, Kassim Basma, Anardako Petroleum, Prontinal Ltd, Oranto Ltd</t>
  </si>
  <si>
    <t>38-44</t>
  </si>
  <si>
    <t xml:space="preserve">The report uses both US dollars and the local currency, the Sierra Leone Leone. Materiality threshold: all active oil &amp; gas companies should be reconciled; all mining entities that made a payment of at least $4,000 in 2010 should be reconciled. The report doesn't distinguish between oil and gas producers. Resolved discrepancies do not appear to be included in the final figures, but there is insufficent information to add these retrospectively. Unilateral declarations are included in the figures. </t>
  </si>
  <si>
    <t>Anardako Petroleum, Prontinal Ltd</t>
  </si>
  <si>
    <t>African Minerals Ltd, Cluff Gold Resources, Kingho Investment Co Ltd, Koidu Holdings SA, London Mining Co Ltd, Nimini Mining Ltd, Sierra Minerals Ltd, Sierra Rutile Ltd, West African Zircon Ltd, Chang Feng, HM Diamonds, Kassim Basma</t>
  </si>
  <si>
    <t>Volume from USGS Mineral Yearbook 2012. Price from Kimberly Process Annual Summary 2010.</t>
  </si>
  <si>
    <t>African Minerals Ltd, Kingho Investment Co Ltd, London Mining Co Ltd</t>
  </si>
  <si>
    <t>Sierra Rutile Ltd, West African Zircon</t>
  </si>
  <si>
    <t>SierraLeone2011</t>
  </si>
  <si>
    <t>African Minerals Ltd, AMR Gold (SL) Ltd, Cluff Gold (SL) Ltd, Danasha Gem (SL) Ltd, Diam Investment (SL) Ltd, Hasanein Ibrahim Akar, Kingho Investment Co Ltd, Koidu Holdings SA, Lion Stones (SL) Ltd, London Mining Co Ltd, Marampa Iron Ore (SL) Ltd, Metal Exploration (SL) Ltd, Murray Investment Company Ltd, Shanti Sierra Ltd, Shawke B Shour, Sierra Minerals Holdings Ltd, Sierra Rutile Ltd, West Africa Group for Mining Gold and Diamonds (SL) Ltd, West African Zircon Ltd, HM Diamonds, Kassim Basma, Anardako Petroleum, European Hydrocarbon Ltd. UK, Lukoil Overseas Sierra Leone, Talisman Sierra Leone BV/Prontinal Ltd</t>
  </si>
  <si>
    <t xml:space="preserve">Materiality threshold: all active oil &amp; gas companies should be reconciled; all mining entities that made a payment of at least $99,360 in 2011 should be reconciled. This means over 85% of payments for the revenue streams covered in the report are accounted for. The report doesn't distinguish between oil and gas producers. Unilateral declarations are included in the figures. </t>
  </si>
  <si>
    <t>Anardako Petroleum, European Hydrocarbon Ltd. UK, Lukoil Overseas Sierra Leone, Talisman Sierra Leone BV/Prontinal Ltd</t>
  </si>
  <si>
    <t>African Minerals Ltd, AMR Gold (SL) Ltd, Cluff Gold (SL) Ltd, Danasha Gem (SL) Ltd, Diam Investment (SL) Ltd, Hasanein Ibrahim Akar, Kingho Investment Co Ltd, Koidu Holdings SA, Lion Stones (SL) Ltd, London Mining Co Ltd, Marampa Iron Ore (SL) Ltd, Metal Exploration (SL) Ltd, Murray Investment Company Ltd, Shanti Sierra Ltd, Shawke B Shour, Sierra Minerals Holdings Ltd, Sierra Rutile Ltd, West Africa Group for Mining Gold and Diamonds (SL) Ltd, West African Zircon Ltd, HM Diamonds, Kassim Basma</t>
  </si>
  <si>
    <t>Volume from USGS Mineral Yearbook 2012. Price from Kimberly Process Annual Summary 2011.</t>
  </si>
  <si>
    <t>Danasha Gem (SL) Ltd, Diam Investment (SL) Ltd, Hasanein Ibrahim Akar, Koidu Holdings SA, HM Diamonds, Kassim Basma, Lion Stones (SL) Ltd, Murray Investment Company, Shanti Sierra Ltd, Shawke B Shour Ltd, West Africa Group for Mining Gold and Diamonds (SL) Ltd</t>
  </si>
  <si>
    <t>AMR Gold (SL) Ltd, Cluff Gold Resources</t>
  </si>
  <si>
    <t>African Minerals Ltd, Kingho Investment Co Ltd, London Mining Co Ltd, Marampa Iron Ore (SL) Ltd, Metal Exploration (SL) Ltd</t>
  </si>
  <si>
    <t xml:space="preserve">Tanzania </t>
  </si>
  <si>
    <t>http://www.teiti.or.tz/</t>
  </si>
  <si>
    <t>United States Dollar and Tanzania Shilling</t>
  </si>
  <si>
    <t>Bulyanhulu Gold Mine Limited, Pangea Minerals Limited, North Mara Gold Mine Limited, Geita Gold Mine Limited, Resolute (Tanzania) Limited, Williamson Diamonds Limited, El-Hillal Minerals Limited, Tanzaniteone Mining Limited, Pan African Energy Tanzania Ltd, Artumas Group &amp; Partners (Gas) Ltd, Tanzania Petroleum Development Corporation (TPDC)</t>
  </si>
  <si>
    <t>Hart Group &amp;amp; BDO East Africa</t>
  </si>
  <si>
    <t>23-24</t>
  </si>
  <si>
    <t>The report covers the  financial year of 1 July 2008 to 30 June 2009. The report uses both US dollars and the local currency, the Tanzania shilling. Materiality threshold: the three largest gas producers should be reconciled; the nine largest mining companies (which classifies one company operating in two geographical areas as two companies) should be reconciled. Unilateral declarations are included in the figures. The figures for company payments provided in the company disaggregation do not total to the same amount as the figures for company payments provided in the revenue stream disaggregation.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also covers the majority shareowner of the companies.</t>
  </si>
  <si>
    <t>Pan African Energy Tanzania Ltd, Artumas Group &amp; Partners (Gas) Ltd, Tanzania Petroleum Development Corporation (TPDC)</t>
  </si>
  <si>
    <t>59-61</t>
  </si>
  <si>
    <t>Bulyanhulu Gold Mine Limited, Pangea Minerals Limited, North Mara Gold Mine Limited, Geita Gold Mine Limited, Resolute (Tanzania) Limited, Williamson Diamonds Limited, El-Hillal Minerals Limited, Tanzanite One Mining Limited</t>
  </si>
  <si>
    <t>44-58</t>
  </si>
  <si>
    <t>Volume from USGS Mineral Yearbook 2012, adjusted to account for the fiscal year. Price from Kimberley Process Annual Summary 2008 and 2009, adjusted to account for the fiscal year.</t>
  </si>
  <si>
    <t>Williamson Diamonds Limited, El-Hillal Minerals Limited</t>
  </si>
  <si>
    <t>54-56</t>
  </si>
  <si>
    <t>Volume from USGS Mineral Yearbook 2012, adjusted to account for the fiscal year. Price from World Bank (Global Economic Monitor (GEM) Commodities database) - defined as: Gold (UK), 99.5% fine, London afternoon fixing, average of daily rates - adjusted to account for the fiscal year and for the price given in the 2011 EITI Report being 109.53% of this in the fiscal year of 2010-11.</t>
  </si>
  <si>
    <t>Bulyanhulu Gold Mine Limited, Pangea Minerals Limited, North Mara Gold Mine Limited, Geita Gold Mine Limited, Resolute (Tanzania) Limited</t>
  </si>
  <si>
    <t>44-53</t>
  </si>
  <si>
    <t>Tanzanite</t>
  </si>
  <si>
    <t>Volume from USGS Mineral Yearbook 2012, adjusted to account for the fiscal year. Price from the USGS Mineral Yearbook 2008 and 2009, and is the median of the year-end price range for cut tanzanite in the US, adjusted to account for the fiscal year and for the price given in the 2011 EITI Report being 3.21% of this in the fiscal year of 2010-11.</t>
  </si>
  <si>
    <t>Tanzaniteone Mining Limited</t>
  </si>
  <si>
    <t>57-58</t>
  </si>
  <si>
    <t>92.4% of revenue</t>
  </si>
  <si>
    <t>Etablissement Maurel et Prom, Orphir Tanzania Limited, Pan African Energy Tanzania Limited, Petrobras Tanzania Limited, Songas Limited, Statoil Tanzania AS, Tullow Tanzania, B.V, Wentworth Gas Limited, Tanzania Petroleum Development Corporation (TPDC), Barrick Exploration Africa Limited, Bulyanhulu Gold Mine Limited, Geita Gold Mining Limited, Mbeya Cement Company Limited, Mineral Extraction Technologies Limited, North Mara Gold Mine Limited, Pangea Minerals Limited, Resolute Tanzania Limited, Seasalt Limited, Shanta Mining Company Limited, Tancan Mining Company Limited, Tanga Cement Company Limited, Tanzania Portland Cement Company Limited, Tanzaniteone Mining Limited, Williamson Diamonds Limited</t>
  </si>
  <si>
    <t>BDO East Africa &amp;amp; Paulsam Geo-Engineering Ltd</t>
  </si>
  <si>
    <t>39-40</t>
  </si>
  <si>
    <t>The report covers the  financial year of 1 July 2009 to 30 June 2010. The report uses both US dollars and the local currency, the Tanzania shilling. Materiality threshold: all companies that paid more than TzS 200 million in the financial year should be reconciled. Reporting companies accounted for 92.4% of total mining and petroleum revenues collected by Government.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provides production volumes for some companies in 2010 but not the fiscal year.</t>
  </si>
  <si>
    <t>Etablissement Maurel et Prom, Orphir Tanzania Limited, Pan African Energy Tanzania Limited, Petrobras Tanzania Limited, Songas Limited, Statoil Tanzania AS, Tullow Tanzania B.V, Wentworth Gas Limited, Tanzania Petroleum Development Corporation (TPDC)</t>
  </si>
  <si>
    <t>Barrick Exploration Africa Limited, Bulyanhulu Gold Mine Limited, Geita Gold Mining Limited, Mbeya Cement Company Limited, Mineral Extraction Technologies Limited, North Mara Gold Mine Limited, Pangea Minerals Limited, Resolute Tanzania Limited, Seasalt Limited, Shanta Mining Company Limited, Tancan Mining Company Limited, Tanga Cement Company Limited, Tanzania Portland Cement Company Limited, Tanzaniteone Mining Limited, Williamson Diamonds Limited</t>
  </si>
  <si>
    <t>Volume from USGS Mineral Yearbook 2012, adjusted to account for the fiscal year. Price from BPSR 2014, and is  an average of the American Central Appalachian, Asian and Northwest Europe marker/spot prices, adjusted to account for the fiscal year.</t>
  </si>
  <si>
    <t>Volume from USGS Mineral Yearbook 2012, adjusted to account for the fiscal year. Price from Kimberley Process Annual Summary 2009 and 2010, adjusted to account for the fiscal year.</t>
  </si>
  <si>
    <t>Williamson Diamonds Limited</t>
  </si>
  <si>
    <t>Bulyanhulu Gold Mine Limited, Pangea Minerals Limited, North Mara Gold Mine Limited, Geita Gold Mine Limited, Resolute (Tanzania) Limited, Shanta Mining Company Limited</t>
  </si>
  <si>
    <t>Volume from USGS Mineral Yearbook 2012, adjusted to account for the fiscal year. Price from USGS Mineral Yearbook 2010, and is the price in the US for crushed limestone, adjusted to account for the fiscal year and for the price given in the 2011 EITI Report being 1.48% of this in the fiscal year of 2010-11.</t>
  </si>
  <si>
    <t>Mbeya Cement Company Limited, Tanga Cement Company Limited, Tanzania Portland Cement Company Limited</t>
  </si>
  <si>
    <t>Volume from USGS Mineral Yearbook 2012, adjusted to account for the fiscal year. Price from USGS Mineral Commodity Summary 2013, and is the average f.o.b. mine and plant price for bulk, pellets and packaged vacuum and open pan salt, solar salt, rock salt and salt in brine, adjusted to account for the fiscal year.</t>
  </si>
  <si>
    <t>Seasalt Limited</t>
  </si>
  <si>
    <t>Volume from USGS Mineral Yearbook 2012, adjusted to account for the fiscal year. Price from the USGS Mineral Yearbook 2009 and 2010, and is the median of the year-end price range for cut tanzanite in the US, adjusted to account for the fiscal year and for the price given in the 2011 EITI Report being 3.21% of this in the fiscal year of 2010-11.</t>
  </si>
  <si>
    <t>Tanzanite One Mining Limited</t>
  </si>
  <si>
    <t>Others (inc. exploration of an unspecified mineral)</t>
  </si>
  <si>
    <t>Barrick Exploration Africa Limited, Mineral Extraction Technologies Limited, Tancan Mining Company Limited</t>
  </si>
  <si>
    <t>99.3% of revenue</t>
  </si>
  <si>
    <t>Etablissement Maurel et Prom, Orphir Tanzania Limited, Pan African Energy Tanzania Limited, Petrobras Tanzania Limited, Songas Limited, Statoil Tanzania AS, Tullow Tanzania B.V, Wentworth Gas Limited, Tanzania Petroleum Development Corporation (TPDC), BG International Limited, Beach Petroleum Tanzania Limited, Dominion Oil &amp; Gas Limited, Barrick Exploration Africa Limited,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 Tanzanite One Trading Limited, Williamson Diamonds Limited, Mantra Tanzania Limited, Bafex Tanzania Ltd, Tanzania American International, Canaco Tanzania Limited</t>
  </si>
  <si>
    <t>55-56</t>
  </si>
  <si>
    <t>The report covers the  financial year of 1 July 2010 to 30 June 2011. The report uses both US dollars and the local currency, the Tanzania shilling. Materiality threshold: all companies that paid more than TzS 150 million in the financial year should be reconciled. These companies accounted for 99.3% of total mining and petroleum revenues collected by Government.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also covers shareowners of companies, potential reserves, the values of companies' exports and gold export destinations.</t>
  </si>
  <si>
    <t>Etablissement Maurel et Prom, Orphir Tanzania Limited, Pan African Energy Tanzania Limited, Petrobras Tanzania Limited, Songas Limited, Statoil Tanzania AS, Tullow Tanzania B.V, Wentworth Gas Limited, Tanzania Petroleum Development Corporation (TPDC), BG International Limited, Beach Petroleum Tanzania Limited, Dominion Oil &amp; Gas Limited</t>
  </si>
  <si>
    <t>The price inferred from the reported volume and value of sales in the EITI Report (p21) is US$135.5/m³.</t>
  </si>
  <si>
    <t>Barrick Exploration Africa Limited,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Canaco Tanzania Limited</t>
  </si>
  <si>
    <t>US$/carats</t>
  </si>
  <si>
    <t>Volume from USGS Mineral Yearbook 2012, adjusted to account for the fiscal year. Price from EITI Report, and is based on the reported volume and value of exports.</t>
  </si>
  <si>
    <t>21, 55-56</t>
  </si>
  <si>
    <t>Tanzanite One Mining Limited, Tanzanite One Trading Limited</t>
  </si>
  <si>
    <t>Mantra Tanzania Limited</t>
  </si>
  <si>
    <t>Bafex Tanzania Ltd, Tanzania American International, Canaco Tanzania Limited</t>
  </si>
  <si>
    <t>99.79% of revenue</t>
  </si>
  <si>
    <t>Etablissement Maurel et Prom, Orphir Tanzania Limited, Pan African Energy Tanzania Limited, Petrobras Tanzania Limited, Songas Limited, Statoil Tanzania AS, Tullow Tanzania B.V, Wentworth Gas Limited, Tanzania Petroleum Development Corporation (TPDC), BG International Limited, Dominion Oil &amp; Gas Limited, Dominion TZ, BG Tanzania Ltd, Ndovu Resources Ltd, National Oil (Tanzania) Ltd, Ras Al Khaimah Gas Tanzania Ltd, Heritage Rukwa, Afren Gabon Ltd, Heritage Oil, Swala Energy,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Willy Enterprises, Mdn Tanzania Ltd, Geo Can Resources Co Ltd, State Mining Corporation, TOL Gases Ltd, Dhahabu Resources Tanzania Ltd, Minesite Tanzania Ltd, Maweni Limestone Ltd, Midwest Minerals Processor Ltd</t>
  </si>
  <si>
    <t>35-36</t>
  </si>
  <si>
    <t>The report covers the financial year of 1 July 2011 to 30 June 2012. The report uses both US dollars and the local currency, the Tanzania shilling. Materiality threshold: all companies that paid more than TzS 150 million in the financial year should be reconciled. These companies accounted for 99.79% of total mining and petroleum revenues collected by Government. The report doesn't distinguish between oil and gas producers, or provide comprehensive information on which commodities are produced by individual mining companies.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 Production in the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provides production volumes for some companies, but this is not comprehensive. The report also covers shareowners of companies, potential reserves, the values of some companies' exports, gold export destinations and social payments (on p55, but these do not appear to be included in the totals).</t>
  </si>
  <si>
    <t>Etablissement Maurel et Prom, Orphir Tanzania Limited, Pan African Energy Tanzania Limited, Petrobras Tanzania Limited, Songas Limited, Statoil Tanzania AS, Tullow Tanzania B.V, Wentworth Gas Limited, Tanzania Petroleum Development Corporation (TPDC), BG International Limited, Dominion Oil &amp; Gas Limited, Dominion TZ, BG Tanzania Ltd, Ndovu Resources Ltd, National Oil (Tanzania) Ltd, Ras Al Khaimah Gas Tanzania Ltd, Heritage Rukwa, Afren Gabon Ltd, Heritage Oil, Swala Energy</t>
  </si>
  <si>
    <t>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Willy Enterprises, Mdn Tanzania Ltd, Geo Can Resources Co Ltd, State Mining Corporation, TOL Gases Ltd, Dhahabu Resources Tanzania Ltd, Minesite Tanzania Ltd, Maweni Limestone Ltd, Midwest Minerals Processor Ltd</t>
  </si>
  <si>
    <t>Copper (contained in concentrates and dore)</t>
  </si>
  <si>
    <t>Volume from USGS Mineral Yearbook 2012, adjusted to account for the fiscal year. Price from World Bank (Global Economic Monitor (GEM) Commodities database) - defined as: Copper (LME), grade A, minimum 99.9935% purity, cathodes and wire bar shapes, settlement price - adjusted to account for the fiscal year.</t>
  </si>
  <si>
    <t>This commodity is not mentioned in the EITI Report, but its production is reported on in the USGS Mineral Yearbook 2012.</t>
  </si>
  <si>
    <t>Volume from USGS Mineral Yearbook 2012, adjusted to account for the fiscal year. Price from Kimberley Process Annual Summary 2011 and 2012, adjusted to account for the fiscal year.</t>
  </si>
  <si>
    <t>Garnet</t>
  </si>
  <si>
    <t>Volume from USGS Mineral Yearbook 2012, adjusted to account for the fiscal year. Price from the USGS Mineral Yearbook 2011 and 2012, and is the median of the year-end price range for cut rhodolite garnet in the US, adjusted to account for the fiscal year.</t>
  </si>
  <si>
    <t>10, 35-36</t>
  </si>
  <si>
    <t>Volume from USGS Mineral Yearbook 2012, adjusted to account for the fiscal year. Price from USGS Mineral Yearbook 2012, and is the price in the US for crushed limestone, adjusted to account for the fiscal year and for the price given in the 2011 EITI Report being 1.48% of this in the fiscal year of 2010-11.</t>
  </si>
  <si>
    <t>Volume from USGS Mineral Yearbook 2012, adjusted to account for the fiscal year. Price from the USGS Mineral Yearbook 2011 and 2012, and is the median of the year-end price range for cut tanzanite in the US, adjusted to account for the fiscal year and for the price given in the 2011 EITI Report being 3.21% of this in the fiscal year of 2010-11.</t>
  </si>
  <si>
    <t xml:space="preserve">Timor-Leste </t>
  </si>
  <si>
    <t>http://www.eiti.tl/</t>
  </si>
  <si>
    <t>ConocoPhillips (Emet) Pty Ltd, ConocoPhilips JPDA Pty Ltd, ConocoPhillps (03-13) Pty Ltd, ConocoPhillps (03-12) Pty Ltd, ConocoPhillips (Timor Sea) Pty Ltd, Conoco Phillips (03-19) Pty Ltd, PC (Timor Sea 06-102) Ltd, Santos JPDA (91-12) Pty Ltd, ENI JPDA 03-13 Limited, ENI Timor-Leste S.P.A (PSC 1-5), ENI JPDA 06-105 PTY LTD, Oilex (JPDA 06-103) Ltd, Tokyo Timor Sea Resource Pty Ltd, Inpex Sahul Co. Ltd, Woodside Petroleum (Timor Sea 19) Pty Ltd, Woodside Petroleum (Timor Sea 20) Pty Ltd, Reliance Exploration &amp; Production DMCC</t>
  </si>
  <si>
    <t>Materiality threshold: not given. The report does not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There was only one field in operation in 2008, Bayu Undan. This is operated by ConocoPhilips and is located in the JPDA. The state's share of revenue from this field is transferred to Timor-Leste and Australia in accordance with the Timor Sea Treaty (90% toTimor-Leste and 10% to Australia). The Government of Timor-Leste's entitlement to revenues derived from oil &amp; gas activities through production-sharing agreements accounted for 65% of its revenues from the sector in 2008.</t>
  </si>
  <si>
    <t>Materiality threshold: not given. The report does not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There were two fields in operation in 2009, Bayu Undan and Kitan. There was only one field in operation in 2008, Bayu Undan. These are operated by ConocoPhilips and Eni respectively and are both located in the JPDA. The state's share of revenue from these fields are transferred to Timor-Leste and Australia in accordance with the Timor Sea Treaty (90% toTimor-Leste and 10% to Australia). The Government of Timor-Leste's entitlement to revenues derived from oil &amp; gas activities through production-sharing agreements accounted for 63% of its revenues from the sector in 2009.</t>
  </si>
  <si>
    <t>Host government's production entitlement, Profits/Taxes, Licenses and concessions, Other significant benefits to government</t>
  </si>
  <si>
    <t>ConocoPhillips (03-12) Pty Ltd, ConocoPhillips JPDA Pty Ltd, ConocoPhillips (Timor Sea) Pty Ltd, ConocoPhillips (03-13) Pty Ltd, ConocoPhillips (Emet) Pty Ltd, ConocoPhillips (03-19) Pty Ltd, Eni JPDA 03-103 Limited, Eni JPDA 06-105 Pty Ltd, Eni Timor Leste SpA, Santos, Inpex Sahul, Tokyo Timor Sea Resources, Woodside Petroleum, Minza Oil &amp; Gas, Petronas, Oilex, Reliance Exploration &amp; Production, Talisman, Japan Energy E and P, AusAid</t>
  </si>
  <si>
    <t>http://eiti.org/files/Timor-Leste-2010-EITI-Report.pdf</t>
  </si>
  <si>
    <t>Materiality threshold: not given. The report does not comprehensively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 state's share of revenue from fields in the JPDA are transferred to Timor-Leste and Australia in accordance with the Timor Sea Treaty (90% to Timor-Leste and 10% to Australia). The state's entitlement to revenues derived from oil &amp; gas activities through production-sharing agreements accounted for 58% of government revenues from the sector in 2010. ConocoPhilips (as a whole) accounted for 61% of government revenues in 2010. The Timor-Leste Government set up a special Petroleum Fund in 2005 to facilitate the sustainable use of its revenues over the long term. Petroleum Fund assets reached $6.9 billion in 2010.</t>
  </si>
  <si>
    <t>Materiality threshold: not given. The report does not comprehensively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 state's share of revenue from fields in the JPDA are transferred to Timor-Leste and Australia in accordance with the Timor Sea Treaty (90% to Timor-Leste and 10% to Australia). The state's entitlement to revenues derived from oil &amp; gas activities through production-sharing agreements accounted for 61% of government revenues from the sector in 2011. ConocoPhilips (as a whole) accounted for 58% of government revenues in 2011.</t>
  </si>
  <si>
    <t>http://www.itietogo.org/</t>
  </si>
  <si>
    <t>MINING PRODUCTION: SNPT (state-owned), WACEM, MM Mining, Scantogo Mines. MINING EXPLORATION: G&amp;B African Resources, RRCC, Silverhill Enterprises Ltd, Global Merchants, Future Investment, Togo Minerals SA. PETROLEUM EXPLORATION: ENI Togo. QUARRY PRODUCTION ("EXPLOITATION DE ROCHE"): Togo Rail, Togo Carriere, Colas, ENCOTRA, CEMAT Industrie, EBOMAF. WATER SECTOR ("NAPPE SOUTERRAINE"): Voltic, BB/Eau Vitale, Horizon Oxygene Clever SARL, Societe Togolaise des Eaux (state-owned).</t>
  </si>
  <si>
    <t>27-30, 42, 66</t>
  </si>
  <si>
    <t>This report also included the water sector.  Note that some companies included in the report are involved in non-extractive sectors as well and the figures given in the report do not distinguish between extractive and non-extractive payments/receipts (see p.16, 21). The state receives no in-kind revenues (p.17). Voluntary social payments were reported unilaterally by companies and have been included in Total Payments by Companies.</t>
  </si>
  <si>
    <t xml:space="preserve">Mining totals include mineral production companies, mineral exploration companies and quarrying ("exploitation de roche") companies. </t>
  </si>
  <si>
    <t>Volume from USGS Mineral Yearbook 2012. Price from Kimberley Process Annual Summary 2010.</t>
  </si>
  <si>
    <t>Gravel</t>
  </si>
  <si>
    <t>Volume from EITI Report. Price from USGS Mineral Yearbook 2010, and is the price in the US for construction sand and gravel.</t>
  </si>
  <si>
    <t>This commodity is not mentioned in the USGS Mineral Yearbook 2012</t>
  </si>
  <si>
    <t>Phosphate rock (beneficiated)</t>
  </si>
  <si>
    <t>Water</t>
  </si>
  <si>
    <t>PETROLEUM: ENI Togo. NON-PETROLEUM PRODUCTION: WACEM, SNPT (state-owned), POMAR, SCANTOGO Mines, MM Mining, BB/Eau Vitale, TdE (state-owned), Voltic Togo, Horizon Oxygene Clever, Colas, Etoile de Golfe, EBOMAF, Togo Carriere, ENCOTRA, Togo Rail, Les Aigles, SATEM Sarlu, CEMAT, TGC SA. PRECIOUS METALS: WAFEX, Soltrans. EXPLORATION: Granutogo, RRCC, G&amp;B AR.</t>
  </si>
  <si>
    <t>27-29, 42</t>
  </si>
  <si>
    <t>This report also included the water sector.  Some companies included in the report are involved in non-extractive sectors as well; unlike in the 2010 EITI Report, 2011 totals only include extractive revenues, except in the case of Les Aigles (see p.18). The state receives no in-kind revenues (p.19). Most voluntary social payments were reported unilaterally by companies and have been included in Total Payments by Companies for a total of FCFA 66,749,775 (social payments by ENI Togo and SNPT were included in reconciliation and are not included in this total, see p.6). Subnational paid by companies to local governments (via central govt) were reported unilaterally by the central government and have been added to Total Received by Govt (FCFA 66,669,843); the governments unilaterally-reported revenues from companies not covered by the report (FCFA 9,105,360) were also included in Total Received by Govt. Unlike the 2010 report, reconciled figures were not presented in disaggregated form by sector, so total mining/oil/water figures are not given.</t>
  </si>
  <si>
    <t>Cement (hydraulic &amp; clinker)</t>
  </si>
  <si>
    <t>Volume from USGS Mineral Yearbook 2012. Price from Kimberley Process Annual Summary 2011.</t>
  </si>
  <si>
    <t>Volume from EITI Report. Price from USGS Mineral Yearbook 2012, and is the price in the US for construction sand and gravel.</t>
  </si>
  <si>
    <t>SNPT, WACEM, SCANTOGO Mines, MM Mining, POMAR, BB/Eau Vitale, Voltic Togo Sarl, ACI Togo, TdE, WAFEX, SOLTRANS, Granutogo, RRCC, SGM, G&amp;B African Resources, Global Merchants, GTOA Sarl, Les Aigles, Togo Rail, Etoile Du Golfe, COLAS, Togo Carrière, TGC SA, ADEOTI, MIDNIGHT SUN, SHEHU DAN FODIO, SILME-BTP Sarl</t>
  </si>
  <si>
    <t>Divergent production data between companies and state</t>
  </si>
  <si>
    <t>Phosphate</t>
  </si>
  <si>
    <t>Sand and Gravel</t>
  </si>
  <si>
    <t xml:space="preserve">Trinidad and Tobago </t>
  </si>
  <si>
    <t>http://www.tteiti.org.tt</t>
  </si>
  <si>
    <t>Trinidad and Tobago Dollar</t>
  </si>
  <si>
    <t>Amoco Trinidad Gas BV, Anadarko, Bayfield Energy (Galeota) Limited, Bayfield Energy Trinidad Ltd, BG International Ltd, BG Manatee Limited, BG Trinidad 5A Limited, BG Trinidad and Tobago Ltd, BG Trinidad Central Block Ltd, BG Trinidad EC Limited, BHP Billiton (Trinidad 3A) Limited, BHP Billiton Trinidad 2AB, BHP Billiton Trinidad 2C Ltd, BP EOC Trinidad Branch, BP Trinidad and Tobago LLC Trinidad Branch, Centrica (Horne &amp; Wren) Ltd , Centrica North Sea Gas Limited, Centrica North Sea Oil Limited,  Trinidad and Tobago  Centrica Group, Centrica Resources (Amada) Limited, Centrica Resources Ltd, Centrica Trinidad and Tobago Limited, Centrica Upstream Limited, Chaoyang Petroleum 2C Ltd, Chevron Texaco Trinidad &amp; Tobago Resources, Chevron Trinidad and Tobago Resources SRL, Elf Exploration Trinidad BV, ENI Trinidad &amp; Tobago Exploration, ENI Trinidad Limited, EOG Resources Trinidad Blk 4A Unlimited, EOG Resources Trinidad U(A) Block Limited, EOG Resources Trinidad Ltd, EOG Resources U(B) Block Ltd, Lease Operators Ltd, Mora Oil Ventures, The National Gas Company of Trinidad and Tobago, Niko Resources (Block 4B Caribbean) Limited, Niko Resources (Block 5C Caribbean)Limited, Niko Resources (Caribbean) limited, Niko Resources (NCMA2 Caribbean) Limited, Niko Resources (NCMA3 Caribbean) Limited, Niko Resources (Trinidad and Tobago Ltd), NSGP (Ensign) Ltd, Petroleum Company of Trinidad and Tobago Limited (Petrotin), Primera Block 3(B) limited, Primera Block 4(A) Limited, Primera East Brighton Limited, Primera Modified U(B) Limited, Primera Oil &amp; Gas Ltd, Primera Rock Dome Limited, Repsol E&amp;P T&amp;T Limited, Sonde Resources Corp, Ten Degrees North Operations Company Ltd, Total E&amp;P Trinidad Block 3A, Total E&amp;P Trinidad BV, Trintomar, Venture North Sea Gas Ltd, Voyager Energy (Trinidad) Ltd</t>
  </si>
  <si>
    <t>BDO Trinity Ltd/Hart-Nurse Group</t>
  </si>
  <si>
    <t>The report covers the fiscal year of 1 October 2010 to 30 September 2011. Materiality threshold: not given. The report doesn't comprehensively distinguish between oil and gas producers. Unilateral declarations do not appear to be included in the report. The report provides production volumes for some companies, but this is not comprehensive. It also provides production volumes for the country as a whole on a chart, but not actual amounts. The Petroleum Company of Trinidad and Tobago Limited (Petrotin) is a SOC involved in upstream activities, while The National Gas Company of Trinidad and Tobago is a SOC involved in midstream activities, purchasing, compressing, selling, transmitting and distributing natural gas to a crosssection of consumers including petrochemical, steel and power generation plants. The report also covers: downstream activites in the oil &amp; gas industry; export destinations; royalties received from quarries; expenditure of oil &amp; gas revenues, including the Heritage and Stabilisation Fund; extractive industries pricing mechanisms; which companies operate in each block (though there isn't comprehensive disaggregation of revenue to this level).</t>
  </si>
  <si>
    <t>Volume and price from BPSR 2014, adjusted to account for the fiscal year. Price is an average of the UK, US and Canada Indices for natural gas.</t>
  </si>
  <si>
    <t>Volume and price from BPSR 2014, adjusted to account for the fiscal year. Price is an average of the spot prices for Brent, Dubai, Nigerian Forcados and West Texas Intermediate crude oil.</t>
  </si>
  <si>
    <t xml:space="preserve">Yemen </t>
  </si>
  <si>
    <t>http://www.yemeneiti.org/english/</t>
  </si>
  <si>
    <t>Volume from BPSR 2014. Price from EITI Report, and is based on the volume and value of payments made in-kind.</t>
  </si>
  <si>
    <t>Host government's production entitlement, State-owned company production entitlement, Bonuses, Other significant benefits to government</t>
  </si>
  <si>
    <t>89,700,742 bbl of oil</t>
  </si>
  <si>
    <t>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t>
  </si>
  <si>
    <t xml:space="preserve">Materiality threshold: Not given. Unilateral declarations are not included. The report doesn't indicate how the value of payments in-kind are calculated, though does include a reconciliation of the volumes of crude oil received by the Government which are then exported or transferred to government refineries. Safer E&amp;P Operation Company and Yemen Company For Investment In Oil And Minerals are both SOCs. </t>
  </si>
  <si>
    <t>89,425,150 bbl of oil</t>
  </si>
  <si>
    <t>72,952,303 bbl of oil</t>
  </si>
  <si>
    <t>Also covers payments made in-kind (though only the Government reports on the value of this)</t>
  </si>
  <si>
    <t>100% of production</t>
  </si>
  <si>
    <t>73,251,000 bbl of oil</t>
  </si>
  <si>
    <t>24, 35</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</si>
  <si>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is calculated, though does include a reconciliation of the volumes of crude oil received by the Government which are then exported or transferred to government refineries. Safer E&amp;P Operation Company and Yemen Company For Investment In Oil And Minerals (YCOM) are both SOCs. Although the report disagggregates financial flows by company, it does not do this for payments in-kind. The report also provides: information on the mining sector; a list of companies operating in each oil block.</t>
  </si>
  <si>
    <t>59,845,000 bbl of oil</t>
  </si>
  <si>
    <t>25, 37</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</si>
  <si>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is calculated, though does include a reconciliation of the volumes of crude oil received by the Government which are then exported or transferred to government refineries. Safer E&amp;P Operation Company and Yemen Company For Investment In Oil And Minerals (YCOM) are both SOCs. The report also provides: information on the mining sector; a list of companies operating in each oil block.</t>
  </si>
  <si>
    <t>Disaggregated by revenue stream, Disaggregated by commodity, Disaggregated by commodity and revenue stream</t>
  </si>
  <si>
    <t>61,690,000 bbl of oil</t>
  </si>
  <si>
    <t>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 Yemen Liquefied Natural Gas (YLNG)/Yemen Gas Company</t>
  </si>
  <si>
    <t>26, 28, 39</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</si>
  <si>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are calculated, though does include a reconciliation of the volumes of crude oil received by the Government which are then exported or transferred to government refineries. Although the Government is entitled to a share of the gas produced, this is settled in cash. YLNG is a joint venture between Yemen Gas Company, a SOC,  and international companies, including Total, Hunt, SK Innovation, Koreas Gas Corporation, Hyundai Corporation and The General Authority for Social Security and Pensions. Exports of Liquefied Natural Gas by YLNG in 2010, its first year of production, were 186.8 billion cubic feet. Safer E&amp;P Operation Company and Yemen Company For Investment In Oil And Minerals (YCOM) are also SOCs. The report also provides: information on the mining sector; a list of companies operating in each oil block.</t>
  </si>
  <si>
    <t>Volume from BPSR 2014</t>
  </si>
  <si>
    <t>Yemen Liquefied Natural Gas (YLNG)/Yemen Gas Company</t>
  </si>
  <si>
    <t>26, 39</t>
  </si>
  <si>
    <t>46,961,000 bbl of oil</t>
  </si>
  <si>
    <t>YLNG, Safer (Block 18), Petro Masila (Block 14), YICOM (Block 4), KNOC (Block 4), Total (Block 10), DNO Yemen (Block 32), DNO Yemen (Block 43), DNO Yemen (Block 47), Dove Energy Yemen Limited (Block 53), Jannah Hunt (Block 5), Canadian Nexen Petroleum Yemen (Block 14), Canadian Nexen Petroleum East Al Hajr Ltd (block 51), Occidental of Yemen (Block S-1 Inc), Calvalley Petroleum (Cyprus) Ltd (Block 9), OMV (Yemen Block S2) Exploration GMBH, Sincopec (Block 1), Sincopec (Block 69), Sincopec (Block 71), OMV (Block 2), OMV (Block 29), Oil Search (Block 3), Oil Search (Block 71), Gallo Oil (Block 13), Gallo Oil (Block R2), GSPC (Block 19), GSPC (Block 28), GSPC (Block 57), CCC (Block 33), CCC (Block 45), Reliance (Block 34), Reliance (Block 37), Kuwait Energy (Block 49), Midas (Block 68), Total (Block 70), DNO (Block 72), Occidental (Block 75), Medco (Block 82), Medco (Block 83), Total (Block 72)</t>
  </si>
  <si>
    <t>39, 40, 47</t>
  </si>
  <si>
    <t>Materiality threshold: companies that are in production should be reconciled. Unilateral declarations are included. Some revenue streams which companies weren't requested to provide information for are reported on, but this is in an appendix which is not available on either the International or National website. Both Government and the companies report on the volume of oil received by Government as payment in-kind, but only Government reports the value of this. The report doesn't indicate how the value of payments in-kind are calculated, though does include a reconciliation of the volumes of crude oil received by the Government which are then exported or transferred to government refineries. Although the Government is entitled to a share of the gas produced, this is settled in cash. YLNG is a joint venture between Yemen Gas Company, a SOC, and international companies, including Total, Hunt, SK Innovation, Koreas Gas Corporation, Hyundai Corporation and The General Authority for Social Security and Pensions. Exports of Liquefied Natural Gas by YLNG in 2011 were 309.4 billion cubic feet. Safer E&amp;P Operation Company and Yemen Company For Investment In Oil And Minerals (YCOM) are also SOCs. Total Government income from the oil, gas and mining sectors in 2011 was US$5,683,499,532. Income from the mining sector accounts for, at most, 0.4% of this. Though it is not included in the reconciliation, the report provides information on the mining sector. Although the main report provides a disagggregation financial flows by company and project, it does not do this for payments in-kind. It appears this is provided in the appendix. The appendix also includes production by project.</t>
  </si>
  <si>
    <t>YLNG</t>
  </si>
  <si>
    <t>Safer (Block 18), Petro Masila (Block 14), YICOM (Block 4), KNOC (Block 4), Total (Block 10), DNO Yemen (Block 32), DNO Yemen (Block 43), DNO Yemen (Block 47), Dove Energy Yemen Limited (Block 53), Jannah Hunt (Block 5), Canadian Nexen Petroleum Yemen (Block 14), Canadian Nexen Petroleum East Al Hajr Ltd (block 51), Occidental of Yemen (Block S-1 Inc), Calvalley Petroleum (Cyprus) Ltd (Block 9), OMV (Yemen Block S2) Exploration GMBH, Sincopec (Block 1), Sincopec (Block 69), Sincopec (Block 71), OMV (Block 2), OMV (Block 29), Oil Search (Block 3), Oil Search (Block 71), Gallo Oil (Block 13), Gallo Oil (Block R2), GSPC (Block 19), GSPC (Block 28), GSPC (Block 57), CCC (Block 33), CCC (Block 45), Reliance (Block 34), Reliance (Block 37), Kuwait Energy (Block 49), Midas (Block 68), Total (Block 70), DNO (Block 72), Occidental (Block 75), Medco (Block 82), Medco (Block 83), Total (Block 72)</t>
  </si>
  <si>
    <t>39, 47</t>
  </si>
  <si>
    <t xml:space="preserve">Zambia </t>
  </si>
  <si>
    <t>http://www.zambiaeiti.org</t>
  </si>
  <si>
    <t>Zambian Kwacha</t>
  </si>
  <si>
    <t>Albidon Zambia Limited, Chambeshi Metals Plc, Chibuluma Mines Plc, CNMC - Luanshya Copper Mines, Kagem Mining Limited, Kansanshi Mining Plc, Konkola Copper Mines Plc, Lafarge Cement Zambia Plc, Lumwana Mining Limited, Maamba Colleries Limited, Mopani Copper Mines Plc, Ndola Lime Limited, NFC Africa Mining Plc, Sino Leach Metals Limited, Grizzly Mining Limited, Zambia Consolidated Copper Mines – Investment Holdings Plc</t>
  </si>
  <si>
    <t>PriceWaterhouseCoopers</t>
  </si>
  <si>
    <t xml:space="preserve">Materiality threshold: all companies with large scale mining licences operational in 2008 that paid over K200 million in mineral royalties in 2008 should be reconciled. Zambia Consolidated Copper Mines – Investment Holdings Plc (ZCCM-IH) is also included even though it does not meet this criteria as the state owns 87.6% of it. ZCCM-IH receives dividends from companies it holds equity in, and 'price participation fees' (when commodity prices go above an agreed price) from companies which bought the mines ZCCM-IH previously operated. The companies ZCCM-IH holds equity in include Chambishi Metals Plc, Equinox Minerals (owner of Lumwana Mining Limited), Ndola Lime Limited, Chibuluma Mines Plc, Kansanshi Mining Plc, Konkola Copper Mines Plc, Luanshya Copper Mines Plc, Mopani Copper Mines Plc and NFC Africa Mining Plc. Disaggregation by commodity is only indirect through disaggregation by company, and therefore limited. Resolved discrepancies are not included in the final figures, but there is insufficent information to add these retrospectively. Unilateral declarations are included in these pre-adjustment figures, as are the two revenue streams paid to ZCCM-IH (these are not included in the post-adjustment figures as they are not necessarily then remitted in full to the Government with Government only receiving dividends from ZCCM-IH and any remittance of profits being equitable to all shareholders). Production volumes for the major mines are given in the 2010 report. </t>
  </si>
  <si>
    <t>Maamba Colleries Limited</t>
  </si>
  <si>
    <t>Appendix 4</t>
  </si>
  <si>
    <t>Volume from USGS Mineral Yearbook 2012. Price from USGS Mineral Yearbook 2012, and is the average U.S. spot price for minimum 99.8% cobalt cathode reported by Platts Metals Week, adjusted to account for the prices given in the 2010-2011 EITI Reports being an average 79.24% of this in 2010-2011.</t>
  </si>
  <si>
    <t>Chambeshi Metals Plc, Mopani Copper Mines Plc</t>
  </si>
  <si>
    <t>o/w Cobalt content in mine output</t>
  </si>
  <si>
    <t>Chambeshi Metals Plc, Chibuluma Mines Plc, CNMC - Luanshya Copper Mines, Kansanshi Mining Plc, Konkola Copper Mines Plc, Lumwana Mining Limited, Mopani Copper Mines Plc, NFC Africa Mining Plc, Sino Leach Metals Limited</t>
  </si>
  <si>
    <t>Gemstones</t>
  </si>
  <si>
    <t>Kagem Mining Limited, Grizzly Mining Limited</t>
  </si>
  <si>
    <t>o/w Amethyst</t>
  </si>
  <si>
    <t>Volume from USGS Mineral Yearbook 2012. Price from the USGS Mineral Yearbook 2008, and is the median of the price range for cut amethyst in the US.</t>
  </si>
  <si>
    <t>o/w Beryl</t>
  </si>
  <si>
    <t>o/w Emerald</t>
  </si>
  <si>
    <t>Volume from USGS Mineral Yearbook 2012. Price from the USGS Mineral Yearbook 2008, and is the median of the price range for cut emerald in the US.</t>
  </si>
  <si>
    <t>o/w Tourmaline</t>
  </si>
  <si>
    <t>Volume from USGS Mineral Yearbook 2012. Price from the USGS Mineral Yearbook 2008, and is the average of the medians of the year-end price ranges for cut green and pink tourmaline in the US.</t>
  </si>
  <si>
    <t>Kansanshi Mining Plc</t>
  </si>
  <si>
    <t>Lead (metal, secondary)</t>
  </si>
  <si>
    <t>Volume from USGS Mineral Yearbook 2012. Price from World Bank (Global Economic Monitor (GEM) Commodities database), and is defined as: Lead (LME), refined, 99.97% purity, settlement price.</t>
  </si>
  <si>
    <t>Lafarge Cement Zambia Plc, Ndola Lime Limited</t>
  </si>
  <si>
    <t>Nickel (nickel content of concentrates)</t>
  </si>
  <si>
    <t>Albidon Zambia Limited</t>
  </si>
  <si>
    <t>99.8% of revenue</t>
  </si>
  <si>
    <t>Aggregates Ltd, Albidon Zambia Limited, BHP Billiton World Exploration Inc, Chambishi Metals Plc, Chambishi Copper Smelter Ltd, Chibuluma Mines Plc, CNMC - Luanshya Copper Mines, Denison Mines Zambia Ltd, First Quantum Mining And Operations Ltd, Gemfields Holdings Zambia Ltd, Grizzly Mining Limited, Kagem Mining Limited, Kansanshi Mining Plc, Kariba Minerals Ltd, Konkola Copper Mines Plc, Lafarge Cement Zambia Plc, Lumwana Mining Limited, Maamba Colleries Limited, Mopani Copper Mines Plc, Ndola Lime Limited, NFC Africa Mining Plc, Scirocco Enterprises Ltd, San He Zambia Ltd, Sino-Metals Leach Limited, Teal Zambia Ltd, Universal Mining &amp; Chemical Industries Ltd, Zambian Goldcommon Resources Holdings Ltd, Zambia Consolidated Copper Mines – Investment Holdings Plc</t>
  </si>
  <si>
    <t>5, 39</t>
  </si>
  <si>
    <t>Materiality threshold: Companies that made a payment of at least 500,000,000ZMK in 2009 should be reconciled. These companies accounted for 99.8% of total mining revenues collected by the Zambia Revenue Authority. Four of these companies are excluded however as they are contractors and do not mining licenses. Zambia Consolidated Copper Mines – Investment Holdings Plc (ZCCM-IH) is included as the state owns 87.6% of it. The companies ZCCM-IH holds equity in include Chambishi Metals Plc, Equinox Minerals (owner of Lumwana Mining Limited), Ndola Lime Limited, Chibuluma Mines Plc, Kansanshi Mining Plc, Konkola Copper Mines Plc, Luanshya Copper Mines Plc, Mopani Copper Mines Plc and NFC Africa Mining Plc. Unilateral declarations are included in the figures, including unreconciled social payments and transfers of $34,593,277 that companies were asked to voluntarily report on. The report doesn't provide comprehensive information on which commodities are produced by individual mining companies. The report provides production volumes for some companies, but this is not comprehensive. Production volumes for the major mines are given in the 2010 report. The report also includes company payments to ZCCM-IH, though these are not fully remitted to Government.</t>
  </si>
  <si>
    <t>Amethyst</t>
  </si>
  <si>
    <t>Volume from USGS Mineral Yearbook 2012. Price from the USGS Mineral Yearbook 2009, and is the median of the price range for cut amethyst in the US.</t>
  </si>
  <si>
    <t>Production volumes declared by extractive companies p.37 and 38</t>
  </si>
  <si>
    <t>Beryl</t>
  </si>
  <si>
    <t>Emerald</t>
  </si>
  <si>
    <t>Volume from USGS Mineral Yearbook 2012. Price from the USGS Mineral Yearbook 2009, and is the median of the price range for cut emerald in the US.</t>
  </si>
  <si>
    <t>Manganese Ore</t>
  </si>
  <si>
    <t>Albidon Zambia Limited, BHP Billiton World Exploration Inc, Chambishi Metals Plc, Chambishi Copper Smelter Ltd, Chibuluma Mines Plc, CNMC - Luanshya Copper Mines, First Quantum Mining And Operations Ltd, Kagem Mining Limited, Kansanshi Mining Plc, Konkola Copper Mines Plc, Lafarge Cement Zambia Plc, Lumwana Mining Limited, Maamba Colleries Limited, Mopani Copper Mines Plc, Ndola Lime Limited, NFC Africa Mining Plc, Scirocco Enterprises Ltd, San He Zambia Ltd, Sino-Metals Leach Limited, Zambezi Portland Cement Limited, Zambian Nonferrous Metals Exploration &amp; Con Co Ltd, Zambia Consolidated Copper Mines – Investment Holdings Plc</t>
  </si>
  <si>
    <t xml:space="preserve">Hart Nurse Ltd &amp; Baker Tilly Meralis </t>
  </si>
  <si>
    <t>Materiality threshold: Companies that made a payment of at least 2,500,000,000ZMK in 2010 should be reconciled. Zambia Consolidated Copper Mines – Investment Holdings Plc (ZCCM-IH) is also included as the state owns 87.6% of it. These companies accounted for 99.6% of total mining revenues collected by the Zambia Revenue Authority. The report doesn't provide comprehensive information on which commodities are produced by individual mining companies. Unilateral declarations do not appear to be included in the figures. The report also includes: production volumes of some companies; the value of exports of some commodities; information on ZCCM-IH's shareholdings; company payments to ZCCM-IH (these are not fully remitted to Government); information on the Environmental Protection Fund; a listing of licenses for each company (though there isn't disaggregation of revenue to this level).</t>
  </si>
  <si>
    <t>Volume from USGS Mineral Yearbook 2012. Price from the USGS Mineral Yearbook 2010, and is the median of the price range for cut amethyst in the US.</t>
  </si>
  <si>
    <t>Price from 2011 EITI Report</t>
  </si>
  <si>
    <t>Volume from USGS Mineral Yearbook 2012. Price from the USGS Mineral Yearbook 2010, and is the median of the price range for cut emerald in the US.</t>
  </si>
  <si>
    <t>Manganese ore</t>
  </si>
  <si>
    <t>Albidon Zambia Limited, BHP Billiton World Exploration Inc, Chambishi Metals Plc, Chambishi Copper Smelter Ltd, Chibuluma Mines Plc, CNMC - Luanshya Copper Mines, First Quantum Mining And Operations Ltd, Grizzly Mining Limited, Kagem Mining Limited, Kalumbila Minerals Limited, Kansanshi Mining Plc, Konkola Copper Mines Plc, Lafarge Cement Zambia Plc, Lubambe Copper Mines Limited, Lumwana Mining Limited, Maamba Colleries Limited, Mopani Copper Mines Plc, Ndola Lime Limited, NFC Africa Mining Plc, Sable Zinc Kabwe Limited, Scirocco Enterprises Ltd, San He Zambia Ltd, Sino-Metals Leach Limited, Universal Mining and Chemical INdustries Ltd, Zambian Nonferrous Metals Exploration &amp; Con Co Ltd, Zambia Consolidated Copper Mines – Investment Holdings Plc</t>
  </si>
  <si>
    <t>Materiality threshold: Companies that made a payment of at least 2,000,000,000ZMK in 2011 should be reconciled. These companies accounted for 99.8% of total mining revenues collected by the Zambia Revenue Authority. Zambia Consolidated Copper Mines – Investment Holdings Plc (ZCCM-IH) is also included as the state owns 87.6% of it. ZCCM-IH is now also classified as a government entity, unlike previous reports. Unilateral declarations are included in the figures, mainly company payments including unreconciled social payments and transfers of $22,018,519 that companies were asked to voluntarily report on ($15,165,226 of this were payments in-kind). The report doesn't provide comprehensive information on which commodities are produced by individual mining companies. The report also includes: the production volume of some companies; the value of exports of some commodities; information on ZCCM-IH's shareholdings; company shareholdings; a listing of licenses for each company (though there isn't disaggregation of revenue to this level); a list of oil and gas companies. 5 companies contributed approximately 88% of total Government mining revenues in 2011, while Kansanchi Mining Plc on its own accounts for almost 56%.</t>
  </si>
  <si>
    <t>Volume from USGS Mineral Yearbook 2012. Price from the USGS Mineral Yearbook 2011, and is the median of the price range for cut amethyst in the US.</t>
  </si>
  <si>
    <t>Price from EITI Report</t>
  </si>
  <si>
    <t>18, 27</t>
  </si>
  <si>
    <t>Volume from USGS Mineral Yearbook 2012. Price from the USGS Mineral Yearbook 2011, and is the median of the price range for cut emerald in the US.</t>
  </si>
  <si>
    <t>Sand &amp; gravel (construction)</t>
  </si>
  <si>
    <t>EITI report</t>
  </si>
  <si>
    <t>Kansanshi Mining Plc, Konkola Copper Mines Plc, First Quantum Mining And Operations Ltd-Bm M S, Mopani Copper Mines Plc, Lumwana Mining Company Limited, Chibuluma Mines Plc, Lafarge Cement Zambia Plc, Nfc Africa Mining Plc, Kagem Mining Limited ,Cnmc Luanshya Copper Mines Plc, Zambezi Portland Cement Limited (*), Lions Group Quarries Limited (*), Scirocco Enterprises Limited, Lubambe Copper Mine Limited, Chambishi Metals Plc, Sino-Metals Leach Zambia Ltd, Ndola Lime Company Limited, Maamba Collieries Limited, San He (Zambia) Limited, Sable Zinc Kabwe Limited, Albidon Zambia Limited, Kalumbila Minerals Limited, Grizzly Mining Limited, Dolomite Aggregates Limited(*), Universal Mining &amp; Chemical Industries Limited, Chambishi Copper Smelter Limited, Denison Mines Zambia Limited (*), Bhp Billiton World Exploration Inc, Zambian Nonferrous Metals Exploration &amp; Con Co Ltd</t>
  </si>
  <si>
    <t>11 March 2015</t>
  </si>
  <si>
    <t>Company payments differ from website. Missing production values.</t>
  </si>
  <si>
    <t>Troy oz</t>
  </si>
  <si>
    <t>Pyrite</t>
  </si>
  <si>
    <t>Phylite</t>
  </si>
  <si>
    <t>Shale/Phylite</t>
  </si>
  <si>
    <t>Emerald/Premium</t>
  </si>
  <si>
    <t>Emerald/Rough stones</t>
  </si>
  <si>
    <t>Beryl-l</t>
  </si>
  <si>
    <t>Beryl-ll</t>
  </si>
  <si>
    <t>Specimen</t>
  </si>
  <si>
    <t>Fines</t>
  </si>
  <si>
    <t>Hydrated Lime</t>
  </si>
  <si>
    <t>Quicklime</t>
  </si>
  <si>
    <t>Kansanshi Mining PLC., Konkola Copper Mines PLC., First Quantum Mining And Operations LTD., Mopani Copper Mines PLC., Lumwana Mining Company LTD., Chibuluma Mines PLC., Lafarge Cement Zambia PLC., NFC Africa Mining PLC., Kagem Mining LTD., CNMC Luanshya Copper Mines PLC., Zambezi Portland Cement LTD., Lions Group Quarries LTD., Scirocco Enterprises LTD., Lubambe Copper Mine LTD., Chambishi Metals PLC., Sino-Metals Leach Zambia LTD., Ndola Lime Company LTD., Maamba Collieries LTD., San He (Zambia) LTD., Sable Zinc Kabwe LTD., Albidon Zambia LTD., Kalumbila Minerals LTD., Grizzly Mining LTD., Dolomite Aggregates LTD., Universal Mining &amp; Chemical Industries LTD., Chambishi Copper Smelter LTD., Denison Mines Zambia LTD., BHP Billiton World Exploration Inc., Zambian Nonferrous Metals Exploration &amp; Con Co LTD., ZCCM-IH</t>
  </si>
  <si>
    <t>Exchange rate differs from EITI website. Company payments differ from website</t>
  </si>
  <si>
    <t>Phylilite</t>
  </si>
  <si>
    <t>Emerald/Rough Stones</t>
  </si>
  <si>
    <t>Beryl-I</t>
  </si>
  <si>
    <t>Beryl-II</t>
  </si>
  <si>
    <t>Aggregate</t>
  </si>
  <si>
    <t>Year</t>
  </si>
  <si>
    <t>Name of Project</t>
  </si>
  <si>
    <t>Commodity Type</t>
  </si>
  <si>
    <t>EITI Production Volumes</t>
  </si>
  <si>
    <t>Unit</t>
  </si>
  <si>
    <t>Name of Companies Operating the Project</t>
  </si>
  <si>
    <t>Payments Received by Government (US$)</t>
  </si>
  <si>
    <t>Payments Made by Companies (US$)</t>
  </si>
  <si>
    <t>Jubilee Field</t>
  </si>
  <si>
    <t>bbls</t>
  </si>
  <si>
    <t>Tullow Ghana Limited (Operator and holder of 34.7% interest)</t>
  </si>
  <si>
    <t>Kosmos Energy (23.5%)</t>
  </si>
  <si>
    <t>Anadarko Petroleum (23.5%)</t>
  </si>
  <si>
    <t>Ghana National Petroleum Company (13.8%)</t>
  </si>
  <si>
    <t>Sabre Oil &amp; Gas (2.8%)</t>
  </si>
  <si>
    <t>E.O. Group (1.7%)</t>
  </si>
  <si>
    <t>Tullow Ghana Limited (Operator and holder of 35.5% interest)</t>
  </si>
  <si>
    <t>19, 21</t>
  </si>
  <si>
    <t>Kosmos Energy (24%)</t>
  </si>
  <si>
    <t>Anadarko Petroleum (24%)</t>
  </si>
  <si>
    <t>Ghana National Petroleum Company (13.6%)</t>
  </si>
  <si>
    <t>Sabre Oil &amp; Gas (2.7%)</t>
  </si>
  <si>
    <t>Rokan</t>
  </si>
  <si>
    <t>Oil/Gas</t>
  </si>
  <si>
    <t>PT Chevron Pacific Indonesia</t>
  </si>
  <si>
    <t>6.4/1</t>
  </si>
  <si>
    <t>East Kalimantan</t>
  </si>
  <si>
    <t>Chevron Indonesia Company</t>
  </si>
  <si>
    <t>6.4/2</t>
  </si>
  <si>
    <t>Makassar Strait</t>
  </si>
  <si>
    <t>Chevron Makassar Ltd.</t>
  </si>
  <si>
    <t>6.4/3</t>
  </si>
  <si>
    <t>Siak</t>
  </si>
  <si>
    <t>Chevron Siak Inc.</t>
  </si>
  <si>
    <t>6.4/4</t>
  </si>
  <si>
    <t>MFK</t>
  </si>
  <si>
    <t>Chevron Mountain Front Kuantan Inc.</t>
  </si>
  <si>
    <t>6.4/5</t>
  </si>
  <si>
    <t>Mahakam</t>
  </si>
  <si>
    <t>Total E&amp;P Indonesie</t>
  </si>
  <si>
    <t>6.4/6</t>
  </si>
  <si>
    <t>Inpex Corporation</t>
  </si>
  <si>
    <t>6.4/7</t>
  </si>
  <si>
    <t>South Natuna Sea B</t>
  </si>
  <si>
    <t>ConocoPhillips Indonesia Inc. Ltd.</t>
  </si>
  <si>
    <t>6.4/8</t>
  </si>
  <si>
    <t>Corridor</t>
  </si>
  <si>
    <t>ConocoPhillips (Grissik) Ltd.</t>
  </si>
  <si>
    <t>6.4/9</t>
  </si>
  <si>
    <t>South Jambi B</t>
  </si>
  <si>
    <t>ConocoPhillips (South Jambi) Ltd.</t>
  </si>
  <si>
    <t>6.4/10</t>
  </si>
  <si>
    <t>Indonesia (Nation-wide)</t>
  </si>
  <si>
    <t>PT Pertamina EP</t>
  </si>
  <si>
    <t>6.4/11</t>
  </si>
  <si>
    <t>Sanga-Sanga</t>
  </si>
  <si>
    <t>Virginia Indonesia Co.</t>
  </si>
  <si>
    <t>6.4/12</t>
  </si>
  <si>
    <t>North Sumatra Offshore</t>
  </si>
  <si>
    <t>Mobil Expl. Indo (NSO) Inc.</t>
  </si>
  <si>
    <t>6.4/13</t>
  </si>
  <si>
    <t>B Block</t>
  </si>
  <si>
    <t>ExxonMobil Oil Indonesia Inc.</t>
  </si>
  <si>
    <t>6.4/14</t>
  </si>
  <si>
    <t>Cepu</t>
  </si>
  <si>
    <t>Mobil Cepu Ltd.</t>
  </si>
  <si>
    <t>6.4/15</t>
  </si>
  <si>
    <t>Pase</t>
  </si>
  <si>
    <t>Mobil Pase Inc.</t>
  </si>
  <si>
    <t>6.4/16</t>
  </si>
  <si>
    <t>South East Sumatera</t>
  </si>
  <si>
    <t>CNOOC SES Ltd.</t>
  </si>
  <si>
    <t>6.4/17</t>
  </si>
  <si>
    <t>Coastal Plains Pekanbaru</t>
  </si>
  <si>
    <t>PT Bumi Siak Pusako</t>
  </si>
  <si>
    <t>6.4/18</t>
  </si>
  <si>
    <t>West Madura</t>
  </si>
  <si>
    <t>PT Pertamina Hulu Energi West Madura</t>
  </si>
  <si>
    <t>6.4/19</t>
  </si>
  <si>
    <t>Kodeco Energy Co., Ltd.</t>
  </si>
  <si>
    <t>6.4/44</t>
  </si>
  <si>
    <t>Tuban</t>
  </si>
  <si>
    <t>PT Pertamina Hulu Energi East Java</t>
  </si>
  <si>
    <t>6.4/20</t>
  </si>
  <si>
    <t>PetroChina East Java</t>
  </si>
  <si>
    <t>6.4/26</t>
  </si>
  <si>
    <t>Ogan Komering</t>
  </si>
  <si>
    <t>PT Pertamina Hulu Energi Ogan Komering</t>
  </si>
  <si>
    <t>6.4/21</t>
  </si>
  <si>
    <t>Talisman (Ogan Komering) Ltd.</t>
  </si>
  <si>
    <t>6.4/46</t>
  </si>
  <si>
    <t>Kepala Burung</t>
  </si>
  <si>
    <t>PT Pertamina Hulu Energi Salawati</t>
  </si>
  <si>
    <t>6.4/22</t>
  </si>
  <si>
    <t>PetroChina International Salawati Ltd</t>
  </si>
  <si>
    <t>6.4/27</t>
  </si>
  <si>
    <t>Senoro - Toili, Sulawesi</t>
  </si>
  <si>
    <t>PT Pertamina Hulu Energi Tomori Sulawesi</t>
  </si>
  <si>
    <t>6.4/23</t>
  </si>
  <si>
    <t>PT Medco E&amp;P Tomori Sulawesi</t>
  </si>
  <si>
    <t>6.4/37</t>
  </si>
  <si>
    <t>Raja</t>
  </si>
  <si>
    <t>PT Pertamina Hulu Energi Raja Tempirai</t>
  </si>
  <si>
    <t>6.4/24</t>
  </si>
  <si>
    <t>Golden Spike Ltd.</t>
  </si>
  <si>
    <t>6.4/51</t>
  </si>
  <si>
    <t>Jabung</t>
  </si>
  <si>
    <t>PetroChina International Jabung Ltd.</t>
  </si>
  <si>
    <t>6.4/25</t>
  </si>
  <si>
    <t>Salawati Basin</t>
  </si>
  <si>
    <t>PetroChina International (Bermuda) Ltd.</t>
  </si>
  <si>
    <t>6.4/28</t>
  </si>
  <si>
    <t>Bangko</t>
  </si>
  <si>
    <t>PetroChina International Bangko Ltd.</t>
  </si>
  <si>
    <t>6.4/29</t>
  </si>
  <si>
    <t>Offshore Northwest Java</t>
  </si>
  <si>
    <t>Pertamina Hulu Energi ONWJ Ltd.</t>
  </si>
  <si>
    <t>6.4/30</t>
  </si>
  <si>
    <t>Berau</t>
  </si>
  <si>
    <t>BP Berau Ltd.</t>
  </si>
  <si>
    <t>6.4/31</t>
  </si>
  <si>
    <t>Muturi</t>
  </si>
  <si>
    <t>BP Muturi Ltd.</t>
  </si>
  <si>
    <t>6.4/32</t>
  </si>
  <si>
    <t>Wiriagar</t>
  </si>
  <si>
    <t>BP Wiriagar Ltd.</t>
  </si>
  <si>
    <t>6.4/33</t>
  </si>
  <si>
    <t>Barisan Rimau</t>
  </si>
  <si>
    <t>PT Medco E&amp;P Rimau</t>
  </si>
  <si>
    <t>6.4/34</t>
  </si>
  <si>
    <t>South &amp; Central Sumatra</t>
  </si>
  <si>
    <t>PT Medco E&amp;P Indonesia</t>
  </si>
  <si>
    <t>6.4/35</t>
  </si>
  <si>
    <t>Tarakan</t>
  </si>
  <si>
    <t>PT Medco E&amp;P Tarakan</t>
  </si>
  <si>
    <t>6.4/36</t>
  </si>
  <si>
    <t>Lematang</t>
  </si>
  <si>
    <t>PT Medco E&amp;P Lematang</t>
  </si>
  <si>
    <t>6.4/38</t>
  </si>
  <si>
    <t>Natuna Sea - A</t>
  </si>
  <si>
    <t>Premier Oil Natuna SEA BV</t>
  </si>
  <si>
    <t>6.4/39</t>
  </si>
  <si>
    <t>Malacca Strait</t>
  </si>
  <si>
    <t>Kondur Petroleum S.A</t>
  </si>
  <si>
    <t>6.4/40</t>
  </si>
  <si>
    <t>Kangean</t>
  </si>
  <si>
    <t>Kangean Energy Indonesia Ltd.</t>
  </si>
  <si>
    <t>6.4/41</t>
  </si>
  <si>
    <t>Korinci</t>
  </si>
  <si>
    <t>Kalila (Korinci) Ltd.</t>
  </si>
  <si>
    <t>6.4/42</t>
  </si>
  <si>
    <t>Brantas</t>
  </si>
  <si>
    <t>Lapindo Brantas Inc.</t>
  </si>
  <si>
    <t>6.4/43</t>
  </si>
  <si>
    <t>Kakap</t>
  </si>
  <si>
    <t>Star Energy Kakap Ltd.</t>
  </si>
  <si>
    <t>6.4/45</t>
  </si>
  <si>
    <t>Pangkah, East Java</t>
  </si>
  <si>
    <t>Hess (Indonesia-Pangkah) Ltd.</t>
  </si>
  <si>
    <t>6.4/47</t>
  </si>
  <si>
    <t>Sampang, East Java Sea</t>
  </si>
  <si>
    <t>Santos (Sampang) Pty. Ltd</t>
  </si>
  <si>
    <t>6.4/48</t>
  </si>
  <si>
    <t>Madura Offshore</t>
  </si>
  <si>
    <t>Santos (Madura Offshore) Pty. Ltd.</t>
  </si>
  <si>
    <t>6.4/49</t>
  </si>
  <si>
    <t>Sengkang, South Sulawesi</t>
  </si>
  <si>
    <t>Energy Equity Epic (Sengkang) Pty. Ltd.</t>
  </si>
  <si>
    <t>6.4/50</t>
  </si>
  <si>
    <t>Seram Non Bula</t>
  </si>
  <si>
    <t>CITIC Seram Energy Ltd.</t>
  </si>
  <si>
    <t>6.4/52</t>
  </si>
  <si>
    <t>Bula - Seram</t>
  </si>
  <si>
    <t>Kalrez Petroleum (Seram) Ltd.</t>
  </si>
  <si>
    <t>6.4/53</t>
  </si>
  <si>
    <t>Tungkal</t>
  </si>
  <si>
    <t>Pearl Oil (Tungkal) Ltd.</t>
  </si>
  <si>
    <t>6.4/54</t>
  </si>
  <si>
    <t>Selat Panjang</t>
  </si>
  <si>
    <t>Petroselat Ltd.</t>
  </si>
  <si>
    <t>6.4/55</t>
  </si>
  <si>
    <t>Wailawi</t>
  </si>
  <si>
    <t>Perusda Benuo Taka</t>
  </si>
  <si>
    <t>6.4/56</t>
  </si>
  <si>
    <t>Gebang</t>
  </si>
  <si>
    <t>Costa International Group Ltd.</t>
  </si>
  <si>
    <t>6.4/57</t>
  </si>
  <si>
    <t>barrels</t>
  </si>
  <si>
    <t>Appendix C11-12 (of oil &amp; gas report), Appendix D (of oil &amp; gas report)</t>
  </si>
  <si>
    <t>MSCF</t>
  </si>
  <si>
    <t>Inpex Offshore North Mahakam Ltd</t>
  </si>
  <si>
    <t>PT PHE Makassar Strait</t>
  </si>
  <si>
    <t>PT PHE MFK</t>
  </si>
  <si>
    <t>Appendix D (of oil &amp; gas report)</t>
  </si>
  <si>
    <t>Indonesia Petroleum Ltd</t>
  </si>
  <si>
    <t>Chevron South Natuna B Inc</t>
  </si>
  <si>
    <t>Inpex Natuna Ltd</t>
  </si>
  <si>
    <t>Talisman Energi</t>
  </si>
  <si>
    <t>Pertamina EP</t>
  </si>
  <si>
    <t>PT PHE South Jambi</t>
  </si>
  <si>
    <t>Petrochina</t>
  </si>
  <si>
    <t>Pertamina</t>
  </si>
  <si>
    <t>Koperasi Energi Indonesia</t>
  </si>
  <si>
    <t>Appendix C11-12 (of oil &amp; gas report)</t>
  </si>
  <si>
    <t>BP East Kalimantan</t>
  </si>
  <si>
    <t>Lasmo Sanga-sanga Ltd</t>
  </si>
  <si>
    <t>Opicoil Houston Inc</t>
  </si>
  <si>
    <t>Virginia International Company</t>
  </si>
  <si>
    <t>Universe Gas&amp;Oil Company</t>
  </si>
  <si>
    <t>Ampolex (Cepu) PTE. Ltd</t>
  </si>
  <si>
    <t>PT Pertamina EP Cepu</t>
  </si>
  <si>
    <t>PT Sarana Patra Hulu Cepu</t>
  </si>
  <si>
    <t>PT Blora Patragas Hulu</t>
  </si>
  <si>
    <t>PT Asri Dharma Sejahtera</t>
  </si>
  <si>
    <t>PT Petrogas Jatim Utama Cendana</t>
  </si>
  <si>
    <t>Inpex Sumatra Ltd/PHE Sumatra</t>
  </si>
  <si>
    <t>KNOC Sumatra Ltd</t>
  </si>
  <si>
    <t>Salamander Energy (Sumatra) BV</t>
  </si>
  <si>
    <t>Orchard Energy Sumatra BV</t>
  </si>
  <si>
    <t>Fortuna Resources (Sunda) Ltd</t>
  </si>
  <si>
    <t>Talisman UK (South East Sumatra) Ltd</t>
  </si>
  <si>
    <t>Talisman Resources (Bahamas) Ltd</t>
  </si>
  <si>
    <t>BP Muturi Holdings BV</t>
  </si>
  <si>
    <t>CNOOC Muturia Ltd</t>
  </si>
  <si>
    <t>Indonesia Natural Gas Resources Muturi Inc</t>
  </si>
  <si>
    <t>JOB PT Bumi Siak Pusako-Pertamina Hulu</t>
  </si>
  <si>
    <t>PT PHE CPP</t>
  </si>
  <si>
    <t>CNOOC ONWJ Ltd</t>
  </si>
  <si>
    <t>Itochu Oil Exploration Co. Ltd</t>
  </si>
  <si>
    <t>PT PHE Jawa Ltd</t>
  </si>
  <si>
    <t>Salamander Energy (Java) BV</t>
  </si>
  <si>
    <t>Talisman Energy</t>
  </si>
  <si>
    <t>Pertamina Hulu Energi West Madura Offshore</t>
  </si>
  <si>
    <t>JOB Pertamina - PetroChina East Java Ltd</t>
  </si>
  <si>
    <t>PT PHE Tuban East Java</t>
  </si>
  <si>
    <t>PT PHE Tuban</t>
  </si>
  <si>
    <t>Salawati Island JOB</t>
  </si>
  <si>
    <t>JOB Pertamina - PetroChina Salawati Ltd</t>
  </si>
  <si>
    <t xml:space="preserve">PT PHE Salawati </t>
  </si>
  <si>
    <t>Lundin Indonesia BV/RHP Salawati Island BV</t>
  </si>
  <si>
    <t>Pearl Oil (Island) Ltd/Petrogas (Island) Ltd</t>
  </si>
  <si>
    <t>PT Pertamina - Medco E&amp;P Tomori Sulawesi</t>
  </si>
  <si>
    <t>PT PHE Tomori</t>
  </si>
  <si>
    <t>Pendopo-Raja JOB</t>
  </si>
  <si>
    <t>JOB Pertamina-Golden Spike Energy Indonesia Ltd</t>
  </si>
  <si>
    <t>PT PHE Raja Tempirai</t>
  </si>
  <si>
    <t>PP Oil&amp;Gas (Jabung-Indonesia) Ltd</t>
  </si>
  <si>
    <t>Petronas Carigali Jabung Ltd</t>
  </si>
  <si>
    <t>PT PHE Jabung</t>
  </si>
  <si>
    <t>Petrochina International Bermuda Ltd</t>
  </si>
  <si>
    <t>Pearl Oil (Basin) Ltd/Petrogas (Basin) Ltd</t>
  </si>
  <si>
    <t>Lundin International BV/RHP Salawati Basin BV</t>
  </si>
  <si>
    <t>Patrogas (Basin) td</t>
  </si>
  <si>
    <t>RHP Salawati Basin</t>
  </si>
  <si>
    <t>PT PHE Salawati Basin</t>
  </si>
  <si>
    <t>Ml Berau BV</t>
  </si>
  <si>
    <t>Nippon Oil Exploration (Berau) Ltd</t>
  </si>
  <si>
    <t>KG Berau Petroleum Ltd</t>
  </si>
  <si>
    <t>Talisman Wiriagar Overseas Ltd</t>
  </si>
  <si>
    <t>KG Wiriagar Petroleum Ltd</t>
  </si>
  <si>
    <t>Rimau</t>
  </si>
  <si>
    <t>Perusda Pertambangan &amp; Energi</t>
  </si>
  <si>
    <t>Lematang E&amp;P Limited</t>
  </si>
  <si>
    <t>Lundin Lematang BV</t>
  </si>
  <si>
    <t>Block A</t>
  </si>
  <si>
    <t>PT Medco E&amp;P Malaka</t>
  </si>
  <si>
    <t>Premier Oil Sumatra (North) BV</t>
  </si>
  <si>
    <t>Japex Block A Ltd</t>
  </si>
  <si>
    <t>Natuna Sea Block A</t>
  </si>
  <si>
    <t>Kupfec Indonesia (Natuna) BV</t>
  </si>
  <si>
    <t>Natuna 2 BV</t>
  </si>
  <si>
    <t>Natuna 1 BV</t>
  </si>
  <si>
    <t>EMP Malacca Strait S.A</t>
  </si>
  <si>
    <t>OOGC Malacca</t>
  </si>
  <si>
    <t>Malacca Petroleum Limited</t>
  </si>
  <si>
    <t>PT Imbang Tata Alam</t>
  </si>
  <si>
    <t>EMP Exploration (Kangean)</t>
  </si>
  <si>
    <t>PT Prakarsa Brantas</t>
  </si>
  <si>
    <t>Minarak Labuan Co</t>
  </si>
  <si>
    <t>Bentu</t>
  </si>
  <si>
    <t>EMP Bentu Limited</t>
  </si>
  <si>
    <t>Tonga</t>
  </si>
  <si>
    <t>PT EMP Tonga</t>
  </si>
  <si>
    <t>PT Kencana Surya Perkasa</t>
  </si>
  <si>
    <t>PT Petross Exploration Production</t>
  </si>
  <si>
    <t>Star Energy (Kakap) Ltd.</t>
  </si>
  <si>
    <t>Premier Oil Kakap BV</t>
  </si>
  <si>
    <t>SPC Kakap Limited</t>
  </si>
  <si>
    <t>Novus UK (Kakap) Ltd</t>
  </si>
  <si>
    <t>PT PHE Kakap</t>
  </si>
  <si>
    <t>Novus Petroleum Canada (Kakap) Ltd</t>
  </si>
  <si>
    <t>Natuna UK (Kakap 2) Ltd</t>
  </si>
  <si>
    <t>Novus Nominees Pty Ltd</t>
  </si>
  <si>
    <t>JOB Pertamina - Talisman (Ogan Konering) Ltd</t>
  </si>
  <si>
    <t>PT PHE Ogan Komering</t>
  </si>
  <si>
    <t>BUT Talisman (Ogan Komering) Ltd.</t>
  </si>
  <si>
    <t>Pangkah</t>
  </si>
  <si>
    <t>Kupfec Indonesia Pangkah BV</t>
  </si>
  <si>
    <t>Hess (Indonesia-Pangkah) LLC</t>
  </si>
  <si>
    <t>Sampang</t>
  </si>
  <si>
    <t>Singapore Petroleum Company Ltd</t>
  </si>
  <si>
    <t>Cue Sampang Pty Ltd</t>
  </si>
  <si>
    <t>Madura</t>
  </si>
  <si>
    <t>Petronas Carigali Madura lrd</t>
  </si>
  <si>
    <t>Petrogas Pantai Madura</t>
  </si>
  <si>
    <t>Sengkang</t>
  </si>
  <si>
    <t>Kufpec (Indonesia) Limited</t>
  </si>
  <si>
    <t>Gulf petroleum Investment Co</t>
  </si>
  <si>
    <t>Lion International Investment Ltd</t>
  </si>
  <si>
    <t>Bula</t>
  </si>
  <si>
    <t>Mont D'Or Oil Tungkai Ltd</t>
  </si>
  <si>
    <t>Fuel-X</t>
  </si>
  <si>
    <t>Petrochina International Selat Panjang ltd</t>
  </si>
  <si>
    <t>International Mineral Resources Inc.</t>
  </si>
  <si>
    <t>BUMD Benuo Taka</t>
  </si>
  <si>
    <t>JOB Pertamina-Costa International Group Ltd</t>
  </si>
  <si>
    <t>PT PHE Gebang</t>
  </si>
  <si>
    <t>EMP Genbang Ltd</t>
  </si>
  <si>
    <t>Langgak</t>
  </si>
  <si>
    <t>SPR Langgak</t>
  </si>
  <si>
    <t>Kingswood Capital Ltd</t>
  </si>
  <si>
    <t>Merangin II</t>
  </si>
  <si>
    <t>PT Sele Raya Merangin Dua</t>
  </si>
  <si>
    <t>Merangin BV</t>
  </si>
  <si>
    <t>Sinochem Merangin Ltd</t>
  </si>
  <si>
    <t>Bawean</t>
  </si>
  <si>
    <t>Camar Resources Canada Inc</t>
  </si>
  <si>
    <t>Camar Bawean Petroleum Ltd</t>
  </si>
  <si>
    <t>Triangle Pase</t>
  </si>
  <si>
    <t>Jambi Merang Block, Ons. Jambi</t>
  </si>
  <si>
    <t>JOB Pertamina - Talisman Jambi Merang</t>
  </si>
  <si>
    <t>PT PHE Jambi Merang</t>
  </si>
  <si>
    <t>Talisman (Jambi Merang) Limited</t>
  </si>
  <si>
    <t>Pacific Oil &amp; Gas (Jami Merang) Limited</t>
  </si>
  <si>
    <t>West Madura, Off. East Java</t>
  </si>
  <si>
    <t>JOA Pertamina Kodeco</t>
  </si>
  <si>
    <t>PT PHE Madura</t>
  </si>
  <si>
    <t>CNOOC Madura Ltd</t>
  </si>
  <si>
    <t>Tengah Block, Off. East Kal.</t>
  </si>
  <si>
    <t>JOA Total E&amp;P Indonesi</t>
  </si>
  <si>
    <t>PT PHE Tengah Area</t>
  </si>
  <si>
    <t>Inpex Tengah</t>
  </si>
  <si>
    <t>Pertamina JOA Tengah</t>
  </si>
  <si>
    <t>Indonesia Participant</t>
  </si>
  <si>
    <t>West Kampar Block</t>
  </si>
  <si>
    <t>PT Sumatera Persada Energy</t>
  </si>
  <si>
    <t>Appendix E11-12 (of oil &amp; gas report), Appendix F (of oil &amp; gas report)</t>
  </si>
  <si>
    <t>Tiptop Makassar Ltd</t>
  </si>
  <si>
    <t>Appendix F (of oil &amp; gas report)</t>
  </si>
  <si>
    <t>Belida International Ltd</t>
  </si>
  <si>
    <t>Appendix E11-12 (of oil &amp; gas report)</t>
  </si>
  <si>
    <t>Pt PHE OSES</t>
  </si>
  <si>
    <t>EMP ONWJ Ltd</t>
  </si>
  <si>
    <t>Risco Energy ONWJ BV</t>
  </si>
  <si>
    <t>Lundin Indonesia BV / RHP Salawati Island BV</t>
  </si>
  <si>
    <t>Petrogas (Island) Ltd</t>
  </si>
  <si>
    <t>BUT Tomori E&amp;P Limited</t>
  </si>
  <si>
    <t>SK Corporation</t>
  </si>
  <si>
    <t>EMP Korinci Baru Ltd</t>
  </si>
  <si>
    <t>Pande-Temane gas project</t>
  </si>
  <si>
    <t>Condensed Gas</t>
  </si>
  <si>
    <t>bbj</t>
  </si>
  <si>
    <t>Sasol Petroleum Temane Ltd (Operator and holder of 70% interest)</t>
  </si>
  <si>
    <t>3,770,300 and 2,528,854 gigajoules of natural gas</t>
  </si>
  <si>
    <t>4,811,781 and 2,528,854 gigajoules of natural gas</t>
  </si>
  <si>
    <t>Natural Gas</t>
  </si>
  <si>
    <t>gigajoules</t>
  </si>
  <si>
    <t>Companhia Moçambicana de Hidrocarbonetos SARL (25%)</t>
  </si>
  <si>
    <t>International Finance Corporation (5%)</t>
  </si>
  <si>
    <t>9,344,396 and 3,503,780 gigajoules of gas</t>
  </si>
  <si>
    <t>9,344,407 and 3,503,780 gigajoules of gas</t>
  </si>
  <si>
    <t>14, 22, 36</t>
  </si>
  <si>
    <t>Sasol Petroleum Mocambique Ltd</t>
  </si>
  <si>
    <t>Republic of Mozambique Pipeline Company (Operator of the pipeline)</t>
  </si>
  <si>
    <t>East Asia &amp; Pacific</t>
  </si>
  <si>
    <t>JPDA 03-12</t>
  </si>
  <si>
    <t>Crude Oil, Natural Gas, Liquefied Petroleum Gas</t>
  </si>
  <si>
    <t>ConocoPhillips (03-12) Pty Ltd (Operator)</t>
  </si>
  <si>
    <t>Santos</t>
  </si>
  <si>
    <t>Not available</t>
  </si>
  <si>
    <t>Inpex Sahul</t>
  </si>
  <si>
    <t>Eni</t>
  </si>
  <si>
    <t>Tokyo Timor Sea Resources</t>
  </si>
  <si>
    <t>JPDA 03-13</t>
  </si>
  <si>
    <t>ConocoPhillips (03-13) Pty Ltd (Operator)</t>
  </si>
  <si>
    <t>JPDA 03-19</t>
  </si>
  <si>
    <t>Woodside Petroleum (Operator)</t>
  </si>
  <si>
    <t>Shell Development</t>
  </si>
  <si>
    <t>Osaka Gas Sunrise</t>
  </si>
  <si>
    <t>Conoco Philips</t>
  </si>
  <si>
    <t>JPDA 03-20</t>
  </si>
  <si>
    <t>JPDA 06-101 A</t>
  </si>
  <si>
    <t>Minza Oil &amp; Gas</t>
  </si>
  <si>
    <t>JPDA 06-102</t>
  </si>
  <si>
    <t>Petronas (Operator)</t>
  </si>
  <si>
    <t>Korean Gas</t>
  </si>
  <si>
    <t>Samsung Oil &amp; Gas</t>
  </si>
  <si>
    <t>LG</t>
  </si>
  <si>
    <t>JPDA 06-103</t>
  </si>
  <si>
    <t>Oilex (Operator)</t>
  </si>
  <si>
    <t>Japan Energy Corporation</t>
  </si>
  <si>
    <t>Vidoecon</t>
  </si>
  <si>
    <t>Bharat PetroResources</t>
  </si>
  <si>
    <t>GSPC</t>
  </si>
  <si>
    <t>Pan Pacific Petroleum</t>
  </si>
  <si>
    <t>JPDA 06-105</t>
  </si>
  <si>
    <t>Crude Oil</t>
  </si>
  <si>
    <t>Eni JPDA 06-105 Pty Ltd (Operator)</t>
  </si>
  <si>
    <t>Inpex</t>
  </si>
  <si>
    <t>Talisman</t>
  </si>
  <si>
    <t>S-06-01 (Block A)</t>
  </si>
  <si>
    <t>Eni (Operator)</t>
  </si>
  <si>
    <t>GALP Exploracao Producao</t>
  </si>
  <si>
    <t>Petrolifera</t>
  </si>
  <si>
    <t>Korea Gas Corporation</t>
  </si>
  <si>
    <t>S-06-02 (Block B)</t>
  </si>
  <si>
    <t>S-06-03 (Block C)</t>
  </si>
  <si>
    <t>S-06-04 (Block E)</t>
  </si>
  <si>
    <t>S-06-05 (Block H)</t>
  </si>
  <si>
    <t>S-06-06 (Block K)</t>
  </si>
  <si>
    <t>Reliance Exploration &amp; Production (Operator)</t>
  </si>
  <si>
    <t>Oil India Limited</t>
  </si>
  <si>
    <t>India Oil Corporation Limited</t>
  </si>
  <si>
    <t>Balata East Shallow Horizons (Petrotrin F)</t>
  </si>
  <si>
    <t>Petrotin</t>
  </si>
  <si>
    <t>Central Block</t>
  </si>
  <si>
    <t>BG Trinidad Central Block Limited (Operator)</t>
  </si>
  <si>
    <t>45, 48</t>
  </si>
  <si>
    <t>cubic feet</t>
  </si>
  <si>
    <t>Columbus Basin</t>
  </si>
  <si>
    <t>BP Trinidad and Tobago LLC</t>
  </si>
  <si>
    <t>Columbus Basin Shallow (Teak, Samaan, Poui)</t>
  </si>
  <si>
    <t>Repsol E&amp;P T&amp;T Limited (Operator and holder of 70% interest)</t>
  </si>
  <si>
    <t>46, 48</t>
  </si>
  <si>
    <t>National Gas Company of Trinidad and Tobago Limited (15%)</t>
  </si>
  <si>
    <t>Petrotin (15%)</t>
  </si>
  <si>
    <t>Cory Moruga Block</t>
  </si>
  <si>
    <t>Parex Resources (Trinidad) Ltd (Operator and holder of 50% interest)</t>
  </si>
  <si>
    <t>Primera Oil and Gas Limited (33.8%)</t>
  </si>
  <si>
    <t>Primera Energy Resources Limited (16.2%)</t>
  </si>
  <si>
    <t>Cruse Horizons (Petrotrin A)</t>
  </si>
  <si>
    <t>East Brighton Area, Offshore</t>
  </si>
  <si>
    <t>SOOGL Antilles (Trinidad) Limited (Operator)</t>
  </si>
  <si>
    <t>Primera East Brighton Limited</t>
  </si>
  <si>
    <t>Fyzabad Block</t>
  </si>
  <si>
    <t>Primera Oil and Gas Limited</t>
  </si>
  <si>
    <t>Galeota Area</t>
  </si>
  <si>
    <t>Bayfield Energy (Galeota) Limited (Operator)</t>
  </si>
  <si>
    <t>Guapo Bay/Brighton Marine Block Trinidad, Offshore (Block B)</t>
  </si>
  <si>
    <t>Venture Production (Trinidad) Limited</t>
  </si>
  <si>
    <t>Guapo-Oropouche-Brighton Horizons (Petrotrin D)</t>
  </si>
  <si>
    <t>Herrera Horizons (Petrotrin C)</t>
  </si>
  <si>
    <t>Icacos</t>
  </si>
  <si>
    <t>Mayaro-Guayaguayare Block</t>
  </si>
  <si>
    <t>Sonde Resources Corp. (Operator)</t>
  </si>
  <si>
    <t>Mayaro-
Guayaguayare Horizons (Petrotrin B)</t>
  </si>
  <si>
    <t>Mora Field (Block 44/57)</t>
  </si>
  <si>
    <t>Mora Oil Ventures Limited</t>
  </si>
  <si>
    <t>Moruga North</t>
  </si>
  <si>
    <t>Advance Oil Company (Trindad) Limited</t>
  </si>
  <si>
    <t>Moruga West</t>
  </si>
  <si>
    <t>Neal &amp; Massy Energy Resources Limited (Operator and holder of 60% interest)</t>
  </si>
  <si>
    <t>Petrotin (40%)</t>
  </si>
  <si>
    <t>Palo Seco Block</t>
  </si>
  <si>
    <t>Parrylands</t>
  </si>
  <si>
    <t>New Horizon Exploration Trinidad and Tobago Limited (Operator and 75% of interest)</t>
  </si>
  <si>
    <t>Pt. Ligoure Block</t>
  </si>
  <si>
    <t>Petrotin (Operator)</t>
  </si>
  <si>
    <t>Trinidad Exploration and Development Limited</t>
  </si>
  <si>
    <t>Southeast Coast Consortium (SECC) Blocks 1, 2, 3</t>
  </si>
  <si>
    <t>EOG Resources Trinidad Limited (Operator and holder of 80% interest)</t>
  </si>
  <si>
    <t>Petrotin (16%)</t>
  </si>
  <si>
    <t>National Gas Company of Trinidad and Tobago Limited (4%)</t>
  </si>
  <si>
    <t>Southeast Coast Consortium (SECC) Pelican Field</t>
  </si>
  <si>
    <t>Trinidad and Tobago Marine Petroleum Company Limited (20%)</t>
  </si>
  <si>
    <t>Southwest Peninsula Block- Erin Bay</t>
  </si>
  <si>
    <t>Trinidad Exploration and Development Company Unlimited (Operator)</t>
  </si>
  <si>
    <t>Southwest Peninsula Block- Islote Bay</t>
  </si>
  <si>
    <t>Southwest Peninsula Block- Onshore</t>
  </si>
  <si>
    <t>Southwest Peninsula Onshore Trinidad</t>
  </si>
  <si>
    <t>Tabaquite (Petrotrin E)</t>
  </si>
  <si>
    <t>Block 1(a)</t>
  </si>
  <si>
    <t>Centrica (Horne &amp; Wren) Limited (Operator and holder of 80% interest)</t>
  </si>
  <si>
    <t>Petrotin (20%)</t>
  </si>
  <si>
    <t>Block 1(b)</t>
  </si>
  <si>
    <t>Venture North Sea Gas Limited (Operator and holder of 80% interest)</t>
  </si>
  <si>
    <t>Block 2(ab)</t>
  </si>
  <si>
    <t>Niko Resources (Trinidad and Tobago) Ltd (Operator)</t>
  </si>
  <si>
    <t>Voyager Energy (Trinidad) Ltd</t>
  </si>
  <si>
    <t>Centrica Resources (Armada) Limited</t>
  </si>
  <si>
    <t>Block 2(c)</t>
  </si>
  <si>
    <t>BHP Billiton (Trinidad-2C) Ltd (Operator and holder of 45% interest)</t>
  </si>
  <si>
    <t>Total E&amp;P (Trinidad) B.V. (30%)</t>
  </si>
  <si>
    <t>Chaoyang Petroleum (Trinidad) Ltd (25%)</t>
  </si>
  <si>
    <t>Block 3(a)</t>
  </si>
  <si>
    <t>BHP Billiton (Trinidad-3A) Ltd (Operator and holder of 25.5% interest)</t>
  </si>
  <si>
    <t>Kerr-McGee TT Offshore Petroleum Ltd (25.5%)</t>
  </si>
  <si>
    <t>Chaoyang Petroleum (Trinidad) Block 3A Limited (25.5%)</t>
  </si>
  <si>
    <t>Total E&amp;P (Trinidad) B.V. (8.5%)</t>
  </si>
  <si>
    <t>Block 3(b)</t>
  </si>
  <si>
    <t>Kerr-McGee TT Offshore Petroleum Ltd (35.5%)</t>
  </si>
  <si>
    <t>Primera Block 3(b) Limited (25%)</t>
  </si>
  <si>
    <t>BHP Billiton (25.5%)</t>
  </si>
  <si>
    <t>Diamond Energy T&amp;T Ltd (15%)</t>
  </si>
  <si>
    <t>Block 4(a)</t>
  </si>
  <si>
    <t>EOG Resources Trinidad Block 4(a) Unlimited</t>
  </si>
  <si>
    <t>Block 4(b)</t>
  </si>
  <si>
    <t>Niko Resources (Block 4b Caribbean) Limited</t>
  </si>
  <si>
    <t>Block 5(a), Offshore</t>
  </si>
  <si>
    <t>BG Trinidad 5(a) Limited (Operator)</t>
  </si>
  <si>
    <t>Texaco Trinidad Inc.</t>
  </si>
  <si>
    <t>Block 5(b), Offshore</t>
  </si>
  <si>
    <t>BP Trinidad and Tobago LLC (Operator)</t>
  </si>
  <si>
    <t>Repsol Exploracion Tobago S.A.</t>
  </si>
  <si>
    <t>Block 5(c), Offshore</t>
  </si>
  <si>
    <t>BG International Limited (Operator and holder of 30% interest)</t>
  </si>
  <si>
    <t>Canadian Superior Energy Inc. (70%)</t>
  </si>
  <si>
    <t>Block 6 (East Coast, Trinidad)</t>
  </si>
  <si>
    <t>BG Trinidad Inc (Operator)</t>
  </si>
  <si>
    <t>Block 22</t>
  </si>
  <si>
    <t>Centrica Resources Limited (Operator and holder of 90% interest)</t>
  </si>
  <si>
    <t>Petrotin (10%)</t>
  </si>
  <si>
    <t>Block E</t>
  </si>
  <si>
    <t>BG Trinidad and Tobago Limited (Operator)</t>
  </si>
  <si>
    <t>Block Modified U(a)</t>
  </si>
  <si>
    <t>EOG Resources Trinidad –U(a) Block Limited</t>
  </si>
  <si>
    <t>Block Modified U(b)</t>
  </si>
  <si>
    <t>EOG Resources Trinidad U(b) Block Unlimited</t>
  </si>
  <si>
    <t>Central Range Block- Deep Horizons</t>
  </si>
  <si>
    <t>Parex Resources (Trinidad) Ltd. (Operator)</t>
  </si>
  <si>
    <t>Petro Andina (Trinidad) Ltd (50%)</t>
  </si>
  <si>
    <t>Voyager Energy (Trinidad) Ltd (30%)</t>
  </si>
  <si>
    <t>Central Range Block-Shallow Horizons</t>
  </si>
  <si>
    <t>Petrotin (35%)</t>
  </si>
  <si>
    <t>Voyager Energy (Trinidad) Ltd (15%)</t>
  </si>
  <si>
    <t>Guayaguayare Block- Deep Horizons</t>
  </si>
  <si>
    <t>Guayaguayare Block-Shallow Horizons</t>
  </si>
  <si>
    <t>North Coast Marine Area 1 (NCMA 1)</t>
  </si>
  <si>
    <t>BG Trinidad and Tobago Limited (Operator and holder of 57% interest)</t>
  </si>
  <si>
    <t>NSGP (Ensign) Limited (21.5%)</t>
  </si>
  <si>
    <t>ENI Trinidad and Tobago Limited (21.5%)</t>
  </si>
  <si>
    <t>North Coast Marine Area 2 (NCMA 2)</t>
  </si>
  <si>
    <t>Niko Resources (NCMA2 Caribbean) Limited (Operator)</t>
  </si>
  <si>
    <t>RWE Dea Trinidad and Tobago GmbH</t>
  </si>
  <si>
    <t>North Coast Marine Area 3 (NCMA 3)</t>
  </si>
  <si>
    <t>Niko Resources (NCMA3 Caribbean) Limited (Operator)</t>
  </si>
  <si>
    <t>North Coast Marine Area 4 (NCMA 4)</t>
  </si>
  <si>
    <t>Centrica North Sea Oil Ltd (Operator)</t>
  </si>
  <si>
    <t>Venture North Sea Oil Limited</t>
  </si>
  <si>
    <t>LNG</t>
  </si>
  <si>
    <t>Yemen Gas Company</t>
  </si>
  <si>
    <t>17 (of the 2011 report), 28</t>
  </si>
  <si>
    <t>Hunt</t>
  </si>
  <si>
    <t>SK Innovation</t>
  </si>
  <si>
    <t>Hyundai Corporation</t>
  </si>
  <si>
    <t>The General Authority for Social Security and Pensions</t>
  </si>
  <si>
    <t>17, 40</t>
  </si>
  <si>
    <t>Colour code for the source of reported information:</t>
  </si>
  <si>
    <t>Report itself and external sources of production information</t>
  </si>
  <si>
    <t>2011 NRGI dataset, summary on www.eiti.org and external sources of production information (with NRGI dataset used over www.eiti.org when information differs)¹</t>
  </si>
  <si>
    <t>Summary on www.eiti.org and external sources of production information</t>
  </si>
  <si>
    <t>¹ Reports for Equatorial Guinea and Gabon do not have a summary on www.eiti.org and therefore the only available information is from the NRGI dataset</t>
  </si>
  <si>
    <t>Colour code for the figures taken from the report that differ from those on www.eiti.org:²̕ʹ³</t>
  </si>
  <si>
    <t>Difference that is fully explained by inclusion of different information (e.g. additional revenue streams, payments in-kind)</t>
  </si>
  <si>
    <t>Difference that is not explained by inclusion of different information, but is less than 1%</t>
  </si>
  <si>
    <t>Difference that is not explained by inclusion of different information, and is greater than 1%</t>
  </si>
  <si>
    <t>Difference that requires further consideration</t>
  </si>
  <si>
    <t>² Comments given to explain the difference for one reporting entity are also appropriate for the other reporting entity unless stated otherwise.</t>
  </si>
  <si>
    <t xml:space="preserve">³ Figures from the 2011 NRGI dataset are not assumed to include different information to that informing figures on www.eiti.org. </t>
  </si>
  <si>
    <t>Calculation of a country's value of production:</t>
  </si>
  <si>
    <t>Production values are from the EITI Report if available. If not, they are calculated based on the volumes and prices of commodities produced by the country. These commodities are either identified in the EITI Report or by USGS.</t>
  </si>
  <si>
    <t xml:space="preserve">Production volumes are from the EITI Report if data is available for all years. If not, to ensure consistency, country-specific volumes from external sources - BPSR 2014, EIA and USGS - are used for all years. </t>
  </si>
  <si>
    <t>Prices are from the EITI Report if available for any year. If not, global prices from external sources - BPSR 2014, World Bank and USGS - are used (with the exception of diamond prices which are available by country if they participate in the Kimberley Process).</t>
  </si>
  <si>
    <t>Where prices are available from EITI Reports for some years, they are used to adjust the global prices for the other years.</t>
  </si>
  <si>
    <t>To improve confidence in the calculated production values, efforts have been made to find country-specific prices for commodities that have an annual production value of &gt;US$1bn and make up &gt;50% of the country's annual total mining production value.  Where available, these have been used to adjust the global prices (this has not been possible for the precious stone prices highlighted in red).</t>
  </si>
  <si>
    <t>Conversions</t>
  </si>
  <si>
    <t>1 British thermal unit (Btu) = 0.0357 cubic metres (m³)</t>
  </si>
  <si>
    <t>1 carat = 0.0002 kilograms (kg)</t>
  </si>
  <si>
    <t>1 cubic foot (cbf) = 0.0283168 cubic metres (m³)</t>
  </si>
  <si>
    <t>1 cubic metre (m³) = metric tons (t) from http://www.aqua-calc.com/calculate/volume-to-weight</t>
  </si>
  <si>
    <t>1 flask = 0.035 metric tons (t)</t>
  </si>
  <si>
    <t>1 gigajoule (GJ) = 26.173 cubic metres (m³)</t>
  </si>
  <si>
    <t>1 kilogram (kg) = 32.150743126506 troy ounces (toz)</t>
  </si>
  <si>
    <t>1 metric ton (t) = 7.33 barrels (bbl) of crude oil</t>
  </si>
  <si>
    <t>1 metric ton (t) = 32,150.7466 troy ounces (toz)</t>
  </si>
  <si>
    <t>1 ounce (oz) = 0.911458333 troy ounces (toz)</t>
  </si>
  <si>
    <t>1 pound (lb) = 0.453592 kilograms (kg)</t>
  </si>
  <si>
    <t>1 pound (lb) = 0.000453592 metric tons (t)</t>
  </si>
  <si>
    <t>1 short ton = 0.90718474 metric tons (t)</t>
  </si>
  <si>
    <t>1 short ton = 29,166.6667 troy ounces (toz)</t>
  </si>
  <si>
    <t>Reports published in December 2014, without use of externl sources for production or price figures</t>
  </si>
  <si>
    <t>Total government revenues (US$)</t>
  </si>
  <si>
    <t>Extractive exports (% total exports)</t>
  </si>
  <si>
    <t>Extractive revenues (% GDP)</t>
  </si>
  <si>
    <t>Extractive revenues (% ODA)</t>
  </si>
  <si>
    <t>Extractive revenues (% health budget)</t>
  </si>
  <si>
    <t>Extractive revenues (% education budget)</t>
  </si>
  <si>
    <t>TI Corruption Perception Index</t>
  </si>
  <si>
    <t>Poverty Headcount (%pop) - WB</t>
  </si>
  <si>
    <t>Life expectancy at birth - WB</t>
  </si>
  <si>
    <t>Infant mortality - WB</t>
  </si>
  <si>
    <t>Primary school enrolment - WB</t>
  </si>
  <si>
    <t>Row Labels</t>
  </si>
  <si>
    <t>(blank)</t>
  </si>
  <si>
    <t>Grand Total</t>
  </si>
  <si>
    <t xml:space="preserve">Public spending on education (% of GDP) </t>
  </si>
  <si>
    <t>Health expenditure, public (% of GDP)</t>
  </si>
  <si>
    <t>Extractive revenues (%  revenues excluding grants)</t>
  </si>
  <si>
    <t>Total GDP US$ nominal</t>
  </si>
  <si>
    <t>Revenue, excluding grants (% GDP)</t>
  </si>
  <si>
    <t>Total exports (US$), UNCTAD</t>
  </si>
  <si>
    <t>Extractive exports (US$), UNCTAD</t>
  </si>
  <si>
    <t>Population</t>
  </si>
  <si>
    <t>ODA (US$)</t>
  </si>
  <si>
    <t>RGI score (2010)</t>
  </si>
  <si>
    <t>RGI score (2013)</t>
  </si>
  <si>
    <t>Voice and Accountability WGI score</t>
  </si>
  <si>
    <t>Political Stability WGI score</t>
  </si>
  <si>
    <t>Government Effectiveness WGI score</t>
  </si>
  <si>
    <t>Regulatory Quality WGI score</t>
  </si>
  <si>
    <t>Control of Corruption WGI score</t>
  </si>
  <si>
    <t>..</t>
  </si>
  <si>
    <t>Guinea</t>
  </si>
  <si>
    <t>Timor-Leste</t>
  </si>
  <si>
    <t>Trinidad and Tobago</t>
  </si>
  <si>
    <t>Yemen, Rep.</t>
  </si>
  <si>
    <t>Data from database: World Development Indicators</t>
  </si>
  <si>
    <t>Last Updated: 03/12/2015</t>
  </si>
  <si>
    <t>Time</t>
  </si>
  <si>
    <t>Lookup</t>
  </si>
  <si>
    <t>GDP (current US$) [NY.GDP.MKTP.CD]</t>
  </si>
  <si>
    <t>Population, total [SP.POP.TOTL]</t>
  </si>
  <si>
    <t>Revenue, excluding grants (% of GDP) [GC.REV.XGRT.GD.ZS]</t>
  </si>
  <si>
    <t>Net official development assistance and official aid received (current US$) [DT.ODA.ALLD.CD]</t>
  </si>
  <si>
    <t>Net official development assistance received (current US$) [DT.ODA.ODAT.CD]</t>
  </si>
  <si>
    <t>Public spending on education, total (% of GDP) [SE.XPD.TOTL.GD.ZS]</t>
  </si>
  <si>
    <t>Health expenditure, public (% of GDP) [SH.XPD.PUBL.ZS]</t>
  </si>
  <si>
    <t>Poverty headcount ratio at national poverty lines (% of population) [SI.POV.NAHC]</t>
  </si>
  <si>
    <t>Life expectancy at birth, total (years) [SP.DYN.LE00.IN]</t>
  </si>
  <si>
    <t>Mortality rate, infant (per 1,000 live births) [SP.DYN.IMRT.IN]</t>
  </si>
  <si>
    <t>MEASURE</t>
  </si>
  <si>
    <t>US Dollars at current prices and current exchange rates in millions</t>
  </si>
  <si>
    <t>Percentage of total trade in goods and services</t>
  </si>
  <si>
    <t>FLOW</t>
  </si>
  <si>
    <t>Exports</t>
  </si>
  <si>
    <t>Imports</t>
  </si>
  <si>
    <t>Balance</t>
  </si>
  <si>
    <t>SERIES</t>
  </si>
  <si>
    <t xml:space="preserve">Total trade in services </t>
  </si>
  <si>
    <t>Total trade in goods and services</t>
  </si>
  <si>
    <t>Total trade in goods</t>
  </si>
  <si>
    <t>YEAR</t>
  </si>
  <si>
    <t>ECONOMY</t>
  </si>
  <si>
    <t>1999</t>
  </si>
  <si>
    <t>_</t>
  </si>
  <si>
    <t>2000</t>
  </si>
  <si>
    <t>2001</t>
  </si>
  <si>
    <t>2002</t>
  </si>
  <si>
    <t>2003</t>
  </si>
  <si>
    <t>2004</t>
  </si>
  <si>
    <t>2005</t>
  </si>
  <si>
    <t>2006</t>
  </si>
  <si>
    <t>2007</t>
  </si>
  <si>
    <t>2008</t>
  </si>
  <si>
    <t>2009</t>
  </si>
  <si>
    <t>2010</t>
  </si>
  <si>
    <t>2011</t>
  </si>
  <si>
    <t>2012</t>
  </si>
  <si>
    <t>2013</t>
  </si>
  <si>
    <t xml:space="preserve"> Cameroon</t>
  </si>
  <si>
    <t xml:space="preserve"> Chad</t>
  </si>
  <si>
    <t xml:space="preserve"> Equatorial Guinea</t>
  </si>
  <si>
    <t xml:space="preserve"> Gabon</t>
  </si>
  <si>
    <t xml:space="preserve"> Guinea</t>
  </si>
  <si>
    <t>Kyrgyzstan</t>
  </si>
  <si>
    <t>country</t>
  </si>
  <si>
    <t>Brazil</t>
  </si>
  <si>
    <t>Russia</t>
  </si>
  <si>
    <t>Mexico</t>
  </si>
  <si>
    <t>Chile</t>
  </si>
  <si>
    <t>Colombia</t>
  </si>
  <si>
    <t>Ecuador</t>
  </si>
  <si>
    <t>United States</t>
  </si>
  <si>
    <t>Venezuela</t>
  </si>
  <si>
    <t>South Africa</t>
  </si>
  <si>
    <t>Bolivia</t>
  </si>
  <si>
    <t>Papua New Guinea</t>
  </si>
  <si>
    <t>Malaysia</t>
  </si>
  <si>
    <t>Botswana</t>
  </si>
  <si>
    <t>China</t>
  </si>
  <si>
    <t>Sudan</t>
  </si>
  <si>
    <t>Iran</t>
  </si>
  <si>
    <t>Angola</t>
  </si>
  <si>
    <t>Saudi Arabia</t>
  </si>
  <si>
    <t>Kuwait</t>
  </si>
  <si>
    <t>Algeria</t>
  </si>
  <si>
    <t>DRC</t>
  </si>
  <si>
    <t>Turkmenistan</t>
  </si>
  <si>
    <t>average</t>
  </si>
  <si>
    <t>Control of Corruption: Estimate [CC.EST]</t>
  </si>
  <si>
    <t>Government Effectiveness: Estimate [GE.EST]</t>
  </si>
  <si>
    <t>Political Stability and Absence of Violence/Terrorism: Estimate [PV.EST]</t>
  </si>
  <si>
    <t>Regulatory Quality: Estimate [RQ.EST]</t>
  </si>
  <si>
    <t>Rule of Law: Estimate [RL.EST]</t>
  </si>
  <si>
    <t>Voice and Accountability: Estimate [VA.EST]</t>
  </si>
  <si>
    <t>Control of Corruption: Percentile Rank [CC.PER.RNK]</t>
  </si>
  <si>
    <t>Government Effectiveness: Percentile Rank [GE.PER.RNK]</t>
  </si>
  <si>
    <t>Political Stability and Absence of Violence/Terrorism: Percentile Rank [PV.PER.RNK]</t>
  </si>
  <si>
    <t>Regulatory Quality: Percentile Rank [RQ.PER.RNK]</t>
  </si>
  <si>
    <t>Rule of Law: Percentile Rank [RL.PER.RNK]</t>
  </si>
  <si>
    <t>Voice and Accountability: Percentile Rank [VA.PER.RNK]</t>
  </si>
  <si>
    <t>Data from database: Worldwide Governance Indicators</t>
  </si>
  <si>
    <t>Last Updated: 03/02/2015</t>
  </si>
  <si>
    <t>Estimates</t>
  </si>
  <si>
    <t>Rank</t>
  </si>
  <si>
    <t>Somalia</t>
  </si>
  <si>
    <t>Korea (North)</t>
  </si>
  <si>
    <t>South Sudan</t>
  </si>
  <si>
    <t>Uzbekistan</t>
  </si>
  <si>
    <t>Libya</t>
  </si>
  <si>
    <t>Eritrea</t>
  </si>
  <si>
    <t>Haiti</t>
  </si>
  <si>
    <t>Guinea-Bissau</t>
  </si>
  <si>
    <t>Syria</t>
  </si>
  <si>
    <t>Burundi</t>
  </si>
  <si>
    <t>Zimbabwe</t>
  </si>
  <si>
    <t>Myanmar</t>
  </si>
  <si>
    <t>Cambodia</t>
  </si>
  <si>
    <t>Democratic Republic of the Congo</t>
  </si>
  <si>
    <t>Tajikistan</t>
  </si>
  <si>
    <t>Congo Republic</t>
  </si>
  <si>
    <t>Paraguay</t>
  </si>
  <si>
    <t>Laos</t>
  </si>
  <si>
    <t>Kenya</t>
  </si>
  <si>
    <t>Bangladesh</t>
  </si>
  <si>
    <t>Ukraine</t>
  </si>
  <si>
    <t>Uganda</t>
  </si>
  <si>
    <t>Comoros</t>
  </si>
  <si>
    <t>Lebanon</t>
  </si>
  <si>
    <t>Nicaragua</t>
  </si>
  <si>
    <t>Pakistan</t>
  </si>
  <si>
    <t>Nepal</t>
  </si>
  <si>
    <t>Honduras</t>
  </si>
  <si>
    <t>Gambia</t>
  </si>
  <si>
    <t>Guyana</t>
  </si>
  <si>
    <t>Vietnam</t>
  </si>
  <si>
    <t>Belarus</t>
  </si>
  <si>
    <t>Dominican Republic</t>
  </si>
  <si>
    <t>Côte d´Ivoire</t>
  </si>
  <si>
    <t>Malawi</t>
  </si>
  <si>
    <t>Kosovo</t>
  </si>
  <si>
    <t>Ethiopia</t>
  </si>
  <si>
    <t>Djibouti</t>
  </si>
  <si>
    <t>Argentina</t>
  </si>
  <si>
    <t>Moldova</t>
  </si>
  <si>
    <t>Suriname</t>
  </si>
  <si>
    <t>Panama</t>
  </si>
  <si>
    <t>Egypt</t>
  </si>
  <si>
    <t>Armenia</t>
  </si>
  <si>
    <t>Thailand</t>
  </si>
  <si>
    <t>Sri Lanka</t>
  </si>
  <si>
    <t>Philippines</t>
  </si>
  <si>
    <t>Jamaica</t>
  </si>
  <si>
    <t>India</t>
  </si>
  <si>
    <t>Morocco</t>
  </si>
  <si>
    <t>El Salvador</t>
  </si>
  <si>
    <t>Bosnia and Herzegovina</t>
  </si>
  <si>
    <t>Benin</t>
  </si>
  <si>
    <t>Tunisia</t>
  </si>
  <si>
    <t>Serbia</t>
  </si>
  <si>
    <t>Sao Tome and Principe</t>
  </si>
  <si>
    <t>Montenegro</t>
  </si>
  <si>
    <t>Swaziland</t>
  </si>
  <si>
    <t>Senegal</t>
  </si>
  <si>
    <t>Romania</t>
  </si>
  <si>
    <t>Italy</t>
  </si>
  <si>
    <t>Greece</t>
  </si>
  <si>
    <t>Bulgaria</t>
  </si>
  <si>
    <t>Turkey</t>
  </si>
  <si>
    <t>The FYR of Macedonia</t>
  </si>
  <si>
    <t>Oman</t>
  </si>
  <si>
    <t>Cuba</t>
  </si>
  <si>
    <t>Croatia</t>
  </si>
  <si>
    <t>Rwanda</t>
  </si>
  <si>
    <t>Namibia</t>
  </si>
  <si>
    <t>Lesotho</t>
  </si>
  <si>
    <t>Jordan</t>
  </si>
  <si>
    <t>Bahrain</t>
  </si>
  <si>
    <t>Slovakia</t>
  </si>
  <si>
    <t>Czech Republic</t>
  </si>
  <si>
    <t>Samoa</t>
  </si>
  <si>
    <t>Georgia</t>
  </si>
  <si>
    <t>Mauritius</t>
  </si>
  <si>
    <t>Hungary</t>
  </si>
  <si>
    <t>Costa Rica</t>
  </si>
  <si>
    <t>Seychelles</t>
  </si>
  <si>
    <t>Malta</t>
  </si>
  <si>
    <t>Latvia</t>
  </si>
  <si>
    <t>Korea (South)</t>
  </si>
  <si>
    <t>Cape Verde</t>
  </si>
  <si>
    <t>Slovenia</t>
  </si>
  <si>
    <t>Lithuania</t>
  </si>
  <si>
    <t>Dominica</t>
  </si>
  <si>
    <t>Spain</t>
  </si>
  <si>
    <t>Israel</t>
  </si>
  <si>
    <t>Taiwan</t>
  </si>
  <si>
    <t>Poland</t>
  </si>
  <si>
    <t>Puerto Rico</t>
  </si>
  <si>
    <t>Portugal</t>
  </si>
  <si>
    <t>Cyprus</t>
  </si>
  <si>
    <t>Bhutan</t>
  </si>
  <si>
    <t>Saint Vincent and the Grenadines</t>
  </si>
  <si>
    <t>Qatar</t>
  </si>
  <si>
    <t>France</t>
  </si>
  <si>
    <t>Estonia</t>
  </si>
  <si>
    <t>United Arab Emirates</t>
  </si>
  <si>
    <t>Bahamas</t>
  </si>
  <si>
    <t>Austria</t>
  </si>
  <si>
    <t>Uruguay</t>
  </si>
  <si>
    <t>Ireland</t>
  </si>
  <si>
    <t>Hong Kong</t>
  </si>
  <si>
    <t>Barbados</t>
  </si>
  <si>
    <t>Japan</t>
  </si>
  <si>
    <t>Belgium</t>
  </si>
  <si>
    <t>United Kingdom</t>
  </si>
  <si>
    <t>Iceland</t>
  </si>
  <si>
    <t>Germany</t>
  </si>
  <si>
    <t>Australia</t>
  </si>
  <si>
    <t>Canada</t>
  </si>
  <si>
    <t>Luxembourg</t>
  </si>
  <si>
    <t>Netherlands</t>
  </si>
  <si>
    <t>Singapore</t>
  </si>
  <si>
    <t>Switzerland</t>
  </si>
  <si>
    <t>Sweden</t>
  </si>
  <si>
    <t>Finland</t>
  </si>
  <si>
    <t>New Zealand</t>
  </si>
  <si>
    <t>Denmark</t>
  </si>
  <si>
    <t>Upper</t>
  </si>
  <si>
    <t>Lower</t>
  </si>
  <si>
    <t>90% Confidence interval</t>
  </si>
  <si>
    <t>Standard Error</t>
  </si>
  <si>
    <t>Surveys Used</t>
  </si>
  <si>
    <t>CPI 2014 Score</t>
  </si>
  <si>
    <t>Country / Territory</t>
  </si>
  <si>
    <t>Country Rank</t>
  </si>
  <si>
    <t>1998_Afghanistan</t>
  </si>
  <si>
    <t>1998_Albania</t>
  </si>
  <si>
    <t>1998_Azerbaijan</t>
  </si>
  <si>
    <t>1998_Burkina Faso</t>
  </si>
  <si>
    <t>1998_Central African Republic</t>
  </si>
  <si>
    <t>1998_Chad</t>
  </si>
  <si>
    <t>1998_Democratic Republic of Congo</t>
  </si>
  <si>
    <t>1998_Republic of the Congo</t>
  </si>
  <si>
    <t>1998_Cameroon</t>
  </si>
  <si>
    <t>1998_Equatorial Guinea</t>
  </si>
  <si>
    <t>1998_Gabon</t>
  </si>
  <si>
    <t>1998_Ghana</t>
  </si>
  <si>
    <t>1998_Guatemala</t>
  </si>
  <si>
    <t>1998_Guinea</t>
  </si>
  <si>
    <t>1998_Indonesia</t>
  </si>
  <si>
    <t>1998_Iraq</t>
  </si>
  <si>
    <t>1998_Kazakhstan</t>
  </si>
  <si>
    <t>1998_Kyrgyz Republic</t>
  </si>
  <si>
    <t>1998_Liberia</t>
  </si>
  <si>
    <t>1998_Madagascar</t>
  </si>
  <si>
    <t>1998_Mali</t>
  </si>
  <si>
    <t>1998_Mauritania</t>
  </si>
  <si>
    <t>1998_Mozambique</t>
  </si>
  <si>
    <t>1998_Niger</t>
  </si>
  <si>
    <t>1998_Nigeria</t>
  </si>
  <si>
    <t>1998_Peru</t>
  </si>
  <si>
    <t>1998_Sierra Leone</t>
  </si>
  <si>
    <t>1998_Tanzania</t>
  </si>
  <si>
    <t>1998_Togo</t>
  </si>
  <si>
    <t>1998_Timor-Leste</t>
  </si>
  <si>
    <t>1998_Trinidad and Tobago</t>
  </si>
  <si>
    <t>1998_Yemen, Rep.</t>
  </si>
  <si>
    <t>1998_Zambia</t>
  </si>
  <si>
    <t>1998_Mongolia</t>
  </si>
  <si>
    <t>2000_Afghanistan</t>
  </si>
  <si>
    <t>2000_Albania</t>
  </si>
  <si>
    <t>2000_Azerbaijan</t>
  </si>
  <si>
    <t>2000_Burkina Faso</t>
  </si>
  <si>
    <t>2000_Central African Republic</t>
  </si>
  <si>
    <t>2000_Chad</t>
  </si>
  <si>
    <t>2000_Democratic Republic of Congo</t>
  </si>
  <si>
    <t>2000_Republic of the Congo</t>
  </si>
  <si>
    <t>2000_Cameroon</t>
  </si>
  <si>
    <t>2000_Equatorial Guinea</t>
  </si>
  <si>
    <t>2000_Gabon</t>
  </si>
  <si>
    <t>2000_Ghana</t>
  </si>
  <si>
    <t>2000_Guatemala</t>
  </si>
  <si>
    <t>2000_Guinea</t>
  </si>
  <si>
    <t>2000_Indonesia</t>
  </si>
  <si>
    <t>2000_Iraq</t>
  </si>
  <si>
    <t>2000_Kazakhstan</t>
  </si>
  <si>
    <t>2000_Kyrgyz Republic</t>
  </si>
  <si>
    <t>2000_Liberia</t>
  </si>
  <si>
    <t>2000_Madagascar</t>
  </si>
  <si>
    <t>2000_Mali</t>
  </si>
  <si>
    <t>2000_Mauritania</t>
  </si>
  <si>
    <t>2000_Mozambique</t>
  </si>
  <si>
    <t>2000_Niger</t>
  </si>
  <si>
    <t>2000_Nigeria</t>
  </si>
  <si>
    <t>2000_Peru</t>
  </si>
  <si>
    <t>2000_Sierra Leone</t>
  </si>
  <si>
    <t>2000_Tanzania</t>
  </si>
  <si>
    <t>2000_Togo</t>
  </si>
  <si>
    <t>2000_Timor-Leste</t>
  </si>
  <si>
    <t>2000_Trinidad and Tobago</t>
  </si>
  <si>
    <t>2000_Yemen, Rep.</t>
  </si>
  <si>
    <t>2000_Zambia</t>
  </si>
  <si>
    <t>2000_Mongolia</t>
  </si>
  <si>
    <t>2002_Afghanistan</t>
  </si>
  <si>
    <t>2002_Albania</t>
  </si>
  <si>
    <t>2002_Azerbaijan</t>
  </si>
  <si>
    <t>2002_Burkina Faso</t>
  </si>
  <si>
    <t>2002_Central African Republic</t>
  </si>
  <si>
    <t>2002_Chad</t>
  </si>
  <si>
    <t>2002_Democratic Republic of Congo</t>
  </si>
  <si>
    <t>2002_Republic of the Congo</t>
  </si>
  <si>
    <t>2002_Cameroon</t>
  </si>
  <si>
    <t>2002_Equatorial Guinea</t>
  </si>
  <si>
    <t>2002_Gabon</t>
  </si>
  <si>
    <t>2002_Ghana</t>
  </si>
  <si>
    <t>2002_Guatemala</t>
  </si>
  <si>
    <t>2002_Guinea</t>
  </si>
  <si>
    <t>2002_Indonesia</t>
  </si>
  <si>
    <t>2002_Iraq</t>
  </si>
  <si>
    <t>2002_Kazakhstan</t>
  </si>
  <si>
    <t>2002_Kyrgyz Republic</t>
  </si>
  <si>
    <t>2002_Liberia</t>
  </si>
  <si>
    <t>2002_Madagascar</t>
  </si>
  <si>
    <t>2002_Mali</t>
  </si>
  <si>
    <t>2002_Mauritania</t>
  </si>
  <si>
    <t>2002_Mozambique</t>
  </si>
  <si>
    <t>2002_Niger</t>
  </si>
  <si>
    <t>2002_Nigeria</t>
  </si>
  <si>
    <t>2002_Peru</t>
  </si>
  <si>
    <t>2002_Sierra Leone</t>
  </si>
  <si>
    <t>2002_Tanzania</t>
  </si>
  <si>
    <t>2002_Togo</t>
  </si>
  <si>
    <t>2002_Timor-Leste</t>
  </si>
  <si>
    <t>2002_Trinidad and Tobago</t>
  </si>
  <si>
    <t>2002_Yemen, Rep.</t>
  </si>
  <si>
    <t>2002_Zambia</t>
  </si>
  <si>
    <t>2002_Mongolia</t>
  </si>
  <si>
    <t>2003_Afghanistan</t>
  </si>
  <si>
    <t>2003_Albania</t>
  </si>
  <si>
    <t>2003_Azerbaijan</t>
  </si>
  <si>
    <t>2003_Burkina Faso</t>
  </si>
  <si>
    <t>2003_Central African Republic</t>
  </si>
  <si>
    <t>2003_Chad</t>
  </si>
  <si>
    <t>2003_Democratic Republic of Congo</t>
  </si>
  <si>
    <t>2003_Republic of the Congo</t>
  </si>
  <si>
    <t>2003_Cameroon</t>
  </si>
  <si>
    <t>2003_Equatorial Guinea</t>
  </si>
  <si>
    <t>2003_Gabon</t>
  </si>
  <si>
    <t>2003_Ghana</t>
  </si>
  <si>
    <t>2003_Guatemala</t>
  </si>
  <si>
    <t>2003_Guinea</t>
  </si>
  <si>
    <t>2003_Indonesia</t>
  </si>
  <si>
    <t>2003_Iraq</t>
  </si>
  <si>
    <t>2003_Kazakhstan</t>
  </si>
  <si>
    <t>2003_Kyrgyz Republic</t>
  </si>
  <si>
    <t>2003_Liberia</t>
  </si>
  <si>
    <t>2003_Madagascar</t>
  </si>
  <si>
    <t>2003_Mali</t>
  </si>
  <si>
    <t>2003_Mauritania</t>
  </si>
  <si>
    <t>2003_Mozambique</t>
  </si>
  <si>
    <t>2003_Niger</t>
  </si>
  <si>
    <t>2003_Nigeria</t>
  </si>
  <si>
    <t>2003_Peru</t>
  </si>
  <si>
    <t>2003_Sierra Leone</t>
  </si>
  <si>
    <t>2003_Tanzania</t>
  </si>
  <si>
    <t>2003_Togo</t>
  </si>
  <si>
    <t>2003_Timor-Leste</t>
  </si>
  <si>
    <t>2003_Trinidad and Tobago</t>
  </si>
  <si>
    <t>2003_Yemen, Rep.</t>
  </si>
  <si>
    <t>2003_Zambia</t>
  </si>
  <si>
    <t>2003_Mongolia</t>
  </si>
  <si>
    <t>2004_Afghanistan</t>
  </si>
  <si>
    <t>2004_Albania</t>
  </si>
  <si>
    <t>2004_Azerbaijan</t>
  </si>
  <si>
    <t>2004_Burkina Faso</t>
  </si>
  <si>
    <t>2004_Central African Republic</t>
  </si>
  <si>
    <t>2004_Chad</t>
  </si>
  <si>
    <t>2004_Democratic Republic of Congo</t>
  </si>
  <si>
    <t>2004_Republic of the Congo</t>
  </si>
  <si>
    <t>2004_Cameroon</t>
  </si>
  <si>
    <t>2004_Equatorial Guinea</t>
  </si>
  <si>
    <t>2004_Gabon</t>
  </si>
  <si>
    <t>2004_Ghana</t>
  </si>
  <si>
    <t>2004_Guatemala</t>
  </si>
  <si>
    <t>2004_Guinea</t>
  </si>
  <si>
    <t>2004_Indonesia</t>
  </si>
  <si>
    <t>2004_Iraq</t>
  </si>
  <si>
    <t>2004_Kazakhstan</t>
  </si>
  <si>
    <t>2004_Kyrgyz Republic</t>
  </si>
  <si>
    <t>2004_Liberia</t>
  </si>
  <si>
    <t>2004_Madagascar</t>
  </si>
  <si>
    <t>2004_Mali</t>
  </si>
  <si>
    <t>2004_Mauritania</t>
  </si>
  <si>
    <t>2004_Mozambique</t>
  </si>
  <si>
    <t>2004_Niger</t>
  </si>
  <si>
    <t>2004_Nigeria</t>
  </si>
  <si>
    <t>2004_Peru</t>
  </si>
  <si>
    <t>2004_Sierra Leone</t>
  </si>
  <si>
    <t>2004_Tanzania</t>
  </si>
  <si>
    <t>2004_Togo</t>
  </si>
  <si>
    <t>2004_Timor-Leste</t>
  </si>
  <si>
    <t>2004_Trinidad and Tobago</t>
  </si>
  <si>
    <t>2004_Yemen, Rep.</t>
  </si>
  <si>
    <t>2004_Zambia</t>
  </si>
  <si>
    <t>2004_Mongolia</t>
  </si>
  <si>
    <t>2005_Afghanistan</t>
  </si>
  <si>
    <t>2005_Albania</t>
  </si>
  <si>
    <t>2005_Azerbaijan</t>
  </si>
  <si>
    <t>2005_Burkina Faso</t>
  </si>
  <si>
    <t>2005_Central African Republic</t>
  </si>
  <si>
    <t>2005_Chad</t>
  </si>
  <si>
    <t>2005_Democratic Republic of Congo</t>
  </si>
  <si>
    <t>2005_Republic of the Congo</t>
  </si>
  <si>
    <t>2005_Cameroon</t>
  </si>
  <si>
    <t>2005_Equatorial Guinea</t>
  </si>
  <si>
    <t>2005_Gabon</t>
  </si>
  <si>
    <t>2005_Ghana</t>
  </si>
  <si>
    <t>2005_Guatemala</t>
  </si>
  <si>
    <t>2005_Guinea</t>
  </si>
  <si>
    <t>2005_Indonesia</t>
  </si>
  <si>
    <t>2005_Iraq</t>
  </si>
  <si>
    <t>2005_Kazakhstan</t>
  </si>
  <si>
    <t>2005_Kyrgyz Republic</t>
  </si>
  <si>
    <t>2005_Liberia</t>
  </si>
  <si>
    <t>2005_Madagascar</t>
  </si>
  <si>
    <t>2005_Mali</t>
  </si>
  <si>
    <t>2005_Mauritania</t>
  </si>
  <si>
    <t>2005_Mozambique</t>
  </si>
  <si>
    <t>2005_Niger</t>
  </si>
  <si>
    <t>2005_Nigeria</t>
  </si>
  <si>
    <t>2005_Peru</t>
  </si>
  <si>
    <t>2005_Sierra Leone</t>
  </si>
  <si>
    <t>2005_Tanzania</t>
  </si>
  <si>
    <t>2005_Togo</t>
  </si>
  <si>
    <t>2005_Timor-Leste</t>
  </si>
  <si>
    <t>2005_Trinidad and Tobago</t>
  </si>
  <si>
    <t>2005_Yemen, Rep.</t>
  </si>
  <si>
    <t>2005_Zambia</t>
  </si>
  <si>
    <t>2005_Mongolia</t>
  </si>
  <si>
    <t>2006_Afghanistan</t>
  </si>
  <si>
    <t>2006_Albania</t>
  </si>
  <si>
    <t>2006_Azerbaijan</t>
  </si>
  <si>
    <t>2006_Burkina Faso</t>
  </si>
  <si>
    <t>2006_Central African Republic</t>
  </si>
  <si>
    <t>2006_Chad</t>
  </si>
  <si>
    <t>2006_Democratic Republic of Congo</t>
  </si>
  <si>
    <t>2006_Republic of the Congo</t>
  </si>
  <si>
    <t>2006_Cameroon</t>
  </si>
  <si>
    <t>2006_Equatorial Guinea</t>
  </si>
  <si>
    <t>2006_Gabon</t>
  </si>
  <si>
    <t>2006_Ghana</t>
  </si>
  <si>
    <t>2006_Guatemala</t>
  </si>
  <si>
    <t>2006_Guinea</t>
  </si>
  <si>
    <t>2006_Indonesia</t>
  </si>
  <si>
    <t>2006_Iraq</t>
  </si>
  <si>
    <t>2006_Kazakhstan</t>
  </si>
  <si>
    <t>2006_Kyrgyz Republic</t>
  </si>
  <si>
    <t>2006_Liberia</t>
  </si>
  <si>
    <t>2006_Madagascar</t>
  </si>
  <si>
    <t>2006_Mali</t>
  </si>
  <si>
    <t>2006_Mauritania</t>
  </si>
  <si>
    <t>2006_Mozambique</t>
  </si>
  <si>
    <t>2006_Niger</t>
  </si>
  <si>
    <t>2006_Nigeria</t>
  </si>
  <si>
    <t>2006_Peru</t>
  </si>
  <si>
    <t>2006_Sierra Leone</t>
  </si>
  <si>
    <t>2006_Tanzania</t>
  </si>
  <si>
    <t>2006_Togo</t>
  </si>
  <si>
    <t>2006_Timor-Leste</t>
  </si>
  <si>
    <t>2006_Trinidad and Tobago</t>
  </si>
  <si>
    <t>2006_Yemen, Rep.</t>
  </si>
  <si>
    <t>2006_Zambia</t>
  </si>
  <si>
    <t>2006_Mongolia</t>
  </si>
  <si>
    <t>2007_Afghanistan</t>
  </si>
  <si>
    <t>2007_Albania</t>
  </si>
  <si>
    <t>2007_Azerbaijan</t>
  </si>
  <si>
    <t>2007_Burkina Faso</t>
  </si>
  <si>
    <t>2007_Central African Republic</t>
  </si>
  <si>
    <t>2007_Chad</t>
  </si>
  <si>
    <t>2007_Democratic Republic of Congo</t>
  </si>
  <si>
    <t>2007_Republic of the Congo</t>
  </si>
  <si>
    <t>2007_Cameroon</t>
  </si>
  <si>
    <t>2007_Equatorial Guinea</t>
  </si>
  <si>
    <t>2007_Gabon</t>
  </si>
  <si>
    <t>2007_Ghana</t>
  </si>
  <si>
    <t>2007_Guatemala</t>
  </si>
  <si>
    <t>2007_Guinea</t>
  </si>
  <si>
    <t>2007_Indonesia</t>
  </si>
  <si>
    <t>2007_Iraq</t>
  </si>
  <si>
    <t>2007_Kazakhstan</t>
  </si>
  <si>
    <t>2007_Kyrgyz Republic</t>
  </si>
  <si>
    <t>2007_Liberia</t>
  </si>
  <si>
    <t>2007_Madagascar</t>
  </si>
  <si>
    <t>2007_Mali</t>
  </si>
  <si>
    <t>2007_Mauritania</t>
  </si>
  <si>
    <t>2007_Mozambique</t>
  </si>
  <si>
    <t>2007_Niger</t>
  </si>
  <si>
    <t>2007_Nigeria</t>
  </si>
  <si>
    <t>2007_Peru</t>
  </si>
  <si>
    <t>2007_Sierra Leone</t>
  </si>
  <si>
    <t>2007_Tanzania</t>
  </si>
  <si>
    <t>2007_Togo</t>
  </si>
  <si>
    <t>2007_Timor-Leste</t>
  </si>
  <si>
    <t>2007_Trinidad and Tobago</t>
  </si>
  <si>
    <t>2007_Yemen, Rep.</t>
  </si>
  <si>
    <t>2007_Zambia</t>
  </si>
  <si>
    <t>2007_Mongolia</t>
  </si>
  <si>
    <t>2008_Afghanistan</t>
  </si>
  <si>
    <t>2008_Albania</t>
  </si>
  <si>
    <t>2008_Azerbaijan</t>
  </si>
  <si>
    <t>2008_Burkina Faso</t>
  </si>
  <si>
    <t>2008_Central African Republic</t>
  </si>
  <si>
    <t>2008_Chad</t>
  </si>
  <si>
    <t>2008_Democratic Republic of Congo</t>
  </si>
  <si>
    <t>2008_Republic of the Congo</t>
  </si>
  <si>
    <t>2008_Cameroon</t>
  </si>
  <si>
    <t>2008_Equatorial Guinea</t>
  </si>
  <si>
    <t>2008_Gabon</t>
  </si>
  <si>
    <t>2008_Ghana</t>
  </si>
  <si>
    <t>2008_Guatemala</t>
  </si>
  <si>
    <t>2008_Guinea</t>
  </si>
  <si>
    <t>2008_Indonesia</t>
  </si>
  <si>
    <t>2008_Iraq</t>
  </si>
  <si>
    <t>2008_Kazakhstan</t>
  </si>
  <si>
    <t>2008_Kyrgyz Republic</t>
  </si>
  <si>
    <t>2008_Liberia</t>
  </si>
  <si>
    <t>2008_Madagascar</t>
  </si>
  <si>
    <t>2008_Mali</t>
  </si>
  <si>
    <t>2008_Mauritania</t>
  </si>
  <si>
    <t>2008_Mozambique</t>
  </si>
  <si>
    <t>2008_Niger</t>
  </si>
  <si>
    <t>2008_Nigeria</t>
  </si>
  <si>
    <t>2008_Peru</t>
  </si>
  <si>
    <t>2008_Sierra Leone</t>
  </si>
  <si>
    <t>2008_Tanzania</t>
  </si>
  <si>
    <t>2008_Togo</t>
  </si>
  <si>
    <t>2008_Timor-Leste</t>
  </si>
  <si>
    <t>2008_Trinidad and Tobago</t>
  </si>
  <si>
    <t>2008_Yemen, Rep.</t>
  </si>
  <si>
    <t>2008_Zambia</t>
  </si>
  <si>
    <t>2008_Mongolia</t>
  </si>
  <si>
    <t>2009_Afghanistan</t>
  </si>
  <si>
    <t>2009_Albania</t>
  </si>
  <si>
    <t>2009_Azerbaijan</t>
  </si>
  <si>
    <t>2009_Burkina Faso</t>
  </si>
  <si>
    <t>2009_Central African Republic</t>
  </si>
  <si>
    <t>2009_Chad</t>
  </si>
  <si>
    <t>2009_Democratic Republic of Congo</t>
  </si>
  <si>
    <t>2009_Republic of the Congo</t>
  </si>
  <si>
    <t>2009_Cameroon</t>
  </si>
  <si>
    <t>2009_Equatorial Guinea</t>
  </si>
  <si>
    <t>2009_Gabon</t>
  </si>
  <si>
    <t>2009_Ghana</t>
  </si>
  <si>
    <t>2009_Guatemala</t>
  </si>
  <si>
    <t>2009_Guinea</t>
  </si>
  <si>
    <t>2009_Indonesia</t>
  </si>
  <si>
    <t>2009_Iraq</t>
  </si>
  <si>
    <t>2009_Kazakhstan</t>
  </si>
  <si>
    <t>2009_Kyrgyz Republic</t>
  </si>
  <si>
    <t>2009_Liberia</t>
  </si>
  <si>
    <t>2009_Madagascar</t>
  </si>
  <si>
    <t>2009_Mali</t>
  </si>
  <si>
    <t>2009_Mauritania</t>
  </si>
  <si>
    <t>2009_Mozambique</t>
  </si>
  <si>
    <t>2009_Niger</t>
  </si>
  <si>
    <t>2009_Nigeria</t>
  </si>
  <si>
    <t>2009_Peru</t>
  </si>
  <si>
    <t>2009_Sierra Leone</t>
  </si>
  <si>
    <t>2009_Tanzania</t>
  </si>
  <si>
    <t>2009_Togo</t>
  </si>
  <si>
    <t>2009_Timor-Leste</t>
  </si>
  <si>
    <t>2009_Trinidad and Tobago</t>
  </si>
  <si>
    <t>2009_Yemen, Rep.</t>
  </si>
  <si>
    <t>2009_Zambia</t>
  </si>
  <si>
    <t>2009_Mongolia</t>
  </si>
  <si>
    <t>2010_Afghanistan</t>
  </si>
  <si>
    <t>2010_Albania</t>
  </si>
  <si>
    <t>2010_Azerbaijan</t>
  </si>
  <si>
    <t>2010_Burkina Faso</t>
  </si>
  <si>
    <t>2010_Central African Republic</t>
  </si>
  <si>
    <t>2010_Chad</t>
  </si>
  <si>
    <t>2010_Democratic Republic of Congo</t>
  </si>
  <si>
    <t>2010_Republic of the Congo</t>
  </si>
  <si>
    <t>2010_Cameroon</t>
  </si>
  <si>
    <t>2010_Equatorial Guinea</t>
  </si>
  <si>
    <t>2010_Gabon</t>
  </si>
  <si>
    <t>2010_Ghana</t>
  </si>
  <si>
    <t>2010_Guatemala</t>
  </si>
  <si>
    <t>2010_Guinea</t>
  </si>
  <si>
    <t>2010_Indonesia</t>
  </si>
  <si>
    <t>2010_Iraq</t>
  </si>
  <si>
    <t>2010_Kazakhstan</t>
  </si>
  <si>
    <t>2010_Kyrgyz Republic</t>
  </si>
  <si>
    <t>2010_Liberia</t>
  </si>
  <si>
    <t>2010_Madagascar</t>
  </si>
  <si>
    <t>2010_Mali</t>
  </si>
  <si>
    <t>2010_Mauritania</t>
  </si>
  <si>
    <t>2010_Mozambique</t>
  </si>
  <si>
    <t>2010_Niger</t>
  </si>
  <si>
    <t>2010_Nigeria</t>
  </si>
  <si>
    <t>2010_Peru</t>
  </si>
  <si>
    <t>2010_Sierra Leone</t>
  </si>
  <si>
    <t>2010_Tanzania</t>
  </si>
  <si>
    <t>2010_Togo</t>
  </si>
  <si>
    <t>2010_Timor-Leste</t>
  </si>
  <si>
    <t>2010_Trinidad and Tobago</t>
  </si>
  <si>
    <t>2010_Yemen, Rep.</t>
  </si>
  <si>
    <t>2010_Zambia</t>
  </si>
  <si>
    <t>2010_Mongolia</t>
  </si>
  <si>
    <t>2011_Afghanistan</t>
  </si>
  <si>
    <t>2011_Albania</t>
  </si>
  <si>
    <t>2011_Azerbaijan</t>
  </si>
  <si>
    <t>2011_Burkina Faso</t>
  </si>
  <si>
    <t>2011_Central African Republic</t>
  </si>
  <si>
    <t>2011_Chad</t>
  </si>
  <si>
    <t>2011_Democratic Republic of Congo</t>
  </si>
  <si>
    <t>2011_Republic of the Congo</t>
  </si>
  <si>
    <t>2011_Cameroon</t>
  </si>
  <si>
    <t>2011_Equatorial Guinea</t>
  </si>
  <si>
    <t>2011_Gabon</t>
  </si>
  <si>
    <t>2011_Ghana</t>
  </si>
  <si>
    <t>2011_Guatemala</t>
  </si>
  <si>
    <t>2011_Guinea</t>
  </si>
  <si>
    <t>2011_Indonesia</t>
  </si>
  <si>
    <t>2011_Iraq</t>
  </si>
  <si>
    <t>2011_Kazakhstan</t>
  </si>
  <si>
    <t>2011_Kyrgyz Republic</t>
  </si>
  <si>
    <t>2011_Liberia</t>
  </si>
  <si>
    <t>2011_Madagascar</t>
  </si>
  <si>
    <t>2011_Mali</t>
  </si>
  <si>
    <t>2011_Mauritania</t>
  </si>
  <si>
    <t>2011_Mozambique</t>
  </si>
  <si>
    <t>2011_Niger</t>
  </si>
  <si>
    <t>2011_Nigeria</t>
  </si>
  <si>
    <t>2011_Peru</t>
  </si>
  <si>
    <t>2011_Sierra Leone</t>
  </si>
  <si>
    <t>2011_Tanzania</t>
  </si>
  <si>
    <t>2011_Togo</t>
  </si>
  <si>
    <t>2011_Timor-Leste</t>
  </si>
  <si>
    <t>2011_Trinidad and Tobago</t>
  </si>
  <si>
    <t>2011_Yemen, Rep.</t>
  </si>
  <si>
    <t>2011_Zambia</t>
  </si>
  <si>
    <t>2011_Mongolia</t>
  </si>
  <si>
    <t>2012_Afghanistan</t>
  </si>
  <si>
    <t>2012_Albania</t>
  </si>
  <si>
    <t>2012_Azerbaijan</t>
  </si>
  <si>
    <t>2012_Burkina Faso</t>
  </si>
  <si>
    <t>2012_Central African Republic</t>
  </si>
  <si>
    <t>2012_Chad</t>
  </si>
  <si>
    <t>2012_Democratic Republic of Congo</t>
  </si>
  <si>
    <t>2012_Republic of the Congo</t>
  </si>
  <si>
    <t>2012_Cameroon</t>
  </si>
  <si>
    <t>2012_Equatorial Guinea</t>
  </si>
  <si>
    <t>2012_Gabon</t>
  </si>
  <si>
    <t>2012_Ghana</t>
  </si>
  <si>
    <t>2012_Guatemala</t>
  </si>
  <si>
    <t>2012_Guinea</t>
  </si>
  <si>
    <t>2012_Indonesia</t>
  </si>
  <si>
    <t>2012_Iraq</t>
  </si>
  <si>
    <t>2012_Kazakhstan</t>
  </si>
  <si>
    <t>2012_Kyrgyz Republic</t>
  </si>
  <si>
    <t>2012_Liberia</t>
  </si>
  <si>
    <t>2012_Madagascar</t>
  </si>
  <si>
    <t>2012_Mali</t>
  </si>
  <si>
    <t>2012_Mauritania</t>
  </si>
  <si>
    <t>2012_Mozambique</t>
  </si>
  <si>
    <t>2012_Niger</t>
  </si>
  <si>
    <t>2012_Nigeria</t>
  </si>
  <si>
    <t>2012_Peru</t>
  </si>
  <si>
    <t>2012_Sierra Leone</t>
  </si>
  <si>
    <t>2012_Tanzania</t>
  </si>
  <si>
    <t>2012_Togo</t>
  </si>
  <si>
    <t>2012_Timor-Leste</t>
  </si>
  <si>
    <t>2012_Trinidad and Tobago</t>
  </si>
  <si>
    <t>2012_Yemen, Rep.</t>
  </si>
  <si>
    <t>2012_Zambia</t>
  </si>
  <si>
    <t>2012_Mongolia</t>
  </si>
  <si>
    <t>2013_Afghanistan</t>
  </si>
  <si>
    <t>2013_Albania</t>
  </si>
  <si>
    <t>2013_Azerbaijan</t>
  </si>
  <si>
    <t>2013_Burkina Faso</t>
  </si>
  <si>
    <t>2013_Central African Republic</t>
  </si>
  <si>
    <t>2013_Chad</t>
  </si>
  <si>
    <t>2013_Democratic Republic of Congo</t>
  </si>
  <si>
    <t>2013_Republic of the Congo</t>
  </si>
  <si>
    <t>2013_Cameroon</t>
  </si>
  <si>
    <t>2013_Equatorial Guinea</t>
  </si>
  <si>
    <t>2013_Gabon</t>
  </si>
  <si>
    <t>2013_Ghana</t>
  </si>
  <si>
    <t>2013_Guatemala</t>
  </si>
  <si>
    <t>2013_Guinea</t>
  </si>
  <si>
    <t>2013_Indonesia</t>
  </si>
  <si>
    <t>2013_Iraq</t>
  </si>
  <si>
    <t>2013_Kazakhstan</t>
  </si>
  <si>
    <t>2013_Kyrgyz Republic</t>
  </si>
  <si>
    <t>2013_Liberia</t>
  </si>
  <si>
    <t>2013_Madagascar</t>
  </si>
  <si>
    <t>2013_Mali</t>
  </si>
  <si>
    <t>2013_Mauritania</t>
  </si>
  <si>
    <t>2013_Mozambique</t>
  </si>
  <si>
    <t>2013_Niger</t>
  </si>
  <si>
    <t>2013_Nigeria</t>
  </si>
  <si>
    <t>2013_Peru</t>
  </si>
  <si>
    <t>2013_Sierra Leone</t>
  </si>
  <si>
    <t>2013_Tanzania</t>
  </si>
  <si>
    <t>2013_Togo</t>
  </si>
  <si>
    <t>2013_Timor-Leste</t>
  </si>
  <si>
    <t>2013_Trinidad and Tobago</t>
  </si>
  <si>
    <t>2013_Yemen, Rep.</t>
  </si>
  <si>
    <t>2013_Zambia</t>
  </si>
  <si>
    <t>2013_Mongolia</t>
  </si>
  <si>
    <t>2001_Cameroon</t>
  </si>
  <si>
    <t>1999_Nigeria</t>
  </si>
  <si>
    <t>2001_Nigeria</t>
  </si>
  <si>
    <t>Côte d'Ivoire</t>
  </si>
  <si>
    <t>2006_Côte d'Ivoire</t>
  </si>
  <si>
    <t>2007_Côte d'Ivoire</t>
  </si>
  <si>
    <t>2008_Côte d'Ivoire</t>
  </si>
  <si>
    <t>2009_Côte d'Ivoire</t>
  </si>
  <si>
    <t>2010_Côte d'Ivoire</t>
  </si>
  <si>
    <t>2011_Côte d'Ivoire</t>
  </si>
  <si>
    <t>2012_Côte d'Ivoire</t>
  </si>
  <si>
    <t>2008_Norway</t>
  </si>
  <si>
    <t>2009_Norway</t>
  </si>
  <si>
    <t>2010_Norway</t>
  </si>
  <si>
    <t>2011_Norway</t>
  </si>
  <si>
    <t>2012_Norway</t>
  </si>
  <si>
    <t>2005_Yemen</t>
  </si>
  <si>
    <t>2006_Yemen</t>
  </si>
  <si>
    <t>2007_Yemen</t>
  </si>
  <si>
    <t>2008_Yemen</t>
  </si>
  <si>
    <t>2009_Yemen</t>
  </si>
  <si>
    <t>2010_Yemen</t>
  </si>
  <si>
    <t>2011_Yemen</t>
  </si>
  <si>
    <t>Revenue, excluding grants</t>
  </si>
  <si>
    <t>Public spending (US$)</t>
  </si>
  <si>
    <t>Health expenditure (US$)</t>
  </si>
  <si>
    <t>Congo, Rep.</t>
  </si>
  <si>
    <t>Congo, Dem. Rep.</t>
  </si>
  <si>
    <t>Adjusted net enrollment rate, primary (% of primary school age children) [SE.PRM.TENR]</t>
  </si>
  <si>
    <t>School enrollment, primary (% gross) [SE.PRM.ENRR]</t>
  </si>
  <si>
    <t>School enrollment, primary (% net) [SE.PRM.NENR]</t>
  </si>
  <si>
    <t>Ores and metals exports (% of merchandise exports) [TX.VAL.MMTL.ZS.UN]</t>
  </si>
  <si>
    <t>Merchandise exports (current US$) [TX.VAL.MRCH.CD.WT]</t>
  </si>
  <si>
    <t>Fuel exports (% of merchandise exports) [TX.VAL.FUEL.ZS.UN]</t>
  </si>
  <si>
    <t>Extractive Exports(% Merchandise Exports)</t>
  </si>
  <si>
    <t>Extractive Exports (current US$)</t>
  </si>
  <si>
    <t>Total trade in goods and services (US$)</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</si>
</sst>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44" formatCode="_-&quot;£&quot;* #,##0.00_-;\-&quot;£&quot;* #,##0.00_-;_-&quot;£&quot;* &quot;-&quot;??_-;_-@_-"/>
    <numFmt numFmtId="43" formatCode="_-* #,##0.00_-;\-* #,##0.00_-;_-* &quot;-&quot;??_-;_-@_-"/>
    <numFmt numFmtId="164" formatCode="_(* #,##0.00_);_(* \(#,##0.00\);_(* &quot;-&quot;??_);_(@_)"/>
    <numFmt numFmtId="165" formatCode="#,##0.000000000"/>
    <numFmt numFmtId="166" formatCode="#,##0.000"/>
    <numFmt numFmtId="167" formatCode="0.0%"/>
    <numFmt numFmtId="168" formatCode="0.0"/>
    <numFmt numFmtId="169" formatCode="0.000"/>
    <numFmt numFmtId="170" formatCode="#,##0.0000"/>
    <numFmt numFmtId="171" formatCode="#,##0.00000"/>
  </numFmts>
  <fonts count="48">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color indexed="8"/>
      <name val="Calibri"/>
      <family val="2"/>
    </font>
    <font>
      <u/>
      <sz val="11"/>
      <color theme="10"/>
      <name val="Calibri"/>
      <family val="2"/>
      <scheme val="minor"/>
    </font>
    <font>
      <sz val="8"/>
      <name val="Verdana"/>
      <family val="2"/>
    </font>
    <font>
      <sz val="11"/>
      <color rgb="FF000000"/>
      <name val="Calibri"/>
      <family val="2"/>
      <scheme val="minor"/>
    </font>
    <font>
      <sz val="11"/>
      <color rgb="FF000000"/>
      <name val="Calibri"/>
      <family val="2"/>
    </font>
    <font>
      <sz val="11"/>
      <name val="Calibri"/>
      <family val="2"/>
    </font>
    <font>
      <sz val="11"/>
      <name val="Calibri"/>
      <family val="2"/>
      <scheme val="minor"/>
    </font>
    <font>
      <sz val="11"/>
      <color indexed="8"/>
      <name val="Calibri"/>
      <family val="2"/>
      <scheme val="minor"/>
    </font>
    <font>
      <b/>
      <sz val="9"/>
      <color indexed="81"/>
      <name val="Tahoma"/>
      <family val="2"/>
    </font>
    <font>
      <sz val="9"/>
      <color indexed="81"/>
      <name val="Tahoma"/>
      <family val="2"/>
    </font>
    <font>
      <b/>
      <sz val="9"/>
      <color indexed="81"/>
      <name val="Calibri"/>
      <family val="2"/>
    </font>
    <font>
      <sz val="9"/>
      <color indexed="81"/>
      <name val="Calibri"/>
      <family val="2"/>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ont>
    <font>
      <u/>
      <sz val="8"/>
      <color indexed="12"/>
      <name val="Arial"/>
      <family val="2"/>
    </font>
    <font>
      <sz val="10"/>
      <name val="Arial"/>
      <family val="2"/>
    </font>
    <font>
      <sz val="8"/>
      <name val="Arial"/>
      <family val="2"/>
    </font>
    <font>
      <sz val="10"/>
      <color theme="1"/>
      <name val="Arial"/>
      <family val="2"/>
    </font>
    <font>
      <b/>
      <sz val="11"/>
      <color indexed="8"/>
      <name val="Calibri"/>
      <family val="2"/>
    </font>
    <font>
      <u/>
      <sz val="11"/>
      <color indexed="8"/>
      <name val="Calibri"/>
      <family val="2"/>
    </font>
    <font>
      <sz val="11"/>
      <color rgb="FFFF0000"/>
      <name val="Calibri"/>
      <family val="2"/>
    </font>
    <font>
      <sz val="15"/>
      <color rgb="FF262626"/>
      <name val="Times"/>
    </font>
    <font>
      <sz val="11"/>
      <color rgb="FF333333"/>
      <name val="Arial"/>
      <family val="2"/>
    </font>
    <font>
      <sz val="11"/>
      <color rgb="FF262626"/>
      <name val="Calibri"/>
      <family val="2"/>
      <scheme val="minor"/>
    </font>
    <font>
      <sz val="11"/>
      <color indexed="8"/>
      <name val="Calibri"/>
      <family val="2"/>
      <scheme val="minor"/>
    </font>
    <font>
      <i/>
      <sz val="11"/>
      <color indexed="8"/>
      <name val="Calibri"/>
      <family val="2"/>
    </font>
    <font>
      <i/>
      <sz val="11"/>
      <color theme="1"/>
      <name val="Calibri"/>
      <family val="2"/>
      <scheme val="minor"/>
    </font>
    <font>
      <b/>
      <sz val="11"/>
      <name val="Calibri"/>
      <family val="2"/>
      <scheme val="minor"/>
    </font>
    <font>
      <sz val="11"/>
      <color rgb="FF1F497D"/>
      <name val="Symbol"/>
      <family val="1"/>
      <charset val="2"/>
    </font>
    <font>
      <b/>
      <sz val="10"/>
      <name val="Arial"/>
      <family val="2"/>
    </font>
    <font>
      <b/>
      <sz val="8"/>
      <color indexed="81"/>
      <name val="Tahoma"/>
      <family val="2"/>
    </font>
    <font>
      <sz val="8"/>
      <color indexed="81"/>
      <name val="Tahoma"/>
      <family val="2"/>
    </font>
    <font>
      <sz val="24"/>
      <color rgb="FFFF0000"/>
      <name val="Arial"/>
      <family val="2"/>
    </font>
  </fonts>
  <fills count="13">
    <fill>
      <patternFill patternType="none"/>
    </fill>
    <fill>
      <patternFill patternType="gray125"/>
    </fill>
    <fill>
      <patternFill patternType="solid">
        <fgColor theme="4" tint="0.7999816888943144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4" tint="0.79998168889431442"/>
        <bgColor indexed="32"/>
      </patternFill>
    </fill>
  </fills>
  <borders count="35">
    <border>
      <left/>
      <right/>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style="medium">
        <color auto="1"/>
      </left>
      <right/>
      <top/>
      <bottom/>
      <diagonal/>
    </border>
    <border>
      <left/>
      <right/>
      <top/>
      <bottom style="thin">
        <color indexed="5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medium">
        <color indexed="64"/>
      </right>
      <top/>
      <bottom/>
      <diagonal/>
    </border>
    <border>
      <left style="medium">
        <color indexed="64"/>
      </left>
      <right/>
      <top style="thin">
        <color auto="1"/>
      </top>
      <bottom/>
      <diagonal/>
    </border>
    <border>
      <left/>
      <right/>
      <top style="thin">
        <color auto="1"/>
      </top>
      <bottom/>
      <diagonal/>
    </border>
    <border>
      <left/>
      <right style="medium">
        <color indexed="64"/>
      </right>
      <top style="thin">
        <color auto="1"/>
      </top>
      <bottom/>
      <diagonal/>
    </border>
    <border>
      <left style="medium">
        <color indexed="64"/>
      </left>
      <right/>
      <top/>
      <bottom style="thin">
        <color auto="1"/>
      </bottom>
      <diagonal/>
    </border>
    <border>
      <left/>
      <right/>
      <top/>
      <bottom style="thin">
        <color indexed="64"/>
      </bottom>
      <diagonal/>
    </border>
    <border>
      <left/>
      <right style="medium">
        <color indexed="64"/>
      </right>
      <top/>
      <bottom style="thin">
        <color auto="1"/>
      </bottom>
      <diagonal/>
    </border>
    <border>
      <left style="medium">
        <color indexed="64"/>
      </left>
      <right/>
      <top/>
      <bottom style="medium">
        <color auto="1"/>
      </bottom>
      <diagonal/>
    </border>
    <border>
      <left/>
      <right/>
      <top/>
      <bottom style="medium">
        <color auto="1"/>
      </bottom>
      <diagonal/>
    </border>
    <border>
      <left/>
      <right style="medium">
        <color indexed="64"/>
      </right>
      <top/>
      <bottom style="medium">
        <color auto="1"/>
      </bottom>
      <diagonal/>
    </border>
    <border>
      <left/>
      <right/>
      <top style="medium">
        <color auto="1"/>
      </top>
      <bottom/>
      <diagonal/>
    </border>
    <border>
      <left style="medium">
        <color indexed="64"/>
      </left>
      <right/>
      <top style="medium">
        <color auto="1"/>
      </top>
      <bottom/>
      <diagonal/>
    </border>
    <border>
      <left/>
      <right style="medium">
        <color indexed="64"/>
      </right>
      <top style="medium">
        <color auto="1"/>
      </top>
      <bottom/>
      <diagonal/>
    </border>
    <border>
      <left style="medium">
        <color indexed="64"/>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left/>
      <right/>
      <top style="thin">
        <color auto="1"/>
      </top>
      <bottom style="medium">
        <color auto="1"/>
      </bottom>
      <diagonal/>
    </border>
    <border>
      <left/>
      <right/>
      <top style="medium">
        <color auto="1"/>
      </top>
      <bottom style="medium">
        <color auto="1"/>
      </bottom>
      <diagonal/>
    </border>
    <border>
      <left style="medium">
        <color indexed="64"/>
      </left>
      <right/>
      <top style="thin">
        <color auto="1"/>
      </top>
      <bottom style="medium">
        <color auto="1"/>
      </bottom>
      <diagonal/>
    </border>
    <border>
      <left/>
      <right style="medium">
        <color indexed="64"/>
      </right>
      <top style="thin">
        <color auto="1"/>
      </top>
      <bottom style="medium">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diagonal/>
    </border>
  </borders>
  <cellStyleXfs count="34">
    <xf numFmtId="0" fontId="0" fillId="0" borderId="0"/>
    <xf numFmtId="0" fontId="5" fillId="0" borderId="0"/>
    <xf numFmtId="0" fontId="8" fillId="0" borderId="0" applyNumberFormat="0" applyFill="0" applyBorder="0" applyAlignment="0" applyProtection="0"/>
    <xf numFmtId="0" fontId="4" fillId="0" borderId="0"/>
    <xf numFmtId="0" fontId="19" fillId="0" borderId="0"/>
    <xf numFmtId="0" fontId="20" fillId="0" borderId="0">
      <alignment horizontal="right"/>
    </xf>
    <xf numFmtId="0" fontId="21" fillId="0" borderId="0"/>
    <xf numFmtId="0" fontId="22" fillId="0" borderId="0"/>
    <xf numFmtId="0" fontId="23" fillId="0" borderId="0"/>
    <xf numFmtId="0" fontId="24" fillId="0" borderId="4" applyNumberFormat="0" applyAlignment="0"/>
    <xf numFmtId="0" fontId="25" fillId="0" borderId="0" applyAlignment="0">
      <alignment horizontal="left"/>
    </xf>
    <xf numFmtId="0" fontId="25" fillId="0" borderId="0">
      <alignment horizontal="right"/>
    </xf>
    <xf numFmtId="167" fontId="25" fillId="0" borderId="0">
      <alignment horizontal="right"/>
    </xf>
    <xf numFmtId="168" fontId="26" fillId="0" borderId="0">
      <alignment horizontal="right"/>
    </xf>
    <xf numFmtId="0" fontId="27" fillId="0" borderId="0"/>
    <xf numFmtId="43" fontId="28" fillId="0" borderId="0" applyFont="0" applyFill="0" applyBorder="0" applyAlignment="0" applyProtection="0"/>
    <xf numFmtId="43" fontId="4" fillId="0" borderId="0" applyFont="0" applyFill="0" applyBorder="0" applyAlignment="0" applyProtection="0"/>
    <xf numFmtId="43" fontId="7" fillId="0" borderId="0" applyFont="0" applyFill="0" applyBorder="0" applyAlignment="0" applyProtection="0"/>
    <xf numFmtId="44" fontId="4" fillId="0" borderId="0" applyFont="0" applyFill="0" applyBorder="0" applyAlignment="0" applyProtection="0"/>
    <xf numFmtId="0" fontId="29" fillId="0" borderId="0" applyNumberFormat="0" applyFill="0" applyBorder="0" applyAlignment="0" applyProtection="0">
      <alignment vertical="top"/>
      <protection locked="0"/>
    </xf>
    <xf numFmtId="0" fontId="4" fillId="0" borderId="0"/>
    <xf numFmtId="0" fontId="4" fillId="0" borderId="0"/>
    <xf numFmtId="0" fontId="4" fillId="0" borderId="0"/>
    <xf numFmtId="0" fontId="30" fillId="0" borderId="0"/>
    <xf numFmtId="0" fontId="30" fillId="0" borderId="0"/>
    <xf numFmtId="0" fontId="4" fillId="0" borderId="0"/>
    <xf numFmtId="0" fontId="31" fillId="0" borderId="0" applyFill="0" applyBorder="0"/>
    <xf numFmtId="0" fontId="32" fillId="0" borderId="0"/>
    <xf numFmtId="167" fontId="28" fillId="0" borderId="0" applyFont="0" applyFill="0" applyBorder="0" applyAlignment="0" applyProtection="0"/>
    <xf numFmtId="164" fontId="7" fillId="0" borderId="0" applyFont="0" applyFill="0" applyBorder="0" applyAlignment="0" applyProtection="0"/>
    <xf numFmtId="0" fontId="3" fillId="0" borderId="0"/>
    <xf numFmtId="0" fontId="2" fillId="0" borderId="0"/>
    <xf numFmtId="9" fontId="7" fillId="0" borderId="0" applyFont="0" applyFill="0" applyBorder="0" applyAlignment="0" applyProtection="0"/>
    <xf numFmtId="0" fontId="1" fillId="0" borderId="0"/>
  </cellStyleXfs>
  <cellXfs count="849">
    <xf numFmtId="0" fontId="0" fillId="0" borderId="0" xfId="0"/>
    <xf numFmtId="0" fontId="6" fillId="2" borderId="1" xfId="1" applyFont="1" applyFill="1" applyBorder="1"/>
    <xf numFmtId="0" fontId="6" fillId="2" borderId="0" xfId="1" applyFont="1" applyFill="1"/>
    <xf numFmtId="0" fontId="6" fillId="2" borderId="2" xfId="1" applyFont="1" applyFill="1" applyBorder="1" applyAlignment="1">
      <alignment vertical="top" wrapText="1"/>
    </xf>
    <xf numFmtId="0" fontId="6" fillId="2" borderId="2" xfId="1" applyFont="1" applyFill="1" applyBorder="1" applyAlignment="1">
      <alignment horizontal="left" vertical="top" wrapText="1"/>
    </xf>
    <xf numFmtId="49" fontId="6" fillId="2" borderId="2" xfId="1" applyNumberFormat="1" applyFont="1" applyFill="1" applyBorder="1" applyAlignment="1">
      <alignment horizontal="left" vertical="top" wrapText="1"/>
    </xf>
    <xf numFmtId="0" fontId="6" fillId="2" borderId="2" xfId="1" applyFont="1" applyFill="1" applyBorder="1" applyAlignment="1">
      <alignment horizontal="left" vertical="top"/>
    </xf>
    <xf numFmtId="0" fontId="6" fillId="2" borderId="0" xfId="1" applyFont="1" applyFill="1" applyAlignment="1">
      <alignment vertical="top" wrapText="1"/>
    </xf>
    <xf numFmtId="0" fontId="5" fillId="0" borderId="0" xfId="1"/>
    <xf numFmtId="0" fontId="5" fillId="0" borderId="0" xfId="1" applyAlignment="1">
      <alignment horizontal="left"/>
    </xf>
    <xf numFmtId="49" fontId="0" fillId="0" borderId="0" xfId="0" applyNumberFormat="1" applyAlignment="1">
      <alignment horizontal="left" wrapText="1"/>
    </xf>
    <xf numFmtId="3" fontId="5" fillId="0" borderId="0" xfId="1" applyNumberFormat="1" applyAlignment="1">
      <alignment horizontal="left"/>
    </xf>
    <xf numFmtId="0" fontId="5" fillId="0" borderId="0" xfId="1" applyFill="1" applyAlignment="1">
      <alignment horizontal="left"/>
    </xf>
    <xf numFmtId="0" fontId="8" fillId="0" borderId="0" xfId="2" applyAlignment="1">
      <alignment horizontal="left"/>
    </xf>
    <xf numFmtId="0" fontId="4" fillId="0" borderId="0" xfId="1" applyFont="1" applyAlignment="1">
      <alignment horizontal="left"/>
    </xf>
    <xf numFmtId="0" fontId="9" fillId="0" borderId="0" xfId="1" applyFont="1" applyFill="1" applyBorder="1" applyAlignment="1"/>
    <xf numFmtId="0" fontId="8" fillId="0" borderId="0" xfId="2"/>
    <xf numFmtId="0" fontId="4" fillId="0" borderId="0" xfId="1" applyFont="1"/>
    <xf numFmtId="3" fontId="5" fillId="3" borderId="0" xfId="1" applyNumberFormat="1" applyFill="1" applyAlignment="1">
      <alignment horizontal="left"/>
    </xf>
    <xf numFmtId="0" fontId="0" fillId="0" borderId="0" xfId="0" applyFill="1" applyAlignment="1">
      <alignment horizontal="left" wrapText="1"/>
    </xf>
    <xf numFmtId="3" fontId="5" fillId="0" borderId="0" xfId="1" applyNumberFormat="1" applyFill="1" applyAlignment="1">
      <alignment horizontal="left"/>
    </xf>
    <xf numFmtId="0" fontId="4" fillId="0" borderId="0" xfId="1" applyFont="1" applyFill="1"/>
    <xf numFmtId="0" fontId="4" fillId="0" borderId="0" xfId="1" applyFont="1" applyFill="1" applyAlignment="1">
      <alignment horizontal="left"/>
    </xf>
    <xf numFmtId="0" fontId="8" fillId="0" borderId="0" xfId="2" applyFill="1" applyAlignment="1">
      <alignment horizontal="left"/>
    </xf>
    <xf numFmtId="0" fontId="5" fillId="0" borderId="0" xfId="1" applyFill="1"/>
    <xf numFmtId="0" fontId="8" fillId="0" borderId="0" xfId="2" applyFill="1"/>
    <xf numFmtId="0" fontId="10" fillId="0" borderId="0" xfId="0" applyFont="1" applyAlignment="1">
      <alignment horizontal="left" wrapText="1"/>
    </xf>
    <xf numFmtId="0" fontId="4" fillId="0" borderId="0" xfId="0" applyFont="1" applyAlignment="1">
      <alignment horizontal="left" wrapText="1"/>
    </xf>
    <xf numFmtId="4" fontId="0" fillId="4" borderId="0" xfId="0" applyNumberFormat="1" applyFill="1" applyAlignment="1">
      <alignment horizontal="left" wrapText="1"/>
    </xf>
    <xf numFmtId="0" fontId="0" fillId="0" borderId="0" xfId="0" applyAlignment="1">
      <alignment horizontal="left" wrapText="1"/>
    </xf>
    <xf numFmtId="0" fontId="0" fillId="0" borderId="0" xfId="0" applyAlignment="1">
      <alignment horizontal="left"/>
    </xf>
    <xf numFmtId="3" fontId="4" fillId="5" borderId="0" xfId="1" applyNumberFormat="1" applyFont="1" applyFill="1" applyAlignment="1">
      <alignment horizontal="left"/>
    </xf>
    <xf numFmtId="3" fontId="4" fillId="6" borderId="0" xfId="1" applyNumberFormat="1" applyFont="1" applyFill="1" applyAlignment="1">
      <alignment horizontal="left"/>
    </xf>
    <xf numFmtId="0" fontId="4" fillId="7" borderId="0" xfId="1" applyFont="1" applyFill="1"/>
    <xf numFmtId="0" fontId="5" fillId="7" borderId="0" xfId="1" applyFill="1" applyAlignment="1">
      <alignment horizontal="left"/>
    </xf>
    <xf numFmtId="0" fontId="0" fillId="7" borderId="0" xfId="0" applyFill="1" applyAlignment="1">
      <alignment horizontal="left" wrapText="1"/>
    </xf>
    <xf numFmtId="0" fontId="4" fillId="7" borderId="0" xfId="1" applyFont="1" applyFill="1" applyAlignment="1">
      <alignment horizontal="left"/>
    </xf>
    <xf numFmtId="49" fontId="0" fillId="7" borderId="0" xfId="0" applyNumberFormat="1" applyFill="1" applyAlignment="1">
      <alignment horizontal="left" wrapText="1"/>
    </xf>
    <xf numFmtId="3" fontId="5" fillId="4" borderId="0" xfId="1" applyNumberFormat="1" applyFill="1" applyAlignment="1">
      <alignment horizontal="left"/>
    </xf>
    <xf numFmtId="0" fontId="8" fillId="7" borderId="0" xfId="2" applyFill="1" applyAlignment="1">
      <alignment horizontal="left"/>
    </xf>
    <xf numFmtId="0" fontId="5" fillId="7" borderId="0" xfId="1" applyFill="1"/>
    <xf numFmtId="0" fontId="9" fillId="7" borderId="0" xfId="1" applyFont="1" applyFill="1" applyBorder="1" applyAlignment="1"/>
    <xf numFmtId="0" fontId="8" fillId="7" borderId="0" xfId="2" applyFill="1"/>
    <xf numFmtId="49" fontId="0" fillId="0" borderId="0" xfId="0" applyNumberFormat="1" applyFill="1" applyAlignment="1">
      <alignment horizontal="left" wrapText="1"/>
    </xf>
    <xf numFmtId="3" fontId="5" fillId="5" borderId="0" xfId="1" applyNumberFormat="1" applyFill="1" applyAlignment="1">
      <alignment horizontal="left"/>
    </xf>
    <xf numFmtId="0" fontId="4" fillId="0" borderId="0" xfId="0" applyFont="1" applyAlignment="1">
      <alignment vertical="top"/>
    </xf>
    <xf numFmtId="0" fontId="4" fillId="0" borderId="0" xfId="0" applyFont="1" applyAlignment="1">
      <alignment horizontal="left" vertical="top"/>
    </xf>
    <xf numFmtId="4" fontId="0" fillId="0" borderId="0" xfId="0" applyNumberFormat="1" applyAlignment="1">
      <alignment horizontal="left" wrapText="1"/>
    </xf>
    <xf numFmtId="3" fontId="5" fillId="3" borderId="0" xfId="1" applyNumberFormat="1" applyFill="1" applyBorder="1" applyAlignment="1">
      <alignment horizontal="left"/>
    </xf>
    <xf numFmtId="0" fontId="4" fillId="0" borderId="0" xfId="0" applyFont="1" applyBorder="1" applyAlignment="1">
      <alignment horizontal="left" wrapText="1"/>
    </xf>
    <xf numFmtId="3" fontId="0" fillId="3" borderId="0" xfId="0" applyNumberFormat="1" applyFill="1" applyAlignment="1">
      <alignment horizontal="left" wrapText="1"/>
    </xf>
    <xf numFmtId="3" fontId="5" fillId="7" borderId="0" xfId="1" applyNumberFormat="1" applyFill="1" applyAlignment="1">
      <alignment horizontal="left"/>
    </xf>
    <xf numFmtId="0" fontId="0" fillId="0" borderId="0" xfId="0" applyFill="1" applyAlignment="1">
      <alignment horizontal="left"/>
    </xf>
    <xf numFmtId="3" fontId="4" fillId="0" borderId="0" xfId="1" applyNumberFormat="1" applyFont="1" applyFill="1" applyAlignment="1">
      <alignment horizontal="left"/>
    </xf>
    <xf numFmtId="0" fontId="0" fillId="7" borderId="0" xfId="0" applyFill="1" applyAlignment="1">
      <alignment horizontal="left"/>
    </xf>
    <xf numFmtId="3" fontId="5" fillId="8" borderId="0" xfId="1" applyNumberFormat="1" applyFill="1" applyAlignment="1">
      <alignment horizontal="left"/>
    </xf>
    <xf numFmtId="3" fontId="0" fillId="4" borderId="0" xfId="0" applyNumberFormat="1" applyFill="1" applyAlignment="1">
      <alignment horizontal="left" wrapText="1"/>
    </xf>
    <xf numFmtId="165" fontId="5" fillId="0" borderId="0" xfId="1" applyNumberFormat="1" applyFill="1"/>
    <xf numFmtId="0" fontId="4" fillId="0" borderId="0" xfId="3" applyFont="1" applyFill="1" applyBorder="1"/>
    <xf numFmtId="0" fontId="10" fillId="0" borderId="0" xfId="0" applyFont="1" applyBorder="1"/>
    <xf numFmtId="3" fontId="0" fillId="0" borderId="0" xfId="0" applyNumberFormat="1" applyAlignment="1">
      <alignment horizontal="left" wrapText="1"/>
    </xf>
    <xf numFmtId="3" fontId="11" fillId="0" borderId="0" xfId="0" applyNumberFormat="1" applyFont="1" applyAlignment="1">
      <alignment horizontal="left" wrapText="1"/>
    </xf>
    <xf numFmtId="3" fontId="4" fillId="7" borderId="0" xfId="1" applyNumberFormat="1" applyFont="1" applyFill="1" applyAlignment="1">
      <alignment horizontal="left"/>
    </xf>
    <xf numFmtId="49" fontId="4" fillId="0" borderId="0" xfId="1" applyNumberFormat="1" applyFont="1" applyFill="1" applyAlignment="1">
      <alignment horizontal="left"/>
    </xf>
    <xf numFmtId="166" fontId="5" fillId="0" borderId="0" xfId="1" applyNumberFormat="1" applyFill="1"/>
    <xf numFmtId="17" fontId="0" fillId="0" borderId="0" xfId="0" applyNumberFormat="1" applyAlignment="1">
      <alignment horizontal="left"/>
    </xf>
    <xf numFmtId="0" fontId="10" fillId="0" borderId="0" xfId="0" applyFont="1" applyAlignment="1">
      <alignment horizontal="left" vertical="top"/>
    </xf>
    <xf numFmtId="0" fontId="10" fillId="0" borderId="0" xfId="0" applyFont="1" applyAlignment="1">
      <alignment vertical="top"/>
    </xf>
    <xf numFmtId="4" fontId="0" fillId="3" borderId="0" xfId="0" applyNumberFormat="1" applyFill="1" applyAlignment="1">
      <alignment horizontal="left" wrapText="1"/>
    </xf>
    <xf numFmtId="0" fontId="4" fillId="9" borderId="0" xfId="1" applyFont="1" applyFill="1"/>
    <xf numFmtId="0" fontId="5" fillId="9" borderId="0" xfId="1" applyFill="1" applyAlignment="1">
      <alignment horizontal="left"/>
    </xf>
    <xf numFmtId="0" fontId="4" fillId="9" borderId="0" xfId="1" applyFont="1" applyFill="1" applyAlignment="1">
      <alignment horizontal="left"/>
    </xf>
    <xf numFmtId="0" fontId="0" fillId="9" borderId="0" xfId="0" applyFill="1" applyAlignment="1">
      <alignment horizontal="left" wrapText="1"/>
    </xf>
    <xf numFmtId="3" fontId="5" fillId="9" borderId="0" xfId="1" applyNumberFormat="1" applyFill="1" applyAlignment="1">
      <alignment horizontal="left"/>
    </xf>
    <xf numFmtId="0" fontId="0" fillId="9" borderId="0" xfId="0" applyFill="1" applyAlignment="1">
      <alignment horizontal="left"/>
    </xf>
    <xf numFmtId="0" fontId="5" fillId="9" borderId="0" xfId="1" applyFill="1"/>
    <xf numFmtId="3" fontId="0" fillId="0" borderId="0" xfId="0" applyNumberFormat="1" applyFill="1" applyAlignment="1">
      <alignment horizontal="left" wrapText="1"/>
    </xf>
    <xf numFmtId="3" fontId="0" fillId="5" borderId="0" xfId="0" applyNumberFormat="1" applyFill="1" applyAlignment="1">
      <alignment horizontal="left" wrapText="1"/>
    </xf>
    <xf numFmtId="3" fontId="5" fillId="4" borderId="0" xfId="1" applyNumberFormat="1" applyFill="1" applyBorder="1" applyAlignment="1">
      <alignment horizontal="left"/>
    </xf>
    <xf numFmtId="3" fontId="0" fillId="0" borderId="0" xfId="0" applyNumberFormat="1" applyAlignment="1">
      <alignment horizontal="left"/>
    </xf>
    <xf numFmtId="3" fontId="5" fillId="6" borderId="0" xfId="1" applyNumberFormat="1" applyFill="1" applyAlignment="1">
      <alignment horizontal="left"/>
    </xf>
    <xf numFmtId="0" fontId="12" fillId="0" borderId="0" xfId="0" applyFont="1" applyAlignment="1">
      <alignment vertical="center"/>
    </xf>
    <xf numFmtId="3" fontId="12" fillId="0" borderId="0" xfId="0" applyNumberFormat="1" applyFont="1" applyFill="1" applyAlignment="1">
      <alignment horizontal="left" wrapText="1"/>
    </xf>
    <xf numFmtId="3" fontId="4" fillId="3" borderId="0" xfId="1" applyNumberFormat="1" applyFont="1" applyFill="1" applyAlignment="1">
      <alignment horizontal="left"/>
    </xf>
    <xf numFmtId="3" fontId="4" fillId="4" borderId="0" xfId="1" applyNumberFormat="1" applyFont="1" applyFill="1" applyAlignment="1">
      <alignment horizontal="left"/>
    </xf>
    <xf numFmtId="3" fontId="0" fillId="7" borderId="0" xfId="0" applyNumberFormat="1" applyFill="1" applyAlignment="1">
      <alignment horizontal="left" wrapText="1"/>
    </xf>
    <xf numFmtId="3" fontId="0" fillId="8" borderId="0" xfId="0" applyNumberFormat="1" applyFill="1" applyAlignment="1">
      <alignment horizontal="left" wrapText="1"/>
    </xf>
    <xf numFmtId="3" fontId="0" fillId="9" borderId="0" xfId="0" applyNumberFormat="1" applyFill="1" applyAlignment="1">
      <alignment horizontal="left" wrapText="1"/>
    </xf>
    <xf numFmtId="3" fontId="0" fillId="6" borderId="0" xfId="0" applyNumberFormat="1" applyFill="1" applyAlignment="1">
      <alignment horizontal="left" wrapText="1"/>
    </xf>
    <xf numFmtId="3" fontId="0" fillId="0" borderId="0" xfId="0" applyNumberFormat="1" applyFill="1" applyBorder="1" applyAlignment="1">
      <alignment horizontal="left" wrapText="1"/>
    </xf>
    <xf numFmtId="3" fontId="0" fillId="5" borderId="0" xfId="0" applyNumberFormat="1" applyFill="1" applyBorder="1" applyAlignment="1">
      <alignment horizontal="left" wrapText="1"/>
    </xf>
    <xf numFmtId="0" fontId="4" fillId="0" borderId="3" xfId="1" applyFont="1" applyFill="1" applyBorder="1"/>
    <xf numFmtId="0" fontId="13" fillId="0" borderId="0" xfId="1" applyFont="1" applyFill="1"/>
    <xf numFmtId="0" fontId="13" fillId="0" borderId="0" xfId="1" applyFont="1" applyFill="1" applyAlignment="1">
      <alignment horizontal="left"/>
    </xf>
    <xf numFmtId="49" fontId="13" fillId="0" borderId="0" xfId="1" applyNumberFormat="1" applyFont="1" applyFill="1" applyAlignment="1">
      <alignment horizontal="left"/>
    </xf>
    <xf numFmtId="0" fontId="12" fillId="0" borderId="0" xfId="0" applyFont="1" applyFill="1" applyAlignment="1">
      <alignment horizontal="left" wrapText="1"/>
    </xf>
    <xf numFmtId="3" fontId="13" fillId="4" borderId="0" xfId="1" applyNumberFormat="1" applyFont="1" applyFill="1" applyAlignment="1">
      <alignment horizontal="left"/>
    </xf>
    <xf numFmtId="3" fontId="13" fillId="0" borderId="0" xfId="1" applyNumberFormat="1" applyFont="1" applyFill="1" applyAlignment="1">
      <alignment horizontal="left"/>
    </xf>
    <xf numFmtId="3" fontId="13" fillId="3" borderId="0" xfId="1" applyNumberFormat="1" applyFont="1" applyFill="1" applyAlignment="1">
      <alignment horizontal="left"/>
    </xf>
    <xf numFmtId="4" fontId="12" fillId="4" borderId="0" xfId="0" applyNumberFormat="1" applyFont="1" applyFill="1" applyAlignment="1">
      <alignment horizontal="left" wrapText="1"/>
    </xf>
    <xf numFmtId="0" fontId="14" fillId="0" borderId="0" xfId="0" applyFont="1" applyAlignment="1">
      <alignment vertical="center"/>
    </xf>
    <xf numFmtId="4" fontId="14" fillId="0" borderId="0" xfId="0" applyNumberFormat="1" applyFont="1" applyAlignment="1">
      <alignment horizontal="left" vertical="center"/>
    </xf>
    <xf numFmtId="49" fontId="5" fillId="0" borderId="0" xfId="1" applyNumberFormat="1" applyAlignment="1">
      <alignment horizontal="left"/>
    </xf>
    <xf numFmtId="49" fontId="5" fillId="0" borderId="0" xfId="1" applyNumberFormat="1" applyFill="1" applyAlignment="1">
      <alignment horizontal="left"/>
    </xf>
    <xf numFmtId="0" fontId="8" fillId="0" borderId="0" xfId="2" applyAlignment="1">
      <alignment vertical="center"/>
    </xf>
    <xf numFmtId="0" fontId="5" fillId="0" borderId="0" xfId="1" applyAlignment="1"/>
    <xf numFmtId="0" fontId="33" fillId="2" borderId="5" xfId="0" applyFont="1" applyFill="1" applyBorder="1" applyAlignment="1">
      <alignment horizontal="left" vertical="top" wrapText="1"/>
    </xf>
    <xf numFmtId="0" fontId="33" fillId="2" borderId="6" xfId="0" applyFont="1" applyFill="1" applyBorder="1" applyAlignment="1">
      <alignment horizontal="left" vertical="top" wrapText="1"/>
    </xf>
    <xf numFmtId="3" fontId="33" fillId="2" borderId="6" xfId="0" applyNumberFormat="1" applyFont="1" applyFill="1" applyBorder="1" applyAlignment="1">
      <alignment horizontal="left" vertical="top" wrapText="1"/>
    </xf>
    <xf numFmtId="4" fontId="33" fillId="2" borderId="6" xfId="0" applyNumberFormat="1" applyFont="1" applyFill="1" applyBorder="1" applyAlignment="1">
      <alignment horizontal="left" vertical="top" wrapText="1"/>
    </xf>
    <xf numFmtId="0" fontId="33" fillId="2" borderId="6" xfId="0" applyNumberFormat="1" applyFont="1" applyFill="1" applyBorder="1" applyAlignment="1">
      <alignment horizontal="left" vertical="top" wrapText="1"/>
    </xf>
    <xf numFmtId="10" fontId="33" fillId="2" borderId="6" xfId="0" applyNumberFormat="1" applyFont="1" applyFill="1" applyBorder="1" applyAlignment="1">
      <alignment horizontal="left" vertical="top" wrapText="1"/>
    </xf>
    <xf numFmtId="169" fontId="33" fillId="2" borderId="6" xfId="0" applyNumberFormat="1" applyFont="1" applyFill="1" applyBorder="1" applyAlignment="1">
      <alignment horizontal="left" vertical="top" wrapText="1"/>
    </xf>
    <xf numFmtId="0" fontId="33" fillId="2" borderId="7" xfId="0" applyFont="1" applyFill="1" applyBorder="1" applyAlignment="1">
      <alignment horizontal="left" vertical="top" wrapText="1"/>
    </xf>
    <xf numFmtId="0" fontId="33" fillId="0" borderId="6" xfId="0" applyFont="1" applyFill="1" applyBorder="1" applyAlignment="1">
      <alignment vertical="top" wrapText="1"/>
    </xf>
    <xf numFmtId="0" fontId="4" fillId="0" borderId="3" xfId="25" applyFill="1" applyBorder="1" applyAlignment="1">
      <alignment horizontal="left"/>
    </xf>
    <xf numFmtId="0" fontId="4" fillId="0" borderId="0" xfId="25" applyBorder="1" applyAlignment="1">
      <alignment horizontal="left"/>
    </xf>
    <xf numFmtId="0" fontId="0" fillId="0" borderId="0" xfId="0" applyFill="1" applyBorder="1" applyAlignment="1">
      <alignment horizontal="left" wrapText="1"/>
    </xf>
    <xf numFmtId="3" fontId="4" fillId="0" borderId="0" xfId="25" applyNumberFormat="1" applyFont="1" applyBorder="1" applyAlignment="1">
      <alignment horizontal="left"/>
    </xf>
    <xf numFmtId="4" fontId="0" fillId="0" borderId="0" xfId="0" applyNumberFormat="1" applyFill="1" applyBorder="1" applyAlignment="1">
      <alignment horizontal="left" wrapText="1"/>
    </xf>
    <xf numFmtId="0" fontId="0" fillId="0" borderId="0" xfId="0" applyFill="1" applyBorder="1" applyAlignment="1">
      <alignment wrapText="1"/>
    </xf>
    <xf numFmtId="3" fontId="4" fillId="0" borderId="0" xfId="25" applyNumberFormat="1" applyBorder="1" applyAlignment="1">
      <alignment horizontal="left"/>
    </xf>
    <xf numFmtId="0" fontId="4" fillId="0" borderId="0" xfId="25" applyNumberFormat="1" applyFill="1" applyBorder="1" applyAlignment="1">
      <alignment horizontal="left"/>
    </xf>
    <xf numFmtId="10" fontId="4" fillId="0" borderId="0" xfId="25" applyNumberFormat="1" applyFill="1" applyBorder="1" applyAlignment="1">
      <alignment horizontal="left"/>
    </xf>
    <xf numFmtId="169" fontId="0" fillId="0" borderId="0" xfId="0" applyNumberFormat="1" applyFill="1" applyBorder="1" applyAlignment="1">
      <alignment horizontal="left" wrapText="1"/>
    </xf>
    <xf numFmtId="0" fontId="0" fillId="0" borderId="0" xfId="0" applyBorder="1" applyAlignment="1">
      <alignment wrapText="1"/>
    </xf>
    <xf numFmtId="15" fontId="0" fillId="0" borderId="0" xfId="0" applyNumberFormat="1" applyFill="1" applyBorder="1" applyAlignment="1">
      <alignment horizontal="left" wrapText="1"/>
    </xf>
    <xf numFmtId="0" fontId="8" fillId="0" borderId="0" xfId="2" applyFill="1" applyBorder="1" applyAlignment="1">
      <alignment horizontal="left" wrapText="1"/>
    </xf>
    <xf numFmtId="0" fontId="0" fillId="0" borderId="9" xfId="0" applyFill="1" applyBorder="1" applyAlignment="1">
      <alignment horizontal="left" wrapText="1"/>
    </xf>
    <xf numFmtId="0" fontId="0" fillId="0" borderId="0" xfId="0" applyFill="1" applyAlignment="1">
      <alignment wrapText="1"/>
    </xf>
    <xf numFmtId="0" fontId="4" fillId="0" borderId="10" xfId="25" applyFont="1" applyFill="1" applyBorder="1" applyAlignment="1">
      <alignment horizontal="left"/>
    </xf>
    <xf numFmtId="0" fontId="4" fillId="0" borderId="11" xfId="25" applyBorder="1" applyAlignment="1">
      <alignment horizontal="left"/>
    </xf>
    <xf numFmtId="0" fontId="0" fillId="0" borderId="11" xfId="0" applyFill="1" applyBorder="1" applyAlignment="1">
      <alignment horizontal="left" wrapText="1"/>
    </xf>
    <xf numFmtId="3" fontId="4" fillId="0" borderId="11" xfId="25" applyNumberFormat="1" applyFont="1" applyBorder="1" applyAlignment="1">
      <alignment horizontal="left"/>
    </xf>
    <xf numFmtId="4" fontId="0" fillId="0" borderId="11" xfId="0" applyNumberFormat="1" applyFill="1" applyBorder="1" applyAlignment="1">
      <alignment horizontal="left" wrapText="1"/>
    </xf>
    <xf numFmtId="3" fontId="0" fillId="0" borderId="11" xfId="0" applyNumberFormat="1" applyFill="1" applyBorder="1" applyAlignment="1">
      <alignment horizontal="left" wrapText="1"/>
    </xf>
    <xf numFmtId="0" fontId="0" fillId="0" borderId="11" xfId="0" applyBorder="1" applyAlignment="1">
      <alignment wrapText="1"/>
    </xf>
    <xf numFmtId="3" fontId="4" fillId="0" borderId="11" xfId="25" applyNumberFormat="1" applyBorder="1" applyAlignment="1">
      <alignment horizontal="left"/>
    </xf>
    <xf numFmtId="0" fontId="4" fillId="0" borderId="11" xfId="25" applyNumberFormat="1" applyFill="1" applyBorder="1" applyAlignment="1">
      <alignment horizontal="left"/>
    </xf>
    <xf numFmtId="10" fontId="4" fillId="0" borderId="11" xfId="25" applyNumberFormat="1" applyFill="1" applyBorder="1" applyAlignment="1">
      <alignment horizontal="left"/>
    </xf>
    <xf numFmtId="169" fontId="0" fillId="0" borderId="11" xfId="0" applyNumberFormat="1" applyFill="1" applyBorder="1" applyAlignment="1">
      <alignment horizontal="left" wrapText="1"/>
    </xf>
    <xf numFmtId="15" fontId="0" fillId="0" borderId="11" xfId="0" applyNumberFormat="1" applyFill="1" applyBorder="1" applyAlignment="1">
      <alignment horizontal="left" wrapText="1"/>
    </xf>
    <xf numFmtId="0" fontId="8" fillId="0" borderId="11" xfId="2" applyFill="1" applyBorder="1" applyAlignment="1">
      <alignment horizontal="left" wrapText="1"/>
    </xf>
    <xf numFmtId="0" fontId="0" fillId="0" borderId="12" xfId="0" applyFill="1" applyBorder="1" applyAlignment="1">
      <alignment horizontal="left" wrapText="1"/>
    </xf>
    <xf numFmtId="0" fontId="0" fillId="0" borderId="11" xfId="0" applyFill="1" applyBorder="1" applyAlignment="1">
      <alignment wrapText="1"/>
    </xf>
    <xf numFmtId="0" fontId="4" fillId="0" borderId="3" xfId="25" applyFont="1" applyFill="1" applyBorder="1" applyAlignment="1">
      <alignment horizontal="left"/>
    </xf>
    <xf numFmtId="0" fontId="0" fillId="0" borderId="0" xfId="0" applyBorder="1" applyAlignment="1">
      <alignment horizontal="left" wrapText="1"/>
    </xf>
    <xf numFmtId="0" fontId="4" fillId="0" borderId="13" xfId="25" applyFont="1" applyFill="1" applyBorder="1" applyAlignment="1">
      <alignment horizontal="left"/>
    </xf>
    <xf numFmtId="0" fontId="4" fillId="0" borderId="14" xfId="25" applyBorder="1" applyAlignment="1">
      <alignment horizontal="left"/>
    </xf>
    <xf numFmtId="0" fontId="0" fillId="0" borderId="14" xfId="0" applyFill="1" applyBorder="1" applyAlignment="1">
      <alignment horizontal="left" wrapText="1"/>
    </xf>
    <xf numFmtId="3" fontId="4" fillId="0" borderId="14" xfId="25" applyNumberFormat="1" applyFont="1" applyBorder="1" applyAlignment="1">
      <alignment horizontal="left"/>
    </xf>
    <xf numFmtId="4" fontId="0" fillId="0" borderId="14" xfId="0" applyNumberFormat="1" applyFill="1" applyBorder="1" applyAlignment="1">
      <alignment horizontal="left" wrapText="1"/>
    </xf>
    <xf numFmtId="3" fontId="0" fillId="0" borderId="14" xfId="0" applyNumberFormat="1" applyFill="1" applyBorder="1" applyAlignment="1">
      <alignment horizontal="left" wrapText="1"/>
    </xf>
    <xf numFmtId="3" fontId="4" fillId="0" borderId="14" xfId="25" applyNumberFormat="1" applyBorder="1" applyAlignment="1">
      <alignment horizontal="left"/>
    </xf>
    <xf numFmtId="0" fontId="4" fillId="0" borderId="14" xfId="25" applyNumberFormat="1" applyFill="1" applyBorder="1" applyAlignment="1">
      <alignment horizontal="left"/>
    </xf>
    <xf numFmtId="10" fontId="4" fillId="0" borderId="14" xfId="25" applyNumberFormat="1" applyFill="1" applyBorder="1" applyAlignment="1">
      <alignment horizontal="left"/>
    </xf>
    <xf numFmtId="169" fontId="0" fillId="0" borderId="14" xfId="0" applyNumberFormat="1" applyFill="1" applyBorder="1" applyAlignment="1">
      <alignment horizontal="left" wrapText="1"/>
    </xf>
    <xf numFmtId="0" fontId="0" fillId="0" borderId="15" xfId="0" applyFill="1" applyBorder="1" applyAlignment="1">
      <alignment horizontal="left" wrapText="1"/>
    </xf>
    <xf numFmtId="0" fontId="0" fillId="0" borderId="14" xfId="0" applyFill="1" applyBorder="1" applyAlignment="1">
      <alignment wrapText="1"/>
    </xf>
    <xf numFmtId="3" fontId="4" fillId="3" borderId="0" xfId="25" applyNumberFormat="1" applyFill="1" applyBorder="1" applyAlignment="1">
      <alignment horizontal="left"/>
    </xf>
    <xf numFmtId="3" fontId="4" fillId="0" borderId="11" xfId="25" applyNumberFormat="1" applyFill="1" applyBorder="1" applyAlignment="1">
      <alignment horizontal="left"/>
    </xf>
    <xf numFmtId="49" fontId="0" fillId="0" borderId="11" xfId="0" applyNumberFormat="1" applyBorder="1" applyAlignment="1">
      <alignment wrapText="1"/>
    </xf>
    <xf numFmtId="0" fontId="4" fillId="0" borderId="16" xfId="25" applyFont="1" applyFill="1" applyBorder="1" applyAlignment="1">
      <alignment horizontal="left"/>
    </xf>
    <xf numFmtId="0" fontId="4" fillId="0" borderId="17" xfId="25" applyBorder="1" applyAlignment="1">
      <alignment horizontal="left"/>
    </xf>
    <xf numFmtId="0" fontId="0" fillId="0" borderId="17" xfId="0" applyFill="1" applyBorder="1" applyAlignment="1">
      <alignment horizontal="left" wrapText="1"/>
    </xf>
    <xf numFmtId="3" fontId="4" fillId="0" borderId="17" xfId="25" applyNumberFormat="1" applyFont="1" applyBorder="1" applyAlignment="1">
      <alignment horizontal="left"/>
    </xf>
    <xf numFmtId="4" fontId="0" fillId="0" borderId="17" xfId="0" applyNumberFormat="1" applyFill="1" applyBorder="1" applyAlignment="1">
      <alignment horizontal="left" wrapText="1"/>
    </xf>
    <xf numFmtId="3" fontId="0" fillId="0" borderId="17" xfId="0" applyNumberFormat="1" applyFill="1" applyBorder="1" applyAlignment="1">
      <alignment horizontal="left" wrapText="1"/>
    </xf>
    <xf numFmtId="3" fontId="4" fillId="0" borderId="17" xfId="25" applyNumberFormat="1" applyBorder="1" applyAlignment="1">
      <alignment horizontal="left"/>
    </xf>
    <xf numFmtId="0" fontId="4" fillId="0" borderId="17" xfId="25" applyNumberFormat="1" applyFill="1" applyBorder="1" applyAlignment="1">
      <alignment horizontal="left"/>
    </xf>
    <xf numFmtId="10" fontId="4" fillId="0" borderId="17" xfId="25" applyNumberFormat="1" applyFill="1" applyBorder="1" applyAlignment="1">
      <alignment horizontal="left"/>
    </xf>
    <xf numFmtId="169" fontId="0" fillId="0" borderId="17" xfId="0" applyNumberFormat="1" applyFill="1" applyBorder="1" applyAlignment="1">
      <alignment horizontal="left" wrapText="1"/>
    </xf>
    <xf numFmtId="0" fontId="0" fillId="0" borderId="18" xfId="0" applyFill="1" applyBorder="1" applyAlignment="1">
      <alignment horizontal="left" wrapText="1"/>
    </xf>
    <xf numFmtId="0" fontId="0" fillId="0" borderId="17" xfId="0" applyFill="1" applyBorder="1" applyAlignment="1">
      <alignment wrapText="1"/>
    </xf>
    <xf numFmtId="0" fontId="4" fillId="0" borderId="0" xfId="25" applyFont="1" applyFill="1" applyBorder="1" applyAlignment="1">
      <alignment horizontal="left"/>
    </xf>
    <xf numFmtId="0" fontId="0" fillId="0" borderId="19" xfId="0" applyFill="1" applyBorder="1" applyAlignment="1">
      <alignment horizontal="left" wrapText="1"/>
    </xf>
    <xf numFmtId="0" fontId="0" fillId="0" borderId="0" xfId="0" applyFill="1" applyBorder="1" applyAlignment="1">
      <alignment horizontal="left"/>
    </xf>
    <xf numFmtId="3" fontId="4" fillId="0" borderId="0" xfId="25" applyNumberFormat="1" applyFill="1" applyBorder="1" applyAlignment="1">
      <alignment horizontal="left"/>
    </xf>
    <xf numFmtId="9" fontId="4" fillId="0" borderId="0" xfId="25" applyNumberFormat="1" applyFill="1" applyBorder="1" applyAlignment="1">
      <alignment horizontal="left"/>
    </xf>
    <xf numFmtId="3" fontId="4" fillId="0" borderId="0" xfId="25" applyNumberFormat="1" applyFont="1" applyFill="1" applyBorder="1" applyAlignment="1">
      <alignment horizontal="left"/>
    </xf>
    <xf numFmtId="4" fontId="0" fillId="0" borderId="0" xfId="0" applyNumberFormat="1" applyFill="1" applyBorder="1" applyAlignment="1">
      <alignment horizontal="left"/>
    </xf>
    <xf numFmtId="0" fontId="4" fillId="0" borderId="11" xfId="25" applyFont="1" applyFill="1" applyBorder="1" applyAlignment="1">
      <alignment horizontal="left"/>
    </xf>
    <xf numFmtId="0" fontId="0" fillId="0" borderId="11" xfId="0" applyFill="1" applyBorder="1" applyAlignment="1">
      <alignment horizontal="left"/>
    </xf>
    <xf numFmtId="3" fontId="4" fillId="3" borderId="11" xfId="25" applyNumberFormat="1" applyFill="1" applyBorder="1" applyAlignment="1">
      <alignment horizontal="left"/>
    </xf>
    <xf numFmtId="9" fontId="4" fillId="0" borderId="11" xfId="25" applyNumberFormat="1" applyFill="1" applyBorder="1" applyAlignment="1">
      <alignment horizontal="left"/>
    </xf>
    <xf numFmtId="3" fontId="0" fillId="0" borderId="0" xfId="0" applyNumberFormat="1" applyBorder="1"/>
    <xf numFmtId="4" fontId="0" fillId="0" borderId="0" xfId="0" applyNumberFormat="1" applyBorder="1" applyAlignment="1">
      <alignment horizontal="left"/>
    </xf>
    <xf numFmtId="0" fontId="4" fillId="0" borderId="14" xfId="25" applyFont="1" applyFill="1" applyBorder="1" applyAlignment="1">
      <alignment horizontal="left"/>
    </xf>
    <xf numFmtId="0" fontId="0" fillId="0" borderId="14" xfId="0" applyFill="1" applyBorder="1" applyAlignment="1">
      <alignment horizontal="left"/>
    </xf>
    <xf numFmtId="169" fontId="4" fillId="0" borderId="0" xfId="25" applyNumberFormat="1" applyFill="1" applyBorder="1" applyAlignment="1">
      <alignment horizontal="left"/>
    </xf>
    <xf numFmtId="4" fontId="0" fillId="0" borderId="0" xfId="0" applyNumberFormat="1" applyFill="1" applyAlignment="1">
      <alignment horizontal="left" wrapText="1"/>
    </xf>
    <xf numFmtId="0" fontId="0" fillId="0" borderId="0" xfId="0" applyNumberFormat="1" applyAlignment="1">
      <alignment horizontal="left" wrapText="1"/>
    </xf>
    <xf numFmtId="10" fontId="0" fillId="0" borderId="0" xfId="0" applyNumberFormat="1" applyAlignment="1">
      <alignment horizontal="left" wrapText="1"/>
    </xf>
    <xf numFmtId="169" fontId="0" fillId="0" borderId="0" xfId="0" applyNumberFormat="1" applyAlignment="1">
      <alignment horizontal="left" wrapText="1"/>
    </xf>
    <xf numFmtId="0" fontId="4" fillId="0" borderId="20" xfId="25" applyFont="1" applyFill="1" applyBorder="1" applyAlignment="1">
      <alignment horizontal="left"/>
    </xf>
    <xf numFmtId="0" fontId="4" fillId="0" borderId="19" xfId="25" applyFont="1" applyFill="1" applyBorder="1" applyAlignment="1">
      <alignment horizontal="left"/>
    </xf>
    <xf numFmtId="0" fontId="0" fillId="0" borderId="19" xfId="0" applyFill="1" applyBorder="1" applyAlignment="1">
      <alignment horizontal="left"/>
    </xf>
    <xf numFmtId="3" fontId="4" fillId="0" borderId="19" xfId="25" applyNumberFormat="1" applyFont="1" applyBorder="1" applyAlignment="1">
      <alignment horizontal="left"/>
    </xf>
    <xf numFmtId="4" fontId="0" fillId="0" borderId="19" xfId="0" applyNumberFormat="1" applyFill="1" applyBorder="1" applyAlignment="1">
      <alignment horizontal="left" wrapText="1"/>
    </xf>
    <xf numFmtId="3" fontId="0" fillId="0" borderId="19" xfId="0" applyNumberFormat="1" applyFill="1" applyBorder="1" applyAlignment="1">
      <alignment horizontal="left" wrapText="1"/>
    </xf>
    <xf numFmtId="0" fontId="0" fillId="0" borderId="19" xfId="0" applyBorder="1" applyAlignment="1">
      <alignment wrapText="1"/>
    </xf>
    <xf numFmtId="3" fontId="4" fillId="5" borderId="19" xfId="25" applyNumberFormat="1" applyFont="1" applyFill="1" applyBorder="1" applyAlignment="1">
      <alignment horizontal="left"/>
    </xf>
    <xf numFmtId="0" fontId="4" fillId="0" borderId="19" xfId="25" applyNumberFormat="1" applyFont="1" applyFill="1" applyBorder="1" applyAlignment="1">
      <alignment horizontal="left"/>
    </xf>
    <xf numFmtId="10" fontId="4" fillId="0" borderId="19" xfId="25" applyNumberFormat="1" applyFont="1" applyFill="1" applyBorder="1" applyAlignment="1">
      <alignment horizontal="left"/>
    </xf>
    <xf numFmtId="169" fontId="0" fillId="0" borderId="19" xfId="0" applyNumberFormat="1" applyFill="1" applyBorder="1" applyAlignment="1">
      <alignment horizontal="left" wrapText="1"/>
    </xf>
    <xf numFmtId="0" fontId="4" fillId="0" borderId="19" xfId="25" applyFill="1" applyBorder="1" applyAlignment="1">
      <alignment horizontal="left"/>
    </xf>
    <xf numFmtId="15" fontId="0" fillId="0" borderId="19" xfId="0" applyNumberFormat="1" applyFill="1" applyBorder="1" applyAlignment="1">
      <alignment horizontal="left" wrapText="1"/>
    </xf>
    <xf numFmtId="0" fontId="8" fillId="0" borderId="19" xfId="2" applyFill="1" applyBorder="1" applyAlignment="1">
      <alignment horizontal="left" wrapText="1"/>
    </xf>
    <xf numFmtId="49" fontId="0" fillId="0" borderId="19" xfId="0" applyNumberFormat="1" applyFill="1" applyBorder="1" applyAlignment="1">
      <alignment horizontal="left" wrapText="1"/>
    </xf>
    <xf numFmtId="0" fontId="0" fillId="0" borderId="21" xfId="0" applyFill="1" applyBorder="1" applyAlignment="1">
      <alignment horizontal="left" wrapText="1"/>
    </xf>
    <xf numFmtId="0" fontId="0" fillId="0" borderId="19" xfId="0" applyFill="1" applyBorder="1" applyAlignment="1">
      <alignment wrapText="1"/>
    </xf>
    <xf numFmtId="4" fontId="4" fillId="0" borderId="0" xfId="25" applyNumberFormat="1" applyFont="1" applyFill="1" applyBorder="1" applyAlignment="1">
      <alignment horizontal="left"/>
    </xf>
    <xf numFmtId="0" fontId="4" fillId="0" borderId="0" xfId="25" applyNumberFormat="1" applyFont="1" applyFill="1" applyBorder="1" applyAlignment="1">
      <alignment horizontal="left"/>
    </xf>
    <xf numFmtId="10" fontId="4" fillId="0" borderId="0" xfId="25" applyNumberFormat="1" applyFont="1" applyFill="1" applyBorder="1" applyAlignment="1">
      <alignment horizontal="left"/>
    </xf>
    <xf numFmtId="0" fontId="4" fillId="0" borderId="0" xfId="25" applyFill="1" applyBorder="1" applyAlignment="1">
      <alignment horizontal="left"/>
    </xf>
    <xf numFmtId="49" fontId="0" fillId="0" borderId="0" xfId="0" applyNumberFormat="1" applyFill="1" applyBorder="1" applyAlignment="1">
      <alignment horizontal="left" wrapText="1"/>
    </xf>
    <xf numFmtId="3" fontId="4" fillId="0" borderId="14" xfId="25" applyNumberFormat="1" applyFont="1" applyFill="1" applyBorder="1" applyAlignment="1">
      <alignment horizontal="left"/>
    </xf>
    <xf numFmtId="0" fontId="4" fillId="0" borderId="14" xfId="25" applyNumberFormat="1" applyFont="1" applyFill="1" applyBorder="1" applyAlignment="1">
      <alignment horizontal="left"/>
    </xf>
    <xf numFmtId="0" fontId="4" fillId="0" borderId="14" xfId="25" applyFill="1" applyBorder="1" applyAlignment="1">
      <alignment horizontal="left"/>
    </xf>
    <xf numFmtId="0" fontId="0" fillId="0" borderId="14" xfId="0" applyBorder="1" applyAlignment="1">
      <alignment wrapText="1"/>
    </xf>
    <xf numFmtId="15" fontId="0" fillId="0" borderId="14" xfId="0" applyNumberFormat="1" applyFill="1" applyBorder="1" applyAlignment="1">
      <alignment horizontal="left" wrapText="1"/>
    </xf>
    <xf numFmtId="0" fontId="8" fillId="0" borderId="14" xfId="2" applyFill="1" applyBorder="1" applyAlignment="1">
      <alignment horizontal="left" wrapText="1"/>
    </xf>
    <xf numFmtId="49" fontId="0" fillId="0" borderId="14" xfId="0" applyNumberFormat="1" applyFill="1" applyBorder="1" applyAlignment="1">
      <alignment horizontal="left" wrapText="1"/>
    </xf>
    <xf numFmtId="3" fontId="4" fillId="5" borderId="0" xfId="25" applyNumberFormat="1" applyFont="1" applyFill="1" applyBorder="1" applyAlignment="1">
      <alignment horizontal="left"/>
    </xf>
    <xf numFmtId="10" fontId="4" fillId="0" borderId="11" xfId="25" applyNumberFormat="1" applyFont="1" applyFill="1" applyBorder="1" applyAlignment="1">
      <alignment horizontal="left"/>
    </xf>
    <xf numFmtId="3" fontId="4" fillId="6" borderId="11" xfId="25" applyNumberFormat="1" applyFont="1" applyFill="1" applyBorder="1" applyAlignment="1">
      <alignment horizontal="left"/>
    </xf>
    <xf numFmtId="0" fontId="4" fillId="0" borderId="11" xfId="25" applyNumberFormat="1" applyFont="1" applyFill="1" applyBorder="1" applyAlignment="1">
      <alignment horizontal="left"/>
    </xf>
    <xf numFmtId="10" fontId="4" fillId="6" borderId="11" xfId="25" applyNumberFormat="1" applyFont="1" applyFill="1" applyBorder="1" applyAlignment="1">
      <alignment horizontal="left"/>
    </xf>
    <xf numFmtId="0" fontId="4" fillId="0" borderId="11" xfId="25" applyFill="1" applyBorder="1" applyAlignment="1">
      <alignment horizontal="left"/>
    </xf>
    <xf numFmtId="49" fontId="0" fillId="0" borderId="11" xfId="0" applyNumberFormat="1" applyFill="1" applyBorder="1" applyAlignment="1">
      <alignment horizontal="left" wrapText="1"/>
    </xf>
    <xf numFmtId="10" fontId="4" fillId="0" borderId="14" xfId="25" applyNumberFormat="1" applyFont="1" applyFill="1" applyBorder="1" applyAlignment="1">
      <alignment horizontal="left"/>
    </xf>
    <xf numFmtId="3" fontId="4" fillId="5" borderId="11" xfId="25" applyNumberFormat="1" applyFont="1" applyFill="1" applyBorder="1" applyAlignment="1">
      <alignment horizontal="left"/>
    </xf>
    <xf numFmtId="17" fontId="0" fillId="0" borderId="0" xfId="0" applyNumberFormat="1" applyFill="1" applyBorder="1" applyAlignment="1">
      <alignment horizontal="left" wrapText="1"/>
    </xf>
    <xf numFmtId="0" fontId="0" fillId="0" borderId="0" xfId="0" applyFont="1" applyFill="1" applyBorder="1" applyAlignment="1">
      <alignment horizontal="left" wrapText="1"/>
    </xf>
    <xf numFmtId="0" fontId="0" fillId="9" borderId="14" xfId="0" applyFill="1" applyBorder="1" applyAlignment="1">
      <alignment horizontal="left"/>
    </xf>
    <xf numFmtId="0" fontId="0" fillId="0" borderId="14" xfId="0" applyFont="1" applyFill="1" applyBorder="1" applyAlignment="1">
      <alignment horizontal="left" wrapText="1"/>
    </xf>
    <xf numFmtId="17" fontId="0" fillId="0" borderId="14" xfId="0" applyNumberFormat="1" applyFill="1" applyBorder="1" applyAlignment="1">
      <alignment horizontal="left" wrapText="1"/>
    </xf>
    <xf numFmtId="3" fontId="4" fillId="3" borderId="11" xfId="25" applyNumberFormat="1" applyFont="1" applyFill="1" applyBorder="1" applyAlignment="1">
      <alignment horizontal="left"/>
    </xf>
    <xf numFmtId="3" fontId="4" fillId="0" borderId="11" xfId="25" applyNumberFormat="1" applyFont="1" applyFill="1" applyBorder="1" applyAlignment="1">
      <alignment horizontal="left"/>
    </xf>
    <xf numFmtId="49" fontId="0" fillId="0" borderId="0" xfId="0" applyNumberFormat="1" applyBorder="1" applyAlignment="1">
      <alignment horizontal="left" wrapText="1"/>
    </xf>
    <xf numFmtId="0" fontId="0" fillId="0" borderId="0" xfId="0" applyNumberFormat="1" applyFill="1" applyBorder="1" applyAlignment="1">
      <alignment horizontal="left" wrapText="1"/>
    </xf>
    <xf numFmtId="10" fontId="0" fillId="0" borderId="0" xfId="0" applyNumberFormat="1" applyFill="1" applyBorder="1" applyAlignment="1">
      <alignment horizontal="left" wrapText="1"/>
    </xf>
    <xf numFmtId="0" fontId="4" fillId="0" borderId="17" xfId="25" applyFont="1" applyFill="1" applyBorder="1" applyAlignment="1">
      <alignment horizontal="left"/>
    </xf>
    <xf numFmtId="0" fontId="0" fillId="0" borderId="17" xfId="0" applyFill="1" applyBorder="1" applyAlignment="1">
      <alignment horizontal="left"/>
    </xf>
    <xf numFmtId="3" fontId="4" fillId="0" borderId="17" xfId="25" applyNumberFormat="1" applyFont="1" applyFill="1" applyBorder="1" applyAlignment="1">
      <alignment horizontal="left"/>
    </xf>
    <xf numFmtId="0" fontId="4" fillId="0" borderId="17" xfId="25" applyNumberFormat="1" applyFont="1" applyFill="1" applyBorder="1" applyAlignment="1">
      <alignment horizontal="left"/>
    </xf>
    <xf numFmtId="10" fontId="4" fillId="0" borderId="17" xfId="25" applyNumberFormat="1" applyFont="1" applyFill="1" applyBorder="1" applyAlignment="1">
      <alignment horizontal="left"/>
    </xf>
    <xf numFmtId="0" fontId="4" fillId="0" borderId="17" xfId="25" applyFill="1" applyBorder="1" applyAlignment="1">
      <alignment horizontal="left"/>
    </xf>
    <xf numFmtId="17" fontId="0" fillId="0" borderId="17" xfId="0" applyNumberFormat="1" applyFill="1" applyBorder="1" applyAlignment="1">
      <alignment horizontal="left" wrapText="1"/>
    </xf>
    <xf numFmtId="15" fontId="0" fillId="0" borderId="17" xfId="0" applyNumberFormat="1" applyFill="1" applyBorder="1" applyAlignment="1">
      <alignment horizontal="left" wrapText="1"/>
    </xf>
    <xf numFmtId="0" fontId="8" fillId="0" borderId="17" xfId="2" applyFill="1" applyBorder="1" applyAlignment="1">
      <alignment horizontal="left" wrapText="1"/>
    </xf>
    <xf numFmtId="49" fontId="0" fillId="0" borderId="17" xfId="0" applyNumberFormat="1" applyFill="1" applyBorder="1" applyAlignment="1">
      <alignment horizontal="left" wrapText="1"/>
    </xf>
    <xf numFmtId="0" fontId="0" fillId="7" borderId="13" xfId="0" applyFill="1" applyBorder="1" applyAlignment="1">
      <alignment horizontal="left" wrapText="1"/>
    </xf>
    <xf numFmtId="0" fontId="0" fillId="7" borderId="14" xfId="0" applyFill="1" applyBorder="1" applyAlignment="1">
      <alignment horizontal="left" wrapText="1"/>
    </xf>
    <xf numFmtId="0" fontId="0" fillId="7" borderId="14" xfId="0" applyFill="1" applyBorder="1" applyAlignment="1">
      <alignment horizontal="left"/>
    </xf>
    <xf numFmtId="3" fontId="4" fillId="7" borderId="14" xfId="25" applyNumberFormat="1" applyFont="1" applyFill="1" applyBorder="1" applyAlignment="1">
      <alignment horizontal="left"/>
    </xf>
    <xf numFmtId="4" fontId="0" fillId="7" borderId="14" xfId="0" applyNumberFormat="1" applyFill="1" applyBorder="1" applyAlignment="1">
      <alignment horizontal="left" wrapText="1"/>
    </xf>
    <xf numFmtId="3" fontId="0" fillId="7" borderId="14" xfId="0" applyNumberFormat="1" applyFill="1" applyBorder="1" applyAlignment="1">
      <alignment horizontal="left" wrapText="1"/>
    </xf>
    <xf numFmtId="3" fontId="4" fillId="7" borderId="14" xfId="25" applyNumberFormat="1" applyFill="1" applyBorder="1" applyAlignment="1">
      <alignment horizontal="left"/>
    </xf>
    <xf numFmtId="0" fontId="4" fillId="7" borderId="14" xfId="25" applyNumberFormat="1" applyFill="1" applyBorder="1" applyAlignment="1">
      <alignment horizontal="left"/>
    </xf>
    <xf numFmtId="10" fontId="4" fillId="7" borderId="14" xfId="25" applyNumberFormat="1" applyFont="1" applyFill="1" applyBorder="1" applyAlignment="1">
      <alignment horizontal="left"/>
    </xf>
    <xf numFmtId="169" fontId="0" fillId="7" borderId="14" xfId="0" applyNumberFormat="1" applyFill="1" applyBorder="1" applyAlignment="1">
      <alignment horizontal="left" wrapText="1"/>
    </xf>
    <xf numFmtId="0" fontId="0" fillId="7" borderId="14" xfId="0" applyFill="1" applyBorder="1" applyAlignment="1">
      <alignment wrapText="1"/>
    </xf>
    <xf numFmtId="15" fontId="0" fillId="7" borderId="14" xfId="0" applyNumberFormat="1" applyFill="1" applyBorder="1" applyAlignment="1">
      <alignment horizontal="left" wrapText="1"/>
    </xf>
    <xf numFmtId="0" fontId="8" fillId="7" borderId="14" xfId="2" applyFill="1" applyBorder="1" applyAlignment="1">
      <alignment horizontal="left" wrapText="1"/>
    </xf>
    <xf numFmtId="0" fontId="0" fillId="7" borderId="15" xfId="0" applyFill="1" applyBorder="1" applyAlignment="1">
      <alignment horizontal="left" wrapText="1"/>
    </xf>
    <xf numFmtId="0" fontId="0" fillId="7" borderId="3" xfId="0" applyFill="1" applyBorder="1" applyAlignment="1">
      <alignment horizontal="left" wrapText="1"/>
    </xf>
    <xf numFmtId="0" fontId="0" fillId="7" borderId="0" xfId="0" applyFill="1" applyBorder="1" applyAlignment="1">
      <alignment horizontal="left" wrapText="1"/>
    </xf>
    <xf numFmtId="0" fontId="0" fillId="7" borderId="0" xfId="0" applyFill="1" applyBorder="1" applyAlignment="1">
      <alignment horizontal="left"/>
    </xf>
    <xf numFmtId="3" fontId="4" fillId="7" borderId="0" xfId="25" applyNumberFormat="1" applyFont="1" applyFill="1" applyBorder="1" applyAlignment="1">
      <alignment horizontal="left"/>
    </xf>
    <xf numFmtId="4" fontId="0" fillId="7" borderId="0" xfId="0" applyNumberFormat="1" applyFill="1" applyBorder="1" applyAlignment="1">
      <alignment horizontal="left" wrapText="1"/>
    </xf>
    <xf numFmtId="3" fontId="4" fillId="7" borderId="0" xfId="25" applyNumberFormat="1" applyFill="1" applyBorder="1" applyAlignment="1">
      <alignment horizontal="left"/>
    </xf>
    <xf numFmtId="0" fontId="4" fillId="7" borderId="0" xfId="25" applyNumberFormat="1" applyFill="1" applyBorder="1" applyAlignment="1">
      <alignment horizontal="left"/>
    </xf>
    <xf numFmtId="10" fontId="4" fillId="7" borderId="0" xfId="25" applyNumberFormat="1" applyFont="1" applyFill="1" applyBorder="1" applyAlignment="1">
      <alignment horizontal="left"/>
    </xf>
    <xf numFmtId="169" fontId="0" fillId="7" borderId="0" xfId="0" applyNumberFormat="1" applyFill="1" applyBorder="1" applyAlignment="1">
      <alignment horizontal="left" wrapText="1"/>
    </xf>
    <xf numFmtId="3" fontId="0" fillId="7" borderId="0" xfId="0" applyNumberFormat="1" applyFill="1" applyBorder="1" applyAlignment="1">
      <alignment horizontal="left" wrapText="1"/>
    </xf>
    <xf numFmtId="0" fontId="0" fillId="7" borderId="0" xfId="0" applyFill="1" applyBorder="1" applyAlignment="1">
      <alignment wrapText="1"/>
    </xf>
    <xf numFmtId="15" fontId="0" fillId="7" borderId="0" xfId="0" applyNumberFormat="1" applyFill="1" applyBorder="1" applyAlignment="1">
      <alignment horizontal="left" wrapText="1"/>
    </xf>
    <xf numFmtId="0" fontId="0" fillId="7" borderId="9" xfId="0" applyFill="1" applyBorder="1" applyAlignment="1">
      <alignment horizontal="left" wrapText="1"/>
    </xf>
    <xf numFmtId="0" fontId="0" fillId="0" borderId="10" xfId="0" applyFill="1" applyBorder="1" applyAlignment="1">
      <alignment horizontal="left" wrapText="1"/>
    </xf>
    <xf numFmtId="0" fontId="0" fillId="0" borderId="3" xfId="0" applyFill="1" applyBorder="1" applyAlignment="1">
      <alignment horizontal="left" wrapText="1"/>
    </xf>
    <xf numFmtId="0" fontId="0" fillId="0" borderId="9" xfId="0" applyFill="1" applyBorder="1" applyAlignment="1">
      <alignment wrapText="1"/>
    </xf>
    <xf numFmtId="0" fontId="0" fillId="0" borderId="13" xfId="0" applyFill="1" applyBorder="1" applyAlignment="1">
      <alignment horizontal="left" wrapText="1"/>
    </xf>
    <xf numFmtId="3" fontId="0" fillId="0" borderId="14" xfId="0" applyNumberFormat="1" applyFill="1" applyBorder="1" applyAlignment="1">
      <alignment horizontal="right" wrapText="1"/>
    </xf>
    <xf numFmtId="3" fontId="4" fillId="0" borderId="14" xfId="25" applyNumberFormat="1" applyFill="1" applyBorder="1" applyAlignment="1">
      <alignment horizontal="left"/>
    </xf>
    <xf numFmtId="10" fontId="0" fillId="0" borderId="14" xfId="0" applyNumberFormat="1" applyFill="1" applyBorder="1" applyAlignment="1">
      <alignment horizontal="left" wrapText="1"/>
    </xf>
    <xf numFmtId="3" fontId="4" fillId="5" borderId="0" xfId="25" applyNumberFormat="1" applyFill="1" applyBorder="1" applyAlignment="1">
      <alignment horizontal="left"/>
    </xf>
    <xf numFmtId="3" fontId="0" fillId="0" borderId="0" xfId="0" applyNumberFormat="1" applyFill="1" applyBorder="1" applyAlignment="1">
      <alignment horizontal="left"/>
    </xf>
    <xf numFmtId="0" fontId="0" fillId="0" borderId="14" xfId="0" applyNumberFormat="1" applyFill="1" applyBorder="1" applyAlignment="1">
      <alignment horizontal="left" wrapText="1"/>
    </xf>
    <xf numFmtId="0" fontId="0" fillId="10" borderId="3" xfId="0" applyFill="1" applyBorder="1" applyAlignment="1">
      <alignment horizontal="left" wrapText="1"/>
    </xf>
    <xf numFmtId="0" fontId="4" fillId="0" borderId="20" xfId="25" applyFont="1" applyFill="1" applyBorder="1"/>
    <xf numFmtId="3" fontId="4" fillId="5" borderId="19" xfId="25" applyNumberFormat="1" applyFill="1" applyBorder="1" applyAlignment="1">
      <alignment horizontal="left"/>
    </xf>
    <xf numFmtId="3" fontId="4" fillId="0" borderId="19" xfId="25" applyNumberFormat="1" applyFill="1" applyBorder="1" applyAlignment="1">
      <alignment horizontal="left"/>
    </xf>
    <xf numFmtId="9" fontId="4" fillId="0" borderId="19" xfId="25" applyNumberFormat="1" applyFill="1" applyBorder="1" applyAlignment="1">
      <alignment horizontal="left"/>
    </xf>
    <xf numFmtId="0" fontId="4" fillId="0" borderId="3" xfId="25" applyFont="1" applyFill="1" applyBorder="1"/>
    <xf numFmtId="0" fontId="4" fillId="0" borderId="13" xfId="25" applyFont="1" applyFill="1" applyBorder="1"/>
    <xf numFmtId="0" fontId="4" fillId="0" borderId="10" xfId="25" applyFont="1" applyFill="1" applyBorder="1"/>
    <xf numFmtId="3" fontId="4" fillId="5" borderId="11" xfId="25" applyNumberFormat="1" applyFill="1" applyBorder="1" applyAlignment="1">
      <alignment horizontal="left"/>
    </xf>
    <xf numFmtId="3" fontId="0" fillId="6" borderId="0" xfId="0" applyNumberFormat="1" applyFill="1" applyBorder="1" applyAlignment="1">
      <alignment horizontal="left" wrapText="1"/>
    </xf>
    <xf numFmtId="3" fontId="0" fillId="6" borderId="11" xfId="0" applyNumberFormat="1" applyFill="1" applyBorder="1" applyAlignment="1">
      <alignment horizontal="left" wrapText="1"/>
    </xf>
    <xf numFmtId="10" fontId="4" fillId="6" borderId="0" xfId="25" applyNumberFormat="1" applyFont="1" applyFill="1" applyBorder="1" applyAlignment="1">
      <alignment horizontal="left"/>
    </xf>
    <xf numFmtId="0" fontId="0" fillId="6" borderId="11" xfId="0" applyFill="1" applyBorder="1" applyAlignment="1">
      <alignment horizontal="left" wrapText="1"/>
    </xf>
    <xf numFmtId="3" fontId="4" fillId="6" borderId="11" xfId="25" applyNumberFormat="1" applyFill="1" applyBorder="1" applyAlignment="1">
      <alignment horizontal="left"/>
    </xf>
    <xf numFmtId="0" fontId="0" fillId="6" borderId="0" xfId="0" applyFill="1" applyBorder="1" applyAlignment="1">
      <alignment horizontal="left" wrapText="1"/>
    </xf>
    <xf numFmtId="3" fontId="4" fillId="6" borderId="0" xfId="25" applyNumberFormat="1" applyFill="1" applyBorder="1" applyAlignment="1">
      <alignment horizontal="left"/>
    </xf>
    <xf numFmtId="3" fontId="0" fillId="0" borderId="0" xfId="0" applyNumberFormat="1" applyBorder="1" applyAlignment="1">
      <alignment horizontal="left"/>
    </xf>
    <xf numFmtId="10" fontId="4" fillId="6" borderId="11" xfId="25" applyNumberFormat="1" applyFill="1" applyBorder="1" applyAlignment="1">
      <alignment horizontal="left"/>
    </xf>
    <xf numFmtId="0" fontId="0" fillId="0" borderId="17" xfId="0" applyBorder="1" applyAlignment="1">
      <alignment horizontal="left" wrapText="1"/>
    </xf>
    <xf numFmtId="0" fontId="11" fillId="0" borderId="17" xfId="0" applyFont="1" applyBorder="1" applyAlignment="1">
      <alignment horizontal="left" wrapText="1"/>
    </xf>
    <xf numFmtId="3" fontId="4" fillId="0" borderId="17" xfId="3" applyNumberFormat="1" applyFont="1" applyBorder="1" applyAlignment="1">
      <alignment horizontal="left"/>
    </xf>
    <xf numFmtId="3" fontId="11" fillId="0" borderId="17" xfId="0" applyNumberFormat="1" applyFont="1" applyBorder="1" applyAlignment="1">
      <alignment horizontal="left" wrapText="1"/>
    </xf>
    <xf numFmtId="0" fontId="0" fillId="0" borderId="17" xfId="0" applyNumberFormat="1" applyBorder="1" applyAlignment="1">
      <alignment horizontal="left" wrapText="1"/>
    </xf>
    <xf numFmtId="10" fontId="0" fillId="0" borderId="17" xfId="0" applyNumberFormat="1" applyBorder="1" applyAlignment="1">
      <alignment horizontal="left" wrapText="1"/>
    </xf>
    <xf numFmtId="169" fontId="0" fillId="0" borderId="17" xfId="0" applyNumberFormat="1" applyBorder="1" applyAlignment="1">
      <alignment horizontal="left" wrapText="1"/>
    </xf>
    <xf numFmtId="3" fontId="0" fillId="0" borderId="17" xfId="0" applyNumberFormat="1" applyBorder="1" applyAlignment="1">
      <alignment horizontal="left" wrapText="1"/>
    </xf>
    <xf numFmtId="0" fontId="4" fillId="7" borderId="3" xfId="25" applyFont="1" applyFill="1" applyBorder="1"/>
    <xf numFmtId="0" fontId="4" fillId="7" borderId="0" xfId="25" applyFont="1" applyFill="1" applyBorder="1" applyAlignment="1">
      <alignment horizontal="left"/>
    </xf>
    <xf numFmtId="10" fontId="4" fillId="7" borderId="0" xfId="25" applyNumberFormat="1" applyFill="1" applyBorder="1" applyAlignment="1">
      <alignment horizontal="left"/>
    </xf>
    <xf numFmtId="0" fontId="4" fillId="7" borderId="10" xfId="25" applyFont="1" applyFill="1" applyBorder="1"/>
    <xf numFmtId="0" fontId="0" fillId="7" borderId="11" xfId="0" applyFill="1" applyBorder="1" applyAlignment="1">
      <alignment horizontal="left" wrapText="1"/>
    </xf>
    <xf numFmtId="0" fontId="4" fillId="7" borderId="11" xfId="25" applyFont="1" applyFill="1" applyBorder="1" applyAlignment="1">
      <alignment horizontal="left"/>
    </xf>
    <xf numFmtId="0" fontId="0" fillId="7" borderId="11" xfId="0" applyFill="1" applyBorder="1" applyAlignment="1">
      <alignment horizontal="left"/>
    </xf>
    <xf numFmtId="3" fontId="4" fillId="7" borderId="11" xfId="25" applyNumberFormat="1" applyFont="1" applyFill="1" applyBorder="1" applyAlignment="1">
      <alignment horizontal="left"/>
    </xf>
    <xf numFmtId="4" fontId="0" fillId="7" borderId="11" xfId="0" applyNumberFormat="1" applyFill="1" applyBorder="1" applyAlignment="1">
      <alignment horizontal="left" wrapText="1"/>
    </xf>
    <xf numFmtId="3" fontId="0" fillId="7" borderId="11" xfId="0" applyNumberFormat="1" applyFill="1" applyBorder="1" applyAlignment="1">
      <alignment horizontal="left" wrapText="1"/>
    </xf>
    <xf numFmtId="3" fontId="4" fillId="4" borderId="11" xfId="25" applyNumberFormat="1" applyFill="1" applyBorder="1" applyAlignment="1">
      <alignment horizontal="left"/>
    </xf>
    <xf numFmtId="0" fontId="4" fillId="7" borderId="11" xfId="25" applyNumberFormat="1" applyFill="1" applyBorder="1" applyAlignment="1">
      <alignment horizontal="left"/>
    </xf>
    <xf numFmtId="10" fontId="4" fillId="7" borderId="11" xfId="25" applyNumberFormat="1" applyFill="1" applyBorder="1" applyAlignment="1">
      <alignment horizontal="left"/>
    </xf>
    <xf numFmtId="169" fontId="0" fillId="7" borderId="11" xfId="0" applyNumberFormat="1" applyFill="1" applyBorder="1" applyAlignment="1">
      <alignment horizontal="left" wrapText="1"/>
    </xf>
    <xf numFmtId="15" fontId="0" fillId="7" borderId="11" xfId="0" applyNumberFormat="1" applyFill="1" applyBorder="1" applyAlignment="1">
      <alignment horizontal="left" wrapText="1"/>
    </xf>
    <xf numFmtId="0" fontId="0" fillId="7" borderId="12" xfId="0" applyFill="1" applyBorder="1" applyAlignment="1">
      <alignment horizontal="left" wrapText="1"/>
    </xf>
    <xf numFmtId="0" fontId="4" fillId="7" borderId="13" xfId="25" applyFont="1" applyFill="1" applyBorder="1"/>
    <xf numFmtId="0" fontId="4" fillId="7" borderId="14" xfId="25" applyFont="1" applyFill="1" applyBorder="1" applyAlignment="1">
      <alignment horizontal="left"/>
    </xf>
    <xf numFmtId="10" fontId="4" fillId="7" borderId="14" xfId="25" applyNumberFormat="1" applyFill="1" applyBorder="1" applyAlignment="1">
      <alignment horizontal="left"/>
    </xf>
    <xf numFmtId="3" fontId="4" fillId="4" borderId="0" xfId="25" applyNumberFormat="1" applyFill="1" applyBorder="1" applyAlignment="1">
      <alignment horizontal="left"/>
    </xf>
    <xf numFmtId="3" fontId="4" fillId="11" borderId="0" xfId="25" applyNumberFormat="1" applyFill="1" applyBorder="1" applyAlignment="1">
      <alignment horizontal="left"/>
    </xf>
    <xf numFmtId="0" fontId="0" fillId="0" borderId="20" xfId="0" applyFill="1" applyBorder="1" applyAlignment="1">
      <alignment horizontal="left" wrapText="1"/>
    </xf>
    <xf numFmtId="3" fontId="4" fillId="0" borderId="19" xfId="25" applyNumberFormat="1" applyFont="1" applyFill="1" applyBorder="1" applyAlignment="1">
      <alignment horizontal="left"/>
    </xf>
    <xf numFmtId="0" fontId="4" fillId="0" borderId="19" xfId="25" applyNumberFormat="1" applyFill="1" applyBorder="1" applyAlignment="1">
      <alignment horizontal="left"/>
    </xf>
    <xf numFmtId="10" fontId="4" fillId="0" borderId="19" xfId="25" applyNumberFormat="1" applyFill="1" applyBorder="1" applyAlignment="1">
      <alignment horizontal="left"/>
    </xf>
    <xf numFmtId="3" fontId="4" fillId="0" borderId="0" xfId="25" applyNumberFormat="1" applyFont="1" applyFill="1" applyBorder="1" applyAlignment="1">
      <alignment horizontal="left" wrapText="1"/>
    </xf>
    <xf numFmtId="0" fontId="0" fillId="0" borderId="16" xfId="0" applyFill="1" applyBorder="1" applyAlignment="1">
      <alignment horizontal="left" wrapText="1"/>
    </xf>
    <xf numFmtId="3" fontId="4" fillId="0" borderId="17" xfId="25" applyNumberFormat="1" applyFill="1" applyBorder="1" applyAlignment="1">
      <alignment horizontal="left"/>
    </xf>
    <xf numFmtId="164" fontId="4" fillId="7" borderId="0" xfId="29" applyFont="1" applyFill="1" applyBorder="1" applyAlignment="1">
      <alignment horizontal="left"/>
    </xf>
    <xf numFmtId="0" fontId="0" fillId="0" borderId="9" xfId="0" applyFill="1" applyBorder="1" applyAlignment="1">
      <alignment horizontal="left"/>
    </xf>
    <xf numFmtId="3" fontId="4" fillId="8" borderId="11" xfId="25" applyNumberFormat="1" applyFill="1" applyBorder="1" applyAlignment="1">
      <alignment horizontal="left"/>
    </xf>
    <xf numFmtId="17" fontId="0" fillId="0" borderId="11" xfId="0" applyNumberFormat="1" applyFill="1" applyBorder="1" applyAlignment="1">
      <alignment horizontal="left" wrapText="1"/>
    </xf>
    <xf numFmtId="4" fontId="0" fillId="0" borderId="17" xfId="0" applyNumberFormat="1" applyBorder="1" applyAlignment="1">
      <alignment horizontal="left" wrapText="1"/>
    </xf>
    <xf numFmtId="0" fontId="0" fillId="7" borderId="0" xfId="0" applyFill="1" applyAlignment="1">
      <alignment wrapText="1"/>
    </xf>
    <xf numFmtId="4" fontId="0" fillId="7" borderId="0" xfId="0" applyNumberFormat="1" applyFill="1" applyBorder="1" applyAlignment="1">
      <alignment horizontal="left"/>
    </xf>
    <xf numFmtId="4" fontId="0" fillId="0" borderId="14" xfId="0" applyNumberFormat="1" applyFill="1" applyBorder="1" applyAlignment="1">
      <alignment horizontal="left"/>
    </xf>
    <xf numFmtId="9" fontId="4" fillId="0" borderId="0" xfId="25" applyNumberFormat="1" applyFont="1" applyFill="1" applyBorder="1" applyAlignment="1">
      <alignment horizontal="left"/>
    </xf>
    <xf numFmtId="4" fontId="0" fillId="0" borderId="14" xfId="0" applyNumberFormat="1" applyBorder="1" applyAlignment="1">
      <alignment horizontal="left"/>
    </xf>
    <xf numFmtId="0" fontId="4" fillId="3" borderId="3" xfId="3" applyFont="1" applyFill="1" applyBorder="1"/>
    <xf numFmtId="0" fontId="4" fillId="7" borderId="20" xfId="25" applyFont="1" applyFill="1" applyBorder="1"/>
    <xf numFmtId="0" fontId="4" fillId="7" borderId="19" xfId="25" applyFill="1" applyBorder="1" applyAlignment="1">
      <alignment horizontal="left"/>
    </xf>
    <xf numFmtId="0" fontId="0" fillId="7" borderId="19" xfId="0" applyFill="1" applyBorder="1" applyAlignment="1">
      <alignment horizontal="left" wrapText="1"/>
    </xf>
    <xf numFmtId="0" fontId="4" fillId="7" borderId="19" xfId="25" applyFont="1" applyFill="1" applyBorder="1" applyAlignment="1">
      <alignment horizontal="left"/>
    </xf>
    <xf numFmtId="0" fontId="0" fillId="7" borderId="19" xfId="0" applyFill="1" applyBorder="1" applyAlignment="1">
      <alignment horizontal="left"/>
    </xf>
    <xf numFmtId="3" fontId="4" fillId="7" borderId="19" xfId="25" applyNumberFormat="1" applyFont="1" applyFill="1" applyBorder="1" applyAlignment="1">
      <alignment horizontal="left"/>
    </xf>
    <xf numFmtId="4" fontId="0" fillId="7" borderId="19" xfId="0" applyNumberFormat="1" applyFill="1" applyBorder="1" applyAlignment="1">
      <alignment horizontal="left" wrapText="1"/>
    </xf>
    <xf numFmtId="3" fontId="0" fillId="7" borderId="19" xfId="0" applyNumberFormat="1" applyFill="1" applyBorder="1" applyAlignment="1">
      <alignment horizontal="left" wrapText="1"/>
    </xf>
    <xf numFmtId="0" fontId="0" fillId="7" borderId="19" xfId="0" applyFill="1" applyBorder="1" applyAlignment="1">
      <alignment wrapText="1"/>
    </xf>
    <xf numFmtId="0" fontId="4" fillId="7" borderId="19" xfId="25" applyNumberFormat="1" applyFont="1" applyFill="1" applyBorder="1" applyAlignment="1">
      <alignment horizontal="left"/>
    </xf>
    <xf numFmtId="10" fontId="4" fillId="7" borderId="19" xfId="25" applyNumberFormat="1" applyFont="1" applyFill="1" applyBorder="1" applyAlignment="1">
      <alignment horizontal="left"/>
    </xf>
    <xf numFmtId="169" fontId="0" fillId="7" borderId="19" xfId="0" applyNumberFormat="1" applyFill="1" applyBorder="1" applyAlignment="1">
      <alignment horizontal="left" wrapText="1"/>
    </xf>
    <xf numFmtId="15" fontId="0" fillId="7" borderId="19" xfId="0" applyNumberFormat="1" applyFill="1" applyBorder="1" applyAlignment="1">
      <alignment horizontal="left" wrapText="1"/>
    </xf>
    <xf numFmtId="0" fontId="0" fillId="7" borderId="21" xfId="0" applyFill="1" applyBorder="1" applyAlignment="1">
      <alignment horizontal="left" wrapText="1"/>
    </xf>
    <xf numFmtId="0" fontId="4" fillId="7" borderId="0" xfId="25" applyFill="1" applyBorder="1" applyAlignment="1">
      <alignment horizontal="left"/>
    </xf>
    <xf numFmtId="0" fontId="4" fillId="7" borderId="0" xfId="25" applyNumberFormat="1" applyFont="1" applyFill="1" applyBorder="1" applyAlignment="1">
      <alignment horizontal="left"/>
    </xf>
    <xf numFmtId="0" fontId="4" fillId="7" borderId="14" xfId="25" applyFill="1" applyBorder="1" applyAlignment="1">
      <alignment horizontal="left"/>
    </xf>
    <xf numFmtId="0" fontId="4" fillId="7" borderId="14" xfId="25" applyNumberFormat="1" applyFont="1" applyFill="1" applyBorder="1" applyAlignment="1">
      <alignment horizontal="left"/>
    </xf>
    <xf numFmtId="0" fontId="4" fillId="7" borderId="22" xfId="25" applyFont="1" applyFill="1" applyBorder="1"/>
    <xf numFmtId="0" fontId="4" fillId="7" borderId="23" xfId="25" applyFill="1" applyBorder="1" applyAlignment="1">
      <alignment horizontal="left"/>
    </xf>
    <xf numFmtId="0" fontId="0" fillId="7" borderId="23" xfId="0" applyFill="1" applyBorder="1" applyAlignment="1">
      <alignment horizontal="left" wrapText="1"/>
    </xf>
    <xf numFmtId="0" fontId="4" fillId="7" borderId="23" xfId="25" applyFont="1" applyFill="1" applyBorder="1" applyAlignment="1">
      <alignment horizontal="left"/>
    </xf>
    <xf numFmtId="3" fontId="4" fillId="7" borderId="23" xfId="25" applyNumberFormat="1" applyFont="1" applyFill="1" applyBorder="1" applyAlignment="1">
      <alignment horizontal="left"/>
    </xf>
    <xf numFmtId="4" fontId="0" fillId="7" borderId="23" xfId="0" applyNumberFormat="1" applyFill="1" applyBorder="1" applyAlignment="1">
      <alignment horizontal="left" wrapText="1"/>
    </xf>
    <xf numFmtId="3" fontId="0" fillId="7" borderId="23" xfId="0" applyNumberFormat="1" applyFill="1" applyBorder="1" applyAlignment="1">
      <alignment horizontal="left" wrapText="1"/>
    </xf>
    <xf numFmtId="3" fontId="4" fillId="7" borderId="23" xfId="25" applyNumberFormat="1" applyFill="1" applyBorder="1" applyAlignment="1">
      <alignment horizontal="left"/>
    </xf>
    <xf numFmtId="0" fontId="4" fillId="7" borderId="23" xfId="25" applyNumberFormat="1" applyFill="1" applyBorder="1" applyAlignment="1">
      <alignment horizontal="left"/>
    </xf>
    <xf numFmtId="10" fontId="4" fillId="7" borderId="23" xfId="25" applyNumberFormat="1" applyFill="1" applyBorder="1" applyAlignment="1">
      <alignment horizontal="left"/>
    </xf>
    <xf numFmtId="169" fontId="0" fillId="7" borderId="23" xfId="0" applyNumberFormat="1" applyFill="1" applyBorder="1" applyAlignment="1">
      <alignment horizontal="left" wrapText="1"/>
    </xf>
    <xf numFmtId="15" fontId="0" fillId="7" borderId="23" xfId="0" applyNumberFormat="1" applyFill="1" applyBorder="1" applyAlignment="1">
      <alignment horizontal="left" wrapText="1"/>
    </xf>
    <xf numFmtId="0" fontId="0" fillId="7" borderId="24" xfId="0" applyFill="1" applyBorder="1" applyAlignment="1">
      <alignment horizontal="left" wrapText="1"/>
    </xf>
    <xf numFmtId="0" fontId="0" fillId="0" borderId="23" xfId="0" applyFill="1" applyBorder="1" applyAlignment="1">
      <alignment wrapText="1"/>
    </xf>
    <xf numFmtId="0" fontId="4" fillId="7" borderId="11" xfId="25" applyFill="1" applyBorder="1" applyAlignment="1">
      <alignment horizontal="left"/>
    </xf>
    <xf numFmtId="3" fontId="4" fillId="7" borderId="11" xfId="25" applyNumberFormat="1" applyFill="1" applyBorder="1" applyAlignment="1">
      <alignment horizontal="left"/>
    </xf>
    <xf numFmtId="9" fontId="4" fillId="0" borderId="11" xfId="25" applyNumberFormat="1" applyFont="1" applyFill="1" applyBorder="1" applyAlignment="1">
      <alignment horizontal="left"/>
    </xf>
    <xf numFmtId="49" fontId="4" fillId="0" borderId="11" xfId="25" applyNumberFormat="1" applyFont="1" applyFill="1" applyBorder="1" applyAlignment="1">
      <alignment horizontal="left"/>
    </xf>
    <xf numFmtId="49" fontId="4" fillId="0" borderId="0" xfId="25" applyNumberFormat="1" applyFont="1" applyFill="1" applyBorder="1" applyAlignment="1">
      <alignment horizontal="left"/>
    </xf>
    <xf numFmtId="170" fontId="0" fillId="0" borderId="0" xfId="0" applyNumberFormat="1" applyFill="1" applyBorder="1" applyAlignment="1">
      <alignment horizontal="left" wrapText="1"/>
    </xf>
    <xf numFmtId="0" fontId="0" fillId="0" borderId="14" xfId="0" applyBorder="1" applyAlignment="1">
      <alignment horizontal="left" wrapText="1"/>
    </xf>
    <xf numFmtId="0" fontId="11" fillId="0" borderId="14" xfId="0" applyFont="1" applyBorder="1" applyAlignment="1">
      <alignment horizontal="left" wrapText="1"/>
    </xf>
    <xf numFmtId="0" fontId="11" fillId="0" borderId="14" xfId="0" applyFont="1" applyBorder="1" applyAlignment="1">
      <alignment vertical="top"/>
    </xf>
    <xf numFmtId="3" fontId="4" fillId="0" borderId="14" xfId="3" applyNumberFormat="1" applyFont="1" applyBorder="1" applyAlignment="1">
      <alignment horizontal="left"/>
    </xf>
    <xf numFmtId="3" fontId="0" fillId="0" borderId="14" xfId="0" applyNumberFormat="1" applyBorder="1" applyAlignment="1">
      <alignment horizontal="left" wrapText="1"/>
    </xf>
    <xf numFmtId="4" fontId="0" fillId="0" borderId="14" xfId="0" applyNumberFormat="1" applyBorder="1" applyAlignment="1">
      <alignment horizontal="left" wrapText="1"/>
    </xf>
    <xf numFmtId="0" fontId="0" fillId="0" borderId="14" xfId="0" applyNumberFormat="1" applyBorder="1" applyAlignment="1">
      <alignment horizontal="left" wrapText="1"/>
    </xf>
    <xf numFmtId="10" fontId="0" fillId="0" borderId="14" xfId="0" applyNumberFormat="1" applyBorder="1" applyAlignment="1">
      <alignment horizontal="left" wrapText="1"/>
    </xf>
    <xf numFmtId="169" fontId="0" fillId="0" borderId="14" xfId="0" applyNumberFormat="1" applyBorder="1" applyAlignment="1">
      <alignment horizontal="left" wrapText="1"/>
    </xf>
    <xf numFmtId="0" fontId="12" fillId="0" borderId="0" xfId="0" applyFont="1" applyFill="1" applyBorder="1" applyAlignment="1">
      <alignment horizontal="left" wrapText="1"/>
    </xf>
    <xf numFmtId="0" fontId="11" fillId="0" borderId="17" xfId="0" applyFont="1" applyBorder="1" applyAlignment="1">
      <alignment horizontal="left" vertical="top"/>
    </xf>
    <xf numFmtId="0" fontId="11" fillId="0" borderId="17" xfId="0" applyFont="1" applyBorder="1" applyAlignment="1">
      <alignment vertical="top"/>
    </xf>
    <xf numFmtId="0" fontId="0" fillId="0" borderId="17" xfId="0" applyBorder="1" applyAlignment="1">
      <alignment vertical="top" wrapText="1"/>
    </xf>
    <xf numFmtId="3" fontId="4" fillId="0" borderId="17" xfId="3" applyNumberFormat="1" applyFont="1" applyBorder="1" applyAlignment="1">
      <alignment vertical="top"/>
    </xf>
    <xf numFmtId="3" fontId="0" fillId="0" borderId="17" xfId="0" applyNumberFormat="1" applyBorder="1" applyAlignment="1">
      <alignment horizontal="left" vertical="top"/>
    </xf>
    <xf numFmtId="0" fontId="4" fillId="9" borderId="3" xfId="25" applyFont="1" applyFill="1" applyBorder="1"/>
    <xf numFmtId="0" fontId="4" fillId="9" borderId="0" xfId="25" applyFill="1" applyBorder="1" applyAlignment="1">
      <alignment horizontal="left"/>
    </xf>
    <xf numFmtId="0" fontId="4" fillId="9" borderId="0" xfId="25" applyFont="1" applyFill="1" applyBorder="1"/>
    <xf numFmtId="0" fontId="0" fillId="9" borderId="0" xfId="0" applyFill="1" applyBorder="1" applyAlignment="1">
      <alignment horizontal="left" wrapText="1"/>
    </xf>
    <xf numFmtId="3" fontId="4" fillId="9" borderId="0" xfId="25" applyNumberFormat="1" applyFont="1" applyFill="1" applyBorder="1" applyAlignment="1">
      <alignment horizontal="left"/>
    </xf>
    <xf numFmtId="4" fontId="0" fillId="9" borderId="0" xfId="0" applyNumberFormat="1" applyFill="1" applyBorder="1" applyAlignment="1">
      <alignment horizontal="left" wrapText="1"/>
    </xf>
    <xf numFmtId="3" fontId="0" fillId="9" borderId="0" xfId="0" applyNumberFormat="1" applyFill="1" applyBorder="1" applyAlignment="1">
      <alignment horizontal="left" wrapText="1"/>
    </xf>
    <xf numFmtId="3" fontId="4" fillId="9" borderId="0" xfId="25" applyNumberFormat="1" applyFill="1" applyBorder="1" applyAlignment="1">
      <alignment horizontal="left"/>
    </xf>
    <xf numFmtId="0" fontId="4" fillId="9" borderId="0" xfId="25" applyNumberFormat="1" applyFill="1" applyBorder="1" applyAlignment="1">
      <alignment horizontal="left"/>
    </xf>
    <xf numFmtId="10" fontId="4" fillId="9" borderId="0" xfId="25" applyNumberFormat="1" applyFill="1" applyBorder="1" applyAlignment="1">
      <alignment horizontal="left"/>
    </xf>
    <xf numFmtId="169" fontId="0" fillId="9" borderId="0" xfId="0" applyNumberFormat="1" applyFill="1" applyBorder="1" applyAlignment="1">
      <alignment horizontal="left" wrapText="1"/>
    </xf>
    <xf numFmtId="15" fontId="0" fillId="9" borderId="0" xfId="0" applyNumberFormat="1" applyFill="1" applyBorder="1" applyAlignment="1">
      <alignment horizontal="left" wrapText="1"/>
    </xf>
    <xf numFmtId="0" fontId="0" fillId="9" borderId="9" xfId="0" applyFill="1" applyBorder="1" applyAlignment="1">
      <alignment horizontal="left" wrapText="1"/>
    </xf>
    <xf numFmtId="49" fontId="4" fillId="9" borderId="0" xfId="25" applyNumberFormat="1" applyFont="1" applyFill="1" applyBorder="1" applyAlignment="1">
      <alignment horizontal="left"/>
    </xf>
    <xf numFmtId="0" fontId="8" fillId="9" borderId="0" xfId="2" applyFill="1" applyBorder="1" applyAlignment="1">
      <alignment horizontal="left" wrapText="1"/>
    </xf>
    <xf numFmtId="0" fontId="0" fillId="9" borderId="0" xfId="0" applyFont="1" applyFill="1" applyBorder="1" applyAlignment="1">
      <alignment horizontal="left" wrapText="1"/>
    </xf>
    <xf numFmtId="0" fontId="0" fillId="9" borderId="9" xfId="0" applyFont="1" applyFill="1" applyBorder="1" applyAlignment="1">
      <alignment horizontal="left" wrapText="1"/>
    </xf>
    <xf numFmtId="0" fontId="4" fillId="9" borderId="10" xfId="25" applyFont="1" applyFill="1" applyBorder="1"/>
    <xf numFmtId="0" fontId="4" fillId="9" borderId="11" xfId="25" applyFill="1" applyBorder="1" applyAlignment="1">
      <alignment horizontal="left"/>
    </xf>
    <xf numFmtId="0" fontId="4" fillId="9" borderId="11" xfId="25" applyFont="1" applyFill="1" applyBorder="1"/>
    <xf numFmtId="0" fontId="0" fillId="9" borderId="11" xfId="0" applyFill="1" applyBorder="1" applyAlignment="1">
      <alignment horizontal="left" wrapText="1"/>
    </xf>
    <xf numFmtId="3" fontId="4" fillId="9" borderId="11" xfId="25" applyNumberFormat="1" applyFont="1" applyFill="1" applyBorder="1" applyAlignment="1">
      <alignment horizontal="left"/>
    </xf>
    <xf numFmtId="4" fontId="0" fillId="9" borderId="11" xfId="0" applyNumberFormat="1" applyFill="1" applyBorder="1" applyAlignment="1">
      <alignment horizontal="left" wrapText="1"/>
    </xf>
    <xf numFmtId="3" fontId="0" fillId="9" borderId="11" xfId="0" applyNumberFormat="1" applyFill="1" applyBorder="1" applyAlignment="1">
      <alignment horizontal="left" wrapText="1"/>
    </xf>
    <xf numFmtId="3" fontId="4" fillId="9" borderId="11" xfId="25" applyNumberFormat="1" applyFill="1" applyBorder="1" applyAlignment="1">
      <alignment horizontal="left"/>
    </xf>
    <xf numFmtId="0" fontId="4" fillId="9" borderId="11" xfId="25" applyNumberFormat="1" applyFill="1" applyBorder="1" applyAlignment="1">
      <alignment horizontal="left"/>
    </xf>
    <xf numFmtId="10" fontId="4" fillId="9" borderId="11" xfId="25" applyNumberFormat="1" applyFill="1" applyBorder="1" applyAlignment="1">
      <alignment horizontal="left"/>
    </xf>
    <xf numFmtId="169" fontId="0" fillId="9" borderId="11" xfId="0" applyNumberFormat="1" applyFill="1" applyBorder="1" applyAlignment="1">
      <alignment horizontal="left" wrapText="1"/>
    </xf>
    <xf numFmtId="15" fontId="0" fillId="9" borderId="11" xfId="0" applyNumberFormat="1" applyFill="1" applyBorder="1" applyAlignment="1">
      <alignment horizontal="left" wrapText="1"/>
    </xf>
    <xf numFmtId="0" fontId="0" fillId="9" borderId="12" xfId="0" applyFill="1" applyBorder="1" applyAlignment="1">
      <alignment horizontal="left" wrapText="1"/>
    </xf>
    <xf numFmtId="0" fontId="4" fillId="9" borderId="16" xfId="25" applyFont="1" applyFill="1" applyBorder="1"/>
    <xf numFmtId="0" fontId="4" fillId="9" borderId="17" xfId="25" applyFill="1" applyBorder="1" applyAlignment="1">
      <alignment horizontal="left"/>
    </xf>
    <xf numFmtId="0" fontId="4" fillId="9" borderId="17" xfId="25" applyFont="1" applyFill="1" applyBorder="1"/>
    <xf numFmtId="0" fontId="0" fillId="9" borderId="17" xfId="0" applyFill="1" applyBorder="1" applyAlignment="1">
      <alignment horizontal="left" wrapText="1"/>
    </xf>
    <xf numFmtId="3" fontId="4" fillId="9" borderId="17" xfId="25" applyNumberFormat="1" applyFont="1" applyFill="1" applyBorder="1" applyAlignment="1">
      <alignment horizontal="left"/>
    </xf>
    <xf numFmtId="4" fontId="0" fillId="9" borderId="17" xfId="0" applyNumberFormat="1" applyFill="1" applyBorder="1" applyAlignment="1">
      <alignment horizontal="left" wrapText="1"/>
    </xf>
    <xf numFmtId="3" fontId="0" fillId="9" borderId="17" xfId="0" applyNumberFormat="1" applyFill="1" applyBorder="1" applyAlignment="1">
      <alignment horizontal="left" wrapText="1"/>
    </xf>
    <xf numFmtId="3" fontId="4" fillId="9" borderId="17" xfId="25" applyNumberFormat="1" applyFill="1" applyBorder="1" applyAlignment="1">
      <alignment horizontal="left"/>
    </xf>
    <xf numFmtId="0" fontId="4" fillId="9" borderId="17" xfId="25" applyNumberFormat="1" applyFill="1" applyBorder="1" applyAlignment="1">
      <alignment horizontal="left"/>
    </xf>
    <xf numFmtId="10" fontId="4" fillId="9" borderId="17" xfId="25" applyNumberFormat="1" applyFill="1" applyBorder="1" applyAlignment="1">
      <alignment horizontal="left"/>
    </xf>
    <xf numFmtId="169" fontId="0" fillId="9" borderId="17" xfId="0" applyNumberFormat="1" applyFill="1" applyBorder="1" applyAlignment="1">
      <alignment horizontal="left" wrapText="1"/>
    </xf>
    <xf numFmtId="15" fontId="0" fillId="9" borderId="17" xfId="0" applyNumberFormat="1" applyFill="1" applyBorder="1" applyAlignment="1">
      <alignment horizontal="left" wrapText="1"/>
    </xf>
    <xf numFmtId="0" fontId="0" fillId="9" borderId="18" xfId="0" applyFill="1" applyBorder="1" applyAlignment="1">
      <alignment horizontal="left" wrapText="1"/>
    </xf>
    <xf numFmtId="0" fontId="4" fillId="0" borderId="11" xfId="25" applyFont="1" applyFill="1" applyBorder="1"/>
    <xf numFmtId="4" fontId="0" fillId="0" borderId="11" xfId="0" applyNumberFormat="1" applyBorder="1" applyAlignment="1">
      <alignment horizontal="left"/>
    </xf>
    <xf numFmtId="0" fontId="4" fillId="0" borderId="0" xfId="25" applyFont="1" applyFill="1" applyBorder="1"/>
    <xf numFmtId="0" fontId="4" fillId="0" borderId="14" xfId="25" applyFont="1" applyFill="1" applyBorder="1"/>
    <xf numFmtId="3" fontId="0" fillId="5" borderId="11" xfId="0" applyNumberFormat="1" applyFill="1" applyBorder="1" applyAlignment="1">
      <alignment horizontal="left" wrapText="1"/>
    </xf>
    <xf numFmtId="171" fontId="0" fillId="0" borderId="0" xfId="0" applyNumberFormat="1" applyFill="1" applyBorder="1" applyAlignment="1">
      <alignment horizontal="left" wrapText="1"/>
    </xf>
    <xf numFmtId="0" fontId="12" fillId="0" borderId="12" xfId="0" applyFont="1" applyFill="1" applyBorder="1" applyAlignment="1">
      <alignment horizontal="left" wrapText="1"/>
    </xf>
    <xf numFmtId="0" fontId="4" fillId="0" borderId="16" xfId="25" applyFont="1" applyFill="1" applyBorder="1"/>
    <xf numFmtId="0" fontId="4" fillId="0" borderId="17" xfId="25" applyFont="1" applyFill="1" applyBorder="1"/>
    <xf numFmtId="0" fontId="0" fillId="0" borderId="17" xfId="0" applyNumberFormat="1" applyFill="1" applyBorder="1" applyAlignment="1">
      <alignment horizontal="left" wrapText="1"/>
    </xf>
    <xf numFmtId="10" fontId="0" fillId="0" borderId="17" xfId="0" applyNumberFormat="1" applyFill="1" applyBorder="1" applyAlignment="1">
      <alignment horizontal="left" wrapText="1"/>
    </xf>
    <xf numFmtId="164" fontId="4" fillId="0" borderId="0" xfId="29" applyFont="1" applyBorder="1" applyAlignment="1">
      <alignment horizontal="left"/>
    </xf>
    <xf numFmtId="0" fontId="0" fillId="0" borderId="0" xfId="0" applyNumberFormat="1" applyFill="1" applyBorder="1" applyAlignment="1">
      <alignment wrapText="1"/>
    </xf>
    <xf numFmtId="10" fontId="0" fillId="0" borderId="0" xfId="0" applyNumberFormat="1" applyFill="1" applyBorder="1" applyAlignment="1">
      <alignment wrapText="1"/>
    </xf>
    <xf numFmtId="3" fontId="4" fillId="3" borderId="14" xfId="25" applyNumberFormat="1" applyFill="1" applyBorder="1" applyAlignment="1">
      <alignment horizontal="left"/>
    </xf>
    <xf numFmtId="164" fontId="4" fillId="0" borderId="14" xfId="29" applyFont="1" applyBorder="1" applyAlignment="1">
      <alignment horizontal="left"/>
    </xf>
    <xf numFmtId="3" fontId="4" fillId="5" borderId="14" xfId="25" applyNumberFormat="1" applyFill="1" applyBorder="1" applyAlignment="1">
      <alignment horizontal="left"/>
    </xf>
    <xf numFmtId="0" fontId="4" fillId="0" borderId="25" xfId="25" applyNumberFormat="1" applyFill="1" applyBorder="1" applyAlignment="1">
      <alignment horizontal="left"/>
    </xf>
    <xf numFmtId="3" fontId="4" fillId="0" borderId="25" xfId="25" applyNumberFormat="1" applyFill="1" applyBorder="1" applyAlignment="1">
      <alignment horizontal="left"/>
    </xf>
    <xf numFmtId="10" fontId="4" fillId="0" borderId="25" xfId="25" applyNumberFormat="1" applyFill="1" applyBorder="1" applyAlignment="1">
      <alignment horizontal="left"/>
    </xf>
    <xf numFmtId="0" fontId="0" fillId="0" borderId="26" xfId="0" applyFill="1" applyBorder="1" applyAlignment="1">
      <alignment horizontal="left" wrapText="1"/>
    </xf>
    <xf numFmtId="0" fontId="0" fillId="0" borderId="25" xfId="0" applyFill="1" applyBorder="1" applyAlignment="1">
      <alignment horizontal="left" wrapText="1"/>
    </xf>
    <xf numFmtId="0" fontId="4" fillId="0" borderId="25" xfId="25" applyFont="1" applyFill="1" applyBorder="1"/>
    <xf numFmtId="3" fontId="4" fillId="0" borderId="25" xfId="25" applyNumberFormat="1" applyFont="1" applyBorder="1" applyAlignment="1">
      <alignment horizontal="left"/>
    </xf>
    <xf numFmtId="4" fontId="0" fillId="0" borderId="25" xfId="0" applyNumberFormat="1" applyFill="1" applyBorder="1" applyAlignment="1">
      <alignment horizontal="left" wrapText="1"/>
    </xf>
    <xf numFmtId="3" fontId="0" fillId="0" borderId="25" xfId="0" applyNumberFormat="1" applyFill="1" applyBorder="1" applyAlignment="1">
      <alignment horizontal="left" wrapText="1"/>
    </xf>
    <xf numFmtId="3" fontId="4" fillId="4" borderId="25" xfId="25" applyNumberFormat="1" applyFill="1" applyBorder="1" applyAlignment="1">
      <alignment horizontal="left"/>
    </xf>
    <xf numFmtId="169" fontId="0" fillId="0" borderId="25" xfId="0" applyNumberFormat="1" applyFill="1" applyBorder="1" applyAlignment="1">
      <alignment horizontal="left" wrapText="1"/>
    </xf>
    <xf numFmtId="15" fontId="0" fillId="0" borderId="25" xfId="0" applyNumberFormat="1" applyFill="1" applyBorder="1" applyAlignment="1">
      <alignment horizontal="left" wrapText="1"/>
    </xf>
    <xf numFmtId="0" fontId="0" fillId="0" borderId="27" xfId="0" applyFill="1" applyBorder="1" applyAlignment="1">
      <alignment horizontal="left" wrapText="1"/>
    </xf>
    <xf numFmtId="0" fontId="0" fillId="0" borderId="25" xfId="0" applyFill="1" applyBorder="1" applyAlignment="1">
      <alignment wrapText="1"/>
    </xf>
    <xf numFmtId="0" fontId="0" fillId="0" borderId="17" xfId="0" applyBorder="1" applyAlignment="1">
      <alignment horizontal="left" vertical="top"/>
    </xf>
    <xf numFmtId="0" fontId="0" fillId="0" borderId="17" xfId="0" applyBorder="1" applyAlignment="1">
      <alignment vertical="top"/>
    </xf>
    <xf numFmtId="0" fontId="0" fillId="0" borderId="17" xfId="0" applyFill="1" applyBorder="1" applyAlignment="1">
      <alignment vertical="top" wrapText="1"/>
    </xf>
    <xf numFmtId="3" fontId="0" fillId="0" borderId="17" xfId="0" applyNumberFormat="1" applyFill="1" applyBorder="1" applyAlignment="1">
      <alignment horizontal="left" vertical="top" wrapText="1"/>
    </xf>
    <xf numFmtId="0" fontId="0" fillId="0" borderId="17" xfId="0" applyBorder="1"/>
    <xf numFmtId="3" fontId="35" fillId="0" borderId="17" xfId="0" applyNumberFormat="1" applyFont="1" applyFill="1" applyBorder="1" applyAlignment="1">
      <alignment horizontal="left" wrapText="1"/>
    </xf>
    <xf numFmtId="3" fontId="0" fillId="0" borderId="17" xfId="0" applyNumberFormat="1" applyBorder="1" applyAlignment="1">
      <alignment horizontal="left"/>
    </xf>
    <xf numFmtId="49" fontId="0" fillId="0" borderId="17" xfId="0" applyNumberFormat="1" applyBorder="1" applyAlignment="1">
      <alignment horizontal="left" wrapText="1"/>
    </xf>
    <xf numFmtId="164" fontId="4" fillId="0" borderId="0" xfId="29" applyFont="1" applyFill="1" applyBorder="1" applyAlignment="1">
      <alignment horizontal="left"/>
    </xf>
    <xf numFmtId="164" fontId="4" fillId="0" borderId="14" xfId="29" applyFont="1" applyFill="1" applyBorder="1" applyAlignment="1">
      <alignment horizontal="left"/>
    </xf>
    <xf numFmtId="10" fontId="4" fillId="6" borderId="0" xfId="25" applyNumberFormat="1" applyFill="1" applyBorder="1" applyAlignment="1">
      <alignment horizontal="left"/>
    </xf>
    <xf numFmtId="3" fontId="0" fillId="0" borderId="0" xfId="0" applyNumberFormat="1" applyFill="1" applyBorder="1" applyAlignment="1">
      <alignment wrapText="1"/>
    </xf>
    <xf numFmtId="169" fontId="0" fillId="0" borderId="0" xfId="0" applyNumberFormat="1" applyFill="1" applyBorder="1" applyAlignment="1">
      <alignment wrapText="1"/>
    </xf>
    <xf numFmtId="0" fontId="0" fillId="0" borderId="14" xfId="0" applyNumberFormat="1" applyFill="1" applyBorder="1" applyAlignment="1">
      <alignment wrapText="1"/>
    </xf>
    <xf numFmtId="10" fontId="0" fillId="0" borderId="14" xfId="0" applyNumberFormat="1" applyFill="1" applyBorder="1" applyAlignment="1">
      <alignment wrapText="1"/>
    </xf>
    <xf numFmtId="169" fontId="0" fillId="0" borderId="14" xfId="0" applyNumberFormat="1" applyFill="1" applyBorder="1" applyAlignment="1">
      <alignment wrapText="1"/>
    </xf>
    <xf numFmtId="0" fontId="4" fillId="0" borderId="19" xfId="25" applyFont="1" applyFill="1" applyBorder="1"/>
    <xf numFmtId="3" fontId="4" fillId="4" borderId="19" xfId="25" applyNumberFormat="1" applyFill="1" applyBorder="1" applyAlignment="1">
      <alignment horizontal="left"/>
    </xf>
    <xf numFmtId="164" fontId="0" fillId="0" borderId="0" xfId="29" applyFont="1" applyFill="1" applyBorder="1" applyAlignment="1">
      <alignment horizontal="left" wrapText="1"/>
    </xf>
    <xf numFmtId="3" fontId="4" fillId="3" borderId="0" xfId="25" applyNumberFormat="1" applyFont="1" applyFill="1" applyBorder="1" applyAlignment="1">
      <alignment horizontal="left"/>
    </xf>
    <xf numFmtId="0" fontId="4" fillId="9" borderId="20" xfId="25" applyFont="1" applyFill="1" applyBorder="1"/>
    <xf numFmtId="0" fontId="4" fillId="9" borderId="19" xfId="25" applyFill="1" applyBorder="1" applyAlignment="1">
      <alignment horizontal="left"/>
    </xf>
    <xf numFmtId="0" fontId="4" fillId="9" borderId="19" xfId="25" applyFont="1" applyFill="1" applyBorder="1"/>
    <xf numFmtId="0" fontId="0" fillId="9" borderId="19" xfId="0" applyFill="1" applyBorder="1" applyAlignment="1">
      <alignment horizontal="left" wrapText="1"/>
    </xf>
    <xf numFmtId="3" fontId="4" fillId="9" borderId="19" xfId="25" applyNumberFormat="1" applyFont="1" applyFill="1" applyBorder="1" applyAlignment="1">
      <alignment horizontal="left"/>
    </xf>
    <xf numFmtId="4" fontId="0" fillId="9" borderId="19" xfId="0" applyNumberFormat="1" applyFill="1" applyBorder="1" applyAlignment="1">
      <alignment horizontal="left" wrapText="1"/>
    </xf>
    <xf numFmtId="3" fontId="0" fillId="9" borderId="19" xfId="0" applyNumberFormat="1" applyFill="1" applyBorder="1" applyAlignment="1">
      <alignment horizontal="left" wrapText="1"/>
    </xf>
    <xf numFmtId="3" fontId="4" fillId="9" borderId="19" xfId="25" applyNumberFormat="1" applyFill="1" applyBorder="1" applyAlignment="1">
      <alignment horizontal="left"/>
    </xf>
    <xf numFmtId="0" fontId="4" fillId="9" borderId="19" xfId="25" applyNumberFormat="1" applyFill="1" applyBorder="1" applyAlignment="1">
      <alignment horizontal="left"/>
    </xf>
    <xf numFmtId="10" fontId="4" fillId="9" borderId="19" xfId="25" applyNumberFormat="1" applyFill="1" applyBorder="1" applyAlignment="1">
      <alignment horizontal="left"/>
    </xf>
    <xf numFmtId="169" fontId="0" fillId="9" borderId="19" xfId="0" applyNumberFormat="1" applyFill="1" applyBorder="1" applyAlignment="1">
      <alignment horizontal="left" wrapText="1"/>
    </xf>
    <xf numFmtId="15" fontId="0" fillId="9" borderId="19" xfId="0" applyNumberFormat="1" applyFill="1" applyBorder="1" applyAlignment="1">
      <alignment horizontal="left" wrapText="1"/>
    </xf>
    <xf numFmtId="0" fontId="0" fillId="9" borderId="19" xfId="0" applyFill="1" applyBorder="1" applyAlignment="1">
      <alignment horizontal="left"/>
    </xf>
    <xf numFmtId="0" fontId="0" fillId="9" borderId="21" xfId="0" applyFill="1" applyBorder="1" applyAlignment="1">
      <alignment horizontal="left" wrapText="1"/>
    </xf>
    <xf numFmtId="0" fontId="12" fillId="9" borderId="0" xfId="0" applyFont="1" applyFill="1" applyBorder="1" applyAlignment="1">
      <alignment horizontal="left" wrapText="1"/>
    </xf>
    <xf numFmtId="0" fontId="12" fillId="9" borderId="9" xfId="0" applyFont="1" applyFill="1" applyBorder="1" applyAlignment="1">
      <alignment horizontal="left" wrapText="1"/>
    </xf>
    <xf numFmtId="0" fontId="4" fillId="9" borderId="13" xfId="25" applyFont="1" applyFill="1" applyBorder="1"/>
    <xf numFmtId="0" fontId="4" fillId="9" borderId="14" xfId="25" applyFill="1" applyBorder="1" applyAlignment="1">
      <alignment horizontal="left"/>
    </xf>
    <xf numFmtId="0" fontId="4" fillId="9" borderId="14" xfId="25" applyFont="1" applyFill="1" applyBorder="1"/>
    <xf numFmtId="0" fontId="0" fillId="9" borderId="14" xfId="0" applyFill="1" applyBorder="1" applyAlignment="1">
      <alignment horizontal="left" wrapText="1"/>
    </xf>
    <xf numFmtId="3" fontId="0" fillId="9" borderId="14" xfId="0" applyNumberFormat="1" applyFill="1" applyBorder="1" applyAlignment="1">
      <alignment horizontal="left" wrapText="1"/>
    </xf>
    <xf numFmtId="3" fontId="4" fillId="9" borderId="14" xfId="25" applyNumberFormat="1" applyFont="1" applyFill="1" applyBorder="1" applyAlignment="1">
      <alignment horizontal="left"/>
    </xf>
    <xf numFmtId="4" fontId="0" fillId="9" borderId="14" xfId="0" applyNumberFormat="1" applyFill="1" applyBorder="1" applyAlignment="1">
      <alignment horizontal="left" wrapText="1"/>
    </xf>
    <xf numFmtId="0" fontId="12" fillId="9" borderId="14" xfId="0" applyFont="1" applyFill="1" applyBorder="1" applyAlignment="1">
      <alignment horizontal="left" wrapText="1"/>
    </xf>
    <xf numFmtId="3" fontId="4" fillId="9" borderId="14" xfId="25" applyNumberFormat="1" applyFill="1" applyBorder="1" applyAlignment="1">
      <alignment horizontal="left"/>
    </xf>
    <xf numFmtId="0" fontId="4" fillId="9" borderId="14" xfId="25" applyNumberFormat="1" applyFill="1" applyBorder="1" applyAlignment="1">
      <alignment horizontal="left"/>
    </xf>
    <xf numFmtId="10" fontId="4" fillId="9" borderId="14" xfId="25" applyNumberFormat="1" applyFill="1" applyBorder="1" applyAlignment="1">
      <alignment horizontal="left"/>
    </xf>
    <xf numFmtId="169" fontId="0" fillId="9" borderId="14" xfId="0" applyNumberFormat="1" applyFill="1" applyBorder="1" applyAlignment="1">
      <alignment horizontal="left" wrapText="1"/>
    </xf>
    <xf numFmtId="15" fontId="0" fillId="9" borderId="14" xfId="0" applyNumberFormat="1" applyFill="1" applyBorder="1" applyAlignment="1">
      <alignment horizontal="left" wrapText="1"/>
    </xf>
    <xf numFmtId="0" fontId="12" fillId="9" borderId="15" xfId="0" applyFont="1" applyFill="1" applyBorder="1" applyAlignment="1">
      <alignment horizontal="left" wrapText="1"/>
    </xf>
    <xf numFmtId="0" fontId="0" fillId="9" borderId="0" xfId="0" applyFill="1" applyBorder="1" applyAlignment="1">
      <alignment horizontal="left"/>
    </xf>
    <xf numFmtId="0" fontId="0" fillId="9" borderId="11" xfId="0" applyFill="1" applyBorder="1" applyAlignment="1">
      <alignment horizontal="left"/>
    </xf>
    <xf numFmtId="0" fontId="12" fillId="0" borderId="9" xfId="0" applyFont="1" applyFill="1" applyBorder="1" applyAlignment="1">
      <alignment horizontal="left" wrapText="1"/>
    </xf>
    <xf numFmtId="0" fontId="12" fillId="0" borderId="15" xfId="0" applyFont="1" applyFill="1" applyBorder="1" applyAlignment="1">
      <alignment horizontal="left" wrapText="1"/>
    </xf>
    <xf numFmtId="2" fontId="0" fillId="0" borderId="0" xfId="0" applyNumberFormat="1" applyFill="1" applyBorder="1" applyAlignment="1">
      <alignment horizontal="left" wrapText="1"/>
    </xf>
    <xf numFmtId="0" fontId="0" fillId="0" borderId="0" xfId="0" applyFill="1" applyBorder="1" applyAlignment="1">
      <alignment vertical="center"/>
    </xf>
    <xf numFmtId="3" fontId="12" fillId="0" borderId="0" xfId="0" applyNumberFormat="1" applyFont="1" applyFill="1" applyBorder="1" applyAlignment="1">
      <alignment horizontal="left" wrapText="1"/>
    </xf>
    <xf numFmtId="3" fontId="12" fillId="0" borderId="17" xfId="0" applyNumberFormat="1" applyFont="1" applyFill="1" applyBorder="1" applyAlignment="1">
      <alignment horizontal="left" wrapText="1"/>
    </xf>
    <xf numFmtId="0" fontId="12" fillId="0" borderId="17" xfId="0" applyFont="1" applyFill="1" applyBorder="1" applyAlignment="1">
      <alignment horizontal="left" wrapText="1"/>
    </xf>
    <xf numFmtId="0" fontId="0" fillId="0" borderId="18" xfId="0" applyFill="1" applyBorder="1" applyAlignment="1">
      <alignment wrapText="1"/>
    </xf>
    <xf numFmtId="0" fontId="4" fillId="7" borderId="23" xfId="25" applyFont="1" applyFill="1" applyBorder="1"/>
    <xf numFmtId="0" fontId="0" fillId="0" borderId="23" xfId="0" applyFill="1" applyBorder="1" applyAlignment="1">
      <alignment horizontal="left" wrapText="1"/>
    </xf>
    <xf numFmtId="3" fontId="12" fillId="7" borderId="23" xfId="0" applyNumberFormat="1" applyFont="1" applyFill="1" applyBorder="1" applyAlignment="1">
      <alignment horizontal="left" wrapText="1"/>
    </xf>
    <xf numFmtId="0" fontId="12" fillId="7" borderId="23" xfId="0" applyFont="1" applyFill="1" applyBorder="1" applyAlignment="1">
      <alignment horizontal="left" wrapText="1"/>
    </xf>
    <xf numFmtId="0" fontId="4" fillId="7" borderId="23" xfId="25" applyNumberFormat="1" applyFont="1" applyFill="1" applyBorder="1" applyAlignment="1">
      <alignment horizontal="left"/>
    </xf>
    <xf numFmtId="10" fontId="4" fillId="0" borderId="23" xfId="25" applyNumberFormat="1" applyFont="1" applyFill="1" applyBorder="1" applyAlignment="1">
      <alignment horizontal="left"/>
    </xf>
    <xf numFmtId="0" fontId="4" fillId="7" borderId="26" xfId="25" applyFont="1" applyFill="1" applyBorder="1"/>
    <xf numFmtId="0" fontId="4" fillId="7" borderId="25" xfId="25" applyFill="1" applyBorder="1" applyAlignment="1">
      <alignment horizontal="left"/>
    </xf>
    <xf numFmtId="0" fontId="4" fillId="7" borderId="25" xfId="25" applyFont="1" applyFill="1" applyBorder="1"/>
    <xf numFmtId="0" fontId="0" fillId="7" borderId="25" xfId="0" applyFill="1" applyBorder="1" applyAlignment="1">
      <alignment horizontal="left" wrapText="1"/>
    </xf>
    <xf numFmtId="3" fontId="4" fillId="7" borderId="25" xfId="25" applyNumberFormat="1" applyFont="1" applyFill="1" applyBorder="1" applyAlignment="1">
      <alignment horizontal="left"/>
    </xf>
    <xf numFmtId="4" fontId="0" fillId="7" borderId="25" xfId="0" applyNumberFormat="1" applyFill="1" applyBorder="1" applyAlignment="1">
      <alignment horizontal="left" wrapText="1"/>
    </xf>
    <xf numFmtId="0" fontId="12" fillId="7" borderId="25" xfId="0" applyFont="1" applyFill="1" applyBorder="1" applyAlignment="1">
      <alignment horizontal="left" wrapText="1"/>
    </xf>
    <xf numFmtId="3" fontId="0" fillId="7" borderId="25" xfId="0" applyNumberFormat="1" applyFill="1" applyBorder="1" applyAlignment="1">
      <alignment horizontal="left" wrapText="1"/>
    </xf>
    <xf numFmtId="3" fontId="4" fillId="4" borderId="25" xfId="25" applyNumberFormat="1" applyFont="1" applyFill="1" applyBorder="1" applyAlignment="1">
      <alignment horizontal="left"/>
    </xf>
    <xf numFmtId="3" fontId="4" fillId="3" borderId="25" xfId="25" applyNumberFormat="1" applyFont="1" applyFill="1" applyBorder="1" applyAlignment="1">
      <alignment horizontal="left"/>
    </xf>
    <xf numFmtId="0" fontId="0" fillId="7" borderId="25" xfId="0" applyNumberFormat="1" applyFill="1" applyBorder="1" applyAlignment="1">
      <alignment horizontal="left" wrapText="1"/>
    </xf>
    <xf numFmtId="10" fontId="4" fillId="0" borderId="25" xfId="25" applyNumberFormat="1" applyFont="1" applyFill="1" applyBorder="1" applyAlignment="1">
      <alignment horizontal="left"/>
    </xf>
    <xf numFmtId="169" fontId="0" fillId="7" borderId="25" xfId="0" applyNumberFormat="1" applyFill="1" applyBorder="1" applyAlignment="1">
      <alignment horizontal="left" wrapText="1"/>
    </xf>
    <xf numFmtId="15" fontId="0" fillId="7" borderId="25" xfId="0" applyNumberFormat="1" applyFill="1" applyBorder="1" applyAlignment="1">
      <alignment horizontal="left" wrapText="1"/>
    </xf>
    <xf numFmtId="0" fontId="0" fillId="7" borderId="27" xfId="0" applyFill="1" applyBorder="1" applyAlignment="1">
      <alignment horizontal="left" wrapText="1"/>
    </xf>
    <xf numFmtId="0" fontId="4" fillId="7" borderId="25" xfId="25" applyNumberFormat="1" applyFont="1" applyFill="1" applyBorder="1" applyAlignment="1">
      <alignment horizontal="left"/>
    </xf>
    <xf numFmtId="0" fontId="4" fillId="0" borderId="26" xfId="25" applyFont="1" applyFill="1" applyBorder="1"/>
    <xf numFmtId="0" fontId="4" fillId="0" borderId="25" xfId="25" applyFill="1" applyBorder="1" applyAlignment="1">
      <alignment horizontal="left"/>
    </xf>
    <xf numFmtId="3" fontId="4" fillId="0" borderId="25" xfId="25" applyNumberFormat="1" applyFont="1" applyFill="1" applyBorder="1" applyAlignment="1">
      <alignment horizontal="left"/>
    </xf>
    <xf numFmtId="0" fontId="12" fillId="0" borderId="25" xfId="0" applyFont="1" applyFill="1" applyBorder="1" applyAlignment="1">
      <alignment horizontal="left" wrapText="1"/>
    </xf>
    <xf numFmtId="0" fontId="8" fillId="0" borderId="25" xfId="2" applyFill="1" applyBorder="1" applyAlignment="1">
      <alignment horizontal="left" wrapText="1"/>
    </xf>
    <xf numFmtId="3" fontId="4" fillId="3" borderId="25" xfId="25" applyNumberFormat="1" applyFill="1" applyBorder="1" applyAlignment="1">
      <alignment horizontal="left"/>
    </xf>
    <xf numFmtId="3" fontId="4" fillId="5" borderId="25" xfId="25" applyNumberFormat="1" applyFill="1" applyBorder="1" applyAlignment="1">
      <alignment horizontal="left"/>
    </xf>
    <xf numFmtId="0" fontId="0" fillId="0" borderId="28" xfId="0" applyBorder="1" applyAlignment="1">
      <alignment horizontal="left" wrapText="1"/>
    </xf>
    <xf numFmtId="3" fontId="4" fillId="0" borderId="28" xfId="3" applyNumberFormat="1" applyFont="1" applyBorder="1" applyAlignment="1">
      <alignment horizontal="left"/>
    </xf>
    <xf numFmtId="4" fontId="0" fillId="0" borderId="28" xfId="0" applyNumberFormat="1" applyFill="1" applyBorder="1" applyAlignment="1">
      <alignment horizontal="left" wrapText="1"/>
    </xf>
    <xf numFmtId="0" fontId="0" fillId="6" borderId="28" xfId="0" applyFill="1" applyBorder="1" applyAlignment="1">
      <alignment horizontal="left" wrapText="1"/>
    </xf>
    <xf numFmtId="3" fontId="0" fillId="0" borderId="28" xfId="0" applyNumberFormat="1" applyBorder="1" applyAlignment="1">
      <alignment horizontal="left" wrapText="1"/>
    </xf>
    <xf numFmtId="9" fontId="0" fillId="0" borderId="28" xfId="0" applyNumberFormat="1" applyBorder="1" applyAlignment="1">
      <alignment horizontal="left" wrapText="1"/>
    </xf>
    <xf numFmtId="0" fontId="0" fillId="0" borderId="28" xfId="0" applyNumberFormat="1" applyBorder="1" applyAlignment="1">
      <alignment horizontal="left" wrapText="1"/>
    </xf>
    <xf numFmtId="10" fontId="0" fillId="0" borderId="28" xfId="0" applyNumberFormat="1" applyBorder="1" applyAlignment="1">
      <alignment horizontal="left" wrapText="1"/>
    </xf>
    <xf numFmtId="169" fontId="0" fillId="0" borderId="28" xfId="0" applyNumberFormat="1" applyBorder="1" applyAlignment="1">
      <alignment horizontal="left" wrapText="1"/>
    </xf>
    <xf numFmtId="49" fontId="0" fillId="0" borderId="28" xfId="0" applyNumberFormat="1" applyBorder="1" applyAlignment="1">
      <alignment horizontal="left" wrapText="1"/>
    </xf>
    <xf numFmtId="0" fontId="0" fillId="0" borderId="28" xfId="0" applyFill="1" applyBorder="1" applyAlignment="1">
      <alignment wrapText="1"/>
    </xf>
    <xf numFmtId="0" fontId="4" fillId="7" borderId="0" xfId="25" applyFont="1" applyFill="1" applyBorder="1"/>
    <xf numFmtId="3" fontId="4" fillId="4" borderId="0" xfId="25" applyNumberFormat="1" applyFont="1" applyFill="1" applyBorder="1" applyAlignment="1">
      <alignment horizontal="left"/>
    </xf>
    <xf numFmtId="0" fontId="4" fillId="7" borderId="14" xfId="25" applyFont="1" applyFill="1" applyBorder="1"/>
    <xf numFmtId="0" fontId="12" fillId="7" borderId="14" xfId="0" applyFont="1" applyFill="1" applyBorder="1" applyAlignment="1">
      <alignment horizontal="left" wrapText="1"/>
    </xf>
    <xf numFmtId="10" fontId="4" fillId="7" borderId="11" xfId="25" applyNumberFormat="1" applyFont="1" applyFill="1" applyBorder="1" applyAlignment="1">
      <alignment horizontal="left"/>
    </xf>
    <xf numFmtId="0" fontId="12" fillId="7" borderId="0" xfId="0" applyFont="1" applyFill="1" applyBorder="1" applyAlignment="1">
      <alignment horizontal="left" wrapText="1"/>
    </xf>
    <xf numFmtId="0" fontId="4" fillId="7" borderId="11" xfId="25" applyFont="1" applyFill="1" applyBorder="1"/>
    <xf numFmtId="3" fontId="4" fillId="4" borderId="11" xfId="25" applyNumberFormat="1" applyFont="1" applyFill="1" applyBorder="1" applyAlignment="1">
      <alignment horizontal="left"/>
    </xf>
    <xf numFmtId="0" fontId="4" fillId="7" borderId="11" xfId="25" applyNumberFormat="1" applyFont="1" applyFill="1" applyBorder="1" applyAlignment="1">
      <alignment horizontal="left"/>
    </xf>
    <xf numFmtId="0" fontId="0" fillId="0" borderId="12" xfId="0" applyFill="1" applyBorder="1" applyAlignment="1">
      <alignment horizontal="left"/>
    </xf>
    <xf numFmtId="0" fontId="12" fillId="0" borderId="14" xfId="0" applyFont="1" applyFill="1" applyBorder="1" applyAlignment="1">
      <alignment horizontal="left" wrapText="1"/>
    </xf>
    <xf numFmtId="0" fontId="0" fillId="0" borderId="15" xfId="0" applyFill="1" applyBorder="1" applyAlignment="1">
      <alignment wrapText="1"/>
    </xf>
    <xf numFmtId="3" fontId="0" fillId="4" borderId="19" xfId="0" applyNumberFormat="1" applyFill="1" applyBorder="1" applyAlignment="1">
      <alignment horizontal="left" wrapText="1"/>
    </xf>
    <xf numFmtId="3" fontId="0" fillId="3" borderId="19" xfId="0" applyNumberFormat="1" applyFill="1" applyBorder="1" applyAlignment="1">
      <alignment horizontal="left" wrapText="1"/>
    </xf>
    <xf numFmtId="0" fontId="0" fillId="0" borderId="19" xfId="0" applyNumberFormat="1" applyFill="1" applyBorder="1" applyAlignment="1">
      <alignment horizontal="left" wrapText="1"/>
    </xf>
    <xf numFmtId="10" fontId="0" fillId="0" borderId="19" xfId="0" applyNumberFormat="1" applyFill="1" applyBorder="1" applyAlignment="1">
      <alignment horizontal="left" wrapText="1"/>
    </xf>
    <xf numFmtId="3" fontId="0" fillId="3" borderId="0" xfId="0" applyNumberFormat="1" applyFill="1" applyBorder="1" applyAlignment="1">
      <alignment horizontal="left" wrapText="1"/>
    </xf>
    <xf numFmtId="3" fontId="0" fillId="3" borderId="11" xfId="0" applyNumberFormat="1" applyFill="1" applyBorder="1" applyAlignment="1">
      <alignment horizontal="left" wrapText="1"/>
    </xf>
    <xf numFmtId="0" fontId="0" fillId="0" borderId="11" xfId="0" applyNumberFormat="1" applyFill="1" applyBorder="1" applyAlignment="1">
      <alignment horizontal="left" wrapText="1"/>
    </xf>
    <xf numFmtId="10" fontId="0" fillId="0" borderId="11" xfId="0" applyNumberFormat="1" applyFill="1" applyBorder="1" applyAlignment="1">
      <alignment horizontal="left" wrapText="1"/>
    </xf>
    <xf numFmtId="1" fontId="0" fillId="0" borderId="0" xfId="0" applyNumberFormat="1" applyFill="1" applyBorder="1" applyAlignment="1">
      <alignment horizontal="left" wrapText="1"/>
    </xf>
    <xf numFmtId="9" fontId="0" fillId="0" borderId="0" xfId="0" applyNumberFormat="1" applyFill="1" applyBorder="1" applyAlignment="1">
      <alignment horizontal="left" wrapText="1"/>
    </xf>
    <xf numFmtId="4" fontId="0" fillId="0" borderId="0" xfId="0" applyNumberFormat="1" applyFill="1" applyBorder="1" applyAlignment="1">
      <alignment wrapText="1"/>
    </xf>
    <xf numFmtId="49" fontId="0" fillId="0" borderId="0" xfId="0" applyNumberFormat="1" applyFill="1" applyBorder="1" applyAlignment="1">
      <alignment wrapText="1"/>
    </xf>
    <xf numFmtId="169" fontId="37" fillId="0" borderId="11" xfId="0" applyNumberFormat="1" applyFont="1" applyBorder="1" applyAlignment="1">
      <alignment horizontal="left"/>
    </xf>
    <xf numFmtId="4" fontId="0" fillId="0" borderId="14" xfId="0" applyNumberFormat="1" applyFill="1" applyBorder="1" applyAlignment="1">
      <alignment wrapText="1"/>
    </xf>
    <xf numFmtId="9" fontId="0" fillId="0" borderId="14" xfId="0" applyNumberFormat="1" applyFill="1" applyBorder="1" applyAlignment="1">
      <alignment horizontal="left" wrapText="1"/>
    </xf>
    <xf numFmtId="0" fontId="4" fillId="7" borderId="19" xfId="25" applyFont="1" applyFill="1" applyBorder="1"/>
    <xf numFmtId="0" fontId="0" fillId="7" borderId="0" xfId="0" applyNumberFormat="1" applyFill="1" applyBorder="1" applyAlignment="1">
      <alignment horizontal="left" wrapText="1"/>
    </xf>
    <xf numFmtId="10" fontId="0" fillId="7" borderId="0" xfId="0" applyNumberFormat="1" applyFill="1" applyBorder="1" applyAlignment="1">
      <alignment horizontal="left" wrapText="1"/>
    </xf>
    <xf numFmtId="3" fontId="0" fillId="4" borderId="11" xfId="0" applyNumberFormat="1" applyFill="1" applyBorder="1" applyAlignment="1">
      <alignment horizontal="left" wrapText="1"/>
    </xf>
    <xf numFmtId="0" fontId="0" fillId="7" borderId="11" xfId="0" applyNumberFormat="1" applyFill="1" applyBorder="1" applyAlignment="1">
      <alignment horizontal="left" wrapText="1"/>
    </xf>
    <xf numFmtId="10" fontId="0" fillId="7" borderId="11" xfId="0" applyNumberFormat="1" applyFill="1" applyBorder="1" applyAlignment="1">
      <alignment horizontal="left" wrapText="1"/>
    </xf>
    <xf numFmtId="0" fontId="0" fillId="7" borderId="14" xfId="0" applyNumberFormat="1" applyFill="1" applyBorder="1" applyAlignment="1">
      <alignment horizontal="left" wrapText="1"/>
    </xf>
    <xf numFmtId="10" fontId="0" fillId="7" borderId="14" xfId="0" applyNumberFormat="1" applyFill="1" applyBorder="1" applyAlignment="1">
      <alignment horizontal="left" wrapText="1"/>
    </xf>
    <xf numFmtId="3" fontId="0" fillId="8" borderId="11" xfId="0" applyNumberFormat="1" applyFill="1" applyBorder="1" applyAlignment="1">
      <alignment horizontal="left" wrapText="1"/>
    </xf>
    <xf numFmtId="4" fontId="0" fillId="6" borderId="0" xfId="0" applyNumberFormat="1" applyFill="1" applyBorder="1" applyAlignment="1">
      <alignment horizontal="left" wrapText="1"/>
    </xf>
    <xf numFmtId="0" fontId="0" fillId="9" borderId="0" xfId="0" applyNumberFormat="1" applyFill="1" applyBorder="1" applyAlignment="1">
      <alignment horizontal="left" wrapText="1"/>
    </xf>
    <xf numFmtId="10" fontId="0" fillId="9" borderId="0" xfId="0" applyNumberFormat="1" applyFill="1" applyBorder="1" applyAlignment="1">
      <alignment horizontal="left" wrapText="1"/>
    </xf>
    <xf numFmtId="3" fontId="0" fillId="4" borderId="0" xfId="0" applyNumberFormat="1" applyFill="1" applyBorder="1" applyAlignment="1">
      <alignment horizontal="left" wrapText="1"/>
    </xf>
    <xf numFmtId="0" fontId="0" fillId="9" borderId="0" xfId="0" applyFill="1" applyBorder="1" applyAlignment="1">
      <alignment wrapText="1"/>
    </xf>
    <xf numFmtId="4" fontId="0" fillId="9" borderId="0" xfId="0" applyNumberFormat="1" applyFill="1" applyBorder="1" applyAlignment="1">
      <alignment horizontal="left"/>
    </xf>
    <xf numFmtId="3" fontId="0" fillId="9" borderId="0" xfId="0" applyNumberFormat="1" applyFill="1" applyBorder="1" applyAlignment="1">
      <alignment wrapText="1"/>
    </xf>
    <xf numFmtId="0" fontId="0" fillId="9" borderId="0" xfId="0" applyNumberFormat="1" applyFill="1" applyBorder="1" applyAlignment="1">
      <alignment wrapText="1"/>
    </xf>
    <xf numFmtId="10" fontId="0" fillId="9" borderId="0" xfId="0" applyNumberFormat="1" applyFill="1" applyBorder="1" applyAlignment="1">
      <alignment wrapText="1"/>
    </xf>
    <xf numFmtId="0" fontId="0" fillId="9" borderId="11" xfId="0" applyNumberFormat="1" applyFill="1" applyBorder="1" applyAlignment="1">
      <alignment horizontal="left" wrapText="1"/>
    </xf>
    <xf numFmtId="10" fontId="0" fillId="9" borderId="11" xfId="0" applyNumberFormat="1" applyFill="1" applyBorder="1" applyAlignment="1">
      <alignment horizontal="left" wrapText="1"/>
    </xf>
    <xf numFmtId="0" fontId="0" fillId="9" borderId="17" xfId="0" applyFill="1" applyBorder="1" applyAlignment="1">
      <alignment wrapText="1"/>
    </xf>
    <xf numFmtId="0" fontId="0" fillId="9" borderId="17" xfId="0" applyNumberFormat="1" applyFill="1" applyBorder="1" applyAlignment="1">
      <alignment horizontal="left" wrapText="1"/>
    </xf>
    <xf numFmtId="10" fontId="0" fillId="9" borderId="17" xfId="0" applyNumberFormat="1" applyFill="1" applyBorder="1" applyAlignment="1">
      <alignment horizontal="left" wrapText="1"/>
    </xf>
    <xf numFmtId="3" fontId="0" fillId="0" borderId="0" xfId="0" applyNumberFormat="1" applyFill="1" applyBorder="1" applyAlignment="1">
      <alignment horizontal="right" wrapText="1"/>
    </xf>
    <xf numFmtId="10" fontId="0" fillId="6" borderId="0" xfId="0" applyNumberFormat="1" applyFill="1" applyBorder="1" applyAlignment="1">
      <alignment horizontal="left" wrapText="1"/>
    </xf>
    <xf numFmtId="166" fontId="0" fillId="0" borderId="0" xfId="0" applyNumberFormat="1" applyFill="1" applyBorder="1" applyAlignment="1">
      <alignment horizontal="left"/>
    </xf>
    <xf numFmtId="10" fontId="0" fillId="6" borderId="11" xfId="0" applyNumberFormat="1" applyFill="1" applyBorder="1" applyAlignment="1">
      <alignment horizontal="left" wrapText="1"/>
    </xf>
    <xf numFmtId="166" fontId="0" fillId="0" borderId="11" xfId="0" applyNumberFormat="1" applyFill="1" applyBorder="1" applyAlignment="1">
      <alignment horizontal="left"/>
    </xf>
    <xf numFmtId="16" fontId="0" fillId="0" borderId="11" xfId="0" applyNumberFormat="1" applyFill="1" applyBorder="1" applyAlignment="1">
      <alignment horizontal="left" wrapText="1"/>
    </xf>
    <xf numFmtId="3" fontId="4" fillId="3" borderId="19" xfId="25" applyNumberFormat="1" applyFill="1" applyBorder="1" applyAlignment="1">
      <alignment horizontal="left"/>
    </xf>
    <xf numFmtId="4" fontId="4" fillId="0" borderId="0" xfId="25" applyNumberFormat="1" applyFont="1" applyBorder="1" applyAlignment="1">
      <alignment horizontal="left"/>
    </xf>
    <xf numFmtId="169" fontId="4" fillId="0" borderId="14" xfId="25" applyNumberFormat="1" applyFill="1" applyBorder="1" applyAlignment="1">
      <alignment horizontal="left"/>
    </xf>
    <xf numFmtId="169" fontId="4" fillId="0" borderId="17" xfId="25" applyNumberFormat="1" applyFill="1" applyBorder="1" applyAlignment="1">
      <alignment horizontal="left"/>
    </xf>
    <xf numFmtId="49" fontId="0" fillId="0" borderId="25" xfId="0" applyNumberFormat="1" applyFill="1" applyBorder="1" applyAlignment="1">
      <alignment horizontal="left" wrapText="1"/>
    </xf>
    <xf numFmtId="0" fontId="0" fillId="0" borderId="22" xfId="0" applyFill="1" applyBorder="1" applyAlignment="1">
      <alignment horizontal="left" wrapText="1"/>
    </xf>
    <xf numFmtId="3" fontId="4" fillId="0" borderId="23" xfId="25" applyNumberFormat="1" applyFont="1" applyBorder="1" applyAlignment="1">
      <alignment horizontal="left"/>
    </xf>
    <xf numFmtId="4" fontId="0" fillId="0" borderId="23" xfId="0" applyNumberFormat="1" applyFill="1" applyBorder="1" applyAlignment="1">
      <alignment horizontal="left" wrapText="1"/>
    </xf>
    <xf numFmtId="3" fontId="0" fillId="0" borderId="23" xfId="0" applyNumberFormat="1" applyFill="1" applyBorder="1" applyAlignment="1">
      <alignment horizontal="left" wrapText="1"/>
    </xf>
    <xf numFmtId="3" fontId="4" fillId="0" borderId="23" xfId="25" applyNumberFormat="1" applyFill="1" applyBorder="1" applyAlignment="1">
      <alignment horizontal="left"/>
    </xf>
    <xf numFmtId="0" fontId="4" fillId="0" borderId="23" xfId="25" applyNumberFormat="1" applyFill="1" applyBorder="1" applyAlignment="1">
      <alignment horizontal="left"/>
    </xf>
    <xf numFmtId="10" fontId="4" fillId="0" borderId="23" xfId="25" applyNumberFormat="1" applyFill="1" applyBorder="1" applyAlignment="1">
      <alignment horizontal="left"/>
    </xf>
    <xf numFmtId="169" fontId="0" fillId="0" borderId="23" xfId="0" applyNumberFormat="1" applyFill="1" applyBorder="1" applyAlignment="1">
      <alignment horizontal="left" wrapText="1"/>
    </xf>
    <xf numFmtId="15" fontId="0" fillId="0" borderId="23" xfId="0" applyNumberFormat="1" applyFill="1" applyBorder="1" applyAlignment="1">
      <alignment horizontal="left" wrapText="1"/>
    </xf>
    <xf numFmtId="0" fontId="0" fillId="0" borderId="24" xfId="0" applyFill="1" applyBorder="1" applyAlignment="1">
      <alignment horizontal="left" wrapText="1"/>
    </xf>
    <xf numFmtId="0" fontId="4" fillId="0" borderId="25" xfId="25" applyNumberFormat="1" applyFont="1" applyFill="1" applyBorder="1" applyAlignment="1">
      <alignment horizontal="left"/>
    </xf>
    <xf numFmtId="3" fontId="0" fillId="0" borderId="14" xfId="0" applyNumberFormat="1" applyFont="1" applyFill="1" applyBorder="1" applyAlignment="1">
      <alignment horizontal="left" wrapText="1"/>
    </xf>
    <xf numFmtId="3" fontId="0" fillId="6" borderId="19" xfId="0" applyNumberFormat="1" applyFill="1" applyBorder="1" applyAlignment="1">
      <alignment horizontal="left" wrapText="1"/>
    </xf>
    <xf numFmtId="3" fontId="13" fillId="4" borderId="19" xfId="25" applyNumberFormat="1" applyFont="1" applyFill="1" applyBorder="1" applyAlignment="1">
      <alignment horizontal="left"/>
    </xf>
    <xf numFmtId="0" fontId="13" fillId="0" borderId="19" xfId="25" applyNumberFormat="1" applyFont="1" applyFill="1" applyBorder="1" applyAlignment="1">
      <alignment horizontal="left"/>
    </xf>
    <xf numFmtId="10" fontId="13" fillId="6" borderId="19" xfId="25" applyNumberFormat="1" applyFont="1" applyFill="1" applyBorder="1" applyAlignment="1">
      <alignment horizontal="left"/>
    </xf>
    <xf numFmtId="3" fontId="13" fillId="0" borderId="0" xfId="25" applyNumberFormat="1" applyFont="1" applyFill="1" applyBorder="1" applyAlignment="1">
      <alignment horizontal="left"/>
    </xf>
    <xf numFmtId="3" fontId="13" fillId="5" borderId="0" xfId="25" applyNumberFormat="1" applyFont="1" applyFill="1" applyBorder="1" applyAlignment="1">
      <alignment horizontal="left"/>
    </xf>
    <xf numFmtId="0" fontId="13" fillId="0" borderId="0" xfId="25" applyNumberFormat="1" applyFont="1" applyFill="1" applyBorder="1" applyAlignment="1">
      <alignment horizontal="left"/>
    </xf>
    <xf numFmtId="10" fontId="13" fillId="6" borderId="0" xfId="25" applyNumberFormat="1" applyFont="1" applyFill="1" applyBorder="1" applyAlignment="1">
      <alignment horizontal="left"/>
    </xf>
    <xf numFmtId="10" fontId="13" fillId="0" borderId="0" xfId="25" applyNumberFormat="1" applyFont="1" applyFill="1" applyBorder="1" applyAlignment="1">
      <alignment horizontal="left"/>
    </xf>
    <xf numFmtId="3" fontId="13" fillId="3" borderId="11" xfId="25" applyNumberFormat="1" applyFont="1" applyFill="1" applyBorder="1" applyAlignment="1">
      <alignment horizontal="left"/>
    </xf>
    <xf numFmtId="0" fontId="13" fillId="0" borderId="11" xfId="25" applyNumberFormat="1" applyFont="1" applyFill="1" applyBorder="1" applyAlignment="1">
      <alignment horizontal="left"/>
    </xf>
    <xf numFmtId="10" fontId="13" fillId="6" borderId="11" xfId="25" applyNumberFormat="1" applyFont="1" applyFill="1" applyBorder="1" applyAlignment="1">
      <alignment horizontal="left"/>
    </xf>
    <xf numFmtId="3" fontId="13" fillId="4" borderId="0" xfId="25" applyNumberFormat="1" applyFont="1" applyFill="1" applyBorder="1" applyAlignment="1">
      <alignment horizontal="left"/>
    </xf>
    <xf numFmtId="0" fontId="40" fillId="0" borderId="19" xfId="0" applyFont="1" applyBorder="1" applyAlignment="1">
      <alignment horizontal="left" wrapText="1"/>
    </xf>
    <xf numFmtId="3" fontId="41" fillId="0" borderId="19" xfId="25" applyNumberFormat="1" applyFont="1" applyBorder="1" applyAlignment="1">
      <alignment horizontal="left"/>
    </xf>
    <xf numFmtId="4" fontId="40" fillId="0" borderId="19" xfId="0" applyNumberFormat="1" applyFont="1" applyFill="1" applyBorder="1" applyAlignment="1">
      <alignment horizontal="left" wrapText="1"/>
    </xf>
    <xf numFmtId="0" fontId="40" fillId="0" borderId="19" xfId="0" applyFont="1" applyFill="1" applyBorder="1" applyAlignment="1">
      <alignment horizontal="left" wrapText="1"/>
    </xf>
    <xf numFmtId="3" fontId="40" fillId="0" borderId="19" xfId="0" applyNumberFormat="1" applyFont="1" applyFill="1" applyBorder="1" applyAlignment="1">
      <alignment horizontal="left" wrapText="1"/>
    </xf>
    <xf numFmtId="0" fontId="40" fillId="0" borderId="19" xfId="0" applyNumberFormat="1" applyFont="1" applyBorder="1" applyAlignment="1">
      <alignment horizontal="left" wrapText="1"/>
    </xf>
    <xf numFmtId="10" fontId="40" fillId="0" borderId="19" xfId="0" applyNumberFormat="1" applyFont="1" applyBorder="1" applyAlignment="1">
      <alignment horizontal="left" wrapText="1"/>
    </xf>
    <xf numFmtId="169" fontId="40" fillId="0" borderId="19" xfId="0" applyNumberFormat="1" applyFont="1" applyBorder="1" applyAlignment="1">
      <alignment horizontal="left" wrapText="1"/>
    </xf>
    <xf numFmtId="3" fontId="40" fillId="0" borderId="19" xfId="0" applyNumberFormat="1" applyFont="1" applyBorder="1" applyAlignment="1">
      <alignment horizontal="left" wrapText="1"/>
    </xf>
    <xf numFmtId="0" fontId="40" fillId="0" borderId="19" xfId="0" applyFont="1" applyFill="1" applyBorder="1" applyAlignment="1">
      <alignment wrapText="1"/>
    </xf>
    <xf numFmtId="3" fontId="4" fillId="0" borderId="0" xfId="25" applyNumberFormat="1" applyFont="1" applyAlignment="1">
      <alignment horizontal="left"/>
    </xf>
    <xf numFmtId="0" fontId="42" fillId="12" borderId="6" xfId="22" applyFont="1" applyFill="1" applyBorder="1" applyAlignment="1">
      <alignment horizontal="left" wrapText="1"/>
    </xf>
    <xf numFmtId="4" fontId="42" fillId="12" borderId="6" xfId="22" applyNumberFormat="1" applyFont="1" applyFill="1" applyBorder="1" applyAlignment="1">
      <alignment horizontal="left" wrapText="1"/>
    </xf>
    <xf numFmtId="0" fontId="42" fillId="12" borderId="6" xfId="22" applyFont="1" applyFill="1" applyBorder="1" applyAlignment="1">
      <alignment horizontal="left"/>
    </xf>
    <xf numFmtId="0" fontId="42" fillId="2" borderId="6" xfId="22" applyFont="1" applyFill="1" applyBorder="1" applyAlignment="1">
      <alignment horizontal="left" wrapText="1"/>
    </xf>
    <xf numFmtId="0" fontId="13" fillId="2" borderId="29" xfId="22" applyFont="1" applyFill="1" applyBorder="1"/>
    <xf numFmtId="0" fontId="4" fillId="0" borderId="0" xfId="22" applyFont="1" applyFill="1" applyAlignment="1">
      <alignment horizontal="left"/>
    </xf>
    <xf numFmtId="0" fontId="4" fillId="0" borderId="0" xfId="22"/>
    <xf numFmtId="0" fontId="4" fillId="0" borderId="11" xfId="22" applyFont="1" applyFill="1" applyBorder="1" applyAlignment="1">
      <alignment horizontal="left"/>
    </xf>
    <xf numFmtId="0" fontId="4" fillId="0" borderId="11" xfId="22" applyBorder="1"/>
    <xf numFmtId="0" fontId="4" fillId="0" borderId="0" xfId="22" applyFont="1" applyFill="1" applyBorder="1" applyAlignment="1">
      <alignment horizontal="left"/>
    </xf>
    <xf numFmtId="0" fontId="4" fillId="0" borderId="0" xfId="22" applyBorder="1"/>
    <xf numFmtId="0" fontId="4" fillId="0" borderId="17" xfId="22" applyFont="1" applyFill="1" applyBorder="1" applyAlignment="1">
      <alignment horizontal="left"/>
    </xf>
    <xf numFmtId="0" fontId="4" fillId="0" borderId="17" xfId="22" applyBorder="1"/>
    <xf numFmtId="3" fontId="4" fillId="0" borderId="0" xfId="22" applyNumberFormat="1" applyAlignment="1">
      <alignment horizontal="left"/>
    </xf>
    <xf numFmtId="3" fontId="4" fillId="0" borderId="0" xfId="22" applyNumberFormat="1" applyBorder="1" applyAlignment="1">
      <alignment horizontal="left"/>
    </xf>
    <xf numFmtId="0" fontId="4" fillId="0" borderId="0" xfId="22" applyBorder="1" applyAlignment="1">
      <alignment horizontal="left"/>
    </xf>
    <xf numFmtId="0" fontId="4" fillId="0" borderId="0" xfId="22" applyFont="1" applyBorder="1"/>
    <xf numFmtId="0" fontId="4" fillId="0" borderId="14" xfId="22" applyFont="1" applyFill="1" applyBorder="1" applyAlignment="1">
      <alignment horizontal="left"/>
    </xf>
    <xf numFmtId="0" fontId="4" fillId="0" borderId="14" xfId="22" applyBorder="1"/>
    <xf numFmtId="0" fontId="4" fillId="0" borderId="0" xfId="22" applyFont="1"/>
    <xf numFmtId="0" fontId="4" fillId="0" borderId="19" xfId="22" applyFont="1" applyFill="1" applyBorder="1" applyAlignment="1">
      <alignment horizontal="left"/>
    </xf>
    <xf numFmtId="0" fontId="4" fillId="0" borderId="19" xfId="22" applyBorder="1"/>
    <xf numFmtId="0" fontId="4" fillId="0" borderId="14" xfId="22" applyBorder="1" applyAlignment="1">
      <alignment horizontal="left"/>
    </xf>
    <xf numFmtId="0" fontId="4" fillId="0" borderId="14" xfId="22" applyFont="1" applyBorder="1" applyAlignment="1">
      <alignment horizontal="left"/>
    </xf>
    <xf numFmtId="0" fontId="4" fillId="0" borderId="25" xfId="22" applyFont="1" applyFill="1" applyBorder="1" applyAlignment="1">
      <alignment horizontal="left"/>
    </xf>
    <xf numFmtId="3" fontId="4" fillId="0" borderId="25" xfId="22" applyNumberFormat="1" applyBorder="1" applyAlignment="1">
      <alignment horizontal="left"/>
    </xf>
    <xf numFmtId="0" fontId="4" fillId="0" borderId="25" xfId="22" applyBorder="1" applyAlignment="1">
      <alignment horizontal="left"/>
    </xf>
    <xf numFmtId="0" fontId="4" fillId="0" borderId="25" xfId="22" applyFont="1" applyBorder="1" applyAlignment="1">
      <alignment horizontal="left"/>
    </xf>
    <xf numFmtId="0" fontId="4" fillId="0" borderId="25" xfId="22" applyBorder="1"/>
    <xf numFmtId="0" fontId="4" fillId="0" borderId="0" xfId="22" applyAlignment="1">
      <alignment horizontal="left"/>
    </xf>
    <xf numFmtId="0" fontId="4" fillId="0" borderId="0" xfId="22" applyFont="1" applyAlignment="1">
      <alignment horizontal="left"/>
    </xf>
    <xf numFmtId="3" fontId="4" fillId="0" borderId="11" xfId="22" applyNumberFormat="1" applyBorder="1" applyAlignment="1">
      <alignment horizontal="left"/>
    </xf>
    <xf numFmtId="0" fontId="4" fillId="0" borderId="11" xfId="22" applyBorder="1" applyAlignment="1">
      <alignment horizontal="left"/>
    </xf>
    <xf numFmtId="0" fontId="4" fillId="0" borderId="11" xfId="22" applyFont="1" applyBorder="1" applyAlignment="1">
      <alignment horizontal="left"/>
    </xf>
    <xf numFmtId="0" fontId="4" fillId="0" borderId="0" xfId="22" applyFont="1" applyBorder="1" applyAlignment="1">
      <alignment horizontal="left"/>
    </xf>
    <xf numFmtId="0" fontId="4" fillId="0" borderId="17" xfId="22" applyBorder="1" applyAlignment="1">
      <alignment horizontal="left"/>
    </xf>
    <xf numFmtId="0" fontId="4" fillId="0" borderId="17" xfId="22" applyFont="1" applyBorder="1" applyAlignment="1">
      <alignment horizontal="left"/>
    </xf>
    <xf numFmtId="3" fontId="4" fillId="0" borderId="17" xfId="22" applyNumberFormat="1" applyBorder="1" applyAlignment="1">
      <alignment horizontal="left"/>
    </xf>
    <xf numFmtId="0" fontId="4" fillId="0" borderId="23" xfId="22" applyFont="1" applyFill="1" applyBorder="1" applyAlignment="1">
      <alignment horizontal="left"/>
    </xf>
    <xf numFmtId="0" fontId="4" fillId="0" borderId="0" xfId="22" applyFill="1" applyAlignment="1">
      <alignment horizontal="left"/>
    </xf>
    <xf numFmtId="0" fontId="4" fillId="0" borderId="23" xfId="22" applyBorder="1" applyAlignment="1">
      <alignment horizontal="left"/>
    </xf>
    <xf numFmtId="0" fontId="4" fillId="0" borderId="25" xfId="22" applyFill="1" applyBorder="1" applyAlignment="1">
      <alignment horizontal="left"/>
    </xf>
    <xf numFmtId="3" fontId="4" fillId="0" borderId="0" xfId="22" applyNumberFormat="1" applyFill="1" applyAlignment="1">
      <alignment horizontal="left"/>
    </xf>
    <xf numFmtId="0" fontId="4" fillId="0" borderId="0" xfId="22" applyFill="1"/>
    <xf numFmtId="3" fontId="4" fillId="0" borderId="0" xfId="22" applyNumberFormat="1" applyFont="1" applyFill="1" applyAlignment="1">
      <alignment horizontal="left"/>
    </xf>
    <xf numFmtId="0" fontId="4" fillId="0" borderId="11" xfId="22" applyFill="1" applyBorder="1" applyAlignment="1">
      <alignment horizontal="left"/>
    </xf>
    <xf numFmtId="3" fontId="4" fillId="0" borderId="11" xfId="22" applyNumberFormat="1" applyFill="1" applyBorder="1" applyAlignment="1">
      <alignment horizontal="left"/>
    </xf>
    <xf numFmtId="0" fontId="4" fillId="0" borderId="11" xfId="22" applyFill="1" applyBorder="1"/>
    <xf numFmtId="0" fontId="4" fillId="0" borderId="0" xfId="22" applyFill="1" applyBorder="1" applyAlignment="1">
      <alignment horizontal="left"/>
    </xf>
    <xf numFmtId="0" fontId="4" fillId="0" borderId="0" xfId="22" applyFill="1" applyBorder="1"/>
    <xf numFmtId="3" fontId="4" fillId="0" borderId="0" xfId="22" applyNumberFormat="1" applyFill="1" applyBorder="1" applyAlignment="1">
      <alignment horizontal="left"/>
    </xf>
    <xf numFmtId="3" fontId="4" fillId="0" borderId="0" xfId="22" applyNumberFormat="1" applyFont="1" applyFill="1" applyBorder="1" applyAlignment="1">
      <alignment horizontal="left"/>
    </xf>
    <xf numFmtId="0" fontId="4" fillId="0" borderId="17" xfId="22" applyFill="1" applyBorder="1" applyAlignment="1">
      <alignment horizontal="left"/>
    </xf>
    <xf numFmtId="0" fontId="4" fillId="0" borderId="17" xfId="22" applyFill="1" applyBorder="1"/>
    <xf numFmtId="0" fontId="4" fillId="0" borderId="19" xfId="22" applyFill="1" applyBorder="1" applyAlignment="1">
      <alignment horizontal="left"/>
    </xf>
    <xf numFmtId="0" fontId="4" fillId="0" borderId="0" xfId="22" applyFont="1" applyFill="1"/>
    <xf numFmtId="0" fontId="4" fillId="0" borderId="0" xfId="22" applyFont="1" applyFill="1" applyAlignment="1"/>
    <xf numFmtId="0" fontId="4" fillId="0" borderId="0" xfId="22" applyFill="1" applyAlignment="1"/>
    <xf numFmtId="0" fontId="4" fillId="0" borderId="19" xfId="22" applyFill="1" applyBorder="1"/>
    <xf numFmtId="0" fontId="4" fillId="0" borderId="14" xfId="22" applyFill="1" applyBorder="1" applyAlignment="1">
      <alignment horizontal="left"/>
    </xf>
    <xf numFmtId="0" fontId="4" fillId="0" borderId="14" xfId="22" applyFill="1" applyBorder="1"/>
    <xf numFmtId="3" fontId="4" fillId="0" borderId="0" xfId="25" applyNumberFormat="1" applyFill="1" applyAlignment="1">
      <alignment horizontal="left"/>
    </xf>
    <xf numFmtId="0" fontId="4" fillId="0" borderId="23" xfId="22" applyFill="1" applyBorder="1" applyAlignment="1">
      <alignment horizontal="left"/>
    </xf>
    <xf numFmtId="0" fontId="4" fillId="0" borderId="23" xfId="22" applyBorder="1"/>
    <xf numFmtId="0" fontId="4" fillId="0" borderId="28" xfId="22" applyFont="1" applyFill="1" applyBorder="1" applyAlignment="1">
      <alignment horizontal="left"/>
    </xf>
    <xf numFmtId="0" fontId="4" fillId="0" borderId="28" xfId="22" applyFill="1" applyBorder="1" applyAlignment="1">
      <alignment horizontal="left"/>
    </xf>
    <xf numFmtId="0" fontId="4" fillId="0" borderId="28" xfId="22" applyBorder="1" applyAlignment="1">
      <alignment horizontal="left"/>
    </xf>
    <xf numFmtId="0" fontId="4" fillId="0" borderId="28" xfId="22" applyBorder="1"/>
    <xf numFmtId="0" fontId="33" fillId="0" borderId="0" xfId="0" applyFont="1"/>
    <xf numFmtId="0" fontId="0" fillId="7" borderId="0" xfId="0" applyFill="1"/>
    <xf numFmtId="0" fontId="0" fillId="9" borderId="0" xfId="0" applyFill="1"/>
    <xf numFmtId="0" fontId="0" fillId="0" borderId="0" xfId="0" applyFill="1"/>
    <xf numFmtId="0" fontId="0" fillId="5" borderId="0" xfId="0" applyFill="1"/>
    <xf numFmtId="0" fontId="0" fillId="3" borderId="0" xfId="0" applyFill="1"/>
    <xf numFmtId="0" fontId="0" fillId="4" borderId="0" xfId="0" applyFill="1"/>
    <xf numFmtId="0" fontId="0" fillId="6" borderId="0" xfId="0" applyFill="1"/>
    <xf numFmtId="3" fontId="4" fillId="0" borderId="0" xfId="3" applyNumberFormat="1" applyFont="1" applyBorder="1" applyAlignment="1">
      <alignment horizontal="left"/>
    </xf>
    <xf numFmtId="4" fontId="0" fillId="4" borderId="0" xfId="0" applyNumberFormat="1" applyFill="1" applyBorder="1" applyAlignment="1">
      <alignment horizontal="left" wrapText="1"/>
    </xf>
    <xf numFmtId="0" fontId="0" fillId="0" borderId="0" xfId="0" applyNumberFormat="1" applyBorder="1" applyAlignment="1">
      <alignment horizontal="left" wrapText="1"/>
    </xf>
    <xf numFmtId="4" fontId="0" fillId="0" borderId="0" xfId="0" applyNumberFormat="1" applyBorder="1" applyAlignment="1">
      <alignment horizontal="left" wrapText="1"/>
    </xf>
    <xf numFmtId="10" fontId="0" fillId="0" borderId="0" xfId="0" applyNumberFormat="1" applyBorder="1" applyAlignment="1">
      <alignment horizontal="left" wrapText="1"/>
    </xf>
    <xf numFmtId="169" fontId="0" fillId="0" borderId="0" xfId="0" applyNumberFormat="1" applyBorder="1" applyAlignment="1">
      <alignment horizontal="left" wrapText="1"/>
    </xf>
    <xf numFmtId="3" fontId="0" fillId="0" borderId="0" xfId="0" applyNumberFormat="1" applyBorder="1" applyAlignment="1">
      <alignment horizontal="left" wrapText="1"/>
    </xf>
    <xf numFmtId="0" fontId="11" fillId="10" borderId="3" xfId="0" applyFont="1" applyFill="1" applyBorder="1" applyAlignment="1">
      <alignment horizontal="left" wrapText="1"/>
    </xf>
    <xf numFmtId="9" fontId="0" fillId="0" borderId="0" xfId="0" applyNumberFormat="1" applyBorder="1" applyAlignment="1">
      <alignment horizontal="left" wrapText="1"/>
    </xf>
    <xf numFmtId="0" fontId="11" fillId="0" borderId="0" xfId="0" applyFont="1" applyBorder="1" applyAlignment="1">
      <alignment horizontal="left" wrapText="1"/>
    </xf>
    <xf numFmtId="0" fontId="0" fillId="10" borderId="16" xfId="0" applyFill="1" applyBorder="1" applyAlignment="1">
      <alignment horizontal="left" wrapText="1"/>
    </xf>
    <xf numFmtId="3" fontId="11" fillId="0" borderId="0" xfId="0" applyNumberFormat="1" applyFont="1" applyBorder="1" applyAlignment="1">
      <alignment horizontal="left" wrapText="1"/>
    </xf>
    <xf numFmtId="0" fontId="0" fillId="6" borderId="0" xfId="0" applyNumberFormat="1" applyFill="1" applyBorder="1" applyAlignment="1">
      <alignment horizontal="left" wrapText="1"/>
    </xf>
    <xf numFmtId="17" fontId="0" fillId="0" borderId="0" xfId="0" applyNumberFormat="1" applyBorder="1" applyAlignment="1">
      <alignment horizontal="left" wrapText="1"/>
    </xf>
    <xf numFmtId="0" fontId="11" fillId="0" borderId="0" xfId="0" applyFont="1" applyBorder="1" applyAlignment="1">
      <alignment vertical="top"/>
    </xf>
    <xf numFmtId="0" fontId="0" fillId="10" borderId="13" xfId="0" applyFill="1" applyBorder="1" applyAlignment="1">
      <alignment horizontal="left" wrapText="1"/>
    </xf>
    <xf numFmtId="0" fontId="0" fillId="10" borderId="3" xfId="0" applyFill="1" applyBorder="1" applyAlignment="1">
      <alignment vertical="top"/>
    </xf>
    <xf numFmtId="0" fontId="0" fillId="0" borderId="0" xfId="0" applyBorder="1" applyAlignment="1">
      <alignment horizontal="left" vertical="top"/>
    </xf>
    <xf numFmtId="0" fontId="0" fillId="0" borderId="0" xfId="0" applyBorder="1" applyAlignment="1">
      <alignment vertical="top"/>
    </xf>
    <xf numFmtId="0" fontId="0" fillId="0" borderId="0" xfId="0" applyBorder="1" applyAlignment="1">
      <alignment vertical="top" wrapText="1"/>
    </xf>
    <xf numFmtId="3" fontId="4" fillId="0" borderId="0" xfId="3" applyNumberFormat="1" applyFont="1" applyBorder="1" applyAlignment="1">
      <alignment vertical="top"/>
    </xf>
    <xf numFmtId="3" fontId="0" fillId="0" borderId="0" xfId="0" applyNumberFormat="1" applyBorder="1" applyAlignment="1">
      <alignment horizontal="left" vertical="top"/>
    </xf>
    <xf numFmtId="4" fontId="0" fillId="3" borderId="0" xfId="0" applyNumberFormat="1" applyFill="1" applyBorder="1" applyAlignment="1">
      <alignment horizontal="left" wrapText="1"/>
    </xf>
    <xf numFmtId="0" fontId="11" fillId="0" borderId="0" xfId="0" applyFont="1" applyBorder="1" applyAlignment="1">
      <alignment horizontal="left" vertical="top"/>
    </xf>
    <xf numFmtId="0" fontId="0" fillId="10" borderId="16" xfId="0" applyFill="1" applyBorder="1" applyAlignment="1">
      <alignment vertical="top"/>
    </xf>
    <xf numFmtId="3" fontId="0" fillId="0" borderId="18" xfId="0" applyNumberFormat="1" applyFill="1" applyBorder="1" applyAlignment="1">
      <alignment horizontal="left" wrapText="1"/>
    </xf>
    <xf numFmtId="15" fontId="0" fillId="0" borderId="0" xfId="0" applyNumberFormat="1" applyFill="1" applyBorder="1" applyAlignment="1">
      <alignment wrapText="1"/>
    </xf>
    <xf numFmtId="0" fontId="13" fillId="0" borderId="0" xfId="2" applyFont="1" applyBorder="1" applyAlignment="1">
      <alignment vertical="center"/>
    </xf>
    <xf numFmtId="0" fontId="0" fillId="0" borderId="9" xfId="0" applyBorder="1" applyAlignment="1">
      <alignment horizontal="left" wrapText="1"/>
    </xf>
    <xf numFmtId="0" fontId="36" fillId="0" borderId="0" xfId="0" applyFont="1" applyBorder="1" applyAlignment="1">
      <alignment vertical="center"/>
    </xf>
    <xf numFmtId="0" fontId="36" fillId="0" borderId="0" xfId="0" applyFont="1" applyBorder="1"/>
    <xf numFmtId="0" fontId="0" fillId="0" borderId="15" xfId="0" applyBorder="1" applyAlignment="1">
      <alignment horizontal="left" wrapText="1"/>
    </xf>
    <xf numFmtId="0" fontId="0" fillId="10" borderId="30" xfId="0" applyFill="1" applyBorder="1" applyAlignment="1">
      <alignment horizontal="left" wrapText="1"/>
    </xf>
    <xf numFmtId="0" fontId="0" fillId="0" borderId="31" xfId="0" applyFill="1" applyBorder="1" applyAlignment="1">
      <alignment horizontal="left" wrapText="1"/>
    </xf>
    <xf numFmtId="0" fontId="11" fillId="10" borderId="3" xfId="0" applyFont="1" applyFill="1" applyBorder="1" applyAlignment="1">
      <alignment vertical="top"/>
    </xf>
    <xf numFmtId="0" fontId="11" fillId="0" borderId="0" xfId="0" applyFont="1" applyBorder="1" applyAlignment="1">
      <alignment vertical="top" wrapText="1"/>
    </xf>
    <xf numFmtId="3" fontId="4" fillId="0" borderId="0" xfId="3" applyNumberFormat="1" applyFont="1" applyBorder="1" applyAlignment="1">
      <alignment horizontal="left" vertical="top"/>
    </xf>
    <xf numFmtId="0" fontId="11" fillId="10" borderId="16" xfId="0" applyFont="1" applyFill="1" applyBorder="1" applyAlignment="1">
      <alignment vertical="top"/>
    </xf>
    <xf numFmtId="0" fontId="38" fillId="0" borderId="0" xfId="0" applyFont="1" applyBorder="1" applyAlignment="1">
      <alignment horizontal="left"/>
    </xf>
    <xf numFmtId="169" fontId="11" fillId="0" borderId="0" xfId="0" applyNumberFormat="1" applyFont="1" applyBorder="1" applyAlignment="1">
      <alignment horizontal="left" wrapText="1"/>
    </xf>
    <xf numFmtId="4" fontId="12" fillId="4" borderId="0" xfId="0" applyNumberFormat="1" applyFont="1" applyFill="1" applyBorder="1" applyAlignment="1">
      <alignment horizontal="left" wrapText="1"/>
    </xf>
    <xf numFmtId="0" fontId="14" fillId="0" borderId="0" xfId="0" applyFont="1" applyBorder="1" applyAlignment="1">
      <alignment vertical="center"/>
    </xf>
    <xf numFmtId="4" fontId="14" fillId="0" borderId="0" xfId="0" applyNumberFormat="1" applyFont="1" applyBorder="1" applyAlignment="1">
      <alignment horizontal="left" vertical="center"/>
    </xf>
    <xf numFmtId="4" fontId="39" fillId="0" borderId="0" xfId="0" applyNumberFormat="1" applyFont="1" applyBorder="1" applyAlignment="1">
      <alignment horizontal="left" vertical="center"/>
    </xf>
    <xf numFmtId="0" fontId="0" fillId="10" borderId="0" xfId="0" applyFill="1"/>
    <xf numFmtId="0" fontId="33" fillId="2" borderId="8" xfId="0" applyFont="1" applyFill="1" applyBorder="1" applyAlignment="1">
      <alignment vertical="top" wrapText="1"/>
    </xf>
    <xf numFmtId="0" fontId="33" fillId="2" borderId="6" xfId="0" applyFont="1" applyFill="1" applyBorder="1" applyAlignment="1">
      <alignment vertical="top" wrapText="1"/>
    </xf>
    <xf numFmtId="0" fontId="43" fillId="0" borderId="0" xfId="0" applyFont="1" applyAlignment="1">
      <alignment horizontal="left" vertical="center" indent="5"/>
    </xf>
    <xf numFmtId="0" fontId="0" fillId="0" borderId="0" xfId="0" pivotButton="1"/>
    <xf numFmtId="0" fontId="0" fillId="0" borderId="0" xfId="0" applyAlignment="1">
      <alignment horizontal="left" indent="1"/>
    </xf>
    <xf numFmtId="0" fontId="33" fillId="2" borderId="6" xfId="0" applyFont="1" applyFill="1" applyBorder="1" applyAlignment="1">
      <alignment horizontal="left" wrapText="1"/>
    </xf>
    <xf numFmtId="0" fontId="4" fillId="9" borderId="0" xfId="25" applyFont="1" applyFill="1" applyBorder="1" applyAlignment="1">
      <alignment horizontal="left" wrapText="1"/>
    </xf>
    <xf numFmtId="0" fontId="4" fillId="9" borderId="11" xfId="25" applyFont="1" applyFill="1" applyBorder="1" applyAlignment="1">
      <alignment horizontal="left" wrapText="1"/>
    </xf>
    <xf numFmtId="0" fontId="4" fillId="9" borderId="17" xfId="25" applyFont="1" applyFill="1" applyBorder="1" applyAlignment="1">
      <alignment horizontal="left" wrapText="1"/>
    </xf>
    <xf numFmtId="0" fontId="4" fillId="0" borderId="11" xfId="25" applyFont="1" applyFill="1" applyBorder="1" applyAlignment="1">
      <alignment horizontal="left" wrapText="1"/>
    </xf>
    <xf numFmtId="0" fontId="4" fillId="0" borderId="0" xfId="25" applyFont="1" applyFill="1" applyBorder="1" applyAlignment="1">
      <alignment horizontal="left" wrapText="1"/>
    </xf>
    <xf numFmtId="0" fontId="4" fillId="0" borderId="14" xfId="25" applyFont="1" applyFill="1" applyBorder="1" applyAlignment="1">
      <alignment horizontal="left" wrapText="1"/>
    </xf>
    <xf numFmtId="0" fontId="4" fillId="0" borderId="17" xfId="25" applyFont="1" applyFill="1" applyBorder="1" applyAlignment="1">
      <alignment horizontal="left" wrapText="1"/>
    </xf>
    <xf numFmtId="0" fontId="4" fillId="9" borderId="19" xfId="25" applyFont="1" applyFill="1" applyBorder="1" applyAlignment="1">
      <alignment horizontal="left" wrapText="1"/>
    </xf>
    <xf numFmtId="0" fontId="4" fillId="9" borderId="14" xfId="25" applyFont="1" applyFill="1" applyBorder="1" applyAlignment="1">
      <alignment horizontal="left" wrapText="1"/>
    </xf>
    <xf numFmtId="0" fontId="4" fillId="7" borderId="23" xfId="25" applyFont="1" applyFill="1" applyBorder="1" applyAlignment="1">
      <alignment horizontal="left" wrapText="1"/>
    </xf>
    <xf numFmtId="0" fontId="4" fillId="7" borderId="25" xfId="25" applyFont="1" applyFill="1" applyBorder="1" applyAlignment="1">
      <alignment horizontal="left" wrapText="1"/>
    </xf>
    <xf numFmtId="0" fontId="4" fillId="0" borderId="25" xfId="25" applyFont="1" applyFill="1" applyBorder="1" applyAlignment="1">
      <alignment horizontal="left" wrapText="1"/>
    </xf>
    <xf numFmtId="0" fontId="4" fillId="7" borderId="0" xfId="25" applyFont="1" applyFill="1" applyBorder="1" applyAlignment="1">
      <alignment horizontal="left" wrapText="1"/>
    </xf>
    <xf numFmtId="0" fontId="4" fillId="7" borderId="14" xfId="25" applyFont="1" applyFill="1" applyBorder="1" applyAlignment="1">
      <alignment horizontal="left" wrapText="1"/>
    </xf>
    <xf numFmtId="0" fontId="4" fillId="7" borderId="11" xfId="25" applyFont="1" applyFill="1" applyBorder="1" applyAlignment="1">
      <alignment horizontal="left" wrapText="1"/>
    </xf>
    <xf numFmtId="0" fontId="4" fillId="7" borderId="19" xfId="25" applyFont="1" applyFill="1" applyBorder="1" applyAlignment="1">
      <alignment horizontal="left" wrapText="1"/>
    </xf>
    <xf numFmtId="0" fontId="4" fillId="0" borderId="19" xfId="25" applyFont="1" applyFill="1" applyBorder="1" applyAlignment="1">
      <alignment horizontal="left" wrapText="1"/>
    </xf>
    <xf numFmtId="0" fontId="40" fillId="0" borderId="0" xfId="0" applyFont="1" applyBorder="1" applyAlignment="1">
      <alignment horizontal="left" wrapText="1"/>
    </xf>
    <xf numFmtId="0" fontId="3" fillId="0" borderId="0" xfId="1" applyFont="1" applyFill="1" applyAlignment="1">
      <alignment horizontal="left"/>
    </xf>
    <xf numFmtId="0" fontId="3" fillId="0" borderId="0" xfId="30"/>
    <xf numFmtId="0" fontId="44" fillId="0" borderId="0" xfId="23" applyFont="1"/>
    <xf numFmtId="0" fontId="30" fillId="0" borderId="0" xfId="23"/>
    <xf numFmtId="0" fontId="2" fillId="0" borderId="0" xfId="31"/>
    <xf numFmtId="0" fontId="6" fillId="0" borderId="0" xfId="31" applyFont="1"/>
    <xf numFmtId="1" fontId="2" fillId="0" borderId="0" xfId="31" applyNumberFormat="1"/>
    <xf numFmtId="0" fontId="2" fillId="9" borderId="0" xfId="25" applyFont="1" applyFill="1" applyBorder="1" applyAlignment="1">
      <alignment horizontal="left" wrapText="1"/>
    </xf>
    <xf numFmtId="0" fontId="47" fillId="0" borderId="0" xfId="23" applyFont="1" applyFill="1"/>
    <xf numFmtId="0" fontId="30" fillId="0" borderId="0" xfId="23" applyFont="1" applyFill="1"/>
    <xf numFmtId="168" fontId="30" fillId="0" borderId="32" xfId="23" applyNumberFormat="1" applyFont="1" applyFill="1" applyBorder="1" applyAlignment="1">
      <alignment horizontal="center" wrapText="1"/>
    </xf>
    <xf numFmtId="0" fontId="30" fillId="0" borderId="2" xfId="23" applyFont="1" applyFill="1" applyBorder="1"/>
    <xf numFmtId="2" fontId="30" fillId="0" borderId="2" xfId="23" applyNumberFormat="1" applyFont="1" applyFill="1" applyBorder="1"/>
    <xf numFmtId="1" fontId="30" fillId="0" borderId="2" xfId="23" applyNumberFormat="1" applyFont="1" applyFill="1" applyBorder="1"/>
    <xf numFmtId="1" fontId="30" fillId="0" borderId="0" xfId="23" applyNumberFormat="1" applyFont="1" applyFill="1"/>
    <xf numFmtId="0" fontId="6" fillId="2" borderId="2" xfId="1" applyFont="1" applyFill="1" applyBorder="1" applyAlignment="1">
      <alignment horizontal="left"/>
    </xf>
    <xf numFmtId="168" fontId="30" fillId="0" borderId="1" xfId="23" applyNumberFormat="1" applyFont="1" applyFill="1" applyBorder="1" applyAlignment="1">
      <alignment horizontal="center" wrapText="1"/>
    </xf>
    <xf numFmtId="168" fontId="30" fillId="0" borderId="34" xfId="23" applyNumberFormat="1" applyFont="1" applyFill="1" applyBorder="1" applyAlignment="1">
      <alignment horizontal="center" wrapText="1"/>
    </xf>
    <xf numFmtId="3" fontId="30" fillId="0" borderId="2" xfId="23" applyNumberFormat="1" applyFont="1" applyFill="1" applyBorder="1" applyAlignment="1">
      <alignment horizontal="center" textRotation="90"/>
    </xf>
    <xf numFmtId="168" fontId="30" fillId="0" borderId="32" xfId="23" applyNumberFormat="1" applyFont="1" applyFill="1" applyBorder="1" applyAlignment="1">
      <alignment horizontal="center" textRotation="90" wrapText="1"/>
    </xf>
    <xf numFmtId="168" fontId="30" fillId="0" borderId="33" xfId="23" applyNumberFormat="1" applyFont="1" applyFill="1" applyBorder="1" applyAlignment="1">
      <alignment horizontal="center" textRotation="90" wrapText="1"/>
    </xf>
    <xf numFmtId="3" fontId="30" fillId="0" borderId="2" xfId="23" applyNumberFormat="1" applyFont="1" applyFill="1" applyBorder="1" applyAlignment="1">
      <alignment horizontal="center" textRotation="90" wrapText="1"/>
    </xf>
    <xf numFmtId="3" fontId="30" fillId="0" borderId="32" xfId="23" applyNumberFormat="1" applyFont="1" applyFill="1" applyBorder="1" applyAlignment="1">
      <alignment horizontal="center" textRotation="90" wrapText="1"/>
    </xf>
    <xf numFmtId="9" fontId="0" fillId="0" borderId="0" xfId="32" applyFont="1" applyFill="1" applyAlignment="1">
      <alignment wrapText="1"/>
    </xf>
    <xf numFmtId="10" fontId="0" fillId="0" borderId="0" xfId="32" applyNumberFormat="1" applyFont="1" applyFill="1" applyAlignment="1">
      <alignment wrapText="1"/>
    </xf>
    <xf numFmtId="0" fontId="1" fillId="0" borderId="0" xfId="33"/>
  </cellXfs>
  <cellStyles count="34">
    <cellStyle name="C01_Main head" xfId="4"/>
    <cellStyle name="C02_Column heads" xfId="5"/>
    <cellStyle name="C03_Sub head bold" xfId="6"/>
    <cellStyle name="C03a_Sub head" xfId="7"/>
    <cellStyle name="C04_Total text white bold" xfId="8"/>
    <cellStyle name="C04a_Total text black with rule" xfId="9"/>
    <cellStyle name="C05_Main text" xfId="10"/>
    <cellStyle name="C06_Figs" xfId="11"/>
    <cellStyle name="C07_Figs 1 dec percent" xfId="12"/>
    <cellStyle name="C08_Figs 1 decimal" xfId="13"/>
    <cellStyle name="C09_Notes" xfId="14"/>
    <cellStyle name="Comma 2" xfId="15"/>
    <cellStyle name="Comma 3" xfId="29"/>
    <cellStyle name="Comma 3 2" xfId="16"/>
    <cellStyle name="Comma 5" xfId="17"/>
    <cellStyle name="Currency 2" xfId="18"/>
    <cellStyle name="Hyperlink" xfId="2" builtinId="8"/>
    <cellStyle name="Hyperlink 2" xfId="19"/>
    <cellStyle name="Normal" xfId="0" builtinId="0"/>
    <cellStyle name="Normal 2" xfId="20"/>
    <cellStyle name="Normal 2 2" xfId="21"/>
    <cellStyle name="Normal 2 3" xfId="22"/>
    <cellStyle name="Normal 3" xfId="1"/>
    <cellStyle name="Normal 3 2" xfId="23"/>
    <cellStyle name="Normal 3 3" xfId="24"/>
    <cellStyle name="Normal 3 4" xfId="25"/>
    <cellStyle name="Normal 3 5" xfId="3"/>
    <cellStyle name="Normal 4" xfId="26"/>
    <cellStyle name="Normal 5" xfId="27"/>
    <cellStyle name="Normal 6" xfId="30"/>
    <cellStyle name="Normal 7" xfId="31"/>
    <cellStyle name="Normal 8" xfId="33"/>
    <cellStyle name="Percent" xfId="32" builtinId="5"/>
    <cellStyle name="Percent 2" xfId="28"/>
  </cellStyles>
  <dxfs count="49">
    <dxf>
      <font>
        <b val="0"/>
        <i val="0"/>
        <condense val="0"/>
        <extend val="0"/>
      </font>
    </dxf>
    <dxf>
      <font>
        <b val="0"/>
        <i val="0"/>
        <condense val="0"/>
        <extend val="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Nyfs\rwi$\Themes\Revenue%20Watch%20Index%202010\Revenue%20Watch%20Index%202012\Data%20for%20RWI%20index%202012\RWI%20index%202012%20data\RWI%20Index%20and%20Tables%20Nov%202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yfs\rwi$\Themes\Revenue%20Watch%20Index%202010\Revenue%20Watch%20Index%202012\Data%20for%20RWI%20index%202012\RWI%20index%202012%20data\RWI%20Index%20and%20Tables%20Jan%2022%20(Veronika)_origi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TScurfield2/AppData/Local/Packages/microsoft.windowscommunicationsapps_8wekyb3d8bbwe/LocalState/LiveComm/655a2c93cdf49fe4/120712-0049/Att/20001c43/EITI%20data%20collection%20template%20v0%20draf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Giorgia%20Cecchinato/AppData/Roaming/Microsoft/Excel/rgi_2013-compscores%20(version%201).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Full Data Raw -- Received"/>
      <sheetName val="Raw Data for Download"/>
      <sheetName val="Calculations"/>
      <sheetName val="Indexing"/>
      <sheetName val="Enabling Environment"/>
      <sheetName val="Summary of Results Main"/>
      <sheetName val="Weighting Tool"/>
      <sheetName val="Summary of Results Components"/>
      <sheetName val="Scatterplots"/>
      <sheetName val="State Owned Companies"/>
      <sheetName val="Natural Resource Funds"/>
      <sheetName val="Sub-National Transfers"/>
      <sheetName val="Regions -- Color Coded"/>
      <sheetName val="Regions -- Not Color Coded"/>
      <sheetName val="Regional chart"/>
      <sheetName val="Country Tables"/>
      <sheetName val="Country Charts"/>
      <sheetName val="Stacked Charts (Full)"/>
      <sheetName val="Stacked Charts (Selection)"/>
      <sheetName val="Filtered Stacked Chart"/>
      <sheetName val="Mineral v. Hysdrocarbon"/>
      <sheetName val="SOC Table"/>
    </sheetNames>
    <sheetDataSet>
      <sheetData sheetId="0" refreshError="1"/>
      <sheetData sheetId="1" refreshError="1"/>
      <sheetData sheetId="2" refreshError="1"/>
      <sheetData sheetId="3" refreshError="1"/>
      <sheetData sheetId="4" refreshError="1">
        <row r="1">
          <cell r="A1" t="str">
            <v>Column Heading</v>
          </cell>
        </row>
        <row r="2">
          <cell r="D2" t="str">
            <v>Institutional &amp; Legal Setting</v>
          </cell>
        </row>
        <row r="3">
          <cell r="A3" t="str">
            <v>Afghanistan</v>
          </cell>
          <cell r="D3" t="str">
            <v>Reporting Practices</v>
          </cell>
        </row>
        <row r="4">
          <cell r="A4" t="str">
            <v>Algeria</v>
          </cell>
          <cell r="D4" t="str">
            <v>Safeguard &amp; Quality Control</v>
          </cell>
        </row>
        <row r="5">
          <cell r="A5" t="str">
            <v>Angola</v>
          </cell>
          <cell r="D5" t="str">
            <v>Enabling Environment</v>
          </cell>
        </row>
        <row r="6">
          <cell r="A6" t="str">
            <v>Australia</v>
          </cell>
        </row>
        <row r="7">
          <cell r="A7" t="str">
            <v>Azerbaijan</v>
          </cell>
        </row>
        <row r="8">
          <cell r="A8" t="str">
            <v>Bahrain</v>
          </cell>
        </row>
        <row r="9">
          <cell r="A9" t="str">
            <v>Bolivia</v>
          </cell>
        </row>
        <row r="10">
          <cell r="A10" t="str">
            <v>Botswana</v>
          </cell>
        </row>
        <row r="11">
          <cell r="A11" t="str">
            <v>Brazil</v>
          </cell>
        </row>
        <row r="12">
          <cell r="A12" t="str">
            <v>Cambodia</v>
          </cell>
        </row>
        <row r="13">
          <cell r="A13" t="str">
            <v>Cameroon</v>
          </cell>
        </row>
        <row r="14">
          <cell r="A14" t="str">
            <v>Canada</v>
          </cell>
        </row>
        <row r="15">
          <cell r="A15" t="str">
            <v>Chile</v>
          </cell>
        </row>
        <row r="16">
          <cell r="A16" t="str">
            <v>China</v>
          </cell>
        </row>
        <row r="17">
          <cell r="A17" t="str">
            <v>Colombia</v>
          </cell>
        </row>
        <row r="18">
          <cell r="A18" t="str">
            <v>Congo, The Democratic Republic of the</v>
          </cell>
        </row>
        <row r="19">
          <cell r="A19" t="str">
            <v>Ecuador</v>
          </cell>
        </row>
        <row r="20">
          <cell r="A20" t="str">
            <v>Egypt</v>
          </cell>
        </row>
        <row r="21">
          <cell r="A21" t="str">
            <v>Equatorial Guinea</v>
          </cell>
        </row>
        <row r="22">
          <cell r="A22" t="str">
            <v>Gabon</v>
          </cell>
        </row>
        <row r="23">
          <cell r="A23" t="str">
            <v>Ghana</v>
          </cell>
        </row>
        <row r="24">
          <cell r="A24" t="str">
            <v>Guinea</v>
          </cell>
        </row>
        <row r="25">
          <cell r="A25" t="str">
            <v>India</v>
          </cell>
        </row>
        <row r="26">
          <cell r="A26" t="str">
            <v>Indonesia</v>
          </cell>
        </row>
        <row r="27">
          <cell r="A27" t="str">
            <v>Iran (Islamic Republic of)</v>
          </cell>
        </row>
        <row r="28">
          <cell r="A28" t="str">
            <v>Iraq</v>
          </cell>
        </row>
        <row r="29">
          <cell r="A29" t="str">
            <v>Kazakhstan</v>
          </cell>
        </row>
        <row r="30">
          <cell r="A30" t="str">
            <v>Kuwait</v>
          </cell>
        </row>
        <row r="31">
          <cell r="A31" t="str">
            <v>Liberia</v>
          </cell>
        </row>
        <row r="32">
          <cell r="A32" t="str">
            <v>Libya</v>
          </cell>
        </row>
        <row r="33">
          <cell r="A33" t="str">
            <v>Malaysia</v>
          </cell>
        </row>
        <row r="34">
          <cell r="A34" t="str">
            <v>Mexico</v>
          </cell>
        </row>
        <row r="35">
          <cell r="A35" t="str">
            <v>Mongolia</v>
          </cell>
        </row>
        <row r="36">
          <cell r="A36" t="str">
            <v>Morocco</v>
          </cell>
        </row>
        <row r="37">
          <cell r="A37" t="str">
            <v>Mozambique</v>
          </cell>
        </row>
        <row r="38">
          <cell r="A38" t="str">
            <v>Myanmar</v>
          </cell>
        </row>
        <row r="39">
          <cell r="A39" t="str">
            <v>Nigeria</v>
          </cell>
        </row>
        <row r="40">
          <cell r="A40" t="str">
            <v>Norway</v>
          </cell>
        </row>
        <row r="41">
          <cell r="A41" t="str">
            <v>Papua New Guinea</v>
          </cell>
        </row>
        <row r="42">
          <cell r="A42" t="str">
            <v>Peru</v>
          </cell>
        </row>
        <row r="43">
          <cell r="A43" t="str">
            <v>Philippines</v>
          </cell>
        </row>
        <row r="44">
          <cell r="A44" t="str">
            <v>Qatar</v>
          </cell>
        </row>
        <row r="45">
          <cell r="A45" t="str">
            <v>Russian Federation</v>
          </cell>
        </row>
        <row r="46">
          <cell r="A46" t="str">
            <v>Saudi Arabia</v>
          </cell>
        </row>
        <row r="47">
          <cell r="A47" t="str">
            <v>Sierra Leone</v>
          </cell>
        </row>
        <row r="48">
          <cell r="A48" t="str">
            <v>South Africa</v>
          </cell>
        </row>
        <row r="49">
          <cell r="A49" t="str">
            <v>Sudan</v>
          </cell>
        </row>
        <row r="50">
          <cell r="A50" t="str">
            <v>Tanzania</v>
          </cell>
        </row>
        <row r="51">
          <cell r="A51" t="str">
            <v>Timor-Leste</v>
          </cell>
        </row>
        <row r="52">
          <cell r="A52" t="str">
            <v>Trinidad and Tobago</v>
          </cell>
        </row>
        <row r="53">
          <cell r="A53" t="str">
            <v>Turkmenistan</v>
          </cell>
        </row>
        <row r="54">
          <cell r="A54" t="str">
            <v>United Kingdom</v>
          </cell>
        </row>
        <row r="55">
          <cell r="A55" t="str">
            <v>United States</v>
          </cell>
        </row>
        <row r="56">
          <cell r="A56" t="str">
            <v>Venezuela</v>
          </cell>
        </row>
        <row r="57">
          <cell r="A57" t="str">
            <v>Vietnam</v>
          </cell>
        </row>
        <row r="58">
          <cell r="A58" t="str">
            <v>Yemen</v>
          </cell>
        </row>
        <row r="59">
          <cell r="A59" t="str">
            <v>Zambia</v>
          </cell>
        </row>
        <row r="60">
          <cell r="A60" t="str">
            <v>Zimbabwe</v>
          </cell>
        </row>
        <row r="61">
          <cell r="A61" t="str">
            <v>Overall</v>
          </cell>
        </row>
        <row r="62">
          <cell r="A62" t="str">
            <v>East Asia &amp; Pacific</v>
          </cell>
        </row>
        <row r="63">
          <cell r="A63" t="str">
            <v>Europe &amp; Central Asia</v>
          </cell>
        </row>
        <row r="64">
          <cell r="A64" t="str">
            <v>Latin America &amp; Caribbean</v>
          </cell>
        </row>
        <row r="65">
          <cell r="A65" t="str">
            <v>Middle East &amp; North Africa</v>
          </cell>
        </row>
        <row r="66">
          <cell r="A66" t="str">
            <v>OECD</v>
          </cell>
        </row>
        <row r="67">
          <cell r="A67" t="str">
            <v>South Asia</v>
          </cell>
        </row>
        <row r="68">
          <cell r="A68" t="str">
            <v>Sub-Saharan Africa</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Full Data Raw -- Received"/>
      <sheetName val="Raw Data for Download"/>
      <sheetName val="Calculations"/>
      <sheetName val="Indexing"/>
      <sheetName val="Enabling Environment"/>
      <sheetName val="Summary of Results Main"/>
      <sheetName val="Weighting Tool"/>
      <sheetName val="Summary of Results Components"/>
      <sheetName val="Scatterplots"/>
      <sheetName val="State Owned Companies"/>
      <sheetName val="Natural Resource Funds"/>
      <sheetName val="Sub-National Transfers"/>
      <sheetName val="Regions -- Color Coded"/>
      <sheetName val="Regions -- Not Color Coded"/>
      <sheetName val="Country Tables"/>
      <sheetName val="Country Charts"/>
      <sheetName val="Stacked Charts (Full)"/>
      <sheetName val="Stacked Charts (Selection)"/>
      <sheetName val="Filtered Stacked Chart"/>
      <sheetName val="SOC, NRF, transfers tables"/>
    </sheetNames>
    <sheetDataSet>
      <sheetData sheetId="0"/>
      <sheetData sheetId="1"/>
      <sheetData sheetId="2"/>
      <sheetData sheetId="3"/>
      <sheetData sheetId="4">
        <row r="10">
          <cell r="Q10" t="str">
            <v>Afghanistan</v>
          </cell>
        </row>
        <row r="11">
          <cell r="Q11" t="str">
            <v>Algeria</v>
          </cell>
        </row>
        <row r="12">
          <cell r="Q12" t="str">
            <v>Angola</v>
          </cell>
        </row>
        <row r="13">
          <cell r="Q13" t="str">
            <v>Australia (Western Australia)</v>
          </cell>
        </row>
        <row r="14">
          <cell r="Q14" t="str">
            <v>Azerbaijan</v>
          </cell>
        </row>
        <row r="15">
          <cell r="Q15" t="str">
            <v>Bahrain</v>
          </cell>
        </row>
        <row r="16">
          <cell r="Q16" t="str">
            <v>Bolivia</v>
          </cell>
        </row>
        <row r="17">
          <cell r="Q17" t="str">
            <v>Botswana</v>
          </cell>
        </row>
        <row r="18">
          <cell r="Q18" t="str">
            <v>Brazil</v>
          </cell>
        </row>
        <row r="19">
          <cell r="Q19" t="str">
            <v>Cambodia</v>
          </cell>
        </row>
        <row r="20">
          <cell r="Q20" t="str">
            <v>Cameroon</v>
          </cell>
        </row>
        <row r="21">
          <cell r="Q21" t="str">
            <v>Canada (Alberta)</v>
          </cell>
        </row>
        <row r="22">
          <cell r="Q22" t="str">
            <v>Chile</v>
          </cell>
        </row>
        <row r="23">
          <cell r="Q23" t="str">
            <v>China</v>
          </cell>
        </row>
        <row r="24">
          <cell r="Q24" t="str">
            <v>Colombia</v>
          </cell>
        </row>
        <row r="25">
          <cell r="Q25" t="str">
            <v>Congo (DRC)</v>
          </cell>
        </row>
        <row r="26">
          <cell r="Q26" t="str">
            <v>Ecuador</v>
          </cell>
        </row>
        <row r="27">
          <cell r="Q27" t="str">
            <v>Egypt</v>
          </cell>
        </row>
        <row r="28">
          <cell r="Q28" t="str">
            <v>Equatorial Guinea</v>
          </cell>
        </row>
        <row r="29">
          <cell r="Q29" t="str">
            <v>Gabon</v>
          </cell>
        </row>
        <row r="30">
          <cell r="Q30" t="str">
            <v>Ghana</v>
          </cell>
        </row>
        <row r="31">
          <cell r="Q31" t="str">
            <v>Guinea</v>
          </cell>
        </row>
        <row r="32">
          <cell r="Q32" t="str">
            <v>India</v>
          </cell>
        </row>
        <row r="33">
          <cell r="Q33" t="str">
            <v>Indonesia</v>
          </cell>
        </row>
        <row r="34">
          <cell r="Q34" t="str">
            <v>Iran</v>
          </cell>
        </row>
        <row r="35">
          <cell r="Q35" t="str">
            <v>Iraq</v>
          </cell>
        </row>
        <row r="36">
          <cell r="Q36" t="str">
            <v>Kazakhstan</v>
          </cell>
        </row>
        <row r="37">
          <cell r="Q37" t="str">
            <v>Kuwait</v>
          </cell>
        </row>
        <row r="38">
          <cell r="Q38" t="str">
            <v>Liberia</v>
          </cell>
        </row>
        <row r="39">
          <cell r="Q39" t="str">
            <v>Libya</v>
          </cell>
        </row>
        <row r="40">
          <cell r="Q40" t="str">
            <v>Malaysia</v>
          </cell>
        </row>
        <row r="41">
          <cell r="Q41" t="str">
            <v>Mexico</v>
          </cell>
        </row>
        <row r="42">
          <cell r="Q42" t="str">
            <v>Mongolia</v>
          </cell>
        </row>
        <row r="43">
          <cell r="Q43" t="str">
            <v>Morocco</v>
          </cell>
        </row>
        <row r="44">
          <cell r="Q44" t="str">
            <v>Mozambique</v>
          </cell>
        </row>
        <row r="45">
          <cell r="Q45" t="str">
            <v>Myanmar</v>
          </cell>
        </row>
        <row r="46">
          <cell r="Q46" t="str">
            <v>Nigeria</v>
          </cell>
        </row>
        <row r="47">
          <cell r="Q47" t="str">
            <v>Norway</v>
          </cell>
        </row>
        <row r="48">
          <cell r="Q48" t="str">
            <v>Papua New Guinea</v>
          </cell>
        </row>
        <row r="49">
          <cell r="Q49" t="str">
            <v>Peru</v>
          </cell>
        </row>
        <row r="50">
          <cell r="Q50" t="str">
            <v>Philippines</v>
          </cell>
        </row>
        <row r="51">
          <cell r="Q51" t="str">
            <v>Qatar</v>
          </cell>
        </row>
        <row r="52">
          <cell r="Q52" t="str">
            <v>Russia</v>
          </cell>
        </row>
        <row r="53">
          <cell r="Q53" t="str">
            <v>Saudi Arabia</v>
          </cell>
        </row>
        <row r="54">
          <cell r="Q54" t="str">
            <v>Sierra Leone</v>
          </cell>
        </row>
        <row r="55">
          <cell r="Q55" t="str">
            <v>South Africa</v>
          </cell>
        </row>
        <row r="56">
          <cell r="Q56" t="str">
            <v>South Sudan</v>
          </cell>
        </row>
        <row r="57">
          <cell r="Q57" t="str">
            <v>Tanzania</v>
          </cell>
        </row>
        <row r="58">
          <cell r="Q58" t="str">
            <v>Timor-Leste</v>
          </cell>
        </row>
        <row r="59">
          <cell r="Q59" t="str">
            <v>Trinidad and Tobago</v>
          </cell>
        </row>
        <row r="60">
          <cell r="Q60" t="str">
            <v>Turkmenistan</v>
          </cell>
        </row>
        <row r="61">
          <cell r="Q61" t="str">
            <v>United Kingdom</v>
          </cell>
        </row>
        <row r="62">
          <cell r="Q62" t="str">
            <v>United States (Gulf of Mexico)</v>
          </cell>
        </row>
        <row r="63">
          <cell r="Q63" t="str">
            <v>Venezuela</v>
          </cell>
        </row>
        <row r="64">
          <cell r="Q64" t="str">
            <v>Vietnam</v>
          </cell>
        </row>
        <row r="65">
          <cell r="Q65" t="str">
            <v>Yemen</v>
          </cell>
        </row>
        <row r="66">
          <cell r="Q66" t="str">
            <v>Zambia</v>
          </cell>
        </row>
        <row r="67">
          <cell r="Q67" t="str">
            <v>Zimbabwe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EITI report summary"/>
      <sheetName val="Country-level"/>
      <sheetName val="Project-level"/>
      <sheetName val="SOE flow"/>
      <sheetName val="Dropdown options"/>
    </sheetNames>
    <sheetDataSet>
      <sheetData sheetId="0"/>
      <sheetData sheetId="1"/>
      <sheetData sheetId="2"/>
      <sheetData sheetId="3"/>
      <sheetData sheetId="4">
        <row r="4">
          <cell r="J4" t="str">
            <v>Gov production entitlement (such as profit oil);</v>
          </cell>
        </row>
        <row r="5">
          <cell r="J5" t="str">
            <v>NOC production entitlement;</v>
          </cell>
        </row>
        <row r="6">
          <cell r="J6" t="str">
            <v>Profits taxes including capital gains</v>
          </cell>
        </row>
        <row r="7">
          <cell r="J7" t="str">
            <v>Royalties</v>
          </cell>
        </row>
        <row r="8">
          <cell r="J8" t="str">
            <v>Dividends</v>
          </cell>
        </row>
        <row r="9">
          <cell r="J9" t="str">
            <v>Bonuses, such as signature, discovery and production bonuses</v>
          </cell>
        </row>
        <row r="10">
          <cell r="J10" t="str">
            <v xml:space="preserve">License fees, rental fees, entry fees and other considerations for licenses and/or concessions; </v>
          </cell>
        </row>
        <row r="11">
          <cell r="J11" t="str">
            <v>Personal income tax</v>
          </cell>
        </row>
        <row r="12">
          <cell r="J12" t="str">
            <v>General taxes on goods and services (value
added tax, sales tax, turnover tax)</v>
          </cell>
        </row>
        <row r="13">
          <cell r="J13" t="str">
            <v>Customs and other import duties (import taxes)</v>
          </cell>
        </row>
        <row r="14">
          <cell r="J14" t="str">
            <v>Excise taxes (on fuel)</v>
          </cell>
        </row>
        <row r="15">
          <cell r="J15" t="str">
            <v>Other payments</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omponents scores table"/>
    </sheetNames>
    <sheetDataSet>
      <sheetData sheetId="0">
        <row r="2">
          <cell r="B2" t="str">
            <v>Norway</v>
          </cell>
          <cell r="C2" t="str">
            <v>Hydrocarbons</v>
          </cell>
          <cell r="D2">
            <v>98.017483296506555</v>
          </cell>
        </row>
        <row r="3">
          <cell r="B3" t="str">
            <v>United States (Gulf of Mexico)</v>
          </cell>
          <cell r="C3" t="str">
            <v>Hydrocarbons</v>
          </cell>
          <cell r="D3">
            <v>92.267683103099671</v>
          </cell>
        </row>
        <row r="4">
          <cell r="B4" t="str">
            <v>United Kingdom</v>
          </cell>
          <cell r="C4" t="str">
            <v>Hydrocarbons</v>
          </cell>
          <cell r="D4">
            <v>87.582707306073601</v>
          </cell>
        </row>
        <row r="5">
          <cell r="B5" t="str">
            <v>Australia (Western Australia)</v>
          </cell>
          <cell r="C5" t="str">
            <v xml:space="preserve">Minerals </v>
          </cell>
          <cell r="D5">
            <v>84.52174754337635</v>
          </cell>
        </row>
        <row r="6">
          <cell r="B6" t="str">
            <v>Brazil</v>
          </cell>
          <cell r="C6" t="str">
            <v>Hydrocarbons</v>
          </cell>
          <cell r="D6">
            <v>79.938388792646663</v>
          </cell>
        </row>
        <row r="7">
          <cell r="B7" t="str">
            <v>Mexico</v>
          </cell>
          <cell r="C7" t="str">
            <v>Hydrocarbons</v>
          </cell>
          <cell r="D7">
            <v>76.531116206327013</v>
          </cell>
        </row>
        <row r="8">
          <cell r="B8" t="str">
            <v>Canada (Alberta)</v>
          </cell>
          <cell r="C8" t="str">
            <v>Hydrocarbons</v>
          </cell>
          <cell r="D8">
            <v>76.230391867870438</v>
          </cell>
        </row>
        <row r="9">
          <cell r="B9" t="str">
            <v>Chile</v>
          </cell>
          <cell r="C9" t="str">
            <v>Minerals</v>
          </cell>
          <cell r="D9">
            <v>75.18085549169885</v>
          </cell>
        </row>
        <row r="10">
          <cell r="B10" t="str">
            <v>Colombia</v>
          </cell>
          <cell r="C10" t="str">
            <v>Hydrocarbons</v>
          </cell>
          <cell r="D10">
            <v>74.135087376707531</v>
          </cell>
        </row>
        <row r="11">
          <cell r="B11" t="str">
            <v>Trinidad and Tobago</v>
          </cell>
          <cell r="C11" t="str">
            <v>Hydrocarbons</v>
          </cell>
          <cell r="D11">
            <v>73.801508489070173</v>
          </cell>
        </row>
        <row r="12">
          <cell r="B12" t="str">
            <v>Peru</v>
          </cell>
          <cell r="C12" t="str">
            <v>Minerals</v>
          </cell>
          <cell r="D12">
            <v>72.816147461462435</v>
          </cell>
        </row>
        <row r="13">
          <cell r="B13" t="str">
            <v>India</v>
          </cell>
          <cell r="C13" t="str">
            <v>Hydrocarbons</v>
          </cell>
          <cell r="D13">
            <v>69.684422133449885</v>
          </cell>
        </row>
        <row r="14">
          <cell r="B14" t="str">
            <v>Timor-Leste</v>
          </cell>
          <cell r="C14" t="str">
            <v>Hydrocarbons</v>
          </cell>
          <cell r="D14">
            <v>67.748854430370386</v>
          </cell>
        </row>
        <row r="15">
          <cell r="B15" t="str">
            <v>Indonesia</v>
          </cell>
          <cell r="C15" t="str">
            <v>Hydrocarbons</v>
          </cell>
          <cell r="D15">
            <v>65.756132994529537</v>
          </cell>
        </row>
        <row r="16">
          <cell r="B16" t="str">
            <v>Ghana</v>
          </cell>
          <cell r="C16" t="str">
            <v>Minerals</v>
          </cell>
          <cell r="D16">
            <v>62.723264193960979</v>
          </cell>
        </row>
        <row r="17">
          <cell r="B17" t="str">
            <v>Liberia</v>
          </cell>
          <cell r="C17" t="str">
            <v>Minerals</v>
          </cell>
          <cell r="D17">
            <v>61.600874881317473</v>
          </cell>
        </row>
        <row r="18">
          <cell r="B18" t="str">
            <v>Zambia</v>
          </cell>
          <cell r="C18" t="str">
            <v>Minerals</v>
          </cell>
          <cell r="D18">
            <v>60.803011070373614</v>
          </cell>
        </row>
        <row r="19">
          <cell r="B19" t="str">
            <v>Ecuador</v>
          </cell>
          <cell r="C19" t="str">
            <v>Hydrocarbons</v>
          </cell>
          <cell r="D19">
            <v>58.161726438221336</v>
          </cell>
        </row>
        <row r="20">
          <cell r="B20" t="str">
            <v>Kazakhstan</v>
          </cell>
          <cell r="C20" t="str">
            <v>Hydrocarbons</v>
          </cell>
          <cell r="D20">
            <v>57.362887635782535</v>
          </cell>
        </row>
        <row r="21">
          <cell r="B21" t="str">
            <v>Venezuela</v>
          </cell>
          <cell r="C21" t="str">
            <v>Hydrocarbons</v>
          </cell>
          <cell r="D21">
            <v>55.974231071148758</v>
          </cell>
        </row>
        <row r="22">
          <cell r="B22" t="str">
            <v>South Africa</v>
          </cell>
          <cell r="C22" t="str">
            <v>Minerals</v>
          </cell>
          <cell r="D22">
            <v>55.546062062222191</v>
          </cell>
        </row>
        <row r="23">
          <cell r="B23" t="str">
            <v>Russia</v>
          </cell>
          <cell r="C23" t="str">
            <v>Hydrocarbons</v>
          </cell>
          <cell r="D23">
            <v>55.536649065875352</v>
          </cell>
        </row>
        <row r="24">
          <cell r="B24" t="str">
            <v>Philippines</v>
          </cell>
          <cell r="C24" t="str">
            <v>Minerals</v>
          </cell>
          <cell r="D24">
            <v>53.517388077736662</v>
          </cell>
        </row>
        <row r="25">
          <cell r="B25" t="str">
            <v>Bolivia</v>
          </cell>
          <cell r="C25" t="str">
            <v>Hydrocarbons</v>
          </cell>
          <cell r="D25">
            <v>53.428170361039442</v>
          </cell>
        </row>
        <row r="26">
          <cell r="B26" t="str">
            <v>Morocco</v>
          </cell>
          <cell r="C26" t="str">
            <v>Minerals</v>
          </cell>
          <cell r="D26">
            <v>53.407936310351339</v>
          </cell>
        </row>
        <row r="27">
          <cell r="B27" t="str">
            <v>Mongolia</v>
          </cell>
          <cell r="C27" t="str">
            <v>Minerals</v>
          </cell>
          <cell r="D27">
            <v>50.952530108834466</v>
          </cell>
        </row>
        <row r="28">
          <cell r="B28" t="str">
            <v>Tanzania</v>
          </cell>
          <cell r="C28" t="str">
            <v>Minerals</v>
          </cell>
          <cell r="D28">
            <v>49.764112779291708</v>
          </cell>
        </row>
        <row r="29">
          <cell r="B29" t="str">
            <v>Azerbaijan</v>
          </cell>
          <cell r="C29" t="str">
            <v>Hydrocarbons</v>
          </cell>
          <cell r="D29">
            <v>48.092853423547197</v>
          </cell>
        </row>
        <row r="30">
          <cell r="B30" t="str">
            <v>Iraq</v>
          </cell>
          <cell r="C30" t="str">
            <v>Hydrocarbons</v>
          </cell>
          <cell r="D30">
            <v>46.872798601284018</v>
          </cell>
        </row>
        <row r="31">
          <cell r="B31" t="str">
            <v>Botswana</v>
          </cell>
          <cell r="C31" t="str">
            <v>Minerals</v>
          </cell>
          <cell r="D31">
            <v>46.767430696871045</v>
          </cell>
        </row>
        <row r="32">
          <cell r="B32" t="str">
            <v>Bahrain</v>
          </cell>
          <cell r="C32" t="str">
            <v>Hydrocarbons</v>
          </cell>
          <cell r="D32">
            <v>46.744411752081483</v>
          </cell>
        </row>
        <row r="33">
          <cell r="B33" t="str">
            <v>Gabon</v>
          </cell>
          <cell r="C33" t="str">
            <v>Hydrocarbons</v>
          </cell>
          <cell r="D33">
            <v>45.964036106201753</v>
          </cell>
        </row>
        <row r="34">
          <cell r="B34" t="str">
            <v>Guinea</v>
          </cell>
          <cell r="C34" t="str">
            <v>Minerals</v>
          </cell>
          <cell r="D34">
            <v>45.874886170465984</v>
          </cell>
        </row>
        <row r="35">
          <cell r="B35" t="str">
            <v>Malaysia</v>
          </cell>
          <cell r="C35" t="str">
            <v>Hydrocarbons</v>
          </cell>
          <cell r="D35">
            <v>45.817659775943994</v>
          </cell>
        </row>
        <row r="36">
          <cell r="B36" t="str">
            <v>Sierra Leone</v>
          </cell>
          <cell r="C36" t="str">
            <v>Minerals</v>
          </cell>
          <cell r="D36">
            <v>45.714033330666766</v>
          </cell>
        </row>
        <row r="37">
          <cell r="B37" t="str">
            <v>China</v>
          </cell>
          <cell r="C37" t="str">
            <v>Hydrocarbons</v>
          </cell>
          <cell r="D37">
            <v>43.379103996937005</v>
          </cell>
        </row>
        <row r="38">
          <cell r="B38" t="str">
            <v>Yemen</v>
          </cell>
          <cell r="C38" t="str">
            <v>Hydrocarbons</v>
          </cell>
          <cell r="D38">
            <v>43.154597212929545</v>
          </cell>
        </row>
        <row r="39">
          <cell r="B39" t="str">
            <v>Egypt</v>
          </cell>
          <cell r="C39" t="str">
            <v>Hydrocarbons</v>
          </cell>
          <cell r="D39">
            <v>43.063831340238174</v>
          </cell>
        </row>
        <row r="40">
          <cell r="B40" t="str">
            <v>Papua New Guinea</v>
          </cell>
          <cell r="C40" t="str">
            <v>Minerals</v>
          </cell>
          <cell r="D40">
            <v>43.047909604250449</v>
          </cell>
        </row>
        <row r="41">
          <cell r="B41" t="str">
            <v>Nigeria</v>
          </cell>
          <cell r="C41" t="str">
            <v>Hydrocarbons</v>
          </cell>
          <cell r="D41">
            <v>42.488706175328218</v>
          </cell>
        </row>
        <row r="42">
          <cell r="B42" t="str">
            <v>Angola</v>
          </cell>
          <cell r="C42" t="str">
            <v>Hydrocarbons</v>
          </cell>
          <cell r="D42">
            <v>42.048886952000956</v>
          </cell>
        </row>
        <row r="43">
          <cell r="B43" t="str">
            <v>Kuwait</v>
          </cell>
          <cell r="C43" t="str">
            <v>Hydrocarbons</v>
          </cell>
          <cell r="D43">
            <v>41.085619660713327</v>
          </cell>
        </row>
        <row r="44">
          <cell r="B44" t="str">
            <v>Vietnam</v>
          </cell>
          <cell r="C44" t="str">
            <v>Hydrocarbons</v>
          </cell>
          <cell r="D44">
            <v>40.54624791092354</v>
          </cell>
        </row>
        <row r="45">
          <cell r="B45" t="str">
            <v>Congo (DRC)</v>
          </cell>
          <cell r="C45" t="str">
            <v>Minerals</v>
          </cell>
          <cell r="D45">
            <v>38.63963451980797</v>
          </cell>
        </row>
        <row r="46">
          <cell r="B46" t="str">
            <v>Algeria</v>
          </cell>
          <cell r="C46" t="str">
            <v>Hydrocarbons</v>
          </cell>
          <cell r="D46">
            <v>38.402667237851141</v>
          </cell>
        </row>
        <row r="47">
          <cell r="B47" t="str">
            <v>Mozambique</v>
          </cell>
          <cell r="C47" t="str">
            <v>Hydrocarbons</v>
          </cell>
          <cell r="D47">
            <v>36.892305759051851</v>
          </cell>
        </row>
        <row r="48">
          <cell r="B48" t="str">
            <v>Cameroon</v>
          </cell>
          <cell r="C48" t="str">
            <v>Hydrocarbons</v>
          </cell>
          <cell r="D48">
            <v>34.155297028034767</v>
          </cell>
        </row>
        <row r="49">
          <cell r="B49" t="str">
            <v>Saudi Arabia</v>
          </cell>
          <cell r="C49" t="str">
            <v>Hydrocarbons</v>
          </cell>
          <cell r="D49">
            <v>33.812867933175617</v>
          </cell>
        </row>
        <row r="50">
          <cell r="B50" t="str">
            <v>Afghanistan</v>
          </cell>
          <cell r="C50" t="str">
            <v>Minerals</v>
          </cell>
          <cell r="D50">
            <v>33.105481067896484</v>
          </cell>
        </row>
        <row r="51">
          <cell r="B51" t="str">
            <v>South Sudan</v>
          </cell>
          <cell r="C51" t="str">
            <v>Hydrocarbons</v>
          </cell>
          <cell r="D51">
            <v>31.373138077211024</v>
          </cell>
        </row>
        <row r="52">
          <cell r="B52" t="str">
            <v>Zimbabwe</v>
          </cell>
          <cell r="C52" t="str">
            <v>Minerals</v>
          </cell>
          <cell r="D52">
            <v>31.324562602054616</v>
          </cell>
        </row>
        <row r="53">
          <cell r="B53" t="str">
            <v>Cambodia</v>
          </cell>
          <cell r="C53" t="str">
            <v>Hydrocarbons</v>
          </cell>
          <cell r="D53">
            <v>28.917575713875674</v>
          </cell>
        </row>
        <row r="54">
          <cell r="B54" t="str">
            <v>Iran</v>
          </cell>
          <cell r="C54" t="str">
            <v>Hydrocarbons</v>
          </cell>
          <cell r="D54">
            <v>27.969958975654741</v>
          </cell>
        </row>
        <row r="55">
          <cell r="B55" t="str">
            <v>Qatar</v>
          </cell>
          <cell r="C55" t="str">
            <v>Hydrocarbons</v>
          </cell>
          <cell r="D55">
            <v>25.870339288520782</v>
          </cell>
        </row>
        <row r="56">
          <cell r="B56" t="str">
            <v>Libya</v>
          </cell>
          <cell r="C56" t="str">
            <v>Hydrocarbons</v>
          </cell>
          <cell r="D56">
            <v>18.771005870106745</v>
          </cell>
        </row>
        <row r="57">
          <cell r="B57" t="str">
            <v>Equatorial Guinea</v>
          </cell>
          <cell r="C57" t="str">
            <v>Hydrocarbons</v>
          </cell>
          <cell r="D57">
            <v>12.515609743116736</v>
          </cell>
        </row>
        <row r="58">
          <cell r="B58" t="str">
            <v>Turkmenistan</v>
          </cell>
          <cell r="C58" t="str">
            <v>Hydrocarbons</v>
          </cell>
          <cell r="D58">
            <v>4.7713314322693972</v>
          </cell>
        </row>
        <row r="59">
          <cell r="B59" t="str">
            <v>Myanmar</v>
          </cell>
          <cell r="C59" t="str">
            <v>Hydrocarbons</v>
          </cell>
          <cell r="D59">
            <v>4.2760443406252531</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rie Lintzer" refreshedDate="42075.720430092595" createdVersion="4" refreshedVersion="4" minRefreshableVersion="3" recordCount="2134">
  <cacheSource type="worksheet">
    <worksheetSource ref="A1:BV1048576" sheet="Country-level"/>
  </cacheSource>
  <cacheFields count="67">
    <cacheField name="Report ID" numFmtId="0">
      <sharedItems containsBlank="1" count="225">
        <s v="Afghanistan2008"/>
        <s v="Afghanistan2009"/>
        <s v="Afghanistan2010"/>
        <s v="Afghanistan2011"/>
        <s v="Albania2009"/>
        <s v="Albania2010"/>
        <s v="Albania2011"/>
        <s v="Albania2012"/>
        <s v="Azerbaijan2003"/>
        <s v="Azerbaijan2004"/>
        <s v="Azerbaijan2005"/>
        <s v="Azerbaijan2006"/>
        <s v="Azerbaijan2007"/>
        <s v="Azerbaijan2008"/>
        <s v="Azerbaijan2009"/>
        <m/>
        <s v="Azerbaijan2010"/>
        <s v="Azerbaijan2011"/>
        <s v="Azerbaijan2012"/>
        <s v="BurkinaFaso2008"/>
        <s v="BurkinaFaso2009"/>
        <s v="BurkinaFaso2010"/>
        <s v="BurkinaFaso2011"/>
        <s v="BurkinaFaso2012"/>
        <s v="Cameroon2001"/>
        <s v="Cameroon2002"/>
        <s v="Cameroon2003"/>
        <s v="Cameroon2004"/>
        <s v="Cameroon2005"/>
        <s v="Cameroon2006"/>
        <s v="Cameroon2007"/>
        <s v="Cameroon2008"/>
        <s v="Cameroon2009"/>
        <s v="Cameroon2010"/>
        <s v="Cameroon2011"/>
        <s v="Cameroon2012"/>
        <s v="CentralAfricanRepublic2006"/>
        <s v="CentralAfricanRepublic2007"/>
        <s v="CentralAfricanRepublic2008"/>
        <s v="CentralAfricanRepublic2009"/>
        <s v="CentralAfricanRepublic2010"/>
        <s v="Chad2007"/>
        <s v="Chad2008"/>
        <s v="Chad2009"/>
        <s v="Chad2010"/>
        <s v="Chad2011"/>
        <s v="Chad2012"/>
        <s v="Coted'Ivoire2006"/>
        <s v="Coted'Ivoire2007"/>
        <s v="Coted'Ivoire2008"/>
        <s v="Coted'Ivoire2009"/>
        <s v="Coted'Ivoire2010"/>
        <s v="Coted'Ivoire2011"/>
        <s v="Coted'Ivoire2012"/>
        <s v="DemocraticRepublicofCongo2007"/>
        <s v="DemocraticRepublicofCongo2008"/>
        <s v="DemocraticRepublicofCongo2009"/>
        <s v="DemocraticRepublicofCongo2010"/>
        <s v="DemocraticRepublicofCongo2011"/>
        <s v="DemocraticRepublicofCongo2012"/>
        <s v="EquatorialGuinea2007"/>
        <s v="EquatorialGuinea2008"/>
        <s v="Gabon2004"/>
        <s v="Gabon2005"/>
        <s v="Gabon2006"/>
        <s v="Ghana2004"/>
        <s v="Ghana2005"/>
        <s v="Ghana2006"/>
        <s v="Ghana2007"/>
        <s v="Ghana2008"/>
        <s v="Ghana2009"/>
        <s v="Ghana2010"/>
        <s v="Ghana2011"/>
        <s v="Ghana2012"/>
        <s v="Ghana2013"/>
        <s v="Guatemala2010"/>
        <s v="Guatemala2011"/>
        <s v="Guinea2005"/>
        <s v="Guinea2006"/>
        <s v="Guinea2007"/>
        <s v="Guinea2008"/>
        <s v="Guinea2009"/>
        <s v="Guinea2010"/>
        <s v="Guinea2011"/>
        <s v="Guinea2012"/>
        <s v="Indonesia2009"/>
        <s v="Indonesia2010"/>
        <s v="Indonesia2011"/>
        <s v="Iraq2009"/>
        <s v="Iraq2010"/>
        <s v="Iraq2011"/>
        <s v="Iraq2012"/>
        <s v="Kazakhstan2005 "/>
        <s v="Kazakhstan2006"/>
        <s v="Kazakhstan2007"/>
        <s v="Kazakhstan2008"/>
        <s v="Kazakhstan2009"/>
        <s v="Kazakhstan2010"/>
        <s v="Kazakhstan2011"/>
        <s v="Kazakhstan2012"/>
        <s v="Kazakhstan2013"/>
        <s v="KyrgyzRepublic2004"/>
        <s v="KyrgyzRepublic2005"/>
        <s v="KyrgyzRepublic2006"/>
        <s v="KyrgyzRepublic2007"/>
        <s v="KyrgyzRepublic2008"/>
        <s v="KyrgyzRepublic2009"/>
        <s v="KyrgyzRepublic2010"/>
        <s v="KyrgyzRepublic2011"/>
        <s v="KyrgyzRepublic2012"/>
        <s v="Liberia2008"/>
        <s v="Liberia2009"/>
        <s v="Liberia2010"/>
        <s v="Liberia2011"/>
        <s v="Liberia2012"/>
        <s v="Madagascar2007"/>
        <s v="Madagascar2008"/>
        <s v="Madagascar2009"/>
        <s v="Madagascar2010"/>
        <s v="Madagascar2011"/>
        <s v="Mali2006"/>
        <s v="Mali2007"/>
        <s v="Mali2008"/>
        <s v="Mali2009"/>
        <s v="Mali2010"/>
        <s v="Mali2011"/>
        <s v="Mali2012"/>
        <s v="Mauritania2005"/>
        <s v="Mauritania2006"/>
        <s v="Mauritania2007"/>
        <s v="Mauritania2008"/>
        <s v="Mauritania2009"/>
        <s v="Mauritania2010"/>
        <s v="Mauritania2011"/>
        <s v="Mauritania2012"/>
        <s v="Mongolia2006 "/>
        <s v="Mongolia2006"/>
        <s v="Mongolia2007"/>
        <s v="Mongolia2008"/>
        <s v="Mongolia2009"/>
        <s v="Mongolia2010"/>
        <s v="Mongolia2011"/>
        <s v="Mongolia2012"/>
        <s v="Mongolia2013"/>
        <s v="Mozambique2008"/>
        <s v="Mozambique2009"/>
        <s v="Mozambique2010"/>
        <s v="Mozambique2011"/>
        <s v="Niger2005"/>
        <s v="Niger2006"/>
        <s v="Niger2007"/>
        <s v="Niger2008"/>
        <s v="Niger2009"/>
        <s v="Niger2010"/>
        <s v="Niger2011"/>
        <s v="Niger2012"/>
        <s v="Nigeria1999"/>
        <s v="Nigeria2000"/>
        <s v="Nigeria2001"/>
        <s v="Nigeria2002"/>
        <s v="Nigeria2003"/>
        <s v="Nigeria2004"/>
        <s v="Nigeria2005"/>
        <s v="Nigeria2006"/>
        <s v="Nigeria2007"/>
        <s v="Nigeria2008"/>
        <s v="Nigeria2009"/>
        <s v="Nigeria2010"/>
        <s v="Nigeria2011"/>
        <s v="Nigeria2012"/>
        <s v="Norway2008"/>
        <s v="Norway2009"/>
        <s v="Norway2010"/>
        <s v="Norway2011"/>
        <s v="Norway2012"/>
        <s v="Peru2004"/>
        <s v="Peru2005"/>
        <s v="Peru2006"/>
        <s v="Peru2007"/>
        <s v="Peru2008"/>
        <s v="Peru2009"/>
        <s v="Peru2010"/>
        <s v="Peru2011"/>
        <s v="Peru2012"/>
        <s v="RepublicOfTheCongo2004"/>
        <s v="RepublicOfTheCongo2005"/>
        <s v="RepublicOfTheCongo2006"/>
        <s v="RepublicOfTheCongo2007"/>
        <s v="RepublicOfTheCongo2008"/>
        <s v="RepublicOfTheCongo2009"/>
        <s v="RepublicOfTheCongo2010"/>
        <s v="RepublicOfTheCongo2011"/>
        <s v="RepublicOfTheCongo2012"/>
        <s v="RepublicOfTheCongo2013"/>
        <s v="SierraLeone2006"/>
        <s v="SierraLeone2007"/>
        <s v="SierraLeone2008"/>
        <s v="SierraLeone2009"/>
        <s v="SierraLeone2010"/>
        <s v="SierraLeone2011"/>
        <s v="Tanzania2009"/>
        <s v="Tanzania2010"/>
        <s v="Tanzania2011"/>
        <s v="Tanzania2012"/>
        <s v="TimorLeste2008"/>
        <s v="TimorLeste2009"/>
        <s v="TimorLeste2010"/>
        <s v="TimorLeste2011"/>
        <s v="Togo2010"/>
        <s v="Togo2011"/>
        <s v="Togo2012"/>
        <s v="Trinidad&amp;Tobago2011"/>
        <s v="Yemen2005"/>
        <s v="Yemen2006"/>
        <s v="Yemen2007"/>
        <s v="Yemen2008"/>
        <s v="Yemen2009"/>
        <s v="Yemen2010"/>
        <s v="Yemen2011"/>
        <s v="Zambia2008"/>
        <s v="Zambia2009"/>
        <s v="Zambia2010"/>
        <s v="Zambia2011"/>
        <s v="Zambia2012"/>
        <s v="Zambia2013"/>
      </sharedItems>
    </cacheField>
    <cacheField name="Years Covered" numFmtId="0">
      <sharedItems containsString="0" containsBlank="1" containsNumber="1" containsInteger="1" minValue="1999" maxValue="2013"/>
    </cacheField>
    <cacheField name="Country Name" numFmtId="0">
      <sharedItems containsBlank="1" count="46">
        <s v="Afghanistan"/>
        <s v="Albania "/>
        <s v="Azerbaijan"/>
        <m/>
        <s v="Burkina Faso "/>
        <s v="Cameroon"/>
        <s v="Central African Republic "/>
        <s v="Chad "/>
        <s v="Côte d'Ivoire "/>
        <s v="Democratic Republic of Congo "/>
        <s v="Equatorial Guinea"/>
        <s v="Gabon"/>
        <s v="Ghana "/>
        <s v="Guatemala"/>
        <s v="Guinea "/>
        <s v="Indonesia "/>
        <s v="Iraq "/>
        <s v="Kazakhstan "/>
        <s v="Kyrgyz Republic "/>
        <s v="Liberia "/>
        <s v="Madagascar"/>
        <s v="Mali"/>
        <s v="Mauritania"/>
        <s v="Mongolia "/>
        <s v="Mongolia"/>
        <s v="Mozambique "/>
        <s v="Niger"/>
        <s v="Nigeria"/>
        <s v="Norway "/>
        <s v="Peru"/>
        <s v="Republic of the Congo"/>
        <s v="Sierra Leone "/>
        <s v="Tanzania "/>
        <s v="Timor-Leste "/>
        <s v="Togo"/>
        <s v="Trinidad and Tobago "/>
        <s v="Yemen "/>
        <s v="Zambia "/>
        <s v="Zambia"/>
        <s v="Ivory Coast" u="1"/>
        <s v="Albania" u="1"/>
        <s v="Iraq" u="1"/>
        <s v="Congo" u="1"/>
        <s v="Burkina Faso" u="1"/>
        <s v="Ghana" u="1"/>
        <s v="Kazakhstan" u="1"/>
      </sharedItems>
    </cacheField>
    <cacheField name="Region" numFmtId="0">
      <sharedItems containsBlank="1"/>
    </cacheField>
    <cacheField name="Country Webpage" numFmtId="0">
      <sharedItems containsBlank="1"/>
    </cacheField>
    <cacheField name="Sector" numFmtId="0">
      <sharedItems containsBlank="1"/>
    </cacheField>
    <cacheField name="Mining" numFmtId="0">
      <sharedItems containsBlank="1"/>
    </cacheField>
    <cacheField name="Gas" numFmtId="0">
      <sharedItems containsBlank="1"/>
    </cacheField>
    <cacheField name="Oil" numFmtId="0">
      <sharedItems containsBlank="1"/>
    </cacheField>
    <cacheField name="Commodity" numFmtId="0">
      <sharedItems containsBlank="1"/>
    </cacheField>
    <cacheField name="Total line?" numFmtId="0">
      <sharedItems containsBlank="1"/>
    </cacheField>
    <cacheField name="Total and sector?" numFmtId="0">
      <sharedItems containsBlank="1"/>
    </cacheField>
    <cacheField name="Total Production Volume (external source)" numFmtId="0">
      <sharedItems containsBlank="1" containsMixedTypes="1" containsNumber="1" minValue="0" maxValue="114700000000"/>
    </cacheField>
    <cacheField name="Gas conversion in barrels and percentage representation to oil production" numFmtId="0">
      <sharedItems containsString="0" containsBlank="1" containsNumber="1" minValue="4.0260446365818402E-2" maxValue="757020000"/>
    </cacheField>
    <cacheField name="Total Reconciled Production Volume (from EITI Report)" numFmtId="0">
      <sharedItems containsString="0" containsBlank="1" containsNumber="1" minValue="0" maxValue="3443211301.0477695"/>
    </cacheField>
    <cacheField name="Total Production Volume (from EITI Report, government source)" numFmtId="0">
      <sharedItems containsString="0" containsBlank="1" containsNumber="1" minValue="8" maxValue="40300000000"/>
    </cacheField>
    <cacheField name="Total Production Volume (from EITI Report, companies source)" numFmtId="0">
      <sharedItems containsString="0" containsBlank="1" containsNumber="1" minValue="0.28699999999999998" maxValue="1054000000"/>
    </cacheField>
    <cacheField name="Volume Metric" numFmtId="0">
      <sharedItems containsBlank="1"/>
    </cacheField>
    <cacheField name="Price" numFmtId="0">
      <sharedItems containsString="0" containsBlank="1" containsNumber="1" minValue="7.6114186035074497E-3" maxValue="519409.51339529798"/>
    </cacheField>
    <cacheField name="Per Unit" numFmtId="0">
      <sharedItems containsBlank="1"/>
    </cacheField>
    <cacheField name="Source for Total Production Volume &amp; Price Information" numFmtId="0">
      <sharedItems containsBlank="1" longText="1"/>
    </cacheField>
    <cacheField name="Total Production Value (US$)" numFmtId="0">
      <sharedItems containsString="0" containsBlank="1" containsNumber="1" minValue="0" maxValue="161854056644.77145"/>
    </cacheField>
    <cacheField name="Revenue Streams Covered" numFmtId="0">
      <sharedItems containsBlank="1" containsMixedTypes="1" containsNumber="1" minValue="0.86093801246310275" maxValue="1.0928722585915764"/>
    </cacheField>
    <cacheField name="Includes In-kind Payments" numFmtId="0">
      <sharedItems containsBlank="1"/>
    </cacheField>
    <cacheField name="Added to Payments by Author" numFmtId="0">
      <sharedItems containsBlank="1"/>
    </cacheField>
    <cacheField name="Payments Received by Government from Covered Companies (US$)" numFmtId="0">
      <sharedItems containsString="0" containsBlank="1" containsNumber="1" minValue="0" maxValue="94032633453"/>
    </cacheField>
    <cacheField name="Payments Made by Covered Companies (US$)" numFmtId="0">
      <sharedItems containsString="0" containsBlank="1" containsNumber="1" minValue="0" maxValue="93136980753"/>
    </cacheField>
    <cacheField name="Proportion of Total Revenue/Production Covered (as indicated in EITI Report)" numFmtId="0">
      <sharedItems containsBlank="1" containsMixedTypes="1" containsNumber="1" minValue="0.95983636276129736" maxValue="1"/>
    </cacheField>
    <cacheField name="Total Government Extractives Revenue (US$)" numFmtId="0">
      <sharedItems containsString="0" containsBlank="1" containsNumber="1" minValue="1032767" maxValue="102571449547"/>
    </cacheField>
    <cacheField name="Source for Total Government Extractives Revenues" numFmtId="0">
      <sharedItems containsBlank="1"/>
    </cacheField>
    <cacheField name="Government's share" numFmtId="0">
      <sharedItems containsBlank="1" containsMixedTypes="1" containsNumber="1" minValue="3.416374020173066E-6" maxValue="9371.601396987875"/>
    </cacheField>
    <cacheField name="Currency" numFmtId="0">
      <sharedItems containsBlank="1"/>
    </cacheField>
    <cacheField name="Exchange Rate Utilized, US$1:LC" numFmtId="0">
      <sharedItems containsBlank="1" containsMixedTypes="1" containsNumber="1" minValue="0.79" maxValue="9078"/>
    </cacheField>
    <cacheField name="Disaggregation" numFmtId="0">
      <sharedItems containsBlank="1"/>
    </cacheField>
    <cacheField name="In-kind Payment Volumes" numFmtId="0">
      <sharedItems containsBlank="1" containsMixedTypes="1" containsNumber="1" minValue="3008412" maxValue="1346389800"/>
    </cacheField>
    <cacheField name="In-kind Payment Value (US$)" numFmtId="0">
      <sharedItems containsBlank="1" containsMixedTypes="1" containsNumber="1" minValue="31041.01489624293" maxValue="43123931000"/>
    </cacheField>
    <cacheField name="Nature of Subsidy" numFmtId="0">
      <sharedItems containsBlank="1"/>
    </cacheField>
    <cacheField name="Amount of Subsidy (US$)" numFmtId="0">
      <sharedItems containsString="0" containsBlank="1" containsNumber="1" minValue="1460000" maxValue="10176949510"/>
    </cacheField>
    <cacheField name="Number of Companies Requested to Report" numFmtId="0">
      <sharedItems containsBlank="1" containsMixedTypes="1" containsNumber="1" containsInteger="1" minValue="0" maxValue="253"/>
    </cacheField>
    <cacheField name="Companies Requested to Report" numFmtId="0">
      <sharedItems containsBlank="1" longText="1"/>
    </cacheField>
    <cacheField name="Number of Reporting Companies" numFmtId="0">
      <sharedItems containsBlank="1" containsMixedTypes="1" containsNumber="1" containsInteger="1" minValue="0" maxValue="240"/>
    </cacheField>
    <cacheField name="Publication Date" numFmtId="0">
      <sharedItems containsDate="1" containsBlank="1" containsMixedTypes="1" minDate="2011-12-01T00:00:00" maxDate="2014-05-02T00:00:00"/>
    </cacheField>
    <cacheField name="Updated Date" numFmtId="0">
      <sharedItems containsDate="1" containsBlank="1" containsMixedTypes="1" minDate="2014-09-02T00:00:00" maxDate="2015-03-12T00:00:00"/>
    </cacheField>
    <cacheField name="Name of the Reconciler" numFmtId="0">
      <sharedItems containsBlank="1"/>
    </cacheField>
    <cacheField name="EITI Report" numFmtId="0">
      <sharedItems containsBlank="1"/>
    </cacheField>
    <cacheField name="Page of the Report" numFmtId="0">
      <sharedItems containsBlank="1" containsMixedTypes="1" containsNumber="1" containsInteger="1" minValue="3" maxValue="58"/>
    </cacheField>
    <cacheField name="Comments" numFmtId="0">
      <sharedItems containsBlank="1" longText="1"/>
    </cacheField>
    <cacheField name="Total government revenues (US$)" numFmtId="0">
      <sharedItems containsBlank="1"/>
    </cacheField>
    <cacheField name="Extractive revenues (%  total revenues)" numFmtId="0">
      <sharedItems containsNonDate="0" containsString="0" containsBlank="1"/>
    </cacheField>
    <cacheField name="Extractive exports" numFmtId="0">
      <sharedItems containsNonDate="0" containsString="0" containsBlank="1"/>
    </cacheField>
    <cacheField name="Total exports" numFmtId="0">
      <sharedItems containsNonDate="0" containsString="0" containsBlank="1"/>
    </cacheField>
    <cacheField name="Extractive exports (% total exports)" numFmtId="0">
      <sharedItems containsNonDate="0" containsString="0" containsBlank="1"/>
    </cacheField>
    <cacheField name="GDP" numFmtId="0">
      <sharedItems containsNonDate="0" containsString="0" containsBlank="1"/>
    </cacheField>
    <cacheField name="Extractive revenues (% GDP)" numFmtId="0">
      <sharedItems containsNonDate="0" containsString="0" containsBlank="1"/>
    </cacheField>
    <cacheField name="ODA" numFmtId="0">
      <sharedItems containsNonDate="0" containsString="0" containsBlank="1"/>
    </cacheField>
    <cacheField name="Extractive revenues (% ODA)" numFmtId="0">
      <sharedItems containsNonDate="0" containsString="0" containsBlank="1"/>
    </cacheField>
    <cacheField name="Health budget" numFmtId="0">
      <sharedItems containsNonDate="0" containsString="0" containsBlank="1"/>
    </cacheField>
    <cacheField name="Extractive revenues (% health budget)" numFmtId="0">
      <sharedItems containsNonDate="0" containsString="0" containsBlank="1"/>
    </cacheField>
    <cacheField name="Education budget " numFmtId="0">
      <sharedItems containsNonDate="0" containsString="0" containsBlank="1"/>
    </cacheField>
    <cacheField name="Extractive revenues (% education budget)" numFmtId="0">
      <sharedItems containsNonDate="0" containsString="0" containsBlank="1"/>
    </cacheField>
    <cacheField name="TI Corruption Perception Index" numFmtId="0">
      <sharedItems containsNonDate="0" containsString="0" containsBlank="1"/>
    </cacheField>
    <cacheField name="Poverty Headcount (%pop) - WB" numFmtId="0">
      <sharedItems containsNonDate="0" containsString="0" containsBlank="1"/>
    </cacheField>
    <cacheField name="Life expectancy at birth - WB" numFmtId="0">
      <sharedItems containsNonDate="0" containsString="0" containsBlank="1"/>
    </cacheField>
    <cacheField name="Infant mortality - WB" numFmtId="0">
      <sharedItems containsNonDate="0" containsString="0" containsBlank="1"/>
    </cacheField>
    <cacheField name="Primary school enrolment - WB" numFmtId="0">
      <sharedItems containsNonDate="0" containsString="0" containsBlank="1"/>
    </cacheField>
    <cacheField name="RGI score (2010 and 2013)" numFmtId="0">
      <sharedItems containsNonDate="0" containsString="0" containsBlank="1"/>
    </cacheField>
    <cacheField name="WGI score"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134">
  <r>
    <x v="0"/>
    <n v="2008"/>
    <x v="0"/>
    <s v="South Asia"/>
    <s v="http://aeiti.af/"/>
    <s v="Mining"/>
    <s v="yes"/>
    <s v="no"/>
    <s v="no"/>
    <s v="Total Mining"/>
    <s v="Total"/>
    <s v="Total Mining"/>
    <m/>
    <m/>
    <m/>
    <m/>
    <m/>
    <m/>
    <m/>
    <m/>
    <m/>
    <n v="86293961.474685758"/>
    <s v="Profits/Taxes, Royalties, Bonuses, Licenses and concessions, Other significant benefits to government"/>
    <s v="Does not include payments made in-kind"/>
    <s v="-"/>
    <n v="89690970"/>
    <n v="89986645"/>
    <m/>
    <m/>
    <m/>
    <n v="1.0393655415426808"/>
    <s v="Afghanistan Afghani"/>
    <n v="50.39"/>
    <s v="Disaggregated by revenue stream, Disaggregated by company, Disaggregated by company and revenue stream"/>
    <m/>
    <m/>
    <m/>
    <m/>
    <n v="5"/>
    <s v="Afghan Investment Company (AIC), Brotheran Khoshak (Khoshak Brothers), MJAM MCC-JCL Aynak Minerals Company Ltd, North Coal Enterprise (NCE), Wens Logistics"/>
    <n v="4"/>
    <s v="August 2012"/>
    <d v="2014-09-02T00:00:00"/>
    <s v="Moore Stephens"/>
    <s v="http://eiti.org/files/Afghanistan-2008-2009-EITI-Report.pdf"/>
    <n v="10"/>
    <s v="The report covers the fiscal period 1387 (21 March 2008 – 20 March 2009).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repancies are not included in the final figures, but there is insufficent information to add these retrospectively. The North Coal Enterprise (NCE) is a SOC."/>
    <m/>
    <m/>
    <m/>
    <m/>
    <m/>
    <m/>
    <m/>
    <m/>
    <m/>
    <m/>
    <m/>
    <m/>
    <m/>
    <m/>
    <m/>
    <m/>
    <m/>
    <m/>
    <m/>
    <m/>
  </r>
  <r>
    <x v="0"/>
    <n v="2008"/>
    <x v="0"/>
    <s v="South Asia"/>
    <m/>
    <s v="Mining"/>
    <s v="yes"/>
    <s v="no"/>
    <s v="no"/>
    <s v="Cement"/>
    <s v="detailed"/>
    <s v="detailed Mining"/>
    <n v="36044.657534246573"/>
    <m/>
    <m/>
    <m/>
    <m/>
    <s v="t"/>
    <n v="102.35068493150685"/>
    <s v="US$/t"/>
    <s v="Volume from USGS Mineral Yearbook 2012, adjusted to account for the fiscal year. Price from USGS Mineral Commodity Summary 2010, and is the average mill price for cement in the US, adjusted to account for the fiscal year."/>
    <n v="3689195.3867517356"/>
    <m/>
    <m/>
    <m/>
    <m/>
    <m/>
    <m/>
    <m/>
    <m/>
    <m/>
    <m/>
    <m/>
    <m/>
    <m/>
    <m/>
    <m/>
    <m/>
    <n v="1"/>
    <s v="Afghan investment company (AIC)"/>
    <n v="1"/>
    <m/>
    <m/>
    <m/>
    <m/>
    <m/>
    <m/>
    <m/>
    <m/>
    <m/>
    <m/>
    <m/>
    <m/>
    <m/>
    <m/>
    <m/>
    <m/>
    <m/>
    <m/>
    <m/>
    <m/>
    <m/>
    <m/>
    <m/>
    <m/>
    <m/>
    <m/>
  </r>
  <r>
    <x v="0"/>
    <n v="2008"/>
    <x v="0"/>
    <s v="South Asia"/>
    <m/>
    <s v="Mining"/>
    <s v="yes"/>
    <s v="no"/>
    <s v="no"/>
    <s v="Chromite"/>
    <s v="detailed"/>
    <s v="detailed Mining"/>
    <n v="6543.2876712328762"/>
    <m/>
    <m/>
    <m/>
    <m/>
    <s v="t"/>
    <n v="171.36712328767123"/>
    <s v="US$/t"/>
    <s v="Volume from USGS Mineral Yearbook 2012, adjusted to account for the fiscal year. Price from USGS Mineral Commodity Summary 2012, and is the price in the US for the gross mass of chromite ore, adjusted to account for the fiscal year."/>
    <n v="1121304.3850628636"/>
    <m/>
    <m/>
    <m/>
    <m/>
    <m/>
    <m/>
    <m/>
    <m/>
    <m/>
    <m/>
    <m/>
    <m/>
    <m/>
    <m/>
    <m/>
    <m/>
    <m/>
    <m/>
    <m/>
    <m/>
    <m/>
    <m/>
    <m/>
    <m/>
    <m/>
    <m/>
    <m/>
    <m/>
    <m/>
    <m/>
    <m/>
    <m/>
    <m/>
    <m/>
    <m/>
    <m/>
    <m/>
    <m/>
    <m/>
    <m/>
    <m/>
    <m/>
    <m/>
    <m/>
    <m/>
  </r>
  <r>
    <x v="0"/>
    <n v="2008"/>
    <x v="0"/>
    <s v="South Asia"/>
    <m/>
    <s v="Mining"/>
    <s v="yes"/>
    <s v="no"/>
    <s v="no"/>
    <s v="Coal"/>
    <s v="detailed"/>
    <s v="detailed Mining"/>
    <n v="408292.72478756169"/>
    <m/>
    <m/>
    <m/>
    <m/>
    <s v="t"/>
    <n v="123.9608219178082"/>
    <s v="US$/t"/>
    <s v="Volume from EIA, adjusted to account for the fiscal year. Price from BPSR 2014, and is an average of the American Central Appalachian, Asian and Northwest Europe marker/spot prices, adjusted to account for the fiscal year."/>
    <n v="50612301.74772761"/>
    <m/>
    <m/>
    <m/>
    <m/>
    <m/>
    <m/>
    <m/>
    <m/>
    <m/>
    <m/>
    <m/>
    <m/>
    <m/>
    <m/>
    <m/>
    <m/>
    <n v="3"/>
    <s v="Afghan Investment Company (AIC), Brotheran Khoshak (Khoshak Brothers), North Coal Enterprise (NCE)"/>
    <n v="3"/>
    <m/>
    <m/>
    <m/>
    <m/>
    <m/>
    <m/>
    <m/>
    <m/>
    <m/>
    <m/>
    <m/>
    <m/>
    <m/>
    <m/>
    <m/>
    <m/>
    <m/>
    <m/>
    <m/>
    <m/>
    <m/>
    <m/>
    <m/>
    <m/>
    <m/>
    <m/>
  </r>
  <r>
    <x v="0"/>
    <n v="2008"/>
    <x v="0"/>
    <s v="South Asia"/>
    <m/>
    <s v="Mining"/>
    <s v="yes"/>
    <s v="no"/>
    <s v="no"/>
    <s v="Copper"/>
    <s v="detailed"/>
    <s v="detailed Mining"/>
    <n v="0"/>
    <m/>
    <m/>
    <m/>
    <m/>
    <s v="t"/>
    <m/>
    <m/>
    <s v="Volume from USGS Mineral Yearbook 2012, adjusted to account for the fiscal year"/>
    <n v="0"/>
    <m/>
    <m/>
    <m/>
    <n v="80174593.173248664"/>
    <n v="80192178.606866434"/>
    <m/>
    <m/>
    <m/>
    <m/>
    <m/>
    <m/>
    <m/>
    <m/>
    <m/>
    <m/>
    <m/>
    <n v="1"/>
    <s v="MJAM MCC-JCL Aynak Minerals Company Ltd"/>
    <n v="1"/>
    <m/>
    <m/>
    <m/>
    <m/>
    <n v="28"/>
    <m/>
    <m/>
    <m/>
    <m/>
    <m/>
    <m/>
    <m/>
    <m/>
    <m/>
    <m/>
    <m/>
    <m/>
    <m/>
    <m/>
    <m/>
    <m/>
    <m/>
    <m/>
    <m/>
    <m/>
    <m/>
  </r>
  <r>
    <x v="0"/>
    <n v="2008"/>
    <x v="0"/>
    <s v="South Asia"/>
    <m/>
    <s v="Mining"/>
    <s v="yes"/>
    <s v="no"/>
    <s v="no"/>
    <s v="Gypsum"/>
    <s v="detailed"/>
    <s v="detailed Mining"/>
    <n v="48202.191780821915"/>
    <m/>
    <m/>
    <m/>
    <m/>
    <s v="t"/>
    <n v="24.805890410958902"/>
    <s v="US$/t"/>
    <s v="Volume from USGS Mineral Yearbook 2012, adjusted to account for the fiscal year. Price from USGS Mineral Commodity Summary 2013, and is the average f.o.b. price for crude and calcined products, adjusted to account for the fiscal year."/>
    <n v="1195698.2868830923"/>
    <m/>
    <m/>
    <m/>
    <m/>
    <m/>
    <m/>
    <m/>
    <m/>
    <m/>
    <m/>
    <m/>
    <m/>
    <m/>
    <m/>
    <m/>
    <m/>
    <m/>
    <m/>
    <m/>
    <m/>
    <m/>
    <m/>
    <m/>
    <m/>
    <m/>
    <m/>
    <m/>
    <m/>
    <m/>
    <m/>
    <m/>
    <m/>
    <m/>
    <m/>
    <m/>
    <m/>
    <m/>
    <m/>
    <m/>
    <m/>
    <m/>
    <m/>
    <m/>
    <m/>
    <m/>
  </r>
  <r>
    <x v="0"/>
    <n v="2008"/>
    <x v="0"/>
    <s v="South Asia"/>
    <m/>
    <s v="Mining"/>
    <s v="yes"/>
    <s v="no"/>
    <s v="no"/>
    <s v="Salt (rock)"/>
    <s v="detailed"/>
    <s v="detailed Mining"/>
    <n v="162983.28767123289"/>
    <m/>
    <n v="68038.855500000005"/>
    <m/>
    <m/>
    <s v="t"/>
    <n v="32.405095890410962"/>
    <s v="US$/t"/>
    <s v="Volume from USGS Mineral Yearbook 2012, adjusted to account for the fiscal year. Price from USGS Mineral Commodity Summary 2013, and is the average f.o.b. mine and plant price for bulk, pellets and packaged rock salt, adjusted to account for the fiscal year."/>
    <n v="5281489.0655207364"/>
    <m/>
    <m/>
    <m/>
    <m/>
    <m/>
    <m/>
    <m/>
    <m/>
    <m/>
    <m/>
    <m/>
    <m/>
    <m/>
    <m/>
    <m/>
    <m/>
    <n v="1"/>
    <s v="Wens Logistics"/>
    <m/>
    <m/>
    <m/>
    <m/>
    <m/>
    <n v="7"/>
    <m/>
    <m/>
    <m/>
    <m/>
    <m/>
    <m/>
    <m/>
    <m/>
    <m/>
    <m/>
    <m/>
    <m/>
    <m/>
    <m/>
    <m/>
    <m/>
    <m/>
    <m/>
    <m/>
    <m/>
    <m/>
  </r>
  <r>
    <x v="0"/>
    <n v="2008"/>
    <x v="0"/>
    <s v="South Asia"/>
    <m/>
    <s v="Mining"/>
    <s v="yes"/>
    <s v="no"/>
    <s v="no"/>
    <s v="Talc"/>
    <s v="detailed"/>
    <s v="detailed Mining"/>
    <n v="200000"/>
    <m/>
    <m/>
    <m/>
    <m/>
    <s v="t"/>
    <n v="121.96986301369864"/>
    <s v="US$/t"/>
    <s v="Volume from USGS Mineral Yearbook 2012, adjusted to account for the fiscal year. Price from USGS Mineral Commodity Summary 2013, and is the price for the processed product in the US, adjusted to account for the fiscal year."/>
    <n v="24393972.602739729"/>
    <m/>
    <m/>
    <m/>
    <m/>
    <m/>
    <m/>
    <m/>
    <m/>
    <m/>
    <m/>
    <m/>
    <m/>
    <m/>
    <m/>
    <m/>
    <m/>
    <m/>
    <m/>
    <m/>
    <m/>
    <m/>
    <m/>
    <m/>
    <m/>
    <m/>
    <m/>
    <m/>
    <m/>
    <m/>
    <m/>
    <m/>
    <m/>
    <m/>
    <m/>
    <m/>
    <m/>
    <m/>
    <m/>
    <m/>
    <m/>
    <m/>
    <m/>
    <m/>
    <m/>
    <m/>
  </r>
  <r>
    <x v="1"/>
    <n v="2009"/>
    <x v="0"/>
    <s v="South Asia"/>
    <s v="http://aeiti.af/"/>
    <s v="Mining"/>
    <s v="yes"/>
    <s v="no"/>
    <s v="no"/>
    <s v="Total Mining"/>
    <s v="Total"/>
    <s v="Total Mining"/>
    <m/>
    <m/>
    <m/>
    <m/>
    <m/>
    <m/>
    <m/>
    <m/>
    <m/>
    <n v="80652289.499833688"/>
    <s v="Profits/Taxes, Royalties, Bonuses, Licenses and concessions, Other significant benefits to government"/>
    <s v="Does not include payments made in-kind"/>
    <s v="-"/>
    <n v="7788994"/>
    <n v="13964717"/>
    <m/>
    <m/>
    <m/>
    <n v="9.6574989356204968E-2"/>
    <s v="Afghanistan Afghani"/>
    <n v="45.7"/>
    <s v="Disaggregated by revenue stream, Disaggregated by company, Disaggregated by company and revenue stream"/>
    <m/>
    <m/>
    <m/>
    <m/>
    <n v="6"/>
    <s v="Afghan Investment Company (AIC), Brotheran Khoshak (Khoshak Brothers), Mesaq Sharq, MJAM MCC-JCL Aynak Minerals Company Ltd, North Coal Enterprise (NCE), Wens Logistics"/>
    <n v="5"/>
    <s v="August 2012"/>
    <d v="2014-09-03T00:00:00"/>
    <s v="Moore Stephens"/>
    <s v="http://eiti.org/files/Afghanistan-2008-2009-EITI-Report.pdf"/>
    <n v="14"/>
    <s v="The report covers the fiscal period 1388 (21 March 2009 – 20 March 2010).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erpancies are not included in the final figures, but there is insufficent information to add these retrospectively. The North Coal Enterprise (NCE) is a SOC."/>
    <m/>
    <m/>
    <m/>
    <m/>
    <m/>
    <m/>
    <m/>
    <m/>
    <m/>
    <m/>
    <m/>
    <m/>
    <m/>
    <m/>
    <m/>
    <m/>
    <m/>
    <m/>
    <m/>
    <m/>
  </r>
  <r>
    <x v="1"/>
    <n v="2009"/>
    <x v="0"/>
    <s v="South Asia"/>
    <m/>
    <s v="Mining"/>
    <s v="yes"/>
    <s v="no"/>
    <s v="no"/>
    <s v="Cement"/>
    <s v="detailed"/>
    <s v="detailed Mining"/>
    <n v="32387.397260273974"/>
    <m/>
    <m/>
    <m/>
    <m/>
    <s v="t"/>
    <n v="97.484931506849307"/>
    <s v="US$/t"/>
    <s v="Volume from USGS Mineral Yearbook 2012, adjusted to account for the fiscal year. Price from USGS Mineral Commodity Summary 2014, and is the average mill price for cement in the US, adjusted to account for the fiscal year."/>
    <n v="3157283.2036029273"/>
    <m/>
    <m/>
    <m/>
    <m/>
    <m/>
    <m/>
    <m/>
    <m/>
    <m/>
    <m/>
    <m/>
    <m/>
    <m/>
    <m/>
    <m/>
    <m/>
    <n v="1"/>
    <s v="Afghan investment company (AIC)"/>
    <n v="1"/>
    <m/>
    <m/>
    <m/>
    <m/>
    <m/>
    <m/>
    <m/>
    <m/>
    <m/>
    <m/>
    <m/>
    <m/>
    <m/>
    <m/>
    <m/>
    <m/>
    <m/>
    <m/>
    <m/>
    <m/>
    <m/>
    <m/>
    <m/>
    <m/>
    <m/>
    <m/>
  </r>
  <r>
    <x v="1"/>
    <n v="2009"/>
    <x v="0"/>
    <s v="South Asia"/>
    <m/>
    <s v="Mining"/>
    <s v="yes"/>
    <s v="no"/>
    <s v="no"/>
    <s v="Chromite"/>
    <s v="detailed"/>
    <s v="detailed Mining"/>
    <n v="6489.4054794520553"/>
    <m/>
    <m/>
    <m/>
    <m/>
    <s v="t"/>
    <n v="227"/>
    <s v="US$/t"/>
    <s v="Volume from USGS Mineral Yearbook 2012, adjusted to account for the fiscal year. Price from USGS Mineral Commodity Summary 2013, and is the price in the US for the gross mass of chromite ore, adjusted to account for the fiscal year."/>
    <n v="1473095.0438356164"/>
    <m/>
    <m/>
    <m/>
    <m/>
    <m/>
    <m/>
    <m/>
    <m/>
    <m/>
    <m/>
    <m/>
    <m/>
    <m/>
    <m/>
    <m/>
    <m/>
    <m/>
    <m/>
    <m/>
    <m/>
    <m/>
    <m/>
    <m/>
    <m/>
    <m/>
    <m/>
    <m/>
    <m/>
    <m/>
    <m/>
    <m/>
    <m/>
    <m/>
    <m/>
    <m/>
    <m/>
    <m/>
    <m/>
    <m/>
    <m/>
    <m/>
    <m/>
    <m/>
    <m/>
    <m/>
  </r>
  <r>
    <x v="1"/>
    <n v="2009"/>
    <x v="0"/>
    <s v="South Asia"/>
    <m/>
    <s v="Mining"/>
    <s v="yes"/>
    <s v="no"/>
    <s v="no"/>
    <s v="Coal"/>
    <s v="detailed"/>
    <s v="detailed Mining"/>
    <n v="588625.77526997263"/>
    <m/>
    <m/>
    <m/>
    <m/>
    <s v="t"/>
    <n v="76.270876712328757"/>
    <s v="US$/t"/>
    <s v="Volume from EIA, adjusted to account for the fiscal year. Price from BPSR 2014, and is an average of the American Central Appalachian, Asian and Northwest Europe marker/spot prices, adjusted to account for the fiscal year."/>
    <n v="44895003.935315013"/>
    <m/>
    <m/>
    <m/>
    <m/>
    <m/>
    <m/>
    <m/>
    <m/>
    <m/>
    <m/>
    <m/>
    <m/>
    <m/>
    <m/>
    <m/>
    <m/>
    <n v="4"/>
    <s v="Afghan Investment Company (AIC), Brotheran Khoshak (Khoshak Brothers), North Coal Enterprise (NCE)"/>
    <n v="4"/>
    <m/>
    <m/>
    <m/>
    <m/>
    <m/>
    <m/>
    <m/>
    <m/>
    <m/>
    <m/>
    <m/>
    <m/>
    <m/>
    <m/>
    <m/>
    <m/>
    <m/>
    <m/>
    <m/>
    <m/>
    <m/>
    <m/>
    <m/>
    <m/>
    <m/>
    <m/>
  </r>
  <r>
    <x v="1"/>
    <n v="2009"/>
    <x v="0"/>
    <s v="South Asia"/>
    <m/>
    <s v="Mining"/>
    <s v="yes"/>
    <s v="no"/>
    <s v="no"/>
    <s v="Copper"/>
    <s v="detailed"/>
    <s v="detailed Mining"/>
    <n v="0"/>
    <m/>
    <m/>
    <m/>
    <m/>
    <s v="t"/>
    <m/>
    <m/>
    <s v="Volume from USGS Mineral Yearbook 2012, adjusted to account for the fiscal year"/>
    <n v="0"/>
    <m/>
    <m/>
    <m/>
    <n v="125043.85"/>
    <n v="139146.85"/>
    <m/>
    <m/>
    <m/>
    <m/>
    <m/>
    <m/>
    <m/>
    <m/>
    <m/>
    <m/>
    <m/>
    <n v="1"/>
    <s v="MJAM MCC-JCL Aynak Minerals Company Ltd"/>
    <n v="1"/>
    <m/>
    <m/>
    <m/>
    <m/>
    <n v="29"/>
    <m/>
    <m/>
    <m/>
    <m/>
    <m/>
    <m/>
    <m/>
    <m/>
    <m/>
    <m/>
    <m/>
    <m/>
    <m/>
    <m/>
    <m/>
    <m/>
    <m/>
    <m/>
    <m/>
    <m/>
    <m/>
  </r>
  <r>
    <x v="1"/>
    <n v="2009"/>
    <x v="0"/>
    <s v="South Asia"/>
    <m/>
    <s v="Mining"/>
    <s v="yes"/>
    <s v="no"/>
    <s v="no"/>
    <s v="Gypsum"/>
    <s v="detailed"/>
    <s v="detailed Mining"/>
    <n v="50014.520547945198"/>
    <m/>
    <m/>
    <m/>
    <m/>
    <s v="t"/>
    <n v="14.081561643835617"/>
    <s v="US$/t"/>
    <s v="Volume from USGS Mineral Yearbook 2012, adjusted to account for the fiscal year. Price from USGS Mineral Commodity Summary 2013, and is the average f.o.b. price for crude and calcined products, adjusted to account for the fiscal year."/>
    <n v="704282.55418277346"/>
    <m/>
    <m/>
    <m/>
    <m/>
    <m/>
    <m/>
    <m/>
    <m/>
    <m/>
    <m/>
    <m/>
    <m/>
    <m/>
    <m/>
    <m/>
    <m/>
    <m/>
    <m/>
    <m/>
    <m/>
    <m/>
    <m/>
    <m/>
    <m/>
    <m/>
    <m/>
    <m/>
    <m/>
    <m/>
    <m/>
    <m/>
    <m/>
    <m/>
    <m/>
    <m/>
    <m/>
    <m/>
    <m/>
    <m/>
    <m/>
    <m/>
    <m/>
    <m/>
    <m/>
    <m/>
  </r>
  <r>
    <x v="1"/>
    <n v="2009"/>
    <x v="0"/>
    <s v="South Asia"/>
    <m/>
    <s v="Mining"/>
    <s v="yes"/>
    <s v="no"/>
    <s v="no"/>
    <s v="Salt (rock)"/>
    <s v="detailed"/>
    <s v="detailed Mining"/>
    <n v="181555.34246575343"/>
    <m/>
    <n v="68038.855500000005"/>
    <m/>
    <m/>
    <s v="t"/>
    <n v="35.9912602739726"/>
    <s v="US$/t"/>
    <s v="Volume from USGS Mineral Yearbook 2012, adjusted to account for the fiscal year. Price from USGS Mineral Commodity Summary 2013, and is the average f.o.b. mine and plant price for bulk, pellets and packaged rock salt, adjusted to account for the fiscal year."/>
    <n v="6534405.5848151622"/>
    <m/>
    <m/>
    <m/>
    <m/>
    <m/>
    <m/>
    <m/>
    <m/>
    <m/>
    <m/>
    <m/>
    <m/>
    <m/>
    <m/>
    <m/>
    <m/>
    <n v="1"/>
    <s v="Wens Logistics"/>
    <m/>
    <m/>
    <m/>
    <m/>
    <m/>
    <n v="7"/>
    <m/>
    <m/>
    <m/>
    <m/>
    <m/>
    <m/>
    <m/>
    <m/>
    <m/>
    <m/>
    <m/>
    <m/>
    <m/>
    <m/>
    <m/>
    <m/>
    <m/>
    <m/>
    <m/>
    <m/>
    <m/>
  </r>
  <r>
    <x v="1"/>
    <n v="2009"/>
    <x v="0"/>
    <s v="South Asia"/>
    <m/>
    <s v="Mining"/>
    <s v="yes"/>
    <s v="no"/>
    <s v="no"/>
    <s v="Talc"/>
    <s v="detailed"/>
    <s v="detailed Mining"/>
    <n v="200000"/>
    <m/>
    <m/>
    <m/>
    <m/>
    <s v="t"/>
    <n v="119.44109589041096"/>
    <s v="US$/t"/>
    <s v="Volume from USGS Mineral Yearbook 2012, adjusted to account for the fiscal year. Price from USGS Mineral Commodity Summary 2013, and is the price for the processed product in the US, adjusted to account for the fiscal year."/>
    <n v="23888219.178082194"/>
    <m/>
    <m/>
    <m/>
    <m/>
    <m/>
    <m/>
    <m/>
    <m/>
    <m/>
    <m/>
    <m/>
    <m/>
    <m/>
    <m/>
    <m/>
    <m/>
    <m/>
    <m/>
    <m/>
    <m/>
    <m/>
    <m/>
    <m/>
    <m/>
    <m/>
    <m/>
    <m/>
    <m/>
    <m/>
    <m/>
    <m/>
    <m/>
    <m/>
    <m/>
    <m/>
    <m/>
    <m/>
    <m/>
    <m/>
    <m/>
    <m/>
    <m/>
    <m/>
    <m/>
    <m/>
  </r>
  <r>
    <x v="2"/>
    <n v="2010"/>
    <x v="0"/>
    <s v="South Asia"/>
    <s v="http://aeiti.af/"/>
    <s v="Mining"/>
    <s v="yes"/>
    <s v="no"/>
    <s v="no"/>
    <s v="Total Mining"/>
    <s v="Total"/>
    <s v="Total Mining"/>
    <m/>
    <m/>
    <m/>
    <m/>
    <m/>
    <m/>
    <m/>
    <m/>
    <m/>
    <n v="116777080.83738995"/>
    <s v="Profits/Taxes, Royalties, Licenses and concessions, Other significant benefits to government"/>
    <s v="Does not include payments made in-kind"/>
    <s v="-"/>
    <n v="23383829.469999999"/>
    <n v="24969535.890000001"/>
    <m/>
    <m/>
    <m/>
    <n v="0.20024331232051926"/>
    <s v="Afghanistan Afghani"/>
    <n v="45.7"/>
    <s v="Disaggregated by revenue stream, Disaggregated by company, Disaggregated by company and revenue stream"/>
    <m/>
    <m/>
    <m/>
    <m/>
    <n v="6"/>
    <s v="Afghan Investment Company (AIC), Brotheran Khoshak (Khoshak Brothers), Mesaq Sharq, MJAM MCC-JCL Aynak Minerals Company Ltd, North Coal Enterprise (NCE), Wens Logistics"/>
    <n v="5"/>
    <s v="October 2012"/>
    <d v="2014-09-03T00:00:00"/>
    <s v="Moore Stephens"/>
    <s v="http://eiti.org/files/Afghanistan-2010-2011-EITI-Report.pdf"/>
    <n v="10"/>
    <s v="The report covers the fiscal period 1389 (21 March 2010 – 20 March 2011).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erpancies are not included in the final figures, but there is insufficent information to add these retrospectively. The North Coal Enterprise (NCE) is a SOC."/>
    <m/>
    <m/>
    <m/>
    <m/>
    <m/>
    <m/>
    <m/>
    <m/>
    <m/>
    <m/>
    <m/>
    <m/>
    <m/>
    <m/>
    <m/>
    <m/>
    <m/>
    <m/>
    <m/>
    <m/>
  </r>
  <r>
    <x v="2"/>
    <n v="2010"/>
    <x v="0"/>
    <s v="South Asia"/>
    <m/>
    <s v="Mining"/>
    <s v="yes"/>
    <s v="no"/>
    <s v="no"/>
    <s v="Cement"/>
    <s v="detailed"/>
    <s v="detailed Mining"/>
    <n v="36119.452054794521"/>
    <m/>
    <m/>
    <m/>
    <m/>
    <s v="t"/>
    <n v="91.458904109589042"/>
    <s v="US$/t"/>
    <s v="Volume from USGS Mineral Yearbook 2012, adjusted to account for the fiscal year. Price from USGS Mineral Commodity Summary 2014, and is the average mill price for cement in the US, adjusted to account for the fiscal year."/>
    <n v="3303445.5019703512"/>
    <m/>
    <m/>
    <m/>
    <m/>
    <m/>
    <m/>
    <m/>
    <m/>
    <m/>
    <m/>
    <m/>
    <m/>
    <m/>
    <m/>
    <m/>
    <m/>
    <n v="1"/>
    <s v="Afghan investment company (AIC)"/>
    <n v="1"/>
    <m/>
    <m/>
    <m/>
    <m/>
    <m/>
    <m/>
    <m/>
    <m/>
    <m/>
    <m/>
    <m/>
    <m/>
    <m/>
    <m/>
    <m/>
    <m/>
    <m/>
    <m/>
    <m/>
    <m/>
    <m/>
    <m/>
    <m/>
    <m/>
    <m/>
    <m/>
  </r>
  <r>
    <x v="2"/>
    <n v="2010"/>
    <x v="0"/>
    <s v="South Asia"/>
    <m/>
    <s v="Mining"/>
    <s v="yes"/>
    <s v="no"/>
    <s v="no"/>
    <s v="Chromite"/>
    <s v="detailed"/>
    <s v="detailed Mining"/>
    <n v="5830.2410958904111"/>
    <m/>
    <m/>
    <m/>
    <m/>
    <s v="t"/>
    <n v="223.75342465753425"/>
    <s v="US$/t"/>
    <s v="Volume from USGS Mineral Yearbook 2012, adjusted to account for the fiscal year. Price from USGS Mineral Commodity Summary 2013, and is the price in the US for the gross mass of chromite ore, adjusted to account for the fiscal year."/>
    <n v="1304536.4117845751"/>
    <m/>
    <m/>
    <m/>
    <m/>
    <m/>
    <m/>
    <m/>
    <m/>
    <m/>
    <m/>
    <m/>
    <m/>
    <m/>
    <m/>
    <m/>
    <m/>
    <m/>
    <m/>
    <m/>
    <m/>
    <m/>
    <m/>
    <m/>
    <m/>
    <m/>
    <m/>
    <m/>
    <m/>
    <m/>
    <m/>
    <m/>
    <m/>
    <m/>
    <m/>
    <m/>
    <m/>
    <m/>
    <m/>
    <m/>
    <m/>
    <m/>
    <m/>
    <m/>
    <m/>
    <m/>
  </r>
  <r>
    <x v="2"/>
    <n v="2010"/>
    <x v="0"/>
    <s v="South Asia"/>
    <m/>
    <s v="Mining"/>
    <s v="yes"/>
    <s v="no"/>
    <s v="no"/>
    <s v="Coal"/>
    <s v="detailed"/>
    <s v="detailed Mining"/>
    <n v="782949.06294120545"/>
    <m/>
    <m/>
    <m/>
    <m/>
    <s v="t"/>
    <n v="94.546712328767114"/>
    <s v="US$/t"/>
    <s v="Volume from EIA, adjusted to account for the fiscal year. Price from BPSR 2014, and is an average of the American Central Appalachian, Asian and Northwest Europe marker/spot prices, adjusted to account for the fiscal year."/>
    <n v="74025259.821979925"/>
    <m/>
    <m/>
    <m/>
    <m/>
    <m/>
    <m/>
    <m/>
    <m/>
    <m/>
    <m/>
    <m/>
    <m/>
    <m/>
    <m/>
    <m/>
    <m/>
    <n v="4"/>
    <s v="Afghan Investment Company (AIC), Brotheran Khoshak (Khoshak Brothers), Mesaq Sharq, North Coal Enterprise (NCE)"/>
    <n v="4"/>
    <m/>
    <m/>
    <m/>
    <m/>
    <m/>
    <m/>
    <m/>
    <m/>
    <m/>
    <m/>
    <m/>
    <m/>
    <m/>
    <m/>
    <m/>
    <m/>
    <m/>
    <m/>
    <m/>
    <m/>
    <m/>
    <m/>
    <m/>
    <m/>
    <m/>
    <m/>
  </r>
  <r>
    <x v="2"/>
    <n v="2010"/>
    <x v="0"/>
    <s v="South Asia"/>
    <m/>
    <s v="Mining"/>
    <s v="yes"/>
    <s v="no"/>
    <s v="no"/>
    <s v="Copper"/>
    <s v="detailed"/>
    <s v="detailed Mining"/>
    <n v="0"/>
    <m/>
    <m/>
    <m/>
    <m/>
    <s v="t"/>
    <m/>
    <m/>
    <s v="Volume from USGS Mineral Yearbook 2012, adjusted to account for the fiscal year"/>
    <n v="0"/>
    <m/>
    <m/>
    <m/>
    <n v="629151.18000000005"/>
    <n v="2058584.22"/>
    <m/>
    <m/>
    <m/>
    <m/>
    <m/>
    <m/>
    <m/>
    <m/>
    <m/>
    <m/>
    <m/>
    <n v="1"/>
    <s v="MJAM MCC-JCL Aynak Minerals Company Ltd"/>
    <n v="1"/>
    <m/>
    <m/>
    <m/>
    <m/>
    <n v="20"/>
    <m/>
    <m/>
    <m/>
    <m/>
    <m/>
    <m/>
    <m/>
    <m/>
    <m/>
    <m/>
    <m/>
    <m/>
    <m/>
    <m/>
    <m/>
    <m/>
    <m/>
    <m/>
    <m/>
    <m/>
    <m/>
  </r>
  <r>
    <x v="2"/>
    <n v="2010"/>
    <x v="0"/>
    <s v="South Asia"/>
    <m/>
    <s v="Mining"/>
    <s v="yes"/>
    <s v="no"/>
    <s v="no"/>
    <s v="Gypsum"/>
    <s v="detailed"/>
    <s v="detailed Mining"/>
    <n v="62861.917808219179"/>
    <m/>
    <m/>
    <m/>
    <m/>
    <s v="t"/>
    <n v="18.343287671232879"/>
    <s v="US$/t"/>
    <s v="Volume from USGS Mineral Yearbook 2012, adjusted to account for the fiscal year. Price from USGS Mineral Commodity Summary 2013, and is the average f.o.b. price for crude and calcined products, adjusted to account for the fiscal year."/>
    <n v="1153094.2419215615"/>
    <m/>
    <m/>
    <m/>
    <m/>
    <m/>
    <m/>
    <m/>
    <m/>
    <m/>
    <m/>
    <m/>
    <m/>
    <m/>
    <m/>
    <m/>
    <m/>
    <m/>
    <m/>
    <m/>
    <m/>
    <m/>
    <m/>
    <m/>
    <m/>
    <m/>
    <m/>
    <m/>
    <m/>
    <m/>
    <m/>
    <m/>
    <m/>
    <m/>
    <m/>
    <m/>
    <m/>
    <m/>
    <m/>
    <m/>
    <m/>
    <m/>
    <m/>
    <m/>
    <m/>
    <m/>
  </r>
  <r>
    <x v="2"/>
    <n v="2010"/>
    <x v="0"/>
    <s v="South Asia"/>
    <m/>
    <s v="Mining"/>
    <s v="yes"/>
    <s v="no"/>
    <s v="no"/>
    <s v="Salt (rock)"/>
    <s v="detailed"/>
    <s v="detailed Mining"/>
    <n v="186944.10958904109"/>
    <m/>
    <n v="68038.855500000005"/>
    <m/>
    <m/>
    <s v="t"/>
    <n v="36.237068493150687"/>
    <s v="US$/t"/>
    <s v="Volume from USGS Mineral Yearbook 2012, adjusted to account for the fiscal year. Price from USGS Mineral Commodity Summary 2013, and is the average f.o.b. mine and plant price for bulk, pellets and packaged rock salt, adjusted to account for the fiscal year."/>
    <n v="6774306.5035691503"/>
    <m/>
    <m/>
    <m/>
    <m/>
    <m/>
    <m/>
    <m/>
    <m/>
    <m/>
    <m/>
    <m/>
    <m/>
    <m/>
    <m/>
    <m/>
    <m/>
    <n v="1"/>
    <s v="Wens Logistics"/>
    <m/>
    <m/>
    <m/>
    <m/>
    <m/>
    <n v="7"/>
    <m/>
    <m/>
    <m/>
    <m/>
    <m/>
    <m/>
    <m/>
    <m/>
    <m/>
    <m/>
    <m/>
    <m/>
    <m/>
    <m/>
    <m/>
    <m/>
    <m/>
    <m/>
    <m/>
    <m/>
    <m/>
  </r>
  <r>
    <x v="2"/>
    <n v="2010"/>
    <x v="0"/>
    <s v="South Asia"/>
    <m/>
    <s v="Mining"/>
    <s v="yes"/>
    <s v="no"/>
    <s v="no"/>
    <s v="Talc"/>
    <s v="detailed"/>
    <s v="detailed Mining"/>
    <n v="200000"/>
    <m/>
    <m/>
    <m/>
    <m/>
    <s v="t"/>
    <n v="151.08219178082192"/>
    <s v="US$/t"/>
    <s v="Volume from USGS Mineral Yearbook 2012, adjusted to account for the fiscal year. Price from USGS Mineral Commodity Summary 2013, and is the price for the processed product in the US, adjusted to account for the fiscal year."/>
    <n v="30216438.356164385"/>
    <m/>
    <m/>
    <m/>
    <m/>
    <m/>
    <m/>
    <m/>
    <m/>
    <m/>
    <m/>
    <m/>
    <m/>
    <m/>
    <m/>
    <m/>
    <m/>
    <m/>
    <m/>
    <m/>
    <m/>
    <m/>
    <m/>
    <m/>
    <m/>
    <m/>
    <m/>
    <m/>
    <m/>
    <m/>
    <m/>
    <m/>
    <m/>
    <m/>
    <m/>
    <m/>
    <m/>
    <m/>
    <m/>
    <m/>
    <m/>
    <m/>
    <m/>
    <m/>
    <m/>
    <m/>
  </r>
  <r>
    <x v="3"/>
    <n v="2011"/>
    <x v="0"/>
    <s v="South Asia"/>
    <s v="http://aeiti.af/"/>
    <s v="Oil, Gas, Mining"/>
    <s v="yes"/>
    <s v="yes"/>
    <s v="yes"/>
    <s v="Total Oil, Gas, Mining"/>
    <s v="Total"/>
    <s v="Total Oil, Gas, Mining"/>
    <m/>
    <m/>
    <m/>
    <m/>
    <m/>
    <m/>
    <m/>
    <m/>
    <m/>
    <n v="156067920.43296844"/>
    <s v="Profits/Taxes, Royalties, Bonuses"/>
    <s v="Does not include payments made in-kind"/>
    <s v="-"/>
    <n v="101776402"/>
    <n v="101712176"/>
    <m/>
    <m/>
    <m/>
    <n v="0.65212890463106554"/>
    <s v="Afghanistan Afghani"/>
    <n v="47.63"/>
    <s v="Disaggregated by revenue stream, Disaggregated by company, Disaggregated by company and revenue stream"/>
    <m/>
    <m/>
    <m/>
    <m/>
    <n v="14"/>
    <s v="Northern Coal Enterprise, Afghan Gas Enterprise, MCC-JCL Aynak Minerals Company, Afghan Investment Company, Technologist Company, Korea Road Construction Company, _x000a_Hewadwal Road Construction Company, Khushak Brothers Company, Meesaq Sharq Company, West Land General Trading, Salim Karwan, Kod Barq, China National Petroleum Company CNPCI-W, Equity Capital Group"/>
    <n v="14"/>
    <s v="September 2014"/>
    <d v="2014-10-02T00:00:00"/>
    <s v="Moore Stephens"/>
    <s v="http://eiti.org/files/Afghanistan_2011_EITI_Report.pdf"/>
    <n v="5"/>
    <s v="The report covers the fiscal period 1390 (21 March 2011 – 20 March 2012).  Materiality threshold: companies which have made payments of at least 2 million Afghanis should be reconciled. Disaggregation by commodity is only indirect through disaggregation by company, and therefore limited. The North Coal Enterprise (NCE) and two gas companies, Afghan Gas Enterprise and Kod-e-Barq, are SOCs."/>
    <m/>
    <m/>
    <m/>
    <m/>
    <m/>
    <m/>
    <m/>
    <m/>
    <m/>
    <m/>
    <m/>
    <m/>
    <m/>
    <m/>
    <m/>
    <m/>
    <m/>
    <m/>
    <m/>
    <m/>
  </r>
  <r>
    <x v="3"/>
    <n v="2011"/>
    <x v="0"/>
    <s v="South Asia"/>
    <m/>
    <s v="Oil, Gas"/>
    <s v="no"/>
    <s v="yes"/>
    <s v="yes"/>
    <s v="Total Oil &amp; Gas"/>
    <s v="Total"/>
    <s v="Total Oil, Gas"/>
    <m/>
    <m/>
    <m/>
    <m/>
    <m/>
    <m/>
    <m/>
    <m/>
    <m/>
    <n v="27100818.034893151"/>
    <m/>
    <m/>
    <m/>
    <n v="2359935.6498005502"/>
    <n v="2374092.2947722021"/>
    <m/>
    <m/>
    <m/>
    <n v="8.7079867728053789E-2"/>
    <m/>
    <m/>
    <m/>
    <m/>
    <m/>
    <m/>
    <m/>
    <n v="3"/>
    <s v="Afghan Gas Enterprise, Kod Barq, China National Petroleum Company CNPCI-W"/>
    <n v="3"/>
    <m/>
    <m/>
    <m/>
    <m/>
    <n v="5"/>
    <m/>
    <m/>
    <m/>
    <m/>
    <m/>
    <m/>
    <m/>
    <m/>
    <m/>
    <m/>
    <m/>
    <m/>
    <m/>
    <m/>
    <m/>
    <m/>
    <m/>
    <m/>
    <m/>
    <m/>
    <m/>
  </r>
  <r>
    <x v="3"/>
    <n v="2011"/>
    <x v="0"/>
    <s v="South Asia"/>
    <m/>
    <s v="Gas"/>
    <s v="no"/>
    <s v="yes"/>
    <s v="no"/>
    <s v="Gas"/>
    <s v="detailed"/>
    <s v="detailed Gas"/>
    <n v="141584000"/>
    <m/>
    <m/>
    <m/>
    <m/>
    <s v="m³"/>
    <n v="0.19141158630136987"/>
    <s v="US$/m³"/>
    <s v="Volume from EIA, adjusted to account for the fiscal year. Price from BPSR 2014, and is an average of the UK, US and Canada Indices for natural gas, adjusted to account for the fiscal year."/>
    <n v="27100818.034893151"/>
    <m/>
    <m/>
    <m/>
    <n v="1198115.6414024774"/>
    <n v="1212272.2863741338"/>
    <m/>
    <m/>
    <m/>
    <n v="4.4209574775929864E-2"/>
    <m/>
    <m/>
    <m/>
    <m/>
    <m/>
    <m/>
    <m/>
    <n v="2"/>
    <s v="Afghan Gas Enterprise, Kod Barq "/>
    <n v="2"/>
    <m/>
    <m/>
    <m/>
    <m/>
    <n v="5"/>
    <m/>
    <m/>
    <m/>
    <m/>
    <m/>
    <m/>
    <m/>
    <m/>
    <m/>
    <m/>
    <m/>
    <m/>
    <m/>
    <m/>
    <m/>
    <m/>
    <m/>
    <m/>
    <m/>
    <m/>
    <m/>
  </r>
  <r>
    <x v="3"/>
    <n v="2011"/>
    <x v="0"/>
    <s v="South Asia"/>
    <m/>
    <s v="Oil"/>
    <s v="no"/>
    <s v="no"/>
    <s v="yes"/>
    <s v="Oil"/>
    <s v="detailed"/>
    <s v="detailed Oil"/>
    <n v="0"/>
    <m/>
    <m/>
    <m/>
    <m/>
    <s v="bbl"/>
    <m/>
    <m/>
    <s v="Volume from EIA, adjusted to account for the fiscal year"/>
    <n v="0"/>
    <m/>
    <m/>
    <m/>
    <n v="1161820.0083980684"/>
    <n v="1161820.0083980684"/>
    <m/>
    <m/>
    <m/>
    <m/>
    <m/>
    <m/>
    <m/>
    <m/>
    <m/>
    <m/>
    <m/>
    <n v="1"/>
    <s v="China National Petroleum Company CNPCI-W"/>
    <n v="1"/>
    <m/>
    <m/>
    <m/>
    <m/>
    <n v="5"/>
    <m/>
    <m/>
    <m/>
    <m/>
    <m/>
    <m/>
    <m/>
    <m/>
    <m/>
    <m/>
    <m/>
    <m/>
    <m/>
    <m/>
    <m/>
    <m/>
    <m/>
    <m/>
    <m/>
    <m/>
    <m/>
  </r>
  <r>
    <x v="3"/>
    <n v="2011"/>
    <x v="0"/>
    <s v="South Asia"/>
    <m/>
    <s v="Mining"/>
    <s v="yes"/>
    <s v="no"/>
    <s v="no"/>
    <s v="Total Mining"/>
    <s v="Total"/>
    <s v="Total Mining"/>
    <m/>
    <m/>
    <m/>
    <m/>
    <m/>
    <m/>
    <m/>
    <m/>
    <m/>
    <n v="128967102.39807528"/>
    <m/>
    <m/>
    <m/>
    <n v="99416466.350199446"/>
    <n v="99338083.705227792"/>
    <m/>
    <m/>
    <m/>
    <n v="0.77086686838428298"/>
    <m/>
    <m/>
    <m/>
    <m/>
    <m/>
    <m/>
    <m/>
    <n v="11"/>
    <s v="Northern Coal Enterprise, Afghan Investment Company (AIC), Khushak Brothers Company, Meesaq Sharq Company, Technologist Company, Korea Road Construction Company, Hewadwal Road Construction Company, Salim Karwan, MCC-JCL Aynak Minerals Company, Equity Capital Group"/>
    <n v="11"/>
    <m/>
    <m/>
    <m/>
    <m/>
    <n v="5"/>
    <m/>
    <m/>
    <m/>
    <m/>
    <m/>
    <m/>
    <m/>
    <m/>
    <m/>
    <m/>
    <m/>
    <m/>
    <m/>
    <m/>
    <m/>
    <m/>
    <m/>
    <m/>
    <m/>
    <m/>
    <m/>
  </r>
  <r>
    <x v="3"/>
    <n v="2011"/>
    <x v="0"/>
    <s v="South Asia"/>
    <m/>
    <s v="Mining"/>
    <s v="yes"/>
    <s v="no"/>
    <s v="no"/>
    <s v="Cement"/>
    <s v="detailed"/>
    <s v="detailed Mining"/>
    <n v="37783.561643835616"/>
    <m/>
    <m/>
    <m/>
    <m/>
    <s v="t"/>
    <n v="89.5"/>
    <s v="US$/t"/>
    <s v="Volume from USGS Mineral Yearbook 2012, adjusted to account for the fiscal year. Price from USGS Mineral Commodity Summary 2014, and is the average mill price for cement in the US, adjusted to account for the fiscal year."/>
    <n v="3381628.7671232875"/>
    <m/>
    <m/>
    <m/>
    <m/>
    <m/>
    <m/>
    <m/>
    <m/>
    <m/>
    <m/>
    <m/>
    <m/>
    <m/>
    <m/>
    <m/>
    <m/>
    <n v="1"/>
    <s v="Afghan investment company (AIC)"/>
    <n v="1"/>
    <m/>
    <m/>
    <m/>
    <m/>
    <n v="5"/>
    <m/>
    <m/>
    <m/>
    <m/>
    <m/>
    <m/>
    <m/>
    <m/>
    <m/>
    <m/>
    <m/>
    <m/>
    <m/>
    <m/>
    <m/>
    <m/>
    <m/>
    <m/>
    <m/>
    <m/>
    <m/>
  </r>
  <r>
    <x v="3"/>
    <n v="2011"/>
    <x v="0"/>
    <s v="South Asia"/>
    <m/>
    <s v="Mining"/>
    <s v="yes"/>
    <s v="no"/>
    <s v="no"/>
    <s v="Chromite"/>
    <s v="detailed"/>
    <s v="detailed Mining"/>
    <n v="6159.8465753424662"/>
    <m/>
    <m/>
    <m/>
    <m/>
    <s v="t"/>
    <n v="242.95068493150683"/>
    <s v="US$/t"/>
    <s v="Volume from USGS Mineral Yearbook 2012, adjusted to account for the fiscal year. Price from USGS Mineral Commodity Summary 2013, and is the price in the US for the gross mass of chromite ore, adjusted to account for the fiscal year."/>
    <n v="1496538.9445524488"/>
    <m/>
    <m/>
    <m/>
    <m/>
    <m/>
    <m/>
    <m/>
    <m/>
    <m/>
    <m/>
    <m/>
    <m/>
    <m/>
    <m/>
    <m/>
    <m/>
    <m/>
    <m/>
    <m/>
    <m/>
    <m/>
    <m/>
    <m/>
    <m/>
    <m/>
    <m/>
    <m/>
    <m/>
    <m/>
    <m/>
    <m/>
    <m/>
    <m/>
    <m/>
    <m/>
    <m/>
    <m/>
    <m/>
    <m/>
    <m/>
    <m/>
    <m/>
    <m/>
    <m/>
    <m/>
  </r>
  <r>
    <x v="3"/>
    <n v="2011"/>
    <x v="0"/>
    <s v="South Asia"/>
    <m/>
    <s v="Mining"/>
    <s v="yes"/>
    <s v="no"/>
    <s v="no"/>
    <s v="Coal"/>
    <s v="detailed"/>
    <s v="detailed Mining"/>
    <n v="788446.85100936983"/>
    <m/>
    <m/>
    <m/>
    <m/>
    <s v="t"/>
    <n v="106.89008219178081"/>
    <s v="US$/t"/>
    <s v="Volume from EIA, adjusted to account for the fiscal year. Price from BPSR 2014, and is an average of the American Central Appalachian, Asian and Northwest Europe marker/spot prices, adjusted to account for the fiscal year."/>
    <n v="84277148.708242297"/>
    <m/>
    <m/>
    <m/>
    <m/>
    <m/>
    <m/>
    <m/>
    <m/>
    <m/>
    <m/>
    <m/>
    <m/>
    <m/>
    <m/>
    <m/>
    <m/>
    <n v="4"/>
    <s v="Northern Coal Enterprise, Afghan Investment Company (AIC), Khushak Brothers Company, Meesaq Sharq Company, "/>
    <n v="4"/>
    <m/>
    <m/>
    <m/>
    <m/>
    <n v="5"/>
    <m/>
    <m/>
    <m/>
    <m/>
    <m/>
    <m/>
    <m/>
    <m/>
    <m/>
    <m/>
    <m/>
    <m/>
    <m/>
    <m/>
    <m/>
    <m/>
    <m/>
    <m/>
    <m/>
    <m/>
    <m/>
  </r>
  <r>
    <x v="3"/>
    <n v="2011"/>
    <x v="0"/>
    <s v="South Asia"/>
    <m/>
    <s v="Mining"/>
    <s v="yes"/>
    <s v="no"/>
    <s v="no"/>
    <s v="Construction stone"/>
    <s v="detailed"/>
    <s v="detailed Mining"/>
    <m/>
    <m/>
    <m/>
    <m/>
    <m/>
    <m/>
    <m/>
    <m/>
    <m/>
    <m/>
    <m/>
    <m/>
    <m/>
    <n v="1705831.114843586"/>
    <n v="1193060.9069913919"/>
    <m/>
    <m/>
    <m/>
    <m/>
    <m/>
    <m/>
    <m/>
    <m/>
    <m/>
    <m/>
    <m/>
    <n v="4"/>
    <s v="Technologist Company, Korea Road Construction Company, Hewadwal Road Construction Company, Salim Karwan"/>
    <n v="4"/>
    <m/>
    <m/>
    <m/>
    <m/>
    <n v="5"/>
    <s v="These commodities are not mentioned in the USGS Mineral Yearbook 2012."/>
    <m/>
    <m/>
    <m/>
    <m/>
    <m/>
    <m/>
    <m/>
    <m/>
    <m/>
    <m/>
    <m/>
    <m/>
    <m/>
    <m/>
    <m/>
    <m/>
    <m/>
    <m/>
    <m/>
    <m/>
  </r>
  <r>
    <x v="3"/>
    <n v="2011"/>
    <x v="0"/>
    <s v="South Asia"/>
    <m/>
    <s v="Mining"/>
    <s v="yes"/>
    <s v="no"/>
    <s v="no"/>
    <s v="Copper"/>
    <s v="detailed"/>
    <s v="detailed Mining"/>
    <n v="0"/>
    <m/>
    <m/>
    <m/>
    <m/>
    <s v="t"/>
    <m/>
    <m/>
    <s v="Volume from USGS Mineral Yearbook 2012, adjusted to account for the fiscal year"/>
    <n v="0"/>
    <m/>
    <m/>
    <m/>
    <n v="55719496.829729199"/>
    <n v="55704544.194835201"/>
    <m/>
    <m/>
    <m/>
    <m/>
    <m/>
    <m/>
    <m/>
    <m/>
    <m/>
    <m/>
    <m/>
    <n v="1"/>
    <s v="MCC-JCL Aynak Minerals Company"/>
    <n v="1"/>
    <m/>
    <m/>
    <m/>
    <m/>
    <n v="5"/>
    <m/>
    <m/>
    <m/>
    <m/>
    <m/>
    <m/>
    <m/>
    <m/>
    <m/>
    <m/>
    <m/>
    <m/>
    <m/>
    <m/>
    <m/>
    <m/>
    <m/>
    <m/>
    <m/>
    <m/>
    <m/>
  </r>
  <r>
    <x v="3"/>
    <n v="2011"/>
    <x v="0"/>
    <s v="South Asia"/>
    <m/>
    <s v="Mining"/>
    <s v="yes"/>
    <s v="no"/>
    <s v="no"/>
    <s v="Gypsum"/>
    <s v="detailed"/>
    <s v="detailed Mining"/>
    <n v="62649.315068493153"/>
    <m/>
    <m/>
    <m/>
    <m/>
    <s v="t"/>
    <n v="18.5"/>
    <s v="US$/t"/>
    <s v="Volume from USGS Mineral Yearbook 2012, adjusted to account for the fiscal year. Price from USGS Mineral Commodity Summary 2013, and is the average f.o.b. price for crude and calcined products, adjusted to account for the fiscal year."/>
    <n v="1159012.3287671234"/>
    <m/>
    <m/>
    <m/>
    <m/>
    <m/>
    <m/>
    <m/>
    <m/>
    <m/>
    <m/>
    <m/>
    <m/>
    <m/>
    <m/>
    <m/>
    <m/>
    <m/>
    <m/>
    <m/>
    <m/>
    <m/>
    <m/>
    <m/>
    <m/>
    <m/>
    <m/>
    <m/>
    <m/>
    <m/>
    <m/>
    <m/>
    <m/>
    <m/>
    <m/>
    <m/>
    <m/>
    <m/>
    <m/>
    <m/>
    <m/>
    <m/>
    <m/>
    <m/>
    <m/>
    <m/>
  </r>
  <r>
    <x v="3"/>
    <n v="2011"/>
    <x v="0"/>
    <s v="South Asia"/>
    <m/>
    <s v="Mining"/>
    <s v="yes"/>
    <s v="no"/>
    <s v="no"/>
    <s v="Marble"/>
    <s v="detailed"/>
    <s v="detailed Mining"/>
    <n v="30432.876712328765"/>
    <m/>
    <m/>
    <m/>
    <m/>
    <s v="t"/>
    <n v="15.347616438356166"/>
    <s v="US$/t"/>
    <s v="Volume from USGS Mineral Yearbook 2012, adjusted to account for the fiscal year. Price from USGS Mineral Yearbook 2012, and is the price in the US for crushed marble, adjusted to account for the fiscal year."/>
    <n v="467072.11889660353"/>
    <m/>
    <m/>
    <m/>
    <n v="358637.16145286581"/>
    <n v="358145.28658408567"/>
    <m/>
    <m/>
    <m/>
    <n v="0.76784108265785367"/>
    <m/>
    <m/>
    <m/>
    <m/>
    <m/>
    <m/>
    <m/>
    <n v="1"/>
    <s v="Equity Capital Group"/>
    <n v="1"/>
    <m/>
    <m/>
    <m/>
    <m/>
    <n v="5"/>
    <m/>
    <m/>
    <m/>
    <m/>
    <m/>
    <m/>
    <m/>
    <m/>
    <m/>
    <m/>
    <m/>
    <m/>
    <m/>
    <m/>
    <m/>
    <m/>
    <m/>
    <m/>
    <m/>
    <m/>
    <m/>
  </r>
  <r>
    <x v="3"/>
    <n v="2011"/>
    <x v="0"/>
    <s v="South Asia"/>
    <m/>
    <s v="Mining"/>
    <s v="yes"/>
    <s v="no"/>
    <s v="no"/>
    <s v="Salt (rock)"/>
    <s v="detailed"/>
    <s v="detailed Mining"/>
    <n v="187835.61643835617"/>
    <m/>
    <m/>
    <m/>
    <m/>
    <s v="t"/>
    <n v="37.794356164383558"/>
    <s v="US$/t"/>
    <s v="Volume from USGS Mineral Yearbook 2012, adjusted to account for the fiscal year. Price from USGS Mineral Commodity Summary 2013, and is the average f.o.b. mine and plant price for bulk, pellets and packaged rock salt, adjusted to account for the fiscal year."/>
    <n v="7099126.1880277721"/>
    <m/>
    <m/>
    <m/>
    <m/>
    <m/>
    <m/>
    <m/>
    <m/>
    <m/>
    <m/>
    <m/>
    <m/>
    <m/>
    <m/>
    <m/>
    <m/>
    <m/>
    <m/>
    <m/>
    <m/>
    <m/>
    <m/>
    <m/>
    <m/>
    <m/>
    <m/>
    <m/>
    <m/>
    <m/>
    <m/>
    <m/>
    <m/>
    <m/>
    <m/>
    <m/>
    <m/>
    <m/>
    <m/>
    <m/>
    <m/>
    <m/>
    <m/>
    <m/>
    <m/>
    <m/>
  </r>
  <r>
    <x v="3"/>
    <n v="2011"/>
    <x v="0"/>
    <s v="South Asia"/>
    <m/>
    <s v="Mining"/>
    <s v="yes"/>
    <s v="no"/>
    <s v="no"/>
    <s v="Talc"/>
    <s v="detailed"/>
    <s v="detailed Mining"/>
    <n v="200000"/>
    <m/>
    <m/>
    <m/>
    <m/>
    <s v="t"/>
    <n v="155.43287671232875"/>
    <s v="US$/t"/>
    <s v="Volume from USGS Mineral Yearbook 2012, adjusted to account for the fiscal year. Price from USGS Mineral Commodity Summary 2013, and is the price for the processed product in the US, adjusted to account for the fiscal year."/>
    <n v="31086575.342465751"/>
    <m/>
    <m/>
    <m/>
    <m/>
    <m/>
    <m/>
    <m/>
    <m/>
    <m/>
    <m/>
    <m/>
    <m/>
    <m/>
    <m/>
    <m/>
    <m/>
    <m/>
    <m/>
    <m/>
    <m/>
    <m/>
    <m/>
    <m/>
    <m/>
    <m/>
    <m/>
    <m/>
    <m/>
    <m/>
    <m/>
    <m/>
    <m/>
    <m/>
    <m/>
    <m/>
    <m/>
    <m/>
    <m/>
    <m/>
    <m/>
    <m/>
    <m/>
    <m/>
    <m/>
    <m/>
  </r>
  <r>
    <x v="4"/>
    <n v="2009"/>
    <x v="1"/>
    <s v="Europe and Central Asia"/>
    <s v="http://www.albeiti.org/"/>
    <s v="Oil, Mining"/>
    <s v="yes"/>
    <s v="no"/>
    <s v="yes"/>
    <s v="Total Oil, Mining"/>
    <s v="Total"/>
    <s v="Total Oil, Mining"/>
    <m/>
    <m/>
    <m/>
    <m/>
    <m/>
    <s v="t"/>
    <m/>
    <m/>
    <m/>
    <n v="228971998.28485578"/>
    <s v="Host government's production entitlement, Royalties"/>
    <s v="Also covers payments made in-kind"/>
    <s v="No"/>
    <n v="33298711.201804318"/>
    <n v="33961855.117602833"/>
    <m/>
    <n v="33298711.201804318"/>
    <s v="Inferred from EITI Report"/>
    <n v="0.14542700177852574"/>
    <s v="United States Dollar and Albanian Lek"/>
    <n v="93.11"/>
    <s v="Disaggregated by revenue stream"/>
    <s v="Unknown quantity of bbl of oil - only the value is given in report"/>
    <n v="8300000"/>
    <m/>
    <m/>
    <n v="46"/>
    <s v="Albpetrol, Bankers Petroleum, Capricorn Albania, IEC Visoka, Island International Exploration, Manas Adriatic, Sherwood Internationl, Sky Petroleum, Stream Oil and Gas, ACR/Albanian Chrome, Alb-Canaj, Alba-Co, Alfa Nikel, Ateani, Balkan Resources, Ber Alb, Bledi, Egi-K, Empire Mining Albania, Fabirka e Pasurimit te Kromit, Geri Trevi, Herbi, 11 Heronjte e Batres, Isaku, Jab Resources, K-12, Klosi, Koka, Krypi, L.B.M., Neli, Prodhime Karbonike, Ral, Rej, Shkalla, Mineral Tadri, Tirex Exploration, Xhireton, Ylberi, YZO, Zguri, Dollar Oil, Gentari, Geri's 2002, Klervibris, Shkembi"/>
    <n v="41"/>
    <s v="March 2011"/>
    <d v="2014-09-03T00:00:00"/>
    <s v="Fair Links"/>
    <s v="http://eiti.org/files/Albania-2009-EITI-Report.pdf"/>
    <s v="15-16"/>
    <s v="The report uses US dollars for oil payments, and the local currency, the Albanian Lek, for mining payments. Materiality threshold: All active oil &amp; gas companies should be reconciled; Mining companies should be reconciled depending on their level of production. The report doesn't distinguish between oil and gas companies.  It is unclear whether unilateral declarations are included in the figures. Payments made to Albpetrol, a SOC, accounted for 44% of total revenues. The 2010 Report gives total mining sector revenues for 2009, but this figure is actually less than the revenues reconciled in the 2009 Report. It is therefore assumed that the reconciled revenues account for all mining revenues in 2009."/>
    <m/>
    <m/>
    <m/>
    <m/>
    <m/>
    <m/>
    <m/>
    <m/>
    <m/>
    <m/>
    <m/>
    <m/>
    <m/>
    <m/>
    <m/>
    <m/>
    <m/>
    <m/>
    <m/>
    <m/>
  </r>
  <r>
    <x v="4"/>
    <n v="2009"/>
    <x v="1"/>
    <s v="Europe and Central Asia"/>
    <m/>
    <s v="Oil"/>
    <s v="no"/>
    <s v="no"/>
    <s v="yes"/>
    <s v="Oil"/>
    <s v="detailed"/>
    <s v="detailed Oil"/>
    <n v="3467500"/>
    <m/>
    <n v="3467500"/>
    <m/>
    <m/>
    <s v="bbl"/>
    <n v="40.571066570974999"/>
    <s v="US$/bbl"/>
    <s v="Volume from EITI Report. Price from BPSR 2014, and is an average of the spot prices for Brent, Dubai, Nigerian Forcados and West Texas Intermediate crude oil, adjusted to account for the price given in the 2011 EITI Report being 65.35% of this in 2011."/>
    <n v="140680173.33485579"/>
    <m/>
    <m/>
    <m/>
    <n v="31300000"/>
    <n v="31903000"/>
    <s v="100% of revenue"/>
    <n v="31300000"/>
    <s v="Inferred from EITI Report"/>
    <n v="0.22249048503443178"/>
    <m/>
    <m/>
    <m/>
    <s v="Unknown quantity of bbl of oil - only the value is given in report"/>
    <n v="8300000"/>
    <m/>
    <m/>
    <n v="9"/>
    <s v="Albpetrol, Bankers Petroleum, Capricorn Albania, IEC Visoka, Island International Exploration, Manas Adriatic, Sherwood Internationl, Sky Petroleum, Stream Oil and Gas"/>
    <n v="9"/>
    <m/>
    <m/>
    <m/>
    <m/>
    <s v="4, 15"/>
    <m/>
    <m/>
    <m/>
    <m/>
    <m/>
    <m/>
    <m/>
    <m/>
    <m/>
    <m/>
    <m/>
    <m/>
    <m/>
    <m/>
    <m/>
    <m/>
    <m/>
    <m/>
    <m/>
    <m/>
    <m/>
  </r>
  <r>
    <x v="4"/>
    <n v="2009"/>
    <x v="1"/>
    <s v="Europe and Central Asia"/>
    <m/>
    <s v="Mining"/>
    <s v="yes"/>
    <s v="no"/>
    <s v="no"/>
    <s v="Total Mining"/>
    <s v="Total"/>
    <s v="Total Mining"/>
    <m/>
    <m/>
    <m/>
    <m/>
    <m/>
    <m/>
    <m/>
    <m/>
    <m/>
    <n v="88291824.949999988"/>
    <m/>
    <m/>
    <m/>
    <n v="1998711.2018043175"/>
    <n v="2058855.1176028354"/>
    <s v="100% of revenue"/>
    <n v="1998711.2018043175"/>
    <s v="Inferred from EITI Report"/>
    <n v="2.2637556794597866E-2"/>
    <m/>
    <m/>
    <m/>
    <m/>
    <m/>
    <m/>
    <m/>
    <n v="36"/>
    <s v="ACR/Albanian Chrome, Alb-Canaj, Alba-Co, Alfa Nikel, Ateani, Balkan Resources, Ber Alb, Bledi, Egi-K, Empire Mining Albania, Fabirka e Pasurimit te Kromit,Geri Trevi, Herbi, 11 Heronjte e Batres, Isaku, Jab Resources, K-12, Klosi, Koka, Krypi, L.B.M., Neli, Prodhime Karbonike, Ral, Rej, Shkalla, Mineral Tadri, Tirex Exploration, Xhireton, Ylberi, YZO, Zguri, Dollar Oil, Gentari, Geri's 2002, Klervibris, Shkembi"/>
    <n v="32"/>
    <m/>
    <m/>
    <m/>
    <m/>
    <n v="16"/>
    <m/>
    <m/>
    <m/>
    <m/>
    <m/>
    <m/>
    <m/>
    <m/>
    <m/>
    <m/>
    <m/>
    <m/>
    <m/>
    <m/>
    <m/>
    <m/>
    <m/>
    <m/>
    <m/>
    <m/>
    <m/>
  </r>
  <r>
    <x v="4"/>
    <n v="2009"/>
    <x v="1"/>
    <s v="Europe and Central Asia"/>
    <m/>
    <s v="Mining"/>
    <s v="yes"/>
    <s v="no"/>
    <s v="no"/>
    <s v="Chromite"/>
    <s v="detailed"/>
    <s v="detailed Mining"/>
    <n v="283558"/>
    <m/>
    <m/>
    <m/>
    <m/>
    <s v="t"/>
    <n v="227"/>
    <s v="US$/t"/>
    <s v="Volume from USGS Mineral Yearbook 2012. Price from USGS Mineral Commodity Summary 2013, and is the price in the US for the gross mass of chromite ore."/>
    <n v="64367666"/>
    <m/>
    <m/>
    <m/>
    <m/>
    <m/>
    <m/>
    <m/>
    <m/>
    <m/>
    <m/>
    <m/>
    <m/>
    <m/>
    <m/>
    <m/>
    <m/>
    <n v="28"/>
    <s v="ACR/Albanian Chrome, Alb-Canaj, Alba-Co, Ateani, Bledi, Egi-K, Empire Mining Albania, Fabirka e Pasurimit te Kromit, Geri Trevi, Herbi, 11 Heronjte e Batres, Isaku, Jab Resources, Klosi, Koka, Krypi, L.B.M., Neli, Ral, Shkalla, Mineral Tadri, Xhireton, Ylberi, Zguri, Gentari, Geri's 2002, Klervibris, Shkembi"/>
    <n v="23"/>
    <m/>
    <m/>
    <m/>
    <m/>
    <m/>
    <m/>
    <m/>
    <m/>
    <m/>
    <m/>
    <m/>
    <m/>
    <m/>
    <m/>
    <m/>
    <m/>
    <m/>
    <m/>
    <m/>
    <m/>
    <m/>
    <m/>
    <m/>
    <m/>
    <m/>
    <m/>
  </r>
  <r>
    <x v="4"/>
    <n v="2009"/>
    <x v="1"/>
    <s v="Europe and Central Asia"/>
    <m/>
    <s v="Mining"/>
    <s v="yes"/>
    <s v="no"/>
    <s v="no"/>
    <s v="Copper"/>
    <s v="detailed"/>
    <s v="detailed Mining"/>
    <m/>
    <m/>
    <m/>
    <m/>
    <m/>
    <m/>
    <n v="5149.7385833333301"/>
    <s v="US$/t"/>
    <s v="Price from World Bank (Global Economic Monitor (GEM) Commodities database), and is defined as: Copper (LME), grade A, minimum 99.9935% purity, cathodes and wire bar shapes, settlement price."/>
    <n v="9269529.4499999937"/>
    <m/>
    <m/>
    <m/>
    <m/>
    <m/>
    <m/>
    <m/>
    <m/>
    <m/>
    <m/>
    <m/>
    <m/>
    <m/>
    <m/>
    <m/>
    <m/>
    <n v="3"/>
    <s v="Ber Alb, Tirex Exploration, Balkan Resorces"/>
    <n v="3"/>
    <m/>
    <m/>
    <m/>
    <m/>
    <m/>
    <m/>
    <m/>
    <m/>
    <m/>
    <m/>
    <m/>
    <m/>
    <m/>
    <m/>
    <m/>
    <m/>
    <m/>
    <m/>
    <m/>
    <m/>
    <m/>
    <m/>
    <m/>
    <m/>
    <m/>
    <m/>
  </r>
  <r>
    <x v="4"/>
    <n v="2009"/>
    <x v="1"/>
    <s v="Europe and Central Asia"/>
    <m/>
    <s v="Mining"/>
    <s v="yes"/>
    <s v="no"/>
    <s v="no"/>
    <s v="o/w Copper ore"/>
    <s v="detailed"/>
    <s v="detailed Mining"/>
    <n v="114286"/>
    <m/>
    <m/>
    <m/>
    <m/>
    <s v="t"/>
    <m/>
    <m/>
    <s v="Volume from USGS Mineral Yearbook 2012"/>
    <m/>
    <m/>
    <m/>
    <m/>
    <m/>
    <m/>
    <m/>
    <m/>
    <m/>
    <m/>
    <m/>
    <m/>
    <m/>
    <m/>
    <m/>
    <m/>
    <m/>
    <m/>
    <m/>
    <m/>
    <m/>
    <m/>
    <m/>
    <m/>
    <m/>
    <m/>
    <m/>
    <m/>
    <m/>
    <m/>
    <m/>
    <m/>
    <m/>
    <m/>
    <m/>
    <m/>
    <m/>
    <m/>
    <m/>
    <m/>
    <m/>
    <m/>
    <m/>
    <m/>
    <m/>
    <m/>
  </r>
  <r>
    <x v="4"/>
    <n v="2009"/>
    <x v="1"/>
    <s v="Europe and Central Asia"/>
    <m/>
    <s v="Mining"/>
    <s v="yes"/>
    <s v="no"/>
    <s v="no"/>
    <s v="o/w Copper content of ore"/>
    <s v="detailed"/>
    <s v="detailed Mining"/>
    <n v="1800"/>
    <m/>
    <m/>
    <m/>
    <m/>
    <s v="t"/>
    <m/>
    <m/>
    <s v="Volume from USGS Mineral Yearbook 2012"/>
    <m/>
    <m/>
    <m/>
    <m/>
    <m/>
    <m/>
    <m/>
    <m/>
    <m/>
    <m/>
    <m/>
    <m/>
    <m/>
    <m/>
    <m/>
    <m/>
    <m/>
    <m/>
    <m/>
    <m/>
    <m/>
    <m/>
    <m/>
    <m/>
    <m/>
    <m/>
    <m/>
    <m/>
    <m/>
    <m/>
    <m/>
    <m/>
    <m/>
    <m/>
    <m/>
    <m/>
    <m/>
    <m/>
    <m/>
    <m/>
    <m/>
    <m/>
    <m/>
    <m/>
    <m/>
    <m/>
  </r>
  <r>
    <x v="4"/>
    <n v="2009"/>
    <x v="1"/>
    <s v="Europe and Central Asia"/>
    <m/>
    <s v="Mining"/>
    <s v="yes"/>
    <s v="no"/>
    <s v="no"/>
    <s v="Nickel"/>
    <s v="detailed"/>
    <s v="detailed Mining"/>
    <m/>
    <m/>
    <m/>
    <m/>
    <m/>
    <m/>
    <n v="14654.629499999999"/>
    <s v="US$/t"/>
    <s v="Price from World Bank (Global Economic Monitor (GEM) Commodities database), and is defined as: Nickel (LME), cathodes, minimum 99.8% purity, settlement price beginning 2005; previously cash price."/>
    <n v="14654629.5"/>
    <m/>
    <m/>
    <m/>
    <m/>
    <m/>
    <m/>
    <m/>
    <m/>
    <m/>
    <m/>
    <m/>
    <m/>
    <m/>
    <m/>
    <m/>
    <m/>
    <n v="7"/>
    <s v="Alfa Nikel, Dollar Oil, K-12, Prodhime Karbonike, Rej, YZO, Balkan Resources"/>
    <n v="6"/>
    <m/>
    <m/>
    <m/>
    <m/>
    <m/>
    <m/>
    <m/>
    <m/>
    <m/>
    <m/>
    <m/>
    <m/>
    <m/>
    <m/>
    <m/>
    <m/>
    <m/>
    <m/>
    <m/>
    <m/>
    <m/>
    <m/>
    <m/>
    <m/>
    <m/>
    <m/>
  </r>
  <r>
    <x v="4"/>
    <n v="2009"/>
    <x v="1"/>
    <s v="Europe and Central Asia"/>
    <m/>
    <s v="Mining"/>
    <s v="yes"/>
    <s v="no"/>
    <s v="no"/>
    <s v="o/w Iron-nickel and nickel-silicate ore"/>
    <s v="detailed"/>
    <s v="detailed Mining"/>
    <n v="68840"/>
    <m/>
    <m/>
    <m/>
    <m/>
    <s v="t"/>
    <m/>
    <m/>
    <s v="Volume from USGS Mineral Yearbook 2012"/>
    <m/>
    <m/>
    <m/>
    <m/>
    <m/>
    <m/>
    <m/>
    <m/>
    <m/>
    <m/>
    <m/>
    <m/>
    <m/>
    <m/>
    <m/>
    <m/>
    <m/>
    <m/>
    <m/>
    <m/>
    <m/>
    <m/>
    <m/>
    <m/>
    <m/>
    <m/>
    <m/>
    <m/>
    <m/>
    <m/>
    <m/>
    <m/>
    <m/>
    <m/>
    <m/>
    <m/>
    <m/>
    <m/>
    <m/>
    <m/>
    <m/>
    <m/>
    <m/>
    <m/>
    <m/>
    <m/>
  </r>
  <r>
    <x v="4"/>
    <n v="2009"/>
    <x v="1"/>
    <s v="Europe and Central Asia"/>
    <m/>
    <s v="Mining"/>
    <s v="yes"/>
    <s v="no"/>
    <s v="no"/>
    <s v="o/w Nickel content of ores"/>
    <s v="detailed"/>
    <s v="detailed Mining"/>
    <n v="1000"/>
    <m/>
    <m/>
    <m/>
    <m/>
    <s v="t"/>
    <m/>
    <m/>
    <s v="Volume from USGS Mineral Yearbook 2012"/>
    <m/>
    <m/>
    <m/>
    <m/>
    <m/>
    <m/>
    <m/>
    <m/>
    <m/>
    <m/>
    <m/>
    <m/>
    <m/>
    <m/>
    <m/>
    <m/>
    <m/>
    <m/>
    <m/>
    <m/>
    <m/>
    <m/>
    <m/>
    <m/>
    <m/>
    <m/>
    <m/>
    <m/>
    <m/>
    <m/>
    <m/>
    <m/>
    <m/>
    <m/>
    <m/>
    <m/>
    <m/>
    <m/>
    <m/>
    <m/>
    <m/>
    <m/>
    <m/>
    <m/>
    <m/>
    <m/>
  </r>
  <r>
    <x v="5"/>
    <n v="2010"/>
    <x v="1"/>
    <s v="Europe and Central Asia"/>
    <s v="http://www.albeiti.org/"/>
    <s v="Oil, Mining"/>
    <s v="yes"/>
    <s v="no"/>
    <s v="yes"/>
    <s v="Total Oil, Mining"/>
    <s v="Total"/>
    <s v="Total Oil, Mining"/>
    <m/>
    <m/>
    <m/>
    <m/>
    <m/>
    <m/>
    <m/>
    <m/>
    <m/>
    <n v="493928693.16890663"/>
    <s v="State-owned company production entitlement, Profits/Taxes, Royalties, Dividends, Bonuses, Other significant benefits to government"/>
    <s v="Does not include payments made in-kind"/>
    <s v="-"/>
    <n v="62819643"/>
    <n v="61621520"/>
    <m/>
    <n v="63004400.010309279"/>
    <s v="Inferred from EITI Report"/>
    <n v="0.12755768369335033"/>
    <s v="United States Dollar and Albanian Lek"/>
    <n v="102.17"/>
    <s v="Disaggregated by revenue stream"/>
    <m/>
    <m/>
    <m/>
    <m/>
    <n v="69"/>
    <s v="Bankers Petroleum, Stream Oil &amp; Gas, IEC Visoka, Capricorn Albania (subsidiary of Cairn), Island International Exploration (subsidiary of San Leon Energy plc), Manas Adriatic (subsidiary of DWM then Petromanas Energy Inc.), Sherwood International Petroleum Ltd (subsidiary of Bankers Petroleum), Sky Petroleum, Albpetrol, Albanian Chrome shpk, BerAlba shpk, Empire Mining, Jab Resources, Balkan Resources, Cougar Mining, Tirex Exploration, Afrimi-k, Alb-Canaj, Algej shpk, Ateani shpk, Bytyci, Egi-K, Elidon - 06, Ernisi shpk, Fabrika e Pasurimit te Kromit, Florida shpk, Gentari, Gjoni shpk, Herbi, Info Metal Plast al shpk, Klervibris shpk, Klosi shpk, Koka shpk, Aren 2003, Alb Xhoi, Koxheri shpk, Krasta shpk, Kromex Import Export, Lahaze, Lamnica shpk, Leshnica, Marei shpk, Mineral - Invest shpk, Miniera e kromit katjel, Neli, Ral shpk, Runja, Shkalla shpk, Shkembi shpk, Tadri shpk, Tollja, Vellazeria shpk, Ylberi shpk, Selenice Bitumi sha, Alb Tiefbau, Antea cement, Babasi coo shpk, F. Kruja cement factory, Makaresh shpk, Salillari shpk, Shkodra intert, Stone Production, Vellezerit Llupo shpk, B &amp; b Stone, Dks Group shpk, Albitoil shpk, Prodhime Karbonike sha, Arsi shpk, Klervibris shpk"/>
    <n v="62"/>
    <s v="December 2012"/>
    <d v="2014-09-04T00:00:00"/>
    <s v="Fair Links"/>
    <s v="http://eiti.org/files/Albania-2010-EITI-Report.pdf"/>
    <s v="14-15"/>
    <s v="The report uses US dollars for oil payments, and the local currency, the Albanian Lek, for mining payments.  Materiality threshold: All active oil &amp; gas companies should be reconciled;  All large-scale mining companies, and all other mining companies with a turnover greater than 50 million Leks, should be reconciled. The report doesn't distinguish between oil and gas companies. It is unclear whether unilateral declarations are included in the figures. Payments made to Albpetrol, a SOC, accounted for 39% of total revenues. "/>
    <m/>
    <m/>
    <m/>
    <m/>
    <m/>
    <m/>
    <m/>
    <m/>
    <m/>
    <m/>
    <m/>
    <m/>
    <m/>
    <m/>
    <m/>
    <m/>
    <m/>
    <m/>
    <m/>
    <m/>
  </r>
  <r>
    <x v="5"/>
    <n v="2010"/>
    <x v="1"/>
    <s v="Europe and Central Asia"/>
    <m/>
    <s v="Oil"/>
    <s v="no"/>
    <s v="no"/>
    <s v="yes"/>
    <s v="Oil"/>
    <s v="detailed"/>
    <s v="detailed Oil"/>
    <n v="5475000"/>
    <m/>
    <n v="5475000"/>
    <m/>
    <m/>
    <s v="bbl"/>
    <n v="51.960691362022501"/>
    <s v="US$/bbl"/>
    <s v="Volume from EITI Report. Price from BPSR 2014, and is an average of the spot prices for Brent, Dubai, Nigerian Forcados and West Texas Intermediate crude oil, adjusted to account for the price given in the 2011 EITI Report being 65.35% of this in 2011."/>
    <n v="284484785.20707321"/>
    <m/>
    <m/>
    <m/>
    <n v="56845833"/>
    <n v="55623141"/>
    <s v="100% of revenue"/>
    <n v="56845833"/>
    <s v="Inferred from EITI Report"/>
    <n v="0.19982029252855321"/>
    <m/>
    <m/>
    <m/>
    <m/>
    <m/>
    <m/>
    <m/>
    <n v="9"/>
    <s v="Bankers Petroleum, Stream Oil &amp; Gas, IEC Visoka, Capricorn Albania (subsidiary of Cairn), Island International Exploration (subsidiary of San Leon Energy plc), Manas Adriatic (subsidiary of DWM then Petromanas Energy Inc.), Sherwood International Petroleum Ltd (subsidiary of Bankers Petroleum), Sky Petroleum, Albpetrol"/>
    <n v="8"/>
    <m/>
    <m/>
    <m/>
    <m/>
    <s v="7, 14"/>
    <m/>
    <m/>
    <m/>
    <m/>
    <m/>
    <m/>
    <m/>
    <m/>
    <m/>
    <m/>
    <m/>
    <m/>
    <m/>
    <m/>
    <m/>
    <m/>
    <m/>
    <m/>
    <m/>
    <m/>
    <m/>
  </r>
  <r>
    <x v="5"/>
    <n v="2010"/>
    <x v="1"/>
    <s v="Europe and Central Asia"/>
    <m/>
    <s v="Mining"/>
    <s v="yes"/>
    <s v="no"/>
    <s v="no"/>
    <s v="Total Mining"/>
    <s v="Total"/>
    <s v="Total Mining"/>
    <m/>
    <m/>
    <m/>
    <m/>
    <m/>
    <m/>
    <m/>
    <m/>
    <m/>
    <n v="209443907.96183342"/>
    <m/>
    <m/>
    <m/>
    <n v="5973810"/>
    <n v="5998379"/>
    <s v="≈97% of revenue"/>
    <n v="6158567.010309279"/>
    <s v="Inferred from EITI Report"/>
    <n v="2.940437404095584E-2"/>
    <m/>
    <m/>
    <m/>
    <m/>
    <m/>
    <m/>
    <m/>
    <n v="60"/>
    <s v="Albanian Chrome shpk, BerAlba shpk, Empire Mining, Jab Resources, Balkan Resources, Cougar Mining, Tirex Exploration, Afrimi-k, Alb-Canaj, Algej shpk, Ateani shpk, Bytyci, Egi-K, Elidon - 06, Ernisi shpk, Fabrika e Pasurimit te Kromit, Florida shpk, Gentari, Gjoni shpk, Herbi, Info Metal Plast al shpk, Klervibris shpk, Klosi shpk, Koka shpk, Aren 2003, Alb Xhoi, Koxheri shpk, Krasta shpk, Kromex Import Export, Lahaze, Lamnica shpk, Leshnica, Marei shpk, Mineral - Invest shpk, Miniera e kromit katjel, Neli, Ral shpk, Runja, Shkalla shpk, Shkembi shpk, Tadri shpk, Tollja, Vellazeria shpk, Ylberi shpk, Selenice Bitumi sha, Alb Tiefbau, Antea cement, Babasi coo shpk, F. Kruja cement factory, Makaresh shpk, Salillari shpk, Shkodra intert, Stone Production, Vellezerit Llupo shpk, B &amp; b Stone, Dks Group shpk, Albitoil shpk, Prodhime Karbonike sha, Arsi shpk, Klervibris shpk"/>
    <n v="54"/>
    <m/>
    <m/>
    <m/>
    <m/>
    <n v="15"/>
    <m/>
    <m/>
    <m/>
    <m/>
    <m/>
    <m/>
    <m/>
    <m/>
    <m/>
    <m/>
    <m/>
    <m/>
    <m/>
    <m/>
    <m/>
    <m/>
    <m/>
    <m/>
    <m/>
    <m/>
    <m/>
  </r>
  <r>
    <x v="5"/>
    <n v="2010"/>
    <x v="1"/>
    <s v="Europe and Central Asia"/>
    <m/>
    <s v="Mining"/>
    <s v="yes"/>
    <s v="no"/>
    <s v="no"/>
    <s v="Chromite"/>
    <s v="detailed"/>
    <s v="detailed Mining"/>
    <n v="328322"/>
    <m/>
    <n v="330000"/>
    <m/>
    <m/>
    <s v="t"/>
    <n v="212"/>
    <s v="US$/t"/>
    <s v="Volume from USGS Mineral Yearbook 2012. Price from USGS Mineral Commodity Summary 2013, and is the price in the US for the gross mass of chromite ore."/>
    <n v="69604264"/>
    <m/>
    <m/>
    <m/>
    <m/>
    <m/>
    <m/>
    <m/>
    <m/>
    <m/>
    <m/>
    <m/>
    <m/>
    <m/>
    <m/>
    <m/>
    <m/>
    <n v="38"/>
    <s v="Albanian Chrome shpk, Empire Mining, Jab Resources, Afrimi-k, Alb-Canaj, Algej shpk, Ateani shpk, Bytyci, Egi-K, Elidon - 06, Ernisi shpk, Fabrika e Pasurimit te Kromit, Florida shpk, Gentari, Gjoni shpk, Herbi, Info Metal Plast al shpk, Klervibris shpk, Klosi shpk, Koka shpk, Koxheri shpk, Krasta shpk, Kromex Import Export, Lahaze, Lamnica shpk, Leshnica, Marei shpk, Mineral - Invest shpk, Miniera e kromit katjel, Neli, Ral shpk, Runja, Shkalla shpk, Shkembi shpk, Tadri shpk, Tollja, Vellazeria shpk, Ylberi shpk"/>
    <n v="34"/>
    <m/>
    <m/>
    <m/>
    <m/>
    <n v="8"/>
    <s v="Production volumes of chromite, copper, limestone and nickel given p. 8"/>
    <m/>
    <m/>
    <m/>
    <m/>
    <m/>
    <m/>
    <m/>
    <m/>
    <m/>
    <m/>
    <m/>
    <m/>
    <m/>
    <m/>
    <m/>
    <m/>
    <m/>
    <m/>
    <m/>
    <m/>
  </r>
  <r>
    <x v="5"/>
    <n v="2010"/>
    <x v="1"/>
    <s v="Europe and Central Asia"/>
    <m/>
    <s v="Mining"/>
    <s v="yes"/>
    <s v="no"/>
    <s v="no"/>
    <s v="Copper"/>
    <s v="detailed"/>
    <s v="detailed Mining"/>
    <m/>
    <m/>
    <n v="140000"/>
    <m/>
    <m/>
    <s v="t"/>
    <n v="7534.7795833333303"/>
    <s v="US$/t"/>
    <s v="Price from World Bank (Global Economic Monitor (GEM) Commodities database), and is defined as: Copper (LME), grade A, minimum 99.9935% purity, cathodes and wire bar shapes, settlement price."/>
    <n v="16576515.083333327"/>
    <m/>
    <m/>
    <m/>
    <m/>
    <m/>
    <m/>
    <m/>
    <m/>
    <m/>
    <m/>
    <m/>
    <m/>
    <m/>
    <m/>
    <m/>
    <m/>
    <n v="4"/>
    <s v="BerAlba shpk, Balkan Resources, Cougar Mining, Tirex Exploration"/>
    <n v="3"/>
    <m/>
    <m/>
    <m/>
    <m/>
    <n v="8"/>
    <m/>
    <m/>
    <m/>
    <m/>
    <m/>
    <m/>
    <m/>
    <m/>
    <m/>
    <m/>
    <m/>
    <m/>
    <m/>
    <m/>
    <m/>
    <m/>
    <m/>
    <m/>
    <m/>
    <m/>
    <m/>
  </r>
  <r>
    <x v="5"/>
    <n v="2010"/>
    <x v="1"/>
    <s v="Europe and Central Asia"/>
    <m/>
    <s v="Mining"/>
    <s v="yes"/>
    <s v="no"/>
    <s v="no"/>
    <s v="o/w Copper ore"/>
    <s v="detailed"/>
    <s v="detailed Mining"/>
    <n v="139926"/>
    <m/>
    <m/>
    <m/>
    <m/>
    <s v="t"/>
    <m/>
    <m/>
    <s v="Volume from USGS Mineral Yearbook 2012"/>
    <m/>
    <m/>
    <m/>
    <m/>
    <m/>
    <m/>
    <m/>
    <m/>
    <m/>
    <m/>
    <m/>
    <m/>
    <m/>
    <m/>
    <m/>
    <m/>
    <m/>
    <m/>
    <m/>
    <m/>
    <m/>
    <m/>
    <m/>
    <m/>
    <m/>
    <m/>
    <m/>
    <m/>
    <m/>
    <m/>
    <m/>
    <m/>
    <m/>
    <m/>
    <m/>
    <m/>
    <m/>
    <m/>
    <m/>
    <m/>
    <m/>
    <m/>
    <m/>
    <m/>
    <m/>
    <m/>
  </r>
  <r>
    <x v="5"/>
    <n v="2010"/>
    <x v="1"/>
    <s v="Europe and Central Asia"/>
    <m/>
    <s v="Mining"/>
    <s v="yes"/>
    <s v="no"/>
    <s v="no"/>
    <s v="o/w Copper content"/>
    <s v="detailed"/>
    <s v="detailed Mining"/>
    <n v="2200"/>
    <m/>
    <m/>
    <m/>
    <m/>
    <s v="t"/>
    <m/>
    <m/>
    <s v="Volume from USGS Mineral Yearbook 2012"/>
    <m/>
    <m/>
    <m/>
    <m/>
    <m/>
    <m/>
    <m/>
    <m/>
    <m/>
    <m/>
    <m/>
    <m/>
    <m/>
    <m/>
    <m/>
    <m/>
    <m/>
    <m/>
    <m/>
    <m/>
    <m/>
    <m/>
    <m/>
    <m/>
    <m/>
    <m/>
    <m/>
    <m/>
    <m/>
    <m/>
    <m/>
    <m/>
    <m/>
    <m/>
    <m/>
    <m/>
    <m/>
    <m/>
    <m/>
    <m/>
    <m/>
    <m/>
    <m/>
    <m/>
    <m/>
    <m/>
  </r>
  <r>
    <x v="5"/>
    <n v="2010"/>
    <x v="1"/>
    <s v="Europe and Central Asia"/>
    <m/>
    <s v="Mining"/>
    <s v="yes"/>
    <s v="no"/>
    <s v="no"/>
    <s v="Limestone"/>
    <s v="detailed"/>
    <s v="detailed Mining"/>
    <n v="6404935.9500000002"/>
    <m/>
    <m/>
    <m/>
    <m/>
    <s v="t"/>
    <n v="9.0299999999999994"/>
    <s v="US$/t"/>
    <s v="Volume from USGS Mineral Yearbook 2012. Price from USGS Mineral Yearbook 2010, and is the price in the US for crushed limestone."/>
    <n v="57836571.6285"/>
    <m/>
    <m/>
    <m/>
    <m/>
    <m/>
    <m/>
    <m/>
    <m/>
    <m/>
    <m/>
    <m/>
    <m/>
    <m/>
    <m/>
    <m/>
    <m/>
    <n v="9"/>
    <s v="Alb Tiefbau, Antea cement, Babasi coo shpk, Makaresh shpk, Salillari shpk, Shkodra intert, Stone Production, Vellezerit Llupo shpk"/>
    <n v="9"/>
    <m/>
    <m/>
    <m/>
    <m/>
    <n v="8"/>
    <s v="The EITI report a production volume of 2.3 million m3 for the limestone."/>
    <m/>
    <m/>
    <m/>
    <m/>
    <m/>
    <m/>
    <m/>
    <m/>
    <m/>
    <m/>
    <m/>
    <m/>
    <m/>
    <m/>
    <m/>
    <m/>
    <m/>
    <m/>
    <m/>
    <m/>
  </r>
  <r>
    <x v="5"/>
    <n v="2010"/>
    <x v="1"/>
    <s v="Europe and Central Asia"/>
    <m/>
    <s v="Mining"/>
    <s v="yes"/>
    <s v="no"/>
    <s v="no"/>
    <s v="Nickel"/>
    <s v="detailed"/>
    <s v="detailed Mining"/>
    <m/>
    <m/>
    <n v="270000"/>
    <m/>
    <m/>
    <s v="t"/>
    <n v="21808.852416666701"/>
    <s v="US$/t"/>
    <s v="Price from World Bank (Global Economic Monitor (GEM) Commodities database), and is defined as: Nickel (LME), cathodes, minimum 99.8% purity, settlement price beginning 2005; previously cash price."/>
    <n v="65426557.250000104"/>
    <m/>
    <m/>
    <m/>
    <m/>
    <m/>
    <m/>
    <m/>
    <m/>
    <m/>
    <m/>
    <m/>
    <m/>
    <m/>
    <m/>
    <m/>
    <m/>
    <n v="3"/>
    <s v="Balkan Resources, Aren 2003, Alb xhoi"/>
    <n v="3"/>
    <m/>
    <m/>
    <m/>
    <m/>
    <n v="8"/>
    <m/>
    <m/>
    <m/>
    <m/>
    <m/>
    <m/>
    <m/>
    <m/>
    <m/>
    <m/>
    <m/>
    <m/>
    <m/>
    <m/>
    <m/>
    <m/>
    <m/>
    <m/>
    <m/>
    <m/>
    <m/>
  </r>
  <r>
    <x v="5"/>
    <n v="2010"/>
    <x v="1"/>
    <s v="Europe and Central Asia"/>
    <m/>
    <s v="Mining"/>
    <s v="yes"/>
    <s v="no"/>
    <s v="no"/>
    <s v="o/w Iron-nickel and nickel-silicate ore"/>
    <s v="detailed"/>
    <s v="detailed Mining"/>
    <n v="269300"/>
    <m/>
    <m/>
    <m/>
    <m/>
    <s v="t"/>
    <m/>
    <m/>
    <s v="Volume from USGS Mineral Yearbook 2012"/>
    <m/>
    <m/>
    <m/>
    <m/>
    <m/>
    <m/>
    <m/>
    <m/>
    <m/>
    <m/>
    <m/>
    <m/>
    <m/>
    <m/>
    <m/>
    <m/>
    <m/>
    <m/>
    <m/>
    <m/>
    <m/>
    <m/>
    <m/>
    <m/>
    <m/>
    <m/>
    <m/>
    <m/>
    <m/>
    <m/>
    <m/>
    <m/>
    <m/>
    <m/>
    <m/>
    <m/>
    <m/>
    <m/>
    <m/>
    <m/>
    <m/>
    <m/>
    <m/>
    <m/>
    <m/>
    <m/>
  </r>
  <r>
    <x v="5"/>
    <n v="2010"/>
    <x v="1"/>
    <s v="Europe and Central Asia"/>
    <m/>
    <s v="Mining"/>
    <s v="yes"/>
    <s v="no"/>
    <s v="no"/>
    <s v="o/w Nickel content"/>
    <s v="detailed"/>
    <s v="detailed Mining"/>
    <n v="3000"/>
    <m/>
    <m/>
    <m/>
    <m/>
    <s v="t"/>
    <m/>
    <m/>
    <s v="Volume from USGS Mineral Yearbook 2012"/>
    <m/>
    <m/>
    <m/>
    <m/>
    <m/>
    <m/>
    <m/>
    <m/>
    <m/>
    <m/>
    <m/>
    <m/>
    <m/>
    <m/>
    <m/>
    <m/>
    <m/>
    <m/>
    <m/>
    <m/>
    <m/>
    <m/>
    <m/>
    <m/>
    <m/>
    <m/>
    <m/>
    <m/>
    <m/>
    <m/>
    <m/>
    <m/>
    <m/>
    <m/>
    <m/>
    <m/>
    <m/>
    <m/>
    <m/>
    <m/>
    <m/>
    <m/>
    <m/>
    <m/>
    <m/>
    <m/>
  </r>
  <r>
    <x v="6"/>
    <n v="2011"/>
    <x v="1"/>
    <s v="Europe and Central Asia"/>
    <s v="http://www.albeiti.org/"/>
    <s v="Oil, Mining"/>
    <s v="yes"/>
    <s v="no"/>
    <s v="yes"/>
    <s v="Total"/>
    <s v="Total"/>
    <s v="Total Oil, Mining"/>
    <m/>
    <m/>
    <m/>
    <m/>
    <m/>
    <m/>
    <m/>
    <m/>
    <m/>
    <n v="673969009.50999999"/>
    <s v="Profits/Taxes, Royalties, Dividends, Bonuses"/>
    <s v="Does not include payments made in-kind"/>
    <s v="-"/>
    <n v="87672150.568453237"/>
    <n v="87847635.425623387"/>
    <m/>
    <n v="89003534.919270083"/>
    <s v="EITI Report"/>
    <n v="0.13205879448964411"/>
    <s v="United States Dollar and Albanian Lek"/>
    <n v="104.67"/>
    <s v="Disaggregated by revenue stream, Disaggregated by company, Disaggregated by company and revenue stream"/>
    <m/>
    <m/>
    <m/>
    <m/>
    <n v="67"/>
    <s v="Bankers Petroleum Albania Ltd, Dega Ne Shqiperi E Stream Oil &amp; Gas Ltd, Petromanas Albania GmbH, San Leon Durressi B.V., Sky Petroleum - Albanian Branch, Albpetrol, Beralb Sh.A., Albchrome Sh.p.k., Salillari Sh.p.k., Egi-K Sh.p.k., Miniera E Kromit Katjel Sh.p.k., Shkalla Sh.p.k., Fabrika E Pasurmit Te Kromit Bulqize Sh.p.k., Ernisi Sh.p.k., Fushe Kruja Cement Factory Sh.p.k., Gentari Sh.p.k., Kromex Sh.p.k., Koka Sh.p.k., Herbi Sh.p.k., Heidorn &amp; Binjaku Sh.p.k., Antea Cement Sh.A., Stone Production Sh.p.k., Alb-Canaj Sh.p.k., 11 Heronjte Bater Sh.p.k., Drini Bulqize Sh.p.k., Gjoni Sh.p.k., Shpresa - Al Sh.p.k., Isaku Sh.p.k., Favina Sh.p.k., Klosi Sh.p.k., Bytyci Sh.p.k., Rej Sh.A., Vellazeria Sh.p.k., Gerold Sh.p.k., Ral Sh.p.k., Rier Sh.p.k., Prodhme Karbonike Sh.a., United Quarries Sh.p.k., Alb-Xhoi Sh.p.k., Kuarci Blace Sh.p.k., Runja Sh.p.k., Babasi Coo Sh.p.k., Feni Korca Sh.A., Neli Sh.p.k., Ervin Sh.p.k., Aris Albania Sh.p.k., Leshnica Sh.p.k., Krasta Sh.p.k., Lubima Sh.p.k., Ra Krom - Tirana Sh.k.p., Koxheri Sh.p.k., Lamnia Sh.p.k., Latomia Tirana Sh.A., Elidon - 06 Sh.p.k., Jab Resoucres Sh.p.k., Bakan Resources Sh.p.k., Tirex Explorations Sh.p.., Knauf - Tirana Sh.p.k., Other entities"/>
    <n v="63"/>
    <s v="June 2014"/>
    <d v="2014-09-05T00:00:00"/>
    <s v="Deloitte"/>
    <s v="http://eiti.org/files/20140701090023_eiti_report_2011_english_0.pdf"/>
    <s v="3, 4"/>
    <s v="The report uses US dollars for oil payments, and the local currency, the Albanian Lek, for mining payments.  Materiality threshold: All active oil &amp; gas companies should be reconciled; All mining companies with a revenue of at least US$750,000, and all other mining companies that produce a mineral-specific volume, should be reconciled. The report notes that 67 companies were asked to report, but only 58 are named. The report doesn't distinguish between oil and gas companies, or between mining companies producing different commodities. Unilateral declarations are included in the figures. Oil and gas revenues reported account for 100% of the cashflows contributed by the sector for the selcted revenue streams. Mining revenues reported account for 50% of the cashflows contributed by the sector for the selected revenue streams, but the mining companies covered account for 71.4% of the production value of the sector in 2011, which is given in the report as US$217,469,880. Given the production value of the mining sector is given in the report, production information for individual mining commodities has not been collected. Payments made to Albpetrol, a SOC, accounted for 39% of total revenues. "/>
    <m/>
    <m/>
    <m/>
    <m/>
    <m/>
    <m/>
    <m/>
    <m/>
    <m/>
    <m/>
    <m/>
    <m/>
    <m/>
    <m/>
    <m/>
    <m/>
    <m/>
    <m/>
    <m/>
    <m/>
  </r>
  <r>
    <x v="6"/>
    <n v="2011"/>
    <x v="1"/>
    <s v="Europe and Central Asia"/>
    <m/>
    <s v="Oil"/>
    <s v="no"/>
    <s v="no"/>
    <s v="yes"/>
    <s v="Oil"/>
    <s v="detailed"/>
    <s v="detailed Oil"/>
    <n v="6556685"/>
    <m/>
    <n v="6556685"/>
    <m/>
    <m/>
    <s v="bbl"/>
    <n v="69.623465211459745"/>
    <s v="US$/bbl"/>
    <s v="Volume and price from EITI Report. Price is based on the reported volume and value of production (and is 65.35% of the average of the spot prices for Brent, Dubai, Nigerian Forcados and West Texas Intermediate crude oil)."/>
    <n v="456499129.99999994"/>
    <m/>
    <m/>
    <m/>
    <n v="78907738.607050732"/>
    <n v="78947148.17999427"/>
    <m/>
    <n v="72092863.284608766"/>
    <s v="EITI Report"/>
    <n v="0.1579255217520541"/>
    <m/>
    <m/>
    <m/>
    <m/>
    <m/>
    <m/>
    <m/>
    <n v="9"/>
    <s v="Bankers Petroleum Albania Ltd, Dega Ne Shqiperi E Stream Oil &amp; Gas Ltd, Petromanas Albania GmbH, San Leon Durressi B.V., Sky Petroleum - Albanian Branch, Albpetrol"/>
    <n v="7"/>
    <m/>
    <m/>
    <m/>
    <m/>
    <s v="3, 4"/>
    <m/>
    <m/>
    <m/>
    <m/>
    <m/>
    <m/>
    <m/>
    <m/>
    <m/>
    <m/>
    <m/>
    <m/>
    <m/>
    <m/>
    <m/>
    <m/>
    <m/>
    <m/>
    <m/>
    <m/>
    <m/>
  </r>
  <r>
    <x v="6"/>
    <n v="2011"/>
    <x v="1"/>
    <s v="Europe and Central Asia"/>
    <m/>
    <s v="Mining"/>
    <s v="yes"/>
    <s v="no"/>
    <s v="no"/>
    <s v="Total Mining"/>
    <s v="Total"/>
    <s v="Total Mining"/>
    <m/>
    <m/>
    <m/>
    <m/>
    <m/>
    <m/>
    <m/>
    <m/>
    <m/>
    <n v="217469879.50999999"/>
    <m/>
    <m/>
    <m/>
    <n v="8764411.9614025038"/>
    <n v="8900487.2456291206"/>
    <m/>
    <n v="16910671.634661317"/>
    <s v="EITI Report"/>
    <n v="7.7760983142880283E-2"/>
    <m/>
    <m/>
    <m/>
    <m/>
    <m/>
    <m/>
    <m/>
    <n v="58"/>
    <s v="Albanian Chrome shpk, BerAlba shpk, Empire Mining, Jab Resources, Balkan Resources, Cougar Mining, Tirex Exploration, Afrimi-k, Alb-Canaj, Algej shpk, Ateani shpk, Bytyci, Egi-K, Elidon - 06, Ernisi shpk, Fabrika e Pasurimit te Kromit, Florida shpk, Gentari, Gjoni shpk, Herbi, Info Metal Plast al shpk, Klervibris shpk, Klosi shpk, Koka shpk, Aren 2003, Alb Xhoi, Koxheri shpk, Krasta shpk, Kromex Import Export, Lahaze, Lamnica shpk, Leshnica, Marei shpk, Mineral - Invest shpk, Miniera e kromit katjel, Neli, Ral shpk, Runja, Shkalla shpk, Shkembi shpk, Tadri shpk, Tollja, Vellazeria shpk, Ylberi shpk, Selenice Bitumi sha, Alb Tiefbau, Antea cement, Babasi coo shpk, F. Kruja cement factory, Makaresh shpk, Salillari shpk, Shkodra intert, Stone Production, Vellezerit Llupo shpk, B &amp; b Stone, Dks Group shpk, Albitoil shpk, Prodhime Karbonike sha, Arsi shpk, Klervibris shpk"/>
    <n v="56"/>
    <m/>
    <m/>
    <m/>
    <m/>
    <s v="3, 4, 11"/>
    <m/>
    <m/>
    <m/>
    <m/>
    <m/>
    <m/>
    <m/>
    <m/>
    <m/>
    <m/>
    <m/>
    <m/>
    <m/>
    <m/>
    <m/>
    <m/>
    <m/>
    <m/>
    <m/>
    <m/>
    <m/>
  </r>
  <r>
    <x v="6"/>
    <n v="2011"/>
    <x v="1"/>
    <s v="Europe and Central Asia"/>
    <m/>
    <s v="Mining"/>
    <s v="yes"/>
    <s v="no"/>
    <s v="no"/>
    <s v="Bitumen"/>
    <s v="detailed"/>
    <s v="detailed Mining"/>
    <m/>
    <m/>
    <m/>
    <m/>
    <m/>
    <m/>
    <m/>
    <m/>
    <m/>
    <m/>
    <m/>
    <m/>
    <m/>
    <m/>
    <m/>
    <m/>
    <m/>
    <m/>
    <m/>
    <m/>
    <m/>
    <m/>
    <m/>
    <m/>
    <m/>
    <m/>
    <m/>
    <m/>
    <m/>
    <m/>
    <m/>
    <m/>
    <m/>
    <m/>
    <m/>
    <m/>
    <m/>
    <m/>
    <m/>
    <m/>
    <m/>
    <m/>
    <m/>
    <m/>
    <m/>
    <m/>
    <m/>
    <m/>
    <m/>
    <m/>
    <m/>
    <m/>
    <m/>
    <m/>
    <m/>
  </r>
  <r>
    <x v="6"/>
    <n v="2011"/>
    <x v="1"/>
    <s v="Europe and Central Asia"/>
    <m/>
    <s v="Mining"/>
    <s v="yes"/>
    <s v="no"/>
    <s v="no"/>
    <s v="Chromite"/>
    <s v="detailed"/>
    <s v="detailed Mining"/>
    <m/>
    <m/>
    <m/>
    <m/>
    <m/>
    <m/>
    <m/>
    <m/>
    <m/>
    <n v="143000000"/>
    <m/>
    <m/>
    <m/>
    <m/>
    <m/>
    <m/>
    <m/>
    <m/>
    <m/>
    <m/>
    <m/>
    <m/>
    <m/>
    <m/>
    <m/>
    <m/>
    <m/>
    <m/>
    <m/>
    <m/>
    <m/>
    <m/>
    <m/>
    <m/>
    <s v="Chromium production value given in EITI report (p. 10). The report also includes the % contribution of each mineral to total production value. "/>
    <m/>
    <m/>
    <m/>
    <m/>
    <m/>
    <m/>
    <m/>
    <m/>
    <m/>
    <m/>
    <m/>
    <m/>
    <m/>
    <m/>
    <m/>
    <m/>
    <m/>
    <m/>
    <m/>
    <m/>
  </r>
  <r>
    <x v="6"/>
    <n v="2011"/>
    <x v="1"/>
    <s v="Europe and Central Asia"/>
    <m/>
    <s v="Mining"/>
    <s v="yes"/>
    <s v="no"/>
    <s v="no"/>
    <s v="Copper"/>
    <s v="detailed"/>
    <s v="detailed Mining"/>
    <m/>
    <m/>
    <m/>
    <m/>
    <m/>
    <m/>
    <m/>
    <m/>
    <m/>
    <m/>
    <m/>
    <m/>
    <m/>
    <m/>
    <m/>
    <m/>
    <m/>
    <m/>
    <m/>
    <m/>
    <m/>
    <m/>
    <m/>
    <m/>
    <m/>
    <m/>
    <m/>
    <m/>
    <m/>
    <m/>
    <m/>
    <m/>
    <m/>
    <m/>
    <m/>
    <m/>
    <m/>
    <m/>
    <m/>
    <m/>
    <m/>
    <m/>
    <m/>
    <m/>
    <m/>
    <m/>
    <m/>
    <m/>
    <m/>
    <m/>
    <m/>
    <m/>
    <m/>
    <m/>
    <m/>
  </r>
  <r>
    <x v="6"/>
    <n v="2011"/>
    <x v="1"/>
    <s v="Europe and Central Asia"/>
    <m/>
    <s v="Mining"/>
    <s v="yes"/>
    <s v="no"/>
    <s v="no"/>
    <s v="Limestone"/>
    <s v="detailed"/>
    <s v="detailed Mining"/>
    <m/>
    <m/>
    <m/>
    <m/>
    <m/>
    <m/>
    <m/>
    <m/>
    <m/>
    <m/>
    <m/>
    <m/>
    <m/>
    <m/>
    <m/>
    <m/>
    <m/>
    <m/>
    <m/>
    <m/>
    <m/>
    <m/>
    <m/>
    <m/>
    <m/>
    <m/>
    <m/>
    <m/>
    <m/>
    <m/>
    <m/>
    <m/>
    <m/>
    <m/>
    <m/>
    <m/>
    <m/>
    <m/>
    <m/>
    <m/>
    <m/>
    <m/>
    <m/>
    <m/>
    <m/>
    <m/>
    <m/>
    <m/>
    <m/>
    <m/>
    <m/>
    <m/>
    <m/>
    <m/>
    <m/>
  </r>
  <r>
    <x v="6"/>
    <n v="2011"/>
    <x v="1"/>
    <s v="Europe and Central Asia"/>
    <m/>
    <s v="Mining"/>
    <s v="yes"/>
    <s v="no"/>
    <s v="no"/>
    <s v="Nickel"/>
    <s v="detailed"/>
    <s v="detailed Mining"/>
    <m/>
    <m/>
    <m/>
    <m/>
    <m/>
    <m/>
    <m/>
    <m/>
    <m/>
    <m/>
    <m/>
    <m/>
    <m/>
    <m/>
    <m/>
    <m/>
    <m/>
    <m/>
    <m/>
    <m/>
    <m/>
    <m/>
    <m/>
    <m/>
    <m/>
    <m/>
    <m/>
    <m/>
    <m/>
    <m/>
    <m/>
    <m/>
    <m/>
    <m/>
    <m/>
    <m/>
    <m/>
    <m/>
    <m/>
    <m/>
    <m/>
    <m/>
    <m/>
    <m/>
    <m/>
    <m/>
    <m/>
    <m/>
    <m/>
    <m/>
    <m/>
    <m/>
    <m/>
    <m/>
    <m/>
  </r>
  <r>
    <x v="7"/>
    <n v="2012"/>
    <x v="1"/>
    <s v="Europe and Central Asia"/>
    <s v="http://www.albeiti.org/"/>
    <s v="Oil, Mining"/>
    <m/>
    <m/>
    <m/>
    <s v="Total"/>
    <m/>
    <m/>
    <m/>
    <m/>
    <m/>
    <m/>
    <m/>
    <m/>
    <m/>
    <m/>
    <m/>
    <n v="633200000"/>
    <s v="Profits/Taxes, Royalties, Dividends"/>
    <s v="Does not include payments made in-kind"/>
    <s v="No"/>
    <n v="92136623.819999993"/>
    <n v="92418128.930000007"/>
    <m/>
    <n v="111288355.06999999"/>
    <s v="EITI Report"/>
    <n v="0.14550951329753631"/>
    <s v="Albanian Lek"/>
    <n v="106.57"/>
    <s v="Disaggregated by revenue stream, Disaggregated by company"/>
    <m/>
    <m/>
    <m/>
    <m/>
    <n v="78"/>
    <s v="Bankers Petroleum Albania Ltd., Dega në Shqipëri e Stream Oil &amp; Gas Ltd., Sherwood International Petroleum Ltd., Transoil Group - Dega në Shqipëri, Petromanas Albania GmbH, Capricorn Albania Limited, San Leon Durrësi B.V., Emanuelle Adriatic Energy Ltd., Fushe Kruja Cement Factory Sh.p.k., Antea Cement Sh.a., Babasi COO Sh.p.k., Beralb Sh.a., United Quarries, Sh.p.k., Gerold Sh.p.k., Miniera e Kromit Katjel Sh.p.k., Bytyçi Sh.p.k., Ernisi Sh.p.k., Vëllazëria Sh.p.k., Cahani Sh.p.k., Leshnica Sh.p.k., Nika BL Sh.p.k., Lamnica Sh.p.k., Albchrome Sh.p.k., Koka Sh.p.k., Egi - K Sh.p.k., Zasha Sh.p.k., Runja Sh.p.k., Gjoni Sh.p.k., Gentari Sh.p.k., Fabrika e Pasurimit të Kromit Bulqizë Sh.p.k., Isaku Sh.p.k., Rier Sh.p.k., Alb - Canaj Sh.p.k., Herbi Sh.p.k., Klosi Sh.p.k., Krasta Sh.p.k., Koxheri Sh.p.k., Kuarci Blace Sh.p.k., Neli Sh.p.k., Lubima Sh.p.k., Favina Sh.p.k., Ral Sh.p.k. _x000a_Shkalla Sh.p.k., Bledi Sh.p.k., Aliaj Group Sh.p.k. Romes Sh.p.k., Tili Inert Sh.p.k., Grenast Sh.p.k., Minex Sh.p.k., Brisel Sh.p.k., Albanisa - Krypi Sh.p.k., Ylberi, Sh.p.k., Ylberi Sh.p.k., Mineral Invest Sh.p.k., Kurti Sh.p.k. _x000a_Arkev Sh.p.k., Lita Brothers Construction Sh.p.k., Geri's 2002 Sh.p.k., Info Metal Plast - Al Sh.p.k., Ateani Sh.p.k., Yzo Sh.p.k., Platinium ALB Sh.p.k. _x000a_Vëllezërit Llupo Sh.p.k., Heidorn &amp; Binjaku Sh.p.k., Kromex Sh.p.k., Aris Albania Sh.p.k., Drini Bulqizë Sh.p.k., Prodhime Karbonike Sh.a., Salillari Sh.p.k., Stone Production Sh.p.k., 11 Heronjtë Bater Sh.p.k., Rej Sh.a., KNAUF - Tirana Sh.p.k., Pula - X Sh.p.k. "/>
    <n v="74"/>
    <s v="December 2014"/>
    <m/>
    <s v="Deloitte"/>
    <s v="https://eiti.org/files/EITI%20Report%202012_English_SITE.pdf"/>
    <m/>
    <s v="Total production value (and certain commodity production values) missing but calculated here adding the oil and mining values. Payment values differ from EITI website (Website may have double counted)"/>
    <m/>
    <m/>
    <m/>
    <m/>
    <m/>
    <m/>
    <m/>
    <m/>
    <m/>
    <m/>
    <m/>
    <m/>
    <m/>
    <m/>
    <m/>
    <m/>
    <m/>
    <m/>
    <m/>
    <m/>
  </r>
  <r>
    <x v="7"/>
    <n v="2012"/>
    <x v="1"/>
    <s v="Europe and Central Asia"/>
    <m/>
    <s v="Oil"/>
    <m/>
    <m/>
    <m/>
    <s v="Oil"/>
    <m/>
    <m/>
    <m/>
    <m/>
    <m/>
    <n v="1029300"/>
    <m/>
    <s v="t"/>
    <m/>
    <m/>
    <s v="Volume from EITI Report"/>
    <n v="484000000"/>
    <m/>
    <m/>
    <m/>
    <m/>
    <m/>
    <m/>
    <m/>
    <m/>
    <m/>
    <m/>
    <m/>
    <m/>
    <m/>
    <m/>
    <m/>
    <m/>
    <m/>
    <m/>
    <m/>
    <m/>
    <m/>
    <m/>
    <m/>
    <m/>
    <m/>
    <m/>
    <m/>
    <m/>
    <m/>
    <m/>
    <m/>
    <m/>
    <m/>
    <m/>
    <m/>
    <m/>
    <m/>
    <m/>
    <m/>
    <m/>
    <m/>
    <m/>
    <m/>
    <m/>
    <m/>
  </r>
  <r>
    <x v="7"/>
    <n v="2012"/>
    <x v="1"/>
    <s v="Europe and Central Asia"/>
    <m/>
    <s v="Mining"/>
    <m/>
    <m/>
    <m/>
    <s v="Total Mining"/>
    <m/>
    <m/>
    <m/>
    <m/>
    <m/>
    <m/>
    <m/>
    <m/>
    <m/>
    <m/>
    <m/>
    <n v="149200000"/>
    <m/>
    <m/>
    <m/>
    <m/>
    <m/>
    <m/>
    <m/>
    <m/>
    <m/>
    <m/>
    <m/>
    <m/>
    <m/>
    <m/>
    <m/>
    <m/>
    <m/>
    <m/>
    <m/>
    <m/>
    <m/>
    <m/>
    <m/>
    <m/>
    <m/>
    <m/>
    <m/>
    <m/>
    <m/>
    <m/>
    <m/>
    <m/>
    <m/>
    <m/>
    <m/>
    <m/>
    <m/>
    <m/>
    <m/>
    <m/>
    <m/>
    <m/>
    <m/>
    <m/>
    <m/>
  </r>
  <r>
    <x v="7"/>
    <n v="2012"/>
    <x v="1"/>
    <s v="Europe and Central Asia"/>
    <m/>
    <s v="Mining"/>
    <m/>
    <m/>
    <m/>
    <s v="Chromium"/>
    <m/>
    <m/>
    <m/>
    <m/>
    <m/>
    <n v="360000"/>
    <m/>
    <s v="t"/>
    <m/>
    <m/>
    <s v="Volume from EITI Report"/>
    <n v="92000000"/>
    <m/>
    <m/>
    <m/>
    <m/>
    <m/>
    <m/>
    <m/>
    <m/>
    <m/>
    <m/>
    <m/>
    <m/>
    <m/>
    <m/>
    <m/>
    <m/>
    <m/>
    <m/>
    <m/>
    <m/>
    <m/>
    <m/>
    <m/>
    <m/>
    <m/>
    <m/>
    <m/>
    <m/>
    <m/>
    <m/>
    <m/>
    <m/>
    <m/>
    <m/>
    <m/>
    <m/>
    <m/>
    <m/>
    <m/>
    <m/>
    <m/>
    <m/>
    <m/>
    <m/>
    <m/>
  </r>
  <r>
    <x v="7"/>
    <n v="2012"/>
    <x v="1"/>
    <s v="Europe and Central Asia"/>
    <m/>
    <s v="Mining"/>
    <m/>
    <m/>
    <m/>
    <s v="Copper"/>
    <m/>
    <m/>
    <m/>
    <m/>
    <m/>
    <n v="480000"/>
    <m/>
    <s v="t"/>
    <m/>
    <m/>
    <s v="Volume from EITI Report"/>
    <m/>
    <m/>
    <m/>
    <m/>
    <m/>
    <m/>
    <m/>
    <m/>
    <m/>
    <m/>
    <m/>
    <m/>
    <m/>
    <m/>
    <m/>
    <m/>
    <m/>
    <m/>
    <m/>
    <m/>
    <m/>
    <m/>
    <m/>
    <m/>
    <m/>
    <m/>
    <m/>
    <m/>
    <m/>
    <m/>
    <m/>
    <m/>
    <m/>
    <m/>
    <m/>
    <m/>
    <m/>
    <m/>
    <m/>
    <m/>
    <m/>
    <m/>
    <m/>
    <m/>
    <m/>
    <m/>
  </r>
  <r>
    <x v="7"/>
    <n v="2012"/>
    <x v="1"/>
    <s v="Europe and Central Asia"/>
    <m/>
    <s v="Mining"/>
    <m/>
    <m/>
    <m/>
    <s v="Iron-Nickel &amp; Nickel-Silicate"/>
    <m/>
    <m/>
    <m/>
    <m/>
    <m/>
    <n v="75000"/>
    <m/>
    <s v="t"/>
    <m/>
    <m/>
    <s v="Volume from EITI Report"/>
    <m/>
    <m/>
    <m/>
    <m/>
    <m/>
    <m/>
    <m/>
    <m/>
    <m/>
    <m/>
    <m/>
    <m/>
    <m/>
    <m/>
    <m/>
    <m/>
    <m/>
    <m/>
    <m/>
    <m/>
    <m/>
    <m/>
    <m/>
    <m/>
    <m/>
    <m/>
    <m/>
    <m/>
    <m/>
    <m/>
    <m/>
    <m/>
    <m/>
    <m/>
    <m/>
    <m/>
    <m/>
    <m/>
    <m/>
    <m/>
    <m/>
    <m/>
    <m/>
    <m/>
    <m/>
    <m/>
  </r>
  <r>
    <x v="7"/>
    <n v="2012"/>
    <x v="1"/>
    <s v="Europe and Central Asia"/>
    <m/>
    <s v="Mining"/>
    <m/>
    <m/>
    <m/>
    <s v="Coal"/>
    <m/>
    <m/>
    <m/>
    <m/>
    <m/>
    <n v="1000"/>
    <m/>
    <s v="t"/>
    <m/>
    <m/>
    <s v="Volume from EITI Report"/>
    <m/>
    <m/>
    <m/>
    <m/>
    <m/>
    <m/>
    <m/>
    <m/>
    <m/>
    <m/>
    <m/>
    <m/>
    <m/>
    <m/>
    <m/>
    <m/>
    <m/>
    <m/>
    <m/>
    <m/>
    <m/>
    <m/>
    <m/>
    <m/>
    <m/>
    <m/>
    <m/>
    <m/>
    <m/>
    <m/>
    <m/>
    <m/>
    <m/>
    <m/>
    <m/>
    <m/>
    <m/>
    <m/>
    <m/>
    <m/>
    <m/>
    <m/>
    <m/>
    <m/>
    <m/>
    <m/>
  </r>
  <r>
    <x v="7"/>
    <n v="2012"/>
    <x v="1"/>
    <s v="Europe and Central Asia"/>
    <m/>
    <s v="Mining"/>
    <m/>
    <m/>
    <m/>
    <s v="Limestone"/>
    <m/>
    <m/>
    <m/>
    <m/>
    <m/>
    <n v="2727000"/>
    <m/>
    <s v="m³"/>
    <m/>
    <m/>
    <s v="Volume from EITI Report"/>
    <m/>
    <m/>
    <m/>
    <m/>
    <m/>
    <m/>
    <m/>
    <m/>
    <m/>
    <m/>
    <m/>
    <m/>
    <m/>
    <m/>
    <m/>
    <m/>
    <m/>
    <m/>
    <m/>
    <m/>
    <m/>
    <m/>
    <m/>
    <m/>
    <m/>
    <m/>
    <m/>
    <m/>
    <m/>
    <m/>
    <m/>
    <m/>
    <m/>
    <m/>
    <m/>
    <m/>
    <m/>
    <m/>
    <m/>
    <m/>
    <m/>
    <m/>
    <m/>
    <m/>
    <m/>
    <m/>
  </r>
  <r>
    <x v="7"/>
    <n v="2012"/>
    <x v="1"/>
    <s v="Europe and Central Asia"/>
    <m/>
    <s v="Mining"/>
    <m/>
    <m/>
    <m/>
    <s v="Clay"/>
    <m/>
    <m/>
    <m/>
    <m/>
    <m/>
    <n v="961000"/>
    <m/>
    <s v="t"/>
    <m/>
    <m/>
    <s v="Volume from EITI Report"/>
    <m/>
    <m/>
    <m/>
    <m/>
    <m/>
    <m/>
    <m/>
    <m/>
    <m/>
    <m/>
    <m/>
    <m/>
    <m/>
    <m/>
    <m/>
    <m/>
    <m/>
    <m/>
    <m/>
    <m/>
    <m/>
    <m/>
    <m/>
    <m/>
    <m/>
    <m/>
    <m/>
    <m/>
    <m/>
    <m/>
    <m/>
    <m/>
    <m/>
    <m/>
    <m/>
    <m/>
    <m/>
    <m/>
    <m/>
    <m/>
    <m/>
    <m/>
    <m/>
    <m/>
    <m/>
    <m/>
  </r>
  <r>
    <x v="7"/>
    <n v="2012"/>
    <x v="1"/>
    <s v="Europe and Central Asia"/>
    <m/>
    <s v="Mining"/>
    <m/>
    <m/>
    <m/>
    <s v="Gypsum"/>
    <m/>
    <m/>
    <m/>
    <m/>
    <m/>
    <n v="91000"/>
    <m/>
    <s v="t"/>
    <m/>
    <m/>
    <s v="Volume from EITI Report"/>
    <m/>
    <m/>
    <m/>
    <m/>
    <m/>
    <m/>
    <m/>
    <m/>
    <m/>
    <m/>
    <m/>
    <m/>
    <m/>
    <m/>
    <m/>
    <m/>
    <m/>
    <m/>
    <m/>
    <m/>
    <m/>
    <m/>
    <m/>
    <m/>
    <m/>
    <m/>
    <m/>
    <m/>
    <m/>
    <m/>
    <m/>
    <m/>
    <m/>
    <m/>
    <m/>
    <m/>
    <m/>
    <m/>
    <m/>
    <m/>
    <m/>
    <m/>
    <m/>
    <m/>
    <m/>
    <m/>
  </r>
  <r>
    <x v="8"/>
    <n v="2003"/>
    <x v="2"/>
    <s v="Europe and Central Asia"/>
    <s v="http://www.eiti.az"/>
    <s v="Oil, Gas"/>
    <s v="no"/>
    <s v="yes"/>
    <s v="yes"/>
    <s v="Total"/>
    <s v="Total"/>
    <s v="Total Oil, Gas"/>
    <m/>
    <m/>
    <m/>
    <m/>
    <m/>
    <m/>
    <m/>
    <m/>
    <m/>
    <n v="3997703028.0599999"/>
    <s v="Host government's production entitlement, State-owned company production entitlement, Royalties, Other significant benefits to government"/>
    <s v="Also covers payments made in-kind (though these are only reported for Government)"/>
    <s v="Yes"/>
    <n v="622338949.75102043"/>
    <n v="263638775.51020396"/>
    <m/>
    <m/>
    <m/>
    <n v="0.15567413221612619"/>
    <s v="United States Dollar and Azerbaijani Manat (converted from the "/>
    <n v="0.98"/>
    <s v="Disaggregated by revenue stream"/>
    <s v="6,600,000 bbl of oil; 1,052,200 thousand cubic metres of gas"/>
    <n v="363048976"/>
    <m/>
    <m/>
    <n v="21"/>
    <s v="BP Exploration (Caspian Sea) Limited, State Oil Company of the Republic of Azerbaijan, Total E&amp;P Azerbaijan B.V., ITOCHU Oil Exploration (Azerbaijan) Inc., Statoil, Turkish Petroleum A.O., Commonwealth Oil and Gas, Exxon Azerbaijan Limited, ConocoPhillips, Amerada Hess (ACG) Limited, Devon Energy Caspian Corporation, Lukoil Overseas, Unocal Khazar, Shengli Oil, Salyan Oil Limited, Karasu Operating Company, Shell Azerbaijan Exploration and Production, Middle East Petroleum, Anshad Petrol JV, Shirvan Oil JV, Azgerneft JV"/>
    <n v="21"/>
    <s v="February 2005"/>
    <d v="2014-09-05T00:00:00"/>
    <s v="Deloitte"/>
    <s v="http://eiti.org/files/Azerbaijan-2003-EITI-Report.pdf"/>
    <s v="2-3"/>
    <s v="The report uses US dollars for payments by foreign companies, and the local currency, the Old Azerbaijani Manat (AZM), for payments by local companies. An exchange rate is not provided to convert the latter. The local currency has since changed to the New Old Azerbijani Manat (AZN) at the rate 5000AZM=1AZN. This is used to convert the local currency payments to AZN and then the exchange rate for US$:AZN of the World Bank is used (http://data.worldbank.org/indicator/PA.NUS.FCRF).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are not included in the final figures, but these have been added retrospectively. Unilateral declarations are included in the figures. Five companies were not asked to report, but are reported on by government."/>
    <m/>
    <m/>
    <m/>
    <m/>
    <m/>
    <m/>
    <m/>
    <m/>
    <m/>
    <m/>
    <m/>
    <m/>
    <m/>
    <m/>
    <m/>
    <m/>
    <m/>
    <m/>
    <m/>
    <m/>
  </r>
  <r>
    <x v="8"/>
    <n v="2003"/>
    <x v="2"/>
    <s v="Europe and Central Asia"/>
    <m/>
    <s v="Gas"/>
    <s v="no"/>
    <s v="yes"/>
    <s v="no"/>
    <s v="Gas"/>
    <s v="detailed"/>
    <s v="detailed Gas"/>
    <n v="4600000000"/>
    <n v="30360000"/>
    <m/>
    <m/>
    <m/>
    <s v="m³"/>
    <n v="0.16410100000000002"/>
    <s v="US$/m³"/>
    <s v="Volume and price from BPSR 2014. Price is an average of the UK, US and Canada Indices for natural gas."/>
    <n v="754864600.00000012"/>
    <m/>
    <m/>
    <m/>
    <n v="0.23277897334268094"/>
    <m/>
    <m/>
    <m/>
    <m/>
    <m/>
    <m/>
    <m/>
    <m/>
    <s v="1,052,200,000 cubic metres of gas"/>
    <n v="172667072.20000002"/>
    <m/>
    <m/>
    <m/>
    <m/>
    <m/>
    <m/>
    <m/>
    <m/>
    <m/>
    <m/>
    <m/>
    <m/>
    <m/>
    <m/>
    <m/>
    <m/>
    <m/>
    <m/>
    <m/>
    <m/>
    <m/>
    <m/>
    <m/>
    <m/>
    <m/>
    <m/>
    <m/>
    <m/>
    <m/>
    <m/>
    <m/>
  </r>
  <r>
    <x v="8"/>
    <n v="2003"/>
    <x v="2"/>
    <s v="Europe and Central Asia"/>
    <m/>
    <s v="Oil"/>
    <s v="no"/>
    <s v="no"/>
    <s v="yes"/>
    <s v="Oil"/>
    <s v="detailed"/>
    <s v="detailed Oil"/>
    <n v="112420000"/>
    <n v="0.27005870841487278"/>
    <m/>
    <m/>
    <m/>
    <s v="bbl"/>
    <n v="28.845742999999999"/>
    <s v="US$/bbl"/>
    <s v="Volume and price from BPSR 2014. Price is an average of the spot prices for Brent, Dubai, Nigerian Forcados and West Texas Intermediate crude oil."/>
    <n v="3242838428.0599999"/>
    <m/>
    <m/>
    <m/>
    <m/>
    <m/>
    <m/>
    <m/>
    <m/>
    <m/>
    <m/>
    <m/>
    <m/>
    <s v="6,600,000 bbl"/>
    <n v="190381903.79999998"/>
    <m/>
    <m/>
    <m/>
    <m/>
    <m/>
    <m/>
    <m/>
    <m/>
    <m/>
    <m/>
    <m/>
    <m/>
    <m/>
    <m/>
    <m/>
    <m/>
    <m/>
    <m/>
    <m/>
    <m/>
    <m/>
    <m/>
    <m/>
    <m/>
    <m/>
    <m/>
    <m/>
    <m/>
    <m/>
    <m/>
    <m/>
  </r>
  <r>
    <x v="9"/>
    <n v="2004"/>
    <x v="2"/>
    <s v="Europe and Central Asia"/>
    <s v="http://www.eiti.az"/>
    <s v="Oil, Gas"/>
    <s v="no"/>
    <s v="yes"/>
    <s v="yes"/>
    <s v="Total"/>
    <s v="Total"/>
    <s v="Total Oil, Gas"/>
    <m/>
    <m/>
    <m/>
    <m/>
    <m/>
    <m/>
    <m/>
    <m/>
    <m/>
    <n v="5093724575.55375"/>
    <s v="Host government's production entitlement, State-owned company production entitlement, Profits/Taxes, Royalties, Dividends, Other significant benefits to government"/>
    <s v="Also covers payments made in-kind (though these are only reported for Government)"/>
    <s v="Yes"/>
    <n v="1099837402.0408163"/>
    <n v="645018367.34693873"/>
    <m/>
    <m/>
    <m/>
    <n v="0.21592007689604037"/>
    <s v="United States Dollar and Azerbaijani Manat"/>
    <n v="0.98"/>
    <s v="Disaggregated by revenue stream"/>
    <s v="6,700,000 bbl of oil; 1,050,000 thousand cubic metres of gas"/>
    <n v="445467623.32500005"/>
    <m/>
    <m/>
    <n v="21"/>
    <s v="BP Exploration (Caspian Sea) Limited, State Oil Company of the Republic of Azerbaijan, Total E&amp;P Azerbaijan B.V., ITOCHU Oil Exploration (Azerbaijan) Inc., Statoil, Turkish Petroleum A.O., Commonwealth Oil and Gas, Exxon Azerbaijan Limited, ConocoPhillips, Amerada Hess (ACG) Limited, Devon Energy Caspian Corporation, Lukoil Overseas, Unocal Khazar, Shengli Oil, Salyan Oil Limited, Karasu Operating Company, Shell Azerbaijan Exploration and Production, Middle East Petroleum, Anshad Petrol JV, Shirvan Oil JV, Azgerneft JV"/>
    <n v="21"/>
    <s v="June 2005"/>
    <d v="2014-09-05T00:00:00"/>
    <s v="Deloitte"/>
    <s v="http://eiti.org/files/Azerbaijan-2004-EITI-Report.pdf"/>
    <s v="2-4"/>
    <s v="The report uses US dollars for payments by foreign companies, and the local currency, the Old Azerbaijani Manat (AZM), for payments by local companies. An exchange rate is not provided to convert the latter. The local currency has since changed to the New Old Azerbijani Manat (AZN) at the rate 5000AZM=1AZN. This is used to convert the local currency payments to AZN and then the exchange rate for US$:AZN of the World Bank is used (http://data.worldbank.org/indicator/PA.NUS.FCRF).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Five companies were not asked to report, but are reported on by government."/>
    <m/>
    <m/>
    <m/>
    <m/>
    <m/>
    <m/>
    <m/>
    <m/>
    <m/>
    <m/>
    <m/>
    <m/>
    <m/>
    <m/>
    <m/>
    <m/>
    <m/>
    <m/>
    <m/>
    <m/>
  </r>
  <r>
    <x v="9"/>
    <n v="2004"/>
    <x v="2"/>
    <s v="Europe and Central Asia"/>
    <m/>
    <s v="Gas"/>
    <s v="no"/>
    <s v="yes"/>
    <s v="no"/>
    <s v="Gas"/>
    <s v="detailed"/>
    <s v="detailed Gas"/>
    <n v="4500000000"/>
    <n v="29700000"/>
    <m/>
    <m/>
    <m/>
    <s v="m³"/>
    <n v="0.18254599999999999"/>
    <s v="US$/m³"/>
    <s v="Volume and price from BPSR 2014. Price is an average of the UK, US and Canada Indices for natural gas."/>
    <n v="821456999.99999988"/>
    <m/>
    <m/>
    <m/>
    <n v="0.1922765804043832"/>
    <m/>
    <m/>
    <m/>
    <m/>
    <m/>
    <m/>
    <m/>
    <m/>
    <s v="1,050,000,000 thousand cubic metres of gas"/>
    <n v="191673300"/>
    <m/>
    <m/>
    <m/>
    <m/>
    <m/>
    <m/>
    <m/>
    <m/>
    <m/>
    <m/>
    <m/>
    <m/>
    <m/>
    <m/>
    <m/>
    <m/>
    <m/>
    <m/>
    <m/>
    <m/>
    <m/>
    <m/>
    <m/>
    <m/>
    <m/>
    <m/>
    <m/>
    <m/>
    <m/>
    <m/>
    <m/>
  </r>
  <r>
    <x v="9"/>
    <n v="2004"/>
    <x v="2"/>
    <s v="Europe and Central Asia"/>
    <m/>
    <s v="Oil"/>
    <s v="no"/>
    <s v="no"/>
    <s v="yes"/>
    <s v="Oil"/>
    <s v="detailed"/>
    <s v="detailed Oil"/>
    <n v="112785000"/>
    <n v="0.26333289001196969"/>
    <m/>
    <m/>
    <m/>
    <s v="bbl"/>
    <n v="37.879749750000002"/>
    <s v="US$/bbl"/>
    <s v="Volume and price from BPSR 2014. Price is an average of the spot prices for Brent, Dubai, Nigerian Forcados and West Texas Intermediate crude oil."/>
    <n v="4272267575.55375"/>
    <m/>
    <m/>
    <m/>
    <m/>
    <m/>
    <m/>
    <m/>
    <m/>
    <m/>
    <m/>
    <m/>
    <m/>
    <s v="6,700,000 bbl of oil"/>
    <n v="253794323.32500002"/>
    <m/>
    <m/>
    <m/>
    <m/>
    <m/>
    <m/>
    <m/>
    <m/>
    <m/>
    <m/>
    <m/>
    <m/>
    <m/>
    <m/>
    <m/>
    <m/>
    <m/>
    <m/>
    <m/>
    <m/>
    <m/>
    <m/>
    <m/>
    <m/>
    <m/>
    <m/>
    <m/>
    <m/>
    <m/>
    <m/>
    <m/>
  </r>
  <r>
    <x v="10"/>
    <n v="2005"/>
    <x v="2"/>
    <s v="Europe and Central Asia"/>
    <s v="http://www.eiti.az"/>
    <s v="Oil, Gas"/>
    <s v="no"/>
    <s v="yes"/>
    <s v="yes"/>
    <s v="Total"/>
    <s v="Total"/>
    <s v="Total Oil, Gas"/>
    <m/>
    <m/>
    <m/>
    <m/>
    <m/>
    <m/>
    <m/>
    <m/>
    <m/>
    <n v="10226484962.86375"/>
    <s v="Host government's production entitlement, State-owned company production entitlement, Profits/Taxes, Bonuses, Other significant benefits to government"/>
    <s v="Also covers payments made in-kind (though these are only reported for Government)"/>
    <s v="Yes"/>
    <n v="1468619689.6725025"/>
    <n v="157145502.64550266"/>
    <m/>
    <m/>
    <m/>
    <n v="0.1436094312958576"/>
    <s v="United States Dollar and Azerbaijani Manat"/>
    <n v="0.94499999999999995"/>
    <s v="Disaggregated by revenue stream"/>
    <s v="14,300,000 bbl of oil; 1,919,709,000 cubic metres of gas"/>
    <n v="1307774187.027"/>
    <m/>
    <m/>
    <n v="22"/>
    <s v="BP Exploration (Caspian Sea) Limited, State Oil Company of the Republic of Azerbaijan, Total E&amp;P Azerbaijan B.V., ITOCHU Oil Exploration (Azerbaijan) Inc., Statoil, Turkish Petroleum A.O., Commonwealth Oil and Gas, Exxon Azerbaijan Limited, ConocoPhillips,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
    <n v="22"/>
    <s v="June 2006"/>
    <d v="2014-09-05T00:00:00"/>
    <s v="Moore Stephens"/>
    <s v="http://eiti.org/files/Azerbaijan-2005-EITI-Report.pdf"/>
    <s v="2-4"/>
    <s v="The report uses US dollars for payments by foreign companies, and the local currency, the Old Azerbaijani Manat (AZM), for payments by local companies. An exchange rate is not provided to convert the latter as the local currency has since changed to the New Old Azerbijani Manat (AZN) at the rate 5000AZM=1AZN. This is used to convert the local currency payments to AZN and then the exchange rate provided in the report for US$:AZN is used.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Three companies were not asked to report, but are reported on by government."/>
    <m/>
    <m/>
    <m/>
    <m/>
    <m/>
    <m/>
    <m/>
    <m/>
    <m/>
    <m/>
    <m/>
    <m/>
    <m/>
    <m/>
    <m/>
    <m/>
    <m/>
    <m/>
    <m/>
    <m/>
  </r>
  <r>
    <x v="10"/>
    <n v="2005"/>
    <x v="2"/>
    <s v="Europe and Central Asia"/>
    <m/>
    <s v="Gas"/>
    <s v="no"/>
    <s v="yes"/>
    <s v="no"/>
    <s v="Gas"/>
    <s v="detailed"/>
    <s v="detailed Gas"/>
    <n v="5200000000"/>
    <n v="34320000"/>
    <m/>
    <m/>
    <m/>
    <s v="m³"/>
    <n v="0.27869799999999995"/>
    <s v="US$/m³"/>
    <s v="Volume and price from BPSR 2014. Price is an average of the UK, US and Canada Indices for natural gas."/>
    <n v="1449229599.9999998"/>
    <m/>
    <m/>
    <m/>
    <n v="0.16511193306869454"/>
    <m/>
    <m/>
    <m/>
    <m/>
    <m/>
    <m/>
    <m/>
    <m/>
    <s v="1,919,709,000 cubic metres of gas"/>
    <n v="535019058.88199991"/>
    <m/>
    <m/>
    <m/>
    <m/>
    <m/>
    <m/>
    <m/>
    <m/>
    <m/>
    <m/>
    <m/>
    <m/>
    <m/>
    <m/>
    <m/>
    <m/>
    <m/>
    <m/>
    <m/>
    <m/>
    <m/>
    <m/>
    <m/>
    <m/>
    <m/>
    <m/>
    <m/>
    <m/>
    <m/>
    <m/>
    <m/>
  </r>
  <r>
    <x v="10"/>
    <n v="2005"/>
    <x v="2"/>
    <s v="Europe and Central Asia"/>
    <m/>
    <s v="Oil"/>
    <s v="no"/>
    <s v="no"/>
    <s v="yes"/>
    <s v="Oil"/>
    <s v="detailed"/>
    <s v="detailed Oil"/>
    <n v="162425000"/>
    <n v="0.21129752193319995"/>
    <m/>
    <m/>
    <m/>
    <s v="bbl"/>
    <n v="54.038820149999999"/>
    <s v="US$/bbl"/>
    <s v="Volume and price from BPSR 2014. Price is an average of the spot prices for Brent, Dubai, Nigerian Forcados and West Texas Intermediate crude oil."/>
    <n v="8777255362.8637505"/>
    <m/>
    <m/>
    <m/>
    <m/>
    <m/>
    <m/>
    <m/>
    <m/>
    <m/>
    <m/>
    <m/>
    <m/>
    <s v="14,300,000 bbl of oil"/>
    <n v="772755128.14499998"/>
    <m/>
    <m/>
    <m/>
    <m/>
    <m/>
    <m/>
    <m/>
    <m/>
    <m/>
    <m/>
    <m/>
    <m/>
    <m/>
    <m/>
    <m/>
    <m/>
    <m/>
    <m/>
    <m/>
    <m/>
    <m/>
    <m/>
    <m/>
    <m/>
    <m/>
    <m/>
    <m/>
    <m/>
    <m/>
    <m/>
    <m/>
  </r>
  <r>
    <x v="11"/>
    <n v="2006"/>
    <x v="2"/>
    <s v="Europe and Central Asia"/>
    <s v="http://www.eiti.az"/>
    <s v="Oil, Gas"/>
    <s v="no"/>
    <s v="yes"/>
    <s v="yes"/>
    <s v="Total"/>
    <s v="Total"/>
    <s v="Total Oil, Gas"/>
    <m/>
    <m/>
    <m/>
    <m/>
    <m/>
    <m/>
    <m/>
    <m/>
    <m/>
    <n v="16795972539.984999"/>
    <s v="Host government's production entitlement, State-owned company production entitlement, Profits/Taxes, Royalties, Bonuses, Other significant benefits to government"/>
    <s v="Also covers payments made in-kind (though these are only reported for Government)"/>
    <s v="Yes"/>
    <n v="3510790699.9586"/>
    <n v="1687436394"/>
    <m/>
    <m/>
    <m/>
    <n v="0.20902574659494744"/>
    <s v="United States Dollar and Azerbaijani Manat"/>
    <n v="0.89300000000000002"/>
    <s v="Disaggregated by revenue stream"/>
    <s v="19,000,000 bbl of oil; 2,395,468,900 thousand cubic metres of gas"/>
    <n v="1816979853.4586"/>
    <m/>
    <m/>
    <n v="25"/>
    <s v="BP Exploration (Caspian Sea) Limited, State Oil Company of the Republic of Azerbaijan, Total E&amp;ampP Azerbaijan B..,V ITOCHU Oil Exploration (Azerbaijan) Inc., Statoil, Turkish Petroleum A.O., Commonwealth Oil and Gas, Exxon Azerbaijan Limited, ConocoPhillips,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 Binegedi Oil Operating Company, Royal Association of Finance Investors, Naftiran Intergrade Co Ltd, The Baku-Tbilisi-Ceyhan Pipeline Company, Azerbaijan International Operating Company"/>
    <n v="25"/>
    <s v="July 2007"/>
    <d v="2014-09-05T00:00:00"/>
    <s v="Moore Stephens"/>
    <s v="http://eiti.org/files/Azerbaijan-2006-EITI-Report.pdf"/>
    <s v="5-10"/>
    <s v="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Two companies were not asked to report, but are reported on by government."/>
    <m/>
    <m/>
    <m/>
    <m/>
    <m/>
    <m/>
    <m/>
    <m/>
    <m/>
    <m/>
    <m/>
    <m/>
    <m/>
    <m/>
    <m/>
    <m/>
    <m/>
    <m/>
    <m/>
    <m/>
  </r>
  <r>
    <x v="11"/>
    <n v="2006"/>
    <x v="2"/>
    <s v="Europe and Central Asia"/>
    <m/>
    <s v="Gas"/>
    <s v="no"/>
    <s v="yes"/>
    <s v="no"/>
    <s v="Gas"/>
    <s v="detailed"/>
    <s v="detailed Gas"/>
    <n v="6100000000"/>
    <n v="40260000"/>
    <m/>
    <m/>
    <m/>
    <s v="m³"/>
    <n v="0.243474"/>
    <s v="US$/m³"/>
    <s v="Volume and price from BPSR 2014. Price is an average of the UK, US and Canada Indices for natural gas."/>
    <n v="1485191400"/>
    <m/>
    <m/>
    <m/>
    <n v="9.7002980215120174E-2"/>
    <m/>
    <m/>
    <m/>
    <m/>
    <m/>
    <m/>
    <m/>
    <m/>
    <s v="2,395,468,900 cubic metres of gas"/>
    <n v="583234394.95860004"/>
    <m/>
    <m/>
    <m/>
    <m/>
    <m/>
    <m/>
    <m/>
    <m/>
    <m/>
    <m/>
    <m/>
    <m/>
    <m/>
    <m/>
    <m/>
    <m/>
    <m/>
    <m/>
    <m/>
    <m/>
    <m/>
    <m/>
    <m/>
    <m/>
    <m/>
    <m/>
    <m/>
    <m/>
    <m/>
    <m/>
    <m/>
  </r>
  <r>
    <x v="11"/>
    <n v="2006"/>
    <x v="2"/>
    <s v="Europe and Central Asia"/>
    <m/>
    <s v="Oil"/>
    <s v="no"/>
    <s v="no"/>
    <s v="yes"/>
    <s v="Oil"/>
    <s v="detailed"/>
    <s v="detailed Oil"/>
    <n v="235790000"/>
    <n v="0.17074515458670853"/>
    <m/>
    <m/>
    <m/>
    <s v="bbl"/>
    <n v="64.933971499999998"/>
    <s v="US$/bbl"/>
    <s v="Volume and price from BPSR 2014. Price is an average of the spot prices for Brent, Dubai, Nigerian Forcados and West Texas Intermediate crude oil."/>
    <n v="15310781139.984999"/>
    <m/>
    <m/>
    <m/>
    <m/>
    <m/>
    <m/>
    <m/>
    <m/>
    <m/>
    <m/>
    <m/>
    <m/>
    <s v="19,000,000 bbl of oil"/>
    <n v="1233745458.5"/>
    <m/>
    <m/>
    <m/>
    <m/>
    <m/>
    <m/>
    <m/>
    <m/>
    <m/>
    <m/>
    <m/>
    <m/>
    <m/>
    <m/>
    <m/>
    <m/>
    <m/>
    <m/>
    <m/>
    <m/>
    <m/>
    <m/>
    <m/>
    <m/>
    <m/>
    <m/>
    <m/>
    <m/>
    <m/>
    <m/>
    <m/>
  </r>
  <r>
    <x v="12"/>
    <n v="2007"/>
    <x v="2"/>
    <s v="Europe and Central Asia"/>
    <s v="http://www.eiti.az"/>
    <s v="Oil, Gas"/>
    <s v="no"/>
    <s v="yes"/>
    <s v="yes"/>
    <s v="Total"/>
    <s v="Total"/>
    <s v="Total Oil, Gas"/>
    <m/>
    <m/>
    <m/>
    <m/>
    <m/>
    <m/>
    <m/>
    <m/>
    <m/>
    <n v="24669210601.398998"/>
    <s v="Host government's production entitlement, State-owned company production entitlement, Profits/Taxes, Royalties, Bonuses, Other significant benefits to government"/>
    <s v="Also covers payments made in-kind (though these are only reported for Government)"/>
    <s v="Yes"/>
    <n v="5563486877.5584002"/>
    <n v="2818365735"/>
    <m/>
    <m/>
    <m/>
    <n v="0.22552350650583416"/>
    <s v="United States Dollar and Azerbaijani Manat"/>
    <n v="0.85799999999999998"/>
    <s v="Disaggregated by revenue stream"/>
    <s v="30,300,000 bbl of oil; 2,423,507,200 cubic metres of gas"/>
    <n v="2727736601.1259003"/>
    <m/>
    <m/>
    <n v="25"/>
    <s v="BP Exploration (Caspian Sea) Limited, State Oil Company of the Republic of Azerbaijan, Total E&amp;P Azerbaijan B.V., ITOCHU Oil Exploration (Azerbaijan) Inc., Statoil, Turkish Petroleum A.O., Commonwealth Oil and Gas, Exxon Azerbaijan Limited,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 Binagadi Oil Operating Company Rafi Oil F.Z.E., Naftiran Intertrade Co. (NICO) Limited, Absheron Investments Ltd"/>
    <n v="25"/>
    <s v="May 2008"/>
    <d v="2014-09-06T00:00:00"/>
    <s v="Moore Stephens"/>
    <s v="http://eiti.org/files/Azerbaijan-2007-EITI-Report.pdf"/>
    <s v="4-9"/>
    <s v="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nd mistaken omissions by companies) are not included in the final figures, but these have been added retrospectively. Unilateral declarations are not included in the figures."/>
    <m/>
    <m/>
    <m/>
    <m/>
    <m/>
    <m/>
    <m/>
    <m/>
    <m/>
    <m/>
    <m/>
    <m/>
    <m/>
    <m/>
    <m/>
    <m/>
    <m/>
    <m/>
    <m/>
    <m/>
  </r>
  <r>
    <x v="12"/>
    <n v="2007"/>
    <x v="2"/>
    <s v="Europe and Central Asia"/>
    <m/>
    <s v="Gas"/>
    <s v="no"/>
    <s v="yes"/>
    <s v="no"/>
    <s v="Gas"/>
    <s v="detailed"/>
    <s v="detailed Gas"/>
    <n v="9800000000"/>
    <n v="64680000"/>
    <m/>
    <m/>
    <m/>
    <s v="m³"/>
    <n v="0.22764700000000004"/>
    <s v="US$/m³"/>
    <s v="Volume and price from BPSR 2014. Price is an average of the UK, US and Canada Indices for natural gas."/>
    <n v="2230940600.0000005"/>
    <m/>
    <m/>
    <m/>
    <n v="9.94256954685412E-2"/>
    <m/>
    <m/>
    <m/>
    <m/>
    <m/>
    <m/>
    <m/>
    <m/>
    <s v="2,423,507,200 cubic metres of gas"/>
    <n v="551704143.55840015"/>
    <m/>
    <m/>
    <m/>
    <m/>
    <m/>
    <m/>
    <m/>
    <m/>
    <m/>
    <m/>
    <m/>
    <m/>
    <m/>
    <m/>
    <m/>
    <m/>
    <m/>
    <m/>
    <m/>
    <m/>
    <m/>
    <m/>
    <m/>
    <m/>
    <m/>
    <m/>
    <m/>
    <m/>
    <m/>
    <m/>
    <m/>
  </r>
  <r>
    <x v="12"/>
    <n v="2007"/>
    <x v="2"/>
    <s v="Europe and Central Asia"/>
    <m/>
    <s v="Oil"/>
    <s v="no"/>
    <s v="no"/>
    <s v="yes"/>
    <s v="Oil"/>
    <s v="detailed"/>
    <s v="detailed Oil"/>
    <n v="312440000"/>
    <n v="0.20701574702342851"/>
    <m/>
    <m/>
    <m/>
    <s v="bbl"/>
    <n v="71.816252724999998"/>
    <s v="US$/bbl"/>
    <s v="Volume and price from BPSR 2014. Price is an average of the spot prices for Brent, Dubai, Nigerian Forcados and West Texas Intermediate crude oil."/>
    <n v="22438270001.398998"/>
    <m/>
    <m/>
    <m/>
    <m/>
    <m/>
    <m/>
    <m/>
    <m/>
    <m/>
    <m/>
    <m/>
    <m/>
    <s v="30,300,000 bbl of oil"/>
    <n v="2176032457.5675001"/>
    <m/>
    <m/>
    <m/>
    <m/>
    <m/>
    <m/>
    <m/>
    <m/>
    <m/>
    <m/>
    <m/>
    <m/>
    <m/>
    <m/>
    <m/>
    <m/>
    <m/>
    <m/>
    <m/>
    <m/>
    <m/>
    <m/>
    <m/>
    <m/>
    <m/>
    <m/>
    <m/>
    <m/>
    <m/>
    <m/>
    <m/>
  </r>
  <r>
    <x v="13"/>
    <n v="2008"/>
    <x v="2"/>
    <s v="Europe and Central Asia"/>
    <s v="http://www.eiti.az"/>
    <s v="Oil, Gas"/>
    <s v="no"/>
    <s v="yes"/>
    <s v="yes"/>
    <s v="Total"/>
    <s v="Total"/>
    <s v="Total Oil, Gas"/>
    <m/>
    <m/>
    <m/>
    <m/>
    <m/>
    <m/>
    <m/>
    <m/>
    <m/>
    <n v="36968547850"/>
    <s v="Host government's production entitlement, State-owned company production entitlement, Profits/Taxes, Royalties, Bonuses, Other significant benefits to government"/>
    <s v="Also covers payments made in-kind (though these are only reported for Government)"/>
    <s v="Yes"/>
    <n v="19134087707.225998"/>
    <n v="3822950670"/>
    <m/>
    <m/>
    <m/>
    <n v="0.51757747653120212"/>
    <s v="United States Dollar and Azerbaijani Manat"/>
    <n v="0.82099999999999995"/>
    <s v="Disaggregated by revenue stream"/>
    <s v="150,200,000 bbl of oil; 2,139,058,000 cubic metres of gas"/>
    <n v="15463469853.226"/>
    <m/>
    <m/>
    <n v="26"/>
    <s v="BP Exploration (Caspian Sea) Limited, State Oil Company of the Republic of Azerbaijan, Total E&amp;P Azerbaijan B.V., ITOCHU Oil Exploration (Azerbaijan) Inc., Statoil, Turkish Petroleum A.O., Commonwealth Oil and Gas, Exxon Azerbaijan Limited, ConocoPhilips, Amerada Hess (ACG) Limited, Devon Energy Caspian Corporation, Lukoil Overseas, Chevron, Petro-Hongkong-Piesaat Oil Ltd, Salyan Oil, Karasu Operating Company, Shell Azerbaijan Exploration and Production, Middle East Petroleum, Anshad Petrol JV, Shirvan Oil JV, Azgerneft JV, Inpex, Binagadi Oil Operating Company, Rafi Oil F.Z.E., Naftiran Intertrade Co. (NICO) Limited, Absheron Investments Ltd"/>
    <n v="26"/>
    <s v="May 2009"/>
    <d v="2014-09-06T00:00:00"/>
    <s v="Moore Stephens"/>
    <s v="http://eiti.org/files/Azerbaijan-2008-EITI-Report.pdf"/>
    <s v="2-7"/>
    <s v="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nd mistaken omissions by companies) are not included in the final figures, but these have been added retrospectively. Unilateral declarations are included in the figures."/>
    <m/>
    <m/>
    <m/>
    <m/>
    <m/>
    <m/>
    <m/>
    <m/>
    <m/>
    <m/>
    <m/>
    <m/>
    <m/>
    <m/>
    <m/>
    <m/>
    <m/>
    <m/>
    <m/>
    <m/>
  </r>
  <r>
    <x v="13"/>
    <n v="2008"/>
    <x v="2"/>
    <s v="Europe and Central Asia"/>
    <m/>
    <s v="Gas"/>
    <s v="no"/>
    <s v="yes"/>
    <s v="no"/>
    <s v="Gas"/>
    <s v="detailed"/>
    <s v="detailed Gas"/>
    <n v="14800000000"/>
    <n v="97680000"/>
    <m/>
    <m/>
    <m/>
    <s v="m³"/>
    <n v="0.32879700000000006"/>
    <s v="US$/m³"/>
    <s v="Volume and price from BPSR 2014. Price is an average of the UK, US and Canada Indices for natural gas."/>
    <n v="4866195600.000001"/>
    <m/>
    <m/>
    <m/>
    <n v="0.15158377062540646"/>
    <m/>
    <m/>
    <m/>
    <m/>
    <m/>
    <m/>
    <m/>
    <m/>
    <s v="2,139,058,000 cubic metres of gas"/>
    <n v="703315853.22600019"/>
    <m/>
    <m/>
    <m/>
    <m/>
    <m/>
    <m/>
    <m/>
    <m/>
    <m/>
    <m/>
    <m/>
    <m/>
    <m/>
    <m/>
    <m/>
    <m/>
    <m/>
    <m/>
    <m/>
    <m/>
    <m/>
    <m/>
    <m/>
    <m/>
    <m/>
    <m/>
    <m/>
    <m/>
    <m/>
    <m/>
    <m/>
  </r>
  <r>
    <x v="13"/>
    <n v="2008"/>
    <x v="2"/>
    <s v="Europe and Central Asia"/>
    <m/>
    <s v="Oil"/>
    <s v="no"/>
    <s v="no"/>
    <s v="yes"/>
    <s v="Oil"/>
    <s v="detailed"/>
    <s v="detailed Oil"/>
    <n v="326675000"/>
    <n v="0.29901278028621719"/>
    <m/>
    <m/>
    <m/>
    <s v="bbl"/>
    <n v="98.27"/>
    <s v="US$/bbl"/>
    <s v="Volume and price from BPSR 2014. Price is an average of the spot prices for Brent, Dubai, Nigerian Forcados and West Texas Intermediate crude oil."/>
    <n v="32102352250"/>
    <m/>
    <m/>
    <m/>
    <m/>
    <m/>
    <m/>
    <m/>
    <m/>
    <m/>
    <m/>
    <m/>
    <m/>
    <s v="150,200,000 bbl of oil"/>
    <n v="14760154000"/>
    <m/>
    <m/>
    <m/>
    <m/>
    <m/>
    <m/>
    <m/>
    <m/>
    <m/>
    <m/>
    <m/>
    <m/>
    <m/>
    <m/>
    <m/>
    <m/>
    <m/>
    <m/>
    <m/>
    <m/>
    <m/>
    <m/>
    <m/>
    <m/>
    <m/>
    <m/>
    <m/>
    <m/>
    <m/>
    <m/>
    <m/>
  </r>
  <r>
    <x v="14"/>
    <n v="2009"/>
    <x v="2"/>
    <s v="Europe and Cenmtral Asia"/>
    <s v="http://www.eiti.az"/>
    <s v="Oil, Gas, Mining"/>
    <s v="yes"/>
    <s v="yes"/>
    <s v="yes"/>
    <s v="Total"/>
    <s v="Total"/>
    <s v="Total Oil, Gas, Mining"/>
    <m/>
    <m/>
    <m/>
    <m/>
    <m/>
    <m/>
    <m/>
    <m/>
    <m/>
    <n v="25121419965.22678"/>
    <s v="Host government's production entitlement, State-owned company production entitlement, Profits/Taxes, Royalties, Dividends, Bonuses, Other significant benefits to government"/>
    <s v="Also covers payments made in-kind (though these are only reported for Government)"/>
    <s v="Yes"/>
    <n v="14160319906.428267"/>
    <n v="1706355915.317559"/>
    <m/>
    <m/>
    <m/>
    <n v="0.5636751396230415"/>
    <s v="United States Dollar and Azerbaijani Manat"/>
    <n v="0.80300000000000005"/>
    <s v="Disaggregated by revenue stream"/>
    <s v="192,600,000 bbl of oil; 3,938,027,100 cubic metres of gas; 1,400 ounces of gold; 500 ounces of silver"/>
    <n v="12525823317.62826"/>
    <m/>
    <m/>
    <n v="30"/>
    <s v="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Shell Azerbaijan Exploration and Production, GDF Suez Exploration Caspian B.V., Middle East Petroleum, Arshad Petrol J.V., Shirvan Oil J.V., Azgemeft J.V., Binagadi Oil Operating Company, Rafi Oil F.Z.E., Naftiran Intertrade Co. (NICO) Limited, Absheron Investments Ltd, Shirvan Operating Company Limited, Netchala Operating Company Limited, Azerbaijan International Mining Company Azerbaijan (AIMC), Azerbaijan International Operating Company"/>
    <n v="30"/>
    <s v="April 2010"/>
    <d v="2014-09-06T00:00:00"/>
    <s v="Moore Stephens"/>
    <s v="http://eiti.org/files/Azarbaijan%202009%20EITI%20Report.pdf"/>
    <s v="5-13"/>
    <s v="The report uses US dollars for payments by foreign companies, and the local currency, the Azerbaijani Manat, for payments by local companies. An exchange rate is not provided to convert the latter. Materiality threshold: Not given. The report doesn't distinguish between oil, gas and mining companies. The report gives the volumes but not values for the payments in kind. The values are calculated using the relevant commodity prices from the BPSR 2014 and World Bank (detailed below). Resolved discerpancies (mainly caused by accrual v cash reporting and mistaken omissions by companies) are not included in the final figures, but these have been added retrospectively. Unilateral declarations are included in the figures."/>
    <m/>
    <m/>
    <m/>
    <m/>
    <m/>
    <m/>
    <m/>
    <m/>
    <m/>
    <m/>
    <m/>
    <m/>
    <m/>
    <m/>
    <m/>
    <m/>
    <m/>
    <m/>
    <m/>
    <m/>
  </r>
  <r>
    <x v="14"/>
    <n v="2009"/>
    <x v="2"/>
    <s v="Europe and Cenmtral Asia"/>
    <m/>
    <s v="Oil, Gas"/>
    <s v="no"/>
    <s v="yes"/>
    <s v="yes"/>
    <s v="Total Oil &amp; Gas"/>
    <s v="Total"/>
    <s v="Total Oil, Gas"/>
    <m/>
    <m/>
    <m/>
    <m/>
    <m/>
    <m/>
    <m/>
    <m/>
    <m/>
    <n v="25111003200"/>
    <m/>
    <m/>
    <m/>
    <m/>
    <m/>
    <m/>
    <m/>
    <m/>
    <m/>
    <m/>
    <m/>
    <m/>
    <s v="192,600,000 bbl of oil; 3,938,027,100 cubic metres of gas"/>
    <n v="12524581772.5788"/>
    <m/>
    <m/>
    <m/>
    <m/>
    <m/>
    <m/>
    <m/>
    <m/>
    <m/>
    <m/>
    <m/>
    <m/>
    <m/>
    <m/>
    <m/>
    <m/>
    <m/>
    <m/>
    <m/>
    <m/>
    <m/>
    <m/>
    <m/>
    <m/>
    <m/>
    <m/>
    <m/>
    <m/>
    <m/>
    <m/>
    <m/>
  </r>
  <r>
    <x v="14"/>
    <n v="2009"/>
    <x v="2"/>
    <s v="Europe and Cenmtral Asia"/>
    <m/>
    <s v="Gas"/>
    <s v="no"/>
    <s v="yes"/>
    <s v="no"/>
    <s v="Gas"/>
    <s v="detailed"/>
    <s v="detailed Gas"/>
    <n v="14800000000"/>
    <n v="97680000"/>
    <m/>
    <m/>
    <m/>
    <s v="m³"/>
    <n v="0.14422800000000002"/>
    <s v="US$/m³"/>
    <s v="Volume and price from BPSR 2014. Price is an average of the UK, US and Canada Indices for natural gas."/>
    <n v="2134574400.0000002"/>
    <m/>
    <m/>
    <m/>
    <n v="9.2902792621976149E-2"/>
    <m/>
    <m/>
    <m/>
    <m/>
    <m/>
    <m/>
    <m/>
    <m/>
    <s v="3,938,027,100 cubic metres of gas"/>
    <n v="567973772.57880008"/>
    <m/>
    <m/>
    <m/>
    <m/>
    <m/>
    <m/>
    <m/>
    <m/>
    <m/>
    <m/>
    <m/>
    <m/>
    <m/>
    <m/>
    <m/>
    <m/>
    <m/>
    <m/>
    <m/>
    <m/>
    <m/>
    <m/>
    <m/>
    <m/>
    <m/>
    <m/>
    <m/>
    <m/>
    <m/>
    <m/>
    <m/>
  </r>
  <r>
    <x v="14"/>
    <n v="2009"/>
    <x v="2"/>
    <s v="Europe and Cenmtral Asia"/>
    <m/>
    <s v="Oil"/>
    <s v="no"/>
    <s v="no"/>
    <s v="yes"/>
    <s v="Oil"/>
    <s v="detailed"/>
    <s v="detailed Oil"/>
    <n v="370110000"/>
    <n v="0.26392153684039882"/>
    <m/>
    <m/>
    <m/>
    <s v="bbl"/>
    <n v="62.08"/>
    <s v="US$/bbl"/>
    <s v="Volume and price from BPSR 2014. Price is an average of the spot prices for Brent, Dubai, Nigerian Forcados and West Texas Intermediate crude oil."/>
    <n v="22976428800"/>
    <m/>
    <m/>
    <m/>
    <m/>
    <m/>
    <m/>
    <m/>
    <m/>
    <m/>
    <m/>
    <m/>
    <m/>
    <s v="192,600,000 bbl of oil"/>
    <n v="11956608000"/>
    <m/>
    <m/>
    <m/>
    <m/>
    <m/>
    <m/>
    <m/>
    <m/>
    <m/>
    <m/>
    <m/>
    <m/>
    <m/>
    <m/>
    <m/>
    <m/>
    <m/>
    <m/>
    <m/>
    <m/>
    <m/>
    <m/>
    <m/>
    <m/>
    <m/>
    <m/>
    <m/>
    <m/>
    <m/>
    <m/>
    <m/>
  </r>
  <r>
    <x v="14"/>
    <n v="2009"/>
    <x v="2"/>
    <s v="Europe and Cenmtral Asia"/>
    <m/>
    <s v="Mining"/>
    <s v="yes"/>
    <s v="no"/>
    <s v="no"/>
    <s v="Total Mining"/>
    <s v="Total"/>
    <s v="Total Mining"/>
    <m/>
    <m/>
    <m/>
    <m/>
    <m/>
    <m/>
    <m/>
    <m/>
    <m/>
    <n v="10416765.226779317"/>
    <m/>
    <m/>
    <m/>
    <m/>
    <m/>
    <m/>
    <m/>
    <m/>
    <m/>
    <m/>
    <m/>
    <m/>
    <s v="1,400 ounces of gold; 500 ounces of silver"/>
    <n v="1241545.049459148"/>
    <m/>
    <m/>
    <m/>
    <m/>
    <m/>
    <m/>
    <m/>
    <m/>
    <m/>
    <m/>
    <m/>
    <m/>
    <m/>
    <m/>
    <m/>
    <m/>
    <m/>
    <m/>
    <m/>
    <m/>
    <m/>
    <m/>
    <m/>
    <m/>
    <m/>
    <m/>
    <m/>
    <m/>
    <m/>
    <m/>
    <m/>
  </r>
  <r>
    <x v="14"/>
    <n v="2009"/>
    <x v="2"/>
    <s v="Europe and Cenmtral Asia"/>
    <m/>
    <s v="Mining"/>
    <s v="yes"/>
    <s v="no"/>
    <s v="no"/>
    <s v="Gold"/>
    <s v="detailed"/>
    <s v="detailed Mining"/>
    <n v="10706.197461126498"/>
    <m/>
    <m/>
    <m/>
    <m/>
    <s v="toz"/>
    <n v="972.96591666666995"/>
    <s v="US$/toz"/>
    <s v="Volume from USGS Mineral Yearbook 2012. Price from World Bank (Global Economic Monitor (GEM) Commodities database), and is defined as: Gold (UK), 99.5% fine, London afternoon fixing, average of daily rates."/>
    <n v="10416765.226779317"/>
    <m/>
    <m/>
    <m/>
    <m/>
    <m/>
    <m/>
    <m/>
    <m/>
    <m/>
    <m/>
    <m/>
    <m/>
    <s v="1,400 ounces (1,276 toz)"/>
    <n v="1241545.049459148"/>
    <m/>
    <m/>
    <m/>
    <m/>
    <m/>
    <m/>
    <m/>
    <m/>
    <m/>
    <m/>
    <m/>
    <m/>
    <m/>
    <m/>
    <m/>
    <m/>
    <m/>
    <m/>
    <m/>
    <m/>
    <m/>
    <m/>
    <m/>
    <m/>
    <m/>
    <m/>
    <m/>
    <m/>
    <m/>
    <m/>
    <m/>
  </r>
  <r>
    <x v="15"/>
    <m/>
    <x v="3"/>
    <m/>
    <m/>
    <m/>
    <m/>
    <m/>
    <m/>
    <s v="Silver"/>
    <s v="detailed"/>
    <m/>
    <m/>
    <m/>
    <m/>
    <m/>
    <m/>
    <m/>
    <m/>
    <m/>
    <m/>
    <m/>
    <m/>
    <m/>
    <m/>
    <m/>
    <m/>
    <m/>
    <m/>
    <m/>
    <m/>
    <m/>
    <m/>
    <m/>
    <m/>
    <m/>
    <m/>
    <m/>
    <m/>
    <m/>
    <m/>
    <m/>
    <m/>
    <m/>
    <m/>
    <m/>
    <m/>
    <m/>
    <m/>
    <m/>
    <m/>
    <m/>
    <m/>
    <m/>
    <m/>
    <m/>
    <m/>
    <m/>
    <m/>
    <m/>
    <m/>
    <m/>
    <m/>
    <m/>
    <m/>
    <m/>
    <m/>
  </r>
  <r>
    <x v="16"/>
    <n v="2010"/>
    <x v="2"/>
    <s v="Europe and Central Asia"/>
    <s v="http://www.eiti.az"/>
    <s v="Oil, Gas, Mining"/>
    <s v="yes"/>
    <s v="yes"/>
    <s v="yes"/>
    <s v="Total"/>
    <s v="Total"/>
    <s v="Total Oil, Gas, Mining"/>
    <m/>
    <m/>
    <m/>
    <m/>
    <m/>
    <m/>
    <m/>
    <m/>
    <m/>
    <n v="32393445472.50486"/>
    <s v="Host government's production entitlement, State-owned company production entitlement, Profits/Taxes, Royalties, Dividends, Bonuses, Other significant benefits to government"/>
    <s v="Also covers payments made in-kind (though these are only reported for Government)"/>
    <s v="Yes"/>
    <n v="19732689646.414902"/>
    <n v="1985246699.8754668"/>
    <m/>
    <m/>
    <m/>
    <n v="0.60915686363661914"/>
    <s v="United States Dollar and Azerbaijani Manat"/>
    <n v="0.80300000000000005"/>
    <s v="Disaggregated by revenue stream"/>
    <s v="215,400,000 bbl of oil; 3,484,870,400 cubic metres of gas; 8,400 ounces of gold; 5,400 ounces of silver"/>
    <n v="17742682049.192646"/>
    <m/>
    <m/>
    <n v="31"/>
    <s v="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Petro-HongKong-Pirsaat Oil Limited, Salyan Oil Limited, Karasu Operating Company, Shell Azerbaijan Exploration and Production, GDF Suez Exploration Caspian B.V., Middle East Petroleum, Arshad Petrol J.V., Shirvan Oil J.V., Azgemeft J.V., Inpex, Binagadi Oil Operating Company, Rafi Oil F.Z.E., Naftiran Intertrade Co. (NICO) Limited, Apsheron Investments Ltd, Shirvan Operating Company Limited, Netchala Operating Company Limited, Azerbaijan International Mining Company Azerbaijan (AIMC), Bahar Energy"/>
    <n v="31"/>
    <s v="May 2011"/>
    <d v="2014-09-08T00:00:00"/>
    <s v="Moore Stephens"/>
    <s v="http://eiti.org/files/Azerbaijan-2010-EITI-Report_1.pdf"/>
    <s v="5-12"/>
    <s v="The report uses US dollars for payments by foreign companies, and the local currency, the Azerbaijani Manat, for payments by local companies. An exchange rate is not provided to convert the latter. Materiality threshold: Not given. The report doesn't distinguish between oil, gas and mining companies. The report gives the volumes but not values for the payments in kind. The values are calculated using the relevant commodity prices from the BPSR 2014 and World Bank (detailed below). Resolved discerpancies (mainly caused by accrual v cash reporting and mistaken omissions by companies) are not included in the final figures, but these have been added retrospectively. Unilateral declarations are included in the figures."/>
    <m/>
    <m/>
    <m/>
    <m/>
    <m/>
    <m/>
    <m/>
    <m/>
    <m/>
    <m/>
    <m/>
    <m/>
    <m/>
    <m/>
    <m/>
    <m/>
    <m/>
    <m/>
    <m/>
    <m/>
  </r>
  <r>
    <x v="16"/>
    <n v="2010"/>
    <x v="2"/>
    <s v="Europe and Central Asia"/>
    <m/>
    <s v="Oil, Gas"/>
    <s v="no"/>
    <s v="yes"/>
    <s v="yes"/>
    <s v="Total Oil &amp; Gas"/>
    <s v="Total"/>
    <s v="Total Oil, Gas"/>
    <m/>
    <m/>
    <m/>
    <m/>
    <m/>
    <m/>
    <m/>
    <m/>
    <m/>
    <n v="32317663228.760803"/>
    <m/>
    <m/>
    <m/>
    <m/>
    <m/>
    <m/>
    <m/>
    <m/>
    <m/>
    <m/>
    <m/>
    <m/>
    <s v="215,400,000 bbl of oil; 3,484,870,400 cubic metres of gas"/>
    <n v="17733196887.557014"/>
    <m/>
    <m/>
    <m/>
    <m/>
    <m/>
    <m/>
    <m/>
    <m/>
    <m/>
    <m/>
    <m/>
    <m/>
    <m/>
    <m/>
    <m/>
    <m/>
    <m/>
    <m/>
    <m/>
    <m/>
    <m/>
    <m/>
    <m/>
    <m/>
    <m/>
    <m/>
    <m/>
    <m/>
    <m/>
    <m/>
    <m/>
  </r>
  <r>
    <x v="16"/>
    <n v="2010"/>
    <x v="2"/>
    <s v="Europe and Central Asia"/>
    <m/>
    <s v="Gas"/>
    <s v="no"/>
    <s v="yes"/>
    <s v="no"/>
    <s v="Gas"/>
    <s v="detailed"/>
    <s v="detailed Gas"/>
    <n v="15100000000"/>
    <n v="99660000"/>
    <m/>
    <m/>
    <m/>
    <s v="m³"/>
    <n v="0.1741077336927683"/>
    <s v="US$/m³"/>
    <s v="Volume and price from BPSR 2014. Price is an average of the UK, US and Canada Indices for natural gas."/>
    <n v="2629026778.7608013"/>
    <m/>
    <m/>
    <m/>
    <n v="8.8553301637428389E-2"/>
    <m/>
    <m/>
    <m/>
    <m/>
    <m/>
    <m/>
    <m/>
    <m/>
    <s v="3,484,870,400 cubic metres of gas"/>
    <n v="606742887.55701089"/>
    <m/>
    <m/>
    <m/>
    <m/>
    <m/>
    <m/>
    <m/>
    <m/>
    <m/>
    <m/>
    <m/>
    <m/>
    <m/>
    <m/>
    <m/>
    <m/>
    <m/>
    <m/>
    <m/>
    <m/>
    <m/>
    <m/>
    <m/>
    <m/>
    <m/>
    <m/>
    <m/>
    <m/>
    <m/>
    <m/>
    <m/>
  </r>
  <r>
    <x v="16"/>
    <n v="2010"/>
    <x v="2"/>
    <s v="Europe and Central Asia"/>
    <m/>
    <s v="Oil"/>
    <s v="no"/>
    <s v="no"/>
    <s v="yes"/>
    <s v="Oil"/>
    <s v="detailed"/>
    <s v="detailed Oil"/>
    <n v="373395000"/>
    <n v="0.26690234202386215"/>
    <m/>
    <m/>
    <m/>
    <s v="bbl"/>
    <n v="79.510000000000005"/>
    <s v="US$/bbl"/>
    <s v="Volume and price from BPSR 2014. Price is an average of the spot prices for Brent, Dubai, Nigerian Forcados and West Texas Intermediate crude oil."/>
    <n v="29688636450.000004"/>
    <m/>
    <m/>
    <m/>
    <m/>
    <m/>
    <m/>
    <m/>
    <m/>
    <m/>
    <m/>
    <m/>
    <m/>
    <s v="215,400,000 bbl of oil"/>
    <n v="17126454000.000002"/>
    <m/>
    <m/>
    <m/>
    <m/>
    <m/>
    <m/>
    <m/>
    <m/>
    <m/>
    <m/>
    <m/>
    <m/>
    <m/>
    <m/>
    <m/>
    <m/>
    <m/>
    <m/>
    <m/>
    <m/>
    <m/>
    <m/>
    <m/>
    <m/>
    <m/>
    <m/>
    <m/>
    <m/>
    <m/>
    <m/>
    <m/>
  </r>
  <r>
    <x v="16"/>
    <n v="2010"/>
    <x v="2"/>
    <s v="Europe and Central Asia"/>
    <m/>
    <s v="Mining"/>
    <s v="yes"/>
    <s v="no"/>
    <s v="no"/>
    <s v="Total Mining"/>
    <s v="Total"/>
    <s v="Total Mining"/>
    <m/>
    <m/>
    <m/>
    <m/>
    <m/>
    <m/>
    <m/>
    <m/>
    <m/>
    <n v="75782243.744054854"/>
    <m/>
    <m/>
    <m/>
    <m/>
    <m/>
    <m/>
    <m/>
    <m/>
    <m/>
    <m/>
    <m/>
    <m/>
    <s v="8,400 ounces of gold; 5,400 ounces of silver"/>
    <n v="9485161.6356334239"/>
    <m/>
    <m/>
    <m/>
    <m/>
    <m/>
    <m/>
    <m/>
    <m/>
    <m/>
    <m/>
    <m/>
    <m/>
    <m/>
    <m/>
    <m/>
    <m/>
    <m/>
    <m/>
    <m/>
    <m/>
    <m/>
    <m/>
    <m/>
    <m/>
    <m/>
    <m/>
    <m/>
    <m/>
    <m/>
    <m/>
    <m/>
  </r>
  <r>
    <x v="16"/>
    <n v="2010"/>
    <x v="2"/>
    <s v="Europe and Central Asia"/>
    <m/>
    <s v="Mining"/>
    <s v="yes"/>
    <s v="no"/>
    <s v="no"/>
    <s v="Gold"/>
    <s v="detailed"/>
    <s v="detailed Mining"/>
    <n v="61086.411940361402"/>
    <m/>
    <m/>
    <m/>
    <m/>
    <s v="toz"/>
    <n v="1224.66425"/>
    <s v="US$/toz"/>
    <s v="Volume from USGS Mineral Yearbook 2012. Price from World Bank (Global Economic Monitor (GEM) Commodities database), and is defined as: Gold (UK), 99.5% fine, London afternoon fixing, average of daily rates."/>
    <n v="74810344.864133745"/>
    <m/>
    <m/>
    <m/>
    <m/>
    <m/>
    <m/>
    <m/>
    <m/>
    <m/>
    <m/>
    <m/>
    <m/>
    <s v="8,400 ounces (7,656 toz)"/>
    <n v="9376335.6606334411"/>
    <m/>
    <m/>
    <m/>
    <m/>
    <m/>
    <m/>
    <m/>
    <m/>
    <m/>
    <m/>
    <m/>
    <m/>
    <m/>
    <m/>
    <m/>
    <m/>
    <m/>
    <m/>
    <m/>
    <m/>
    <m/>
    <m/>
    <m/>
    <m/>
    <m/>
    <m/>
    <m/>
    <m/>
    <m/>
    <m/>
    <m/>
  </r>
  <r>
    <x v="16"/>
    <n v="2010"/>
    <x v="2"/>
    <s v="Europe and Central Asia"/>
    <m/>
    <s v="Mining"/>
    <s v="yes"/>
    <s v="no"/>
    <s v="no"/>
    <s v="Silver"/>
    <s v="detailed"/>
    <s v="detailed Mining"/>
    <n v="48226.114689759001"/>
    <m/>
    <m/>
    <m/>
    <m/>
    <s v="toz"/>
    <n v="20.152958333330002"/>
    <s v="US$/toz"/>
    <s v="Volume from USGS Mineral Yearbook 2012. Price from World Bank (Global Economic Monitor (GEM) Commodities database), and is defined as: Silver (Handy &amp; Harman), 99.9% grade refined, New York."/>
    <n v="971898.87992110709"/>
    <m/>
    <m/>
    <m/>
    <m/>
    <m/>
    <m/>
    <m/>
    <m/>
    <m/>
    <m/>
    <m/>
    <m/>
    <s v="5,400 ounces (4,921 toz)"/>
    <n v="108825.97499998201"/>
    <m/>
    <m/>
    <m/>
    <m/>
    <m/>
    <m/>
    <m/>
    <m/>
    <m/>
    <m/>
    <m/>
    <m/>
    <m/>
    <m/>
    <m/>
    <m/>
    <m/>
    <m/>
    <m/>
    <m/>
    <m/>
    <m/>
    <m/>
    <m/>
    <m/>
    <m/>
    <m/>
    <m/>
    <m/>
    <m/>
    <m/>
  </r>
  <r>
    <x v="17"/>
    <n v="2011"/>
    <x v="2"/>
    <s v="Europe and Central Asia"/>
    <s v="http://www.eiti.az"/>
    <s v="Oil, Gas, Mining"/>
    <s v="yes"/>
    <s v="yes"/>
    <s v="yes"/>
    <s v="Total"/>
    <s v="Total"/>
    <s v="Total Oil, Gas, Mining"/>
    <m/>
    <m/>
    <m/>
    <m/>
    <m/>
    <m/>
    <m/>
    <m/>
    <m/>
    <n v="40062322533.943047"/>
    <s v="Host government's production entitlement, State-owned company production entitlement, Profits/Taxes, Royalties, Bonuses, Licenses and concessions, Other significant benefits to government"/>
    <s v="Also covers payments made in-kind"/>
    <s v="No"/>
    <n v="23901723060.05368"/>
    <n v="23895423060.05368"/>
    <s v="99.99% of revenue"/>
    <n v="23904113471.400822"/>
    <s v="Inferred from EITI Report"/>
    <n v="0.59667318216880505"/>
    <s v="United States Dollar and Azerbaijani Manat"/>
    <n v="0.79"/>
    <s v="Disaggregated by revenue stream"/>
    <s v="181,100,000 bbl of oil; 3,413,226,300 cubic metres of gas; 7,000 ounces of gold; 5,000 ounces of silver"/>
    <n v="20860320528.05368"/>
    <m/>
    <m/>
    <n v="31"/>
    <s v="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Petro-HongKong-Pirsaat Oil Limited, Salyan Oil Limited, Karasu Operating Company, Shell Azerbaijan Exploration and Production, GDF Suez Exploration Caspian B.V., Middle East Petroleum, Arshad Petrol J.V., Shirvan Oil J.V., Azgemeft J.V., Inpex, Binagadi Oil Operating Company, Rafi Oil F.Z.E., Naftiran Intertrade Co. (NICO) Limited, Apsheron Investments Ltd, Shirvan Operating Company Limited, Neftchala Operating Company Limited, Azerbaijan International Mining Company Azerbaijan (AIMC), Bahar Energy"/>
    <n v="31"/>
    <s v="June 2012"/>
    <d v="2014-09-08T00:00:00"/>
    <s v="Moore Stephens"/>
    <s v="http://eiti.org/files/Azerbaijan-2011-EITI-Report.pdf"/>
    <s v="40-41"/>
    <s v="The report uses US dollars for payments by foreign companies, and the local currency, the Azerbaijani Manat, for payments by local companies. Materiality threshold: All companies that made a payment for one or more of the covered revenue streams should be reconciled. The covered revenue streams make up 99.99% of total government revenues from the extractive industries. The report doesn't distinguish between oil, gas and mining companies. Values for payments in kind are not given in the report, but the International Secretariat calculate these for oil and gas separately (though the sum of these appear incorrect) (http://eiti.org/news-events/azerbaijan-kind-payments-larger-cash). These were based on the following assumptions: associated and natural gas is equivalent to 22,185,917 bbl of oil (1,000,000 cubic meters equals 6,500 bbl of oil equivalent); a referential oil price of $111.20; and gas prices are 25% of the oil price. "/>
    <m/>
    <m/>
    <m/>
    <m/>
    <m/>
    <m/>
    <m/>
    <m/>
    <m/>
    <m/>
    <m/>
    <m/>
    <m/>
    <m/>
    <m/>
    <m/>
    <m/>
    <m/>
    <m/>
    <m/>
  </r>
  <r>
    <x v="17"/>
    <n v="2011"/>
    <x v="2"/>
    <s v="Europe and Central Asia"/>
    <m/>
    <s v="Oil, Gas"/>
    <s v="no"/>
    <s v="yes"/>
    <s v="yes"/>
    <s v="Total Oil &amp; Gas"/>
    <s v="Total"/>
    <s v="Total Oil, Gas"/>
    <m/>
    <m/>
    <m/>
    <m/>
    <m/>
    <m/>
    <m/>
    <m/>
    <m/>
    <n v="39971393256.34037"/>
    <m/>
    <m/>
    <m/>
    <m/>
    <m/>
    <m/>
    <m/>
    <m/>
    <m/>
    <m/>
    <m/>
    <m/>
    <s v="181,100,000 bbl of oil; 3,413,226,300 cubic metres of gas"/>
    <n v="20754320000"/>
    <m/>
    <m/>
    <m/>
    <m/>
    <m/>
    <m/>
    <m/>
    <m/>
    <m/>
    <m/>
    <m/>
    <m/>
    <m/>
    <m/>
    <m/>
    <m/>
    <m/>
    <m/>
    <m/>
    <m/>
    <m/>
    <m/>
    <m/>
    <m/>
    <m/>
    <m/>
    <m/>
    <m/>
    <m/>
    <m/>
    <m/>
  </r>
  <r>
    <x v="17"/>
    <n v="2011"/>
    <x v="2"/>
    <s v="Europe and Central Asia"/>
    <m/>
    <s v="Gas"/>
    <s v="no"/>
    <s v="yes"/>
    <s v="no"/>
    <s v="Gas"/>
    <s v="detailed"/>
    <s v="detailed Gas"/>
    <n v="14800000000"/>
    <n v="97680000"/>
    <m/>
    <m/>
    <m/>
    <s v="m³"/>
    <n v="0.1804744092121873"/>
    <s v="US$/m³"/>
    <s v="Volume from BPSR 2014. Price from EITI International Secretariat (http://eiti.org/news-events/azerbaijan-kind-payments-larger-cash)."/>
    <n v="2671021256.3403721"/>
    <m/>
    <m/>
    <m/>
    <n v="7.1608434798998033E-2"/>
    <m/>
    <m/>
    <m/>
    <m/>
    <m/>
    <m/>
    <m/>
    <m/>
    <s v="3,413,226,300 cubic metres of gas"/>
    <n v="616000000"/>
    <m/>
    <m/>
    <m/>
    <m/>
    <m/>
    <m/>
    <m/>
    <m/>
    <m/>
    <m/>
    <m/>
    <m/>
    <m/>
    <m/>
    <m/>
    <m/>
    <m/>
    <m/>
    <m/>
    <m/>
    <m/>
    <m/>
    <m/>
    <m/>
    <m/>
    <m/>
    <m/>
    <m/>
    <m/>
    <m/>
    <m/>
  </r>
  <r>
    <x v="17"/>
    <n v="2011"/>
    <x v="2"/>
    <s v="Europe and Central Asia"/>
    <m/>
    <s v="Oil"/>
    <s v="no"/>
    <s v="no"/>
    <s v="yes"/>
    <s v="Oil"/>
    <s v="detailed"/>
    <s v="detailed Oil"/>
    <n v="335435000"/>
    <n v="0.29120395903826374"/>
    <m/>
    <m/>
    <m/>
    <s v="bbl"/>
    <n v="111.2"/>
    <s v="US$/bbl"/>
    <s v="Volume from BPSR 2014. Price from EITI International Secretariat (http://eiti.org/news-events/azerbaijan-kind-payments-larger-cash)."/>
    <n v="37300372000"/>
    <m/>
    <m/>
    <m/>
    <m/>
    <m/>
    <m/>
    <m/>
    <m/>
    <m/>
    <m/>
    <m/>
    <m/>
    <s v="181,100,000 bbl"/>
    <n v="20138320000"/>
    <m/>
    <m/>
    <m/>
    <m/>
    <m/>
    <m/>
    <m/>
    <m/>
    <m/>
    <m/>
    <m/>
    <m/>
    <m/>
    <m/>
    <m/>
    <m/>
    <m/>
    <m/>
    <m/>
    <m/>
    <m/>
    <m/>
    <m/>
    <m/>
    <m/>
    <m/>
    <m/>
    <m/>
    <m/>
    <m/>
    <m/>
  </r>
  <r>
    <x v="17"/>
    <n v="2011"/>
    <x v="2"/>
    <s v="Europe and Central Asia"/>
    <m/>
    <s v="Mining"/>
    <s v="yes"/>
    <s v="no"/>
    <s v="no"/>
    <s v="Total Mining"/>
    <s v="Total"/>
    <s v="Total Mining"/>
    <m/>
    <m/>
    <m/>
    <m/>
    <m/>
    <m/>
    <m/>
    <m/>
    <m/>
    <n v="90929277.602674365"/>
    <m/>
    <m/>
    <m/>
    <m/>
    <m/>
    <m/>
    <m/>
    <m/>
    <m/>
    <m/>
    <m/>
    <m/>
    <s v="74,000 ounces gold; 5,000 ounces silver"/>
    <n v="106000528.05368179"/>
    <m/>
    <m/>
    <m/>
    <m/>
    <m/>
    <m/>
    <m/>
    <m/>
    <m/>
    <m/>
    <m/>
    <m/>
    <m/>
    <m/>
    <m/>
    <m/>
    <m/>
    <m/>
    <m/>
    <m/>
    <m/>
    <m/>
    <m/>
    <m/>
    <m/>
    <m/>
    <m/>
    <m/>
    <m/>
    <m/>
    <m/>
  </r>
  <r>
    <x v="17"/>
    <n v="2011"/>
    <x v="2"/>
    <s v="Europe and Central Asia"/>
    <m/>
    <s v="Mining"/>
    <s v="yes"/>
    <s v="no"/>
    <s v="no"/>
    <s v="Gold"/>
    <s v="detailed"/>
    <s v="detailed Mining"/>
    <n v="57067.569049548154"/>
    <m/>
    <m/>
    <m/>
    <m/>
    <s v="toz"/>
    <n v="1569.2108333333299"/>
    <s v="US$/toz"/>
    <s v="Volume from USGS Mineral Yearbook 2012. Price from World Bank (Global Economic Monitor (GEM) Commodities database), and is defined as: Gold (UK), 99.5% fine, London afternoon fixing, average of daily rates."/>
    <n v="89551047.584548801"/>
    <m/>
    <m/>
    <m/>
    <m/>
    <m/>
    <m/>
    <m/>
    <m/>
    <m/>
    <m/>
    <m/>
    <m/>
    <s v="74,000 ounces (67,448 toz)"/>
    <n v="105840001.48038979"/>
    <m/>
    <m/>
    <m/>
    <m/>
    <m/>
    <m/>
    <m/>
    <m/>
    <m/>
    <m/>
    <m/>
    <m/>
    <m/>
    <m/>
    <m/>
    <m/>
    <m/>
    <m/>
    <m/>
    <m/>
    <m/>
    <m/>
    <m/>
    <m/>
    <m/>
    <m/>
    <m/>
    <m/>
    <m/>
    <m/>
    <m/>
  </r>
  <r>
    <x v="17"/>
    <n v="2011"/>
    <x v="2"/>
    <s v="Europe and Central Asia"/>
    <m/>
    <s v="Mining"/>
    <s v="yes"/>
    <s v="no"/>
    <s v="no"/>
    <s v="Silver"/>
    <s v="detailed"/>
    <s v="detailed Mining"/>
    <n v="39127.454384957804"/>
    <m/>
    <m/>
    <m/>
    <m/>
    <s v="toz"/>
    <n v="35.22411666667"/>
    <s v="US$/toz"/>
    <s v="Volume from USGS Mineral Yearbook 2012. Price from World Bank (Global Economic Monitor (GEM) Commodities database), and is defined as: Silver (Handy &amp; Harman), 99.9% grade refined, New York."/>
    <n v="1378230.0181255622"/>
    <m/>
    <m/>
    <m/>
    <m/>
    <m/>
    <m/>
    <m/>
    <m/>
    <m/>
    <m/>
    <m/>
    <m/>
    <s v="5,000 ounces (4,557 toz)"/>
    <n v="160526.57329200301"/>
    <m/>
    <m/>
    <m/>
    <m/>
    <m/>
    <m/>
    <m/>
    <m/>
    <m/>
    <m/>
    <m/>
    <m/>
    <m/>
    <m/>
    <m/>
    <m/>
    <m/>
    <m/>
    <m/>
    <m/>
    <m/>
    <m/>
    <m/>
    <m/>
    <m/>
    <m/>
    <m/>
    <m/>
    <m/>
    <m/>
    <m/>
  </r>
  <r>
    <x v="18"/>
    <n v="2012"/>
    <x v="2"/>
    <s v="Europe and Central Asia"/>
    <s v="http://www.eiti.az"/>
    <s v="Oil, Gas, Mining"/>
    <s v="yes"/>
    <s v="yes"/>
    <s v="yes"/>
    <s v="Total"/>
    <s v="Total"/>
    <s v="Total Oil, Gas, Mining"/>
    <m/>
    <m/>
    <m/>
    <m/>
    <m/>
    <m/>
    <m/>
    <m/>
    <m/>
    <n v="38643272028.813194"/>
    <s v="Host government's production entitlement, State-owned company production entitlement, Profits/Taxes, Royalties, Bonuses, Other significant benefits to government"/>
    <s v="Also covers payments made in-kind"/>
    <s v="No"/>
    <n v="21826952015.597061"/>
    <n v="21820452015.597061"/>
    <s v="≈100% of revenue"/>
    <n v="21826952015.597061"/>
    <s v="Inferred from EITI Report"/>
    <n v="0.56483188067828338"/>
    <s v="United States Dollar and Azerbaijani Manat"/>
    <n v="0.79"/>
    <s v="Disaggregated by revenue stream"/>
    <s v="160,800,000 bbl of oil; 3,519,627,000 cubic metres of gas; 6,100 ounces of golds; 6,400 ounces of silver"/>
    <n v="18694605180.19706"/>
    <m/>
    <m/>
    <n v="26"/>
    <s v="BP Exploration (Caspian Sea) Limited, State Oil Company of the Republic of Azerbaijan, Total E&amp;P Azerbaijan B.V., ITOCHU Oil Exploration (Azerbaijan) Inc., Statoil, Turkish Petroleum A.O., Commonwealth Gobustan, Exxon Azerbaijan Limited, Hess (ACG) Limited, Lukoil Overseas, Chevron Khazar, Petro-HongKong-Pirsaat Oil Limited, Salyan Oil Limited, Karasu Operating Company, GDF Suez Exploration Caspian B.V., Azgemeft J.V., Inpex, Binagadi Oil Operating Company, Rafi Oil F.Z.E., Naftiran Intertrade Co. (NICO) Limited, Apsheron Investments Ltd, Shirvan Operating Company Limited, Neftchala Operating Company Limited, Azerbaijan International Mining Company Azerbaijan (AIMC), Bahar Energy, Uge-Lancer PTE. Ltd"/>
    <n v="26"/>
    <s v="June 2013"/>
    <d v="2014-09-08T00:00:00"/>
    <s v="Moore Stephens"/>
    <s v="http://eiti.org/files/Azerbaijan-2012-EITI-Report.pdf"/>
    <s v="21"/>
    <s v="The report uses US dollars for payments by foreign companies, and the local currency, the Azerbaijani Manat, for payments by local companies. Materiality threshold: All companies that made a payment for one or more of the covered revenue streams should be reconciled. The covered revenue streams make up 99.99% of total government revenues from the extractive industries. The report doesn't distinguish between oil, gas and mining companies. Values for payments in kind are not given in the report, but the International Secretariat calculate these for oil and gas separately. These were based on the following assumptions: associated and natural gas is equivalent to 22,877,576 bbl of oil (1,000,000 cubic meters equals 6,500 bbl of oil equivalent); a referential oil price of $112.21; and gas prices are 25% of the oil price. "/>
    <m/>
    <m/>
    <m/>
    <m/>
    <m/>
    <m/>
    <m/>
    <m/>
    <m/>
    <m/>
    <m/>
    <m/>
    <m/>
    <m/>
    <m/>
    <m/>
    <m/>
    <m/>
    <m/>
    <m/>
  </r>
  <r>
    <x v="18"/>
    <n v="2012"/>
    <x v="2"/>
    <s v="Europe and Central Asia"/>
    <m/>
    <s v="Oil, Gas"/>
    <s v="no"/>
    <s v="yes"/>
    <s v="yes"/>
    <s v="Total Oil &amp; Gas"/>
    <s v="Total"/>
    <s v="Total Oil, Gas"/>
    <m/>
    <m/>
    <m/>
    <m/>
    <m/>
    <m/>
    <m/>
    <m/>
    <m/>
    <n v="38558722363.32077"/>
    <m/>
    <m/>
    <m/>
    <m/>
    <m/>
    <m/>
    <m/>
    <m/>
    <m/>
    <m/>
    <m/>
    <m/>
    <s v="160,800,000 bbl of oil; 3,519,627,000 cubic metres of gas"/>
    <n v="18685141201"/>
    <m/>
    <m/>
    <m/>
    <m/>
    <m/>
    <m/>
    <m/>
    <m/>
    <m/>
    <m/>
    <m/>
    <m/>
    <m/>
    <m/>
    <m/>
    <m/>
    <m/>
    <m/>
    <m/>
    <m/>
    <m/>
    <m/>
    <m/>
    <m/>
    <m/>
    <m/>
    <m/>
    <m/>
    <m/>
    <m/>
    <m/>
  </r>
  <r>
    <x v="18"/>
    <n v="2012"/>
    <x v="2"/>
    <s v="Europe and Central Asia"/>
    <m/>
    <s v="Gas"/>
    <s v="no"/>
    <s v="yes"/>
    <s v="no"/>
    <s v="Gas"/>
    <s v="detailed"/>
    <s v="detailed Gas"/>
    <n v="15600000000"/>
    <n v="102960000"/>
    <m/>
    <m/>
    <m/>
    <s v="m³"/>
    <n v="0.18234125405902388"/>
    <s v="US$/m³"/>
    <s v="Volume from BPSR 2014. Price from EITI International Secretariat (https://eiti.org/report/azerbaijan/2012)."/>
    <n v="2844523563.3207726"/>
    <m/>
    <m/>
    <m/>
    <n v="7.9646853601564566E-2"/>
    <m/>
    <m/>
    <m/>
    <m/>
    <m/>
    <m/>
    <m/>
    <m/>
    <s v="3,519,627,000 cubic metres"/>
    <n v="641773201"/>
    <m/>
    <m/>
    <m/>
    <m/>
    <m/>
    <m/>
    <m/>
    <m/>
    <m/>
    <m/>
    <m/>
    <m/>
    <m/>
    <m/>
    <m/>
    <m/>
    <m/>
    <m/>
    <m/>
    <m/>
    <m/>
    <m/>
    <m/>
    <m/>
    <m/>
    <m/>
    <m/>
    <m/>
    <m/>
    <m/>
    <m/>
  </r>
  <r>
    <x v="18"/>
    <n v="2012"/>
    <x v="2"/>
    <s v="Europe and Central Asia"/>
    <m/>
    <s v="Oil"/>
    <s v="no"/>
    <s v="no"/>
    <s v="yes"/>
    <s v="Oil"/>
    <s v="detailed"/>
    <s v="detailed Oil"/>
    <n v="318280000"/>
    <n v="0.32348875204222699"/>
    <m/>
    <m/>
    <m/>
    <s v="bbl"/>
    <n v="112.21"/>
    <s v="US$/bbl"/>
    <s v="Volume from BPSR 2014. Price from EITI International Secretariat (https://eiti.org/report/azerbaijan/2012)."/>
    <n v="35714198800"/>
    <m/>
    <m/>
    <m/>
    <m/>
    <m/>
    <m/>
    <m/>
    <m/>
    <m/>
    <m/>
    <m/>
    <m/>
    <s v="160,800,000 bbl"/>
    <n v="18043368000"/>
    <m/>
    <m/>
    <m/>
    <m/>
    <m/>
    <m/>
    <m/>
    <m/>
    <m/>
    <m/>
    <m/>
    <m/>
    <m/>
    <m/>
    <m/>
    <m/>
    <m/>
    <m/>
    <m/>
    <m/>
    <m/>
    <m/>
    <m/>
    <m/>
    <m/>
    <m/>
    <m/>
    <m/>
    <m/>
    <m/>
    <m/>
  </r>
  <r>
    <x v="18"/>
    <n v="2012"/>
    <x v="2"/>
    <s v="Europe and Central Asia"/>
    <m/>
    <s v="Mining"/>
    <s v="yes"/>
    <s v="no"/>
    <s v="no"/>
    <s v="Total Mining"/>
    <s v="Total"/>
    <s v="Total Mining"/>
    <m/>
    <m/>
    <m/>
    <m/>
    <m/>
    <m/>
    <m/>
    <m/>
    <m/>
    <n v="84549665.492422342"/>
    <m/>
    <m/>
    <m/>
    <m/>
    <m/>
    <m/>
    <m/>
    <m/>
    <m/>
    <m/>
    <m/>
    <m/>
    <s v="6,100 ounces gold; 6,400 ounces silver"/>
    <n v="9463979.1970597226"/>
    <m/>
    <m/>
    <m/>
    <m/>
    <m/>
    <m/>
    <m/>
    <m/>
    <m/>
    <m/>
    <m/>
    <m/>
    <m/>
    <m/>
    <m/>
    <m/>
    <m/>
    <m/>
    <m/>
    <m/>
    <m/>
    <m/>
    <m/>
    <m/>
    <m/>
    <m/>
    <m/>
    <m/>
    <m/>
    <m/>
    <m/>
  </r>
  <r>
    <x v="18"/>
    <n v="2012"/>
    <x v="2"/>
    <s v="Europe and Central Asia"/>
    <m/>
    <s v="Mining"/>
    <s v="yes"/>
    <s v="no"/>
    <s v="no"/>
    <s v="Gold"/>
    <s v="detailed"/>
    <s v="detailed Mining"/>
    <n v="50251.611506728877"/>
    <m/>
    <m/>
    <m/>
    <m/>
    <s v="toz"/>
    <n v="1669.51766666667"/>
    <s v="US$/toz"/>
    <s v="Volume from USGS Mineral Yearbook 2012. Price from World Bank (Global Economic Monitor (GEM) Commodities database), and is defined as: Gold (UK), 99.5% fine, London afternoon fixing, average of daily rates."/>
    <n v="83895953.188953981"/>
    <m/>
    <m/>
    <m/>
    <m/>
    <m/>
    <m/>
    <m/>
    <m/>
    <m/>
    <m/>
    <m/>
    <m/>
    <s v="6,100 ounces (5,560 toz)"/>
    <n v="9282344.3151817229"/>
    <m/>
    <m/>
    <m/>
    <m/>
    <m/>
    <m/>
    <m/>
    <m/>
    <m/>
    <m/>
    <m/>
    <m/>
    <m/>
    <m/>
    <m/>
    <m/>
    <m/>
    <m/>
    <m/>
    <m/>
    <m/>
    <m/>
    <m/>
    <m/>
    <m/>
    <m/>
    <m/>
    <m/>
    <m/>
    <m/>
    <m/>
  </r>
  <r>
    <x v="18"/>
    <n v="2012"/>
    <x v="2"/>
    <s v="Europe and Central Asia"/>
    <m/>
    <s v="Mining"/>
    <s v="yes"/>
    <s v="no"/>
    <s v="no"/>
    <s v="Silver"/>
    <s v="detailed"/>
    <s v="detailed Mining"/>
    <n v="20994.435261608418"/>
    <m/>
    <m/>
    <m/>
    <m/>
    <s v="toz"/>
    <n v="31.137408333330001"/>
    <s v="US$/toz"/>
    <s v="Volume from USGS Mineral Yearbook 2012. Price from World Bank (Global Economic Monitor (GEM) Commodities database), and is defined as: Silver (Handy &amp; Harman), 99.9% grade refined, New York."/>
    <n v="653712.30346836313"/>
    <m/>
    <m/>
    <m/>
    <m/>
    <m/>
    <m/>
    <m/>
    <m/>
    <m/>
    <m/>
    <m/>
    <m/>
    <s v="6,400 ounces (5833 toz)"/>
    <n v="181634.881877999"/>
    <m/>
    <m/>
    <m/>
    <m/>
    <m/>
    <m/>
    <m/>
    <m/>
    <m/>
    <m/>
    <m/>
    <m/>
    <m/>
    <m/>
    <m/>
    <m/>
    <m/>
    <m/>
    <m/>
    <m/>
    <m/>
    <m/>
    <m/>
    <m/>
    <m/>
    <m/>
    <m/>
    <m/>
    <m/>
    <m/>
    <m/>
  </r>
  <r>
    <x v="19"/>
    <n v="2008"/>
    <x v="4"/>
    <s v="Africa"/>
    <s v="http://www.itie-bf.gov.bf/spip.php"/>
    <s v="Mining"/>
    <s v="yes"/>
    <s v="no"/>
    <s v="no"/>
    <s v="Gold"/>
    <s v="detailed"/>
    <s v="detailed Mining"/>
    <m/>
    <m/>
    <n v="30700"/>
    <m/>
    <m/>
    <s v="toz"/>
    <n v="836"/>
    <s v="US$/toz"/>
    <s v="Volume and price from EITI 2008 report"/>
    <n v="25665200"/>
    <s v="Profits/Taxes, Royalties, Other significant benefits to government"/>
    <s v="Does not include payments made in-kind"/>
    <m/>
    <n v="3819907.477912378"/>
    <n v="3534509.260861645"/>
    <m/>
    <m/>
    <m/>
    <n v="0.14883606899273638"/>
    <m/>
    <n v="439.16"/>
    <s v="Disaggregated by revenue stream, Disaggregated by company"/>
    <m/>
    <m/>
    <m/>
    <m/>
    <m/>
    <s v="SOMITA"/>
    <n v="1"/>
    <s v="April 2011"/>
    <d v="2014-10-10T00:00:00"/>
    <s v="KPMG"/>
    <s v="http://eiti.org/files/Burkina-Faso-2008-2009-EITI-Report_0.pdf"/>
    <m/>
    <s v="Only production of gold was included in the EITI report, and only one company, SOMITA, reported."/>
    <m/>
    <m/>
    <m/>
    <m/>
    <m/>
    <m/>
    <m/>
    <m/>
    <m/>
    <m/>
    <m/>
    <m/>
    <m/>
    <m/>
    <m/>
    <m/>
    <m/>
    <m/>
    <m/>
    <m/>
  </r>
  <r>
    <x v="20"/>
    <n v="2009"/>
    <x v="4"/>
    <s v="Africa"/>
    <s v="http://www.itie-bf.gov.bf/spip.php"/>
    <s v="Mining"/>
    <s v="yes"/>
    <s v="no"/>
    <s v="no"/>
    <s v="Gold"/>
    <s v="detailed"/>
    <s v="detailed Mining"/>
    <m/>
    <m/>
    <n v="373074.62"/>
    <m/>
    <m/>
    <s v="toz"/>
    <n v="936"/>
    <s v="US$/toz"/>
    <s v="Volume and price from EITI 2009 report"/>
    <n v="349197844.31999999"/>
    <s v="Profits/Taxes, Royalties, Other significant benefits to government"/>
    <s v="Does not include payments made in-kind"/>
    <m/>
    <n v="23106501.168264665"/>
    <n v="27534866.675304484"/>
    <m/>
    <m/>
    <m/>
    <n v="6.6170228551268473E-2"/>
    <m/>
    <n v="463.08"/>
    <s v="Disaggregated by revenue stream, Disaggregated by company"/>
    <m/>
    <m/>
    <m/>
    <m/>
    <m/>
    <s v="SOMITA, BMC, Kalsaka, SEMAFO"/>
    <n v="4"/>
    <s v="April 2011"/>
    <d v="2014-10-10T00:00:00"/>
    <s v="KPMG"/>
    <s v="http://eiti.org/files/Burkina-Faso-2008-2009-EITI-Report.pdf"/>
    <m/>
    <m/>
    <m/>
    <m/>
    <m/>
    <m/>
    <m/>
    <m/>
    <m/>
    <m/>
    <m/>
    <m/>
    <m/>
    <m/>
    <m/>
    <m/>
    <m/>
    <m/>
    <m/>
    <m/>
    <m/>
    <m/>
  </r>
  <r>
    <x v="21"/>
    <n v="2010"/>
    <x v="4"/>
    <s v="Africa"/>
    <s v="http://www.itie-bf.gov.bf/spip.php"/>
    <s v="Mining"/>
    <s v="yes"/>
    <s v="no"/>
    <s v="no"/>
    <s v="Total"/>
    <s v="Total"/>
    <s v="Total Mining"/>
    <m/>
    <m/>
    <m/>
    <m/>
    <m/>
    <m/>
    <m/>
    <m/>
    <m/>
    <n v="830328589.97850001"/>
    <s v="Profits/Taxes, Royalties, Dividends, Other significant benefits to government"/>
    <s v="Does not include payments made in-kind"/>
    <m/>
    <n v="47170416"/>
    <n v="46949862"/>
    <m/>
    <m/>
    <m/>
    <n v="5.680933617042068E-2"/>
    <s v="West African CFA Franc"/>
    <n v="486.41"/>
    <s v="Disaggregated by revenue stream, Disaggregated by company"/>
    <m/>
    <m/>
    <m/>
    <m/>
    <n v="9"/>
    <s v="Burkina Mining Company (BMC), Kalsaka Mining SA, Société des Mines de Taparko (SOMITA), Société d’Exploitation Minière d’Afrique de l’Ouest (SEMAFO), Essakane SA, Société des Mines de Belahouro (SMB), Burkina Manganèse SA, Nantou Mining, Stremco"/>
    <n v="9"/>
    <s v="July 2012"/>
    <d v="2014-10-28T00:00:00"/>
    <s v="Moore Stephens LLP"/>
    <s v="http://eiti.org/files/Burkina-Faso-2010-EITI-Report.pdf"/>
    <n v="19"/>
    <s v="Each company appears to produce just one mineral, allowing revenues to be disaggregated by commodity."/>
    <m/>
    <m/>
    <m/>
    <m/>
    <m/>
    <m/>
    <m/>
    <m/>
    <m/>
    <m/>
    <m/>
    <m/>
    <m/>
    <m/>
    <m/>
    <m/>
    <m/>
    <m/>
    <m/>
    <m/>
  </r>
  <r>
    <x v="21"/>
    <n v="2010"/>
    <x v="4"/>
    <s v="Africa"/>
    <m/>
    <s v="Mining"/>
    <s v="yes"/>
    <s v="no"/>
    <s v="no"/>
    <s v="Gold"/>
    <s v="detailed"/>
    <s v="detailed Mining"/>
    <n v="737505.89657892112"/>
    <m/>
    <n v="677802"/>
    <m/>
    <m/>
    <s v="toz"/>
    <n v="1224.66425"/>
    <s v="US$/toz"/>
    <s v="Volume from USGS Mineral Yearbook 2011. Price from World Bank (Global Economic Monitor (GEM) Commodities database), and is defined as: Gold (UK), 99.5% fine, London afternoon fixing, average of daily rates."/>
    <n v="830079877.97850001"/>
    <m/>
    <m/>
    <m/>
    <n v="47058992.602948129"/>
    <n v="46838542.653317161"/>
    <m/>
    <m/>
    <m/>
    <n v="5.6692125482611697E-2"/>
    <m/>
    <m/>
    <m/>
    <m/>
    <m/>
    <m/>
    <m/>
    <m/>
    <m/>
    <m/>
    <m/>
    <m/>
    <m/>
    <m/>
    <m/>
    <s v="The gold volume reported in the EITI report is 21082kg, which was converted to Troy ounces here."/>
    <m/>
    <m/>
    <m/>
    <m/>
    <m/>
    <m/>
    <m/>
    <m/>
    <m/>
    <m/>
    <m/>
    <m/>
    <m/>
    <m/>
    <m/>
    <m/>
    <m/>
    <m/>
    <m/>
    <m/>
  </r>
  <r>
    <x v="21"/>
    <n v="2010"/>
    <x v="4"/>
    <s v="Africa"/>
    <m/>
    <s v="Mining"/>
    <s v="yes"/>
    <s v="no"/>
    <s v="no"/>
    <s v="Manganese"/>
    <s v="detailed"/>
    <s v="detailed Mining"/>
    <m/>
    <m/>
    <n v="60167"/>
    <m/>
    <m/>
    <s v="t"/>
    <n v="9.64"/>
    <s v="US$/t"/>
    <s v="Price from USGS Mineral Commodity Summary 2013, and is the c.i.f. price at US ports for metallurgical ore with 46-48% manganese content. "/>
    <n v="248712.00000000003"/>
    <m/>
    <m/>
    <m/>
    <n v="104904.98345017577"/>
    <n v="104904.98345017577"/>
    <m/>
    <m/>
    <m/>
    <n v="0.4217930113954122"/>
    <m/>
    <m/>
    <m/>
    <m/>
    <m/>
    <m/>
    <m/>
    <m/>
    <m/>
    <m/>
    <m/>
    <m/>
    <m/>
    <m/>
    <m/>
    <s v="The EITI Report covers one manganese company (Burkia Manganese SA)."/>
    <m/>
    <m/>
    <m/>
    <m/>
    <m/>
    <m/>
    <m/>
    <m/>
    <m/>
    <m/>
    <m/>
    <m/>
    <m/>
    <m/>
    <m/>
    <m/>
    <m/>
    <m/>
    <m/>
    <m/>
  </r>
  <r>
    <x v="21"/>
    <n v="2010"/>
    <x v="4"/>
    <s v="Africa"/>
    <m/>
    <s v="Mining"/>
    <s v="yes"/>
    <s v="no"/>
    <s v="no"/>
    <s v="o/w Manganese ore (processed)"/>
    <s v="detailed"/>
    <s v="detailed Mining"/>
    <n v="57355"/>
    <m/>
    <m/>
    <m/>
    <m/>
    <s v="t"/>
    <m/>
    <m/>
    <s v="Volume from USGS Mineral Yearbook 2011"/>
    <m/>
    <m/>
    <m/>
    <m/>
    <m/>
    <m/>
    <m/>
    <m/>
    <m/>
    <m/>
    <m/>
    <m/>
    <m/>
    <m/>
    <m/>
    <m/>
    <m/>
    <m/>
    <m/>
    <m/>
    <m/>
    <m/>
    <m/>
    <m/>
    <m/>
    <m/>
    <m/>
    <m/>
    <m/>
    <m/>
    <m/>
    <m/>
    <m/>
    <m/>
    <m/>
    <m/>
    <m/>
    <m/>
    <m/>
    <m/>
    <m/>
    <m/>
    <m/>
    <m/>
    <m/>
    <m/>
  </r>
  <r>
    <x v="21"/>
    <n v="2010"/>
    <x v="4"/>
    <s v="Africa"/>
    <m/>
    <s v="Mining"/>
    <s v="yes"/>
    <s v="no"/>
    <s v="no"/>
    <s v="o/w Manganese content"/>
    <s v="detailed"/>
    <s v="detailed Mining"/>
    <n v="25800"/>
    <m/>
    <m/>
    <m/>
    <m/>
    <s v="t"/>
    <m/>
    <m/>
    <s v="Volume from USGS Mineral Yearbook 2011"/>
    <m/>
    <m/>
    <m/>
    <m/>
    <m/>
    <m/>
    <m/>
    <m/>
    <m/>
    <m/>
    <m/>
    <m/>
    <m/>
    <m/>
    <m/>
    <m/>
    <m/>
    <m/>
    <m/>
    <m/>
    <m/>
    <m/>
    <m/>
    <m/>
    <m/>
    <m/>
    <m/>
    <m/>
    <m/>
    <m/>
    <m/>
    <m/>
    <m/>
    <m/>
    <m/>
    <m/>
    <m/>
    <m/>
    <m/>
    <m/>
    <m/>
    <m/>
    <m/>
    <m/>
    <m/>
    <m/>
  </r>
  <r>
    <x v="21"/>
    <n v="2010"/>
    <x v="4"/>
    <s v="Africa"/>
    <m/>
    <s v="Mining"/>
    <s v="yes"/>
    <s v="no"/>
    <s v="no"/>
    <s v="Zinc"/>
    <s v="detailed"/>
    <s v="detailed Mining"/>
    <m/>
    <m/>
    <n v="0"/>
    <m/>
    <m/>
    <s v="t"/>
    <m/>
    <m/>
    <m/>
    <m/>
    <m/>
    <m/>
    <m/>
    <n v="6518.4309533109927"/>
    <n v="6414.3418104068578"/>
    <m/>
    <m/>
    <m/>
    <m/>
    <m/>
    <m/>
    <m/>
    <m/>
    <m/>
    <m/>
    <m/>
    <m/>
    <m/>
    <m/>
    <m/>
    <m/>
    <m/>
    <m/>
    <m/>
    <s v="The EITI Report covers one zinc company (Nantou Mining) that has not yet begun production."/>
    <m/>
    <m/>
    <m/>
    <m/>
    <m/>
    <m/>
    <m/>
    <m/>
    <m/>
    <m/>
    <m/>
    <m/>
    <m/>
    <m/>
    <m/>
    <m/>
    <m/>
    <m/>
    <m/>
    <m/>
  </r>
  <r>
    <x v="22"/>
    <n v="2011"/>
    <x v="4"/>
    <s v="Africa"/>
    <s v="http://www.itie-bf.gov.bf/spip.php"/>
    <s v="Mining"/>
    <s v="yes"/>
    <s v="no"/>
    <s v="no"/>
    <s v="Total"/>
    <s v="Total"/>
    <s v="Total Mining"/>
    <m/>
    <m/>
    <m/>
    <m/>
    <m/>
    <m/>
    <m/>
    <m/>
    <m/>
    <n v="1574992826.7458298"/>
    <s v="Profits/Taxes, Royalties, Dividends, Other significant benefits to government"/>
    <s v="Also covers payments made in-kind (though these are only reported by companies)"/>
    <s v="Yes"/>
    <n v="236414921.89335009"/>
    <n v="238824617.91727158"/>
    <m/>
    <m/>
    <m/>
    <n v="0.1501053959603223"/>
    <s v="West African CFA Franc"/>
    <n v="461.51"/>
    <s v="Disaggregated by revenue stream, Disaggregated by company"/>
    <s v="Not given (in-kind social payments made in the form of infrastructure projects, etc)"/>
    <n v="1399519.2780221447"/>
    <m/>
    <m/>
    <n v="18"/>
    <s v="IAM Gold Essakane SA, Semafo Burkina Faso, Société des Mines de Taparko (SOMITA), Société des Mines de Belahouro (SMB), Kalsaka Mining, Burkina Mining Company (BMC), Société Ampella Mining Gold, BISSA Gold, Nantou Mining SA, Orezone Inc. SARL, AMPELLA Mining, Gryphon Minerals Burkina Faso, Goldbelt Resources, Mana Minerals, High River Gold Mines (WA), Kiaka Gold, GEP Mines, Jilbey Burkina SARL "/>
    <n v="18"/>
    <s v="December 2013"/>
    <d v="2014-10-29T00:00:00"/>
    <s v=" Moore Stephens LLP"/>
    <s v="http://eiti.org/files/Burkina-Faso-2011-EITI-Report_FR.pdf"/>
    <s v="36, 50, 51"/>
    <s v="Each company appears to produce just one mineral, allowing total revenues to be disaggregated by commodity. Payment/revenue totals from eiti.org do not include social payments (made in both cash and kind, with cash values for the latter reported unilaterally by company (p.50)) or subnational transfers (made in cash to local governments, reported unilaterally by the Government (p.51)). The value of social payments has been added to Total Payments by Companies; subnational transfers has been added to Total Received by Government."/>
    <m/>
    <m/>
    <m/>
    <m/>
    <m/>
    <m/>
    <m/>
    <m/>
    <m/>
    <m/>
    <m/>
    <m/>
    <m/>
    <m/>
    <m/>
    <m/>
    <m/>
    <m/>
    <m/>
    <m/>
  </r>
  <r>
    <x v="22"/>
    <n v="2011"/>
    <x v="4"/>
    <s v="Africa"/>
    <m/>
    <s v="Mining"/>
    <s v="yes"/>
    <s v="no"/>
    <s v="no"/>
    <s v="Gold"/>
    <s v="detailed"/>
    <s v="detailed Mining"/>
    <n v="1021557.7121016016"/>
    <m/>
    <n v="1003435"/>
    <m/>
    <m/>
    <s v="toz"/>
    <n v="1569.2108333333299"/>
    <s v="US$/toz"/>
    <s v="Volume from USGS Mineral Yearbook 2011. Price from World Bank (Global Economic Monitor (GEM) Commodities database), and is defined as: Gold (UK), 99.5% fine, London afternoon fixing, average of daily rates."/>
    <n v="1574601072.5458298"/>
    <m/>
    <m/>
    <m/>
    <n v="234778154.99989167"/>
    <n v="237381624.65602046"/>
    <m/>
    <m/>
    <m/>
    <n v="0.1491032611963741"/>
    <m/>
    <m/>
    <m/>
    <m/>
    <m/>
    <m/>
    <m/>
    <m/>
    <m/>
    <m/>
    <m/>
    <m/>
    <m/>
    <m/>
    <m/>
    <s v="Total Company Payments includes social payments reported unilaterally by gold companies; Total Government Revenues does not include subnational transfers reported unilaterally by the Government because these revenues were not disaggregated by company/commodity. Gold production volumes converted from kg (31210.34 kg) to ounces."/>
    <m/>
    <m/>
    <m/>
    <m/>
    <m/>
    <m/>
    <m/>
    <m/>
    <m/>
    <m/>
    <m/>
    <m/>
    <m/>
    <m/>
    <m/>
    <m/>
    <m/>
    <m/>
    <m/>
    <m/>
  </r>
  <r>
    <x v="22"/>
    <n v="2011"/>
    <x v="4"/>
    <s v="Africa"/>
    <m/>
    <s v="Mining"/>
    <s v="yes"/>
    <s v="no"/>
    <s v="no"/>
    <s v="Manganese"/>
    <s v="detailed"/>
    <s v="detailed Mining"/>
    <m/>
    <m/>
    <n v="49715"/>
    <m/>
    <m/>
    <m/>
    <n v="7.88"/>
    <s v="US$/t"/>
    <s v="Price from USGS Mineral Commodity Summary 2013, and is the c.i.f. price at US ports for metallurgical ore with 46-48% manganese content. "/>
    <n v="391754.2"/>
    <m/>
    <m/>
    <m/>
    <m/>
    <m/>
    <m/>
    <m/>
    <m/>
    <m/>
    <m/>
    <m/>
    <m/>
    <m/>
    <m/>
    <m/>
    <m/>
    <m/>
    <m/>
    <m/>
    <m/>
    <m/>
    <m/>
    <m/>
    <m/>
    <m/>
    <m/>
    <m/>
    <m/>
    <m/>
    <m/>
    <m/>
    <m/>
    <m/>
    <m/>
    <m/>
    <m/>
    <m/>
    <m/>
    <m/>
    <m/>
    <m/>
    <m/>
    <m/>
    <m/>
    <m/>
  </r>
  <r>
    <x v="22"/>
    <n v="2011"/>
    <x v="4"/>
    <s v="Africa"/>
    <m/>
    <s v="Mining"/>
    <s v="yes"/>
    <s v="no"/>
    <s v="no"/>
    <s v="o/w Manganese ore (processed)"/>
    <s v="detailed"/>
    <s v="detailed Mining"/>
    <n v="49715"/>
    <m/>
    <m/>
    <m/>
    <m/>
    <s v="t"/>
    <m/>
    <m/>
    <s v="Volume from USGS Mineral Yearbook 2011"/>
    <m/>
    <m/>
    <m/>
    <m/>
    <m/>
    <m/>
    <m/>
    <m/>
    <m/>
    <m/>
    <m/>
    <m/>
    <m/>
    <m/>
    <m/>
    <m/>
    <m/>
    <m/>
    <m/>
    <m/>
    <m/>
    <m/>
    <m/>
    <m/>
    <m/>
    <m/>
    <m/>
    <m/>
    <m/>
    <m/>
    <m/>
    <m/>
    <m/>
    <m/>
    <m/>
    <m/>
    <m/>
    <m/>
    <m/>
    <m/>
    <m/>
    <m/>
    <m/>
    <m/>
    <m/>
    <m/>
  </r>
  <r>
    <x v="22"/>
    <n v="2011"/>
    <x v="4"/>
    <s v="Africa"/>
    <m/>
    <s v="Mining"/>
    <s v="yes"/>
    <s v="no"/>
    <s v="no"/>
    <s v="o/w Manganese content"/>
    <s v="detailed"/>
    <s v="detailed Mining"/>
    <n v="22400"/>
    <m/>
    <m/>
    <m/>
    <m/>
    <s v="t"/>
    <m/>
    <m/>
    <s v="Volume from USGS Mineral Yearbook 2011"/>
    <m/>
    <m/>
    <m/>
    <m/>
    <m/>
    <m/>
    <m/>
    <m/>
    <m/>
    <m/>
    <m/>
    <m/>
    <m/>
    <m/>
    <m/>
    <m/>
    <m/>
    <m/>
    <m/>
    <m/>
    <m/>
    <m/>
    <m/>
    <m/>
    <m/>
    <m/>
    <m/>
    <m/>
    <m/>
    <m/>
    <m/>
    <m/>
    <m/>
    <m/>
    <m/>
    <m/>
    <m/>
    <m/>
    <m/>
    <m/>
    <m/>
    <m/>
    <m/>
    <m/>
    <m/>
    <m/>
  </r>
  <r>
    <x v="22"/>
    <n v="2011"/>
    <x v="4"/>
    <s v="Africa"/>
    <m/>
    <s v="Mining"/>
    <s v="yes"/>
    <s v="no"/>
    <s v="no"/>
    <s v="Zinc"/>
    <s v="detailed"/>
    <s v="detailed Mining"/>
    <m/>
    <m/>
    <n v="0"/>
    <m/>
    <m/>
    <s v="t"/>
    <m/>
    <m/>
    <m/>
    <m/>
    <m/>
    <m/>
    <m/>
    <n v="1449364.1459556674"/>
    <n v="1442993.2612511106"/>
    <m/>
    <m/>
    <m/>
    <m/>
    <m/>
    <m/>
    <m/>
    <m/>
    <m/>
    <m/>
    <m/>
    <m/>
    <m/>
    <m/>
    <m/>
    <m/>
    <m/>
    <m/>
    <m/>
    <s v="The EITI Report covers one zinc company (Nantou Mining) that has not yet begun production. "/>
    <m/>
    <m/>
    <m/>
    <m/>
    <m/>
    <m/>
    <m/>
    <m/>
    <m/>
    <m/>
    <m/>
    <m/>
    <m/>
    <m/>
    <m/>
    <m/>
    <m/>
    <m/>
    <m/>
    <m/>
  </r>
  <r>
    <x v="23"/>
    <n v="2012"/>
    <x v="4"/>
    <s v="Africa"/>
    <s v="http://www.itie-bf.gov.bf/spip.php"/>
    <s v="Mining"/>
    <s v="Gold"/>
    <m/>
    <m/>
    <s v="Gold"/>
    <m/>
    <m/>
    <m/>
    <m/>
    <n v="936257.61099037481"/>
    <m/>
    <m/>
    <s v="toz"/>
    <n v="1668.85"/>
    <s v="US$/toz"/>
    <s v="Volume and Price from EITI Report"/>
    <n v="1591231109.1400001"/>
    <m/>
    <m/>
    <m/>
    <n v="366304044.26999998"/>
    <n v="371460985.86000001"/>
    <n v="0.98"/>
    <n v="379240089.45999998"/>
    <m/>
    <n v="0.23020166094413111"/>
    <s v="West African CFA Franc"/>
    <n v="503"/>
    <s v="Disaggregated by revenue stream, Disaggregated by company"/>
    <m/>
    <m/>
    <m/>
    <m/>
    <n v="26"/>
    <s v="IAM Gold Essakane SA, Orezone Inc. SARL., Semafo Burkina Faso, AMPELLA Mining, Société des Mines de Belahouro (SMB), Gryphon Minerals Burkina Faso, Société des Mines de Taparko (SOMITA), Goldbelt Resources Kalsaka Mining, Mana Minerals, Burkina Mining Company (BMC), High River Gold Mines (WA), Société ampella Mining Gold, Kiaka Gold, BISSA Gold, Jilbey Burkina SARL, Nantou Mining SA, Riverstone Resources, Riverstone Resources, Roxgold Burkina Faso, Stremco SA, Pinsapo Gold, Essakane Exploration SARL, Pan African Burkina Ltd (PAB), GEP Mines, SAV’OR"/>
    <n v="26"/>
    <s v="December 2014"/>
    <m/>
    <s v="Moore Stephens"/>
    <s v="https://eiti.org/files/2012%20Burkina%20Faso%20EITI%20Report%20Final.pdf"/>
    <m/>
    <s v="Gold production volume given in kg in the EITI report, converted here in toz. The production value is given directly in the report. Exchange rate calculated for each transaction, at the value of the day when the transaction occurred "/>
    <m/>
    <m/>
    <m/>
    <m/>
    <m/>
    <m/>
    <m/>
    <m/>
    <m/>
    <m/>
    <m/>
    <m/>
    <m/>
    <m/>
    <m/>
    <m/>
    <m/>
    <m/>
    <m/>
    <m/>
  </r>
  <r>
    <x v="24"/>
    <n v="2001"/>
    <x v="5"/>
    <s v="Africa"/>
    <s v="http://www.eiticameroon.org/index.php/home"/>
    <s v="Oil, Gas"/>
    <s v="no"/>
    <s v="yes"/>
    <s v="yes"/>
    <s v="Total"/>
    <s v="Total"/>
    <s v="Total Oil, Gas"/>
    <m/>
    <m/>
    <m/>
    <m/>
    <m/>
    <m/>
    <m/>
    <m/>
    <m/>
    <n v="1128787165.5095637"/>
    <s v="Host government's production entitlement, State-owned company production entitlement, Profits/Taxes, Royalties, Dividends, Bonuses, Other significant benefits to government"/>
    <s v="Also covers payments made in-kind (though these are only reported for Government)"/>
    <s v="Yes"/>
    <n v="731900794.85081637"/>
    <n v="143175130"/>
    <m/>
    <m/>
    <m/>
    <n v="0.64839574475531658"/>
    <s v="United States Dollar"/>
    <s v=""/>
    <s v="Disaggregated by revenue stream"/>
    <s v="24,965,343 bbl of oil"/>
    <n v="583993394.85081637"/>
    <m/>
    <m/>
    <n v="5"/>
    <s v="Total Exploration &amp; Production (E&amp;P) Cameroon, Pecten Cameroon, Perenco Cameroon, ExxonMobil Cameroon, NHC Functioning"/>
    <n v="4"/>
    <s v="October 2006"/>
    <d v="2014-09-08T00:00:00"/>
    <s v="Hart Group/Mazars Cameroon"/>
    <s v="http://eiti.org/files/Cameroon%202001-2002-2003-2004%20EITI%20Report_0.pdf"/>
    <n v="23"/>
    <s v="The report covers the fiscal period of 1 July 2001 – 30 June 2002. 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3.39 over the fiscal year."/>
    <m/>
    <m/>
    <m/>
    <m/>
    <m/>
    <m/>
    <m/>
    <m/>
    <m/>
    <m/>
    <m/>
    <m/>
    <m/>
    <m/>
    <m/>
    <m/>
    <m/>
    <m/>
    <m/>
    <m/>
  </r>
  <r>
    <x v="24"/>
    <n v="2001"/>
    <x v="5"/>
    <s v="Africa"/>
    <m/>
    <s v="Gas"/>
    <s v="no"/>
    <s v="yes"/>
    <s v="no"/>
    <s v="Gas"/>
    <s v="detailed"/>
    <s v="detailed Gas"/>
    <n v="1783958400"/>
    <n v="11774125.439999999"/>
    <m/>
    <m/>
    <m/>
    <s v="m³"/>
    <n v="0.12911500000000001"/>
    <s v="US$/m³"/>
    <s v="Volume from EIA, adjusted to acount for the fiscal year. Price from BPSR 2014, and is an average of the UK, US and Canada Indices for natural gas, adjusted to account for the fiscal year."/>
    <n v="230335788.81600001"/>
    <m/>
    <m/>
    <m/>
    <n v="0.25636978782721709"/>
    <m/>
    <m/>
    <m/>
    <m/>
    <m/>
    <m/>
    <m/>
    <m/>
    <m/>
    <m/>
    <m/>
    <m/>
    <m/>
    <m/>
    <m/>
    <m/>
    <m/>
    <m/>
    <m/>
    <m/>
    <m/>
    <m/>
    <m/>
    <m/>
    <m/>
    <m/>
    <m/>
    <m/>
    <m/>
    <m/>
    <m/>
    <m/>
    <m/>
    <m/>
    <m/>
    <m/>
    <m/>
    <m/>
    <m/>
    <m/>
    <m/>
  </r>
  <r>
    <x v="24"/>
    <n v="2001"/>
    <x v="5"/>
    <s v="Africa"/>
    <m/>
    <s v="Oil"/>
    <s v="no"/>
    <s v="no"/>
    <s v="yes"/>
    <s v="Oil"/>
    <s v="detailed"/>
    <s v="detailed Oil"/>
    <n v="38408219.17808219"/>
    <n v="0.30655223522362507"/>
    <n v="38408219.17808219"/>
    <m/>
    <m/>
    <s v="bbl"/>
    <n v="23.392164383561646"/>
    <s v="US$/bbl"/>
    <s v="Volume and price from EITI Report, adjusted to account for the fiscal year"/>
    <n v="898451376.69356358"/>
    <m/>
    <m/>
    <m/>
    <m/>
    <m/>
    <m/>
    <m/>
    <m/>
    <m/>
    <m/>
    <m/>
    <m/>
    <m/>
    <m/>
    <m/>
    <m/>
    <m/>
    <m/>
    <m/>
    <m/>
    <m/>
    <m/>
    <m/>
    <s v="14, 26"/>
    <m/>
    <m/>
    <m/>
    <m/>
    <m/>
    <m/>
    <m/>
    <m/>
    <m/>
    <m/>
    <m/>
    <m/>
    <m/>
    <m/>
    <m/>
    <m/>
    <m/>
    <m/>
    <m/>
    <m/>
    <m/>
  </r>
  <r>
    <x v="25"/>
    <n v="2002"/>
    <x v="5"/>
    <s v="Africa"/>
    <s v="http://www.eiticameroon.org/index.php/home"/>
    <s v="Oil, Gas"/>
    <s v="no"/>
    <s v="yes"/>
    <s v="yes"/>
    <s v="Total"/>
    <s v="Total"/>
    <s v="Total Oil, Gas"/>
    <m/>
    <m/>
    <m/>
    <m/>
    <m/>
    <m/>
    <m/>
    <m/>
    <m/>
    <n v="606431056.06825197"/>
    <s v="Host government's production entitlement, State-owned company production entitlement, Profits/Taxes, Royalties, Dividends, Bonuses, Other significant benefits to government"/>
    <s v="Also covers payments made in-kind (though these are only reported for Government)"/>
    <s v="Yes"/>
    <n v="338323283.56164378"/>
    <n v="49056250"/>
    <m/>
    <m/>
    <m/>
    <n v="0.55789241031806014"/>
    <s v="United States Dollar"/>
    <s v=""/>
    <s v="Disaggregated by revenue stream"/>
    <s v="24,310,000 bbl of oil"/>
    <n v="290931423.56164378"/>
    <m/>
    <m/>
    <n v="5"/>
    <s v="Total Exploration &amp; Production (E&amp;P) Cameroon, Pecten Cameroon, Perenco Cameroon, ExxonMobil Cameroon, NHC Functioning"/>
    <n v="4"/>
    <s v="October 2006"/>
    <d v="2014-09-08T00:00:00"/>
    <s v="Hart Group/Mazars Cameroon"/>
    <s v="http://eiti.org/files/Cameroon%202001-2002-2003-2004%20EITI%20Report.pdf"/>
    <n v="23"/>
    <s v="The report covers the fiscal period of 1 July 2002 – 31 December 2002. Materiality threshold: All oil companies involved in production and exploration should be reconciled. Unilateral declarations do not appear to be included in the figures. The production volume has been adjusted to account for the fiscal year.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3.74 in 2002."/>
    <m/>
    <m/>
    <m/>
    <m/>
    <m/>
    <m/>
    <m/>
    <m/>
    <m/>
    <m/>
    <m/>
    <m/>
    <m/>
    <m/>
    <m/>
    <m/>
    <m/>
    <m/>
    <m/>
    <m/>
  </r>
  <r>
    <x v="25"/>
    <n v="2002"/>
    <x v="5"/>
    <s v="Africa"/>
    <m/>
    <s v="Gas"/>
    <s v="no"/>
    <s v="yes"/>
    <s v="no"/>
    <s v="Gas"/>
    <s v="detailed"/>
    <s v="detailed Gas"/>
    <n v="1614057600"/>
    <n v="10652780.16"/>
    <m/>
    <m/>
    <m/>
    <s v="m³"/>
    <n v="9.8412999999999987E-2"/>
    <s v="US$/m³"/>
    <s v="Volume from EIA, adjusted to acount for the fiscal year. Price from BPSR 2014, and is an average of the UK, US and Canada Indices for natural gas, adjusted to account for the fiscal year."/>
    <n v="158844250.58879998"/>
    <m/>
    <m/>
    <m/>
    <n v="0.3548903780097965"/>
    <m/>
    <m/>
    <m/>
    <m/>
    <m/>
    <m/>
    <m/>
    <m/>
    <m/>
    <m/>
    <m/>
    <m/>
    <m/>
    <m/>
    <m/>
    <m/>
    <m/>
    <m/>
    <m/>
    <m/>
    <m/>
    <m/>
    <m/>
    <m/>
    <m/>
    <m/>
    <m/>
    <m/>
    <m/>
    <m/>
    <m/>
    <m/>
    <m/>
    <m/>
    <m/>
    <m/>
    <m/>
    <m/>
    <m/>
    <m/>
    <m/>
  </r>
  <r>
    <x v="25"/>
    <n v="2002"/>
    <x v="5"/>
    <s v="Africa"/>
    <m/>
    <s v="Oil"/>
    <s v="no"/>
    <s v="no"/>
    <s v="yes"/>
    <s v="Oil"/>
    <s v="detailed"/>
    <s v="detailed Oil"/>
    <n v="18853698.630136985"/>
    <n v="0.56502336061381075"/>
    <n v="18853698.630136985"/>
    <m/>
    <m/>
    <s v="bbl"/>
    <n v="23.74"/>
    <s v="US$/bbl"/>
    <s v="Volume and price from EITI Report, adjusted to account for the fiscal year"/>
    <n v="447586805.47945201"/>
    <m/>
    <m/>
    <m/>
    <m/>
    <m/>
    <m/>
    <m/>
    <m/>
    <m/>
    <m/>
    <m/>
    <m/>
    <m/>
    <m/>
    <m/>
    <m/>
    <m/>
    <m/>
    <m/>
    <m/>
    <m/>
    <m/>
    <m/>
    <s v="14, 26"/>
    <m/>
    <m/>
    <m/>
    <m/>
    <m/>
    <m/>
    <m/>
    <m/>
    <m/>
    <m/>
    <m/>
    <m/>
    <m/>
    <m/>
    <m/>
    <m/>
    <m/>
    <m/>
    <m/>
    <m/>
    <m/>
  </r>
  <r>
    <x v="26"/>
    <n v="2003"/>
    <x v="5"/>
    <s v="Africa"/>
    <s v="http://www.eiticameroon.org/index.php/home"/>
    <s v="Oil, Gas"/>
    <s v="no"/>
    <s v="yes"/>
    <s v="yes"/>
    <s v="Total"/>
    <s v="Total"/>
    <s v="Total Oil, Gas"/>
    <m/>
    <m/>
    <m/>
    <m/>
    <m/>
    <m/>
    <m/>
    <m/>
    <m/>
    <n v="1211753205.4304001"/>
    <s v="Host government's production entitlement, State-owned company production entitlement, Profits/Taxes, Royalties, Bonuses, Other significant benefits to government"/>
    <s v="Also covers payments made in-kind (though these are only reported for Government)"/>
    <s v="Yes"/>
    <n v="753768010"/>
    <n v="120983440"/>
    <m/>
    <m/>
    <m/>
    <n v="0.62204746529411548"/>
    <s v="United States Dollar"/>
    <s v=""/>
    <s v="Disaggregated by revenue stream"/>
    <s v="23,140,000 bbl of oil"/>
    <n v="627556800"/>
    <m/>
    <m/>
    <n v="5"/>
    <s v="Total Exploration &amp; Production (E&amp;P) Cameroon, Pecten Cameroon, Perenco Cameroon, ExxonMobil Cameroon, NHC Functioning"/>
    <n v="4"/>
    <s v="October 2006"/>
    <d v="2014-09-08T00:00:00"/>
    <s v="Hart Group/Mazars Cameroon"/>
    <s v="http://eiti.org/files/Cameroon%202001%202002%202003%202004%20EITI%20Report.pdf"/>
    <n v="23"/>
    <s v="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7.12 in 2003."/>
    <m/>
    <m/>
    <m/>
    <m/>
    <m/>
    <m/>
    <m/>
    <m/>
    <m/>
    <m/>
    <m/>
    <m/>
    <m/>
    <m/>
    <m/>
    <m/>
    <m/>
    <m/>
    <m/>
    <m/>
  </r>
  <r>
    <x v="26"/>
    <n v="2003"/>
    <x v="5"/>
    <s v="Africa"/>
    <m/>
    <s v="Gas"/>
    <s v="no"/>
    <s v="yes"/>
    <s v="no"/>
    <s v="Gas"/>
    <s v="detailed"/>
    <s v="detailed Gas"/>
    <n v="1500790400"/>
    <n v="9905216.6400000006"/>
    <m/>
    <m/>
    <m/>
    <s v="m³"/>
    <n v="0.16410100000000002"/>
    <s v="US$/m³"/>
    <s v="Volume from EIA. Price from BPSR 2014, and is an average of the UK, US and Canada Indices for natural gas."/>
    <n v="246281205.43040004"/>
    <m/>
    <m/>
    <m/>
    <n v="0.25508891550495516"/>
    <m/>
    <m/>
    <m/>
    <m/>
    <m/>
    <m/>
    <m/>
    <m/>
    <m/>
    <m/>
    <m/>
    <m/>
    <m/>
    <m/>
    <m/>
    <m/>
    <m/>
    <m/>
    <m/>
    <m/>
    <m/>
    <m/>
    <m/>
    <m/>
    <m/>
    <m/>
    <m/>
    <m/>
    <m/>
    <m/>
    <m/>
    <m/>
    <m/>
    <m/>
    <m/>
    <m/>
    <m/>
    <m/>
    <m/>
    <m/>
    <m/>
  </r>
  <r>
    <x v="26"/>
    <n v="2003"/>
    <x v="5"/>
    <s v="Africa"/>
    <m/>
    <s v="Oil"/>
    <s v="no"/>
    <s v="no"/>
    <s v="yes"/>
    <s v="Oil"/>
    <s v="detailed"/>
    <s v="detailed Oil"/>
    <n v="35600000"/>
    <n v="0.27823642247191011"/>
    <n v="35600000"/>
    <m/>
    <m/>
    <s v="bbl"/>
    <n v="27.12"/>
    <s v="US$/bbl"/>
    <s v="Volume and price from EITI Report"/>
    <n v="965472000"/>
    <m/>
    <m/>
    <m/>
    <m/>
    <m/>
    <m/>
    <m/>
    <m/>
    <m/>
    <m/>
    <m/>
    <m/>
    <m/>
    <m/>
    <m/>
    <m/>
    <m/>
    <m/>
    <m/>
    <m/>
    <m/>
    <m/>
    <m/>
    <s v="14, 26"/>
    <m/>
    <m/>
    <m/>
    <m/>
    <m/>
    <m/>
    <m/>
    <m/>
    <m/>
    <m/>
    <m/>
    <m/>
    <m/>
    <m/>
    <m/>
    <m/>
    <m/>
    <m/>
    <m/>
    <m/>
    <m/>
  </r>
  <r>
    <x v="27"/>
    <n v="2004"/>
    <x v="5"/>
    <s v="Africa"/>
    <s v="http://www.eiticameroon.org/index.php/home"/>
    <s v="Oil, Gas"/>
    <s v="no"/>
    <s v="yes"/>
    <s v="yes"/>
    <s v="Total"/>
    <s v="Total"/>
    <s v="Total Oil, Gas"/>
    <m/>
    <m/>
    <m/>
    <m/>
    <m/>
    <m/>
    <m/>
    <m/>
    <m/>
    <n v="1525801114.368"/>
    <s v="Host government's production entitlement, State-owned company production entitlement, Profits/Taxes, Royalties, Bonuses, Other significant benefits to government"/>
    <s v="Also covers payments made in-kind (though these are only reported for Government)"/>
    <s v="Yes"/>
    <n v="954798250"/>
    <n v="172493250"/>
    <m/>
    <m/>
    <m/>
    <n v="0.62576848385347106"/>
    <s v="United States Dollar"/>
    <s v=""/>
    <s v="Disaggregated by revenue stream"/>
    <s v="21,190,000 bbl of oil"/>
    <n v="790175100"/>
    <m/>
    <m/>
    <n v="5"/>
    <s v="Total Exploration &amp; Production (E&amp;P) Cameroon, Pecten Cameroon, Perenco Cameroon, ExxonMobil Cameroon, NHC Functioning"/>
    <n v="4"/>
    <s v="October 2006"/>
    <d v="2014-09-08T00:00:00"/>
    <s v="Hart Group/Mazars Cameroon"/>
    <s v="http://eiti.org/files/Cameroon-2001-2002-2003-2004-EITI-Report.pdf"/>
    <n v="23"/>
    <s v="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37.29 in 2004."/>
    <m/>
    <m/>
    <m/>
    <m/>
    <m/>
    <m/>
    <m/>
    <m/>
    <m/>
    <m/>
    <m/>
    <m/>
    <m/>
    <m/>
    <m/>
    <m/>
    <m/>
    <m/>
    <m/>
    <m/>
  </r>
  <r>
    <x v="27"/>
    <n v="2004"/>
    <x v="5"/>
    <s v="Africa"/>
    <m/>
    <s v="Gas"/>
    <s v="no"/>
    <s v="yes"/>
    <s v="no"/>
    <s v="Gas"/>
    <s v="detailed"/>
    <s v="detailed Gas"/>
    <n v="1699008000"/>
    <n v="11213452.800000001"/>
    <m/>
    <m/>
    <m/>
    <s v="m³"/>
    <n v="0.18254599999999999"/>
    <s v="US$/m³"/>
    <s v="Volume from EIA. Price from BPSR 2014, and is an average of the UK, US and Canada Indices for natural gas."/>
    <n v="310147114.36799997"/>
    <m/>
    <m/>
    <m/>
    <n v="0.25512778666298136"/>
    <m/>
    <m/>
    <m/>
    <m/>
    <m/>
    <m/>
    <m/>
    <m/>
    <m/>
    <m/>
    <m/>
    <m/>
    <m/>
    <m/>
    <m/>
    <m/>
    <m/>
    <m/>
    <m/>
    <m/>
    <m/>
    <m/>
    <m/>
    <m/>
    <m/>
    <m/>
    <m/>
    <m/>
    <m/>
    <m/>
    <m/>
    <m/>
    <m/>
    <m/>
    <m/>
    <m/>
    <m/>
    <m/>
    <m/>
    <m/>
    <m/>
  </r>
  <r>
    <x v="27"/>
    <n v="2004"/>
    <x v="5"/>
    <s v="Africa"/>
    <m/>
    <s v="Oil"/>
    <s v="no"/>
    <s v="no"/>
    <s v="yes"/>
    <s v="Oil"/>
    <s v="detailed"/>
    <s v="detailed Oil"/>
    <n v="32600000"/>
    <n v="0.34397094478527612"/>
    <n v="32600000"/>
    <m/>
    <m/>
    <s v="bbl"/>
    <n v="37.29"/>
    <s v="US$/bbl"/>
    <s v="Volume and price from EITI Report"/>
    <n v="1215654000"/>
    <m/>
    <m/>
    <m/>
    <m/>
    <m/>
    <m/>
    <m/>
    <m/>
    <m/>
    <m/>
    <m/>
    <m/>
    <m/>
    <m/>
    <m/>
    <m/>
    <m/>
    <m/>
    <m/>
    <m/>
    <m/>
    <m/>
    <m/>
    <s v="14, 26"/>
    <m/>
    <m/>
    <m/>
    <m/>
    <m/>
    <m/>
    <m/>
    <m/>
    <m/>
    <m/>
    <m/>
    <m/>
    <m/>
    <m/>
    <m/>
    <m/>
    <m/>
    <m/>
    <m/>
    <m/>
    <m/>
  </r>
  <r>
    <x v="28"/>
    <n v="2005"/>
    <x v="5"/>
    <s v="Africa"/>
    <s v="http://www.eiticameroon.org/index.php/home"/>
    <s v="Oil, Gas"/>
    <s v="no"/>
    <s v="yes"/>
    <s v="yes"/>
    <s v="Total"/>
    <s v="Total"/>
    <s v="Total Oil, Gas"/>
    <m/>
    <m/>
    <m/>
    <m/>
    <m/>
    <m/>
    <m/>
    <m/>
    <m/>
    <n v="2027648359.2159998"/>
    <s v="Host government's production entitlement, Profits/Taxes, Royalties, Dividends, Bonuses"/>
    <s v="Also covers payments made in-kind (though these are only reported for Government)"/>
    <s v="Yes"/>
    <n v="1188024922.5"/>
    <n v="204854380"/>
    <m/>
    <m/>
    <m/>
    <n v="0.58591269886626474"/>
    <s v="United States Dollar"/>
    <s v=""/>
    <s v="Disaggregated by revenue stream"/>
    <s v="19,553,950 bbl of oil"/>
    <n v="984541382.5"/>
    <m/>
    <m/>
    <n v="13"/>
    <s v="Total Exploration &amp; Production (E&amp;P) Cameroon, Pecten Cameroon, Perenco Cameroon, ExxonMobil Cameroon, NHC Functioning, Euroil Ltd, Addax Petroleum Cameroon Ltd, Noble, Turnberry Resource Inc, Tullow Cameroon Ltd, Sterling Cameroon Ltd, RSM Production Corporation, Sonara"/>
    <n v="10"/>
    <s v="February 2007"/>
    <d v="2014-09-08T00:00:00"/>
    <s v="Hart Group/Mazars Cameroon"/>
    <s v="http://eiti.org/files/Cameroon-2005-EITI-Report.pdf"/>
    <n v="22"/>
    <s v="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3% of production. The value of this payment in kind is not given in the report, but has been calculated using the official sales price given in the report, which is determined by a commission comprising of the NHC and the oil companies. This was $50.35 in 2005."/>
    <m/>
    <m/>
    <m/>
    <m/>
    <m/>
    <m/>
    <m/>
    <m/>
    <m/>
    <m/>
    <m/>
    <m/>
    <m/>
    <m/>
    <m/>
    <m/>
    <m/>
    <m/>
    <m/>
    <m/>
  </r>
  <r>
    <x v="28"/>
    <n v="2005"/>
    <x v="5"/>
    <s v="Africa"/>
    <m/>
    <s v="Gas"/>
    <s v="no"/>
    <s v="yes"/>
    <s v="no"/>
    <s v="Gas"/>
    <s v="detailed"/>
    <s v="detailed Gas"/>
    <n v="1840592000"/>
    <n v="12147907.199999999"/>
    <m/>
    <m/>
    <m/>
    <s v="m³"/>
    <n v="0.27869799999999995"/>
    <s v="US$/m³"/>
    <s v="Volume from EIA. Price from BPSR 2014, and is an average of the UK, US and Canada Indices for natural gas."/>
    <n v="512969309.2159999"/>
    <m/>
    <m/>
    <m/>
    <n v="0.33866534908236823"/>
    <m/>
    <m/>
    <m/>
    <m/>
    <m/>
    <m/>
    <m/>
    <m/>
    <m/>
    <m/>
    <m/>
    <m/>
    <m/>
    <m/>
    <m/>
    <m/>
    <m/>
    <m/>
    <m/>
    <m/>
    <m/>
    <m/>
    <m/>
    <m/>
    <m/>
    <m/>
    <m/>
    <m/>
    <m/>
    <m/>
    <m/>
    <m/>
    <m/>
    <m/>
    <m/>
    <m/>
    <m/>
    <m/>
    <m/>
    <m/>
    <m/>
  </r>
  <r>
    <x v="28"/>
    <n v="2005"/>
    <x v="5"/>
    <s v="Africa"/>
    <m/>
    <s v="Oil"/>
    <s v="no"/>
    <s v="no"/>
    <s v="yes"/>
    <s v="Oil"/>
    <s v="detailed"/>
    <s v="detailed Oil"/>
    <n v="30083000"/>
    <n v="0.40381302396702456"/>
    <n v="30083000"/>
    <m/>
    <m/>
    <s v="bbl"/>
    <n v="50.35"/>
    <s v="US$/bbl"/>
    <s v="Volume and price from EITI Report"/>
    <n v="1514679050"/>
    <m/>
    <m/>
    <m/>
    <m/>
    <m/>
    <m/>
    <m/>
    <m/>
    <m/>
    <m/>
    <m/>
    <m/>
    <m/>
    <m/>
    <m/>
    <m/>
    <m/>
    <m/>
    <m/>
    <m/>
    <m/>
    <m/>
    <m/>
    <s v="13, 25, 50"/>
    <m/>
    <m/>
    <m/>
    <m/>
    <m/>
    <m/>
    <m/>
    <m/>
    <m/>
    <m/>
    <m/>
    <m/>
    <m/>
    <m/>
    <m/>
    <m/>
    <m/>
    <m/>
    <m/>
    <m/>
    <m/>
  </r>
  <r>
    <x v="29"/>
    <n v="2006"/>
    <x v="5"/>
    <s v="Africa"/>
    <s v="http://www.eiticameroon.org/index.php/home"/>
    <s v="Oil, Gas, Mining"/>
    <s v="yes"/>
    <s v="yes"/>
    <s v="yes"/>
    <s v="Total"/>
    <s v="Total"/>
    <s v="Total Oil, Gas, Mining"/>
    <m/>
    <m/>
    <m/>
    <m/>
    <m/>
    <m/>
    <m/>
    <m/>
    <m/>
    <n v="2454548872.1367373"/>
    <s v="Profits/Taxes, Royalties, Dividends, Bonuses, Other significant benefits to government"/>
    <s v="Also covers payments made in-kind (though these are only reported for Government)"/>
    <s v="Yes"/>
    <n v="1599006845.6187501"/>
    <n v="238822368"/>
    <m/>
    <m/>
    <m/>
    <n v="0.65144632635763344"/>
    <s v="United States Dollar and Central African CFA Franc"/>
    <n v="479.23899999999998"/>
    <s v="Disaggregated by revenue stream"/>
    <s v="20,996,780 bbl of oil"/>
    <n v="1367815548.6187501"/>
    <s v="Proportional mining royalty"/>
    <n v="50135480"/>
    <n v="21"/>
    <s v="Total Exploration &amp; Production (E&amp;P) Cameroon, Pecten Cameroon, Perenco Cameroon, Mobil Producing Cameroon Inc., Euroil Ltd, Addax Petroleum Cameroon Ltd, Noble Energy Cameroon Ltd, Sterling Energy, Rodeo Development Ltd, Kosmos Energy, Glencore Exploration Cameroon, Societe Nationale de Raffinage (SONARA), African Aura Resources, Sinosteel CAM SA, Cam Iron SA, Mega Urnaium Corporation Cameroon Plc, Hydrmine Inc., Free Mining Company, Ets Rocaglia, Cimencam, Geovic"/>
    <n v="10"/>
    <s v="June 2010"/>
    <d v="2014-09-09T00:00:00"/>
    <s v="Hart Group/Mazars Cameroon"/>
    <s v="http://eiti.org/files/Cameroon-2006-2007-2008-EITI-Report_1.pdf"/>
    <s v="15,16, 19"/>
    <s v="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5.8%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6 it was negative and has therefore been classified as a subsidy."/>
    <m/>
    <m/>
    <m/>
    <m/>
    <m/>
    <m/>
    <m/>
    <m/>
    <m/>
    <m/>
    <m/>
    <m/>
    <m/>
    <m/>
    <m/>
    <m/>
    <m/>
    <m/>
    <m/>
    <m/>
  </r>
  <r>
    <x v="29"/>
    <n v="2006"/>
    <x v="5"/>
    <s v="Africa"/>
    <m/>
    <s v="Oil, Gas"/>
    <s v="no"/>
    <s v="yes"/>
    <s v="yes"/>
    <s v="Total Oil &amp; Gas"/>
    <s v="Total"/>
    <s v="Total Oil, Gas"/>
    <m/>
    <m/>
    <m/>
    <m/>
    <m/>
    <m/>
    <m/>
    <m/>
    <m/>
    <n v="2443535938.7367373"/>
    <m/>
    <m/>
    <m/>
    <n v="1598785618.6187501"/>
    <n v="238374040"/>
    <m/>
    <m/>
    <m/>
    <n v="0.65429183719937123"/>
    <m/>
    <m/>
    <m/>
    <s v="20,996,780 bbl of oil"/>
    <n v="1367815548.6187501"/>
    <m/>
    <m/>
    <n v="12"/>
    <s v="Total Exploration &amp; Production (E&amp;P) Cameroon, Pecten Cameroon, Perenco Cameroon, Mobil Producing Cameroon Inc., Euroil Ltd, Addax Petroleum Cameroon Ltd, Noble Energy Cameroon Ltd, Sterling Energy, Rodeo Development Ltd, Kosmos Energy, Glencore Exploration Cameroon, Societe Nationale de Raffinage (SONARA)"/>
    <n v="7"/>
    <m/>
    <m/>
    <m/>
    <m/>
    <n v="15"/>
    <m/>
    <m/>
    <m/>
    <m/>
    <m/>
    <m/>
    <m/>
    <m/>
    <m/>
    <m/>
    <m/>
    <m/>
    <m/>
    <m/>
    <m/>
    <m/>
    <m/>
    <m/>
    <m/>
    <m/>
    <m/>
  </r>
  <r>
    <x v="29"/>
    <n v="2006"/>
    <x v="5"/>
    <s v="Africa"/>
    <m/>
    <s v="Gas"/>
    <s v="no"/>
    <s v="yes"/>
    <s v="no"/>
    <s v="Gas"/>
    <s v="detailed"/>
    <s v="detailed Gas"/>
    <n v="1953859200"/>
    <n v="12895470.720000001"/>
    <m/>
    <m/>
    <m/>
    <s v="m³"/>
    <n v="0.243474"/>
    <s v="US$/m³"/>
    <s v="Volume from EIA. Price from BPSR 2014, and is an average of the UK, US and Canada Indices for natural gas."/>
    <n v="475713914.86079997"/>
    <m/>
    <m/>
    <m/>
    <n v="0.24174641257638024"/>
    <m/>
    <m/>
    <m/>
    <m/>
    <m/>
    <m/>
    <m/>
    <m/>
    <m/>
    <m/>
    <m/>
    <m/>
    <m/>
    <m/>
    <m/>
    <m/>
    <m/>
    <m/>
    <m/>
    <m/>
    <m/>
    <m/>
    <m/>
    <m/>
    <m/>
    <m/>
    <m/>
    <m/>
    <m/>
    <m/>
    <m/>
    <m/>
    <m/>
    <m/>
    <m/>
    <m/>
    <m/>
    <m/>
    <m/>
    <m/>
    <m/>
  </r>
  <r>
    <x v="29"/>
    <n v="2006"/>
    <x v="5"/>
    <s v="Africa"/>
    <m/>
    <s v="Oil"/>
    <s v="no"/>
    <s v="no"/>
    <s v="yes"/>
    <s v="Oil"/>
    <s v="detailed"/>
    <s v="detailed Oil"/>
    <n v="31910000"/>
    <n v="0.40412004763397058"/>
    <n v="31910000"/>
    <m/>
    <m/>
    <s v="bbl"/>
    <n v="61.667879156249995"/>
    <s v="US$/bbl"/>
    <s v="Volume from EITI Report. Price from BPSR 2014, and is an average of the spot prices for Brent, Dubai, Nigerian Forcados and West Texas Intermediate crude oil, adjusted to account for the prices given in the 2001-2005 EITI Reports being an average 94.97% of this in 2001-2005."/>
    <n v="1967822023.8759375"/>
    <m/>
    <m/>
    <m/>
    <m/>
    <m/>
    <m/>
    <m/>
    <m/>
    <m/>
    <m/>
    <m/>
    <m/>
    <m/>
    <m/>
    <m/>
    <m/>
    <m/>
    <m/>
    <m/>
    <m/>
    <m/>
    <m/>
    <m/>
    <n v="50"/>
    <m/>
    <m/>
    <m/>
    <m/>
    <m/>
    <m/>
    <m/>
    <m/>
    <m/>
    <m/>
    <m/>
    <m/>
    <m/>
    <m/>
    <m/>
    <m/>
    <m/>
    <m/>
    <m/>
    <m/>
    <m/>
  </r>
  <r>
    <x v="29"/>
    <n v="2006"/>
    <x v="5"/>
    <s v="Africa"/>
    <m/>
    <s v="Mining"/>
    <s v="yes"/>
    <s v="no"/>
    <s v="no"/>
    <s v="Total Mining"/>
    <s v="Total"/>
    <s v="Total Mining"/>
    <m/>
    <m/>
    <m/>
    <m/>
    <m/>
    <m/>
    <m/>
    <m/>
    <m/>
    <n v="11012933.4"/>
    <m/>
    <m/>
    <m/>
    <n v="221227"/>
    <n v="448328"/>
    <m/>
    <m/>
    <m/>
    <n v="2.0087926800683276E-2"/>
    <m/>
    <m/>
    <m/>
    <m/>
    <m/>
    <m/>
    <m/>
    <n v="9"/>
    <s v="African Aura Resources, Sinosteel CAM SA, Cam Iron SA, Mega Urnaium Corporation Cameroon Plc, Hydrmine Inc., Free Mining Company, Ets Rocaglia, Cimencam, Geovic"/>
    <n v="3"/>
    <m/>
    <m/>
    <m/>
    <m/>
    <s v="16"/>
    <m/>
    <m/>
    <m/>
    <m/>
    <m/>
    <m/>
    <m/>
    <m/>
    <m/>
    <m/>
    <m/>
    <m/>
    <m/>
    <m/>
    <m/>
    <m/>
    <m/>
    <m/>
    <m/>
    <m/>
    <m/>
  </r>
  <r>
    <x v="29"/>
    <n v="2006"/>
    <x v="5"/>
    <s v="Africa"/>
    <m/>
    <s v="Mining"/>
    <s v="yes"/>
    <s v="no"/>
    <s v="no"/>
    <s v="Clay"/>
    <s v="detailed"/>
    <s v="detailed Mining"/>
    <n v="10000"/>
    <m/>
    <m/>
    <m/>
    <m/>
    <s v="t"/>
    <n v="1.4169999999999998"/>
    <s v="US$/t"/>
    <s v="Volume from USGS Mineral Yearbook 2008. Price from USGS Mineral Commodity Summary 2009, and is the price for common clay in the US, adjusted to account for the price given in the 2011 EITI Report being 14.17% of this in 2011."/>
    <n v="14169.999999999998"/>
    <m/>
    <m/>
    <m/>
    <m/>
    <m/>
    <m/>
    <m/>
    <m/>
    <m/>
    <m/>
    <m/>
    <m/>
    <m/>
    <m/>
    <m/>
    <m/>
    <m/>
    <m/>
    <m/>
    <m/>
    <m/>
    <m/>
    <m/>
    <m/>
    <m/>
    <m/>
    <m/>
    <m/>
    <m/>
    <m/>
    <m/>
    <m/>
    <m/>
    <m/>
    <m/>
    <m/>
    <m/>
    <m/>
    <m/>
    <m/>
    <m/>
    <m/>
    <m/>
    <m/>
    <m/>
  </r>
  <r>
    <x v="29"/>
    <n v="2006"/>
    <x v="5"/>
    <s v="Africa"/>
    <m/>
    <s v="Mining"/>
    <s v="yes"/>
    <s v="no"/>
    <s v="no"/>
    <s v="Gold"/>
    <s v="detailed"/>
    <s v="detailed Mining"/>
    <n v="64301.486253012001"/>
    <m/>
    <m/>
    <m/>
    <m/>
    <s v="toz"/>
    <n v="604.33583333333002"/>
    <s v="US$/toz"/>
    <s v="Volume from USGS Mineral Yearbook 2008. Price from World Bank (Global Economic Monitor (GEM) Commodities database), and is defined as: Gold (UK), 99.5% fine, London afternoon fixing, average of daily rates."/>
    <m/>
    <m/>
    <m/>
    <m/>
    <m/>
    <m/>
    <m/>
    <m/>
    <m/>
    <m/>
    <m/>
    <m/>
    <m/>
    <m/>
    <m/>
    <m/>
    <m/>
    <m/>
    <m/>
    <m/>
    <m/>
    <m/>
    <m/>
    <m/>
    <m/>
    <s v="Years after report production volumes of gold dust that are minimal compared to the production volume listed by the USGS. Better to not consider the gold value in the total productio value."/>
    <m/>
    <m/>
    <m/>
    <m/>
    <m/>
    <m/>
    <m/>
    <m/>
    <m/>
    <m/>
    <m/>
    <m/>
    <m/>
    <m/>
    <m/>
    <m/>
    <m/>
    <m/>
    <m/>
    <m/>
  </r>
  <r>
    <x v="29"/>
    <n v="2006"/>
    <x v="5"/>
    <s v="Africa"/>
    <m/>
    <s v="Mining"/>
    <s v="yes"/>
    <s v="no"/>
    <s v="no"/>
    <s v="Limestone"/>
    <s v="detailed"/>
    <s v="detailed Mining"/>
    <n v="100000"/>
    <m/>
    <m/>
    <m/>
    <m/>
    <s v="t"/>
    <n v="13.861615999999998"/>
    <s v="US$/t"/>
    <s v="Volume from USGS Mineral Yearbook 2008. Price from USGS Mineral Yearbook 2007, and is the price in the US for crushed limestone, adjusted to account for the price given in the 2011 EITI Report being 184.33% of this in 2011."/>
    <n v="1386161.5999999999"/>
    <m/>
    <m/>
    <m/>
    <m/>
    <m/>
    <m/>
    <m/>
    <m/>
    <m/>
    <m/>
    <m/>
    <m/>
    <m/>
    <m/>
    <m/>
    <m/>
    <m/>
    <m/>
    <m/>
    <m/>
    <m/>
    <m/>
    <m/>
    <m/>
    <m/>
    <m/>
    <m/>
    <m/>
    <m/>
    <m/>
    <m/>
    <m/>
    <m/>
    <m/>
    <m/>
    <m/>
    <m/>
    <m/>
    <m/>
    <m/>
    <m/>
    <m/>
    <m/>
    <m/>
    <m/>
  </r>
  <r>
    <x v="29"/>
    <n v="2006"/>
    <x v="5"/>
    <s v="Africa"/>
    <m/>
    <s v="Mining"/>
    <s v="yes"/>
    <s v="no"/>
    <s v="no"/>
    <s v="Pozzolana"/>
    <s v="detailed"/>
    <s v="detailed Mining"/>
    <n v="600000"/>
    <m/>
    <m/>
    <m/>
    <m/>
    <s v="t"/>
    <n v="14.76"/>
    <s v="US$/t"/>
    <s v="Volume from USGS Mineral Yearbook 2008. Price from 2011 EITI Report, and is based on the reported volume and value of exports in 2011 (the price for this year is not given in the EITI Report or by USGS)."/>
    <n v="8856000"/>
    <m/>
    <m/>
    <m/>
    <m/>
    <m/>
    <m/>
    <m/>
    <m/>
    <m/>
    <m/>
    <m/>
    <m/>
    <m/>
    <m/>
    <m/>
    <m/>
    <m/>
    <m/>
    <m/>
    <m/>
    <m/>
    <m/>
    <m/>
    <m/>
    <m/>
    <m/>
    <m/>
    <m/>
    <m/>
    <m/>
    <m/>
    <m/>
    <m/>
    <m/>
    <m/>
    <m/>
    <m/>
    <m/>
    <m/>
    <m/>
    <m/>
    <m/>
    <m/>
    <m/>
    <m/>
  </r>
  <r>
    <x v="29"/>
    <n v="2006"/>
    <x v="5"/>
    <s v="Africa"/>
    <m/>
    <s v="Mining"/>
    <s v="yes"/>
    <s v="no"/>
    <s v="no"/>
    <s v="Sand and gravel"/>
    <s v="detailed"/>
    <s v="detailed Mining"/>
    <n v="600000"/>
    <m/>
    <m/>
    <m/>
    <m/>
    <s v="t"/>
    <n v="1.2610029999999999"/>
    <s v="US$/t"/>
    <s v="Volume from USGS Mineral Yearbook 2008. Price from USGS Mineral Yearbook 2007, and is the price in the US for construction sand and gravel, adjusted to account for the price given in the 2011 EITI Report being 19.49% of this in 2011."/>
    <n v="756601.79999999993"/>
    <m/>
    <m/>
    <m/>
    <m/>
    <m/>
    <m/>
    <m/>
    <m/>
    <m/>
    <m/>
    <m/>
    <m/>
    <m/>
    <m/>
    <m/>
    <m/>
    <m/>
    <m/>
    <m/>
    <m/>
    <m/>
    <m/>
    <m/>
    <m/>
    <m/>
    <m/>
    <m/>
    <m/>
    <m/>
    <m/>
    <m/>
    <m/>
    <m/>
    <m/>
    <m/>
    <m/>
    <m/>
    <m/>
    <m/>
    <m/>
    <m/>
    <m/>
    <m/>
    <m/>
    <m/>
  </r>
  <r>
    <x v="30"/>
    <n v="2007"/>
    <x v="5"/>
    <s v="Africa"/>
    <s v="http://www.eiticameroon.org/index.php/home"/>
    <s v="Oil, Gas, Mining"/>
    <s v="yes"/>
    <s v="yes"/>
    <s v="yes"/>
    <s v="Total"/>
    <s v="Total"/>
    <s v="Total Oil, Gas, Mining"/>
    <m/>
    <m/>
    <m/>
    <m/>
    <m/>
    <m/>
    <m/>
    <m/>
    <m/>
    <n v="2586780987.5624003"/>
    <s v="Profits/Taxes, Royalties, Dividends, Bonuses, Other significant benefits to government"/>
    <s v="Also covers payments made in-kind (though these are only reported for Government)"/>
    <s v="Yes"/>
    <n v="1803241787.7304473"/>
    <n v="302485747.04919499"/>
    <m/>
    <m/>
    <m/>
    <n v="0.69709874798086213"/>
    <s v="United States Dollar and Central African CFA Franc"/>
    <n v="447.81"/>
    <s v="Disaggregated by revenue stream"/>
    <s v="20,743,360 bbl of oil"/>
    <n v="1501592713.3194242"/>
    <s v="Proportional mining royalty"/>
    <n v="84148920"/>
    <n v="21"/>
    <s v="Total Exploration &amp; Production (E&amp;P) Cameroon, Pecten Cameroon, Perenco Cameroon, ExxonMobil Cameroon, NHC Functioning"/>
    <n v="10"/>
    <s v="June 2010"/>
    <d v="2014-09-09T00:00:00"/>
    <s v="Hart Group/Mazars Cameroon"/>
    <s v="http://eiti.org/files/Cameroon-2006-2007-2008-EITI-Report_1.pdf"/>
    <s v="15,16, 19"/>
    <s v="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6.4%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7 it was negative and has therefore been classified as a subsidy."/>
    <m/>
    <m/>
    <m/>
    <m/>
    <m/>
    <m/>
    <m/>
    <m/>
    <m/>
    <m/>
    <m/>
    <m/>
    <m/>
    <m/>
    <m/>
    <m/>
    <m/>
    <m/>
    <m/>
    <m/>
  </r>
  <r>
    <x v="30"/>
    <n v="2007"/>
    <x v="5"/>
    <s v="Africa"/>
    <m/>
    <s v="Oil, Gas"/>
    <s v="no"/>
    <s v="yes"/>
    <s v="yes"/>
    <s v="Total Oil &amp; Gas"/>
    <s v="Total"/>
    <s v="Total Oil, Gas"/>
    <m/>
    <m/>
    <m/>
    <m/>
    <m/>
    <m/>
    <m/>
    <m/>
    <m/>
    <n v="2575591048.2624002"/>
    <m/>
    <m/>
    <m/>
    <n v="1802882913.3194242"/>
    <n v="302066810"/>
    <m/>
    <m/>
    <m/>
    <n v="0.69998803363434703"/>
    <m/>
    <m/>
    <m/>
    <s v="20,743,360 bbl of oil"/>
    <n v="1501592713.3194242"/>
    <m/>
    <m/>
    <n v="12"/>
    <s v="Total Exploration &amp; Production (E&amp;P) Cameroon, Pecten Cameroon, Perenco Cameroon, Mobil Producing Cameroon Inc., Euroil Ltd, Addax Petroleum Cameroon Ltd, Noble Energy Cameroon Ltd, Sterling Energy, Rodeo Development Ltd, Kosmos Energy, Glencore Exploration Cameroon, Societe Nationale de Raffinage (SONARA)"/>
    <n v="7"/>
    <m/>
    <m/>
    <m/>
    <m/>
    <n v="15"/>
    <m/>
    <m/>
    <m/>
    <m/>
    <m/>
    <m/>
    <m/>
    <m/>
    <m/>
    <m/>
    <m/>
    <m/>
    <m/>
    <m/>
    <m/>
    <m/>
    <m/>
    <m/>
    <m/>
    <m/>
    <m/>
  </r>
  <r>
    <x v="30"/>
    <n v="2007"/>
    <x v="5"/>
    <s v="Africa"/>
    <m/>
    <s v="Gas"/>
    <s v="no"/>
    <s v="yes"/>
    <s v="no"/>
    <s v="Gas"/>
    <s v="detailed"/>
    <s v="detailed Gas"/>
    <n v="1953859200"/>
    <n v="12895470.720000001"/>
    <m/>
    <m/>
    <m/>
    <s v="m³"/>
    <n v="0.22764700000000004"/>
    <s v="US$/m³"/>
    <s v="Volume from EIA. Price from BPSR 2014, and is an average of the UK, US and Canada Indices for natural gas."/>
    <n v="444790185.30240011"/>
    <m/>
    <m/>
    <m/>
    <n v="0.20874319746826095"/>
    <m/>
    <m/>
    <m/>
    <m/>
    <m/>
    <m/>
    <m/>
    <m/>
    <m/>
    <m/>
    <m/>
    <m/>
    <m/>
    <m/>
    <m/>
    <m/>
    <m/>
    <m/>
    <m/>
    <m/>
    <m/>
    <m/>
    <m/>
    <m/>
    <m/>
    <m/>
    <m/>
    <m/>
    <m/>
    <m/>
    <m/>
    <m/>
    <m/>
    <m/>
    <m/>
    <m/>
    <m/>
    <m/>
    <m/>
    <m/>
    <m/>
  </r>
  <r>
    <x v="30"/>
    <n v="2007"/>
    <x v="5"/>
    <s v="Africa"/>
    <m/>
    <s v="Oil"/>
    <s v="no"/>
    <s v="no"/>
    <s v="yes"/>
    <s v="Oil"/>
    <s v="detailed"/>
    <s v="detailed Oil"/>
    <n v="31240000"/>
    <n v="0.41278715492957746"/>
    <n v="31240000"/>
    <m/>
    <m/>
    <s v="bbl"/>
    <n v="68.207453999999998"/>
    <s v="US$/bbl"/>
    <s v="Volume from EITI Report. Price from BPSR 2014, and is an average of the spot prices for Brent, Dubai, Nigerian Forcados and West Texas Intermediate crude oil, adjusted to account for the prices given in the 2001-2005 EITI Reports being an average 94.97% of this in 2001-2005."/>
    <n v="2130800862.96"/>
    <m/>
    <m/>
    <m/>
    <m/>
    <m/>
    <m/>
    <m/>
    <m/>
    <m/>
    <m/>
    <m/>
    <m/>
    <m/>
    <m/>
    <m/>
    <m/>
    <m/>
    <m/>
    <m/>
    <m/>
    <m/>
    <m/>
    <m/>
    <n v="50"/>
    <m/>
    <m/>
    <m/>
    <m/>
    <m/>
    <m/>
    <m/>
    <m/>
    <m/>
    <m/>
    <m/>
    <m/>
    <m/>
    <m/>
    <m/>
    <m/>
    <m/>
    <m/>
    <m/>
    <m/>
    <m/>
  </r>
  <r>
    <x v="30"/>
    <n v="2007"/>
    <x v="5"/>
    <s v="Africa"/>
    <m/>
    <s v="Mining"/>
    <s v="yes"/>
    <s v="no"/>
    <s v="no"/>
    <s v="Total Mining"/>
    <s v="Total"/>
    <s v="Total Mining"/>
    <m/>
    <m/>
    <m/>
    <m/>
    <m/>
    <m/>
    <m/>
    <m/>
    <m/>
    <n v="11189939.300000001"/>
    <m/>
    <m/>
    <m/>
    <n v="358874.41102253186"/>
    <n v="418937.0491949711"/>
    <m/>
    <m/>
    <m/>
    <n v="3.2071166911739356E-2"/>
    <m/>
    <m/>
    <m/>
    <m/>
    <m/>
    <m/>
    <m/>
    <n v="9"/>
    <s v="African Aura Resources, Sinosteel CAM SA, Cam Iron SA, Mega Urnaium Corporation Cameroon Plc, Hydrmine Inc., Free Mining Company, Ets Rocaglia, Cimencam, Geovic"/>
    <n v="3"/>
    <m/>
    <m/>
    <m/>
    <m/>
    <s v="16"/>
    <m/>
    <m/>
    <m/>
    <m/>
    <m/>
    <m/>
    <m/>
    <m/>
    <m/>
    <m/>
    <m/>
    <m/>
    <m/>
    <m/>
    <m/>
    <m/>
    <m/>
    <m/>
    <m/>
    <m/>
    <m/>
  </r>
  <r>
    <x v="30"/>
    <n v="2007"/>
    <x v="5"/>
    <s v="Africa"/>
    <m/>
    <s v="Mining"/>
    <s v="yes"/>
    <s v="no"/>
    <s v="no"/>
    <s v="Clay"/>
    <s v="detailed"/>
    <s v="detailed Mining"/>
    <n v="10000"/>
    <m/>
    <m/>
    <m/>
    <m/>
    <s v="t"/>
    <n v="1.5587"/>
    <s v="US$/t"/>
    <s v="Volume from USGS Mineral Yearbook 2008. Price from USGS Mineral Commodity Summary 2009, and is the price for common clay in the US, adjusted to account for the price given in the 2011 EITI Report being 14.17% of this in 2011."/>
    <n v="15587"/>
    <m/>
    <m/>
    <m/>
    <m/>
    <m/>
    <m/>
    <m/>
    <m/>
    <m/>
    <m/>
    <m/>
    <m/>
    <m/>
    <m/>
    <m/>
    <m/>
    <m/>
    <m/>
    <m/>
    <m/>
    <m/>
    <m/>
    <m/>
    <m/>
    <m/>
    <m/>
    <m/>
    <m/>
    <m/>
    <m/>
    <m/>
    <m/>
    <m/>
    <m/>
    <m/>
    <m/>
    <m/>
    <m/>
    <m/>
    <m/>
    <m/>
    <m/>
    <m/>
    <m/>
    <m/>
  </r>
  <r>
    <x v="30"/>
    <n v="2007"/>
    <x v="5"/>
    <s v="Africa"/>
    <m/>
    <s v="Mining"/>
    <s v="yes"/>
    <s v="no"/>
    <s v="no"/>
    <s v="Gold"/>
    <s v="detailed"/>
    <s v="detailed Mining"/>
    <n v="64301.486253012001"/>
    <m/>
    <m/>
    <m/>
    <m/>
    <s v="toz"/>
    <n v="696.72024999999996"/>
    <s v="US$/toz"/>
    <s v="Volume from USGS Mineral Yearbook 2008. Price from World Bank (Global Economic Monitor (GEM) Commodities database), and is defined as: Gold (UK), 99.5% fine, London afternoon fixing, average of daily rates."/>
    <m/>
    <m/>
    <m/>
    <m/>
    <m/>
    <m/>
    <m/>
    <m/>
    <m/>
    <m/>
    <m/>
    <m/>
    <m/>
    <m/>
    <m/>
    <m/>
    <m/>
    <m/>
    <m/>
    <m/>
    <m/>
    <m/>
    <m/>
    <m/>
    <m/>
    <s v="Years after report production volumes of gold dust that are minimal compared to the production volume listed by the USGS. Better to not consider the gold value in the total productio value."/>
    <m/>
    <m/>
    <m/>
    <m/>
    <m/>
    <m/>
    <m/>
    <m/>
    <m/>
    <m/>
    <m/>
    <m/>
    <m/>
    <m/>
    <m/>
    <m/>
    <m/>
    <m/>
    <m/>
    <m/>
  </r>
  <r>
    <x v="30"/>
    <n v="2007"/>
    <x v="5"/>
    <s v="Africa"/>
    <m/>
    <s v="Mining"/>
    <s v="yes"/>
    <s v="no"/>
    <s v="no"/>
    <s v="Limestone"/>
    <s v="detailed"/>
    <s v="detailed Mining"/>
    <n v="100000"/>
    <m/>
    <m/>
    <m/>
    <m/>
    <s v="t"/>
    <n v="14.986029"/>
    <s v="US$/t"/>
    <s v="Volume from USGS Mineral Yearbook 2008. Price from USGS Mineral Yearbook 2007, and is the price crushed limestone in the US, adjusted to account for the price given in the 2011 EITI Report being 184.33% of this in 2011."/>
    <n v="1498602.9000000001"/>
    <m/>
    <m/>
    <m/>
    <m/>
    <m/>
    <m/>
    <m/>
    <m/>
    <m/>
    <m/>
    <m/>
    <m/>
    <m/>
    <m/>
    <m/>
    <m/>
    <m/>
    <m/>
    <m/>
    <m/>
    <m/>
    <m/>
    <m/>
    <m/>
    <m/>
    <m/>
    <m/>
    <m/>
    <m/>
    <m/>
    <m/>
    <m/>
    <m/>
    <m/>
    <m/>
    <m/>
    <m/>
    <m/>
    <m/>
    <m/>
    <m/>
    <m/>
    <m/>
    <m/>
    <m/>
  </r>
  <r>
    <x v="30"/>
    <n v="2007"/>
    <x v="5"/>
    <s v="Africa"/>
    <m/>
    <s v="Mining"/>
    <s v="yes"/>
    <s v="no"/>
    <s v="no"/>
    <s v="Pozzolana"/>
    <s v="detailed"/>
    <s v="detailed Mining"/>
    <n v="600000"/>
    <m/>
    <m/>
    <m/>
    <m/>
    <s v="t"/>
    <n v="14.76"/>
    <s v="US$/t"/>
    <s v="Volume from USGS Mineral Yearbook 2008. Price from 2011 EITI Report, and is based on the reported volume and value of exports in 2011 (the price for this year is not given in the EITI Report or by USGS)."/>
    <n v="8856000"/>
    <m/>
    <m/>
    <m/>
    <m/>
    <m/>
    <m/>
    <m/>
    <m/>
    <m/>
    <m/>
    <m/>
    <m/>
    <m/>
    <m/>
    <m/>
    <m/>
    <m/>
    <m/>
    <m/>
    <m/>
    <m/>
    <m/>
    <m/>
    <m/>
    <m/>
    <m/>
    <m/>
    <m/>
    <m/>
    <m/>
    <m/>
    <m/>
    <m/>
    <m/>
    <m/>
    <m/>
    <m/>
    <m/>
    <m/>
    <m/>
    <m/>
    <m/>
    <m/>
    <m/>
    <m/>
  </r>
  <r>
    <x v="30"/>
    <n v="2007"/>
    <x v="5"/>
    <s v="Africa"/>
    <m/>
    <s v="Mining"/>
    <s v="yes"/>
    <s v="no"/>
    <s v="no"/>
    <s v="Sand and gravel"/>
    <s v="detailed"/>
    <s v="detailed Mining"/>
    <n v="600000"/>
    <m/>
    <m/>
    <m/>
    <m/>
    <s v="t"/>
    <n v="1.3662489999999998"/>
    <s v="US$/t"/>
    <s v="Volume from USGS Mineral Yearbook 2008. Price from USGS Mineral Yearbook 2007, and is the price in the US for construction sand and gravel, adjusted to account for the price given in the 2011 EITI Report being 19.49% of this in 2011."/>
    <n v="819749.39999999991"/>
    <m/>
    <m/>
    <m/>
    <m/>
    <m/>
    <m/>
    <m/>
    <m/>
    <m/>
    <m/>
    <m/>
    <m/>
    <m/>
    <m/>
    <m/>
    <m/>
    <m/>
    <m/>
    <m/>
    <m/>
    <m/>
    <m/>
    <m/>
    <m/>
    <m/>
    <m/>
    <m/>
    <m/>
    <m/>
    <m/>
    <m/>
    <m/>
    <m/>
    <m/>
    <m/>
    <m/>
    <m/>
    <m/>
    <m/>
    <m/>
    <m/>
    <m/>
    <m/>
    <m/>
    <m/>
  </r>
  <r>
    <x v="31"/>
    <n v="2008"/>
    <x v="5"/>
    <s v="Africa"/>
    <s v="http://www.eiticameroon.org/index.php/home"/>
    <s v="Oil, Gas, Mining"/>
    <s v="yes"/>
    <s v="yes"/>
    <s v="yes"/>
    <s v="Total"/>
    <s v="Total"/>
    <s v="Total Oil, Gas, Mining"/>
    <m/>
    <m/>
    <m/>
    <m/>
    <m/>
    <m/>
    <m/>
    <m/>
    <m/>
    <n v="3320522035.4024"/>
    <s v="Profits/Taxes, Royalties, Dividends, Bonuses, Other significant benefits to government"/>
    <s v="Also covers payments made in-kind (though these are only reported for Government)"/>
    <s v="Yes"/>
    <n v="2362223467.224865"/>
    <n v="370036064.80442196"/>
    <m/>
    <m/>
    <m/>
    <n v="0.71140123210734763"/>
    <s v="United States Dollar and Central African CFA Franc"/>
    <n v="472.19"/>
    <s v="Disaggregated by revenue stream"/>
    <s v="20,507,600 bbl of oil"/>
    <n v="1994486587.7932799"/>
    <s v="Proportional mining royalty"/>
    <n v="46132150"/>
    <n v="21"/>
    <s v="Total Exploration &amp; Production (E&amp;P) Cameroon, Pecten Cameroon, Perenco Cameroon, ExxonMobil Cameroon, NHC Functioning"/>
    <n v="10"/>
    <s v="June 2010"/>
    <d v="2014-09-09T00:00:00"/>
    <s v="Hart Group/Mazars Cameroon"/>
    <s v="http://eiti.org/files/Cameroon-2006-2007-2008-EITI-Report_1.pdf"/>
    <s v="15,16, 19"/>
    <s v="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6.8%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8 it was negative and has therefore been classified as a subsidy."/>
    <m/>
    <m/>
    <m/>
    <m/>
    <m/>
    <m/>
    <m/>
    <m/>
    <m/>
    <m/>
    <m/>
    <m/>
    <m/>
    <m/>
    <m/>
    <m/>
    <m/>
    <m/>
    <m/>
    <m/>
  </r>
  <r>
    <x v="31"/>
    <n v="2008"/>
    <x v="5"/>
    <s v="Africa"/>
    <m/>
    <s v="Oil, Gas"/>
    <s v="no"/>
    <s v="yes"/>
    <s v="yes"/>
    <s v="Total Oil &amp; Gas"/>
    <s v="Total"/>
    <s v="Total Oil, Gas"/>
    <m/>
    <m/>
    <m/>
    <m/>
    <m/>
    <m/>
    <m/>
    <m/>
    <m/>
    <n v="3309929668.6023998"/>
    <m/>
    <m/>
    <m/>
    <n v="2361900107.7932796"/>
    <n v="369686000"/>
    <m/>
    <m/>
    <m/>
    <n v="0.71358014951132764"/>
    <m/>
    <m/>
    <m/>
    <s v="20,507,600 bbl of oil"/>
    <n v="1994486587.7932799"/>
    <m/>
    <m/>
    <n v="12"/>
    <s v="Total Exploration &amp; Production (E&amp;P) Cameroon, Pecten Cameroon, Perenco Cameroon, Mobil Producing Cameroon Inc., Euroil Ltd, Addax Petroleum Cameroon Ltd, Noble Energy Cameroon Ltd, Sterling Energy, Rodeo Development Ltd, Kosmos Energy, Glencore Exploration Cameroon, Societe Nationale de Raffinage (SONARA)"/>
    <n v="7"/>
    <m/>
    <m/>
    <m/>
    <m/>
    <n v="15"/>
    <m/>
    <m/>
    <m/>
    <m/>
    <m/>
    <m/>
    <m/>
    <m/>
    <m/>
    <m/>
    <m/>
    <m/>
    <m/>
    <m/>
    <m/>
    <m/>
    <m/>
    <m/>
    <m/>
    <m/>
    <m/>
  </r>
  <r>
    <x v="31"/>
    <n v="2008"/>
    <x v="5"/>
    <s v="Africa"/>
    <m/>
    <s v="Gas"/>
    <s v="no"/>
    <s v="yes"/>
    <s v="no"/>
    <s v="Gas"/>
    <s v="detailed"/>
    <s v="detailed Gas"/>
    <n v="1953859200"/>
    <n v="12895470.720000001"/>
    <m/>
    <m/>
    <m/>
    <s v="m³"/>
    <n v="0.22764700000000004"/>
    <s v="US$/m³"/>
    <s v="Volume from EIA. Price from BPSR 2014, and is an average of the UK, US and Canada Indices for natural gas."/>
    <n v="444790185.30240011"/>
    <m/>
    <m/>
    <m/>
    <n v="0.15524207037561094"/>
    <m/>
    <m/>
    <m/>
    <m/>
    <m/>
    <m/>
    <m/>
    <m/>
    <m/>
    <m/>
    <m/>
    <m/>
    <m/>
    <m/>
    <m/>
    <m/>
    <m/>
    <m/>
    <m/>
    <m/>
    <m/>
    <m/>
    <m/>
    <m/>
    <m/>
    <m/>
    <m/>
    <m/>
    <m/>
    <m/>
    <m/>
    <m/>
    <m/>
    <m/>
    <m/>
    <m/>
    <m/>
    <m/>
    <m/>
    <m/>
    <m/>
  </r>
  <r>
    <x v="31"/>
    <n v="2008"/>
    <x v="5"/>
    <s v="Africa"/>
    <m/>
    <s v="Oil"/>
    <s v="no"/>
    <s v="no"/>
    <s v="yes"/>
    <s v="Oil"/>
    <s v="detailed"/>
    <s v="detailed Oil"/>
    <n v="30700000"/>
    <n v="0.42004790618892512"/>
    <n v="30700000"/>
    <m/>
    <m/>
    <s v="bbl"/>
    <n v="93.327018999999993"/>
    <s v="US$/bbl"/>
    <s v="Volume from EITI Report. Price from BPSR 2014, and is an average of the spot prices for Brent, Dubai, Nigerian Forcados and West Texas Intermediate crude oil, adjusted to account for the prices given in the 2001-2005 EITI Reports being an average 94.97% of this in 2001-2005."/>
    <n v="2865139483.2999997"/>
    <m/>
    <m/>
    <m/>
    <m/>
    <m/>
    <m/>
    <m/>
    <m/>
    <m/>
    <m/>
    <m/>
    <m/>
    <m/>
    <m/>
    <m/>
    <m/>
    <m/>
    <m/>
    <m/>
    <m/>
    <m/>
    <m/>
    <m/>
    <n v="50"/>
    <m/>
    <m/>
    <m/>
    <m/>
    <m/>
    <m/>
    <m/>
    <m/>
    <m/>
    <m/>
    <m/>
    <m/>
    <m/>
    <m/>
    <m/>
    <m/>
    <m/>
    <m/>
    <m/>
    <m/>
    <m/>
  </r>
  <r>
    <x v="31"/>
    <n v="2008"/>
    <x v="5"/>
    <s v="Africa"/>
    <m/>
    <s v="Mining"/>
    <s v="yes"/>
    <s v="no"/>
    <s v="no"/>
    <s v="Total Mining"/>
    <s v="Total"/>
    <s v="Total Mining"/>
    <m/>
    <m/>
    <m/>
    <m/>
    <m/>
    <m/>
    <m/>
    <m/>
    <m/>
    <n v="10592366.800000001"/>
    <m/>
    <m/>
    <m/>
    <n v="323359.43158474343"/>
    <n v="350064.80442194879"/>
    <m/>
    <m/>
    <m/>
    <n v="3.0527590074084614E-2"/>
    <m/>
    <m/>
    <m/>
    <m/>
    <m/>
    <m/>
    <m/>
    <n v="9"/>
    <s v="African Aura Resources, Sinosteel CAM SA, Cam Iron SA, Mega Urnaium Corporation Cameroon Plc, Hydrmine Inc., Free Mining Company, Ets Rocaglia, Cimencam, Geovic"/>
    <n v="3"/>
    <m/>
    <m/>
    <m/>
    <m/>
    <s v="16"/>
    <m/>
    <m/>
    <m/>
    <m/>
    <m/>
    <m/>
    <m/>
    <m/>
    <m/>
    <m/>
    <m/>
    <m/>
    <m/>
    <m/>
    <m/>
    <m/>
    <m/>
    <m/>
    <m/>
    <m/>
    <m/>
  </r>
  <r>
    <x v="31"/>
    <n v="2008"/>
    <x v="5"/>
    <s v="Africa"/>
    <m/>
    <s v="Mining"/>
    <s v="yes"/>
    <s v="no"/>
    <s v="no"/>
    <s v="Clay"/>
    <s v="detailed"/>
    <s v="detailed Mining"/>
    <n v="10000"/>
    <m/>
    <m/>
    <m/>
    <m/>
    <s v="t"/>
    <n v="1.5587"/>
    <s v="US$/t"/>
    <s v="Volume from USGS Mineral Yearbook 2011. Price from USGS Mineral Commodity Summary 2009, and is the price for common clay in the US, adjusted to account for the price given in the 2011 EITI Report being 14.17% of this in 2011."/>
    <n v="15587"/>
    <m/>
    <m/>
    <m/>
    <m/>
    <m/>
    <m/>
    <m/>
    <m/>
    <m/>
    <m/>
    <m/>
    <m/>
    <m/>
    <m/>
    <m/>
    <m/>
    <m/>
    <m/>
    <m/>
    <m/>
    <m/>
    <m/>
    <m/>
    <m/>
    <m/>
    <m/>
    <m/>
    <m/>
    <m/>
    <m/>
    <m/>
    <m/>
    <m/>
    <m/>
    <m/>
    <m/>
    <m/>
    <m/>
    <m/>
    <m/>
    <m/>
    <m/>
    <m/>
    <m/>
    <m/>
  </r>
  <r>
    <x v="31"/>
    <n v="2008"/>
    <x v="5"/>
    <s v="Africa"/>
    <m/>
    <s v="Mining"/>
    <s v="yes"/>
    <s v="no"/>
    <s v="no"/>
    <s v="Gold"/>
    <s v="detailed"/>
    <s v="detailed Mining"/>
    <n v="57871.337627710804"/>
    <m/>
    <m/>
    <m/>
    <m/>
    <s v="toz"/>
    <n v="871.70725000000004"/>
    <s v="US$/toz"/>
    <s v="Volume from USGS Mineral Yearbook 2011. Price from World Bank (Global Economic Monitor (GEM) Commodities database), and is defined as: Gold (UK), 99.5% fine, London afternoon fixing, average of daily rates."/>
    <m/>
    <m/>
    <m/>
    <m/>
    <m/>
    <m/>
    <m/>
    <m/>
    <m/>
    <m/>
    <m/>
    <m/>
    <m/>
    <m/>
    <m/>
    <m/>
    <m/>
    <m/>
    <m/>
    <m/>
    <m/>
    <m/>
    <m/>
    <m/>
    <m/>
    <s v="Years after report production volumes of gold dust that are minimal compared to the production volume listed by the USGS. Better to not consider the gold value in the total productio value."/>
    <m/>
    <m/>
    <m/>
    <m/>
    <m/>
    <m/>
    <m/>
    <m/>
    <m/>
    <m/>
    <m/>
    <m/>
    <m/>
    <m/>
    <m/>
    <m/>
    <m/>
    <m/>
    <m/>
    <m/>
  </r>
  <r>
    <x v="31"/>
    <n v="2008"/>
    <x v="5"/>
    <s v="Africa"/>
    <m/>
    <s v="Mining"/>
    <s v="yes"/>
    <s v="no"/>
    <s v="no"/>
    <s v="Limestone"/>
    <s v="detailed"/>
    <s v="detailed Mining"/>
    <n v="100000"/>
    <m/>
    <m/>
    <m/>
    <m/>
    <s v="t"/>
    <n v="15.852379999999998"/>
    <s v="US$/t"/>
    <s v="Volume from USGS Mineral Yearbook 2011. Price from USGS Mineral Yearbook 2009, and is the price crushed limestone in the US, adjusted to account for the price given in the 2011 EITI Report being 184.33% of this in 2011."/>
    <n v="1585237.9999999998"/>
    <m/>
    <m/>
    <m/>
    <m/>
    <m/>
    <m/>
    <m/>
    <m/>
    <m/>
    <m/>
    <m/>
    <m/>
    <m/>
    <m/>
    <m/>
    <m/>
    <m/>
    <m/>
    <m/>
    <m/>
    <m/>
    <m/>
    <m/>
    <m/>
    <m/>
    <m/>
    <m/>
    <m/>
    <m/>
    <m/>
    <m/>
    <m/>
    <m/>
    <m/>
    <m/>
    <m/>
    <m/>
    <m/>
    <m/>
    <m/>
    <m/>
    <m/>
    <m/>
    <m/>
    <m/>
  </r>
  <r>
    <x v="31"/>
    <n v="2008"/>
    <x v="5"/>
    <s v="Africa"/>
    <m/>
    <s v="Mining"/>
    <s v="yes"/>
    <s v="no"/>
    <s v="no"/>
    <s v="Pozzolana"/>
    <s v="detailed"/>
    <s v="detailed Mining"/>
    <n v="550000"/>
    <m/>
    <m/>
    <m/>
    <m/>
    <s v="t"/>
    <n v="14.76"/>
    <s v="US$/t"/>
    <s v="Volume from USGS Mineral Yearbook 2011. Price from 2011 EITI Report, and is based on the reported volume and value of exports in 2011 (the price for this year is not given in the EITI Report or by USGS)."/>
    <n v="8118000"/>
    <m/>
    <m/>
    <m/>
    <m/>
    <m/>
    <m/>
    <m/>
    <m/>
    <m/>
    <m/>
    <m/>
    <m/>
    <m/>
    <m/>
    <m/>
    <m/>
    <m/>
    <m/>
    <m/>
    <m/>
    <m/>
    <m/>
    <m/>
    <m/>
    <m/>
    <m/>
    <m/>
    <m/>
    <m/>
    <m/>
    <m/>
    <m/>
    <m/>
    <m/>
    <m/>
    <m/>
    <m/>
    <m/>
    <m/>
    <m/>
    <m/>
    <m/>
    <m/>
    <m/>
    <m/>
  </r>
  <r>
    <x v="31"/>
    <n v="2008"/>
    <x v="5"/>
    <s v="Africa"/>
    <m/>
    <s v="Mining"/>
    <s v="yes"/>
    <s v="no"/>
    <s v="no"/>
    <s v="Sand and gravel"/>
    <s v="detailed"/>
    <s v="detailed Mining"/>
    <n v="600000"/>
    <m/>
    <m/>
    <m/>
    <m/>
    <s v="t"/>
    <n v="1.4559029999999999"/>
    <s v="US$/t"/>
    <s v="Volume from USGS Mineral Yearbook 2011. Price from USGS Mineral Yearbook 2009, and is the price in the US for construction sand and gravel, adjusted to account for the price given in the 2011 EITI Report being 19.49% of this in 2011."/>
    <n v="873541.79999999993"/>
    <m/>
    <m/>
    <m/>
    <m/>
    <m/>
    <m/>
    <m/>
    <m/>
    <m/>
    <m/>
    <m/>
    <m/>
    <m/>
    <m/>
    <m/>
    <m/>
    <m/>
    <m/>
    <m/>
    <m/>
    <m/>
    <m/>
    <m/>
    <m/>
    <m/>
    <m/>
    <m/>
    <m/>
    <m/>
    <m/>
    <m/>
    <m/>
    <m/>
    <m/>
    <m/>
    <m/>
    <m/>
    <m/>
    <m/>
    <m/>
    <m/>
    <m/>
    <m/>
    <m/>
    <m/>
  </r>
  <r>
    <x v="32"/>
    <n v="2009"/>
    <x v="5"/>
    <s v="Africa"/>
    <s v="http://www.eiticameroon.org/index.php/home"/>
    <s v="Oil, Mining"/>
    <s v="yes"/>
    <s v="no"/>
    <s v="yes"/>
    <s v="Total"/>
    <s v="Total"/>
    <s v="Total Oil, Mining"/>
    <m/>
    <m/>
    <m/>
    <m/>
    <m/>
    <m/>
    <m/>
    <m/>
    <m/>
    <n v="1677208987.1750062"/>
    <s v="Host government's production entitlement, State-owned company production entitlement, Profits/Taxes, Royalties, Dividends, Bonuses, Licenses and concessions, Other significant benefits to government"/>
    <s v="Also covers payments made in-kind"/>
    <s v="Yes"/>
    <n v="3501213151.7658243"/>
    <n v="1237959455.9556208"/>
    <m/>
    <m/>
    <m/>
    <n v="2.0875234860642293"/>
    <s v="Central African CFA Franc"/>
    <n v="462.94"/>
    <s v="Disaggregated by revenue stream, Disaggregated by company"/>
    <s v="36,124,483 bbl of oil (govt reported ); 36,124,478 bbl of oil (company reported)"/>
    <n v="2242706663.5578494"/>
    <m/>
    <m/>
    <n v="21"/>
    <s v="Petroleum: SNH-Fonctionnement, Total Exploration &amp; Production Cameroun (actuellement Perenco Rio Del Rey), Perenco Cameroun, Perenco Oil &amp; Gas Cameroun, Pecten Cameroon Company (actuellement Addax Petroleum Cameroon Company), Mobil Producing Cameroon Inc, Addax Petroleum Cam LTD, Euroil Ltd, Noble Energy Cameroon LTD, Murphy (pour Sterling Energy), Rodeo Development LTD, Kosmos Energy, Glencore Exploration Cameroon, Yang Chang Logone, RSM, AFEX, Petronas. Mining: Geovic, Razel, Cimencam, C&amp;K Mining."/>
    <n v="20"/>
    <s v="April 2013"/>
    <d v="2014-10-31T00:00:00"/>
    <s v="Moore Stephens LLP"/>
    <s v="http://eiti.org/files/Cameroon-2009-EITI-Report-French.pdf"/>
    <s v="28-29"/>
    <s v="Govt revenues include the value of in-kind receipts, and company payments made to local govts (&quot;Les paiements infranationaux,&quot; unilaterally reported by central govt) and payments from companies below the materiality threshold. Company payments include unilaterally reported &quot;other significant payments&quot; and social payments. The government reported to have received FCFA 9,242,044,569 from mining companies that were not included in the scope; subnational transfers of FCFA 44,491,757. Companies reported to have contributed FCFA 774,034,334 for social and other payments. "/>
    <m/>
    <m/>
    <m/>
    <m/>
    <m/>
    <m/>
    <m/>
    <m/>
    <m/>
    <m/>
    <m/>
    <m/>
    <m/>
    <m/>
    <m/>
    <m/>
    <m/>
    <m/>
    <m/>
    <m/>
  </r>
  <r>
    <x v="32"/>
    <n v="2009"/>
    <x v="5"/>
    <s v="Africa"/>
    <m/>
    <s v="Oil"/>
    <s v="no"/>
    <s v="no"/>
    <s v="yes"/>
    <s v="Oil"/>
    <s v="detailed"/>
    <s v="detailed Oil"/>
    <n v="28251000"/>
    <m/>
    <n v="26834639"/>
    <m/>
    <m/>
    <s v="bbl"/>
    <n v="58.959972337344993"/>
    <s v="US$/bbl"/>
    <s v="Volume from EIA. Price from BPSR 2014, and is an average of the spot prices for Brent, Dubai, Nigerian Forcados and West Texas Intermediate crude oil, adjusted to account for the prices given in the 2001-2005 EITI Reports being an average 94.97% of this in 2001-2005."/>
    <n v="1665678178.5023334"/>
    <m/>
    <m/>
    <m/>
    <n v="3480541122.4834094"/>
    <n v="1235666520.26613"/>
    <m/>
    <m/>
    <m/>
    <n v="2.0895639790471887"/>
    <m/>
    <m/>
    <m/>
    <s v="36,124,483 bbl of oil (govt reported ); 36,124,478 bbl of oil (company reported)"/>
    <n v="2242706663.5578494"/>
    <m/>
    <m/>
    <n v="17"/>
    <s v="SNH-Fonctionnement, Total Exploration &amp; Production Cameroun (actuellement Perenco Rio Del Rey), Perenco Cameroun, Perenco Oil &amp; Gas Cameroun, Pecten Cameroon Company (actuellement Addax Petroleum Cameroon Company), Mobil Producing Cameroon Inc, Addax Petroleum Cam LTD, Euroil Ltd, Noble Energy Cameroon LTD, Murphy (pour Sterling Energy), Rodeo Development LTD, Kosmos Energy, Glencore Exploration Cameroon, Yang Chang Logone, RSM, AFEX, Petronas"/>
    <m/>
    <m/>
    <m/>
    <m/>
    <m/>
    <m/>
    <s v="EITI production volume is from p.5; no discrepancy between company and govt reported production volumes. Revenue totals include oil transport revenues and transfers from SNH-Mandat; revenue totals do not include in-kind payments or unilaterally declared payments. In-kind value is govt-reported total."/>
    <m/>
    <m/>
    <m/>
    <m/>
    <m/>
    <m/>
    <m/>
    <m/>
    <m/>
    <m/>
    <m/>
    <m/>
    <m/>
    <m/>
    <m/>
    <m/>
    <m/>
    <m/>
    <m/>
    <m/>
  </r>
  <r>
    <x v="32"/>
    <n v="2009"/>
    <x v="5"/>
    <s v="Africa"/>
    <m/>
    <s v="Mining"/>
    <s v="yes"/>
    <s v="no"/>
    <s v="no"/>
    <s v="Total Mining"/>
    <s v="Total"/>
    <s v="Total Mining"/>
    <m/>
    <m/>
    <m/>
    <m/>
    <m/>
    <m/>
    <m/>
    <m/>
    <m/>
    <n v="11530808.672672672"/>
    <m/>
    <m/>
    <m/>
    <n v="612115.84654598869"/>
    <n v="621249.01067092933"/>
    <m/>
    <m/>
    <m/>
    <n v="5.3085248738595991E-2"/>
    <m/>
    <m/>
    <m/>
    <m/>
    <m/>
    <m/>
    <m/>
    <n v="4"/>
    <s v="Geovic, Razel, Cimencam, C&amp;K Mining."/>
    <m/>
    <m/>
    <m/>
    <m/>
    <m/>
    <m/>
    <m/>
    <m/>
    <m/>
    <m/>
    <m/>
    <m/>
    <m/>
    <m/>
    <m/>
    <m/>
    <m/>
    <m/>
    <m/>
    <m/>
    <m/>
    <m/>
    <m/>
    <m/>
    <m/>
    <m/>
    <m/>
  </r>
  <r>
    <x v="32"/>
    <n v="2009"/>
    <x v="5"/>
    <s v="Africa"/>
    <m/>
    <s v="Mining"/>
    <s v="yes"/>
    <s v="no"/>
    <s v="no"/>
    <s v="Clay"/>
    <s v="detailed"/>
    <s v="detailed Mining"/>
    <n v="10000"/>
    <m/>
    <n v="9091"/>
    <m/>
    <m/>
    <s v="t"/>
    <n v="1.8420999999999998"/>
    <s v="US$/t"/>
    <s v="Volume from USGS Mineral Yearbook 2011. Price from USGS Mineral Commodity Summary 2014, and is the price for common clay in the US, adjusted to account for the price given in the 2011 EITI Report being 14.17% of this in 2011."/>
    <n v="16746.5311"/>
    <m/>
    <m/>
    <m/>
    <m/>
    <m/>
    <m/>
    <m/>
    <m/>
    <m/>
    <m/>
    <m/>
    <m/>
    <m/>
    <m/>
    <m/>
    <m/>
    <m/>
    <m/>
    <m/>
    <m/>
    <m/>
    <m/>
    <m/>
    <m/>
    <m/>
    <m/>
    <m/>
    <m/>
    <m/>
    <m/>
    <m/>
    <m/>
    <m/>
    <m/>
    <m/>
    <m/>
    <m/>
    <m/>
    <m/>
    <m/>
    <m/>
    <m/>
    <m/>
    <m/>
    <m/>
  </r>
  <r>
    <x v="32"/>
    <n v="2009"/>
    <x v="5"/>
    <s v="Africa"/>
    <m/>
    <s v="Mining"/>
    <s v="yes"/>
    <s v="no"/>
    <s v="no"/>
    <s v="Gold"/>
    <s v="detailed"/>
    <s v="detailed Mining"/>
    <n v="57871.337627710804"/>
    <m/>
    <n v="2023"/>
    <m/>
    <m/>
    <s v="toz"/>
    <n v="972.96591666666995"/>
    <s v="US$/toz"/>
    <s v="Volume from USGS Mineral Yearbook 2011. Price from World Bank (Global Economic Monitor (GEM) Commodities database), and is defined as: Gold (UK), 99.5% fine, London afternoon fixing, average of daily rates."/>
    <n v="1968310.0494166734"/>
    <m/>
    <m/>
    <m/>
    <m/>
    <m/>
    <m/>
    <m/>
    <m/>
    <m/>
    <m/>
    <m/>
    <m/>
    <m/>
    <m/>
    <m/>
    <m/>
    <m/>
    <m/>
    <m/>
    <m/>
    <m/>
    <m/>
    <m/>
    <m/>
    <s v="Only gold dust is included in the EITI Report. "/>
    <m/>
    <m/>
    <m/>
    <m/>
    <m/>
    <m/>
    <m/>
    <m/>
    <m/>
    <m/>
    <m/>
    <m/>
    <m/>
    <m/>
    <m/>
    <m/>
    <m/>
    <m/>
    <m/>
    <m/>
  </r>
  <r>
    <x v="32"/>
    <n v="2009"/>
    <x v="5"/>
    <s v="Africa"/>
    <m/>
    <s v="Mining"/>
    <s v="yes"/>
    <s v="no"/>
    <s v="no"/>
    <s v="Limestone"/>
    <s v="detailed"/>
    <s v="detailed Mining"/>
    <n v="100000"/>
    <m/>
    <n v="186178"/>
    <m/>
    <m/>
    <s v="t"/>
    <n v="16.479101999999997"/>
    <s v="US$/t"/>
    <s v="Volume from USGS Mineral Yearbook 2011. Price from USGS Mineral Yearbook 2010, and is the price crushed limestone in the US, adjusted to account for the price given in the 2011 EITI Report being 184.33% of this in 2011."/>
    <n v="3068046.2521559997"/>
    <m/>
    <m/>
    <m/>
    <m/>
    <m/>
    <m/>
    <m/>
    <m/>
    <m/>
    <m/>
    <m/>
    <m/>
    <m/>
    <m/>
    <m/>
    <m/>
    <m/>
    <m/>
    <m/>
    <m/>
    <m/>
    <m/>
    <m/>
    <m/>
    <m/>
    <m/>
    <m/>
    <m/>
    <m/>
    <m/>
    <m/>
    <m/>
    <m/>
    <m/>
    <m/>
    <m/>
    <m/>
    <m/>
    <m/>
    <m/>
    <m/>
    <m/>
    <m/>
    <m/>
    <m/>
  </r>
  <r>
    <x v="32"/>
    <n v="2009"/>
    <x v="5"/>
    <s v="Africa"/>
    <m/>
    <s v="Mining"/>
    <s v="yes"/>
    <s v="no"/>
    <s v="no"/>
    <s v="Pozzolana"/>
    <s v="detailed"/>
    <s v="detailed Mining"/>
    <n v="550000"/>
    <m/>
    <n v="379369"/>
    <m/>
    <m/>
    <s v="t"/>
    <n v="14.76"/>
    <s v="US$/t"/>
    <s v="Volume from USGS Mineral Yearbook 2011. Price from 2011 EITI Report, and is based on the reported volume and value of exports in 2011 (the price for this year is not given in the EITI Report or by USGS)."/>
    <n v="5599486.4399999995"/>
    <m/>
    <m/>
    <m/>
    <m/>
    <m/>
    <m/>
    <m/>
    <m/>
    <m/>
    <m/>
    <m/>
    <m/>
    <m/>
    <m/>
    <m/>
    <m/>
    <m/>
    <m/>
    <m/>
    <m/>
    <m/>
    <m/>
    <m/>
    <m/>
    <m/>
    <m/>
    <m/>
    <m/>
    <m/>
    <m/>
    <m/>
    <m/>
    <m/>
    <m/>
    <m/>
    <m/>
    <m/>
    <m/>
    <m/>
    <m/>
    <m/>
    <m/>
    <m/>
    <m/>
    <m/>
  </r>
  <r>
    <x v="32"/>
    <n v="2009"/>
    <x v="5"/>
    <s v="Africa"/>
    <m/>
    <s v="Mining"/>
    <s v="yes"/>
    <s v="no"/>
    <s v="no"/>
    <s v="Sand and gravel"/>
    <s v="detailed"/>
    <s v="detailed Mining"/>
    <n v="600000"/>
    <m/>
    <m/>
    <m/>
    <m/>
    <s v="t"/>
    <n v="1.4636989999999999"/>
    <s v="US$/t"/>
    <s v="Volume from USGS Mineral Yearbook 2011. Price from USGS Mineral Yearbook 2010, and is the price in the US for construction sand and gravel, adjusted to account for the price given in the 2011 EITI Report being 19.49% of this in 2011."/>
    <n v="878219.39999999991"/>
    <m/>
    <m/>
    <m/>
    <m/>
    <m/>
    <m/>
    <m/>
    <m/>
    <m/>
    <m/>
    <m/>
    <m/>
    <m/>
    <m/>
    <m/>
    <m/>
    <m/>
    <m/>
    <m/>
    <m/>
    <m/>
    <m/>
    <m/>
    <m/>
    <m/>
    <m/>
    <m/>
    <m/>
    <m/>
    <m/>
    <m/>
    <m/>
    <m/>
    <m/>
    <m/>
    <m/>
    <m/>
    <m/>
    <m/>
    <m/>
    <m/>
    <m/>
    <m/>
    <m/>
    <m/>
  </r>
  <r>
    <x v="33"/>
    <n v="2010"/>
    <x v="5"/>
    <s v="Africa"/>
    <s v="http://www.eiticameroon.org/index.php/home"/>
    <s v="Oil, Mining"/>
    <s v="yes"/>
    <s v="no"/>
    <s v="yes"/>
    <s v="Total"/>
    <s v="Total"/>
    <s v="Total Oil, Mining"/>
    <m/>
    <m/>
    <m/>
    <m/>
    <m/>
    <m/>
    <m/>
    <m/>
    <m/>
    <n v="1844926523.6494939"/>
    <s v="Host government's production entitlement, State-owned company production entitlement, Profits/Taxes, Royalties, Dividends, Bonuses, Licenses and concessions, Other significant benefits to government"/>
    <s v="Also covers payments made in-kind (oil)"/>
    <s v="Yes"/>
    <n v="3676246858.7772026"/>
    <n v="1056689895.4541755"/>
    <m/>
    <m/>
    <m/>
    <n v="1.9926250783717552"/>
    <s v="Central African CFA Franc"/>
    <n v="485.72"/>
    <s v="Disaggregated by revenue stream, Disaggregated by company"/>
    <s v="32,659,731 bbl of oil (govt reported), 32,659,731 bbl of oil (company reported)"/>
    <n v="2596901583.7401447"/>
    <m/>
    <m/>
    <n v="21"/>
    <s v="Petroleum: SNH-Fonctionnement, Total Exploration &amp; Production Cameroun (actuellement Perenco Rio Del Rey), Perenco Cameroun, Perenco Oil &amp; Gas Cameroun, Pecten Cameroon Company (actuellement Addax Petroleum Cameroon Company), Mobil Producing Cameroon Inc, Addax Petroleum Cam LTD, Euroil Ltd, Noble Energy Cameroon LTD, Murphy (pour Sterling Energy), Rodeo Development LTD, Kosmos Energy, Glencore Exploration Cameroon, Yang Chang Logone, RSM, AFEX, Petronas. Mining: Geovic, Razel, Cimencam, C&amp;K Mining."/>
    <n v="20"/>
    <s v="April 2013"/>
    <d v="2014-10-31T00:00:00"/>
    <s v="Moore Stephens LLP"/>
    <s v="http://eiti.org/files/Cameroon-2010-EITI-Report-French.pdf"/>
    <s v="29-30"/>
    <s v="Govt revenues include the value of in-kind receipts, and company payments made to local govts (&quot;Les paiements infranationaux,&quot; unilaterally reported by central govt) and payments from companies below the materiality threshold. Company payments include unilaterally reported &quot;other significant payments&quot; and social payments. In-kind value is govt-reported total. The government reported to have received FCFA 10,654,141,826 from mining companies that were not included in the scope;  subnational transfers of FCFA 65,337,042 in subnational payments (p.25). Companies reported to have contributed FCFA,512 532,379 for social and &quot;other significant&quot; payments. "/>
    <m/>
    <m/>
    <m/>
    <m/>
    <m/>
    <m/>
    <m/>
    <m/>
    <m/>
    <m/>
    <m/>
    <m/>
    <m/>
    <m/>
    <m/>
    <m/>
    <m/>
    <m/>
    <m/>
    <m/>
  </r>
  <r>
    <x v="33"/>
    <n v="2010"/>
    <x v="5"/>
    <s v="Africa"/>
    <m/>
    <s v="Oil"/>
    <s v="no"/>
    <s v="no"/>
    <s v="yes"/>
    <s v="Oil"/>
    <s v="detailed"/>
    <s v="detailed Oil"/>
    <n v="24272500"/>
    <m/>
    <n v="23699577"/>
    <m/>
    <m/>
    <s v="bbl"/>
    <n v="75.514321721694998"/>
    <s v="US$/bbl"/>
    <s v="Volume from EIA. Price from BPSR 2014, and is an average of the spot prices for Brent, Dubai, Nigerian Forcados and West Texas Intermediate crude oil, adjusted to account for the prices given in the 2001-2005 EITI Reports being an average 94.97% of this in 2001-2005."/>
    <n v="1832921373.9898419"/>
    <m/>
    <m/>
    <m/>
    <n v="3653306731.2922349"/>
    <n v="1054766766.42304"/>
    <m/>
    <m/>
    <m/>
    <n v="1.9931606358759617"/>
    <m/>
    <m/>
    <m/>
    <s v="32,659,731 bbl of oil (govt reported), 32,659,731 bbl of oil (company reported)"/>
    <n v="2596901583.7401447"/>
    <m/>
    <m/>
    <n v="17"/>
    <s v="SNH-Fonctionnement, Total Exploration &amp; Production Cameroun (actuellement Perenco Rio Del Rey), Perenco Cameroun, Perenco Oil &amp; Gas Cameroun, Pecten Cameroon Company (actuellement Addax Petroleum Cameroon Company), Mobil Producing Cameroon Inc, Addax Petroleum Cam LTD, Euroil Ltd, Noble Energy Cameroon LTD, Murphy (pour Sterling Energy), Rodeo Development LTD, Kosmos Energy, Glencore Exploration Cameroon, Yang Chang Logone, RSM, AFEX, Petronas"/>
    <m/>
    <m/>
    <m/>
    <m/>
    <m/>
    <m/>
    <s v="EITI production volume is from p.5; no discrepancy between company and govt reported production volumes. Revenue totals include oil transport revenues and transfers from SNH-Mandat; revenue totals do not include unilaterally declared payments."/>
    <m/>
    <m/>
    <m/>
    <m/>
    <m/>
    <m/>
    <m/>
    <m/>
    <m/>
    <m/>
    <m/>
    <m/>
    <m/>
    <m/>
    <m/>
    <m/>
    <m/>
    <m/>
    <m/>
    <m/>
  </r>
  <r>
    <x v="33"/>
    <n v="2010"/>
    <x v="5"/>
    <s v="Africa"/>
    <m/>
    <s v="Mining"/>
    <s v="yes"/>
    <s v="no"/>
    <s v="no"/>
    <s v="Total Mining"/>
    <s v="Total"/>
    <s v="Total Mining"/>
    <m/>
    <m/>
    <m/>
    <m/>
    <m/>
    <m/>
    <m/>
    <m/>
    <m/>
    <n v="12005149.659652"/>
    <m/>
    <m/>
    <m/>
    <n v="870871.80680227291"/>
    <n v="867927.72379148472"/>
    <m/>
    <m/>
    <m/>
    <n v="7.2541520221874295E-2"/>
    <m/>
    <m/>
    <m/>
    <m/>
    <m/>
    <m/>
    <m/>
    <n v="4"/>
    <s v="Geovic, Razel, Cimencam, C&amp;K Mining"/>
    <m/>
    <m/>
    <m/>
    <m/>
    <m/>
    <m/>
    <s v="Revenue totals do not include unilaterally declared payments."/>
    <m/>
    <m/>
    <m/>
    <m/>
    <m/>
    <m/>
    <m/>
    <m/>
    <m/>
    <m/>
    <m/>
    <m/>
    <m/>
    <m/>
    <m/>
    <m/>
    <m/>
    <m/>
    <m/>
    <m/>
  </r>
  <r>
    <x v="33"/>
    <n v="2010"/>
    <x v="5"/>
    <s v="Africa"/>
    <m/>
    <s v="Mining"/>
    <s v="yes"/>
    <s v="no"/>
    <s v="no"/>
    <s v="Clay"/>
    <s v="detailed"/>
    <s v="detailed Mining"/>
    <n v="12000"/>
    <m/>
    <n v="9966"/>
    <m/>
    <m/>
    <s v="t"/>
    <n v="1.7003999999999999"/>
    <s v="US$/t"/>
    <s v="Volume from USGS Mineral Yearbook 2011. Price from USGS Mineral Commodity Summary 2014, and is the price for common clay in the US, adjusted to account for the price given in the 2011 EITI Report being 14.17% of this in 2011."/>
    <n v="16946.186399999999"/>
    <m/>
    <m/>
    <m/>
    <m/>
    <m/>
    <m/>
    <m/>
    <m/>
    <m/>
    <m/>
    <m/>
    <m/>
    <m/>
    <m/>
    <m/>
    <m/>
    <m/>
    <m/>
    <m/>
    <m/>
    <m/>
    <m/>
    <m/>
    <m/>
    <m/>
    <m/>
    <m/>
    <m/>
    <m/>
    <m/>
    <m/>
    <m/>
    <m/>
    <m/>
    <m/>
    <m/>
    <m/>
    <m/>
    <m/>
    <m/>
    <m/>
    <m/>
    <m/>
    <m/>
    <m/>
  </r>
  <r>
    <x v="33"/>
    <n v="2010"/>
    <x v="5"/>
    <s v="Africa"/>
    <m/>
    <s v="Mining"/>
    <s v="yes"/>
    <s v="no"/>
    <s v="no"/>
    <s v="Gold"/>
    <s v="detailed"/>
    <s v="detailed Mining"/>
    <n v="51441.189002409599"/>
    <m/>
    <n v="1676"/>
    <m/>
    <m/>
    <s v="toz"/>
    <n v="1224.66425"/>
    <s v="US$/toz"/>
    <s v="Volume from USGS Mineral Yearbook 2011. Price from World Bank (Global Economic Monitor (GEM) Commodities database), and is defined as: Gold (UK), 99.5% fine, London afternoon fixing, average of daily rates."/>
    <n v="2052537.2830000001"/>
    <m/>
    <m/>
    <m/>
    <m/>
    <m/>
    <m/>
    <m/>
    <m/>
    <m/>
    <m/>
    <m/>
    <m/>
    <m/>
    <m/>
    <m/>
    <m/>
    <m/>
    <m/>
    <m/>
    <m/>
    <m/>
    <m/>
    <m/>
    <m/>
    <m/>
    <m/>
    <m/>
    <m/>
    <m/>
    <m/>
    <m/>
    <m/>
    <m/>
    <m/>
    <m/>
    <m/>
    <m/>
    <m/>
    <m/>
    <m/>
    <m/>
    <m/>
    <m/>
    <m/>
    <m/>
  </r>
  <r>
    <x v="33"/>
    <n v="2010"/>
    <x v="5"/>
    <s v="Africa"/>
    <m/>
    <s v="Mining"/>
    <s v="yes"/>
    <s v="no"/>
    <s v="no"/>
    <s v="Limestone"/>
    <s v="detailed"/>
    <s v="detailed Mining"/>
    <n v="100000"/>
    <m/>
    <n v="189748"/>
    <m/>
    <m/>
    <s v="t"/>
    <n v="16.644998999999999"/>
    <s v="US$/t"/>
    <s v="Volume from USGS Mineral Yearbook 2011. Price from USGS Mineral Yearbook 2010, and is the price crushed limestone in the US, adjusted to account for the price given in the 2011 EITI Report being 184.33% of this in 2011."/>
    <n v="3158355.2702519996"/>
    <m/>
    <m/>
    <m/>
    <m/>
    <m/>
    <m/>
    <m/>
    <m/>
    <m/>
    <m/>
    <m/>
    <m/>
    <m/>
    <m/>
    <m/>
    <m/>
    <m/>
    <m/>
    <m/>
    <m/>
    <m/>
    <m/>
    <m/>
    <m/>
    <m/>
    <m/>
    <m/>
    <m/>
    <m/>
    <m/>
    <m/>
    <m/>
    <m/>
    <m/>
    <m/>
    <m/>
    <m/>
    <m/>
    <m/>
    <m/>
    <m/>
    <m/>
    <m/>
    <m/>
    <m/>
  </r>
  <r>
    <x v="33"/>
    <n v="2010"/>
    <x v="5"/>
    <s v="Africa"/>
    <m/>
    <s v="Mining"/>
    <s v="yes"/>
    <s v="no"/>
    <s v="no"/>
    <s v="Pozzolana"/>
    <s v="detailed"/>
    <s v="detailed Mining"/>
    <n v="600000"/>
    <m/>
    <n v="401252"/>
    <m/>
    <m/>
    <s v="t"/>
    <n v="14.76"/>
    <s v="US$/t"/>
    <s v="Volume from USGS Mineral Yearbook 2011. Price from 2011 EITI Report, and is based on the reported volume and value of exports in 2011 (the price for this year is not given in the EITI Report or by USGS)."/>
    <n v="5922479.5199999996"/>
    <m/>
    <m/>
    <m/>
    <m/>
    <m/>
    <m/>
    <m/>
    <m/>
    <m/>
    <m/>
    <m/>
    <m/>
    <m/>
    <m/>
    <m/>
    <m/>
    <m/>
    <m/>
    <m/>
    <m/>
    <m/>
    <m/>
    <m/>
    <m/>
    <m/>
    <m/>
    <m/>
    <m/>
    <m/>
    <m/>
    <m/>
    <m/>
    <m/>
    <m/>
    <m/>
    <m/>
    <m/>
    <m/>
    <m/>
    <m/>
    <m/>
    <m/>
    <m/>
    <m/>
    <m/>
  </r>
  <r>
    <x v="33"/>
    <n v="2010"/>
    <x v="5"/>
    <s v="Africa"/>
    <m/>
    <s v="Mining"/>
    <s v="yes"/>
    <s v="no"/>
    <s v="no"/>
    <s v="Sand and gravel"/>
    <s v="detailed"/>
    <s v="detailed Mining"/>
    <n v="600000"/>
    <m/>
    <m/>
    <m/>
    <m/>
    <s v="t"/>
    <n v="1.4247189999999998"/>
    <s v="US$/t"/>
    <s v="Volume from USGS Mineral Yearbook 2011. Price from USGS Mineral Yearbook 2010, and is the price in the US for construction sand and gravel, adjusted to account for the price given in the 2011 EITI Report being 19.49% of this in 2011."/>
    <n v="854831.39999999991"/>
    <m/>
    <m/>
    <m/>
    <m/>
    <m/>
    <m/>
    <m/>
    <m/>
    <m/>
    <m/>
    <m/>
    <m/>
    <m/>
    <m/>
    <m/>
    <m/>
    <m/>
    <m/>
    <m/>
    <m/>
    <m/>
    <m/>
    <m/>
    <m/>
    <m/>
    <m/>
    <m/>
    <m/>
    <m/>
    <m/>
    <m/>
    <m/>
    <m/>
    <m/>
    <m/>
    <m/>
    <m/>
    <m/>
    <m/>
    <m/>
    <m/>
    <m/>
    <m/>
    <m/>
    <m/>
  </r>
  <r>
    <x v="34"/>
    <n v="2011"/>
    <x v="5"/>
    <s v="Africa"/>
    <s v="http://www.eiticameroon.org/index.php/home"/>
    <s v="Oil, Gas, Mining"/>
    <s v="yes"/>
    <s v="yes"/>
    <s v="yes"/>
    <s v="Total"/>
    <s v="Total"/>
    <s v="Total Oil, Gas, Mining"/>
    <m/>
    <m/>
    <m/>
    <m/>
    <m/>
    <m/>
    <m/>
    <m/>
    <m/>
    <n v="2650172583.6000004"/>
    <s v="Host government's production entitlement, State-owned company production entitlement, Profits/Taxes, Royalties, Dividends, Bonuses, Licenses and concessions, Other significant benefits to government"/>
    <s v="Also covers payments made in-kind"/>
    <s v="No"/>
    <n v="1566909552.6100264"/>
    <n v="1566523264.9798601"/>
    <s v="100% of revenue (when unilateral declarations from both entities are summed)"/>
    <n v="1567525726.0255537"/>
    <s v="Inferred from EITI Report"/>
    <n v="0.59148062119645928"/>
    <s v="Central African CFA Franc"/>
    <n v="461.51"/>
    <s v="Disaggregated by revenue stream, Disaggregated by company"/>
    <s v="14,615,395 bbl of oil"/>
    <s v="Not given"/>
    <s v="Proportional mining royalty"/>
    <n v="66233584.539999999"/>
    <n v="22"/>
    <s v="National Hydrocarbons Company (NHC), Total Exploration &amp; Production Cameroon (Perenco Rio Del Rey), Perenco Cameroon, Perenco Oil &amp; Gas Cameroon, Pecten Cameroon Company (Currently Addax Petroleum Cameroon Company), Mobil Producing Cameroon Inc, Addax Petroleum Cam LTD, Euroil Ltd, Noble Energy Cameroon LTD, Murphy (Sterling Energy), Rodeo Development LTD, Kosmos Energy, Glencore Exploration Cameroon, Yang Chang Logone, RSM, AFEX, Petronas, Cameroon Oil Transportation Company (COTCO), Geovic, Razel, Cimencam, C&amp;K Mining"/>
    <n v="22"/>
    <s v="August 2013"/>
    <d v="2014-10-10T00:00:00"/>
    <s v="Moore Stephens LLP"/>
    <s v="http://eiti.org/files/Cameroon-2011-EITI-Report-English.pdf"/>
    <s v="32-33, 39-45"/>
    <s v="Materiality threshold: all companies that made a payment of at least FCFA 55,000,000 in 2011 should be reconciled. This means all oil &amp; gas producers are reconciled. Disaggregation by commodity is only indirect through disaggregation by company, and therefore limited. Unilateral declarations are included in the figures: US$497,487 of payments outside the reconciliation scope and US$118,687 of social contributions reported by companies, and US$894,430 of payments from companies below the materiality threshold reported by government. The value of the payments made in-kind included in the figures for 2011 is not consistent with the volume of payments made-in kind in 2011 given the time lapse between the oil being transferred and commercialised. The value of the latter is not clear, but the volume has been indicated in the appropriate column. Total payments given on pg.8 do not appear to be consistent with the reconciliation results on pg 32-33 and unilateral declarations on pg 39-45. NHC has two functions. NHC-Operation operates as a company, involved in a number of oil concessions both directly and indirectly as a shareholder of other companies. NHC-Mandate is a state agency, managing the commercialisation of Government's share in the oil extracted. COTCO is a oil transport company, which the Government has a shareholding, indirectly through NHC, of 5.17%.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11 it was negative and has therefore been classified as a subsidy. The report also includes: licensing information for both sectors."/>
    <m/>
    <m/>
    <m/>
    <m/>
    <m/>
    <m/>
    <m/>
    <m/>
    <m/>
    <m/>
    <m/>
    <m/>
    <m/>
    <m/>
    <m/>
    <m/>
    <m/>
    <m/>
    <m/>
    <m/>
  </r>
  <r>
    <x v="34"/>
    <n v="2011"/>
    <x v="5"/>
    <s v="Africa"/>
    <m/>
    <s v="Oil, Gas"/>
    <s v="no"/>
    <s v="yes"/>
    <s v="yes"/>
    <s v="Total Oil &amp; Gas"/>
    <s v="Total"/>
    <s v="Total Oil, Gas"/>
    <m/>
    <m/>
    <m/>
    <m/>
    <m/>
    <m/>
    <m/>
    <m/>
    <m/>
    <n v="2638418491.9848757"/>
    <m/>
    <m/>
    <m/>
    <n v="1564930334.7772601"/>
    <n v="1565410884.9798601"/>
    <m/>
    <m/>
    <m/>
    <n v="0.59313196126061374"/>
    <m/>
    <m/>
    <m/>
    <s v="14,615,395 bbl of oil"/>
    <s v="Not given"/>
    <s v="Proportional mining royalty"/>
    <n v="66233584.539999999"/>
    <n v="18"/>
    <s v="National Hydrocarbons Company (NHC), Total Exploration &amp; Production Cameroon (Perenco Rio Del Rey), Perenco Cameroon, Perenco Oil &amp; Gas Cameroon, Pecten Cameroon Company (Currently Addax Petroleum Cameroon Company), Mobil Producing Cameroon Inc, Addax Petroleum Cam LTD, Euroil Ltd, Noble Energy Cameroon LTD, Murphy (Sterling Energy), Rodeo Development LTD, Kosmos Energy, Glencore Exploration Cameroon, Yang Chang Logone, RSM, AFEX, Petronas, CAmeroon Oil Transportation Company (COTCO)"/>
    <n v="18"/>
    <m/>
    <m/>
    <m/>
    <m/>
    <s v="33, 39-40"/>
    <m/>
    <m/>
    <m/>
    <m/>
    <m/>
    <m/>
    <m/>
    <m/>
    <m/>
    <m/>
    <m/>
    <m/>
    <m/>
    <m/>
    <m/>
    <m/>
    <m/>
    <m/>
    <m/>
    <m/>
    <m/>
  </r>
  <r>
    <x v="34"/>
    <n v="2011"/>
    <x v="5"/>
    <s v="Africa"/>
    <m/>
    <s v="Gas"/>
    <s v="no"/>
    <s v="yes"/>
    <s v="no"/>
    <s v="Gas"/>
    <s v="detailed"/>
    <s v="detailed Gas"/>
    <n v="2406928000"/>
    <n v="15885724.800000001"/>
    <m/>
    <m/>
    <m/>
    <s v="m³"/>
    <n v="0.19666043794616025"/>
    <s v="US$/m³"/>
    <s v="Volume from EIA. Price from BPSR 2014, and is an average of the UK, US and Canada Indices for natural gas."/>
    <n v="473347514.58487558"/>
    <m/>
    <m/>
    <m/>
    <n v="0.21862909785678769"/>
    <m/>
    <m/>
    <m/>
    <m/>
    <m/>
    <m/>
    <m/>
    <m/>
    <m/>
    <m/>
    <m/>
    <m/>
    <m/>
    <m/>
    <m/>
    <m/>
    <m/>
    <m/>
    <m/>
    <m/>
    <m/>
    <m/>
    <m/>
    <m/>
    <m/>
    <m/>
    <m/>
    <m/>
    <m/>
    <m/>
    <m/>
    <m/>
    <m/>
    <m/>
    <m/>
    <m/>
    <m/>
    <m/>
    <m/>
    <m/>
    <m/>
  </r>
  <r>
    <x v="34"/>
    <n v="2011"/>
    <x v="5"/>
    <s v="Africa"/>
    <m/>
    <s v="Oil"/>
    <s v="no"/>
    <s v="no"/>
    <s v="yes"/>
    <s v="Oil"/>
    <s v="detailed"/>
    <s v="detailed Oil"/>
    <n v="21400000"/>
    <n v="0.74232358878504678"/>
    <n v="21426672"/>
    <m/>
    <m/>
    <s v="bbl"/>
    <n v="101.171541"/>
    <s v="US$/bbl"/>
    <s v="Volume from EITI Report. Price from BPSR 2014, and is an average of the spot prices for Brent, Dubai, Nigerian Forcados and West Texas Intermediate crude oil, adjusted to account for the prices given in the 2001-2005 EITI Reports being an average 94.97% of this in 2001-2005."/>
    <n v="2165070977.4000001"/>
    <m/>
    <m/>
    <m/>
    <m/>
    <m/>
    <m/>
    <m/>
    <m/>
    <m/>
    <m/>
    <m/>
    <m/>
    <s v="14,615,395 bbl of oil"/>
    <s v="Not given"/>
    <m/>
    <m/>
    <n v="10"/>
    <m/>
    <m/>
    <m/>
    <m/>
    <m/>
    <m/>
    <n v="50"/>
    <m/>
    <m/>
    <m/>
    <m/>
    <m/>
    <m/>
    <m/>
    <m/>
    <m/>
    <m/>
    <m/>
    <m/>
    <m/>
    <m/>
    <m/>
    <m/>
    <m/>
    <m/>
    <m/>
    <m/>
    <m/>
  </r>
  <r>
    <x v="34"/>
    <n v="2011"/>
    <x v="5"/>
    <s v="Africa"/>
    <m/>
    <s v="Mining"/>
    <s v="yes"/>
    <s v="no"/>
    <s v="no"/>
    <s v="Total Mining"/>
    <s v="Total"/>
    <s v="Total Mining"/>
    <m/>
    <m/>
    <m/>
    <m/>
    <m/>
    <m/>
    <m/>
    <m/>
    <m/>
    <n v="11754091.615124667"/>
    <m/>
    <m/>
    <m/>
    <n v="1979217.8327663539"/>
    <n v="1112380"/>
    <m/>
    <m/>
    <m/>
    <n v="0.16838543526575717"/>
    <m/>
    <m/>
    <m/>
    <m/>
    <m/>
    <m/>
    <m/>
    <n v="4"/>
    <s v="Geovic, Razel, Cimencam, C&amp;K Mining"/>
    <n v="4"/>
    <m/>
    <m/>
    <m/>
    <m/>
    <s v="32, 40-45"/>
    <m/>
    <m/>
    <m/>
    <m/>
    <m/>
    <m/>
    <m/>
    <m/>
    <m/>
    <m/>
    <m/>
    <m/>
    <m/>
    <m/>
    <m/>
    <m/>
    <m/>
    <m/>
    <m/>
    <m/>
    <m/>
  </r>
  <r>
    <x v="34"/>
    <n v="2011"/>
    <x v="5"/>
    <s v="Africa"/>
    <m/>
    <s v="Mining"/>
    <s v="yes"/>
    <s v="no"/>
    <s v="no"/>
    <s v="Clay"/>
    <s v="detailed"/>
    <s v="detailed Mining"/>
    <n v="12000"/>
    <m/>
    <n v="11995.703817020001"/>
    <m/>
    <m/>
    <s v="t"/>
    <n v="1.7"/>
    <s v="US$/t"/>
    <s v="Volume from USGS Mineral Yearbook 2011. Price from EITI Report, and is based on the reported volume and value of exports (and is 14.17% of the  price for common clay in the US)."/>
    <n v="20392.696488934002"/>
    <m/>
    <m/>
    <m/>
    <m/>
    <m/>
    <m/>
    <m/>
    <m/>
    <m/>
    <m/>
    <m/>
    <m/>
    <m/>
    <m/>
    <m/>
    <m/>
    <n v="1"/>
    <s v="Cimencam"/>
    <n v="1"/>
    <m/>
    <m/>
    <m/>
    <m/>
    <s v="11, 80"/>
    <m/>
    <m/>
    <m/>
    <m/>
    <m/>
    <m/>
    <m/>
    <m/>
    <m/>
    <m/>
    <m/>
    <m/>
    <m/>
    <m/>
    <m/>
    <m/>
    <m/>
    <m/>
    <m/>
    <m/>
    <m/>
  </r>
  <r>
    <x v="34"/>
    <n v="2011"/>
    <x v="5"/>
    <s v="Africa"/>
    <m/>
    <s v="Mining"/>
    <s v="yes"/>
    <s v="no"/>
    <s v="no"/>
    <s v="Gold"/>
    <s v="detailed"/>
    <s v="detailed Mining"/>
    <n v="51441.189002409599"/>
    <m/>
    <n v="1289.3734023453967"/>
    <m/>
    <m/>
    <s v="toz"/>
    <n v="1569.2108333333299"/>
    <s v="US$/toz"/>
    <s v="Volume from USGS Mineral Yearbook 2011. Price from World Bank (Global Economic Monitor (GEM) Commodities database), and is defined as: Gold (UK), 99.5% fine, London afternoon fixing, average of daily rates."/>
    <n v="2023298.7111722508"/>
    <m/>
    <m/>
    <m/>
    <m/>
    <m/>
    <m/>
    <m/>
    <m/>
    <m/>
    <m/>
    <m/>
    <m/>
    <m/>
    <m/>
    <m/>
    <m/>
    <n v="1"/>
    <s v="C&amp;K Mining"/>
    <n v="1"/>
    <m/>
    <m/>
    <m/>
    <m/>
    <n v="11"/>
    <m/>
    <m/>
    <m/>
    <m/>
    <m/>
    <m/>
    <m/>
    <m/>
    <m/>
    <m/>
    <m/>
    <m/>
    <m/>
    <m/>
    <m/>
    <m/>
    <m/>
    <m/>
    <m/>
    <m/>
    <m/>
  </r>
  <r>
    <x v="34"/>
    <n v="2011"/>
    <x v="5"/>
    <s v="Africa"/>
    <m/>
    <s v="Mining"/>
    <s v="yes"/>
    <s v="no"/>
    <s v="no"/>
    <s v="Granite"/>
    <s v="detailed"/>
    <s v="detailed Mining"/>
    <n v="10278.49"/>
    <m/>
    <n v="10278.49"/>
    <m/>
    <m/>
    <s v="t"/>
    <n v="12"/>
    <s v="US$/t"/>
    <s v="Volume from EITI Report, but is only that of the covered companies. Price from USGS Mineral Yearbook 2012, and is the price in the US for crushed granite."/>
    <n v="123341.88"/>
    <m/>
    <m/>
    <m/>
    <m/>
    <m/>
    <m/>
    <m/>
    <m/>
    <m/>
    <m/>
    <m/>
    <m/>
    <m/>
    <m/>
    <m/>
    <m/>
    <m/>
    <m/>
    <m/>
    <m/>
    <m/>
    <m/>
    <m/>
    <n v="11"/>
    <s v="The USGS Mineral Yearbook 2012 indicates that there was insufficent data to estimate production volumes. "/>
    <m/>
    <m/>
    <m/>
    <m/>
    <m/>
    <m/>
    <m/>
    <m/>
    <m/>
    <m/>
    <m/>
    <m/>
    <m/>
    <m/>
    <m/>
    <m/>
    <m/>
    <m/>
    <m/>
    <m/>
  </r>
  <r>
    <x v="34"/>
    <n v="2011"/>
    <x v="5"/>
    <s v="Africa"/>
    <m/>
    <s v="Mining"/>
    <s v="yes"/>
    <s v="no"/>
    <s v="no"/>
    <s v="Limestone"/>
    <s v="detailed"/>
    <s v="detailed Mining"/>
    <n v="100000"/>
    <m/>
    <n v="165947.67574924001"/>
    <m/>
    <m/>
    <s v="t"/>
    <n v="16.7"/>
    <s v="US$/t"/>
    <s v="Volume from USGS Mineral Yearbook 2011. Price from EITI Report, and is based on the reported volume and value of exports (and is 184.33% of the  price for crushed limestone in the US)."/>
    <n v="2771326.1850123079"/>
    <m/>
    <m/>
    <m/>
    <m/>
    <m/>
    <m/>
    <m/>
    <m/>
    <m/>
    <m/>
    <m/>
    <m/>
    <m/>
    <m/>
    <m/>
    <m/>
    <n v="1"/>
    <s v="Cimencam"/>
    <n v="1"/>
    <m/>
    <m/>
    <m/>
    <m/>
    <s v="11, 80"/>
    <m/>
    <m/>
    <m/>
    <m/>
    <m/>
    <m/>
    <m/>
    <m/>
    <m/>
    <m/>
    <m/>
    <m/>
    <m/>
    <m/>
    <m/>
    <m/>
    <m/>
    <m/>
    <m/>
    <m/>
    <m/>
  </r>
  <r>
    <x v="34"/>
    <n v="2011"/>
    <x v="5"/>
    <s v="Africa"/>
    <m/>
    <s v="Mining"/>
    <s v="yes"/>
    <s v="no"/>
    <s v="no"/>
    <s v="Marble"/>
    <s v="detailed"/>
    <s v="detailed Mining"/>
    <n v="500"/>
    <m/>
    <n v="11978.2"/>
    <m/>
    <m/>
    <s v="t"/>
    <n v="15.3"/>
    <s v="US$/t"/>
    <s v="Volume from USGS Mineral Yearbook 2011. Price from USGS Mineral Yearbook 2012, and is the price in the US for crushed marble."/>
    <n v="183266.46000000002"/>
    <m/>
    <m/>
    <m/>
    <m/>
    <m/>
    <m/>
    <m/>
    <m/>
    <m/>
    <m/>
    <m/>
    <m/>
    <m/>
    <m/>
    <m/>
    <m/>
    <n v="1"/>
    <s v="Cimencam"/>
    <n v="1"/>
    <m/>
    <m/>
    <m/>
    <m/>
    <n v="11"/>
    <m/>
    <m/>
    <m/>
    <m/>
    <m/>
    <m/>
    <m/>
    <m/>
    <m/>
    <m/>
    <m/>
    <m/>
    <m/>
    <m/>
    <m/>
    <m/>
    <m/>
    <m/>
    <m/>
    <m/>
    <m/>
  </r>
  <r>
    <x v="34"/>
    <n v="2011"/>
    <x v="5"/>
    <s v="Africa"/>
    <m/>
    <s v="Mining"/>
    <s v="yes"/>
    <s v="no"/>
    <s v="no"/>
    <s v="Pozzolana"/>
    <s v="detailed"/>
    <s v="detailed Mining"/>
    <n v="600000"/>
    <m/>
    <n v="384829.58107747999"/>
    <m/>
    <m/>
    <s v="t"/>
    <n v="14.76"/>
    <s v="US$/t"/>
    <s v="Volume from USGS Mineral Yearbook 2011. Price from EITI Report, and is based on the reported volume and value of exports."/>
    <n v="5680084.6167036043"/>
    <m/>
    <m/>
    <m/>
    <m/>
    <m/>
    <m/>
    <m/>
    <m/>
    <m/>
    <m/>
    <m/>
    <m/>
    <m/>
    <m/>
    <m/>
    <m/>
    <n v="1"/>
    <s v="Cimencam"/>
    <n v="1"/>
    <m/>
    <m/>
    <m/>
    <m/>
    <s v="11, 80"/>
    <m/>
    <m/>
    <m/>
    <m/>
    <m/>
    <m/>
    <m/>
    <m/>
    <m/>
    <m/>
    <m/>
    <m/>
    <m/>
    <m/>
    <m/>
    <m/>
    <m/>
    <m/>
    <m/>
    <m/>
    <m/>
  </r>
  <r>
    <x v="34"/>
    <n v="2011"/>
    <x v="5"/>
    <s v="Africa"/>
    <m/>
    <s v="Mining"/>
    <s v="yes"/>
    <s v="no"/>
    <s v="no"/>
    <s v="Sand and gravel"/>
    <s v="detailed"/>
    <s v="detailed Mining"/>
    <n v="600000"/>
    <m/>
    <n v="652315.7984572401"/>
    <m/>
    <m/>
    <s v="t"/>
    <n v="1.46"/>
    <s v="US$/t"/>
    <s v="Volume from USGS Mineral Yearbook 2011. Price from EITI Report, and is based on the reported volume and value of exports (and is 19.49% of the  price for construction sand and gravel in the US)."/>
    <n v="952381.06574757048"/>
    <m/>
    <m/>
    <m/>
    <m/>
    <m/>
    <m/>
    <m/>
    <m/>
    <m/>
    <m/>
    <m/>
    <m/>
    <m/>
    <m/>
    <m/>
    <m/>
    <n v="2"/>
    <s v="Cimencam, Razel"/>
    <n v="2"/>
    <m/>
    <m/>
    <m/>
    <m/>
    <s v="11, 80"/>
    <m/>
    <m/>
    <m/>
    <m/>
    <m/>
    <m/>
    <m/>
    <m/>
    <m/>
    <m/>
    <m/>
    <m/>
    <m/>
    <m/>
    <m/>
    <m/>
    <m/>
    <m/>
    <m/>
    <m/>
    <m/>
  </r>
  <r>
    <x v="35"/>
    <n v="2012"/>
    <x v="5"/>
    <s v="Africa"/>
    <s v="http://www.eiticameroon.org/index.php/home"/>
    <s v="Oil, Gas, Mining"/>
    <m/>
    <m/>
    <m/>
    <s v="Total"/>
    <m/>
    <m/>
    <m/>
    <m/>
    <m/>
    <m/>
    <m/>
    <m/>
    <m/>
    <m/>
    <s v="Volume from EITI report"/>
    <m/>
    <s v="Host government's production entitlement, State-owned company production entitlement, Profits/Taxes, Royalties, Dividends, Licenses and concessions"/>
    <s v="Also covers payments made in-kind"/>
    <s v="No"/>
    <n v="1529320794.4000001"/>
    <n v="1527058697.25"/>
    <n v="0.999"/>
    <n v="1613179399.4100001"/>
    <s v="Inferred from EITI Report"/>
    <m/>
    <s v="West African CFA Franc"/>
    <n v="503.07299999999998"/>
    <s v="Disaggregated by revenue stream, Disaggregated by company"/>
    <m/>
    <m/>
    <m/>
    <m/>
    <n v="26"/>
    <s v="SNH-Mandat, SNH, Perenco Rio Del Rey, Perenco Cameroun, Perenco Oil &amp; Gas Cameroun, Euroil LTD, Noble Energy Cameroon LTD, Addax Petroleum Cameroon LTD, Murphy, Rodeo Development LTD, Kosmos Energy, Glencore Exploration Cameroon, Yang Chang Logone, Dana Petroleum, COTCO, Geovic, C&amp;K Mining, ROCAGLIA, CAPAM, Cimencam, Razel, CAM IRON ***"/>
    <n v="22"/>
    <s v="December 2014"/>
    <m/>
    <s v="Moore Stephens"/>
    <s v="https://eiti.org/files/Rapport%20-%20Conciliation%20ITIE%20Cameroon%202012%20Final_0.pdf"/>
    <m/>
    <m/>
    <m/>
    <m/>
    <m/>
    <m/>
    <m/>
    <m/>
    <m/>
    <m/>
    <m/>
    <m/>
    <m/>
    <m/>
    <m/>
    <m/>
    <m/>
    <m/>
    <m/>
    <m/>
    <m/>
    <m/>
  </r>
  <r>
    <x v="35"/>
    <n v="2012"/>
    <x v="5"/>
    <s v="Africa"/>
    <m/>
    <s v="Oil"/>
    <m/>
    <m/>
    <m/>
    <s v="Oil"/>
    <m/>
    <m/>
    <m/>
    <m/>
    <m/>
    <m/>
    <n v="21877929"/>
    <s v="bbl"/>
    <m/>
    <m/>
    <m/>
    <m/>
    <m/>
    <m/>
    <m/>
    <m/>
    <m/>
    <m/>
    <m/>
    <m/>
    <m/>
    <m/>
    <m/>
    <m/>
    <m/>
    <m/>
    <m/>
    <m/>
    <m/>
    <m/>
    <m/>
    <m/>
    <m/>
    <m/>
    <m/>
    <m/>
    <m/>
    <m/>
    <m/>
    <m/>
    <m/>
    <m/>
    <m/>
    <m/>
    <m/>
    <m/>
    <m/>
    <m/>
    <m/>
    <m/>
    <m/>
    <m/>
    <m/>
    <m/>
    <m/>
    <m/>
    <m/>
  </r>
  <r>
    <x v="35"/>
    <n v="2012"/>
    <x v="5"/>
    <s v="Africa"/>
    <m/>
    <s v="Gas"/>
    <m/>
    <m/>
    <m/>
    <s v="Gas"/>
    <m/>
    <m/>
    <m/>
    <m/>
    <m/>
    <m/>
    <n v="89450000"/>
    <s v="ft³"/>
    <m/>
    <m/>
    <m/>
    <m/>
    <m/>
    <m/>
    <m/>
    <m/>
    <m/>
    <m/>
    <m/>
    <m/>
    <m/>
    <m/>
    <m/>
    <m/>
    <m/>
    <m/>
    <m/>
    <m/>
    <m/>
    <m/>
    <m/>
    <m/>
    <m/>
    <m/>
    <m/>
    <m/>
    <m/>
    <m/>
    <m/>
    <m/>
    <m/>
    <m/>
    <m/>
    <m/>
    <m/>
    <m/>
    <m/>
    <m/>
    <m/>
    <m/>
    <m/>
    <m/>
    <m/>
    <m/>
    <m/>
    <m/>
    <m/>
  </r>
  <r>
    <x v="35"/>
    <n v="2012"/>
    <x v="5"/>
    <s v="Africa"/>
    <m/>
    <s v="Mining"/>
    <m/>
    <m/>
    <m/>
    <s v="Total Mining"/>
    <m/>
    <m/>
    <m/>
    <m/>
    <m/>
    <m/>
    <m/>
    <m/>
    <m/>
    <m/>
    <m/>
    <m/>
    <m/>
    <m/>
    <m/>
    <m/>
    <m/>
    <m/>
    <m/>
    <m/>
    <m/>
    <m/>
    <m/>
    <m/>
    <m/>
    <m/>
    <m/>
    <m/>
    <m/>
    <m/>
    <m/>
    <m/>
    <m/>
    <m/>
    <m/>
    <m/>
    <m/>
    <m/>
    <m/>
    <m/>
    <m/>
    <m/>
    <m/>
    <m/>
    <m/>
    <m/>
    <m/>
    <m/>
    <m/>
    <m/>
    <m/>
    <m/>
    <m/>
    <m/>
    <m/>
    <m/>
    <m/>
  </r>
  <r>
    <x v="35"/>
    <n v="2012"/>
    <x v="5"/>
    <s v="Africa"/>
    <m/>
    <s v="Mining"/>
    <m/>
    <m/>
    <m/>
    <s v="Gold"/>
    <m/>
    <m/>
    <m/>
    <m/>
    <m/>
    <m/>
    <n v="151.6"/>
    <s v="kg"/>
    <m/>
    <m/>
    <m/>
    <m/>
    <m/>
    <m/>
    <m/>
    <m/>
    <m/>
    <m/>
    <m/>
    <m/>
    <m/>
    <m/>
    <m/>
    <m/>
    <m/>
    <m/>
    <m/>
    <m/>
    <m/>
    <m/>
    <m/>
    <m/>
    <m/>
    <m/>
    <m/>
    <m/>
    <m/>
    <m/>
    <m/>
    <m/>
    <m/>
    <m/>
    <m/>
    <m/>
    <m/>
    <m/>
    <m/>
    <m/>
    <m/>
    <m/>
    <m/>
    <m/>
    <m/>
    <m/>
    <m/>
    <m/>
    <m/>
  </r>
  <r>
    <x v="35"/>
    <n v="2012"/>
    <x v="5"/>
    <s v="Africa"/>
    <m/>
    <s v="Mining"/>
    <m/>
    <m/>
    <m/>
    <s v="Marble"/>
    <m/>
    <m/>
    <m/>
    <m/>
    <m/>
    <m/>
    <n v="2198"/>
    <s v="m³"/>
    <m/>
    <m/>
    <m/>
    <m/>
    <m/>
    <m/>
    <m/>
    <m/>
    <m/>
    <m/>
    <m/>
    <m/>
    <m/>
    <m/>
    <m/>
    <m/>
    <m/>
    <m/>
    <m/>
    <m/>
    <m/>
    <m/>
    <m/>
    <m/>
    <m/>
    <m/>
    <m/>
    <m/>
    <m/>
    <m/>
    <m/>
    <m/>
    <m/>
    <m/>
    <m/>
    <m/>
    <m/>
    <m/>
    <m/>
    <m/>
    <m/>
    <m/>
    <m/>
    <m/>
    <m/>
    <m/>
    <m/>
    <m/>
    <m/>
  </r>
  <r>
    <x v="35"/>
    <n v="2012"/>
    <x v="5"/>
    <s v="Africa"/>
    <m/>
    <s v="Mining"/>
    <m/>
    <m/>
    <m/>
    <s v="Granite"/>
    <m/>
    <m/>
    <m/>
    <m/>
    <m/>
    <m/>
    <n v="2615"/>
    <s v="m³"/>
    <m/>
    <m/>
    <m/>
    <m/>
    <m/>
    <m/>
    <m/>
    <m/>
    <m/>
    <m/>
    <m/>
    <m/>
    <m/>
    <m/>
    <m/>
    <m/>
    <m/>
    <m/>
    <m/>
    <m/>
    <m/>
    <m/>
    <m/>
    <m/>
    <m/>
    <m/>
    <m/>
    <m/>
    <m/>
    <m/>
    <m/>
    <m/>
    <m/>
    <m/>
    <m/>
    <m/>
    <m/>
    <m/>
    <m/>
    <m/>
    <m/>
    <m/>
    <m/>
    <m/>
    <m/>
    <m/>
    <m/>
    <m/>
    <m/>
  </r>
  <r>
    <x v="35"/>
    <n v="2012"/>
    <x v="5"/>
    <s v="Africa"/>
    <m/>
    <s v="Mining"/>
    <m/>
    <m/>
    <m/>
    <s v="Sapphire"/>
    <m/>
    <m/>
    <m/>
    <m/>
    <m/>
    <m/>
    <n v="1.3"/>
    <s v="kg"/>
    <m/>
    <m/>
    <m/>
    <m/>
    <m/>
    <m/>
    <m/>
    <m/>
    <m/>
    <m/>
    <m/>
    <m/>
    <m/>
    <m/>
    <m/>
    <m/>
    <m/>
    <m/>
    <m/>
    <m/>
    <m/>
    <m/>
    <m/>
    <m/>
    <m/>
    <m/>
    <m/>
    <m/>
    <m/>
    <m/>
    <m/>
    <m/>
    <m/>
    <m/>
    <m/>
    <m/>
    <m/>
    <m/>
    <m/>
    <m/>
    <m/>
    <m/>
    <m/>
    <m/>
    <m/>
    <m/>
    <m/>
    <m/>
    <m/>
  </r>
  <r>
    <x v="35"/>
    <n v="2012"/>
    <x v="5"/>
    <s v="Africa"/>
    <m/>
    <s v="Mining"/>
    <m/>
    <m/>
    <m/>
    <s v="Quartz"/>
    <m/>
    <m/>
    <m/>
    <m/>
    <m/>
    <m/>
    <n v="148.5"/>
    <s v="m³"/>
    <m/>
    <m/>
    <m/>
    <m/>
    <m/>
    <m/>
    <m/>
    <m/>
    <m/>
    <m/>
    <m/>
    <m/>
    <m/>
    <m/>
    <m/>
    <m/>
    <m/>
    <m/>
    <m/>
    <m/>
    <m/>
    <m/>
    <m/>
    <m/>
    <m/>
    <m/>
    <m/>
    <m/>
    <m/>
    <m/>
    <m/>
    <m/>
    <m/>
    <m/>
    <m/>
    <m/>
    <m/>
    <m/>
    <m/>
    <m/>
    <m/>
    <m/>
    <m/>
    <m/>
    <m/>
    <m/>
    <m/>
    <m/>
    <m/>
  </r>
  <r>
    <x v="35"/>
    <n v="2012"/>
    <x v="5"/>
    <s v="Africa"/>
    <m/>
    <s v="Mining"/>
    <m/>
    <m/>
    <m/>
    <s v="Sand"/>
    <m/>
    <m/>
    <m/>
    <m/>
    <m/>
    <m/>
    <n v="89211.8"/>
    <s v="m³"/>
    <m/>
    <m/>
    <m/>
    <m/>
    <m/>
    <m/>
    <m/>
    <m/>
    <m/>
    <m/>
    <m/>
    <m/>
    <m/>
    <m/>
    <m/>
    <m/>
    <m/>
    <m/>
    <m/>
    <m/>
    <m/>
    <m/>
    <m/>
    <m/>
    <m/>
    <m/>
    <m/>
    <m/>
    <m/>
    <m/>
    <m/>
    <m/>
    <m/>
    <m/>
    <m/>
    <m/>
    <m/>
    <m/>
    <m/>
    <m/>
    <m/>
    <m/>
    <m/>
    <m/>
    <m/>
    <m/>
    <m/>
    <m/>
    <m/>
  </r>
  <r>
    <x v="35"/>
    <n v="2012"/>
    <x v="5"/>
    <s v="Africa"/>
    <m/>
    <s v="Mining"/>
    <m/>
    <m/>
    <m/>
    <s v="Disthene"/>
    <m/>
    <m/>
    <m/>
    <m/>
    <m/>
    <m/>
    <n v="314900"/>
    <s v="kg"/>
    <m/>
    <m/>
    <m/>
    <m/>
    <m/>
    <m/>
    <m/>
    <m/>
    <m/>
    <m/>
    <m/>
    <m/>
    <m/>
    <m/>
    <m/>
    <m/>
    <m/>
    <m/>
    <m/>
    <m/>
    <m/>
    <m/>
    <m/>
    <m/>
    <m/>
    <m/>
    <m/>
    <m/>
    <m/>
    <m/>
    <m/>
    <m/>
    <m/>
    <m/>
    <m/>
    <m/>
    <m/>
    <m/>
    <m/>
    <m/>
    <m/>
    <m/>
    <m/>
    <m/>
    <m/>
    <m/>
    <m/>
    <m/>
    <m/>
  </r>
  <r>
    <x v="35"/>
    <n v="2012"/>
    <x v="5"/>
    <s v="Africa"/>
    <m/>
    <s v="Mining"/>
    <m/>
    <m/>
    <m/>
    <s v="Pozzolan"/>
    <m/>
    <m/>
    <m/>
    <m/>
    <m/>
    <m/>
    <n v="400205"/>
    <s v="t"/>
    <m/>
    <m/>
    <m/>
    <m/>
    <m/>
    <m/>
    <m/>
    <m/>
    <m/>
    <m/>
    <m/>
    <m/>
    <m/>
    <m/>
    <m/>
    <m/>
    <m/>
    <m/>
    <m/>
    <m/>
    <m/>
    <m/>
    <m/>
    <m/>
    <m/>
    <m/>
    <m/>
    <m/>
    <m/>
    <m/>
    <m/>
    <m/>
    <m/>
    <m/>
    <m/>
    <m/>
    <m/>
    <m/>
    <m/>
    <m/>
    <m/>
    <m/>
    <m/>
    <m/>
    <m/>
    <m/>
    <m/>
    <m/>
    <m/>
  </r>
  <r>
    <x v="35"/>
    <n v="2012"/>
    <x v="5"/>
    <s v="Africa"/>
    <m/>
    <s v="Mining"/>
    <m/>
    <m/>
    <m/>
    <s v="Limestone"/>
    <m/>
    <m/>
    <m/>
    <m/>
    <m/>
    <m/>
    <n v="164936"/>
    <s v="t"/>
    <m/>
    <m/>
    <m/>
    <m/>
    <m/>
    <m/>
    <m/>
    <m/>
    <m/>
    <m/>
    <m/>
    <m/>
    <m/>
    <m/>
    <m/>
    <m/>
    <m/>
    <m/>
    <m/>
    <m/>
    <m/>
    <m/>
    <m/>
    <m/>
    <m/>
    <m/>
    <m/>
    <m/>
    <m/>
    <m/>
    <m/>
    <m/>
    <m/>
    <m/>
    <m/>
    <m/>
    <m/>
    <m/>
    <m/>
    <m/>
    <m/>
    <m/>
    <m/>
    <m/>
    <m/>
    <m/>
    <m/>
    <m/>
    <m/>
  </r>
  <r>
    <x v="35"/>
    <n v="2012"/>
    <x v="5"/>
    <s v="Africa"/>
    <m/>
    <s v="Mining"/>
    <m/>
    <m/>
    <m/>
    <s v="Sand"/>
    <m/>
    <m/>
    <m/>
    <m/>
    <m/>
    <m/>
    <n v="12472"/>
    <s v="t"/>
    <m/>
    <m/>
    <m/>
    <m/>
    <m/>
    <m/>
    <m/>
    <m/>
    <m/>
    <m/>
    <m/>
    <m/>
    <m/>
    <m/>
    <m/>
    <m/>
    <m/>
    <m/>
    <m/>
    <m/>
    <m/>
    <m/>
    <m/>
    <m/>
    <m/>
    <m/>
    <m/>
    <m/>
    <m/>
    <m/>
    <m/>
    <m/>
    <m/>
    <m/>
    <m/>
    <m/>
    <m/>
    <m/>
    <m/>
    <m/>
    <m/>
    <m/>
    <m/>
    <m/>
    <m/>
    <m/>
    <m/>
    <m/>
    <m/>
  </r>
  <r>
    <x v="35"/>
    <n v="2012"/>
    <x v="5"/>
    <s v="Africa"/>
    <m/>
    <s v="Mining"/>
    <m/>
    <m/>
    <m/>
    <s v="Argile"/>
    <m/>
    <m/>
    <m/>
    <m/>
    <m/>
    <m/>
    <n v="8922"/>
    <s v="t"/>
    <m/>
    <m/>
    <m/>
    <m/>
    <m/>
    <m/>
    <m/>
    <m/>
    <m/>
    <m/>
    <m/>
    <m/>
    <m/>
    <m/>
    <m/>
    <m/>
    <m/>
    <m/>
    <m/>
    <m/>
    <m/>
    <m/>
    <m/>
    <m/>
    <m/>
    <m/>
    <m/>
    <m/>
    <m/>
    <m/>
    <m/>
    <m/>
    <m/>
    <m/>
    <m/>
    <m/>
    <m/>
    <m/>
    <m/>
    <m/>
    <m/>
    <m/>
    <m/>
    <m/>
    <m/>
    <m/>
    <m/>
    <m/>
    <m/>
  </r>
  <r>
    <x v="35"/>
    <n v="2012"/>
    <x v="5"/>
    <s v="Africa"/>
    <m/>
    <s v="Mining"/>
    <m/>
    <m/>
    <m/>
    <s v="Aggregates"/>
    <m/>
    <m/>
    <m/>
    <m/>
    <m/>
    <m/>
    <n v="250456"/>
    <s v="m³"/>
    <m/>
    <m/>
    <m/>
    <m/>
    <m/>
    <m/>
    <m/>
    <m/>
    <m/>
    <m/>
    <m/>
    <m/>
    <m/>
    <m/>
    <m/>
    <m/>
    <m/>
    <m/>
    <m/>
    <m/>
    <m/>
    <m/>
    <m/>
    <m/>
    <m/>
    <m/>
    <m/>
    <m/>
    <m/>
    <m/>
    <m/>
    <m/>
    <m/>
    <m/>
    <m/>
    <m/>
    <m/>
    <m/>
    <m/>
    <m/>
    <m/>
    <m/>
    <m/>
    <m/>
    <m/>
    <m/>
    <m/>
    <m/>
    <m/>
  </r>
  <r>
    <x v="36"/>
    <n v="2006"/>
    <x v="6"/>
    <s v="Africa"/>
    <s v="http://www.itierca.org/"/>
    <s v="Mining"/>
    <s v="yes"/>
    <s v="no"/>
    <s v="no"/>
    <s v="Total"/>
    <s v="Total"/>
    <s v="Total Mining"/>
    <m/>
    <m/>
    <m/>
    <m/>
    <m/>
    <m/>
    <m/>
    <m/>
    <m/>
    <n v="59259645.581396423"/>
    <s v="Bonuses, Licenses and concessions, Other significant benefits to government"/>
    <s v="Does not include payments made in-kind"/>
    <m/>
    <n v="10973706.76241657"/>
    <n v="10087128.761307349"/>
    <m/>
    <m/>
    <m/>
    <n v="0.1851800943922888"/>
    <m/>
    <n v="522.89"/>
    <s v="Disaggregated by revenue stream, Disaggregated by company"/>
    <m/>
    <m/>
    <m/>
    <m/>
    <m/>
    <m/>
    <n v="17"/>
    <s v="February 2009"/>
    <d v="2014-10-10T00:00:00"/>
    <s v="Valentin NZAPAOKO"/>
    <s v="http://eiti.org/files/Central%20African%20Republic%202006%20EITI%20Report.pdf"/>
    <m/>
    <m/>
    <m/>
    <m/>
    <m/>
    <m/>
    <m/>
    <m/>
    <m/>
    <m/>
    <m/>
    <m/>
    <m/>
    <m/>
    <m/>
    <m/>
    <m/>
    <m/>
    <m/>
    <m/>
    <m/>
    <m/>
  </r>
  <r>
    <x v="36"/>
    <n v="2006"/>
    <x v="6"/>
    <s v="Africa"/>
    <m/>
    <s v="Mining"/>
    <s v="yes"/>
    <s v="no"/>
    <s v="no"/>
    <s v="Diamond"/>
    <s v="detailed"/>
    <s v="detailed Mining"/>
    <n v="419528"/>
    <m/>
    <m/>
    <m/>
    <m/>
    <s v="carats"/>
    <n v="140.79"/>
    <s v="US$/carat"/>
    <s v="Volume from USGS Mineral Yearbook 2010. Price from kimberley Process Annual Summary 2006."/>
    <n v="59065347.119999997"/>
    <m/>
    <m/>
    <m/>
    <m/>
    <m/>
    <m/>
    <m/>
    <m/>
    <m/>
    <m/>
    <m/>
    <m/>
    <m/>
    <m/>
    <m/>
    <m/>
    <m/>
    <m/>
    <m/>
    <m/>
    <m/>
    <m/>
    <m/>
    <m/>
    <m/>
    <m/>
    <m/>
    <m/>
    <m/>
    <m/>
    <m/>
    <m/>
    <m/>
    <m/>
    <m/>
    <m/>
    <m/>
    <m/>
    <m/>
    <m/>
    <m/>
    <m/>
    <m/>
    <m/>
    <m/>
  </r>
  <r>
    <x v="36"/>
    <n v="2006"/>
    <x v="6"/>
    <s v="Africa"/>
    <m/>
    <s v="Mining"/>
    <s v="yes"/>
    <s v="no"/>
    <s v="no"/>
    <s v="Gold"/>
    <s v="detailed"/>
    <s v="detailed Mining"/>
    <n v="321.50743126506001"/>
    <m/>
    <m/>
    <m/>
    <m/>
    <s v="toz"/>
    <n v="604.33583333333002"/>
    <s v="US$/toz"/>
    <s v="Volume from USGS Mineral Yearbook 2010. Price from World Bank (Global Economic Monitor (GEM) Commodities database), and is defined as: Gold (UK), 99.5% fine, London afternoon fixing, average of daily rates."/>
    <n v="194298.46139642835"/>
    <m/>
    <m/>
    <m/>
    <m/>
    <m/>
    <m/>
    <m/>
    <m/>
    <m/>
    <m/>
    <m/>
    <m/>
    <m/>
    <m/>
    <m/>
    <m/>
    <m/>
    <m/>
    <m/>
    <m/>
    <m/>
    <m/>
    <m/>
    <m/>
    <m/>
    <m/>
    <m/>
    <m/>
    <m/>
    <m/>
    <m/>
    <m/>
    <m/>
    <m/>
    <m/>
    <m/>
    <m/>
    <m/>
    <m/>
    <m/>
    <m/>
    <m/>
    <m/>
    <m/>
    <m/>
  </r>
  <r>
    <x v="37"/>
    <n v="2007"/>
    <x v="6"/>
    <s v="Africa"/>
    <s v="http://www.itierca.org/"/>
    <s v="Mining"/>
    <s v="yes"/>
    <s v="no"/>
    <s v="no"/>
    <s v="Total"/>
    <s v="Total"/>
    <s v="Total Mining"/>
    <m/>
    <m/>
    <m/>
    <m/>
    <m/>
    <m/>
    <m/>
    <m/>
    <m/>
    <n v="60081654.517887853"/>
    <s v="Bonuses, Licenses and concessions"/>
    <s v="Does not include payments made in-kind"/>
    <m/>
    <n v="3520131.5240083509"/>
    <n v="3732496.8684759918"/>
    <m/>
    <m/>
    <m/>
    <n v="5.8589124288518341E-2"/>
    <m/>
    <n v="479"/>
    <s v="Disaggregated by revenue stream, Disaggregated by company"/>
    <m/>
    <m/>
    <m/>
    <m/>
    <m/>
    <m/>
    <n v="9"/>
    <s v="July 2010"/>
    <d v="2014-10-10T00:00:00"/>
    <s v="Fair Links"/>
    <s v="http://eiti.org/files/Central%20African%20Republic%202007-2009%20EITI%20Report_1.pdf"/>
    <m/>
    <m/>
    <m/>
    <m/>
    <m/>
    <m/>
    <m/>
    <m/>
    <m/>
    <m/>
    <m/>
    <m/>
    <m/>
    <m/>
    <m/>
    <m/>
    <m/>
    <m/>
    <m/>
    <m/>
    <m/>
    <m/>
  </r>
  <r>
    <x v="37"/>
    <n v="2007"/>
    <x v="6"/>
    <s v="Africa"/>
    <m/>
    <s v="Mining"/>
    <s v="yes"/>
    <s v="no"/>
    <s v="no"/>
    <s v="Diamond"/>
    <s v="detailed"/>
    <s v="detailed Mining"/>
    <n v="467711"/>
    <m/>
    <m/>
    <m/>
    <m/>
    <s v="carats"/>
    <n v="127.98"/>
    <s v="US$/carat"/>
    <s v="Volume from USGS Mineral Yearbook 2010. Price from kimberley Process Annual Summary 2007."/>
    <n v="59857653.780000001"/>
    <m/>
    <m/>
    <m/>
    <m/>
    <m/>
    <m/>
    <m/>
    <m/>
    <m/>
    <m/>
    <m/>
    <m/>
    <m/>
    <m/>
    <m/>
    <m/>
    <m/>
    <m/>
    <m/>
    <m/>
    <m/>
    <m/>
    <m/>
    <m/>
    <m/>
    <m/>
    <m/>
    <m/>
    <m/>
    <m/>
    <m/>
    <m/>
    <m/>
    <m/>
    <m/>
    <m/>
    <m/>
    <m/>
    <m/>
    <m/>
    <m/>
    <m/>
    <m/>
    <m/>
    <m/>
  </r>
  <r>
    <x v="37"/>
    <n v="2007"/>
    <x v="6"/>
    <s v="Africa"/>
    <m/>
    <s v="Mining"/>
    <s v="yes"/>
    <s v="no"/>
    <s v="no"/>
    <s v="Gold"/>
    <s v="detailed"/>
    <s v="detailed Mining"/>
    <n v="321.50743126506001"/>
    <m/>
    <m/>
    <m/>
    <m/>
    <s v="toz"/>
    <n v="696.72024999999996"/>
    <s v="US$/toz"/>
    <s v="Volume from USGS Mineral Yearbook 2010. Price from World Bank (Global Economic Monitor (GEM) Commodities database), and is defined as: Gold (UK), 99.5% fine, London afternoon fixing, average of daily rates."/>
    <n v="224000.73788785041"/>
    <m/>
    <m/>
    <m/>
    <m/>
    <m/>
    <m/>
    <m/>
    <m/>
    <m/>
    <m/>
    <m/>
    <m/>
    <m/>
    <m/>
    <m/>
    <m/>
    <m/>
    <m/>
    <m/>
    <m/>
    <m/>
    <m/>
    <m/>
    <m/>
    <m/>
    <m/>
    <m/>
    <m/>
    <m/>
    <m/>
    <m/>
    <m/>
    <m/>
    <m/>
    <m/>
    <m/>
    <m/>
    <m/>
    <m/>
    <m/>
    <m/>
    <m/>
    <m/>
    <m/>
    <m/>
  </r>
  <r>
    <x v="38"/>
    <n v="2008"/>
    <x v="6"/>
    <s v="Africa"/>
    <s v="http://www.itierca.org/"/>
    <s v="Mining"/>
    <s v="yes"/>
    <s v="no"/>
    <s v="no"/>
    <s v="Total"/>
    <s v="Total"/>
    <s v="Total Mining"/>
    <m/>
    <m/>
    <m/>
    <m/>
    <m/>
    <m/>
    <m/>
    <m/>
    <m/>
    <n v="48956006.852679312"/>
    <s v="Bonuses, Licenses and concessions"/>
    <s v="Does not include payments made in-kind"/>
    <m/>
    <n v="4042178.5714285714"/>
    <n v="4091267.8571428573"/>
    <m/>
    <m/>
    <m/>
    <n v="8.2567570994760309E-2"/>
    <m/>
    <n v="448"/>
    <s v="Disaggregated by revenue stream, Disaggregated by company"/>
    <m/>
    <m/>
    <m/>
    <m/>
    <m/>
    <m/>
    <n v="9"/>
    <s v="July 2010"/>
    <d v="2014-10-10T00:00:00"/>
    <s v="Fair Links"/>
    <s v="http://eiti.org/files/Central%20African%20Republic%202007-2009%20EITI%20Report_0.pdf"/>
    <m/>
    <m/>
    <m/>
    <m/>
    <m/>
    <m/>
    <m/>
    <m/>
    <m/>
    <m/>
    <m/>
    <m/>
    <m/>
    <m/>
    <m/>
    <m/>
    <m/>
    <m/>
    <m/>
    <m/>
    <m/>
    <m/>
  </r>
  <r>
    <x v="38"/>
    <n v="2008"/>
    <x v="6"/>
    <s v="Africa"/>
    <m/>
    <s v="Mining"/>
    <s v="yes"/>
    <s v="no"/>
    <s v="no"/>
    <s v="Diamond"/>
    <s v="detailed"/>
    <s v="detailed Mining"/>
    <n v="377209"/>
    <m/>
    <m/>
    <m/>
    <m/>
    <s v="carats"/>
    <n v="126.59"/>
    <s v="US$/carat"/>
    <s v="Volume from USGS Mineral Yearbook 2010. Price from kimberley Process Annual Summary 2008."/>
    <n v="47750887.310000002"/>
    <m/>
    <m/>
    <m/>
    <m/>
    <m/>
    <m/>
    <m/>
    <m/>
    <m/>
    <m/>
    <m/>
    <m/>
    <m/>
    <m/>
    <m/>
    <m/>
    <m/>
    <m/>
    <m/>
    <m/>
    <m/>
    <m/>
    <m/>
    <m/>
    <m/>
    <m/>
    <m/>
    <m/>
    <m/>
    <m/>
    <m/>
    <m/>
    <m/>
    <m/>
    <m/>
    <m/>
    <m/>
    <m/>
    <m/>
    <m/>
    <m/>
    <m/>
    <m/>
    <m/>
    <m/>
  </r>
  <r>
    <x v="38"/>
    <n v="2008"/>
    <x v="6"/>
    <s v="Africa"/>
    <m/>
    <s v="Mining"/>
    <s v="yes"/>
    <s v="no"/>
    <s v="no"/>
    <s v="Gold"/>
    <s v="detailed"/>
    <s v="detailed Mining"/>
    <n v="1382.4819544397581"/>
    <m/>
    <m/>
    <m/>
    <m/>
    <s v="toz"/>
    <n v="871.70725000000004"/>
    <s v="US$/toz"/>
    <s v="Volume from USGS Mineral Yearbook 2010. Price from World Bank (Global Economic Monitor (GEM) Commodities database), and is defined as: Gold (UK), 99.5% fine, London afternoon fixing, average of daily rates."/>
    <n v="1205119.5426793068"/>
    <m/>
    <m/>
    <m/>
    <m/>
    <m/>
    <m/>
    <m/>
    <m/>
    <m/>
    <m/>
    <m/>
    <m/>
    <m/>
    <m/>
    <m/>
    <m/>
    <m/>
    <m/>
    <m/>
    <m/>
    <m/>
    <m/>
    <m/>
    <m/>
    <m/>
    <m/>
    <m/>
    <m/>
    <m/>
    <m/>
    <m/>
    <m/>
    <m/>
    <m/>
    <m/>
    <m/>
    <m/>
    <m/>
    <m/>
    <m/>
    <m/>
    <m/>
    <m/>
    <m/>
    <m/>
  </r>
  <r>
    <x v="39"/>
    <n v="2009"/>
    <x v="6"/>
    <s v="Africa"/>
    <s v="http://www.itierca.org/"/>
    <s v="Mining"/>
    <s v="yes"/>
    <s v="no"/>
    <s v="no"/>
    <s v="Total"/>
    <s v="Total"/>
    <s v="Total Mining"/>
    <m/>
    <m/>
    <m/>
    <m/>
    <m/>
    <m/>
    <m/>
    <m/>
    <m/>
    <n v="48996158.582713328"/>
    <s v="Bonuses, Licenses and concessions"/>
    <s v="Does not include payments made in-kind"/>
    <m/>
    <n v="6056423.7288135597"/>
    <n v="6254457.6271186443"/>
    <m/>
    <m/>
    <m/>
    <n v="0.12361017483828556"/>
    <m/>
    <n v="472"/>
    <s v="Disaggregated by revenue stream, Disaggregated by company"/>
    <m/>
    <m/>
    <m/>
    <m/>
    <m/>
    <m/>
    <n v="9"/>
    <s v="July 2010"/>
    <d v="2014-10-10T00:00:00"/>
    <s v="Fair Links"/>
    <s v="http://eiti.org/files/Central%20African%20Republic%202007-2009%20EITI%20Report.pdf"/>
    <m/>
    <m/>
    <m/>
    <m/>
    <m/>
    <m/>
    <m/>
    <m/>
    <m/>
    <m/>
    <m/>
    <m/>
    <m/>
    <m/>
    <m/>
    <m/>
    <m/>
    <m/>
    <m/>
    <m/>
    <m/>
    <m/>
  </r>
  <r>
    <x v="39"/>
    <n v="2009"/>
    <x v="6"/>
    <s v="Africa"/>
    <m/>
    <s v="Mining"/>
    <s v="yes"/>
    <s v="no"/>
    <s v="no"/>
    <s v="Diamond"/>
    <s v="detailed"/>
    <s v="detailed Mining"/>
    <n v="311779"/>
    <m/>
    <m/>
    <m/>
    <m/>
    <s v="carats"/>
    <n v="151.03"/>
    <s v="US$/carat"/>
    <s v="Volume from USGS Mineral Yearbook 2012. Price from kimberley Process Annual Summary 2009."/>
    <n v="47087982.369999997"/>
    <m/>
    <m/>
    <m/>
    <m/>
    <m/>
    <m/>
    <m/>
    <m/>
    <m/>
    <m/>
    <m/>
    <m/>
    <m/>
    <m/>
    <m/>
    <m/>
    <m/>
    <m/>
    <m/>
    <m/>
    <m/>
    <m/>
    <m/>
    <m/>
    <m/>
    <m/>
    <m/>
    <m/>
    <m/>
    <m/>
    <m/>
    <m/>
    <m/>
    <m/>
    <m/>
    <m/>
    <m/>
    <m/>
    <m/>
    <m/>
    <m/>
    <m/>
    <m/>
    <m/>
    <m/>
  </r>
  <r>
    <x v="39"/>
    <n v="2009"/>
    <x v="6"/>
    <s v="Africa"/>
    <m/>
    <s v="Mining"/>
    <s v="yes"/>
    <s v="no"/>
    <s v="no"/>
    <s v="Gold"/>
    <s v="detailed"/>
    <s v="detailed Mining"/>
    <n v="1961.195330716866"/>
    <m/>
    <m/>
    <m/>
    <m/>
    <s v="toz"/>
    <n v="972.96591666666995"/>
    <s v="US$/toz"/>
    <s v="Volume from USGS Mineral Yearbook 2012. Price from World Bank (Global Economic Monitor (GEM) Commodities database), and is defined as: Gold (UK), 99.5% fine, London afternoon fixing, average of daily rates."/>
    <n v="1908176.2127133284"/>
    <m/>
    <m/>
    <m/>
    <m/>
    <m/>
    <m/>
    <m/>
    <m/>
    <m/>
    <m/>
    <m/>
    <m/>
    <m/>
    <m/>
    <m/>
    <m/>
    <m/>
    <m/>
    <m/>
    <m/>
    <m/>
    <m/>
    <m/>
    <m/>
    <m/>
    <m/>
    <m/>
    <m/>
    <m/>
    <m/>
    <m/>
    <m/>
    <m/>
    <m/>
    <m/>
    <m/>
    <m/>
    <m/>
    <m/>
    <m/>
    <m/>
    <m/>
    <m/>
    <m/>
    <m/>
  </r>
  <r>
    <x v="40"/>
    <n v="2010"/>
    <x v="6"/>
    <s v="Africa"/>
    <s v="http://www.itierca.org/"/>
    <s v="Mining"/>
    <s v="yes"/>
    <s v="no"/>
    <s v="no"/>
    <s v="Total"/>
    <s v="Total"/>
    <s v="Total Mining"/>
    <m/>
    <m/>
    <m/>
    <m/>
    <m/>
    <m/>
    <m/>
    <m/>
    <m/>
    <n v="51253868.353077903"/>
    <s v="Profits/Taxes, Royalties, Bonuses, Licenses and concessions, Other significant benefits to government"/>
    <s v="Does not include payments made in-kind"/>
    <m/>
    <n v="20633575"/>
    <n v="20380882"/>
    <m/>
    <m/>
    <m/>
    <n v="0.4025759550061534"/>
    <s v="United States Dollar"/>
    <s v=""/>
    <s v="Disaggregated by revenue stream, Disaggregated by company"/>
    <m/>
    <m/>
    <m/>
    <m/>
    <n v="11"/>
    <s v="Industrial mining companies: Areva, Aurafrique (Axmin), Gem Diamond, Minesca, Tala Mining. Import/Export offices: Adamas-Swiss, ADR, Badica, Comigem, Inala, Sodiam."/>
    <n v="8"/>
    <s v="December 2012"/>
    <d v="2014-10-31T00:00:00"/>
    <s v="Fair Links"/>
    <s v="http://eiti.org/files/Central-African-Republic-2010-EITI-Report.pdf"/>
    <s v="14-15"/>
    <s v=" In addition to the reconciled figures, the government reported to have received US$34,304 from the mining cooperatives and US$701,248 from small-scale miners."/>
    <m/>
    <m/>
    <m/>
    <m/>
    <m/>
    <m/>
    <m/>
    <m/>
    <m/>
    <m/>
    <m/>
    <m/>
    <m/>
    <m/>
    <m/>
    <m/>
    <m/>
    <m/>
    <m/>
    <m/>
  </r>
  <r>
    <x v="40"/>
    <n v="2010"/>
    <x v="6"/>
    <s v="Africa"/>
    <m/>
    <s v="Mining"/>
    <s v="yes"/>
    <s v="no"/>
    <s v="no"/>
    <s v="Diamond"/>
    <s v="detailed"/>
    <s v="detailed Mining"/>
    <n v="301557"/>
    <m/>
    <m/>
    <m/>
    <m/>
    <s v="carats"/>
    <n v="162.13"/>
    <s v="US$/carat"/>
    <s v="Volume from USGS Mineral Yearbook 2012. Price from kimberley Process Annual Summary 2010."/>
    <n v="48891436.409999996"/>
    <m/>
    <m/>
    <m/>
    <m/>
    <m/>
    <m/>
    <m/>
    <m/>
    <m/>
    <m/>
    <m/>
    <m/>
    <m/>
    <m/>
    <m/>
    <m/>
    <m/>
    <m/>
    <m/>
    <m/>
    <m/>
    <m/>
    <m/>
    <m/>
    <m/>
    <m/>
    <m/>
    <m/>
    <m/>
    <m/>
    <m/>
    <m/>
    <m/>
    <m/>
    <m/>
    <m/>
    <m/>
    <m/>
    <m/>
    <m/>
    <m/>
    <m/>
    <m/>
    <m/>
    <m/>
  </r>
  <r>
    <x v="40"/>
    <n v="2010"/>
    <x v="6"/>
    <s v="Africa"/>
    <m/>
    <s v="Mining"/>
    <s v="yes"/>
    <s v="no"/>
    <s v="no"/>
    <s v="Gold"/>
    <s v="detailed"/>
    <s v="detailed Mining"/>
    <n v="1929.0445875903602"/>
    <m/>
    <m/>
    <m/>
    <m/>
    <s v="toz"/>
    <n v="1224.66425"/>
    <s v="US$/toz"/>
    <s v="Volume from USGS Mineral Yearbook 2012. Price from World Bank (Global Economic Monitor (GEM) Commodities database), and is defined as: Gold (UK), 99.5% fine, London afternoon fixing, average of daily rates."/>
    <n v="2362431.9430779079"/>
    <m/>
    <m/>
    <m/>
    <m/>
    <m/>
    <m/>
    <m/>
    <m/>
    <m/>
    <m/>
    <m/>
    <m/>
    <m/>
    <m/>
    <m/>
    <m/>
    <m/>
    <m/>
    <m/>
    <m/>
    <m/>
    <m/>
    <m/>
    <m/>
    <m/>
    <m/>
    <m/>
    <m/>
    <m/>
    <m/>
    <m/>
    <m/>
    <m/>
    <m/>
    <m/>
    <m/>
    <m/>
    <m/>
    <m/>
    <m/>
    <m/>
    <m/>
    <m/>
    <m/>
    <m/>
  </r>
  <r>
    <x v="41"/>
    <n v="2007"/>
    <x v="7"/>
    <s v="Africa"/>
    <s v="http://www.itie-tchad.org/"/>
    <s v="Oil, Mining"/>
    <s v="yes"/>
    <s v="no"/>
    <s v="yes"/>
    <s v="Total"/>
    <s v="Total"/>
    <s v="Total Oil, Mining"/>
    <m/>
    <m/>
    <m/>
    <m/>
    <m/>
    <m/>
    <m/>
    <m/>
    <m/>
    <n v="3777152243.2259998"/>
    <s v="Profits/Taxes, Royalties, Dividends, Licenses and concessions, Other significant benefits to government"/>
    <s v="Does not include payments made in-kind"/>
    <m/>
    <n v="1183293262"/>
    <n v="1213159503"/>
    <m/>
    <m/>
    <m/>
    <n v="0.31327656017099537"/>
    <s v="United States Dollar"/>
    <s v=""/>
    <s v="Disaggregated by revenue stream"/>
    <m/>
    <m/>
    <s v="Subsidy to NOC"/>
    <n v="1460000"/>
    <n v="8"/>
    <s v="Petroleum: SHT (National Oil Company), Esso, Petronas, Chevron, CNPCI, OPIC. Petroleum transport: TOTCO, COTCO. "/>
    <n v="8"/>
    <s v="October 2012"/>
    <d v="2014-10-31T00:00:00"/>
    <s v="Fair Links"/>
    <s v="http://eiti.org/files/Chad-2007-EITI-Report.pdf"/>
    <s v="4,5,14,15"/>
    <s v="Mining revenues were reported unilaterally by govt for one company (SOTEC). Total revenues/payments include petroleum transport revenues, do not include subsidies paid to the national oil company."/>
    <m/>
    <m/>
    <m/>
    <m/>
    <m/>
    <m/>
    <m/>
    <m/>
    <m/>
    <m/>
    <m/>
    <m/>
    <m/>
    <m/>
    <m/>
    <m/>
    <m/>
    <m/>
    <m/>
    <m/>
  </r>
  <r>
    <x v="41"/>
    <n v="2007"/>
    <x v="7"/>
    <s v="Africa"/>
    <m/>
    <s v="Oil"/>
    <s v="no"/>
    <s v="no"/>
    <s v="yes"/>
    <s v="Oil"/>
    <s v="detailed"/>
    <s v="detailed Oil"/>
    <n v="52560000"/>
    <m/>
    <m/>
    <m/>
    <m/>
    <s v="bbl"/>
    <n v="71.816252724999998"/>
    <s v="US$/bbl"/>
    <s v="Volume and price from BPRS 2014. Price is an average of the spot prices for Brent, Dubai, Nigerian Forcados and West Texas Intermediate crude oil."/>
    <n v="3774662243.2259998"/>
    <m/>
    <m/>
    <m/>
    <n v="1179397379"/>
    <n v="1213159503"/>
    <m/>
    <m/>
    <m/>
    <n v="0.31245110237784685"/>
    <m/>
    <m/>
    <m/>
    <m/>
    <m/>
    <s v="Subsidy to NOC"/>
    <n v="1460000"/>
    <n v="8"/>
    <s v="SHT (National Oil Company), Esso, Petronas, Chevron, CNPCI, OPIC, TOTCO, COTCO"/>
    <n v="8"/>
    <m/>
    <m/>
    <m/>
    <m/>
    <m/>
    <s v="Revenue/payment totals include transport sector."/>
    <m/>
    <m/>
    <m/>
    <m/>
    <m/>
    <m/>
    <m/>
    <m/>
    <m/>
    <m/>
    <m/>
    <m/>
    <m/>
    <m/>
    <m/>
    <m/>
    <m/>
    <m/>
    <m/>
    <m/>
  </r>
  <r>
    <x v="41"/>
    <n v="2007"/>
    <x v="7"/>
    <s v="Africa"/>
    <m/>
    <s v="Mining"/>
    <s v="yes"/>
    <s v="no"/>
    <s v="no"/>
    <s v="Aggregate, sand and stone"/>
    <s v="detailed"/>
    <s v="detailed Mining"/>
    <n v="300000"/>
    <m/>
    <m/>
    <m/>
    <m/>
    <s v="t"/>
    <n v="8.3000000000000007"/>
    <s v="US$/t"/>
    <s v="Volume from USGS Mineral Yearbook 2011. Price from USGS Mineral Yearbook 2007, and is the price in the US for crushed misecellaneous stone."/>
    <n v="2490000"/>
    <m/>
    <m/>
    <m/>
    <n v="3895883"/>
    <n v="0"/>
    <m/>
    <m/>
    <m/>
    <n v="1.5646116465863453"/>
    <m/>
    <m/>
    <m/>
    <m/>
    <m/>
    <m/>
    <m/>
    <n v="0"/>
    <m/>
    <n v="0"/>
    <m/>
    <m/>
    <m/>
    <m/>
    <m/>
    <s v="Mining payments reported unilaterally by govt."/>
    <m/>
    <m/>
    <m/>
    <m/>
    <m/>
    <m/>
    <m/>
    <m/>
    <m/>
    <m/>
    <m/>
    <m/>
    <m/>
    <m/>
    <m/>
    <m/>
    <m/>
    <m/>
    <m/>
    <m/>
  </r>
  <r>
    <x v="42"/>
    <n v="2008"/>
    <x v="7"/>
    <s v="Africa"/>
    <s v="http://www.itie-tchad.org/"/>
    <s v="Oil, Mining"/>
    <s v="yes"/>
    <s v="no"/>
    <s v="yes"/>
    <s v="Total"/>
    <s v="Total"/>
    <s v="Total Oil, Mining"/>
    <m/>
    <m/>
    <m/>
    <m/>
    <m/>
    <m/>
    <m/>
    <m/>
    <m/>
    <n v="4558118712.0570002"/>
    <s v="Profits/Taxes, Royalties, Dividends, Licenses and concessions, Other significant benefits to government"/>
    <s v="Does not include payments made in-kind"/>
    <m/>
    <n v="1908801646"/>
    <n v="1870701903"/>
    <m/>
    <m/>
    <m/>
    <n v="0.41876962110506133"/>
    <s v="United States Dollar"/>
    <s v=""/>
    <s v="Disaggregated by revenue stream"/>
    <m/>
    <m/>
    <s v="Subsidy to NOC"/>
    <n v="1600000"/>
    <n v="8"/>
    <s v="Petroleum: SHT (National Oil Company), Esso, Petronas, Chevron, CNPCI, OPIC. Petroleum transport: TOTCO, COTCO. "/>
    <n v="8"/>
    <s v="October 2012"/>
    <d v="2014-10-31T00:00:00"/>
    <s v="Fair Links"/>
    <s v="http://eiti.org/files/Chad-2008-EITI-Report.pdf"/>
    <s v="4,5, 14, 15"/>
    <s v="Mining revenues were reported unilaterally by govt for one company (SOTEC). Total revenues/payments include petroleum transport revenues, do not include subsidies paid to the national oil company."/>
    <m/>
    <m/>
    <m/>
    <m/>
    <m/>
    <m/>
    <m/>
    <m/>
    <m/>
    <m/>
    <m/>
    <m/>
    <m/>
    <m/>
    <m/>
    <m/>
    <m/>
    <m/>
    <m/>
    <m/>
  </r>
  <r>
    <x v="42"/>
    <n v="2008"/>
    <x v="7"/>
    <s v="Africa"/>
    <m/>
    <s v="Oil"/>
    <s v="no"/>
    <s v="no"/>
    <s v="yes"/>
    <s v="Oil"/>
    <s v="detailed"/>
    <s v="detailed Oil"/>
    <n v="46355000"/>
    <m/>
    <m/>
    <m/>
    <m/>
    <s v="bbl"/>
    <n v="98.2715934"/>
    <s v="US$/bbl"/>
    <s v="Volume and price from BPRS 2014. Price is an average of the spot prices for Brent, Dubai, Nigerian Forcados and West Texas Intermediate crude oil."/>
    <n v="4555379712.0570002"/>
    <m/>
    <m/>
    <m/>
    <n v="1906479325"/>
    <n v="1870701903"/>
    <m/>
    <m/>
    <m/>
    <n v="0.41851161604684795"/>
    <m/>
    <m/>
    <m/>
    <m/>
    <m/>
    <s v="Subsidy to NOC"/>
    <n v="1600000"/>
    <n v="8"/>
    <s v="SHT (National Oil Company), Esso, Petronas, Chevron, CNPCI, OPIC, TOTCO, COTCO"/>
    <n v="8"/>
    <m/>
    <m/>
    <m/>
    <m/>
    <m/>
    <s v="Revenue/payment totals include transport sector."/>
    <m/>
    <m/>
    <m/>
    <m/>
    <m/>
    <m/>
    <m/>
    <m/>
    <m/>
    <m/>
    <m/>
    <m/>
    <m/>
    <m/>
    <m/>
    <m/>
    <m/>
    <m/>
    <m/>
    <m/>
  </r>
  <r>
    <x v="42"/>
    <n v="2008"/>
    <x v="7"/>
    <s v="Africa"/>
    <m/>
    <s v="Mining"/>
    <s v="yes"/>
    <s v="no"/>
    <s v="no"/>
    <s v="Aggregate, sand and stone"/>
    <s v="detailed"/>
    <s v="detailed Mining"/>
    <n v="300000"/>
    <m/>
    <m/>
    <m/>
    <m/>
    <s v="t"/>
    <n v="9.1300000000000008"/>
    <s v="US$/t"/>
    <s v="Volume from USGS Mineral Yearbook 2012. Price from USGS Mineral Yearbook 2009, and is the price in the US for crushed misecellaneous stone."/>
    <n v="2739000.0000000005"/>
    <m/>
    <m/>
    <m/>
    <n v="2322321"/>
    <n v="0"/>
    <m/>
    <m/>
    <m/>
    <n v="0.84787185104052565"/>
    <m/>
    <m/>
    <m/>
    <m/>
    <m/>
    <m/>
    <m/>
    <n v="0"/>
    <m/>
    <n v="0"/>
    <m/>
    <m/>
    <m/>
    <m/>
    <m/>
    <s v="Mining payments reported unilaterally by govt."/>
    <m/>
    <m/>
    <m/>
    <m/>
    <m/>
    <m/>
    <m/>
    <m/>
    <m/>
    <m/>
    <m/>
    <m/>
    <m/>
    <m/>
    <m/>
    <m/>
    <m/>
    <m/>
    <m/>
    <m/>
  </r>
  <r>
    <x v="43"/>
    <n v="2009"/>
    <x v="7"/>
    <s v="Africa"/>
    <s v="http://www.itie-tchad.org/"/>
    <s v="Oil, Mining"/>
    <s v="yes"/>
    <s v="no"/>
    <s v="yes"/>
    <s v="Total"/>
    <s v="Total"/>
    <s v="Total Oil, Mining"/>
    <m/>
    <m/>
    <m/>
    <m/>
    <m/>
    <m/>
    <m/>
    <m/>
    <m/>
    <n v="2677207346.9194999"/>
    <s v="Profits/Taxes, Royalties, Dividends, Licenses and concessions, Other significant benefits to government"/>
    <s v="Does not include payments made in-kind"/>
    <m/>
    <n v="614882373"/>
    <n v="638651484"/>
    <m/>
    <m/>
    <m/>
    <n v="0.22967304856215484"/>
    <s v="United States Dollar"/>
    <s v=""/>
    <s v="Disaggregated by revenue stream"/>
    <m/>
    <m/>
    <s v="Subsidy to NOC"/>
    <n v="2400000"/>
    <n v="8"/>
    <s v="Petroleum: SHT (National Oil Company), Esso, Petronas, Chevron, CNPCI, OPIC. Petroleum transport: TOTCO, COTCO. "/>
    <n v="8"/>
    <s v="October 2012"/>
    <d v="2014-11-01T00:00:00"/>
    <s v="Fair Links"/>
    <s v="http://eiti.org/files/Chad-2009-EITI-Report.pdf"/>
    <s v="4,5, 14, 15"/>
    <s v="Mining revenues were reported unilaterally by govt for one company (SOTEC). Total revenues/payments include petroleum transport revenues, do not include subsidies paid to the national oil company."/>
    <m/>
    <m/>
    <m/>
    <m/>
    <m/>
    <m/>
    <m/>
    <m/>
    <m/>
    <m/>
    <m/>
    <m/>
    <m/>
    <m/>
    <m/>
    <m/>
    <m/>
    <m/>
    <m/>
    <m/>
  </r>
  <r>
    <x v="43"/>
    <n v="2009"/>
    <x v="7"/>
    <s v="Africa"/>
    <m/>
    <s v="Oil"/>
    <s v="no"/>
    <s v="no"/>
    <s v="yes"/>
    <s v="Oil"/>
    <s v="detailed"/>
    <s v="detailed Oil"/>
    <n v="43070000"/>
    <m/>
    <m/>
    <m/>
    <m/>
    <s v="bbl"/>
    <n v="62.082733849999997"/>
    <s v="US$/bbl"/>
    <s v="Volume and price from BPRS 2014. Price is an average of the spot prices for Brent, Dubai, Nigerian Forcados and West Texas Intermediate crude oil."/>
    <n v="2673903346.9194999"/>
    <m/>
    <m/>
    <m/>
    <n v="606704418"/>
    <n v="638651484"/>
    <m/>
    <m/>
    <m/>
    <n v="0.22689841003376601"/>
    <m/>
    <m/>
    <m/>
    <m/>
    <m/>
    <s v="Subsidy to NOC"/>
    <n v="2400000"/>
    <n v="8"/>
    <s v=" SHT (National Oil Company), Esso, Petronas, Chevron, CNPCI, OPIC, TOTCO, COTCO. "/>
    <n v="8"/>
    <m/>
    <m/>
    <m/>
    <m/>
    <m/>
    <s v="Revenue/payment totals include transport sector."/>
    <m/>
    <m/>
    <m/>
    <m/>
    <m/>
    <m/>
    <m/>
    <m/>
    <m/>
    <m/>
    <m/>
    <m/>
    <m/>
    <m/>
    <m/>
    <m/>
    <m/>
    <m/>
    <m/>
    <m/>
  </r>
  <r>
    <x v="43"/>
    <n v="2009"/>
    <x v="7"/>
    <s v="Africa"/>
    <m/>
    <s v="Mining"/>
    <s v="yes"/>
    <s v="no"/>
    <s v="no"/>
    <s v="Aggregate, sand and stone"/>
    <s v="detailed"/>
    <s v="detailed Mining"/>
    <n v="350000"/>
    <m/>
    <m/>
    <m/>
    <m/>
    <s v="t"/>
    <n v="9.44"/>
    <s v="US$/t"/>
    <s v="Volume from USGS Mineral Yearbook 2012. Price from USGS Mineral Yearbook 2009, and is the price in the US for crushed misecellaneous stone."/>
    <n v="3304000"/>
    <m/>
    <m/>
    <m/>
    <n v="8177955"/>
    <n v="0"/>
    <m/>
    <m/>
    <m/>
    <n v="2.4751679782082325"/>
    <m/>
    <m/>
    <m/>
    <m/>
    <m/>
    <m/>
    <m/>
    <m/>
    <m/>
    <m/>
    <m/>
    <m/>
    <m/>
    <m/>
    <m/>
    <m/>
    <m/>
    <m/>
    <m/>
    <m/>
    <m/>
    <m/>
    <m/>
    <m/>
    <m/>
    <m/>
    <m/>
    <m/>
    <m/>
    <m/>
    <m/>
    <m/>
    <m/>
    <m/>
    <m/>
    <m/>
  </r>
  <r>
    <x v="44"/>
    <n v="2010"/>
    <x v="7"/>
    <s v="Africa"/>
    <s v="http://www.itie-tchad.org/"/>
    <s v="Oil, Mining"/>
    <s v="yes"/>
    <s v="no"/>
    <s v="yes"/>
    <s v="Total"/>
    <s v="Total"/>
    <s v="Total Oil, Mining"/>
    <m/>
    <m/>
    <m/>
    <m/>
    <m/>
    <m/>
    <m/>
    <m/>
    <m/>
    <n v="3543699602.1554995"/>
    <s v="Profits/Taxes, Royalties, Dividends, Other significant benefits to government"/>
    <s v="Does not include payments made in-kind"/>
    <m/>
    <n v="1347744000"/>
    <n v="1358346169.1603303"/>
    <m/>
    <m/>
    <m/>
    <n v="0.38032117597671594"/>
    <s v="United States Dollar and Central African CFA Franc"/>
    <n v="489.24"/>
    <s v="Disaggregated by revenue stream, Disaggregated by company"/>
    <m/>
    <m/>
    <s v="Subsidy to NOC"/>
    <n v="1800000"/>
    <n v="9"/>
    <s v="Petroleum: SHT (National Oil Company), Esso, Petronas, Chevron, CNPCI, OPIC. Petroleum transport: TOTCO, COTCO. Mining: SOTEC."/>
    <n v="9"/>
    <s v="May 2013"/>
    <d v="2014-11-01T00:00:00"/>
    <s v="Fair Links"/>
    <s v="http://eiti.org/files/Chad-2010-EITI-Report.pdf"/>
    <m/>
    <s v="Mining revenues were reported unilaterally by one company (SOTEC) (in previous reports SOTEC payments had been reported unilaterally by the govt). Total revenues/payments include petroleum transport revenues, do not include subsidies paid to the national oil company."/>
    <m/>
    <m/>
    <m/>
    <m/>
    <m/>
    <m/>
    <m/>
    <m/>
    <m/>
    <m/>
    <m/>
    <m/>
    <m/>
    <m/>
    <m/>
    <m/>
    <m/>
    <m/>
    <m/>
    <m/>
  </r>
  <r>
    <x v="44"/>
    <n v="2010"/>
    <x v="7"/>
    <s v="Africa"/>
    <m/>
    <s v="Oil"/>
    <s v="no"/>
    <s v="no"/>
    <s v="yes"/>
    <s v="Oil"/>
    <s v="detailed"/>
    <s v="detailed Oil"/>
    <n v="44530000"/>
    <m/>
    <m/>
    <m/>
    <m/>
    <s v="bbl"/>
    <n v="79.513869349999993"/>
    <s v="US$/bbl"/>
    <s v="Volume and price from BPRS 2014. Price is an average of the spot prices for Brent, Dubai, Nigerian Forcados and West Texas Intermediate crude oil."/>
    <n v="3540752602.1554995"/>
    <m/>
    <m/>
    <m/>
    <n v="1347744000"/>
    <n v="1353645000"/>
    <m/>
    <m/>
    <m/>
    <n v="0.38063772068670815"/>
    <m/>
    <m/>
    <m/>
    <m/>
    <m/>
    <s v="Subsidy to NOC"/>
    <n v="1800000"/>
    <n v="8"/>
    <s v="SHT (National Oil Company), Esso, Petronas, Chevron, CNPCI, OPIC, TOTCO, COTCO"/>
    <n v="8"/>
    <m/>
    <m/>
    <m/>
    <m/>
    <m/>
    <m/>
    <m/>
    <m/>
    <m/>
    <m/>
    <m/>
    <m/>
    <m/>
    <m/>
    <m/>
    <m/>
    <m/>
    <m/>
    <m/>
    <m/>
    <m/>
    <m/>
    <m/>
    <m/>
    <m/>
    <m/>
  </r>
  <r>
    <x v="44"/>
    <n v="2010"/>
    <x v="7"/>
    <s v="Africa"/>
    <m/>
    <s v="Mining"/>
    <s v="yes"/>
    <s v="no"/>
    <s v="no"/>
    <s v="Aggregate, sand and stone"/>
    <s v="detailed"/>
    <s v="detailed Mining"/>
    <n v="350000"/>
    <m/>
    <m/>
    <m/>
    <m/>
    <s v="t"/>
    <n v="8.42"/>
    <s v="US$/t"/>
    <s v="Volume from USGS Mineral Yearbook 2012. Price from USGS Mineral Yearbook 2010, and is the price in the US for crushed misecellaneous stone."/>
    <n v="2947000"/>
    <m/>
    <m/>
    <m/>
    <n v="0"/>
    <n v="4701169.1603303086"/>
    <m/>
    <m/>
    <m/>
    <n v="1.5952389414083166"/>
    <m/>
    <m/>
    <m/>
    <m/>
    <m/>
    <m/>
    <m/>
    <m/>
    <m/>
    <m/>
    <m/>
    <m/>
    <m/>
    <m/>
    <m/>
    <m/>
    <m/>
    <m/>
    <m/>
    <m/>
    <m/>
    <m/>
    <m/>
    <m/>
    <m/>
    <m/>
    <m/>
    <m/>
    <m/>
    <m/>
    <m/>
    <m/>
    <m/>
    <m/>
    <m/>
    <m/>
  </r>
  <r>
    <x v="45"/>
    <n v="2011"/>
    <x v="7"/>
    <s v="Africa"/>
    <s v="http://www.itie-tchad.org/"/>
    <s v="Oil, Mining"/>
    <s v="yes"/>
    <s v="no"/>
    <s v="yes"/>
    <s v="Total"/>
    <s v="Total"/>
    <s v="Total Oil, Mining"/>
    <m/>
    <m/>
    <m/>
    <m/>
    <m/>
    <m/>
    <m/>
    <m/>
    <m/>
    <n v="4435771495.2557497"/>
    <s v="Profits/Taxes, Royalties, Dividends, Bonuses"/>
    <s v="Does not include payments made in-kind"/>
    <m/>
    <n v="2146562000"/>
    <n v="2225298411.1675129"/>
    <m/>
    <m/>
    <m/>
    <n v="0.48392077957483637"/>
    <s v="United States Dollar and Central African CFA Franc"/>
    <n v="492.5"/>
    <s v="Disaggregated by revenue stream, Disaggregated by company"/>
    <m/>
    <m/>
    <s v="Subsidy to NOC"/>
    <n v="3800000"/>
    <n v="12"/>
    <s v="Petroleum: SHT (National Oil Company), Esso, Petronas, Chevron, CNPCI, OPIC, ERHC Energy, Global Petroleum, Griffiths Energy International. Petroleum transport: TOTCO, COTCO. Mining: SOTEC."/>
    <n v="12"/>
    <s v="May 2013"/>
    <d v="2014-11-03T00:00:00"/>
    <s v="Fair Links"/>
    <s v="http://eiti.org/files/Chad-2011-EITI-Report.pdf"/>
    <s v="19-21"/>
    <s v="Mining revenues were reported unilaterally by one company (SOTEC). Total petroleum revenues/payments include petroleum transport revenues and payments made by the national oil company to the state. Total revenues/payments do not include subsidies paid by the state to the national oil company."/>
    <m/>
    <m/>
    <m/>
    <m/>
    <m/>
    <m/>
    <m/>
    <m/>
    <m/>
    <m/>
    <m/>
    <m/>
    <m/>
    <m/>
    <m/>
    <m/>
    <m/>
    <m/>
    <m/>
    <m/>
  </r>
  <r>
    <x v="45"/>
    <n v="2011"/>
    <x v="7"/>
    <s v="Africa"/>
    <m/>
    <s v="Oil"/>
    <s v="no"/>
    <s v="no"/>
    <s v="yes"/>
    <s v="Oil"/>
    <s v="detailed"/>
    <s v="detailed Oil"/>
    <n v="41610000"/>
    <m/>
    <m/>
    <m/>
    <m/>
    <s v="bbl"/>
    <n v="106.530653575"/>
    <s v="US$/bbl"/>
    <s v="Volume and price from BPRS 2014. Price is an average of the spot prices for Brent, Dubai, Nigerian Forcados and West Texas Intermediate crude oil."/>
    <n v="4432740495.2557497"/>
    <m/>
    <m/>
    <m/>
    <n v="2146562000"/>
    <n v="2223471000"/>
    <m/>
    <m/>
    <m/>
    <n v="0.48425167281897308"/>
    <m/>
    <m/>
    <m/>
    <m/>
    <m/>
    <s v="Subsidy to NOC"/>
    <n v="3800000"/>
    <n v="11"/>
    <s v="SHT (National Oil Company), Esso, Petronas, Chevron, CNPCI, OPIC, ERHC Energy, Global Petroleum, Griffiths Energy International, TOTCO, COTCO"/>
    <n v="11"/>
    <m/>
    <m/>
    <m/>
    <m/>
    <m/>
    <m/>
    <m/>
    <m/>
    <m/>
    <m/>
    <m/>
    <m/>
    <m/>
    <m/>
    <m/>
    <m/>
    <m/>
    <m/>
    <m/>
    <m/>
    <m/>
    <m/>
    <m/>
    <m/>
    <m/>
    <m/>
  </r>
  <r>
    <x v="45"/>
    <n v="2011"/>
    <x v="7"/>
    <s v="Africa"/>
    <m/>
    <s v="Mining"/>
    <s v="yes"/>
    <s v="no"/>
    <s v="no"/>
    <s v="Aggregate, sand and stone"/>
    <s v="detailed"/>
    <s v="detailed Mining"/>
    <n v="350000"/>
    <m/>
    <m/>
    <m/>
    <m/>
    <s v="t"/>
    <n v="8.66"/>
    <s v="US$/t"/>
    <s v="Volume from USGS Mineral Yearbook 2012. Price from USGS Mineral Yearbook 2012, and is the price in the US for crushed misecellaneous stone."/>
    <n v="3031000"/>
    <m/>
    <m/>
    <m/>
    <m/>
    <n v="1827411.1675126904"/>
    <m/>
    <m/>
    <m/>
    <n v="0.60290701666535484"/>
    <m/>
    <m/>
    <m/>
    <m/>
    <m/>
    <m/>
    <m/>
    <m/>
    <m/>
    <m/>
    <m/>
    <m/>
    <m/>
    <m/>
    <m/>
    <m/>
    <m/>
    <m/>
    <m/>
    <m/>
    <m/>
    <m/>
    <m/>
    <m/>
    <m/>
    <m/>
    <m/>
    <m/>
    <m/>
    <m/>
    <m/>
    <m/>
    <m/>
    <m/>
    <m/>
    <m/>
  </r>
  <r>
    <x v="46"/>
    <n v="2012"/>
    <x v="7"/>
    <s v="Africa"/>
    <s v="http://www.itie-tchad.org/"/>
    <s v="Oil, Mining"/>
    <s v="yes"/>
    <s v="no"/>
    <s v="yes"/>
    <s v="Total"/>
    <s v="Total"/>
    <s v="Total Oil, Mining"/>
    <m/>
    <m/>
    <m/>
    <m/>
    <m/>
    <m/>
    <m/>
    <m/>
    <m/>
    <n v="3954577097.9020705"/>
    <s v="Not given"/>
    <s v="Does not include payments made in-kind"/>
    <m/>
    <n v="2109663000"/>
    <n v="2107958000"/>
    <m/>
    <m/>
    <m/>
    <n v="0.5334737312667871"/>
    <s v="United States Dollar and Central African CFA Franc"/>
    <n v="503.03"/>
    <s v="Disaggregated by revenue stream, Disaggregated by company"/>
    <s v="3,676,000 bbl oil (govt reported); 3,679,000 bbl oil (company reported)"/>
    <s v="See comments"/>
    <s v="Subsidy to NOC"/>
    <n v="3500000"/>
    <n v="24"/>
    <s v="Petroleum: SHT (National Oil Company), Esso, Petronas, Chevron, CNPCI, OPIC, ERHC Energy, Global Petroleum, Caracal Energy (ex Griffiths Energy International), Petral BV, SAS Petroleum, Simba Energy, TCA International (GTI), United Hydrocarbon Chad, Viking Exploration, Oil Trek. Petroleum transport: TOTCO, COTCO. Petroleum refinery: SRN. Mining exploration: Chad Mining Services (CMS), GPB Chad Minerals, SP Mining. Mining production: SOTEC, SCHL."/>
    <n v="22"/>
    <s v="March 2014"/>
    <d v="2014-11-04T00:00:00"/>
    <s v="FairLinks"/>
    <s v="http://eiti.org/files/Tchad%20EITI%20Report%202012%20RAPPORT%20DE%20RECONCILIATION%20VFIN%20DEFINITIVE%20%205%203%2014_0.pdf"/>
    <s v="45-52"/>
    <s v="Mining revenues were reported unilaterally by mining companies. Total petroleum revenues/payments include petroleum transport and refining revenues. The national oil company (SHT) is considered both a paying and collecting entity; its payments to the state are included in total company payments, while the revenues it receives from companies are included in government revenues. However, total revenues/payments do not include subsidies paid by the state to SHT (see subsidies column). A portion of the state's in-kind receipts are commercialized by SHT; SHT reported commercializing 2,807,000 bbl, resulting in $287,888,000, from which fees were deducted (see p.51). These revenues are included in revenue totals. Note on difference between eiti.org revenue totals and those calculated from the EITI Report (in purple): eiti.org totals seem based on summary table on p.51 of the report, which doesn't appear to include SHT payments/receipts; however, even with SHT flows added in, the summary table on p.51 doesn't seem to reflect the upstream petroleum totals from p.46."/>
    <m/>
    <m/>
    <m/>
    <m/>
    <m/>
    <m/>
    <m/>
    <m/>
    <m/>
    <m/>
    <m/>
    <m/>
    <m/>
    <m/>
    <m/>
    <m/>
    <m/>
    <m/>
    <m/>
    <m/>
  </r>
  <r>
    <x v="46"/>
    <n v="2012"/>
    <x v="7"/>
    <s v="Africa"/>
    <m/>
    <s v="Oil"/>
    <s v="no"/>
    <s v="no"/>
    <s v="yes"/>
    <s v="Oil"/>
    <s v="detailed"/>
    <s v="detailed Oil"/>
    <n v="36865000"/>
    <m/>
    <m/>
    <m/>
    <m/>
    <s v="bbl"/>
    <n v="107.27185943041016"/>
    <s v="US$/bbl"/>
    <s v="Volume and price from BPRS 2014. Price is an average of the spot prices for Brent, Dubai, Nigerian Forcados and West Texas Intermediate crude oil."/>
    <n v="3954577097.9020705"/>
    <m/>
    <m/>
    <m/>
    <n v="2109663000"/>
    <n v="2105905000"/>
    <m/>
    <m/>
    <m/>
    <n v="0.5334737312667871"/>
    <m/>
    <m/>
    <m/>
    <m/>
    <m/>
    <s v="Subsidy to NOC"/>
    <n v="3500000"/>
    <n v="19"/>
    <s v="SHT (National Oil Company), Esso, Petronas, Chevron, CNPCI, OPIC, ERHC Energy, Global Petroleum, Caracal Energy (ex Griffiths Energy International), Petral BV, SAS Petroleum, Simba Energy, TCA International (GTI), United Hydrocarbon Chad, Viking Exploration, Oil Trek, TOTCO, COTCO, SRN"/>
    <m/>
    <m/>
    <m/>
    <m/>
    <m/>
    <m/>
    <m/>
    <m/>
    <m/>
    <m/>
    <m/>
    <m/>
    <m/>
    <m/>
    <m/>
    <m/>
    <m/>
    <m/>
    <m/>
    <m/>
    <m/>
    <m/>
    <m/>
    <m/>
    <m/>
    <m/>
    <m/>
  </r>
  <r>
    <x v="46"/>
    <n v="2012"/>
    <x v="7"/>
    <s v="Africa"/>
    <m/>
    <s v="Mining"/>
    <s v="yes"/>
    <s v="no"/>
    <s v="no"/>
    <s v="Aggregate, sand and stone"/>
    <s v="detailed"/>
    <s v="detailed Mining"/>
    <m/>
    <m/>
    <m/>
    <m/>
    <m/>
    <m/>
    <m/>
    <m/>
    <m/>
    <n v="0"/>
    <m/>
    <m/>
    <m/>
    <m/>
    <n v="2053000"/>
    <m/>
    <m/>
    <m/>
    <m/>
    <m/>
    <m/>
    <m/>
    <m/>
    <m/>
    <m/>
    <m/>
    <m/>
    <m/>
    <m/>
    <m/>
    <m/>
    <m/>
    <m/>
    <m/>
    <s v="The USGS Mineral Yearbook 2012 indicates that there was insufficent data to estimate production volumes. "/>
    <m/>
    <m/>
    <m/>
    <m/>
    <m/>
    <m/>
    <m/>
    <m/>
    <m/>
    <m/>
    <m/>
    <m/>
    <m/>
    <m/>
    <m/>
    <m/>
    <m/>
    <m/>
    <m/>
    <m/>
  </r>
  <r>
    <x v="47"/>
    <n v="2006"/>
    <x v="8"/>
    <s v="Africa"/>
    <s v="http://www.cnitie.ci/"/>
    <s v="Oil, Gas"/>
    <s v="no"/>
    <s v="yes"/>
    <s v="yes"/>
    <s v="Total"/>
    <s v="Total"/>
    <s v="Total Oil, Gas"/>
    <m/>
    <m/>
    <m/>
    <m/>
    <m/>
    <m/>
    <m/>
    <m/>
    <m/>
    <n v="1817411656.9384499"/>
    <s v="Host government's production entitlement, Profits/Taxes, Royalties, Dividends, Bonuses"/>
    <s v="Also covers payments made in-kind"/>
    <m/>
    <n v="84482680"/>
    <n v="69730440"/>
    <m/>
    <m/>
    <m/>
    <n v="4.6485164589687218E-2"/>
    <m/>
    <n v="522.89"/>
    <s v="Disaggregated by revenue stream"/>
    <m/>
    <m/>
    <m/>
    <m/>
    <m/>
    <m/>
    <n v="5"/>
    <s v="January 2010"/>
    <d v="2014-10-10T00:00:00"/>
    <s v="Hart Group"/>
    <s v="http://eiti.org/files/Cote%20dIvoire%202006-2007%20EITI%20Report.pdf"/>
    <m/>
    <m/>
    <m/>
    <m/>
    <m/>
    <m/>
    <m/>
    <m/>
    <m/>
    <m/>
    <m/>
    <m/>
    <m/>
    <m/>
    <m/>
    <m/>
    <m/>
    <m/>
    <m/>
    <m/>
    <m/>
    <m/>
  </r>
  <r>
    <x v="47"/>
    <n v="2006"/>
    <x v="8"/>
    <s v="Africa"/>
    <m/>
    <s v="Gas"/>
    <s v="no"/>
    <s v="yes"/>
    <s v="no"/>
    <s v="Gas"/>
    <s v="detailed"/>
    <s v="detailed Gas"/>
    <n v="1302572800"/>
    <n v="8596980.4800000004"/>
    <m/>
    <m/>
    <m/>
    <s v="m³"/>
    <n v="0.243474"/>
    <s v="US$/m³"/>
    <s v="Volume from EIA. Price from BPSR 2014, and is an average of the UK, US and Canada Indices for natural gas."/>
    <n v="317142609.90719998"/>
    <m/>
    <m/>
    <m/>
    <m/>
    <m/>
    <m/>
    <m/>
    <m/>
    <m/>
    <m/>
    <m/>
    <m/>
    <m/>
    <m/>
    <m/>
    <m/>
    <m/>
    <m/>
    <m/>
    <m/>
    <m/>
    <m/>
    <m/>
    <m/>
    <m/>
    <m/>
    <m/>
    <m/>
    <m/>
    <m/>
    <m/>
    <m/>
    <m/>
    <m/>
    <m/>
    <m/>
    <m/>
    <m/>
    <m/>
    <m/>
    <m/>
    <m/>
    <m/>
    <m/>
    <m/>
  </r>
  <r>
    <x v="47"/>
    <n v="2006"/>
    <x v="8"/>
    <s v="Africa"/>
    <m/>
    <s v="Oil"/>
    <s v="no"/>
    <s v="no"/>
    <s v="yes"/>
    <s v="Oil"/>
    <s v="detailed"/>
    <s v="detailed Oil"/>
    <n v="23104500"/>
    <n v="0.37209117184963969"/>
    <m/>
    <m/>
    <m/>
    <s v="bbl"/>
    <n v="64.934062499999996"/>
    <s v="US$/bbl"/>
    <s v="Volume from EIA. Price from BPSR 2014, and is an average of the spot prices for Brent, Dubai, Nigerian Forcados and West Texas Intermediate crude oil."/>
    <n v="1500269047.03125"/>
    <m/>
    <m/>
    <m/>
    <m/>
    <m/>
    <m/>
    <m/>
    <m/>
    <m/>
    <m/>
    <m/>
    <m/>
    <m/>
    <m/>
    <m/>
    <m/>
    <m/>
    <m/>
    <m/>
    <m/>
    <m/>
    <m/>
    <m/>
    <m/>
    <m/>
    <m/>
    <m/>
    <m/>
    <m/>
    <m/>
    <m/>
    <m/>
    <m/>
    <m/>
    <m/>
    <m/>
    <m/>
    <m/>
    <m/>
    <m/>
    <m/>
    <m/>
    <m/>
    <m/>
    <m/>
  </r>
  <r>
    <x v="48"/>
    <n v="2007"/>
    <x v="8"/>
    <s v="Africa"/>
    <s v="http://www.cnitie.ci/"/>
    <s v="Oil, Gas"/>
    <s v="no"/>
    <s v="yes"/>
    <s v="yes"/>
    <s v="Total"/>
    <s v="Total"/>
    <s v="Total Oil, Gas"/>
    <m/>
    <m/>
    <m/>
    <m/>
    <m/>
    <m/>
    <m/>
    <m/>
    <m/>
    <n v="1731008332.1887999"/>
    <s v="Host government's production entitlement, Profits/Taxes, Royalties, Dividends, Bonuses"/>
    <s v="Also covers payments made in-kind"/>
    <m/>
    <n v="121454480.00000001"/>
    <n v="95440290.000000015"/>
    <m/>
    <m/>
    <m/>
    <n v="7.0164006574379129E-2"/>
    <m/>
    <n v="522.89"/>
    <s v="Disaggregated by revenue stream"/>
    <m/>
    <m/>
    <m/>
    <m/>
    <m/>
    <m/>
    <n v="5"/>
    <s v="January 2010"/>
    <d v="2014-10-10T00:00:00"/>
    <s v="Hart Group"/>
    <s v="http://eiti.org/files/Cote%20dIvoire%202006-2007%20EITI%20Report_0.pdf"/>
    <m/>
    <m/>
    <m/>
    <m/>
    <m/>
    <m/>
    <m/>
    <m/>
    <m/>
    <m/>
    <m/>
    <m/>
    <m/>
    <m/>
    <m/>
    <m/>
    <m/>
    <m/>
    <m/>
    <m/>
    <m/>
    <m/>
  </r>
  <r>
    <x v="48"/>
    <n v="2007"/>
    <x v="8"/>
    <s v="Africa"/>
    <m/>
    <s v="Gas"/>
    <s v="no"/>
    <s v="yes"/>
    <s v="no"/>
    <s v="Gas"/>
    <s v="detailed"/>
    <s v="detailed Gas"/>
    <n v="1500790400"/>
    <m/>
    <m/>
    <m/>
    <m/>
    <s v="m³"/>
    <n v="0.22764700000000004"/>
    <s v="US$/m³"/>
    <s v="Volume from EIA. Price from BPSR 2014, and is an average of the UK, US and Canada Indices for natural gas."/>
    <n v="341650432.18880004"/>
    <m/>
    <m/>
    <m/>
    <m/>
    <m/>
    <m/>
    <m/>
    <m/>
    <m/>
    <m/>
    <m/>
    <m/>
    <m/>
    <m/>
    <m/>
    <m/>
    <m/>
    <m/>
    <m/>
    <m/>
    <m/>
    <m/>
    <m/>
    <m/>
    <m/>
    <m/>
    <m/>
    <m/>
    <m/>
    <m/>
    <m/>
    <m/>
    <m/>
    <m/>
    <m/>
    <m/>
    <m/>
    <m/>
    <m/>
    <m/>
    <m/>
    <m/>
    <m/>
    <m/>
    <m/>
  </r>
  <r>
    <x v="48"/>
    <n v="2007"/>
    <x v="8"/>
    <s v="Africa"/>
    <m/>
    <s v="Oil"/>
    <s v="no"/>
    <s v="no"/>
    <s v="yes"/>
    <s v="Oil"/>
    <s v="detailed"/>
    <s v="detailed Oil"/>
    <n v="19345000"/>
    <m/>
    <m/>
    <m/>
    <m/>
    <s v="bbl"/>
    <n v="71.819999999999993"/>
    <s v="US$/bbl"/>
    <s v="Volume from EIA. Price from BPSR 2014, and is an average of the spot prices for Brent, Dubai, Nigerian Forcados and West Texas Intermediate crude oil."/>
    <n v="1389357899.9999998"/>
    <m/>
    <m/>
    <m/>
    <m/>
    <m/>
    <m/>
    <m/>
    <m/>
    <m/>
    <m/>
    <m/>
    <m/>
    <m/>
    <m/>
    <m/>
    <m/>
    <m/>
    <m/>
    <m/>
    <m/>
    <m/>
    <m/>
    <m/>
    <m/>
    <m/>
    <m/>
    <m/>
    <m/>
    <m/>
    <m/>
    <m/>
    <m/>
    <m/>
    <m/>
    <m/>
    <m/>
    <m/>
    <m/>
    <m/>
    <m/>
    <m/>
    <m/>
    <m/>
    <m/>
    <m/>
  </r>
  <r>
    <x v="49"/>
    <n v="2008"/>
    <x v="8"/>
    <s v="Africa"/>
    <s v="http://www.cnitie.ci/"/>
    <s v="Oil, Gas, Mining"/>
    <s v="yes"/>
    <s v="yes"/>
    <s v="yes"/>
    <s v="Total"/>
    <s v="Total"/>
    <s v="Total Oil, Gas, Mining"/>
    <m/>
    <m/>
    <m/>
    <m/>
    <m/>
    <m/>
    <m/>
    <m/>
    <m/>
    <n v="2764258626.8351002"/>
    <s v="State-owned company production entitlement, Profits/Taxes, Royalties, Dividends, Bonuses, Licenses and concessions, Other significant benefits to government"/>
    <s v="Also covers payments made in-kind"/>
    <s v="No"/>
    <n v="594748911.30207145"/>
    <n v="665559303.05941272"/>
    <m/>
    <m/>
    <m/>
    <n v="0.21515675325322978"/>
    <s v="West African CFA Franc"/>
    <n v="439.3"/>
    <s v="Disaggregated by revenue stream"/>
    <m/>
    <m/>
    <m/>
    <m/>
    <n v="22"/>
    <s v="Petroleum: Petroci Holding (National oil company), Afren, Canadian National Resources (CRN), Foxtrot International, Anadarko, C&amp;L Natural Resources, Edison, Lukoil, Oranto, Tullow Oil, Vanco, Yam's Petroleum. Mining: Sodemi (state mining company), LGL-Equigold, Societe des Mines D'Ity (SMI), Yaoure mining, BIPTFOP, Cominor, Etruscan Resources, Golden Oriole, Golden Star Exloration, Jofema Mineral Resources, Mayana SARL, New African Business Corporation, Newmont Overseas Exploration, Occidental Gold, Rockstone GOld, Randgold Resources, SOMICI, Tata Steel, Taurian, TD Continental."/>
    <n v="17"/>
    <s v="May 2012"/>
    <d v="2014-11-05T00:00:00"/>
    <s v="Fair Links"/>
    <s v="http://eiti.org/files/Cote-dIvoire-2008-EITI-Report.pdf"/>
    <s v="4, 5, 9-11"/>
    <s v="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5 companies did not report, and were not included in reconciliation."/>
    <m/>
    <m/>
    <m/>
    <m/>
    <m/>
    <m/>
    <m/>
    <m/>
    <m/>
    <m/>
    <m/>
    <m/>
    <m/>
    <m/>
    <m/>
    <m/>
    <m/>
    <m/>
    <m/>
    <m/>
  </r>
  <r>
    <x v="49"/>
    <n v="2008"/>
    <x v="8"/>
    <s v="Africa"/>
    <m/>
    <s v="Oil, Gas"/>
    <s v="no"/>
    <s v="yes"/>
    <s v="yes"/>
    <s v="Total Oil &amp; Gas"/>
    <s v="Total"/>
    <s v="Total Oil, Gas"/>
    <m/>
    <m/>
    <m/>
    <m/>
    <m/>
    <m/>
    <m/>
    <m/>
    <m/>
    <n v="2679258279.0081"/>
    <m/>
    <m/>
    <m/>
    <n v="589778446.23719549"/>
    <n v="660341840.62371957"/>
    <m/>
    <m/>
    <m/>
    <n v="0.22012750725008115"/>
    <m/>
    <m/>
    <m/>
    <m/>
    <m/>
    <m/>
    <m/>
    <m/>
    <m/>
    <m/>
    <m/>
    <m/>
    <m/>
    <m/>
    <m/>
    <m/>
    <m/>
    <m/>
    <m/>
    <m/>
    <m/>
    <m/>
    <m/>
    <m/>
    <m/>
    <m/>
    <m/>
    <m/>
    <m/>
    <m/>
    <m/>
    <m/>
    <m/>
    <m/>
    <m/>
    <m/>
  </r>
  <r>
    <x v="49"/>
    <n v="2008"/>
    <x v="8"/>
    <s v="Africa"/>
    <m/>
    <s v="Gas"/>
    <s v="no"/>
    <s v="yes"/>
    <s v="no"/>
    <s v="Gas"/>
    <s v="detailed"/>
    <s v="detailed Gas"/>
    <n v="1614057600"/>
    <m/>
    <m/>
    <m/>
    <m/>
    <s v="m³"/>
    <n v="0.32879700000000006"/>
    <s v="US$/m³"/>
    <s v="Volume from EIA. Price from BPSR 2014, and is an average of the UK, US and Canada Indices for natural gas."/>
    <n v="530697296.70720011"/>
    <m/>
    <m/>
    <m/>
    <m/>
    <m/>
    <m/>
    <m/>
    <m/>
    <m/>
    <m/>
    <m/>
    <m/>
    <n v="1117465878.4000001"/>
    <s v="Not given"/>
    <m/>
    <m/>
    <m/>
    <m/>
    <m/>
    <m/>
    <m/>
    <m/>
    <m/>
    <m/>
    <s v="In-kind receipts include gas received by state and PETROCI. Value of in-kind payments has not been calculated because part of in-kind oil/gas is commercialized by PETROCI on behalf of the state and already included in revenue totals."/>
    <m/>
    <m/>
    <m/>
    <m/>
    <m/>
    <m/>
    <m/>
    <m/>
    <m/>
    <m/>
    <m/>
    <m/>
    <m/>
    <m/>
    <m/>
    <m/>
    <m/>
    <m/>
    <m/>
    <m/>
  </r>
  <r>
    <x v="49"/>
    <n v="2008"/>
    <x v="8"/>
    <s v="Africa"/>
    <m/>
    <s v="Oil"/>
    <s v="no"/>
    <s v="no"/>
    <s v="yes"/>
    <s v="Oil"/>
    <s v="detailed"/>
    <s v="detailed Oil"/>
    <n v="21863500"/>
    <m/>
    <m/>
    <m/>
    <m/>
    <s v="bbl"/>
    <n v="98.2715934"/>
    <s v="US$/bbl"/>
    <s v="Volume from EIA. Price from BPSR 2014, and is an average of the spot prices for Brent, Dubai, Nigerian Forcados and West Texas Intermediate crude oil."/>
    <n v="2148560982.3009"/>
    <m/>
    <m/>
    <m/>
    <m/>
    <m/>
    <m/>
    <m/>
    <m/>
    <m/>
    <m/>
    <m/>
    <m/>
    <n v="5677577"/>
    <s v="Not given"/>
    <m/>
    <m/>
    <m/>
    <m/>
    <m/>
    <m/>
    <m/>
    <m/>
    <m/>
    <m/>
    <s v="In-kind receipts include oil received by state and PETROCI. Value of in-kind payments has not been calculated because part of in-kind oil/gas is commercialized by PETROCI on behalf of the state and already included in revenue totals."/>
    <m/>
    <m/>
    <m/>
    <m/>
    <m/>
    <m/>
    <m/>
    <m/>
    <m/>
    <m/>
    <m/>
    <m/>
    <m/>
    <m/>
    <m/>
    <m/>
    <m/>
    <m/>
    <m/>
    <m/>
  </r>
  <r>
    <x v="49"/>
    <n v="2008"/>
    <x v="8"/>
    <s v="Africa"/>
    <m/>
    <s v="Mining"/>
    <s v="yes"/>
    <s v="no"/>
    <s v="no"/>
    <s v="Total Mining"/>
    <s v="Total"/>
    <s v="Total Mining"/>
    <m/>
    <m/>
    <m/>
    <m/>
    <m/>
    <m/>
    <m/>
    <m/>
    <m/>
    <n v="85000347.827000007"/>
    <m/>
    <m/>
    <m/>
    <n v="4970465.0648759389"/>
    <n v="5217462.4356931476"/>
    <m/>
    <m/>
    <m/>
    <n v="5.8475820298903428E-2"/>
    <m/>
    <m/>
    <m/>
    <m/>
    <m/>
    <m/>
    <m/>
    <m/>
    <m/>
    <m/>
    <m/>
    <m/>
    <m/>
    <m/>
    <m/>
    <s v="Revenue totals include dividends collected from companies by Sodemi, a state-owned company."/>
    <m/>
    <m/>
    <m/>
    <m/>
    <m/>
    <m/>
    <m/>
    <m/>
    <m/>
    <m/>
    <m/>
    <m/>
    <m/>
    <m/>
    <m/>
    <m/>
    <m/>
    <m/>
    <m/>
    <m/>
  </r>
  <r>
    <x v="49"/>
    <n v="2008"/>
    <x v="8"/>
    <s v="Africa"/>
    <m/>
    <s v="Mining"/>
    <s v="yes"/>
    <s v="no"/>
    <s v="no"/>
    <s v="Gold"/>
    <s v="detailed"/>
    <s v="detailed Mining"/>
    <n v="135193.87484695774"/>
    <m/>
    <n v="96452"/>
    <m/>
    <m/>
    <s v="toz"/>
    <n v="871.70725000000004"/>
    <s v="US$/toz"/>
    <s v="Volume from USGS Mineral Yearbook 2012. Price from World Bank (Global Economic Monitor (GEM) Commodities database), and is defined as: Gold (UK), 99.5% fine, London afternoon fixing, average of daily rates."/>
    <n v="84077907.677000001"/>
    <m/>
    <m/>
    <m/>
    <m/>
    <m/>
    <m/>
    <m/>
    <m/>
    <m/>
    <m/>
    <m/>
    <m/>
    <m/>
    <m/>
    <m/>
    <m/>
    <m/>
    <m/>
    <m/>
    <m/>
    <m/>
    <m/>
    <m/>
    <m/>
    <m/>
    <m/>
    <m/>
    <m/>
    <m/>
    <m/>
    <m/>
    <m/>
    <m/>
    <m/>
    <m/>
    <m/>
    <m/>
    <m/>
    <m/>
    <m/>
    <m/>
    <m/>
    <m/>
    <m/>
    <m/>
  </r>
  <r>
    <x v="49"/>
    <n v="2008"/>
    <x v="8"/>
    <s v="Africa"/>
    <m/>
    <s v="Mining"/>
    <s v="yes"/>
    <s v="no"/>
    <s v="no"/>
    <s v="Manganese"/>
    <s v="detailed"/>
    <s v="detailed Mining"/>
    <m/>
    <m/>
    <n v="30000"/>
    <m/>
    <m/>
    <s v="t"/>
    <n v="12.15"/>
    <s v="US$/t"/>
    <s v="Price from USGS Mineral Commodity Summary 2013, and is the c.i.f. price at US ports for metallurgical ore with 46-48% manganese content. "/>
    <n v="922440.15"/>
    <m/>
    <m/>
    <m/>
    <m/>
    <m/>
    <m/>
    <m/>
    <m/>
    <m/>
    <m/>
    <m/>
    <m/>
    <m/>
    <m/>
    <m/>
    <m/>
    <m/>
    <m/>
    <m/>
    <m/>
    <m/>
    <m/>
    <m/>
    <m/>
    <m/>
    <m/>
    <m/>
    <m/>
    <m/>
    <m/>
    <m/>
    <m/>
    <m/>
    <m/>
    <m/>
    <m/>
    <m/>
    <m/>
    <m/>
    <m/>
    <m/>
    <m/>
    <m/>
    <m/>
    <m/>
  </r>
  <r>
    <x v="49"/>
    <n v="2008"/>
    <x v="8"/>
    <s v="Africa"/>
    <m/>
    <s v="Mining"/>
    <s v="yes"/>
    <s v="no"/>
    <s v="no"/>
    <s v="o/w Manganese ore"/>
    <s v="detailed"/>
    <s v="detailed Mining"/>
    <n v="176561"/>
    <m/>
    <m/>
    <m/>
    <m/>
    <s v="t"/>
    <m/>
    <m/>
    <s v="Volume from USGS Mineral Yearbook 2012"/>
    <m/>
    <m/>
    <m/>
    <m/>
    <m/>
    <m/>
    <m/>
    <m/>
    <m/>
    <m/>
    <m/>
    <m/>
    <m/>
    <m/>
    <m/>
    <m/>
    <m/>
    <m/>
    <m/>
    <m/>
    <m/>
    <m/>
    <m/>
    <m/>
    <m/>
    <m/>
    <m/>
    <m/>
    <m/>
    <m/>
    <m/>
    <m/>
    <m/>
    <m/>
    <m/>
    <m/>
    <m/>
    <m/>
    <m/>
    <m/>
    <m/>
    <m/>
    <m/>
    <m/>
    <m/>
    <m/>
  </r>
  <r>
    <x v="49"/>
    <n v="2008"/>
    <x v="8"/>
    <s v="Africa"/>
    <m/>
    <s v="Mining"/>
    <s v="yes"/>
    <s v="no"/>
    <s v="no"/>
    <s v="o/w Manganese content"/>
    <s v="detailed"/>
    <s v="detailed Mining"/>
    <n v="75921"/>
    <m/>
    <m/>
    <m/>
    <m/>
    <s v="t"/>
    <m/>
    <m/>
    <s v="Volume from USGS Mineral Yearbook 2012"/>
    <m/>
    <m/>
    <m/>
    <m/>
    <m/>
    <m/>
    <m/>
    <m/>
    <m/>
    <m/>
    <m/>
    <m/>
    <m/>
    <m/>
    <m/>
    <m/>
    <m/>
    <m/>
    <m/>
    <m/>
    <m/>
    <m/>
    <m/>
    <m/>
    <m/>
    <m/>
    <m/>
    <m/>
    <m/>
    <m/>
    <m/>
    <m/>
    <m/>
    <m/>
    <m/>
    <m/>
    <m/>
    <m/>
    <m/>
    <m/>
    <m/>
    <m/>
    <m/>
    <m/>
    <m/>
    <m/>
  </r>
  <r>
    <x v="50"/>
    <n v="2009"/>
    <x v="8"/>
    <s v="Africa"/>
    <s v="http://www.cnitie.ci/"/>
    <s v="Oil, Gas, Mining"/>
    <s v="yes"/>
    <s v="yes"/>
    <s v="yes"/>
    <s v="Total"/>
    <s v="Total"/>
    <s v="Total Oil, Gas, Mining"/>
    <m/>
    <m/>
    <m/>
    <m/>
    <m/>
    <m/>
    <m/>
    <m/>
    <m/>
    <n v="1777961769.1903424"/>
    <s v="State-owned company production entitlement, Profits/Taxes, Royalties, Dividends, Bonuses, Licenses and concessions, Other significant benefits to government"/>
    <s v="Also covers payments made in-kind"/>
    <s v="No"/>
    <n v="284861428.97265005"/>
    <n v="285117107.7502619"/>
    <m/>
    <m/>
    <m/>
    <n v="0.1602179720109346"/>
    <s v="West African CFA Franc"/>
    <n v="448.63"/>
    <s v="Disaggregated by revenue stream"/>
    <m/>
    <m/>
    <m/>
    <m/>
    <n v="22"/>
    <s v="Petroleum: Petroci Holding (National oil company), Afren, Canadian National Resources (CRN), Foxtrot International, Anadarko, C&amp;L Natural Resources, Edison, Lukoil, Oranto, Tullow Oil, Vanco, Yam's Petroleum. Mining: Sodemi (state mining company), LGL-Equigold, Societe des Mines D'Ity (SMI), Yaoure mining, BIPTFOP, Cominor, Etruscan Resources, Golden Oriole, Golden Star Exloration, Jofema Mineral Resources, Mayana SARL, New African Business Corporation, Newmont Overseas Exploration, Occidental Gold, Rockstone GOld, Randgold Resources, SOMICI, Tata Steel, Taurian, TD Continental."/>
    <n v="17"/>
    <s v="May 2012"/>
    <d v="2014-11-05T00:00:00"/>
    <s v="Fair Links"/>
    <s v="http://eiti.org/files/Cote-dIvoire-2009-EITI-Report.pdf"/>
    <s v="4, 5, 9-11"/>
    <s v="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Note that eiti.org totals appear to include dividends paid to Sodemi by private companies as company payments, rather than govt receipts. Here, &quot;Total received by govt&quot; includes FCFA 1,552,320,000 in dividends paid to Sodemi by other mining companies. (There is still a small difference  (less than 1%) between totals calculated here and those from eiti.org.) 5 companies did not report, and were not included in reconciliation."/>
    <m/>
    <m/>
    <m/>
    <m/>
    <m/>
    <m/>
    <m/>
    <m/>
    <m/>
    <m/>
    <m/>
    <m/>
    <m/>
    <m/>
    <m/>
    <m/>
    <m/>
    <m/>
    <m/>
    <m/>
  </r>
  <r>
    <x v="50"/>
    <n v="2009"/>
    <x v="8"/>
    <s v="Africa"/>
    <m/>
    <s v="Oil, Gas"/>
    <s v="no"/>
    <s v="yes"/>
    <s v="yes"/>
    <s v="Total Oil &amp; Gas"/>
    <s v="Total"/>
    <s v="Total Oil, Gas"/>
    <m/>
    <m/>
    <m/>
    <m/>
    <m/>
    <m/>
    <m/>
    <m/>
    <m/>
    <n v="1558413874.064925"/>
    <m/>
    <m/>
    <m/>
    <n v="267429935.94275907"/>
    <n v="267941686.52341574"/>
    <m/>
    <m/>
    <m/>
    <n v="0.17160392395968729"/>
    <m/>
    <m/>
    <m/>
    <m/>
    <m/>
    <m/>
    <m/>
    <m/>
    <m/>
    <m/>
    <m/>
    <m/>
    <m/>
    <m/>
    <m/>
    <m/>
    <m/>
    <m/>
    <m/>
    <m/>
    <m/>
    <m/>
    <m/>
    <m/>
    <m/>
    <m/>
    <m/>
    <m/>
    <m/>
    <m/>
    <m/>
    <m/>
    <m/>
    <m/>
    <m/>
    <m/>
  </r>
  <r>
    <x v="50"/>
    <n v="2009"/>
    <x v="8"/>
    <s v="Africa"/>
    <m/>
    <s v="Gas"/>
    <s v="no"/>
    <s v="yes"/>
    <s v="no"/>
    <s v="Gas"/>
    <s v="detailed"/>
    <s v="detailed Gas"/>
    <n v="1614057600"/>
    <m/>
    <m/>
    <m/>
    <m/>
    <s v="m³"/>
    <n v="0.14422800000000002"/>
    <s v="US$/m³"/>
    <s v="Volume from EIA. Price from BPSR 2014, and is an average of the UK, US and Canada Indices for natural gas."/>
    <n v="232792299.53280005"/>
    <m/>
    <m/>
    <m/>
    <m/>
    <m/>
    <m/>
    <m/>
    <m/>
    <m/>
    <m/>
    <m/>
    <m/>
    <n v="1143489017.5999999"/>
    <s v="Not given"/>
    <m/>
    <m/>
    <m/>
    <m/>
    <m/>
    <m/>
    <m/>
    <m/>
    <m/>
    <m/>
    <s v="In-kind receipts include gas received by state and PETROCI.  Value of in-kind payments has not been calculated because part of in-kind oil/gas is commercialized by PETROCI on behalf of the state and already included in revenue totals."/>
    <m/>
    <m/>
    <m/>
    <m/>
    <m/>
    <m/>
    <m/>
    <m/>
    <m/>
    <m/>
    <m/>
    <m/>
    <m/>
    <m/>
    <m/>
    <m/>
    <m/>
    <m/>
    <m/>
    <m/>
  </r>
  <r>
    <x v="50"/>
    <n v="2009"/>
    <x v="8"/>
    <s v="Africa"/>
    <m/>
    <s v="Oil"/>
    <s v="no"/>
    <s v="no"/>
    <s v="yes"/>
    <s v="Oil"/>
    <s v="detailed"/>
    <s v="detailed Oil"/>
    <n v="21352500"/>
    <m/>
    <m/>
    <m/>
    <m/>
    <s v="bbl"/>
    <n v="62.082733849999997"/>
    <s v="US$/bbl"/>
    <s v="Volume from EIA. Price from BPSR 2014, and is an average of the spot prices for Brent, Dubai, Nigerian Forcados and West Texas Intermediate crude oil."/>
    <n v="1325621574.532125"/>
    <m/>
    <m/>
    <m/>
    <m/>
    <m/>
    <m/>
    <m/>
    <m/>
    <m/>
    <m/>
    <m/>
    <m/>
    <n v="3008412"/>
    <s v="Not given"/>
    <m/>
    <m/>
    <m/>
    <m/>
    <m/>
    <m/>
    <m/>
    <m/>
    <m/>
    <m/>
    <s v="In-kind receipts include oil received by state and PETROCI.  Value of in-kind payments has not been calculated because part of in-kind oil/gas is commercialized by PETROCI on behalf of the state and already included in revenue totals."/>
    <m/>
    <m/>
    <m/>
    <m/>
    <m/>
    <m/>
    <m/>
    <m/>
    <m/>
    <m/>
    <m/>
    <m/>
    <m/>
    <m/>
    <m/>
    <m/>
    <m/>
    <m/>
    <m/>
    <m/>
  </r>
  <r>
    <x v="50"/>
    <n v="2009"/>
    <x v="8"/>
    <s v="Africa"/>
    <m/>
    <s v="Mining"/>
    <s v="yes"/>
    <s v="no"/>
    <s v="no"/>
    <s v="Total Mining"/>
    <s v="Total"/>
    <s v="Total Mining"/>
    <m/>
    <m/>
    <m/>
    <m/>
    <m/>
    <m/>
    <m/>
    <m/>
    <m/>
    <n v="219547895.12541741"/>
    <m/>
    <m/>
    <m/>
    <n v="17431493.029891003"/>
    <n v="17175421.226846177"/>
    <m/>
    <m/>
    <m/>
    <n v="7.9397222277777749E-2"/>
    <m/>
    <m/>
    <m/>
    <m/>
    <m/>
    <m/>
    <m/>
    <m/>
    <m/>
    <m/>
    <m/>
    <m/>
    <m/>
    <m/>
    <m/>
    <m/>
    <m/>
    <m/>
    <m/>
    <m/>
    <m/>
    <m/>
    <m/>
    <m/>
    <m/>
    <m/>
    <m/>
    <m/>
    <m/>
    <m/>
    <m/>
    <m/>
    <m/>
    <m/>
    <m/>
    <m/>
  </r>
  <r>
    <x v="50"/>
    <n v="2009"/>
    <x v="8"/>
    <s v="Africa"/>
    <m/>
    <s v="Mining"/>
    <s v="yes"/>
    <s v="no"/>
    <s v="no"/>
    <s v="Gold"/>
    <s v="detailed"/>
    <s v="detailed Mining"/>
    <n v="223351.21249983719"/>
    <m/>
    <n v="225055"/>
    <m/>
    <m/>
    <s v="toz"/>
    <n v="972.96591666666995"/>
    <s v="US$/toz"/>
    <s v="Volume from USGS Mineral Yearbook 2012. Price from World Bank (Global Economic Monitor (GEM) Commodities database), and is defined as: Gold (UK), 99.5% fine, London afternoon fixing, average of daily rates."/>
    <n v="218970844.37541741"/>
    <m/>
    <m/>
    <m/>
    <m/>
    <m/>
    <m/>
    <m/>
    <m/>
    <m/>
    <m/>
    <m/>
    <m/>
    <m/>
    <m/>
    <m/>
    <m/>
    <m/>
    <m/>
    <m/>
    <m/>
    <m/>
    <m/>
    <m/>
    <m/>
    <m/>
    <m/>
    <m/>
    <m/>
    <m/>
    <m/>
    <m/>
    <m/>
    <m/>
    <m/>
    <m/>
    <m/>
    <m/>
    <m/>
    <m/>
    <m/>
    <m/>
    <m/>
    <m/>
    <m/>
    <m/>
  </r>
  <r>
    <x v="50"/>
    <n v="2009"/>
    <x v="8"/>
    <s v="Africa"/>
    <m/>
    <s v="Mining"/>
    <s v="yes"/>
    <s v="no"/>
    <s v="no"/>
    <s v="Manganese"/>
    <s v="detailed"/>
    <s v="detailed Mining"/>
    <m/>
    <m/>
    <n v="100000"/>
    <m/>
    <m/>
    <m/>
    <n v="7.95"/>
    <s v="US$/t"/>
    <s v="Price from USGS Mineral Commodity Summary 2013, and is the c.i.f. price at US ports for metallurgical ore with 46-48% manganese content. "/>
    <n v="577050.75"/>
    <m/>
    <m/>
    <m/>
    <m/>
    <m/>
    <m/>
    <m/>
    <m/>
    <m/>
    <m/>
    <m/>
    <m/>
    <m/>
    <m/>
    <m/>
    <m/>
    <m/>
    <m/>
    <m/>
    <m/>
    <m/>
    <m/>
    <m/>
    <m/>
    <m/>
    <m/>
    <m/>
    <m/>
    <m/>
    <m/>
    <m/>
    <m/>
    <m/>
    <m/>
    <m/>
    <m/>
    <m/>
    <m/>
    <m/>
    <m/>
    <m/>
    <m/>
    <m/>
    <m/>
    <m/>
  </r>
  <r>
    <x v="50"/>
    <n v="2009"/>
    <x v="8"/>
    <s v="Africa"/>
    <m/>
    <s v="Mining"/>
    <s v="yes"/>
    <s v="no"/>
    <s v="no"/>
    <s v="o/w Manganese ore"/>
    <s v="detailed"/>
    <s v="detailed Mining"/>
    <n v="161300"/>
    <m/>
    <m/>
    <m/>
    <m/>
    <s v="t"/>
    <m/>
    <m/>
    <s v="Volume from USGS Mineral Yearbook 2012"/>
    <m/>
    <m/>
    <m/>
    <m/>
    <m/>
    <m/>
    <m/>
    <m/>
    <m/>
    <m/>
    <m/>
    <m/>
    <m/>
    <m/>
    <m/>
    <m/>
    <m/>
    <m/>
    <m/>
    <m/>
    <m/>
    <m/>
    <m/>
    <m/>
    <m/>
    <m/>
    <m/>
    <m/>
    <m/>
    <m/>
    <m/>
    <m/>
    <m/>
    <m/>
    <m/>
    <m/>
    <m/>
    <m/>
    <m/>
    <m/>
    <m/>
    <m/>
    <m/>
    <m/>
    <m/>
    <m/>
  </r>
  <r>
    <x v="50"/>
    <n v="2009"/>
    <x v="8"/>
    <s v="Africa"/>
    <m/>
    <s v="Mining"/>
    <s v="yes"/>
    <s v="no"/>
    <s v="no"/>
    <s v="o/w Manganese content"/>
    <s v="detailed"/>
    <s v="detailed Mining"/>
    <n v="72585"/>
    <m/>
    <m/>
    <m/>
    <m/>
    <s v="t"/>
    <m/>
    <m/>
    <s v="Volume from USGS Mineral Yearbook 2012"/>
    <m/>
    <m/>
    <m/>
    <m/>
    <m/>
    <m/>
    <m/>
    <m/>
    <m/>
    <m/>
    <m/>
    <m/>
    <m/>
    <m/>
    <m/>
    <m/>
    <m/>
    <m/>
    <m/>
    <m/>
    <m/>
    <m/>
    <m/>
    <m/>
    <m/>
    <m/>
    <m/>
    <m/>
    <m/>
    <m/>
    <m/>
    <m/>
    <m/>
    <m/>
    <m/>
    <m/>
    <m/>
    <m/>
    <m/>
    <m/>
    <m/>
    <m/>
    <m/>
    <m/>
    <m/>
    <m/>
  </r>
  <r>
    <x v="51"/>
    <n v="2010"/>
    <x v="8"/>
    <s v="Africa"/>
    <s v="http://www.cnitie.ci/"/>
    <s v="Oil, Gas, Mining"/>
    <s v="yes"/>
    <s v="yes"/>
    <s v="yes"/>
    <s v="Total"/>
    <s v="Total"/>
    <s v="Total Oil, Gas, Mining"/>
    <m/>
    <m/>
    <m/>
    <m/>
    <m/>
    <m/>
    <m/>
    <m/>
    <m/>
    <n v="1750050831.589488"/>
    <s v="State-owned company production entitlement, Profits/Taxes, Royalties, Dividends, Bonuses, Licenses and concessions, Other significant benefits to government"/>
    <s v="Also covers payments made in-kind"/>
    <s v="No"/>
    <n v="245231916.38661528"/>
    <n v="268224380.18679258"/>
    <m/>
    <m/>
    <m/>
    <n v="0.14012845339119823"/>
    <s v="West African CFA Franc"/>
    <n v="485.03"/>
    <s v="Disaggregated by revenue stream"/>
    <m/>
    <m/>
    <m/>
    <m/>
    <n v="22"/>
    <s v="Petroleum: Petroci Holding (National oil company), Afren, Canadian National Resources (CRN), Foxtrot International, Anadarko, C&amp;L Natural Resources, Edison, Lukoil, Oranto, Tullow Oil, Vanco, Yam's Petroleum. Mining: Sodemi (state mining company), LGL-Equigold, Societe des Mines D'Ity (SMI), Yaoure mining, BIPTFOP, Cominor, Etruscan Resources, Golden Oriole, Golden Star Exloration, Jofema Mineral Resources, Mayana SARL, New African Business Corporation, Newmont Overseas Exploration, Occidental Gold, Rockstone GOld, Randgold Resources, SOMICI, Tata Steel, Taurian, TD Continental."/>
    <n v="17"/>
    <s v="May 2012"/>
    <d v="2014-11-06T00:00:00"/>
    <s v="Fair Links"/>
    <s v="http://eiti.org/files/Cote-dIvoire-2010-EITI-Report.pdf"/>
    <s v="4, 5, 9-11"/>
    <s v=" 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Note that eiti.org totals appear to include dividends paid to Sodemi by private companies as company payments, rather than govt receipts. Here, &quot;Total received by govt&quot; includes FCFA 2,382,480,000 in dividends paid to Sodemi by other mining companies. Five companies did not report, and were not included in reconciliation."/>
    <m/>
    <m/>
    <m/>
    <m/>
    <m/>
    <m/>
    <m/>
    <m/>
    <m/>
    <m/>
    <m/>
    <m/>
    <m/>
    <m/>
    <m/>
    <m/>
    <m/>
    <m/>
    <m/>
    <m/>
  </r>
  <r>
    <x v="51"/>
    <n v="2010"/>
    <x v="8"/>
    <s v="Africa"/>
    <m/>
    <s v="Oil, Gas"/>
    <s v="no"/>
    <s v="yes"/>
    <s v="yes"/>
    <s v="Total Oil &amp; Gas"/>
    <s v="Total"/>
    <s v="Total Oil, Gas"/>
    <m/>
    <m/>
    <m/>
    <m/>
    <m/>
    <m/>
    <m/>
    <m/>
    <m/>
    <n v="1552803238.2092381"/>
    <m/>
    <m/>
    <m/>
    <n v="225299829.27653959"/>
    <n v="248262157.9077583"/>
    <m/>
    <m/>
    <m/>
    <n v="0.14509232318214729"/>
    <m/>
    <m/>
    <m/>
    <m/>
    <m/>
    <m/>
    <m/>
    <m/>
    <m/>
    <m/>
    <m/>
    <m/>
    <m/>
    <m/>
    <m/>
    <s v="PETROCI's payments to the state are included in Total Payments by Companies"/>
    <m/>
    <m/>
    <m/>
    <m/>
    <m/>
    <m/>
    <m/>
    <m/>
    <m/>
    <m/>
    <m/>
    <m/>
    <m/>
    <m/>
    <m/>
    <m/>
    <m/>
    <m/>
    <m/>
    <m/>
  </r>
  <r>
    <x v="51"/>
    <n v="2010"/>
    <x v="8"/>
    <s v="Africa"/>
    <m/>
    <s v="Gas"/>
    <s v="no"/>
    <s v="yes"/>
    <s v="no"/>
    <s v="Gas"/>
    <s v="detailed"/>
    <s v="detailed Gas"/>
    <n v="1500790400"/>
    <m/>
    <m/>
    <m/>
    <m/>
    <s v="m³"/>
    <n v="0.1741077336927683"/>
    <s v="US$/m³"/>
    <s v="Volume from EIA. Price from BPSR 2014, and is an average of the UK, US and Canada Indices for natural gas."/>
    <n v="261299215.2918632"/>
    <m/>
    <m/>
    <m/>
    <m/>
    <m/>
    <m/>
    <m/>
    <m/>
    <m/>
    <m/>
    <m/>
    <m/>
    <n v="1171324432"/>
    <s v="Not given"/>
    <m/>
    <m/>
    <m/>
    <m/>
    <m/>
    <m/>
    <m/>
    <m/>
    <m/>
    <m/>
    <s v="In-kind receipts include gas received by state and PETROCI.  Value of in-kind payments has not been calculated because part of in-kind oil/gas is commercialized by PETROCI on behalf of the state and already included in revenue totals."/>
    <m/>
    <m/>
    <m/>
    <m/>
    <m/>
    <m/>
    <m/>
    <m/>
    <m/>
    <m/>
    <m/>
    <m/>
    <m/>
    <m/>
    <m/>
    <m/>
    <m/>
    <m/>
    <m/>
    <m/>
  </r>
  <r>
    <x v="51"/>
    <n v="2010"/>
    <x v="8"/>
    <s v="Africa"/>
    <m/>
    <s v="Oil"/>
    <s v="no"/>
    <s v="no"/>
    <s v="yes"/>
    <s v="Oil"/>
    <s v="detailed"/>
    <s v="detailed Oil"/>
    <n v="16242500"/>
    <m/>
    <m/>
    <m/>
    <m/>
    <s v="bbl"/>
    <n v="79.513869349999993"/>
    <s v="US$/bbl"/>
    <s v="Volume from EIA. Price from BPSR 2014, and is an average of the spot prices for Brent, Dubai, Nigerian Forcados and West Texas Intermediate crude oil."/>
    <n v="1291504022.9173748"/>
    <m/>
    <m/>
    <m/>
    <m/>
    <m/>
    <m/>
    <m/>
    <m/>
    <m/>
    <m/>
    <m/>
    <m/>
    <n v="3029014"/>
    <s v="Not given"/>
    <m/>
    <m/>
    <m/>
    <m/>
    <m/>
    <m/>
    <m/>
    <m/>
    <m/>
    <m/>
    <s v="In-kind receipts include oil received by state and PETROCI.  Value of in-kind payments has not been calculated because part of in-kind oil/gas is commercialized by PETROCI on behalf of the state and already included in revenue totals."/>
    <m/>
    <m/>
    <m/>
    <m/>
    <m/>
    <m/>
    <m/>
    <m/>
    <m/>
    <m/>
    <m/>
    <m/>
    <m/>
    <m/>
    <m/>
    <m/>
    <m/>
    <m/>
    <m/>
    <m/>
  </r>
  <r>
    <x v="51"/>
    <n v="2010"/>
    <x v="8"/>
    <s v="Africa"/>
    <m/>
    <s v="Mining"/>
    <s v="yes"/>
    <s v="no"/>
    <s v="no"/>
    <s v="Total Mining"/>
    <s v="Total"/>
    <s v="Total Mining"/>
    <m/>
    <m/>
    <m/>
    <m/>
    <m/>
    <m/>
    <m/>
    <m/>
    <m/>
    <n v="197247593.38025001"/>
    <m/>
    <m/>
    <m/>
    <n v="19932087.110075668"/>
    <n v="19962222.279034287"/>
    <m/>
    <m/>
    <m/>
    <n v="0.10105110419091899"/>
    <m/>
    <m/>
    <m/>
    <m/>
    <m/>
    <m/>
    <m/>
    <m/>
    <m/>
    <m/>
    <m/>
    <m/>
    <m/>
    <m/>
    <m/>
    <s v="Sodemi's receipts are included in Total Received by Govt"/>
    <m/>
    <m/>
    <m/>
    <m/>
    <m/>
    <m/>
    <m/>
    <m/>
    <m/>
    <m/>
    <m/>
    <m/>
    <m/>
    <m/>
    <m/>
    <m/>
    <m/>
    <m/>
    <m/>
    <m/>
  </r>
  <r>
    <x v="51"/>
    <n v="2010"/>
    <x v="8"/>
    <s v="Africa"/>
    <m/>
    <s v="Mining"/>
    <s v="yes"/>
    <s v="no"/>
    <s v="no"/>
    <s v="Gold"/>
    <s v="detailed"/>
    <s v="detailed Mining"/>
    <n v="170720.44600174687"/>
    <m/>
    <n v="160753"/>
    <m/>
    <m/>
    <s v="toz"/>
    <n v="1224.66425"/>
    <s v="US$/toz"/>
    <s v="Volume from USGS Mineral Yearbook 2012. Price from World Bank (Global Economic Monitor (GEM) Commodities database), and is defined as: Gold (UK), 99.5% fine, London afternoon fixing, average of daily rates."/>
    <n v="196868452.18025002"/>
    <m/>
    <m/>
    <m/>
    <m/>
    <m/>
    <m/>
    <m/>
    <m/>
    <m/>
    <m/>
    <m/>
    <m/>
    <m/>
    <m/>
    <m/>
    <m/>
    <m/>
    <m/>
    <m/>
    <m/>
    <m/>
    <m/>
    <m/>
    <m/>
    <m/>
    <m/>
    <m/>
    <m/>
    <m/>
    <m/>
    <m/>
    <m/>
    <m/>
    <m/>
    <m/>
    <m/>
    <m/>
    <m/>
    <m/>
    <m/>
    <m/>
    <m/>
    <m/>
    <m/>
    <m/>
  </r>
  <r>
    <x v="51"/>
    <n v="2010"/>
    <x v="8"/>
    <s v="Africa"/>
    <m/>
    <s v="Mining"/>
    <s v="yes"/>
    <s v="no"/>
    <s v="no"/>
    <s v="Manganese"/>
    <s v="detailed"/>
    <s v="detailed Mining"/>
    <m/>
    <m/>
    <n v="70000"/>
    <m/>
    <m/>
    <s v="t"/>
    <n v="9.64"/>
    <s v="US$/t"/>
    <s v="Price from USGS Mineral Commodity Summary 2013, and is the c.i.f. price at US ports for metallurgical ore with 46-48% manganese content. "/>
    <n v="379141.2"/>
    <m/>
    <m/>
    <m/>
    <m/>
    <m/>
    <m/>
    <m/>
    <m/>
    <m/>
    <m/>
    <m/>
    <m/>
    <m/>
    <m/>
    <m/>
    <m/>
    <m/>
    <m/>
    <m/>
    <m/>
    <m/>
    <m/>
    <m/>
    <m/>
    <m/>
    <m/>
    <m/>
    <m/>
    <m/>
    <m/>
    <m/>
    <m/>
    <m/>
    <m/>
    <m/>
    <m/>
    <m/>
    <m/>
    <m/>
    <m/>
    <m/>
    <m/>
    <m/>
    <m/>
    <m/>
  </r>
  <r>
    <x v="51"/>
    <n v="2010"/>
    <x v="8"/>
    <s v="Africa"/>
    <m/>
    <s v="Mining"/>
    <s v="yes"/>
    <s v="no"/>
    <s v="no"/>
    <s v="o/w Manganese ore"/>
    <s v="detailed"/>
    <s v="detailed Mining"/>
    <n v="87400"/>
    <m/>
    <m/>
    <m/>
    <m/>
    <s v="t"/>
    <m/>
    <m/>
    <s v="Volume from USGS Mineral Yearbook 2012"/>
    <m/>
    <m/>
    <m/>
    <m/>
    <m/>
    <m/>
    <m/>
    <m/>
    <m/>
    <m/>
    <m/>
    <m/>
    <m/>
    <m/>
    <m/>
    <m/>
    <m/>
    <m/>
    <m/>
    <m/>
    <m/>
    <m/>
    <m/>
    <m/>
    <m/>
    <m/>
    <m/>
    <m/>
    <m/>
    <m/>
    <m/>
    <m/>
    <m/>
    <m/>
    <m/>
    <m/>
    <m/>
    <m/>
    <m/>
    <m/>
    <m/>
    <m/>
    <m/>
    <m/>
    <m/>
    <m/>
  </r>
  <r>
    <x v="51"/>
    <n v="2010"/>
    <x v="8"/>
    <s v="Africa"/>
    <m/>
    <s v="Mining"/>
    <s v="yes"/>
    <s v="no"/>
    <s v="no"/>
    <s v="o/w Manganese content"/>
    <s v="detailed"/>
    <s v="detailed Mining"/>
    <n v="39330"/>
    <m/>
    <m/>
    <m/>
    <m/>
    <s v="t"/>
    <m/>
    <m/>
    <s v="Volume from USGS Mineral Yearbook 2012"/>
    <m/>
    <m/>
    <m/>
    <m/>
    <m/>
    <m/>
    <m/>
    <m/>
    <m/>
    <m/>
    <m/>
    <m/>
    <m/>
    <m/>
    <m/>
    <m/>
    <m/>
    <m/>
    <m/>
    <m/>
    <m/>
    <m/>
    <m/>
    <m/>
    <m/>
    <m/>
    <m/>
    <m/>
    <m/>
    <m/>
    <m/>
    <m/>
    <m/>
    <m/>
    <m/>
    <m/>
    <m/>
    <m/>
    <m/>
    <m/>
    <m/>
    <m/>
    <m/>
    <m/>
    <m/>
    <m/>
  </r>
  <r>
    <x v="52"/>
    <n v="2011"/>
    <x v="8"/>
    <s v="Africa"/>
    <s v="http://www.cnitie.ci/"/>
    <s v="Oil, Gas, Mining"/>
    <s v="yes"/>
    <s v="yes"/>
    <s v="yes"/>
    <s v="Total"/>
    <s v="Total"/>
    <s v="Total Oil, Gas, Mining"/>
    <m/>
    <m/>
    <m/>
    <m/>
    <m/>
    <m/>
    <m/>
    <m/>
    <m/>
    <n v="2356429709.994287"/>
    <s v="Host government's production entitlement, State-owned company production entitlement, Royalties, Dividends, Licenses and concessions, Other significant benefits to government"/>
    <s v="Also covers payments made in-kind"/>
    <s v="No"/>
    <n v="389368836.09803921"/>
    <n v="397882411.3509804"/>
    <m/>
    <m/>
    <m/>
    <n v="0.16523677088546945"/>
    <s v="West African CFA Franc"/>
    <n v="510"/>
    <s v="Disaggregated by revenue stream"/>
    <m/>
    <m/>
    <m/>
    <m/>
    <n v="35"/>
    <s v="Petroleum: Petroci Holding (National oil company), Afren, Canadian National Resources (CRN), Foxtrot International, African Petroleum, Anadarko, Edison, Lukoil, Oranto, Rialto Energy (ex C&amp;L Natural Resources), Taleveras, Total, Tullow Oil, Vanco, Yam's Petroleum. Mining: Sodemi (state mining company), LGL-Equigold, Societe des Mines D'Ity (SMI), Yaoure mining, Tongon, Boundoukou Manganese (ex Taurian), Carem (ex BIPTFOP), Cominor, Etruscan Resources, Golden Oriole, Golden Star Exloration, Jofema Mineral Resources, New African Business Corporation, Newmont Overseas Exploration, Occidental Gold, Randgold Resources, Rockstone Gold, SOMICI, Tata Steel, TD Continental."/>
    <n v="34"/>
    <d v="2013-04-01T00:00:00"/>
    <d v="2014-11-06T00:00:00"/>
    <s v="Fair Links"/>
    <s v="http://eiti.org/files/Cote-dIvoire-2011-EITI-Report-FR.pdf"/>
    <s v="8, 9, 16-18"/>
    <s v="PETROCI, the national petroleum company, is included both as a recipient of certain revenues (in-kind profit oil and gas, Besoins nationaux) and a paying entity (it pays dividends and the proceeds of commercialized profit oil/gas and dividends to the state). Total state revenues include companies' financial payments, Petroci's dividends, and the value of profit oil/gas commercialized by PETROCI on behalf of the state. The value of profit oil/gas retained by PETROCI is not included in government totals and has not been added. Sodemi, the state mining company, collects dividends from companies on behalf of the state; these revenues are included in govt totals. Sodemi also makes payments (royalties, BIC tax) to the government. eiti.org totals do not appear to include PETROCI and SODEMI flows; however, even when these flows are added there are small (less than 1%) differences between the totals here and those given by eiti.org. One mining company (Rockstone Gold) did not report, and were not included in reconciliation."/>
    <m/>
    <m/>
    <m/>
    <m/>
    <m/>
    <m/>
    <m/>
    <m/>
    <m/>
    <m/>
    <m/>
    <m/>
    <m/>
    <m/>
    <m/>
    <m/>
    <m/>
    <m/>
    <m/>
    <m/>
  </r>
  <r>
    <x v="52"/>
    <n v="2011"/>
    <x v="8"/>
    <s v="Africa"/>
    <m/>
    <s v="Oil, Gas"/>
    <s v="no"/>
    <s v="yes"/>
    <s v="yes"/>
    <s v="Total Oil &amp; Gas"/>
    <s v="Total"/>
    <s v="Total Oil, Gas"/>
    <m/>
    <m/>
    <m/>
    <m/>
    <m/>
    <m/>
    <m/>
    <m/>
    <m/>
    <n v="1858270377.2353683"/>
    <m/>
    <m/>
    <m/>
    <n v="364561103.48039216"/>
    <n v="372266022.58039218"/>
    <m/>
    <m/>
    <m/>
    <n v="0.19618302478822591"/>
    <m/>
    <m/>
    <m/>
    <m/>
    <m/>
    <m/>
    <m/>
    <m/>
    <m/>
    <m/>
    <m/>
    <m/>
    <m/>
    <m/>
    <m/>
    <s v="Total Received by Govt includes Profit-Oil et Cost-Oil Etat-Associé (numéraire) and Besoins nationaux received by PETROCI on behalf of the state. Total Payments by Companies includes PETROCI's payment of Profit-Oil Etat-Puissance Publique (numéraire) to the state."/>
    <m/>
    <m/>
    <m/>
    <m/>
    <m/>
    <m/>
    <m/>
    <m/>
    <m/>
    <m/>
    <m/>
    <m/>
    <m/>
    <m/>
    <m/>
    <m/>
    <m/>
    <m/>
    <m/>
    <m/>
  </r>
  <r>
    <x v="52"/>
    <n v="2011"/>
    <x v="8"/>
    <s v="Africa"/>
    <m/>
    <s v="Gas"/>
    <s v="no"/>
    <s v="yes"/>
    <s v="no"/>
    <s v="Gas"/>
    <s v="detailed"/>
    <s v="detailed Gas"/>
    <n v="1500790400"/>
    <m/>
    <m/>
    <m/>
    <m/>
    <s v="m³"/>
    <n v="0.19666043794616025"/>
    <s v="US$/m³"/>
    <s v="Volume from EIA. Price from BPSR 2014, and is an average of the UK, US and Canada Indices for natural gas."/>
    <n v="295146097.32939303"/>
    <m/>
    <m/>
    <m/>
    <m/>
    <m/>
    <m/>
    <m/>
    <m/>
    <m/>
    <m/>
    <m/>
    <m/>
    <n v="1346389800"/>
    <s v="Not given"/>
    <m/>
    <m/>
    <m/>
    <m/>
    <m/>
    <m/>
    <m/>
    <m/>
    <m/>
    <m/>
    <s v="In-kind receipts include gas received by PETROCI on behalf of the state and by PETROCI for its own account. Note that in-kind volumes are as reported by Petroci; unlike past EITI Reports, the 2011 report also gives company reported in-kind payments. Company payments match PETROCI's reported receipts except for the state's share of entitlement gas: companies reported paying 670 MMBTU (24 million cubic meters) more than Petroci reported receiving.  Value of in-kind payments has not been calculated because part of in-kind oil/gas is commercialized by PETROCI on behalf of the state and already included in revenue totals."/>
    <m/>
    <m/>
    <m/>
    <m/>
    <m/>
    <m/>
    <m/>
    <m/>
    <m/>
    <m/>
    <m/>
    <m/>
    <m/>
    <m/>
    <m/>
    <m/>
    <m/>
    <m/>
    <m/>
    <m/>
  </r>
  <r>
    <x v="52"/>
    <n v="2011"/>
    <x v="8"/>
    <s v="Africa"/>
    <m/>
    <s v="Oil"/>
    <s v="no"/>
    <s v="no"/>
    <s v="yes"/>
    <s v="Oil"/>
    <s v="detailed"/>
    <s v="detailed Oil"/>
    <n v="14673000"/>
    <m/>
    <m/>
    <m/>
    <m/>
    <s v="bbl"/>
    <n v="106.530653575"/>
    <s v="US$/bbl"/>
    <s v="Volume from EIA. Price from BPSR 2014, and is an average of the spot prices for Brent, Dubai, Nigerian Forcados and West Texas Intermediate crude oil."/>
    <n v="1563124279.9059751"/>
    <m/>
    <m/>
    <m/>
    <m/>
    <m/>
    <m/>
    <m/>
    <m/>
    <m/>
    <m/>
    <m/>
    <m/>
    <n v="4319000"/>
    <s v="Not given"/>
    <m/>
    <m/>
    <m/>
    <m/>
    <m/>
    <m/>
    <m/>
    <m/>
    <m/>
    <m/>
    <s v="In-kind receipts include oil received by state and PETROCI.  Note that in-kind volumes are as reported by Petroci; unlike past EITI Reports, the 2011 report also gives company reported in-kind payments. Company oil payments match PETROCI's reported receipts. Value of in-kind payments has not been calculated because part of in-kind oil/gas is commercialized by PETROCI on behalf of the state and already included in revenue totals."/>
    <m/>
    <m/>
    <m/>
    <m/>
    <m/>
    <m/>
    <m/>
    <m/>
    <m/>
    <m/>
    <m/>
    <m/>
    <m/>
    <m/>
    <m/>
    <m/>
    <m/>
    <m/>
    <m/>
    <m/>
  </r>
  <r>
    <x v="52"/>
    <n v="2011"/>
    <x v="8"/>
    <s v="Africa"/>
    <m/>
    <s v="Mining"/>
    <s v="yes"/>
    <s v="no"/>
    <s v="no"/>
    <s v="Total Mining"/>
    <s v="Total"/>
    <s v="Total Mining"/>
    <m/>
    <m/>
    <m/>
    <m/>
    <m/>
    <m/>
    <m/>
    <m/>
    <m/>
    <n v="498159332.75891894"/>
    <m/>
    <m/>
    <m/>
    <n v="24807732.617647059"/>
    <n v="25616388.770588234"/>
    <m/>
    <m/>
    <m/>
    <n v="4.9798791242665737E-2"/>
    <m/>
    <m/>
    <m/>
    <m/>
    <m/>
    <m/>
    <m/>
    <m/>
    <m/>
    <m/>
    <m/>
    <m/>
    <m/>
    <m/>
    <m/>
    <s v="Total Received by Govt includes Sodemi receipts of Dividendes issus des participations de SODEMI. Total Payments by Companies includes Sodemi's payments to the state of Redevances superficiaires and Impot BIC."/>
    <m/>
    <m/>
    <m/>
    <m/>
    <m/>
    <m/>
    <m/>
    <m/>
    <m/>
    <m/>
    <m/>
    <m/>
    <m/>
    <m/>
    <m/>
    <m/>
    <m/>
    <m/>
    <m/>
    <m/>
  </r>
  <r>
    <x v="52"/>
    <n v="2011"/>
    <x v="8"/>
    <s v="Africa"/>
    <m/>
    <s v="Mining"/>
    <s v="yes"/>
    <s v="no"/>
    <s v="no"/>
    <s v="Gold"/>
    <s v="detailed"/>
    <s v="detailed Mining"/>
    <n v="317359.98540174071"/>
    <m/>
    <m/>
    <m/>
    <m/>
    <s v="toz"/>
    <n v="1569.2108333333299"/>
    <s v="US$/toz"/>
    <s v="Volume from USGS Mineral Yearbook 2012. Price from World Bank (Global Economic Monitor (GEM) Commodities database), and is defined as: Gold (UK), 99.5% fine, London afternoon fixing, average of daily rates."/>
    <n v="498004727.15891892"/>
    <m/>
    <m/>
    <m/>
    <m/>
    <m/>
    <m/>
    <m/>
    <m/>
    <m/>
    <m/>
    <m/>
    <m/>
    <m/>
    <m/>
    <m/>
    <m/>
    <m/>
    <m/>
    <m/>
    <m/>
    <m/>
    <m/>
    <m/>
    <m/>
    <s v="Gold exports are given in the report (12 tons) but not the production. "/>
    <m/>
    <m/>
    <m/>
    <m/>
    <m/>
    <m/>
    <m/>
    <m/>
    <m/>
    <m/>
    <m/>
    <m/>
    <m/>
    <m/>
    <m/>
    <m/>
    <m/>
    <m/>
    <m/>
    <m/>
  </r>
  <r>
    <x v="52"/>
    <n v="2011"/>
    <x v="8"/>
    <s v="Africa"/>
    <m/>
    <s v="Mining"/>
    <s v="yes"/>
    <s v="no"/>
    <s v="no"/>
    <s v="Manganese"/>
    <s v="detailed"/>
    <s v="detailed Mining"/>
    <m/>
    <m/>
    <m/>
    <m/>
    <m/>
    <m/>
    <n v="7.88"/>
    <s v="US$/t"/>
    <s v="Price from USGS Mineral Commodity Summary 2013, and is the c.i.f. price at US ports for metallurgical ore with 46-48% manganese content. "/>
    <n v="154605.6"/>
    <m/>
    <m/>
    <m/>
    <m/>
    <m/>
    <m/>
    <m/>
    <m/>
    <m/>
    <m/>
    <m/>
    <m/>
    <m/>
    <m/>
    <m/>
    <m/>
    <m/>
    <m/>
    <m/>
    <m/>
    <m/>
    <m/>
    <m/>
    <m/>
    <m/>
    <m/>
    <m/>
    <m/>
    <m/>
    <m/>
    <m/>
    <m/>
    <m/>
    <m/>
    <m/>
    <m/>
    <m/>
    <m/>
    <m/>
    <m/>
    <m/>
    <m/>
    <m/>
    <m/>
    <m/>
  </r>
  <r>
    <x v="52"/>
    <n v="2011"/>
    <x v="8"/>
    <s v="Africa"/>
    <m/>
    <s v="Mining"/>
    <s v="yes"/>
    <s v="no"/>
    <s v="no"/>
    <s v="o/w Manganese ore"/>
    <s v="detailed"/>
    <s v="detailed Mining"/>
    <n v="43600"/>
    <m/>
    <m/>
    <m/>
    <m/>
    <s v="t"/>
    <m/>
    <m/>
    <s v="Volume from USGS Mineral Yearbook 2012"/>
    <m/>
    <m/>
    <m/>
    <m/>
    <m/>
    <m/>
    <m/>
    <m/>
    <m/>
    <m/>
    <m/>
    <m/>
    <m/>
    <m/>
    <m/>
    <m/>
    <m/>
    <m/>
    <m/>
    <m/>
    <m/>
    <m/>
    <m/>
    <m/>
    <m/>
    <m/>
    <m/>
    <m/>
    <m/>
    <m/>
    <m/>
    <m/>
    <m/>
    <m/>
    <m/>
    <m/>
    <m/>
    <m/>
    <m/>
    <m/>
    <m/>
    <m/>
    <m/>
    <m/>
    <m/>
    <m/>
  </r>
  <r>
    <x v="52"/>
    <n v="2011"/>
    <x v="8"/>
    <s v="Africa"/>
    <m/>
    <s v="Mining"/>
    <s v="yes"/>
    <s v="no"/>
    <s v="no"/>
    <s v="o/w Manganese content"/>
    <s v="detailed"/>
    <s v="detailed Mining"/>
    <n v="19620"/>
    <m/>
    <m/>
    <m/>
    <m/>
    <s v="t"/>
    <m/>
    <m/>
    <s v="Volume from USGS Mineral Yearbook 2012"/>
    <m/>
    <m/>
    <m/>
    <m/>
    <m/>
    <m/>
    <m/>
    <m/>
    <m/>
    <m/>
    <m/>
    <m/>
    <m/>
    <m/>
    <m/>
    <m/>
    <m/>
    <m/>
    <m/>
    <m/>
    <m/>
    <m/>
    <m/>
    <m/>
    <m/>
    <m/>
    <m/>
    <m/>
    <m/>
    <m/>
    <m/>
    <m/>
    <m/>
    <m/>
    <m/>
    <m/>
    <m/>
    <m/>
    <m/>
    <m/>
    <m/>
    <m/>
    <m/>
    <m/>
    <m/>
    <m/>
  </r>
  <r>
    <x v="53"/>
    <n v="2012"/>
    <x v="8"/>
    <s v="Africa"/>
    <s v="http://www.cnitie.ci/"/>
    <s v="Oil, Gas, Mining"/>
    <m/>
    <m/>
    <m/>
    <s v="Total"/>
    <m/>
    <m/>
    <m/>
    <m/>
    <m/>
    <m/>
    <m/>
    <m/>
    <m/>
    <m/>
    <s v="Volume from EITI Report"/>
    <m/>
    <s v="Host government's production entitlement, State-owned company production entitlement, Profits/Taxes, Royalties, Dividends, Bonuses, Licenses and concessions"/>
    <s v="Also covers payments made in-kind"/>
    <s v="No"/>
    <n v="615027475"/>
    <n v="605454283.42999995"/>
    <m/>
    <n v="1016888372.9400001"/>
    <m/>
    <m/>
    <s v="West African CFA Franc"/>
    <n v="503.06799999999998"/>
    <s v="Disaggregated by revenue stream, Disaggregated by company"/>
    <m/>
    <m/>
    <m/>
    <m/>
    <n v="53"/>
    <s v="Tullow Oil, African Petroleum, Vitol Côte d'Ivoire, Vioco Petroleum (Rialto Petroleum), Anadarko, CNR International, Lukoil, Foxtrot International, Taleveras, Agbaou Gold Operations, Equigold CI, CMMK, Bondoukou Manganese SA, Etruscan Resources CI, Geb &amp;_x000a_Nut Ressources, CML, Golden Oriole, Geoservice, Niquelafrica, Jofema Mineral Resources, New Mining, Planet Mineral, NABC SA, Mayana SARL, Newmont Overseas Exploration LTD, B.I.P.T.F.O.P., Rockstone Gold SA, Resolute, Caystar CI, Somici, Sani Resources, Golden Star Exploration, Tata Steel CI SA, Sermis, Cominor, TD Continental, IBG ***"/>
    <n v="37"/>
    <s v="December 2014"/>
    <m/>
    <s v="Moore Stephens"/>
    <s v="https://eiti.org/files/CDI%202012%20EITI%20Report%20Final%20MS.pdf"/>
    <m/>
    <s v="Companies requested to report / reporting section unclear (and discrepancy with the website). Production volumes unclear. Only export volumes provided for some commodities. The prodcution value figures are the ones reported by the government. The EITI report also inlcudes companies production figures : USD1125024847.54 of oil and USD 587465312.84 of gold. "/>
    <m/>
    <m/>
    <m/>
    <m/>
    <m/>
    <m/>
    <m/>
    <m/>
    <m/>
    <m/>
    <m/>
    <m/>
    <m/>
    <m/>
    <m/>
    <m/>
    <m/>
    <m/>
    <m/>
    <m/>
  </r>
  <r>
    <x v="53"/>
    <n v="2012"/>
    <x v="8"/>
    <s v="Africa"/>
    <m/>
    <s v="Oil"/>
    <m/>
    <m/>
    <m/>
    <s v="Oil"/>
    <m/>
    <m/>
    <m/>
    <m/>
    <m/>
    <n v="10770318"/>
    <m/>
    <s v="bbl"/>
    <m/>
    <m/>
    <m/>
    <n v="1092762807.4100001"/>
    <m/>
    <m/>
    <m/>
    <m/>
    <m/>
    <m/>
    <m/>
    <m/>
    <m/>
    <m/>
    <m/>
    <m/>
    <m/>
    <m/>
    <m/>
    <m/>
    <m/>
    <m/>
    <m/>
    <m/>
    <m/>
    <m/>
    <m/>
    <m/>
    <m/>
    <m/>
    <m/>
    <m/>
    <m/>
    <m/>
    <m/>
    <m/>
    <m/>
    <m/>
    <m/>
    <m/>
    <m/>
    <m/>
    <m/>
    <m/>
    <m/>
    <m/>
    <m/>
    <m/>
    <m/>
  </r>
  <r>
    <x v="53"/>
    <n v="2012"/>
    <x v="8"/>
    <s v="Africa"/>
    <m/>
    <s v="Gas"/>
    <m/>
    <m/>
    <m/>
    <s v="Gas"/>
    <m/>
    <m/>
    <m/>
    <m/>
    <m/>
    <n v="62991498"/>
    <m/>
    <s v="btu"/>
    <m/>
    <m/>
    <m/>
    <m/>
    <m/>
    <m/>
    <m/>
    <m/>
    <m/>
    <m/>
    <m/>
    <m/>
    <m/>
    <m/>
    <m/>
    <m/>
    <m/>
    <m/>
    <m/>
    <m/>
    <m/>
    <m/>
    <m/>
    <m/>
    <m/>
    <m/>
    <m/>
    <m/>
    <m/>
    <m/>
    <m/>
    <m/>
    <m/>
    <m/>
    <m/>
    <m/>
    <m/>
    <m/>
    <m/>
    <m/>
    <m/>
    <m/>
    <m/>
    <m/>
    <m/>
    <m/>
    <m/>
    <m/>
    <m/>
  </r>
  <r>
    <x v="53"/>
    <n v="2012"/>
    <x v="8"/>
    <s v="Africa"/>
    <m/>
    <s v="Mining"/>
    <m/>
    <m/>
    <m/>
    <s v="Gold"/>
    <m/>
    <m/>
    <m/>
    <m/>
    <m/>
    <n v="10.050000000000001"/>
    <m/>
    <s v="t"/>
    <m/>
    <m/>
    <m/>
    <n v="549204083.74000001"/>
    <m/>
    <m/>
    <m/>
    <m/>
    <m/>
    <m/>
    <m/>
    <m/>
    <m/>
    <m/>
    <m/>
    <m/>
    <m/>
    <m/>
    <m/>
    <m/>
    <m/>
    <m/>
    <m/>
    <m/>
    <m/>
    <m/>
    <m/>
    <m/>
    <m/>
    <m/>
    <m/>
    <m/>
    <m/>
    <m/>
    <m/>
    <m/>
    <m/>
    <m/>
    <m/>
    <m/>
    <m/>
    <m/>
    <m/>
    <m/>
    <m/>
    <m/>
    <m/>
    <m/>
    <m/>
  </r>
  <r>
    <x v="53"/>
    <n v="2012"/>
    <x v="8"/>
    <s v="Africa"/>
    <m/>
    <s v="Mining"/>
    <m/>
    <m/>
    <m/>
    <s v="Manganese"/>
    <m/>
    <m/>
    <m/>
    <m/>
    <m/>
    <m/>
    <m/>
    <m/>
    <m/>
    <m/>
    <m/>
    <m/>
    <m/>
    <m/>
    <m/>
    <m/>
    <m/>
    <m/>
    <m/>
    <m/>
    <m/>
    <m/>
    <m/>
    <m/>
    <m/>
    <m/>
    <m/>
    <m/>
    <m/>
    <m/>
    <m/>
    <m/>
    <m/>
    <m/>
    <m/>
    <m/>
    <m/>
    <m/>
    <m/>
    <m/>
    <m/>
    <m/>
    <m/>
    <m/>
    <m/>
    <m/>
    <m/>
    <m/>
    <m/>
    <m/>
    <m/>
    <m/>
    <m/>
    <m/>
    <m/>
    <m/>
    <m/>
  </r>
  <r>
    <x v="54"/>
    <n v="2007"/>
    <x v="9"/>
    <s v="Africa"/>
    <s v="http://www.itierdc.com"/>
    <s v="Oil, Mining"/>
    <s v="yes"/>
    <s v="no"/>
    <s v="yes"/>
    <s v="Total"/>
    <s v="Total"/>
    <s v="Total Oil, Mining"/>
    <m/>
    <m/>
    <m/>
    <m/>
    <m/>
    <m/>
    <m/>
    <m/>
    <m/>
    <n v="1339869004.3996217"/>
    <s v="Profits/Taxes, Royalties, Dividends, Bonuses"/>
    <s v="Does not include payments made in-kind"/>
    <m/>
    <n v="416300000"/>
    <n v="416491000"/>
    <m/>
    <m/>
    <m/>
    <n v="0.31070201537092706"/>
    <m/>
    <n v="516.75"/>
    <s v="Disaggregated by revenue stream"/>
    <m/>
    <m/>
    <m/>
    <m/>
    <m/>
    <m/>
    <n v="26"/>
    <s v="November 2009"/>
    <d v="2014-10-10T00:00:00"/>
    <s v="PricewaterhouseCoopers DRC"/>
    <s v="http://eiti.org/files/DRC%202007%20EITI%20Report.pdf"/>
    <m/>
    <s v=""/>
    <m/>
    <m/>
    <m/>
    <m/>
    <m/>
    <m/>
    <m/>
    <m/>
    <m/>
    <m/>
    <m/>
    <m/>
    <m/>
    <m/>
    <m/>
    <m/>
    <m/>
    <m/>
    <m/>
    <m/>
  </r>
  <r>
    <x v="54"/>
    <n v="2007"/>
    <x v="9"/>
    <s v="Africa"/>
    <m/>
    <s v="Oil"/>
    <s v="no"/>
    <s v="no"/>
    <s v="yes"/>
    <s v="Oil"/>
    <s v="detailed"/>
    <s v="detailed Oil"/>
    <n v="8103000"/>
    <m/>
    <m/>
    <m/>
    <m/>
    <s v="bbl"/>
    <n v="71.819999999999993"/>
    <s v="US$/bbl"/>
    <s v="Volume from EIA. Price from BPSR 2014, and is an average of the spot prices for Brent, Dubai, Nigerian Forcados and West Texas Intermediate crude oil."/>
    <n v="581957460"/>
    <m/>
    <m/>
    <m/>
    <m/>
    <m/>
    <m/>
    <m/>
    <m/>
    <m/>
    <m/>
    <m/>
    <m/>
    <m/>
    <m/>
    <m/>
    <m/>
    <m/>
    <m/>
    <m/>
    <m/>
    <m/>
    <m/>
    <m/>
    <m/>
    <m/>
    <m/>
    <m/>
    <m/>
    <m/>
    <m/>
    <m/>
    <m/>
    <m/>
    <m/>
    <m/>
    <m/>
    <m/>
    <m/>
    <m/>
    <m/>
    <m/>
    <m/>
    <m/>
    <m/>
    <m/>
  </r>
  <r>
    <x v="54"/>
    <n v="2007"/>
    <x v="9"/>
    <s v="Africa"/>
    <m/>
    <s v="Mining"/>
    <s v="yes"/>
    <s v="no"/>
    <s v="no"/>
    <s v="Total Mining"/>
    <s v="Total"/>
    <s v="Total Mining"/>
    <m/>
    <m/>
    <m/>
    <m/>
    <m/>
    <m/>
    <m/>
    <m/>
    <m/>
    <n v="757911544.39962173"/>
    <m/>
    <m/>
    <m/>
    <m/>
    <m/>
    <m/>
    <m/>
    <m/>
    <m/>
    <m/>
    <m/>
    <m/>
    <m/>
    <m/>
    <m/>
    <m/>
    <m/>
    <m/>
    <m/>
    <m/>
    <m/>
    <m/>
    <m/>
    <m/>
    <m/>
    <m/>
    <m/>
    <m/>
    <m/>
    <m/>
    <m/>
    <m/>
    <m/>
    <m/>
    <m/>
    <m/>
    <m/>
    <m/>
    <m/>
    <m/>
    <m/>
    <m/>
    <m/>
    <m/>
    <m/>
  </r>
  <r>
    <x v="54"/>
    <n v="2007"/>
    <x v="9"/>
    <s v="Africa"/>
    <m/>
    <s v="Mining"/>
    <s v="yes"/>
    <s v="no"/>
    <s v="no"/>
    <s v="Cobalt"/>
    <s v="detailed"/>
    <s v="detailed Mining"/>
    <m/>
    <m/>
    <m/>
    <m/>
    <m/>
    <m/>
    <n v="67351.276036614407"/>
    <s v="US$/t"/>
    <s v="Price from USGS Mineral Yearbook 2008, and is the average U.S. spot price for minimum 99.8% cobalt cathode reported by Platts Metals Week"/>
    <n v="40814873.278188333"/>
    <m/>
    <m/>
    <m/>
    <m/>
    <m/>
    <m/>
    <m/>
    <m/>
    <m/>
    <m/>
    <m/>
    <m/>
    <m/>
    <m/>
    <m/>
    <m/>
    <m/>
    <m/>
    <m/>
    <m/>
    <m/>
    <m/>
    <m/>
    <m/>
    <m/>
    <m/>
    <m/>
    <m/>
    <m/>
    <m/>
    <m/>
    <m/>
    <m/>
    <m/>
    <m/>
    <m/>
    <m/>
    <m/>
    <m/>
    <m/>
    <m/>
    <m/>
    <m/>
    <m/>
    <m/>
  </r>
  <r>
    <x v="54"/>
    <n v="2007"/>
    <x v="9"/>
    <s v="Africa"/>
    <m/>
    <s v="Mining"/>
    <s v="yes"/>
    <s v="no"/>
    <s v="no"/>
    <s v="o/w Cobalt content of mine output"/>
    <s v="detailed"/>
    <s v="detailed Mining"/>
    <n v="25300"/>
    <m/>
    <m/>
    <m/>
    <m/>
    <s v="t"/>
    <m/>
    <m/>
    <s v="Volume from USGS Mineral Yearbook 2011"/>
    <m/>
    <m/>
    <m/>
    <m/>
    <m/>
    <m/>
    <m/>
    <m/>
    <m/>
    <m/>
    <m/>
    <m/>
    <m/>
    <m/>
    <m/>
    <m/>
    <m/>
    <m/>
    <m/>
    <m/>
    <m/>
    <m/>
    <m/>
    <m/>
    <m/>
    <m/>
    <m/>
    <m/>
    <m/>
    <m/>
    <m/>
    <m/>
    <m/>
    <m/>
    <m/>
    <m/>
    <m/>
    <m/>
    <m/>
    <m/>
    <m/>
    <m/>
    <m/>
    <m/>
    <m/>
    <m/>
  </r>
  <r>
    <x v="54"/>
    <n v="2007"/>
    <x v="9"/>
    <s v="Africa"/>
    <m/>
    <s v="Mining"/>
    <s v="yes"/>
    <s v="no"/>
    <s v="no"/>
    <s v="o/w Cobalt (metal)"/>
    <s v="detailed"/>
    <s v="detailed Mining"/>
    <n v="606"/>
    <m/>
    <m/>
    <m/>
    <m/>
    <s v="t"/>
    <m/>
    <m/>
    <s v="Volume from USGS Mineral Yearbook 2011"/>
    <m/>
    <m/>
    <m/>
    <m/>
    <m/>
    <m/>
    <m/>
    <m/>
    <m/>
    <m/>
    <m/>
    <m/>
    <m/>
    <m/>
    <m/>
    <m/>
    <m/>
    <m/>
    <m/>
    <m/>
    <m/>
    <m/>
    <m/>
    <m/>
    <m/>
    <m/>
    <m/>
    <m/>
    <m/>
    <m/>
    <m/>
    <m/>
    <m/>
    <m/>
    <m/>
    <m/>
    <m/>
    <m/>
    <m/>
    <m/>
    <m/>
    <m/>
    <m/>
    <m/>
    <m/>
    <m/>
  </r>
  <r>
    <x v="54"/>
    <n v="2007"/>
    <x v="9"/>
    <s v="Africa"/>
    <m/>
    <s v="Mining"/>
    <s v="yes"/>
    <s v="no"/>
    <s v="no"/>
    <s v="Columbite-tantalite concentrate"/>
    <s v="detailed"/>
    <s v="detailed Mining"/>
    <m/>
    <m/>
    <m/>
    <m/>
    <m/>
    <m/>
    <m/>
    <m/>
    <m/>
    <m/>
    <m/>
    <m/>
    <m/>
    <m/>
    <m/>
    <m/>
    <m/>
    <m/>
    <m/>
    <m/>
    <m/>
    <m/>
    <m/>
    <m/>
    <m/>
    <m/>
    <m/>
    <m/>
    <m/>
    <m/>
    <m/>
    <m/>
    <m/>
    <m/>
    <m/>
    <m/>
    <m/>
    <m/>
    <m/>
    <m/>
    <m/>
    <m/>
    <m/>
    <m/>
    <m/>
    <m/>
    <m/>
    <m/>
    <m/>
    <m/>
    <m/>
    <m/>
    <m/>
    <m/>
    <m/>
  </r>
  <r>
    <x v="54"/>
    <n v="2007"/>
    <x v="9"/>
    <s v="Africa"/>
    <m/>
    <s v="Mining"/>
    <s v="yes"/>
    <s v="no"/>
    <s v="no"/>
    <s v="o/w Gross weight"/>
    <s v="detailed"/>
    <s v="detailed Mining"/>
    <n v="428"/>
    <m/>
    <m/>
    <m/>
    <m/>
    <s v="t"/>
    <m/>
    <m/>
    <s v="Volume from USGS Mineral Yearbook 2011"/>
    <m/>
    <m/>
    <m/>
    <m/>
    <m/>
    <m/>
    <m/>
    <m/>
    <m/>
    <m/>
    <m/>
    <m/>
    <m/>
    <m/>
    <m/>
    <m/>
    <m/>
    <m/>
    <m/>
    <m/>
    <m/>
    <m/>
    <m/>
    <m/>
    <m/>
    <m/>
    <m/>
    <m/>
    <m/>
    <m/>
    <m/>
    <m/>
    <m/>
    <m/>
    <m/>
    <m/>
    <m/>
    <m/>
    <m/>
    <m/>
    <m/>
    <m/>
    <m/>
    <m/>
    <m/>
    <m/>
  </r>
  <r>
    <x v="54"/>
    <n v="2007"/>
    <x v="9"/>
    <s v="Africa"/>
    <m/>
    <s v="Mining"/>
    <s v="yes"/>
    <s v="no"/>
    <s v="no"/>
    <s v="o/w Columbium content"/>
    <s v="detailed"/>
    <s v="detailed Mining"/>
    <n v="98"/>
    <m/>
    <m/>
    <m/>
    <m/>
    <s v="t"/>
    <n v="21918"/>
    <s v="US$/t"/>
    <s v="Volume from USGS Mineral Yearbook 2011. Price from USGS Mineral Commodity Summary 2009, and is the price for ferroniobium with 65% columbium content in the US."/>
    <n v="2147964"/>
    <m/>
    <m/>
    <m/>
    <m/>
    <m/>
    <m/>
    <m/>
    <m/>
    <m/>
    <m/>
    <m/>
    <m/>
    <m/>
    <m/>
    <m/>
    <m/>
    <m/>
    <m/>
    <m/>
    <m/>
    <m/>
    <m/>
    <m/>
    <m/>
    <m/>
    <m/>
    <m/>
    <m/>
    <m/>
    <m/>
    <m/>
    <m/>
    <m/>
    <m/>
    <m/>
    <m/>
    <m/>
    <m/>
    <m/>
    <m/>
    <m/>
    <m/>
    <m/>
    <m/>
    <m/>
  </r>
  <r>
    <x v="54"/>
    <n v="2007"/>
    <x v="9"/>
    <s v="Africa"/>
    <m/>
    <s v="Mining"/>
    <s v="yes"/>
    <s v="no"/>
    <s v="no"/>
    <s v="o/w Tantalum content"/>
    <s v="detailed"/>
    <s v="detailed Mining"/>
    <n v="120"/>
    <m/>
    <m/>
    <m/>
    <m/>
    <s v="t"/>
    <n v="79366.479126615988"/>
    <s v="US$/t"/>
    <s v="Volume from USGS Mineral Yearbook 2011. Price from USGS Mineral Commodity Summary 2009, and is the price for the Ta2O5 content of tantalite in the US."/>
    <n v="9523977.4951939192"/>
    <m/>
    <m/>
    <m/>
    <m/>
    <m/>
    <m/>
    <m/>
    <m/>
    <m/>
    <m/>
    <m/>
    <m/>
    <m/>
    <m/>
    <m/>
    <m/>
    <m/>
    <m/>
    <m/>
    <m/>
    <m/>
    <m/>
    <m/>
    <m/>
    <m/>
    <m/>
    <m/>
    <m/>
    <m/>
    <m/>
    <m/>
    <m/>
    <m/>
    <m/>
    <m/>
    <m/>
    <m/>
    <m/>
    <m/>
    <m/>
    <m/>
    <m/>
    <m/>
    <m/>
    <m/>
  </r>
  <r>
    <x v="54"/>
    <n v="2007"/>
    <x v="9"/>
    <s v="Africa"/>
    <m/>
    <s v="Mining"/>
    <s v="yes"/>
    <s v="no"/>
    <s v="no"/>
    <s v="Copper"/>
    <s v="detailed"/>
    <s v="detailed Mining"/>
    <m/>
    <m/>
    <m/>
    <m/>
    <m/>
    <m/>
    <n v="7323.9427313999995"/>
    <s v="US$/t"/>
    <s v="Price from World Bank (Global Economic Monitor (GEM) Commodities database) - defined as: Copper (LME), grade A, minimum 99.9935% purity, cathodes and wire bar shapes, settlement price - adjusted to account for the prices given in the Freeport-McMoRan Copper &amp; Gold Inc. Annual Report 2011 for output from the Tenke Fungurume mine being an average 102.89% of this in 2009-2011."/>
    <n v="49048444.472185798"/>
    <m/>
    <m/>
    <m/>
    <m/>
    <m/>
    <m/>
    <m/>
    <m/>
    <m/>
    <m/>
    <m/>
    <m/>
    <m/>
    <m/>
    <m/>
    <m/>
    <m/>
    <m/>
    <m/>
    <m/>
    <m/>
    <m/>
    <m/>
    <m/>
    <m/>
    <m/>
    <m/>
    <m/>
    <m/>
    <m/>
    <m/>
    <m/>
    <m/>
    <m/>
    <m/>
    <m/>
    <m/>
    <m/>
    <m/>
    <m/>
    <m/>
    <m/>
    <m/>
    <m/>
    <m/>
  </r>
  <r>
    <x v="54"/>
    <n v="2007"/>
    <x v="9"/>
    <s v="Africa"/>
    <m/>
    <s v="Mining"/>
    <s v="yes"/>
    <s v="no"/>
    <s v="no"/>
    <s v="o/w Copper content of mine output"/>
    <s v="detailed"/>
    <s v="detailed Mining"/>
    <n v="146000"/>
    <m/>
    <m/>
    <m/>
    <m/>
    <s v="t"/>
    <m/>
    <m/>
    <s v="Volume from USGS Mineral Yearbook 2011"/>
    <m/>
    <m/>
    <m/>
    <m/>
    <m/>
    <m/>
    <m/>
    <m/>
    <m/>
    <m/>
    <m/>
    <m/>
    <m/>
    <m/>
    <m/>
    <m/>
    <m/>
    <m/>
    <m/>
    <m/>
    <m/>
    <m/>
    <m/>
    <m/>
    <m/>
    <m/>
    <m/>
    <m/>
    <m/>
    <m/>
    <m/>
    <m/>
    <m/>
    <m/>
    <m/>
    <m/>
    <m/>
    <m/>
    <m/>
    <m/>
    <m/>
    <m/>
    <m/>
    <m/>
    <m/>
    <m/>
  </r>
  <r>
    <x v="54"/>
    <n v="2007"/>
    <x v="9"/>
    <s v="Africa"/>
    <m/>
    <s v="Mining"/>
    <s v="yes"/>
    <s v="no"/>
    <s v="no"/>
    <s v="o/w Copper (refined)"/>
    <s v="detailed"/>
    <s v="detailed Mining"/>
    <n v="6697"/>
    <m/>
    <m/>
    <m/>
    <m/>
    <s v="t"/>
    <m/>
    <m/>
    <s v="Volume from USGS Mineral Yearbook 2011"/>
    <m/>
    <m/>
    <m/>
    <m/>
    <m/>
    <m/>
    <m/>
    <m/>
    <m/>
    <m/>
    <m/>
    <m/>
    <m/>
    <m/>
    <m/>
    <m/>
    <m/>
    <m/>
    <m/>
    <m/>
    <m/>
    <m/>
    <m/>
    <m/>
    <m/>
    <m/>
    <m/>
    <m/>
    <m/>
    <m/>
    <m/>
    <m/>
    <m/>
    <m/>
    <m/>
    <m/>
    <m/>
    <m/>
    <m/>
    <m/>
    <m/>
    <m/>
    <m/>
    <m/>
    <m/>
    <m/>
  </r>
  <r>
    <x v="54"/>
    <n v="2007"/>
    <x v="9"/>
    <s v="Africa"/>
    <m/>
    <s v="Mining"/>
    <s v="yes"/>
    <s v="no"/>
    <s v="no"/>
    <s v="Diamond"/>
    <s v="detailed"/>
    <s v="detailed Mining"/>
    <n v="28265000"/>
    <m/>
    <m/>
    <m/>
    <m/>
    <s v="carats"/>
    <n v="12.82"/>
    <s v="US$/carat"/>
    <s v="Volume from USGS Mineral Yearbook 2011. Price from kimberley Process Annual Summary 2007."/>
    <n v="362357300"/>
    <m/>
    <m/>
    <m/>
    <m/>
    <m/>
    <m/>
    <m/>
    <m/>
    <m/>
    <m/>
    <m/>
    <m/>
    <m/>
    <m/>
    <m/>
    <m/>
    <m/>
    <m/>
    <m/>
    <m/>
    <m/>
    <m/>
    <m/>
    <m/>
    <m/>
    <m/>
    <m/>
    <m/>
    <m/>
    <m/>
    <m/>
    <m/>
    <m/>
    <m/>
    <m/>
    <m/>
    <m/>
    <m/>
    <m/>
    <m/>
    <m/>
    <m/>
    <m/>
    <m/>
    <m/>
  </r>
  <r>
    <x v="54"/>
    <n v="2007"/>
    <x v="9"/>
    <s v="Africa"/>
    <m/>
    <s v="Mining"/>
    <s v="yes"/>
    <s v="no"/>
    <s v="no"/>
    <s v="Gold"/>
    <s v="detailed"/>
    <s v="detailed Mining"/>
    <n v="163968.78994518062"/>
    <m/>
    <m/>
    <m/>
    <m/>
    <s v="toz"/>
    <n v="696.72024999999996"/>
    <s v="US$/toz"/>
    <s v="Volume from USGS Mineral Yearbook 2011. Price from World Bank (Global Economic Monitor (GEM) Commodities database), and is defined as: Gold (UK), 99.5% fine, London afternoon fixing, average of daily rates."/>
    <n v="114240376.32280372"/>
    <m/>
    <m/>
    <m/>
    <m/>
    <m/>
    <m/>
    <m/>
    <m/>
    <m/>
    <m/>
    <m/>
    <m/>
    <m/>
    <m/>
    <m/>
    <m/>
    <m/>
    <m/>
    <m/>
    <m/>
    <m/>
    <m/>
    <m/>
    <m/>
    <m/>
    <m/>
    <m/>
    <m/>
    <m/>
    <m/>
    <m/>
    <m/>
    <m/>
    <m/>
    <m/>
    <m/>
    <m/>
    <m/>
    <m/>
    <m/>
    <m/>
    <m/>
    <m/>
    <m/>
    <m/>
  </r>
  <r>
    <x v="54"/>
    <n v="2007"/>
    <x v="9"/>
    <s v="Africa"/>
    <m/>
    <s v="Mining"/>
    <s v="yes"/>
    <s v="no"/>
    <s v="no"/>
    <s v="Tin concentrate"/>
    <s v="detailed"/>
    <s v="detailed Mining"/>
    <m/>
    <m/>
    <m/>
    <m/>
    <m/>
    <m/>
    <n v="14536.834500000001"/>
    <s v="US$/t"/>
    <s v="Price from World Bank (Global Economic Monitor (GEM) Commodities database), and is defined as: Tin (LME), refined, 99.85% purity, settlement price."/>
    <n v="141007294.65000001"/>
    <m/>
    <m/>
    <m/>
    <m/>
    <m/>
    <m/>
    <m/>
    <m/>
    <m/>
    <m/>
    <m/>
    <m/>
    <m/>
    <m/>
    <m/>
    <m/>
    <m/>
    <m/>
    <m/>
    <m/>
    <m/>
    <m/>
    <m/>
    <m/>
    <m/>
    <m/>
    <m/>
    <m/>
    <m/>
    <m/>
    <m/>
    <m/>
    <m/>
    <m/>
    <m/>
    <m/>
    <m/>
    <m/>
    <m/>
    <m/>
    <m/>
    <m/>
    <m/>
    <m/>
    <m/>
  </r>
  <r>
    <x v="54"/>
    <n v="2007"/>
    <x v="9"/>
    <s v="Africa"/>
    <m/>
    <s v="Mining"/>
    <s v="yes"/>
    <s v="no"/>
    <s v="no"/>
    <s v="o/w Gross weight"/>
    <s v="detailed"/>
    <s v="detailed Mining"/>
    <n v="14903"/>
    <m/>
    <m/>
    <m/>
    <m/>
    <s v="t"/>
    <m/>
    <m/>
    <s v="Volume from USGS Mineral Yearbook 2011"/>
    <m/>
    <m/>
    <m/>
    <m/>
    <m/>
    <m/>
    <m/>
    <m/>
    <m/>
    <m/>
    <m/>
    <m/>
    <m/>
    <m/>
    <m/>
    <m/>
    <m/>
    <m/>
    <m/>
    <m/>
    <m/>
    <m/>
    <m/>
    <m/>
    <m/>
    <m/>
    <m/>
    <m/>
    <m/>
    <m/>
    <m/>
    <m/>
    <m/>
    <m/>
    <m/>
    <m/>
    <m/>
    <m/>
    <m/>
    <m/>
    <m/>
    <m/>
    <m/>
    <m/>
    <m/>
    <m/>
  </r>
  <r>
    <x v="54"/>
    <n v="2007"/>
    <x v="9"/>
    <s v="Africa"/>
    <m/>
    <s v="Mining"/>
    <s v="yes"/>
    <s v="no"/>
    <s v="no"/>
    <s v="o/w Tin content"/>
    <s v="detailed"/>
    <s v="detailed Mining"/>
    <n v="9700"/>
    <m/>
    <m/>
    <m/>
    <m/>
    <s v="t"/>
    <m/>
    <m/>
    <s v="Volume from USGS Mineral Yearbook 2011"/>
    <m/>
    <m/>
    <m/>
    <m/>
    <m/>
    <m/>
    <m/>
    <m/>
    <m/>
    <m/>
    <m/>
    <m/>
    <m/>
    <m/>
    <m/>
    <m/>
    <m/>
    <m/>
    <m/>
    <m/>
    <m/>
    <m/>
    <m/>
    <m/>
    <m/>
    <m/>
    <m/>
    <m/>
    <m/>
    <m/>
    <m/>
    <m/>
    <m/>
    <m/>
    <m/>
    <m/>
    <m/>
    <m/>
    <m/>
    <m/>
    <m/>
    <m/>
    <m/>
    <m/>
    <m/>
    <m/>
  </r>
  <r>
    <x v="54"/>
    <n v="2007"/>
    <x v="9"/>
    <s v="Africa"/>
    <m/>
    <s v="Mining"/>
    <s v="yes"/>
    <s v="no"/>
    <s v="no"/>
    <s v="Tungsten concentrate"/>
    <s v="detailed"/>
    <s v="detailed Mining"/>
    <m/>
    <m/>
    <m/>
    <m/>
    <m/>
    <m/>
    <n v="177"/>
    <s v="US$/t"/>
    <s v="Price from USGS Mineral Commodity Summary 2009, and is the average price on the US and European spot markets for a metric ton unit of tungsten trioxide, which contains 7.93kg of tungsten."/>
    <n v="106200"/>
    <m/>
    <m/>
    <m/>
    <m/>
    <m/>
    <m/>
    <m/>
    <m/>
    <m/>
    <m/>
    <m/>
    <m/>
    <m/>
    <m/>
    <m/>
    <m/>
    <m/>
    <m/>
    <m/>
    <m/>
    <m/>
    <m/>
    <m/>
    <m/>
    <m/>
    <m/>
    <m/>
    <m/>
    <m/>
    <m/>
    <m/>
    <m/>
    <m/>
    <m/>
    <m/>
    <m/>
    <m/>
    <m/>
    <m/>
    <m/>
    <m/>
    <m/>
    <m/>
    <m/>
    <m/>
  </r>
  <r>
    <x v="54"/>
    <n v="2007"/>
    <x v="9"/>
    <s v="Africa"/>
    <m/>
    <s v="Mining"/>
    <s v="yes"/>
    <s v="no"/>
    <s v="no"/>
    <s v="o/w Gross weight"/>
    <s v="detailed"/>
    <s v="detailed Mining"/>
    <n v="1174"/>
    <m/>
    <m/>
    <m/>
    <m/>
    <s v="t"/>
    <m/>
    <m/>
    <s v="Volume from USGS Mineral Yearbook 2011"/>
    <m/>
    <m/>
    <m/>
    <m/>
    <m/>
    <m/>
    <m/>
    <m/>
    <m/>
    <m/>
    <m/>
    <m/>
    <m/>
    <m/>
    <m/>
    <m/>
    <m/>
    <m/>
    <m/>
    <m/>
    <m/>
    <m/>
    <m/>
    <m/>
    <m/>
    <m/>
    <m/>
    <m/>
    <m/>
    <m/>
    <m/>
    <m/>
    <m/>
    <m/>
    <m/>
    <m/>
    <m/>
    <m/>
    <m/>
    <m/>
    <m/>
    <m/>
    <m/>
    <m/>
    <m/>
    <m/>
  </r>
  <r>
    <x v="54"/>
    <n v="2007"/>
    <x v="9"/>
    <s v="Africa"/>
    <m/>
    <s v="Mining"/>
    <s v="yes"/>
    <s v="no"/>
    <s v="no"/>
    <s v="o/w Tungsten content"/>
    <s v="detailed"/>
    <s v="detailed Mining"/>
    <n v="600"/>
    <m/>
    <m/>
    <m/>
    <m/>
    <s v="t"/>
    <m/>
    <m/>
    <s v="Volume from USGS Mineral Yearbook 2011"/>
    <m/>
    <m/>
    <m/>
    <m/>
    <m/>
    <m/>
    <m/>
    <m/>
    <m/>
    <m/>
    <m/>
    <m/>
    <m/>
    <m/>
    <m/>
    <m/>
    <m/>
    <m/>
    <m/>
    <m/>
    <m/>
    <m/>
    <m/>
    <m/>
    <m/>
    <m/>
    <m/>
    <m/>
    <m/>
    <m/>
    <m/>
    <m/>
    <m/>
    <m/>
    <m/>
    <m/>
    <m/>
    <m/>
    <m/>
    <m/>
    <m/>
    <m/>
    <m/>
    <m/>
    <m/>
    <m/>
  </r>
  <r>
    <x v="54"/>
    <n v="2007"/>
    <x v="9"/>
    <s v="Africa"/>
    <m/>
    <s v="Mining"/>
    <s v="yes"/>
    <s v="no"/>
    <s v="no"/>
    <s v="Zinc (content of mine output)"/>
    <s v="detailed"/>
    <s v="detailed Mining"/>
    <n v="11925"/>
    <m/>
    <m/>
    <m/>
    <m/>
    <s v="t"/>
    <n v="3242.3575833333298"/>
    <s v="US$/t"/>
    <s v="Volume from USGS Mineral Yearbook 2011. Price from World Bank (Global Economic Monitor (GEM) Commodities database), and is defined as: Zinc (LME), high grade, minimum 99.95% purity, settlement price beginning April 1990; previously special high grade, minimum 99.995%, cash prices."/>
    <n v="38665114.181249961"/>
    <m/>
    <m/>
    <m/>
    <m/>
    <m/>
    <m/>
    <m/>
    <m/>
    <m/>
    <m/>
    <m/>
    <m/>
    <m/>
    <m/>
    <m/>
    <m/>
    <m/>
    <m/>
    <m/>
    <m/>
    <m/>
    <m/>
    <m/>
    <m/>
    <m/>
    <m/>
    <m/>
    <m/>
    <m/>
    <m/>
    <m/>
    <m/>
    <m/>
    <m/>
    <m/>
    <m/>
    <m/>
    <m/>
    <m/>
    <m/>
    <m/>
    <m/>
    <m/>
    <m/>
    <m/>
  </r>
  <r>
    <x v="55"/>
    <n v="2008"/>
    <x v="9"/>
    <s v="Africa"/>
    <s v="http://www.itierdc.com"/>
    <s v="Oil, Mining"/>
    <s v="yes"/>
    <s v="no"/>
    <s v="yes"/>
    <s v="Total"/>
    <s v="Total"/>
    <s v="Total Oil, Mining"/>
    <m/>
    <m/>
    <m/>
    <m/>
    <m/>
    <m/>
    <m/>
    <m/>
    <m/>
    <n v="1919603437.0635471"/>
    <s v="Profits/Taxes, Royalties, Dividends, Bonuses, Licenses and concessions"/>
    <s v="Does not include payments made in-kind"/>
    <m/>
    <n v="516117440.10301042"/>
    <n v="578201440.10301042"/>
    <m/>
    <m/>
    <m/>
    <n v="0.26886669930770951"/>
    <s v="United States Dollar and Congolese Franc"/>
    <n v="450.44"/>
    <s v="Disaggregated by revenue stream"/>
    <m/>
    <m/>
    <m/>
    <m/>
    <n v="70"/>
    <s v="PETROLEUM: Perenco, Chevron ODS, Muanda International Oil Company, Lirex, Surestream, Teikoku Oil. MINING PRODUCTION: Anvil Mining Company Katanga, Anvil Mining Congo, Bazano, Boss Mining SPRL, Chemical of Africa, Compagnie Miniere de Sakania, Compagnie Miniere du Sud Katanga, DRC Cooper et Cobalt Project, Frontier, Generale des Carrieres et des Mines, Kamoto Copper Company, La Miniere de Bakwanga, Ciming Company Katanga (MCK), Mutanda Mining, New Dathy Corp, Ruashi Mining, Societe de Tratement du Terril de Lubumbashi, Societe d'Exploitation de Kipoi, Societe de Developpement Industriel et Minier du Congo, Tanke Fungurume Mining, Volcano Mining. MINING EXPLORATION: African Minerals (Barbados) Ltd SPRL, Anglogold, Bolfast Company, Cluff Mining, Congo Cobalt Corp, Congo Dongfang Intl Mining, Congo Loyal Will Mining, De Beers DRC Exploration, Jindal Mineral Metals Africa Congo, Kasonto Lupoto Mines SPRL, Kibali Goldmine, Kingamiambo Musonoi Tailing, Miniere de Musoshi &amp; Kinsenda SARL, Roan Prospecting &amp; Mining. ARTISENAL/MINERAL TRADERS: North Kivu: AMUR, Afromet, CLEPAD, Donson Intl., Ebir, FRADEBU, GMC Global Mining Company, Hillside, Huaying Trading Co, Kivu Metal, METACHEM, Mining and Processing Congo, MUNSAD, Mutombo, Namukaya, Pan African Business Group, Sodexmines, Tin Tantalite Tungestene, Tengen Metals Congo. South Kivu: Bakulikira, Panju, WMC. Diamond traders Kinshasa: ACD, ADEX, Congo Diam, Gama, k.w.b, Margaux, Primo-Gem."/>
    <s v="Unclear"/>
    <s v="January 2012"/>
    <d v="2014-11-07T00:00:00"/>
    <s v="Fair Links"/>
    <s v="http://eiti.org/files/DRC%202008-2009%20EITI%20Report.pdf"/>
    <s v="Petroleum: 7, Mining: 8-10"/>
    <s v="DRC produced separate EITI Reports for petroleum and minerals; the reports include data for 2008 and 2009. Totals include SOC receipts (counted as govt revenues) and SOC payments (counted as company payments)."/>
    <m/>
    <m/>
    <m/>
    <m/>
    <m/>
    <m/>
    <m/>
    <m/>
    <m/>
    <m/>
    <m/>
    <m/>
    <m/>
    <m/>
    <m/>
    <m/>
    <m/>
    <m/>
    <m/>
    <m/>
  </r>
  <r>
    <x v="55"/>
    <n v="2008"/>
    <x v="9"/>
    <s v="Africa"/>
    <m/>
    <s v="Oil"/>
    <s v="no"/>
    <s v="no"/>
    <s v="yes"/>
    <s v="Oil"/>
    <s v="detailed"/>
    <s v="detailed Oil"/>
    <n v="7300000"/>
    <m/>
    <m/>
    <m/>
    <m/>
    <s v="bbl"/>
    <n v="98.2715934"/>
    <s v="US$/bbl"/>
    <s v="Volume from EIA. Price from BPSR 2014, and is an average of the spot prices for Brent, Dubai, Nigerian Forcados and West Texas Intermediate crude oil."/>
    <n v="717382631.82000005"/>
    <m/>
    <m/>
    <m/>
    <n v="421877440.10301042"/>
    <n v="421882440.10301042"/>
    <m/>
    <m/>
    <m/>
    <n v="0.58807869244437538"/>
    <m/>
    <m/>
    <m/>
    <m/>
    <m/>
    <m/>
    <m/>
    <n v="6"/>
    <m/>
    <n v="6"/>
    <m/>
    <m/>
    <m/>
    <m/>
    <m/>
    <m/>
    <m/>
    <m/>
    <m/>
    <m/>
    <m/>
    <m/>
    <m/>
    <m/>
    <m/>
    <m/>
    <m/>
    <m/>
    <m/>
    <m/>
    <m/>
    <m/>
    <m/>
    <m/>
    <m/>
    <m/>
  </r>
  <r>
    <x v="55"/>
    <n v="2008"/>
    <x v="9"/>
    <s v="Africa"/>
    <m/>
    <s v="Mining"/>
    <s v="yes"/>
    <s v="no"/>
    <s v="no"/>
    <s v="Total Mining"/>
    <s v="Total"/>
    <s v="Total Mining"/>
    <m/>
    <m/>
    <m/>
    <m/>
    <m/>
    <m/>
    <m/>
    <m/>
    <m/>
    <n v="1202220805.2435472"/>
    <m/>
    <m/>
    <m/>
    <n v="94240000"/>
    <n v="156319000"/>
    <m/>
    <m/>
    <m/>
    <n v="7.8388262446438664E-2"/>
    <m/>
    <m/>
    <m/>
    <m/>
    <m/>
    <m/>
    <m/>
    <n v="64"/>
    <m/>
    <s v="Unclear"/>
    <m/>
    <m/>
    <m/>
    <m/>
    <m/>
    <s v="State-owned companies (ie, Gecamines) act as both paying and receiving entities. Here, revenues collected by SOCs are included under Total Received by Govt, and revenues paid to the central govt by SOCs are included under Total Payments by Companies. Total mining revenues/payments covers production, exploration, and artisinal mining."/>
    <m/>
    <m/>
    <m/>
    <m/>
    <m/>
    <m/>
    <m/>
    <m/>
    <m/>
    <m/>
    <m/>
    <m/>
    <m/>
    <m/>
    <m/>
    <m/>
    <m/>
    <m/>
    <m/>
    <m/>
  </r>
  <r>
    <x v="55"/>
    <n v="2008"/>
    <x v="9"/>
    <s v="Africa"/>
    <m/>
    <s v="Mining"/>
    <s v="yes"/>
    <s v="no"/>
    <s v="no"/>
    <s v="Cobalt"/>
    <s v="detailed"/>
    <s v="detailed Mining"/>
    <m/>
    <m/>
    <m/>
    <m/>
    <m/>
    <m/>
    <n v="86002.398631369157"/>
    <s v="US$/t"/>
    <s v="Price from USGS Mineral Yearbook 2012, and is the average U.S. spot price for minimum 99.8% cobalt cathode reported by Platts Metals Week"/>
    <n v="90216516.164306238"/>
    <m/>
    <m/>
    <m/>
    <m/>
    <m/>
    <m/>
    <m/>
    <m/>
    <m/>
    <m/>
    <m/>
    <m/>
    <m/>
    <m/>
    <m/>
    <m/>
    <m/>
    <m/>
    <m/>
    <m/>
    <m/>
    <m/>
    <m/>
    <m/>
    <m/>
    <m/>
    <m/>
    <m/>
    <m/>
    <m/>
    <m/>
    <m/>
    <m/>
    <m/>
    <m/>
    <m/>
    <m/>
    <m/>
    <m/>
    <m/>
    <m/>
    <m/>
    <m/>
    <m/>
    <m/>
  </r>
  <r>
    <x v="55"/>
    <n v="2008"/>
    <x v="9"/>
    <s v="Africa"/>
    <m/>
    <s v="Mining"/>
    <s v="yes"/>
    <s v="no"/>
    <s v="no"/>
    <s v="o/w Cobalt content of mine output"/>
    <s v="detailed"/>
    <s v="detailed Mining"/>
    <n v="31000"/>
    <m/>
    <m/>
    <m/>
    <m/>
    <s v="t"/>
    <m/>
    <m/>
    <s v="Volume from USGS Mineral Yearbook 2012"/>
    <m/>
    <m/>
    <m/>
    <m/>
    <m/>
    <m/>
    <m/>
    <m/>
    <m/>
    <m/>
    <m/>
    <m/>
    <m/>
    <m/>
    <m/>
    <m/>
    <m/>
    <m/>
    <m/>
    <m/>
    <m/>
    <m/>
    <m/>
    <m/>
    <m/>
    <m/>
    <m/>
    <m/>
    <m/>
    <m/>
    <m/>
    <m/>
    <m/>
    <m/>
    <m/>
    <m/>
    <m/>
    <m/>
    <m/>
    <m/>
    <m/>
    <m/>
    <m/>
    <m/>
    <m/>
    <m/>
  </r>
  <r>
    <x v="55"/>
    <n v="2008"/>
    <x v="9"/>
    <s v="Africa"/>
    <m/>
    <s v="Mining"/>
    <s v="yes"/>
    <s v="no"/>
    <s v="no"/>
    <s v="o/w Cobalt (metal)"/>
    <s v="detailed"/>
    <s v="detailed Mining"/>
    <n v="1049"/>
    <m/>
    <m/>
    <m/>
    <m/>
    <s v="t"/>
    <m/>
    <m/>
    <s v="Volume from USGS Mineral Yearbook 2012"/>
    <m/>
    <m/>
    <m/>
    <m/>
    <m/>
    <m/>
    <m/>
    <m/>
    <m/>
    <m/>
    <m/>
    <m/>
    <m/>
    <m/>
    <m/>
    <m/>
    <m/>
    <m/>
    <m/>
    <m/>
    <m/>
    <m/>
    <m/>
    <m/>
    <m/>
    <m/>
    <m/>
    <m/>
    <m/>
    <m/>
    <m/>
    <m/>
    <m/>
    <m/>
    <m/>
    <m/>
    <m/>
    <m/>
    <m/>
    <m/>
    <m/>
    <m/>
    <m/>
    <m/>
    <m/>
    <m/>
  </r>
  <r>
    <x v="55"/>
    <n v="2008"/>
    <x v="9"/>
    <s v="Africa"/>
    <m/>
    <s v="Mining"/>
    <s v="yes"/>
    <s v="no"/>
    <s v="no"/>
    <s v="Columbite-tantalite concentrate"/>
    <s v="detailed"/>
    <s v="detailed Mining"/>
    <m/>
    <m/>
    <m/>
    <m/>
    <m/>
    <m/>
    <m/>
    <m/>
    <m/>
    <m/>
    <m/>
    <m/>
    <m/>
    <m/>
    <m/>
    <m/>
    <m/>
    <m/>
    <m/>
    <m/>
    <m/>
    <m/>
    <m/>
    <m/>
    <m/>
    <m/>
    <m/>
    <m/>
    <m/>
    <m/>
    <m/>
    <m/>
    <m/>
    <m/>
    <m/>
    <m/>
    <m/>
    <m/>
    <m/>
    <m/>
    <m/>
    <m/>
    <m/>
    <m/>
    <m/>
    <m/>
    <m/>
    <m/>
    <m/>
    <m/>
    <m/>
    <m/>
    <m/>
    <m/>
    <m/>
  </r>
  <r>
    <x v="55"/>
    <n v="2008"/>
    <x v="9"/>
    <s v="Africa"/>
    <m/>
    <s v="Mining"/>
    <s v="yes"/>
    <s v="no"/>
    <s v="no"/>
    <s v="o/w Gross weight"/>
    <s v="detailed"/>
    <s v="detailed Mining"/>
    <n v="527"/>
    <m/>
    <m/>
    <m/>
    <m/>
    <s v="t"/>
    <m/>
    <m/>
    <s v="Volume from USGS Mineral Yearbook 2012"/>
    <m/>
    <m/>
    <m/>
    <m/>
    <m/>
    <m/>
    <m/>
    <m/>
    <m/>
    <m/>
    <m/>
    <m/>
    <m/>
    <m/>
    <m/>
    <m/>
    <m/>
    <m/>
    <m/>
    <m/>
    <m/>
    <m/>
    <m/>
    <m/>
    <m/>
    <m/>
    <m/>
    <m/>
    <m/>
    <m/>
    <m/>
    <m/>
    <m/>
    <m/>
    <m/>
    <m/>
    <m/>
    <m/>
    <m/>
    <m/>
    <m/>
    <m/>
    <m/>
    <m/>
    <m/>
    <m/>
  </r>
  <r>
    <x v="55"/>
    <n v="2008"/>
    <x v="9"/>
    <s v="Africa"/>
    <m/>
    <s v="Mining"/>
    <s v="yes"/>
    <s v="no"/>
    <s v="no"/>
    <s v="o/w Columbium content"/>
    <s v="detailed"/>
    <s v="detailed Mining"/>
    <n v="120"/>
    <m/>
    <m/>
    <m/>
    <m/>
    <s v="t"/>
    <n v="34398"/>
    <s v="US$/t"/>
    <s v="Volume from USGS Mineral Yearbook 2012. Price from USGS Mineral Commodity Summary 2013, and is the price for ferroniobium with 65% columbium content in the US."/>
    <n v="4127760"/>
    <m/>
    <m/>
    <m/>
    <m/>
    <m/>
    <m/>
    <m/>
    <m/>
    <m/>
    <m/>
    <m/>
    <m/>
    <m/>
    <m/>
    <m/>
    <m/>
    <m/>
    <m/>
    <m/>
    <m/>
    <m/>
    <m/>
    <m/>
    <m/>
    <m/>
    <m/>
    <m/>
    <m/>
    <m/>
    <m/>
    <m/>
    <m/>
    <m/>
    <m/>
    <m/>
    <m/>
    <m/>
    <m/>
    <m/>
    <m/>
    <m/>
    <m/>
    <m/>
    <m/>
    <m/>
  </r>
  <r>
    <x v="55"/>
    <n v="2008"/>
    <x v="9"/>
    <s v="Africa"/>
    <m/>
    <s v="Mining"/>
    <s v="yes"/>
    <s v="no"/>
    <s v="no"/>
    <s v="o/w Tantalum content"/>
    <s v="detailed"/>
    <s v="detailed Mining"/>
    <n v="140"/>
    <m/>
    <m/>
    <m/>
    <m/>
    <s v="t"/>
    <n v="97003.474488086213"/>
    <s v="US$/t"/>
    <s v="Volume from USGS Mineral Yearbook 2012. Price from USGS Mineral Commodity Summary 2013, and is the price for the Ta2O5 content of tantalite in the US."/>
    <n v="13580486.42833207"/>
    <m/>
    <m/>
    <m/>
    <m/>
    <m/>
    <m/>
    <m/>
    <m/>
    <m/>
    <m/>
    <m/>
    <m/>
    <m/>
    <m/>
    <m/>
    <m/>
    <m/>
    <m/>
    <m/>
    <m/>
    <m/>
    <m/>
    <m/>
    <m/>
    <m/>
    <m/>
    <m/>
    <m/>
    <m/>
    <m/>
    <m/>
    <m/>
    <m/>
    <m/>
    <m/>
    <m/>
    <m/>
    <m/>
    <m/>
    <m/>
    <m/>
    <m/>
    <m/>
    <m/>
    <m/>
  </r>
  <r>
    <x v="55"/>
    <n v="2008"/>
    <x v="9"/>
    <s v="Africa"/>
    <m/>
    <s v="Mining"/>
    <s v="yes"/>
    <s v="no"/>
    <s v="no"/>
    <s v="Copper"/>
    <s v="detailed"/>
    <s v="detailed Mining"/>
    <m/>
    <m/>
    <m/>
    <m/>
    <m/>
    <m/>
    <n v="7156.9047605166625"/>
    <s v="US$/t"/>
    <s v="Price from World Bank (Global Economic Monitor (GEM) Commodities database) - defined as: Copper (LME), grade A, minimum 99.9935% purity, cathodes and wire bar shapes, settlement price - adjusted to account for the prices given in the Freeport-McMoRan Copper &amp; Gold Inc. Annual Report 2011 for output from the Tenke Fungurume mine being an average 102.89% of this in 2009-2011."/>
    <n v="276485544.70827973"/>
    <m/>
    <m/>
    <m/>
    <m/>
    <m/>
    <m/>
    <m/>
    <m/>
    <m/>
    <m/>
    <m/>
    <m/>
    <m/>
    <m/>
    <m/>
    <m/>
    <m/>
    <m/>
    <m/>
    <m/>
    <m/>
    <m/>
    <m/>
    <m/>
    <m/>
    <m/>
    <m/>
    <m/>
    <m/>
    <m/>
    <m/>
    <m/>
    <m/>
    <m/>
    <m/>
    <m/>
    <m/>
    <m/>
    <m/>
    <m/>
    <m/>
    <m/>
    <m/>
    <m/>
    <m/>
  </r>
  <r>
    <x v="55"/>
    <n v="2008"/>
    <x v="9"/>
    <s v="Africa"/>
    <m/>
    <s v="Mining"/>
    <s v="yes"/>
    <s v="no"/>
    <s v="no"/>
    <s v="o/w Copper content of mine output"/>
    <s v="detailed"/>
    <s v="detailed Mining"/>
    <n v="230000"/>
    <m/>
    <m/>
    <m/>
    <m/>
    <s v="t"/>
    <m/>
    <m/>
    <s v="Volume from USGS Mineral Yearbook 2012"/>
    <m/>
    <m/>
    <m/>
    <m/>
    <m/>
    <m/>
    <m/>
    <m/>
    <m/>
    <m/>
    <m/>
    <m/>
    <m/>
    <m/>
    <m/>
    <m/>
    <m/>
    <m/>
    <m/>
    <m/>
    <m/>
    <m/>
    <m/>
    <m/>
    <m/>
    <m/>
    <m/>
    <m/>
    <m/>
    <m/>
    <m/>
    <m/>
    <m/>
    <m/>
    <m/>
    <m/>
    <m/>
    <m/>
    <m/>
    <m/>
    <m/>
    <m/>
    <m/>
    <m/>
    <m/>
    <m/>
  </r>
  <r>
    <x v="55"/>
    <n v="2008"/>
    <x v="9"/>
    <s v="Africa"/>
    <m/>
    <s v="Mining"/>
    <s v="yes"/>
    <s v="no"/>
    <s v="no"/>
    <s v="o/w Copper (refined)"/>
    <s v="detailed"/>
    <s v="detailed Mining"/>
    <n v="38632"/>
    <m/>
    <m/>
    <m/>
    <m/>
    <s v="t"/>
    <m/>
    <m/>
    <s v="Volume from USGS Mineral Yearbook 2012"/>
    <m/>
    <m/>
    <m/>
    <m/>
    <m/>
    <m/>
    <m/>
    <m/>
    <m/>
    <m/>
    <m/>
    <m/>
    <m/>
    <m/>
    <m/>
    <m/>
    <m/>
    <m/>
    <m/>
    <m/>
    <m/>
    <m/>
    <m/>
    <m/>
    <m/>
    <m/>
    <m/>
    <m/>
    <m/>
    <m/>
    <m/>
    <m/>
    <m/>
    <m/>
    <m/>
    <m/>
    <m/>
    <m/>
    <m/>
    <m/>
    <m/>
    <m/>
    <m/>
    <m/>
    <m/>
    <m/>
  </r>
  <r>
    <x v="55"/>
    <n v="2008"/>
    <x v="9"/>
    <s v="Africa"/>
    <m/>
    <s v="Mining"/>
    <s v="yes"/>
    <s v="no"/>
    <s v="no"/>
    <s v="Diamond"/>
    <s v="detailed"/>
    <s v="detailed Mining"/>
    <n v="21132000"/>
    <m/>
    <n v="1000000"/>
    <m/>
    <m/>
    <s v="carats"/>
    <n v="12.93"/>
    <s v="US$/carat"/>
    <s v="Volume from USGS Mineral Yearbook 2012. Price from kimberley Process Annual Summary 2008."/>
    <n v="273236760"/>
    <m/>
    <m/>
    <m/>
    <m/>
    <m/>
    <m/>
    <m/>
    <m/>
    <m/>
    <m/>
    <m/>
    <m/>
    <m/>
    <m/>
    <m/>
    <m/>
    <m/>
    <m/>
    <m/>
    <m/>
    <m/>
    <m/>
    <m/>
    <m/>
    <s v="The EITI Report notes that one company, MIBA, produced at least 1 million carats before operations were suspended in Nov 2008 (see p.4 of mining report)."/>
    <m/>
    <m/>
    <m/>
    <m/>
    <m/>
    <m/>
    <m/>
    <m/>
    <m/>
    <m/>
    <m/>
    <m/>
    <m/>
    <m/>
    <m/>
    <m/>
    <m/>
    <m/>
    <m/>
    <m/>
  </r>
  <r>
    <x v="55"/>
    <n v="2008"/>
    <x v="9"/>
    <s v="Africa"/>
    <m/>
    <s v="Mining"/>
    <s v="yes"/>
    <s v="no"/>
    <s v="no"/>
    <s v="Gold"/>
    <s v="detailed"/>
    <s v="detailed Mining"/>
    <n v="321507.43126506003"/>
    <m/>
    <m/>
    <m/>
    <m/>
    <s v="toz"/>
    <n v="871.70725000000004"/>
    <s v="US$/toz"/>
    <s v="Volume from USGS Mineral Yearbook 2012. Price from World Bank (Global Economic Monitor (GEM) Commodities database), and is defined as: Gold (UK), 99.5% fine, London afternoon fixing, average of daily rates."/>
    <n v="280260358.76262951"/>
    <m/>
    <m/>
    <m/>
    <m/>
    <m/>
    <m/>
    <m/>
    <m/>
    <m/>
    <m/>
    <m/>
    <m/>
    <m/>
    <m/>
    <m/>
    <m/>
    <m/>
    <m/>
    <m/>
    <m/>
    <m/>
    <m/>
    <m/>
    <m/>
    <m/>
    <m/>
    <m/>
    <m/>
    <m/>
    <m/>
    <m/>
    <m/>
    <m/>
    <m/>
    <m/>
    <m/>
    <m/>
    <m/>
    <m/>
    <m/>
    <m/>
    <m/>
    <m/>
    <m/>
    <m/>
  </r>
  <r>
    <x v="55"/>
    <n v="2008"/>
    <x v="9"/>
    <s v="Africa"/>
    <m/>
    <s v="Mining"/>
    <s v="yes"/>
    <s v="no"/>
    <s v="no"/>
    <s v="o/w Gross weight"/>
    <s v="detailed"/>
    <s v="detailed Mining"/>
    <n v="119"/>
    <m/>
    <m/>
    <m/>
    <m/>
    <s v="t"/>
    <m/>
    <m/>
    <s v="Volume from USGS Mineral Yearbook 2012"/>
    <m/>
    <m/>
    <m/>
    <m/>
    <m/>
    <m/>
    <m/>
    <m/>
    <m/>
    <m/>
    <m/>
    <m/>
    <m/>
    <m/>
    <m/>
    <m/>
    <m/>
    <m/>
    <m/>
    <m/>
    <m/>
    <m/>
    <m/>
    <m/>
    <m/>
    <m/>
    <m/>
    <m/>
    <m/>
    <m/>
    <m/>
    <m/>
    <m/>
    <m/>
    <m/>
    <m/>
    <m/>
    <m/>
    <m/>
    <m/>
    <m/>
    <m/>
    <m/>
    <m/>
    <m/>
    <m/>
  </r>
  <r>
    <x v="55"/>
    <n v="2008"/>
    <x v="9"/>
    <s v="Africa"/>
    <m/>
    <s v="Mining"/>
    <s v="yes"/>
    <s v="no"/>
    <s v="no"/>
    <s v="o/w Columbium content"/>
    <s v="detailed"/>
    <s v="detailed Mining"/>
    <n v="59"/>
    <m/>
    <m/>
    <m/>
    <m/>
    <s v="t"/>
    <n v="34398"/>
    <s v="US$/t"/>
    <s v="Volume from USGS Mineral Yearbook 2012. Price from USGS Mineral Commodity Summary 2013, and is the price for ferroniobium with 65% columbium content in the US."/>
    <n v="2029482"/>
    <m/>
    <m/>
    <m/>
    <m/>
    <m/>
    <m/>
    <m/>
    <m/>
    <m/>
    <m/>
    <m/>
    <m/>
    <m/>
    <m/>
    <m/>
    <m/>
    <m/>
    <m/>
    <m/>
    <m/>
    <m/>
    <m/>
    <m/>
    <m/>
    <m/>
    <m/>
    <m/>
    <m/>
    <m/>
    <m/>
    <m/>
    <m/>
    <m/>
    <m/>
    <m/>
    <m/>
    <m/>
    <m/>
    <m/>
    <m/>
    <m/>
    <m/>
    <m/>
    <m/>
    <m/>
  </r>
  <r>
    <x v="55"/>
    <n v="2008"/>
    <x v="9"/>
    <s v="Africa"/>
    <m/>
    <s v="Mining"/>
    <s v="yes"/>
    <s v="no"/>
    <s v="no"/>
    <s v="Tin concentrate"/>
    <s v="detailed"/>
    <s v="detailed Mining"/>
    <m/>
    <m/>
    <m/>
    <m/>
    <m/>
    <m/>
    <n v="18510.0910833333"/>
    <s v="US$/t"/>
    <s v="Price from World Bank (Global Economic Monitor (GEM) Commodities database), and is defined as: Tin (LME), refined, 99.85% purity, settlement price."/>
    <n v="233227147.64999959"/>
    <m/>
    <m/>
    <m/>
    <m/>
    <m/>
    <m/>
    <m/>
    <m/>
    <m/>
    <m/>
    <m/>
    <m/>
    <m/>
    <m/>
    <m/>
    <m/>
    <m/>
    <m/>
    <m/>
    <m/>
    <m/>
    <m/>
    <m/>
    <m/>
    <m/>
    <m/>
    <m/>
    <m/>
    <m/>
    <m/>
    <m/>
    <m/>
    <m/>
    <m/>
    <m/>
    <m/>
    <m/>
    <m/>
    <m/>
    <m/>
    <m/>
    <m/>
    <m/>
    <m/>
    <m/>
  </r>
  <r>
    <x v="55"/>
    <n v="2008"/>
    <x v="9"/>
    <s v="Africa"/>
    <m/>
    <s v="Mining"/>
    <s v="yes"/>
    <s v="no"/>
    <s v="no"/>
    <s v="o/w Gross weight"/>
    <s v="detailed"/>
    <s v="detailed Mining"/>
    <n v="19335"/>
    <m/>
    <m/>
    <m/>
    <m/>
    <s v="t"/>
    <m/>
    <m/>
    <s v="Volume from USGS Mineral Yearbook 2012"/>
    <m/>
    <m/>
    <m/>
    <m/>
    <m/>
    <m/>
    <m/>
    <m/>
    <m/>
    <m/>
    <m/>
    <m/>
    <m/>
    <m/>
    <m/>
    <m/>
    <m/>
    <m/>
    <m/>
    <m/>
    <m/>
    <m/>
    <m/>
    <m/>
    <m/>
    <m/>
    <m/>
    <m/>
    <m/>
    <m/>
    <m/>
    <m/>
    <m/>
    <m/>
    <m/>
    <m/>
    <m/>
    <m/>
    <m/>
    <m/>
    <m/>
    <m/>
    <m/>
    <m/>
    <m/>
    <m/>
  </r>
  <r>
    <x v="55"/>
    <n v="2008"/>
    <x v="9"/>
    <s v="Africa"/>
    <m/>
    <s v="Mining"/>
    <s v="yes"/>
    <s v="no"/>
    <s v="no"/>
    <s v="o/w Tin content"/>
    <s v="detailed"/>
    <s v="detailed Mining"/>
    <n v="12600"/>
    <m/>
    <m/>
    <m/>
    <m/>
    <s v="t"/>
    <m/>
    <m/>
    <s v="Volume from USGS Mineral Yearbook 2012"/>
    <m/>
    <m/>
    <m/>
    <m/>
    <m/>
    <m/>
    <m/>
    <m/>
    <m/>
    <m/>
    <m/>
    <m/>
    <m/>
    <m/>
    <m/>
    <m/>
    <m/>
    <m/>
    <m/>
    <m/>
    <m/>
    <m/>
    <m/>
    <m/>
    <m/>
    <m/>
    <m/>
    <m/>
    <m/>
    <m/>
    <m/>
    <m/>
    <m/>
    <m/>
    <m/>
    <m/>
    <m/>
    <m/>
    <m/>
    <m/>
    <m/>
    <m/>
    <m/>
    <m/>
    <m/>
    <m/>
  </r>
  <r>
    <x v="55"/>
    <n v="2008"/>
    <x v="9"/>
    <s v="Africa"/>
    <m/>
    <s v="Mining"/>
    <s v="yes"/>
    <s v="no"/>
    <s v="no"/>
    <s v="Tungsten concentrate"/>
    <s v="detailed"/>
    <s v="detailed Mining"/>
    <m/>
    <m/>
    <m/>
    <m/>
    <m/>
    <m/>
    <n v="174"/>
    <s v="US$/t"/>
    <s v="Price from USGS Mineral Commodity Summary 2013, and is the average price on the US and European spot markets for a metric ton unit of tungsten trioxide, which contains 7.93kg of tungsten."/>
    <n v="64380"/>
    <m/>
    <m/>
    <m/>
    <m/>
    <m/>
    <m/>
    <m/>
    <m/>
    <m/>
    <m/>
    <m/>
    <m/>
    <m/>
    <m/>
    <m/>
    <m/>
    <m/>
    <m/>
    <m/>
    <m/>
    <m/>
    <m/>
    <m/>
    <m/>
    <m/>
    <m/>
    <m/>
    <m/>
    <m/>
    <m/>
    <m/>
    <m/>
    <m/>
    <m/>
    <m/>
    <m/>
    <m/>
    <m/>
    <m/>
    <m/>
    <m/>
    <m/>
    <m/>
    <m/>
    <m/>
  </r>
  <r>
    <x v="55"/>
    <n v="2008"/>
    <x v="9"/>
    <s v="Africa"/>
    <m/>
    <s v="Mining"/>
    <s v="yes"/>
    <s v="no"/>
    <s v="no"/>
    <s v="o/w Gross weight"/>
    <s v="detailed"/>
    <s v="detailed Mining"/>
    <n v="716"/>
    <m/>
    <m/>
    <m/>
    <m/>
    <s v="t"/>
    <m/>
    <m/>
    <s v="Volume from USGS Mineral Yearbook 2012"/>
    <m/>
    <m/>
    <m/>
    <m/>
    <m/>
    <m/>
    <m/>
    <m/>
    <m/>
    <m/>
    <m/>
    <m/>
    <m/>
    <m/>
    <m/>
    <m/>
    <m/>
    <m/>
    <m/>
    <m/>
    <m/>
    <m/>
    <m/>
    <m/>
    <m/>
    <m/>
    <m/>
    <m/>
    <m/>
    <m/>
    <m/>
    <m/>
    <m/>
    <m/>
    <m/>
    <m/>
    <m/>
    <m/>
    <m/>
    <m/>
    <m/>
    <m/>
    <m/>
    <m/>
    <m/>
    <m/>
  </r>
  <r>
    <x v="55"/>
    <n v="2008"/>
    <x v="9"/>
    <s v="Africa"/>
    <m/>
    <s v="Mining"/>
    <s v="yes"/>
    <s v="no"/>
    <s v="no"/>
    <s v="o/w Tungsten content"/>
    <s v="detailed"/>
    <s v="detailed Mining"/>
    <n v="370"/>
    <m/>
    <m/>
    <m/>
    <m/>
    <s v="t"/>
    <m/>
    <m/>
    <s v="Volume from USGS Mineral Yearbook 2012"/>
    <m/>
    <m/>
    <m/>
    <m/>
    <m/>
    <m/>
    <m/>
    <m/>
    <m/>
    <m/>
    <m/>
    <m/>
    <m/>
    <m/>
    <m/>
    <m/>
    <m/>
    <m/>
    <m/>
    <m/>
    <m/>
    <m/>
    <m/>
    <m/>
    <m/>
    <m/>
    <m/>
    <m/>
    <m/>
    <m/>
    <m/>
    <m/>
    <m/>
    <m/>
    <m/>
    <m/>
    <m/>
    <m/>
    <m/>
    <m/>
    <m/>
    <m/>
    <m/>
    <m/>
    <m/>
    <m/>
  </r>
  <r>
    <x v="55"/>
    <n v="2008"/>
    <x v="9"/>
    <s v="Africa"/>
    <m/>
    <s v="Mining"/>
    <s v="yes"/>
    <s v="no"/>
    <s v="no"/>
    <s v="Zinc (content of mine output)"/>
    <s v="detailed"/>
    <s v="detailed Mining"/>
    <n v="15465"/>
    <m/>
    <m/>
    <m/>
    <m/>
    <s v="t"/>
    <n v="1874.7086666666701"/>
    <s v="US$/t"/>
    <s v="Volume from USGS Mineral Yearbook 2012. Price from World Bank (Global Economic Monitor (GEM) Commodities database), and is defined as: Zinc (LME), high grade, minimum 99.95% purity, settlement price beginning April 1990; previously special high grade, minimum 99.995%, cash prices."/>
    <n v="28992369.530000053"/>
    <m/>
    <m/>
    <m/>
    <m/>
    <m/>
    <m/>
    <m/>
    <m/>
    <m/>
    <m/>
    <m/>
    <m/>
    <m/>
    <m/>
    <m/>
    <m/>
    <m/>
    <m/>
    <m/>
    <m/>
    <m/>
    <m/>
    <m/>
    <m/>
    <m/>
    <m/>
    <m/>
    <m/>
    <m/>
    <m/>
    <m/>
    <m/>
    <m/>
    <m/>
    <m/>
    <m/>
    <m/>
    <m/>
    <m/>
    <m/>
    <m/>
    <m/>
    <m/>
    <m/>
    <m/>
  </r>
  <r>
    <x v="56"/>
    <n v="2009"/>
    <x v="9"/>
    <s v="Africa"/>
    <s v="http://www.itierdc.com"/>
    <s v="Oil, Mining"/>
    <s v="yes"/>
    <s v="no"/>
    <s v="yes"/>
    <s v="Total"/>
    <s v="Total"/>
    <s v="Total Oil, Mining"/>
    <m/>
    <m/>
    <m/>
    <m/>
    <m/>
    <m/>
    <m/>
    <m/>
    <m/>
    <n v="2372226218.9844656"/>
    <s v="Profits/Taxes, Royalties, Dividends, Bonuses, Licenses and concessions"/>
    <s v="Does not include payments made in-kind"/>
    <m/>
    <n v="253718209.59147424"/>
    <n v="294456985.79040849"/>
    <m/>
    <m/>
    <m/>
    <n v="0.10695363180839024"/>
    <s v="United States Dollar and Congolese Franc"/>
    <n v="563"/>
    <s v="Disaggregated by revenue stream"/>
    <m/>
    <m/>
    <m/>
    <m/>
    <n v="70"/>
    <s v="PETROLEUM: Perenco, Chevron ODS, Muanda International Oil Company, Lirex, Surestream, Teikoku Oil. MINING PRODUCTION: Anvil Mining Company Katanga, Anvil Mining Congo, Bazano, Boss Mining SPRL, Chemical of Africa, Compagnie Miniere de Sakania, Compagnie Miniere du Sud Katanga, DRC Cooper et Cobalt Project, Frontier, Generale des Carrieres et des Mines, Kamoto Copper Company, La Miniere de Bakwanga, Ciming Company Katanga (MCK), Mutanda Mining, New Dathy Corp, Ruashi Mining, Societe de Tratement du Terril de Lubumbashi, Societe d'Exploitation de Kipoi, Societe de Developpement Industriel et Minier du Congo, Tanke Fungurume Mining, Volcano Mining. MINING EXPLORATION: African Minerals (Barbados) Ltd SPRL, Anglogold, Bolfast Company, Cluff Mining, Congo Cobalt Corp, Congo Dongfang Intl Mining, Congo Loyal Will Mining, De Beers DRC Exploration, Jindal Mineral Metals Africa Congo, Kasonto Lupoto Mines SPRL, Kibali Goldmine, Kingamiambo Musonoi Tailing, Miniere de Musoshi &amp; Kinsenda SARL, Roan Prospecting &amp; Mining. ARTISENAL/MINERAL TRADERS: North Kivu: AMUR, Afromet, CLEPAD, Donson Intl., Ebir, FRADEBU, GMC Global Mining Company, Hillside, Huaying Trading Co, Kivu Metal, METACHEM, Mining and Processing Congo, MUNSAD, Mutombo, Namukaya, Pan African Business Group, Sodexmines, Tin Tantalite Tungestene, Tengen Metals Congo. South Kivu: Bakulikira, Panju, WMC. Diamond traders Kinshasa: ACD, ADEX, Congo Diam, Gama, k.w.b, Margaux, Primo-Gem."/>
    <s v="Unclear"/>
    <s v="January 2012"/>
    <d v="2014-11-07T00:00:00"/>
    <s v="Fair Links"/>
    <s v="http://eiti.org/files/DRC%202008-2009%20EITI%20Report_0.pdf"/>
    <s v="Petroleum: 7, Mining: 8-10"/>
    <s v="DRC produced separate EITI Reports for petroleum and minerals; the reports include data for 2008 and 2009. Totals include SOC receipts (counted as govt revenues) and SOC payments (counted as company payments)."/>
    <m/>
    <m/>
    <m/>
    <m/>
    <m/>
    <m/>
    <m/>
    <m/>
    <m/>
    <m/>
    <m/>
    <m/>
    <m/>
    <m/>
    <m/>
    <m/>
    <m/>
    <m/>
    <m/>
    <m/>
  </r>
  <r>
    <x v="56"/>
    <n v="2009"/>
    <x v="9"/>
    <s v="Africa"/>
    <m/>
    <s v="Oil"/>
    <s v="no"/>
    <s v="no"/>
    <s v="yes"/>
    <s v="Oil"/>
    <s v="detailed"/>
    <s v="detailed Oil"/>
    <n v="8030000"/>
    <m/>
    <m/>
    <m/>
    <m/>
    <s v="bbl"/>
    <n v="62.082733849999997"/>
    <s v="US$/bbl"/>
    <s v="Volume from EIA. Price from BPSR 2014, and is an average of the spot prices for Brent, Dubai, Nigerian Forcados and West Texas Intermediate crude oil."/>
    <n v="498524352.81549996"/>
    <m/>
    <m/>
    <m/>
    <n v="171616209.59147424"/>
    <n v="172962985.79040852"/>
    <m/>
    <m/>
    <m/>
    <n v="0.34424839754014602"/>
    <m/>
    <m/>
    <m/>
    <m/>
    <m/>
    <m/>
    <m/>
    <n v="6"/>
    <m/>
    <n v="6"/>
    <m/>
    <m/>
    <m/>
    <m/>
    <m/>
    <m/>
    <m/>
    <m/>
    <m/>
    <m/>
    <m/>
    <m/>
    <m/>
    <m/>
    <m/>
    <m/>
    <m/>
    <m/>
    <m/>
    <m/>
    <m/>
    <m/>
    <m/>
    <m/>
    <m/>
    <m/>
  </r>
  <r>
    <x v="56"/>
    <n v="2009"/>
    <x v="9"/>
    <s v="Africa"/>
    <m/>
    <s v="Mining"/>
    <s v="yes"/>
    <s v="no"/>
    <s v="no"/>
    <s v="Total Mining"/>
    <s v="Total"/>
    <s v="Total Mining"/>
    <m/>
    <m/>
    <m/>
    <m/>
    <m/>
    <m/>
    <m/>
    <m/>
    <m/>
    <n v="1873701866.1689656"/>
    <m/>
    <m/>
    <m/>
    <n v="82102000"/>
    <n v="121494000"/>
    <m/>
    <m/>
    <m/>
    <n v="4.3818070250348062E-2"/>
    <m/>
    <m/>
    <m/>
    <m/>
    <m/>
    <m/>
    <m/>
    <n v="64"/>
    <m/>
    <s v="Unclear"/>
    <m/>
    <m/>
    <m/>
    <m/>
    <m/>
    <s v="State-owned companies (ie, Gecamines) act as both paying and receiving entities. Here, revenues collected by SOCs are included under Total Received by Govt, and revenues paid to the central govt by SOCs are included under Total Payments by Companies. Total mining revenues/payments covers production, exploration, and artisinal mining."/>
    <m/>
    <m/>
    <m/>
    <m/>
    <m/>
    <m/>
    <m/>
    <m/>
    <m/>
    <m/>
    <m/>
    <m/>
    <m/>
    <m/>
    <m/>
    <m/>
    <m/>
    <m/>
    <m/>
    <m/>
  </r>
  <r>
    <x v="56"/>
    <n v="2009"/>
    <x v="9"/>
    <s v="Africa"/>
    <m/>
    <s v="Mining"/>
    <s v="yes"/>
    <s v="no"/>
    <s v="no"/>
    <s v="Cobalt"/>
    <s v="detailed"/>
    <s v="detailed Mining"/>
    <m/>
    <m/>
    <n v="30000"/>
    <m/>
    <m/>
    <s v="t"/>
    <n v="39374.592144482267"/>
    <s v="US$/t"/>
    <s v="Price from USGS Mineral Yearbook 2012, and is the average U.S. spot price for minimum 99.8% cobalt cathode reported by Platts Metals Week"/>
    <n v="116942538.66911234"/>
    <m/>
    <m/>
    <m/>
    <m/>
    <m/>
    <m/>
    <m/>
    <m/>
    <m/>
    <m/>
    <m/>
    <m/>
    <m/>
    <m/>
    <m/>
    <m/>
    <m/>
    <m/>
    <m/>
    <m/>
    <m/>
    <m/>
    <m/>
    <m/>
    <m/>
    <m/>
    <m/>
    <m/>
    <m/>
    <m/>
    <m/>
    <m/>
    <m/>
    <m/>
    <m/>
    <m/>
    <m/>
    <m/>
    <m/>
    <m/>
    <m/>
    <m/>
    <m/>
    <m/>
    <m/>
  </r>
  <r>
    <x v="56"/>
    <n v="2009"/>
    <x v="9"/>
    <s v="Africa"/>
    <m/>
    <s v="Mining"/>
    <s v="yes"/>
    <s v="no"/>
    <s v="no"/>
    <s v="o/w Cobalt content of mine output"/>
    <s v="detailed"/>
    <s v="detailed Mining"/>
    <n v="40000"/>
    <m/>
    <m/>
    <m/>
    <m/>
    <s v="t"/>
    <m/>
    <m/>
    <s v="Volume from USGS Mineral Yearbook 2012"/>
    <m/>
    <m/>
    <m/>
    <m/>
    <m/>
    <m/>
    <m/>
    <m/>
    <m/>
    <m/>
    <m/>
    <m/>
    <m/>
    <m/>
    <m/>
    <m/>
    <m/>
    <m/>
    <m/>
    <m/>
    <m/>
    <m/>
    <m/>
    <m/>
    <m/>
    <m/>
    <m/>
    <m/>
    <m/>
    <m/>
    <m/>
    <m/>
    <m/>
    <m/>
    <m/>
    <m/>
    <m/>
    <m/>
    <m/>
    <m/>
    <m/>
    <m/>
    <m/>
    <m/>
    <m/>
    <m/>
  </r>
  <r>
    <x v="56"/>
    <n v="2009"/>
    <x v="9"/>
    <s v="Africa"/>
    <m/>
    <s v="Mining"/>
    <s v="yes"/>
    <s v="no"/>
    <s v="no"/>
    <s v="o/w Cobalt (metal)"/>
    <s v="detailed"/>
    <s v="detailed Mining"/>
    <n v="2970"/>
    <m/>
    <m/>
    <m/>
    <m/>
    <s v="t"/>
    <m/>
    <m/>
    <s v="Volume from USGS Mineral Yearbook 2012"/>
    <m/>
    <m/>
    <m/>
    <m/>
    <m/>
    <m/>
    <m/>
    <m/>
    <m/>
    <m/>
    <m/>
    <m/>
    <m/>
    <m/>
    <m/>
    <m/>
    <m/>
    <m/>
    <m/>
    <m/>
    <m/>
    <m/>
    <m/>
    <m/>
    <m/>
    <m/>
    <m/>
    <m/>
    <m/>
    <m/>
    <m/>
    <m/>
    <m/>
    <m/>
    <m/>
    <m/>
    <m/>
    <m/>
    <m/>
    <m/>
    <m/>
    <m/>
    <m/>
    <m/>
    <m/>
    <m/>
  </r>
  <r>
    <x v="56"/>
    <n v="2009"/>
    <x v="9"/>
    <s v="Africa"/>
    <m/>
    <s v="Mining"/>
    <s v="yes"/>
    <s v="no"/>
    <s v="no"/>
    <s v="Columbite-tantalite concentrate"/>
    <s v="detailed"/>
    <s v="detailed Mining"/>
    <m/>
    <m/>
    <m/>
    <m/>
    <m/>
    <m/>
    <m/>
    <m/>
    <m/>
    <m/>
    <m/>
    <m/>
    <m/>
    <m/>
    <m/>
    <m/>
    <m/>
    <m/>
    <m/>
    <m/>
    <m/>
    <m/>
    <m/>
    <m/>
    <m/>
    <m/>
    <m/>
    <m/>
    <m/>
    <m/>
    <m/>
    <m/>
    <m/>
    <m/>
    <m/>
    <m/>
    <m/>
    <m/>
    <m/>
    <m/>
    <m/>
    <m/>
    <m/>
    <m/>
    <m/>
    <m/>
    <m/>
    <m/>
    <m/>
    <m/>
    <m/>
    <m/>
    <m/>
    <m/>
    <m/>
  </r>
  <r>
    <x v="56"/>
    <n v="2009"/>
    <x v="9"/>
    <s v="Africa"/>
    <m/>
    <s v="Mining"/>
    <s v="yes"/>
    <s v="no"/>
    <s v="no"/>
    <s v="o/w Gross weight"/>
    <s v="detailed"/>
    <s v="detailed Mining"/>
    <n v="468"/>
    <m/>
    <m/>
    <m/>
    <m/>
    <s v="t"/>
    <m/>
    <m/>
    <s v="Volume from USGS Mineral Yearbook 2012"/>
    <m/>
    <m/>
    <m/>
    <m/>
    <m/>
    <m/>
    <m/>
    <m/>
    <m/>
    <m/>
    <m/>
    <m/>
    <m/>
    <m/>
    <m/>
    <m/>
    <m/>
    <m/>
    <m/>
    <m/>
    <m/>
    <m/>
    <m/>
    <m/>
    <m/>
    <m/>
    <m/>
    <m/>
    <m/>
    <m/>
    <m/>
    <m/>
    <m/>
    <m/>
    <m/>
    <m/>
    <m/>
    <m/>
    <m/>
    <m/>
    <m/>
    <m/>
    <m/>
    <m/>
    <m/>
    <m/>
  </r>
  <r>
    <x v="56"/>
    <n v="2009"/>
    <x v="9"/>
    <s v="Africa"/>
    <m/>
    <s v="Mining"/>
    <s v="yes"/>
    <s v="no"/>
    <s v="no"/>
    <s v="o/w Columbium content"/>
    <s v="detailed"/>
    <s v="detailed Mining"/>
    <n v="110"/>
    <m/>
    <m/>
    <m/>
    <m/>
    <s v="t"/>
    <n v="37298"/>
    <s v="US$/t"/>
    <s v="Volume from USGS Mineral Yearbook 2012. Price from USGS Mineral Commodity Summary 2013, and is the price for ferroniobium with 65% columbium content in the US."/>
    <n v="4102780"/>
    <m/>
    <m/>
    <m/>
    <m/>
    <m/>
    <m/>
    <m/>
    <m/>
    <m/>
    <m/>
    <m/>
    <m/>
    <m/>
    <m/>
    <m/>
    <m/>
    <m/>
    <m/>
    <m/>
    <m/>
    <m/>
    <m/>
    <m/>
    <m/>
    <m/>
    <m/>
    <m/>
    <m/>
    <m/>
    <m/>
    <m/>
    <m/>
    <m/>
    <m/>
    <m/>
    <m/>
    <m/>
    <m/>
    <m/>
    <m/>
    <m/>
    <m/>
    <m/>
    <m/>
    <m/>
  </r>
  <r>
    <x v="56"/>
    <n v="2009"/>
    <x v="9"/>
    <s v="Africa"/>
    <m/>
    <s v="Mining"/>
    <s v="yes"/>
    <s v="no"/>
    <s v="no"/>
    <s v="o/w Tantalum content"/>
    <s v="detailed"/>
    <s v="detailed Mining"/>
    <n v="130"/>
    <m/>
    <m/>
    <m/>
    <m/>
    <s v="t"/>
    <n v="88184.976807351093"/>
    <s v="US$/t"/>
    <s v="Volume from USGS Mineral Yearbook 2012. Price from USGS Mineral Commodity Summary 2013, and is the price for the Ta2O5 content of tantalite in the US."/>
    <n v="11464046.984955642"/>
    <m/>
    <m/>
    <m/>
    <m/>
    <m/>
    <m/>
    <m/>
    <m/>
    <m/>
    <m/>
    <m/>
    <m/>
    <m/>
    <m/>
    <m/>
    <m/>
    <m/>
    <m/>
    <m/>
    <m/>
    <m/>
    <m/>
    <m/>
    <m/>
    <m/>
    <m/>
    <m/>
    <m/>
    <m/>
    <m/>
    <m/>
    <m/>
    <m/>
    <m/>
    <m/>
    <m/>
    <m/>
    <m/>
    <m/>
    <m/>
    <m/>
    <m/>
    <m/>
    <m/>
    <m/>
  </r>
  <r>
    <x v="56"/>
    <n v="2009"/>
    <x v="9"/>
    <s v="Africa"/>
    <m/>
    <s v="Mining"/>
    <s v="yes"/>
    <s v="no"/>
    <s v="no"/>
    <s v="Copper"/>
    <s v="detailed"/>
    <s v="detailed Mining"/>
    <m/>
    <m/>
    <n v="300000"/>
    <m/>
    <m/>
    <s v="t"/>
    <n v="6283.1795975237656"/>
    <s v="US$/t"/>
    <s v="Price from the Freeport-McMoRan Copper &amp; Gold Inc. Annual Report 2011 and is for output from the Tenke Fungurume mine."/>
    <n v="1048756922.5206794"/>
    <m/>
    <m/>
    <m/>
    <m/>
    <m/>
    <m/>
    <m/>
    <m/>
    <m/>
    <m/>
    <m/>
    <m/>
    <m/>
    <m/>
    <m/>
    <m/>
    <m/>
    <m/>
    <m/>
    <m/>
    <m/>
    <m/>
    <m/>
    <m/>
    <m/>
    <m/>
    <m/>
    <m/>
    <m/>
    <m/>
    <m/>
    <m/>
    <m/>
    <m/>
    <m/>
    <m/>
    <m/>
    <m/>
    <m/>
    <m/>
    <m/>
    <m/>
    <m/>
    <m/>
    <m/>
  </r>
  <r>
    <x v="56"/>
    <n v="2009"/>
    <x v="9"/>
    <s v="Africa"/>
    <m/>
    <s v="Mining"/>
    <s v="yes"/>
    <s v="no"/>
    <s v="no"/>
    <s v="o/w Copper content of mine output"/>
    <s v="detailed"/>
    <s v="detailed Mining"/>
    <n v="330000"/>
    <m/>
    <m/>
    <m/>
    <m/>
    <s v="t"/>
    <m/>
    <m/>
    <s v="Volume from USGS Mineral Yearbook 2012"/>
    <m/>
    <m/>
    <m/>
    <m/>
    <m/>
    <m/>
    <m/>
    <m/>
    <m/>
    <m/>
    <m/>
    <m/>
    <m/>
    <m/>
    <m/>
    <m/>
    <m/>
    <m/>
    <m/>
    <m/>
    <m/>
    <m/>
    <m/>
    <m/>
    <m/>
    <m/>
    <m/>
    <m/>
    <m/>
    <m/>
    <m/>
    <m/>
    <m/>
    <m/>
    <m/>
    <m/>
    <m/>
    <m/>
    <m/>
    <m/>
    <m/>
    <m/>
    <m/>
    <m/>
    <m/>
    <m/>
  </r>
  <r>
    <x v="56"/>
    <n v="2009"/>
    <x v="9"/>
    <s v="Africa"/>
    <m/>
    <s v="Mining"/>
    <s v="yes"/>
    <s v="no"/>
    <s v="no"/>
    <s v="o/w Copper (refined)"/>
    <s v="detailed"/>
    <s v="detailed Mining"/>
    <n v="166915"/>
    <m/>
    <m/>
    <m/>
    <m/>
    <s v="t"/>
    <m/>
    <m/>
    <s v="Volume from USGS Mineral Yearbook 2012"/>
    <m/>
    <m/>
    <m/>
    <m/>
    <m/>
    <m/>
    <m/>
    <m/>
    <m/>
    <m/>
    <m/>
    <m/>
    <m/>
    <m/>
    <m/>
    <m/>
    <m/>
    <m/>
    <m/>
    <m/>
    <m/>
    <m/>
    <m/>
    <m/>
    <m/>
    <m/>
    <m/>
    <m/>
    <m/>
    <m/>
    <m/>
    <m/>
    <m/>
    <m/>
    <m/>
    <m/>
    <m/>
    <m/>
    <m/>
    <m/>
    <m/>
    <m/>
    <m/>
    <m/>
    <m/>
    <m/>
  </r>
  <r>
    <x v="56"/>
    <n v="2009"/>
    <x v="9"/>
    <s v="Africa"/>
    <m/>
    <s v="Mining"/>
    <s v="yes"/>
    <s v="no"/>
    <s v="no"/>
    <s v="Diamond"/>
    <s v="detailed"/>
    <s v="detailed Mining"/>
    <n v="16975000"/>
    <m/>
    <m/>
    <m/>
    <m/>
    <s v="carats"/>
    <n v="10.6"/>
    <s v="US$/carat"/>
    <s v="Volume from USGS Mineral Yearbook 2012. Price from kimberley Process Annual Summary 2009."/>
    <n v="179935000"/>
    <m/>
    <m/>
    <m/>
    <m/>
    <m/>
    <m/>
    <m/>
    <m/>
    <m/>
    <m/>
    <m/>
    <m/>
    <m/>
    <m/>
    <m/>
    <m/>
    <m/>
    <m/>
    <m/>
    <m/>
    <m/>
    <m/>
    <m/>
    <m/>
    <m/>
    <m/>
    <m/>
    <m/>
    <m/>
    <m/>
    <m/>
    <m/>
    <m/>
    <m/>
    <m/>
    <m/>
    <m/>
    <m/>
    <m/>
    <m/>
    <m/>
    <m/>
    <m/>
    <m/>
    <m/>
  </r>
  <r>
    <x v="56"/>
    <n v="2009"/>
    <x v="9"/>
    <s v="Africa"/>
    <m/>
    <s v="Mining"/>
    <s v="yes"/>
    <s v="no"/>
    <s v="no"/>
    <s v="Gold"/>
    <s v="detailed"/>
    <s v="detailed Mining"/>
    <n v="353658.17439156602"/>
    <m/>
    <m/>
    <m/>
    <m/>
    <s v="toz"/>
    <n v="972.96591666666995"/>
    <s v="US$/toz"/>
    <s v="Volume from USGS Mineral Yearbook 2012. Price from World Bank (Global Economic Monitor (GEM) Commodities database), and is defined as: Gold (UK), 99.5% fine, London afternoon fixing, average of daily rates."/>
    <n v="344097349.83355105"/>
    <m/>
    <m/>
    <m/>
    <m/>
    <m/>
    <m/>
    <m/>
    <m/>
    <m/>
    <m/>
    <m/>
    <m/>
    <m/>
    <m/>
    <m/>
    <m/>
    <m/>
    <m/>
    <m/>
    <m/>
    <m/>
    <m/>
    <m/>
    <m/>
    <m/>
    <m/>
    <m/>
    <m/>
    <m/>
    <m/>
    <m/>
    <m/>
    <m/>
    <m/>
    <m/>
    <m/>
    <m/>
    <m/>
    <m/>
    <m/>
    <m/>
    <m/>
    <m/>
    <m/>
    <m/>
  </r>
  <r>
    <x v="56"/>
    <n v="2009"/>
    <x v="9"/>
    <s v="Africa"/>
    <m/>
    <s v="Mining"/>
    <s v="yes"/>
    <s v="no"/>
    <s v="no"/>
    <s v="o/w Gross weight"/>
    <s v="detailed"/>
    <s v="detailed Mining"/>
    <n v="80"/>
    <m/>
    <m/>
    <m/>
    <m/>
    <s v="t"/>
    <m/>
    <m/>
    <s v="Volume from USGS Mineral Yearbook 2012"/>
    <m/>
    <m/>
    <m/>
    <m/>
    <m/>
    <m/>
    <m/>
    <m/>
    <m/>
    <m/>
    <m/>
    <m/>
    <m/>
    <m/>
    <m/>
    <m/>
    <m/>
    <m/>
    <m/>
    <m/>
    <m/>
    <m/>
    <m/>
    <m/>
    <m/>
    <m/>
    <m/>
    <m/>
    <m/>
    <m/>
    <m/>
    <m/>
    <m/>
    <m/>
    <m/>
    <m/>
    <m/>
    <m/>
    <m/>
    <m/>
    <m/>
    <m/>
    <m/>
    <m/>
    <m/>
    <m/>
  </r>
  <r>
    <x v="56"/>
    <n v="2009"/>
    <x v="9"/>
    <s v="Africa"/>
    <m/>
    <s v="Mining"/>
    <s v="yes"/>
    <s v="no"/>
    <s v="no"/>
    <s v="o/w Columbium content"/>
    <s v="detailed"/>
    <s v="detailed Mining"/>
    <n v="40"/>
    <m/>
    <m/>
    <m/>
    <m/>
    <s v="t"/>
    <n v="37298"/>
    <s v="US$/t"/>
    <s v="Volume from USGS Mineral Yearbook 2012. Price from USGS Mineral Commodity Summary 2013, and is the price for ferroniobium with 65% columbium content in the US."/>
    <n v="1491920"/>
    <m/>
    <m/>
    <m/>
    <m/>
    <m/>
    <m/>
    <m/>
    <m/>
    <m/>
    <m/>
    <m/>
    <m/>
    <m/>
    <m/>
    <m/>
    <m/>
    <m/>
    <m/>
    <m/>
    <m/>
    <m/>
    <m/>
    <m/>
    <m/>
    <m/>
    <m/>
    <m/>
    <m/>
    <m/>
    <m/>
    <m/>
    <m/>
    <m/>
    <m/>
    <m/>
    <m/>
    <m/>
    <m/>
    <m/>
    <m/>
    <m/>
    <m/>
    <m/>
    <m/>
    <m/>
  </r>
  <r>
    <x v="56"/>
    <n v="2009"/>
    <x v="9"/>
    <s v="Africa"/>
    <m/>
    <s v="Mining"/>
    <s v="yes"/>
    <s v="no"/>
    <s v="no"/>
    <s v="Tin concentrate"/>
    <s v="detailed"/>
    <s v="detailed Mining"/>
    <m/>
    <m/>
    <m/>
    <m/>
    <m/>
    <m/>
    <n v="13573.876916666701"/>
    <s v="US$/t"/>
    <s v="Price from World Bank (Global Economic Monitor (GEM) Commodities database), and is defined as: Tin (LME), refined, 99.85% purity, settlement price."/>
    <n v="134381381.47500035"/>
    <m/>
    <m/>
    <m/>
    <m/>
    <m/>
    <m/>
    <m/>
    <m/>
    <m/>
    <m/>
    <m/>
    <m/>
    <m/>
    <m/>
    <m/>
    <m/>
    <m/>
    <m/>
    <m/>
    <m/>
    <m/>
    <m/>
    <m/>
    <m/>
    <m/>
    <m/>
    <m/>
    <m/>
    <m/>
    <m/>
    <m/>
    <m/>
    <m/>
    <m/>
    <m/>
    <m/>
    <m/>
    <m/>
    <m/>
    <m/>
    <m/>
    <m/>
    <m/>
    <m/>
    <m/>
  </r>
  <r>
    <x v="56"/>
    <n v="2009"/>
    <x v="9"/>
    <s v="Africa"/>
    <m/>
    <s v="Mining"/>
    <s v="yes"/>
    <s v="no"/>
    <s v="no"/>
    <s v="o/w Gross weight"/>
    <s v="detailed"/>
    <s v="detailed Mining"/>
    <n v="15195"/>
    <m/>
    <m/>
    <m/>
    <m/>
    <s v="t"/>
    <m/>
    <m/>
    <s v="Volume from USGS Mineral Yearbook 2012"/>
    <m/>
    <m/>
    <m/>
    <m/>
    <m/>
    <m/>
    <m/>
    <m/>
    <m/>
    <m/>
    <m/>
    <m/>
    <m/>
    <m/>
    <m/>
    <m/>
    <m/>
    <m/>
    <m/>
    <m/>
    <m/>
    <m/>
    <m/>
    <m/>
    <m/>
    <m/>
    <m/>
    <m/>
    <m/>
    <m/>
    <m/>
    <m/>
    <m/>
    <m/>
    <m/>
    <m/>
    <m/>
    <m/>
    <m/>
    <m/>
    <m/>
    <m/>
    <m/>
    <m/>
    <m/>
    <m/>
  </r>
  <r>
    <x v="56"/>
    <n v="2009"/>
    <x v="9"/>
    <s v="Africa"/>
    <m/>
    <s v="Mining"/>
    <s v="yes"/>
    <s v="no"/>
    <s v="no"/>
    <s v="o/w Tin content"/>
    <s v="detailed"/>
    <s v="detailed Mining"/>
    <n v="9900"/>
    <m/>
    <m/>
    <m/>
    <m/>
    <s v="t"/>
    <m/>
    <m/>
    <s v="Volume from USGS Mineral Yearbook 2012"/>
    <m/>
    <m/>
    <m/>
    <m/>
    <m/>
    <m/>
    <m/>
    <m/>
    <m/>
    <m/>
    <m/>
    <m/>
    <m/>
    <m/>
    <m/>
    <m/>
    <m/>
    <m/>
    <m/>
    <m/>
    <m/>
    <m/>
    <m/>
    <m/>
    <m/>
    <m/>
    <m/>
    <m/>
    <m/>
    <m/>
    <m/>
    <m/>
    <m/>
    <m/>
    <m/>
    <m/>
    <m/>
    <m/>
    <m/>
    <m/>
    <m/>
    <m/>
    <m/>
    <m/>
    <m/>
    <m/>
  </r>
  <r>
    <x v="56"/>
    <n v="2009"/>
    <x v="9"/>
    <s v="Africa"/>
    <m/>
    <s v="Mining"/>
    <s v="yes"/>
    <s v="no"/>
    <s v="no"/>
    <s v="Tungsten concentrate"/>
    <s v="detailed"/>
    <s v="detailed Mining"/>
    <m/>
    <m/>
    <m/>
    <m/>
    <m/>
    <m/>
    <n v="150.5"/>
    <s v="US$/t"/>
    <s v="Price from USGS Mineral Commodity Summary 2013, and is the average price on the US and European spot markets for a metric ton unit of tungsten trioxide, which contains 7.93kg of tungsten."/>
    <n v="30100"/>
    <m/>
    <m/>
    <m/>
    <m/>
    <m/>
    <m/>
    <m/>
    <m/>
    <m/>
    <m/>
    <m/>
    <m/>
    <m/>
    <m/>
    <m/>
    <m/>
    <m/>
    <m/>
    <m/>
    <m/>
    <m/>
    <m/>
    <m/>
    <m/>
    <m/>
    <m/>
    <m/>
    <m/>
    <m/>
    <m/>
    <m/>
    <m/>
    <m/>
    <m/>
    <m/>
    <m/>
    <m/>
    <m/>
    <m/>
    <m/>
    <m/>
    <m/>
    <m/>
    <m/>
    <m/>
  </r>
  <r>
    <x v="56"/>
    <n v="2009"/>
    <x v="9"/>
    <s v="Africa"/>
    <m/>
    <s v="Mining"/>
    <s v="yes"/>
    <s v="no"/>
    <s v="no"/>
    <s v="o/w Gross weight"/>
    <s v="detailed"/>
    <s v="detailed Mining"/>
    <n v="385"/>
    <m/>
    <m/>
    <m/>
    <m/>
    <s v="t"/>
    <m/>
    <m/>
    <s v="Volume from USGS Mineral Yearbook 2012"/>
    <m/>
    <m/>
    <m/>
    <m/>
    <m/>
    <m/>
    <m/>
    <m/>
    <m/>
    <m/>
    <m/>
    <m/>
    <m/>
    <m/>
    <m/>
    <m/>
    <m/>
    <m/>
    <m/>
    <m/>
    <m/>
    <m/>
    <m/>
    <m/>
    <m/>
    <m/>
    <m/>
    <m/>
    <m/>
    <m/>
    <m/>
    <m/>
    <m/>
    <m/>
    <m/>
    <m/>
    <m/>
    <m/>
    <m/>
    <m/>
    <m/>
    <m/>
    <m/>
    <m/>
    <m/>
    <m/>
  </r>
  <r>
    <x v="56"/>
    <n v="2009"/>
    <x v="9"/>
    <s v="Africa"/>
    <m/>
    <s v="Mining"/>
    <s v="yes"/>
    <s v="no"/>
    <s v="no"/>
    <s v="o/w Tungsten content"/>
    <s v="detailed"/>
    <s v="detailed Mining"/>
    <n v="200"/>
    <m/>
    <m/>
    <m/>
    <m/>
    <s v="t"/>
    <m/>
    <m/>
    <s v="Volume from USGS Mineral Yearbook 2012"/>
    <m/>
    <m/>
    <m/>
    <m/>
    <m/>
    <m/>
    <m/>
    <m/>
    <m/>
    <m/>
    <m/>
    <m/>
    <m/>
    <m/>
    <m/>
    <m/>
    <m/>
    <m/>
    <m/>
    <m/>
    <m/>
    <m/>
    <m/>
    <m/>
    <m/>
    <m/>
    <m/>
    <m/>
    <m/>
    <m/>
    <m/>
    <m/>
    <m/>
    <m/>
    <m/>
    <m/>
    <m/>
    <m/>
    <m/>
    <m/>
    <m/>
    <m/>
    <m/>
    <m/>
    <m/>
    <m/>
  </r>
  <r>
    <x v="56"/>
    <n v="2009"/>
    <x v="9"/>
    <s v="Africa"/>
    <m/>
    <s v="Mining"/>
    <s v="yes"/>
    <s v="no"/>
    <s v="no"/>
    <s v="Zinc (content of mine output)"/>
    <s v="detailed"/>
    <s v="detailed Mining"/>
    <n v="19636"/>
    <m/>
    <m/>
    <m/>
    <m/>
    <s v="t"/>
    <n v="1655.11441666667"/>
    <s v="US$/t"/>
    <s v="Volume from USGS Mineral Yearbook 2012. Price from World Bank (Global Economic Monitor (GEM) Commodities database), and is defined as: Zinc (LME), high grade, minimum 99.95% purity, settlement price beginning April 1990; previously special high grade, minimum 99.995%, cash prices."/>
    <n v="32499826.685666732"/>
    <m/>
    <m/>
    <m/>
    <m/>
    <m/>
    <m/>
    <m/>
    <m/>
    <m/>
    <m/>
    <m/>
    <m/>
    <m/>
    <m/>
    <m/>
    <m/>
    <m/>
    <m/>
    <m/>
    <m/>
    <m/>
    <m/>
    <m/>
    <m/>
    <m/>
    <m/>
    <m/>
    <m/>
    <m/>
    <m/>
    <m/>
    <m/>
    <m/>
    <m/>
    <m/>
    <m/>
    <m/>
    <m/>
    <m/>
    <m/>
    <m/>
    <m/>
    <m/>
    <m/>
    <m/>
  </r>
  <r>
    <x v="57"/>
    <n v="2010"/>
    <x v="9"/>
    <s v="Africa"/>
    <s v="http://www.itierdc.com"/>
    <s v="Oil, Mining"/>
    <s v="yes"/>
    <s v="no"/>
    <s v="yes"/>
    <s v="Total"/>
    <s v="Total"/>
    <s v="Total Oil, Mining"/>
    <m/>
    <m/>
    <m/>
    <m/>
    <m/>
    <m/>
    <m/>
    <m/>
    <m/>
    <n v="3616420259.5613256"/>
    <s v="Host government's production entitlement, Profits/Taxes, Royalties, Dividends, Bonuses, Licenses and concessions, Other significant benefits to government"/>
    <s v="Does not include payments made in-kind"/>
    <m/>
    <n v="875938726"/>
    <n v="773021963"/>
    <m/>
    <m/>
    <m/>
    <n v="0.2422115415607842"/>
    <s v="United States Dollar"/>
    <n v="910"/>
    <s v="Disaggregated by revenue stream, Disaggregated by company"/>
    <m/>
    <m/>
    <m/>
    <m/>
    <n v="60"/>
    <s v="Mining: AMC, AMCK, BAZANO, BOLFAST, BOSS MINING, CDM, CHEMAF, CMSK, COMISA, CONGO LOYAL, FEZA MINING, FRONTIER, GECAMINES, GOLDEN AFRICA, KCC, MUMI, MIBA, SEK, CHABARA, COMIDE, KANSUKI, KISANFU, LUGUSHWA, NAMOYA, SECAKAT, SICOMINES, SMKK, SODIFOR, SODIMIKA, SWANMINES, TWANGIZA, SAKIMA, SCMK-Mn, SOKIMO. Petroleum: CHEVRON, LIREX, MIOC, PERENCO, TEIKOKU, DIVINE, ENRGULF, NESSERGY, OIL OF DRC, SOCO, SURESTREAM."/>
    <n v="58"/>
    <s v="January 2013"/>
    <d v="2014-11-07T00:00:00"/>
    <s v="KPMG"/>
    <s v="http://eiti.org/files/Congo-DRC-2010-EITI-Report-ENG_0.pdf"/>
    <s v="33-35"/>
    <s v="The 2010 report has 'positive' discrepancies of US$ 13,360, 092, i.e., company declarations superior to government declarations. It has 'negative' discrepancies of US$ 38,043,591, i.e., government declarations superior to company declarations. In addition, there is a negative discrepancy of US$ 77,633,233 from the 'unilateral' government declaration of the payments from the companies Frontier and Comisa which were sold in 2010 and legally not obliged to report.On 25 January 2013, EITI DRC published the 2010 report which was adopted on 15 January 2013 in new design. The content remains unaltered. Two companies (Frontier and Comisa) did not report; their payments ($ 77 633 233) were reported unilaterally by the state and included in Total Received by Govt. Three SOCs (GECAMINES, SODIMICO and SOKIMO) receive signing bonus and royalty payments from private companies; these receipts are included as govt revenues."/>
    <m/>
    <m/>
    <m/>
    <m/>
    <m/>
    <m/>
    <m/>
    <m/>
    <m/>
    <m/>
    <m/>
    <m/>
    <m/>
    <m/>
    <m/>
    <m/>
    <m/>
    <m/>
    <m/>
    <m/>
  </r>
  <r>
    <x v="57"/>
    <n v="2010"/>
    <x v="9"/>
    <s v="Africa"/>
    <m/>
    <s v="Oil"/>
    <s v="no"/>
    <s v="no"/>
    <s v="yes"/>
    <s v="Oil"/>
    <s v="detailed"/>
    <s v="detailed Oil"/>
    <n v="7665000"/>
    <m/>
    <m/>
    <m/>
    <m/>
    <s v="bbl"/>
    <n v="79.513869349999993"/>
    <s v="US$/bbl"/>
    <s v="Volume from EIA. Price from BPSR 2014, and is an average of the spot prices for Brent, Dubai, Nigerian Forcados and West Texas Intermediate crude oil."/>
    <n v="609473808.56774998"/>
    <m/>
    <m/>
    <m/>
    <n v="327300475"/>
    <n v="328738146"/>
    <m/>
    <m/>
    <m/>
    <n v="0.53702139517553493"/>
    <m/>
    <m/>
    <m/>
    <m/>
    <m/>
    <m/>
    <m/>
    <n v="11"/>
    <m/>
    <m/>
    <m/>
    <m/>
    <m/>
    <m/>
    <m/>
    <m/>
    <m/>
    <m/>
    <m/>
    <m/>
    <m/>
    <m/>
    <m/>
    <m/>
    <m/>
    <m/>
    <m/>
    <m/>
    <m/>
    <m/>
    <m/>
    <m/>
    <m/>
    <m/>
    <m/>
    <m/>
  </r>
  <r>
    <x v="57"/>
    <n v="2010"/>
    <x v="9"/>
    <s v="Africa"/>
    <m/>
    <s v="Mining"/>
    <s v="yes"/>
    <s v="no"/>
    <s v="no"/>
    <s v="Total Mining"/>
    <s v="Total"/>
    <s v="Total Mining"/>
    <m/>
    <m/>
    <m/>
    <m/>
    <m/>
    <m/>
    <m/>
    <m/>
    <m/>
    <n v="3006946450.9935756"/>
    <m/>
    <m/>
    <m/>
    <n v="548638253"/>
    <n v="444283817"/>
    <m/>
    <m/>
    <m/>
    <n v="0.18245694159891515"/>
    <m/>
    <m/>
    <m/>
    <m/>
    <m/>
    <m/>
    <m/>
    <n v="49"/>
    <m/>
    <m/>
    <m/>
    <m/>
    <m/>
    <m/>
    <m/>
    <m/>
    <m/>
    <m/>
    <m/>
    <m/>
    <m/>
    <m/>
    <m/>
    <m/>
    <m/>
    <m/>
    <m/>
    <m/>
    <m/>
    <m/>
    <m/>
    <m/>
    <m/>
    <m/>
    <m/>
    <m/>
  </r>
  <r>
    <x v="57"/>
    <n v="2010"/>
    <x v="9"/>
    <s v="Africa"/>
    <m/>
    <s v="Mining"/>
    <s v="yes"/>
    <s v="no"/>
    <s v="no"/>
    <s v="Cobalt"/>
    <s v="detailed"/>
    <s v="detailed Mining"/>
    <m/>
    <m/>
    <m/>
    <m/>
    <m/>
    <m/>
    <n v="45966.419160831763"/>
    <s v="US$/t"/>
    <s v="Price from USGS Mineral Yearbook 2012, and is the average U.S. spot price for minimum 99.8% cobalt cathode reported by Platts Metals Week"/>
    <n v="194070221.69703171"/>
    <m/>
    <m/>
    <m/>
    <m/>
    <m/>
    <m/>
    <m/>
    <m/>
    <m/>
    <m/>
    <m/>
    <m/>
    <m/>
    <m/>
    <m/>
    <m/>
    <m/>
    <m/>
    <m/>
    <m/>
    <m/>
    <m/>
    <m/>
    <m/>
    <m/>
    <m/>
    <m/>
    <m/>
    <m/>
    <m/>
    <m/>
    <m/>
    <m/>
    <m/>
    <m/>
    <m/>
    <m/>
    <m/>
    <m/>
    <m/>
    <m/>
    <m/>
    <m/>
    <m/>
    <m/>
  </r>
  <r>
    <x v="57"/>
    <n v="2010"/>
    <x v="9"/>
    <s v="Africa"/>
    <m/>
    <s v="Mining"/>
    <s v="yes"/>
    <s v="no"/>
    <s v="no"/>
    <s v="o/w Cobalt content of mine output"/>
    <s v="detailed"/>
    <s v="detailed Mining"/>
    <n v="60000"/>
    <m/>
    <m/>
    <m/>
    <m/>
    <s v="t"/>
    <m/>
    <m/>
    <s v="Volume from USGS Mineral Yearbook 2012"/>
    <m/>
    <m/>
    <m/>
    <m/>
    <m/>
    <m/>
    <m/>
    <m/>
    <m/>
    <m/>
    <m/>
    <m/>
    <m/>
    <m/>
    <m/>
    <m/>
    <m/>
    <m/>
    <m/>
    <m/>
    <m/>
    <m/>
    <m/>
    <m/>
    <m/>
    <m/>
    <m/>
    <m/>
    <m/>
    <m/>
    <m/>
    <m/>
    <m/>
    <m/>
    <m/>
    <m/>
    <m/>
    <m/>
    <m/>
    <m/>
    <m/>
    <m/>
    <m/>
    <m/>
    <m/>
    <m/>
  </r>
  <r>
    <x v="57"/>
    <n v="2010"/>
    <x v="9"/>
    <s v="Africa"/>
    <m/>
    <s v="Mining"/>
    <s v="yes"/>
    <s v="no"/>
    <s v="no"/>
    <s v="o/w Cobalt (metal)"/>
    <s v="detailed"/>
    <s v="detailed Mining"/>
    <n v="4222"/>
    <m/>
    <m/>
    <m/>
    <m/>
    <s v="t"/>
    <m/>
    <m/>
    <s v="Volume from USGS Mineral Yearbook 2012"/>
    <m/>
    <m/>
    <m/>
    <m/>
    <m/>
    <m/>
    <m/>
    <m/>
    <m/>
    <m/>
    <m/>
    <m/>
    <m/>
    <m/>
    <m/>
    <m/>
    <m/>
    <m/>
    <m/>
    <m/>
    <m/>
    <m/>
    <m/>
    <m/>
    <m/>
    <m/>
    <m/>
    <m/>
    <m/>
    <m/>
    <m/>
    <m/>
    <m/>
    <m/>
    <m/>
    <m/>
    <m/>
    <m/>
    <m/>
    <m/>
    <m/>
    <m/>
    <m/>
    <m/>
    <m/>
    <m/>
  </r>
  <r>
    <x v="57"/>
    <n v="2010"/>
    <x v="9"/>
    <s v="Africa"/>
    <m/>
    <s v="Mining"/>
    <s v="yes"/>
    <s v="no"/>
    <s v="no"/>
    <s v="Columbite-tantalite concentrate"/>
    <s v="detailed"/>
    <s v="detailed Mining"/>
    <m/>
    <m/>
    <m/>
    <m/>
    <m/>
    <m/>
    <m/>
    <m/>
    <m/>
    <m/>
    <m/>
    <m/>
    <m/>
    <m/>
    <m/>
    <m/>
    <m/>
    <m/>
    <m/>
    <m/>
    <m/>
    <m/>
    <m/>
    <m/>
    <m/>
    <m/>
    <m/>
    <m/>
    <m/>
    <m/>
    <m/>
    <m/>
    <m/>
    <m/>
    <m/>
    <m/>
    <m/>
    <m/>
    <m/>
    <m/>
    <m/>
    <m/>
    <m/>
    <m/>
    <m/>
    <m/>
    <m/>
    <m/>
    <m/>
    <m/>
    <m/>
    <m/>
    <m/>
    <m/>
    <m/>
  </r>
  <r>
    <x v="57"/>
    <n v="2010"/>
    <x v="9"/>
    <s v="Africa"/>
    <m/>
    <s v="Mining"/>
    <s v="yes"/>
    <s v="no"/>
    <s v="no"/>
    <s v="o/w Gross weight"/>
    <s v="detailed"/>
    <s v="detailed Mining"/>
    <n v="397"/>
    <m/>
    <m/>
    <m/>
    <m/>
    <s v="t"/>
    <m/>
    <m/>
    <s v="Volume from USGS Mineral Yearbook 2012"/>
    <m/>
    <m/>
    <m/>
    <m/>
    <m/>
    <m/>
    <m/>
    <m/>
    <m/>
    <m/>
    <m/>
    <m/>
    <m/>
    <m/>
    <m/>
    <m/>
    <m/>
    <m/>
    <m/>
    <m/>
    <m/>
    <m/>
    <m/>
    <m/>
    <m/>
    <m/>
    <m/>
    <m/>
    <m/>
    <m/>
    <m/>
    <m/>
    <m/>
    <m/>
    <m/>
    <m/>
    <m/>
    <m/>
    <m/>
    <m/>
    <m/>
    <m/>
    <m/>
    <m/>
    <m/>
    <m/>
  </r>
  <r>
    <x v="57"/>
    <n v="2010"/>
    <x v="9"/>
    <s v="Africa"/>
    <m/>
    <s v="Mining"/>
    <s v="yes"/>
    <s v="no"/>
    <s v="no"/>
    <s v="o/w Columbium content"/>
    <s v="detailed"/>
    <s v="detailed Mining"/>
    <n v="90"/>
    <m/>
    <m/>
    <m/>
    <m/>
    <s v="t"/>
    <n v="37781"/>
    <s v="US$/t"/>
    <s v="Volume from USGS Mineral Yearbook 2012. Price from USGS Mineral Commodity Summary 2013, and is the price for ferroniobium with 65% columbium content in the US."/>
    <n v="3400290"/>
    <m/>
    <m/>
    <m/>
    <m/>
    <m/>
    <m/>
    <m/>
    <m/>
    <m/>
    <m/>
    <m/>
    <m/>
    <m/>
    <m/>
    <m/>
    <m/>
    <m/>
    <m/>
    <m/>
    <m/>
    <m/>
    <m/>
    <m/>
    <m/>
    <m/>
    <m/>
    <m/>
    <m/>
    <m/>
    <m/>
    <m/>
    <m/>
    <m/>
    <m/>
    <m/>
    <m/>
    <m/>
    <m/>
    <m/>
    <m/>
    <m/>
    <m/>
    <m/>
    <m/>
    <m/>
  </r>
  <r>
    <x v="57"/>
    <n v="2010"/>
    <x v="9"/>
    <s v="Africa"/>
    <m/>
    <s v="Mining"/>
    <s v="yes"/>
    <s v="no"/>
    <s v="no"/>
    <s v="o/w Tantalum content"/>
    <s v="detailed"/>
    <s v="detailed Mining"/>
    <n v="110"/>
    <m/>
    <m/>
    <m/>
    <m/>
    <s v="t"/>
    <n v="119049.71868992399"/>
    <s v="US$/t"/>
    <s v="Volume from USGS Mineral Yearbook 2012. Price from USGS Mineral Commodity Summary 2013, and is the price for the Ta2O5 content of tantalite in the US."/>
    <n v="13095469.055891639"/>
    <m/>
    <m/>
    <m/>
    <m/>
    <m/>
    <m/>
    <m/>
    <m/>
    <m/>
    <m/>
    <m/>
    <m/>
    <m/>
    <m/>
    <m/>
    <m/>
    <m/>
    <m/>
    <m/>
    <m/>
    <m/>
    <m/>
    <m/>
    <m/>
    <m/>
    <m/>
    <m/>
    <m/>
    <m/>
    <m/>
    <m/>
    <m/>
    <m/>
    <m/>
    <m/>
    <m/>
    <m/>
    <m/>
    <m/>
    <m/>
    <m/>
    <m/>
    <m/>
    <m/>
    <m/>
  </r>
  <r>
    <x v="57"/>
    <n v="2010"/>
    <x v="9"/>
    <s v="Africa"/>
    <m/>
    <s v="Mining"/>
    <s v="yes"/>
    <s v="no"/>
    <s v="no"/>
    <s v="Copper"/>
    <s v="detailed"/>
    <s v="detailed Mining"/>
    <m/>
    <m/>
    <m/>
    <m/>
    <m/>
    <m/>
    <n v="7605.9542496340327"/>
    <s v="US$/t"/>
    <s v="Price from the Freeport-McMoRan Copper &amp; Gold Inc. Annual Report 2011 and is for output from the Tenke Fungurume mine."/>
    <n v="1983321024.1803207"/>
    <m/>
    <m/>
    <m/>
    <m/>
    <m/>
    <m/>
    <m/>
    <m/>
    <m/>
    <m/>
    <m/>
    <m/>
    <m/>
    <m/>
    <m/>
    <m/>
    <m/>
    <m/>
    <m/>
    <m/>
    <m/>
    <m/>
    <m/>
    <m/>
    <m/>
    <m/>
    <m/>
    <m/>
    <m/>
    <m/>
    <m/>
    <m/>
    <m/>
    <m/>
    <m/>
    <m/>
    <m/>
    <m/>
    <m/>
    <m/>
    <m/>
    <m/>
    <m/>
    <m/>
    <m/>
  </r>
  <r>
    <x v="57"/>
    <n v="2010"/>
    <x v="9"/>
    <s v="Africa"/>
    <m/>
    <s v="Mining"/>
    <s v="yes"/>
    <s v="no"/>
    <s v="no"/>
    <s v="o/w Copper content of mine output"/>
    <s v="detailed"/>
    <s v="detailed Mining"/>
    <n v="420000"/>
    <m/>
    <m/>
    <m/>
    <m/>
    <s v="t"/>
    <m/>
    <m/>
    <s v="Volume from USGS Mineral Yearbook 2012"/>
    <m/>
    <m/>
    <m/>
    <m/>
    <m/>
    <m/>
    <m/>
    <m/>
    <m/>
    <m/>
    <m/>
    <m/>
    <m/>
    <m/>
    <m/>
    <m/>
    <m/>
    <m/>
    <m/>
    <m/>
    <m/>
    <m/>
    <m/>
    <m/>
    <m/>
    <m/>
    <m/>
    <m/>
    <m/>
    <m/>
    <m/>
    <m/>
    <m/>
    <m/>
    <m/>
    <m/>
    <m/>
    <m/>
    <m/>
    <m/>
    <m/>
    <m/>
    <m/>
    <m/>
    <m/>
    <m/>
  </r>
  <r>
    <x v="57"/>
    <n v="2010"/>
    <x v="9"/>
    <s v="Africa"/>
    <m/>
    <s v="Mining"/>
    <s v="yes"/>
    <s v="no"/>
    <s v="no"/>
    <s v="o/w Copper (refined)"/>
    <s v="detailed"/>
    <s v="detailed Mining"/>
    <n v="260759"/>
    <m/>
    <m/>
    <m/>
    <m/>
    <s v="t"/>
    <m/>
    <m/>
    <s v="Volume from USGS Mineral Yearbook 2012"/>
    <m/>
    <m/>
    <m/>
    <m/>
    <m/>
    <m/>
    <m/>
    <m/>
    <m/>
    <m/>
    <m/>
    <m/>
    <m/>
    <m/>
    <m/>
    <m/>
    <m/>
    <m/>
    <m/>
    <m/>
    <m/>
    <m/>
    <m/>
    <m/>
    <m/>
    <m/>
    <m/>
    <m/>
    <m/>
    <m/>
    <m/>
    <m/>
    <m/>
    <m/>
    <m/>
    <m/>
    <m/>
    <m/>
    <m/>
    <m/>
    <m/>
    <m/>
    <m/>
    <m/>
    <m/>
    <m/>
  </r>
  <r>
    <x v="57"/>
    <n v="2010"/>
    <x v="9"/>
    <s v="Africa"/>
    <m/>
    <s v="Mining"/>
    <s v="yes"/>
    <s v="no"/>
    <s v="no"/>
    <s v="Diamond"/>
    <s v="detailed"/>
    <s v="detailed Mining"/>
    <n v="16800000"/>
    <m/>
    <m/>
    <m/>
    <m/>
    <s v="carats"/>
    <n v="8.64"/>
    <s v="US$/carat"/>
    <s v="Volume from USGS Mineral Yearbook 2012. Price from kimberley Process Annual Summary 2010."/>
    <n v="145152000"/>
    <m/>
    <m/>
    <m/>
    <m/>
    <m/>
    <m/>
    <m/>
    <m/>
    <m/>
    <m/>
    <m/>
    <m/>
    <m/>
    <m/>
    <m/>
    <m/>
    <m/>
    <m/>
    <m/>
    <m/>
    <m/>
    <m/>
    <m/>
    <m/>
    <m/>
    <m/>
    <m/>
    <m/>
    <m/>
    <m/>
    <m/>
    <m/>
    <m/>
    <m/>
    <m/>
    <m/>
    <m/>
    <m/>
    <m/>
    <m/>
    <m/>
    <m/>
    <m/>
    <m/>
    <m/>
  </r>
  <r>
    <x v="57"/>
    <n v="2010"/>
    <x v="9"/>
    <s v="Africa"/>
    <m/>
    <s v="Mining"/>
    <s v="yes"/>
    <s v="no"/>
    <s v="no"/>
    <s v="Gold"/>
    <s v="detailed"/>
    <s v="detailed Mining"/>
    <n v="385808.917518072"/>
    <m/>
    <m/>
    <m/>
    <m/>
    <s v="toz"/>
    <n v="1224.66425"/>
    <s v="US$/toz"/>
    <s v="Volume from USGS Mineral Yearbook 2012. Price from World Bank (Global Economic Monitor (GEM) Commodities database), and is defined as: Gold (UK), 99.5% fine, London afternoon fixing, average of daily rates."/>
    <n v="472486388.61558151"/>
    <m/>
    <m/>
    <m/>
    <m/>
    <m/>
    <m/>
    <m/>
    <m/>
    <m/>
    <m/>
    <m/>
    <m/>
    <m/>
    <m/>
    <m/>
    <m/>
    <m/>
    <m/>
    <m/>
    <m/>
    <m/>
    <m/>
    <m/>
    <m/>
    <m/>
    <m/>
    <m/>
    <m/>
    <m/>
    <m/>
    <m/>
    <m/>
    <m/>
    <m/>
    <m/>
    <m/>
    <m/>
    <m/>
    <m/>
    <m/>
    <m/>
    <m/>
    <m/>
    <m/>
    <m/>
  </r>
  <r>
    <x v="57"/>
    <n v="2010"/>
    <x v="9"/>
    <s v="Africa"/>
    <m/>
    <s v="Mining"/>
    <s v="yes"/>
    <s v="no"/>
    <s v="no"/>
    <s v="Tin concentrate"/>
    <s v="detailed"/>
    <s v="detailed Mining"/>
    <m/>
    <m/>
    <m/>
    <m/>
    <m/>
    <m/>
    <n v="20405.623250000001"/>
    <s v="US$/t"/>
    <s v="Price from World Bank (Global Economic Monitor (GEM) Commodities database), and is defined as: Tin (LME), refined, 99.85% purity, settlement price."/>
    <n v="175488359.95000002"/>
    <m/>
    <m/>
    <m/>
    <m/>
    <m/>
    <m/>
    <m/>
    <m/>
    <m/>
    <m/>
    <m/>
    <m/>
    <m/>
    <m/>
    <m/>
    <m/>
    <m/>
    <m/>
    <m/>
    <m/>
    <m/>
    <m/>
    <m/>
    <m/>
    <m/>
    <m/>
    <m/>
    <m/>
    <m/>
    <m/>
    <m/>
    <m/>
    <m/>
    <m/>
    <m/>
    <m/>
    <m/>
    <m/>
    <m/>
    <m/>
    <m/>
    <m/>
    <m/>
    <m/>
    <m/>
  </r>
  <r>
    <x v="57"/>
    <n v="2010"/>
    <x v="9"/>
    <s v="Africa"/>
    <m/>
    <s v="Mining"/>
    <s v="yes"/>
    <s v="no"/>
    <s v="no"/>
    <s v="o/w Gross weight"/>
    <s v="detailed"/>
    <s v="detailed Mining"/>
    <n v="13255"/>
    <m/>
    <m/>
    <m/>
    <m/>
    <s v="t"/>
    <m/>
    <m/>
    <s v="Volume from USGS Mineral Yearbook 2012"/>
    <m/>
    <m/>
    <m/>
    <m/>
    <m/>
    <m/>
    <m/>
    <m/>
    <m/>
    <m/>
    <m/>
    <m/>
    <m/>
    <m/>
    <m/>
    <m/>
    <m/>
    <m/>
    <m/>
    <m/>
    <m/>
    <m/>
    <m/>
    <m/>
    <m/>
    <m/>
    <m/>
    <m/>
    <m/>
    <m/>
    <m/>
    <m/>
    <m/>
    <m/>
    <m/>
    <m/>
    <m/>
    <m/>
    <m/>
    <m/>
    <m/>
    <m/>
    <m/>
    <m/>
    <m/>
    <m/>
  </r>
  <r>
    <x v="57"/>
    <n v="2010"/>
    <x v="9"/>
    <s v="Africa"/>
    <m/>
    <s v="Mining"/>
    <s v="yes"/>
    <s v="no"/>
    <s v="no"/>
    <s v="o/w Tin content"/>
    <s v="detailed"/>
    <s v="detailed Mining"/>
    <n v="8600"/>
    <m/>
    <m/>
    <m/>
    <m/>
    <s v="t"/>
    <m/>
    <m/>
    <s v="Volume from USGS Mineral Yearbook 2012"/>
    <m/>
    <m/>
    <m/>
    <m/>
    <m/>
    <m/>
    <m/>
    <m/>
    <m/>
    <m/>
    <m/>
    <m/>
    <m/>
    <m/>
    <m/>
    <m/>
    <m/>
    <m/>
    <m/>
    <m/>
    <m/>
    <m/>
    <m/>
    <m/>
    <m/>
    <m/>
    <m/>
    <m/>
    <m/>
    <m/>
    <m/>
    <m/>
    <m/>
    <m/>
    <m/>
    <m/>
    <m/>
    <m/>
    <m/>
    <m/>
    <m/>
    <m/>
    <m/>
    <m/>
    <m/>
    <m/>
  </r>
  <r>
    <x v="57"/>
    <n v="2010"/>
    <x v="9"/>
    <s v="Africa"/>
    <m/>
    <s v="Mining"/>
    <s v="yes"/>
    <s v="no"/>
    <s v="no"/>
    <s v="Tungsten concentrate"/>
    <s v="detailed"/>
    <s v="detailed Mining"/>
    <m/>
    <m/>
    <m/>
    <m/>
    <m/>
    <m/>
    <n v="166.5"/>
    <s v="US$/t"/>
    <s v="Price from USGS Mineral Commodity Summary 2013, and is the average price on the US and European spot markets for a metric ton unit of tungsten trioxide, which contains 7.93kg of tungsten."/>
    <n v="4162.5"/>
    <m/>
    <m/>
    <m/>
    <m/>
    <m/>
    <m/>
    <m/>
    <m/>
    <m/>
    <m/>
    <m/>
    <m/>
    <m/>
    <m/>
    <m/>
    <m/>
    <m/>
    <m/>
    <m/>
    <m/>
    <m/>
    <m/>
    <m/>
    <m/>
    <m/>
    <m/>
    <m/>
    <m/>
    <m/>
    <m/>
    <m/>
    <m/>
    <m/>
    <m/>
    <m/>
    <m/>
    <m/>
    <m/>
    <m/>
    <m/>
    <m/>
    <m/>
    <m/>
    <m/>
    <m/>
  </r>
  <r>
    <x v="57"/>
    <n v="2010"/>
    <x v="9"/>
    <s v="Africa"/>
    <m/>
    <s v="Mining"/>
    <s v="yes"/>
    <s v="no"/>
    <s v="no"/>
    <s v="o/w Gross weight"/>
    <s v="detailed"/>
    <s v="detailed Mining"/>
    <n v="45"/>
    <m/>
    <m/>
    <m/>
    <m/>
    <s v="t"/>
    <m/>
    <m/>
    <s v="Volume from USGS Mineral Yearbook 2012"/>
    <m/>
    <m/>
    <m/>
    <m/>
    <m/>
    <m/>
    <m/>
    <m/>
    <m/>
    <m/>
    <m/>
    <m/>
    <m/>
    <m/>
    <m/>
    <m/>
    <m/>
    <m/>
    <m/>
    <m/>
    <m/>
    <m/>
    <m/>
    <m/>
    <m/>
    <m/>
    <m/>
    <m/>
    <m/>
    <m/>
    <m/>
    <m/>
    <m/>
    <m/>
    <m/>
    <m/>
    <m/>
    <m/>
    <m/>
    <m/>
    <m/>
    <m/>
    <m/>
    <m/>
    <m/>
    <m/>
  </r>
  <r>
    <x v="57"/>
    <n v="2010"/>
    <x v="9"/>
    <s v="Africa"/>
    <m/>
    <s v="Mining"/>
    <s v="yes"/>
    <s v="no"/>
    <s v="no"/>
    <s v="o/w Tungsten content"/>
    <s v="detailed"/>
    <s v="detailed Mining"/>
    <n v="25"/>
    <m/>
    <m/>
    <m/>
    <m/>
    <s v="t"/>
    <m/>
    <m/>
    <s v="Volume from USGS Mineral Yearbook 2012"/>
    <m/>
    <m/>
    <m/>
    <m/>
    <m/>
    <m/>
    <m/>
    <m/>
    <m/>
    <m/>
    <m/>
    <m/>
    <m/>
    <m/>
    <m/>
    <m/>
    <m/>
    <m/>
    <m/>
    <m/>
    <m/>
    <m/>
    <m/>
    <m/>
    <m/>
    <m/>
    <m/>
    <m/>
    <m/>
    <m/>
    <m/>
    <m/>
    <m/>
    <m/>
    <m/>
    <m/>
    <m/>
    <m/>
    <m/>
    <m/>
    <m/>
    <m/>
    <m/>
    <m/>
    <m/>
    <m/>
  </r>
  <r>
    <x v="57"/>
    <n v="2010"/>
    <x v="9"/>
    <s v="Africa"/>
    <m/>
    <s v="Mining"/>
    <s v="yes"/>
    <s v="no"/>
    <s v="no"/>
    <s v="Zinc (content of mine output)"/>
    <s v="detailed"/>
    <s v="detailed Mining"/>
    <n v="9223"/>
    <m/>
    <m/>
    <m/>
    <m/>
    <s v="t"/>
    <n v="2160.74325"/>
    <s v="US$/t"/>
    <s v="Volume from USGS Mineral Yearbook 2012. Price from World Bank (Global Economic Monitor (GEM) Commodities database), and is defined as: Zinc (LME), high grade, minimum 99.95% purity, settlement price beginning April 1990; previously special high grade, minimum 99.995%, cash prices."/>
    <n v="19928534.994750001"/>
    <m/>
    <m/>
    <m/>
    <m/>
    <m/>
    <m/>
    <m/>
    <m/>
    <m/>
    <m/>
    <m/>
    <m/>
    <m/>
    <m/>
    <m/>
    <m/>
    <m/>
    <m/>
    <m/>
    <m/>
    <m/>
    <m/>
    <m/>
    <m/>
    <m/>
    <m/>
    <m/>
    <m/>
    <m/>
    <m/>
    <m/>
    <m/>
    <m/>
    <m/>
    <m/>
    <m/>
    <m/>
    <m/>
    <m/>
    <m/>
    <m/>
    <m/>
    <m/>
    <m/>
    <m/>
  </r>
  <r>
    <x v="58"/>
    <n v="2011"/>
    <x v="9"/>
    <s v="Africa"/>
    <s v="http://www.itierdc.com"/>
    <s v="Oil, Mining"/>
    <s v="yes"/>
    <s v="no"/>
    <s v="yes"/>
    <s v="Total"/>
    <s v="Total"/>
    <s v="Total Oil, Mining"/>
    <m/>
    <m/>
    <m/>
    <m/>
    <m/>
    <m/>
    <m/>
    <m/>
    <m/>
    <n v="4885266018.5550632"/>
    <s v="Host government's production entitlement, State-owned company production entitlement, Profits/Taxes, Royalties, Dividends, Bonuses, Licenses and concessions, Other significant benefits to government"/>
    <s v="Does not include payments made in-kind"/>
    <s v="-"/>
    <n v="1413126313"/>
    <n v="1408273353"/>
    <m/>
    <m/>
    <m/>
    <n v="0.28926291989683023"/>
    <s v="United States Dollar"/>
    <m/>
    <s v="Disaggregated by companies"/>
    <m/>
    <m/>
    <m/>
    <m/>
    <n v="110"/>
    <s v="Cohydro, Mioc, Perencorep, Energulf, Eni Rd Congo, Nessergy, Oil of DR Congo, Soco DRC, Surestream, Total, Caprikate Congo, Chevron ODS, Divine Inspiration Group, Foxwhelp Congo, Glencore, Japeco, Kinrex, Socorep, Soreplico, Solico, Inpex, Ibos, Lirex, Semliki, Teikoku Oil, Cobit, Comico, African Minerals (Barbados), Anvil Mining Company of Katanga (AMCK), Anvil Mining Congo, Ashanti Goldfiels Kilo Sarl, Bazano, Boss Mining Sprl, Chemical of Africa Sprl, Compagnie Miniere du Sud-Katanga Sprl, Congo Dong Fang Minerals, Congo Loyal Will Mining (CLWM), Congolaise des Mines et de Development (COMIDE), Entreprise Generale Mala Forest (EGMF), Gecamines, Sodifor, Kamituga Mining, Kamoto Copper Company, Kansuki Mining Sprl, Kasontolupoto Mines, KGL - Somituri (Societe Miniere de L'Ituri), Kibali Gold Mines, Kimin/Kisanfu Mining, Kinsenda Copper Company, Kipushi Corporation (Kico), Loncor Resources Congo Sprl, Mining Mineral Resources (MMR), Mutanda Mining, Orama, Ruashi Mining, Rubamin, Shituru Mining Corporation, SMKK, S. d'Exploitation de Gisements de Kalukundi (Swan Mines), Societe d'Exploitation de Kipoi (SEK), Societe d'Exploitation Miniere de Chabara Sprl, Societe d'Exploitation Miniere du Haut-Katanga, Societe Miniere du Katange (SOMIKA), SODIMICO, SOKIMO, STL, Tenke Fungurume Mining (TFM), Twangiaz Mining, Bolfast, Congo International Mining Corporation, Cota Mining, Exploitation Artisanale du Congo (EXACO), Feza Mining, Huachin Sprl, JMT, Magma Minerals, Metals Mines, Volcano, La COmminiere, SAKIMA, SCMK - Mn, Societe Congolaise d'Investissement (SCIM), Societe Miniere de Bakwanga (MIBA), Societe Immobiliere du Congo (SIMCO), CLuff Mining, Comagniermusonoi (COMMOS), Compagnie Miniere du Luisha (COMILU) Cooompagnie Miniere Kambove (COMIKA), GTL, La Miniere de Kalumbwemyunga (MKM), La Miniere de Kasombo (MIKAS), Long Fei Mining, Lugushwa Mining, Manono Minerals, Mwana Africa COngo Gold (MIZAKO), Namoya Mining Salr, SECAKAT, SEGMAL, SICOMINES, Societe de Beers DRC Exploration Sprl, Societe Minierede Kolwezi, Societe Miniere de Moku-Beverendi (SMB), Soceite Miniere de Ziwaecaille (SOMIDEC), SODIMIKA (Kimpermabaya), SOMIMI, Wanga Mining, Compagnie Miniere Sakania (COMISA), Frontier, Golden Africa Resources, Metalkol "/>
    <n v="106"/>
    <s v="December 2013"/>
    <d v="2014-09-15T00:00:00"/>
    <s v="KPMG"/>
    <s v="http://www.itierdc.com/Publication_et_rapport/Rapport%20Complementaire%20ITIE-RDC%202011%20-%20version%20anglaise%20%28english%29.pdf"/>
    <n v="7"/>
    <s v="This information has been taken from a complementary report as the report on the oil sector has not been translated in to English. Materiality threshold: all oil companies should be reconciled; mining companies that have made payment of more than $500,000 in 2011, state-owned mining companies, mining companies that are in a joint venture with mining companies, and mining companies that have participated in previous EITI Reports, should be reconciled. The report doesn't specify what minerals are mined. Unilateral declarations are included in the figures. The report contains extensive information on the Sicomines project."/>
    <m/>
    <m/>
    <m/>
    <m/>
    <m/>
    <m/>
    <m/>
    <m/>
    <m/>
    <m/>
    <m/>
    <m/>
    <m/>
    <m/>
    <m/>
    <m/>
    <m/>
    <m/>
    <m/>
    <m/>
  </r>
  <r>
    <x v="58"/>
    <n v="2011"/>
    <x v="9"/>
    <s v="Africa"/>
    <m/>
    <s v="Oil"/>
    <s v="no"/>
    <s v="no"/>
    <s v="yes"/>
    <s v="Oil"/>
    <s v="detailed"/>
    <s v="detailed Oil"/>
    <n v="7373000"/>
    <m/>
    <m/>
    <m/>
    <m/>
    <s v="bbl"/>
    <n v="106.53"/>
    <s v="US$/bbl"/>
    <m/>
    <n v="785445690"/>
    <m/>
    <m/>
    <m/>
    <n v="465655388"/>
    <n v="465655806"/>
    <s v="100% of production value &amp; revenue"/>
    <n v="465655388"/>
    <s v="Inferred from EITI Report"/>
    <n v="0.59285497893559003"/>
    <m/>
    <m/>
    <m/>
    <m/>
    <m/>
    <m/>
    <m/>
    <n v="27"/>
    <s v="Cohydro, Mioc, Perencorep, Energulf, Eni Rd Congo, Nessergy, Oil of DR Congo, Soco DRC, Surestream, Total, Caprikate Congo, Chevron ODS, Divine Inspiration Group, Foxwhelp Congo, Glencore, Japeco, Kinrex, Socorep, Soreplico, Solico, Inpex, Ibos, Lirex, Semliki, Teikoku Oil, Cobit, Comico"/>
    <n v="27"/>
    <m/>
    <m/>
    <m/>
    <m/>
    <m/>
    <m/>
    <m/>
    <m/>
    <m/>
    <m/>
    <m/>
    <m/>
    <m/>
    <m/>
    <m/>
    <m/>
    <m/>
    <m/>
    <m/>
    <m/>
    <m/>
    <m/>
    <m/>
    <m/>
    <m/>
    <m/>
  </r>
  <r>
    <x v="58"/>
    <n v="2011"/>
    <x v="9"/>
    <s v="Africa"/>
    <m/>
    <s v="Mining"/>
    <s v="yes"/>
    <s v="no"/>
    <s v="no"/>
    <s v="Total Mining"/>
    <s v="Total"/>
    <s v="Total Mining"/>
    <m/>
    <m/>
    <m/>
    <m/>
    <m/>
    <m/>
    <m/>
    <m/>
    <m/>
    <n v="4099820328.5550637"/>
    <m/>
    <m/>
    <m/>
    <n v="947470925"/>
    <n v="942617547"/>
    <m/>
    <m/>
    <m/>
    <n v="0.23110059687272336"/>
    <m/>
    <m/>
    <m/>
    <m/>
    <m/>
    <m/>
    <m/>
    <n v="83"/>
    <s v="African Minerals (Barbados), Anvil Mining Company of Katanga (AMCK), Anvil Mining Congo, Ashanti Goldfiels Kilo Sarl, Bazano, Boss Mining Sprl, Chemical of Africa Sprl, Compagnie Miniere du Sud-Katanga Sprl, Congo Dong Fang Minerals, Congo Loyal Will Mining (CLWM), Congolaise des Mines et de Development (COMIDE), Entreprise Generale Mala Forest (EGMF), Gecamines, Sodifor, Kamituga Mining, Kamoto Copper Company, Kansuki Mining Sprl, Kasontolupoto Mines, KGL - Somituri (Societe Miniere de L'Ituri), Kibali Gold Mines, Kimin/Kisanfu Mining, Kinsenda Copper Company, Kipushi Corporation (Kico), Loncor Resources Congo Sprl, Mining Mineral Resources (MMR), Mutanda Mining, Orama, Ruashi Mining, Rubamin, Shituru Mining Corporation, SMKK, S. d'Exploitation de Gisements de Kalukundi (Swan Mines), Societe d'Exploitation de Kipoi (SEK), Societe d'Exploitation Miniere de Chabara Sprl, Societe d'Exploitation Miniere du Haut-Katanga, Societe Miniere du Katange (SOMIKA), SODIMICO, SOKIMO, STL, Tenke Fungurume Mining (TFM), Twangiaz Mining, Bolfast, Congo International Mining Corporation, Cota Mining, Exploitation Artisanale du Congo (EXACO), Feza Mining, Huachin Sprl, JMT, Magma Minerals, Metals Mines, Volcano, La COmminiere, SAKIMA, SCMK - Mn, Societe Congolaise d'Investissement (SCIM), Societe Miniere de Bakwanga (MIBA), Societe Immobiliere du Congo (SIMCO), CLuff Mining, Comagniermusonoi (COMMOS), Compagnie Miniere du Luisha (COMILU) Cooompagnie Miniere Kambove (COMIKA), GTL, La Miniere de Kalumbwemyunga (MKM), La Miniere de Kasombo (MIKAS), Long Fei Mining, Lugushwa Mining, Manono Minerals, Mwana Africa COngo Gold (MIZAKO), Namoya Mining Salr, SECAKAT, SEGMAL, SICOMINES, Societe de Beers DRC Exploration Sprl, Societe Minierede Kolwezi, Societe Miniere de Moku-Beverendi (SMB), Soceite Miniere de Ziwaecaille (SOMIDEC), SODIMIKA (Kimpermabaya), SOMIMI, Wanga Mining, Compagnie Miniere Sakania (COMISA), Frontier, Golden Africa Resources, Metalkol "/>
    <n v="79"/>
    <m/>
    <m/>
    <m/>
    <m/>
    <n v="7"/>
    <m/>
    <m/>
    <m/>
    <m/>
    <m/>
    <m/>
    <m/>
    <m/>
    <m/>
    <m/>
    <m/>
    <m/>
    <m/>
    <m/>
    <m/>
    <m/>
    <m/>
    <m/>
    <m/>
    <m/>
    <m/>
  </r>
  <r>
    <x v="58"/>
    <n v="2011"/>
    <x v="9"/>
    <s v="Africa"/>
    <m/>
    <s v="Mining"/>
    <s v="yes"/>
    <s v="no"/>
    <s v="no"/>
    <s v="Coal"/>
    <s v="detailed"/>
    <s v="detailed Mining"/>
    <n v="1469"/>
    <m/>
    <m/>
    <m/>
    <m/>
    <s v="t"/>
    <n v="111.54662184722224"/>
    <s v="US$/t"/>
    <s v="Volume from USGS Mineral Yearbook 2012. Price from BPSR 2014, and is an average of the American Central Appalachian, Asian and Northwest Europe marker/spot prices."/>
    <n v="163861.98749356947"/>
    <m/>
    <m/>
    <m/>
    <m/>
    <m/>
    <m/>
    <m/>
    <m/>
    <m/>
    <m/>
    <m/>
    <m/>
    <m/>
    <m/>
    <m/>
    <m/>
    <m/>
    <m/>
    <m/>
    <m/>
    <m/>
    <m/>
    <m/>
    <m/>
    <m/>
    <m/>
    <m/>
    <m/>
    <m/>
    <m/>
    <m/>
    <m/>
    <m/>
    <m/>
    <m/>
    <m/>
    <m/>
    <m/>
    <m/>
    <m/>
    <m/>
    <m/>
    <m/>
    <m/>
    <m/>
  </r>
  <r>
    <x v="58"/>
    <n v="2011"/>
    <x v="9"/>
    <s v="Africa"/>
    <m/>
    <s v="Mining"/>
    <s v="yes"/>
    <s v="no"/>
    <s v="no"/>
    <s v="Cobalt"/>
    <s v="detailed"/>
    <s v="detailed Mining"/>
    <m/>
    <m/>
    <m/>
    <m/>
    <m/>
    <m/>
    <n v="39661.193319106154"/>
    <s v="US$/t"/>
    <s v="Price from USGS Mineral Yearbook 2012, and is the average U.S. spot price for minimum 99.8% cobalt cathode reported by Platts Metals Week"/>
    <n v="123068682.8691864"/>
    <m/>
    <m/>
    <m/>
    <m/>
    <m/>
    <m/>
    <m/>
    <m/>
    <m/>
    <m/>
    <m/>
    <m/>
    <m/>
    <m/>
    <m/>
    <m/>
    <m/>
    <m/>
    <m/>
    <m/>
    <m/>
    <m/>
    <m/>
    <m/>
    <m/>
    <m/>
    <m/>
    <m/>
    <m/>
    <m/>
    <m/>
    <m/>
    <m/>
    <m/>
    <m/>
    <m/>
    <m/>
    <m/>
    <m/>
    <m/>
    <m/>
    <m/>
    <m/>
    <m/>
    <m/>
  </r>
  <r>
    <x v="58"/>
    <n v="2011"/>
    <x v="9"/>
    <s v="Africa"/>
    <m/>
    <s v="Mining"/>
    <s v="yes"/>
    <s v="no"/>
    <s v="no"/>
    <s v="o/w Cobalt content of mine output"/>
    <s v="detailed"/>
    <s v="detailed Mining"/>
    <n v="60000"/>
    <m/>
    <m/>
    <m/>
    <m/>
    <s v="t"/>
    <m/>
    <m/>
    <s v="Volume from USGS Mineral Yearbook 2012"/>
    <m/>
    <m/>
    <m/>
    <m/>
    <m/>
    <m/>
    <m/>
    <m/>
    <m/>
    <m/>
    <m/>
    <m/>
    <m/>
    <m/>
    <m/>
    <m/>
    <m/>
    <m/>
    <m/>
    <m/>
    <m/>
    <m/>
    <m/>
    <m/>
    <m/>
    <m/>
    <m/>
    <m/>
    <m/>
    <m/>
    <m/>
    <m/>
    <m/>
    <m/>
    <m/>
    <m/>
    <m/>
    <m/>
    <m/>
    <m/>
    <m/>
    <m/>
    <m/>
    <m/>
    <m/>
    <m/>
  </r>
  <r>
    <x v="58"/>
    <n v="2011"/>
    <x v="9"/>
    <s v="Africa"/>
    <m/>
    <s v="Mining"/>
    <s v="yes"/>
    <s v="no"/>
    <s v="no"/>
    <s v="o/w Cobalt (metal)"/>
    <s v="detailed"/>
    <s v="detailed Mining"/>
    <n v="3103"/>
    <m/>
    <m/>
    <m/>
    <m/>
    <s v="t"/>
    <m/>
    <m/>
    <s v="Volume from USGS Mineral Yearbook 2012"/>
    <m/>
    <m/>
    <m/>
    <m/>
    <m/>
    <m/>
    <m/>
    <m/>
    <m/>
    <m/>
    <m/>
    <m/>
    <m/>
    <m/>
    <m/>
    <m/>
    <m/>
    <m/>
    <m/>
    <m/>
    <m/>
    <m/>
    <m/>
    <m/>
    <m/>
    <m/>
    <m/>
    <m/>
    <m/>
    <m/>
    <m/>
    <m/>
    <m/>
    <m/>
    <m/>
    <m/>
    <m/>
    <m/>
    <m/>
    <m/>
    <m/>
    <m/>
    <m/>
    <m/>
    <m/>
    <m/>
  </r>
  <r>
    <x v="58"/>
    <n v="2011"/>
    <x v="9"/>
    <s v="Africa"/>
    <m/>
    <s v="Mining"/>
    <s v="yes"/>
    <s v="no"/>
    <s v="no"/>
    <s v="Columbite-tantalite concentrate"/>
    <s v="detailed"/>
    <s v="detailed Mining"/>
    <m/>
    <m/>
    <m/>
    <m/>
    <m/>
    <m/>
    <m/>
    <m/>
    <m/>
    <m/>
    <m/>
    <m/>
    <m/>
    <m/>
    <m/>
    <m/>
    <m/>
    <m/>
    <m/>
    <m/>
    <m/>
    <m/>
    <m/>
    <m/>
    <m/>
    <m/>
    <m/>
    <m/>
    <m/>
    <m/>
    <m/>
    <m/>
    <m/>
    <m/>
    <m/>
    <m/>
    <m/>
    <m/>
    <m/>
    <m/>
    <m/>
    <m/>
    <m/>
    <m/>
    <m/>
    <m/>
    <m/>
    <m/>
    <m/>
    <m/>
    <m/>
    <m/>
    <m/>
    <m/>
    <m/>
  </r>
  <r>
    <x v="58"/>
    <n v="2011"/>
    <x v="9"/>
    <s v="Africa"/>
    <m/>
    <s v="Mining"/>
    <s v="yes"/>
    <s v="no"/>
    <s v="no"/>
    <s v="o/w Gross weight"/>
    <s v="detailed"/>
    <s v="detailed Mining"/>
    <n v="450"/>
    <m/>
    <m/>
    <m/>
    <m/>
    <s v="t"/>
    <m/>
    <m/>
    <s v="Volume from USGS Mineral Yearbook 2012"/>
    <m/>
    <m/>
    <m/>
    <m/>
    <m/>
    <m/>
    <m/>
    <m/>
    <m/>
    <m/>
    <m/>
    <m/>
    <m/>
    <m/>
    <m/>
    <m/>
    <m/>
    <m/>
    <m/>
    <m/>
    <m/>
    <m/>
    <m/>
    <m/>
    <m/>
    <m/>
    <m/>
    <m/>
    <m/>
    <m/>
    <m/>
    <m/>
    <m/>
    <m/>
    <m/>
    <m/>
    <m/>
    <m/>
    <m/>
    <m/>
    <m/>
    <m/>
    <m/>
    <m/>
    <m/>
    <m/>
  </r>
  <r>
    <x v="58"/>
    <n v="2011"/>
    <x v="9"/>
    <s v="Africa"/>
    <m/>
    <s v="Mining"/>
    <s v="yes"/>
    <s v="no"/>
    <s v="no"/>
    <s v="o/w Columbium content"/>
    <s v="detailed"/>
    <s v="detailed Mining"/>
    <n v="100"/>
    <m/>
    <m/>
    <m/>
    <m/>
    <s v="t"/>
    <n v="41000"/>
    <s v="US$/t"/>
    <s v="Volume from USGS Mineral Yearbook 2012. Price from USGS Mineral Commodity Summary 2013, and is the price for ferroniobium with 65% columbium content in the US."/>
    <n v="4100000"/>
    <m/>
    <m/>
    <m/>
    <m/>
    <m/>
    <m/>
    <m/>
    <m/>
    <m/>
    <m/>
    <m/>
    <m/>
    <m/>
    <m/>
    <m/>
    <m/>
    <m/>
    <m/>
    <m/>
    <m/>
    <m/>
    <m/>
    <m/>
    <m/>
    <m/>
    <m/>
    <m/>
    <m/>
    <m/>
    <m/>
    <m/>
    <m/>
    <m/>
    <m/>
    <m/>
    <m/>
    <m/>
    <m/>
    <m/>
    <m/>
    <m/>
    <m/>
    <m/>
    <m/>
    <m/>
  </r>
  <r>
    <x v="58"/>
    <n v="2011"/>
    <x v="9"/>
    <s v="Africa"/>
    <m/>
    <s v="Mining"/>
    <s v="yes"/>
    <s v="no"/>
    <s v="no"/>
    <s v="o/w Tantalum content"/>
    <s v="detailed"/>
    <s v="detailed Mining"/>
    <n v="120"/>
    <m/>
    <m/>
    <m/>
    <m/>
    <s v="t"/>
    <n v="275578.05252297217"/>
    <s v="US$/t"/>
    <s v="Volume from USGS Mineral Yearbook 2012. Price from USGS Mineral Commodity Summary 2013, and is the price for the Ta2O5 content of tantalite in the US."/>
    <n v="33069366.30275666"/>
    <m/>
    <m/>
    <m/>
    <m/>
    <m/>
    <m/>
    <m/>
    <m/>
    <m/>
    <m/>
    <m/>
    <m/>
    <m/>
    <m/>
    <m/>
    <m/>
    <m/>
    <m/>
    <m/>
    <m/>
    <m/>
    <m/>
    <m/>
    <m/>
    <m/>
    <m/>
    <m/>
    <m/>
    <m/>
    <m/>
    <m/>
    <m/>
    <m/>
    <m/>
    <m/>
    <m/>
    <m/>
    <m/>
    <m/>
    <m/>
    <m/>
    <m/>
    <m/>
    <m/>
    <m/>
  </r>
  <r>
    <x v="58"/>
    <n v="2011"/>
    <x v="9"/>
    <s v="Africa"/>
    <m/>
    <s v="Mining"/>
    <s v="yes"/>
    <s v="no"/>
    <s v="no"/>
    <s v="Copper"/>
    <s v="detailed"/>
    <s v="detailed Mining"/>
    <m/>
    <m/>
    <m/>
    <m/>
    <m/>
    <m/>
    <n v="8245.2953314873284"/>
    <s v="US$/t"/>
    <s v="Price from the Freeport-McMoRan Copper &amp; Gold Inc. Annual Report 2011 and is for output from the Tenke Fungurume mine."/>
    <n v="2984796909.9984131"/>
    <m/>
    <m/>
    <m/>
    <m/>
    <m/>
    <m/>
    <m/>
    <m/>
    <m/>
    <m/>
    <m/>
    <m/>
    <m/>
    <m/>
    <m/>
    <m/>
    <m/>
    <m/>
    <m/>
    <m/>
    <m/>
    <m/>
    <m/>
    <m/>
    <m/>
    <m/>
    <m/>
    <m/>
    <m/>
    <m/>
    <m/>
    <m/>
    <m/>
    <m/>
    <m/>
    <m/>
    <m/>
    <m/>
    <m/>
    <m/>
    <m/>
    <m/>
    <m/>
    <m/>
    <m/>
  </r>
  <r>
    <x v="58"/>
    <n v="2011"/>
    <x v="9"/>
    <s v="Africa"/>
    <m/>
    <s v="Mining"/>
    <s v="yes"/>
    <s v="no"/>
    <s v="no"/>
    <s v="o/w Copper content of mine output"/>
    <s v="detailed"/>
    <s v="detailed Mining"/>
    <n v="530000"/>
    <m/>
    <m/>
    <m/>
    <m/>
    <s v="t"/>
    <m/>
    <m/>
    <s v="Volume from USGS Mineral Yearbook 2012"/>
    <m/>
    <m/>
    <m/>
    <m/>
    <m/>
    <m/>
    <m/>
    <m/>
    <m/>
    <m/>
    <m/>
    <m/>
    <m/>
    <m/>
    <m/>
    <m/>
    <m/>
    <m/>
    <m/>
    <m/>
    <m/>
    <m/>
    <m/>
    <m/>
    <m/>
    <m/>
    <m/>
    <m/>
    <m/>
    <m/>
    <m/>
    <m/>
    <m/>
    <m/>
    <m/>
    <m/>
    <m/>
    <m/>
    <m/>
    <m/>
    <m/>
    <m/>
    <m/>
    <m/>
    <m/>
    <m/>
  </r>
  <r>
    <x v="58"/>
    <n v="2011"/>
    <x v="9"/>
    <s v="Africa"/>
    <m/>
    <s v="Mining"/>
    <s v="yes"/>
    <s v="no"/>
    <s v="no"/>
    <s v="o/w Copper (refined)"/>
    <s v="detailed"/>
    <s v="detailed Mining"/>
    <n v="362000"/>
    <m/>
    <m/>
    <m/>
    <m/>
    <s v="t"/>
    <m/>
    <m/>
    <s v="Volume from USGS Mineral Yearbook 2012"/>
    <m/>
    <m/>
    <m/>
    <m/>
    <m/>
    <m/>
    <m/>
    <m/>
    <m/>
    <m/>
    <m/>
    <m/>
    <m/>
    <m/>
    <m/>
    <m/>
    <m/>
    <m/>
    <m/>
    <m/>
    <m/>
    <m/>
    <m/>
    <m/>
    <m/>
    <m/>
    <m/>
    <m/>
    <m/>
    <m/>
    <m/>
    <m/>
    <m/>
    <m/>
    <m/>
    <m/>
    <m/>
    <m/>
    <m/>
    <m/>
    <m/>
    <m/>
    <m/>
    <m/>
    <m/>
    <m/>
  </r>
  <r>
    <x v="58"/>
    <n v="2011"/>
    <x v="9"/>
    <s v="Africa"/>
    <m/>
    <s v="Mining"/>
    <s v="yes"/>
    <s v="no"/>
    <s v="no"/>
    <s v="Diamond"/>
    <s v="detailed"/>
    <s v="detailed Mining"/>
    <n v="19547000"/>
    <m/>
    <m/>
    <m/>
    <m/>
    <s v="carats"/>
    <n v="9.33"/>
    <s v="US$/carat"/>
    <s v="Volume from USGS Mineral Yearbook 2012. Price from kimberley Process Annual Summary 2011."/>
    <n v="182373510"/>
    <m/>
    <m/>
    <m/>
    <m/>
    <m/>
    <m/>
    <m/>
    <m/>
    <m/>
    <m/>
    <m/>
    <m/>
    <m/>
    <m/>
    <m/>
    <m/>
    <m/>
    <m/>
    <m/>
    <m/>
    <m/>
    <m/>
    <m/>
    <m/>
    <m/>
    <m/>
    <m/>
    <m/>
    <m/>
    <m/>
    <m/>
    <m/>
    <m/>
    <m/>
    <m/>
    <m/>
    <m/>
    <m/>
    <m/>
    <m/>
    <m/>
    <m/>
    <m/>
    <m/>
    <m/>
  </r>
  <r>
    <x v="58"/>
    <n v="2011"/>
    <x v="9"/>
    <s v="Africa"/>
    <m/>
    <s v="Mining"/>
    <s v="yes"/>
    <s v="no"/>
    <s v="no"/>
    <s v="Gold"/>
    <s v="detailed"/>
    <s v="detailed Mining"/>
    <n v="385808.917518072"/>
    <m/>
    <m/>
    <m/>
    <m/>
    <s v="toz"/>
    <n v="1569.2108333333299"/>
    <s v="US$/toz"/>
    <s v="Volume from USGS Mineral Yearbook 2012. Price from World Bank (Global Economic Monitor (GEM) Commodities database), and is defined as: Gold (UK), 99.5% fine, London afternoon fixing, average of daily rates."/>
    <n v="605415532.96596372"/>
    <m/>
    <m/>
    <m/>
    <m/>
    <m/>
    <m/>
    <m/>
    <m/>
    <m/>
    <m/>
    <m/>
    <m/>
    <m/>
    <m/>
    <m/>
    <m/>
    <m/>
    <m/>
    <m/>
    <m/>
    <m/>
    <m/>
    <m/>
    <m/>
    <m/>
    <m/>
    <m/>
    <m/>
    <m/>
    <m/>
    <m/>
    <m/>
    <m/>
    <m/>
    <m/>
    <m/>
    <m/>
    <m/>
    <m/>
    <m/>
    <m/>
    <m/>
    <m/>
    <m/>
    <m/>
  </r>
  <r>
    <x v="58"/>
    <n v="2011"/>
    <x v="9"/>
    <s v="Africa"/>
    <m/>
    <s v="Mining"/>
    <s v="yes"/>
    <s v="no"/>
    <s v="no"/>
    <s v="Tin concentrate"/>
    <s v="detailed"/>
    <s v="detailed Mining"/>
    <m/>
    <m/>
    <m/>
    <m/>
    <m/>
    <m/>
    <n v="26053.674999999999"/>
    <s v="US$/t"/>
    <s v="Price from World Bank (Global Economic Monitor (GEM) Commodities database), and is defined as: Tin (LME), refined, 99.85% purity, settlement price."/>
    <n v="125057640"/>
    <m/>
    <m/>
    <m/>
    <m/>
    <m/>
    <m/>
    <m/>
    <m/>
    <m/>
    <m/>
    <m/>
    <m/>
    <m/>
    <m/>
    <m/>
    <m/>
    <m/>
    <m/>
    <m/>
    <m/>
    <m/>
    <m/>
    <m/>
    <m/>
    <m/>
    <m/>
    <m/>
    <m/>
    <m/>
    <m/>
    <m/>
    <m/>
    <m/>
    <m/>
    <m/>
    <m/>
    <m/>
    <m/>
    <m/>
    <m/>
    <m/>
    <m/>
    <m/>
    <m/>
    <m/>
  </r>
  <r>
    <x v="58"/>
    <n v="2011"/>
    <x v="9"/>
    <s v="Africa"/>
    <m/>
    <s v="Mining"/>
    <s v="yes"/>
    <s v="no"/>
    <s v="no"/>
    <s v="o/w Gross weight"/>
    <s v="detailed"/>
    <s v="detailed Mining"/>
    <n v="7400"/>
    <m/>
    <m/>
    <m/>
    <m/>
    <s v="t"/>
    <m/>
    <m/>
    <s v="Volume from USGS Mineral Yearbook 2012"/>
    <m/>
    <m/>
    <m/>
    <m/>
    <m/>
    <m/>
    <m/>
    <m/>
    <m/>
    <m/>
    <m/>
    <m/>
    <m/>
    <m/>
    <m/>
    <m/>
    <m/>
    <m/>
    <m/>
    <m/>
    <m/>
    <m/>
    <m/>
    <m/>
    <m/>
    <m/>
    <m/>
    <m/>
    <m/>
    <m/>
    <m/>
    <m/>
    <m/>
    <m/>
    <m/>
    <m/>
    <m/>
    <m/>
    <m/>
    <m/>
    <m/>
    <m/>
    <m/>
    <m/>
    <m/>
    <m/>
  </r>
  <r>
    <x v="58"/>
    <n v="2011"/>
    <x v="9"/>
    <s v="Africa"/>
    <m/>
    <s v="Mining"/>
    <s v="yes"/>
    <s v="no"/>
    <s v="no"/>
    <s v="o/w Tin content"/>
    <s v="detailed"/>
    <s v="detailed Mining"/>
    <n v="4800"/>
    <m/>
    <m/>
    <m/>
    <m/>
    <s v="t"/>
    <m/>
    <m/>
    <s v="Volume from USGS Mineral Yearbook 2012"/>
    <m/>
    <m/>
    <m/>
    <m/>
    <m/>
    <m/>
    <m/>
    <m/>
    <m/>
    <m/>
    <m/>
    <m/>
    <m/>
    <m/>
    <m/>
    <m/>
    <m/>
    <m/>
    <m/>
    <m/>
    <m/>
    <m/>
    <m/>
    <m/>
    <m/>
    <m/>
    <m/>
    <m/>
    <m/>
    <m/>
    <m/>
    <m/>
    <m/>
    <m/>
    <m/>
    <m/>
    <m/>
    <m/>
    <m/>
    <m/>
    <m/>
    <m/>
    <m/>
    <m/>
    <m/>
    <m/>
  </r>
  <r>
    <x v="58"/>
    <n v="2011"/>
    <x v="9"/>
    <s v="Africa"/>
    <m/>
    <s v="Mining"/>
    <s v="yes"/>
    <s v="no"/>
    <s v="no"/>
    <s v="Tungsten concentrate"/>
    <s v="detailed"/>
    <s v="detailed Mining"/>
    <m/>
    <m/>
    <m/>
    <m/>
    <m/>
    <m/>
    <n v="199"/>
    <s v="US$/t"/>
    <s v="Price from USGS Mineral Commodity Summary 2013, and is the average price on the US and European spot markets for a metric ton unit of tungsten trioxide, which contains 7.93kg of tungsten."/>
    <n v="13930"/>
    <m/>
    <m/>
    <m/>
    <m/>
    <m/>
    <m/>
    <m/>
    <m/>
    <m/>
    <m/>
    <m/>
    <m/>
    <m/>
    <m/>
    <m/>
    <m/>
    <m/>
    <m/>
    <m/>
    <m/>
    <m/>
    <m/>
    <m/>
    <m/>
    <m/>
    <m/>
    <m/>
    <m/>
    <m/>
    <m/>
    <m/>
    <m/>
    <m/>
    <m/>
    <m/>
    <m/>
    <m/>
    <m/>
    <m/>
    <m/>
    <m/>
    <m/>
    <m/>
    <m/>
    <m/>
  </r>
  <r>
    <x v="58"/>
    <n v="2011"/>
    <x v="9"/>
    <s v="Africa"/>
    <m/>
    <s v="Mining"/>
    <s v="yes"/>
    <s v="no"/>
    <s v="no"/>
    <s v="o/w Gross weight"/>
    <s v="detailed"/>
    <s v="detailed Mining"/>
    <n v="130"/>
    <m/>
    <m/>
    <m/>
    <m/>
    <s v="t"/>
    <m/>
    <m/>
    <s v="Volume from USGS Mineral Yearbook 2012"/>
    <m/>
    <m/>
    <m/>
    <m/>
    <m/>
    <m/>
    <m/>
    <m/>
    <m/>
    <m/>
    <m/>
    <m/>
    <m/>
    <m/>
    <m/>
    <m/>
    <m/>
    <m/>
    <m/>
    <m/>
    <m/>
    <m/>
    <m/>
    <m/>
    <m/>
    <m/>
    <m/>
    <m/>
    <m/>
    <m/>
    <m/>
    <m/>
    <m/>
    <m/>
    <m/>
    <m/>
    <m/>
    <m/>
    <m/>
    <m/>
    <m/>
    <m/>
    <m/>
    <m/>
    <m/>
    <m/>
  </r>
  <r>
    <x v="58"/>
    <n v="2011"/>
    <x v="9"/>
    <s v="Africa"/>
    <m/>
    <s v="Mining"/>
    <s v="yes"/>
    <s v="no"/>
    <s v="no"/>
    <s v="o/w Tungsten content"/>
    <s v="detailed"/>
    <s v="detailed Mining"/>
    <n v="70"/>
    <m/>
    <m/>
    <m/>
    <m/>
    <s v="t"/>
    <m/>
    <m/>
    <s v="Volume from USGS Mineral Yearbook 2012"/>
    <m/>
    <m/>
    <m/>
    <m/>
    <m/>
    <m/>
    <m/>
    <m/>
    <m/>
    <m/>
    <m/>
    <m/>
    <m/>
    <m/>
    <m/>
    <m/>
    <m/>
    <m/>
    <m/>
    <m/>
    <m/>
    <m/>
    <m/>
    <m/>
    <m/>
    <m/>
    <m/>
    <m/>
    <m/>
    <m/>
    <m/>
    <m/>
    <m/>
    <m/>
    <m/>
    <m/>
    <m/>
    <m/>
    <m/>
    <m/>
    <m/>
    <m/>
    <m/>
    <m/>
    <m/>
    <m/>
  </r>
  <r>
    <x v="58"/>
    <n v="2011"/>
    <x v="9"/>
    <s v="Africa"/>
    <m/>
    <s v="Mining"/>
    <s v="yes"/>
    <s v="no"/>
    <s v="no"/>
    <s v="Zinc (content of mine output)"/>
    <s v="detailed"/>
    <s v="detailed Mining"/>
    <n v="19035"/>
    <m/>
    <m/>
    <m/>
    <m/>
    <s v="t"/>
    <n v="2193.90041666667"/>
    <s v="US$/t"/>
    <s v="Volume from USGS Mineral Yearbook 2012. Price from World Bank (Global Economic Monitor (GEM) Commodities database), and is defined as: Zinc (LME), high grade, minimum 99.95% purity, settlement price beginning April 1990; previously special high grade, minimum 99.995%, cash prices."/>
    <n v="41760894.431250066"/>
    <m/>
    <m/>
    <m/>
    <m/>
    <m/>
    <m/>
    <m/>
    <m/>
    <m/>
    <m/>
    <m/>
    <m/>
    <m/>
    <m/>
    <m/>
    <m/>
    <m/>
    <m/>
    <m/>
    <m/>
    <m/>
    <m/>
    <m/>
    <m/>
    <s v="Production volume information from USGS Mineral Yearbook 2012, price information from World Bank (Global Economic Monitor (GEM) Commodities database). Price is defined as: Zinc (LME), high grade, minimum 99.95% purity, settlement price beginning April 1990; previously special high grade, minimum 99.995%, cash prices."/>
    <m/>
    <m/>
    <m/>
    <m/>
    <m/>
    <m/>
    <m/>
    <m/>
    <m/>
    <m/>
    <m/>
    <m/>
    <m/>
    <m/>
    <m/>
    <m/>
    <m/>
    <m/>
    <m/>
    <m/>
  </r>
  <r>
    <x v="59"/>
    <n v="2012"/>
    <x v="9"/>
    <s v="Africa"/>
    <s v="http://www.itierdc.com"/>
    <s v="Oil, Mining"/>
    <m/>
    <m/>
    <m/>
    <s v="Total"/>
    <m/>
    <m/>
    <m/>
    <m/>
    <m/>
    <m/>
    <m/>
    <m/>
    <m/>
    <m/>
    <s v="Volume from EITI Report"/>
    <n v="8532889613.9200001"/>
    <s v="Profits/Taxes, Royalties, Dividends, Bonuses, Licenses and concessions, Other significant benefits to government"/>
    <s v="Also covers payments made in-kind"/>
    <s v="No"/>
    <n v="1505213145"/>
    <n v="1514746636"/>
    <n v="0.99"/>
    <n v="1549000000"/>
    <m/>
    <n v="0.18149999999999999"/>
    <s v="Congolese Franc"/>
    <n v="919.5"/>
    <s v="Disaggregated by revenue stream, Disaggregated by company"/>
    <m/>
    <m/>
    <m/>
    <m/>
    <n v="103"/>
    <s v="Caprikat, Chevron ODS, Cohydro, Divine, Energulf, Eni, Foxwelp, Glencore, IBOS, INPEX, Japeco, Kinrex, Lirex, MIOC, Nessergy, Oil of DRC, Perencorep, Semliki, Soco, Socorep, Solico, Soreplico, Surestream, Teikoku, Total, African Minerals, Alsesy Trading SPRL, Anvil Mining Compagny Kinsevere (AMCK), Anvil Mining Congo, Ashanti Goldfields Kilo SARL, Bolfast, Bon Geni K. Mining, Boss Mining, Chabara SPRL, Chemical Of Africa, Compagnie De Musonoie Global SPRL, Compagnie Minere De Tondo, Compagnie Miniere De Kambove, Compagnie Miniere De Luisha, Compagnie Miniere Du Sud Katanga, Compagnie Miniere Sakania, Company Miniere De Dilala SPRL, Congo Dongfang International Mining, Congo International Mining Corporation SPRL, Congo Jinjun Cheng Mining Compagny, Entreprise Generale Malta Forest, Exploitations Artisanales Du Congo, Feza Mining, Frontier, Giro Gold, Groupe Bazano, Groupement Du Terril De Lubumbashi, Huachin Metal Leach SPRL, Huachin Mining SPRL, JMT, Kamoto Copper Company, Kansuki Mining SPRL, Kasonto Lupoto Mines, KGL-Somituri (Socitete Miniere De Ituri), Kibali Gold Mines, Kinsenda Copper Company (KICC), Kipushi Corporation, Kisanfu Mining SPRL, La Congolaise D’exploitation Miniere, La Congolaise Des Mines Et De Developpement SPRL, La Generale Des Carrieres Et Des Mines, La Miniere De Kalumbwe Myunga, La Miniere De Kasombo, La Sino Congolaise Des Mines, Loncor Resources Congo SPRL, Long Fei Mining, Magma Minerals, Metal Mines, Mineral Invest International Congo, Mines D’Or De Kisenge SPRL (Cluff Mining), Miniere De Bakwanga, Mining Mineral Resources, Mutanda Mining, Namoya Mining SARL, Orama, Phelps Dodge Congo, Rio Tinto Congo, Ruashi Mining, Rubamin, Shituru Mining Company, Societe Aurifere Du Kivu Et Du Maniema, Societe, Commerciale Miniere De Kisenge Manganese, Societe Congolaise D’investissement Minier, Societe D Exploitation De La Cassiterite Au Katanga SPRL, Societe D Exploitation Des Gisements De Malemba Nkulu SPRL, Societe D’exploitation Des Rejets De Kingamyambo Societe D’Exploitation Kipoi, Societe D’exploration Miniere Du Haut Katanga, Societe D’exploitation Des Gisements De Kalunkundi, Societe De Beers Drc Exploration SPRL, Societe De Developpement Et D’investissement Minier Du Congo, Societe De Developpement Industriel Et Minier De Katanga, Societe De Traitement De Terril De Lubumbashi, Societe Golden Africa Ressources SPRL, Societe Immobiliere Du Congo, Societe Kamituga Mining S.A.R.L, Societe Lugushwa Mining S.A.R.L, Societe Miniere De Kabolela Et Kipese, Societe Miniere De Kilo Moto, Societe Miniere De Kolwezi, Societe Miniere De Moku Beverend, Societe Miniere Deziwa Ecaille, Societe Miniere Du Katanga, Sodifor SPRL,Tenke Fungurume Mining, Twangiza Mining, Wana Africa Congo Gold ***_x000a__x000a_"/>
    <n v="110"/>
    <s v="December 2014"/>
    <m/>
    <s v="Moore Stephens"/>
    <s v="https://eiti.org/files/Rapport%20de%20Conciliation%20ITIE%20RDC%202012.pdf"/>
    <m/>
    <s v="Companies requested to report / reporting section unclear."/>
    <m/>
    <m/>
    <m/>
    <m/>
    <m/>
    <m/>
    <m/>
    <m/>
    <m/>
    <m/>
    <m/>
    <m/>
    <m/>
    <m/>
    <m/>
    <m/>
    <m/>
    <m/>
    <m/>
    <m/>
  </r>
  <r>
    <x v="59"/>
    <n v="2012"/>
    <x v="9"/>
    <s v="Africa"/>
    <m/>
    <s v="Oil"/>
    <m/>
    <m/>
    <m/>
    <s v="Oil"/>
    <m/>
    <m/>
    <m/>
    <m/>
    <m/>
    <n v="8545000"/>
    <m/>
    <s v="bbl"/>
    <m/>
    <m/>
    <m/>
    <n v="946306688.41999996"/>
    <m/>
    <m/>
    <m/>
    <n v="462095167"/>
    <n v="462087520"/>
    <m/>
    <m/>
    <m/>
    <m/>
    <m/>
    <m/>
    <m/>
    <m/>
    <m/>
    <m/>
    <m/>
    <m/>
    <m/>
    <m/>
    <m/>
    <m/>
    <m/>
    <m/>
    <m/>
    <m/>
    <m/>
    <m/>
    <m/>
    <m/>
    <m/>
    <m/>
    <m/>
    <m/>
    <m/>
    <m/>
    <m/>
    <m/>
    <m/>
    <m/>
    <m/>
    <m/>
    <m/>
    <m/>
    <m/>
    <m/>
  </r>
  <r>
    <x v="59"/>
    <n v="2012"/>
    <x v="9"/>
    <s v="Africa"/>
    <m/>
    <s v="Mining"/>
    <m/>
    <m/>
    <m/>
    <s v="Total Mining"/>
    <m/>
    <m/>
    <m/>
    <m/>
    <m/>
    <m/>
    <m/>
    <m/>
    <m/>
    <m/>
    <m/>
    <n v="7477963023.3800001"/>
    <m/>
    <m/>
    <m/>
    <n v="1043117978"/>
    <n v="1052659116"/>
    <m/>
    <m/>
    <m/>
    <m/>
    <m/>
    <m/>
    <m/>
    <m/>
    <m/>
    <m/>
    <m/>
    <m/>
    <m/>
    <m/>
    <m/>
    <m/>
    <m/>
    <m/>
    <m/>
    <m/>
    <m/>
    <m/>
    <m/>
    <m/>
    <m/>
    <m/>
    <m/>
    <m/>
    <m/>
    <m/>
    <m/>
    <m/>
    <m/>
    <m/>
    <m/>
    <m/>
    <m/>
    <m/>
    <m/>
    <m/>
  </r>
  <r>
    <x v="59"/>
    <n v="2012"/>
    <x v="9"/>
    <s v="Africa"/>
    <m/>
    <s v="Mining"/>
    <m/>
    <m/>
    <m/>
    <s v="Copper"/>
    <m/>
    <m/>
    <m/>
    <m/>
    <m/>
    <n v="619301"/>
    <m/>
    <s v="t"/>
    <m/>
    <m/>
    <m/>
    <n v="4339207177.8100004"/>
    <m/>
    <m/>
    <m/>
    <m/>
    <m/>
    <m/>
    <m/>
    <m/>
    <m/>
    <m/>
    <m/>
    <m/>
    <m/>
    <m/>
    <m/>
    <m/>
    <m/>
    <m/>
    <m/>
    <m/>
    <m/>
    <m/>
    <m/>
    <m/>
    <m/>
    <m/>
    <m/>
    <m/>
    <m/>
    <m/>
    <m/>
    <m/>
    <m/>
    <m/>
    <m/>
    <m/>
    <m/>
    <m/>
    <m/>
    <m/>
    <m/>
    <m/>
    <m/>
    <m/>
    <m/>
  </r>
  <r>
    <x v="59"/>
    <n v="2012"/>
    <x v="9"/>
    <s v="Africa"/>
    <m/>
    <s v="Mining"/>
    <m/>
    <m/>
    <m/>
    <s v="Zinc"/>
    <m/>
    <m/>
    <m/>
    <m/>
    <m/>
    <n v="12235"/>
    <m/>
    <s v="t"/>
    <m/>
    <m/>
    <m/>
    <n v="2377814.0299999998"/>
    <m/>
    <m/>
    <m/>
    <m/>
    <m/>
    <m/>
    <m/>
    <m/>
    <m/>
    <m/>
    <m/>
    <m/>
    <m/>
    <m/>
    <m/>
    <m/>
    <m/>
    <m/>
    <m/>
    <m/>
    <m/>
    <m/>
    <m/>
    <m/>
    <m/>
    <m/>
    <m/>
    <m/>
    <m/>
    <m/>
    <m/>
    <m/>
    <m/>
    <m/>
    <m/>
    <m/>
    <m/>
    <m/>
    <m/>
    <m/>
    <m/>
    <m/>
    <m/>
    <m/>
    <m/>
  </r>
  <r>
    <x v="59"/>
    <n v="2012"/>
    <x v="9"/>
    <s v="Africa"/>
    <m/>
    <s v="Mining"/>
    <m/>
    <m/>
    <m/>
    <s v="Cobalt"/>
    <m/>
    <m/>
    <m/>
    <m/>
    <m/>
    <n v="85409"/>
    <m/>
    <s v="t"/>
    <m/>
    <m/>
    <m/>
    <n v="2543182164.2199998"/>
    <m/>
    <m/>
    <m/>
    <m/>
    <m/>
    <m/>
    <m/>
    <m/>
    <m/>
    <m/>
    <m/>
    <m/>
    <m/>
    <m/>
    <m/>
    <m/>
    <m/>
    <m/>
    <m/>
    <m/>
    <m/>
    <m/>
    <m/>
    <m/>
    <m/>
    <m/>
    <m/>
    <m/>
    <m/>
    <m/>
    <m/>
    <m/>
    <m/>
    <m/>
    <m/>
    <m/>
    <m/>
    <m/>
    <m/>
    <m/>
    <m/>
    <m/>
    <m/>
    <m/>
    <m/>
  </r>
  <r>
    <x v="59"/>
    <n v="2012"/>
    <x v="9"/>
    <s v="Africa"/>
    <m/>
    <s v="Mining"/>
    <m/>
    <m/>
    <m/>
    <s v="Gold"/>
    <m/>
    <m/>
    <m/>
    <m/>
    <m/>
    <n v="2546"/>
    <m/>
    <s v="kg"/>
    <m/>
    <m/>
    <m/>
    <n v="102082653.62"/>
    <m/>
    <m/>
    <m/>
    <m/>
    <m/>
    <m/>
    <m/>
    <m/>
    <m/>
    <m/>
    <m/>
    <m/>
    <m/>
    <m/>
    <m/>
    <m/>
    <m/>
    <m/>
    <m/>
    <m/>
    <m/>
    <m/>
    <m/>
    <m/>
    <m/>
    <m/>
    <m/>
    <m/>
    <m/>
    <m/>
    <m/>
    <m/>
    <m/>
    <m/>
    <m/>
    <m/>
    <m/>
    <m/>
    <m/>
    <m/>
    <m/>
    <m/>
    <m/>
    <m/>
    <m/>
  </r>
  <r>
    <x v="59"/>
    <n v="2012"/>
    <x v="9"/>
    <s v="Africa"/>
    <m/>
    <s v="Mining"/>
    <m/>
    <m/>
    <m/>
    <s v="Diamond"/>
    <m/>
    <m/>
    <m/>
    <m/>
    <m/>
    <n v="20140000"/>
    <m/>
    <s v="carats"/>
    <m/>
    <m/>
    <m/>
    <n v="293358346.93000001"/>
    <m/>
    <m/>
    <m/>
    <m/>
    <m/>
    <m/>
    <m/>
    <m/>
    <m/>
    <m/>
    <m/>
    <m/>
    <m/>
    <m/>
    <m/>
    <m/>
    <m/>
    <m/>
    <m/>
    <m/>
    <m/>
    <m/>
    <m/>
    <m/>
    <m/>
    <m/>
    <m/>
    <m/>
    <m/>
    <m/>
    <m/>
    <m/>
    <m/>
    <m/>
    <m/>
    <m/>
    <m/>
    <m/>
    <m/>
    <m/>
    <m/>
    <m/>
    <m/>
    <m/>
    <m/>
  </r>
  <r>
    <x v="59"/>
    <n v="2012"/>
    <x v="9"/>
    <s v="Africa"/>
    <m/>
    <s v="Mining"/>
    <m/>
    <m/>
    <m/>
    <s v="Cassiterite"/>
    <m/>
    <m/>
    <m/>
    <m/>
    <m/>
    <n v="18981"/>
    <m/>
    <s v="t"/>
    <m/>
    <m/>
    <m/>
    <n v="98680804.790000007"/>
    <m/>
    <m/>
    <m/>
    <m/>
    <m/>
    <m/>
    <m/>
    <m/>
    <m/>
    <m/>
    <m/>
    <m/>
    <m/>
    <m/>
    <m/>
    <m/>
    <m/>
    <m/>
    <m/>
    <m/>
    <m/>
    <m/>
    <m/>
    <m/>
    <m/>
    <m/>
    <m/>
    <m/>
    <m/>
    <m/>
    <m/>
    <m/>
    <m/>
    <m/>
    <m/>
    <m/>
    <m/>
    <m/>
    <m/>
    <m/>
    <m/>
    <m/>
    <m/>
    <m/>
    <m/>
  </r>
  <r>
    <x v="59"/>
    <n v="2012"/>
    <x v="9"/>
    <s v="Africa"/>
    <m/>
    <s v="Mining"/>
    <m/>
    <m/>
    <m/>
    <s v="Wolframite"/>
    <m/>
    <m/>
    <m/>
    <m/>
    <m/>
    <n v="8"/>
    <m/>
    <s v="t"/>
    <m/>
    <m/>
    <m/>
    <n v="77673735.730000004"/>
    <m/>
    <m/>
    <m/>
    <m/>
    <m/>
    <m/>
    <m/>
    <m/>
    <m/>
    <m/>
    <m/>
    <m/>
    <m/>
    <m/>
    <m/>
    <m/>
    <m/>
    <m/>
    <m/>
    <m/>
    <m/>
    <m/>
    <m/>
    <m/>
    <m/>
    <m/>
    <m/>
    <m/>
    <m/>
    <m/>
    <m/>
    <m/>
    <m/>
    <m/>
    <m/>
    <m/>
    <m/>
    <m/>
    <m/>
    <m/>
    <m/>
    <m/>
    <m/>
    <m/>
    <m/>
  </r>
  <r>
    <x v="59"/>
    <n v="2012"/>
    <x v="9"/>
    <s v="Africa"/>
    <m/>
    <s v="Mining"/>
    <m/>
    <m/>
    <m/>
    <s v="Columbite–Tantalite"/>
    <m/>
    <m/>
    <m/>
    <m/>
    <m/>
    <n v="257"/>
    <m/>
    <s v="t"/>
    <m/>
    <m/>
    <m/>
    <m/>
    <m/>
    <m/>
    <m/>
    <m/>
    <m/>
    <m/>
    <m/>
    <m/>
    <m/>
    <m/>
    <m/>
    <m/>
    <m/>
    <m/>
    <m/>
    <m/>
    <m/>
    <m/>
    <m/>
    <m/>
    <m/>
    <m/>
    <m/>
    <m/>
    <m/>
    <m/>
    <m/>
    <m/>
    <m/>
    <m/>
    <m/>
    <m/>
    <m/>
    <m/>
    <m/>
    <m/>
    <m/>
    <m/>
    <m/>
    <m/>
    <m/>
    <m/>
    <m/>
    <m/>
    <m/>
  </r>
  <r>
    <x v="60"/>
    <n v="2007"/>
    <x v="10"/>
    <s v="Africa"/>
    <m/>
    <s v="Oil, Gas"/>
    <s v="no"/>
    <s v="yes"/>
    <s v="yes"/>
    <s v="Total"/>
    <s v="Total"/>
    <s v="Total Oil, Gas"/>
    <m/>
    <m/>
    <m/>
    <m/>
    <m/>
    <m/>
    <m/>
    <m/>
    <m/>
    <n v="12303546531.135998"/>
    <m/>
    <m/>
    <m/>
    <n v="6148771541.7605944"/>
    <n v="4083149750.8419681"/>
    <m/>
    <m/>
    <m/>
    <n v="0.49975602775997896"/>
    <m/>
    <n v="479.27"/>
    <m/>
    <m/>
    <m/>
    <m/>
    <m/>
    <m/>
    <m/>
    <m/>
    <m/>
    <d v="2014-10-10T00:00:00"/>
    <m/>
    <m/>
    <m/>
    <s v="This report is not mentioned on www.eiti.org."/>
    <m/>
    <m/>
    <m/>
    <m/>
    <m/>
    <m/>
    <m/>
    <m/>
    <m/>
    <m/>
    <m/>
    <m/>
    <m/>
    <m/>
    <m/>
    <m/>
    <m/>
    <m/>
    <m/>
    <m/>
  </r>
  <r>
    <x v="60"/>
    <n v="2007"/>
    <x v="10"/>
    <s v="Africa"/>
    <m/>
    <s v="Gas"/>
    <s v="no"/>
    <s v="yes"/>
    <s v="no"/>
    <s v="Gas"/>
    <s v="detailed"/>
    <s v="detailed Gas"/>
    <n v="4530688000"/>
    <m/>
    <m/>
    <m/>
    <m/>
    <s v="m³"/>
    <n v="0.22764700000000004"/>
    <s v="US$/m³"/>
    <s v="Volume from EIA. Price from BPSR 2014, and is an average of the UK, US and Canada Indices for natural gas."/>
    <n v="1031397531.1360002"/>
    <m/>
    <m/>
    <m/>
    <m/>
    <m/>
    <m/>
    <m/>
    <m/>
    <m/>
    <m/>
    <m/>
    <m/>
    <m/>
    <m/>
    <m/>
    <m/>
    <m/>
    <m/>
    <m/>
    <m/>
    <m/>
    <m/>
    <m/>
    <m/>
    <m/>
    <m/>
    <m/>
    <m/>
    <m/>
    <m/>
    <m/>
    <m/>
    <m/>
    <m/>
    <m/>
    <m/>
    <m/>
    <m/>
    <m/>
    <m/>
    <m/>
    <m/>
    <m/>
    <m/>
    <m/>
  </r>
  <r>
    <x v="60"/>
    <n v="2007"/>
    <x v="10"/>
    <s v="Africa"/>
    <m/>
    <s v="Oil"/>
    <s v="no"/>
    <s v="no"/>
    <s v="yes"/>
    <s v="Oil"/>
    <s v="detailed"/>
    <s v="detailed Oil"/>
    <n v="156950000"/>
    <m/>
    <m/>
    <m/>
    <m/>
    <s v="bbl"/>
    <n v="71.819999999999993"/>
    <s v="US$/bbl"/>
    <s v="Volume and price from BPSR 2014. Price is an average of the spot prices for Brent, Dubai, Nigerian Forcados and West Texas Intermediate crude oil."/>
    <n v="11272148999.999998"/>
    <m/>
    <m/>
    <m/>
    <m/>
    <m/>
    <m/>
    <m/>
    <m/>
    <m/>
    <m/>
    <m/>
    <m/>
    <m/>
    <m/>
    <m/>
    <m/>
    <m/>
    <m/>
    <m/>
    <m/>
    <m/>
    <m/>
    <m/>
    <m/>
    <m/>
    <m/>
    <m/>
    <m/>
    <m/>
    <m/>
    <m/>
    <m/>
    <m/>
    <m/>
    <m/>
    <m/>
    <m/>
    <m/>
    <m/>
    <m/>
    <m/>
    <m/>
    <m/>
    <m/>
    <m/>
  </r>
  <r>
    <x v="61"/>
    <n v="2008"/>
    <x v="10"/>
    <s v="Africa"/>
    <m/>
    <s v="Oil, Gas"/>
    <s v="no"/>
    <s v="yes"/>
    <s v="yes"/>
    <s v="Total"/>
    <s v="Total"/>
    <s v="Total Oil, Gas"/>
    <m/>
    <m/>
    <m/>
    <m/>
    <m/>
    <m/>
    <m/>
    <m/>
    <m/>
    <n v="17263740463.523201"/>
    <m/>
    <m/>
    <m/>
    <n v="9119117112.0564747"/>
    <n v="6011049981.865613"/>
    <m/>
    <m/>
    <m/>
    <n v="0.52822371439864868"/>
    <m/>
    <n v="447.81"/>
    <m/>
    <m/>
    <m/>
    <m/>
    <m/>
    <m/>
    <m/>
    <m/>
    <m/>
    <d v="2014-10-10T00:00:00"/>
    <m/>
    <m/>
    <m/>
    <s v="This report is not mentioned on www.eiti.org."/>
    <m/>
    <m/>
    <m/>
    <m/>
    <m/>
    <m/>
    <m/>
    <m/>
    <m/>
    <m/>
    <m/>
    <m/>
    <m/>
    <m/>
    <m/>
    <m/>
    <m/>
    <m/>
    <m/>
    <m/>
  </r>
  <r>
    <x v="61"/>
    <n v="2008"/>
    <x v="10"/>
    <s v="Africa"/>
    <m/>
    <s v="Gas"/>
    <s v="no"/>
    <s v="yes"/>
    <s v="no"/>
    <s v="Gas"/>
    <s v="detailed"/>
    <s v="detailed Gas"/>
    <n v="7560585600"/>
    <m/>
    <m/>
    <m/>
    <m/>
    <s v="m³"/>
    <n v="0.32879700000000006"/>
    <s v="US$/m³"/>
    <s v="Volume from EIA. Price from BPSR 2014, and is an average of the UK, US and Canada Indices for natural gas."/>
    <n v="2485897863.5232005"/>
    <m/>
    <m/>
    <m/>
    <m/>
    <m/>
    <m/>
    <m/>
    <m/>
    <m/>
    <m/>
    <m/>
    <m/>
    <m/>
    <m/>
    <m/>
    <m/>
    <m/>
    <m/>
    <m/>
    <m/>
    <m/>
    <m/>
    <m/>
    <m/>
    <m/>
    <m/>
    <m/>
    <m/>
    <m/>
    <m/>
    <m/>
    <m/>
    <m/>
    <m/>
    <m/>
    <m/>
    <m/>
    <m/>
    <m/>
    <m/>
    <m/>
    <m/>
    <m/>
    <m/>
    <m/>
  </r>
  <r>
    <x v="61"/>
    <n v="2008"/>
    <x v="10"/>
    <s v="Africa"/>
    <m/>
    <s v="Oil"/>
    <s v="no"/>
    <s v="no"/>
    <s v="yes"/>
    <s v="Oil"/>
    <s v="detailed"/>
    <s v="detailed Oil"/>
    <n v="150380000"/>
    <m/>
    <m/>
    <m/>
    <m/>
    <s v="bbl"/>
    <n v="98.27"/>
    <s v="US$/bbl"/>
    <s v="Volume and price from BPSR 2014. Price is an average of the spot prices for Brent, Dubai, Nigerian Forcados and West Texas Intermediate crude oil."/>
    <n v="14777842600"/>
    <m/>
    <m/>
    <m/>
    <m/>
    <m/>
    <m/>
    <m/>
    <m/>
    <m/>
    <m/>
    <m/>
    <m/>
    <m/>
    <m/>
    <m/>
    <m/>
    <m/>
    <m/>
    <m/>
    <m/>
    <m/>
    <m/>
    <m/>
    <m/>
    <m/>
    <m/>
    <m/>
    <m/>
    <m/>
    <m/>
    <m/>
    <m/>
    <m/>
    <m/>
    <m/>
    <m/>
    <m/>
    <m/>
    <m/>
    <m/>
    <m/>
    <m/>
    <m/>
    <m/>
    <m/>
  </r>
  <r>
    <x v="62"/>
    <n v="2004"/>
    <x v="11"/>
    <s v="Africa"/>
    <m/>
    <s v="Oil"/>
    <s v="no"/>
    <s v="no"/>
    <s v="yes"/>
    <s v="Oil"/>
    <s v="detailed"/>
    <s v="detailed Oil"/>
    <n v="99645000"/>
    <m/>
    <m/>
    <m/>
    <m/>
    <s v="bbl"/>
    <n v="37.880000000000003"/>
    <s v="US$/bbl"/>
    <s v="Volume and price from BPSR 2014. Price is an average of the spot prices for Brent, Dubai, Nigerian Forcados and West Texas Intermediate crude oil."/>
    <n v="3774552600.0000005"/>
    <s v="Host government's production entitlement, State-owned company production entitlement, Profits/Taxes, Royalties, Dividends, Bonuses"/>
    <s v="Does not include payments made in-kind"/>
    <m/>
    <n v="775990000"/>
    <n v="808829000"/>
    <m/>
    <m/>
    <m/>
    <n v="0.20558463008304612"/>
    <m/>
    <n v="526"/>
    <m/>
    <m/>
    <m/>
    <m/>
    <m/>
    <m/>
    <m/>
    <m/>
    <m/>
    <d v="2014-10-10T00:00:00"/>
    <m/>
    <m/>
    <m/>
    <s v="This report is not mentioned on www.eiti.org."/>
    <m/>
    <m/>
    <m/>
    <m/>
    <m/>
    <m/>
    <m/>
    <m/>
    <m/>
    <m/>
    <m/>
    <m/>
    <m/>
    <m/>
    <m/>
    <m/>
    <m/>
    <m/>
    <m/>
    <m/>
  </r>
  <r>
    <x v="63"/>
    <n v="2005"/>
    <x v="11"/>
    <s v="Africa"/>
    <m/>
    <s v="Oil, Mining"/>
    <s v="yes"/>
    <s v="no"/>
    <s v="yes"/>
    <s v="Total"/>
    <s v="Total"/>
    <s v="Total Oil, Mining"/>
    <m/>
    <m/>
    <m/>
    <m/>
    <m/>
    <m/>
    <m/>
    <m/>
    <m/>
    <n v="5385591253.1135435"/>
    <s v="Host government's production entitlement, State-owned company production entitlement, Profits/Taxes, Royalties, Dividends, Bonuses"/>
    <s v="Does not include payments made in-kind"/>
    <m/>
    <n v="1716414357.4144487"/>
    <n v="1748730093.1558936"/>
    <m/>
    <m/>
    <m/>
    <n v="0.31870490661951872"/>
    <m/>
    <s v=""/>
    <m/>
    <m/>
    <m/>
    <m/>
    <m/>
    <m/>
    <m/>
    <m/>
    <m/>
    <d v="2014-10-10T00:00:00"/>
    <m/>
    <m/>
    <m/>
    <s v="This report is not mentioned on www.eiti.org. "/>
    <m/>
    <m/>
    <m/>
    <m/>
    <m/>
    <m/>
    <m/>
    <m/>
    <m/>
    <m/>
    <m/>
    <m/>
    <m/>
    <m/>
    <m/>
    <m/>
    <m/>
    <m/>
    <m/>
    <m/>
  </r>
  <r>
    <x v="63"/>
    <n v="2005"/>
    <x v="11"/>
    <s v="Africa"/>
    <m/>
    <s v="Oil"/>
    <s v="no"/>
    <s v="no"/>
    <s v="yes"/>
    <s v="Oil"/>
    <s v="detailed"/>
    <s v="detailed Oil"/>
    <n v="98550000"/>
    <m/>
    <m/>
    <m/>
    <m/>
    <s v="bbl"/>
    <n v="54.041089499999998"/>
    <s v="US$/bbl"/>
    <s v="Volume and price from BPSR 2014. Price is an average of the spot prices for Brent, Dubai, Nigerian Forcados and West Texas Intermediate crude oil."/>
    <n v="5325749370.2249994"/>
    <m/>
    <m/>
    <m/>
    <n v="1705652000"/>
    <n v="1737968000"/>
    <m/>
    <m/>
    <m/>
    <n v="0.32026516484908124"/>
    <m/>
    <m/>
    <m/>
    <m/>
    <m/>
    <m/>
    <m/>
    <m/>
    <m/>
    <m/>
    <m/>
    <m/>
    <m/>
    <m/>
    <m/>
    <m/>
    <m/>
    <m/>
    <m/>
    <m/>
    <m/>
    <m/>
    <m/>
    <m/>
    <m/>
    <m/>
    <m/>
    <m/>
    <m/>
    <m/>
    <m/>
    <m/>
    <m/>
    <m/>
    <m/>
    <m/>
  </r>
  <r>
    <x v="63"/>
    <n v="2005"/>
    <x v="11"/>
    <s v="Africa"/>
    <m/>
    <s v="Mining"/>
    <s v="yes"/>
    <s v="no"/>
    <s v="no"/>
    <s v="Total Mining"/>
    <s v="Total"/>
    <s v="Total Mining"/>
    <m/>
    <m/>
    <m/>
    <m/>
    <m/>
    <m/>
    <m/>
    <m/>
    <m/>
    <n v="59841882.888544366"/>
    <m/>
    <m/>
    <m/>
    <n v="10762357.414448669"/>
    <n v="10762093.155893536"/>
    <m/>
    <m/>
    <m/>
    <n v="0.17984657057822834"/>
    <m/>
    <m/>
    <m/>
    <m/>
    <m/>
    <m/>
    <m/>
    <m/>
    <m/>
    <m/>
    <m/>
    <m/>
    <m/>
    <m/>
    <m/>
    <m/>
    <m/>
    <m/>
    <m/>
    <m/>
    <m/>
    <m/>
    <m/>
    <m/>
    <m/>
    <m/>
    <m/>
    <m/>
    <m/>
    <m/>
    <m/>
    <m/>
    <m/>
    <m/>
    <m/>
    <m/>
  </r>
  <r>
    <x v="63"/>
    <n v="2005"/>
    <x v="11"/>
    <s v="Africa"/>
    <m/>
    <s v="Mining"/>
    <s v="yes"/>
    <s v="no"/>
    <s v="no"/>
    <s v="Cement"/>
    <s v="detailed"/>
    <s v="detailed Mining"/>
    <n v="610000"/>
    <m/>
    <m/>
    <m/>
    <m/>
    <s v="t"/>
    <n v="91"/>
    <s v="US$/t"/>
    <s v="Volume from USGS Mineral Yearbook 2007. Price from USGS Mineral Commodity Summary 2009, and is the average mill price for cement in the US."/>
    <n v="55510000"/>
    <m/>
    <m/>
    <m/>
    <m/>
    <m/>
    <m/>
    <m/>
    <m/>
    <m/>
    <m/>
    <m/>
    <m/>
    <m/>
    <m/>
    <m/>
    <m/>
    <m/>
    <m/>
    <m/>
    <m/>
    <m/>
    <m/>
    <m/>
    <m/>
    <m/>
    <m/>
    <m/>
    <m/>
    <m/>
    <m/>
    <m/>
    <m/>
    <m/>
    <m/>
    <m/>
    <m/>
    <m/>
    <m/>
    <m/>
    <m/>
    <m/>
    <m/>
    <m/>
    <m/>
    <m/>
  </r>
  <r>
    <x v="63"/>
    <n v="2005"/>
    <x v="11"/>
    <s v="Africa"/>
    <m/>
    <s v="Mining"/>
    <s v="yes"/>
    <s v="no"/>
    <s v="no"/>
    <s v="Diamond"/>
    <s v="detailed"/>
    <s v="detailed Mining"/>
    <n v="500"/>
    <m/>
    <m/>
    <m/>
    <m/>
    <s v="carats"/>
    <n v="65.680000000000007"/>
    <s v="US$/carat"/>
    <s v="Volume from USGS Mineral Yearbook 2007. Price from Kimberley Process Annual Summary 2005, and is the average price for countries participating in the Kimberley Process."/>
    <n v="32840"/>
    <m/>
    <m/>
    <m/>
    <m/>
    <m/>
    <m/>
    <m/>
    <m/>
    <m/>
    <m/>
    <m/>
    <m/>
    <m/>
    <m/>
    <m/>
    <m/>
    <m/>
    <m/>
    <m/>
    <m/>
    <m/>
    <m/>
    <m/>
    <m/>
    <m/>
    <m/>
    <m/>
    <m/>
    <m/>
    <m/>
    <m/>
    <m/>
    <m/>
    <m/>
    <m/>
    <m/>
    <m/>
    <m/>
    <m/>
    <m/>
    <m/>
    <m/>
    <m/>
    <m/>
    <m/>
  </r>
  <r>
    <x v="63"/>
    <n v="2005"/>
    <x v="11"/>
    <s v="Africa"/>
    <m/>
    <s v="Mining"/>
    <s v="yes"/>
    <s v="no"/>
    <s v="no"/>
    <s v="Gold"/>
    <s v="detailed"/>
    <s v="detailed Mining"/>
    <n v="9645.2229379517994"/>
    <m/>
    <m/>
    <m/>
    <m/>
    <s v="toz"/>
    <n v="444.84258333333003"/>
    <s v="US$/toz"/>
    <s v="Volume from USGS Mineral Yearbook 2007. Price from World Bank (Global Economic Monitor (GEM) Commodities database), and is defined as: Gold (UK), 99.5% fine, London afternoon fixing, average of daily rates."/>
    <n v="4290605.8885443695"/>
    <m/>
    <m/>
    <m/>
    <m/>
    <m/>
    <m/>
    <m/>
    <m/>
    <m/>
    <m/>
    <m/>
    <m/>
    <m/>
    <m/>
    <m/>
    <m/>
    <m/>
    <m/>
    <m/>
    <m/>
    <m/>
    <m/>
    <m/>
    <m/>
    <m/>
    <m/>
    <m/>
    <m/>
    <m/>
    <m/>
    <m/>
    <m/>
    <m/>
    <m/>
    <m/>
    <m/>
    <m/>
    <m/>
    <m/>
    <m/>
    <m/>
    <m/>
    <m/>
    <m/>
    <m/>
  </r>
  <r>
    <x v="63"/>
    <n v="2005"/>
    <x v="11"/>
    <s v="Africa"/>
    <m/>
    <s v="Mining"/>
    <s v="yes"/>
    <s v="no"/>
    <s v="no"/>
    <s v="Manganese"/>
    <s v="detailed"/>
    <s v="detailed Mining"/>
    <m/>
    <m/>
    <m/>
    <m/>
    <m/>
    <m/>
    <n v="0.14299999999999999"/>
    <s v="US$/t"/>
    <s v="Price from NRGI dataset"/>
    <n v="8437"/>
    <m/>
    <m/>
    <m/>
    <m/>
    <m/>
    <m/>
    <m/>
    <m/>
    <m/>
    <m/>
    <m/>
    <m/>
    <m/>
    <m/>
    <m/>
    <m/>
    <m/>
    <m/>
    <m/>
    <m/>
    <m/>
    <m/>
    <m/>
    <m/>
    <m/>
    <m/>
    <m/>
    <m/>
    <m/>
    <m/>
    <m/>
    <m/>
    <m/>
    <m/>
    <m/>
    <m/>
    <m/>
    <m/>
    <m/>
    <m/>
    <m/>
    <m/>
    <m/>
    <m/>
    <m/>
  </r>
  <r>
    <x v="63"/>
    <n v="2005"/>
    <x v="11"/>
    <s v="Africa"/>
    <m/>
    <s v="Mining"/>
    <s v="yes"/>
    <s v="no"/>
    <s v="no"/>
    <s v="o/w Manganese ore (50-53% Mn)"/>
    <s v="detailed"/>
    <s v="detailed Mining"/>
    <n v="2800000"/>
    <m/>
    <m/>
    <m/>
    <m/>
    <s v="t"/>
    <m/>
    <m/>
    <s v="Volume from USGS Mineral Yearbook 2007"/>
    <m/>
    <m/>
    <m/>
    <m/>
    <m/>
    <m/>
    <m/>
    <m/>
    <m/>
    <m/>
    <m/>
    <m/>
    <m/>
    <m/>
    <m/>
    <m/>
    <m/>
    <m/>
    <m/>
    <m/>
    <m/>
    <m/>
    <m/>
    <m/>
    <m/>
    <m/>
    <m/>
    <m/>
    <m/>
    <m/>
    <m/>
    <m/>
    <m/>
    <m/>
    <m/>
    <m/>
    <m/>
    <m/>
    <m/>
    <m/>
    <m/>
    <m/>
    <m/>
    <m/>
    <m/>
    <m/>
  </r>
  <r>
    <x v="63"/>
    <n v="2005"/>
    <x v="11"/>
    <s v="Africa"/>
    <m/>
    <s v="Mining"/>
    <s v="yes"/>
    <s v="no"/>
    <s v="no"/>
    <s v="o/w Manganese pellets (82-85% MnO2)"/>
    <s v="detailed"/>
    <s v="detailed Mining"/>
    <n v="59000"/>
    <m/>
    <m/>
    <m/>
    <m/>
    <s v="t"/>
    <m/>
    <m/>
    <s v="Volume from USGS Mineral Yearbook 2007"/>
    <m/>
    <m/>
    <m/>
    <m/>
    <m/>
    <m/>
    <m/>
    <m/>
    <m/>
    <m/>
    <m/>
    <m/>
    <m/>
    <m/>
    <m/>
    <m/>
    <m/>
    <m/>
    <m/>
    <m/>
    <m/>
    <m/>
    <m/>
    <m/>
    <m/>
    <m/>
    <m/>
    <m/>
    <m/>
    <m/>
    <m/>
    <m/>
    <m/>
    <m/>
    <m/>
    <m/>
    <m/>
    <m/>
    <m/>
    <m/>
    <m/>
    <m/>
    <m/>
    <m/>
    <m/>
    <m/>
  </r>
  <r>
    <x v="64"/>
    <n v="2006"/>
    <x v="11"/>
    <s v="Africa"/>
    <m/>
    <s v="Oil, Mining"/>
    <s v="yes"/>
    <s v="no"/>
    <s v="yes"/>
    <s v="Total"/>
    <s v="Total"/>
    <s v="Total Oil, Mining"/>
    <m/>
    <m/>
    <m/>
    <m/>
    <m/>
    <m/>
    <m/>
    <m/>
    <m/>
    <n v="5803415216.9668932"/>
    <s v="Host government's production entitlement, Profits/Taxes, Royalties, Dividends, Bonuses"/>
    <s v="Does not include payments made in-kind"/>
    <m/>
    <n v="1944187567.1747403"/>
    <n v="2007587567.1747401"/>
    <m/>
    <m/>
    <m/>
    <n v="0.33500749032926408"/>
    <m/>
    <n v="522.89"/>
    <m/>
    <m/>
    <m/>
    <m/>
    <m/>
    <m/>
    <m/>
    <m/>
    <m/>
    <d v="2014-10-10T00:00:00"/>
    <m/>
    <m/>
    <m/>
    <s v="This report is not mentioned on www.eiti.org. "/>
    <m/>
    <m/>
    <m/>
    <m/>
    <m/>
    <m/>
    <m/>
    <m/>
    <m/>
    <m/>
    <m/>
    <m/>
    <m/>
    <m/>
    <m/>
    <m/>
    <m/>
    <m/>
    <m/>
    <m/>
  </r>
  <r>
    <x v="64"/>
    <n v="2006"/>
    <x v="11"/>
    <s v="Africa"/>
    <m/>
    <s v="Oil"/>
    <s v="no"/>
    <s v="no"/>
    <s v="yes"/>
    <s v="Oil"/>
    <s v="detailed"/>
    <s v="detailed Oil"/>
    <n v="88330000"/>
    <m/>
    <m/>
    <m/>
    <m/>
    <s v="bbl"/>
    <n v="64.934062499999996"/>
    <s v="US$/bbl"/>
    <s v="Volume and price from BPSR 2014. Price is an average of the spot prices for Brent, Dubai, Nigerian Forcados and West Texas Intermediate crude oil."/>
    <n v="5735625740.625"/>
    <m/>
    <m/>
    <m/>
    <n v="1933300000"/>
    <n v="1996699999.9999998"/>
    <m/>
    <m/>
    <m/>
    <n v="0.33706871532892801"/>
    <m/>
    <m/>
    <m/>
    <m/>
    <m/>
    <m/>
    <m/>
    <m/>
    <m/>
    <m/>
    <m/>
    <m/>
    <m/>
    <m/>
    <m/>
    <m/>
    <m/>
    <m/>
    <m/>
    <m/>
    <m/>
    <m/>
    <m/>
    <m/>
    <m/>
    <m/>
    <m/>
    <m/>
    <m/>
    <m/>
    <m/>
    <m/>
    <m/>
    <m/>
    <m/>
    <m/>
  </r>
  <r>
    <x v="64"/>
    <n v="2006"/>
    <x v="11"/>
    <s v="Africa"/>
    <m/>
    <s v="Mining"/>
    <s v="yes"/>
    <s v="no"/>
    <s v="no"/>
    <s v="Total Mining"/>
    <s v="Total"/>
    <s v="Total Mining"/>
    <m/>
    <m/>
    <m/>
    <m/>
    <m/>
    <m/>
    <m/>
    <m/>
    <m/>
    <n v="67789476.341892853"/>
    <m/>
    <m/>
    <m/>
    <n v="10887567.174740385"/>
    <n v="10887567.174740385"/>
    <m/>
    <m/>
    <m/>
    <n v="0.1606085156909825"/>
    <m/>
    <m/>
    <m/>
    <m/>
    <m/>
    <m/>
    <m/>
    <m/>
    <m/>
    <m/>
    <m/>
    <m/>
    <m/>
    <m/>
    <m/>
    <m/>
    <m/>
    <m/>
    <m/>
    <m/>
    <m/>
    <m/>
    <m/>
    <m/>
    <m/>
    <m/>
    <m/>
    <m/>
    <m/>
    <m/>
    <m/>
    <m/>
    <m/>
    <m/>
    <m/>
    <m/>
  </r>
  <r>
    <x v="64"/>
    <n v="2006"/>
    <x v="11"/>
    <s v="Africa"/>
    <m/>
    <s v="Mining"/>
    <s v="yes"/>
    <s v="no"/>
    <s v="no"/>
    <s v="Cement"/>
    <s v="detailed"/>
    <s v="detailed Mining"/>
    <n v="610000"/>
    <m/>
    <m/>
    <m/>
    <m/>
    <s v="t"/>
    <n v="101.5"/>
    <s v="US$/t"/>
    <s v="Volume from USGS Mineral Yearbook 2007. Price from USGS Mineral Commodity Summary 2009, and is the average mill price for cement in the US."/>
    <n v="61915000"/>
    <m/>
    <m/>
    <m/>
    <m/>
    <m/>
    <m/>
    <m/>
    <m/>
    <m/>
    <m/>
    <m/>
    <m/>
    <m/>
    <m/>
    <m/>
    <m/>
    <m/>
    <m/>
    <m/>
    <m/>
    <m/>
    <m/>
    <m/>
    <m/>
    <m/>
    <m/>
    <m/>
    <m/>
    <m/>
    <m/>
    <m/>
    <m/>
    <m/>
    <m/>
    <m/>
    <m/>
    <m/>
    <m/>
    <m/>
    <m/>
    <m/>
    <m/>
    <m/>
    <m/>
    <m/>
  </r>
  <r>
    <x v="64"/>
    <n v="2006"/>
    <x v="11"/>
    <s v="Africa"/>
    <m/>
    <s v="Mining"/>
    <s v="yes"/>
    <s v="no"/>
    <s v="no"/>
    <s v="Diamond"/>
    <s v="detailed"/>
    <s v="detailed Mining"/>
    <n v="500"/>
    <m/>
    <m/>
    <m/>
    <m/>
    <s v="carats"/>
    <n v="68.47"/>
    <s v="US$/carat"/>
    <s v="Volume from USGS Mineral Yearbook 2007. Price from Kimberley Process Annual Summary 2006, and is the average price for countries participating in the Kimberley Process."/>
    <n v="34235"/>
    <m/>
    <m/>
    <m/>
    <m/>
    <m/>
    <m/>
    <m/>
    <m/>
    <m/>
    <m/>
    <m/>
    <m/>
    <m/>
    <m/>
    <m/>
    <m/>
    <m/>
    <m/>
    <m/>
    <m/>
    <m/>
    <m/>
    <m/>
    <m/>
    <m/>
    <m/>
    <m/>
    <m/>
    <m/>
    <m/>
    <m/>
    <m/>
    <m/>
    <m/>
    <m/>
    <m/>
    <m/>
    <m/>
    <m/>
    <m/>
    <m/>
    <m/>
    <m/>
    <m/>
    <m/>
  </r>
  <r>
    <x v="64"/>
    <n v="2006"/>
    <x v="11"/>
    <s v="Africa"/>
    <m/>
    <s v="Mining"/>
    <s v="yes"/>
    <s v="no"/>
    <s v="no"/>
    <s v="Gold"/>
    <s v="detailed"/>
    <s v="detailed Mining"/>
    <n v="9645.2229379517994"/>
    <m/>
    <m/>
    <m/>
    <m/>
    <s v="toz"/>
    <n v="604.33583333333002"/>
    <s v="US$/toz"/>
    <s v="Volume from USGS Mineral Yearbook 2007. Price from World Bank (Global Economic Monitor (GEM) Commodities database), and is defined as: Gold (UK), 99.5% fine, London afternoon fixing, average of daily rates."/>
    <n v="5828953.8418928506"/>
    <m/>
    <m/>
    <m/>
    <m/>
    <m/>
    <m/>
    <m/>
    <m/>
    <m/>
    <m/>
    <m/>
    <m/>
    <m/>
    <m/>
    <m/>
    <m/>
    <m/>
    <m/>
    <m/>
    <m/>
    <m/>
    <m/>
    <m/>
    <m/>
    <m/>
    <m/>
    <m/>
    <m/>
    <m/>
    <m/>
    <m/>
    <m/>
    <m/>
    <m/>
    <m/>
    <m/>
    <m/>
    <m/>
    <m/>
    <m/>
    <m/>
    <m/>
    <m/>
    <m/>
    <m/>
  </r>
  <r>
    <x v="64"/>
    <n v="2006"/>
    <x v="11"/>
    <s v="Africa"/>
    <m/>
    <s v="Mining"/>
    <s v="yes"/>
    <s v="no"/>
    <s v="no"/>
    <s v="Manganese"/>
    <s v="detailed"/>
    <s v="detailed Mining"/>
    <m/>
    <m/>
    <m/>
    <m/>
    <m/>
    <m/>
    <n v="0.15049999999999999"/>
    <s v="US$/t"/>
    <s v="Price from NRGI dataset"/>
    <n v="11287.5"/>
    <m/>
    <m/>
    <m/>
    <m/>
    <m/>
    <m/>
    <m/>
    <m/>
    <m/>
    <m/>
    <m/>
    <m/>
    <m/>
    <m/>
    <m/>
    <m/>
    <m/>
    <m/>
    <m/>
    <m/>
    <m/>
    <m/>
    <m/>
    <m/>
    <m/>
    <m/>
    <m/>
    <m/>
    <m/>
    <m/>
    <m/>
    <m/>
    <m/>
    <m/>
    <m/>
    <m/>
    <m/>
    <m/>
    <m/>
    <m/>
    <m/>
    <m/>
    <m/>
    <m/>
    <m/>
  </r>
  <r>
    <x v="64"/>
    <n v="2006"/>
    <x v="11"/>
    <s v="Africa"/>
    <m/>
    <s v="Mining"/>
    <s v="yes"/>
    <s v="no"/>
    <s v="no"/>
    <s v="o/w Manganese ore (50-53% Mn)"/>
    <s v="detailed"/>
    <s v="detailed Mining"/>
    <n v="2925000"/>
    <m/>
    <m/>
    <m/>
    <m/>
    <s v="t"/>
    <m/>
    <m/>
    <s v="Volume from USGS Mineral Yearbook 2007"/>
    <m/>
    <m/>
    <m/>
    <m/>
    <m/>
    <m/>
    <m/>
    <m/>
    <m/>
    <m/>
    <m/>
    <m/>
    <m/>
    <m/>
    <m/>
    <m/>
    <m/>
    <m/>
    <m/>
    <m/>
    <m/>
    <m/>
    <m/>
    <m/>
    <m/>
    <m/>
    <m/>
    <m/>
    <m/>
    <m/>
    <m/>
    <m/>
    <m/>
    <m/>
    <m/>
    <m/>
    <m/>
    <m/>
    <m/>
    <m/>
    <m/>
    <m/>
    <m/>
    <m/>
    <m/>
    <m/>
  </r>
  <r>
    <x v="64"/>
    <n v="2006"/>
    <x v="11"/>
    <s v="Africa"/>
    <m/>
    <s v="Mining"/>
    <s v="yes"/>
    <s v="no"/>
    <s v="no"/>
    <s v="o/w Manganese pellets (82-85% MnO2)"/>
    <s v="detailed"/>
    <s v="detailed Mining"/>
    <n v="75000"/>
    <m/>
    <m/>
    <m/>
    <m/>
    <s v="t"/>
    <m/>
    <m/>
    <s v="Volume from USGS Mineral Yearbook 2007"/>
    <m/>
    <m/>
    <m/>
    <m/>
    <m/>
    <m/>
    <m/>
    <m/>
    <m/>
    <m/>
    <m/>
    <m/>
    <m/>
    <m/>
    <m/>
    <m/>
    <m/>
    <m/>
    <m/>
    <m/>
    <m/>
    <m/>
    <m/>
    <m/>
    <m/>
    <m/>
    <m/>
    <m/>
    <m/>
    <m/>
    <m/>
    <m/>
    <m/>
    <m/>
    <m/>
    <m/>
    <m/>
    <m/>
    <m/>
    <m/>
    <m/>
    <m/>
    <m/>
    <m/>
    <m/>
    <m/>
  </r>
  <r>
    <x v="65"/>
    <n v="2004"/>
    <x v="12"/>
    <s v="Africa"/>
    <s v="http://www.gheiti.gov.gh/"/>
    <s v="Mining"/>
    <s v="yes"/>
    <s v="no"/>
    <s v="no"/>
    <s v="Total"/>
    <s v="Total"/>
    <s v="Total Mining"/>
    <m/>
    <m/>
    <m/>
    <m/>
    <m/>
    <m/>
    <m/>
    <m/>
    <m/>
    <n v="934916745.66586006"/>
    <s v="Royalty, mineral right license, ground rent, property rates, corporate tax, dividends"/>
    <s v="Does not include payments made in-kind"/>
    <s v="-"/>
    <n v="27021531.670000002"/>
    <n v="27012825.07"/>
    <s v="≈80% of revenue"/>
    <n v="33776914.587500006"/>
    <s v="Inferred from EITI Report"/>
    <n v="3.6128259274512881E-2"/>
    <s v="Ghana Cedi"/>
    <n v="0.91"/>
    <s v="Disaggregated by revenue stream"/>
    <m/>
    <m/>
    <m/>
    <m/>
    <n v="8"/>
    <s v="Anglogold Ashanti-Obuasi, Anglogold Ashanti-Bibiani, Anglogold Ashanti-Iduaprim, GSR-Prestea/Bogosu, Gold Fields (Ghana) Ltd-Tarkwa, Abosso Goldfields Ltd, Ghana Manganese Ltd, Ghana Bauxite Co. Ltd"/>
    <n v="8"/>
    <s v="September 2007"/>
    <d v="2014-09-09T00:00:00"/>
    <s v="Boas &amp; Associates"/>
    <s v="http://eiti.org/files/Ghana%202004-2008%20EITI%20Report_0.pdf"/>
    <s v="33-34"/>
    <s v="Materiality threshold: The largest companies which make up over 80% of total mining revenues in 2004-8, and paid over 99% of mineral royalties in 2004, should be reconciled. There is some disaggregation by company, and therefore also by commodity, but this is not comprehensive. Unilateral declarations do not appear to be included in the figures. "/>
    <m/>
    <m/>
    <m/>
    <m/>
    <m/>
    <m/>
    <m/>
    <m/>
    <m/>
    <m/>
    <m/>
    <m/>
    <m/>
    <m/>
    <m/>
    <m/>
    <m/>
    <m/>
    <m/>
    <m/>
  </r>
  <r>
    <x v="65"/>
    <n v="2004"/>
    <x v="12"/>
    <s v="Africa"/>
    <m/>
    <s v="Mining"/>
    <s v="yes"/>
    <s v="no"/>
    <s v="no"/>
    <s v="Bauxite"/>
    <s v="detailed"/>
    <s v="detailed Mining"/>
    <n v="498"/>
    <m/>
    <m/>
    <m/>
    <m/>
    <s v="t"/>
    <n v="22.5"/>
    <s v="US$/t"/>
    <s v="Volume from USGS Mineral Yearbook 2008. Price from USGS Mineral Yearbook 2005, and is the average f.a.s. price of US imports of crude and dried bauxite."/>
    <n v="11205"/>
    <m/>
    <m/>
    <m/>
    <m/>
    <m/>
    <m/>
    <m/>
    <m/>
    <m/>
    <m/>
    <m/>
    <m/>
    <m/>
    <m/>
    <m/>
    <m/>
    <n v="1"/>
    <s v="Ghana Bauxite Co. Ltd"/>
    <n v="1"/>
    <m/>
    <m/>
    <m/>
    <m/>
    <m/>
    <m/>
    <m/>
    <m/>
    <m/>
    <m/>
    <m/>
    <m/>
    <m/>
    <m/>
    <m/>
    <m/>
    <m/>
    <m/>
    <m/>
    <m/>
    <m/>
    <m/>
    <m/>
    <m/>
    <m/>
    <m/>
  </r>
  <r>
    <x v="65"/>
    <n v="2004"/>
    <x v="12"/>
    <s v="Africa"/>
    <m/>
    <s v="Mining"/>
    <s v="yes"/>
    <s v="no"/>
    <s v="no"/>
    <s v="Diamond"/>
    <s v="detailed"/>
    <s v="detailed Mining"/>
    <n v="920000"/>
    <m/>
    <m/>
    <m/>
    <m/>
    <s v="carats"/>
    <n v="28.61"/>
    <s v="US$/carat"/>
    <s v="Volume from USGS Mineral Yearbook 2008. Price from kimberley Process Annual Summary 2004."/>
    <n v="26321200"/>
    <m/>
    <m/>
    <m/>
    <m/>
    <m/>
    <m/>
    <m/>
    <m/>
    <m/>
    <m/>
    <m/>
    <m/>
    <m/>
    <m/>
    <m/>
    <m/>
    <m/>
    <m/>
    <m/>
    <m/>
    <m/>
    <m/>
    <m/>
    <m/>
    <m/>
    <m/>
    <m/>
    <m/>
    <m/>
    <m/>
    <m/>
    <m/>
    <m/>
    <m/>
    <m/>
    <m/>
    <m/>
    <m/>
    <m/>
    <m/>
    <m/>
    <m/>
    <m/>
    <m/>
    <m/>
  </r>
  <r>
    <x v="65"/>
    <n v="2004"/>
    <x v="12"/>
    <s v="Africa"/>
    <m/>
    <s v="Mining"/>
    <s v="yes"/>
    <s v="no"/>
    <s v="no"/>
    <s v="Gold"/>
    <s v="detailed"/>
    <s v="detailed Mining"/>
    <n v="2029965.7702644623"/>
    <m/>
    <m/>
    <m/>
    <m/>
    <s v="toz"/>
    <n v="447.22733942499633"/>
    <s v="US$/toz"/>
    <s v="Volume from USGS Mineral Yearbook 2008.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
    <n v="907856190.55918884"/>
    <m/>
    <m/>
    <m/>
    <m/>
    <m/>
    <m/>
    <m/>
    <m/>
    <m/>
    <m/>
    <m/>
    <m/>
    <m/>
    <m/>
    <m/>
    <m/>
    <n v="6"/>
    <s v="Anglogold Ashanti-Obuasi, Anglogold Ashanti-Bibiani, Anglogold Ashanti-Iduaprim, GSR-Prestea/Bogosu, Gold Fields (Ghana) Ltd-Tarkwa, Abosso Goldfields Ltd"/>
    <n v="6"/>
    <m/>
    <m/>
    <m/>
    <m/>
    <m/>
    <m/>
    <m/>
    <m/>
    <m/>
    <m/>
    <m/>
    <m/>
    <m/>
    <m/>
    <m/>
    <m/>
    <m/>
    <m/>
    <m/>
    <m/>
    <m/>
    <m/>
    <m/>
    <m/>
    <m/>
    <m/>
  </r>
  <r>
    <x v="65"/>
    <n v="2004"/>
    <x v="12"/>
    <s v="Africa"/>
    <m/>
    <s v="Mining"/>
    <s v="yes"/>
    <s v="no"/>
    <s v="no"/>
    <s v="Manganese"/>
    <s v="detailed"/>
    <s v="detailed Mining"/>
    <m/>
    <m/>
    <m/>
    <m/>
    <m/>
    <m/>
    <n v="2.89"/>
    <s v="US$/t"/>
    <s v="Price from USGS Mineral Commodity Summary 2009, and is the c.i.f. price at US ports for metallurgical ore with 46-48% manganese content. "/>
    <n v="1615.51"/>
    <m/>
    <m/>
    <m/>
    <m/>
    <m/>
    <m/>
    <m/>
    <m/>
    <m/>
    <m/>
    <m/>
    <m/>
    <m/>
    <m/>
    <m/>
    <m/>
    <n v="1"/>
    <s v="Ghana Manganese Ltd"/>
    <n v="1"/>
    <m/>
    <m/>
    <m/>
    <m/>
    <m/>
    <m/>
    <m/>
    <m/>
    <m/>
    <m/>
    <m/>
    <m/>
    <m/>
    <m/>
    <m/>
    <m/>
    <m/>
    <m/>
    <m/>
    <m/>
    <m/>
    <m/>
    <m/>
    <m/>
    <m/>
    <m/>
  </r>
  <r>
    <x v="65"/>
    <n v="2004"/>
    <x v="12"/>
    <s v="Africa"/>
    <m/>
    <s v="Mining"/>
    <s v="yes"/>
    <s v="no"/>
    <s v="no"/>
    <s v="o/w Manganese ore (processed)"/>
    <s v="detailed"/>
    <s v="detailed Mining"/>
    <n v="1597"/>
    <m/>
    <m/>
    <m/>
    <m/>
    <s v="t"/>
    <m/>
    <m/>
    <s v="Volume from USGS Mineral Yearbook 2008"/>
    <m/>
    <m/>
    <m/>
    <m/>
    <m/>
    <m/>
    <m/>
    <m/>
    <m/>
    <m/>
    <m/>
    <m/>
    <m/>
    <m/>
    <m/>
    <m/>
    <m/>
    <m/>
    <m/>
    <m/>
    <m/>
    <m/>
    <m/>
    <m/>
    <m/>
    <m/>
    <m/>
    <m/>
    <m/>
    <m/>
    <m/>
    <m/>
    <m/>
    <m/>
    <m/>
    <m/>
    <m/>
    <m/>
    <m/>
    <m/>
    <m/>
    <m/>
    <m/>
    <m/>
    <m/>
    <m/>
  </r>
  <r>
    <x v="65"/>
    <n v="2004"/>
    <x v="12"/>
    <s v="Africa"/>
    <m/>
    <s v="Mining"/>
    <s v="yes"/>
    <s v="no"/>
    <s v="no"/>
    <s v="o/w Manganese content"/>
    <s v="detailed"/>
    <s v="detailed Mining"/>
    <n v="559"/>
    <m/>
    <m/>
    <m/>
    <m/>
    <s v="t"/>
    <m/>
    <m/>
    <s v="Volume from USGS Mineral Yearbook 2008"/>
    <m/>
    <m/>
    <m/>
    <m/>
    <m/>
    <m/>
    <m/>
    <m/>
    <m/>
    <m/>
    <m/>
    <m/>
    <m/>
    <m/>
    <m/>
    <m/>
    <m/>
    <m/>
    <m/>
    <m/>
    <m/>
    <m/>
    <m/>
    <m/>
    <m/>
    <m/>
    <m/>
    <m/>
    <m/>
    <m/>
    <m/>
    <m/>
    <m/>
    <m/>
    <m/>
    <m/>
    <m/>
    <m/>
    <m/>
    <m/>
    <m/>
    <m/>
    <m/>
    <m/>
    <m/>
    <m/>
  </r>
  <r>
    <x v="65"/>
    <n v="2004"/>
    <x v="12"/>
    <s v="Africa"/>
    <m/>
    <s v="Mining"/>
    <s v="yes"/>
    <s v="no"/>
    <s v="no"/>
    <s v="Salt"/>
    <s v="detailed"/>
    <s v="detailed Mining"/>
    <n v="265"/>
    <m/>
    <m/>
    <m/>
    <m/>
    <s v="t"/>
    <n v="52.62"/>
    <s v="US$/t"/>
    <s v="Volume from USGS Mineral Yearbook 2008. Price from USGS Mineral Commodity Summary 2009, and is the average f.o.b. mine and plant price for bulk, pellets and packaged vacuum and open pan salt, solar salt, rock salt and salt in brine."/>
    <n v="13944.3"/>
    <m/>
    <m/>
    <m/>
    <m/>
    <m/>
    <m/>
    <m/>
    <m/>
    <m/>
    <m/>
    <m/>
    <m/>
    <m/>
    <m/>
    <m/>
    <m/>
    <m/>
    <m/>
    <m/>
    <m/>
    <m/>
    <m/>
    <m/>
    <m/>
    <m/>
    <m/>
    <m/>
    <m/>
    <m/>
    <m/>
    <m/>
    <m/>
    <m/>
    <m/>
    <m/>
    <m/>
    <m/>
    <m/>
    <m/>
    <m/>
    <m/>
    <m/>
    <m/>
    <m/>
    <m/>
  </r>
  <r>
    <x v="65"/>
    <n v="2004"/>
    <x v="12"/>
    <s v="Africa"/>
    <m/>
    <s v="Mining"/>
    <s v="yes"/>
    <s v="no"/>
    <s v="no"/>
    <s v="Silver"/>
    <s v="detailed"/>
    <s v="detailed Mining"/>
    <n v="107029.82386813848"/>
    <m/>
    <m/>
    <m/>
    <m/>
    <s v="toz"/>
    <n v="6.6578666666700004"/>
    <s v="US$/toz"/>
    <s v="Volume from USGS Mineral Yearbook 2008. Price from World Bank (Global Economic Monitor (GEM) Commodities database), and is defined as: Silver (Handy &amp; Harman), 99.9% grade refined, New York."/>
    <n v="712590.29667124036"/>
    <m/>
    <m/>
    <m/>
    <m/>
    <m/>
    <m/>
    <m/>
    <m/>
    <m/>
    <m/>
    <m/>
    <m/>
    <m/>
    <m/>
    <m/>
    <m/>
    <m/>
    <m/>
    <m/>
    <m/>
    <m/>
    <m/>
    <m/>
    <m/>
    <m/>
    <m/>
    <m/>
    <m/>
    <m/>
    <m/>
    <m/>
    <m/>
    <m/>
    <m/>
    <m/>
    <m/>
    <m/>
    <m/>
    <m/>
    <m/>
    <m/>
    <m/>
    <m/>
    <m/>
    <m/>
  </r>
  <r>
    <x v="66"/>
    <n v="2005"/>
    <x v="12"/>
    <s v="Africa"/>
    <s v="http://www.gheiti.gov.gh/"/>
    <s v="Mining"/>
    <s v="yes"/>
    <s v="no"/>
    <s v="no"/>
    <s v="Total"/>
    <s v="Total"/>
    <s v="Total Mining"/>
    <m/>
    <m/>
    <m/>
    <m/>
    <m/>
    <m/>
    <m/>
    <m/>
    <m/>
    <n v="1079670872.9350934"/>
    <s v="Profits/Taxes, Royalties, Dividends, Licenses and concessions"/>
    <s v="Does not include payments made in-kind"/>
    <s v="-"/>
    <n v="44654643"/>
    <n v="44137187"/>
    <s v="≈80% of revenue"/>
    <n v="55818303.75"/>
    <s v="Inferred from EITI Report"/>
    <n v="5.1699369825785449E-2"/>
    <s v="Ghana Cedi"/>
    <n v="0.91"/>
    <s v="Disaggregated by revenue stream, Disaggregated by commodity, Disaggregated by company, Disaggregated by company and revenue stream, Disaggregated by commodity and revenue stream"/>
    <m/>
    <m/>
    <m/>
    <m/>
    <n v="9"/>
    <s v="Anglogold Ashanti-Obuasi, Anglogold Ashanti-Bibiani, Anglogold Ashanti-Iduaprim, Bogosu Gikd Ktd (GSR), Gold Fields (Ghana) Ltd-Tarkwa, Abosso Goldfields Ltd, Wexford Goldfield (GSR-Ayempim), Ghana Manganese Ltd, Ghana Bauxite Co. Ltd"/>
    <n v="9"/>
    <s v="March 2008"/>
    <d v="2014-09-09T00:00:00"/>
    <s v="Boas &amp; Associates"/>
    <s v="http://eiti.org/files/Ghana%202005%20EITI%20Report.pdf"/>
    <n v="18"/>
    <s v="Materiality threshold: The largest companies which make up over 80% of total mining revenues in 2004-8, and paid over 99% of mineral royalties in 2005, should be reconciled. Unilateral declarations do not appear to be included in the figures. "/>
    <m/>
    <m/>
    <m/>
    <m/>
    <m/>
    <m/>
    <m/>
    <m/>
    <m/>
    <m/>
    <m/>
    <m/>
    <m/>
    <m/>
    <m/>
    <m/>
    <m/>
    <m/>
    <m/>
    <m/>
  </r>
  <r>
    <x v="66"/>
    <n v="2005"/>
    <x v="12"/>
    <s v="Africa"/>
    <m/>
    <s v="Mining"/>
    <s v="yes"/>
    <s v="no"/>
    <s v="no"/>
    <s v="Bauxite"/>
    <s v="detailed"/>
    <s v="detailed Mining"/>
    <n v="727"/>
    <m/>
    <m/>
    <m/>
    <m/>
    <s v="t"/>
    <n v="25.87"/>
    <s v="US$/t"/>
    <s v="Volume from USGS Mineral Yearbook 2008. Price from USGS Mineral Yearbook 2005, and is the average f.a.s. price of US imports of crude and dried bauxite."/>
    <n v="18807.490000000002"/>
    <m/>
    <m/>
    <m/>
    <n v="431213"/>
    <n v="431341"/>
    <m/>
    <m/>
    <m/>
    <n v="22.927727198047158"/>
    <m/>
    <m/>
    <m/>
    <m/>
    <m/>
    <m/>
    <m/>
    <n v="1"/>
    <s v="Ghana Bauxite Co. Ltd"/>
    <n v="1"/>
    <m/>
    <m/>
    <m/>
    <m/>
    <s v="12-13"/>
    <m/>
    <m/>
    <m/>
    <m/>
    <m/>
    <m/>
    <m/>
    <m/>
    <m/>
    <m/>
    <m/>
    <m/>
    <m/>
    <m/>
    <m/>
    <m/>
    <m/>
    <m/>
    <m/>
    <m/>
    <m/>
  </r>
  <r>
    <x v="66"/>
    <n v="2005"/>
    <x v="12"/>
    <s v="Africa"/>
    <m/>
    <s v="Mining"/>
    <s v="yes"/>
    <s v="no"/>
    <s v="no"/>
    <s v="Diamond"/>
    <s v="detailed"/>
    <s v="detailed Mining"/>
    <n v="1013000"/>
    <m/>
    <m/>
    <m/>
    <m/>
    <s v="carats"/>
    <n v="33.42"/>
    <s v="US$/carat"/>
    <s v="Volume from USGS Mineral Yearbook 2008. Price from kimberley Process Annual Summary 2005."/>
    <n v="33854460"/>
    <m/>
    <m/>
    <m/>
    <m/>
    <m/>
    <m/>
    <m/>
    <m/>
    <m/>
    <m/>
    <m/>
    <m/>
    <m/>
    <m/>
    <m/>
    <m/>
    <m/>
    <m/>
    <m/>
    <m/>
    <m/>
    <m/>
    <m/>
    <m/>
    <m/>
    <m/>
    <m/>
    <m/>
    <m/>
    <m/>
    <m/>
    <m/>
    <m/>
    <m/>
    <m/>
    <m/>
    <m/>
    <m/>
    <m/>
    <m/>
    <m/>
    <m/>
    <m/>
    <m/>
    <m/>
  </r>
  <r>
    <x v="66"/>
    <n v="2005"/>
    <x v="12"/>
    <s v="Africa"/>
    <m/>
    <s v="Mining"/>
    <s v="yes"/>
    <s v="no"/>
    <s v="no"/>
    <s v="Gold"/>
    <s v="detailed"/>
    <s v="detailed Mining"/>
    <n v="2149341.4794931794"/>
    <m/>
    <m/>
    <m/>
    <m/>
    <s v="toz"/>
    <n v="486.16845932499638"/>
    <s v="US$/toz"/>
    <s v="Volume from USGS Mineral Yearbook 2008.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
    <n v="1044942035.6485074"/>
    <m/>
    <m/>
    <m/>
    <n v="42823299"/>
    <n v="42305715"/>
    <m/>
    <m/>
    <m/>
    <n v="4.098150666646614E-2"/>
    <m/>
    <m/>
    <m/>
    <m/>
    <m/>
    <m/>
    <m/>
    <n v="7"/>
    <s v="Anglogold Ashanti-Obuasi, Anglogold Ashanti-Bibiani, Anglogold Ashanti-Iduaprim, Bogosu Gikd Ktd (GSR), Gold Fields (Ghana) Ltd-Tarkwa, Abosso Goldfields Ltd, Wexford Goldfield (GSR-Ayempim)"/>
    <n v="7"/>
    <m/>
    <m/>
    <m/>
    <m/>
    <s v="12-13"/>
    <m/>
    <m/>
    <m/>
    <m/>
    <m/>
    <m/>
    <m/>
    <m/>
    <m/>
    <m/>
    <m/>
    <m/>
    <m/>
    <m/>
    <m/>
    <m/>
    <m/>
    <m/>
    <m/>
    <m/>
    <m/>
  </r>
  <r>
    <x v="66"/>
    <n v="2005"/>
    <x v="12"/>
    <s v="Africa"/>
    <m/>
    <s v="Mining"/>
    <s v="yes"/>
    <s v="no"/>
    <s v="no"/>
    <s v="Manganese"/>
    <s v="detailed"/>
    <s v="detailed Mining"/>
    <m/>
    <m/>
    <m/>
    <m/>
    <m/>
    <m/>
    <n v="4.3899999999999997"/>
    <s v="US$/t"/>
    <s v="Price from USGS Mineral Commodity Summary 2009, and is the c.i.f. price at US ports for metallurgical ore with 46-48% manganese content. "/>
    <n v="2634"/>
    <m/>
    <m/>
    <m/>
    <n v="1400131"/>
    <n v="1400131"/>
    <m/>
    <m/>
    <m/>
    <n v="531.56074411541385"/>
    <m/>
    <m/>
    <m/>
    <m/>
    <m/>
    <m/>
    <m/>
    <n v="1"/>
    <s v="Ghana Manganese Ltd"/>
    <n v="1"/>
    <m/>
    <m/>
    <m/>
    <m/>
    <s v="12-13"/>
    <m/>
    <m/>
    <m/>
    <m/>
    <m/>
    <m/>
    <m/>
    <m/>
    <m/>
    <m/>
    <m/>
    <m/>
    <m/>
    <m/>
    <m/>
    <m/>
    <m/>
    <m/>
    <m/>
    <m/>
    <m/>
  </r>
  <r>
    <x v="66"/>
    <n v="2005"/>
    <x v="12"/>
    <s v="Africa"/>
    <m/>
    <s v="Mining"/>
    <s v="yes"/>
    <s v="no"/>
    <s v="no"/>
    <s v="o/w Manganese ore (processed)"/>
    <s v="detailed"/>
    <s v="detailed Mining"/>
    <n v="1715"/>
    <m/>
    <m/>
    <m/>
    <m/>
    <s v="t"/>
    <m/>
    <m/>
    <s v="Volume from USGS Mineral Yearbook 2008"/>
    <m/>
    <m/>
    <m/>
    <m/>
    <m/>
    <m/>
    <m/>
    <m/>
    <m/>
    <m/>
    <m/>
    <m/>
    <m/>
    <m/>
    <m/>
    <m/>
    <m/>
    <m/>
    <m/>
    <m/>
    <m/>
    <m/>
    <m/>
    <m/>
    <m/>
    <m/>
    <m/>
    <m/>
    <m/>
    <m/>
    <m/>
    <m/>
    <m/>
    <m/>
    <m/>
    <m/>
    <m/>
    <m/>
    <m/>
    <m/>
    <m/>
    <m/>
    <m/>
    <m/>
    <m/>
    <m/>
  </r>
  <r>
    <x v="66"/>
    <n v="2005"/>
    <x v="12"/>
    <s v="Africa"/>
    <m/>
    <s v="Mining"/>
    <s v="yes"/>
    <s v="no"/>
    <s v="no"/>
    <s v="o/w Manganese content"/>
    <s v="detailed"/>
    <s v="detailed Mining"/>
    <n v="600"/>
    <m/>
    <m/>
    <m/>
    <m/>
    <s v="t"/>
    <m/>
    <m/>
    <s v="Volume from USGS Mineral Yearbook 2008"/>
    <m/>
    <m/>
    <m/>
    <m/>
    <m/>
    <m/>
    <m/>
    <m/>
    <m/>
    <m/>
    <m/>
    <m/>
    <m/>
    <m/>
    <m/>
    <m/>
    <m/>
    <m/>
    <m/>
    <m/>
    <m/>
    <m/>
    <m/>
    <m/>
    <m/>
    <m/>
    <m/>
    <m/>
    <m/>
    <m/>
    <m/>
    <m/>
    <m/>
    <m/>
    <m/>
    <m/>
    <m/>
    <m/>
    <m/>
    <m/>
    <m/>
    <m/>
    <m/>
    <m/>
    <m/>
    <m/>
  </r>
  <r>
    <x v="66"/>
    <n v="2005"/>
    <x v="12"/>
    <s v="Africa"/>
    <m/>
    <s v="Mining"/>
    <s v="yes"/>
    <s v="no"/>
    <s v="no"/>
    <s v="Salt"/>
    <s v="detailed"/>
    <s v="detailed Mining"/>
    <n v="250"/>
    <m/>
    <m/>
    <m/>
    <m/>
    <s v="t"/>
    <n v="55.44"/>
    <s v="US$/t"/>
    <s v="Volume from USGS Mineral Yearbook 2008. Price from USGS Mineral Commodity Summary 2009, and is the average f.o.b. mine and plant price for bulk, pellets and packaged vacuum and open pan salt, solar salt, rock salt and salt in brine."/>
    <n v="13860"/>
    <m/>
    <m/>
    <m/>
    <m/>
    <m/>
    <m/>
    <m/>
    <m/>
    <m/>
    <m/>
    <m/>
    <m/>
    <m/>
    <m/>
    <m/>
    <m/>
    <m/>
    <m/>
    <m/>
    <m/>
    <m/>
    <m/>
    <m/>
    <m/>
    <m/>
    <m/>
    <m/>
    <m/>
    <m/>
    <m/>
    <m/>
    <m/>
    <m/>
    <m/>
    <m/>
    <m/>
    <m/>
    <m/>
    <m/>
    <m/>
    <m/>
    <m/>
    <m/>
    <m/>
    <m/>
  </r>
  <r>
    <x v="66"/>
    <n v="2005"/>
    <x v="12"/>
    <s v="Africa"/>
    <m/>
    <s v="Mining"/>
    <s v="yes"/>
    <s v="no"/>
    <s v="no"/>
    <s v="Silver"/>
    <s v="detailed"/>
    <s v="detailed Mining"/>
    <n v="114810.30370475292"/>
    <m/>
    <m/>
    <m/>
    <m/>
    <s v="toz"/>
    <n v="7.3083666666699996"/>
    <s v="US$/toz"/>
    <s v="Volume from USGS Mineral Yearbook 2008. Price from World Bank (Global Economic Monitor (GEM) Commodities database), and is defined as: Silver (Handy &amp; Harman), 99.9% grade refined, New York."/>
    <n v="839075.79658607545"/>
    <m/>
    <m/>
    <m/>
    <m/>
    <m/>
    <m/>
    <m/>
    <m/>
    <m/>
    <m/>
    <m/>
    <m/>
    <m/>
    <m/>
    <m/>
    <m/>
    <m/>
    <m/>
    <m/>
    <m/>
    <m/>
    <m/>
    <m/>
    <m/>
    <m/>
    <m/>
    <m/>
    <m/>
    <m/>
    <m/>
    <m/>
    <m/>
    <m/>
    <m/>
    <m/>
    <m/>
    <m/>
    <m/>
    <m/>
    <m/>
    <m/>
    <m/>
    <m/>
    <m/>
    <m/>
  </r>
  <r>
    <x v="67"/>
    <n v="2006"/>
    <x v="12"/>
    <s v="Africa"/>
    <s v="http://www.gheiti.gov.gh/"/>
    <s v="Mining"/>
    <s v="yes"/>
    <s v="no"/>
    <s v="no"/>
    <s v="Total"/>
    <s v="Total"/>
    <s v="Total Mining"/>
    <m/>
    <m/>
    <m/>
    <m/>
    <m/>
    <m/>
    <m/>
    <m/>
    <m/>
    <n v="1514679564.9949055"/>
    <s v="Profits/Taxes, Royalties, Dividends, Licenses and concessions"/>
    <s v="Does not include payments made in-kind"/>
    <s v="-"/>
    <n v="66220560"/>
    <n v="66776712"/>
    <s v="≈80% of revenue"/>
    <n v="82775700"/>
    <s v="Inferred from EITI Report"/>
    <n v="5.4648984453869232E-2"/>
    <s v="Ghana Cedi"/>
    <n v="0.92"/>
    <s v="Disaggregated by revenue stream, Disaggregated by commodity, Disaggregated by company, Disaggregated by company and revenue stream, Disaggregated by commodity and revenue stream"/>
    <m/>
    <m/>
    <m/>
    <m/>
    <n v="11"/>
    <s v="Anglogold Ashanti-Obuasi, Anglogold Ashanti-Iduaprim, GSR (Prestea/Bogosu), Gold Fields (Ghana) Ltd-Tarkwa, Abosso Goldfields Ltd, GSR(Wassa) Ltd, Central African Gold, Chirano Goldmines, Newmont (Ghana) Ltd, Ghana Manganese Ltd, Ghana Bauxite Co. Ltd"/>
    <n v="11"/>
    <s v="August 2010"/>
    <d v="2014-09-10T00:00:00"/>
    <s v="Boas &amp; Associates"/>
    <s v="http://eiti.org/files/Ghana%202006%20EITI%20Report.pdf"/>
    <n v="23"/>
    <s v="Materiality threshold: The largest companies which make up over 80% of total mining revenues in 2004-8, and paid over 99% of mineral royalties in 2006, should be reconciled. Unilateral declarations do not appear to be included in the figures. "/>
    <m/>
    <m/>
    <m/>
    <m/>
    <m/>
    <m/>
    <m/>
    <m/>
    <m/>
    <m/>
    <m/>
    <m/>
    <m/>
    <m/>
    <m/>
    <m/>
    <m/>
    <m/>
    <m/>
    <m/>
  </r>
  <r>
    <x v="67"/>
    <n v="2006"/>
    <x v="12"/>
    <s v="Africa"/>
    <m/>
    <s v="Mining"/>
    <s v="yes"/>
    <s v="no"/>
    <s v="no"/>
    <s v="Bauxite"/>
    <s v="detailed"/>
    <s v="detailed Mining"/>
    <n v="886"/>
    <m/>
    <m/>
    <m/>
    <m/>
    <s v="t"/>
    <n v="28.1"/>
    <s v="US$/t"/>
    <s v="Volume from USGS Mineral Yearbook 2008. Price from USGS Mineral Yearbook 2007, and is the average f.a.s. price of US imports of crude and dried bauxite."/>
    <n v="24896.600000000002"/>
    <m/>
    <m/>
    <m/>
    <n v="673443"/>
    <n v="673950"/>
    <m/>
    <m/>
    <m/>
    <n v="27.049597133745166"/>
    <m/>
    <m/>
    <m/>
    <m/>
    <m/>
    <m/>
    <m/>
    <n v="1"/>
    <s v="Ghana Bauxite Co. Ltd"/>
    <n v="1"/>
    <m/>
    <m/>
    <m/>
    <m/>
    <s v="18-19"/>
    <m/>
    <m/>
    <m/>
    <m/>
    <m/>
    <m/>
    <m/>
    <m/>
    <m/>
    <m/>
    <m/>
    <m/>
    <m/>
    <m/>
    <m/>
    <m/>
    <m/>
    <m/>
    <m/>
    <m/>
    <m/>
  </r>
  <r>
    <x v="67"/>
    <n v="2006"/>
    <x v="12"/>
    <s v="Africa"/>
    <m/>
    <s v="Mining"/>
    <s v="yes"/>
    <s v="no"/>
    <s v="no"/>
    <s v="Diamond"/>
    <s v="detailed"/>
    <s v="detailed Mining"/>
    <n v="973000"/>
    <m/>
    <m/>
    <m/>
    <m/>
    <s v="carats"/>
    <n v="31.78"/>
    <s v="US$/carat"/>
    <s v="Volume from USGS Mineral Yearbook 2008. Price from kimberley Process Annual Summary 2006."/>
    <n v="30921940"/>
    <m/>
    <m/>
    <m/>
    <m/>
    <m/>
    <m/>
    <m/>
    <m/>
    <m/>
    <m/>
    <m/>
    <m/>
    <m/>
    <m/>
    <m/>
    <m/>
    <m/>
    <m/>
    <m/>
    <m/>
    <m/>
    <m/>
    <m/>
    <m/>
    <m/>
    <m/>
    <m/>
    <m/>
    <m/>
    <m/>
    <m/>
    <m/>
    <m/>
    <m/>
    <m/>
    <m/>
    <m/>
    <m/>
    <m/>
    <m/>
    <m/>
    <m/>
    <m/>
    <m/>
    <m/>
  </r>
  <r>
    <x v="67"/>
    <n v="2006"/>
    <x v="12"/>
    <s v="Africa"/>
    <m/>
    <s v="Mining"/>
    <s v="yes"/>
    <s v="no"/>
    <s v="no"/>
    <s v="Gold"/>
    <s v="detailed"/>
    <s v="detailed Mining"/>
    <n v="2244668.4328632695"/>
    <m/>
    <m/>
    <m/>
    <m/>
    <s v="toz"/>
    <n v="660.47863224999639"/>
    <s v="US$/toz"/>
    <s v="Volume from USGS Mineral Yearbook 2008.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
    <n v="1482555536.3922751"/>
    <m/>
    <m/>
    <m/>
    <n v="64400769"/>
    <n v="64955465"/>
    <m/>
    <m/>
    <m/>
    <n v="4.343902634279459E-2"/>
    <m/>
    <m/>
    <m/>
    <m/>
    <m/>
    <m/>
    <m/>
    <n v="9"/>
    <s v="Anglogold Ashanti-Obuasi, Anglogold Ashanti-Iduaprim, GSR (Prestea/Bogosu), Gold Fields (Ghana) Ltd-Tarkwa, Abosso Goldfields Ltd, GSR(Wassa) Ltd, Central African Gold, Chirano Goldmines, Newmont (Ghana) Ltd"/>
    <n v="9"/>
    <m/>
    <m/>
    <m/>
    <m/>
    <s v="18-19"/>
    <m/>
    <m/>
    <m/>
    <m/>
    <m/>
    <m/>
    <m/>
    <m/>
    <m/>
    <m/>
    <m/>
    <m/>
    <m/>
    <m/>
    <m/>
    <m/>
    <m/>
    <m/>
    <m/>
    <m/>
    <m/>
  </r>
  <r>
    <x v="67"/>
    <n v="2006"/>
    <x v="12"/>
    <s v="Africa"/>
    <m/>
    <s v="Mining"/>
    <s v="yes"/>
    <s v="no"/>
    <s v="no"/>
    <s v="Manganese"/>
    <s v="detailed"/>
    <s v="detailed Mining"/>
    <m/>
    <m/>
    <m/>
    <m/>
    <m/>
    <m/>
    <n v="3.51"/>
    <s v="US$/t"/>
    <s v="Price from USGS Mineral Commodity Summary 2009, and is the c.i.f. price at US ports for metallurgical ore with 46-48% manganese content. "/>
    <n v="2035.8"/>
    <m/>
    <m/>
    <m/>
    <n v="1146348"/>
    <n v="1147297"/>
    <m/>
    <m/>
    <m/>
    <n v="563.09460654288239"/>
    <m/>
    <m/>
    <m/>
    <m/>
    <m/>
    <m/>
    <m/>
    <n v="1"/>
    <s v="Ghana Manganese Ltd"/>
    <n v="1"/>
    <m/>
    <m/>
    <m/>
    <m/>
    <s v="18-19"/>
    <m/>
    <m/>
    <m/>
    <m/>
    <m/>
    <m/>
    <m/>
    <m/>
    <m/>
    <m/>
    <m/>
    <m/>
    <m/>
    <m/>
    <m/>
    <m/>
    <m/>
    <m/>
    <m/>
    <m/>
    <m/>
  </r>
  <r>
    <x v="67"/>
    <n v="2006"/>
    <x v="12"/>
    <s v="Africa"/>
    <m/>
    <s v="Mining"/>
    <s v="yes"/>
    <s v="no"/>
    <s v="no"/>
    <s v="o/w Manganese ore (processed)"/>
    <s v="detailed"/>
    <s v="detailed Mining"/>
    <n v="1659"/>
    <m/>
    <m/>
    <m/>
    <m/>
    <s v="t"/>
    <m/>
    <m/>
    <s v="Volume from USGS Mineral Yearbook 2008"/>
    <m/>
    <m/>
    <m/>
    <m/>
    <m/>
    <m/>
    <m/>
    <m/>
    <m/>
    <m/>
    <m/>
    <m/>
    <m/>
    <m/>
    <m/>
    <m/>
    <m/>
    <m/>
    <m/>
    <m/>
    <m/>
    <m/>
    <m/>
    <m/>
    <m/>
    <m/>
    <m/>
    <m/>
    <m/>
    <m/>
    <m/>
    <m/>
    <m/>
    <m/>
    <m/>
    <m/>
    <m/>
    <m/>
    <m/>
    <m/>
    <m/>
    <m/>
    <m/>
    <m/>
    <m/>
    <m/>
  </r>
  <r>
    <x v="67"/>
    <n v="2006"/>
    <x v="12"/>
    <s v="Africa"/>
    <m/>
    <s v="Mining"/>
    <s v="yes"/>
    <s v="no"/>
    <s v="no"/>
    <s v="o/w Manganese content"/>
    <s v="detailed"/>
    <s v="detailed Mining"/>
    <n v="580"/>
    <m/>
    <m/>
    <m/>
    <m/>
    <s v="t"/>
    <m/>
    <m/>
    <s v="Volume from USGS Mineral Yearbook 2008"/>
    <m/>
    <m/>
    <m/>
    <m/>
    <m/>
    <m/>
    <m/>
    <m/>
    <m/>
    <m/>
    <m/>
    <m/>
    <m/>
    <m/>
    <m/>
    <m/>
    <m/>
    <m/>
    <m/>
    <m/>
    <m/>
    <m/>
    <m/>
    <m/>
    <m/>
    <m/>
    <m/>
    <m/>
    <m/>
    <m/>
    <m/>
    <m/>
    <m/>
    <m/>
    <m/>
    <m/>
    <m/>
    <m/>
    <m/>
    <m/>
    <m/>
    <m/>
    <m/>
    <m/>
    <m/>
    <m/>
  </r>
  <r>
    <x v="67"/>
    <n v="2006"/>
    <x v="12"/>
    <s v="Africa"/>
    <m/>
    <s v="Mining"/>
    <s v="yes"/>
    <s v="no"/>
    <s v="no"/>
    <s v="Salt"/>
    <s v="detailed"/>
    <s v="detailed Mining"/>
    <n v="123"/>
    <m/>
    <m/>
    <m/>
    <m/>
    <s v="t"/>
    <n v="60.73"/>
    <s v="US$/t"/>
    <s v="Volume from USGS Mineral Yearbook 2008. Price from USGS Mineral Commodity Summary 2009, and is the average f.o.b. mine and plant price for bulk, pellets and packaged vacuum and open pan salt, solar salt, rock salt and salt in brine."/>
    <n v="7469.79"/>
    <m/>
    <m/>
    <m/>
    <m/>
    <m/>
    <m/>
    <m/>
    <m/>
    <m/>
    <m/>
    <m/>
    <m/>
    <m/>
    <m/>
    <m/>
    <m/>
    <m/>
    <m/>
    <m/>
    <m/>
    <m/>
    <m/>
    <m/>
    <m/>
    <m/>
    <m/>
    <m/>
    <m/>
    <m/>
    <m/>
    <m/>
    <m/>
    <m/>
    <m/>
    <m/>
    <m/>
    <m/>
    <m/>
    <m/>
    <m/>
    <m/>
    <m/>
    <m/>
    <m/>
    <m/>
  </r>
  <r>
    <x v="67"/>
    <n v="2006"/>
    <x v="12"/>
    <s v="Africa"/>
    <m/>
    <s v="Mining"/>
    <s v="yes"/>
    <s v="no"/>
    <s v="no"/>
    <s v="Silver"/>
    <s v="detailed"/>
    <s v="detailed Mining"/>
    <n v="101017.63490348186"/>
    <m/>
    <m/>
    <m/>
    <m/>
    <s v="toz"/>
    <n v="11.559233333330001"/>
    <s v="US$/toz"/>
    <s v="Volume from USGS Mineral Yearbook 2008. Price from World Bank (Global Economic Monitor (GEM) Commodities database), and is defined as: Silver (Handy &amp; Harman), 99.9% grade refined, New York."/>
    <n v="1167686.4126304877"/>
    <m/>
    <m/>
    <m/>
    <m/>
    <m/>
    <m/>
    <m/>
    <m/>
    <m/>
    <m/>
    <m/>
    <m/>
    <m/>
    <m/>
    <m/>
    <m/>
    <m/>
    <m/>
    <m/>
    <m/>
    <m/>
    <m/>
    <m/>
    <m/>
    <m/>
    <m/>
    <m/>
    <m/>
    <m/>
    <m/>
    <m/>
    <m/>
    <m/>
    <m/>
    <m/>
    <m/>
    <m/>
    <m/>
    <m/>
    <m/>
    <m/>
    <m/>
    <m/>
    <m/>
    <m/>
  </r>
  <r>
    <x v="68"/>
    <n v="2007"/>
    <x v="12"/>
    <s v="Africa"/>
    <s v="http://www.gheiti.gov.gh/"/>
    <s v="Mining"/>
    <s v="yes"/>
    <s v="no"/>
    <s v="no"/>
    <s v="Total"/>
    <s v="Total"/>
    <s v="Total Mining"/>
    <m/>
    <m/>
    <m/>
    <m/>
    <m/>
    <m/>
    <m/>
    <m/>
    <m/>
    <n v="1792412596.4344938"/>
    <s v="Profits/Taxes, Royalties, Dividends, Licenses and concessions"/>
    <s v="Does not include payments made in-kind"/>
    <s v="-"/>
    <n v="61767543"/>
    <n v="64548464"/>
    <s v="≈80% of revenue"/>
    <n v="77209428.75"/>
    <s v="Inferred from EITI Report"/>
    <n v="4.3075700819993498E-2"/>
    <s v="Ghana Cedi"/>
    <n v="0.99"/>
    <s v="Disaggregated by revenue stream, Disaggregated by commodity, Disaggregated by company, Disaggregated by company and revenue stream, Disaggregated by commodity and revenue stream"/>
    <m/>
    <m/>
    <m/>
    <m/>
    <n v="11"/>
    <s v="Anglogold Ashanti-Obuasi, Anglogold Ashanti-Iduaprim, GSR (Prestea/Bogosu), Gold Fields (Ghana) Ltd-Tarkwa, Abosso Goldfields Ltd, GSR(Wassa) Ltd, Central African Gold, Chirano Goldmines, Newmont (Ghana) Ltd, Ghana Manganese Ltd, Ghana Bauxite Co. Ltd"/>
    <n v="11"/>
    <s v="August 2010"/>
    <d v="2014-09-10T00:00:00"/>
    <s v="Boas &amp; Associates"/>
    <s v="http://eiti.org/files/Ghana%202007%20EITI%20Report.pdf"/>
    <n v="20"/>
    <s v="Materiality threshold: The largest companies which make up over 80% of total mining revenues in 2004-8, and paid over 99% of mineral royalties in 2007, should be reconciled. Unilateral declarations do not appear to be included in the figures. "/>
    <m/>
    <m/>
    <m/>
    <m/>
    <m/>
    <m/>
    <m/>
    <m/>
    <m/>
    <m/>
    <m/>
    <m/>
    <m/>
    <m/>
    <m/>
    <m/>
    <m/>
    <m/>
    <m/>
    <m/>
  </r>
  <r>
    <x v="68"/>
    <n v="2007"/>
    <x v="12"/>
    <s v="Africa"/>
    <m/>
    <s v="Mining"/>
    <s v="yes"/>
    <s v="no"/>
    <s v="no"/>
    <s v="Bauxite"/>
    <s v="detailed"/>
    <s v="detailed Mining"/>
    <n v="748"/>
    <m/>
    <m/>
    <m/>
    <m/>
    <s v="t"/>
    <n v="31.2"/>
    <s v="US$/t"/>
    <s v="Volume from USGS Mineral Yearbook 2011. Price from USGS Mineral Yearbook 2007, and is the average f.a.s. price of US imports of crude and dried bauxite."/>
    <n v="23337.599999999999"/>
    <m/>
    <m/>
    <m/>
    <n v="559648"/>
    <n v="559648"/>
    <m/>
    <m/>
    <m/>
    <n v="23.980529274646923"/>
    <m/>
    <m/>
    <m/>
    <m/>
    <m/>
    <m/>
    <m/>
    <n v="1"/>
    <s v="Ghana Bauxite Co. Ltd"/>
    <n v="1"/>
    <m/>
    <m/>
    <m/>
    <m/>
    <s v="18-19"/>
    <m/>
    <m/>
    <m/>
    <m/>
    <m/>
    <m/>
    <m/>
    <m/>
    <m/>
    <m/>
    <m/>
    <m/>
    <m/>
    <m/>
    <m/>
    <m/>
    <m/>
    <m/>
    <m/>
    <m/>
    <m/>
  </r>
  <r>
    <x v="68"/>
    <n v="2007"/>
    <x v="12"/>
    <s v="Africa"/>
    <m/>
    <s v="Mining"/>
    <s v="yes"/>
    <s v="no"/>
    <s v="no"/>
    <s v="Diamond"/>
    <s v="detailed"/>
    <s v="detailed Mining"/>
    <n v="895000"/>
    <m/>
    <m/>
    <m/>
    <m/>
    <s v="carats"/>
    <n v="25.93"/>
    <s v="US$/carat"/>
    <s v="Volume from USGS Mineral Yearbook 2011. Price from kimberley Process Annual Summary 2007."/>
    <n v="23207350"/>
    <m/>
    <m/>
    <m/>
    <m/>
    <m/>
    <m/>
    <m/>
    <m/>
    <m/>
    <m/>
    <m/>
    <m/>
    <m/>
    <m/>
    <m/>
    <m/>
    <m/>
    <m/>
    <m/>
    <m/>
    <m/>
    <m/>
    <m/>
    <m/>
    <m/>
    <m/>
    <m/>
    <m/>
    <m/>
    <m/>
    <m/>
    <m/>
    <m/>
    <m/>
    <m/>
    <m/>
    <m/>
    <m/>
    <m/>
    <m/>
    <m/>
    <m/>
    <m/>
    <m/>
    <m/>
  </r>
  <r>
    <x v="68"/>
    <n v="2007"/>
    <x v="12"/>
    <s v="Africa"/>
    <m/>
    <s v="Mining"/>
    <s v="yes"/>
    <s v="no"/>
    <s v="no"/>
    <s v="Gold"/>
    <s v="detailed"/>
    <s v="detailed Mining"/>
    <n v="2321573.0104218717"/>
    <m/>
    <m/>
    <m/>
    <m/>
    <s v="toz"/>
    <n v="761.44556122500001"/>
    <s v="US$/toz"/>
    <s v="Volume from USGS Mineral Yearbook 2011.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
    <n v="1767751463.8454947"/>
    <m/>
    <m/>
    <m/>
    <n v="59949084"/>
    <n v="62729648"/>
    <m/>
    <m/>
    <m/>
    <n v="3.3912620199215787E-2"/>
    <m/>
    <m/>
    <m/>
    <m/>
    <m/>
    <m/>
    <m/>
    <n v="9"/>
    <s v="Anglogold Ashanti-Obuasi, Anglogold Ashanti-Iduaprim, GSR (Prestea/Bogosu), Gold Fields (Ghana) Ltd-Tarkwa, Abosso Goldfields Ltd, GSR(Wassa) Ltd, Central African Gold, Chirano Goldmines, Newmont (Ghana) Ltd"/>
    <n v="9"/>
    <m/>
    <m/>
    <m/>
    <m/>
    <s v="18-19"/>
    <m/>
    <m/>
    <m/>
    <m/>
    <m/>
    <m/>
    <m/>
    <m/>
    <m/>
    <m/>
    <m/>
    <m/>
    <m/>
    <m/>
    <m/>
    <m/>
    <m/>
    <m/>
    <m/>
    <m/>
    <m/>
  </r>
  <r>
    <x v="68"/>
    <n v="2007"/>
    <x v="12"/>
    <s v="Africa"/>
    <m/>
    <s v="Mining"/>
    <s v="yes"/>
    <s v="no"/>
    <s v="no"/>
    <s v="Manganese"/>
    <s v="detailed"/>
    <s v="detailed Mining"/>
    <m/>
    <m/>
    <m/>
    <m/>
    <m/>
    <m/>
    <n v="3.48"/>
    <s v="US$/t"/>
    <s v="Price from USGS Mineral Commodity Summary 2009, and is the c.i.f. price at US ports for metallurgical ore with 46-48% manganese content. "/>
    <n v="1792.2"/>
    <m/>
    <m/>
    <m/>
    <n v="1258811"/>
    <n v="1259168"/>
    <m/>
    <m/>
    <m/>
    <n v="702.38310456422278"/>
    <m/>
    <m/>
    <m/>
    <m/>
    <m/>
    <m/>
    <m/>
    <n v="1"/>
    <s v="Ghana Manganese Ltd"/>
    <n v="1"/>
    <m/>
    <m/>
    <m/>
    <m/>
    <s v="18-19"/>
    <m/>
    <m/>
    <m/>
    <m/>
    <m/>
    <m/>
    <m/>
    <m/>
    <m/>
    <m/>
    <m/>
    <m/>
    <m/>
    <m/>
    <m/>
    <m/>
    <m/>
    <m/>
    <m/>
    <m/>
    <m/>
  </r>
  <r>
    <x v="68"/>
    <n v="2007"/>
    <x v="12"/>
    <s v="Africa"/>
    <m/>
    <s v="Mining"/>
    <s v="yes"/>
    <s v="no"/>
    <s v="no"/>
    <s v="o/w Manganese ore (processed)"/>
    <s v="detailed"/>
    <s v="detailed Mining"/>
    <n v="1854"/>
    <m/>
    <m/>
    <m/>
    <m/>
    <s v="t"/>
    <m/>
    <m/>
    <s v="Volume from USGS Mineral Yearbook 2011"/>
    <m/>
    <m/>
    <m/>
    <m/>
    <m/>
    <m/>
    <m/>
    <m/>
    <m/>
    <m/>
    <m/>
    <m/>
    <m/>
    <m/>
    <m/>
    <m/>
    <m/>
    <m/>
    <m/>
    <m/>
    <m/>
    <m/>
    <m/>
    <m/>
    <m/>
    <m/>
    <m/>
    <m/>
    <m/>
    <m/>
    <m/>
    <m/>
    <m/>
    <m/>
    <m/>
    <m/>
    <m/>
    <m/>
    <m/>
    <m/>
    <m/>
    <m/>
    <m/>
    <m/>
    <m/>
    <m/>
  </r>
  <r>
    <x v="68"/>
    <n v="2007"/>
    <x v="12"/>
    <s v="Africa"/>
    <m/>
    <s v="Mining"/>
    <s v="yes"/>
    <s v="no"/>
    <s v="no"/>
    <s v="o/w Manganese content"/>
    <s v="detailed"/>
    <s v="detailed Mining"/>
    <n v="515"/>
    <m/>
    <m/>
    <m/>
    <m/>
    <s v="t"/>
    <m/>
    <m/>
    <s v="Volume from USGS Mineral Yearbook 2011"/>
    <m/>
    <m/>
    <m/>
    <m/>
    <m/>
    <m/>
    <m/>
    <m/>
    <m/>
    <m/>
    <m/>
    <m/>
    <m/>
    <m/>
    <m/>
    <m/>
    <m/>
    <m/>
    <m/>
    <m/>
    <m/>
    <m/>
    <m/>
    <m/>
    <m/>
    <m/>
    <m/>
    <m/>
    <m/>
    <m/>
    <m/>
    <m/>
    <m/>
    <m/>
    <m/>
    <m/>
    <m/>
    <m/>
    <m/>
    <m/>
    <m/>
    <m/>
    <m/>
    <m/>
    <m/>
    <m/>
  </r>
  <r>
    <x v="68"/>
    <n v="2007"/>
    <x v="12"/>
    <s v="Africa"/>
    <m/>
    <s v="Mining"/>
    <s v="yes"/>
    <s v="no"/>
    <s v="no"/>
    <s v="Salt"/>
    <s v="detailed"/>
    <s v="detailed Mining"/>
    <n v="124"/>
    <m/>
    <m/>
    <m/>
    <m/>
    <s v="t"/>
    <n v="62.89"/>
    <s v="US$/t"/>
    <s v="Volume from USGS Mineral Yearbook 2011. Price from USGS Mineral Commodity Summary 2009, and is the average f.o.b. mine and plant price for bulk, pellets and packaged vacuum and open pan salt, solar salt, rock salt and salt in brine."/>
    <n v="7798.36"/>
    <m/>
    <m/>
    <m/>
    <m/>
    <m/>
    <m/>
    <m/>
    <m/>
    <m/>
    <m/>
    <m/>
    <m/>
    <m/>
    <m/>
    <m/>
    <m/>
    <m/>
    <m/>
    <m/>
    <m/>
    <m/>
    <m/>
    <m/>
    <m/>
    <m/>
    <m/>
    <m/>
    <m/>
    <m/>
    <m/>
    <m/>
    <m/>
    <m/>
    <m/>
    <m/>
    <m/>
    <m/>
    <m/>
    <m/>
    <m/>
    <m/>
    <m/>
    <m/>
    <m/>
    <m/>
  </r>
  <r>
    <x v="68"/>
    <n v="2007"/>
    <x v="12"/>
    <s v="Africa"/>
    <m/>
    <s v="Mining"/>
    <s v="yes"/>
    <s v="no"/>
    <s v="no"/>
    <s v="Silver"/>
    <s v="detailed"/>
    <s v="detailed Mining"/>
    <n v="106097.4523174698"/>
    <m/>
    <m/>
    <m/>
    <m/>
    <s v="toz"/>
    <n v="13.391975"/>
    <s v="US$/toz"/>
    <s v="Volume from USGS Mineral Yearbook 2011. Price from World Bank (Global Economic Monitor (GEM) Commodities database), and is defined as: Silver (Handy &amp; Harman), 99.9% grade refined, New York."/>
    <n v="1420854.4289992477"/>
    <m/>
    <m/>
    <m/>
    <m/>
    <m/>
    <m/>
    <m/>
    <m/>
    <m/>
    <m/>
    <m/>
    <m/>
    <m/>
    <m/>
    <m/>
    <m/>
    <m/>
    <m/>
    <m/>
    <m/>
    <m/>
    <m/>
    <m/>
    <m/>
    <m/>
    <m/>
    <m/>
    <m/>
    <m/>
    <m/>
    <m/>
    <m/>
    <m/>
    <m/>
    <m/>
    <m/>
    <m/>
    <m/>
    <m/>
    <m/>
    <m/>
    <m/>
    <m/>
    <m/>
    <m/>
  </r>
  <r>
    <x v="69"/>
    <n v="2008"/>
    <x v="12"/>
    <s v="Africa"/>
    <s v="http://www.gheiti.gov.gh/"/>
    <s v="Mining"/>
    <s v="yes"/>
    <s v="no"/>
    <s v="no"/>
    <s v="Total"/>
    <s v="Total"/>
    <s v="Total Mining"/>
    <m/>
    <m/>
    <m/>
    <m/>
    <m/>
    <m/>
    <m/>
    <m/>
    <m/>
    <n v="2255388994.6882257"/>
    <s v="Profits/Taxes, Royalties, Dividends"/>
    <s v="Does not include payments made in-kind"/>
    <s v="-"/>
    <n v="91193482"/>
    <n v="90840454"/>
    <s v="≈80% of revenue"/>
    <n v="113991852.49999999"/>
    <s v="Inferred from EITI Report"/>
    <n v="5.0541991988285677E-2"/>
    <s v="Ghana Cedi"/>
    <n v="1.05"/>
    <s v="Disaggregated by revenue stream, Disaggregated by commodity, Disaggregated by company, Disaggregated by company and revenue stream, Disaggregated by commodity and revenue stream"/>
    <m/>
    <m/>
    <m/>
    <m/>
    <n v="11"/>
    <s v="Anglogold Ashanti-Obuasi, Anglogold Ashanti-Iduaprim, GSR (Prestea/Bogosu), Gold Fields (Ghana) Ltd-Tarkwa, Abosso Goldfields Ltd, GSR(Wassa) Ltd, Central African Gold, Chirano Goldmines, Newmont (Ghana) Ltd, Ghana Manganese Ltd, Ghana Bauxite Co. Ltd"/>
    <n v="11"/>
    <s v="August 2010"/>
    <d v="2014-09-10T00:00:00"/>
    <s v="Boas &amp; Associates"/>
    <s v="http://eiti.org/files/Ghana%202008%20EITI%20Report.pdf"/>
    <n v="19"/>
    <s v="Materiality threshold: The largest companies which make up over 80% of total mining revenues in 2004-8, and paid over 99% of mineral royalties in 2008, should be reconciled. Unilateral declarations do not appear to be included in the figures. "/>
    <m/>
    <m/>
    <m/>
    <m/>
    <m/>
    <m/>
    <m/>
    <m/>
    <m/>
    <m/>
    <m/>
    <m/>
    <m/>
    <m/>
    <m/>
    <m/>
    <m/>
    <m/>
    <m/>
    <m/>
  </r>
  <r>
    <x v="69"/>
    <n v="2008"/>
    <x v="12"/>
    <s v="Africa"/>
    <m/>
    <s v="Mining"/>
    <s v="yes"/>
    <s v="no"/>
    <s v="no"/>
    <s v="Bauxite"/>
    <s v="detailed"/>
    <s v="detailed Mining"/>
    <n v="796"/>
    <m/>
    <m/>
    <m/>
    <m/>
    <s v="t"/>
    <n v="26.43"/>
    <s v="US$/t"/>
    <s v="Volume from USGS Mineral Yearbook 2011. Price from USGS Mineral Yearbook 2008, and is the average f.a.s. price of US imports of crude and dried bauxite."/>
    <n v="21038.28"/>
    <m/>
    <m/>
    <m/>
    <n v="450138"/>
    <n v="451636"/>
    <m/>
    <m/>
    <m/>
    <n v="21.396140749148696"/>
    <m/>
    <m/>
    <m/>
    <m/>
    <m/>
    <m/>
    <m/>
    <n v="1"/>
    <s v="Ghana Bauxite Co. Ltd"/>
    <n v="1"/>
    <m/>
    <m/>
    <m/>
    <m/>
    <s v="17-18"/>
    <m/>
    <m/>
    <m/>
    <m/>
    <m/>
    <m/>
    <m/>
    <m/>
    <m/>
    <m/>
    <m/>
    <m/>
    <m/>
    <m/>
    <m/>
    <m/>
    <m/>
    <m/>
    <m/>
    <m/>
    <m/>
  </r>
  <r>
    <x v="69"/>
    <n v="2008"/>
    <x v="12"/>
    <s v="Africa"/>
    <m/>
    <s v="Mining"/>
    <s v="yes"/>
    <s v="no"/>
    <s v="no"/>
    <s v="Diamond"/>
    <s v="detailed"/>
    <s v="detailed Mining"/>
    <n v="643000"/>
    <m/>
    <m/>
    <m/>
    <m/>
    <s v="carats"/>
    <n v="28.7"/>
    <s v="US$/carat"/>
    <s v="Volume from USGS Mineral Yearbook 2011. Price from kimberley Process Annual Summary 2008."/>
    <n v="18454100"/>
    <m/>
    <m/>
    <m/>
    <m/>
    <m/>
    <m/>
    <m/>
    <m/>
    <m/>
    <m/>
    <m/>
    <m/>
    <m/>
    <m/>
    <m/>
    <m/>
    <m/>
    <m/>
    <m/>
    <m/>
    <m/>
    <m/>
    <m/>
    <m/>
    <m/>
    <m/>
    <m/>
    <m/>
    <m/>
    <m/>
    <m/>
    <m/>
    <m/>
    <m/>
    <m/>
    <m/>
    <m/>
    <m/>
    <m/>
    <m/>
    <m/>
    <m/>
    <m/>
    <m/>
    <m/>
  </r>
  <r>
    <x v="69"/>
    <n v="2008"/>
    <x v="12"/>
    <s v="Africa"/>
    <m/>
    <s v="Mining"/>
    <s v="yes"/>
    <s v="no"/>
    <s v="no"/>
    <s v="Gold"/>
    <s v="detailed"/>
    <s v="detailed Mining"/>
    <n v="2346361.233372408"/>
    <m/>
    <m/>
    <m/>
    <m/>
    <s v="toz"/>
    <n v="952.68885352500001"/>
    <s v="US$/toz"/>
    <s v="Volume from USGS Mineral Yearbook 2011.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
    <n v="2235352193.3770642"/>
    <m/>
    <m/>
    <m/>
    <n v="86750625"/>
    <n v="86396099"/>
    <m/>
    <m/>
    <m/>
    <n v="3.8808481838801992E-2"/>
    <m/>
    <m/>
    <m/>
    <m/>
    <m/>
    <m/>
    <m/>
    <n v="9"/>
    <s v="Anglogold Ashanti-Obuasi, Anglogold Ashanti-Iduaprim, GSR (Prestea/Bogosu), Gold Fields (Ghana) Ltd-Tarkwa, Abosso Goldfields Ltd, GSR(Wassa) Ltd, Central African Gold, Chirano Goldmines, Newmont (Ghana) Ltd"/>
    <n v="9"/>
    <m/>
    <m/>
    <m/>
    <m/>
    <s v="17-18"/>
    <m/>
    <m/>
    <m/>
    <m/>
    <m/>
    <m/>
    <m/>
    <m/>
    <m/>
    <m/>
    <m/>
    <m/>
    <m/>
    <m/>
    <m/>
    <m/>
    <m/>
    <m/>
    <m/>
    <m/>
    <m/>
  </r>
  <r>
    <x v="69"/>
    <n v="2008"/>
    <x v="12"/>
    <s v="Africa"/>
    <m/>
    <s v="Mining"/>
    <s v="yes"/>
    <s v="no"/>
    <s v="no"/>
    <s v="Manganese"/>
    <s v="detailed"/>
    <s v="detailed Mining"/>
    <m/>
    <m/>
    <m/>
    <m/>
    <m/>
    <m/>
    <n v="12.15"/>
    <s v="US$/t"/>
    <s v="Price from USGS Mineral Commodity Summary 2013, and is the c.i.f. price at US ports for metallurgical ore with 46-48% manganese content. "/>
    <n v="3110.4"/>
    <m/>
    <m/>
    <m/>
    <n v="3992719"/>
    <n v="3992719"/>
    <m/>
    <m/>
    <m/>
    <n v="1283.6673739711935"/>
    <m/>
    <m/>
    <m/>
    <m/>
    <m/>
    <m/>
    <m/>
    <n v="1"/>
    <s v="Ghana Manganese Ltd"/>
    <n v="1"/>
    <m/>
    <m/>
    <m/>
    <m/>
    <s v="17-18"/>
    <m/>
    <m/>
    <m/>
    <m/>
    <m/>
    <m/>
    <m/>
    <m/>
    <m/>
    <m/>
    <m/>
    <m/>
    <m/>
    <m/>
    <m/>
    <m/>
    <m/>
    <m/>
    <m/>
    <m/>
    <m/>
  </r>
  <r>
    <x v="69"/>
    <n v="2008"/>
    <x v="12"/>
    <s v="Africa"/>
    <m/>
    <s v="Mining"/>
    <s v="yes"/>
    <s v="no"/>
    <s v="no"/>
    <s v="o/w Manganese ore (processed)"/>
    <s v="detailed"/>
    <s v="detailed Mining"/>
    <n v="914"/>
    <m/>
    <m/>
    <m/>
    <m/>
    <s v="t"/>
    <m/>
    <m/>
    <s v="Volume from USGS Mineral Yearbook 2011"/>
    <m/>
    <m/>
    <m/>
    <m/>
    <m/>
    <m/>
    <m/>
    <m/>
    <m/>
    <m/>
    <m/>
    <m/>
    <m/>
    <m/>
    <m/>
    <m/>
    <m/>
    <m/>
    <m/>
    <m/>
    <m/>
    <m/>
    <m/>
    <m/>
    <m/>
    <m/>
    <m/>
    <m/>
    <m/>
    <m/>
    <m/>
    <m/>
    <m/>
    <m/>
    <m/>
    <m/>
    <m/>
    <m/>
    <m/>
    <m/>
    <m/>
    <m/>
    <m/>
    <m/>
    <m/>
    <m/>
  </r>
  <r>
    <x v="69"/>
    <n v="2008"/>
    <x v="12"/>
    <s v="Africa"/>
    <m/>
    <s v="Mining"/>
    <s v="yes"/>
    <s v="no"/>
    <s v="no"/>
    <s v="o/w Manganese content"/>
    <s v="detailed"/>
    <s v="detailed Mining"/>
    <n v="256"/>
    <m/>
    <m/>
    <m/>
    <m/>
    <s v="t"/>
    <m/>
    <m/>
    <s v="Volume from USGS Mineral Yearbook 2011"/>
    <m/>
    <m/>
    <m/>
    <m/>
    <m/>
    <m/>
    <m/>
    <m/>
    <m/>
    <m/>
    <m/>
    <m/>
    <m/>
    <m/>
    <m/>
    <m/>
    <m/>
    <m/>
    <m/>
    <m/>
    <m/>
    <m/>
    <m/>
    <m/>
    <m/>
    <m/>
    <m/>
    <m/>
    <m/>
    <m/>
    <m/>
    <m/>
    <m/>
    <m/>
    <m/>
    <m/>
    <m/>
    <m/>
    <m/>
    <m/>
    <m/>
    <m/>
    <m/>
    <m/>
    <m/>
    <m/>
  </r>
  <r>
    <x v="69"/>
    <n v="2008"/>
    <x v="12"/>
    <s v="Africa"/>
    <m/>
    <s v="Mining"/>
    <s v="yes"/>
    <s v="no"/>
    <s v="no"/>
    <s v="Salt"/>
    <s v="detailed"/>
    <s v="detailed Mining"/>
    <n v="239"/>
    <m/>
    <m/>
    <m/>
    <m/>
    <s v="t"/>
    <n v="65.58"/>
    <s v="US$/t"/>
    <s v="Volume from USGS Mineral Yearbook 2011. Price from USGS Mineral Commodity Summary 2013, and is the average f.o.b. mine and plant price for bulk, pellets and packaged vacuum and open pan salt, solar salt, rock salt and salt in brine."/>
    <n v="15673.619999999999"/>
    <m/>
    <m/>
    <m/>
    <m/>
    <m/>
    <m/>
    <m/>
    <m/>
    <m/>
    <m/>
    <m/>
    <m/>
    <m/>
    <m/>
    <m/>
    <m/>
    <m/>
    <m/>
    <m/>
    <m/>
    <m/>
    <m/>
    <m/>
    <m/>
    <m/>
    <m/>
    <m/>
    <m/>
    <m/>
    <m/>
    <m/>
    <m/>
    <m/>
    <m/>
    <m/>
    <m/>
    <m/>
    <m/>
    <m/>
    <m/>
    <m/>
    <m/>
    <m/>
    <m/>
    <m/>
  </r>
  <r>
    <x v="69"/>
    <n v="2008"/>
    <x v="12"/>
    <s v="Africa"/>
    <m/>
    <s v="Mining"/>
    <s v="yes"/>
    <s v="no"/>
    <s v="no"/>
    <s v="Silver"/>
    <s v="detailed"/>
    <s v="detailed Mining"/>
    <n v="102882.3780048192"/>
    <m/>
    <m/>
    <m/>
    <m/>
    <s v="toz"/>
    <n v="14.996533333329999"/>
    <s v="US$/toz"/>
    <s v="Volume from USGS Mineral Yearbook 2011. Price from World Bank (Global Economic Monitor (GEM) Commodities database), and is defined as: Silver (Handy &amp; Harman), 99.9% grade refined, New York."/>
    <n v="1542879.0111615283"/>
    <m/>
    <m/>
    <m/>
    <m/>
    <m/>
    <m/>
    <m/>
    <m/>
    <m/>
    <m/>
    <m/>
    <m/>
    <m/>
    <m/>
    <m/>
    <m/>
    <m/>
    <m/>
    <m/>
    <m/>
    <m/>
    <m/>
    <m/>
    <m/>
    <m/>
    <m/>
    <m/>
    <m/>
    <m/>
    <m/>
    <m/>
    <m/>
    <m/>
    <m/>
    <m/>
    <m/>
    <m/>
    <m/>
    <m/>
    <m/>
    <m/>
    <m/>
    <m/>
    <m/>
    <m/>
  </r>
  <r>
    <x v="70"/>
    <n v="2009"/>
    <x v="12"/>
    <s v="Africa"/>
    <s v="http://www.gheiti.gov.gh/"/>
    <s v="Mining"/>
    <s v="yes"/>
    <s v="no"/>
    <s v="no"/>
    <s v="Total"/>
    <s v="Total"/>
    <s v="Total Mining"/>
    <m/>
    <m/>
    <m/>
    <m/>
    <m/>
    <m/>
    <m/>
    <m/>
    <m/>
    <n v="2739873764.7794628"/>
    <s v="Profits/Taxes, Royalties, Dividends"/>
    <s v="Does not include payments made in-kind"/>
    <s v="-"/>
    <n v="111972313.33333333"/>
    <n v="111975972.38095237"/>
    <m/>
    <m/>
    <m/>
    <n v="4.0867690611412592E-2"/>
    <s v="Ghana Cedi"/>
    <n v="1.05"/>
    <s v="Disaggregated by revenue stream, Disaggregated by commodity, Disaggregated by company, Disaggregated by company and revenue stream, Disaggregated by commodity and revenue stream"/>
    <m/>
    <m/>
    <m/>
    <m/>
    <n v="10"/>
    <s v="Anglogold Ashanti-Obuasi, Anglogold Ashanti-Iduaprim, GSR (Prestea/Bogosu), Gold Fields (Ghana) Ltd-Tarkwa, Abosso Goldfields Ltd, GSR(Wassa) Ltd, Chirano Goldmines, Newmont (Ghana) Ltd, Ghana Manganese Ltd, Ghana Bauxite Co. Ltd"/>
    <n v="10"/>
    <s v="August 2011"/>
    <d v="2014-09-10T00:00:00"/>
    <s v="Boas &amp; Associates"/>
    <s v="http://eiti.org/files/Ghana%202009%20EITI%20Report.pdf"/>
    <n v="16"/>
    <s v="Materiality threshold: The largest companies which paid 99% of mineral royalties in 2009 should be reconciled. Resolved discerpancies are not included in the final figures, but these have been added retrospectively. Unilateral declarations do not appear to be included in the figures. "/>
    <m/>
    <m/>
    <m/>
    <m/>
    <m/>
    <m/>
    <m/>
    <m/>
    <m/>
    <m/>
    <m/>
    <m/>
    <m/>
    <m/>
    <m/>
    <m/>
    <m/>
    <m/>
    <m/>
    <m/>
  </r>
  <r>
    <x v="70"/>
    <n v="2009"/>
    <x v="12"/>
    <s v="Africa"/>
    <m/>
    <s v="Mining"/>
    <s v="yes"/>
    <s v="no"/>
    <s v="no"/>
    <s v="Bauxite"/>
    <s v="detailed"/>
    <s v="detailed Mining"/>
    <n v="490"/>
    <m/>
    <m/>
    <m/>
    <m/>
    <s v="t"/>
    <n v="29.8"/>
    <s v="US$/t"/>
    <s v="Volume from USGS Mineral Yearbook 2011. Price from USGS Mineral Yearbook 2010, and is the average f.a.s. price of US imports of crude and dried bauxite."/>
    <n v="14602"/>
    <m/>
    <m/>
    <m/>
    <n v="563882"/>
    <n v="565789"/>
    <m/>
    <m/>
    <m/>
    <n v="38.616764826736066"/>
    <m/>
    <m/>
    <m/>
    <m/>
    <m/>
    <m/>
    <m/>
    <n v="1"/>
    <s v="Ghana Bauxite Co. Ltd"/>
    <n v="1"/>
    <m/>
    <m/>
    <m/>
    <m/>
    <s v="15"/>
    <m/>
    <m/>
    <m/>
    <m/>
    <m/>
    <m/>
    <m/>
    <m/>
    <m/>
    <m/>
    <m/>
    <m/>
    <m/>
    <m/>
    <m/>
    <m/>
    <m/>
    <m/>
    <m/>
    <m/>
    <m/>
  </r>
  <r>
    <x v="70"/>
    <n v="2009"/>
    <x v="12"/>
    <s v="Africa"/>
    <m/>
    <s v="Mining"/>
    <s v="yes"/>
    <s v="no"/>
    <s v="no"/>
    <s v="Diamond"/>
    <s v="detailed"/>
    <s v="detailed Mining"/>
    <n v="376000"/>
    <m/>
    <m/>
    <m/>
    <m/>
    <s v="carats"/>
    <n v="18.559999999999999"/>
    <s v="US$/carat"/>
    <s v="Volume from USGS Mineral Yearbook 2011. Price from kimberley Process Annual Summary 2009."/>
    <n v="6978559.9999999991"/>
    <m/>
    <m/>
    <m/>
    <m/>
    <m/>
    <m/>
    <m/>
    <m/>
    <m/>
    <m/>
    <m/>
    <m/>
    <m/>
    <m/>
    <m/>
    <m/>
    <m/>
    <m/>
    <m/>
    <m/>
    <m/>
    <m/>
    <m/>
    <m/>
    <m/>
    <m/>
    <m/>
    <m/>
    <m/>
    <m/>
    <m/>
    <m/>
    <m/>
    <m/>
    <m/>
    <m/>
    <m/>
    <m/>
    <m/>
    <m/>
    <m/>
    <m/>
    <m/>
    <m/>
    <m/>
  </r>
  <r>
    <x v="70"/>
    <n v="2009"/>
    <x v="12"/>
    <s v="Africa"/>
    <m/>
    <s v="Mining"/>
    <s v="yes"/>
    <s v="no"/>
    <s v="no"/>
    <s v="Gold"/>
    <s v="detailed"/>
    <s v="detailed Mining"/>
    <n v="2568297.8131746789"/>
    <m/>
    <m/>
    <m/>
    <m/>
    <s v="toz"/>
    <n v="1063.3544503250037"/>
    <s v="US$/toz"/>
    <s v="Volume from USGS Mineral Yearbook 2011.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
    <n v="2731010909.3992696"/>
    <m/>
    <m/>
    <m/>
    <n v="103065649.33333333"/>
    <n v="103067401.38095237"/>
    <m/>
    <m/>
    <m/>
    <n v="3.7739010480922722E-2"/>
    <m/>
    <m/>
    <m/>
    <m/>
    <m/>
    <m/>
    <m/>
    <n v="8"/>
    <s v="Anglogold Ashanti-Obuasi, Anglogold Ashanti-Iduaprim, GSR (Prestea/Bogosu), Gold Fields (Ghana) Ltd-Tarkwa, Abosso Goldfields Ltd, GSR(Wassa) Ltd, Chirano Goldmines, Newmont (Ghana) Ltd"/>
    <n v="8"/>
    <m/>
    <m/>
    <m/>
    <m/>
    <s v="15"/>
    <m/>
    <m/>
    <m/>
    <m/>
    <m/>
    <m/>
    <m/>
    <m/>
    <m/>
    <m/>
    <m/>
    <m/>
    <m/>
    <m/>
    <m/>
    <m/>
    <m/>
    <m/>
    <m/>
    <m/>
    <m/>
  </r>
  <r>
    <x v="70"/>
    <n v="2009"/>
    <x v="12"/>
    <s v="Africa"/>
    <m/>
    <s v="Mining"/>
    <s v="yes"/>
    <s v="no"/>
    <s v="no"/>
    <s v="Manganese"/>
    <s v="detailed"/>
    <s v="detailed Mining"/>
    <m/>
    <m/>
    <m/>
    <m/>
    <m/>
    <m/>
    <n v="7.95"/>
    <s v="US$/t"/>
    <s v="Price from USGS Mineral Commodity Summary 2013, and is the c.i.f. price at US ports for metallurgical ore with 46-48% manganese content. "/>
    <n v="1971.6000000000001"/>
    <m/>
    <m/>
    <m/>
    <n v="8342782"/>
    <n v="8342782"/>
    <m/>
    <m/>
    <m/>
    <n v="4231.4779874213837"/>
    <m/>
    <m/>
    <m/>
    <m/>
    <m/>
    <m/>
    <m/>
    <n v="1"/>
    <s v="Ghana Manganese Ltd"/>
    <n v="1"/>
    <m/>
    <m/>
    <m/>
    <m/>
    <s v="15"/>
    <m/>
    <m/>
    <m/>
    <m/>
    <m/>
    <m/>
    <m/>
    <m/>
    <m/>
    <m/>
    <m/>
    <m/>
    <m/>
    <m/>
    <m/>
    <m/>
    <m/>
    <m/>
    <m/>
    <m/>
    <m/>
  </r>
  <r>
    <x v="70"/>
    <n v="2009"/>
    <x v="12"/>
    <s v="Africa"/>
    <m/>
    <s v="Mining"/>
    <s v="yes"/>
    <s v="no"/>
    <s v="no"/>
    <s v="o/w Manganese ore (processed)"/>
    <s v="detailed"/>
    <s v="detailed Mining"/>
    <n v="882"/>
    <m/>
    <m/>
    <m/>
    <m/>
    <s v="t"/>
    <m/>
    <m/>
    <s v="Volume from USGS Mineral Yearbook 2011"/>
    <m/>
    <m/>
    <m/>
    <m/>
    <m/>
    <m/>
    <m/>
    <m/>
    <m/>
    <m/>
    <m/>
    <m/>
    <m/>
    <m/>
    <m/>
    <m/>
    <m/>
    <m/>
    <m/>
    <m/>
    <m/>
    <m/>
    <m/>
    <m/>
    <m/>
    <m/>
    <m/>
    <m/>
    <m/>
    <m/>
    <m/>
    <m/>
    <m/>
    <m/>
    <m/>
    <m/>
    <m/>
    <m/>
    <m/>
    <m/>
    <m/>
    <m/>
    <m/>
    <m/>
    <m/>
    <m/>
  </r>
  <r>
    <x v="70"/>
    <n v="2009"/>
    <x v="12"/>
    <s v="Africa"/>
    <m/>
    <s v="Mining"/>
    <s v="yes"/>
    <s v="no"/>
    <s v="no"/>
    <s v="o/w Manganese content"/>
    <s v="detailed"/>
    <s v="detailed Mining"/>
    <n v="248"/>
    <m/>
    <m/>
    <m/>
    <m/>
    <s v="t"/>
    <m/>
    <m/>
    <s v="Volume from USGS Mineral Yearbook 2011"/>
    <m/>
    <m/>
    <m/>
    <m/>
    <m/>
    <m/>
    <m/>
    <m/>
    <m/>
    <m/>
    <m/>
    <m/>
    <m/>
    <m/>
    <m/>
    <m/>
    <m/>
    <m/>
    <m/>
    <m/>
    <m/>
    <m/>
    <m/>
    <m/>
    <m/>
    <m/>
    <m/>
    <m/>
    <m/>
    <m/>
    <m/>
    <m/>
    <m/>
    <m/>
    <m/>
    <m/>
    <m/>
    <m/>
    <m/>
    <m/>
    <m/>
    <m/>
    <m/>
    <m/>
    <m/>
    <m/>
  </r>
  <r>
    <x v="70"/>
    <n v="2009"/>
    <x v="12"/>
    <s v="Africa"/>
    <m/>
    <s v="Mining"/>
    <s v="yes"/>
    <s v="no"/>
    <s v="no"/>
    <s v="Salt"/>
    <s v="detailed"/>
    <s v="detailed Mining"/>
    <n v="250"/>
    <m/>
    <m/>
    <m/>
    <m/>
    <s v="t"/>
    <n v="73.67"/>
    <s v="US$/t"/>
    <s v="Volume from USGS Mineral Yearbook 2011. Price from USGS Mineral Commodity Summary 2013, and is the average f.o.b. mine and plant price for bulk, pellets and packaged vacuum and open pan salt, solar salt, rock salt and salt in brine."/>
    <n v="18417.5"/>
    <m/>
    <m/>
    <m/>
    <m/>
    <m/>
    <m/>
    <m/>
    <m/>
    <m/>
    <m/>
    <m/>
    <m/>
    <m/>
    <m/>
    <m/>
    <m/>
    <m/>
    <m/>
    <m/>
    <m/>
    <m/>
    <m/>
    <m/>
    <m/>
    <m/>
    <m/>
    <m/>
    <m/>
    <m/>
    <m/>
    <m/>
    <m/>
    <m/>
    <m/>
    <m/>
    <m/>
    <m/>
    <m/>
    <m/>
    <m/>
    <m/>
    <m/>
    <m/>
    <m/>
    <m/>
  </r>
  <r>
    <x v="70"/>
    <n v="2009"/>
    <x v="12"/>
    <s v="Africa"/>
    <m/>
    <s v="Mining"/>
    <s v="yes"/>
    <s v="no"/>
    <s v="no"/>
    <s v="Silver"/>
    <s v="detailed"/>
    <s v="detailed Mining"/>
    <n v="126288.11900091557"/>
    <m/>
    <m/>
    <m/>
    <m/>
    <s v="toz"/>
    <n v="14.64353333333"/>
    <s v="US$/toz"/>
    <s v="Volume from USGS Mineral Yearbook 2011. Price from World Bank (Global Economic Monitor (GEM) Commodities database), and is defined as: Silver (Handy &amp; Harman), 99.9% grade refined, New York."/>
    <n v="1849304.2801934527"/>
    <m/>
    <m/>
    <m/>
    <m/>
    <m/>
    <m/>
    <m/>
    <m/>
    <m/>
    <m/>
    <m/>
    <m/>
    <m/>
    <m/>
    <m/>
    <m/>
    <m/>
    <m/>
    <m/>
    <m/>
    <m/>
    <m/>
    <m/>
    <m/>
    <m/>
    <m/>
    <m/>
    <m/>
    <m/>
    <m/>
    <m/>
    <m/>
    <m/>
    <m/>
    <m/>
    <m/>
    <m/>
    <m/>
    <m/>
    <m/>
    <m/>
    <m/>
    <m/>
    <m/>
    <m/>
  </r>
  <r>
    <x v="71"/>
    <n v="2010"/>
    <x v="12"/>
    <s v="Africa"/>
    <s v="http://www.gheiti.gov.gh/"/>
    <s v="Oil, Gas, Mining"/>
    <s v="yes"/>
    <s v="yes"/>
    <s v="yes"/>
    <s v="Total"/>
    <s v="Total"/>
    <s v="Total Oil, Gas, Mining"/>
    <m/>
    <m/>
    <m/>
    <m/>
    <m/>
    <m/>
    <m/>
    <m/>
    <m/>
    <n v="3547091405.7024431"/>
    <s v="State-owned company production entitlement, Profits/Taxes, Royalties, Dividends, Licenses and concessions, Other significant benefits to government"/>
    <s v="Does not include payments made in-kind"/>
    <s v="-"/>
    <n v="212460480"/>
    <n v="192644934"/>
    <m/>
    <m/>
    <m/>
    <n v="5.9897097565188261E-2"/>
    <s v="United States Dollar and Ghana Cedi"/>
    <n v="1.41"/>
    <s v="Disaggregated by revenue stream, Disaggregated by commodity, Disaggregated by company, Disaggregated by company and revenue stream, Disaggregated by commodity and revenue stream"/>
    <m/>
    <m/>
    <m/>
    <m/>
    <n v="18"/>
    <s v="Anglogold Ashanti-Obuasi, Anglogold Ashanti-Iduaprim, Adamus Resources Ltd, GSR (Prestea/Bogosu), Gold Fields (Ghana) Ltd-Tarkwa, Abosso Goldfields Ltd, GSR(Wassa) Ltd, Chirano Goldmines, Newmont (Ghana) Ltd, Ghana Manganese Ltd, Ghana Bauxite Co. Ltd, Tullow (Ghana) Limited, Kosmos Energy Ghana HC, Ghana National Petroleum Corporation (GNPC), Saltpond Oil Fields, Anadarko (Ghana) Limited, Sabre Oil and Gas Holdings Ltd, E.O. Group Ltd"/>
    <n v="18"/>
    <s v="February 2013"/>
    <d v="2014-09-10T00:00:00"/>
    <s v="Boas &amp; Associates"/>
    <s v="http://eiti.org/files/Ghana-2010-2011-EITI-Report.pdf; http://eiti.org/files/Ghana-2010-2011-Oil%26Gas-EITI-Report.pdf"/>
    <s v="31 (of oil &amp; gas report), 19 (of mining report)"/>
    <s v="The report uses US dollars for payments by oil companies, and the local currency, the Ghana Cedi, for payments by mining companies. Materiality threshold: All oil &amp; gas comapnies operating in the Jubilee and Saltpond field should be reconciled; the largest mining companies which paid 99% of mineral royalties in 2010 should be reconciled. The report doesn't distinguish between oil and gas producers. Oil and gas payments are only comprehensively disaggregated by revenue stream. Resolved discrepancies are not included in the final figures for mining payments, but there is insufficent information to add these retrospectively. Unilateral declarations do not appear to be included in the figures. The Ghana National Petroleum Corporation is a SOC engaged in the in exploration, production and disposal of petroleum products. The report also includes: company and project costs; the pricing mechanism for oil; the expenditure of extractive industry revenues."/>
    <m/>
    <m/>
    <m/>
    <m/>
    <m/>
    <m/>
    <m/>
    <m/>
    <m/>
    <m/>
    <m/>
    <m/>
    <m/>
    <m/>
    <m/>
    <m/>
    <m/>
    <m/>
    <m/>
    <m/>
  </r>
  <r>
    <x v="71"/>
    <n v="2010"/>
    <x v="12"/>
    <s v="Africa"/>
    <m/>
    <s v="Oil, Gas"/>
    <s v="no"/>
    <s v="yes"/>
    <s v="yes"/>
    <s v="Total Oil &amp; Gas"/>
    <s v="Total"/>
    <s v="Total Oil, Gas"/>
    <m/>
    <m/>
    <m/>
    <m/>
    <m/>
    <m/>
    <m/>
    <m/>
    <m/>
    <n v="253323844.86088243"/>
    <m/>
    <m/>
    <m/>
    <n v="422252"/>
    <n v="428281"/>
    <m/>
    <m/>
    <m/>
    <n v="1.6668466414280411E-3"/>
    <m/>
    <m/>
    <m/>
    <m/>
    <m/>
    <m/>
    <m/>
    <n v="7"/>
    <s v="Tullow (Ghana) Limited, Kosmos Energy Ghana HC, Ghana National Petroleum Corporation (GNPC), Saltpond Oil Fields, Anadarko (Ghana) Limited, Sabre Oil and Gas Holdings Ltd, E.O. Group Ltd"/>
    <n v="7"/>
    <m/>
    <m/>
    <m/>
    <m/>
    <s v="31 (of oil &amp; gas report)"/>
    <m/>
    <m/>
    <m/>
    <m/>
    <m/>
    <m/>
    <m/>
    <m/>
    <m/>
    <m/>
    <m/>
    <m/>
    <m/>
    <m/>
    <m/>
    <m/>
    <m/>
    <m/>
    <m/>
    <m/>
    <m/>
  </r>
  <r>
    <x v="71"/>
    <n v="2010"/>
    <x v="12"/>
    <s v="Africa"/>
    <m/>
    <s v="Gas"/>
    <s v="no"/>
    <s v="yes"/>
    <s v="no"/>
    <s v="Gas"/>
    <s v="detailed"/>
    <s v="detailed Gas"/>
    <n v="254851200"/>
    <m/>
    <m/>
    <m/>
    <m/>
    <s v="m³"/>
    <n v="0.1741077336927683"/>
    <s v="US$/m³"/>
    <s v="Volume from EIA. Price from BPSR 2014, and is an average of the UK, US and Canada Indices for natural gas."/>
    <n v="44371564.860882431"/>
    <m/>
    <m/>
    <m/>
    <m/>
    <m/>
    <m/>
    <m/>
    <m/>
    <m/>
    <m/>
    <m/>
    <m/>
    <m/>
    <m/>
    <m/>
    <m/>
    <m/>
    <m/>
    <m/>
    <m/>
    <m/>
    <m/>
    <m/>
    <m/>
    <m/>
    <m/>
    <m/>
    <m/>
    <m/>
    <m/>
    <m/>
    <m/>
    <m/>
    <m/>
    <m/>
    <m/>
    <m/>
    <m/>
    <m/>
    <m/>
    <m/>
    <m/>
    <m/>
    <m/>
    <m/>
  </r>
  <r>
    <x v="71"/>
    <n v="2010"/>
    <x v="12"/>
    <s v="Africa"/>
    <m/>
    <s v="Oil"/>
    <s v="no"/>
    <s v="no"/>
    <s v="yes"/>
    <s v="Oil"/>
    <s v="detailed"/>
    <s v="detailed Oil"/>
    <n v="2628000"/>
    <m/>
    <m/>
    <m/>
    <m/>
    <s v="bbl"/>
    <n v="79.510000000000005"/>
    <s v="US$/bbl"/>
    <s v="Volume from EIA. Price from BPSR 2014, and is an average of the spot prices for Brent, Dubai, Nigerian Forcados and West Texas Intermediate crude oil."/>
    <n v="208952280"/>
    <m/>
    <m/>
    <m/>
    <m/>
    <m/>
    <m/>
    <m/>
    <m/>
    <m/>
    <m/>
    <m/>
    <m/>
    <m/>
    <m/>
    <m/>
    <m/>
    <m/>
    <m/>
    <m/>
    <m/>
    <m/>
    <m/>
    <m/>
    <m/>
    <m/>
    <m/>
    <m/>
    <m/>
    <m/>
    <m/>
    <m/>
    <m/>
    <m/>
    <m/>
    <m/>
    <m/>
    <m/>
    <m/>
    <m/>
    <m/>
    <m/>
    <m/>
    <m/>
    <m/>
    <m/>
  </r>
  <r>
    <x v="71"/>
    <n v="2010"/>
    <x v="12"/>
    <s v="Africa"/>
    <m/>
    <s v="Mining"/>
    <s v="yes"/>
    <s v="no"/>
    <s v="no"/>
    <s v="Total Mining"/>
    <s v="Total"/>
    <s v="Total Mining"/>
    <m/>
    <m/>
    <m/>
    <m/>
    <m/>
    <m/>
    <m/>
    <m/>
    <m/>
    <n v="3293767560.8415608"/>
    <m/>
    <m/>
    <m/>
    <n v="212038228"/>
    <n v="192216653"/>
    <m/>
    <m/>
    <m/>
    <n v="6.4375589376994169E-2"/>
    <m/>
    <m/>
    <m/>
    <m/>
    <m/>
    <m/>
    <m/>
    <n v="11"/>
    <s v="Anglogold Ashanti-Obuasi, Anglogold Ashanti-Iduaprim, Adamus Resources Ltd, GSR (Prestea/Bogosu), Gold Fields (Ghana) Ltd-Tarkwa, Abosso Goldfields Ltd, GSR(Wassa) Ltd, Chirano Goldmines, Newmont (Ghana) Ltd, Ghana Manganese Ltd, Ghana Bauxite Co. Ltd"/>
    <n v="11"/>
    <m/>
    <m/>
    <m/>
    <m/>
    <s v="19 (of mining report)"/>
    <m/>
    <m/>
    <m/>
    <m/>
    <m/>
    <m/>
    <m/>
    <m/>
    <m/>
    <m/>
    <m/>
    <m/>
    <m/>
    <m/>
    <m/>
    <m/>
    <m/>
    <m/>
    <m/>
    <m/>
    <m/>
  </r>
  <r>
    <x v="71"/>
    <n v="2010"/>
    <x v="12"/>
    <s v="Africa"/>
    <m/>
    <s v="Mining"/>
    <s v="yes"/>
    <s v="no"/>
    <s v="no"/>
    <s v="Bauxite"/>
    <s v="detailed"/>
    <s v="detailed Mining"/>
    <n v="595"/>
    <m/>
    <m/>
    <m/>
    <m/>
    <s v="t"/>
    <n v="29.41"/>
    <s v="US$/t"/>
    <s v="Volume from USGS Mineral Yearbook 2011. Price from USGS Mineral Yearbook 2010, and is the average f.a.s. price of US imports of crude and dried bauxite."/>
    <n v="17498.95"/>
    <m/>
    <m/>
    <m/>
    <n v="733208"/>
    <n v="741418"/>
    <m/>
    <m/>
    <m/>
    <n v="41.900114006840411"/>
    <m/>
    <m/>
    <m/>
    <m/>
    <m/>
    <m/>
    <m/>
    <n v="1"/>
    <s v="Ghana Bauxite Co. Ltd"/>
    <n v="1"/>
    <m/>
    <m/>
    <m/>
    <m/>
    <s v="19 (of mining report)"/>
    <m/>
    <m/>
    <m/>
    <m/>
    <m/>
    <m/>
    <m/>
    <m/>
    <m/>
    <m/>
    <m/>
    <m/>
    <m/>
    <m/>
    <m/>
    <m/>
    <m/>
    <m/>
    <m/>
    <m/>
    <m/>
  </r>
  <r>
    <x v="71"/>
    <n v="2010"/>
    <x v="12"/>
    <s v="Africa"/>
    <m/>
    <s v="Mining"/>
    <s v="yes"/>
    <s v="no"/>
    <s v="no"/>
    <s v="Diamond"/>
    <s v="detailed"/>
    <s v="detailed Mining"/>
    <n v="334000"/>
    <m/>
    <m/>
    <m/>
    <m/>
    <s v="carats"/>
    <n v="34.58"/>
    <s v="US$/carat"/>
    <s v="Volume from USGS Mineral Yearbook 2011. Price from kimberley Process Annual Summary 2010."/>
    <n v="11549720"/>
    <m/>
    <m/>
    <m/>
    <m/>
    <m/>
    <m/>
    <m/>
    <m/>
    <m/>
    <m/>
    <m/>
    <m/>
    <m/>
    <m/>
    <m/>
    <m/>
    <m/>
    <m/>
    <m/>
    <m/>
    <m/>
    <m/>
    <m/>
    <m/>
    <m/>
    <m/>
    <m/>
    <m/>
    <m/>
    <m/>
    <m/>
    <m/>
    <m/>
    <m/>
    <m/>
    <m/>
    <m/>
    <m/>
    <m/>
    <m/>
    <m/>
    <m/>
    <m/>
    <m/>
    <m/>
  </r>
  <r>
    <x v="71"/>
    <n v="2010"/>
    <x v="12"/>
    <s v="Africa"/>
    <m/>
    <s v="Mining"/>
    <s v="yes"/>
    <s v="no"/>
    <s v="no"/>
    <s v="Gold"/>
    <s v="detailed"/>
    <s v="detailed Mining"/>
    <n v="2454130.5243324558"/>
    <m/>
    <n v="2330194.2699811482"/>
    <m/>
    <m/>
    <s v="toz"/>
    <n v="1337.4171433462554"/>
    <s v="US$/toz"/>
    <s v="Volume from USGS Mineral Yearbook 2011. Price from the Golden Star Annual Report 2011 and is for output from the Bogoso/Prestea and Wassa mines."/>
    <n v="3282196235.2515612"/>
    <m/>
    <m/>
    <m/>
    <n v="203397829"/>
    <n v="183571999"/>
    <m/>
    <m/>
    <m/>
    <n v="6.1970039090124891E-2"/>
    <m/>
    <m/>
    <m/>
    <m/>
    <m/>
    <m/>
    <m/>
    <n v="9"/>
    <s v="Anglogold Ashanti-Obuasi, Anglogold Ashanti-Iduaprim, Adamus Resources Ltd, GSR (Prestea/Bogosu), Gold Fields (Ghana) Ltd-Tarkwa, Abosso Goldfields Ltd, GSR(Wassa) Ltd, Chirano Goldmines, Newmont (Ghana) Ltd"/>
    <n v="9"/>
    <m/>
    <m/>
    <m/>
    <m/>
    <s v="14, 19 (of mining report)"/>
    <s v="The production volume by the covered companies does not include Adamus Resources."/>
    <m/>
    <m/>
    <m/>
    <m/>
    <m/>
    <m/>
    <m/>
    <m/>
    <m/>
    <m/>
    <m/>
    <m/>
    <m/>
    <m/>
    <m/>
    <m/>
    <m/>
    <m/>
    <m/>
    <m/>
  </r>
  <r>
    <x v="71"/>
    <n v="2010"/>
    <x v="12"/>
    <s v="Africa"/>
    <m/>
    <s v="Mining"/>
    <s v="yes"/>
    <s v="no"/>
    <s v="no"/>
    <s v="Manganese"/>
    <s v="detailed"/>
    <s v="detailed Mining"/>
    <m/>
    <m/>
    <m/>
    <m/>
    <m/>
    <m/>
    <n v="9.64"/>
    <s v="US$/t"/>
    <s v="Price from USGS Mineral Commodity Summary 2013, and is the c.i.f. price at US ports for metallurgical ore with 46-48% manganese content. "/>
    <n v="4106.6400000000003"/>
    <m/>
    <m/>
    <m/>
    <n v="8640399"/>
    <n v="8644654"/>
    <m/>
    <m/>
    <m/>
    <n v="2104.0069253696452"/>
    <m/>
    <m/>
    <m/>
    <m/>
    <m/>
    <m/>
    <m/>
    <n v="1"/>
    <s v="Ghana Manganese Ltd"/>
    <n v="1"/>
    <m/>
    <m/>
    <m/>
    <m/>
    <s v="19 (of mining report)"/>
    <m/>
    <m/>
    <m/>
    <m/>
    <m/>
    <m/>
    <m/>
    <m/>
    <m/>
    <m/>
    <m/>
    <m/>
    <m/>
    <m/>
    <m/>
    <m/>
    <m/>
    <m/>
    <m/>
    <m/>
    <m/>
  </r>
  <r>
    <x v="71"/>
    <n v="2010"/>
    <x v="12"/>
    <s v="Africa"/>
    <m/>
    <s v="Mining"/>
    <s v="yes"/>
    <s v="no"/>
    <s v="no"/>
    <s v="o/w Manganese ore (processed)"/>
    <s v="detailed"/>
    <s v="detailed Mining"/>
    <n v="1529"/>
    <m/>
    <m/>
    <m/>
    <m/>
    <s v="t"/>
    <m/>
    <m/>
    <s v="Volume from USGS Mineral Yearbook 2011"/>
    <m/>
    <m/>
    <m/>
    <m/>
    <m/>
    <m/>
    <m/>
    <m/>
    <m/>
    <m/>
    <m/>
    <m/>
    <m/>
    <m/>
    <m/>
    <m/>
    <m/>
    <m/>
    <m/>
    <m/>
    <m/>
    <m/>
    <m/>
    <m/>
    <m/>
    <m/>
    <m/>
    <m/>
    <m/>
    <m/>
    <m/>
    <m/>
    <m/>
    <m/>
    <m/>
    <m/>
    <m/>
    <m/>
    <m/>
    <m/>
    <m/>
    <m/>
    <m/>
    <m/>
    <m/>
    <m/>
  </r>
  <r>
    <x v="71"/>
    <n v="2010"/>
    <x v="12"/>
    <s v="Africa"/>
    <m/>
    <s v="Mining"/>
    <s v="yes"/>
    <s v="no"/>
    <s v="no"/>
    <s v="o/w Manganese content"/>
    <s v="detailed"/>
    <s v="detailed Mining"/>
    <n v="426"/>
    <m/>
    <m/>
    <m/>
    <m/>
    <s v="t"/>
    <m/>
    <m/>
    <s v="Volume from USGS Mineral Yearbook 2011"/>
    <m/>
    <m/>
    <m/>
    <m/>
    <m/>
    <m/>
    <m/>
    <m/>
    <m/>
    <m/>
    <m/>
    <m/>
    <m/>
    <m/>
    <m/>
    <m/>
    <m/>
    <m/>
    <m/>
    <m/>
    <m/>
    <m/>
    <m/>
    <m/>
    <m/>
    <m/>
    <m/>
    <m/>
    <m/>
    <m/>
    <m/>
    <m/>
    <m/>
    <m/>
    <m/>
    <m/>
    <m/>
    <m/>
    <m/>
    <m/>
    <m/>
    <m/>
    <m/>
    <m/>
    <m/>
    <m/>
  </r>
  <r>
    <x v="72"/>
    <n v="2011"/>
    <x v="12"/>
    <s v="Africa"/>
    <s v="http://www.gheiti.gov.gh/"/>
    <s v="Oil, Gas, Mining"/>
    <s v="yes"/>
    <s v="yes"/>
    <s v="yes"/>
    <s v="Total"/>
    <s v="Total"/>
    <s v="Total Oil, Gas, Mining"/>
    <m/>
    <m/>
    <m/>
    <m/>
    <m/>
    <m/>
    <m/>
    <m/>
    <m/>
    <n v="7840453223.2120953"/>
    <s v="State-owned company production entitlement, Profits/Taxes, Royalties, Dividends, Licenses and concessions, Other significant benefits to government"/>
    <s v="Also covers payments made in-kind"/>
    <s v="No"/>
    <n v="942698326.41000009"/>
    <n v="897711128"/>
    <m/>
    <m/>
    <m/>
    <n v="0.12023518278498105"/>
    <s v="United States Dollar and Ghana Cedi"/>
    <n v="1.41"/>
    <s v="Disaggregated by revenue stream, Disaggregated by commodity, Disaggregated by company, Disaggregated by company and revenue stream, Disaggregated by commodity and revenue stream"/>
    <s v="3,930,189 bbl of oil"/>
    <n v="444124723.69"/>
    <m/>
    <m/>
    <n v="18"/>
    <s v="Anglogold Ashanti-Obuasi, Anglogold Ashanti-Iduaprim, Adamus Resources Ltd, GSR (Prestea/Bogosu), Gold Fields (Ghana) Ltd-Tarkwa, Abosso Goldfields Ltd, GSR(Wassa) Ltd, Chirano Goldmines, Newmont (Ghana) Ltd, Ghana Manganese Ltd, Ghana Bauxite Co. Ltd, Tullow (Ghana) Limited, Kosmos Energy Ghana HC, Ghana National Petroleum Corporation (GNPC), Saltpond Oil Fields, Anadarko (Ghana) Limited, Sabre Oil and Gas Holdings Ltd, E.O. Group Ltd"/>
    <n v="18"/>
    <s v="February 2013"/>
    <d v="2014-09-14T00:00:00"/>
    <s v="Boas &amp; Associates"/>
    <s v="http://eiti.org/files/Ghana-2010-2011-EITI-Report.pdf; http://eiti.org/files/Ghana-2010-2011-Oil%26Gas-EITI-Report.pdf"/>
    <s v="25, 31 (of oil &amp; gas report), 29 (of mining report)"/>
    <s v="The report uses US dollars for payments by oil companies, and the local currency, the Ghana Cedi, for payments by mining companies. Materiality threshold: All oil &amp; gas comapnies operating in the Jubilee and Saltpond field should be reconciled; the largest mining companies which paid 99% of mineral royalties in 2011 should be reconciled. The report doesn't distinguish between oil and gas producers. Oil and gas payments are only comprehensively disaggregated by revenue stream. Resolved discrepancies are not included in the final figures for mining payments, but there is insufficent information to add these retrospectively. Unilateral declarations do not appear to be included in the figures. Almost 100% of oil payments were made in kind, with the average barrel of oil being valued at $113. The Ghana National Petroleum Corporation is a SOC engaged in the in exploration, production and disposal of petroleum products. The report also includes: company and project costs; the pricing mechanism for oil; the expenditure of extractive industry revenues."/>
    <m/>
    <m/>
    <m/>
    <m/>
    <m/>
    <m/>
    <m/>
    <m/>
    <m/>
    <m/>
    <m/>
    <m/>
    <m/>
    <m/>
    <m/>
    <m/>
    <m/>
    <m/>
    <m/>
    <m/>
  </r>
  <r>
    <x v="72"/>
    <n v="2011"/>
    <x v="12"/>
    <s v="Africa"/>
    <m/>
    <s v="Oil, Gas"/>
    <s v="no"/>
    <s v="yes"/>
    <s v="yes"/>
    <s v="Total Oil &amp; Gas"/>
    <s v="Total"/>
    <s v="Total Oil, Gas"/>
    <m/>
    <m/>
    <m/>
    <m/>
    <m/>
    <m/>
    <m/>
    <m/>
    <m/>
    <n v="3246577008.6277413"/>
    <m/>
    <m/>
    <m/>
    <n v="444350554.41000003"/>
    <n v="444351020"/>
    <m/>
    <m/>
    <m/>
    <n v="0.13686740010452347"/>
    <m/>
    <m/>
    <m/>
    <s v="3,930,189 bbl of oil"/>
    <n v="444124723.69"/>
    <m/>
    <m/>
    <n v="7"/>
    <s v="Tullow (Ghana) Limited, Kosmos Energy Ghana HC, Ghana National Petroleum Corporation (GNPC), Saltpond Oil Fields, Anadarko (Ghana) Limited, Sabre Oil and Gas Holdings Ltd, E.O. Group Ltd"/>
    <n v="7"/>
    <m/>
    <m/>
    <m/>
    <m/>
    <s v="25, 31 (of oil &amp; gas report)"/>
    <m/>
    <m/>
    <m/>
    <m/>
    <m/>
    <m/>
    <m/>
    <m/>
    <m/>
    <m/>
    <m/>
    <m/>
    <m/>
    <m/>
    <m/>
    <m/>
    <m/>
    <m/>
    <m/>
    <m/>
    <m/>
  </r>
  <r>
    <x v="72"/>
    <n v="2011"/>
    <x v="12"/>
    <s v="Africa"/>
    <m/>
    <s v="Gas"/>
    <s v="no"/>
    <s v="yes"/>
    <s v="no"/>
    <s v="Gas"/>
    <s v="detailed"/>
    <s v="detailed Gas"/>
    <n v="453068800"/>
    <m/>
    <m/>
    <m/>
    <m/>
    <s v="m³"/>
    <n v="0.19666043794616025"/>
    <s v="US$/m³"/>
    <s v="Volume from EIA. Price from BPSR 2014, and is an average of the UK, US and Canada Indices for natural gas."/>
    <n v="89100708.627741292"/>
    <m/>
    <m/>
    <m/>
    <m/>
    <m/>
    <m/>
    <m/>
    <m/>
    <m/>
    <m/>
    <m/>
    <m/>
    <m/>
    <m/>
    <m/>
    <m/>
    <m/>
    <m/>
    <m/>
    <m/>
    <m/>
    <m/>
    <m/>
    <m/>
    <m/>
    <m/>
    <m/>
    <m/>
    <m/>
    <m/>
    <m/>
    <m/>
    <m/>
    <m/>
    <m/>
    <m/>
    <m/>
    <m/>
    <m/>
    <m/>
    <m/>
    <m/>
    <m/>
    <m/>
    <m/>
  </r>
  <r>
    <x v="72"/>
    <n v="2011"/>
    <x v="12"/>
    <s v="Africa"/>
    <m/>
    <s v="Oil"/>
    <s v="no"/>
    <s v="no"/>
    <s v="yes"/>
    <s v="Oil"/>
    <s v="detailed"/>
    <s v="detailed Oil"/>
    <n v="27922500"/>
    <m/>
    <m/>
    <m/>
    <m/>
    <s v="bbl"/>
    <n v="113.08"/>
    <s v="US$/bbl"/>
    <s v="Volume from EIA. Price from BPSR 2014, and is an average of the spot prices for Brent, Dubai, Nigerian Forcados and West Texas Intermediate crude oil."/>
    <n v="3157476300"/>
    <m/>
    <m/>
    <m/>
    <m/>
    <m/>
    <m/>
    <m/>
    <m/>
    <m/>
    <m/>
    <m/>
    <m/>
    <m/>
    <m/>
    <m/>
    <m/>
    <m/>
    <m/>
    <m/>
    <m/>
    <m/>
    <m/>
    <m/>
    <s v="21 (of oil &amp; gas report)"/>
    <m/>
    <m/>
    <m/>
    <m/>
    <m/>
    <m/>
    <m/>
    <m/>
    <m/>
    <m/>
    <m/>
    <m/>
    <m/>
    <m/>
    <m/>
    <m/>
    <m/>
    <m/>
    <m/>
    <m/>
    <m/>
  </r>
  <r>
    <x v="72"/>
    <n v="2011"/>
    <x v="12"/>
    <s v="Africa"/>
    <m/>
    <s v="Mining"/>
    <s v="yes"/>
    <s v="no"/>
    <s v="no"/>
    <s v="Total Mining"/>
    <s v="Total"/>
    <s v="Total Mining"/>
    <m/>
    <m/>
    <m/>
    <m/>
    <m/>
    <m/>
    <m/>
    <m/>
    <m/>
    <n v="4593876214.5843534"/>
    <m/>
    <m/>
    <m/>
    <n v="498347772"/>
    <n v="453360108"/>
    <m/>
    <m/>
    <m/>
    <n v="0.10848088819151817"/>
    <m/>
    <m/>
    <m/>
    <m/>
    <m/>
    <m/>
    <m/>
    <n v="11"/>
    <s v="Anglogold Ashanti-Obuasi, Anglogold Ashanti-Iduaprim, Adamus Resources Ltd, GSR (Prestea/Bogosu), Gold Fields (Ghana) Ltd-Tarkwa, Abosso Goldfields Ltd, GSR(Wassa) Ltd, Chirano Goldmines, Newmont (Ghana) Ltd, Ghana Manganese Ltd, Ghana Bauxite Co. Ltd"/>
    <n v="11"/>
    <m/>
    <m/>
    <m/>
    <m/>
    <s v="29 (of mining report)"/>
    <m/>
    <m/>
    <m/>
    <m/>
    <m/>
    <m/>
    <m/>
    <m/>
    <m/>
    <m/>
    <m/>
    <m/>
    <m/>
    <m/>
    <m/>
    <m/>
    <m/>
    <m/>
    <m/>
    <m/>
    <m/>
  </r>
  <r>
    <x v="72"/>
    <n v="2011"/>
    <x v="12"/>
    <s v="Africa"/>
    <m/>
    <s v="Mining"/>
    <s v="yes"/>
    <s v="no"/>
    <s v="no"/>
    <s v="Bauxite"/>
    <s v="detailed"/>
    <s v="detailed Mining"/>
    <n v="408"/>
    <m/>
    <m/>
    <m/>
    <m/>
    <s v="t"/>
    <n v="30.49"/>
    <s v="US$/t"/>
    <s v="Volume from USGS Mineral Yearbook 2011. Price from USGS Mineral Yearbook 2012, and is the average f.a.s. price of US imports of crude and dried bauxite."/>
    <n v="12439.92"/>
    <m/>
    <m/>
    <m/>
    <n v="489265"/>
    <n v="497474"/>
    <m/>
    <m/>
    <m/>
    <n v="39.330236850397753"/>
    <m/>
    <m/>
    <m/>
    <m/>
    <m/>
    <m/>
    <m/>
    <n v="1"/>
    <s v="Ghana Bauxite Co. Ltd"/>
    <n v="1"/>
    <m/>
    <m/>
    <m/>
    <m/>
    <s v="29 (of mining report)"/>
    <m/>
    <m/>
    <m/>
    <m/>
    <m/>
    <m/>
    <m/>
    <m/>
    <m/>
    <m/>
    <m/>
    <m/>
    <m/>
    <m/>
    <m/>
    <m/>
    <m/>
    <m/>
    <m/>
    <m/>
    <m/>
  </r>
  <r>
    <x v="72"/>
    <n v="2011"/>
    <x v="12"/>
    <s v="Africa"/>
    <m/>
    <s v="Mining"/>
    <s v="yes"/>
    <s v="no"/>
    <s v="no"/>
    <s v="Diamond"/>
    <s v="detailed"/>
    <s v="detailed Mining"/>
    <n v="302000"/>
    <m/>
    <m/>
    <m/>
    <m/>
    <s v="carats"/>
    <n v="50.54"/>
    <s v="US$/carat"/>
    <s v="Volume from USGS Mineral Yearbook 2011. Price from kimberley Process Annual Summary 2011."/>
    <n v="15263080"/>
    <m/>
    <m/>
    <m/>
    <m/>
    <m/>
    <m/>
    <m/>
    <m/>
    <m/>
    <m/>
    <m/>
    <m/>
    <m/>
    <m/>
    <m/>
    <m/>
    <m/>
    <m/>
    <m/>
    <m/>
    <m/>
    <m/>
    <m/>
    <m/>
    <m/>
    <m/>
    <m/>
    <m/>
    <m/>
    <m/>
    <m/>
    <m/>
    <m/>
    <m/>
    <m/>
    <m/>
    <m/>
    <m/>
    <m/>
    <m/>
    <m/>
    <m/>
    <m/>
    <m/>
    <m/>
  </r>
  <r>
    <x v="72"/>
    <n v="2011"/>
    <x v="12"/>
    <s v="Africa"/>
    <m/>
    <s v="Mining"/>
    <s v="yes"/>
    <s v="no"/>
    <s v="no"/>
    <s v="Gold"/>
    <s v="detailed"/>
    <s v="detailed Mining"/>
    <n v="2668286.6242981125"/>
    <m/>
    <n v="2427161.5876540192"/>
    <m/>
    <m/>
    <s v="toz"/>
    <n v="1715.9314291989692"/>
    <s v="US$/toz"/>
    <s v="Volume from USGS Mineral Yearbook 2011. Price from the Golden Star Annual Report 2011 and is for output from the Bogoso/Prestea and Wassa mines."/>
    <n v="4578596880.7443533"/>
    <n v="1.0928722585915764"/>
    <m/>
    <m/>
    <n v="462115969"/>
    <n v="437484699"/>
    <m/>
    <m/>
    <m/>
    <n v="0.10092960377085496"/>
    <m/>
    <m/>
    <m/>
    <m/>
    <m/>
    <m/>
    <m/>
    <n v="9"/>
    <s v="Anglogold Ashanti-Obuasi, Anglogold Ashanti-Iduaprim, Adamus Resources Ltd, GSR (Prestea/Bogosu), Gold Fields (Ghana) Ltd-Tarkwa, Abosso Goldfields Ltd, GSR(Wassa) Ltd, Chirano Goldmines, Newmont (Ghana) Ltd"/>
    <n v="9"/>
    <m/>
    <m/>
    <m/>
    <m/>
    <s v="14, 29 (of mining report)"/>
    <m/>
    <m/>
    <m/>
    <m/>
    <m/>
    <m/>
    <m/>
    <m/>
    <m/>
    <m/>
    <m/>
    <m/>
    <m/>
    <m/>
    <m/>
    <m/>
    <m/>
    <m/>
    <m/>
    <m/>
    <m/>
  </r>
  <r>
    <x v="72"/>
    <n v="2011"/>
    <x v="12"/>
    <s v="Africa"/>
    <m/>
    <s v="Mining"/>
    <s v="yes"/>
    <s v="no"/>
    <s v="no"/>
    <s v="Manganese"/>
    <s v="detailed"/>
    <s v="detailed Mining"/>
    <m/>
    <m/>
    <m/>
    <m/>
    <m/>
    <m/>
    <n v="7.88"/>
    <s v="US$/t"/>
    <s v="Price from USGS Mineral Commodity Summary 2013, and is the c.i.f. price at US ports for metallurgical ore with 46-48% manganese content. "/>
    <n v="3813.92"/>
    <m/>
    <m/>
    <m/>
    <n v="35742538"/>
    <n v="15377935"/>
    <m/>
    <m/>
    <m/>
    <n v="9371.601396987875"/>
    <m/>
    <m/>
    <m/>
    <m/>
    <m/>
    <m/>
    <m/>
    <n v="1"/>
    <s v="Ghana Manganese Ltd"/>
    <n v="1"/>
    <m/>
    <m/>
    <m/>
    <m/>
    <s v="29 (of mining report)"/>
    <m/>
    <m/>
    <m/>
    <m/>
    <m/>
    <m/>
    <m/>
    <m/>
    <m/>
    <m/>
    <m/>
    <m/>
    <m/>
    <m/>
    <m/>
    <m/>
    <m/>
    <m/>
    <m/>
    <m/>
    <m/>
  </r>
  <r>
    <x v="72"/>
    <n v="2011"/>
    <x v="12"/>
    <s v="Africa"/>
    <m/>
    <s v="Mining"/>
    <s v="yes"/>
    <s v="no"/>
    <s v="no"/>
    <s v="o/w Manganese ore (processed)"/>
    <s v="detailed"/>
    <s v="detailed Mining"/>
    <n v="1729"/>
    <m/>
    <m/>
    <m/>
    <m/>
    <s v="t"/>
    <m/>
    <m/>
    <s v="Volume from USGS Mineral Yearbook 2011"/>
    <m/>
    <m/>
    <m/>
    <m/>
    <m/>
    <m/>
    <m/>
    <m/>
    <m/>
    <m/>
    <m/>
    <m/>
    <m/>
    <m/>
    <m/>
    <m/>
    <m/>
    <m/>
    <m/>
    <m/>
    <m/>
    <m/>
    <m/>
    <m/>
    <m/>
    <m/>
    <m/>
    <m/>
    <m/>
    <m/>
    <m/>
    <m/>
    <m/>
    <m/>
    <m/>
    <m/>
    <m/>
    <m/>
    <m/>
    <m/>
    <m/>
    <m/>
    <m/>
    <m/>
    <m/>
    <m/>
  </r>
  <r>
    <x v="72"/>
    <n v="2011"/>
    <x v="12"/>
    <s v="Africa"/>
    <m/>
    <s v="Mining"/>
    <s v="yes"/>
    <s v="no"/>
    <s v="no"/>
    <s v="o/w Manganese content"/>
    <s v="detailed"/>
    <s v="detailed Mining"/>
    <n v="484"/>
    <m/>
    <m/>
    <m/>
    <m/>
    <s v="t"/>
    <m/>
    <m/>
    <s v="Volume from USGS Mineral Yearbook 2011"/>
    <m/>
    <m/>
    <m/>
    <m/>
    <m/>
    <m/>
    <m/>
    <m/>
    <m/>
    <m/>
    <m/>
    <m/>
    <m/>
    <m/>
    <m/>
    <m/>
    <m/>
    <m/>
    <m/>
    <m/>
    <m/>
    <m/>
    <m/>
    <m/>
    <m/>
    <m/>
    <m/>
    <m/>
    <m/>
    <m/>
    <m/>
    <m/>
    <m/>
    <m/>
    <m/>
    <m/>
    <m/>
    <m/>
    <m/>
    <m/>
    <m/>
    <m/>
    <m/>
    <m/>
    <m/>
    <m/>
  </r>
  <r>
    <x v="73"/>
    <n v="2012"/>
    <x v="12"/>
    <s v="Africa"/>
    <s v="http://www.gheiti.gov.gh/"/>
    <s v="Oil, Mining"/>
    <m/>
    <m/>
    <m/>
    <s v="Total"/>
    <m/>
    <m/>
    <m/>
    <m/>
    <m/>
    <m/>
    <m/>
    <m/>
    <m/>
    <m/>
    <s v="Volume from EITI Report"/>
    <n v="14517340000"/>
    <s v="Host government's production entitlement, State-owned company production entitlement, Profits/Taxes, Royalties, Dividends, Other significant benefits to government"/>
    <s v="Does not include payments made in-kind"/>
    <s v="No"/>
    <n v="1112429755.6600001"/>
    <n v="1110806094.97"/>
    <m/>
    <m/>
    <m/>
    <m/>
    <s v="Ghanaian Cedi"/>
    <n v="1.95"/>
    <s v="Disaggregated by revenue stream, Disaggregated by companies"/>
    <m/>
    <m/>
    <m/>
    <m/>
    <n v="20"/>
    <s v="GNPC, Tullow, Kosmos, Saltpond, Anglogold-Obuasi, Anglogold –Iduaprim, *** (indicated as such in the report), Adamus Resources Ltd, GSR-Prestea/Bogosu, Ghana Bauxite Co., Ghana Manganese Co., Goldfields–Tarkwa, Abosso Goldfields Ltd., GSR (Wassa) Ltd., Chirano Gold Mines Ltd., Newmont Ghana Gold, Perseus Mining Co Ltd., West African Quarries Ltd."/>
    <n v="18"/>
    <s v="December 2014"/>
    <m/>
    <s v="Boas &amp; Associates"/>
    <s v="https://eiti.org/files/2012-2013_Final_Oil_and_Gas_Sector_Report_0.pdf"/>
    <m/>
    <s v="Two reports, each covering both 2012 and 2013, but split between oil and gas, and mining. Unclear report. Production volume reflects exports, not production. Mining payments originally in Cedi, recalculated to USD."/>
    <m/>
    <m/>
    <m/>
    <m/>
    <m/>
    <m/>
    <m/>
    <m/>
    <m/>
    <m/>
    <m/>
    <m/>
    <m/>
    <m/>
    <m/>
    <m/>
    <m/>
    <m/>
    <m/>
    <m/>
  </r>
  <r>
    <x v="73"/>
    <n v="2012"/>
    <x v="12"/>
    <s v="Africa"/>
    <m/>
    <s v="Oil"/>
    <m/>
    <m/>
    <m/>
    <s v="Total"/>
    <m/>
    <m/>
    <m/>
    <m/>
    <m/>
    <m/>
    <n v="26351278"/>
    <s v="bbl"/>
    <m/>
    <m/>
    <m/>
    <n v="2976060000"/>
    <m/>
    <m/>
    <m/>
    <n v="541510082.84000003"/>
    <n v="541507932.21000004"/>
    <m/>
    <m/>
    <m/>
    <m/>
    <m/>
    <m/>
    <m/>
    <m/>
    <m/>
    <m/>
    <m/>
    <m/>
    <m/>
    <m/>
    <m/>
    <m/>
    <m/>
    <m/>
    <m/>
    <m/>
    <m/>
    <m/>
    <m/>
    <m/>
    <m/>
    <m/>
    <m/>
    <m/>
    <m/>
    <m/>
    <m/>
    <m/>
    <m/>
    <m/>
    <m/>
    <m/>
    <m/>
    <m/>
    <m/>
    <m/>
  </r>
  <r>
    <x v="73"/>
    <n v="2012"/>
    <x v="12"/>
    <s v="Africa"/>
    <m/>
    <s v="Mining"/>
    <m/>
    <m/>
    <m/>
    <s v="Total Mining"/>
    <m/>
    <m/>
    <m/>
    <m/>
    <m/>
    <m/>
    <m/>
    <m/>
    <m/>
    <m/>
    <m/>
    <n v="5770640000"/>
    <m/>
    <m/>
    <m/>
    <n v="570919672.82000005"/>
    <n v="569298162.75999999"/>
    <m/>
    <m/>
    <m/>
    <m/>
    <m/>
    <m/>
    <m/>
    <m/>
    <m/>
    <m/>
    <m/>
    <m/>
    <m/>
    <m/>
    <m/>
    <m/>
    <m/>
    <m/>
    <m/>
    <m/>
    <m/>
    <m/>
    <m/>
    <m/>
    <m/>
    <m/>
    <m/>
    <m/>
    <m/>
    <m/>
    <m/>
    <m/>
    <m/>
    <m/>
    <m/>
    <m/>
    <m/>
    <m/>
    <m/>
    <m/>
  </r>
  <r>
    <x v="73"/>
    <n v="2012"/>
    <x v="12"/>
    <s v="Africa"/>
    <m/>
    <s v="Mining"/>
    <m/>
    <m/>
    <m/>
    <s v="Gold"/>
    <m/>
    <m/>
    <m/>
    <m/>
    <m/>
    <m/>
    <n v="3166483"/>
    <s v="oz"/>
    <m/>
    <m/>
    <m/>
    <n v="5643270000"/>
    <m/>
    <m/>
    <m/>
    <m/>
    <m/>
    <m/>
    <m/>
    <m/>
    <m/>
    <m/>
    <m/>
    <m/>
    <m/>
    <m/>
    <m/>
    <m/>
    <m/>
    <m/>
    <m/>
    <m/>
    <m/>
    <m/>
    <m/>
    <m/>
    <m/>
    <m/>
    <m/>
    <m/>
    <m/>
    <m/>
    <m/>
    <m/>
    <m/>
    <m/>
    <m/>
    <m/>
    <m/>
    <m/>
    <m/>
    <m/>
    <m/>
    <m/>
    <m/>
    <m/>
    <m/>
  </r>
  <r>
    <x v="73"/>
    <n v="2012"/>
    <x v="12"/>
    <s v="Africa"/>
    <m/>
    <s v="Mining"/>
    <m/>
    <m/>
    <m/>
    <s v="Diamonds"/>
    <m/>
    <m/>
    <m/>
    <m/>
    <m/>
    <m/>
    <n v="215118"/>
    <s v="carats"/>
    <m/>
    <m/>
    <m/>
    <n v="10380000"/>
    <m/>
    <m/>
    <m/>
    <m/>
    <m/>
    <m/>
    <m/>
    <m/>
    <m/>
    <m/>
    <m/>
    <m/>
    <m/>
    <m/>
    <m/>
    <m/>
    <m/>
    <m/>
    <m/>
    <m/>
    <m/>
    <m/>
    <m/>
    <m/>
    <m/>
    <m/>
    <m/>
    <m/>
    <m/>
    <m/>
    <m/>
    <m/>
    <m/>
    <m/>
    <m/>
    <m/>
    <m/>
    <m/>
    <m/>
    <m/>
    <m/>
    <m/>
    <m/>
    <m/>
    <m/>
  </r>
  <r>
    <x v="73"/>
    <n v="2012"/>
    <x v="12"/>
    <s v="Africa"/>
    <m/>
    <s v="Mining"/>
    <m/>
    <m/>
    <m/>
    <s v="Bauxite"/>
    <m/>
    <m/>
    <m/>
    <m/>
    <m/>
    <m/>
    <n v="752771"/>
    <s v="t"/>
    <m/>
    <m/>
    <m/>
    <n v="24620000"/>
    <m/>
    <m/>
    <m/>
    <m/>
    <m/>
    <m/>
    <m/>
    <m/>
    <m/>
    <m/>
    <m/>
    <m/>
    <m/>
    <m/>
    <m/>
    <m/>
    <m/>
    <m/>
    <m/>
    <m/>
    <m/>
    <m/>
    <m/>
    <m/>
    <m/>
    <m/>
    <m/>
    <m/>
    <m/>
    <m/>
    <m/>
    <m/>
    <m/>
    <m/>
    <m/>
    <m/>
    <m/>
    <m/>
    <m/>
    <m/>
    <m/>
    <m/>
    <m/>
    <m/>
    <m/>
  </r>
  <r>
    <x v="73"/>
    <n v="2012"/>
    <x v="12"/>
    <s v="Africa"/>
    <m/>
    <s v="Mining"/>
    <m/>
    <m/>
    <m/>
    <s v="Manganese"/>
    <m/>
    <m/>
    <m/>
    <m/>
    <m/>
    <m/>
    <n v="1484738"/>
    <s v="t"/>
    <m/>
    <m/>
    <m/>
    <n v="92370000"/>
    <m/>
    <m/>
    <m/>
    <m/>
    <m/>
    <m/>
    <m/>
    <m/>
    <m/>
    <m/>
    <m/>
    <m/>
    <m/>
    <m/>
    <m/>
    <m/>
    <m/>
    <m/>
    <m/>
    <m/>
    <m/>
    <m/>
    <m/>
    <m/>
    <m/>
    <m/>
    <m/>
    <m/>
    <m/>
    <m/>
    <m/>
    <m/>
    <m/>
    <m/>
    <m/>
    <m/>
    <m/>
    <m/>
    <m/>
    <m/>
    <m/>
    <m/>
    <m/>
    <m/>
    <m/>
  </r>
  <r>
    <x v="74"/>
    <n v="2013"/>
    <x v="12"/>
    <s v="Africa"/>
    <s v="http://www.gheiti.gov.gh/"/>
    <s v="Oil, Mining"/>
    <s v="Oil"/>
    <m/>
    <m/>
    <s v="Total"/>
    <m/>
    <m/>
    <m/>
    <m/>
    <m/>
    <m/>
    <m/>
    <m/>
    <m/>
    <m/>
    <s v="Volume from EITI Report"/>
    <n v="14162850000"/>
    <s v="Host government's production entitlement, State-owned company production entitlement, Profits/Taxes, Royalties, Dividends, Other significant benefits to government"/>
    <s v="Does not include payments made in-kind"/>
    <s v="No"/>
    <n v="1269116732.9300001"/>
    <n v="1215635816.8599999"/>
    <m/>
    <m/>
    <m/>
    <m/>
    <s v="Ghanaian Cedi"/>
    <n v="1.95"/>
    <s v="Disaggregated by revenue stream, Disaggregated by company"/>
    <m/>
    <m/>
    <m/>
    <m/>
    <n v="21"/>
    <s v="GNPC, Tullow, Kosmos, Saltpond, Anglogold-Obuasi, Anglogold–Iduaprim, Adamus Resources Ltd, GSR-Prestea/Bogosu, Ghana Bauxite Co., Ghana Manganese Co., Goldfields–Tarkwa, Abosso Goldfields Ltd., GSR (Wassa) Ltd., Chirano Gold Mines Ltd., Newmont Ghana Gold, Perseus Mining Co Ltd., Newmont Golden Ridge, West African Quarries Ltd. Prestea Sankofa Gold Ltd. "/>
    <n v="19"/>
    <s v="December 2014"/>
    <m/>
    <s v="Boas &amp; Associates"/>
    <s v="https://eiti.org/files/2012-2013_Final_Oil_and_Gas_Sector_Report_0.pdf"/>
    <m/>
    <s v="Two reports, each covering both 2012 and 2013, but split between oil and gas, and mining. Unclear report. Production volume reflects exports, not production. Minng payments originally in Cedi, recalculated to USD. Payments differ from EITI website."/>
    <m/>
    <m/>
    <m/>
    <m/>
    <m/>
    <m/>
    <m/>
    <m/>
    <m/>
    <m/>
    <m/>
    <m/>
    <m/>
    <m/>
    <m/>
    <m/>
    <m/>
    <m/>
    <m/>
    <m/>
  </r>
  <r>
    <x v="74"/>
    <n v="2013"/>
    <x v="12"/>
    <s v="Africa"/>
    <m/>
    <s v="Oil"/>
    <s v="Gold"/>
    <m/>
    <m/>
    <s v="Oil"/>
    <m/>
    <m/>
    <m/>
    <m/>
    <m/>
    <m/>
    <n v="35587558"/>
    <s v="bbl"/>
    <m/>
    <m/>
    <m/>
    <n v="3885070000"/>
    <m/>
    <m/>
    <m/>
    <n v="845870483.70000005"/>
    <n v="790799528.13999999"/>
    <m/>
    <m/>
    <m/>
    <m/>
    <m/>
    <m/>
    <m/>
    <m/>
    <m/>
    <m/>
    <m/>
    <m/>
    <m/>
    <m/>
    <m/>
    <m/>
    <m/>
    <m/>
    <m/>
    <m/>
    <m/>
    <m/>
    <m/>
    <m/>
    <m/>
    <m/>
    <m/>
    <m/>
    <m/>
    <m/>
    <m/>
    <m/>
    <m/>
    <m/>
    <m/>
    <m/>
    <m/>
    <m/>
    <m/>
    <m/>
  </r>
  <r>
    <x v="74"/>
    <n v="2013"/>
    <x v="12"/>
    <s v="Africa"/>
    <m/>
    <s v="Mining"/>
    <s v="Bauxite"/>
    <m/>
    <m/>
    <s v="Total"/>
    <m/>
    <m/>
    <m/>
    <m/>
    <m/>
    <m/>
    <m/>
    <m/>
    <m/>
    <m/>
    <m/>
    <n v="5138890000"/>
    <m/>
    <m/>
    <m/>
    <n v="423246249.23000002"/>
    <n v="424836288.72000003"/>
    <m/>
    <m/>
    <m/>
    <m/>
    <m/>
    <m/>
    <m/>
    <m/>
    <m/>
    <m/>
    <m/>
    <m/>
    <m/>
    <m/>
    <m/>
    <m/>
    <m/>
    <m/>
    <m/>
    <m/>
    <m/>
    <m/>
    <m/>
    <m/>
    <m/>
    <m/>
    <m/>
    <m/>
    <m/>
    <m/>
    <m/>
    <m/>
    <m/>
    <m/>
    <m/>
    <m/>
    <m/>
    <m/>
    <m/>
    <m/>
  </r>
  <r>
    <x v="74"/>
    <n v="2013"/>
    <x v="12"/>
    <s v="Africa"/>
    <m/>
    <s v="Mining"/>
    <s v="Manganese"/>
    <m/>
    <m/>
    <s v="Gold"/>
    <m/>
    <m/>
    <m/>
    <m/>
    <m/>
    <m/>
    <n v="3192648"/>
    <s v="oz"/>
    <m/>
    <m/>
    <m/>
    <n v="4965710000"/>
    <m/>
    <m/>
    <m/>
    <m/>
    <m/>
    <m/>
    <m/>
    <m/>
    <m/>
    <m/>
    <m/>
    <m/>
    <m/>
    <m/>
    <m/>
    <m/>
    <m/>
    <m/>
    <m/>
    <m/>
    <m/>
    <m/>
    <m/>
    <m/>
    <m/>
    <m/>
    <m/>
    <m/>
    <m/>
    <m/>
    <m/>
    <m/>
    <m/>
    <m/>
    <m/>
    <m/>
    <m/>
    <m/>
    <m/>
    <m/>
    <m/>
    <m/>
    <m/>
    <m/>
    <m/>
  </r>
  <r>
    <x v="74"/>
    <n v="2013"/>
    <x v="12"/>
    <s v="Africa"/>
    <m/>
    <s v="Mining"/>
    <s v="Limestone"/>
    <m/>
    <m/>
    <s v="Diamonds"/>
    <m/>
    <m/>
    <m/>
    <m/>
    <m/>
    <m/>
    <n v="159074"/>
    <s v="carats"/>
    <m/>
    <m/>
    <m/>
    <n v="6930000"/>
    <m/>
    <m/>
    <m/>
    <m/>
    <m/>
    <m/>
    <m/>
    <m/>
    <m/>
    <m/>
    <m/>
    <m/>
    <m/>
    <m/>
    <m/>
    <m/>
    <m/>
    <m/>
    <m/>
    <m/>
    <m/>
    <m/>
    <m/>
    <m/>
    <m/>
    <m/>
    <m/>
    <m/>
    <m/>
    <m/>
    <m/>
    <m/>
    <m/>
    <m/>
    <m/>
    <m/>
    <m/>
    <m/>
    <m/>
    <m/>
    <m/>
    <m/>
    <m/>
    <m/>
    <m/>
  </r>
  <r>
    <x v="74"/>
    <n v="2013"/>
    <x v="12"/>
    <s v="Africa"/>
    <m/>
    <s v="Mining"/>
    <m/>
    <m/>
    <m/>
    <s v="Bauxite"/>
    <m/>
    <m/>
    <m/>
    <m/>
    <m/>
    <m/>
    <n v="826994"/>
    <s v="t"/>
    <m/>
    <m/>
    <m/>
    <n v="32560000"/>
    <m/>
    <m/>
    <m/>
    <m/>
    <m/>
    <m/>
    <m/>
    <m/>
    <m/>
    <m/>
    <m/>
    <m/>
    <m/>
    <m/>
    <m/>
    <m/>
    <m/>
    <m/>
    <m/>
    <m/>
    <m/>
    <m/>
    <m/>
    <m/>
    <m/>
    <m/>
    <m/>
    <m/>
    <m/>
    <m/>
    <m/>
    <m/>
    <m/>
    <m/>
    <m/>
    <m/>
    <m/>
    <m/>
    <m/>
    <m/>
    <m/>
    <m/>
    <m/>
    <m/>
    <m/>
  </r>
  <r>
    <x v="74"/>
    <n v="2013"/>
    <x v="12"/>
    <s v="Africa"/>
    <m/>
    <s v="Mining"/>
    <m/>
    <m/>
    <m/>
    <s v="Manganese"/>
    <m/>
    <m/>
    <m/>
    <m/>
    <m/>
    <m/>
    <n v="1977911"/>
    <s v="t"/>
    <m/>
    <m/>
    <m/>
    <n v="133690000"/>
    <m/>
    <m/>
    <m/>
    <m/>
    <m/>
    <m/>
    <m/>
    <m/>
    <m/>
    <m/>
    <m/>
    <m/>
    <m/>
    <m/>
    <m/>
    <m/>
    <m/>
    <m/>
    <m/>
    <m/>
    <m/>
    <m/>
    <m/>
    <m/>
    <m/>
    <m/>
    <m/>
    <m/>
    <m/>
    <m/>
    <m/>
    <m/>
    <m/>
    <m/>
    <m/>
    <m/>
    <m/>
    <m/>
    <m/>
    <m/>
    <m/>
    <m/>
    <m/>
    <m/>
    <m/>
  </r>
  <r>
    <x v="75"/>
    <n v="2010"/>
    <x v="13"/>
    <s v="Latin America and Caribbean"/>
    <s v="http://eitiguatemala.org.gt/"/>
    <s v="Oil, Gas, Mining"/>
    <s v="yes"/>
    <s v="yes"/>
    <s v="yes"/>
    <s v="Total"/>
    <s v="Total"/>
    <s v="Total Oil, Gas, Mining"/>
    <m/>
    <m/>
    <m/>
    <m/>
    <m/>
    <m/>
    <m/>
    <m/>
    <m/>
    <n v="1371113691.0246789"/>
    <s v="Host government's production entitlement, Profits/Taxes, Royalties, Licenses and concessions, Other significant benefits to government"/>
    <s v="Does not include payments made in-kind"/>
    <m/>
    <n v="155800631"/>
    <n v="157157449"/>
    <m/>
    <m/>
    <m/>
    <n v="0.11363071641678743"/>
    <m/>
    <n v="8.0500000000000007"/>
    <s v="Disaggregated by revenue stream"/>
    <m/>
    <m/>
    <m/>
    <m/>
    <m/>
    <m/>
    <n v="8"/>
    <s v="April 2013"/>
    <d v="2014-10-10T00:00:00"/>
    <s v="Ernst &amp; Young, S.A."/>
    <s v="http://eiti.org/files/Guatemala-2010-2011-EITI-Report-Spanish_0.pdf"/>
    <m/>
    <m/>
    <m/>
    <m/>
    <m/>
    <m/>
    <m/>
    <m/>
    <m/>
    <m/>
    <m/>
    <m/>
    <m/>
    <m/>
    <m/>
    <m/>
    <m/>
    <m/>
    <m/>
    <m/>
    <m/>
    <m/>
  </r>
  <r>
    <x v="75"/>
    <n v="2010"/>
    <x v="13"/>
    <s v="Latin America and Caribbean"/>
    <m/>
    <s v="Oil, Gas"/>
    <s v="no"/>
    <s v="yes"/>
    <s v="yes"/>
    <s v="Total Oil &amp; Gas"/>
    <s v="Total"/>
    <s v="Total Oil, Gas"/>
    <m/>
    <m/>
    <m/>
    <m/>
    <m/>
    <m/>
    <m/>
    <m/>
    <m/>
    <n v="435401113.47537935"/>
    <m/>
    <m/>
    <m/>
    <m/>
    <m/>
    <m/>
    <m/>
    <m/>
    <m/>
    <m/>
    <m/>
    <m/>
    <m/>
    <m/>
    <m/>
    <m/>
    <m/>
    <m/>
    <m/>
    <m/>
    <m/>
    <m/>
    <m/>
    <m/>
    <m/>
    <m/>
    <m/>
    <m/>
    <m/>
    <m/>
    <m/>
    <m/>
    <m/>
    <m/>
    <m/>
    <m/>
    <m/>
    <m/>
    <m/>
    <m/>
    <m/>
    <m/>
    <m/>
    <m/>
    <m/>
  </r>
  <r>
    <x v="75"/>
    <n v="2010"/>
    <x v="13"/>
    <s v="Latin America and Caribbean"/>
    <m/>
    <s v="Gas"/>
    <s v="no"/>
    <s v="yes"/>
    <s v="no"/>
    <s v="Gas"/>
    <s v="detailed"/>
    <s v="detailed Gas"/>
    <n v="360000"/>
    <m/>
    <m/>
    <m/>
    <m/>
    <s v="m³"/>
    <n v="0.1741077336927683"/>
    <s v="US$/m³"/>
    <s v="Volume from USGS Mineral Yearbook 2012. Price from BPSR 2014, and is an average of the UK, US and Canada Indices for natural gas."/>
    <n v="62678.78412939659"/>
    <m/>
    <m/>
    <m/>
    <m/>
    <m/>
    <m/>
    <m/>
    <m/>
    <m/>
    <m/>
    <m/>
    <m/>
    <m/>
    <m/>
    <m/>
    <m/>
    <m/>
    <m/>
    <m/>
    <m/>
    <m/>
    <m/>
    <m/>
    <m/>
    <m/>
    <m/>
    <m/>
    <m/>
    <m/>
    <m/>
    <m/>
    <m/>
    <m/>
    <m/>
    <m/>
    <m/>
    <m/>
    <m/>
    <m/>
    <m/>
    <m/>
    <m/>
    <m/>
    <m/>
    <m/>
  </r>
  <r>
    <x v="75"/>
    <n v="2010"/>
    <x v="13"/>
    <s v="Latin America and Caribbean"/>
    <m/>
    <s v="Oil"/>
    <s v="no"/>
    <s v="no"/>
    <s v="yes"/>
    <s v="Oil"/>
    <s v="detailed"/>
    <s v="detailed Oil"/>
    <n v="5475000"/>
    <m/>
    <m/>
    <m/>
    <m/>
    <s v="bbl"/>
    <n v="79.513869349999993"/>
    <s v="US$/bbl"/>
    <s v="Volume from EIA. Price from BPSR 2014, and is an average of the spot prices for Brent, Dubai, Nigerian Forcados and West Texas Intermediate crude oil."/>
    <n v="435338434.69124997"/>
    <m/>
    <m/>
    <m/>
    <m/>
    <m/>
    <m/>
    <m/>
    <m/>
    <m/>
    <m/>
    <m/>
    <m/>
    <m/>
    <m/>
    <m/>
    <m/>
    <m/>
    <m/>
    <m/>
    <m/>
    <m/>
    <m/>
    <m/>
    <m/>
    <m/>
    <m/>
    <m/>
    <m/>
    <m/>
    <m/>
    <m/>
    <m/>
    <m/>
    <m/>
    <m/>
    <m/>
    <m/>
    <m/>
    <m/>
    <m/>
    <m/>
    <m/>
    <m/>
    <m/>
    <m/>
  </r>
  <r>
    <x v="75"/>
    <n v="2010"/>
    <x v="13"/>
    <s v="Latin America and Caribbean"/>
    <m/>
    <s v="Mining"/>
    <s v="yes"/>
    <s v="no"/>
    <s v="no"/>
    <s v="Total Mining"/>
    <s v="Total"/>
    <s v="Total Mining"/>
    <m/>
    <m/>
    <m/>
    <m/>
    <m/>
    <m/>
    <m/>
    <m/>
    <m/>
    <n v="935712577.5492996"/>
    <m/>
    <m/>
    <m/>
    <m/>
    <m/>
    <m/>
    <m/>
    <m/>
    <m/>
    <m/>
    <m/>
    <m/>
    <m/>
    <m/>
    <m/>
    <m/>
    <m/>
    <m/>
    <m/>
    <m/>
    <m/>
    <m/>
    <m/>
    <m/>
    <m/>
    <m/>
    <m/>
    <m/>
    <m/>
    <m/>
    <m/>
    <m/>
    <m/>
    <m/>
    <m/>
    <m/>
    <m/>
    <m/>
    <m/>
    <m/>
    <m/>
    <m/>
    <m/>
    <m/>
    <m/>
  </r>
  <r>
    <x v="75"/>
    <n v="2010"/>
    <x v="13"/>
    <s v="Latin America and Caribbean"/>
    <m/>
    <s v="Mining"/>
    <s v="yes"/>
    <s v="no"/>
    <s v="no"/>
    <s v="Basalt"/>
    <s v="detailed"/>
    <s v="detailed Mining"/>
    <n v="1156000"/>
    <m/>
    <m/>
    <m/>
    <m/>
    <s v="m³"/>
    <m/>
    <m/>
    <s v="Volume from USGS Mineral Yearbook 2012"/>
    <m/>
    <m/>
    <m/>
    <m/>
    <m/>
    <m/>
    <m/>
    <m/>
    <m/>
    <m/>
    <m/>
    <m/>
    <m/>
    <m/>
    <m/>
    <m/>
    <m/>
    <m/>
    <m/>
    <m/>
    <m/>
    <m/>
    <m/>
    <m/>
    <m/>
    <m/>
    <m/>
    <m/>
    <m/>
    <m/>
    <m/>
    <m/>
    <m/>
    <m/>
    <m/>
    <m/>
    <m/>
    <m/>
    <m/>
    <m/>
    <m/>
    <m/>
    <m/>
    <m/>
    <m/>
    <m/>
  </r>
  <r>
    <x v="75"/>
    <n v="2010"/>
    <x v="13"/>
    <s v="Latin America and Caribbean"/>
    <m/>
    <s v="Mining"/>
    <s v="yes"/>
    <s v="no"/>
    <s v="no"/>
    <s v="Bentonite clay"/>
    <s v="detailed"/>
    <s v="detailed Mining"/>
    <n v="22423"/>
    <m/>
    <m/>
    <m/>
    <m/>
    <s v="t"/>
    <n v="58"/>
    <s v="US$/t"/>
    <s v="Volume from USGS Mineral Yearbook 2012. Price from USGS Mineral Commodity Summary 2014, and is the price for bentonite clay in the US."/>
    <n v="1300534"/>
    <m/>
    <m/>
    <m/>
    <m/>
    <m/>
    <m/>
    <m/>
    <m/>
    <m/>
    <m/>
    <m/>
    <m/>
    <m/>
    <m/>
    <m/>
    <m/>
    <m/>
    <m/>
    <m/>
    <m/>
    <m/>
    <m/>
    <m/>
    <m/>
    <m/>
    <m/>
    <m/>
    <m/>
    <m/>
    <m/>
    <m/>
    <m/>
    <m/>
    <m/>
    <m/>
    <m/>
    <m/>
    <m/>
    <m/>
    <m/>
    <m/>
    <m/>
    <m/>
    <m/>
    <m/>
  </r>
  <r>
    <x v="75"/>
    <n v="2010"/>
    <x v="13"/>
    <s v="Latin America and Caribbean"/>
    <m/>
    <s v="Mining"/>
    <s v="yes"/>
    <s v="no"/>
    <s v="no"/>
    <s v="Cement"/>
    <s v="detailed"/>
    <s v="detailed Mining"/>
    <n v="1600000"/>
    <m/>
    <m/>
    <m/>
    <m/>
    <s v="t"/>
    <n v="92"/>
    <s v="US$/t"/>
    <s v="Volume from USGS Mineral Yearbook 2012. Price from USGS Mineral Commodity Summary 2014, and is the average mill price for cement in the US."/>
    <n v="147200000"/>
    <m/>
    <m/>
    <m/>
    <m/>
    <m/>
    <m/>
    <m/>
    <m/>
    <m/>
    <m/>
    <m/>
    <m/>
    <m/>
    <m/>
    <m/>
    <m/>
    <m/>
    <m/>
    <m/>
    <m/>
    <m/>
    <m/>
    <m/>
    <m/>
    <m/>
    <m/>
    <m/>
    <m/>
    <m/>
    <m/>
    <m/>
    <m/>
    <m/>
    <m/>
    <m/>
    <m/>
    <m/>
    <m/>
    <m/>
    <m/>
    <m/>
    <m/>
    <m/>
    <m/>
    <m/>
  </r>
  <r>
    <x v="75"/>
    <n v="2010"/>
    <x v="13"/>
    <s v="Latin America and Caribbean"/>
    <m/>
    <s v="Mining"/>
    <s v="yes"/>
    <s v="no"/>
    <s v="no"/>
    <s v="Coal"/>
    <s v="detailed"/>
    <s v="detailed Mining"/>
    <n v="2"/>
    <m/>
    <m/>
    <m/>
    <m/>
    <s v="t"/>
    <n v="89.852021850427363"/>
    <s v="US$/t"/>
    <s v="Volume from USGS Mineral Yearbook 2012. Price from BPSR 2014, and is an average of the American Central Appalachian, Asian and Northwest Europe marker/spot prices."/>
    <n v="179.70404370085473"/>
    <m/>
    <m/>
    <m/>
    <m/>
    <m/>
    <m/>
    <m/>
    <m/>
    <m/>
    <m/>
    <m/>
    <m/>
    <m/>
    <m/>
    <m/>
    <m/>
    <m/>
    <m/>
    <m/>
    <m/>
    <m/>
    <m/>
    <m/>
    <m/>
    <m/>
    <m/>
    <m/>
    <m/>
    <m/>
    <m/>
    <m/>
    <m/>
    <m/>
    <m/>
    <m/>
    <m/>
    <m/>
    <m/>
    <m/>
    <m/>
    <m/>
    <m/>
    <m/>
    <m/>
    <m/>
  </r>
  <r>
    <x v="75"/>
    <n v="2010"/>
    <x v="13"/>
    <s v="Latin America and Caribbean"/>
    <m/>
    <s v="Mining"/>
    <s v="yes"/>
    <s v="no"/>
    <s v="no"/>
    <s v="Dolomite"/>
    <s v="detailed"/>
    <s v="detailed Mining"/>
    <n v="2824580"/>
    <m/>
    <m/>
    <m/>
    <m/>
    <s v="t"/>
    <n v="9.6199999999999992"/>
    <s v="US$/t"/>
    <s v="Volume from USGS Mineral Yearbook 2012. Price from USGS Mineral Yearbook 2010, and is the price in the US for crushed dolomite."/>
    <n v="27172459.599999998"/>
    <m/>
    <m/>
    <m/>
    <m/>
    <m/>
    <m/>
    <m/>
    <m/>
    <m/>
    <m/>
    <m/>
    <m/>
    <m/>
    <m/>
    <m/>
    <m/>
    <m/>
    <m/>
    <m/>
    <m/>
    <m/>
    <m/>
    <m/>
    <m/>
    <m/>
    <m/>
    <m/>
    <m/>
    <m/>
    <m/>
    <m/>
    <m/>
    <m/>
    <m/>
    <m/>
    <m/>
    <m/>
    <m/>
    <m/>
    <m/>
    <m/>
    <m/>
    <m/>
    <m/>
    <m/>
  </r>
  <r>
    <x v="75"/>
    <n v="2010"/>
    <x v="13"/>
    <s v="Latin America and Caribbean"/>
    <m/>
    <s v="Mining"/>
    <s v="yes"/>
    <s v="no"/>
    <s v="no"/>
    <s v="Feldspar"/>
    <s v="detailed"/>
    <s v="detailed Mining"/>
    <n v="402"/>
    <m/>
    <m/>
    <m/>
    <m/>
    <s v="t"/>
    <n v="61"/>
    <s v="US$/t"/>
    <s v="Volume from USGS Mineral Yearbook 2012. Price from USGS Mineral Commodity Summary 2014, and is the price for marketable production in the US."/>
    <n v="24522"/>
    <m/>
    <m/>
    <m/>
    <m/>
    <m/>
    <m/>
    <m/>
    <m/>
    <m/>
    <m/>
    <m/>
    <m/>
    <m/>
    <m/>
    <m/>
    <m/>
    <m/>
    <m/>
    <m/>
    <m/>
    <m/>
    <m/>
    <m/>
    <m/>
    <m/>
    <m/>
    <m/>
    <m/>
    <m/>
    <m/>
    <m/>
    <m/>
    <m/>
    <m/>
    <m/>
    <m/>
    <m/>
    <m/>
    <m/>
    <m/>
    <m/>
    <m/>
    <m/>
    <m/>
    <m/>
  </r>
  <r>
    <x v="75"/>
    <n v="2010"/>
    <x v="13"/>
    <s v="Latin America and Caribbean"/>
    <m/>
    <s v="Mining"/>
    <s v="yes"/>
    <s v="no"/>
    <s v="no"/>
    <s v="Ferruginous clay"/>
    <s v="detailed"/>
    <s v="detailed Mining"/>
    <n v="201000"/>
    <m/>
    <m/>
    <m/>
    <m/>
    <s v="t"/>
    <n v="12"/>
    <s v="US$/t"/>
    <s v="Volume from USGS Mineral Yearbook 2012. Price from USGS Mineral Commodity Summary 2014, and is the price for common clay in the US."/>
    <n v="2412000"/>
    <m/>
    <m/>
    <m/>
    <m/>
    <m/>
    <m/>
    <m/>
    <m/>
    <m/>
    <m/>
    <m/>
    <m/>
    <m/>
    <m/>
    <m/>
    <m/>
    <m/>
    <m/>
    <m/>
    <m/>
    <m/>
    <m/>
    <m/>
    <m/>
    <m/>
    <m/>
    <m/>
    <m/>
    <m/>
    <m/>
    <m/>
    <m/>
    <m/>
    <m/>
    <m/>
    <m/>
    <m/>
    <m/>
    <m/>
    <m/>
    <m/>
    <m/>
    <m/>
    <m/>
    <m/>
  </r>
  <r>
    <x v="75"/>
    <n v="2010"/>
    <x v="13"/>
    <s v="Latin America and Caribbean"/>
    <m/>
    <s v="Mining"/>
    <s v="yes"/>
    <s v="no"/>
    <s v="no"/>
    <s v="Flagstone (phyllite)"/>
    <s v="detailed"/>
    <s v="detailed Mining"/>
    <n v="67000"/>
    <m/>
    <m/>
    <m/>
    <m/>
    <s v="m³"/>
    <m/>
    <m/>
    <s v="Volume from USGS Mineral Yearbook 2012"/>
    <m/>
    <m/>
    <m/>
    <m/>
    <m/>
    <m/>
    <m/>
    <m/>
    <m/>
    <m/>
    <m/>
    <m/>
    <m/>
    <m/>
    <m/>
    <m/>
    <m/>
    <m/>
    <m/>
    <m/>
    <m/>
    <m/>
    <m/>
    <m/>
    <m/>
    <m/>
    <m/>
    <m/>
    <m/>
    <m/>
    <m/>
    <m/>
    <m/>
    <m/>
    <m/>
    <m/>
    <m/>
    <m/>
    <m/>
    <m/>
    <m/>
    <m/>
    <m/>
    <m/>
    <m/>
    <m/>
  </r>
  <r>
    <x v="75"/>
    <n v="2010"/>
    <x v="13"/>
    <s v="Latin America and Caribbean"/>
    <m/>
    <s v="Mining"/>
    <s v="yes"/>
    <s v="no"/>
    <s v="no"/>
    <s v="Gold"/>
    <s v="detailed"/>
    <s v="detailed Mining"/>
    <n v="296204.79642449977"/>
    <m/>
    <m/>
    <m/>
    <m/>
    <s v="toz"/>
    <n v="1224.66425"/>
    <s v="US$/toz"/>
    <s v="Volume from USGS Mineral Yearbook 2012. Price from World Bank (Global Economic Monitor (GEM) Commodities database), and is defined as: Gold (UK), 99.5% fine, London afternoon fixing, average of daily rates."/>
    <n v="362751424.8596127"/>
    <m/>
    <m/>
    <m/>
    <m/>
    <m/>
    <m/>
    <m/>
    <m/>
    <m/>
    <m/>
    <m/>
    <m/>
    <m/>
    <m/>
    <m/>
    <m/>
    <m/>
    <m/>
    <m/>
    <m/>
    <m/>
    <m/>
    <m/>
    <m/>
    <m/>
    <m/>
    <m/>
    <m/>
    <m/>
    <m/>
    <m/>
    <m/>
    <m/>
    <m/>
    <m/>
    <m/>
    <m/>
    <m/>
    <m/>
    <m/>
    <m/>
    <m/>
    <m/>
    <m/>
    <m/>
  </r>
  <r>
    <x v="75"/>
    <n v="2010"/>
    <x v="13"/>
    <s v="Latin America and Caribbean"/>
    <m/>
    <s v="Mining"/>
    <s v="yes"/>
    <s v="no"/>
    <s v="no"/>
    <s v="Granite"/>
    <s v="detailed"/>
    <s v="detailed Mining"/>
    <n v="336"/>
    <m/>
    <m/>
    <m/>
    <m/>
    <s v="t"/>
    <n v="11.75"/>
    <s v="US$/t"/>
    <s v="Volume from USGS Mineral Yearbook 2012. Price from USGS Mineral Yearbook 2011, and is the price in the US for crushed granite."/>
    <n v="3948"/>
    <m/>
    <m/>
    <m/>
    <m/>
    <m/>
    <m/>
    <m/>
    <m/>
    <m/>
    <m/>
    <m/>
    <m/>
    <m/>
    <m/>
    <m/>
    <m/>
    <m/>
    <m/>
    <m/>
    <m/>
    <m/>
    <m/>
    <m/>
    <m/>
    <m/>
    <m/>
    <m/>
    <m/>
    <m/>
    <m/>
    <m/>
    <m/>
    <m/>
    <m/>
    <m/>
    <m/>
    <m/>
    <m/>
    <m/>
    <m/>
    <m/>
    <m/>
    <m/>
    <m/>
    <m/>
  </r>
  <r>
    <x v="75"/>
    <n v="2010"/>
    <x v="13"/>
    <s v="Latin America and Caribbean"/>
    <m/>
    <s v="Mining"/>
    <s v="yes"/>
    <s v="no"/>
    <s v="no"/>
    <s v="Gypsum (crude)"/>
    <s v="detailed"/>
    <s v="detailed Mining"/>
    <n v="59000"/>
    <m/>
    <m/>
    <m/>
    <m/>
    <s v="t"/>
    <n v="18.3"/>
    <s v="US$/t"/>
    <s v="Volume from USGS Mineral Yearbook 2012. Price from USGS Mineral Commodity Summary 2013, and is the average f.o.b. price for crude and calcined products."/>
    <n v="1079700"/>
    <m/>
    <m/>
    <m/>
    <m/>
    <m/>
    <m/>
    <m/>
    <m/>
    <m/>
    <m/>
    <m/>
    <m/>
    <m/>
    <m/>
    <m/>
    <m/>
    <m/>
    <m/>
    <m/>
    <m/>
    <m/>
    <m/>
    <m/>
    <m/>
    <m/>
    <m/>
    <m/>
    <m/>
    <m/>
    <m/>
    <m/>
    <m/>
    <m/>
    <m/>
    <m/>
    <m/>
    <m/>
    <m/>
    <m/>
    <m/>
    <m/>
    <m/>
    <m/>
    <m/>
    <m/>
  </r>
  <r>
    <x v="75"/>
    <n v="2010"/>
    <x v="13"/>
    <s v="Latin America and Caribbean"/>
    <m/>
    <s v="Mining"/>
    <s v="yes"/>
    <s v="no"/>
    <s v="no"/>
    <s v="Iron ore"/>
    <s v="detailed"/>
    <s v="detailed Mining"/>
    <n v="1604"/>
    <m/>
    <m/>
    <m/>
    <m/>
    <s v="t"/>
    <n v="145.86318542569001"/>
    <s v="US$/t"/>
    <s v="Volume from USGS Mineral Yearbook 2012. Price from World Bank (Global Economic Monitor (GEM) Commodities database), and is defined as: Gold (UK), 99.5% fine, London afternoon fixing, average of daily rates."/>
    <n v="233964.54942280677"/>
    <m/>
    <m/>
    <m/>
    <m/>
    <m/>
    <m/>
    <m/>
    <m/>
    <m/>
    <m/>
    <m/>
    <m/>
    <m/>
    <m/>
    <m/>
    <m/>
    <m/>
    <m/>
    <m/>
    <m/>
    <m/>
    <m/>
    <m/>
    <m/>
    <m/>
    <m/>
    <m/>
    <m/>
    <m/>
    <m/>
    <m/>
    <m/>
    <m/>
    <m/>
    <m/>
    <m/>
    <m/>
    <m/>
    <m/>
    <m/>
    <m/>
    <m/>
    <m/>
    <m/>
    <m/>
  </r>
  <r>
    <x v="75"/>
    <n v="2010"/>
    <x v="13"/>
    <s v="Latin America and Caribbean"/>
    <m/>
    <s v="Mining"/>
    <s v="yes"/>
    <s v="no"/>
    <s v="no"/>
    <s v="Jadeite"/>
    <s v="detailed"/>
    <s v="detailed Mining"/>
    <n v="8"/>
    <m/>
    <m/>
    <m/>
    <m/>
    <s v="t"/>
    <m/>
    <m/>
    <s v="Volume from USGS Mineral Yearbook 2012"/>
    <m/>
    <m/>
    <m/>
    <m/>
    <m/>
    <m/>
    <m/>
    <m/>
    <m/>
    <m/>
    <m/>
    <m/>
    <m/>
    <m/>
    <m/>
    <m/>
    <m/>
    <m/>
    <m/>
    <m/>
    <m/>
    <m/>
    <m/>
    <m/>
    <m/>
    <m/>
    <m/>
    <m/>
    <m/>
    <m/>
    <m/>
    <m/>
    <m/>
    <m/>
    <m/>
    <m/>
    <m/>
    <m/>
    <m/>
    <m/>
    <m/>
    <m/>
    <m/>
    <m/>
    <m/>
    <m/>
  </r>
  <r>
    <x v="75"/>
    <n v="2010"/>
    <x v="13"/>
    <s v="Latin America and Caribbean"/>
    <m/>
    <s v="Mining"/>
    <s v="yes"/>
    <s v="no"/>
    <s v="no"/>
    <s v="Kaolin clay"/>
    <s v="detailed"/>
    <s v="detailed Mining"/>
    <n v="2143"/>
    <m/>
    <m/>
    <m/>
    <m/>
    <s v="t"/>
    <n v="137"/>
    <s v="US$/t"/>
    <s v="Volume from USGS Mineral Yearbook 2012. Price from USGS Mineral Commodity Summary 2014, and is the price for kaolin clay in the US."/>
    <n v="293591"/>
    <m/>
    <m/>
    <m/>
    <m/>
    <m/>
    <m/>
    <m/>
    <m/>
    <m/>
    <m/>
    <m/>
    <m/>
    <m/>
    <m/>
    <m/>
    <m/>
    <m/>
    <m/>
    <m/>
    <m/>
    <m/>
    <m/>
    <m/>
    <m/>
    <m/>
    <m/>
    <m/>
    <m/>
    <m/>
    <m/>
    <m/>
    <m/>
    <m/>
    <m/>
    <m/>
    <m/>
    <m/>
    <m/>
    <m/>
    <m/>
    <m/>
    <m/>
    <m/>
    <m/>
    <m/>
  </r>
  <r>
    <x v="75"/>
    <n v="2010"/>
    <x v="13"/>
    <s v="Latin America and Caribbean"/>
    <m/>
    <s v="Mining"/>
    <s v="yes"/>
    <s v="no"/>
    <s v="no"/>
    <s v="Limestone (crude)"/>
    <s v="detailed"/>
    <s v="detailed Mining"/>
    <n v="4910000"/>
    <m/>
    <m/>
    <m/>
    <m/>
    <s v="t"/>
    <n v="9.0299999999999994"/>
    <s v="US$/t"/>
    <s v="Volume from USGS Mineral Yearbook 2012. Price from USGS Mineral Yearbook 2010, and is the price in the US for crushed limestone."/>
    <n v="44337300"/>
    <m/>
    <m/>
    <m/>
    <m/>
    <m/>
    <m/>
    <m/>
    <m/>
    <m/>
    <m/>
    <m/>
    <m/>
    <m/>
    <m/>
    <m/>
    <m/>
    <m/>
    <m/>
    <m/>
    <m/>
    <m/>
    <m/>
    <m/>
    <m/>
    <m/>
    <m/>
    <m/>
    <m/>
    <m/>
    <m/>
    <m/>
    <m/>
    <m/>
    <m/>
    <m/>
    <m/>
    <m/>
    <m/>
    <m/>
    <m/>
    <m/>
    <m/>
    <m/>
    <m/>
    <m/>
  </r>
  <r>
    <x v="75"/>
    <n v="2010"/>
    <x v="13"/>
    <s v="Latin America and Caribbean"/>
    <m/>
    <s v="Mining"/>
    <s v="yes"/>
    <s v="no"/>
    <s v="no"/>
    <s v="Marble (block)"/>
    <s v="detailed"/>
    <s v="detailed Mining"/>
    <n v="195290.73"/>
    <m/>
    <m/>
    <m/>
    <m/>
    <s v="t"/>
    <n v="13.27"/>
    <s v="US$/t"/>
    <s v="Volume from USGS Mineral Yearbook 2012. Price from USGS Mineral Yearbook 2010, and is the price in the US for crushed marble."/>
    <n v="2591507.9871"/>
    <m/>
    <m/>
    <m/>
    <m/>
    <m/>
    <m/>
    <m/>
    <m/>
    <m/>
    <m/>
    <m/>
    <m/>
    <m/>
    <m/>
    <m/>
    <m/>
    <m/>
    <m/>
    <m/>
    <m/>
    <m/>
    <m/>
    <m/>
    <m/>
    <m/>
    <m/>
    <m/>
    <m/>
    <m/>
    <m/>
    <m/>
    <m/>
    <m/>
    <m/>
    <m/>
    <m/>
    <m/>
    <m/>
    <m/>
    <m/>
    <m/>
    <m/>
    <m/>
    <m/>
    <m/>
  </r>
  <r>
    <x v="75"/>
    <n v="2010"/>
    <x v="13"/>
    <s v="Latin America and Caribbean"/>
    <m/>
    <s v="Mining"/>
    <s v="yes"/>
    <s v="no"/>
    <s v="no"/>
    <s v="Marl"/>
    <s v="detailed"/>
    <s v="detailed Mining"/>
    <n v="1120"/>
    <m/>
    <m/>
    <m/>
    <m/>
    <s v="m³"/>
    <n v="7.88"/>
    <s v="US$/t"/>
    <s v="Volume from USGS Mineral Yearbook 2012. Price from USGS Mineral Yearbook 2011, and is the price in the US for crushed marl."/>
    <n v="8825.6"/>
    <m/>
    <m/>
    <m/>
    <m/>
    <m/>
    <m/>
    <m/>
    <m/>
    <m/>
    <m/>
    <m/>
    <m/>
    <m/>
    <m/>
    <m/>
    <m/>
    <m/>
    <m/>
    <m/>
    <m/>
    <m/>
    <m/>
    <m/>
    <m/>
    <m/>
    <m/>
    <m/>
    <m/>
    <m/>
    <m/>
    <m/>
    <m/>
    <m/>
    <m/>
    <m/>
    <m/>
    <m/>
    <m/>
    <m/>
    <m/>
    <m/>
    <m/>
    <m/>
    <m/>
    <m/>
  </r>
  <r>
    <x v="75"/>
    <n v="2010"/>
    <x v="13"/>
    <s v="Latin America and Caribbean"/>
    <m/>
    <s v="Mining"/>
    <s v="yes"/>
    <s v="no"/>
    <s v="no"/>
    <s v="Pumice"/>
    <s v="detailed"/>
    <s v="detailed Mining"/>
    <n v="21760"/>
    <m/>
    <m/>
    <m/>
    <m/>
    <s v="t"/>
    <n v="20"/>
    <s v="US$/t"/>
    <s v="Volume from USGS Mineral Yearbook 2012. Price from USGS Mineral Commodity Summary 2013, and is the f.o.b. mine or mill price for pumice and pumicite."/>
    <n v="435200"/>
    <m/>
    <m/>
    <m/>
    <m/>
    <m/>
    <m/>
    <m/>
    <m/>
    <m/>
    <m/>
    <m/>
    <m/>
    <m/>
    <m/>
    <m/>
    <m/>
    <m/>
    <m/>
    <m/>
    <m/>
    <m/>
    <m/>
    <m/>
    <m/>
    <m/>
    <m/>
    <m/>
    <m/>
    <m/>
    <m/>
    <m/>
    <m/>
    <m/>
    <m/>
    <m/>
    <m/>
    <m/>
    <m/>
    <m/>
    <m/>
    <m/>
    <m/>
    <m/>
    <m/>
    <m/>
  </r>
  <r>
    <x v="75"/>
    <n v="2010"/>
    <x v="13"/>
    <s v="Latin America and Caribbean"/>
    <m/>
    <s v="Mining"/>
    <s v="yes"/>
    <s v="no"/>
    <s v="no"/>
    <s v="Quartz"/>
    <s v="detailed"/>
    <s v="detailed Mining"/>
    <n v="777"/>
    <m/>
    <m/>
    <m/>
    <m/>
    <s v="t"/>
    <m/>
    <m/>
    <s v="Volume from USGS Mineral Yearbook 2012"/>
    <m/>
    <m/>
    <m/>
    <m/>
    <m/>
    <m/>
    <m/>
    <m/>
    <m/>
    <m/>
    <m/>
    <m/>
    <m/>
    <m/>
    <m/>
    <m/>
    <m/>
    <m/>
    <m/>
    <m/>
    <m/>
    <m/>
    <m/>
    <m/>
    <m/>
    <m/>
    <m/>
    <m/>
    <m/>
    <m/>
    <m/>
    <m/>
    <m/>
    <m/>
    <m/>
    <m/>
    <m/>
    <m/>
    <m/>
    <m/>
    <m/>
    <m/>
    <m/>
    <m/>
    <m/>
    <m/>
  </r>
  <r>
    <x v="75"/>
    <n v="2010"/>
    <x v="13"/>
    <s v="Latin America and Caribbean"/>
    <m/>
    <s v="Mining"/>
    <s v="yes"/>
    <s v="no"/>
    <s v="no"/>
    <s v="Salt"/>
    <s v="detailed"/>
    <s v="detailed Mining"/>
    <n v="50000"/>
    <m/>
    <m/>
    <m/>
    <m/>
    <s v="t"/>
    <n v="70.162499999999994"/>
    <s v="US$/t"/>
    <s v="Volume from USGS Mineral Yearbook 2012. Price from USGS Mineral Commodity Summary 2013, and is the average f.o.b. mine and plant price for bulk, pellets and packaged vacuum and open pan salt, solar salt, rock salt and salt in brine."/>
    <n v="3508124.9999999995"/>
    <m/>
    <m/>
    <m/>
    <m/>
    <m/>
    <m/>
    <m/>
    <m/>
    <m/>
    <m/>
    <m/>
    <m/>
    <m/>
    <m/>
    <m/>
    <m/>
    <m/>
    <m/>
    <m/>
    <m/>
    <m/>
    <m/>
    <m/>
    <m/>
    <m/>
    <m/>
    <m/>
    <m/>
    <m/>
    <m/>
    <m/>
    <m/>
    <m/>
    <m/>
    <m/>
    <m/>
    <m/>
    <m/>
    <m/>
    <m/>
    <m/>
    <m/>
    <m/>
    <m/>
    <m/>
  </r>
  <r>
    <x v="75"/>
    <n v="2010"/>
    <x v="13"/>
    <s v="Latin America and Caribbean"/>
    <m/>
    <s v="Mining"/>
    <s v="yes"/>
    <s v="no"/>
    <s v="no"/>
    <s v="Sand and gravel"/>
    <s v="detailed"/>
    <s v="detailed Mining"/>
    <n v="2642217.5999999996"/>
    <m/>
    <m/>
    <m/>
    <m/>
    <s v="t"/>
    <n v="7.31"/>
    <s v="US$/t"/>
    <s v="Volume from USGS Mineral Yearbook 2012. Price from USGS Mineral Yearbook 2010, and is the price in the US for construction sand and gravel."/>
    <n v="19314610.655999996"/>
    <m/>
    <m/>
    <m/>
    <m/>
    <m/>
    <m/>
    <m/>
    <m/>
    <m/>
    <m/>
    <m/>
    <m/>
    <m/>
    <m/>
    <m/>
    <m/>
    <m/>
    <m/>
    <m/>
    <m/>
    <m/>
    <m/>
    <m/>
    <m/>
    <m/>
    <m/>
    <m/>
    <m/>
    <m/>
    <m/>
    <m/>
    <m/>
    <m/>
    <m/>
    <m/>
    <m/>
    <m/>
    <m/>
    <m/>
    <m/>
    <m/>
    <m/>
    <m/>
    <m/>
    <m/>
  </r>
  <r>
    <x v="75"/>
    <n v="2010"/>
    <x v="13"/>
    <s v="Latin America and Caribbean"/>
    <m/>
    <s v="Mining"/>
    <s v="yes"/>
    <s v="no"/>
    <s v="no"/>
    <s v="Silver"/>
    <s v="detailed"/>
    <s v="detailed Mining"/>
    <n v="6259203.124097568"/>
    <m/>
    <m/>
    <m/>
    <m/>
    <s v="toz"/>
    <n v="20.152958333330002"/>
    <s v="US$/toz"/>
    <s v="Volume from USGS Mineral Yearbook 2012. Price from World Bank (Global Economic Monitor (GEM) Commodities database), and is defined as: Silver (Handy &amp; Harman), 99.9% grade refined, New York."/>
    <n v="126141459.75978726"/>
    <m/>
    <m/>
    <m/>
    <m/>
    <m/>
    <m/>
    <m/>
    <m/>
    <m/>
    <m/>
    <m/>
    <m/>
    <m/>
    <m/>
    <m/>
    <m/>
    <m/>
    <m/>
    <m/>
    <m/>
    <m/>
    <m/>
    <m/>
    <m/>
    <m/>
    <m/>
    <m/>
    <m/>
    <m/>
    <m/>
    <m/>
    <m/>
    <m/>
    <m/>
    <m/>
    <m/>
    <m/>
    <m/>
    <m/>
    <m/>
    <m/>
    <m/>
    <m/>
    <m/>
    <m/>
  </r>
  <r>
    <x v="75"/>
    <n v="2010"/>
    <x v="13"/>
    <s v="Latin America and Caribbean"/>
    <m/>
    <s v="Mining"/>
    <s v="yes"/>
    <s v="no"/>
    <s v="no"/>
    <s v="Slate"/>
    <s v="detailed"/>
    <s v="detailed Mining"/>
    <n v="400810"/>
    <m/>
    <m/>
    <m/>
    <m/>
    <s v="t"/>
    <n v="10.9"/>
    <s v="US$/t"/>
    <s v="Volume from USGS Mineral Yearbook 2012. Price from USGS Mineral Yearbook 2011, and is the price in the US for crushed slate."/>
    <n v="4368829"/>
    <m/>
    <m/>
    <m/>
    <m/>
    <m/>
    <m/>
    <m/>
    <m/>
    <m/>
    <m/>
    <m/>
    <m/>
    <m/>
    <m/>
    <m/>
    <m/>
    <m/>
    <m/>
    <m/>
    <m/>
    <m/>
    <m/>
    <m/>
    <m/>
    <m/>
    <m/>
    <m/>
    <m/>
    <m/>
    <m/>
    <m/>
    <m/>
    <m/>
    <m/>
    <m/>
    <m/>
    <m/>
    <m/>
    <m/>
    <m/>
    <m/>
    <m/>
    <m/>
    <m/>
    <m/>
  </r>
  <r>
    <x v="75"/>
    <n v="2010"/>
    <x v="13"/>
    <s v="Latin America and Caribbean"/>
    <m/>
    <s v="Mining"/>
    <s v="yes"/>
    <s v="no"/>
    <s v="no"/>
    <s v="Steel (crude)"/>
    <s v="detailed"/>
    <s v="detailed Mining"/>
    <n v="274000"/>
    <m/>
    <m/>
    <m/>
    <m/>
    <s v="t"/>
    <n v="701.48958333333246"/>
    <s v="US$/t"/>
    <s v="Volume from USGS Mineral Yearbook 2012. Price from World Bank (Global Economic Monitor (GEM) Commodities database), and is an average of the prices for steel coilsheets, wirerods and rebars."/>
    <n v="192208145.8333331"/>
    <m/>
    <m/>
    <m/>
    <m/>
    <m/>
    <m/>
    <m/>
    <m/>
    <m/>
    <m/>
    <m/>
    <m/>
    <m/>
    <m/>
    <m/>
    <m/>
    <m/>
    <m/>
    <m/>
    <m/>
    <m/>
    <m/>
    <m/>
    <m/>
    <m/>
    <m/>
    <m/>
    <m/>
    <m/>
    <m/>
    <m/>
    <m/>
    <m/>
    <m/>
    <m/>
    <m/>
    <m/>
    <m/>
    <m/>
    <m/>
    <m/>
    <m/>
    <m/>
    <m/>
    <m/>
  </r>
  <r>
    <x v="75"/>
    <n v="2010"/>
    <x v="13"/>
    <s v="Latin America and Caribbean"/>
    <m/>
    <s v="Mining"/>
    <s v="yes"/>
    <s v="no"/>
    <s v="no"/>
    <s v="Talc and steatite"/>
    <s v="detailed"/>
    <s v="detailed Mining"/>
    <n v="2175"/>
    <m/>
    <m/>
    <m/>
    <m/>
    <s v="t"/>
    <n v="150"/>
    <s v="US$/t"/>
    <s v="Volume from USGS Mineral Yearbook 2012. Price from USGS Mineral Commodity Summary 2013, and is the price for processed talc in the US."/>
    <n v="326250"/>
    <m/>
    <m/>
    <m/>
    <m/>
    <m/>
    <m/>
    <m/>
    <m/>
    <m/>
    <m/>
    <m/>
    <m/>
    <m/>
    <m/>
    <m/>
    <m/>
    <m/>
    <m/>
    <m/>
    <m/>
    <m/>
    <m/>
    <m/>
    <m/>
    <m/>
    <m/>
    <m/>
    <m/>
    <m/>
    <m/>
    <m/>
    <m/>
    <m/>
    <m/>
    <m/>
    <m/>
    <m/>
    <m/>
    <m/>
    <m/>
    <m/>
    <m/>
    <m/>
    <m/>
    <m/>
  </r>
  <r>
    <x v="75"/>
    <n v="2010"/>
    <x v="13"/>
    <s v="Latin America and Caribbean"/>
    <m/>
    <s v="Mining"/>
    <s v="yes"/>
    <s v="no"/>
    <s v="no"/>
    <s v="Tuff"/>
    <s v="detailed"/>
    <s v="detailed Mining"/>
    <n v="184541"/>
    <m/>
    <m/>
    <m/>
    <m/>
    <s v="m³"/>
    <m/>
    <m/>
    <s v="Volume from USGS Mineral Yearbook 2012"/>
    <m/>
    <m/>
    <m/>
    <m/>
    <m/>
    <m/>
    <m/>
    <m/>
    <m/>
    <m/>
    <m/>
    <m/>
    <m/>
    <m/>
    <m/>
    <m/>
    <m/>
    <m/>
    <m/>
    <m/>
    <m/>
    <m/>
    <m/>
    <m/>
    <m/>
    <m/>
    <m/>
    <m/>
    <m/>
    <m/>
    <m/>
    <m/>
    <m/>
    <m/>
    <m/>
    <m/>
    <m/>
    <m/>
    <m/>
    <m/>
    <m/>
    <m/>
    <m/>
    <m/>
    <m/>
    <m/>
  </r>
  <r>
    <x v="76"/>
    <n v="2011"/>
    <x v="13"/>
    <s v="Latin America and Caribbean"/>
    <s v="http://eitiguatemala.org.gt/"/>
    <s v="Oil, Gas, Mining"/>
    <s v="yes"/>
    <s v="yes"/>
    <s v="yes"/>
    <s v="Total"/>
    <s v="Total"/>
    <s v="Total Oil, Gas, Mining"/>
    <m/>
    <m/>
    <m/>
    <m/>
    <m/>
    <m/>
    <m/>
    <m/>
    <m/>
    <n v="1949529116.1198859"/>
    <s v="Host government's production entitlement, Profits/Taxes, Royalties, Licenses and concessions, Other significant benefits to government"/>
    <s v="Does not include payments made in-kind"/>
    <m/>
    <n v="224641623"/>
    <n v="224641623"/>
    <m/>
    <m/>
    <m/>
    <n v="0.11522865759866174"/>
    <m/>
    <n v="7.78"/>
    <s v="Disaggregated by revenue stream"/>
    <m/>
    <m/>
    <m/>
    <m/>
    <m/>
    <m/>
    <n v="8"/>
    <s v="May 2013"/>
    <d v="2014-10-10T00:00:00"/>
    <s v="Ernst &amp; Young S.A."/>
    <s v="http://eiti.org/files/Guatemala-2010-2011-EITI-Report.pdf"/>
    <m/>
    <m/>
    <m/>
    <m/>
    <m/>
    <m/>
    <m/>
    <m/>
    <m/>
    <m/>
    <m/>
    <m/>
    <m/>
    <m/>
    <m/>
    <m/>
    <m/>
    <m/>
    <m/>
    <m/>
    <m/>
    <m/>
  </r>
  <r>
    <x v="76"/>
    <n v="2011"/>
    <x v="13"/>
    <s v="Latin America and Caribbean"/>
    <m/>
    <s v="Oil, Gas"/>
    <s v="no"/>
    <s v="yes"/>
    <s v="yes"/>
    <s v="Total Oil &amp; Gas"/>
    <s v="Total"/>
    <s v="Total Oil, Gas"/>
    <m/>
    <m/>
    <m/>
    <m/>
    <m/>
    <m/>
    <m/>
    <m/>
    <m/>
    <n v="583333992.49830341"/>
    <m/>
    <m/>
    <m/>
    <m/>
    <m/>
    <m/>
    <m/>
    <m/>
    <m/>
    <m/>
    <m/>
    <m/>
    <m/>
    <m/>
    <m/>
    <m/>
    <m/>
    <m/>
    <m/>
    <m/>
    <m/>
    <m/>
    <m/>
    <m/>
    <m/>
    <m/>
    <m/>
    <m/>
    <m/>
    <m/>
    <m/>
    <m/>
    <m/>
    <m/>
    <m/>
    <m/>
    <m/>
    <m/>
    <m/>
    <m/>
    <m/>
    <m/>
    <m/>
    <m/>
    <m/>
  </r>
  <r>
    <x v="76"/>
    <n v="2011"/>
    <x v="13"/>
    <s v="Latin America and Caribbean"/>
    <m/>
    <s v="Gas"/>
    <s v="no"/>
    <s v="yes"/>
    <s v="no"/>
    <s v="Gas"/>
    <s v="detailed"/>
    <s v="detailed Gas"/>
    <n v="400000"/>
    <m/>
    <m/>
    <m/>
    <m/>
    <s v="m³"/>
    <n v="0.19666043794616025"/>
    <s v="US$/m³"/>
    <s v="Volume from USGS Mineral Yearbook 2012. Price from BPSR 2014, and is an average of the UK, US and Canada Indices for natural gas."/>
    <n v="78664.175178464095"/>
    <m/>
    <m/>
    <m/>
    <m/>
    <m/>
    <m/>
    <m/>
    <m/>
    <m/>
    <m/>
    <m/>
    <m/>
    <m/>
    <m/>
    <m/>
    <m/>
    <m/>
    <m/>
    <m/>
    <m/>
    <m/>
    <m/>
    <m/>
    <m/>
    <m/>
    <m/>
    <m/>
    <m/>
    <m/>
    <m/>
    <m/>
    <m/>
    <m/>
    <m/>
    <m/>
    <m/>
    <m/>
    <m/>
    <m/>
    <m/>
    <m/>
    <m/>
    <m/>
    <m/>
    <m/>
  </r>
  <r>
    <x v="76"/>
    <n v="2011"/>
    <x v="13"/>
    <s v="Latin America and Caribbean"/>
    <m/>
    <s v="Oil"/>
    <s v="no"/>
    <s v="no"/>
    <s v="yes"/>
    <s v="Oil"/>
    <s v="detailed"/>
    <s v="detailed Oil"/>
    <n v="5475000"/>
    <m/>
    <m/>
    <m/>
    <m/>
    <s v="bbl"/>
    <n v="106.530653575"/>
    <s v="US$/bbl"/>
    <s v="Volume from EIA. Price from BPSR 2014, and is an average of the spot prices for Brent, Dubai, Nigerian Forcados and West Texas Intermediate crude oil."/>
    <n v="583255328.323125"/>
    <m/>
    <m/>
    <m/>
    <m/>
    <m/>
    <m/>
    <m/>
    <m/>
    <m/>
    <m/>
    <m/>
    <m/>
    <m/>
    <m/>
    <m/>
    <m/>
    <m/>
    <m/>
    <m/>
    <m/>
    <m/>
    <m/>
    <m/>
    <m/>
    <m/>
    <m/>
    <m/>
    <m/>
    <m/>
    <m/>
    <m/>
    <m/>
    <m/>
    <m/>
    <m/>
    <m/>
    <m/>
    <m/>
    <m/>
    <m/>
    <m/>
    <m/>
    <m/>
    <m/>
    <m/>
  </r>
  <r>
    <x v="76"/>
    <n v="2011"/>
    <x v="13"/>
    <s v="Latin America and Caribbean"/>
    <m/>
    <s v="Mining"/>
    <s v="yes"/>
    <s v="no"/>
    <s v="no"/>
    <s v="Total Mining"/>
    <s v="Total"/>
    <s v="Total Mining"/>
    <m/>
    <m/>
    <m/>
    <m/>
    <m/>
    <m/>
    <m/>
    <m/>
    <m/>
    <n v="1366195123.6215825"/>
    <m/>
    <m/>
    <m/>
    <m/>
    <m/>
    <m/>
    <m/>
    <m/>
    <m/>
    <m/>
    <m/>
    <m/>
    <m/>
    <m/>
    <m/>
    <m/>
    <m/>
    <m/>
    <m/>
    <m/>
    <m/>
    <m/>
    <m/>
    <m/>
    <m/>
    <m/>
    <m/>
    <m/>
    <m/>
    <m/>
    <m/>
    <m/>
    <m/>
    <m/>
    <m/>
    <m/>
    <m/>
    <m/>
    <m/>
    <m/>
    <m/>
    <m/>
    <m/>
    <m/>
    <m/>
  </r>
  <r>
    <x v="76"/>
    <n v="2011"/>
    <x v="13"/>
    <s v="Latin America and Caribbean"/>
    <m/>
    <s v="Mining"/>
    <s v="yes"/>
    <s v="no"/>
    <s v="no"/>
    <s v="Basalt"/>
    <s v="detailed"/>
    <s v="detailed Mining"/>
    <n v="1051000"/>
    <m/>
    <m/>
    <m/>
    <m/>
    <s v="m³"/>
    <m/>
    <m/>
    <s v="Volume from USGS Mineral Yearbook 2012"/>
    <n v="0"/>
    <m/>
    <m/>
    <m/>
    <m/>
    <m/>
    <m/>
    <m/>
    <m/>
    <m/>
    <m/>
    <m/>
    <m/>
    <m/>
    <m/>
    <m/>
    <m/>
    <m/>
    <m/>
    <m/>
    <m/>
    <m/>
    <m/>
    <m/>
    <m/>
    <m/>
    <m/>
    <m/>
    <m/>
    <m/>
    <m/>
    <m/>
    <m/>
    <m/>
    <m/>
    <m/>
    <m/>
    <m/>
    <m/>
    <m/>
    <m/>
    <m/>
    <m/>
    <m/>
    <m/>
    <m/>
  </r>
  <r>
    <x v="76"/>
    <n v="2011"/>
    <x v="13"/>
    <s v="Latin America and Caribbean"/>
    <m/>
    <s v="Mining"/>
    <s v="yes"/>
    <s v="no"/>
    <s v="no"/>
    <s v="Bentonite clay"/>
    <s v="detailed"/>
    <s v="detailed Mining"/>
    <n v="44463"/>
    <m/>
    <m/>
    <m/>
    <m/>
    <s v="t"/>
    <n v="61"/>
    <s v="US$/t"/>
    <s v="Volume from USGS Mineral Yearbook 2012. Price from USGS Mineral Commodity Summary 2014, and is the price for bentonite clay in the US."/>
    <n v="2712243"/>
    <m/>
    <m/>
    <m/>
    <m/>
    <m/>
    <m/>
    <m/>
    <m/>
    <m/>
    <m/>
    <m/>
    <m/>
    <m/>
    <m/>
    <m/>
    <m/>
    <m/>
    <m/>
    <m/>
    <m/>
    <m/>
    <m/>
    <m/>
    <m/>
    <m/>
    <m/>
    <m/>
    <m/>
    <m/>
    <m/>
    <m/>
    <m/>
    <m/>
    <m/>
    <m/>
    <m/>
    <m/>
    <m/>
    <m/>
    <m/>
    <m/>
    <m/>
    <m/>
    <m/>
    <m/>
  </r>
  <r>
    <x v="76"/>
    <n v="2011"/>
    <x v="13"/>
    <s v="Latin America and Caribbean"/>
    <m/>
    <s v="Mining"/>
    <s v="yes"/>
    <s v="no"/>
    <s v="no"/>
    <s v="Cement"/>
    <s v="detailed"/>
    <s v="detailed Mining"/>
    <n v="1600000"/>
    <m/>
    <m/>
    <m/>
    <m/>
    <s v="t"/>
    <n v="89.5"/>
    <s v="US$/t"/>
    <s v="Volume from USGS Mineral Yearbook 2012. Price from USGS Mineral Commodity Summary 2014, and is the average mill price for cement in the US."/>
    <n v="143200000"/>
    <m/>
    <m/>
    <m/>
    <m/>
    <m/>
    <m/>
    <m/>
    <m/>
    <m/>
    <m/>
    <m/>
    <m/>
    <m/>
    <m/>
    <m/>
    <m/>
    <m/>
    <m/>
    <m/>
    <m/>
    <m/>
    <m/>
    <m/>
    <m/>
    <m/>
    <m/>
    <m/>
    <m/>
    <m/>
    <m/>
    <m/>
    <m/>
    <m/>
    <m/>
    <m/>
    <m/>
    <m/>
    <m/>
    <m/>
    <m/>
    <m/>
    <m/>
    <m/>
    <m/>
    <m/>
  </r>
  <r>
    <x v="76"/>
    <n v="2011"/>
    <x v="13"/>
    <s v="Latin America and Caribbean"/>
    <m/>
    <s v="Mining"/>
    <s v="yes"/>
    <s v="no"/>
    <s v="no"/>
    <s v="Dolomite"/>
    <s v="detailed"/>
    <s v="detailed Mining"/>
    <n v="3631920"/>
    <m/>
    <m/>
    <m/>
    <m/>
    <s v="t"/>
    <n v="9.9700000000000006"/>
    <s v="US$/t"/>
    <s v="Volume from USGS Mineral Yearbook 2012. Price from USGS Mineral Yearbook 2012, and is the price in the US for crushed dolomite."/>
    <n v="36210242.400000006"/>
    <m/>
    <m/>
    <m/>
    <m/>
    <m/>
    <m/>
    <m/>
    <m/>
    <m/>
    <m/>
    <m/>
    <m/>
    <m/>
    <m/>
    <m/>
    <m/>
    <m/>
    <m/>
    <m/>
    <m/>
    <m/>
    <m/>
    <m/>
    <m/>
    <m/>
    <m/>
    <m/>
    <m/>
    <m/>
    <m/>
    <m/>
    <m/>
    <m/>
    <m/>
    <m/>
    <m/>
    <m/>
    <m/>
    <m/>
    <m/>
    <m/>
    <m/>
    <m/>
    <m/>
    <m/>
  </r>
  <r>
    <x v="76"/>
    <n v="2011"/>
    <x v="13"/>
    <s v="Latin America and Caribbean"/>
    <m/>
    <s v="Mining"/>
    <s v="yes"/>
    <s v="no"/>
    <s v="no"/>
    <s v="Feldspar"/>
    <s v="detailed"/>
    <s v="detailed Mining"/>
    <n v="2890"/>
    <m/>
    <m/>
    <m/>
    <m/>
    <s v="t"/>
    <n v="62"/>
    <s v="US$/t"/>
    <s v="Volume from USGS Mineral Yearbook 2012. Price from USGS Mineral Commodity Summary 2014, and is the price for marketable production in the US."/>
    <n v="179180"/>
    <m/>
    <m/>
    <m/>
    <m/>
    <m/>
    <m/>
    <m/>
    <m/>
    <m/>
    <m/>
    <m/>
    <m/>
    <m/>
    <m/>
    <m/>
    <m/>
    <m/>
    <m/>
    <m/>
    <m/>
    <m/>
    <m/>
    <m/>
    <m/>
    <m/>
    <m/>
    <m/>
    <m/>
    <m/>
    <m/>
    <m/>
    <m/>
    <m/>
    <m/>
    <m/>
    <m/>
    <m/>
    <m/>
    <m/>
    <m/>
    <m/>
    <m/>
    <m/>
    <m/>
    <m/>
  </r>
  <r>
    <x v="76"/>
    <n v="2011"/>
    <x v="13"/>
    <s v="Latin America and Caribbean"/>
    <m/>
    <s v="Mining"/>
    <s v="yes"/>
    <s v="no"/>
    <s v="no"/>
    <s v="Ferruginous clay"/>
    <s v="detailed"/>
    <s v="detailed Mining"/>
    <n v="152000"/>
    <m/>
    <m/>
    <m/>
    <m/>
    <s v="t"/>
    <n v="12"/>
    <s v="US$/t"/>
    <s v="Volume from USGS Mineral Yearbook 2012. Price from USGS Mineral Commodity Summary 2014, and is the price for common clay in the US."/>
    <n v="1824000"/>
    <m/>
    <m/>
    <m/>
    <m/>
    <m/>
    <m/>
    <m/>
    <m/>
    <m/>
    <m/>
    <m/>
    <m/>
    <m/>
    <m/>
    <m/>
    <m/>
    <m/>
    <m/>
    <m/>
    <m/>
    <m/>
    <m/>
    <m/>
    <m/>
    <m/>
    <m/>
    <m/>
    <m/>
    <m/>
    <m/>
    <m/>
    <m/>
    <m/>
    <m/>
    <m/>
    <m/>
    <m/>
    <m/>
    <m/>
    <m/>
    <m/>
    <m/>
    <m/>
    <m/>
    <m/>
  </r>
  <r>
    <x v="76"/>
    <n v="2011"/>
    <x v="13"/>
    <s v="Latin America and Caribbean"/>
    <m/>
    <s v="Mining"/>
    <s v="yes"/>
    <s v="no"/>
    <s v="no"/>
    <s v="Flagstone (phyllite)"/>
    <s v="detailed"/>
    <s v="detailed Mining"/>
    <n v="70000"/>
    <m/>
    <m/>
    <m/>
    <m/>
    <s v="m³"/>
    <m/>
    <m/>
    <s v="Volume from USGS Mineral Yearbook 2012"/>
    <m/>
    <m/>
    <m/>
    <m/>
    <m/>
    <m/>
    <m/>
    <m/>
    <m/>
    <m/>
    <m/>
    <m/>
    <m/>
    <m/>
    <m/>
    <m/>
    <m/>
    <m/>
    <m/>
    <m/>
    <m/>
    <m/>
    <m/>
    <m/>
    <m/>
    <m/>
    <m/>
    <m/>
    <m/>
    <m/>
    <m/>
    <m/>
    <m/>
    <m/>
    <m/>
    <m/>
    <m/>
    <m/>
    <m/>
    <m/>
    <m/>
    <m/>
    <m/>
    <m/>
    <m/>
    <m/>
  </r>
  <r>
    <x v="76"/>
    <n v="2011"/>
    <x v="13"/>
    <s v="Latin America and Caribbean"/>
    <m/>
    <s v="Mining"/>
    <s v="yes"/>
    <s v="no"/>
    <s v="no"/>
    <s v="Gold"/>
    <s v="detailed"/>
    <s v="detailed Mining"/>
    <n v="382529.54171916842"/>
    <m/>
    <m/>
    <m/>
    <m/>
    <s v="toz"/>
    <n v="1569.2108333333299"/>
    <s v="US$/toz"/>
    <s v="Volume from USGS Mineral Yearbook 2012. Price from World Bank (Global Economic Monitor (GEM) Commodities database), and is defined as: Gold (UK), 99.5% fine, London afternoon fixing, average of daily rates."/>
    <n v="600269500.93575311"/>
    <m/>
    <m/>
    <m/>
    <m/>
    <m/>
    <m/>
    <m/>
    <m/>
    <m/>
    <m/>
    <m/>
    <m/>
    <m/>
    <m/>
    <m/>
    <m/>
    <m/>
    <m/>
    <m/>
    <m/>
    <m/>
    <m/>
    <m/>
    <m/>
    <m/>
    <m/>
    <m/>
    <m/>
    <m/>
    <m/>
    <m/>
    <m/>
    <m/>
    <m/>
    <m/>
    <m/>
    <m/>
    <m/>
    <m/>
    <m/>
    <m/>
    <m/>
    <m/>
    <m/>
    <m/>
  </r>
  <r>
    <x v="76"/>
    <n v="2011"/>
    <x v="13"/>
    <s v="Latin America and Caribbean"/>
    <m/>
    <s v="Mining"/>
    <s v="yes"/>
    <s v="no"/>
    <s v="no"/>
    <s v="Granite"/>
    <s v="detailed"/>
    <s v="detailed Mining"/>
    <n v="161"/>
    <m/>
    <m/>
    <m/>
    <m/>
    <s v="t"/>
    <n v="12.07"/>
    <s v="US$/t"/>
    <s v="Volume from USGS Mineral Yearbook 2012. Price from USGS Mineral Yearbook 2011, and is the price in the US for crushed granite."/>
    <n v="1943.27"/>
    <m/>
    <m/>
    <m/>
    <m/>
    <m/>
    <m/>
    <m/>
    <m/>
    <m/>
    <m/>
    <m/>
    <m/>
    <m/>
    <m/>
    <m/>
    <m/>
    <m/>
    <m/>
    <m/>
    <m/>
    <m/>
    <m/>
    <m/>
    <m/>
    <m/>
    <m/>
    <m/>
    <m/>
    <m/>
    <m/>
    <m/>
    <m/>
    <m/>
    <m/>
    <m/>
    <m/>
    <m/>
    <m/>
    <m/>
    <m/>
    <m/>
    <m/>
    <m/>
    <m/>
    <m/>
  </r>
  <r>
    <x v="76"/>
    <n v="2011"/>
    <x v="13"/>
    <s v="Latin America and Caribbean"/>
    <m/>
    <s v="Mining"/>
    <s v="yes"/>
    <s v="no"/>
    <s v="no"/>
    <s v="Gypsum (crude)"/>
    <s v="detailed"/>
    <s v="detailed Mining"/>
    <n v="46000"/>
    <m/>
    <m/>
    <m/>
    <m/>
    <s v="t"/>
    <n v="18.5"/>
    <s v="US$/t"/>
    <s v="Volume from USGS Mineral Yearbook 2012. Price from USGS Mineral Commodity Summary 2013, and is the average f.o.b. price for crude and calcined products."/>
    <n v="851000"/>
    <m/>
    <m/>
    <m/>
    <m/>
    <m/>
    <m/>
    <m/>
    <m/>
    <m/>
    <m/>
    <m/>
    <m/>
    <m/>
    <m/>
    <m/>
    <m/>
    <m/>
    <m/>
    <m/>
    <m/>
    <m/>
    <m/>
    <m/>
    <m/>
    <m/>
    <m/>
    <m/>
    <m/>
    <m/>
    <m/>
    <m/>
    <m/>
    <m/>
    <m/>
    <m/>
    <m/>
    <m/>
    <m/>
    <m/>
    <m/>
    <m/>
    <m/>
    <m/>
    <m/>
    <m/>
  </r>
  <r>
    <x v="76"/>
    <n v="2011"/>
    <x v="13"/>
    <s v="Latin America and Caribbean"/>
    <m/>
    <s v="Mining"/>
    <s v="yes"/>
    <s v="no"/>
    <s v="no"/>
    <s v="Iron ore"/>
    <s v="detailed"/>
    <s v="detailed Mining"/>
    <n v="1160"/>
    <m/>
    <m/>
    <m/>
    <m/>
    <s v="t"/>
    <n v="167.75416666666999"/>
    <s v="US$/t"/>
    <s v="Volume from USGS Mineral Yearbook 2012. Price from World Bank (Global Economic Monitor (GEM) Commodities database), and is defined as: Gold (UK), 99.5% fine, London afternoon fixing, average of daily rates."/>
    <n v="194594.83333333718"/>
    <m/>
    <m/>
    <m/>
    <m/>
    <m/>
    <m/>
    <m/>
    <m/>
    <m/>
    <m/>
    <m/>
    <m/>
    <m/>
    <m/>
    <m/>
    <m/>
    <m/>
    <m/>
    <m/>
    <m/>
    <m/>
    <m/>
    <m/>
    <m/>
    <m/>
    <m/>
    <m/>
    <m/>
    <m/>
    <m/>
    <m/>
    <m/>
    <m/>
    <m/>
    <m/>
    <m/>
    <m/>
    <m/>
    <m/>
    <m/>
    <m/>
    <m/>
    <m/>
    <m/>
    <m/>
  </r>
  <r>
    <x v="76"/>
    <n v="2011"/>
    <x v="13"/>
    <s v="Latin America and Caribbean"/>
    <m/>
    <s v="Mining"/>
    <s v="yes"/>
    <s v="no"/>
    <s v="no"/>
    <s v="Jadeite"/>
    <s v="detailed"/>
    <s v="detailed Mining"/>
    <n v="27"/>
    <m/>
    <m/>
    <m/>
    <m/>
    <s v="t"/>
    <m/>
    <m/>
    <s v="Volume from USGS Mineral Yearbook 2012"/>
    <m/>
    <m/>
    <m/>
    <m/>
    <m/>
    <m/>
    <m/>
    <m/>
    <m/>
    <m/>
    <m/>
    <m/>
    <m/>
    <m/>
    <m/>
    <m/>
    <m/>
    <m/>
    <m/>
    <m/>
    <m/>
    <m/>
    <m/>
    <m/>
    <m/>
    <m/>
    <m/>
    <m/>
    <m/>
    <m/>
    <m/>
    <m/>
    <m/>
    <m/>
    <m/>
    <m/>
    <m/>
    <m/>
    <m/>
    <m/>
    <m/>
    <m/>
    <m/>
    <m/>
    <m/>
    <m/>
  </r>
  <r>
    <x v="76"/>
    <n v="2011"/>
    <x v="13"/>
    <s v="Latin America and Caribbean"/>
    <m/>
    <s v="Mining"/>
    <s v="yes"/>
    <s v="no"/>
    <s v="no"/>
    <s v="Kaolin clay"/>
    <s v="detailed"/>
    <s v="detailed Mining"/>
    <n v="4057"/>
    <m/>
    <m/>
    <m/>
    <m/>
    <s v="t"/>
    <n v="143"/>
    <s v="US$/t"/>
    <s v="Volume from USGS Mineral Yearbook 2012. Price from USGS Mineral Commodity Summary 2014, and is the price for kaolin clay in the US."/>
    <n v="580151"/>
    <m/>
    <m/>
    <m/>
    <m/>
    <m/>
    <m/>
    <m/>
    <m/>
    <m/>
    <m/>
    <m/>
    <m/>
    <m/>
    <m/>
    <m/>
    <m/>
    <m/>
    <m/>
    <m/>
    <m/>
    <m/>
    <m/>
    <m/>
    <m/>
    <m/>
    <m/>
    <m/>
    <m/>
    <m/>
    <m/>
    <m/>
    <m/>
    <m/>
    <m/>
    <m/>
    <m/>
    <m/>
    <m/>
    <m/>
    <m/>
    <m/>
    <m/>
    <m/>
    <m/>
    <m/>
  </r>
  <r>
    <x v="76"/>
    <n v="2011"/>
    <x v="13"/>
    <s v="Latin America and Caribbean"/>
    <m/>
    <s v="Mining"/>
    <s v="yes"/>
    <s v="no"/>
    <s v="no"/>
    <s v="Magnesium compounds (magnesite)"/>
    <s v="detailed"/>
    <s v="detailed Mining"/>
    <n v="311"/>
    <m/>
    <m/>
    <m/>
    <m/>
    <s v="t"/>
    <n v="3860.43"/>
    <s v="US$/t"/>
    <s v="Volume from USGS Mineral Yearbook 2012. Price is from the USGS Mineral Commodity Summary 2013, and is the average price in the US and China markets."/>
    <n v="1200593.73"/>
    <m/>
    <m/>
    <m/>
    <m/>
    <m/>
    <m/>
    <m/>
    <m/>
    <m/>
    <m/>
    <m/>
    <m/>
    <m/>
    <m/>
    <m/>
    <m/>
    <m/>
    <m/>
    <m/>
    <m/>
    <m/>
    <m/>
    <m/>
    <m/>
    <m/>
    <m/>
    <m/>
    <m/>
    <m/>
    <m/>
    <m/>
    <m/>
    <m/>
    <m/>
    <m/>
    <m/>
    <m/>
    <m/>
    <m/>
    <m/>
    <m/>
    <m/>
    <m/>
    <m/>
    <m/>
  </r>
  <r>
    <x v="76"/>
    <n v="2011"/>
    <x v="13"/>
    <s v="Latin America and Caribbean"/>
    <m/>
    <s v="Mining"/>
    <s v="yes"/>
    <s v="no"/>
    <s v="no"/>
    <s v="Marble (block)"/>
    <s v="detailed"/>
    <s v="detailed Mining"/>
    <n v="1999.98"/>
    <m/>
    <m/>
    <m/>
    <m/>
    <s v="t"/>
    <n v="15.3"/>
    <s v="US$/t"/>
    <s v="Volume from USGS Mineral Yearbook 2012. Price from USGS Mineral Yearbook 2012, and is the price in the US for crushed marble."/>
    <n v="30599.694000000003"/>
    <m/>
    <m/>
    <m/>
    <m/>
    <m/>
    <m/>
    <m/>
    <m/>
    <m/>
    <m/>
    <m/>
    <m/>
    <m/>
    <m/>
    <m/>
    <m/>
    <m/>
    <m/>
    <m/>
    <m/>
    <m/>
    <m/>
    <m/>
    <m/>
    <m/>
    <m/>
    <m/>
    <m/>
    <m/>
    <m/>
    <m/>
    <m/>
    <m/>
    <m/>
    <m/>
    <m/>
    <m/>
    <m/>
    <m/>
    <m/>
    <m/>
    <m/>
    <m/>
    <m/>
    <m/>
  </r>
  <r>
    <x v="76"/>
    <n v="2011"/>
    <x v="13"/>
    <s v="Latin America and Caribbean"/>
    <m/>
    <s v="Mining"/>
    <s v="yes"/>
    <s v="no"/>
    <s v="no"/>
    <s v="Marl"/>
    <s v="detailed"/>
    <s v="detailed Mining"/>
    <n v="1120"/>
    <m/>
    <m/>
    <m/>
    <m/>
    <s v="m³"/>
    <n v="6.14"/>
    <s v="US$/t"/>
    <s v="Volume from USGS Mineral Yearbook 2012. Price from USGS Mineral Yearbook 2011, and is the price in the US for crushed marl."/>
    <n v="6876.7999999999993"/>
    <m/>
    <m/>
    <m/>
    <m/>
    <m/>
    <m/>
    <m/>
    <m/>
    <m/>
    <m/>
    <m/>
    <m/>
    <m/>
    <m/>
    <m/>
    <m/>
    <m/>
    <m/>
    <m/>
    <m/>
    <m/>
    <m/>
    <m/>
    <m/>
    <m/>
    <m/>
    <m/>
    <m/>
    <m/>
    <m/>
    <m/>
    <m/>
    <m/>
    <m/>
    <m/>
    <m/>
    <m/>
    <m/>
    <m/>
    <m/>
    <m/>
    <m/>
    <m/>
    <m/>
    <m/>
  </r>
  <r>
    <x v="76"/>
    <n v="2011"/>
    <x v="13"/>
    <s v="Latin America and Caribbean"/>
    <m/>
    <s v="Mining"/>
    <s v="yes"/>
    <s v="no"/>
    <s v="no"/>
    <s v="Quartz"/>
    <s v="detailed"/>
    <s v="detailed Mining"/>
    <n v="800"/>
    <m/>
    <m/>
    <m/>
    <m/>
    <s v="t"/>
    <m/>
    <m/>
    <s v="Volume from USGS Mineral Yearbook 2012"/>
    <m/>
    <m/>
    <m/>
    <m/>
    <m/>
    <m/>
    <m/>
    <m/>
    <m/>
    <m/>
    <m/>
    <m/>
    <m/>
    <m/>
    <m/>
    <m/>
    <m/>
    <m/>
    <m/>
    <m/>
    <m/>
    <m/>
    <m/>
    <m/>
    <m/>
    <m/>
    <m/>
    <m/>
    <m/>
    <m/>
    <m/>
    <m/>
    <m/>
    <m/>
    <m/>
    <m/>
    <m/>
    <m/>
    <m/>
    <m/>
    <m/>
    <m/>
    <m/>
    <m/>
    <m/>
    <m/>
  </r>
  <r>
    <x v="76"/>
    <n v="2011"/>
    <x v="13"/>
    <s v="Latin America and Caribbean"/>
    <m/>
    <s v="Mining"/>
    <s v="yes"/>
    <s v="no"/>
    <s v="no"/>
    <s v="Salt"/>
    <s v="detailed"/>
    <s v="detailed Mining"/>
    <n v="50000"/>
    <m/>
    <m/>
    <m/>
    <m/>
    <s v="t"/>
    <n v="67.89"/>
    <s v="US$/t"/>
    <s v="Volume from USGS Mineral Yearbook 2012. Price from USGS Mineral Commodity Summary 2013, and is the average f.o.b. mine and plant price for bulk, pellets and packaged vacuum and open pan salt, solar salt, rock salt and salt in brine."/>
    <n v="3394500"/>
    <m/>
    <m/>
    <m/>
    <m/>
    <m/>
    <m/>
    <m/>
    <m/>
    <m/>
    <m/>
    <m/>
    <m/>
    <m/>
    <m/>
    <m/>
    <m/>
    <m/>
    <m/>
    <m/>
    <m/>
    <m/>
    <m/>
    <m/>
    <m/>
    <m/>
    <m/>
    <m/>
    <m/>
    <m/>
    <m/>
    <m/>
    <m/>
    <m/>
    <m/>
    <m/>
    <m/>
    <m/>
    <m/>
    <m/>
    <m/>
    <m/>
    <m/>
    <m/>
    <m/>
    <m/>
  </r>
  <r>
    <x v="76"/>
    <n v="2011"/>
    <x v="13"/>
    <s v="Latin America and Caribbean"/>
    <m/>
    <s v="Mining"/>
    <s v="yes"/>
    <s v="no"/>
    <s v="no"/>
    <s v="Sand and gravel"/>
    <s v="detailed"/>
    <s v="detailed Mining"/>
    <n v="3802601.55"/>
    <m/>
    <m/>
    <m/>
    <m/>
    <s v="t"/>
    <n v="7.49"/>
    <s v="US$/t"/>
    <s v="Volume from USGS Mineral Yearbook 2012. Price from USGS Mineral Yearbook 2012, and is the price in the US for construction sand and gravel."/>
    <n v="28481485.609499998"/>
    <m/>
    <m/>
    <m/>
    <m/>
    <m/>
    <m/>
    <m/>
    <m/>
    <m/>
    <m/>
    <m/>
    <m/>
    <m/>
    <m/>
    <m/>
    <m/>
    <m/>
    <m/>
    <m/>
    <m/>
    <m/>
    <m/>
    <m/>
    <m/>
    <m/>
    <m/>
    <m/>
    <m/>
    <m/>
    <m/>
    <m/>
    <m/>
    <m/>
    <m/>
    <m/>
    <m/>
    <m/>
    <m/>
    <m/>
    <m/>
    <m/>
    <m/>
    <m/>
    <m/>
    <m/>
  </r>
  <r>
    <x v="76"/>
    <n v="2011"/>
    <x v="13"/>
    <s v="Latin America and Caribbean"/>
    <m/>
    <s v="Mining"/>
    <s v="yes"/>
    <s v="no"/>
    <s v="no"/>
    <s v="Silver"/>
    <s v="detailed"/>
    <s v="detailed Mining"/>
    <n v="8769790.3533601686"/>
    <m/>
    <m/>
    <m/>
    <m/>
    <s v="toz"/>
    <n v="35.22411666667"/>
    <s v="US$/toz"/>
    <s v="Volume from USGS Mineral Yearbook 2012. Price from World Bank (Global Economic Monitor (GEM) Commodities database), and is defined as: Silver (Handy &amp; Harman), 99.9% grade refined, New York."/>
    <n v="308908118.54899567"/>
    <m/>
    <m/>
    <m/>
    <m/>
    <m/>
    <m/>
    <m/>
    <m/>
    <m/>
    <m/>
    <m/>
    <m/>
    <m/>
    <m/>
    <m/>
    <m/>
    <m/>
    <m/>
    <m/>
    <m/>
    <m/>
    <m/>
    <m/>
    <m/>
    <m/>
    <m/>
    <m/>
    <m/>
    <m/>
    <m/>
    <m/>
    <m/>
    <m/>
    <m/>
    <m/>
    <m/>
    <m/>
    <m/>
    <m/>
    <m/>
    <m/>
    <m/>
    <m/>
    <m/>
    <m/>
  </r>
  <r>
    <x v="76"/>
    <n v="2011"/>
    <x v="13"/>
    <s v="Latin America and Caribbean"/>
    <m/>
    <s v="Mining"/>
    <s v="yes"/>
    <s v="no"/>
    <s v="no"/>
    <s v="Slate"/>
    <s v="detailed"/>
    <s v="detailed Mining"/>
    <n v="486890"/>
    <m/>
    <m/>
    <m/>
    <m/>
    <s v="t"/>
    <n v="12.67"/>
    <s v="US$/t"/>
    <s v="Volume from USGS Mineral Yearbook 2012. Price from USGS Mineral Yearbook 2011, and is the price in the US for crushed slate."/>
    <n v="6168896.2999999998"/>
    <m/>
    <m/>
    <m/>
    <m/>
    <m/>
    <m/>
    <m/>
    <m/>
    <m/>
    <m/>
    <m/>
    <m/>
    <m/>
    <m/>
    <m/>
    <m/>
    <m/>
    <m/>
    <m/>
    <m/>
    <m/>
    <m/>
    <m/>
    <m/>
    <m/>
    <m/>
    <m/>
    <m/>
    <m/>
    <m/>
    <m/>
    <m/>
    <m/>
    <m/>
    <m/>
    <m/>
    <m/>
    <m/>
    <m/>
    <m/>
    <m/>
    <m/>
    <m/>
    <m/>
    <m/>
  </r>
  <r>
    <x v="76"/>
    <n v="2011"/>
    <x v="13"/>
    <s v="Latin America and Caribbean"/>
    <m/>
    <s v="Mining"/>
    <s v="yes"/>
    <s v="no"/>
    <s v="no"/>
    <s v="Steel (crude)"/>
    <s v="detailed"/>
    <s v="detailed Mining"/>
    <n v="300000"/>
    <m/>
    <m/>
    <m/>
    <m/>
    <s v="t"/>
    <n v="768.715208333335"/>
    <s v="US$/t"/>
    <s v="Volume from USGS Mineral Yearbook 2012. Price from World Bank (Global Economic Monitor (GEM) Commodities database), and is an average of the prices for steel coilsheets, wirerods and rebars."/>
    <n v="230614562.50000051"/>
    <m/>
    <m/>
    <m/>
    <m/>
    <m/>
    <m/>
    <m/>
    <m/>
    <m/>
    <m/>
    <m/>
    <m/>
    <m/>
    <m/>
    <m/>
    <m/>
    <m/>
    <m/>
    <m/>
    <m/>
    <m/>
    <m/>
    <m/>
    <m/>
    <m/>
    <m/>
    <m/>
    <m/>
    <m/>
    <m/>
    <m/>
    <m/>
    <m/>
    <m/>
    <m/>
    <m/>
    <m/>
    <m/>
    <m/>
    <m/>
    <m/>
    <m/>
    <m/>
    <m/>
    <m/>
  </r>
  <r>
    <x v="76"/>
    <n v="2011"/>
    <x v="13"/>
    <s v="Latin America and Caribbean"/>
    <m/>
    <s v="Mining"/>
    <s v="yes"/>
    <s v="no"/>
    <s v="no"/>
    <s v="Talc and steatite"/>
    <s v="detailed"/>
    <s v="detailed Mining"/>
    <n v="8817"/>
    <m/>
    <m/>
    <m/>
    <m/>
    <s v="t"/>
    <n v="155"/>
    <s v="US$/t"/>
    <s v="Volume from USGS Mineral Yearbook 2012. Price from USGS Mineral Commodity Summary 2013, and is the price for processed talc in the US."/>
    <n v="1366635"/>
    <m/>
    <m/>
    <m/>
    <m/>
    <m/>
    <m/>
    <m/>
    <m/>
    <m/>
    <m/>
    <m/>
    <m/>
    <m/>
    <m/>
    <m/>
    <m/>
    <m/>
    <m/>
    <m/>
    <m/>
    <m/>
    <m/>
    <m/>
    <m/>
    <m/>
    <m/>
    <m/>
    <m/>
    <m/>
    <m/>
    <m/>
    <m/>
    <m/>
    <m/>
    <m/>
    <m/>
    <m/>
    <m/>
    <m/>
    <m/>
    <m/>
    <m/>
    <m/>
    <m/>
    <m/>
  </r>
  <r>
    <x v="76"/>
    <n v="2011"/>
    <x v="13"/>
    <s v="Latin America and Caribbean"/>
    <m/>
    <s v="Mining"/>
    <s v="yes"/>
    <s v="no"/>
    <s v="no"/>
    <s v="Tuff"/>
    <s v="detailed"/>
    <s v="detailed Mining"/>
    <n v="126138"/>
    <m/>
    <m/>
    <m/>
    <m/>
    <s v="m³"/>
    <m/>
    <m/>
    <s v="Volume from USGS Mineral Yearbook 2012"/>
    <m/>
    <m/>
    <m/>
    <m/>
    <m/>
    <m/>
    <m/>
    <m/>
    <m/>
    <m/>
    <m/>
    <m/>
    <m/>
    <m/>
    <m/>
    <m/>
    <m/>
    <m/>
    <m/>
    <m/>
    <m/>
    <m/>
    <m/>
    <m/>
    <m/>
    <m/>
    <m/>
    <m/>
    <m/>
    <m/>
    <m/>
    <m/>
    <m/>
    <m/>
    <m/>
    <m/>
    <m/>
    <m/>
    <m/>
    <m/>
    <m/>
    <m/>
    <m/>
    <m/>
    <m/>
    <m/>
  </r>
  <r>
    <x v="77"/>
    <n v="2005"/>
    <x v="14"/>
    <s v="Africa"/>
    <s v="http://www.itie-guinee.org/"/>
    <s v="Mining"/>
    <s v="yes"/>
    <s v="no"/>
    <s v="no"/>
    <s v="Total"/>
    <s v="Total"/>
    <s v="Total Mining"/>
    <m/>
    <m/>
    <m/>
    <m/>
    <m/>
    <m/>
    <m/>
    <m/>
    <m/>
    <n v="752957716.71964526"/>
    <s v="Profits/Taxes, Royalties, Dividends, Other significant benefits to government"/>
    <s v="Does not include payments made in-kind"/>
    <s v="-"/>
    <n v="138153403"/>
    <n v="139444841"/>
    <m/>
    <m/>
    <m/>
    <n v="0.18348095773808207"/>
    <s v="United States Dollar and Guinean Franc"/>
    <n v="3.6440000000000001"/>
    <s v="Disaggregated by revenue stream, Disaggregated by company"/>
    <m/>
    <m/>
    <m/>
    <m/>
    <n v="6"/>
    <s v="Alumina Company of Guinea (ACG), Compagnie des Bauxites de Guinée (CBG), Compagnie des Bauxites de Kindia (CBK), Societé Anglo Gold Ashanti de Guinée_x000a_(SAG), Société Minière de DINGUIRAYE (SMD), SEMAFO"/>
    <n v="6"/>
    <s v="July 2007"/>
    <d v="2014-09-15T00:00:00"/>
    <s v="KPMG"/>
    <s v="http://eiti.org/files/Guinea%202005%20EITI%20Report.pdf"/>
    <s v="5"/>
    <s v="The report uses US dollars for payments to central government, and the local currency, the Guinean Franc, for payments to local government and import/export taxes. Materiality threshold: not given. Unilateral declarations are included in the figures.  The report does not specify what minerals are mined. "/>
    <m/>
    <m/>
    <m/>
    <m/>
    <m/>
    <m/>
    <m/>
    <m/>
    <m/>
    <m/>
    <m/>
    <m/>
    <m/>
    <m/>
    <m/>
    <m/>
    <m/>
    <m/>
    <m/>
    <m/>
  </r>
  <r>
    <x v="77"/>
    <n v="2005"/>
    <x v="14"/>
    <s v="Africa"/>
    <m/>
    <s v="Mining"/>
    <s v="yes"/>
    <s v="no"/>
    <s v="no"/>
    <s v="Bauxite"/>
    <s v="detailed"/>
    <s v="detailed Mining"/>
    <n v="14600000"/>
    <m/>
    <m/>
    <m/>
    <m/>
    <s v="t"/>
    <n v="22.271483"/>
    <s v="US$/t"/>
    <s v="Volume from USGS Mineral Yearbook 2009 (though, based on volume information in subsequent EITI Reports, it is assumed to be millions, rather than thousands, of tonnes). Price from USGS Mineral Yearbook 2005, and is the average f.a.s. price of US imports of crude and dried bauxite, adjusted to account for the price given in the 2011 EITI Report being 86.09% of this in 2011."/>
    <n v="325163651.80000001"/>
    <m/>
    <m/>
    <m/>
    <m/>
    <m/>
    <m/>
    <m/>
    <m/>
    <m/>
    <m/>
    <m/>
    <m/>
    <m/>
    <m/>
    <m/>
    <m/>
    <m/>
    <m/>
    <m/>
    <m/>
    <m/>
    <m/>
    <m/>
    <m/>
    <m/>
    <m/>
    <m/>
    <m/>
    <m/>
    <m/>
    <m/>
    <m/>
    <m/>
    <m/>
    <m/>
    <m/>
    <m/>
    <m/>
    <m/>
    <m/>
    <m/>
    <m/>
    <m/>
    <m/>
    <m/>
  </r>
  <r>
    <x v="77"/>
    <n v="2005"/>
    <x v="14"/>
    <s v="Africa"/>
    <m/>
    <s v="Mining"/>
    <s v="yes"/>
    <s v="no"/>
    <s v="no"/>
    <s v="Diamond"/>
    <s v="detailed"/>
    <s v="detailed Mining"/>
    <n v="549000"/>
    <m/>
    <m/>
    <m/>
    <m/>
    <s v="carats"/>
    <n v="86.52"/>
    <s v="US$/carat"/>
    <s v="Volume from USGS Mineral Yearbook 2009. Price from kimberley Process Annual Summary 2005."/>
    <n v="47499480"/>
    <m/>
    <m/>
    <m/>
    <m/>
    <m/>
    <m/>
    <m/>
    <m/>
    <m/>
    <m/>
    <m/>
    <m/>
    <m/>
    <m/>
    <m/>
    <m/>
    <m/>
    <m/>
    <m/>
    <m/>
    <m/>
    <m/>
    <m/>
    <m/>
    <m/>
    <m/>
    <m/>
    <m/>
    <m/>
    <m/>
    <m/>
    <m/>
    <m/>
    <m/>
    <m/>
    <m/>
    <m/>
    <m/>
    <m/>
    <m/>
    <m/>
    <m/>
    <m/>
    <m/>
    <m/>
  </r>
  <r>
    <x v="77"/>
    <n v="2005"/>
    <x v="14"/>
    <s v="Africa"/>
    <m/>
    <s v="Mining"/>
    <s v="yes"/>
    <s v="no"/>
    <s v="no"/>
    <s v="Gold"/>
    <s v="detailed"/>
    <s v="detailed Mining"/>
    <n v="806887.20024592115"/>
    <m/>
    <m/>
    <m/>
    <m/>
    <s v="toz"/>
    <n v="471.31071704166322"/>
    <s v="US$/toz"/>
    <s v="Volume from USGS Mineral Yearbook 2009. Price from World Bank (Global Economic Monitor (GEM) Commodities database) - defined as: Gold (UK), 99.5% fine, London afternoon fixing, average of daily rates - adjusted to account for the prices given in the 2011-2012 EITI Reports being an average 105.95% of this in 2011-2012."/>
    <n v="380294584.91964519"/>
    <m/>
    <m/>
    <m/>
    <m/>
    <m/>
    <m/>
    <m/>
    <m/>
    <m/>
    <m/>
    <m/>
    <m/>
    <m/>
    <m/>
    <m/>
    <m/>
    <m/>
    <m/>
    <m/>
    <m/>
    <m/>
    <m/>
    <m/>
    <m/>
    <m/>
    <m/>
    <m/>
    <m/>
    <m/>
    <m/>
    <m/>
    <m/>
    <m/>
    <m/>
    <m/>
    <m/>
    <m/>
    <m/>
    <m/>
    <m/>
    <m/>
    <m/>
    <m/>
    <m/>
    <m/>
  </r>
  <r>
    <x v="78"/>
    <n v="2006"/>
    <x v="14"/>
    <s v="Africa"/>
    <s v="http://www.itie-guinee.org/"/>
    <s v="Mining"/>
    <s v="yes"/>
    <s v="no"/>
    <s v="no"/>
    <s v="Total"/>
    <s v="Total"/>
    <s v="Total Mining"/>
    <m/>
    <m/>
    <m/>
    <m/>
    <m/>
    <m/>
    <m/>
    <m/>
    <m/>
    <n v="742672998.82935083"/>
    <s v="Profits/Taxes, Royalties, Dividends, Licenses and concessions, Other significant benefits to government"/>
    <s v="Does not include payments made in-kind"/>
    <m/>
    <n v="129435000"/>
    <n v="122473523.42801651"/>
    <m/>
    <m/>
    <m/>
    <n v="0.17428262533311945"/>
    <s v="Guinean Franc"/>
    <n v="5148.75"/>
    <s v="Disaggregated by revenue stream, Disaggregated by company"/>
    <m/>
    <m/>
    <m/>
    <m/>
    <n v="6"/>
    <s v="Alumina Company of Guinea (ACG), Compagnie des Bauxites de Guinée (CBG), Compagnie des Bauxites de Kindia (CBK), Societé Anglo Gold Ashanti de Guinée_x000a_(SAG), Société Minière de DINGUIRAYE (SMD), SEMAFO"/>
    <n v="6"/>
    <s v="March 2012"/>
    <d v="2014-11-07T00:00:00"/>
    <s v="Deloitte"/>
    <s v="http://eiti.org/files/Guinea-2006-EITI-Report.pdf"/>
    <s v="4, 5, 6"/>
    <s v="Company total payments include community development payments made by companies to local communities (reported unilaterally by companies for a total of GNF 8 632 000 000 (see p.6))."/>
    <m/>
    <m/>
    <m/>
    <m/>
    <m/>
    <m/>
    <m/>
    <m/>
    <m/>
    <m/>
    <m/>
    <m/>
    <m/>
    <m/>
    <m/>
    <m/>
    <m/>
    <m/>
    <m/>
    <m/>
  </r>
  <r>
    <x v="78"/>
    <n v="2006"/>
    <x v="14"/>
    <s v="Africa"/>
    <m/>
    <s v="Mining"/>
    <s v="yes"/>
    <s v="no"/>
    <s v="no"/>
    <s v="Bauxite"/>
    <s v="detailed"/>
    <s v="detailed Mining"/>
    <n v="16300000"/>
    <m/>
    <m/>
    <m/>
    <m/>
    <s v="t"/>
    <n v="24.191290000000002"/>
    <s v="US$/t"/>
    <s v="Volume from USGS Mineral Yearbook 2009 (though, based on volume information in the EITI Report, it is assumed to be millions, rather than thousands, of tonnes). Price from USGS Mineral Yearbook 2007, and is the average f.a.s. price of US imports of crude and dried bauxite, adjusted to account for the price given in the 2011 EITI Report being 86.09% of this in 2011."/>
    <n v="394318027.00000006"/>
    <m/>
    <m/>
    <m/>
    <m/>
    <m/>
    <m/>
    <m/>
    <m/>
    <m/>
    <m/>
    <m/>
    <m/>
    <m/>
    <m/>
    <m/>
    <m/>
    <m/>
    <m/>
    <m/>
    <m/>
    <m/>
    <m/>
    <m/>
    <m/>
    <m/>
    <m/>
    <m/>
    <m/>
    <m/>
    <m/>
    <m/>
    <m/>
    <m/>
    <m/>
    <m/>
    <m/>
    <m/>
    <m/>
    <m/>
    <m/>
    <m/>
    <m/>
    <m/>
    <m/>
    <m/>
  </r>
  <r>
    <x v="78"/>
    <n v="2006"/>
    <x v="14"/>
    <s v="Africa"/>
    <m/>
    <s v="Mining"/>
    <s v="yes"/>
    <s v="no"/>
    <s v="no"/>
    <s v="Diamond"/>
    <s v="detailed"/>
    <s v="detailed Mining"/>
    <n v="474000"/>
    <m/>
    <m/>
    <m/>
    <m/>
    <s v="carats"/>
    <n v="84.17"/>
    <m/>
    <s v="Volume from USGS Mineral Yearbook 2009"/>
    <m/>
    <m/>
    <m/>
    <m/>
    <m/>
    <m/>
    <m/>
    <m/>
    <m/>
    <m/>
    <m/>
    <m/>
    <m/>
    <m/>
    <m/>
    <m/>
    <m/>
    <m/>
    <m/>
    <m/>
    <m/>
    <m/>
    <m/>
    <m/>
    <m/>
    <m/>
    <m/>
    <m/>
    <m/>
    <m/>
    <m/>
    <m/>
    <m/>
    <m/>
    <m/>
    <m/>
    <m/>
    <m/>
    <m/>
    <m/>
    <m/>
    <m/>
    <m/>
    <m/>
    <m/>
    <m/>
  </r>
  <r>
    <x v="78"/>
    <n v="2006"/>
    <x v="14"/>
    <s v="Africa"/>
    <m/>
    <s v="Mining"/>
    <s v="yes"/>
    <s v="no"/>
    <s v="no"/>
    <s v="Gold"/>
    <s v="detailed"/>
    <s v="detailed Mining"/>
    <n v="544054.8751867346"/>
    <m/>
    <m/>
    <m/>
    <m/>
    <s v="toz"/>
    <n v="640.29381541666316"/>
    <s v="US$/toz"/>
    <s v="Volume from USGS Mineral Yearbook 2009. Price from World Bank (Global Economic Monitor (GEM) Commodities database) - defined as: Gold (UK), 99.5% fine, London afternoon fixing, average of daily rates - adjusted to account for the prices given in the 2011-2012 EITI Reports being an average 105.95% of this in 2011-2012."/>
    <n v="348354971.82935077"/>
    <m/>
    <m/>
    <m/>
    <m/>
    <m/>
    <m/>
    <m/>
    <m/>
    <m/>
    <m/>
    <m/>
    <m/>
    <m/>
    <m/>
    <m/>
    <m/>
    <m/>
    <m/>
    <m/>
    <m/>
    <m/>
    <m/>
    <m/>
    <m/>
    <m/>
    <m/>
    <m/>
    <m/>
    <m/>
    <m/>
    <m/>
    <m/>
    <m/>
    <m/>
    <m/>
    <m/>
    <m/>
    <m/>
    <m/>
    <m/>
    <m/>
    <m/>
    <m/>
    <m/>
    <m/>
  </r>
  <r>
    <x v="79"/>
    <n v="2007"/>
    <x v="14"/>
    <s v="Africa"/>
    <s v="http://www.itie-guinee.org/"/>
    <s v="Mining"/>
    <s v="yes"/>
    <s v="no"/>
    <s v="no"/>
    <s v="Total"/>
    <s v="Total"/>
    <s v="Total Mining"/>
    <m/>
    <m/>
    <m/>
    <m/>
    <m/>
    <m/>
    <m/>
    <m/>
    <m/>
    <n v="849729588.18481493"/>
    <s v="Profits/Taxes, Dividends, Licenses and concessions, Other significant benefits to government"/>
    <s v="Does not include payments made in-kind"/>
    <m/>
    <n v="171775146.47727105"/>
    <n v="173554249.65628326"/>
    <m/>
    <m/>
    <m/>
    <n v="0.20215271877752974"/>
    <s v="Guinean Franc"/>
    <n v="4078.94"/>
    <s v="Disaggregated by revenue stream, Disaggregated by company"/>
    <m/>
    <m/>
    <m/>
    <m/>
    <n v="6"/>
    <s v="Compagnie des Bauxites de Guinée (CBG), Compagnie des Bauxites de Kindia (CBK), Rusal Friguia, Société Ashanti Goldfields (SAG), Société Minière de Dinguiraye (SMD), Société d’Exploitation Minière d’Afrique de l’Ouest_x000a_(SEMAFO)"/>
    <n v="4"/>
    <s v="August 2012"/>
    <d v="2014-11-07T00:00:00"/>
    <s v="Moore Stephens LLP"/>
    <s v="http://eiti.org/files/Guinea-2007-EITI-Report.pdf"/>
    <s v="24, 43, 44-53"/>
    <s v="The government disclosed its income from artisanal mining collected by the entities: &quot;La Banque Centrale de la République de Guinée&quot;, and &quot;Le Bureau Nationale d'Expertise&quot;.   The report also covers the following revenue streams: &quot;Mining tax for bauxite and alumina&quot;, and &quot;Exportation tax for gold and diamonds&quot;.  Company total payments include voluntary social payments made by companies to local communities (reported unilaterally by companies for a total of GNF 12 904 151 410 (see p.7)). Two national trading companies (comptoirs), BNE and BCRG, did not report; their payments were reported unilaterally by govt.  "/>
    <m/>
    <m/>
    <m/>
    <m/>
    <m/>
    <m/>
    <m/>
    <m/>
    <m/>
    <m/>
    <m/>
    <m/>
    <m/>
    <m/>
    <m/>
    <m/>
    <m/>
    <m/>
    <m/>
    <m/>
  </r>
  <r>
    <x v="79"/>
    <n v="2007"/>
    <x v="14"/>
    <s v="Africa"/>
    <m/>
    <s v="Mining"/>
    <s v="yes"/>
    <s v="no"/>
    <s v="no"/>
    <s v="Bauxite"/>
    <s v="detailed"/>
    <s v="detailed Mining"/>
    <n v="16100000"/>
    <m/>
    <m/>
    <m/>
    <m/>
    <s v="t"/>
    <n v="26.86008"/>
    <s v="US$/t"/>
    <s v="Volume from USGS Mineral Yearbook 2011 (though, based on volume information in the EITI Report, it is assumed to be millions, rather than thousands, of tonnes). Price from USGS Mineral Yearbook 2007, and is the average f.a.s. price of US imports of crude and dried bauxite, adjusted to account for the price given in the 2011 EITI Report being 86.09% of this in 2011."/>
    <n v="432447288"/>
    <m/>
    <m/>
    <m/>
    <n v="141416786.19837508"/>
    <n v="145860881.63395393"/>
    <m/>
    <m/>
    <m/>
    <n v="0.32701508397105516"/>
    <m/>
    <m/>
    <m/>
    <m/>
    <m/>
    <m/>
    <m/>
    <m/>
    <m/>
    <m/>
    <m/>
    <m/>
    <m/>
    <m/>
    <m/>
    <s v="Govt revenues by commodity on p.35. Company payments for bauxite is for payments by CBG, CBK, and Rusal Friguia (See p.44-53)."/>
    <m/>
    <m/>
    <m/>
    <m/>
    <m/>
    <m/>
    <m/>
    <m/>
    <m/>
    <m/>
    <m/>
    <m/>
    <m/>
    <m/>
    <m/>
    <m/>
    <m/>
    <m/>
    <m/>
    <m/>
  </r>
  <r>
    <x v="79"/>
    <n v="2007"/>
    <x v="14"/>
    <s v="Africa"/>
    <m/>
    <s v="Mining"/>
    <s v="yes"/>
    <s v="no"/>
    <s v="no"/>
    <s v="Diamond"/>
    <s v="detailed"/>
    <s v="detailed Mining"/>
    <n v="1019000"/>
    <m/>
    <m/>
    <m/>
    <m/>
    <s v="carats"/>
    <n v="45.52"/>
    <s v="US$/carat"/>
    <s v="Volume from USGS Mineral Yearbook 2011. Price from kimberley Process Annual Summary 2007."/>
    <n v="46384880"/>
    <m/>
    <m/>
    <m/>
    <n v="1714618.2020328811"/>
    <m/>
    <m/>
    <m/>
    <m/>
    <n v="3.6965023991285116E-2"/>
    <m/>
    <m/>
    <m/>
    <m/>
    <m/>
    <m/>
    <m/>
    <m/>
    <m/>
    <m/>
    <m/>
    <m/>
    <m/>
    <m/>
    <m/>
    <s v="Govt revenues by commodity on p.35. No company payments were reported because the government received payments from only one diamond company (BNE), which did not report (see p.44-53)."/>
    <m/>
    <m/>
    <m/>
    <m/>
    <m/>
    <m/>
    <m/>
    <m/>
    <m/>
    <m/>
    <m/>
    <m/>
    <m/>
    <m/>
    <m/>
    <m/>
    <m/>
    <m/>
    <m/>
    <m/>
  </r>
  <r>
    <x v="79"/>
    <n v="2007"/>
    <x v="14"/>
    <s v="Africa"/>
    <m/>
    <s v="Mining"/>
    <s v="yes"/>
    <s v="no"/>
    <s v="no"/>
    <s v="Gold"/>
    <s v="detailed"/>
    <s v="detailed Mining"/>
    <n v="502451.81358103576"/>
    <m/>
    <m/>
    <m/>
    <m/>
    <s v="toz"/>
    <n v="738.17510487499999"/>
    <s v="US$/toz"/>
    <s v="Volume from USGS Mineral Yearbook 2011. Price from World Bank (Global Economic Monitor (GEM) Commodities database) - defined as: Gold (UK), 99.5% fine, London afternoon fixing, average of daily rates - adjusted to account for the prices given in the 2011-2012 EITI Reports being an average 105.95% of this in 2011-2012."/>
    <n v="370897420.18481499"/>
    <m/>
    <m/>
    <m/>
    <n v="28643742.076863106"/>
    <n v="27693368.02232933"/>
    <m/>
    <m/>
    <m/>
    <n v="7.7228205207224621E-2"/>
    <m/>
    <m/>
    <m/>
    <m/>
    <m/>
    <m/>
    <m/>
    <m/>
    <m/>
    <m/>
    <m/>
    <m/>
    <m/>
    <m/>
    <m/>
    <s v="Govt revenues by commodity on p.35; gold revenues include industrial and artisanal. Company payments for gold is for payments by SAG, SMD, and SEMAFO (See p.44-53)."/>
    <m/>
    <m/>
    <m/>
    <m/>
    <m/>
    <m/>
    <m/>
    <m/>
    <m/>
    <m/>
    <m/>
    <m/>
    <m/>
    <m/>
    <m/>
    <m/>
    <m/>
    <m/>
    <m/>
    <m/>
  </r>
  <r>
    <x v="80"/>
    <n v="2008"/>
    <x v="14"/>
    <s v="Africa"/>
    <s v="http://www.itie-guinee.org/"/>
    <s v="Mining"/>
    <s v="yes"/>
    <s v="no"/>
    <s v="no"/>
    <s v="Total"/>
    <s v="Total"/>
    <s v="Total Mining"/>
    <m/>
    <m/>
    <m/>
    <m/>
    <m/>
    <m/>
    <m/>
    <m/>
    <m/>
    <n v="1009984285.0424124"/>
    <s v="Profits/Taxes, Royalties, Dividends, Licenses and concessions, Other significant benefits to government"/>
    <s v="Does not include payments made in-kind"/>
    <m/>
    <n v="211216758.63145587"/>
    <n v="212638919.54098818"/>
    <m/>
    <m/>
    <m/>
    <n v="0.20912875750595092"/>
    <s v="Guinean Franc"/>
    <n v="4592.91"/>
    <s v="Disaggregated by revenue stream, Disaggregated by company"/>
    <m/>
    <m/>
    <m/>
    <m/>
    <n v="6"/>
    <s v="Compagnie des Bauxites de Guinée (CBG), Compagnie des Bauxites de Kindia (CBK), Rusal Friguia, Société Ashanti Goldfields (SAG), Société Minière de Dinguiraye (SMD), Société d’Exploitation Minière d’Afrique de l’Ouest_x000a_(SEMAFO)"/>
    <n v="4"/>
    <s v="August 2012"/>
    <d v="2014-11-09T00:00:00"/>
    <s v="Moore Stephens LLP"/>
    <s v="http://eiti.org/files/Guinea-2008-EITI-Report.pdf"/>
    <s v="24, 43, 44-53"/>
    <s v="The government disclosed its income from artisanal mining collected by the entities: &quot;La Banque Centrale de la République de Guinée&quot;, and &quot;Le Bureau Nationale d'Expertise&quot;.   The report also covers the following revenue streams: &quot;Mining tax for bauxite and alumina&quot;, and &quot;Exportation tax for gold and diamonds&quot;.  Company total payments include voluntary social payments made by companies to local communities (reported unilaterally by companies for a total of 17 868 691 856 GNF (see p.7)). Two national trading companies (comptoirs), BNE and BCRG, did not report; their payments were reported unilaterally by govt.  "/>
    <m/>
    <m/>
    <m/>
    <m/>
    <m/>
    <m/>
    <m/>
    <m/>
    <m/>
    <m/>
    <m/>
    <m/>
    <m/>
    <m/>
    <m/>
    <m/>
    <m/>
    <m/>
    <m/>
    <m/>
  </r>
  <r>
    <x v="80"/>
    <n v="2008"/>
    <x v="14"/>
    <s v="Africa"/>
    <m/>
    <s v="Mining"/>
    <s v="yes"/>
    <s v="no"/>
    <s v="no"/>
    <s v="Bauxite"/>
    <s v="detailed"/>
    <s v="detailed Mining"/>
    <n v="16000000"/>
    <m/>
    <m/>
    <m/>
    <m/>
    <s v="t"/>
    <n v="22.753587"/>
    <s v="US$/t"/>
    <s v="Volume from USGS Mineral Yearbook 2011 (though, based on volume information in the EITI Report, it is assumed to be millions, rather than thousands, of tonnes). Price from USGS Mineral Yearbook 2008, and is the average f.a.s. price of US imports of crude and dried bauxite, adjusted to account for the price given in the 2011 EITI Report being 86.09% of this in 2011."/>
    <n v="364057392"/>
    <m/>
    <m/>
    <m/>
    <n v="174069661.24004173"/>
    <n v="173689113.73486528"/>
    <m/>
    <m/>
    <m/>
    <n v="0.47813796688419319"/>
    <m/>
    <m/>
    <m/>
    <m/>
    <m/>
    <m/>
    <m/>
    <m/>
    <m/>
    <m/>
    <m/>
    <m/>
    <m/>
    <m/>
    <m/>
    <s v="Govt revenues by commodity on p.35. Company payments for bauxite is for payments by CBG, CBK, and Rusal Friguia (See p.44-53)."/>
    <m/>
    <m/>
    <m/>
    <m/>
    <m/>
    <m/>
    <m/>
    <m/>
    <m/>
    <m/>
    <m/>
    <m/>
    <m/>
    <m/>
    <m/>
    <m/>
    <m/>
    <m/>
    <m/>
    <m/>
  </r>
  <r>
    <x v="80"/>
    <n v="2008"/>
    <x v="14"/>
    <s v="Africa"/>
    <m/>
    <s v="Mining"/>
    <s v="yes"/>
    <s v="no"/>
    <s v="no"/>
    <s v="Diamond"/>
    <s v="detailed"/>
    <s v="detailed Mining"/>
    <n v="3098000"/>
    <m/>
    <m/>
    <m/>
    <m/>
    <s v="carats"/>
    <n v="17.329999999999998"/>
    <s v="US$/carat"/>
    <s v="Volume from USGS Mineral Yearbook 2011. Price from kimberley Process Annual Summary 2008."/>
    <n v="53688339.999999993"/>
    <m/>
    <m/>
    <m/>
    <n v="2172705.8535873774"/>
    <m/>
    <m/>
    <m/>
    <m/>
    <n v="4.0468858854406334E-2"/>
    <m/>
    <m/>
    <m/>
    <m/>
    <m/>
    <m/>
    <m/>
    <m/>
    <m/>
    <m/>
    <m/>
    <m/>
    <m/>
    <m/>
    <m/>
    <s v="Govt revenues by commodity on p.35. No company payments were reported because the government received payments from only one diamond company (BNE), which did not report (see p.44-53)."/>
    <m/>
    <m/>
    <m/>
    <m/>
    <m/>
    <m/>
    <m/>
    <m/>
    <m/>
    <m/>
    <m/>
    <m/>
    <m/>
    <m/>
    <m/>
    <m/>
    <m/>
    <m/>
    <m/>
    <m/>
  </r>
  <r>
    <x v="80"/>
    <n v="2008"/>
    <x v="14"/>
    <s v="Africa"/>
    <m/>
    <s v="Mining"/>
    <s v="yes"/>
    <s v="no"/>
    <s v="no"/>
    <s v="Gold"/>
    <s v="detailed"/>
    <s v="detailed Mining"/>
    <n v="641246.57165816217"/>
    <m/>
    <m/>
    <m/>
    <m/>
    <s v="toz"/>
    <n v="923.57383137500017"/>
    <s v="US$/toz"/>
    <s v="Volume from USGS Mineral Yearbook 2011. Price from World Bank (Global Economic Monitor (GEM) Commodities database) - defined as: Gold (UK), 99.5% fine, London afternoon fixing, average of daily rates - adjusted to account for the prices given in the 2011-2012 EITI Reports being an average 105.95% of this in 2011-2012."/>
    <n v="592238553.0424124"/>
    <m/>
    <m/>
    <m/>
    <n v="34974391.537826784"/>
    <n v="38949805.806122914"/>
    <m/>
    <m/>
    <m/>
    <n v="5.9054567383630185E-2"/>
    <m/>
    <m/>
    <m/>
    <m/>
    <m/>
    <m/>
    <m/>
    <m/>
    <m/>
    <m/>
    <m/>
    <m/>
    <m/>
    <m/>
    <m/>
    <s v="Govt revenues by commodity on p.35; gold revenues include industrial and artisanal. Company payments for gold is for payments by SAG, SMD, and SEMAFO (See p.44-53)."/>
    <m/>
    <m/>
    <m/>
    <m/>
    <m/>
    <m/>
    <m/>
    <m/>
    <m/>
    <m/>
    <m/>
    <m/>
    <m/>
    <m/>
    <m/>
    <m/>
    <m/>
    <m/>
    <m/>
    <m/>
  </r>
  <r>
    <x v="81"/>
    <n v="2009"/>
    <x v="14"/>
    <s v="Africa"/>
    <s v="http://www.itie-guinee.org/"/>
    <s v="Mining"/>
    <s v="yes"/>
    <s v="no"/>
    <s v="no"/>
    <s v="Total"/>
    <s v="Total"/>
    <s v="Total Mining"/>
    <m/>
    <m/>
    <m/>
    <m/>
    <m/>
    <m/>
    <m/>
    <m/>
    <m/>
    <n v="977480739.51010716"/>
    <s v="Profits/Taxes, Licenses and concessions, Other significant benefits to government"/>
    <s v="Does not include payments made in-kind"/>
    <m/>
    <n v="204355820.14115614"/>
    <n v="216639913.76901186"/>
    <m/>
    <m/>
    <m/>
    <n v="0.20906378190487415"/>
    <s v="Guinean Franc"/>
    <n v="4772.0200000000004"/>
    <s v="Disaggregated by revenue stream, Disaggregated by company"/>
    <m/>
    <m/>
    <m/>
    <m/>
    <n v="6"/>
    <s v="Compagnie des Bauxites de Guinée (CBG), Compagnie des Bauxites de Kindia (CBK), Rusal Friguia, Société Ashanti Goldfields (SAG), Société Minière de Dinguiraye (SMD), Société d’Exploitation Minière d’Afrique de l’Ouest (SEMAFO)"/>
    <n v="4"/>
    <s v="August 2012"/>
    <d v="2014-11-09T00:00:00"/>
    <s v="Moore Stephens LLP"/>
    <s v="http://eiti.org/files/Guinea-2009-EITI-Report.pdf"/>
    <s v="24, 43, 44-53"/>
    <s v="The governemnt disclosed its income from artisanal mining collected by the entities: &quot;La Banque Centrale de la République de Guinée&quot;, and &quot;Le Bureau Nationale d'Expertise&quot;.   The report also covers the following revenue streams: &quot;Mining tax for bauxite and alumina&quot;, and &quot;Exportation tax for gold and diamonds&quot;.  Company total payments include voluntary social payments made by companies to local communities (reported unilaterally by companies for a total of 14 010 928 359 GNF (see p.7)). Two national trading companies (comptoirs), BNE and BCRG, did not report; their payments were reported unilaterally by govt.  "/>
    <m/>
    <m/>
    <m/>
    <m/>
    <m/>
    <m/>
    <m/>
    <m/>
    <m/>
    <m/>
    <m/>
    <m/>
    <m/>
    <m/>
    <m/>
    <m/>
    <m/>
    <m/>
    <m/>
    <m/>
  </r>
  <r>
    <x v="81"/>
    <n v="2009"/>
    <x v="14"/>
    <s v="Africa"/>
    <m/>
    <s v="Mining"/>
    <s v="yes"/>
    <s v="no"/>
    <s v="no"/>
    <s v="Bauxite"/>
    <s v="detailed"/>
    <s v="detailed Mining"/>
    <n v="13600000"/>
    <m/>
    <m/>
    <m/>
    <m/>
    <s v="t"/>
    <n v="25.654820000000001"/>
    <s v="US$/t"/>
    <s v="Volume from USGS Mineral Yearbook 2011 (though, based on volume information in the EITI Report, it is assumed to be millions, rather than thousands, of tonnes). Price from USGS Mineral Yearbook 2010, and is the average f.a.s. price of US imports of crude and dried bauxite, adjusted to account for the price given in the 2011 EITI Report being 86.09% of this in 2011."/>
    <n v="348905552"/>
    <m/>
    <m/>
    <m/>
    <n v="121442384.45375332"/>
    <n v="134171117.16275287"/>
    <m/>
    <m/>
    <m/>
    <n v="0.34806664370234303"/>
    <m/>
    <m/>
    <m/>
    <m/>
    <m/>
    <m/>
    <m/>
    <m/>
    <m/>
    <m/>
    <m/>
    <m/>
    <m/>
    <m/>
    <m/>
    <s v="Govt revenues by commodity on p.34. Company payments for bauxite is for payments by CBG, CBK, and Rusal Friguia (See p.44-53)."/>
    <m/>
    <m/>
    <m/>
    <m/>
    <m/>
    <m/>
    <m/>
    <m/>
    <m/>
    <m/>
    <m/>
    <m/>
    <m/>
    <m/>
    <m/>
    <m/>
    <m/>
    <m/>
    <m/>
    <m/>
  </r>
  <r>
    <x v="81"/>
    <n v="2009"/>
    <x v="14"/>
    <s v="Africa"/>
    <m/>
    <s v="Mining"/>
    <s v="yes"/>
    <s v="no"/>
    <s v="no"/>
    <s v="Diamond"/>
    <s v="detailed"/>
    <s v="detailed Mining"/>
    <n v="697000"/>
    <m/>
    <m/>
    <m/>
    <m/>
    <s v="carats"/>
    <n v="41.59"/>
    <s v="US$/carat"/>
    <s v="Volume from USGS Mineral Yearbook 2011. Price from kimberley Process Annual Summary 2009."/>
    <n v="28988230.000000004"/>
    <m/>
    <m/>
    <m/>
    <n v="585725.28237517865"/>
    <m/>
    <m/>
    <m/>
    <m/>
    <n v="2.0205624226631934E-2"/>
    <m/>
    <m/>
    <m/>
    <m/>
    <m/>
    <m/>
    <m/>
    <m/>
    <m/>
    <m/>
    <m/>
    <m/>
    <m/>
    <m/>
    <m/>
    <s v="Govt revenues by commodity on p.34. No company payments were reported because the government received payments from only one diamond company (BNE), which did not report (see p.44-53)."/>
    <m/>
    <m/>
    <m/>
    <m/>
    <m/>
    <m/>
    <m/>
    <m/>
    <m/>
    <m/>
    <m/>
    <m/>
    <m/>
    <m/>
    <m/>
    <m/>
    <m/>
    <m/>
    <m/>
    <m/>
  </r>
  <r>
    <x v="81"/>
    <n v="2009"/>
    <x v="14"/>
    <s v="Africa"/>
    <m/>
    <s v="Mining"/>
    <s v="yes"/>
    <s v="no"/>
    <s v="no"/>
    <s v="Gold"/>
    <s v="detailed"/>
    <s v="detailed Mining"/>
    <n v="581639.09390162001"/>
    <m/>
    <m/>
    <m/>
    <m/>
    <s v="toz"/>
    <n v="1030.8573887083369"/>
    <s v="US$/toz"/>
    <s v="Volume from USGS Mineral Yearbook 2011. Price from World Bank (Global Economic Monitor (GEM) Commodities database) - defined as: Gold (UK), 99.5% fine, London afternoon fixing, average of daily rates - adjusted to account for the prices given in the 2011-2012 EITI Reports being an average 105.95% of this in 2011-2012."/>
    <n v="599586957.51010716"/>
    <m/>
    <m/>
    <m/>
    <n v="82327710.405027628"/>
    <n v="82468796.606258973"/>
    <m/>
    <m/>
    <m/>
    <n v="0.13730737364086149"/>
    <m/>
    <m/>
    <m/>
    <m/>
    <m/>
    <m/>
    <m/>
    <m/>
    <m/>
    <m/>
    <m/>
    <m/>
    <m/>
    <m/>
    <m/>
    <s v="Govt revenues by commodity on p.34; gold revenues include industrial and artisanal. Company payments for gold is for payments by SAG, SMD, and SEMAFO (See p.44-53)."/>
    <m/>
    <m/>
    <m/>
    <m/>
    <m/>
    <m/>
    <m/>
    <m/>
    <m/>
    <m/>
    <m/>
    <m/>
    <m/>
    <m/>
    <m/>
    <m/>
    <m/>
    <m/>
    <m/>
    <m/>
  </r>
  <r>
    <x v="82"/>
    <n v="2010"/>
    <x v="14"/>
    <s v="Africa"/>
    <s v="http://www.itie-guinee.org/"/>
    <s v="Mining"/>
    <s v="yes"/>
    <s v="no"/>
    <s v="no"/>
    <s v="Total"/>
    <s v="Total"/>
    <s v="Total Mining"/>
    <m/>
    <m/>
    <m/>
    <m/>
    <m/>
    <m/>
    <m/>
    <m/>
    <m/>
    <n v="1050128701.1507769"/>
    <s v="Profits/Taxes, Dividends, Licenses and concessions, Other significant benefits to government"/>
    <s v="Does not include payments made in-kind"/>
    <m/>
    <n v="218560221.14787036"/>
    <n v="220836821.31086206"/>
    <m/>
    <m/>
    <m/>
    <n v="0.20812708090766641"/>
    <s v="Guinean Franc"/>
    <n v="5773.3"/>
    <s v="Disaggregated by revenue stream, Disaggregated by company"/>
    <m/>
    <m/>
    <m/>
    <m/>
    <n v="7"/>
    <s v="Compagnie des Bauxites de Guinée (CBG), Compagnie des Bauxites de Kindia (CBK), Rusal Friguia, Société Ashanti Goldfields (SAG), Société Minière de Dinguiraye (SMD), Société d’Exploitation Minière d’Afrique de l’Ouest (SEMAFO), Rio Tinto"/>
    <n v="5"/>
    <s v="August 2012"/>
    <d v="2014-11-09T00:00:00"/>
    <s v="Moore Stephens LLP"/>
    <s v="http://eiti.org/files/Guinea-2010-EITI-Report.pdf"/>
    <s v="24, 42, 43-53"/>
    <s v="The governemnt disclosed its income from artisanal mining collected by the entities: &quot;La Banque Centrale de la République de Guinée&quot;, and &quot;Le Bureau Nationale d'Expertise&quot;.  The report also covers the following revenue streams: &quot;Mining tax for bauxite and alumina&quot;, and &quot;Exportation tax for gold and diamonds&quot;. Company total payments include voluntary social payments made by companies to local communities  (reported unilaterally by companies for a total of 12 804 665 961 (see p.7)). Two national trading companies (comptoirs), BNE and BCRG, did not report; their payments were reported unilaterally by govt.  "/>
    <m/>
    <m/>
    <m/>
    <m/>
    <m/>
    <m/>
    <m/>
    <m/>
    <m/>
    <m/>
    <m/>
    <m/>
    <m/>
    <m/>
    <m/>
    <m/>
    <m/>
    <m/>
    <m/>
    <m/>
  </r>
  <r>
    <x v="82"/>
    <n v="2010"/>
    <x v="14"/>
    <s v="Africa"/>
    <m/>
    <s v="Mining"/>
    <s v="yes"/>
    <s v="no"/>
    <s v="no"/>
    <s v="Bauxite"/>
    <s v="detailed"/>
    <s v="detailed Mining"/>
    <n v="15300000"/>
    <m/>
    <m/>
    <m/>
    <m/>
    <s v="t"/>
    <n v="25.319068999999999"/>
    <s v="US$/t"/>
    <s v="Volume from USGS Mineral Yearbook 2011 (though, based on volume information in the EITI Report, it is assumed to be millions, rather than thousands, of tonnes). Price from USGS Mineral Yearbook 2010, and is the average f.a.s. price of US imports of crude and dried bauxite, adjusted to account for the price given in the 2011 EITI Report being 86.09% of this in 2011."/>
    <n v="387381755.69999999"/>
    <m/>
    <m/>
    <m/>
    <n v="105474359.24531896"/>
    <n v="106085169.87719329"/>
    <m/>
    <m/>
    <m/>
    <n v="0.27227497860534627"/>
    <m/>
    <m/>
    <m/>
    <m/>
    <m/>
    <m/>
    <m/>
    <m/>
    <m/>
    <m/>
    <m/>
    <m/>
    <m/>
    <m/>
    <m/>
    <s v="Govt revenues by commodity on p.33. Company payments for bauxite is for payments by CBG, CBK, and Rusal Friguia (See p.44-53)."/>
    <m/>
    <m/>
    <m/>
    <m/>
    <m/>
    <m/>
    <m/>
    <m/>
    <m/>
    <m/>
    <m/>
    <m/>
    <m/>
    <m/>
    <m/>
    <m/>
    <m/>
    <m/>
    <m/>
    <m/>
  </r>
  <r>
    <x v="82"/>
    <n v="2010"/>
    <x v="14"/>
    <s v="Africa"/>
    <m/>
    <s v="Mining"/>
    <s v="yes"/>
    <s v="no"/>
    <s v="no"/>
    <s v="Diamond"/>
    <s v="detailed"/>
    <s v="detailed Mining"/>
    <n v="374000"/>
    <m/>
    <m/>
    <m/>
    <m/>
    <s v="carats"/>
    <n v="74.72"/>
    <s v="US$/carat"/>
    <s v="Volume from USGS Mineral Yearbook 2011. Price from kimberley Process Annual Summary 2010."/>
    <n v="27945280"/>
    <m/>
    <m/>
    <m/>
    <n v="599058.55836350098"/>
    <m/>
    <m/>
    <m/>
    <m/>
    <n v="2.1436842227506792E-2"/>
    <m/>
    <m/>
    <m/>
    <m/>
    <m/>
    <m/>
    <m/>
    <m/>
    <m/>
    <m/>
    <m/>
    <m/>
    <m/>
    <m/>
    <m/>
    <s v="Govt revenues by commodity on p.33. No company payments were reported because the government received payments from only one diamond company (BNE), which did not report (see p.44-53)."/>
    <m/>
    <m/>
    <m/>
    <m/>
    <m/>
    <m/>
    <m/>
    <m/>
    <m/>
    <m/>
    <m/>
    <m/>
    <m/>
    <m/>
    <m/>
    <m/>
    <m/>
    <m/>
    <m/>
    <m/>
  </r>
  <r>
    <x v="82"/>
    <n v="2010"/>
    <x v="14"/>
    <s v="Africa"/>
    <m/>
    <s v="Mining"/>
    <s v="yes"/>
    <s v="no"/>
    <s v="no"/>
    <s v="Gold"/>
    <s v="detailed"/>
    <s v="detailed Mining"/>
    <n v="489237.85815604182"/>
    <m/>
    <m/>
    <m/>
    <m/>
    <s v="toz"/>
    <n v="1297.5317728750001"/>
    <s v="US$/toz"/>
    <s v="Volume from USGS Mineral Yearbook 2011. Price from World Bank (Global Economic Monitor (GEM) Commodities database) - defined as: Gold (UK), 99.5% fine, London afternoon fixing, average of daily rates - adjusted to account for the prices given in the 2011-2012 EITI Reports being an average 105.95% of this in 2011-2012."/>
    <n v="634801665.45077682"/>
    <m/>
    <m/>
    <m/>
    <n v="110045110.42003706"/>
    <n v="110857144.63824849"/>
    <m/>
    <m/>
    <m/>
    <n v="0.17335353136147383"/>
    <m/>
    <m/>
    <m/>
    <m/>
    <m/>
    <m/>
    <m/>
    <m/>
    <m/>
    <m/>
    <m/>
    <m/>
    <m/>
    <m/>
    <m/>
    <s v="Govt revenues by commodity on p.33; gold revenues include industrial and artisanal. Company payments for gold is for payments by SAG, SMD, and SEMAFO (See p.44-53)."/>
    <m/>
    <m/>
    <m/>
    <m/>
    <m/>
    <m/>
    <m/>
    <m/>
    <m/>
    <m/>
    <m/>
    <m/>
    <m/>
    <m/>
    <m/>
    <m/>
    <m/>
    <m/>
    <m/>
    <m/>
  </r>
  <r>
    <x v="82"/>
    <n v="2010"/>
    <x v="14"/>
    <s v="Africa"/>
    <m/>
    <s v="Mining"/>
    <s v="yes"/>
    <s v="no"/>
    <s v="no"/>
    <s v="Iron Ore"/>
    <s v="detailed"/>
    <s v="detailed Mining"/>
    <n v="0"/>
    <m/>
    <m/>
    <m/>
    <m/>
    <s v="t"/>
    <m/>
    <m/>
    <s v="Volume from EITI Report"/>
    <m/>
    <m/>
    <m/>
    <m/>
    <n v="2441692.924150832"/>
    <n v="3894506.795420297"/>
    <m/>
    <m/>
    <m/>
    <m/>
    <m/>
    <m/>
    <m/>
    <m/>
    <m/>
    <m/>
    <m/>
    <m/>
    <m/>
    <m/>
    <m/>
    <m/>
    <m/>
    <m/>
    <m/>
    <s v="This commodity was not mentioned in the USGS Mineral Yearbook 2011. One iron ore company (Rio Tinto) was included in the EITI Report. It is in the development phase and reported no production."/>
    <m/>
    <m/>
    <m/>
    <m/>
    <m/>
    <m/>
    <m/>
    <m/>
    <m/>
    <m/>
    <m/>
    <m/>
    <m/>
    <m/>
    <m/>
    <m/>
    <m/>
    <m/>
    <m/>
    <m/>
  </r>
  <r>
    <x v="83"/>
    <n v="2011"/>
    <x v="14"/>
    <s v="Africa"/>
    <s v="http://www.itie-guinee.org/"/>
    <s v="Mining"/>
    <s v="yes"/>
    <s v="no"/>
    <s v="no"/>
    <s v="Total"/>
    <s v="Total"/>
    <s v="Total Mining"/>
    <m/>
    <m/>
    <m/>
    <m/>
    <m/>
    <m/>
    <m/>
    <m/>
    <m/>
    <n v="1283736393.579596"/>
    <s v="Profits/Taxes, Royalties, Dividends, Other significant benefits to government"/>
    <s v="Does not include payments made in-kind"/>
    <m/>
    <n v="975948622.49588823"/>
    <n v="982235037.08119869"/>
    <m/>
    <m/>
    <m/>
    <n v="0.7602406750925973"/>
    <s v="Guinean Franc"/>
    <n v="6669.93"/>
    <s v="Disaggregated by revenue stream, Disaggregated by company"/>
    <m/>
    <m/>
    <m/>
    <m/>
    <n v="26"/>
    <s v="Mining companies: COMPAGNIE DES BAUXITES DE GUINEE CBG, ANGLOGOLD ASHANTI DE GUINEE SAG SA., Sté. MINIERE DE DINGUIRAYE (SMD), SIMFER S.A / RIO TINTO, Sté. SEMAFO-GUINEE SA, ALLIANCE MINING COMMODITIES AMC, RUSAL FRIGUIA, Sté HENAN-CHINE, Sté GUITER MINING SA, COMPAGNIE DES BAUXITES DE KINDIA (CBK), Sté DES MINES DE FER DE GUINEE (SMFG), SOCIETE BSGR GUINEE LIMITED / VALEE, Sté WEGA MINING GUINEE SA., Sté BELLZONE HOLDING PTY.LTD., Sté. ALUFER - PITA -LABE, Sté. CASSIDY GOLD GUINEE-SARL, Sté DELTA LOG, Sté GDC MINING AND OIL &amp; GAS SA. Diamond trading companies (Comptoirs): FELLA SANDANFARA, IDC, RUFEX SARL. Gold trading companies (Comptoirs): SOFICOM, ETS DANTA, L.B, BOROKO MINING, M BUSINESS."/>
    <n v="26"/>
    <s v="December 2013"/>
    <d v="2014-11-10T00:00:00"/>
    <s v="Moore Stephens LLP"/>
    <s v="http://eiti.org/files/Guinea-2011-EITI-Report-FR.pdf"/>
    <s v="34-37, 44-47, 54"/>
    <s v="eiti.org figures only included the reconciled revenue flows detailed on p.35-37. Here, Total Payments by Companies includes unilaterally reported payments: &quot;other&quot; payments, payments to local governments, and voluntary social payments. Total Received by Govt includes unilateral receipts from small traders (comptoirs) and quarries (le secteur d’exploitation des carrières). Also included in both govt revenue and company payment totals is an &quot;exceptional&quot; payment from Rio Tinto of $700,000,000. The government unilaterally reported transfers  it made to local governments of 3 898 491 262 GNF and transfers it made to the Fonds d'Investissement Minier totalling 42 500 585 333 GNF (see p.47-48); these transfers are not included in revenue/payment totals. Subtotals by commodity cannot be calculated based on company-by-company data in Annex 6 because some companies produce more than one commodity, or did not report which commodity they produce. State revenues by commodity presented on p.44 cannot be used here because they include payments reported unilaterally by companies as well as those reported unilaterally by govt."/>
    <m/>
    <m/>
    <m/>
    <m/>
    <m/>
    <m/>
    <m/>
    <m/>
    <m/>
    <m/>
    <m/>
    <m/>
    <m/>
    <m/>
    <m/>
    <m/>
    <m/>
    <m/>
    <m/>
    <m/>
  </r>
  <r>
    <x v="83"/>
    <n v="2011"/>
    <x v="14"/>
    <s v="Africa"/>
    <m/>
    <s v="Mining"/>
    <s v="yes"/>
    <s v="no"/>
    <s v="no"/>
    <s v="Bauxite"/>
    <s v="detailed"/>
    <s v="detailed Mining"/>
    <n v="15300000"/>
    <m/>
    <m/>
    <m/>
    <m/>
    <s v="t"/>
    <n v="26.25"/>
    <s v="US$/t"/>
    <s v="Volume from USGS Mineral Yearbook 2011 (though, based on volume information in the EITI Report, it is assumed to be millions, rather than thousands, of tonnes). Price from EITI Report, and is based on the reported value and volume of exports."/>
    <n v="401625000"/>
    <n v="0.86093801246310275"/>
    <m/>
    <m/>
    <m/>
    <m/>
    <m/>
    <m/>
    <m/>
    <m/>
    <m/>
    <m/>
    <m/>
    <m/>
    <m/>
    <m/>
    <m/>
    <m/>
    <m/>
    <m/>
    <m/>
    <m/>
    <m/>
    <m/>
    <m/>
    <m/>
    <m/>
    <m/>
    <m/>
    <m/>
    <m/>
    <m/>
    <m/>
    <m/>
    <m/>
    <m/>
    <m/>
    <m/>
    <m/>
    <m/>
    <m/>
    <m/>
    <m/>
    <m/>
    <m/>
    <m/>
  </r>
  <r>
    <x v="83"/>
    <n v="2011"/>
    <x v="14"/>
    <s v="Africa"/>
    <m/>
    <s v="Mining"/>
    <s v="yes"/>
    <s v="no"/>
    <s v="no"/>
    <s v="Diamond"/>
    <s v="detailed"/>
    <s v="detailed Mining"/>
    <n v="304000"/>
    <m/>
    <m/>
    <m/>
    <m/>
    <s v="carats"/>
    <n v="109.95"/>
    <s v="US$/carat"/>
    <s v="Volume from USGS Mineral Yearbook 2011. Price from kimberley Process Annual Summary 2011."/>
    <n v="33424800"/>
    <m/>
    <m/>
    <m/>
    <m/>
    <m/>
    <m/>
    <m/>
    <m/>
    <m/>
    <m/>
    <m/>
    <m/>
    <m/>
    <m/>
    <m/>
    <m/>
    <m/>
    <m/>
    <m/>
    <m/>
    <m/>
    <m/>
    <m/>
    <m/>
    <m/>
    <m/>
    <m/>
    <m/>
    <m/>
    <m/>
    <m/>
    <m/>
    <m/>
    <m/>
    <m/>
    <m/>
    <m/>
    <m/>
    <m/>
    <m/>
    <m/>
    <m/>
    <m/>
    <m/>
    <m/>
  </r>
  <r>
    <x v="83"/>
    <n v="2011"/>
    <x v="14"/>
    <s v="Africa"/>
    <m/>
    <s v="Mining"/>
    <s v="yes"/>
    <s v="no"/>
    <s v="no"/>
    <s v="Gold"/>
    <s v="detailed"/>
    <s v="detailed Mining"/>
    <n v="504605.91337051167"/>
    <m/>
    <m/>
    <m/>
    <m/>
    <s v="toz"/>
    <n v="1681.88"/>
    <s v="US$/toz"/>
    <s v="Volume from USGS Mineral Yearbook 2011. Price from EITI Report, and is based on the reported value and volume of exports."/>
    <n v="848686593.57959616"/>
    <n v="1.0594480734137288"/>
    <m/>
    <m/>
    <m/>
    <m/>
    <m/>
    <m/>
    <m/>
    <m/>
    <m/>
    <m/>
    <m/>
    <m/>
    <m/>
    <m/>
    <m/>
    <m/>
    <m/>
    <m/>
    <m/>
    <m/>
    <m/>
    <m/>
    <m/>
    <m/>
    <m/>
    <m/>
    <m/>
    <m/>
    <m/>
    <m/>
    <m/>
    <m/>
    <m/>
    <m/>
    <m/>
    <m/>
    <m/>
    <m/>
    <m/>
    <m/>
    <m/>
    <m/>
    <m/>
    <m/>
  </r>
  <r>
    <x v="83"/>
    <n v="2011"/>
    <x v="14"/>
    <s v="Africa"/>
    <m/>
    <s v="Mining"/>
    <s v="yes"/>
    <s v="no"/>
    <s v="no"/>
    <s v="Iron Ore"/>
    <s v="detailed"/>
    <s v="detailed Mining"/>
    <n v="0"/>
    <m/>
    <m/>
    <m/>
    <m/>
    <s v="t"/>
    <m/>
    <m/>
    <s v="Volume from EITI Report"/>
    <m/>
    <m/>
    <m/>
    <m/>
    <m/>
    <m/>
    <m/>
    <m/>
    <m/>
    <m/>
    <m/>
    <m/>
    <m/>
    <m/>
    <m/>
    <m/>
    <m/>
    <m/>
    <m/>
    <m/>
    <m/>
    <m/>
    <m/>
    <m/>
    <m/>
    <s v="This commodity was not mentioned in the USGS Mineral Yearbook 2011. "/>
    <m/>
    <m/>
    <m/>
    <m/>
    <m/>
    <m/>
    <m/>
    <m/>
    <m/>
    <m/>
    <m/>
    <m/>
    <m/>
    <m/>
    <m/>
    <m/>
    <m/>
    <m/>
    <m/>
    <m/>
  </r>
  <r>
    <x v="84"/>
    <n v="2012"/>
    <x v="14"/>
    <s v="Africa"/>
    <s v="http://www.itie-guinee.org/"/>
    <s v="Mining"/>
    <s v="yes"/>
    <s v="no"/>
    <s v="no"/>
    <s v="Total"/>
    <s v="Total"/>
    <s v="Total Mining"/>
    <m/>
    <m/>
    <m/>
    <m/>
    <m/>
    <m/>
    <m/>
    <m/>
    <m/>
    <n v="1284378425.849036"/>
    <s v="Profits/Taxes, Royalties, Dividends, Licenses and concessions, Other significant benefits to government"/>
    <s v="Does not include payments made in-kind"/>
    <m/>
    <n v="371466405.82975137"/>
    <n v="379858335.16916144"/>
    <m/>
    <m/>
    <m/>
    <n v="0.28921881460613463"/>
    <s v="Guinean Franc"/>
    <n v="6944.55"/>
    <s v="Disaggregated by revenue stream, Disaggregated by company"/>
    <m/>
    <m/>
    <m/>
    <m/>
    <n v="26"/>
    <s v="Mining companies: COMPAGNIE DES BAUXITES DE GUINEE CBG, ANGLOGOLD ASHANTI DE GUINEE SAG SA., Sté. MINIERE DE DINGUIRAYE (SMD), SIMFER S.A / RIO TINTO, Sté. SEMAFO-GUINEE SA, ALLIANCE MINING COMMODITIES AMC, RUSAL FRIGUIA, Sté HENAN-CHINE, Sté GUITER MINING SA, COMPAGNIE DES BAUXITES DE KINDIA (CBK), Sté DES MINES DE FER DE GUINEE (SMFG), SOCIETE BSGR GUINEE LIMITED / VALEE, Sté WEGA MINING GUINEE SA., Sté BELLZONE HOLDING PTY.LTD., Sté. ALUFER - PITA -LABE, Sté. CASSIDY GOLD GUINEE-SARL, Sté DELTA LOG, Sté GDC MINING AND OIL &amp; GAS SA. Diamond trading companies (Comptoirs): FELLA SANDANFARA, IDC, RUFEX SARL. Gold trading companies (Comptoirs): SOFICOM, ETS DANTA, L.B, BOROKO MINING, M BUSINESS. "/>
    <n v="26"/>
    <s v="December 2013"/>
    <d v="2014-11-10T00:00:00"/>
    <s v="Moore Stephens LLP"/>
    <s v="http://eiti.org/files/Guinea-2012-EITI-Report-FR.pdf"/>
    <s v="34-36, 46-49, 56"/>
    <s v="The USGS Mineral Yearbook 2012 is not yet available. Note that eiti.org figures only included the reconciled revenue flows detailed on p.34-36. Here, Total Payments by Companies includes unilaterally reported payments: &quot;other&quot; payments, payments to local governments, and voluntary social payments. Total Received by Govt includes unilateral receipts from small traders (comptoirs) and quarries (le secteur d’exploitation des carrières), and &quot;other&quot; unilaterally reported revenues. The government unilaterally reported transfers it made to local governments of 3,844,321,277 GNF and transfers it made to the Fonds d'Investissement Minier totalling 24,645,489,166 GNF (see p.46-49); these transfers are not included in revenue/payment totals. Subtotals by commodity cannot be calculated based on company-by-company data in Annex 6 because some companies produce more than one commodity, or did not report which commodity they produce. State revenues by commodity presented on p.45 cannot be used here because they include payments reported unilaterally by companies as well as those reported unilaterally by govt."/>
    <m/>
    <m/>
    <m/>
    <m/>
    <m/>
    <m/>
    <m/>
    <m/>
    <m/>
    <m/>
    <m/>
    <m/>
    <m/>
    <m/>
    <m/>
    <m/>
    <m/>
    <m/>
    <m/>
    <m/>
  </r>
  <r>
    <x v="84"/>
    <n v="2012"/>
    <x v="14"/>
    <s v="Africa"/>
    <m/>
    <s v="Mining"/>
    <s v="yes"/>
    <s v="no"/>
    <s v="no"/>
    <s v="Bauxite"/>
    <s v="detailed"/>
    <s v="detailed Mining"/>
    <n v="19202874"/>
    <m/>
    <n v="19202874"/>
    <m/>
    <m/>
    <s v="t"/>
    <n v="24.501214000000001"/>
    <s v="US$/t"/>
    <s v="Volume from EITI Report. Price from USGS Mineral Yearbook 2012, and is the average f.a.s. price of US imports of crude and dried bauxite, adjusted to account for the price given in the 2011 EITI Report being 86.09% of this in 2011."/>
    <n v="470493725.28903604"/>
    <m/>
    <m/>
    <m/>
    <m/>
    <m/>
    <m/>
    <m/>
    <m/>
    <m/>
    <m/>
    <m/>
    <m/>
    <m/>
    <m/>
    <m/>
    <m/>
    <m/>
    <m/>
    <m/>
    <m/>
    <m/>
    <m/>
    <m/>
    <m/>
    <m/>
    <m/>
    <m/>
    <m/>
    <m/>
    <m/>
    <m/>
    <m/>
    <m/>
    <m/>
    <m/>
    <m/>
    <m/>
    <m/>
    <m/>
    <m/>
    <m/>
    <m/>
    <m/>
    <m/>
    <m/>
  </r>
  <r>
    <x v="84"/>
    <n v="2012"/>
    <x v="14"/>
    <s v="Africa"/>
    <m/>
    <s v="Mining"/>
    <s v="yes"/>
    <s v="no"/>
    <s v="no"/>
    <s v="Diamond"/>
    <s v="detailed"/>
    <s v="detailed Mining"/>
    <n v="43019"/>
    <m/>
    <n v="43019"/>
    <m/>
    <m/>
    <s v="carats"/>
    <n v="163.24"/>
    <s v="US$/carat"/>
    <s v="Volume from EITI Report. Price from kimberley Process Annual Summary 2012."/>
    <n v="7022421.5600000005"/>
    <m/>
    <m/>
    <m/>
    <m/>
    <m/>
    <m/>
    <m/>
    <m/>
    <m/>
    <m/>
    <m/>
    <m/>
    <m/>
    <m/>
    <m/>
    <m/>
    <m/>
    <m/>
    <m/>
    <m/>
    <m/>
    <m/>
    <m/>
    <m/>
    <m/>
    <m/>
    <m/>
    <m/>
    <m/>
    <m/>
    <m/>
    <m/>
    <m/>
    <m/>
    <m/>
    <m/>
    <m/>
    <m/>
    <m/>
    <m/>
    <m/>
    <m/>
    <m/>
    <m/>
    <m/>
  </r>
  <r>
    <x v="84"/>
    <n v="2012"/>
    <x v="14"/>
    <s v="Africa"/>
    <m/>
    <s v="Mining"/>
    <s v="yes"/>
    <s v="no"/>
    <s v="no"/>
    <s v="Gold"/>
    <s v="detailed"/>
    <s v="detailed Mining"/>
    <n v="458836.32795719698"/>
    <m/>
    <n v="458836.32795719698"/>
    <m/>
    <m/>
    <s v="toz"/>
    <n v="1749.3846696351361"/>
    <s v="US$/toz"/>
    <s v="Volume and price from EITI Report. Price is based on the reported value and volume of exports."/>
    <n v="802681238"/>
    <m/>
    <m/>
    <m/>
    <m/>
    <m/>
    <m/>
    <m/>
    <m/>
    <m/>
    <m/>
    <m/>
    <m/>
    <m/>
    <m/>
    <m/>
    <m/>
    <m/>
    <m/>
    <m/>
    <m/>
    <m/>
    <m/>
    <m/>
    <m/>
    <m/>
    <m/>
    <m/>
    <m/>
    <m/>
    <m/>
    <m/>
    <m/>
    <m/>
    <m/>
    <m/>
    <m/>
    <m/>
    <m/>
    <m/>
    <m/>
    <m/>
    <m/>
    <m/>
    <m/>
    <m/>
  </r>
  <r>
    <x v="84"/>
    <n v="2012"/>
    <x v="14"/>
    <s v="Africa"/>
    <m/>
    <s v="Mining"/>
    <s v="yes"/>
    <s v="no"/>
    <s v="no"/>
    <s v="Iron Ore"/>
    <s v="detailed"/>
    <s v="detailed Mining"/>
    <n v="47319"/>
    <m/>
    <n v="47319"/>
    <m/>
    <m/>
    <s v="t"/>
    <n v="88.358608592742868"/>
    <s v="US$/t"/>
    <s v="Volume and price from EITI Report. Price is based on the reported value and volume of exports."/>
    <n v="4181041"/>
    <m/>
    <m/>
    <m/>
    <m/>
    <m/>
    <m/>
    <m/>
    <m/>
    <m/>
    <m/>
    <m/>
    <m/>
    <m/>
    <m/>
    <m/>
    <m/>
    <m/>
    <m/>
    <m/>
    <m/>
    <m/>
    <m/>
    <m/>
    <m/>
    <m/>
    <m/>
    <m/>
    <m/>
    <m/>
    <m/>
    <m/>
    <m/>
    <m/>
    <m/>
    <m/>
    <m/>
    <m/>
    <m/>
    <m/>
    <m/>
    <m/>
    <m/>
    <m/>
    <m/>
    <m/>
  </r>
  <r>
    <x v="85"/>
    <n v="2009"/>
    <x v="15"/>
    <s v="East Asia and Pacific"/>
    <s v="http://eiti.ekon.go.id"/>
    <s v="Oil, Gas, Mining"/>
    <s v="yes"/>
    <s v="yes"/>
    <s v="yes"/>
    <s v="Total"/>
    <s v="Total"/>
    <s v="Total Oil, Gas, Mining"/>
    <m/>
    <m/>
    <m/>
    <m/>
    <m/>
    <m/>
    <m/>
    <m/>
    <m/>
    <n v="63917674476.768425"/>
    <s v="Host government's production entitlement, Profits/Taxes, Royalties, Dividends, Bonuses, Other significant benefits to government"/>
    <s v="Also covers payments made in-kind"/>
    <s v="No"/>
    <n v="24925055610"/>
    <n v="24682330430"/>
    <m/>
    <m/>
    <m/>
    <n v="0.38995560796035034"/>
    <s v="United States Dollar"/>
    <m/>
    <s v="Disaggregated by revenue stream, Disaggregated by company, Disaggregated by company and revenue stream, Disaggregated by project"/>
    <s v="179,240,272 bbl of oil; 25,004,903 bbl of DMO oil; 588,873,273MSCF of gas"/>
    <n v="15316435000"/>
    <s v="DMO fees"/>
    <n v="697200000"/>
    <n v="129"/>
    <s v="PT Chevron Pacific Indonesia, Chevron Indonesia Company, Chevron Makassar Ltd, Chevron Siak Inc., Chevron Mountain Front Kuantan Inc., Total E&amp;P Indonesie, Inpex Corporation, ConocoPhillips Indonesia Inc. Ltd., ConocoPhillips (Grissik) Ltd., ConocoPhillips (South Jambi) Ltd., PT Pertamina EP, Virginia Indonesia Co., Mobil Expl. Indo (NSO) Inc., ExxonMobil Oil Indonesia Inc., Mobil Cepu Ltd., Mobil Pase Inc., CNOOC SES Ltd., PT Bumi Siak Pusako, PT Pertamina Hulu Energi West Madura, PT Pertamina Hulu Energi East Java, PT Pertamina Hulu Energi Ogan Komering, PT Pertamina Hulu Energi Salawati, PT Pertamina Hulu Energi Tomori Sulawesi, PT Pertamina Hulu Energi Raja Tempirai, PetroChina International Jabung Ltd., PetroChina East Java, PetroChina International Salawati Ltd., PetroChina International (Bermuda) Ltd., PetroChina International Bangko Ltd., Pertamina Hulu Energi ONWJ Ltd., BP Berau Ltd., BP Muturi Ltd., BP Wiriagar Ltd., PT Medco E&amp;P Rimau, PT Medco E&amp;P Indonesia, PT Medco E&amp;P Tarakan, PT Medco E&amp;P Tomori Sulawesi, PT Medco E&amp;P Lematang, Premier Oil Natuna SEA BV, Kondur Petroleum S.A, Kangean Energy Indonesia Ltd., Kalila (Korinci) Ltd., Lapindo Brantas Inc., Kodeco Energy Co. Ltd., Star Energy Kakap Ltd., Talisman (Ogan Komering) Ltd., Hess (Indonesia-Pangkah) Ltd., Santos (Sampang) Pty. Ltd., Santos (Madura Offshore) Pty. Ltd., Energy Equity Epic (Sengkang) Pty. Ltd., Golden Spike Ltd., CITIC Seram Energy Ltd., Kalrez Petroleum (Seram) Ltd., Pearl Oil (Tungkal) Ltd., Petroselat Ltd, Perusda Benuo Taka, Costa International Group Ltd., PT Harita Prima Abadi Mineral, PT Gunung Sion, 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 PT Freeport Indonesia, PT Newmont Nusa Tenggara, PT Nusa Halmahera Minerals, Aneka Tambang (Persero) Tbk, PT Indo Muro Kencana, PT Avocet Bolaang Mongondow, PT Billy Indonesia, PT INCO, PT Timah (Persero) Tbk, PT Koba Tin, PT DS Jaya Abadi, PT Bukit Timah, PT Belitung Industri Sejahtera, CV Donna Kebara Jaya, CV Makmur Jaya"/>
    <n v="126"/>
    <s v="May 2013"/>
    <d v="2014-09-29T00:00:00"/>
    <s v="KAP Gideon Ikhwan Sofwan"/>
    <s v="http://eiti.org/files/Indonesia_2009_EITI_Report.pdf"/>
    <s v="14,16,17"/>
    <s v="Materiality threshold: All operators of oil &amp; gas production sharing contract (PSC) areas in 2009 from which the Government of Indonesia obtained a share of production in one form or another should be reconciled; mining companies that made royalty payments of at least US$500,000 should be reconciled. These mining companies accounted for 81% of royalty payments in 2009. Unilateral declarations are included. The report doesn't indicate how the value of payments in-kind are calculat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
    <m/>
    <m/>
    <m/>
    <m/>
    <m/>
    <m/>
    <m/>
    <m/>
    <m/>
    <m/>
    <m/>
    <m/>
    <m/>
    <m/>
    <m/>
    <m/>
    <m/>
    <m/>
    <m/>
    <m/>
  </r>
  <r>
    <x v="85"/>
    <n v="2009"/>
    <x v="15"/>
    <s v="East Asia and Pacific"/>
    <m/>
    <s v="Oil, Gas"/>
    <s v="no"/>
    <s v="yes"/>
    <s v="yes"/>
    <s v="Total Oil &amp; Gas"/>
    <s v="Total"/>
    <s v="Total Oil, Gas"/>
    <m/>
    <m/>
    <m/>
    <m/>
    <m/>
    <m/>
    <m/>
    <m/>
    <m/>
    <n v="32461193487.104675"/>
    <m/>
    <m/>
    <m/>
    <n v="20711929000"/>
    <n v="20615506000"/>
    <m/>
    <m/>
    <m/>
    <n v="0.63805198685094211"/>
    <m/>
    <m/>
    <m/>
    <s v="179,240,272 bbl of oil; 25,004,903 bbl of DMO oil; 588,873,273MSCF of gas"/>
    <n v="15316435000"/>
    <s v="DMO fees"/>
    <n v="697200000"/>
    <n v="57"/>
    <s v="PT Chevron Pacific Indonesia, Chevron Indonesia Company, Chevron Makassar Ltd, Chevron Siak Inc., Chevron Mountain Front Kuantan Inc., Total E&amp;P Indonesie, Inpex Corporation, ConocoPhillips Indonesia Inc. Ltd., ConocoPhillips (Grissik) Ltd., ConocoPhillips (South Jambi) Ltd., PT Pertamina EP, Virginia Indonesia Co., Mobil Expl. Indo (NSO) Inc., ExxonMobil Oil Indonesia Inc., Mobil Cepu Ltd., Mobil Pase Inc., CNOOC SES Ltd., PT Bumi Siak Pusako, PT Pertamina Hulu Energi West Madura, PT Pertamina Hulu Energi East Java, PT Pertamina Hulu Energi Ogan Komering, PT Pertamina Hulu Energi Salawati, PT Pertamina Hulu Energi Tomori Sulawesi, PT Pertamina Hulu Energi Raja Tempirai, PetroChina International Jabung Ltd., PetroChina East Java, PetroChina International Salawati Ltd., PetroChina International (Bermuda) Ltd., PetroChina International Bangko Ltd., Pertamina Hulu Energi ONWJ Ltd., BP Berau Ltd., BP Muturi Ltd., BP Wiriagar Ltd., PT Medco E&amp;P Rimau, PT Medco E&amp;P Indonesia, PT Medco E&amp;P Tarakan, PT Medco E&amp;P Tomori Sulawesi, PT Medco E&amp;P Lematang, Premier Oil Natuna SEA BV, Kondur Petroleum S.A, Kangean Energy Indonesia Ltd., Kalila (Korinci) Ltd., Lapindo Brantas Inc., Kodeco Energy Co. Ltd., Star Energy Kakap Ltd., Talisman (Ogan Komering) Ltd., Hess (Indonesia-Pangkah) Ltd., Santos (Sampang) Pty. Ltd., Santos (Madura Offshore) Pty. Ltd., Energy Equity Epic (Sengkang) Pty. Ltd., Golden Spike Ltd., CITIC Seram Energy Ltd., Kalrez Petroleum (Seram) Ltd., Pearl Oil (Tungkal) Ltd., Petroselat Ltd, Perusda Benuo Taka, Costa International Group Ltd. "/>
    <n v="57"/>
    <m/>
    <m/>
    <m/>
    <m/>
    <n v="14"/>
    <m/>
    <m/>
    <m/>
    <m/>
    <m/>
    <m/>
    <m/>
    <m/>
    <m/>
    <m/>
    <m/>
    <m/>
    <m/>
    <m/>
    <m/>
    <m/>
    <m/>
    <m/>
    <m/>
    <m/>
    <m/>
  </r>
  <r>
    <x v="85"/>
    <n v="2009"/>
    <x v="15"/>
    <s v="East Asia and Pacific"/>
    <m/>
    <s v="Gas"/>
    <s v="no"/>
    <s v="yes"/>
    <s v="no"/>
    <s v="Gas"/>
    <s v="detailed"/>
    <s v="detailed Gas"/>
    <n v="71900000000"/>
    <n v="474540000"/>
    <m/>
    <m/>
    <m/>
    <s v="m³"/>
    <n v="0.14422800000000002"/>
    <s v="US$/m³"/>
    <s v="Volume and price from BPSR 2014. Price is an average of the UK, US and Canada Indices for natural gas."/>
    <n v="10369993200.000002"/>
    <m/>
    <m/>
    <m/>
    <m/>
    <m/>
    <m/>
    <m/>
    <m/>
    <m/>
    <m/>
    <m/>
    <m/>
    <m/>
    <m/>
    <m/>
    <m/>
    <m/>
    <m/>
    <m/>
    <m/>
    <m/>
    <m/>
    <m/>
    <n v="26"/>
    <m/>
    <m/>
    <m/>
    <m/>
    <m/>
    <m/>
    <m/>
    <m/>
    <m/>
    <m/>
    <m/>
    <m/>
    <m/>
    <m/>
    <m/>
    <m/>
    <m/>
    <m/>
    <m/>
    <m/>
    <m/>
  </r>
  <r>
    <x v="85"/>
    <n v="2009"/>
    <x v="15"/>
    <s v="East Asia and Pacific"/>
    <m/>
    <s v="Oil"/>
    <s v="no"/>
    <s v="no"/>
    <s v="yes"/>
    <s v="Oil"/>
    <s v="detailed"/>
    <s v="detailed Oil"/>
    <n v="346750000"/>
    <n v="1.368536409516943"/>
    <n v="346750000"/>
    <m/>
    <m/>
    <s v="bbl"/>
    <n v="63.709301476869996"/>
    <s v="US$/bbl"/>
    <s v="Volume from EITI Report. Price from BPSR 2014, and is an average of the spot prices for Brent, Dubai, Nigerian Forcados and West Texas Intermediate crude oil, adjusted to account for the prices given in the 2010-2011 EITI Reports being an average 102.62% of this in 2010-2011."/>
    <n v="22091200287.104671"/>
    <m/>
    <m/>
    <m/>
    <m/>
    <m/>
    <m/>
    <m/>
    <m/>
    <m/>
    <m/>
    <m/>
    <m/>
    <m/>
    <m/>
    <m/>
    <m/>
    <m/>
    <m/>
    <m/>
    <m/>
    <m/>
    <m/>
    <m/>
    <n v="26"/>
    <m/>
    <m/>
    <m/>
    <m/>
    <m/>
    <m/>
    <m/>
    <m/>
    <m/>
    <m/>
    <m/>
    <m/>
    <m/>
    <m/>
    <m/>
    <m/>
    <m/>
    <m/>
    <m/>
    <m/>
    <m/>
  </r>
  <r>
    <x v="85"/>
    <n v="2009"/>
    <x v="15"/>
    <s v="East Asia and Pacific"/>
    <m/>
    <s v="Mining"/>
    <s v="yes"/>
    <s v="no"/>
    <s v="no"/>
    <s v="Total Mining"/>
    <s v="Total"/>
    <s v="Total Mining"/>
    <m/>
    <m/>
    <m/>
    <m/>
    <m/>
    <m/>
    <m/>
    <m/>
    <m/>
    <n v="31456480989.66375"/>
    <m/>
    <m/>
    <m/>
    <n v="4213126610"/>
    <n v="4066824430"/>
    <m/>
    <m/>
    <m/>
    <n v="0.13393508992262634"/>
    <m/>
    <m/>
    <m/>
    <m/>
    <m/>
    <m/>
    <m/>
    <n v="72"/>
    <s v="PT Harita Prima Abadi Mineral, PT Gunung Sion, 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 PT Freeport Indonesia, PT Newmont Nusa Tenggara, PT Nusa Halmahera Minerals, Aneka Tambang (Persero) Tbk, PT Indo Muro Kencana, PT Avocet Bolaang Mongondow, PT Billy Indonesia, PT INCO, PT Timah (Persero) Tbk, PT Koba Tin, PT DS Jaya Abadi, PT Bukit Timah, PT Belitung Industri Sejahtera, CV Donna Kebara Jaya, CV Makmur Jaya"/>
    <n v="69"/>
    <m/>
    <m/>
    <m/>
    <m/>
    <s v="16-17"/>
    <m/>
    <m/>
    <m/>
    <m/>
    <m/>
    <m/>
    <m/>
    <m/>
    <m/>
    <m/>
    <m/>
    <m/>
    <m/>
    <m/>
    <m/>
    <m/>
    <m/>
    <m/>
    <m/>
    <m/>
    <m/>
  </r>
  <r>
    <x v="85"/>
    <n v="2009"/>
    <x v="15"/>
    <s v="East Asia and Pacific"/>
    <m/>
    <s v="Mining"/>
    <s v="yes"/>
    <s v="no"/>
    <s v="no"/>
    <s v="Bauxite"/>
    <s v="detailed"/>
    <s v="detailed Mining"/>
    <n v="15000000"/>
    <m/>
    <m/>
    <m/>
    <m/>
    <s v="t"/>
    <n v="29.8"/>
    <s v="US$/t"/>
    <s v="Volume from USGS Mineral Yearbook 2012. Price from USGS Mineral Yearbook 2010, and is the average f.a.s. price of US imports of crude and dried bauxite."/>
    <n v="447000000"/>
    <m/>
    <m/>
    <m/>
    <m/>
    <m/>
    <m/>
    <m/>
    <m/>
    <m/>
    <m/>
    <m/>
    <m/>
    <m/>
    <m/>
    <m/>
    <m/>
    <n v="2"/>
    <s v="PT Harita Prima Abadi Mineral, PT Gunung Sion"/>
    <n v="2"/>
    <m/>
    <m/>
    <m/>
    <m/>
    <m/>
    <m/>
    <m/>
    <m/>
    <m/>
    <m/>
    <m/>
    <m/>
    <m/>
    <m/>
    <m/>
    <m/>
    <m/>
    <m/>
    <m/>
    <m/>
    <m/>
    <m/>
    <m/>
    <m/>
    <m/>
    <m/>
  </r>
  <r>
    <x v="85"/>
    <n v="2009"/>
    <x v="15"/>
    <s v="East Asia and Pacific"/>
    <m/>
    <s v="Mining"/>
    <s v="yes"/>
    <s v="no"/>
    <s v="no"/>
    <s v="Coal"/>
    <s v="detailed"/>
    <s v="detailed Mining"/>
    <n v="256200000"/>
    <m/>
    <m/>
    <m/>
    <m/>
    <s v="t"/>
    <n v="72.516709165814987"/>
    <s v="US$/t"/>
    <s v="Volume and price from BPSR 2014. Price is an average of the American Central Appalachian, Asian and Northwest Europe marker/spot prices."/>
    <n v="18578780888.281799"/>
    <m/>
    <m/>
    <m/>
    <n v="2569492290"/>
    <n v="2335419930"/>
    <m/>
    <m/>
    <m/>
    <n v="0.13830252401656004"/>
    <m/>
    <m/>
    <m/>
    <m/>
    <m/>
    <m/>
    <m/>
    <n v="54"/>
    <s v="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
    <n v="53"/>
    <m/>
    <m/>
    <m/>
    <m/>
    <n v="17"/>
    <m/>
    <m/>
    <m/>
    <m/>
    <m/>
    <m/>
    <m/>
    <m/>
    <m/>
    <m/>
    <m/>
    <m/>
    <m/>
    <m/>
    <m/>
    <m/>
    <m/>
    <m/>
    <m/>
    <m/>
    <m/>
  </r>
  <r>
    <x v="85"/>
    <n v="2009"/>
    <x v="15"/>
    <s v="East Asia and Pacific"/>
    <m/>
    <s v="Mining"/>
    <s v="yes"/>
    <s v="no"/>
    <s v="no"/>
    <s v="Copper"/>
    <s v="detailed"/>
    <s v="detailed Mining"/>
    <m/>
    <m/>
    <m/>
    <m/>
    <m/>
    <m/>
    <n v="5149.7385833333301"/>
    <s v="US$/t"/>
    <s v="Price from World Bank (Global Economic Monitor (GEM) Commodities database), and is defined as: Copper (LME), grade A, minimum 99.9935% purity, cathodes and wire bar shapes, settlement price."/>
    <n v="3013112045.1083312"/>
    <m/>
    <m/>
    <m/>
    <m/>
    <m/>
    <m/>
    <m/>
    <m/>
    <m/>
    <m/>
    <m/>
    <m/>
    <m/>
    <m/>
    <m/>
    <m/>
    <n v="6"/>
    <s v="PT Freeport Indonesia, PT Newmont Nusa Tenggara, PT Nusa Halmahera Minerals, Aneka Tambang (Persero) Tbk, PT Indo Muro Kencana, PT Avocet Bolaang Mongondow"/>
    <n v="6"/>
    <m/>
    <m/>
    <m/>
    <m/>
    <m/>
    <m/>
    <m/>
    <m/>
    <m/>
    <m/>
    <m/>
    <m/>
    <m/>
    <m/>
    <m/>
    <m/>
    <m/>
    <m/>
    <m/>
    <m/>
    <m/>
    <m/>
    <m/>
    <m/>
    <m/>
    <m/>
  </r>
  <r>
    <x v="85"/>
    <n v="2009"/>
    <x v="15"/>
    <s v="East Asia and Pacific"/>
    <m/>
    <s v="Mining"/>
    <s v="yes"/>
    <s v="no"/>
    <s v="no"/>
    <s v="o/w Copper content in mine output"/>
    <s v="detailed"/>
    <s v="detailed Mining"/>
    <n v="998530"/>
    <m/>
    <m/>
    <m/>
    <m/>
    <s v="t"/>
    <m/>
    <m/>
    <s v="Volume from USGS Mineral Yearbook 2012"/>
    <m/>
    <m/>
    <m/>
    <m/>
    <m/>
    <m/>
    <m/>
    <m/>
    <m/>
    <m/>
    <m/>
    <m/>
    <m/>
    <m/>
    <m/>
    <m/>
    <m/>
    <m/>
    <m/>
    <m/>
    <m/>
    <m/>
    <m/>
    <m/>
    <m/>
    <m/>
    <m/>
    <m/>
    <m/>
    <m/>
    <m/>
    <m/>
    <m/>
    <m/>
    <m/>
    <m/>
    <m/>
    <m/>
    <m/>
    <m/>
    <m/>
    <m/>
    <m/>
    <m/>
    <m/>
    <m/>
  </r>
  <r>
    <x v="85"/>
    <n v="2009"/>
    <x v="15"/>
    <s v="East Asia and Pacific"/>
    <m/>
    <s v="Mining"/>
    <s v="yes"/>
    <s v="no"/>
    <s v="no"/>
    <s v="o/w Metal (smelter, primary)"/>
    <s v="detailed"/>
    <s v="detailed Mining"/>
    <n v="295900"/>
    <m/>
    <m/>
    <m/>
    <m/>
    <s v="t"/>
    <m/>
    <m/>
    <s v="Volume from USGS Mineral Yearbook 2012"/>
    <m/>
    <m/>
    <m/>
    <m/>
    <m/>
    <m/>
    <m/>
    <m/>
    <m/>
    <m/>
    <m/>
    <m/>
    <m/>
    <m/>
    <m/>
    <m/>
    <m/>
    <m/>
    <m/>
    <m/>
    <m/>
    <m/>
    <m/>
    <m/>
    <m/>
    <m/>
    <m/>
    <m/>
    <m/>
    <m/>
    <m/>
    <m/>
    <m/>
    <m/>
    <m/>
    <m/>
    <m/>
    <m/>
    <m/>
    <m/>
    <m/>
    <m/>
    <m/>
    <m/>
    <m/>
    <m/>
  </r>
  <r>
    <x v="85"/>
    <n v="2009"/>
    <x v="15"/>
    <s v="East Asia and Pacific"/>
    <m/>
    <s v="Mining"/>
    <s v="yes"/>
    <s v="no"/>
    <s v="no"/>
    <s v="o/w Metal (refinery, primary)"/>
    <s v="detailed"/>
    <s v="detailed Mining"/>
    <n v="289200"/>
    <m/>
    <m/>
    <m/>
    <m/>
    <s v="t"/>
    <m/>
    <m/>
    <s v="Volume from USGS Mineral Yearbook 2012"/>
    <m/>
    <m/>
    <m/>
    <m/>
    <m/>
    <m/>
    <m/>
    <m/>
    <m/>
    <m/>
    <m/>
    <m/>
    <m/>
    <m/>
    <m/>
    <m/>
    <m/>
    <m/>
    <m/>
    <m/>
    <m/>
    <m/>
    <m/>
    <m/>
    <m/>
    <m/>
    <m/>
    <m/>
    <m/>
    <m/>
    <m/>
    <m/>
    <m/>
    <m/>
    <m/>
    <m/>
    <m/>
    <m/>
    <m/>
    <m/>
    <m/>
    <m/>
    <m/>
    <m/>
    <m/>
    <m/>
  </r>
  <r>
    <x v="85"/>
    <n v="2009"/>
    <x v="15"/>
    <s v="East Asia and Pacific"/>
    <m/>
    <s v="Mining"/>
    <s v="yes"/>
    <s v="no"/>
    <s v="no"/>
    <s v="Gold"/>
    <s v="detailed"/>
    <s v="detailed Mining"/>
    <n v="4516793.6003565751"/>
    <m/>
    <m/>
    <m/>
    <m/>
    <s v="toz"/>
    <n v="972.96591666666995"/>
    <s v="US$/toz"/>
    <s v="Volume from USGS Mineral Yearbook 2012. Price from World Bank (Global Economic Monitor (GEM) Commodities database), and is defined as: Gold (UK), 99.5% fine, London afternoon fixing, average of daily rates."/>
    <n v="4394686225.7650833"/>
    <m/>
    <m/>
    <m/>
    <m/>
    <m/>
    <m/>
    <m/>
    <m/>
    <m/>
    <m/>
    <m/>
    <m/>
    <m/>
    <m/>
    <m/>
    <m/>
    <n v="6"/>
    <s v="PT Freeport Indonesia, PT Newmont Nusa Tenggara, PT Nusa Halmahera Minerals, Aneka Tambang (Persero) Tbk, PT Indo Muro Kencana, PT Avocet Bolaang Mongondow"/>
    <n v="6"/>
    <m/>
    <m/>
    <m/>
    <m/>
    <m/>
    <m/>
    <m/>
    <m/>
    <m/>
    <m/>
    <m/>
    <m/>
    <m/>
    <m/>
    <m/>
    <m/>
    <m/>
    <m/>
    <m/>
    <m/>
    <m/>
    <m/>
    <m/>
    <m/>
    <m/>
    <m/>
  </r>
  <r>
    <x v="85"/>
    <n v="2009"/>
    <x v="15"/>
    <s v="East Asia and Pacific"/>
    <m/>
    <s v="Mining"/>
    <s v="yes"/>
    <s v="no"/>
    <s v="no"/>
    <s v="Nickel"/>
    <s v="detailed"/>
    <s v="detailed Mining"/>
    <m/>
    <m/>
    <m/>
    <m/>
    <m/>
    <m/>
    <n v="14654.629499999999"/>
    <s v="US$/t"/>
    <s v="Price from World Bank (Global Economic Monitor (GEM) Commodities database), and is defined as: Nickel (LME), cathodes, minimum 99.8% purity, settlement price beginning 2005; previously cash price"/>
    <n v="4155730524.3509998"/>
    <m/>
    <m/>
    <m/>
    <m/>
    <m/>
    <m/>
    <m/>
    <m/>
    <m/>
    <m/>
    <m/>
    <m/>
    <m/>
    <m/>
    <m/>
    <m/>
    <n v="3"/>
    <s v="Aneka Tambang (Persero) Tbk, PT Billy Indonesia, PT INCO"/>
    <n v="3"/>
    <m/>
    <m/>
    <m/>
    <m/>
    <m/>
    <m/>
    <m/>
    <m/>
    <m/>
    <m/>
    <m/>
    <m/>
    <m/>
    <m/>
    <m/>
    <m/>
    <m/>
    <m/>
    <m/>
    <m/>
    <m/>
    <m/>
    <m/>
    <m/>
    <m/>
    <m/>
  </r>
  <r>
    <x v="85"/>
    <n v="2009"/>
    <x v="15"/>
    <s v="East Asia and Pacific"/>
    <m/>
    <s v="Mining"/>
    <s v="yes"/>
    <s v="no"/>
    <s v="no"/>
    <s v="o/w Nickel content in mine output"/>
    <s v="detailed"/>
    <s v="detailed Mining"/>
    <n v="202800"/>
    <m/>
    <m/>
    <m/>
    <m/>
    <s v="t"/>
    <m/>
    <m/>
    <s v="Volume from USGS Mineral Yearbook 2012"/>
    <m/>
    <m/>
    <m/>
    <m/>
    <m/>
    <m/>
    <m/>
    <m/>
    <m/>
    <m/>
    <m/>
    <m/>
    <m/>
    <m/>
    <m/>
    <m/>
    <m/>
    <m/>
    <m/>
    <m/>
    <m/>
    <m/>
    <m/>
    <m/>
    <m/>
    <m/>
    <m/>
    <m/>
    <m/>
    <m/>
    <m/>
    <m/>
    <m/>
    <m/>
    <m/>
    <m/>
    <m/>
    <m/>
    <m/>
    <m/>
    <m/>
    <m/>
    <m/>
    <m/>
    <m/>
    <m/>
  </r>
  <r>
    <x v="85"/>
    <n v="2009"/>
    <x v="15"/>
    <s v="East Asia and Pacific"/>
    <m/>
    <s v="Mining"/>
    <s v="yes"/>
    <s v="no"/>
    <s v="no"/>
    <s v="o/w Nickel content in matte"/>
    <s v="detailed"/>
    <s v="detailed Mining"/>
    <n v="68228"/>
    <m/>
    <m/>
    <m/>
    <m/>
    <s v="t"/>
    <m/>
    <m/>
    <s v="Volume from USGS Mineral Yearbook 2012"/>
    <m/>
    <m/>
    <m/>
    <m/>
    <m/>
    <m/>
    <m/>
    <m/>
    <m/>
    <m/>
    <m/>
    <m/>
    <m/>
    <m/>
    <m/>
    <m/>
    <m/>
    <m/>
    <m/>
    <m/>
    <m/>
    <m/>
    <m/>
    <m/>
    <m/>
    <m/>
    <m/>
    <m/>
    <m/>
    <m/>
    <m/>
    <m/>
    <m/>
    <m/>
    <m/>
    <m/>
    <m/>
    <m/>
    <m/>
    <m/>
    <m/>
    <m/>
    <m/>
    <m/>
    <m/>
    <m/>
  </r>
  <r>
    <x v="85"/>
    <n v="2009"/>
    <x v="15"/>
    <s v="East Asia and Pacific"/>
    <m/>
    <s v="Mining"/>
    <s v="yes"/>
    <s v="no"/>
    <s v="no"/>
    <s v="o/w Nickel content in ferronickel"/>
    <s v="detailed"/>
    <s v="detailed Mining"/>
    <n v="12550"/>
    <m/>
    <m/>
    <m/>
    <m/>
    <s v="t"/>
    <m/>
    <m/>
    <s v="Volume from USGS Mineral Yearbook 2012"/>
    <m/>
    <m/>
    <m/>
    <m/>
    <m/>
    <m/>
    <m/>
    <m/>
    <m/>
    <m/>
    <m/>
    <m/>
    <m/>
    <m/>
    <m/>
    <m/>
    <m/>
    <m/>
    <m/>
    <m/>
    <m/>
    <m/>
    <m/>
    <m/>
    <m/>
    <m/>
    <m/>
    <m/>
    <m/>
    <m/>
    <m/>
    <m/>
    <m/>
    <m/>
    <m/>
    <m/>
    <m/>
    <m/>
    <m/>
    <m/>
    <m/>
    <m/>
    <m/>
    <m/>
    <m/>
    <m/>
  </r>
  <r>
    <x v="85"/>
    <n v="2009"/>
    <x v="15"/>
    <s v="East Asia and Pacific"/>
    <m/>
    <s v="Mining"/>
    <s v="yes"/>
    <s v="no"/>
    <s v="no"/>
    <s v="Silver"/>
    <s v="detailed"/>
    <s v="detailed Mining"/>
    <n v="11556616.767565709"/>
    <m/>
    <m/>
    <m/>
    <m/>
    <s v="toz"/>
    <n v="14.64353333333"/>
    <s v="US$/toz"/>
    <s v="Volume from USGS Mineral Yearbook 2012. Price from World Bank (Global Economic Monitor (GEM) Commodities database), and is defined as: Silver (Handy &amp; Harman), 99.9% grade refined, New York."/>
    <n v="169229702.85636884"/>
    <m/>
    <m/>
    <m/>
    <m/>
    <m/>
    <m/>
    <m/>
    <m/>
    <m/>
    <m/>
    <m/>
    <m/>
    <m/>
    <m/>
    <m/>
    <m/>
    <m/>
    <m/>
    <m/>
    <m/>
    <m/>
    <m/>
    <m/>
    <m/>
    <m/>
    <m/>
    <m/>
    <m/>
    <m/>
    <m/>
    <m/>
    <m/>
    <m/>
    <m/>
    <m/>
    <m/>
    <m/>
    <m/>
    <m/>
    <m/>
    <m/>
    <m/>
    <m/>
    <m/>
    <m/>
  </r>
  <r>
    <x v="85"/>
    <n v="2009"/>
    <x v="15"/>
    <s v="East Asia and Pacific"/>
    <m/>
    <s v="Mining"/>
    <s v="yes"/>
    <s v="no"/>
    <s v="no"/>
    <s v="Tin"/>
    <s v="detailed"/>
    <s v="detailed Mining"/>
    <m/>
    <m/>
    <m/>
    <m/>
    <m/>
    <m/>
    <n v="13573.876916666701"/>
    <s v="US$/t"/>
    <s v="Price from World Bank (Global Economic Monitor (GEM) Commodities database), and is defined as: Tin (LME), refined, 99.85% purity, settlement price"/>
    <n v="697941603.30116844"/>
    <m/>
    <m/>
    <m/>
    <m/>
    <m/>
    <m/>
    <m/>
    <m/>
    <m/>
    <m/>
    <m/>
    <m/>
    <m/>
    <m/>
    <m/>
    <m/>
    <n v="7"/>
    <s v="PT Timah (Persero) Tbk, PT Koba Tin, PT DS Jaya Abadi, PT Bukit Timah, PT Belitung Industri Sejahtera, CV Donna Kebara Jaya, CV Makmur Jaya"/>
    <n v="5"/>
    <m/>
    <m/>
    <m/>
    <m/>
    <m/>
    <m/>
    <m/>
    <m/>
    <m/>
    <m/>
    <m/>
    <m/>
    <m/>
    <m/>
    <m/>
    <m/>
    <m/>
    <m/>
    <m/>
    <m/>
    <m/>
    <m/>
    <m/>
    <m/>
    <m/>
    <m/>
  </r>
  <r>
    <x v="85"/>
    <n v="2009"/>
    <x v="15"/>
    <s v="East Asia and Pacific"/>
    <m/>
    <s v="Mining"/>
    <s v="yes"/>
    <s v="no"/>
    <s v="no"/>
    <s v="o/w Tin content in mine output"/>
    <s v="detailed"/>
    <s v="detailed Mining"/>
    <n v="46078"/>
    <m/>
    <m/>
    <m/>
    <m/>
    <m/>
    <m/>
    <m/>
    <s v="Volume from USGS Mineral Yearbook 2012"/>
    <m/>
    <m/>
    <m/>
    <m/>
    <m/>
    <m/>
    <m/>
    <m/>
    <m/>
    <m/>
    <m/>
    <m/>
    <m/>
    <m/>
    <m/>
    <m/>
    <m/>
    <m/>
    <m/>
    <m/>
    <m/>
    <m/>
    <m/>
    <m/>
    <m/>
    <m/>
    <m/>
    <m/>
    <m/>
    <m/>
    <m/>
    <m/>
    <m/>
    <m/>
    <m/>
    <m/>
    <m/>
    <m/>
    <m/>
    <m/>
    <m/>
    <m/>
    <m/>
    <m/>
    <m/>
    <m/>
  </r>
  <r>
    <x v="85"/>
    <n v="2009"/>
    <x v="15"/>
    <s v="East Asia and Pacific"/>
    <m/>
    <s v="Mining"/>
    <s v="yes"/>
    <s v="no"/>
    <s v="no"/>
    <s v="o/w Metal"/>
    <s v="detailed"/>
    <s v="detailed Mining"/>
    <n v="51418"/>
    <m/>
    <m/>
    <m/>
    <m/>
    <m/>
    <m/>
    <m/>
    <s v="Volume from USGS Mineral Yearbook 2012"/>
    <m/>
    <m/>
    <m/>
    <m/>
    <m/>
    <m/>
    <m/>
    <m/>
    <m/>
    <m/>
    <m/>
    <m/>
    <m/>
    <m/>
    <m/>
    <m/>
    <m/>
    <m/>
    <m/>
    <m/>
    <m/>
    <m/>
    <m/>
    <m/>
    <m/>
    <m/>
    <m/>
    <m/>
    <m/>
    <m/>
    <m/>
    <m/>
    <m/>
    <m/>
    <m/>
    <m/>
    <m/>
    <m/>
    <m/>
    <m/>
    <m/>
    <m/>
    <m/>
    <m/>
    <m/>
    <m/>
  </r>
  <r>
    <x v="86"/>
    <n v="2010"/>
    <x v="15"/>
    <s v="East Asia and Pacific"/>
    <s v="http://eiti.ekon.go.id"/>
    <s v="Oil, Gas, Mining"/>
    <s v="yes"/>
    <s v="yes"/>
    <s v="yes"/>
    <s v="Total"/>
    <s v="Total"/>
    <s v="Total Oil, Gas, Mining"/>
    <m/>
    <m/>
    <m/>
    <m/>
    <m/>
    <m/>
    <m/>
    <m/>
    <m/>
    <n v="84222176474.178955"/>
    <s v="Host government's production entitlement, State-owned production entitlement, Profits/Taxes, Royalties, Dividends, Bonuses, Licenses and concessions, Other significant benefits to government"/>
    <s v="Also covers payments made in-kind"/>
    <s v="No"/>
    <n v="32949795856"/>
    <n v="32920365915"/>
    <m/>
    <m/>
    <m/>
    <n v="0.39122470156184852"/>
    <s v="United States Dollar and Indonesian Rupiah"/>
    <n v="9078"/>
    <s v="Disaggregated by revenue stream, Disaggregated by company, Disaggregated by company and revenue stream, Disaggregated by project"/>
    <s v="188,720,891 bbl of oil; 26,790,161 bbl of DMO oil; 661,224,716MSCF of gas"/>
    <n v="20912152000"/>
    <s v="DMO fees"/>
    <n v="1007323000"/>
    <n v="223"/>
    <s v="See project-level data for list of oil and gas companies; PT Harita Prima Abadi Mineral, PT Gunung Sion,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PT Freeport Indonesia, PT Newmont Nusa Tenggara, PT Nusa Halmahera Minerals, Aneka Tambang (Persero) Tbk, Aneka Tambang (Persero) Tbk, INCO/Vale Indonesia, PT Timah (Persero) Tbk, PT Koba Tin, Tambang Timah"/>
    <n v="211"/>
    <d v="2014-05-01T00:00:00"/>
    <d v="2014-09-29T00:00:00"/>
    <s v="KAP Gideon Ikhwan Sofwan"/>
    <s v="http://eiti.org/files/EITI-2010-2011-oil-final.pdf; http://eiti.ekon.go.id/en/laporan-eiti-2010-2011-minerba/?aid=604&amp;sa=1"/>
    <s v="43-47 (of oil &amp; gas report), 37 (of mining report)"/>
    <s v="The report uses US dollars for payments by oil &amp; gas companies, and the local currency, the Indonesian Rupiah, for payments by mining companies. Materiality threshold: All oil and gas operators and non-operators of Production Sharing Contract (PSC) areas in 2010 from which the Government of Indonesia obtained a share of production in one form or another should be reconciled; mining companies that made royalty payments of at least IDR25bn should be reconciled. These mining companies accounted for 83% of royalty payments in 2010. The report doesn't indicate how the government liftings of oil and gas are calculated, but notes that the price for DMO crude for up to 60 months of production is 10-25%  of the Indonesia Crude Price. Unilateral declarations are includ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 The report also covers: the ownership of mining companies; the distribution and use of extractive industry revenues."/>
    <m/>
    <m/>
    <m/>
    <m/>
    <m/>
    <m/>
    <m/>
    <m/>
    <m/>
    <m/>
    <m/>
    <m/>
    <m/>
    <m/>
    <m/>
    <m/>
    <m/>
    <m/>
    <m/>
    <m/>
  </r>
  <r>
    <x v="86"/>
    <n v="2010"/>
    <x v="15"/>
    <s v="East Asia and Pacific"/>
    <m/>
    <s v="Oil, Gas"/>
    <s v="no"/>
    <s v="yes"/>
    <s v="yes"/>
    <s v="Total Oil &amp; Gas"/>
    <s v="Total"/>
    <s v="Total Oil, Gas"/>
    <m/>
    <m/>
    <m/>
    <m/>
    <m/>
    <m/>
    <m/>
    <m/>
    <m/>
    <n v="42029171162.806999"/>
    <m/>
    <m/>
    <m/>
    <n v="27159228000"/>
    <n v="27137433000"/>
    <m/>
    <m/>
    <m/>
    <n v="0.64619946690821484"/>
    <m/>
    <m/>
    <m/>
    <s v="188,720,891 bbl of oil; 26,790,161 bbl of DMO oil; 661,224,716MSCF of gas"/>
    <n v="20912152000"/>
    <s v="DMO fees"/>
    <n v="1007323000"/>
    <n v="170"/>
    <s v="See project-level data"/>
    <n v="159"/>
    <m/>
    <m/>
    <m/>
    <m/>
    <s v="43-47 (of oil &amp; gas report)"/>
    <m/>
    <m/>
    <m/>
    <m/>
    <m/>
    <m/>
    <m/>
    <m/>
    <m/>
    <m/>
    <m/>
    <m/>
    <m/>
    <m/>
    <m/>
    <m/>
    <m/>
    <m/>
    <m/>
    <m/>
    <m/>
  </r>
  <r>
    <x v="86"/>
    <n v="2010"/>
    <x v="15"/>
    <s v="East Asia and Pacific"/>
    <m/>
    <s v="Gas"/>
    <s v="no"/>
    <s v="yes"/>
    <s v="no"/>
    <s v="Gas"/>
    <s v="detailed"/>
    <s v="detailed Gas"/>
    <n v="82000000000"/>
    <m/>
    <m/>
    <m/>
    <m/>
    <s v="m³"/>
    <n v="0.1741077336927683"/>
    <s v="US$/m³"/>
    <s v="Volume and price from BPSR 2014. Price is an average of the UK, US and Canada Indices for natural gas."/>
    <n v="14276834162.807001"/>
    <m/>
    <m/>
    <m/>
    <m/>
    <m/>
    <m/>
    <m/>
    <m/>
    <m/>
    <m/>
    <m/>
    <m/>
    <m/>
    <m/>
    <m/>
    <m/>
    <m/>
    <m/>
    <m/>
    <m/>
    <m/>
    <m/>
    <m/>
    <m/>
    <m/>
    <m/>
    <m/>
    <m/>
    <m/>
    <m/>
    <m/>
    <m/>
    <m/>
    <m/>
    <m/>
    <m/>
    <m/>
    <m/>
    <m/>
    <m/>
    <m/>
    <m/>
    <m/>
    <m/>
    <m/>
  </r>
  <r>
    <x v="86"/>
    <n v="2010"/>
    <x v="15"/>
    <s v="East Asia and Pacific"/>
    <m/>
    <s v="Oil"/>
    <s v="no"/>
    <s v="no"/>
    <s v="yes"/>
    <s v="Oil"/>
    <s v="detailed"/>
    <s v="detailed Oil"/>
    <n v="348210000"/>
    <m/>
    <n v="348210000"/>
    <m/>
    <m/>
    <s v="bbl"/>
    <n v="79.7"/>
    <s v="US$/bbl"/>
    <s v="Volume and price from EITI Report. Price is that for government liftings."/>
    <n v="27752337000"/>
    <m/>
    <m/>
    <m/>
    <m/>
    <m/>
    <m/>
    <m/>
    <m/>
    <m/>
    <m/>
    <m/>
    <m/>
    <m/>
    <m/>
    <m/>
    <m/>
    <m/>
    <m/>
    <m/>
    <m/>
    <m/>
    <m/>
    <m/>
    <s v="16 (of oil &amp; gas report)"/>
    <m/>
    <m/>
    <m/>
    <m/>
    <m/>
    <m/>
    <m/>
    <m/>
    <m/>
    <m/>
    <m/>
    <m/>
    <m/>
    <m/>
    <m/>
    <m/>
    <m/>
    <m/>
    <m/>
    <m/>
    <m/>
  </r>
  <r>
    <x v="86"/>
    <n v="2010"/>
    <x v="15"/>
    <s v="East Asia and Pacific"/>
    <m/>
    <s v="Mining"/>
    <s v="yes"/>
    <s v="no"/>
    <s v="no"/>
    <s v="Total Mining"/>
    <s v="Total"/>
    <s v="Total Mining"/>
    <m/>
    <m/>
    <m/>
    <m/>
    <m/>
    <m/>
    <m/>
    <m/>
    <m/>
    <n v="42193005311.371964"/>
    <m/>
    <m/>
    <m/>
    <n v="5790567856"/>
    <n v="5782932915"/>
    <m/>
    <m/>
    <m/>
    <n v="0.13723999542737744"/>
    <m/>
    <m/>
    <m/>
    <m/>
    <m/>
    <m/>
    <m/>
    <n v="53"/>
    <s v="PT Harita Prima Abadi Mineral, PT Gunung Sion,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PT Freeport Indonesia, PT Newmont Nusa Tenggara, PT Nusa Halmahera Minerals, Aneka Tambang (Persero) Tbk, Aneka Tambang (Persero) Tbk, INCO/Vale Indonesia, PT Timah (Persero) Tbk, PT Koba Tin, Tambang Timah"/>
    <n v="52"/>
    <m/>
    <m/>
    <m/>
    <m/>
    <s v="37 (of mining report)"/>
    <m/>
    <m/>
    <m/>
    <m/>
    <m/>
    <m/>
    <m/>
    <m/>
    <m/>
    <m/>
    <m/>
    <m/>
    <m/>
    <m/>
    <m/>
    <m/>
    <m/>
    <m/>
    <m/>
    <m/>
    <m/>
  </r>
  <r>
    <x v="86"/>
    <n v="2010"/>
    <x v="15"/>
    <s v="East Asia and Pacific"/>
    <m/>
    <s v="Mining"/>
    <s v="yes"/>
    <s v="no"/>
    <s v="no"/>
    <s v="Bauxite (wet)"/>
    <s v="detailed"/>
    <s v="detailed Mining"/>
    <n v="27000000"/>
    <m/>
    <m/>
    <m/>
    <m/>
    <s v="t"/>
    <n v="29.41"/>
    <s v="US$/t"/>
    <s v="Volume from USGS Mineral Yearbook 2012. Price from USGS Mineral Yearbook 2010, and is the average f.a.s. price of US imports of crude and dried bauxite."/>
    <n v="794070000"/>
    <m/>
    <m/>
    <m/>
    <m/>
    <m/>
    <m/>
    <m/>
    <m/>
    <m/>
    <m/>
    <m/>
    <m/>
    <m/>
    <m/>
    <m/>
    <m/>
    <n v="2"/>
    <s v="PT Harita Prima Abadi Mineral, PT Gunung Sion"/>
    <n v="2"/>
    <m/>
    <m/>
    <m/>
    <m/>
    <m/>
    <m/>
    <m/>
    <m/>
    <m/>
    <m/>
    <m/>
    <m/>
    <m/>
    <m/>
    <m/>
    <m/>
    <m/>
    <m/>
    <m/>
    <m/>
    <m/>
    <m/>
    <m/>
    <m/>
    <m/>
    <m/>
  </r>
  <r>
    <x v="86"/>
    <n v="2010"/>
    <x v="15"/>
    <s v="East Asia and Pacific"/>
    <m/>
    <s v="Mining"/>
    <s v="yes"/>
    <s v="no"/>
    <s v="no"/>
    <s v="Coal"/>
    <s v="detailed"/>
    <s v="detailed Mining"/>
    <n v="275200000"/>
    <m/>
    <m/>
    <m/>
    <m/>
    <s v="t"/>
    <n v="89.852021850427363"/>
    <s v="US$/t"/>
    <s v="Volume and price from BPSR 2014. Price is an average of the American Central Appalachian, Asian and Northwest Europe marker/spot prices."/>
    <n v="24727276413.23761"/>
    <m/>
    <m/>
    <m/>
    <m/>
    <m/>
    <m/>
    <m/>
    <m/>
    <m/>
    <m/>
    <m/>
    <m/>
    <m/>
    <m/>
    <m/>
    <m/>
    <n v="43"/>
    <s v="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n v="43"/>
    <m/>
    <m/>
    <m/>
    <m/>
    <m/>
    <m/>
    <m/>
    <m/>
    <m/>
    <m/>
    <m/>
    <m/>
    <m/>
    <m/>
    <m/>
    <m/>
    <m/>
    <m/>
    <m/>
    <m/>
    <m/>
    <m/>
    <m/>
    <m/>
    <m/>
    <m/>
  </r>
  <r>
    <x v="86"/>
    <n v="2010"/>
    <x v="15"/>
    <s v="East Asia and Pacific"/>
    <m/>
    <s v="Mining"/>
    <s v="yes"/>
    <s v="no"/>
    <s v="no"/>
    <s v="Copper"/>
    <s v="detailed"/>
    <s v="detailed Mining"/>
    <m/>
    <m/>
    <m/>
    <m/>
    <m/>
    <m/>
    <n v="7534.7795833333303"/>
    <s v="US$/t"/>
    <s v="Price from World Bank (Global Economic Monitor (GEM) Commodities database), and is defined as: Copper (LME), grade A, minimum 99.9935% purity, cathodes and wire bar shapes, settlement price."/>
    <n v="4181802668.7499981"/>
    <m/>
    <m/>
    <m/>
    <m/>
    <m/>
    <m/>
    <m/>
    <m/>
    <m/>
    <m/>
    <m/>
    <m/>
    <m/>
    <m/>
    <m/>
    <m/>
    <n v="4"/>
    <s v="PT Freeport Indonesia, PT Newmont Nusa Tenggara, PT Nusa Halmahera Minerals, Aneka Tambang (Persero) Tbk"/>
    <n v="4"/>
    <m/>
    <m/>
    <m/>
    <m/>
    <m/>
    <m/>
    <m/>
    <m/>
    <m/>
    <m/>
    <m/>
    <m/>
    <m/>
    <m/>
    <m/>
    <m/>
    <m/>
    <m/>
    <m/>
    <m/>
    <m/>
    <m/>
    <m/>
    <m/>
    <m/>
    <m/>
  </r>
  <r>
    <x v="86"/>
    <n v="2010"/>
    <x v="15"/>
    <s v="East Asia and Pacific"/>
    <m/>
    <s v="Mining"/>
    <s v="yes"/>
    <s v="no"/>
    <s v="no"/>
    <s v="o/w Copper content in mine output"/>
    <s v="detailed"/>
    <s v="detailed Mining"/>
    <n v="878376"/>
    <m/>
    <m/>
    <m/>
    <m/>
    <s v="t"/>
    <m/>
    <m/>
    <s v="Volume from USGS Mineral Yearbook 2012"/>
    <m/>
    <m/>
    <m/>
    <m/>
    <m/>
    <m/>
    <m/>
    <m/>
    <m/>
    <m/>
    <m/>
    <m/>
    <m/>
    <m/>
    <m/>
    <m/>
    <m/>
    <m/>
    <m/>
    <m/>
    <m/>
    <m/>
    <m/>
    <m/>
    <m/>
    <m/>
    <m/>
    <m/>
    <m/>
    <m/>
    <m/>
    <m/>
    <m/>
    <m/>
    <m/>
    <m/>
    <m/>
    <m/>
    <m/>
    <m/>
    <m/>
    <m/>
    <m/>
    <m/>
    <m/>
    <m/>
  </r>
  <r>
    <x v="86"/>
    <n v="2010"/>
    <x v="15"/>
    <s v="East Asia and Pacific"/>
    <m/>
    <s v="Mining"/>
    <s v="yes"/>
    <s v="no"/>
    <s v="no"/>
    <s v="o/w Metal (smelter, primary)"/>
    <s v="detailed"/>
    <s v="detailed Mining"/>
    <n v="276800"/>
    <m/>
    <m/>
    <m/>
    <m/>
    <s v="t"/>
    <m/>
    <m/>
    <s v="Volume from USGS Mineral Yearbook 2012"/>
    <m/>
    <m/>
    <m/>
    <m/>
    <m/>
    <m/>
    <m/>
    <m/>
    <m/>
    <m/>
    <m/>
    <m/>
    <m/>
    <m/>
    <m/>
    <m/>
    <m/>
    <m/>
    <m/>
    <m/>
    <m/>
    <m/>
    <m/>
    <m/>
    <m/>
    <m/>
    <m/>
    <m/>
    <m/>
    <m/>
    <m/>
    <m/>
    <m/>
    <m/>
    <m/>
    <m/>
    <m/>
    <m/>
    <m/>
    <m/>
    <m/>
    <m/>
    <m/>
    <m/>
    <m/>
    <m/>
  </r>
  <r>
    <x v="86"/>
    <n v="2010"/>
    <x v="15"/>
    <s v="East Asia and Pacific"/>
    <m/>
    <s v="Mining"/>
    <s v="yes"/>
    <s v="no"/>
    <s v="no"/>
    <s v="o/w Metal (refinery, primary)"/>
    <s v="detailed"/>
    <s v="detailed Mining"/>
    <n v="278200"/>
    <m/>
    <m/>
    <m/>
    <m/>
    <s v="t"/>
    <m/>
    <m/>
    <s v="Volume from USGS Mineral Yearbook 2012"/>
    <m/>
    <m/>
    <m/>
    <m/>
    <m/>
    <m/>
    <m/>
    <m/>
    <m/>
    <m/>
    <m/>
    <m/>
    <m/>
    <m/>
    <m/>
    <m/>
    <m/>
    <m/>
    <m/>
    <m/>
    <m/>
    <m/>
    <m/>
    <m/>
    <m/>
    <m/>
    <m/>
    <m/>
    <m/>
    <m/>
    <m/>
    <m/>
    <m/>
    <m/>
    <m/>
    <m/>
    <m/>
    <m/>
    <m/>
    <m/>
    <m/>
    <m/>
    <m/>
    <m/>
    <m/>
    <m/>
  </r>
  <r>
    <x v="86"/>
    <n v="2010"/>
    <x v="15"/>
    <s v="East Asia and Pacific"/>
    <m/>
    <s v="Mining"/>
    <s v="yes"/>
    <s v="no"/>
    <s v="no"/>
    <s v="Gold"/>
    <s v="detailed"/>
    <s v="detailed Mining"/>
    <n v="3418138.406237612"/>
    <m/>
    <m/>
    <m/>
    <m/>
    <s v="toz"/>
    <n v="1224.66425"/>
    <s v="US$/toz"/>
    <s v="Volume from USGS Mineral Yearbook 2012. Price from World Bank (Global Economic Monitor (GEM) Commodities database), and is defined as: Gold (UK), 99.5% fine, London afternoon fixing, average of daily rates."/>
    <n v="4186071907.6711807"/>
    <m/>
    <m/>
    <m/>
    <m/>
    <m/>
    <m/>
    <m/>
    <m/>
    <m/>
    <m/>
    <m/>
    <m/>
    <m/>
    <m/>
    <m/>
    <m/>
    <n v="4"/>
    <s v="PT Freeport Indonesia, PT Newmont Nusa Tenggara, PT Nusa Halmahera Minerals, Aneka Tambang (Persero) Tbk"/>
    <n v="4"/>
    <m/>
    <m/>
    <m/>
    <m/>
    <m/>
    <m/>
    <m/>
    <m/>
    <m/>
    <m/>
    <m/>
    <m/>
    <m/>
    <m/>
    <m/>
    <m/>
    <m/>
    <m/>
    <m/>
    <m/>
    <m/>
    <m/>
    <m/>
    <m/>
    <m/>
    <m/>
  </r>
  <r>
    <x v="86"/>
    <n v="2010"/>
    <x v="15"/>
    <s v="East Asia and Pacific"/>
    <m/>
    <s v="Mining"/>
    <s v="yes"/>
    <s v="no"/>
    <s v="no"/>
    <s v="Nickel"/>
    <s v="detailed"/>
    <s v="detailed Mining"/>
    <m/>
    <m/>
    <m/>
    <m/>
    <m/>
    <m/>
    <n v="21808.852416666701"/>
    <s v="US$/t"/>
    <s v="Price from World Bank (Global Economic Monitor (GEM) Commodities database), and is defined as: Nickel (LME), cathodes, minimum 99.8% purity, settlement price beginning 2005; previously cash price."/>
    <n v="7233429316.4455118"/>
    <m/>
    <m/>
    <m/>
    <m/>
    <m/>
    <m/>
    <m/>
    <m/>
    <m/>
    <m/>
    <m/>
    <m/>
    <m/>
    <m/>
    <m/>
    <m/>
    <n v="2"/>
    <s v="Aneka Tambang (Persero) Tbk, INCO/Vale Indonesia"/>
    <n v="2"/>
    <m/>
    <m/>
    <m/>
    <m/>
    <m/>
    <m/>
    <m/>
    <m/>
    <m/>
    <m/>
    <m/>
    <m/>
    <m/>
    <m/>
    <m/>
    <m/>
    <m/>
    <m/>
    <m/>
    <m/>
    <m/>
    <m/>
    <m/>
    <m/>
    <m/>
    <m/>
  </r>
  <r>
    <x v="86"/>
    <n v="2010"/>
    <x v="15"/>
    <s v="East Asia and Pacific"/>
    <m/>
    <s v="Mining"/>
    <s v="yes"/>
    <s v="no"/>
    <s v="no"/>
    <s v="o/w Nickel content in mine output"/>
    <s v="detailed"/>
    <s v="detailed Mining"/>
    <n v="235800"/>
    <m/>
    <m/>
    <m/>
    <m/>
    <s v="t"/>
    <m/>
    <m/>
    <s v="Volume from USGS Mineral Yearbook 2012"/>
    <m/>
    <m/>
    <m/>
    <m/>
    <m/>
    <m/>
    <m/>
    <m/>
    <m/>
    <m/>
    <m/>
    <m/>
    <m/>
    <m/>
    <m/>
    <m/>
    <m/>
    <m/>
    <m/>
    <m/>
    <m/>
    <m/>
    <m/>
    <m/>
    <m/>
    <m/>
    <m/>
    <m/>
    <m/>
    <m/>
    <m/>
    <m/>
    <m/>
    <m/>
    <m/>
    <m/>
    <m/>
    <m/>
    <m/>
    <m/>
    <m/>
    <m/>
    <m/>
    <m/>
    <m/>
    <m/>
  </r>
  <r>
    <x v="86"/>
    <n v="2010"/>
    <x v="15"/>
    <s v="East Asia and Pacific"/>
    <m/>
    <s v="Mining"/>
    <s v="yes"/>
    <s v="no"/>
    <s v="no"/>
    <s v="o/w Nickel content in matte"/>
    <s v="detailed"/>
    <s v="detailed Mining"/>
    <n v="77186"/>
    <m/>
    <m/>
    <m/>
    <m/>
    <s v="t"/>
    <m/>
    <m/>
    <s v="Volume from USGS Mineral Yearbook 2012"/>
    <m/>
    <m/>
    <m/>
    <m/>
    <m/>
    <m/>
    <m/>
    <m/>
    <m/>
    <m/>
    <m/>
    <m/>
    <m/>
    <m/>
    <m/>
    <m/>
    <m/>
    <m/>
    <m/>
    <m/>
    <m/>
    <m/>
    <m/>
    <m/>
    <m/>
    <m/>
    <m/>
    <m/>
    <m/>
    <m/>
    <m/>
    <m/>
    <m/>
    <m/>
    <m/>
    <m/>
    <m/>
    <m/>
    <m/>
    <m/>
    <m/>
    <m/>
    <m/>
    <m/>
    <m/>
    <m/>
  </r>
  <r>
    <x v="86"/>
    <n v="2010"/>
    <x v="15"/>
    <s v="East Asia and Pacific"/>
    <m/>
    <s v="Mining"/>
    <s v="yes"/>
    <s v="no"/>
    <s v="no"/>
    <s v="o/w Nickel content in ferronickel"/>
    <s v="detailed"/>
    <s v="detailed Mining"/>
    <n v="18688"/>
    <m/>
    <m/>
    <m/>
    <m/>
    <s v="t"/>
    <m/>
    <m/>
    <s v="Volume from USGS Mineral Yearbook 2012"/>
    <m/>
    <m/>
    <m/>
    <m/>
    <m/>
    <m/>
    <m/>
    <m/>
    <m/>
    <m/>
    <m/>
    <m/>
    <m/>
    <m/>
    <m/>
    <m/>
    <m/>
    <m/>
    <m/>
    <m/>
    <m/>
    <m/>
    <m/>
    <m/>
    <m/>
    <m/>
    <m/>
    <m/>
    <m/>
    <m/>
    <m/>
    <m/>
    <m/>
    <m/>
    <m/>
    <m/>
    <m/>
    <m/>
    <m/>
    <m/>
    <m/>
    <m/>
    <m/>
    <m/>
    <m/>
    <m/>
  </r>
  <r>
    <x v="86"/>
    <n v="2010"/>
    <x v="15"/>
    <s v="East Asia and Pacific"/>
    <m/>
    <s v="Mining"/>
    <s v="yes"/>
    <s v="no"/>
    <s v="no"/>
    <s v="Silver"/>
    <s v="detailed"/>
    <s v="detailed Mining"/>
    <n v="8730019.8841126803"/>
    <m/>
    <m/>
    <m/>
    <m/>
    <s v="toz"/>
    <n v="20.152958333330002"/>
    <s v="US$/toz"/>
    <s v="Volume from USGS Mineral Yearbook 2012. Price from World Bank (Global Economic Monitor (GEM) Commodities database), and is defined as: Silver (Handy &amp; Harman), 99.9% grade refined, New York."/>
    <n v="175935726.97366527"/>
    <m/>
    <m/>
    <m/>
    <m/>
    <m/>
    <m/>
    <m/>
    <m/>
    <m/>
    <m/>
    <m/>
    <m/>
    <m/>
    <m/>
    <m/>
    <m/>
    <m/>
    <m/>
    <m/>
    <m/>
    <m/>
    <m/>
    <m/>
    <m/>
    <m/>
    <m/>
    <m/>
    <m/>
    <m/>
    <m/>
    <m/>
    <m/>
    <m/>
    <m/>
    <m/>
    <m/>
    <m/>
    <m/>
    <m/>
    <m/>
    <m/>
    <m/>
    <m/>
    <m/>
    <m/>
  </r>
  <r>
    <x v="86"/>
    <n v="2010"/>
    <x v="15"/>
    <s v="East Asia and Pacific"/>
    <m/>
    <s v="Mining"/>
    <s v="yes"/>
    <s v="no"/>
    <s v="no"/>
    <s v="Tin"/>
    <s v="detailed"/>
    <s v="detailed Mining"/>
    <m/>
    <m/>
    <m/>
    <m/>
    <m/>
    <m/>
    <n v="20405.623250000001"/>
    <s v="US$/t"/>
    <s v="Price from World Bank (Global Economic Monitor (GEM) Commodities database), and is defined as: Tin (LME), refined, 99.85% purity, settlement price"/>
    <n v="894419278.29400003"/>
    <m/>
    <m/>
    <m/>
    <m/>
    <m/>
    <m/>
    <m/>
    <m/>
    <m/>
    <m/>
    <m/>
    <m/>
    <m/>
    <m/>
    <m/>
    <m/>
    <n v="3"/>
    <s v="PT Timah (Persero) Tbk, PT Koba Tin, Tambang Timah"/>
    <n v="2"/>
    <m/>
    <m/>
    <m/>
    <m/>
    <m/>
    <m/>
    <m/>
    <m/>
    <m/>
    <m/>
    <m/>
    <m/>
    <m/>
    <m/>
    <m/>
    <m/>
    <m/>
    <m/>
    <m/>
    <m/>
    <m/>
    <m/>
    <m/>
    <m/>
    <m/>
    <m/>
  </r>
  <r>
    <x v="86"/>
    <n v="2010"/>
    <x v="15"/>
    <s v="East Asia and Pacific"/>
    <m/>
    <s v="Mining"/>
    <s v="yes"/>
    <s v="no"/>
    <s v="no"/>
    <s v="o/w Tin content in mine output"/>
    <s v="detailed"/>
    <s v="detailed Mining"/>
    <n v="43258"/>
    <m/>
    <m/>
    <m/>
    <m/>
    <m/>
    <m/>
    <m/>
    <s v="Volume from USGS Mineral Yearbook 2012"/>
    <m/>
    <m/>
    <m/>
    <m/>
    <m/>
    <m/>
    <m/>
    <m/>
    <m/>
    <m/>
    <m/>
    <m/>
    <m/>
    <m/>
    <m/>
    <m/>
    <m/>
    <m/>
    <m/>
    <m/>
    <m/>
    <m/>
    <m/>
    <m/>
    <m/>
    <m/>
    <m/>
    <m/>
    <m/>
    <m/>
    <m/>
    <m/>
    <m/>
    <m/>
    <m/>
    <m/>
    <m/>
    <m/>
    <m/>
    <m/>
    <m/>
    <m/>
    <m/>
    <m/>
    <m/>
    <m/>
  </r>
  <r>
    <x v="86"/>
    <n v="2010"/>
    <x v="15"/>
    <s v="East Asia and Pacific"/>
    <m/>
    <s v="Mining"/>
    <s v="yes"/>
    <s v="no"/>
    <s v="no"/>
    <s v="o/w Metal"/>
    <s v="detailed"/>
    <s v="detailed Mining"/>
    <n v="43832"/>
    <m/>
    <m/>
    <m/>
    <m/>
    <m/>
    <m/>
    <m/>
    <s v="Volume from USGS Mineral Yearbook 2012"/>
    <m/>
    <m/>
    <m/>
    <m/>
    <m/>
    <m/>
    <m/>
    <m/>
    <m/>
    <m/>
    <m/>
    <m/>
    <m/>
    <m/>
    <m/>
    <m/>
    <m/>
    <m/>
    <m/>
    <m/>
    <m/>
    <m/>
    <m/>
    <m/>
    <m/>
    <m/>
    <m/>
    <m/>
    <m/>
    <m/>
    <m/>
    <m/>
    <m/>
    <m/>
    <m/>
    <m/>
    <m/>
    <m/>
    <m/>
    <m/>
    <m/>
    <m/>
    <m/>
    <m/>
    <m/>
    <m/>
  </r>
  <r>
    <x v="87"/>
    <n v="2011"/>
    <x v="15"/>
    <s v="East Asia and Pacific"/>
    <s v="http://eiti.ekon.go.id"/>
    <s v="Oil, Gas, Mining"/>
    <s v="yes"/>
    <s v="yes"/>
    <s v="yes"/>
    <s v="Total"/>
    <s v="Total"/>
    <s v="Total Oil, Gas, Mining"/>
    <m/>
    <m/>
    <m/>
    <m/>
    <m/>
    <m/>
    <m/>
    <m/>
    <m/>
    <n v="110037935730.82755"/>
    <s v="Host government's production entitlement, State-owned production entitlement, Profits/Taxes, Royalties, Dividends, Bonuses, Licenses and concessions, Other significant benefits to government"/>
    <s v="Also covers payments made in-kind"/>
    <s v="No"/>
    <n v="44779611925"/>
    <n v="44689847698"/>
    <m/>
    <m/>
    <m/>
    <n v="0.40694703719759823"/>
    <s v="United States Dollar and Indonesian Rupiah"/>
    <n v="8742"/>
    <s v="Disaggregated by revenue stream, Disaggregated by company, Disaggregated by company and revenue stream, Disaggregated by project"/>
    <s v="187,299,271 bbl of oil; 26,350,022 bbl of DMO oil; 609,520,962MSCF of gas"/>
    <n v="28245912000"/>
    <s v="DMO fees"/>
    <n v="1391756500"/>
    <n v="253"/>
    <s v="See project-level data for list of oil and gas companies; PT Harita Prima Abadi Mineral, PT Gunung Sion, Karya Utama Tambang Jaya, PT Harita Prima Abadi Mineral, PT Gunung Sion, Karya Utama Tambang Jaya,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PT Freeport Indonesia, PT Newmont Nusa Tenggara, PT Nusa Halmahera Minerals, Aneka Tambang (Persero) Tbk, Aneka Tambang (Persero) Tbk, INCO/Vale Indonesia, Billy Indonesia, Bintang Delapan Mineral, PT Timah (Persero) Tbk, PT Koba Tin, Tambang Timah, Bukit Timah, Tinido Internusa, Venus Intl Perkasa, Refined Bangka, Bangka Timah Utama Sejahtera, United Smelting"/>
    <n v="233"/>
    <d v="2014-05-01T00:00:00"/>
    <d v="2014-09-29T00:00:00"/>
    <s v="KAP Gideon Ikhwan Sofwan"/>
    <s v="http://eiti.org/files/EITI-2010-2011-oil-final.pdf; http://eiti.ekon.go.id/en/laporan-eiti-2010-2011-minerba/?aid=604&amp;sa=1"/>
    <s v="49-52 (of oil &amp; gas report), 41 (of mining report)"/>
    <s v="The report uses US dollars for payments by oil &amp; gas companies, and the local currency, the Indonesian Rupiah, for payments by mining companies. Materiality threshold: All oil and gas operators and non-operators of Production Sharing Contract (PSC) areas in 2011 from which the Government of Indonesia obtained a share of production in one form or another should be reconciled; mining companies that made royalty payments of at least IDR25bn should be reconciled. These mining companies accounted for 81% of royalty payments in 2011. The report doesn't indicate how the government liftings of oil and gas are calculated, but notes that the price for DMO crude for up to 60 months of production is 10-25%  of the Indonesia Crude Price. Unilateral declarations are includ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 The report also covers: the ownership of mining companies; the distribution and use of extractive industry revenues."/>
    <m/>
    <m/>
    <m/>
    <m/>
    <m/>
    <m/>
    <m/>
    <m/>
    <m/>
    <m/>
    <m/>
    <m/>
    <m/>
    <m/>
    <m/>
    <m/>
    <m/>
    <m/>
    <m/>
    <m/>
  </r>
  <r>
    <x v="87"/>
    <n v="2011"/>
    <x v="15"/>
    <s v="East Asia and Pacific"/>
    <m/>
    <s v="Oil, Gas"/>
    <s v="no"/>
    <s v="yes"/>
    <s v="yes"/>
    <s v="Total Oil &amp; Gas"/>
    <s v="Total"/>
    <s v="Total Oil, Gas"/>
    <m/>
    <m/>
    <m/>
    <m/>
    <m/>
    <m/>
    <m/>
    <m/>
    <m/>
    <n v="51377828940.113564"/>
    <m/>
    <m/>
    <m/>
    <n v="37103382000"/>
    <n v="37028897000"/>
    <m/>
    <m/>
    <m/>
    <n v="0.72216718311020922"/>
    <m/>
    <m/>
    <m/>
    <s v="187,299,271 bbl of oil; 26,350,022 bbl of DMO oil; 609,520,962MSCF of gas"/>
    <n v="28245912000"/>
    <m/>
    <m/>
    <n v="170"/>
    <s v="See project-level data"/>
    <n v="159"/>
    <m/>
    <m/>
    <m/>
    <m/>
    <s v="49-52 (of oil &amp; gas report)"/>
    <m/>
    <m/>
    <m/>
    <m/>
    <m/>
    <m/>
    <m/>
    <m/>
    <m/>
    <m/>
    <m/>
    <m/>
    <m/>
    <m/>
    <m/>
    <m/>
    <m/>
    <m/>
    <m/>
    <m/>
    <m/>
  </r>
  <r>
    <x v="87"/>
    <n v="2011"/>
    <x v="15"/>
    <s v="East Asia and Pacific"/>
    <m/>
    <s v="Gas"/>
    <s v="no"/>
    <s v="yes"/>
    <s v="no"/>
    <s v="Gas"/>
    <s v="detailed"/>
    <s v="detailed Gas"/>
    <n v="75900000000"/>
    <m/>
    <m/>
    <m/>
    <m/>
    <s v="m³"/>
    <n v="0.19666043794616025"/>
    <s v="US$/m³"/>
    <s v="Volume and price from BPSR 2014. Price is an average of the UK, US and Canada Indices for natural gas."/>
    <n v="14926527240.113564"/>
    <m/>
    <m/>
    <m/>
    <m/>
    <m/>
    <m/>
    <m/>
    <m/>
    <m/>
    <m/>
    <m/>
    <m/>
    <m/>
    <m/>
    <m/>
    <m/>
    <m/>
    <m/>
    <m/>
    <m/>
    <m/>
    <m/>
    <m/>
    <m/>
    <m/>
    <m/>
    <m/>
    <m/>
    <m/>
    <m/>
    <m/>
    <m/>
    <m/>
    <m/>
    <m/>
    <m/>
    <m/>
    <m/>
    <m/>
    <m/>
    <m/>
    <m/>
    <m/>
    <m/>
    <m/>
  </r>
  <r>
    <x v="87"/>
    <n v="2011"/>
    <x v="15"/>
    <s v="East Asia and Pacific"/>
    <m/>
    <s v="Oil"/>
    <s v="no"/>
    <s v="no"/>
    <s v="yes"/>
    <s v="Oil"/>
    <s v="detailed"/>
    <s v="detailed Oil"/>
    <n v="327770000"/>
    <m/>
    <n v="327770000"/>
    <m/>
    <m/>
    <s v="bbl"/>
    <n v="111.21"/>
    <s v="US$/bbl"/>
    <s v="Volume and price from EITI Report. Price is that for government liftings."/>
    <n v="36451301700"/>
    <m/>
    <m/>
    <m/>
    <m/>
    <m/>
    <m/>
    <m/>
    <m/>
    <m/>
    <m/>
    <m/>
    <m/>
    <m/>
    <m/>
    <m/>
    <m/>
    <m/>
    <m/>
    <m/>
    <m/>
    <m/>
    <m/>
    <m/>
    <s v="16 (of oil &amp; gas report)"/>
    <m/>
    <m/>
    <m/>
    <m/>
    <m/>
    <m/>
    <m/>
    <m/>
    <m/>
    <m/>
    <m/>
    <m/>
    <m/>
    <m/>
    <m/>
    <m/>
    <m/>
    <m/>
    <m/>
    <m/>
    <m/>
  </r>
  <r>
    <x v="87"/>
    <n v="2011"/>
    <x v="15"/>
    <s v="East Asia and Pacific"/>
    <m/>
    <s v="Mining"/>
    <s v="yes"/>
    <s v="no"/>
    <s v="no"/>
    <s v="Total Mining"/>
    <s v="Total"/>
    <s v="Total Mining"/>
    <m/>
    <m/>
    <m/>
    <m/>
    <m/>
    <m/>
    <m/>
    <m/>
    <m/>
    <n v="58660106790.713982"/>
    <m/>
    <m/>
    <m/>
    <n v="7676229925"/>
    <n v="7660950698"/>
    <m/>
    <m/>
    <m/>
    <n v="0.13085946045729263"/>
    <m/>
    <m/>
    <m/>
    <m/>
    <m/>
    <m/>
    <m/>
    <n v="83"/>
    <s v="PT Harita Prima Abadi Mineral, PT Gunung Sion, Karya Utama Tambang Jaya, PT Harita Prima Abadi Mineral, PT Gunung Sion, Karya Utama Tambang Jaya,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PT Freeport Indonesia, PT Newmont Nusa Tenggara, PT Nusa Halmahera Minerals, Aneka Tambang (Persero) Tbk, Aneka Tambang (Persero) Tbk, INCO/Vale Indonesia, Billy Indonesia, Bintang Delapan Mineral, PT Timah (Persero) Tbk, PT Koba Tin, Tambang Timah, Bukit Timah, Tinido Internusa, Venus Intl Perkasa, Refined Bangka, Bangka Timah Utama Sejahtera, United Smelting"/>
    <n v="74"/>
    <m/>
    <m/>
    <m/>
    <m/>
    <s v="41  (of mining report)"/>
    <m/>
    <m/>
    <m/>
    <m/>
    <m/>
    <m/>
    <m/>
    <m/>
    <m/>
    <m/>
    <m/>
    <m/>
    <m/>
    <m/>
    <m/>
    <m/>
    <m/>
    <m/>
    <m/>
    <m/>
    <m/>
  </r>
  <r>
    <x v="87"/>
    <n v="2011"/>
    <x v="15"/>
    <s v="East Asia and Pacific"/>
    <m/>
    <s v="Mining"/>
    <s v="yes"/>
    <s v="no"/>
    <s v="no"/>
    <s v="Bauxite (wet)"/>
    <s v="detailed"/>
    <s v="detailed Mining"/>
    <n v="40000000"/>
    <m/>
    <m/>
    <m/>
    <m/>
    <s v="t"/>
    <n v="30.49"/>
    <s v="US$/t"/>
    <s v="Volume from USGS Mineral Yearbook 2012. Price from USGS Mineral Yearbook 2012, and is the average f.a.s. price of US imports of crude and dried bauxite."/>
    <n v="1219600000"/>
    <m/>
    <m/>
    <m/>
    <m/>
    <m/>
    <m/>
    <m/>
    <m/>
    <m/>
    <m/>
    <m/>
    <m/>
    <m/>
    <m/>
    <m/>
    <m/>
    <n v="3"/>
    <s v="PT Harita Prima Abadi Mineral, PT Gunung Sion, Karya Utama Tambang Jaya"/>
    <n v="3"/>
    <m/>
    <m/>
    <m/>
    <m/>
    <m/>
    <m/>
    <m/>
    <m/>
    <m/>
    <m/>
    <m/>
    <m/>
    <m/>
    <m/>
    <m/>
    <m/>
    <m/>
    <m/>
    <m/>
    <m/>
    <m/>
    <m/>
    <m/>
    <m/>
    <m/>
    <m/>
  </r>
  <r>
    <x v="87"/>
    <n v="2011"/>
    <x v="15"/>
    <s v="East Asia and Pacific"/>
    <m/>
    <s v="Mining"/>
    <s v="yes"/>
    <s v="no"/>
    <s v="no"/>
    <s v="Coal"/>
    <s v="detailed"/>
    <s v="detailed Mining"/>
    <n v="353300000"/>
    <m/>
    <m/>
    <m/>
    <m/>
    <s v="t"/>
    <n v="111.54662184722224"/>
    <s v="US$/t"/>
    <s v="Volume and price from BPSR 2014. Price is an average of the American Central Appalachian, Asian and Northwest Europe marker/spot prices."/>
    <n v="39409421498.623619"/>
    <m/>
    <m/>
    <m/>
    <m/>
    <m/>
    <m/>
    <m/>
    <m/>
    <m/>
    <m/>
    <m/>
    <m/>
    <m/>
    <m/>
    <m/>
    <m/>
    <n v="63"/>
    <s v="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
    <n v="60"/>
    <m/>
    <m/>
    <m/>
    <m/>
    <m/>
    <m/>
    <m/>
    <m/>
    <m/>
    <m/>
    <m/>
    <m/>
    <m/>
    <m/>
    <m/>
    <m/>
    <m/>
    <m/>
    <m/>
    <m/>
    <m/>
    <m/>
    <m/>
    <m/>
    <m/>
    <m/>
  </r>
  <r>
    <x v="87"/>
    <n v="2011"/>
    <x v="15"/>
    <s v="East Asia and Pacific"/>
    <m/>
    <s v="Mining"/>
    <s v="yes"/>
    <s v="no"/>
    <s v="no"/>
    <s v="Copper"/>
    <s v="detailed"/>
    <s v="detailed Mining"/>
    <m/>
    <m/>
    <m/>
    <m/>
    <m/>
    <m/>
    <n v="8828.1875"/>
    <s v="US$/t"/>
    <s v="Price from World Bank (Global Economic Monitor (GEM) Commodities database), and is defined as: Copper (LME), grade A, minimum 99.9935% purity, cathodes and wire bar shapes, settlement price."/>
    <n v="4707189575"/>
    <m/>
    <m/>
    <m/>
    <m/>
    <m/>
    <m/>
    <m/>
    <m/>
    <m/>
    <m/>
    <m/>
    <m/>
    <m/>
    <m/>
    <m/>
    <m/>
    <n v="4"/>
    <s v="PT Freeport Indonesia, PT Newmont Nusa Tenggara, PT Nusa Halmahera Minerals, Aneka Tambang (Persero) Tbk"/>
    <n v="4"/>
    <m/>
    <m/>
    <m/>
    <m/>
    <m/>
    <m/>
    <m/>
    <m/>
    <m/>
    <m/>
    <m/>
    <m/>
    <m/>
    <m/>
    <m/>
    <m/>
    <m/>
    <m/>
    <m/>
    <m/>
    <m/>
    <m/>
    <m/>
    <m/>
    <m/>
    <m/>
  </r>
  <r>
    <x v="87"/>
    <n v="2011"/>
    <x v="15"/>
    <s v="East Asia and Pacific"/>
    <m/>
    <s v="Mining"/>
    <s v="yes"/>
    <s v="no"/>
    <s v="no"/>
    <s v="o/w Copper content in mine output"/>
    <s v="detailed"/>
    <s v="detailed Mining"/>
    <n v="542700"/>
    <m/>
    <m/>
    <m/>
    <m/>
    <s v="t"/>
    <m/>
    <m/>
    <s v="Volume from USGS Mineral Yearbook 2012"/>
    <m/>
    <m/>
    <m/>
    <m/>
    <m/>
    <m/>
    <m/>
    <m/>
    <m/>
    <m/>
    <m/>
    <m/>
    <m/>
    <m/>
    <m/>
    <m/>
    <m/>
    <m/>
    <m/>
    <m/>
    <m/>
    <m/>
    <m/>
    <m/>
    <m/>
    <m/>
    <m/>
    <m/>
    <m/>
    <m/>
    <m/>
    <m/>
    <m/>
    <m/>
    <m/>
    <m/>
    <m/>
    <m/>
    <m/>
    <m/>
    <m/>
    <m/>
    <m/>
    <m/>
    <m/>
    <m/>
  </r>
  <r>
    <x v="87"/>
    <n v="2011"/>
    <x v="15"/>
    <s v="East Asia and Pacific"/>
    <m/>
    <s v="Mining"/>
    <s v="yes"/>
    <s v="no"/>
    <s v="no"/>
    <s v="o/w Metal (smelter, primary)"/>
    <s v="detailed"/>
    <s v="detailed Mining"/>
    <n v="276200"/>
    <m/>
    <m/>
    <m/>
    <m/>
    <s v="t"/>
    <m/>
    <m/>
    <s v="Volume from USGS Mineral Yearbook 2012"/>
    <m/>
    <m/>
    <m/>
    <m/>
    <m/>
    <m/>
    <m/>
    <m/>
    <m/>
    <m/>
    <m/>
    <m/>
    <m/>
    <m/>
    <m/>
    <m/>
    <m/>
    <m/>
    <m/>
    <m/>
    <m/>
    <m/>
    <m/>
    <m/>
    <m/>
    <m/>
    <m/>
    <m/>
    <m/>
    <m/>
    <m/>
    <m/>
    <m/>
    <m/>
    <m/>
    <m/>
    <m/>
    <m/>
    <m/>
    <m/>
    <m/>
    <m/>
    <m/>
    <m/>
    <m/>
    <m/>
  </r>
  <r>
    <x v="87"/>
    <n v="2011"/>
    <x v="15"/>
    <s v="East Asia and Pacific"/>
    <m/>
    <s v="Mining"/>
    <s v="yes"/>
    <s v="no"/>
    <s v="no"/>
    <s v="o/w Metal (refinery, primary)"/>
    <s v="detailed"/>
    <s v="detailed Mining"/>
    <n v="257000"/>
    <m/>
    <m/>
    <m/>
    <m/>
    <s v="t"/>
    <m/>
    <m/>
    <s v="Volume from USGS Mineral Yearbook 2012"/>
    <m/>
    <m/>
    <m/>
    <m/>
    <m/>
    <m/>
    <m/>
    <m/>
    <m/>
    <m/>
    <m/>
    <m/>
    <m/>
    <m/>
    <m/>
    <m/>
    <m/>
    <m/>
    <m/>
    <m/>
    <m/>
    <m/>
    <m/>
    <m/>
    <m/>
    <m/>
    <m/>
    <m/>
    <m/>
    <m/>
    <m/>
    <m/>
    <m/>
    <m/>
    <m/>
    <m/>
    <m/>
    <m/>
    <m/>
    <m/>
    <m/>
    <m/>
    <m/>
    <m/>
    <m/>
    <m/>
  </r>
  <r>
    <x v="87"/>
    <n v="2011"/>
    <x v="15"/>
    <s v="East Asia and Pacific"/>
    <m/>
    <s v="Mining"/>
    <s v="yes"/>
    <s v="no"/>
    <s v="no"/>
    <s v="Gold"/>
    <s v="detailed"/>
    <s v="detailed Mining"/>
    <n v="3089686.4144572266"/>
    <m/>
    <m/>
    <m/>
    <m/>
    <s v="toz"/>
    <n v="1569.2108333333299"/>
    <s v="US$/toz"/>
    <s v="Volume from USGS Mineral Yearbook 2012. Price from World Bank (Global Economic Monitor (GEM) Commodities database), and is defined as: Gold (UK), 99.5% fine, London afternoon fixing, average of daily rates."/>
    <n v="4848369393.1690931"/>
    <m/>
    <m/>
    <m/>
    <m/>
    <m/>
    <m/>
    <m/>
    <m/>
    <m/>
    <m/>
    <m/>
    <m/>
    <m/>
    <m/>
    <m/>
    <m/>
    <n v="4"/>
    <s v="PT Freeport Indonesia, PT Newmont Nusa Tenggara, PT Nusa Halmahera Minerals, Aneka Tambang (Persero) Tbk"/>
    <n v="4"/>
    <m/>
    <m/>
    <m/>
    <m/>
    <m/>
    <m/>
    <m/>
    <m/>
    <m/>
    <m/>
    <m/>
    <m/>
    <m/>
    <m/>
    <m/>
    <m/>
    <m/>
    <m/>
    <m/>
    <m/>
    <m/>
    <m/>
    <m/>
    <m/>
    <m/>
    <m/>
  </r>
  <r>
    <x v="87"/>
    <n v="2011"/>
    <x v="15"/>
    <s v="East Asia and Pacific"/>
    <m/>
    <s v="Mining"/>
    <s v="yes"/>
    <s v="no"/>
    <s v="no"/>
    <s v="Nickel"/>
    <s v="detailed"/>
    <s v="detailed Mining"/>
    <m/>
    <m/>
    <m/>
    <m/>
    <m/>
    <m/>
    <n v="22910.356666666699"/>
    <s v="US$/t"/>
    <s v="Price from World Bank (Global Economic Monitor (GEM) Commodities database), and is defined as: Nickel (LME), cathodes, minimum 99.8% purity, settlement price beginning 2005; previously cash price"/>
    <n v="7003696033.0000095"/>
    <m/>
    <m/>
    <m/>
    <m/>
    <m/>
    <m/>
    <m/>
    <m/>
    <m/>
    <m/>
    <m/>
    <m/>
    <m/>
    <m/>
    <m/>
    <m/>
    <n v="5"/>
    <s v="Aneka Tambang (Persero) Tbk, INCO/Vale Indonesia, Billy Indonesia, Bintang Delapan Mineral"/>
    <n v="5"/>
    <m/>
    <m/>
    <m/>
    <m/>
    <m/>
    <m/>
    <m/>
    <m/>
    <m/>
    <m/>
    <m/>
    <m/>
    <m/>
    <m/>
    <m/>
    <m/>
    <m/>
    <m/>
    <m/>
    <m/>
    <m/>
    <m/>
    <m/>
    <m/>
    <m/>
    <m/>
  </r>
  <r>
    <x v="87"/>
    <n v="2011"/>
    <x v="15"/>
    <s v="East Asia and Pacific"/>
    <m/>
    <s v="Mining"/>
    <s v="yes"/>
    <s v="no"/>
    <s v="no"/>
    <s v="o/w Nickel content in mine output"/>
    <s v="detailed"/>
    <s v="detailed Mining"/>
    <n v="218200"/>
    <m/>
    <m/>
    <m/>
    <m/>
    <s v="t"/>
    <m/>
    <m/>
    <s v="Volume from USGS Mineral Yearbook 2012"/>
    <m/>
    <m/>
    <m/>
    <m/>
    <m/>
    <m/>
    <m/>
    <m/>
    <m/>
    <m/>
    <m/>
    <m/>
    <m/>
    <m/>
    <m/>
    <m/>
    <m/>
    <m/>
    <m/>
    <m/>
    <m/>
    <m/>
    <m/>
    <m/>
    <m/>
    <m/>
    <m/>
    <m/>
    <m/>
    <m/>
    <m/>
    <m/>
    <m/>
    <m/>
    <m/>
    <m/>
    <m/>
    <m/>
    <m/>
    <m/>
    <m/>
    <m/>
    <m/>
    <m/>
    <m/>
    <m/>
  </r>
  <r>
    <x v="87"/>
    <n v="2011"/>
    <x v="15"/>
    <s v="East Asia and Pacific"/>
    <m/>
    <s v="Mining"/>
    <s v="yes"/>
    <s v="no"/>
    <s v="no"/>
    <s v="o/w Nickel content in matte"/>
    <s v="detailed"/>
    <s v="detailed Mining"/>
    <n v="67800"/>
    <m/>
    <m/>
    <m/>
    <m/>
    <s v="t"/>
    <m/>
    <m/>
    <s v="Volume from USGS Mineral Yearbook 2012"/>
    <m/>
    <m/>
    <m/>
    <m/>
    <m/>
    <m/>
    <m/>
    <m/>
    <m/>
    <m/>
    <m/>
    <m/>
    <m/>
    <m/>
    <m/>
    <m/>
    <m/>
    <m/>
    <m/>
    <m/>
    <m/>
    <m/>
    <m/>
    <m/>
    <m/>
    <m/>
    <m/>
    <m/>
    <m/>
    <m/>
    <m/>
    <m/>
    <m/>
    <m/>
    <m/>
    <m/>
    <m/>
    <m/>
    <m/>
    <m/>
    <m/>
    <m/>
    <m/>
    <m/>
    <m/>
    <m/>
  </r>
  <r>
    <x v="87"/>
    <n v="2011"/>
    <x v="15"/>
    <s v="East Asia and Pacific"/>
    <m/>
    <s v="Mining"/>
    <s v="yes"/>
    <s v="no"/>
    <s v="no"/>
    <s v="o/w Nickel content in ferronickel"/>
    <s v="detailed"/>
    <s v="detailed Mining"/>
    <n v="19700"/>
    <m/>
    <m/>
    <m/>
    <m/>
    <s v="t"/>
    <m/>
    <m/>
    <s v="Volume from USGS Mineral Yearbook 2012"/>
    <m/>
    <m/>
    <m/>
    <m/>
    <m/>
    <m/>
    <m/>
    <m/>
    <m/>
    <m/>
    <m/>
    <m/>
    <m/>
    <m/>
    <m/>
    <m/>
    <m/>
    <m/>
    <m/>
    <m/>
    <m/>
    <m/>
    <m/>
    <m/>
    <m/>
    <m/>
    <m/>
    <m/>
    <m/>
    <m/>
    <m/>
    <m/>
    <m/>
    <m/>
    <m/>
    <m/>
    <m/>
    <m/>
    <m/>
    <m/>
    <m/>
    <m/>
    <m/>
    <m/>
    <m/>
    <m/>
  </r>
  <r>
    <x v="87"/>
    <n v="2011"/>
    <x v="15"/>
    <s v="East Asia and Pacific"/>
    <m/>
    <s v="Mining"/>
    <s v="yes"/>
    <s v="no"/>
    <s v="no"/>
    <s v="Silver"/>
    <s v="detailed"/>
    <s v="detailed Mining"/>
    <n v="9979590.6664674617"/>
    <m/>
    <m/>
    <m/>
    <m/>
    <s v="toz"/>
    <n v="35.22411666667"/>
    <s v="US$/toz"/>
    <s v="Volume from USGS Mineral Yearbook 2012. Price from World Bank (Global Economic Monitor (GEM) Commodities database), and is defined as: Silver (Handy &amp; Harman), 99.9% grade refined, New York."/>
    <n v="351522265.92126089"/>
    <m/>
    <m/>
    <m/>
    <m/>
    <m/>
    <m/>
    <m/>
    <m/>
    <m/>
    <m/>
    <m/>
    <m/>
    <m/>
    <m/>
    <m/>
    <m/>
    <m/>
    <m/>
    <m/>
    <m/>
    <m/>
    <m/>
    <m/>
    <m/>
    <m/>
    <m/>
    <m/>
    <m/>
    <m/>
    <m/>
    <m/>
    <m/>
    <m/>
    <m/>
    <m/>
    <m/>
    <m/>
    <m/>
    <m/>
    <m/>
    <m/>
    <m/>
    <m/>
    <m/>
    <m/>
  </r>
  <r>
    <x v="87"/>
    <n v="2011"/>
    <x v="15"/>
    <s v="East Asia and Pacific"/>
    <m/>
    <s v="Mining"/>
    <s v="yes"/>
    <s v="no"/>
    <s v="no"/>
    <s v="Tin"/>
    <s v="detailed"/>
    <s v="detailed Mining"/>
    <m/>
    <m/>
    <m/>
    <m/>
    <m/>
    <m/>
    <n v="26053.674999999999"/>
    <s v="US$/t"/>
    <s v="Price from World Bank (Global Economic Monitor (GEM) Commodities database), and is defined as: Tin (LME), refined, 99.85% purity, settlement price"/>
    <n v="1120308025"/>
    <m/>
    <m/>
    <m/>
    <m/>
    <m/>
    <m/>
    <m/>
    <m/>
    <m/>
    <m/>
    <m/>
    <m/>
    <m/>
    <m/>
    <m/>
    <m/>
    <n v="9"/>
    <s v="PT Timah (Persero) Tbk, PT Koba Tin, Tambang Timah, Bukit Timah, Tinido Internusa, Venus Intl Perkasa, Refined Bangka, Bangka Timah Utama Sejahtera, United Smelting"/>
    <n v="7"/>
    <m/>
    <m/>
    <m/>
    <m/>
    <m/>
    <m/>
    <m/>
    <m/>
    <m/>
    <m/>
    <m/>
    <m/>
    <m/>
    <m/>
    <m/>
    <m/>
    <m/>
    <m/>
    <m/>
    <m/>
    <m/>
    <m/>
    <m/>
    <m/>
    <m/>
    <m/>
  </r>
  <r>
    <x v="87"/>
    <n v="2011"/>
    <x v="15"/>
    <s v="East Asia and Pacific"/>
    <m/>
    <s v="Mining"/>
    <s v="yes"/>
    <s v="no"/>
    <s v="no"/>
    <s v="o/w Tin content in mine output"/>
    <s v="detailed"/>
    <s v="detailed Mining"/>
    <n v="42000"/>
    <m/>
    <m/>
    <m/>
    <m/>
    <m/>
    <m/>
    <m/>
    <s v="Volume from USGS Mineral Yearbook 2012"/>
    <m/>
    <m/>
    <m/>
    <m/>
    <m/>
    <m/>
    <m/>
    <m/>
    <m/>
    <m/>
    <m/>
    <m/>
    <m/>
    <m/>
    <m/>
    <m/>
    <m/>
    <m/>
    <m/>
    <m/>
    <m/>
    <m/>
    <m/>
    <m/>
    <m/>
    <m/>
    <m/>
    <m/>
    <m/>
    <m/>
    <m/>
    <m/>
    <m/>
    <m/>
    <m/>
    <m/>
    <m/>
    <m/>
    <m/>
    <m/>
    <m/>
    <m/>
    <m/>
    <m/>
    <m/>
    <m/>
  </r>
  <r>
    <x v="87"/>
    <n v="2011"/>
    <x v="15"/>
    <s v="East Asia and Pacific"/>
    <m/>
    <s v="Mining"/>
    <s v="yes"/>
    <s v="no"/>
    <s v="no"/>
    <s v="o/w Metal"/>
    <s v="detailed"/>
    <s v="detailed Mining"/>
    <n v="43000"/>
    <m/>
    <m/>
    <m/>
    <m/>
    <m/>
    <m/>
    <m/>
    <s v="Volume from USGS Mineral Yearbook 2012"/>
    <m/>
    <m/>
    <m/>
    <m/>
    <m/>
    <m/>
    <m/>
    <m/>
    <m/>
    <m/>
    <m/>
    <m/>
    <m/>
    <m/>
    <m/>
    <m/>
    <m/>
    <m/>
    <m/>
    <m/>
    <m/>
    <m/>
    <m/>
    <m/>
    <m/>
    <m/>
    <m/>
    <m/>
    <m/>
    <m/>
    <m/>
    <m/>
    <m/>
    <m/>
    <m/>
    <m/>
    <m/>
    <m/>
    <m/>
    <m/>
    <m/>
    <m/>
    <m/>
    <m/>
    <m/>
    <m/>
  </r>
  <r>
    <x v="88"/>
    <n v="2009"/>
    <x v="16"/>
    <s v="Middle East and North Africa"/>
    <s v="http://ieiti.org.iq"/>
    <s v="Oil"/>
    <s v="no"/>
    <s v="no"/>
    <s v="yes"/>
    <s v="Oil"/>
    <s v="detailed"/>
    <s v="detailed Oil"/>
    <n v="852685651"/>
    <m/>
    <n v="852685651"/>
    <m/>
    <m/>
    <s v="bbl"/>
    <n v="59.31"/>
    <s v="US$/bbl"/>
    <s v="Volume and price from EITI Report. Price is based on reported value and quantity of export."/>
    <n v="50572785960.810005"/>
    <s v="Host government's production entitlement"/>
    <s v="Does not include payments made in-kind"/>
    <s v="-"/>
    <n v="41249682456.5"/>
    <n v="40159269633.400002"/>
    <s v="≈82% of production volume"/>
    <m/>
    <m/>
    <n v="0.99469487086576247"/>
    <s v="United States Dollar"/>
    <s v=""/>
    <s v="Disaggregated by revenue stream, Disaggregated by company"/>
    <m/>
    <m/>
    <m/>
    <m/>
    <n v="34"/>
    <s v="N.A. for buyers"/>
    <n v="34"/>
    <s v="November 2011"/>
    <d v="2014-09-15T00:00:00"/>
    <s v="PricewaterhouseCoopers DRC"/>
    <s v="http://eiti.org/files/Iraq%202009%20EITI%20Report.pdf"/>
    <s v="28-30,35,37, 39, 42"/>
    <s v="All oil exports are sold through the state-owned Iraq Oil Marketing Company (SOMO). The report reconciles the payments made by buyers and the revenues received from these sales by the SOMO. No other revenue streams are considered. Resolved discrepancies are not included in the final figures, but there is insufficent information to add these retrospectively. Unilateral declarations are not included in the figures. The report also covers the destination of the shipments, as well as having a separate section on the mining sector (though no actual figures are provided). The report indicates that 82% of oil extracted in 2009 was exported."/>
    <m/>
    <m/>
    <m/>
    <m/>
    <m/>
    <m/>
    <m/>
    <m/>
    <m/>
    <m/>
    <m/>
    <m/>
    <m/>
    <m/>
    <m/>
    <m/>
    <m/>
    <m/>
    <m/>
    <m/>
  </r>
  <r>
    <x v="89"/>
    <n v="2010"/>
    <x v="16"/>
    <s v="Middle East and North Africa"/>
    <m/>
    <s v="Oil"/>
    <s v="no"/>
    <s v="no"/>
    <s v="yes"/>
    <s v="Oil"/>
    <s v="detailed"/>
    <s v="detailed Oil"/>
    <n v="860655520"/>
    <m/>
    <n v="860655520"/>
    <m/>
    <m/>
    <s v="bbl"/>
    <n v="75.650000000000006"/>
    <s v="US$/bbl"/>
    <s v="Volume and price from EITI Report. Price is based on reported value and quantity of export."/>
    <n v="65108590088.000008"/>
    <m/>
    <m/>
    <m/>
    <n v="53852645106.349998"/>
    <n v="54037731812.769997"/>
    <s v="≈80% of production volume"/>
    <m/>
    <m/>
    <n v="1.0339005389604388"/>
    <s v="United States Dollar"/>
    <s v=""/>
    <s v="Disaggregated by revenue stream, Disaggregated by company"/>
    <m/>
    <m/>
    <m/>
    <m/>
    <n v="51"/>
    <s v="N.A. for buyers; IOCs -  BP, Petrochina, ENI, Occidental, Kogas, Exxon Mobil, Shell,CNOOC, TPAO, Lukoil, Statoil, Petronas, Gazprom, Sonangol, Japex"/>
    <n v="51"/>
    <s v="December 2012"/>
    <d v="2014-09-15T00:00:00"/>
    <s v="PWC"/>
    <s v="http://eiti.org/files/IEITI%202010%20English%20Final%20Report%20%2815%20May%202013%29.pdf"/>
    <s v="43,47,52,54,56"/>
    <s v="All oil exports are sold through the state-owned Iraq Oil Marketing Company (SOMO). The report reconciles the payments made by buyers and the revenues received from these sales by the SOMO, and the signature bonuses paid by IOCs which are involved in oil field development. Resolved discrepancies are not included in the final figures, but there is insufficent information to add these retrospectively. Unilateral declarations are not included in the figures. The report also covers internal service payments made by Government to SOCs, the destination of the shipments, as well as having separate sections on Kurdistan and the mining sector (though no actual figures are provided). 690,010,000 bbl of oil were exported in 2010, the remainder were consumed locally."/>
    <m/>
    <m/>
    <m/>
    <m/>
    <m/>
    <m/>
    <m/>
    <m/>
    <m/>
    <m/>
    <m/>
    <m/>
    <m/>
    <m/>
    <m/>
    <m/>
    <m/>
    <m/>
    <m/>
    <m/>
  </r>
  <r>
    <x v="90"/>
    <n v="2011"/>
    <x v="16"/>
    <s v="Middle East and North Africa"/>
    <m/>
    <s v="Oil"/>
    <s v="no"/>
    <s v="no"/>
    <s v="yes"/>
    <s v="Oil"/>
    <s v="detailed"/>
    <s v="detailed Oil"/>
    <n v="933670000"/>
    <m/>
    <n v="933670000"/>
    <m/>
    <m/>
    <s v="bbl"/>
    <n v="104.98"/>
    <s v="US$/bbl"/>
    <s v="Volume and price from EITI Report. Price is based on reported value and quantity of export."/>
    <n v="98016676600"/>
    <m/>
    <m/>
    <m/>
    <n v="82986002828"/>
    <n v="81810684105"/>
    <s v="≈85% of production volume"/>
    <m/>
    <m/>
    <n v="0.99606102705131849"/>
    <s v="United States Dollar"/>
    <s v=""/>
    <s v="Disaggregated by revenue stream, Disaggregated by company"/>
    <m/>
    <m/>
    <s v="Cost recovery and remuneration fees to IOCs developing Iraq's state-owned oil fields"/>
    <n v="4216659989"/>
    <n v="60"/>
    <s v="N.A. for buyers; IOCs -  BP, Petrochina, ENI, Occidental, Kogas, Exxon Mobil, Shell, Al Waha Petroleum Co. Ltd."/>
    <n v="47"/>
    <s v="December 2013"/>
    <d v="2014-09-15T00:00:00"/>
    <s v="Ernst &amp; Young"/>
    <s v="http://eiti.org/files/Iraq-2011-EITI-Report.pdf"/>
    <s v="49,61-62,90"/>
    <s v="All oil exports are sold through the state-owned Iraq Oil Marketing Company (SOMO). The report reconciles the payments made by buyers and the revenues received from these sales by the SOMO, and the signature bonuses paid by IOCs which are involved in oil field development (though there weren't actually any in 2011). Resolved discrepancies are not included in the final figures, but there is insufficent information to add these retrospectively. Unilateral declarations are not included in the figures. The report also covers internal service payments made by Government to SOCs, cost recovery and remuneration fees paid by Government to the IOCs (included here under subsidies), the destination of the shipments, the local consumption of oil and gas, as well as having a separate section on the mining sector (though no actual figures are provided). No information was provided by the Kurdistan Regional Government. 790,590,000 bbl of oil were exported in 2011, the remainder were consumed locally."/>
    <m/>
    <m/>
    <m/>
    <m/>
    <m/>
    <m/>
    <m/>
    <m/>
    <m/>
    <m/>
    <m/>
    <m/>
    <m/>
    <m/>
    <m/>
    <m/>
    <m/>
    <m/>
    <m/>
    <m/>
  </r>
  <r>
    <x v="91"/>
    <n v="2012"/>
    <x v="16"/>
    <s v="Middle East and North Africa"/>
    <s v="http://ieiti.org.iq"/>
    <s v="Oil"/>
    <s v="Oil"/>
    <m/>
    <m/>
    <s v="Oil"/>
    <m/>
    <m/>
    <m/>
    <m/>
    <m/>
    <m/>
    <n v="1054000000"/>
    <s v="bbl"/>
    <m/>
    <m/>
    <s v="Volume from EITI Report"/>
    <m/>
    <s v="Production entitlement, Bonuses"/>
    <s v="Does not include payments made in-kind"/>
    <s v="No"/>
    <n v="94032633453"/>
    <n v="93136980753"/>
    <m/>
    <n v="102571449547"/>
    <m/>
    <m/>
    <s v="United States Dollar"/>
    <m/>
    <s v="Disaggregated by revenue stream, Disaggregated by company"/>
    <m/>
    <m/>
    <m/>
    <m/>
    <n v="43"/>
    <s v="Al Waha Petroleum, API, Bharat Petroleum, BP Oil, Cepsa, Chevron, China International, China National, China Offshore Oil, CNOOC, ENI, Erg Spa, Exxonmobil Sales And Supply Corporatio Gallows, Gazprom, GS Caltex Singapore Pte. Ltd., Hindustan Petroleum Corporation Limited, Indian, Iplom, Jordan (Jordan Petroleum Refinery), JX Nippon Oil, Koch Supply &amp; Trading, Kogas Iraq B.V., Korea National Oil, Litasco, Motor Oil, North Petroleum, Occidental Energy Iraq LLC., Petrochina, Petro Diamond, Petrogal, Petroleo Brasileiro, Petronas Halfaya, Phillips 66, Repsol, Samir, Saras Spa –Milano, Shell, Sinochem, SK Energy, Socar, Totsa Total, Toyota, TPAO, Turkish Petroleum Iternational, Valero Marketing &amp; Supply Company, Vitol"/>
    <n v="43"/>
    <s v="December 2014"/>
    <m/>
    <s v="Ernst &amp; Young"/>
    <s v="https://eiti.org/files/IEITI%20Final%20Report%202012%20%20English.pdf"/>
    <m/>
    <s v="The total government revenues figure includes all the disclosed payments in the report, although the methodology used to produce them was unclear."/>
    <m/>
    <m/>
    <m/>
    <m/>
    <m/>
    <m/>
    <m/>
    <m/>
    <m/>
    <m/>
    <m/>
    <m/>
    <m/>
    <m/>
    <m/>
    <m/>
    <m/>
    <m/>
    <m/>
    <m/>
  </r>
  <r>
    <x v="92"/>
    <n v="2005"/>
    <x v="17"/>
    <s v="Europe and Central Asia"/>
    <s v="http://geology.gov.kz/en/eiti"/>
    <s v="Oil"/>
    <s v="no"/>
    <s v="no"/>
    <s v="yes"/>
    <s v="Oil"/>
    <s v="detailed"/>
    <s v="detailed Oil"/>
    <n v="485450000"/>
    <m/>
    <m/>
    <m/>
    <m/>
    <s v="bbl"/>
    <n v="54.04"/>
    <s v="US$/bbl"/>
    <s v="Volume and price from BPSR 2014. Price is an average of the spot prices for Brent, Dubai, Nigerian Forcados and West Texas Intermediate crude oil."/>
    <n v="26233718000"/>
    <s v="Host government's production entitlement, Profits/Taxes, Royalties, Dividends, Bonuses, Licenses and concessions, Other significant benefits to government"/>
    <s v="Does not include payments made in-kind"/>
    <s v="-"/>
    <n v="2622996991"/>
    <n v="2610384907"/>
    <m/>
    <m/>
    <m/>
    <n v="9.9985712699968796E-2"/>
    <s v="United States Dollar and Kazakhastan tenge"/>
    <n v="131.6"/>
    <s v="Disaggregated by revenue stream"/>
    <m/>
    <m/>
    <m/>
    <m/>
    <n v="38"/>
    <s v="JSC Karazhanbasmunai, Nelson Petroleum Buzachi B.V., Kazakhoil Aktobe LLP, Karakudukmunai LLP, JV Arman LLP, Branch of Maersk oil Kazakhstan Gmbh, ChevronTexaco International Petroleum Co., BN Munai LLP, BG Karachaganak Limited, JSC Lancaster Petroleum, Aral Petroleum Capital. LLP, Ravninnoe oil Ltd, JSC Petro Kazakhstan Kumkol Resources, JSC CNPC-Aktobemunaigas/CNPC-International (Buzachi) Inc., Agip Karachaganak B. V., Lukoil Overseas Karachaganak B.V., KhazarMunai LLP, Kazakturkmunai LLP, Kazneftehim-Kopa LLP, South-oil LLP, Gural LLP, Zhaikmunai LLP, MONTAZHMALIKMUNAI LLP, JSC Kaspiyneft, Embavedoil LLP, Affiliate of Buzachi Operating Ltd, JV KazGerMunai LLP, JSC Mangistaumunaygas, Tobearal-oil LLP, Adai Petroleum LLP, Altius Petroleum International B.V., Zhalgiztobemunay LLP, Korporatsiya Modulnaya Technologiya, LLP, Svetland-Oil LLP, ANAKO LLP, Tasbulat Oil Corporation LLP, Shinzhir LLP, Affiliate of JSC Kaspiyneft TME, JSC Exploration and Production KazMunaiGas"/>
    <n v="37"/>
    <s v="November 2007"/>
    <d v="2014-10-08T00:00:00"/>
    <s v="Deloitte"/>
    <s v="http://eiti.org/files/Kazakhstan%202005%20EITI%20Report.pdf"/>
    <s v="9-11"/>
    <s v="Materiality threshold: not given. It is not clear whether unilateral declarations are included. "/>
    <m/>
    <m/>
    <m/>
    <m/>
    <m/>
    <m/>
    <m/>
    <m/>
    <m/>
    <m/>
    <m/>
    <m/>
    <m/>
    <m/>
    <m/>
    <m/>
    <m/>
    <m/>
    <m/>
    <m/>
  </r>
  <r>
    <x v="93"/>
    <n v="2006"/>
    <x v="17"/>
    <s v="Europe and Central Asia"/>
    <s v="http://geology.gov.kz/en/eiti"/>
    <s v="Oil, Gas"/>
    <s v="no"/>
    <s v="yes"/>
    <s v="yes"/>
    <s v="Total"/>
    <s v="Total"/>
    <s v="Total Oil, Gas"/>
    <m/>
    <m/>
    <m/>
    <m/>
    <m/>
    <m/>
    <m/>
    <s v="US$/bbl"/>
    <m/>
    <n v="37511373650"/>
    <s v="Host government's production entitlement, Profits/Taxes, Royalties, Dividends, Bonuses, Licenses and concessions, Other significant benefits to government"/>
    <s v="Does not include payments made in-kind"/>
    <s v="-"/>
    <n v="10237431640"/>
    <n v="10113048830"/>
    <m/>
    <m/>
    <m/>
    <n v="0.2729154025528468"/>
    <s v="United States Dollar and Kazakhastan tenge"/>
    <n v="121.5"/>
    <s v="Disaggregated by revenue stream"/>
    <m/>
    <m/>
    <m/>
    <m/>
    <n v="110"/>
    <s v="“Adai Petroleum Company” LLP, AITI, “Lukoil Overseas Karachaganak B.V.” Kazakhstan Branch, “BG Karachaganak Limited” (Aksai), “Chevron International Petroleum Company”, “Agip Karachaganak B.V.”, “Agip Caspian Sea B.V.”, Branch of the company “Inpex North Caspian Sea.Ltd” in the Republic of Kazakhstan, Branch of the Company “ConocoPhillips North Caspian. Ltd.” in the Republic of Kazakhstan, Branch “TOTAL E&amp;P Kazakhstan”, Branch of the company “Shell Kazakhstan Development B.V.” in the Republic of Kazakhstan, Branch of the Corporation “ExxonMobil Kazakhstan Inc.” in the Republic of Kazakhstan, Branch of the company “Alties Petroleum International B.V.” in Aktobe, Branch of the company “Alties Petroleum International B.V.” in Atyrau, “Altyn Ken”, LLP, “Aluminum of Kazakhstan” (PAZ) JSC, Krasnooktyabr bauxite ore management - Branch of “Aluminum of Kazakhstan” JSC, “Kergetas” (KIR) mine - Branch of “Aluminum of Kazakhstan” JSC, Representative office of “Aluminum of Kazakhstan” JSC in Almaty, Representative office of “Aluminum of Kazakhstan” JSC in Astana, Torgai bauxite ore management - Branch of “Aluminum of Kazakhstan” JSC, “АNACO” LLP, “Aral Petroleum Capital” LLP, “Arnaoil” LLP, Joint venture “Arman” LLP, “Arman 100” LLP, “Alga CaspiGas” LLP, “Artel Staratelei Gornyak” LLP, “SNPS - Aktobemunaigas” JSC, “FIK Alel” JSC, “Betonit &amp;Co” LLP, “Betbastau-Nedra” LLP, “Bogatyr Akses Komir” LLP, “Belogorskyi GOK” LLP, Branch of the company &quot;Buzachi Operating Ltd&quot;, “Bast” LLP, “Vasilkovskyi GOK” JSC, Joint venture “Vasilkovskoe zoloto” JSC, “Voshod Oriel”, LLP, “Gural” LLP, “Degelen” LLP, “Eurasian Energy Corporation” JSC, “Zhaikmunai” LLP, “ Zhairemskyi gorno-obogotitelnyi kombinat” JSC, “Zhaikhydrogeology” LLP, “Zhalair” LLP, “Zherek” LLP, “Zhalgiztobemunai” DTOO, Joint venture “Inkai”, Joint venture “KATCO” LLP, NSC “Kazatomprom” JSC, New Projects Management – Branch of SC of NSC “Kazatomprom”, “Kazakhmys Corporation” LLP, “Kazakhoil Aktobe” LLP, “KazakhTurkMunai” LLP, Joint venture “Kazgermunai” LLP, “KazMunaiGas” JS of National Company, “Kazneftehim Kopa” LLP, ‘Kazpolmunay’ LLP, Transnational company “Kazchrom” JSC, “Kazzink” JSC, “Karazhanbasmunai” JSC, “Karakudukmunai” LLP, “Caspi oil TME” JSC, “Caspi oil” JSC, “Kor-Tazh” LLP, “Kumkol Trans service” LLP, “GRK Kazakhstanskyi Nikel” LLP, “Lains Jump” LLP, “Lancaster Petroleum” JSC, Kazakhstan branch of “Maersk Oil Kazakhstan GmbX” company, “Mangistaumunaigas” JSC, Joint venture “Matin” LLP, Metal Still Temirtau, “Montazhmalikmunai” LLP, “GRK Narymaltyn” LLP, Branch of “CNPC International (Buzachi) Inc.” company, Branch of the company “Nelson Petroleum Buzachi B.V.” in the Republic of Kazakhstan, “PetroKazakhstan Kumkol Resources” JSC, “Ravninnoe Oil” LLP, Razvedka-dobycha “KazMunaiGas” LLP, Branch of “Repsol Exploracion Kazahtsan C.A.”, “Samek International” LLP, “Samek Development Enterprises” LLP, “Satpayevsk Titanium Mines LTD” LLP, “Svetland oil” LLP, “Sauts oil” LLP, “Sokolov-Sarybay mountain-concentrating association” JSC, Alekseevskyi Dolgomatovyi Mine - Branch of “Sokolov-Sarybay mountain-concentrating association” JSC, Branch of “Statoil North Caspian AC” Company, “Syarymbet” JSC, Joint venture “Tenge” LLP, “Tabynai” LLP, “Tasbulat oil Corporation” LLP, “Tengizchevroil” LLP, “Tetis Aral Gas” LLP,  “Tobearal Oil” LLP, “Tolkynneftegaz” LLP, GOK “Tory Kuduk”, “Electrometallurgical combine of Temirtau” LLP, Akmolinskyi branch of “Electrometallurgical combine of Temirtau” LLP, “Metal factory of Ulbinsk” JSC, “Ural oil and Gas” LLP, “FML Kazakhstan” LLP, “KhazarMunai” LLP, “Cvetmet engineering” LLP, “Shalkiya Zink LTD.” LLP, “Shinzhir” LLP, “Embavedoil” LLP"/>
    <n v="103"/>
    <s v="November 2008"/>
    <d v="2014-10-08T00:00:00"/>
    <s v="Inaudit LLP"/>
    <s v="http://eiti.org/files/Kazakhstan%202006%20EITI%20Report.pdf"/>
    <s v="8"/>
    <s v="Materiality threshold: not given. The report doesn't distinguish between oil and gas producers. It is not clear whether unilateral declarations are included. "/>
    <m/>
    <m/>
    <m/>
    <m/>
    <m/>
    <m/>
    <m/>
    <m/>
    <m/>
    <m/>
    <m/>
    <m/>
    <m/>
    <m/>
    <m/>
    <m/>
    <m/>
    <m/>
    <m/>
    <m/>
  </r>
  <r>
    <x v="93"/>
    <n v="2006"/>
    <x v="17"/>
    <s v="Europe and Central Asia"/>
    <m/>
    <s v="Gas"/>
    <s v="no"/>
    <s v="yes"/>
    <s v="no"/>
    <s v="Gas"/>
    <s v="detailed"/>
    <s v="detailed Gas"/>
    <n v="13000000000"/>
    <n v="85800000"/>
    <m/>
    <m/>
    <m/>
    <s v="m³"/>
    <n v="0.243474"/>
    <s v="US$/m³"/>
    <s v="Volume and price from BPSR 2014. Price is an average of the UK, US and Canada Indices for natural gas."/>
    <n v="3165162000"/>
    <m/>
    <m/>
    <m/>
    <n v="9.2154617582111131E-2"/>
    <m/>
    <m/>
    <m/>
    <m/>
    <m/>
    <m/>
    <m/>
    <m/>
    <m/>
    <m/>
    <m/>
    <m/>
    <m/>
    <m/>
    <m/>
    <m/>
    <m/>
    <m/>
    <m/>
    <m/>
    <m/>
    <m/>
    <m/>
    <m/>
    <m/>
    <m/>
    <m/>
    <m/>
    <m/>
    <m/>
    <m/>
    <m/>
    <m/>
    <m/>
    <m/>
    <m/>
    <m/>
    <m/>
    <m/>
    <m/>
    <m/>
  </r>
  <r>
    <x v="93"/>
    <n v="2006"/>
    <x v="17"/>
    <s v="Europe and Central Asia"/>
    <m/>
    <s v="Oil"/>
    <s v="no"/>
    <s v="no"/>
    <s v="yes"/>
    <s v="Oil"/>
    <s v="detailed"/>
    <s v="detailed Oil"/>
    <n v="512095000"/>
    <n v="0.16754703717083744"/>
    <m/>
    <m/>
    <m/>
    <s v="bbl"/>
    <n v="67.069999999999993"/>
    <s v="US$/bbl"/>
    <s v="Volume and price from BPSR 2014. Price is an average of the spot prices for Brent, Dubai, Nigerian Forcados and West Texas Intermediate crude oil."/>
    <n v="34346211649.999996"/>
    <m/>
    <m/>
    <m/>
    <m/>
    <m/>
    <m/>
    <m/>
    <m/>
    <m/>
    <m/>
    <m/>
    <m/>
    <m/>
    <m/>
    <m/>
    <m/>
    <m/>
    <m/>
    <m/>
    <m/>
    <m/>
    <m/>
    <m/>
    <m/>
    <m/>
    <m/>
    <m/>
    <m/>
    <m/>
    <m/>
    <m/>
    <m/>
    <m/>
    <m/>
    <m/>
    <m/>
    <m/>
    <m/>
    <m/>
    <m/>
    <m/>
    <m/>
    <m/>
    <m/>
    <m/>
  </r>
  <r>
    <x v="94"/>
    <n v="2007"/>
    <x v="17"/>
    <s v="Europe and Central Asia"/>
    <s v="http://geology.gov.kz/en/eiti"/>
    <s v="Oil, Gas"/>
    <s v="no"/>
    <s v="yes"/>
    <s v="yes"/>
    <s v="Total"/>
    <s v="Total"/>
    <s v="Total Oil, Gas"/>
    <m/>
    <m/>
    <m/>
    <m/>
    <m/>
    <m/>
    <m/>
    <s v="US$/bbl"/>
    <m/>
    <n v="41526847600"/>
    <s v="Host government's production entitlement, Profits/Taxes, Royalties, Dividends, Bonuses, Licenses and concessions, Other significant benefits to government"/>
    <s v="Does not include payments made in-kind"/>
    <s v="-"/>
    <n v="12635329400"/>
    <n v="12635329400"/>
    <m/>
    <m/>
    <m/>
    <n v="0.30426892794048732"/>
    <s v="United States Dollar and Kazakhastan tenge"/>
    <n v="119.1"/>
    <s v="Disaggregated by revenue stream"/>
    <m/>
    <m/>
    <m/>
    <m/>
    <n v="108"/>
    <s v="Aday Petreoleum Company LLP, Agip Karachaganak BV Kazakhstan branch, Alties Petroleum International BV Aktobe branch, Alties Petroleum International BV Atyrau branch, _x000a_АNACO LLP, Aral Petroleum Capital LLP, Arnaoil LLP, JV Arman LLP, BG Karachaganak Limited (Aksai), Tetis Aral Gas LLP, Buzachi Operating Ltd, Kazakhstan branch of Nelson Petroleum Buzachi BV, CNPC International (Buzachi) Inc., Gural LLP, Caspi neft TME JSC, Subsidiary of Zhalgiztobemunay LLP, Zhaikmunay LLP, Kazakhoil Aktobe LLP, JV Kazgermunay LLP, Kazneftechim-Kopa LLP, Kazpolmunay LLP, JSC Karazhanbasmunay, Karakudukmunay LLP, JSC Caspi neft, Kor-Tazh LLP, Lions Jump LLP, Lancaster Petrokeum JSC, Affiliate of Lukoil Overseas Karachaganak BV Aksai, JV MATIN LLP, Kazakhstan branch of Maersk oil Kazakhstan GmbH, JSC Mangistaumunaygas, Affiliate North Caspian Petroleum Limited, JSC PetroKazakhstan Kumkol Resources, KazMunayGas Exploration and Production JSC, Souts Oil LLP, Svetland oil LLP, CNPC-Aktobemunaygas JSC, Tasbolat Oil corporation LLP, JV Tenge LLP, Tobearal Oil LLP, Tolkynneftegas LLP, Tengizchevroil LLP, Khazarmunay LLP, Affiliate of Chevron International Petroleum Company, Shinzhir LLP, Embavedoil LLP, Affiliate Agip Caspian Sea BV_x000a_Alga Caspian Gas LLP, SC NC KazMunayGas, Kumkol Trans Service LLP, Ravninnoye Oil LLP, Kazakhstan branch of Repsol Exploration Kazakhstan, S.А., Samek Development Enterprises LLP, Samek International LLP, Affiliate of Statoil North Caspian АS, Tabynay LLP, Tetis AralGas LLP, Affiliation of Total E&amp;P Kazakhstan, Ural oil and gas LLP, Affiliate of Shell Kazakhstan Development BV, ExxonMobil Kazakhstan Inc, JSC FIC Alel, Altyn Ken LLP, Mining company Altyn Kulager LLP, JSC Altyn Almas, JSC Kazakhstan Aluminum, Balausa firm LLP, Bast LLP, Mining company Belogorsky mining and processing complex LLP, Bentonit &amp; K LLP, Betbastau Nedra LLP, Bogatyr Komir LLP, Vasikovski mining and processing complex JSC, Voskhod-Oriel LLP, Artel Starateley Gornyak LLP, Dzhentek International Kazakhstan LLP, Degelen LLP, Diana-Aliya LLP, JSC Eurasian energy corporation, JSC Zhairem mining and processing complex, Zherek LLP, JV Inkay LLP, JSC National atomic company Kazatomprom, Kazakhmys corporation LLP, Mining company Kazakhstanski nikel LLP, JSC Transnational company KazChrome, Kazzinc LLP, Karaoba-2005 LLP, Karazhyra Ltd LLP, JV Katko LLP, JSC ArselorMittal Temirtau, Mining company Narymaltyn LLP, Satpayevsk Titanium Mines LTD LLP, Mining company Severnyi katpar LLP, Semizbay-U LLP, JSC Sokolovsko-Sarbayskoye industrial association, JSC Syrymbet, Temirtau electric metallurgic complex LLP, Mining and processing complex Tort Kuduk LLP, JSC Ulbinski metallurgic plant, FML Kazakhstan LLP, Tsvetmet Engineering LLP, JSC JV Vasilkovskoye zoloto, Shalkiya Zinc LLP, Munayly Kazakhstan LLP, Affiliation Inpex North Caspian Sea Ltd, ConocoPhillips North Caspian Ltd in Kazakhstan, JSC KazTransGas"/>
    <n v="108"/>
    <s v="April 2010"/>
    <d v="2014-10-09T00:00:00"/>
    <s v="UHY Sapa-Consulting"/>
    <s v="https://eiti.org/files/Kazakhstan%202007%20EITI%20Report.pdf"/>
    <s v="12"/>
    <s v="Materiality threshold: not given. The report doesn't distinguish between oil and gas producers. It is not clear whether unilateral declarations are included. "/>
    <m/>
    <m/>
    <m/>
    <m/>
    <m/>
    <m/>
    <m/>
    <m/>
    <m/>
    <m/>
    <m/>
    <m/>
    <m/>
    <m/>
    <m/>
    <m/>
    <m/>
    <m/>
    <m/>
    <m/>
  </r>
  <r>
    <x v="94"/>
    <n v="2007"/>
    <x v="17"/>
    <s v="Europe and Central Asia"/>
    <m/>
    <s v="Gas"/>
    <s v="no"/>
    <s v="yes"/>
    <s v="no"/>
    <s v="Gas"/>
    <s v="detailed"/>
    <s v="detailed Gas"/>
    <n v="15100000000"/>
    <n v="99660000"/>
    <m/>
    <m/>
    <m/>
    <s v="m³"/>
    <n v="0.22764700000000004"/>
    <s v="US$/m³"/>
    <s v="Volume and price from BPSR 2014. Price is an average of the UK, US and Canada Indices for natural gas."/>
    <n v="3437469700.0000005"/>
    <m/>
    <m/>
    <m/>
    <m/>
    <m/>
    <m/>
    <m/>
    <m/>
    <m/>
    <m/>
    <m/>
    <m/>
    <m/>
    <m/>
    <m/>
    <m/>
    <m/>
    <m/>
    <m/>
    <m/>
    <m/>
    <m/>
    <m/>
    <m/>
    <m/>
    <m/>
    <m/>
    <m/>
    <m/>
    <m/>
    <m/>
    <m/>
    <m/>
    <m/>
    <m/>
    <m/>
    <m/>
    <m/>
    <m/>
    <m/>
    <m/>
    <m/>
    <m/>
    <m/>
    <m/>
  </r>
  <r>
    <x v="94"/>
    <n v="2007"/>
    <x v="17"/>
    <s v="Europe and Central Asia"/>
    <m/>
    <s v="Oil"/>
    <s v="no"/>
    <s v="no"/>
    <s v="yes"/>
    <s v="Oil"/>
    <s v="detailed"/>
    <s v="detailed Oil"/>
    <n v="530345000"/>
    <m/>
    <m/>
    <m/>
    <m/>
    <s v="bbl"/>
    <n v="71.819999999999993"/>
    <s v="US$/bbl"/>
    <s v="Volume and price from BPSR 2014. Price is an average of the spot prices for Brent, Dubai, Nigerian Forcados and West Texas Intermediate crude oil."/>
    <n v="38089377900"/>
    <m/>
    <m/>
    <m/>
    <m/>
    <m/>
    <m/>
    <m/>
    <m/>
    <m/>
    <m/>
    <m/>
    <m/>
    <m/>
    <m/>
    <m/>
    <m/>
    <m/>
    <m/>
    <m/>
    <m/>
    <m/>
    <m/>
    <m/>
    <m/>
    <m/>
    <m/>
    <m/>
    <m/>
    <m/>
    <m/>
    <m/>
    <m/>
    <m/>
    <m/>
    <m/>
    <m/>
    <m/>
    <m/>
    <m/>
    <m/>
    <m/>
    <m/>
    <m/>
    <m/>
    <m/>
  </r>
  <r>
    <x v="95"/>
    <n v="2008"/>
    <x v="17"/>
    <s v="Europe and Central Asia"/>
    <s v="http://geology.gov.kz/en/eiti"/>
    <s v="Oil, Gas"/>
    <s v="no"/>
    <s v="yes"/>
    <s v="yes"/>
    <s v="Total"/>
    <s v="Total"/>
    <s v="Total Oil, Gas"/>
    <m/>
    <m/>
    <m/>
    <m/>
    <m/>
    <m/>
    <m/>
    <s v="US$/bbl"/>
    <m/>
    <n v="60292076600"/>
    <s v="Host government's production entitlement, Profits/Taxes, Royalties, Dividends, Bonuses, Licenses and concessions, Other significant benefits to government"/>
    <s v="Does not include payments made in-kind"/>
    <m/>
    <n v="21000131830"/>
    <n v="21000131830"/>
    <m/>
    <m/>
    <m/>
    <n v="0.34830666008276118"/>
    <s v="United States Dollar and Kazakhastan tenge"/>
    <n v="118.3"/>
    <s v="Disaggregated by revenue stream"/>
    <m/>
    <m/>
    <m/>
    <m/>
    <n v="109"/>
    <s v="Aday Petreoleum Company LLP, Agip Karachaganak BV Kazakhstan branch, Alties Petroleum International BV Aktobe branch, Alties Petroleum International BV Atyrau branch, _x000a_АNACO LLP, Aral Petroleum Capital LLP, Arnaoil LLP, JV Arman LLP, BG Karachaganak Limited (Aksai), Tetis Aral Gas LLP, Buzachi Operating Ltd, Kazakhstan branch of Nelson Petroleum Buzachi BV, CNPC International (Buzachi) Inc., Gural LLP, Caspi neft TME JSC, Subsidiary of Zhalgiztobemunay LLP, Zhaikmunay LLP, Kazakhoil Aktobe LLP, JV Kazgermunay LLP, Kazneftechim-Kopa LLP, Kazpolmunay LLP, JSC Karazhanbasmunay, Karakudukmunay LLP, JSC Caspi neft, Kor-Tazh LLP, Lions Jump LLP, Lancaster Petrokeum JSC, Affiliate of Lukoil Overseas Karachaganak BV Aksai, JV MATIN LLP, Kazakhstan branch of Maersk oil Kazakhstan GmbH, JSC Mangistaumunaygas, Affiliate North Caspian Petroleum Limited, JSC PetroKazakhstan Kumkol Resources, KazMunayGas Exploration and Production JSC, Souts Oil LLP, Svetland oil LLP, CNPC-Aktobemunaygas JSC, Tasbolat Oil corporation LLP, JV Tenge LLP, Tobearal Oil LLP, Tolkynneftegas LLP, Tengizchevroil LLP, Khazarmunay LLP, Affiliate of Chevron International Petroleum Company, Shinzhir LLP, Embavedoil LLP, Affiliate Agip Caspian Sea BV_x000a_Alga Caspian Gas LLP, SC NC KazMunayGas, Kumkol Trans Service LLP, Ravninnoye Oil LLP, Kazakhstan branch of Repsol Exploration Kazakhstan, S.А., Samek Development Enterprises LLP, Samek International LLP, Affiliate of Statoil North Caspian АS, Tabynay LLP, Tetis AralGas LLP, Affiliation of Total E&amp;P Kazakhstan, Ural oil and gas LLP, Affiliate of Shell Kazakhstan Development BV, ExxonMobil Kazakhstan Inc, JSC FIC Alel, Altyn Ken LLP, Mining company Altyn Kulager LLP, JSC Altyn Almas, JSC Kazakhstan Aluminum, Balausa firm LLP, Bast LLP, Mining company Belogorsky mining and processing complex LLP, Bentonit &amp; K LLP, Betbastau Nedra LLP, Bogatyr Komir LLP, Vasikovski mining and processing complex JSC, Voskhod-Oriel LLP, Artel Starateley Gornyak LLP, Dzhentek International Kazakhstan LLP, Degelen LLP, Diana-Aliya LLP, JSC Eurasian energy corporation, JSC Zhairem mining and processing complex, Zherek LLP, JV Inkay LLP, JSC National atomic company Kazatomprom, Kazakhmys corporation LLP, Mining company Kazakhstanski nikel LLP, JSC Transnational company KazChrome, Kazzinc LLP, Karaoba-2005 LLP, Karazhyra Ltd LLP, JV Katko LLP, JSC ArselorMittal Temirtau, Mining company Narymaltyn LLP, Satpayevsk Titanium Mines LTD LLP, Mining company Severnyi katpar LLP, Semizbay-U LLP, JSC Sokolovsko-Sarbayskoye industrial association, JSC Syrymbet, Temirtau electric metallurgic complex LLP, Mining and processing complex Tort Kuduk LLP, JSC Ulbinski metallurgic plant, FML Kazakhstan LLP, Tsvetmet Engineering LLP, JSC JV Vasilkovskoye zoloto, Shalkiya Zinc LLP, Munayly Kazakhstan LLP, Affiliation Inpex North Caspian Sea Ltd, ConocoPhillips North Caspian Ltd in Kazakhstan, JSC KazTransGas, Altyn KDT LLP"/>
    <n v="109"/>
    <s v="April 2010"/>
    <d v="2014-10-09T00:00:00"/>
    <s v="UHY Sapa-Consulting"/>
    <s v="http://eiti.org/files/Kazakhstan%202008%20EITI%20Report.pdf"/>
    <s v="12"/>
    <s v="Materiality threshold: not given. The report doesn't distinguish between oil and gas producers. It is not clear whether unilateral declarations are included. "/>
    <m/>
    <m/>
    <m/>
    <m/>
    <m/>
    <m/>
    <m/>
    <m/>
    <m/>
    <m/>
    <m/>
    <m/>
    <m/>
    <m/>
    <m/>
    <m/>
    <m/>
    <m/>
    <m/>
    <m/>
  </r>
  <r>
    <x v="95"/>
    <n v="2008"/>
    <x v="17"/>
    <s v="Europe and Central Asia"/>
    <m/>
    <s v="Gas"/>
    <s v="no"/>
    <s v="yes"/>
    <s v="no"/>
    <s v="Gas"/>
    <s v="detailed"/>
    <s v="detailed Gas"/>
    <n v="16900000000"/>
    <n v="111540000"/>
    <m/>
    <m/>
    <m/>
    <s v="m³"/>
    <n v="0.32879700000000006"/>
    <s v="US$/m³"/>
    <s v="Volume and price from BPSR 2014. Price is an average of the UK, US and Canada Indices for natural gas."/>
    <n v="5556669300.000001"/>
    <m/>
    <m/>
    <m/>
    <m/>
    <m/>
    <m/>
    <m/>
    <m/>
    <m/>
    <m/>
    <m/>
    <m/>
    <m/>
    <m/>
    <m/>
    <m/>
    <m/>
    <m/>
    <m/>
    <m/>
    <m/>
    <m/>
    <m/>
    <m/>
    <m/>
    <m/>
    <m/>
    <m/>
    <m/>
    <m/>
    <m/>
    <m/>
    <m/>
    <m/>
    <m/>
    <m/>
    <m/>
    <m/>
    <m/>
    <m/>
    <m/>
    <m/>
    <m/>
    <m/>
    <m/>
  </r>
  <r>
    <x v="95"/>
    <n v="2008"/>
    <x v="17"/>
    <s v="Europe and Central Asia"/>
    <m/>
    <s v="Oil"/>
    <s v="no"/>
    <s v="no"/>
    <s v="yes"/>
    <s v="Oil"/>
    <s v="detailed"/>
    <s v="detailed Oil"/>
    <n v="556990000"/>
    <m/>
    <m/>
    <m/>
    <m/>
    <s v="bbl"/>
    <n v="98.27"/>
    <s v="US$/bbl"/>
    <s v="Volume and price from BPSR 2014. Price is an average of the spot prices for Brent, Dubai, Nigerian Forcados and West Texas Intermediate crude oil."/>
    <n v="54735407300"/>
    <m/>
    <m/>
    <m/>
    <m/>
    <m/>
    <m/>
    <m/>
    <m/>
    <m/>
    <m/>
    <m/>
    <m/>
    <m/>
    <m/>
    <m/>
    <m/>
    <m/>
    <m/>
    <m/>
    <m/>
    <m/>
    <m/>
    <m/>
    <m/>
    <m/>
    <m/>
    <m/>
    <m/>
    <m/>
    <m/>
    <m/>
    <m/>
    <m/>
    <m/>
    <m/>
    <m/>
    <m/>
    <m/>
    <m/>
    <m/>
    <m/>
    <m/>
    <m/>
    <m/>
    <m/>
  </r>
  <r>
    <x v="96"/>
    <n v="2009"/>
    <x v="17"/>
    <s v="Europe and Central Asia"/>
    <s v="http://geology.gov.kz/en/eiti"/>
    <s v="Oil, Gas, Mining"/>
    <s v="yes"/>
    <s v="yes"/>
    <s v="yes"/>
    <s v="Total"/>
    <s v="Total"/>
    <s v="Total Oil, Gas, Mining"/>
    <m/>
    <m/>
    <m/>
    <m/>
    <m/>
    <m/>
    <m/>
    <m/>
    <m/>
    <n v="49356007139.798973"/>
    <s v="Host government's production entitlement, Profits/Taxes, Royalties, Dividends, Bonuses, Licenses and concessions, Other significant benefits to government"/>
    <s v="Does not include payments made in-kind"/>
    <s v="-"/>
    <n v="12722411270"/>
    <n v="12971087110"/>
    <m/>
    <m/>
    <m/>
    <n v="0.2577682435688986"/>
    <s v="United States Dollar and Kazakhastan tenge"/>
    <n v="145.5"/>
    <s v="Disaggregated by revenue stream"/>
    <m/>
    <m/>
    <m/>
    <m/>
    <n v="123"/>
    <s v="Alties Petroleum International B.V., Aktobe branch, Altyn KTD LLP, Agip Caspian Sea B.V., NC Kazmunaygaz JSC, Ravninnoe Oil LLP, SvetlandOil LLP, KhazarMunai LLP, _x000a_Zherek LLP, EmbavedOil LLP, Shell Kazakhstan Development B.V., Branch, Tasbulat Oil Corp. LLP, Kor –Tazh LLP, JV MATIN LLP, Tabynai LLP, Lions –Jump LLP, Integracia Oil LLP,_x000a_Satpayevsk Titanium Mines LTD, Zhaikmunai LLP, Karakudukmunai LLP, Karazhanbasmunai JSC, KazZink LLP, Degelen LLP, Eurasian energy corporation JSC, KMK Мunay JSC, ANACO LLP, Karazhyra LTD LLP, Temirtau Electrometallurgical Combine LLP, KazakhOil Aktobe LLP, BNG Ltd LLP, KDO Production LLP, Lukoil Overseas Karachaganak B.V., Aksai _x000a_Chevron International Company, Repsol Exploration Kazakhstan, Branch, KazTransGas JSC, Ural Oil and Gas LLP, Arnaoil LLP, TNG Company LLP, North Caspian Petroleum Ltd Affiliate in RK, TENIR LOGISTIC LLP, Kumkol Trans Service LLP, Mangyshlak - Munay LLP, Samek International LLP, AlgaCaspiGaz LLP, FIC Alel JSC, JV KazGerMunai LLP, _x000a_Aral Petroleum Capital LLP, JV Arman LLP, Мunay-Service LLP, JV Inkai LLP, Branch Total &amp; P Kazakhstan, TNK Kazkhrom LLP, Caspi Neft JSC, Kostanayiskiye minerali LLP, _x000a_Kazakhmys Corporation LLP, Ecogeoneftegaz LLP, Alties Petroleum International B.V., Amir Ltd LLP, Mangistaumunaygas JSC, Tengizchevroil LLP, Tau-Ken Samruk JSC, Impex North Caspian Sea, Branch, Zhairem Mining and Concentration Plant, Vasilkovsky Mining and Concentration Plant JSC, KNOOK Caspian (Kazakhstan) Ltd, Adai Petroleum Company LLP, Zhalgiztobemunay LLP, Saryarka - Energy JSC, JV Katco LLP, BG Karachaganak Limited, Branch, JV Tenge LLP, JSC Caspi Neft TME, Metalterminalservice LLP, KF Agip Karachaganak, Voskhod – Oriel LLP, CNPC-International (Buzachi), JSC PetroKazakhstan Kumkol Resources, ExxonMobil Kazakhstan Inc., Branch, GRK Altyn –Kulager LLP, Statoil North Caspian AS LLP, Tobearal-Oil LLP, Affiliate of Nelson Petroleum Buzachi, Altyn Almas JSC, GRK Kazakhstansky Nikel LLP, Alluminium of Kazakhstan JSC, Exploration and Production KazMunaiGas JSC , Kazatamprom JSC, FML Kazakhstan LLP, South Oil LLP, Samek Development Enterprise LLP, Affiliate of Buzachi Operating Ltd, Cvetmet Engineering LLP, JV Arman 100 LLP, Balausa Firm LLP, Sokolovsko – Sarbayskoe Mining and Concentration Complex JSC, GRK Narymaltyn LLP, Betonit &amp;C LLP, MGK LLP, Semizbay LLP, Arselor Mitall Temirtau LLP, AS Gorniyak LLP, Bast LLP, Tetis Aral Gas LLP, Gentech International Kazakhstan LLP, GRK Tokhtar LLP, Falcon Oil &amp; Gas Ltd LLP, Sary Kazna LLP, Bogatyr Komir LLP, Sarymbet LLP, Nurmunay Petrogaz LLP, Affiliate of ConocoPhilips North Caspian Ltd. in Kazakhstan, Diana Aliya LLP, Altyn Ken LLP, Betbastau - Nedra LLP, CNPC Ai Dan Munay JSC, Karaoba 2005 LLP, Severniy Katpar LLP, Kazneftehim - Kopa LLP, Zhinzhir LLP"/>
    <n v="123"/>
    <s v="May 2011"/>
    <d v="2014-10-09T00:00:00"/>
    <s v="UHY Sapa-Consulting"/>
    <s v="http://eiti.org/files/Kazakhstan%202009%20EITI%20Report.pdf"/>
    <s v="91"/>
    <s v="Materiality threshold: not given. The report doesn't distinguish between oil, gas and mining companies. The report does not specify what minerals are mined. It is not clear whether unilateral declarations are included. "/>
    <m/>
    <m/>
    <m/>
    <m/>
    <m/>
    <m/>
    <m/>
    <m/>
    <m/>
    <m/>
    <m/>
    <m/>
    <m/>
    <m/>
    <m/>
    <m/>
    <m/>
    <m/>
    <m/>
    <m/>
  </r>
  <r>
    <x v="96"/>
    <n v="2009"/>
    <x v="17"/>
    <s v="Europe and Central Asia"/>
    <m/>
    <s v="Oil, Gas"/>
    <s v="no"/>
    <s v="yes"/>
    <s v="yes"/>
    <s v="Total Oil &amp; Gas"/>
    <s v="Total"/>
    <s v="Total Oil, Gas"/>
    <m/>
    <m/>
    <m/>
    <m/>
    <m/>
    <m/>
    <m/>
    <m/>
    <m/>
    <n v="40071016188.928001"/>
    <m/>
    <m/>
    <m/>
    <m/>
    <m/>
    <m/>
    <m/>
    <m/>
    <m/>
    <m/>
    <m/>
    <m/>
    <m/>
    <m/>
    <m/>
    <m/>
    <m/>
    <m/>
    <m/>
    <m/>
    <m/>
    <m/>
    <m/>
    <m/>
    <m/>
    <m/>
    <m/>
    <m/>
    <m/>
    <m/>
    <m/>
    <m/>
    <m/>
    <m/>
    <m/>
    <m/>
    <m/>
    <m/>
    <m/>
    <m/>
    <m/>
    <m/>
    <m/>
    <m/>
    <m/>
  </r>
  <r>
    <x v="96"/>
    <n v="2009"/>
    <x v="17"/>
    <s v="Europe and Central Asia"/>
    <m/>
    <s v="Gas"/>
    <s v="no"/>
    <s v="yes"/>
    <s v="no"/>
    <s v="Gas"/>
    <s v="detailed"/>
    <s v="detailed Gas"/>
    <n v="16400000000"/>
    <n v="108240000"/>
    <m/>
    <m/>
    <m/>
    <s v="m³"/>
    <n v="0.14422800000000002"/>
    <s v="US$/m³"/>
    <s v="Volume and price from BPSR 2014. Price is an average of the UK, US and Canada Indices for natural gas."/>
    <n v="2365339200.0000005"/>
    <m/>
    <m/>
    <m/>
    <m/>
    <m/>
    <m/>
    <m/>
    <m/>
    <m/>
    <m/>
    <m/>
    <m/>
    <m/>
    <m/>
    <m/>
    <m/>
    <m/>
    <m/>
    <m/>
    <m/>
    <m/>
    <m/>
    <m/>
    <m/>
    <m/>
    <m/>
    <m/>
    <m/>
    <m/>
    <m/>
    <m/>
    <m/>
    <m/>
    <m/>
    <m/>
    <m/>
    <m/>
    <m/>
    <m/>
    <m/>
    <m/>
    <m/>
    <m/>
    <m/>
    <m/>
  </r>
  <r>
    <x v="96"/>
    <n v="2009"/>
    <x v="17"/>
    <s v="Europe and Central Asia"/>
    <m/>
    <s v="Oil"/>
    <s v="no"/>
    <s v="no"/>
    <s v="yes"/>
    <s v="Oil"/>
    <s v="detailed"/>
    <s v="detailed Oil"/>
    <n v="607360000"/>
    <m/>
    <m/>
    <m/>
    <m/>
    <s v="bbl"/>
    <n v="62.0812648"/>
    <s v="US$/bbl"/>
    <s v="Volume and price from BPSR 2014. Price is an average of the spot prices for Brent, Dubai, Nigerian Forcados and West Texas Intermediate crude oil."/>
    <n v="37705676988.928001"/>
    <m/>
    <m/>
    <m/>
    <m/>
    <m/>
    <m/>
    <m/>
    <m/>
    <m/>
    <m/>
    <m/>
    <m/>
    <m/>
    <m/>
    <m/>
    <m/>
    <m/>
    <m/>
    <m/>
    <m/>
    <m/>
    <m/>
    <m/>
    <m/>
    <m/>
    <m/>
    <m/>
    <m/>
    <m/>
    <m/>
    <m/>
    <m/>
    <m/>
    <m/>
    <m/>
    <m/>
    <m/>
    <m/>
    <m/>
    <m/>
    <m/>
    <m/>
    <m/>
    <m/>
    <m/>
  </r>
  <r>
    <x v="96"/>
    <n v="2009"/>
    <x v="17"/>
    <s v="Europe and Central Asia"/>
    <m/>
    <s v="Mining"/>
    <s v="yes"/>
    <s v="no"/>
    <s v="no"/>
    <s v="Total Mining"/>
    <s v="Total"/>
    <s v="Total Mining"/>
    <m/>
    <m/>
    <m/>
    <m/>
    <m/>
    <m/>
    <m/>
    <m/>
    <m/>
    <n v="9284990950.8709698"/>
    <m/>
    <m/>
    <m/>
    <m/>
    <m/>
    <m/>
    <m/>
    <m/>
    <m/>
    <m/>
    <m/>
    <m/>
    <m/>
    <m/>
    <m/>
    <m/>
    <m/>
    <m/>
    <m/>
    <m/>
    <m/>
    <m/>
    <m/>
    <m/>
    <m/>
    <m/>
    <m/>
    <m/>
    <m/>
    <m/>
    <m/>
    <m/>
    <m/>
    <m/>
    <m/>
    <m/>
    <m/>
    <m/>
    <m/>
    <m/>
    <m/>
    <m/>
    <m/>
    <m/>
    <m/>
  </r>
  <r>
    <x v="96"/>
    <n v="2009"/>
    <x v="17"/>
    <s v="Europe and Central Asia"/>
    <m/>
    <s v="Mining"/>
    <s v="yes"/>
    <s v="no"/>
    <s v="no"/>
    <s v="Asbestos"/>
    <s v="detailed"/>
    <s v="detailed Mining"/>
    <n v="230000"/>
    <m/>
    <m/>
    <m/>
    <m/>
    <s v="t"/>
    <n v="787"/>
    <s v="US$/t"/>
    <s v="Volume from USGS Mineral Yearbook 2011. Price from USGS Mineral Commodity Summary 2014, and is the price in the US."/>
    <n v="181010000"/>
    <m/>
    <m/>
    <m/>
    <m/>
    <m/>
    <m/>
    <m/>
    <m/>
    <m/>
    <m/>
    <m/>
    <m/>
    <m/>
    <m/>
    <m/>
    <m/>
    <m/>
    <m/>
    <m/>
    <m/>
    <m/>
    <m/>
    <m/>
    <m/>
    <s v="This commodity is not mentioned in the EITI Report, but its production is reported on in the USGS Mineral Yearbook 2011."/>
    <m/>
    <m/>
    <m/>
    <m/>
    <m/>
    <m/>
    <m/>
    <m/>
    <m/>
    <m/>
    <m/>
    <m/>
    <m/>
    <m/>
    <m/>
    <m/>
    <m/>
    <m/>
    <m/>
    <m/>
  </r>
  <r>
    <x v="96"/>
    <n v="2009"/>
    <x v="17"/>
    <s v="Europe and Central Asia"/>
    <m/>
    <s v="Mining"/>
    <s v="yes"/>
    <s v="no"/>
    <s v="no"/>
    <s v="Barite"/>
    <s v="detailed"/>
    <s v="detailed Mining"/>
    <m/>
    <m/>
    <m/>
    <m/>
    <m/>
    <m/>
    <n v="80"/>
    <s v="US$/t"/>
    <s v="Price from USGS Mineral Commodity Summary 2014, and is the estimated f.o.b. mine price in the US."/>
    <n v="13600000"/>
    <m/>
    <m/>
    <m/>
    <m/>
    <m/>
    <m/>
    <m/>
    <m/>
    <m/>
    <m/>
    <m/>
    <m/>
    <m/>
    <m/>
    <m/>
    <m/>
    <m/>
    <m/>
    <m/>
    <m/>
    <m/>
    <m/>
    <m/>
    <m/>
    <s v="This commodity is not mentioned in the EITI Report, but its production is reported on in the USGS Mineral Yearbook 2011."/>
    <m/>
    <m/>
    <m/>
    <m/>
    <m/>
    <m/>
    <m/>
    <m/>
    <m/>
    <m/>
    <m/>
    <m/>
    <m/>
    <m/>
    <m/>
    <m/>
    <m/>
    <m/>
    <m/>
    <m/>
  </r>
  <r>
    <x v="96"/>
    <n v="2009"/>
    <x v="17"/>
    <s v="Europe and Central Asia"/>
    <m/>
    <s v="Mining"/>
    <s v="yes"/>
    <s v="no"/>
    <s v="no"/>
    <s v="o/w Ore and concentrate"/>
    <s v="detailed"/>
    <s v="detailed Mining"/>
    <n v="306000"/>
    <m/>
    <m/>
    <m/>
    <m/>
    <s v="t"/>
    <m/>
    <m/>
    <s v="Volume from USGS Mineral Yearbook 2011"/>
    <m/>
    <m/>
    <m/>
    <m/>
    <m/>
    <m/>
    <m/>
    <m/>
    <m/>
    <m/>
    <m/>
    <m/>
    <m/>
    <m/>
    <m/>
    <m/>
    <m/>
    <m/>
    <m/>
    <m/>
    <m/>
    <m/>
    <m/>
    <m/>
    <m/>
    <m/>
    <m/>
    <m/>
    <m/>
    <m/>
    <m/>
    <m/>
    <m/>
    <m/>
    <m/>
    <m/>
    <m/>
    <m/>
    <m/>
    <m/>
    <m/>
    <m/>
    <m/>
    <m/>
    <m/>
    <m/>
  </r>
  <r>
    <x v="96"/>
    <n v="2009"/>
    <x v="17"/>
    <s v="Europe and Central Asia"/>
    <m/>
    <s v="Mining"/>
    <s v="yes"/>
    <s v="no"/>
    <s v="no"/>
    <s v="o/w Marketable"/>
    <s v="detailed"/>
    <s v="detailed Mining"/>
    <n v="170000"/>
    <m/>
    <m/>
    <m/>
    <m/>
    <s v="t"/>
    <m/>
    <m/>
    <s v="Volume from USGS Mineral Yearbook 2011"/>
    <m/>
    <m/>
    <m/>
    <m/>
    <m/>
    <m/>
    <m/>
    <m/>
    <m/>
    <m/>
    <m/>
    <m/>
    <m/>
    <m/>
    <m/>
    <m/>
    <m/>
    <m/>
    <m/>
    <m/>
    <m/>
    <m/>
    <m/>
    <m/>
    <m/>
    <m/>
    <m/>
    <m/>
    <m/>
    <m/>
    <m/>
    <m/>
    <m/>
    <m/>
    <m/>
    <m/>
    <m/>
    <m/>
    <m/>
    <m/>
    <m/>
    <m/>
    <m/>
    <m/>
    <m/>
    <m/>
  </r>
  <r>
    <x v="96"/>
    <n v="2009"/>
    <x v="17"/>
    <s v="Europe and Central Asia"/>
    <m/>
    <s v="Mining"/>
    <s v="yes"/>
    <s v="no"/>
    <s v="no"/>
    <s v="Bauxite"/>
    <s v="detailed"/>
    <s v="detailed Mining"/>
    <n v="5130000"/>
    <m/>
    <m/>
    <m/>
    <m/>
    <s v="t"/>
    <n v="29.8"/>
    <s v="US$/t"/>
    <s v="Volume from USGS Mineral Yearbook 2011. Price from USGS Mineral Yearbook 2010, and is the average f.a.s. price of US imports of crude and dried bauxite."/>
    <n v="152874000"/>
    <m/>
    <m/>
    <m/>
    <m/>
    <m/>
    <m/>
    <m/>
    <m/>
    <m/>
    <m/>
    <m/>
    <m/>
    <m/>
    <m/>
    <m/>
    <m/>
    <m/>
    <m/>
    <m/>
    <m/>
    <m/>
    <m/>
    <m/>
    <m/>
    <s v="This commodity is not mentioned in the EITI Report, but its production is reported on in the USGS Mineral Yearbook 2011."/>
    <m/>
    <m/>
    <m/>
    <m/>
    <m/>
    <m/>
    <m/>
    <m/>
    <m/>
    <m/>
    <m/>
    <m/>
    <m/>
    <m/>
    <m/>
    <m/>
    <m/>
    <m/>
    <m/>
    <m/>
  </r>
  <r>
    <x v="96"/>
    <n v="2009"/>
    <x v="17"/>
    <s v="Europe and Central Asia"/>
    <m/>
    <s v="Mining"/>
    <s v="yes"/>
    <s v="no"/>
    <s v="no"/>
    <s v="Boron"/>
    <s v="detailed"/>
    <s v="detailed Mining"/>
    <n v="30000"/>
    <m/>
    <m/>
    <m/>
    <m/>
    <s v="t"/>
    <n v="339"/>
    <s v="US$/t"/>
    <s v="Volume from USGS Mineral Yearbook 2011. Price from USGS Mineral Commodity Summary 2013, and is the average f.a.s. price of US imports."/>
    <n v="10170000"/>
    <m/>
    <m/>
    <m/>
    <m/>
    <m/>
    <m/>
    <m/>
    <m/>
    <m/>
    <m/>
    <m/>
    <m/>
    <m/>
    <m/>
    <m/>
    <m/>
    <m/>
    <m/>
    <m/>
    <m/>
    <m/>
    <m/>
    <m/>
    <m/>
    <s v="This commodity is not mentioned in the EITI Report, but its production is reported on in the USGS Mineral Yearbook 2011."/>
    <m/>
    <m/>
    <m/>
    <m/>
    <m/>
    <m/>
    <m/>
    <m/>
    <m/>
    <m/>
    <m/>
    <m/>
    <m/>
    <m/>
    <m/>
    <m/>
    <m/>
    <m/>
    <m/>
    <m/>
  </r>
  <r>
    <x v="96"/>
    <n v="2009"/>
    <x v="17"/>
    <s v="Europe and Central Asia"/>
    <m/>
    <s v="Mining"/>
    <s v="yes"/>
    <s v="no"/>
    <s v="no"/>
    <s v="Copper"/>
    <s v="detailed"/>
    <s v="detailed Mining"/>
    <m/>
    <m/>
    <m/>
    <m/>
    <m/>
    <m/>
    <n v="5149.7385833333301"/>
    <s v="US$/t"/>
    <s v="Price from World Bank (Global Economic Monitor (GEM) Commodities database), and is defined as: Copper (LME), grade A, minimum 99.9935% purity, cathodes and wire bar shapes, settlement price"/>
    <n v="3324779373.9102478"/>
    <m/>
    <m/>
    <m/>
    <m/>
    <m/>
    <m/>
    <m/>
    <m/>
    <m/>
    <m/>
    <m/>
    <m/>
    <m/>
    <m/>
    <m/>
    <m/>
    <m/>
    <m/>
    <m/>
    <m/>
    <m/>
    <m/>
    <m/>
    <m/>
    <s v="This commodity is not mentioned in the EITI Report, but its production is reported on in the USGS Mineral Yearbook 2011. "/>
    <m/>
    <m/>
    <m/>
    <m/>
    <m/>
    <m/>
    <m/>
    <m/>
    <m/>
    <m/>
    <m/>
    <m/>
    <m/>
    <m/>
    <m/>
    <m/>
    <m/>
    <m/>
    <m/>
    <m/>
  </r>
  <r>
    <x v="96"/>
    <n v="2009"/>
    <x v="17"/>
    <s v="Europe and Central Asia"/>
    <m/>
    <s v="Mining"/>
    <s v="yes"/>
    <s v="no"/>
    <s v="no"/>
    <s v="o/w Copper content of mine output"/>
    <s v="detailed"/>
    <s v="detailed Mining"/>
    <n v="455000"/>
    <m/>
    <m/>
    <m/>
    <m/>
    <s v="t"/>
    <m/>
    <m/>
    <s v="Volume from USGS Mineral Yearbook 2011"/>
    <m/>
    <m/>
    <m/>
    <m/>
    <m/>
    <m/>
    <m/>
    <m/>
    <m/>
    <m/>
    <m/>
    <m/>
    <m/>
    <m/>
    <m/>
    <m/>
    <m/>
    <m/>
    <m/>
    <m/>
    <m/>
    <m/>
    <m/>
    <m/>
    <m/>
    <m/>
    <m/>
    <m/>
    <m/>
    <m/>
    <m/>
    <m/>
    <m/>
    <m/>
    <m/>
    <m/>
    <m/>
    <m/>
    <m/>
    <m/>
    <m/>
    <m/>
    <m/>
    <m/>
    <m/>
    <m/>
  </r>
  <r>
    <x v="96"/>
    <n v="2009"/>
    <x v="17"/>
    <s v="Europe and Central Asia"/>
    <m/>
    <s v="Mining"/>
    <s v="yes"/>
    <s v="no"/>
    <s v="no"/>
    <s v="o/w Metal (smelter)"/>
    <s v="detailed"/>
    <s v="detailed Mining"/>
    <n v="332854"/>
    <m/>
    <m/>
    <m/>
    <m/>
    <s v="t"/>
    <m/>
    <m/>
    <s v="Volume from USGS Mineral Yearbook 2011"/>
    <m/>
    <m/>
    <m/>
    <m/>
    <m/>
    <m/>
    <m/>
    <m/>
    <m/>
    <m/>
    <m/>
    <m/>
    <m/>
    <m/>
    <m/>
    <m/>
    <m/>
    <m/>
    <m/>
    <m/>
    <m/>
    <m/>
    <m/>
    <m/>
    <m/>
    <m/>
    <m/>
    <m/>
    <m/>
    <m/>
    <m/>
    <m/>
    <m/>
    <m/>
    <m/>
    <m/>
    <m/>
    <m/>
    <m/>
    <m/>
    <m/>
    <m/>
    <m/>
    <m/>
    <m/>
    <m/>
  </r>
  <r>
    <x v="96"/>
    <n v="2009"/>
    <x v="17"/>
    <s v="Europe and Central Asia"/>
    <m/>
    <s v="Mining"/>
    <s v="yes"/>
    <s v="no"/>
    <s v="no"/>
    <s v="o/w Metal (refined, primary)"/>
    <s v="detailed"/>
    <s v="detailed Mining"/>
    <n v="312767"/>
    <m/>
    <m/>
    <m/>
    <m/>
    <s v="t"/>
    <m/>
    <m/>
    <s v="Volume from USGS Mineral Yearbook 2011"/>
    <m/>
    <m/>
    <m/>
    <m/>
    <m/>
    <m/>
    <m/>
    <m/>
    <m/>
    <m/>
    <m/>
    <m/>
    <m/>
    <m/>
    <m/>
    <m/>
    <m/>
    <m/>
    <m/>
    <m/>
    <m/>
    <m/>
    <m/>
    <m/>
    <m/>
    <m/>
    <m/>
    <m/>
    <m/>
    <m/>
    <m/>
    <m/>
    <m/>
    <m/>
    <m/>
    <m/>
    <m/>
    <m/>
    <m/>
    <m/>
    <m/>
    <m/>
    <m/>
    <m/>
    <m/>
    <m/>
  </r>
  <r>
    <x v="96"/>
    <n v="2009"/>
    <x v="17"/>
    <s v="Europe and Central Asia"/>
    <m/>
    <s v="Mining"/>
    <s v="yes"/>
    <s v="no"/>
    <s v="no"/>
    <s v="Ferrochromium"/>
    <s v="detailed"/>
    <s v="detailed Mining"/>
    <n v="1173286"/>
    <m/>
    <m/>
    <m/>
    <m/>
    <s v="t"/>
    <n v="1775.6045080160143"/>
    <s v="US$/t"/>
    <s v="Volume from USGS Mineral Yearbook 2011. Price from USGS Mineral Yearbook 2009, and is the average price for chromium content in ferrochromium with chromium content of 49-51% and 60-65% in the US. "/>
    <n v="2083291910.7920773"/>
    <m/>
    <m/>
    <m/>
    <m/>
    <m/>
    <m/>
    <m/>
    <m/>
    <m/>
    <m/>
    <m/>
    <m/>
    <m/>
    <m/>
    <m/>
    <m/>
    <m/>
    <m/>
    <m/>
    <m/>
    <m/>
    <m/>
    <m/>
    <m/>
    <s v="This commodity is not mentioned in the EITI Report, but its production is reported on in the USGS Mineral Yearbook 2011."/>
    <m/>
    <m/>
    <m/>
    <m/>
    <m/>
    <m/>
    <m/>
    <m/>
    <m/>
    <m/>
    <m/>
    <m/>
    <m/>
    <m/>
    <m/>
    <m/>
    <m/>
    <m/>
    <m/>
    <m/>
  </r>
  <r>
    <x v="96"/>
    <n v="2009"/>
    <x v="17"/>
    <s v="Europe and Central Asia"/>
    <m/>
    <s v="Mining"/>
    <s v="yes"/>
    <s v="no"/>
    <s v="no"/>
    <s v="Ferrosilicochromium"/>
    <s v="detailed"/>
    <s v="detailed Mining"/>
    <n v="60829"/>
    <m/>
    <m/>
    <m/>
    <m/>
    <s v="t"/>
    <m/>
    <m/>
    <m/>
    <m/>
    <m/>
    <m/>
    <m/>
    <m/>
    <m/>
    <m/>
    <m/>
    <m/>
    <m/>
    <m/>
    <m/>
    <m/>
    <m/>
    <m/>
    <m/>
    <m/>
    <m/>
    <m/>
    <m/>
    <m/>
    <m/>
    <m/>
    <m/>
    <m/>
    <s v="This commodity is not mentioned in the EITI Report, but its production is reported on in the USGS Mineral Yearbook 2011."/>
    <m/>
    <m/>
    <m/>
    <m/>
    <m/>
    <m/>
    <m/>
    <m/>
    <m/>
    <m/>
    <m/>
    <m/>
    <m/>
    <m/>
    <m/>
    <m/>
    <m/>
    <m/>
    <m/>
    <m/>
  </r>
  <r>
    <x v="96"/>
    <n v="2009"/>
    <x v="17"/>
    <s v="Europe and Central Asia"/>
    <m/>
    <s v="Mining"/>
    <s v="yes"/>
    <s v="no"/>
    <s v="no"/>
    <s v="Ferrosilicon"/>
    <s v="detailed"/>
    <s v="detailed Mining"/>
    <n v="33100"/>
    <m/>
    <m/>
    <m/>
    <m/>
    <s v="t"/>
    <n v="1607.1712023139737"/>
    <s v="US$/t"/>
    <s v="Volume from USGS Mineral Yearbook 2011. Price from USGS Mineral Commodity Summary 2014, and is the average price for ferrosilicon with 50% and 75% silicon content in the US."/>
    <n v="53197366.796592526"/>
    <m/>
    <m/>
    <m/>
    <m/>
    <m/>
    <m/>
    <m/>
    <m/>
    <m/>
    <m/>
    <m/>
    <m/>
    <m/>
    <m/>
    <m/>
    <m/>
    <m/>
    <m/>
    <m/>
    <m/>
    <m/>
    <m/>
    <m/>
    <m/>
    <s v="This commodity is not mentioned in the EITI Report, but its production is reported on in the USGS Mineral Yearbook 2011."/>
    <m/>
    <m/>
    <m/>
    <m/>
    <m/>
    <m/>
    <m/>
    <m/>
    <m/>
    <m/>
    <m/>
    <m/>
    <m/>
    <m/>
    <m/>
    <m/>
    <m/>
    <m/>
    <m/>
    <m/>
  </r>
  <r>
    <x v="96"/>
    <n v="2009"/>
    <x v="17"/>
    <s v="Europe and Central Asia"/>
    <m/>
    <s v="Mining"/>
    <s v="yes"/>
    <s v="no"/>
    <s v="no"/>
    <s v="Fluourspar"/>
    <s v="detailed"/>
    <s v="detailed Mining"/>
    <n v="65000"/>
    <m/>
    <m/>
    <m/>
    <m/>
    <s v="t"/>
    <m/>
    <m/>
    <s v="Volume from USGS Mineral Yearbook 2011"/>
    <m/>
    <m/>
    <m/>
    <m/>
    <m/>
    <m/>
    <m/>
    <m/>
    <m/>
    <m/>
    <m/>
    <m/>
    <m/>
    <m/>
    <m/>
    <m/>
    <m/>
    <m/>
    <m/>
    <m/>
    <m/>
    <m/>
    <m/>
    <m/>
    <m/>
    <s v="This commodity is not mentioned in the EITI Report, but its production is reported on in the USGS Mineral Yearbook 2011."/>
    <m/>
    <m/>
    <m/>
    <m/>
    <m/>
    <m/>
    <m/>
    <m/>
    <m/>
    <m/>
    <m/>
    <m/>
    <m/>
    <m/>
    <m/>
    <m/>
    <m/>
    <m/>
    <m/>
    <m/>
  </r>
  <r>
    <x v="96"/>
    <n v="2009"/>
    <x v="17"/>
    <s v="Europe and Central Asia"/>
    <m/>
    <s v="Mining"/>
    <s v="yes"/>
    <s v="no"/>
    <s v="no"/>
    <s v="Gold"/>
    <s v="detailed"/>
    <s v="detailed Mining"/>
    <n v="734290.82226627052"/>
    <m/>
    <m/>
    <m/>
    <m/>
    <s v="toz"/>
    <n v="972.96591666666995"/>
    <s v="US$/toz"/>
    <s v="Volume from USGS Mineral Yearbook 2011. Price from World Bank (Global Economic Monitor (GEM) Commodities database), and is defined as: Gold (UK), 99.5% fine, London afternoon fixing, average of daily rates."/>
    <n v="714439942.98622477"/>
    <m/>
    <m/>
    <m/>
    <m/>
    <m/>
    <m/>
    <m/>
    <m/>
    <m/>
    <m/>
    <m/>
    <m/>
    <m/>
    <m/>
    <m/>
    <m/>
    <m/>
    <m/>
    <m/>
    <m/>
    <m/>
    <m/>
    <m/>
    <m/>
    <s v="This commodity is not mentioned in the EITI Report, but its production is reported on in the USGS Mineral Yearbook 2011."/>
    <m/>
    <m/>
    <m/>
    <m/>
    <m/>
    <m/>
    <m/>
    <m/>
    <m/>
    <m/>
    <m/>
    <m/>
    <m/>
    <m/>
    <m/>
    <m/>
    <m/>
    <m/>
    <m/>
    <m/>
  </r>
  <r>
    <x v="96"/>
    <n v="2009"/>
    <x v="17"/>
    <s v="Europe and Central Asia"/>
    <m/>
    <s v="Mining"/>
    <s v="yes"/>
    <s v="no"/>
    <s v="no"/>
    <s v="Ilmenite &amp; leucoxene"/>
    <s v="detailed"/>
    <s v="detailed Mining"/>
    <n v="25000"/>
    <m/>
    <m/>
    <m/>
    <m/>
    <s v="t"/>
    <n v="73"/>
    <s v="US$/t"/>
    <s v="Volume from USGS Mineral Yearbook 2011. Price from USGS Mineral Commodity Summary 2013, and is the f.o.b. price in Australia for a bulk product with a minimum TiO2 content of 54%."/>
    <n v="1825000"/>
    <m/>
    <m/>
    <m/>
    <m/>
    <m/>
    <m/>
    <m/>
    <m/>
    <m/>
    <m/>
    <m/>
    <m/>
    <m/>
    <m/>
    <m/>
    <m/>
    <m/>
    <m/>
    <m/>
    <m/>
    <m/>
    <m/>
    <m/>
    <m/>
    <s v="This commodity is not mentioned in the EITI Report, but its production is reported on in the USGS Mineral Yearbook 2011."/>
    <m/>
    <m/>
    <m/>
    <m/>
    <m/>
    <m/>
    <m/>
    <m/>
    <m/>
    <m/>
    <m/>
    <m/>
    <m/>
    <m/>
    <m/>
    <m/>
    <m/>
    <m/>
    <m/>
    <m/>
  </r>
  <r>
    <x v="96"/>
    <n v="2009"/>
    <x v="17"/>
    <s v="Europe and Central Asia"/>
    <m/>
    <s v="Mining"/>
    <s v="yes"/>
    <s v="no"/>
    <s v="no"/>
    <s v="Iron ore"/>
    <s v="detailed"/>
    <s v="detailed Mining"/>
    <n v="22281300"/>
    <m/>
    <m/>
    <m/>
    <m/>
    <s v="t"/>
    <n v="79.979166666669997"/>
    <s v="US$/t"/>
    <s v="Volume from USGS Mineral Yearbook 2011. Price from World Bank (Global Economic Monitor (GEM) Commodities database), and is defined as: Iron ore (any origin) fines, spot price, c.f.r. China, 62% Fe."/>
    <n v="1782039806.2500741"/>
    <m/>
    <m/>
    <m/>
    <m/>
    <m/>
    <m/>
    <m/>
    <m/>
    <m/>
    <m/>
    <m/>
    <m/>
    <m/>
    <m/>
    <m/>
    <m/>
    <m/>
    <m/>
    <m/>
    <m/>
    <m/>
    <m/>
    <m/>
    <m/>
    <s v="This commodity is not mentioned in the EITI Report, but its production is reported on in the USGS Mineral Yearbook 2011."/>
    <m/>
    <m/>
    <m/>
    <m/>
    <m/>
    <m/>
    <m/>
    <m/>
    <m/>
    <m/>
    <m/>
    <m/>
    <m/>
    <m/>
    <m/>
    <m/>
    <m/>
    <m/>
    <m/>
    <m/>
  </r>
  <r>
    <x v="96"/>
    <n v="2009"/>
    <x v="17"/>
    <s v="Europe and Central Asia"/>
    <m/>
    <s v="Mining"/>
    <s v="yes"/>
    <s v="no"/>
    <s v="no"/>
    <s v="Manganese"/>
    <s v="detailed"/>
    <s v="detailed Mining"/>
    <m/>
    <m/>
    <m/>
    <m/>
    <m/>
    <m/>
    <n v="7.95"/>
    <s v="US$/t"/>
    <s v="Price from USGS Mineral Commodity Summary 2013, and is the c.i.f. price at US ports for metallurgical ore with 46-48% manganese content. "/>
    <n v="6996000"/>
    <m/>
    <m/>
    <m/>
    <m/>
    <m/>
    <m/>
    <m/>
    <m/>
    <m/>
    <m/>
    <m/>
    <m/>
    <m/>
    <m/>
    <m/>
    <m/>
    <m/>
    <m/>
    <m/>
    <m/>
    <m/>
    <m/>
    <m/>
    <m/>
    <s v="This commodity is not mentioned in the EITI Report, but its production is reported on in the USGS Mineral Yearbook 2011."/>
    <m/>
    <m/>
    <m/>
    <m/>
    <m/>
    <m/>
    <m/>
    <m/>
    <m/>
    <m/>
    <m/>
    <m/>
    <m/>
    <m/>
    <m/>
    <m/>
    <m/>
    <m/>
    <m/>
    <m/>
  </r>
  <r>
    <x v="96"/>
    <n v="2009"/>
    <x v="17"/>
    <s v="Europe and Central Asia"/>
    <m/>
    <s v="Mining"/>
    <s v="yes"/>
    <s v="no"/>
    <s v="no"/>
    <s v="o/w Gross weight"/>
    <s v="detailed"/>
    <s v="detailed Mining"/>
    <n v="3439400"/>
    <m/>
    <m/>
    <m/>
    <m/>
    <s v="t"/>
    <m/>
    <m/>
    <s v="Volume from USGS Mineral Yearbook 2011"/>
    <m/>
    <m/>
    <m/>
    <m/>
    <m/>
    <m/>
    <m/>
    <m/>
    <m/>
    <m/>
    <m/>
    <m/>
    <m/>
    <m/>
    <m/>
    <m/>
    <m/>
    <m/>
    <m/>
    <m/>
    <m/>
    <m/>
    <m/>
    <m/>
    <m/>
    <m/>
    <m/>
    <m/>
    <m/>
    <m/>
    <m/>
    <m/>
    <m/>
    <m/>
    <m/>
    <m/>
    <m/>
    <m/>
    <m/>
    <m/>
    <m/>
    <m/>
    <m/>
    <m/>
    <m/>
    <m/>
  </r>
  <r>
    <x v="96"/>
    <n v="2009"/>
    <x v="17"/>
    <s v="Europe and Central Asia"/>
    <m/>
    <s v="Mining"/>
    <s v="yes"/>
    <s v="no"/>
    <s v="no"/>
    <s v="o/w Mn content"/>
    <s v="detailed"/>
    <s v="detailed Mining"/>
    <n v="880000"/>
    <m/>
    <m/>
    <m/>
    <m/>
    <s v="t"/>
    <m/>
    <m/>
    <s v="Volume from USGS Mineral Yearbook 2011"/>
    <m/>
    <m/>
    <m/>
    <m/>
    <m/>
    <m/>
    <m/>
    <m/>
    <m/>
    <m/>
    <m/>
    <m/>
    <m/>
    <m/>
    <m/>
    <m/>
    <m/>
    <m/>
    <m/>
    <m/>
    <m/>
    <m/>
    <m/>
    <m/>
    <m/>
    <m/>
    <m/>
    <m/>
    <m/>
    <m/>
    <m/>
    <m/>
    <m/>
    <m/>
    <m/>
    <m/>
    <m/>
    <m/>
    <m/>
    <m/>
    <m/>
    <m/>
    <m/>
    <m/>
    <m/>
    <m/>
  </r>
  <r>
    <x v="96"/>
    <n v="2009"/>
    <x v="17"/>
    <s v="Europe and Central Asia"/>
    <m/>
    <s v="Mining"/>
    <s v="yes"/>
    <s v="no"/>
    <s v="no"/>
    <s v="Nickel (nickel content of laterite ore)"/>
    <s v="detailed"/>
    <s v="detailed Mining"/>
    <n v="500"/>
    <m/>
    <m/>
    <m/>
    <m/>
    <s v="t"/>
    <n v="14654.629499999999"/>
    <s v="US$/t"/>
    <s v="Volume from USGS Mineral Yearbook 2011. Price from World Bank (Global Economic Monitor (GEM) Commodities database), and is defined as: Nickel (LME), cathodes, minimum 99.8% purity, settlement price beginning 2005; previously cash price."/>
    <n v="7327314.75"/>
    <m/>
    <m/>
    <m/>
    <m/>
    <m/>
    <m/>
    <m/>
    <m/>
    <m/>
    <m/>
    <m/>
    <m/>
    <m/>
    <m/>
    <m/>
    <m/>
    <m/>
    <m/>
    <m/>
    <m/>
    <m/>
    <m/>
    <m/>
    <m/>
    <s v="This commodity is not mentioned in the EITI Report, but its production is reported on in the USGS Mineral Yearbook 2011."/>
    <m/>
    <m/>
    <m/>
    <m/>
    <m/>
    <m/>
    <m/>
    <m/>
    <m/>
    <m/>
    <m/>
    <m/>
    <m/>
    <m/>
    <m/>
    <m/>
    <m/>
    <m/>
    <m/>
    <m/>
  </r>
  <r>
    <x v="96"/>
    <n v="2009"/>
    <x v="17"/>
    <s v="Europe and Central Asia"/>
    <m/>
    <s v="Mining"/>
    <s v="yes"/>
    <s v="no"/>
    <s v="no"/>
    <s v="Phoshpate rock (beneficated)"/>
    <s v="detailed"/>
    <s v="detailed Mining"/>
    <n v="1225000"/>
    <m/>
    <m/>
    <m/>
    <m/>
    <s v="t"/>
    <n v="121.65625"/>
    <s v="US$/t"/>
    <s v="Volume from USGS Mineral Yearbook 2011. Price from World Bank (Global Economic Monitor (GEM) Commodities database), and is defined as: Phosphate rock (Morocco), 70% BPL, contract, f.a.s. Casablanca."/>
    <n v="149028906.25"/>
    <m/>
    <m/>
    <m/>
    <m/>
    <m/>
    <m/>
    <m/>
    <m/>
    <m/>
    <m/>
    <m/>
    <m/>
    <m/>
    <m/>
    <m/>
    <m/>
    <m/>
    <m/>
    <m/>
    <m/>
    <m/>
    <m/>
    <m/>
    <m/>
    <s v="This commodity is not mentioned in the EITI Report, but its production is reported on in the USGS Mineral Yearbook 2011."/>
    <m/>
    <m/>
    <m/>
    <m/>
    <m/>
    <m/>
    <m/>
    <m/>
    <m/>
    <m/>
    <m/>
    <m/>
    <m/>
    <m/>
    <m/>
    <m/>
    <m/>
    <m/>
    <m/>
    <m/>
  </r>
  <r>
    <x v="96"/>
    <n v="2009"/>
    <x v="17"/>
    <s v="Europe and Central Asia"/>
    <m/>
    <s v="Mining"/>
    <s v="yes"/>
    <s v="no"/>
    <s v="no"/>
    <s v="Pig iron"/>
    <s v="detailed"/>
    <s v="detailed Mining"/>
    <n v="2996000"/>
    <m/>
    <m/>
    <m/>
    <m/>
    <s v="t"/>
    <m/>
    <m/>
    <s v="Volume from USGS Mineral Yearbook 2011"/>
    <m/>
    <m/>
    <m/>
    <m/>
    <m/>
    <m/>
    <m/>
    <m/>
    <m/>
    <m/>
    <m/>
    <m/>
    <m/>
    <m/>
    <m/>
    <m/>
    <m/>
    <m/>
    <m/>
    <m/>
    <m/>
    <m/>
    <m/>
    <m/>
    <m/>
    <s v="This commodity is not mentioned in the EITI Report, but its production is reported on in the USGS Mineral Yearbook 2011."/>
    <m/>
    <m/>
    <m/>
    <m/>
    <m/>
    <m/>
    <m/>
    <m/>
    <m/>
    <m/>
    <m/>
    <m/>
    <m/>
    <m/>
    <m/>
    <m/>
    <m/>
    <m/>
    <m/>
    <m/>
  </r>
  <r>
    <x v="96"/>
    <n v="2009"/>
    <x v="17"/>
    <s v="Europe and Central Asia"/>
    <m/>
    <s v="Mining"/>
    <s v="yes"/>
    <s v="no"/>
    <s v="no"/>
    <s v="Titanium sponge"/>
    <s v="detailed"/>
    <s v="detailed Mining"/>
    <n v="16800"/>
    <m/>
    <m/>
    <m/>
    <m/>
    <s v="t"/>
    <n v="15580"/>
    <s v="US$/t"/>
    <s v="Volume from USGS Mineral Yearbook 2011. Price from USGS Mineral Commodity Summary 2013, and is the year-end price in the US."/>
    <n v="261744000"/>
    <m/>
    <m/>
    <m/>
    <m/>
    <m/>
    <m/>
    <m/>
    <m/>
    <m/>
    <m/>
    <m/>
    <m/>
    <m/>
    <m/>
    <m/>
    <m/>
    <m/>
    <m/>
    <m/>
    <m/>
    <m/>
    <m/>
    <m/>
    <m/>
    <s v="This commodity is not mentioned in the EITI Report, but its production is reported on in the USGS Mineral Yearbook 2011."/>
    <m/>
    <m/>
    <m/>
    <m/>
    <m/>
    <m/>
    <m/>
    <m/>
    <m/>
    <m/>
    <m/>
    <m/>
    <m/>
    <m/>
    <m/>
    <m/>
    <m/>
    <m/>
    <m/>
    <m/>
  </r>
  <r>
    <x v="96"/>
    <n v="2009"/>
    <x v="17"/>
    <s v="Europe and Central Asia"/>
    <m/>
    <s v="Mining"/>
    <s v="yes"/>
    <s v="no"/>
    <s v="no"/>
    <s v="Zinc"/>
    <s v="detailed"/>
    <s v="detailed Mining"/>
    <m/>
    <m/>
    <m/>
    <m/>
    <m/>
    <m/>
    <n v="1655.11441666667"/>
    <s v="US$/t"/>
    <s v="Price from World Bank (Global Economic Monitor (GEM) Commodities database), and is defined as: Zinc (LME), high grade, minimum 99.95% purity, settlement price beginning April 1990; previously special high grade, minimum 99.995%, cash prices."/>
    <n v="542667329.13575113"/>
    <m/>
    <m/>
    <m/>
    <m/>
    <m/>
    <m/>
    <m/>
    <m/>
    <m/>
    <m/>
    <m/>
    <m/>
    <m/>
    <m/>
    <m/>
    <m/>
    <m/>
    <m/>
    <m/>
    <m/>
    <m/>
    <m/>
    <m/>
    <m/>
    <s v="This commodity is not mentioned in the EITI Report, but its production is reported on in the USGS Mineral Yearbook 2011. "/>
    <m/>
    <m/>
    <m/>
    <m/>
    <m/>
    <m/>
    <m/>
    <m/>
    <m/>
    <m/>
    <m/>
    <m/>
    <m/>
    <m/>
    <m/>
    <m/>
    <m/>
    <m/>
    <m/>
    <m/>
  </r>
  <r>
    <x v="96"/>
    <n v="2009"/>
    <x v="17"/>
    <s v="Europe and Central Asia"/>
    <m/>
    <s v="Mining"/>
    <s v="yes"/>
    <s v="no"/>
    <s v="no"/>
    <s v="o/w Zinc content of concentrate"/>
    <s v="detailed"/>
    <s v="detailed Mining"/>
    <n v="410000"/>
    <m/>
    <m/>
    <m/>
    <m/>
    <s v="t"/>
    <m/>
    <m/>
    <s v="Volume from USGS Mineral Yearbook 2011"/>
    <m/>
    <m/>
    <m/>
    <m/>
    <m/>
    <m/>
    <m/>
    <m/>
    <m/>
    <m/>
    <m/>
    <m/>
    <m/>
    <m/>
    <m/>
    <m/>
    <m/>
    <m/>
    <m/>
    <m/>
    <m/>
    <m/>
    <m/>
    <m/>
    <m/>
    <m/>
    <m/>
    <m/>
    <m/>
    <m/>
    <m/>
    <m/>
    <m/>
    <m/>
    <m/>
    <m/>
    <m/>
    <m/>
    <m/>
    <m/>
    <m/>
    <m/>
    <m/>
    <m/>
    <m/>
    <m/>
  </r>
  <r>
    <x v="96"/>
    <n v="2009"/>
    <x v="17"/>
    <s v="Europe and Central Asia"/>
    <m/>
    <s v="Mining"/>
    <s v="yes"/>
    <s v="no"/>
    <s v="no"/>
    <s v="o/w Smelter (primary, secondary)"/>
    <s v="detailed"/>
    <s v="detailed Mining"/>
    <n v="327873"/>
    <m/>
    <m/>
    <m/>
    <m/>
    <s v="t"/>
    <m/>
    <m/>
    <s v="Volume from USGS Mineral Yearbook 2011"/>
    <m/>
    <m/>
    <m/>
    <m/>
    <m/>
    <m/>
    <m/>
    <m/>
    <m/>
    <m/>
    <m/>
    <m/>
    <m/>
    <m/>
    <m/>
    <m/>
    <m/>
    <m/>
    <m/>
    <m/>
    <m/>
    <m/>
    <m/>
    <m/>
    <m/>
    <m/>
    <m/>
    <m/>
    <m/>
    <m/>
    <m/>
    <m/>
    <m/>
    <m/>
    <m/>
    <m/>
    <m/>
    <m/>
    <m/>
    <m/>
    <m/>
    <m/>
    <m/>
    <m/>
    <m/>
    <m/>
  </r>
  <r>
    <x v="97"/>
    <n v="2010"/>
    <x v="17"/>
    <s v="Europe and Central Asia"/>
    <s v="http://geology.gov.kz/en/eiti"/>
    <s v="Oil, Gas, Mining"/>
    <s v="yes"/>
    <s v="yes"/>
    <s v="yes"/>
    <s v="Total"/>
    <s v="Total"/>
    <s v="Total Oil, Gas, Mining"/>
    <m/>
    <m/>
    <m/>
    <m/>
    <m/>
    <m/>
    <m/>
    <m/>
    <m/>
    <n v="68560811535.392632"/>
    <s v="Host government's production entitlement, Profits/Taxes, Royalties, Dividends, Bonuses, Other significant benefits to government"/>
    <s v="Does not include payments made in-kind"/>
    <s v="-"/>
    <n v="20754211560"/>
    <n v="20787323350"/>
    <m/>
    <m/>
    <m/>
    <n v="0.30271245475684327"/>
    <s v="United States Dollar and Kazakhastan tenge"/>
    <n v="145.5"/>
    <s v="Disaggregated by revenue stream, Disaggregated by company"/>
    <m/>
    <m/>
    <m/>
    <m/>
    <n v="173"/>
    <s v="Tengizchevroil LLP, CNPC-AktobeMunaiGas JSC, MangistauMunaiGas JSC, KPO (Karachganak Petroleum Operating BV) Lukoil Overseas Branch, KPO (Karachganak Petroleum Operating BV) КФ AgipKarachaganak, KPO (Karachganak Petroleum Operating BV) Branch B.G.Karachfanak limited, KPO (Karachganak Petroleum Operating BV), Kazgermunai LLP, PF Uzenmunaigas PF Embamunaigas JSC EP KazMunayGas, PetroKazakhstan Kumkol Resourses ОJSC JSC, Turgai-petroleum JSC, Karazhambasmunai JSC, Nelson Petroleum Buzachi BV CK/CNPC International (Buzachi) Inc FC/  Buzachi Operating Ltd FC, North Caspian Operating Company, KazakhOil Aktobe LLP, Kuatamlonmunai JV LLP, Alties Petroleum International Б.В., CNPC Ai-Dan Munai JSC, ArnaOil LLP, Sauts Oil LLP, ROC Oil company JSC, JV Zhaikmunai LLP, Kom-munai LLP, Maersk Oil Kazakhstan, JV Matin LLP, ANACO JSC, Tasbulat Oil Corporation LLP, JV Arman LLP, Sazankurak LLP, JV Kazakhturkmunai LLP, Potential Oil LLP, Kolzhan LLP, КоЖаН LLP, Caspi Meruert Operating Company BV, Zhalgiztobemunai ДLLP, Hazarmunai LLP, CaspiOil TME JSC, Company PhysTech LLP, CaspiOil JSC, KazTransGas JSC, AstanaOil Company LLP, Svetland Oil LLP, KMK Munai JSC, Tandai Petroleum LLP, Buzachi Oil LLP, Gural LLP, Tabinay LLP, Embavedoil LLP, ВМВ Munai LLP, Caspi OilGas LLP, JV Tenge LLP, AtyrauMunai LLP, SagizPetroleum Company LLP, Pricaspian Petroleum Company LLP, Tobearal Oil LLP, TetisAralGas LLP, EmbaMunai LLP, Ravninnoe Oil LLP, KazGPZ LLP JSC EP KazMunayGas, UrihtauOperating LLP, Е.М.Е. LLP, Jupiter Energy Лтд, Kor-Tazh LLP, N operating company LLP (JSC &quot;NC KazMunayGas&quot;), Abi Petroleum Company LLP, NBK LLP, Kolzhan Oil LLP, SEP Assets Group LLP (LLP &quot;Korned&quot;), MGK LLP, Altyn KDT LLP, NurMunai Petrogaz LLP, Ecogeoneftegas LLP, TNG Company LLP, Kazneftehim-Kopa LLP, Samek Development Enterprise LLP, SHALKIYA CINK LTD LLP, Ushger GHK JSC Ontustik JVК NK_x000a_JSC, ArsellorMittalTemirtau UD JSC, GRK Zhety Kazyna LLP, Firm Rapid LLP, Firm Madina LLP, TPK Bas LLP, Tioline LLP, JV Saga Krik Gold Company LLP, Semyzbai - U MTD/Mining Company LLP/KazAtomProm NAK JSC, Orken LLP, Metal Trading LLP, Razrez Priozerniy KRK LLP, Zhanalyk GOLD LLP, Anues – Altyn GRK LLP, Sat Komir GRK LLP, Gold land LLP, Yubileinoye LLP, Shahta Zapadnaya LLP, Forpost DP/Global Business LLP, FML Kazakhstan LLP, Ulba - Ftorkomplex LLP, Temirtauskyi electrometalurgicheskiy kombinat JSC, Transkomir LLP, Taskara LLP, Semgeo LLP, SGHK LLP, Satbor LLP, Saryarka-ENERGY LLP, Sarah Treasury LLP, On-Olzha LLP, Jade-2030 LLP, Maikuben West LLP, Kazakhmys LLP, Copper Technology LLP, Kazcink LLP, Zherek LLP, GRK Vizol LLP, Gamma LLP, Voskhod-Oriel LLP, Bogatyr komir LLP, Batir LLP, Bakyrchikskoye GDP LLP, AS Gorniyak LLP, Arman-100 LLP, Angrensor LLP, Aktobe - Temir-ВС LLP,  Satpayevsk Titanium Mines LTD LLP, Nova-Zinc LLP, Inter Gold Capital LLP, Dala Mining LLP, Bapy Mining LLP, Karazhyra Ltd LLP, Yesнк LLP, Teriskey LLP, Stroyservice LLP, ОYESК LLP/АБС-Balkhash JSC, JVК Batys НК, Marum Zhar Gold LLP, Kyzylkum LLP, KazAtomProm НАК JSC, Kulan TB LLP, KATKO JV LLP, Karatau LLP, KazAtomProm НАК JSC, Inkai JV LLP, Zarechnoye ЗJSC KRK JV/KazAtomProm НАК JSC, ER - TAI LLP/NOVA CINK LLP, GDP Sekisovskaya LLP, Mining Company, LLP, KazAtomProm NAK JSC, Vostochnoye RU LLP/KATEP JSSOT, Betpak Yesla JV LLP/KazAtomProm_x000a_NAK JSC, BAIKEN-U LLP/KazAtomProm NAK JSC, АPPAK LLP/KazAtomProm NAK JSC, Shaimerden JSC, FIK ALEL JSC, SSGPO JSC, NK JV Tobol JSC, Kostanay minerals JSC, Varvarinskoye JSC, Aluminiy JSC Branch TBRU, AK AltynAlmas JSC (Akbokaisky GOK), Shubarkol komir JSC, TNK Kazkhrom JSC, Maikaingold JSC, Corporation Duniye JSC, Zhairemskiy GOK JSC, Evroaziatskaya energeticheskaya_x000a_corporation JSC, GOK Tort - Kuduk JSC, Akbastau JV JSC/KazAtomProm NAK JSC, AVENUE LLP, ZDP Kvarc, Cvetmet Engineering LLP, GRK Tokhtar LLP, GRK Kazakhstanskiy nikel LLP, Severnyi katpar LLP, Metalterminalservice LLP, Karaoba-2005 LLP, Diana - Aliya LLP, Bast LLP, Balausa firma LLP, Syrymbet JSC, Altyn Ken LLP/Аktas NP JSC"/>
    <n v="164"/>
    <s v="December 2012"/>
    <d v="2014-10-10T00:00:00"/>
    <s v="UHY Sapa-Consulting"/>
    <s v="http://eiti.org/files/Kazakhstan-2010-EITI-Report.pdf"/>
    <s v="21"/>
    <s v="Materiality threshold: oil &amp; gas companies that have made an annual payment of at least 30,000,000KZT should be reconciled; mining companies that have made an annual payments of at least 15,000,000KZT should be reconciled. It does not appear that unilateral declarations are included. Tengizchevroil LLP accounted for 34% of government revenues. The appendix is not available in its entirety, and therefore though the report also covers social payments made by companies, these figures are not provided."/>
    <m/>
    <m/>
    <m/>
    <m/>
    <m/>
    <m/>
    <m/>
    <m/>
    <m/>
    <m/>
    <m/>
    <m/>
    <m/>
    <m/>
    <m/>
    <m/>
    <m/>
    <m/>
    <m/>
    <m/>
  </r>
  <r>
    <x v="97"/>
    <n v="2010"/>
    <x v="17"/>
    <s v="Europe and Central Asia"/>
    <m/>
    <s v="Oil, Gas"/>
    <s v="no"/>
    <s v="yes"/>
    <s v="yes"/>
    <s v="Total Oil &amp; Gas"/>
    <s v="Total"/>
    <s v="Total Oil, Gas"/>
    <m/>
    <m/>
    <m/>
    <m/>
    <m/>
    <m/>
    <m/>
    <m/>
    <m/>
    <n v="53265113965.715019"/>
    <m/>
    <m/>
    <m/>
    <n v="17840438480"/>
    <n v="17844153130"/>
    <m/>
    <m/>
    <m/>
    <n v="0.33493664336254486"/>
    <m/>
    <m/>
    <m/>
    <m/>
    <m/>
    <m/>
    <m/>
    <n v="72"/>
    <s v="Tengizchevroil LLP, CNPC-AktobeMunaiGas JSC, MangistauMunaiGas JSC, KPO (Karachganak Petroleum Operating BV) Lukoil Overseas Branch, KPO (Karachganak Petroleum Operating BV) КФ AgipKarachaganak, KPO (Karachganak Petroleum Operating BV) Branch B.G.Karachfanak limited, KPO (Karachganak Petroleum Operating BV), Kazgermunai LLP, PF Uzenmunaigas PF Embamunaigas JSC EP KazMunayGas, PetroKazakhstan Kumkol Resourses ОJSC JSC, Turgai-petroleum JSC, Karazhambasmunai JSC, Nelson Petroleum Buzachi BV CK/CNPC International (Buzachi) Inc FC/  Buzachi Operating Ltd FC, North Caspian Operating Company, KazakhOil Aktobe LLP, Kuatamlonmunai JV LLP, Alties Petroleum International Б.В., CNPC Ai-Dan Munai JSC, ArnaOil LLP, Sauts Oil LLP, ROC Oil company JSC, JV Zhaikmunai LLP, Kom-munai LLP, Maersk Oil Kazakhstan, JV Matin LLP, ANACO JSC, Tasbulat Oil Corporation LLP, JV Arman LLP, Sazankurak LLP, JV Kazakhturkmunai LLP, Potential Oil LLP, Kolzhan LLP, КоЖаН LLP, Caspi Meruert Operating Company BV, Zhalgiztobemunai ДLLP, Hazarmunai LLP, CaspiOil TME JSC, Company PhysTech LLP, CaspiOil JSC, KazTransGas JSC, AstanaOil Company LLP, Svetland Oil LLP, KMK Munai JSC, Tandai Petroleum LLP, Buzachi Oil LLP, Gural LLP, Tabinay LLP, Embavedoil LLP, ВМВ Munai LLP, Caspi OilGas LLP, JV Tenge LLP, AtyrauMunai LLP, SagizPetroleum Company LLP, Pricaspian Petroleum Company LLP, Tobearal Oil LLP, TetisAralGas LLP, EmbaMunai LLP, Ravninnoe Oil LLP, KazGPZ LLP JSC EP KazMunayGas, UrihtauOperating LLP, Е.М.Е. LLP, Jupiter Energy Лтд, Kor-Tazh LLP, N operating company LLP (JSC &quot;NC KazMunayGas&quot;), Abi Petroleum Company LLP, NBK LLP, Kolzhan Oil LLP, SEP Assets Group LLP (LLP &quot;Korned&quot;), MGK LLP, Altyn KDT LLP, NurMunai Petrogaz LLP, Ecogeoneftegas LLP, TNG Company LLP, Kazneftehim-Kopa LLP, Samek Development Enterprise LLP"/>
    <n v="71"/>
    <m/>
    <m/>
    <m/>
    <m/>
    <s v="25"/>
    <m/>
    <m/>
    <m/>
    <m/>
    <m/>
    <m/>
    <m/>
    <m/>
    <m/>
    <m/>
    <m/>
    <m/>
    <m/>
    <m/>
    <m/>
    <m/>
    <m/>
    <m/>
    <m/>
    <m/>
    <m/>
  </r>
  <r>
    <x v="97"/>
    <n v="2010"/>
    <x v="17"/>
    <s v="Europe and Central Asia"/>
    <m/>
    <s v="Gas"/>
    <s v="no"/>
    <s v="yes"/>
    <s v="no"/>
    <s v="Gas"/>
    <s v="detailed"/>
    <s v="detailed Gas"/>
    <n v="15900000000"/>
    <n v="104940000"/>
    <m/>
    <m/>
    <m/>
    <s v="m³"/>
    <n v="0.1741077336927683"/>
    <s v="US$/m³"/>
    <s v="Volume and price from BPSR 2014. Price is an average of the UK, US and Canada Indices for natural gas."/>
    <n v="2768312965.7150159"/>
    <m/>
    <m/>
    <m/>
    <m/>
    <m/>
    <m/>
    <m/>
    <m/>
    <m/>
    <m/>
    <m/>
    <m/>
    <m/>
    <m/>
    <m/>
    <m/>
    <m/>
    <m/>
    <m/>
    <m/>
    <m/>
    <m/>
    <m/>
    <m/>
    <m/>
    <m/>
    <m/>
    <m/>
    <m/>
    <m/>
    <m/>
    <m/>
    <m/>
    <m/>
    <m/>
    <m/>
    <m/>
    <m/>
    <m/>
    <m/>
    <m/>
    <m/>
    <m/>
    <m/>
    <m/>
  </r>
  <r>
    <x v="97"/>
    <n v="2010"/>
    <x v="17"/>
    <s v="Europe and Central Asia"/>
    <m/>
    <s v="Oil"/>
    <s v="no"/>
    <s v="no"/>
    <s v="yes"/>
    <s v="Oil"/>
    <s v="detailed"/>
    <s v="detailed Oil"/>
    <n v="635100000"/>
    <n v="0.16523382144544166"/>
    <m/>
    <m/>
    <m/>
    <s v="bbl"/>
    <n v="79.510000000000005"/>
    <s v="US$/bbl"/>
    <s v="Volume and price from BPSR 2014. Price is an average of the spot prices for Brent, Dubai, Nigerian Forcados and West Texas Intermediate crude oil."/>
    <n v="50496801000"/>
    <m/>
    <m/>
    <m/>
    <m/>
    <m/>
    <m/>
    <m/>
    <m/>
    <m/>
    <m/>
    <m/>
    <m/>
    <m/>
    <m/>
    <m/>
    <m/>
    <m/>
    <m/>
    <m/>
    <m/>
    <m/>
    <m/>
    <m/>
    <m/>
    <m/>
    <m/>
    <m/>
    <m/>
    <m/>
    <m/>
    <m/>
    <m/>
    <m/>
    <m/>
    <m/>
    <m/>
    <m/>
    <m/>
    <m/>
    <m/>
    <m/>
    <m/>
    <m/>
    <m/>
    <m/>
  </r>
  <r>
    <x v="97"/>
    <n v="2010"/>
    <x v="17"/>
    <s v="Europe and Central Asia"/>
    <m/>
    <s v="Mining"/>
    <s v="yes"/>
    <s v="no"/>
    <s v="no"/>
    <s v="Total Mining"/>
    <s v="Total"/>
    <s v="Total Mining"/>
    <m/>
    <m/>
    <m/>
    <m/>
    <m/>
    <m/>
    <m/>
    <m/>
    <m/>
    <n v="15295697569.67761"/>
    <m/>
    <m/>
    <m/>
    <n v="2913773079"/>
    <n v="2943170222"/>
    <m/>
    <m/>
    <m/>
    <n v="0.19049625332396095"/>
    <m/>
    <m/>
    <m/>
    <m/>
    <m/>
    <m/>
    <m/>
    <n v="101"/>
    <s v="SHALKIYA CINK LTD LLP, Ushger GHK JSC Ontustik JVК NK_x000a_JSC, ArsellorMittalTemirtau UD JSC, GRK Zhety Kazyna LLP, Firm Rapid LLP, Firm Madina LLP, TPK Bas LLP, Tioline LLP, JV Saga Krik Gold Company LLP, Semyzbai - U MTD/Mining Company LLP/KazAtomProm NAK JSC, Orken LLP, Metal Trading LLP, Razrez Priozerniy KRK LLP, Zhanalyk GOLD LLP, Anues – Altyn GRK LLP, Sat Komir GRK LLP, Gold land LLP, Yubileinoye LLP, Shahta Zapadnaya LLP, Forpost DP/Global Business LLP, FML Kazakhstan LLP, Ulba - Ftorkomplex LLP, Temirtauskyi electrometalurgicheskiy kombinat JSC, Transkomir LLP, Taskara LLP, Semgeo LLP, SGHK LLP, Satbor LLP, Saryarka-ENERGY LLP, Sarah Treasury LLP, On-Olzha LLP, Jade-2030 LLP, Maikuben West LLP, Kazakhmys LLP, Copper Technology LLP, Kazcink LLP, Zherek LLP, GRK Vizol LLP, Gamma LLP, Voskhod-Oriel LLP, Bogatyr komir LLP, Batir LLP, Bakyrchikskoye GDP LLP, AS Gorniyak LLP, Arman-100 LLP, Angrensor LLP, Aktobe - Temir-ВС LLP,  Satpayevsk Titanium Mines LTD LLP, Nova-Zinc LLP, Inter Gold Capital LLP, Dala Mining LLP, Bapy Mining LLP, Karazhyra Ltd LLP, Yesнк LLP, Teriskey LLP, Stroyservice LLP, ОYESК LLP/АБС-Balkhash JSC, JVК Batys НК, Marum Zhar Gold LLP, Kyzylkum LLP, KazAtomProm НАК JSC, Kulan TB LLP, KATKO JV LLP, Karatau LLP, KazAtomProm НАК JSC, Inkai JV LLP, Zarechnoye ЗJSC KRK JV/KazAtomProm НАК JSC, ER - TAI LLP/NOVA CINK LLP, GDP Sekisovskaya LLP, Mining Company, LLP, KazAtomProm NAK JSC, Vostochnoye RU LLP/KATEP JSSOT, Betpak Yesla JV LLP/KazAtomProm_x000a_NAK JSC, BAIKEN-U LLP/KazAtomProm NAK JSC, АPPAK LLP/KazAtomProm NAK JSC, Shaimerden JSC, FIK ALEL JSC, SSGPO JSC, NK JV Tobol JSC, Kostanay minerals JSC, Varvarinskoye JSC, Aluminiy JSC Branch TBRU, AK AltynAlmas JSC (Akbokaisky GOK), Shubarkol komir JSC, TNK Kazkhrom JSC, Maikaingold JSC, Corporation Duniye JSC, Zhairemskiy GOK JSC, Evroaziatskaya energeticheskaya_x000a_corporation JSC, GOK Tort - Kuduk JSC, Akbastau JV JSC/KazAtomProm NAK JSC, AVENUE LLP, ZDP Kvarc, Cvetmet Engineering LLP, GRK Tokhtar LLP, GRK Kazakhstanskiy nikel LLP, Severnyi katpar LLP, Metalterminalservice LLP, Karaoba-2005 LLP, Diana - Aliya LLP, Bast LLP, Balausa firma LLP, Syrymbet JSC, Altyn Ken LLP/Аktas NP JSC"/>
    <n v="92"/>
    <m/>
    <m/>
    <m/>
    <m/>
    <n v="29"/>
    <m/>
    <m/>
    <m/>
    <m/>
    <m/>
    <m/>
    <m/>
    <m/>
    <m/>
    <m/>
    <m/>
    <m/>
    <m/>
    <m/>
    <m/>
    <m/>
    <m/>
    <m/>
    <m/>
    <m/>
    <m/>
  </r>
  <r>
    <x v="97"/>
    <n v="2010"/>
    <x v="17"/>
    <s v="Europe and Central Asia"/>
    <m/>
    <s v="Mining"/>
    <s v="yes"/>
    <s v="no"/>
    <s v="no"/>
    <s v="Asbestos"/>
    <s v="detailed"/>
    <s v="detailed Mining"/>
    <n v="214100"/>
    <m/>
    <m/>
    <m/>
    <m/>
    <s v="t"/>
    <n v="786"/>
    <s v="US$/t"/>
    <s v="Volume from USGS Mineral Yearbook 2011. Price from USGS Mineral Commodity Summary 2014, and is the price in the US."/>
    <n v="168282600"/>
    <m/>
    <m/>
    <m/>
    <m/>
    <m/>
    <m/>
    <m/>
    <m/>
    <m/>
    <m/>
    <m/>
    <m/>
    <m/>
    <m/>
    <m/>
    <m/>
    <m/>
    <m/>
    <m/>
    <m/>
    <m/>
    <m/>
    <m/>
    <m/>
    <m/>
    <m/>
    <m/>
    <m/>
    <m/>
    <m/>
    <m/>
    <m/>
    <m/>
    <m/>
    <m/>
    <m/>
    <m/>
    <m/>
    <m/>
    <m/>
    <m/>
    <m/>
    <m/>
    <m/>
    <m/>
  </r>
  <r>
    <x v="97"/>
    <n v="2010"/>
    <x v="17"/>
    <s v="Europe and Central Asia"/>
    <m/>
    <s v="Mining"/>
    <s v="yes"/>
    <s v="no"/>
    <s v="no"/>
    <s v="Barite"/>
    <s v="detailed"/>
    <s v="detailed Mining"/>
    <m/>
    <m/>
    <m/>
    <m/>
    <m/>
    <m/>
    <n v="77"/>
    <s v="US$/t"/>
    <s v="Price from USGS Mineral Commodity Summary 2014, and is the estimated f.o.b. mine price in the US."/>
    <n v="15400000"/>
    <m/>
    <m/>
    <m/>
    <m/>
    <m/>
    <m/>
    <m/>
    <m/>
    <m/>
    <m/>
    <m/>
    <m/>
    <m/>
    <m/>
    <m/>
    <m/>
    <m/>
    <m/>
    <m/>
    <m/>
    <m/>
    <m/>
    <m/>
    <m/>
    <m/>
    <m/>
    <m/>
    <m/>
    <m/>
    <m/>
    <m/>
    <m/>
    <m/>
    <m/>
    <m/>
    <m/>
    <m/>
    <m/>
    <m/>
    <m/>
    <m/>
    <m/>
    <m/>
    <m/>
    <m/>
  </r>
  <r>
    <x v="97"/>
    <n v="2010"/>
    <x v="17"/>
    <s v="Europe and Central Asia"/>
    <m/>
    <s v="Mining"/>
    <s v="yes"/>
    <s v="no"/>
    <s v="no"/>
    <s v="o/w Ore and concentrate"/>
    <s v="detailed"/>
    <s v="detailed Mining"/>
    <n v="358000"/>
    <m/>
    <m/>
    <m/>
    <m/>
    <s v="t"/>
    <m/>
    <m/>
    <s v="Volume from USGS Mineral Yearbook 2011"/>
    <m/>
    <m/>
    <m/>
    <m/>
    <m/>
    <m/>
    <m/>
    <m/>
    <m/>
    <m/>
    <m/>
    <m/>
    <m/>
    <m/>
    <m/>
    <m/>
    <m/>
    <m/>
    <m/>
    <m/>
    <m/>
    <m/>
    <m/>
    <m/>
    <m/>
    <m/>
    <m/>
    <m/>
    <m/>
    <m/>
    <m/>
    <m/>
    <m/>
    <m/>
    <m/>
    <m/>
    <m/>
    <m/>
    <m/>
    <m/>
    <m/>
    <m/>
    <m/>
    <m/>
    <m/>
    <m/>
  </r>
  <r>
    <x v="97"/>
    <n v="2010"/>
    <x v="17"/>
    <s v="Europe and Central Asia"/>
    <m/>
    <s v="Mining"/>
    <s v="yes"/>
    <s v="no"/>
    <s v="no"/>
    <s v="o/w Marketable"/>
    <s v="detailed"/>
    <s v="detailed Mining"/>
    <n v="200000"/>
    <m/>
    <m/>
    <m/>
    <m/>
    <s v="t"/>
    <m/>
    <m/>
    <s v="Volume from USGS Mineral Yearbook 2011"/>
    <m/>
    <m/>
    <m/>
    <m/>
    <m/>
    <m/>
    <m/>
    <m/>
    <m/>
    <m/>
    <m/>
    <m/>
    <m/>
    <m/>
    <m/>
    <m/>
    <m/>
    <m/>
    <m/>
    <m/>
    <m/>
    <m/>
    <m/>
    <m/>
    <m/>
    <m/>
    <m/>
    <m/>
    <m/>
    <m/>
    <m/>
    <m/>
    <m/>
    <m/>
    <m/>
    <m/>
    <m/>
    <m/>
    <m/>
    <m/>
    <m/>
    <m/>
    <m/>
    <m/>
    <m/>
    <m/>
  </r>
  <r>
    <x v="97"/>
    <n v="2010"/>
    <x v="17"/>
    <s v="Europe and Central Asia"/>
    <m/>
    <s v="Mining"/>
    <s v="yes"/>
    <s v="no"/>
    <s v="no"/>
    <s v="Bauxite"/>
    <s v="detailed"/>
    <s v="detailed Mining"/>
    <n v="5310400"/>
    <m/>
    <m/>
    <m/>
    <m/>
    <s v="t"/>
    <n v="29.41"/>
    <s v="US$/t"/>
    <s v="Volume from USGS Mineral Yearbook 2011. Price from USGS Mineral Yearbook 2010, and is the average f.a.s. price of US imports of crude and dried bauxite."/>
    <n v="156178864"/>
    <m/>
    <m/>
    <m/>
    <m/>
    <m/>
    <m/>
    <m/>
    <m/>
    <m/>
    <m/>
    <m/>
    <m/>
    <m/>
    <m/>
    <m/>
    <m/>
    <m/>
    <m/>
    <m/>
    <m/>
    <m/>
    <m/>
    <m/>
    <m/>
    <m/>
    <m/>
    <m/>
    <m/>
    <m/>
    <m/>
    <m/>
    <m/>
    <m/>
    <m/>
    <m/>
    <m/>
    <m/>
    <m/>
    <m/>
    <m/>
    <m/>
    <m/>
    <m/>
    <m/>
    <m/>
  </r>
  <r>
    <x v="97"/>
    <n v="2010"/>
    <x v="17"/>
    <s v="Europe and Central Asia"/>
    <m/>
    <s v="Mining"/>
    <s v="yes"/>
    <s v="no"/>
    <s v="no"/>
    <s v="Boron"/>
    <s v="detailed"/>
    <s v="detailed Mining"/>
    <n v="30000"/>
    <m/>
    <m/>
    <m/>
    <m/>
    <s v="t"/>
    <n v="361"/>
    <s v="US$/t"/>
    <s v="Volume from USGS Mineral Yearbook 2011. Price from USGS Mineral Commodity Summary 2013, and is the average f.a.s. price of US imports."/>
    <n v="10830000"/>
    <m/>
    <m/>
    <m/>
    <m/>
    <m/>
    <m/>
    <m/>
    <m/>
    <m/>
    <m/>
    <m/>
    <m/>
    <m/>
    <m/>
    <m/>
    <m/>
    <m/>
    <m/>
    <m/>
    <m/>
    <m/>
    <m/>
    <m/>
    <m/>
    <m/>
    <m/>
    <m/>
    <m/>
    <m/>
    <m/>
    <m/>
    <m/>
    <m/>
    <m/>
    <m/>
    <m/>
    <m/>
    <m/>
    <m/>
    <m/>
    <m/>
    <m/>
    <m/>
    <m/>
    <m/>
  </r>
  <r>
    <x v="97"/>
    <n v="2010"/>
    <x v="17"/>
    <s v="Europe and Central Asia"/>
    <m/>
    <s v="Mining"/>
    <s v="yes"/>
    <s v="no"/>
    <s v="no"/>
    <s v="Chromite (marketable ore)"/>
    <s v="detailed"/>
    <s v="detailed Mining"/>
    <n v="3760000"/>
    <m/>
    <m/>
    <m/>
    <m/>
    <s v="t"/>
    <n v="212"/>
    <s v="US$/t"/>
    <s v="Volume from USGS Mineral Yearbook 2011. Price from USGS Mineral Commodity Summary 2013, and is the price in the US for the gross mass of chromite ore."/>
    <n v="797120000"/>
    <m/>
    <m/>
    <m/>
    <m/>
    <m/>
    <m/>
    <m/>
    <m/>
    <m/>
    <m/>
    <m/>
    <m/>
    <m/>
    <m/>
    <m/>
    <m/>
    <m/>
    <m/>
    <m/>
    <m/>
    <m/>
    <m/>
    <m/>
    <m/>
    <m/>
    <m/>
    <m/>
    <m/>
    <m/>
    <m/>
    <m/>
    <m/>
    <m/>
    <m/>
    <m/>
    <m/>
    <m/>
    <m/>
    <m/>
    <m/>
    <m/>
    <m/>
    <m/>
    <m/>
    <m/>
  </r>
  <r>
    <x v="97"/>
    <n v="2010"/>
    <x v="17"/>
    <s v="Europe and Central Asia"/>
    <m/>
    <s v="Mining"/>
    <s v="yes"/>
    <s v="no"/>
    <s v="no"/>
    <s v="Copper"/>
    <s v="detailed"/>
    <s v="detailed Mining"/>
    <m/>
    <m/>
    <m/>
    <m/>
    <m/>
    <m/>
    <n v="7534.7795833333303"/>
    <s v="US$/t"/>
    <s v="Price from World Bank (Global Economic Monitor (GEM) Commodities database), and is defined as: Copper (LME), grade A, minimum 99.9935% purity, cathodes and wire bar shapes, settlement price"/>
    <n v="4837366166.3979149"/>
    <m/>
    <m/>
    <m/>
    <m/>
    <m/>
    <m/>
    <m/>
    <m/>
    <m/>
    <m/>
    <m/>
    <m/>
    <m/>
    <m/>
    <m/>
    <m/>
    <m/>
    <m/>
    <m/>
    <m/>
    <m/>
    <m/>
    <m/>
    <m/>
    <m/>
    <m/>
    <m/>
    <m/>
    <m/>
    <m/>
    <m/>
    <m/>
    <m/>
    <m/>
    <m/>
    <m/>
    <m/>
    <m/>
    <m/>
    <m/>
    <m/>
    <m/>
    <m/>
    <m/>
    <m/>
  </r>
  <r>
    <x v="97"/>
    <n v="2010"/>
    <x v="17"/>
    <s v="Europe and Central Asia"/>
    <m/>
    <s v="Mining"/>
    <s v="yes"/>
    <s v="no"/>
    <s v="no"/>
    <s v="o/w Copper content of mine output"/>
    <s v="detailed"/>
    <s v="detailed Mining"/>
    <n v="427000"/>
    <m/>
    <m/>
    <m/>
    <m/>
    <s v="t"/>
    <m/>
    <m/>
    <s v="Volume from USGS Mineral Yearbook 2011"/>
    <m/>
    <m/>
    <m/>
    <m/>
    <m/>
    <m/>
    <m/>
    <m/>
    <m/>
    <m/>
    <m/>
    <m/>
    <m/>
    <m/>
    <m/>
    <m/>
    <m/>
    <m/>
    <m/>
    <m/>
    <m/>
    <m/>
    <m/>
    <m/>
    <m/>
    <m/>
    <m/>
    <m/>
    <m/>
    <m/>
    <m/>
    <m/>
    <m/>
    <m/>
    <m/>
    <m/>
    <m/>
    <m/>
    <m/>
    <m/>
    <m/>
    <m/>
    <m/>
    <m/>
    <m/>
    <m/>
  </r>
  <r>
    <x v="97"/>
    <n v="2010"/>
    <x v="17"/>
    <s v="Europe and Central Asia"/>
    <m/>
    <s v="Mining"/>
    <s v="yes"/>
    <s v="no"/>
    <s v="no"/>
    <s v="o/w Metal (smelter)"/>
    <s v="detailed"/>
    <s v="detailed Mining"/>
    <n v="318637"/>
    <m/>
    <m/>
    <m/>
    <m/>
    <s v="t"/>
    <m/>
    <m/>
    <s v="Volume from USGS Mineral Yearbook 2011"/>
    <m/>
    <m/>
    <m/>
    <m/>
    <m/>
    <m/>
    <m/>
    <m/>
    <m/>
    <m/>
    <m/>
    <m/>
    <m/>
    <m/>
    <m/>
    <m/>
    <m/>
    <m/>
    <m/>
    <m/>
    <m/>
    <m/>
    <m/>
    <m/>
    <m/>
    <m/>
    <m/>
    <m/>
    <m/>
    <m/>
    <m/>
    <m/>
    <m/>
    <m/>
    <m/>
    <m/>
    <m/>
    <m/>
    <m/>
    <m/>
    <m/>
    <m/>
    <m/>
    <m/>
    <m/>
    <m/>
  </r>
  <r>
    <x v="97"/>
    <n v="2010"/>
    <x v="17"/>
    <s v="Europe and Central Asia"/>
    <m/>
    <s v="Mining"/>
    <s v="yes"/>
    <s v="no"/>
    <s v="no"/>
    <s v="o/w Metal (refined, primary"/>
    <s v="detailed"/>
    <s v="detailed Mining"/>
    <n v="323368"/>
    <m/>
    <m/>
    <m/>
    <m/>
    <s v="t"/>
    <m/>
    <m/>
    <s v="Volume from USGS Mineral Yearbook 2011"/>
    <m/>
    <m/>
    <m/>
    <m/>
    <m/>
    <m/>
    <m/>
    <m/>
    <m/>
    <m/>
    <m/>
    <m/>
    <m/>
    <m/>
    <m/>
    <m/>
    <m/>
    <m/>
    <m/>
    <m/>
    <m/>
    <m/>
    <m/>
    <m/>
    <m/>
    <m/>
    <m/>
    <m/>
    <m/>
    <m/>
    <m/>
    <m/>
    <m/>
    <m/>
    <m/>
    <m/>
    <m/>
    <m/>
    <m/>
    <m/>
    <m/>
    <m/>
    <m/>
    <m/>
    <m/>
    <m/>
  </r>
  <r>
    <x v="97"/>
    <n v="2010"/>
    <x v="17"/>
    <s v="Europe and Central Asia"/>
    <m/>
    <s v="Mining"/>
    <s v="yes"/>
    <s v="no"/>
    <s v="no"/>
    <s v="Ferrochromium"/>
    <s v="detailed"/>
    <s v="detailed Mining"/>
    <n v="1311302"/>
    <m/>
    <m/>
    <m/>
    <m/>
    <s v="t"/>
    <n v="2682.8074569216392"/>
    <s v="US$/t"/>
    <s v="Volume from USGS Mineral Yearbook 2011. Price from USGS Mineral Yearbook 2010, and is the average price for chromium content in ferrochromium with chromium content of 49-51% and 60-65% in the US. "/>
    <n v="3517970783.8762593"/>
    <m/>
    <m/>
    <m/>
    <m/>
    <m/>
    <m/>
    <m/>
    <m/>
    <m/>
    <m/>
    <m/>
    <m/>
    <m/>
    <m/>
    <m/>
    <m/>
    <m/>
    <m/>
    <m/>
    <m/>
    <m/>
    <m/>
    <m/>
    <m/>
    <m/>
    <m/>
    <m/>
    <m/>
    <m/>
    <m/>
    <m/>
    <m/>
    <m/>
    <m/>
    <m/>
    <m/>
    <m/>
    <m/>
    <m/>
    <m/>
    <m/>
    <m/>
    <m/>
    <m/>
    <m/>
  </r>
  <r>
    <x v="97"/>
    <n v="2010"/>
    <x v="17"/>
    <s v="Europe and Central Asia"/>
    <m/>
    <s v="Mining"/>
    <s v="yes"/>
    <s v="no"/>
    <s v="no"/>
    <s v="Ferrosilicochromium"/>
    <s v="detailed"/>
    <s v="detailed Mining"/>
    <n v="159765"/>
    <m/>
    <m/>
    <m/>
    <m/>
    <s v="t"/>
    <m/>
    <m/>
    <s v="Volume from USGS Mineral Yearbook 2011"/>
    <m/>
    <m/>
    <m/>
    <m/>
    <m/>
    <m/>
    <m/>
    <m/>
    <m/>
    <m/>
    <m/>
    <m/>
    <m/>
    <m/>
    <m/>
    <m/>
    <m/>
    <m/>
    <m/>
    <m/>
    <m/>
    <m/>
    <m/>
    <m/>
    <m/>
    <m/>
    <m/>
    <m/>
    <m/>
    <m/>
    <m/>
    <m/>
    <m/>
    <m/>
    <m/>
    <m/>
    <m/>
    <m/>
    <m/>
    <m/>
    <m/>
    <m/>
    <m/>
    <m/>
    <m/>
    <m/>
  </r>
  <r>
    <x v="97"/>
    <n v="2010"/>
    <x v="17"/>
    <s v="Europe and Central Asia"/>
    <m/>
    <s v="Mining"/>
    <s v="yes"/>
    <s v="no"/>
    <s v="no"/>
    <s v="Ferrosilicon"/>
    <s v="detailed"/>
    <s v="detailed Mining"/>
    <n v="4813"/>
    <m/>
    <m/>
    <m/>
    <m/>
    <s v="t"/>
    <n v="2272.9677772094742"/>
    <s v="US$/t"/>
    <s v="Volume from USGS Mineral Yearbook 2011. Price from USGS Mineral Commodity Summary 2014, and is the average price for ferrosilicon with 50% and 75% silicon content in the US."/>
    <n v="10939793.911709199"/>
    <m/>
    <m/>
    <m/>
    <m/>
    <m/>
    <m/>
    <m/>
    <m/>
    <m/>
    <m/>
    <m/>
    <m/>
    <m/>
    <m/>
    <m/>
    <m/>
    <m/>
    <m/>
    <m/>
    <m/>
    <m/>
    <m/>
    <m/>
    <m/>
    <m/>
    <m/>
    <m/>
    <m/>
    <m/>
    <m/>
    <m/>
    <m/>
    <m/>
    <m/>
    <m/>
    <m/>
    <m/>
    <m/>
    <m/>
    <m/>
    <m/>
    <m/>
    <m/>
    <m/>
    <m/>
  </r>
  <r>
    <x v="97"/>
    <n v="2010"/>
    <x v="17"/>
    <s v="Europe and Central Asia"/>
    <m/>
    <s v="Mining"/>
    <s v="yes"/>
    <s v="no"/>
    <s v="no"/>
    <s v="Fluourspar"/>
    <s v="detailed"/>
    <s v="detailed Mining"/>
    <n v="65000"/>
    <m/>
    <m/>
    <m/>
    <m/>
    <s v="t"/>
    <m/>
    <m/>
    <s v="Volume from USGS Mineral Yearbook 2011"/>
    <m/>
    <m/>
    <m/>
    <m/>
    <m/>
    <m/>
    <m/>
    <m/>
    <m/>
    <m/>
    <m/>
    <m/>
    <m/>
    <m/>
    <m/>
    <m/>
    <m/>
    <m/>
    <m/>
    <m/>
    <m/>
    <m/>
    <m/>
    <m/>
    <m/>
    <m/>
    <m/>
    <m/>
    <m/>
    <m/>
    <m/>
    <m/>
    <m/>
    <m/>
    <m/>
    <m/>
    <m/>
    <m/>
    <m/>
    <m/>
    <m/>
    <m/>
    <m/>
    <m/>
    <m/>
    <m/>
  </r>
  <r>
    <x v="97"/>
    <n v="2010"/>
    <x v="17"/>
    <s v="Europe and Central Asia"/>
    <m/>
    <s v="Mining"/>
    <s v="yes"/>
    <s v="no"/>
    <s v="no"/>
    <s v="Gold"/>
    <s v="detailed"/>
    <s v="detailed Mining"/>
    <n v="962625.39995071618"/>
    <m/>
    <m/>
    <m/>
    <m/>
    <s v="toz"/>
    <n v="1224.66425"/>
    <s v="US$/toz"/>
    <s v="Volume from USGS Mineral Yearbook 2011. Price from World Bank (Global Economic Monitor (GEM) Commodities database), and is defined as: Gold (UK), 99.5% fine, London afternoon fixing, average of daily rates."/>
    <n v="1178892913.4615939"/>
    <m/>
    <m/>
    <m/>
    <m/>
    <m/>
    <m/>
    <m/>
    <m/>
    <m/>
    <m/>
    <m/>
    <m/>
    <m/>
    <m/>
    <m/>
    <m/>
    <m/>
    <m/>
    <m/>
    <m/>
    <m/>
    <m/>
    <m/>
    <m/>
    <m/>
    <m/>
    <m/>
    <m/>
    <m/>
    <m/>
    <m/>
    <m/>
    <m/>
    <m/>
    <m/>
    <m/>
    <m/>
    <m/>
    <m/>
    <m/>
    <m/>
    <m/>
    <m/>
    <m/>
    <m/>
  </r>
  <r>
    <x v="97"/>
    <n v="2010"/>
    <x v="17"/>
    <s v="Europe and Central Asia"/>
    <m/>
    <s v="Mining"/>
    <s v="yes"/>
    <s v="no"/>
    <s v="no"/>
    <s v="Ilmenite &amp; leucoxene"/>
    <s v="detailed"/>
    <s v="detailed Mining"/>
    <n v="25000"/>
    <m/>
    <m/>
    <m/>
    <m/>
    <s v="t"/>
    <n v="75"/>
    <s v="US$/t"/>
    <s v="Volume from USGS Mineral Yearbook 2011. Price from USGS Mineral Commodity Summary 2013, and is the f.o.b. price in Australia for a bulk product with a minimum TiO2 content of 54%."/>
    <n v="1875000"/>
    <m/>
    <m/>
    <m/>
    <m/>
    <m/>
    <m/>
    <m/>
    <m/>
    <m/>
    <m/>
    <m/>
    <m/>
    <m/>
    <m/>
    <m/>
    <m/>
    <m/>
    <m/>
    <m/>
    <m/>
    <m/>
    <m/>
    <m/>
    <m/>
    <m/>
    <m/>
    <m/>
    <m/>
    <m/>
    <m/>
    <m/>
    <m/>
    <m/>
    <m/>
    <m/>
    <m/>
    <m/>
    <m/>
    <m/>
    <m/>
    <m/>
    <m/>
    <m/>
    <m/>
    <m/>
  </r>
  <r>
    <x v="97"/>
    <n v="2010"/>
    <x v="17"/>
    <s v="Europe and Central Asia"/>
    <m/>
    <s v="Mining"/>
    <s v="yes"/>
    <s v="no"/>
    <s v="no"/>
    <s v="Iron ore"/>
    <s v="detailed"/>
    <s v="detailed Mining"/>
    <n v="24229100"/>
    <m/>
    <m/>
    <m/>
    <m/>
    <s v="t"/>
    <n v="145.86318542569001"/>
    <s v="US$/t"/>
    <s v="Volume from USGS Mineral Yearbook 2011. Price from World Bank (Global Economic Monitor (GEM) Commodities database), and is defined as: Iron ore (any origin) fines, spot price, c.f.r. China, 62% Fe."/>
    <n v="3534133705.9975858"/>
    <m/>
    <m/>
    <m/>
    <m/>
    <m/>
    <m/>
    <m/>
    <m/>
    <m/>
    <m/>
    <m/>
    <m/>
    <m/>
    <m/>
    <m/>
    <m/>
    <m/>
    <m/>
    <m/>
    <m/>
    <m/>
    <m/>
    <m/>
    <m/>
    <m/>
    <m/>
    <m/>
    <m/>
    <m/>
    <m/>
    <m/>
    <m/>
    <m/>
    <m/>
    <m/>
    <m/>
    <m/>
    <m/>
    <m/>
    <m/>
    <m/>
    <m/>
    <m/>
    <m/>
    <m/>
  </r>
  <r>
    <x v="97"/>
    <n v="2010"/>
    <x v="17"/>
    <s v="Europe and Central Asia"/>
    <m/>
    <s v="Mining"/>
    <s v="yes"/>
    <s v="no"/>
    <s v="no"/>
    <s v="Manganese"/>
    <s v="detailed"/>
    <s v="detailed Mining"/>
    <m/>
    <m/>
    <m/>
    <m/>
    <m/>
    <m/>
    <n v="9.64"/>
    <s v="US$/t"/>
    <s v="Price from USGS Mineral Commodity Summary 2013, and is the c.i.f. price at US ports for metallurgical ore with 46-48% manganese content. "/>
    <n v="9640000"/>
    <m/>
    <m/>
    <m/>
    <m/>
    <m/>
    <m/>
    <m/>
    <m/>
    <m/>
    <m/>
    <m/>
    <m/>
    <m/>
    <m/>
    <m/>
    <m/>
    <m/>
    <m/>
    <m/>
    <m/>
    <m/>
    <m/>
    <m/>
    <m/>
    <m/>
    <m/>
    <m/>
    <m/>
    <m/>
    <m/>
    <m/>
    <m/>
    <m/>
    <m/>
    <m/>
    <m/>
    <m/>
    <m/>
    <m/>
    <m/>
    <m/>
    <m/>
    <m/>
    <m/>
    <m/>
  </r>
  <r>
    <x v="97"/>
    <n v="2010"/>
    <x v="17"/>
    <s v="Europe and Central Asia"/>
    <m/>
    <s v="Mining"/>
    <s v="yes"/>
    <s v="no"/>
    <s v="no"/>
    <s v="o/w Gross weight"/>
    <s v="detailed"/>
    <s v="detailed Mining"/>
    <n v="4135800"/>
    <m/>
    <m/>
    <m/>
    <m/>
    <s v="t"/>
    <m/>
    <m/>
    <s v="Volume from USGS Mineral Yearbook 2011"/>
    <m/>
    <m/>
    <m/>
    <m/>
    <m/>
    <m/>
    <m/>
    <m/>
    <m/>
    <m/>
    <m/>
    <m/>
    <m/>
    <m/>
    <m/>
    <m/>
    <m/>
    <m/>
    <m/>
    <m/>
    <m/>
    <m/>
    <m/>
    <m/>
    <m/>
    <m/>
    <m/>
    <m/>
    <m/>
    <m/>
    <m/>
    <m/>
    <m/>
    <m/>
    <m/>
    <m/>
    <m/>
    <m/>
    <m/>
    <m/>
    <m/>
    <m/>
    <m/>
    <m/>
    <m/>
    <m/>
  </r>
  <r>
    <x v="97"/>
    <n v="2010"/>
    <x v="17"/>
    <s v="Europe and Central Asia"/>
    <m/>
    <s v="Mining"/>
    <s v="yes"/>
    <s v="no"/>
    <s v="no"/>
    <s v="o/w Mn content"/>
    <s v="detailed"/>
    <s v="detailed Mining"/>
    <n v="1000000"/>
    <m/>
    <m/>
    <m/>
    <m/>
    <s v="t"/>
    <m/>
    <m/>
    <s v="Volume from USGS Mineral Yearbook 2011"/>
    <m/>
    <m/>
    <m/>
    <m/>
    <m/>
    <m/>
    <m/>
    <m/>
    <m/>
    <m/>
    <m/>
    <m/>
    <m/>
    <m/>
    <m/>
    <m/>
    <m/>
    <m/>
    <m/>
    <m/>
    <m/>
    <m/>
    <m/>
    <m/>
    <m/>
    <m/>
    <m/>
    <m/>
    <m/>
    <m/>
    <m/>
    <m/>
    <m/>
    <m/>
    <m/>
    <m/>
    <m/>
    <m/>
    <m/>
    <m/>
    <m/>
    <m/>
    <m/>
    <m/>
    <m/>
    <m/>
  </r>
  <r>
    <x v="97"/>
    <n v="2010"/>
    <x v="17"/>
    <s v="Europe and Central Asia"/>
    <m/>
    <s v="Mining"/>
    <s v="yes"/>
    <s v="no"/>
    <s v="no"/>
    <s v="Nickel (nickel content of laterite ore)"/>
    <s v="detailed"/>
    <s v="detailed Mining"/>
    <n v="500"/>
    <m/>
    <m/>
    <m/>
    <m/>
    <s v="t"/>
    <n v="21808.852416666701"/>
    <s v="US$/t"/>
    <s v="Volume from USGS Mineral Yearbook 2011. Price from World Bank (Global Economic Monitor (GEM) Commodities database), and is defined as: Nickel (LME), cathodes, minimum 99.8% purity, settlement price beginning 2005; previously cash price."/>
    <n v="10904426.208333351"/>
    <m/>
    <m/>
    <m/>
    <m/>
    <m/>
    <m/>
    <m/>
    <m/>
    <m/>
    <m/>
    <m/>
    <m/>
    <m/>
    <m/>
    <m/>
    <m/>
    <m/>
    <m/>
    <m/>
    <m/>
    <m/>
    <m/>
    <m/>
    <m/>
    <m/>
    <m/>
    <m/>
    <m/>
    <m/>
    <m/>
    <m/>
    <m/>
    <m/>
    <m/>
    <m/>
    <m/>
    <m/>
    <m/>
    <m/>
    <m/>
    <m/>
    <m/>
    <m/>
    <m/>
    <m/>
  </r>
  <r>
    <x v="97"/>
    <n v="2010"/>
    <x v="17"/>
    <s v="Europe and Central Asia"/>
    <m/>
    <s v="Mining"/>
    <s v="yes"/>
    <s v="no"/>
    <s v="no"/>
    <s v="Phoshpate rock (beneficated)"/>
    <s v="detailed"/>
    <s v="detailed Mining"/>
    <n v="1600000"/>
    <m/>
    <m/>
    <m/>
    <m/>
    <s v="t"/>
    <n v="123.02083333333"/>
    <s v="US$/t"/>
    <s v="Volume from USGS Mineral Yearbook 2011. Price from World Bank (Global Economic Monitor (GEM) Commodities database), and is defined as: Phosphate rock (Morocco), 70% BPL, contract, f.a.s. Casablanca."/>
    <n v="196833333.33332801"/>
    <m/>
    <m/>
    <m/>
    <m/>
    <m/>
    <m/>
    <m/>
    <m/>
    <m/>
    <m/>
    <m/>
    <m/>
    <m/>
    <m/>
    <m/>
    <m/>
    <m/>
    <m/>
    <m/>
    <m/>
    <m/>
    <m/>
    <m/>
    <m/>
    <m/>
    <m/>
    <m/>
    <m/>
    <m/>
    <m/>
    <m/>
    <m/>
    <m/>
    <m/>
    <m/>
    <m/>
    <m/>
    <m/>
    <m/>
    <m/>
    <m/>
    <m/>
    <m/>
    <m/>
    <m/>
  </r>
  <r>
    <x v="97"/>
    <n v="2010"/>
    <x v="17"/>
    <s v="Europe and Central Asia"/>
    <m/>
    <s v="Mining"/>
    <s v="yes"/>
    <s v="no"/>
    <s v="no"/>
    <s v="Pig iron"/>
    <s v="detailed"/>
    <s v="detailed Mining"/>
    <n v="2984000"/>
    <m/>
    <m/>
    <m/>
    <m/>
    <s v="t"/>
    <m/>
    <m/>
    <s v="Volume from USGS Mineral Yearbook 2011"/>
    <m/>
    <m/>
    <m/>
    <m/>
    <m/>
    <m/>
    <m/>
    <m/>
    <m/>
    <m/>
    <m/>
    <m/>
    <m/>
    <m/>
    <m/>
    <m/>
    <m/>
    <m/>
    <m/>
    <m/>
    <m/>
    <m/>
    <m/>
    <m/>
    <m/>
    <m/>
    <m/>
    <m/>
    <m/>
    <m/>
    <m/>
    <m/>
    <m/>
    <m/>
    <m/>
    <m/>
    <m/>
    <m/>
    <m/>
    <m/>
    <m/>
    <m/>
    <m/>
    <m/>
    <m/>
    <m/>
  </r>
  <r>
    <x v="97"/>
    <n v="2010"/>
    <x v="17"/>
    <s v="Europe and Central Asia"/>
    <m/>
    <s v="Mining"/>
    <s v="yes"/>
    <s v="no"/>
    <s v="no"/>
    <s v="Silicon (metal)"/>
    <s v="detailed"/>
    <s v="detailed Mining"/>
    <n v="1500"/>
    <m/>
    <m/>
    <m/>
    <m/>
    <s v="t"/>
    <n v="3086.4741882572885"/>
    <s v="US$/t"/>
    <s v="Volume from USGS Mineral Yearbook 2011. Price from USGS Mineral Commodity Summary 2014, and is the price for the metallurgical-grade metal in the US."/>
    <n v="4629711.2823859323"/>
    <m/>
    <m/>
    <m/>
    <m/>
    <m/>
    <m/>
    <m/>
    <m/>
    <m/>
    <m/>
    <m/>
    <m/>
    <m/>
    <m/>
    <m/>
    <m/>
    <m/>
    <m/>
    <m/>
    <m/>
    <m/>
    <m/>
    <m/>
    <m/>
    <m/>
    <m/>
    <m/>
    <m/>
    <m/>
    <m/>
    <m/>
    <m/>
    <m/>
    <m/>
    <m/>
    <m/>
    <m/>
    <m/>
    <m/>
    <m/>
    <m/>
    <m/>
    <m/>
    <m/>
    <m/>
  </r>
  <r>
    <x v="97"/>
    <n v="2010"/>
    <x v="17"/>
    <s v="Europe and Central Asia"/>
    <m/>
    <s v="Mining"/>
    <s v="yes"/>
    <s v="no"/>
    <s v="no"/>
    <s v="Titanium sponge"/>
    <s v="detailed"/>
    <s v="detailed Mining"/>
    <n v="14500"/>
    <m/>
    <m/>
    <m/>
    <m/>
    <s v="t"/>
    <n v="10740"/>
    <s v="US$/t"/>
    <s v="Volume from USGS Mineral Yearbook 2011. Price from USGS Mineral Commodity Summary 2013, and is the year-end price in the US."/>
    <n v="155730000"/>
    <m/>
    <m/>
    <m/>
    <m/>
    <m/>
    <m/>
    <m/>
    <m/>
    <m/>
    <m/>
    <m/>
    <m/>
    <m/>
    <m/>
    <m/>
    <m/>
    <m/>
    <m/>
    <m/>
    <m/>
    <m/>
    <m/>
    <m/>
    <m/>
    <m/>
    <m/>
    <m/>
    <m/>
    <m/>
    <m/>
    <m/>
    <m/>
    <m/>
    <m/>
    <m/>
    <m/>
    <m/>
    <m/>
    <m/>
    <m/>
    <m/>
    <m/>
    <m/>
    <m/>
    <m/>
  </r>
  <r>
    <x v="97"/>
    <n v="2010"/>
    <x v="17"/>
    <s v="Europe and Central Asia"/>
    <m/>
    <s v="Mining"/>
    <s v="yes"/>
    <s v="no"/>
    <s v="no"/>
    <s v="o/w U content"/>
    <s v="detailed"/>
    <s v="detailed Mining"/>
    <n v="17803"/>
    <m/>
    <m/>
    <m/>
    <m/>
    <s v="t"/>
    <m/>
    <m/>
    <s v="Volume from USGS Mineral Yearbook 2011"/>
    <m/>
    <m/>
    <m/>
    <m/>
    <m/>
    <m/>
    <m/>
    <m/>
    <m/>
    <m/>
    <m/>
    <m/>
    <m/>
    <m/>
    <m/>
    <m/>
    <m/>
    <m/>
    <m/>
    <m/>
    <m/>
    <m/>
    <m/>
    <m/>
    <m/>
    <m/>
    <m/>
    <m/>
    <m/>
    <m/>
    <m/>
    <m/>
    <m/>
    <m/>
    <m/>
    <m/>
    <m/>
    <m/>
    <m/>
    <m/>
    <m/>
    <m/>
    <m/>
    <m/>
    <m/>
    <m/>
  </r>
  <r>
    <x v="97"/>
    <n v="2010"/>
    <x v="17"/>
    <s v="Europe and Central Asia"/>
    <m/>
    <s v="Mining"/>
    <s v="yes"/>
    <s v="no"/>
    <s v="no"/>
    <s v="o/w U3O8 content"/>
    <s v="detailed"/>
    <s v="detailed Mining"/>
    <n v="20995"/>
    <m/>
    <m/>
    <m/>
    <m/>
    <s v="t"/>
    <m/>
    <m/>
    <s v="Volume from USGS Mineral Yearbook 2011"/>
    <m/>
    <m/>
    <m/>
    <m/>
    <m/>
    <m/>
    <m/>
    <m/>
    <m/>
    <m/>
    <m/>
    <m/>
    <m/>
    <m/>
    <m/>
    <m/>
    <m/>
    <m/>
    <m/>
    <m/>
    <m/>
    <m/>
    <m/>
    <m/>
    <m/>
    <m/>
    <m/>
    <m/>
    <m/>
    <m/>
    <m/>
    <m/>
    <m/>
    <m/>
    <m/>
    <m/>
    <m/>
    <m/>
    <m/>
    <m/>
    <m/>
    <m/>
    <m/>
    <m/>
    <m/>
    <m/>
  </r>
  <r>
    <x v="97"/>
    <n v="2010"/>
    <x v="17"/>
    <s v="Europe and Central Asia"/>
    <m/>
    <s v="Mining"/>
    <s v="yes"/>
    <s v="no"/>
    <s v="no"/>
    <s v="Zinc"/>
    <s v="detailed"/>
    <s v="detailed Mining"/>
    <m/>
    <m/>
    <m/>
    <m/>
    <m/>
    <m/>
    <n v="2160.74325"/>
    <s v="US$/t"/>
    <s v="Price from World Bank (Global Economic Monitor (GEM) Commodities database), and is defined as: Zinc (LME), high grade, minimum 99.95% purity, settlement price beginning April 1990; previously special high grade, minimum 99.995%, cash prices."/>
    <n v="688970271.20850003"/>
    <m/>
    <m/>
    <m/>
    <m/>
    <m/>
    <m/>
    <m/>
    <m/>
    <m/>
    <m/>
    <m/>
    <m/>
    <m/>
    <m/>
    <m/>
    <m/>
    <m/>
    <m/>
    <m/>
    <m/>
    <m/>
    <m/>
    <m/>
    <m/>
    <m/>
    <m/>
    <m/>
    <m/>
    <m/>
    <m/>
    <m/>
    <m/>
    <m/>
    <m/>
    <m/>
    <m/>
    <m/>
    <m/>
    <m/>
    <m/>
    <m/>
    <m/>
    <m/>
    <m/>
    <m/>
  </r>
  <r>
    <x v="97"/>
    <n v="2010"/>
    <x v="17"/>
    <s v="Europe and Central Asia"/>
    <m/>
    <s v="Mining"/>
    <s v="yes"/>
    <s v="no"/>
    <s v="no"/>
    <s v="o/w Zinc content of concentrate"/>
    <s v="detailed"/>
    <s v="detailed Mining"/>
    <n v="440000"/>
    <m/>
    <m/>
    <m/>
    <m/>
    <s v="t"/>
    <m/>
    <m/>
    <s v="Volume from USGS Mineral Yearbook 2011"/>
    <m/>
    <m/>
    <m/>
    <m/>
    <m/>
    <m/>
    <m/>
    <m/>
    <m/>
    <m/>
    <m/>
    <m/>
    <m/>
    <m/>
    <m/>
    <m/>
    <m/>
    <m/>
    <m/>
    <m/>
    <m/>
    <m/>
    <m/>
    <m/>
    <m/>
    <m/>
    <m/>
    <m/>
    <m/>
    <m/>
    <m/>
    <m/>
    <m/>
    <m/>
    <m/>
    <m/>
    <m/>
    <m/>
    <m/>
    <m/>
    <m/>
    <m/>
    <m/>
    <m/>
    <m/>
    <m/>
  </r>
  <r>
    <x v="97"/>
    <n v="2010"/>
    <x v="17"/>
    <s v="Europe and Central Asia"/>
    <m/>
    <s v="Mining"/>
    <s v="yes"/>
    <s v="no"/>
    <s v="no"/>
    <s v="o/w Smelter (primary, secondary)"/>
    <s v="detailed"/>
    <s v="detailed Mining"/>
    <n v="318858"/>
    <m/>
    <m/>
    <m/>
    <m/>
    <s v="t"/>
    <m/>
    <m/>
    <s v="Volume from USGS Mineral Yearbook 2011"/>
    <m/>
    <m/>
    <m/>
    <m/>
    <m/>
    <m/>
    <m/>
    <m/>
    <m/>
    <m/>
    <m/>
    <m/>
    <m/>
    <m/>
    <m/>
    <m/>
    <m/>
    <m/>
    <m/>
    <m/>
    <m/>
    <m/>
    <m/>
    <m/>
    <m/>
    <m/>
    <m/>
    <m/>
    <m/>
    <m/>
    <m/>
    <m/>
    <m/>
    <m/>
    <m/>
    <m/>
    <m/>
    <m/>
    <m/>
    <m/>
    <m/>
    <m/>
    <m/>
    <m/>
    <m/>
    <m/>
  </r>
  <r>
    <x v="98"/>
    <n v="2011"/>
    <x v="17"/>
    <s v="Europe and Central Asia"/>
    <s v="http://geology.gov.kz/en/eiti"/>
    <s v="Oil, Gas, Mining"/>
    <s v="yes"/>
    <s v="yes"/>
    <s v="yes"/>
    <s v="Total"/>
    <s v="Total"/>
    <s v="Total Oil, Gas, Mining"/>
    <m/>
    <m/>
    <m/>
    <m/>
    <m/>
    <m/>
    <m/>
    <m/>
    <m/>
    <n v="102282921711.10046"/>
    <s v="Host government's production entitlement, Royalties, Dividends, Bonuses, Other significant benefits to government"/>
    <s v="Does not include payments made in-kind"/>
    <s v="-"/>
    <n v="28779202170"/>
    <n v="28858076750"/>
    <m/>
    <m/>
    <m/>
    <n v="0.28136859691285765"/>
    <s v="United States Dollar and Kazakhastan tenge"/>
    <n v="144.54"/>
    <s v="Disaggregated by revenue stream, Disaggregated by company"/>
    <m/>
    <m/>
    <m/>
    <m/>
    <n v="170"/>
    <s v="&quot;Tengizchevroil&quot; LLP, JSC SNPC-Aktobemunaigas, JSC Mangistaumunaigas, ПФ &quot;Uzenmunaigas&quot; PF &quot;Embamunaigas&quot; JSC EP &quot;KazMunaiGas&quot;, КПО(karachaganak Petroleum Operating B.V.) Branch &quot;Lukoil overseas&quot;, KPO(Karachaganak Petroleum Operating B.V.) KF Ajip Karachaganak, KPO(Karachaganak Petroleum Operating B.V.) Branch &quot;B G Karachaganak Limited&quot;,  KPO(Karachaganak Petroleum Operating B.V.), JSC PetroKazakhstan Kumkol Resourses, Karazhanbasmunai LLP, Karakudukmunai LLP, KFK «Nelson Petroleum Buzachi BV», FK SNPC International (Buzachi) Inc., FK «BuzachiOperating Ltd.», North Caspian Operating Company, Kazakhoil-Aktobe LLP, SP KuatAmlonMunai LLP, Maten Petroleum LLP, Sauts Oil LLP, JSC SNPC-Ai-Dan_Munai, JSC KOR Oil Company, FK Maersk Oil Kazakhstan Gmbh, Kom-Munai LLP, JSC Caspi Oil, ZhaikMunai LLP, Tasbulat Oil Corporation LLP, Sazankurak LLP, ANACO LLP, Potential Oil LLP, SP Arman LLP, Alties Petroelum International B.V. Company (Atyrau Branch), Samek International LLP, KoZhaN LLP, Kolzhan LLP, SP KazakhTurkMunai LLP, Zhalgiztobemunai LLP, Sagiz Petroleum Company LLP, JSC Amangeldi Gas, Hazar Munai LLP, Gural LLP, JSC Caspi Oil TME, Svetland Oil LLP, Abi Petroleum Capital LLP, Branch Caspi Meruert Operating_x000a_Company B.V., Lines-Jump LLP, JSC KMK Munai, Pricaspian petroleum LLP, Tandai Petroleum LLP, SP Tenge LLP, Aral Petroleum Capital LLP, Embavedoil LLP, N Operating Company LLP, Buzachi Oil LLP, Tobe aral Oil LLP, CaspiOilGas LLP, Embamunaigas LLP, Kolzhan Oil LLP, Urihtau operating LLP, Tettis Aral Gas LLP, Kaz GPZ LLP, Astana Oil Company LLP, Кор-Таж LLP, Е.М.Е LLP, KAZPETROL GROUP LLP, NBK LLP, Kaz Oil-Chem copa LLP, SP Matin LLP, ZDP &quot;Quartz&quot;, Akbastau JV JSC, KazAtomProm NAK JSC, AltynAlmas AK (Akbokay GOK), JSC &quot;GMK Kazakhaltyn&quot;, JSC &quot;GOK Tort-Kuduk&quot;, JSC &quot;Eurasian energy corporation&quot;, JSC &quot;Zhayrem GOK&quot;, JSC &quot;Maykaingold&quot;, JSC &quot;Temirtau electrometallurgical plant&quot;, JSC &quot;TNK Kazchrome&quot;, JSC &quot;Shubarkol Komir&quot;, JSC Aluminium of Kazakhstan branch KBRU, JSC Aluminium of Kazakhstan branch TBRU, JSC Varvarinskoe, JSC Kostanai minerals, JSC FIK &quot;Alel&quot;, JSC Shaimerden, APPAK LLP/KazAtomProm NAK JSC, BAYKEN-U LLP/KazAtomProm NAK JSC, Firm Balausa LLP, Betpak Dala JV LLP/KazAtomProm NAK JSC, Eastern RU LLP, Mining company LLP/KazAtomProm NAK JSC/Kendala Кz JSC, ER-TAY LLP/NOVA ZINC LLP, Zarechnoe JSC KRK JV/KazAtomProm NAK JSC, Inkay JV LLP, Kazphosphate branch LLP/Chulaktau GPK, Karatau LLP/KazAtomProm_x000a_NAK JSC, KATKO JV LLP, Koksu/GRK/Shungite LLP.Т-_x000a_К./Mining company &quot;Koksu&quot;, Kulan Komir LLP, Kyzylkum LLP/KazAtomProm NAK JSC, Marum Zhar G LLP, Semizbay - U MTD/Mining company LLP/KazAtomProm NAK JSC, Stroyservice LLP, Taza-Su LLP/RisTas JSC, Teriskey LLP, Dank LLP, &quot;Karazhira LLP, BaKaF engineering LTD, Bapy Mining LLP, BAR NE LLP, LLP &quot;Dala Mining&quot; (LLP &quot;Altyn Dala Mining&quot;), LLP &quot;Fonet Er-Tai AK Mining&quot;, LLP &quot;Nova-Zinc&quot;, LLP &quot;Satpayevsk Titanium Mines LTD&quot;, LLP &quot;Silicon mining&quot;, LLP &quot;Akmola Gold&quot;, LLP &quot;Ak0Tas&quot;, LLP &quot;Aktobe Temir VS&quot;, LLP &quot;Angrensor&quot;, LLP &quot;Arman-100&quot;, LLP &quot;AS &quot;Gornyak&quot;, LLP &quot;Bakirchikskoe GDP&quot;, LLP &quot;Bast&quot;, LLP &quot;Batyr&quot;, LLP &quot;Batis Potassium&quot;, LLP &quot;Bogatir Komir&quot;, LLP &quot;Voshod-Oriel&quot;, LLP &quot;Gamma&quot;, LLP &quot;GRK Vizol&quot;, LLP &quot;GRK Kambar&quot;, LLP &quot;GRK Koytas&quot;, LLP &quot;GRK MLD&quot;, LLP &quot;GRK MLD&quot;, LLP &quot;KazVtorProm&quot;, LLP &quot;Copper Technology&quot;, LLP &quot;Kazakhmys corporation&quot;, LLP &quot;Maykuben-west&quot;, LLP &quot;NPP Manganese&quot;, LLP &quot;On-Olzha&quot;, LLP &quot;Orken&quot;, LLP &quot;Saki Kazyna&quot;, LLP &quot;Sariarka-ENERGY&quot;, LLP &quot;Satbor&quot;, LLP &quot;SGHK&quot;, LLP &quot;Semgeo&quot;, LLP &quot;Taskara&quot;, LLP &quot;Temir-Service&quot;, LLP &quot;Transkomir&quot;, LLP &quot;Ulbavtor complex&quot;, LLP &quot;FML Kazakhstan&quot;, LLP &quot;Forpost&quot; DP &quot;Глобал Бизнес&quot;, LLP &quot;Mine West&quot;, LLP &quot;Yubileynoe&quot;, LLP GMK &quot;Hurdaulet&quot;, LLP Gold Lend, LLP GRK &quot;Sat Komir&quot;, LLP GRK &quot;Andas Altyn&quot;, LLP Zhanalyk GOLD, LLP KazZinc, LLP КРК razrez Priozerniy, LLP Metal Trading, LLP JV Saga Krik Gold Company, LLP Tioline, LLP ТПК &quot;BAS&quot;, LLP Firm &quot;Madina&quot;, LLP Firm &quot;Rapid&quot;, UD JSC &quot;Arselor Metal Temirtau&quot;, Ushger GHK JSC (Ontustik JV NK JSC), ShalkiyaZinc LTD/Tau-Ken LLP GMK, AltynKenLLP Aktas NP JSC, LLP &quot;Diana-Aliya&quot;, LLP &quot;Karaoba-2005&quot;, LLP &quot;Metlaterminalservice&quot;, LLP &quot;North Katpar&quot;, LLP GRK Kazakhstani Nickel, LLP GRK Tokhtar, CvetMetengineering LLP"/>
    <n v="167"/>
    <s v="December 2012"/>
    <d v="2014-10-10T00:00:00"/>
    <s v="UHY Sapa-Consulting"/>
    <s v="http://eiti.org/files/Kazakhstan-2011-EITI-Report.pdf"/>
    <s v="23"/>
    <s v="Materiality threshold: oil &amp; gas companies that have made an annual payment of at least 30,000,000KZT should be reconciled; mining companies that have made an annual payments of at least 15,000,000KZT should be reconciled. It does not appear that unilateral declarations are included. Tengizchevroil LLP accounted for 38% of government revenues. The appendix is not available in its entirety, and therefore though the report also covers social payments made by companies, these figures are not provided."/>
    <m/>
    <m/>
    <m/>
    <m/>
    <m/>
    <m/>
    <m/>
    <m/>
    <m/>
    <m/>
    <m/>
    <m/>
    <m/>
    <m/>
    <m/>
    <m/>
    <m/>
    <m/>
    <m/>
    <m/>
  </r>
  <r>
    <x v="98"/>
    <n v="2011"/>
    <x v="17"/>
    <s v="Europe and Central Asia"/>
    <m/>
    <s v="Oil, Gas"/>
    <s v="no"/>
    <s v="yes"/>
    <s v="yes"/>
    <s v="Total Oil &amp; Gas"/>
    <s v="Total"/>
    <s v="Total Oil, Gas"/>
    <m/>
    <m/>
    <m/>
    <m/>
    <m/>
    <m/>
    <m/>
    <m/>
    <m/>
    <n v="71798662764.0578"/>
    <m/>
    <m/>
    <m/>
    <n v="25903971390"/>
    <n v="25932111930"/>
    <m/>
    <m/>
    <m/>
    <n v="0.36078626526965696"/>
    <m/>
    <m/>
    <m/>
    <m/>
    <m/>
    <m/>
    <m/>
    <n v="62"/>
    <s v="&quot;Tengizchevroil&quot; LLP, JSC SNPC-Aktobemunaigas, JSC Mangistaumunaigas, ПФ &quot;Uzenmunaigas&quot; PF &quot;Embamunaigas&quot; JSC EP &quot;KazMunaiGas&quot;, КПО(karachaganak Petroleum Operating B.V.) Branch &quot;Lukoil overseas&quot;, KPO(Karachaganak Petroleum Operating B.V.) KF Ajip Karachaganak, KPO(Karachaganak Petroleum Operating B.V.) Branch &quot;B G Karachaganak Limited&quot;,  KPO(Karachaganak Petroleum Operating B.V.), JSC PetroKazakhstan Kumkol Resourses, Karazhanbasmunai LLP, Karakudukmunai LLP, KFK «Nelson Petroleum Buzachi BV», FK SNPC International (Buzachi) Inc., FK «BuzachiOperating Ltd.», North Caspian Operating Company, Kazakhoil-Aktobe LLP, SP KuatAmlonMunai LLP, Maten Petroleum LLP, Sauts Oil LLP, JSC SNPC-Ai-Dan_Munai, JSC KOR Oil Company, FK Maersk Oil Kazakhstan Gmbh, Kom-Munai LLP, JSC Caspi Oil, ZhaikMunai LLP, Tasbulat Oil Corporation LLP, Sazankurak LLP, ANACO LLP, Potential Oil LLP, SP Arman LLP, Alties Petroelum International B.V. Company (Atyrau Branch), Samek International LLP, KoZhaN LLP, Kolzhan LLP, SP KazakhTurkMunai LLP, Zhalgiztobemunai LLP, Sagiz Petroleum Company LLP, JSC Amangeldi Gas, Hazar Munai LLP, Gural LLP, JSC Caspi Oil TME, Svetland Oil LLP, Abi Petroleum Capital LLP, Branch Caspi Meruert Operating_x000a_Company B.V., Lines-Jump LLP, JSC KMK Munai, Pricaspian petroleum LLP, Tandai Petroleum LLP, SP Tenge LLP, Aral Petroleum Capital LLP, Embavedoil LLP, N Operating Company LLP, Buzachi Oil LLP, Tobe aral Oil LLP, CaspiOilGas LLP, Embamunaigas LLP, Kolzhan Oil LLP, Urihtau operating LLP, Tettis Aral Gas LLP, Kaz GPZ LLP, Astana Oil Company LLP, Кор-Таж LLP, Е.М.Е LLP, KAZPETROL GROUP LLP, NBK LLP, Kaz Oil-Chem copa LLP, SP Matin LLP"/>
    <n v="62"/>
    <m/>
    <m/>
    <m/>
    <m/>
    <s v="26"/>
    <m/>
    <m/>
    <m/>
    <m/>
    <m/>
    <m/>
    <m/>
    <m/>
    <m/>
    <m/>
    <m/>
    <m/>
    <m/>
    <m/>
    <m/>
    <m/>
    <m/>
    <m/>
    <m/>
    <m/>
    <m/>
  </r>
  <r>
    <x v="98"/>
    <n v="2011"/>
    <x v="17"/>
    <s v="Europe and Central Asia"/>
    <m/>
    <s v="Gas"/>
    <s v="no"/>
    <s v="yes"/>
    <s v="no"/>
    <s v="Gas"/>
    <s v="detailed"/>
    <s v="detailed Gas"/>
    <n v="17500000000"/>
    <n v="115500000"/>
    <m/>
    <m/>
    <m/>
    <s v="m³"/>
    <n v="0.19666043794616025"/>
    <s v="US$/m³"/>
    <s v="Volume and price from BPSR 2014. Price is an average of the UK, US and Canada Indices for natural gas."/>
    <n v="3441557664.0578046"/>
    <m/>
    <m/>
    <m/>
    <m/>
    <m/>
    <m/>
    <m/>
    <m/>
    <m/>
    <m/>
    <m/>
    <m/>
    <m/>
    <m/>
    <m/>
    <m/>
    <m/>
    <m/>
    <m/>
    <m/>
    <m/>
    <m/>
    <m/>
    <m/>
    <m/>
    <m/>
    <m/>
    <m/>
    <m/>
    <m/>
    <m/>
    <m/>
    <m/>
    <m/>
    <m/>
    <m/>
    <m/>
    <m/>
    <m/>
    <m/>
    <m/>
    <m/>
    <m/>
    <m/>
    <m/>
  </r>
  <r>
    <x v="98"/>
    <n v="2011"/>
    <x v="17"/>
    <s v="Europe and Central Asia"/>
    <m/>
    <s v="Oil"/>
    <s v="no"/>
    <s v="no"/>
    <s v="yes"/>
    <s v="Oil"/>
    <s v="detailed"/>
    <s v="detailed Oil"/>
    <n v="641670000"/>
    <m/>
    <m/>
    <m/>
    <m/>
    <s v="bbl"/>
    <n v="106.53"/>
    <s v="US$/bbl"/>
    <s v="Volume and price from BPSR 2014. Price is an average of the spot prices for Brent, Dubai, Nigerian Forcados and West Texas Intermediate crude oil."/>
    <n v="68357105100"/>
    <m/>
    <m/>
    <m/>
    <m/>
    <m/>
    <m/>
    <m/>
    <m/>
    <m/>
    <m/>
    <m/>
    <m/>
    <m/>
    <m/>
    <m/>
    <m/>
    <m/>
    <m/>
    <m/>
    <m/>
    <m/>
    <m/>
    <m/>
    <m/>
    <m/>
    <m/>
    <m/>
    <m/>
    <m/>
    <m/>
    <m/>
    <m/>
    <m/>
    <m/>
    <m/>
    <m/>
    <m/>
    <m/>
    <m/>
    <m/>
    <m/>
    <m/>
    <m/>
    <m/>
    <m/>
  </r>
  <r>
    <x v="98"/>
    <n v="2011"/>
    <x v="17"/>
    <s v="Europe and Central Asia"/>
    <m/>
    <s v="Mining"/>
    <s v="yes"/>
    <s v="no"/>
    <s v="no"/>
    <s v="Total Mining"/>
    <s v="Total"/>
    <s v="Total Mining"/>
    <m/>
    <m/>
    <m/>
    <m/>
    <m/>
    <m/>
    <m/>
    <m/>
    <m/>
    <n v="30484258947.04266"/>
    <m/>
    <m/>
    <m/>
    <n v="2875230773"/>
    <n v="2925964833"/>
    <m/>
    <m/>
    <m/>
    <n v="9.4318539217071312E-2"/>
    <m/>
    <m/>
    <m/>
    <m/>
    <m/>
    <m/>
    <m/>
    <n v="108"/>
    <s v="ZDP &quot;Quartz&quot;, Akbastau JV JSC, KazAtomProm NAK JSC, AltynAlmas AK (Akbokay GOK), JSC &quot;GMK Kazakhaltyn&quot;, JSC &quot;GOK Tort-Kuduk&quot;, JSC &quot;Eurasian energy corporation&quot;, JSC &quot;Zhayrem GOK&quot;, JSC &quot;Maykaingold&quot;, JSC &quot;Temirtau electrometallurgical plant&quot;, JSC &quot;TNK Kazchrome&quot;, JSC &quot;Shubarkol Komir&quot;, JSC Aluminium of Kazakhstan branch KBRU, JSC Aluminium of Kazakhstan branch TBRU, JSC Varvarinskoe, JSC Kostanai minerals, JSC FIK &quot;Alel&quot;, JSC Shaimerden, APPAK LLP/KazAtomProm NAK JSC, BAYKEN-U LLP/KazAtomProm NAK JSC, Firm Balausa LLP, Betpak Dala JV LLP/KazAtomProm NAK JSC, Eastern RU LLP, Mining company LLP/KazAtomProm NAK JSC/Kendala Кz JSC, ER-TAY LLP/NOVA ZINC LLP, Zarechnoe JSC KRK JV/KazAtomProm NAK JSC, Inkay JV LLP, Kazphosphate branch LLP/Chulaktau GPK, Karatau LLP/KazAtomProm_x000a_NAK JSC, KATKO JV LLP, Koksu/GRK/Shungite LLP.Т-_x000a_К./Mining company &quot;Koksu&quot;, Kulan Komir LLP, Kyzylkum LLP/KazAtomProm NAK JSC, Marum Zhar G LLP, Semizbay - U MTD/Mining company LLP/KazAtomProm NAK JSC, Stroyservice LLP, Taza-Su LLP/RisTas JSC, Teriskey LLP, Dank LLP, &quot;Karazhira LLP, BaKaF engineering LTD, Bapy Mining LLP, BAR NE LLP, LLP &quot;Dala Mining&quot; (LLP &quot;Altyn Dala Mining&quot;), LLP &quot;Fonet Er-Tai AK Mining&quot;, LLP &quot;Nova-Zinc&quot;, LLP &quot;Satpayevsk Titanium Mines LTD&quot;, LLP &quot;Silicon mining&quot;, LLP &quot;Akmola Gold&quot;, LLP &quot;Ak0Tas&quot;, LLP &quot;Aktobe Temir VS&quot;, LLP &quot;Angrensor&quot;, LLP &quot;Arman-100&quot;, LLP &quot;AS &quot;Gornyak&quot;, LLP &quot;Bakirchikskoe GDP&quot;, LLP &quot;Bast&quot;, LLP &quot;Batyr&quot;, LLP &quot;Batis Potassium&quot;, LLP &quot;Bogatir Komir&quot;, LLP &quot;Voshod-Oriel&quot;, LLP &quot;Gamma&quot;, LLP &quot;GRK Vizol&quot;, LLP &quot;GRK Kambar&quot;, LLP &quot;GRK Koytas&quot;, LLP &quot;GRK MLD&quot;, LLP &quot;GRK MLD&quot;, LLP &quot;KazVtorProm&quot;, LLP &quot;Copper Technology&quot;, LLP &quot;Kazakhmys corporation&quot;, LLP &quot;Maykuben-west&quot;, LLP &quot;NPP Manganese&quot;, LLP &quot;On-Olzha&quot;, LLP &quot;Orken&quot;, LLP &quot;Saki Kazyna&quot;, LLP &quot;Sariarka-ENERGY&quot;, LLP &quot;Satbor&quot;, LLP &quot;SGHK&quot;, LLP &quot;Semgeo&quot;, LLP &quot;Taskara&quot;, LLP &quot;Temir-Service&quot;, LLP &quot;Transkomir&quot;, LLP &quot;Ulbavtor complex&quot;, LLP &quot;FML Kazakhstan&quot;, LLP &quot;Forpost&quot; DP &quot;Глобал Бизнес&quot;, LLP &quot;Mine West&quot;, LLP &quot;Yubileynoe&quot;, LLP GMK &quot;Hurdaulet&quot;, LLP Gold Lend, LLP GRK &quot;Sat Komir&quot;, LLP GRK &quot;Andas Altyn&quot;, LLP Zhanalyk GOLD, LLP KazZinc, LLP КРК razrez Priozerniy, LLP Metal Trading, LLP JV Saga Krik Gold Company, LLP Tioline, LLP ТПК &quot;BAS&quot;, LLP Firm &quot;Madina&quot;, LLP Firm &quot;Rapid&quot;, UD JSC &quot;Arselor Metal Temirtau&quot;, Ushger GHK JSC (Ontustik JV NK JSC), ShalkiyaZinc LTD/Tau-Ken LLP GMK, AltynKenLLP Aktas NP JSC, LLP &quot;Diana-Aliya&quot;, LLP &quot;Karaoba-2005&quot;, LLP &quot;Metlaterminalservice&quot;, LLP &quot;North Katpar&quot;, LLP GRK Kazakhstani Nickel, LLP GRK Tokhtar, CvetMetengineering LLP"/>
    <n v="105"/>
    <m/>
    <m/>
    <m/>
    <m/>
    <n v="31"/>
    <m/>
    <m/>
    <m/>
    <m/>
    <m/>
    <m/>
    <m/>
    <m/>
    <m/>
    <m/>
    <m/>
    <m/>
    <m/>
    <m/>
    <m/>
    <m/>
    <m/>
    <m/>
    <m/>
    <m/>
    <m/>
  </r>
  <r>
    <x v="98"/>
    <n v="2011"/>
    <x v="17"/>
    <s v="Europe and Central Asia"/>
    <m/>
    <s v="Mining"/>
    <s v="yes"/>
    <s v="no"/>
    <s v="no"/>
    <s v="Asbestos"/>
    <s v="detailed"/>
    <s v="detailed Mining"/>
    <n v="223100"/>
    <m/>
    <m/>
    <m/>
    <m/>
    <s v="t"/>
    <n v="931"/>
    <s v="US$/t"/>
    <s v="Volume from USGS Mineral Yearbook 2011. Price from USGS Mineral Commodity Summary 2014, and is the price in the US."/>
    <n v="207706100"/>
    <m/>
    <m/>
    <m/>
    <m/>
    <m/>
    <m/>
    <m/>
    <m/>
    <m/>
    <m/>
    <m/>
    <m/>
    <m/>
    <m/>
    <m/>
    <m/>
    <m/>
    <m/>
    <m/>
    <m/>
    <m/>
    <m/>
    <m/>
    <m/>
    <m/>
    <m/>
    <m/>
    <m/>
    <m/>
    <m/>
    <m/>
    <m/>
    <m/>
    <m/>
    <m/>
    <m/>
    <m/>
    <m/>
    <m/>
    <m/>
    <m/>
    <m/>
    <m/>
    <m/>
    <m/>
  </r>
  <r>
    <x v="98"/>
    <n v="2011"/>
    <x v="17"/>
    <s v="Europe and Central Asia"/>
    <m/>
    <s v="Mining"/>
    <s v="yes"/>
    <s v="no"/>
    <s v="no"/>
    <s v="Barite"/>
    <s v="detailed"/>
    <s v="detailed Mining"/>
    <m/>
    <m/>
    <m/>
    <m/>
    <m/>
    <m/>
    <n v="86"/>
    <s v="US$/t"/>
    <s v="Price from USGS Mineral Commodity Summary 2014, and is the estimated f.o.b. mine price in the US."/>
    <n v="17200000"/>
    <m/>
    <m/>
    <m/>
    <m/>
    <m/>
    <m/>
    <m/>
    <m/>
    <m/>
    <m/>
    <m/>
    <m/>
    <m/>
    <m/>
    <m/>
    <m/>
    <m/>
    <m/>
    <m/>
    <m/>
    <m/>
    <m/>
    <m/>
    <m/>
    <m/>
    <m/>
    <m/>
    <m/>
    <m/>
    <m/>
    <m/>
    <m/>
    <m/>
    <m/>
    <m/>
    <m/>
    <m/>
    <m/>
    <m/>
    <m/>
    <m/>
    <m/>
    <m/>
    <m/>
    <m/>
  </r>
  <r>
    <x v="98"/>
    <n v="2011"/>
    <x v="17"/>
    <s v="Europe and Central Asia"/>
    <m/>
    <s v="Mining"/>
    <s v="yes"/>
    <s v="no"/>
    <s v="no"/>
    <s v="o/w Ore and concentrate"/>
    <s v="detailed"/>
    <s v="detailed Mining"/>
    <n v="466000"/>
    <m/>
    <m/>
    <m/>
    <m/>
    <s v="t"/>
    <m/>
    <m/>
    <s v="Volume from USGS Mineral Yearbook 2011"/>
    <m/>
    <m/>
    <m/>
    <m/>
    <m/>
    <m/>
    <m/>
    <m/>
    <m/>
    <m/>
    <m/>
    <m/>
    <m/>
    <m/>
    <m/>
    <m/>
    <m/>
    <m/>
    <m/>
    <m/>
    <m/>
    <m/>
    <m/>
    <m/>
    <m/>
    <m/>
    <m/>
    <m/>
    <m/>
    <m/>
    <m/>
    <m/>
    <m/>
    <m/>
    <m/>
    <m/>
    <m/>
    <m/>
    <m/>
    <m/>
    <m/>
    <m/>
    <m/>
    <m/>
    <m/>
    <m/>
  </r>
  <r>
    <x v="98"/>
    <n v="2011"/>
    <x v="17"/>
    <s v="Europe and Central Asia"/>
    <m/>
    <s v="Mining"/>
    <s v="yes"/>
    <s v="no"/>
    <s v="no"/>
    <s v="o/w Marketable"/>
    <s v="detailed"/>
    <s v="detailed Mining"/>
    <n v="200000"/>
    <m/>
    <m/>
    <m/>
    <m/>
    <s v="t"/>
    <m/>
    <m/>
    <s v="Volume from USGS Mineral Yearbook 2011"/>
    <m/>
    <m/>
    <m/>
    <m/>
    <m/>
    <m/>
    <m/>
    <m/>
    <m/>
    <m/>
    <m/>
    <m/>
    <m/>
    <m/>
    <m/>
    <m/>
    <m/>
    <m/>
    <m/>
    <m/>
    <m/>
    <m/>
    <m/>
    <m/>
    <m/>
    <m/>
    <m/>
    <m/>
    <m/>
    <m/>
    <m/>
    <m/>
    <m/>
    <m/>
    <m/>
    <m/>
    <m/>
    <m/>
    <m/>
    <m/>
    <m/>
    <m/>
    <m/>
    <m/>
    <m/>
    <m/>
  </r>
  <r>
    <x v="98"/>
    <n v="2011"/>
    <x v="17"/>
    <s v="Europe and Central Asia"/>
    <m/>
    <s v="Mining"/>
    <s v="yes"/>
    <s v="no"/>
    <s v="no"/>
    <s v="Bauxite"/>
    <s v="detailed"/>
    <s v="detailed Mining"/>
    <n v="5495000"/>
    <m/>
    <m/>
    <m/>
    <m/>
    <s v="t"/>
    <n v="30.49"/>
    <s v="US$/t"/>
    <s v="Volume from USGS Mineral Yearbook 2011. Price from USGS Mineral Yearbook 2012, and is the average f.a.s. price of US imports of crude and dried bauxite."/>
    <n v="167542550"/>
    <m/>
    <m/>
    <m/>
    <m/>
    <m/>
    <m/>
    <m/>
    <m/>
    <m/>
    <m/>
    <m/>
    <m/>
    <m/>
    <m/>
    <m/>
    <m/>
    <m/>
    <m/>
    <m/>
    <m/>
    <m/>
    <m/>
    <m/>
    <m/>
    <m/>
    <m/>
    <m/>
    <m/>
    <m/>
    <m/>
    <m/>
    <m/>
    <m/>
    <m/>
    <m/>
    <m/>
    <m/>
    <m/>
    <m/>
    <m/>
    <m/>
    <m/>
    <m/>
    <m/>
    <m/>
  </r>
  <r>
    <x v="98"/>
    <n v="2011"/>
    <x v="17"/>
    <s v="Europe and Central Asia"/>
    <m/>
    <s v="Mining"/>
    <s v="yes"/>
    <s v="no"/>
    <s v="no"/>
    <s v="Boron"/>
    <s v="detailed"/>
    <s v="detailed Mining"/>
    <n v="30000"/>
    <m/>
    <m/>
    <m/>
    <m/>
    <s v="t"/>
    <n v="361"/>
    <s v="US$/t"/>
    <s v="Volume from USGS Mineral Yearbook 2011. Price from USGS Mineral Commodity Summary 2013, and is the average f.a.s. price of US imports."/>
    <n v="10830000"/>
    <m/>
    <m/>
    <m/>
    <m/>
    <m/>
    <m/>
    <m/>
    <m/>
    <m/>
    <m/>
    <m/>
    <m/>
    <m/>
    <m/>
    <m/>
    <m/>
    <m/>
    <m/>
    <m/>
    <m/>
    <m/>
    <m/>
    <m/>
    <m/>
    <m/>
    <m/>
    <m/>
    <m/>
    <m/>
    <m/>
    <m/>
    <m/>
    <m/>
    <m/>
    <m/>
    <m/>
    <m/>
    <m/>
    <m/>
    <m/>
    <m/>
    <m/>
    <m/>
    <m/>
    <m/>
  </r>
  <r>
    <x v="98"/>
    <n v="2011"/>
    <x v="17"/>
    <s v="Europe and Central Asia"/>
    <m/>
    <s v="Mining"/>
    <s v="yes"/>
    <s v="no"/>
    <s v="no"/>
    <s v="Chromite (marketable ore)"/>
    <s v="detailed"/>
    <s v="detailed Mining"/>
    <n v="3800000"/>
    <m/>
    <m/>
    <m/>
    <m/>
    <s v="t"/>
    <n v="355"/>
    <s v="US$/t"/>
    <s v="Volume from USGS Mineral Yearbook 2011. Price from USGS Mineral Commodity Summary 2013, and is the price in the US for the gross mass of chromite ore."/>
    <n v="1349000000"/>
    <m/>
    <m/>
    <m/>
    <m/>
    <m/>
    <m/>
    <m/>
    <m/>
    <m/>
    <m/>
    <m/>
    <m/>
    <m/>
    <m/>
    <m/>
    <m/>
    <m/>
    <m/>
    <m/>
    <m/>
    <m/>
    <m/>
    <m/>
    <m/>
    <m/>
    <m/>
    <m/>
    <m/>
    <m/>
    <m/>
    <m/>
    <m/>
    <m/>
    <m/>
    <m/>
    <m/>
    <m/>
    <m/>
    <m/>
    <m/>
    <m/>
    <m/>
    <m/>
    <m/>
    <m/>
  </r>
  <r>
    <x v="98"/>
    <n v="2011"/>
    <x v="17"/>
    <s v="Europe and Central Asia"/>
    <m/>
    <s v="Mining"/>
    <s v="yes"/>
    <s v="no"/>
    <s v="no"/>
    <s v="Coal"/>
    <s v="detailed"/>
    <s v="detailed Mining"/>
    <n v="111400000"/>
    <m/>
    <m/>
    <m/>
    <m/>
    <s v="t"/>
    <n v="111.54662184722224"/>
    <s v="US$/t"/>
    <s v="Volume and price from BPSR 2014. Price is an average of the American Central Appalachian, Asian and Northwest Europe marker/spot prices."/>
    <n v="12426293673.780558"/>
    <m/>
    <m/>
    <m/>
    <m/>
    <m/>
    <m/>
    <m/>
    <m/>
    <m/>
    <m/>
    <m/>
    <m/>
    <m/>
    <m/>
    <m/>
    <m/>
    <m/>
    <m/>
    <m/>
    <m/>
    <m/>
    <m/>
    <m/>
    <m/>
    <m/>
    <m/>
    <m/>
    <m/>
    <m/>
    <m/>
    <m/>
    <m/>
    <m/>
    <m/>
    <m/>
    <m/>
    <m/>
    <m/>
    <m/>
    <m/>
    <m/>
    <m/>
    <m/>
    <m/>
    <m/>
  </r>
  <r>
    <x v="98"/>
    <n v="2011"/>
    <x v="17"/>
    <s v="Europe and Central Asia"/>
    <m/>
    <s v="Mining"/>
    <s v="yes"/>
    <s v="no"/>
    <s v="no"/>
    <s v="Copper"/>
    <s v="detailed"/>
    <s v="detailed Mining"/>
    <m/>
    <m/>
    <m/>
    <m/>
    <m/>
    <m/>
    <n v="8828.1875"/>
    <s v="US$/t"/>
    <s v="Price from World Bank (Global Economic Monitor (GEM) Commodities database), and is defined as: Copper (LME), grade A, minimum 99.9935% purity, cathodes and wire bar shapes, settlement price"/>
    <n v="5661702035.6875"/>
    <m/>
    <m/>
    <m/>
    <m/>
    <m/>
    <m/>
    <m/>
    <m/>
    <m/>
    <m/>
    <m/>
    <m/>
    <m/>
    <m/>
    <m/>
    <m/>
    <m/>
    <m/>
    <m/>
    <m/>
    <m/>
    <m/>
    <m/>
    <m/>
    <m/>
    <m/>
    <m/>
    <m/>
    <m/>
    <m/>
    <m/>
    <m/>
    <m/>
    <m/>
    <m/>
    <m/>
    <m/>
    <m/>
    <m/>
    <m/>
    <m/>
    <m/>
    <m/>
    <m/>
    <m/>
  </r>
  <r>
    <x v="98"/>
    <n v="2011"/>
    <x v="17"/>
    <s v="Europe and Central Asia"/>
    <m/>
    <s v="Mining"/>
    <s v="yes"/>
    <s v="no"/>
    <s v="no"/>
    <s v="o/w Copper content of mine output"/>
    <s v="detailed"/>
    <s v="detailed Mining"/>
    <n v="417000"/>
    <m/>
    <m/>
    <m/>
    <m/>
    <s v="t"/>
    <m/>
    <m/>
    <s v="Volume from USGS Mineral Yearbook 2011"/>
    <m/>
    <m/>
    <m/>
    <m/>
    <m/>
    <m/>
    <m/>
    <m/>
    <m/>
    <m/>
    <m/>
    <m/>
    <m/>
    <m/>
    <m/>
    <m/>
    <m/>
    <m/>
    <m/>
    <m/>
    <m/>
    <m/>
    <m/>
    <m/>
    <m/>
    <m/>
    <m/>
    <m/>
    <m/>
    <m/>
    <m/>
    <m/>
    <m/>
    <m/>
    <m/>
    <m/>
    <m/>
    <m/>
    <m/>
    <m/>
    <m/>
    <m/>
    <m/>
    <m/>
    <m/>
    <m/>
  </r>
  <r>
    <x v="98"/>
    <n v="2011"/>
    <x v="17"/>
    <s v="Europe and Central Asia"/>
    <m/>
    <s v="Mining"/>
    <s v="yes"/>
    <s v="no"/>
    <s v="no"/>
    <s v="o/w Metal (smelter)"/>
    <s v="detailed"/>
    <s v="detailed Mining"/>
    <n v="302975"/>
    <m/>
    <m/>
    <m/>
    <m/>
    <s v="t"/>
    <m/>
    <m/>
    <s v="Volume from USGS Mineral Yearbook 2011"/>
    <m/>
    <m/>
    <m/>
    <m/>
    <m/>
    <m/>
    <m/>
    <m/>
    <m/>
    <m/>
    <m/>
    <m/>
    <m/>
    <m/>
    <m/>
    <m/>
    <m/>
    <m/>
    <m/>
    <m/>
    <m/>
    <m/>
    <m/>
    <m/>
    <m/>
    <m/>
    <m/>
    <m/>
    <m/>
    <m/>
    <m/>
    <m/>
    <m/>
    <m/>
    <m/>
    <m/>
    <m/>
    <m/>
    <m/>
    <m/>
    <m/>
    <m/>
    <m/>
    <m/>
    <m/>
    <m/>
  </r>
  <r>
    <x v="98"/>
    <n v="2011"/>
    <x v="17"/>
    <s v="Europe and Central Asia"/>
    <m/>
    <s v="Mining"/>
    <s v="yes"/>
    <s v="no"/>
    <s v="no"/>
    <s v="o/w Metal (refined, primary"/>
    <s v="detailed"/>
    <s v="detailed Mining"/>
    <n v="338346"/>
    <m/>
    <m/>
    <m/>
    <m/>
    <s v="t"/>
    <m/>
    <m/>
    <s v="Volume from USGS Mineral Yearbook 2011"/>
    <m/>
    <m/>
    <m/>
    <m/>
    <m/>
    <m/>
    <m/>
    <m/>
    <m/>
    <m/>
    <m/>
    <m/>
    <m/>
    <m/>
    <m/>
    <m/>
    <m/>
    <m/>
    <m/>
    <m/>
    <m/>
    <m/>
    <m/>
    <m/>
    <m/>
    <m/>
    <m/>
    <m/>
    <m/>
    <m/>
    <m/>
    <m/>
    <m/>
    <m/>
    <m/>
    <m/>
    <m/>
    <m/>
    <m/>
    <m/>
    <m/>
    <m/>
    <m/>
    <m/>
    <m/>
    <m/>
  </r>
  <r>
    <x v="98"/>
    <n v="2011"/>
    <x v="17"/>
    <s v="Europe and Central Asia"/>
    <m/>
    <s v="Mining"/>
    <s v="yes"/>
    <s v="no"/>
    <s v="no"/>
    <s v="Ferrochromium"/>
    <s v="detailed"/>
    <s v="detailed Mining"/>
    <n v="1289917"/>
    <m/>
    <m/>
    <m/>
    <m/>
    <s v="t"/>
    <n v="2614.68456233796"/>
    <s v="US$/t"/>
    <s v="Volume from USGS Mineral Yearbook 2011. Price from USGS Mineral Yearbook 2011, and is the average price for chromium content in ferrochromium with chromium content of 49-51% and 60-65% in the US. "/>
    <n v="3372726066.5972943"/>
    <m/>
    <m/>
    <m/>
    <m/>
    <m/>
    <m/>
    <m/>
    <m/>
    <m/>
    <m/>
    <m/>
    <m/>
    <m/>
    <m/>
    <m/>
    <m/>
    <m/>
    <m/>
    <m/>
    <m/>
    <m/>
    <m/>
    <m/>
    <m/>
    <m/>
    <m/>
    <m/>
    <m/>
    <m/>
    <m/>
    <m/>
    <m/>
    <m/>
    <m/>
    <m/>
    <m/>
    <m/>
    <m/>
    <m/>
    <m/>
    <m/>
    <m/>
    <m/>
    <m/>
    <m/>
  </r>
  <r>
    <x v="98"/>
    <n v="2011"/>
    <x v="17"/>
    <s v="Europe and Central Asia"/>
    <m/>
    <s v="Mining"/>
    <s v="yes"/>
    <s v="no"/>
    <s v="no"/>
    <s v="Ferrosilicochromium"/>
    <s v="detailed"/>
    <s v="detailed Mining"/>
    <n v="143296"/>
    <m/>
    <m/>
    <m/>
    <m/>
    <s v="t"/>
    <m/>
    <m/>
    <s v="Volume from USGS Mineral Yearbook 2011"/>
    <m/>
    <m/>
    <m/>
    <m/>
    <m/>
    <m/>
    <m/>
    <m/>
    <m/>
    <m/>
    <m/>
    <m/>
    <m/>
    <m/>
    <m/>
    <m/>
    <m/>
    <m/>
    <m/>
    <m/>
    <m/>
    <m/>
    <m/>
    <m/>
    <m/>
    <m/>
    <m/>
    <m/>
    <m/>
    <m/>
    <m/>
    <m/>
    <m/>
    <m/>
    <m/>
    <m/>
    <m/>
    <m/>
    <m/>
    <m/>
    <m/>
    <m/>
    <m/>
    <m/>
    <m/>
    <m/>
  </r>
  <r>
    <x v="98"/>
    <n v="2011"/>
    <x v="17"/>
    <s v="Europe and Central Asia"/>
    <m/>
    <s v="Mining"/>
    <s v="yes"/>
    <s v="no"/>
    <s v="no"/>
    <s v="Ferrosilicon"/>
    <s v="detailed"/>
    <s v="detailed Mining"/>
    <n v="1683"/>
    <m/>
    <m/>
    <m/>
    <m/>
    <s v="t"/>
    <n v="2347.9250074957231"/>
    <s v="US$/t"/>
    <s v="Volume from USGS Mineral Yearbook 2011. Price from USGS Mineral Commodity Summary 2014, and is the average price for ferrosilicon with 50% and 75% silicon content in the US."/>
    <n v="3951557.787615302"/>
    <m/>
    <m/>
    <m/>
    <m/>
    <m/>
    <m/>
    <m/>
    <m/>
    <m/>
    <m/>
    <m/>
    <m/>
    <m/>
    <m/>
    <m/>
    <m/>
    <m/>
    <m/>
    <m/>
    <m/>
    <m/>
    <m/>
    <m/>
    <m/>
    <m/>
    <m/>
    <m/>
    <m/>
    <m/>
    <m/>
    <m/>
    <m/>
    <m/>
    <m/>
    <m/>
    <m/>
    <m/>
    <m/>
    <m/>
    <m/>
    <m/>
    <m/>
    <m/>
    <m/>
    <m/>
  </r>
  <r>
    <x v="98"/>
    <n v="2011"/>
    <x v="17"/>
    <s v="Europe and Central Asia"/>
    <m/>
    <s v="Mining"/>
    <s v="yes"/>
    <s v="no"/>
    <s v="no"/>
    <s v="Fluourspar"/>
    <s v="detailed"/>
    <s v="detailed Mining"/>
    <n v="65000"/>
    <m/>
    <m/>
    <m/>
    <m/>
    <s v="t"/>
    <m/>
    <m/>
    <s v="Volume from USGS Mineral Yearbook 2011"/>
    <m/>
    <m/>
    <m/>
    <m/>
    <m/>
    <m/>
    <m/>
    <m/>
    <m/>
    <m/>
    <m/>
    <m/>
    <m/>
    <m/>
    <m/>
    <m/>
    <m/>
    <m/>
    <m/>
    <m/>
    <m/>
    <m/>
    <m/>
    <m/>
    <m/>
    <m/>
    <m/>
    <m/>
    <m/>
    <m/>
    <m/>
    <m/>
    <m/>
    <m/>
    <m/>
    <m/>
    <m/>
    <m/>
    <m/>
    <m/>
    <m/>
    <m/>
    <m/>
    <m/>
    <m/>
    <m/>
  </r>
  <r>
    <x v="98"/>
    <n v="2011"/>
    <x v="17"/>
    <s v="Europe and Central Asia"/>
    <m/>
    <s v="Mining"/>
    <s v="yes"/>
    <s v="no"/>
    <s v="no"/>
    <s v="Gold"/>
    <s v="detailed"/>
    <s v="detailed Mining"/>
    <n v="1178967.750448975"/>
    <m/>
    <m/>
    <m/>
    <m/>
    <s v="toz"/>
    <n v="1569.2108333333299"/>
    <s v="US$/toz"/>
    <s v="Volume from USGS Mineral Yearbook 2011. Price from World Bank (Global Economic Monitor (GEM) Commodities database), and is defined as: Gold (UK), 99.5% fine, London afternoon fixing, average of daily rates."/>
    <n v="1850048966.1551573"/>
    <m/>
    <m/>
    <m/>
    <m/>
    <m/>
    <m/>
    <m/>
    <m/>
    <m/>
    <m/>
    <m/>
    <m/>
    <m/>
    <m/>
    <m/>
    <m/>
    <m/>
    <m/>
    <m/>
    <m/>
    <m/>
    <m/>
    <m/>
    <m/>
    <m/>
    <m/>
    <m/>
    <m/>
    <m/>
    <m/>
    <m/>
    <m/>
    <m/>
    <m/>
    <m/>
    <m/>
    <m/>
    <m/>
    <m/>
    <m/>
    <m/>
    <m/>
    <m/>
    <m/>
    <m/>
  </r>
  <r>
    <x v="98"/>
    <n v="2011"/>
    <x v="17"/>
    <s v="Europe and Central Asia"/>
    <m/>
    <s v="Mining"/>
    <s v="yes"/>
    <s v="no"/>
    <s v="no"/>
    <s v="Ilmenite &amp; leucoxene"/>
    <s v="detailed"/>
    <s v="detailed Mining"/>
    <n v="25000"/>
    <m/>
    <m/>
    <m/>
    <m/>
    <s v="t"/>
    <n v="195"/>
    <s v="US$/t"/>
    <s v="Volume from USGS Mineral Yearbook 2011. Price from USGS Mineral Commodity Summary 2013, and is the f.o.b. price in Australia for a bulk product with a minimum TiO2 content of 54%."/>
    <n v="4875000"/>
    <m/>
    <m/>
    <m/>
    <m/>
    <m/>
    <m/>
    <m/>
    <m/>
    <m/>
    <m/>
    <m/>
    <m/>
    <m/>
    <m/>
    <m/>
    <m/>
    <m/>
    <m/>
    <m/>
    <m/>
    <m/>
    <m/>
    <m/>
    <m/>
    <m/>
    <m/>
    <m/>
    <m/>
    <m/>
    <m/>
    <m/>
    <m/>
    <m/>
    <m/>
    <m/>
    <m/>
    <m/>
    <m/>
    <m/>
    <m/>
    <m/>
    <m/>
    <m/>
    <m/>
    <m/>
  </r>
  <r>
    <x v="98"/>
    <n v="2011"/>
    <x v="17"/>
    <s v="Europe and Central Asia"/>
    <m/>
    <s v="Mining"/>
    <s v="yes"/>
    <s v="no"/>
    <s v="no"/>
    <s v="Iron ore"/>
    <s v="detailed"/>
    <s v="detailed Mining"/>
    <n v="24812800"/>
    <m/>
    <m/>
    <m/>
    <m/>
    <s v="t"/>
    <n v="167.75416666666999"/>
    <s v="US$/t"/>
    <s v="Volume from USGS Mineral Yearbook 2011. Price from World Bank (Global Economic Monitor (GEM) Commodities database), and is defined as: Iron ore (any origin) fines, spot price, c.f.r. China, 62% Fe."/>
    <n v="4162450586.666749"/>
    <m/>
    <m/>
    <m/>
    <m/>
    <m/>
    <m/>
    <m/>
    <m/>
    <m/>
    <m/>
    <m/>
    <m/>
    <m/>
    <m/>
    <m/>
    <m/>
    <m/>
    <m/>
    <m/>
    <m/>
    <m/>
    <m/>
    <m/>
    <m/>
    <m/>
    <m/>
    <m/>
    <m/>
    <m/>
    <m/>
    <m/>
    <m/>
    <m/>
    <m/>
    <m/>
    <m/>
    <m/>
    <m/>
    <m/>
    <m/>
    <m/>
    <m/>
    <m/>
    <m/>
    <m/>
  </r>
  <r>
    <x v="98"/>
    <n v="2011"/>
    <x v="17"/>
    <s v="Europe and Central Asia"/>
    <m/>
    <s v="Mining"/>
    <s v="yes"/>
    <s v="no"/>
    <s v="no"/>
    <s v="Manganese"/>
    <s v="detailed"/>
    <s v="detailed Mining"/>
    <m/>
    <m/>
    <m/>
    <m/>
    <m/>
    <m/>
    <n v="7.88"/>
    <s v="US$/t"/>
    <s v="Price from USGS Mineral Commodity Summary 2013, and is the c.i.f. price at US ports for metallurgical ore with 46-48% manganese content. "/>
    <n v="7722400"/>
    <m/>
    <m/>
    <m/>
    <m/>
    <m/>
    <m/>
    <m/>
    <m/>
    <m/>
    <m/>
    <m/>
    <m/>
    <m/>
    <m/>
    <m/>
    <m/>
    <m/>
    <m/>
    <m/>
    <m/>
    <m/>
    <m/>
    <m/>
    <m/>
    <m/>
    <m/>
    <m/>
    <m/>
    <m/>
    <m/>
    <m/>
    <m/>
    <m/>
    <m/>
    <m/>
    <m/>
    <m/>
    <m/>
    <m/>
    <m/>
    <m/>
    <m/>
    <m/>
    <m/>
    <m/>
  </r>
  <r>
    <x v="98"/>
    <n v="2011"/>
    <x v="17"/>
    <s v="Europe and Central Asia"/>
    <m/>
    <s v="Mining"/>
    <s v="yes"/>
    <s v="no"/>
    <s v="no"/>
    <s v="o/w Gross weight"/>
    <s v="detailed"/>
    <s v="detailed Mining"/>
    <n v="4063000"/>
    <m/>
    <m/>
    <m/>
    <m/>
    <s v="t"/>
    <m/>
    <m/>
    <s v="Volume from USGS Mineral Yearbook 2011"/>
    <m/>
    <m/>
    <m/>
    <m/>
    <m/>
    <m/>
    <m/>
    <m/>
    <m/>
    <m/>
    <m/>
    <m/>
    <m/>
    <m/>
    <m/>
    <m/>
    <m/>
    <m/>
    <m/>
    <m/>
    <m/>
    <m/>
    <m/>
    <m/>
    <m/>
    <m/>
    <m/>
    <m/>
    <m/>
    <m/>
    <m/>
    <m/>
    <m/>
    <m/>
    <m/>
    <m/>
    <m/>
    <m/>
    <m/>
    <m/>
    <m/>
    <m/>
    <m/>
    <m/>
    <m/>
    <m/>
  </r>
  <r>
    <x v="98"/>
    <n v="2011"/>
    <x v="17"/>
    <s v="Europe and Central Asia"/>
    <m/>
    <s v="Mining"/>
    <s v="yes"/>
    <s v="no"/>
    <s v="no"/>
    <s v="o/w Mn content"/>
    <s v="detailed"/>
    <s v="detailed Mining"/>
    <n v="980000"/>
    <m/>
    <m/>
    <m/>
    <m/>
    <s v="t"/>
    <m/>
    <m/>
    <s v="Volume from USGS Mineral Yearbook 2011"/>
    <m/>
    <m/>
    <m/>
    <m/>
    <m/>
    <m/>
    <m/>
    <m/>
    <m/>
    <m/>
    <m/>
    <m/>
    <m/>
    <m/>
    <m/>
    <m/>
    <m/>
    <m/>
    <m/>
    <m/>
    <m/>
    <m/>
    <m/>
    <m/>
    <m/>
    <m/>
    <m/>
    <m/>
    <m/>
    <m/>
    <m/>
    <m/>
    <m/>
    <m/>
    <m/>
    <m/>
    <m/>
    <m/>
    <m/>
    <m/>
    <m/>
    <m/>
    <m/>
    <m/>
    <m/>
    <m/>
  </r>
  <r>
    <x v="98"/>
    <n v="2011"/>
    <x v="17"/>
    <s v="Europe and Central Asia"/>
    <m/>
    <s v="Mining"/>
    <s v="yes"/>
    <s v="no"/>
    <s v="no"/>
    <s v="Nickel (nickel content of laterite ore)"/>
    <s v="detailed"/>
    <s v="detailed Mining"/>
    <n v="500"/>
    <m/>
    <m/>
    <m/>
    <m/>
    <s v="t"/>
    <n v="22910.356666666699"/>
    <s v="US$/t"/>
    <s v="Volume from USGS Mineral Yearbook 2011. Price from World Bank (Global Economic Monitor (GEM) Commodities database), and is defined as: Nickel (LME), cathodes, minimum 99.8% purity, settlement price beginning 2005; previously cash price."/>
    <n v="11455178.333333349"/>
    <m/>
    <m/>
    <m/>
    <m/>
    <m/>
    <m/>
    <m/>
    <m/>
    <m/>
    <m/>
    <m/>
    <m/>
    <m/>
    <m/>
    <m/>
    <m/>
    <m/>
    <m/>
    <m/>
    <m/>
    <m/>
    <m/>
    <m/>
    <m/>
    <m/>
    <m/>
    <m/>
    <m/>
    <m/>
    <m/>
    <m/>
    <m/>
    <m/>
    <m/>
    <m/>
    <m/>
    <m/>
    <m/>
    <m/>
    <m/>
    <m/>
    <m/>
    <m/>
    <m/>
    <m/>
  </r>
  <r>
    <x v="98"/>
    <n v="2011"/>
    <x v="17"/>
    <s v="Europe and Central Asia"/>
    <m/>
    <s v="Mining"/>
    <s v="yes"/>
    <s v="no"/>
    <s v="no"/>
    <s v="Phoshpate rock (beneficated)"/>
    <s v="detailed"/>
    <s v="detailed Mining"/>
    <n v="1600000"/>
    <m/>
    <m/>
    <m/>
    <m/>
    <s v="t"/>
    <n v="184.89583333332999"/>
    <s v="US$/t"/>
    <s v="Volume from USGS Mineral Yearbook 2011. Price from World Bank (Global Economic Monitor (GEM) Commodities database), and is defined as: Phosphate rock (Morocco), 70% BPL, contract, f.a.s. Casablanca."/>
    <n v="295833333.33332801"/>
    <m/>
    <m/>
    <m/>
    <m/>
    <m/>
    <m/>
    <m/>
    <m/>
    <m/>
    <m/>
    <m/>
    <m/>
    <m/>
    <m/>
    <m/>
    <m/>
    <m/>
    <m/>
    <m/>
    <m/>
    <m/>
    <m/>
    <m/>
    <m/>
    <m/>
    <m/>
    <m/>
    <m/>
    <m/>
    <m/>
    <m/>
    <m/>
    <m/>
    <m/>
    <m/>
    <m/>
    <m/>
    <m/>
    <m/>
    <m/>
    <m/>
    <m/>
    <m/>
    <m/>
    <m/>
  </r>
  <r>
    <x v="98"/>
    <n v="2011"/>
    <x v="17"/>
    <s v="Europe and Central Asia"/>
    <m/>
    <s v="Mining"/>
    <s v="yes"/>
    <s v="no"/>
    <s v="no"/>
    <s v="Pig iron"/>
    <s v="detailed"/>
    <s v="detailed Mining"/>
    <n v="3141200"/>
    <m/>
    <m/>
    <m/>
    <m/>
    <s v="t"/>
    <m/>
    <m/>
    <s v="Volume from USGS Mineral Yearbook 2011"/>
    <m/>
    <m/>
    <m/>
    <m/>
    <m/>
    <m/>
    <m/>
    <m/>
    <m/>
    <m/>
    <m/>
    <m/>
    <m/>
    <m/>
    <m/>
    <m/>
    <m/>
    <m/>
    <m/>
    <m/>
    <m/>
    <m/>
    <m/>
    <m/>
    <m/>
    <m/>
    <m/>
    <m/>
    <m/>
    <m/>
    <m/>
    <m/>
    <m/>
    <m/>
    <m/>
    <m/>
    <m/>
    <m/>
    <m/>
    <m/>
    <m/>
    <m/>
    <m/>
    <m/>
    <m/>
    <m/>
  </r>
  <r>
    <x v="98"/>
    <n v="2011"/>
    <x v="17"/>
    <s v="Europe and Central Asia"/>
    <m/>
    <s v="Mining"/>
    <s v="yes"/>
    <s v="no"/>
    <s v="no"/>
    <s v="Silicon (metal)"/>
    <s v="detailed"/>
    <s v="detailed Mining"/>
    <n v="8000"/>
    <m/>
    <m/>
    <m/>
    <m/>
    <s v="t"/>
    <n v="3483.3065838903685"/>
    <s v="US$/t"/>
    <s v="Volume from USGS Mineral Yearbook 2011. Price from USGS Mineral Commodity Summary 2014, and is the price for the metallurgical-grade metal in the US."/>
    <n v="27866452.67112295"/>
    <m/>
    <m/>
    <m/>
    <m/>
    <m/>
    <m/>
    <m/>
    <m/>
    <m/>
    <m/>
    <m/>
    <m/>
    <m/>
    <m/>
    <m/>
    <m/>
    <m/>
    <m/>
    <m/>
    <m/>
    <m/>
    <m/>
    <m/>
    <m/>
    <m/>
    <m/>
    <m/>
    <m/>
    <m/>
    <m/>
    <m/>
    <m/>
    <m/>
    <m/>
    <m/>
    <m/>
    <m/>
    <m/>
    <m/>
    <m/>
    <m/>
    <m/>
    <m/>
    <m/>
    <m/>
  </r>
  <r>
    <x v="98"/>
    <n v="2011"/>
    <x v="17"/>
    <s v="Europe and Central Asia"/>
    <m/>
    <s v="Mining"/>
    <s v="yes"/>
    <s v="no"/>
    <s v="no"/>
    <s v="Titanium sponge"/>
    <s v="detailed"/>
    <s v="detailed Mining"/>
    <n v="20700"/>
    <m/>
    <m/>
    <m/>
    <m/>
    <s v="t"/>
    <n v="9930"/>
    <s v="US$/t"/>
    <s v="Volume from USGS Mineral Yearbook 2011. Price from USGS Mineral Commodity Summary 2013, and is the year-end price in the US."/>
    <n v="205551000"/>
    <m/>
    <m/>
    <m/>
    <m/>
    <m/>
    <m/>
    <m/>
    <m/>
    <m/>
    <m/>
    <m/>
    <m/>
    <m/>
    <m/>
    <m/>
    <m/>
    <m/>
    <m/>
    <m/>
    <m/>
    <m/>
    <m/>
    <m/>
    <m/>
    <m/>
    <m/>
    <m/>
    <m/>
    <m/>
    <m/>
    <m/>
    <m/>
    <m/>
    <m/>
    <m/>
    <m/>
    <m/>
    <m/>
    <m/>
    <m/>
    <m/>
    <m/>
    <m/>
    <m/>
    <m/>
  </r>
  <r>
    <x v="98"/>
    <n v="2011"/>
    <x v="17"/>
    <s v="Europe and Central Asia"/>
    <m/>
    <s v="Mining"/>
    <s v="yes"/>
    <s v="no"/>
    <s v="no"/>
    <s v="Uranium"/>
    <s v="detailed"/>
    <s v="detailed Mining"/>
    <m/>
    <m/>
    <m/>
    <m/>
    <m/>
    <m/>
    <m/>
    <m/>
    <m/>
    <m/>
    <m/>
    <m/>
    <m/>
    <m/>
    <m/>
    <m/>
    <m/>
    <m/>
    <m/>
    <m/>
    <m/>
    <m/>
    <m/>
    <m/>
    <m/>
    <m/>
    <m/>
    <m/>
    <m/>
    <m/>
    <m/>
    <m/>
    <m/>
    <m/>
    <m/>
    <m/>
    <m/>
    <m/>
    <m/>
    <m/>
    <m/>
    <m/>
    <m/>
    <m/>
    <m/>
    <m/>
    <m/>
    <m/>
    <m/>
    <m/>
    <m/>
    <m/>
    <m/>
    <m/>
    <m/>
  </r>
  <r>
    <x v="98"/>
    <n v="2011"/>
    <x v="17"/>
    <s v="Europe and Central Asia"/>
    <m/>
    <s v="Mining"/>
    <s v="yes"/>
    <s v="no"/>
    <s v="no"/>
    <s v="o/w U content"/>
    <s v="detailed"/>
    <s v="detailed Mining"/>
    <n v="19451"/>
    <m/>
    <m/>
    <m/>
    <m/>
    <s v="t"/>
    <m/>
    <m/>
    <s v="Volume from USGS Mineral Yearbook 2011"/>
    <m/>
    <m/>
    <m/>
    <m/>
    <m/>
    <m/>
    <m/>
    <m/>
    <m/>
    <m/>
    <m/>
    <m/>
    <m/>
    <m/>
    <m/>
    <m/>
    <m/>
    <m/>
    <m/>
    <m/>
    <m/>
    <m/>
    <m/>
    <m/>
    <m/>
    <m/>
    <m/>
    <m/>
    <m/>
    <m/>
    <m/>
    <m/>
    <m/>
    <m/>
    <m/>
    <m/>
    <m/>
    <m/>
    <m/>
    <m/>
    <m/>
    <m/>
    <m/>
    <m/>
    <m/>
    <m/>
  </r>
  <r>
    <x v="98"/>
    <n v="2011"/>
    <x v="17"/>
    <s v="Europe and Central Asia"/>
    <m/>
    <s v="Mining"/>
    <s v="yes"/>
    <s v="no"/>
    <s v="no"/>
    <s v="o/w U3O8 content"/>
    <s v="detailed"/>
    <s v="detailed Mining"/>
    <n v="22939"/>
    <m/>
    <m/>
    <m/>
    <m/>
    <s v="t"/>
    <m/>
    <m/>
    <s v="Volume from USGS Mineral Yearbook 2011"/>
    <m/>
    <m/>
    <m/>
    <m/>
    <m/>
    <m/>
    <m/>
    <m/>
    <m/>
    <m/>
    <m/>
    <m/>
    <m/>
    <m/>
    <m/>
    <m/>
    <m/>
    <m/>
    <m/>
    <m/>
    <m/>
    <m/>
    <m/>
    <m/>
    <m/>
    <m/>
    <m/>
    <m/>
    <m/>
    <m/>
    <m/>
    <m/>
    <m/>
    <m/>
    <m/>
    <m/>
    <m/>
    <m/>
    <m/>
    <m/>
    <m/>
    <m/>
    <m/>
    <m/>
    <m/>
    <m/>
  </r>
  <r>
    <x v="98"/>
    <n v="2011"/>
    <x v="17"/>
    <s v="Europe and Central Asia"/>
    <m/>
    <s v="Mining"/>
    <s v="yes"/>
    <s v="no"/>
    <s v="no"/>
    <s v="Zinc"/>
    <s v="detailed"/>
    <s v="detailed Mining"/>
    <m/>
    <m/>
    <m/>
    <m/>
    <m/>
    <m/>
    <n v="2193.90041666667"/>
    <s v="US$/t"/>
    <s v="Price from World Bank (Global Economic Monitor (GEM) Commodities database), and is defined as: Zinc (LME), high grade, minimum 99.95% purity, settlement price beginning April 1990; previously special high grade, minimum 99.995%, cash prices."/>
    <n v="701504046.03000104"/>
    <m/>
    <m/>
    <m/>
    <m/>
    <m/>
    <m/>
    <m/>
    <m/>
    <m/>
    <m/>
    <m/>
    <m/>
    <m/>
    <m/>
    <m/>
    <m/>
    <m/>
    <m/>
    <m/>
    <m/>
    <m/>
    <m/>
    <m/>
    <m/>
    <m/>
    <m/>
    <m/>
    <m/>
    <m/>
    <m/>
    <m/>
    <m/>
    <m/>
    <m/>
    <m/>
    <m/>
    <m/>
    <m/>
    <m/>
    <m/>
    <m/>
    <m/>
    <m/>
    <m/>
    <m/>
  </r>
  <r>
    <x v="98"/>
    <n v="2011"/>
    <x v="17"/>
    <s v="Europe and Central Asia"/>
    <m/>
    <s v="Mining"/>
    <s v="yes"/>
    <s v="no"/>
    <s v="no"/>
    <s v="o/w Zinc content of concentrate"/>
    <s v="detailed"/>
    <s v="detailed Mining"/>
    <n v="420000"/>
    <m/>
    <m/>
    <m/>
    <m/>
    <s v="t"/>
    <m/>
    <m/>
    <s v="Volume from USGS Mineral Yearbook 2011"/>
    <m/>
    <m/>
    <m/>
    <m/>
    <m/>
    <m/>
    <m/>
    <m/>
    <m/>
    <m/>
    <m/>
    <m/>
    <m/>
    <m/>
    <m/>
    <m/>
    <m/>
    <m/>
    <m/>
    <m/>
    <m/>
    <m/>
    <m/>
    <m/>
    <m/>
    <m/>
    <m/>
    <m/>
    <m/>
    <m/>
    <m/>
    <m/>
    <m/>
    <m/>
    <m/>
    <m/>
    <m/>
    <m/>
    <m/>
    <m/>
    <m/>
    <m/>
    <m/>
    <m/>
    <m/>
    <m/>
  </r>
  <r>
    <x v="98"/>
    <n v="2011"/>
    <x v="17"/>
    <s v="Europe and Central Asia"/>
    <m/>
    <s v="Mining"/>
    <s v="yes"/>
    <s v="no"/>
    <s v="no"/>
    <s v="o/w Smelter (primary, secondary)"/>
    <s v="detailed"/>
    <s v="detailed Mining"/>
    <n v="319752"/>
    <m/>
    <m/>
    <m/>
    <m/>
    <s v="t"/>
    <m/>
    <m/>
    <s v="Volume from USGS Mineral Yearbook 2011"/>
    <m/>
    <m/>
    <m/>
    <m/>
    <m/>
    <m/>
    <m/>
    <m/>
    <m/>
    <m/>
    <m/>
    <m/>
    <m/>
    <m/>
    <m/>
    <m/>
    <m/>
    <m/>
    <m/>
    <m/>
    <m/>
    <m/>
    <m/>
    <m/>
    <m/>
    <m/>
    <m/>
    <m/>
    <m/>
    <m/>
    <m/>
    <m/>
    <m/>
    <m/>
    <m/>
    <m/>
    <m/>
    <m/>
    <m/>
    <m/>
    <m/>
    <m/>
    <m/>
    <m/>
    <m/>
    <m/>
  </r>
  <r>
    <x v="99"/>
    <n v="2012"/>
    <x v="17"/>
    <s v="Europe and Central Asia"/>
    <s v="http://eiti.org.kg/"/>
    <s v="Oil, Gas, Mining"/>
    <m/>
    <m/>
    <m/>
    <s v="Total"/>
    <m/>
    <m/>
    <m/>
    <m/>
    <m/>
    <m/>
    <m/>
    <m/>
    <m/>
    <m/>
    <s v="Volume from EITI Report"/>
    <m/>
    <s v="Profits/Taxes, Royalties"/>
    <s v="Does not include payments made in-kind"/>
    <s v="No"/>
    <n v="30672394366"/>
    <n v="30665150905"/>
    <m/>
    <m/>
    <m/>
    <m/>
    <s v="Kazakhstani Tenge"/>
    <n v="149.1"/>
    <s v="Disaggregated by revenue stream, Disaggregated by company"/>
    <m/>
    <m/>
    <m/>
    <m/>
    <m/>
    <m/>
    <n v="158"/>
    <s v="November 2014"/>
    <d v="2015-03-11T00:00:00"/>
    <s v="Uhy Sapa Consulting"/>
    <s v="https://eiti.org/files/EITI-Report-2012-Kazakhstan%20ANNEX.pdf"/>
    <m/>
    <s v="Companies requested to report / reporting section unclear. Missing information. Payments by company / government differ from EITI website. Some production volumes are the same in 2012 and 2013."/>
    <s v=" "/>
    <m/>
    <m/>
    <m/>
    <m/>
    <m/>
    <m/>
    <m/>
    <m/>
    <m/>
    <m/>
    <m/>
    <m/>
    <m/>
    <m/>
    <m/>
    <m/>
    <m/>
    <m/>
    <m/>
  </r>
  <r>
    <x v="99"/>
    <n v="2012"/>
    <x v="17"/>
    <s v="Europe and Central Asia"/>
    <m/>
    <s v="Oil"/>
    <m/>
    <m/>
    <m/>
    <s v="Oil"/>
    <m/>
    <m/>
    <m/>
    <m/>
    <m/>
    <n v="79200000"/>
    <m/>
    <s v="t"/>
    <m/>
    <m/>
    <m/>
    <m/>
    <m/>
    <m/>
    <m/>
    <m/>
    <m/>
    <m/>
    <m/>
    <m/>
    <m/>
    <m/>
    <m/>
    <m/>
    <m/>
    <m/>
    <m/>
    <m/>
    <m/>
    <m/>
    <m/>
    <m/>
    <m/>
    <m/>
    <m/>
    <m/>
    <m/>
    <m/>
    <m/>
    <m/>
    <m/>
    <m/>
    <m/>
    <m/>
    <m/>
    <m/>
    <m/>
    <m/>
    <m/>
    <m/>
    <m/>
    <m/>
    <m/>
    <m/>
    <m/>
    <m/>
    <m/>
  </r>
  <r>
    <x v="99"/>
    <n v="2012"/>
    <x v="17"/>
    <s v="Europe and Central Asia"/>
    <m/>
    <s v="Gas"/>
    <m/>
    <m/>
    <m/>
    <s v="Gas"/>
    <m/>
    <m/>
    <m/>
    <m/>
    <m/>
    <n v="40300000000"/>
    <m/>
    <s v="m³"/>
    <m/>
    <m/>
    <m/>
    <m/>
    <m/>
    <m/>
    <m/>
    <m/>
    <m/>
    <m/>
    <m/>
    <m/>
    <m/>
    <m/>
    <m/>
    <m/>
    <m/>
    <m/>
    <m/>
    <m/>
    <m/>
    <m/>
    <m/>
    <m/>
    <m/>
    <m/>
    <m/>
    <m/>
    <m/>
    <m/>
    <m/>
    <m/>
    <m/>
    <m/>
    <m/>
    <m/>
    <m/>
    <m/>
    <m/>
    <m/>
    <m/>
    <m/>
    <m/>
    <m/>
    <m/>
    <m/>
    <m/>
    <m/>
    <m/>
  </r>
  <r>
    <x v="99"/>
    <n v="2012"/>
    <x v="17"/>
    <s v="Europe and Central Asia"/>
    <m/>
    <s v="Mining"/>
    <s v="Total"/>
    <m/>
    <m/>
    <s v="Total"/>
    <m/>
    <m/>
    <m/>
    <m/>
    <m/>
    <m/>
    <m/>
    <m/>
    <m/>
    <m/>
    <m/>
    <m/>
    <m/>
    <m/>
    <m/>
    <m/>
    <m/>
    <m/>
    <m/>
    <m/>
    <m/>
    <m/>
    <m/>
    <m/>
    <m/>
    <m/>
    <m/>
    <m/>
    <m/>
    <m/>
    <m/>
    <m/>
    <m/>
    <m/>
    <m/>
    <m/>
    <m/>
    <m/>
    <m/>
    <m/>
    <m/>
    <m/>
    <m/>
    <m/>
    <m/>
    <m/>
    <m/>
    <m/>
    <m/>
    <m/>
    <m/>
    <m/>
    <m/>
    <m/>
    <m/>
    <m/>
    <m/>
  </r>
  <r>
    <x v="99"/>
    <n v="2012"/>
    <x v="17"/>
    <s v="Europe and Central Asia"/>
    <m/>
    <s v="Mining"/>
    <s v="Uranium"/>
    <m/>
    <m/>
    <s v="Uranium"/>
    <m/>
    <m/>
    <m/>
    <m/>
    <m/>
    <n v="21200"/>
    <m/>
    <s v="t"/>
    <m/>
    <m/>
    <m/>
    <m/>
    <m/>
    <m/>
    <m/>
    <m/>
    <m/>
    <m/>
    <m/>
    <m/>
    <m/>
    <m/>
    <m/>
    <m/>
    <m/>
    <m/>
    <m/>
    <m/>
    <m/>
    <m/>
    <m/>
    <m/>
    <m/>
    <m/>
    <m/>
    <m/>
    <m/>
    <m/>
    <m/>
    <m/>
    <m/>
    <m/>
    <m/>
    <m/>
    <m/>
    <m/>
    <m/>
    <m/>
    <m/>
    <m/>
    <m/>
    <m/>
    <m/>
    <m/>
    <m/>
    <m/>
    <m/>
  </r>
  <r>
    <x v="99"/>
    <n v="2012"/>
    <x v="17"/>
    <s v="Europe and Central Asia"/>
    <m/>
    <s v="Mining"/>
    <s v="Coal"/>
    <m/>
    <m/>
    <s v="Coal"/>
    <m/>
    <m/>
    <m/>
    <m/>
    <m/>
    <n v="107900000"/>
    <m/>
    <s v="t"/>
    <m/>
    <m/>
    <m/>
    <m/>
    <m/>
    <m/>
    <m/>
    <m/>
    <m/>
    <m/>
    <m/>
    <m/>
    <m/>
    <m/>
    <m/>
    <m/>
    <m/>
    <m/>
    <m/>
    <m/>
    <m/>
    <m/>
    <m/>
    <m/>
    <m/>
    <m/>
    <m/>
    <m/>
    <m/>
    <m/>
    <m/>
    <m/>
    <m/>
    <m/>
    <m/>
    <m/>
    <m/>
    <m/>
    <m/>
    <m/>
    <m/>
    <m/>
    <m/>
    <m/>
    <m/>
    <m/>
    <m/>
    <m/>
    <m/>
  </r>
  <r>
    <x v="99"/>
    <n v="2012"/>
    <x v="17"/>
    <s v="Europe and Central Asia"/>
    <m/>
    <s v="Mining"/>
    <s v="Gold"/>
    <m/>
    <m/>
    <s v="Gold"/>
    <m/>
    <m/>
    <m/>
    <m/>
    <m/>
    <n v="39.9"/>
    <m/>
    <s v="t"/>
    <m/>
    <m/>
    <m/>
    <m/>
    <m/>
    <m/>
    <m/>
    <m/>
    <m/>
    <m/>
    <m/>
    <m/>
    <m/>
    <m/>
    <m/>
    <m/>
    <m/>
    <m/>
    <m/>
    <m/>
    <m/>
    <m/>
    <m/>
    <m/>
    <m/>
    <m/>
    <m/>
    <m/>
    <m/>
    <m/>
    <m/>
    <m/>
    <m/>
    <m/>
    <m/>
    <m/>
    <m/>
    <m/>
    <m/>
    <m/>
    <m/>
    <m/>
    <m/>
    <m/>
    <m/>
    <m/>
    <m/>
    <m/>
    <m/>
  </r>
  <r>
    <x v="99"/>
    <n v="2012"/>
    <x v="17"/>
    <s v="Europe and Central Asia"/>
    <m/>
    <s v="Mining"/>
    <s v="Silver"/>
    <m/>
    <m/>
    <s v="Silver"/>
    <m/>
    <m/>
    <m/>
    <m/>
    <m/>
    <n v="963.5"/>
    <m/>
    <s v="t"/>
    <m/>
    <m/>
    <m/>
    <m/>
    <m/>
    <m/>
    <m/>
    <m/>
    <m/>
    <m/>
    <m/>
    <m/>
    <m/>
    <m/>
    <m/>
    <m/>
    <m/>
    <m/>
    <m/>
    <m/>
    <m/>
    <m/>
    <m/>
    <m/>
    <m/>
    <m/>
    <m/>
    <m/>
    <m/>
    <m/>
    <m/>
    <m/>
    <m/>
    <m/>
    <m/>
    <m/>
    <m/>
    <m/>
    <m/>
    <m/>
    <m/>
    <m/>
    <m/>
    <m/>
    <m/>
    <m/>
    <m/>
    <m/>
    <m/>
  </r>
  <r>
    <x v="99"/>
    <n v="2012"/>
    <x v="17"/>
    <s v="Europe and Central Asia"/>
    <m/>
    <s v="Mining"/>
    <s v="Copper"/>
    <m/>
    <m/>
    <s v="Copper"/>
    <m/>
    <m/>
    <m/>
    <m/>
    <m/>
    <n v="367100"/>
    <m/>
    <s v="t"/>
    <m/>
    <m/>
    <m/>
    <m/>
    <m/>
    <m/>
    <m/>
    <m/>
    <m/>
    <m/>
    <m/>
    <m/>
    <m/>
    <m/>
    <m/>
    <m/>
    <m/>
    <m/>
    <m/>
    <m/>
    <m/>
    <m/>
    <m/>
    <m/>
    <m/>
    <m/>
    <m/>
    <m/>
    <m/>
    <m/>
    <m/>
    <m/>
    <m/>
    <m/>
    <m/>
    <m/>
    <m/>
    <m/>
    <m/>
    <m/>
    <m/>
    <m/>
    <m/>
    <m/>
    <m/>
    <m/>
    <m/>
    <m/>
    <m/>
  </r>
  <r>
    <x v="99"/>
    <n v="2012"/>
    <x v="17"/>
    <s v="Europe and Central Asia"/>
    <m/>
    <s v="Mining"/>
    <s v="Lead &amp; Zinc"/>
    <m/>
    <m/>
    <s v="Lead"/>
    <m/>
    <m/>
    <m/>
    <m/>
    <m/>
    <n v="88100"/>
    <m/>
    <s v="t"/>
    <m/>
    <m/>
    <m/>
    <m/>
    <m/>
    <m/>
    <m/>
    <m/>
    <m/>
    <m/>
    <m/>
    <m/>
    <m/>
    <m/>
    <m/>
    <m/>
    <m/>
    <m/>
    <m/>
    <m/>
    <m/>
    <m/>
    <m/>
    <m/>
    <m/>
    <m/>
    <m/>
    <m/>
    <m/>
    <m/>
    <m/>
    <m/>
    <m/>
    <m/>
    <m/>
    <m/>
    <m/>
    <m/>
    <m/>
    <m/>
    <m/>
    <m/>
    <m/>
    <m/>
    <m/>
    <m/>
    <m/>
    <m/>
    <m/>
  </r>
  <r>
    <x v="99"/>
    <n v="2012"/>
    <x v="17"/>
    <s v="Europe and Central Asia"/>
    <m/>
    <s v="Mining"/>
    <m/>
    <m/>
    <m/>
    <s v="Zinc"/>
    <m/>
    <m/>
    <m/>
    <m/>
    <m/>
    <n v="319800"/>
    <m/>
    <s v="t"/>
    <m/>
    <m/>
    <m/>
    <m/>
    <m/>
    <m/>
    <m/>
    <m/>
    <m/>
    <m/>
    <m/>
    <m/>
    <m/>
    <m/>
    <m/>
    <m/>
    <m/>
    <m/>
    <m/>
    <m/>
    <m/>
    <m/>
    <m/>
    <m/>
    <m/>
    <m/>
    <m/>
    <m/>
    <m/>
    <m/>
    <m/>
    <m/>
    <m/>
    <m/>
    <m/>
    <m/>
    <m/>
    <m/>
    <m/>
    <m/>
    <m/>
    <m/>
    <m/>
    <m/>
    <m/>
    <m/>
    <m/>
    <m/>
    <m/>
  </r>
  <r>
    <x v="99"/>
    <n v="2012"/>
    <x v="17"/>
    <s v="Europe and Central Asia"/>
    <m/>
    <s v="Mining"/>
    <s v="Iron Ores"/>
    <m/>
    <m/>
    <s v="Iron Ores"/>
    <m/>
    <m/>
    <m/>
    <m/>
    <m/>
    <n v="52600000"/>
    <m/>
    <s v="t"/>
    <m/>
    <m/>
    <m/>
    <m/>
    <m/>
    <m/>
    <m/>
    <m/>
    <m/>
    <m/>
    <m/>
    <m/>
    <m/>
    <m/>
    <m/>
    <m/>
    <m/>
    <m/>
    <m/>
    <m/>
    <m/>
    <m/>
    <m/>
    <m/>
    <m/>
    <m/>
    <m/>
    <m/>
    <m/>
    <m/>
    <m/>
    <m/>
    <m/>
    <m/>
    <m/>
    <m/>
    <m/>
    <m/>
    <m/>
    <m/>
    <m/>
    <m/>
    <m/>
    <m/>
    <m/>
    <m/>
    <m/>
    <m/>
    <m/>
  </r>
  <r>
    <x v="99"/>
    <n v="2012"/>
    <x v="17"/>
    <s v="Europe and Central Asia"/>
    <m/>
    <s v="Mining"/>
    <s v="Manganese Ores"/>
    <m/>
    <m/>
    <s v="Manganese Ores"/>
    <m/>
    <m/>
    <m/>
    <m/>
    <m/>
    <n v="3000000"/>
    <m/>
    <s v="t"/>
    <m/>
    <m/>
    <m/>
    <m/>
    <m/>
    <m/>
    <m/>
    <m/>
    <m/>
    <m/>
    <m/>
    <m/>
    <m/>
    <m/>
    <m/>
    <m/>
    <m/>
    <m/>
    <m/>
    <m/>
    <m/>
    <m/>
    <m/>
    <m/>
    <m/>
    <m/>
    <m/>
    <m/>
    <m/>
    <m/>
    <m/>
    <m/>
    <m/>
    <m/>
    <m/>
    <m/>
    <m/>
    <m/>
    <m/>
    <m/>
    <m/>
    <m/>
    <m/>
    <m/>
    <m/>
    <m/>
    <m/>
    <m/>
    <m/>
  </r>
  <r>
    <x v="99"/>
    <n v="2012"/>
    <x v="17"/>
    <s v="Europe and Central Asia"/>
    <m/>
    <s v="Mining"/>
    <s v="Bauxites"/>
    <m/>
    <m/>
    <s v="Bauxites"/>
    <m/>
    <m/>
    <m/>
    <m/>
    <m/>
    <n v="5200000"/>
    <m/>
    <s v="t"/>
    <m/>
    <m/>
    <m/>
    <m/>
    <m/>
    <m/>
    <m/>
    <m/>
    <m/>
    <m/>
    <m/>
    <m/>
    <m/>
    <m/>
    <m/>
    <m/>
    <m/>
    <m/>
    <m/>
    <m/>
    <m/>
    <m/>
    <m/>
    <m/>
    <m/>
    <m/>
    <m/>
    <m/>
    <m/>
    <m/>
    <m/>
    <m/>
    <m/>
    <m/>
    <m/>
    <m/>
    <m/>
    <m/>
    <m/>
    <m/>
    <m/>
    <m/>
    <m/>
    <m/>
    <m/>
    <m/>
    <m/>
    <m/>
    <m/>
  </r>
  <r>
    <x v="99"/>
    <n v="2012"/>
    <x v="17"/>
    <s v="Europe and Central Asia"/>
    <m/>
    <s v="Mining"/>
    <s v="Chromites"/>
    <m/>
    <m/>
    <s v="Chromites"/>
    <m/>
    <m/>
    <m/>
    <m/>
    <m/>
    <n v="5200000"/>
    <m/>
    <s v="t"/>
    <m/>
    <m/>
    <m/>
    <m/>
    <m/>
    <m/>
    <m/>
    <m/>
    <m/>
    <m/>
    <m/>
    <m/>
    <m/>
    <m/>
    <m/>
    <m/>
    <m/>
    <m/>
    <m/>
    <m/>
    <m/>
    <m/>
    <m/>
    <m/>
    <m/>
    <m/>
    <m/>
    <m/>
    <m/>
    <m/>
    <m/>
    <m/>
    <m/>
    <m/>
    <m/>
    <m/>
    <m/>
    <m/>
    <m/>
    <m/>
    <m/>
    <m/>
    <m/>
    <m/>
    <m/>
    <m/>
    <m/>
    <m/>
    <m/>
  </r>
  <r>
    <x v="100"/>
    <n v="2013"/>
    <x v="17"/>
    <s v="Europe and Central Asia"/>
    <s v="http://eiti.org.kg/"/>
    <s v="Oil, Gas, Mining"/>
    <m/>
    <m/>
    <m/>
    <s v="Total"/>
    <m/>
    <m/>
    <m/>
    <m/>
    <m/>
    <m/>
    <m/>
    <m/>
    <m/>
    <m/>
    <s v="Volume from EITI Report"/>
    <m/>
    <s v="Profits/Taxes, Royalties, Dividends"/>
    <s v="Does not include payments made in-kind"/>
    <s v="No"/>
    <n v="30773721236"/>
    <n v="31961400394"/>
    <m/>
    <m/>
    <m/>
    <m/>
    <s v="Kazakhstani Tenge"/>
    <n v="152.1"/>
    <s v="Disaggregated by revenue stream, Disaggregated by company"/>
    <m/>
    <m/>
    <m/>
    <m/>
    <n v="208"/>
    <m/>
    <n v="203"/>
    <s v="December 2014"/>
    <m/>
    <s v="Uhy Sapa Consulting"/>
    <s v="https://eiti.org/files/EITI-2013-Report-Kazakhstan_Annex.pdf"/>
    <m/>
    <s v="Companies requested to report / reporting section unclear. Missing information. Payments by company / government differ from EITI website "/>
    <m/>
    <m/>
    <m/>
    <m/>
    <m/>
    <m/>
    <m/>
    <m/>
    <m/>
    <m/>
    <m/>
    <m/>
    <m/>
    <m/>
    <m/>
    <m/>
    <m/>
    <m/>
    <m/>
    <m/>
  </r>
  <r>
    <x v="100"/>
    <n v="2013"/>
    <x v="17"/>
    <s v="Europe and Central Asia"/>
    <m/>
    <s v="Oil"/>
    <m/>
    <m/>
    <m/>
    <s v="Oil"/>
    <m/>
    <m/>
    <m/>
    <m/>
    <m/>
    <n v="81100000"/>
    <m/>
    <s v="t"/>
    <m/>
    <m/>
    <m/>
    <m/>
    <m/>
    <m/>
    <m/>
    <m/>
    <m/>
    <m/>
    <m/>
    <m/>
    <m/>
    <m/>
    <m/>
    <m/>
    <m/>
    <m/>
    <m/>
    <m/>
    <m/>
    <m/>
    <m/>
    <m/>
    <m/>
    <m/>
    <m/>
    <m/>
    <m/>
    <m/>
    <m/>
    <m/>
    <m/>
    <m/>
    <m/>
    <m/>
    <m/>
    <m/>
    <m/>
    <m/>
    <m/>
    <m/>
    <m/>
    <m/>
    <m/>
    <m/>
    <m/>
    <m/>
    <m/>
  </r>
  <r>
    <x v="100"/>
    <n v="2013"/>
    <x v="17"/>
    <s v="Europe and Central Asia"/>
    <m/>
    <s v="Gas"/>
    <m/>
    <m/>
    <m/>
    <s v="Gas"/>
    <m/>
    <m/>
    <m/>
    <m/>
    <m/>
    <n v="42300000"/>
    <m/>
    <s v="m³"/>
    <m/>
    <m/>
    <m/>
    <m/>
    <m/>
    <m/>
    <m/>
    <m/>
    <m/>
    <m/>
    <m/>
    <m/>
    <m/>
    <m/>
    <m/>
    <m/>
    <m/>
    <m/>
    <m/>
    <m/>
    <m/>
    <m/>
    <m/>
    <m/>
    <m/>
    <m/>
    <m/>
    <m/>
    <m/>
    <m/>
    <m/>
    <m/>
    <m/>
    <m/>
    <m/>
    <m/>
    <m/>
    <m/>
    <m/>
    <m/>
    <m/>
    <m/>
    <m/>
    <m/>
    <m/>
    <m/>
    <m/>
    <m/>
    <m/>
  </r>
  <r>
    <x v="100"/>
    <n v="2013"/>
    <x v="17"/>
    <s v="Europe and Central Asia"/>
    <m/>
    <s v="Mining"/>
    <m/>
    <m/>
    <m/>
    <s v="Total"/>
    <m/>
    <m/>
    <m/>
    <m/>
    <m/>
    <m/>
    <m/>
    <m/>
    <m/>
    <m/>
    <m/>
    <m/>
    <m/>
    <m/>
    <m/>
    <m/>
    <m/>
    <m/>
    <m/>
    <m/>
    <m/>
    <m/>
    <m/>
    <m/>
    <m/>
    <m/>
    <m/>
    <m/>
    <m/>
    <m/>
    <m/>
    <m/>
    <m/>
    <m/>
    <m/>
    <m/>
    <m/>
    <m/>
    <m/>
    <m/>
    <m/>
    <m/>
    <m/>
    <m/>
    <m/>
    <m/>
    <m/>
    <m/>
    <m/>
    <m/>
    <m/>
    <m/>
    <m/>
    <m/>
    <m/>
    <m/>
    <m/>
  </r>
  <r>
    <x v="100"/>
    <n v="2013"/>
    <x v="17"/>
    <s v="Europe and Central Asia"/>
    <m/>
    <s v="Mining"/>
    <m/>
    <m/>
    <m/>
    <s v="Uranium"/>
    <m/>
    <m/>
    <m/>
    <m/>
    <m/>
    <n v="22500"/>
    <m/>
    <s v="t"/>
    <m/>
    <m/>
    <m/>
    <m/>
    <m/>
    <m/>
    <m/>
    <m/>
    <m/>
    <m/>
    <m/>
    <m/>
    <m/>
    <m/>
    <m/>
    <m/>
    <m/>
    <m/>
    <m/>
    <m/>
    <m/>
    <m/>
    <m/>
    <m/>
    <m/>
    <m/>
    <m/>
    <m/>
    <m/>
    <m/>
    <m/>
    <m/>
    <m/>
    <m/>
    <m/>
    <m/>
    <m/>
    <m/>
    <m/>
    <m/>
    <m/>
    <m/>
    <m/>
    <m/>
    <m/>
    <m/>
    <m/>
    <m/>
    <m/>
  </r>
  <r>
    <x v="100"/>
    <n v="2013"/>
    <x v="17"/>
    <s v="Europe and Central Asia"/>
    <m/>
    <s v="Mining"/>
    <m/>
    <m/>
    <m/>
    <s v="Coal"/>
    <m/>
    <m/>
    <m/>
    <m/>
    <m/>
    <n v="114600000"/>
    <m/>
    <s v="t"/>
    <m/>
    <m/>
    <m/>
    <m/>
    <m/>
    <m/>
    <m/>
    <m/>
    <m/>
    <m/>
    <m/>
    <m/>
    <m/>
    <m/>
    <m/>
    <m/>
    <m/>
    <m/>
    <m/>
    <m/>
    <m/>
    <m/>
    <m/>
    <m/>
    <m/>
    <m/>
    <m/>
    <m/>
    <m/>
    <m/>
    <m/>
    <m/>
    <m/>
    <m/>
    <m/>
    <m/>
    <m/>
    <m/>
    <m/>
    <m/>
    <m/>
    <m/>
    <m/>
    <m/>
    <m/>
    <m/>
    <m/>
    <m/>
    <m/>
  </r>
  <r>
    <x v="100"/>
    <n v="2013"/>
    <x v="17"/>
    <s v="Europe and Central Asia"/>
    <m/>
    <s v="Mining"/>
    <m/>
    <m/>
    <m/>
    <s v="Gold"/>
    <m/>
    <m/>
    <m/>
    <m/>
    <m/>
    <n v="42.3"/>
    <m/>
    <s v="t"/>
    <m/>
    <m/>
    <m/>
    <m/>
    <m/>
    <m/>
    <m/>
    <m/>
    <m/>
    <m/>
    <m/>
    <m/>
    <m/>
    <m/>
    <m/>
    <m/>
    <m/>
    <m/>
    <m/>
    <m/>
    <m/>
    <m/>
    <m/>
    <m/>
    <m/>
    <m/>
    <m/>
    <m/>
    <m/>
    <m/>
    <m/>
    <m/>
    <m/>
    <m/>
    <m/>
    <m/>
    <m/>
    <m/>
    <m/>
    <m/>
    <m/>
    <m/>
    <m/>
    <m/>
    <m/>
    <m/>
    <m/>
    <m/>
    <m/>
  </r>
  <r>
    <x v="100"/>
    <n v="2013"/>
    <x v="17"/>
    <s v="Europe and Central Asia"/>
    <m/>
    <s v="Mining"/>
    <m/>
    <m/>
    <m/>
    <s v="Silver"/>
    <m/>
    <m/>
    <m/>
    <m/>
    <m/>
    <n v="963.5"/>
    <m/>
    <s v="t"/>
    <m/>
    <m/>
    <m/>
    <m/>
    <m/>
    <m/>
    <m/>
    <m/>
    <m/>
    <m/>
    <m/>
    <m/>
    <m/>
    <m/>
    <m/>
    <m/>
    <m/>
    <m/>
    <m/>
    <m/>
    <m/>
    <m/>
    <m/>
    <m/>
    <m/>
    <m/>
    <m/>
    <m/>
    <m/>
    <m/>
    <m/>
    <m/>
    <m/>
    <m/>
    <m/>
    <m/>
    <m/>
    <m/>
    <m/>
    <m/>
    <m/>
    <m/>
    <m/>
    <m/>
    <m/>
    <m/>
    <m/>
    <m/>
    <m/>
  </r>
  <r>
    <x v="100"/>
    <n v="2013"/>
    <x v="17"/>
    <s v="Europe and Central Asia"/>
    <m/>
    <s v="Mining"/>
    <m/>
    <m/>
    <m/>
    <s v="Copper"/>
    <m/>
    <m/>
    <m/>
    <m/>
    <m/>
    <n v="350800"/>
    <m/>
    <s v="t"/>
    <m/>
    <m/>
    <m/>
    <m/>
    <m/>
    <m/>
    <m/>
    <m/>
    <m/>
    <m/>
    <m/>
    <m/>
    <m/>
    <m/>
    <m/>
    <m/>
    <m/>
    <m/>
    <m/>
    <m/>
    <m/>
    <m/>
    <m/>
    <m/>
    <m/>
    <m/>
    <m/>
    <m/>
    <m/>
    <m/>
    <m/>
    <m/>
    <m/>
    <m/>
    <m/>
    <m/>
    <m/>
    <m/>
    <m/>
    <m/>
    <m/>
    <m/>
    <m/>
    <m/>
    <m/>
    <m/>
    <m/>
    <m/>
    <m/>
  </r>
  <r>
    <x v="100"/>
    <n v="2013"/>
    <x v="17"/>
    <s v="Europe and Central Asia"/>
    <m/>
    <s v="Mining"/>
    <m/>
    <m/>
    <m/>
    <s v="Lead &amp; Zinc"/>
    <m/>
    <m/>
    <m/>
    <m/>
    <m/>
    <n v="91100"/>
    <m/>
    <s v="t"/>
    <m/>
    <m/>
    <m/>
    <m/>
    <m/>
    <m/>
    <m/>
    <m/>
    <m/>
    <m/>
    <m/>
    <m/>
    <m/>
    <m/>
    <m/>
    <m/>
    <m/>
    <m/>
    <m/>
    <m/>
    <m/>
    <m/>
    <m/>
    <m/>
    <m/>
    <m/>
    <m/>
    <m/>
    <m/>
    <m/>
    <m/>
    <m/>
    <m/>
    <m/>
    <m/>
    <m/>
    <m/>
    <m/>
    <m/>
    <m/>
    <m/>
    <m/>
    <m/>
    <m/>
    <m/>
    <m/>
    <m/>
    <m/>
    <m/>
  </r>
  <r>
    <x v="100"/>
    <n v="2013"/>
    <x v="17"/>
    <s v="Europe and Central Asia"/>
    <m/>
    <s v="Mining"/>
    <m/>
    <m/>
    <m/>
    <s v="Iron Ores"/>
    <m/>
    <m/>
    <m/>
    <m/>
    <m/>
    <n v="51700000"/>
    <m/>
    <s v="t"/>
    <m/>
    <m/>
    <m/>
    <m/>
    <m/>
    <m/>
    <m/>
    <m/>
    <m/>
    <m/>
    <m/>
    <m/>
    <m/>
    <m/>
    <m/>
    <m/>
    <m/>
    <m/>
    <m/>
    <m/>
    <m/>
    <m/>
    <m/>
    <m/>
    <m/>
    <m/>
    <m/>
    <m/>
    <m/>
    <m/>
    <m/>
    <m/>
    <m/>
    <m/>
    <m/>
    <m/>
    <m/>
    <m/>
    <m/>
    <m/>
    <m/>
    <m/>
    <m/>
    <m/>
    <m/>
    <m/>
    <m/>
    <m/>
    <m/>
  </r>
  <r>
    <x v="100"/>
    <n v="2013"/>
    <x v="17"/>
    <s v="Europe and Central Asia"/>
    <m/>
    <s v="Mining"/>
    <m/>
    <m/>
    <m/>
    <s v="Manganese Ores"/>
    <m/>
    <m/>
    <m/>
    <m/>
    <m/>
    <n v="2800000"/>
    <m/>
    <s v="t"/>
    <m/>
    <m/>
    <m/>
    <m/>
    <m/>
    <m/>
    <m/>
    <m/>
    <m/>
    <m/>
    <m/>
    <m/>
    <m/>
    <m/>
    <m/>
    <m/>
    <m/>
    <m/>
    <m/>
    <m/>
    <m/>
    <m/>
    <m/>
    <m/>
    <m/>
    <m/>
    <m/>
    <m/>
    <m/>
    <m/>
    <m/>
    <m/>
    <m/>
    <m/>
    <m/>
    <m/>
    <m/>
    <m/>
    <m/>
    <m/>
    <m/>
    <m/>
    <m/>
    <m/>
    <m/>
    <m/>
    <m/>
    <m/>
    <m/>
  </r>
  <r>
    <x v="100"/>
    <n v="2013"/>
    <x v="17"/>
    <s v="Europe and Central Asia"/>
    <m/>
    <s v="Mining"/>
    <m/>
    <m/>
    <m/>
    <s v="Bauxites"/>
    <m/>
    <m/>
    <m/>
    <m/>
    <m/>
    <n v="5200000"/>
    <m/>
    <s v="t"/>
    <m/>
    <m/>
    <m/>
    <m/>
    <m/>
    <m/>
    <m/>
    <m/>
    <m/>
    <m/>
    <m/>
    <m/>
    <m/>
    <m/>
    <m/>
    <m/>
    <m/>
    <m/>
    <m/>
    <m/>
    <m/>
    <m/>
    <m/>
    <m/>
    <m/>
    <m/>
    <m/>
    <m/>
    <m/>
    <m/>
    <m/>
    <m/>
    <m/>
    <m/>
    <m/>
    <m/>
    <m/>
    <m/>
    <m/>
    <m/>
    <m/>
    <m/>
    <m/>
    <m/>
    <m/>
    <m/>
    <m/>
    <m/>
    <m/>
  </r>
  <r>
    <x v="100"/>
    <n v="2013"/>
    <x v="17"/>
    <s v="Europe and Central Asia"/>
    <m/>
    <s v="Mining"/>
    <m/>
    <m/>
    <m/>
    <s v="Chromites"/>
    <m/>
    <m/>
    <m/>
    <m/>
    <m/>
    <n v="5200000"/>
    <m/>
    <s v="t"/>
    <m/>
    <m/>
    <m/>
    <m/>
    <m/>
    <m/>
    <m/>
    <m/>
    <m/>
    <m/>
    <m/>
    <m/>
    <m/>
    <m/>
    <m/>
    <m/>
    <m/>
    <m/>
    <m/>
    <m/>
    <m/>
    <m/>
    <m/>
    <m/>
    <m/>
    <m/>
    <m/>
    <m/>
    <m/>
    <m/>
    <m/>
    <m/>
    <m/>
    <m/>
    <m/>
    <m/>
    <m/>
    <m/>
    <m/>
    <m/>
    <m/>
    <m/>
    <m/>
    <m/>
    <m/>
    <m/>
    <m/>
    <m/>
    <m/>
  </r>
  <r>
    <x v="101"/>
    <n v="2004"/>
    <x v="18"/>
    <s v="Europe and Central Asia"/>
    <s v="http://eiti.org.kg/"/>
    <s v="Mining"/>
    <s v="yes"/>
    <s v="no"/>
    <s v="no"/>
    <s v="Total"/>
    <s v="Total"/>
    <s v="Total Mining"/>
    <m/>
    <m/>
    <m/>
    <m/>
    <m/>
    <m/>
    <m/>
    <m/>
    <m/>
    <n v="384220160.45371902"/>
    <s v="Profits/Taxes, Royalties, Licenses and concessions, Other significant benefits to government"/>
    <s v="Does not include payments made in-kind"/>
    <s v="-"/>
    <n v="30473246"/>
    <n v="120576226"/>
    <m/>
    <m/>
    <m/>
    <n v="7.9311939186154798E-2"/>
    <s v="Kyrgyzstan Som"/>
    <n v="42.61"/>
    <s v="Disaggregated by revenue stream"/>
    <m/>
    <m/>
    <m/>
    <m/>
    <n v="2"/>
    <s v="Not given"/>
    <n v="2"/>
    <s v="November 2009"/>
    <d v="2014-09-29T00:00:00"/>
    <s v="W Jacbos Audit CJSC"/>
    <s v="http://eiti.org/files/Kyrgyz%20Republic%202008%20EITI%20Report_0.pdf"/>
    <s v="Annex 3"/>
    <s v="The 2008 EITI Report contains the figures for 2004 (though the figures given for 2004 in the 2009, 2010 and 2011 reports are significantly different). No other information is given however. The 2011 Report indicates that mining exports were worth US$230m in 2004."/>
    <m/>
    <m/>
    <m/>
    <m/>
    <m/>
    <m/>
    <m/>
    <m/>
    <m/>
    <m/>
    <m/>
    <m/>
    <m/>
    <m/>
    <m/>
    <m/>
    <m/>
    <m/>
    <m/>
    <m/>
  </r>
  <r>
    <x v="101"/>
    <n v="2004"/>
    <x v="18"/>
    <s v="Europe and Central Asia"/>
    <m/>
    <s v="Mining"/>
    <s v="yes"/>
    <s v="no"/>
    <s v="no"/>
    <s v="Coal"/>
    <s v="detailed"/>
    <s v="detailed Mining"/>
    <n v="453592"/>
    <m/>
    <m/>
    <m/>
    <m/>
    <s v="t"/>
    <n v="69.798891942663829"/>
    <s v="US$/t"/>
    <s v="Volume from USGS Mineral Yearbook 2007. Price from BPSR 2014, and is an average of the American Central Appalachian, Asian and Northwest Europe marker/spot prices."/>
    <n v="31660218.994056772"/>
    <m/>
    <m/>
    <m/>
    <m/>
    <m/>
    <m/>
    <m/>
    <m/>
    <m/>
    <m/>
    <m/>
    <m/>
    <m/>
    <m/>
    <m/>
    <m/>
    <m/>
    <m/>
    <m/>
    <m/>
    <m/>
    <m/>
    <m/>
    <m/>
    <s v="This commodity is not mentioned in the EITI Report, but its production is reported on in the USGS Mineral Yearbook 2007."/>
    <m/>
    <m/>
    <m/>
    <m/>
    <m/>
    <m/>
    <m/>
    <m/>
    <m/>
    <m/>
    <m/>
    <m/>
    <m/>
    <m/>
    <m/>
    <m/>
    <m/>
    <m/>
    <m/>
    <m/>
  </r>
  <r>
    <x v="101"/>
    <n v="2004"/>
    <x v="18"/>
    <s v="Europe and Central Asia"/>
    <m/>
    <s v="Mining"/>
    <s v="yes"/>
    <s v="no"/>
    <s v="no"/>
    <s v="Gold"/>
    <s v="detailed"/>
    <s v="detailed Mining"/>
    <n v="657321.94322141516"/>
    <m/>
    <m/>
    <m/>
    <m/>
    <s v="toz"/>
    <n v="409.21158333333"/>
    <s v="US$/toz"/>
    <s v="Volume from USGS Mineral Yearbook 2007. Price from World Bank (Global Economic Monitor (GEM) Commodities database), and is defined as: Gold (UK), 99.5% fine, London afternoon fixing, average of daily rates."/>
    <n v="268983753.14537656"/>
    <m/>
    <m/>
    <m/>
    <m/>
    <m/>
    <m/>
    <m/>
    <m/>
    <m/>
    <m/>
    <m/>
    <m/>
    <m/>
    <m/>
    <m/>
    <m/>
    <m/>
    <m/>
    <m/>
    <m/>
    <m/>
    <m/>
    <m/>
    <m/>
    <s v="This commodity is not mentioned in the EITI Report, but its production is reported on in the USGS Mineral Yearbook 2007."/>
    <m/>
    <m/>
    <m/>
    <m/>
    <m/>
    <m/>
    <m/>
    <m/>
    <m/>
    <m/>
    <m/>
    <m/>
    <m/>
    <m/>
    <m/>
    <m/>
    <m/>
    <m/>
    <m/>
    <m/>
  </r>
  <r>
    <x v="101"/>
    <n v="2004"/>
    <x v="18"/>
    <s v="Europe and Central Asia"/>
    <m/>
    <s v="Mining"/>
    <s v="yes"/>
    <s v="no"/>
    <s v="no"/>
    <s v="Gypsum"/>
    <s v="detailed"/>
    <s v="detailed Mining"/>
    <n v="14000"/>
    <m/>
    <m/>
    <m/>
    <m/>
    <s v="t"/>
    <n v="14.14"/>
    <s v="US$/t"/>
    <s v="Volume from USGS Mineral Yearbook 2007. Price from USGS Mineral Commodity Summary 2009, and is the average f.o.b. price for crude and calcined products."/>
    <n v="197960"/>
    <m/>
    <m/>
    <m/>
    <m/>
    <m/>
    <m/>
    <m/>
    <m/>
    <m/>
    <m/>
    <m/>
    <m/>
    <m/>
    <m/>
    <m/>
    <m/>
    <m/>
    <m/>
    <m/>
    <m/>
    <m/>
    <m/>
    <m/>
    <m/>
    <s v="This commodity is not mentioned in the EITI Report, but its production is reported on in the USGS Mineral Yearbook 2007."/>
    <m/>
    <m/>
    <m/>
    <m/>
    <m/>
    <m/>
    <m/>
    <m/>
    <m/>
    <m/>
    <m/>
    <m/>
    <m/>
    <m/>
    <m/>
    <m/>
    <m/>
    <m/>
    <m/>
    <m/>
  </r>
  <r>
    <x v="101"/>
    <n v="2004"/>
    <x v="18"/>
    <s v="Europe and Central Asia"/>
    <m/>
    <s v="Mining"/>
    <s v="yes"/>
    <s v="no"/>
    <s v="no"/>
    <s v="Kaolin clay"/>
    <s v="detailed"/>
    <s v="detailed Mining"/>
    <n v="400000"/>
    <m/>
    <m/>
    <m/>
    <m/>
    <s v="t"/>
    <n v="121"/>
    <s v="US$/t"/>
    <s v="Volume from USGS Mineral Yearbook 2007. Price from USGS Mineral Commodity 2009, and is the price for kaolin clay in the US."/>
    <n v="48400000"/>
    <m/>
    <m/>
    <m/>
    <m/>
    <m/>
    <m/>
    <m/>
    <m/>
    <m/>
    <m/>
    <m/>
    <m/>
    <m/>
    <m/>
    <m/>
    <m/>
    <m/>
    <m/>
    <m/>
    <m/>
    <m/>
    <m/>
    <m/>
    <m/>
    <s v="This commodity is not mentioned in the EITI Report, but its production is reported on in the USGS Mineral Yearbook 2007."/>
    <m/>
    <m/>
    <m/>
    <m/>
    <m/>
    <m/>
    <m/>
    <m/>
    <m/>
    <m/>
    <m/>
    <m/>
    <m/>
    <m/>
    <m/>
    <m/>
    <m/>
    <m/>
    <m/>
    <m/>
  </r>
  <r>
    <x v="101"/>
    <n v="2004"/>
    <x v="18"/>
    <s v="Europe and Central Asia"/>
    <m/>
    <s v="Mining"/>
    <s v="yes"/>
    <s v="no"/>
    <s v="no"/>
    <s v="Lime (dead-burned)"/>
    <s v="detailed"/>
    <s v="detailed Mining"/>
    <n v="11200"/>
    <m/>
    <m/>
    <m/>
    <m/>
    <s v="t"/>
    <n v="77.3"/>
    <s v="US$/t"/>
    <s v="Volume from USGS Mineral Yearbook 2007. Price from USGS Mineral Commodity Summary 2009, and is the average plant price for quicklime and hydrate products in the US."/>
    <n v="865760"/>
    <m/>
    <m/>
    <m/>
    <m/>
    <m/>
    <m/>
    <m/>
    <m/>
    <m/>
    <m/>
    <m/>
    <m/>
    <m/>
    <m/>
    <m/>
    <m/>
    <m/>
    <m/>
    <m/>
    <m/>
    <m/>
    <m/>
    <m/>
    <m/>
    <s v="This commodity is not mentioned in the EITI Report, but its production is reported on in the USGS Mineral Yearbook 2007."/>
    <m/>
    <m/>
    <m/>
    <m/>
    <m/>
    <m/>
    <m/>
    <m/>
    <m/>
    <m/>
    <m/>
    <m/>
    <m/>
    <m/>
    <m/>
    <m/>
    <m/>
    <m/>
    <m/>
    <m/>
  </r>
  <r>
    <x v="101"/>
    <n v="2004"/>
    <x v="18"/>
    <s v="Europe and Central Asia"/>
    <m/>
    <s v="Mining"/>
    <s v="yes"/>
    <s v="no"/>
    <s v="no"/>
    <s v="Limestone (crude)"/>
    <s v="detailed"/>
    <s v="detailed Mining"/>
    <n v="445050"/>
    <m/>
    <m/>
    <m/>
    <m/>
    <s v="t"/>
    <n v="5.68"/>
    <s v="US$/t"/>
    <s v="Volume from USGS Mineral Yearbook 2007. Price from USGS Mineral Yearbook 2005, and is the price in the US for crushed limestone."/>
    <n v="2527884"/>
    <m/>
    <m/>
    <m/>
    <m/>
    <m/>
    <m/>
    <m/>
    <m/>
    <m/>
    <m/>
    <m/>
    <m/>
    <m/>
    <m/>
    <m/>
    <m/>
    <m/>
    <m/>
    <m/>
    <m/>
    <m/>
    <m/>
    <m/>
    <m/>
    <s v="This commodity is not mentioned in the EITI Report, but its production is reported on in the USGS Mineral Yearbook 2007."/>
    <m/>
    <m/>
    <m/>
    <m/>
    <m/>
    <m/>
    <m/>
    <m/>
    <m/>
    <m/>
    <m/>
    <m/>
    <m/>
    <m/>
    <m/>
    <m/>
    <m/>
    <m/>
    <m/>
    <m/>
  </r>
  <r>
    <x v="101"/>
    <n v="2004"/>
    <x v="18"/>
    <s v="Europe and Central Asia"/>
    <m/>
    <s v="Mining"/>
    <s v="yes"/>
    <s v="no"/>
    <s v="no"/>
    <s v="Mercury"/>
    <s v="detailed"/>
    <s v="detailed Mining"/>
    <n v="500"/>
    <m/>
    <m/>
    <m/>
    <m/>
    <s v="t"/>
    <n v="10428.571428571428"/>
    <s v="US$/t"/>
    <s v="Volume from USGS Mineral Yearbook 2007. Price from USGS Mineral Commodity Summary 2009, and is the price in the US."/>
    <n v="5214285.7142857136"/>
    <m/>
    <m/>
    <m/>
    <m/>
    <m/>
    <m/>
    <m/>
    <m/>
    <m/>
    <m/>
    <m/>
    <m/>
    <m/>
    <m/>
    <m/>
    <m/>
    <m/>
    <m/>
    <m/>
    <m/>
    <m/>
    <m/>
    <m/>
    <m/>
    <s v="This commodity is not mentioned in the EITI Report, but its production is reported on in the USGS Mineral Yearbook 2007."/>
    <m/>
    <m/>
    <m/>
    <m/>
    <m/>
    <m/>
    <m/>
    <m/>
    <m/>
    <m/>
    <m/>
    <m/>
    <m/>
    <m/>
    <m/>
    <m/>
    <m/>
    <m/>
    <m/>
    <m/>
  </r>
  <r>
    <x v="101"/>
    <n v="2004"/>
    <x v="18"/>
    <s v="Europe and Central Asia"/>
    <m/>
    <s v="Mining"/>
    <s v="yes"/>
    <s v="no"/>
    <s v="no"/>
    <s v="Molybdenum"/>
    <s v="detailed"/>
    <s v="detailed Mining"/>
    <n v="488"/>
    <m/>
    <m/>
    <m/>
    <m/>
    <s v="t"/>
    <n v="36730"/>
    <s v="US$/t"/>
    <s v="Volume from USGS Mineral Yearbook 2007. Price from USGS Mineral Commodity Summary 2009, and is the price in the US."/>
    <n v="17924240"/>
    <m/>
    <m/>
    <m/>
    <m/>
    <m/>
    <m/>
    <m/>
    <m/>
    <m/>
    <m/>
    <m/>
    <m/>
    <m/>
    <m/>
    <m/>
    <m/>
    <m/>
    <m/>
    <m/>
    <m/>
    <m/>
    <m/>
    <m/>
    <m/>
    <s v="This commodity is not mentioned in the EITI Report, but its production is reported on in the USGS Mineral Yearbook 2007."/>
    <m/>
    <m/>
    <m/>
    <m/>
    <m/>
    <m/>
    <m/>
    <m/>
    <m/>
    <m/>
    <m/>
    <m/>
    <m/>
    <m/>
    <m/>
    <m/>
    <m/>
    <m/>
    <m/>
    <m/>
  </r>
  <r>
    <x v="101"/>
    <n v="2004"/>
    <x v="18"/>
    <s v="Europe and Central Asia"/>
    <m/>
    <s v="Mining"/>
    <s v="yes"/>
    <s v="no"/>
    <s v="no"/>
    <s v="Sand-gravel aggregate"/>
    <s v="detailed"/>
    <s v="detailed Mining"/>
    <n v="810645"/>
    <m/>
    <m/>
    <m/>
    <m/>
    <s v="t"/>
    <n v="5.32"/>
    <s v="US$/t"/>
    <s v="Volume from USGS Mineral Yearbook 2007. Price from USGS Mineral Yearbook 2005, and is the price in the US for construction sand and gravel."/>
    <n v="4312631.4000000004"/>
    <m/>
    <m/>
    <m/>
    <m/>
    <m/>
    <m/>
    <m/>
    <m/>
    <m/>
    <m/>
    <m/>
    <m/>
    <m/>
    <m/>
    <m/>
    <m/>
    <m/>
    <m/>
    <m/>
    <m/>
    <m/>
    <m/>
    <m/>
    <m/>
    <s v="This commodity is not mentioned in the EITI Report, but its production is reported on in the USGS Mineral Yearbook 2007."/>
    <m/>
    <m/>
    <m/>
    <m/>
    <m/>
    <m/>
    <m/>
    <m/>
    <m/>
    <m/>
    <m/>
    <m/>
    <m/>
    <m/>
    <m/>
    <m/>
    <m/>
    <m/>
    <m/>
    <m/>
  </r>
  <r>
    <x v="101"/>
    <n v="2004"/>
    <x v="18"/>
    <s v="Europe and Central Asia"/>
    <m/>
    <s v="Mining"/>
    <s v="yes"/>
    <s v="no"/>
    <s v="no"/>
    <s v="Sands"/>
    <s v="detailed"/>
    <s v="detailed Mining"/>
    <n v="776960"/>
    <m/>
    <m/>
    <m/>
    <m/>
    <s v="t"/>
    <n v="5.32"/>
    <s v="US$/t"/>
    <s v="Volume from USGS Mineral Yearbook 2007. Price from USGS Mineral Yearbook 2005, and is the price in the US for construction sand and gravel."/>
    <n v="4133427.2000000002"/>
    <m/>
    <m/>
    <m/>
    <m/>
    <m/>
    <m/>
    <m/>
    <m/>
    <m/>
    <m/>
    <m/>
    <m/>
    <m/>
    <m/>
    <m/>
    <m/>
    <m/>
    <m/>
    <m/>
    <m/>
    <m/>
    <m/>
    <m/>
    <m/>
    <s v="This commodity is not mentioned in the EITI Report, but its production is reported on in the USGS Mineral Yearbook 2007."/>
    <m/>
    <m/>
    <m/>
    <m/>
    <m/>
    <m/>
    <m/>
    <m/>
    <m/>
    <m/>
    <m/>
    <m/>
    <m/>
    <m/>
    <m/>
    <m/>
    <m/>
    <m/>
    <m/>
    <m/>
  </r>
  <r>
    <x v="102"/>
    <n v="2005"/>
    <x v="18"/>
    <s v="Europe and Central Asia"/>
    <s v="http://eiti.org.kg/"/>
    <s v="Mining"/>
    <s v="yes"/>
    <s v="no"/>
    <s v="no"/>
    <s v="Total"/>
    <s v="Total"/>
    <s v="Total Mining"/>
    <m/>
    <m/>
    <m/>
    <m/>
    <m/>
    <m/>
    <m/>
    <m/>
    <m/>
    <n v="330132578.999942"/>
    <s v="Profits/Taxes, Royalties, Licenses and concessions, Other significant benefits to government"/>
    <s v="Does not include payments made in-kind"/>
    <s v="-"/>
    <n v="29106335"/>
    <n v="38337987"/>
    <m/>
    <m/>
    <m/>
    <n v="8.8165594223298741E-2"/>
    <s v="Kyrgyzstan Som"/>
    <n v="41.04"/>
    <s v="Disaggregated by revenue stream"/>
    <m/>
    <m/>
    <m/>
    <m/>
    <n v="6"/>
    <s v="Not given"/>
    <n v="6"/>
    <s v="November 2009"/>
    <d v="2014-09-29T00:00:00"/>
    <s v="W Jacbos Audit CJSC"/>
    <s v="http://eiti.org/files/Kyrgyz%20Republic%202008%20EITI%20Report_0.pdf"/>
    <s v="Annex 3"/>
    <s v="The 2008 EITI Report contains the figures for 2005 (though the figures given for 2005 in the 2009, 2010 and 2011 reports are significantly different). No other information is given however. The 2011 Report indicates that mining exports were worth US$239m in 2005."/>
    <m/>
    <m/>
    <m/>
    <m/>
    <m/>
    <m/>
    <m/>
    <m/>
    <m/>
    <m/>
    <m/>
    <m/>
    <m/>
    <m/>
    <m/>
    <m/>
    <m/>
    <m/>
    <m/>
    <m/>
  </r>
  <r>
    <x v="102"/>
    <n v="2005"/>
    <x v="18"/>
    <s v="Europe and Central Asia"/>
    <m/>
    <s v="Mining"/>
    <s v="yes"/>
    <s v="no"/>
    <s v="no"/>
    <s v="Coal"/>
    <s v="detailed"/>
    <s v="detailed Mining"/>
    <n v="335500"/>
    <m/>
    <m/>
    <m/>
    <m/>
    <s v="t"/>
    <n v="64.167195325854706"/>
    <s v="US$/t"/>
    <s v="Volume from USGS Mineral Yearbook 2009. Price from BPSR 2014, and is an average of the American Central Appalachian, Asian and Northwest Europe marker/spot prices."/>
    <n v="21528094.031824253"/>
    <m/>
    <m/>
    <m/>
    <m/>
    <m/>
    <m/>
    <m/>
    <m/>
    <m/>
    <m/>
    <m/>
    <m/>
    <m/>
    <m/>
    <m/>
    <m/>
    <m/>
    <m/>
    <m/>
    <m/>
    <m/>
    <m/>
    <m/>
    <m/>
    <s v="This commodity is not mentioned in the EITI Report, but its production is reported on in the USGS Mineral Yearbook 2009."/>
    <m/>
    <m/>
    <m/>
    <m/>
    <m/>
    <m/>
    <m/>
    <m/>
    <m/>
    <m/>
    <m/>
    <m/>
    <m/>
    <m/>
    <m/>
    <m/>
    <m/>
    <m/>
    <m/>
    <m/>
  </r>
  <r>
    <x v="102"/>
    <n v="2005"/>
    <x v="18"/>
    <s v="Europe and Central Asia"/>
    <m/>
    <s v="Mining"/>
    <s v="yes"/>
    <s v="no"/>
    <s v="no"/>
    <s v="Gold"/>
    <s v="detailed"/>
    <s v="detailed Mining"/>
    <n v="538557.09811210202"/>
    <m/>
    <m/>
    <m/>
    <m/>
    <s v="toz"/>
    <n v="444.84258333333003"/>
    <s v="US$/toz"/>
    <s v="Volume from USGS Mineral Yearbook 2009. Price from World Bank (Global Economic Monitor (GEM) Commodities database), and is defined as: Gold (UK), 99.5% fine, London afternoon fixing, average of daily rates."/>
    <n v="239573130.79668912"/>
    <m/>
    <m/>
    <m/>
    <m/>
    <m/>
    <m/>
    <m/>
    <m/>
    <m/>
    <m/>
    <m/>
    <m/>
    <m/>
    <m/>
    <m/>
    <m/>
    <m/>
    <m/>
    <m/>
    <m/>
    <m/>
    <m/>
    <m/>
    <m/>
    <s v="This commodity is not mentioned in the EITI Report, but its production is reported on in the USGS Mineral Yearbook 2009."/>
    <m/>
    <m/>
    <m/>
    <m/>
    <m/>
    <m/>
    <m/>
    <m/>
    <m/>
    <m/>
    <m/>
    <m/>
    <m/>
    <m/>
    <m/>
    <m/>
    <m/>
    <m/>
    <m/>
    <m/>
  </r>
  <r>
    <x v="102"/>
    <n v="2005"/>
    <x v="18"/>
    <s v="Europe and Central Asia"/>
    <m/>
    <s v="Mining"/>
    <s v="yes"/>
    <s v="no"/>
    <s v="no"/>
    <s v="Kaolin clay"/>
    <s v="detailed"/>
    <s v="detailed Mining"/>
    <n v="400000"/>
    <m/>
    <m/>
    <m/>
    <m/>
    <s v="t"/>
    <n v="110"/>
    <s v="US$/t"/>
    <s v="Volume from USGS Mineral Yearbook 2009. Price from USGS Mineral Commodity 2009, and is the price for kaolin clay in the US."/>
    <n v="44000000"/>
    <m/>
    <m/>
    <m/>
    <m/>
    <m/>
    <m/>
    <m/>
    <m/>
    <m/>
    <m/>
    <m/>
    <m/>
    <m/>
    <m/>
    <m/>
    <m/>
    <m/>
    <m/>
    <m/>
    <m/>
    <m/>
    <m/>
    <m/>
    <m/>
    <s v="This commodity is not mentioned in the EITI Report, but its production is reported on in the USGS Mineral Yearbook 2009."/>
    <m/>
    <m/>
    <m/>
    <m/>
    <m/>
    <m/>
    <m/>
    <m/>
    <m/>
    <m/>
    <m/>
    <m/>
    <m/>
    <m/>
    <m/>
    <m/>
    <m/>
    <m/>
    <m/>
    <m/>
  </r>
  <r>
    <x v="102"/>
    <n v="2005"/>
    <x v="18"/>
    <s v="Europe and Central Asia"/>
    <m/>
    <s v="Mining"/>
    <s v="yes"/>
    <s v="no"/>
    <s v="no"/>
    <s v="Lime (dead-burned)"/>
    <s v="detailed"/>
    <s v="detailed Mining"/>
    <n v="8500"/>
    <m/>
    <m/>
    <m/>
    <m/>
    <s v="t"/>
    <n v="81.599999999999994"/>
    <s v="US$/t"/>
    <s v="Volume from USGS Mineral Yearbook 2009. Price from USGS Mineral Commodity Summary 2009, and is the average plant price for quicklime and hydrate products in the US."/>
    <n v="693600"/>
    <m/>
    <m/>
    <m/>
    <m/>
    <m/>
    <m/>
    <m/>
    <m/>
    <m/>
    <m/>
    <m/>
    <m/>
    <m/>
    <m/>
    <m/>
    <m/>
    <m/>
    <m/>
    <m/>
    <m/>
    <m/>
    <m/>
    <m/>
    <m/>
    <s v="This commodity is not mentioned in the EITI Report, but its production is reported on in the USGS Mineral Yearbook 2009."/>
    <m/>
    <m/>
    <m/>
    <m/>
    <m/>
    <m/>
    <m/>
    <m/>
    <m/>
    <m/>
    <m/>
    <m/>
    <m/>
    <m/>
    <m/>
    <m/>
    <m/>
    <m/>
    <m/>
    <m/>
  </r>
  <r>
    <x v="102"/>
    <n v="2005"/>
    <x v="18"/>
    <s v="Europe and Central Asia"/>
    <m/>
    <s v="Mining"/>
    <s v="yes"/>
    <s v="no"/>
    <s v="no"/>
    <s v="Mercury"/>
    <s v="detailed"/>
    <s v="detailed Mining"/>
    <n v="200"/>
    <m/>
    <m/>
    <m/>
    <m/>
    <s v="t"/>
    <n v="15857.142857142855"/>
    <s v="US$/t"/>
    <s v="Volume from USGS Mineral Yearbook 2009. Price from USGS Mineral Commodity Summary 2009, and is the price in the US."/>
    <n v="3171428.5714285709"/>
    <m/>
    <m/>
    <m/>
    <m/>
    <m/>
    <m/>
    <m/>
    <m/>
    <m/>
    <m/>
    <m/>
    <m/>
    <m/>
    <m/>
    <m/>
    <m/>
    <m/>
    <m/>
    <m/>
    <m/>
    <m/>
    <m/>
    <m/>
    <m/>
    <s v="This commodity is not mentioned in the EITI Report, but its production is reported on in the USGS Mineral Yearbook 2009."/>
    <m/>
    <m/>
    <m/>
    <m/>
    <m/>
    <m/>
    <m/>
    <m/>
    <m/>
    <m/>
    <m/>
    <m/>
    <m/>
    <m/>
    <m/>
    <m/>
    <m/>
    <m/>
    <m/>
    <m/>
  </r>
  <r>
    <x v="102"/>
    <n v="2005"/>
    <x v="18"/>
    <s v="Europe and Central Asia"/>
    <m/>
    <s v="Mining"/>
    <s v="yes"/>
    <s v="no"/>
    <s v="no"/>
    <s v="Molybdenum"/>
    <s v="detailed"/>
    <s v="detailed Mining"/>
    <n v="250"/>
    <m/>
    <m/>
    <m/>
    <m/>
    <s v="t"/>
    <n v="70110"/>
    <s v="US$/t"/>
    <s v="Volume from USGS Mineral Yearbook 2009. Price from USGS Mineral Commodity Summary 2009, and is the price in the US."/>
    <n v="17527500"/>
    <m/>
    <m/>
    <m/>
    <m/>
    <m/>
    <m/>
    <m/>
    <m/>
    <m/>
    <m/>
    <m/>
    <m/>
    <m/>
    <m/>
    <m/>
    <m/>
    <m/>
    <m/>
    <m/>
    <m/>
    <m/>
    <m/>
    <m/>
    <m/>
    <s v="This commodity is not mentioned in the EITI Report, but its production is reported on in the USGS Mineral Yearbook 2009."/>
    <m/>
    <m/>
    <m/>
    <m/>
    <m/>
    <m/>
    <m/>
    <m/>
    <m/>
    <m/>
    <m/>
    <m/>
    <m/>
    <m/>
    <m/>
    <m/>
    <m/>
    <m/>
    <m/>
    <m/>
  </r>
  <r>
    <x v="102"/>
    <n v="2005"/>
    <x v="18"/>
    <s v="Europe and Central Asia"/>
    <m/>
    <s v="Mining"/>
    <s v="yes"/>
    <s v="no"/>
    <s v="no"/>
    <s v="Sands"/>
    <s v="detailed"/>
    <s v="detailed Mining"/>
    <n v="620960"/>
    <m/>
    <m/>
    <m/>
    <m/>
    <s v="t"/>
    <n v="5.86"/>
    <s v="US$/t"/>
    <s v="Volume from USGS Mineral Yearbook 2009. Price from USGS Mineral Yearbook 2005, and is the price in the US for construction sand and gravel."/>
    <n v="3638825.6"/>
    <m/>
    <m/>
    <m/>
    <m/>
    <m/>
    <m/>
    <m/>
    <m/>
    <m/>
    <m/>
    <m/>
    <m/>
    <m/>
    <m/>
    <m/>
    <m/>
    <m/>
    <m/>
    <m/>
    <m/>
    <m/>
    <m/>
    <m/>
    <m/>
    <s v="This commodity is not mentioned in the EITI Report, but its production is reported on in the USGS Mineral Yearbook 2009."/>
    <m/>
    <m/>
    <m/>
    <m/>
    <m/>
    <m/>
    <m/>
    <m/>
    <m/>
    <m/>
    <m/>
    <m/>
    <m/>
    <m/>
    <m/>
    <m/>
    <m/>
    <m/>
    <m/>
    <m/>
  </r>
  <r>
    <x v="103"/>
    <n v="2006"/>
    <x v="18"/>
    <s v="Europe and Central Asia"/>
    <s v="http://eiti.org.kg/"/>
    <s v="Mining"/>
    <s v="yes"/>
    <s v="no"/>
    <s v="no"/>
    <s v="Total"/>
    <s v="Total"/>
    <s v="Total Mining"/>
    <m/>
    <m/>
    <m/>
    <m/>
    <m/>
    <m/>
    <m/>
    <m/>
    <m/>
    <n v="305007447.71433735"/>
    <s v="Profits/Taxes, Royalties, Licenses and concessions, Other significant benefits to government"/>
    <s v="Does not include payments made in-kind"/>
    <s v="-"/>
    <n v="26120301"/>
    <n v="33994038"/>
    <m/>
    <m/>
    <m/>
    <n v="8.5638239970007704E-2"/>
    <s v="Kyrgyzstan Som"/>
    <n v="40.590000000000003"/>
    <s v="Disaggregated by revenue stream"/>
    <m/>
    <m/>
    <m/>
    <m/>
    <n v="6"/>
    <s v="Not given"/>
    <n v="6"/>
    <s v="November 2009"/>
    <d v="2014-09-29T00:00:00"/>
    <s v="W Jacbos Audit CJSC"/>
    <s v="http://eiti.org/files/Kyrgyz%20Republic%202008%20EITI%20Report_0.pdf"/>
    <s v="Annex 3"/>
    <s v="The 2008 EITI Report contains the figures for 2006 (though the figures given for 2006 in the 2009, 2010 and 2011 reports are significantly different). No other information is given however.  The 2011 Report indicates that mining exports were worth US$215m in 2006."/>
    <m/>
    <m/>
    <m/>
    <m/>
    <m/>
    <m/>
    <m/>
    <m/>
    <m/>
    <m/>
    <m/>
    <m/>
    <m/>
    <m/>
    <m/>
    <m/>
    <m/>
    <m/>
    <m/>
    <m/>
  </r>
  <r>
    <x v="103"/>
    <n v="2006"/>
    <x v="18"/>
    <s v="Europe and Central Asia"/>
    <m/>
    <s v="Mining"/>
    <s v="yes"/>
    <s v="no"/>
    <s v="no"/>
    <s v="Coal"/>
    <s v="detailed"/>
    <s v="detailed Mining"/>
    <n v="321300"/>
    <m/>
    <m/>
    <m/>
    <m/>
    <s v="t"/>
    <n v="61.17946892471906"/>
    <s v="US$/t"/>
    <s v="Volume from USGS Mineral Yearbook 2009. Price from BPSR 2014, and is an average of the American Central Appalachian, Asian and Northwest Europe marker/spot prices."/>
    <n v="19656963.365512233"/>
    <m/>
    <m/>
    <m/>
    <m/>
    <m/>
    <m/>
    <m/>
    <m/>
    <m/>
    <m/>
    <m/>
    <m/>
    <m/>
    <m/>
    <m/>
    <m/>
    <m/>
    <m/>
    <m/>
    <m/>
    <m/>
    <m/>
    <m/>
    <m/>
    <s v="This commodity is not mentioned in the EITI Report, but its production is reported on in the USGS Mineral Yearbook 2009."/>
    <m/>
    <m/>
    <m/>
    <m/>
    <m/>
    <m/>
    <m/>
    <m/>
    <m/>
    <m/>
    <m/>
    <m/>
    <m/>
    <m/>
    <m/>
    <m/>
    <m/>
    <m/>
    <m/>
    <m/>
  </r>
  <r>
    <x v="103"/>
    <n v="2006"/>
    <x v="18"/>
    <s v="Europe and Central Asia"/>
    <m/>
    <s v="Mining"/>
    <s v="yes"/>
    <s v="no"/>
    <s v="no"/>
    <s v="Gold"/>
    <s v="detailed"/>
    <s v="detailed Mining"/>
    <n v="344688.11705927085"/>
    <m/>
    <m/>
    <m/>
    <m/>
    <s v="toz"/>
    <n v="604.33583333333002"/>
    <s v="US$/toz"/>
    <s v="Volume from USGS Mineral Yearbook 2009. Price from World Bank (Global Economic Monitor (GEM) Commodities database), and is defined as: Gold (UK), 99.5% fine, London afternoon fixing, average of daily rates."/>
    <n v="208307380.46311086"/>
    <m/>
    <m/>
    <m/>
    <m/>
    <m/>
    <m/>
    <m/>
    <m/>
    <m/>
    <m/>
    <m/>
    <m/>
    <m/>
    <m/>
    <m/>
    <m/>
    <m/>
    <m/>
    <m/>
    <m/>
    <m/>
    <m/>
    <m/>
    <m/>
    <s v="This commodity is not mentioned in the EITI Report, but its production is reported on in the USGS Mineral Yearbook 2009."/>
    <m/>
    <m/>
    <m/>
    <m/>
    <m/>
    <m/>
    <m/>
    <m/>
    <m/>
    <m/>
    <m/>
    <m/>
    <m/>
    <m/>
    <m/>
    <m/>
    <m/>
    <m/>
    <m/>
    <m/>
  </r>
  <r>
    <x v="103"/>
    <n v="2006"/>
    <x v="18"/>
    <s v="Europe and Central Asia"/>
    <m/>
    <s v="Mining"/>
    <s v="yes"/>
    <s v="no"/>
    <s v="no"/>
    <s v="Kaolin clay"/>
    <s v="detailed"/>
    <s v="detailed Mining"/>
    <n v="400000"/>
    <m/>
    <m/>
    <m/>
    <m/>
    <s v="t"/>
    <n v="131"/>
    <s v="US$/t"/>
    <s v="Volume from USGS Mineral Yearbook 2009. Price from USGS Mineral Commodity 2009, and is the price for kaolin clay in the US."/>
    <n v="52400000"/>
    <m/>
    <m/>
    <m/>
    <m/>
    <m/>
    <m/>
    <m/>
    <m/>
    <m/>
    <m/>
    <m/>
    <m/>
    <m/>
    <m/>
    <m/>
    <m/>
    <m/>
    <m/>
    <m/>
    <m/>
    <m/>
    <m/>
    <m/>
    <m/>
    <s v="This commodity is not mentioned in the EITI Report, but its production is reported on in the USGS Mineral Yearbook 2009."/>
    <m/>
    <m/>
    <m/>
    <m/>
    <m/>
    <m/>
    <m/>
    <m/>
    <m/>
    <m/>
    <m/>
    <m/>
    <m/>
    <m/>
    <m/>
    <m/>
    <m/>
    <m/>
    <m/>
    <m/>
  </r>
  <r>
    <x v="103"/>
    <n v="2006"/>
    <x v="18"/>
    <s v="Europe and Central Asia"/>
    <m/>
    <s v="Mining"/>
    <s v="yes"/>
    <s v="no"/>
    <s v="no"/>
    <s v="Lime (dead-burned)"/>
    <s v="detailed"/>
    <s v="detailed Mining"/>
    <n v="9900"/>
    <m/>
    <m/>
    <m/>
    <m/>
    <s v="t"/>
    <n v="88.2"/>
    <s v="US$/t"/>
    <s v="Volume from USGS Mineral Yearbook 2009. Price from USGS Mineral Commodity Summary 2009, and is the average plant price for quicklime and hydrate products in the US."/>
    <n v="873180"/>
    <m/>
    <m/>
    <m/>
    <m/>
    <m/>
    <m/>
    <m/>
    <m/>
    <m/>
    <m/>
    <m/>
    <m/>
    <m/>
    <m/>
    <m/>
    <m/>
    <m/>
    <m/>
    <m/>
    <m/>
    <m/>
    <m/>
    <m/>
    <m/>
    <s v="This commodity is not mentioned in the EITI Report, but its production is reported on in the USGS Mineral Yearbook 2009."/>
    <m/>
    <m/>
    <m/>
    <m/>
    <m/>
    <m/>
    <m/>
    <m/>
    <m/>
    <m/>
    <m/>
    <m/>
    <m/>
    <m/>
    <m/>
    <m/>
    <m/>
    <m/>
    <m/>
    <m/>
  </r>
  <r>
    <x v="103"/>
    <n v="2006"/>
    <x v="18"/>
    <s v="Europe and Central Asia"/>
    <m/>
    <s v="Mining"/>
    <s v="yes"/>
    <s v="no"/>
    <s v="no"/>
    <s v="Mercury"/>
    <s v="detailed"/>
    <s v="detailed Mining"/>
    <n v="250"/>
    <m/>
    <m/>
    <m/>
    <m/>
    <s v="t"/>
    <n v="19142.857142857141"/>
    <s v="US$/t"/>
    <s v="Volume from USGS Mineral Yearbook 2009. Price from USGS Mineral Commodity Summary 2009, and is the price in the US."/>
    <n v="4785714.2857142854"/>
    <m/>
    <m/>
    <m/>
    <m/>
    <m/>
    <m/>
    <m/>
    <m/>
    <m/>
    <m/>
    <m/>
    <m/>
    <m/>
    <m/>
    <m/>
    <m/>
    <m/>
    <m/>
    <m/>
    <m/>
    <m/>
    <m/>
    <m/>
    <m/>
    <s v="This commodity is not mentioned in the EITI Report, but its production is reported on in the USGS Mineral Yearbook 2009."/>
    <m/>
    <m/>
    <m/>
    <m/>
    <m/>
    <m/>
    <m/>
    <m/>
    <m/>
    <m/>
    <m/>
    <m/>
    <m/>
    <m/>
    <m/>
    <m/>
    <m/>
    <m/>
    <m/>
    <m/>
  </r>
  <r>
    <x v="103"/>
    <n v="2006"/>
    <x v="18"/>
    <s v="Europe and Central Asia"/>
    <m/>
    <s v="Mining"/>
    <s v="yes"/>
    <s v="no"/>
    <s v="no"/>
    <s v="Molybdenum"/>
    <s v="detailed"/>
    <s v="detailed Mining"/>
    <n v="250"/>
    <m/>
    <m/>
    <m/>
    <m/>
    <s v="t"/>
    <n v="54620"/>
    <s v="US$/t"/>
    <s v="Volume from USGS Mineral Yearbook 2009. Price from USGS Mineral Commodity Summary 2009, and is the price in the US."/>
    <n v="13655000"/>
    <m/>
    <m/>
    <m/>
    <m/>
    <m/>
    <m/>
    <m/>
    <m/>
    <m/>
    <m/>
    <m/>
    <m/>
    <m/>
    <m/>
    <m/>
    <m/>
    <m/>
    <m/>
    <m/>
    <m/>
    <m/>
    <m/>
    <m/>
    <m/>
    <s v="This commodity is not mentioned in the EITI Report, but its production is reported on in the USGS Mineral Yearbook 2009."/>
    <m/>
    <m/>
    <m/>
    <m/>
    <m/>
    <m/>
    <m/>
    <m/>
    <m/>
    <m/>
    <m/>
    <m/>
    <m/>
    <m/>
    <m/>
    <m/>
    <m/>
    <m/>
    <m/>
    <m/>
  </r>
  <r>
    <x v="103"/>
    <n v="2006"/>
    <x v="18"/>
    <s v="Europe and Central Asia"/>
    <m/>
    <s v="Mining"/>
    <s v="yes"/>
    <s v="no"/>
    <s v="no"/>
    <s v="Sands"/>
    <s v="detailed"/>
    <s v="detailed Mining"/>
    <n v="823680"/>
    <m/>
    <m/>
    <m/>
    <m/>
    <s v="t"/>
    <n v="6.47"/>
    <s v="US$/t"/>
    <s v="Volume from USGS Mineral Yearbook 2009. Price from USGS Mineral Yearbook 2007, and is the price in the US for construction sand and gravel."/>
    <n v="5329209.5999999996"/>
    <m/>
    <m/>
    <m/>
    <m/>
    <m/>
    <m/>
    <m/>
    <m/>
    <m/>
    <m/>
    <m/>
    <m/>
    <m/>
    <m/>
    <m/>
    <m/>
    <m/>
    <m/>
    <m/>
    <m/>
    <m/>
    <m/>
    <m/>
    <m/>
    <s v="This commodity is not mentioned in the EITI Report, but its production is reported on in the USGS Mineral Yearbook 2009."/>
    <m/>
    <m/>
    <m/>
    <m/>
    <m/>
    <m/>
    <m/>
    <m/>
    <m/>
    <m/>
    <m/>
    <m/>
    <m/>
    <m/>
    <m/>
    <m/>
    <m/>
    <m/>
    <m/>
    <m/>
  </r>
  <r>
    <x v="104"/>
    <n v="2007"/>
    <x v="18"/>
    <s v="Europe and Central Asia"/>
    <s v="http://eiti.org.kg/"/>
    <s v="Mining"/>
    <s v="yes"/>
    <s v="no"/>
    <s v="no"/>
    <s v="Total"/>
    <s v="Total"/>
    <s v="Total Mining"/>
    <m/>
    <m/>
    <m/>
    <m/>
    <m/>
    <m/>
    <m/>
    <m/>
    <m/>
    <n v="348516282.12970024"/>
    <s v="Profits/Taxes, Royalties, Licenses and concessions, Other significant benefits to government"/>
    <s v="Does not include payments made in-kind"/>
    <s v="-"/>
    <n v="28210188"/>
    <n v="37580429"/>
    <m/>
    <m/>
    <m/>
    <n v="8.0943673069201361E-2"/>
    <s v="Kyrgyzstan Som"/>
    <n v="37.299999999999997"/>
    <s v="Disaggregated by revenue stream"/>
    <m/>
    <m/>
    <m/>
    <m/>
    <n v="6"/>
    <s v="Not given"/>
    <n v="6"/>
    <s v="November 2009"/>
    <d v="2014-09-29T00:00:00"/>
    <s v="W Jacbos Audit CJSC"/>
    <s v="http://eiti.org/files/Kyrgyz%20Republic%202008%20EITI%20Report_0.pdf"/>
    <s v="Annex 3"/>
    <s v="The 2008 EITI Report contains the figures for 2007  (though the figures given for 2007 in the 2009, 2010 and 2011 reports are significantly different). No other information is given however.  The 2011 Report indicates that mining exports were worth US$250m in 2007."/>
    <m/>
    <m/>
    <m/>
    <m/>
    <m/>
    <m/>
    <m/>
    <m/>
    <m/>
    <m/>
    <m/>
    <m/>
    <m/>
    <m/>
    <m/>
    <m/>
    <m/>
    <m/>
    <m/>
    <m/>
  </r>
  <r>
    <x v="104"/>
    <n v="2007"/>
    <x v="18"/>
    <s v="Europe and Central Asia"/>
    <m/>
    <s v="Mining"/>
    <s v="yes"/>
    <s v="no"/>
    <s v="no"/>
    <s v="Coal"/>
    <s v="detailed"/>
    <s v="detailed Mining"/>
    <n v="395500"/>
    <m/>
    <m/>
    <m/>
    <m/>
    <s v="t"/>
    <n v="74.838160071314121"/>
    <s v="US$/t"/>
    <s v="Volume from USGS Mineral Yearbook 2009. Price from BPSR 2014, and is an average of the American Central Appalachian, Asian and Northwest Europe marker/spot prices."/>
    <n v="29598492.308204737"/>
    <m/>
    <m/>
    <m/>
    <m/>
    <m/>
    <m/>
    <m/>
    <m/>
    <m/>
    <m/>
    <m/>
    <m/>
    <m/>
    <m/>
    <m/>
    <m/>
    <m/>
    <m/>
    <m/>
    <m/>
    <m/>
    <m/>
    <m/>
    <m/>
    <s v="This commodity is not mentioned in the EITI Report, but its production is reported on in the USGS Mineral Yearbook 2009."/>
    <m/>
    <m/>
    <m/>
    <m/>
    <m/>
    <m/>
    <m/>
    <m/>
    <m/>
    <m/>
    <m/>
    <m/>
    <m/>
    <m/>
    <m/>
    <m/>
    <m/>
    <m/>
    <m/>
    <m/>
  </r>
  <r>
    <x v="104"/>
    <n v="2007"/>
    <x v="18"/>
    <s v="Europe and Central Asia"/>
    <m/>
    <s v="Mining"/>
    <s v="yes"/>
    <s v="no"/>
    <s v="no"/>
    <s v="Gold"/>
    <s v="detailed"/>
    <s v="detailed Mining"/>
    <n v="339479.69667277689"/>
    <m/>
    <m/>
    <m/>
    <m/>
    <s v="toz"/>
    <n v="696.72024999999996"/>
    <s v="US$/toz"/>
    <s v="Volume from USGS Mineral Yearbook 2009. Price from World Bank (Global Economic Monitor (GEM) Commodities database), and is defined as: Gold (UK), 99.5% fine, London afternoon fixing, average of daily rates."/>
    <n v="236522379.13578126"/>
    <m/>
    <m/>
    <m/>
    <m/>
    <m/>
    <m/>
    <m/>
    <m/>
    <m/>
    <m/>
    <m/>
    <m/>
    <m/>
    <m/>
    <m/>
    <m/>
    <m/>
    <m/>
    <m/>
    <m/>
    <m/>
    <m/>
    <m/>
    <m/>
    <s v="This commodity is not mentioned in the EITI Report, but its production is reported on in the USGS Mineral Yearbook 2009."/>
    <m/>
    <m/>
    <m/>
    <m/>
    <m/>
    <m/>
    <m/>
    <m/>
    <m/>
    <m/>
    <m/>
    <m/>
    <m/>
    <m/>
    <m/>
    <m/>
    <m/>
    <m/>
    <m/>
    <m/>
  </r>
  <r>
    <x v="104"/>
    <n v="2007"/>
    <x v="18"/>
    <s v="Europe and Central Asia"/>
    <m/>
    <s v="Mining"/>
    <s v="yes"/>
    <s v="no"/>
    <s v="no"/>
    <s v="Gypsum"/>
    <s v="detailed"/>
    <s v="detailed Mining"/>
    <m/>
    <m/>
    <m/>
    <m/>
    <m/>
    <m/>
    <m/>
    <m/>
    <m/>
    <m/>
    <m/>
    <m/>
    <m/>
    <m/>
    <m/>
    <m/>
    <m/>
    <m/>
    <m/>
    <m/>
    <m/>
    <m/>
    <m/>
    <m/>
    <m/>
    <m/>
    <m/>
    <m/>
    <m/>
    <m/>
    <m/>
    <m/>
    <m/>
    <m/>
    <s v="This commodity is not mentioned in the EITI Report, but its production is reported on in the USGS Mineral Yearbook 2009 (though there was insufficent data to estimate production volumes)."/>
    <m/>
    <m/>
    <m/>
    <m/>
    <m/>
    <m/>
    <m/>
    <m/>
    <m/>
    <m/>
    <m/>
    <m/>
    <m/>
    <m/>
    <m/>
    <m/>
    <m/>
    <m/>
    <m/>
    <m/>
  </r>
  <r>
    <x v="104"/>
    <n v="2007"/>
    <x v="18"/>
    <s v="Europe and Central Asia"/>
    <m/>
    <s v="Mining"/>
    <s v="yes"/>
    <s v="no"/>
    <s v="no"/>
    <s v="Kaolin clay"/>
    <s v="detailed"/>
    <s v="detailed Mining"/>
    <n v="400000"/>
    <m/>
    <m/>
    <m/>
    <m/>
    <s v="t"/>
    <n v="135"/>
    <s v="US$/t"/>
    <s v="Volume from USGS Mineral Yearbook 2009. Price from USGS Mineral Commodity 2009, and is the price for kaolin clay in the US."/>
    <n v="54000000"/>
    <m/>
    <m/>
    <m/>
    <m/>
    <m/>
    <m/>
    <m/>
    <m/>
    <m/>
    <m/>
    <m/>
    <m/>
    <m/>
    <m/>
    <m/>
    <m/>
    <m/>
    <m/>
    <m/>
    <m/>
    <m/>
    <m/>
    <m/>
    <m/>
    <s v="This commodity is not mentioned in the EITI Report, but its production is reported on in the USGS Mineral Yearbook 2009."/>
    <m/>
    <m/>
    <m/>
    <m/>
    <m/>
    <m/>
    <m/>
    <m/>
    <m/>
    <m/>
    <m/>
    <m/>
    <m/>
    <m/>
    <m/>
    <m/>
    <m/>
    <m/>
    <m/>
    <m/>
  </r>
  <r>
    <x v="104"/>
    <n v="2007"/>
    <x v="18"/>
    <s v="Europe and Central Asia"/>
    <m/>
    <s v="Mining"/>
    <s v="yes"/>
    <s v="no"/>
    <s v="no"/>
    <s v="Lime (dead-burned)"/>
    <s v="detailed"/>
    <s v="detailed Mining"/>
    <n v="12900"/>
    <m/>
    <m/>
    <m/>
    <m/>
    <s v="t"/>
    <n v="93.5"/>
    <s v="US$/t"/>
    <s v="Volume from USGS Mineral Yearbook 2009. Price from USGS Mineral Commodity Summary 2009, and is the average plant price for quicklime and hydrate products in the US."/>
    <n v="1206150"/>
    <m/>
    <m/>
    <m/>
    <m/>
    <m/>
    <m/>
    <m/>
    <m/>
    <m/>
    <m/>
    <m/>
    <m/>
    <m/>
    <m/>
    <m/>
    <m/>
    <m/>
    <m/>
    <m/>
    <m/>
    <m/>
    <m/>
    <m/>
    <m/>
    <s v="This commodity is not mentioned in the EITI Report, but its production is reported on in the USGS Mineral Yearbook 2009."/>
    <m/>
    <m/>
    <m/>
    <m/>
    <m/>
    <m/>
    <m/>
    <m/>
    <m/>
    <m/>
    <m/>
    <m/>
    <m/>
    <m/>
    <m/>
    <m/>
    <m/>
    <m/>
    <m/>
    <m/>
  </r>
  <r>
    <x v="104"/>
    <n v="2007"/>
    <x v="18"/>
    <s v="Europe and Central Asia"/>
    <m/>
    <s v="Mining"/>
    <s v="yes"/>
    <s v="no"/>
    <s v="no"/>
    <s v="Mercury"/>
    <s v="detailed"/>
    <s v="detailed Mining"/>
    <n v="250"/>
    <m/>
    <m/>
    <m/>
    <m/>
    <s v="t"/>
    <n v="15142.857142857141"/>
    <s v="US$/t"/>
    <s v="Volume from USGS Mineral Yearbook 2009. Price from USGS Mineral Commodity Summary 2009, and is the price in the US."/>
    <n v="3785714.2857142854"/>
    <m/>
    <m/>
    <m/>
    <m/>
    <m/>
    <m/>
    <m/>
    <m/>
    <m/>
    <m/>
    <m/>
    <m/>
    <m/>
    <m/>
    <m/>
    <m/>
    <m/>
    <m/>
    <m/>
    <m/>
    <m/>
    <m/>
    <m/>
    <m/>
    <s v="This commodity is not mentioned in the EITI Report, but its production is reported on in the USGS Mineral Yearbook 2009."/>
    <m/>
    <m/>
    <m/>
    <m/>
    <m/>
    <m/>
    <m/>
    <m/>
    <m/>
    <m/>
    <m/>
    <m/>
    <m/>
    <m/>
    <m/>
    <m/>
    <m/>
    <m/>
    <m/>
    <m/>
  </r>
  <r>
    <x v="104"/>
    <n v="2007"/>
    <x v="18"/>
    <s v="Europe and Central Asia"/>
    <m/>
    <s v="Mining"/>
    <s v="yes"/>
    <s v="no"/>
    <s v="no"/>
    <s v="Molybdenum"/>
    <s v="detailed"/>
    <s v="detailed Mining"/>
    <n v="250"/>
    <m/>
    <m/>
    <m/>
    <m/>
    <s v="t"/>
    <n v="66790"/>
    <s v="US$/t"/>
    <s v="Volume from USGS Mineral Yearbook 2009. Price from USGS Mineral Commodity Summary 2009, and is the price in the US."/>
    <n v="16697500"/>
    <m/>
    <m/>
    <m/>
    <m/>
    <m/>
    <m/>
    <m/>
    <m/>
    <m/>
    <m/>
    <m/>
    <m/>
    <m/>
    <m/>
    <m/>
    <m/>
    <m/>
    <m/>
    <m/>
    <m/>
    <m/>
    <m/>
    <m/>
    <m/>
    <s v="This commodity is not mentioned in the EITI Report, but its production is reported on in the USGS Mineral Yearbook 2009."/>
    <m/>
    <m/>
    <m/>
    <m/>
    <m/>
    <m/>
    <m/>
    <m/>
    <m/>
    <m/>
    <m/>
    <m/>
    <m/>
    <m/>
    <m/>
    <m/>
    <m/>
    <m/>
    <m/>
    <m/>
  </r>
  <r>
    <x v="104"/>
    <n v="2007"/>
    <x v="18"/>
    <s v="Europe and Central Asia"/>
    <m/>
    <s v="Mining"/>
    <s v="yes"/>
    <s v="no"/>
    <s v="no"/>
    <s v="Sands"/>
    <s v="detailed"/>
    <s v="detailed Mining"/>
    <n v="956640"/>
    <m/>
    <m/>
    <m/>
    <m/>
    <s v="t"/>
    <n v="7.01"/>
    <s v="US$/t"/>
    <s v="Volume from USGS Mineral Yearbook 2009. Price from USGS Mineral Yearbook 2007, and is the price in the US for construction sand and gravel."/>
    <n v="6706046.3999999994"/>
    <m/>
    <m/>
    <m/>
    <m/>
    <m/>
    <m/>
    <m/>
    <m/>
    <m/>
    <m/>
    <m/>
    <m/>
    <m/>
    <m/>
    <m/>
    <m/>
    <m/>
    <m/>
    <m/>
    <m/>
    <m/>
    <m/>
    <m/>
    <m/>
    <s v="This commodity is not mentioned in the EITI Report, but its production is reported on in the USGS Mineral Yearbook 2009."/>
    <m/>
    <m/>
    <m/>
    <m/>
    <m/>
    <m/>
    <m/>
    <m/>
    <m/>
    <m/>
    <m/>
    <m/>
    <m/>
    <m/>
    <m/>
    <m/>
    <m/>
    <m/>
    <m/>
    <m/>
  </r>
  <r>
    <x v="105"/>
    <n v="2008"/>
    <x v="18"/>
    <s v="Europe and Central Asia"/>
    <s v="http://eiti.org.kg/"/>
    <s v="Oil, Gas, Mining"/>
    <s v="yes"/>
    <s v="yes"/>
    <s v="yes"/>
    <s v="Total"/>
    <s v="Total"/>
    <s v="Total Oil, Gas, Mining"/>
    <m/>
    <m/>
    <m/>
    <m/>
    <m/>
    <m/>
    <m/>
    <m/>
    <m/>
    <n v="776090210.89612758"/>
    <s v="Profits/Taxes, Royalties, Licenses and concessions, Other significant benefits to government"/>
    <s v="Does not include payments made in-kind"/>
    <s v="-"/>
    <n v="72855334"/>
    <n v="74794639"/>
    <m/>
    <m/>
    <m/>
    <n v="9.3874826633718489E-2"/>
    <s v="Kyrgyzstan Som"/>
    <n v="36.56"/>
    <s v="Disaggregated by revenue stream"/>
    <m/>
    <m/>
    <m/>
    <m/>
    <n v="27"/>
    <s v="Kumtor Gold Company Closed Joint-Stock Company, Kyrgyzaltyn Open Joint-Stock Company, Jerooyaltyn Closed Joint-Stock Company, Altynken LLC, Andash Mining Company LLC, Khaidarkan Mercury Joint-Stock Company Open Joint-Stock, Kadamjay Antimony Plant Open Joint-Stock Company, Kara-Balta Mining Plant Open Joint-Stock Company, Saryjaz Mineral Mining Company, Bozymchak Mining Company, Full Gold Mining LLC, Kichi-Chaarat Closed Joint-Stock Company, Kyrgyzneftegaz Open Joint-Stock Company, Besh-Sary-K LLC, Ak-Jol-Komur LLC, Razrez Ak-Ulak State Joint-Stock Company, Sharbon Closed Joint-Stock Company, Razrez Buzurmankul-T LLC, Shakhta Jyrgalan Open Joint-_x000a_Stock Company, Kok-Bel-Komur LLC, Kyzyl-Kyia komur Open Joint-Stock Company, Sulyukta-komur Joint-Stock Company, Bishkekstroymaterialy Open Joint-Stock Company, Kum-Shagyl Open Joint-Stock Company, Tokmok Plant KSM Open Joint-Stock Company, Silikat Open Joint-Stock Company, Iygilik Open Joint-Stock Company Company"/>
    <n v="26"/>
    <s v="November 2009"/>
    <d v="2014-09-29T00:00:00"/>
    <s v="W Jacbos Audit CJSC"/>
    <s v="http://eiti.org/files/Kyrgyz%20Republic%202008%20EITI%20Report_0.pdf"/>
    <s v="Annex 2"/>
    <s v="Materiality threshold: Not given. Unilateral declarations are included in the figures, mainly unreconciled voluntary social payments US$1,931,346 that companies were asked to voluntarily report on. The report notes that production by these companies in 2008 was worth US$1,029,314,168 according to the government, and US$556,922,648 according to the companies, at current prices.  The 2011 Report indicates that total exports were worth US$480m in 2008. One of the revenue streams is dividends from state shares, but the report does not specify whether the state is the majority shareholder in any of the companies. "/>
    <m/>
    <m/>
    <m/>
    <m/>
    <m/>
    <m/>
    <m/>
    <m/>
    <m/>
    <m/>
    <m/>
    <m/>
    <m/>
    <m/>
    <m/>
    <m/>
    <m/>
    <m/>
    <m/>
    <m/>
  </r>
  <r>
    <x v="105"/>
    <n v="2008"/>
    <x v="18"/>
    <s v="Europe and Central Asia"/>
    <m/>
    <s v="Oil, Gas"/>
    <s v="no"/>
    <s v="yes"/>
    <s v="yes"/>
    <s v="Total Oil &amp; Gas"/>
    <s v="Total"/>
    <s v="Total Oil, Gas"/>
    <m/>
    <m/>
    <m/>
    <m/>
    <m/>
    <m/>
    <m/>
    <m/>
    <m/>
    <n v="57217500.600000001"/>
    <m/>
    <m/>
    <m/>
    <m/>
    <m/>
    <m/>
    <m/>
    <m/>
    <m/>
    <m/>
    <m/>
    <m/>
    <m/>
    <m/>
    <m/>
    <m/>
    <n v="1"/>
    <s v="Kyrgyzneftegaz Open Joint-Stock Company"/>
    <n v="1"/>
    <m/>
    <m/>
    <m/>
    <m/>
    <m/>
    <m/>
    <m/>
    <m/>
    <m/>
    <m/>
    <m/>
    <m/>
    <m/>
    <m/>
    <m/>
    <m/>
    <m/>
    <m/>
    <m/>
    <m/>
    <m/>
    <m/>
    <m/>
    <m/>
    <m/>
    <m/>
  </r>
  <r>
    <x v="105"/>
    <n v="2008"/>
    <x v="18"/>
    <s v="Europe and Central Asia"/>
    <m/>
    <s v="Gas"/>
    <s v="no"/>
    <s v="yes"/>
    <s v="no"/>
    <s v="Gas"/>
    <s v="detailed"/>
    <s v="detailed Gas"/>
    <n v="19800000"/>
    <m/>
    <m/>
    <m/>
    <m/>
    <s v="m³"/>
    <n v="0.32879700000000006"/>
    <s v="US$/m³"/>
    <s v="Volume from USGS Mineral Yearbook 2012. Price from BPSR 2014, and is an average of the UK, US and Canada Indices for natural gas. "/>
    <n v="6510180.6000000015"/>
    <m/>
    <m/>
    <m/>
    <m/>
    <m/>
    <m/>
    <m/>
    <m/>
    <m/>
    <m/>
    <m/>
    <m/>
    <m/>
    <m/>
    <m/>
    <m/>
    <m/>
    <m/>
    <m/>
    <m/>
    <m/>
    <m/>
    <m/>
    <m/>
    <m/>
    <m/>
    <m/>
    <m/>
    <m/>
    <m/>
    <m/>
    <m/>
    <m/>
    <m/>
    <m/>
    <m/>
    <m/>
    <m/>
    <m/>
    <m/>
    <m/>
    <m/>
    <m/>
    <m/>
    <m/>
  </r>
  <r>
    <x v="105"/>
    <n v="2008"/>
    <x v="18"/>
    <s v="Europe and Central Asia"/>
    <m/>
    <s v="Oil "/>
    <s v="no"/>
    <s v="no"/>
    <s v="no"/>
    <s v="Oil"/>
    <s v="detailed"/>
    <s v="detailed Oil "/>
    <n v="516000"/>
    <m/>
    <m/>
    <m/>
    <m/>
    <s v="bbl"/>
    <n v="98.27"/>
    <s v="US$/bbl"/>
    <s v="Volume from USGS Mineral Yearbook 2012. Price from BPSR 2014, and is an average of the spot prices for Brent, Dubai, Nigerian Forcados and West Texas Intermediate crude oil."/>
    <n v="50707320"/>
    <m/>
    <m/>
    <m/>
    <m/>
    <m/>
    <m/>
    <m/>
    <m/>
    <m/>
    <m/>
    <m/>
    <m/>
    <m/>
    <m/>
    <m/>
    <m/>
    <m/>
    <m/>
    <m/>
    <m/>
    <m/>
    <m/>
    <m/>
    <m/>
    <m/>
    <m/>
    <m/>
    <m/>
    <m/>
    <m/>
    <m/>
    <m/>
    <m/>
    <m/>
    <m/>
    <m/>
    <m/>
    <m/>
    <m/>
    <m/>
    <m/>
    <m/>
    <m/>
    <m/>
    <m/>
  </r>
  <r>
    <x v="105"/>
    <n v="2008"/>
    <x v="18"/>
    <s v="Europe and Central Asia"/>
    <m/>
    <s v="Mining"/>
    <s v="yes"/>
    <s v="no"/>
    <s v="no"/>
    <s v="Total Mining"/>
    <s v="Total"/>
    <s v="Total Mining"/>
    <m/>
    <m/>
    <m/>
    <m/>
    <m/>
    <m/>
    <m/>
    <m/>
    <m/>
    <n v="718872710.29612756"/>
    <m/>
    <m/>
    <m/>
    <m/>
    <m/>
    <m/>
    <m/>
    <m/>
    <m/>
    <m/>
    <m/>
    <m/>
    <m/>
    <m/>
    <m/>
    <m/>
    <n v="26"/>
    <s v="Kumtor Gold Company Closed Joint-Stock Company, Kyrgyzaltyn Open Joint-Stock Company, Jerooyaltyn Closed Joint-Stock Company, Altynken LLC, Andash Mining Company LLC, Khaidarkan Mercury Joint-Stock Company Open Joint-Stock, Kadamjay Antimony Plant Open Joint-Stock Company, Kara-Balta Mining Plant Open Joint-Stock Company, Saryjaz Mineral Mining Company, Bozymchak Mining Company, Full Gold Mining LLC, Kichi-Chaarat Closed Joint-Stock Company, Besh-Sary-K LLC, Ak-Jol-Komur LLC, Razrez Ak-Ulak State Joint-Stock Company, Sharbon Closed Joint-Stock Company, Razrez Buzurmankul-T LLC, Shakhta Jyrgalan Open Joint-Stock Company, Kok-Bel-Komur LLC, Kyzyl-Kyia komur Open Joint-Stock Company, Sulyukta-komur Joint-Stock Company, Bishkekstroymaterialy Open Joint-Stock Company, Kum-Shagyl Open Joint-Stock Company, Tokmok Plant KSM Open Joint-Stock Company, Silikat Open Joint-Stock Company, Iygilik Open Joint-Stock Company Company"/>
    <n v="25"/>
    <m/>
    <m/>
    <m/>
    <m/>
    <m/>
    <m/>
    <m/>
    <m/>
    <m/>
    <m/>
    <m/>
    <m/>
    <m/>
    <m/>
    <m/>
    <m/>
    <m/>
    <m/>
    <m/>
    <m/>
    <m/>
    <m/>
    <m/>
    <m/>
    <m/>
    <m/>
  </r>
  <r>
    <x v="105"/>
    <n v="2008"/>
    <x v="18"/>
    <s v="Europe and Central Asia"/>
    <m/>
    <s v="Mining"/>
    <s v="yes"/>
    <s v="no"/>
    <s v="no"/>
    <s v="Coal"/>
    <s v="detailed"/>
    <s v="detailed Mining"/>
    <n v="492601"/>
    <m/>
    <m/>
    <m/>
    <m/>
    <s v="t"/>
    <n v="138.17277433644946"/>
    <s v="US$/t"/>
    <s v="Volume from USGS Mineral Yearbook 2012. Price from BPSR 2014, and is an average of the American Central Appalachian, Asian and Northwest Europe marker/spot prices."/>
    <n v="68064046.810909346"/>
    <m/>
    <m/>
    <m/>
    <m/>
    <m/>
    <m/>
    <m/>
    <m/>
    <m/>
    <m/>
    <m/>
    <m/>
    <m/>
    <m/>
    <m/>
    <m/>
    <n v="9"/>
    <s v="Besh-Sary-K LLC, Ak-Jol-Komur LLC, Razrez Ak-Ulak State Joint-Stock Company, Sharbon Closed Joint-Stock Company, Kyzyl-Kyia komur Open Joint-Stock Company, Sulyukta-komur Joint-Stock Company, Razrez Buzurmankul-T LLC, Shakhta Jyrgalan Open Joint-Stock Company, Kok-Bel-Komur LLC"/>
    <n v="9"/>
    <m/>
    <m/>
    <m/>
    <m/>
    <m/>
    <m/>
    <m/>
    <m/>
    <m/>
    <m/>
    <m/>
    <m/>
    <m/>
    <m/>
    <m/>
    <m/>
    <m/>
    <m/>
    <m/>
    <m/>
    <m/>
    <m/>
    <m/>
    <m/>
    <m/>
    <m/>
  </r>
  <r>
    <x v="105"/>
    <n v="2008"/>
    <x v="18"/>
    <s v="Europe and Central Asia"/>
    <m/>
    <s v="Mining"/>
    <s v="yes"/>
    <s v="no"/>
    <s v="no"/>
    <s v="Construction Materials "/>
    <s v="detailed"/>
    <s v="detailed Mining"/>
    <m/>
    <m/>
    <m/>
    <m/>
    <m/>
    <m/>
    <m/>
    <m/>
    <m/>
    <m/>
    <m/>
    <m/>
    <m/>
    <m/>
    <m/>
    <m/>
    <m/>
    <m/>
    <m/>
    <m/>
    <m/>
    <m/>
    <m/>
    <m/>
    <m/>
    <m/>
    <n v="5"/>
    <s v="Bishkekstroymaterialy Open Joint-Stock Company, Kum-Shagyl Open Joint-Stock Company, Tokmok Plant KSM Open Joint-Stock Company, Silikat Open Joint-Stock Company, Iygilik Open Joint-Stock Company Company"/>
    <n v="5"/>
    <m/>
    <m/>
    <m/>
    <m/>
    <m/>
    <m/>
    <m/>
    <m/>
    <m/>
    <m/>
    <m/>
    <m/>
    <m/>
    <m/>
    <m/>
    <m/>
    <m/>
    <m/>
    <m/>
    <m/>
    <m/>
    <m/>
    <m/>
    <m/>
    <m/>
    <m/>
  </r>
  <r>
    <x v="105"/>
    <n v="2008"/>
    <x v="18"/>
    <s v="Europe and Central Asia"/>
    <m/>
    <s v="Mining"/>
    <s v="yes"/>
    <s v="no"/>
    <s v="no"/>
    <s v="o/w Cement"/>
    <s v="detailed"/>
    <s v="detailed Mining"/>
    <n v="1218100"/>
    <m/>
    <m/>
    <m/>
    <m/>
    <s v="t"/>
    <n v="107"/>
    <s v="US$/t"/>
    <s v="Volume from USGS Mineral Yearbook 2012. Price from USGS Mineral Commodity Summary 2009, and is the average mill price for cement in the US."/>
    <n v="130336700"/>
    <m/>
    <m/>
    <m/>
    <m/>
    <m/>
    <m/>
    <m/>
    <m/>
    <m/>
    <m/>
    <m/>
    <m/>
    <m/>
    <m/>
    <m/>
    <m/>
    <m/>
    <m/>
    <m/>
    <m/>
    <m/>
    <m/>
    <m/>
    <m/>
    <m/>
    <m/>
    <m/>
    <m/>
    <m/>
    <m/>
    <m/>
    <m/>
    <m/>
    <m/>
    <m/>
    <m/>
    <m/>
    <m/>
    <m/>
    <m/>
    <m/>
    <m/>
    <m/>
    <m/>
    <m/>
  </r>
  <r>
    <x v="105"/>
    <n v="2008"/>
    <x v="18"/>
    <s v="Europe and Central Asia"/>
    <m/>
    <s v="Mining"/>
    <s v="yes"/>
    <s v="no"/>
    <s v="no"/>
    <s v="o/w Clay"/>
    <s v="detailed"/>
    <s v="detailed Mining"/>
    <m/>
    <m/>
    <m/>
    <m/>
    <m/>
    <m/>
    <m/>
    <m/>
    <m/>
    <m/>
    <m/>
    <m/>
    <m/>
    <m/>
    <m/>
    <m/>
    <m/>
    <m/>
    <m/>
    <m/>
    <m/>
    <m/>
    <m/>
    <m/>
    <m/>
    <m/>
    <m/>
    <m/>
    <m/>
    <m/>
    <m/>
    <m/>
    <m/>
    <m/>
    <s v="The USGS Mineral Yearbook 2012 indicates that there was insufficent data to estimate production volumes. "/>
    <m/>
    <m/>
    <m/>
    <m/>
    <m/>
    <m/>
    <m/>
    <m/>
    <m/>
    <m/>
    <m/>
    <m/>
    <m/>
    <m/>
    <m/>
    <m/>
    <m/>
    <m/>
    <m/>
    <m/>
  </r>
  <r>
    <x v="105"/>
    <n v="2008"/>
    <x v="18"/>
    <s v="Europe and Central Asia"/>
    <m/>
    <s v="Mining"/>
    <s v="yes"/>
    <s v="no"/>
    <s v="no"/>
    <s v="o/w Gypsum"/>
    <s v="detailed"/>
    <s v="detailed Mining"/>
    <n v="55"/>
    <m/>
    <m/>
    <m/>
    <m/>
    <s v="t"/>
    <n v="25.65"/>
    <s v="US$/t"/>
    <s v="Volume from USGS Mineral Yearbook 2012. Price from USGS Mineral Commodity Summary 2013, and is the average f.o.b. price for crude and calcined products."/>
    <n v="1410.75"/>
    <m/>
    <m/>
    <m/>
    <m/>
    <m/>
    <m/>
    <m/>
    <m/>
    <m/>
    <m/>
    <m/>
    <m/>
    <m/>
    <m/>
    <m/>
    <m/>
    <m/>
    <m/>
    <m/>
    <m/>
    <m/>
    <m/>
    <m/>
    <m/>
    <s v="The USGS Mineral Yearbook 2012 indicates that there was insufficent data to estimate production volumes. "/>
    <m/>
    <m/>
    <m/>
    <m/>
    <m/>
    <m/>
    <m/>
    <m/>
    <m/>
    <m/>
    <m/>
    <m/>
    <m/>
    <m/>
    <m/>
    <m/>
    <m/>
    <m/>
    <m/>
    <m/>
  </r>
  <r>
    <x v="105"/>
    <n v="2008"/>
    <x v="18"/>
    <s v="Europe and Central Asia"/>
    <m/>
    <s v="Mining"/>
    <s v="yes"/>
    <s v="no"/>
    <s v="no"/>
    <s v="o/w Kaolin clay"/>
    <s v="detailed"/>
    <s v="detailed Mining"/>
    <m/>
    <m/>
    <m/>
    <m/>
    <m/>
    <m/>
    <m/>
    <m/>
    <m/>
    <m/>
    <m/>
    <m/>
    <m/>
    <m/>
    <m/>
    <m/>
    <m/>
    <m/>
    <m/>
    <m/>
    <m/>
    <m/>
    <m/>
    <m/>
    <m/>
    <m/>
    <m/>
    <m/>
    <m/>
    <m/>
    <m/>
    <m/>
    <m/>
    <m/>
    <s v="The USGS Mineral Yearbook 2012 indicates that there was insufficent data to estimate production volumes. "/>
    <m/>
    <m/>
    <m/>
    <m/>
    <m/>
    <m/>
    <m/>
    <m/>
    <m/>
    <m/>
    <m/>
    <m/>
    <m/>
    <m/>
    <m/>
    <m/>
    <m/>
    <m/>
    <m/>
    <m/>
  </r>
  <r>
    <x v="105"/>
    <n v="2008"/>
    <x v="18"/>
    <s v="Europe and Central Asia"/>
    <m/>
    <s v="Mining"/>
    <s v="yes"/>
    <s v="no"/>
    <s v="no"/>
    <s v="o/w Lime"/>
    <s v="detailed"/>
    <s v="detailed Mining"/>
    <n v="8700"/>
    <m/>
    <m/>
    <m/>
    <m/>
    <s v="t"/>
    <n v="97.75"/>
    <s v="US$/t"/>
    <s v="Volume from USGS Mineral Yearbook 2012. Price from USGS Mineral Commodity Summary 2009, and is the average plant price for quicklime and hydrate products in the US."/>
    <n v="850425"/>
    <m/>
    <m/>
    <m/>
    <m/>
    <m/>
    <m/>
    <m/>
    <m/>
    <m/>
    <m/>
    <m/>
    <m/>
    <m/>
    <m/>
    <m/>
    <m/>
    <m/>
    <m/>
    <m/>
    <m/>
    <m/>
    <m/>
    <m/>
    <m/>
    <m/>
    <m/>
    <m/>
    <m/>
    <m/>
    <m/>
    <m/>
    <m/>
    <m/>
    <m/>
    <m/>
    <m/>
    <m/>
    <m/>
    <m/>
    <m/>
    <m/>
    <m/>
    <m/>
    <m/>
    <m/>
  </r>
  <r>
    <x v="105"/>
    <n v="2008"/>
    <x v="18"/>
    <s v="Europe and Central Asia"/>
    <m/>
    <s v="Mining"/>
    <s v="yes"/>
    <s v="no"/>
    <s v="no"/>
    <s v="o/w Limestone"/>
    <s v="detailed"/>
    <s v="detailed Mining"/>
    <m/>
    <m/>
    <m/>
    <m/>
    <m/>
    <m/>
    <m/>
    <m/>
    <m/>
    <m/>
    <m/>
    <m/>
    <m/>
    <m/>
    <m/>
    <m/>
    <m/>
    <m/>
    <m/>
    <m/>
    <m/>
    <m/>
    <m/>
    <m/>
    <m/>
    <m/>
    <m/>
    <m/>
    <m/>
    <m/>
    <m/>
    <m/>
    <m/>
    <m/>
    <s v="The USGS Mineral Yearbook 2012 indicates that there was insufficent data to estimate production volumes. "/>
    <m/>
    <m/>
    <m/>
    <m/>
    <m/>
    <m/>
    <m/>
    <m/>
    <m/>
    <m/>
    <m/>
    <m/>
    <m/>
    <m/>
    <m/>
    <m/>
    <m/>
    <m/>
    <m/>
    <m/>
  </r>
  <r>
    <x v="105"/>
    <n v="2008"/>
    <x v="18"/>
    <s v="Europe and Central Asia"/>
    <m/>
    <s v="Mining"/>
    <s v="yes"/>
    <s v="no"/>
    <s v="no"/>
    <s v="o/w Sand-gravel aggregate"/>
    <s v="detailed"/>
    <s v="detailed Mining"/>
    <m/>
    <m/>
    <m/>
    <m/>
    <m/>
    <m/>
    <m/>
    <m/>
    <m/>
    <m/>
    <m/>
    <m/>
    <m/>
    <m/>
    <m/>
    <m/>
    <m/>
    <m/>
    <m/>
    <m/>
    <m/>
    <m/>
    <m/>
    <m/>
    <m/>
    <m/>
    <m/>
    <m/>
    <m/>
    <m/>
    <m/>
    <m/>
    <m/>
    <m/>
    <s v="The USGS Mineral Yearbook 2012 indicates that there was insufficent data to estimate production volumes. "/>
    <m/>
    <m/>
    <m/>
    <m/>
    <m/>
    <m/>
    <m/>
    <m/>
    <m/>
    <m/>
    <m/>
    <m/>
    <m/>
    <m/>
    <m/>
    <m/>
    <m/>
    <m/>
    <m/>
    <m/>
  </r>
  <r>
    <x v="105"/>
    <n v="2008"/>
    <x v="18"/>
    <s v="Europe and Central Asia"/>
    <m/>
    <s v="Mining"/>
    <s v="yes"/>
    <s v="no"/>
    <s v="no"/>
    <s v="o/w Sands"/>
    <s v="detailed"/>
    <s v="detailed Mining"/>
    <n v="1337920"/>
    <m/>
    <m/>
    <m/>
    <m/>
    <s v="t"/>
    <n v="7.47"/>
    <s v="US$/t"/>
    <s v="Volume from USGS Mineral Yearbook 2012. Price from USGS Mineral Yearbook 2009, and is the price in the US for construction sand and gravel."/>
    <n v="9994262.4000000004"/>
    <m/>
    <m/>
    <m/>
    <m/>
    <m/>
    <m/>
    <m/>
    <m/>
    <m/>
    <m/>
    <m/>
    <m/>
    <m/>
    <m/>
    <m/>
    <m/>
    <m/>
    <m/>
    <m/>
    <m/>
    <m/>
    <m/>
    <m/>
    <m/>
    <m/>
    <m/>
    <m/>
    <m/>
    <m/>
    <m/>
    <m/>
    <m/>
    <m/>
    <m/>
    <m/>
    <m/>
    <m/>
    <m/>
    <m/>
    <m/>
    <m/>
    <m/>
    <m/>
    <m/>
    <m/>
  </r>
  <r>
    <x v="105"/>
    <n v="2008"/>
    <x v="18"/>
    <s v="Europe and Central Asia"/>
    <m/>
    <s v="Mining"/>
    <s v="yes"/>
    <s v="no"/>
    <s v="no"/>
    <s v="Gold"/>
    <s v="detailed"/>
    <s v="detailed Mining"/>
    <n v="583343.08328732487"/>
    <m/>
    <m/>
    <m/>
    <m/>
    <s v="toz"/>
    <n v="871.70725000000004"/>
    <s v="US$/toz"/>
    <s v="Volume from USGS Mineral Yearbook 2012. Price from World Bank (Global Economic Monitor (GEM) Commodities database), and is defined as: Gold (UK), 99.5% fine, London afternoon fixing, average of daily rates."/>
    <n v="508504394.93891495"/>
    <m/>
    <m/>
    <m/>
    <m/>
    <m/>
    <m/>
    <m/>
    <m/>
    <m/>
    <m/>
    <m/>
    <m/>
    <m/>
    <m/>
    <m/>
    <m/>
    <n v="1"/>
    <s v="Kumtor Gold Company Closed Joint-Stock Company"/>
    <n v="1"/>
    <m/>
    <m/>
    <m/>
    <m/>
    <m/>
    <m/>
    <m/>
    <m/>
    <m/>
    <m/>
    <m/>
    <m/>
    <m/>
    <m/>
    <m/>
    <m/>
    <m/>
    <m/>
    <m/>
    <m/>
    <m/>
    <m/>
    <m/>
    <m/>
    <m/>
    <m/>
  </r>
  <r>
    <x v="105"/>
    <n v="2008"/>
    <x v="18"/>
    <s v="Europe and Central Asia"/>
    <m/>
    <s v="Mining"/>
    <s v="yes"/>
    <s v="no"/>
    <s v="no"/>
    <s v="Non-ferrous and rare metals"/>
    <s v="detailed"/>
    <s v="detailed Mining"/>
    <m/>
    <m/>
    <m/>
    <m/>
    <m/>
    <m/>
    <m/>
    <m/>
    <m/>
    <m/>
    <m/>
    <m/>
    <m/>
    <m/>
    <m/>
    <m/>
    <m/>
    <m/>
    <m/>
    <m/>
    <m/>
    <m/>
    <m/>
    <m/>
    <m/>
    <m/>
    <n v="5"/>
    <s v="Kadamjay Antimony Plant Open Joint-Stock Company, Saryjaz Mineral Mining Company, Bozymchak Mining Company, Khaidarkan Mercury Joint-Stock Company Open Joint-Stock, Kara-Balta Mining Plant Open Joint-Stock Company"/>
    <n v="4"/>
    <m/>
    <m/>
    <m/>
    <m/>
    <m/>
    <m/>
    <m/>
    <m/>
    <m/>
    <m/>
    <m/>
    <m/>
    <m/>
    <m/>
    <m/>
    <m/>
    <m/>
    <m/>
    <m/>
    <m/>
    <m/>
    <m/>
    <m/>
    <m/>
    <m/>
    <m/>
  </r>
  <r>
    <x v="105"/>
    <n v="2008"/>
    <x v="18"/>
    <s v="Europe and Central Asia"/>
    <m/>
    <s v="Mining"/>
    <s v="yes"/>
    <s v="no"/>
    <s v="no"/>
    <s v="o/w Antimony"/>
    <s v="detailed"/>
    <s v="detailed Mining"/>
    <m/>
    <m/>
    <m/>
    <m/>
    <m/>
    <m/>
    <n v="1602.100566147551"/>
    <s v="US$/t"/>
    <s v="Price from USGS Mineral Yearbook 2012 - defined as: New York dealer price for 99.5% to 99.6% metal, cost, insurance, freight U.S. ports - adjusted to account for the price given in the US Mining Industry Overview of Kyrgyzstan being an average 0.26% of this in 2004."/>
    <n v="1121470.3963032856"/>
    <m/>
    <m/>
    <m/>
    <m/>
    <m/>
    <m/>
    <m/>
    <m/>
    <m/>
    <m/>
    <m/>
    <m/>
    <m/>
    <m/>
    <m/>
    <m/>
    <n v="1"/>
    <s v="Kadamjay Antimony Plant Open Joint-Stock Company"/>
    <n v="1"/>
    <m/>
    <m/>
    <m/>
    <m/>
    <m/>
    <m/>
    <m/>
    <m/>
    <m/>
    <m/>
    <m/>
    <m/>
    <m/>
    <m/>
    <m/>
    <m/>
    <m/>
    <m/>
    <m/>
    <m/>
    <m/>
    <m/>
    <m/>
    <m/>
    <m/>
    <m/>
  </r>
  <r>
    <x v="105"/>
    <n v="2008"/>
    <x v="18"/>
    <s v="Europe and Central Asia"/>
    <m/>
    <s v="Mining"/>
    <s v="yes"/>
    <s v="no"/>
    <s v="no"/>
    <s v="   o/w Metal and compounds"/>
    <s v="detailed"/>
    <s v="detailed Mining"/>
    <n v="700"/>
    <m/>
    <m/>
    <m/>
    <m/>
    <s v="t"/>
    <m/>
    <m/>
    <s v="Volume from USGS Mineral Yearbook 2012"/>
    <m/>
    <m/>
    <m/>
    <m/>
    <m/>
    <m/>
    <m/>
    <m/>
    <m/>
    <m/>
    <m/>
    <m/>
    <m/>
    <m/>
    <m/>
    <m/>
    <m/>
    <m/>
    <m/>
    <m/>
    <m/>
    <m/>
    <m/>
    <m/>
    <m/>
    <m/>
    <m/>
    <m/>
    <m/>
    <m/>
    <m/>
    <m/>
    <m/>
    <m/>
    <m/>
    <m/>
    <m/>
    <m/>
    <m/>
    <m/>
    <m/>
    <m/>
    <m/>
    <m/>
    <m/>
    <m/>
  </r>
  <r>
    <x v="105"/>
    <n v="2008"/>
    <x v="18"/>
    <s v="Europe and Central Asia"/>
    <m/>
    <s v="Mining"/>
    <s v="yes"/>
    <s v="no"/>
    <s v="no"/>
    <s v="   o/w Antimony content"/>
    <s v="detailed"/>
    <s v="detailed Mining"/>
    <n v="700"/>
    <m/>
    <m/>
    <m/>
    <m/>
    <s v="t"/>
    <m/>
    <m/>
    <s v="Volume from USGS Mineral Yearbook 2012"/>
    <m/>
    <m/>
    <m/>
    <m/>
    <m/>
    <m/>
    <m/>
    <m/>
    <m/>
    <m/>
    <m/>
    <m/>
    <m/>
    <m/>
    <m/>
    <m/>
    <m/>
    <m/>
    <m/>
    <m/>
    <m/>
    <m/>
    <m/>
    <m/>
    <m/>
    <m/>
    <m/>
    <m/>
    <m/>
    <m/>
    <m/>
    <m/>
    <m/>
    <m/>
    <m/>
    <m/>
    <m/>
    <m/>
    <m/>
    <m/>
    <m/>
    <m/>
    <m/>
    <m/>
    <m/>
    <m/>
  </r>
  <r>
    <x v="105"/>
    <n v="2008"/>
    <x v="18"/>
    <s v="Europe and Central Asia"/>
    <m/>
    <s v="Mining"/>
    <s v="yes"/>
    <s v="no"/>
    <s v="no"/>
    <s v="   o/w Uranium content"/>
    <s v="detailed"/>
    <s v="detailed Mining"/>
    <n v="1097"/>
    <m/>
    <m/>
    <m/>
    <m/>
    <s v="t"/>
    <m/>
    <m/>
    <s v="Volume from USGS Mineral Yearbook 2012"/>
    <m/>
    <m/>
    <m/>
    <m/>
    <m/>
    <m/>
    <m/>
    <m/>
    <m/>
    <m/>
    <m/>
    <m/>
    <m/>
    <m/>
    <m/>
    <m/>
    <m/>
    <m/>
    <m/>
    <m/>
    <m/>
    <m/>
    <m/>
    <m/>
    <m/>
    <m/>
    <m/>
    <m/>
    <m/>
    <m/>
    <m/>
    <m/>
    <m/>
    <m/>
    <m/>
    <m/>
    <m/>
    <m/>
    <m/>
    <m/>
    <m/>
    <m/>
    <m/>
    <m/>
    <m/>
    <m/>
  </r>
  <r>
    <x v="105"/>
    <n v="2008"/>
    <x v="18"/>
    <s v="Europe and Central Asia"/>
    <m/>
    <s v="Mining"/>
    <s v="yes"/>
    <s v="no"/>
    <s v="no"/>
    <s v="   o/w U3O8 content"/>
    <s v="detailed"/>
    <s v="detailed Mining"/>
    <n v="1309"/>
    <m/>
    <m/>
    <m/>
    <m/>
    <s v="t"/>
    <m/>
    <m/>
    <s v="Volume from USGS Mineral Yearbook 2012"/>
    <m/>
    <m/>
    <m/>
    <m/>
    <m/>
    <m/>
    <m/>
    <m/>
    <m/>
    <m/>
    <m/>
    <m/>
    <m/>
    <m/>
    <m/>
    <m/>
    <m/>
    <m/>
    <m/>
    <m/>
    <m/>
    <m/>
    <m/>
    <m/>
    <m/>
    <m/>
    <m/>
    <m/>
    <m/>
    <m/>
    <m/>
    <m/>
    <m/>
    <m/>
    <m/>
    <m/>
    <m/>
    <m/>
    <m/>
    <m/>
    <m/>
    <m/>
    <m/>
    <m/>
    <m/>
    <m/>
  </r>
  <r>
    <x v="106"/>
    <n v="2009"/>
    <x v="18"/>
    <s v="Europe and Central Asia"/>
    <s v="http://eiti.org.kg/"/>
    <s v="Oil, Gas, Mining"/>
    <s v="yes"/>
    <s v="yes"/>
    <s v="yes"/>
    <s v="Total"/>
    <s v="Total"/>
    <s v="Total Oil, Gas, Mining"/>
    <m/>
    <m/>
    <m/>
    <m/>
    <m/>
    <m/>
    <m/>
    <m/>
    <m/>
    <n v="683487545.61636233"/>
    <s v="Profits/Taxes, Royalties, Dividends, Bonuses, Licenses and concessions, Other significant benefits to government"/>
    <s v="Does not include payments made in-kind"/>
    <s v="-"/>
    <n v="96148291"/>
    <n v="99435121"/>
    <m/>
    <m/>
    <m/>
    <n v="0.14067306948994135"/>
    <s v="Kyrgyzstan Som"/>
    <n v="42.96"/>
    <s v="Disaggregated by revenue stream"/>
    <m/>
    <m/>
    <m/>
    <m/>
    <n v="26"/>
    <s v="Kumtor Gold Company Closed Joint-Stock Company, Kyrgyzaltyn Open Joint-Stock Company, Jerooyaltyn Closed Joint-Stock Company, Altynken LLC, Andash Mining Company LLC, Khaidarkan Mercury Joint-Stock Company Open Joint-Stock, Kadamjay Antimony Plant Open Joint-Stock Company, Kara-Balta Mining Plant Open Joint-Stock Company, Saryjaz Mineral Mining Company, Bozymchak Mining Company, Full Gold Mining LLC, Kichi-Chaarat Closed Joint-Stock Company, Kyrgyzneftegaz Open Joint-Stock Company, Besh-Sary-K LLC, Ak-Jol-Komur LLC, Razrez Ak-Ulak State Joint-Stock Company, Sharbon Closed Joint-Stock Company, Razrez Buzurmankul-T LLC, Shakhta Jyrgalan Open Joint-_x000a_Stock Company, Kok-Bel-Komur LLC, Kyzyl-Kyia komur Open Joint-Stock Company, Sulyukta-komur Joint-Stock Company, Bishkekstroymaterialy Open Joint-Stock Company, Kum-Shagyl Open Joint-Stock Company, Tokmok Plant KSM Open Joint-Stock Company, Silikat Open Joint-Stock Company, Iygilik Open Joint-Stock Company Company"/>
    <n v="26"/>
    <s v="July 2011"/>
    <d v="2014-10-01T00:00:00"/>
    <s v="W Jacbos Audit CJSC"/>
    <s v="http://eiti.org/files/Kyrgyz%20Republic%202009%20EITI%20Report.pdf"/>
    <s v="Annex 2"/>
    <s v="Materiality threshold: Not given. Unilateral declarations are included in the figures, mainly unreconciled voluntary social payments of US$3,206,788 that companies were asked to voluntarily report on. The 2011 Report indicates that exports were worth US$540m in 2009. One of the revenue streams is dividends from state shares, but the report does not specify whether the state is the majority shareholder in any of the companies. Disaggregation by commodity is based on the percentage breakdown in the report. The report does not provide actual figures for this.  "/>
    <m/>
    <m/>
    <m/>
    <m/>
    <m/>
    <m/>
    <m/>
    <m/>
    <m/>
    <m/>
    <m/>
    <m/>
    <m/>
    <m/>
    <m/>
    <m/>
    <m/>
    <m/>
    <m/>
    <m/>
  </r>
  <r>
    <x v="106"/>
    <n v="2009"/>
    <x v="18"/>
    <s v="Europe and Central Asia"/>
    <m/>
    <s v="Oil, Gas"/>
    <s v="no"/>
    <s v="yes"/>
    <s v="yes"/>
    <s v="Total Oil &amp; Gas"/>
    <s v="Total"/>
    <s v="Total Oil, Gas"/>
    <m/>
    <m/>
    <m/>
    <m/>
    <m/>
    <m/>
    <m/>
    <m/>
    <m/>
    <n v="37110782.0176"/>
    <m/>
    <m/>
    <m/>
    <n v="3653635.0579999997"/>
    <n v="3778534.5979999998"/>
    <m/>
    <m/>
    <m/>
    <n v="9.8452117130467434E-2"/>
    <m/>
    <m/>
    <m/>
    <m/>
    <m/>
    <m/>
    <m/>
    <n v="1"/>
    <s v="Kyrgyzneftegaz Open Joint-Stock Company"/>
    <n v="1"/>
    <m/>
    <m/>
    <m/>
    <m/>
    <n v="7"/>
    <m/>
    <m/>
    <m/>
    <m/>
    <m/>
    <m/>
    <m/>
    <m/>
    <m/>
    <m/>
    <m/>
    <m/>
    <m/>
    <m/>
    <m/>
    <m/>
    <m/>
    <m/>
    <m/>
    <m/>
    <m/>
  </r>
  <r>
    <x v="106"/>
    <n v="2009"/>
    <x v="18"/>
    <s v="Europe and Central Asia"/>
    <m/>
    <s v="Gas"/>
    <s v="no"/>
    <s v="yes"/>
    <s v="no"/>
    <s v="Gas"/>
    <s v="detailed"/>
    <s v="detailed Gas"/>
    <n v="15400000"/>
    <n v="92400"/>
    <m/>
    <m/>
    <m/>
    <s v="m³"/>
    <n v="0.14422800000000002"/>
    <s v="US$/m³"/>
    <s v="Volume from USGS Mineral Yearbook 2012. Price from BPSR 2014, and is an average of the UK, US and Canada Indices for natural gas. "/>
    <n v="2221111.2000000002"/>
    <m/>
    <m/>
    <m/>
    <n v="6.366099616163666E-2"/>
    <m/>
    <m/>
    <m/>
    <m/>
    <m/>
    <m/>
    <m/>
    <m/>
    <m/>
    <m/>
    <m/>
    <m/>
    <m/>
    <m/>
    <m/>
    <m/>
    <m/>
    <m/>
    <m/>
    <m/>
    <m/>
    <m/>
    <m/>
    <m/>
    <m/>
    <m/>
    <m/>
    <m/>
    <m/>
    <m/>
    <m/>
    <m/>
    <m/>
    <m/>
    <m/>
    <m/>
    <m/>
    <m/>
    <m/>
    <m/>
    <m/>
  </r>
  <r>
    <x v="106"/>
    <n v="2009"/>
    <x v="18"/>
    <s v="Europe and Central Asia"/>
    <m/>
    <s v="Oil "/>
    <s v="no"/>
    <s v="no"/>
    <s v="no"/>
    <s v="Oil"/>
    <s v="detailed"/>
    <s v="detailed Oil "/>
    <n v="562000"/>
    <n v="0.16441281138790034"/>
    <m/>
    <m/>
    <m/>
    <s v="bbl"/>
    <n v="62.0812648"/>
    <s v="US$/bbl"/>
    <s v="Volume from USGS Mineral Yearbook 2012. Price from BPSR 2014, and is an average of the spot prices for Brent, Dubai, Nigerian Forcados and West Texas Intermediate crude oil."/>
    <n v="34889670.817599997"/>
    <m/>
    <m/>
    <m/>
    <m/>
    <m/>
    <m/>
    <m/>
    <m/>
    <m/>
    <m/>
    <m/>
    <m/>
    <m/>
    <m/>
    <m/>
    <m/>
    <m/>
    <m/>
    <m/>
    <m/>
    <m/>
    <m/>
    <m/>
    <m/>
    <m/>
    <m/>
    <m/>
    <m/>
    <m/>
    <m/>
    <m/>
    <m/>
    <m/>
    <m/>
    <m/>
    <m/>
    <m/>
    <m/>
    <m/>
    <m/>
    <m/>
    <m/>
    <m/>
    <m/>
    <m/>
  </r>
  <r>
    <x v="106"/>
    <n v="2009"/>
    <x v="18"/>
    <s v="Europe and Central Asia"/>
    <m/>
    <s v="Mining"/>
    <s v="yes"/>
    <s v="no"/>
    <s v="no"/>
    <s v="Total Mining"/>
    <s v="Total"/>
    <s v="Total Mining"/>
    <m/>
    <m/>
    <m/>
    <m/>
    <m/>
    <m/>
    <m/>
    <m/>
    <m/>
    <n v="646376763.59876227"/>
    <m/>
    <m/>
    <m/>
    <n v="92494655.942000017"/>
    <n v="95656586.40200001"/>
    <m/>
    <m/>
    <m/>
    <n v="0.14309712407826589"/>
    <m/>
    <m/>
    <m/>
    <m/>
    <m/>
    <m/>
    <m/>
    <n v="25"/>
    <s v="Kumtor Gold Company Closed Joint-Stock Company, Kyrgyzaltyn Open Joint-Stock Company, Jerooyaltyn Closed Joint-Stock Company, Altynken LLC, Andash Mining Company LLC, Khaidarkan Mercury Joint-Stock Company Open Joint-Stock, Kadamjay Antimony Plant Open Joint-Stock Company, Kara-Balta Mining Plant Open Joint-Stock Company, Saryjaz Mineral Mining Company, Bozymchak Mining Company, Full Gold Mining LLC, Kichi-Chaarat Closed Joint-Stock Company, Besh-Sary-K LLC, Ak-Jol-Komur LLC, Razrez Ak-Ulak State Joint-Stock Company, Sharbon Closed Joint-Stock Company, Razrez Buzurmankul-T LLC, Shakhta Jyrgalan Open Joint-Stock Company, Kok-Bel-Komur LLC, Kyzyl-Kyia komur Open Joint-Stock Company, Sulyukta-komur Joint-Stock Company, Bishkekstroymaterialy Open Joint-Stock Company, Kum-Shagyl Open Joint-Stock Company, Tokmok Plant KSM Open Joint-Stock Company, Silikat Open Joint-Stock Company, Iygilik Open Joint-Stock Company Company"/>
    <n v="25"/>
    <m/>
    <m/>
    <m/>
    <m/>
    <n v="7"/>
    <m/>
    <m/>
    <m/>
    <m/>
    <m/>
    <m/>
    <m/>
    <m/>
    <m/>
    <m/>
    <m/>
    <m/>
    <m/>
    <m/>
    <m/>
    <m/>
    <m/>
    <m/>
    <m/>
    <m/>
    <m/>
  </r>
  <r>
    <x v="106"/>
    <n v="2009"/>
    <x v="18"/>
    <s v="Europe and Central Asia"/>
    <m/>
    <s v="Mining"/>
    <s v="yes"/>
    <s v="no"/>
    <s v="no"/>
    <s v="Coal"/>
    <s v="detailed"/>
    <s v="detailed Mining"/>
    <n v="606900"/>
    <m/>
    <m/>
    <m/>
    <m/>
    <s v="t"/>
    <n v="72.516709165814987"/>
    <s v="US$/t"/>
    <s v="Volume from USGS Mineral Yearbook 2012. Price from BPSR 2014, and is an average of the American Central Appalachian, Asian and Northwest Europe marker/spot prices."/>
    <n v="44010390.792733118"/>
    <m/>
    <m/>
    <m/>
    <n v="769186.32799999998"/>
    <n v="795480.96799999999"/>
    <m/>
    <m/>
    <m/>
    <n v="1.7477380094679959E-2"/>
    <m/>
    <m/>
    <m/>
    <m/>
    <m/>
    <m/>
    <m/>
    <n v="9"/>
    <s v="Razrez Buzurmankul-T LLC, Shakhta Jyrgalan Open Joint-Stock Company, Kok-Bel-Komur LLC, Besh-Sary-K LLC, Ak-Jol-Komur LLC, Razrez Ak-Ulak State Joint-Stock Company, Sharbon Closed Joint-Stock Company, Kyzyl-Kyia komur Open Joint-Stock Company, Sulyukta-komur Joint-Stock Company"/>
    <n v="9"/>
    <m/>
    <m/>
    <m/>
    <m/>
    <n v="7"/>
    <m/>
    <m/>
    <m/>
    <m/>
    <m/>
    <m/>
    <m/>
    <m/>
    <m/>
    <m/>
    <m/>
    <m/>
    <m/>
    <m/>
    <m/>
    <m/>
    <m/>
    <m/>
    <m/>
    <m/>
    <m/>
  </r>
  <r>
    <x v="106"/>
    <n v="2009"/>
    <x v="18"/>
    <s v="Europe and Central Asia"/>
    <m/>
    <s v="Mining"/>
    <s v="yes"/>
    <s v="no"/>
    <s v="no"/>
    <s v="Construction Materials "/>
    <s v="detailed"/>
    <s v="detailed Mining"/>
    <m/>
    <m/>
    <m/>
    <m/>
    <m/>
    <m/>
    <m/>
    <m/>
    <m/>
    <n v="67588027.5"/>
    <m/>
    <m/>
    <m/>
    <n v="1249927.7830000001"/>
    <n v="1292656.5729999999"/>
    <m/>
    <m/>
    <m/>
    <n v="1.8493331278235631E-2"/>
    <m/>
    <m/>
    <m/>
    <m/>
    <m/>
    <m/>
    <m/>
    <n v="5"/>
    <s v="Bishkekstroymaterialy Open Joint-Stock Company, Kum-Shagyl Open Joint-Stock Company, Tokmok Plant KSM Open Joint-Stock Company, Silikat Open Joint-Stock Company, Iygilik Open Joint-Stock Company Company"/>
    <n v="5"/>
    <m/>
    <m/>
    <m/>
    <m/>
    <n v="7"/>
    <m/>
    <m/>
    <m/>
    <m/>
    <m/>
    <m/>
    <m/>
    <m/>
    <m/>
    <m/>
    <m/>
    <m/>
    <m/>
    <m/>
    <m/>
    <m/>
    <m/>
    <m/>
    <m/>
    <m/>
    <m/>
  </r>
  <r>
    <x v="106"/>
    <n v="2009"/>
    <x v="18"/>
    <s v="Europe and Central Asia"/>
    <m/>
    <s v="Mining"/>
    <s v="yes"/>
    <s v="no"/>
    <s v="no"/>
    <s v="o/w Cement"/>
    <s v="detailed"/>
    <s v="detailed Mining"/>
    <n v="579400"/>
    <m/>
    <m/>
    <m/>
    <m/>
    <s v="t"/>
    <n v="99"/>
    <s v="US$/t"/>
    <s v="Volume from USGS Mineral Yearbook 2012. Price from USGS Mineral Commodity Summary 2014, and is the average mill price for cement in the US."/>
    <n v="57360600"/>
    <m/>
    <m/>
    <m/>
    <m/>
    <m/>
    <m/>
    <m/>
    <m/>
    <m/>
    <m/>
    <m/>
    <m/>
    <m/>
    <m/>
    <m/>
    <m/>
    <m/>
    <m/>
    <m/>
    <m/>
    <m/>
    <m/>
    <m/>
    <m/>
    <m/>
    <m/>
    <m/>
    <m/>
    <m/>
    <m/>
    <m/>
    <m/>
    <m/>
    <m/>
    <m/>
    <m/>
    <m/>
    <m/>
    <m/>
    <m/>
    <m/>
    <m/>
    <m/>
    <m/>
    <m/>
  </r>
  <r>
    <x v="106"/>
    <n v="2009"/>
    <x v="18"/>
    <s v="Europe and Central Asia"/>
    <m/>
    <s v="Mining"/>
    <s v="yes"/>
    <s v="no"/>
    <s v="no"/>
    <s v="o/w Gypsum"/>
    <s v="detailed"/>
    <s v="detailed Mining"/>
    <n v="50"/>
    <m/>
    <m/>
    <m/>
    <m/>
    <s v="t"/>
    <n v="21.75"/>
    <s v="US$/t"/>
    <s v="Volume from USGS Mineral Yearbook 2012. Price from USGS Mineral Commodity Summary 2013, and is the average f.o.b. price for crude and calcined products."/>
    <n v="1087.5"/>
    <m/>
    <m/>
    <m/>
    <m/>
    <m/>
    <m/>
    <m/>
    <m/>
    <m/>
    <m/>
    <m/>
    <m/>
    <m/>
    <m/>
    <m/>
    <m/>
    <m/>
    <m/>
    <m/>
    <m/>
    <m/>
    <m/>
    <m/>
    <m/>
    <m/>
    <m/>
    <m/>
    <m/>
    <m/>
    <m/>
    <m/>
    <m/>
    <m/>
    <m/>
    <m/>
    <m/>
    <m/>
    <m/>
    <m/>
    <m/>
    <m/>
    <m/>
    <m/>
    <m/>
    <m/>
  </r>
  <r>
    <x v="106"/>
    <n v="2009"/>
    <x v="18"/>
    <s v="Europe and Central Asia"/>
    <m/>
    <s v="Mining"/>
    <s v="yes"/>
    <s v="no"/>
    <s v="no"/>
    <s v="o/w Lime"/>
    <s v="detailed"/>
    <s v="detailed Mining"/>
    <n v="4700"/>
    <m/>
    <m/>
    <m/>
    <m/>
    <s v="t"/>
    <n v="114.2"/>
    <s v="US$/t"/>
    <s v="Volume from USGS Mineral Yearbook 2012. Price from USGS Mineral Commodity Summary 2014, and is the average plant price for quicklime and hydrate products in the US."/>
    <n v="536740"/>
    <m/>
    <m/>
    <m/>
    <m/>
    <m/>
    <m/>
    <m/>
    <m/>
    <m/>
    <m/>
    <m/>
    <m/>
    <m/>
    <m/>
    <m/>
    <m/>
    <m/>
    <m/>
    <m/>
    <m/>
    <m/>
    <m/>
    <m/>
    <m/>
    <m/>
    <m/>
    <m/>
    <m/>
    <m/>
    <m/>
    <m/>
    <m/>
    <m/>
    <m/>
    <m/>
    <m/>
    <m/>
    <m/>
    <m/>
    <m/>
    <m/>
    <m/>
    <m/>
    <m/>
    <m/>
  </r>
  <r>
    <x v="106"/>
    <n v="2009"/>
    <x v="18"/>
    <s v="Europe and Central Asia"/>
    <m/>
    <s v="Mining"/>
    <s v="yes"/>
    <s v="no"/>
    <s v="no"/>
    <s v="o/w Sands"/>
    <s v="detailed"/>
    <s v="detailed Mining"/>
    <n v="1280000"/>
    <m/>
    <m/>
    <m/>
    <m/>
    <s v="t"/>
    <n v="7.57"/>
    <s v="US$/t"/>
    <s v="Volume from USGS Mineral Yearbook 2012. Price from USGS Mineral Yearbook 2009, and is the price in the US for construction sand and gravel."/>
    <n v="9689600"/>
    <m/>
    <m/>
    <m/>
    <m/>
    <m/>
    <m/>
    <m/>
    <m/>
    <m/>
    <m/>
    <m/>
    <m/>
    <m/>
    <m/>
    <m/>
    <m/>
    <m/>
    <m/>
    <m/>
    <m/>
    <m/>
    <m/>
    <m/>
    <m/>
    <m/>
    <m/>
    <m/>
    <m/>
    <m/>
    <m/>
    <m/>
    <m/>
    <m/>
    <m/>
    <m/>
    <m/>
    <m/>
    <m/>
    <m/>
    <m/>
    <m/>
    <m/>
    <m/>
    <m/>
    <m/>
  </r>
  <r>
    <x v="106"/>
    <n v="2009"/>
    <x v="18"/>
    <s v="Europe and Central Asia"/>
    <m/>
    <s v="Mining"/>
    <s v="yes"/>
    <s v="no"/>
    <s v="no"/>
    <s v="Gold"/>
    <s v="detailed"/>
    <s v="detailed Mining"/>
    <n v="545855.3168018189"/>
    <m/>
    <m/>
    <m/>
    <m/>
    <s v="toz"/>
    <n v="972.96591666666995"/>
    <s v="US$/toz"/>
    <s v="Volume from USGS Mineral Yearbook 2012. Price from World Bank (Global Economic Monitor (GEM) Commodities database), and is defined as: Gold (UK), 99.5% fine, London afternoon fixing, average of daily rates."/>
    <n v="531098618.67945725"/>
    <m/>
    <m/>
    <m/>
    <n v="82014492.223000005"/>
    <n v="84818158.213"/>
    <m/>
    <m/>
    <m/>
    <n v="0.15442422431247099"/>
    <m/>
    <m/>
    <m/>
    <m/>
    <m/>
    <m/>
    <m/>
    <n v="1"/>
    <s v="Kumtor Gold Company Closed Joint-Stock Company"/>
    <n v="1"/>
    <m/>
    <m/>
    <m/>
    <m/>
    <n v="7"/>
    <m/>
    <m/>
    <m/>
    <m/>
    <m/>
    <m/>
    <m/>
    <m/>
    <m/>
    <m/>
    <m/>
    <m/>
    <m/>
    <m/>
    <m/>
    <m/>
    <m/>
    <m/>
    <m/>
    <m/>
    <m/>
  </r>
  <r>
    <x v="106"/>
    <n v="2009"/>
    <x v="18"/>
    <s v="Europe and Central Asia"/>
    <m/>
    <s v="Mining"/>
    <s v="yes"/>
    <s v="no"/>
    <s v="no"/>
    <s v="Non-ferrous and rare metals"/>
    <s v="detailed"/>
    <s v="detailed Mining"/>
    <m/>
    <m/>
    <m/>
    <m/>
    <m/>
    <m/>
    <m/>
    <m/>
    <m/>
    <n v="3679726.6265718974"/>
    <m/>
    <m/>
    <m/>
    <n v="576889.74600000004"/>
    <n v="596610.72600000014"/>
    <m/>
    <m/>
    <m/>
    <n v="0.15677516417501955"/>
    <m/>
    <m/>
    <m/>
    <m/>
    <m/>
    <m/>
    <m/>
    <n v="4"/>
    <s v="Kadamjay Antimony Plant Open Joint-Stock Company, Saryjaz Mineral Mining Company, Bozymchak Mining Company, Khaidarkan Mercury Joint-Stock Company Open Joint-Stock"/>
    <n v="4"/>
    <m/>
    <m/>
    <m/>
    <m/>
    <n v="7"/>
    <m/>
    <m/>
    <m/>
    <m/>
    <m/>
    <m/>
    <m/>
    <m/>
    <m/>
    <m/>
    <m/>
    <m/>
    <m/>
    <m/>
    <m/>
    <m/>
    <m/>
    <m/>
    <m/>
    <m/>
    <m/>
  </r>
  <r>
    <x v="106"/>
    <n v="2009"/>
    <x v="18"/>
    <s v="Europe and Central Asia"/>
    <m/>
    <s v="Mining"/>
    <s v="yes"/>
    <s v="no"/>
    <s v="no"/>
    <s v="o/w Antimony"/>
    <s v="detailed"/>
    <s v="detailed Mining"/>
    <m/>
    <m/>
    <m/>
    <m/>
    <m/>
    <m/>
    <n v="519409.51339529798"/>
    <s v="US$/t"/>
    <s v="Price from USGS Mineral Yearbook 2012 - defined as: New York dealer price for 99.5% to 99.6% metal, cost, insurance, freight U.S. ports - adjusted to account for the price given in the US Mining Industry Overview of Kyrgyzstan being an average 0.26% of this in 2004."/>
    <n v="1239726.6265718972"/>
    <m/>
    <m/>
    <m/>
    <m/>
    <m/>
    <m/>
    <m/>
    <m/>
    <m/>
    <m/>
    <m/>
    <m/>
    <m/>
    <m/>
    <m/>
    <m/>
    <n v="1"/>
    <s v="Kadamjay Antimony Plant Open Joint-Stock Company"/>
    <n v="1"/>
    <m/>
    <m/>
    <m/>
    <m/>
    <m/>
    <m/>
    <m/>
    <m/>
    <m/>
    <m/>
    <m/>
    <m/>
    <m/>
    <m/>
    <m/>
    <m/>
    <m/>
    <m/>
    <m/>
    <m/>
    <m/>
    <m/>
    <m/>
    <m/>
    <m/>
    <m/>
  </r>
  <r>
    <x v="106"/>
    <n v="2009"/>
    <x v="18"/>
    <s v="Europe and Central Asia"/>
    <m/>
    <s v="Mining"/>
    <s v="yes"/>
    <s v="no"/>
    <s v="no"/>
    <s v="   o/w Metal and compounds"/>
    <s v="detailed"/>
    <s v="detailed Mining"/>
    <n v="918"/>
    <m/>
    <m/>
    <m/>
    <m/>
    <s v="t"/>
    <m/>
    <s v="US$/t"/>
    <s v="Volume from USGS Mineral Yearbook 2009. Price from USGS Mineral Commodity Summary 2009, and is the price in the US."/>
    <m/>
    <m/>
    <m/>
    <m/>
    <m/>
    <m/>
    <m/>
    <m/>
    <m/>
    <m/>
    <m/>
    <m/>
    <m/>
    <m/>
    <m/>
    <m/>
    <m/>
    <m/>
    <m/>
    <m/>
    <m/>
    <m/>
    <m/>
    <m/>
    <m/>
    <m/>
    <m/>
    <m/>
    <m/>
    <m/>
    <m/>
    <m/>
    <m/>
    <m/>
    <m/>
    <m/>
    <m/>
    <m/>
    <m/>
    <m/>
    <m/>
    <m/>
    <m/>
    <m/>
    <m/>
    <m/>
  </r>
  <r>
    <x v="106"/>
    <n v="2009"/>
    <x v="18"/>
    <s v="Europe and Central Asia"/>
    <m/>
    <s v="Mining"/>
    <s v="yes"/>
    <s v="no"/>
    <s v="no"/>
    <s v="   o/w Antimony content"/>
    <s v="detailed"/>
    <s v="detailed Mining"/>
    <n v="700"/>
    <m/>
    <m/>
    <m/>
    <m/>
    <s v="t"/>
    <m/>
    <m/>
    <s v="Volume from USGS Mineral Yearbook 2012"/>
    <m/>
    <m/>
    <m/>
    <m/>
    <m/>
    <m/>
    <m/>
    <m/>
    <m/>
    <m/>
    <m/>
    <m/>
    <m/>
    <m/>
    <m/>
    <m/>
    <m/>
    <m/>
    <m/>
    <m/>
    <m/>
    <m/>
    <m/>
    <m/>
    <m/>
    <m/>
    <m/>
    <m/>
    <m/>
    <m/>
    <m/>
    <m/>
    <m/>
    <m/>
    <m/>
    <m/>
    <m/>
    <m/>
    <m/>
    <m/>
    <m/>
    <m/>
    <m/>
    <m/>
    <m/>
    <m/>
  </r>
  <r>
    <x v="106"/>
    <n v="2009"/>
    <x v="18"/>
    <s v="Europe and Central Asia"/>
    <m/>
    <s v="Mining"/>
    <s v="yes"/>
    <s v="no"/>
    <s v="no"/>
    <s v="o/w Mercury"/>
    <s v="detailed"/>
    <s v="detailed Mining"/>
    <n v="140"/>
    <m/>
    <m/>
    <m/>
    <m/>
    <s v="t"/>
    <n v="17428.571428571428"/>
    <s v="US$/t"/>
    <s v="Volume from USGS Mineral Yearbook 2012. Price from USGS Mineral Commodity Summary 2014, and is the price in the US."/>
    <n v="2440000"/>
    <m/>
    <m/>
    <m/>
    <m/>
    <m/>
    <m/>
    <m/>
    <m/>
    <m/>
    <m/>
    <m/>
    <m/>
    <m/>
    <m/>
    <m/>
    <m/>
    <m/>
    <m/>
    <m/>
    <m/>
    <m/>
    <m/>
    <m/>
    <m/>
    <m/>
    <m/>
    <m/>
    <m/>
    <m/>
    <m/>
    <m/>
    <m/>
    <m/>
    <m/>
    <m/>
    <m/>
    <m/>
    <m/>
    <m/>
    <m/>
    <m/>
    <m/>
    <m/>
    <m/>
    <m/>
  </r>
  <r>
    <x v="106"/>
    <n v="2009"/>
    <x v="18"/>
    <s v="Europe and Central Asia"/>
    <m/>
    <s v="Mining"/>
    <s v="yes"/>
    <s v="no"/>
    <s v="no"/>
    <s v="o/w Uranium processed)"/>
    <s v="detailed"/>
    <s v="detailed Mining"/>
    <m/>
    <m/>
    <m/>
    <m/>
    <m/>
    <m/>
    <m/>
    <m/>
    <m/>
    <m/>
    <m/>
    <m/>
    <m/>
    <m/>
    <m/>
    <m/>
    <m/>
    <m/>
    <m/>
    <m/>
    <m/>
    <m/>
    <m/>
    <m/>
    <m/>
    <m/>
    <m/>
    <m/>
    <m/>
    <m/>
    <m/>
    <m/>
    <m/>
    <m/>
    <m/>
    <m/>
    <m/>
    <m/>
    <m/>
    <m/>
    <m/>
    <m/>
    <m/>
    <m/>
    <m/>
    <m/>
    <m/>
    <m/>
    <m/>
    <m/>
    <m/>
    <m/>
    <m/>
    <m/>
    <m/>
  </r>
  <r>
    <x v="106"/>
    <n v="2009"/>
    <x v="18"/>
    <s v="Europe and Central Asia"/>
    <m/>
    <s v="Mining"/>
    <s v="yes"/>
    <s v="no"/>
    <s v="no"/>
    <s v="   o/w Uranium content"/>
    <s v="detailed"/>
    <s v="detailed Mining"/>
    <n v="2574"/>
    <m/>
    <m/>
    <m/>
    <m/>
    <s v="t"/>
    <m/>
    <m/>
    <s v="Volume from USGS Mineral Yearbook 2012"/>
    <m/>
    <m/>
    <m/>
    <m/>
    <m/>
    <m/>
    <m/>
    <m/>
    <m/>
    <m/>
    <m/>
    <m/>
    <m/>
    <m/>
    <m/>
    <m/>
    <m/>
    <m/>
    <m/>
    <m/>
    <m/>
    <m/>
    <m/>
    <m/>
    <m/>
    <m/>
    <m/>
    <m/>
    <m/>
    <m/>
    <m/>
    <m/>
    <m/>
    <m/>
    <m/>
    <m/>
    <m/>
    <m/>
    <m/>
    <m/>
    <m/>
    <m/>
    <m/>
    <m/>
    <m/>
    <m/>
  </r>
  <r>
    <x v="106"/>
    <n v="2009"/>
    <x v="18"/>
    <s v="Europe and Central Asia"/>
    <m/>
    <s v="Mining"/>
    <s v="yes"/>
    <s v="no"/>
    <s v="no"/>
    <s v="   o/w U3O8 content"/>
    <s v="detailed"/>
    <s v="detailed Mining"/>
    <n v="3071"/>
    <m/>
    <m/>
    <m/>
    <m/>
    <s v="t"/>
    <m/>
    <m/>
    <s v="Volume from USGS Mineral Yearbook 2012"/>
    <m/>
    <m/>
    <m/>
    <m/>
    <m/>
    <m/>
    <m/>
    <m/>
    <m/>
    <m/>
    <m/>
    <m/>
    <m/>
    <m/>
    <m/>
    <m/>
    <m/>
    <m/>
    <m/>
    <m/>
    <m/>
    <m/>
    <m/>
    <m/>
    <m/>
    <m/>
    <m/>
    <m/>
    <m/>
    <m/>
    <m/>
    <m/>
    <m/>
    <m/>
    <m/>
    <m/>
    <m/>
    <m/>
    <m/>
    <m/>
    <m/>
    <m/>
    <m/>
    <m/>
    <m/>
    <m/>
  </r>
  <r>
    <x v="107"/>
    <n v="2010"/>
    <x v="18"/>
    <s v="Europe and Central Asia"/>
    <s v="http://eiti.org.kg/"/>
    <s v="Oil, Gas, Mining"/>
    <s v="yes"/>
    <s v="yes"/>
    <s v="yes"/>
    <s v="Total"/>
    <s v="Total"/>
    <s v="Total Oil, Gas, Mining"/>
    <m/>
    <m/>
    <m/>
    <m/>
    <m/>
    <m/>
    <m/>
    <m/>
    <m/>
    <n v="188992923.66981843"/>
    <s v="Profits/Taxes, Royalties, Bonuses, Licenses and concessions, Other significant benefits to government"/>
    <s v="Does not include payments made in-kind"/>
    <s v="-"/>
    <n v="143976791"/>
    <n v="142159547"/>
    <m/>
    <m/>
    <m/>
    <n v="0.76181048583351074"/>
    <s v="Kyrgyzstan Som"/>
    <n v="45.93"/>
    <s v="Disaggregated by revenue stream, Disaggregated by company, Disaggregated by commodity"/>
    <m/>
    <m/>
    <m/>
    <m/>
    <n v="45"/>
    <s v="Kyrgyzneftegaz Open Joint-Stock Company, Ak-Jol Komur LLC, Tash Komur LLC, Sharbon JSC, Busurmankul T LLC, Shakhta Jyrgalan JSC, Kok-Bel Komur LLC, Kyzyl-Kiya Komur JSC, Sulyukta Komur JSC, Kara-Keche State Enterprise, Parity Coal LLC, Bishkekstroymaterialy JSC, Kum-Shagyl JSC, Tokmok plant KSM JSC, Silikat JSC, Iygilik JSC, South Plant of Construction Materials LLC, Kyrgyz Too-Tash JSC, ZhBI Plant JSC, Nur KM JSC, Dary-Bulak-Abshir LLC, South Kyrgyz Cement JSC, Dannur Yug LLC, Khaidarkan Mercury JSC, Kadamzhay Antimony Enterprise JSC, Saryjaz Mineral Mining Company LLC, Central Asian Tin Company LLC, Kutesay Mining LLC, Mineral Trade LLC, Polimetal Investstroi LLC, Kumtor Gold Company CJSC, Kyrgyzaltyn JSC, Vertex Gold Company LLC, Altynken LLC, Andash Mining Company LLC, Kazakhmys LLC, Full Gold Mining LLC, Kichi-Chaarat JSC, Fonta LLC, Eventys LLC, Dolina Kasana LLC, ELKO-service LLC, Interbusiness LLC, Kaidi Mining Investment Company LLC, Kumbel-Resource LLC"/>
    <n v="42"/>
    <s v="December 2012"/>
    <d v="2014-10-01T00:00:00"/>
    <s v="KPMG Bishkek LLC "/>
    <s v="http://eiti.org/files/Kyrgyzstan-%202010-EITI-Report.pdf"/>
    <n v="11"/>
    <s v="Materiality threshold: Not given. Unilateral declarations are included in the figures. Voluntary social payments are not included in the figures as they are not disaggregated by company. Government reported voluntary social payments of US$6,458,023 while companies reported payments of US$2,691,182 (though the wording suggests these payment totals are the wrong idea). Some of these were payments in-kind, but the report does not specify the type or value of these. The 2011 Report indicates that exports were worth US$739m in 2010. One of the revenue streams is dividends from state shares, but the report does not specify whether the state is the majority shareholder in any of the companies. "/>
    <m/>
    <m/>
    <m/>
    <m/>
    <m/>
    <m/>
    <m/>
    <m/>
    <m/>
    <m/>
    <m/>
    <m/>
    <m/>
    <m/>
    <m/>
    <m/>
    <m/>
    <m/>
    <m/>
    <m/>
  </r>
  <r>
    <x v="107"/>
    <n v="2010"/>
    <x v="18"/>
    <s v="Europe and Central Asia"/>
    <m/>
    <s v="Oil, Gas"/>
    <s v="no"/>
    <s v="yes"/>
    <s v="yes"/>
    <s v="Total Oil &amp; Gas"/>
    <s v="Total"/>
    <s v="Total Oil, Gas"/>
    <m/>
    <m/>
    <m/>
    <m/>
    <m/>
    <m/>
    <m/>
    <m/>
    <m/>
    <n v="51834676.328195117"/>
    <m/>
    <m/>
    <m/>
    <n v="7300523"/>
    <n v="5805378"/>
    <m/>
    <m/>
    <m/>
    <n v="0.14084245368440607"/>
    <m/>
    <m/>
    <m/>
    <m/>
    <m/>
    <m/>
    <m/>
    <n v="1"/>
    <s v="Kyrgyzneftegaz Open Joint-Stock Company"/>
    <n v="1"/>
    <m/>
    <m/>
    <m/>
    <m/>
    <n v="14"/>
    <m/>
    <m/>
    <m/>
    <m/>
    <m/>
    <m/>
    <m/>
    <m/>
    <m/>
    <m/>
    <m/>
    <m/>
    <m/>
    <m/>
    <m/>
    <m/>
    <m/>
    <m/>
    <m/>
    <m/>
    <m/>
  </r>
  <r>
    <x v="107"/>
    <n v="2010"/>
    <x v="18"/>
    <s v="Europe and Central Asia"/>
    <m/>
    <s v="Gas"/>
    <s v="no"/>
    <s v="yes"/>
    <s v="no"/>
    <s v="Gas"/>
    <s v="detailed"/>
    <s v="detailed Gas"/>
    <n v="22800000"/>
    <m/>
    <m/>
    <m/>
    <m/>
    <s v="m³"/>
    <n v="0.1741077336927683"/>
    <s v="US$/m³"/>
    <s v="Volume from USGS Mineral Yearbook 2012. Price from BPSR 2014, and is an average of the UK, US and Canada Indices for natural gas. "/>
    <n v="3969656.3281951174"/>
    <m/>
    <m/>
    <m/>
    <m/>
    <m/>
    <m/>
    <m/>
    <m/>
    <m/>
    <m/>
    <m/>
    <m/>
    <m/>
    <m/>
    <m/>
    <m/>
    <m/>
    <m/>
    <m/>
    <m/>
    <m/>
    <m/>
    <m/>
    <m/>
    <m/>
    <m/>
    <m/>
    <m/>
    <m/>
    <m/>
    <m/>
    <m/>
    <m/>
    <m/>
    <m/>
    <m/>
    <m/>
    <m/>
    <m/>
    <m/>
    <m/>
    <m/>
    <m/>
    <m/>
    <m/>
  </r>
  <r>
    <x v="107"/>
    <n v="2010"/>
    <x v="18"/>
    <s v="Europe and Central Asia"/>
    <m/>
    <s v="Oil "/>
    <s v="no"/>
    <s v="no"/>
    <s v="no"/>
    <s v="Oil"/>
    <s v="detailed"/>
    <s v="detailed Oil "/>
    <n v="602000"/>
    <m/>
    <m/>
    <m/>
    <m/>
    <s v="bbl"/>
    <n v="79.510000000000005"/>
    <s v="US$/bbl"/>
    <s v="Volume from USGS Mineral Yearbook 2012. Price from BPSR 2014, and is an average of the spot prices for Brent, Dubai, Nigerian Forcados and West Texas Intermediate crude oil."/>
    <n v="47865020"/>
    <m/>
    <m/>
    <m/>
    <m/>
    <m/>
    <m/>
    <m/>
    <m/>
    <m/>
    <m/>
    <m/>
    <m/>
    <m/>
    <m/>
    <m/>
    <m/>
    <m/>
    <m/>
    <m/>
    <m/>
    <m/>
    <m/>
    <m/>
    <m/>
    <m/>
    <m/>
    <m/>
    <m/>
    <m/>
    <m/>
    <m/>
    <m/>
    <m/>
    <m/>
    <m/>
    <m/>
    <m/>
    <m/>
    <m/>
    <m/>
    <m/>
    <m/>
    <m/>
    <m/>
    <m/>
  </r>
  <r>
    <x v="107"/>
    <n v="2010"/>
    <x v="18"/>
    <s v="Europe and Central Asia"/>
    <m/>
    <s v="Mining"/>
    <s v="yes"/>
    <s v="no"/>
    <s v="no"/>
    <s v="Total Mining"/>
    <s v="Total"/>
    <s v="Total Mining"/>
    <m/>
    <m/>
    <m/>
    <m/>
    <m/>
    <m/>
    <m/>
    <m/>
    <m/>
    <n v="137158247.34162331"/>
    <m/>
    <m/>
    <m/>
    <n v="135289779.07999998"/>
    <n v="133442574.36"/>
    <m/>
    <m/>
    <m/>
    <n v="0.98637728100323796"/>
    <m/>
    <m/>
    <m/>
    <m/>
    <m/>
    <m/>
    <m/>
    <n v="44"/>
    <s v="Ak-Jol Komur LLC, Tash Komur LLC, Sharbon JSC, Busurmankul T LLC, Shakhta Jyrgalan JSC, Kok-Bel Komur LLC, Kyzyl-Kiya Komur JSC, Sulyukta Komur JSC, Kara-Keche State Enterprise, Parity Coal LLC, Bishkekstroymaterialy JSC, Kum-Shagyl JSC, Tokmok plant KSM JSC, Silikat JSC, Iygilik JSC, South Plant of Construction Materials LLC, Kyrgyz Too-Tash JSC, ZhBI Plant JSC, Nur KM JSC, Dary-Bulak-Abshir LLC, South Kyrgyz Cement JSC, Dannur Yug LLC, Khaidarkan Mercury JSC, Kadamzhay Antimony Enterprise JSC, Saryjaz Mineral Mining Company LLC, Central Asian Tin Company LLC, Kutesay Mining LLC, Mineral Trade LLC, Polimetal Investstroi LLC, Kumtor Gold Company CJSC, Kyrgyzaltyn JSC, Vertex Gold Company LLC, Altynken LLC, Andash Mining Company LLC, Kazakhmys LLC, Full Gold Mining LLC, Kichi-Chaarat JSC, Fonta LLC, Eventys LLC, Dolina Kasana LLC, ELKO-service LLC, Interbusiness LLC, Kaidi Mining Investment Company LLC, Kumbel-Resource LLC"/>
    <n v="41"/>
    <m/>
    <m/>
    <m/>
    <m/>
    <s v="13-15"/>
    <m/>
    <m/>
    <m/>
    <m/>
    <m/>
    <m/>
    <m/>
    <m/>
    <m/>
    <m/>
    <m/>
    <m/>
    <m/>
    <m/>
    <m/>
    <m/>
    <m/>
    <m/>
    <m/>
    <m/>
    <m/>
  </r>
  <r>
    <x v="107"/>
    <n v="2010"/>
    <x v="18"/>
    <s v="Europe and Central Asia"/>
    <m/>
    <s v="Mining"/>
    <s v="yes"/>
    <s v="no"/>
    <s v="no"/>
    <s v="Coal"/>
    <s v="detailed"/>
    <s v="detailed Mining"/>
    <n v="575000"/>
    <m/>
    <m/>
    <m/>
    <m/>
    <s v="t"/>
    <n v="89.852021850427363"/>
    <s v="US$/t"/>
    <s v="Volume from USGS Mineral Yearbook 2012. Price from BPSR 2014, and is an average of the American Central Appalachian, Asian and Northwest Europe marker/spot prices."/>
    <n v="51664912.563995734"/>
    <m/>
    <m/>
    <m/>
    <n v="985674"/>
    <n v="773590"/>
    <m/>
    <m/>
    <m/>
    <n v="1.907820900265874E-2"/>
    <m/>
    <m/>
    <m/>
    <m/>
    <m/>
    <m/>
    <m/>
    <n v="10"/>
    <s v="Ak-Jol Komur LLC, Tash Komur LLC,, Sharbon JSC, Busurmankul T LLC, Shakhta Jyrgalan JSC, Kok-Bel Komur LLC, Kyzyl-Kiya Komur JSC, Sulyukta Komur JSC, Kara-Keche State Enterprise, Parity Coal LLC"/>
    <n v="8"/>
    <m/>
    <m/>
    <m/>
    <m/>
    <n v="14"/>
    <m/>
    <m/>
    <m/>
    <m/>
    <m/>
    <m/>
    <m/>
    <m/>
    <m/>
    <m/>
    <m/>
    <m/>
    <m/>
    <m/>
    <m/>
    <m/>
    <m/>
    <m/>
    <m/>
    <m/>
    <m/>
  </r>
  <r>
    <x v="107"/>
    <n v="2010"/>
    <x v="18"/>
    <s v="Europe and Central Asia"/>
    <m/>
    <s v="Mining"/>
    <s v="yes"/>
    <s v="no"/>
    <s v="no"/>
    <s v="Construction Materials "/>
    <s v="detailed"/>
    <s v="detailed Mining"/>
    <m/>
    <m/>
    <m/>
    <m/>
    <m/>
    <m/>
    <m/>
    <m/>
    <m/>
    <n v="80849233.299999997"/>
    <m/>
    <m/>
    <m/>
    <n v="6615219"/>
    <n v="6569998"/>
    <m/>
    <m/>
    <m/>
    <n v="8.182166645233975E-2"/>
    <m/>
    <m/>
    <m/>
    <m/>
    <m/>
    <m/>
    <m/>
    <n v="12"/>
    <s v="Bishkekstroymaterialy JSC, Kum-Shagyl JSC, Tokmok plant KSM JSC, Silikat JSC, Iygilik JSC, South Plant of Construction Materials LLC, Kyrgyz Too-Tash JSC, ZhBI Plant JSC, Nur KM JSC, Dary-Bulak-Abshir LLC, South Kyrgyz Cement JSC, Dannur Yug LLC"/>
    <n v="5"/>
    <m/>
    <m/>
    <m/>
    <m/>
    <s v="14-15"/>
    <m/>
    <m/>
    <m/>
    <m/>
    <m/>
    <m/>
    <m/>
    <m/>
    <m/>
    <m/>
    <m/>
    <m/>
    <m/>
    <m/>
    <m/>
    <m/>
    <m/>
    <m/>
    <m/>
    <m/>
    <m/>
  </r>
  <r>
    <x v="107"/>
    <n v="2010"/>
    <x v="18"/>
    <s v="Europe and Central Asia"/>
    <m/>
    <s v="Mining"/>
    <s v="yes"/>
    <s v="no"/>
    <s v="no"/>
    <s v="o/w Cement"/>
    <s v="detailed"/>
    <s v="detailed Mining"/>
    <n v="759700"/>
    <m/>
    <m/>
    <m/>
    <m/>
    <s v="t"/>
    <n v="92"/>
    <s v="US$/t"/>
    <s v="Volume from USGS Mineral Yearbook 2012. Price from USGS Mineral Commodity Summary 2014, and is the average mill price for cement in the US."/>
    <n v="69892400"/>
    <m/>
    <m/>
    <m/>
    <m/>
    <m/>
    <m/>
    <m/>
    <m/>
    <m/>
    <m/>
    <m/>
    <m/>
    <m/>
    <m/>
    <m/>
    <m/>
    <m/>
    <m/>
    <m/>
    <m/>
    <m/>
    <m/>
    <m/>
    <m/>
    <m/>
    <m/>
    <m/>
    <m/>
    <m/>
    <m/>
    <m/>
    <m/>
    <m/>
    <m/>
    <m/>
    <m/>
    <m/>
    <m/>
    <m/>
    <m/>
    <m/>
    <m/>
    <m/>
    <m/>
    <m/>
  </r>
  <r>
    <x v="107"/>
    <n v="2010"/>
    <x v="18"/>
    <s v="Europe and Central Asia"/>
    <m/>
    <s v="Mining"/>
    <s v="yes"/>
    <s v="no"/>
    <s v="no"/>
    <s v="o/w Gypsum"/>
    <s v="detailed"/>
    <s v="detailed Mining"/>
    <n v="51"/>
    <m/>
    <m/>
    <m/>
    <m/>
    <s v="t"/>
    <n v="18.3"/>
    <s v="US$/t"/>
    <s v="Volume from USGS Mineral Yearbook 2012. Price from USGS Mineral Commodity Summary 2013, and is the average f.o.b. price for crude and calcined products."/>
    <n v="933.30000000000007"/>
    <m/>
    <m/>
    <m/>
    <m/>
    <m/>
    <m/>
    <m/>
    <m/>
    <m/>
    <m/>
    <m/>
    <m/>
    <m/>
    <m/>
    <m/>
    <m/>
    <m/>
    <m/>
    <m/>
    <m/>
    <m/>
    <m/>
    <m/>
    <m/>
    <m/>
    <m/>
    <m/>
    <m/>
    <m/>
    <m/>
    <m/>
    <m/>
    <m/>
    <m/>
    <m/>
    <m/>
    <m/>
    <m/>
    <m/>
    <m/>
    <m/>
    <m/>
    <m/>
    <m/>
    <m/>
  </r>
  <r>
    <x v="107"/>
    <n v="2010"/>
    <x v="18"/>
    <s v="Europe and Central Asia"/>
    <m/>
    <s v="Mining"/>
    <s v="yes"/>
    <s v="no"/>
    <s v="no"/>
    <s v="o/w Lime"/>
    <s v="detailed"/>
    <s v="detailed Mining"/>
    <n v="6500"/>
    <m/>
    <m/>
    <m/>
    <m/>
    <s v="t"/>
    <n v="114.2"/>
    <s v="US$/t"/>
    <s v="Volume from USGS Mineral Yearbook 2012. Price from USGS Mineral Commodity Summary 2014, and is the average plant price for quicklime and hydrate products in the US."/>
    <n v="742300"/>
    <m/>
    <m/>
    <m/>
    <m/>
    <m/>
    <m/>
    <m/>
    <m/>
    <m/>
    <m/>
    <m/>
    <m/>
    <m/>
    <m/>
    <m/>
    <m/>
    <m/>
    <m/>
    <m/>
    <m/>
    <m/>
    <m/>
    <m/>
    <m/>
    <m/>
    <m/>
    <m/>
    <m/>
    <m/>
    <m/>
    <m/>
    <m/>
    <m/>
    <m/>
    <m/>
    <m/>
    <m/>
    <m/>
    <m/>
    <m/>
    <m/>
    <m/>
    <m/>
    <m/>
    <m/>
  </r>
  <r>
    <x v="107"/>
    <n v="2010"/>
    <x v="18"/>
    <s v="Europe and Central Asia"/>
    <m/>
    <s v="Mining"/>
    <s v="yes"/>
    <s v="no"/>
    <s v="no"/>
    <s v="o/w Sands"/>
    <s v="detailed"/>
    <s v="detailed Mining"/>
    <n v="1360000"/>
    <m/>
    <m/>
    <m/>
    <m/>
    <s v="t"/>
    <n v="7.51"/>
    <s v="US$/t"/>
    <s v="Volume from USGS Mineral Yearbook 2012. Price from USGS Mineral Yearbook 2010, and is the price in the US for construction sand and gravel."/>
    <n v="10213600"/>
    <m/>
    <m/>
    <m/>
    <m/>
    <m/>
    <m/>
    <m/>
    <m/>
    <m/>
    <m/>
    <m/>
    <m/>
    <m/>
    <m/>
    <m/>
    <m/>
    <m/>
    <m/>
    <m/>
    <m/>
    <m/>
    <m/>
    <m/>
    <m/>
    <m/>
    <m/>
    <m/>
    <m/>
    <m/>
    <m/>
    <m/>
    <m/>
    <m/>
    <m/>
    <m/>
    <m/>
    <m/>
    <m/>
    <m/>
    <m/>
    <m/>
    <m/>
    <m/>
    <m/>
    <m/>
  </r>
  <r>
    <x v="107"/>
    <n v="2010"/>
    <x v="18"/>
    <s v="Europe and Central Asia"/>
    <m/>
    <s v="Mining"/>
    <s v="yes"/>
    <s v="no"/>
    <s v="no"/>
    <s v="Gold"/>
    <s v="detailed"/>
    <s v="detailed Mining"/>
    <n v="581028.22978221648"/>
    <m/>
    <m/>
    <m/>
    <m/>
    <s v="toz"/>
    <n v="1224.66425"/>
    <s v="US$/toz"/>
    <s v="Volume from USGS Mineral Yearbook 2012. Price from World Bank (Global Economic Monitor (GEM) Commodities database), and is defined as: Gold (UK), 99.5% fine, London afternoon fixing, average of daily rates."/>
    <n v="711564501.2550658"/>
    <m/>
    <m/>
    <m/>
    <n v="126699576.08"/>
    <n v="125100401.36"/>
    <m/>
    <m/>
    <m/>
    <n v="0.17805775282005468"/>
    <m/>
    <m/>
    <m/>
    <m/>
    <m/>
    <m/>
    <m/>
    <m/>
    <m/>
    <m/>
    <m/>
    <m/>
    <m/>
    <m/>
    <m/>
    <m/>
    <m/>
    <m/>
    <m/>
    <m/>
    <m/>
    <m/>
    <m/>
    <m/>
    <m/>
    <m/>
    <m/>
    <m/>
    <m/>
    <m/>
    <m/>
    <m/>
    <m/>
    <m/>
    <m/>
    <m/>
  </r>
  <r>
    <x v="107"/>
    <n v="2010"/>
    <x v="18"/>
    <s v="Europe and Central Asia"/>
    <m/>
    <s v="Mining"/>
    <s v="yes"/>
    <s v="no"/>
    <s v="no"/>
    <s v="Non-ferrous and rare metals"/>
    <s v="detailed"/>
    <s v="detailed Mining"/>
    <m/>
    <m/>
    <m/>
    <m/>
    <m/>
    <m/>
    <m/>
    <m/>
    <m/>
    <n v="4644101.4776274711"/>
    <m/>
    <m/>
    <m/>
    <n v="989310"/>
    <n v="998585"/>
    <m/>
    <m/>
    <m/>
    <n v="0.2130250608790332"/>
    <m/>
    <m/>
    <m/>
    <m/>
    <m/>
    <m/>
    <m/>
    <n v="7"/>
    <s v="Khaidarkan Mercury JSC, Kadamzhay Antimony Enterprise JSC, Saryjaz Mineral Mining Company LLC, Central Asian Tin Company LLC, Kutesay Mining LLC, Mineral Trade LLC, Polimetal Investstroi LLC"/>
    <n v="6"/>
    <m/>
    <m/>
    <m/>
    <m/>
    <s v="13-14"/>
    <m/>
    <m/>
    <m/>
    <m/>
    <m/>
    <m/>
    <m/>
    <m/>
    <m/>
    <m/>
    <m/>
    <m/>
    <m/>
    <m/>
    <m/>
    <m/>
    <m/>
    <m/>
    <m/>
    <m/>
    <m/>
  </r>
  <r>
    <x v="107"/>
    <n v="2010"/>
    <x v="18"/>
    <s v="Europe and Central Asia"/>
    <m/>
    <s v="Mining"/>
    <s v="yes"/>
    <s v="no"/>
    <s v="no"/>
    <s v="o/w Antimony"/>
    <s v="detailed"/>
    <s v="detailed Mining"/>
    <m/>
    <m/>
    <m/>
    <m/>
    <m/>
    <m/>
    <n v="2299.6878251821017"/>
    <s v="US$/t"/>
    <s v="Price from USGS Mineral Yearbook 2012 - defined as: New York dealer price for 99.5% to 99.6% metal, cost, insurance, freight U.S. ports - adjusted to account for the price given in the US Mining Industry Overview of Kyrgyzstan being an average 0.26% of this in 2004."/>
    <n v="1609781.4776274713"/>
    <m/>
    <m/>
    <m/>
    <m/>
    <m/>
    <m/>
    <m/>
    <m/>
    <m/>
    <m/>
    <m/>
    <m/>
    <m/>
    <m/>
    <m/>
    <m/>
    <n v="1"/>
    <s v="Kadamjay Antimony Plant Open Joint-Stock Company"/>
    <n v="1"/>
    <m/>
    <m/>
    <m/>
    <m/>
    <m/>
    <m/>
    <m/>
    <m/>
    <m/>
    <m/>
    <m/>
    <m/>
    <m/>
    <m/>
    <m/>
    <m/>
    <m/>
    <m/>
    <m/>
    <m/>
    <m/>
    <m/>
    <m/>
    <m/>
    <m/>
    <m/>
  </r>
  <r>
    <x v="107"/>
    <n v="2010"/>
    <x v="18"/>
    <s v="Europe and Central Asia"/>
    <m/>
    <s v="Mining"/>
    <s v="yes"/>
    <s v="no"/>
    <s v="no"/>
    <s v="   o/w Metal and compounds"/>
    <s v="detailed"/>
    <s v="detailed Mining"/>
    <n v="842"/>
    <m/>
    <m/>
    <m/>
    <m/>
    <s v="t"/>
    <m/>
    <m/>
    <s v="Volume from USGS Mineral Yearbook 2012"/>
    <m/>
    <m/>
    <m/>
    <m/>
    <m/>
    <m/>
    <m/>
    <m/>
    <m/>
    <m/>
    <m/>
    <m/>
    <m/>
    <m/>
    <m/>
    <m/>
    <m/>
    <m/>
    <m/>
    <m/>
    <m/>
    <m/>
    <m/>
    <m/>
    <m/>
    <m/>
    <m/>
    <m/>
    <m/>
    <m/>
    <m/>
    <m/>
    <m/>
    <m/>
    <m/>
    <m/>
    <m/>
    <m/>
    <m/>
    <m/>
    <m/>
    <m/>
    <m/>
    <m/>
    <m/>
    <m/>
  </r>
  <r>
    <x v="107"/>
    <n v="2010"/>
    <x v="18"/>
    <s v="Europe and Central Asia"/>
    <m/>
    <s v="Mining"/>
    <s v="yes"/>
    <s v="no"/>
    <s v="no"/>
    <s v="   o/w Antimony content"/>
    <s v="detailed"/>
    <s v="detailed Mining"/>
    <n v="700"/>
    <m/>
    <m/>
    <m/>
    <m/>
    <s v="t"/>
    <m/>
    <m/>
    <s v="Volume from USGS Mineral Yearbook 2012"/>
    <m/>
    <m/>
    <m/>
    <m/>
    <m/>
    <m/>
    <m/>
    <m/>
    <m/>
    <m/>
    <m/>
    <m/>
    <m/>
    <m/>
    <m/>
    <m/>
    <m/>
    <m/>
    <m/>
    <m/>
    <m/>
    <m/>
    <m/>
    <m/>
    <m/>
    <m/>
    <m/>
    <m/>
    <m/>
    <m/>
    <m/>
    <m/>
    <m/>
    <m/>
    <m/>
    <m/>
    <m/>
    <m/>
    <m/>
    <m/>
    <m/>
    <m/>
    <m/>
    <m/>
    <m/>
    <m/>
  </r>
  <r>
    <x v="107"/>
    <n v="2010"/>
    <x v="18"/>
    <s v="Europe and Central Asia"/>
    <m/>
    <s v="Mining"/>
    <s v="yes"/>
    <s v="no"/>
    <s v="no"/>
    <s v="o/w Mercury"/>
    <s v="detailed"/>
    <s v="detailed Mining"/>
    <n v="98.7"/>
    <m/>
    <m/>
    <m/>
    <m/>
    <s v="t"/>
    <n v="30742.857142857141"/>
    <s v="US$/t"/>
    <s v="Volume from USGS Mineral Yearbook 2012. Price from USGS Mineral Commodity Summary 2014, and is the price in the US."/>
    <n v="3034320"/>
    <m/>
    <m/>
    <m/>
    <m/>
    <m/>
    <m/>
    <m/>
    <m/>
    <m/>
    <m/>
    <m/>
    <m/>
    <m/>
    <m/>
    <m/>
    <m/>
    <m/>
    <m/>
    <m/>
    <m/>
    <m/>
    <m/>
    <m/>
    <m/>
    <m/>
    <m/>
    <m/>
    <m/>
    <m/>
    <m/>
    <m/>
    <m/>
    <m/>
    <m/>
    <m/>
    <m/>
    <m/>
    <m/>
    <m/>
    <m/>
    <m/>
    <m/>
    <m/>
    <m/>
    <m/>
  </r>
  <r>
    <x v="107"/>
    <n v="2010"/>
    <x v="18"/>
    <s v="Europe and Central Asia"/>
    <m/>
    <s v="Mining"/>
    <s v="yes"/>
    <s v="no"/>
    <s v="no"/>
    <s v="o/w Uranium processed)"/>
    <s v="detailed"/>
    <s v="detailed Mining"/>
    <m/>
    <m/>
    <m/>
    <m/>
    <m/>
    <m/>
    <m/>
    <m/>
    <m/>
    <m/>
    <m/>
    <m/>
    <m/>
    <m/>
    <m/>
    <m/>
    <m/>
    <m/>
    <m/>
    <m/>
    <m/>
    <m/>
    <m/>
    <m/>
    <m/>
    <m/>
    <m/>
    <m/>
    <m/>
    <m/>
    <m/>
    <m/>
    <m/>
    <m/>
    <m/>
    <m/>
    <m/>
    <m/>
    <m/>
    <m/>
    <m/>
    <m/>
    <m/>
    <m/>
    <m/>
    <m/>
    <m/>
    <m/>
    <m/>
    <m/>
    <m/>
    <m/>
    <m/>
    <m/>
    <m/>
  </r>
  <r>
    <x v="107"/>
    <n v="2010"/>
    <x v="18"/>
    <s v="Europe and Central Asia"/>
    <m/>
    <s v="Mining"/>
    <s v="yes"/>
    <s v="no"/>
    <s v="no"/>
    <s v="   o/w Uranium content"/>
    <s v="detailed"/>
    <s v="detailed Mining"/>
    <n v="2000"/>
    <m/>
    <m/>
    <m/>
    <m/>
    <s v="t"/>
    <m/>
    <m/>
    <s v="Volume from USGS Mineral Yearbook 2012"/>
    <m/>
    <m/>
    <m/>
    <m/>
    <m/>
    <m/>
    <m/>
    <m/>
    <m/>
    <m/>
    <m/>
    <m/>
    <m/>
    <m/>
    <m/>
    <m/>
    <m/>
    <m/>
    <m/>
    <m/>
    <m/>
    <m/>
    <m/>
    <m/>
    <m/>
    <m/>
    <m/>
    <m/>
    <m/>
    <m/>
    <m/>
    <m/>
    <m/>
    <m/>
    <m/>
    <m/>
    <m/>
    <m/>
    <m/>
    <m/>
    <m/>
    <m/>
    <m/>
    <m/>
    <m/>
    <m/>
  </r>
  <r>
    <x v="107"/>
    <n v="2010"/>
    <x v="18"/>
    <s v="Europe and Central Asia"/>
    <m/>
    <s v="Mining"/>
    <s v="yes"/>
    <s v="no"/>
    <s v="no"/>
    <s v="   o/w U3O8 content"/>
    <s v="detailed"/>
    <s v="detailed Mining"/>
    <n v="2385"/>
    <m/>
    <m/>
    <m/>
    <m/>
    <s v="t"/>
    <m/>
    <m/>
    <s v="Volume from USGS Mineral Yearbook 2012"/>
    <m/>
    <m/>
    <m/>
    <m/>
    <m/>
    <m/>
    <m/>
    <m/>
    <m/>
    <m/>
    <m/>
    <m/>
    <m/>
    <m/>
    <m/>
    <m/>
    <m/>
    <m/>
    <m/>
    <m/>
    <m/>
    <m/>
    <m/>
    <m/>
    <m/>
    <m/>
    <m/>
    <m/>
    <m/>
    <m/>
    <m/>
    <m/>
    <m/>
    <m/>
    <m/>
    <m/>
    <m/>
    <m/>
    <m/>
    <m/>
    <m/>
    <m/>
    <m/>
    <m/>
    <m/>
    <m/>
  </r>
  <r>
    <x v="108"/>
    <n v="2011"/>
    <x v="18"/>
    <s v="Europe and Central Asia"/>
    <s v="http://eiti.org.kg/"/>
    <s v="Oil, Gas, Mining"/>
    <s v="yes"/>
    <s v="yes"/>
    <s v="yes"/>
    <s v="Total"/>
    <s v="Total"/>
    <s v="Total Oil, Gas, Mining"/>
    <m/>
    <m/>
    <m/>
    <m/>
    <m/>
    <m/>
    <m/>
    <m/>
    <m/>
    <n v="188847543.40092915"/>
    <s v="Profits/Taxes, Royalties, Bonuses, Licenses and concessions, Other significant benefits to government"/>
    <s v="Does not include payments made in-kind"/>
    <s v="-"/>
    <n v="246173059"/>
    <n v="246031215"/>
    <s v="96.5% of production value"/>
    <m/>
    <m/>
    <n v="1.350833645754411"/>
    <s v="Kyrgyzstan Som"/>
    <n v="46.1"/>
    <s v="Disaggregated by revenue stream, Disaggregated by company, Disaggregated by commodity"/>
    <m/>
    <m/>
    <m/>
    <m/>
    <n v="57"/>
    <s v="Kyrgyzneftegaz Open Joint-Stock Company, 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Bishkekstroymaterialy JSC, Kum-Shagyl JSC, Silikat JSC, Iygilik JSC, South Plant of Construction Materials LLC, Kyrgyz Too-Tash JSC, ZhBI Plant JSC, Nur KM JSC, Dary-Bulak-Abshir LLC, South Kyrgyz Cement JSC, Dannur Yug LLC, Kyrgyz Tash JSC, Onion Mining Company  LLC, Khaidarkan Mercury JSC, Kadamzhay Antimony Enterprise JSC, Saryjaz Mineral Mining Company LLC, Central Asian Tin Company LLC, Kutesay Mining LLC, Mineral Trade LLC, Kumtor Gold Company CJSC, Kyrgyzaltyn JSC, Altynken LLC, Andash Mining Company LLC, Kazakhmys LLC, Full Gold Mining LLC, Kichi-Chaarat JSC, Fonta LLC, Eventys LLC, Dolina Kasana LLC, ELKO-service LLC, Interbusiness LLC, Kaidi Mining Investment Company LLC, Vertex Gold Company LLC"/>
    <n v="57"/>
    <s v="December 2012"/>
    <d v="2014-10-01T00:00:00"/>
    <s v="KPMG Bishkek LLC "/>
    <s v="http://eiti.org/files/Kyrgyzstan-2011-EITI-Report-2.pdf"/>
    <s v="11"/>
    <s v="Materiality threshold: Companies that had an income of US$1,000,000 in 2011, or have indicated that they will when fully operational, should be reconciled. These companies accounted for 96.5% of the value of production  in 2011. Unilateral declarations are included in the figures. Voluntary social payments are not included in the figures as they are not disaggregated by company. Government reported voluntary social payments of US$1,291,649 while companies reported payments of US$14,787,462. Some of these were payments in-kind, but the report does not specify the type or value of these. One of the revenue streams is dividends from state shares, but the report does not specify whether the state is the majority shareholder in any of the companies. Total exports were worth US$1,045m in 2011."/>
    <m/>
    <m/>
    <m/>
    <m/>
    <m/>
    <m/>
    <m/>
    <m/>
    <m/>
    <m/>
    <m/>
    <m/>
    <m/>
    <m/>
    <m/>
    <m/>
    <m/>
    <m/>
    <m/>
    <m/>
  </r>
  <r>
    <x v="108"/>
    <n v="2011"/>
    <x v="18"/>
    <s v="Europe and Central Asia"/>
    <m/>
    <s v="Oil, Gas"/>
    <s v="no"/>
    <s v="yes"/>
    <s v="yes"/>
    <s v="Total Oil &amp; Gas"/>
    <s v="Total"/>
    <s v="Total Oil, Gas"/>
    <m/>
    <m/>
    <m/>
    <m/>
    <m/>
    <m/>
    <m/>
    <m/>
    <m/>
    <n v="75114847.649367869"/>
    <m/>
    <m/>
    <m/>
    <n v="10775466"/>
    <n v="10774924"/>
    <m/>
    <m/>
    <m/>
    <n v="0.1434532098141143"/>
    <m/>
    <m/>
    <m/>
    <m/>
    <m/>
    <m/>
    <m/>
    <n v="1"/>
    <s v="Kyrgyzneftegaz Open Joint-Stock Company"/>
    <n v="1"/>
    <m/>
    <m/>
    <m/>
    <m/>
    <n v="14"/>
    <m/>
    <m/>
    <m/>
    <m/>
    <m/>
    <m/>
    <m/>
    <m/>
    <m/>
    <m/>
    <m/>
    <m/>
    <m/>
    <m/>
    <m/>
    <m/>
    <m/>
    <m/>
    <m/>
    <m/>
    <m/>
  </r>
  <r>
    <x v="108"/>
    <n v="2011"/>
    <x v="18"/>
    <s v="Europe and Central Asia"/>
    <m/>
    <s v="Gas"/>
    <s v="no"/>
    <s v="yes"/>
    <s v="no"/>
    <s v="Gas"/>
    <s v="detailed"/>
    <s v="detailed Gas"/>
    <n v="26600000"/>
    <m/>
    <m/>
    <m/>
    <m/>
    <s v="m³"/>
    <n v="0.19666043794616025"/>
    <s v="US$/m³"/>
    <s v="Volume from USGS Mineral Yearbook 2012. Price from BPSR 2014, and is an average of the UK, US and Canada Indices for natural gas. "/>
    <n v="5231167.6493678624"/>
    <m/>
    <m/>
    <m/>
    <m/>
    <m/>
    <m/>
    <m/>
    <m/>
    <m/>
    <m/>
    <m/>
    <m/>
    <m/>
    <m/>
    <m/>
    <m/>
    <m/>
    <m/>
    <m/>
    <m/>
    <m/>
    <m/>
    <m/>
    <n v="3"/>
    <m/>
    <m/>
    <m/>
    <m/>
    <m/>
    <m/>
    <m/>
    <m/>
    <m/>
    <m/>
    <m/>
    <m/>
    <m/>
    <m/>
    <m/>
    <m/>
    <m/>
    <m/>
    <m/>
    <m/>
    <m/>
  </r>
  <r>
    <x v="108"/>
    <n v="2011"/>
    <x v="18"/>
    <s v="Europe and Central Asia"/>
    <m/>
    <s v="Oil "/>
    <s v="no"/>
    <s v="no"/>
    <s v="no"/>
    <s v="Oil"/>
    <s v="detailed"/>
    <s v="detailed Oil "/>
    <n v="656000"/>
    <m/>
    <m/>
    <m/>
    <m/>
    <s v="bbl"/>
    <n v="106.53"/>
    <s v="US$/bbl"/>
    <s v="Volume from USGS Mineral Yearbook 2012. Price from BPSR 2014, and is an average of the spot prices for Brent, Dubai, Nigerian Forcados and West Texas Intermediate crude oil."/>
    <n v="69883680"/>
    <m/>
    <m/>
    <m/>
    <m/>
    <m/>
    <m/>
    <m/>
    <m/>
    <m/>
    <m/>
    <m/>
    <m/>
    <m/>
    <m/>
    <m/>
    <m/>
    <m/>
    <m/>
    <m/>
    <m/>
    <m/>
    <m/>
    <m/>
    <m/>
    <m/>
    <m/>
    <m/>
    <m/>
    <m/>
    <m/>
    <m/>
    <m/>
    <m/>
    <m/>
    <m/>
    <m/>
    <m/>
    <m/>
    <m/>
    <m/>
    <m/>
    <m/>
    <m/>
    <m/>
    <m/>
  </r>
  <r>
    <x v="108"/>
    <n v="2011"/>
    <x v="18"/>
    <s v="Europe and Central Asia"/>
    <m/>
    <s v="Mining"/>
    <s v="yes"/>
    <s v="no"/>
    <s v="no"/>
    <s v="Total Mining"/>
    <s v="Total"/>
    <s v="Total Mining"/>
    <m/>
    <m/>
    <m/>
    <m/>
    <m/>
    <m/>
    <m/>
    <m/>
    <m/>
    <n v="113732695.75156128"/>
    <m/>
    <m/>
    <m/>
    <n v="235397592"/>
    <n v="235256291"/>
    <m/>
    <m/>
    <m/>
    <n v="2.0697442406025846"/>
    <m/>
    <m/>
    <m/>
    <m/>
    <m/>
    <m/>
    <m/>
    <n v="56"/>
    <s v="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Bishkekstroymaterialy JSC, Kum-Shagyl JSC, Silikat JSC, Iygilik JSC, South Plant of Construction Materials LLC, Kyrgyz Too-Tash JSC, ZhBI Plant JSC, Nur KM JSC, Dary-Bulak-Abshir LLC, South Kyrgyz Cement JSC, Dannur Yug LLC, Kyrgyz Tash JSC, Onion Mining Company  LLC, Khaidarkan Mercury JSC, Kadamzhay Antimony Enterprise JSC, Saryjaz Mineral Mining Company LLC, Central Asian Tin Company LLC, Kutesay Mining LLC, Mineral Trade LLC, Kumtor Gold Company CJSC, Kyrgyzaltyn JSC, Altynken LLC, Andash Mining Company LLC, Kazakhmys LLC, Full Gold Mining LLC, Kichi-Chaarat JSC, Fonta LLC, Eventys LLC, Dolina Kasana LLC, ELKO-service LLC, Interbusiness LLC, Kaidi Mining Investment Company LLC, Vertex Gold Company LLC"/>
    <n v="56"/>
    <m/>
    <m/>
    <m/>
    <m/>
    <s v="13-15"/>
    <m/>
    <m/>
    <m/>
    <m/>
    <m/>
    <m/>
    <m/>
    <m/>
    <m/>
    <m/>
    <m/>
    <m/>
    <m/>
    <m/>
    <m/>
    <m/>
    <m/>
    <m/>
    <m/>
    <m/>
    <m/>
  </r>
  <r>
    <x v="108"/>
    <n v="2011"/>
    <x v="18"/>
    <s v="Europe and Central Asia"/>
    <m/>
    <s v="Mining"/>
    <s v="yes"/>
    <s v="no"/>
    <s v="no"/>
    <s v="Coal"/>
    <s v="detailed"/>
    <s v="detailed Mining"/>
    <n v="26600"/>
    <m/>
    <m/>
    <m/>
    <m/>
    <s v="t"/>
    <n v="111.54662184722224"/>
    <s v="US$/t"/>
    <s v="Volume from USGS Mineral Yearbook 2012. Price from BPSR 2014, and is an average of the American Central Appalachian, Asian and Northwest Europe marker/spot prices."/>
    <n v="2967140.1411361117"/>
    <m/>
    <m/>
    <m/>
    <n v="4391562"/>
    <n v="4426811"/>
    <m/>
    <m/>
    <m/>
    <n v="1.4800655820451003"/>
    <m/>
    <m/>
    <m/>
    <m/>
    <m/>
    <m/>
    <m/>
    <n v="23"/>
    <s v="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n v="23"/>
    <m/>
    <m/>
    <m/>
    <m/>
    <s v="3, 14-15"/>
    <m/>
    <m/>
    <m/>
    <m/>
    <m/>
    <m/>
    <m/>
    <m/>
    <m/>
    <m/>
    <m/>
    <m/>
    <m/>
    <m/>
    <m/>
    <m/>
    <m/>
    <m/>
    <m/>
    <m/>
    <m/>
  </r>
  <r>
    <x v="108"/>
    <n v="2011"/>
    <x v="18"/>
    <s v="Europe and Central Asia"/>
    <m/>
    <s v="Mining"/>
    <s v="yes"/>
    <s v="no"/>
    <s v="no"/>
    <s v="Construction Materials "/>
    <s v="detailed"/>
    <s v="detailed Mining"/>
    <m/>
    <m/>
    <m/>
    <m/>
    <m/>
    <m/>
    <m/>
    <m/>
    <m/>
    <n v="101483594.5"/>
    <m/>
    <m/>
    <m/>
    <n v="8277657"/>
    <n v="8240803"/>
    <m/>
    <m/>
    <m/>
    <n v="8.15664545662107E-2"/>
    <m/>
    <m/>
    <m/>
    <m/>
    <m/>
    <m/>
    <m/>
    <n v="13"/>
    <s v="Bishkekstroymaterialy JSC, Kum-Shagyl JSC, Silikat JSC, Iygilik JSC, South Plant of Construction Materials LLC, Kyrgyz Too-Tash JSC, ZhBI Plant JSC, Nur KM JSC, Dary-Bulak-Abshir LLC, South Kyrgyz Cement JSC, Dannur Yug LLC, Kyrgyz Tash JSC, Onion Mining Company  LLC"/>
    <n v="13"/>
    <m/>
    <m/>
    <m/>
    <m/>
    <n v="15"/>
    <m/>
    <m/>
    <m/>
    <m/>
    <m/>
    <m/>
    <m/>
    <m/>
    <m/>
    <m/>
    <m/>
    <m/>
    <m/>
    <m/>
    <m/>
    <m/>
    <m/>
    <m/>
    <m/>
    <m/>
    <m/>
  </r>
  <r>
    <x v="108"/>
    <n v="2011"/>
    <x v="18"/>
    <s v="Europe and Central Asia"/>
    <m/>
    <s v="Mining"/>
    <s v="yes"/>
    <s v="no"/>
    <s v="no"/>
    <s v="o/w Cement"/>
    <s v="detailed"/>
    <s v="detailed Mining"/>
    <n v="1016600"/>
    <m/>
    <m/>
    <m/>
    <m/>
    <s v="t"/>
    <n v="89.5"/>
    <s v="US$/t"/>
    <s v="Volume from USGS Mineral Yearbook 2012. Price from USGS Mineral Commodity Summary 2014, and is the average mill price for cement in the US."/>
    <n v="90985700"/>
    <m/>
    <m/>
    <m/>
    <m/>
    <m/>
    <m/>
    <m/>
    <m/>
    <m/>
    <m/>
    <m/>
    <m/>
    <m/>
    <m/>
    <m/>
    <m/>
    <m/>
    <m/>
    <m/>
    <m/>
    <m/>
    <m/>
    <m/>
    <m/>
    <m/>
    <m/>
    <m/>
    <m/>
    <m/>
    <m/>
    <m/>
    <m/>
    <m/>
    <m/>
    <m/>
    <m/>
    <m/>
    <m/>
    <m/>
    <m/>
    <m/>
    <m/>
    <m/>
    <m/>
    <m/>
  </r>
  <r>
    <x v="108"/>
    <n v="2011"/>
    <x v="18"/>
    <s v="Europe and Central Asia"/>
    <m/>
    <s v="Mining"/>
    <s v="yes"/>
    <s v="no"/>
    <s v="no"/>
    <s v="o/w Gypsum"/>
    <s v="detailed"/>
    <s v="detailed Mining"/>
    <n v="57"/>
    <m/>
    <m/>
    <m/>
    <m/>
    <s v="t"/>
    <n v="18.5"/>
    <s v="US$/t"/>
    <s v="Volume from USGS Mineral Yearbook 2012. Price from USGS Mineral Commodity Summary 2013, and is the average f.o.b. price for crude and calcined products."/>
    <n v="1054.5"/>
    <m/>
    <m/>
    <m/>
    <m/>
    <m/>
    <m/>
    <m/>
    <m/>
    <m/>
    <m/>
    <m/>
    <m/>
    <m/>
    <m/>
    <m/>
    <m/>
    <m/>
    <m/>
    <m/>
    <m/>
    <m/>
    <m/>
    <m/>
    <m/>
    <m/>
    <m/>
    <m/>
    <m/>
    <m/>
    <m/>
    <m/>
    <m/>
    <m/>
    <m/>
    <m/>
    <m/>
    <m/>
    <m/>
    <m/>
    <m/>
    <m/>
    <m/>
    <m/>
    <m/>
    <m/>
  </r>
  <r>
    <x v="108"/>
    <n v="2011"/>
    <x v="18"/>
    <s v="Europe and Central Asia"/>
    <m/>
    <s v="Mining"/>
    <s v="yes"/>
    <s v="no"/>
    <s v="no"/>
    <s v="o/w Lime"/>
    <s v="detailed"/>
    <s v="detailed Mining"/>
    <n v="2600"/>
    <m/>
    <m/>
    <m/>
    <m/>
    <s v="t"/>
    <n v="119.4"/>
    <s v="US$/t"/>
    <s v="Volume from USGS Mineral Yearbook 2012. Price from USGS Mineral Commodity Summary 2014, and is the average plant price for quicklime and hydrate products in the US."/>
    <n v="310440"/>
    <m/>
    <m/>
    <m/>
    <m/>
    <m/>
    <m/>
    <m/>
    <m/>
    <m/>
    <m/>
    <m/>
    <m/>
    <m/>
    <m/>
    <m/>
    <m/>
    <m/>
    <m/>
    <m/>
    <m/>
    <m/>
    <m/>
    <m/>
    <m/>
    <m/>
    <m/>
    <m/>
    <m/>
    <m/>
    <m/>
    <m/>
    <m/>
    <m/>
    <m/>
    <m/>
    <m/>
    <m/>
    <m/>
    <m/>
    <m/>
    <m/>
    <m/>
    <m/>
    <m/>
    <m/>
  </r>
  <r>
    <x v="108"/>
    <n v="2011"/>
    <x v="18"/>
    <s v="Europe and Central Asia"/>
    <m/>
    <s v="Mining"/>
    <s v="yes"/>
    <s v="no"/>
    <s v="no"/>
    <s v="o/w Sands"/>
    <s v="detailed"/>
    <s v="detailed Mining"/>
    <n v="1360000"/>
    <m/>
    <m/>
    <m/>
    <m/>
    <s v="t"/>
    <n v="7.49"/>
    <s v="US$/t"/>
    <s v="Volume from USGS Mineral Yearbook 2012. Price from USGS Mineral Yearbook 2012, and is the price in the US for construction sand and gravel."/>
    <n v="10186400"/>
    <m/>
    <m/>
    <m/>
    <m/>
    <m/>
    <m/>
    <m/>
    <m/>
    <m/>
    <m/>
    <m/>
    <m/>
    <m/>
    <m/>
    <m/>
    <m/>
    <m/>
    <m/>
    <m/>
    <m/>
    <m/>
    <m/>
    <m/>
    <m/>
    <m/>
    <m/>
    <m/>
    <m/>
    <m/>
    <m/>
    <m/>
    <m/>
    <m/>
    <m/>
    <m/>
    <m/>
    <m/>
    <m/>
    <m/>
    <m/>
    <m/>
    <m/>
    <m/>
    <m/>
    <m/>
  </r>
  <r>
    <x v="108"/>
    <n v="2011"/>
    <x v="18"/>
    <s v="Europe and Central Asia"/>
    <m/>
    <s v="Mining"/>
    <s v="yes"/>
    <s v="no"/>
    <s v="no"/>
    <s v="Gold"/>
    <s v="detailed"/>
    <s v="detailed Mining"/>
    <n v="599547.05782308395"/>
    <m/>
    <m/>
    <m/>
    <m/>
    <s v="toz"/>
    <n v="1569.2108333333299"/>
    <s v="US$/toz"/>
    <s v="Volume from USGS Mineral Yearbook 2012. Price from World Bank (Global Economic Monitor (GEM) Commodities database), and is defined as: Gold (UK), 99.5% fine, London afternoon fixing, average of daily rates."/>
    <n v="940815738.22910774"/>
    <m/>
    <m/>
    <m/>
    <n v="220799306"/>
    <n v="220786226"/>
    <m/>
    <m/>
    <m/>
    <n v="0.23468921386839181"/>
    <m/>
    <m/>
    <m/>
    <m/>
    <m/>
    <m/>
    <m/>
    <n v="15"/>
    <s v="Kumtor Gold Company CJSC, Kyrgyzaltyn JSC, Altynken LLC, Andash Mining Company LLC, Kazakhmys LLC, Full Gold Mining LLC, Kichi-Chaarat JSC, Fonta LLC, Eventys LLC, Dolina Kasana LLC, ELKO-service LLC, Interbusiness LLC, Kaidi Mining Investment Company LLC, Vertex Gold Company LLC"/>
    <n v="14"/>
    <m/>
    <m/>
    <m/>
    <m/>
    <n v="13"/>
    <m/>
    <m/>
    <m/>
    <m/>
    <m/>
    <m/>
    <m/>
    <m/>
    <m/>
    <m/>
    <m/>
    <m/>
    <m/>
    <m/>
    <m/>
    <m/>
    <m/>
    <m/>
    <m/>
    <m/>
    <m/>
  </r>
  <r>
    <x v="108"/>
    <n v="2011"/>
    <x v="18"/>
    <s v="Europe and Central Asia"/>
    <m/>
    <s v="Mining"/>
    <s v="yes"/>
    <s v="no"/>
    <s v="no"/>
    <s v="Non-ferrous and rare metals"/>
    <s v="detailed"/>
    <s v="detailed Mining"/>
    <m/>
    <m/>
    <m/>
    <m/>
    <m/>
    <m/>
    <m/>
    <m/>
    <m/>
    <n v="9281961.1104252283"/>
    <m/>
    <m/>
    <m/>
    <n v="1929067"/>
    <n v="1802451"/>
    <m/>
    <m/>
    <m/>
    <n v="0.20782967920791309"/>
    <m/>
    <m/>
    <m/>
    <m/>
    <m/>
    <m/>
    <m/>
    <n v="6"/>
    <s v="Khaidarkan Mercury JSC, Kadamzhay Antimony Enterprise JSC, Saryjaz Mineral Mining Company LLC, Central Asian Tin Company LLC, Kutesay Mining LLC, Mineral Trade LLC"/>
    <n v="6"/>
    <m/>
    <m/>
    <m/>
    <m/>
    <n v="13"/>
    <m/>
    <m/>
    <m/>
    <m/>
    <m/>
    <m/>
    <m/>
    <m/>
    <m/>
    <m/>
    <m/>
    <m/>
    <m/>
    <m/>
    <m/>
    <m/>
    <m/>
    <m/>
    <m/>
    <m/>
    <m/>
  </r>
  <r>
    <x v="108"/>
    <n v="2011"/>
    <x v="18"/>
    <s v="Europe and Central Asia"/>
    <m/>
    <s v="Mining"/>
    <s v="yes"/>
    <s v="no"/>
    <s v="no"/>
    <s v="o/w Antimony"/>
    <s v="detailed"/>
    <s v="detailed Mining"/>
    <m/>
    <m/>
    <m/>
    <m/>
    <m/>
    <m/>
    <n v="3727.5348771583272"/>
    <s v="US$/t"/>
    <s v="Price from USGS Mineral Yearbook 2012 - defined as: New York dealer price for 99.5% to 99.6% metal, cost, insurance, freight U.S. ports - adjusted to account for the price given in the US Mining Industry Overview of Kyrgyzstan being an average 0.26% of this in 2004."/>
    <n v="3324961.1104252278"/>
    <m/>
    <m/>
    <m/>
    <m/>
    <m/>
    <m/>
    <m/>
    <m/>
    <m/>
    <m/>
    <m/>
    <m/>
    <m/>
    <m/>
    <m/>
    <m/>
    <m/>
    <m/>
    <m/>
    <m/>
    <m/>
    <m/>
    <m/>
    <n v="3"/>
    <m/>
    <m/>
    <m/>
    <m/>
    <m/>
    <m/>
    <m/>
    <m/>
    <m/>
    <m/>
    <m/>
    <m/>
    <m/>
    <m/>
    <m/>
    <m/>
    <m/>
    <m/>
    <m/>
    <m/>
    <m/>
  </r>
  <r>
    <x v="108"/>
    <n v="2011"/>
    <x v="18"/>
    <s v="Europe and Central Asia"/>
    <m/>
    <s v="Mining"/>
    <s v="yes"/>
    <s v="no"/>
    <s v="no"/>
    <s v="   o/w Metal and compounds"/>
    <s v="detailed"/>
    <s v="detailed Mining"/>
    <n v="892"/>
    <m/>
    <m/>
    <m/>
    <m/>
    <s v="t"/>
    <m/>
    <m/>
    <s v="Volume from USGS Mineral Yearbook 2012"/>
    <m/>
    <m/>
    <m/>
    <m/>
    <m/>
    <m/>
    <m/>
    <m/>
    <m/>
    <m/>
    <m/>
    <m/>
    <m/>
    <m/>
    <m/>
    <m/>
    <m/>
    <m/>
    <m/>
    <m/>
    <m/>
    <m/>
    <m/>
    <m/>
    <m/>
    <m/>
    <m/>
    <m/>
    <m/>
    <m/>
    <m/>
    <m/>
    <m/>
    <m/>
    <m/>
    <m/>
    <m/>
    <m/>
    <m/>
    <m/>
    <m/>
    <m/>
    <m/>
    <m/>
    <m/>
    <m/>
  </r>
  <r>
    <x v="108"/>
    <n v="2011"/>
    <x v="18"/>
    <s v="Europe and Central Asia"/>
    <m/>
    <s v="Mining"/>
    <s v="yes"/>
    <s v="no"/>
    <s v="no"/>
    <s v="   o/w Antimony content"/>
    <s v="detailed"/>
    <s v="detailed Mining"/>
    <n v="1500"/>
    <m/>
    <m/>
    <m/>
    <m/>
    <s v="t"/>
    <m/>
    <m/>
    <s v="Volume from USGS Mineral Yearbook 2012"/>
    <m/>
    <m/>
    <m/>
    <m/>
    <m/>
    <m/>
    <m/>
    <m/>
    <m/>
    <m/>
    <m/>
    <m/>
    <m/>
    <m/>
    <m/>
    <m/>
    <m/>
    <m/>
    <m/>
    <m/>
    <m/>
    <m/>
    <m/>
    <m/>
    <m/>
    <m/>
    <m/>
    <m/>
    <m/>
    <m/>
    <m/>
    <m/>
    <m/>
    <m/>
    <m/>
    <m/>
    <m/>
    <m/>
    <m/>
    <m/>
    <m/>
    <m/>
    <m/>
    <m/>
    <m/>
    <m/>
  </r>
  <r>
    <x v="108"/>
    <n v="2011"/>
    <x v="18"/>
    <s v="Europe and Central Asia"/>
    <m/>
    <s v="Mining"/>
    <s v="yes"/>
    <s v="no"/>
    <s v="no"/>
    <s v="o/w Mercury"/>
    <s v="detailed"/>
    <s v="detailed Mining"/>
    <n v="112.7"/>
    <m/>
    <m/>
    <m/>
    <m/>
    <s v="t"/>
    <n v="52857.142857142855"/>
    <s v="US$/t"/>
    <s v="Volume from USGS Mineral Yearbook 2012. Price from USGS Mineral Commodity Summary 2014, and is the price in the US."/>
    <n v="5957000"/>
    <m/>
    <m/>
    <m/>
    <m/>
    <m/>
    <m/>
    <m/>
    <m/>
    <m/>
    <m/>
    <m/>
    <m/>
    <m/>
    <m/>
    <m/>
    <m/>
    <m/>
    <m/>
    <m/>
    <m/>
    <m/>
    <m/>
    <m/>
    <n v="3"/>
    <m/>
    <m/>
    <m/>
    <m/>
    <m/>
    <m/>
    <m/>
    <m/>
    <m/>
    <m/>
    <m/>
    <m/>
    <m/>
    <m/>
    <m/>
    <m/>
    <m/>
    <m/>
    <m/>
    <m/>
    <m/>
  </r>
  <r>
    <x v="108"/>
    <n v="2011"/>
    <x v="18"/>
    <s v="Europe and Central Asia"/>
    <m/>
    <s v="Mining"/>
    <s v="yes"/>
    <s v="no"/>
    <s v="no"/>
    <s v="o/w Uranium"/>
    <s v="detailed"/>
    <s v="detailed Mining"/>
    <m/>
    <m/>
    <m/>
    <m/>
    <m/>
    <m/>
    <m/>
    <m/>
    <m/>
    <m/>
    <m/>
    <m/>
    <m/>
    <m/>
    <m/>
    <m/>
    <m/>
    <m/>
    <m/>
    <m/>
    <m/>
    <m/>
    <m/>
    <m/>
    <m/>
    <m/>
    <m/>
    <m/>
    <m/>
    <m/>
    <m/>
    <m/>
    <m/>
    <n v="3"/>
    <m/>
    <m/>
    <m/>
    <m/>
    <m/>
    <m/>
    <m/>
    <m/>
    <m/>
    <m/>
    <m/>
    <m/>
    <m/>
    <m/>
    <m/>
    <m/>
    <m/>
    <m/>
    <m/>
    <m/>
    <m/>
  </r>
  <r>
    <x v="108"/>
    <n v="2011"/>
    <x v="18"/>
    <s v="Europe and Central Asia"/>
    <m/>
    <s v="Mining"/>
    <s v="yes"/>
    <s v="no"/>
    <s v="no"/>
    <s v="   o/w Uranium content"/>
    <s v="detailed"/>
    <s v="detailed Mining"/>
    <n v="2000"/>
    <m/>
    <m/>
    <m/>
    <m/>
    <s v="t"/>
    <m/>
    <m/>
    <s v="Volume from USGS Mineral Yearbook 2012"/>
    <m/>
    <m/>
    <m/>
    <m/>
    <m/>
    <m/>
    <m/>
    <m/>
    <m/>
    <m/>
    <m/>
    <m/>
    <m/>
    <m/>
    <m/>
    <m/>
    <m/>
    <m/>
    <m/>
    <m/>
    <m/>
    <m/>
    <m/>
    <m/>
    <m/>
    <m/>
    <m/>
    <m/>
    <m/>
    <m/>
    <m/>
    <m/>
    <m/>
    <m/>
    <m/>
    <m/>
    <m/>
    <m/>
    <m/>
    <m/>
    <m/>
    <m/>
    <m/>
    <m/>
    <m/>
    <m/>
  </r>
  <r>
    <x v="108"/>
    <n v="2011"/>
    <x v="18"/>
    <s v="Europe and Central Asia"/>
    <m/>
    <s v="Mining"/>
    <s v="yes"/>
    <s v="no"/>
    <s v="no"/>
    <s v="   o/w U3O8 content"/>
    <s v="detailed"/>
    <s v="detailed Mining"/>
    <n v="2385"/>
    <m/>
    <m/>
    <m/>
    <m/>
    <s v="t"/>
    <m/>
    <m/>
    <s v="Volume from USGS Mineral Yearbook 2012"/>
    <m/>
    <m/>
    <m/>
    <m/>
    <m/>
    <m/>
    <m/>
    <m/>
    <m/>
    <m/>
    <m/>
    <m/>
    <m/>
    <m/>
    <m/>
    <m/>
    <m/>
    <m/>
    <m/>
    <m/>
    <m/>
    <m/>
    <m/>
    <m/>
    <m/>
    <m/>
    <m/>
    <m/>
    <m/>
    <m/>
    <m/>
    <m/>
    <m/>
    <m/>
    <m/>
    <m/>
    <m/>
    <m/>
    <m/>
    <m/>
    <m/>
    <m/>
    <m/>
    <m/>
    <m/>
    <m/>
  </r>
  <r>
    <x v="109"/>
    <n v="2012"/>
    <x v="18"/>
    <s v="Europe and Central Asia"/>
    <s v="http://eiti.org.kg/"/>
    <s v="Oil, Gas, Mining"/>
    <s v="yes"/>
    <s v="yes"/>
    <s v="yes"/>
    <s v="Total"/>
    <s v="Total"/>
    <s v="Total Oil, Gas, Mining"/>
    <m/>
    <m/>
    <m/>
    <m/>
    <m/>
    <m/>
    <m/>
    <m/>
    <m/>
    <n v="277910112.20197368"/>
    <s v="Profits/Taxes, Royalties, Dividends, Bonuses, Other significant benefits to government"/>
    <s v="Does not include payments made in-kind"/>
    <s v="-"/>
    <n v="217306922"/>
    <n v="217274931"/>
    <m/>
    <m/>
    <m/>
    <n v="0.78193240353222637"/>
    <s v="Kyrgyzstan Som"/>
    <n v="46.95"/>
    <s v="Disaggregated by revenue stream, Disaggregated by company, Disaggregated by commodity, Disaggregated by company and revenue stream"/>
    <m/>
    <m/>
    <m/>
    <m/>
    <n v="73"/>
    <s v="Kyrgyzneftegaz Open Joint-Stock Company, Batkenneftegaz OJSC, South Derrik LLC, Textonic CJSC, GlavNefteGaz CJSC, 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 Bishkekstroymaterialy JSC, Kum-Shagyl JSC, Silikat JSC, Iygilik JSC, South Plant of Construction Materials LLC, Kyrgyz Too-Tash JSC, ZhBI Plant JSC, Nur KM JSC, Dary-Bulak-Abshir LLC, South Kyrgyz Cement JSC, Dannur Yug LLC, Kyrgyz Tash JSC, Onion Mining Company  LLC, ESK LTD LLC, Khaidarkan Mercury JSC, Kadamzhay Antimony Enterprise JSC, Saryjaz Mineral Mining Company LLC, Central Asian Tin Company LLC, Kutesay Mining LLC, Mineral Trade LLC, Merit More Investments Ltd, Sparkler Mining Inc, 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
    <n v="72"/>
    <d v="2014-04-01T00:00:00"/>
    <d v="2014-10-02T00:00:00"/>
    <s v="Deloitte"/>
    <s v="http://eiti.org/files/Afghanistan_2011_EITI_Report.pdf"/>
    <s v="10"/>
    <s v="Materiality threshold: Companies that had an income of US$1,000,000 in 2012 should be reconciled. Unilateral declarations do not appear to be included in the figures. One of the revenue streams is dividends from state shares, but the report does not specify whether the state is the majority shareholder in any of the companies."/>
    <m/>
    <m/>
    <m/>
    <m/>
    <m/>
    <m/>
    <m/>
    <m/>
    <m/>
    <m/>
    <m/>
    <m/>
    <m/>
    <m/>
    <m/>
    <m/>
    <m/>
    <m/>
    <m/>
    <m/>
  </r>
  <r>
    <x v="109"/>
    <n v="2012"/>
    <x v="18"/>
    <s v="Europe and Central Asia"/>
    <m/>
    <s v="Oil, Gas"/>
    <s v="no"/>
    <s v="yes"/>
    <s v="yes"/>
    <s v="Total Oil &amp; Gas"/>
    <s v="Total"/>
    <s v="Total Oil, Gas"/>
    <m/>
    <m/>
    <m/>
    <m/>
    <m/>
    <m/>
    <m/>
    <m/>
    <m/>
    <n v="73665991.485046834"/>
    <m/>
    <m/>
    <m/>
    <n v="12378189.563365281"/>
    <n v="12315058.572949946"/>
    <m/>
    <m/>
    <m/>
    <n v="0.16803126264686033"/>
    <m/>
    <m/>
    <m/>
    <m/>
    <m/>
    <m/>
    <m/>
    <n v="5"/>
    <s v="Kyrgyzneftegaz Open Joint-Stock Company, Batkenneftegaz OJSC, South Derrik LLC, Textonic CJSC, GlavNefteGaz CJSC"/>
    <n v="5"/>
    <m/>
    <m/>
    <m/>
    <m/>
    <n v="19"/>
    <m/>
    <m/>
    <m/>
    <m/>
    <m/>
    <m/>
    <m/>
    <m/>
    <m/>
    <m/>
    <m/>
    <m/>
    <m/>
    <m/>
    <m/>
    <m/>
    <m/>
    <m/>
    <m/>
    <m/>
    <m/>
  </r>
  <r>
    <x v="109"/>
    <n v="2012"/>
    <x v="18"/>
    <s v="Europe and Central Asia"/>
    <m/>
    <s v="Gas"/>
    <s v="no"/>
    <s v="yes"/>
    <s v="no"/>
    <s v="Gas"/>
    <s v="detailed"/>
    <s v="detailed Gas"/>
    <n v="18500000"/>
    <m/>
    <m/>
    <m/>
    <m/>
    <s v="m³"/>
    <n v="0.17241089108361263"/>
    <s v="US$/m³"/>
    <s v="Volume from USGS Mineral Yearbook 2012. Price from BPSR 2014, and is an average of the UK, US and Canada Indices for natural gas. "/>
    <n v="3189601.4850468338"/>
    <m/>
    <m/>
    <m/>
    <m/>
    <m/>
    <m/>
    <m/>
    <m/>
    <m/>
    <m/>
    <m/>
    <m/>
    <m/>
    <m/>
    <m/>
    <m/>
    <m/>
    <m/>
    <m/>
    <m/>
    <m/>
    <m/>
    <m/>
    <m/>
    <s v="Production volume information from USGS Mineral Yearbook 2012 and price information from BPSR 2014. Price is an average of the UK, US and Canada Indices for natural gas. "/>
    <m/>
    <m/>
    <m/>
    <m/>
    <m/>
    <m/>
    <m/>
    <m/>
    <m/>
    <m/>
    <m/>
    <m/>
    <m/>
    <m/>
    <m/>
    <m/>
    <m/>
    <m/>
    <m/>
    <m/>
  </r>
  <r>
    <x v="109"/>
    <n v="2012"/>
    <x v="18"/>
    <s v="Europe and Central Asia"/>
    <m/>
    <s v="Oil "/>
    <s v="no"/>
    <s v="no"/>
    <s v="no"/>
    <s v="Oil"/>
    <s v="detailed"/>
    <s v="detailed Oil "/>
    <n v="657000"/>
    <m/>
    <m/>
    <m/>
    <m/>
    <s v="bbl"/>
    <n v="107.27"/>
    <s v="US$/bbl"/>
    <s v="Volume from USGS Mineral Yearbook 2012. Price from BPSR 2014, and is an average of the spot prices for Brent, Dubai, Nigerian Forcados and West Texas Intermediate crude oil."/>
    <n v="70476390"/>
    <m/>
    <m/>
    <m/>
    <m/>
    <m/>
    <m/>
    <m/>
    <m/>
    <m/>
    <m/>
    <m/>
    <m/>
    <m/>
    <m/>
    <m/>
    <m/>
    <m/>
    <m/>
    <m/>
    <m/>
    <m/>
    <m/>
    <m/>
    <m/>
    <s v="Production volume information from USGS Mineral Yearbook 2012 and price information from BPSR 2014. price is an average of the spot prices for Brent, Dubai, Nigerian Forcados and West Texas Intermediate crude oil."/>
    <m/>
    <m/>
    <m/>
    <m/>
    <m/>
    <m/>
    <m/>
    <m/>
    <m/>
    <m/>
    <m/>
    <m/>
    <m/>
    <m/>
    <m/>
    <m/>
    <m/>
    <m/>
    <m/>
    <m/>
  </r>
  <r>
    <x v="109"/>
    <n v="2012"/>
    <x v="18"/>
    <s v="Europe and Central Asia"/>
    <m/>
    <s v="Mining"/>
    <s v="yes"/>
    <s v="no"/>
    <s v="no"/>
    <s v="Total Mining"/>
    <s v="Total"/>
    <s v="Total Mining"/>
    <m/>
    <m/>
    <m/>
    <m/>
    <m/>
    <m/>
    <m/>
    <m/>
    <m/>
    <n v="204244120.71692681"/>
    <m/>
    <m/>
    <m/>
    <n v="204928732.6943557"/>
    <n v="204959872.20447284"/>
    <m/>
    <m/>
    <m/>
    <n v="1.0033519299112541"/>
    <m/>
    <m/>
    <m/>
    <m/>
    <m/>
    <m/>
    <m/>
    <n v="68"/>
    <s v="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 Bishkekstroymaterialy JSC, Kum-Shagyl JSC, Silikat JSC, Iygilik JSC, South Plant of Construction Materials LLC, Kyrgyz Too-Tash JSC, ZhBI Plant JSC, Nur KM JSC, Dary-Bulak-Abshir LLC, South Kyrgyz Cement JSC, Dannur Yug LLC, Kyrgyz Tash JSC, Onion Mining Company  LLC, ESK LTD LLC, Khaidarkan Mercury JSC, Kadamzhay Antimony Enterprise JSC, Saryjaz Mineral Mining Company LLC, Central Asian Tin Company LLC, Kutesay Mining LLC, Mineral Trade LLC, Merit More Investments Ltd, Sparkler Mining Inc, 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
    <n v="67"/>
    <m/>
    <m/>
    <m/>
    <m/>
    <s v="18-20"/>
    <m/>
    <m/>
    <m/>
    <m/>
    <m/>
    <m/>
    <m/>
    <m/>
    <m/>
    <m/>
    <m/>
    <m/>
    <m/>
    <m/>
    <m/>
    <m/>
    <m/>
    <m/>
    <m/>
    <m/>
    <m/>
  </r>
  <r>
    <x v="109"/>
    <n v="2012"/>
    <x v="18"/>
    <s v="Europe and Central Asia"/>
    <m/>
    <s v="Mining"/>
    <s v="yes"/>
    <s v="no"/>
    <s v="no"/>
    <s v="Coal"/>
    <s v="detailed"/>
    <s v="detailed Mining"/>
    <n v="1184000"/>
    <m/>
    <m/>
    <m/>
    <m/>
    <s v="t"/>
    <n v="90.020556297186616"/>
    <s v="US$/t"/>
    <s v="Volume from USGS Mineral Yearbook 2012. Price from BPSR 2014, and is an average of the American Central Appalachian, Asian and Northwest Europe marker/spot prices."/>
    <n v="106584338.65586895"/>
    <m/>
    <m/>
    <m/>
    <n v="7124707.1352502657"/>
    <n v="7183706.0702875396"/>
    <m/>
    <m/>
    <m/>
    <n v="6.6845722599583365E-2"/>
    <m/>
    <m/>
    <m/>
    <m/>
    <m/>
    <m/>
    <m/>
    <n v="24"/>
    <s v="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
    <n v="24"/>
    <m/>
    <m/>
    <m/>
    <m/>
    <n v="19"/>
    <s v="Production volume information from USGS Mineral Yearbook 2012 and price information from BPSR 2014. Price is an average of the American Central Appalachian, Asian and Northwest Europe marker/spot prices."/>
    <m/>
    <m/>
    <m/>
    <m/>
    <m/>
    <m/>
    <m/>
    <m/>
    <m/>
    <m/>
    <m/>
    <m/>
    <m/>
    <m/>
    <m/>
    <m/>
    <m/>
    <m/>
    <m/>
    <m/>
  </r>
  <r>
    <x v="109"/>
    <n v="2012"/>
    <x v="18"/>
    <s v="Europe and Central Asia"/>
    <m/>
    <s v="Mining"/>
    <s v="yes"/>
    <s v="no"/>
    <s v="no"/>
    <s v="Construction Materials "/>
    <s v="detailed"/>
    <s v="detailed Mining"/>
    <m/>
    <m/>
    <m/>
    <m/>
    <m/>
    <m/>
    <m/>
    <m/>
    <m/>
    <n v="90721541.5"/>
    <m/>
    <m/>
    <m/>
    <n v="8933972.3109691162"/>
    <n v="8858679.4462193809"/>
    <m/>
    <m/>
    <m/>
    <n v="9.8476857461346337E-2"/>
    <m/>
    <m/>
    <m/>
    <m/>
    <m/>
    <m/>
    <m/>
    <n v="14"/>
    <s v="Bishkekstroymaterialy JSC, Kum-Shagyl JSC, Silikat JSC, Iygilik JSC, South Plant of Construction Materials LLC, Kyrgyz Too-Tash JSC, ZhBI Plant JSC, Nur KM JSC, Dary-Bulak-Abshir LLC, South Kyrgyz Cement JSC, Dannur Yug LLC, Kyrgyz Tash JSC, Onion Mining Company  LLC, ESK LTD LLC"/>
    <n v="14"/>
    <m/>
    <m/>
    <m/>
    <m/>
    <n v="20"/>
    <m/>
    <m/>
    <m/>
    <m/>
    <m/>
    <m/>
    <m/>
    <m/>
    <m/>
    <m/>
    <m/>
    <m/>
    <m/>
    <m/>
    <m/>
    <m/>
    <m/>
    <m/>
    <m/>
    <m/>
    <m/>
  </r>
  <r>
    <x v="109"/>
    <n v="2012"/>
    <x v="18"/>
    <s v="Europe and Central Asia"/>
    <m/>
    <s v="Mining"/>
    <s v="yes"/>
    <s v="no"/>
    <s v="no"/>
    <s v="o/w Cement"/>
    <s v="detailed"/>
    <s v="detailed Mining"/>
    <n v="900000"/>
    <m/>
    <m/>
    <m/>
    <m/>
    <s v="t"/>
    <n v="89.5"/>
    <s v="US$/t"/>
    <s v="Volume from USGS Mineral Yearbook 2012. Price from USGS Mineral Commodity Summary 2014, and is the average mill price for cement in the US."/>
    <n v="80550000"/>
    <m/>
    <m/>
    <m/>
    <m/>
    <m/>
    <m/>
    <m/>
    <m/>
    <m/>
    <m/>
    <m/>
    <m/>
    <m/>
    <m/>
    <m/>
    <m/>
    <m/>
    <m/>
    <m/>
    <m/>
    <m/>
    <m/>
    <m/>
    <m/>
    <m/>
    <m/>
    <m/>
    <m/>
    <m/>
    <m/>
    <m/>
    <m/>
    <m/>
    <m/>
    <m/>
    <m/>
    <m/>
    <m/>
    <m/>
    <m/>
    <m/>
    <m/>
    <m/>
    <m/>
    <m/>
  </r>
  <r>
    <x v="109"/>
    <n v="2012"/>
    <x v="18"/>
    <s v="Europe and Central Asia"/>
    <m/>
    <s v="Mining"/>
    <s v="yes"/>
    <s v="no"/>
    <s v="no"/>
    <s v="o/w Gypsum"/>
    <s v="detailed"/>
    <s v="detailed Mining"/>
    <n v="59"/>
    <m/>
    <m/>
    <m/>
    <m/>
    <s v="t"/>
    <n v="18.5"/>
    <s v="US$/t"/>
    <s v="Volume from USGS Mineral Yearbook 2012. Price from USGS Mineral Commodity Summary 2013, and is the average f.o.b. price for crude and calcined products."/>
    <n v="1091.5"/>
    <m/>
    <m/>
    <m/>
    <m/>
    <m/>
    <m/>
    <m/>
    <m/>
    <m/>
    <m/>
    <m/>
    <m/>
    <m/>
    <m/>
    <m/>
    <m/>
    <m/>
    <m/>
    <m/>
    <m/>
    <m/>
    <m/>
    <m/>
    <m/>
    <s v="The USGS Mineral Yearbook 2012 indicates that there was insufficent data to estimate production volumes. "/>
    <m/>
    <m/>
    <m/>
    <m/>
    <m/>
    <m/>
    <m/>
    <m/>
    <m/>
    <m/>
    <m/>
    <m/>
    <m/>
    <m/>
    <m/>
    <m/>
    <m/>
    <m/>
    <m/>
    <m/>
  </r>
  <r>
    <x v="109"/>
    <n v="2012"/>
    <x v="18"/>
    <s v="Europe and Central Asia"/>
    <m/>
    <s v="Mining"/>
    <s v="yes"/>
    <s v="no"/>
    <s v="no"/>
    <s v="o/w Kaolin clay"/>
    <s v="detailed"/>
    <s v="detailed Mining"/>
    <m/>
    <m/>
    <m/>
    <m/>
    <m/>
    <m/>
    <m/>
    <m/>
    <m/>
    <m/>
    <m/>
    <m/>
    <m/>
    <m/>
    <m/>
    <m/>
    <m/>
    <m/>
    <m/>
    <m/>
    <m/>
    <m/>
    <m/>
    <m/>
    <m/>
    <m/>
    <m/>
    <m/>
    <m/>
    <m/>
    <m/>
    <m/>
    <m/>
    <m/>
    <s v="The USGS Mineral Yearbook 2012 indicates that there was insufficent data to estimate production volumes. "/>
    <m/>
    <m/>
    <m/>
    <m/>
    <m/>
    <m/>
    <m/>
    <m/>
    <m/>
    <m/>
    <m/>
    <m/>
    <m/>
    <m/>
    <m/>
    <m/>
    <m/>
    <m/>
    <m/>
    <m/>
  </r>
  <r>
    <x v="109"/>
    <n v="2012"/>
    <x v="18"/>
    <s v="Europe and Central Asia"/>
    <m/>
    <s v="Mining"/>
    <s v="yes"/>
    <s v="no"/>
    <s v="no"/>
    <s v="o/w Lime"/>
    <s v="detailed"/>
    <s v="detailed Mining"/>
    <n v="3000"/>
    <m/>
    <m/>
    <m/>
    <m/>
    <s v="t"/>
    <n v="126.15"/>
    <s v="US$/t"/>
    <s v="Volume from USGS Mineral Yearbook 2012. Price from USGS Mineral Commodity Summary 2014, and is the average plant price for quicklime and hydrate products in the US."/>
    <n v="378450"/>
    <m/>
    <m/>
    <m/>
    <m/>
    <m/>
    <m/>
    <m/>
    <m/>
    <m/>
    <m/>
    <m/>
    <m/>
    <m/>
    <m/>
    <m/>
    <m/>
    <m/>
    <m/>
    <m/>
    <m/>
    <m/>
    <m/>
    <m/>
    <m/>
    <m/>
    <m/>
    <m/>
    <m/>
    <m/>
    <m/>
    <m/>
    <m/>
    <m/>
    <m/>
    <m/>
    <m/>
    <m/>
    <m/>
    <m/>
    <m/>
    <m/>
    <m/>
    <m/>
    <m/>
    <m/>
  </r>
  <r>
    <x v="109"/>
    <n v="2012"/>
    <x v="18"/>
    <s v="Europe and Central Asia"/>
    <m/>
    <s v="Mining"/>
    <s v="yes"/>
    <s v="no"/>
    <s v="no"/>
    <s v="o/w Sands"/>
    <s v="detailed"/>
    <s v="detailed Mining"/>
    <n v="1280000"/>
    <m/>
    <m/>
    <m/>
    <m/>
    <s v="t"/>
    <n v="7.65"/>
    <s v="US$/t"/>
    <s v="Volume from USGS Mineral Yearbook 2012. Price from USGS Mineral Yearbook 2012, and is the price in the US for construction sand and gravel."/>
    <n v="9792000"/>
    <m/>
    <m/>
    <m/>
    <m/>
    <m/>
    <m/>
    <m/>
    <m/>
    <m/>
    <m/>
    <m/>
    <m/>
    <m/>
    <m/>
    <m/>
    <m/>
    <m/>
    <m/>
    <m/>
    <m/>
    <m/>
    <m/>
    <m/>
    <m/>
    <m/>
    <m/>
    <m/>
    <m/>
    <m/>
    <m/>
    <m/>
    <m/>
    <m/>
    <m/>
    <m/>
    <m/>
    <m/>
    <m/>
    <m/>
    <m/>
    <m/>
    <m/>
    <m/>
    <m/>
    <m/>
  </r>
  <r>
    <x v="109"/>
    <n v="2012"/>
    <x v="18"/>
    <s v="Europe and Central Asia"/>
    <m/>
    <s v="Mining"/>
    <s v="yes"/>
    <s v="no"/>
    <s v="no"/>
    <s v="Gold"/>
    <s v="detailed"/>
    <s v="detailed Mining"/>
    <n v="332213.62872618652"/>
    <m/>
    <m/>
    <m/>
    <m/>
    <s v="toz"/>
    <n v="1669.51766666667"/>
    <s v="US$/toz"/>
    <s v="Volume from USGS Mineral Yearbook 2012. Price from World Bank (Global Economic Monitor (GEM) Commodities database), and is defined as: Gold (UK), 99.5% fine, London afternoon fixing, average of daily rates."/>
    <n v="554636522.26581037"/>
    <m/>
    <m/>
    <m/>
    <n v="186428349.30777422"/>
    <n v="186472992.54526091"/>
    <m/>
    <m/>
    <m/>
    <n v="0.33612707029492761"/>
    <m/>
    <m/>
    <m/>
    <m/>
    <m/>
    <m/>
    <m/>
    <n v="23"/>
    <s v="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
    <n v="21"/>
    <m/>
    <m/>
    <m/>
    <m/>
    <n v="18"/>
    <m/>
    <m/>
    <m/>
    <m/>
    <m/>
    <m/>
    <m/>
    <m/>
    <m/>
    <m/>
    <m/>
    <m/>
    <m/>
    <m/>
    <m/>
    <m/>
    <m/>
    <m/>
    <m/>
    <m/>
    <m/>
  </r>
  <r>
    <x v="109"/>
    <n v="2012"/>
    <x v="18"/>
    <s v="Europe and Central Asia"/>
    <m/>
    <s v="Mining"/>
    <s v="yes"/>
    <s v="no"/>
    <s v="no"/>
    <s v="Non-ferrous and rare metals"/>
    <s v="detailed"/>
    <s v="detailed Mining"/>
    <m/>
    <m/>
    <m/>
    <m/>
    <m/>
    <m/>
    <m/>
    <m/>
    <m/>
    <n v="6938240.5610580184"/>
    <m/>
    <m/>
    <m/>
    <n v="2441703.940362087"/>
    <n v="2444494.1427050051"/>
    <m/>
    <m/>
    <m/>
    <n v="0.35191975816845267"/>
    <m/>
    <m/>
    <m/>
    <m/>
    <m/>
    <m/>
    <m/>
    <n v="8"/>
    <s v="Khaidarkan Mercury JSC, Kadamzhay Antimony Enterprise JSC, Saryjaz Mineral Mining Company LLC, Central Asian Tin Company LLC, Kutesay Mining LLC, Mineral Trade LLC, Merit More Investments Ltd, Sparkler Mining Inc"/>
    <n v="8"/>
    <m/>
    <m/>
    <m/>
    <m/>
    <n v="18"/>
    <m/>
    <m/>
    <m/>
    <m/>
    <m/>
    <m/>
    <m/>
    <m/>
    <m/>
    <m/>
    <m/>
    <m/>
    <m/>
    <m/>
    <m/>
    <m/>
    <m/>
    <m/>
    <m/>
    <m/>
    <m/>
  </r>
  <r>
    <x v="109"/>
    <n v="2012"/>
    <x v="18"/>
    <s v="Europe and Central Asia"/>
    <m/>
    <s v="Mining"/>
    <s v="yes"/>
    <s v="no"/>
    <s v="no"/>
    <s v="o/w Antimony"/>
    <s v="detailed"/>
    <s v="detailed Mining"/>
    <m/>
    <m/>
    <m/>
    <m/>
    <m/>
    <m/>
    <n v="3235.72726150373"/>
    <s v="US$/t"/>
    <s v="Price from USGS Mineral Yearbook 2012 - defined as: New York dealer price for 99.5% to 99.6% metal, cost, insurance, freight U.S. ports - adjusted to account for the price given in the US Mining Industry Overview of Kyrgyzstan being an average 0.26% of this in 2004."/>
    <n v="2989811.9896294465"/>
    <m/>
    <m/>
    <m/>
    <m/>
    <m/>
    <m/>
    <m/>
    <m/>
    <m/>
    <m/>
    <m/>
    <m/>
    <m/>
    <m/>
    <m/>
    <m/>
    <m/>
    <m/>
    <m/>
    <m/>
    <m/>
    <m/>
    <m/>
    <n v="3"/>
    <m/>
    <m/>
    <m/>
    <m/>
    <m/>
    <m/>
    <m/>
    <m/>
    <m/>
    <m/>
    <m/>
    <m/>
    <m/>
    <m/>
    <m/>
    <m/>
    <m/>
    <m/>
    <m/>
    <m/>
    <m/>
  </r>
  <r>
    <x v="109"/>
    <n v="2012"/>
    <x v="18"/>
    <s v="Europe and Central Asia"/>
    <m/>
    <s v="Mining"/>
    <s v="yes"/>
    <s v="no"/>
    <s v="no"/>
    <s v="   o/w Metal and compounds"/>
    <s v="detailed"/>
    <s v="detailed Mining"/>
    <n v="924"/>
    <m/>
    <m/>
    <m/>
    <m/>
    <s v="t"/>
    <m/>
    <m/>
    <s v="Volume from USGS Mineral Yearbook 2012"/>
    <m/>
    <m/>
    <m/>
    <m/>
    <m/>
    <m/>
    <m/>
    <m/>
    <m/>
    <m/>
    <m/>
    <m/>
    <m/>
    <m/>
    <m/>
    <m/>
    <m/>
    <m/>
    <m/>
    <m/>
    <m/>
    <m/>
    <m/>
    <m/>
    <m/>
    <m/>
    <m/>
    <m/>
    <m/>
    <m/>
    <m/>
    <m/>
    <m/>
    <m/>
    <m/>
    <m/>
    <m/>
    <m/>
    <m/>
    <m/>
    <m/>
    <m/>
    <m/>
    <m/>
    <m/>
    <m/>
  </r>
  <r>
    <x v="109"/>
    <n v="2012"/>
    <x v="18"/>
    <s v="Europe and Central Asia"/>
    <m/>
    <s v="Mining"/>
    <s v="yes"/>
    <s v="no"/>
    <s v="no"/>
    <s v="   o/w Antimony content"/>
    <s v="detailed"/>
    <s v="detailed Mining"/>
    <n v="1200"/>
    <m/>
    <m/>
    <m/>
    <m/>
    <s v="t"/>
    <m/>
    <m/>
    <s v="Volume from USGS Mineral Yearbook 2012"/>
    <m/>
    <m/>
    <m/>
    <m/>
    <m/>
    <m/>
    <m/>
    <m/>
    <m/>
    <m/>
    <m/>
    <m/>
    <m/>
    <m/>
    <m/>
    <m/>
    <m/>
    <m/>
    <m/>
    <m/>
    <m/>
    <m/>
    <m/>
    <m/>
    <m/>
    <m/>
    <m/>
    <m/>
    <m/>
    <m/>
    <m/>
    <m/>
    <m/>
    <m/>
    <m/>
    <m/>
    <m/>
    <m/>
    <m/>
    <m/>
    <m/>
    <m/>
    <m/>
    <m/>
    <m/>
    <m/>
  </r>
  <r>
    <x v="109"/>
    <n v="2012"/>
    <x v="18"/>
    <s v="Europe and Central Asia"/>
    <m/>
    <s v="Mining"/>
    <s v="yes"/>
    <s v="no"/>
    <s v="no"/>
    <s v="o/w Lead"/>
    <s v="detailed"/>
    <s v="detailed Mining"/>
    <n v="0"/>
    <m/>
    <m/>
    <m/>
    <m/>
    <s v="t"/>
    <m/>
    <m/>
    <s v="Volume from USGS Mineral Yearbook 2012"/>
    <n v="0"/>
    <m/>
    <m/>
    <m/>
    <m/>
    <m/>
    <m/>
    <m/>
    <m/>
    <m/>
    <m/>
    <m/>
    <m/>
    <m/>
    <m/>
    <m/>
    <m/>
    <m/>
    <m/>
    <m/>
    <m/>
    <m/>
    <m/>
    <m/>
    <m/>
    <m/>
    <m/>
    <m/>
    <m/>
    <m/>
    <m/>
    <m/>
    <m/>
    <m/>
    <m/>
    <m/>
    <m/>
    <m/>
    <m/>
    <m/>
    <m/>
    <m/>
    <m/>
    <m/>
    <m/>
    <m/>
  </r>
  <r>
    <x v="109"/>
    <n v="2012"/>
    <x v="18"/>
    <s v="Europe and Central Asia"/>
    <m/>
    <s v="Mining"/>
    <s v="yes"/>
    <s v="no"/>
    <s v="no"/>
    <s v="o/w Mercury"/>
    <s v="detailed"/>
    <s v="detailed Mining"/>
    <n v="74.7"/>
    <m/>
    <m/>
    <m/>
    <m/>
    <s v="t"/>
    <n v="52857.142857142855"/>
    <s v="US$/t"/>
    <s v="Volume from USGS Mineral Yearbook 2012. Price from USGS Mineral Commodity Summary 2014, and is the price in the US."/>
    <n v="3948428.5714285714"/>
    <m/>
    <m/>
    <m/>
    <m/>
    <m/>
    <m/>
    <m/>
    <m/>
    <m/>
    <m/>
    <m/>
    <m/>
    <m/>
    <m/>
    <m/>
    <m/>
    <m/>
    <m/>
    <m/>
    <m/>
    <m/>
    <m/>
    <m/>
    <m/>
    <m/>
    <m/>
    <m/>
    <m/>
    <m/>
    <m/>
    <m/>
    <m/>
    <m/>
    <m/>
    <m/>
    <m/>
    <m/>
    <m/>
    <m/>
    <m/>
    <m/>
    <m/>
    <m/>
    <m/>
    <m/>
  </r>
  <r>
    <x v="109"/>
    <n v="2012"/>
    <x v="18"/>
    <s v="Europe and Central Asia"/>
    <m/>
    <s v="Mining"/>
    <s v="yes"/>
    <s v="no"/>
    <s v="no"/>
    <s v="o/w Uranium"/>
    <s v="detailed"/>
    <s v="detailed Mining"/>
    <m/>
    <m/>
    <m/>
    <m/>
    <m/>
    <m/>
    <m/>
    <m/>
    <m/>
    <m/>
    <m/>
    <m/>
    <m/>
    <m/>
    <m/>
    <m/>
    <m/>
    <m/>
    <m/>
    <m/>
    <m/>
    <m/>
    <m/>
    <m/>
    <m/>
    <m/>
    <m/>
    <m/>
    <m/>
    <m/>
    <m/>
    <m/>
    <m/>
    <m/>
    <m/>
    <m/>
    <m/>
    <m/>
    <m/>
    <m/>
    <m/>
    <m/>
    <m/>
    <m/>
    <m/>
    <m/>
    <m/>
    <m/>
    <m/>
    <m/>
    <m/>
    <m/>
    <m/>
    <m/>
    <m/>
  </r>
  <r>
    <x v="109"/>
    <n v="2012"/>
    <x v="18"/>
    <s v="Europe and Central Asia"/>
    <m/>
    <s v="Mining"/>
    <s v="yes"/>
    <s v="no"/>
    <s v="no"/>
    <s v="   o/w Uranium content"/>
    <s v="detailed"/>
    <s v="detailed Mining"/>
    <n v="1800"/>
    <m/>
    <m/>
    <m/>
    <m/>
    <s v="t"/>
    <m/>
    <m/>
    <s v="Volume from USGS Mineral Yearbook 2012"/>
    <m/>
    <m/>
    <m/>
    <m/>
    <m/>
    <m/>
    <m/>
    <m/>
    <m/>
    <m/>
    <m/>
    <m/>
    <m/>
    <m/>
    <m/>
    <m/>
    <m/>
    <m/>
    <m/>
    <m/>
    <m/>
    <m/>
    <m/>
    <m/>
    <m/>
    <s v="Production volume information from USGS Mineral Yearbook 2012."/>
    <m/>
    <m/>
    <m/>
    <m/>
    <m/>
    <m/>
    <m/>
    <m/>
    <m/>
    <m/>
    <m/>
    <m/>
    <m/>
    <m/>
    <m/>
    <m/>
    <m/>
    <m/>
    <m/>
    <m/>
  </r>
  <r>
    <x v="109"/>
    <n v="2012"/>
    <x v="18"/>
    <s v="Europe and Central Asia"/>
    <m/>
    <s v="Mining"/>
    <s v="yes"/>
    <s v="no"/>
    <s v="no"/>
    <s v="   o/w U3O8 content"/>
    <s v="detailed"/>
    <s v="detailed Mining"/>
    <n v="2150"/>
    <m/>
    <m/>
    <m/>
    <m/>
    <s v="t"/>
    <m/>
    <m/>
    <s v="Volume from USGS Mineral Yearbook 2012"/>
    <m/>
    <m/>
    <m/>
    <m/>
    <m/>
    <m/>
    <m/>
    <m/>
    <m/>
    <m/>
    <m/>
    <m/>
    <m/>
    <m/>
    <m/>
    <m/>
    <m/>
    <m/>
    <m/>
    <m/>
    <m/>
    <m/>
    <m/>
    <m/>
    <m/>
    <s v="Production volume information from USGS Mineral Yearbook 2012."/>
    <m/>
    <m/>
    <m/>
    <m/>
    <m/>
    <m/>
    <m/>
    <m/>
    <m/>
    <m/>
    <m/>
    <m/>
    <m/>
    <m/>
    <m/>
    <m/>
    <m/>
    <m/>
    <m/>
    <m/>
  </r>
  <r>
    <x v="110"/>
    <n v="2008"/>
    <x v="19"/>
    <s v="Africa"/>
    <s v="http://www.leiti.org.lr/"/>
    <s v="Oil, Mining, Other"/>
    <s v="yes"/>
    <s v="no"/>
    <s v="no"/>
    <s v="Total"/>
    <s v="Total"/>
    <s v="Total Oil, Mining, Other"/>
    <m/>
    <m/>
    <m/>
    <m/>
    <m/>
    <m/>
    <m/>
    <m/>
    <m/>
    <n v="30824036.095368151"/>
    <s v="Profits/Taxes, Royalties, Dividends, Licenses and concessions, Other significant benefits to government"/>
    <s v="Does not include payments made in-kind"/>
    <s v="-"/>
    <n v="29450878.977873351"/>
    <n v="29455182.953620762"/>
    <m/>
    <m/>
    <m/>
    <n v="0.95545174184048076"/>
    <s v="United States Dollar and Liberian Dollar"/>
    <n v="62.232027397260282"/>
    <s v="Disaggregated by revenue stream, Disaggregated by company, Disaggregated by company and revenue stream"/>
    <m/>
    <m/>
    <m/>
    <m/>
    <n v="67"/>
    <s v="Broadway Consolidated Plc, NOCAL, Oranto Petroleum Limited, Unitimber, UFC Regnais, African Aura Resources, Afro Minerals, Amlib United Minerals, ArcelorMittal Liberia, BEA Mountain Mining Corporation, BHP Billiton World Exploration, Broadway Consolidated Plc, Bukon Jedeh Resources, Crafton Development INC, Ducor Minerals Incorporated, G-10 Resources Inc, Golden Ventures Inc, Hummingbird Resources, Iron Resources Limited, KPO Resources Corporation, Liberia Gold Corporation, Liberty Gold &amp; Diamond Mining Inc, Magma Mineral Resources Inc., Mano River Resources Incorporated, Ousomar Mines &amp; Minerals, Precious Minerals &amp; Mining CO, Target Resources Inc., T-Rex Resources Inc, Universal Mining Corporation, Western Mineral Resources_x000a_Corporation"/>
    <n v="30"/>
    <s v="January 2009"/>
    <d v="2014-09-18T00:00:00"/>
    <s v="Crane White and Associates "/>
    <s v="http://eiti.org/files/Liberia%20Jul%202007%20-%20Jun%202008%20EITI%20Report.pdf"/>
    <s v="13-15"/>
    <s v="The report covers the  financial year of 1 July 2007 to 30 June 2008. The report uses US dollars and the local currency, the Liberian Dollar. An exchange rate is not provided to convert the latter, so that of the World Bank, adjusted to account for the fiscal year, is used (http://data.worldbank.org/indicator/PA.NUS.FCRF). Materiality threshold: All known companies were requested to participate. Only the 30 companies that did are named in the report. The report doesn't specify what minerals are mined. Unilateral declarations do not appear to be included in the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m/>
    <m/>
    <m/>
    <m/>
    <m/>
    <m/>
    <m/>
    <m/>
    <m/>
    <m/>
    <m/>
    <m/>
    <m/>
    <m/>
    <m/>
    <m/>
    <m/>
    <m/>
    <m/>
    <m/>
  </r>
  <r>
    <x v="110"/>
    <n v="2008"/>
    <x v="19"/>
    <s v="Africa"/>
    <m/>
    <s v="Oil"/>
    <s v="no"/>
    <s v="no"/>
    <s v="yes"/>
    <s v="Oil"/>
    <s v="detailed"/>
    <s v="detailed Oil"/>
    <n v="0"/>
    <m/>
    <m/>
    <m/>
    <m/>
    <s v="bbl"/>
    <m/>
    <m/>
    <s v="Volume from EIA, adjusted to account for the fiscal year"/>
    <n v="0"/>
    <m/>
    <m/>
    <m/>
    <n v="3105303.0234214072"/>
    <n v="3024000"/>
    <m/>
    <m/>
    <m/>
    <m/>
    <m/>
    <m/>
    <m/>
    <m/>
    <m/>
    <m/>
    <m/>
    <m/>
    <s v="Broadway Consolidated Plc, NOCAL, Oranto Petroleum Limited"/>
    <n v="3"/>
    <m/>
    <m/>
    <m/>
    <m/>
    <s v="13-15"/>
    <s v="Production volume information from EIA, adjusted to account for the fiscal year."/>
    <m/>
    <m/>
    <m/>
    <m/>
    <m/>
    <m/>
    <m/>
    <m/>
    <m/>
    <m/>
    <m/>
    <m/>
    <m/>
    <m/>
    <m/>
    <m/>
    <m/>
    <m/>
    <m/>
    <m/>
  </r>
  <r>
    <x v="110"/>
    <n v="2008"/>
    <x v="19"/>
    <s v="Africa"/>
    <m/>
    <s v="Mining"/>
    <s v="yes"/>
    <s v="no"/>
    <s v="no"/>
    <s v="Total Mining"/>
    <s v="Total"/>
    <s v="Total Mining"/>
    <m/>
    <m/>
    <m/>
    <m/>
    <m/>
    <m/>
    <m/>
    <m/>
    <m/>
    <n v="30824036.095368151"/>
    <m/>
    <m/>
    <m/>
    <n v="203397.04053588229"/>
    <n v="292039.23121116776"/>
    <m/>
    <m/>
    <m/>
    <n v="6.5986504786907591E-3"/>
    <m/>
    <m/>
    <m/>
    <m/>
    <m/>
    <m/>
    <m/>
    <m/>
    <s v="African Aura Resources, Afro Minerals, Amlib United Minerals, ArcelorMittal Liberia, BEA Mountain Mining Corporation, BHP Billiton World Exploration, Broadway Consolidated Plc, Bukon Jedeh Resources, Crafton Development INC, Ducor Minerals Incorporated, G-10 Resources Inc, Golden Ventures Inc, Hummingbird Resources, Iron Resources Limited, KPO Resources Corporation, Liberia Gold Corporation, Liberty Gold &amp; Diamond Mining Inc, Magma Mineral Resources Inc., Mano River Resources Incorporated, Ousomar Mines &amp; Minerals, Precious Minerals &amp; Mining CO, Target Resources Inc., T-Rex Resources Inc, Universal Mining Corporation, Western Mineral Resources_x000a_Corporation"/>
    <n v="25"/>
    <m/>
    <m/>
    <m/>
    <m/>
    <s v="13-15"/>
    <m/>
    <m/>
    <m/>
    <m/>
    <m/>
    <m/>
    <m/>
    <m/>
    <m/>
    <m/>
    <m/>
    <m/>
    <m/>
    <m/>
    <m/>
    <m/>
    <m/>
    <m/>
    <m/>
    <m/>
    <m/>
  </r>
  <r>
    <x v="110"/>
    <n v="2008"/>
    <x v="19"/>
    <s v="Africa"/>
    <m/>
    <s v="Mining"/>
    <s v="yes"/>
    <s v="no"/>
    <s v="no"/>
    <s v="Cement"/>
    <s v="detailed"/>
    <s v="detailed Mining"/>
    <n v="125878.07397260274"/>
    <m/>
    <m/>
    <m/>
    <m/>
    <s v="t"/>
    <n v="105.99178082191781"/>
    <s v="US$/t"/>
    <s v="Volume from USGS Mineral Yearbook 2011, adjusted to account for the fiscal year. Price from USGS Mineral Commodity Summary 2009, and is the average mill price for cement in the US, adjusted to account for the fiscal year."/>
    <n v="13342041.226789268"/>
    <m/>
    <m/>
    <m/>
    <m/>
    <m/>
    <m/>
    <m/>
    <m/>
    <m/>
    <m/>
    <m/>
    <m/>
    <m/>
    <m/>
    <m/>
    <m/>
    <m/>
    <m/>
    <m/>
    <m/>
    <m/>
    <m/>
    <m/>
    <m/>
    <s v="Production volume information from USGS Mineral Yearbook 2011, adjusted to account for the fiscal year."/>
    <m/>
    <m/>
    <m/>
    <m/>
    <m/>
    <m/>
    <m/>
    <m/>
    <m/>
    <m/>
    <m/>
    <m/>
    <m/>
    <m/>
    <m/>
    <m/>
    <m/>
    <m/>
    <m/>
    <m/>
  </r>
  <r>
    <x v="110"/>
    <n v="2008"/>
    <x v="19"/>
    <s v="Africa"/>
    <m/>
    <s v="Mining"/>
    <s v="yes"/>
    <s v="no"/>
    <s v="no"/>
    <s v="Diamond"/>
    <s v="detailed"/>
    <s v="detailed Mining"/>
    <n v="34249.498630136994"/>
    <m/>
    <m/>
    <m/>
    <m/>
    <s v="carats"/>
    <n v="166.08852054794519"/>
    <s v="US$/carat"/>
    <s v="Volume from USGS Mineral Yearbook 2011, adjusted to account for the fiscal year. Price from kimberley Process Annual Summary 2007 and 2008, adjusted to account for the fiscal year."/>
    <n v="5688448.5569883287"/>
    <m/>
    <m/>
    <m/>
    <m/>
    <m/>
    <m/>
    <m/>
    <m/>
    <m/>
    <m/>
    <m/>
    <m/>
    <m/>
    <m/>
    <m/>
    <m/>
    <m/>
    <m/>
    <m/>
    <m/>
    <m/>
    <m/>
    <m/>
    <m/>
    <s v="Production volume information from USGS Mineral Yearbook 2011, adjusted to account for the fiscal year."/>
    <m/>
    <m/>
    <m/>
    <m/>
    <m/>
    <m/>
    <m/>
    <m/>
    <m/>
    <m/>
    <m/>
    <m/>
    <m/>
    <m/>
    <m/>
    <m/>
    <m/>
    <m/>
    <m/>
    <m/>
  </r>
  <r>
    <x v="110"/>
    <n v="2008"/>
    <x v="19"/>
    <s v="Africa"/>
    <m/>
    <s v="Mining"/>
    <s v="yes"/>
    <s v="no"/>
    <s v="no"/>
    <s v="Gold"/>
    <s v="detailed"/>
    <s v="detailed Mining"/>
    <n v="14989.11686671582"/>
    <m/>
    <m/>
    <m/>
    <m/>
    <s v="toz"/>
    <n v="678.74246612876709"/>
    <s v="US$/toz"/>
    <s v="Volume from USGS Mineral Yearbook 2011, adjusted to account for the fiscal year. Price from World Bank (Global Economic Monitor (GEM) Commodities database) - defined as: Gold (UK), 99.5% fine, London afternoon fixing, average of daily rates - adjusted to account for the fiscal year and for the price given in the 2012 EITI Report being 86.63% of this in the fiscal year of 2011-12."/>
    <n v="10173750.147206994"/>
    <m/>
    <m/>
    <m/>
    <m/>
    <m/>
    <m/>
    <m/>
    <m/>
    <m/>
    <m/>
    <m/>
    <m/>
    <m/>
    <m/>
    <m/>
    <m/>
    <m/>
    <m/>
    <m/>
    <m/>
    <m/>
    <m/>
    <m/>
    <m/>
    <s v="Production volume information from USGS Mineral Yearbook 2011 and price information from World Bank (Global Economic Monitor (GEM) Commodities database), adjusted to account for the fiscal year. Price is defined as: Gold (UK), 99.5% fine, London afternoon fixing, average of daily rates."/>
    <m/>
    <m/>
    <m/>
    <m/>
    <m/>
    <m/>
    <m/>
    <m/>
    <m/>
    <m/>
    <m/>
    <m/>
    <m/>
    <m/>
    <m/>
    <m/>
    <m/>
    <m/>
    <m/>
    <m/>
  </r>
  <r>
    <x v="110"/>
    <n v="2008"/>
    <x v="19"/>
    <s v="Africa"/>
    <m/>
    <s v="Mining"/>
    <s v="yes"/>
    <s v="no"/>
    <s v="no"/>
    <s v="Sand"/>
    <s v="detailed"/>
    <s v="detailed Mining"/>
    <n v="210410.95890410958"/>
    <m/>
    <m/>
    <m/>
    <m/>
    <s v="t"/>
    <n v="7.47"/>
    <s v="US$/t"/>
    <s v="Volume from USGS Mineral Yearbook 2011, adjusted to account for the fiscal year. Price from USGS Mineral Yearbook 2009, and is the price in the US for construction sand and gravel, adjusted to account for the fiscal year."/>
    <n v="1571769.8630136985"/>
    <m/>
    <m/>
    <m/>
    <m/>
    <m/>
    <m/>
    <m/>
    <m/>
    <m/>
    <m/>
    <m/>
    <m/>
    <m/>
    <m/>
    <m/>
    <m/>
    <m/>
    <m/>
    <m/>
    <m/>
    <m/>
    <m/>
    <m/>
    <m/>
    <s v="Production volume information from USGS Mineral Yearbook 2011, adjusted to account for the fiscal year."/>
    <m/>
    <m/>
    <m/>
    <m/>
    <m/>
    <m/>
    <m/>
    <m/>
    <m/>
    <m/>
    <m/>
    <m/>
    <m/>
    <m/>
    <m/>
    <m/>
    <m/>
    <m/>
    <m/>
    <m/>
  </r>
  <r>
    <x v="110"/>
    <n v="2008"/>
    <x v="19"/>
    <s v="Africa"/>
    <m/>
    <s v="Mining"/>
    <s v="yes"/>
    <s v="no"/>
    <s v="no"/>
    <s v="Stone (crushed)"/>
    <s v="detailed"/>
    <s v="detailed Mining"/>
    <n v="5260.2739726027394"/>
    <m/>
    <m/>
    <m/>
    <m/>
    <s v="t"/>
    <n v="9.1300000000000008"/>
    <s v="US$/t"/>
    <s v="Volume from USGS Mineral Yearbook 2011, adjusted to account for the fiscal year. Price from USGS Mineral Yearbook 2009, and is the price in the US for crushed misecellaneous stone, adjusted to account for the fiscal year."/>
    <n v="48026.301369863017"/>
    <m/>
    <m/>
    <m/>
    <m/>
    <m/>
    <m/>
    <m/>
    <m/>
    <m/>
    <m/>
    <m/>
    <m/>
    <m/>
    <m/>
    <m/>
    <m/>
    <m/>
    <m/>
    <m/>
    <m/>
    <m/>
    <m/>
    <m/>
    <m/>
    <s v="Production volume information from USGS Mineral Yearbook 2011, adjusted to account for the fiscal year."/>
    <m/>
    <m/>
    <m/>
    <m/>
    <m/>
    <m/>
    <m/>
    <m/>
    <m/>
    <m/>
    <m/>
    <m/>
    <m/>
    <m/>
    <m/>
    <m/>
    <m/>
    <m/>
    <m/>
    <m/>
  </r>
  <r>
    <x v="110"/>
    <n v="2008"/>
    <x v="19"/>
    <s v="Africa"/>
    <m/>
    <s v="Other"/>
    <s v="no"/>
    <s v="no"/>
    <s v="no"/>
    <s v="Forestry"/>
    <s v="detailed"/>
    <s v="detailed Other"/>
    <m/>
    <m/>
    <m/>
    <m/>
    <m/>
    <m/>
    <m/>
    <m/>
    <m/>
    <m/>
    <m/>
    <m/>
    <m/>
    <n v="26142178.913916059"/>
    <n v="26139143.722409595"/>
    <m/>
    <m/>
    <m/>
    <m/>
    <m/>
    <m/>
    <m/>
    <m/>
    <m/>
    <m/>
    <m/>
    <m/>
    <s v="Unitimber, UFC Regnais"/>
    <n v="2"/>
    <m/>
    <m/>
    <m/>
    <m/>
    <s v="13-15"/>
    <m/>
    <m/>
    <m/>
    <m/>
    <m/>
    <m/>
    <m/>
    <m/>
    <m/>
    <m/>
    <m/>
    <m/>
    <m/>
    <m/>
    <m/>
    <m/>
    <m/>
    <m/>
    <m/>
    <m/>
    <m/>
  </r>
  <r>
    <x v="111"/>
    <n v="2009"/>
    <x v="19"/>
    <s v="Africa"/>
    <s v="http://www.leiti.org.lr/"/>
    <s v="Oil, Mining, Other"/>
    <s v="yes"/>
    <s v="no"/>
    <s v="no"/>
    <s v="Total"/>
    <s v="Total"/>
    <s v="Total Oil, Mining, Other"/>
    <m/>
    <m/>
    <m/>
    <m/>
    <m/>
    <m/>
    <m/>
    <m/>
    <m/>
    <n v="35773679.580103055"/>
    <s v="Profits/Taxes, Royalties, Dividends, Licenses and concessions, Other significant benefits to government"/>
    <s v="Does not include payments made in-kind"/>
    <s v="-"/>
    <n v="35425230"/>
    <n v="35280235"/>
    <m/>
    <m/>
    <m/>
    <n v="0.99025961030028187"/>
    <s v="United States Dollar"/>
    <m/>
    <s v="Disaggregated by revenue stream, Disaggregated by company, Disaggregated by company and revenue stream"/>
    <m/>
    <m/>
    <m/>
    <m/>
    <n v="72"/>
    <s v="Broadway Consolidated Plc, NOCAL, Oranto Petroleum Limited, Anadarko Group, International Resources Strategic Liberia Energy, AmLib United Minerals, Bea Mountain Mining Corp, Putu Iron Ore Mining Inc, Liberia Gold Corporation, Western Mineral Resources Corp,_x000a_KPO Resources, Alex Stewart Assayers Ltd., Bokun Jedeh Resources Inc, ArcelorMittal Liberia, _x000a_African Aura Resources,_x000a_B H P Billiton World Exploration, Broadway Consolidated PLC, Ducor Minerals, Inc. (Diamond Fields, Inc), Hummingbird Resources, Afro Minerals, Deveton Mining Company, Sinoe Exploration, Precious Minerals Mining Company, SubSea Resources DMCC, Italgems &amp; Malavasi Mining Company, Black Sand Mining Company, Kwakmas Inc. Texas International Group, Pride Land, KBL Mining Company, Mancnemo Incorporated,_x000a_China Union Investment (Liberia) Bong_x000a_Mines Company Ltd, China Union (Hong Kong) Gold Investment, Ocean Bottom Resource West Africa Inc., Fundy Minerals Ltd, Shine Star Business Corporation, Vision Inc, Golden Vision Trading, Royal Company, Nimba Diamond Enterprises, A D M T Company, Gemmacom Liberia Limited, Yuly Diam Company Inc, Tarpeh Timber Co., B&amp;V Timber Company, Bargor &amp; Bargor Enterprise Inc., Alpha Logging &amp; Wood Processing Inc., E J &amp; J Investment Corporation, Liberia Tree and Trading Company, Euro Logging, D. C. Wilson Incorporated, Geblo Logging, BOPOLU, UNITIMBER Corporation, UNIVERSAL Forestry Corporation, Malavasi Logging Company, Atlantic Resources LTA, Global Wood Industries Inc, Olam Liberia Ltd, International Consultant Capital, Omiejoe Group of Companies Inc., S &amp; Z Corporation Liberia Inc, Buchanan Renewable Energy, Salala Rubber Corp, Liberia Agricultural Company, Cavalla Rubber Corporation, Firestone Liberia, Cocopa, Sime Darby, LIBINC Oil Palm Inc., NOVEL Liberia Inc, Equatorial Bio-Fuels Liberia"/>
    <n v="65"/>
    <s v="January 2010"/>
    <d v="2014-09-18T00:00:00"/>
    <s v="Moore Stephens LLP"/>
    <s v="http://eiti.org/files/Liberia%20Jul%202008%20-%20Jun%202009%20EITI%20Report.pdf"/>
    <n v="4"/>
    <s v="The report covers the  financial year of 1 July 2008 to 30 June 2009. Materiality threshold: All known companies were requested to participate. The report doesn't specify what minerals are mined. Unilateral declarations are included in the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m/>
    <m/>
    <m/>
    <m/>
    <m/>
    <m/>
    <m/>
    <m/>
    <m/>
    <m/>
    <m/>
    <m/>
    <m/>
    <m/>
    <m/>
    <m/>
    <m/>
    <m/>
    <m/>
    <m/>
  </r>
  <r>
    <x v="111"/>
    <n v="2009"/>
    <x v="19"/>
    <s v="Africa"/>
    <m/>
    <s v="Oil"/>
    <s v="no"/>
    <s v="no"/>
    <s v="yes"/>
    <s v="Oil"/>
    <s v="detailed"/>
    <s v="detailed Oil"/>
    <n v="0"/>
    <m/>
    <m/>
    <m/>
    <m/>
    <s v="bbl"/>
    <m/>
    <m/>
    <s v="Volume from EIA, adjusted to account for the fiscal year"/>
    <n v="0"/>
    <m/>
    <m/>
    <m/>
    <n v="4460685"/>
    <n v="4460685"/>
    <m/>
    <m/>
    <m/>
    <m/>
    <m/>
    <m/>
    <m/>
    <m/>
    <m/>
    <m/>
    <m/>
    <n v="5"/>
    <s v="Broadway Consolidated Plc, NOCAL, Oranto Petroleum Limited, Anadarko Group, International Resources Strategic Liberia Energy"/>
    <n v="5"/>
    <m/>
    <m/>
    <m/>
    <m/>
    <n v="7"/>
    <m/>
    <m/>
    <m/>
    <m/>
    <m/>
    <m/>
    <m/>
    <m/>
    <m/>
    <m/>
    <m/>
    <m/>
    <m/>
    <m/>
    <m/>
    <m/>
    <m/>
    <m/>
    <m/>
    <m/>
    <m/>
  </r>
  <r>
    <x v="111"/>
    <n v="2009"/>
    <x v="19"/>
    <s v="Africa"/>
    <m/>
    <s v="Mining"/>
    <s v="yes"/>
    <s v="no"/>
    <s v="no"/>
    <s v="Total Mining"/>
    <s v="Total"/>
    <s v="Total Mining"/>
    <m/>
    <m/>
    <m/>
    <m/>
    <m/>
    <m/>
    <m/>
    <m/>
    <m/>
    <n v="35773679.580103055"/>
    <m/>
    <m/>
    <m/>
    <n v="10816190"/>
    <n v="10632601"/>
    <m/>
    <m/>
    <m/>
    <n v="0.30235050257496721"/>
    <m/>
    <m/>
    <m/>
    <m/>
    <m/>
    <m/>
    <m/>
    <n v="38"/>
    <s v="AmLib United Minerals, Bea Mountain Mining Corp, Putu Iron Ore Mining Inc, Liberia Gold Corporation, Western Mineral Resources Corp,_x000a_KPO Resources, Alex Stewart Assayers Ltd., Bokun Jedeh Resources Inc, ArcelorMittal Liberia, _x000a_African Aura Resources,_x000a_B H P Billiton World Exploration, Broadway Consolidated PLC, Ducor Minerals, Inc. (Diamond Fields, Inc), Hummingbird Resources, Afro Minerals, Deveton Mining Company, Sinoe Exploration, Precious Minerals Mining Company, SubSea Resources DMCC, Italgems &amp; Malavasi Mining Company, Black Sand Mining Company, Kwakmas Inc. Texas International Group, Pride Land, KBL Mining Company, Mancnemo Incorporated,_x000a_China Union Investment (Liberia) Bong_x000a_Mines Company Ltd, China Union (Hong Kong) Gold Investment, Ocean Bottom Resource West Africa Inc., Fundy Minerals Ltd, Shine Star Business Corporation, Vision Inc, Golden Vision Trading, Royal Company, Nimba Diamond Enterprises, A D M T Company, Gemmacom Liberia Limited, Yuly Diam Company Inc"/>
    <n v="35"/>
    <m/>
    <m/>
    <m/>
    <m/>
    <n v="6"/>
    <m/>
    <m/>
    <m/>
    <m/>
    <m/>
    <m/>
    <m/>
    <m/>
    <m/>
    <m/>
    <m/>
    <m/>
    <m/>
    <m/>
    <m/>
    <m/>
    <m/>
    <m/>
    <m/>
    <m/>
    <m/>
  </r>
  <r>
    <x v="111"/>
    <n v="2009"/>
    <x v="19"/>
    <s v="Africa"/>
    <m/>
    <s v="Mining"/>
    <s v="yes"/>
    <s v="no"/>
    <s v="no"/>
    <s v="Cement"/>
    <s v="detailed"/>
    <s v="detailed Mining"/>
    <n v="82406.882191780824"/>
    <m/>
    <m/>
    <m/>
    <m/>
    <s v="t"/>
    <n v="103.03287671232877"/>
    <s v="US$/t"/>
    <s v="Volume from USGS Mineral Yearbook 2011, adjusted to account for the fiscal year. Price from USGS Mineral Commodity Summary 2009, and is the average mill price for cement in the US, adjusted to account for the fiscal year."/>
    <n v="8490618.1331131551"/>
    <m/>
    <m/>
    <m/>
    <m/>
    <m/>
    <m/>
    <m/>
    <m/>
    <m/>
    <m/>
    <m/>
    <m/>
    <m/>
    <m/>
    <m/>
    <m/>
    <m/>
    <m/>
    <m/>
    <m/>
    <m/>
    <m/>
    <m/>
    <m/>
    <m/>
    <m/>
    <m/>
    <m/>
    <m/>
    <m/>
    <m/>
    <m/>
    <m/>
    <m/>
    <m/>
    <m/>
    <m/>
    <m/>
    <m/>
    <m/>
    <m/>
    <m/>
    <m/>
    <m/>
    <m/>
  </r>
  <r>
    <x v="111"/>
    <n v="2009"/>
    <x v="19"/>
    <s v="Africa"/>
    <m/>
    <s v="Mining"/>
    <s v="yes"/>
    <s v="no"/>
    <s v="no"/>
    <s v="Diamond"/>
    <s v="detailed"/>
    <s v="detailed Mining"/>
    <n v="37764.098630136985"/>
    <m/>
    <m/>
    <m/>
    <m/>
    <s v="carats"/>
    <n v="302.91852054794526"/>
    <s v="US$/carat"/>
    <s v="Volume from USGS Mineral Yearbook 2011, adjusted to account for the fiscal year. Price from kimberley Process Annual Summary 2008 and 2009, adjusted to account for the fiscal year."/>
    <n v="11439444.886867782"/>
    <m/>
    <m/>
    <m/>
    <m/>
    <m/>
    <m/>
    <m/>
    <m/>
    <m/>
    <m/>
    <m/>
    <m/>
    <m/>
    <m/>
    <m/>
    <m/>
    <m/>
    <m/>
    <m/>
    <m/>
    <m/>
    <m/>
    <m/>
    <m/>
    <m/>
    <m/>
    <m/>
    <m/>
    <m/>
    <m/>
    <m/>
    <m/>
    <m/>
    <m/>
    <m/>
    <m/>
    <m/>
    <m/>
    <m/>
    <m/>
    <m/>
    <m/>
    <m/>
    <m/>
    <m/>
  </r>
  <r>
    <x v="111"/>
    <n v="2009"/>
    <x v="19"/>
    <s v="Africa"/>
    <m/>
    <s v="Mining"/>
    <s v="yes"/>
    <s v="no"/>
    <s v="no"/>
    <s v="Gold"/>
    <s v="detailed"/>
    <s v="detailed Mining"/>
    <n v="18467.739188776024"/>
    <m/>
    <m/>
    <m/>
    <m/>
    <s v="toz"/>
    <n v="798.66264252876704"/>
    <s v="US$/toz"/>
    <s v="Volume from USGS Mineral Yearbook 2011, adjusted to account for the fiscal year. Price from World Bank (Global Economic Monitor (GEM) Commodities database) - defined as: Gold (UK), 99.5% fine, London afternoon fixing, average of daily rates - adjusted to account for the fiscal year and for the price given in the 2012 EITI Report being 86.63% of this in the fiscal year of 2011-12."/>
    <n v="14749493.382039929"/>
    <m/>
    <m/>
    <m/>
    <m/>
    <m/>
    <m/>
    <m/>
    <m/>
    <m/>
    <m/>
    <m/>
    <m/>
    <m/>
    <m/>
    <m/>
    <m/>
    <m/>
    <m/>
    <m/>
    <m/>
    <m/>
    <m/>
    <m/>
    <m/>
    <m/>
    <m/>
    <m/>
    <m/>
    <m/>
    <m/>
    <m/>
    <m/>
    <m/>
    <m/>
    <m/>
    <m/>
    <m/>
    <m/>
    <m/>
    <m/>
    <m/>
    <m/>
    <m/>
    <m/>
    <m/>
  </r>
  <r>
    <x v="111"/>
    <n v="2009"/>
    <x v="19"/>
    <s v="Africa"/>
    <m/>
    <s v="Mining"/>
    <s v="yes"/>
    <s v="no"/>
    <s v="no"/>
    <s v="Sand"/>
    <s v="detailed"/>
    <s v="detailed Mining"/>
    <n v="140164.38356164383"/>
    <m/>
    <m/>
    <m/>
    <m/>
    <s v="t"/>
    <n v="7.57"/>
    <s v="US$/t"/>
    <s v="Volume from USGS Mineral Yearbook 2011, adjusted to account for the fiscal year. Price from USGS Mineral Yearbook 2009, and is the price in the US for construction sand and gravel, adjusted to account for the fiscal year."/>
    <n v="1061044.3835616438"/>
    <m/>
    <m/>
    <m/>
    <m/>
    <m/>
    <m/>
    <m/>
    <m/>
    <m/>
    <m/>
    <m/>
    <m/>
    <m/>
    <m/>
    <m/>
    <m/>
    <m/>
    <m/>
    <m/>
    <m/>
    <m/>
    <m/>
    <m/>
    <m/>
    <m/>
    <m/>
    <m/>
    <m/>
    <m/>
    <m/>
    <m/>
    <m/>
    <m/>
    <m/>
    <m/>
    <m/>
    <m/>
    <m/>
    <m/>
    <m/>
    <m/>
    <m/>
    <m/>
    <m/>
    <m/>
  </r>
  <r>
    <x v="111"/>
    <n v="2009"/>
    <x v="19"/>
    <s v="Africa"/>
    <m/>
    <s v="Mining"/>
    <s v="yes"/>
    <s v="no"/>
    <s v="no"/>
    <s v="Stone (crushed)"/>
    <s v="detailed"/>
    <s v="detailed Mining"/>
    <n v="3504.1095890410961"/>
    <m/>
    <m/>
    <m/>
    <m/>
    <s v="t"/>
    <n v="9.44"/>
    <s v="US$/t"/>
    <s v="Volume from USGS Mineral Yearbook 2011, adjusted to account for the fiscal year. Price from USGS Mineral Yearbook 2009, and is the price in the US for crushed misecellaneous stone, adjusted to account for the fiscal year."/>
    <n v="33078.794520547948"/>
    <m/>
    <m/>
    <m/>
    <m/>
    <m/>
    <m/>
    <m/>
    <m/>
    <m/>
    <m/>
    <m/>
    <m/>
    <m/>
    <m/>
    <m/>
    <m/>
    <m/>
    <m/>
    <m/>
    <m/>
    <m/>
    <m/>
    <m/>
    <m/>
    <m/>
    <m/>
    <m/>
    <m/>
    <m/>
    <m/>
    <m/>
    <m/>
    <m/>
    <m/>
    <m/>
    <m/>
    <m/>
    <m/>
    <m/>
    <m/>
    <m/>
    <m/>
    <m/>
    <m/>
    <m/>
  </r>
  <r>
    <x v="111"/>
    <n v="2009"/>
    <x v="19"/>
    <s v="Africa"/>
    <m/>
    <s v="Other"/>
    <s v="no"/>
    <s v="no"/>
    <s v="no"/>
    <s v="Forestry"/>
    <s v="detailed"/>
    <s v="detailed Other"/>
    <m/>
    <m/>
    <m/>
    <m/>
    <m/>
    <m/>
    <m/>
    <m/>
    <m/>
    <m/>
    <m/>
    <m/>
    <m/>
    <n v="1889117"/>
    <n v="1838558"/>
    <m/>
    <m/>
    <m/>
    <m/>
    <m/>
    <m/>
    <m/>
    <m/>
    <m/>
    <m/>
    <m/>
    <n v="20"/>
    <s v="Tarpeh Timber Co., B&amp;V Timber Company, Bargor &amp; Bargor Enterprise Inc., Alpha Logging &amp; Wood Processing Inc., E J &amp; J Investment Corporation, Liberia Tree and Trading Company, Euro Logging, D. C. Wilson Incorporated, Geblo Logging, BOPOLU, UNITIMBER Corporation, UNIVERSAL Forestry Corporation, Malavasi Logging Company, Atlantic Resources LTA, Global Wood Industries Inc, Olam Liberia Ltd, International Consultant Capital, Omiejoe Group of Companies Inc., S &amp; Z Corporation Liberia Inc, Buchanan Renewable Energy"/>
    <n v="17"/>
    <m/>
    <m/>
    <m/>
    <m/>
    <n v="5"/>
    <m/>
    <m/>
    <m/>
    <m/>
    <m/>
    <m/>
    <m/>
    <m/>
    <m/>
    <m/>
    <m/>
    <m/>
    <m/>
    <m/>
    <m/>
    <m/>
    <m/>
    <m/>
    <m/>
    <m/>
    <m/>
  </r>
  <r>
    <x v="111"/>
    <n v="2009"/>
    <x v="19"/>
    <s v="Africa"/>
    <m/>
    <s v="Other"/>
    <s v="no"/>
    <s v="no"/>
    <s v="no"/>
    <s v="Agriculture"/>
    <s v="detailed"/>
    <s v="detailed Other"/>
    <m/>
    <m/>
    <m/>
    <m/>
    <m/>
    <m/>
    <m/>
    <m/>
    <m/>
    <m/>
    <m/>
    <m/>
    <m/>
    <n v="18259238"/>
    <n v="18348391"/>
    <m/>
    <m/>
    <m/>
    <m/>
    <m/>
    <m/>
    <m/>
    <m/>
    <m/>
    <m/>
    <m/>
    <n v="9"/>
    <s v="Salala Rubber Corp, Liberia Agricultural Company, Cavalla Rubber Corporation, Firestone Liberia, Cocopa, Sime Darby, LIBINC Oil Palm Inc., NOVEL Liberia Inc, Equatorial Bio-Fuels Liberia"/>
    <n v="8"/>
    <m/>
    <m/>
    <m/>
    <m/>
    <n v="5"/>
    <m/>
    <m/>
    <m/>
    <m/>
    <m/>
    <m/>
    <m/>
    <m/>
    <m/>
    <m/>
    <m/>
    <m/>
    <m/>
    <m/>
    <m/>
    <m/>
    <m/>
    <m/>
    <m/>
    <m/>
    <m/>
  </r>
  <r>
    <x v="112"/>
    <n v="2010"/>
    <x v="19"/>
    <s v="Africa"/>
    <s v="http://www.leiti.org.lr/"/>
    <s v="Oil, Mining, Other"/>
    <s v="yes"/>
    <s v="no"/>
    <s v="no"/>
    <s v="Total"/>
    <s v="Total"/>
    <s v="Total Oil, Mining, Other"/>
    <m/>
    <m/>
    <m/>
    <m/>
    <m/>
    <m/>
    <m/>
    <m/>
    <m/>
    <n v="39516487.867241949"/>
    <s v="Profits/Taxes, Royalties, Dividends, Licenses and concessions, Other significant benefits to government"/>
    <s v="Does not include payments made in-kind"/>
    <s v="-"/>
    <n v="71896113"/>
    <n v="69720697"/>
    <m/>
    <n v="72841938"/>
    <s v="Inferred from EITI Report"/>
    <n v="1.843330263679225"/>
    <s v="United States Dollar"/>
    <m/>
    <s v="Disaggregated by revenue stream, Disaggregated by company, Disaggregated by company and revenue stream"/>
    <m/>
    <m/>
    <m/>
    <m/>
    <n v="119"/>
    <s v="Broadway Consolidated Plc, NOCAL, Oranto Petroleum Limited, Anadarko Group, International Resources Strategic Liberia Energy, Regal Liberia Limited/European Hydrocarbons Limited - African Petroleum Corporation, AmLib United Minerals, Bea Mountain Mining Corp, Putu Iron Ore Mining Inc, KPO Resources, Alex Stewart Assayers Ltd., Bokun Jedeh Resources Inc, ArcelorMittal Liberia, B H P Billiton World Exploration, Ducor Minerals, Inc. (Diamond Fields, Inc), Hummingbird Resources, Afro Minerals, Deveton Mining Company, Sinoe Exploration, Precious Minerals Mining Company, SubSea Resources DMCC, Texas International Group, KBL Liberia Mining Company, China Union Mining Corporation Limited, Ocean Bottom Resource West Africa Inc., Shine Star Business Corporation, Vision Inc, Golden Vision Trading, Royal Company, A D M T Company, Yuly Diam Company Inc, Konblo Bumi Incorporated, Golden Mass Trading, Treco Mining company, West Africa Gold and Diamond Incorporated, Pedra Corporation, H10 International Incorporated, Star Diamond Company, Jamu Resources Incorporated, Ascension Resources Corporation, Global Mining Incorporated, N.E.S. Incorporated, Massa Investment Coporation, Larwuo-Wolu Incorporated, Thackett Mining Incorporated, Australian Exploration, G-10 Exploration Incorporated, Liberty Gold and Diamond Mning, Global Minerals Investment, YOussef Diamond Mining Company, African Aura Resources Liberia Limited, Horizon Investment Incorporated, Diasoma Mineral Incorporated, M &amp; G Infinity Incorporated, Noya Mining Company Limited, S.A.J. Minerals, Libera Tailing Incorporated, J.D.C. Diamond, Estmor Gold Mining Company, Five Talents Incorporated, Explorex Overseas Limited, Weajue Hill Mining Corporation, Fairview Mineral Incorporated, Hualee International Corporation, Sinlib Mining Company Liberia Limited, CIT Incorporated, Contact Internatonal Clearing Agency, RAFF Resouces Incorporated, GBF Investments Incorporated, Louise T Steele, BSG Resources Liberia Limited, Silla Enteprises Incorporated, Fine Minerals Inter Limited, Balaji Gems Export-Import Incorporated, Kights Group Incorporated, Liberia Mining Company, Explorex Liberia Company, KPO Resources Incorporated, Comptoire de Diamant du Liberia, International Mining Assciate Incorporated, Belle Resources Limited, Liberia Gold Refinery Corporation, Small Scale Miners (consolidated), Tarpeh Timber Co., B&amp;V Timber Company, Bargor &amp; Bargor Enterprise Inc., Alpha Logging &amp; Wood Processing Inc., E J &amp; J Investment Corporation, Liberia Tree and Trading Company, Euro Liberia Logging Company, Geblo Logging, Bopolu Development, Universal Forestry Corporation, Malavasi Logging Company, Atlantic Resources LTA, International Consultant Capital, Ecowood Incorporated/Texas International Incorporated, Mandra LTTC Incorporated, Mandra Forestry Liberia Limited, Bassa Timber and Logging Company, Eco Timber, Akewa Group of Companies, Pit Sawyers (consolidated), Salala Rubber Company, Liberian Agricultural Company, Cavalla Rubber Corporation, Firestone Liberia, The Liberia Company (LIBCO-COCOPA), Sime Darby, LIBINC Oil Palm Inc., NOVEL Liberia Inc, Equatorial Palm Oil, Buchanan Renewables Fuel Incorporated, Morris American Rubber Company, Liberia Forest Products Incorporated, The Lee Group of Companies, ADA/LAP"/>
    <n v="71"/>
    <s v="November 2011"/>
    <d v="2014-09-18T00:00:00"/>
    <s v="Moore Stephens LLP"/>
    <s v="http://eiti.org/files/Liberia%20Jul%202009%20-%20Jun%202010%20EITI%20Report.pdf"/>
    <n v="5"/>
    <s v="The report covers the  financial year of 1 July 2009 to 30 June 2010. Materiality threshold: All known companies were requested to participate. The report doesn't specify what minerals are mined. Unilateral declarations are included in the report. Although the report states that 71 companies returned their templates, only 67 are named as doing so.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m/>
    <m/>
    <m/>
    <m/>
    <m/>
    <m/>
    <m/>
    <m/>
    <m/>
    <m/>
    <m/>
    <m/>
    <m/>
    <m/>
    <m/>
    <m/>
    <m/>
    <m/>
    <m/>
    <m/>
  </r>
  <r>
    <x v="112"/>
    <n v="2010"/>
    <x v="19"/>
    <s v="Africa"/>
    <m/>
    <s v="Oil"/>
    <s v="no"/>
    <s v="no"/>
    <s v="yes"/>
    <s v="Oil"/>
    <s v="detailed"/>
    <s v="detailed Oil"/>
    <n v="0"/>
    <m/>
    <m/>
    <m/>
    <m/>
    <s v="bbl"/>
    <m/>
    <m/>
    <s v="Volume from EIA, adjusted to account for the fiscal year"/>
    <n v="0"/>
    <m/>
    <m/>
    <m/>
    <n v="9035942"/>
    <n v="9036042"/>
    <m/>
    <m/>
    <m/>
    <m/>
    <m/>
    <m/>
    <m/>
    <m/>
    <m/>
    <m/>
    <m/>
    <n v="6"/>
    <s v="Broadway Consolidated Plc, NOCAL, Oranto Petroleum Limited, Anadarko Group, International Resources Strategic Liberia Energy, Regal Liberia Limited/European Hydrocarbons Limited - African Petroleum Corporation"/>
    <n v="6"/>
    <m/>
    <m/>
    <m/>
    <m/>
    <n v="9"/>
    <m/>
    <m/>
    <m/>
    <m/>
    <m/>
    <m/>
    <m/>
    <m/>
    <m/>
    <m/>
    <m/>
    <m/>
    <m/>
    <m/>
    <m/>
    <m/>
    <m/>
    <m/>
    <m/>
    <m/>
    <m/>
  </r>
  <r>
    <x v="112"/>
    <n v="2010"/>
    <x v="19"/>
    <s v="Africa"/>
    <m/>
    <s v="Mining"/>
    <s v="yes"/>
    <s v="no"/>
    <s v="no"/>
    <s v="Total Mining"/>
    <s v="Total"/>
    <s v="Total Mining"/>
    <m/>
    <m/>
    <m/>
    <m/>
    <m/>
    <m/>
    <m/>
    <m/>
    <m/>
    <n v="39516487.867241949"/>
    <m/>
    <m/>
    <m/>
    <n v="38382860"/>
    <n v="37082120"/>
    <m/>
    <m/>
    <m/>
    <n v="0.97131253488289648"/>
    <m/>
    <m/>
    <m/>
    <m/>
    <m/>
    <m/>
    <m/>
    <n v="78"/>
    <s v="AmLib United Minerals, Bea Mountain Mining Corp, Putu Iron Ore Mining Inc, KPO Resources, Alex Stewart Assayers Ltd., Bokun Jedeh Resources Inc, ArcelorMittal Liberia, B H P Billiton World Exploration, Ducor Minerals, Inc. (Diamond Fields, Inc), Hummingbird Resources, Afro Minerals, Deveton Mining Company, Sinoe Exploration, Precious Minerals Mining Company, SubSea Resources DMCC, Texas International Group, KBL Liberia Mining Company, China Union Mining Corporation Limited, Ocean Bottom Resource West Africa Inc., Shine Star Business Corporation, Vision Inc, Golden Vision Trading, Royal Company, A D M T Company, Yuly Diam Company Inc, Konblo Bumi Incorporated, Golden Mass Trading, Treco Mining company, West Africa Gold and Diamond Incorporated, Pedra Corporation, H10 International Incorporated, Star Diamond Company, Jamu Resources Incorporated, Ascension Resources Corporation, Global Mining Incorporated, N.E.S. Incorporated, Massa Investment Coporation, Larwuo-Wolu Incorporated, Thackett Mining Incorporated, Australian Exploration, G-10 Exploration Incorporated, Liberty Gold and Diamond Mning, Global Minerals Investment, YOussef Diamond Mining Company, African Aura Resources Liberia Limited, Horizon Investment Incorporated, Diasoma Mineral Incorporated, M &amp; G Infinity Incorporated, Noya Mining Company Limited, S.A.J. Minerals, Libera Tailing Incorporated, J.D.C. Diamond, Estmor Gold Mining Company, Five Talents Incorporated, Explorex Overseas Limited, Weajue Hill Mining Corporation, Fairview Mineral Incorporated, Hualee International Corporation, Sinlib Mining Company Liberia Limited, CIT Incorporated, Contact Internatonal Clearing Agency, RAFF Resouces Incorporated, GBF Investments Incorporated, Louise T Steele, BSG Resources Liberia Limited, Silla Enteprises Incorporated, Fine Minerals Inter Limited, Balaji Gems Export-Import Incorporated, Kights Group Incorporated, Liberia Mining Company, Explorex Liberia Company, KPO Resources Incorporated, Comptoire de Diamant du Liberia, International Mining Assciate Incorporated, Belle Resources Limited, Liberia Gold Refinery Corporation, Small Scale Miners (consolidated)"/>
    <n v="34"/>
    <m/>
    <m/>
    <m/>
    <m/>
    <s v="6-7"/>
    <m/>
    <m/>
    <m/>
    <m/>
    <m/>
    <m/>
    <m/>
    <m/>
    <m/>
    <m/>
    <m/>
    <m/>
    <m/>
    <m/>
    <m/>
    <m/>
    <m/>
    <m/>
    <m/>
    <m/>
    <m/>
  </r>
  <r>
    <x v="112"/>
    <n v="2010"/>
    <x v="19"/>
    <s v="Africa"/>
    <m/>
    <s v="Mining"/>
    <s v="yes"/>
    <s v="no"/>
    <s v="no"/>
    <s v="Cement"/>
    <s v="detailed"/>
    <s v="detailed Mining"/>
    <n v="71153.778082191784"/>
    <m/>
    <m/>
    <m/>
    <m/>
    <s v="t"/>
    <n v="95.528767123287679"/>
    <s v="US$/t"/>
    <s v="Volume from USGS Mineral Yearbook 2011, adjusted to account for the fiscal year. Price from USGS Mineral Commodity Summary 2014, and is the average mill price for cement in the US, adjusted to account for the fiscal year."/>
    <n v="6797232.6963557899"/>
    <m/>
    <m/>
    <m/>
    <m/>
    <m/>
    <m/>
    <m/>
    <m/>
    <m/>
    <m/>
    <m/>
    <m/>
    <m/>
    <m/>
    <m/>
    <m/>
    <m/>
    <m/>
    <m/>
    <m/>
    <m/>
    <m/>
    <m/>
    <m/>
    <m/>
    <m/>
    <m/>
    <m/>
    <m/>
    <m/>
    <m/>
    <m/>
    <m/>
    <m/>
    <m/>
    <m/>
    <m/>
    <m/>
    <m/>
    <m/>
    <m/>
    <m/>
    <m/>
    <m/>
    <m/>
  </r>
  <r>
    <x v="112"/>
    <n v="2010"/>
    <x v="19"/>
    <s v="Africa"/>
    <m/>
    <s v="Mining"/>
    <s v="yes"/>
    <s v="no"/>
    <s v="no"/>
    <s v="Diamond"/>
    <s v="detailed"/>
    <s v="detailed Mining"/>
    <n v="27486.80273972603"/>
    <m/>
    <m/>
    <m/>
    <m/>
    <s v="carats"/>
    <n v="497.63550684931505"/>
    <s v="US$/carat"/>
    <s v="Volume from USGS Mineral Yearbook 2011, adjusted to account for the fiscal year. Price from kimberley Process Annual Summary 2009 and 2010, adjusted to account for the fiscal year."/>
    <n v="13678409.013050705"/>
    <m/>
    <m/>
    <m/>
    <m/>
    <m/>
    <m/>
    <m/>
    <m/>
    <m/>
    <m/>
    <m/>
    <m/>
    <m/>
    <m/>
    <m/>
    <m/>
    <m/>
    <m/>
    <m/>
    <m/>
    <m/>
    <m/>
    <m/>
    <m/>
    <m/>
    <m/>
    <m/>
    <m/>
    <m/>
    <m/>
    <m/>
    <m/>
    <m/>
    <m/>
    <m/>
    <m/>
    <m/>
    <m/>
    <m/>
    <m/>
    <m/>
    <m/>
    <m/>
    <m/>
    <m/>
  </r>
  <r>
    <x v="112"/>
    <n v="2010"/>
    <x v="19"/>
    <s v="Africa"/>
    <m/>
    <s v="Mining"/>
    <s v="yes"/>
    <s v="no"/>
    <s v="no"/>
    <s v="Gold"/>
    <s v="detailed"/>
    <s v="detailed Mining"/>
    <n v="19110.930219761631"/>
    <m/>
    <m/>
    <m/>
    <m/>
    <s v="toz"/>
    <n v="951.00738362191771"/>
    <s v="US$/toz"/>
    <s v="Volume from USGS Mineral Yearbook 2011, adjusted to account for the fiscal year. Price from World Bank (Global Economic Monitor (GEM) Commodities database) - defined as: Gold (UK), 99.5% fine, London afternoon fixing, average of daily rates - adjusted to account for the fiscal year and for the price given in the 2012 EITI Report being 86.63% of this in the fiscal year of 2011-12."/>
    <n v="18174635.746876549"/>
    <m/>
    <m/>
    <m/>
    <m/>
    <m/>
    <m/>
    <m/>
    <m/>
    <m/>
    <m/>
    <m/>
    <m/>
    <m/>
    <m/>
    <m/>
    <m/>
    <m/>
    <m/>
    <m/>
    <m/>
    <m/>
    <m/>
    <m/>
    <m/>
    <m/>
    <m/>
    <m/>
    <m/>
    <m/>
    <m/>
    <m/>
    <m/>
    <m/>
    <m/>
    <m/>
    <m/>
    <m/>
    <m/>
    <m/>
    <m/>
    <m/>
    <m/>
    <m/>
    <m/>
    <m/>
  </r>
  <r>
    <x v="112"/>
    <n v="2010"/>
    <x v="19"/>
    <s v="Africa"/>
    <m/>
    <s v="Mining"/>
    <s v="yes"/>
    <s v="no"/>
    <s v="no"/>
    <s v="Sand"/>
    <s v="detailed"/>
    <s v="detailed Mining"/>
    <n v="115041.09589041096"/>
    <m/>
    <m/>
    <m/>
    <m/>
    <s v="t"/>
    <n v="7.31"/>
    <s v="US$/t"/>
    <s v="Volume from USGS Mineral Yearbook 2011, adjusted to account for the fiscal year. Price from USGS Mineral Yearbook 2010, and is the price in the US for construction sand and gravel, adjusted to account for the fiscal year."/>
    <n v="840950.41095890407"/>
    <m/>
    <m/>
    <m/>
    <m/>
    <m/>
    <m/>
    <m/>
    <m/>
    <m/>
    <m/>
    <m/>
    <m/>
    <m/>
    <m/>
    <m/>
    <m/>
    <m/>
    <m/>
    <m/>
    <m/>
    <m/>
    <m/>
    <m/>
    <m/>
    <m/>
    <m/>
    <m/>
    <m/>
    <m/>
    <m/>
    <m/>
    <m/>
    <m/>
    <m/>
    <m/>
    <m/>
    <m/>
    <m/>
    <m/>
    <m/>
    <m/>
    <m/>
    <m/>
    <m/>
    <m/>
  </r>
  <r>
    <x v="112"/>
    <n v="2010"/>
    <x v="19"/>
    <s v="Africa"/>
    <m/>
    <s v="Mining"/>
    <s v="yes"/>
    <s v="no"/>
    <s v="no"/>
    <s v="Stone (crushed)"/>
    <s v="detailed"/>
    <s v="detailed Mining"/>
    <n v="3000.0000000000005"/>
    <m/>
    <m/>
    <m/>
    <m/>
    <s v="t"/>
    <n v="8.42"/>
    <s v="US$/t"/>
    <s v="Volume from USGS Mineral Yearbook 2011, adjusted to account for the fiscal year. Price from USGS Mineral Yearbook 2010, and is the price in the US for crushed misecellaneous stone, adjusted to account for the fiscal year."/>
    <n v="25260.000000000004"/>
    <m/>
    <m/>
    <m/>
    <m/>
    <m/>
    <m/>
    <m/>
    <m/>
    <m/>
    <m/>
    <m/>
    <m/>
    <m/>
    <m/>
    <m/>
    <m/>
    <m/>
    <m/>
    <m/>
    <m/>
    <m/>
    <m/>
    <m/>
    <m/>
    <m/>
    <m/>
    <m/>
    <m/>
    <m/>
    <m/>
    <m/>
    <m/>
    <m/>
    <m/>
    <m/>
    <m/>
    <m/>
    <m/>
    <m/>
    <m/>
    <m/>
    <m/>
    <m/>
    <m/>
    <m/>
  </r>
  <r>
    <x v="112"/>
    <n v="2010"/>
    <x v="19"/>
    <s v="Africa"/>
    <m/>
    <s v="Other"/>
    <s v="no"/>
    <s v="no"/>
    <s v="no"/>
    <s v="Forestry"/>
    <s v="detailed"/>
    <s v="detailed Other"/>
    <m/>
    <m/>
    <m/>
    <m/>
    <m/>
    <m/>
    <m/>
    <m/>
    <m/>
    <m/>
    <m/>
    <m/>
    <m/>
    <n v="12177453"/>
    <n v="11504265"/>
    <m/>
    <m/>
    <m/>
    <m/>
    <m/>
    <m/>
    <m/>
    <m/>
    <m/>
    <m/>
    <m/>
    <n v="21"/>
    <s v="Tarpeh Timber Co., B&amp;V Timber Company, Bargor &amp; Bargor Enterprise Inc., Alpha Logging &amp; Wood Processing Inc., E J &amp; J Investment Corporation, Liberia Tree and Trading Company, Euro Liberia Logging Company, Geblo Logging, Bopolu Development, Universal Forestry Corporation, Malavasi Logging Company, Atlantic Resources LTA, International Consultant Capital, Ecowood Incorporated/Texas International Incorporated, Mandra LTTC Incorporated, Mandra Forestry Liberia Limited, Bassa Timber and Logging Company, Eco Timber, Akewa Group of Companies, Pit Sawyers (consolidated)"/>
    <n v="19"/>
    <m/>
    <m/>
    <m/>
    <m/>
    <s v="7-8"/>
    <m/>
    <m/>
    <m/>
    <m/>
    <m/>
    <m/>
    <m/>
    <m/>
    <m/>
    <m/>
    <m/>
    <m/>
    <m/>
    <m/>
    <m/>
    <m/>
    <m/>
    <m/>
    <m/>
    <m/>
    <m/>
  </r>
  <r>
    <x v="112"/>
    <n v="2010"/>
    <x v="19"/>
    <s v="Africa"/>
    <m/>
    <s v="Other"/>
    <s v="no"/>
    <s v="no"/>
    <s v="no"/>
    <s v="Agriculture"/>
    <s v="detailed"/>
    <s v="detailed Other"/>
    <m/>
    <m/>
    <m/>
    <m/>
    <m/>
    <m/>
    <m/>
    <m/>
    <m/>
    <m/>
    <m/>
    <m/>
    <m/>
    <n v="12299858"/>
    <n v="12098270"/>
    <m/>
    <m/>
    <m/>
    <m/>
    <m/>
    <m/>
    <m/>
    <m/>
    <m/>
    <m/>
    <m/>
    <n v="14"/>
    <s v="Salala Rubber Company, Liberian Agricultural Company, Cavalla Rubber Corporation, Firestone Liberia, The Liberia Company (LIBCO-COCOPA), Sime Darby, LIBINC Oil Palm Inc., NOVEL Liberia Inc, Equatorial Palm Oil, Buchanan Renewables Fuel Incorporated, Morris American Rubber Company, Liberia Forest Products Incorporated, The Lee Group of Companies, ADA/LAP"/>
    <n v="12"/>
    <m/>
    <m/>
    <m/>
    <m/>
    <n v="8"/>
    <m/>
    <m/>
    <m/>
    <m/>
    <m/>
    <m/>
    <m/>
    <m/>
    <m/>
    <m/>
    <m/>
    <m/>
    <m/>
    <m/>
    <m/>
    <m/>
    <m/>
    <m/>
    <m/>
    <m/>
    <m/>
  </r>
  <r>
    <x v="113"/>
    <n v="2011"/>
    <x v="19"/>
    <s v="Africa"/>
    <s v="http://www.leiti.org.lr/"/>
    <s v="Oil, Mining, Other"/>
    <s v="yes"/>
    <s v="no"/>
    <s v="no"/>
    <s v="Total"/>
    <s v="Total"/>
    <s v="Total Oil, Mining, Other"/>
    <m/>
    <m/>
    <m/>
    <m/>
    <m/>
    <m/>
    <m/>
    <m/>
    <m/>
    <n v="147332348.74315965"/>
    <s v="Profits/Taxes, Royalties, Dividends, Licenses and concessions, Other significant benefits to government"/>
    <s v="Also covers payments made in-kind (though these were only reported by companies)"/>
    <s v="Yes"/>
    <n v="102802566.91"/>
    <n v="115407282"/>
    <m/>
    <m/>
    <m/>
    <n v="0.6977596419725367"/>
    <s v="United States Dollar"/>
    <m/>
    <s v="Disaggregated by revenue stream, Disaggregated by company, Disaggregated by company and revenue stream"/>
    <s v="See below"/>
    <n v="12958352"/>
    <m/>
    <m/>
    <n v="111"/>
    <s v="African Petroleum, Anardarko, Chevron, National Oil Company, Oranto Petroleum, Peppercoast, AmLib United Minerals, Afric DIam Company Ltd, Bea Mountain Mining Corp, Putu Iron Ore Mining Inc, Bokun Jedeh Resources Inc, ArcelorMittal Liberia, B H P Billiton World Exploration, Hummingbird Resources, Afro Minerals, Sinoe Exploration, KBL Liberia Mining Company, China Union Mining Corporation Limited, Ocean Bottom Resource West Africa Inc., Golden Vision Trading, Royal Company, A D M T Liberia, Konblo Bumi Incorporated, Golden Mass, Treco Mining company, West Africa Gold and Diamond Incorporated, Pedra Mining, Star Diamond Company, Ascension Resources Corporation, Global Mining Incorporated, Massa Investment Coporation, Thackett Mining Incorporated, Global Mineral Investment, Youssef Diamond Mining Company, Diasoma Mineral Incorporated, Fine Minerals International Limited, Belle Resources Limited, African Gold Mining, Brown Stone Inc, Charis Mineral Inc, Gryphon Minerals, Hamana International, International Business Exchanges, Investment Developemtn Corporation, Iron Resources Limited, MIddle Island Resources, Pedra Mining, Planet Minerals Limited, Southern Cross, Spri Group Africa Ltd,  Star Diamond Company, Superior Mineral Resources Ltd, Task Investment Ltd, The Diamond Star Plus, Trade Right, VbgVale bsgr Liberia Ltd, Voila International Inc, West African Resources Co. Ltd, West peak Iron Ltd, Winestock Development Ltd, Hard Rock Crusher, Deveton Mining Company, Planet Minerals Mining, South East, Iron Bird Resources Inc., Jungle Water Group Of Investment, Comptoir De Diamant, Alpha B. Diallo, Bentley Business Center Mining, Dykov Dumar Mining, Good Brother Trading Mining, Millinarie Gold Mining, Taiti Trading Mining, Gemrocks Mining Inc, Across Africa Incorporated, Consolidated Brokers' License, Consolidated Class B Licenses, Consolidated Class C licenses, Consolidated Gold Dealers' Licenses, Consolidated Prospecting Licenses,  Tarpeh Timber Co., B&amp;V Timber Company, Bargor &amp; Bargor Enterprise Inc., Alpha Logging &amp; Wood Processing Inc., E J &amp; J Investment Corporation, Liberia Tree and Trading Company, Euro Liberia Logging Company, Geblo Logging, Atlantic Resources LTA, International Consultant Capital, Ecowood Incorporated, Mandra Forestry Liberia Limited, Bassa Logging &amp; Timber, Ecotimbers Liberia Limited, Akewa Group of Companies, K-Mark Indo Liberia Ltd, Mandra LTTC Incorporated, Thunder Bird International Limited, Sun Yeun Corporation, Pit Sawyers (consolidated), Salala Rubber Company, Liberian Agricultural Company, Cavalla Rubber Corporation, Firestone Liberia, The Liberia Company (LIBCO-COCOPA), Sime Darby, LIBINC Oil Palm Inc., Buchanan Renewables Fuel Incorporated, Morris American Rubber Company, Liberia Forest Products Incorporated, Golden Veroleum"/>
    <n v="65"/>
    <s v="May 2013"/>
    <d v="2014-09-18T00:00:00"/>
    <s v="Ernst &amp; Young - MGI Monbo and Co."/>
    <s v="http://eiti.org/files/Liberia-2011-EITI-Report.pdf"/>
    <s v="29, 50"/>
    <s v="The report covers the  financial year of 1 July 2010 to 30 June 2011. Materiality threshold: oil, mining, forestry and agriculture companies that made a payment of at least US$200,000, US$15,000, US$10,000, US$30,000 respectively in the financial year should be reconciled. The report doesn't specify what minerals are mined. Unilateral declarations are included in the report, including the unilateral reporting by government agencies of US$632,541 from the small scale miners and pit sawyers. The originally reported total revenue was US$117m but a US$15m double count in the Oranto/Chevron signing fees was adjusted for in the 2012 EITI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report also covers: payments between the national port authority, its contractor and companies; the tracking of revenues particulary to social development entities; an 'amounts due' reconciliation for some revenue streams in the forestry sector; in-kind contributions. Companies reported on their in-kind payments and its value, but did not explain how this was estimated."/>
    <m/>
    <m/>
    <m/>
    <m/>
    <m/>
    <m/>
    <m/>
    <m/>
    <m/>
    <m/>
    <m/>
    <m/>
    <m/>
    <m/>
    <m/>
    <m/>
    <m/>
    <m/>
    <m/>
    <m/>
  </r>
  <r>
    <x v="113"/>
    <n v="2011"/>
    <x v="19"/>
    <s v="Africa"/>
    <m/>
    <s v="Oil"/>
    <s v="no"/>
    <s v="no"/>
    <s v="yes"/>
    <s v="Oil"/>
    <s v="detailed"/>
    <s v="detailed Oil"/>
    <n v="0"/>
    <m/>
    <m/>
    <m/>
    <m/>
    <s v="bbl"/>
    <m/>
    <m/>
    <s v="Volume from EIA, adjusted to account for the fiscal year"/>
    <n v="0"/>
    <m/>
    <m/>
    <m/>
    <n v="49681073.859999999"/>
    <n v="49911073.859999999"/>
    <m/>
    <m/>
    <m/>
    <m/>
    <m/>
    <m/>
    <m/>
    <s v="University of Liberia furniture, low cost housing, resettlement, youth support services (no volumes given)"/>
    <n v="701600"/>
    <m/>
    <m/>
    <n v="6"/>
    <s v="African Petroleum, Anardarko, Chevron, National Oil Company, Oranto Petroleum, Peppercoast"/>
    <n v="5"/>
    <m/>
    <m/>
    <m/>
    <m/>
    <s v="29, 54"/>
    <m/>
    <m/>
    <m/>
    <m/>
    <m/>
    <m/>
    <m/>
    <m/>
    <m/>
    <m/>
    <m/>
    <m/>
    <m/>
    <m/>
    <m/>
    <m/>
    <m/>
    <m/>
    <m/>
    <m/>
    <m/>
  </r>
  <r>
    <x v="113"/>
    <n v="2011"/>
    <x v="19"/>
    <s v="Africa"/>
    <m/>
    <s v="Mining"/>
    <s v="yes"/>
    <s v="no"/>
    <s v="no"/>
    <s v="Total Mining"/>
    <s v="Total"/>
    <s v="Total Mining"/>
    <m/>
    <m/>
    <m/>
    <m/>
    <m/>
    <m/>
    <m/>
    <m/>
    <m/>
    <n v="147332348.74315965"/>
    <m/>
    <m/>
    <m/>
    <n v="44223697.119999997"/>
    <n v="43798764.75"/>
    <m/>
    <m/>
    <m/>
    <n v="0.30016284609087396"/>
    <m/>
    <m/>
    <m/>
    <s v="&lt;50km road renovation, construction of a clinic/hospital, water and sanitation, youth support services"/>
    <n v="6123779"/>
    <m/>
    <m/>
    <n v="75"/>
    <s v="AmLib United Minerals, Afric DIam Company Ltd, Bea Mountain Mining Corp, Putu Iron Ore Mining Inc, Bokun Jedeh Resources Inc, ArcelorMittal Liberia, B H P Billiton World Exploration, Hummingbird Resources, Afro Minerals, Sinoe Exploration, KBL Liberia Mining Company, China Union Mining Corporation Limited, Ocean Bottom Resource West Africa Inc., Golden Vision Trading, Royal Company, A D M T Liberia, Konblo Bumi Incorporated, Golden Mass, Treco Mining company, West Africa Gold and Diamond Incorporated, Pedra Mining, Star Diamond Company, Ascension Resources Corporation, Global Mining Incorporated, Massa Investment Coporation, Thackett Mining Incorporated, Global Mineral Investment, Youssef Diamond Mining Company, Diasoma Mineral Incorporated, Fine Minerals International Limited, Belle Resources Limited, African Gold Mining, Brown Stone Inc, Charis Mineral Inc, Gryphon Minerals, Hamana International, International Business Exchanges, Investment Developemtn Corporation, Iron Resources Limited, MIddle Island Resources, Pedra Mining, Planet Minerals Limited, Southern Cross, Spri Group Africa Ltd,  Star Diamond Company, Superior Mineral Resources Ltd, Task Investment Ltd, The Diamond Star Plus, Trade Right, VbgVale bsgr Liberia Ltd, Voila International Inc, West African Resources Co. Ltd, West peak Iron Ltd, Winestock Development Ltd, Hard Rock Crusher, Deveton Mining Company, Planet Minerals Mining, South East, Iron Bird Resources Inc., Jungle Water Group Of Investment,_x000a_Comptoir De Diamant, Alpha B. Diallo, Bentley Business Center Mining, Dykov Dumar Mining, Good Brother Trading Mining, Millinarie Gold Mining, Taiti Trading Mining, Gemrocks Mining Inc, Across Africa Incorporated, Consolidated Brokers' License, Consolidated Class B Licenses, Consolidated Class C licenses, Consolidated Gold Dealers' Licenses, Consolidated Prospecting Licenses"/>
    <n v="32"/>
    <m/>
    <m/>
    <m/>
    <m/>
    <s v="29, 51-53"/>
    <m/>
    <m/>
    <m/>
    <m/>
    <m/>
    <m/>
    <m/>
    <m/>
    <m/>
    <m/>
    <m/>
    <m/>
    <m/>
    <m/>
    <m/>
    <m/>
    <m/>
    <m/>
    <m/>
    <m/>
    <m/>
  </r>
  <r>
    <x v="113"/>
    <n v="2011"/>
    <x v="19"/>
    <s v="Africa"/>
    <m/>
    <s v="Mining"/>
    <s v="yes"/>
    <s v="no"/>
    <s v="no"/>
    <s v="Cement"/>
    <s v="detailed"/>
    <s v="detailed Mining"/>
    <n v="76127.084931506848"/>
    <m/>
    <m/>
    <m/>
    <m/>
    <s v="t"/>
    <n v="90.760273972602747"/>
    <s v="US$/t"/>
    <s v="Volume from USGS Mineral Yearbook 2011, adjusted to account for the fiscal year. Price from USGS Mineral Commodity Summary 2014, and is the average mill price for cement in the US, adjusted to account for the fiscal year."/>
    <n v="6909315.0851191599"/>
    <m/>
    <m/>
    <m/>
    <m/>
    <m/>
    <m/>
    <m/>
    <m/>
    <m/>
    <m/>
    <m/>
    <m/>
    <m/>
    <m/>
    <m/>
    <m/>
    <m/>
    <m/>
    <m/>
    <m/>
    <m/>
    <m/>
    <m/>
    <m/>
    <m/>
    <m/>
    <m/>
    <m/>
    <m/>
    <m/>
    <m/>
    <m/>
    <m/>
    <m/>
    <m/>
    <m/>
    <m/>
    <m/>
    <m/>
    <m/>
    <m/>
    <m/>
    <m/>
    <m/>
    <m/>
  </r>
  <r>
    <x v="113"/>
    <n v="2011"/>
    <x v="19"/>
    <s v="Africa"/>
    <m/>
    <s v="Mining"/>
    <s v="yes"/>
    <s v="no"/>
    <s v="no"/>
    <s v="Diamond"/>
    <s v="detailed"/>
    <s v="detailed Mining"/>
    <n v="34198.454794520549"/>
    <m/>
    <m/>
    <m/>
    <m/>
    <s v="carats"/>
    <n v="493.84969863013703"/>
    <s v="US$/carat"/>
    <s v="Volume from USGS Mineral Yearbook 2011, adjusted to account for the fiscal year. Price from kimberley Process Annual Summary 2010 and 2011, adjusted to account for the fiscal year."/>
    <n v="16888896.593890339"/>
    <m/>
    <m/>
    <m/>
    <m/>
    <m/>
    <m/>
    <m/>
    <m/>
    <m/>
    <m/>
    <m/>
    <m/>
    <m/>
    <m/>
    <m/>
    <m/>
    <m/>
    <m/>
    <m/>
    <m/>
    <m/>
    <m/>
    <m/>
    <m/>
    <m/>
    <m/>
    <m/>
    <m/>
    <m/>
    <m/>
    <m/>
    <m/>
    <m/>
    <m/>
    <m/>
    <m/>
    <m/>
    <m/>
    <m/>
    <m/>
    <m/>
    <m/>
    <m/>
    <m/>
    <m/>
  </r>
  <r>
    <x v="113"/>
    <n v="2011"/>
    <x v="19"/>
    <s v="Africa"/>
    <m/>
    <s v="Mining"/>
    <s v="yes"/>
    <s v="no"/>
    <s v="no"/>
    <s v="Gold"/>
    <s v="detailed"/>
    <s v="detailed Mining"/>
    <n v="17936.767463936085"/>
    <m/>
    <m/>
    <m/>
    <m/>
    <s v="toz"/>
    <n v="1208.9381453013698"/>
    <s v="US$/toz"/>
    <s v="Volume from USGS Mineral Yearbook 2011, adjusted to account for the fiscal year. Price from World Bank (Global Economic Monitor (GEM) Commodities database) - defined as: Gold (UK), 99.5% fine, London afternoon fixing, average of daily rates - adjusted to account for the fiscal year and for the price given in the 2012 EITI Report being 86.63% of this in the fiscal year of 2011-12."/>
    <n v="21684442.390552845"/>
    <m/>
    <m/>
    <m/>
    <m/>
    <m/>
    <m/>
    <m/>
    <m/>
    <m/>
    <m/>
    <m/>
    <m/>
    <m/>
    <m/>
    <m/>
    <m/>
    <m/>
    <m/>
    <m/>
    <m/>
    <m/>
    <m/>
    <m/>
    <m/>
    <m/>
    <m/>
    <m/>
    <m/>
    <m/>
    <m/>
    <m/>
    <m/>
    <m/>
    <m/>
    <m/>
    <m/>
    <m/>
    <m/>
    <m/>
    <m/>
    <m/>
    <m/>
    <m/>
    <m/>
    <m/>
  </r>
  <r>
    <x v="113"/>
    <n v="2011"/>
    <x v="19"/>
    <s v="Africa"/>
    <m/>
    <s v="Mining"/>
    <s v="yes"/>
    <s v="no"/>
    <s v="no"/>
    <s v="Iron ore"/>
    <s v="detailed"/>
    <s v="detailed Mining"/>
    <n v="644657.53424657532"/>
    <m/>
    <m/>
    <m/>
    <m/>
    <s v="t"/>
    <n v="156.7150410958904"/>
    <s v="US$/t"/>
    <s v="Volume from USGS Mineral Yearbook 2011, adjusted to account for the fiscal year. Price from World Bank (Global Economic Monitor (GEM) Commodities database) - defined as: Iron ore (any origin) fines, spot price, c.f.r. China, 62% Fe - adjusted to account for the fiscal year."/>
    <n v="101027531.97222742"/>
    <m/>
    <m/>
    <m/>
    <m/>
    <m/>
    <m/>
    <m/>
    <m/>
    <m/>
    <m/>
    <m/>
    <m/>
    <m/>
    <m/>
    <m/>
    <m/>
    <m/>
    <m/>
    <m/>
    <m/>
    <m/>
    <m/>
    <m/>
    <m/>
    <m/>
    <m/>
    <m/>
    <m/>
    <m/>
    <m/>
    <m/>
    <m/>
    <m/>
    <m/>
    <m/>
    <m/>
    <m/>
    <m/>
    <m/>
    <m/>
    <m/>
    <m/>
    <m/>
    <m/>
    <m/>
  </r>
  <r>
    <x v="113"/>
    <n v="2011"/>
    <x v="19"/>
    <s v="Africa"/>
    <m/>
    <s v="Mining"/>
    <s v="yes"/>
    <s v="no"/>
    <s v="no"/>
    <s v="Sand"/>
    <s v="detailed"/>
    <s v="detailed Mining"/>
    <n v="106528.76712328767"/>
    <m/>
    <m/>
    <m/>
    <m/>
    <s v="t"/>
    <n v="7.49"/>
    <s v="US$/t"/>
    <s v="Volume from USGS Mineral Yearbook 2011, adjusted to account for the fiscal year. Price from USGS Mineral Yearbook 2012, and is the price in the US for construction sand and gravel, adjusted to account for the fiscal year."/>
    <n v="797900.46575342468"/>
    <m/>
    <m/>
    <m/>
    <m/>
    <m/>
    <m/>
    <m/>
    <m/>
    <m/>
    <m/>
    <m/>
    <m/>
    <m/>
    <m/>
    <m/>
    <m/>
    <m/>
    <m/>
    <m/>
    <m/>
    <m/>
    <m/>
    <m/>
    <m/>
    <m/>
    <m/>
    <m/>
    <m/>
    <m/>
    <m/>
    <m/>
    <m/>
    <m/>
    <m/>
    <m/>
    <m/>
    <m/>
    <m/>
    <m/>
    <m/>
    <m/>
    <m/>
    <m/>
    <m/>
    <m/>
  </r>
  <r>
    <x v="113"/>
    <n v="2011"/>
    <x v="19"/>
    <s v="Africa"/>
    <m/>
    <s v="Mining"/>
    <s v="yes"/>
    <s v="no"/>
    <s v="no"/>
    <s v="Stone (crushed)"/>
    <s v="detailed"/>
    <s v="detailed Mining"/>
    <n v="2801.6438356164385"/>
    <m/>
    <m/>
    <m/>
    <m/>
    <s v="t"/>
    <n v="8.66"/>
    <s v="US$/t"/>
    <s v="Volume from USGS Mineral Yearbook 2011, adjusted to account for the fiscal year. Price from USGS Mineral Yearbook 2012, and is the price in the US for crushed misecellaneous stone, adjusted to account for the fiscal year."/>
    <n v="24262.235616438356"/>
    <m/>
    <m/>
    <m/>
    <m/>
    <m/>
    <m/>
    <m/>
    <m/>
    <m/>
    <m/>
    <m/>
    <m/>
    <m/>
    <m/>
    <m/>
    <m/>
    <m/>
    <m/>
    <m/>
    <m/>
    <m/>
    <m/>
    <m/>
    <m/>
    <m/>
    <m/>
    <m/>
    <m/>
    <m/>
    <m/>
    <m/>
    <m/>
    <m/>
    <m/>
    <m/>
    <m/>
    <m/>
    <m/>
    <m/>
    <m/>
    <m/>
    <m/>
    <m/>
    <m/>
    <m/>
  </r>
  <r>
    <x v="113"/>
    <n v="2011"/>
    <x v="19"/>
    <s v="Africa"/>
    <m/>
    <s v="Other"/>
    <s v="no"/>
    <s v="no"/>
    <s v="no"/>
    <s v="Forestry"/>
    <s v="detailed"/>
    <s v="detailed Other"/>
    <m/>
    <m/>
    <m/>
    <m/>
    <m/>
    <m/>
    <m/>
    <m/>
    <m/>
    <m/>
    <m/>
    <m/>
    <m/>
    <n v="5616076.2300000004"/>
    <n v="5408592.1799999997"/>
    <m/>
    <m/>
    <m/>
    <m/>
    <m/>
    <m/>
    <m/>
    <s v="Various including 200 miles road rehabilitation, 88 education scholarships, 52 teacher salaries, an adult education programme for 250 students, clinic/hospital supplies, water and sanitation"/>
    <n v="78000"/>
    <m/>
    <m/>
    <n v="20"/>
    <s v="Tarpeh Timber Co., B&amp;V Timber Company, Bargor &amp; Bargor Enterprise Inc., Alpha Logging &amp; Wood Processing Inc., E J &amp; J Investment Corporation, Liberia Tree and Trading Company, Euro Liberia Logging Company, Geblo Logging, Atlantic Resources LTA, International Consultant Capital, Ecowood Incorporated, Mandra Forestry Liberia Limited, Bassa Logging &amp; Timber, Ecotimbers Liberia Limited, Akewa Group of Companies, K-Mark Indo Liberia Ltd, Mandra LTTC Incorporated, Thunder Bird International Limited, Sun Yeun Corporation, Pit Sawyers (consolidated)"/>
    <n v="17"/>
    <m/>
    <m/>
    <m/>
    <m/>
    <s v="29, 57"/>
    <m/>
    <m/>
    <m/>
    <m/>
    <m/>
    <m/>
    <m/>
    <m/>
    <m/>
    <m/>
    <m/>
    <m/>
    <m/>
    <m/>
    <m/>
    <m/>
    <m/>
    <m/>
    <m/>
    <m/>
    <m/>
  </r>
  <r>
    <x v="113"/>
    <n v="2011"/>
    <x v="19"/>
    <s v="Africa"/>
    <m/>
    <s v="Other"/>
    <s v="no"/>
    <s v="no"/>
    <s v="no"/>
    <s v="Agriculture"/>
    <s v="detailed"/>
    <s v="detailed Other"/>
    <m/>
    <m/>
    <m/>
    <m/>
    <m/>
    <m/>
    <m/>
    <m/>
    <m/>
    <m/>
    <m/>
    <m/>
    <m/>
    <n v="18281719.699999999"/>
    <n v="18330499.66"/>
    <m/>
    <m/>
    <m/>
    <m/>
    <m/>
    <m/>
    <m/>
    <s v="Road construction, market building construction, education scholarships, water and sanitation, youth support services (no volumes given)"/>
    <n v="6054973"/>
    <m/>
    <m/>
    <n v="11"/>
    <s v="Salala Rubber Company, Liberian Agricultural Company, Cavalla Rubber Corporation, Firestone Liberia, The Liberia Company (LIBCO-COCOPA), Sime Darby, LIBINC Oil Palm Inc., Buchanan Renewables Fuel Incorporated, Morris American Rubber Company, Liberia Forest Products Incorporated, Golden Veroleum"/>
    <n v="11"/>
    <m/>
    <m/>
    <m/>
    <m/>
    <s v="29, 55-56"/>
    <m/>
    <m/>
    <m/>
    <m/>
    <m/>
    <m/>
    <m/>
    <m/>
    <m/>
    <m/>
    <m/>
    <m/>
    <m/>
    <m/>
    <m/>
    <m/>
    <m/>
    <m/>
    <m/>
    <m/>
    <m/>
  </r>
  <r>
    <x v="114"/>
    <n v="2012"/>
    <x v="19"/>
    <s v="Africa"/>
    <s v="http://www.leiti.org.lr/"/>
    <s v="Oil, Mining, Other"/>
    <s v="yes"/>
    <s v="no"/>
    <s v="no"/>
    <s v="Total"/>
    <s v="Total"/>
    <s v="Total Oil, Mining, Other"/>
    <m/>
    <m/>
    <m/>
    <m/>
    <m/>
    <m/>
    <m/>
    <m/>
    <m/>
    <n v="386039338.55077028"/>
    <s v="Profits/Taxes, Royalties, Dividends, Licenses and concessions, Other significant benefits to government"/>
    <s v="Does not include payments made in-kind"/>
    <s v="-"/>
    <n v="110146657"/>
    <n v="100809819"/>
    <m/>
    <m/>
    <m/>
    <n v="0.28532495525844959"/>
    <s v="United States Dollar"/>
    <m/>
    <s v="Disaggregated by revenue stream, Disaggregated by company, Disaggregated by company and revenue stream"/>
    <s v="Various including road rehabilitation, education scholarships, clinic/hospital supplies, water and sanitation, youth support services (volumes generally not given)"/>
    <s v="Not given"/>
    <m/>
    <m/>
    <n v="149"/>
    <s v="African Petroleum, Anardarko, Chevron, National Oil Company, Oranto Petroleum, Broadway Peppercoast, Western Cluster Limited, Arcelor Mittal Liberia, China Union Investment (Liberia) Bong Mines Company Limited, BHP Biliton (Liberia) Incorporated, Putu Iron Mining Company, Amlib United Minerals Incorporated, Bea Mountain Mining Coporation, Hummingbird Resources Incorporated, Bukon Jedeh Resources Incorporated, Pedsam Mining Limited, Knights Group Incorporated, Souterhn Cross Investment Limited, Tietto Minerals (Liberia) Limited, Jonah Capital (BVI) Limited, Konblo Bumi Incorporated, Investment Development Corporation, BG Minerals (Liberia) Limited, West Peak Iron Limited, Birimian Gold Limited, BCM INternational, Iron Resources Limited, Deveton Mining Company, Sinoe Exploration Limited, Middle Island Resources Liberia Limited, Noya Mining Company, Tiawana Resources Liberia, Planet Mines and Mienrals Limited, Treco Mining Company, Global Minerals Investment LLC, Acquarian Commercial Holdings Inc., Youssef Diamond Mining Company, Bopulu Commercial Ltd, WInestock Development Liberia Corporation, West African Resources (Lib) Corp. Limtied, Archaen Gold, Superior Mineral Resources Incorporated, African Gold Mining Liberia Limited, Mount Belle Resources (Liberia) Limited, Aforo Resources/Indo Gold Ltd, Afro Minerals Incorporated (Kana Hills), Ironbird Resources Incorporated, BAO CHICO Resources Liberia Limited, Ascension Resources Corporation, Jamu Resources Incorporated, Salmec Resources Limited (Belle Resources Limited), THackett Mining Incorporated, Voila International Inc., Liberia Development corporation, Shankil Resources (Liberia) Inc., Royal COmpany, VBG Valle BSGR Liberia, The Diamond Star Plus Inc., Steinbock Mineral (lib) Ltd, Damaka Mining Inc., Sarama Mining Liberia Ltd, Sinoe Mining and Exploration Inc., Consor International (Liberia) ltd, Earthcons Inc., Weajue Hill Mining, Fine Mineral International Ltd, Alex Stewart (Assayers) Ltd, Mining and Geotechnical (Lib) Ltd, Elephant Fall Mining Company, Lofa Mineral Minerals Corporation, Nimba Mining Company, H-10 International Inc., Kidoon Enterprises Inc., Pedra Mining, Comptoire de Diamant, Xin Yuan Transnational Corporation Inc., Handin Resources Investment Corp. Lib. Ltd, Han-Uman Company, White Rock (lib) General Trading Inc., Kbl Liberia Mining Company, Liberia - Mineral Reosurces, Madansu's Incorporated, WDL Corporation, BSD Incorporated, Gryphon Minerals, South East Resources Inc., Golden Mass Trading, Golden Vision Trading, Afric Diam COmpany Inc., Trasn-Atlantic Petroleum and Oil Reosurces, West Africa Gold and Diamond Inc., Diamco Inc., Monnet Global (Liberia) Ltd, Castle Gem (Liberia) Ltd, Massa Investment Corp., Africa Diamond Resources, Gemrock Mining Inc., Nyan Bartee Corporation, Star Diamond Company, Rusalka Group, Abundant Resources Liberia Ltd, Estmor Gold Mining Company, Madas Corporaton, Task International Ltd, SRPI Group African Ltd, Charis Minerals Inc., Fortress (Liberia) Ltd, B-2 (Bereket D. Tesfamariam), Small scale miners (consolidated), Tarpeh Timber Co., B&amp;V Timber Company, Bargor &amp; Bargor Enterprise Inc., Alpha Logging &amp; Wood Processing Inc., E J &amp; J Investment Corporation/Mandra Forestry, Liberia Tree and Trading Company/Mandra LTTC Incorporated, Euro Logging Company, Geblo Logging, Atlantic Resources LTA, International Consultant Capital, Ecowood Incorporated, Bassa Logging &amp; Timber, Eco-Timber Liberia Limited, Akewa Group of Companies, K-Mark Indo Liberia Ltd, Thunder Bird International Limited, Sun Yeun Corporation, Liberia Hard Wood Corporation, Forest Venture, Global Logging, Tropical Timber Inc., Universal Forestry Corp, TImber Liberia, Nature Orientated, Cavalla Logging, Frank Brooks Ltd, Quantum Resource, Buchanan Renewable Energy, Pit Sawyers (consolidated), Salala Rubber Company, Liberia Agricultural Company, Cavalla Rubber Corporation, Firestone Liberia, The Liberia Company (LIBCO-COCOPA), Sime Darby, LIBINC Oil Palm Inc., Morris American Rubber Company, Liberia Forest Products Incorporated, Golden Veroleum, Lee Group of Enterprises, Equitorial Palm Oil   "/>
    <n v="80"/>
    <s v="June 2014"/>
    <d v="2014-09-19T00:00:00"/>
    <s v="Ernst &amp; Young - MGI Monbo and Co."/>
    <s v="http://eiti.org/files/EITI_Report_Liberia_2011-12.pdf"/>
    <n v="58"/>
    <s v="The report covers the  financial year of 1 July 2011 to 30 June 2012. Materiality threshold: oil, mining, forestry and agriculture companies that made a payment of at least US$350,000, US$50,000, US$5,000, US$50,000 respectively in the financial year should be reconciled. The report doesn't distinguish between mining companies producing different commodities. Unilateral declarations are included in the report, including the unilateral reporting by government agencies of US$912,242 from the small scale miners, pit sawyers and companies below the threshold.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report also covers: the value of exports; employment levels for the mining, forestry and agriculture sectors and some companies; the revenue of some agricultural companies; the tracking of revenues particulary to social development entities; an 'amounts due' reconciliation for some fixed amount revenue streams in the oil, mining and forestry sectors; in-kind contributions (though values for these are not reported)."/>
    <m/>
    <m/>
    <m/>
    <m/>
    <m/>
    <m/>
    <m/>
    <m/>
    <m/>
    <m/>
    <m/>
    <m/>
    <m/>
    <m/>
    <m/>
    <m/>
    <m/>
    <m/>
    <m/>
    <m/>
  </r>
  <r>
    <x v="114"/>
    <n v="2012"/>
    <x v="19"/>
    <s v="Africa"/>
    <m/>
    <s v="Oil"/>
    <s v="no"/>
    <s v="no"/>
    <s v="yes"/>
    <s v="Oil"/>
    <s v="detailed"/>
    <s v="detailed Oil"/>
    <n v="0"/>
    <m/>
    <m/>
    <m/>
    <m/>
    <s v="bbl"/>
    <m/>
    <m/>
    <s v="Volume from EIA, adjusted to account for the fiscal year"/>
    <n v="0"/>
    <m/>
    <m/>
    <m/>
    <n v="14071894"/>
    <n v="14089915"/>
    <m/>
    <m/>
    <m/>
    <m/>
    <m/>
    <m/>
    <m/>
    <m/>
    <m/>
    <m/>
    <m/>
    <n v="6"/>
    <s v="African Petroleum, Anardarko, Chevron, National Oil Company, Oranto Petroleum, Broadway Peppercoast"/>
    <n v="5"/>
    <m/>
    <m/>
    <m/>
    <m/>
    <n v="58"/>
    <m/>
    <m/>
    <m/>
    <m/>
    <m/>
    <m/>
    <m/>
    <m/>
    <m/>
    <m/>
    <m/>
    <m/>
    <m/>
    <m/>
    <m/>
    <m/>
    <m/>
    <m/>
    <m/>
    <m/>
    <m/>
  </r>
  <r>
    <x v="114"/>
    <n v="2012"/>
    <x v="19"/>
    <s v="Africa"/>
    <m/>
    <s v="Mining"/>
    <s v="yes"/>
    <s v="no"/>
    <s v="no"/>
    <s v="Total Mining"/>
    <s v="Total"/>
    <s v="Total Mining"/>
    <m/>
    <m/>
    <m/>
    <m/>
    <m/>
    <m/>
    <m/>
    <m/>
    <m/>
    <n v="386039338.55077028"/>
    <m/>
    <m/>
    <m/>
    <n v="56961469"/>
    <n v="53429371"/>
    <m/>
    <m/>
    <m/>
    <n v="0.14755353486470826"/>
    <m/>
    <m/>
    <m/>
    <m/>
    <m/>
    <m/>
    <m/>
    <n v="102"/>
    <s v="Western Cluster Limited, Arcelor Mittal Liberia, China Union Investment (Liberia) Bong Mines Company Limited, BHP Biliton (Liberia) Incorporated, Putu Iron Mining Company, Amlib United Minerals Incorporated, Bea Mountain Mining Coporation, Hummingbird Resources Incorporated, Bukon Jedeh Resources Incorporated, Pedsam Mining Limited, Knights Group Incorporated, Souterhn Cross Investment Limited, Tietto Minerals (Liberia) Limited, Jonah Capital (BVI) Limited, Konblo Bumi Incorporated, Investment Development Corporation, BG Minerals (Liberia) Limited, West Peak Iron Limited, Birimian Gold Limited, BCM INternational, Iron Resources Limited, Deveton Mining Company, Sinoe Exploration Limited, Middle Island Resources Liberia Limited, Noya Mining Company, Tiawana Resources Liberia, Planet Mines and Mienrals Limited, Treco Mining Company, Global Minerals Investment LLC, Acquarian Commercial Holdings Inc., Youssef Diamond Mining Company, Bopulu Commercial Ltd, WInestock Development Liberia Corporation, West African Resources (Lib) Corp. Limtied, Archaen Gold, Superior Mineral Resources Incorporated, African Gold Mining Liberia Limited, Mount Belle Resources (Liberia) Limited, Aforo Resources/Indo Gold Ltd, Afro Minerals Incorporated (Kana Hills), Ironbird Resources Incorporated, BAO CHICO Resources Liberia Limited, Ascension Resources Corporation, Jamu Resources Incorporated, Salmec Resources Limited (Belle Resources Limited), THackett Mining Incorporated, Voila International Inc., Liberia Development corporation, Shankil Resources (Liberia) Inc., Royal COmpany, VBG Valle BSGR Liberia, The Diamond Star Plus Inc., Steinbock Mineral (lib) Ltd, Damaka Mining Inc., Sarama Mining Liberia Ltd, Sinoe Mining and Exploration Inc., Consor International (Liberia) ltd, Earthcons Inc., Weajue Hill Mining, Fine Mineral International Ltd, Alex Stewart (Assayers) Ltd, Mining and Geotechnical (Lib) Ltd, Elephant Fall Mining Company, Lofa Mineral Minerals Corporation, Nimba Mining Company, H-10 International Inc., Kidoon Enterprises Inc., Pedra Mining, Comptoire de Diamant, Xin Yuan Transnational Corporation Inc., Handin Resources Investment Corp. Lib. Ltd, Han-Uman Company, White Rock (lib) General Trading Inc., Kbl Liberia Mining Company, Liberia - Mineral Reosurces, Madansu's Incorporated, WDL Corporation, BSD Incorporated, Gryphon Minerals, South East Resources Inc., Golden Mass Trading, Golden Vision Trading, Afric Diam COmpany Inc., Trasn-Atlantic Petroleum and Oil Reosurces, West Africa Gold and Diamond Inc., Diamco Inc., Monnet Global (Liberia) Ltd, Castle Gem (Liberia) Ltd, Massa Investment Corp., Africa Diamond Resources, Gemrock Mining Inc., Nyan Bartee Corporation, Star Diamond Company, Rusalka Group, Abundant Resources Liberia Ltd, Estmor Gold Mining Company, Madas Corporaton, Task International Ltd, SRPI Group African Ltd, Charis Minerals Inc., Fortress (Liberia) Ltd, B-2 (Bereket D. Tesfamariam), small scale miners   "/>
    <n v="51"/>
    <m/>
    <m/>
    <m/>
    <m/>
    <n v="58"/>
    <m/>
    <m/>
    <m/>
    <m/>
    <m/>
    <m/>
    <m/>
    <m/>
    <m/>
    <m/>
    <m/>
    <m/>
    <m/>
    <m/>
    <m/>
    <m/>
    <m/>
    <m/>
    <m/>
    <m/>
    <m/>
  </r>
  <r>
    <x v="114"/>
    <n v="2012"/>
    <x v="19"/>
    <s v="Africa"/>
    <m/>
    <s v="Mining"/>
    <s v="yes"/>
    <s v="no"/>
    <s v="no"/>
    <s v="Cement"/>
    <s v="detailed"/>
    <s v="detailed Mining"/>
    <n v="94600.920547945192"/>
    <m/>
    <m/>
    <m/>
    <m/>
    <s v="t"/>
    <n v="89.5"/>
    <s v="US$/t"/>
    <s v="Volume from USGS Mineral Yearbook 2011, adjusted to account for the fiscal year. Price from USGS Mineral Commodity Summary 2014, and is the average mill price for cement in the US, adjusted to account for the fiscal year."/>
    <n v="8466782.3890410941"/>
    <m/>
    <m/>
    <m/>
    <m/>
    <m/>
    <m/>
    <m/>
    <m/>
    <m/>
    <m/>
    <m/>
    <m/>
    <m/>
    <m/>
    <m/>
    <m/>
    <m/>
    <m/>
    <m/>
    <m/>
    <m/>
    <m/>
    <m/>
    <m/>
    <m/>
    <m/>
    <m/>
    <m/>
    <m/>
    <m/>
    <m/>
    <m/>
    <m/>
    <m/>
    <m/>
    <m/>
    <m/>
    <m/>
    <m/>
    <m/>
    <m/>
    <m/>
    <m/>
    <m/>
    <m/>
  </r>
  <r>
    <x v="114"/>
    <n v="2012"/>
    <x v="19"/>
    <s v="Africa"/>
    <m/>
    <s v="Mining"/>
    <s v="yes"/>
    <s v="no"/>
    <s v="no"/>
    <s v="Diamond"/>
    <s v="detailed"/>
    <s v="detailed Mining"/>
    <n v="38132.983561643836"/>
    <m/>
    <m/>
    <m/>
    <m/>
    <s v="carats"/>
    <n v="317.39999999999998"/>
    <s v="US$/carat"/>
    <s v="Volume from USGS Mineral Yearbook 2012, adjusted to account for the fiscal year. Price from EITI Report, and is based on the reported value and quantity of exports."/>
    <n v="12103408.982465753"/>
    <m/>
    <m/>
    <m/>
    <m/>
    <m/>
    <m/>
    <m/>
    <m/>
    <m/>
    <m/>
    <m/>
    <m/>
    <m/>
    <m/>
    <m/>
    <m/>
    <m/>
    <m/>
    <m/>
    <m/>
    <m/>
    <m/>
    <m/>
    <m/>
    <m/>
    <m/>
    <m/>
    <m/>
    <m/>
    <m/>
    <m/>
    <m/>
    <m/>
    <m/>
    <m/>
    <m/>
    <m/>
    <m/>
    <m/>
    <m/>
    <m/>
    <m/>
    <m/>
    <m/>
    <m/>
  </r>
  <r>
    <x v="114"/>
    <n v="2012"/>
    <x v="19"/>
    <s v="Africa"/>
    <m/>
    <s v="Mining"/>
    <s v="yes"/>
    <s v="no"/>
    <s v="no"/>
    <s v="Gold"/>
    <s v="detailed"/>
    <s v="detailed Mining"/>
    <n v="17480.579248450675"/>
    <m/>
    <m/>
    <m/>
    <m/>
    <s v="toz"/>
    <n v="1402.4667433700449"/>
    <s v="US$/toz"/>
    <s v="Volume from USGS Mineral Yearbook 2012 (adjusted to account for the fiscal year). Price from EITI Report, and is based on the reported value and quantity of exports (and is 86.63% of the  price for gold reported by the World Bank)."/>
    <n v="24515931.050796606"/>
    <m/>
    <m/>
    <m/>
    <m/>
    <m/>
    <m/>
    <m/>
    <m/>
    <m/>
    <m/>
    <m/>
    <m/>
    <m/>
    <m/>
    <m/>
    <m/>
    <m/>
    <m/>
    <m/>
    <m/>
    <m/>
    <m/>
    <m/>
    <m/>
    <m/>
    <m/>
    <m/>
    <m/>
    <m/>
    <m/>
    <m/>
    <m/>
    <m/>
    <m/>
    <m/>
    <m/>
    <m/>
    <m/>
    <m/>
    <m/>
    <m/>
    <m/>
    <m/>
    <m/>
    <m/>
  </r>
  <r>
    <x v="114"/>
    <n v="2012"/>
    <x v="19"/>
    <s v="Africa"/>
    <m/>
    <s v="Mining"/>
    <s v="yes"/>
    <s v="no"/>
    <s v="no"/>
    <s v="Iron ore"/>
    <s v="detailed"/>
    <s v="detailed Mining"/>
    <n v="2291780.8219178086"/>
    <m/>
    <m/>
    <m/>
    <m/>
    <s v="t"/>
    <n v="148.286301369863"/>
    <s v="US$/t"/>
    <s v="Volume from USGS Mineral Yearbook 2012, adjusted to account for the fiscal year. Price from World Bank (Global Economic Monitor (GEM) Commodities database) - defined as: Iron ore (any origin) fines, spot price, c.f.r. China, 62% Fe - adjusted to account for the fiscal year."/>
    <n v="339839701.63257647"/>
    <m/>
    <m/>
    <m/>
    <m/>
    <m/>
    <m/>
    <m/>
    <m/>
    <m/>
    <m/>
    <m/>
    <m/>
    <m/>
    <m/>
    <m/>
    <m/>
    <m/>
    <m/>
    <m/>
    <m/>
    <m/>
    <m/>
    <m/>
    <m/>
    <m/>
    <m/>
    <m/>
    <m/>
    <m/>
    <m/>
    <m/>
    <m/>
    <m/>
    <m/>
    <m/>
    <m/>
    <m/>
    <m/>
    <m/>
    <m/>
    <m/>
    <m/>
    <m/>
    <m/>
    <m/>
  </r>
  <r>
    <x v="114"/>
    <n v="2012"/>
    <x v="19"/>
    <s v="Africa"/>
    <m/>
    <s v="Mining"/>
    <s v="yes"/>
    <s v="no"/>
    <s v="no"/>
    <s v="Sand"/>
    <s v="detailed"/>
    <s v="detailed Mining"/>
    <n v="141530.68493150687"/>
    <m/>
    <m/>
    <m/>
    <m/>
    <s v="t"/>
    <n v="7.65"/>
    <s v="US$/t"/>
    <s v="Volume from USGS Mineral Yearbook 2011, adjusted to account for the fiscal year. Price from USGS Mineral Yearbook 2012, and is the price in the US for construction sand and gravel, adjusted to account for the fiscal year."/>
    <n v="1082709.7397260277"/>
    <m/>
    <m/>
    <m/>
    <m/>
    <m/>
    <m/>
    <m/>
    <m/>
    <m/>
    <m/>
    <m/>
    <m/>
    <m/>
    <m/>
    <m/>
    <m/>
    <m/>
    <m/>
    <m/>
    <m/>
    <m/>
    <m/>
    <m/>
    <m/>
    <m/>
    <m/>
    <m/>
    <m/>
    <m/>
    <m/>
    <m/>
    <m/>
    <m/>
    <m/>
    <m/>
    <m/>
    <m/>
    <m/>
    <m/>
    <m/>
    <m/>
    <m/>
    <m/>
    <m/>
    <m/>
  </r>
  <r>
    <x v="114"/>
    <n v="2012"/>
    <x v="19"/>
    <s v="Africa"/>
    <m/>
    <s v="Mining"/>
    <s v="yes"/>
    <s v="no"/>
    <s v="no"/>
    <s v="Stone (crushed)"/>
    <s v="detailed"/>
    <s v="detailed Mining"/>
    <n v="3492.6027397260273"/>
    <m/>
    <m/>
    <m/>
    <m/>
    <s v="t"/>
    <n v="8.82"/>
    <s v="US$/t"/>
    <s v="Volume from USGS Mineral Yearbook 2011, adjusted to account for the fiscal year. Price from USGS Mineral Yearbook 2012, and is the price in the US for crushed misecellaneous stone, adjusted to account for the fiscal year."/>
    <n v="30804.756164383562"/>
    <m/>
    <m/>
    <m/>
    <m/>
    <m/>
    <m/>
    <m/>
    <m/>
    <m/>
    <m/>
    <m/>
    <m/>
    <m/>
    <m/>
    <m/>
    <m/>
    <m/>
    <m/>
    <m/>
    <m/>
    <m/>
    <m/>
    <m/>
    <m/>
    <m/>
    <m/>
    <m/>
    <m/>
    <m/>
    <m/>
    <m/>
    <m/>
    <m/>
    <m/>
    <m/>
    <m/>
    <m/>
    <m/>
    <m/>
    <m/>
    <m/>
    <m/>
    <m/>
    <m/>
    <m/>
  </r>
  <r>
    <x v="114"/>
    <n v="2012"/>
    <x v="19"/>
    <s v="Africa"/>
    <m/>
    <s v="Other"/>
    <s v="no"/>
    <s v="no"/>
    <s v="no"/>
    <s v="Total Forestry"/>
    <s v="Total"/>
    <s v="Total Other"/>
    <m/>
    <m/>
    <m/>
    <m/>
    <m/>
    <m/>
    <m/>
    <m/>
    <m/>
    <m/>
    <m/>
    <m/>
    <m/>
    <n v="11110035"/>
    <n v="6072631"/>
    <m/>
    <m/>
    <m/>
    <m/>
    <m/>
    <m/>
    <m/>
    <m/>
    <m/>
    <m/>
    <m/>
    <n v="28"/>
    <s v="Tarpeh Timber Co., B&amp;V Timber Company, Bargor &amp; Bargor Enterprise Inc., Alpha Logging &amp; Wood Processing Inc., E J &amp; J Investment Corporation/Mandra Forestry, Liberia Tree and Trading Company/Mandra LTTC Incorporated, Euro Logging Company, Geblo Logging, Atlantic Resources LTA, International Consultant Capital, Ecowood Incorporated, Bassa Logging &amp; Timber, Eco-Timber Liberia Limited, Akewa Group of Companies, K-Mark Indo Liberia Ltd, Thunder Bird International Limited, Sun Yeun Corporation, Liberia Hard Wood Corporation, Forest Venture, Global Logging, Tropical Timber Inc., Universal Forestry Corp, TImber Liberia, Nature Orientated, Cavalla Logging, Frank Brooks Ltd, Quantum Resource, Buchanan Renewable Energy, Pit Sawyers (consolidated)"/>
    <n v="14"/>
    <m/>
    <m/>
    <m/>
    <m/>
    <n v="58"/>
    <m/>
    <m/>
    <m/>
    <m/>
    <m/>
    <m/>
    <m/>
    <m/>
    <m/>
    <m/>
    <m/>
    <m/>
    <m/>
    <m/>
    <m/>
    <m/>
    <m/>
    <m/>
    <m/>
    <m/>
    <m/>
  </r>
  <r>
    <x v="114"/>
    <n v="2012"/>
    <x v="19"/>
    <s v="Africa"/>
    <m/>
    <s v="Other"/>
    <s v="no"/>
    <s v="no"/>
    <s v="no"/>
    <s v="Round Logs"/>
    <s v="detailed"/>
    <s v="detailed Other"/>
    <n v="135741"/>
    <m/>
    <m/>
    <m/>
    <m/>
    <s v="m³"/>
    <m/>
    <m/>
    <s v="Volume from EITI Report"/>
    <m/>
    <m/>
    <m/>
    <m/>
    <m/>
    <m/>
    <m/>
    <m/>
    <m/>
    <m/>
    <m/>
    <m/>
    <m/>
    <m/>
    <m/>
    <m/>
    <m/>
    <m/>
    <m/>
    <m/>
    <m/>
    <m/>
    <m/>
    <m/>
    <n v="23"/>
    <m/>
    <m/>
    <m/>
    <m/>
    <m/>
    <m/>
    <m/>
    <m/>
    <m/>
    <m/>
    <m/>
    <m/>
    <m/>
    <m/>
    <m/>
    <m/>
    <m/>
    <m/>
    <m/>
    <m/>
    <m/>
  </r>
  <r>
    <x v="114"/>
    <n v="2012"/>
    <x v="19"/>
    <s v="Africa"/>
    <m/>
    <s v="Other"/>
    <s v="no"/>
    <s v="no"/>
    <s v="no"/>
    <s v="Sawn Timber"/>
    <s v="detailed"/>
    <s v="detailed Other"/>
    <n v="247453"/>
    <m/>
    <m/>
    <m/>
    <m/>
    <s v="pes."/>
    <m/>
    <m/>
    <s v="Volume from EITI Report"/>
    <m/>
    <m/>
    <m/>
    <m/>
    <m/>
    <m/>
    <m/>
    <m/>
    <m/>
    <m/>
    <m/>
    <m/>
    <m/>
    <m/>
    <m/>
    <m/>
    <m/>
    <m/>
    <m/>
    <m/>
    <m/>
    <m/>
    <m/>
    <m/>
    <n v="23"/>
    <m/>
    <m/>
    <m/>
    <m/>
    <m/>
    <m/>
    <m/>
    <m/>
    <m/>
    <m/>
    <m/>
    <m/>
    <m/>
    <m/>
    <m/>
    <m/>
    <m/>
    <m/>
    <m/>
    <m/>
    <m/>
  </r>
  <r>
    <x v="114"/>
    <n v="2012"/>
    <x v="19"/>
    <s v="Africa"/>
    <m/>
    <s v="Other"/>
    <s v="no"/>
    <s v="no"/>
    <s v="no"/>
    <s v="Total Agriculture"/>
    <s v="Total"/>
    <s v="Total Other"/>
    <m/>
    <m/>
    <m/>
    <m/>
    <m/>
    <m/>
    <m/>
    <m/>
    <m/>
    <m/>
    <m/>
    <m/>
    <m/>
    <n v="28003258"/>
    <n v="27217903"/>
    <m/>
    <m/>
    <m/>
    <m/>
    <m/>
    <m/>
    <m/>
    <m/>
    <m/>
    <m/>
    <m/>
    <n v="13"/>
    <s v="Salala Rubber Company, Liberia Agricultural Company, Cavalla Rubber Corporation, Firestone Liberia, The Liberia Company (LIBCO-COCOPA), Sime Darby, LIBINC Oil Palm Inc., Morris American Rubber Company, Liberia Forest Products Incorporated, Golden Veroleum, Lee Group of Enterprises, Equitorial Palm Oil"/>
    <n v="10"/>
    <m/>
    <m/>
    <m/>
    <m/>
    <n v="58"/>
    <m/>
    <m/>
    <m/>
    <m/>
    <m/>
    <m/>
    <m/>
    <m/>
    <m/>
    <m/>
    <m/>
    <m/>
    <m/>
    <m/>
    <m/>
    <m/>
    <m/>
    <m/>
    <m/>
    <m/>
    <m/>
  </r>
  <r>
    <x v="114"/>
    <n v="2012"/>
    <x v="19"/>
    <s v="Africa"/>
    <m/>
    <s v="Other"/>
    <s v="no"/>
    <s v="no"/>
    <s v="no"/>
    <s v="Cocoa"/>
    <s v="detailed"/>
    <s v="detailed Other"/>
    <n v="12589"/>
    <m/>
    <m/>
    <m/>
    <m/>
    <s v="t"/>
    <m/>
    <m/>
    <s v="Volume from EITI Report"/>
    <m/>
    <m/>
    <m/>
    <m/>
    <m/>
    <m/>
    <m/>
    <m/>
    <m/>
    <m/>
    <m/>
    <m/>
    <m/>
    <m/>
    <m/>
    <m/>
    <m/>
    <m/>
    <m/>
    <m/>
    <m/>
    <m/>
    <m/>
    <m/>
    <n v="23"/>
    <m/>
    <m/>
    <m/>
    <m/>
    <m/>
    <m/>
    <m/>
    <m/>
    <m/>
    <m/>
    <m/>
    <m/>
    <m/>
    <m/>
    <m/>
    <m/>
    <m/>
    <m/>
    <m/>
    <m/>
    <m/>
  </r>
  <r>
    <x v="114"/>
    <n v="2012"/>
    <x v="19"/>
    <s v="Africa"/>
    <m/>
    <s v="Other"/>
    <s v="no"/>
    <s v="no"/>
    <s v="no"/>
    <s v="Coffee"/>
    <s v="detailed"/>
    <s v="detailed Other"/>
    <n v="162"/>
    <m/>
    <m/>
    <m/>
    <m/>
    <s v="t"/>
    <m/>
    <m/>
    <s v="Volume from EITI Report"/>
    <m/>
    <m/>
    <m/>
    <m/>
    <m/>
    <m/>
    <m/>
    <m/>
    <m/>
    <m/>
    <m/>
    <m/>
    <m/>
    <m/>
    <m/>
    <m/>
    <m/>
    <m/>
    <m/>
    <m/>
    <m/>
    <m/>
    <m/>
    <m/>
    <n v="23"/>
    <m/>
    <m/>
    <m/>
    <m/>
    <m/>
    <m/>
    <m/>
    <m/>
    <m/>
    <m/>
    <m/>
    <m/>
    <m/>
    <m/>
    <m/>
    <m/>
    <m/>
    <m/>
    <m/>
    <m/>
    <m/>
  </r>
  <r>
    <x v="114"/>
    <n v="2012"/>
    <x v="19"/>
    <s v="Africa"/>
    <m/>
    <s v="Other"/>
    <s v="no"/>
    <s v="no"/>
    <s v="no"/>
    <s v="Rubber"/>
    <s v="detailed"/>
    <s v="detailed Other"/>
    <n v="77959"/>
    <m/>
    <m/>
    <m/>
    <m/>
    <s v="t"/>
    <m/>
    <m/>
    <s v="Volume from EITI Report"/>
    <m/>
    <m/>
    <m/>
    <m/>
    <m/>
    <m/>
    <m/>
    <m/>
    <m/>
    <m/>
    <m/>
    <m/>
    <m/>
    <m/>
    <m/>
    <m/>
    <m/>
    <m/>
    <m/>
    <m/>
    <m/>
    <m/>
    <m/>
    <m/>
    <n v="23"/>
    <m/>
    <m/>
    <m/>
    <m/>
    <m/>
    <m/>
    <m/>
    <m/>
    <m/>
    <m/>
    <m/>
    <m/>
    <m/>
    <m/>
    <m/>
    <m/>
    <m/>
    <m/>
    <m/>
    <m/>
    <m/>
  </r>
  <r>
    <x v="115"/>
    <n v="2007"/>
    <x v="20"/>
    <s v="Africa"/>
    <s v="http://www.eiti-madagascar.org/"/>
    <s v="Mining"/>
    <s v="yes"/>
    <s v="no"/>
    <s v="no"/>
    <s v="Total"/>
    <s v="Total"/>
    <s v="Total Mining"/>
    <m/>
    <m/>
    <m/>
    <m/>
    <m/>
    <m/>
    <m/>
    <m/>
    <m/>
    <n v="455689038"/>
    <s v="Profits/Taxes, Royalties, Dividends, Licenses and concessions, Other significant benefits to government"/>
    <s v="Does not include payments made in-kind"/>
    <m/>
    <n v="48300000"/>
    <n v="48100000"/>
    <m/>
    <m/>
    <m/>
    <n v="0.1059933331115154"/>
    <m/>
    <n v="1823.41"/>
    <s v="Disaggregated by revenue stream"/>
    <m/>
    <m/>
    <m/>
    <m/>
    <m/>
    <m/>
    <n v="3"/>
    <s v="May 2011"/>
    <d v="2014-10-10T00:00:00"/>
    <s v="Ernst &amp; Young"/>
    <s v="http://eiti.org/files/Madagascar%202007-2008-2009-%28Jan-June2010%29%20EITI%20Report.pdf"/>
    <m/>
    <s v="The 2007-2009 EITI Report does not disaggregate revenues by year - it's not clear where the payment totals on eiti.org come from."/>
    <m/>
    <m/>
    <m/>
    <m/>
    <m/>
    <m/>
    <m/>
    <m/>
    <m/>
    <m/>
    <m/>
    <m/>
    <m/>
    <m/>
    <m/>
    <m/>
    <m/>
    <m/>
    <m/>
    <m/>
  </r>
  <r>
    <x v="115"/>
    <n v="2007"/>
    <x v="20"/>
    <s v="Africa"/>
    <m/>
    <s v="Mining"/>
    <s v="yes"/>
    <s v="no"/>
    <s v="no"/>
    <s v="Chromium"/>
    <s v="detailed"/>
    <s v="detailed Mining"/>
    <n v="54698"/>
    <m/>
    <m/>
    <m/>
    <m/>
    <s v="t"/>
    <n v="8331"/>
    <s v="US$/t"/>
    <s v="Volume from USGS Mineral Yearbook 2011. Price from USGS Mineral Commodity Summary 2012, and is the price for chromium metal in the US."/>
    <n v="455689038"/>
    <m/>
    <m/>
    <m/>
    <m/>
    <m/>
    <m/>
    <m/>
    <m/>
    <m/>
    <m/>
    <m/>
    <m/>
    <m/>
    <m/>
    <m/>
    <m/>
    <m/>
    <m/>
    <m/>
    <m/>
    <m/>
    <m/>
    <m/>
    <m/>
    <m/>
    <m/>
    <m/>
    <m/>
    <m/>
    <m/>
    <m/>
    <m/>
    <m/>
    <m/>
    <m/>
    <m/>
    <m/>
    <m/>
    <m/>
    <m/>
    <m/>
    <m/>
    <m/>
    <m/>
    <m/>
  </r>
  <r>
    <x v="115"/>
    <n v="2007"/>
    <x v="20"/>
    <s v="Africa"/>
    <m/>
    <s v="Mining"/>
    <s v="yes"/>
    <s v="no"/>
    <s v="no"/>
    <s v="Nickel"/>
    <s v="detailed"/>
    <s v="detailed Mining"/>
    <n v="0"/>
    <m/>
    <m/>
    <m/>
    <m/>
    <s v="t"/>
    <m/>
    <m/>
    <s v="Volume from USGS Mineral Yearbook 2011"/>
    <n v="0"/>
    <m/>
    <m/>
    <m/>
    <m/>
    <m/>
    <m/>
    <m/>
    <m/>
    <m/>
    <m/>
    <m/>
    <m/>
    <m/>
    <m/>
    <m/>
    <m/>
    <m/>
    <m/>
    <m/>
    <m/>
    <m/>
    <m/>
    <m/>
    <m/>
    <m/>
    <m/>
    <m/>
    <m/>
    <m/>
    <m/>
    <m/>
    <m/>
    <m/>
    <m/>
    <m/>
    <m/>
    <m/>
    <m/>
    <m/>
    <m/>
    <m/>
    <m/>
    <m/>
    <m/>
    <m/>
  </r>
  <r>
    <x v="116"/>
    <n v="2008"/>
    <x v="20"/>
    <s v="Africa"/>
    <s v="http://www.eiti-madagascar.org/"/>
    <s v="Mining"/>
    <s v="yes"/>
    <s v="no"/>
    <s v="no"/>
    <s v="Total"/>
    <s v="Total"/>
    <s v="Total Mining"/>
    <m/>
    <m/>
    <m/>
    <m/>
    <m/>
    <m/>
    <m/>
    <m/>
    <m/>
    <n v="1247526814"/>
    <s v="Profits/Taxes, Royalties, Dividends, Licenses and concessions, Other significant benefits to government"/>
    <s v="Does not include payments made in-kind"/>
    <m/>
    <n v="55300000"/>
    <n v="54900000"/>
    <m/>
    <m/>
    <m/>
    <n v="4.4327704526597858E-2"/>
    <m/>
    <n v="1669.76"/>
    <s v="Disaggregated by revenue stream"/>
    <m/>
    <m/>
    <m/>
    <m/>
    <m/>
    <m/>
    <n v="3"/>
    <s v="May 2011"/>
    <d v="2014-10-10T00:00:00"/>
    <s v="Ernst &amp; Young"/>
    <s v="http://eiti.org/files/Madagascar%202007-2008-2009-%28Jan-June2010%29%20EITI%20Report_0.pdf"/>
    <m/>
    <s v="The 2007-2009 EITI Report does not disaggregate revenues by year - it's not clear where the payment totals on eiti.org come from."/>
    <m/>
    <m/>
    <m/>
    <m/>
    <m/>
    <m/>
    <m/>
    <m/>
    <m/>
    <m/>
    <m/>
    <m/>
    <m/>
    <m/>
    <m/>
    <m/>
    <m/>
    <m/>
    <m/>
    <m/>
  </r>
  <r>
    <x v="116"/>
    <n v="2008"/>
    <x v="20"/>
    <s v="Africa"/>
    <m/>
    <s v="Mining"/>
    <s v="yes"/>
    <s v="no"/>
    <s v="no"/>
    <s v="Chromium"/>
    <s v="detailed"/>
    <s v="detailed Mining"/>
    <n v="112613"/>
    <m/>
    <m/>
    <m/>
    <m/>
    <s v="t"/>
    <n v="11078"/>
    <s v="US$/t"/>
    <s v="Volume from USGS Mineral Yearbook 2012. Price from USGS Mineral Commodity Summary 2013, and is the price for chromium metal in the US."/>
    <n v="1247526814"/>
    <m/>
    <m/>
    <m/>
    <m/>
    <m/>
    <m/>
    <m/>
    <m/>
    <m/>
    <m/>
    <m/>
    <m/>
    <m/>
    <m/>
    <m/>
    <m/>
    <m/>
    <m/>
    <m/>
    <m/>
    <m/>
    <m/>
    <m/>
    <m/>
    <m/>
    <m/>
    <m/>
    <m/>
    <m/>
    <m/>
    <m/>
    <m/>
    <m/>
    <m/>
    <m/>
    <m/>
    <m/>
    <m/>
    <m/>
    <m/>
    <m/>
    <m/>
    <m/>
    <m/>
    <m/>
  </r>
  <r>
    <x v="117"/>
    <n v="2009"/>
    <x v="20"/>
    <s v="Africa"/>
    <s v="http://www.eiti-madagascar.org/"/>
    <s v="Mining"/>
    <s v="yes"/>
    <s v="no"/>
    <s v="no"/>
    <s v="Total"/>
    <s v="Total"/>
    <s v="Total Mining"/>
    <m/>
    <m/>
    <m/>
    <m/>
    <m/>
    <m/>
    <m/>
    <m/>
    <m/>
    <n v="1327848000"/>
    <s v="Profits/Taxes, Royalties, Dividends, Licenses and concessions, Other significant benefits to government"/>
    <s v="Does not include payments made in-kind"/>
    <m/>
    <n v="20900000"/>
    <n v="21000000"/>
    <m/>
    <m/>
    <m/>
    <n v="1.5739753345262411E-2"/>
    <m/>
    <n v="1932.2"/>
    <s v="Disaggregated by revenue stream"/>
    <m/>
    <m/>
    <m/>
    <m/>
    <m/>
    <m/>
    <n v="3"/>
    <s v="May 2011"/>
    <d v="2014-10-10T00:00:00"/>
    <s v="Ernst &amp; Young"/>
    <s v="http://eiti.org/files/Madagascar%202007-2008-2009-%28Jan-June2010%29%20EITI%20Report_1.pdf"/>
    <m/>
    <s v="The 2007-2009 EITI Report does not disaggregate revenues by year - it's not clear where the payment totals on eiti.org come from."/>
    <m/>
    <m/>
    <m/>
    <m/>
    <m/>
    <m/>
    <m/>
    <m/>
    <m/>
    <m/>
    <m/>
    <m/>
    <m/>
    <m/>
    <m/>
    <m/>
    <m/>
    <m/>
    <m/>
    <m/>
  </r>
  <r>
    <x v="117"/>
    <n v="2009"/>
    <x v="20"/>
    <s v="Africa"/>
    <m/>
    <s v="Mining"/>
    <s v="yes"/>
    <s v="no"/>
    <s v="no"/>
    <s v="Chromium"/>
    <s v="detailed"/>
    <s v="detailed Mining"/>
    <n v="133000"/>
    <m/>
    <m/>
    <m/>
    <m/>
    <s v="t"/>
    <n v="9896"/>
    <s v="US$/t"/>
    <s v="Volume from USGS Mineral Yearbook 2012. Price from USGS Mineral Commodity Summary 2013, and is the price for chromium metal in the US."/>
    <n v="1316168000"/>
    <m/>
    <m/>
    <m/>
    <m/>
    <m/>
    <m/>
    <m/>
    <m/>
    <m/>
    <m/>
    <m/>
    <m/>
    <m/>
    <m/>
    <m/>
    <m/>
    <m/>
    <m/>
    <m/>
    <m/>
    <m/>
    <m/>
    <m/>
    <m/>
    <m/>
    <m/>
    <m/>
    <m/>
    <m/>
    <m/>
    <m/>
    <m/>
    <m/>
    <m/>
    <m/>
    <m/>
    <m/>
    <m/>
    <m/>
    <m/>
    <m/>
    <m/>
    <m/>
    <m/>
    <m/>
  </r>
  <r>
    <x v="117"/>
    <n v="2009"/>
    <x v="20"/>
    <s v="Africa"/>
    <m/>
    <s v="Mining"/>
    <s v="yes"/>
    <s v="no"/>
    <s v="no"/>
    <s v="Ilmenite concentrate"/>
    <s v="detailed"/>
    <s v="detailed Mining"/>
    <n v="160000"/>
    <m/>
    <m/>
    <m/>
    <m/>
    <s v="t"/>
    <n v="73"/>
    <s v="US$/t"/>
    <s v="Volume from USGS Mineral Yearbook 2012. Price from USGS Mineral Commodity Summary 2013, and is the f.o.b. price in Australia for a bulk product with a minimum TiO2 content of 54%."/>
    <n v="11680000"/>
    <m/>
    <m/>
    <m/>
    <m/>
    <m/>
    <m/>
    <m/>
    <m/>
    <m/>
    <m/>
    <m/>
    <m/>
    <m/>
    <m/>
    <m/>
    <m/>
    <m/>
    <m/>
    <m/>
    <m/>
    <m/>
    <m/>
    <m/>
    <m/>
    <m/>
    <m/>
    <m/>
    <m/>
    <m/>
    <m/>
    <m/>
    <m/>
    <m/>
    <m/>
    <m/>
    <m/>
    <m/>
    <m/>
    <m/>
    <m/>
    <m/>
    <m/>
    <m/>
    <m/>
    <m/>
  </r>
  <r>
    <x v="118"/>
    <n v="2010"/>
    <x v="20"/>
    <s v="Africa"/>
    <m/>
    <s v="Mining"/>
    <s v="yes"/>
    <s v="no"/>
    <s v="no"/>
    <s v="Total"/>
    <s v="Total"/>
    <s v="Total Mining"/>
    <m/>
    <m/>
    <m/>
    <m/>
    <m/>
    <m/>
    <m/>
    <m/>
    <m/>
    <n v="2188697379.9664097"/>
    <m/>
    <m/>
    <m/>
    <n v="160705175.417741"/>
    <n v="151591513.6386776"/>
    <m/>
    <m/>
    <m/>
    <n v="7.3425032116686398E-2"/>
    <s v="Malagasy Ariary"/>
    <n v="2090.46"/>
    <s v="Disaggregated by revenue stream, Disaggregated by company, Disaggregated by project"/>
    <s v="Voluntary social payments (but specific volumes are not given)"/>
    <n v="31041.01489624293"/>
    <m/>
    <m/>
    <n v="9"/>
    <s v="Projet Ambatovy (Ambatovy Minerals S.A et Dynatec Minerals S.A)/ Holcim S.A/ Qit Madagascar Minerals / Wisco Madagascar / Groupe Pan African Mining (PAM Madagascar, PAM Sakoa, PAM Atomique) /HOLCIM SA/ Mainland Mining Limited/ Gold Sand / Madagascar Oil."/>
    <n v="9"/>
    <s v="September 2012"/>
    <d v="2014-11-11T00:00:00"/>
    <s v="Ernst &amp; Young"/>
    <s v="http://eiti.org/files/Madagascar-2010-EITI-Report.pdf"/>
    <s v="6, 29-30, 39-40"/>
    <s v="The report includes a US$ 100 million payment made by the Chinese company Wisco for the iron ore exploration permit in the Soalala region. Also included in EITI Report totals are payments made by companies to subnational governments and voluntary social payments (including the value of voluntary payments made in kind). In addition to the 9 companies required to report, 3 companies voluntarily submitted payment figures. Total Received by Govt includes receipts that fell below the materiality threshold (17.6 billion MGA, see p.29-30). The eiti.org payment/revenue totals were taken from Annex 6.1, where totals were given in USD; however, these totals don't appear to match the totals given in MGA elsewhere in the report. The figures given here are MGA converted to USD."/>
    <m/>
    <m/>
    <m/>
    <m/>
    <m/>
    <m/>
    <m/>
    <m/>
    <m/>
    <m/>
    <m/>
    <m/>
    <m/>
    <m/>
    <m/>
    <m/>
    <m/>
    <m/>
    <m/>
    <m/>
  </r>
  <r>
    <x v="118"/>
    <n v="2010"/>
    <x v="20"/>
    <s v="Africa"/>
    <m/>
    <s v="Mining"/>
    <s v="yes"/>
    <s v="no"/>
    <s v="no"/>
    <s v="Cement"/>
    <s v="detailed"/>
    <s v="detailed Mining"/>
    <n v="410000"/>
    <m/>
    <m/>
    <m/>
    <m/>
    <s v="t"/>
    <n v="92"/>
    <s v="US$/t"/>
    <s v="Volume from USGS Mineral Yearbook 2012. Price from USGS Mineral Commodity Summary 2014, and is the average mill price for cement in the US."/>
    <n v="37720000"/>
    <m/>
    <m/>
    <m/>
    <m/>
    <m/>
    <m/>
    <m/>
    <m/>
    <m/>
    <m/>
    <m/>
    <m/>
    <m/>
    <m/>
    <m/>
    <m/>
    <m/>
    <m/>
    <m/>
    <m/>
    <m/>
    <m/>
    <m/>
    <m/>
    <m/>
    <m/>
    <m/>
    <m/>
    <m/>
    <m/>
    <m/>
    <m/>
    <m/>
    <m/>
    <m/>
    <m/>
    <m/>
    <m/>
    <m/>
    <m/>
    <m/>
    <m/>
    <m/>
    <m/>
    <m/>
  </r>
  <r>
    <x v="118"/>
    <n v="2010"/>
    <x v="20"/>
    <s v="Africa"/>
    <m/>
    <s v="Mining"/>
    <s v="yes"/>
    <s v="no"/>
    <s v="no"/>
    <s v="Chromium"/>
    <s v="detailed"/>
    <s v="detailed Mining"/>
    <n v="134500"/>
    <m/>
    <m/>
    <m/>
    <m/>
    <s v="t"/>
    <n v="11322"/>
    <s v="US$/t"/>
    <s v="Volume from USGS Mineral Yearbook 2012. Price from USGS Mineral Commodity Summary 2013, and is the price for chromium metal in the US."/>
    <n v="1522809000"/>
    <m/>
    <m/>
    <m/>
    <m/>
    <m/>
    <m/>
    <m/>
    <m/>
    <m/>
    <m/>
    <m/>
    <m/>
    <m/>
    <m/>
    <m/>
    <m/>
    <m/>
    <m/>
    <m/>
    <m/>
    <m/>
    <m/>
    <m/>
    <m/>
    <m/>
    <m/>
    <m/>
    <m/>
    <m/>
    <m/>
    <m/>
    <m/>
    <m/>
    <m/>
    <m/>
    <m/>
    <m/>
    <m/>
    <m/>
    <m/>
    <m/>
    <m/>
    <m/>
    <m/>
    <m/>
  </r>
  <r>
    <x v="118"/>
    <n v="2010"/>
    <x v="20"/>
    <s v="Africa"/>
    <m/>
    <s v="Mining"/>
    <s v="yes"/>
    <s v="no"/>
    <s v="no"/>
    <s v="Cobalt"/>
    <s v="detailed"/>
    <s v="detailed Mining"/>
    <n v="165"/>
    <m/>
    <n v="5600"/>
    <m/>
    <m/>
    <s v="t"/>
    <n v="45966.419160831763"/>
    <s v="US$/t"/>
    <s v="Volume from USGS Mineral Yearbook 2012. Price from USGS Mineral Yearbook 2012, and is the average U.S. spot price for minimum 99.8% cobalt cathode reported by Platts Metals Week"/>
    <n v="7584459.1615372412"/>
    <m/>
    <m/>
    <m/>
    <m/>
    <m/>
    <m/>
    <m/>
    <m/>
    <m/>
    <m/>
    <m/>
    <m/>
    <m/>
    <m/>
    <m/>
    <m/>
    <m/>
    <m/>
    <m/>
    <m/>
    <m/>
    <m/>
    <m/>
    <m/>
    <m/>
    <m/>
    <m/>
    <m/>
    <m/>
    <m/>
    <m/>
    <m/>
    <m/>
    <m/>
    <m/>
    <m/>
    <m/>
    <m/>
    <m/>
    <m/>
    <m/>
    <m/>
    <m/>
    <m/>
    <m/>
  </r>
  <r>
    <x v="118"/>
    <n v="2010"/>
    <x v="20"/>
    <s v="Africa"/>
    <m/>
    <s v="Mining"/>
    <s v="yes"/>
    <s v="no"/>
    <s v="no"/>
    <s v="Gold"/>
    <s v="detailed"/>
    <s v="detailed Mining"/>
    <n v="964.52229379518008"/>
    <m/>
    <m/>
    <m/>
    <m/>
    <s v="toz"/>
    <n v="1224.66425"/>
    <s v="US$/toz"/>
    <s v="Volume from USGS Mineral Yearbook 2012. Price from World Bank (Global Economic Monitor (GEM) Commodities database), and is defined as: Gold (UK), 99.5% fine, London afternoon fixing, average of daily rates."/>
    <n v="1181215.9715389539"/>
    <m/>
    <m/>
    <m/>
    <m/>
    <m/>
    <m/>
    <m/>
    <m/>
    <m/>
    <m/>
    <m/>
    <m/>
    <m/>
    <m/>
    <m/>
    <m/>
    <m/>
    <m/>
    <m/>
    <m/>
    <m/>
    <m/>
    <m/>
    <m/>
    <m/>
    <m/>
    <m/>
    <m/>
    <m/>
    <m/>
    <m/>
    <m/>
    <m/>
    <m/>
    <m/>
    <m/>
    <m/>
    <m/>
    <m/>
    <m/>
    <m/>
    <m/>
    <m/>
    <m/>
    <m/>
  </r>
  <r>
    <x v="118"/>
    <n v="2010"/>
    <x v="20"/>
    <s v="Africa"/>
    <m/>
    <s v="Mining"/>
    <s v="yes"/>
    <s v="no"/>
    <s v="no"/>
    <s v="Ilmenite concentrate"/>
    <s v="detailed"/>
    <s v="detailed Mining"/>
    <n v="287000"/>
    <m/>
    <m/>
    <m/>
    <m/>
    <s v="t"/>
    <n v="75"/>
    <s v="US$/t"/>
    <s v="Volume from USGS Mineral Yearbook 2012. Price from USGS Mineral Commodity Summary 2013, and is the f.o.b. price in Australia for a bulk product with a minimum TiO2 content of 54%."/>
    <n v="21525000"/>
    <m/>
    <m/>
    <m/>
    <m/>
    <m/>
    <m/>
    <m/>
    <m/>
    <m/>
    <m/>
    <m/>
    <m/>
    <m/>
    <m/>
    <m/>
    <m/>
    <m/>
    <m/>
    <m/>
    <m/>
    <m/>
    <m/>
    <m/>
    <m/>
    <m/>
    <m/>
    <m/>
    <m/>
    <m/>
    <m/>
    <m/>
    <m/>
    <m/>
    <m/>
    <m/>
    <m/>
    <m/>
    <m/>
    <m/>
    <m/>
    <m/>
    <m/>
    <m/>
    <m/>
    <m/>
  </r>
  <r>
    <x v="118"/>
    <n v="2010"/>
    <x v="20"/>
    <s v="Africa"/>
    <m/>
    <s v="Mining"/>
    <s v="yes"/>
    <s v="no"/>
    <s v="no"/>
    <s v="Nickel (nickel content of mine output)"/>
    <s v="detailed"/>
    <s v="detailed Mining"/>
    <n v="2000"/>
    <m/>
    <n v="60000"/>
    <m/>
    <m/>
    <s v="t"/>
    <n v="21808.852416666701"/>
    <s v="US$/t"/>
    <s v="Volume from USGS Mineral Yearbook 2012. Price from World Bank (Global Economic Monitor (GEM) Commodities database), and is defined as: Nickel (LME), cathodes, minimum 99.8% purity, settlement price beginning 2005; previously cash price."/>
    <n v="43617704.833333403"/>
    <m/>
    <m/>
    <m/>
    <m/>
    <m/>
    <m/>
    <m/>
    <m/>
    <m/>
    <m/>
    <m/>
    <m/>
    <m/>
    <m/>
    <m/>
    <m/>
    <m/>
    <m/>
    <m/>
    <m/>
    <m/>
    <m/>
    <m/>
    <m/>
    <m/>
    <m/>
    <m/>
    <m/>
    <m/>
    <m/>
    <m/>
    <m/>
    <m/>
    <m/>
    <m/>
    <m/>
    <m/>
    <m/>
    <m/>
    <m/>
    <m/>
    <m/>
    <m/>
    <m/>
    <m/>
  </r>
  <r>
    <x v="118"/>
    <n v="2010"/>
    <x v="20"/>
    <s v="Africa"/>
    <m/>
    <s v="Mining"/>
    <s v="yes"/>
    <s v="no"/>
    <s v="no"/>
    <s v="Zirconium concentrate"/>
    <s v="detailed"/>
    <s v="detailed Mining"/>
    <n v="7490"/>
    <m/>
    <m/>
    <m/>
    <m/>
    <s v="t"/>
    <n v="74000"/>
    <s v="US$/t"/>
    <s v="Volume from USGS Mineral Yearbook 2012. Price from USGS Mineral Commodity Summary 2013, and is the price of unwrought zirconium imports in the US."/>
    <n v="554260000"/>
    <m/>
    <m/>
    <m/>
    <m/>
    <m/>
    <m/>
    <m/>
    <m/>
    <m/>
    <m/>
    <m/>
    <m/>
    <m/>
    <m/>
    <m/>
    <m/>
    <m/>
    <m/>
    <m/>
    <m/>
    <m/>
    <m/>
    <m/>
    <m/>
    <m/>
    <m/>
    <m/>
    <m/>
    <m/>
    <m/>
    <m/>
    <m/>
    <m/>
    <m/>
    <m/>
    <m/>
    <m/>
    <m/>
    <m/>
    <m/>
    <m/>
    <m/>
    <m/>
    <m/>
    <m/>
  </r>
  <r>
    <x v="119"/>
    <n v="2011"/>
    <x v="20"/>
    <s v="Africa"/>
    <m/>
    <s v="Mining"/>
    <s v="yes"/>
    <s v="no"/>
    <s v="no"/>
    <s v="Total"/>
    <s v="Total"/>
    <s v="Total Mining"/>
    <m/>
    <m/>
    <m/>
    <m/>
    <m/>
    <m/>
    <m/>
    <m/>
    <m/>
    <n v="2066182713.6794395"/>
    <m/>
    <m/>
    <m/>
    <n v="87349503.051701158"/>
    <n v="83461011.17475681"/>
    <m/>
    <m/>
    <m/>
    <n v="4.227578832858879E-2"/>
    <s v="Malagasy Ariary"/>
    <n v="2025.1"/>
    <s v="Disaggregated by revenue stream, Disaggregated by company"/>
    <s v="Voluntary social payments (but specific volumes are not given)"/>
    <n v="112736.1301762876"/>
    <m/>
    <m/>
    <n v="37"/>
    <s v="PROJET AMBATOVY, HOLCIM MADAGASCAR S.A., QIT MADAGASCAR MINERALS S.A., GROUPE PAM, KRAOMA S.A., TANTALUM RARE EARTH (MALAGASY) S.A.R.L.U, MADAGASCAR OIL, MADAGASCAR CONSOLIDATED MINING S.A., MAINLAND MINING LTD S.A.R.L.U, GOLD SAND S.A.R.L., ZISY DAVID MICHAEL, MPUMALANGA MINING RESOURCES S.A.U, MADAGASCAR CHROMIUM COMPANY LTD S.A.R.L.U, TOTAL EP1, NICOH-ENERMAD, MADA-AUST S.A.R.L., GALLOIS ETABLISSEMENT, MADAGASCAR WISCO GUANGXIN KAM WAH RESSOURCES S.A.U., CALIBRA RESOURCES &amp; ENGINEERS MADAGASCAR S.A.R.L.U, CALIBRA RESOURCES &amp; ENGINEERS MADAGASCAR S.A.R.L.U, TULLOW, MADAGASCAR INTERNATIONAL TAK MINING S.A.R.L., MADAGASCAR MINING RESOURCES LTD S.A.R.L., NOVA RESOURCES S.A.R.L.U, STERLING, LABRADOR MADAGASCAR, WILTON PETROLEUM, URAMAD S.A, AMICOH, COAL MINING MADAGASCAR S.A.R.L., ACCES MADAGASCAR S.A.R.L., ACCRINGTON MINERALS S.A., ROC OIL / SAPETRO, MINVEST MADAGASCAR S.A.U., MINERAL PRODUCTS INTERNATIONAL GROUP S.A.R.L., TOLIARA SANDS S.A.R.L., RAKOTOMALALA Herindrainy Olivier, GROUPE EXXON MOBIL."/>
    <n v="34"/>
    <s v="September 2013"/>
    <d v="2014-11-12T00:00:00"/>
    <s v="Ernst &amp; Young"/>
    <s v="http://eiti.org/files/Rapport%20FINAL%20EITI%20Madagascar%20-%20Exercice%202011%20-%20FR_0.pdf"/>
    <s v="3-4, 43, 63"/>
    <s v="Exchange rate is World Bank average. Eiti.org totals include only reconciled flows (&quot;Group A&quot;) and use the USD value given in the report. Totals here are converted from MGA amounts. Total Received by Govt includes revenues from smaller companies reported unilaterally by govt (see figures for Groups B and C on p.4). Government and company totals in EITI Report include payments made by companies to local governments and voluntary social payments (&quot;dons&quot;) made in cash and kind. Total In-Kind Payment Value is the value of in-kind donations, which are already included in revenue totals. The report also details subnational transfers made by central govt (BCMM) to communes/regions totalling 2 404 744 992 MGA, and payments owed to communes by BCMM totalling 573 503 006.69 MGA (p.5-6); these transfers are not included in revenue/payment figures. 3 companies did not report (ACCRINGTON MINERALS SA, ACCESS Madagascar, and GROUPE EXXON MOBIL); their payments were reported unilaterally by govt and included in Total Received by Govt."/>
    <m/>
    <m/>
    <m/>
    <m/>
    <m/>
    <m/>
    <m/>
    <m/>
    <m/>
    <m/>
    <m/>
    <m/>
    <m/>
    <m/>
    <m/>
    <m/>
    <m/>
    <m/>
    <m/>
    <m/>
  </r>
  <r>
    <x v="119"/>
    <n v="2011"/>
    <x v="20"/>
    <s v="Africa"/>
    <m/>
    <s v="Mining"/>
    <s v="yes"/>
    <s v="no"/>
    <s v="no"/>
    <s v="Cement"/>
    <s v="detailed"/>
    <s v="detailed Mining"/>
    <n v="410000"/>
    <m/>
    <m/>
    <m/>
    <m/>
    <s v="t"/>
    <n v="89.5"/>
    <s v="US$/t"/>
    <s v="Volume from USGS Mineral Yearbook 2012. Price from USGS Mineral Commodity Summary 2014, and is the average mill price for cement in the US."/>
    <n v="36695000"/>
    <m/>
    <m/>
    <m/>
    <m/>
    <m/>
    <m/>
    <m/>
    <m/>
    <m/>
    <m/>
    <m/>
    <m/>
    <m/>
    <m/>
    <m/>
    <m/>
    <m/>
    <m/>
    <m/>
    <m/>
    <m/>
    <m/>
    <m/>
    <m/>
    <m/>
    <m/>
    <m/>
    <m/>
    <m/>
    <m/>
    <m/>
    <m/>
    <m/>
    <m/>
    <m/>
    <m/>
    <m/>
    <m/>
    <m/>
    <m/>
    <m/>
    <m/>
    <m/>
    <m/>
    <m/>
  </r>
  <r>
    <x v="119"/>
    <n v="2011"/>
    <x v="20"/>
    <s v="Africa"/>
    <m/>
    <s v="Mining"/>
    <s v="yes"/>
    <s v="no"/>
    <s v="no"/>
    <s v="Chromium"/>
    <s v="detailed"/>
    <s v="detailed Mining"/>
    <n v="66700"/>
    <m/>
    <n v="85422.989999999991"/>
    <m/>
    <m/>
    <s v="t"/>
    <n v="14090"/>
    <s v="US$/t"/>
    <s v="Volume from USGS Mineral Yearbook 2012. Price from USGS Mineral Commodity Summary 2013, and is the price for chromium metal in the US."/>
    <n v="939803000"/>
    <m/>
    <m/>
    <m/>
    <m/>
    <m/>
    <m/>
    <m/>
    <m/>
    <m/>
    <m/>
    <m/>
    <m/>
    <m/>
    <m/>
    <m/>
    <m/>
    <m/>
    <m/>
    <m/>
    <m/>
    <m/>
    <m/>
    <m/>
    <m/>
    <s v="EITI Report gives export volumes only; Chrome exports reported by Kraoma and include both &quot;chrome concentré&quot; and &quot;chrome rocheux&quot; (p.63)."/>
    <m/>
    <m/>
    <m/>
    <m/>
    <m/>
    <m/>
    <m/>
    <m/>
    <m/>
    <m/>
    <m/>
    <m/>
    <m/>
    <m/>
    <m/>
    <m/>
    <m/>
    <m/>
    <m/>
    <m/>
  </r>
  <r>
    <x v="119"/>
    <n v="2011"/>
    <x v="20"/>
    <s v="Africa"/>
    <m/>
    <s v="Mining"/>
    <s v="yes"/>
    <s v="no"/>
    <s v="no"/>
    <s v="Cobalt"/>
    <s v="detailed"/>
    <s v="detailed Mining"/>
    <n v="500"/>
    <m/>
    <m/>
    <m/>
    <m/>
    <s v="t"/>
    <n v="39661.193319106154"/>
    <s v="US$/t"/>
    <s v="Volume from USGS Mineral Yearbook 2012. Price from USGS Mineral Yearbook 2012, and is the average U.S. spot price for minimum 99.8% cobalt cathode reported by Platts Metals Week"/>
    <n v="19830596.659553077"/>
    <m/>
    <m/>
    <m/>
    <m/>
    <m/>
    <m/>
    <m/>
    <m/>
    <m/>
    <m/>
    <m/>
    <m/>
    <m/>
    <m/>
    <m/>
    <m/>
    <m/>
    <m/>
    <m/>
    <m/>
    <m/>
    <m/>
    <m/>
    <m/>
    <m/>
    <m/>
    <m/>
    <m/>
    <m/>
    <m/>
    <m/>
    <m/>
    <m/>
    <m/>
    <m/>
    <m/>
    <m/>
    <m/>
    <m/>
    <m/>
    <m/>
    <m/>
    <m/>
    <m/>
    <m/>
  </r>
  <r>
    <x v="119"/>
    <n v="2011"/>
    <x v="20"/>
    <s v="Africa"/>
    <m/>
    <s v="Mining"/>
    <s v="yes"/>
    <s v="no"/>
    <s v="no"/>
    <s v="Gold"/>
    <s v="detailed"/>
    <s v="detailed Mining"/>
    <n v="1286.02972506024"/>
    <m/>
    <m/>
    <m/>
    <m/>
    <s v="toz"/>
    <n v="1569.2108333333299"/>
    <s v="US$/toz"/>
    <s v="Volume from USGS Mineral Yearbook 2012. Price from World Bank (Global Economic Monitor (GEM) Commodities database), and is defined as: Gold (UK), 99.5% fine, London afternoon fixing, average of daily rates."/>
    <n v="2018051.7765532124"/>
    <m/>
    <m/>
    <m/>
    <m/>
    <m/>
    <m/>
    <m/>
    <m/>
    <m/>
    <m/>
    <m/>
    <m/>
    <m/>
    <m/>
    <m/>
    <m/>
    <m/>
    <m/>
    <m/>
    <m/>
    <m/>
    <m/>
    <m/>
    <m/>
    <m/>
    <m/>
    <m/>
    <m/>
    <m/>
    <m/>
    <m/>
    <m/>
    <m/>
    <m/>
    <m/>
    <m/>
    <m/>
    <m/>
    <m/>
    <m/>
    <m/>
    <m/>
    <m/>
    <m/>
    <m/>
  </r>
  <r>
    <x v="119"/>
    <n v="2011"/>
    <x v="20"/>
    <s v="Africa"/>
    <m/>
    <s v="Mining"/>
    <s v="yes"/>
    <s v="no"/>
    <s v="no"/>
    <s v="Graphite"/>
    <s v="detailed"/>
    <s v="detailed Mining"/>
    <n v="3573"/>
    <m/>
    <n v="3853"/>
    <m/>
    <m/>
    <s v="t"/>
    <n v="1179.67"/>
    <s v="US$/t"/>
    <s v="Volume from USGS Mineral Yearbook 2012. Price from USGS Mineral Commodity Summary 2012, and is the average f.o.b. price for flake, lump and chip, and amorphous products."/>
    <n v="4214960.91"/>
    <m/>
    <m/>
    <m/>
    <m/>
    <m/>
    <m/>
    <m/>
    <m/>
    <m/>
    <m/>
    <m/>
    <m/>
    <m/>
    <m/>
    <m/>
    <m/>
    <m/>
    <m/>
    <m/>
    <m/>
    <m/>
    <m/>
    <m/>
    <m/>
    <s v="EITI Report gives export volumes only; Graphite exports reported by Etablissment Gallois SA (p.63)."/>
    <m/>
    <m/>
    <m/>
    <m/>
    <m/>
    <m/>
    <m/>
    <m/>
    <m/>
    <m/>
    <m/>
    <m/>
    <m/>
    <m/>
    <m/>
    <m/>
    <m/>
    <m/>
    <m/>
    <m/>
  </r>
  <r>
    <x v="119"/>
    <n v="2011"/>
    <x v="20"/>
    <s v="Africa"/>
    <m/>
    <s v="Mining"/>
    <s v="yes"/>
    <s v="no"/>
    <s v="no"/>
    <s v="Ilmenite concentrate"/>
    <s v="detailed"/>
    <s v="detailed Mining"/>
    <n v="470000"/>
    <m/>
    <n v="521627"/>
    <m/>
    <m/>
    <s v="t"/>
    <n v="195"/>
    <s v="US$/t"/>
    <s v="Volume from USGS Mineral Yearbook 2012. Price from USGS Mineral Commodity Summary 2013, and is the f.o.b. price in Australia for a bulk product with a minimum TiO2 content of 54%."/>
    <n v="91650000"/>
    <m/>
    <m/>
    <m/>
    <m/>
    <m/>
    <m/>
    <m/>
    <m/>
    <m/>
    <m/>
    <m/>
    <m/>
    <m/>
    <m/>
    <m/>
    <m/>
    <m/>
    <m/>
    <m/>
    <m/>
    <m/>
    <m/>
    <m/>
    <m/>
    <s v="EITI Report gives export volumes only; Ilmenite exports reported by Mainland and QMM (p.63)."/>
    <m/>
    <m/>
    <m/>
    <m/>
    <m/>
    <m/>
    <m/>
    <m/>
    <m/>
    <m/>
    <m/>
    <m/>
    <m/>
    <m/>
    <m/>
    <m/>
    <m/>
    <m/>
    <m/>
    <m/>
  </r>
  <r>
    <x v="119"/>
    <n v="2011"/>
    <x v="20"/>
    <s v="Africa"/>
    <m/>
    <s v="Mining"/>
    <s v="yes"/>
    <s v="no"/>
    <s v="no"/>
    <s v="Labradorite"/>
    <s v="detailed"/>
    <s v="detailed Mining"/>
    <n v="7000"/>
    <m/>
    <n v="3167.44"/>
    <m/>
    <m/>
    <s v="t"/>
    <m/>
    <m/>
    <s v="Volume from USGS Mineral Yearbook 2012"/>
    <m/>
    <m/>
    <m/>
    <m/>
    <m/>
    <m/>
    <m/>
    <m/>
    <m/>
    <m/>
    <m/>
    <m/>
    <m/>
    <m/>
    <m/>
    <m/>
    <m/>
    <m/>
    <m/>
    <m/>
    <m/>
    <m/>
    <m/>
    <m/>
    <m/>
    <s v=" EITI Report gives export volumes only; Labradorite exports reported by Labrador and Mada Aust (p.63)."/>
    <m/>
    <m/>
    <m/>
    <m/>
    <m/>
    <m/>
    <m/>
    <m/>
    <m/>
    <m/>
    <m/>
    <m/>
    <m/>
    <m/>
    <m/>
    <m/>
    <m/>
    <m/>
    <m/>
    <m/>
  </r>
  <r>
    <x v="119"/>
    <n v="2011"/>
    <x v="20"/>
    <s v="Africa"/>
    <m/>
    <s v="Mining"/>
    <s v="yes"/>
    <s v="no"/>
    <s v="no"/>
    <s v="Nickel (nickel content of mine output)"/>
    <s v="detailed"/>
    <s v="detailed Mining"/>
    <n v="5900"/>
    <m/>
    <m/>
    <m/>
    <m/>
    <s v="t"/>
    <n v="22910.356666666699"/>
    <s v="US$/t"/>
    <s v="Volume from USGS Mineral Yearbook 2012. Price from World Bank (Global Economic Monitor (GEM) Commodities database), and is defined as: Nickel (LME), cathodes, minimum 99.8% purity, settlement price beginning 2005; previously cash price."/>
    <n v="135171104.33333352"/>
    <m/>
    <m/>
    <m/>
    <m/>
    <m/>
    <m/>
    <m/>
    <m/>
    <m/>
    <m/>
    <m/>
    <m/>
    <m/>
    <m/>
    <m/>
    <m/>
    <m/>
    <m/>
    <m/>
    <m/>
    <m/>
    <m/>
    <m/>
    <m/>
    <m/>
    <m/>
    <m/>
    <m/>
    <m/>
    <m/>
    <m/>
    <m/>
    <m/>
    <m/>
    <m/>
    <m/>
    <m/>
    <m/>
    <m/>
    <m/>
    <m/>
    <m/>
    <m/>
    <m/>
    <m/>
  </r>
  <r>
    <x v="119"/>
    <n v="2011"/>
    <x v="20"/>
    <s v="Africa"/>
    <m/>
    <s v="Mining"/>
    <s v="yes"/>
    <s v="no"/>
    <s v="no"/>
    <s v="Zirconium concentrate"/>
    <s v="detailed"/>
    <s v="detailed Mining"/>
    <n v="13075"/>
    <m/>
    <n v="18242"/>
    <m/>
    <m/>
    <s v="t"/>
    <n v="64000"/>
    <s v="US$/t"/>
    <s v="Volume from USGS Mineral Yearbook 2012. Price from USGS Mineral Commodity Summary 2013, and is the price of unwrought zirconium imports in the US."/>
    <n v="836800000"/>
    <m/>
    <m/>
    <m/>
    <m/>
    <m/>
    <m/>
    <m/>
    <m/>
    <m/>
    <m/>
    <m/>
    <m/>
    <m/>
    <m/>
    <m/>
    <m/>
    <m/>
    <m/>
    <m/>
    <m/>
    <m/>
    <m/>
    <m/>
    <m/>
    <s v="EITI Report gives export volumes only; Zircon exports reported by QMM (p.63)."/>
    <m/>
    <m/>
    <m/>
    <m/>
    <m/>
    <m/>
    <m/>
    <m/>
    <m/>
    <m/>
    <m/>
    <m/>
    <m/>
    <m/>
    <m/>
    <m/>
    <m/>
    <m/>
    <m/>
    <m/>
  </r>
  <r>
    <x v="120"/>
    <n v="2006"/>
    <x v="21"/>
    <s v="Africa"/>
    <m/>
    <s v="Mining"/>
    <s v="yes"/>
    <s v="no"/>
    <s v="no"/>
    <s v="Gold"/>
    <s v="detailed"/>
    <s v="detailed Mining"/>
    <n v="1670456.1606238722"/>
    <m/>
    <n v="1768291"/>
    <m/>
    <m/>
    <s v="toz"/>
    <n v="685.9211708333296"/>
    <s v="US$/toz"/>
    <s v="Volume from USGS Mineral Yearbook 2010. Price from World Bank (Global Economic Monitor (GEM) Commodities database) - defined as: Gold (UK), 99.5% fine, London afternoon fixing, average of daily rates - adjusted to account for the price given in the 2010 EITI Report being 113.50% of this in 2010."/>
    <n v="1212908233.0940392"/>
    <m/>
    <m/>
    <m/>
    <n v="221333358.83264166"/>
    <n v="230105758.38130391"/>
    <m/>
    <m/>
    <m/>
    <n v="0.18248153717947535"/>
    <m/>
    <n v="522.89"/>
    <s v="Disaggregated by revenue stream, Disaggregated by company"/>
    <m/>
    <m/>
    <m/>
    <m/>
    <m/>
    <m/>
    <n v="7"/>
    <s v="November 2009"/>
    <d v="2014-10-10T00:00:00"/>
    <s v="Mazars"/>
    <s v="http://eiti.org/files/Mali%202006%20EITI%20Report.pdf"/>
    <m/>
    <s v="According to the EITI report, the total gold production of gold in Mali in 2006 was 58 tons, of which 3 were produced by artisanal miners. I subtracted 3 tons and converted 55 tons to toz to get thee EITI production figure. "/>
    <m/>
    <m/>
    <m/>
    <m/>
    <m/>
    <m/>
    <m/>
    <m/>
    <m/>
    <m/>
    <m/>
    <m/>
    <m/>
    <m/>
    <m/>
    <m/>
    <m/>
    <m/>
    <m/>
    <m/>
  </r>
  <r>
    <x v="121"/>
    <n v="2007"/>
    <x v="21"/>
    <s v="Africa"/>
    <m/>
    <s v="Mining"/>
    <s v="yes"/>
    <s v="no"/>
    <s v="no"/>
    <s v="Gold"/>
    <s v="detailed"/>
    <s v="detailed Mining"/>
    <n v="1409810.0860972882"/>
    <m/>
    <m/>
    <m/>
    <m/>
    <s v="toz"/>
    <n v="790.77748374999999"/>
    <s v="US$/toz"/>
    <s v="Volume from USGS Mineral Yearbook 2011. Price from World Bank (Global Economic Monitor (GEM) Commodities database) - defined as: Gold (UK), 99.5% fine, London afternoon fixing, average of daily rates - adjusted to account for the price given in the 2010 EITI Report being 113.50% of this in 2010."/>
    <n v="1114846072.4493845"/>
    <m/>
    <m/>
    <m/>
    <n v="283774774.17844975"/>
    <n v="287602068.42591846"/>
    <m/>
    <m/>
    <m/>
    <n v="0.25454166381461019"/>
    <m/>
    <n v="466.14"/>
    <s v="Disaggregated by revenue stream, Disaggregated by company"/>
    <m/>
    <m/>
    <m/>
    <m/>
    <m/>
    <m/>
    <n v="9"/>
    <s v="May 2011"/>
    <d v="2014-10-10T00:00:00"/>
    <s v="Moore Stephens"/>
    <s v="http://eiti.org/files/Mali%202007-2008%20EITI%20Report.pdf"/>
    <m/>
    <m/>
    <m/>
    <m/>
    <m/>
    <m/>
    <m/>
    <m/>
    <m/>
    <m/>
    <m/>
    <m/>
    <m/>
    <m/>
    <m/>
    <m/>
    <m/>
    <m/>
    <m/>
    <m/>
    <m/>
    <m/>
  </r>
  <r>
    <x v="122"/>
    <n v="2008"/>
    <x v="21"/>
    <s v="Africa"/>
    <m/>
    <s v="Mining"/>
    <s v="yes"/>
    <s v="no"/>
    <s v="no"/>
    <s v="Gold"/>
    <s v="detailed"/>
    <s v="detailed Mining"/>
    <n v="1323324.587086987"/>
    <m/>
    <m/>
    <m/>
    <m/>
    <s v="toz"/>
    <n v="989.38772875000006"/>
    <s v="US$/toz"/>
    <s v="Volume from USGS Mineral Yearbook 2011. Price from World Bank (Global Economic Monitor (GEM) Commodities database) - defined as: Gold (UK), 99.5% fine, London afternoon fixing, average of daily rates - adjusted to account for the price given in the 2010 EITI Report being 113.50% of this in 2010."/>
    <n v="1309281107.6170256"/>
    <m/>
    <m/>
    <m/>
    <n v="281237313.39930284"/>
    <n v="290993478.4861306"/>
    <m/>
    <m/>
    <m/>
    <n v="0.21480285002444779"/>
    <m/>
    <n v="439.25700000000001"/>
    <s v="Disaggregated by revenue stream, Disaggregated by company"/>
    <m/>
    <m/>
    <m/>
    <m/>
    <m/>
    <m/>
    <n v="9"/>
    <s v="May 2011"/>
    <d v="2014-10-10T00:00:00"/>
    <s v="Moore Stephens"/>
    <s v="http://eiti.org/files/Mali%202007-2008%20EITI%20Report_0.pdf"/>
    <m/>
    <m/>
    <m/>
    <m/>
    <m/>
    <m/>
    <m/>
    <m/>
    <m/>
    <m/>
    <m/>
    <m/>
    <m/>
    <m/>
    <m/>
    <m/>
    <m/>
    <m/>
    <m/>
    <m/>
    <m/>
    <m/>
  </r>
  <r>
    <x v="123"/>
    <n v="2009"/>
    <x v="21"/>
    <s v="Africa"/>
    <m/>
    <s v="Mining"/>
    <s v="yes"/>
    <s v="no"/>
    <s v="no"/>
    <s v="Gold"/>
    <s v="detailed"/>
    <s v="detailed Mining"/>
    <n v="1362034.0818113002"/>
    <m/>
    <n v="1647854.3662363999"/>
    <m/>
    <m/>
    <s v="toz"/>
    <n v="1104.3163154166705"/>
    <s v="US$/toz"/>
    <s v="Volume from USGS Mineral Yearbook 2011. Price from World Bank (Global Economic Monitor (GEM) Commodities database) - defined as: Gold (UK), 99.5% fine, London afternoon fixing, average of daily rates - adjusted to account for the price given in the 2010 EITI Report being 113.50% of this in 2010."/>
    <n v="1504116458.697783"/>
    <m/>
    <m/>
    <m/>
    <n v="380403587.30837423"/>
    <n v="370973010.96793836"/>
    <m/>
    <m/>
    <m/>
    <n v="0.25290833373216043"/>
    <s v="West African CFA Franc"/>
    <n v="463.077"/>
    <s v="Disaggregated by revenue stream, Disaggregated by company"/>
    <m/>
    <m/>
    <m/>
    <m/>
    <n v="40"/>
    <s v="MINING - PRODUCTION PHASE: Société d'Exploitation des Mines d'Or de YATELA (YATELA), Société des Mines d'Or de LOULOU (SOMILO), Société des Mines de MORILA (MORILA), Société des Mines d'Or de Kalana (SOMIKA), Société des Mines d'Or de SYAMA (SOMISY), Société d'Exploitation des Mines d'Or de SADIOLA (SEMOS), Tamboura Mining CO SA (TAMICO), Wassoul’or, SegalaMiningCompany (SEMICO). MINING - EXPLORATION PHASE: SegalaMiningCompany (SEMICO), Etruscan Ressources Mali SARL, Etruscan Ressources Bermuda Ltd, Page Management, New Gold Mali, Axmin Mali (Ex Africa Gold), GlencarMining, Songhoï Ressources, Great QuestMetals, Tichitt Sa, Touba Mining JvMerrex Gold Inc, Mali Gold Mining, Golden Spear, Robex, Mali MineralResources. PETROLEUM - EXPLORATION PHASE: Société HeritageOil Block 7, Société HeritageOil Block 11, Mali Petroleum SA, Sipex, Petroma, Afex Global, MOH Oil PVT Ltd, JV Falcon Martagon, ENI Mali, SelierEnergy. SUBCONTRACTORS: MoolmanMiningYatela, AfricanMining Services, BCM - Bay Xater Construction And Mining, MARS - Mining And Rechandling Service, SFTP - Société de Forage et Travaux Publics, PW Mining International Limited."/>
    <n v="27"/>
    <s v="November 2011"/>
    <d v="2014-11-11T00:00:00"/>
    <s v="Moore Stephens"/>
    <s v="http://eiti.org/files/Mali%202009%20EITI%20Report.pdf"/>
    <s v="5, 9-10, 20-23"/>
    <s v="&quot;Compensation&quot; (reimboursement of tax payments) was included in tax totals by EITI reconcilers (see p.16)."/>
    <m/>
    <m/>
    <m/>
    <m/>
    <m/>
    <m/>
    <m/>
    <m/>
    <m/>
    <m/>
    <m/>
    <m/>
    <m/>
    <m/>
    <m/>
    <m/>
    <m/>
    <m/>
    <m/>
    <m/>
  </r>
  <r>
    <x v="124"/>
    <n v="2010"/>
    <x v="21"/>
    <s v="Africa"/>
    <m/>
    <s v="Mining"/>
    <s v="yes"/>
    <s v="no"/>
    <s v="no"/>
    <s v="Gold"/>
    <s v="detailed"/>
    <s v="detailed Mining"/>
    <n v="1169001.0200797583"/>
    <m/>
    <n v="1351392.3318377999"/>
    <m/>
    <m/>
    <s v="toz"/>
    <n v="1390"/>
    <s v="US$/toz"/>
    <s v="Volume from USGS Mineral Yearbook 2011. Price from EITI Report, and is 113.50% of the price for gold given by the World Bank."/>
    <n v="1624911417.9108639"/>
    <m/>
    <m/>
    <m/>
    <n v="346547621.39714646"/>
    <n v="351835136.30196124"/>
    <m/>
    <m/>
    <m/>
    <n v="0.21327170058457715"/>
    <s v="West African CFA Franc"/>
    <n v="486.42"/>
    <s v="Disaggregated by revenue stream, Disaggregated by company"/>
    <m/>
    <m/>
    <m/>
    <m/>
    <n v="9"/>
    <s v="MORILA, SEMOS, YATELA, SOMILO, SOMISY, SOMIKA, TAMICO, SEMICO, WASSOUL’OR"/>
    <n v="9"/>
    <s v="December 2012"/>
    <d v="2014-11-11T00:00:00"/>
    <s v="Moore Stephens"/>
    <s v="http://eiti.org/files/Mali-2010-EITI-Report.pdf"/>
    <s v="5, 6, 7, 16-17"/>
    <s v="Compensation (reimboursement of tax payments) was included in tax totals by EITI reconcilers (see p.16). Voluntary social payments were reported unilaterally by companies (759,744,000 FCFA) and have been added to Company Total Payments."/>
    <m/>
    <m/>
    <m/>
    <m/>
    <m/>
    <m/>
    <m/>
    <m/>
    <m/>
    <m/>
    <m/>
    <m/>
    <m/>
    <m/>
    <m/>
    <m/>
    <m/>
    <m/>
    <m/>
    <m/>
  </r>
  <r>
    <x v="125"/>
    <n v="2011"/>
    <x v="21"/>
    <s v="Africa"/>
    <m/>
    <s v="Mining"/>
    <s v="yes"/>
    <s v="no"/>
    <s v="no"/>
    <s v="Gold"/>
    <s v="detailed"/>
    <s v="detailed Mining"/>
    <n v="1148681.7504238065"/>
    <m/>
    <n v="1143280"/>
    <m/>
    <m/>
    <s v="toz"/>
    <n v="1781.0542958333294"/>
    <s v="US$/toz"/>
    <s v="Volume from USGS Mineral Yearbook 2011. Price from World Bank (Global Economic Monitor (GEM) Commodities database) - defined as: Gold (UK), 99.5% fine, London afternoon fixing, average of daily rates - adjusted to account for the price given in the 2010 EITI Report being 113.50% of this in 2010."/>
    <n v="2045864566.1376688"/>
    <m/>
    <m/>
    <m/>
    <n v="425193486.59834021"/>
    <n v="423052152.71608418"/>
    <m/>
    <m/>
    <m/>
    <n v="0.20783071061299588"/>
    <s v="West African CFA Franc"/>
    <n v="461.51"/>
    <s v="Disaggregated by revenue stream, Disaggregated by company"/>
    <m/>
    <m/>
    <m/>
    <m/>
    <n v="10"/>
    <s v="Semos, Morila, Somilo, Yatela, Somisy, Tamico, Semico, Somika, Wassoul'or, Sahara mining"/>
    <n v="10"/>
    <s v="December 2013"/>
    <d v="2014-11-11T00:00:00"/>
    <s v="Moore Stephens LLP"/>
    <s v="http://eiti.org/files/Mali-2011-EITI-Report-FR.pdf"/>
    <s v="7, 9, 10, 31-33, 39, 53"/>
    <s v="Ten companies were required to report; 8 other companies' payments were reported unilaterally by govt--these revenues (170,210,465 FCFA, see p.29, 39) were included in government totals.Voluntary social payments were reported unilaterally by companies (1,198,782,000 FCFA) and have been added to Company Total Payments. "/>
    <m/>
    <m/>
    <m/>
    <m/>
    <m/>
    <m/>
    <m/>
    <m/>
    <m/>
    <m/>
    <m/>
    <m/>
    <m/>
    <m/>
    <m/>
    <m/>
    <m/>
    <m/>
    <m/>
    <m/>
  </r>
  <r>
    <x v="125"/>
    <n v="2011"/>
    <x v="21"/>
    <s v="Africa"/>
    <m/>
    <s v="Mining"/>
    <s v="yes"/>
    <s v="no"/>
    <s v="no"/>
    <s v="Silver"/>
    <s v="detailed"/>
    <s v="detailed Mining"/>
    <m/>
    <m/>
    <n v="97738.269663999992"/>
    <m/>
    <m/>
    <s v="toz"/>
    <m/>
    <m/>
    <s v="Volume from EITI Report"/>
    <m/>
    <m/>
    <m/>
    <m/>
    <m/>
    <m/>
    <m/>
    <m/>
    <m/>
    <m/>
    <m/>
    <m/>
    <m/>
    <m/>
    <m/>
    <m/>
    <m/>
    <m/>
    <m/>
    <m/>
    <m/>
    <m/>
    <m/>
    <m/>
    <m/>
    <m/>
    <m/>
    <m/>
    <m/>
    <m/>
    <m/>
    <m/>
    <m/>
    <m/>
    <m/>
    <m/>
    <m/>
    <m/>
    <m/>
    <m/>
    <m/>
    <m/>
    <m/>
    <m/>
    <m/>
    <m/>
  </r>
  <r>
    <x v="126"/>
    <n v="2012"/>
    <x v="21"/>
    <s v="Africa"/>
    <s v="http://www.itie.mines.gouv.ml/"/>
    <s v="Mining"/>
    <m/>
    <m/>
    <m/>
    <s v="Gold"/>
    <m/>
    <m/>
    <m/>
    <m/>
    <m/>
    <n v="46.27"/>
    <n v="36.32"/>
    <s v="t"/>
    <n v="1688.5"/>
    <s v="US$/toz"/>
    <s v="Volume and Price from EITI Report"/>
    <m/>
    <s v="Host government's production entitlement, State-owned company production entitlement, Profits/Taxes, Royalties, Dividends, Bonuses, Licenses and concessions, Other significant benefits to government"/>
    <s v="Does not include payments made in-kind"/>
    <s v="No"/>
    <n v="481528351"/>
    <n v="443716630"/>
    <n v="1"/>
    <n v="481528351"/>
    <m/>
    <m/>
    <s v="West African CFA Franc"/>
    <n v="503.07"/>
    <s v="Disaggregated by revenue stream, Disaggregated by company"/>
    <m/>
    <m/>
    <m/>
    <m/>
    <n v="15"/>
    <s v="Morila SA, Semos, Somilo, Sté des Mines d'Or de Gounkoto, Resolute (SOMISY-SA), Segala Mining Company SA, Yatela SA, SOMIKA (Avnel), Toguna, Randgold Resources Mali SARL., Glencar Mali SARL., Wassoul’or, Goldfields Exploration Mali SARL., Mali Mineral Resources"/>
    <n v="14"/>
    <s v="December 2014"/>
    <m/>
    <s v="Moore Stephens"/>
    <s v="https://eiti.org/files/Rapport%20Final%20de%20Conciliation%20ITIE%20Mali%202012.pdf"/>
    <m/>
    <s v="No exchange rate provided"/>
    <m/>
    <m/>
    <m/>
    <m/>
    <m/>
    <m/>
    <m/>
    <m/>
    <m/>
    <m/>
    <m/>
    <m/>
    <m/>
    <m/>
    <m/>
    <m/>
    <m/>
    <m/>
    <m/>
    <m/>
  </r>
  <r>
    <x v="127"/>
    <n v="2005"/>
    <x v="22"/>
    <s v="Africa"/>
    <s v="http://www.CNITIE.mr"/>
    <s v="Oil, Mining"/>
    <s v="yes"/>
    <s v="no"/>
    <s v="yes"/>
    <s v="Total"/>
    <s v="Total"/>
    <s v="Total Oil, Mining"/>
    <m/>
    <m/>
    <m/>
    <m/>
    <m/>
    <m/>
    <m/>
    <m/>
    <m/>
    <n v="431581878.00000006"/>
    <s v="Host government's production entitlement, Royalties, Dividends, Bonuses"/>
    <s v="Does not include payments made in-kind"/>
    <m/>
    <n v="29636377.094866872"/>
    <n v="28035804.654841263"/>
    <m/>
    <m/>
    <m/>
    <n v="6.8669187946920396E-2"/>
    <m/>
    <n v="265.52999999999997"/>
    <s v="Disaggregated by revenue stream"/>
    <m/>
    <m/>
    <m/>
    <m/>
    <m/>
    <m/>
    <n v="14"/>
    <s v="February 2007"/>
    <d v="2014-10-10T00:00:00"/>
    <s v="Ernst &amp; Young"/>
    <s v="http://eiti.org/files/Mauritania%202005%20EITI%20Report.pdf"/>
    <m/>
    <m/>
    <m/>
    <m/>
    <m/>
    <m/>
    <m/>
    <m/>
    <m/>
    <m/>
    <m/>
    <m/>
    <m/>
    <m/>
    <m/>
    <m/>
    <m/>
    <m/>
    <m/>
    <m/>
    <m/>
    <m/>
  </r>
  <r>
    <x v="127"/>
    <n v="2005"/>
    <x v="22"/>
    <s v="Africa"/>
    <m/>
    <s v="Oil"/>
    <s v="no"/>
    <s v="no"/>
    <s v="yes"/>
    <s v="Oil"/>
    <s v="detailed"/>
    <s v="detailed Oil"/>
    <m/>
    <m/>
    <m/>
    <m/>
    <m/>
    <m/>
    <m/>
    <m/>
    <m/>
    <n v="0"/>
    <m/>
    <m/>
    <m/>
    <n v="457000"/>
    <n v="457000"/>
    <m/>
    <m/>
    <m/>
    <m/>
    <m/>
    <m/>
    <m/>
    <m/>
    <m/>
    <m/>
    <m/>
    <m/>
    <m/>
    <m/>
    <m/>
    <m/>
    <m/>
    <m/>
    <m/>
    <m/>
    <m/>
    <m/>
    <m/>
    <m/>
    <m/>
    <m/>
    <m/>
    <m/>
    <m/>
    <m/>
    <m/>
    <m/>
    <m/>
    <m/>
    <m/>
    <m/>
    <m/>
    <m/>
    <m/>
    <m/>
  </r>
  <r>
    <x v="127"/>
    <n v="2005"/>
    <x v="22"/>
    <s v="Africa"/>
    <m/>
    <s v="Mining"/>
    <s v="yes"/>
    <s v="no"/>
    <s v="no"/>
    <s v="Total Mining"/>
    <s v="Total"/>
    <s v="Total Mining"/>
    <m/>
    <m/>
    <m/>
    <m/>
    <m/>
    <m/>
    <m/>
    <m/>
    <m/>
    <n v="431581878.00000006"/>
    <m/>
    <m/>
    <m/>
    <n v="29179377.094866872"/>
    <n v="27578804.654841263"/>
    <m/>
    <m/>
    <m/>
    <n v="6.7610292698311272E-2"/>
    <m/>
    <m/>
    <m/>
    <m/>
    <m/>
    <m/>
    <m/>
    <m/>
    <m/>
    <m/>
    <m/>
    <m/>
    <m/>
    <m/>
    <m/>
    <m/>
    <m/>
    <m/>
    <m/>
    <m/>
    <m/>
    <m/>
    <m/>
    <m/>
    <m/>
    <m/>
    <m/>
    <m/>
    <m/>
    <m/>
    <m/>
    <m/>
    <m/>
    <m/>
    <m/>
    <m/>
  </r>
  <r>
    <x v="127"/>
    <n v="2005"/>
    <x v="22"/>
    <s v="Africa"/>
    <m/>
    <s v="Mining"/>
    <s v="yes"/>
    <s v="no"/>
    <s v="no"/>
    <s v="Iron ore"/>
    <s v="detailed"/>
    <s v="detailed Mining"/>
    <n v="11133000"/>
    <m/>
    <m/>
    <m/>
    <m/>
    <s v="t"/>
    <n v="38.766000000000005"/>
    <s v="US$/t"/>
    <s v="Volume from USGS Mineral Yearbook 2009. Price from World Bank (Global Economic Monitor (GEM) Commodities database) - defined as: Iron ore (any origin) fines, spot price, c.f.r. China, 62% Fe -  adjusted to account for the price given in the 2010 EITI Report being 59.64% of this in 2010."/>
    <n v="431581878.00000006"/>
    <m/>
    <m/>
    <m/>
    <m/>
    <m/>
    <m/>
    <m/>
    <m/>
    <m/>
    <m/>
    <m/>
    <m/>
    <m/>
    <m/>
    <m/>
    <m/>
    <m/>
    <m/>
    <m/>
    <m/>
    <m/>
    <m/>
    <m/>
    <m/>
    <m/>
    <m/>
    <m/>
    <m/>
    <m/>
    <m/>
    <m/>
    <m/>
    <m/>
    <m/>
    <m/>
    <m/>
    <m/>
    <m/>
    <m/>
    <m/>
    <m/>
    <m/>
    <m/>
    <m/>
    <m/>
  </r>
  <r>
    <x v="128"/>
    <n v="2006"/>
    <x v="22"/>
    <s v="Africa"/>
    <s v="http://www.CNITIE.mr"/>
    <s v="Oil, Mining"/>
    <s v="yes"/>
    <s v="no"/>
    <s v="yes"/>
    <s v="Total"/>
    <s v="Total"/>
    <s v="Total Oil, Mining"/>
    <m/>
    <m/>
    <m/>
    <m/>
    <m/>
    <m/>
    <m/>
    <m/>
    <m/>
    <n v="1207060431.040113"/>
    <s v="State-owned company production entitlement, Profits/Taxes, Royalties, Dividends, Bonuses, Licenses and concessions, Other significant benefits to government"/>
    <s v="Does not include payments made in-kind"/>
    <m/>
    <n v="280165029.78406549"/>
    <n v="273414760.23827255"/>
    <m/>
    <m/>
    <m/>
    <n v="0.23210522238944559"/>
    <m/>
    <n v="268.60000000000002"/>
    <s v="Disaggregated by revenue stream"/>
    <m/>
    <m/>
    <m/>
    <m/>
    <m/>
    <m/>
    <n v="27"/>
    <s v="June 2007"/>
    <d v="2014-10-10T00:00:00"/>
    <s v="Ernst &amp; Young"/>
    <s v="http://eiti.org/files/Mauritania%202006%20EITI%20Report.pdf"/>
    <m/>
    <m/>
    <m/>
    <m/>
    <m/>
    <m/>
    <m/>
    <m/>
    <m/>
    <m/>
    <m/>
    <m/>
    <m/>
    <m/>
    <m/>
    <m/>
    <m/>
    <m/>
    <m/>
    <m/>
    <m/>
    <m/>
  </r>
  <r>
    <x v="128"/>
    <n v="2006"/>
    <x v="22"/>
    <s v="Africa"/>
    <m/>
    <s v="Oil"/>
    <s v="no"/>
    <s v="no"/>
    <s v="yes"/>
    <s v="Oil"/>
    <s v="detailed"/>
    <s v="detailed Oil"/>
    <n v="11169000"/>
    <m/>
    <m/>
    <m/>
    <m/>
    <s v="bbl"/>
    <n v="65.998981125"/>
    <s v="US$/bbl"/>
    <s v="Volume from EIA. Price from BPSR 2014, and is an average of the spot prices for Brent, Dubai, Nigerian Forcados and West Texas Intermediate crude oil, adjusted to account for the prices given in the 2010-11 EITI Reports being an average 101.64% of this in 2010-11."/>
    <n v="737142620.18512499"/>
    <m/>
    <m/>
    <m/>
    <n v="208445000"/>
    <n v="203761000"/>
    <m/>
    <m/>
    <m/>
    <n v="0.28277431570521783"/>
    <m/>
    <m/>
    <m/>
    <m/>
    <m/>
    <m/>
    <m/>
    <m/>
    <m/>
    <m/>
    <m/>
    <m/>
    <m/>
    <m/>
    <m/>
    <m/>
    <m/>
    <m/>
    <m/>
    <m/>
    <m/>
    <m/>
    <m/>
    <m/>
    <m/>
    <m/>
    <m/>
    <m/>
    <m/>
    <m/>
    <m/>
    <m/>
    <m/>
    <m/>
    <m/>
    <m/>
  </r>
  <r>
    <x v="128"/>
    <n v="2006"/>
    <x v="22"/>
    <s v="Africa"/>
    <m/>
    <s v="Mining"/>
    <s v="yes"/>
    <s v="no"/>
    <s v="no"/>
    <s v="Total Mining"/>
    <s v="Total"/>
    <s v="Total Mining"/>
    <m/>
    <m/>
    <m/>
    <m/>
    <m/>
    <m/>
    <m/>
    <m/>
    <m/>
    <n v="469917810.8549881"/>
    <m/>
    <m/>
    <m/>
    <n v="71720029.784065515"/>
    <n v="69653760.238272518"/>
    <m/>
    <m/>
    <m/>
    <n v="0.1526224972268557"/>
    <m/>
    <m/>
    <m/>
    <m/>
    <m/>
    <m/>
    <m/>
    <m/>
    <m/>
    <m/>
    <m/>
    <m/>
    <m/>
    <m/>
    <m/>
    <m/>
    <m/>
    <m/>
    <m/>
    <m/>
    <m/>
    <m/>
    <m/>
    <m/>
    <m/>
    <m/>
    <m/>
    <m/>
    <m/>
    <m/>
    <m/>
    <m/>
    <m/>
    <m/>
    <m/>
    <m/>
  </r>
  <r>
    <x v="128"/>
    <n v="2006"/>
    <x v="22"/>
    <s v="Africa"/>
    <m/>
    <s v="Mining"/>
    <s v="yes"/>
    <s v="no"/>
    <s v="no"/>
    <s v="Copper (in concentrate)"/>
    <s v="detailed"/>
    <s v="detailed Mining"/>
    <n v="5031"/>
    <m/>
    <m/>
    <m/>
    <m/>
    <s v="t"/>
    <n v="4581.1346617500003"/>
    <s v="US$/t"/>
    <s v="Volume from USGS Mineral Yearbook 2009. Price from World Bank (Global Economic Monitor (GEM) Commodities database) - defined as: Copper (LME), grade A, minimum 99.9935% purity, cathodes and wire bar shapes, settlement price -  adjusted to account for the price given in the 2010 EITI Report being 68.15% of this in 2010."/>
    <n v="23047688.483264253"/>
    <m/>
    <m/>
    <m/>
    <m/>
    <m/>
    <m/>
    <m/>
    <m/>
    <m/>
    <m/>
    <m/>
    <m/>
    <m/>
    <m/>
    <m/>
    <m/>
    <m/>
    <m/>
    <m/>
    <m/>
    <m/>
    <m/>
    <m/>
    <m/>
    <m/>
    <m/>
    <m/>
    <m/>
    <m/>
    <m/>
    <m/>
    <m/>
    <m/>
    <m/>
    <m/>
    <m/>
    <m/>
    <m/>
    <m/>
    <m/>
    <m/>
    <m/>
    <m/>
    <m/>
    <m/>
  </r>
  <r>
    <x v="128"/>
    <n v="2006"/>
    <x v="22"/>
    <s v="Africa"/>
    <m/>
    <s v="Mining"/>
    <s v="yes"/>
    <s v="no"/>
    <s v="no"/>
    <s v="Gold"/>
    <s v="detailed"/>
    <s v="detailed Mining"/>
    <n v="10352.539286734933"/>
    <m/>
    <m/>
    <m/>
    <m/>
    <s v="toz"/>
    <n v="594.78732716666343"/>
    <s v="US$/toz"/>
    <s v="Volume from USGS Mineral Yearbook 2009. Price from World Bank (Global Economic Monitor (GEM) Commodities database) - defined as: Gold (UK), 99.5% fine, London afternoon fixing, average of daily rates - adjusted to account for the price given in the 2010 EITI Report being 98.42% of this in 2010."/>
    <n v="6157559.1717449473"/>
    <m/>
    <m/>
    <m/>
    <m/>
    <m/>
    <m/>
    <m/>
    <m/>
    <m/>
    <m/>
    <m/>
    <m/>
    <m/>
    <m/>
    <m/>
    <m/>
    <m/>
    <m/>
    <m/>
    <m/>
    <m/>
    <m/>
    <m/>
    <m/>
    <m/>
    <m/>
    <m/>
    <m/>
    <m/>
    <m/>
    <m/>
    <m/>
    <m/>
    <m/>
    <m/>
    <m/>
    <m/>
    <m/>
    <m/>
    <m/>
    <m/>
    <m/>
    <m/>
    <m/>
    <m/>
  </r>
  <r>
    <x v="128"/>
    <n v="2006"/>
    <x v="22"/>
    <s v="Africa"/>
    <m/>
    <s v="Mining"/>
    <s v="yes"/>
    <s v="no"/>
    <s v="no"/>
    <s v="Iron ore"/>
    <s v="detailed"/>
    <s v="detailed Mining"/>
    <n v="10658000"/>
    <m/>
    <m/>
    <m/>
    <m/>
    <s v="t"/>
    <n v="41.350399999998018"/>
    <s v="US$/t"/>
    <s v="Volume from USGS Mineral Yearbook 2009. Price from World Bank (Global Economic Monitor (GEM) Commodities database) - defined as: Iron ore (any origin) fines, spot price, c.f.r. China, 62% Fe -  adjusted to account for the price given in the 2010 EITI Report being 59.64% of this in 2010."/>
    <n v="440712563.19997889"/>
    <m/>
    <m/>
    <m/>
    <m/>
    <m/>
    <m/>
    <m/>
    <m/>
    <m/>
    <m/>
    <m/>
    <m/>
    <m/>
    <m/>
    <m/>
    <m/>
    <m/>
    <m/>
    <m/>
    <m/>
    <m/>
    <m/>
    <m/>
    <m/>
    <m/>
    <m/>
    <m/>
    <m/>
    <m/>
    <m/>
    <m/>
    <m/>
    <m/>
    <m/>
    <m/>
    <m/>
    <m/>
    <m/>
    <m/>
    <m/>
    <m/>
    <m/>
    <m/>
    <m/>
    <m/>
  </r>
  <r>
    <x v="129"/>
    <n v="2007"/>
    <x v="22"/>
    <s v="Africa"/>
    <s v="http://www.CNITIE.mr"/>
    <s v="Oil, Mining"/>
    <s v="yes"/>
    <s v="no"/>
    <s v="yes"/>
    <s v="Total"/>
    <s v="Total"/>
    <s v="Total Oil, Mining"/>
    <m/>
    <m/>
    <m/>
    <m/>
    <m/>
    <m/>
    <m/>
    <m/>
    <m/>
    <n v="1471083869.5023618"/>
    <s v="State-owned company production entitlement, Profits/Taxes, Royalties, Dividends, Bonuses, Other significant benefits to government"/>
    <s v="Does not include payments made in-kind"/>
    <m/>
    <n v="175753291.2240898"/>
    <n v="182576278.74600381"/>
    <m/>
    <m/>
    <m/>
    <n v="0.1194719722428495"/>
    <m/>
    <n v="253.30600000000001"/>
    <s v="Disaggregated by revenue stream"/>
    <m/>
    <m/>
    <m/>
    <m/>
    <m/>
    <m/>
    <n v="36"/>
    <s v="June 2011"/>
    <d v="2014-10-10T00:00:00"/>
    <s v="Fair Links"/>
    <s v="http://eiti.org/files/Mauritania%202007%20EITI%20Report.pdf"/>
    <m/>
    <m/>
    <m/>
    <m/>
    <m/>
    <m/>
    <m/>
    <m/>
    <m/>
    <m/>
    <m/>
    <m/>
    <m/>
    <m/>
    <m/>
    <m/>
    <m/>
    <m/>
    <m/>
    <m/>
    <m/>
    <m/>
  </r>
  <r>
    <x v="129"/>
    <n v="2007"/>
    <x v="22"/>
    <s v="Africa"/>
    <m/>
    <s v="Oil"/>
    <s v="no"/>
    <s v="no"/>
    <s v="yes"/>
    <s v="Oil"/>
    <s v="detailed"/>
    <s v="detailed Oil"/>
    <n v="5475000"/>
    <m/>
    <m/>
    <m/>
    <m/>
    <s v="bbl"/>
    <n v="72.997847999999991"/>
    <s v="US$/bbl"/>
    <s v="Volume from EIA. Price from BPSR 2014, and is an average of the spot prices for Brent, Dubai, Nigerian Forcados and West Texas Intermediate crude oil, adjusted to account for the prices given in the 2010-11 EITI Reports being an average 101.64% of this in 2010-11."/>
    <n v="399663217.79999995"/>
    <m/>
    <m/>
    <m/>
    <n v="91445000"/>
    <n v="91775000"/>
    <m/>
    <m/>
    <m/>
    <n v="0.22880514374920796"/>
    <m/>
    <m/>
    <m/>
    <m/>
    <m/>
    <m/>
    <m/>
    <m/>
    <m/>
    <m/>
    <m/>
    <m/>
    <m/>
    <m/>
    <m/>
    <m/>
    <m/>
    <m/>
    <m/>
    <m/>
    <m/>
    <m/>
    <m/>
    <m/>
    <m/>
    <m/>
    <m/>
    <m/>
    <m/>
    <m/>
    <m/>
    <m/>
    <m/>
    <m/>
    <m/>
    <m/>
  </r>
  <r>
    <x v="129"/>
    <n v="2007"/>
    <x v="22"/>
    <s v="Africa"/>
    <m/>
    <s v="Mining"/>
    <s v="yes"/>
    <s v="no"/>
    <s v="no"/>
    <s v="Total Mining"/>
    <s v="Total"/>
    <s v="Total Mining"/>
    <m/>
    <m/>
    <m/>
    <m/>
    <m/>
    <m/>
    <m/>
    <m/>
    <m/>
    <n v="1071420651.7023619"/>
    <m/>
    <m/>
    <m/>
    <n v="84308291.224089816"/>
    <n v="90801278.746003807"/>
    <m/>
    <m/>
    <m/>
    <n v="7.8688320119771643E-2"/>
    <m/>
    <m/>
    <m/>
    <m/>
    <m/>
    <m/>
    <m/>
    <m/>
    <m/>
    <m/>
    <m/>
    <m/>
    <m/>
    <m/>
    <m/>
    <m/>
    <m/>
    <m/>
    <m/>
    <m/>
    <m/>
    <m/>
    <m/>
    <m/>
    <m/>
    <m/>
    <m/>
    <m/>
    <m/>
    <m/>
    <m/>
    <m/>
    <m/>
    <m/>
    <m/>
    <m/>
  </r>
  <r>
    <x v="129"/>
    <n v="2007"/>
    <x v="22"/>
    <s v="Africa"/>
    <m/>
    <s v="Mining"/>
    <s v="yes"/>
    <s v="no"/>
    <s v="no"/>
    <s v="Copper (in concentrate)"/>
    <s v="detailed"/>
    <s v="detailed Mining"/>
    <n v="31956"/>
    <m/>
    <m/>
    <m/>
    <m/>
    <s v="t"/>
    <n v="4851.071019"/>
    <s v="US$/t"/>
    <s v="Volume from USGS Mineral Yearbook 2009. Price from World Bank (Global Economic Monitor (GEM) Commodities database) - defined as: Copper (LME), grade A, minimum 99.9935% purity, cathodes and wire bar shapes, settlement price -  adjusted to account for the price given in the 2010 EITI Report being 68.15% of this in 2010."/>
    <n v="155020825.48316401"/>
    <m/>
    <m/>
    <m/>
    <m/>
    <m/>
    <m/>
    <m/>
    <m/>
    <m/>
    <m/>
    <m/>
    <m/>
    <m/>
    <m/>
    <m/>
    <m/>
    <m/>
    <m/>
    <m/>
    <m/>
    <m/>
    <m/>
    <m/>
    <m/>
    <m/>
    <m/>
    <m/>
    <m/>
    <m/>
    <m/>
    <m/>
    <m/>
    <m/>
    <m/>
    <m/>
    <m/>
    <m/>
    <m/>
    <m/>
    <m/>
    <m/>
    <m/>
    <m/>
    <m/>
    <m/>
  </r>
  <r>
    <x v="129"/>
    <n v="2007"/>
    <x v="22"/>
    <s v="Africa"/>
    <m/>
    <s v="Mining"/>
    <s v="yes"/>
    <s v="no"/>
    <s v="no"/>
    <s v="Gold"/>
    <s v="detailed"/>
    <s v="detailed Mining"/>
    <n v="72371.322777765003"/>
    <m/>
    <m/>
    <m/>
    <m/>
    <s v="toz"/>
    <n v="685.71207004999997"/>
    <s v="US$/toz"/>
    <s v="Volume from USGS Mineral Yearbook 2009. Price from World Bank (Global Economic Monitor (GEM) Commodities database) - defined as: Gold (UK), 99.5% fine, London afternoon fixing, average of daily rates - adjusted to account for the price given in the 2010 EITI Report being 98.42% of this in 2010."/>
    <n v="49625889.554197952"/>
    <m/>
    <m/>
    <m/>
    <m/>
    <m/>
    <m/>
    <m/>
    <m/>
    <m/>
    <m/>
    <m/>
    <m/>
    <m/>
    <m/>
    <m/>
    <m/>
    <m/>
    <m/>
    <m/>
    <m/>
    <m/>
    <m/>
    <m/>
    <m/>
    <m/>
    <m/>
    <m/>
    <m/>
    <m/>
    <m/>
    <m/>
    <m/>
    <m/>
    <m/>
    <m/>
    <m/>
    <m/>
    <m/>
    <m/>
    <m/>
    <m/>
    <m/>
    <m/>
    <m/>
    <m/>
  </r>
  <r>
    <x v="129"/>
    <n v="2007"/>
    <x v="22"/>
    <s v="Africa"/>
    <m/>
    <s v="Mining"/>
    <s v="yes"/>
    <s v="no"/>
    <s v="no"/>
    <s v="Iron ore"/>
    <s v="detailed"/>
    <s v="detailed Mining"/>
    <n v="11817000"/>
    <m/>
    <m/>
    <m/>
    <m/>
    <s v="t"/>
    <n v="73.349744999999999"/>
    <s v="US$/t"/>
    <s v="Volume from USGS Mineral Yearbook 2009. Price from World Bank (Global Economic Monitor (GEM) Commodities database) - defined as: Iron ore (any origin) fines, spot price, c.f.r. China, 62% Fe -  adjusted to account for the price given in the 2010 EITI Report being 59.64% of this in 2010."/>
    <n v="866773936.66499996"/>
    <m/>
    <m/>
    <m/>
    <m/>
    <m/>
    <m/>
    <m/>
    <m/>
    <m/>
    <m/>
    <m/>
    <m/>
    <m/>
    <m/>
    <m/>
    <m/>
    <m/>
    <m/>
    <m/>
    <m/>
    <m/>
    <m/>
    <m/>
    <m/>
    <m/>
    <m/>
    <m/>
    <m/>
    <m/>
    <m/>
    <m/>
    <m/>
    <m/>
    <m/>
    <m/>
    <m/>
    <m/>
    <m/>
    <m/>
    <m/>
    <m/>
    <m/>
    <m/>
    <m/>
    <m/>
  </r>
  <r>
    <x v="130"/>
    <n v="2008"/>
    <x v="22"/>
    <s v="Africa"/>
    <s v="http://www.CNITIE.mr"/>
    <s v="Oil, Mining"/>
    <s v="yes"/>
    <s v="no"/>
    <s v="yes"/>
    <s v="Total"/>
    <s v="Total"/>
    <s v="Total Oil, Mining"/>
    <m/>
    <m/>
    <m/>
    <m/>
    <m/>
    <m/>
    <m/>
    <m/>
    <m/>
    <n v="1846849616.6573961"/>
    <s v="State-owned company production entitlement, Profits/Taxes, Royalties, Dividends, Bonuses, Other significant benefits to government"/>
    <s v="Does not include payments made in-kind"/>
    <m/>
    <n v="231365651.58618"/>
    <n v="234899503.96719909"/>
    <m/>
    <m/>
    <m/>
    <n v="0.12527584785431936"/>
    <m/>
    <n v="237.613"/>
    <s v="Disaggregated by revenue stream"/>
    <m/>
    <m/>
    <m/>
    <m/>
    <m/>
    <m/>
    <n v="36"/>
    <s v="June 2011"/>
    <d v="2014-10-10T00:00:00"/>
    <s v="Fair Links"/>
    <s v="http://eiti.org/files/Mauritania%202008%20EITI%20Report.pdf"/>
    <m/>
    <m/>
    <m/>
    <m/>
    <m/>
    <m/>
    <m/>
    <m/>
    <m/>
    <m/>
    <m/>
    <m/>
    <m/>
    <m/>
    <m/>
    <m/>
    <m/>
    <m/>
    <m/>
    <m/>
    <m/>
    <m/>
  </r>
  <r>
    <x v="130"/>
    <n v="2008"/>
    <x v="22"/>
    <s v="Africa"/>
    <m/>
    <s v="Oil"/>
    <s v="no"/>
    <s v="no"/>
    <s v="yes"/>
    <s v="Oil"/>
    <s v="detailed"/>
    <s v="detailed Oil"/>
    <n v="4672000"/>
    <m/>
    <m/>
    <m/>
    <m/>
    <s v="bbl"/>
    <n v="99.881627999999992"/>
    <s v="US$/bbl"/>
    <s v="Volume from EIA. Price from BPSR 2014, and is an average of the spot prices for Brent, Dubai, Nigerian Forcados and West Texas Intermediate crude oil, adjusted to account for the prices given in the 2010-11 EITI Reports being an average 101.64% of this in 2010-11."/>
    <n v="466646966.01599997"/>
    <m/>
    <m/>
    <m/>
    <n v="88748000"/>
    <n v="88873000"/>
    <m/>
    <m/>
    <m/>
    <n v="0.19018231439001168"/>
    <m/>
    <m/>
    <m/>
    <m/>
    <m/>
    <m/>
    <m/>
    <m/>
    <m/>
    <m/>
    <m/>
    <m/>
    <m/>
    <m/>
    <m/>
    <m/>
    <m/>
    <m/>
    <m/>
    <m/>
    <m/>
    <m/>
    <m/>
    <m/>
    <m/>
    <m/>
    <m/>
    <m/>
    <m/>
    <m/>
    <m/>
    <m/>
    <m/>
    <m/>
    <m/>
    <m/>
  </r>
  <r>
    <x v="130"/>
    <n v="2008"/>
    <x v="22"/>
    <s v="Africa"/>
    <m/>
    <s v="Mining"/>
    <s v="yes"/>
    <s v="no"/>
    <s v="no"/>
    <s v="Total Mining"/>
    <s v="Total"/>
    <s v="Total Mining"/>
    <m/>
    <m/>
    <m/>
    <m/>
    <m/>
    <m/>
    <m/>
    <m/>
    <m/>
    <n v="1380202650.641396"/>
    <m/>
    <m/>
    <m/>
    <n v="142617651.58618009"/>
    <n v="146026503.96719909"/>
    <m/>
    <m/>
    <m/>
    <n v="0.10333095036435702"/>
    <m/>
    <m/>
    <m/>
    <m/>
    <m/>
    <m/>
    <m/>
    <m/>
    <m/>
    <m/>
    <m/>
    <m/>
    <m/>
    <m/>
    <m/>
    <m/>
    <m/>
    <m/>
    <m/>
    <m/>
    <m/>
    <m/>
    <m/>
    <m/>
    <m/>
    <m/>
    <m/>
    <m/>
    <m/>
    <m/>
    <m/>
    <m/>
    <m/>
    <m/>
    <m/>
    <m/>
  </r>
  <r>
    <x v="130"/>
    <n v="2008"/>
    <x v="22"/>
    <s v="Africa"/>
    <m/>
    <s v="Mining"/>
    <s v="yes"/>
    <s v="no"/>
    <s v="no"/>
    <s v="Copper (in concentrate)"/>
    <s v="detailed"/>
    <s v="detailed Mining"/>
    <n v="33073"/>
    <m/>
    <m/>
    <m/>
    <m/>
    <s v="t"/>
    <n v="4740.4321064166643"/>
    <s v="US$/t"/>
    <s v="Volume from USGS Mineral Yearbook 2011. Price from World Bank (Global Economic Monitor (GEM) Commodities database) - defined as: Copper (LME), grade A, minimum 99.9935% purity, cathodes and wire bar shapes, settlement price -  adjusted to account for the price given in the 2010 EITI Report being 68.15% of this in 2010."/>
    <n v="156780311.05551833"/>
    <m/>
    <m/>
    <m/>
    <m/>
    <m/>
    <m/>
    <m/>
    <m/>
    <m/>
    <m/>
    <m/>
    <m/>
    <m/>
    <m/>
    <m/>
    <m/>
    <m/>
    <m/>
    <m/>
    <m/>
    <m/>
    <m/>
    <m/>
    <m/>
    <m/>
    <m/>
    <m/>
    <m/>
    <m/>
    <m/>
    <m/>
    <m/>
    <m/>
    <m/>
    <m/>
    <m/>
    <m/>
    <m/>
    <m/>
    <m/>
    <m/>
    <m/>
    <m/>
    <m/>
    <m/>
  </r>
  <r>
    <x v="130"/>
    <n v="2008"/>
    <x v="22"/>
    <s v="Africa"/>
    <m/>
    <s v="Mining"/>
    <s v="yes"/>
    <s v="no"/>
    <s v="no"/>
    <s v="Gold"/>
    <s v="detailed"/>
    <s v="detailed Mining"/>
    <n v="201070.74751316852"/>
    <m/>
    <m/>
    <m/>
    <m/>
    <s v="toz"/>
    <n v="857.93427544999997"/>
    <s v="US$/toz"/>
    <s v="Volume from USGS Mineral Yearbook 2011. Price from World Bank (Global Economic Monitor (GEM) Commodities database) - defined as: Gold (UK), 99.5% fine, London afternoon fixing, average of daily rates - adjusted to account for the price given in the 2010 EITI Report being 98.42% of this in 2010."/>
    <n v="172505486.08190012"/>
    <m/>
    <m/>
    <m/>
    <m/>
    <m/>
    <m/>
    <m/>
    <m/>
    <m/>
    <m/>
    <m/>
    <m/>
    <m/>
    <m/>
    <m/>
    <m/>
    <m/>
    <m/>
    <m/>
    <m/>
    <m/>
    <m/>
    <m/>
    <m/>
    <m/>
    <m/>
    <m/>
    <m/>
    <m/>
    <m/>
    <m/>
    <m/>
    <m/>
    <m/>
    <m/>
    <m/>
    <m/>
    <m/>
    <m/>
    <m/>
    <m/>
    <m/>
    <m/>
    <m/>
    <m/>
  </r>
  <r>
    <x v="130"/>
    <n v="2008"/>
    <x v="22"/>
    <s v="Africa"/>
    <m/>
    <s v="Mining"/>
    <s v="yes"/>
    <s v="no"/>
    <s v="no"/>
    <s v="Iron ore"/>
    <s v="detailed"/>
    <s v="detailed Mining"/>
    <n v="11296000"/>
    <m/>
    <m/>
    <m/>
    <m/>
    <s v="t"/>
    <n v="93.034423999998026"/>
    <s v="US$/t"/>
    <s v="Volume from USGS Mineral Yearbook 2011. Price from World Bank (Global Economic Monitor (GEM) Commodities database) - defined as: Iron ore (any origin) fines, spot price, c.f.r. China, 62% Fe -  adjusted to account for the price given in the 2010 EITI Report being 59.64% of this in 2010."/>
    <n v="1050916853.5039777"/>
    <m/>
    <m/>
    <m/>
    <m/>
    <m/>
    <m/>
    <m/>
    <m/>
    <m/>
    <m/>
    <m/>
    <m/>
    <m/>
    <m/>
    <m/>
    <m/>
    <m/>
    <m/>
    <m/>
    <m/>
    <m/>
    <m/>
    <m/>
    <m/>
    <m/>
    <m/>
    <m/>
    <m/>
    <m/>
    <m/>
    <m/>
    <m/>
    <m/>
    <m/>
    <m/>
    <m/>
    <m/>
    <m/>
    <m/>
    <m/>
    <m/>
    <m/>
    <m/>
    <m/>
    <m/>
  </r>
  <r>
    <x v="131"/>
    <n v="2009"/>
    <x v="22"/>
    <s v="Africa"/>
    <s v="http://www.CNITIE.mr"/>
    <s v="Oil, Mining"/>
    <s v="yes"/>
    <s v="no"/>
    <s v="yes"/>
    <s v="Total"/>
    <s v="Total"/>
    <s v="Total Oil, Mining"/>
    <m/>
    <m/>
    <m/>
    <m/>
    <m/>
    <m/>
    <m/>
    <m/>
    <m/>
    <n v="1129676475.1075835"/>
    <s v="Host government's production entitlement, State-owned company production entitlement, Profits/Taxes, Royalties, Dividends, Bonuses, Other significant benefits to government"/>
    <s v="Also covers payments made in-kind"/>
    <s v="No"/>
    <n v="191165715.06295663"/>
    <n v="195416882.63640603"/>
    <m/>
    <m/>
    <m/>
    <n v="0.1692216482110519"/>
    <s v="United States Dollar and Mauritanian Ouguiya"/>
    <n v="257.32"/>
    <s v="Disaggregated by revenue stream"/>
    <m/>
    <n v="49105000"/>
    <m/>
    <m/>
    <n v="53"/>
    <s v="PETROLEUM PRODUCTION: Petronas, Tullow Oil, Roc Oil, Premier Oil, Kufpec. PETROLEUM EXPLORATION: 4M Energy, Baraka Petroleum, Blue Chip, Brimax, CNPCI, Dana Petroleum, Groupe ASB, Groupe Hi-Tech Mauritanie, IPG, Repsol YPF, Total E&amp;P Mauritanie, Wintershall, Zaver Petroleum Gulf. NATIONAL OIL COMPANY: Societe Mauritanienne des Hydrocarbures (SMH). MINING PRODUCTION: SNIM (Societe Nationale Industrielle et Miniere), MCM (Mauritanian Copper Mines), Tasiast Mauritanie. MINING EXPLORATION: Agrineq, Alco Materials, Atlantic Metals, Aura Energy, BSA, Bumi Mauritanie, Bumi Ressources, Caracal Gold, CIFC, El Aouj Mining Company, ID Geoservices, Macoba-TP, Maghreb Mining (2M), Managem, Maurigold, Mauritania Mining, Mauritania Holding, Mining Resources, Murchison United, Peak Metals, Resource Investment International, Roxwell Mining, Segma, Shield Metal, Shield Saboussiri, Somaso, Sonko Lowenthal, Sphere Mauritania, THL Mauritania Gold, Uranimetrics, Wadi al Rawda."/>
    <n v="36"/>
    <s v="September 2011"/>
    <d v="2014-11-13T00:00:00"/>
    <s v="Fair Links"/>
    <s v="http://eiti.org/files/Mauritania%202009%20EITI%20Report.pdf"/>
    <s v="16-17"/>
    <s v="Profit-oil (&quot;Etat-Puissance Publique&quot;) is received in-kind (see description of commercialization on p.10); the value of this oil is included in govt receipts. The value of cost-oil and profit-oil (&quot;Etat Associé&quot;) received by the national oil company (SMH) from private companies is also included as government receipts. No volume or price information is given for in-kind receipts. Total In-kind Payment Value includes profit oil received by govt, profit oil received by SMH, and cost oil received by SMH. Note that SMH paid US$17,443,000 to Sterling Energy to finance state parternship in the Chinguetti field (see footnote on p.16) -- this payment is not reflected in payment/revenue totals.  SMH also pays dividends to the state (none reported)."/>
    <m/>
    <m/>
    <m/>
    <m/>
    <m/>
    <m/>
    <m/>
    <m/>
    <m/>
    <m/>
    <m/>
    <m/>
    <m/>
    <m/>
    <m/>
    <m/>
    <m/>
    <m/>
    <m/>
    <m/>
  </r>
  <r>
    <x v="131"/>
    <n v="2009"/>
    <x v="22"/>
    <s v="Africa"/>
    <m/>
    <s v="Oil"/>
    <s v="no"/>
    <s v="no"/>
    <s v="yes"/>
    <s v="Oil"/>
    <s v="detailed"/>
    <s v="detailed Oil"/>
    <n v="4088000"/>
    <m/>
    <m/>
    <m/>
    <m/>
    <s v="bbl"/>
    <n v="63.100890685139994"/>
    <s v="US$/bbl"/>
    <s v="Volume from EIA. Price from BPSR 2014, and is an average of the spot prices for Brent, Dubai, Nigerian Forcados and West Texas Intermediate crude oil, adjusted to account for the prices given in the 2010-11 EITI Reports being an average 101.64% of this in 2010-11."/>
    <n v="257956441.12085229"/>
    <m/>
    <m/>
    <m/>
    <n v="62365000"/>
    <n v="62182000"/>
    <m/>
    <m/>
    <m/>
    <n v="0.24176562418451908"/>
    <m/>
    <m/>
    <m/>
    <m/>
    <m/>
    <m/>
    <m/>
    <m/>
    <m/>
    <m/>
    <m/>
    <m/>
    <m/>
    <m/>
    <m/>
    <m/>
    <m/>
    <m/>
    <m/>
    <m/>
    <m/>
    <m/>
    <m/>
    <m/>
    <m/>
    <m/>
    <m/>
    <m/>
    <m/>
    <m/>
    <m/>
    <m/>
    <m/>
    <m/>
    <m/>
    <m/>
  </r>
  <r>
    <x v="131"/>
    <n v="2009"/>
    <x v="22"/>
    <s v="Africa"/>
    <m/>
    <s v="Mining"/>
    <s v="yes"/>
    <s v="no"/>
    <s v="no"/>
    <s v="Total Mining"/>
    <s v="Total"/>
    <s v="Total Mining"/>
    <m/>
    <m/>
    <m/>
    <m/>
    <m/>
    <m/>
    <m/>
    <m/>
    <m/>
    <n v="871720033.98673129"/>
    <m/>
    <m/>
    <m/>
    <n v="128800715.06295663"/>
    <n v="133234882.63640603"/>
    <m/>
    <m/>
    <m/>
    <n v="0.14775468044929335"/>
    <m/>
    <m/>
    <m/>
    <m/>
    <m/>
    <m/>
    <m/>
    <m/>
    <m/>
    <m/>
    <m/>
    <m/>
    <m/>
    <m/>
    <m/>
    <m/>
    <m/>
    <m/>
    <m/>
    <m/>
    <m/>
    <m/>
    <m/>
    <m/>
    <m/>
    <m/>
    <m/>
    <m/>
    <m/>
    <m/>
    <m/>
    <m/>
    <m/>
    <m/>
    <m/>
    <m/>
  </r>
  <r>
    <x v="131"/>
    <n v="2009"/>
    <x v="22"/>
    <s v="Africa"/>
    <m/>
    <s v="Mining"/>
    <s v="yes"/>
    <s v="no"/>
    <s v="no"/>
    <s v="Copper (in concentrate)"/>
    <s v="detailed"/>
    <s v="detailed Mining"/>
    <n v="36600"/>
    <m/>
    <m/>
    <m/>
    <m/>
    <s v="t"/>
    <n v="3509.5468445416645"/>
    <s v="US$/t"/>
    <s v="Volume from USGS Mineral Yearbook 2011. Price from World Bank (Global Economic Monitor (GEM) Commodities database) - defined as: Copper (LME), grade A, minimum 99.9935% purity, cathodes and wire bar shapes, settlement price -  adjusted to account for the price given in the 2010 EITI Report being 68.15% of this in 2010."/>
    <n v="128449414.51022492"/>
    <m/>
    <m/>
    <m/>
    <m/>
    <m/>
    <m/>
    <m/>
    <m/>
    <m/>
    <m/>
    <m/>
    <m/>
    <m/>
    <m/>
    <m/>
    <m/>
    <m/>
    <m/>
    <m/>
    <m/>
    <m/>
    <m/>
    <m/>
    <m/>
    <m/>
    <m/>
    <m/>
    <m/>
    <m/>
    <m/>
    <m/>
    <m/>
    <m/>
    <m/>
    <m/>
    <m/>
    <m/>
    <m/>
    <m/>
    <m/>
    <m/>
    <m/>
    <m/>
    <m/>
    <m/>
  </r>
  <r>
    <x v="131"/>
    <n v="2009"/>
    <x v="22"/>
    <s v="Africa"/>
    <m/>
    <s v="Mining"/>
    <s v="yes"/>
    <s v="no"/>
    <s v="no"/>
    <s v="Gold"/>
    <s v="detailed"/>
    <s v="detailed Mining"/>
    <n v="251965.37388242752"/>
    <m/>
    <m/>
    <m/>
    <m/>
    <s v="toz"/>
    <n v="957.59305518333656"/>
    <s v="US$/toz"/>
    <s v="Volume from USGS Mineral Yearbook 2011. Price from World Bank (Global Economic Monitor (GEM) Commodities database) - defined as: Gold (UK), 99.5% fine, London afternoon fixing, average of daily rates - adjusted to account for the price given in the 2010 EITI Report being 98.42% of this in 2010."/>
    <n v="241280292.17648545"/>
    <m/>
    <m/>
    <m/>
    <m/>
    <m/>
    <m/>
    <m/>
    <m/>
    <m/>
    <m/>
    <m/>
    <m/>
    <m/>
    <m/>
    <m/>
    <m/>
    <m/>
    <m/>
    <m/>
    <m/>
    <m/>
    <m/>
    <m/>
    <m/>
    <m/>
    <m/>
    <m/>
    <m/>
    <m/>
    <m/>
    <m/>
    <m/>
    <m/>
    <m/>
    <m/>
    <m/>
    <m/>
    <m/>
    <m/>
    <m/>
    <m/>
    <m/>
    <m/>
    <m/>
    <m/>
  </r>
  <r>
    <x v="131"/>
    <n v="2009"/>
    <x v="22"/>
    <s v="Africa"/>
    <m/>
    <s v="Mining"/>
    <s v="yes"/>
    <s v="no"/>
    <s v="no"/>
    <s v="Iron ore"/>
    <s v="detailed"/>
    <s v="detailed Mining"/>
    <n v="10524000"/>
    <m/>
    <m/>
    <m/>
    <m/>
    <s v="t"/>
    <n v="47.699575000001992"/>
    <s v="US$/t"/>
    <s v="Volume from USGS Mineral Yearbook 2011. Price from World Bank (Global Economic Monitor (GEM) Commodities database) - defined as: Iron ore (any origin) fines, spot price, c.f.r. China, 62% Fe -  adjusted to account for the price given in the 2010 EITI Report being 59.64% of this in 2010."/>
    <n v="501990327.30002099"/>
    <m/>
    <m/>
    <m/>
    <m/>
    <m/>
    <m/>
    <m/>
    <m/>
    <m/>
    <m/>
    <m/>
    <m/>
    <m/>
    <m/>
    <m/>
    <m/>
    <m/>
    <m/>
    <m/>
    <m/>
    <m/>
    <m/>
    <m/>
    <m/>
    <m/>
    <m/>
    <m/>
    <m/>
    <m/>
    <m/>
    <m/>
    <m/>
    <m/>
    <m/>
    <m/>
    <m/>
    <m/>
    <m/>
    <m/>
    <m/>
    <m/>
    <m/>
    <m/>
    <m/>
    <m/>
  </r>
  <r>
    <x v="132"/>
    <n v="2010"/>
    <x v="22"/>
    <s v="Africa"/>
    <s v="http://www.CNITIE.mr"/>
    <s v="Oil, Mining"/>
    <s v="yes"/>
    <s v="no"/>
    <s v="yes"/>
    <s v="Total"/>
    <s v="Total"/>
    <s v="Total Oil, Mining"/>
    <m/>
    <m/>
    <m/>
    <m/>
    <m/>
    <m/>
    <m/>
    <m/>
    <m/>
    <n v="1806134712.7067201"/>
    <s v="Host government's production entitlement, Profits/Taxes, Dividends, Bonuses, Licenses and concessions, Other significant benefits to government"/>
    <s v="Also covers payments made in-kind"/>
    <s v="Yes (value of national oil company's in-kind receipts has been added to totals, the value of govt in-kind receipts commercialized by the NOC is already included)"/>
    <n v="270018612.99116182"/>
    <n v="237278711.68385196"/>
    <m/>
    <m/>
    <m/>
    <n v="0.14950081579823299"/>
    <s v="United States Dollar and Mauritanian Ouguiya"/>
    <n v="271.55"/>
    <s v="Disaggregated by revenue stream, Disaggregated by company"/>
    <s v="726,859 bbl of oil"/>
    <n v="57163005"/>
    <m/>
    <m/>
    <n v="62"/>
    <s v="NATIONAL OIL COMPANY: Societe Maurtanienne des Hydrocarbures (SMH). PETROLEUM PRODUCTION: Petronas. PETROLEUM EXPLORATION: Dana Petroleum, International Petroleum Grouping (IPG), Repsol, Sonatrach, Total, Tullow Oil, Wintershall. STATE-OWNED MINING COMPANY: Societe Nationale Indtrielle et Minere (SNIM). MINING PRODUCTION: Mauritanian Copper Mines (MCM), Tasiast. MINING EXPLORATION: AGRINEQ, Alco Materials, Alecto Holdings International, Atlantic Metals, Aura Energy, Bofal Indo Mining Company, BSA, Bumi Mauritanie, Caracal Gold, CIFC, Curve Capital Ventures, Drake Resources, Durman International Group, Al Aouj Mining Company, ELite Earth Minerals and Metals, Forte Energy, Ghana Ressources, Ghazal Minerals, Gulf Western Mining, ID Geoservices, Lusitania Iron, Lusitania Metals, Lusitania Uranium, Macoba-TP, Maghreb Oil and Mining, Managem, Massadir, Mauriplat, Mauritania for Mining and Services, Mauritania Mining Resources, Mayritanian Minerals Company (MMC), Mauritania Ventures, Mauritanian Holding, Mineralis, Mining Resources, Mining Ventures, Murchison, Negoce International Mining, Peak Metals, Piedras Ornementales Hergha SL, Resource Investment International, Roxwell Mining, Shield Mining, Shield Mining Saboussiri, Silvrex, SMCRP, Somaso SA, Somaso 1, Sonko Lowenthal, Sphere Mauritania, Tafoli Minerals, Tayssir Resources, TransAfrika, THL Mauritania Gold, NMIN Limited, Uranimetrics, Wadi Al Rawda, Wafa Mining, Wirama Entiti Mauritania."/>
    <n v="73"/>
    <s v="June 2013"/>
    <d v="2014-11-14T00:00:00"/>
    <s v="Fair Links"/>
    <s v="http://eiti.org/files/Mauritania-2010-EITI-Report.pdf"/>
    <s v="8, 10, 12, 18-21"/>
    <s v="eiti.org totals do not include &quot;indirect payments&quot; or the value of in-kind receipts recieved by SMH for its own account. Total In-kind Payment Volumes include oil received by SMH for its own account (Cost Oil/Profit Oil-Etat Associé = 280,025 bbl) and the volume received by SMH and commercialized on behalf of the state (Profit Oil-Puissance Publique = 446,834 bbl). Note that Total In-kind Payment Value includes the value of &quot;Etat-Associe&quot; in-kind receipts priced at $80.20/bbl (the state received $34,705,000, or  $77.67/bbl for the &quot;Puissance-Publique&quot; portion). Note also that SMH is considered both a receiving entity (for Cost Oil/Profit Oil-Etat Associé) and a paying company (for the commercialized value of Profit Oil-Puissance Publique and Dividends). The value of Profit Oil-Puissance Publique is included in the EITI Report's revenue totals, but the value of in-kind Cost Oil/Profit Oil-Etat Associé received by SMH from private companies is not; it has been added to totals here based on the average oil price given in the report ($80.20/bbl, see p.10). Of the 280,025 bbl received by SMH as Cost Oil/Profit Oil-Etat Associé, 173,983 bbl was &quot;paid&quot; to Sterling Energy to finance the state's interest in the Chinguetti field (see footnote p.18); the value of this payment is not reflected in Government receipts or company payments. &quot;Indirect payments&quot; were reported unilaterally by govt and have been included in Total Received by Govt."/>
    <m/>
    <m/>
    <m/>
    <m/>
    <m/>
    <m/>
    <m/>
    <m/>
    <m/>
    <m/>
    <m/>
    <m/>
    <m/>
    <m/>
    <m/>
    <m/>
    <m/>
    <m/>
    <m/>
    <m/>
  </r>
  <r>
    <x v="132"/>
    <n v="2010"/>
    <x v="22"/>
    <s v="Africa"/>
    <m/>
    <s v="Oil"/>
    <s v="no"/>
    <s v="no"/>
    <s v="yes"/>
    <s v="Oil"/>
    <s v="detailed"/>
    <s v="detailed Oil"/>
    <n v="2993000"/>
    <m/>
    <m/>
    <m/>
    <m/>
    <s v="bbl"/>
    <n v="80.2"/>
    <s v="US$/bbl"/>
    <s v="Volume from EIA. Price from EITI Report, and is an average of the spot prices for Brent, Dubai, Nigerian Forcados and West Texas Intermediate crude oil."/>
    <n v="240038600"/>
    <m/>
    <m/>
    <m/>
    <n v="69260005"/>
    <n v="60976005"/>
    <m/>
    <m/>
    <m/>
    <n v="0.28853694780756095"/>
    <m/>
    <m/>
    <m/>
    <m/>
    <m/>
    <m/>
    <m/>
    <m/>
    <m/>
    <m/>
    <m/>
    <m/>
    <m/>
    <m/>
    <m/>
    <m/>
    <m/>
    <m/>
    <m/>
    <m/>
    <m/>
    <m/>
    <m/>
    <m/>
    <m/>
    <m/>
    <m/>
    <m/>
    <m/>
    <m/>
    <m/>
    <m/>
    <m/>
    <m/>
    <m/>
    <m/>
  </r>
  <r>
    <x v="132"/>
    <n v="2010"/>
    <x v="22"/>
    <s v="Africa"/>
    <m/>
    <s v="Mining"/>
    <s v="yes"/>
    <s v="no"/>
    <s v="no"/>
    <s v="Total Mining"/>
    <s v="Total"/>
    <s v="Total Mining"/>
    <m/>
    <m/>
    <m/>
    <m/>
    <m/>
    <m/>
    <m/>
    <m/>
    <m/>
    <n v="1566096112.7067201"/>
    <m/>
    <m/>
    <m/>
    <n v="200758607.99116185"/>
    <n v="176302706.68385196"/>
    <m/>
    <m/>
    <m/>
    <n v="0.12819047717587786"/>
    <m/>
    <m/>
    <m/>
    <m/>
    <m/>
    <m/>
    <m/>
    <m/>
    <m/>
    <m/>
    <m/>
    <m/>
    <m/>
    <m/>
    <m/>
    <m/>
    <m/>
    <m/>
    <m/>
    <m/>
    <m/>
    <m/>
    <m/>
    <m/>
    <m/>
    <m/>
    <m/>
    <m/>
    <m/>
    <m/>
    <m/>
    <m/>
    <m/>
    <m/>
    <m/>
    <m/>
  </r>
  <r>
    <x v="132"/>
    <n v="2010"/>
    <x v="22"/>
    <s v="Africa"/>
    <m/>
    <s v="Mining"/>
    <s v="yes"/>
    <s v="no"/>
    <s v="no"/>
    <s v="Cement"/>
    <s v="detailed"/>
    <s v="detailed Mining"/>
    <n v="552382"/>
    <m/>
    <m/>
    <m/>
    <m/>
    <s v="t"/>
    <n v="92"/>
    <s v="US$/t"/>
    <s v="Volume from USGS Mineral Yearbook 2011. Price from USGS Mineral Commodity Summary 2014, and is the average mill price for cement in the US."/>
    <n v="50819144"/>
    <m/>
    <m/>
    <m/>
    <m/>
    <m/>
    <m/>
    <m/>
    <m/>
    <m/>
    <m/>
    <m/>
    <m/>
    <m/>
    <m/>
    <m/>
    <m/>
    <m/>
    <m/>
    <m/>
    <m/>
    <m/>
    <m/>
    <m/>
    <m/>
    <m/>
    <m/>
    <m/>
    <m/>
    <m/>
    <m/>
    <m/>
    <m/>
    <m/>
    <m/>
    <m/>
    <m/>
    <m/>
    <m/>
    <m/>
    <m/>
    <m/>
    <m/>
    <m/>
    <m/>
    <m/>
  </r>
  <r>
    <x v="132"/>
    <n v="2010"/>
    <x v="22"/>
    <s v="Africa"/>
    <m/>
    <s v="Mining"/>
    <s v="yes"/>
    <s v="no"/>
    <s v="no"/>
    <s v="Copper (in concentrate)"/>
    <s v="detailed"/>
    <s v="detailed Mining"/>
    <n v="37000"/>
    <m/>
    <m/>
    <m/>
    <m/>
    <s v="t"/>
    <n v="5135.1400000000003"/>
    <s v="US$/t"/>
    <s v="Volume from USGS Mineral Yearbook 2011. Price from EITI Report, and is based on the reported value and volume of exports."/>
    <n v="190000180"/>
    <m/>
    <m/>
    <m/>
    <m/>
    <m/>
    <m/>
    <m/>
    <m/>
    <m/>
    <m/>
    <m/>
    <m/>
    <m/>
    <m/>
    <m/>
    <m/>
    <m/>
    <m/>
    <m/>
    <m/>
    <m/>
    <m/>
    <m/>
    <m/>
    <s v="Copper exports were valued at $190,000,000 (p.12)."/>
    <m/>
    <m/>
    <m/>
    <m/>
    <m/>
    <m/>
    <m/>
    <m/>
    <m/>
    <m/>
    <m/>
    <m/>
    <m/>
    <m/>
    <m/>
    <m/>
    <m/>
    <m/>
    <m/>
    <m/>
  </r>
  <r>
    <x v="132"/>
    <n v="2010"/>
    <x v="22"/>
    <s v="Africa"/>
    <m/>
    <s v="Mining"/>
    <s v="yes"/>
    <s v="no"/>
    <s v="no"/>
    <s v="Gold"/>
    <s v="detailed"/>
    <s v="detailed Mining"/>
    <n v="267011.92166563234"/>
    <m/>
    <m/>
    <m/>
    <m/>
    <s v="toz"/>
    <n v="1205.26"/>
    <s v="US$/toz"/>
    <s v="Volume from USGS Mineral Yearbook 2011. Price from EITI Report, and is based on the reported value and volume of exports."/>
    <n v="321818788.70672005"/>
    <m/>
    <m/>
    <m/>
    <m/>
    <m/>
    <m/>
    <m/>
    <m/>
    <m/>
    <m/>
    <m/>
    <m/>
    <m/>
    <m/>
    <m/>
    <m/>
    <m/>
    <m/>
    <m/>
    <m/>
    <m/>
    <m/>
    <m/>
    <m/>
    <s v="Gold exports were valued at $310,000,000 (p.12)."/>
    <m/>
    <m/>
    <m/>
    <m/>
    <m/>
    <m/>
    <m/>
    <m/>
    <m/>
    <m/>
    <m/>
    <m/>
    <m/>
    <m/>
    <m/>
    <m/>
    <m/>
    <m/>
    <m/>
    <m/>
  </r>
  <r>
    <x v="132"/>
    <n v="2010"/>
    <x v="22"/>
    <s v="Africa"/>
    <m/>
    <s v="Mining"/>
    <s v="yes"/>
    <s v="no"/>
    <s v="no"/>
    <s v="Iron ore"/>
    <s v="detailed"/>
    <s v="detailed Mining"/>
    <n v="11534000"/>
    <m/>
    <m/>
    <m/>
    <m/>
    <s v="t"/>
    <n v="87"/>
    <s v="US$/t"/>
    <s v="Volume from USGS Mineral Yearbook 2011. Price from EITI Report, and is based on the reported value and volume of exports."/>
    <n v="1003458000"/>
    <m/>
    <m/>
    <m/>
    <m/>
    <m/>
    <m/>
    <m/>
    <m/>
    <m/>
    <m/>
    <m/>
    <m/>
    <m/>
    <m/>
    <m/>
    <m/>
    <m/>
    <m/>
    <m/>
    <m/>
    <m/>
    <m/>
    <m/>
    <m/>
    <s v="Iron ore exports were valued at $1,000,000,000 (p.12)."/>
    <m/>
    <m/>
    <m/>
    <m/>
    <m/>
    <m/>
    <m/>
    <m/>
    <m/>
    <m/>
    <m/>
    <m/>
    <m/>
    <m/>
    <m/>
    <m/>
    <m/>
    <m/>
    <m/>
    <m/>
  </r>
  <r>
    <x v="133"/>
    <n v="2011"/>
    <x v="22"/>
    <s v="Africa"/>
    <s v="http://www.CNITIE.mr"/>
    <s v="Oil, Mining"/>
    <s v="yes"/>
    <s v="no"/>
    <s v="yes"/>
    <s v="Total"/>
    <s v="Total"/>
    <s v="Total Oil, Mining"/>
    <m/>
    <m/>
    <m/>
    <m/>
    <m/>
    <m/>
    <m/>
    <m/>
    <m/>
    <n v="2068434236.7701116"/>
    <s v="Host government's production entitlement, Profits/Taxes, Dividends, Bonuses, Licenses and concessions, Other significant benefits to government"/>
    <s v="Also covers payments made in-kind"/>
    <s v="Yes (value of national oil company's in-kind receipts has been added to totals, the value of govt in-kind receipts commercialized by the NOC is already included)"/>
    <n v="448018316.76552463"/>
    <n v="429224820.98045433"/>
    <m/>
    <m/>
    <m/>
    <n v="0.21659780562572362"/>
    <s v="United States Dollar and Mauritanian Ouguiya"/>
    <n v="277.3"/>
    <s v="Disaggregated by revenue stream, Disaggregated by company"/>
    <s v="767,817 bbl of oil"/>
    <n v="80488499.599999994"/>
    <m/>
    <m/>
    <n v="70"/>
    <s v="NATIONAL OIL COMPANY: Societe Maurtanienne des Hydrocarbures (SMH). PETROLEUM PRODUCTION: Petronas. PETROLEUM EXPLORATION: Dana Petroleum, International Petroleum Grouping (IPG), Repsol, Sonatrach, Total, Tullow Oil, Wintershall. STATE-OWNED MINING COMPANY: Societe Nationale Indtrielle et Minere (SNIM). MINING PRODUCTION: Mauritanian Copper Mines (MCM), Tasiast. MINING EXPLORATION: AGRINEQ, Amssega Exploration, ARVG Specialty Mines (PVT), Atlantic Metals, Aura Energy, Bofal Indo Mining Company, BSA, Bumi Mauritanie, Caracal Gold, CIFC, Curve Capital Ventures, Drake Resources, Durman International Group, Earthstone RM, El Aouj Mining Company, Elite Earth Minerals and Metals, Energie Atlantique, Es Minerals, Forte Energy, Generale Miniere Mauritanienne, Ghazal Minerals, Global Mauritania Mining, ID Geoservices, Karfahane Co., Lusitania Iron, Lusitania Metals, Lusitania Uranium, Macoba-TP, Mauritania Energy Minerals, Mauritanian Minerals Company (MMC), Mauritania Mining Resources, Mauritania Ventures, Mauritanian Ressources, Mineralis, Negoce International Mining, Orecorp Mauritania, Pacific Andes Resources Development, Peak Metals, Sahara Minerals, Shield Mining, Shield Mining Saboussiri, Silvrex, Societe MAS, Somaso SA, Somaso 1, Sonko Lowenthal, Sphere Mauritania, Tafoli, Minerals, TAJ-Africa, Tamagot Bumi, Tayssir Resources, Tazadit Underground Mine, THL Mauritania Gold, TransAfrika, Wada Al Rawda, Wafa Mining, Wirama Entiti Mauritania."/>
    <n v="63"/>
    <s v="June 2013"/>
    <d v="2014-11-14T00:00:00"/>
    <s v="Fair Links"/>
    <s v="http://eiti.org/files/Mauritania-2011-EITI-Report.pdf"/>
    <s v="8, 10, 12, 18-21"/>
    <s v="eiti.org totals do not include &quot;indirect payments&quot; or the value of in-kind receipts recieved by SMH for its own account. Total In-kind Payment Volumes include oil received by SMH for its own account (Cost Oil/Profit Oil-Etat Associé = 297,764 bbl) and the volume received by SMH and commercialized on behalf of the state (Profit Oil-Puissance Publique = 470,053 bbl). Note that Total In-kind Payment Value includes the value of &quot;Etat Associé&quot; in-kind receipts priced at $108.90/bbl (the state received $48,062,000, or  $102.25/bbl, for the Puissance-Publique portion). Note also that SMH is considered both a receiving entity (for Cost Oil/Profit Oil-Etat Associé) and a paying company (for the commercialized value of Profit Oil-Puissance Publique and Dividends). The value of Profit Oil-Puissance Publique is included in the EITI Report's revenue totals, but the value of in-kind Cost Oil/Profit Oil-Etat Associé received by SMH from private companies is not; it has been added to totals here based on the average oil price given in the report ($108.90/bbl, see p.10). Of the 297,764 bbl received by SMH as Cost Oil/Profit Oil-Etat Associé, 235,710 bbl was &quot;paid&quot; to Sterling Energy to finance the state's interest in the Chinguetti field (see footnote p.18); the value of this payment is not reflected in Government receipts or company payments. &quot;Indirect payments&quot; were reported unilaterally by govt and have been included in Total Received by Govt."/>
    <m/>
    <m/>
    <m/>
    <m/>
    <m/>
    <m/>
    <m/>
    <m/>
    <m/>
    <m/>
    <m/>
    <m/>
    <m/>
    <m/>
    <m/>
    <m/>
    <m/>
    <m/>
    <m/>
    <m/>
  </r>
  <r>
    <x v="133"/>
    <n v="2011"/>
    <x v="22"/>
    <s v="Africa"/>
    <m/>
    <s v="Oil"/>
    <s v="no"/>
    <s v="no"/>
    <s v="yes"/>
    <s v="Oil"/>
    <s v="detailed"/>
    <s v="detailed Oil"/>
    <n v="2810500"/>
    <m/>
    <m/>
    <m/>
    <m/>
    <s v="bbl"/>
    <n v="108.9"/>
    <s v="US$/bbl"/>
    <s v="Volume from EIA. Price from BPSR 2014, and is an average of the spot prices for Brent, Dubai, Nigerian Forcados and West Texas Intermediate crude oil."/>
    <n v="306063450"/>
    <m/>
    <m/>
    <m/>
    <n v="112659499.59999999"/>
    <n v="100872855.59999999"/>
    <m/>
    <m/>
    <m/>
    <n v="0.36809197439289137"/>
    <m/>
    <m/>
    <m/>
    <m/>
    <m/>
    <m/>
    <m/>
    <m/>
    <m/>
    <m/>
    <m/>
    <m/>
    <m/>
    <m/>
    <m/>
    <m/>
    <m/>
    <m/>
    <m/>
    <m/>
    <m/>
    <m/>
    <m/>
    <m/>
    <m/>
    <m/>
    <m/>
    <m/>
    <m/>
    <m/>
    <m/>
    <m/>
    <m/>
    <m/>
    <m/>
    <m/>
  </r>
  <r>
    <x v="133"/>
    <n v="2011"/>
    <x v="22"/>
    <s v="Africa"/>
    <m/>
    <s v="Mining"/>
    <s v="yes"/>
    <s v="no"/>
    <s v="no"/>
    <s v="Total Mining"/>
    <s v="Total"/>
    <s v="Total Mining"/>
    <m/>
    <m/>
    <m/>
    <m/>
    <m/>
    <m/>
    <m/>
    <m/>
    <m/>
    <n v="1762370786.7701116"/>
    <m/>
    <m/>
    <m/>
    <n v="335358817.16552466"/>
    <n v="328351965.38045436"/>
    <m/>
    <m/>
    <m/>
    <n v="0.1902884567101428"/>
    <m/>
    <m/>
    <m/>
    <m/>
    <m/>
    <m/>
    <m/>
    <m/>
    <m/>
    <m/>
    <m/>
    <m/>
    <m/>
    <m/>
    <m/>
    <m/>
    <m/>
    <m/>
    <m/>
    <m/>
    <m/>
    <m/>
    <m/>
    <m/>
    <m/>
    <m/>
    <m/>
    <m/>
    <m/>
    <m/>
    <m/>
    <m/>
    <m/>
    <m/>
    <m/>
    <m/>
  </r>
  <r>
    <x v="133"/>
    <n v="2011"/>
    <x v="22"/>
    <s v="Africa"/>
    <m/>
    <s v="Mining"/>
    <s v="yes"/>
    <s v="no"/>
    <s v="no"/>
    <s v="Copper (in concentrate)"/>
    <s v="detailed"/>
    <s v="detailed Mining"/>
    <n v="39900"/>
    <m/>
    <m/>
    <m/>
    <m/>
    <s v="t"/>
    <n v="6016.4097812500004"/>
    <s v="US$/t"/>
    <s v="Volume from USGS Mineral Yearbook 2011. Price from World Bank (Global Economic Monitor (GEM) Commodities database) - defined as: Copper (LME), grade A, minimum 99.9935% purity, cathodes and wire bar shapes, settlement price -  adjusted to account for the price given in the 2010 EITI Report being 68.15% of this in 2010."/>
    <n v="240054750.27187502"/>
    <m/>
    <m/>
    <m/>
    <m/>
    <m/>
    <m/>
    <m/>
    <m/>
    <m/>
    <m/>
    <m/>
    <m/>
    <m/>
    <m/>
    <m/>
    <m/>
    <m/>
    <m/>
    <m/>
    <m/>
    <m/>
    <m/>
    <m/>
    <m/>
    <m/>
    <m/>
    <m/>
    <m/>
    <m/>
    <m/>
    <m/>
    <m/>
    <m/>
    <m/>
    <m/>
    <m/>
    <m/>
    <m/>
    <m/>
    <m/>
    <m/>
    <m/>
    <m/>
    <m/>
    <m/>
  </r>
  <r>
    <x v="133"/>
    <n v="2011"/>
    <x v="22"/>
    <s v="Africa"/>
    <m/>
    <s v="Mining"/>
    <s v="yes"/>
    <s v="no"/>
    <s v="no"/>
    <s v="Gold"/>
    <s v="detailed"/>
    <s v="detailed Mining"/>
    <n v="262735.87282980705"/>
    <m/>
    <m/>
    <m/>
    <m/>
    <s v="toz"/>
    <n v="1544.4173021666631"/>
    <s v="US$/toz"/>
    <s v="Volume from USGS Mineral Yearbook 2011. Price from World Bank (Global Economic Monitor (GEM) Commodities database) - defined as: Gold (UK), 99.5% fine, London afternoon fixing, average of daily rates - adjusted to account for the price given in the 2010 EITI Report being 98.42% of this in 2010."/>
    <n v="405773827.8982141"/>
    <m/>
    <m/>
    <m/>
    <m/>
    <m/>
    <m/>
    <m/>
    <m/>
    <m/>
    <m/>
    <m/>
    <m/>
    <m/>
    <m/>
    <m/>
    <m/>
    <m/>
    <m/>
    <m/>
    <m/>
    <m/>
    <m/>
    <m/>
    <m/>
    <m/>
    <m/>
    <m/>
    <m/>
    <m/>
    <m/>
    <m/>
    <m/>
    <m/>
    <m/>
    <m/>
    <m/>
    <m/>
    <m/>
    <m/>
    <m/>
    <m/>
    <m/>
    <m/>
    <m/>
    <m/>
  </r>
  <r>
    <x v="133"/>
    <n v="2011"/>
    <x v="22"/>
    <s v="Africa"/>
    <m/>
    <s v="Mining"/>
    <s v="yes"/>
    <s v="no"/>
    <s v="no"/>
    <s v="Iron ore"/>
    <s v="detailed"/>
    <s v="detailed Mining"/>
    <n v="11160000"/>
    <m/>
    <m/>
    <m/>
    <m/>
    <s v="t"/>
    <n v="100.04858500000199"/>
    <s v="US$/t"/>
    <s v="Volume from USGS Mineral Yearbook 2011. Price from World Bank (Global Economic Monitor (GEM) Commodities database) - defined as: Iron ore (any origin) fines, spot price, c.f.r. China, 62% Fe -  adjusted to account for the price given in the 2010 EITI Report being 59.64% of this in 2010."/>
    <n v="1116542208.6000223"/>
    <m/>
    <m/>
    <m/>
    <m/>
    <m/>
    <m/>
    <m/>
    <m/>
    <m/>
    <m/>
    <m/>
    <m/>
    <m/>
    <m/>
    <m/>
    <m/>
    <m/>
    <m/>
    <m/>
    <m/>
    <m/>
    <m/>
    <m/>
    <m/>
    <m/>
    <m/>
    <m/>
    <m/>
    <m/>
    <m/>
    <m/>
    <m/>
    <m/>
    <m/>
    <m/>
    <m/>
    <m/>
    <m/>
    <m/>
    <m/>
    <m/>
    <m/>
    <m/>
    <m/>
    <m/>
  </r>
  <r>
    <x v="134"/>
    <n v="2012"/>
    <x v="22"/>
    <s v="Africa"/>
    <s v="http://www.CNITIE.mr"/>
    <s v="Oil, Mining"/>
    <m/>
    <m/>
    <m/>
    <s v="Total"/>
    <m/>
    <m/>
    <m/>
    <m/>
    <m/>
    <m/>
    <m/>
    <m/>
    <m/>
    <m/>
    <s v="Volume from EITI Report"/>
    <n v="2052846535"/>
    <s v="Host government's production entitlement, State-owned company production entitlement, Profits/Taxes, Royalties, Dividends, Bonuses, Licenses and concessions, Other significant benefits to government"/>
    <s v="Does not include payments made in-kind"/>
    <s v="No"/>
    <n v="472169395.82999998"/>
    <n v="468640335.36000001"/>
    <n v="1"/>
    <n v="540931966.22000003"/>
    <m/>
    <n v="0.26350000000000001"/>
    <s v="Mauritanian Ouguiya"/>
    <n v="295.89999999999998"/>
    <s v="Disaggregated by revenue stream, Disaggregated by company"/>
    <m/>
    <m/>
    <m/>
    <m/>
    <n v="21"/>
    <s v="SNIM, MCM, Tasiast Mauritanie, El Aouj Mining Company SA, Sphere Mauritania SA, Société Mauritanienne des Hydrocarbures et du Patrimoine Minier, Petronas, Dana Petroleum, International Petroleum Grouping (IPG), Repsol, Sonatrach (SIPEX), Total, Tullow Oil, Chariot Oil Gas Limited, Kosmos Energy"/>
    <n v="15"/>
    <s v="December 2014"/>
    <m/>
    <s v="Moore Stephens"/>
    <s v="https://eiti.org/files/Rapport%20final%20-%20Conciliation%20ITIE%20Mauritanie%202012.pdf"/>
    <m/>
    <s v="Total payments by stream/company differ. Production value is export value and are figures reported by companies (not the government)."/>
    <m/>
    <m/>
    <m/>
    <m/>
    <m/>
    <m/>
    <m/>
    <m/>
    <m/>
    <m/>
    <m/>
    <m/>
    <m/>
    <m/>
    <m/>
    <m/>
    <m/>
    <m/>
    <m/>
    <m/>
  </r>
  <r>
    <x v="134"/>
    <n v="2012"/>
    <x v="22"/>
    <s v="Africa"/>
    <m/>
    <s v="Oil"/>
    <m/>
    <m/>
    <m/>
    <s v="Oil"/>
    <m/>
    <m/>
    <m/>
    <m/>
    <m/>
    <m/>
    <n v="2640474"/>
    <s v="bbl"/>
    <m/>
    <m/>
    <m/>
    <n v="271354358"/>
    <m/>
    <m/>
    <m/>
    <m/>
    <m/>
    <m/>
    <m/>
    <m/>
    <m/>
    <m/>
    <m/>
    <m/>
    <m/>
    <m/>
    <m/>
    <m/>
    <m/>
    <m/>
    <m/>
    <m/>
    <m/>
    <m/>
    <m/>
    <m/>
    <m/>
    <m/>
    <m/>
    <m/>
    <m/>
    <m/>
    <m/>
    <m/>
    <m/>
    <m/>
    <m/>
    <m/>
    <m/>
    <m/>
    <m/>
    <m/>
    <m/>
    <m/>
    <m/>
    <m/>
    <m/>
  </r>
  <r>
    <x v="134"/>
    <n v="2012"/>
    <x v="22"/>
    <s v="Africa"/>
    <m/>
    <s v="Mining"/>
    <m/>
    <m/>
    <m/>
    <s v="Total Mining"/>
    <m/>
    <m/>
    <m/>
    <m/>
    <m/>
    <m/>
    <m/>
    <m/>
    <m/>
    <m/>
    <m/>
    <n v="1781492177"/>
    <m/>
    <m/>
    <m/>
    <m/>
    <m/>
    <m/>
    <m/>
    <m/>
    <m/>
    <m/>
    <m/>
    <m/>
    <m/>
    <m/>
    <m/>
    <m/>
    <m/>
    <m/>
    <m/>
    <m/>
    <m/>
    <m/>
    <m/>
    <m/>
    <m/>
    <m/>
    <m/>
    <m/>
    <m/>
    <m/>
    <m/>
    <m/>
    <m/>
    <m/>
    <m/>
    <m/>
    <m/>
    <m/>
    <m/>
    <m/>
    <m/>
    <m/>
    <m/>
    <m/>
    <m/>
  </r>
  <r>
    <x v="134"/>
    <n v="2012"/>
    <x v="22"/>
    <s v="Africa"/>
    <m/>
    <s v="Mining"/>
    <m/>
    <m/>
    <m/>
    <s v="Iron"/>
    <m/>
    <m/>
    <m/>
    <m/>
    <m/>
    <m/>
    <n v="11170000"/>
    <s v="t"/>
    <m/>
    <m/>
    <m/>
    <n v="1127100000"/>
    <m/>
    <m/>
    <m/>
    <m/>
    <m/>
    <m/>
    <m/>
    <m/>
    <m/>
    <m/>
    <m/>
    <m/>
    <m/>
    <m/>
    <m/>
    <m/>
    <m/>
    <m/>
    <m/>
    <m/>
    <m/>
    <m/>
    <m/>
    <m/>
    <m/>
    <m/>
    <m/>
    <m/>
    <m/>
    <m/>
    <m/>
    <m/>
    <m/>
    <m/>
    <m/>
    <m/>
    <m/>
    <m/>
    <m/>
    <m/>
    <m/>
    <m/>
    <m/>
    <m/>
    <m/>
  </r>
  <r>
    <x v="134"/>
    <n v="2012"/>
    <x v="22"/>
    <s v="Africa"/>
    <m/>
    <s v="Mining"/>
    <m/>
    <m/>
    <m/>
    <s v="Copper"/>
    <m/>
    <m/>
    <m/>
    <m/>
    <m/>
    <m/>
    <n v="37670"/>
    <s v="t"/>
    <m/>
    <m/>
    <m/>
    <n v="333300000"/>
    <m/>
    <m/>
    <m/>
    <m/>
    <m/>
    <m/>
    <m/>
    <m/>
    <m/>
    <m/>
    <m/>
    <m/>
    <m/>
    <m/>
    <m/>
    <m/>
    <m/>
    <m/>
    <m/>
    <m/>
    <m/>
    <m/>
    <m/>
    <m/>
    <m/>
    <m/>
    <m/>
    <m/>
    <m/>
    <m/>
    <m/>
    <m/>
    <m/>
    <m/>
    <m/>
    <m/>
    <m/>
    <m/>
    <m/>
    <m/>
    <m/>
    <m/>
    <m/>
    <m/>
    <m/>
  </r>
  <r>
    <x v="134"/>
    <n v="2012"/>
    <x v="22"/>
    <s v="Africa"/>
    <m/>
    <s v="Mining"/>
    <m/>
    <m/>
    <m/>
    <s v="Gold"/>
    <m/>
    <m/>
    <m/>
    <m/>
    <m/>
    <m/>
    <n v="7.5"/>
    <s v="t"/>
    <m/>
    <m/>
    <m/>
    <n v="320700000"/>
    <m/>
    <m/>
    <m/>
    <m/>
    <m/>
    <m/>
    <m/>
    <m/>
    <m/>
    <m/>
    <m/>
    <m/>
    <m/>
    <m/>
    <m/>
    <m/>
    <m/>
    <m/>
    <m/>
    <m/>
    <m/>
    <m/>
    <m/>
    <m/>
    <m/>
    <m/>
    <m/>
    <m/>
    <m/>
    <m/>
    <m/>
    <m/>
    <m/>
    <m/>
    <m/>
    <m/>
    <m/>
    <m/>
    <m/>
    <m/>
    <m/>
    <m/>
    <m/>
    <m/>
    <m/>
  </r>
  <r>
    <x v="134"/>
    <n v="2012"/>
    <x v="22"/>
    <s v="Africa"/>
    <m/>
    <s v="Mining"/>
    <m/>
    <m/>
    <m/>
    <s v="Silver"/>
    <m/>
    <m/>
    <m/>
    <m/>
    <m/>
    <m/>
    <n v="0.28699999999999998"/>
    <s v="t"/>
    <m/>
    <m/>
    <m/>
    <n v="300000"/>
    <m/>
    <m/>
    <m/>
    <m/>
    <m/>
    <m/>
    <m/>
    <m/>
    <m/>
    <m/>
    <m/>
    <m/>
    <m/>
    <m/>
    <m/>
    <m/>
    <m/>
    <m/>
    <m/>
    <m/>
    <m/>
    <m/>
    <m/>
    <m/>
    <m/>
    <m/>
    <m/>
    <m/>
    <m/>
    <m/>
    <m/>
    <m/>
    <m/>
    <m/>
    <m/>
    <m/>
    <m/>
    <m/>
    <m/>
    <m/>
    <m/>
    <m/>
    <m/>
    <m/>
    <m/>
  </r>
  <r>
    <x v="135"/>
    <n v="2006"/>
    <x v="23"/>
    <s v="East Asia and Pacific"/>
    <s v="http://eitimongolia.mn/"/>
    <s v="Oil, Mining"/>
    <s v="yes"/>
    <s v="no"/>
    <s v="yes"/>
    <s v="Total"/>
    <s v="Total"/>
    <s v="Total Oil, Mining"/>
    <m/>
    <m/>
    <m/>
    <m/>
    <m/>
    <m/>
    <m/>
    <m/>
    <m/>
    <n v="1053499669.0326614"/>
    <s v="Host government's production entitlement, Profits/Taxes, Royalties, Dividends, Licenses and concessions, Other significant benefits to government"/>
    <s v="Also covers payments made in-kind"/>
    <s v="No"/>
    <n v="411987301.60000002"/>
    <n v="434116184.30000001"/>
    <m/>
    <m/>
    <m/>
    <n v="0.3910654304982295"/>
    <s v="Mongolian Tugrik"/>
    <n v="1134"/>
    <s v="Disaggregated by revenue stream, Disaggregated by company, Disaggregated by company and revenue stream"/>
    <s v="Not given"/>
    <s v="Not given"/>
    <m/>
    <m/>
    <n v="25"/>
    <s v="AltanDornot Mongol, Aduunchuluun, Baganuur, Boroo Gold, Chinhua MAK Nariin Sukhait, Cold Gold, Datsan Trade, ErdesHolding, Erdenet Mining Corporation, Gatsuurt, Ivanhoe Mines Mongolia Inc, Jump LLC, MAK, MGH, Mongol Gazar, Mongolrostsvetment JV, Petro China Daqing Tamsag (Mongol) LLC, Sharyn Gol, Shim Technology LLC, Shin Shin LLC, Shivee Ovoo SC, Shizhir Alt LLC, Tavantolgoi, Tsairt Minerals LLC, Ulz Gol Cooperative"/>
    <n v="25"/>
    <s v="December 2007"/>
    <d v="2014-09-19T00:00:00"/>
    <s v="Crane White and Associates"/>
    <s v="http://eiti.org/files/Mongolia%202006%20EITI%20Report.pdf"/>
    <n v="16"/>
    <s v="Materiality threshold: Companies that made a payment of at least MNT200,000,000 in 2006 should be reconciled. The report does not provide post-adjustment figures by company. Unilateral declarations are included in the figures, including donations made to government entities that only companies reported on. Some of these donations were in-kind payments, and have been given a monetary value by companies, but the amount these account for is unclear. The report provides production volumes for some companies, but this is not comprehensive. The 2008 Report provides historical productions volumes however. Baganuur and  Shivee Ovoo SC are 75% and 90% state-owned respectively. Erdenet Mining Corporation (EMC) and Mongolrostsvetment JV are both 51% owned by the Government of Mongolia and 49% owned by the Government of Russia. EMC accounted for 90% of (pre-adjustment) revenues reported by Government."/>
    <m/>
    <m/>
    <m/>
    <m/>
    <m/>
    <m/>
    <m/>
    <m/>
    <m/>
    <m/>
    <m/>
    <m/>
    <m/>
    <m/>
    <m/>
    <m/>
    <m/>
    <m/>
    <m/>
    <m/>
  </r>
  <r>
    <x v="135"/>
    <n v="2006"/>
    <x v="23"/>
    <s v="East Asia and Pacific"/>
    <m/>
    <s v="Oil"/>
    <s v="no"/>
    <s v="no"/>
    <s v="yes"/>
    <s v="Oil"/>
    <s v="detailed"/>
    <s v="detailed Oil"/>
    <n v="0"/>
    <m/>
    <n v="0"/>
    <m/>
    <m/>
    <s v="bbl"/>
    <m/>
    <m/>
    <s v="Volume from 2008 EITI Report"/>
    <n v="0"/>
    <m/>
    <m/>
    <m/>
    <m/>
    <m/>
    <m/>
    <m/>
    <m/>
    <m/>
    <m/>
    <m/>
    <m/>
    <m/>
    <m/>
    <m/>
    <m/>
    <n v="1"/>
    <s v="Petro China Daqing Tamsag (Mongol) LLC"/>
    <n v="1"/>
    <m/>
    <m/>
    <m/>
    <m/>
    <m/>
    <m/>
    <m/>
    <m/>
    <m/>
    <m/>
    <m/>
    <m/>
    <m/>
    <m/>
    <m/>
    <m/>
    <m/>
    <m/>
    <m/>
    <m/>
    <m/>
    <m/>
    <m/>
    <m/>
    <m/>
    <m/>
  </r>
  <r>
    <x v="136"/>
    <n v="2006"/>
    <x v="23"/>
    <s v="East Asia and Pacific"/>
    <m/>
    <s v="Mining"/>
    <s v="yes"/>
    <s v="no"/>
    <s v="no"/>
    <s v="Total Mining"/>
    <s v="Total"/>
    <s v="Total Mining"/>
    <m/>
    <m/>
    <m/>
    <m/>
    <m/>
    <m/>
    <m/>
    <m/>
    <m/>
    <n v="1053499669.0326614"/>
    <m/>
    <m/>
    <m/>
    <m/>
    <m/>
    <m/>
    <m/>
    <m/>
    <m/>
    <m/>
    <m/>
    <m/>
    <m/>
    <m/>
    <m/>
    <m/>
    <n v="24"/>
    <s v="AltanDornot Mongol, Aduunchuluun, Baganuur, Boroo Gold, Chinhua MAK Nariin Sukhait, Cold Gold, Datsan Trade, ErdesHolding, Erdenet Mining Corporation, Gatsuurt, Ivanhoe Mines Mongolia Inc, Jump LLC, MAK, MGH, Mongol Gazar, Mongolrostsvetment JV, Sharyn Gol, Shim Technology LLC, Shin Shin LLC, Shivee Ovoo SC, Shizhir Alt LLC, Tavantolgoi, Tsairt Minerals LLC, Ulz Gol Cooperative"/>
    <n v="24"/>
    <m/>
    <m/>
    <m/>
    <m/>
    <m/>
    <m/>
    <m/>
    <m/>
    <m/>
    <m/>
    <m/>
    <m/>
    <m/>
    <m/>
    <m/>
    <m/>
    <m/>
    <m/>
    <m/>
    <m/>
    <m/>
    <m/>
    <m/>
    <m/>
    <m/>
    <m/>
  </r>
  <r>
    <x v="136"/>
    <n v="2006"/>
    <x v="23"/>
    <s v="East Asia and Pacific"/>
    <m/>
    <s v="Mining"/>
    <s v="yes"/>
    <s v="no"/>
    <s v="no"/>
    <s v="Coal"/>
    <s v="detailed"/>
    <s v="detailed Mining"/>
    <n v="7324700.3092340007"/>
    <m/>
    <n v="7324700.3092340007"/>
    <m/>
    <m/>
    <s v="t"/>
    <n v="49.3106519533236"/>
    <s v="US$/t"/>
    <s v="Volume from 2008 EITI Report. Price from BPSR 2014, and is an average of the American Central Appalachian, Asian and Northwest Europe marker/spot prices, adjusted to account for the prices given in the 2011-2012 EITI Reports being an average 80.60% of this in 2009-2012."/>
    <n v="361185747.61103958"/>
    <m/>
    <m/>
    <m/>
    <m/>
    <m/>
    <m/>
    <m/>
    <m/>
    <m/>
    <m/>
    <m/>
    <m/>
    <m/>
    <m/>
    <m/>
    <m/>
    <n v="7"/>
    <s v="Aduunchuluun, Baganuur, Chinhua MAK Nariin Sukhait, Mongolrostsvetment JV, Sharyn Gol, Shivee Ovoo SC, Tavantolgoi"/>
    <n v="7"/>
    <m/>
    <m/>
    <m/>
    <m/>
    <m/>
    <m/>
    <m/>
    <m/>
    <m/>
    <m/>
    <m/>
    <m/>
    <m/>
    <m/>
    <m/>
    <m/>
    <m/>
    <m/>
    <m/>
    <m/>
    <m/>
    <m/>
    <m/>
    <m/>
    <m/>
    <m/>
  </r>
  <r>
    <x v="136"/>
    <n v="2006"/>
    <x v="23"/>
    <s v="East Asia and Pacific"/>
    <m/>
    <s v="Mining"/>
    <s v="yes"/>
    <s v="no"/>
    <s v="no"/>
    <s v="Copper"/>
    <s v="detailed"/>
    <s v="detailed Mining"/>
    <n v="117661.860778"/>
    <m/>
    <n v="117661.860778"/>
    <m/>
    <m/>
    <s v="t"/>
    <n v="1220.7396252000001"/>
    <s v="US$/t"/>
    <s v="Volume from 2008 EITI Report. Price from World Bank (Global Economic Monitor (GEM) Commodities database) - defined as: Copper (LME), grade A, minimum 99.9935% purity, cathodes and wire bar shapes, settlement price - adjusted to account for the prices given in the 2011-2012 EITI Reports being an average 18.16% of this in 2009-2012."/>
    <n v="143634495.82647032"/>
    <m/>
    <m/>
    <m/>
    <m/>
    <m/>
    <m/>
    <m/>
    <m/>
    <m/>
    <m/>
    <m/>
    <m/>
    <m/>
    <m/>
    <m/>
    <m/>
    <n v="1"/>
    <s v="Ivanhoe Mines Mongolia Inc"/>
    <n v="1"/>
    <m/>
    <m/>
    <m/>
    <m/>
    <m/>
    <m/>
    <m/>
    <m/>
    <m/>
    <m/>
    <m/>
    <m/>
    <m/>
    <m/>
    <m/>
    <m/>
    <m/>
    <m/>
    <m/>
    <m/>
    <m/>
    <m/>
    <m/>
    <m/>
    <m/>
    <m/>
  </r>
  <r>
    <x v="136"/>
    <n v="2006"/>
    <x v="23"/>
    <s v="East Asia and Pacific"/>
    <m/>
    <s v="Mining"/>
    <s v="yes"/>
    <s v="no"/>
    <s v="no"/>
    <s v="Fluorspar"/>
    <s v="detailed"/>
    <s v="detailed Mining"/>
    <n v="315428.13409800001"/>
    <m/>
    <n v="315428.13409800001"/>
    <m/>
    <m/>
    <s v="t"/>
    <n v="105.28823333333352"/>
    <s v="US$/t"/>
    <s v="Volume from 2008 EITI Report. Price from USGS Mineral Yearbook 2006, and is the average of the medians of the f.o.b. price ranges for US imports of Mexican and South African acidspar, adjusted to account for the prices given in the 2011-2012 EITI Reports being an average 53.81% of this in 2009-2012."/>
    <n v="33210870.98280824"/>
    <m/>
    <m/>
    <m/>
    <m/>
    <m/>
    <m/>
    <m/>
    <m/>
    <m/>
    <m/>
    <m/>
    <m/>
    <m/>
    <m/>
    <m/>
    <m/>
    <n v="1"/>
    <s v="Mongolrostsvetment JV"/>
    <n v="1"/>
    <m/>
    <m/>
    <m/>
    <m/>
    <m/>
    <m/>
    <m/>
    <m/>
    <m/>
    <m/>
    <m/>
    <m/>
    <m/>
    <m/>
    <m/>
    <m/>
    <m/>
    <m/>
    <m/>
    <m/>
    <m/>
    <m/>
    <m/>
    <m/>
    <m/>
    <m/>
  </r>
  <r>
    <x v="136"/>
    <n v="2006"/>
    <x v="23"/>
    <s v="East Asia and Pacific"/>
    <m/>
    <s v="Mining"/>
    <s v="yes"/>
    <s v="no"/>
    <s v="no"/>
    <s v="Gold"/>
    <s v="detailed"/>
    <s v="detailed Mining"/>
    <n v="641666.66729279154"/>
    <m/>
    <n v="641666.66729279154"/>
    <m/>
    <m/>
    <s v="toz"/>
    <n v="501.5987416666639"/>
    <s v="US$/toz"/>
    <s v="Volume from 2008 EITI Report. Price from World Bank (Global Economic Monitor (GEM) Commodities database) - defined as: Gold (UK), 99.5% fine, London afternoon fixing, average of daily rates - adjusted to account for the prices given in the 2011-2012 EITI Reports being an average 83.00% of this in 2009-2012."/>
    <n v="321859192.88350612"/>
    <m/>
    <m/>
    <m/>
    <m/>
    <m/>
    <m/>
    <m/>
    <m/>
    <m/>
    <m/>
    <m/>
    <m/>
    <m/>
    <m/>
    <m/>
    <m/>
    <n v="14"/>
    <s v="AltanDornot Mongol, Boroo Gold, Cold Gold, Datsan Trade, ErdesHolding, Erdenet Mining Corporation, Gatsuurt, Ivanhoe Mines Mongolia Inc,  Jump LLC, MGH, Mongol Gazar, Mongolrostsvetment JV, Shizhir Alt LLC, Ulz Gol Cooperative"/>
    <n v="14"/>
    <m/>
    <m/>
    <m/>
    <m/>
    <m/>
    <m/>
    <m/>
    <m/>
    <m/>
    <m/>
    <m/>
    <m/>
    <m/>
    <m/>
    <m/>
    <m/>
    <m/>
    <m/>
    <m/>
    <m/>
    <m/>
    <m/>
    <m/>
    <m/>
    <m/>
    <m/>
  </r>
  <r>
    <x v="136"/>
    <n v="2006"/>
    <x v="23"/>
    <s v="East Asia and Pacific"/>
    <m/>
    <s v="Mining"/>
    <s v="yes"/>
    <s v="no"/>
    <s v="no"/>
    <s v="Iron Ore"/>
    <s v="detailed"/>
    <s v="detailed Mining"/>
    <n v="163293.25320000001"/>
    <m/>
    <n v="163293.25320000001"/>
    <m/>
    <m/>
    <s v="t"/>
    <n v="37.953066666664846"/>
    <s v="US$/t"/>
    <s v="Volume from 2008 EITI Report. Price from World Bank (Global Economic Monitor (GEM) Commodities database) - defined as: Iron ore (any origin) fines, spot price, c.f.r. China, 62% Fe - adjusted to account for the prices given in the 2011-2012 EITI Reports being an average 54.74% of this in 2009-2012."/>
    <n v="6197479.7249161825"/>
    <m/>
    <m/>
    <m/>
    <m/>
    <m/>
    <m/>
    <m/>
    <m/>
    <m/>
    <m/>
    <m/>
    <m/>
    <m/>
    <m/>
    <m/>
    <m/>
    <m/>
    <m/>
    <m/>
    <m/>
    <m/>
    <m/>
    <m/>
    <m/>
    <m/>
    <m/>
    <m/>
    <m/>
    <m/>
    <m/>
    <m/>
    <m/>
    <m/>
    <m/>
    <m/>
    <m/>
    <m/>
    <m/>
    <m/>
    <m/>
    <m/>
    <m/>
    <m/>
    <m/>
    <m/>
  </r>
  <r>
    <x v="136"/>
    <n v="2006"/>
    <x v="23"/>
    <s v="East Asia and Pacific"/>
    <m/>
    <s v="Mining"/>
    <s v="yes"/>
    <s v="no"/>
    <s v="no"/>
    <s v="Molybdenum"/>
    <s v="detailed"/>
    <s v="detailed Mining"/>
    <n v="1279.1304834"/>
    <m/>
    <m/>
    <m/>
    <m/>
    <s v="t"/>
    <n v="17046.901999999998"/>
    <s v="US$/t"/>
    <s v="Volume from USGS Mineral Yearbook 2010. Price from USGS Mineral Commodity Summary 2009, and is the price in the US, adjusted to account for the prices given in the 2011-2012 EITI Reports being an average 31.21% of this in 2009-2012."/>
    <n v="21805211.995732423"/>
    <m/>
    <m/>
    <m/>
    <m/>
    <m/>
    <m/>
    <m/>
    <m/>
    <m/>
    <m/>
    <m/>
    <m/>
    <m/>
    <m/>
    <m/>
    <m/>
    <n v="2"/>
    <s v="Erdenet Mining Corporation, Shim Technology LLC"/>
    <n v="2"/>
    <m/>
    <m/>
    <m/>
    <m/>
    <m/>
    <m/>
    <m/>
    <m/>
    <m/>
    <m/>
    <m/>
    <m/>
    <m/>
    <m/>
    <m/>
    <m/>
    <m/>
    <m/>
    <m/>
    <m/>
    <m/>
    <m/>
    <m/>
    <m/>
    <m/>
    <m/>
  </r>
  <r>
    <x v="136"/>
    <n v="2006"/>
    <x v="23"/>
    <s v="East Asia and Pacific"/>
    <m/>
    <s v="Mining"/>
    <s v="yes"/>
    <s v="no"/>
    <s v="no"/>
    <s v="Tungsten (W content of mine output)"/>
    <s v="detailed"/>
    <s v="detailed Mining"/>
    <n v="85"/>
    <m/>
    <m/>
    <m/>
    <m/>
    <s v="t"/>
    <n v="183"/>
    <s v="US$/t"/>
    <s v="Volume from USGS Mineral Yearbook 2010. Price from USGS Mineral Commodity Summary 2009, and is the average price on the US and European spot markets for a metric ton unit of tungsten trioxide, which contains 7.93kg of tungsten."/>
    <n v="15555"/>
    <m/>
    <m/>
    <m/>
    <m/>
    <m/>
    <m/>
    <m/>
    <m/>
    <m/>
    <m/>
    <m/>
    <m/>
    <m/>
    <m/>
    <m/>
    <m/>
    <m/>
    <m/>
    <m/>
    <m/>
    <m/>
    <m/>
    <m/>
    <m/>
    <m/>
    <m/>
    <m/>
    <m/>
    <m/>
    <m/>
    <m/>
    <m/>
    <m/>
    <m/>
    <m/>
    <m/>
    <m/>
    <m/>
    <m/>
    <m/>
    <m/>
    <m/>
    <m/>
    <m/>
    <m/>
  </r>
  <r>
    <x v="136"/>
    <n v="2006"/>
    <x v="23"/>
    <s v="East Asia and Pacific"/>
    <m/>
    <s v="Mining"/>
    <s v="yes"/>
    <s v="no"/>
    <s v="no"/>
    <s v="Zinc concentrate"/>
    <s v="detailed"/>
    <s v="detailed Mining"/>
    <n v="99699.602926000007"/>
    <m/>
    <n v="99699.602926000007"/>
    <m/>
    <m/>
    <s v="t"/>
    <n v="1660.9004464249999"/>
    <s v="US$/t"/>
    <s v="Volume from 2008 EITI Report. Price from World Bank (Global Economic Monitor (GEM) Commodities database) - defined as: Zinc (LME), high grade, minimum 99.95% purity, settlement price beginning April 1990; previously special high grade, minimum 99.995%, cash prices - adjusted to account for the prices given in the 2011-2012 EITI Reports being an average 50.71% of this in 2009-2012."/>
    <n v="165591115.00818864"/>
    <m/>
    <m/>
    <m/>
    <m/>
    <m/>
    <m/>
    <m/>
    <m/>
    <m/>
    <m/>
    <m/>
    <m/>
    <m/>
    <m/>
    <m/>
    <m/>
    <n v="2"/>
    <s v="Shin Shin LLC, Tsairt Minerals LLC"/>
    <n v="2"/>
    <m/>
    <m/>
    <m/>
    <m/>
    <m/>
    <m/>
    <m/>
    <m/>
    <m/>
    <m/>
    <m/>
    <m/>
    <m/>
    <m/>
    <m/>
    <m/>
    <m/>
    <m/>
    <m/>
    <m/>
    <m/>
    <m/>
    <m/>
    <m/>
    <m/>
    <m/>
  </r>
  <r>
    <x v="137"/>
    <n v="2007"/>
    <x v="23"/>
    <s v="East Asia and Pacific"/>
    <s v="http://eitimongolia.mn/"/>
    <s v="Oil, Mining"/>
    <s v="yes"/>
    <s v="no"/>
    <s v="yes"/>
    <s v="Total"/>
    <s v="Total"/>
    <s v="Total Oil, Mining"/>
    <m/>
    <m/>
    <m/>
    <m/>
    <m/>
    <m/>
    <m/>
    <m/>
    <m/>
    <n v="1320503204.6597846"/>
    <s v="Host government's production entitlement, Profits/Taxes, Royalties, Dividends, Licenses and concessions, Other significant benefits to government"/>
    <s v="Also covers payments made in-kind"/>
    <s v="No"/>
    <n v="640532901"/>
    <n v="660586246"/>
    <m/>
    <m/>
    <m/>
    <n v="0.48506728248722986"/>
    <s v="Mongolian Tugrik"/>
    <n v="1169"/>
    <s v="Disaggregated by revenue stream, Disaggregated by company, Disaggregated by company and revenue stream"/>
    <s v="Not given"/>
    <s v="Not given"/>
    <m/>
    <m/>
    <n v="38"/>
    <s v="Petro China Daqing Tamsag (Mongol) LLC, Adamas Mining LLC, AltanDornot Mongol, Baganuur, Bold Tumur Eruu Gol LLC, Boroo Gold, Bud Invest LLC, Buurgent LLC, Chinhua MAK Nariin Sukhait, Cold Gold, Datsan Trade, Eltrana LLC, ErdesHolding, Erdenet Mining Corporation, Erdmin LLC, Gatsuurt, Gobi Coal and Energy LLC, Gurvan Tuhum LLC, Ivanhoe Mines Mongolia Inc, Jump LLC, Mon Dulaan Trade LLC, Mongol-Czech Metal SPIE, Mongolrostsvetment JV, Mongolyn Alt LLC, Monpolimet LLC, Shanlun LLC, Shariin Gol LLC, Shijir Alt SHC, Shim Technology LLC, Shin Shin LLC, Shivee Ovoo SC, Sonor Trade LLC, Tavantolgoi, Tethys Minig LLC, Tsairt Minerals LLC, Tun Shen LLC, Ulz Gol Cooperative"/>
    <n v="38"/>
    <s v="October 2009"/>
    <d v="2014-09-19T00:00:00"/>
    <s v="Ernst &amp; Young"/>
    <s v="http://eiti.org/files/Mongolia%202007%20EITI%20Report.pdf"/>
    <n v="11"/>
    <s v="Materiality threshold: Companies that made a payment of at least MNT200,000,000 in 2007 should be reconciled. Resolved discrepancies are not included in the final figures, but there is insufficent information to add these retrospectively. Unilateral declarations are included in the figures. Some donations to government entities and 'expenditures on environmental protection' are in-kind payments and have been given a monetary value by companies, but the amount these account for is unclear. Disaggregation by commodity is only indirect through disaggregation by company, and therefore limited. The report provides production volumes for some companies, but this is not comprehensive. The 2008 Report provides historical productions volumes however. Baganuur and  Shivee Ovoo SC are 75% and 90% state-owned respectively. Erdenet Mining Corporation (EMC) and Mongolrostsvetment JV are both 51% owned by the Government of Mongolia and 49% owned by the Government of Russia. EMC accounted for 80% of revenues reported by Government."/>
    <m/>
    <m/>
    <m/>
    <m/>
    <m/>
    <m/>
    <m/>
    <m/>
    <m/>
    <m/>
    <m/>
    <m/>
    <m/>
    <m/>
    <m/>
    <m/>
    <m/>
    <m/>
    <m/>
    <m/>
  </r>
  <r>
    <x v="137"/>
    <n v="2007"/>
    <x v="23"/>
    <s v="East Asia and Pacific"/>
    <m/>
    <s v="Oil"/>
    <s v="no"/>
    <s v="no"/>
    <s v="yes"/>
    <s v="Oil"/>
    <s v="detailed"/>
    <s v="detailed Oil"/>
    <n v="0"/>
    <m/>
    <n v="0"/>
    <m/>
    <m/>
    <s v="bbl"/>
    <m/>
    <m/>
    <s v="Volume from 2008 EITI Report"/>
    <n v="0"/>
    <m/>
    <m/>
    <m/>
    <n v="7462360.992301112"/>
    <n v="11940156.544054747"/>
    <m/>
    <m/>
    <m/>
    <m/>
    <m/>
    <m/>
    <m/>
    <m/>
    <m/>
    <m/>
    <m/>
    <n v="1"/>
    <s v="Petro China Daqing Tamsag (Mongol) LLC"/>
    <n v="1"/>
    <m/>
    <m/>
    <m/>
    <m/>
    <s v="Appendix C26"/>
    <m/>
    <m/>
    <m/>
    <m/>
    <m/>
    <m/>
    <m/>
    <m/>
    <m/>
    <m/>
    <m/>
    <m/>
    <m/>
    <m/>
    <m/>
    <m/>
    <m/>
    <m/>
    <m/>
    <m/>
    <m/>
  </r>
  <r>
    <x v="137"/>
    <n v="2007"/>
    <x v="23"/>
    <s v="East Asia and Pacific"/>
    <m/>
    <s v="Mining"/>
    <s v="yes"/>
    <s v="no"/>
    <s v="no"/>
    <s v="Total Mining"/>
    <s v="Total"/>
    <s v="Total Mining"/>
    <m/>
    <m/>
    <m/>
    <m/>
    <m/>
    <m/>
    <m/>
    <m/>
    <m/>
    <n v="1320503204.6597846"/>
    <m/>
    <m/>
    <m/>
    <n v="633070540.00769889"/>
    <n v="648646089.45594525"/>
    <m/>
    <m/>
    <m/>
    <n v="0.47941613301181168"/>
    <m/>
    <m/>
    <m/>
    <m/>
    <m/>
    <m/>
    <m/>
    <n v="37"/>
    <s v="Adamas Mining LLC, AltanDornot Mongol, Baganuur, Bold Tumur Eruu Gol LLC, Boroo Gold, Bud Invest LLC, Buurgent LLC, Chinhua MAK Nariin Sukhait, Cold Gold, Datsan Trade, Eltrana LLC, ErdesHolding, Erdenet Mining Corporation, Erdmin LLC, Gatsuurt, Gobi Coal and Energy LLC, Gurvan Tuhum LLC, Ivanhoe Mines Mongolia Inc, Jump LLC, Khan Shijir SHC, Mon Dulaan Trade LLC, Mongol-Czech Metal SPIE, Mongolrostsvetment JV, Mongolyn Alt LLC, Monpolimet LLC, Shanlun LLC, Shariin Gol LLC, Shijir Alt SHC, Shim Technology LLC, Shin Shin LLC, Shivee Ovoo SC, Sonor Trade LLC, Tavantolgoi, Tethys Minig LLC, Tsairt Minerals LLC, Tun Shen LLC, Ulz Gol Cooperative"/>
    <n v="37"/>
    <m/>
    <m/>
    <m/>
    <m/>
    <m/>
    <m/>
    <m/>
    <m/>
    <m/>
    <m/>
    <m/>
    <m/>
    <m/>
    <m/>
    <m/>
    <m/>
    <m/>
    <m/>
    <m/>
    <m/>
    <m/>
    <m/>
    <m/>
    <m/>
    <m/>
    <m/>
  </r>
  <r>
    <x v="137"/>
    <n v="2007"/>
    <x v="23"/>
    <s v="East Asia and Pacific"/>
    <m/>
    <s v="Mining"/>
    <s v="yes"/>
    <s v="no"/>
    <s v="no"/>
    <s v="Coal"/>
    <s v="detailed"/>
    <s v="detailed Mining"/>
    <n v="8380209.7542240005"/>
    <m/>
    <n v="8380209.7542240005"/>
    <m/>
    <m/>
    <s v="t"/>
    <n v="60.319557017479177"/>
    <s v="US$/t"/>
    <s v="Volume from 2008 EITI Report. Price from BPSR 2014, and is an average of the American Central Appalachian, Asian and Northwest Europe marker/spot prices, adjusted to account for the prices given in the 2011-2012 EITI Reports being an average 80.60% of this in 2009-2012."/>
    <n v="505490540.08834976"/>
    <m/>
    <m/>
    <m/>
    <m/>
    <m/>
    <m/>
    <m/>
    <m/>
    <m/>
    <m/>
    <m/>
    <m/>
    <m/>
    <m/>
    <m/>
    <m/>
    <n v="7"/>
    <s v="Aduunchuluun, Baganuur, Chinhua MAK Nariin Sukhait, Mongolrostsvetment JV, Sharyn Gol, Shivee Ovoo SC, Tavantolgoi"/>
    <n v="7"/>
    <m/>
    <m/>
    <m/>
    <m/>
    <m/>
    <m/>
    <m/>
    <m/>
    <m/>
    <m/>
    <m/>
    <m/>
    <m/>
    <m/>
    <m/>
    <m/>
    <m/>
    <m/>
    <m/>
    <m/>
    <m/>
    <m/>
    <m/>
    <m/>
    <m/>
    <m/>
  </r>
  <r>
    <x v="137"/>
    <n v="2007"/>
    <x v="23"/>
    <s v="East Asia and Pacific"/>
    <m/>
    <s v="Mining"/>
    <s v="yes"/>
    <s v="no"/>
    <s v="no"/>
    <s v="Copper"/>
    <s v="detailed"/>
    <s v="detailed Mining"/>
    <n v="118115.453148"/>
    <m/>
    <n v="118115.453148"/>
    <m/>
    <m/>
    <s v="t"/>
    <n v="1292.6698415999999"/>
    <s v="US$/t"/>
    <s v="Volume from 2008 EITI Report. Price from World Bank (Global Economic Monitor (GEM) Commodities database) - defined as: Copper (LME), grade A, minimum 99.9935% purity, cathodes and wire bar shapes, settlement price - adjusted to account for the prices given in the 2011-2012 EITI Reports being an average 18.16% of this in 2009-2012."/>
    <n v="152684284.11133736"/>
    <m/>
    <m/>
    <m/>
    <m/>
    <m/>
    <m/>
    <m/>
    <m/>
    <m/>
    <m/>
    <m/>
    <m/>
    <m/>
    <m/>
    <m/>
    <m/>
    <n v="3"/>
    <s v="Ivanhoe Mines Mongolia Inc, Erdmin LLC, Mongolyn Alt LLC"/>
    <n v="3"/>
    <m/>
    <m/>
    <m/>
    <m/>
    <m/>
    <m/>
    <m/>
    <m/>
    <m/>
    <m/>
    <m/>
    <m/>
    <m/>
    <m/>
    <m/>
    <m/>
    <m/>
    <m/>
    <m/>
    <m/>
    <m/>
    <m/>
    <m/>
    <m/>
    <m/>
    <m/>
  </r>
  <r>
    <x v="137"/>
    <n v="2007"/>
    <x v="23"/>
    <s v="East Asia and Pacific"/>
    <m/>
    <s v="Mining"/>
    <s v="yes"/>
    <s v="no"/>
    <s v="no"/>
    <s v="Fluorspar"/>
    <s v="detailed"/>
    <s v="detailed Mining"/>
    <n v="321959.86422600003"/>
    <m/>
    <n v="321959.86422600003"/>
    <m/>
    <m/>
    <s v="t"/>
    <n v="106.635277"/>
    <s v="US$/t"/>
    <s v="Volume from 2008 EITI Report. Price from USGS Mineral Yearbook 2008, and is the average of the medians of the f.o.b. price ranges for US imports of Mexican and South African acidspar, adjusted to account for the prices given in the 2011-2012 EITI Reports being an average 53.81% of this in 2009-2012."/>
    <n v="34332279.304621905"/>
    <m/>
    <m/>
    <m/>
    <m/>
    <m/>
    <m/>
    <m/>
    <m/>
    <m/>
    <m/>
    <m/>
    <m/>
    <m/>
    <m/>
    <m/>
    <m/>
    <n v="3"/>
    <s v="Mongolrostsvetment JV, Bud Invest LLC, Mongol-Czech Metal SPIE"/>
    <n v="3"/>
    <m/>
    <m/>
    <m/>
    <m/>
    <m/>
    <m/>
    <m/>
    <m/>
    <m/>
    <m/>
    <m/>
    <m/>
    <m/>
    <m/>
    <m/>
    <m/>
    <m/>
    <m/>
    <m/>
    <m/>
    <m/>
    <m/>
    <m/>
    <m/>
    <m/>
    <m/>
  </r>
  <r>
    <x v="137"/>
    <n v="2007"/>
    <x v="23"/>
    <s v="East Asia and Pacific"/>
    <m/>
    <s v="Mining"/>
    <s v="yes"/>
    <s v="no"/>
    <s v="no"/>
    <s v="Gold"/>
    <s v="detailed"/>
    <s v="detailed Mining"/>
    <n v="525000.00051228399"/>
    <m/>
    <n v="525000.00051228399"/>
    <m/>
    <m/>
    <s v="toz"/>
    <n v="578.27780749999999"/>
    <s v="US$/toz"/>
    <s v="Volume from 2008 EITI Report. Price from World Bank (Global Economic Monitor (GEM) Commodities database) - defined as: Gold (UK), 99.5% fine, London afternoon fixing, average of daily rates - adjusted to account for the prices given in the 2011-2012 EITI Reports being an average 83.00% of this in 2009-2012."/>
    <n v="303595849.23374248"/>
    <m/>
    <m/>
    <m/>
    <m/>
    <m/>
    <m/>
    <m/>
    <m/>
    <m/>
    <m/>
    <m/>
    <m/>
    <m/>
    <m/>
    <m/>
    <m/>
    <n v="23"/>
    <s v="Adamas Mining LLC, AltanDornot Mongol, Boroo Gold, Buurgent LLC, Cold Gold, Datsan Trade, Eltrana LLC, ErdesHolding, Erdenet Mining Corporation, Gatsuurt, Gurvan Tuhum LLC, Ivanhoe Mines Mongolia Inc, Jump LLC, Khan Shijir SHC, Mon Dulaan Trade LLC, Mongol-Czech Metal SPIE, Mongolrostsvetment JV, Mongolyn Alt LLC, Monpolimet LLC, Shijir Alt SHC, Sonor Trade LLC, Tethys Minig LLC, Ulz Gol Cooperative"/>
    <n v="23"/>
    <m/>
    <m/>
    <m/>
    <m/>
    <s v="Appendix C4 &amp; C37"/>
    <m/>
    <m/>
    <m/>
    <m/>
    <m/>
    <m/>
    <m/>
    <m/>
    <m/>
    <m/>
    <m/>
    <m/>
    <m/>
    <m/>
    <m/>
    <m/>
    <m/>
    <m/>
    <m/>
    <m/>
    <m/>
  </r>
  <r>
    <x v="137"/>
    <n v="2007"/>
    <x v="23"/>
    <s v="East Asia and Pacific"/>
    <m/>
    <s v="Mining"/>
    <s v="yes"/>
    <s v="no"/>
    <s v="no"/>
    <s v="Iron Ore"/>
    <s v="detailed"/>
    <s v="detailed Mining"/>
    <n v="240494.674574"/>
    <m/>
    <n v="240494.674574"/>
    <m/>
    <m/>
    <s v="t"/>
    <n v="67.3233575"/>
    <s v="US$/t"/>
    <s v="Volume from 2008 EITI Report. Price from World Bank (Global Economic Monitor (GEM) Commodities database) - defined as: Iron ore (any origin) fines, spot price, c.f.r. China, 62% Fe - adjusted to account for the prices given in the 2011-2012 EITI Reports being an average 54.74% of this in 2009-2012."/>
    <n v="16190908.953191562"/>
    <m/>
    <m/>
    <m/>
    <n v="743847.73310521815"/>
    <n v="6377611.6338751074"/>
    <m/>
    <m/>
    <m/>
    <m/>
    <m/>
    <m/>
    <m/>
    <m/>
    <m/>
    <m/>
    <m/>
    <n v="2"/>
    <s v="Bold Tumur Eruu Gol LLC, Tun Shen LLC"/>
    <n v="2"/>
    <m/>
    <m/>
    <m/>
    <m/>
    <m/>
    <m/>
    <m/>
    <m/>
    <m/>
    <m/>
    <m/>
    <m/>
    <m/>
    <m/>
    <m/>
    <m/>
    <m/>
    <m/>
    <m/>
    <m/>
    <m/>
    <m/>
    <m/>
    <m/>
    <m/>
    <m/>
  </r>
  <r>
    <x v="137"/>
    <n v="2007"/>
    <x v="23"/>
    <s v="East Asia and Pacific"/>
    <m/>
    <s v="Mining"/>
    <s v="yes"/>
    <s v="no"/>
    <s v="no"/>
    <s v="Molybdenum"/>
    <s v="detailed"/>
    <s v="detailed Mining"/>
    <n v="1980"/>
    <m/>
    <m/>
    <m/>
    <m/>
    <s v="t"/>
    <n v="20845.159"/>
    <s v="US$/t"/>
    <s v="Volume from USGS Mineral Yearbook 2010. Price from USGS Mineral Commodity Summary 2009, and is the price in the US, adjusted to account for the prices given in the 2011-2012 EITI Reports being an average 31.21% of this in 2009-2012."/>
    <n v="41273414.82"/>
    <m/>
    <m/>
    <m/>
    <m/>
    <m/>
    <m/>
    <m/>
    <m/>
    <m/>
    <m/>
    <m/>
    <m/>
    <m/>
    <m/>
    <m/>
    <m/>
    <n v="2"/>
    <s v="Erdenet Mining Corporation, Shim Technology LLC"/>
    <n v="2"/>
    <m/>
    <m/>
    <m/>
    <m/>
    <m/>
    <m/>
    <m/>
    <m/>
    <m/>
    <m/>
    <m/>
    <m/>
    <m/>
    <m/>
    <m/>
    <m/>
    <m/>
    <m/>
    <m/>
    <m/>
    <m/>
    <m/>
    <m/>
    <m/>
    <m/>
    <m/>
  </r>
  <r>
    <x v="137"/>
    <n v="2007"/>
    <x v="23"/>
    <s v="East Asia and Pacific"/>
    <m/>
    <s v="Mining"/>
    <s v="yes"/>
    <s v="no"/>
    <s v="no"/>
    <s v="Silver"/>
    <s v="detailed"/>
    <s v="detailed Mining"/>
    <n v="903435.88185481867"/>
    <m/>
    <m/>
    <m/>
    <m/>
    <s v="toz"/>
    <n v="13.391975"/>
    <s v="US$/toz"/>
    <s v="Volume from USGS Mineral Yearbook 2010. Price from World Bank (Global Economic Monitor (GEM) Commodities database), and is defined as: Silver (Handy &amp; Harman), 99.9% grade refined, New York."/>
    <n v="12098790.743902685"/>
    <m/>
    <m/>
    <m/>
    <m/>
    <m/>
    <m/>
    <m/>
    <m/>
    <m/>
    <m/>
    <m/>
    <m/>
    <m/>
    <m/>
    <m/>
    <m/>
    <n v="5"/>
    <s v="Buurgent LLC, Datsan Trade, Eltrana LLC, Jump LLC, Khan Shijir SHC, "/>
    <n v="5"/>
    <m/>
    <m/>
    <m/>
    <m/>
    <m/>
    <m/>
    <m/>
    <m/>
    <m/>
    <m/>
    <m/>
    <m/>
    <m/>
    <m/>
    <m/>
    <m/>
    <m/>
    <m/>
    <m/>
    <m/>
    <m/>
    <m/>
    <m/>
    <m/>
    <m/>
    <m/>
  </r>
  <r>
    <x v="137"/>
    <n v="2007"/>
    <x v="23"/>
    <s v="East Asia and Pacific"/>
    <m/>
    <s v="Mining"/>
    <s v="yes"/>
    <s v="no"/>
    <s v="no"/>
    <s v="Tin Concentrate"/>
    <s v="detailed"/>
    <s v="detailed Mining"/>
    <n v="30"/>
    <m/>
    <n v="30"/>
    <m/>
    <m/>
    <s v="t"/>
    <n v="14536.834500000001"/>
    <s v="US$/t"/>
    <s v="Volume from 2008 EITI Report. Price from World Bank (Global Economic Monitor (GEM) Commodities database), and is defined as: Tin (LME), refined, 99.85% purity, settlement price."/>
    <n v="436105.03500000003"/>
    <m/>
    <m/>
    <m/>
    <m/>
    <m/>
    <m/>
    <m/>
    <m/>
    <m/>
    <m/>
    <m/>
    <m/>
    <m/>
    <m/>
    <m/>
    <m/>
    <m/>
    <m/>
    <m/>
    <m/>
    <m/>
    <m/>
    <m/>
    <m/>
    <m/>
    <m/>
    <m/>
    <m/>
    <m/>
    <m/>
    <m/>
    <m/>
    <m/>
    <m/>
    <m/>
    <m/>
    <m/>
    <m/>
    <m/>
    <m/>
    <m/>
    <m/>
    <m/>
    <m/>
    <m/>
  </r>
  <r>
    <x v="137"/>
    <n v="2007"/>
    <x v="23"/>
    <s v="East Asia and Pacific"/>
    <m/>
    <s v="Mining"/>
    <s v="yes"/>
    <s v="no"/>
    <s v="no"/>
    <s v="Tungsten (W content of mine output)"/>
    <s v="detailed"/>
    <s v="detailed Mining"/>
    <n v="245"/>
    <m/>
    <m/>
    <m/>
    <m/>
    <s v="t"/>
    <n v="177"/>
    <s v="US$/t"/>
    <s v="Volume from USGS Mineral Yearbook 2010. Price from USGS Mineral Commodity Summary 2009, and is the average price on the US and European spot markets for a metric ton unit of tungsten trioxide, which contains 7.93kg of tungsten."/>
    <n v="43365"/>
    <m/>
    <m/>
    <m/>
    <m/>
    <m/>
    <m/>
    <m/>
    <m/>
    <m/>
    <m/>
    <m/>
    <m/>
    <m/>
    <m/>
    <m/>
    <m/>
    <m/>
    <m/>
    <m/>
    <m/>
    <m/>
    <m/>
    <m/>
    <m/>
    <m/>
    <m/>
    <m/>
    <m/>
    <m/>
    <m/>
    <m/>
    <m/>
    <m/>
    <m/>
    <m/>
    <m/>
    <m/>
    <m/>
    <m/>
    <m/>
    <m/>
    <m/>
    <m/>
    <m/>
    <m/>
  </r>
  <r>
    <x v="137"/>
    <n v="2007"/>
    <x v="23"/>
    <s v="East Asia and Pacific"/>
    <m/>
    <s v="Mining"/>
    <s v="yes"/>
    <s v="no"/>
    <s v="no"/>
    <s v="Zinc"/>
    <s v="detailed"/>
    <s v="detailed Mining"/>
    <n v="154700"/>
    <m/>
    <n v="154700"/>
    <m/>
    <m/>
    <s v="t"/>
    <n v="1644.1995305083315"/>
    <s v="US$/t"/>
    <s v="Volume from 2008 EITI Report. Price from World Bank (Global Economic Monitor (GEM) Commodities database) - defined as: Zinc (LME), high grade, minimum 99.95% purity, settlement price beginning April 1990; previously special high grade, minimum 99.995%, cash prices - adjusted to account for the prices given in the 2011-2012 EITI Reports being an average 50.71% of this in 2009-2012."/>
    <n v="254357667.36963889"/>
    <m/>
    <m/>
    <m/>
    <m/>
    <m/>
    <m/>
    <m/>
    <m/>
    <m/>
    <m/>
    <m/>
    <m/>
    <m/>
    <m/>
    <m/>
    <m/>
    <n v="3"/>
    <s v="Shanlun LLC, Shin Shin LLC, Tsairt Minerals LLC"/>
    <n v="3"/>
    <m/>
    <m/>
    <m/>
    <m/>
    <m/>
    <m/>
    <m/>
    <m/>
    <m/>
    <m/>
    <m/>
    <m/>
    <m/>
    <m/>
    <m/>
    <m/>
    <m/>
    <m/>
    <m/>
    <m/>
    <m/>
    <m/>
    <m/>
    <m/>
    <m/>
    <m/>
  </r>
  <r>
    <x v="138"/>
    <n v="2008"/>
    <x v="23"/>
    <s v="East Asia and Pacific"/>
    <s v="http://eitimongolia.mn/"/>
    <s v="Oil, Mining"/>
    <s v="yes"/>
    <s v="no"/>
    <s v="yes"/>
    <s v="Total"/>
    <s v="Total"/>
    <s v="Total Oil, Mining"/>
    <m/>
    <m/>
    <m/>
    <m/>
    <m/>
    <m/>
    <m/>
    <m/>
    <m/>
    <n v="1942391715.3032022"/>
    <s v="State-owned company production entitlement, Profits/Taxes, Royalties, Dividends, Licenses and concessions, Other significant benefits to government"/>
    <s v="Also covers payments made in-kind"/>
    <s v="No"/>
    <n v="587942636"/>
    <n v="588887191.39999998"/>
    <m/>
    <m/>
    <m/>
    <n v="0.30269004514788289"/>
    <s v="Mongolian Tugrik"/>
    <n v="1165"/>
    <s v="Disaggregated by revenue stream, Disaggregated by company, Disaggregated by company and revenue stream"/>
    <s v="Not given"/>
    <s v="Not given"/>
    <m/>
    <m/>
    <n v="46"/>
    <s v="AltanDornot Mongol, Aduunchuluun, Baganuur, Boroo Gold, Chinhua MAK Nariin Sukhait, Cold Gold, Datsan Trade, ErdesHolding, Erdenet Mining Corporation, Gatsuurt, Ivanhoe Mines Mongolia Inc, Jump LLC, Khan Shijir SHC, MAK, MGH, Mongol Gazar, Mongolrostsvetment JV, Petro China Daqing Tamsag (Mongol) LLC, Sharyn Gol, Shim Technology LLC, Shin Shin LLC, Shivee Ovoo SC, Shizhir Alt LLC, Tavantolgoi, Tsairt Minerals LLC, Ulz Gol Cooperative"/>
    <n v="46"/>
    <s v="May 2010"/>
    <d v="2014-09-20T00:00:00"/>
    <s v="Hart Nurse &amp;amp; Ulaambaatar Audit Corp."/>
    <s v="http://eiti.org/files/Mongolia%202008%20EITI%20Report.pdf"/>
    <n v="9"/>
    <s v="Materiality threshold: Companies that made a payment of at least MNT100,000,000 in 2008 should be reconciled. Unilateral declarations are included in the figures. Some donations to government entities and 'expenditures on environmental protection' are in-kind payments and have been given a monetary value by companies, but the amount these account for is unclear. Disaggregation by commodity is only indirect through disaggregation by company, and therefore limited. Baganuur and  Shivee Ovoo SC are 75% and 90% state-owned respectively. Erdenet Mining Corporation (EMC) and Mongolrostsvetment JV are both 51% owned by the Government of Mongolia and 49% owned by the Government of Russia. EMC accounted for 77% of revenues reported by Government."/>
    <m/>
    <m/>
    <m/>
    <m/>
    <m/>
    <m/>
    <m/>
    <m/>
    <m/>
    <m/>
    <m/>
    <m/>
    <m/>
    <m/>
    <m/>
    <m/>
    <m/>
    <m/>
    <m/>
    <m/>
  </r>
  <r>
    <x v="138"/>
    <n v="2008"/>
    <x v="23"/>
    <s v="East Asia and Pacific"/>
    <m/>
    <s v="Oil"/>
    <s v="no"/>
    <s v="no"/>
    <s v="yes"/>
    <s v="Oil"/>
    <s v="detailed"/>
    <s v="detailed Oil"/>
    <n v="2044000"/>
    <m/>
    <n v="2044000"/>
    <m/>
    <m/>
    <s v="bbl"/>
    <n v="90.59658195546001"/>
    <s v="US$/bbl"/>
    <s v="Volume from EITI Report. Price from BPSR 2014, and is an average of the spot prices for Brent, Dubai, Nigerian Forcados and West Texas Intermediate crude oil, adjusted to account for the prices given in the 2011-2012 EITI Reports being an average 92.19% of this in 2009-2012."/>
    <n v="185179413.51696026"/>
    <m/>
    <m/>
    <m/>
    <n v="24501473.81974249"/>
    <n v="24501473.81974249"/>
    <m/>
    <m/>
    <m/>
    <n v="0.1323120823983949"/>
    <m/>
    <m/>
    <m/>
    <m/>
    <m/>
    <m/>
    <m/>
    <n v="1"/>
    <s v="Petro China Daqing Tamsag (Mongol) LLC"/>
    <n v="1"/>
    <m/>
    <m/>
    <m/>
    <m/>
    <n v="16"/>
    <m/>
    <m/>
    <m/>
    <m/>
    <m/>
    <m/>
    <m/>
    <m/>
    <m/>
    <m/>
    <m/>
    <m/>
    <m/>
    <m/>
    <m/>
    <m/>
    <m/>
    <m/>
    <m/>
    <m/>
    <m/>
  </r>
  <r>
    <x v="138"/>
    <n v="2008"/>
    <x v="23"/>
    <s v="East Asia and Pacific"/>
    <m/>
    <s v="Mining"/>
    <s v="yes"/>
    <s v="no"/>
    <s v="no"/>
    <s v="Total Mining"/>
    <s v="Total"/>
    <s v="Total Mining"/>
    <m/>
    <m/>
    <m/>
    <m/>
    <m/>
    <m/>
    <m/>
    <m/>
    <m/>
    <n v="1757212301.786242"/>
    <m/>
    <m/>
    <m/>
    <n v="563441162.18025756"/>
    <n v="564385717.58025753"/>
    <m/>
    <m/>
    <m/>
    <n v="0.3206448996558402"/>
    <m/>
    <m/>
    <m/>
    <m/>
    <m/>
    <m/>
    <m/>
    <n v="37"/>
    <s v="Adamas Mining LLC, Aduunchuluun JSC, Ankhai International LLC, AUM LLC, Baganuur, Berleg Mining LLC, Bold Tumur Eruu Gol LLC, Boroo Gold, Chinhua MAK Nariin Sukhait, Cold Gold, Datsan Trade, Eltrana LLC, Engui Tal LLC, Erdes Holding LLC, Erdenet Mining Corporation, Erel LLC, Gatsuurt, Gobi Coal and Energy LLC, Ivanhoe Mines Mongolia Inc, Jump LLC, Khan Shijir LLC, Khunanjinlen LLC, Mongolrostsvetment JV, Mongolyn Alt LLC, Mongol Gazar LLC, Mongol Tsamkhag LLC, Monpolimet LLC, Shanlun LLC, Shariin Gol LLC, Shijir Alt SHC, Shijir Taslst LLC, Shin Shin LLC, Shivee Ovoo SC, Sonor Trade LLC, Talbulag Trade LLC, Tavantolgoi, Ten Khun LLC, Tethys Mining LLC, Tsairt Minerals LLC, Tun Shen LLC, Uuls Zaamar LLC, Urmum Uul LLC, Uurt Gold LLC, Zurin Bulan LLC"/>
    <n v="37"/>
    <m/>
    <m/>
    <m/>
    <m/>
    <m/>
    <m/>
    <m/>
    <m/>
    <m/>
    <m/>
    <m/>
    <m/>
    <m/>
    <m/>
    <m/>
    <m/>
    <m/>
    <m/>
    <m/>
    <m/>
    <m/>
    <m/>
    <m/>
    <m/>
    <m/>
    <m/>
  </r>
  <r>
    <x v="138"/>
    <n v="2008"/>
    <x v="23"/>
    <s v="East Asia and Pacific"/>
    <m/>
    <s v="Mining"/>
    <s v="yes"/>
    <s v="no"/>
    <s v="no"/>
    <s v="Coal"/>
    <s v="detailed"/>
    <s v="detailed Mining"/>
    <n v="8792071.6261839997"/>
    <m/>
    <n v="8792071.6261839997"/>
    <m/>
    <m/>
    <s v="t"/>
    <n v="111.36725611517791"/>
    <s v="US$/t"/>
    <s v="Volume from EITI Report. Price from BPSR 2014, and is an average of the American Central Appalachian, Asian and Northwest Europe marker/spot prices, adjusted to account for the prices given in the 2011-2012 EITI Reports being an average 80.60% of this in 2009-2012."/>
    <n v="979148892.57622218"/>
    <m/>
    <m/>
    <m/>
    <n v="32032973.390557941"/>
    <n v="31632767.38197425"/>
    <m/>
    <m/>
    <m/>
    <n v="3.2715119869335216E-2"/>
    <m/>
    <m/>
    <m/>
    <m/>
    <m/>
    <m/>
    <m/>
    <n v="9"/>
    <s v="Aduunchuluun JSC, Baganuur, Chinhua MAK Nariin Sukhait, Engui Tal LLC, Gobi Coal and Energy LLC, Mongolyn Alt LLC, Shariin Gol LLC, Shivee Ovoo SC, Tavantolgoi"/>
    <n v="9"/>
    <m/>
    <m/>
    <m/>
    <m/>
    <s v="15, 61-224"/>
    <m/>
    <m/>
    <m/>
    <m/>
    <m/>
    <m/>
    <m/>
    <m/>
    <m/>
    <m/>
    <m/>
    <m/>
    <m/>
    <m/>
    <m/>
    <m/>
    <m/>
    <m/>
    <m/>
    <m/>
    <m/>
  </r>
  <r>
    <x v="138"/>
    <n v="2008"/>
    <x v="23"/>
    <s v="East Asia and Pacific"/>
    <m/>
    <s v="Mining"/>
    <s v="yes"/>
    <s v="no"/>
    <s v="no"/>
    <s v="Copper"/>
    <s v="detailed"/>
    <s v="detailed Mining"/>
    <n v="115031.02503200001"/>
    <m/>
    <n v="115031.02503200001"/>
    <m/>
    <m/>
    <s v="t"/>
    <n v="1263.1877777333327"/>
    <s v="US$/t"/>
    <s v="Volume from EITI Report. Price from World Bank (Global Economic Monitor (GEM) Commodities database) - defined as: Copper (LME), grade A, minimum 99.9935% purity, cathodes and wire bar shapes, settlement price - adjusted to account for the prices given in the 2011-2012 EITI Reports being an average 18.16% of this in 2009-2012."/>
    <n v="145305784.88055944"/>
    <m/>
    <m/>
    <m/>
    <m/>
    <m/>
    <m/>
    <m/>
    <m/>
    <m/>
    <m/>
    <m/>
    <m/>
    <m/>
    <m/>
    <m/>
    <m/>
    <n v="2"/>
    <s v="Ivanhoe Mines Mongolia Inc, Mongolyn Alt LLC"/>
    <n v="2"/>
    <m/>
    <m/>
    <m/>
    <m/>
    <n v="15"/>
    <m/>
    <m/>
    <m/>
    <m/>
    <m/>
    <m/>
    <m/>
    <m/>
    <m/>
    <m/>
    <m/>
    <m/>
    <m/>
    <m/>
    <m/>
    <m/>
    <m/>
    <m/>
    <m/>
    <m/>
    <m/>
  </r>
  <r>
    <x v="138"/>
    <n v="2008"/>
    <x v="23"/>
    <s v="East Asia and Pacific"/>
    <m/>
    <s v="Mining"/>
    <s v="yes"/>
    <s v="no"/>
    <s v="no"/>
    <s v="Fluorspar"/>
    <s v="detailed"/>
    <s v="detailed Mining"/>
    <n v="303725.45095200004"/>
    <m/>
    <n v="303725.45095200004"/>
    <m/>
    <m/>
    <s v="t"/>
    <n v="169.94812300000001"/>
    <s v="US$/t"/>
    <s v="Volume from EITI Report. Price from USGS Mineral Yearbook 2008, and is the average of the medians of the f.o.b. price ranges for US imports of Mexican and South African acidspar, adjusted to account for the prices given in the 2011-2012 EITI Reports being an average 53.81% of this in 2009-2012."/>
    <n v="51617570.296620972"/>
    <m/>
    <m/>
    <m/>
    <n v="5722945.9227467813"/>
    <n v="6489857.5107296137"/>
    <m/>
    <m/>
    <m/>
    <n v="0.11087205170370874"/>
    <m/>
    <m/>
    <m/>
    <m/>
    <m/>
    <m/>
    <m/>
    <n v="1"/>
    <s v="Mongolrostsvetment JV"/>
    <n v="1"/>
    <m/>
    <m/>
    <m/>
    <m/>
    <s v="15, 61-224"/>
    <m/>
    <m/>
    <m/>
    <m/>
    <m/>
    <m/>
    <m/>
    <m/>
    <m/>
    <m/>
    <m/>
    <m/>
    <m/>
    <m/>
    <m/>
    <m/>
    <m/>
    <m/>
    <m/>
    <m/>
    <m/>
  </r>
  <r>
    <x v="138"/>
    <n v="2008"/>
    <x v="23"/>
    <s v="East Asia and Pacific"/>
    <m/>
    <s v="Mining"/>
    <s v="yes"/>
    <s v="no"/>
    <s v="no"/>
    <s v="Gold"/>
    <s v="detailed"/>
    <s v="detailed Mining"/>
    <n v="437500.00042690325"/>
    <m/>
    <n v="437500.00042690325"/>
    <m/>
    <m/>
    <s v="toz"/>
    <n v="723.51701749999995"/>
    <s v="US$/toz"/>
    <s v="Volume from EITI Report. Price from World Bank (Global Economic Monitor (GEM) Commodities database) - defined as: Gold (UK), 99.5% fine, London afternoon fixing, average of daily rates - adjusted to account for the prices given in the 2011-2012 EITI Reports being an average 83.00% of this in 2009-2012."/>
    <n v="316538695.46512175"/>
    <m/>
    <m/>
    <m/>
    <m/>
    <m/>
    <m/>
    <m/>
    <m/>
    <m/>
    <m/>
    <m/>
    <m/>
    <m/>
    <m/>
    <m/>
    <m/>
    <n v="32"/>
    <s v="Adamas Mining LLC, AUM LLC, Berleg Mining LLC, Boroo Gold, Buurgent LLC, Cold Gold, Datsan Trade, Eltrana LLC, ErdesHolding, Erdenet Mining Corporation, Erel LLC, Gatsuurt, Gurvan Tuhum LLC, Ivanhoe Mines Mongolia Inc, Jump LLC, Khan Shijir SHC, Khunanjinlen LLC, Mongolyn Alt LLC, Mongol Gazar LLC, Mongol Tsamkhag LLC, Monpolimet LLC, Shijir Alt SHC, Shijir Taslst LLC, Sonor Trade LLC, Talbulag Trade LLC, Ten Khun LLC, Tethys Minig LLC, Uuls Zaamar LLC, Urmum Uul LLC, Uurt Gold LLC, Zurin Bulan LLC"/>
    <n v="32"/>
    <m/>
    <m/>
    <m/>
    <m/>
    <n v="15"/>
    <m/>
    <m/>
    <m/>
    <m/>
    <m/>
    <m/>
    <m/>
    <m/>
    <m/>
    <m/>
    <m/>
    <m/>
    <m/>
    <m/>
    <m/>
    <m/>
    <m/>
    <m/>
    <m/>
    <m/>
    <m/>
  </r>
  <r>
    <x v="138"/>
    <n v="2008"/>
    <x v="23"/>
    <s v="East Asia and Pacific"/>
    <m/>
    <s v="Mining"/>
    <s v="yes"/>
    <s v="no"/>
    <s v="no"/>
    <s v="Iron Ore"/>
    <s v="detailed"/>
    <s v="detailed Mining"/>
    <n v="1258628.108276"/>
    <m/>
    <n v="1258628.108276"/>
    <m/>
    <m/>
    <s v="t"/>
    <n v="85.390750666664843"/>
    <s v="US$/t"/>
    <s v="Volume from EITI Report. Price from World Bank (Global Economic Monitor (GEM) Commodities database) - defined as: Iron ore (any origin) fines, spot price, c.f.r. China, 62% Fe - adjusted to account for the prices given in the 2011-2012 EITI Reports being an average 54.74% of this in 2009-2012."/>
    <n v="107475198.97585195"/>
    <m/>
    <m/>
    <m/>
    <n v="6687801.716738197"/>
    <n v="6785381.1158798281"/>
    <m/>
    <m/>
    <m/>
    <n v="6.2226465086525171E-2"/>
    <m/>
    <m/>
    <m/>
    <m/>
    <m/>
    <m/>
    <m/>
    <n v="3"/>
    <s v="Bold Tumur Eruu Gol LLC, Ankhai International LLC, Tun Shen LLC"/>
    <n v="3"/>
    <m/>
    <m/>
    <m/>
    <m/>
    <s v="15, 61-224"/>
    <m/>
    <m/>
    <m/>
    <m/>
    <m/>
    <m/>
    <m/>
    <m/>
    <m/>
    <m/>
    <m/>
    <m/>
    <m/>
    <m/>
    <m/>
    <m/>
    <m/>
    <m/>
    <m/>
    <m/>
    <m/>
  </r>
  <r>
    <x v="138"/>
    <n v="2008"/>
    <x v="23"/>
    <s v="East Asia and Pacific"/>
    <m/>
    <s v="Mining"/>
    <s v="yes"/>
    <s v="no"/>
    <s v="no"/>
    <s v="Molybdenum Concentrate (47%)"/>
    <s v="detailed"/>
    <s v="detailed Mining"/>
    <n v="1614.7888372"/>
    <m/>
    <m/>
    <m/>
    <m/>
    <s v="t"/>
    <n v="19659.179"/>
    <s v="US$/t"/>
    <s v="Volume from USGS Mineral Yearbook 2010. Price from USGS Mineral Commodity Summary 2013, and is the price in the US, adjusted to account for the prices given in the 2011-2012 EITI Reports being an average 31.21% of this in 2009-2012."/>
    <n v="31745422.797716659"/>
    <m/>
    <m/>
    <m/>
    <m/>
    <m/>
    <m/>
    <m/>
    <m/>
    <m/>
    <m/>
    <m/>
    <m/>
    <m/>
    <m/>
    <m/>
    <m/>
    <n v="1"/>
    <s v="Erdenet Mining Corporation"/>
    <n v="1"/>
    <m/>
    <m/>
    <m/>
    <m/>
    <n v="15"/>
    <m/>
    <m/>
    <m/>
    <m/>
    <m/>
    <m/>
    <m/>
    <m/>
    <m/>
    <m/>
    <m/>
    <m/>
    <m/>
    <m/>
    <m/>
    <m/>
    <m/>
    <m/>
    <m/>
    <m/>
    <m/>
  </r>
  <r>
    <x v="138"/>
    <n v="2008"/>
    <x v="23"/>
    <s v="East Asia and Pacific"/>
    <m/>
    <s v="Mining"/>
    <s v="yes"/>
    <s v="no"/>
    <s v="no"/>
    <s v="Polimet"/>
    <s v="detailed"/>
    <s v="detailed Mining"/>
    <m/>
    <m/>
    <m/>
    <m/>
    <m/>
    <m/>
    <m/>
    <m/>
    <m/>
    <m/>
    <m/>
    <m/>
    <m/>
    <n v="1023936.4806866953"/>
    <n v="1023936.4806866953"/>
    <m/>
    <m/>
    <m/>
    <m/>
    <m/>
    <m/>
    <m/>
    <m/>
    <m/>
    <m/>
    <m/>
    <n v="1"/>
    <s v="Shin Shin LLC"/>
    <n v="1"/>
    <m/>
    <m/>
    <m/>
    <m/>
    <s v="61-224"/>
    <s v="This commodity is not mentioned in the USGS Mineral Yearbook 2012."/>
    <m/>
    <m/>
    <m/>
    <m/>
    <m/>
    <m/>
    <m/>
    <m/>
    <m/>
    <m/>
    <m/>
    <m/>
    <m/>
    <m/>
    <m/>
    <m/>
    <m/>
    <m/>
    <m/>
    <m/>
  </r>
  <r>
    <x v="138"/>
    <n v="2008"/>
    <x v="23"/>
    <s v="East Asia and Pacific"/>
    <m/>
    <s v="Mining"/>
    <s v="yes"/>
    <s v="no"/>
    <s v="no"/>
    <s v="Tin Concentrate"/>
    <s v="detailed"/>
    <s v="detailed Mining"/>
    <n v="81.646626600000005"/>
    <m/>
    <n v="81.646626600000005"/>
    <m/>
    <m/>
    <s v="t"/>
    <n v="18510.0910833333"/>
    <s v="US$/t"/>
    <s v="Volume from EITI Report. Price from World Bank (Global Economic Monitor (GEM) Commodities database), and is defined as: Tin (LME), refined, 99.85% purity, settlement price."/>
    <n v="1511286.4950129036"/>
    <m/>
    <m/>
    <m/>
    <m/>
    <m/>
    <m/>
    <m/>
    <m/>
    <m/>
    <m/>
    <m/>
    <m/>
    <m/>
    <m/>
    <m/>
    <m/>
    <n v="1"/>
    <s v="Shanlun LLC"/>
    <n v="1"/>
    <m/>
    <m/>
    <m/>
    <m/>
    <n v="15"/>
    <m/>
    <m/>
    <m/>
    <m/>
    <m/>
    <m/>
    <m/>
    <m/>
    <m/>
    <m/>
    <m/>
    <m/>
    <m/>
    <m/>
    <m/>
    <m/>
    <m/>
    <m/>
    <m/>
    <m/>
    <m/>
  </r>
  <r>
    <x v="138"/>
    <n v="2008"/>
    <x v="23"/>
    <s v="East Asia and Pacific"/>
    <m/>
    <s v="Mining"/>
    <s v="yes"/>
    <s v="no"/>
    <s v="no"/>
    <s v="Tungsten (W content of mine output)"/>
    <s v="detailed"/>
    <s v="detailed Mining"/>
    <n v="142"/>
    <m/>
    <m/>
    <m/>
    <m/>
    <s v="t"/>
    <n v="174"/>
    <s v="US$/t"/>
    <s v="Volume from USGS Mineral Yearbook 2012. Price from USGS Mineral Commodity Summary 2013, and is the average price on the US and European spot markets for a metric ton unit of tungsten trioxide, which contains 7.93kg of tungsten."/>
    <n v="24708"/>
    <m/>
    <m/>
    <m/>
    <m/>
    <m/>
    <m/>
    <m/>
    <m/>
    <m/>
    <m/>
    <m/>
    <m/>
    <m/>
    <m/>
    <m/>
    <m/>
    <m/>
    <m/>
    <m/>
    <m/>
    <m/>
    <m/>
    <m/>
    <n v="15"/>
    <m/>
    <m/>
    <m/>
    <m/>
    <m/>
    <m/>
    <m/>
    <m/>
    <m/>
    <m/>
    <m/>
    <m/>
    <m/>
    <m/>
    <m/>
    <m/>
    <m/>
    <m/>
    <m/>
    <m/>
    <m/>
  </r>
  <r>
    <x v="138"/>
    <n v="2008"/>
    <x v="23"/>
    <s v="East Asia and Pacific"/>
    <m/>
    <s v="Mining"/>
    <s v="yes"/>
    <s v="no"/>
    <s v="no"/>
    <s v="Zinc concentrate"/>
    <s v="detailed"/>
    <s v="detailed Mining"/>
    <n v="130271.72866400001"/>
    <m/>
    <n v="130271.72866400001"/>
    <m/>
    <m/>
    <s v="t"/>
    <n v="950.66476486666841"/>
    <s v="US$/t"/>
    <s v="Volume from EITI Report. Price from World Bank (Global Economic Monitor (GEM) Commodities database) - defined as: Zinc (LME), high grade, minimum 99.95% purity, settlement price beginning April 1990; previously special high grade, minimum 99.995%, cash prices - adjusted to account for the prices given in the 2011-2012 EITI Reports being an average 50.71% of this in 2009-2012."/>
    <n v="123844742.299136"/>
    <m/>
    <m/>
    <m/>
    <m/>
    <m/>
    <m/>
    <m/>
    <m/>
    <m/>
    <m/>
    <m/>
    <m/>
    <m/>
    <m/>
    <m/>
    <m/>
    <n v="3"/>
    <s v="Shanlun LLC, Shin Shin LLC, Tsairt Minerals LLC"/>
    <n v="3"/>
    <m/>
    <m/>
    <m/>
    <m/>
    <n v="15"/>
    <m/>
    <m/>
    <m/>
    <m/>
    <m/>
    <m/>
    <m/>
    <m/>
    <m/>
    <m/>
    <m/>
    <m/>
    <m/>
    <m/>
    <m/>
    <m/>
    <m/>
    <m/>
    <m/>
    <m/>
    <m/>
  </r>
  <r>
    <x v="139"/>
    <n v="2009"/>
    <x v="23"/>
    <s v="East Asia and Pacific"/>
    <s v="http://eitimongolia.mn/"/>
    <s v="Oil, Mining"/>
    <s v="yes"/>
    <s v="no"/>
    <s v="yes"/>
    <s v="Total"/>
    <s v="Total"/>
    <s v="Total Oil, Mining"/>
    <m/>
    <m/>
    <m/>
    <m/>
    <m/>
    <m/>
    <m/>
    <m/>
    <m/>
    <n v="1562865033.3550594"/>
    <s v="State-owned company production entitlement, Profits/Taxes, Royalties, Dividends, Licenses and concessions, Other significant benefits to government"/>
    <s v="Also covers payments made in-kind"/>
    <s v="No"/>
    <n v="512525992.42710215"/>
    <n v="512566409.30000001"/>
    <m/>
    <m/>
    <m/>
    <n v="0.32794002136374112"/>
    <s v="Mongolian Tugrik"/>
    <n v="1439"/>
    <s v="Disaggregated by revenue stream, Disaggregated by company, Disaggregated by commodity, Disaggregated by company and revenue stream"/>
    <s v="Not given"/>
    <s v="Not given"/>
    <m/>
    <m/>
    <n v="107"/>
    <s v="Dongsheng petroleum LLC, Petro china dachin tamsag LLC, Zhong Chen Utian, Central Asiam Petroleum, Petro Matad, DWM Petroleum AG, NPI, MCS, Adamas mining LLC, Aduunchuluun LLC, Anian resources LLC, AFC tavt LLC, Adil och LLC, Almaz group LLC, Altai gold LLC, AUM LLC, Altain khuder LLC, Ankhai international LLC, Areva mongol LLC, Baganuur JSC, Berkh uul LLC, Bayan erch LLC, Bayalag jonsh LLC, Berkh uul LLC, Bayarsgold LLC, Boroo gold LLC, Bud invest LLC, Bulgangangat LLC, Bumbat LLC, Buurgent LLC, Bold tumur yruu gol LLC, Beren group LLC, Bayan airag exploration LLC, Braveheart resources LLC, Chinkhua MAK nariin sukhait LLC, Commod LLC, Centerra gold LLC, Childson LLC, Datsan trade LLC, Dun-Erdene LLC, Energy resources LLC, Erdene mongol LLC, Erdenet mining corporation LLC, Erdes Kholding LLC, Erel LLC, Erven khuder LLC, Emeelt mines LLC, Flink Mongolia LLC, Govi coal and energy LLC, Gatsuurt LLC, Guravt LLC, Gurvan tuhum LLC, Ivanhoe mines /Oyu tolgoi/ LLC, Ikh tokhoirol LLC, Ikh mongol mining LLC, Jump LLC, J and U gold LLC, Kojigovi LLC, Khan shijir LLC, KHOTU LLC, Khurai LLC, Kynar wolfram LLC, Khangad exploration LLC, Mongoliin alt corporation LLC, MonEnCo LLC, Mongolrustsevetmet LLC, Mongolchezmetal LLC, Mongol gazar LLC, Mongol tsamkhag LLC, Mongolbulgar geo LLC, Monpolimet LLC, Megaplast Mongolia LLC, Northwind LLC, Noyon Gary LLC, Odod LLC, Olon ovoot gold LLC, Ochir undraa LLC, Polo resources LLC, Rio LLC, Southgovi sands LLC, Shariin gol JSC, Shivee ovoo JSC, Sonor trade LLC, Suikhent LLC, Shijir alt LLC, MGH LLC, Shanlun LLC, Shin shin LLC, Suchigo LLC, Shijir talst LLC, SBF LLC, Tavan tolgoi JSC, T and Ch LLC, Tavan shuteen trade LLC, Tethys mining LLC, Tsogt onon LLC, Tsevdeg LLC, Tunsin LLC, Tsairt minerals LLC, Uuls zaamar LLC, Uuls noyon LLC, Uyan gan LLC, Uurt gold LLC, Urmun uul LLC, Western prospector LLC, Zaamariin ikh alt LLC, Zubgol LLC, Zuriin bulan LLC"/>
    <n v="101"/>
    <s v="May 2011"/>
    <d v="2014-09-22T00:00:00"/>
    <s v="Hart Nurse &amp;amp; Ulaambaatar Audit Corp."/>
    <s v="http://eiti.org/files/Mongolia%202009%20EITI%20Report.pdf"/>
    <n v="7"/>
    <s v="Materiality threshold: Companies that made a payment of at least MNT50,000,000 in 2009 should be reconciled. Unilateral declarations are included in the figures, including payments by six oil companies that were not requested to report and are therefore only reported on by government. Production volumes given in this report differ from those in the 2011 report. The latter are set out here. Some donations to government entities and 'expenditures on environmental protection' are in-kind payments and have been given a monetary value by companies, but the amount these account for is unclear. The report disaggregates government receipts by commodity (although aggregates copper and molybdenum), but only with reference to pre-adjustment figures. Post-adjustment figures are only provided indirectly through disaggregation by company. Where possible, post-adjustment figures have been given, but where this isn't, the breakdown of pre-adjustment figures have been used to estimate post-adjustment government receipts. Baganuur and  Shivee Ovoo SC are 75% and 90% state-owned respectively. Erdenet Mining Corporation (EMC) and Mongolrostsvetment JV are both 51% owned by the Government of Mongolia and 49% owned by the Government of Russia. EMC accounted for 48% of revenues reported by Government."/>
    <m/>
    <m/>
    <m/>
    <m/>
    <m/>
    <m/>
    <m/>
    <m/>
    <m/>
    <m/>
    <m/>
    <m/>
    <m/>
    <m/>
    <m/>
    <m/>
    <m/>
    <m/>
    <m/>
    <m/>
  </r>
  <r>
    <x v="139"/>
    <n v="2009"/>
    <x v="23"/>
    <s v="East Asia and Pacific"/>
    <m/>
    <s v="Oil"/>
    <s v="no"/>
    <s v="no"/>
    <s v="yes"/>
    <s v="Oil"/>
    <s v="detailed"/>
    <s v="detailed Oil"/>
    <n v="1870000"/>
    <m/>
    <n v="1870000"/>
    <m/>
    <m/>
    <s v="bbl"/>
    <n v="59.64"/>
    <s v="US$/bbl"/>
    <s v="Volume and price from 2011 EITI Report. Price is based on the reported value and quantity of exports."/>
    <n v="111526800"/>
    <m/>
    <m/>
    <m/>
    <n v="19306401"/>
    <n v="19305935.371785965"/>
    <m/>
    <m/>
    <m/>
    <n v="0.17310996998030967"/>
    <m/>
    <m/>
    <m/>
    <m/>
    <m/>
    <m/>
    <m/>
    <n v="8"/>
    <s v="Dongsheng petroleum LLC, Petro china dachin tamsag LLC, Zhong Chen Utian, Central Asiam Petroleum, Petro Matad, DWM Petroleum AG, NPI, MCS"/>
    <n v="2"/>
    <m/>
    <m/>
    <m/>
    <m/>
    <n v="8"/>
    <m/>
    <m/>
    <m/>
    <m/>
    <m/>
    <m/>
    <m/>
    <m/>
    <m/>
    <m/>
    <m/>
    <m/>
    <m/>
    <m/>
    <m/>
    <m/>
    <m/>
    <m/>
    <m/>
    <m/>
    <m/>
  </r>
  <r>
    <x v="139"/>
    <n v="2009"/>
    <x v="23"/>
    <s v="East Asia and Pacific"/>
    <m/>
    <s v="Mining"/>
    <s v="yes"/>
    <s v="no"/>
    <s v="no"/>
    <s v="Total Mining"/>
    <s v="Total"/>
    <s v="Total Mining"/>
    <m/>
    <m/>
    <m/>
    <m/>
    <m/>
    <m/>
    <m/>
    <m/>
    <m/>
    <n v="1451338233.3550594"/>
    <m/>
    <m/>
    <m/>
    <n v="493219591.42710215"/>
    <n v="493260473.92821407"/>
    <m/>
    <m/>
    <m/>
    <n v="0.33983779941283992"/>
    <m/>
    <m/>
    <m/>
    <m/>
    <m/>
    <m/>
    <m/>
    <n v="99"/>
    <s v="Adamas mining LLC, Aduunchuluun LLC, Anian resources LLC, AFC tavt LLC, Adil och LLC, Almaz group LLC, Altai gold LLC, AUM LLC, Altain khuder LLC, Ankhai international LLC, Areva mongol LLC, Baganuur JSC, Berkh uul LLC, Bayan erch LLC, Bayalag jonsh LLC, Berkh uul LLC, Bayarsgold LLC, Boroo gold LLC, Bud invest LLC, Bulgangangat LLC, Bumbat LLC, Buurgent LLC, Bold tumur yruu gol LLC, Beren group LLC, Bayan airag exploration LLC, Braveheart resources LLC, Chinkhua MAK nariin sukhait LLC, Commod LLC, Centerra gold LLC, Childson LLC, Datsan trade LLC, Dun-Erdene LLC, Energy resources LLC, Erdene mongol LLC, Erdenet mining corporation LLC, Erdes Kholding LLC, Erel LLC, Erven khuder LLC, Emeelt mines LLC, Flink Mongolia LLC, Govi coal and energy LLC, Gatsuurt LLC, Guravt LLC, Gurvan tuhum LLC, Ivanhoe mines /Oyu tolgoi/ LLC, Ikh tokhoirol LLC, Ikh mongol mining LLC, Jump LLC, J and U gold LLC, Kojigovi LLC, Khan shijir LLC, KHOTU LLC, Khurai LLC, Kynar wolfram LLC, Khangad exploration LLC, Mongoliin alt corporation LLC, MonEnCo LLC, Mongolrustsevetmet LLC, Mongolchezmetal LLC, Mongol gazar LLC, Mongol tsamkhag LLC, Mongolbulgar geo LLC, Monpolimet LLC, Megaplast Mongolia LLC, Northwind LLC, Noyon Gary LLC, Odod LLC, Olon ovoot gold LLC, Ochir undraa LLC, Polo resources LLC, Rio LLC, Southgovi sands LLC, Shariin gol JSC, Shivee ovoo JSC, Sonor trade LLC, Suikhent LLC, Shijir alt LLC, MGH LLC, Shanlun LLC, Shin shin LLC, Suchigo LLC, Shijir talst LLC, SBF LLC, Tavan tolgoi JSC, T and Ch LLC, Tavan shuteen trade LLC, Tethys mining LLC, Tsogt onon LLC, Tsevdeg LLC, Tunsin LLC, Tsairt minerals LLC, Uuls zaamar LLC, Uuls noyon LLC, Uyan gan LLC, Uurt gold LLC, Urmun uul LLC, Western prospector LLC, Zaamariin ikh alt LLC, Zubgol LLC, Zuriin bulan LLC"/>
    <n v="99"/>
    <m/>
    <m/>
    <m/>
    <m/>
    <n v="7"/>
    <m/>
    <m/>
    <m/>
    <m/>
    <m/>
    <m/>
    <m/>
    <m/>
    <m/>
    <m/>
    <m/>
    <m/>
    <m/>
    <m/>
    <m/>
    <m/>
    <m/>
    <m/>
    <m/>
    <m/>
    <m/>
  </r>
  <r>
    <x v="139"/>
    <n v="2009"/>
    <x v="23"/>
    <s v="East Asia and Pacific"/>
    <m/>
    <s v="Mining"/>
    <s v="yes"/>
    <s v="no"/>
    <s v="no"/>
    <s v="Coal"/>
    <s v="detailed"/>
    <s v="detailed Mining"/>
    <n v="13101652.733554"/>
    <m/>
    <n v="13101652.733554"/>
    <m/>
    <m/>
    <s v="t"/>
    <n v="43.06"/>
    <s v="US$/t"/>
    <s v="Volume and price from 2011 EITI Report. Price is based on the reported value and quantity of exports."/>
    <n v="564157166.70683527"/>
    <m/>
    <m/>
    <m/>
    <n v="57260310.6323836"/>
    <n v="57270157.748436414"/>
    <m/>
    <m/>
    <m/>
    <n v="0.10149708983868845"/>
    <m/>
    <m/>
    <m/>
    <m/>
    <m/>
    <m/>
    <m/>
    <n v="16"/>
    <s v="Adamas mining LLC, Aduunchuluun LLC, Anian resources LLC, Baganuur JSC, Berkh uul LLC, Govi coal and energy LLC, Mongoliin alt corporation LLC, MonEnCo LLC, Polo resources LLC, Southgovi sands LLC, Tavan tolgoi JSC, Chinkhua MAK nariin sukhait LLC, Shariin gol JSC, Shivee ovoo JSC, Energy resources LLC, Erdene mongol LLC"/>
    <n v="16"/>
    <m/>
    <m/>
    <m/>
    <m/>
    <s v="69-376"/>
    <m/>
    <m/>
    <m/>
    <m/>
    <m/>
    <m/>
    <m/>
    <m/>
    <m/>
    <m/>
    <m/>
    <m/>
    <m/>
    <m/>
    <m/>
    <m/>
    <m/>
    <m/>
    <m/>
    <m/>
    <m/>
  </r>
  <r>
    <x v="139"/>
    <n v="2009"/>
    <x v="23"/>
    <s v="East Asia and Pacific"/>
    <m/>
    <s v="Mining"/>
    <s v="yes"/>
    <s v="no"/>
    <s v="no"/>
    <s v="Copper Concentrate (35%)"/>
    <s v="detailed"/>
    <s v="detailed Mining"/>
    <n v="336474.82006600004"/>
    <m/>
    <n v="336474.82006600004"/>
    <m/>
    <m/>
    <s v="t"/>
    <n v="855.07"/>
    <s v="US$/t"/>
    <s v="Volume and price from 2011 EITI Report. Price is based on the reported value and quantity of exports."/>
    <n v="287709524.39383465"/>
    <m/>
    <m/>
    <m/>
    <m/>
    <m/>
    <m/>
    <m/>
    <m/>
    <m/>
    <m/>
    <m/>
    <m/>
    <m/>
    <m/>
    <m/>
    <m/>
    <n v="4"/>
    <s v="Ivanhoe mines /Oyu tolgoi/ LLC, AFC tavt LLC, Erdenet mining corporation LLC, Bayan erch LLC"/>
    <n v="4"/>
    <m/>
    <m/>
    <m/>
    <m/>
    <m/>
    <m/>
    <m/>
    <m/>
    <m/>
    <m/>
    <m/>
    <m/>
    <m/>
    <m/>
    <m/>
    <m/>
    <m/>
    <m/>
    <m/>
    <m/>
    <m/>
    <m/>
    <m/>
    <m/>
    <m/>
    <m/>
  </r>
  <r>
    <x v="139"/>
    <n v="2009"/>
    <x v="23"/>
    <s v="East Asia and Pacific"/>
    <m/>
    <s v="Mining"/>
    <s v="yes"/>
    <s v="no"/>
    <s v="no"/>
    <s v="Fluorspar"/>
    <s v="detailed"/>
    <s v="detailed Mining"/>
    <n v="674582.57266399998"/>
    <m/>
    <n v="674582.57266399998"/>
    <m/>
    <m/>
    <s v="t"/>
    <n v="153.58000000000001"/>
    <s v="US$/t"/>
    <s v="Volume and price from 2011 EITI Report. Price is based on the reported value and quantity of exports."/>
    <n v="103602391.50973712"/>
    <m/>
    <m/>
    <m/>
    <n v="3284035.0261725346"/>
    <m/>
    <m/>
    <m/>
    <m/>
    <n v="3.1698448060090222E-2"/>
    <m/>
    <m/>
    <m/>
    <m/>
    <m/>
    <m/>
    <m/>
    <n v="7"/>
    <s v="Adil och LLC, Bayalag jonsh LLC, Berkh uul LLC, Commod LLC, Mongolrustsevetmet LLC, Mongolchezmetal LLC, Northwind LLC"/>
    <n v="7"/>
    <m/>
    <m/>
    <m/>
    <m/>
    <n v="22"/>
    <m/>
    <m/>
    <m/>
    <m/>
    <m/>
    <m/>
    <m/>
    <m/>
    <m/>
    <m/>
    <m/>
    <m/>
    <m/>
    <m/>
    <m/>
    <m/>
    <m/>
    <m/>
    <m/>
    <m/>
    <m/>
  </r>
  <r>
    <x v="139"/>
    <n v="2009"/>
    <x v="23"/>
    <s v="East Asia and Pacific"/>
    <m/>
    <s v="Mining"/>
    <s v="yes"/>
    <s v="no"/>
    <s v="no"/>
    <s v="Gold"/>
    <s v="detailed"/>
    <s v="detailed Mining"/>
    <n v="315183.38009207626"/>
    <m/>
    <n v="315183.38009207626"/>
    <m/>
    <m/>
    <s v="toz"/>
    <n v="872.2347990512917"/>
    <s v="US$/toz"/>
    <s v="Volume and price from 2011 EITI Report. Price is based on the reported value and quantity of exports."/>
    <n v="274913912.19891906"/>
    <m/>
    <m/>
    <m/>
    <n v="49147893.47516752"/>
    <m/>
    <m/>
    <m/>
    <m/>
    <n v="0.17877557771469074"/>
    <m/>
    <m/>
    <m/>
    <m/>
    <m/>
    <m/>
    <m/>
    <n v="56"/>
    <s v="Ivanhoe mines /Oyu tolgoi/ LLC, Almaz group LLC, Altai gold LLC, AUM LLC, AFC tavt LLC, Bayarsgold LLC, Boroo gold LLC, Bud invest LLC, Bulgangangat LLC, Bumbat LLC, Buurgent LLC, Berkh uul LLC, Gatsuurt LLC, Guravt LLC, Gurvan tuhum LLC, Datsan trade LLC, Dun-Erdene LLC, Jump LLC, J and U gold LLC, Zaamariin ikh alt LLC, Zubgol LLC, Zuriin bulan LLC, Ikh tokhoirol LLC, Kojigovi LLC, Mongol gazar LLC, Mongol tsamkhag LLC, Mongolbulgar geo LLC, Mongolrustsevetmet LLC, Monpolimet LLC, Noyon Gary LLC, Odod LLC, Olon ovoot gold LLC, Urmun uul LLC, Rio LLC, Centerra gold LLC, Sonor trade LLC, Suikhent LLC, T and Ch LLC, Tavan shuteen trade LLC, Tethys mining LLC, Uuls zaamar LLC, Uuls noyon LLC, Uyan gan LLC, Uurt gold LLC, Flink Mongolia LLC, Khan shijir LLC, KHOTU LLC, Khurai LLC, Tsogt onon LLC, Tsevdeg LLC, Childson LLC, Shijir alt LLC, MGH LLC, Erdes Kholding LLC, Erel LLC, SBF LLC"/>
    <n v="56"/>
    <m/>
    <m/>
    <m/>
    <m/>
    <n v="22"/>
    <m/>
    <m/>
    <m/>
    <m/>
    <m/>
    <m/>
    <m/>
    <m/>
    <m/>
    <m/>
    <m/>
    <m/>
    <m/>
    <m/>
    <m/>
    <m/>
    <m/>
    <m/>
    <m/>
    <m/>
    <m/>
  </r>
  <r>
    <x v="139"/>
    <n v="2009"/>
    <x v="23"/>
    <s v="East Asia and Pacific"/>
    <m/>
    <s v="Mining"/>
    <s v="yes"/>
    <s v="no"/>
    <s v="no"/>
    <s v="Iron Ore"/>
    <s v="detailed"/>
    <s v="detailed Mining"/>
    <n v="1251007.7564600001"/>
    <m/>
    <n v="1251007.7564600001"/>
    <m/>
    <m/>
    <s v="t"/>
    <n v="55.55"/>
    <s v="US$/t"/>
    <s v="Volume and price from 2011 EITI Report. Price is based on the reported value and quantity of exports."/>
    <n v="69493480.871353"/>
    <m/>
    <m/>
    <m/>
    <n v="10918826.963168867"/>
    <n v="10270149.409312021"/>
    <m/>
    <m/>
    <m/>
    <n v="0.15712016186643327"/>
    <m/>
    <m/>
    <m/>
    <m/>
    <m/>
    <m/>
    <m/>
    <n v="8"/>
    <s v="Altain khuder LLC, Ankhai international LLC, Bold tumur yruu gol LLC, Beren group LLC, Kynar wolfram LLC, Tunsin LLC, Khangad exploration LLC, Erven khuder LLC"/>
    <n v="8"/>
    <m/>
    <m/>
    <m/>
    <m/>
    <s v="69-376"/>
    <m/>
    <m/>
    <m/>
    <m/>
    <m/>
    <m/>
    <m/>
    <m/>
    <m/>
    <m/>
    <m/>
    <m/>
    <m/>
    <m/>
    <m/>
    <m/>
    <m/>
    <m/>
    <m/>
    <m/>
    <m/>
  </r>
  <r>
    <x v="139"/>
    <n v="2009"/>
    <x v="23"/>
    <s v="East Asia and Pacific"/>
    <m/>
    <s v="Mining"/>
    <s v="yes"/>
    <s v="no"/>
    <s v="no"/>
    <s v="Molybdenum"/>
    <s v="detailed"/>
    <s v="detailed Mining"/>
    <n v="4649.3217924999999"/>
    <m/>
    <n v="4649.3217924999999"/>
    <m/>
    <m/>
    <s v="t"/>
    <n v="7187"/>
    <s v="US$/t"/>
    <s v="Volume and price from 2011 EITI Report. Price is based on the reported value and quantity of exports."/>
    <n v="33414675.7226975"/>
    <m/>
    <m/>
    <m/>
    <m/>
    <m/>
    <m/>
    <m/>
    <m/>
    <m/>
    <m/>
    <m/>
    <m/>
    <m/>
    <m/>
    <m/>
    <m/>
    <n v="4"/>
    <s v="Ivanhoe mines /Oyu tolgoi/ LLC, AFC tavt LLC, Erdenet mining corporation LLC, Bayan erch LLC"/>
    <n v="4"/>
    <m/>
    <m/>
    <m/>
    <m/>
    <m/>
    <m/>
    <m/>
    <m/>
    <m/>
    <m/>
    <m/>
    <m/>
    <m/>
    <m/>
    <m/>
    <m/>
    <m/>
    <m/>
    <m/>
    <m/>
    <m/>
    <m/>
    <m/>
    <m/>
    <m/>
    <m/>
  </r>
  <r>
    <x v="139"/>
    <n v="2009"/>
    <x v="23"/>
    <s v="East Asia and Pacific"/>
    <m/>
    <s v="Mining"/>
    <s v="yes"/>
    <s v="no"/>
    <s v="no"/>
    <s v="Salt"/>
    <s v="detailed"/>
    <s v="detailed Mining"/>
    <n v="1402"/>
    <m/>
    <m/>
    <m/>
    <m/>
    <s v="t"/>
    <n v="73.67"/>
    <s v="US$/t"/>
    <s v="Volume from USGS Mineral Yearbook 2012. Price from USGS Mineral Commodity Summary 2013, and is the average f.o.b. mine and plant price for bulk, pellets and packaged vacuum and open pan salt, solar salt, rock salt and salt in brine."/>
    <n v="103285.34"/>
    <m/>
    <m/>
    <m/>
    <m/>
    <m/>
    <m/>
    <m/>
    <m/>
    <m/>
    <m/>
    <m/>
    <m/>
    <m/>
    <m/>
    <m/>
    <m/>
    <m/>
    <m/>
    <m/>
    <m/>
    <m/>
    <m/>
    <m/>
    <m/>
    <m/>
    <m/>
    <m/>
    <m/>
    <m/>
    <m/>
    <m/>
    <m/>
    <m/>
    <m/>
    <m/>
    <m/>
    <m/>
    <m/>
    <m/>
    <m/>
    <m/>
    <m/>
    <m/>
    <m/>
    <m/>
  </r>
  <r>
    <x v="139"/>
    <n v="2009"/>
    <x v="23"/>
    <s v="East Asia and Pacific"/>
    <m/>
    <s v="Mining"/>
    <s v="yes"/>
    <s v="no"/>
    <s v="no"/>
    <s v="Silver"/>
    <s v="detailed"/>
    <s v="detailed Mining"/>
    <n v="942691.93921228242"/>
    <m/>
    <m/>
    <m/>
    <m/>
    <s v="toz"/>
    <n v="14.64353333333"/>
    <s v="US$/toz"/>
    <s v="Volume from USGS Mineral Yearbook 2012. Price from World Bank (Global Economic Monitor (GEM) Commodities database), and is defined as: Silver (Handy &amp; Harman), 99.9% grade refined, New York."/>
    <n v="13804340.834916556"/>
    <m/>
    <m/>
    <m/>
    <m/>
    <m/>
    <m/>
    <m/>
    <m/>
    <m/>
    <m/>
    <m/>
    <m/>
    <m/>
    <m/>
    <m/>
    <m/>
    <n v="12"/>
    <s v="AUM LLC, Boroo gold LLC, Buurgent LLC, Gatsuurt LLC, Datsan trade LLC, Jump LLC, J and U gold LLC, Zubgol LLC, Olon ovoot gold LLC, Uuls noyon LLC, Khan shijir LLC, Tsogt onon LLC"/>
    <n v="12"/>
    <m/>
    <m/>
    <m/>
    <m/>
    <m/>
    <m/>
    <m/>
    <m/>
    <m/>
    <m/>
    <m/>
    <m/>
    <m/>
    <m/>
    <m/>
    <m/>
    <m/>
    <m/>
    <m/>
    <m/>
    <m/>
    <m/>
    <m/>
    <m/>
    <m/>
    <m/>
  </r>
  <r>
    <x v="139"/>
    <n v="2009"/>
    <x v="23"/>
    <s v="East Asia and Pacific"/>
    <m/>
    <s v="Mining"/>
    <s v="yes"/>
    <s v="no"/>
    <s v="no"/>
    <s v="Tungsten (W content of mine output)"/>
    <s v="detailed"/>
    <s v="detailed Mining"/>
    <n v="39"/>
    <m/>
    <m/>
    <m/>
    <m/>
    <s v="t"/>
    <n v="150.5"/>
    <s v="US$/t"/>
    <s v="Volume from USGS Mineral Yearbook 2012. Price from USGS Mineral Commodity Summary 2013, and is the average price on the US and European spot markets for a metric ton unit of tungsten trioxide, which contains 7.93kg of tungsten."/>
    <n v="5869.5"/>
    <m/>
    <m/>
    <m/>
    <m/>
    <m/>
    <m/>
    <m/>
    <m/>
    <m/>
    <m/>
    <m/>
    <m/>
    <m/>
    <m/>
    <m/>
    <m/>
    <m/>
    <m/>
    <m/>
    <m/>
    <m/>
    <m/>
    <m/>
    <m/>
    <m/>
    <m/>
    <m/>
    <m/>
    <m/>
    <m/>
    <m/>
    <m/>
    <m/>
    <m/>
    <m/>
    <m/>
    <m/>
    <m/>
    <m/>
    <m/>
    <m/>
    <m/>
    <m/>
    <m/>
    <m/>
  </r>
  <r>
    <x v="139"/>
    <n v="2009"/>
    <x v="23"/>
    <s v="East Asia and Pacific"/>
    <m/>
    <s v="Mining"/>
    <s v="yes"/>
    <s v="no"/>
    <s v="no"/>
    <s v="Uranium"/>
    <s v="detailed"/>
    <s v="detailed Mining"/>
    <m/>
    <m/>
    <m/>
    <m/>
    <m/>
    <m/>
    <m/>
    <m/>
    <m/>
    <m/>
    <m/>
    <m/>
    <m/>
    <n v="576558.02640722715"/>
    <n v="589692.14732453087"/>
    <m/>
    <m/>
    <m/>
    <m/>
    <m/>
    <m/>
    <m/>
    <m/>
    <m/>
    <m/>
    <m/>
    <n v="2"/>
    <s v="Areva mongol LLC, Western prospector LLC"/>
    <n v="2"/>
    <m/>
    <m/>
    <m/>
    <m/>
    <s v="69-376"/>
    <s v="This commodity is not mentioned in the USGS Mineral Yearbook 2012."/>
    <m/>
    <m/>
    <m/>
    <m/>
    <m/>
    <m/>
    <m/>
    <m/>
    <m/>
    <m/>
    <m/>
    <m/>
    <m/>
    <m/>
    <m/>
    <m/>
    <m/>
    <m/>
    <m/>
    <m/>
  </r>
  <r>
    <x v="139"/>
    <n v="2009"/>
    <x v="23"/>
    <s v="East Asia and Pacific"/>
    <m/>
    <s v="Mining"/>
    <s v="yes"/>
    <s v="no"/>
    <s v="no"/>
    <s v="Zinc"/>
    <s v="detailed"/>
    <s v="detailed Mining"/>
    <n v="128366.64071000001"/>
    <m/>
    <n v="128366.64071000001"/>
    <m/>
    <m/>
    <s v="t"/>
    <n v="811.22"/>
    <s v="US$/t"/>
    <s v="Volume and price from 2011 EITI Report. Price is based on the reported value and quantity of exports."/>
    <n v="104133586.27676621"/>
    <m/>
    <m/>
    <m/>
    <m/>
    <m/>
    <m/>
    <m/>
    <m/>
    <m/>
    <m/>
    <m/>
    <m/>
    <m/>
    <m/>
    <m/>
    <m/>
    <n v="2"/>
    <s v="Tsairt minerals LLC, Shanlun LLC"/>
    <n v="2"/>
    <m/>
    <m/>
    <m/>
    <m/>
    <m/>
    <m/>
    <m/>
    <m/>
    <m/>
    <m/>
    <m/>
    <m/>
    <m/>
    <m/>
    <m/>
    <m/>
    <m/>
    <m/>
    <m/>
    <m/>
    <m/>
    <m/>
    <m/>
    <m/>
    <m/>
    <m/>
  </r>
  <r>
    <x v="140"/>
    <n v="2010"/>
    <x v="23"/>
    <s v="East Asia and Pacific"/>
    <s v="http://eitimongolia.mn/"/>
    <s v="Oil, Mining"/>
    <s v="yes"/>
    <s v="no"/>
    <s v="yes"/>
    <s v="Total"/>
    <s v="Total"/>
    <s v="Total Oil, Mining"/>
    <m/>
    <m/>
    <m/>
    <m/>
    <m/>
    <m/>
    <m/>
    <m/>
    <m/>
    <n v="2405606221.7856212"/>
    <s v="State-owned company production entitlement, Profits/Taxes, Royalties, Dividends, Licenses and concessions, Other significant benefits to government"/>
    <s v="Also covers payments made in-kind"/>
    <s v="No"/>
    <n v="943183886"/>
    <n v="943184625.70000005"/>
    <m/>
    <m/>
    <m/>
    <n v="0.39207742208943003"/>
    <s v="Mongolian Tugrik"/>
    <n v="1351.87"/>
    <s v="Disaggregated by revenue stream, Disaggregated by company, Disaggregated by commodity, Disaggregated by company and revenue stream"/>
    <s v="Donations and assistance provided to Government organisations (type and volumes are not comprehensively given)"/>
    <n v="3787346.4160000002"/>
    <m/>
    <m/>
    <n v="150"/>
    <s v="Govi Energy partners LLC, Don Seng LLC, Zon heng yu tian LLC, Capcorp LLC, Petro Matad LLC, Petro China Dachin Tamsag LLC, Sansariin geology haiguul LLC, Sheiman LLC, MCS holding LLC, Agit Khangai LLC, AGM mining LLC, Adamas mining LLC, Adamas mountain LLC, Adil-Och LLC, Aduunchuluun JSC, Asia gold Mongolia LLC, Ivonhoe mines Mongolia inc /Oyu tolgoi/ LLC, Altain khuder LLC, Altan dornod Mongol LLC, Amin tsetseg LLC, Andin Ilch LLC, Andiin temuulel LLC, Ankhai International LLC, AUM LLC, AFK TAVT LLC, Baganur JSC_x000a_Baga Tayan LLC, Bayan airag exploration LLC, Bayan- Erch LLC, Buurgent LLC, Bold tumor eruu gol LLC, Boroo gold LLC, Brave heart resouces LLC, Bud Invest LLC, Bulgan Gangat LLC, Bumbat LLC, Bumbat resources LLC, Berkh resources LLC, Berkh-Uul LLC, Beren-Group LLC, Beren mining LLC, Western Prosector Mongolia LLC, Garryson-Asia LLC, Gatsuurt LLC, Geosan LLC, Geo-Erel LLC, Gun Bileg Trade LLC, Gobi Coal and Energy LLC, GoviEx Mongolia LLC, Gobigeo LLC, Golden cross LLC, Goldan Pogada LLC, Gurvan tuhum LLC, Datsan trade LLC, DQI International Mongolia LLC, Don young LLC, Dun-Erdene LLC, Urmon-Uul LLC, Jump-Alt LLC, Ten Khun LLC, GKMK LLC, G and U gold LLC, Jotoin bajuna LLC, Zaamariin Ikh Alt LLC, Zaraya holdings LLC, ZBAA LLC, Zuriin bulan LLC, IAM khukh adar LLC, Ilt gold LLC, Ikh mongol mining LLC, Ikh tokhoirol LLC, Uurt gold LLC, Kevin-Invest LLC, Kojigobi LLC, Commod LLC, QGX mongol LLC, Lon Shengda LLC, MGMK LLC, MES LLC, Mogoin gol LLC, Mogul International LLC, Mon Ajnai LLC, Mon poliment LLC, Mongol road prom LLC, Mongol Alt Mak LLC, Mongol bolgar geo LLC, Mongol gazar LLC, Mongol tsamkhag LLC, Mongolczechmetal LLC, Mongol-Alt LLC, Mongolia development resources LLC, Mongolrustsvetmet LLC, Mondulaan trade LLC, Monrosprom LLC, MONENCO LLC, Noyon Garry LLC, North wind LLC, Nuclear energy LLC, Odod LLC, Odod gold LLC, Olon ovoot gold LLC, ONTRE LLC, Ochir tuv LLC, Peabody winsway resources LLC, South gobi sands LLC, Centerra gold Mongolia LLC, Taats muron LLC, Tavantolgoi LLC, Tethys mining LLC, TRAMM LLC, Tumen and LLC, Tunderklap LLC, Tunsini LLC, Urt khoshuu LLC, Uyangan LLC, Khan shijir LLC, Khangad exploration LLC, Khar tarvagatai LLC, Khuder-Erdene LLC, HOTU LLC, Khotiin zam LLC, Khuusgul LLC, Kuady kyon LLC, Khunan jinlen LLC, Khunnu resources LLC, Khurai LLC, Tsairt mineral LLC, Chamin-Alt LLC, Chinhua Mac Nariin Sukhait LLC_x000a_Shanlun LLC, Shar narst LLC, Shariin gol JSC, Shivee-Ovoo JSC, Shijir talst LLC, Shijir-Alt LLC, Shin shin LLC, MOOICO LLC, Emeelt mines LLC, Engui tal LLC, Energy resources LLC, Erven khuder LLC, Erdene Jas LLC, Erdenes MGL LLC, Erdenet uildver LLC, Erdes holding LLC, Eringovi LLC, Erel LLC, SBF LLC, Universal copper LLC"/>
    <n v="150"/>
    <s v="May 2012"/>
    <d v="2014-09-22T00:00:00"/>
    <s v="Hart Nurse &amp;amp; Ulaambaatar Audit Corp."/>
    <s v="http://eiti.org/files/Mongolia-2010-EITI-Report-FULL.pdf"/>
    <n v="6"/>
    <s v="Materiality threshold: Companies that made a payment of at least MNT50,000,000 in 2010 should be reconciled. Some companies have been included that are not directly involved in mining activities, but provide services, such as catering, to companies that are. Unilateral declarations are included in the figures. Production volumes given in this report differ from those in the 2011 report. The latter are set out here. The report disaggregates government receipts by the main commodities (although aggregates copper and molybdenum). Some others are provided indirectly through disaggregation by company. Baganuur and  Shivee Ovoo SC are 75% and 90% state-owned respectively. Erdenet Mining Corporation (EMC) and Mongolrostsvetment JV are both 51% owned by the Government of Mongolia and 49% owned by the Government of Russia. EMC accounted for 51% of revenues reported by Government.  The report also includes: mineral reserves; FDI in the extractive sector; a detailed reconciliation of flows to some local government entities."/>
    <m/>
    <m/>
    <m/>
    <m/>
    <m/>
    <m/>
    <m/>
    <m/>
    <m/>
    <m/>
    <m/>
    <m/>
    <m/>
    <m/>
    <m/>
    <m/>
    <m/>
    <m/>
    <m/>
    <m/>
  </r>
  <r>
    <x v="140"/>
    <n v="2010"/>
    <x v="23"/>
    <s v="East Asia and Pacific"/>
    <m/>
    <s v="Oil"/>
    <s v="no"/>
    <s v="no"/>
    <s v="yes"/>
    <s v="Oil"/>
    <s v="detailed"/>
    <s v="detailed Oil"/>
    <n v="2181400"/>
    <m/>
    <n v="2181400"/>
    <m/>
    <m/>
    <s v="bbl"/>
    <n v="74.55"/>
    <s v="US$/bbl"/>
    <s v="Volume and price from 2011 EITI Report. Price is based on the reported value and quantity of exports."/>
    <n v="162623370"/>
    <m/>
    <m/>
    <m/>
    <n v="49691900.848454371"/>
    <m/>
    <m/>
    <m/>
    <m/>
    <n v="0.30556432847538684"/>
    <m/>
    <m/>
    <m/>
    <m/>
    <m/>
    <m/>
    <m/>
    <n v="9"/>
    <s v="Govi Energy partners LLC, Don Seng LLC, Zon heng yu tian LLC, Capcorp LLC, Petro Matad LLC, Petro China Dachin Tamsag LLC, Sansariin geology haiguul LLC, Sheiman LLC, MCS holding LLC"/>
    <n v="9"/>
    <m/>
    <m/>
    <m/>
    <m/>
    <n v="21"/>
    <m/>
    <m/>
    <m/>
    <m/>
    <m/>
    <m/>
    <m/>
    <m/>
    <m/>
    <m/>
    <m/>
    <m/>
    <m/>
    <m/>
    <m/>
    <m/>
    <m/>
    <m/>
    <m/>
    <m/>
    <m/>
  </r>
  <r>
    <x v="140"/>
    <n v="2010"/>
    <x v="23"/>
    <s v="East Asia and Pacific"/>
    <m/>
    <s v="Mining"/>
    <s v="yes"/>
    <s v="no"/>
    <s v="no"/>
    <s v="Total Mining"/>
    <s v="Total"/>
    <s v="Total Mining"/>
    <m/>
    <m/>
    <m/>
    <m/>
    <m/>
    <m/>
    <m/>
    <m/>
    <m/>
    <n v="2242982851.7856212"/>
    <m/>
    <m/>
    <m/>
    <n v="893491985.15154564"/>
    <m/>
    <m/>
    <m/>
    <m/>
    <n v="0.39834989573827712"/>
    <m/>
    <m/>
    <m/>
    <m/>
    <m/>
    <m/>
    <m/>
    <n v="141"/>
    <s v="Agit Khangai LLC, AGM mining LLC, Adamas mining LLC, Adamas mountain LLC, Adil-Och LLC, Aduunchuluun JSC, Asia gold Mongolia LLC, Ivonhoe mines Mongolia inc /Oyu tolgoi/ LLC, Altain khuder LLC, Altan dornod Mongol LLC, Amin tsetseg LLC, Andin Ilch LLC, Andiin temuulel LLC, Ankhai International LLC, AUM LLC, AFK TAVT LLC, Baganur JSC_x000a_Baga Tayan LLC, Bayan airag exploration LLC, Bayan- Erch LLC, Buurgent LLC, Bold tumor eruu gol LLC, Boroo gold LLC, Brave heart resouces LLC, Bud Invest LLC, Bulgan Gangat LLC, Bumbat LLC, Bumbat resources LLC, Berkh resources LLC, Berkh-Uul LLC, Beren-Group LLC, Beren mining LLC, Western Prosector Mongolia LLC, Garryson-Asia LLC, Gatsuurt LLC, Geosan LLC, Geo-Erel LLC, Gun Bileg Trade LLC, Gobi Coal and Energy LLC, GoviEx Mongolia LLC, Gobigeo LLC, Golden cross LLC, Goldan Pogada LLC, Gurvan tuhum LLC, Datsan trade LLC, DQI International Mongolia LLC, Don young LLC, Dun-Erdene LLC, Urmon-Uul LLC, Jump-Alt LLC, Ten Khun LLC, GKMK LLC, G and U gold LLC, Jotoin bajuna LLC, Zaamariin Ikh Alt LLC, Zaraya holdings LLC, ZBAA LLC, Zuriin bulan LLC, IAM khukh adar LLC, Ilt gold LLC, Ikh mongol mining LLC, Ikh tokhoirol LLC, Uurt gold LLC, Kevin-Invest LLC, Kojigobi LLC, Commod LLC, QGX mongol LLC, Lon Shengda LLC, MGMK LLC, MES LLC, Mogoin gol LLC, Mogul International LLC, Mon Ajnai LLC, Mon poliment LLC, Mongol road prom LLC, Mongol Alt Mak LLC, Mongol bolgar geo LLC, Mongol gazar LLC, Mongol tsamkhag LLC, Mongolczechmetal LLC, Mongol-Alt LLC, Mongolia development resources LLC, Mongolrustsvetmet LLC, Mondulaan trade LLC, Monrosprom LLC, MONENCO LLC, Noyon Garry LLC, North wind LLC, Nuclear energy LLC, Odod LLC, Odod gold LLC, Olon ovoot gold LLC, ONTRE LLC, Ochir tuv LLC, Peabody winsway resources LLC, South gobi sands LLC, Centerra gold Mongolia LLC, Taats muron LLC, Tavantolgoi LLC, Tethys mining LLC, TRAMM LLC, Tumen and LLC, Tunderklap LLC, Tunsini LLC, Urt khoshuu LLC, Uyangan LLC, Khan shijir LLC, Khangad exploration LLC, Khar tarvagatai LLC, Khuder-Erdene LLC, HOTU LLC, Khotiin zam LLC, Khuusgul LLC, Kuady kyon LLC, Khunan jinlen LLC, Khunnu resources LLC, Khurai LLC, Tsairt mineral LLC, Chamin-Alt LLC, Chinhua Mac Nariin Sukhait LLC_x000a_Shanlun LLC, Shar narst LLC, Shariin gol JSC, Shivee-Ovoo JSC, Shijir talst LLC, Shijir-Alt LLC, Shin shin LLC, MOOICO LLC, Emeelt mines LLC, Engui tal LLC, Energy resources LLC, Erven khuder LLC, Erdene Jas LLC, Erdenes MGL LLC, Erdenet uildver LLC, Erdes holding LLC, Eringovi LLC, Erel LLC, SBF LLC, Universal copper LLC"/>
    <n v="141"/>
    <m/>
    <m/>
    <m/>
    <m/>
    <m/>
    <m/>
    <m/>
    <m/>
    <m/>
    <m/>
    <m/>
    <m/>
    <m/>
    <m/>
    <m/>
    <m/>
    <m/>
    <m/>
    <m/>
    <m/>
    <m/>
    <m/>
    <m/>
    <m/>
    <m/>
    <m/>
  </r>
  <r>
    <x v="140"/>
    <n v="2010"/>
    <x v="23"/>
    <s v="East Asia and Pacific"/>
    <m/>
    <s v="Mining"/>
    <s v="yes"/>
    <s v="no"/>
    <s v="no"/>
    <s v="Coal"/>
    <s v="detailed"/>
    <s v="detailed Mining"/>
    <n v="22826491.709406"/>
    <m/>
    <n v="22826491.709406"/>
    <m/>
    <m/>
    <s v="t"/>
    <n v="52.73"/>
    <s v="US$/t"/>
    <s v="Volume and price from 2011 EITI Report. Price is based on the reported value and quantity of exports."/>
    <n v="1203640907.8369782"/>
    <m/>
    <m/>
    <m/>
    <n v="186111105.35776371"/>
    <m/>
    <m/>
    <m/>
    <m/>
    <n v="0.15462344636675535"/>
    <m/>
    <m/>
    <m/>
    <m/>
    <m/>
    <m/>
    <m/>
    <m/>
    <m/>
    <m/>
    <m/>
    <m/>
    <m/>
    <m/>
    <n v="21"/>
    <m/>
    <m/>
    <m/>
    <m/>
    <m/>
    <m/>
    <m/>
    <m/>
    <m/>
    <m/>
    <m/>
    <m/>
    <m/>
    <m/>
    <m/>
    <m/>
    <m/>
    <m/>
    <m/>
    <m/>
    <m/>
  </r>
  <r>
    <x v="140"/>
    <n v="2010"/>
    <x v="23"/>
    <s v="East Asia and Pacific"/>
    <m/>
    <s v="Mining"/>
    <s v="yes"/>
    <s v="no"/>
    <s v="no"/>
    <s v="Copper Concentrate (35%)"/>
    <s v="detailed"/>
    <s v="detailed Mining"/>
    <n v="323955.67065400002"/>
    <m/>
    <n v="323955.67065400002"/>
    <m/>
    <m/>
    <s v="t"/>
    <n v="1354.3"/>
    <s v="US$/t"/>
    <s v="Volume and price from 2011 EITI Report. Price is based on the reported value and quantity of exports."/>
    <n v="438733164.76671219"/>
    <m/>
    <m/>
    <m/>
    <m/>
    <m/>
    <m/>
    <m/>
    <m/>
    <m/>
    <m/>
    <m/>
    <m/>
    <m/>
    <m/>
    <m/>
    <m/>
    <m/>
    <m/>
    <m/>
    <m/>
    <m/>
    <m/>
    <m/>
    <m/>
    <m/>
    <m/>
    <m/>
    <m/>
    <m/>
    <m/>
    <m/>
    <m/>
    <m/>
    <m/>
    <m/>
    <m/>
    <m/>
    <m/>
    <m/>
    <m/>
    <m/>
    <m/>
    <m/>
    <m/>
    <m/>
  </r>
  <r>
    <x v="140"/>
    <n v="2010"/>
    <x v="23"/>
    <s v="East Asia and Pacific"/>
    <m/>
    <s v="Mining"/>
    <s v="yes"/>
    <s v="no"/>
    <s v="no"/>
    <s v="Fluorspar"/>
    <s v="detailed"/>
    <s v="detailed Mining"/>
    <n v="787.16419889800011"/>
    <m/>
    <n v="787.16419889800011"/>
    <m/>
    <m/>
    <s v="t"/>
    <n v="169.52"/>
    <s v="US$/t"/>
    <s v="Volume and price from 2011 EITI Report. Price is based on the reported value and quantity of exports."/>
    <n v="133440.07499718899"/>
    <m/>
    <m/>
    <m/>
    <n v="708389.12025564595"/>
    <m/>
    <m/>
    <m/>
    <m/>
    <n v="5.3086684811183495"/>
    <m/>
    <m/>
    <m/>
    <m/>
    <m/>
    <m/>
    <m/>
    <m/>
    <m/>
    <m/>
    <m/>
    <m/>
    <m/>
    <m/>
    <n v="21"/>
    <m/>
    <m/>
    <m/>
    <m/>
    <m/>
    <m/>
    <m/>
    <m/>
    <m/>
    <m/>
    <m/>
    <m/>
    <m/>
    <m/>
    <m/>
    <m/>
    <m/>
    <m/>
    <m/>
    <m/>
    <m/>
  </r>
  <r>
    <x v="140"/>
    <n v="2010"/>
    <x v="23"/>
    <s v="East Asia and Pacific"/>
    <m/>
    <s v="Mining"/>
    <s v="yes"/>
    <s v="no"/>
    <s v="no"/>
    <s v="Gold"/>
    <s v="detailed"/>
    <s v="detailed Mining"/>
    <n v="195254.67808158361"/>
    <m/>
    <n v="195254.67808158361"/>
    <m/>
    <m/>
    <s v="toz"/>
    <n v="1109.3925887245182"/>
    <s v="US$/toz"/>
    <s v="Volume and price from 2011 EITI Report. Price is based on the reported value and quantity of exports."/>
    <n v="216614092.77750048"/>
    <m/>
    <m/>
    <m/>
    <n v="71633470.673955351"/>
    <m/>
    <m/>
    <m/>
    <m/>
    <n v="0.33069626151948994"/>
    <m/>
    <m/>
    <m/>
    <m/>
    <m/>
    <m/>
    <m/>
    <m/>
    <m/>
    <m/>
    <m/>
    <m/>
    <m/>
    <m/>
    <n v="21"/>
    <m/>
    <m/>
    <m/>
    <m/>
    <m/>
    <m/>
    <m/>
    <m/>
    <m/>
    <m/>
    <m/>
    <m/>
    <m/>
    <m/>
    <m/>
    <m/>
    <m/>
    <m/>
    <m/>
    <m/>
    <m/>
  </r>
  <r>
    <x v="140"/>
    <n v="2010"/>
    <x v="23"/>
    <s v="East Asia and Pacific"/>
    <m/>
    <s v="Mining"/>
    <s v="yes"/>
    <s v="no"/>
    <s v="no"/>
    <s v="Iron Ore"/>
    <s v="detailed"/>
    <s v="detailed Mining"/>
    <n v="2905894.1591680003"/>
    <m/>
    <n v="2905894.1591680003"/>
    <m/>
    <m/>
    <s v="t"/>
    <n v="71.22"/>
    <s v="US$/t"/>
    <s v="Volume and price from 2011 EITI Report. Price is based on the reported value and quantity of exports."/>
    <n v="206957782.01594499"/>
    <m/>
    <m/>
    <m/>
    <n v="33284709.3285597"/>
    <m/>
    <m/>
    <m/>
    <m/>
    <n v="0.16082849847122585"/>
    <m/>
    <m/>
    <m/>
    <m/>
    <m/>
    <m/>
    <m/>
    <m/>
    <m/>
    <m/>
    <m/>
    <m/>
    <m/>
    <m/>
    <n v="21"/>
    <m/>
    <m/>
    <m/>
    <m/>
    <m/>
    <m/>
    <m/>
    <m/>
    <m/>
    <m/>
    <m/>
    <m/>
    <m/>
    <m/>
    <m/>
    <m/>
    <m/>
    <m/>
    <m/>
    <m/>
    <m/>
  </r>
  <r>
    <x v="140"/>
    <n v="2010"/>
    <x v="23"/>
    <s v="East Asia and Pacific"/>
    <m/>
    <s v="Mining"/>
    <s v="yes"/>
    <s v="no"/>
    <s v="no"/>
    <s v="Molybdenum"/>
    <s v="detailed"/>
    <s v="detailed Mining"/>
    <n v="4242.9030289800003"/>
    <m/>
    <n v="4242.9030289800003"/>
    <m/>
    <m/>
    <s v="t"/>
    <n v="10397.799999999999"/>
    <s v="US$/t"/>
    <s v="Volume and price from 2011 EITI Report. Price is based on the reported value and quantity of exports."/>
    <n v="44116857.114728242"/>
    <m/>
    <m/>
    <m/>
    <m/>
    <m/>
    <m/>
    <m/>
    <m/>
    <m/>
    <m/>
    <m/>
    <m/>
    <m/>
    <m/>
    <m/>
    <m/>
    <m/>
    <m/>
    <m/>
    <m/>
    <m/>
    <m/>
    <m/>
    <m/>
    <m/>
    <m/>
    <m/>
    <m/>
    <m/>
    <m/>
    <m/>
    <m/>
    <m/>
    <m/>
    <m/>
    <m/>
    <m/>
    <m/>
    <m/>
    <m/>
    <m/>
    <m/>
    <m/>
    <m/>
    <m/>
  </r>
  <r>
    <x v="140"/>
    <n v="2010"/>
    <x v="23"/>
    <s v="East Asia and Pacific"/>
    <m/>
    <s v="Mining"/>
    <s v="yes"/>
    <s v="no"/>
    <s v="no"/>
    <s v="Silver"/>
    <s v="detailed"/>
    <s v="detailed Mining"/>
    <n v="923047.83516198723"/>
    <m/>
    <m/>
    <m/>
    <m/>
    <s v="toz"/>
    <n v="20.152958333330002"/>
    <s v="US$/toz"/>
    <s v="Volume from USGS Mineral Yearbook 2012. Price from World Bank (Global Economic Monitor (GEM) Commodities database), and is defined as: Silver (Handy &amp; Harman), 99.9% grade refined, New York."/>
    <n v="18602144.561689988"/>
    <m/>
    <m/>
    <m/>
    <m/>
    <m/>
    <m/>
    <m/>
    <m/>
    <m/>
    <m/>
    <m/>
    <m/>
    <m/>
    <m/>
    <m/>
    <m/>
    <m/>
    <m/>
    <m/>
    <m/>
    <m/>
    <m/>
    <m/>
    <m/>
    <m/>
    <m/>
    <m/>
    <m/>
    <m/>
    <m/>
    <m/>
    <m/>
    <m/>
    <m/>
    <m/>
    <m/>
    <m/>
    <m/>
    <m/>
    <m/>
    <m/>
    <m/>
    <m/>
    <m/>
    <m/>
  </r>
  <r>
    <x v="140"/>
    <n v="2010"/>
    <x v="23"/>
    <s v="East Asia and Pacific"/>
    <m/>
    <s v="Mining"/>
    <s v="yes"/>
    <s v="no"/>
    <s v="no"/>
    <s v="Sulfide"/>
    <s v="detailed"/>
    <s v="detailed Mining"/>
    <m/>
    <m/>
    <m/>
    <m/>
    <m/>
    <m/>
    <m/>
    <m/>
    <m/>
    <m/>
    <m/>
    <m/>
    <m/>
    <n v="65325.642807505217"/>
    <n v="65325.642807505217"/>
    <m/>
    <m/>
    <m/>
    <m/>
    <m/>
    <m/>
    <m/>
    <m/>
    <m/>
    <m/>
    <m/>
    <m/>
    <m/>
    <m/>
    <m/>
    <m/>
    <m/>
    <m/>
    <s v="113-116"/>
    <s v="This commodity is not mentioned in the USGS Mineral Yearbook 2012."/>
    <m/>
    <m/>
    <m/>
    <m/>
    <m/>
    <m/>
    <m/>
    <m/>
    <m/>
    <m/>
    <m/>
    <m/>
    <m/>
    <m/>
    <m/>
    <m/>
    <m/>
    <m/>
    <m/>
    <m/>
  </r>
  <r>
    <x v="140"/>
    <n v="2010"/>
    <x v="23"/>
    <s v="East Asia and Pacific"/>
    <m/>
    <s v="Mining"/>
    <s v="yes"/>
    <s v="no"/>
    <s v="no"/>
    <s v="Tungsten (W content of mine output)"/>
    <s v="detailed"/>
    <s v="detailed Mining"/>
    <n v="20"/>
    <m/>
    <m/>
    <m/>
    <m/>
    <s v="t"/>
    <n v="166.5"/>
    <s v="US$/t"/>
    <s v="Volume from USGS Mineral Yearbook 2012. Price from USGS Mineral Commodity Summary 2013, and is the average price on the US and European spot markets for a metric ton unit of tungsten trioxide, which contains 7.93kg of tungsten."/>
    <n v="3330"/>
    <m/>
    <m/>
    <m/>
    <m/>
    <m/>
    <m/>
    <m/>
    <m/>
    <m/>
    <m/>
    <m/>
    <m/>
    <m/>
    <m/>
    <m/>
    <m/>
    <m/>
    <m/>
    <m/>
    <m/>
    <m/>
    <m/>
    <m/>
    <m/>
    <m/>
    <m/>
    <m/>
    <m/>
    <m/>
    <m/>
    <m/>
    <m/>
    <m/>
    <m/>
    <m/>
    <m/>
    <m/>
    <m/>
    <m/>
    <m/>
    <m/>
    <m/>
    <m/>
    <m/>
    <m/>
  </r>
  <r>
    <x v="140"/>
    <n v="2010"/>
    <x v="23"/>
    <s v="East Asia and Pacific"/>
    <m/>
    <s v="Mining"/>
    <s v="yes"/>
    <s v="no"/>
    <s v="no"/>
    <s v="Uranium"/>
    <s v="detailed"/>
    <s v="detailed Mining"/>
    <m/>
    <m/>
    <m/>
    <m/>
    <m/>
    <m/>
    <m/>
    <m/>
    <m/>
    <m/>
    <m/>
    <m/>
    <m/>
    <n v="576441.96557361283"/>
    <n v="576441.96557361283"/>
    <m/>
    <m/>
    <m/>
    <m/>
    <m/>
    <m/>
    <m/>
    <m/>
    <m/>
    <m/>
    <m/>
    <m/>
    <m/>
    <m/>
    <m/>
    <m/>
    <m/>
    <m/>
    <s v="113-116"/>
    <s v="This commodity is not mentioned in the USGS Mineral Yearbook 2012."/>
    <m/>
    <m/>
    <m/>
    <m/>
    <m/>
    <m/>
    <m/>
    <m/>
    <m/>
    <m/>
    <m/>
    <m/>
    <m/>
    <m/>
    <m/>
    <m/>
    <m/>
    <m/>
    <m/>
    <m/>
  </r>
  <r>
    <x v="141"/>
    <n v="2011"/>
    <x v="23"/>
    <s v="East Asia and Pacific"/>
    <m/>
    <s v="Mining"/>
    <s v="yes"/>
    <s v="no"/>
    <s v="no"/>
    <s v="Zinc concentrate (wet)"/>
    <s v="detailed"/>
    <s v="detailed Mining"/>
    <n v="102149.001724"/>
    <m/>
    <n v="102149.001724"/>
    <m/>
    <m/>
    <s v="t"/>
    <n v="1117.79"/>
    <s v="US$/t"/>
    <s v="Volume and price from 2011 EITI Report. Price is based on the reported value and quantity of exports."/>
    <n v="114181132.63706996"/>
    <m/>
    <m/>
    <m/>
    <m/>
    <m/>
    <m/>
    <m/>
    <m/>
    <m/>
    <m/>
    <m/>
    <m/>
    <m/>
    <m/>
    <m/>
    <m/>
    <m/>
    <m/>
    <m/>
    <m/>
    <m/>
    <m/>
    <m/>
    <m/>
    <m/>
    <m/>
    <m/>
    <m/>
    <m/>
    <m/>
    <m/>
    <m/>
    <m/>
    <m/>
    <m/>
    <m/>
    <m/>
    <m/>
    <m/>
    <m/>
    <m/>
    <m/>
    <m/>
    <m/>
    <m/>
  </r>
  <r>
    <x v="141"/>
    <n v="2011"/>
    <x v="23"/>
    <s v="East Asia and Pacific"/>
    <s v="http://eitimongolia.mn/"/>
    <s v="Oil, Mining"/>
    <s v="yes"/>
    <s v="no"/>
    <s v="yes"/>
    <s v="Total"/>
    <s v="Total"/>
    <s v="Total Oil, Mining"/>
    <m/>
    <m/>
    <m/>
    <m/>
    <m/>
    <m/>
    <m/>
    <m/>
    <m/>
    <n v="4840137794.7793913"/>
    <s v="Profits/Taxes, Dividends, Licenses and concessions"/>
    <s v="Also covers payments made in-kind"/>
    <s v="No"/>
    <n v="1716796513"/>
    <n v="1716856381"/>
    <m/>
    <m/>
    <m/>
    <n v="0.3546999250417518"/>
    <s v="Mongolian Tugrik"/>
    <n v="1252.76"/>
    <s v="Disaggregated by revenue stream, Disaggregated by company, Disaggregated by commodity, Disaggregated by company and revenue stream"/>
    <s v="Donations and assistance provided to Government organisations (type and volumes are not comprehensively given)"/>
    <n v="5072799"/>
    <m/>
    <m/>
    <n v="200"/>
    <s v="Petrochina dachin tamsag LLC, Magnai trade LLC, Dongsheng petroleum LLC, NPI LLC, Petro matad LLC, Golden sea petrolium LLC, Gobi energy partners LLC, Zon Xen U Tian LLC, Cupcorp Mongolia LLC, MCS petro mongolia LLC, Sansariin geologi khaiguul LLC, Shaiman LLC, APEXPRO LLC, Erdenet mining corporation LLC, Oyu tolgoi LLC, Erdenes Tavan tolgoi JSC, Tavantolgoi JSC, Mongol Alt Mak LLC, Energy resource LLC, South Govi Energy LLC, Bold tumur yruu gol LLC, Tsairt Mineral LLC, Boroo gold LLC, Altain khuder LLC, Chinkhua Mak nariin sukhait LLC, Shin Shin LLC, Mongolrustsevetmet LLC, Baganuur JSC, Monpolimet LLC, GEM international LLC, Olon Ovoot gold LLC, Centerra Gold Mongolia LLC, Mo En Ko LLC, Shijir Alt LLC, Ochir Undraa LLC, Mon dulaan trade LLC, Shivee-Ovoo JSC, Ankhai international LLC, Gatsuurt LLC, Marco Polo LLC, Kojegovi LLC, Erel LLC, Shariin gol JSC, AUM LLC, MPHCL LLC, ONTRE LLC, Hera Investment LLC, Lutchuluu LLC, Urmun-Uul LLC, Khangad exploration LLC, Peabody-Winsway resources LLC, Cascade mining LLC, Emeelt Mines LLC, Ikh Khan Uul LLC, Orchlon ord LLC, Beren mining LLC, Zhu Yu E LLC, Gunbileg trade LLC, Buman olz LLC, Erdes kholding LLC, Erdene jas LLC, Mongol metal mining LLC, Mongol gazar LLC, SBF LLC, Agmmining LLC, MRCMGL LLC, Zanadumetals mongolia LLC, Geomin LLC, JKMK LLC, Eermel LLC, Mongolczechmetal LLC, QGX Mongol LLC, Datsan trade LLC, MEC LLC, Ulzgol LLC, Samtan mores LLC, Mongol tsamkhag LLC, Camex LLC, Gobi consolidated LLC, Shine Ellion Neng Yuan LLC, Ejbaley LLC, Mongol altai resources LLC, Khurgatai khairkhan LLC, Adil och LLC, Broad LLC, KHOTU LLC, Tsevdeg LLC, Bayanteeg LLC, Berkh resources LLC, Mongol uranium resources LLC, Taats murun LLC, Gobi coal and Eenergy LLC, Shanlun LLC, Bayan erch LLC, Cazmon contact LLC, Khuadi khuonez LLC, Andiin ilch LLC, Tethys Mining LLC, Altan dorNod mongol LLC, OGCHL LLC, Ten khun LLC, Zaraya holdings LLC, Delger-Orchlon LLC, Jump alt LLC, Alshaakhairkhan LLC, Bulgan gangat LLC, Odod gold LLC, Remet LLC, Beren group LLC, Erdenes MGL LLC, Mon Laa LLC, Bayan airag exploration LLC, Redhill Mongolia LLC, Shine shivee LLC, Mongolbulgargeo LLC, Dun Yuan LLC, Gobi-exploration LLC, Aduunchuluun JSC, Jinghua ord LLC, CCM LLC, Tengre terra resources LLC, Terra-Energy LLC, GBNB LLC, Batu Mining Mongolia LLC, Munkh Noyon suvarga LLC, Tienjinsanjo LLC, Sinchi-Oil LLC, Mongolrudprom LLC, CMKI LLC, Dun erdene LLC, Khan shijir LLC, Asia gold Mongolia LLC, GLDB LLC, Mongoljuanli LLC, ZBAA LLC, Khotgor Shanaga LLC, Khotgor LLC, Belgravia mining LLC, Golden Govi mining LLC, Buurgent LLC, Khartarvagatai JSC, Sod Gazar LLC, Mogoin Gol LLC, Longshenda LLC, Khuree del LLC, CCEM LLC, Jotoin Bajuuna LLC, Dorniin Khuder LLC, GCB mining LLC, Bold Fo Ar Da LLC, Bayantegsh Impex LLC, Temuulel LLC, Mon Ajnai LLC, Gurvan zam LLC, COAL LLC, Bayalag ord LLC, Bumbat resources LLC, Oyut ulaan LLC, Gurvan tuhum LLC, Olova LLC, Berkh uul LLC, Chingisiin khar alt, Tugrug nuuriin energy LLC, Uurt Gold LLC, Kherlen energo LLC, Ilt gold LLC, KVP LLC, FMI LLC, TBE LLC, Commod LLC, Ikh Mongol mining LLC, Bumbat LLC, Golden cross LLC, Gunbileg gold LLC, Dedizi Yuan LLC, MCTT LLC, Erven khuder LLC, Shar narst LLC, North wind LLC, G and U gold LLC, Khuden LLC, SoNor Trade LLC, Zuun mod uul LLC, Khuslemj LLC, Khurai LLC, Bud invest LLC, Taisheng development LLC, Petro coal LLC, Avdar bayan LLC, Aivuun tes LLC, Bayajmal LLC, Khos khas LLC, Big Mogul Coal and Energy LLC, Peninsulamining LLC, Mongol alt LLC, Altai khangai burd LLC, Western prospector mongolia LLC, Treiga mountain international mining LLC, Khunanjinlen LLC, MGMK LLC"/>
    <n v="200"/>
    <s v="November 2012"/>
    <d v="2014-09-22T00:00:00"/>
    <s v="Hart Nurse &amp;amp; Ulaambaatar Audit Corp."/>
    <s v="http://eiti.org/files/Mongolia-2011-EITI-Report-PartI.pdf"/>
    <n v="6"/>
    <s v="Materiality threshold: Companies that made a payment of at least MNT40,000,000 in 2011 should be reconciled. Some companies have been included that are not directly involved in mining activities, but provide services, such as catering, to companies that are. Unilateral declarations are included in the figures. The report disaggregates government receipts by the main commodities (although aggregates copper and molybdenum). Some others are provided indirectly through disaggregation by company. Post-adjustment figures are disaggregated by company for government receipts only, not for company payments. Baganuur, Oyu Tolgoi LLC, Shivee Ovoo SC and Tavantolgoi JSC are 75%, 34%, 90% and 51% state-owned respectively. Erdenet Mining Corporation (EMC) and Mongolrostsvetment JV are both 51% owned by the Government of Mongolia and 49% owned by the Government of Russia. EMC accounted for 26% of revenues reported by Government. The report also includes: mineral reserves; FDI in the extractive sector; mining activity and environmental protection reports by some companies; a detailed reconciliation of flows to some local government entities."/>
    <m/>
    <m/>
    <m/>
    <m/>
    <m/>
    <m/>
    <m/>
    <m/>
    <m/>
    <m/>
    <m/>
    <m/>
    <m/>
    <m/>
    <m/>
    <m/>
    <m/>
    <m/>
    <m/>
    <m/>
  </r>
  <r>
    <x v="141"/>
    <n v="2011"/>
    <x v="23"/>
    <s v="East Asia and Pacific"/>
    <m/>
    <s v="Oil"/>
    <s v="no"/>
    <s v="no"/>
    <s v="yes"/>
    <s v="Oil"/>
    <s v="detailed"/>
    <s v="detailed Oil"/>
    <n v="2548900"/>
    <m/>
    <n v="2548900"/>
    <m/>
    <m/>
    <s v="bbl"/>
    <n v="99.25"/>
    <s v="US$/bbl"/>
    <s v="Volume and price from EITI Report. Price is based on the reported value and quantity of exports."/>
    <n v="252978325"/>
    <m/>
    <m/>
    <m/>
    <n v="67098007.599220924"/>
    <m/>
    <m/>
    <m/>
    <m/>
    <n v="0.26523223916207417"/>
    <m/>
    <m/>
    <m/>
    <m/>
    <m/>
    <m/>
    <m/>
    <n v="13"/>
    <s v="Petrochina dachin tamsag LLC, Magnai trade LLC, Dongsheng petroleum LLC, NPI LLC, Petro matad LLC, Golden sea petrolium LLC, Gobi energy partners LLC, Zon Xen U Tian LLC, Cupcorp Mongolia LLC, MCS petro mongolia LLC, Sansariin geologi khaiguul LLC, Shaiman LLC, APEXPRO LLC"/>
    <n v="13"/>
    <m/>
    <m/>
    <m/>
    <m/>
    <s v="8-9, 19"/>
    <m/>
    <m/>
    <m/>
    <m/>
    <m/>
    <m/>
    <m/>
    <m/>
    <m/>
    <m/>
    <m/>
    <m/>
    <m/>
    <m/>
    <m/>
    <m/>
    <m/>
    <m/>
    <m/>
    <m/>
    <m/>
  </r>
  <r>
    <x v="141"/>
    <n v="2011"/>
    <x v="23"/>
    <s v="East Asia and Pacific"/>
    <m/>
    <s v="Mining"/>
    <s v="yes"/>
    <s v="no"/>
    <s v="no"/>
    <s v="Total Mining"/>
    <s v="Total"/>
    <s v="Total Mining"/>
    <m/>
    <m/>
    <m/>
    <m/>
    <m/>
    <m/>
    <m/>
    <m/>
    <m/>
    <n v="4587159469.7793913"/>
    <m/>
    <m/>
    <m/>
    <n v="1649698505.400779"/>
    <m/>
    <m/>
    <m/>
    <m/>
    <n v="0.35963399926885853"/>
    <m/>
    <m/>
    <m/>
    <m/>
    <m/>
    <m/>
    <m/>
    <n v="187"/>
    <s v="Erdenet mining corporation LLC, Oyu tolgoi LLC, Erdenes Tavan tolgoi JSC, Tavantolgoi JSC, Mongol Alt Mak LLC, Energy resource LLC, South Govi Energy LLC, Bold tumur yruu gol LLC, Tsairt Mineral LLC, Boroo gold LLC, Altain khuder LLC, Chinkhua Mak nariin sukhait LLC, Shin Shin LLC, Mongolrustsevetmet LLC, Baganuur JSC, Monpolimet LLC, GEM international LLC, Olon Ovoot gold LLC, Centerra Gold Mongolia LLC, Mo En Ko LLC, Shijir Alt LLC, Ochir Undraa LLC, Mon dulaan trade LLC, Shivee-Ovoo JSC, Ankhai international LLC, Gatsuurt LLC, Marco Polo LLC, Kojegovi LLC, Erel LLC, Shariin gol JSC, AUM LLC, MPHCL LLC, ONTRE LLC, Hera Investment LLC, Lutchuluu LLC, Urmun-Uul LLC, Khangad exploration LLC, Peabody-Winsway resources LLC, Cascade mining LLC, Emeelt Mines LLC, Ikh Khan Uul LLC, Orchlon ord LLC, Beren mining LLC, Zhu Yu E LLC, Gunbileg trade LLC, Buman olz LLC, Erdes kholding LLC, Erdene jas LLC, Mongol metal mining LLC, Mongol gazar LLC, SBF LLC, Agmmining LLC, MRCMGL LLC, Zanadumetals mongolia LLC, Geomin LLC, JKMK LLC, Eermel LLC, Mongolczechmetal LLC, QGX Mongol LLC, Datsan trade LLC, MEC LLC, Ulzgol LLC, Samtan mores LLC, Mongol tsamkhag LLC, Camex LLC, Gobi consolidated LLC, Shine Ellion Neng Yuan LLC, Ejbaley LLC, Mongol altai resources LLC, Khurgatai khairkhan LLC, Adil och LLC, Broad LLC, KHOTU LLC, Tsevdeg LLC, Bayanteeg LLC, Berkh resources LLC, Mongol uranium resources LLC, Taats murun LLC, Gobi coal and Eenergy LLC, Shanlun LLC, Bayan erch LLC, Cazmon contact LLC, Khuadi khuonez LLC, Andiin ilch LLC, Tethys Mining LLC, Altan dorNod mongol LLC, OGCHL LLC, Ten khun LLC, Zaraya holdings LLC, Delger-Orchlon LLC, Jump alt LLC, Alshaakhairkhan LLC, Bulgan gangat LLC, Odod gold LLC, Remet LLC, Beren group LLC, Erdenes MGL LLC, Mon Laa LLC, Bayan airag exploration LLC, Redhill Mongolia LLC, Shine shivee LLC, Mongolbulgargeo LLC, Dun Yuan LLC, Gobi-exploration LLC, Aduunchuluun JSC, Jinghua ord LLC, CCM LLC, Tengre terra resources LLC, Terra-Energy LLC, GBNB LLC, Batu Mining Mongolia LLC, Munkh Noyon suvarga LLC, Tienjinsanjo LLC, Sinchi-Oil LLC, Mongolrudprom LLC, CMKI LLC, Dun erdene LLC, Khan shijir LLC, Asia gold Mongolia LLC, GLDB LLC, Mongoljuanli LLC, ZBAA LLC, Khotgor Shanaga LLC, Khotgor LLC, Belgravia mining LLC, Golden Govi mining LLC, Buurgent LLC, Khartarvagatai JSC, Sod Gazar LLC, Mogoin Gol LLC, Longshenda LLC, Khuree del LLC, CCEM LLC, Jotoin Bajuuna LLC, Dorniin Khuder LLC, GCB mining LLC, Bold Fo Ar Da LLC, Bayantegsh Impex LLC, Temuulel LLC, Mon Ajnai LLC, Gurvan zam LLC, COAL LLC, Bayalag ord LLC, Bumbat resources LLC, Oyut ulaan LLC, Gurvan tuhum LLC, Olova LLC, Berkh uul LLC, Chingisiin khar alt, Tugrug nuuriin energy LLC, Uurt Gold LLC, Kherlen energo LLC, Ilt gold LLC, KVP LLC, FMI LLC, TBE LLC, Commod LLC, Ikh Mongol mining LLC, Bumbat LLC, Golden cross LLC, Gunbileg gold LLC, Dedizi Yuan LLC, MCTT LLC, Erven khuder LLC, Shar narst LLC, North wind LLC, G and U gold LLC, Khuden LLC, SoNor Trade LLC, Zuun mod uul LLC, Khuslemj LLC, Khurai LLC, Bud invest LLC, Taisheng development LLC, Petro coal LLC, Avdar bayan LLC, Aivuun tes LLC, Bayajmal LLC, Khos khas LLC, Big Mogul Coal and Energy LLC, Peninsulamining LLC, Mongol alt LLC, Altai khangai burd LLC, Western prospector mongolia LLC, Treiga mountain international mining LLC, Khunanjinlen LLC, MGMK LLC"/>
    <n v="187"/>
    <m/>
    <m/>
    <m/>
    <m/>
    <m/>
    <m/>
    <m/>
    <m/>
    <m/>
    <m/>
    <m/>
    <m/>
    <m/>
    <m/>
    <m/>
    <m/>
    <m/>
    <m/>
    <m/>
    <m/>
    <m/>
    <m/>
    <m/>
    <m/>
    <m/>
    <m/>
  </r>
  <r>
    <x v="141"/>
    <n v="2011"/>
    <x v="23"/>
    <s v="East Asia and Pacific"/>
    <m/>
    <s v="Mining"/>
    <s v="yes"/>
    <s v="no"/>
    <s v="no"/>
    <s v="Coal"/>
    <s v="detailed"/>
    <s v="detailed Mining"/>
    <n v="29056855.066778"/>
    <m/>
    <n v="29056855.066778"/>
    <m/>
    <m/>
    <s v="t"/>
    <n v="106.61"/>
    <s v="US$/t"/>
    <s v="Volume and price from EITI Report. Price is based on the reported value and quantity of exports."/>
    <n v="3097751318.6692028"/>
    <m/>
    <m/>
    <m/>
    <n v="683940259.90612721"/>
    <m/>
    <m/>
    <m/>
    <m/>
    <n v="0.22078604431034465"/>
    <m/>
    <m/>
    <m/>
    <m/>
    <m/>
    <m/>
    <m/>
    <m/>
    <m/>
    <m/>
    <m/>
    <m/>
    <m/>
    <m/>
    <s v="8-9, 19"/>
    <m/>
    <m/>
    <m/>
    <m/>
    <m/>
    <m/>
    <m/>
    <m/>
    <m/>
    <m/>
    <m/>
    <m/>
    <m/>
    <m/>
    <m/>
    <m/>
    <m/>
    <m/>
    <m/>
    <m/>
    <m/>
  </r>
  <r>
    <x v="141"/>
    <n v="2011"/>
    <x v="23"/>
    <s v="East Asia and Pacific"/>
    <m/>
    <s v="Mining"/>
    <s v="yes"/>
    <s v="no"/>
    <s v="no"/>
    <s v="Copper Concentrate (35%)"/>
    <s v="detailed"/>
    <s v="detailed Mining"/>
    <n v="315155.97867600003"/>
    <m/>
    <n v="315155.97867600003"/>
    <m/>
    <m/>
    <s v="t"/>
    <n v="1681.67"/>
    <s v="US$/t"/>
    <s v="Volume and price from EITI Report. Price is based on the reported value and quantity of exports."/>
    <n v="529988354.66006899"/>
    <m/>
    <m/>
    <m/>
    <m/>
    <m/>
    <m/>
    <m/>
    <m/>
    <m/>
    <m/>
    <m/>
    <m/>
    <m/>
    <m/>
    <m/>
    <m/>
    <m/>
    <m/>
    <m/>
    <m/>
    <m/>
    <m/>
    <m/>
    <s v="8-9"/>
    <m/>
    <m/>
    <m/>
    <m/>
    <m/>
    <m/>
    <m/>
    <m/>
    <m/>
    <m/>
    <m/>
    <m/>
    <m/>
    <m/>
    <m/>
    <m/>
    <m/>
    <m/>
    <m/>
    <m/>
    <m/>
  </r>
  <r>
    <x v="141"/>
    <n v="2011"/>
    <x v="23"/>
    <s v="East Asia and Pacific"/>
    <m/>
    <s v="Mining"/>
    <s v="yes"/>
    <s v="no"/>
    <s v="no"/>
    <s v="Fluorspar"/>
    <s v="detailed"/>
    <s v="detailed Mining"/>
    <n v="703158.89197400003"/>
    <m/>
    <n v="703158.89197400003"/>
    <m/>
    <m/>
    <s v="t"/>
    <n v="234.84"/>
    <s v="US$/t"/>
    <s v="Volume and price from EITI Report. Price is based on the reported value and quantity of exports."/>
    <n v="165129834.19117418"/>
    <m/>
    <m/>
    <m/>
    <n v="10587263.322583733"/>
    <m/>
    <m/>
    <m/>
    <m/>
    <n v="6.41147820104188E-2"/>
    <m/>
    <m/>
    <m/>
    <m/>
    <m/>
    <m/>
    <m/>
    <m/>
    <m/>
    <m/>
    <m/>
    <m/>
    <m/>
    <m/>
    <s v="9, 19"/>
    <m/>
    <m/>
    <m/>
    <m/>
    <m/>
    <m/>
    <m/>
    <m/>
    <m/>
    <m/>
    <m/>
    <m/>
    <m/>
    <m/>
    <m/>
    <m/>
    <m/>
    <m/>
    <m/>
    <m/>
    <m/>
  </r>
  <r>
    <x v="141"/>
    <n v="2011"/>
    <x v="23"/>
    <s v="East Asia and Pacific"/>
    <m/>
    <s v="Mining"/>
    <s v="yes"/>
    <s v="no"/>
    <s v="no"/>
    <s v="Gold"/>
    <s v="detailed"/>
    <s v="detailed Mining"/>
    <n v="183342.82775321312"/>
    <m/>
    <n v="183342.82775321312"/>
    <m/>
    <m/>
    <s v="toz"/>
    <n v="1172.0515793558586"/>
    <s v="US$/toz"/>
    <s v="Volume and price from EITI Report. Price is based on the reported value and quantity of exports."/>
    <n v="214887250.83172259"/>
    <m/>
    <m/>
    <m/>
    <n v="45860739.487212233"/>
    <m/>
    <m/>
    <m/>
    <m/>
    <n v="0.21341768443547918"/>
    <m/>
    <m/>
    <m/>
    <m/>
    <m/>
    <m/>
    <m/>
    <m/>
    <m/>
    <m/>
    <m/>
    <m/>
    <m/>
    <m/>
    <s v="9, 19"/>
    <m/>
    <m/>
    <m/>
    <m/>
    <m/>
    <m/>
    <m/>
    <m/>
    <m/>
    <m/>
    <m/>
    <m/>
    <m/>
    <m/>
    <m/>
    <m/>
    <m/>
    <m/>
    <m/>
    <m/>
    <m/>
  </r>
  <r>
    <x v="141"/>
    <n v="2011"/>
    <x v="23"/>
    <s v="East Asia and Pacific"/>
    <m/>
    <s v="Mining"/>
    <s v="yes"/>
    <s v="no"/>
    <s v="no"/>
    <s v="Iron Ore"/>
    <s v="detailed"/>
    <s v="detailed Mining"/>
    <n v="5151267.1091419999"/>
    <m/>
    <n v="5151267.1091419999"/>
    <m/>
    <m/>
    <s v="t"/>
    <n v="76.02"/>
    <s v="US$/t"/>
    <s v="Volume and price from EITI Report. Price is based on the reported value and quantity of exports."/>
    <n v="391599325.63697481"/>
    <m/>
    <m/>
    <m/>
    <n v="53682828.3150803"/>
    <m/>
    <m/>
    <m/>
    <m/>
    <n v="0.13708611021676276"/>
    <m/>
    <m/>
    <m/>
    <m/>
    <m/>
    <m/>
    <m/>
    <m/>
    <m/>
    <m/>
    <m/>
    <m/>
    <m/>
    <m/>
    <s v="9, 19"/>
    <m/>
    <m/>
    <m/>
    <m/>
    <m/>
    <m/>
    <m/>
    <m/>
    <m/>
    <m/>
    <m/>
    <m/>
    <m/>
    <m/>
    <m/>
    <m/>
    <m/>
    <m/>
    <m/>
    <m/>
    <m/>
  </r>
  <r>
    <x v="141"/>
    <n v="2011"/>
    <x v="23"/>
    <s v="East Asia and Pacific"/>
    <m/>
    <s v="Mining"/>
    <s v="yes"/>
    <s v="no"/>
    <s v="no"/>
    <s v="Lead"/>
    <s v="detailed"/>
    <s v="detailed Mining"/>
    <m/>
    <m/>
    <m/>
    <m/>
    <m/>
    <m/>
    <m/>
    <m/>
    <m/>
    <m/>
    <m/>
    <m/>
    <m/>
    <n v="10037616.14355503"/>
    <m/>
    <m/>
    <m/>
    <m/>
    <m/>
    <m/>
    <m/>
    <m/>
    <m/>
    <m/>
    <m/>
    <m/>
    <m/>
    <m/>
    <m/>
    <m/>
    <m/>
    <m/>
    <m/>
    <m/>
    <s v="This commodity is not mentioned in the USGS Mineral Yearbook 2012."/>
    <m/>
    <m/>
    <m/>
    <m/>
    <m/>
    <m/>
    <m/>
    <m/>
    <m/>
    <m/>
    <m/>
    <m/>
    <m/>
    <m/>
    <m/>
    <m/>
    <m/>
    <m/>
    <m/>
    <m/>
  </r>
  <r>
    <x v="141"/>
    <n v="2011"/>
    <x v="23"/>
    <s v="East Asia and Pacific"/>
    <m/>
    <s v="Mining"/>
    <s v="yes"/>
    <s v="no"/>
    <s v="no"/>
    <s v="Molybdenum"/>
    <s v="detailed"/>
    <s v="detailed Mining"/>
    <n v="3776.6100726200002"/>
    <m/>
    <n v="3776.6100726200002"/>
    <m/>
    <m/>
    <s v="t"/>
    <n v="11598.5"/>
    <s v="US$/t"/>
    <s v="Volume and price from EITI Report. Price is based on the reported value and quantity of exports."/>
    <n v="43803011.927283071"/>
    <m/>
    <m/>
    <m/>
    <m/>
    <m/>
    <m/>
    <m/>
    <m/>
    <m/>
    <m/>
    <m/>
    <m/>
    <m/>
    <m/>
    <m/>
    <m/>
    <m/>
    <m/>
    <m/>
    <m/>
    <m/>
    <m/>
    <m/>
    <s v="9"/>
    <m/>
    <m/>
    <m/>
    <m/>
    <m/>
    <m/>
    <m/>
    <m/>
    <m/>
    <m/>
    <m/>
    <m/>
    <m/>
    <m/>
    <m/>
    <m/>
    <m/>
    <m/>
    <m/>
    <m/>
    <m/>
  </r>
  <r>
    <x v="141"/>
    <n v="2011"/>
    <x v="23"/>
    <s v="East Asia and Pacific"/>
    <m/>
    <s v="Mining"/>
    <s v="yes"/>
    <s v="no"/>
    <s v="no"/>
    <s v="Silver"/>
    <s v="detailed"/>
    <s v="detailed Mining"/>
    <n v="908387.09629630053"/>
    <m/>
    <m/>
    <m/>
    <m/>
    <s v="toz"/>
    <n v="35.22411666667"/>
    <s v="US$/toz"/>
    <s v="Volume from USGS Mineral Yearbook 2012. Price from World Bank (Global Economic Monitor (GEM) Commodities database), and is defined as: Silver (Handy &amp; Harman), 99.9% grade refined, New York."/>
    <n v="31997133.058438484"/>
    <m/>
    <m/>
    <m/>
    <m/>
    <m/>
    <m/>
    <m/>
    <m/>
    <m/>
    <m/>
    <m/>
    <m/>
    <m/>
    <m/>
    <m/>
    <m/>
    <m/>
    <m/>
    <m/>
    <m/>
    <m/>
    <m/>
    <m/>
    <m/>
    <m/>
    <m/>
    <m/>
    <m/>
    <m/>
    <m/>
    <m/>
    <m/>
    <m/>
    <m/>
    <m/>
    <m/>
    <m/>
    <m/>
    <m/>
    <m/>
    <m/>
    <m/>
    <m/>
    <m/>
    <m/>
  </r>
  <r>
    <x v="141"/>
    <n v="2011"/>
    <x v="23"/>
    <s v="East Asia and Pacific"/>
    <m/>
    <s v="Mining"/>
    <s v="yes"/>
    <s v="no"/>
    <s v="no"/>
    <s v="Tungsten (W content of mine output)"/>
    <s v="detailed"/>
    <s v="detailed Mining"/>
    <n v="20"/>
    <m/>
    <m/>
    <m/>
    <m/>
    <s v="t"/>
    <n v="199"/>
    <s v="US$/t"/>
    <s v="Volume from USGS Mineral Yearbook 2012. Price from USGS Mineral Commodity Summary 2013, and is the average price on the US and European spot markets for a metric ton unit of tungsten trioxide, which contains 7.93kg of tungsten."/>
    <n v="3980"/>
    <m/>
    <m/>
    <m/>
    <m/>
    <m/>
    <m/>
    <m/>
    <m/>
    <m/>
    <m/>
    <m/>
    <m/>
    <m/>
    <m/>
    <m/>
    <m/>
    <m/>
    <m/>
    <m/>
    <m/>
    <m/>
    <m/>
    <m/>
    <s v="9"/>
    <m/>
    <m/>
    <m/>
    <m/>
    <m/>
    <m/>
    <m/>
    <m/>
    <m/>
    <m/>
    <m/>
    <m/>
    <m/>
    <m/>
    <m/>
    <m/>
    <m/>
    <m/>
    <m/>
    <m/>
    <m/>
  </r>
  <r>
    <x v="141"/>
    <n v="2011"/>
    <x v="23"/>
    <s v="East Asia and Pacific"/>
    <m/>
    <s v="Mining"/>
    <s v="yes"/>
    <s v="no"/>
    <s v="no"/>
    <s v="Uranium"/>
    <s v="detailed"/>
    <s v="detailed Mining"/>
    <m/>
    <m/>
    <m/>
    <m/>
    <m/>
    <m/>
    <m/>
    <m/>
    <m/>
    <m/>
    <m/>
    <m/>
    <m/>
    <n v="1894895.9896548421"/>
    <m/>
    <m/>
    <m/>
    <m/>
    <m/>
    <m/>
    <m/>
    <m/>
    <m/>
    <m/>
    <m/>
    <m/>
    <m/>
    <m/>
    <m/>
    <m/>
    <m/>
    <m/>
    <m/>
    <m/>
    <s v="This commodity is not mentioned in the USGS Mineral Yearbook 2012."/>
    <m/>
    <m/>
    <m/>
    <m/>
    <m/>
    <m/>
    <m/>
    <m/>
    <m/>
    <m/>
    <m/>
    <m/>
    <m/>
    <m/>
    <m/>
    <m/>
    <m/>
    <m/>
    <m/>
    <m/>
  </r>
  <r>
    <x v="141"/>
    <n v="2011"/>
    <x v="23"/>
    <s v="East Asia and Pacific"/>
    <m/>
    <s v="Mining"/>
    <s v="yes"/>
    <s v="no"/>
    <s v="no"/>
    <s v="Zinc"/>
    <s v="detailed"/>
    <s v="detailed Mining"/>
    <n v="94982.242278000005"/>
    <m/>
    <n v="94982.242278000005"/>
    <m/>
    <m/>
    <s v="t"/>
    <n v="1179.1600000000001"/>
    <s v="US$/t"/>
    <s v="Volume and price from EITI Report. Price is based on the reported value and quantity of exports."/>
    <n v="111999260.80452649"/>
    <m/>
    <m/>
    <m/>
    <m/>
    <m/>
    <m/>
    <m/>
    <m/>
    <m/>
    <m/>
    <m/>
    <m/>
    <m/>
    <m/>
    <m/>
    <m/>
    <m/>
    <m/>
    <m/>
    <m/>
    <m/>
    <m/>
    <m/>
    <s v="9"/>
    <m/>
    <m/>
    <m/>
    <m/>
    <m/>
    <m/>
    <m/>
    <m/>
    <m/>
    <m/>
    <m/>
    <m/>
    <m/>
    <m/>
    <m/>
    <m/>
    <m/>
    <m/>
    <m/>
    <m/>
    <m/>
  </r>
  <r>
    <x v="142"/>
    <n v="2012"/>
    <x v="23"/>
    <s v="East Asia and Pacific"/>
    <s v="http://eitimongolia.mn/"/>
    <s v="Oil, Mining"/>
    <s v="yes"/>
    <s v="no"/>
    <s v="yes"/>
    <s v="Total"/>
    <s v="Total"/>
    <s v="Total Oil, Mining"/>
    <m/>
    <m/>
    <m/>
    <m/>
    <m/>
    <m/>
    <m/>
    <m/>
    <m/>
    <n v="4477520900.0165806"/>
    <s v="Profits/Taxes, Dividends, Licenses and concessions"/>
    <s v="Also covers payments made in-kind"/>
    <s v="No"/>
    <n v="1180619495"/>
    <n v="2233069669"/>
    <m/>
    <m/>
    <m/>
    <n v="0.2636770483853304"/>
    <s v="Mongolian Tugrik"/>
    <n v="1349.93"/>
    <s v="Disaggregated by revenue stream, Disaggregated by company, Disaggregated by company and revenue stream"/>
    <s v="Donations and assistance provided to Government organisations (type and volumes are not comprehensively given)"/>
    <n v="2367002"/>
    <m/>
    <m/>
    <n v="200"/>
    <s v="Gobi Energy Partners LLC, Golden Sea Petroleum LLC, Dongsheng Petroleum LLC, Zon Hen Yun Tian LLC, Catcorp Mongolia LLC, Magnai Trade LLC, Petro Matad LLC, Petro China Dachin Tamsag LLC, Sansaryn Geology Khaiguul LLC, Avdar Bayan LLC, AGM Mining LLC, Adamas Mining LLC, Adil-Och LLC, Aduunchuluun JSC, Asiagold Mongolia LLC, Altain Khuder LLC, Altan Dornod Mongol LLC, Altanrio Mongolia LLC, And Survey LLC, Andiin Ilch LLC, Anian Resources LLC, Ankhai-International LLC, AUM LLC, Baganuur JSC, Badmaarag Khash LLC, Batu Mining Mongolia LLC, Bayalag Ord LLC, Bayan-Erch LLC, Bayan Airag Exploration LLC, Bayantegsh Impex LLC, Bayanteeg JSC, BDBL LLC, BCMM LLC, BHM LLC, Bilguuntrade LLC, Blake Mount Mining LLC, Bold Tumur Eruu Gol LLC, Boroo Gold LLC, Bridge Construction LLC, Broad LLC, Bud Undram LLC, Bulgan Gangat LLC, Bumbat Resources LLC, Bumbat LLC, Berkh-Uul LLC, Berkh Resources LLC, Beren Group LLC, Beren Mining LLC, Vantage LLC, Voyager Gold LLC,  Galaxy Mining Mongolia, Gan-Ilch LLC, Gatsuurt LLC,GBNB LLC, Geosan LLC, Gobi Coal and Energy LLC, Gobi Exploration LLC, Golden Cross LLC, Grand Montana Mining LLC, Gurvan Tukhum LLC, Darkhan Bor Khujir LLC, Darkhan Tumurlugiin Uildver JSC, Darkhan Shar Burd LLC, Datsan Trade LLC, Duchin Delgerekh LLC, Dun Yuan LLC, Dun-Erdene LLC, DUN LI LLC, Jado Zambala LLC, Jinghua Ord LLC, Jotoin Bajuuna LLC, Jun Yuan LLC, Zanadu Copper Mongolia LLC, Zaraya Holdings LLC, Zhu Yu E LLC, Zuun Naiman Suvraga LLC, Ing Hu LLC, Ikh Gobi Energy LLC, Ikh Tokhoirol LLC, Casiop Contact LLC, Kojegobi LLC, KVP LLC, Lutchuluu LLC, Max Impex LLC, Mandal-Altai Group LLC, MARCO POLO LLC, Mon En Ko LLC, Mogol International LLC, Monvolfram LLC, Mongol Altai Resources LLC, Mongol Gazar LLC, Mongol Metal Mining LLC, Mongolbulgar Geo LLC, Mongolrustsvetmet LLC, Mongol Czech Metall LLC, Mongolyn Alt Mak LLC, Mondulaan Trade LLC, Monlaa LLC, Monpolimet LLC, Munkh Noyon Suvarga LLC, NABD LLC, Narantuul Trade LLC,NK LLC, Northwind LLC, Odod Gold LLC, Olova LLC, Olon Ovoot Gold LLC, ONTRE LLC, Ord Talst LLC, Orchlon Construction LLC, Ochir Tuv LLC, Ochir-Undraa LLC, Oyu Tolgoi LLC, Urmun-Uul LLC, OGCHL LLC, Poloresources - Peabody Winsway Resources, Reservoir Moly Mongolia LLC, Reo LLC, Redhill Mongolia LLC, Samton Morris LLC, South Gobi Blake Gold LLC, Southgobi Sands LLC, Centerra Gold Mongolia LLC, COAL LLC, CCM LLC, CMKI LLC, Sonor Trade LLC, Suuri LLC, Seruun Selbe LLC, Tavan Tolgoi Trans LLC, Tavantolgoi JSC, Taliin Shigtgee LLC, Terra Energy LLC, TBE LLC, Tegshtplant LLC,  Ten Khun LLC, Teso LLC, Tefis Mining LLC, Ulzgol LLC, Uugan Ilch LLC, Uuls Zaamar LLC, Focus Metal Mining LLC, Freegood Erin LLC, Fenchun International LLC, Khangad Exploration LLC, Khangi Prospecting LLC, Khangi Khuder LLC, Khartarvagatai JSC, Kharanga Khuder LLC, Hera Investment LLC, Khongor Khangain Erdenes LLC, Khotgor Shanaga LLC, Khukh Tur LLC, Huadi Kuonyez LLC, Khurgatai Khairkhan LLC, Khureedel LLC, Khuslemj LLC, Kheltrege LLC, Tsairtmineral LLC, Cement &amp; Lime JSC, Central Asian Cement LLC, Central Asia Mining LLC, Tsevdeg LLC, Tsengeg-Orog LLC, Tsetsens Mining and Energy LLC, Chandmani Tal LLC, Chinkhua MAK Nariin Sukhait LLC, Shanlun LLC, Shanjin Ord LLC, Shar Narst LLC, Shariin Gol JSC, Shengangyuntun LLC, Shivee Ovoo JSC, Shin Shin LLC, Shine Asia Mining Group LLC, Shine Ilion Nen Yuan LLC, Shine Longda LLC, Shine Shivee LLC, Sheiman LLC, Ejbalei LLC, APEXPRO LLC, HMMB LLC, MJB LLC, MPHCL LLC, MCGT LLC, MCTT LLC, MMRI LLC, Emeelt Mines LLC, NPI LLC, Energy Resource LLC, Erdene Mongol LLC, Erdenedalai Coal LLC, Erdenejas LLC, Erdenes MGL LLC, Erdenes Tavan Tolgoi JSC, Erdenet Mining Corporation LLC, Erel Cement LLC, SBF LLC, ESTO LLC, Universal Resources"/>
    <n v="199"/>
    <s v="January 2013"/>
    <d v="2014-09-23T00:00:00"/>
    <s v="Moore Stephens LLP &amp;amp; Dalaivan Audit LLC"/>
    <s v="http://eiti.org/files/Mongolia-2012-EITI-Report.pdf"/>
    <s v="6,13"/>
    <s v="Materiality threshold: Companies that made a payment of at least MNT40,000,000 in 2012 should be reconciled. Some companies have been included that are not directly involved in mining activities, but provide services to companies that are. Unilateral declarations are included in the figures. Company payments include additonal, unreconciled revenue streams of $1,052,182,778 that companies were asked to voluntarily report on. The figure for payments in-kind is that which government reported, companies reported paying $3,226,933. Baganuur, Oyu Tolgoi LLC, Shivee Ovoo SC and Tavantolgoi JSC are 75%, 34%, 90% and 51% state-owned respectively. Erdenet Mining Corporation (EMC) and Mongolrostsvetment JV are both 51% owned by the Government of Mongolia and 49% owned by the Government of Russia. Bayanteeg JSC, Erdenes MGL LLC, Erdenes Tavan Tolgoi JSC, Darkhan Tumurlugiin Uildver JSC and Cement &amp; Lime JSC are also state-owned. EMC accounted for 33% of revenues reported by Government.  The report also includes: production volumes and values for some companies; mineral reserves; FDI in the extractive sector; mining activity and environmental protection reports by some companies; a detailed reconciliation of flows to some local government entities."/>
    <m/>
    <m/>
    <m/>
    <m/>
    <m/>
    <m/>
    <m/>
    <m/>
    <m/>
    <m/>
    <m/>
    <m/>
    <m/>
    <m/>
    <m/>
    <m/>
    <m/>
    <m/>
    <m/>
    <m/>
  </r>
  <r>
    <x v="142"/>
    <n v="2012"/>
    <x v="23"/>
    <s v="East Asia and Pacific"/>
    <m/>
    <s v="Oil"/>
    <s v="no"/>
    <s v="no"/>
    <s v="yes"/>
    <s v="Oil"/>
    <s v="detailed"/>
    <s v="detailed Oil"/>
    <n v="3636000"/>
    <m/>
    <n v="3636000"/>
    <m/>
    <m/>
    <s v="bbl"/>
    <n v="94.19"/>
    <s v="US$/bbl"/>
    <s v="Volume and price from EITI Report. Price is based on the reported value and quantity of exports."/>
    <n v="342474840"/>
    <m/>
    <m/>
    <m/>
    <n v="103668644"/>
    <n v="103869983"/>
    <m/>
    <m/>
    <m/>
    <n v="0.30270440888445993"/>
    <m/>
    <m/>
    <m/>
    <m/>
    <m/>
    <m/>
    <m/>
    <n v="9"/>
    <s v="Gobi Energy Partners LLC, Golden Sea Petroleum LLC, Dongsheng Petroleum LLC, Zon Hen Yun Tian LLC, Catcorp Mongolia LLC, Magnai Trade LLC, Petro Matad LLC, Petro China Dachin Tamsag LLC, Sansaryn Geology Khaiguul LLC"/>
    <n v="8"/>
    <m/>
    <m/>
    <m/>
    <m/>
    <n v="13"/>
    <m/>
    <m/>
    <m/>
    <m/>
    <m/>
    <m/>
    <m/>
    <m/>
    <m/>
    <m/>
    <m/>
    <m/>
    <m/>
    <m/>
    <m/>
    <m/>
    <m/>
    <m/>
    <m/>
    <m/>
    <m/>
  </r>
  <r>
    <x v="142"/>
    <n v="2012"/>
    <x v="23"/>
    <s v="East Asia and Pacific"/>
    <m/>
    <s v="Mining"/>
    <s v="yes"/>
    <s v="no"/>
    <s v="no"/>
    <s v="Total Mining"/>
    <s v="Total"/>
    <s v="Total Mining"/>
    <m/>
    <m/>
    <m/>
    <m/>
    <m/>
    <m/>
    <m/>
    <m/>
    <m/>
    <n v="4135046060.0165806"/>
    <m/>
    <m/>
    <m/>
    <n v="1076950851"/>
    <n v="2129199686"/>
    <m/>
    <m/>
    <m/>
    <n v="0.26044470493653504"/>
    <m/>
    <m/>
    <m/>
    <m/>
    <m/>
    <m/>
    <m/>
    <n v="191"/>
    <s v="Avdar Bayan LLC, AGM Mining LLC, Adamas Mining LLC, Adil-Och LLC, Aduunchuluun JSC, Asiagold Mongolia LLC, Altain Khuder LLC, Altan Dornod Mongol LLC, Altanrio Mongolia LLC, And Survey LLC, Andiin Ilch LLC, Anian Resources LLC, Ankhai-International LLC, AUM LLC, Baganuur JSC, Badmaarag Khash LLC, Batu Mining Mongolia LLC, Bayalag Ord LLC, Bayan-Erch LLC, Bayan Airag Exploration LLC, Bayantegsh Impex LLC, Bayanteeg JSC, BDBL LLC, BCMM LLC, BHM LLC, Bilguuntrade LLC, Blake Mount Mining LLC, Bold Tumur Eruu Gol LLC, Boroo Gold LLC, Bridge Construction LLC, Broad LLC, Bud Undram LLC, Bulgan Gangat LLC, Bumbat Resources LLC, Bumbat LLC, Berkh-Uul LLC, Berkh Resources LLC, Beren Group LLC, Beren Mining LLC, Vantage LLC, Voyager Gold LLC,  Galaxy Mining Mongolia, Gan-Ilch LLC, Gatsuurt LLC,GBNB LLC, Geosan LLC, Gobi Coal and Energy LLC, Gobi Exploration LLC, Golden Cross LLC, Grand Montana Mining LLC, Gurvan Tukhum LLC, Darkhan Bor Khujir LLC, Darkhan Tumurlugiin Uildver JSC, Darkhan Shar Burd LLC, Datsan Trade LLC, Duchin Delgerekh LLC, Dun Yuan LLC, Dun-Erdene LLC, DUN LI LLC, Jado Zambala LLC, Jinghua Ord LLC, Jotoin Bajuuna LLC, Jun Yuan LLC, Zanadu Copper Mongolia LLC, Zaraya Holdings LLC, Zhu Yu E LLC, Zuun Naiman Suvraga LLC, Ing Hu LLC, Ikh Gobi Energy LLC, Ikh Tokhoirol LLC, Casiop Contact LLC, Kojegobi LLC, KVP LLC, Lutchuluu LLC, Max Impex LLC, Mandal-Altai Group LLC, MARCO POLO LLC, Mon En Ko LLC, Mogol International LLC, Monvolfram LLC, Mongol Altai Resources LLC, Mongol Gazar LLC, Mongol Metal Mining LLC, Mongolbulgar Geo LLC, Mongolrustsvetmet LLC, Mongol Czech Metall LLC, Mongolyn Alt Mak LLC, Mondulaan Trade LLC, Monlaa LLC, Monpolimet LLC, Munkh Noyon Suvarga LLC, NABD LLC, Narantuul Trade LLC,NK LLC, Northwind LLC, Odod Gold LLC, Olova LLC, Olon Ovoot Gold LLC, ONTRE LLC, Ord Talst LLC, Orchlon Construction LLC, Ochir Tuv LLC, Ochir-Undraa LLC, Oyu Tolgoi LLC, Urmun-Uul LLC, OGCHL LLC, Poloresources - Peabody Winsway Resources, Reservoir Moly Mongolia LLC, Reo LLC, Redhill Mongolia LLC, Samton Morris LLC, South Gobi Blake Gold LLC, Southgobi Sands LLC, Centerra Gold Mongolia LLC, COAL LLC, CCM LLC, CMKI LLC, Sonor Trade LLC, Suuri LLC, Seruun Selbe LLC, Tavan Tolgoi Trans LLC, Tavantolgoi JSC, Taliin Shigtgee LLC, Terra Energy LLC, TBE LLC, Tegshtplant LLC,  Ten Khun LLC, Teso LLC, Tefis Mining LLC, Ulzgol LLC, Uugan Ilch LLC, Uuls Zaamar LLC, Focus Metal Mining LLC, Freegood Erin LLC, Fenchun International LLC, Khangad Exploration LLC, Khangi Prospecting LLC, Khangi Khuder LLC, Khartarvagatai JSC, Kharanga Khuder LLC, Hera Investment LLC, Khongor Khangain Erdenes LLC, Khotgor Shanaga LLC, Khukh Tur LLC, Huadi Kuonyez LLC, Khurgatai Khairkhan LLC, Khureedel LLC, Khuslemj LLC, Kheltrege LLC, Tsairtmineral LLC, Cement &amp; Lime JSC, Central Asian Cement LLC, Central Asia Mining LLC, Tsevdeg LLC, Tsengeg-Orog LLC, Tsetsens Mining and Energy LLC, Chandmani Tal LLC, Chinkhua MAK Nariin Sukhait LLC, Shanlun LLC, Shanjin Ord LLC, Shar Narst LLC, Shariin Gol JSC, Shengangyuntun LLC, Shivee Ovoo JSC, Shin Shin LLC, Shine Asia Mining Group LLC, Shine Ilion Nen Yuan LLC, Shine Longda LLC, Shine Shivee LLC, Sheiman LLC, Ejbalei LLC, APEXPRO LLC, HMMB LLC, MJB LLC, MPHCL LLC, MCGT LLC, MCTT LLC, MMRI LLC, Emeelt Mines LLC, NPI LLC, Energy Resource LLC, Erdene Mongol LLC, Erdenedalai Coal LLC, Erdenejas LLC, Erdenes MGL LLC, Erdenes Tavan Tolgoi JSC, Erdenet Mining Corporation LLC, Erel Cement LLC, SBF LLC, ESTO LLC, Universal Resources"/>
    <n v="191"/>
    <m/>
    <m/>
    <m/>
    <m/>
    <m/>
    <m/>
    <m/>
    <m/>
    <m/>
    <m/>
    <m/>
    <m/>
    <m/>
    <m/>
    <m/>
    <m/>
    <m/>
    <m/>
    <m/>
    <m/>
    <m/>
    <m/>
    <m/>
    <m/>
    <m/>
    <m/>
  </r>
  <r>
    <x v="142"/>
    <n v="2012"/>
    <x v="23"/>
    <s v="East Asia and Pacific"/>
    <m/>
    <s v="Mining"/>
    <s v="yes"/>
    <s v="no"/>
    <s v="no"/>
    <s v="Coal"/>
    <s v="detailed"/>
    <s v="detailed Mining"/>
    <n v="28248825.618860003"/>
    <m/>
    <n v="28248825.618860003"/>
    <m/>
    <m/>
    <s v="t"/>
    <n v="90.92"/>
    <s v="US$/t"/>
    <s v="Volume and price from EITI Report. Price is based on the reported value and quantity of exports."/>
    <n v="2568383225.2667513"/>
    <m/>
    <m/>
    <m/>
    <m/>
    <m/>
    <m/>
    <m/>
    <m/>
    <m/>
    <m/>
    <m/>
    <m/>
    <m/>
    <m/>
    <m/>
    <m/>
    <m/>
    <m/>
    <m/>
    <m/>
    <m/>
    <m/>
    <m/>
    <n v="14"/>
    <m/>
    <m/>
    <m/>
    <m/>
    <m/>
    <m/>
    <m/>
    <m/>
    <m/>
    <m/>
    <m/>
    <m/>
    <m/>
    <m/>
    <m/>
    <m/>
    <m/>
    <m/>
    <m/>
    <m/>
    <m/>
  </r>
  <r>
    <x v="142"/>
    <n v="2012"/>
    <x v="23"/>
    <s v="East Asia and Pacific"/>
    <m/>
    <s v="Mining"/>
    <s v="yes"/>
    <s v="no"/>
    <s v="no"/>
    <s v="Copper Concentrate (35%)"/>
    <s v="detailed"/>
    <s v="detailed Mining"/>
    <n v="315700.28951999999"/>
    <m/>
    <n v="315700.28951999999"/>
    <m/>
    <m/>
    <s v="t"/>
    <n v="1460.94"/>
    <s v="US$/t"/>
    <s v="Volume and price from EITI Report. Price is based on the reported value and quantity of exports."/>
    <n v="461219180.97134882"/>
    <m/>
    <m/>
    <m/>
    <m/>
    <m/>
    <m/>
    <m/>
    <m/>
    <m/>
    <m/>
    <m/>
    <m/>
    <m/>
    <m/>
    <m/>
    <m/>
    <m/>
    <m/>
    <m/>
    <m/>
    <m/>
    <m/>
    <m/>
    <n v="14"/>
    <m/>
    <m/>
    <m/>
    <m/>
    <m/>
    <m/>
    <m/>
    <m/>
    <m/>
    <m/>
    <m/>
    <m/>
    <m/>
    <m/>
    <m/>
    <m/>
    <m/>
    <m/>
    <m/>
    <m/>
    <m/>
  </r>
  <r>
    <x v="142"/>
    <n v="2012"/>
    <x v="23"/>
    <s v="East Asia and Pacific"/>
    <m/>
    <s v="Mining"/>
    <s v="yes"/>
    <s v="no"/>
    <s v="no"/>
    <s v="Fluorspar"/>
    <s v="detailed"/>
    <s v="detailed Mining"/>
    <n v="581505.41833999997"/>
    <m/>
    <n v="581505.41833999997"/>
    <m/>
    <m/>
    <s v="t"/>
    <n v="238.94"/>
    <s v="US$/t"/>
    <s v="Volume and price from EITI Report. Price is based on the reported value and quantity of exports."/>
    <n v="138944904.65815958"/>
    <m/>
    <m/>
    <m/>
    <m/>
    <m/>
    <m/>
    <m/>
    <m/>
    <m/>
    <m/>
    <m/>
    <m/>
    <m/>
    <m/>
    <m/>
    <m/>
    <m/>
    <m/>
    <m/>
    <m/>
    <m/>
    <m/>
    <m/>
    <s v="14,15"/>
    <m/>
    <m/>
    <m/>
    <m/>
    <m/>
    <m/>
    <m/>
    <m/>
    <m/>
    <m/>
    <m/>
    <m/>
    <m/>
    <m/>
    <m/>
    <m/>
    <m/>
    <m/>
    <m/>
    <m/>
    <m/>
  </r>
  <r>
    <x v="142"/>
    <n v="2012"/>
    <x v="23"/>
    <s v="East Asia and Pacific"/>
    <m/>
    <s v="Mining"/>
    <s v="yes"/>
    <s v="no"/>
    <s v="no"/>
    <s v="Gold"/>
    <s v="detailed"/>
    <s v="detailed Mining"/>
    <n v="192743.70504340346"/>
    <m/>
    <n v="192743.70504340346"/>
    <m/>
    <m/>
    <s v="toz"/>
    <n v="1358.4887814082676"/>
    <s v="US$/toz"/>
    <s v="Volume and price from EITI Report. Price is based on the reported value and quantity of exports."/>
    <n v="261840160.98852775"/>
    <m/>
    <m/>
    <m/>
    <m/>
    <m/>
    <m/>
    <m/>
    <m/>
    <m/>
    <m/>
    <m/>
    <m/>
    <m/>
    <m/>
    <m/>
    <m/>
    <m/>
    <m/>
    <m/>
    <m/>
    <m/>
    <m/>
    <m/>
    <n v="14"/>
    <m/>
    <m/>
    <m/>
    <m/>
    <m/>
    <m/>
    <m/>
    <m/>
    <m/>
    <m/>
    <m/>
    <m/>
    <m/>
    <m/>
    <m/>
    <m/>
    <m/>
    <m/>
    <m/>
    <m/>
    <m/>
  </r>
  <r>
    <x v="142"/>
    <n v="2012"/>
    <x v="23"/>
    <s v="East Asia and Pacific"/>
    <m/>
    <s v="Mining"/>
    <s v="yes"/>
    <s v="no"/>
    <s v="no"/>
    <s v="Iron Ore"/>
    <s v="detailed"/>
    <s v="detailed Mining"/>
    <n v="6859223.8191400003"/>
    <m/>
    <n v="6859223.8191400003"/>
    <m/>
    <m/>
    <s v="t"/>
    <n v="83"/>
    <s v="US$/t"/>
    <s v="Volume and price from EITI Report. Price is based on the reported value and quantity of exports."/>
    <n v="569315576.98862004"/>
    <m/>
    <m/>
    <m/>
    <m/>
    <m/>
    <m/>
    <m/>
    <m/>
    <m/>
    <m/>
    <m/>
    <m/>
    <m/>
    <m/>
    <m/>
    <m/>
    <m/>
    <m/>
    <m/>
    <m/>
    <m/>
    <m/>
    <m/>
    <n v="14"/>
    <m/>
    <m/>
    <m/>
    <m/>
    <m/>
    <m/>
    <m/>
    <m/>
    <m/>
    <m/>
    <m/>
    <m/>
    <m/>
    <m/>
    <m/>
    <m/>
    <m/>
    <m/>
    <m/>
    <m/>
    <m/>
  </r>
  <r>
    <x v="142"/>
    <n v="2012"/>
    <x v="23"/>
    <s v="East Asia and Pacific"/>
    <m/>
    <s v="Mining"/>
    <s v="yes"/>
    <s v="no"/>
    <s v="no"/>
    <s v="Molybdenum"/>
    <s v="detailed"/>
    <s v="detailed Mining"/>
    <n v="3674.0981970000003"/>
    <m/>
    <n v="3674.0981970000003"/>
    <m/>
    <m/>
    <s v="t"/>
    <n v="9543.5"/>
    <s v="US$/t"/>
    <s v="Volume and price from EITI Report. Price is based on the reported value and quantity of exports."/>
    <n v="35063756.143069506"/>
    <m/>
    <m/>
    <m/>
    <m/>
    <m/>
    <m/>
    <m/>
    <m/>
    <m/>
    <m/>
    <m/>
    <m/>
    <m/>
    <m/>
    <m/>
    <m/>
    <m/>
    <m/>
    <m/>
    <m/>
    <m/>
    <m/>
    <m/>
    <n v="15"/>
    <m/>
    <m/>
    <m/>
    <m/>
    <m/>
    <m/>
    <m/>
    <m/>
    <m/>
    <m/>
    <m/>
    <m/>
    <m/>
    <m/>
    <m/>
    <m/>
    <m/>
    <m/>
    <m/>
    <m/>
    <m/>
  </r>
  <r>
    <x v="142"/>
    <n v="2012"/>
    <x v="23"/>
    <s v="East Asia and Pacific"/>
    <m/>
    <s v="Mining"/>
    <s v="yes"/>
    <s v="no"/>
    <s v="no"/>
    <s v="Salt"/>
    <s v="detailed"/>
    <s v="detailed Mining"/>
    <n v="516.18811706000008"/>
    <m/>
    <m/>
    <m/>
    <m/>
    <s v="t"/>
    <n v="67.25"/>
    <s v="US$/t"/>
    <s v="Volume from USGS Mineral Yearbook 2012. Price from USGS Mineral Commodity Summary 2013, and is the average f.o.b. mine and plant price for bulk, pellets and packaged vacuum and open pan salt, solar salt, rock salt and salt in brine."/>
    <n v="34713.650872285005"/>
    <m/>
    <m/>
    <m/>
    <m/>
    <m/>
    <m/>
    <m/>
    <m/>
    <m/>
    <m/>
    <m/>
    <m/>
    <m/>
    <m/>
    <m/>
    <m/>
    <m/>
    <m/>
    <m/>
    <m/>
    <m/>
    <m/>
    <m/>
    <n v="14"/>
    <m/>
    <m/>
    <m/>
    <m/>
    <m/>
    <m/>
    <m/>
    <m/>
    <m/>
    <m/>
    <m/>
    <m/>
    <m/>
    <m/>
    <m/>
    <m/>
    <m/>
    <m/>
    <m/>
    <m/>
    <m/>
  </r>
  <r>
    <x v="142"/>
    <n v="2012"/>
    <x v="23"/>
    <s v="East Asia and Pacific"/>
    <m/>
    <s v="Mining"/>
    <s v="yes"/>
    <s v="no"/>
    <s v="no"/>
    <s v="Tungsten (W content of mine output)"/>
    <s v="detailed"/>
    <s v="detailed Mining"/>
    <n v="20"/>
    <m/>
    <m/>
    <m/>
    <m/>
    <s v="t"/>
    <n v="255"/>
    <s v="US$/t"/>
    <s v="Volume from USGS Mineral Yearbook 2012. Price from USGS Mineral Commodity Summary 2013, and is the average price on the US and European spot markets for a metric ton unit of tungsten trioxide, which contains 7.93kg of tungsten."/>
    <n v="5100"/>
    <m/>
    <m/>
    <m/>
    <m/>
    <m/>
    <m/>
    <m/>
    <m/>
    <m/>
    <m/>
    <m/>
    <m/>
    <m/>
    <m/>
    <m/>
    <m/>
    <m/>
    <m/>
    <m/>
    <m/>
    <m/>
    <m/>
    <m/>
    <n v="14"/>
    <m/>
    <m/>
    <m/>
    <m/>
    <m/>
    <m/>
    <m/>
    <m/>
    <m/>
    <m/>
    <m/>
    <m/>
    <m/>
    <m/>
    <m/>
    <m/>
    <m/>
    <m/>
    <m/>
    <m/>
    <m/>
  </r>
  <r>
    <x v="142"/>
    <n v="2012"/>
    <x v="23"/>
    <s v="East Asia and Pacific"/>
    <m/>
    <s v="Mining"/>
    <s v="yes"/>
    <s v="no"/>
    <s v="no"/>
    <s v="Zinc"/>
    <s v="detailed"/>
    <s v="detailed Mining"/>
    <n v="107954.98406"/>
    <m/>
    <n v="107954.98406"/>
    <m/>
    <m/>
    <s v="t"/>
    <n v="928.53"/>
    <s v="US$/t"/>
    <s v="Volume and price from EITI Report. Price is based on the reported value and quantity of exports."/>
    <n v="100239441.34923179"/>
    <m/>
    <m/>
    <m/>
    <m/>
    <m/>
    <m/>
    <m/>
    <m/>
    <m/>
    <m/>
    <m/>
    <m/>
    <m/>
    <m/>
    <m/>
    <m/>
    <m/>
    <m/>
    <m/>
    <m/>
    <m/>
    <m/>
    <m/>
    <n v="15"/>
    <m/>
    <m/>
    <m/>
    <m/>
    <m/>
    <m/>
    <m/>
    <m/>
    <m/>
    <m/>
    <m/>
    <m/>
    <m/>
    <m/>
    <m/>
    <m/>
    <m/>
    <m/>
    <m/>
    <m/>
    <m/>
  </r>
  <r>
    <x v="143"/>
    <n v="2013"/>
    <x v="24"/>
    <s v="East Asia and Pacific"/>
    <s v="http://eitimongolia.mn/"/>
    <s v="Oil, Mining"/>
    <m/>
    <m/>
    <m/>
    <s v="Total"/>
    <m/>
    <m/>
    <m/>
    <m/>
    <m/>
    <m/>
    <m/>
    <m/>
    <m/>
    <m/>
    <s v="Volume from EITI Report"/>
    <m/>
    <s v="Profits/Taxes, Royalties, Dividends, Bonuses, Licenses and concessions"/>
    <s v="Does not include payments made in-kind"/>
    <s v="No"/>
    <n v="1054895582.33"/>
    <n v="1054920348.0599999"/>
    <m/>
    <n v="1138032042.1700001"/>
    <m/>
    <m/>
    <s v="Mongolian Tughrik"/>
    <n v="1494"/>
    <s v="Disaggregated by revenue stream, Disaggregated by company"/>
    <m/>
    <m/>
    <m/>
    <m/>
    <n v="250"/>
    <m/>
    <n v="240"/>
    <s v="December 2014"/>
    <m/>
    <s v="Hart Nurse LTD and Ulaanbaatar Audit Corporation LLC"/>
    <s v="https://eiti.org/files/Shorter%20PDF%20MEITI%20Report-English%20Master_final_2013.pdf"/>
    <m/>
    <s v="Exchange rate not in EITI report. Reporting companies differ from report to website. Value of payments differ from report to EITI website."/>
    <m/>
    <m/>
    <m/>
    <m/>
    <m/>
    <m/>
    <m/>
    <m/>
    <m/>
    <m/>
    <m/>
    <m/>
    <m/>
    <m/>
    <m/>
    <m/>
    <m/>
    <m/>
    <m/>
    <m/>
  </r>
  <r>
    <x v="143"/>
    <n v="2013"/>
    <x v="24"/>
    <s v="East Asia and Pacific"/>
    <m/>
    <s v="Oil"/>
    <m/>
    <m/>
    <m/>
    <s v="Oil"/>
    <m/>
    <m/>
    <m/>
    <m/>
    <m/>
    <n v="5244000"/>
    <m/>
    <s v="bbl"/>
    <m/>
    <m/>
    <m/>
    <n v="515000000"/>
    <m/>
    <m/>
    <m/>
    <m/>
    <m/>
    <m/>
    <m/>
    <m/>
    <m/>
    <m/>
    <m/>
    <m/>
    <m/>
    <m/>
    <m/>
    <m/>
    <m/>
    <m/>
    <m/>
    <m/>
    <m/>
    <m/>
    <m/>
    <m/>
    <m/>
    <m/>
    <m/>
    <m/>
    <m/>
    <m/>
    <m/>
    <m/>
    <m/>
    <m/>
    <m/>
    <m/>
    <m/>
    <m/>
    <m/>
    <m/>
    <m/>
    <m/>
    <m/>
    <m/>
    <m/>
  </r>
  <r>
    <x v="143"/>
    <n v="2013"/>
    <x v="24"/>
    <s v="East Asia and Pacific"/>
    <m/>
    <s v="Mining"/>
    <m/>
    <m/>
    <m/>
    <s v="Total Mining"/>
    <m/>
    <m/>
    <m/>
    <m/>
    <m/>
    <m/>
    <m/>
    <m/>
    <m/>
    <m/>
    <m/>
    <m/>
    <m/>
    <m/>
    <m/>
    <m/>
    <m/>
    <m/>
    <m/>
    <m/>
    <m/>
    <m/>
    <m/>
    <m/>
    <m/>
    <m/>
    <m/>
    <m/>
    <m/>
    <m/>
    <m/>
    <m/>
    <m/>
    <m/>
    <m/>
    <m/>
    <m/>
    <m/>
    <m/>
    <m/>
    <m/>
    <m/>
    <m/>
    <m/>
    <m/>
    <m/>
    <m/>
    <m/>
    <m/>
    <m/>
    <m/>
    <m/>
    <m/>
    <m/>
    <m/>
    <m/>
    <m/>
  </r>
  <r>
    <x v="143"/>
    <n v="2013"/>
    <x v="24"/>
    <s v="East Asia and Pacific"/>
    <m/>
    <s v="Mining"/>
    <m/>
    <m/>
    <m/>
    <s v="Coal"/>
    <m/>
    <m/>
    <m/>
    <m/>
    <m/>
    <n v="30123000"/>
    <m/>
    <s v="t"/>
    <m/>
    <m/>
    <m/>
    <m/>
    <m/>
    <m/>
    <m/>
    <m/>
    <m/>
    <m/>
    <m/>
    <m/>
    <m/>
    <m/>
    <m/>
    <m/>
    <m/>
    <m/>
    <m/>
    <m/>
    <m/>
    <m/>
    <m/>
    <m/>
    <m/>
    <m/>
    <m/>
    <m/>
    <m/>
    <m/>
    <m/>
    <m/>
    <m/>
    <m/>
    <m/>
    <m/>
    <m/>
    <m/>
    <m/>
    <m/>
    <m/>
    <m/>
    <m/>
    <m/>
    <m/>
    <m/>
    <m/>
    <m/>
    <m/>
  </r>
  <r>
    <x v="143"/>
    <n v="2013"/>
    <x v="24"/>
    <s v="East Asia and Pacific"/>
    <m/>
    <s v="Mining"/>
    <m/>
    <m/>
    <m/>
    <s v="Copper Concentrate (35%)"/>
    <m/>
    <m/>
    <m/>
    <m/>
    <m/>
    <n v="533000"/>
    <m/>
    <s v="t"/>
    <m/>
    <m/>
    <m/>
    <m/>
    <m/>
    <m/>
    <m/>
    <m/>
    <m/>
    <m/>
    <m/>
    <m/>
    <m/>
    <m/>
    <m/>
    <m/>
    <m/>
    <m/>
    <m/>
    <m/>
    <m/>
    <m/>
    <m/>
    <m/>
    <m/>
    <m/>
    <m/>
    <m/>
    <m/>
    <m/>
    <m/>
    <m/>
    <m/>
    <m/>
    <m/>
    <m/>
    <m/>
    <m/>
    <m/>
    <m/>
    <m/>
    <m/>
    <m/>
    <m/>
    <m/>
    <m/>
    <m/>
    <m/>
    <m/>
  </r>
  <r>
    <x v="143"/>
    <n v="2013"/>
    <x v="24"/>
    <s v="East Asia and Pacific"/>
    <m/>
    <s v="Mining"/>
    <m/>
    <m/>
    <m/>
    <s v="Molybdenum Concentrate (47%)"/>
    <m/>
    <m/>
    <m/>
    <m/>
    <m/>
    <n v="3869000"/>
    <m/>
    <s v="t"/>
    <m/>
    <m/>
    <m/>
    <m/>
    <m/>
    <m/>
    <m/>
    <m/>
    <m/>
    <m/>
    <m/>
    <m/>
    <m/>
    <m/>
    <m/>
    <m/>
    <m/>
    <m/>
    <m/>
    <m/>
    <m/>
    <m/>
    <m/>
    <m/>
    <m/>
    <m/>
    <m/>
    <m/>
    <m/>
    <m/>
    <m/>
    <m/>
    <m/>
    <m/>
    <m/>
    <m/>
    <m/>
    <m/>
    <m/>
    <m/>
    <m/>
    <m/>
    <m/>
    <m/>
    <m/>
    <m/>
    <m/>
    <m/>
    <m/>
  </r>
  <r>
    <x v="143"/>
    <n v="2013"/>
    <x v="24"/>
    <s v="East Asia and Pacific"/>
    <m/>
    <s v="Mining"/>
    <m/>
    <m/>
    <m/>
    <s v="Gold"/>
    <m/>
    <m/>
    <m/>
    <m/>
    <m/>
    <n v="8904"/>
    <m/>
    <s v="kg"/>
    <m/>
    <m/>
    <m/>
    <m/>
    <m/>
    <m/>
    <m/>
    <m/>
    <m/>
    <m/>
    <m/>
    <m/>
    <m/>
    <m/>
    <m/>
    <m/>
    <m/>
    <m/>
    <m/>
    <m/>
    <m/>
    <m/>
    <m/>
    <m/>
    <m/>
    <m/>
    <m/>
    <m/>
    <m/>
    <m/>
    <m/>
    <m/>
    <m/>
    <m/>
    <m/>
    <m/>
    <m/>
    <m/>
    <m/>
    <m/>
    <m/>
    <m/>
    <m/>
    <m/>
    <m/>
    <m/>
    <m/>
    <m/>
    <m/>
  </r>
  <r>
    <x v="143"/>
    <n v="2013"/>
    <x v="24"/>
    <s v="East Asia and Pacific"/>
    <m/>
    <s v="Mining"/>
    <m/>
    <m/>
    <m/>
    <s v="Tungsten"/>
    <m/>
    <m/>
    <m/>
    <m/>
    <m/>
    <n v="162000"/>
    <m/>
    <s v="t"/>
    <m/>
    <m/>
    <m/>
    <m/>
    <m/>
    <m/>
    <m/>
    <m/>
    <m/>
    <m/>
    <m/>
    <m/>
    <m/>
    <m/>
    <m/>
    <m/>
    <m/>
    <m/>
    <m/>
    <m/>
    <m/>
    <m/>
    <m/>
    <m/>
    <m/>
    <m/>
    <m/>
    <m/>
    <m/>
    <m/>
    <m/>
    <m/>
    <m/>
    <m/>
    <m/>
    <m/>
    <m/>
    <m/>
    <m/>
    <m/>
    <m/>
    <m/>
    <m/>
    <m/>
    <m/>
    <m/>
    <m/>
    <m/>
    <m/>
  </r>
  <r>
    <x v="143"/>
    <n v="2013"/>
    <x v="24"/>
    <s v="East Asia and Pacific"/>
    <m/>
    <s v="Mining"/>
    <m/>
    <m/>
    <m/>
    <s v="Tungsten Concentrate"/>
    <m/>
    <m/>
    <m/>
    <m/>
    <m/>
    <n v="76000"/>
    <m/>
    <s v="t"/>
    <m/>
    <m/>
    <m/>
    <m/>
    <m/>
    <m/>
    <m/>
    <m/>
    <m/>
    <m/>
    <m/>
    <m/>
    <m/>
    <m/>
    <m/>
    <m/>
    <m/>
    <m/>
    <m/>
    <m/>
    <m/>
    <m/>
    <m/>
    <m/>
    <m/>
    <m/>
    <m/>
    <m/>
    <m/>
    <m/>
    <m/>
    <m/>
    <m/>
    <m/>
    <m/>
    <m/>
    <m/>
    <m/>
    <m/>
    <m/>
    <m/>
    <m/>
    <m/>
    <m/>
    <m/>
    <m/>
    <m/>
    <m/>
    <m/>
  </r>
  <r>
    <x v="143"/>
    <n v="2013"/>
    <x v="24"/>
    <s v="East Asia and Pacific"/>
    <m/>
    <s v="Mining"/>
    <m/>
    <m/>
    <m/>
    <s v="Iron Ore"/>
    <m/>
    <m/>
    <m/>
    <m/>
    <m/>
    <n v="6011000"/>
    <m/>
    <s v="t"/>
    <m/>
    <m/>
    <m/>
    <m/>
    <m/>
    <m/>
    <m/>
    <m/>
    <m/>
    <m/>
    <m/>
    <m/>
    <m/>
    <m/>
    <m/>
    <m/>
    <m/>
    <m/>
    <m/>
    <m/>
    <m/>
    <m/>
    <m/>
    <m/>
    <m/>
    <m/>
    <m/>
    <m/>
    <m/>
    <m/>
    <m/>
    <m/>
    <m/>
    <m/>
    <m/>
    <m/>
    <m/>
    <m/>
    <m/>
    <m/>
    <m/>
    <m/>
    <m/>
    <m/>
    <m/>
    <m/>
    <m/>
    <m/>
    <m/>
  </r>
  <r>
    <x v="143"/>
    <n v="2013"/>
    <x v="24"/>
    <s v="East Asia and Pacific"/>
    <m/>
    <s v="Mining"/>
    <m/>
    <m/>
    <m/>
    <s v="Zinc Concentrate"/>
    <m/>
    <m/>
    <m/>
    <m/>
    <m/>
    <n v="104000"/>
    <m/>
    <s v="t"/>
    <m/>
    <m/>
    <m/>
    <m/>
    <m/>
    <m/>
    <m/>
    <m/>
    <m/>
    <m/>
    <m/>
    <m/>
    <m/>
    <m/>
    <m/>
    <m/>
    <m/>
    <m/>
    <m/>
    <m/>
    <m/>
    <m/>
    <m/>
    <m/>
    <m/>
    <m/>
    <m/>
    <m/>
    <m/>
    <m/>
    <m/>
    <m/>
    <m/>
    <m/>
    <m/>
    <m/>
    <m/>
    <m/>
    <m/>
    <m/>
    <m/>
    <m/>
    <m/>
    <m/>
    <m/>
    <m/>
    <m/>
    <m/>
    <m/>
  </r>
  <r>
    <x v="143"/>
    <n v="2013"/>
    <x v="24"/>
    <s v="East Asia and Pacific"/>
    <m/>
    <s v="Mining"/>
    <m/>
    <m/>
    <m/>
    <s v="Salt"/>
    <m/>
    <m/>
    <m/>
    <m/>
    <m/>
    <n v="658"/>
    <m/>
    <s v="t"/>
    <m/>
    <m/>
    <m/>
    <m/>
    <m/>
    <m/>
    <m/>
    <m/>
    <m/>
    <m/>
    <m/>
    <m/>
    <m/>
    <m/>
    <m/>
    <m/>
    <m/>
    <m/>
    <m/>
    <m/>
    <m/>
    <m/>
    <m/>
    <m/>
    <m/>
    <m/>
    <m/>
    <m/>
    <m/>
    <m/>
    <m/>
    <m/>
    <m/>
    <m/>
    <m/>
    <m/>
    <m/>
    <m/>
    <m/>
    <m/>
    <m/>
    <m/>
    <m/>
    <m/>
    <m/>
    <m/>
    <m/>
    <m/>
    <m/>
  </r>
  <r>
    <x v="144"/>
    <n v="2008"/>
    <x v="25"/>
    <s v="Africa"/>
    <s v="http://www.itie.org.mz"/>
    <s v="Gas, Mining"/>
    <s v="yes"/>
    <s v="yes"/>
    <s v="no"/>
    <s v="Total"/>
    <s v="Total"/>
    <s v="Total Gas, Mining"/>
    <m/>
    <m/>
    <m/>
    <m/>
    <m/>
    <m/>
    <m/>
    <m/>
    <m/>
    <n v="990148581.38949764"/>
    <s v="Host government's production entitlement, Profits/Taxes, Royalties, Dividends, Licenses and concessions"/>
    <s v="Also covers payments made in-kind (though these are only reported for Government)"/>
    <s v="Yes"/>
    <n v="25571802.530971412"/>
    <n v="8484826"/>
    <m/>
    <m/>
    <m/>
    <n v="2.5826227509295554E-2"/>
    <s v="Mozambique Meticais"/>
    <n v="24.04"/>
    <s v="Disaggregated by revenue stream, Disaggregated by company, Disaggregated by commodity, Disaggregated by company and revenue stream, Disaggregated by commodity and revenue stream, Disaggregated by project"/>
    <s v="2,528,854 gigajoules (66,096,657 cubic metres) of gas"/>
    <n v="21732382.530971412"/>
    <m/>
    <m/>
    <n v="6"/>
    <s v=" Vale Mozambique Ltd, Kenmare Moma Mining (Mauritius) Ltd, HAMC (Highland African Mining Co.), Rio Tinto Mining and Exploration MozambiqueCompanhia Moçambicana de Hidro-carbonetos Sarl, Sasol Petroleum Temane Ltd,"/>
    <n v="6"/>
    <s v="January 2011"/>
    <d v="2014-09-25T00:00:00"/>
    <s v="Boas &amp; Associates"/>
    <s v="http://eiti.org/files/Mozambique%202008%20EITI%20Report.pdf"/>
    <n v="28"/>
    <s v="Materiality threshold: Companies that made a payment of at least 1,500,000MT in 2008 should be reconciled. The report gives the volumes but not values for the payments in kind. The values are calculated using the relevant commodity price from the BPSR 2014 (detailed below). Unilateral declarations are included in the figures. Sasol Petroleum Temane Ltd, a South African Energy Company, currently operates the Pande and Temane Natural Gas Fields with Companhia Moçambicana de Hidrocarbonetos SARL (CMH) and the International Finance Corporation (IFC). Sasol Petroleum is the operator and majority shareholder with 70% shares, with CMH having 25% and IFC with 5% share interest. The Pande-Temane gas project includes a gas pipeline, completed in 2004, stretching over 865 km between Temane and a Sasol gas processing petrochemical complex in Secunda, South Africa. CMH's shareholding structure comprises 70% to Empresa Nactional de Hidrocarbonetos Company (ENH), 20% to the Government of Mozambique and 10% owned by corporate bodies and individuals. ENH is the National Oil Company of Mozambique and is 100% owned by the State. Sasol Petroleum accounted for 57% of payments reported by the companies, with CMH accouting for a further 35%. The payment in kind of natural gas is for part of Sasol Petroleum Temane Ltd's royalty obligations."/>
    <m/>
    <m/>
    <m/>
    <m/>
    <m/>
    <m/>
    <m/>
    <m/>
    <m/>
    <m/>
    <m/>
    <m/>
    <m/>
    <m/>
    <m/>
    <m/>
    <m/>
    <m/>
    <m/>
    <m/>
  </r>
  <r>
    <x v="144"/>
    <n v="2008"/>
    <x v="25"/>
    <s v="Africa"/>
    <m/>
    <s v="Gas"/>
    <s v="no"/>
    <s v="yes"/>
    <s v="no"/>
    <s v="Gas"/>
    <s v="detailed"/>
    <s v="detailed Gas"/>
    <n v="2944947200"/>
    <m/>
    <n v="2735597772.3199997"/>
    <m/>
    <m/>
    <s v="m³"/>
    <n v="0.32879700000000006"/>
    <s v="US$/m³"/>
    <s v="Volume from EIA. Price from BPSR 2014, and is an average of the UK, US and Canada Indices for natural gas."/>
    <n v="899456340.74549913"/>
    <m/>
    <m/>
    <m/>
    <n v="25502682.281387381"/>
    <n v="7809102"/>
    <m/>
    <m/>
    <m/>
    <n v="2.8353440991087924E-2"/>
    <m/>
    <m/>
    <m/>
    <s v="2,528,854 gigajoules (66,096,657 cubic metres) of gas"/>
    <n v="21732382.530971412"/>
    <m/>
    <m/>
    <n v="2"/>
    <s v="Companhia Moçambicana de Hidro-carbonetos Sarl, Sasol Petroleum Temane Ltd"/>
    <n v="2"/>
    <m/>
    <m/>
    <m/>
    <m/>
    <s v="26-27, 32"/>
    <s v="Pande-Temane gas project is currently the only producer of gas."/>
    <m/>
    <m/>
    <m/>
    <m/>
    <m/>
    <m/>
    <m/>
    <m/>
    <m/>
    <m/>
    <m/>
    <m/>
    <m/>
    <m/>
    <m/>
    <m/>
    <m/>
    <m/>
    <m/>
    <m/>
  </r>
  <r>
    <x v="144"/>
    <n v="2008"/>
    <x v="25"/>
    <s v="Africa"/>
    <m/>
    <s v="Mining"/>
    <s v="yes"/>
    <s v="no"/>
    <s v="no"/>
    <s v="Total Mining"/>
    <s v="Total"/>
    <s v="Total Mining"/>
    <m/>
    <m/>
    <m/>
    <m/>
    <m/>
    <m/>
    <m/>
    <m/>
    <m/>
    <n v="90692240.643998459"/>
    <m/>
    <m/>
    <m/>
    <n v="69120.715474209646"/>
    <n v="675724.12645590678"/>
    <m/>
    <m/>
    <m/>
    <n v="7.6214585705887178E-4"/>
    <m/>
    <m/>
    <m/>
    <m/>
    <m/>
    <m/>
    <m/>
    <n v="4"/>
    <s v="Vale Mozambique Ltd, Kenmare Moma Mining (Mauritius) Ltd, HAMC (Highland African Mining Co.), Rio Tinto Mining and Exploration Mozambique"/>
    <n v="4"/>
    <m/>
    <m/>
    <m/>
    <m/>
    <s v="26-27"/>
    <m/>
    <m/>
    <m/>
    <m/>
    <m/>
    <m/>
    <m/>
    <m/>
    <m/>
    <m/>
    <m/>
    <m/>
    <m/>
    <m/>
    <m/>
    <m/>
    <m/>
    <m/>
    <m/>
    <m/>
    <m/>
  </r>
  <r>
    <x v="144"/>
    <n v="2008"/>
    <x v="25"/>
    <s v="Africa"/>
    <m/>
    <s v="Mining"/>
    <s v="yes"/>
    <s v="no"/>
    <s v="no"/>
    <s v="Coal"/>
    <s v="detailed"/>
    <s v="detailed Mining"/>
    <n v="38101.759080000003"/>
    <m/>
    <m/>
    <m/>
    <m/>
    <s v="t"/>
    <n v="138.17277433644946"/>
    <s v="US$/t"/>
    <s v="Volume from EIA. Price from BPSR 2014, and is an average of the American Central Appalachian, Asian and Northwest Europe marker/spot prices."/>
    <n v="5264625.759182605"/>
    <m/>
    <m/>
    <m/>
    <m/>
    <n v="258722.96173044926"/>
    <m/>
    <m/>
    <m/>
    <n v="4.9143656845727822E-2"/>
    <m/>
    <m/>
    <m/>
    <m/>
    <m/>
    <m/>
    <m/>
    <n v="1"/>
    <s v="Vale Mozambique Ltd"/>
    <n v="1"/>
    <m/>
    <m/>
    <m/>
    <m/>
    <s v="26-27"/>
    <m/>
    <m/>
    <m/>
    <m/>
    <m/>
    <m/>
    <m/>
    <m/>
    <m/>
    <m/>
    <m/>
    <m/>
    <m/>
    <m/>
    <m/>
    <m/>
    <m/>
    <m/>
    <m/>
    <m/>
    <m/>
  </r>
  <r>
    <x v="144"/>
    <n v="2008"/>
    <x v="25"/>
    <s v="Africa"/>
    <m/>
    <s v="Mining"/>
    <s v="yes"/>
    <s v="no"/>
    <s v="no"/>
    <s v="Columbite-tantalite concentrate"/>
    <s v="detailed"/>
    <s v="detailed Mining"/>
    <m/>
    <m/>
    <m/>
    <m/>
    <m/>
    <m/>
    <m/>
    <m/>
    <m/>
    <n v="11633526.193689484"/>
    <m/>
    <m/>
    <m/>
    <m/>
    <n v="63640.640599001665"/>
    <m/>
    <m/>
    <m/>
    <n v="5.4704514812991987E-3"/>
    <m/>
    <m/>
    <m/>
    <m/>
    <m/>
    <m/>
    <m/>
    <n v="1"/>
    <s v="HAMC (Highland African Mining Co.)"/>
    <n v="1"/>
    <m/>
    <m/>
    <m/>
    <m/>
    <s v="26-27"/>
    <m/>
    <m/>
    <m/>
    <m/>
    <m/>
    <m/>
    <m/>
    <m/>
    <m/>
    <m/>
    <m/>
    <m/>
    <m/>
    <m/>
    <m/>
    <m/>
    <m/>
    <m/>
    <m/>
    <m/>
    <m/>
  </r>
  <r>
    <x v="144"/>
    <n v="2008"/>
    <x v="25"/>
    <s v="Africa"/>
    <m/>
    <s v="Mining"/>
    <s v="yes"/>
    <s v="no"/>
    <s v="no"/>
    <s v="o/w Gross weight"/>
    <s v="detailed"/>
    <s v="detailed Mining"/>
    <n v="395646"/>
    <m/>
    <m/>
    <m/>
    <m/>
    <s v="kg"/>
    <m/>
    <m/>
    <s v="Volume from USGS Mineral Yearbook 2012"/>
    <m/>
    <m/>
    <m/>
    <m/>
    <m/>
    <m/>
    <m/>
    <m/>
    <m/>
    <m/>
    <m/>
    <m/>
    <m/>
    <m/>
    <m/>
    <m/>
    <m/>
    <m/>
    <m/>
    <m/>
    <m/>
    <m/>
    <m/>
    <m/>
    <m/>
    <m/>
    <m/>
    <m/>
    <m/>
    <m/>
    <m/>
    <m/>
    <m/>
    <m/>
    <m/>
    <m/>
    <m/>
    <m/>
    <m/>
    <m/>
    <m/>
    <m/>
    <m/>
    <m/>
    <m/>
    <m/>
  </r>
  <r>
    <x v="144"/>
    <n v="2008"/>
    <x v="25"/>
    <s v="Africa"/>
    <m/>
    <s v="Mining"/>
    <s v="yes"/>
    <s v="no"/>
    <s v="no"/>
    <s v="o/w Columbium content"/>
    <s v="detailed"/>
    <s v="detailed Mining"/>
    <n v="28"/>
    <m/>
    <m/>
    <m/>
    <m/>
    <s v="t"/>
    <n v="34398"/>
    <s v="US$/t"/>
    <s v="Volume from USGS Mineral Yearbook 2012. Price from USGS Mineral Commodity Summary 2013, and is the price for ferroniobium with 65% columbium content in the US."/>
    <n v="963144"/>
    <m/>
    <m/>
    <m/>
    <m/>
    <m/>
    <m/>
    <m/>
    <m/>
    <m/>
    <m/>
    <m/>
    <m/>
    <m/>
    <m/>
    <m/>
    <m/>
    <m/>
    <m/>
    <m/>
    <m/>
    <m/>
    <m/>
    <m/>
    <m/>
    <m/>
    <m/>
    <m/>
    <m/>
    <m/>
    <m/>
    <m/>
    <m/>
    <m/>
    <m/>
    <m/>
    <m/>
    <m/>
    <m/>
    <m/>
    <m/>
    <m/>
    <m/>
    <m/>
    <m/>
    <m/>
  </r>
  <r>
    <x v="144"/>
    <n v="2008"/>
    <x v="25"/>
    <s v="Africa"/>
    <m/>
    <s v="Mining"/>
    <s v="yes"/>
    <s v="no"/>
    <s v="no"/>
    <s v="o/w Tantalum content"/>
    <s v="detailed"/>
    <s v="detailed Mining"/>
    <n v="110000"/>
    <m/>
    <m/>
    <m/>
    <m/>
    <s v="kg"/>
    <n v="97.003474488086212"/>
    <s v="US$/kg"/>
    <s v="Volume from USGS Mineral Yearbook 2012. Price from USGS Mineral Commodity Summary 2013, and is the price for the Ta2O5 content of tantalite in the US."/>
    <n v="10670382.193689484"/>
    <m/>
    <m/>
    <m/>
    <m/>
    <m/>
    <m/>
    <m/>
    <m/>
    <m/>
    <m/>
    <m/>
    <m/>
    <m/>
    <m/>
    <m/>
    <m/>
    <m/>
    <m/>
    <m/>
    <m/>
    <m/>
    <m/>
    <m/>
    <m/>
    <m/>
    <m/>
    <m/>
    <m/>
    <m/>
    <m/>
    <m/>
    <m/>
    <m/>
    <m/>
    <m/>
    <m/>
    <m/>
    <m/>
    <m/>
    <m/>
    <m/>
    <m/>
    <m/>
    <m/>
    <m/>
  </r>
  <r>
    <x v="144"/>
    <n v="2008"/>
    <x v="25"/>
    <s v="Africa"/>
    <m/>
    <s v="Mining"/>
    <s v="yes"/>
    <s v="no"/>
    <s v="no"/>
    <s v="Gold"/>
    <s v="detailed"/>
    <s v="detailed Mining"/>
    <n v="9580.9214516987886"/>
    <m/>
    <m/>
    <m/>
    <m/>
    <s v="toz"/>
    <n v="871.70725000000004"/>
    <s v="US$/toz"/>
    <s v="Volume from USGS Mineral Yearbook 2012. Price from World Bank (Global Economic Monitor (GEM) Commodities database), and is defined as: Gold (UK), 99.5% fine, London afternoon fixing, average of daily rates."/>
    <n v="8351758.6911263596"/>
    <m/>
    <m/>
    <m/>
    <m/>
    <m/>
    <m/>
    <m/>
    <m/>
    <m/>
    <m/>
    <m/>
    <m/>
    <m/>
    <m/>
    <m/>
    <m/>
    <m/>
    <m/>
    <m/>
    <m/>
    <m/>
    <m/>
    <m/>
    <m/>
    <m/>
    <m/>
    <m/>
    <m/>
    <m/>
    <m/>
    <m/>
    <m/>
    <m/>
    <m/>
    <m/>
    <m/>
    <m/>
    <m/>
    <m/>
    <m/>
    <m/>
    <m/>
    <m/>
    <m/>
    <m/>
  </r>
  <r>
    <x v="144"/>
    <n v="2008"/>
    <x v="25"/>
    <s v="Africa"/>
    <m/>
    <s v="Mining"/>
    <s v="yes"/>
    <s v="no"/>
    <s v="no"/>
    <s v="Titanium minerals &amp; zircon"/>
    <s v="detailed"/>
    <s v="detailed Mining"/>
    <m/>
    <m/>
    <m/>
    <m/>
    <m/>
    <m/>
    <m/>
    <m/>
    <m/>
    <n v="65442330"/>
    <m/>
    <m/>
    <m/>
    <n v="69120.715474209646"/>
    <n v="353360.52412645594"/>
    <m/>
    <m/>
    <m/>
    <n v="1.0562080456825063E-3"/>
    <m/>
    <m/>
    <m/>
    <m/>
    <m/>
    <m/>
    <m/>
    <n v="2"/>
    <s v="Kenmare Moma Mining (Mauritius) Ltd, Rio Tinto Mining and Exploration Mozambique"/>
    <n v="2"/>
    <m/>
    <m/>
    <m/>
    <m/>
    <s v="26-27"/>
    <m/>
    <m/>
    <m/>
    <m/>
    <m/>
    <m/>
    <m/>
    <m/>
    <m/>
    <m/>
    <m/>
    <m/>
    <m/>
    <m/>
    <m/>
    <m/>
    <m/>
    <m/>
    <m/>
    <m/>
    <m/>
  </r>
  <r>
    <x v="144"/>
    <n v="2008"/>
    <x v="25"/>
    <s v="Africa"/>
    <m/>
    <s v="Mining"/>
    <s v="yes"/>
    <s v="no"/>
    <s v="no"/>
    <s v="o/w Ilmenite"/>
    <s v="detailed"/>
    <s v="detailed Mining"/>
    <n v="328875"/>
    <m/>
    <n v="127473.24517804802"/>
    <m/>
    <m/>
    <s v="t"/>
    <n v="111"/>
    <s v="US$/t"/>
    <s v="Volume from USGS Mineral Yearbook 2012. Price from USGS Mineral Commodity Summary 2013, and is the f.o.b. price in Australia for a bulk product with a minimum TiO2 content of 54%."/>
    <n v="36505125"/>
    <m/>
    <m/>
    <m/>
    <m/>
    <m/>
    <m/>
    <m/>
    <m/>
    <m/>
    <m/>
    <m/>
    <m/>
    <m/>
    <m/>
    <m/>
    <m/>
    <m/>
    <m/>
    <m/>
    <m/>
    <m/>
    <m/>
    <m/>
    <n v="32"/>
    <m/>
    <m/>
    <m/>
    <m/>
    <m/>
    <m/>
    <m/>
    <m/>
    <m/>
    <m/>
    <m/>
    <m/>
    <m/>
    <m/>
    <m/>
    <m/>
    <m/>
    <m/>
    <m/>
    <m/>
    <m/>
  </r>
  <r>
    <x v="144"/>
    <n v="2008"/>
    <x v="25"/>
    <s v="Africa"/>
    <m/>
    <s v="Mining"/>
    <s v="yes"/>
    <s v="no"/>
    <s v="no"/>
    <s v="o/w Rutile"/>
    <s v="detailed"/>
    <s v="detailed Mining"/>
    <n v="6552"/>
    <m/>
    <n v="7967.0778236280012"/>
    <m/>
    <m/>
    <s v="t"/>
    <n v="525"/>
    <s v="US$/t"/>
    <s v="Volume from USGS Mineral Yearbook 2012. Price from USGS Mineral Commodity Summary 2013, and is the f.o.b. price in Australia for a bulk product with a minimum TiO2 content of 95%."/>
    <n v="3439800"/>
    <m/>
    <m/>
    <m/>
    <m/>
    <m/>
    <m/>
    <m/>
    <m/>
    <m/>
    <m/>
    <m/>
    <m/>
    <m/>
    <m/>
    <m/>
    <m/>
    <m/>
    <m/>
    <m/>
    <m/>
    <m/>
    <m/>
    <m/>
    <n v="32"/>
    <m/>
    <m/>
    <m/>
    <m/>
    <m/>
    <m/>
    <m/>
    <m/>
    <m/>
    <m/>
    <m/>
    <m/>
    <m/>
    <m/>
    <m/>
    <m/>
    <m/>
    <m/>
    <m/>
    <m/>
    <m/>
  </r>
  <r>
    <x v="144"/>
    <n v="2008"/>
    <x v="25"/>
    <s v="Africa"/>
    <m/>
    <s v="Mining"/>
    <s v="yes"/>
    <s v="no"/>
    <s v="no"/>
    <s v="o/w Zircon"/>
    <s v="detailed"/>
    <s v="detailed Mining"/>
    <n v="32985"/>
    <m/>
    <n v="23901.233470883999"/>
    <m/>
    <m/>
    <s v="t"/>
    <n v="773"/>
    <s v="US$/t"/>
    <s v="Volume from USGS Mineral Yearbook 2012. Price from USGS Mineral Commodity Summary 2013, and is the f.o.b. price for US imports."/>
    <n v="25497405"/>
    <m/>
    <m/>
    <m/>
    <m/>
    <m/>
    <m/>
    <m/>
    <m/>
    <m/>
    <m/>
    <m/>
    <m/>
    <m/>
    <m/>
    <m/>
    <m/>
    <m/>
    <m/>
    <m/>
    <m/>
    <m/>
    <m/>
    <m/>
    <n v="32"/>
    <m/>
    <m/>
    <m/>
    <m/>
    <m/>
    <m/>
    <m/>
    <m/>
    <m/>
    <m/>
    <m/>
    <m/>
    <m/>
    <m/>
    <m/>
    <m/>
    <m/>
    <m/>
    <m/>
    <m/>
    <m/>
  </r>
  <r>
    <x v="145"/>
    <n v="2009"/>
    <x v="25"/>
    <s v="Africa"/>
    <s v="http://www.itie.org.mz"/>
    <s v="Gas, Mining"/>
    <s v="yes"/>
    <s v="yes"/>
    <s v="no"/>
    <s v="Total"/>
    <s v="Total"/>
    <s v="Total Gas, Mining"/>
    <m/>
    <m/>
    <m/>
    <m/>
    <m/>
    <m/>
    <m/>
    <m/>
    <m/>
    <n v="516592806.20477235"/>
    <s v="Profits/Taxes, Royalties, Dividends, Licenses and concessions, Other significant benefits to government"/>
    <s v="Also covers payments made in-kind (though these are only reported for Government)"/>
    <s v="Yes"/>
    <n v="51049678.183363676"/>
    <n v="42568813.472747095"/>
    <m/>
    <m/>
    <m/>
    <n v="9.8819955621155281E-2"/>
    <s v="Mozambique Meticais"/>
    <n v="27.52"/>
    <s v="Disaggregated by revenue stream, Disaggregated by company, Disaggregated by company and revenue stream"/>
    <s v="3,226,666 gigajoules (84,335,369 cubic metres) of gas"/>
    <n v="12163521.635035178"/>
    <m/>
    <m/>
    <n v="36"/>
    <s v="Anadarko Mocambique Area 1 Ltd, Companhia Moçambicana de Hidro-carbonetos Sarl, D N O Asa, Empresa Nacional de Hidrocarbonetos-EP, Eni East Africa S.P.A., Petronas Carigali Mozambique E &amp; P Ltd, Sasol Petroleum Sofala Ltd, Sasol Petroleum Temane Ltd, Wentworth Mocambqiue Petroleos Ltd, Buzi Hydrocarbons, Statoil Ltd, Sasol Petroleum Mocambique Ltd, Rovuma Resources Ltd, Capitol Resources Ltd, Africa Drilling Company -Afrodroll, Twigg Exploration and Mining Ltd, Mozambique Minerals Ltd, Manica Minerals (Moz) Ltd, Opti Metal Trading Mocambique Ltd, Afriminas Minerais Ltd, Riversdale Mocambique Ltd, JWS Natural Resources Mozambique Ltd, Essar Minas de Mocambique Ltd, Rio Tinto Mining and Exploration Ltd, JSPL Mozambique Minerais Ltd, Kenmare Moma Mining Ltd, Cimentos de Mozambique Sarl, AP Capital Ltd, Tantalum Mineracao Prospeccao Ltd, Highland African Mining Company Ltd, Omegacorp Minerais Ltd"/>
    <n v="31"/>
    <s v="March 2012"/>
    <d v="2014-09-26T00:00:00"/>
    <s v="Ernst &amp; Young"/>
    <s v="http://eiti.org/files/Mozambique%202008%20EITI%20Report.pdf"/>
    <s v="7, 36, 42"/>
    <s v="An exchange rate is not provided to convert the figures from the local currency, so that of the World Bank is used (http://data.worldbank.org/indicator/PA.NUS.FCRF). Materiality threshold: all oil &amp; gas companies should be reconciled; mining companies that made a payment of at least 500,000MT and were directly involed in mining activities should be reconciled. The report gives the volumes but not values for the payments in kind. The values are calculated using the relevant commodity price from the BPSR 2014 (detailed below). Unilateral declarations are included in the figures, including unreconciled social payments of US$3,705,376 that companies were asked to voluntarily report on.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70% to Empresa Nactional de Hidrocarbonetos Company (ENH), 20% to the Government of Mozambique and 10% owned by corporate bodies and individuals. ENH is the National Oil Company of Mozambique and is 100% owned by the State. The payment in kind of natural gas is for part of Sasol Petroleum Temane Ltd's royalty obligations."/>
    <m/>
    <m/>
    <m/>
    <m/>
    <m/>
    <m/>
    <m/>
    <m/>
    <m/>
    <m/>
    <m/>
    <m/>
    <m/>
    <m/>
    <m/>
    <m/>
    <m/>
    <m/>
    <m/>
    <m/>
  </r>
  <r>
    <x v="145"/>
    <n v="2009"/>
    <x v="25"/>
    <s v="Africa"/>
    <m/>
    <s v="Gas"/>
    <s v="no"/>
    <s v="yes"/>
    <s v="no"/>
    <s v="Total Gas"/>
    <s v="Total"/>
    <s v="Total Gas"/>
    <n v="2690096000"/>
    <m/>
    <m/>
    <m/>
    <m/>
    <s v="m³"/>
    <n v="0.14422800000000002"/>
    <s v="US$/m³"/>
    <s v="Volume from EIA. Price from BPSR 2014, and is an average of the UK, US and Canada Indices for natural gas."/>
    <n v="387987165.88800007"/>
    <m/>
    <m/>
    <m/>
    <n v="35893646.310907274"/>
    <n v="27165982.621729653"/>
    <m/>
    <m/>
    <m/>
    <n v="9.2512457799360986E-2"/>
    <m/>
    <m/>
    <m/>
    <s v="3,226,666 gigajoules (84,335,369 cubic metres) of gas"/>
    <n v="12163521.635035178"/>
    <m/>
    <m/>
    <n v="12"/>
    <s v="Anadarko Mocambique Area 1 Ltd, Companhia Moçambicana de Hidro-carbonetos Sarl, D N O Asa, Empresa Nacional de Hidrocarbonetos-EP, Eni East Africa S.P.A., Petronas Carigali Mozambique E &amp; P Ltd, Sasol Petroleum Sofala Ltd, Sasol Petroleum Temane Ltd, Wentworth Mocambqiue Petroleos Ltd, Buzi Hydrocarbons, Statoil Ltd, Sasol Petroleum Mocambique Ltd"/>
    <n v="11"/>
    <m/>
    <m/>
    <m/>
    <m/>
    <s v="7, 36, 42"/>
    <m/>
    <m/>
    <m/>
    <m/>
    <m/>
    <m/>
    <m/>
    <m/>
    <m/>
    <m/>
    <m/>
    <m/>
    <m/>
    <m/>
    <m/>
    <m/>
    <m/>
    <m/>
    <m/>
    <m/>
    <m/>
  </r>
  <r>
    <x v="145"/>
    <n v="2009"/>
    <x v="25"/>
    <s v="Africa"/>
    <m/>
    <s v="Mining"/>
    <s v="yes"/>
    <s v="no"/>
    <s v="no"/>
    <s v="Total Mining"/>
    <s v="Total"/>
    <s v="Total Mining"/>
    <m/>
    <m/>
    <m/>
    <m/>
    <m/>
    <m/>
    <m/>
    <m/>
    <m/>
    <n v="128605640.31677231"/>
    <m/>
    <m/>
    <m/>
    <n v="15156031.872456396"/>
    <n v="15402830.851017442"/>
    <m/>
    <m/>
    <m/>
    <n v="0.11784888932651111"/>
    <m/>
    <m/>
    <m/>
    <m/>
    <m/>
    <m/>
    <m/>
    <n v="24"/>
    <s v="Rovuma Resources Ltd, Capitol Resources Ltd, Africa Drilling Company -Afrodroll, Twigg Exploration and Mining Ltd, Mozambique Minerals Ltd, Manica Minerals (Moz) Ltd, Opti Metal Trading Mocambique Ltd, Afriminas Minerais Ltd, Rio Doce Mocambique/Vale, Riversdale Mocambique Ltd, JWS Natural Resources Mozambique Ltd, Minas Moatize Ltd, Eta Star Mozambique SA, Essar Minas de Mocambique Ltd, Rio Tinto Mining and Exploration Ltd, JSPL Mozambique Minerais Ltd, Kenmare Moma Mining Ltd, Cimentos de Mozambique Sarl, AP Capital Ltd, Grinaker Mocambique Ltd, Acosterras Mocambique Ltd, Tantalum Mineracao Prospeccao Ltd, Highland African Mining Company Ltd, Omegacorp Minerais Ltd"/>
    <n v="20"/>
    <m/>
    <m/>
    <m/>
    <m/>
    <s v="7, 42"/>
    <m/>
    <m/>
    <m/>
    <m/>
    <m/>
    <m/>
    <m/>
    <m/>
    <m/>
    <m/>
    <m/>
    <m/>
    <m/>
    <m/>
    <m/>
    <m/>
    <m/>
    <m/>
    <m/>
    <m/>
    <m/>
  </r>
  <r>
    <x v="145"/>
    <n v="2009"/>
    <x v="25"/>
    <s v="Africa"/>
    <m/>
    <s v="Mining"/>
    <s v="yes"/>
    <s v="no"/>
    <s v="no"/>
    <s v="Coal"/>
    <s v="detailed"/>
    <s v="detailed Mining"/>
    <n v="38101.759080000003"/>
    <m/>
    <m/>
    <m/>
    <m/>
    <s v="t"/>
    <n v="72.516709165814987"/>
    <s v="US$/t"/>
    <s v="Volume from EIA. Price from BPSR 2014, and is an average of the American Central Appalachian, Asian and Northwest Europe marker/spot prices."/>
    <n v="2763014.1819103109"/>
    <m/>
    <m/>
    <m/>
    <m/>
    <m/>
    <m/>
    <m/>
    <m/>
    <m/>
    <m/>
    <m/>
    <m/>
    <m/>
    <m/>
    <m/>
    <m/>
    <m/>
    <m/>
    <m/>
    <m/>
    <m/>
    <m/>
    <m/>
    <m/>
    <m/>
    <m/>
    <m/>
    <m/>
    <m/>
    <m/>
    <m/>
    <m/>
    <m/>
    <m/>
    <m/>
    <m/>
    <m/>
    <m/>
    <m/>
    <m/>
    <m/>
    <m/>
    <m/>
    <m/>
    <m/>
  </r>
  <r>
    <x v="145"/>
    <n v="2009"/>
    <x v="25"/>
    <s v="Africa"/>
    <m/>
    <s v="Mining"/>
    <s v="yes"/>
    <s v="no"/>
    <s v="no"/>
    <s v="Columbite-tantalite concentrate"/>
    <s v="detailed"/>
    <s v="detailed Mining"/>
    <m/>
    <m/>
    <m/>
    <m/>
    <m/>
    <m/>
    <m/>
    <m/>
    <m/>
    <n v="11046544.379230674"/>
    <m/>
    <m/>
    <m/>
    <n v="59498.671875000007"/>
    <n v="57568.917151162794"/>
    <m/>
    <m/>
    <m/>
    <n v="5.3861795899600353E-3"/>
    <m/>
    <m/>
    <m/>
    <m/>
    <m/>
    <m/>
    <m/>
    <m/>
    <m/>
    <m/>
    <m/>
    <m/>
    <m/>
    <m/>
    <n v="8"/>
    <m/>
    <m/>
    <m/>
    <m/>
    <m/>
    <m/>
    <m/>
    <m/>
    <m/>
    <m/>
    <m/>
    <m/>
    <m/>
    <m/>
    <m/>
    <m/>
    <m/>
    <m/>
    <m/>
    <m/>
    <m/>
  </r>
  <r>
    <x v="145"/>
    <n v="2009"/>
    <x v="25"/>
    <s v="Africa"/>
    <m/>
    <s v="Mining"/>
    <s v="yes"/>
    <s v="no"/>
    <s v="no"/>
    <s v="o/w Gross weight"/>
    <s v="detailed"/>
    <s v="detailed Mining"/>
    <n v="404668"/>
    <m/>
    <m/>
    <m/>
    <m/>
    <s v="kg"/>
    <m/>
    <m/>
    <s v="Volume from USGS Mineral Yearbook 2012"/>
    <m/>
    <m/>
    <m/>
    <m/>
    <m/>
    <m/>
    <m/>
    <m/>
    <m/>
    <m/>
    <m/>
    <m/>
    <m/>
    <m/>
    <m/>
    <m/>
    <m/>
    <m/>
    <m/>
    <m/>
    <m/>
    <m/>
    <m/>
    <m/>
    <m/>
    <m/>
    <m/>
    <m/>
    <m/>
    <m/>
    <m/>
    <m/>
    <m/>
    <m/>
    <m/>
    <m/>
    <m/>
    <m/>
    <m/>
    <m/>
    <m/>
    <m/>
    <m/>
    <m/>
    <m/>
    <m/>
  </r>
  <r>
    <x v="145"/>
    <n v="2009"/>
    <x v="25"/>
    <s v="Africa"/>
    <m/>
    <s v="Mining"/>
    <s v="yes"/>
    <s v="no"/>
    <s v="no"/>
    <s v="o/w Columbium content"/>
    <s v="detailed"/>
    <s v="detailed Mining"/>
    <n v="29"/>
    <m/>
    <m/>
    <m/>
    <m/>
    <s v="t"/>
    <n v="37298"/>
    <s v="US$/t"/>
    <s v="Volume from USGS Mineral Yearbook 2012. Price from USGS Mineral Commodity Summary 2013, and is the price for ferroniobium with 65% columbium content in the US."/>
    <n v="1081642"/>
    <m/>
    <m/>
    <m/>
    <m/>
    <m/>
    <m/>
    <m/>
    <m/>
    <m/>
    <m/>
    <m/>
    <m/>
    <m/>
    <m/>
    <m/>
    <m/>
    <m/>
    <m/>
    <m/>
    <m/>
    <m/>
    <m/>
    <m/>
    <m/>
    <m/>
    <m/>
    <m/>
    <m/>
    <m/>
    <m/>
    <m/>
    <m/>
    <m/>
    <m/>
    <m/>
    <m/>
    <m/>
    <m/>
    <m/>
    <m/>
    <m/>
    <m/>
    <m/>
    <m/>
    <m/>
  </r>
  <r>
    <x v="145"/>
    <n v="2009"/>
    <x v="25"/>
    <s v="Africa"/>
    <m/>
    <s v="Mining"/>
    <s v="yes"/>
    <s v="no"/>
    <s v="no"/>
    <s v="o/w Tantalum content"/>
    <s v="detailed"/>
    <s v="detailed Mining"/>
    <n v="113000"/>
    <m/>
    <m/>
    <m/>
    <m/>
    <s v="kg"/>
    <n v="88.184976807351106"/>
    <s v="US$/kg"/>
    <s v="Volume from USGS Mineral Yearbook 2012. Price from USGS Mineral Commodity Summary 2013, and is the price for the Ta2O5 content of tantalite in the US."/>
    <n v="9964902.3792306744"/>
    <m/>
    <m/>
    <m/>
    <m/>
    <m/>
    <m/>
    <m/>
    <m/>
    <m/>
    <m/>
    <m/>
    <m/>
    <m/>
    <m/>
    <m/>
    <m/>
    <m/>
    <m/>
    <m/>
    <m/>
    <m/>
    <m/>
    <m/>
    <m/>
    <m/>
    <m/>
    <m/>
    <m/>
    <m/>
    <m/>
    <m/>
    <m/>
    <m/>
    <m/>
    <m/>
    <m/>
    <m/>
    <m/>
    <m/>
    <m/>
    <m/>
    <m/>
    <m/>
    <m/>
    <m/>
  </r>
  <r>
    <x v="145"/>
    <n v="2009"/>
    <x v="25"/>
    <s v="Africa"/>
    <m/>
    <s v="Mining"/>
    <s v="yes"/>
    <s v="no"/>
    <s v="no"/>
    <s v="Gold"/>
    <s v="detailed"/>
    <s v="detailed Mining"/>
    <n v="16429.029737644567"/>
    <m/>
    <m/>
    <m/>
    <m/>
    <s v="toz"/>
    <n v="972.96591666666995"/>
    <s v="US$/toz"/>
    <s v="Volume from USGS Mineral Yearbook 2012. Price from World Bank (Global Economic Monitor (GEM) Commodities database), and is defined as: Gold (UK), 99.5% fine, London afternoon fixing, average of daily rates."/>
    <n v="15984885.978631327"/>
    <m/>
    <m/>
    <m/>
    <m/>
    <m/>
    <m/>
    <m/>
    <m/>
    <m/>
    <m/>
    <m/>
    <m/>
    <m/>
    <m/>
    <m/>
    <m/>
    <m/>
    <m/>
    <m/>
    <m/>
    <m/>
    <m/>
    <m/>
    <m/>
    <m/>
    <m/>
    <m/>
    <m/>
    <m/>
    <m/>
    <m/>
    <m/>
    <m/>
    <m/>
    <m/>
    <m/>
    <m/>
    <m/>
    <m/>
    <m/>
    <m/>
    <m/>
    <m/>
    <m/>
    <m/>
  </r>
  <r>
    <x v="145"/>
    <n v="2009"/>
    <x v="25"/>
    <s v="Africa"/>
    <m/>
    <s v="Mining"/>
    <s v="yes"/>
    <s v="no"/>
    <s v="no"/>
    <s v="Limestone"/>
    <s v="detailed"/>
    <s v="detailed Mining"/>
    <n v="234135"/>
    <m/>
    <m/>
    <m/>
    <m/>
    <s v="t"/>
    <n v="8.8699999999999992"/>
    <s v="US$/t"/>
    <s v="Volume from USGS Mineral Yearbook 2012. Price from USGS Mineral Yearbook 2009, and is the price in the US for crushed limestone."/>
    <n v="2076777.4499999997"/>
    <m/>
    <m/>
    <m/>
    <n v="3497368.7441860465"/>
    <n v="3425003.9825581396"/>
    <m/>
    <m/>
    <m/>
    <n v="1.6840363632540631"/>
    <m/>
    <m/>
    <m/>
    <m/>
    <m/>
    <m/>
    <m/>
    <m/>
    <m/>
    <m/>
    <m/>
    <m/>
    <m/>
    <m/>
    <s v="8, 42"/>
    <m/>
    <m/>
    <m/>
    <m/>
    <m/>
    <m/>
    <m/>
    <m/>
    <m/>
    <m/>
    <m/>
    <m/>
    <m/>
    <m/>
    <m/>
    <m/>
    <m/>
    <m/>
    <m/>
    <m/>
    <m/>
  </r>
  <r>
    <x v="145"/>
    <n v="2009"/>
    <x v="25"/>
    <s v="Africa"/>
    <m/>
    <s v="Mining"/>
    <s v="yes"/>
    <s v="no"/>
    <s v="no"/>
    <s v="Sand"/>
    <s v="detailed"/>
    <s v="detailed Mining"/>
    <n v="1260492"/>
    <m/>
    <m/>
    <m/>
    <m/>
    <s v="t"/>
    <n v="7.57"/>
    <s v="US$/t"/>
    <s v="Volume from USGS Mineral Yearbook 2012. Price from USGS Mineral Yearbook 2009, and is the price in the US for construction sand and gravel."/>
    <n v="9541924.4399999995"/>
    <m/>
    <m/>
    <m/>
    <m/>
    <m/>
    <m/>
    <m/>
    <m/>
    <m/>
    <m/>
    <m/>
    <m/>
    <m/>
    <m/>
    <m/>
    <m/>
    <m/>
    <m/>
    <m/>
    <m/>
    <m/>
    <m/>
    <m/>
    <m/>
    <m/>
    <m/>
    <m/>
    <m/>
    <m/>
    <m/>
    <m/>
    <m/>
    <m/>
    <m/>
    <m/>
    <m/>
    <m/>
    <m/>
    <m/>
    <m/>
    <m/>
    <m/>
    <m/>
    <m/>
    <m/>
  </r>
  <r>
    <x v="145"/>
    <n v="2009"/>
    <x v="25"/>
    <s v="Africa"/>
    <m/>
    <s v="Mining"/>
    <s v="yes"/>
    <s v="no"/>
    <s v="no"/>
    <s v="Stone"/>
    <s v="detailed"/>
    <s v="detailed Mining"/>
    <m/>
    <m/>
    <m/>
    <m/>
    <m/>
    <m/>
    <m/>
    <m/>
    <m/>
    <n v="33878593.886999995"/>
    <m/>
    <m/>
    <m/>
    <n v="3541557.8942587208"/>
    <n v="3472546.9385901163"/>
    <m/>
    <m/>
    <m/>
    <n v="0.10453674394136231"/>
    <m/>
    <m/>
    <m/>
    <m/>
    <m/>
    <m/>
    <m/>
    <m/>
    <m/>
    <m/>
    <m/>
    <m/>
    <m/>
    <m/>
    <n v="8"/>
    <m/>
    <m/>
    <m/>
    <m/>
    <m/>
    <m/>
    <m/>
    <m/>
    <m/>
    <m/>
    <m/>
    <m/>
    <m/>
    <m/>
    <m/>
    <m/>
    <m/>
    <m/>
    <m/>
    <m/>
    <m/>
  </r>
  <r>
    <x v="145"/>
    <n v="2009"/>
    <x v="25"/>
    <s v="Africa"/>
    <m/>
    <s v="Mining"/>
    <s v="yes"/>
    <s v="no"/>
    <s v="no"/>
    <s v="o/w Granite"/>
    <s v="detailed"/>
    <s v="detailed Mining"/>
    <n v="577.5"/>
    <m/>
    <m/>
    <m/>
    <m/>
    <s v="t"/>
    <n v="12.2"/>
    <s v="US$/t"/>
    <s v="Volume from USGS Mineral Yearbook 2012. Price from USGS Mineral Yearbook 2009, and is the price in the US for crushed granite."/>
    <n v="7045.5"/>
    <m/>
    <m/>
    <m/>
    <m/>
    <m/>
    <m/>
    <m/>
    <m/>
    <m/>
    <m/>
    <m/>
    <m/>
    <m/>
    <m/>
    <m/>
    <m/>
    <m/>
    <m/>
    <m/>
    <m/>
    <m/>
    <m/>
    <m/>
    <m/>
    <m/>
    <m/>
    <m/>
    <m/>
    <m/>
    <m/>
    <m/>
    <m/>
    <m/>
    <m/>
    <m/>
    <m/>
    <m/>
    <m/>
    <m/>
    <m/>
    <m/>
    <m/>
    <m/>
    <m/>
    <m/>
  </r>
  <r>
    <x v="145"/>
    <n v="2009"/>
    <x v="25"/>
    <s v="Africa"/>
    <m/>
    <s v="Mining"/>
    <s v="yes"/>
    <s v="no"/>
    <s v="no"/>
    <s v="o/w Gravel &amp; crushed rock"/>
    <s v="detailed"/>
    <s v="detailed Mining"/>
    <n v="4473101.5999999996"/>
    <m/>
    <m/>
    <m/>
    <m/>
    <s v="t"/>
    <n v="7.57"/>
    <s v="US$/t"/>
    <s v="Volume from USGS Mineral Yearbook 2012. Price from USGS Mineral Yearbook 2009, and is the price in the US for construction sand and gravel."/>
    <n v="33861379.111999996"/>
    <m/>
    <m/>
    <m/>
    <m/>
    <m/>
    <m/>
    <m/>
    <m/>
    <m/>
    <m/>
    <m/>
    <m/>
    <m/>
    <m/>
    <m/>
    <m/>
    <m/>
    <m/>
    <m/>
    <m/>
    <m/>
    <m/>
    <m/>
    <m/>
    <m/>
    <m/>
    <m/>
    <m/>
    <m/>
    <m/>
    <m/>
    <m/>
    <m/>
    <m/>
    <m/>
    <m/>
    <m/>
    <m/>
    <m/>
    <m/>
    <m/>
    <m/>
    <m/>
    <m/>
    <m/>
  </r>
  <r>
    <x v="145"/>
    <n v="2009"/>
    <x v="25"/>
    <s v="Africa"/>
    <m/>
    <s v="Mining"/>
    <s v="yes"/>
    <s v="no"/>
    <s v="no"/>
    <s v="o/w Marble"/>
    <s v="detailed"/>
    <s v="detailed Mining"/>
    <n v="677.5"/>
    <m/>
    <m/>
    <m/>
    <m/>
    <s v="t"/>
    <n v="15.01"/>
    <s v="US$/t"/>
    <s v="Volume from USGS Mineral Yearbook 2012. Price from USGS Mineral Yearbook 2009, and is the price in the US for crushed marble."/>
    <n v="10169.275"/>
    <m/>
    <m/>
    <m/>
    <m/>
    <m/>
    <m/>
    <m/>
    <m/>
    <m/>
    <m/>
    <m/>
    <m/>
    <m/>
    <m/>
    <m/>
    <m/>
    <m/>
    <m/>
    <m/>
    <m/>
    <m/>
    <m/>
    <m/>
    <m/>
    <m/>
    <m/>
    <m/>
    <m/>
    <m/>
    <m/>
    <m/>
    <m/>
    <m/>
    <m/>
    <m/>
    <m/>
    <m/>
    <m/>
    <m/>
    <m/>
    <m/>
    <m/>
    <m/>
    <m/>
    <m/>
  </r>
  <r>
    <x v="145"/>
    <n v="2009"/>
    <x v="25"/>
    <s v="Africa"/>
    <m/>
    <s v="Mining"/>
    <s v="yes"/>
    <s v="no"/>
    <s v="no"/>
    <s v="Titanium minerals &amp; zircon"/>
    <s v="detailed"/>
    <s v="detailed Mining"/>
    <m/>
    <m/>
    <m/>
    <m/>
    <m/>
    <m/>
    <m/>
    <m/>
    <m/>
    <n v="53313900"/>
    <m/>
    <m/>
    <m/>
    <n v="3319897.2100290698"/>
    <n v="3640703.5367005812"/>
    <m/>
    <m/>
    <m/>
    <n v="6.22707625971664E-2"/>
    <m/>
    <m/>
    <m/>
    <m/>
    <m/>
    <m/>
    <m/>
    <m/>
    <m/>
    <m/>
    <m/>
    <m/>
    <m/>
    <m/>
    <s v="8, 42"/>
    <m/>
    <m/>
    <m/>
    <m/>
    <m/>
    <m/>
    <m/>
    <m/>
    <m/>
    <m/>
    <m/>
    <m/>
    <m/>
    <m/>
    <m/>
    <m/>
    <m/>
    <m/>
    <m/>
    <m/>
    <m/>
  </r>
  <r>
    <x v="145"/>
    <n v="2009"/>
    <x v="25"/>
    <s v="Africa"/>
    <m/>
    <s v="Mining"/>
    <s v="yes"/>
    <s v="no"/>
    <s v="no"/>
    <s v="o/w Ilmenite"/>
    <s v="detailed"/>
    <s v="detailed Mining"/>
    <n v="471500"/>
    <m/>
    <m/>
    <m/>
    <m/>
    <s v="t"/>
    <n v="73"/>
    <s v="US$/t"/>
    <s v="Volume from USGS Mineral Yearbook 2012. Price from USGS Mineral Commodity Summary 2013, and is the f.o.b. price in Australia for a bulk product with a minimum TiO2 content of 54%."/>
    <n v="34419500"/>
    <m/>
    <m/>
    <m/>
    <m/>
    <m/>
    <m/>
    <m/>
    <m/>
    <m/>
    <m/>
    <m/>
    <m/>
    <m/>
    <m/>
    <m/>
    <m/>
    <m/>
    <m/>
    <m/>
    <m/>
    <m/>
    <m/>
    <m/>
    <m/>
    <m/>
    <m/>
    <m/>
    <m/>
    <m/>
    <m/>
    <m/>
    <m/>
    <m/>
    <m/>
    <m/>
    <m/>
    <m/>
    <m/>
    <m/>
    <m/>
    <m/>
    <m/>
    <m/>
    <m/>
    <m/>
  </r>
  <r>
    <x v="145"/>
    <n v="2009"/>
    <x v="25"/>
    <s v="Africa"/>
    <m/>
    <s v="Mining"/>
    <s v="yes"/>
    <s v="no"/>
    <s v="no"/>
    <s v="o/w Rutile"/>
    <s v="detailed"/>
    <s v="detailed Mining"/>
    <n v="1800"/>
    <m/>
    <m/>
    <m/>
    <m/>
    <s v="t"/>
    <n v="533"/>
    <s v="US$/t"/>
    <s v="Volume from USGS Mineral Yearbook 2012. Price from USGS Mineral Commodity Summary 2013, and is the f.o.b. price in Australia for a bulk product with a minimum TiO2 content of 95%."/>
    <n v="959400"/>
    <m/>
    <m/>
    <m/>
    <m/>
    <m/>
    <m/>
    <m/>
    <m/>
    <m/>
    <m/>
    <m/>
    <m/>
    <m/>
    <m/>
    <m/>
    <m/>
    <m/>
    <m/>
    <m/>
    <m/>
    <m/>
    <m/>
    <m/>
    <m/>
    <m/>
    <m/>
    <m/>
    <m/>
    <m/>
    <m/>
    <m/>
    <m/>
    <m/>
    <m/>
    <m/>
    <m/>
    <m/>
    <m/>
    <m/>
    <m/>
    <m/>
    <m/>
    <m/>
    <m/>
    <m/>
  </r>
  <r>
    <x v="145"/>
    <n v="2009"/>
    <x v="25"/>
    <s v="Africa"/>
    <m/>
    <s v="Mining"/>
    <s v="yes"/>
    <s v="no"/>
    <s v="no"/>
    <s v="o/w Zircon"/>
    <s v="detailed"/>
    <s v="detailed Mining"/>
    <n v="21100"/>
    <m/>
    <m/>
    <m/>
    <m/>
    <s v="t"/>
    <n v="850"/>
    <s v="US$/t"/>
    <s v="Volume from USGS Mineral Yearbook 2012. Price from USGS Mineral Commodity Summary 2013, and is the f.o.b. price for US imports."/>
    <n v="17935000"/>
    <m/>
    <m/>
    <m/>
    <m/>
    <m/>
    <m/>
    <m/>
    <m/>
    <m/>
    <m/>
    <m/>
    <m/>
    <m/>
    <m/>
    <m/>
    <m/>
    <m/>
    <m/>
    <m/>
    <m/>
    <m/>
    <m/>
    <m/>
    <m/>
    <m/>
    <m/>
    <m/>
    <m/>
    <m/>
    <m/>
    <m/>
    <m/>
    <m/>
    <m/>
    <m/>
    <m/>
    <m/>
    <m/>
    <m/>
    <m/>
    <m/>
    <m/>
    <m/>
    <m/>
    <m/>
  </r>
  <r>
    <x v="145"/>
    <n v="2009"/>
    <x v="25"/>
    <s v="Africa"/>
    <m/>
    <s v="Mining"/>
    <s v="yes"/>
    <s v="no"/>
    <s v="no"/>
    <s v="Uranium"/>
    <s v="detailed"/>
    <s v="detailed Mining"/>
    <m/>
    <m/>
    <m/>
    <m/>
    <m/>
    <m/>
    <m/>
    <m/>
    <m/>
    <m/>
    <m/>
    <m/>
    <m/>
    <n v="142436.74091569768"/>
    <n v="148025.52398255814"/>
    <m/>
    <m/>
    <m/>
    <m/>
    <m/>
    <m/>
    <m/>
    <m/>
    <m/>
    <m/>
    <m/>
    <m/>
    <m/>
    <m/>
    <m/>
    <m/>
    <m/>
    <m/>
    <n v="8"/>
    <s v="This commodity is not mentioned in the USGS Mineral Yearbook 2012."/>
    <m/>
    <m/>
    <m/>
    <m/>
    <m/>
    <m/>
    <m/>
    <m/>
    <m/>
    <m/>
    <m/>
    <m/>
    <m/>
    <m/>
    <m/>
    <m/>
    <m/>
    <m/>
    <m/>
    <m/>
  </r>
  <r>
    <x v="146"/>
    <n v="2010"/>
    <x v="25"/>
    <s v="Africa"/>
    <s v="http://www.itie.org.mz"/>
    <s v="Oil, Gas, Mining"/>
    <s v="yes"/>
    <s v="yes"/>
    <s v="yes"/>
    <s v="Total"/>
    <s v="Total"/>
    <s v="Total Oil, Gas, Mining"/>
    <m/>
    <m/>
    <m/>
    <m/>
    <m/>
    <m/>
    <m/>
    <m/>
    <m/>
    <n v="648334336.97330093"/>
    <s v="Profits/Taxes, Royalties, Licenses and concessions, Other significant benefits to government"/>
    <s v="Also covers payments made in-kind (though these are only reported for Government)"/>
    <s v="Yes"/>
    <n v="71555872.336879551"/>
    <n v="56324644.57037691"/>
    <m/>
    <m/>
    <m/>
    <n v="0.11036878390697714"/>
    <s v="Mozambique Meticais"/>
    <n v="33.96"/>
    <s v="Disaggregated by revenue stream, Disaggregated by company, Disaggregated by company and revenue stream"/>
    <s v="3,249,722 gigajoules (84,937,984 cubic metres) of gas"/>
    <n v="14788359.88369935"/>
    <m/>
    <m/>
    <n v="46"/>
    <s v="Anadarko Mocambique Area 1 Ltd, Buzi Hydrocarbons, Companhia Moçambicana de Hidro-carbonetos Sarl, Empresa Nacional de Hidrocarbonetos-EP, Eni East Africa S.P.A., Petronas Carigali Mozambique E &amp; P Ltd, Sasol Petroleum M-10 Ltd, Sasol Petroleum Mocambique Ltd, Sasol Petroleum Sengala Ltd, Sasol Petroleum Sofala Ltd, Sasol Petroleum Temane Ltd, Statoil, Acosterras Mocambique Ltd, Africa Great Wall Mining Development Company Ltd, Afrifocus Reosuces Ltd, Afriminas Minerais Ltd, Biworld International Ltd, Capitol Resources Ltd, Companhia Carvoeira de Samoa Ltd, Enrc Mozambique Ltd, Essar Minas de Mocambique Ltd, Eta Star Mozambique SA, Global Mineral Resources (Mozambique) Ltd, Highland African Mining Company Ltd, JSPL Mozambique Minerais Ltd, JWS Natural Resources Mozambique Ltd, Kenmare Moma Mining Ltd, Magmas de Mocambique Ltd, Manica Lands Corporation Ltd, Midwest Africa Ltd, Mimoc - Minerais Industrias de Mocambique Ltd, Minas Moatize Ltd, Mozambqiue Gems Ltd, Mozambique Minerals Ltd, Omegacorp Minerais Ltd, Patel Mining Concession Ltd, Rio Tinto Benga Ltd, Rio TInto Changarra Ltd, Rio Tinto Zambeze Ltd, Rio Tinto Mining and Exploration Ltd, Rovuma Resources Ltd, Tantalum Mineracao Prospeccao Ltd, Twigg Exploration and Mining Ltd, Vale Mocambique, Vale Projectos e Desenvolvimento Mocambique Ltd, Zambezi Energy Corporation Ltd/Nconcdezi Coal Company Mozambique Ltd"/>
    <n v="44"/>
    <s v="December 2012"/>
    <d v="2014-09-26T00:00:00"/>
    <s v="Ernst &amp; Young"/>
    <s v="http://eiti.org/files/Mozambique-2010-EITI-Report.pdf"/>
    <s v="9, 41"/>
    <s v="An exchange rate is not provided to convert the figures from the local currency, so that of the World Bank is used (http://data.worldbank.org/indicator/PA.NUS.FCRF). Materiality threshold: all oil &amp; gas companies should be reconciled; mining companies that made a payment of at least 500,000MT and were directly involed in mining activities should be reconciled. The report gives the volumes but not values for the payments in kind. The values are calculated using the relevant commodity price from the BPSR 2014 (detailed below). Unilateral declarations are not included in the figures.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70% to Empresa Nactional de Hidrocarbonetos Company (ENH), 20% to the Government of Mozambique and 10% owned by corporate bodies and individuals. ENH is the National Oil Company of Mozambique and is 100% owned by the State. The payment in kind of natural gas is part of Sasol Petroleum Temane Ltd's royalty obligations. The payment in kind of natural gas is for part of Sasol Petroleum Temane Ltd's royalty obligations."/>
    <m/>
    <m/>
    <m/>
    <m/>
    <m/>
    <m/>
    <m/>
    <m/>
    <m/>
    <m/>
    <m/>
    <m/>
    <m/>
    <m/>
    <m/>
    <m/>
    <m/>
    <m/>
    <m/>
    <m/>
  </r>
  <r>
    <x v="146"/>
    <n v="2010"/>
    <x v="25"/>
    <s v="Africa"/>
    <m/>
    <s v="Oil, Gas"/>
    <s v="no"/>
    <s v="yes"/>
    <s v="yes"/>
    <s v="Total Oil &amp; Gas"/>
    <s v="Total"/>
    <s v="Total Oil, Gas"/>
    <n v="3114848000"/>
    <m/>
    <m/>
    <m/>
    <m/>
    <s v="m³"/>
    <n v="0.1741077336927683"/>
    <s v="US$/m³"/>
    <s v="Volume from EIA. Price from BPSR 2014, and is an average of the UK, US and Canada Indices for natural gas."/>
    <n v="542319126.07745194"/>
    <m/>
    <m/>
    <m/>
    <n v="54212814.95201505"/>
    <n v="39414082.765606597"/>
    <s v="100% of production value &amp; revenue"/>
    <n v="54212814.95201505"/>
    <s v="Inferred from EITI Report"/>
    <n v="9.9964785207063825E-2"/>
    <m/>
    <m/>
    <m/>
    <s v="3,249,722 gigajoules (84,937,984 cubic metres) of gas"/>
    <n v="14788359.88369935"/>
    <m/>
    <m/>
    <n v="12"/>
    <s v="Anadarko Mocambique Area 1 Ltd, Buzi Hydrocarbons, Companhia Moçambicana de Hidro-carbonetos Sarl, Empresa Nacional de Hidrocarbonetos-EP, Eni East Africa S.P.A., Petronas Carigali Mozambique E &amp; P Ltd, Sasol Petroleum M-10 Ltd, Sasol Petroleum Mocambique Ltd, Sasol Petroleum Sengala Ltd, Sasol Petroleum Sofala Ltd, Sasol Petroleum Temane Ltd, Statoil"/>
    <n v="12"/>
    <m/>
    <m/>
    <m/>
    <m/>
    <s v="9, 41"/>
    <m/>
    <m/>
    <m/>
    <m/>
    <m/>
    <m/>
    <m/>
    <m/>
    <m/>
    <m/>
    <m/>
    <m/>
    <m/>
    <m/>
    <m/>
    <m/>
    <m/>
    <m/>
    <m/>
    <m/>
    <m/>
  </r>
  <r>
    <x v="146"/>
    <n v="2010"/>
    <x v="25"/>
    <s v="Africa"/>
    <m/>
    <s v="Mining"/>
    <s v="yes"/>
    <s v="no"/>
    <s v="no"/>
    <s v="Total Mining"/>
    <s v="Total"/>
    <s v="Total Mining"/>
    <m/>
    <m/>
    <m/>
    <m/>
    <m/>
    <m/>
    <m/>
    <m/>
    <m/>
    <n v="106015210.89584905"/>
    <m/>
    <m/>
    <m/>
    <n v="17343057.384864546"/>
    <n v="16910561.804770317"/>
    <m/>
    <m/>
    <m/>
    <n v="0.16359027387025271"/>
    <m/>
    <m/>
    <m/>
    <m/>
    <m/>
    <m/>
    <m/>
    <n v="34"/>
    <s v="Acosterras Mocambique Ltd, Africa Great Wall Mining Development Company Ltd, Afrifocus Reosuces Ltd, Afriminas Minerais Ltd, Biworld International Ltd, Capitol Resources Ltd, Companhia Carvoeira de Samoa Ltd, Enrc Mozambique Ltd, Essar Minas de Mocambique Ltd, Eta Star Mozambique SA, Global Mineral Resources (Mozambique) Ltd, Highland African Mining Company Ltd, JSPL Mozambique Minerais Ltd, JWS Natural Resources Mozambique Ltd, Kenmare Moma Mining Ltd, Magmas de Mocambique Ltd, Manica Lands Corporation Ltd, Midwest Africa Ltd, Mimoc - Minerais Industrias de Mocambique Ltd, Minas Moatize Ltd, Mozambqiue Gems Ltd, Mozambique Minerals Ltd, Omegacorp Minerais Ltd, Patel Mining Concession Ltd, Rio Tinto Benga Ltd, Rio TInto Changarra Ltd, Rio Tinto Zambeze Ltd, Rio Tinto Mining and Exploration Ltd, Rovuma Resources Ltd, Tantalum Mineracao Prospeccao Ltd, Twigg Exploration and Mining Ltd, Vale Mocambique, Vale Projectos e Desenvolvimento Mocambique Ltd, Zambezi Energy Corporation Ltd/Nconcdezi Coal Company Mozambique Ltd"/>
    <n v="32"/>
    <m/>
    <m/>
    <m/>
    <m/>
    <s v="9, 41"/>
    <m/>
    <m/>
    <m/>
    <m/>
    <m/>
    <m/>
    <m/>
    <m/>
    <m/>
    <m/>
    <m/>
    <m/>
    <m/>
    <m/>
    <m/>
    <m/>
    <m/>
    <m/>
    <m/>
    <m/>
    <m/>
  </r>
  <r>
    <x v="146"/>
    <n v="2010"/>
    <x v="25"/>
    <s v="Africa"/>
    <m/>
    <s v="Mining"/>
    <s v="yes"/>
    <s v="no"/>
    <s v="no"/>
    <s v="Coal"/>
    <s v="detailed"/>
    <s v="detailed Mining"/>
    <n v="38101.759080000003"/>
    <m/>
    <m/>
    <m/>
    <m/>
    <s v="t"/>
    <n v="89.852021850427363"/>
    <s v="US$/t"/>
    <s v="Volume from EIA. Price from BPSR 2014, and is an average of the American Central Appalachian, Asian and Northwest Europe marker/spot prices."/>
    <n v="3423520.0893958793"/>
    <m/>
    <m/>
    <m/>
    <m/>
    <m/>
    <m/>
    <m/>
    <m/>
    <m/>
    <m/>
    <m/>
    <m/>
    <m/>
    <m/>
    <m/>
    <m/>
    <m/>
    <m/>
    <m/>
    <m/>
    <m/>
    <m/>
    <m/>
    <m/>
    <m/>
    <m/>
    <m/>
    <m/>
    <m/>
    <m/>
    <m/>
    <m/>
    <m/>
    <m/>
    <m/>
    <m/>
    <m/>
    <m/>
    <m/>
    <m/>
    <m/>
    <m/>
    <m/>
    <m/>
    <m/>
  </r>
  <r>
    <x v="146"/>
    <n v="2010"/>
    <x v="25"/>
    <s v="Africa"/>
    <m/>
    <s v="Mining"/>
    <s v="yes"/>
    <s v="no"/>
    <s v="no"/>
    <s v="Columbite-tantalite concentrate"/>
    <s v="detailed"/>
    <s v="detailed Mining"/>
    <m/>
    <m/>
    <m/>
    <m/>
    <m/>
    <m/>
    <m/>
    <m/>
    <m/>
    <m/>
    <m/>
    <m/>
    <m/>
    <m/>
    <m/>
    <m/>
    <m/>
    <m/>
    <m/>
    <m/>
    <m/>
    <m/>
    <m/>
    <m/>
    <m/>
    <m/>
    <m/>
    <m/>
    <m/>
    <m/>
    <m/>
    <m/>
    <m/>
    <m/>
    <m/>
    <m/>
    <m/>
    <m/>
    <m/>
    <m/>
    <m/>
    <m/>
    <m/>
    <m/>
    <m/>
    <m/>
    <m/>
    <m/>
    <m/>
    <m/>
    <m/>
    <m/>
    <m/>
    <m/>
    <m/>
  </r>
  <r>
    <x v="146"/>
    <n v="2010"/>
    <x v="25"/>
    <s v="Africa"/>
    <m/>
    <s v="Mining"/>
    <s v="yes"/>
    <s v="no"/>
    <s v="no"/>
    <s v="o/w Gross weight"/>
    <s v="detailed"/>
    <s v="detailed Mining"/>
    <n v="55054"/>
    <m/>
    <m/>
    <m/>
    <m/>
    <s v="kg"/>
    <m/>
    <m/>
    <s v="Volume from USGS Mineral Yearbook 2012"/>
    <m/>
    <m/>
    <m/>
    <m/>
    <m/>
    <m/>
    <m/>
    <m/>
    <m/>
    <m/>
    <m/>
    <m/>
    <m/>
    <m/>
    <m/>
    <m/>
    <m/>
    <m/>
    <m/>
    <m/>
    <m/>
    <m/>
    <m/>
    <m/>
    <m/>
    <m/>
    <m/>
    <m/>
    <m/>
    <m/>
    <m/>
    <m/>
    <m/>
    <m/>
    <m/>
    <m/>
    <m/>
    <m/>
    <m/>
    <m/>
    <m/>
    <m/>
    <m/>
    <m/>
    <m/>
    <m/>
  </r>
  <r>
    <x v="146"/>
    <n v="2010"/>
    <x v="25"/>
    <s v="Africa"/>
    <m/>
    <s v="Mining"/>
    <s v="yes"/>
    <s v="no"/>
    <s v="no"/>
    <s v="o/w Columbium content"/>
    <s v="detailed"/>
    <s v="detailed Mining"/>
    <n v="3.9"/>
    <m/>
    <m/>
    <m/>
    <m/>
    <s v="t"/>
    <n v="37781"/>
    <s v="US$/t"/>
    <s v="Volume from USGS Mineral Yearbook 2012. Price from USGS Mineral Commodity Summary 2013, and is the price for ferroniobium with 65% columbium content in the US."/>
    <n v="147345.9"/>
    <m/>
    <m/>
    <m/>
    <m/>
    <m/>
    <m/>
    <m/>
    <m/>
    <m/>
    <m/>
    <m/>
    <m/>
    <m/>
    <m/>
    <m/>
    <m/>
    <m/>
    <m/>
    <m/>
    <m/>
    <m/>
    <m/>
    <m/>
    <m/>
    <m/>
    <m/>
    <m/>
    <m/>
    <m/>
    <m/>
    <m/>
    <m/>
    <m/>
    <m/>
    <m/>
    <m/>
    <m/>
    <m/>
    <m/>
    <m/>
    <m/>
    <m/>
    <m/>
    <m/>
    <m/>
  </r>
  <r>
    <x v="146"/>
    <n v="2010"/>
    <x v="25"/>
    <s v="Africa"/>
    <m/>
    <s v="Mining"/>
    <s v="yes"/>
    <s v="no"/>
    <s v="no"/>
    <s v="o/w Tantalum content"/>
    <s v="detailed"/>
    <s v="detailed Mining"/>
    <n v="15000"/>
    <m/>
    <m/>
    <m/>
    <m/>
    <s v="kg"/>
    <n v="119.04971868992399"/>
    <s v="US$/kg"/>
    <s v="Volume from USGS Mineral Yearbook 2012. Price from USGS Mineral Commodity Summary 2013, and is the price for the Ta2O5 content of tantalite in the US."/>
    <n v="1785745.78034886"/>
    <m/>
    <m/>
    <m/>
    <m/>
    <m/>
    <m/>
    <m/>
    <m/>
    <m/>
    <m/>
    <m/>
    <m/>
    <m/>
    <m/>
    <m/>
    <m/>
    <m/>
    <m/>
    <m/>
    <m/>
    <m/>
    <m/>
    <m/>
    <m/>
    <m/>
    <m/>
    <m/>
    <m/>
    <m/>
    <m/>
    <m/>
    <m/>
    <m/>
    <m/>
    <m/>
    <m/>
    <m/>
    <m/>
    <m/>
    <m/>
    <m/>
    <m/>
    <m/>
    <m/>
    <m/>
  </r>
  <r>
    <x v="146"/>
    <n v="2010"/>
    <x v="25"/>
    <s v="Africa"/>
    <m/>
    <s v="Mining"/>
    <s v="yes"/>
    <s v="no"/>
    <s v="no"/>
    <s v="Gold "/>
    <s v="detailed"/>
    <s v="detailed Mining"/>
    <n v="3407.978771409636"/>
    <m/>
    <m/>
    <m/>
    <m/>
    <s v="toz"/>
    <n v="1224.66425"/>
    <s v="US$/toz"/>
    <s v="Volume from USGS Mineral Yearbook 2012. Price from World Bank (Global Economic Monitor (GEM) Commodities database), and is defined as: Gold (UK), 99.5% fine, London afternoon fixing, average of daily rates."/>
    <n v="4173629.7661043033"/>
    <m/>
    <m/>
    <m/>
    <m/>
    <m/>
    <m/>
    <m/>
    <m/>
    <m/>
    <m/>
    <m/>
    <m/>
    <m/>
    <m/>
    <m/>
    <m/>
    <m/>
    <m/>
    <m/>
    <m/>
    <m/>
    <m/>
    <m/>
    <m/>
    <m/>
    <m/>
    <m/>
    <m/>
    <m/>
    <m/>
    <m/>
    <m/>
    <m/>
    <m/>
    <m/>
    <m/>
    <m/>
    <m/>
    <m/>
    <m/>
    <m/>
    <m/>
    <m/>
    <m/>
    <m/>
  </r>
  <r>
    <x v="146"/>
    <n v="2010"/>
    <x v="25"/>
    <s v="Africa"/>
    <m/>
    <s v="Mining"/>
    <s v="yes"/>
    <s v="no"/>
    <s v="no"/>
    <s v="Ilmenite concentrate"/>
    <s v="detailed"/>
    <s v="detailed Mining"/>
    <n v="678400"/>
    <m/>
    <m/>
    <m/>
    <m/>
    <s v="t"/>
    <n v="75"/>
    <s v="US$/t"/>
    <s v="Volume from USGS Mineral Yearbook 2012. Price from USGS Mineral Commodity Summary 2013, and is the f.o.b. price in Australia for a bulk product with a minimum TiO2 content of 54%."/>
    <n v="50880000"/>
    <m/>
    <m/>
    <m/>
    <m/>
    <m/>
    <m/>
    <m/>
    <m/>
    <m/>
    <m/>
    <m/>
    <m/>
    <m/>
    <m/>
    <m/>
    <m/>
    <m/>
    <m/>
    <m/>
    <m/>
    <m/>
    <m/>
    <m/>
    <m/>
    <m/>
    <m/>
    <m/>
    <m/>
    <m/>
    <m/>
    <m/>
    <m/>
    <m/>
    <m/>
    <m/>
    <m/>
    <m/>
    <m/>
    <m/>
    <m/>
    <m/>
    <m/>
    <m/>
    <m/>
    <m/>
  </r>
  <r>
    <x v="146"/>
    <n v="2010"/>
    <x v="25"/>
    <s v="Africa"/>
    <m/>
    <s v="Mining"/>
    <s v="yes"/>
    <s v="no"/>
    <s v="no"/>
    <s v="Limestone"/>
    <s v="detailed"/>
    <s v="detailed Mining"/>
    <n v="263908"/>
    <m/>
    <m/>
    <m/>
    <m/>
    <s v="t"/>
    <n v="9.0299999999999994"/>
    <s v="US$/t"/>
    <s v="Volume from USGS Mineral Yearbook 2012. Price from USGS Mineral Yearbook 2010, and is the price in the US for crushed limestone."/>
    <n v="2383089.2399999998"/>
    <m/>
    <m/>
    <m/>
    <m/>
    <m/>
    <m/>
    <m/>
    <m/>
    <m/>
    <m/>
    <m/>
    <m/>
    <m/>
    <m/>
    <m/>
    <m/>
    <m/>
    <m/>
    <m/>
    <m/>
    <m/>
    <m/>
    <m/>
    <m/>
    <m/>
    <m/>
    <m/>
    <m/>
    <m/>
    <m/>
    <m/>
    <m/>
    <m/>
    <m/>
    <m/>
    <m/>
    <m/>
    <m/>
    <m/>
    <m/>
    <m/>
    <m/>
    <m/>
    <m/>
    <m/>
  </r>
  <r>
    <x v="146"/>
    <n v="2010"/>
    <x v="25"/>
    <s v="Africa"/>
    <m/>
    <s v="Mining"/>
    <s v="yes"/>
    <s v="no"/>
    <s v="no"/>
    <s v="Rutile concentrate"/>
    <s v="detailed"/>
    <s v="detailed Mining"/>
    <n v="4700"/>
    <m/>
    <m/>
    <m/>
    <m/>
    <s v="t"/>
    <n v="540"/>
    <s v="US$/t"/>
    <s v="Volume from USGS Mineral Yearbook 2012. Price from USGS Mineral Commodity Summary 2013, and is the f.o.b. price in Australia for a bulk product with a minimum TiO2 content of 95%."/>
    <n v="2538000"/>
    <m/>
    <m/>
    <m/>
    <m/>
    <m/>
    <m/>
    <m/>
    <m/>
    <m/>
    <m/>
    <m/>
    <m/>
    <m/>
    <m/>
    <m/>
    <m/>
    <m/>
    <m/>
    <m/>
    <m/>
    <m/>
    <m/>
    <m/>
    <m/>
    <m/>
    <m/>
    <m/>
    <m/>
    <m/>
    <m/>
    <m/>
    <m/>
    <m/>
    <m/>
    <m/>
    <m/>
    <m/>
    <m/>
    <m/>
    <m/>
    <m/>
    <m/>
    <m/>
    <m/>
    <m/>
  </r>
  <r>
    <x v="146"/>
    <n v="2010"/>
    <x v="25"/>
    <s v="Africa"/>
    <m/>
    <s v="Mining"/>
    <s v="yes"/>
    <s v="no"/>
    <s v="no"/>
    <s v="Sand"/>
    <s v="detailed"/>
    <s v="detailed Mining"/>
    <n v="1150052"/>
    <m/>
    <m/>
    <m/>
    <m/>
    <s v="t"/>
    <n v="7.31"/>
    <s v="US$/t"/>
    <s v="Volume from USGS Mineral Yearbook 2012. Price from USGS Mineral Yearbook 2010, and is the price in the US for construction sand and gravel."/>
    <n v="8406880.1199999992"/>
    <m/>
    <m/>
    <m/>
    <m/>
    <m/>
    <m/>
    <m/>
    <m/>
    <m/>
    <m/>
    <m/>
    <m/>
    <m/>
    <m/>
    <m/>
    <m/>
    <m/>
    <m/>
    <m/>
    <m/>
    <m/>
    <m/>
    <m/>
    <m/>
    <m/>
    <m/>
    <m/>
    <m/>
    <m/>
    <m/>
    <m/>
    <m/>
    <m/>
    <m/>
    <m/>
    <m/>
    <m/>
    <m/>
    <m/>
    <m/>
    <m/>
    <m/>
    <m/>
    <m/>
    <m/>
  </r>
  <r>
    <x v="146"/>
    <n v="2010"/>
    <x v="25"/>
    <s v="Africa"/>
    <m/>
    <s v="Mining"/>
    <s v="yes"/>
    <s v="no"/>
    <s v="no"/>
    <s v="Zircon concentrate"/>
    <s v="detailed"/>
    <s v="detailed Mining"/>
    <n v="37100"/>
    <m/>
    <m/>
    <m/>
    <m/>
    <s v="t"/>
    <n v="870"/>
    <s v="US$/t"/>
    <s v="Volume from USGS Mineral Yearbook 2012. Price from USGS Mineral Commodity Summary 2013, and is the f.o.b. price for US imports."/>
    <n v="32277000"/>
    <m/>
    <m/>
    <m/>
    <m/>
    <m/>
    <m/>
    <m/>
    <m/>
    <m/>
    <m/>
    <m/>
    <m/>
    <m/>
    <m/>
    <m/>
    <m/>
    <m/>
    <m/>
    <m/>
    <m/>
    <m/>
    <m/>
    <m/>
    <m/>
    <m/>
    <m/>
    <m/>
    <m/>
    <m/>
    <m/>
    <m/>
    <m/>
    <m/>
    <m/>
    <m/>
    <m/>
    <m/>
    <m/>
    <m/>
    <m/>
    <m/>
    <m/>
    <m/>
    <m/>
    <m/>
  </r>
  <r>
    <x v="147"/>
    <n v="2011"/>
    <x v="25"/>
    <s v="Africa"/>
    <s v="http://www.itie.org.mz"/>
    <s v="Gas, Mining"/>
    <s v="yes"/>
    <s v="yes"/>
    <s v="no"/>
    <s v="Total"/>
    <s v="Total"/>
    <s v="Total Gas, Mining"/>
    <m/>
    <m/>
    <m/>
    <m/>
    <m/>
    <m/>
    <m/>
    <m/>
    <m/>
    <n v="449726378.16752666"/>
    <s v="Host government's production entitlement, Profits/Taxes, Dividends, Licenses and concessions, Other significant benefits to government"/>
    <s v="Also covers payments made in-kind"/>
    <s v="Yes"/>
    <n v="115116240.28"/>
    <n v="114608833.28"/>
    <s v="99.93% of revenue"/>
    <n v="115196878.09466627"/>
    <s v="Inferred from EITI Report"/>
    <n v="0.255969509169236"/>
    <s v="Mozambique Meticais"/>
    <n v="27.22"/>
    <s v="Disaggregated by revenue stream, Disaggregated by company, Disaggregated by company and revenue stream, Disaggregated by project"/>
    <s v="3,503,780 gigajoules (91,578,298 cubic metres) of gas"/>
    <n v="2347532.2799999998"/>
    <m/>
    <m/>
    <n v="39"/>
    <s v="Anadarko Mocambique Area 1 Ltd, Buzi Hydrocarbons, Companhia Moçambicana de Hidro-carbonetos Sarl, Empresa Nacional de Hidrocarbonetos-EP, Eni East Africa S.P.A., Petronas Rovuma Basin, Petronas Carigali Mozambique E &amp; P Ltd, Republic of Mozambique Pipeline Company (Rompco), Sasol Gas, Sasol Petroleum M-10 Ltd, Sasol Petroleum Mocambique Ltd, Sasol Petroleum Mozambique Exploration, Sasol Petroleum Sengala Ltd, Sasol Petroleum Sofala Ltd, Sasol Petroleum Temane Ltd, Statoil Oil &amp; Gas Mozambique AS, África Great Wall Mining Development Company Lda, Afrifocus Resources Lda, Biworld International Limited, Capital Resources Lda, Companhia Carvoeira de Samoa Lda, ENRC Moçambique Lda, Eta Star Moçambique S.A., Highland African Mining Company Lda, JSPL Mozambique Minerais Lda, JSW Natural Resources Mozambique Lda, Kenmare Moma Mining (Mauritius) Lda, Midwest Africa, Minas Moatize, Mozambique Minerals Ltd,   Patel Mining Concession Lda, Rio Tinto Benga Lda, Rio Tinto Zambeze Lda, Rio Tinto Mining and Exploration (Moçambique) Lda, Rovuma Resources Lda, Twigg Exploration e Mining Lda, VALE Projectos e Desenvolvimento Lda, Vale Moçambique S.A., Ncondezi Coal Company Mozambique Lda"/>
    <n v="37"/>
    <s v="March 2014"/>
    <d v="2014-09-26T00:00:00"/>
    <s v="Intellica"/>
    <s v="http://eiti.org/files/Mozambique-2011-EITI-Report.pdf"/>
    <s v="11,22"/>
    <s v="Materiality threshold: all oil &amp; gas companies should be reconciled; mining companies that made a payment of at least 500,000MT and were directly involed in mining activities should be reconciled. Reporting companies accounted for 99.93% of revenues reported by government from companies directly involved in the oil, gas and mining sectors in 2011. The report doesn't distinguish between oil and gas producers. The report gives the volumes but not values for the payments in kind. The values are calculated using the relevant commodity price from the BPSR 2014 (detailed below). Unilateral declarations are included in the figures.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of 70% to Empresa Nactional de Hidrocarbonetos Company (ENH), 20% to the Government of Mozambique and 10% owned by corporate bodies and individuals. ENH is the National Oil Company of Mozambique and is 100% owned by the State. The Pande-Temane gas project includes a gas pipeline between Temane and a Sasol gas processing petrochemical complex in Secunda, South Africa. This is operated by Republic of Mozambique Pipeline Company (Rompco), which is owned by SASOL (50%), CMH (25%) and iGas, a subsidiary of the South Africa Energy Fund (25%). Sasol Petroleum Mocambique Ltd is also involved in this project. The payment in kind of natural gas is for part of Sasol Petroleum Temane Ltd's royalty obligations. Its value is calculated with a 'weight factor' in use by the National Oil Institute. The report provides production volumes for some companies, but this is not comprehensive. The report also covers: the areas in which the oil &amp; gas companies operate; employment information for some companies."/>
    <m/>
    <m/>
    <m/>
    <m/>
    <m/>
    <m/>
    <m/>
    <m/>
    <m/>
    <m/>
    <m/>
    <m/>
    <m/>
    <m/>
    <m/>
    <m/>
    <m/>
    <m/>
    <m/>
    <m/>
  </r>
  <r>
    <x v="147"/>
    <n v="2011"/>
    <x v="25"/>
    <s v="Africa"/>
    <m/>
    <s v="Gas"/>
    <s v="no"/>
    <s v="yes"/>
    <s v="no"/>
    <s v="Total Gas"/>
    <s v="Total"/>
    <s v="Total Gas"/>
    <n v="3822768000"/>
    <m/>
    <n v="3443211301.0477695"/>
    <m/>
    <m/>
    <s v="m³"/>
    <n v="2.5634154978385615E-2"/>
    <s v="US$/m³"/>
    <s v="Volume from EIA. Price from BPSR 2014, and is an average of the UK, US and Canada Indices for natural gas."/>
    <n v="97993427.358413219"/>
    <m/>
    <m/>
    <m/>
    <n v="79823404.865598798"/>
    <n v="79654064.4060103"/>
    <m/>
    <m/>
    <m/>
    <n v="0.81457917145445735"/>
    <m/>
    <m/>
    <m/>
    <s v="3,503,780 gigajoules (91,578,298 cubic metres) of gas"/>
    <n v="2347532.2799999998"/>
    <m/>
    <m/>
    <n v="16"/>
    <s v="Anadarko Mocambique Area 1 Ltd, Buzi Hydrocarbons, Companhia Moçambicana de Hidro-carbonetos Sarl, Empresa Nacional de Hidrocarbonetos-EP, Eni East Africa S.P.A., Petronas Rovuma Basin, Petronas Carigali Mozambique E &amp; P Ltd, Republic of Mozambique Pipeline Company (Rompco), Sasol Gas, Sasol Petroleum M-10 Ltd, Sasol Petroleum Mocambique Ltd, Sasol Petroleum Mozambique Exploration, Sasol Petroleum Sengala Ltd, Sasol Petroleum Sofala Ltd, Sasol Petroleum Temane Ltd, Statoil Oil &amp; Gas Mozambique AS"/>
    <n v="16"/>
    <m/>
    <m/>
    <m/>
    <m/>
    <s v="11,22"/>
    <m/>
    <m/>
    <m/>
    <m/>
    <m/>
    <m/>
    <m/>
    <m/>
    <m/>
    <m/>
    <m/>
    <m/>
    <m/>
    <m/>
    <m/>
    <m/>
    <m/>
    <m/>
    <m/>
    <m/>
    <m/>
  </r>
  <r>
    <x v="147"/>
    <n v="2011"/>
    <x v="25"/>
    <s v="Africa"/>
    <m/>
    <s v="Mining"/>
    <s v="yes"/>
    <s v="no"/>
    <s v="no"/>
    <s v="Total Mining"/>
    <s v="Total"/>
    <s v="Total Mining"/>
    <m/>
    <m/>
    <m/>
    <m/>
    <m/>
    <m/>
    <m/>
    <m/>
    <m/>
    <n v="351732950.80911344"/>
    <m/>
    <m/>
    <m/>
    <n v="35292835.414401203"/>
    <n v="34954768.873989701"/>
    <m/>
    <m/>
    <m/>
    <n v="0.10033986105997426"/>
    <m/>
    <m/>
    <m/>
    <m/>
    <m/>
    <m/>
    <m/>
    <n v="23"/>
    <s v="África Great Wall Mining Development Company Lda, Afrifocus Resources Lda, Biworld International Limited, Capital Resources Lda, Companhia Carvoeira de Samoa Lda, ENRC Moçambique Lda, Eta Star Moçambique S.A., Highland African Mining Company Lda, JSPL Mozambique Minerais Lda, JSW Natural Resources Mozambique Lda, Kenmare Moma Mining (Mauritius) Lda, Midwest Africa, Minas Moatize, Mozambique Minerals Ltd,   Patel Mining Concession Lda, Rio Tinto Benga Lda, Rio Tinto Zambeze Lda, Rio Tinto Mining and Exploration (Moçambique) Lda, Rovuma Resources Lda, Twigg Exploration e Mining Lda, VALE Projectos e Desenvolvimento Lda, Vale Moçambique S.A., Ncondezi Coal Company Mozambique Lda"/>
    <n v="21"/>
    <m/>
    <m/>
    <m/>
    <m/>
    <m/>
    <m/>
    <m/>
    <m/>
    <m/>
    <m/>
    <m/>
    <m/>
    <m/>
    <m/>
    <m/>
    <m/>
    <m/>
    <m/>
    <m/>
    <m/>
    <m/>
    <m/>
    <m/>
    <m/>
    <m/>
    <m/>
  </r>
  <r>
    <x v="147"/>
    <n v="2011"/>
    <x v="25"/>
    <s v="Africa"/>
    <m/>
    <s v="Mining"/>
    <s v="yes"/>
    <s v="no"/>
    <s v="no"/>
    <s v="Coal"/>
    <s v="detailed"/>
    <s v="detailed Mining"/>
    <n v="647729.90436000004"/>
    <m/>
    <m/>
    <m/>
    <m/>
    <s v="t"/>
    <n v="111.54662184722224"/>
    <s v="US$/t"/>
    <s v="Volume from EIA. Price from BPSR 2014, and is an average of the American Central Appalachian, Asian and Northwest Europe marker/spot prices."/>
    <n v="72252082.700782359"/>
    <m/>
    <m/>
    <m/>
    <m/>
    <m/>
    <m/>
    <m/>
    <m/>
    <m/>
    <m/>
    <m/>
    <m/>
    <m/>
    <m/>
    <m/>
    <m/>
    <m/>
    <m/>
    <m/>
    <m/>
    <m/>
    <m/>
    <m/>
    <m/>
    <m/>
    <m/>
    <m/>
    <m/>
    <m/>
    <m/>
    <m/>
    <m/>
    <m/>
    <m/>
    <m/>
    <m/>
    <m/>
    <m/>
    <m/>
    <m/>
    <m/>
    <m/>
    <m/>
    <m/>
    <m/>
  </r>
  <r>
    <x v="147"/>
    <n v="2011"/>
    <x v="25"/>
    <s v="Africa"/>
    <m/>
    <s v="Mining"/>
    <s v="yes"/>
    <s v="no"/>
    <s v="no"/>
    <s v="Columbite-tantalite concentrate"/>
    <s v="detailed"/>
    <s v="detailed Mining"/>
    <m/>
    <m/>
    <m/>
    <m/>
    <m/>
    <m/>
    <m/>
    <m/>
    <m/>
    <m/>
    <m/>
    <m/>
    <m/>
    <m/>
    <m/>
    <m/>
    <m/>
    <m/>
    <m/>
    <m/>
    <m/>
    <m/>
    <m/>
    <m/>
    <m/>
    <m/>
    <m/>
    <m/>
    <m/>
    <m/>
    <m/>
    <m/>
    <m/>
    <m/>
    <m/>
    <m/>
    <m/>
    <m/>
    <m/>
    <m/>
    <m/>
    <m/>
    <m/>
    <m/>
    <m/>
    <m/>
    <m/>
    <m/>
    <m/>
    <m/>
    <m/>
    <m/>
    <m/>
    <m/>
    <m/>
  </r>
  <r>
    <x v="147"/>
    <n v="2011"/>
    <x v="25"/>
    <s v="Africa"/>
    <m/>
    <s v="Mining"/>
    <s v="yes"/>
    <s v="no"/>
    <s v="no"/>
    <s v="o/w Gross weight"/>
    <s v="detailed"/>
    <s v="detailed Mining"/>
    <n v="139145"/>
    <m/>
    <m/>
    <m/>
    <m/>
    <s v="kg"/>
    <m/>
    <m/>
    <s v="Volume from USGS Mineral Yearbook 2012"/>
    <m/>
    <m/>
    <m/>
    <m/>
    <m/>
    <m/>
    <m/>
    <m/>
    <m/>
    <m/>
    <m/>
    <m/>
    <m/>
    <m/>
    <m/>
    <m/>
    <m/>
    <m/>
    <m/>
    <m/>
    <m/>
    <m/>
    <m/>
    <m/>
    <m/>
    <m/>
    <m/>
    <m/>
    <m/>
    <m/>
    <m/>
    <m/>
    <m/>
    <m/>
    <m/>
    <m/>
    <m/>
    <m/>
    <m/>
    <m/>
    <m/>
    <m/>
    <m/>
    <m/>
    <m/>
    <m/>
  </r>
  <r>
    <x v="147"/>
    <n v="2011"/>
    <x v="25"/>
    <s v="Africa"/>
    <m/>
    <s v="Mining"/>
    <s v="yes"/>
    <s v="no"/>
    <s v="no"/>
    <s v="o/w Columbium content"/>
    <s v="detailed"/>
    <s v="detailed Mining"/>
    <n v="10"/>
    <m/>
    <m/>
    <m/>
    <m/>
    <s v="t"/>
    <n v="41000"/>
    <s v="US$/t"/>
    <s v="Volume from USGS Mineral Yearbook 2012. Price from USGS Mineral Commodity Summary 2013, and is the price for ferroniobium with 65% columbium content in the US."/>
    <n v="410000"/>
    <m/>
    <m/>
    <m/>
    <m/>
    <m/>
    <m/>
    <m/>
    <m/>
    <m/>
    <m/>
    <m/>
    <m/>
    <m/>
    <m/>
    <m/>
    <m/>
    <m/>
    <m/>
    <m/>
    <m/>
    <m/>
    <m/>
    <m/>
    <m/>
    <m/>
    <m/>
    <m/>
    <m/>
    <m/>
    <m/>
    <m/>
    <m/>
    <m/>
    <m/>
    <m/>
    <m/>
    <m/>
    <m/>
    <m/>
    <m/>
    <m/>
    <m/>
    <m/>
    <m/>
    <m/>
  </r>
  <r>
    <x v="147"/>
    <n v="2011"/>
    <x v="25"/>
    <s v="Africa"/>
    <m/>
    <s v="Mining"/>
    <s v="yes"/>
    <s v="no"/>
    <s v="no"/>
    <s v="o/w Tantalum content"/>
    <s v="detailed"/>
    <s v="detailed Mining"/>
    <n v="39000"/>
    <m/>
    <m/>
    <m/>
    <m/>
    <s v="kg"/>
    <n v="275.5780525229722"/>
    <s v="US$/kg"/>
    <s v="Volume from USGS Mineral Yearbook 2012. Price from USGS Mineral Commodity Summary 2013, and is the price for the Ta2O5 content of tantalite in the US."/>
    <n v="10747544.048395915"/>
    <m/>
    <m/>
    <m/>
    <m/>
    <m/>
    <m/>
    <m/>
    <m/>
    <m/>
    <m/>
    <m/>
    <m/>
    <m/>
    <m/>
    <m/>
    <m/>
    <m/>
    <m/>
    <m/>
    <m/>
    <m/>
    <m/>
    <m/>
    <m/>
    <m/>
    <m/>
    <m/>
    <m/>
    <m/>
    <m/>
    <m/>
    <m/>
    <m/>
    <m/>
    <m/>
    <m/>
    <m/>
    <m/>
    <m/>
    <m/>
    <m/>
    <m/>
    <m/>
    <m/>
    <m/>
  </r>
  <r>
    <x v="147"/>
    <n v="2011"/>
    <x v="25"/>
    <s v="Africa"/>
    <m/>
    <s v="Mining"/>
    <s v="yes"/>
    <s v="no"/>
    <s v="no"/>
    <s v="Gold "/>
    <s v="detailed"/>
    <s v="detailed Mining"/>
    <n v="3568.7324870421662"/>
    <m/>
    <m/>
    <m/>
    <m/>
    <s v="toz"/>
    <n v="1569.2108333333299"/>
    <s v="US$/toz"/>
    <s v="Volume from USGS Mineral Yearbook 2012. Price from World Bank (Global Economic Monitor (GEM) Commodities database), and is defined as: Gold (UK), 99.5% fine, London afternoon fixing, average of daily rates."/>
    <n v="5600093.6799351647"/>
    <m/>
    <m/>
    <m/>
    <m/>
    <m/>
    <m/>
    <m/>
    <m/>
    <m/>
    <m/>
    <m/>
    <m/>
    <m/>
    <m/>
    <m/>
    <m/>
    <m/>
    <m/>
    <m/>
    <m/>
    <m/>
    <m/>
    <m/>
    <m/>
    <m/>
    <m/>
    <m/>
    <m/>
    <m/>
    <m/>
    <m/>
    <m/>
    <m/>
    <m/>
    <m/>
    <m/>
    <m/>
    <m/>
    <m/>
    <m/>
    <m/>
    <m/>
    <m/>
    <m/>
    <m/>
  </r>
  <r>
    <x v="147"/>
    <n v="2011"/>
    <x v="25"/>
    <s v="Africa"/>
    <m/>
    <s v="Mining"/>
    <s v="yes"/>
    <s v="no"/>
    <s v="no"/>
    <s v="Ilmenite concentrate"/>
    <s v="detailed"/>
    <s v="detailed Mining"/>
    <n v="656800"/>
    <m/>
    <m/>
    <m/>
    <m/>
    <s v="t"/>
    <n v="195"/>
    <s v="US$/t"/>
    <s v="Volume from USGS Mineral Yearbook 2012. Price from USGS Mineral Commodity Summary 2013, and is the f.o.b. price in Australia for a bulk product with a minimum TiO2 content of 54%."/>
    <n v="128076000"/>
    <m/>
    <m/>
    <m/>
    <m/>
    <m/>
    <m/>
    <m/>
    <m/>
    <m/>
    <m/>
    <m/>
    <m/>
    <m/>
    <m/>
    <m/>
    <m/>
    <m/>
    <m/>
    <m/>
    <m/>
    <m/>
    <m/>
    <m/>
    <m/>
    <m/>
    <m/>
    <m/>
    <m/>
    <m/>
    <m/>
    <m/>
    <m/>
    <m/>
    <m/>
    <m/>
    <m/>
    <m/>
    <m/>
    <m/>
    <m/>
    <m/>
    <m/>
    <m/>
    <m/>
    <m/>
  </r>
  <r>
    <x v="147"/>
    <n v="2011"/>
    <x v="25"/>
    <s v="Africa"/>
    <m/>
    <s v="Mining"/>
    <s v="yes"/>
    <s v="no"/>
    <s v="no"/>
    <s v="Limestone"/>
    <s v="detailed"/>
    <s v="detailed Mining"/>
    <n v="415883"/>
    <m/>
    <m/>
    <m/>
    <m/>
    <s v="t"/>
    <n v="9.06"/>
    <s v="US$/t"/>
    <s v="Volume from USGS Mineral Yearbook 2012. Price from USGS Mineral Yearbook 2012, and is the price in the US for crushed limestone."/>
    <n v="3767899.98"/>
    <m/>
    <m/>
    <m/>
    <m/>
    <m/>
    <m/>
    <m/>
    <m/>
    <m/>
    <m/>
    <m/>
    <m/>
    <m/>
    <m/>
    <m/>
    <m/>
    <m/>
    <m/>
    <m/>
    <m/>
    <m/>
    <m/>
    <m/>
    <m/>
    <m/>
    <m/>
    <m/>
    <m/>
    <m/>
    <m/>
    <m/>
    <m/>
    <m/>
    <m/>
    <m/>
    <m/>
    <m/>
    <m/>
    <m/>
    <m/>
    <m/>
    <m/>
    <m/>
    <m/>
    <m/>
  </r>
  <r>
    <x v="147"/>
    <n v="2011"/>
    <x v="25"/>
    <s v="Africa"/>
    <m/>
    <s v="Mining"/>
    <s v="yes"/>
    <s v="no"/>
    <s v="no"/>
    <s v="Rutile concentrate"/>
    <s v="detailed"/>
    <s v="detailed Mining"/>
    <n v="6455"/>
    <m/>
    <m/>
    <m/>
    <m/>
    <s v="t"/>
    <n v="1400"/>
    <s v="US$/t"/>
    <s v="Volume from USGS Mineral Yearbook 2012. Price from USGS Mineral Commodity Summary 2013, and is the f.o.b. price in Australia for a bulk product with a minimum TiO2 content of 95%."/>
    <n v="9037000"/>
    <m/>
    <m/>
    <m/>
    <m/>
    <m/>
    <m/>
    <m/>
    <m/>
    <m/>
    <m/>
    <m/>
    <m/>
    <m/>
    <m/>
    <m/>
    <m/>
    <m/>
    <m/>
    <m/>
    <m/>
    <m/>
    <m/>
    <m/>
    <m/>
    <m/>
    <m/>
    <m/>
    <m/>
    <m/>
    <m/>
    <m/>
    <m/>
    <m/>
    <m/>
    <m/>
    <m/>
    <m/>
    <m/>
    <m/>
    <m/>
    <m/>
    <m/>
    <m/>
    <m/>
    <m/>
  </r>
  <r>
    <x v="147"/>
    <n v="2011"/>
    <x v="25"/>
    <s v="Africa"/>
    <m/>
    <s v="Mining"/>
    <s v="yes"/>
    <s v="no"/>
    <s v="no"/>
    <s v="Sand"/>
    <s v="detailed"/>
    <s v="detailed Mining"/>
    <n v="1678736"/>
    <m/>
    <m/>
    <m/>
    <m/>
    <s v="t"/>
    <n v="7.65"/>
    <s v="US$/t"/>
    <s v="Volume from USGS Mineral Yearbook 2012. Price from USGS Mineral Yearbook 2012, and is the price in the US for construction sand and gravel."/>
    <n v="12842330.4"/>
    <m/>
    <m/>
    <m/>
    <m/>
    <m/>
    <m/>
    <m/>
    <m/>
    <m/>
    <m/>
    <m/>
    <m/>
    <m/>
    <m/>
    <m/>
    <m/>
    <m/>
    <m/>
    <m/>
    <m/>
    <m/>
    <m/>
    <m/>
    <m/>
    <m/>
    <m/>
    <m/>
    <m/>
    <m/>
    <m/>
    <m/>
    <m/>
    <m/>
    <m/>
    <m/>
    <m/>
    <m/>
    <m/>
    <m/>
    <m/>
    <m/>
    <m/>
    <m/>
    <m/>
    <m/>
  </r>
  <r>
    <x v="147"/>
    <n v="2011"/>
    <x v="25"/>
    <s v="Africa"/>
    <m/>
    <s v="Mining"/>
    <s v="yes"/>
    <s v="no"/>
    <s v="no"/>
    <s v="Zircon concentrate"/>
    <s v="detailed"/>
    <s v="detailed Mining"/>
    <n v="43600"/>
    <m/>
    <m/>
    <m/>
    <m/>
    <s v="t"/>
    <n v="2500"/>
    <s v="US$/t"/>
    <s v="Volume from USGS Mineral Yearbook 2012. Price from USGS Mineral Commodity Summary 2013, and is the f.o.b. price for US imports."/>
    <n v="109000000"/>
    <m/>
    <m/>
    <m/>
    <m/>
    <m/>
    <m/>
    <m/>
    <m/>
    <m/>
    <m/>
    <m/>
    <m/>
    <m/>
    <m/>
    <m/>
    <m/>
    <m/>
    <m/>
    <m/>
    <m/>
    <m/>
    <m/>
    <m/>
    <m/>
    <m/>
    <m/>
    <m/>
    <m/>
    <m/>
    <m/>
    <m/>
    <m/>
    <m/>
    <m/>
    <m/>
    <m/>
    <m/>
    <m/>
    <m/>
    <m/>
    <m/>
    <m/>
    <m/>
    <m/>
    <m/>
  </r>
  <r>
    <x v="148"/>
    <n v="2005"/>
    <x v="26"/>
    <s v="Africa"/>
    <s v="http://www.itieniger.ne"/>
    <s v="Mining"/>
    <s v="yes"/>
    <s v="no"/>
    <s v="no"/>
    <s v="Total"/>
    <s v="Total"/>
    <s v="Total Mining"/>
    <m/>
    <m/>
    <m/>
    <m/>
    <m/>
    <m/>
    <m/>
    <m/>
    <m/>
    <n v="82719254.337548986"/>
    <s v="Profits/Taxes, Royalties, Dividends, Other significant benefits to government"/>
    <s v="Does not include payments made in-kind"/>
    <m/>
    <n v="14928853.70728069"/>
    <n v="15079465.449712178"/>
    <m/>
    <m/>
    <m/>
    <n v="0.18047616394559293"/>
    <m/>
    <n v="522.89"/>
    <s v="Disaggregated by revenue stream, Disaggregated by company"/>
    <m/>
    <m/>
    <m/>
    <m/>
    <m/>
    <m/>
    <n v="13"/>
    <s v="September 2009"/>
    <d v="2014-10-10T00:00:00"/>
    <s v="Ibrahim Issoufou"/>
    <s v="http://eiti.org/files/Niger%202005-2006%20EITI%20Report.pdf"/>
    <m/>
    <m/>
    <m/>
    <m/>
    <m/>
    <m/>
    <m/>
    <m/>
    <m/>
    <m/>
    <m/>
    <m/>
    <m/>
    <m/>
    <m/>
    <m/>
    <m/>
    <m/>
    <m/>
    <m/>
    <m/>
    <m/>
  </r>
  <r>
    <x v="148"/>
    <n v="2005"/>
    <x v="26"/>
    <s v="Africa"/>
    <m/>
    <s v="Mining"/>
    <s v="yes"/>
    <s v="no"/>
    <s v="no"/>
    <s v="Coal"/>
    <s v="detailed"/>
    <s v="detailed Mining"/>
    <n v="182060"/>
    <m/>
    <m/>
    <m/>
    <m/>
    <s v="t"/>
    <n v="64.167195325854706"/>
    <s v="US$/t"/>
    <s v="Volume from USGS Mineral Yearbook 2009. Price from BPSR 2014, is an average of the American Central Appalachian, Asian and Northwest Europe marker/spot prices."/>
    <n v="11682279.581025109"/>
    <m/>
    <m/>
    <m/>
    <m/>
    <m/>
    <m/>
    <m/>
    <m/>
    <m/>
    <m/>
    <m/>
    <m/>
    <m/>
    <m/>
    <m/>
    <m/>
    <m/>
    <m/>
    <m/>
    <m/>
    <m/>
    <m/>
    <m/>
    <m/>
    <m/>
    <m/>
    <m/>
    <m/>
    <m/>
    <m/>
    <m/>
    <m/>
    <m/>
    <m/>
    <m/>
    <m/>
    <m/>
    <m/>
    <m/>
    <m/>
    <m/>
    <m/>
    <m/>
    <m/>
    <m/>
  </r>
  <r>
    <x v="148"/>
    <n v="2005"/>
    <x v="26"/>
    <s v="Africa"/>
    <m/>
    <s v="Mining"/>
    <s v="yes"/>
    <s v="no"/>
    <s v="no"/>
    <s v="Gold "/>
    <s v="detailed"/>
    <s v="detailed Mining"/>
    <n v="159531.98739372278"/>
    <m/>
    <m/>
    <m/>
    <m/>
    <s v="toz"/>
    <n v="444.84258333333003"/>
    <s v="US$/toz"/>
    <s v="Volume from USGS Mineral Yearbook 2009. Price from World Bank (Global Economic Monitor (GEM) Commodities database), and is defined as: Gold (UK), 99.5% fine, London afternoon fixing, average of daily rates."/>
    <n v="70966621.396523878"/>
    <m/>
    <m/>
    <m/>
    <m/>
    <m/>
    <m/>
    <m/>
    <m/>
    <m/>
    <m/>
    <m/>
    <m/>
    <m/>
    <m/>
    <m/>
    <m/>
    <m/>
    <m/>
    <m/>
    <m/>
    <m/>
    <m/>
    <m/>
    <m/>
    <m/>
    <m/>
    <m/>
    <m/>
    <m/>
    <m/>
    <m/>
    <m/>
    <m/>
    <m/>
    <m/>
    <m/>
    <m/>
    <m/>
    <m/>
    <m/>
    <m/>
    <m/>
    <m/>
    <m/>
    <m/>
  </r>
  <r>
    <x v="148"/>
    <n v="2005"/>
    <x v="26"/>
    <s v="Africa"/>
    <m/>
    <s v="Mining"/>
    <s v="yes"/>
    <s v="no"/>
    <s v="no"/>
    <s v="Salt"/>
    <s v="detailed"/>
    <s v="detailed Mining"/>
    <n v="1269"/>
    <m/>
    <m/>
    <m/>
    <m/>
    <s v="t"/>
    <n v="55.44"/>
    <s v="US$/t"/>
    <s v="Volume from USGS Mineral Yearbook 2009. Price from USGS Mineral Commodity Summary 2009, and is the average f.o.b. mine and plant price for bulk, pellets and packaged vacuum and open pan salt, solar salt, rock salt and salt in brine."/>
    <n v="70353.36"/>
    <m/>
    <m/>
    <m/>
    <m/>
    <m/>
    <m/>
    <m/>
    <m/>
    <m/>
    <m/>
    <m/>
    <m/>
    <m/>
    <m/>
    <m/>
    <m/>
    <m/>
    <m/>
    <m/>
    <m/>
    <m/>
    <m/>
    <m/>
    <m/>
    <m/>
    <m/>
    <m/>
    <m/>
    <m/>
    <m/>
    <m/>
    <m/>
    <m/>
    <m/>
    <m/>
    <m/>
    <m/>
    <m/>
    <m/>
    <m/>
    <m/>
    <m/>
    <m/>
    <m/>
    <m/>
  </r>
  <r>
    <x v="148"/>
    <n v="2005"/>
    <x v="26"/>
    <s v="Africa"/>
    <m/>
    <s v="Mining"/>
    <s v="yes"/>
    <s v="no"/>
    <s v="no"/>
    <s v="Uranium"/>
    <s v="detailed"/>
    <s v="detailed Mining"/>
    <n v="3093"/>
    <m/>
    <m/>
    <m/>
    <m/>
    <s v="t"/>
    <m/>
    <m/>
    <s v="Volume from USGS Mineral Yearbook 2009"/>
    <m/>
    <m/>
    <m/>
    <m/>
    <m/>
    <m/>
    <m/>
    <m/>
    <m/>
    <m/>
    <m/>
    <m/>
    <m/>
    <m/>
    <m/>
    <m/>
    <m/>
    <m/>
    <m/>
    <m/>
    <m/>
    <m/>
    <m/>
    <m/>
    <m/>
    <m/>
    <m/>
    <m/>
    <m/>
    <m/>
    <m/>
    <m/>
    <m/>
    <m/>
    <m/>
    <m/>
    <m/>
    <m/>
    <m/>
    <m/>
    <m/>
    <m/>
    <m/>
    <m/>
    <m/>
    <m/>
  </r>
  <r>
    <x v="149"/>
    <n v="2006"/>
    <x v="26"/>
    <s v="Africa"/>
    <s v="http://www.itieniger.ne"/>
    <s v="Mining"/>
    <s v="yes"/>
    <s v="no"/>
    <s v="no"/>
    <s v="Total"/>
    <s v="Total"/>
    <s v="Total Mining"/>
    <m/>
    <m/>
    <m/>
    <m/>
    <m/>
    <m/>
    <m/>
    <m/>
    <m/>
    <n v="61675160.615972482"/>
    <s v="Profits/Taxes, Royalties, Dividends, Other significant benefits to government"/>
    <s v="Does not include payments made in-kind"/>
    <m/>
    <n v="25063833.699167486"/>
    <n v="25374332.380495336"/>
    <m/>
    <m/>
    <m/>
    <n v="0.40638457117656074"/>
    <m/>
    <n v="479.27"/>
    <s v="Disaggregated by revenue stream, Disaggregated by company"/>
    <m/>
    <m/>
    <m/>
    <m/>
    <m/>
    <m/>
    <n v="13"/>
    <s v="September 2009"/>
    <d v="2014-10-10T00:00:00"/>
    <s v="Ibrahim Issoufou"/>
    <s v="http://eiti.org/files/Niger%202005-2006%20EITI%20Report_0.pdf"/>
    <m/>
    <m/>
    <m/>
    <m/>
    <m/>
    <m/>
    <m/>
    <m/>
    <m/>
    <m/>
    <m/>
    <m/>
    <m/>
    <m/>
    <m/>
    <m/>
    <m/>
    <m/>
    <m/>
    <m/>
    <m/>
    <m/>
  </r>
  <r>
    <x v="149"/>
    <n v="2006"/>
    <x v="26"/>
    <s v="Africa"/>
    <m/>
    <s v="Mining"/>
    <s v="yes"/>
    <s v="no"/>
    <s v="no"/>
    <s v="Coal"/>
    <s v="detailed"/>
    <s v="detailed Mining"/>
    <n v="176320"/>
    <m/>
    <m/>
    <m/>
    <m/>
    <s v="t"/>
    <n v="61.17946892471906"/>
    <s v="US$/t"/>
    <s v="Volume from USGS Mineral Yearbook 2009. Price from BPSR 2014, is an average of the American Central Appalachian, Asian and Northwest Europe marker/spot prices."/>
    <n v="10787163.960806465"/>
    <m/>
    <m/>
    <m/>
    <m/>
    <m/>
    <m/>
    <m/>
    <m/>
    <m/>
    <m/>
    <m/>
    <m/>
    <m/>
    <m/>
    <m/>
    <m/>
    <m/>
    <m/>
    <m/>
    <m/>
    <m/>
    <m/>
    <m/>
    <m/>
    <m/>
    <m/>
    <m/>
    <m/>
    <m/>
    <m/>
    <m/>
    <m/>
    <m/>
    <m/>
    <m/>
    <m/>
    <m/>
    <m/>
    <m/>
    <m/>
    <m/>
    <m/>
    <m/>
    <m/>
    <m/>
  </r>
  <r>
    <x v="149"/>
    <n v="2006"/>
    <x v="26"/>
    <s v="Africa"/>
    <m/>
    <s v="Mining"/>
    <s v="yes"/>
    <s v="no"/>
    <s v="no"/>
    <s v="Gold "/>
    <s v="detailed"/>
    <s v="detailed Mining"/>
    <n v="84074.193275813188"/>
    <m/>
    <m/>
    <m/>
    <m/>
    <s v="toz"/>
    <n v="604.33583333333002"/>
    <s v="US$/toz"/>
    <s v="Volume from USGS Mineral Yearbook 2009. Price from World Bank (Global Economic Monitor (GEM) Commodities database), and is defined as: Gold (UK), 99.5% fine, London afternoon fixing, average of daily rates."/>
    <n v="50809047.655166015"/>
    <m/>
    <m/>
    <m/>
    <m/>
    <m/>
    <m/>
    <m/>
    <m/>
    <m/>
    <m/>
    <m/>
    <m/>
    <m/>
    <m/>
    <m/>
    <m/>
    <m/>
    <m/>
    <m/>
    <m/>
    <m/>
    <m/>
    <m/>
    <m/>
    <m/>
    <m/>
    <m/>
    <m/>
    <m/>
    <m/>
    <m/>
    <m/>
    <m/>
    <m/>
    <m/>
    <m/>
    <m/>
    <m/>
    <m/>
    <m/>
    <m/>
    <m/>
    <m/>
    <m/>
    <m/>
  </r>
  <r>
    <x v="149"/>
    <n v="2006"/>
    <x v="26"/>
    <s v="Africa"/>
    <m/>
    <s v="Mining"/>
    <s v="yes"/>
    <s v="no"/>
    <s v="no"/>
    <s v="Salt"/>
    <s v="detailed"/>
    <s v="detailed Mining"/>
    <n v="1300"/>
    <m/>
    <m/>
    <m/>
    <m/>
    <s v="t"/>
    <n v="60.73"/>
    <s v="US$/t"/>
    <s v="Volume from USGS Mineral Yearbook 2009. Price from USGS Mineral Commodity Summary 2009, and is the average f.o.b. mine and plant price for bulk, pellets and packaged vacuum and open pan salt, solar salt, rock salt and salt in brine."/>
    <n v="78949"/>
    <m/>
    <m/>
    <m/>
    <m/>
    <m/>
    <m/>
    <m/>
    <m/>
    <m/>
    <m/>
    <m/>
    <m/>
    <m/>
    <m/>
    <m/>
    <m/>
    <m/>
    <m/>
    <m/>
    <m/>
    <m/>
    <m/>
    <m/>
    <m/>
    <m/>
    <m/>
    <m/>
    <m/>
    <m/>
    <m/>
    <m/>
    <m/>
    <m/>
    <m/>
    <m/>
    <m/>
    <m/>
    <m/>
    <m/>
    <m/>
    <m/>
    <m/>
    <m/>
    <m/>
    <m/>
  </r>
  <r>
    <x v="149"/>
    <n v="2006"/>
    <x v="26"/>
    <s v="Africa"/>
    <m/>
    <s v="Mining"/>
    <s v="yes"/>
    <s v="no"/>
    <s v="no"/>
    <s v="Uranium"/>
    <s v="detailed"/>
    <s v="detailed Mining"/>
    <n v="3434"/>
    <m/>
    <m/>
    <m/>
    <m/>
    <s v="t"/>
    <m/>
    <m/>
    <s v="Volume from USGS Mineral Yearbook 2009"/>
    <m/>
    <m/>
    <m/>
    <m/>
    <m/>
    <m/>
    <m/>
    <m/>
    <m/>
    <m/>
    <m/>
    <m/>
    <m/>
    <m/>
    <m/>
    <m/>
    <m/>
    <m/>
    <m/>
    <m/>
    <m/>
    <m/>
    <m/>
    <m/>
    <m/>
    <m/>
    <m/>
    <m/>
    <m/>
    <m/>
    <m/>
    <m/>
    <m/>
    <m/>
    <m/>
    <m/>
    <m/>
    <m/>
    <m/>
    <m/>
    <m/>
    <m/>
    <m/>
    <m/>
    <m/>
    <m/>
  </r>
  <r>
    <x v="150"/>
    <n v="2007"/>
    <x v="26"/>
    <s v="Africa"/>
    <s v="http://www.itieniger.ne"/>
    <s v="Mining"/>
    <s v="yes"/>
    <s v="no"/>
    <s v="no"/>
    <s v="Total"/>
    <s v="Total"/>
    <s v="Total Mining"/>
    <m/>
    <m/>
    <m/>
    <m/>
    <m/>
    <m/>
    <m/>
    <m/>
    <m/>
    <n v="89666287.341742158"/>
    <s v="Profits/Taxes, Royalties, Dividends, Bonuses, Licenses and concessions, Other significant benefits to government"/>
    <s v="Does not include payments made in-kind"/>
    <m/>
    <n v="147175593.54643524"/>
    <n v="147175593.54643524"/>
    <m/>
    <m/>
    <m/>
    <n v="1.6413704404366578"/>
    <m/>
    <n v="479.27"/>
    <s v="Disaggregated by revenue stream, Disaggregated by company"/>
    <m/>
    <m/>
    <m/>
    <m/>
    <m/>
    <m/>
    <n v="68"/>
    <s v="December 2010"/>
    <d v="2014-10-10T00:00:00"/>
    <s v="Guilbert &amp; Associates"/>
    <s v="http://eiti.org/files/Niger%202007-2008-2009%20EITI%20Report_1.pdf"/>
    <m/>
    <m/>
    <m/>
    <m/>
    <m/>
    <m/>
    <m/>
    <m/>
    <m/>
    <m/>
    <m/>
    <m/>
    <m/>
    <m/>
    <m/>
    <m/>
    <m/>
    <m/>
    <m/>
    <m/>
    <m/>
    <m/>
  </r>
  <r>
    <x v="150"/>
    <n v="2007"/>
    <x v="26"/>
    <s v="Africa"/>
    <m/>
    <s v="Mining"/>
    <s v="yes"/>
    <s v="no"/>
    <s v="no"/>
    <s v="Coal"/>
    <s v="detailed"/>
    <s v="detailed Mining"/>
    <n v="171296"/>
    <m/>
    <m/>
    <m/>
    <m/>
    <s v="t"/>
    <n v="74.838160071314121"/>
    <s v="US$/t"/>
    <s v="Volume from USGS Mineral Yearbook 2011. Price from BPSR 2014, is an average of the American Central Appalachian, Asian and Northwest Europe marker/spot prices."/>
    <n v="12819477.467575824"/>
    <m/>
    <m/>
    <m/>
    <m/>
    <m/>
    <m/>
    <m/>
    <m/>
    <m/>
    <m/>
    <m/>
    <m/>
    <m/>
    <m/>
    <m/>
    <m/>
    <m/>
    <m/>
    <m/>
    <m/>
    <m/>
    <m/>
    <m/>
    <m/>
    <m/>
    <m/>
    <m/>
    <m/>
    <m/>
    <m/>
    <m/>
    <m/>
    <m/>
    <m/>
    <m/>
    <m/>
    <m/>
    <m/>
    <m/>
    <m/>
    <m/>
    <m/>
    <m/>
    <m/>
    <m/>
  </r>
  <r>
    <x v="150"/>
    <n v="2007"/>
    <x v="26"/>
    <s v="Africa"/>
    <m/>
    <s v="Mining"/>
    <s v="yes"/>
    <s v="no"/>
    <s v="no"/>
    <s v="Gold "/>
    <s v="detailed"/>
    <s v="detailed Mining"/>
    <n v="110180.59669453607"/>
    <m/>
    <m/>
    <m/>
    <m/>
    <s v="toz"/>
    <n v="696.72024999999996"/>
    <s v="US$/toz"/>
    <s v="Volume from USGS Mineral Yearbook 2011. Price from World Bank (Global Economic Monitor (GEM) Commodities database), and is defined as: Gold (UK), 99.5% fine, London afternoon fixing, average of daily rates."/>
    <n v="76765052.87416634"/>
    <m/>
    <m/>
    <m/>
    <m/>
    <m/>
    <m/>
    <m/>
    <m/>
    <m/>
    <m/>
    <m/>
    <m/>
    <m/>
    <m/>
    <m/>
    <m/>
    <m/>
    <m/>
    <m/>
    <m/>
    <m/>
    <m/>
    <m/>
    <m/>
    <m/>
    <m/>
    <m/>
    <m/>
    <m/>
    <m/>
    <m/>
    <m/>
    <m/>
    <m/>
    <m/>
    <m/>
    <m/>
    <m/>
    <m/>
    <m/>
    <m/>
    <m/>
    <m/>
    <m/>
    <m/>
  </r>
  <r>
    <x v="150"/>
    <n v="2007"/>
    <x v="26"/>
    <s v="Africa"/>
    <m/>
    <s v="Mining"/>
    <s v="yes"/>
    <s v="no"/>
    <s v="no"/>
    <s v="Salt"/>
    <s v="detailed"/>
    <s v="detailed Mining"/>
    <n v="1300"/>
    <m/>
    <m/>
    <m/>
    <m/>
    <s v="t"/>
    <n v="62.89"/>
    <s v="US$/t"/>
    <s v="Volume from USGS Mineral Yearbook 2011. Price from USGS Mineral Commodity Summary 2009, and is the average f.o.b. mine and plant price for bulk, pellets and packaged vacuum and open pan salt, solar salt, rock salt and salt in brine."/>
    <n v="81757"/>
    <m/>
    <m/>
    <m/>
    <m/>
    <m/>
    <m/>
    <m/>
    <m/>
    <m/>
    <m/>
    <m/>
    <m/>
    <m/>
    <m/>
    <m/>
    <m/>
    <m/>
    <m/>
    <m/>
    <m/>
    <m/>
    <m/>
    <m/>
    <m/>
    <m/>
    <m/>
    <m/>
    <m/>
    <m/>
    <m/>
    <m/>
    <m/>
    <m/>
    <m/>
    <m/>
    <m/>
    <m/>
    <m/>
    <m/>
    <m/>
    <m/>
    <m/>
    <m/>
    <m/>
    <m/>
  </r>
  <r>
    <x v="150"/>
    <n v="2007"/>
    <x v="26"/>
    <s v="Africa"/>
    <m/>
    <s v="Mining"/>
    <s v="yes"/>
    <s v="no"/>
    <s v="no"/>
    <s v="Uranium"/>
    <s v="detailed"/>
    <s v="detailed Mining"/>
    <n v="3153"/>
    <m/>
    <m/>
    <m/>
    <m/>
    <s v="t"/>
    <m/>
    <m/>
    <s v="Volume from USGS Mineral Yearbook 2011"/>
    <m/>
    <m/>
    <m/>
    <m/>
    <m/>
    <m/>
    <m/>
    <m/>
    <m/>
    <m/>
    <m/>
    <m/>
    <m/>
    <m/>
    <m/>
    <m/>
    <m/>
    <m/>
    <m/>
    <m/>
    <m/>
    <m/>
    <m/>
    <m/>
    <m/>
    <m/>
    <m/>
    <m/>
    <m/>
    <m/>
    <m/>
    <m/>
    <m/>
    <m/>
    <m/>
    <m/>
    <m/>
    <m/>
    <m/>
    <m/>
    <m/>
    <m/>
    <m/>
    <m/>
    <m/>
    <m/>
  </r>
  <r>
    <x v="151"/>
    <n v="2008"/>
    <x v="26"/>
    <s v="Africa"/>
    <s v="http://www.itieniger.ne"/>
    <s v="Mining"/>
    <s v="yes"/>
    <s v="no"/>
    <s v="no"/>
    <s v="Total"/>
    <s v="Total"/>
    <s v="Total Mining"/>
    <m/>
    <m/>
    <m/>
    <m/>
    <m/>
    <m/>
    <m/>
    <m/>
    <m/>
    <n v="90250307.517101109"/>
    <s v="Profits/Taxes, Royalties, Dividends, Bonuses, Licenses and concessions, Other significant benefits to government"/>
    <s v="Does not include payments made in-kind"/>
    <m/>
    <n v="418740295.82386595"/>
    <n v="418740295.82386595"/>
    <m/>
    <m/>
    <m/>
    <n v="4.6397658616788737"/>
    <m/>
    <n v="447.81"/>
    <s v="Disaggregated by revenue stream, Disaggregated by company"/>
    <m/>
    <m/>
    <m/>
    <m/>
    <m/>
    <m/>
    <n v="63"/>
    <s v="December 2010"/>
    <d v="2014-10-10T00:00:00"/>
    <s v="Guilbert &amp; Associates"/>
    <s v="http://eiti.org/files/Niger%202007-2008-2009%20EITI%20Report_0.pdf"/>
    <m/>
    <m/>
    <m/>
    <m/>
    <m/>
    <m/>
    <m/>
    <m/>
    <m/>
    <m/>
    <m/>
    <m/>
    <m/>
    <m/>
    <m/>
    <m/>
    <m/>
    <m/>
    <m/>
    <m/>
    <m/>
    <m/>
  </r>
  <r>
    <x v="151"/>
    <n v="2008"/>
    <x v="26"/>
    <s v="Africa"/>
    <m/>
    <s v="Mining"/>
    <s v="yes"/>
    <s v="no"/>
    <s v="no"/>
    <s v="Coal"/>
    <s v="detailed"/>
    <s v="detailed Mining"/>
    <n v="182912"/>
    <m/>
    <m/>
    <m/>
    <m/>
    <s v="t"/>
    <n v="138.17277433644946"/>
    <s v="US$/t"/>
    <s v="Volume from USGS Mineral Yearbook 2011. Price from BPSR 2014, is an average of the American Central Appalachian, Asian and Northwest Europe marker/spot prices."/>
    <n v="25273458.499428645"/>
    <m/>
    <m/>
    <m/>
    <m/>
    <m/>
    <m/>
    <m/>
    <m/>
    <m/>
    <m/>
    <m/>
    <m/>
    <m/>
    <m/>
    <m/>
    <m/>
    <m/>
    <m/>
    <m/>
    <m/>
    <m/>
    <m/>
    <m/>
    <m/>
    <m/>
    <m/>
    <m/>
    <m/>
    <m/>
    <m/>
    <m/>
    <m/>
    <m/>
    <m/>
    <m/>
    <m/>
    <m/>
    <m/>
    <m/>
    <m/>
    <m/>
    <m/>
    <m/>
    <m/>
    <m/>
  </r>
  <r>
    <x v="151"/>
    <n v="2008"/>
    <x v="26"/>
    <s v="Africa"/>
    <m/>
    <s v="Mining"/>
    <s v="yes"/>
    <s v="no"/>
    <s v="no"/>
    <s v="Gold "/>
    <s v="detailed"/>
    <s v="detailed Mining"/>
    <n v="74396.819594734887"/>
    <m/>
    <m/>
    <m/>
    <m/>
    <s v="toz"/>
    <n v="871.70725000000004"/>
    <s v="US$/toz"/>
    <s v="Volume from USGS Mineral Yearbook 2011. Price from World Bank (Global Economic Monitor (GEM) Commodities database), and is defined as: Gold (UK), 99.5% fine, London afternoon fixing, average of daily rates."/>
    <n v="64852247.017672464"/>
    <m/>
    <m/>
    <m/>
    <m/>
    <m/>
    <m/>
    <m/>
    <m/>
    <m/>
    <m/>
    <m/>
    <m/>
    <m/>
    <m/>
    <m/>
    <m/>
    <m/>
    <m/>
    <m/>
    <m/>
    <m/>
    <m/>
    <m/>
    <m/>
    <m/>
    <m/>
    <m/>
    <m/>
    <m/>
    <m/>
    <m/>
    <m/>
    <m/>
    <m/>
    <m/>
    <m/>
    <m/>
    <m/>
    <m/>
    <m/>
    <m/>
    <m/>
    <m/>
    <m/>
    <m/>
  </r>
  <r>
    <x v="151"/>
    <n v="2008"/>
    <x v="26"/>
    <s v="Africa"/>
    <m/>
    <s v="Mining"/>
    <s v="yes"/>
    <s v="no"/>
    <s v="no"/>
    <s v="Salt"/>
    <s v="detailed"/>
    <s v="detailed Mining"/>
    <n v="1900"/>
    <m/>
    <m/>
    <m/>
    <m/>
    <s v="t"/>
    <n v="65.58"/>
    <s v="US$/t"/>
    <s v="Volume from USGS Mineral Yearbook 2011. Price from USGS Mineral Commodity Summary 2013, and is the average f.o.b. mine and plant price for bulk, pellets and packaged vacuum and open pan salt, solar salt, rock salt and salt in brine."/>
    <n v="124602"/>
    <m/>
    <m/>
    <m/>
    <m/>
    <m/>
    <m/>
    <m/>
    <m/>
    <m/>
    <m/>
    <m/>
    <m/>
    <m/>
    <m/>
    <m/>
    <m/>
    <m/>
    <m/>
    <m/>
    <m/>
    <m/>
    <m/>
    <m/>
    <m/>
    <m/>
    <m/>
    <m/>
    <m/>
    <m/>
    <m/>
    <m/>
    <m/>
    <m/>
    <m/>
    <m/>
    <m/>
    <m/>
    <m/>
    <m/>
    <m/>
    <m/>
    <m/>
    <m/>
    <m/>
    <m/>
  </r>
  <r>
    <x v="151"/>
    <n v="2008"/>
    <x v="26"/>
    <s v="Africa"/>
    <m/>
    <s v="Mining"/>
    <s v="yes"/>
    <s v="no"/>
    <s v="no"/>
    <s v="Uranium"/>
    <s v="detailed"/>
    <s v="detailed Mining"/>
    <n v="3032"/>
    <m/>
    <m/>
    <m/>
    <m/>
    <s v="t"/>
    <m/>
    <m/>
    <s v="Volume from USGS Mineral Yearbook 2011"/>
    <m/>
    <m/>
    <m/>
    <m/>
    <m/>
    <m/>
    <m/>
    <m/>
    <m/>
    <m/>
    <m/>
    <m/>
    <m/>
    <m/>
    <m/>
    <m/>
    <m/>
    <m/>
    <m/>
    <m/>
    <m/>
    <m/>
    <m/>
    <m/>
    <m/>
    <m/>
    <m/>
    <m/>
    <m/>
    <m/>
    <m/>
    <m/>
    <m/>
    <m/>
    <m/>
    <m/>
    <m/>
    <m/>
    <m/>
    <m/>
    <m/>
    <m/>
    <m/>
    <m/>
    <m/>
    <m/>
  </r>
  <r>
    <x v="152"/>
    <n v="2009"/>
    <x v="26"/>
    <s v="Africa"/>
    <s v="http://www.itieniger.ne"/>
    <s v="Mining"/>
    <s v="yes"/>
    <s v="no"/>
    <s v="no"/>
    <s v="Total"/>
    <s v="Total"/>
    <s v="Total Mining"/>
    <m/>
    <m/>
    <m/>
    <m/>
    <m/>
    <m/>
    <m/>
    <m/>
    <m/>
    <n v="81083638.956818312"/>
    <s v="Profits/Taxes, Royalties, Bonuses, Licenses and concessions, Other significant benefits to government"/>
    <s v="Does not include payments made in-kind"/>
    <m/>
    <n v="143129702.9482843"/>
    <n v="143129702.9482843"/>
    <m/>
    <m/>
    <m/>
    <n v="1.7652106490251267"/>
    <m/>
    <n v="472.19"/>
    <s v="Disaggregated by revenue stream, Disaggregated by company"/>
    <m/>
    <m/>
    <m/>
    <m/>
    <m/>
    <m/>
    <n v="39"/>
    <s v="December 2010"/>
    <d v="2014-10-10T00:00:00"/>
    <s v="Guilbert &amp; Associates"/>
    <s v="http://eiti.org/files/Niger%202007-2008-2009%20EITI%20Report.pdf"/>
    <m/>
    <m/>
    <m/>
    <m/>
    <m/>
    <m/>
    <m/>
    <m/>
    <m/>
    <m/>
    <m/>
    <m/>
    <m/>
    <m/>
    <m/>
    <m/>
    <m/>
    <m/>
    <m/>
    <m/>
    <m/>
    <m/>
  </r>
  <r>
    <x v="152"/>
    <n v="2009"/>
    <x v="26"/>
    <s v="Africa"/>
    <m/>
    <s v="Mining"/>
    <s v="yes"/>
    <s v="no"/>
    <s v="no"/>
    <s v="Coal"/>
    <s v="detailed"/>
    <s v="detailed Mining"/>
    <n v="225072"/>
    <m/>
    <m/>
    <m/>
    <m/>
    <s v="t"/>
    <n v="72.516709165814987"/>
    <s v="US$/t"/>
    <s v="Volume from USGS Mineral Yearbook 2011. Price from BPSR 2014, is an average of the American Central Appalachian, Asian and Northwest Europe marker/spot prices."/>
    <n v="16321480.765368311"/>
    <m/>
    <m/>
    <m/>
    <m/>
    <m/>
    <m/>
    <m/>
    <m/>
    <m/>
    <m/>
    <m/>
    <m/>
    <m/>
    <m/>
    <m/>
    <m/>
    <m/>
    <m/>
    <m/>
    <m/>
    <m/>
    <m/>
    <m/>
    <m/>
    <m/>
    <m/>
    <m/>
    <m/>
    <m/>
    <m/>
    <m/>
    <m/>
    <m/>
    <m/>
    <m/>
    <m/>
    <m/>
    <m/>
    <m/>
    <m/>
    <m/>
    <m/>
    <m/>
    <m/>
    <m/>
  </r>
  <r>
    <x v="152"/>
    <n v="2009"/>
    <x v="26"/>
    <s v="Africa"/>
    <m/>
    <s v="Mining"/>
    <s v="yes"/>
    <s v="no"/>
    <s v="no"/>
    <s v="Gold "/>
    <s v="detailed"/>
    <s v="detailed Mining"/>
    <n v="66455.586042487907"/>
    <m/>
    <m/>
    <m/>
    <m/>
    <s v="toz"/>
    <n v="972.96591666666995"/>
    <s v="US$/toz"/>
    <s v="Volume from USGS Mineral Yearbook 2011. Price from World Bank (Global Economic Monitor (GEM) Commodities database), and is defined as: Gold (UK), 99.5% fine, London afternoon fixing, average of daily rates."/>
    <n v="64659020.19145"/>
    <m/>
    <m/>
    <m/>
    <m/>
    <m/>
    <m/>
    <m/>
    <m/>
    <m/>
    <m/>
    <m/>
    <m/>
    <m/>
    <m/>
    <m/>
    <m/>
    <m/>
    <m/>
    <m/>
    <m/>
    <m/>
    <m/>
    <m/>
    <m/>
    <m/>
    <m/>
    <m/>
    <m/>
    <m/>
    <m/>
    <m/>
    <m/>
    <m/>
    <m/>
    <m/>
    <m/>
    <m/>
    <m/>
    <m/>
    <m/>
    <m/>
    <m/>
    <m/>
    <m/>
    <m/>
  </r>
  <r>
    <x v="152"/>
    <n v="2009"/>
    <x v="26"/>
    <s v="Africa"/>
    <m/>
    <s v="Mining"/>
    <s v="yes"/>
    <s v="no"/>
    <s v="no"/>
    <s v="Salt"/>
    <s v="detailed"/>
    <s v="detailed Mining"/>
    <n v="1400"/>
    <m/>
    <m/>
    <m/>
    <m/>
    <s v="t"/>
    <n v="73.67"/>
    <s v="US$/t"/>
    <s v="Volume from USGS Mineral Yearbook 2011. Price from USGS Mineral Commodity Summary 2013, and is the average f.o.b. mine and plant price for bulk, pellets and packaged vacuum and open pan salt, solar salt, rock salt and salt in brine."/>
    <n v="103138"/>
    <m/>
    <m/>
    <m/>
    <m/>
    <m/>
    <m/>
    <m/>
    <m/>
    <m/>
    <m/>
    <m/>
    <m/>
    <m/>
    <m/>
    <m/>
    <m/>
    <m/>
    <m/>
    <m/>
    <m/>
    <m/>
    <m/>
    <m/>
    <m/>
    <m/>
    <m/>
    <m/>
    <m/>
    <m/>
    <m/>
    <m/>
    <m/>
    <m/>
    <m/>
    <m/>
    <m/>
    <m/>
    <m/>
    <m/>
    <m/>
    <m/>
    <m/>
    <m/>
    <m/>
    <m/>
  </r>
  <r>
    <x v="152"/>
    <n v="2009"/>
    <x v="26"/>
    <s v="Africa"/>
    <m/>
    <s v="Mining"/>
    <s v="yes"/>
    <s v="no"/>
    <s v="no"/>
    <s v="Uranium"/>
    <s v="detailed"/>
    <s v="detailed Mining"/>
    <n v="3243"/>
    <m/>
    <m/>
    <m/>
    <m/>
    <s v="t"/>
    <m/>
    <m/>
    <s v="Volume from USGS Mineral Yearbook 2011"/>
    <m/>
    <m/>
    <m/>
    <m/>
    <m/>
    <m/>
    <m/>
    <m/>
    <m/>
    <m/>
    <m/>
    <m/>
    <m/>
    <m/>
    <m/>
    <m/>
    <m/>
    <m/>
    <m/>
    <m/>
    <m/>
    <m/>
    <m/>
    <m/>
    <m/>
    <m/>
    <m/>
    <m/>
    <m/>
    <m/>
    <m/>
    <m/>
    <m/>
    <m/>
    <m/>
    <m/>
    <m/>
    <m/>
    <m/>
    <m/>
    <m/>
    <m/>
    <m/>
    <m/>
    <m/>
    <m/>
  </r>
  <r>
    <x v="153"/>
    <n v="2010"/>
    <x v="26"/>
    <s v="Africa"/>
    <s v="http://www.itieniger.ne"/>
    <s v="Mining"/>
    <s v="yes"/>
    <s v="no"/>
    <s v="no"/>
    <s v="Total"/>
    <s v="Total"/>
    <s v="Total Mining"/>
    <m/>
    <m/>
    <m/>
    <m/>
    <m/>
    <m/>
    <m/>
    <m/>
    <m/>
    <n v="98169065.773352399"/>
    <s v="Profits/Taxes, Royalties, Dividends, Licenses and concessions"/>
    <s v="Does not include payments made in-kind"/>
    <m/>
    <n v="109503726.04387245"/>
    <n v="107544027.23628214"/>
    <m/>
    <m/>
    <m/>
    <n v="1.1154606105419085"/>
    <s v="West African CFA Franc"/>
    <n v="486.41"/>
    <s v="Disaggregated by revenue stream, Disaggregated by company"/>
    <m/>
    <m/>
    <m/>
    <m/>
    <n v="73"/>
    <s v="Production: CNPC INTERNATIONAL NIGER, CNPC INTERNATIONAL TENERE, CNPC NIGER PETROLEUM, COMINAK, IMOURAREN SA, SML, SNC MALBAZA, SOMAIR, SOMINA, SONICHAR SA, SOPAMIN SA, SORAZ. Exploration:AFRICAN URANIUM SARL, AGADEZ LTD, AGMDC, AMI AFRICA EXPLORATION, AREVA NC, CARACAL GOLD BURKINA, CLUFF AFRICA ASSOCIATES, COOPER MINERALS, COOPERATIVE ALHER AGADEZ, DELTA EXPLORATION, DREYFUS JULES, ETS NADIA GOLD SHOP, FARIA ASIA GROUP NIGER, GECKO GOLD NIGER, GLOBAL URANIUM, GOLDEN STAR EXPLORATION, GOVIEX NIGER HOLDING, GRADOUA SA, INDO ENERGY LIMITED, ISLAND ARC EXPLORATION, LIPTAKO INVESTMENT, MOHAN EXPORT INDIA, MOHAN EXPORT PVT LTD, NEW URANIUM NIGER, NIGER MINING SERVICES,NIGER RESOURCES INC (OREZONE),  NIGER URANIUM SA, ROCKGATE CAPITAL, SAHEL LAB SA, SAHEL MINING CONS., SAVIGNY MINING NIGER SA, SEMAFO, SEMMOUS LION MINING LTD, SIPEX/SONATRACH, STE DES CIMENTS DU NIGER, TAURIAN RESOURCES, TREND FIELD GOLD MINING, URANIUM EXPLORATION, URANIUM INTERNATIONAL."/>
    <n v="50"/>
    <s v="June 2012"/>
    <d v="2014-11-15T00:00:00"/>
    <s v="Guilbert &amp; Associates"/>
    <s v="http://eiti.org/files/Niger-2010-EITI-Report.pdf"/>
    <s v="6, 14-18"/>
    <s v="Revenues include receipts from small-scale miners, reported unilaterally by govt. The report notes that the state's production share of oil is commercialized by SOPAMIN; however the report doesn't include data on in-kind receipts."/>
    <m/>
    <m/>
    <m/>
    <m/>
    <m/>
    <m/>
    <m/>
    <m/>
    <m/>
    <m/>
    <m/>
    <m/>
    <m/>
    <m/>
    <m/>
    <m/>
    <m/>
    <m/>
    <m/>
    <m/>
  </r>
  <r>
    <x v="153"/>
    <n v="2010"/>
    <x v="26"/>
    <s v="Africa"/>
    <m/>
    <s v="Mining"/>
    <s v="yes"/>
    <s v="no"/>
    <s v="no"/>
    <s v="Coal"/>
    <s v="detailed"/>
    <s v="detailed Mining"/>
    <n v="246558"/>
    <m/>
    <m/>
    <m/>
    <m/>
    <s v="t"/>
    <n v="89.852021850427363"/>
    <s v="US$/t"/>
    <s v="Volume from USGS Mineral Yearbook 2011. Price from BPSR 2014, is an average of the American Central Appalachian, Asian and Northwest Europe marker/spot prices."/>
    <n v="22153734.80339767"/>
    <m/>
    <m/>
    <m/>
    <m/>
    <m/>
    <m/>
    <m/>
    <m/>
    <m/>
    <m/>
    <m/>
    <m/>
    <m/>
    <m/>
    <m/>
    <m/>
    <m/>
    <m/>
    <m/>
    <m/>
    <m/>
    <m/>
    <m/>
    <m/>
    <m/>
    <m/>
    <m/>
    <m/>
    <m/>
    <m/>
    <m/>
    <m/>
    <m/>
    <m/>
    <m/>
    <m/>
    <m/>
    <m/>
    <m/>
    <m/>
    <m/>
    <m/>
    <m/>
    <m/>
    <m/>
  </r>
  <r>
    <x v="153"/>
    <n v="2010"/>
    <x v="26"/>
    <s v="Africa"/>
    <m/>
    <s v="Mining"/>
    <s v="yes"/>
    <s v="no"/>
    <s v="no"/>
    <s v="Gold "/>
    <s v="detailed"/>
    <s v="detailed Mining"/>
    <n v="62018.783491030073"/>
    <m/>
    <m/>
    <m/>
    <m/>
    <s v="toz"/>
    <n v="1224.66425"/>
    <s v="US$/toz"/>
    <s v="Volume from USGS Mineral Yearbook 2011. Price from World Bank (Global Economic Monitor (GEM) Commodities database), and is defined as: Gold (UK), 99.5% fine, London afternoon fixing, average of daily rates."/>
    <n v="75952186.969954729"/>
    <m/>
    <m/>
    <m/>
    <m/>
    <m/>
    <m/>
    <m/>
    <m/>
    <m/>
    <m/>
    <m/>
    <m/>
    <m/>
    <m/>
    <m/>
    <m/>
    <m/>
    <m/>
    <m/>
    <m/>
    <m/>
    <m/>
    <m/>
    <m/>
    <m/>
    <m/>
    <m/>
    <m/>
    <m/>
    <m/>
    <m/>
    <m/>
    <m/>
    <m/>
    <m/>
    <m/>
    <m/>
    <m/>
    <m/>
    <m/>
    <m/>
    <m/>
    <m/>
    <m/>
    <m/>
  </r>
  <r>
    <x v="153"/>
    <n v="2010"/>
    <x v="26"/>
    <s v="Africa"/>
    <m/>
    <s v="Mining"/>
    <s v="yes"/>
    <s v="no"/>
    <s v="no"/>
    <s v="Salt"/>
    <s v="detailed"/>
    <s v="detailed Mining"/>
    <n v="900"/>
    <m/>
    <m/>
    <m/>
    <m/>
    <s v="t"/>
    <n v="70.16"/>
    <s v="US$/t"/>
    <s v="Volume from USGS Mineral Yearbook 2011. Price from USGS Mineral Commodity Summary 2013, and is the average f.o.b. mine and plant price for bulk, pellets and packaged vacuum and open pan salt, solar salt, rock salt and salt in brine."/>
    <n v="63144"/>
    <m/>
    <m/>
    <m/>
    <m/>
    <m/>
    <m/>
    <m/>
    <m/>
    <m/>
    <m/>
    <m/>
    <m/>
    <m/>
    <m/>
    <m/>
    <m/>
    <m/>
    <m/>
    <m/>
    <m/>
    <m/>
    <m/>
    <m/>
    <m/>
    <m/>
    <m/>
    <m/>
    <m/>
    <m/>
    <m/>
    <m/>
    <m/>
    <m/>
    <m/>
    <m/>
    <m/>
    <m/>
    <m/>
    <m/>
    <m/>
    <m/>
    <m/>
    <m/>
    <m/>
    <m/>
  </r>
  <r>
    <x v="153"/>
    <n v="2010"/>
    <x v="26"/>
    <s v="Africa"/>
    <m/>
    <s v="Mining"/>
    <s v="yes"/>
    <s v="no"/>
    <s v="no"/>
    <s v="Uranium"/>
    <s v="detailed"/>
    <s v="detailed Mining"/>
    <n v="4198"/>
    <m/>
    <m/>
    <m/>
    <m/>
    <s v="t"/>
    <m/>
    <m/>
    <s v="Volume from USGS Mineral Yearbook 2011"/>
    <m/>
    <m/>
    <m/>
    <m/>
    <m/>
    <m/>
    <m/>
    <m/>
    <m/>
    <m/>
    <m/>
    <m/>
    <m/>
    <m/>
    <m/>
    <m/>
    <m/>
    <m/>
    <m/>
    <m/>
    <m/>
    <m/>
    <m/>
    <m/>
    <m/>
    <m/>
    <m/>
    <m/>
    <m/>
    <m/>
    <m/>
    <m/>
    <m/>
    <m/>
    <m/>
    <m/>
    <m/>
    <m/>
    <m/>
    <m/>
    <m/>
    <m/>
    <m/>
    <m/>
    <m/>
    <m/>
  </r>
  <r>
    <x v="154"/>
    <n v="2011"/>
    <x v="26"/>
    <s v="Africa"/>
    <s v="http://www.itieniger.ne"/>
    <s v="Oil, Mining"/>
    <s v="yes"/>
    <s v="no"/>
    <s v="yes"/>
    <s v="Total"/>
    <s v="Total"/>
    <s v="Total Oil, Mining"/>
    <m/>
    <m/>
    <m/>
    <m/>
    <m/>
    <m/>
    <m/>
    <m/>
    <m/>
    <n v="383259662.98305523"/>
    <s v="Profits/Taxes, Royalties, Dividends, Licenses and concessions, Other significant benefits to government"/>
    <s v="Also covers payments made in-kind"/>
    <s v="Yes"/>
    <n v="119279040.34148772"/>
    <n v="117840829.10229464"/>
    <m/>
    <m/>
    <m/>
    <n v="0.31122252577558968"/>
    <s v="West African CFA Franc"/>
    <n v="461.51"/>
    <s v="Disaggregated by revenue stream"/>
    <s v="851.80 tonnes of uranium"/>
    <n v="148925.14788411953"/>
    <m/>
    <m/>
    <n v="20"/>
    <s v="See notes"/>
    <n v="113"/>
    <s v="December 2013"/>
    <d v="2014-10-10T00:00:00"/>
    <s v="Cabinet Expertise Comptable Ibrahim Issoufou"/>
    <s v="http://eiti.org/files/4eme_rapport_itie_niger_2011_0.pdf"/>
    <s v="15, 23"/>
    <s v="Slight differences with eiti.org totals probably due to exchange rate. The report descibes in-kind (&quot;quote-part&quot;) uranium receipts by SOPAMIN, the state mining company, of 851.80 tonnes valued at FCFA 68,730,445 (see p.15); this value has been added to Total Received by Govt. Declaration of some payments was optional (droits de doane et taxes assimilées, etc, see p.19-21); these payments are included in totals. Company names (including individual miners) are too numerous to input manually; see list of producing companies on p.12-14 and company-by-company data in Annex, which includes company-reported payments for only 20 companies). "/>
    <m/>
    <m/>
    <m/>
    <m/>
    <m/>
    <m/>
    <m/>
    <m/>
    <m/>
    <m/>
    <m/>
    <m/>
    <m/>
    <m/>
    <m/>
    <m/>
    <m/>
    <m/>
    <m/>
    <m/>
  </r>
  <r>
    <x v="154"/>
    <n v="2011"/>
    <x v="26"/>
    <s v="Africa"/>
    <m/>
    <s v="Oil"/>
    <s v="no"/>
    <s v="no"/>
    <s v="yes"/>
    <s v="Oil"/>
    <s v="detailed"/>
    <s v="detailed Oil"/>
    <n v="2445500"/>
    <m/>
    <m/>
    <m/>
    <m/>
    <s v="bbl"/>
    <n v="106.530653575"/>
    <s v="US$/bbl"/>
    <s v="Volume from EIA. Price from BPSR 2014, and is an average of the spot prices for Brent, Dubai, Nigerian Forcados and West Texas Intermediate crude oil."/>
    <n v="260520713.31766251"/>
    <m/>
    <m/>
    <m/>
    <m/>
    <m/>
    <m/>
    <m/>
    <m/>
    <m/>
    <m/>
    <m/>
    <m/>
    <m/>
    <m/>
    <m/>
    <m/>
    <m/>
    <m/>
    <m/>
    <m/>
    <m/>
    <m/>
    <m/>
    <m/>
    <m/>
    <m/>
    <m/>
    <m/>
    <m/>
    <m/>
    <m/>
    <m/>
    <m/>
    <m/>
    <m/>
    <m/>
    <m/>
    <m/>
    <m/>
    <m/>
    <m/>
    <m/>
    <m/>
    <m/>
    <m/>
  </r>
  <r>
    <x v="154"/>
    <n v="2011"/>
    <x v="26"/>
    <s v="Africa"/>
    <m/>
    <s v="Mining"/>
    <s v="yes"/>
    <s v="no"/>
    <s v="no"/>
    <s v="Total Mining"/>
    <s v="Total"/>
    <s v="Total Mining"/>
    <m/>
    <m/>
    <m/>
    <m/>
    <m/>
    <m/>
    <m/>
    <m/>
    <m/>
    <n v="122738949.6653927"/>
    <m/>
    <m/>
    <m/>
    <m/>
    <m/>
    <m/>
    <m/>
    <m/>
    <m/>
    <m/>
    <m/>
    <m/>
    <m/>
    <m/>
    <m/>
    <m/>
    <m/>
    <m/>
    <m/>
    <m/>
    <m/>
    <m/>
    <m/>
    <m/>
    <m/>
    <m/>
    <m/>
    <m/>
    <m/>
    <m/>
    <m/>
    <m/>
    <m/>
    <m/>
    <m/>
    <m/>
    <m/>
    <m/>
    <m/>
    <m/>
    <m/>
    <m/>
    <m/>
    <m/>
    <m/>
  </r>
  <r>
    <x v="154"/>
    <n v="2011"/>
    <x v="26"/>
    <s v="Africa"/>
    <m/>
    <s v="Mining"/>
    <s v="yes"/>
    <s v="no"/>
    <s v="no"/>
    <s v="Coal"/>
    <s v="detailed"/>
    <s v="detailed Mining"/>
    <n v="250000"/>
    <m/>
    <m/>
    <m/>
    <m/>
    <s v="t"/>
    <n v="111.54662184722224"/>
    <s v="US$/t"/>
    <s v="Volume from USGS Mineral Yearbook 2011. Price from BPSR 2014, is an average of the American Central Appalachian, Asian and Northwest Europe marker/spot prices."/>
    <n v="27886655.46180556"/>
    <m/>
    <m/>
    <m/>
    <m/>
    <m/>
    <m/>
    <m/>
    <m/>
    <m/>
    <m/>
    <m/>
    <m/>
    <m/>
    <m/>
    <m/>
    <m/>
    <m/>
    <m/>
    <m/>
    <m/>
    <m/>
    <m/>
    <m/>
    <m/>
    <m/>
    <m/>
    <m/>
    <m/>
    <m/>
    <m/>
    <m/>
    <m/>
    <m/>
    <m/>
    <m/>
    <m/>
    <m/>
    <m/>
    <m/>
    <m/>
    <m/>
    <m/>
    <m/>
    <m/>
    <m/>
  </r>
  <r>
    <x v="154"/>
    <n v="2011"/>
    <x v="26"/>
    <s v="Africa"/>
    <m/>
    <s v="Mining"/>
    <s v="yes"/>
    <s v="no"/>
    <s v="no"/>
    <s v="Gold "/>
    <s v="detailed"/>
    <s v="detailed Mining"/>
    <n v="60411.246334704774"/>
    <m/>
    <m/>
    <m/>
    <m/>
    <s v="toz"/>
    <n v="1569.2108333333299"/>
    <s v="US$/toz"/>
    <s v="Volume from USGS Mineral Yearbook 2011. Price from World Bank (Global Economic Monitor (GEM) Commodities database), and is defined as: Gold (UK), 99.5% fine, London afternoon fixing, average of daily rates."/>
    <n v="94797982.203587145"/>
    <m/>
    <m/>
    <m/>
    <m/>
    <m/>
    <m/>
    <m/>
    <m/>
    <m/>
    <m/>
    <m/>
    <m/>
    <m/>
    <m/>
    <m/>
    <m/>
    <m/>
    <m/>
    <m/>
    <m/>
    <m/>
    <m/>
    <m/>
    <m/>
    <m/>
    <m/>
    <m/>
    <m/>
    <m/>
    <m/>
    <m/>
    <m/>
    <m/>
    <m/>
    <m/>
    <m/>
    <m/>
    <m/>
    <m/>
    <m/>
    <m/>
    <m/>
    <m/>
    <m/>
    <m/>
  </r>
  <r>
    <x v="154"/>
    <n v="2011"/>
    <x v="26"/>
    <s v="Africa"/>
    <m/>
    <s v="Mining"/>
    <s v="yes"/>
    <s v="no"/>
    <s v="no"/>
    <s v="Salt"/>
    <s v="detailed"/>
    <s v="detailed Mining"/>
    <n v="800"/>
    <m/>
    <m/>
    <m/>
    <m/>
    <s v="t"/>
    <n v="67.89"/>
    <s v="US$/t"/>
    <s v="Volume from USGS Mineral Yearbook 2011. Price from USGS Mineral Commodity Summary 2013, and is the average f.o.b. mine and plant price for bulk, pellets and packaged vacuum and open pan salt, solar salt, rock salt and salt in brine."/>
    <n v="54312"/>
    <m/>
    <m/>
    <m/>
    <m/>
    <m/>
    <m/>
    <m/>
    <m/>
    <m/>
    <m/>
    <m/>
    <m/>
    <m/>
    <m/>
    <m/>
    <m/>
    <m/>
    <m/>
    <m/>
    <m/>
    <m/>
    <m/>
    <m/>
    <m/>
    <m/>
    <m/>
    <m/>
    <m/>
    <m/>
    <m/>
    <m/>
    <m/>
    <m/>
    <m/>
    <m/>
    <m/>
    <m/>
    <m/>
    <m/>
    <m/>
    <m/>
    <m/>
    <m/>
    <m/>
    <m/>
  </r>
  <r>
    <x v="154"/>
    <n v="2011"/>
    <x v="26"/>
    <s v="Africa"/>
    <m/>
    <s v="Mining"/>
    <s v="yes"/>
    <s v="no"/>
    <s v="no"/>
    <s v="Uranium"/>
    <s v="detailed"/>
    <s v="detailed Mining"/>
    <n v="4351"/>
    <m/>
    <m/>
    <m/>
    <m/>
    <s v="t"/>
    <m/>
    <m/>
    <s v="Volume from USGS Mineral Yearbook 2011"/>
    <m/>
    <m/>
    <m/>
    <m/>
    <m/>
    <m/>
    <m/>
    <m/>
    <m/>
    <m/>
    <m/>
    <m/>
    <m/>
    <m/>
    <m/>
    <m/>
    <m/>
    <m/>
    <m/>
    <m/>
    <m/>
    <m/>
    <m/>
    <m/>
    <m/>
    <m/>
    <m/>
    <m/>
    <m/>
    <m/>
    <m/>
    <m/>
    <m/>
    <m/>
    <m/>
    <m/>
    <m/>
    <m/>
    <m/>
    <m/>
    <m/>
    <m/>
    <m/>
    <m/>
    <m/>
    <m/>
  </r>
  <r>
    <x v="155"/>
    <n v="2012"/>
    <x v="26"/>
    <s v="Africa"/>
    <s v="http://www.itieniger.ne"/>
    <s v="Oil, Mining"/>
    <m/>
    <m/>
    <m/>
    <s v="Total"/>
    <m/>
    <m/>
    <m/>
    <m/>
    <m/>
    <m/>
    <m/>
    <m/>
    <m/>
    <m/>
    <s v="Volume from EITI Report"/>
    <m/>
    <s v="Profits/Taxes, Royalties, Dividends, Bonuses, Licenses and concessions_x000a_Other significant benefits to government"/>
    <s v="Does not include payments made in-kind ***"/>
    <s v="No"/>
    <n v="344759167"/>
    <n v="340897169"/>
    <n v="0.995"/>
    <n v="344759167"/>
    <m/>
    <m/>
    <s v="West African CFA Franc"/>
    <n v="507.2"/>
    <s v="Disaggregated by revenue stream, Disaggregated by company"/>
    <m/>
    <m/>
    <m/>
    <m/>
    <m/>
    <m/>
    <n v="63"/>
    <s v="December 2014"/>
    <m/>
    <s v="CCII Ibrahim Issoufou"/>
    <s v="https://eiti.org/files/Rapport%20du00E9finitif%20collecte%202012.pdf"/>
    <m/>
    <s v="Companies requested to report / reporting section unclear (and discrepancy with the website). Exchange rate not indicated in the report. In-kind payments not included (as opposed to what is stated on EITI website)."/>
    <m/>
    <m/>
    <m/>
    <m/>
    <m/>
    <m/>
    <m/>
    <m/>
    <m/>
    <m/>
    <m/>
    <m/>
    <m/>
    <m/>
    <m/>
    <m/>
    <m/>
    <m/>
    <m/>
    <m/>
  </r>
  <r>
    <x v="155"/>
    <n v="2012"/>
    <x v="26"/>
    <s v="Africa"/>
    <m/>
    <s v="Oil"/>
    <m/>
    <m/>
    <m/>
    <s v="Oil"/>
    <m/>
    <m/>
    <m/>
    <m/>
    <m/>
    <n v="4642828"/>
    <m/>
    <s v="bbl"/>
    <m/>
    <m/>
    <m/>
    <m/>
    <m/>
    <m/>
    <m/>
    <m/>
    <m/>
    <m/>
    <m/>
    <m/>
    <m/>
    <m/>
    <m/>
    <m/>
    <m/>
    <m/>
    <m/>
    <m/>
    <m/>
    <m/>
    <m/>
    <m/>
    <m/>
    <m/>
    <m/>
    <m/>
    <m/>
    <m/>
    <m/>
    <m/>
    <m/>
    <m/>
    <m/>
    <m/>
    <m/>
    <m/>
    <m/>
    <m/>
    <m/>
    <m/>
    <m/>
    <m/>
    <m/>
    <m/>
    <m/>
    <m/>
    <m/>
  </r>
  <r>
    <x v="155"/>
    <n v="2012"/>
    <x v="26"/>
    <s v="Africa"/>
    <m/>
    <s v="Mining"/>
    <m/>
    <m/>
    <m/>
    <s v="Uranium"/>
    <m/>
    <m/>
    <m/>
    <m/>
    <m/>
    <n v="1773"/>
    <m/>
    <s v="t"/>
    <m/>
    <m/>
    <m/>
    <m/>
    <m/>
    <m/>
    <m/>
    <m/>
    <m/>
    <m/>
    <m/>
    <m/>
    <m/>
    <m/>
    <m/>
    <m/>
    <m/>
    <m/>
    <m/>
    <m/>
    <m/>
    <m/>
    <m/>
    <m/>
    <m/>
    <m/>
    <m/>
    <m/>
    <m/>
    <m/>
    <m/>
    <m/>
    <m/>
    <m/>
    <m/>
    <m/>
    <m/>
    <m/>
    <m/>
    <m/>
    <m/>
    <m/>
    <m/>
    <m/>
    <m/>
    <m/>
    <m/>
    <m/>
    <m/>
  </r>
  <r>
    <x v="155"/>
    <n v="2012"/>
    <x v="26"/>
    <s v="Africa"/>
    <m/>
    <s v="Mining"/>
    <m/>
    <m/>
    <m/>
    <s v="Gold"/>
    <m/>
    <m/>
    <m/>
    <m/>
    <m/>
    <n v="1662"/>
    <m/>
    <s v="kg"/>
    <m/>
    <m/>
    <m/>
    <m/>
    <m/>
    <m/>
    <m/>
    <m/>
    <m/>
    <m/>
    <m/>
    <m/>
    <m/>
    <m/>
    <m/>
    <m/>
    <m/>
    <m/>
    <m/>
    <m/>
    <m/>
    <m/>
    <m/>
    <m/>
    <m/>
    <m/>
    <m/>
    <m/>
    <m/>
    <m/>
    <m/>
    <m/>
    <m/>
    <m/>
    <m/>
    <m/>
    <m/>
    <m/>
    <m/>
    <m/>
    <m/>
    <m/>
    <m/>
    <m/>
    <m/>
    <m/>
    <m/>
    <m/>
    <m/>
  </r>
  <r>
    <x v="156"/>
    <n v="1999"/>
    <x v="27"/>
    <s v="Africa"/>
    <s v="http://neiti.org.ng/"/>
    <s v="Oil, Gas"/>
    <s v="no"/>
    <s v="yes"/>
    <s v="yes"/>
    <s v="Total"/>
    <s v="Total"/>
    <s v="Total Oil, Gas"/>
    <m/>
    <m/>
    <m/>
    <m/>
    <m/>
    <m/>
    <m/>
    <m/>
    <m/>
    <n v="10877489000"/>
    <s v="Host government's production entitlement, State-owned company production entitlement, Profits/Taxes, Royalties, Dividends, Bonuses, Licenses and concessions, Other significant benefits to government"/>
    <s v="Also covers payments made in-kind"/>
    <s v="No"/>
    <n v="8073000000"/>
    <n v="8084000000"/>
    <m/>
    <m/>
    <m/>
    <n v="0.74217496335781175"/>
    <s v="United States Dollar"/>
    <s v=""/>
    <s v="Disaggregated by revenue stream"/>
    <s v="430,000,000 bbl of oil"/>
    <n v="5929000000"/>
    <m/>
    <m/>
    <n v="24"/>
    <s v="Addax Petroleum, Agip Energy &amp; Natural Resources Limited, AMNI International Petroleum Development Company, Atlas Petroleum International, Chevron Nigeria Ltd, Chevron Oil Company Nigeria, Chevron Texaco, Canoil Producing, Continental Oil and gas, Dubri Oil Company, Elf Petroleum, Express Petroleum, Mobil Producing Nigeria Unlimited, Moni Pulo Petroleum Development Company, Nigerian Agip Exploration, Nigerian Agip Oil Company, Nigerian LNG Ltd, Nigerian Petroleum Development Company, Panocean, Phillips Oil Company (Nigeria), Shell Exploration, Shell Petroleum Development Company, Texaco Overseas"/>
    <n v="24"/>
    <s v="October 2006"/>
    <d v="2014-10-08T00:00:00"/>
    <s v="Hart group"/>
    <s v="http://eiti.org/files/Nigeria%201999-%202004%20EITI%20Report_4.pdf"/>
    <s v="13-15"/>
    <s v="Materiality threshold: not given. The report does not clearly compare government receipts and company payments for all revenue streams, but implies that those with differences are listed. Unilateral declarations are not included. Government has a majority share in joint ventures through the National Nigerian Petroleum Company's (NPCC) upstream subsidiary, the Nigerian Petroleum Development Company (NPDC), with Chevron, Elf, Mobil, NAOC, Panocean, SPDC, Topcon. It also has a 49% shareholding in Nigerian LNG Ltd. The report also reports on: the calculation of the petroleum profits tax, including company costs; the financing of joint ventures."/>
    <m/>
    <m/>
    <m/>
    <m/>
    <m/>
    <m/>
    <m/>
    <m/>
    <m/>
    <m/>
    <m/>
    <m/>
    <m/>
    <m/>
    <m/>
    <m/>
    <m/>
    <m/>
    <m/>
    <m/>
  </r>
  <r>
    <x v="156"/>
    <n v="1999"/>
    <x v="27"/>
    <s v="Africa"/>
    <m/>
    <s v="Gas"/>
    <s v="no"/>
    <s v="yes"/>
    <s v="no"/>
    <s v="Gas"/>
    <s v="detailed"/>
    <s v="detailed Gas"/>
    <n v="4600000000"/>
    <n v="30360000"/>
    <m/>
    <m/>
    <m/>
    <s v="m³"/>
    <n v="6.9614999999999996E-2"/>
    <s v="US$/m³"/>
    <s v="Volume and price from BPSR 2014. Price is an average of the UK, US and Canada Indices for natural gas."/>
    <n v="320229000"/>
    <m/>
    <m/>
    <m/>
    <m/>
    <m/>
    <m/>
    <m/>
    <m/>
    <m/>
    <m/>
    <m/>
    <m/>
    <m/>
    <m/>
    <m/>
    <m/>
    <m/>
    <m/>
    <m/>
    <m/>
    <m/>
    <m/>
    <m/>
    <m/>
    <m/>
    <m/>
    <m/>
    <m/>
    <m/>
    <m/>
    <m/>
    <m/>
    <m/>
    <m/>
    <m/>
    <m/>
    <m/>
    <m/>
    <m/>
    <m/>
    <m/>
    <m/>
    <m/>
    <m/>
    <m/>
  </r>
  <r>
    <x v="156"/>
    <n v="1999"/>
    <x v="27"/>
    <s v="Africa"/>
    <m/>
    <s v="Oil"/>
    <s v="no"/>
    <s v="no"/>
    <s v="yes"/>
    <s v="Oil"/>
    <s v="detailed"/>
    <s v="detailed Oil"/>
    <n v="754090000"/>
    <n v="4.0260446365818402E-2"/>
    <m/>
    <m/>
    <m/>
    <s v="bbl"/>
    <n v="14"/>
    <s v="US$/bbl"/>
    <s v="Volume from BPSR 2014. Price from EITI Report, and is based on the reported value and quantity of payments in-kind."/>
    <n v="10557260000"/>
    <m/>
    <m/>
    <m/>
    <m/>
    <m/>
    <m/>
    <m/>
    <m/>
    <m/>
    <m/>
    <m/>
    <m/>
    <m/>
    <m/>
    <m/>
    <m/>
    <m/>
    <m/>
    <m/>
    <m/>
    <m/>
    <m/>
    <m/>
    <n v="51"/>
    <m/>
    <m/>
    <m/>
    <m/>
    <m/>
    <m/>
    <m/>
    <m/>
    <m/>
    <m/>
    <m/>
    <m/>
    <m/>
    <m/>
    <m/>
    <m/>
    <m/>
    <m/>
    <m/>
    <m/>
    <m/>
  </r>
  <r>
    <x v="157"/>
    <n v="2000"/>
    <x v="27"/>
    <s v="Africa"/>
    <s v="http://neiti.org.ng/"/>
    <s v="Oil, Gas"/>
    <s v="no"/>
    <s v="yes"/>
    <s v="yes"/>
    <s v="Total"/>
    <s v="Total"/>
    <s v="Total Oil, Gas"/>
    <m/>
    <m/>
    <m/>
    <m/>
    <m/>
    <m/>
    <m/>
    <m/>
    <m/>
    <n v="18849799724.242424"/>
    <s v="Host government's production entitlement, State-owned company production entitlement, Profits/Taxes, Royalties, Dividends, Bonuses, Licenses and concessions, Other significant benefits to government"/>
    <s v="Also covers payments made in-kind"/>
    <s v="No"/>
    <n v="15807000000"/>
    <n v="15807000000"/>
    <m/>
    <m/>
    <m/>
    <n v="0.83857654888878586"/>
    <s v="United States Dollar"/>
    <s v=""/>
    <s v="Disaggregated by revenue stream"/>
    <s v="462,000,000 bbl of oil"/>
    <n v="10171000000"/>
    <m/>
    <m/>
    <n v="24"/>
    <s v="Addax Petroleum, Agip Energy &amp; Natural Resources Limited, AMNI International Petroleum Development Company, Atlas Petroleum International, Chevron Nigeria Ltd, Chevron Oil Company Nigeria, Chevron Texaco, Canoil Producing, Continental Oil and gas, Dubri Oil Company, Elf Petroleum, Express Petroleum, Mobil Producing Nigeria Unlimited, Moni Pulo Petroleum Development Company, Nigerian Agip Exploration, Nigerian Agip Oil Company, Nigerian LNG Ltd, Nigerian Petroleum Development Company, Panocean, Phillips Oil Company (Nigeria), Shell Exploration, Shell Petroleum Development Company, Texaco Overseas"/>
    <n v="24"/>
    <s v="October 2006"/>
    <d v="2014-10-08T00:00:00"/>
    <s v="Hart group"/>
    <s v="http://eiti.org/files/Nigeria%201999-%202004%20EITI%20Report_4.pdf"/>
    <s v="13-15"/>
    <s v="Materiality threshold: not given. The report does not clearly compare government receipts and company payments for all revenue streams, but implies that those with differences are listed. Unilateral declarations are not included. Government has a majority share in joint ventures through the National Nigerian Petroleum Company's (NPCC) upstream subsidiary, the Nigerian Petroleum Development Company (NPDC), with Chevron, Elf, Mobil, NAOC, Panocean, SPDC, Topcon. It also has a 49% shareholding in Nigerian LNG Ltd. The report also reports on: the calculation of the petroleum profits tax, including company costs; the financing of joint ventures."/>
    <m/>
    <m/>
    <m/>
    <m/>
    <m/>
    <m/>
    <m/>
    <m/>
    <m/>
    <m/>
    <m/>
    <m/>
    <m/>
    <m/>
    <m/>
    <m/>
    <m/>
    <m/>
    <m/>
    <m/>
  </r>
  <r>
    <x v="157"/>
    <n v="2000"/>
    <x v="27"/>
    <s v="Africa"/>
    <m/>
    <s v="Gas"/>
    <s v="no"/>
    <s v="yes"/>
    <s v="no"/>
    <s v="Gas"/>
    <s v="detailed"/>
    <s v="detailed Gas"/>
    <n v="11800000000"/>
    <n v="77880000"/>
    <m/>
    <m/>
    <m/>
    <s v="m³"/>
    <n v="0.12721100000000002"/>
    <s v="US$/m³"/>
    <s v="Volume and price from BPSR 2014. Price is an average of the UK, US and Canada Indices for natural gas."/>
    <n v="1501089800.0000002"/>
    <m/>
    <m/>
    <m/>
    <m/>
    <m/>
    <m/>
    <m/>
    <m/>
    <m/>
    <m/>
    <m/>
    <m/>
    <m/>
    <m/>
    <m/>
    <m/>
    <m/>
    <m/>
    <m/>
    <m/>
    <m/>
    <m/>
    <m/>
    <m/>
    <m/>
    <m/>
    <m/>
    <m/>
    <m/>
    <m/>
    <m/>
    <m/>
    <m/>
    <m/>
    <m/>
    <m/>
    <m/>
    <m/>
    <m/>
    <m/>
    <m/>
    <m/>
    <m/>
    <m/>
    <m/>
  </r>
  <r>
    <x v="157"/>
    <n v="2000"/>
    <x v="27"/>
    <s v="Africa"/>
    <m/>
    <s v="Oil"/>
    <s v="no"/>
    <s v="no"/>
    <s v="yes"/>
    <s v="Oil"/>
    <s v="detailed"/>
    <s v="detailed Oil"/>
    <n v="788035000"/>
    <n v="9.8828097736775644E-2"/>
    <m/>
    <m/>
    <m/>
    <s v="bbl"/>
    <n v="22.015151515151516"/>
    <s v="US$/bbl"/>
    <s v="Volume from BPSR 2014. Price from EITI Report, and is based on the reported value and quantity of payments in-kind."/>
    <n v="17348709924.242424"/>
    <m/>
    <m/>
    <m/>
    <m/>
    <m/>
    <m/>
    <m/>
    <m/>
    <m/>
    <m/>
    <m/>
    <m/>
    <m/>
    <m/>
    <m/>
    <m/>
    <m/>
    <m/>
    <m/>
    <m/>
    <m/>
    <m/>
    <m/>
    <n v="51"/>
    <m/>
    <m/>
    <m/>
    <m/>
    <m/>
    <m/>
    <m/>
    <m/>
    <m/>
    <m/>
    <m/>
    <m/>
    <m/>
    <m/>
    <m/>
    <m/>
    <m/>
    <m/>
    <m/>
    <m/>
    <m/>
  </r>
  <r>
    <x v="158"/>
    <n v="2001"/>
    <x v="27"/>
    <s v="Africa"/>
    <s v="http://neiti.org.ng/"/>
    <s v="Oil, Gas"/>
    <s v="no"/>
    <s v="yes"/>
    <s v="yes"/>
    <s v="Total"/>
    <s v="Total"/>
    <s v="Total Oil, Gas"/>
    <m/>
    <m/>
    <m/>
    <m/>
    <m/>
    <m/>
    <m/>
    <m/>
    <m/>
    <n v="19202199449.260044"/>
    <s v="Host government's production entitlement, State-owned company production entitlement, Profits/Taxes, Royalties, Dividends, Bonuses, Licenses and concessions, Other significant benefits to government"/>
    <s v="Also covers payments made in-kind"/>
    <s v="No"/>
    <n v="15909000000"/>
    <n v="15909000000"/>
    <m/>
    <m/>
    <m/>
    <n v="0.82849884160603549"/>
    <s v="United States Dollar"/>
    <s v=""/>
    <s v="Disaggregated by revenue stream"/>
    <s v="473,000,000 bbl of oil"/>
    <n v="9784000000"/>
    <m/>
    <m/>
    <n v="24"/>
    <s v="Addax Petroleum, Agip Energy &amp; Natural Resources Limited, AMNI International Petroleum Development Company, Atlas Petroleum International, Chevron Nigeria Ltd, Chevron Oil Company Nigeria, Chevron Texaco, Canoil Producing, Continental Oil and gas, Dubri Oil Company, Elf Petroleum, Express Petroleum, Mobil Producing Nigeria Unlimited, Moni Pulo Petroleum Development Company, Nigerian Agip Exploration, Nigerian Agip Oil Company, Nigerian LNG Ltd, Nigerian Petroleum Development Company, Panocean, Phillips Oil Company (Nigeria), Shell Exploration, Shell Petroleum Development Company, Texaco Overseas"/>
    <n v="24"/>
    <s v="October 2006"/>
    <d v="2014-10-08T00:00:00"/>
    <s v="Hart group"/>
    <s v="http://eiti.org/files/Nigeria%201999-%202004%20EITI%20Report_4.pdf"/>
    <s v="13-15"/>
    <s v="Materiality threshold: not given. The report does not clearly compare government receipts and company payments for all revenue streams, but implies that those with differences are listed. Unilateral declarations are not included. Government has a majority share in joint ventures through the National Nigerian Petroleum Company's (NPCC) upstream subsidiary, the Nigerian Petroleum Development Company (NPDC), with Chevron, Elf, Mobil, NAOC, Panocean, SPDC, Topcon. It also has a 49% shareholding in Nigerian LNG Ltd. The report also reports on: the calculation of the petroleum profits tax, including company costs; the financing of joint ventures."/>
    <m/>
    <m/>
    <m/>
    <m/>
    <m/>
    <m/>
    <m/>
    <m/>
    <m/>
    <m/>
    <m/>
    <m/>
    <m/>
    <m/>
    <m/>
    <m/>
    <m/>
    <m/>
    <m/>
    <m/>
  </r>
  <r>
    <x v="158"/>
    <n v="2001"/>
    <x v="27"/>
    <s v="Africa"/>
    <m/>
    <s v="Gas"/>
    <s v="no"/>
    <s v="yes"/>
    <s v="no"/>
    <s v="Gas"/>
    <s v="detailed"/>
    <s v="detailed Gas"/>
    <n v="16100000000"/>
    <n v="106260000"/>
    <m/>
    <m/>
    <m/>
    <s v="m³"/>
    <n v="0.12911500000000001"/>
    <s v="US$/m³"/>
    <s v="Volume and price from BPSR 2014. Price is an average of the UK, US and Canada Indices for natural gas."/>
    <n v="2078751500.0000002"/>
    <m/>
    <m/>
    <m/>
    <m/>
    <m/>
    <m/>
    <m/>
    <m/>
    <m/>
    <m/>
    <m/>
    <m/>
    <m/>
    <m/>
    <m/>
    <m/>
    <m/>
    <m/>
    <m/>
    <m/>
    <m/>
    <m/>
    <m/>
    <m/>
    <m/>
    <m/>
    <m/>
    <m/>
    <m/>
    <m/>
    <m/>
    <m/>
    <m/>
    <m/>
    <m/>
    <m/>
    <m/>
    <m/>
    <m/>
    <m/>
    <m/>
    <m/>
    <m/>
    <m/>
    <m/>
  </r>
  <r>
    <x v="158"/>
    <n v="2001"/>
    <x v="27"/>
    <s v="Africa"/>
    <m/>
    <s v="Oil"/>
    <s v="no"/>
    <s v="no"/>
    <s v="yes"/>
    <s v="Oil"/>
    <s v="detailed"/>
    <s v="detailed Oil"/>
    <n v="827820000"/>
    <n v="0.12836123795027904"/>
    <m/>
    <m/>
    <m/>
    <s v="bbl"/>
    <n v="20.684989429175477"/>
    <s v="US$/bbl"/>
    <s v="Volume from BPSR 2014. Price from EITI Report, and is based on the reported value and quantity of payments in-kind."/>
    <n v="17123447949.260044"/>
    <m/>
    <m/>
    <m/>
    <m/>
    <m/>
    <m/>
    <m/>
    <m/>
    <m/>
    <m/>
    <m/>
    <m/>
    <m/>
    <m/>
    <m/>
    <m/>
    <m/>
    <m/>
    <m/>
    <m/>
    <m/>
    <m/>
    <m/>
    <n v="51"/>
    <m/>
    <m/>
    <m/>
    <m/>
    <m/>
    <m/>
    <m/>
    <m/>
    <m/>
    <m/>
    <m/>
    <m/>
    <m/>
    <m/>
    <m/>
    <m/>
    <m/>
    <m/>
    <m/>
    <m/>
    <m/>
  </r>
  <r>
    <x v="159"/>
    <n v="2002"/>
    <x v="27"/>
    <s v="Africa"/>
    <s v="http://neiti.org.ng/"/>
    <s v="Oil, Gas"/>
    <s v="no"/>
    <s v="yes"/>
    <s v="yes"/>
    <s v="Total"/>
    <s v="Total"/>
    <s v="Total Oil, Gas"/>
    <m/>
    <m/>
    <m/>
    <m/>
    <m/>
    <m/>
    <m/>
    <m/>
    <m/>
    <n v="16798782636.363636"/>
    <s v="Host government's production entitlement, State-owned company production entitlement, Profits/Taxes, Royalties, Dividends, Bonuses, Licenses and concessions, Other significant benefits to government"/>
    <s v="Also covers payments made in-kind"/>
    <s v="No"/>
    <n v="11875000000"/>
    <n v="11875000000"/>
    <m/>
    <m/>
    <m/>
    <n v="0.7068964613123021"/>
    <s v="United States Dollar"/>
    <s v=""/>
    <s v="Disaggregated by revenue stream"/>
    <s v="407,000,000 bbl of oil"/>
    <n v="8029000000"/>
    <m/>
    <m/>
    <n v="24"/>
    <s v="Addax Petroleum, Agip Energy &amp; Natural Resources Limited, AMNI International Petroleum Development Company, Atlas Petroleum International, Chevron Nigeria Ltd, Chevron Oil Company Nigeria, Chevron Texaco, Canoil Producing, Continental Oil and gas, Dubri Oil Company, Elf Petroleum, Express Petroleum, Mobil Producing Nigeria Unlimited, Moni Pulo Petroleum Development Company, Nigerian Agip Exploration, Nigerian Agip Oil Company, Nigerian LNG Ltd, Nigerian Petroleum Development Company, Panocean, Phillips Oil Company (Nigeria), Shell Exploration, Shell Petroleum Development Company, Texaco Overseas"/>
    <n v="24"/>
    <s v="October 2006"/>
    <d v="2014-10-08T00:00:00"/>
    <s v="Hart group"/>
    <s v="http://eiti.org/files/Nigeria%201999-%202004%20EITI%20Report_4.pdf"/>
    <s v="13-15"/>
    <s v="Materiality threshold: not given. The report does not clearly compare government receipts and company payments for all revenue streams, but implies that those with differences are listed. Unilateral declarations are not included. Government has a majority share in joint ventures through the National Nigerian Petroleum Company's (NPCC) upstream subsidiary, the Nigerian Petroleum Development Company (NPDC), with Chevron, Elf, Mobil, NAOC, Panocean, SPDC, Topcon. It also has a 49% shareholding in Nigerian LNG Ltd. The report also reports on: the calculation of the petroleum profits tax, including company costs; the financing of joint ventures."/>
    <m/>
    <m/>
    <m/>
    <m/>
    <m/>
    <m/>
    <m/>
    <m/>
    <m/>
    <m/>
    <m/>
    <m/>
    <m/>
    <m/>
    <m/>
    <m/>
    <m/>
    <m/>
    <m/>
    <m/>
  </r>
  <r>
    <x v="159"/>
    <n v="2002"/>
    <x v="27"/>
    <s v="Africa"/>
    <m/>
    <s v="Gas"/>
    <s v="no"/>
    <s v="yes"/>
    <s v="no"/>
    <s v="Gas"/>
    <s v="detailed"/>
    <s v="detailed Gas"/>
    <n v="18000000000"/>
    <n v="118800000"/>
    <m/>
    <m/>
    <m/>
    <s v="m³"/>
    <n v="9.8412999999999987E-2"/>
    <s v="US$/m³"/>
    <s v="Volume and price from BPSR 2014. Price is an average of the UK, US and Canada Indices for natural gas."/>
    <n v="1771433999.9999998"/>
    <m/>
    <m/>
    <m/>
    <m/>
    <m/>
    <m/>
    <m/>
    <m/>
    <m/>
    <m/>
    <m/>
    <m/>
    <m/>
    <m/>
    <m/>
    <m/>
    <m/>
    <m/>
    <m/>
    <m/>
    <m/>
    <m/>
    <m/>
    <m/>
    <m/>
    <m/>
    <m/>
    <m/>
    <m/>
    <m/>
    <m/>
    <m/>
    <m/>
    <m/>
    <m/>
    <m/>
    <m/>
    <m/>
    <m/>
    <m/>
    <m/>
    <m/>
    <m/>
    <m/>
    <m/>
  </r>
  <r>
    <x v="159"/>
    <n v="2002"/>
    <x v="27"/>
    <s v="Africa"/>
    <m/>
    <s v="Oil"/>
    <s v="no"/>
    <s v="no"/>
    <s v="yes"/>
    <s v="Oil"/>
    <s v="detailed"/>
    <s v="detailed Oil"/>
    <n v="761755000"/>
    <n v="0.1559556550334425"/>
    <m/>
    <m/>
    <m/>
    <s v="bbl"/>
    <n v="19.727272727272727"/>
    <s v="US$/bbl"/>
    <s v="Volume from BPSR 2014. Price from EITI Report, and is based on the reported value and quantity of payments in-kind."/>
    <n v="15027348636.363636"/>
    <m/>
    <m/>
    <m/>
    <m/>
    <m/>
    <m/>
    <m/>
    <m/>
    <m/>
    <m/>
    <m/>
    <m/>
    <m/>
    <m/>
    <m/>
    <m/>
    <m/>
    <m/>
    <m/>
    <m/>
    <m/>
    <m/>
    <m/>
    <n v="51"/>
    <m/>
    <m/>
    <m/>
    <m/>
    <m/>
    <m/>
    <m/>
    <m/>
    <m/>
    <m/>
    <m/>
    <m/>
    <m/>
    <m/>
    <m/>
    <m/>
    <m/>
    <m/>
    <m/>
    <m/>
    <m/>
  </r>
  <r>
    <x v="160"/>
    <n v="2003"/>
    <x v="27"/>
    <s v="Africa"/>
    <s v="http://neiti.org.ng/"/>
    <s v="Oil, Gas"/>
    <s v="no"/>
    <s v="yes"/>
    <s v="yes"/>
    <s v="Oil, Gas"/>
    <s v="detailed"/>
    <s v="detailed Oil, Gas"/>
    <s v="Nigeria "/>
    <m/>
    <m/>
    <m/>
    <m/>
    <m/>
    <m/>
    <m/>
    <m/>
    <n v="24669179486.792454"/>
    <s v="Host government's production entitlement, State-owned company production entitlement, Profits/Taxes, Royalties, Dividends, Bonuses, Licenses and concessions, Other significant benefits to government"/>
    <s v="Also covers payments made in-kind"/>
    <s v="No"/>
    <n v="17091000000"/>
    <n v="17095000000"/>
    <m/>
    <m/>
    <m/>
    <n v="0.69280780129514608"/>
    <s v="United States Dollar"/>
    <s v=""/>
    <s v="Disaggregated by revenue stream"/>
    <s v="424,000,000 bbl of oil"/>
    <n v="10904000000"/>
    <m/>
    <m/>
    <n v="24"/>
    <s v="Addax Petroleum, Agip Energy &amp; Natural Resources Limited, AMNI International Petroleum Development Company, Atlas Petroleum International, Chevron Nigeria Ltd, Chevron Oil Company Nigeria, Chevron Texaco, Canoil Producing, Continental Oil and gas, Dubri Oil Company, Elf Petroleum, Express Petroleum, Mobil Producing Nigeria Unlimited, Moni Pulo Petroleum Development Company, Nigerian Agip Exploration, Nigerian Agip Oil Company, Nigerian LNG Ltd, Nigerian Petroleum Development Company, Panocean, Phillips Oil Company (Nigeria), Shell Exploration, Shell Petroleum Development Company, Texaco Overseas"/>
    <n v="24"/>
    <s v="October 2006"/>
    <d v="2014-10-08T00:00:00"/>
    <s v="Hart group"/>
    <s v="http://eiti.org/files/Nigeria%201999-%202004%20EITI%20Report_4.pdf"/>
    <s v="13-15"/>
    <s v="Materiality threshold: not given. The report does not clearly compare government receipts and company payments for all revenue streams, but implies that those with differences are listed. Unilateral declarations are not included. Government has a majority share in joint ventures through the National Nigerian Petroleum Company's (NPCC) upstream subsidiary, the Nigerian Petroleum Development Company (NPDC), with Chevron, Elf, Mobil, NAOC, Panocean, SPDC, Topcon. It also has a 49% shareholding in Nigerian LNG Ltd. The report also reports on: the calculation of the petroleum profits tax, including company costs; the financing of joint ventures."/>
    <m/>
    <m/>
    <m/>
    <m/>
    <m/>
    <m/>
    <m/>
    <m/>
    <m/>
    <m/>
    <m/>
    <m/>
    <m/>
    <m/>
    <m/>
    <m/>
    <m/>
    <m/>
    <m/>
    <m/>
  </r>
  <r>
    <x v="160"/>
    <n v="2003"/>
    <x v="27"/>
    <s v="Africa"/>
    <m/>
    <s v="Gas"/>
    <s v="no"/>
    <s v="yes"/>
    <s v="no"/>
    <s v="Gas"/>
    <s v="detailed"/>
    <s v="detailed Gas"/>
    <n v="22600000000"/>
    <n v="149160000"/>
    <m/>
    <m/>
    <m/>
    <s v="m³"/>
    <n v="0.16410100000000002"/>
    <s v="US$/m³"/>
    <s v="Volume and price from BPSR 2014. Price is an average of the UK, US and Canada Indices for natural gas."/>
    <n v="3708682600.0000005"/>
    <m/>
    <m/>
    <m/>
    <m/>
    <m/>
    <m/>
    <m/>
    <m/>
    <m/>
    <m/>
    <m/>
    <m/>
    <m/>
    <m/>
    <m/>
    <m/>
    <m/>
    <m/>
    <m/>
    <m/>
    <m/>
    <m/>
    <m/>
    <m/>
    <m/>
    <m/>
    <m/>
    <m/>
    <m/>
    <m/>
    <m/>
    <m/>
    <m/>
    <m/>
    <m/>
    <m/>
    <m/>
    <m/>
    <m/>
    <m/>
    <m/>
    <m/>
    <m/>
    <m/>
    <m/>
  </r>
  <r>
    <x v="160"/>
    <n v="2003"/>
    <x v="27"/>
    <s v="Africa"/>
    <m/>
    <s v="Oil"/>
    <s v="no"/>
    <s v="no"/>
    <s v="yes"/>
    <s v="Oil"/>
    <s v="detailed"/>
    <s v="detailed Oil"/>
    <n v="815045000"/>
    <n v="0.18300830015520617"/>
    <m/>
    <m/>
    <m/>
    <s v="bbl"/>
    <n v="25.716981132075471"/>
    <s v="US$/bbl"/>
    <s v="Volume from BPSR 2014. Price from EITI Report, and is based on the reported value and quantity of payments in-kind."/>
    <n v="20960496886.792454"/>
    <m/>
    <m/>
    <m/>
    <m/>
    <m/>
    <m/>
    <m/>
    <m/>
    <m/>
    <m/>
    <m/>
    <m/>
    <m/>
    <m/>
    <m/>
    <m/>
    <m/>
    <m/>
    <m/>
    <m/>
    <m/>
    <m/>
    <m/>
    <n v="51"/>
    <m/>
    <m/>
    <m/>
    <m/>
    <m/>
    <m/>
    <m/>
    <m/>
    <m/>
    <m/>
    <m/>
    <m/>
    <m/>
    <m/>
    <m/>
    <m/>
    <m/>
    <m/>
    <m/>
    <m/>
    <m/>
  </r>
  <r>
    <x v="161"/>
    <n v="2004"/>
    <x v="27"/>
    <s v="Africa"/>
    <s v="http://neiti.org.ng/"/>
    <s v="Oil, Gas"/>
    <s v="no"/>
    <s v="yes"/>
    <s v="yes"/>
    <s v="Total"/>
    <s v="Total"/>
    <s v="Total Oil, Gas"/>
    <m/>
    <m/>
    <m/>
    <m/>
    <m/>
    <m/>
    <m/>
    <m/>
    <m/>
    <n v="36425258553.846161"/>
    <s v="Host government's production entitlement, State-owned company production entitlement, Profits/Taxes, Royalties, Dividends, Bonuses, Licenses and concessions, Other significant benefits to government"/>
    <s v="Also covers payments made in-kind"/>
    <s v="No"/>
    <n v="26596000000"/>
    <n v="26597000000"/>
    <m/>
    <m/>
    <m/>
    <n v="0.73015267580555621"/>
    <s v="United States Dollar"/>
    <s v=""/>
    <s v="Disaggregated by revenue stream"/>
    <s v="455,000,000 bbl of oil"/>
    <n v="16401000000"/>
    <m/>
    <m/>
    <n v="24"/>
    <s v="Addax Petroleum, Agip Energy &amp; Natural Resources Limited, AMNI International Petroleum Development Company, Atlas Petroleum International, Chevron Nigeria Ltd, Chevron Oil Company Nigeria, Chevron Texaco, Canoil Producing, Continental Oil and gas, Dubri Oil Company, Elf Petroleum, Express Petroleum, Mobil Producing Nigeria Unlimited, Moni Pulo Petroleum Development Company, Nigerian Agip Exploration, Nigerian Agip Oil Company, Nigerian LNG Ltd, Nigerian Petroleum Development Company, Panocean, Phillips Oil Company (Nigeria), Shell Exploration, Shell Petroleum Development Company, Texaco Overseas"/>
    <n v="24"/>
    <s v="October 2006"/>
    <d v="2014-10-08T00:00:00"/>
    <s v="Hart group"/>
    <s v="http://eiti.org/files/Nigeria%201999-%202004%20EITI%20Report_4.pdf"/>
    <s v="13-15"/>
    <s v="Materiality threshold: not given. The report does not clearly compare government receipts and company payments for all revenue streams, but implies that those with differences are listed. Unilateral declarations are not included. Government has a majority share in joint ventures through the National Nigerian Petroleum Company's (NPCC) upstream subsidiary, the Nigerian Petroleum Development Company (NPDC), with Chevron, Elf, Mobil, NAOC, Panocean, SPDC, Topcon. It also has a 49% shareholding in Nigerian LNG Ltd. The report also reports on: the calculation of the petroleum profits tax, including company costs; the financing of joint ventures."/>
    <m/>
    <m/>
    <m/>
    <m/>
    <m/>
    <m/>
    <m/>
    <m/>
    <m/>
    <m/>
    <m/>
    <m/>
    <m/>
    <m/>
    <m/>
    <m/>
    <m/>
    <m/>
    <m/>
    <m/>
  </r>
  <r>
    <x v="161"/>
    <n v="2004"/>
    <x v="27"/>
    <s v="Africa"/>
    <m/>
    <s v="Gas"/>
    <s v="no"/>
    <s v="yes"/>
    <s v="no"/>
    <s v="Gas"/>
    <s v="detailed"/>
    <s v="detailed Gas"/>
    <n v="24400000000"/>
    <n v="161040000"/>
    <m/>
    <m/>
    <m/>
    <s v="m³"/>
    <n v="0.18254599999999999"/>
    <s v="US$/m³"/>
    <s v="Volume and price from BPSR 2014. Price is an average of the UK, US and Canada Indices for natural gas."/>
    <n v="4454122400"/>
    <m/>
    <m/>
    <m/>
    <m/>
    <m/>
    <m/>
    <m/>
    <m/>
    <m/>
    <m/>
    <m/>
    <m/>
    <m/>
    <m/>
    <m/>
    <m/>
    <m/>
    <m/>
    <m/>
    <m/>
    <m/>
    <m/>
    <m/>
    <m/>
    <m/>
    <m/>
    <m/>
    <m/>
    <m/>
    <m/>
    <m/>
    <m/>
    <m/>
    <m/>
    <m/>
    <m/>
    <m/>
    <m/>
    <m/>
    <m/>
    <m/>
    <m/>
    <m/>
    <m/>
    <m/>
  </r>
  <r>
    <x v="161"/>
    <n v="2004"/>
    <x v="27"/>
    <s v="Africa"/>
    <m/>
    <s v="Oil"/>
    <s v="no"/>
    <s v="no"/>
    <s v="yes"/>
    <s v="Oil"/>
    <s v="detailed"/>
    <s v="detailed Oil"/>
    <n v="886950000"/>
    <n v="0.18156604092677153"/>
    <m/>
    <m/>
    <m/>
    <s v="bbl"/>
    <n v="36.04615384615385"/>
    <s v="US$/bbl"/>
    <s v="Volume from BPSR 2014. Price from EITI Report, and is based on the reported value and quantity of payments in-kind."/>
    <n v="31971136153.846157"/>
    <m/>
    <m/>
    <m/>
    <m/>
    <m/>
    <m/>
    <m/>
    <m/>
    <m/>
    <m/>
    <m/>
    <m/>
    <m/>
    <m/>
    <m/>
    <m/>
    <m/>
    <m/>
    <m/>
    <m/>
    <m/>
    <m/>
    <m/>
    <n v="51"/>
    <m/>
    <m/>
    <m/>
    <m/>
    <m/>
    <m/>
    <m/>
    <m/>
    <m/>
    <m/>
    <m/>
    <m/>
    <m/>
    <m/>
    <m/>
    <m/>
    <m/>
    <m/>
    <m/>
    <m/>
    <m/>
  </r>
  <r>
    <x v="162"/>
    <n v="2005"/>
    <x v="27"/>
    <s v="Africa"/>
    <s v="http://neiti.org.ng/"/>
    <s v="Oil, Gas"/>
    <s v="no"/>
    <s v="yes"/>
    <s v="yes"/>
    <s v="Total"/>
    <s v="Total"/>
    <s v="Total Oil, Gas"/>
    <m/>
    <m/>
    <m/>
    <m/>
    <m/>
    <m/>
    <m/>
    <m/>
    <m/>
    <n v="57853098500"/>
    <s v="Host government's production entitlement, State-owned company production entitlement, Profits/Taxes, Royalties, Dividends, Bonuses, Licenses and concessions, Other significant benefits to government"/>
    <s v="Also covers payments made in-kind"/>
    <s v="No"/>
    <n v="37761759990.706177"/>
    <n v="37589633076.178871"/>
    <m/>
    <m/>
    <m/>
    <n v="0.65271802150244684"/>
    <s v="United States Dollar and Nigerian Naira"/>
    <n v="131.27000000000001"/>
    <s v="Disaggregated by revenue stream"/>
    <s v="Not given"/>
    <s v="Not given"/>
    <s v="Financing of joint ventures"/>
    <n v="4065000000"/>
    <s v="Not given"/>
    <s v="Not given"/>
    <s v="Not given"/>
    <s v="September 2008"/>
    <d v="2014-10-08T00:00:00"/>
    <s v="Hart group"/>
    <s v="http://eiti.org/files/Nigeria%201999-%202004%20EITI%20Report_4.pdf"/>
    <s v="13-15"/>
    <s v="The report uses US dollars and the local currency, the Nigerian Naira. An exchange rate is not provided to convert the latter, so that of the World Bank is used (http://data.worldbank.org/indicator/PA.NUS.FCRF).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joint ventures with Chevron, Elf, Mobil, NAOC, Panocean, SPDC, Topcon. It also has a 49% shareholding in Nigerian LNG Ltd. The value or volume of oil transferred to Government as payment made in-kind are not provided in the report. The report also reports on: the calculation of the petroleum profits tax, including company costs; the financing of joint ventures (classified here as a subsidy)."/>
    <m/>
    <m/>
    <m/>
    <m/>
    <m/>
    <m/>
    <m/>
    <m/>
    <m/>
    <m/>
    <m/>
    <m/>
    <m/>
    <m/>
    <m/>
    <m/>
    <m/>
    <m/>
    <m/>
    <m/>
  </r>
  <r>
    <x v="162"/>
    <n v="2005"/>
    <x v="27"/>
    <s v="Africa"/>
    <m/>
    <s v="Gas"/>
    <s v="no"/>
    <s v="yes"/>
    <s v="no"/>
    <s v="Gas"/>
    <s v="detailed"/>
    <s v="detailed Gas"/>
    <n v="25100000000"/>
    <n v="165660000"/>
    <m/>
    <m/>
    <m/>
    <s v="m³"/>
    <n v="0.27869799999999995"/>
    <s v="US$/m³"/>
    <s v="Volume and price from BPSR 2014. Price is an average of the UK, US and Canada Indices for natural gas."/>
    <n v="6995319799.999999"/>
    <m/>
    <m/>
    <m/>
    <m/>
    <m/>
    <m/>
    <m/>
    <m/>
    <m/>
    <m/>
    <m/>
    <m/>
    <m/>
    <m/>
    <m/>
    <m/>
    <m/>
    <m/>
    <m/>
    <m/>
    <m/>
    <m/>
    <m/>
    <m/>
    <m/>
    <m/>
    <m/>
    <m/>
    <m/>
    <m/>
    <m/>
    <m/>
    <m/>
    <m/>
    <m/>
    <m/>
    <m/>
    <m/>
    <m/>
    <m/>
    <m/>
    <m/>
    <m/>
    <m/>
    <m/>
  </r>
  <r>
    <x v="162"/>
    <n v="2005"/>
    <x v="27"/>
    <s v="Africa"/>
    <m/>
    <s v="Oil"/>
    <s v="no"/>
    <s v="no"/>
    <s v="yes"/>
    <s v="Oil"/>
    <s v="detailed"/>
    <s v="detailed Oil"/>
    <n v="913230000"/>
    <n v="0.18140008541112315"/>
    <m/>
    <m/>
    <m/>
    <s v="bbl"/>
    <n v="55.69"/>
    <s v="US$/bbl"/>
    <s v="Volume and price from BPSR 2014. Price is spot price for Nigerian Forcados."/>
    <n v="50857778700"/>
    <m/>
    <m/>
    <m/>
    <m/>
    <m/>
    <m/>
    <m/>
    <m/>
    <m/>
    <m/>
    <m/>
    <m/>
    <m/>
    <m/>
    <m/>
    <m/>
    <m/>
    <m/>
    <m/>
    <m/>
    <m/>
    <m/>
    <m/>
    <m/>
    <m/>
    <m/>
    <m/>
    <m/>
    <m/>
    <m/>
    <m/>
    <m/>
    <m/>
    <m/>
    <m/>
    <m/>
    <m/>
    <m/>
    <m/>
    <m/>
    <m/>
    <m/>
    <m/>
    <m/>
    <m/>
  </r>
  <r>
    <x v="163"/>
    <n v="2006"/>
    <x v="27"/>
    <s v="Africa"/>
    <s v="http://neiti.org.ng/"/>
    <s v="Oil, Gas"/>
    <s v="no"/>
    <s v="yes"/>
    <s v="yes"/>
    <s v="Total"/>
    <s v="Total"/>
    <s v="Total Oil, Gas"/>
    <m/>
    <m/>
    <m/>
    <m/>
    <m/>
    <m/>
    <m/>
    <m/>
    <m/>
    <n v="65760452137.571999"/>
    <s v="Host government's production entitlement, State-owned company production entitlement, Profits/Taxes, Royalties, Dividends, Bonuses, Licenses and concessions, Other significant benefits to government"/>
    <s v="Also covers payments made in-kind"/>
    <s v="No"/>
    <n v="45464400000"/>
    <n v="44748184080"/>
    <m/>
    <m/>
    <m/>
    <n v="0.69136385961714031"/>
    <s v="United States Dollar and Nigerian Naira"/>
    <n v="132.44"/>
    <s v="Disaggregated by revenue stream"/>
    <s v="Not given"/>
    <s v="Not given"/>
    <m/>
    <m/>
    <s v="Not given"/>
    <s v="Not given"/>
    <s v="Not given"/>
    <s v="January 2011"/>
    <d v="2014-10-08T00:00:00"/>
    <s v="Hart group"/>
    <s v="https://eiti.org/files/Nigeria%202006-2007-2008%20EITI%20Report_1.pdf"/>
    <s v="15-19"/>
    <s v="The report uses US dollars and the local currency, the Nigerian Naira.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six joint ventures, through the National Nigerian Petroleum Company, with the composition of these provided in the report. It also has a 49% shareholding in Nigerian LNG Ltd. The value or volume of oil transferred to Government as payment made in-kind are not clearly provided in the report. "/>
    <m/>
    <m/>
    <m/>
    <m/>
    <m/>
    <m/>
    <m/>
    <m/>
    <m/>
    <m/>
    <m/>
    <m/>
    <m/>
    <m/>
    <m/>
    <m/>
    <m/>
    <m/>
    <m/>
    <m/>
  </r>
  <r>
    <x v="163"/>
    <n v="2006"/>
    <x v="27"/>
    <s v="Africa"/>
    <m/>
    <s v="Gas"/>
    <s v="no"/>
    <s v="yes"/>
    <s v="no"/>
    <s v="Gas"/>
    <s v="detailed"/>
    <s v="detailed Gas"/>
    <n v="29600000000"/>
    <n v="195360000"/>
    <m/>
    <m/>
    <m/>
    <s v="m³"/>
    <n v="0.243474"/>
    <s v="US$/m³"/>
    <s v="Volume and price from BPSR 2014. Price is an average of the UK, US and Canada Indices for natural gas."/>
    <n v="7206830400"/>
    <m/>
    <m/>
    <m/>
    <m/>
    <m/>
    <m/>
    <m/>
    <m/>
    <m/>
    <m/>
    <m/>
    <m/>
    <m/>
    <m/>
    <m/>
    <m/>
    <m/>
    <m/>
    <m/>
    <m/>
    <m/>
    <m/>
    <m/>
    <m/>
    <m/>
    <m/>
    <m/>
    <m/>
    <m/>
    <m/>
    <m/>
    <m/>
    <m/>
    <m/>
    <m/>
    <m/>
    <m/>
    <m/>
    <m/>
    <m/>
    <m/>
    <m/>
    <m/>
    <m/>
    <m/>
  </r>
  <r>
    <x v="163"/>
    <n v="2006"/>
    <x v="27"/>
    <s v="Africa"/>
    <m/>
    <s v="Oil"/>
    <s v="no"/>
    <s v="no"/>
    <s v="yes"/>
    <s v="Oil"/>
    <s v="detailed"/>
    <s v="detailed Oil"/>
    <n v="873080000"/>
    <n v="0.22375956384294682"/>
    <m/>
    <m/>
    <m/>
    <s v="bbl"/>
    <n v="67.065585900000002"/>
    <s v="US$/bbl"/>
    <s v="Volume and price from BPSR 2014. Price is spot price for Nigerian Forcados."/>
    <n v="58553621737.571999"/>
    <m/>
    <m/>
    <m/>
    <m/>
    <m/>
    <m/>
    <m/>
    <m/>
    <m/>
    <m/>
    <m/>
    <m/>
    <m/>
    <m/>
    <m/>
    <m/>
    <m/>
    <m/>
    <m/>
    <m/>
    <m/>
    <m/>
    <m/>
    <m/>
    <m/>
    <m/>
    <m/>
    <m/>
    <m/>
    <m/>
    <m/>
    <m/>
    <m/>
    <m/>
    <m/>
    <m/>
    <m/>
    <m/>
    <m/>
    <m/>
    <m/>
    <m/>
    <m/>
    <m/>
    <m/>
  </r>
  <r>
    <x v="164"/>
    <n v="2007"/>
    <x v="27"/>
    <s v="Africa"/>
    <s v="http://neiti.org.ng/"/>
    <s v="Oil, Gas"/>
    <s v="no"/>
    <s v="yes"/>
    <s v="yes"/>
    <s v="Total"/>
    <s v="Total"/>
    <s v="Total Oil, Gas"/>
    <m/>
    <m/>
    <m/>
    <m/>
    <m/>
    <m/>
    <m/>
    <m/>
    <m/>
    <n v="69977294595.772507"/>
    <s v="Host government's production entitlement, State-owned company production entitlement, Profits/Taxes, Royalties, Dividends, Bonuses, Licenses and concessions, Other significant benefits to government"/>
    <s v="Also covers payments made in-kind"/>
    <s v="No"/>
    <n v="43678500000"/>
    <n v="43562165330"/>
    <m/>
    <m/>
    <m/>
    <n v="0.62418103260937896"/>
    <s v="United States Dollar and Nigerian Naira"/>
    <n v="128.61000000000001"/>
    <s v="Disaggregated by revenue stream"/>
    <s v="Not given"/>
    <s v="Not given"/>
    <m/>
    <m/>
    <s v="Not given"/>
    <s v="Not given"/>
    <s v="Not given"/>
    <s v="January 2011"/>
    <d v="2014-10-08T00:00:00"/>
    <s v="Hart group"/>
    <s v="https://eiti.org/files/Nigeria%202006-2007-2008%20EITI%20Report_1.pdf"/>
    <s v="15-19"/>
    <s v="The report uses US dollars and the local currency, the Nigerian Naira.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six joint ventures, through the National Nigerian Petroleum Company, with the composition of these provided in the report. It also has a 49% shareholding in Nigerian LNG Ltd. The value or volume of oil transferred to Government as payment made in-kind are not clearly provided in the report. "/>
    <m/>
    <m/>
    <m/>
    <m/>
    <m/>
    <m/>
    <m/>
    <m/>
    <m/>
    <m/>
    <m/>
    <m/>
    <m/>
    <m/>
    <m/>
    <m/>
    <m/>
    <m/>
    <m/>
    <m/>
  </r>
  <r>
    <x v="164"/>
    <n v="2007"/>
    <x v="27"/>
    <s v="Africa"/>
    <m/>
    <s v="Gas"/>
    <s v="no"/>
    <s v="yes"/>
    <s v="no"/>
    <s v="Gas"/>
    <s v="detailed"/>
    <s v="detailed Gas"/>
    <n v="36900000000"/>
    <n v="243540000"/>
    <m/>
    <m/>
    <m/>
    <s v="m³"/>
    <n v="0.22764700000000004"/>
    <s v="US$/m³"/>
    <s v="Volume and price from BPSR 2014. Price is an average of the UK, US and Canada Indices for natural gas."/>
    <n v="8400174300.0000019"/>
    <m/>
    <m/>
    <m/>
    <m/>
    <m/>
    <m/>
    <m/>
    <m/>
    <m/>
    <m/>
    <m/>
    <m/>
    <m/>
    <m/>
    <m/>
    <m/>
    <m/>
    <m/>
    <m/>
    <m/>
    <m/>
    <m/>
    <m/>
    <m/>
    <m/>
    <m/>
    <m/>
    <m/>
    <m/>
    <m/>
    <m/>
    <m/>
    <m/>
    <m/>
    <m/>
    <m/>
    <m/>
    <m/>
    <m/>
    <m/>
    <m/>
    <m/>
    <m/>
    <m/>
    <m/>
  </r>
  <r>
    <x v="164"/>
    <n v="2007"/>
    <x v="27"/>
    <s v="Africa"/>
    <m/>
    <s v="Oil"/>
    <s v="no"/>
    <s v="no"/>
    <s v="yes"/>
    <s v="Oil"/>
    <s v="detailed"/>
    <s v="detailed Oil"/>
    <n v="826725000"/>
    <n v="0.29458405152862199"/>
    <m/>
    <m/>
    <m/>
    <s v="bbl"/>
    <n v="74.483196100000001"/>
    <s v="US$/bbl"/>
    <s v="Volume and price from BPSR 2014. Price is spot price for Nigerian Forcados."/>
    <n v="61577120295.772499"/>
    <m/>
    <m/>
    <m/>
    <m/>
    <m/>
    <m/>
    <m/>
    <m/>
    <m/>
    <m/>
    <m/>
    <m/>
    <m/>
    <m/>
    <m/>
    <m/>
    <m/>
    <m/>
    <m/>
    <m/>
    <m/>
    <m/>
    <m/>
    <m/>
    <m/>
    <m/>
    <m/>
    <m/>
    <m/>
    <m/>
    <m/>
    <m/>
    <m/>
    <m/>
    <m/>
    <m/>
    <m/>
    <m/>
    <m/>
    <m/>
    <m/>
    <m/>
    <m/>
    <m/>
    <m/>
  </r>
  <r>
    <x v="165"/>
    <n v="2008"/>
    <x v="27"/>
    <s v="Africa"/>
    <s v="http://neiti.org.ng/"/>
    <s v="Oil, Gas"/>
    <s v="no"/>
    <s v="yes"/>
    <s v="yes"/>
    <s v="Total"/>
    <s v="Total"/>
    <s v="Total Oil, Gas"/>
    <m/>
    <m/>
    <m/>
    <m/>
    <m/>
    <m/>
    <m/>
    <m/>
    <m/>
    <n v="90130506589.375"/>
    <s v="Host government's production entitlement, State-owned company production entitlement, Profits/Taxes, Royalties, Dividends, Bonuses, Licenses and concessions, Other significant benefits to government"/>
    <s v="Also covers payments made in-kind"/>
    <s v="No"/>
    <n v="59398200000"/>
    <n v="59266324980"/>
    <m/>
    <m/>
    <m/>
    <n v="0.65902436641804174"/>
    <s v="United States Dollar and Nigerian Naira"/>
    <n v="120.19"/>
    <s v="Disaggregated by revenue stream"/>
    <s v="Not given"/>
    <s v="Not given"/>
    <m/>
    <m/>
    <s v="Not given"/>
    <s v="Not given"/>
    <s v="Not given"/>
    <s v="January 2011"/>
    <d v="2014-10-08T00:00:00"/>
    <s v="Hart group"/>
    <s v="https://eiti.org/files/Nigeria%202006-2007-2008%20EITI%20Report_1.pdf"/>
    <s v="15-19"/>
    <s v="The report uses US dollars and the local currency, the Nigerian Naira.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six joint ventures, through the National Nigerian Petroleum Company, with the composition of these provided in the report. It also has a 49% shareholding in Nigerian LNG Ltd. The value or volume of oil transferred to Government as payment made in-kind are not clearly provided in the report. "/>
    <m/>
    <m/>
    <m/>
    <m/>
    <m/>
    <m/>
    <m/>
    <m/>
    <m/>
    <m/>
    <m/>
    <m/>
    <m/>
    <m/>
    <m/>
    <m/>
    <m/>
    <m/>
    <m/>
    <m/>
  </r>
  <r>
    <x v="165"/>
    <n v="2008"/>
    <x v="27"/>
    <s v="Africa"/>
    <m/>
    <s v="Gas"/>
    <s v="no"/>
    <s v="yes"/>
    <s v="no"/>
    <s v="Gas"/>
    <s v="detailed"/>
    <s v="detailed Gas"/>
    <n v="36200000000"/>
    <n v="238920000"/>
    <m/>
    <m/>
    <m/>
    <s v="m³"/>
    <n v="0.32879700000000006"/>
    <s v="US$/m³"/>
    <s v="Volume and price from BPSR 2014. Price is an average of the UK, US and Canada Indices for natural gas."/>
    <n v="11902451400.000002"/>
    <m/>
    <m/>
    <m/>
    <m/>
    <m/>
    <m/>
    <m/>
    <m/>
    <m/>
    <m/>
    <m/>
    <m/>
    <m/>
    <m/>
    <m/>
    <m/>
    <m/>
    <m/>
    <m/>
    <m/>
    <m/>
    <m/>
    <m/>
    <m/>
    <m/>
    <m/>
    <m/>
    <m/>
    <m/>
    <m/>
    <m/>
    <m/>
    <m/>
    <m/>
    <m/>
    <m/>
    <m/>
    <m/>
    <m/>
    <m/>
    <m/>
    <m/>
    <m/>
    <m/>
    <m/>
  </r>
  <r>
    <x v="165"/>
    <n v="2008"/>
    <x v="27"/>
    <s v="Africa"/>
    <m/>
    <s v="Oil"/>
    <s v="no"/>
    <s v="no"/>
    <s v="yes"/>
    <s v="Oil"/>
    <s v="detailed"/>
    <s v="detailed Oil"/>
    <n v="771245000"/>
    <n v="0.30978482842676452"/>
    <m/>
    <m/>
    <m/>
    <s v="bbl"/>
    <n v="101.430875"/>
    <s v="US$/bbl"/>
    <s v="Volume and price from BPSR 2014. Price is spot price for Nigerian Forcados."/>
    <n v="78228055189.375"/>
    <m/>
    <m/>
    <m/>
    <m/>
    <m/>
    <m/>
    <m/>
    <m/>
    <m/>
    <m/>
    <m/>
    <m/>
    <m/>
    <m/>
    <m/>
    <m/>
    <m/>
    <m/>
    <m/>
    <m/>
    <m/>
    <m/>
    <m/>
    <m/>
    <m/>
    <m/>
    <m/>
    <m/>
    <m/>
    <m/>
    <m/>
    <m/>
    <m/>
    <m/>
    <m/>
    <m/>
    <m/>
    <m/>
    <m/>
    <m/>
    <m/>
    <m/>
    <m/>
    <m/>
    <m/>
  </r>
  <r>
    <x v="166"/>
    <n v="2009"/>
    <x v="27"/>
    <s v="Africa"/>
    <s v="http://neiti.org.ng/"/>
    <s v="Oil, Gas"/>
    <s v="no"/>
    <s v="yes"/>
    <s v="yes"/>
    <s v="Total"/>
    <s v="Total"/>
    <s v="Total Oil, Gas"/>
    <m/>
    <m/>
    <m/>
    <m/>
    <m/>
    <m/>
    <m/>
    <m/>
    <m/>
    <n v="54591873000"/>
    <s v="Host government's production entitlement, State-owned company production entitlement, Profits/Taxes, Royalties, Dividends, Other significant benefits to government"/>
    <s v="Also covers payments made in-kind"/>
    <s v="No"/>
    <n v="30129486000"/>
    <n v="30087646000"/>
    <m/>
    <m/>
    <m/>
    <n v="0.55190423673501732"/>
    <s v="United States Dollar and Nigerian Naira"/>
    <n v="150.96"/>
    <s v="Disaggregated by revenue stream"/>
    <s v="336,161,000 bbl of oil"/>
    <n v="19436964000"/>
    <s v="Financing of joint ventures, and subsidies for importation of petroleum products "/>
    <n v="6730547203"/>
    <s v="Not given"/>
    <s v="Not given"/>
    <s v="Not given"/>
    <s v="January 2013"/>
    <d v="2014-10-11T00:00:00"/>
    <s v="Sada, Idris &amp; Co"/>
    <s v="http://eiti.org/files/NEITI-EITI-Core-Audit-Report-Oil-Gas-2009-2011-310113-New_0.pdf"/>
    <s v="43, 51, 53, 62, 70, 74"/>
    <s v="The report uses US dollars and the local currency, the Nigerian Naira. Materiality threshold: all companies involved in the production of oil &amp; gas should be reconciled. The report does not clearly compare government receipts and company payments for all revenue streams, but implies that those with differences are listed. The appendix which contains information such as the names of reporting companies is not available on either the International or National Secretariat websites. Government has a majority share in eight joint ventures, through the National Nigerian Petroleum Company, with the composition of these provided in the report. It also has a 49% shareholding in Nigerian LNG Ltd. The report also covers: the financing of its joint venture operations and subsidies to the NPCC (both classified as subsidies here)."/>
    <m/>
    <m/>
    <m/>
    <m/>
    <m/>
    <m/>
    <m/>
    <m/>
    <m/>
    <m/>
    <m/>
    <m/>
    <m/>
    <m/>
    <m/>
    <m/>
    <m/>
    <m/>
    <m/>
    <m/>
  </r>
  <r>
    <x v="166"/>
    <n v="2009"/>
    <x v="27"/>
    <s v="Africa"/>
    <m/>
    <s v="Gas"/>
    <s v="no"/>
    <s v="yes"/>
    <s v="no"/>
    <s v="Gas"/>
    <s v="detailed"/>
    <s v="detailed Gas"/>
    <n v="26000000000"/>
    <n v="171600000"/>
    <m/>
    <m/>
    <m/>
    <s v="m³"/>
    <n v="0.14422800000000002"/>
    <s v="US$/m³"/>
    <s v="Volume and price from BPSR 2014. Price is an average of the UK, US and Canada Indices for natural gas."/>
    <n v="3749928000.0000005"/>
    <m/>
    <m/>
    <m/>
    <m/>
    <m/>
    <m/>
    <m/>
    <m/>
    <m/>
    <m/>
    <m/>
    <m/>
    <m/>
    <m/>
    <m/>
    <m/>
    <m/>
    <m/>
    <m/>
    <m/>
    <m/>
    <m/>
    <m/>
    <m/>
    <m/>
    <m/>
    <m/>
    <m/>
    <m/>
    <m/>
    <m/>
    <m/>
    <m/>
    <m/>
    <m/>
    <m/>
    <m/>
    <m/>
    <m/>
    <m/>
    <m/>
    <m/>
    <m/>
    <m/>
    <m/>
  </r>
  <r>
    <x v="166"/>
    <n v="2009"/>
    <x v="27"/>
    <s v="Africa"/>
    <m/>
    <s v="Oil"/>
    <s v="no"/>
    <s v="no"/>
    <s v="yes"/>
    <s v="Oil"/>
    <s v="detailed"/>
    <s v="detailed Oil"/>
    <n v="807015000"/>
    <n v="0.2126354528726232"/>
    <m/>
    <m/>
    <m/>
    <s v="bbl"/>
    <n v="63"/>
    <s v="US$/bbl"/>
    <s v="Volume from BPSR 2014. Price from EITI Report."/>
    <n v="50841945000"/>
    <m/>
    <m/>
    <m/>
    <m/>
    <m/>
    <m/>
    <m/>
    <m/>
    <m/>
    <m/>
    <m/>
    <m/>
    <m/>
    <m/>
    <m/>
    <m/>
    <m/>
    <m/>
    <m/>
    <m/>
    <m/>
    <m/>
    <m/>
    <n v="5"/>
    <m/>
    <m/>
    <m/>
    <m/>
    <m/>
    <m/>
    <m/>
    <m/>
    <m/>
    <m/>
    <m/>
    <m/>
    <m/>
    <m/>
    <m/>
    <m/>
    <m/>
    <m/>
    <m/>
    <m/>
    <m/>
  </r>
  <r>
    <x v="167"/>
    <n v="2010"/>
    <x v="27"/>
    <s v="Africa"/>
    <s v="http://neiti.org.ng/"/>
    <s v="Oil, Gas"/>
    <s v="no"/>
    <s v="yes"/>
    <s v="yes"/>
    <s v="Total"/>
    <s v="Total"/>
    <s v="Total Oil, Gas"/>
    <m/>
    <m/>
    <m/>
    <m/>
    <m/>
    <m/>
    <m/>
    <m/>
    <m/>
    <n v="80165818466.740265"/>
    <s v="Host government's production entitlement, State-owned company production entitlement, Profits/Taxes, Royalties, Dividends, Other significant benefits to government"/>
    <s v="Also covers payments made in-kind"/>
    <s v="No"/>
    <n v="44944995000"/>
    <n v="44965362000"/>
    <m/>
    <m/>
    <m/>
    <n v="0.56065036021115511"/>
    <s v="United States Dollar and Nigerian Naira"/>
    <n v="152.80000000000001"/>
    <s v="Disaggregated by revenue stream"/>
    <s v="387,632,000 bbl of oil"/>
    <n v="30922007000"/>
    <s v="Financing of joint ventures, and subsidies for importation of petroleum products "/>
    <n v="8910931283"/>
    <s v="Not given"/>
    <s v="Not given"/>
    <s v="Not given"/>
    <s v="January 2013"/>
    <d v="2014-10-11T00:00:00"/>
    <s v="Sada, Idris &amp; Co"/>
    <s v="http://eiti.org/files/NEITI-EITI-Core-Audit-Report-Oil-Gas-2009-2011-310113-New_2.pdf"/>
    <s v="43, 51, 53, 62, 70, 74"/>
    <s v="The report uses US dollars and the local currency, the Nigerian Naira. Materiality threshold: all companies involved in the production of oil &amp; gas should be reconciled. The report does not clearly compare government receipts and company payments for all revenue streams, but implies that those with differences are listed. The appendix which contains information such as the names of reporting companies is not available on either the International or National Secretariat websites. Government has a majority share in eight joint ventures, through the National Nigerian Petroleum Company, with the composition of these provided in the report. It also has a 49% shareholding in Nigerian LNG Ltd. The report also covers: the financing of its joint venture operations and subsidies to the NPCC (both classified as subsidies here)."/>
    <m/>
    <m/>
    <m/>
    <m/>
    <m/>
    <m/>
    <m/>
    <m/>
    <m/>
    <m/>
    <m/>
    <m/>
    <m/>
    <m/>
    <m/>
    <m/>
    <m/>
    <m/>
    <m/>
    <m/>
  </r>
  <r>
    <x v="167"/>
    <n v="2010"/>
    <x v="27"/>
    <s v="Africa"/>
    <m/>
    <s v="Gas"/>
    <s v="no"/>
    <s v="yes"/>
    <s v="no"/>
    <s v="Gas"/>
    <s v="detailed"/>
    <s v="detailed Gas"/>
    <n v="37300000000"/>
    <n v="246180000"/>
    <m/>
    <m/>
    <m/>
    <s v="m³"/>
    <n v="0.1741077336927683"/>
    <s v="US$/m³"/>
    <s v="Volume and price from BPSR 2014. Price is an average of the UK, US and Canada Indices for natural gas."/>
    <n v="6494218466.7402573"/>
    <m/>
    <m/>
    <m/>
    <m/>
    <m/>
    <m/>
    <m/>
    <m/>
    <m/>
    <m/>
    <m/>
    <m/>
    <m/>
    <m/>
    <m/>
    <m/>
    <m/>
    <m/>
    <m/>
    <m/>
    <m/>
    <m/>
    <m/>
    <m/>
    <m/>
    <m/>
    <m/>
    <m/>
    <m/>
    <m/>
    <m/>
    <m/>
    <m/>
    <m/>
    <m/>
    <m/>
    <m/>
    <m/>
    <m/>
    <m/>
    <m/>
    <m/>
    <m/>
    <m/>
    <m/>
  </r>
  <r>
    <x v="167"/>
    <n v="2010"/>
    <x v="27"/>
    <s v="Africa"/>
    <m/>
    <s v="Oil"/>
    <s v="no"/>
    <s v="no"/>
    <s v="yes"/>
    <s v="Oil"/>
    <s v="detailed"/>
    <s v="detailed Oil"/>
    <n v="920895000"/>
    <n v="0.2673268939455638"/>
    <m/>
    <m/>
    <m/>
    <s v="bbl"/>
    <n v="80"/>
    <s v="US$/bbl"/>
    <s v="Volume from BPSR 2014. Price from EITI Report."/>
    <n v="73671600000"/>
    <m/>
    <m/>
    <m/>
    <m/>
    <m/>
    <m/>
    <m/>
    <m/>
    <m/>
    <m/>
    <m/>
    <m/>
    <m/>
    <m/>
    <m/>
    <m/>
    <m/>
    <m/>
    <m/>
    <m/>
    <m/>
    <m/>
    <m/>
    <n v="5"/>
    <m/>
    <m/>
    <m/>
    <m/>
    <m/>
    <m/>
    <m/>
    <m/>
    <m/>
    <m/>
    <m/>
    <m/>
    <m/>
    <m/>
    <m/>
    <m/>
    <m/>
    <m/>
    <m/>
    <m/>
    <m/>
  </r>
  <r>
    <x v="168"/>
    <n v="2011"/>
    <x v="27"/>
    <s v="Africa"/>
    <s v="http://neiti.org.ng/"/>
    <s v="Oil, Gas, Mining"/>
    <s v="yes"/>
    <s v="yes"/>
    <s v="yes"/>
    <s v="Total"/>
    <s v="Total"/>
    <s v="Total Oil, Gas, Mining"/>
    <m/>
    <m/>
    <m/>
    <m/>
    <m/>
    <m/>
    <m/>
    <m/>
    <m/>
    <n v="111813139613.56702"/>
    <s v="Host government's production entitlement, State-owned company production entitlement, Profits/Taxes, Royalties, Dividends, Other significant benefits to government"/>
    <s v="Also covers payments made in-kind"/>
    <s v="No"/>
    <n v="68613385930"/>
    <n v="68690659359"/>
    <m/>
    <m/>
    <m/>
    <n v="0.61364331747710532"/>
    <s v="United States Dollar and Nigerian Naira"/>
    <n v="157.4"/>
    <s v="Disaggregated by revenue stream"/>
    <s v="385,937,000 bbl of oil"/>
    <n v="43123931000"/>
    <s v="Financing of joint ventures, and subsidies for importation of petroleum products "/>
    <n v="10176949510"/>
    <s v="Not given"/>
    <s v="Not given"/>
    <s v="Not given"/>
    <s v="January 2013 (oil &amp; gas report); May 2014 (mining report)"/>
    <d v="2014-10-11T00:00:00"/>
    <s v="Sada, Idris &amp; Co (oil &amp; gas report); Haruna Yahaya &amp; Co (mining report)"/>
    <s v="https://eiti.org/files/NEITI-EITI-Core-Audit-Report-Oil-Gas-2009-2011-310113-New_0.pdf; http://eiti.org/files/2011%20SMA%20FINAL%20CORE%20EITI%20REPORT.pdf"/>
    <s v="43, 51, 53, 62, 70, 74 (of the oil &amp; gas report); 10 (of the mining report)"/>
    <s v="The report uses US dollars and the local currency, the Nigerian Naira. Materiality threshold: all companies involved in the production of oil &amp; gas should be reconciled; mining companies that have paid at least N10,000,000 for the relevant revenue streams should be reconciled. Disagreggation by company is given in the mining report, but not in the oil &amp; gas report. The oil &amp; gas report does not clearly compare government receipts and company payments for all revenue streams in the oil &amp; gas sector, but implies that those with differences are listed. The appendix of the oil &amp; gas report which contains information such as the names of reporting companies is not available on either the International or National Secretariat websites. Government has a majority share in eight oil &amp; gas joint ventures, through the National Nigerian Petroleum Company, with the composition of these provided in the report. It also has a 49% shareholding in Nigerian LNG Ltd. The oil &amp; gas report also covers: the financing of its joint venture operations and subsidies to the NPCC (both classified as subsidies here). The mining report also covers: production volumes of reconciled companies; volume and value of exports; amount of royalty outstanding."/>
    <m/>
    <m/>
    <m/>
    <m/>
    <m/>
    <m/>
    <m/>
    <m/>
    <m/>
    <m/>
    <m/>
    <m/>
    <m/>
    <m/>
    <m/>
    <m/>
    <m/>
    <m/>
    <m/>
    <m/>
  </r>
  <r>
    <x v="168"/>
    <n v="2011"/>
    <x v="27"/>
    <s v="Africa"/>
    <m/>
    <s v="Oil, Gas"/>
    <s v="no"/>
    <s v="yes"/>
    <s v="yes"/>
    <s v="Total Oil &amp; Gas"/>
    <s v="Total"/>
    <s v="Total Oil, Gas"/>
    <m/>
    <m/>
    <m/>
    <m/>
    <m/>
    <m/>
    <m/>
    <m/>
    <m/>
    <n v="111124653780.61411"/>
    <m/>
    <m/>
    <m/>
    <n v="68442328000"/>
    <n v="68519812000"/>
    <m/>
    <m/>
    <m/>
    <n v="0.61590588291164505"/>
    <m/>
    <m/>
    <m/>
    <s v="385,937,000 bbl of oil"/>
    <n v="43123931000"/>
    <m/>
    <m/>
    <s v="Not given"/>
    <s v="Not given"/>
    <s v="Not given"/>
    <m/>
    <m/>
    <m/>
    <m/>
    <s v="43, 51, 53, 74 (of the oil &amp; gas report)"/>
    <m/>
    <m/>
    <m/>
    <m/>
    <m/>
    <m/>
    <m/>
    <m/>
    <m/>
    <m/>
    <m/>
    <m/>
    <m/>
    <m/>
    <m/>
    <m/>
    <m/>
    <m/>
    <m/>
    <m/>
    <m/>
  </r>
  <r>
    <x v="168"/>
    <n v="2011"/>
    <x v="27"/>
    <s v="Africa"/>
    <m/>
    <s v="Gas"/>
    <s v="no"/>
    <s v="yes"/>
    <s v="no"/>
    <s v="Gas"/>
    <s v="detailed"/>
    <s v="detailed Gas"/>
    <n v="40600000000"/>
    <m/>
    <m/>
    <m/>
    <m/>
    <s v="m³"/>
    <n v="0.19666043794616025"/>
    <s v="US$/m³"/>
    <s v="Volume and price from BPSR 2014. Price is an average of the UK, US and Canada Indices for natural gas."/>
    <n v="7984413780.6141062"/>
    <m/>
    <m/>
    <m/>
    <m/>
    <m/>
    <m/>
    <m/>
    <m/>
    <m/>
    <m/>
    <m/>
    <m/>
    <m/>
    <m/>
    <m/>
    <m/>
    <m/>
    <m/>
    <m/>
    <m/>
    <m/>
    <m/>
    <m/>
    <m/>
    <m/>
    <m/>
    <m/>
    <m/>
    <m/>
    <m/>
    <m/>
    <m/>
    <m/>
    <m/>
    <m/>
    <m/>
    <m/>
    <m/>
    <m/>
    <m/>
    <m/>
    <m/>
    <m/>
    <m/>
    <m/>
  </r>
  <r>
    <x v="168"/>
    <n v="2011"/>
    <x v="27"/>
    <s v="Africa"/>
    <m/>
    <s v="Oil"/>
    <s v="no"/>
    <s v="no"/>
    <s v="yes"/>
    <s v="Oil"/>
    <s v="detailed"/>
    <s v="detailed Oil"/>
    <n v="920895000"/>
    <m/>
    <m/>
    <m/>
    <m/>
    <s v="bbl"/>
    <n v="112"/>
    <s v="US$/bbl"/>
    <s v="Volume from BPSR 2014. Price from EITI Report."/>
    <n v="103140240000"/>
    <m/>
    <m/>
    <m/>
    <m/>
    <m/>
    <m/>
    <m/>
    <m/>
    <m/>
    <m/>
    <m/>
    <m/>
    <m/>
    <m/>
    <m/>
    <m/>
    <m/>
    <m/>
    <m/>
    <m/>
    <m/>
    <m/>
    <m/>
    <s v="5 (of the oil &amp; gas report)"/>
    <m/>
    <m/>
    <m/>
    <m/>
    <m/>
    <m/>
    <m/>
    <m/>
    <m/>
    <m/>
    <m/>
    <m/>
    <m/>
    <m/>
    <m/>
    <m/>
    <m/>
    <m/>
    <m/>
    <m/>
    <m/>
  </r>
  <r>
    <x v="168"/>
    <n v="2011"/>
    <x v="27"/>
    <s v="Africa"/>
    <m/>
    <s v="Mining"/>
    <s v="yes"/>
    <s v="no"/>
    <s v="no"/>
    <s v="Total Mining"/>
    <s v="Total"/>
    <s v="Total Mining"/>
    <m/>
    <m/>
    <m/>
    <m/>
    <m/>
    <m/>
    <m/>
    <m/>
    <m/>
    <n v="688485832.95290709"/>
    <m/>
    <m/>
    <m/>
    <n v="171057930"/>
    <n v="170847359"/>
    <m/>
    <m/>
    <m/>
    <n v="0.24845526489097777"/>
    <m/>
    <m/>
    <m/>
    <m/>
    <m/>
    <m/>
    <m/>
    <n v="87"/>
    <s v="A.G. Vision, ABL Granite Co Ltd, Ahmu International Mining Company, Alren Construction Nigeria Ltd, Arab Construction Nig. Ltd, Ashaka Cement Plc, Associated Granite Ind. Limited, Astro Minerals Ltd, BiwaterNig Ltd, Blackstone Crushing Company Limited, BoriniProno&amp; constr. Nig. Ltd., Bulletine Construction Company Limited, C &amp;.C. Construction Comp. Ltd., Cement Company of Northern Nigeria Plc., CCC Construction Nigeria Ltd, CCECC Nig. Ltd, CGC Nig. Ltd, CIBI Nigeria Limited, CNC Engineering Company, Construction Surport Nig. Ltd, Crushed Rock Nig Ltd, Crush Stones Industries Ltd, Dangote Cement Plc, Dantata&amp;Sawoe Construction Co., De Crown Quarry Ltd, Ebenezer mining &amp; ceramic Ind. Ltd, Elegant One Nigeria Ltd, EnercoProrox, ENL Construction Ltd, Freedom Development Co. Ltd, FW San He Concepts Ltd, Georgio Rock Ltd, GilmorEng’g Ltd, Gitto Construction Company, Glossands Ltd, Gyartagere Stone Crushing Co. Ltd, Habibu Engineering Nig. Ltd., Hajaig Const. Ltd, Harvey Ltd, Hitec Construction Company, Hongyun Mining Ind. Co. Ltd, Inter-Bau Construction Company Ltd, Japaul Mines &amp; Products Limited, JiaBao Quarry Nig Ltd, Julius Berger Nig. Plc, Kopek Nig. Limited, LadliceNig Ltd, Levant Construction Ltd, M.F.W Dredging &amp;Marine, Mac Daniels Quarry Ltd, MAC Engineering Const. Ltd., Madodel Eng. and Construction Com., Magcobar Manufacturing Nig. Ltd, Master Rock Nig Ltd, Moulds Nig. Limited, Milatex Nigeria Limited, Moelink Company Ltd, Mother CAT Ltd., Multiverse Resources Limited, NRC Ltd, P. W. Nigeria Limited, Para Crushing Nig. Ltd, Paul B Nigeria Plc, Perfect Stone Quarry, Piccolo Bruneill Eng. Ltd, Porcelainware Industries Ltd, Purechem Industries Limited, Qumecs Nig. Ltd, R.C.C (Nig) Ltd, Ratcon Construction Company Limited, Roads Nigeria Limited, Rockbridge Const. Co.Ltd, S.CC (Nig) Ltd, Salini Nig. Ltd, Samchase Nig. Limited, Saydoun Ltd, Serena Nigeria Limited, SetracoNig Limited, Soject Nigeria Ltd, Spectrums Minerals Ltd, Star Advantage Co. Ltd, State Quarry, Triacta Nigeria Ltd, Unichem Cement Company, West African Portland Cement Plc, Zeberceed Ltd, Zenith Const. Ltd.  "/>
    <n v="80"/>
    <m/>
    <m/>
    <m/>
    <m/>
    <s v="10 (of the mining report)"/>
    <m/>
    <m/>
    <m/>
    <m/>
    <m/>
    <m/>
    <m/>
    <m/>
    <m/>
    <m/>
    <m/>
    <m/>
    <m/>
    <m/>
    <m/>
    <m/>
    <m/>
    <m/>
    <m/>
    <m/>
    <m/>
  </r>
  <r>
    <x v="168"/>
    <n v="2011"/>
    <x v="27"/>
    <s v="Africa"/>
    <m/>
    <s v="Mining"/>
    <s v="yes"/>
    <s v="no"/>
    <s v="no"/>
    <s v="Clay (inc. Kaolin)"/>
    <s v="detailed"/>
    <s v="detailed Mining"/>
    <n v="155000"/>
    <m/>
    <n v="27609"/>
    <m/>
    <m/>
    <s v="t"/>
    <n v="65.17"/>
    <s v="US$/t"/>
    <s v="Volume from USGS Mineral Yearbook 2012. Price from USGS Mineral Commodity Summary 2014, and is the average price for clay in the US."/>
    <n v="10101350"/>
    <m/>
    <m/>
    <m/>
    <m/>
    <m/>
    <m/>
    <m/>
    <m/>
    <m/>
    <m/>
    <m/>
    <m/>
    <m/>
    <m/>
    <m/>
    <m/>
    <m/>
    <m/>
    <m/>
    <m/>
    <m/>
    <m/>
    <m/>
    <s v="81 (of the mining report)"/>
    <m/>
    <m/>
    <m/>
    <m/>
    <m/>
    <m/>
    <m/>
    <m/>
    <m/>
    <m/>
    <m/>
    <m/>
    <m/>
    <m/>
    <m/>
    <m/>
    <m/>
    <m/>
    <m/>
    <m/>
    <m/>
  </r>
  <r>
    <x v="168"/>
    <n v="2011"/>
    <x v="27"/>
    <s v="Africa"/>
    <m/>
    <s v="Mining"/>
    <s v="yes"/>
    <s v="no"/>
    <s v="no"/>
    <s v="Coal"/>
    <s v="detailed"/>
    <s v="detailed Mining"/>
    <n v="31751.465900000003"/>
    <m/>
    <n v="133818.01999999999"/>
    <m/>
    <m/>
    <s v="t"/>
    <n v="111.54662184722224"/>
    <s v="US$/t"/>
    <s v="Volume from EIA. Price from BPSR 2014, and is an average of the American Central Appalachian, Asian and Northwest Europe marker/spot prices."/>
    <n v="3541768.7598422724"/>
    <m/>
    <m/>
    <m/>
    <m/>
    <m/>
    <m/>
    <m/>
    <m/>
    <m/>
    <m/>
    <m/>
    <m/>
    <m/>
    <m/>
    <m/>
    <m/>
    <m/>
    <m/>
    <m/>
    <m/>
    <m/>
    <m/>
    <m/>
    <s v="81 (of the mining report)"/>
    <s v="Volume from EIA. Price from BPSR 2014, and is an average of the American Central Appalachian, Asian and Northwest Europe marker/spot prices."/>
    <m/>
    <m/>
    <m/>
    <m/>
    <m/>
    <m/>
    <m/>
    <m/>
    <m/>
    <m/>
    <m/>
    <m/>
    <m/>
    <m/>
    <m/>
    <m/>
    <m/>
    <m/>
    <m/>
    <m/>
  </r>
  <r>
    <x v="168"/>
    <n v="2011"/>
    <x v="27"/>
    <s v="Africa"/>
    <m/>
    <s v="Mining"/>
    <s v="yes"/>
    <s v="no"/>
    <s v="no"/>
    <s v="Columbium and tantalum concentrate"/>
    <s v="detailed"/>
    <s v="detailed Mining"/>
    <m/>
    <m/>
    <m/>
    <m/>
    <m/>
    <m/>
    <m/>
    <m/>
    <m/>
    <m/>
    <m/>
    <m/>
    <m/>
    <m/>
    <m/>
    <m/>
    <m/>
    <m/>
    <m/>
    <m/>
    <m/>
    <m/>
    <m/>
    <m/>
    <m/>
    <m/>
    <m/>
    <m/>
    <m/>
    <m/>
    <m/>
    <m/>
    <m/>
    <m/>
    <m/>
    <m/>
    <m/>
    <m/>
    <m/>
    <m/>
    <m/>
    <m/>
    <m/>
    <m/>
    <m/>
    <m/>
    <m/>
    <m/>
    <m/>
    <m/>
    <m/>
    <m/>
    <m/>
    <m/>
    <m/>
  </r>
  <r>
    <x v="168"/>
    <n v="2011"/>
    <x v="27"/>
    <s v="Africa"/>
    <m/>
    <s v="Mining"/>
    <s v="yes"/>
    <s v="no"/>
    <s v="no"/>
    <s v="o/w Gross weight"/>
    <s v="detailed"/>
    <s v="detailed Mining"/>
    <n v="311"/>
    <m/>
    <n v="200"/>
    <m/>
    <m/>
    <s v="t"/>
    <m/>
    <m/>
    <s v="Volume from USGS Mineral Yearbook 2012"/>
    <m/>
    <m/>
    <m/>
    <m/>
    <m/>
    <m/>
    <m/>
    <m/>
    <m/>
    <m/>
    <m/>
    <m/>
    <m/>
    <m/>
    <m/>
    <m/>
    <m/>
    <m/>
    <m/>
    <m/>
    <m/>
    <m/>
    <m/>
    <m/>
    <s v="81 (of the mining report)"/>
    <m/>
    <m/>
    <m/>
    <m/>
    <m/>
    <m/>
    <m/>
    <m/>
    <m/>
    <m/>
    <m/>
    <m/>
    <m/>
    <m/>
    <m/>
    <m/>
    <m/>
    <m/>
    <m/>
    <m/>
    <m/>
  </r>
  <r>
    <x v="168"/>
    <n v="2011"/>
    <x v="27"/>
    <s v="Africa"/>
    <m/>
    <s v="Mining"/>
    <s v="yes"/>
    <s v="no"/>
    <s v="no"/>
    <s v="o/w Columbium content"/>
    <s v="detailed"/>
    <s v="detailed Mining"/>
    <n v="22"/>
    <m/>
    <m/>
    <m/>
    <m/>
    <s v="t"/>
    <n v="41000"/>
    <s v="US$/t"/>
    <s v="Volume from USGS Mineral Yearbook 2012. Price from USGS Mineral Commodity Summary 2013, and is the price for ferroniobium with 65% columbium content in the US."/>
    <n v="902000"/>
    <m/>
    <m/>
    <m/>
    <m/>
    <m/>
    <m/>
    <m/>
    <m/>
    <m/>
    <m/>
    <m/>
    <m/>
    <m/>
    <m/>
    <m/>
    <m/>
    <m/>
    <m/>
    <m/>
    <m/>
    <m/>
    <m/>
    <m/>
    <m/>
    <m/>
    <m/>
    <m/>
    <m/>
    <m/>
    <m/>
    <m/>
    <m/>
    <m/>
    <m/>
    <m/>
    <m/>
    <m/>
    <m/>
    <m/>
    <m/>
    <m/>
    <m/>
    <m/>
    <m/>
    <m/>
  </r>
  <r>
    <x v="168"/>
    <n v="2011"/>
    <x v="27"/>
    <s v="Africa"/>
    <m/>
    <s v="Mining"/>
    <s v="yes"/>
    <s v="no"/>
    <s v="no"/>
    <s v="o/w Tantalum content"/>
    <s v="detailed"/>
    <s v="detailed Mining"/>
    <n v="64"/>
    <m/>
    <m/>
    <m/>
    <m/>
    <s v="t"/>
    <n v="275578.05252297217"/>
    <s v="US$/t"/>
    <s v="Volume from USGS Mineral Yearbook 2012. Price from USGS Mineral Commodity Summary 2013, and is the price for the Ta2O5 content of tantalite in the US."/>
    <n v="17636995.361470219"/>
    <m/>
    <m/>
    <m/>
    <m/>
    <m/>
    <m/>
    <m/>
    <m/>
    <m/>
    <m/>
    <m/>
    <m/>
    <m/>
    <m/>
    <m/>
    <m/>
    <m/>
    <m/>
    <m/>
    <m/>
    <m/>
    <m/>
    <m/>
    <m/>
    <m/>
    <m/>
    <m/>
    <m/>
    <m/>
    <m/>
    <m/>
    <m/>
    <m/>
    <m/>
    <m/>
    <m/>
    <m/>
    <m/>
    <m/>
    <m/>
    <m/>
    <m/>
    <m/>
    <m/>
    <m/>
  </r>
  <r>
    <x v="168"/>
    <n v="2011"/>
    <x v="27"/>
    <s v="Africa"/>
    <m/>
    <s v="Mining"/>
    <s v="yes"/>
    <s v="no"/>
    <s v="no"/>
    <s v="Copper"/>
    <s v="detailed"/>
    <s v="detailed Mining"/>
    <m/>
    <m/>
    <m/>
    <m/>
    <m/>
    <m/>
    <n v="2107.2777411388502"/>
    <s v="US$/t"/>
    <s v="Price from EITI Report, and is based on the reported volume and value of exports."/>
    <m/>
    <m/>
    <m/>
    <m/>
    <m/>
    <m/>
    <m/>
    <m/>
    <m/>
    <m/>
    <m/>
    <m/>
    <m/>
    <m/>
    <m/>
    <m/>
    <m/>
    <m/>
    <m/>
    <m/>
    <m/>
    <m/>
    <m/>
    <m/>
    <s v="83 (of the mining report)"/>
    <s v="The USGS Mineral Yearbook 2012 indicates that there was insufficent data to estimate production volumes."/>
    <m/>
    <m/>
    <m/>
    <m/>
    <m/>
    <m/>
    <m/>
    <m/>
    <m/>
    <m/>
    <m/>
    <m/>
    <m/>
    <m/>
    <m/>
    <m/>
    <m/>
    <m/>
    <m/>
    <m/>
  </r>
  <r>
    <x v="168"/>
    <n v="2011"/>
    <x v="27"/>
    <s v="Africa"/>
    <m/>
    <s v="Mining"/>
    <s v="yes"/>
    <s v="no"/>
    <s v="no"/>
    <s v="Dolerite"/>
    <s v="detailed"/>
    <s v="detailed Mining"/>
    <m/>
    <m/>
    <n v="61212"/>
    <m/>
    <m/>
    <s v="t"/>
    <m/>
    <m/>
    <m/>
    <m/>
    <m/>
    <m/>
    <m/>
    <m/>
    <m/>
    <m/>
    <m/>
    <m/>
    <m/>
    <m/>
    <m/>
    <m/>
    <m/>
    <m/>
    <m/>
    <m/>
    <m/>
    <m/>
    <m/>
    <m/>
    <m/>
    <m/>
    <m/>
    <s v="81 (of the mining report)"/>
    <s v="This commodity is not mentioned in the USGS Mineral Yearbook 2012."/>
    <m/>
    <m/>
    <m/>
    <m/>
    <m/>
    <m/>
    <m/>
    <m/>
    <m/>
    <m/>
    <m/>
    <m/>
    <m/>
    <m/>
    <m/>
    <m/>
    <m/>
    <m/>
    <m/>
    <m/>
  </r>
  <r>
    <x v="168"/>
    <n v="2011"/>
    <x v="27"/>
    <s v="Africa"/>
    <m/>
    <s v="Mining"/>
    <s v="yes"/>
    <s v="no"/>
    <s v="no"/>
    <s v="Feldspar"/>
    <s v="detailed"/>
    <s v="detailed Mining"/>
    <n v="1700"/>
    <m/>
    <m/>
    <m/>
    <m/>
    <s v="t"/>
    <n v="62"/>
    <s v="US$/t"/>
    <s v="Volume from USGS Mineral Yearbook 2012. Price from USGS Mineral Commodity Summary 2014, and is the price for marketable production in the US."/>
    <n v="105400"/>
    <m/>
    <m/>
    <m/>
    <m/>
    <m/>
    <m/>
    <m/>
    <m/>
    <m/>
    <m/>
    <m/>
    <m/>
    <m/>
    <m/>
    <m/>
    <m/>
    <m/>
    <m/>
    <m/>
    <m/>
    <m/>
    <m/>
    <m/>
    <m/>
    <m/>
    <m/>
    <m/>
    <m/>
    <m/>
    <m/>
    <m/>
    <m/>
    <m/>
    <m/>
    <m/>
    <m/>
    <m/>
    <m/>
    <m/>
    <m/>
    <m/>
    <m/>
    <m/>
    <m/>
    <m/>
  </r>
  <r>
    <x v="168"/>
    <n v="2011"/>
    <x v="27"/>
    <s v="Africa"/>
    <m/>
    <s v="Mining"/>
    <s v="yes"/>
    <s v="no"/>
    <s v="no"/>
    <s v="Gold"/>
    <s v="detailed"/>
    <s v="detailed Mining"/>
    <n v="128602.972506024"/>
    <m/>
    <m/>
    <m/>
    <m/>
    <s v="toz"/>
    <n v="1569.2108333333299"/>
    <s v="US$/toz"/>
    <s v="Volume from USGS Mineral Yearbook 2012. Price from World Bank (Global Economic Monitor (GEM) Commodities database), and is defined as: Gold (UK), 99.5% fine, London afternoon fixing, average of daily rates."/>
    <n v="201805177.65532124"/>
    <m/>
    <m/>
    <m/>
    <m/>
    <m/>
    <m/>
    <m/>
    <m/>
    <m/>
    <m/>
    <m/>
    <m/>
    <m/>
    <m/>
    <m/>
    <m/>
    <m/>
    <m/>
    <m/>
    <m/>
    <m/>
    <m/>
    <m/>
    <m/>
    <m/>
    <m/>
    <m/>
    <m/>
    <m/>
    <m/>
    <m/>
    <m/>
    <m/>
    <m/>
    <m/>
    <m/>
    <m/>
    <m/>
    <m/>
    <m/>
    <m/>
    <m/>
    <m/>
    <m/>
    <m/>
  </r>
  <r>
    <x v="168"/>
    <n v="2011"/>
    <x v="27"/>
    <s v="Africa"/>
    <m/>
    <s v="Mining"/>
    <s v="yes"/>
    <s v="no"/>
    <s v="no"/>
    <s v="Granite"/>
    <s v="detailed"/>
    <s v="detailed Mining"/>
    <n v="9621000"/>
    <m/>
    <n v="7587626.1900000004"/>
    <m/>
    <m/>
    <s v="t"/>
    <n v="12"/>
    <s v="US$/t"/>
    <s v="Volume from USGS Mineral Yearbook 2012. Price from USGS Mineral Yearbook 2012, and is the price in the US for crushed granite."/>
    <n v="115452000"/>
    <m/>
    <m/>
    <m/>
    <m/>
    <m/>
    <m/>
    <m/>
    <m/>
    <m/>
    <m/>
    <m/>
    <m/>
    <m/>
    <m/>
    <m/>
    <m/>
    <m/>
    <m/>
    <m/>
    <m/>
    <m/>
    <m/>
    <m/>
    <s v="81 (of the mining report)"/>
    <m/>
    <m/>
    <m/>
    <m/>
    <m/>
    <m/>
    <m/>
    <m/>
    <m/>
    <m/>
    <m/>
    <m/>
    <m/>
    <m/>
    <m/>
    <m/>
    <m/>
    <m/>
    <m/>
    <m/>
    <m/>
  </r>
  <r>
    <x v="168"/>
    <n v="2011"/>
    <x v="27"/>
    <s v="Africa"/>
    <m/>
    <s v="Mining"/>
    <s v="yes"/>
    <s v="no"/>
    <s v="no"/>
    <s v="Gypsum"/>
    <s v="detailed"/>
    <s v="detailed Mining"/>
    <n v="320000"/>
    <m/>
    <n v="20072.7"/>
    <m/>
    <m/>
    <s v="t"/>
    <n v="18.5"/>
    <s v="US$/t"/>
    <s v="Volume from USGS Mineral Yearbook 2012. Price from USGS Mineral Commodity Summary 2013, and is the average f.o.b. price for crude and calcined products."/>
    <n v="5920000"/>
    <m/>
    <m/>
    <m/>
    <m/>
    <m/>
    <m/>
    <m/>
    <m/>
    <m/>
    <m/>
    <m/>
    <m/>
    <m/>
    <m/>
    <m/>
    <m/>
    <m/>
    <m/>
    <m/>
    <m/>
    <m/>
    <m/>
    <m/>
    <s v="81 (of the mining report)"/>
    <m/>
    <m/>
    <m/>
    <m/>
    <m/>
    <m/>
    <m/>
    <m/>
    <m/>
    <m/>
    <m/>
    <m/>
    <m/>
    <m/>
    <m/>
    <m/>
    <m/>
    <m/>
    <m/>
    <m/>
    <m/>
  </r>
  <r>
    <x v="168"/>
    <n v="2011"/>
    <x v="27"/>
    <s v="Africa"/>
    <m/>
    <s v="Mining"/>
    <s v="yes"/>
    <s v="no"/>
    <s v="no"/>
    <s v="Iron ore"/>
    <s v="detailed"/>
    <s v="detailed Mining"/>
    <n v="70000"/>
    <m/>
    <m/>
    <m/>
    <m/>
    <s v="t"/>
    <n v="167.75416666666999"/>
    <s v="US$/t"/>
    <s v="Volume from USGS Mineral Yearbook 2012. Price from World Bank (Global Economic Monitor (GEM) Commodities database), and is defined as: Iron ore (any origin) fines, spot price, c.f.r. China, 62% Fe."/>
    <n v="11742791.666666899"/>
    <m/>
    <m/>
    <m/>
    <m/>
    <m/>
    <m/>
    <m/>
    <m/>
    <m/>
    <m/>
    <m/>
    <m/>
    <m/>
    <m/>
    <m/>
    <m/>
    <m/>
    <m/>
    <m/>
    <m/>
    <m/>
    <m/>
    <m/>
    <m/>
    <m/>
    <m/>
    <m/>
    <m/>
    <m/>
    <m/>
    <m/>
    <m/>
    <m/>
    <m/>
    <m/>
    <m/>
    <m/>
    <m/>
    <m/>
    <m/>
    <m/>
    <m/>
    <m/>
    <m/>
    <m/>
  </r>
  <r>
    <x v="168"/>
    <n v="2011"/>
    <x v="27"/>
    <s v="Africa"/>
    <m/>
    <s v="Mining"/>
    <s v="yes"/>
    <s v="no"/>
    <s v="no"/>
    <s v="Laterite"/>
    <s v="detailed"/>
    <s v="detailed Mining"/>
    <n v="2573000"/>
    <m/>
    <n v="2304615.85"/>
    <m/>
    <m/>
    <s v="t"/>
    <m/>
    <m/>
    <s v="Volume from USGS Mineral Yearbook 2012"/>
    <m/>
    <m/>
    <m/>
    <m/>
    <m/>
    <m/>
    <m/>
    <m/>
    <m/>
    <m/>
    <m/>
    <m/>
    <m/>
    <m/>
    <m/>
    <m/>
    <m/>
    <m/>
    <m/>
    <m/>
    <m/>
    <m/>
    <m/>
    <m/>
    <s v="81 (of the mining report)"/>
    <m/>
    <m/>
    <m/>
    <m/>
    <m/>
    <m/>
    <m/>
    <m/>
    <m/>
    <m/>
    <m/>
    <m/>
    <m/>
    <m/>
    <m/>
    <m/>
    <m/>
    <m/>
    <m/>
    <m/>
    <m/>
  </r>
  <r>
    <x v="168"/>
    <n v="2011"/>
    <x v="27"/>
    <s v="Africa"/>
    <m/>
    <s v="Mining"/>
    <s v="yes"/>
    <s v="no"/>
    <s v="no"/>
    <s v="Lead-zinc ore"/>
    <s v="detailed"/>
    <s v="detailed Mining"/>
    <n v="800000"/>
    <m/>
    <m/>
    <m/>
    <m/>
    <s v="t"/>
    <m/>
    <m/>
    <s v="Volume from USGS Mineral Yearbook 2012"/>
    <m/>
    <m/>
    <m/>
    <m/>
    <m/>
    <m/>
    <m/>
    <m/>
    <m/>
    <m/>
    <m/>
    <m/>
    <m/>
    <m/>
    <m/>
    <m/>
    <m/>
    <m/>
    <m/>
    <m/>
    <m/>
    <m/>
    <m/>
    <m/>
    <m/>
    <m/>
    <m/>
    <m/>
    <m/>
    <m/>
    <m/>
    <m/>
    <m/>
    <m/>
    <m/>
    <m/>
    <m/>
    <m/>
    <m/>
    <m/>
    <m/>
    <m/>
    <m/>
    <m/>
    <m/>
    <m/>
  </r>
  <r>
    <x v="168"/>
    <n v="2011"/>
    <x v="27"/>
    <s v="Africa"/>
    <m/>
    <s v="Mining"/>
    <s v="yes"/>
    <s v="no"/>
    <s v="no"/>
    <s v="Limestone"/>
    <s v="detailed"/>
    <s v="detailed Mining"/>
    <n v="8280000"/>
    <m/>
    <n v="15224910.32"/>
    <m/>
    <m/>
    <s v="t"/>
    <n v="9.06"/>
    <s v="US$/t"/>
    <s v="Volume from USGS Mineral Yearbook 2012. Price from USGS Mineral Yearbook 2012, and is the price in the US for crushed limestone."/>
    <n v="75016800"/>
    <m/>
    <m/>
    <m/>
    <m/>
    <m/>
    <m/>
    <m/>
    <m/>
    <m/>
    <m/>
    <m/>
    <m/>
    <m/>
    <m/>
    <m/>
    <m/>
    <m/>
    <m/>
    <m/>
    <m/>
    <m/>
    <m/>
    <m/>
    <s v="81 (of the mining report)"/>
    <m/>
    <m/>
    <m/>
    <m/>
    <m/>
    <m/>
    <m/>
    <m/>
    <m/>
    <m/>
    <m/>
    <m/>
    <m/>
    <m/>
    <m/>
    <m/>
    <m/>
    <m/>
    <m/>
    <m/>
    <m/>
  </r>
  <r>
    <x v="168"/>
    <n v="2011"/>
    <x v="27"/>
    <s v="Africa"/>
    <m/>
    <s v="Mining"/>
    <s v="yes"/>
    <s v="no"/>
    <s v="no"/>
    <s v="Manganese"/>
    <s v="detailed"/>
    <s v="detailed Mining"/>
    <m/>
    <m/>
    <m/>
    <m/>
    <m/>
    <m/>
    <n v="0.4439706429563603"/>
    <s v="US$/t"/>
    <s v="Price from EITI Report, and is based on the reported volume and value of exports."/>
    <m/>
    <m/>
    <m/>
    <m/>
    <m/>
    <m/>
    <m/>
    <m/>
    <m/>
    <m/>
    <m/>
    <m/>
    <m/>
    <m/>
    <m/>
    <m/>
    <m/>
    <m/>
    <m/>
    <m/>
    <m/>
    <m/>
    <m/>
    <m/>
    <s v="83 (of the mining report)"/>
    <s v="The USGS Mineral Yearbook 2012 indicates that there was insufficent data to estimate production volumes."/>
    <m/>
    <m/>
    <m/>
    <m/>
    <m/>
    <m/>
    <m/>
    <m/>
    <m/>
    <m/>
    <m/>
    <m/>
    <m/>
    <m/>
    <m/>
    <m/>
    <m/>
    <m/>
    <m/>
    <m/>
  </r>
  <r>
    <x v="168"/>
    <n v="2011"/>
    <x v="27"/>
    <s v="Africa"/>
    <m/>
    <s v="Mining"/>
    <s v="yes"/>
    <s v="no"/>
    <s v="no"/>
    <s v="Marble (crushed)"/>
    <s v="detailed"/>
    <s v="detailed Mining"/>
    <n v="10185000"/>
    <m/>
    <m/>
    <m/>
    <m/>
    <s v="t"/>
    <n v="15.3"/>
    <s v="US$/t"/>
    <s v="Volume from USGS Mineral Yearbook 2012. Price from USGS Mineral Yearbook 2012, and is the price in the US for crushed marble."/>
    <n v="155830500"/>
    <m/>
    <m/>
    <m/>
    <m/>
    <m/>
    <m/>
    <m/>
    <m/>
    <m/>
    <m/>
    <m/>
    <m/>
    <m/>
    <m/>
    <m/>
    <m/>
    <m/>
    <m/>
    <m/>
    <m/>
    <m/>
    <m/>
    <m/>
    <m/>
    <m/>
    <m/>
    <m/>
    <m/>
    <m/>
    <m/>
    <m/>
    <m/>
    <m/>
    <m/>
    <m/>
    <m/>
    <m/>
    <m/>
    <m/>
    <m/>
    <m/>
    <m/>
    <m/>
    <m/>
    <m/>
  </r>
  <r>
    <x v="168"/>
    <n v="2011"/>
    <x v="27"/>
    <s v="Africa"/>
    <m/>
    <s v="Mining"/>
    <s v="yes"/>
    <s v="no"/>
    <s v="no"/>
    <s v="Nitrogen (fixed - ammonia)"/>
    <s v="detailed"/>
    <s v="detailed Mining"/>
    <n v="80000"/>
    <m/>
    <m/>
    <m/>
    <m/>
    <s v="t"/>
    <n v="531"/>
    <s v="US$/t"/>
    <s v="Volume from USGS Mineral Yearbook 2012. Price from USGS Mineral Commodity Summary 2013, and is the f.o.b price in the US."/>
    <n v="42480000"/>
    <m/>
    <m/>
    <m/>
    <m/>
    <m/>
    <m/>
    <m/>
    <m/>
    <m/>
    <m/>
    <m/>
    <m/>
    <m/>
    <m/>
    <m/>
    <m/>
    <m/>
    <m/>
    <m/>
    <m/>
    <m/>
    <m/>
    <m/>
    <m/>
    <m/>
    <m/>
    <m/>
    <m/>
    <m/>
    <m/>
    <m/>
    <m/>
    <m/>
    <m/>
    <m/>
    <m/>
    <m/>
    <m/>
    <m/>
    <m/>
    <m/>
    <m/>
    <m/>
    <m/>
    <m/>
  </r>
  <r>
    <x v="168"/>
    <n v="2011"/>
    <x v="27"/>
    <s v="Africa"/>
    <m/>
    <s v="Mining"/>
    <s v="yes"/>
    <s v="no"/>
    <s v="no"/>
    <s v="Red Alluvium"/>
    <s v="detailed"/>
    <s v="detailed Mining"/>
    <n v="204779.13"/>
    <m/>
    <n v="204779.13"/>
    <m/>
    <m/>
    <s v="t"/>
    <m/>
    <m/>
    <s v="Volume from EITI Report, but is only that of the covered companies"/>
    <m/>
    <m/>
    <m/>
    <m/>
    <m/>
    <m/>
    <m/>
    <m/>
    <m/>
    <m/>
    <m/>
    <m/>
    <m/>
    <m/>
    <m/>
    <m/>
    <m/>
    <m/>
    <m/>
    <m/>
    <m/>
    <m/>
    <m/>
    <m/>
    <s v="81 (of the mining report)"/>
    <s v="This commodity is not mentioned in the USGS Mineral Yearbook 2012."/>
    <m/>
    <m/>
    <m/>
    <m/>
    <m/>
    <m/>
    <m/>
    <m/>
    <m/>
    <m/>
    <m/>
    <m/>
    <m/>
    <m/>
    <m/>
    <m/>
    <m/>
    <m/>
    <m/>
    <m/>
  </r>
  <r>
    <x v="168"/>
    <n v="2011"/>
    <x v="27"/>
    <s v="Africa"/>
    <m/>
    <s v="Mining"/>
    <s v="yes"/>
    <s v="no"/>
    <s v="no"/>
    <s v="Sand"/>
    <s v="detailed"/>
    <s v="detailed Mining"/>
    <n v="1394000"/>
    <m/>
    <n v="1624634.9"/>
    <m/>
    <m/>
    <s v="t"/>
    <n v="7.49"/>
    <s v="US$/t"/>
    <s v="Volume from USGS Mineral Yearbook 2012. Price from USGS Mineral Yearbook 2012, and is the price in the US for construction sand and gravel."/>
    <n v="10441060"/>
    <m/>
    <m/>
    <m/>
    <m/>
    <m/>
    <m/>
    <m/>
    <m/>
    <m/>
    <m/>
    <m/>
    <m/>
    <m/>
    <m/>
    <m/>
    <m/>
    <m/>
    <m/>
    <m/>
    <m/>
    <m/>
    <m/>
    <m/>
    <s v="81 (of the mining report)"/>
    <m/>
    <m/>
    <m/>
    <m/>
    <m/>
    <m/>
    <m/>
    <m/>
    <m/>
    <m/>
    <m/>
    <m/>
    <m/>
    <m/>
    <m/>
    <m/>
    <m/>
    <m/>
    <m/>
    <m/>
    <m/>
  </r>
  <r>
    <x v="168"/>
    <n v="2011"/>
    <x v="27"/>
    <s v="Africa"/>
    <m/>
    <s v="Mining"/>
    <s v="yes"/>
    <s v="no"/>
    <s v="no"/>
    <s v="Sandstone"/>
    <s v="detailed"/>
    <s v="detailed Mining"/>
    <m/>
    <m/>
    <m/>
    <m/>
    <m/>
    <m/>
    <n v="7.6114186035074497E-3"/>
    <s v="US$/t"/>
    <s v="Price from EITI Report, and is based on the reported volume and value of exports."/>
    <m/>
    <m/>
    <m/>
    <m/>
    <m/>
    <m/>
    <m/>
    <m/>
    <m/>
    <m/>
    <m/>
    <m/>
    <m/>
    <m/>
    <m/>
    <m/>
    <m/>
    <m/>
    <m/>
    <m/>
    <m/>
    <m/>
    <m/>
    <m/>
    <s v="83 (of the mining report)"/>
    <m/>
    <m/>
    <m/>
    <m/>
    <m/>
    <m/>
    <m/>
    <m/>
    <m/>
    <m/>
    <m/>
    <m/>
    <m/>
    <m/>
    <m/>
    <m/>
    <m/>
    <m/>
    <m/>
    <m/>
    <m/>
  </r>
  <r>
    <x v="168"/>
    <n v="2011"/>
    <x v="27"/>
    <s v="Africa"/>
    <m/>
    <s v="Mining"/>
    <s v="yes"/>
    <s v="no"/>
    <s v="no"/>
    <s v="Shale"/>
    <s v="detailed"/>
    <s v="detailed Mining"/>
    <n v="7452000"/>
    <m/>
    <n v="491469.91"/>
    <m/>
    <m/>
    <s v="t"/>
    <m/>
    <m/>
    <s v="Volume from USGS Mineral Yearbook 2012"/>
    <m/>
    <m/>
    <m/>
    <m/>
    <m/>
    <m/>
    <m/>
    <m/>
    <m/>
    <m/>
    <m/>
    <m/>
    <m/>
    <m/>
    <m/>
    <m/>
    <m/>
    <m/>
    <m/>
    <m/>
    <m/>
    <m/>
    <m/>
    <m/>
    <s v="81 (of the mining report)"/>
    <m/>
    <m/>
    <m/>
    <m/>
    <m/>
    <m/>
    <m/>
    <m/>
    <m/>
    <m/>
    <m/>
    <m/>
    <m/>
    <m/>
    <m/>
    <m/>
    <m/>
    <m/>
    <m/>
    <m/>
    <m/>
  </r>
  <r>
    <x v="168"/>
    <n v="2011"/>
    <x v="27"/>
    <s v="Africa"/>
    <m/>
    <s v="Mining"/>
    <s v="yes"/>
    <s v="no"/>
    <s v="no"/>
    <s v="Tin (cassiterite concentrate)"/>
    <s v="detailed"/>
    <s v="detailed Mining"/>
    <m/>
    <m/>
    <n v="400"/>
    <m/>
    <m/>
    <s v="t"/>
    <n v="17.525455449787156"/>
    <s v="US$/t"/>
    <s v="Price from EITI Report, and is based on the reported volume and value of exports."/>
    <n v="9989.5096063786787"/>
    <m/>
    <m/>
    <m/>
    <m/>
    <m/>
    <m/>
    <m/>
    <m/>
    <m/>
    <m/>
    <m/>
    <m/>
    <m/>
    <m/>
    <m/>
    <m/>
    <m/>
    <m/>
    <m/>
    <m/>
    <m/>
    <m/>
    <m/>
    <s v="81, 83 (of the mining report)"/>
    <m/>
    <m/>
    <m/>
    <m/>
    <m/>
    <m/>
    <m/>
    <m/>
    <m/>
    <m/>
    <m/>
    <m/>
    <m/>
    <m/>
    <m/>
    <m/>
    <m/>
    <m/>
    <m/>
    <m/>
    <m/>
  </r>
  <r>
    <x v="168"/>
    <n v="2011"/>
    <x v="27"/>
    <s v="Africa"/>
    <m/>
    <s v="Mining"/>
    <s v="yes"/>
    <s v="no"/>
    <s v="no"/>
    <s v="o/w Gross weight"/>
    <s v="detailed"/>
    <s v="detailed Mining"/>
    <n v="740"/>
    <m/>
    <m/>
    <m/>
    <m/>
    <s v="t"/>
    <m/>
    <m/>
    <s v="Volume from USGS Mineral Yearbook 2012"/>
    <m/>
    <m/>
    <m/>
    <m/>
    <m/>
    <m/>
    <m/>
    <m/>
    <m/>
    <m/>
    <m/>
    <m/>
    <m/>
    <m/>
    <m/>
    <m/>
    <m/>
    <m/>
    <m/>
    <m/>
    <m/>
    <m/>
    <m/>
    <m/>
    <m/>
    <m/>
    <m/>
    <m/>
    <m/>
    <m/>
    <m/>
    <m/>
    <m/>
    <m/>
    <m/>
    <m/>
    <m/>
    <m/>
    <m/>
    <m/>
    <m/>
    <m/>
    <m/>
    <m/>
    <m/>
    <m/>
  </r>
  <r>
    <x v="168"/>
    <n v="2011"/>
    <x v="27"/>
    <s v="Africa"/>
    <m/>
    <s v="Mining"/>
    <s v="yes"/>
    <s v="no"/>
    <s v="no"/>
    <s v="o/w Tin content"/>
    <s v="detailed"/>
    <s v="detailed Mining"/>
    <n v="570"/>
    <m/>
    <m/>
    <m/>
    <m/>
    <s v="t"/>
    <m/>
    <m/>
    <s v="Volume from USGS Mineral Yearbook 2012"/>
    <m/>
    <m/>
    <m/>
    <m/>
    <m/>
    <m/>
    <m/>
    <m/>
    <m/>
    <m/>
    <m/>
    <m/>
    <m/>
    <m/>
    <m/>
    <m/>
    <m/>
    <m/>
    <m/>
    <m/>
    <m/>
    <m/>
    <m/>
    <m/>
    <m/>
    <m/>
    <m/>
    <m/>
    <m/>
    <m/>
    <m/>
    <m/>
    <m/>
    <m/>
    <m/>
    <m/>
    <m/>
    <m/>
    <m/>
    <m/>
    <m/>
    <m/>
    <m/>
    <m/>
    <m/>
    <m/>
  </r>
  <r>
    <x v="168"/>
    <n v="2011"/>
    <x v="27"/>
    <s v="Africa"/>
    <m/>
    <s v="Mining"/>
    <s v="yes"/>
    <s v="no"/>
    <s v="no"/>
    <s v="Topaz"/>
    <s v="detailed"/>
    <s v="detailed Mining"/>
    <n v="1000"/>
    <m/>
    <m/>
    <m/>
    <m/>
    <s v="kg"/>
    <n v="37500"/>
    <s v="US$/kg"/>
    <s v="Volume from USGS Mineral Yearbook 2012. Price from the USGS Mineral Yearbook 2011, and is the median of the price range for cut blue topaz in the US."/>
    <n v="37500000"/>
    <m/>
    <m/>
    <m/>
    <m/>
    <m/>
    <m/>
    <m/>
    <m/>
    <m/>
    <m/>
    <m/>
    <m/>
    <m/>
    <m/>
    <m/>
    <m/>
    <m/>
    <m/>
    <m/>
    <m/>
    <m/>
    <m/>
    <m/>
    <m/>
    <m/>
    <m/>
    <m/>
    <m/>
    <m/>
    <m/>
    <m/>
    <m/>
    <m/>
    <m/>
    <m/>
    <m/>
    <m/>
    <m/>
    <m/>
    <m/>
    <m/>
    <m/>
    <m/>
    <m/>
    <m/>
  </r>
  <r>
    <x v="168"/>
    <n v="2011"/>
    <x v="27"/>
    <s v="Africa"/>
    <m/>
    <s v="Mining"/>
    <s v="yes"/>
    <s v="no"/>
    <s v="no"/>
    <s v="Tourmaline"/>
    <s v="detailed"/>
    <s v="detailed Mining"/>
    <n v="100000000"/>
    <m/>
    <n v="100000000"/>
    <m/>
    <m/>
    <s v="kg"/>
    <n v="443750"/>
    <s v="US$/kg"/>
    <s v="Volume from EITI Report, but is only that of the covered companies. Price from the USGS Mineral Yearbook 2011, and is the average of the medians of the year-end price ranges for cut green and pink tourmaline in the US."/>
    <m/>
    <m/>
    <m/>
    <m/>
    <m/>
    <m/>
    <m/>
    <m/>
    <m/>
    <m/>
    <m/>
    <m/>
    <m/>
    <m/>
    <m/>
    <m/>
    <m/>
    <m/>
    <m/>
    <m/>
    <m/>
    <m/>
    <m/>
    <m/>
    <s v="81 (of the mining report)"/>
    <s v="The USGS Mineral Yearbook 2012 indicates that there was insufficent data to estimate production volumes."/>
    <m/>
    <m/>
    <m/>
    <m/>
    <m/>
    <m/>
    <m/>
    <m/>
    <m/>
    <m/>
    <m/>
    <m/>
    <m/>
    <m/>
    <m/>
    <m/>
    <m/>
    <m/>
    <m/>
    <m/>
  </r>
  <r>
    <x v="168"/>
    <n v="2011"/>
    <x v="27"/>
    <s v="Africa"/>
    <m/>
    <s v="Mining"/>
    <s v="yes"/>
    <s v="no"/>
    <s v="no"/>
    <s v="Wolframite"/>
    <s v="detailed"/>
    <s v="detailed Mining"/>
    <n v="85"/>
    <m/>
    <n v="85"/>
    <m/>
    <m/>
    <s v="t"/>
    <m/>
    <m/>
    <s v="Volume from EITI Report, but is only that of the covered companies"/>
    <m/>
    <m/>
    <m/>
    <m/>
    <m/>
    <m/>
    <m/>
    <m/>
    <m/>
    <m/>
    <m/>
    <m/>
    <m/>
    <m/>
    <m/>
    <m/>
    <m/>
    <m/>
    <m/>
    <m/>
    <m/>
    <m/>
    <m/>
    <m/>
    <s v="81 (of the mining report)"/>
    <s v="This commodity is not mentioned in the USGS Mineral Yearbook 2012."/>
    <m/>
    <m/>
    <m/>
    <m/>
    <m/>
    <m/>
    <m/>
    <m/>
    <m/>
    <m/>
    <m/>
    <m/>
    <m/>
    <m/>
    <m/>
    <m/>
    <m/>
    <m/>
    <m/>
    <m/>
  </r>
  <r>
    <x v="168"/>
    <n v="2011"/>
    <x v="27"/>
    <s v="Africa"/>
    <m/>
    <s v="Mining"/>
    <s v="yes"/>
    <s v="no"/>
    <s v="no"/>
    <s v="Zircon"/>
    <s v="detailed"/>
    <s v="detailed Mining"/>
    <m/>
    <m/>
    <m/>
    <m/>
    <m/>
    <m/>
    <n v="175.37268430195519"/>
    <s v="US$/t"/>
    <s v="Price from EITI Report, and is based on the reported volume and value of exports."/>
    <m/>
    <m/>
    <m/>
    <m/>
    <m/>
    <m/>
    <m/>
    <m/>
    <m/>
    <m/>
    <m/>
    <m/>
    <m/>
    <m/>
    <m/>
    <m/>
    <m/>
    <m/>
    <m/>
    <m/>
    <m/>
    <m/>
    <m/>
    <m/>
    <s v="83 (of the mining report)"/>
    <s v="The USGS Mineral Yearbook 2012 indicates that there was insufficent data to estimate production volumes."/>
    <m/>
    <m/>
    <m/>
    <m/>
    <m/>
    <m/>
    <m/>
    <m/>
    <m/>
    <m/>
    <m/>
    <m/>
    <m/>
    <m/>
    <m/>
    <m/>
    <m/>
    <m/>
    <m/>
    <m/>
  </r>
  <r>
    <x v="169"/>
    <n v="2012"/>
    <x v="27"/>
    <s v="Africa"/>
    <s v="http://neiti.org.ng/"/>
    <s v="Mining"/>
    <m/>
    <m/>
    <m/>
    <s v="Total"/>
    <m/>
    <m/>
    <m/>
    <m/>
    <m/>
    <m/>
    <m/>
    <m/>
    <m/>
    <m/>
    <s v="Volume from EITI report"/>
    <m/>
    <s v="Profits/Taxes, Royalties, Dividends, Licenses and concessions, Other significant benefits to government_x000a_"/>
    <s v="Does not include payments made in-kind"/>
    <s v="No"/>
    <n v="177501338.81"/>
    <n v="164593480.06999999"/>
    <m/>
    <n v="185071166.36000001"/>
    <m/>
    <m/>
    <s v="Nigerian Naira"/>
    <n v="155.27000000000001"/>
    <s v="Disaggregated by revenue stream, Disaggregated by company"/>
    <m/>
    <m/>
    <m/>
    <m/>
    <n v="65"/>
    <s v="Dangote Cement Plc., Levant Const. Ltd., West African Portland Cement Plc., Madodel Eng’g Nig. Ltd., Julius Berger (Nig.) Plc., Zenith Const. Co. Ltd., United Cement Nig. Ltd., Perfect Stone Quarries, Setraco Nig. Ltd., Asphalt Unity Const Ltd., Crushed Rock Ind. Ltd., Brothers Quarry Nig. Ltd., Rcc (Nig.) Ltd., First Tipper Drivers Mining Entrp., Arab Contractor (Oao) Nig Ltd., Habibu Eng. Nig. Ltd., Gilmor Engineering Nig. Ltd., Kunlun Nig. Ltd., Ashaka Cem Plc., Ratcon Construction Co. Ltd., Dantata &amp; Sawoe Ng Ltd., Japaul Mines &amp; Prd., Tongyi Allied Mining Ltd., Mac Daniel’s Quarry &amp; Conc Ltd., P.W. Nig Ltd., Purechem Industries Limited, Ccnn Plc., Saydoun Ltd., C.C.E.C.C. (Nig.) Ltd., Equishare Nig. Ltd., Mother Cat Nig. Ltd., Paras Crushing Company Ltd., Georgio Rock Ltd., Mould Nig. Ltd., Kopek Construction Limited, Ahmu International Mining Ltd., Petra Quarries Ltd., Dantata Land And Sea, F.W. Dredging Co, Salini Nig Ltd., Pzan International Ltd., Elegant One Co. Ltd., Zeberced Nig Ltd., Porcelainware Industries Ltd., Borini Prono &amp; Constr. Co. Ltd., Gitto Quarry Project, Triacta Nig. Ltd., C.G.C Nig. Ltd., Moelinks Company Ltd., Ccc Construction Nig. Ltd., Rockwell Quarry, Hitech Cost. Co. Ltd., Multiverse Resources Limited, Magcobar Manufacturing Nig Ltd., Fw San He Concepts Limited Buying Centres, Astro Minerals, Inter- Bau Const Ltd., Spectrum Minerals Ltd."/>
    <n v="58"/>
    <s v="December 2014"/>
    <m/>
    <s v="Moore Stephens"/>
    <s v="https://eiti.org/files/Nigeria-SMA-Report-2012_0.pdf"/>
    <m/>
    <m/>
    <m/>
    <m/>
    <m/>
    <m/>
    <m/>
    <m/>
    <m/>
    <m/>
    <m/>
    <m/>
    <m/>
    <m/>
    <m/>
    <m/>
    <m/>
    <m/>
    <m/>
    <m/>
    <m/>
    <m/>
  </r>
  <r>
    <x v="169"/>
    <n v="2012"/>
    <x v="27"/>
    <s v="Africa"/>
    <m/>
    <s v="Mining"/>
    <m/>
    <m/>
    <m/>
    <s v="Limestone"/>
    <m/>
    <m/>
    <m/>
    <m/>
    <m/>
    <n v="18109880"/>
    <m/>
    <s v="t"/>
    <m/>
    <m/>
    <m/>
    <m/>
    <m/>
    <m/>
    <m/>
    <m/>
    <m/>
    <m/>
    <m/>
    <m/>
    <m/>
    <m/>
    <m/>
    <m/>
    <m/>
    <m/>
    <m/>
    <m/>
    <m/>
    <m/>
    <m/>
    <m/>
    <m/>
    <m/>
    <m/>
    <m/>
    <m/>
    <m/>
    <m/>
    <m/>
    <m/>
    <m/>
    <m/>
    <m/>
    <m/>
    <m/>
    <m/>
    <m/>
    <m/>
    <m/>
    <m/>
    <m/>
    <m/>
    <m/>
    <m/>
    <m/>
    <m/>
  </r>
  <r>
    <x v="169"/>
    <n v="2012"/>
    <x v="27"/>
    <s v="Africa"/>
    <m/>
    <s v="Mining"/>
    <m/>
    <m/>
    <m/>
    <s v="Granite"/>
    <m/>
    <m/>
    <m/>
    <m/>
    <m/>
    <n v="11959014"/>
    <m/>
    <s v="t"/>
    <m/>
    <m/>
    <m/>
    <m/>
    <m/>
    <m/>
    <m/>
    <m/>
    <m/>
    <m/>
    <m/>
    <m/>
    <m/>
    <m/>
    <m/>
    <m/>
    <m/>
    <m/>
    <m/>
    <m/>
    <m/>
    <m/>
    <m/>
    <m/>
    <m/>
    <m/>
    <m/>
    <m/>
    <m/>
    <m/>
    <m/>
    <m/>
    <m/>
    <m/>
    <m/>
    <m/>
    <m/>
    <m/>
    <m/>
    <m/>
    <m/>
    <m/>
    <m/>
    <m/>
    <m/>
    <m/>
    <m/>
    <m/>
    <m/>
  </r>
  <r>
    <x v="169"/>
    <n v="2012"/>
    <x v="27"/>
    <s v="Africa"/>
    <m/>
    <s v="Mining"/>
    <m/>
    <m/>
    <m/>
    <s v="Laterite"/>
    <m/>
    <m/>
    <m/>
    <m/>
    <m/>
    <n v="3661332"/>
    <m/>
    <s v="t"/>
    <m/>
    <m/>
    <m/>
    <m/>
    <m/>
    <m/>
    <m/>
    <m/>
    <m/>
    <m/>
    <m/>
    <m/>
    <m/>
    <m/>
    <m/>
    <m/>
    <m/>
    <m/>
    <m/>
    <m/>
    <m/>
    <m/>
    <m/>
    <m/>
    <m/>
    <m/>
    <m/>
    <m/>
    <m/>
    <m/>
    <m/>
    <m/>
    <m/>
    <m/>
    <m/>
    <m/>
    <m/>
    <m/>
    <m/>
    <m/>
    <m/>
    <m/>
    <m/>
    <m/>
    <m/>
    <m/>
    <m/>
    <m/>
    <m/>
  </r>
  <r>
    <x v="169"/>
    <n v="2012"/>
    <x v="27"/>
    <s v="Africa"/>
    <m/>
    <s v="Mining"/>
    <m/>
    <m/>
    <m/>
    <s v="Sand"/>
    <m/>
    <m/>
    <m/>
    <m/>
    <m/>
    <n v="2108504"/>
    <m/>
    <s v="t"/>
    <m/>
    <m/>
    <m/>
    <m/>
    <m/>
    <m/>
    <m/>
    <m/>
    <m/>
    <m/>
    <m/>
    <m/>
    <m/>
    <m/>
    <m/>
    <m/>
    <m/>
    <m/>
    <m/>
    <m/>
    <m/>
    <m/>
    <m/>
    <m/>
    <m/>
    <m/>
    <m/>
    <m/>
    <m/>
    <m/>
    <m/>
    <m/>
    <m/>
    <m/>
    <m/>
    <m/>
    <m/>
    <m/>
    <m/>
    <m/>
    <m/>
    <m/>
    <m/>
    <m/>
    <m/>
    <m/>
    <m/>
    <m/>
    <m/>
  </r>
  <r>
    <x v="169"/>
    <n v="2012"/>
    <x v="27"/>
    <s v="Africa"/>
    <m/>
    <s v="Mining"/>
    <m/>
    <m/>
    <m/>
    <s v="Shale"/>
    <m/>
    <m/>
    <m/>
    <m/>
    <m/>
    <n v="566589"/>
    <m/>
    <s v="t"/>
    <m/>
    <m/>
    <m/>
    <m/>
    <m/>
    <m/>
    <m/>
    <m/>
    <m/>
    <m/>
    <m/>
    <m/>
    <m/>
    <m/>
    <m/>
    <m/>
    <m/>
    <m/>
    <m/>
    <m/>
    <m/>
    <m/>
    <m/>
    <m/>
    <m/>
    <m/>
    <m/>
    <m/>
    <m/>
    <m/>
    <m/>
    <m/>
    <m/>
    <m/>
    <m/>
    <m/>
    <m/>
    <m/>
    <m/>
    <m/>
    <m/>
    <m/>
    <m/>
    <m/>
    <m/>
    <m/>
    <m/>
    <m/>
    <m/>
  </r>
  <r>
    <x v="169"/>
    <n v="2012"/>
    <x v="27"/>
    <s v="Africa"/>
    <m/>
    <s v="Mining"/>
    <m/>
    <m/>
    <m/>
    <s v="Dolorite"/>
    <m/>
    <m/>
    <m/>
    <m/>
    <m/>
    <n v="95590"/>
    <m/>
    <s v="t"/>
    <m/>
    <m/>
    <m/>
    <m/>
    <m/>
    <m/>
    <m/>
    <m/>
    <m/>
    <m/>
    <m/>
    <m/>
    <m/>
    <m/>
    <m/>
    <m/>
    <m/>
    <m/>
    <m/>
    <m/>
    <m/>
    <m/>
    <m/>
    <m/>
    <m/>
    <m/>
    <m/>
    <m/>
    <m/>
    <m/>
    <m/>
    <m/>
    <m/>
    <m/>
    <m/>
    <m/>
    <m/>
    <m/>
    <m/>
    <m/>
    <m/>
    <m/>
    <m/>
    <m/>
    <m/>
    <m/>
    <m/>
    <m/>
    <m/>
  </r>
  <r>
    <x v="169"/>
    <n v="2012"/>
    <x v="27"/>
    <s v="Africa"/>
    <m/>
    <s v="Mining"/>
    <m/>
    <m/>
    <m/>
    <s v="Red Alluvium"/>
    <m/>
    <m/>
    <m/>
    <m/>
    <m/>
    <n v="54837"/>
    <m/>
    <s v="t"/>
    <m/>
    <m/>
    <m/>
    <m/>
    <m/>
    <m/>
    <m/>
    <m/>
    <m/>
    <m/>
    <m/>
    <m/>
    <m/>
    <m/>
    <m/>
    <m/>
    <m/>
    <m/>
    <m/>
    <m/>
    <m/>
    <m/>
    <m/>
    <m/>
    <m/>
    <m/>
    <m/>
    <m/>
    <m/>
    <m/>
    <m/>
    <m/>
    <m/>
    <m/>
    <m/>
    <m/>
    <m/>
    <m/>
    <m/>
    <m/>
    <m/>
    <m/>
    <m/>
    <m/>
    <m/>
    <m/>
    <m/>
    <m/>
    <m/>
  </r>
  <r>
    <x v="169"/>
    <n v="2012"/>
    <x v="27"/>
    <s v="Africa"/>
    <m/>
    <s v="Mining"/>
    <m/>
    <m/>
    <m/>
    <s v="Coal"/>
    <m/>
    <m/>
    <m/>
    <m/>
    <m/>
    <n v="53614"/>
    <m/>
    <s v="t"/>
    <m/>
    <m/>
    <m/>
    <m/>
    <m/>
    <m/>
    <m/>
    <m/>
    <m/>
    <m/>
    <m/>
    <m/>
    <m/>
    <m/>
    <m/>
    <m/>
    <m/>
    <m/>
    <m/>
    <m/>
    <m/>
    <m/>
    <m/>
    <m/>
    <m/>
    <m/>
    <m/>
    <m/>
    <m/>
    <m/>
    <m/>
    <m/>
    <m/>
    <m/>
    <m/>
    <m/>
    <m/>
    <m/>
    <m/>
    <m/>
    <m/>
    <m/>
    <m/>
    <m/>
    <m/>
    <m/>
    <m/>
    <m/>
    <m/>
  </r>
  <r>
    <x v="169"/>
    <n v="2012"/>
    <x v="27"/>
    <s v="Africa"/>
    <m/>
    <s v="Mining"/>
    <m/>
    <m/>
    <m/>
    <s v="Kaoline"/>
    <m/>
    <m/>
    <m/>
    <m/>
    <m/>
    <n v="16630"/>
    <m/>
    <s v="t"/>
    <m/>
    <m/>
    <m/>
    <m/>
    <m/>
    <m/>
    <m/>
    <m/>
    <m/>
    <m/>
    <m/>
    <m/>
    <m/>
    <m/>
    <m/>
    <m/>
    <m/>
    <m/>
    <m/>
    <m/>
    <m/>
    <m/>
    <m/>
    <m/>
    <m/>
    <m/>
    <m/>
    <m/>
    <m/>
    <m/>
    <m/>
    <m/>
    <m/>
    <m/>
    <m/>
    <m/>
    <m/>
    <m/>
    <m/>
    <m/>
    <m/>
    <m/>
    <m/>
    <m/>
    <m/>
    <m/>
    <m/>
    <m/>
    <m/>
  </r>
  <r>
    <x v="169"/>
    <n v="2012"/>
    <x v="27"/>
    <s v="Africa"/>
    <m/>
    <s v="Mining"/>
    <m/>
    <m/>
    <m/>
    <s v="Gypsum"/>
    <m/>
    <m/>
    <m/>
    <m/>
    <m/>
    <n v="1750"/>
    <m/>
    <s v="t"/>
    <m/>
    <m/>
    <m/>
    <m/>
    <m/>
    <m/>
    <m/>
    <m/>
    <m/>
    <m/>
    <m/>
    <m/>
    <m/>
    <m/>
    <m/>
    <m/>
    <m/>
    <m/>
    <m/>
    <m/>
    <m/>
    <m/>
    <m/>
    <m/>
    <m/>
    <m/>
    <m/>
    <m/>
    <m/>
    <m/>
    <m/>
    <m/>
    <m/>
    <m/>
    <m/>
    <m/>
    <m/>
    <m/>
    <m/>
    <m/>
    <m/>
    <m/>
    <m/>
    <m/>
    <m/>
    <m/>
    <m/>
    <m/>
    <m/>
  </r>
  <r>
    <x v="169"/>
    <n v="2012"/>
    <x v="27"/>
    <s v="Africa"/>
    <m/>
    <s v="Mining"/>
    <m/>
    <m/>
    <m/>
    <s v="Others"/>
    <m/>
    <m/>
    <m/>
    <m/>
    <m/>
    <m/>
    <m/>
    <m/>
    <m/>
    <m/>
    <m/>
    <m/>
    <m/>
    <m/>
    <m/>
    <m/>
    <m/>
    <m/>
    <m/>
    <m/>
    <m/>
    <m/>
    <m/>
    <m/>
    <m/>
    <m/>
    <m/>
    <m/>
    <m/>
    <m/>
    <m/>
    <m/>
    <m/>
    <m/>
    <m/>
    <m/>
    <m/>
    <m/>
    <m/>
    <m/>
    <m/>
    <m/>
    <m/>
    <m/>
    <m/>
    <m/>
    <m/>
    <m/>
    <m/>
    <m/>
    <m/>
    <m/>
    <m/>
    <m/>
    <m/>
    <m/>
    <m/>
  </r>
  <r>
    <x v="170"/>
    <n v="2008"/>
    <x v="28"/>
    <s v="Europe and Central Asia"/>
    <s v="http://www.eiti.no"/>
    <s v="Oil, Gas"/>
    <s v="no"/>
    <s v="yes"/>
    <s v="yes"/>
    <s v="Total"/>
    <s v="Total"/>
    <s v="Total Oil, Gas"/>
    <m/>
    <m/>
    <m/>
    <m/>
    <m/>
    <m/>
    <m/>
    <m/>
    <m/>
    <n v="121364424000"/>
    <s v="State-owned company production entitlement, Profits/Taxes, Licenses and concessions, Other significant benefits to government"/>
    <s v="Does not include payments made in-kind"/>
    <s v="-"/>
    <n v="71008812000.233994"/>
    <n v="71008812000.233994"/>
    <m/>
    <m/>
    <m/>
    <n v="0.5850875376810093"/>
    <s v="Norwegian Kroner"/>
    <n v="5.64"/>
    <s v="Disaggregated by revenue stream, Disaggregated by company, Disaggregated by company and revenue stream"/>
    <m/>
    <m/>
    <m/>
    <m/>
    <n v="69"/>
    <s v="4Sea Energy AS, Aker Exploration AS, Altinex Oil Norway AS, A/S Norske Shell, Bayerngas Norge AS, Bayerngas Produksjon Norge AS, BG Norge AS, BP Norge AS, Bridge Energy AS, Centrica Resources (Norge) AS, Concedo AS, ConocoPhilips Skandinavia AS, Dana Petroleum Norway AS, Det norske oljeselskap ASA (incl NOIL Energy), Discover Petroleum AS, DONG E&amp;P Norge AS, Edison International Spa, Eni Norge AS, Enterprise Oil Norge AS, E.ON Ruhrgas Norge AS, ExxonMobil Exploration &amp; Production Norway AS, Faroe Petroleum Norge AS, GDF SUEZ E&amp;P Norge AS, Genesis Petroleum Norway AS, Hess Norge AS, Idemitsu Petroleum Norge AS, Lotos Exploration and Production Norge AS, Lundin Norway AS, Maersk Oil Norway AS, Maersk Oil PL 018C Norway AS, Marathon Petroleum Norge AS, Nexen Exploration Norge AS, Norske AEDC A/S, North Energy AS, Norwegian Energy Company ASA, OMV (Norge) AS, PGNiG Norway AS, Petoro AS, Petro-Canada Norge AS, Premier Oil Norge AS, Repsol Exploracion S.A, Rocksource ASA, RWE Dea Norge AS, Sagex Petroleum Norge AS, Skagen 44 AS, Skeie Energy AS, Spring Energy Exploration AS, Spring Energy Norway AS, StatoilHydro Petroleum AS inkl StatoilHydro ASA, Svenska Petroleum Exploration AS, Talisman Energy Norge AS, Total E&amp;P Norge AS, VNG Norge (Operations) AS inkl Endeavour, VNG Norge AS, Wintershall Norge NUF, Wintershall Norge ASA inkl Revus Energy AS, Skeie Oil &amp; Gas AS, Wintershall Norge AS, Noble Energy Europe Ltd, Norpipe Oil AS, Norsea Gas AS, Petrofac Resources Ltf NUF, Maersk Oil GB Limited, Total Norge AS, Serica Energy UK Ltd, Shell International pipelines Inc, Excel Expro Norge AS, Marathon Petroleum Company"/>
    <n v="69"/>
    <s v="November 2009"/>
    <d v="2014-09-17T00:00:00"/>
    <s v="Deloitte"/>
    <s v="http://eiti.org/files/Norway%202008%20EITI%20Report.pdf"/>
    <n v="17"/>
    <s v="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9% of total revenues. The report also covers transfer of revenues to the Government Pension Fund."/>
    <m/>
    <m/>
    <m/>
    <m/>
    <m/>
    <m/>
    <m/>
    <m/>
    <m/>
    <m/>
    <m/>
    <m/>
    <m/>
    <m/>
    <m/>
    <m/>
    <m/>
    <m/>
    <m/>
    <m/>
  </r>
  <r>
    <x v="170"/>
    <n v="2008"/>
    <x v="28"/>
    <s v="Europe and Central Asia"/>
    <m/>
    <s v="Gas"/>
    <s v="no"/>
    <s v="yes"/>
    <s v="no"/>
    <s v="Gas"/>
    <s v="detailed"/>
    <s v="detailed Gas"/>
    <n v="100100000000"/>
    <n v="660660000"/>
    <m/>
    <m/>
    <m/>
    <s v="m³"/>
    <n v="0.32879700000000006"/>
    <s v="US$/m³"/>
    <s v="Volume and price from BPSR 2014. Price is an average of the UK, US and Canada Indices for natural gas."/>
    <n v="32912579700.000008"/>
    <m/>
    <m/>
    <m/>
    <m/>
    <m/>
    <m/>
    <m/>
    <m/>
    <m/>
    <m/>
    <m/>
    <m/>
    <m/>
    <m/>
    <m/>
    <m/>
    <m/>
    <m/>
    <m/>
    <m/>
    <m/>
    <m/>
    <m/>
    <m/>
    <m/>
    <m/>
    <m/>
    <m/>
    <m/>
    <m/>
    <m/>
    <m/>
    <m/>
    <m/>
    <m/>
    <m/>
    <m/>
    <m/>
    <m/>
    <m/>
    <m/>
    <m/>
    <m/>
    <m/>
    <m/>
  </r>
  <r>
    <x v="170"/>
    <n v="2008"/>
    <x v="28"/>
    <s v="Europe and Central Asia"/>
    <m/>
    <s v="Oil"/>
    <s v="no"/>
    <s v="no"/>
    <s v="yes"/>
    <s v="Oil"/>
    <s v="detailed"/>
    <s v="detailed Oil"/>
    <n v="900090000"/>
    <n v="0.73399326733993264"/>
    <m/>
    <m/>
    <m/>
    <s v="bbl"/>
    <n v="98.27"/>
    <s v="US$/bbl"/>
    <s v="Volume and price from BPSR 2014. Price is an average of the spot prices for Brent, Dubai, Nigerian Forcados and West Texas Intermediate crude oil."/>
    <n v="88451844300"/>
    <m/>
    <m/>
    <m/>
    <m/>
    <m/>
    <m/>
    <m/>
    <m/>
    <m/>
    <m/>
    <m/>
    <m/>
    <m/>
    <m/>
    <m/>
    <m/>
    <m/>
    <m/>
    <m/>
    <m/>
    <m/>
    <m/>
    <m/>
    <m/>
    <m/>
    <m/>
    <m/>
    <m/>
    <m/>
    <m/>
    <m/>
    <m/>
    <m/>
    <m/>
    <m/>
    <m/>
    <m/>
    <m/>
    <m/>
    <m/>
    <m/>
    <m/>
    <m/>
    <m/>
    <m/>
  </r>
  <r>
    <x v="171"/>
    <n v="2009"/>
    <x v="28"/>
    <s v="Europe and Central Asia"/>
    <s v="http://www.eiti.no"/>
    <s v="Oil, Gas"/>
    <s v="no"/>
    <s v="yes"/>
    <s v="yes"/>
    <s v="Total"/>
    <s v="Total"/>
    <s v="Total Oil, Gas"/>
    <m/>
    <m/>
    <m/>
    <m/>
    <m/>
    <m/>
    <m/>
    <m/>
    <m/>
    <n v="68283864000"/>
    <s v="State-owned company production entitlement, Profits/Taxes, Licenses and concessions, Other significant benefits to government"/>
    <s v="Does not include payments made in-kind"/>
    <s v="-"/>
    <n v="42349871974.522293"/>
    <n v="42349871974.522293"/>
    <m/>
    <m/>
    <m/>
    <n v="0.62020321484036545"/>
    <s v="Norwegian Kroner"/>
    <n v="6.28"/>
    <s v="Disaggregated by revenue stream, Disaggregated by company, Disaggregated by company and revenue stream"/>
    <m/>
    <m/>
    <m/>
    <m/>
    <n v="64"/>
    <s v="4Sea Energy AS, Altinex Oil Norway AS, A/S Norske Shell, Bayerngas Norge AS, Bayerngas Produksjon Norge AS, BG Norge AS, BP Norge AS, Bridge Energy AS, Centrica Resources (Norge) AS, Chevron Norge AS, Concedo AS, ConocoPhilips Skandinavia AS, Dana Petroleum Norway AS, Det norske oljeselskap AS, Det norske oljeselskap ASA, DONG E&amp;P Norge AS, Edison International Spa, Eni Norge AS, Enterprise Oil Norge AS, E.ON Ruhrgas Norge AS, Excel Expro Norge AS, ExxonMobil Exploration &amp; Production Norway AS, Faroe Petroleum Norge AS, Front Exploration AS, GDF SUEZ E&amp;P Norge AS, Genesis Petroleum Norway AS, Hess Norge AS, Idemitsu Petroleum Norge AS, Lotos Exploration and Production Norge AS, Lundin Norway AS, Maersk Oil Norway AS, Maersk Oil PL 018C Norway AS, Marathon Petroleum Norge AS, Nexen Exploration Norge AS, Norpipe Oil AS, Norsea Gas AS, Norske AEDC A/S, North Energy AS, Norwegian Energy Company ASA, OMV (Norge) AS, Petoro AS, Petro-Canada Norge AS, Petrofac Norge AS, PGNiG Norway AS, Premier Oil Norge AS, Repsol Exploration Norge AS, Rocksource ASA, RWE Dea Norge AS, Sagex Petroleum Norge AS, Skagen 44 AS, Skele Energy AS, Skele Oil&amp;Gas AS, Spring Energy Exploration AS, Spring Energy Norway AS, StatoilHydro Petroleum AS inkl StatoilHydro ASA, Svenska Petroleum Exploration AS, Talisman Energy Norge AS, Total E&amp;P Norge AS, VNG Norge AS, Wintershall Norge NUF, Wintershall Norge ASA inkl Revus Energy AS, Wintershall Norge AS, Shell International pipelines Inc"/>
    <n v="64"/>
    <s v="October 2010"/>
    <d v="2014-09-17T00:00:00"/>
    <s v="Deloitte"/>
    <s v="http://eiti.org/files/Norway-2009-EITI-Report.pdf"/>
    <n v="16"/>
    <s v="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6% of total revenues. The report also covers transfer of revenues to the Government Pension Fund."/>
    <m/>
    <m/>
    <m/>
    <m/>
    <m/>
    <m/>
    <m/>
    <m/>
    <m/>
    <m/>
    <m/>
    <m/>
    <m/>
    <m/>
    <m/>
    <m/>
    <m/>
    <m/>
    <m/>
    <m/>
  </r>
  <r>
    <x v="171"/>
    <n v="2009"/>
    <x v="28"/>
    <s v="Europe and Central Asia"/>
    <m/>
    <s v="Gas"/>
    <s v="no"/>
    <s v="yes"/>
    <s v="no"/>
    <s v="Gas"/>
    <s v="detailed"/>
    <s v="detailed Gas"/>
    <n v="104400000000"/>
    <n v="689040000"/>
    <m/>
    <m/>
    <m/>
    <s v="m³"/>
    <n v="0.14422800000000002"/>
    <s v="US$/m³"/>
    <s v="Volume and price from BPSR 2014. Price is an average of the UK, US and Canada Indices for natural gas."/>
    <n v="15057403200.000002"/>
    <m/>
    <m/>
    <m/>
    <m/>
    <m/>
    <m/>
    <m/>
    <m/>
    <m/>
    <m/>
    <m/>
    <m/>
    <m/>
    <m/>
    <m/>
    <m/>
    <m/>
    <m/>
    <m/>
    <m/>
    <m/>
    <m/>
    <m/>
    <m/>
    <m/>
    <m/>
    <m/>
    <m/>
    <m/>
    <m/>
    <m/>
    <m/>
    <m/>
    <m/>
    <m/>
    <m/>
    <m/>
    <m/>
    <m/>
    <m/>
    <m/>
    <m/>
    <m/>
    <m/>
    <m/>
  </r>
  <r>
    <x v="171"/>
    <n v="2009"/>
    <x v="28"/>
    <s v="Europe and Central Asia"/>
    <m/>
    <s v="Oil"/>
    <s v="no"/>
    <s v="no"/>
    <s v="yes"/>
    <s v="Oil"/>
    <s v="detailed"/>
    <s v="detailed Oil"/>
    <n v="857385000"/>
    <n v="0.80365296803652964"/>
    <m/>
    <m/>
    <m/>
    <s v="bbl"/>
    <n v="62.08"/>
    <s v="US$/bbl"/>
    <s v="Volume and price from BPSR 2014. Price is an average of the spot prices for Brent, Dubai, Nigerian Forcados and West Texas Intermediate crude oil."/>
    <n v="53226460800"/>
    <m/>
    <m/>
    <s v="-"/>
    <m/>
    <m/>
    <m/>
    <m/>
    <m/>
    <m/>
    <m/>
    <m/>
    <m/>
    <m/>
    <m/>
    <m/>
    <m/>
    <m/>
    <m/>
    <m/>
    <m/>
    <m/>
    <m/>
    <m/>
    <m/>
    <m/>
    <m/>
    <m/>
    <m/>
    <m/>
    <m/>
    <m/>
    <m/>
    <m/>
    <m/>
    <m/>
    <m/>
    <m/>
    <m/>
    <m/>
    <m/>
    <m/>
    <m/>
    <m/>
    <m/>
    <m/>
  </r>
  <r>
    <x v="172"/>
    <n v="2010"/>
    <x v="28"/>
    <s v="Europe and Central Asia"/>
    <s v="http://www.eiti.no"/>
    <s v="Oil, Gas"/>
    <s v="no"/>
    <s v="yes"/>
    <s v="yes"/>
    <s v="Total"/>
    <s v="Total"/>
    <s v="Total Oil, Gas"/>
    <m/>
    <m/>
    <m/>
    <m/>
    <m/>
    <m/>
    <m/>
    <m/>
    <m/>
    <n v="80673952925.268036"/>
    <s v="Host government's production entitlement, State-owned company production entitlement, Profits/Taxes, Licenses and concessions, Other significant benefits to government"/>
    <s v="Does not include payments made in-kind"/>
    <m/>
    <n v="44013892000"/>
    <n v="44013892000"/>
    <m/>
    <m/>
    <m/>
    <n v="0.54557748076100943"/>
    <m/>
    <n v="5.97"/>
    <s v="Disaggregated by revenue stream, Disaggregated by company"/>
    <m/>
    <m/>
    <m/>
    <m/>
    <m/>
    <m/>
    <n v="66"/>
    <s v="April 2012"/>
    <d v="2014-10-10T00:00:00"/>
    <s v="Deloitte"/>
    <s v="http://eiti.org/files/Norway-2010-EITI-Report-Norwegian.pdf"/>
    <m/>
    <s v="The income from the &quot;Petroleum tax&quot; accounted for 62.1% of the reported amounts. The Report is not available yet in English. "/>
    <m/>
    <m/>
    <m/>
    <m/>
    <m/>
    <m/>
    <m/>
    <m/>
    <m/>
    <m/>
    <m/>
    <m/>
    <m/>
    <m/>
    <m/>
    <m/>
    <m/>
    <m/>
    <m/>
    <m/>
  </r>
  <r>
    <x v="172"/>
    <n v="2010"/>
    <x v="28"/>
    <s v="Europe and Central Asia"/>
    <m/>
    <s v="Gas"/>
    <s v="no"/>
    <s v="yes"/>
    <s v="no"/>
    <s v="Gas"/>
    <s v="detailed"/>
    <s v="detailed Gas"/>
    <n v="107300000000"/>
    <n v="708180000"/>
    <m/>
    <m/>
    <m/>
    <s v="m³"/>
    <n v="0.1741077336927683"/>
    <s v="US$/m³"/>
    <s v="Volume and price from BPSR 2014. Price is an average of the UK, US and Canada Indices for natural gas."/>
    <n v="18681759825.234039"/>
    <m/>
    <m/>
    <m/>
    <m/>
    <m/>
    <m/>
    <m/>
    <m/>
    <m/>
    <m/>
    <m/>
    <m/>
    <m/>
    <m/>
    <m/>
    <m/>
    <m/>
    <m/>
    <m/>
    <m/>
    <m/>
    <m/>
    <m/>
    <m/>
    <m/>
    <m/>
    <m/>
    <m/>
    <m/>
    <m/>
    <m/>
    <m/>
    <m/>
    <m/>
    <m/>
    <m/>
    <m/>
    <m/>
    <m/>
    <m/>
    <m/>
    <m/>
    <m/>
    <m/>
    <m/>
  </r>
  <r>
    <x v="172"/>
    <n v="2010"/>
    <x v="28"/>
    <s v="Europe and Central Asia"/>
    <m/>
    <s v="Oil"/>
    <s v="no"/>
    <s v="no"/>
    <s v="yes"/>
    <s v="Oil"/>
    <s v="detailed"/>
    <s v="detailed Oil"/>
    <n v="779640000"/>
    <n v="0.90834231183623215"/>
    <m/>
    <m/>
    <m/>
    <s v="bbl"/>
    <n v="79.513869349999993"/>
    <s v="US$/bbl"/>
    <s v="Volume and price from BPSR 2014. Price is an average of the spot prices for Brent, Dubai, Nigerian Forcados and West Texas Intermediate crude oil."/>
    <n v="61992193100.033997"/>
    <m/>
    <m/>
    <m/>
    <m/>
    <m/>
    <m/>
    <m/>
    <m/>
    <m/>
    <m/>
    <m/>
    <m/>
    <m/>
    <m/>
    <m/>
    <m/>
    <m/>
    <m/>
    <m/>
    <m/>
    <m/>
    <m/>
    <m/>
    <m/>
    <m/>
    <m/>
    <m/>
    <m/>
    <m/>
    <m/>
    <m/>
    <m/>
    <m/>
    <m/>
    <m/>
    <m/>
    <m/>
    <m/>
    <m/>
    <m/>
    <m/>
    <m/>
    <m/>
    <m/>
    <m/>
  </r>
  <r>
    <x v="173"/>
    <n v="2011"/>
    <x v="28"/>
    <s v="Europe and Central Asia"/>
    <s v="http://www.eiti.no"/>
    <s v="Oil, Gas"/>
    <s v="no"/>
    <s v="yes"/>
    <s v="yes"/>
    <s v="Total"/>
    <s v="Total"/>
    <s v="Total Oil, Gas"/>
    <m/>
    <m/>
    <m/>
    <m/>
    <m/>
    <m/>
    <m/>
    <m/>
    <m/>
    <n v="99243940363.94603"/>
    <s v="State-owned company production entitlement, Profits/Taxes, Licenses and concessions, Other significant benefits to government"/>
    <s v="Does not include payments made in-kind"/>
    <s v="-"/>
    <n v="60421715740"/>
    <n v="60421715740"/>
    <m/>
    <m/>
    <m/>
    <n v="0.6088202011973961"/>
    <s v="Norwegian Kroner"/>
    <n v="5.59"/>
    <s v="Disaggregated by revenue stream, Disaggregated by company, Disaggregated by company and revenue stream"/>
    <m/>
    <m/>
    <m/>
    <m/>
    <n v="64"/>
    <s v="4Sea Energy AS, Agora Oil &amp; Gas AS, Altinex Oil Norway AS, A/S Norske Shell, Bayerngas Norge AS, Bayerngas Produksjon Norge AS, BG Norge AS, BP Norge AS, Bridge Energy AS, Centrica Resources (Norge) AS, Chevron Norge AS, Concedo AS, ConocoPhilips Skandinavia AS, Dana Petroleum Norway AS, Det norske oljeselskap AS, Det norske oljeselskap ASA, DONG E&amp;P Norge AS, Edison International Spa, Eni Norge AS, Enterprise Oil Norge AS, E.ON Ruhrgas Norge AS, ExxonMobil Exploration &amp; Production Norway AS, Faroe Petroleum Norge AS, Fortis Petroleum Norway AS, Front Exploration AS, GDF SUEZ E&amp;P Norge AS, Genesis Petroleum Norway AS, Hess Norge AS, Idemitsu Petroleum Norge AS, Lotos Exploration and Production Norge AS, Lundin Norway AS, Maersk Oil Norway AS, Maersk Oil PL 018C Norway AS, Marathon Petroleum Norge AS, Nexen Exploration Norge AS, Njord Gas Infrastructure AS, Norpipe Oil AS, Norsea Gas AS, Norske AEDC A/S, North Energy AS, Norwegian Energy Company ASA, OMV (Norge) AS, Petoro AS, PGNiG Norway AS, Premier Oil Norge AS, Repsol Exploration Norge AS, Rocksource ASA, RWE Dea Norge AS, Sagex Petroleum Norge AS, Skagen 44 AS, Skeie Energy AS, Spring Energy Exploration AS, Spring Energy Norway AS, StatoilHydro Petroleum AS inkl StatoilHydro ASA, Suncor Energy Norge AS, Svenska Petroleum Exploration AS, Talisman Energy Norge AS, Total E&amp;P Norge AS, VNG Norge AS, Wintershall Norge NUF, Wintershall Norge ASA inkl Revus Energy AS, Wintershall Norge AS, Shell International pipelines Inc"/>
    <n v="64"/>
    <s v="December 2012"/>
    <d v="2014-09-17T00:00:00"/>
    <s v="Deloitte"/>
    <s v="http://www.regjeringen.no/upload/OED/pdf%20filer/EITI/1269981599_670670_EITIrapport_2012_engelsk.pdf"/>
    <n v="17"/>
    <s v="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8% of total revenues. The report also covers transfer of revenues to the Government Pension Fund."/>
    <m/>
    <m/>
    <m/>
    <m/>
    <m/>
    <m/>
    <m/>
    <m/>
    <m/>
    <m/>
    <m/>
    <m/>
    <m/>
    <m/>
    <m/>
    <m/>
    <m/>
    <m/>
    <m/>
    <m/>
  </r>
  <r>
    <x v="173"/>
    <n v="2011"/>
    <x v="28"/>
    <s v="Europe and Central Asia"/>
    <m/>
    <s v="Gas"/>
    <s v="no"/>
    <s v="yes"/>
    <s v="no"/>
    <s v="Gas"/>
    <s v="detailed"/>
    <s v="detailed Gas"/>
    <n v="101300000000"/>
    <n v="668580000"/>
    <m/>
    <m/>
    <m/>
    <s v="m³"/>
    <n v="0.19666043794616025"/>
    <s v="US$/m³"/>
    <s v="Volume and price from BPSR 2014. Price is an average of the UK, US and Canada Indices for natural gas."/>
    <n v="19921702363.946033"/>
    <m/>
    <m/>
    <m/>
    <m/>
    <m/>
    <m/>
    <m/>
    <m/>
    <m/>
    <m/>
    <m/>
    <m/>
    <m/>
    <m/>
    <m/>
    <m/>
    <m/>
    <m/>
    <m/>
    <m/>
    <m/>
    <m/>
    <m/>
    <m/>
    <m/>
    <m/>
    <m/>
    <m/>
    <m/>
    <m/>
    <m/>
    <m/>
    <m/>
    <m/>
    <m/>
    <m/>
    <m/>
    <m/>
    <m/>
    <m/>
    <m/>
    <m/>
    <m/>
    <m/>
    <m/>
  </r>
  <r>
    <x v="173"/>
    <n v="2011"/>
    <x v="28"/>
    <s v="Europe and Central Asia"/>
    <m/>
    <s v="Oil"/>
    <s v="no"/>
    <s v="no"/>
    <s v="yes"/>
    <s v="Oil"/>
    <s v="detailed"/>
    <s v="detailed Oil"/>
    <n v="744600000"/>
    <n v="0.89790491539081385"/>
    <m/>
    <m/>
    <m/>
    <s v="bbl"/>
    <n v="106.53"/>
    <s v="US$/bbl"/>
    <s v="Volume and price from BPSR 2014. Price is an average of the spot prices for Brent, Dubai, Nigerian Forcados and West Texas Intermediate crude oil."/>
    <n v="79322238000"/>
    <m/>
    <m/>
    <m/>
    <m/>
    <m/>
    <m/>
    <m/>
    <m/>
    <m/>
    <m/>
    <m/>
    <m/>
    <m/>
    <m/>
    <m/>
    <m/>
    <m/>
    <m/>
    <m/>
    <m/>
    <m/>
    <m/>
    <m/>
    <m/>
    <m/>
    <m/>
    <m/>
    <m/>
    <m/>
    <m/>
    <m/>
    <m/>
    <m/>
    <m/>
    <m/>
    <m/>
    <m/>
    <m/>
    <m/>
    <m/>
    <m/>
    <m/>
    <m/>
    <m/>
    <m/>
  </r>
  <r>
    <x v="174"/>
    <n v="2012"/>
    <x v="28"/>
    <s v="Europe and Central Asia"/>
    <s v="http://www.eiti.no"/>
    <s v="Oil, Gas"/>
    <s v="no"/>
    <s v="yes"/>
    <s v="yes"/>
    <s v="Total"/>
    <s v="Total"/>
    <s v="Total Oil, Gas"/>
    <m/>
    <m/>
    <m/>
    <m/>
    <m/>
    <m/>
    <m/>
    <m/>
    <m/>
    <n v="94832884557.290375"/>
    <s v="State-owned company production entitlement, Profits/Taxes, Licenses and concessions, Other significant benefits to government"/>
    <s v="Does not include payments made in-kind"/>
    <s v="-"/>
    <n v="65229640210"/>
    <n v="65229640210"/>
    <m/>
    <m/>
    <m/>
    <n v="0.68783777393793732"/>
    <s v="Norwegian Kroner"/>
    <n v="5.82"/>
    <s v="Disaggregated by revenue stream, Disaggregated by company, Disaggregated by company and revenue stream"/>
    <m/>
    <m/>
    <m/>
    <m/>
    <n v="69"/>
    <s v="4Sea Energy AS, A/S Norske Shell, Bayerngas Norge AS, Bayerngas Produksjon Norge AS, BG Norge AS, BP Norge AS, Bridge Energy AS, Capricorn Norge AS, Centrica Resources (Norge) AS, Chevron Norge AS, Concedo AS, ConocoPhilips Skandinavia AS, Core Energy AS, Dana Petroleum Norway AS, Det norske oljeselskap ASA, DONG E&amp;P Norge AS, E&amp;P Holding AS, Edison International Spa, Eni Norge AS, EnQuest Norge AS, Enterprise Oil Norge AS, E.ON Ruhrgas Norge AS, Explora Petroleum AS, ExxonMobil Exploration &amp; Production Norway AS, Faroe Petroleum Norge AS, Fortis Petroleum Norway AS, Front Exploration AS, GDF SUEZ E&amp;P Norge AS, Hess Norge AS, Idemitsu Petroleum Norge AS, Infragas Norge AS, Lotos Exploration and Production Norge AS, Lukoil Oil Company, Lundin Norway AS, Maersk Oil Norway AS, Marathon Oil Norge AS, Nexen Exploration Norge AS, Njord Gas Infrastructure AS, Noreco Norway AS, Norpipe Oil AS, Norsea Gas AS, Norske AEDC A/S, North Energy AS, Norwegian Energy Company ASA, OMV (Norge) AS, Petoro AS, Petrolia Norway AS, PGNiG Norway AS, Premier Oil Norge AS, Repsol Exploration SA, Repsol Exploration Norge AS, RN Nordic Oil AS, Rocksource ASA, RWE Dea Norge AS, Silex Gas Norway AS, Skagen 44 AS, Skeie Energy AS, Solveig Gas Norway AS, StatoilHydro Petroleum AS inkl StatoilHydro ASA, Stratum Energy AS, Suncor Energy Norge AS, Svenska Petroleum Exploration AS, Talisman Energy Norge AS, Total E&amp;P Norge AS, Tullow Oil (Bream) Norge AS, Tullow Oil Norge AS, Valiant Petroleum Norge AS, VNG Norge AS, Wintershall Norge AS"/>
    <n v="69"/>
    <s v="December 2013"/>
    <d v="2014-09-17T00:00:00"/>
    <s v="Deloitte"/>
    <s v="http://eiti.org/files/Norway-2012-EITI-report.pdf"/>
    <n v="18"/>
    <s v="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9% of total revenues. The report also covers transfer of revenues to the Government Pension Fund."/>
    <m/>
    <m/>
    <m/>
    <m/>
    <m/>
    <m/>
    <m/>
    <m/>
    <m/>
    <m/>
    <m/>
    <m/>
    <m/>
    <m/>
    <m/>
    <m/>
    <m/>
    <m/>
    <m/>
    <m/>
  </r>
  <r>
    <x v="174"/>
    <n v="2012"/>
    <x v="28"/>
    <s v="Europe and Central Asia"/>
    <m/>
    <s v="Gas"/>
    <s v="no"/>
    <s v="yes"/>
    <s v="no"/>
    <s v="Gas"/>
    <s v="detailed"/>
    <s v="detailed Gas"/>
    <n v="114700000000"/>
    <n v="757020000"/>
    <m/>
    <m/>
    <m/>
    <s v="m³"/>
    <n v="0.17241089108361263"/>
    <s v="US$/m³"/>
    <s v="Volume and price from BPSR 2014. Price is an average of the UK, US and Canada Indices for natural gas."/>
    <n v="19775529207.290367"/>
    <m/>
    <m/>
    <m/>
    <m/>
    <m/>
    <m/>
    <m/>
    <m/>
    <m/>
    <m/>
    <m/>
    <m/>
    <m/>
    <m/>
    <m/>
    <m/>
    <m/>
    <m/>
    <m/>
    <m/>
    <m/>
    <m/>
    <m/>
    <m/>
    <m/>
    <m/>
    <m/>
    <m/>
    <m/>
    <m/>
    <m/>
    <m/>
    <m/>
    <m/>
    <m/>
    <m/>
    <m/>
    <m/>
    <m/>
    <m/>
    <m/>
    <m/>
    <m/>
    <m/>
    <m/>
  </r>
  <r>
    <x v="174"/>
    <n v="2012"/>
    <x v="28"/>
    <s v="Europe and Central Asia"/>
    <m/>
    <s v="Oil"/>
    <s v="no"/>
    <s v="no"/>
    <s v="yes"/>
    <s v="Oil"/>
    <s v="detailed"/>
    <s v="detailed Oil"/>
    <n v="699705000"/>
    <n v="1.0819130919458915"/>
    <m/>
    <m/>
    <m/>
    <s v="bbl"/>
    <n v="107.27"/>
    <s v="US$/bbl"/>
    <s v="Volume and price from BPSR 2014. Price is an average of the spot prices for Brent, Dubai, Nigerian Forcados and West Texas Intermediate crude oil."/>
    <n v="75057355350"/>
    <m/>
    <m/>
    <m/>
    <m/>
    <m/>
    <m/>
    <m/>
    <m/>
    <m/>
    <m/>
    <m/>
    <m/>
    <m/>
    <m/>
    <m/>
    <m/>
    <m/>
    <m/>
    <m/>
    <m/>
    <m/>
    <m/>
    <m/>
    <m/>
    <m/>
    <m/>
    <m/>
    <m/>
    <m/>
    <m/>
    <m/>
    <m/>
    <m/>
    <m/>
    <m/>
    <m/>
    <m/>
    <m/>
    <m/>
    <m/>
    <m/>
    <m/>
    <m/>
    <m/>
    <m/>
  </r>
  <r>
    <x v="175"/>
    <n v="2004"/>
    <x v="29"/>
    <s v="Latin America and Caribbean"/>
    <s v="http://eitiperu.minem.gob.pe/"/>
    <s v="Oil, Gas, Mining"/>
    <s v="yes"/>
    <s v="yes"/>
    <s v="yes"/>
    <s v="Total"/>
    <s v="Total"/>
    <s v="Total Oil, Gas, Mining"/>
    <m/>
    <m/>
    <m/>
    <m/>
    <m/>
    <m/>
    <m/>
    <m/>
    <m/>
    <n v="12033023931.505838"/>
    <s v="Profits/Taxes, Royalties, Licenses and concessions"/>
    <s v="Does not include payments made in-kind"/>
    <s v="-"/>
    <n v="884263514.49853373"/>
    <n v="883327965.60997057"/>
    <m/>
    <m/>
    <m/>
    <n v="7.6203747549747486E-2"/>
    <s v="United States Dollar and the Peruvian neuvo sol"/>
    <n v="3.41"/>
    <s v="Disaggregated by revenue stream"/>
    <m/>
    <m/>
    <m/>
    <m/>
    <n v="33"/>
    <s v="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
    <n v="33"/>
    <s v="October 2009"/>
    <d v="2014-09-16T00:00:00"/>
    <s v="Ernst &amp; Young"/>
    <s v="http://eiti.org/files/Peru%202004-2007%20EITI%20Report.pdf"/>
    <s v="63-65"/>
    <s v="The report uses US dollars and the local currency, the Peruvian nuevo sol. An exchange rate is not provided to convert the latter, so that of the World Bank is used (http://data.worldbank.org/indicator/PA.NUS.FCRF). Materiality threshold: Companies volunteered to participate in the process. These accounted for the following shares of production in 2004: Oil - 74%, Gas - 27%, Copper - 96%, Gold - 70%, Lead - 37%, Molybendum - 100%, Silver - 51%,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
    <m/>
    <m/>
    <m/>
    <m/>
    <m/>
    <m/>
    <m/>
    <m/>
    <m/>
    <m/>
    <m/>
    <m/>
    <m/>
    <m/>
    <m/>
    <m/>
    <m/>
    <m/>
    <m/>
    <m/>
  </r>
  <r>
    <x v="175"/>
    <n v="2004"/>
    <x v="29"/>
    <s v="Latin America and Caribbean"/>
    <m/>
    <s v="Oil, Gas"/>
    <s v="no"/>
    <s v="yes"/>
    <s v="yes"/>
    <s v="Total Oil &amp; Gas"/>
    <s v="Total"/>
    <s v="Total Oil, Gas"/>
    <m/>
    <m/>
    <m/>
    <m/>
    <m/>
    <m/>
    <m/>
    <m/>
    <m/>
    <n v="1353344600"/>
    <m/>
    <m/>
    <m/>
    <n v="255399117.10850438"/>
    <n v="255399117.10850438"/>
    <m/>
    <m/>
    <m/>
    <n v="0.27632880039705315"/>
    <m/>
    <m/>
    <m/>
    <m/>
    <m/>
    <m/>
    <m/>
    <n v="9"/>
    <s v="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n v="9"/>
    <m/>
    <m/>
    <m/>
    <m/>
    <m/>
    <m/>
    <m/>
    <m/>
    <m/>
    <m/>
    <m/>
    <m/>
    <m/>
    <m/>
    <m/>
    <m/>
    <m/>
    <m/>
    <m/>
    <m/>
    <m/>
    <m/>
    <m/>
    <m/>
    <m/>
    <m/>
  </r>
  <r>
    <x v="175"/>
    <n v="2004"/>
    <x v="29"/>
    <s v="Latin America and Caribbean"/>
    <m/>
    <s v="Gas"/>
    <s v="no"/>
    <s v="yes"/>
    <s v="no"/>
    <s v="Gas"/>
    <s v="detailed"/>
    <s v="detailed Gas"/>
    <n v="900000000"/>
    <m/>
    <m/>
    <m/>
    <m/>
    <s v="m³"/>
    <n v="0.18254599999999999"/>
    <s v="US$/m³"/>
    <s v="Volume and price from BPSR 2014. Price is an average of the UK, US and Canada Indices for natural gas."/>
    <n v="164291400"/>
    <m/>
    <m/>
    <m/>
    <m/>
    <m/>
    <s v="27% of production volume"/>
    <m/>
    <m/>
    <m/>
    <m/>
    <m/>
    <m/>
    <m/>
    <m/>
    <m/>
    <m/>
    <n v="6"/>
    <s v="Hunt Oil Company of Perú L.L.C., Olympic Perú INC Sucursal del Perú, Petrobras Energía Perú S.A., Pluspetrol Perú Corporation S.A., Pluspetrol Camisea S.A., Repsol Exploración Perú Sucursal del Perú"/>
    <n v="6"/>
    <m/>
    <m/>
    <m/>
    <m/>
    <m/>
    <m/>
    <m/>
    <m/>
    <m/>
    <m/>
    <m/>
    <m/>
    <m/>
    <m/>
    <m/>
    <m/>
    <m/>
    <m/>
    <m/>
    <m/>
    <m/>
    <m/>
    <m/>
    <m/>
    <m/>
    <m/>
  </r>
  <r>
    <x v="175"/>
    <n v="2004"/>
    <x v="29"/>
    <s v="Latin America and Caribbean"/>
    <m/>
    <s v="Oil"/>
    <s v="no"/>
    <s v="no"/>
    <s v="yes"/>
    <s v="Oil"/>
    <s v="detailed"/>
    <s v="detailed Oil"/>
    <n v="31390000"/>
    <m/>
    <m/>
    <m/>
    <m/>
    <s v="bbl"/>
    <n v="37.880000000000003"/>
    <s v="US$/bbl"/>
    <s v="Volume and price from BPSR 2014. Price is an average of the spot prices for Brent, Dubai, Nigerian Forcados and West Texas Intermediate crude oil."/>
    <n v="1189053200"/>
    <m/>
    <m/>
    <m/>
    <m/>
    <m/>
    <s v="74% of production volume"/>
    <m/>
    <m/>
    <m/>
    <m/>
    <m/>
    <m/>
    <m/>
    <m/>
    <m/>
    <m/>
    <n v="8"/>
    <s v="Hunt Oil Company of Perú L.L.C., Maple Gas Corporation del Perú S.R.L., Olympic Perú INC Sucursal del Perú, Petrobras Energía Perú S.A., Pluspetrol Norte S.A., Pluspetrol Perú Corporation S.A., Pluspetrol Camisea S.A., Repsol Exploración Perú Sucursal del Perú"/>
    <n v="8"/>
    <m/>
    <m/>
    <m/>
    <m/>
    <m/>
    <m/>
    <m/>
    <m/>
    <m/>
    <m/>
    <m/>
    <m/>
    <m/>
    <m/>
    <m/>
    <m/>
    <m/>
    <m/>
    <m/>
    <m/>
    <m/>
    <m/>
    <m/>
    <m/>
    <m/>
    <m/>
  </r>
  <r>
    <x v="175"/>
    <n v="2004"/>
    <x v="29"/>
    <s v="Latin America and Caribbean"/>
    <m/>
    <s v="Mining"/>
    <s v="yes"/>
    <s v="no"/>
    <s v="no"/>
    <s v="Total Mining"/>
    <s v="Total"/>
    <s v="Total Mining"/>
    <m/>
    <m/>
    <m/>
    <m/>
    <m/>
    <m/>
    <m/>
    <m/>
    <m/>
    <n v="10679679331.505838"/>
    <m/>
    <m/>
    <m/>
    <n v="628864398.27900195"/>
    <n v="627928848.50146627"/>
    <m/>
    <m/>
    <m/>
    <n v="5.8884202302198888E-2"/>
    <m/>
    <m/>
    <m/>
    <m/>
    <m/>
    <m/>
    <m/>
    <n v="24"/>
    <s v="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
    <n v="24"/>
    <m/>
    <m/>
    <m/>
    <m/>
    <m/>
    <m/>
    <m/>
    <m/>
    <m/>
    <m/>
    <m/>
    <m/>
    <m/>
    <m/>
    <m/>
    <m/>
    <m/>
    <m/>
    <m/>
    <m/>
    <m/>
    <m/>
    <m/>
    <m/>
    <m/>
    <m/>
  </r>
  <r>
    <x v="175"/>
    <n v="2004"/>
    <x v="29"/>
    <s v="Latin America and Caribbean"/>
    <m/>
    <s v="Mining"/>
    <s v="yes"/>
    <s v="no"/>
    <s v="no"/>
    <s v="Bismuth (metal)"/>
    <s v="detailed"/>
    <s v="detailed Mining"/>
    <n v="600"/>
    <m/>
    <m/>
    <m/>
    <m/>
    <s v="t"/>
    <n v="7385.4918076156546"/>
    <s v="US$/t"/>
    <s v="Volume from USGS Mineral Yearbook 2008. Price from USGS Mineral Commodity Summary 2009, and is the price in the US."/>
    <n v="4431295.0845693927"/>
    <m/>
    <m/>
    <m/>
    <m/>
    <m/>
    <m/>
    <m/>
    <m/>
    <m/>
    <m/>
    <m/>
    <m/>
    <m/>
    <m/>
    <m/>
    <m/>
    <m/>
    <m/>
    <m/>
    <m/>
    <m/>
    <m/>
    <m/>
    <m/>
    <m/>
    <m/>
    <m/>
    <m/>
    <m/>
    <m/>
    <m/>
    <m/>
    <m/>
    <m/>
    <m/>
    <m/>
    <m/>
    <m/>
    <m/>
    <m/>
    <m/>
    <m/>
    <m/>
    <m/>
    <m/>
  </r>
  <r>
    <x v="175"/>
    <n v="2004"/>
    <x v="29"/>
    <s v="Latin America and Caribbean"/>
    <m/>
    <s v="Mining"/>
    <s v="yes"/>
    <s v="no"/>
    <s v="no"/>
    <s v="Copper"/>
    <s v="detailed"/>
    <s v="detailed Mining"/>
    <m/>
    <m/>
    <m/>
    <m/>
    <m/>
    <m/>
    <n v="2865.8849166666701"/>
    <s v="US$/t"/>
    <s v="Price from World Bank (Global Economic Monitor (GEM) Commodities database), and is defined as: Copper (LME), grade A, minimum 99.9935% purity, cathodes and wire bar shapes, settlement price."/>
    <n v="2365624643.268086"/>
    <m/>
    <m/>
    <m/>
    <m/>
    <m/>
    <s v="96% of production volume"/>
    <m/>
    <m/>
    <m/>
    <m/>
    <m/>
    <m/>
    <m/>
    <m/>
    <m/>
    <m/>
    <n v="17"/>
    <s v="Southern Perú Copper Corporation Sucursal del Perú, Compañía Minera Antamina S.A., Xstrata Tintaya S.A., Sociedad Minera Cerro Verde S.A.A, Empresa Minera Los Quenuales S.A., Compañía Minera Argentum S.A., Sociedad Minera El Brocal S.A.A., Inversiones Mineras del Sur S.A., Compañía de Minas Buenaventura S.A.A., Minera Pampa de Cobre S.A., Minsur S.A., Minera Bateas S.A.C., Cedimin S.A.C. "/>
    <n v="17"/>
    <m/>
    <m/>
    <m/>
    <m/>
    <m/>
    <m/>
    <m/>
    <m/>
    <m/>
    <m/>
    <m/>
    <m/>
    <m/>
    <m/>
    <m/>
    <m/>
    <m/>
    <m/>
    <m/>
    <m/>
    <m/>
    <m/>
    <m/>
    <m/>
    <m/>
    <m/>
  </r>
  <r>
    <x v="175"/>
    <n v="2004"/>
    <x v="29"/>
    <s v="Latin America and Caribbean"/>
    <m/>
    <s v="Mining"/>
    <s v="yes"/>
    <s v="no"/>
    <s v="no"/>
    <s v="o/w Copper content in mine output"/>
    <s v="detailed"/>
    <s v="detailed Mining"/>
    <n v="1035574"/>
    <m/>
    <m/>
    <m/>
    <m/>
    <s v="t"/>
    <m/>
    <m/>
    <s v="Volume from USGS Mineral Yearbook 2008"/>
    <m/>
    <m/>
    <m/>
    <m/>
    <m/>
    <m/>
    <m/>
    <m/>
    <m/>
    <m/>
    <m/>
    <m/>
    <m/>
    <m/>
    <m/>
    <m/>
    <m/>
    <m/>
    <m/>
    <m/>
    <m/>
    <m/>
    <m/>
    <m/>
    <m/>
    <m/>
    <m/>
    <m/>
    <m/>
    <m/>
    <m/>
    <m/>
    <m/>
    <m/>
    <m/>
    <m/>
    <m/>
    <m/>
    <m/>
    <m/>
    <m/>
    <m/>
    <m/>
    <m/>
    <m/>
    <m/>
  </r>
  <r>
    <x v="175"/>
    <n v="2004"/>
    <x v="29"/>
    <s v="Latin America and Caribbean"/>
    <m/>
    <s v="Mining"/>
    <s v="yes"/>
    <s v="no"/>
    <s v="no"/>
    <s v="o/w Metal (smelter)"/>
    <s v="detailed"/>
    <s v="detailed Mining"/>
    <n v="320135"/>
    <m/>
    <m/>
    <m/>
    <m/>
    <s v="t"/>
    <m/>
    <m/>
    <s v="Volume from USGS Mineral Yearbook 2008"/>
    <m/>
    <m/>
    <m/>
    <m/>
    <m/>
    <m/>
    <m/>
    <m/>
    <m/>
    <m/>
    <m/>
    <m/>
    <m/>
    <m/>
    <m/>
    <m/>
    <m/>
    <m/>
    <m/>
    <m/>
    <m/>
    <m/>
    <m/>
    <m/>
    <m/>
    <m/>
    <m/>
    <m/>
    <m/>
    <m/>
    <m/>
    <m/>
    <m/>
    <m/>
    <m/>
    <m/>
    <m/>
    <m/>
    <m/>
    <m/>
    <m/>
    <m/>
    <m/>
    <m/>
    <m/>
    <m/>
  </r>
  <r>
    <x v="175"/>
    <n v="2004"/>
    <x v="29"/>
    <s v="Latin America and Caribbean"/>
    <m/>
    <s v="Mining"/>
    <s v="yes"/>
    <s v="no"/>
    <s v="no"/>
    <s v="o/w Metal (refined, primary)"/>
    <s v="detailed"/>
    <s v="detailed Mining"/>
    <n v="505308"/>
    <m/>
    <m/>
    <m/>
    <m/>
    <s v="t"/>
    <m/>
    <m/>
    <s v="Volume from USGS Mineral Yearbook 2008"/>
    <m/>
    <m/>
    <m/>
    <m/>
    <m/>
    <m/>
    <m/>
    <m/>
    <m/>
    <m/>
    <m/>
    <m/>
    <m/>
    <m/>
    <m/>
    <m/>
    <m/>
    <m/>
    <m/>
    <m/>
    <m/>
    <m/>
    <m/>
    <m/>
    <m/>
    <m/>
    <m/>
    <m/>
    <m/>
    <m/>
    <m/>
    <m/>
    <m/>
    <m/>
    <m/>
    <m/>
    <m/>
    <m/>
    <m/>
    <m/>
    <m/>
    <m/>
    <m/>
    <m/>
    <m/>
    <m/>
  </r>
  <r>
    <x v="175"/>
    <n v="2004"/>
    <x v="29"/>
    <s v="Latin America and Caribbean"/>
    <m/>
    <s v="Mining"/>
    <s v="yes"/>
    <s v="no"/>
    <s v="no"/>
    <s v="Gold"/>
    <s v="detailed"/>
    <s v="detailed Mining"/>
    <n v="5569280.3273458751"/>
    <m/>
    <m/>
    <m/>
    <m/>
    <s v="toz"/>
    <n v="409.21158333333"/>
    <s v="US$/toz"/>
    <s v="Volume from USGS Mineral Yearbook 2008. Price from World Bank (Global Economic Monitor (GEM) Commodities database), and is defined as: Gold (UK), 99.5% fine, London afternoon fixing, average of daily rates."/>
    <n v="2279014020.7803721"/>
    <m/>
    <m/>
    <m/>
    <m/>
    <m/>
    <s v="70% of production volume"/>
    <m/>
    <m/>
    <m/>
    <m/>
    <m/>
    <m/>
    <m/>
    <m/>
    <m/>
    <m/>
    <n v="11"/>
    <s v="Minera Yanacocha S.R.L., Minera Barrick Misquichilca S.A., Compañía de Minas Buenaventura S.A.A., Inversiones Mineras del Sur S.A., Xstrata Tintaya S.A., Cedimin S.A.C., Southern Perú Copper Corporation Sucursal del Perú, Pan American Silver S.A.C. Mina Quiruvilca, Compañía Minera Milpo S.A.A., Minera Bateas S.A.C., Sociedad Minera El Brocal S.A.A."/>
    <n v="11"/>
    <m/>
    <m/>
    <m/>
    <m/>
    <m/>
    <m/>
    <m/>
    <m/>
    <m/>
    <m/>
    <m/>
    <m/>
    <m/>
    <m/>
    <m/>
    <m/>
    <m/>
    <m/>
    <m/>
    <m/>
    <m/>
    <m/>
    <m/>
    <m/>
    <m/>
    <m/>
  </r>
  <r>
    <x v="175"/>
    <n v="2004"/>
    <x v="29"/>
    <s v="Latin America and Caribbean"/>
    <m/>
    <s v="Mining"/>
    <s v="yes"/>
    <s v="no"/>
    <s v="no"/>
    <s v="Indium"/>
    <s v="detailed"/>
    <s v="detailed Mining"/>
    <n v="5500"/>
    <m/>
    <m/>
    <m/>
    <m/>
    <s v="kg"/>
    <n v="643"/>
    <s v="US$/kg"/>
    <s v="Volume from USGS Mineral Yearbook 2008. Price from USGS Mineral Commodity Summary 2009, and is the price of Indium Corp, a US producer, for 99.97% purity metal."/>
    <n v="3536500"/>
    <m/>
    <m/>
    <m/>
    <m/>
    <m/>
    <m/>
    <m/>
    <m/>
    <m/>
    <m/>
    <m/>
    <m/>
    <m/>
    <m/>
    <m/>
    <m/>
    <m/>
    <m/>
    <m/>
    <m/>
    <m/>
    <m/>
    <m/>
    <m/>
    <m/>
    <m/>
    <m/>
    <m/>
    <m/>
    <m/>
    <m/>
    <m/>
    <m/>
    <m/>
    <m/>
    <m/>
    <m/>
    <m/>
    <m/>
    <m/>
    <m/>
    <m/>
    <m/>
    <m/>
    <m/>
  </r>
  <r>
    <x v="175"/>
    <n v="2004"/>
    <x v="29"/>
    <s v="Latin America and Caribbean"/>
    <m/>
    <s v="Mining"/>
    <s v="yes"/>
    <s v="no"/>
    <s v="no"/>
    <s v="Iron ore"/>
    <s v="detailed"/>
    <s v="detailed Mining"/>
    <n v="6439000"/>
    <m/>
    <m/>
    <m/>
    <m/>
    <s v="t"/>
    <n v="37.9"/>
    <s v="US$/t"/>
    <s v="Volume from USGS Mineral Yearbook 2008. Price from World Bank (Global Economic Monitor (GEM) Commodities database), and is defined as: Iron ore (any origin) fines, spot price, c.f.r. China, 62% Fe."/>
    <n v="244038100"/>
    <m/>
    <m/>
    <m/>
    <m/>
    <m/>
    <m/>
    <m/>
    <m/>
    <m/>
    <m/>
    <m/>
    <m/>
    <m/>
    <m/>
    <m/>
    <m/>
    <m/>
    <m/>
    <m/>
    <m/>
    <m/>
    <m/>
    <m/>
    <m/>
    <m/>
    <m/>
    <m/>
    <m/>
    <m/>
    <m/>
    <m/>
    <m/>
    <m/>
    <m/>
    <m/>
    <m/>
    <m/>
    <m/>
    <m/>
    <m/>
    <m/>
    <m/>
    <m/>
    <m/>
    <m/>
  </r>
  <r>
    <x v="175"/>
    <n v="2004"/>
    <x v="29"/>
    <s v="Latin America and Caribbean"/>
    <m/>
    <s v="Mining"/>
    <s v="yes"/>
    <s v="no"/>
    <s v="no"/>
    <s v="Lead"/>
    <s v="detailed"/>
    <s v="detailed Mining"/>
    <m/>
    <m/>
    <m/>
    <m/>
    <m/>
    <m/>
    <n v="886.54499999999996"/>
    <s v="US$/t"/>
    <s v="Price from World Bank (Global Economic Monitor (GEM) Commodities database), and is defined as: Lead (LME), refined, 99.97% purity, settlement price"/>
    <n v="105472258.64999999"/>
    <m/>
    <m/>
    <m/>
    <m/>
    <m/>
    <s v="37% of production volume"/>
    <m/>
    <m/>
    <m/>
    <m/>
    <m/>
    <m/>
    <m/>
    <m/>
    <m/>
    <m/>
    <n v="10"/>
    <s v="Sociedad Minera El Brocal S.A.A., Empresa Minera Los Quenuales S.A., Compañía Minera Milpo S.A.A., Perubar S.A., Compañía Minera Raura S.A., Compañía de Minas Buenaventura S.A.A., Pan American Silver S.A.C. Mina Quiruvilca,  Compañía Minera Antamina S.A., Compañía Minera Argentum S.A., Minera Bateas S.A.C."/>
    <n v="10"/>
    <m/>
    <m/>
    <m/>
    <m/>
    <m/>
    <m/>
    <m/>
    <m/>
    <m/>
    <m/>
    <m/>
    <m/>
    <m/>
    <m/>
    <m/>
    <m/>
    <m/>
    <m/>
    <m/>
    <m/>
    <m/>
    <m/>
    <m/>
    <m/>
    <m/>
    <m/>
  </r>
  <r>
    <x v="175"/>
    <n v="2004"/>
    <x v="29"/>
    <s v="Latin America and Caribbean"/>
    <m/>
    <s v="Mining"/>
    <s v="yes"/>
    <s v="no"/>
    <s v="no"/>
    <s v="o/w Lead content of mine output"/>
    <s v="detailed"/>
    <s v="detailed Mining"/>
    <n v="306211"/>
    <m/>
    <m/>
    <m/>
    <m/>
    <s v="t"/>
    <m/>
    <m/>
    <s v="Volume from USGS Mineral Yearbook 2008"/>
    <m/>
    <m/>
    <m/>
    <m/>
    <m/>
    <m/>
    <m/>
    <m/>
    <m/>
    <m/>
    <m/>
    <m/>
    <m/>
    <m/>
    <m/>
    <m/>
    <m/>
    <m/>
    <m/>
    <m/>
    <m/>
    <m/>
    <m/>
    <m/>
    <m/>
    <m/>
    <m/>
    <m/>
    <m/>
    <m/>
    <m/>
    <m/>
    <m/>
    <m/>
    <m/>
    <m/>
    <m/>
    <m/>
    <m/>
    <m/>
    <m/>
    <m/>
    <m/>
    <m/>
    <m/>
    <m/>
  </r>
  <r>
    <x v="175"/>
    <n v="2004"/>
    <x v="29"/>
    <s v="Latin America and Caribbean"/>
    <m/>
    <s v="Mining"/>
    <s v="yes"/>
    <s v="no"/>
    <s v="no"/>
    <s v="o/w Metal"/>
    <s v="detailed"/>
    <s v="detailed Mining"/>
    <n v="118970"/>
    <m/>
    <m/>
    <m/>
    <m/>
    <s v="t"/>
    <m/>
    <m/>
    <s v="Volume from USGS Mineral Yearbook 2008"/>
    <m/>
    <m/>
    <m/>
    <m/>
    <m/>
    <m/>
    <m/>
    <m/>
    <m/>
    <m/>
    <m/>
    <m/>
    <m/>
    <m/>
    <m/>
    <m/>
    <m/>
    <m/>
    <m/>
    <m/>
    <m/>
    <m/>
    <m/>
    <m/>
    <m/>
    <m/>
    <m/>
    <m/>
    <m/>
    <m/>
    <m/>
    <m/>
    <m/>
    <m/>
    <m/>
    <m/>
    <m/>
    <m/>
    <m/>
    <m/>
    <m/>
    <m/>
    <m/>
    <m/>
    <m/>
    <m/>
  </r>
  <r>
    <x v="175"/>
    <n v="2004"/>
    <x v="29"/>
    <s v="Latin America and Caribbean"/>
    <m/>
    <s v="Mining"/>
    <s v="yes"/>
    <s v="no"/>
    <s v="no"/>
    <s v="Pig iron"/>
    <s v="detailed"/>
    <s v="detailed Mining"/>
    <n v="330000"/>
    <m/>
    <m/>
    <m/>
    <m/>
    <s v="t"/>
    <m/>
    <m/>
    <s v="Volume from USGS Mineral Yearbook 2008"/>
    <m/>
    <m/>
    <m/>
    <m/>
    <m/>
    <m/>
    <m/>
    <m/>
    <m/>
    <m/>
    <m/>
    <m/>
    <m/>
    <m/>
    <m/>
    <m/>
    <m/>
    <m/>
    <m/>
    <m/>
    <m/>
    <m/>
    <m/>
    <m/>
    <m/>
    <m/>
    <m/>
    <m/>
    <m/>
    <m/>
    <m/>
    <m/>
    <m/>
    <m/>
    <m/>
    <m/>
    <m/>
    <m/>
    <m/>
    <m/>
    <m/>
    <m/>
    <m/>
    <m/>
    <m/>
    <m/>
  </r>
  <r>
    <x v="175"/>
    <n v="2004"/>
    <x v="29"/>
    <s v="Latin America and Caribbean"/>
    <m/>
    <s v="Mining"/>
    <s v="yes"/>
    <s v="no"/>
    <s v="no"/>
    <s v="Selenium (metal, refined)"/>
    <s v="detailed"/>
    <s v="detailed Mining"/>
    <n v="75660"/>
    <m/>
    <m/>
    <m/>
    <m/>
    <s v="t"/>
    <n v="54806.963085768708"/>
    <s v="US$/t"/>
    <s v="Volume from USGS Mineral Yearbook 2008. Price from the USGS Mineral Commodity Summary 2009, and is the price for the refined product in the US."/>
    <n v="4146694827.0692606"/>
    <m/>
    <m/>
    <m/>
    <m/>
    <m/>
    <m/>
    <m/>
    <m/>
    <m/>
    <m/>
    <m/>
    <m/>
    <m/>
    <m/>
    <m/>
    <m/>
    <m/>
    <m/>
    <m/>
    <m/>
    <m/>
    <m/>
    <m/>
    <m/>
    <m/>
    <m/>
    <m/>
    <m/>
    <m/>
    <m/>
    <m/>
    <m/>
    <m/>
    <m/>
    <m/>
    <m/>
    <m/>
    <m/>
    <m/>
    <m/>
    <m/>
    <m/>
    <m/>
    <m/>
    <m/>
  </r>
  <r>
    <x v="175"/>
    <n v="2004"/>
    <x v="29"/>
    <s v="Latin America and Caribbean"/>
    <m/>
    <s v="Mining"/>
    <s v="yes"/>
    <s v="no"/>
    <s v="no"/>
    <s v="Silver"/>
    <s v="detailed"/>
    <s v="detailed Mining"/>
    <n v="98381284.596000001"/>
    <m/>
    <m/>
    <m/>
    <m/>
    <s v="toz"/>
    <n v="6.6578666666700004"/>
    <s v="US$/toz"/>
    <s v="Volume from USGS Mineral Yearbook 2008. Price from World Bank (Global Economic Monitor (GEM) Commodities database), and is defined as: Silver (Handy &amp; Harman), 99.9% grade refined, New York."/>
    <n v="655009475.33588314"/>
    <m/>
    <m/>
    <m/>
    <m/>
    <m/>
    <s v="51% of production volume"/>
    <m/>
    <m/>
    <m/>
    <m/>
    <m/>
    <m/>
    <m/>
    <m/>
    <m/>
    <m/>
    <n v="16"/>
    <s v="Compañía de Minas Buenaventura S.A.A., Compañía Minera Antamina S.A., Empresa Minera Los Quenuales S.A., Southern Perú Copper Corporation Sucursal del Perú, Sociedad Minera El Brocal S.A.A., Minera Yanacocha S.R.L., Pan American Silver S.A.C. Mina Quiruvilca, Compañía Minera Milpo S.A.A., Compañía Minera Raura S.A., Minera Barrick Misquichilca S.A., Xstrata Tintaya S.A., Compañía Minera Argentum S.A., Cedimin S.A.C., Inversiones Mineras del Sur S.A., Minera Bateas S.A.C."/>
    <n v="16"/>
    <m/>
    <m/>
    <m/>
    <m/>
    <m/>
    <m/>
    <m/>
    <m/>
    <m/>
    <m/>
    <m/>
    <m/>
    <m/>
    <m/>
    <m/>
    <m/>
    <m/>
    <m/>
    <m/>
    <m/>
    <m/>
    <m/>
    <m/>
    <m/>
    <m/>
    <m/>
  </r>
  <r>
    <x v="175"/>
    <n v="2004"/>
    <x v="29"/>
    <s v="Latin America and Caribbean"/>
    <m/>
    <s v="Mining"/>
    <s v="yes"/>
    <s v="no"/>
    <s v="no"/>
    <s v="o/w Native"/>
    <s v="detailed"/>
    <s v="detailed Mining"/>
    <n v="100"/>
    <m/>
    <m/>
    <m/>
    <m/>
    <s v="t"/>
    <m/>
    <m/>
    <s v="Volume from USGS Mineral Yearbook 2008"/>
    <m/>
    <m/>
    <m/>
    <m/>
    <m/>
    <m/>
    <m/>
    <m/>
    <m/>
    <m/>
    <m/>
    <m/>
    <m/>
    <m/>
    <m/>
    <m/>
    <m/>
    <m/>
    <m/>
    <m/>
    <m/>
    <m/>
    <m/>
    <m/>
    <m/>
    <m/>
    <m/>
    <m/>
    <m/>
    <m/>
    <m/>
    <m/>
    <m/>
    <m/>
    <m/>
    <m/>
    <m/>
    <m/>
    <m/>
    <m/>
    <m/>
    <m/>
    <m/>
    <m/>
    <m/>
    <m/>
  </r>
  <r>
    <x v="175"/>
    <n v="2004"/>
    <x v="29"/>
    <s v="Latin America and Caribbean"/>
    <m/>
    <s v="Mining"/>
    <s v="yes"/>
    <s v="no"/>
    <s v="no"/>
    <s v="o/w Sulfuric acid"/>
    <s v="detailed"/>
    <s v="detailed Mining"/>
    <n v="623000"/>
    <m/>
    <m/>
    <m/>
    <m/>
    <s v="t"/>
    <m/>
    <m/>
    <s v="Volume from USGS Mineral Yearbook 2008"/>
    <m/>
    <m/>
    <m/>
    <m/>
    <m/>
    <m/>
    <m/>
    <m/>
    <m/>
    <m/>
    <m/>
    <m/>
    <m/>
    <m/>
    <m/>
    <m/>
    <m/>
    <m/>
    <m/>
    <m/>
    <m/>
    <m/>
    <m/>
    <m/>
    <m/>
    <m/>
    <m/>
    <m/>
    <m/>
    <m/>
    <m/>
    <m/>
    <m/>
    <m/>
    <m/>
    <m/>
    <m/>
    <m/>
    <m/>
    <m/>
    <m/>
    <m/>
    <m/>
    <m/>
    <m/>
    <m/>
  </r>
  <r>
    <x v="175"/>
    <n v="2004"/>
    <x v="29"/>
    <s v="Latin America and Caribbean"/>
    <m/>
    <s v="Mining"/>
    <s v="yes"/>
    <s v="no"/>
    <s v="no"/>
    <s v="Tellurium (metal)"/>
    <s v="detailed"/>
    <s v="detailed Mining"/>
    <n v="25000"/>
    <m/>
    <m/>
    <m/>
    <m/>
    <s v="t"/>
    <n v="13000"/>
    <s v="US$/t"/>
    <s v="Volume from USGS Mineral Yearbook 2008. Price is from the USGS Mineral Commodity Summary 2009, and is the price for a lump and powder product of minimum 99.95% quality in the US."/>
    <n v="325000000"/>
    <m/>
    <m/>
    <m/>
    <m/>
    <m/>
    <m/>
    <m/>
    <m/>
    <m/>
    <m/>
    <m/>
    <m/>
    <m/>
    <m/>
    <m/>
    <m/>
    <m/>
    <m/>
    <m/>
    <m/>
    <m/>
    <m/>
    <m/>
    <m/>
    <m/>
    <m/>
    <m/>
    <m/>
    <m/>
    <m/>
    <m/>
    <m/>
    <m/>
    <m/>
    <m/>
    <m/>
    <m/>
    <m/>
    <m/>
    <m/>
    <m/>
    <m/>
    <m/>
    <m/>
    <m/>
  </r>
  <r>
    <x v="175"/>
    <n v="2004"/>
    <x v="29"/>
    <s v="Latin America and Caribbean"/>
    <m/>
    <s v="Mining"/>
    <s v="yes"/>
    <s v="no"/>
    <s v="no"/>
    <s v="Tin"/>
    <s v="detailed"/>
    <s v="detailed Mining"/>
    <m/>
    <m/>
    <m/>
    <m/>
    <m/>
    <m/>
    <n v="8512.7334166666697"/>
    <s v="US$/t"/>
    <s v="Price from World Bank (Global Economic Monitor (GEM) Commodities database), and is defined as: Tin (LME), refined, 99.85% purity, settlement price"/>
    <n v="345821282.31866682"/>
    <m/>
    <m/>
    <m/>
    <m/>
    <m/>
    <s v="100% of production volume"/>
    <m/>
    <m/>
    <m/>
    <m/>
    <m/>
    <m/>
    <m/>
    <m/>
    <m/>
    <m/>
    <n v="1"/>
    <s v="Minsur S.A."/>
    <n v="1"/>
    <m/>
    <m/>
    <m/>
    <m/>
    <m/>
    <m/>
    <m/>
    <m/>
    <m/>
    <m/>
    <m/>
    <m/>
    <m/>
    <m/>
    <m/>
    <m/>
    <m/>
    <m/>
    <m/>
    <m/>
    <m/>
    <m/>
    <m/>
    <m/>
    <m/>
    <m/>
  </r>
  <r>
    <x v="175"/>
    <n v="2004"/>
    <x v="29"/>
    <s v="Latin America and Caribbean"/>
    <m/>
    <s v="Mining"/>
    <s v="yes"/>
    <s v="no"/>
    <s v="no"/>
    <s v="o/w Tin content of mine output"/>
    <s v="detailed"/>
    <s v="detailed Mining"/>
    <n v="41613"/>
    <m/>
    <m/>
    <m/>
    <m/>
    <s v="t"/>
    <m/>
    <m/>
    <s v="Volume from USGS Mineral Yearbook 2008"/>
    <m/>
    <m/>
    <m/>
    <m/>
    <m/>
    <m/>
    <m/>
    <m/>
    <m/>
    <m/>
    <m/>
    <m/>
    <m/>
    <m/>
    <m/>
    <m/>
    <m/>
    <m/>
    <m/>
    <m/>
    <m/>
    <m/>
    <m/>
    <m/>
    <m/>
    <m/>
    <m/>
    <m/>
    <m/>
    <m/>
    <m/>
    <m/>
    <m/>
    <m/>
    <m/>
    <m/>
    <m/>
    <m/>
    <m/>
    <m/>
    <m/>
    <m/>
    <m/>
    <m/>
    <m/>
    <m/>
  </r>
  <r>
    <x v="175"/>
    <n v="2004"/>
    <x v="29"/>
    <s v="Latin America and Caribbean"/>
    <m/>
    <s v="Mining"/>
    <s v="yes"/>
    <s v="no"/>
    <s v="no"/>
    <s v="o/w Metal"/>
    <s v="detailed"/>
    <s v="detailed Mining"/>
    <n v="40624"/>
    <m/>
    <m/>
    <m/>
    <m/>
    <s v="t"/>
    <m/>
    <m/>
    <s v="Volume from USGS Mineral Yearbook 2008"/>
    <m/>
    <m/>
    <m/>
    <m/>
    <m/>
    <m/>
    <m/>
    <m/>
    <m/>
    <m/>
    <m/>
    <m/>
    <m/>
    <m/>
    <m/>
    <m/>
    <m/>
    <m/>
    <m/>
    <m/>
    <m/>
    <m/>
    <m/>
    <m/>
    <m/>
    <m/>
    <m/>
    <m/>
    <m/>
    <m/>
    <m/>
    <m/>
    <m/>
    <m/>
    <m/>
    <m/>
    <m/>
    <m/>
    <m/>
    <m/>
    <m/>
    <m/>
    <m/>
    <m/>
    <m/>
    <m/>
  </r>
  <r>
    <x v="175"/>
    <n v="2004"/>
    <x v="29"/>
    <s v="Latin America and Caribbean"/>
    <m/>
    <s v="Mining"/>
    <s v="yes"/>
    <s v="no"/>
    <s v="no"/>
    <s v="Zinc"/>
    <s v="detailed"/>
    <s v="detailed Mining"/>
    <m/>
    <m/>
    <m/>
    <m/>
    <m/>
    <m/>
    <n v="1047.75325"/>
    <s v="US$/t"/>
    <s v="Price from World Bank (Global Economic Monitor (GEM) Commodities database), and is defined as: Zinc (LME), high grade, minimum 99.95% purity, settlement price beginning April 1990; previously special high grade, minimum 99.995%, cash prices"/>
    <n v="205036928.99899998"/>
    <m/>
    <m/>
    <m/>
    <m/>
    <m/>
    <s v="52% of production volume"/>
    <m/>
    <m/>
    <m/>
    <m/>
    <m/>
    <m/>
    <m/>
    <m/>
    <m/>
    <m/>
    <n v="10"/>
    <s v="Compañía Minera Antamina S.A.,  Empresa Minera Los Quenuales S.A., Compañía Minera Milpo S.A.A., Sociedad Minera El Brocal S.A.A., Compañía Minera Raura S.A., Perubar S.A., Pan American Silver S.A.C. Mina Quiruvilca, Compañía de Minas Buenaventura S.A.A., Compañía Minera Argentum S.A., Minera Bateas S.A.C., Perubar S.A., "/>
    <n v="10"/>
    <m/>
    <m/>
    <m/>
    <m/>
    <m/>
    <m/>
    <m/>
    <m/>
    <m/>
    <m/>
    <m/>
    <m/>
    <m/>
    <m/>
    <m/>
    <m/>
    <m/>
    <m/>
    <m/>
    <m/>
    <m/>
    <m/>
    <m/>
    <m/>
    <m/>
    <m/>
  </r>
  <r>
    <x v="175"/>
    <n v="2004"/>
    <x v="29"/>
    <s v="Latin America and Caribbean"/>
    <m/>
    <s v="Mining"/>
    <s v="yes"/>
    <s v="no"/>
    <s v="no"/>
    <s v="o/w Zinc content of mine output"/>
    <s v="detailed"/>
    <s v="detailed Mining"/>
    <n v="1209006"/>
    <m/>
    <m/>
    <m/>
    <m/>
    <s v="t"/>
    <m/>
    <m/>
    <s v="Volume from USGS Mineral Yearbook 2008"/>
    <m/>
    <m/>
    <m/>
    <m/>
    <m/>
    <m/>
    <m/>
    <m/>
    <m/>
    <m/>
    <m/>
    <m/>
    <m/>
    <m/>
    <m/>
    <m/>
    <m/>
    <m/>
    <m/>
    <m/>
    <m/>
    <m/>
    <m/>
    <m/>
    <m/>
    <m/>
    <m/>
    <m/>
    <m/>
    <m/>
    <m/>
    <m/>
    <m/>
    <m/>
    <m/>
    <m/>
    <m/>
    <m/>
    <m/>
    <m/>
    <m/>
    <m/>
    <m/>
    <m/>
    <m/>
    <m/>
  </r>
  <r>
    <x v="175"/>
    <n v="2004"/>
    <x v="29"/>
    <s v="Latin America and Caribbean"/>
    <m/>
    <s v="Mining"/>
    <s v="yes"/>
    <s v="no"/>
    <s v="no"/>
    <s v="o/w Metal"/>
    <s v="detailed"/>
    <s v="detailed Mining"/>
    <n v="195692"/>
    <m/>
    <m/>
    <m/>
    <m/>
    <s v="t"/>
    <m/>
    <m/>
    <s v="Volume from USGS Mineral Yearbook 2008"/>
    <m/>
    <m/>
    <m/>
    <m/>
    <m/>
    <m/>
    <m/>
    <m/>
    <m/>
    <m/>
    <m/>
    <m/>
    <m/>
    <m/>
    <m/>
    <m/>
    <m/>
    <m/>
    <m/>
    <m/>
    <m/>
    <m/>
    <m/>
    <m/>
    <m/>
    <m/>
    <m/>
    <m/>
    <m/>
    <m/>
    <m/>
    <m/>
    <m/>
    <m/>
    <m/>
    <m/>
    <m/>
    <m/>
    <m/>
    <m/>
    <m/>
    <m/>
    <m/>
    <m/>
    <m/>
    <m/>
  </r>
  <r>
    <x v="176"/>
    <n v="2005"/>
    <x v="29"/>
    <s v="Latin America and Caribbean"/>
    <s v="http://eitiperu.minem.gob.pe/"/>
    <s v="Oil, Gas, Mining"/>
    <s v="yes"/>
    <s v="yes"/>
    <s v="yes"/>
    <s v="Total"/>
    <s v="Total"/>
    <s v="Total Oil, Gas, Mining"/>
    <m/>
    <m/>
    <m/>
    <m/>
    <m/>
    <m/>
    <m/>
    <m/>
    <m/>
    <n v="21170972454.372276"/>
    <s v="Profits/Taxes, Royalties, Licenses and concessions"/>
    <s v="Does not include payments made in-kind"/>
    <s v="-"/>
    <n v="1756747244.267477"/>
    <n v="1755425838.3039513"/>
    <m/>
    <m/>
    <m/>
    <n v="8.6123198806761184E-2"/>
    <s v="United States Dollar and the Peruvian neuvo sol"/>
    <n v="3.29"/>
    <s v="Disaggregated by revenue stream"/>
    <m/>
    <m/>
    <m/>
    <m/>
    <n v="33"/>
    <s v="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
    <n v="33"/>
    <s v="October 2009"/>
    <d v="2014-09-16T00:00:00"/>
    <s v="Ernst &amp; Young"/>
    <s v="http://eiti.org/files/Peru%202004-2007%20EITI%20Report.pdf"/>
    <s v="63-65"/>
    <s v="The report uses US dollars and the local currency, the Peruvian nuevo sol. Materiality threshold: Companies volunteered to participate in the process. These accounted for the following shares of production in 2005: Oil - 71%, Gas - 41%, Copper - 95%, Gold - 74%, Lead - 30%, Molybendum - 100%, Silver - 55%,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
    <m/>
    <m/>
    <m/>
    <m/>
    <m/>
    <m/>
    <m/>
    <m/>
    <m/>
    <m/>
    <m/>
    <m/>
    <m/>
    <m/>
    <m/>
    <m/>
    <m/>
    <m/>
    <m/>
    <m/>
  </r>
  <r>
    <x v="176"/>
    <n v="2005"/>
    <x v="29"/>
    <s v="Latin America and Caribbean"/>
    <m/>
    <s v="Oil, Gas"/>
    <s v="no"/>
    <s v="yes"/>
    <s v="yes"/>
    <s v="Total Oil &amp; Gas"/>
    <s v="Total"/>
    <s v="Total Oil, Gas"/>
    <m/>
    <m/>
    <m/>
    <m/>
    <m/>
    <m/>
    <m/>
    <m/>
    <m/>
    <n v="2232710200"/>
    <m/>
    <m/>
    <m/>
    <n v="497838775.45592701"/>
    <n v="497895241.45592701"/>
    <m/>
    <m/>
    <m/>
    <n v="0.34102981006411381"/>
    <m/>
    <m/>
    <m/>
    <m/>
    <m/>
    <m/>
    <m/>
    <n v="9"/>
    <s v="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n v="9"/>
    <m/>
    <m/>
    <m/>
    <m/>
    <m/>
    <m/>
    <m/>
    <m/>
    <m/>
    <m/>
    <m/>
    <m/>
    <m/>
    <m/>
    <m/>
    <m/>
    <m/>
    <m/>
    <m/>
    <m/>
    <m/>
    <m/>
    <m/>
    <m/>
    <m/>
    <m/>
  </r>
  <r>
    <x v="176"/>
    <n v="2005"/>
    <x v="29"/>
    <s v="Latin America and Caribbean"/>
    <m/>
    <s v="Gas"/>
    <s v="no"/>
    <s v="yes"/>
    <s v="no"/>
    <s v="Gas"/>
    <s v="detailed"/>
    <s v="detailed Gas"/>
    <n v="1500000000"/>
    <m/>
    <m/>
    <m/>
    <m/>
    <s v="m³"/>
    <n v="0.27869799999999995"/>
    <s v="US$/m³"/>
    <s v="Volume and price from BPSR 2014. Price is an average of the UK, US and Canada Indices for natural gas."/>
    <n v="418046999.99999994"/>
    <m/>
    <m/>
    <m/>
    <m/>
    <m/>
    <s v="41% of production volume"/>
    <m/>
    <m/>
    <m/>
    <m/>
    <m/>
    <m/>
    <m/>
    <m/>
    <m/>
    <m/>
    <n v="6"/>
    <s v="Hunt Oil Company of Perú L.L.C., Olympic Perú INC Sucursal del Perú, Petrobras Energía Perú S.A., Pluspetrol Perú Corporation S.A., Pluspetrol Camisea S.A., Repsol Exploración Perú Sucursal del Perú"/>
    <n v="6"/>
    <m/>
    <m/>
    <m/>
    <m/>
    <m/>
    <m/>
    <m/>
    <m/>
    <m/>
    <m/>
    <m/>
    <m/>
    <m/>
    <m/>
    <m/>
    <m/>
    <m/>
    <m/>
    <m/>
    <m/>
    <m/>
    <m/>
    <m/>
    <m/>
    <m/>
    <m/>
  </r>
  <r>
    <x v="176"/>
    <n v="2005"/>
    <x v="29"/>
    <s v="Latin America and Caribbean"/>
    <m/>
    <s v="Oil"/>
    <s v="no"/>
    <s v="no"/>
    <s v="yes"/>
    <s v="Oil"/>
    <s v="detailed"/>
    <s v="detailed Oil"/>
    <n v="33580000"/>
    <m/>
    <m/>
    <m/>
    <m/>
    <s v="bbl"/>
    <n v="54.04"/>
    <s v="US$/bbl"/>
    <s v="Volume and price from BPSR 2014. Price is an average of the spot prices for Brent, Dubai, Nigerian Forcados and West Texas Intermediate crude oil."/>
    <n v="1814663200"/>
    <m/>
    <m/>
    <m/>
    <m/>
    <m/>
    <s v="71% of production volume"/>
    <m/>
    <m/>
    <m/>
    <m/>
    <m/>
    <m/>
    <m/>
    <m/>
    <m/>
    <m/>
    <n v="8"/>
    <s v="Hunt Oil Company of Perú L.L.C., Maple Gas Corporation del Perú S.R.L., Olympic Perú INC Sucursal del Perú, Petrobras Energía Perú S.A., Pluspetrol Norte S.A., Pluspetrol Perú Corporation S.A., Pluspetrol Camisea S.A., Repsol Exploración Perú Sucursal del Perú"/>
    <n v="8"/>
    <m/>
    <m/>
    <m/>
    <m/>
    <m/>
    <m/>
    <m/>
    <m/>
    <m/>
    <m/>
    <m/>
    <m/>
    <m/>
    <m/>
    <m/>
    <m/>
    <m/>
    <m/>
    <m/>
    <m/>
    <m/>
    <m/>
    <m/>
    <m/>
    <m/>
    <m/>
  </r>
  <r>
    <x v="176"/>
    <n v="2005"/>
    <x v="29"/>
    <s v="Latin America and Caribbean"/>
    <m/>
    <s v="Mining"/>
    <s v="yes"/>
    <s v="no"/>
    <s v="no"/>
    <s v="Total Mining"/>
    <s v="Total"/>
    <s v="Total Mining"/>
    <m/>
    <m/>
    <m/>
    <m/>
    <m/>
    <m/>
    <m/>
    <m/>
    <m/>
    <n v="18938262254.372276"/>
    <m/>
    <m/>
    <m/>
    <n v="1258908468.8115501"/>
    <n v="1257530596.8480244"/>
    <m/>
    <m/>
    <m/>
    <n v="6.647433919238846E-2"/>
    <m/>
    <m/>
    <m/>
    <m/>
    <m/>
    <m/>
    <m/>
    <n v="24"/>
    <s v="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
    <n v="24"/>
    <m/>
    <m/>
    <m/>
    <m/>
    <m/>
    <m/>
    <m/>
    <m/>
    <m/>
    <m/>
    <m/>
    <m/>
    <m/>
    <m/>
    <m/>
    <m/>
    <m/>
    <m/>
    <m/>
    <m/>
    <m/>
    <m/>
    <m/>
    <m/>
    <m/>
    <m/>
  </r>
  <r>
    <x v="176"/>
    <n v="2005"/>
    <x v="29"/>
    <s v="Latin America and Caribbean"/>
    <m/>
    <s v="Mining"/>
    <s v="yes"/>
    <s v="no"/>
    <s v="no"/>
    <s v="Bismuth (metal)"/>
    <s v="detailed"/>
    <s v="detailed Mining"/>
    <n v="600"/>
    <m/>
    <m/>
    <m/>
    <m/>
    <s v="t"/>
    <n v="8620.0814829185711"/>
    <s v="US$/t"/>
    <s v="Volume from USGS Mineral Yearbook 2008. Price from USGS Mineral Commodity Summary 2009, and is the price in the US."/>
    <n v="5172048.8897511428"/>
    <m/>
    <m/>
    <m/>
    <m/>
    <m/>
    <m/>
    <m/>
    <m/>
    <m/>
    <m/>
    <m/>
    <m/>
    <m/>
    <m/>
    <m/>
    <m/>
    <m/>
    <m/>
    <m/>
    <m/>
    <m/>
    <m/>
    <m/>
    <m/>
    <m/>
    <m/>
    <m/>
    <m/>
    <m/>
    <m/>
    <m/>
    <m/>
    <m/>
    <m/>
    <m/>
    <m/>
    <m/>
    <m/>
    <m/>
    <m/>
    <m/>
    <m/>
    <m/>
    <m/>
    <m/>
  </r>
  <r>
    <x v="176"/>
    <n v="2005"/>
    <x v="29"/>
    <s v="Latin America and Caribbean"/>
    <m/>
    <s v="Mining"/>
    <s v="yes"/>
    <s v="no"/>
    <s v="no"/>
    <s v="Copper"/>
    <s v="detailed"/>
    <s v="detailed Mining"/>
    <m/>
    <m/>
    <m/>
    <m/>
    <m/>
    <m/>
    <n v="3678.8764166666701"/>
    <s v="US$/t"/>
    <s v="Price from World Bank (Global Economic Monitor (GEM) Commodities database), and is defined as: Copper (LME), grade A, minimum 99.9935% purity, cathodes and wire bar shapes, settlement price."/>
    <n v="3062153253.0530863"/>
    <m/>
    <m/>
    <m/>
    <m/>
    <m/>
    <s v="95% of production volume"/>
    <m/>
    <m/>
    <m/>
    <m/>
    <m/>
    <m/>
    <m/>
    <m/>
    <m/>
    <m/>
    <n v="17"/>
    <s v="Southern Perú Copper Corporation Sucursal del Perú, Compañía Minera Antamina S.A., Xstrata Tintaya S.A., Sociedad Minera Cerro Verde S.A.A, Empresa Minera Los Quenuales S.A., Compañía Minera Argentum S.A., Sociedad Minera El Brocal S.A.A., Inversiones Mineras del Sur S.A., Compañía de Minas Buenaventura S.A.A., Minera Pampa de Cobre S.A., Minsur S.A., Minera Bateas S.A.C., Cedimin S.A.C. "/>
    <n v="17"/>
    <m/>
    <m/>
    <m/>
    <m/>
    <m/>
    <m/>
    <m/>
    <m/>
    <m/>
    <m/>
    <m/>
    <m/>
    <m/>
    <m/>
    <m/>
    <m/>
    <m/>
    <m/>
    <m/>
    <m/>
    <m/>
    <m/>
    <m/>
    <m/>
    <m/>
    <m/>
  </r>
  <r>
    <x v="176"/>
    <n v="2005"/>
    <x v="29"/>
    <s v="Latin America and Caribbean"/>
    <m/>
    <s v="Mining"/>
    <s v="yes"/>
    <s v="no"/>
    <s v="no"/>
    <s v="o/w Copper content in mine output"/>
    <s v="detailed"/>
    <s v="detailed Mining"/>
    <n v="1009898"/>
    <m/>
    <m/>
    <m/>
    <m/>
    <s v="t"/>
    <m/>
    <m/>
    <s v="Volume from USGS Mineral Yearbook 2008"/>
    <m/>
    <m/>
    <m/>
    <m/>
    <m/>
    <m/>
    <m/>
    <m/>
    <m/>
    <m/>
    <m/>
    <m/>
    <m/>
    <m/>
    <m/>
    <m/>
    <m/>
    <m/>
    <m/>
    <m/>
    <m/>
    <m/>
    <m/>
    <m/>
    <m/>
    <m/>
    <m/>
    <m/>
    <m/>
    <m/>
    <m/>
    <m/>
    <m/>
    <m/>
    <m/>
    <m/>
    <m/>
    <m/>
    <m/>
    <m/>
    <m/>
    <m/>
    <m/>
    <m/>
    <m/>
    <m/>
  </r>
  <r>
    <x v="176"/>
    <n v="2005"/>
    <x v="29"/>
    <s v="Latin America and Caribbean"/>
    <m/>
    <s v="Mining"/>
    <s v="yes"/>
    <s v="no"/>
    <s v="no"/>
    <s v="o/w Metal (smelter)"/>
    <s v="detailed"/>
    <s v="detailed Mining"/>
    <n v="320625"/>
    <m/>
    <m/>
    <m/>
    <m/>
    <s v="t"/>
    <m/>
    <m/>
    <s v="Volume from USGS Mineral Yearbook 2008"/>
    <m/>
    <m/>
    <m/>
    <m/>
    <m/>
    <m/>
    <m/>
    <m/>
    <m/>
    <m/>
    <m/>
    <m/>
    <m/>
    <m/>
    <m/>
    <m/>
    <m/>
    <m/>
    <m/>
    <m/>
    <m/>
    <m/>
    <m/>
    <m/>
    <m/>
    <m/>
    <m/>
    <m/>
    <m/>
    <m/>
    <m/>
    <m/>
    <m/>
    <m/>
    <m/>
    <m/>
    <m/>
    <m/>
    <m/>
    <m/>
    <m/>
    <m/>
    <m/>
    <m/>
    <m/>
    <m/>
  </r>
  <r>
    <x v="176"/>
    <n v="2005"/>
    <x v="29"/>
    <s v="Latin America and Caribbean"/>
    <m/>
    <s v="Mining"/>
    <s v="yes"/>
    <s v="no"/>
    <s v="no"/>
    <s v="o/w Metal (refined, primary)"/>
    <s v="detailed"/>
    <s v="detailed Mining"/>
    <n v="511736"/>
    <m/>
    <m/>
    <m/>
    <m/>
    <s v="t"/>
    <m/>
    <m/>
    <s v="Volume from USGS Mineral Yearbook 2008"/>
    <m/>
    <m/>
    <m/>
    <m/>
    <m/>
    <m/>
    <m/>
    <m/>
    <m/>
    <m/>
    <m/>
    <m/>
    <m/>
    <m/>
    <m/>
    <m/>
    <m/>
    <m/>
    <m/>
    <m/>
    <m/>
    <m/>
    <m/>
    <m/>
    <m/>
    <m/>
    <m/>
    <m/>
    <m/>
    <m/>
    <m/>
    <m/>
    <m/>
    <m/>
    <m/>
    <m/>
    <m/>
    <m/>
    <m/>
    <m/>
    <m/>
    <m/>
    <m/>
    <m/>
    <m/>
    <m/>
  </r>
  <r>
    <x v="176"/>
    <n v="2005"/>
    <x v="29"/>
    <s v="Latin America and Caribbean"/>
    <m/>
    <s v="Mining"/>
    <s v="yes"/>
    <s v="no"/>
    <s v="no"/>
    <s v="Gold"/>
    <s v="detailed"/>
    <s v="detailed Mining"/>
    <n v="6687418.8717995016"/>
    <m/>
    <m/>
    <m/>
    <m/>
    <s v="toz"/>
    <n v="444.84258333333003"/>
    <s v="US$/toz"/>
    <s v="Volume from USGS Mineral Yearbook 2008. Price from World Bank (Global Economic Monitor (GEM) Commodities database), and is defined as: Gold (UK), 99.5% fine, London afternoon fixing, average of daily rates."/>
    <n v="2974848686.7633538"/>
    <m/>
    <m/>
    <m/>
    <m/>
    <m/>
    <s v="74% of production volume"/>
    <m/>
    <m/>
    <m/>
    <m/>
    <m/>
    <m/>
    <m/>
    <m/>
    <m/>
    <m/>
    <n v="11"/>
    <s v="Minera Yanacocha S.R.L., Minera Barrick Misquichilca S.A., Compañía de Minas Buenaventura S.A.A., Inversiones Mineras del Sur S.A., Xstrata Tintaya S.A., Cedimin S.A.C., Southern Perú Copper Corporation Sucursal del Perú, Pan American Silver S.A.C. Mina Quiruvilca, Compañía Minera Milpo S.A.A., Minera Bateas S.A.C., Sociedad Minera El Brocal S.A.A."/>
    <n v="11"/>
    <m/>
    <m/>
    <m/>
    <m/>
    <m/>
    <m/>
    <m/>
    <m/>
    <m/>
    <m/>
    <m/>
    <m/>
    <m/>
    <m/>
    <m/>
    <m/>
    <m/>
    <m/>
    <m/>
    <m/>
    <m/>
    <m/>
    <m/>
    <m/>
    <m/>
    <m/>
  </r>
  <r>
    <x v="176"/>
    <n v="2005"/>
    <x v="29"/>
    <s v="Latin America and Caribbean"/>
    <m/>
    <s v="Mining"/>
    <s v="yes"/>
    <s v="no"/>
    <s v="no"/>
    <s v="Indium"/>
    <s v="detailed"/>
    <s v="detailed Mining"/>
    <n v="7000"/>
    <m/>
    <m/>
    <m/>
    <m/>
    <s v="kg"/>
    <n v="946"/>
    <s v="US$/kg"/>
    <s v="Volume from USGS Mineral Yearbook 2008. Price from USGS Mineral Commodity Summary 2009, and is the price of Indium Corp, a US producer, for 99.97% purity metal."/>
    <n v="6622000"/>
    <m/>
    <m/>
    <m/>
    <m/>
    <m/>
    <m/>
    <m/>
    <m/>
    <m/>
    <m/>
    <m/>
    <m/>
    <m/>
    <m/>
    <m/>
    <m/>
    <m/>
    <m/>
    <m/>
    <m/>
    <m/>
    <m/>
    <m/>
    <m/>
    <m/>
    <m/>
    <m/>
    <m/>
    <m/>
    <m/>
    <m/>
    <m/>
    <m/>
    <m/>
    <m/>
    <m/>
    <m/>
    <m/>
    <m/>
    <m/>
    <m/>
    <m/>
    <m/>
    <m/>
    <m/>
  </r>
  <r>
    <x v="176"/>
    <n v="2005"/>
    <x v="29"/>
    <s v="Latin America and Caribbean"/>
    <m/>
    <s v="Mining"/>
    <s v="yes"/>
    <s v="no"/>
    <s v="no"/>
    <s v="Iron ore"/>
    <s v="detailed"/>
    <s v="detailed Mining"/>
    <n v="6810000"/>
    <m/>
    <m/>
    <m/>
    <m/>
    <s v="t"/>
    <n v="65"/>
    <s v="US$/t"/>
    <s v="Volume from USGS Mineral Yearbook 2008. Price from World Bank (Global Economic Monitor (GEM) Commodities database), and is defined as: Iron ore (any origin) fines, spot price, c.f.r. China, 62% Fe."/>
    <n v="442650000"/>
    <m/>
    <m/>
    <m/>
    <m/>
    <m/>
    <m/>
    <m/>
    <m/>
    <m/>
    <m/>
    <m/>
    <m/>
    <m/>
    <m/>
    <m/>
    <m/>
    <m/>
    <m/>
    <m/>
    <m/>
    <m/>
    <m/>
    <m/>
    <m/>
    <m/>
    <m/>
    <m/>
    <m/>
    <m/>
    <m/>
    <m/>
    <m/>
    <m/>
    <m/>
    <m/>
    <m/>
    <m/>
    <m/>
    <m/>
    <m/>
    <m/>
    <m/>
    <m/>
    <m/>
    <m/>
  </r>
  <r>
    <x v="176"/>
    <n v="2005"/>
    <x v="29"/>
    <s v="Latin America and Caribbean"/>
    <m/>
    <s v="Mining"/>
    <s v="yes"/>
    <s v="no"/>
    <s v="no"/>
    <s v="Lead"/>
    <s v="detailed"/>
    <s v="detailed Mining"/>
    <m/>
    <m/>
    <m/>
    <m/>
    <m/>
    <m/>
    <n v="976.36816666667005"/>
    <s v="US$/t"/>
    <s v="Price from World Bank (Global Economic Monitor (GEM) Commodities database), and is defined as: Lead (LME), refined, 99.97% purity, settlement price"/>
    <n v="119194049.41850041"/>
    <m/>
    <m/>
    <m/>
    <m/>
    <m/>
    <s v="30% of production volume"/>
    <m/>
    <m/>
    <m/>
    <m/>
    <m/>
    <m/>
    <m/>
    <m/>
    <m/>
    <m/>
    <n v="10"/>
    <s v="Sociedad Minera El Brocal S.A.A., Empresa Minera Los Quenuales S.A., Compañía Minera Milpo S.A.A., Perubar S.A., Compañía Minera Raura S.A., Compañía de Minas Buenaventura S.A.A., Pan American Silver S.A.C. Mina Quiruvilca,  Compañía Minera Antamina S.A., Compañía Minera Argentum S.A., Minera Bateas S.A.C."/>
    <n v="10"/>
    <m/>
    <m/>
    <m/>
    <m/>
    <m/>
    <m/>
    <m/>
    <m/>
    <m/>
    <m/>
    <m/>
    <m/>
    <m/>
    <m/>
    <m/>
    <m/>
    <m/>
    <m/>
    <m/>
    <m/>
    <m/>
    <m/>
    <m/>
    <m/>
    <m/>
    <m/>
  </r>
  <r>
    <x v="176"/>
    <n v="2005"/>
    <x v="29"/>
    <s v="Latin America and Caribbean"/>
    <m/>
    <s v="Mining"/>
    <s v="yes"/>
    <s v="no"/>
    <s v="no"/>
    <s v="o/w Lead content of mine output"/>
    <s v="detailed"/>
    <s v="detailed Mining"/>
    <n v="319368"/>
    <m/>
    <m/>
    <m/>
    <m/>
    <s v="t"/>
    <m/>
    <m/>
    <s v="Volume from USGS Mineral Yearbook 2008"/>
    <m/>
    <m/>
    <m/>
    <m/>
    <m/>
    <m/>
    <m/>
    <m/>
    <m/>
    <m/>
    <m/>
    <m/>
    <m/>
    <m/>
    <m/>
    <m/>
    <m/>
    <m/>
    <m/>
    <m/>
    <m/>
    <m/>
    <m/>
    <m/>
    <m/>
    <m/>
    <m/>
    <m/>
    <m/>
    <m/>
    <m/>
    <m/>
    <m/>
    <m/>
    <m/>
    <m/>
    <m/>
    <m/>
    <m/>
    <m/>
    <m/>
    <m/>
    <m/>
    <m/>
    <m/>
    <m/>
  </r>
  <r>
    <x v="176"/>
    <n v="2005"/>
    <x v="29"/>
    <s v="Latin America and Caribbean"/>
    <m/>
    <s v="Mining"/>
    <s v="yes"/>
    <s v="no"/>
    <s v="no"/>
    <s v="o/w Metal"/>
    <s v="detailed"/>
    <s v="detailed Mining"/>
    <n v="122079"/>
    <m/>
    <m/>
    <m/>
    <m/>
    <s v="t"/>
    <m/>
    <m/>
    <s v="Volume from USGS Mineral Yearbook 2008"/>
    <m/>
    <m/>
    <m/>
    <m/>
    <m/>
    <m/>
    <m/>
    <m/>
    <m/>
    <m/>
    <m/>
    <m/>
    <m/>
    <m/>
    <m/>
    <m/>
    <m/>
    <m/>
    <m/>
    <m/>
    <m/>
    <m/>
    <m/>
    <m/>
    <m/>
    <m/>
    <m/>
    <m/>
    <m/>
    <m/>
    <m/>
    <m/>
    <m/>
    <m/>
    <m/>
    <m/>
    <m/>
    <m/>
    <m/>
    <m/>
    <m/>
    <m/>
    <m/>
    <m/>
    <m/>
    <m/>
  </r>
  <r>
    <x v="176"/>
    <n v="2005"/>
    <x v="29"/>
    <s v="Latin America and Caribbean"/>
    <m/>
    <s v="Mining"/>
    <s v="yes"/>
    <s v="no"/>
    <s v="no"/>
    <s v="Pig iron"/>
    <s v="detailed"/>
    <s v="detailed Mining"/>
    <n v="330000"/>
    <m/>
    <m/>
    <m/>
    <m/>
    <s v="t"/>
    <m/>
    <m/>
    <s v="Volume from USGS Mineral Yearbook 2008"/>
    <m/>
    <m/>
    <m/>
    <m/>
    <m/>
    <m/>
    <m/>
    <m/>
    <m/>
    <m/>
    <m/>
    <m/>
    <m/>
    <m/>
    <m/>
    <m/>
    <m/>
    <m/>
    <m/>
    <m/>
    <m/>
    <m/>
    <m/>
    <m/>
    <m/>
    <m/>
    <m/>
    <m/>
    <m/>
    <m/>
    <m/>
    <m/>
    <m/>
    <m/>
    <m/>
    <m/>
    <m/>
    <m/>
    <m/>
    <m/>
    <m/>
    <m/>
    <m/>
    <m/>
    <m/>
    <m/>
  </r>
  <r>
    <x v="176"/>
    <n v="2005"/>
    <x v="29"/>
    <s v="Latin America and Caribbean"/>
    <m/>
    <s v="Mining"/>
    <s v="yes"/>
    <s v="no"/>
    <s v="no"/>
    <s v="Selenium (metal, refined)"/>
    <s v="detailed"/>
    <s v="detailed Mining"/>
    <n v="69820"/>
    <m/>
    <m/>
    <m/>
    <m/>
    <s v="t"/>
    <n v="113405.88017425351"/>
    <s v="US$/t"/>
    <s v="Volume from USGS Mineral Yearbook 2008. Price from the USGS Mineral Commodity Summary 2009, and is the price for the refined product in the US."/>
    <n v="7917998553.7663803"/>
    <m/>
    <m/>
    <m/>
    <m/>
    <m/>
    <m/>
    <m/>
    <m/>
    <m/>
    <m/>
    <m/>
    <m/>
    <m/>
    <m/>
    <m/>
    <m/>
    <m/>
    <m/>
    <m/>
    <m/>
    <m/>
    <m/>
    <m/>
    <m/>
    <m/>
    <m/>
    <m/>
    <m/>
    <m/>
    <m/>
    <m/>
    <m/>
    <m/>
    <m/>
    <m/>
    <m/>
    <m/>
    <m/>
    <m/>
    <m/>
    <m/>
    <m/>
    <m/>
    <m/>
    <m/>
  </r>
  <r>
    <x v="176"/>
    <n v="2005"/>
    <x v="29"/>
    <s v="Latin America and Caribbean"/>
    <m/>
    <s v="Mining"/>
    <s v="yes"/>
    <s v="no"/>
    <s v="no"/>
    <s v="Silver"/>
    <s v="detailed"/>
    <s v="detailed Mining"/>
    <n v="103075293.5996"/>
    <m/>
    <m/>
    <m/>
    <m/>
    <s v="toz"/>
    <n v="7.3083666666699996"/>
    <s v="US$/toz"/>
    <s v="Volume from USGS Mineral Yearbook 2008. Price from World Bank (Global Economic Monitor (GEM) Commodities database), and is defined as: Silver (Handy &amp; Harman), 99.9% grade refined, New York."/>
    <n v="753312039.90054023"/>
    <m/>
    <m/>
    <m/>
    <m/>
    <m/>
    <s v="55% of production volume"/>
    <m/>
    <m/>
    <m/>
    <m/>
    <m/>
    <m/>
    <m/>
    <m/>
    <m/>
    <m/>
    <n v="16"/>
    <s v="Compañía de Minas Buenaventura S.A.A., Compañía Minera Antamina S.A., Empresa Minera Los Quenuales S.A., Southern Perú Copper Corporation Sucursal del Perú, Sociedad Minera El Brocal S.A.A., Minera Yanacocha S.R.L., Pan American Silver S.A.C. Mina Quiruvilca, Compañía Minera Milpo S.A.A., Compañía Minera Raura S.A., Minera Barrick Misquichilca S.A., Xstrata Tintaya S.A., Compañía Minera Argentum S.A., Cedimin S.A.C., Inversiones Mineras del Sur S.A., Minera Bateas S.A.C."/>
    <n v="16"/>
    <m/>
    <m/>
    <m/>
    <m/>
    <m/>
    <m/>
    <m/>
    <m/>
    <m/>
    <m/>
    <m/>
    <m/>
    <m/>
    <m/>
    <m/>
    <m/>
    <m/>
    <m/>
    <m/>
    <m/>
    <m/>
    <m/>
    <m/>
    <m/>
    <m/>
    <m/>
  </r>
  <r>
    <x v="176"/>
    <n v="2005"/>
    <x v="29"/>
    <s v="Latin America and Caribbean"/>
    <m/>
    <s v="Mining"/>
    <s v="yes"/>
    <s v="no"/>
    <s v="no"/>
    <s v="o/w Native"/>
    <s v="detailed"/>
    <s v="detailed Mining"/>
    <n v="100"/>
    <m/>
    <m/>
    <m/>
    <m/>
    <s v="t"/>
    <m/>
    <m/>
    <s v="Volume from USGS Mineral Yearbook 2008"/>
    <m/>
    <m/>
    <m/>
    <m/>
    <m/>
    <m/>
    <m/>
    <m/>
    <m/>
    <m/>
    <m/>
    <m/>
    <m/>
    <m/>
    <m/>
    <m/>
    <m/>
    <m/>
    <m/>
    <m/>
    <m/>
    <m/>
    <m/>
    <m/>
    <m/>
    <m/>
    <m/>
    <m/>
    <m/>
    <m/>
    <m/>
    <m/>
    <m/>
    <m/>
    <m/>
    <m/>
    <m/>
    <m/>
    <m/>
    <m/>
    <m/>
    <m/>
    <m/>
    <m/>
    <m/>
    <m/>
  </r>
  <r>
    <x v="176"/>
    <n v="2005"/>
    <x v="29"/>
    <s v="Latin America and Caribbean"/>
    <m/>
    <s v="Mining"/>
    <s v="yes"/>
    <s v="no"/>
    <s v="no"/>
    <s v="o/w Sulfuric acid"/>
    <s v="detailed"/>
    <s v="detailed Mining"/>
    <n v="623000"/>
    <m/>
    <m/>
    <m/>
    <m/>
    <s v="t"/>
    <m/>
    <m/>
    <s v="Volume from USGS Mineral Yearbook 2008"/>
    <m/>
    <m/>
    <m/>
    <m/>
    <m/>
    <m/>
    <m/>
    <m/>
    <m/>
    <m/>
    <m/>
    <m/>
    <m/>
    <m/>
    <m/>
    <m/>
    <m/>
    <m/>
    <m/>
    <m/>
    <m/>
    <m/>
    <m/>
    <m/>
    <m/>
    <m/>
    <m/>
    <m/>
    <m/>
    <m/>
    <m/>
    <m/>
    <m/>
    <m/>
    <m/>
    <m/>
    <m/>
    <m/>
    <m/>
    <m/>
    <m/>
    <m/>
    <m/>
    <m/>
    <m/>
    <m/>
  </r>
  <r>
    <x v="176"/>
    <n v="2005"/>
    <x v="29"/>
    <s v="Latin America and Caribbean"/>
    <m/>
    <s v="Mining"/>
    <s v="yes"/>
    <s v="no"/>
    <s v="no"/>
    <s v="Tellurium (metal)"/>
    <s v="detailed"/>
    <s v="detailed Mining"/>
    <n v="32880"/>
    <m/>
    <m/>
    <m/>
    <m/>
    <s v="t"/>
    <n v="96000"/>
    <s v="US$/t"/>
    <s v="Volume from USGS Mineral Yearbook 2008. Price is from the USGS Mineral Commodity Summary 2009, and is the price for a lump and powder product of minimum 99.95% quality in the US."/>
    <n v="3156480000"/>
    <m/>
    <m/>
    <m/>
    <m/>
    <m/>
    <m/>
    <m/>
    <m/>
    <m/>
    <m/>
    <m/>
    <m/>
    <m/>
    <m/>
    <m/>
    <m/>
    <m/>
    <m/>
    <m/>
    <m/>
    <m/>
    <m/>
    <m/>
    <m/>
    <m/>
    <m/>
    <m/>
    <m/>
    <m/>
    <m/>
    <m/>
    <m/>
    <m/>
    <m/>
    <m/>
    <m/>
    <m/>
    <m/>
    <m/>
    <m/>
    <m/>
    <m/>
    <m/>
    <m/>
    <m/>
  </r>
  <r>
    <x v="176"/>
    <n v="2005"/>
    <x v="29"/>
    <s v="Latin America and Caribbean"/>
    <m/>
    <s v="Mining"/>
    <s v="yes"/>
    <s v="no"/>
    <s v="no"/>
    <s v="Tin"/>
    <s v="detailed"/>
    <s v="detailed Mining"/>
    <m/>
    <m/>
    <m/>
    <m/>
    <m/>
    <m/>
    <n v="7379.8279166666698"/>
    <s v="US$/t"/>
    <s v="Price from World Bank (Global Economic Monitor (GEM) Commodities database), and is defined as: Tin (LME), refined, 99.85% purity, settlement price"/>
    <n v="271083218.86291677"/>
    <m/>
    <m/>
    <m/>
    <m/>
    <m/>
    <s v="100% of production volume"/>
    <m/>
    <m/>
    <m/>
    <m/>
    <m/>
    <m/>
    <m/>
    <m/>
    <m/>
    <m/>
    <n v="1"/>
    <s v="Minsur S.A."/>
    <n v="1"/>
    <m/>
    <m/>
    <m/>
    <m/>
    <m/>
    <m/>
    <m/>
    <m/>
    <m/>
    <m/>
    <m/>
    <m/>
    <m/>
    <m/>
    <m/>
    <m/>
    <m/>
    <m/>
    <m/>
    <m/>
    <m/>
    <m/>
    <m/>
    <m/>
    <m/>
    <m/>
  </r>
  <r>
    <x v="176"/>
    <n v="2005"/>
    <x v="29"/>
    <s v="Latin America and Caribbean"/>
    <m/>
    <s v="Mining"/>
    <s v="yes"/>
    <s v="no"/>
    <s v="no"/>
    <s v="o/w Tin content of mine output"/>
    <s v="detailed"/>
    <s v="detailed Mining"/>
    <n v="42145"/>
    <m/>
    <m/>
    <m/>
    <m/>
    <s v="t"/>
    <m/>
    <m/>
    <s v="Volume from USGS Mineral Yearbook 2008"/>
    <m/>
    <m/>
    <m/>
    <m/>
    <m/>
    <m/>
    <m/>
    <m/>
    <m/>
    <m/>
    <m/>
    <m/>
    <m/>
    <m/>
    <m/>
    <m/>
    <m/>
    <m/>
    <m/>
    <m/>
    <m/>
    <m/>
    <m/>
    <m/>
    <m/>
    <m/>
    <m/>
    <m/>
    <m/>
    <m/>
    <m/>
    <m/>
    <m/>
    <m/>
    <m/>
    <m/>
    <m/>
    <m/>
    <m/>
    <m/>
    <m/>
    <m/>
    <m/>
    <m/>
    <m/>
    <m/>
  </r>
  <r>
    <x v="176"/>
    <n v="2005"/>
    <x v="29"/>
    <s v="Latin America and Caribbean"/>
    <m/>
    <s v="Mining"/>
    <s v="yes"/>
    <s v="no"/>
    <s v="no"/>
    <s v="o/w Metal"/>
    <s v="detailed"/>
    <s v="detailed Mining"/>
    <n v="36733"/>
    <m/>
    <m/>
    <m/>
    <m/>
    <s v="t"/>
    <m/>
    <m/>
    <s v="Volume from USGS Mineral Yearbook 2008"/>
    <m/>
    <m/>
    <m/>
    <m/>
    <m/>
    <m/>
    <m/>
    <m/>
    <m/>
    <m/>
    <m/>
    <m/>
    <m/>
    <m/>
    <m/>
    <m/>
    <m/>
    <m/>
    <m/>
    <m/>
    <m/>
    <m/>
    <m/>
    <m/>
    <m/>
    <m/>
    <m/>
    <m/>
    <m/>
    <m/>
    <m/>
    <m/>
    <m/>
    <m/>
    <m/>
    <m/>
    <m/>
    <m/>
    <m/>
    <m/>
    <m/>
    <m/>
    <m/>
    <m/>
    <m/>
    <m/>
  </r>
  <r>
    <x v="176"/>
    <n v="2005"/>
    <x v="29"/>
    <s v="Latin America and Caribbean"/>
    <m/>
    <s v="Mining"/>
    <s v="yes"/>
    <s v="no"/>
    <s v="no"/>
    <s v="Zinc"/>
    <s v="detailed"/>
    <s v="detailed Mining"/>
    <m/>
    <m/>
    <m/>
    <m/>
    <m/>
    <m/>
    <n v="1381.3059166666701"/>
    <s v="US$/t"/>
    <s v="Price from World Bank (Global Economic Monitor (GEM) Commodities database), and is defined as: Zinc (LME), high grade, minimum 99.95% purity, settlement price beginning April 1990; previously special high grade, minimum 99.995%, cash prices"/>
    <n v="228748403.71775058"/>
    <m/>
    <m/>
    <m/>
    <m/>
    <m/>
    <s v="52% of production volume"/>
    <m/>
    <m/>
    <m/>
    <m/>
    <m/>
    <m/>
    <m/>
    <m/>
    <m/>
    <m/>
    <n v="10"/>
    <s v="Compañía Minera Antamina S.A.,  Empresa Minera Los Quenuales S.A., Compañía Minera Milpo S.A.A., Sociedad Minera El Brocal S.A.A., Compañía Minera Raura S.A., Perubar S.A., Pan American Silver S.A.C. Mina Quiruvilca, Compañía de Minas Buenaventura S.A.A., Compañía Minera Argentum S.A., Minera Bateas S.A.C., Perubar S.A., "/>
    <n v="10"/>
    <m/>
    <m/>
    <m/>
    <m/>
    <m/>
    <m/>
    <m/>
    <m/>
    <m/>
    <m/>
    <m/>
    <m/>
    <m/>
    <m/>
    <m/>
    <m/>
    <m/>
    <m/>
    <m/>
    <m/>
    <m/>
    <m/>
    <m/>
    <m/>
    <m/>
    <m/>
  </r>
  <r>
    <x v="176"/>
    <n v="2005"/>
    <x v="29"/>
    <s v="Latin America and Caribbean"/>
    <m/>
    <s v="Mining"/>
    <s v="yes"/>
    <s v="no"/>
    <s v="no"/>
    <s v="o/w Zinc content of mine output"/>
    <s v="detailed"/>
    <s v="detailed Mining"/>
    <n v="1201671"/>
    <m/>
    <m/>
    <m/>
    <m/>
    <s v="t"/>
    <m/>
    <m/>
    <s v="Volume from USGS Mineral Yearbook 2008"/>
    <m/>
    <m/>
    <m/>
    <m/>
    <m/>
    <m/>
    <m/>
    <m/>
    <m/>
    <m/>
    <m/>
    <m/>
    <m/>
    <m/>
    <m/>
    <m/>
    <m/>
    <m/>
    <m/>
    <m/>
    <m/>
    <m/>
    <m/>
    <m/>
    <m/>
    <m/>
    <m/>
    <m/>
    <m/>
    <m/>
    <m/>
    <m/>
    <m/>
    <m/>
    <m/>
    <m/>
    <m/>
    <m/>
    <m/>
    <m/>
    <m/>
    <m/>
    <m/>
    <m/>
    <m/>
    <m/>
  </r>
  <r>
    <x v="176"/>
    <n v="2005"/>
    <x v="29"/>
    <s v="Latin America and Caribbean"/>
    <m/>
    <s v="Mining"/>
    <s v="yes"/>
    <s v="no"/>
    <s v="no"/>
    <s v="o/w Metal"/>
    <s v="detailed"/>
    <s v="detailed Mining"/>
    <n v="165603"/>
    <m/>
    <m/>
    <m/>
    <m/>
    <s v="t"/>
    <m/>
    <m/>
    <s v="Volume from USGS Mineral Yearbook 2008"/>
    <m/>
    <m/>
    <m/>
    <m/>
    <m/>
    <m/>
    <m/>
    <m/>
    <m/>
    <m/>
    <m/>
    <m/>
    <m/>
    <m/>
    <m/>
    <m/>
    <m/>
    <m/>
    <m/>
    <m/>
    <m/>
    <m/>
    <m/>
    <m/>
    <m/>
    <m/>
    <m/>
    <m/>
    <m/>
    <m/>
    <m/>
    <m/>
    <m/>
    <m/>
    <m/>
    <m/>
    <m/>
    <m/>
    <m/>
    <m/>
    <m/>
    <m/>
    <m/>
    <m/>
    <m/>
    <m/>
  </r>
  <r>
    <x v="177"/>
    <n v="2006"/>
    <x v="29"/>
    <s v="Latin America and Caribbean"/>
    <s v="http://eitiperu.minem.gob.pe/"/>
    <s v="Oil, Gas, Mining"/>
    <s v="yes"/>
    <s v="yes"/>
    <s v="yes"/>
    <s v="Total"/>
    <s v="Total"/>
    <s v="Total Oil, Gas, Mining"/>
    <m/>
    <m/>
    <m/>
    <m/>
    <m/>
    <m/>
    <m/>
    <m/>
    <m/>
    <n v="22517414758.921078"/>
    <s v="Profits/Taxes, Royalties, Licenses and concessions"/>
    <s v="Does not include payments made in-kind"/>
    <s v="-"/>
    <n v="2926435259.9327216"/>
    <n v="2926253811.7614679"/>
    <m/>
    <m/>
    <m/>
    <n v="0.13559398097398315"/>
    <s v="United States Dollar and the Peruvian neuvo sol"/>
    <n v="3.27"/>
    <s v="Disaggregated by revenue stream"/>
    <m/>
    <m/>
    <m/>
    <m/>
    <n v="33"/>
    <s v="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
    <n v="33"/>
    <s v="October 2009"/>
    <d v="2014-09-16T00:00:00"/>
    <s v="Ernst &amp; Young"/>
    <s v="http://eiti.org/files/Peru%202004-2007%20EITI%20Report.pdf"/>
    <s v="63-65"/>
    <s v="The report uses US dollars and the local currency, the Peruvian nuevo sol. Materiality threshold: Companies volunteered to participate in the process. These accounted for the following shares of production in 2006: Oil - 70%, Gas - 44%, Copper - 95%, Gold - 73%, Lead - 44%, Molybendum - 100%, Silver - 58%,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
    <m/>
    <m/>
    <m/>
    <m/>
    <m/>
    <m/>
    <m/>
    <m/>
    <m/>
    <m/>
    <m/>
    <m/>
    <m/>
    <m/>
    <m/>
    <m/>
    <m/>
    <m/>
    <m/>
    <m/>
  </r>
  <r>
    <x v="177"/>
    <n v="2006"/>
    <x v="29"/>
    <s v="Latin America and Caribbean"/>
    <m/>
    <s v="Oil, Gas"/>
    <s v="no"/>
    <s v="yes"/>
    <s v="yes"/>
    <s v="Total Oil &amp; Gas"/>
    <s v="Total"/>
    <s v="Total Oil, Gas"/>
    <m/>
    <m/>
    <m/>
    <m/>
    <m/>
    <m/>
    <m/>
    <m/>
    <m/>
    <n v="2737099850.0000005"/>
    <m/>
    <m/>
    <m/>
    <n v="599046968.63608563"/>
    <n v="599007421.15902138"/>
    <m/>
    <m/>
    <m/>
    <n v="0.33062451707087226"/>
    <m/>
    <m/>
    <m/>
    <m/>
    <m/>
    <m/>
    <m/>
    <n v="9"/>
    <s v="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n v="9"/>
    <m/>
    <m/>
    <m/>
    <m/>
    <m/>
    <m/>
    <m/>
    <m/>
    <m/>
    <m/>
    <m/>
    <m/>
    <m/>
    <m/>
    <m/>
    <m/>
    <m/>
    <m/>
    <m/>
    <m/>
    <m/>
    <m/>
    <m/>
    <m/>
    <m/>
    <m/>
  </r>
  <r>
    <x v="177"/>
    <n v="2006"/>
    <x v="29"/>
    <s v="Latin America and Caribbean"/>
    <m/>
    <s v="Gas"/>
    <s v="no"/>
    <s v="yes"/>
    <s v="no"/>
    <s v="Gas"/>
    <s v="detailed"/>
    <s v="detailed Gas"/>
    <n v="1800000000"/>
    <m/>
    <m/>
    <m/>
    <m/>
    <s v="m³"/>
    <n v="0.243474"/>
    <s v="US$/m³"/>
    <s v="Volume and price from BPSR 2014. Price is an average of the UK, US and Canada Indices for natural gas."/>
    <n v="438253200"/>
    <m/>
    <m/>
    <m/>
    <m/>
    <m/>
    <s v="44% of production volume"/>
    <m/>
    <m/>
    <m/>
    <m/>
    <m/>
    <m/>
    <m/>
    <m/>
    <m/>
    <m/>
    <n v="6"/>
    <s v="Hunt Oil Company of Perú L.L.C., Olympic Perú INC Sucursal del Perú, Petrobras Energía Perú S.A., Pluspetrol Perú Corporation S.A., Pluspetrol Camisea S.A., Repsol Exploración Perú Sucursal del Perú"/>
    <n v="6"/>
    <m/>
    <m/>
    <m/>
    <m/>
    <m/>
    <m/>
    <m/>
    <m/>
    <m/>
    <m/>
    <m/>
    <m/>
    <m/>
    <m/>
    <m/>
    <m/>
    <m/>
    <m/>
    <m/>
    <m/>
    <m/>
    <m/>
    <m/>
    <m/>
    <m/>
    <m/>
  </r>
  <r>
    <x v="177"/>
    <n v="2006"/>
    <x v="29"/>
    <s v="Latin America and Caribbean"/>
    <m/>
    <s v="Oil"/>
    <s v="no"/>
    <s v="no"/>
    <s v="yes"/>
    <s v="Oil"/>
    <s v="detailed"/>
    <s v="detailed Oil"/>
    <n v="35405000"/>
    <m/>
    <m/>
    <m/>
    <m/>
    <s v="bbl"/>
    <n v="64.930000000000007"/>
    <s v="US$/bbl"/>
    <s v="Volume and price from BPSR 2014. Price is an average of the spot prices for Brent, Dubai, Nigerian Forcados and West Texas Intermediate crude oil."/>
    <n v="2298846650.0000005"/>
    <m/>
    <m/>
    <m/>
    <m/>
    <m/>
    <s v="70% of production volume"/>
    <m/>
    <m/>
    <m/>
    <m/>
    <m/>
    <m/>
    <m/>
    <m/>
    <m/>
    <m/>
    <n v="8"/>
    <s v="Hunt Oil Company of Perú L.L.C., Maple Gas Corporation del Perú S.R.L., Olympic Perú INC Sucursal del Perú, Petrobras Energía Perú S.A., Pluspetrol Norte S.A., Pluspetrol Perú Corporation S.A., Pluspetrol Camisea S.A., Repsol Exploración Perú Sucursal del Perú"/>
    <n v="8"/>
    <m/>
    <m/>
    <m/>
    <m/>
    <m/>
    <m/>
    <m/>
    <m/>
    <m/>
    <m/>
    <m/>
    <m/>
    <m/>
    <m/>
    <m/>
    <m/>
    <m/>
    <m/>
    <m/>
    <m/>
    <m/>
    <m/>
    <m/>
    <m/>
    <m/>
    <m/>
  </r>
  <r>
    <x v="177"/>
    <n v="2006"/>
    <x v="29"/>
    <s v="Latin America and Caribbean"/>
    <m/>
    <s v="Mining"/>
    <s v="yes"/>
    <s v="no"/>
    <s v="no"/>
    <s v="Total Mining"/>
    <s v="Total"/>
    <s v="Total Mining"/>
    <m/>
    <m/>
    <m/>
    <m/>
    <m/>
    <m/>
    <m/>
    <m/>
    <m/>
    <n v="19780314908.921078"/>
    <m/>
    <m/>
    <m/>
    <n v="2327388291.2966361"/>
    <n v="2327246390.6024466"/>
    <m/>
    <m/>
    <m/>
    <n v="0.11766184219074115"/>
    <m/>
    <m/>
    <m/>
    <m/>
    <m/>
    <m/>
    <m/>
    <n v="24"/>
    <s v="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
    <n v="24"/>
    <m/>
    <m/>
    <m/>
    <m/>
    <m/>
    <m/>
    <m/>
    <m/>
    <m/>
    <m/>
    <m/>
    <m/>
    <m/>
    <m/>
    <m/>
    <m/>
    <m/>
    <m/>
    <m/>
    <m/>
    <m/>
    <m/>
    <m/>
    <m/>
    <m/>
    <m/>
  </r>
  <r>
    <x v="177"/>
    <n v="2006"/>
    <x v="29"/>
    <s v="Latin America and Caribbean"/>
    <m/>
    <s v="Mining"/>
    <s v="yes"/>
    <s v="no"/>
    <s v="no"/>
    <s v="Bismuth (metal)"/>
    <s v="detailed"/>
    <s v="detailed Mining"/>
    <n v="600"/>
    <m/>
    <m/>
    <m/>
    <m/>
    <s v="t"/>
    <n v="11111.307077726238"/>
    <s v="US$/t"/>
    <s v="Volume from USGS Mineral Yearbook 2008. Price from USGS Mineral Commodity Summary 2009, and is the price in the US."/>
    <n v="6666784.2466357434"/>
    <m/>
    <m/>
    <m/>
    <m/>
    <m/>
    <m/>
    <m/>
    <m/>
    <m/>
    <m/>
    <m/>
    <m/>
    <m/>
    <m/>
    <m/>
    <m/>
    <m/>
    <m/>
    <m/>
    <m/>
    <m/>
    <m/>
    <m/>
    <m/>
    <m/>
    <m/>
    <m/>
    <m/>
    <m/>
    <m/>
    <m/>
    <m/>
    <m/>
    <m/>
    <m/>
    <m/>
    <m/>
    <m/>
    <m/>
    <m/>
    <m/>
    <m/>
    <m/>
    <m/>
    <m/>
  </r>
  <r>
    <x v="177"/>
    <n v="2006"/>
    <x v="29"/>
    <s v="Latin America and Caribbean"/>
    <m/>
    <s v="Mining"/>
    <s v="yes"/>
    <s v="no"/>
    <s v="no"/>
    <s v="Copper"/>
    <s v="detailed"/>
    <s v="detailed Mining"/>
    <m/>
    <m/>
    <m/>
    <m/>
    <m/>
    <m/>
    <n v="6722.1345000000001"/>
    <s v="US$/t"/>
    <s v="Price from World Bank (Global Economic Monitor (GEM) Commodities database), and is defined as: Copper (LME), grade A, minimum 99.9935% purity, cathodes and wire bar shapes, settlement price."/>
    <n v="5578685977.2810001"/>
    <m/>
    <m/>
    <m/>
    <m/>
    <m/>
    <s v="95% of production volume"/>
    <m/>
    <m/>
    <m/>
    <m/>
    <m/>
    <m/>
    <m/>
    <m/>
    <m/>
    <m/>
    <n v="17"/>
    <s v="Southern Perú Copper Corporation Sucursal del Perú, Compañía Minera Antamina S.A., Xstrata Tintaya S.A., Sociedad Minera Cerro Verde S.A.A, Empresa Minera Los Quenuales S.A., Compañía Minera Argentum S.A., Sociedad Minera El Brocal S.A.A., Inversiones Mineras del Sur S.A., Compañía de Minas Buenaventura S.A.A., Minera Pampa de Cobre S.A., Minsur S.A., Minera Bateas S.A.C., Cedimin S.A.C. "/>
    <n v="17"/>
    <m/>
    <m/>
    <m/>
    <m/>
    <m/>
    <m/>
    <m/>
    <m/>
    <m/>
    <m/>
    <m/>
    <m/>
    <m/>
    <m/>
    <m/>
    <m/>
    <m/>
    <m/>
    <m/>
    <m/>
    <m/>
    <m/>
    <m/>
    <m/>
    <m/>
    <m/>
  </r>
  <r>
    <x v="177"/>
    <n v="2006"/>
    <x v="29"/>
    <s v="Latin America and Caribbean"/>
    <m/>
    <s v="Mining"/>
    <s v="yes"/>
    <s v="no"/>
    <s v="no"/>
    <s v="o/w Copper content in mine output"/>
    <s v="detailed"/>
    <s v="detailed Mining"/>
    <n v="1048472"/>
    <m/>
    <m/>
    <m/>
    <m/>
    <s v="t"/>
    <m/>
    <m/>
    <s v="Volume from USGS Mineral Yearbook 2008"/>
    <m/>
    <m/>
    <m/>
    <m/>
    <m/>
    <m/>
    <m/>
    <m/>
    <m/>
    <m/>
    <m/>
    <m/>
    <m/>
    <m/>
    <m/>
    <m/>
    <m/>
    <m/>
    <m/>
    <m/>
    <m/>
    <m/>
    <m/>
    <m/>
    <m/>
    <m/>
    <m/>
    <m/>
    <m/>
    <m/>
    <m/>
    <m/>
    <m/>
    <m/>
    <m/>
    <m/>
    <m/>
    <m/>
    <m/>
    <m/>
    <m/>
    <m/>
    <m/>
    <m/>
    <m/>
    <m/>
  </r>
  <r>
    <x v="177"/>
    <n v="2006"/>
    <x v="29"/>
    <s v="Latin America and Caribbean"/>
    <m/>
    <s v="Mining"/>
    <s v="yes"/>
    <s v="no"/>
    <s v="no"/>
    <s v="o/w Metal (smelter)"/>
    <s v="detailed"/>
    <s v="detailed Mining"/>
    <n v="322188"/>
    <m/>
    <m/>
    <m/>
    <m/>
    <s v="t"/>
    <m/>
    <m/>
    <s v="Volume from USGS Mineral Yearbook 2008"/>
    <m/>
    <m/>
    <m/>
    <m/>
    <m/>
    <m/>
    <m/>
    <m/>
    <m/>
    <m/>
    <m/>
    <m/>
    <m/>
    <m/>
    <m/>
    <m/>
    <m/>
    <m/>
    <m/>
    <m/>
    <m/>
    <m/>
    <m/>
    <m/>
    <m/>
    <m/>
    <m/>
    <m/>
    <m/>
    <m/>
    <m/>
    <m/>
    <m/>
    <m/>
    <m/>
    <m/>
    <m/>
    <m/>
    <m/>
    <m/>
    <m/>
    <m/>
    <m/>
    <m/>
    <m/>
    <m/>
  </r>
  <r>
    <x v="177"/>
    <n v="2006"/>
    <x v="29"/>
    <s v="Latin America and Caribbean"/>
    <m/>
    <s v="Mining"/>
    <s v="yes"/>
    <s v="no"/>
    <s v="no"/>
    <s v="o/w Metal (refined, primary)"/>
    <s v="detailed"/>
    <s v="detailed Mining"/>
    <n v="507710"/>
    <m/>
    <m/>
    <m/>
    <m/>
    <s v="t"/>
    <m/>
    <m/>
    <s v="Volume from USGS Mineral Yearbook 2008"/>
    <m/>
    <m/>
    <m/>
    <m/>
    <m/>
    <m/>
    <m/>
    <m/>
    <m/>
    <m/>
    <m/>
    <m/>
    <m/>
    <m/>
    <m/>
    <m/>
    <m/>
    <m/>
    <m/>
    <m/>
    <m/>
    <m/>
    <m/>
    <m/>
    <m/>
    <m/>
    <m/>
    <m/>
    <m/>
    <m/>
    <m/>
    <m/>
    <m/>
    <m/>
    <m/>
    <m/>
    <m/>
    <m/>
    <m/>
    <m/>
    <m/>
    <m/>
    <m/>
    <m/>
    <m/>
    <m/>
  </r>
  <r>
    <x v="177"/>
    <n v="2006"/>
    <x v="29"/>
    <s v="Latin America and Caribbean"/>
    <m/>
    <s v="Mining"/>
    <s v="yes"/>
    <s v="no"/>
    <s v="no"/>
    <s v="Gold"/>
    <s v="detailed"/>
    <s v="detailed Mining"/>
    <n v="6521006.625376706"/>
    <m/>
    <m/>
    <m/>
    <m/>
    <s v="toz"/>
    <n v="604.33583333333002"/>
    <s v="US$/toz"/>
    <s v="Volume from USGS Mineral Yearbook 2008. Price from World Bank (Global Economic Monitor (GEM) Commodities database), and is defined as: Gold (UK), 99.5% fine, London afternoon fixing, average of daily rates."/>
    <n v="3940877973.1191978"/>
    <m/>
    <m/>
    <m/>
    <m/>
    <m/>
    <s v="73% of production volume"/>
    <m/>
    <m/>
    <m/>
    <m/>
    <m/>
    <m/>
    <m/>
    <m/>
    <m/>
    <m/>
    <n v="11"/>
    <s v="Minera Yanacocha S.R.L., Minera Barrick Misquichilca S.A., Compañía de Minas Buenaventura S.A.A., Inversiones Mineras del Sur S.A., Xstrata Tintaya S.A., Cedimin S.A.C., Southern Perú Copper Corporation Sucursal del Perú, Pan American Silver S.A.C. Mina Quiruvilca, Compañía Minera Milpo S.A.A., Minera Bateas S.A.C., Sociedad Minera El Brocal S.A.A."/>
    <n v="11"/>
    <m/>
    <m/>
    <m/>
    <m/>
    <m/>
    <m/>
    <m/>
    <m/>
    <m/>
    <m/>
    <m/>
    <m/>
    <m/>
    <m/>
    <m/>
    <m/>
    <m/>
    <m/>
    <m/>
    <m/>
    <m/>
    <m/>
    <m/>
    <m/>
    <m/>
    <m/>
  </r>
  <r>
    <x v="177"/>
    <n v="2006"/>
    <x v="29"/>
    <s v="Latin America and Caribbean"/>
    <m/>
    <s v="Mining"/>
    <s v="yes"/>
    <s v="no"/>
    <s v="no"/>
    <s v="Indium"/>
    <s v="detailed"/>
    <s v="detailed Mining"/>
    <n v="6000"/>
    <m/>
    <m/>
    <m/>
    <m/>
    <s v="kg"/>
    <n v="918"/>
    <s v="US$/kg"/>
    <s v="Volume from USGS Mineral Yearbook 2008. Price from USGS Mineral Commodity Summary 2009, and is the price of Indium Corp, a US producer, for 99.97% purity metal."/>
    <n v="5508000"/>
    <m/>
    <m/>
    <m/>
    <m/>
    <m/>
    <m/>
    <m/>
    <m/>
    <m/>
    <m/>
    <m/>
    <m/>
    <m/>
    <m/>
    <m/>
    <m/>
    <m/>
    <m/>
    <m/>
    <m/>
    <m/>
    <m/>
    <m/>
    <m/>
    <m/>
    <m/>
    <m/>
    <m/>
    <m/>
    <m/>
    <m/>
    <m/>
    <m/>
    <m/>
    <m/>
    <m/>
    <m/>
    <m/>
    <m/>
    <m/>
    <m/>
    <m/>
    <m/>
    <m/>
    <m/>
  </r>
  <r>
    <x v="177"/>
    <n v="2006"/>
    <x v="29"/>
    <s v="Latin America and Caribbean"/>
    <m/>
    <s v="Mining"/>
    <s v="yes"/>
    <s v="no"/>
    <s v="no"/>
    <s v="Iron ore"/>
    <s v="detailed"/>
    <s v="detailed Mining"/>
    <n v="7138000"/>
    <m/>
    <m/>
    <m/>
    <m/>
    <s v="t"/>
    <n v="69.333333333330003"/>
    <s v="US$/t"/>
    <s v="Volume from USGS Mineral Yearbook 2008. Price from World Bank (Global Economic Monitor (GEM) Commodities database), and is defined as: Iron ore (any origin) fines, spot price, c.f.r. China, 62% Fe."/>
    <n v="494901333.33330959"/>
    <m/>
    <m/>
    <m/>
    <m/>
    <m/>
    <m/>
    <m/>
    <m/>
    <m/>
    <m/>
    <m/>
    <m/>
    <m/>
    <m/>
    <m/>
    <m/>
    <m/>
    <m/>
    <m/>
    <m/>
    <m/>
    <m/>
    <m/>
    <m/>
    <m/>
    <m/>
    <m/>
    <m/>
    <m/>
    <m/>
    <m/>
    <m/>
    <m/>
    <m/>
    <m/>
    <m/>
    <m/>
    <m/>
    <m/>
    <m/>
    <m/>
    <m/>
    <m/>
    <m/>
    <m/>
  </r>
  <r>
    <x v="177"/>
    <n v="2006"/>
    <x v="29"/>
    <s v="Latin America and Caribbean"/>
    <m/>
    <s v="Mining"/>
    <s v="yes"/>
    <s v="no"/>
    <s v="no"/>
    <s v="Lead"/>
    <s v="detailed"/>
    <s v="detailed Mining"/>
    <m/>
    <m/>
    <m/>
    <m/>
    <m/>
    <m/>
    <n v="1289.7220833333299"/>
    <s v="US$/t"/>
    <s v="Price from World Bank (Global Economic Monitor (GEM) Commodities database), and is defined as: Lead (LME), refined, 99.97% purity, settlement price"/>
    <n v="157447982.21124959"/>
    <m/>
    <m/>
    <m/>
    <m/>
    <m/>
    <s v="44% of production volume"/>
    <m/>
    <m/>
    <m/>
    <m/>
    <m/>
    <m/>
    <m/>
    <m/>
    <m/>
    <m/>
    <n v="10"/>
    <s v="Sociedad Minera El Brocal S.A.A., Empresa Minera Los Quenuales S.A., Compañía Minera Milpo S.A.A., Perubar S.A., Compañía Minera Raura S.A., Compañía de Minas Buenaventura S.A.A., Pan American Silver S.A.C. Mina Quiruvilca,  Compañía Minera Antamina S.A., Compañía Minera Argentum S.A., Minera Bateas S.A.C."/>
    <n v="10"/>
    <m/>
    <m/>
    <m/>
    <m/>
    <m/>
    <m/>
    <m/>
    <m/>
    <m/>
    <m/>
    <m/>
    <m/>
    <m/>
    <m/>
    <m/>
    <m/>
    <m/>
    <m/>
    <m/>
    <m/>
    <m/>
    <m/>
    <m/>
    <m/>
    <m/>
    <m/>
  </r>
  <r>
    <x v="177"/>
    <n v="2006"/>
    <x v="29"/>
    <s v="Latin America and Caribbean"/>
    <m/>
    <s v="Mining"/>
    <s v="yes"/>
    <s v="no"/>
    <s v="no"/>
    <s v="o/w Lead content of mine output"/>
    <s v="detailed"/>
    <s v="detailed Mining"/>
    <n v="313332"/>
    <m/>
    <m/>
    <m/>
    <m/>
    <s v="t"/>
    <m/>
    <m/>
    <s v="Volume from USGS Mineral Yearbook 2008"/>
    <m/>
    <m/>
    <m/>
    <m/>
    <m/>
    <m/>
    <m/>
    <m/>
    <m/>
    <m/>
    <m/>
    <m/>
    <m/>
    <m/>
    <m/>
    <m/>
    <m/>
    <m/>
    <m/>
    <m/>
    <m/>
    <m/>
    <m/>
    <m/>
    <m/>
    <m/>
    <m/>
    <m/>
    <m/>
    <m/>
    <m/>
    <m/>
    <m/>
    <m/>
    <m/>
    <m/>
    <m/>
    <m/>
    <m/>
    <m/>
    <m/>
    <m/>
    <m/>
    <m/>
    <m/>
    <m/>
  </r>
  <r>
    <x v="177"/>
    <n v="2006"/>
    <x v="29"/>
    <s v="Latin America and Caribbean"/>
    <m/>
    <s v="Mining"/>
    <s v="yes"/>
    <s v="no"/>
    <s v="no"/>
    <s v="o/w Metal"/>
    <s v="detailed"/>
    <s v="detailed Mining"/>
    <n v="122079"/>
    <m/>
    <m/>
    <m/>
    <m/>
    <s v="t"/>
    <m/>
    <m/>
    <s v="Volume from USGS Mineral Yearbook 2008"/>
    <m/>
    <m/>
    <m/>
    <m/>
    <m/>
    <m/>
    <m/>
    <m/>
    <m/>
    <m/>
    <m/>
    <m/>
    <m/>
    <m/>
    <m/>
    <m/>
    <m/>
    <m/>
    <m/>
    <m/>
    <m/>
    <m/>
    <m/>
    <m/>
    <m/>
    <m/>
    <m/>
    <m/>
    <m/>
    <m/>
    <m/>
    <m/>
    <m/>
    <m/>
    <m/>
    <m/>
    <m/>
    <m/>
    <m/>
    <m/>
    <m/>
    <m/>
    <m/>
    <m/>
    <m/>
    <m/>
  </r>
  <r>
    <x v="177"/>
    <n v="2006"/>
    <x v="29"/>
    <s v="Latin America and Caribbean"/>
    <m/>
    <s v="Mining"/>
    <s v="yes"/>
    <s v="no"/>
    <s v="no"/>
    <s v="Pig iron"/>
    <s v="detailed"/>
    <s v="detailed Mining"/>
    <n v="330000"/>
    <m/>
    <m/>
    <m/>
    <m/>
    <s v="t"/>
    <m/>
    <m/>
    <s v="Volume from USGS Mineral Yearbook 2008"/>
    <m/>
    <m/>
    <m/>
    <m/>
    <m/>
    <m/>
    <m/>
    <m/>
    <m/>
    <m/>
    <m/>
    <m/>
    <m/>
    <m/>
    <m/>
    <m/>
    <m/>
    <m/>
    <m/>
    <m/>
    <m/>
    <m/>
    <m/>
    <m/>
    <m/>
    <m/>
    <m/>
    <m/>
    <m/>
    <m/>
    <m/>
    <m/>
    <m/>
    <m/>
    <m/>
    <m/>
    <m/>
    <m/>
    <m/>
    <m/>
    <m/>
    <m/>
    <m/>
    <m/>
    <m/>
    <m/>
  </r>
  <r>
    <x v="177"/>
    <n v="2006"/>
    <x v="29"/>
    <s v="Latin America and Caribbean"/>
    <m/>
    <s v="Mining"/>
    <s v="yes"/>
    <s v="no"/>
    <s v="no"/>
    <s v="Selenium (metal, refined)"/>
    <s v="detailed"/>
    <s v="detailed Mining"/>
    <n v="75390"/>
    <m/>
    <m/>
    <m/>
    <m/>
    <s v="t"/>
    <n v="54167.622003915414"/>
    <s v="US$/t"/>
    <s v="Volume from USGS Mineral Yearbook 2008. Price from the USGS Mineral Commodity Summary 2009, and is the price for the refined product in the US."/>
    <n v="4083697022.8751831"/>
    <m/>
    <m/>
    <m/>
    <m/>
    <m/>
    <m/>
    <m/>
    <m/>
    <m/>
    <m/>
    <m/>
    <m/>
    <m/>
    <m/>
    <m/>
    <m/>
    <m/>
    <m/>
    <m/>
    <m/>
    <m/>
    <m/>
    <m/>
    <m/>
    <m/>
    <m/>
    <m/>
    <m/>
    <m/>
    <m/>
    <m/>
    <m/>
    <m/>
    <m/>
    <m/>
    <m/>
    <m/>
    <m/>
    <m/>
    <m/>
    <m/>
    <m/>
    <m/>
    <m/>
    <m/>
  </r>
  <r>
    <x v="177"/>
    <n v="2006"/>
    <x v="29"/>
    <s v="Latin America and Caribbean"/>
    <m/>
    <s v="Mining"/>
    <s v="yes"/>
    <s v="no"/>
    <s v="no"/>
    <s v="Silver"/>
    <s v="detailed"/>
    <s v="detailed Mining"/>
    <n v="111595241.44859999"/>
    <m/>
    <m/>
    <m/>
    <m/>
    <s v="toz"/>
    <n v="11.559233333330001"/>
    <s v="US$/toz"/>
    <s v="Volume from USGS Mineral Yearbook 2008. Price from World Bank (Global Economic Monitor (GEM) Commodities database), and is defined as: Silver (Handy &amp; Harman), 99.9% grade refined, New York."/>
    <n v="1289955434.7936668"/>
    <m/>
    <m/>
    <m/>
    <m/>
    <m/>
    <s v="58% of production volume"/>
    <m/>
    <m/>
    <m/>
    <m/>
    <m/>
    <m/>
    <m/>
    <m/>
    <m/>
    <m/>
    <n v="16"/>
    <s v="Compañía de Minas Buenaventura S.A.A., Compañía Minera Antamina S.A., Empresa Minera Los Quenuales S.A., Southern Perú Copper Corporation Sucursal del Perú, Sociedad Minera El Brocal S.A.A., Minera Yanacocha S.R.L., Pan American Silver S.A.C. Mina Quiruvilca, Compañía Minera Milpo S.A.A., Compañía Minera Raura S.A., Minera Barrick Misquichilca S.A., Xstrata Tintaya S.A., Compañía Minera Argentum S.A., Cedimin S.A.C., Inversiones Mineras del Sur S.A., Minera Bateas S.A.C."/>
    <n v="16"/>
    <m/>
    <m/>
    <m/>
    <m/>
    <m/>
    <m/>
    <m/>
    <m/>
    <m/>
    <m/>
    <m/>
    <m/>
    <m/>
    <m/>
    <m/>
    <m/>
    <m/>
    <m/>
    <m/>
    <m/>
    <m/>
    <m/>
    <m/>
    <m/>
    <m/>
    <m/>
  </r>
  <r>
    <x v="177"/>
    <n v="2006"/>
    <x v="29"/>
    <s v="Latin America and Caribbean"/>
    <m/>
    <s v="Mining"/>
    <s v="yes"/>
    <s v="no"/>
    <s v="no"/>
    <s v="o/w Native"/>
    <s v="detailed"/>
    <s v="detailed Mining"/>
    <n v="100"/>
    <m/>
    <m/>
    <m/>
    <m/>
    <s v="t"/>
    <m/>
    <m/>
    <s v="Volume from USGS Mineral Yearbook 2008"/>
    <m/>
    <m/>
    <m/>
    <m/>
    <m/>
    <m/>
    <m/>
    <m/>
    <m/>
    <m/>
    <m/>
    <m/>
    <m/>
    <m/>
    <m/>
    <m/>
    <m/>
    <m/>
    <m/>
    <m/>
    <m/>
    <m/>
    <m/>
    <m/>
    <m/>
    <m/>
    <m/>
    <m/>
    <m/>
    <m/>
    <m/>
    <m/>
    <m/>
    <m/>
    <m/>
    <m/>
    <m/>
    <m/>
    <m/>
    <m/>
    <m/>
    <m/>
    <m/>
    <m/>
    <m/>
    <m/>
  </r>
  <r>
    <x v="177"/>
    <n v="2006"/>
    <x v="29"/>
    <s v="Latin America and Caribbean"/>
    <m/>
    <s v="Mining"/>
    <s v="yes"/>
    <s v="no"/>
    <s v="no"/>
    <s v="o/w Sulfuric acid"/>
    <s v="detailed"/>
    <s v="detailed Mining"/>
    <n v="623000"/>
    <m/>
    <m/>
    <m/>
    <m/>
    <s v="t"/>
    <m/>
    <m/>
    <s v="Volume from USGS Mineral Yearbook 2008"/>
    <m/>
    <m/>
    <m/>
    <m/>
    <m/>
    <m/>
    <m/>
    <m/>
    <m/>
    <m/>
    <m/>
    <m/>
    <m/>
    <m/>
    <m/>
    <m/>
    <m/>
    <m/>
    <m/>
    <m/>
    <m/>
    <m/>
    <m/>
    <m/>
    <m/>
    <m/>
    <m/>
    <m/>
    <m/>
    <m/>
    <m/>
    <m/>
    <m/>
    <m/>
    <m/>
    <m/>
    <m/>
    <m/>
    <m/>
    <m/>
    <m/>
    <m/>
    <m/>
    <m/>
    <m/>
    <m/>
  </r>
  <r>
    <x v="177"/>
    <n v="2006"/>
    <x v="29"/>
    <s v="Latin America and Caribbean"/>
    <m/>
    <s v="Mining"/>
    <s v="yes"/>
    <s v="no"/>
    <s v="no"/>
    <s v="Tellurium (metal)"/>
    <s v="detailed"/>
    <s v="detailed Mining"/>
    <n v="37000"/>
    <m/>
    <m/>
    <m/>
    <m/>
    <s v="t"/>
    <n v="89000"/>
    <s v="US$/t"/>
    <s v="Volume from USGS Mineral Yearbook 2008. Price is from the USGS Mineral Commodity Summary 2009, and is the price for a lump and powder product of minimum 99.95% quality in the US."/>
    <n v="3293000000"/>
    <m/>
    <m/>
    <m/>
    <m/>
    <m/>
    <m/>
    <m/>
    <m/>
    <m/>
    <m/>
    <m/>
    <m/>
    <m/>
    <m/>
    <m/>
    <m/>
    <m/>
    <m/>
    <m/>
    <m/>
    <m/>
    <m/>
    <m/>
    <m/>
    <m/>
    <m/>
    <m/>
    <m/>
    <m/>
    <m/>
    <m/>
    <m/>
    <m/>
    <m/>
    <m/>
    <m/>
    <m/>
    <m/>
    <m/>
    <m/>
    <m/>
    <m/>
    <m/>
    <m/>
    <m/>
  </r>
  <r>
    <x v="177"/>
    <n v="2006"/>
    <x v="29"/>
    <s v="Latin America and Caribbean"/>
    <m/>
    <s v="Mining"/>
    <s v="yes"/>
    <s v="no"/>
    <s v="no"/>
    <s v="Tin"/>
    <s v="detailed"/>
    <s v="detailed Mining"/>
    <m/>
    <m/>
    <m/>
    <m/>
    <m/>
    <m/>
    <n v="8780.8253333333305"/>
    <s v="US$/t"/>
    <s v="Price from World Bank (Global Economic Monitor (GEM) Commodities database), and is defined as: Tin (LME), refined, 99.85% purity, settlement price"/>
    <n v="355579521.87333322"/>
    <m/>
    <m/>
    <m/>
    <m/>
    <m/>
    <s v="100% of production volume"/>
    <m/>
    <m/>
    <m/>
    <m/>
    <m/>
    <m/>
    <m/>
    <m/>
    <m/>
    <m/>
    <n v="1"/>
    <s v="Minsur S.A."/>
    <n v="1"/>
    <m/>
    <m/>
    <m/>
    <m/>
    <m/>
    <m/>
    <m/>
    <m/>
    <m/>
    <m/>
    <m/>
    <m/>
    <m/>
    <m/>
    <m/>
    <m/>
    <m/>
    <m/>
    <m/>
    <m/>
    <m/>
    <m/>
    <m/>
    <m/>
    <m/>
    <m/>
  </r>
  <r>
    <x v="177"/>
    <n v="2006"/>
    <x v="29"/>
    <s v="Latin America and Caribbean"/>
    <m/>
    <s v="Mining"/>
    <s v="yes"/>
    <s v="no"/>
    <s v="no"/>
    <s v="o/w Tin content of mine output"/>
    <s v="detailed"/>
    <s v="detailed Mining"/>
    <n v="38470"/>
    <m/>
    <m/>
    <m/>
    <m/>
    <s v="t"/>
    <m/>
    <m/>
    <s v="Volume from USGS Mineral Yearbook 2008"/>
    <m/>
    <m/>
    <m/>
    <m/>
    <m/>
    <m/>
    <m/>
    <m/>
    <m/>
    <m/>
    <m/>
    <m/>
    <m/>
    <m/>
    <m/>
    <m/>
    <m/>
    <m/>
    <m/>
    <m/>
    <m/>
    <m/>
    <m/>
    <m/>
    <m/>
    <m/>
    <m/>
    <m/>
    <m/>
    <m/>
    <m/>
    <m/>
    <m/>
    <m/>
    <m/>
    <m/>
    <m/>
    <m/>
    <m/>
    <m/>
    <m/>
    <m/>
    <m/>
    <m/>
    <m/>
    <m/>
  </r>
  <r>
    <x v="177"/>
    <n v="2006"/>
    <x v="29"/>
    <s v="Latin America and Caribbean"/>
    <m/>
    <s v="Mining"/>
    <s v="yes"/>
    <s v="no"/>
    <s v="no"/>
    <s v="o/w Metal"/>
    <s v="detailed"/>
    <s v="detailed Mining"/>
    <n v="40495"/>
    <m/>
    <m/>
    <m/>
    <m/>
    <s v="t"/>
    <m/>
    <m/>
    <s v="Volume from USGS Mineral Yearbook 2008"/>
    <m/>
    <m/>
    <m/>
    <m/>
    <m/>
    <m/>
    <m/>
    <m/>
    <m/>
    <m/>
    <m/>
    <m/>
    <m/>
    <m/>
    <m/>
    <m/>
    <m/>
    <m/>
    <m/>
    <m/>
    <m/>
    <m/>
    <m/>
    <m/>
    <m/>
    <m/>
    <m/>
    <m/>
    <m/>
    <m/>
    <m/>
    <m/>
    <m/>
    <m/>
    <m/>
    <m/>
    <m/>
    <m/>
    <m/>
    <m/>
    <m/>
    <m/>
    <m/>
    <m/>
    <m/>
    <m/>
  </r>
  <r>
    <x v="177"/>
    <n v="2006"/>
    <x v="29"/>
    <s v="Latin America and Caribbean"/>
    <m/>
    <s v="Mining"/>
    <s v="yes"/>
    <s v="no"/>
    <s v="no"/>
    <s v="Zinc"/>
    <s v="detailed"/>
    <s v="detailed Mining"/>
    <m/>
    <m/>
    <m/>
    <m/>
    <m/>
    <m/>
    <n v="3275.2917499999999"/>
    <s v="US$/t"/>
    <s v="Price from World Bank (Global Economic Monitor (GEM) Commodities database), and is defined as: Zinc (LME), high grade, minimum 99.95% purity, settlement price beginning April 1990; previously special high grade, minimum 99.995%, cash prices"/>
    <n v="573994879.1875"/>
    <m/>
    <m/>
    <m/>
    <m/>
    <m/>
    <s v="52% of production volume"/>
    <m/>
    <m/>
    <m/>
    <m/>
    <m/>
    <m/>
    <m/>
    <m/>
    <m/>
    <m/>
    <n v="10"/>
    <s v="Compañía Minera Antamina S.A.,  Empresa Minera Los Quenuales S.A., Compañía Minera Milpo S.A.A., Sociedad Minera El Brocal S.A.A., Compañía Minera Raura S.A., Perubar S.A., Pan American Silver S.A.C. Mina Quiruvilca, Compañía de Minas Buenaventura S.A.A., Compañía Minera Argentum S.A., Minera Bateas S.A.C., Perubar S.A., "/>
    <n v="10"/>
    <m/>
    <m/>
    <m/>
    <m/>
    <m/>
    <m/>
    <m/>
    <m/>
    <m/>
    <m/>
    <m/>
    <m/>
    <m/>
    <m/>
    <m/>
    <m/>
    <m/>
    <m/>
    <m/>
    <m/>
    <m/>
    <m/>
    <m/>
    <m/>
    <m/>
    <m/>
  </r>
  <r>
    <x v="177"/>
    <n v="2006"/>
    <x v="29"/>
    <s v="Latin America and Caribbean"/>
    <m/>
    <s v="Mining"/>
    <s v="yes"/>
    <s v="no"/>
    <s v="no"/>
    <s v="o/w Zinc content of mine output"/>
    <s v="detailed"/>
    <s v="detailed Mining"/>
    <n v="1203364"/>
    <m/>
    <m/>
    <m/>
    <m/>
    <s v="t"/>
    <m/>
    <m/>
    <s v="Volume from USGS Mineral Yearbook 2008"/>
    <m/>
    <m/>
    <m/>
    <m/>
    <m/>
    <m/>
    <m/>
    <m/>
    <m/>
    <m/>
    <m/>
    <m/>
    <m/>
    <m/>
    <m/>
    <m/>
    <m/>
    <m/>
    <m/>
    <m/>
    <m/>
    <m/>
    <m/>
    <m/>
    <m/>
    <m/>
    <m/>
    <m/>
    <m/>
    <m/>
    <m/>
    <m/>
    <m/>
    <m/>
    <m/>
    <m/>
    <m/>
    <m/>
    <m/>
    <m/>
    <m/>
    <m/>
    <m/>
    <m/>
    <m/>
    <m/>
  </r>
  <r>
    <x v="177"/>
    <n v="2006"/>
    <x v="29"/>
    <s v="Latin America and Caribbean"/>
    <m/>
    <s v="Mining"/>
    <s v="yes"/>
    <s v="no"/>
    <s v="no"/>
    <s v="o/w Metal"/>
    <s v="detailed"/>
    <s v="detailed Mining"/>
    <n v="175250"/>
    <m/>
    <m/>
    <m/>
    <m/>
    <s v="t"/>
    <m/>
    <m/>
    <s v="Volume from USGS Mineral Yearbook 2008"/>
    <m/>
    <m/>
    <m/>
    <m/>
    <m/>
    <m/>
    <m/>
    <m/>
    <m/>
    <m/>
    <m/>
    <m/>
    <m/>
    <m/>
    <m/>
    <m/>
    <m/>
    <m/>
    <m/>
    <m/>
    <m/>
    <m/>
    <m/>
    <m/>
    <m/>
    <m/>
    <m/>
    <m/>
    <m/>
    <m/>
    <m/>
    <m/>
    <m/>
    <m/>
    <m/>
    <m/>
    <m/>
    <m/>
    <m/>
    <m/>
    <m/>
    <m/>
    <m/>
    <m/>
    <m/>
    <m/>
  </r>
  <r>
    <x v="178"/>
    <n v="2007"/>
    <x v="29"/>
    <s v="Latin America and Caribbean"/>
    <s v="http://eitiperu.minem.gob.pe/"/>
    <s v="Oil, Gas, Mining"/>
    <s v="yes"/>
    <s v="yes"/>
    <s v="yes"/>
    <s v="Total"/>
    <s v="Total"/>
    <s v="Total Oil, Gas, Mining"/>
    <m/>
    <m/>
    <m/>
    <m/>
    <m/>
    <m/>
    <m/>
    <m/>
    <m/>
    <n v="22602945343.433014"/>
    <s v="Profits/Taxes, Royalties, Licenses and concessions"/>
    <s v="Does not include payments made in-kind"/>
    <s v="-"/>
    <n v="3125388072.7948718"/>
    <n v="3126093879.5100002"/>
    <m/>
    <m/>
    <m/>
    <n v="0.1449232481845486"/>
    <s v="United States Dollar and the Peruvian neuvo sol"/>
    <n v="3.12"/>
    <s v="Disaggregated by revenue stream"/>
    <m/>
    <m/>
    <m/>
    <m/>
    <n v="33"/>
    <s v="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
    <n v="33"/>
    <s v="October 2009"/>
    <d v="2014-09-16T00:00:00"/>
    <s v="Ernst &amp; Young"/>
    <s v="http://eiti.org/files/Peru%202004-2007%20EITI%20Report.pdf"/>
    <s v="63-65"/>
    <s v="The report uses US dollars and the local currency, the Peruvian nuevo sol. Materiality threshold: Companies volunteered to participate in the process. These accounted for the following shares of production in 2007: Oil - 71%, Gas - 50%, Copper - 95%, Gold - 66%, Lead - 43%, Molybendum - 100%, Silver - 53%, Tin - 100%, Zinc - 56%. Only disaggregation by revenue stream is comprehensive as some companies requested that their individual information was not provided. Unilateral declarations do not appear to be included in the figures. The report also covers the distribution of revenues across government."/>
    <m/>
    <m/>
    <m/>
    <m/>
    <m/>
    <m/>
    <m/>
    <m/>
    <m/>
    <m/>
    <m/>
    <m/>
    <m/>
    <m/>
    <m/>
    <m/>
    <m/>
    <m/>
    <m/>
    <m/>
  </r>
  <r>
    <x v="178"/>
    <n v="2007"/>
    <x v="29"/>
    <s v="Latin America and Caribbean"/>
    <m/>
    <s v="Oil, Gas"/>
    <s v="no"/>
    <s v="yes"/>
    <s v="yes"/>
    <s v="Total Oil &amp; Gas"/>
    <s v="Total"/>
    <s v="Total Oil, Gas"/>
    <m/>
    <m/>
    <m/>
    <m/>
    <m/>
    <m/>
    <m/>
    <m/>
    <m/>
    <n v="3131219699.9999995"/>
    <m/>
    <m/>
    <m/>
    <n v="663117717.52564096"/>
    <n v="663123566.52564096"/>
    <m/>
    <m/>
    <m/>
    <n v="0.31666149679639105"/>
    <m/>
    <m/>
    <m/>
    <m/>
    <m/>
    <m/>
    <m/>
    <n v="9"/>
    <s v="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n v="9"/>
    <m/>
    <m/>
    <m/>
    <m/>
    <m/>
    <m/>
    <m/>
    <m/>
    <m/>
    <m/>
    <m/>
    <m/>
    <m/>
    <m/>
    <m/>
    <m/>
    <m/>
    <m/>
    <m/>
    <m/>
    <m/>
    <m/>
    <m/>
    <m/>
    <m/>
    <m/>
  </r>
  <r>
    <x v="178"/>
    <n v="2007"/>
    <x v="29"/>
    <s v="Latin America and Caribbean"/>
    <m/>
    <s v="Gas"/>
    <s v="no"/>
    <s v="yes"/>
    <s v="no"/>
    <s v="Gas"/>
    <s v="detailed"/>
    <s v="detailed Gas"/>
    <n v="2700000000"/>
    <m/>
    <m/>
    <m/>
    <m/>
    <s v="m³"/>
    <n v="0.22764700000000004"/>
    <s v="US$/m³"/>
    <s v="Volume and price from BPSR 2014. Price is an average of the UK, US and Canada Indices for natural gas."/>
    <n v="614646900.00000012"/>
    <m/>
    <m/>
    <m/>
    <m/>
    <m/>
    <s v="50% of production volume"/>
    <m/>
    <m/>
    <m/>
    <m/>
    <m/>
    <m/>
    <m/>
    <m/>
    <m/>
    <m/>
    <n v="6"/>
    <s v="Hunt Oil Company of Perú L.L.C., Olympic Perú INC Sucursal del Perú, Petrobras Energía Perú S.A., Pluspetrol Perú Corporation S.A., Pluspetrol Camisea S.A., Repsol Exploración Perú Sucursal del Perú"/>
    <n v="6"/>
    <m/>
    <m/>
    <m/>
    <m/>
    <m/>
    <m/>
    <m/>
    <m/>
    <m/>
    <m/>
    <m/>
    <m/>
    <m/>
    <m/>
    <m/>
    <m/>
    <m/>
    <m/>
    <m/>
    <m/>
    <m/>
    <m/>
    <m/>
    <m/>
    <m/>
    <m/>
  </r>
  <r>
    <x v="178"/>
    <n v="2007"/>
    <x v="29"/>
    <s v="Latin America and Caribbean"/>
    <m/>
    <s v="Oil"/>
    <s v="no"/>
    <s v="no"/>
    <s v="yes"/>
    <s v="Oil"/>
    <s v="detailed"/>
    <s v="detailed Oil"/>
    <n v="35040000"/>
    <m/>
    <m/>
    <m/>
    <m/>
    <s v="bbl"/>
    <n v="71.819999999999993"/>
    <s v="US$/bbl"/>
    <s v="Volume and price from BPSR 2014. Price is an average of the spot prices for Brent, Dubai, Nigerian Forcados and West Texas Intermediate crude oil."/>
    <n v="2516572799.9999995"/>
    <m/>
    <m/>
    <m/>
    <m/>
    <m/>
    <s v="71% of production volume"/>
    <m/>
    <m/>
    <m/>
    <m/>
    <m/>
    <m/>
    <m/>
    <m/>
    <m/>
    <m/>
    <n v="8"/>
    <s v="Hunt Oil Company of Perú L.L.C., Maple Gas Corporation del Perú S.R.L., Olympic Perú INC Sucursal del Perú, Petrobras Energía Perú S.A., Pluspetrol Norte S.A., Pluspetrol Perú Corporation S.A., Pluspetrol Camisea S.A., Repsol Exploración Perú Sucursal del Perú"/>
    <n v="8"/>
    <m/>
    <m/>
    <m/>
    <m/>
    <m/>
    <m/>
    <m/>
    <m/>
    <m/>
    <m/>
    <m/>
    <m/>
    <m/>
    <m/>
    <m/>
    <m/>
    <m/>
    <m/>
    <m/>
    <m/>
    <m/>
    <m/>
    <m/>
    <m/>
    <m/>
    <m/>
  </r>
  <r>
    <x v="178"/>
    <n v="2007"/>
    <x v="29"/>
    <s v="Latin America and Caribbean"/>
    <m/>
    <s v="Mining"/>
    <s v="yes"/>
    <s v="no"/>
    <s v="no"/>
    <s v="Total Mining"/>
    <s v="Total"/>
    <s v="Total Mining"/>
    <m/>
    <m/>
    <m/>
    <m/>
    <m/>
    <m/>
    <m/>
    <m/>
    <m/>
    <n v="19471725643.433014"/>
    <m/>
    <m/>
    <m/>
    <n v="2462270355.2692308"/>
    <n v="2462970312.974359"/>
    <m/>
    <m/>
    <m/>
    <n v="0.12645362821757147"/>
    <m/>
    <m/>
    <m/>
    <m/>
    <m/>
    <m/>
    <m/>
    <n v="24"/>
    <s v="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
    <n v="24"/>
    <m/>
    <m/>
    <m/>
    <m/>
    <m/>
    <m/>
    <m/>
    <m/>
    <m/>
    <m/>
    <m/>
    <m/>
    <m/>
    <m/>
    <m/>
    <m/>
    <m/>
    <m/>
    <m/>
    <m/>
    <m/>
    <m/>
    <m/>
    <m/>
    <m/>
    <m/>
  </r>
  <r>
    <x v="178"/>
    <n v="2007"/>
    <x v="29"/>
    <s v="Latin America and Caribbean"/>
    <m/>
    <s v="Mining"/>
    <s v="yes"/>
    <s v="no"/>
    <s v="no"/>
    <s v="Bismuth (metal)"/>
    <s v="detailed"/>
    <s v="detailed Mining"/>
    <n v="1114"/>
    <m/>
    <m/>
    <m/>
    <m/>
    <s v="t"/>
    <n v="31019.065591985749"/>
    <s v="US$/t"/>
    <s v="Volume from USGS Mineral Yearbook 2011. Price from USGS Mineral Commodity Summary 2009, and is the price in the US."/>
    <n v="34555239.069472127"/>
    <m/>
    <m/>
    <m/>
    <m/>
    <m/>
    <m/>
    <m/>
    <m/>
    <m/>
    <m/>
    <m/>
    <m/>
    <m/>
    <m/>
    <m/>
    <m/>
    <m/>
    <m/>
    <m/>
    <m/>
    <m/>
    <m/>
    <m/>
    <m/>
    <m/>
    <m/>
    <m/>
    <m/>
    <m/>
    <m/>
    <m/>
    <m/>
    <m/>
    <m/>
    <m/>
    <m/>
    <m/>
    <m/>
    <m/>
    <m/>
    <m/>
    <m/>
    <m/>
    <m/>
    <m/>
  </r>
  <r>
    <x v="178"/>
    <n v="2007"/>
    <x v="29"/>
    <s v="Latin America and Caribbean"/>
    <m/>
    <s v="Mining"/>
    <s v="yes"/>
    <s v="no"/>
    <s v="no"/>
    <s v="Copper"/>
    <s v="detailed"/>
    <s v="detailed Mining"/>
    <m/>
    <m/>
    <m/>
    <m/>
    <m/>
    <m/>
    <n v="7118.2259999999997"/>
    <s v="US$/t"/>
    <s v="Price from World Bank (Global Economic Monitor (GEM) Commodities database), and is defined as: Copper (LME), grade A, minimum 99.9935% purity, cathodes and wire bar shapes, settlement price."/>
    <n v="4602972369.9959993"/>
    <m/>
    <m/>
    <m/>
    <m/>
    <m/>
    <s v="95% of production volume"/>
    <m/>
    <m/>
    <m/>
    <m/>
    <m/>
    <m/>
    <m/>
    <m/>
    <m/>
    <m/>
    <n v="17"/>
    <s v="Southern Perú Copper Corporation Sucursal del Perú, Compañía Minera Antamina S.A., Xstrata Tintaya S.A., Sociedad Minera Cerro Verde S.A.A, Empresa Minera Los Quenuales S.A., Compañía Minera Argentum S.A., Sociedad Minera El Brocal S.A.A., Inversiones Mineras del Sur S.A., Compañía de Minas Buenaventura S.A.A., Minera Pampa de Cobre S.A., Minsur S.A., Minera Bateas S.A.C., Cedimin S.A.C. "/>
    <n v="17"/>
    <m/>
    <m/>
    <m/>
    <m/>
    <m/>
    <m/>
    <m/>
    <m/>
    <m/>
    <m/>
    <m/>
    <m/>
    <m/>
    <m/>
    <m/>
    <m/>
    <m/>
    <m/>
    <m/>
    <m/>
    <m/>
    <m/>
    <m/>
    <m/>
    <m/>
    <m/>
  </r>
  <r>
    <x v="178"/>
    <n v="2007"/>
    <x v="29"/>
    <s v="Latin America and Caribbean"/>
    <m/>
    <s v="Mining"/>
    <s v="yes"/>
    <s v="no"/>
    <s v="no"/>
    <s v="o/w Copper content in mine output"/>
    <s v="detailed"/>
    <s v="detailed Mining"/>
    <n v="1018155"/>
    <m/>
    <m/>
    <m/>
    <m/>
    <s v="t"/>
    <m/>
    <m/>
    <s v="Volume from USGS Mineral Yearbook 2011"/>
    <m/>
    <m/>
    <m/>
    <m/>
    <m/>
    <m/>
    <m/>
    <m/>
    <m/>
    <m/>
    <m/>
    <m/>
    <m/>
    <m/>
    <m/>
    <m/>
    <m/>
    <m/>
    <m/>
    <m/>
    <m/>
    <m/>
    <m/>
    <m/>
    <m/>
    <m/>
    <m/>
    <m/>
    <m/>
    <m/>
    <m/>
    <m/>
    <m/>
    <m/>
    <m/>
    <m/>
    <m/>
    <m/>
    <m/>
    <m/>
    <m/>
    <m/>
    <m/>
    <m/>
    <m/>
    <m/>
  </r>
  <r>
    <x v="178"/>
    <n v="2007"/>
    <x v="29"/>
    <s v="Latin America and Caribbean"/>
    <m/>
    <s v="Mining"/>
    <s v="yes"/>
    <s v="no"/>
    <s v="no"/>
    <s v="o/w Metal (smelter)"/>
    <s v="detailed"/>
    <s v="detailed Mining"/>
    <n v="236809"/>
    <m/>
    <m/>
    <m/>
    <m/>
    <s v="t"/>
    <m/>
    <m/>
    <s v="Volume from USGS Mineral Yearbook 2011"/>
    <m/>
    <m/>
    <m/>
    <m/>
    <m/>
    <m/>
    <m/>
    <m/>
    <m/>
    <m/>
    <m/>
    <m/>
    <m/>
    <m/>
    <m/>
    <m/>
    <m/>
    <m/>
    <m/>
    <m/>
    <m/>
    <m/>
    <m/>
    <m/>
    <m/>
    <m/>
    <m/>
    <m/>
    <m/>
    <m/>
    <m/>
    <m/>
    <m/>
    <m/>
    <m/>
    <m/>
    <m/>
    <m/>
    <m/>
    <m/>
    <m/>
    <m/>
    <m/>
    <m/>
    <m/>
    <m/>
  </r>
  <r>
    <x v="178"/>
    <n v="2007"/>
    <x v="29"/>
    <s v="Latin America and Caribbean"/>
    <m/>
    <s v="Mining"/>
    <s v="yes"/>
    <s v="no"/>
    <s v="no"/>
    <s v="o/w Metal (refined, primary)"/>
    <s v="detailed"/>
    <s v="detailed Mining"/>
    <n v="409837"/>
    <m/>
    <m/>
    <m/>
    <m/>
    <s v="t"/>
    <m/>
    <m/>
    <s v="Volume from USGS Mineral Yearbook 2011"/>
    <m/>
    <m/>
    <m/>
    <m/>
    <m/>
    <m/>
    <m/>
    <m/>
    <m/>
    <m/>
    <m/>
    <m/>
    <m/>
    <m/>
    <m/>
    <m/>
    <m/>
    <m/>
    <m/>
    <m/>
    <m/>
    <m/>
    <m/>
    <m/>
    <m/>
    <m/>
    <m/>
    <m/>
    <m/>
    <m/>
    <m/>
    <m/>
    <m/>
    <m/>
    <m/>
    <m/>
    <m/>
    <m/>
    <m/>
    <m/>
    <m/>
    <m/>
    <m/>
    <m/>
    <m/>
    <m/>
  </r>
  <r>
    <x v="178"/>
    <n v="2007"/>
    <x v="29"/>
    <s v="Latin America and Caribbean"/>
    <m/>
    <s v="Mining"/>
    <s v="yes"/>
    <s v="no"/>
    <s v="no"/>
    <s v="Gold"/>
    <s v="detailed"/>
    <s v="detailed Mining"/>
    <n v="5473213.9068838758"/>
    <m/>
    <m/>
    <m/>
    <m/>
    <s v="toz"/>
    <n v="696.72024999999996"/>
    <s v="US$/toz"/>
    <s v="Volume from USGS Mineral Yearbook 2011. Price from World Bank (Global Economic Monitor (GEM) Commodities database), and is defined as: Gold (UK), 99.5% fine, London afternoon fixing, average of daily rates."/>
    <n v="3813298961.5076103"/>
    <m/>
    <m/>
    <m/>
    <m/>
    <m/>
    <s v="66% of production volume"/>
    <m/>
    <m/>
    <m/>
    <m/>
    <m/>
    <m/>
    <m/>
    <m/>
    <m/>
    <m/>
    <n v="11"/>
    <s v="Minera Yanacocha S.R.L., Minera Barrick Misquichilca S.A., Compañía de Minas Buenaventura S.A.A., Inversiones Mineras del Sur S.A., Xstrata Tintaya S.A., Cedimin S.A.C., Southern Perú Copper Corporation Sucursal del Perú, Pan American Silver S.A.C. Mina Quiruvilca, Compañía Minera Milpo S.A.A., Minera Bateas S.A.C., Sociedad Minera El Brocal S.A.A."/>
    <n v="11"/>
    <m/>
    <m/>
    <m/>
    <m/>
    <m/>
    <m/>
    <m/>
    <m/>
    <m/>
    <m/>
    <m/>
    <m/>
    <m/>
    <m/>
    <m/>
    <m/>
    <m/>
    <m/>
    <m/>
    <m/>
    <m/>
    <m/>
    <m/>
    <m/>
    <m/>
    <m/>
  </r>
  <r>
    <x v="178"/>
    <n v="2007"/>
    <x v="29"/>
    <s v="Latin America and Caribbean"/>
    <m/>
    <s v="Mining"/>
    <s v="yes"/>
    <s v="no"/>
    <s v="no"/>
    <s v="Indium"/>
    <s v="detailed"/>
    <s v="detailed Mining"/>
    <n v="5000"/>
    <m/>
    <m/>
    <m/>
    <m/>
    <s v="kg"/>
    <n v="795"/>
    <s v="US$/kg"/>
    <s v="Volume from USGS Mineral Yearbook 2011. Price from USGS Mineral Commodity Summary 2009, and is the price of Indium Corp, a US producer, for 99.97% purity metal."/>
    <n v="3975000"/>
    <m/>
    <m/>
    <m/>
    <m/>
    <m/>
    <m/>
    <m/>
    <m/>
    <m/>
    <m/>
    <m/>
    <m/>
    <m/>
    <m/>
    <m/>
    <m/>
    <m/>
    <m/>
    <m/>
    <m/>
    <m/>
    <m/>
    <m/>
    <m/>
    <m/>
    <m/>
    <m/>
    <m/>
    <m/>
    <m/>
    <m/>
    <m/>
    <m/>
    <m/>
    <m/>
    <m/>
    <m/>
    <m/>
    <m/>
    <m/>
    <m/>
    <m/>
    <m/>
    <m/>
    <m/>
  </r>
  <r>
    <x v="178"/>
    <n v="2007"/>
    <x v="29"/>
    <s v="Latin America and Caribbean"/>
    <m/>
    <s v="Mining"/>
    <s v="yes"/>
    <s v="no"/>
    <s v="no"/>
    <s v="Iron ore"/>
    <s v="detailed"/>
    <s v="detailed Mining"/>
    <n v="7614000"/>
    <m/>
    <m/>
    <m/>
    <m/>
    <s v="t"/>
    <n v="122.9875"/>
    <s v="US$/t"/>
    <s v="Volume from USGS Mineral Yearbook 2011. Price from World Bank (Global Economic Monitor (GEM) Commodities database), and is defined as: Iron ore (any origin) fines, spot price, c.f.r. China, 62% Fe."/>
    <n v="936426825"/>
    <m/>
    <m/>
    <m/>
    <m/>
    <m/>
    <m/>
    <m/>
    <m/>
    <m/>
    <m/>
    <m/>
    <m/>
    <m/>
    <m/>
    <m/>
    <m/>
    <m/>
    <m/>
    <m/>
    <m/>
    <m/>
    <m/>
    <m/>
    <m/>
    <m/>
    <m/>
    <m/>
    <m/>
    <m/>
    <m/>
    <m/>
    <m/>
    <m/>
    <m/>
    <m/>
    <m/>
    <m/>
    <m/>
    <m/>
    <m/>
    <m/>
    <m/>
    <m/>
    <m/>
    <m/>
  </r>
  <r>
    <x v="178"/>
    <n v="2007"/>
    <x v="29"/>
    <s v="Latin America and Caribbean"/>
    <m/>
    <s v="Mining"/>
    <s v="yes"/>
    <s v="no"/>
    <s v="no"/>
    <s v="Lead"/>
    <s v="detailed"/>
    <s v="detailed Mining"/>
    <m/>
    <m/>
    <m/>
    <m/>
    <m/>
    <m/>
    <n v="2579.9854166666701"/>
    <s v="US$/t"/>
    <s v="Price from World Bank (Global Economic Monitor (GEM) Commodities database), and is defined as: Lead (LME), refined, 99.97% purity, settlement price"/>
    <n v="301275217.04583371"/>
    <m/>
    <m/>
    <m/>
    <m/>
    <m/>
    <s v="43% of production volume"/>
    <m/>
    <m/>
    <m/>
    <m/>
    <m/>
    <m/>
    <m/>
    <m/>
    <m/>
    <m/>
    <n v="10"/>
    <s v="Sociedad Minera El Brocal S.A.A., Empresa Minera Los Quenuales S.A., Compañía Minera Milpo S.A.A., Perubar S.A., Compañía Minera Raura S.A., Compañía de Minas Buenaventura S.A.A., Pan American Silver S.A.C. Mina Quiruvilca,  Compañía Minera Antamina S.A., Compañía Minera Argentum S.A., Minera Bateas S.A.C."/>
    <n v="10"/>
    <m/>
    <m/>
    <m/>
    <m/>
    <m/>
    <m/>
    <m/>
    <m/>
    <m/>
    <m/>
    <m/>
    <m/>
    <m/>
    <m/>
    <m/>
    <m/>
    <m/>
    <m/>
    <m/>
    <m/>
    <m/>
    <m/>
    <m/>
    <m/>
    <m/>
    <m/>
  </r>
  <r>
    <x v="178"/>
    <n v="2007"/>
    <x v="29"/>
    <s v="Latin America and Caribbean"/>
    <m/>
    <s v="Mining"/>
    <s v="yes"/>
    <s v="no"/>
    <s v="no"/>
    <s v="o/w Lead content of mine output"/>
    <s v="detailed"/>
    <s v="detailed Mining"/>
    <n v="329165"/>
    <m/>
    <m/>
    <m/>
    <m/>
    <s v="t"/>
    <m/>
    <m/>
    <s v="Volume from USGS Mineral Yearbook 2011"/>
    <m/>
    <m/>
    <m/>
    <m/>
    <m/>
    <m/>
    <m/>
    <m/>
    <m/>
    <m/>
    <m/>
    <m/>
    <m/>
    <m/>
    <m/>
    <m/>
    <m/>
    <m/>
    <m/>
    <m/>
    <m/>
    <m/>
    <m/>
    <m/>
    <m/>
    <m/>
    <m/>
    <m/>
    <m/>
    <m/>
    <m/>
    <m/>
    <m/>
    <m/>
    <m/>
    <m/>
    <m/>
    <m/>
    <m/>
    <m/>
    <m/>
    <m/>
    <m/>
    <m/>
    <m/>
    <m/>
  </r>
  <r>
    <x v="178"/>
    <n v="2007"/>
    <x v="29"/>
    <s v="Latin America and Caribbean"/>
    <m/>
    <s v="Mining"/>
    <s v="yes"/>
    <s v="no"/>
    <s v="no"/>
    <s v="o/w Metal"/>
    <s v="detailed"/>
    <s v="detailed Mining"/>
    <n v="116774"/>
    <m/>
    <m/>
    <m/>
    <m/>
    <s v="t"/>
    <m/>
    <m/>
    <s v="Volume from USGS Mineral Yearbook 2011"/>
    <m/>
    <m/>
    <m/>
    <m/>
    <m/>
    <m/>
    <m/>
    <m/>
    <m/>
    <m/>
    <m/>
    <m/>
    <m/>
    <m/>
    <m/>
    <m/>
    <m/>
    <m/>
    <m/>
    <m/>
    <m/>
    <m/>
    <m/>
    <m/>
    <m/>
    <m/>
    <m/>
    <m/>
    <m/>
    <m/>
    <m/>
    <m/>
    <m/>
    <m/>
    <m/>
    <m/>
    <m/>
    <m/>
    <m/>
    <m/>
    <m/>
    <m/>
    <m/>
    <m/>
    <m/>
    <m/>
  </r>
  <r>
    <x v="178"/>
    <n v="2007"/>
    <x v="29"/>
    <s v="Latin America and Caribbean"/>
    <m/>
    <s v="Mining"/>
    <s v="yes"/>
    <s v="no"/>
    <s v="no"/>
    <s v="Pig iron"/>
    <s v="detailed"/>
    <s v="detailed Mining"/>
    <n v="330000"/>
    <m/>
    <m/>
    <m/>
    <m/>
    <s v="t"/>
    <m/>
    <m/>
    <s v="Volume from USGS Mineral Yearbook 2011"/>
    <m/>
    <m/>
    <m/>
    <m/>
    <m/>
    <m/>
    <m/>
    <m/>
    <m/>
    <m/>
    <m/>
    <m/>
    <m/>
    <m/>
    <m/>
    <m/>
    <m/>
    <m/>
    <m/>
    <m/>
    <m/>
    <m/>
    <m/>
    <m/>
    <m/>
    <m/>
    <m/>
    <m/>
    <m/>
    <m/>
    <m/>
    <m/>
    <m/>
    <m/>
    <m/>
    <m/>
    <m/>
    <m/>
    <m/>
    <m/>
    <m/>
    <m/>
    <m/>
    <m/>
    <m/>
    <m/>
  </r>
  <r>
    <x v="178"/>
    <n v="2007"/>
    <x v="29"/>
    <s v="Latin America and Caribbean"/>
    <m/>
    <s v="Mining"/>
    <s v="yes"/>
    <s v="no"/>
    <s v="no"/>
    <s v="Selenium (metal, refined)"/>
    <s v="detailed"/>
    <s v="detailed Mining"/>
    <n v="60000"/>
    <m/>
    <m/>
    <m/>
    <m/>
    <s v="t"/>
    <n v="72532.14342404627"/>
    <s v="US$/t"/>
    <s v="Volume from USGS Mineral Yearbook 2011. Price from the USGS Mineral Commodity Summary 2009, and is the price for the refined product in the US."/>
    <n v="4351928605.4427757"/>
    <m/>
    <m/>
    <m/>
    <m/>
    <m/>
    <m/>
    <m/>
    <m/>
    <m/>
    <m/>
    <m/>
    <m/>
    <m/>
    <m/>
    <m/>
    <m/>
    <m/>
    <m/>
    <m/>
    <m/>
    <m/>
    <m/>
    <m/>
    <m/>
    <m/>
    <m/>
    <m/>
    <m/>
    <m/>
    <m/>
    <m/>
    <m/>
    <m/>
    <m/>
    <m/>
    <m/>
    <m/>
    <m/>
    <m/>
    <m/>
    <m/>
    <m/>
    <m/>
    <m/>
    <m/>
  </r>
  <r>
    <x v="178"/>
    <n v="2007"/>
    <x v="29"/>
    <s v="Latin America and Caribbean"/>
    <m/>
    <s v="Mining"/>
    <s v="yes"/>
    <s v="no"/>
    <s v="no"/>
    <s v="Shell"/>
    <s v="detailed"/>
    <s v="detailed Mining"/>
    <n v="4000"/>
    <m/>
    <m/>
    <m/>
    <m/>
    <s v="t"/>
    <n v="8.4700000000000006"/>
    <s v="US$/t"/>
    <s v="Volume from USGS Mineral Yearbook 2008. Price from USGS Mineral Yearbook 2007, and is the price in the US for crushed shell."/>
    <n v="33880"/>
    <m/>
    <m/>
    <m/>
    <m/>
    <m/>
    <m/>
    <m/>
    <m/>
    <m/>
    <m/>
    <m/>
    <m/>
    <m/>
    <m/>
    <m/>
    <m/>
    <m/>
    <m/>
    <m/>
    <m/>
    <m/>
    <m/>
    <m/>
    <m/>
    <m/>
    <m/>
    <m/>
    <m/>
    <m/>
    <m/>
    <m/>
    <m/>
    <m/>
    <m/>
    <m/>
    <m/>
    <m/>
    <m/>
    <m/>
    <m/>
    <m/>
    <m/>
    <m/>
    <m/>
    <m/>
  </r>
  <r>
    <x v="178"/>
    <n v="2007"/>
    <x v="29"/>
    <s v="Latin America and Caribbean"/>
    <m/>
    <s v="Mining"/>
    <s v="yes"/>
    <s v="no"/>
    <s v="no"/>
    <s v="Silver"/>
    <s v="detailed"/>
    <s v="detailed Mining"/>
    <n v="112559763.8466"/>
    <m/>
    <m/>
    <m/>
    <m/>
    <s v="toz"/>
    <n v="13.391975"/>
    <s v="US$/toz"/>
    <s v="Volume from USGS Mineral Yearbook 2011. Price from World Bank (Global Economic Monitor (GEM) Commodities database), and is defined as: Silver (Handy &amp; Harman), 99.9% grade refined, New York."/>
    <n v="1507397543.4395711"/>
    <m/>
    <m/>
    <m/>
    <m/>
    <m/>
    <s v="53% of production volume"/>
    <m/>
    <m/>
    <m/>
    <m/>
    <m/>
    <m/>
    <m/>
    <m/>
    <m/>
    <m/>
    <n v="16"/>
    <s v="Compañía de Minas Buenaventura S.A.A., Compañía Minera Antamina S.A., Empresa Minera Los Quenuales S.A., Southern Perú Copper Corporation Sucursal del Perú, Sociedad Minera El Brocal S.A.A., Minera Yanacocha S.R.L., Pan American Silver S.A.C. Mina Quiruvilca, Compañía Minera Milpo S.A.A., Compañía Minera Raura S.A., Minera Barrick Misquichilca S.A., Xstrata Tintaya S.A., Compañía Minera Argentum S.A., Cedimin S.A.C., Inversiones Mineras del Sur S.A., Minera Bateas S.A.C."/>
    <n v="16"/>
    <m/>
    <m/>
    <m/>
    <m/>
    <m/>
    <m/>
    <m/>
    <m/>
    <m/>
    <m/>
    <m/>
    <m/>
    <m/>
    <m/>
    <m/>
    <m/>
    <m/>
    <m/>
    <m/>
    <m/>
    <m/>
    <m/>
    <m/>
    <m/>
    <m/>
    <m/>
  </r>
  <r>
    <x v="178"/>
    <n v="2007"/>
    <x v="29"/>
    <s v="Latin America and Caribbean"/>
    <m/>
    <s v="Mining"/>
    <s v="yes"/>
    <s v="no"/>
    <s v="no"/>
    <s v="o/w Native"/>
    <s v="detailed"/>
    <s v="detailed Mining"/>
    <n v="100"/>
    <m/>
    <m/>
    <m/>
    <m/>
    <s v="t"/>
    <m/>
    <m/>
    <s v="Volume from USGS Mineral Yearbook 2011"/>
    <m/>
    <m/>
    <m/>
    <m/>
    <m/>
    <m/>
    <m/>
    <m/>
    <m/>
    <m/>
    <m/>
    <m/>
    <m/>
    <m/>
    <m/>
    <m/>
    <m/>
    <m/>
    <m/>
    <m/>
    <m/>
    <m/>
    <m/>
    <m/>
    <m/>
    <m/>
    <m/>
    <m/>
    <m/>
    <m/>
    <m/>
    <m/>
    <m/>
    <m/>
    <m/>
    <m/>
    <m/>
    <m/>
    <m/>
    <m/>
    <m/>
    <m/>
    <m/>
    <m/>
    <m/>
    <m/>
  </r>
  <r>
    <x v="178"/>
    <n v="2007"/>
    <x v="29"/>
    <s v="Latin America and Caribbean"/>
    <m/>
    <s v="Mining"/>
    <s v="yes"/>
    <s v="no"/>
    <s v="no"/>
    <s v="o/w Sulfuric acid"/>
    <s v="detailed"/>
    <s v="detailed Mining"/>
    <n v="623000"/>
    <m/>
    <m/>
    <m/>
    <m/>
    <s v="t"/>
    <m/>
    <m/>
    <s v="Volume from USGS Mineral Yearbook 2011"/>
    <m/>
    <m/>
    <m/>
    <m/>
    <m/>
    <m/>
    <m/>
    <m/>
    <m/>
    <m/>
    <m/>
    <m/>
    <m/>
    <m/>
    <m/>
    <m/>
    <m/>
    <m/>
    <m/>
    <m/>
    <m/>
    <m/>
    <m/>
    <m/>
    <m/>
    <m/>
    <m/>
    <m/>
    <m/>
    <m/>
    <m/>
    <m/>
    <m/>
    <m/>
    <m/>
    <m/>
    <m/>
    <m/>
    <m/>
    <m/>
    <m/>
    <m/>
    <m/>
    <m/>
    <m/>
    <m/>
  </r>
  <r>
    <x v="178"/>
    <n v="2007"/>
    <x v="29"/>
    <s v="Latin America and Caribbean"/>
    <m/>
    <s v="Mining"/>
    <s v="yes"/>
    <s v="no"/>
    <s v="no"/>
    <s v="Tellurium (metal)"/>
    <s v="detailed"/>
    <s v="detailed Mining"/>
    <n v="35000"/>
    <m/>
    <m/>
    <m/>
    <m/>
    <s v="t"/>
    <n v="82000"/>
    <s v="US$/t"/>
    <s v="Volume from USGS Mineral Yearbook 2011. Price is from the USGS Mineral Commodity Summary 2009, and is the price for a lump and powder product of minimum 99.95% quality in the US."/>
    <n v="2870000000"/>
    <m/>
    <m/>
    <m/>
    <m/>
    <m/>
    <m/>
    <m/>
    <m/>
    <m/>
    <m/>
    <m/>
    <m/>
    <m/>
    <m/>
    <m/>
    <m/>
    <m/>
    <m/>
    <m/>
    <m/>
    <m/>
    <m/>
    <m/>
    <m/>
    <m/>
    <m/>
    <m/>
    <m/>
    <m/>
    <m/>
    <m/>
    <m/>
    <m/>
    <m/>
    <m/>
    <m/>
    <m/>
    <m/>
    <m/>
    <m/>
    <m/>
    <m/>
    <m/>
    <m/>
    <m/>
  </r>
  <r>
    <x v="178"/>
    <n v="2007"/>
    <x v="29"/>
    <s v="Latin America and Caribbean"/>
    <m/>
    <s v="Mining"/>
    <s v="yes"/>
    <s v="no"/>
    <s v="no"/>
    <s v="Tin"/>
    <s v="detailed"/>
    <s v="detailed Mining"/>
    <m/>
    <m/>
    <m/>
    <m/>
    <m/>
    <m/>
    <n v="14536.834500000001"/>
    <s v="US$/t"/>
    <s v="Price from World Bank (Global Economic Monitor (GEM) Commodities database), and is defined as: Tin (LME), refined, 99.85% purity, settlement price"/>
    <n v="523384189.33800006"/>
    <m/>
    <m/>
    <m/>
    <m/>
    <m/>
    <s v="100% of production volume"/>
    <m/>
    <m/>
    <m/>
    <m/>
    <m/>
    <m/>
    <m/>
    <m/>
    <m/>
    <m/>
    <n v="1"/>
    <s v="Minsur S.A."/>
    <n v="1"/>
    <m/>
    <m/>
    <m/>
    <m/>
    <m/>
    <m/>
    <m/>
    <m/>
    <m/>
    <m/>
    <m/>
    <m/>
    <m/>
    <m/>
    <m/>
    <m/>
    <m/>
    <m/>
    <m/>
    <m/>
    <m/>
    <m/>
    <m/>
    <m/>
    <m/>
    <m/>
  </r>
  <r>
    <x v="178"/>
    <n v="2007"/>
    <x v="29"/>
    <s v="Latin America and Caribbean"/>
    <m/>
    <s v="Mining"/>
    <s v="yes"/>
    <s v="no"/>
    <s v="no"/>
    <s v="o/w Tin content of mine output"/>
    <s v="detailed"/>
    <s v="detailed Mining"/>
    <n v="39019"/>
    <m/>
    <m/>
    <m/>
    <m/>
    <s v="t"/>
    <m/>
    <m/>
    <s v="Volume from USGS Mineral Yearbook 2011"/>
    <m/>
    <m/>
    <m/>
    <m/>
    <m/>
    <m/>
    <m/>
    <m/>
    <m/>
    <m/>
    <m/>
    <m/>
    <m/>
    <m/>
    <m/>
    <m/>
    <m/>
    <m/>
    <m/>
    <m/>
    <m/>
    <m/>
    <m/>
    <m/>
    <m/>
    <m/>
    <m/>
    <m/>
    <m/>
    <m/>
    <m/>
    <m/>
    <m/>
    <m/>
    <m/>
    <m/>
    <m/>
    <m/>
    <m/>
    <m/>
    <m/>
    <m/>
    <m/>
    <m/>
    <m/>
    <m/>
  </r>
  <r>
    <x v="178"/>
    <n v="2007"/>
    <x v="29"/>
    <s v="Latin America and Caribbean"/>
    <m/>
    <s v="Mining"/>
    <s v="yes"/>
    <s v="no"/>
    <s v="no"/>
    <s v="o/w Metal"/>
    <s v="detailed"/>
    <s v="detailed Mining"/>
    <n v="36004"/>
    <m/>
    <m/>
    <m/>
    <m/>
    <s v="t"/>
    <m/>
    <m/>
    <s v="Volume from USGS Mineral Yearbook 2011"/>
    <m/>
    <m/>
    <m/>
    <m/>
    <m/>
    <m/>
    <m/>
    <m/>
    <m/>
    <m/>
    <m/>
    <m/>
    <m/>
    <m/>
    <m/>
    <m/>
    <m/>
    <m/>
    <m/>
    <m/>
    <m/>
    <m/>
    <m/>
    <m/>
    <m/>
    <m/>
    <m/>
    <m/>
    <m/>
    <m/>
    <m/>
    <m/>
    <m/>
    <m/>
    <m/>
    <m/>
    <m/>
    <m/>
    <m/>
    <m/>
    <m/>
    <m/>
    <m/>
    <m/>
    <m/>
    <m/>
  </r>
  <r>
    <x v="178"/>
    <n v="2007"/>
    <x v="29"/>
    <s v="Latin America and Caribbean"/>
    <m/>
    <s v="Mining"/>
    <s v="yes"/>
    <s v="no"/>
    <s v="no"/>
    <s v="Zinc"/>
    <s v="detailed"/>
    <s v="detailed Mining"/>
    <m/>
    <m/>
    <m/>
    <m/>
    <m/>
    <m/>
    <n v="3242.3575833333298"/>
    <s v="US$/t"/>
    <s v="Price from World Bank (Global Economic Monitor (GEM) Commodities database), and is defined as: Zinc (LME), high grade, minimum 99.95% purity, settlement price beginning April 1990; previously special high grade, minimum 99.995%, cash prices"/>
    <n v="526477812.5937494"/>
    <m/>
    <m/>
    <m/>
    <m/>
    <m/>
    <s v="56% of production volume"/>
    <m/>
    <m/>
    <m/>
    <m/>
    <m/>
    <m/>
    <m/>
    <m/>
    <m/>
    <m/>
    <n v="10"/>
    <s v="Compañía Minera Antamina S.A.,  Empresa Minera Los Quenuales S.A., Compañía Minera Milpo S.A.A., Sociedad Minera El Brocal S.A.A., Compañía Minera Raura S.A., Perubar S.A., Pan American Silver S.A.C. Mina Quiruvilca, Compañía de Minas Buenaventura S.A.A., Compañía Minera Argentum S.A., Minera Bateas S.A.C., Perubar S.A., "/>
    <n v="10"/>
    <m/>
    <m/>
    <m/>
    <m/>
    <m/>
    <m/>
    <m/>
    <m/>
    <m/>
    <m/>
    <m/>
    <m/>
    <m/>
    <m/>
    <m/>
    <m/>
    <m/>
    <m/>
    <m/>
    <m/>
    <m/>
    <m/>
    <m/>
    <m/>
    <m/>
    <m/>
  </r>
  <r>
    <x v="178"/>
    <n v="2007"/>
    <x v="29"/>
    <s v="Latin America and Caribbean"/>
    <m/>
    <s v="Mining"/>
    <s v="yes"/>
    <s v="no"/>
    <s v="no"/>
    <s v="o/w Zinc content of mine output"/>
    <s v="detailed"/>
    <s v="detailed Mining"/>
    <n v="1444381"/>
    <m/>
    <m/>
    <m/>
    <m/>
    <s v="t"/>
    <m/>
    <m/>
    <s v="Volume from USGS Mineral Yearbook 2011"/>
    <m/>
    <m/>
    <m/>
    <m/>
    <m/>
    <m/>
    <m/>
    <m/>
    <m/>
    <m/>
    <m/>
    <m/>
    <m/>
    <m/>
    <m/>
    <m/>
    <m/>
    <m/>
    <m/>
    <m/>
    <m/>
    <m/>
    <m/>
    <m/>
    <m/>
    <m/>
    <m/>
    <m/>
    <m/>
    <m/>
    <m/>
    <m/>
    <m/>
    <m/>
    <m/>
    <m/>
    <m/>
    <m/>
    <m/>
    <m/>
    <m/>
    <m/>
    <m/>
    <m/>
    <m/>
    <m/>
  </r>
  <r>
    <x v="178"/>
    <n v="2007"/>
    <x v="29"/>
    <s v="Latin America and Caribbean"/>
    <m/>
    <s v="Mining"/>
    <s v="yes"/>
    <s v="no"/>
    <s v="no"/>
    <s v="o/w Metal"/>
    <s v="detailed"/>
    <s v="detailed Mining"/>
    <n v="162375"/>
    <m/>
    <m/>
    <m/>
    <m/>
    <s v="t"/>
    <m/>
    <m/>
    <s v="Volume from USGS Mineral Yearbook 2011"/>
    <m/>
    <m/>
    <m/>
    <m/>
    <m/>
    <m/>
    <m/>
    <m/>
    <m/>
    <m/>
    <m/>
    <m/>
    <m/>
    <m/>
    <m/>
    <m/>
    <m/>
    <m/>
    <m/>
    <m/>
    <m/>
    <m/>
    <m/>
    <m/>
    <m/>
    <m/>
    <m/>
    <m/>
    <m/>
    <m/>
    <m/>
    <m/>
    <m/>
    <m/>
    <m/>
    <m/>
    <m/>
    <m/>
    <m/>
    <m/>
    <m/>
    <m/>
    <m/>
    <m/>
    <m/>
    <m/>
  </r>
  <r>
    <x v="179"/>
    <n v="2008"/>
    <x v="29"/>
    <s v="Latin America and Caribbean"/>
    <s v="http://eitiperu.minem.gob.pe/"/>
    <s v="Oil, Gas, Mining"/>
    <s v="yes"/>
    <s v="yes"/>
    <s v="yes"/>
    <s v="Total"/>
    <s v="Total"/>
    <s v="Total Oil, Gas, Mining"/>
    <m/>
    <m/>
    <m/>
    <m/>
    <m/>
    <m/>
    <m/>
    <m/>
    <m/>
    <n v="26830570791.299999"/>
    <s v="Profits/Taxes, Royalties, Licenses and concessions"/>
    <s v="Does not include payments made in-kind"/>
    <s v="-"/>
    <n v="3573697357.7190704"/>
    <n v="3573963810.1613121"/>
    <m/>
    <m/>
    <m/>
    <n v="0.15273976956230409"/>
    <s v="United States Dollar and the Peruvian neuvo sol"/>
    <n v="2.9260000000000002"/>
    <s v="Disaggregated by revenue stream"/>
    <m/>
    <m/>
    <m/>
    <m/>
    <n v="51"/>
    <s v="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Pacific Stratus Energy S.A. PeruDivision, Savia Perú S.A., Pluspetrol Lote 56 S.A, Interoil Perú S.A., Sonatrach Perú Corporation S.A.C,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
    <n v="51"/>
    <d v="2011-12-01T00:00:00"/>
    <d v="2014-09-17T00:00:00"/>
    <s v="Ernst &amp; Young"/>
    <s v="http://eiti.org/files/Peru%202008-2010%20EITI%20Report.pdf"/>
    <s v="76-78"/>
    <s v="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88% of national oil &amp; gas production and 87% of national mining production in 2008, which is given in the report as US$5,469,782,913 and US$21,360,787,879.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
    <m/>
    <m/>
    <m/>
    <m/>
    <m/>
    <m/>
    <m/>
    <m/>
    <m/>
    <m/>
    <m/>
    <m/>
    <m/>
    <m/>
    <m/>
    <m/>
    <m/>
    <m/>
    <m/>
    <m/>
  </r>
  <r>
    <x v="179"/>
    <n v="2008"/>
    <x v="29"/>
    <s v="Latin America and Caribbean"/>
    <m/>
    <s v="Oil, Gas"/>
    <s v="no"/>
    <s v="yes"/>
    <s v="yes"/>
    <s v="Total Oil &amp; Gas"/>
    <s v="Total"/>
    <s v="Total Oil, Gas"/>
    <m/>
    <m/>
    <m/>
    <m/>
    <m/>
    <m/>
    <m/>
    <m/>
    <m/>
    <n v="5469782912.6199999"/>
    <m/>
    <m/>
    <m/>
    <n v="1242636379.2378674"/>
    <n v="1242653558.2378674"/>
    <s v="88% of production value"/>
    <m/>
    <m/>
    <n v="0.25816139637470598"/>
    <m/>
    <m/>
    <m/>
    <m/>
    <m/>
    <m/>
    <m/>
    <n v="18"/>
    <s v="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Compañía de Minas Buenaventura S.A.A., Pacific Stratus Energy S.A. PeruDivision, Savia Perú S.A., Pluspetrol Lote 56 S.A, Interoil Perú S.A., Sonatrach Perú Corporation S.A.C"/>
    <n v="18"/>
    <m/>
    <m/>
    <m/>
    <m/>
    <n v="10"/>
    <m/>
    <m/>
    <m/>
    <m/>
    <m/>
    <m/>
    <m/>
    <m/>
    <m/>
    <m/>
    <m/>
    <m/>
    <m/>
    <m/>
    <m/>
    <m/>
    <m/>
    <m/>
    <m/>
    <m/>
    <m/>
  </r>
  <r>
    <x v="179"/>
    <n v="2008"/>
    <x v="29"/>
    <s v="Latin America and Caribbean"/>
    <m/>
    <s v="Gas"/>
    <s v="no"/>
    <s v="yes"/>
    <s v="no"/>
    <s v="Gas"/>
    <s v="detailed"/>
    <s v="detailed Gas"/>
    <m/>
    <m/>
    <m/>
    <m/>
    <m/>
    <m/>
    <m/>
    <m/>
    <m/>
    <m/>
    <m/>
    <m/>
    <m/>
    <m/>
    <m/>
    <m/>
    <m/>
    <m/>
    <m/>
    <m/>
    <m/>
    <m/>
    <m/>
    <m/>
    <m/>
    <m/>
    <m/>
    <m/>
    <m/>
    <m/>
    <m/>
    <m/>
    <m/>
    <m/>
    <m/>
    <m/>
    <m/>
    <m/>
    <m/>
    <m/>
    <m/>
    <m/>
    <m/>
    <m/>
    <m/>
    <m/>
    <m/>
    <m/>
    <m/>
    <m/>
    <m/>
    <m/>
    <m/>
    <m/>
    <m/>
  </r>
  <r>
    <x v="179"/>
    <n v="2008"/>
    <x v="29"/>
    <s v="Latin America and Caribbean"/>
    <m/>
    <s v="Oil"/>
    <s v="no"/>
    <s v="no"/>
    <s v="yes"/>
    <s v="Oil"/>
    <s v="detailed"/>
    <s v="detailed Oil"/>
    <m/>
    <m/>
    <m/>
    <m/>
    <m/>
    <m/>
    <m/>
    <m/>
    <m/>
    <m/>
    <m/>
    <m/>
    <m/>
    <m/>
    <m/>
    <m/>
    <m/>
    <m/>
    <m/>
    <m/>
    <m/>
    <m/>
    <m/>
    <m/>
    <m/>
    <m/>
    <m/>
    <m/>
    <m/>
    <m/>
    <m/>
    <m/>
    <m/>
    <m/>
    <m/>
    <m/>
    <m/>
    <m/>
    <m/>
    <m/>
    <m/>
    <m/>
    <m/>
    <m/>
    <m/>
    <m/>
    <m/>
    <m/>
    <m/>
    <m/>
    <m/>
    <m/>
    <m/>
    <m/>
    <m/>
  </r>
  <r>
    <x v="179"/>
    <n v="2008"/>
    <x v="29"/>
    <s v="Latin America and Caribbean"/>
    <m/>
    <s v="Mining"/>
    <s v="yes"/>
    <s v="no"/>
    <s v="no"/>
    <s v="Total Mining"/>
    <s v="Total"/>
    <s v="Total Mining"/>
    <m/>
    <m/>
    <m/>
    <m/>
    <m/>
    <m/>
    <m/>
    <m/>
    <m/>
    <n v="21360787878.68"/>
    <m/>
    <m/>
    <m/>
    <n v="2331060978.4812031"/>
    <n v="2331310251.9234447"/>
    <s v="87% of production value"/>
    <m/>
    <m/>
    <n v="0.12543453220235054"/>
    <m/>
    <m/>
    <m/>
    <m/>
    <m/>
    <m/>
    <m/>
    <n v="33"/>
    <s v="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
    <n v="33"/>
    <m/>
    <m/>
    <m/>
    <m/>
    <n v="10"/>
    <m/>
    <m/>
    <m/>
    <m/>
    <m/>
    <m/>
    <m/>
    <m/>
    <m/>
    <m/>
    <m/>
    <m/>
    <m/>
    <m/>
    <m/>
    <m/>
    <m/>
    <m/>
    <m/>
    <m/>
    <m/>
  </r>
  <r>
    <x v="179"/>
    <n v="2008"/>
    <x v="29"/>
    <s v="Latin America and Caribbean"/>
    <m/>
    <s v="Mining"/>
    <s v="yes"/>
    <s v="no"/>
    <s v="no"/>
    <s v="Antimony (metal)"/>
    <s v="detailed"/>
    <s v="detailed Mining"/>
    <m/>
    <m/>
    <m/>
    <m/>
    <m/>
    <m/>
    <m/>
    <m/>
    <m/>
    <m/>
    <m/>
    <m/>
    <m/>
    <m/>
    <m/>
    <m/>
    <m/>
    <m/>
    <m/>
    <m/>
    <m/>
    <m/>
    <m/>
    <m/>
    <m/>
    <m/>
    <m/>
    <m/>
    <m/>
    <m/>
    <m/>
    <m/>
    <m/>
    <m/>
    <m/>
    <m/>
    <m/>
    <m/>
    <m/>
    <m/>
    <m/>
    <m/>
    <m/>
    <m/>
    <m/>
    <m/>
    <m/>
    <m/>
    <m/>
    <m/>
    <m/>
    <m/>
    <m/>
    <m/>
    <m/>
  </r>
  <r>
    <x v="179"/>
    <n v="2008"/>
    <x v="29"/>
    <s v="Latin America and Caribbean"/>
    <m/>
    <s v="Mining"/>
    <s v="yes"/>
    <s v="no"/>
    <s v="no"/>
    <s v="Arsenic (white)"/>
    <s v="detailed"/>
    <s v="detailed Mining"/>
    <m/>
    <m/>
    <m/>
    <m/>
    <m/>
    <m/>
    <m/>
    <m/>
    <m/>
    <m/>
    <m/>
    <m/>
    <m/>
    <m/>
    <m/>
    <m/>
    <m/>
    <m/>
    <m/>
    <m/>
    <m/>
    <m/>
    <m/>
    <m/>
    <m/>
    <m/>
    <m/>
    <m/>
    <m/>
    <m/>
    <m/>
    <m/>
    <m/>
    <m/>
    <m/>
    <m/>
    <m/>
    <m/>
    <m/>
    <m/>
    <m/>
    <m/>
    <m/>
    <m/>
    <m/>
    <m/>
    <m/>
    <m/>
    <m/>
    <m/>
    <m/>
    <m/>
    <m/>
    <m/>
    <m/>
  </r>
  <r>
    <x v="179"/>
    <n v="2008"/>
    <x v="29"/>
    <s v="Latin America and Caribbean"/>
    <m/>
    <s v="Mining"/>
    <s v="yes"/>
    <s v="no"/>
    <s v="no"/>
    <s v="Barite"/>
    <s v="detailed"/>
    <s v="detailed Mining"/>
    <m/>
    <m/>
    <m/>
    <m/>
    <m/>
    <m/>
    <m/>
    <m/>
    <m/>
    <m/>
    <m/>
    <m/>
    <m/>
    <m/>
    <m/>
    <m/>
    <m/>
    <m/>
    <m/>
    <m/>
    <m/>
    <m/>
    <m/>
    <m/>
    <m/>
    <m/>
    <m/>
    <m/>
    <m/>
    <m/>
    <m/>
    <m/>
    <m/>
    <m/>
    <m/>
    <m/>
    <m/>
    <m/>
    <m/>
    <m/>
    <m/>
    <m/>
    <m/>
    <m/>
    <m/>
    <m/>
    <m/>
    <m/>
    <m/>
    <m/>
    <m/>
    <m/>
    <m/>
    <m/>
    <m/>
  </r>
  <r>
    <x v="179"/>
    <n v="2008"/>
    <x v="29"/>
    <s v="Latin America and Caribbean"/>
    <m/>
    <s v="Mining"/>
    <s v="yes"/>
    <s v="no"/>
    <s v="no"/>
    <s v="Bentonite clay"/>
    <s v="detailed"/>
    <s v="detailed Mining"/>
    <m/>
    <m/>
    <m/>
    <m/>
    <m/>
    <m/>
    <m/>
    <m/>
    <m/>
    <m/>
    <m/>
    <m/>
    <m/>
    <m/>
    <m/>
    <m/>
    <m/>
    <m/>
    <m/>
    <m/>
    <m/>
    <m/>
    <m/>
    <m/>
    <m/>
    <m/>
    <m/>
    <m/>
    <m/>
    <m/>
    <m/>
    <m/>
    <m/>
    <m/>
    <m/>
    <m/>
    <m/>
    <m/>
    <m/>
    <m/>
    <m/>
    <m/>
    <m/>
    <m/>
    <m/>
    <m/>
    <m/>
    <m/>
    <m/>
    <m/>
    <m/>
    <m/>
    <m/>
    <m/>
    <m/>
  </r>
  <r>
    <x v="179"/>
    <n v="2008"/>
    <x v="29"/>
    <s v="Latin America and Caribbean"/>
    <m/>
    <s v="Mining"/>
    <s v="yes"/>
    <s v="no"/>
    <s v="no"/>
    <s v="Bismuth (metal)"/>
    <s v="detailed"/>
    <s v="detailed Mining"/>
    <m/>
    <m/>
    <m/>
    <m/>
    <m/>
    <m/>
    <m/>
    <m/>
    <m/>
    <m/>
    <m/>
    <m/>
    <m/>
    <m/>
    <m/>
    <m/>
    <m/>
    <m/>
    <m/>
    <m/>
    <m/>
    <m/>
    <m/>
    <m/>
    <m/>
    <m/>
    <m/>
    <m/>
    <m/>
    <m/>
    <m/>
    <m/>
    <m/>
    <m/>
    <m/>
    <m/>
    <m/>
    <m/>
    <m/>
    <m/>
    <m/>
    <m/>
    <m/>
    <m/>
    <m/>
    <m/>
    <m/>
    <m/>
    <m/>
    <m/>
    <m/>
    <m/>
    <m/>
    <m/>
    <m/>
  </r>
  <r>
    <x v="179"/>
    <n v="2008"/>
    <x v="29"/>
    <s v="Latin America and Caribbean"/>
    <m/>
    <s v="Mining"/>
    <s v="yes"/>
    <s v="no"/>
    <s v="no"/>
    <s v="Boron materials (crude)"/>
    <s v="detailed"/>
    <s v="detailed Mining"/>
    <m/>
    <m/>
    <m/>
    <m/>
    <m/>
    <m/>
    <m/>
    <m/>
    <m/>
    <m/>
    <m/>
    <m/>
    <m/>
    <m/>
    <m/>
    <m/>
    <m/>
    <m/>
    <m/>
    <m/>
    <m/>
    <m/>
    <m/>
    <m/>
    <m/>
    <m/>
    <m/>
    <m/>
    <m/>
    <m/>
    <m/>
    <m/>
    <m/>
    <m/>
    <m/>
    <m/>
    <m/>
    <m/>
    <m/>
    <m/>
    <m/>
    <m/>
    <m/>
    <m/>
    <m/>
    <m/>
    <m/>
    <m/>
    <m/>
    <m/>
    <m/>
    <m/>
    <m/>
    <m/>
    <m/>
  </r>
  <r>
    <x v="179"/>
    <n v="2008"/>
    <x v="29"/>
    <s v="Latin America and Caribbean"/>
    <m/>
    <s v="Mining"/>
    <s v="yes"/>
    <s v="no"/>
    <s v="no"/>
    <s v="Cadmium (metal)"/>
    <s v="detailed"/>
    <s v="detailed Mining"/>
    <m/>
    <m/>
    <m/>
    <m/>
    <m/>
    <m/>
    <m/>
    <m/>
    <m/>
    <m/>
    <m/>
    <m/>
    <m/>
    <m/>
    <m/>
    <m/>
    <m/>
    <m/>
    <m/>
    <m/>
    <m/>
    <m/>
    <m/>
    <m/>
    <m/>
    <m/>
    <m/>
    <m/>
    <m/>
    <m/>
    <m/>
    <m/>
    <m/>
    <m/>
    <m/>
    <m/>
    <m/>
    <m/>
    <m/>
    <m/>
    <m/>
    <m/>
    <m/>
    <m/>
    <m/>
    <m/>
    <m/>
    <m/>
    <m/>
    <m/>
    <m/>
    <m/>
    <m/>
    <m/>
    <m/>
  </r>
  <r>
    <x v="179"/>
    <n v="2008"/>
    <x v="29"/>
    <s v="Latin America and Caribbean"/>
    <m/>
    <s v="Mining"/>
    <s v="yes"/>
    <s v="no"/>
    <s v="no"/>
    <s v="Cement"/>
    <s v="detailed"/>
    <s v="detailed Mining"/>
    <m/>
    <m/>
    <m/>
    <m/>
    <m/>
    <m/>
    <m/>
    <m/>
    <m/>
    <m/>
    <m/>
    <m/>
    <m/>
    <m/>
    <m/>
    <m/>
    <m/>
    <m/>
    <m/>
    <m/>
    <m/>
    <m/>
    <m/>
    <m/>
    <m/>
    <m/>
    <m/>
    <m/>
    <m/>
    <m/>
    <m/>
    <m/>
    <m/>
    <m/>
    <m/>
    <m/>
    <m/>
    <m/>
    <m/>
    <m/>
    <m/>
    <m/>
    <m/>
    <m/>
    <m/>
    <m/>
    <m/>
    <m/>
    <m/>
    <m/>
    <m/>
    <m/>
    <m/>
    <m/>
    <m/>
  </r>
  <r>
    <x v="179"/>
    <n v="2008"/>
    <x v="29"/>
    <s v="Latin America and Caribbean"/>
    <m/>
    <s v="Mining"/>
    <s v="yes"/>
    <s v="no"/>
    <s v="no"/>
    <s v="Chalk"/>
    <s v="detailed"/>
    <s v="detailed Mining"/>
    <m/>
    <m/>
    <m/>
    <m/>
    <m/>
    <m/>
    <m/>
    <m/>
    <m/>
    <m/>
    <m/>
    <m/>
    <m/>
    <m/>
    <m/>
    <m/>
    <m/>
    <m/>
    <m/>
    <m/>
    <m/>
    <m/>
    <m/>
    <m/>
    <m/>
    <m/>
    <m/>
    <m/>
    <m/>
    <m/>
    <m/>
    <m/>
    <m/>
    <m/>
    <m/>
    <m/>
    <m/>
    <m/>
    <m/>
    <m/>
    <m/>
    <m/>
    <m/>
    <m/>
    <m/>
    <m/>
    <m/>
    <m/>
    <m/>
    <m/>
    <m/>
    <m/>
    <m/>
    <m/>
    <m/>
  </r>
  <r>
    <x v="179"/>
    <n v="2008"/>
    <x v="29"/>
    <s v="Latin America and Caribbean"/>
    <m/>
    <s v="Mining"/>
    <s v="yes"/>
    <s v="no"/>
    <s v="no"/>
    <s v="Coal"/>
    <s v="detailed"/>
    <s v="detailed Mining"/>
    <m/>
    <m/>
    <m/>
    <m/>
    <m/>
    <m/>
    <m/>
    <m/>
    <m/>
    <m/>
    <m/>
    <m/>
    <m/>
    <m/>
    <m/>
    <m/>
    <m/>
    <m/>
    <m/>
    <m/>
    <m/>
    <m/>
    <m/>
    <m/>
    <m/>
    <m/>
    <m/>
    <m/>
    <m/>
    <m/>
    <m/>
    <m/>
    <m/>
    <m/>
    <m/>
    <m/>
    <m/>
    <m/>
    <m/>
    <m/>
    <m/>
    <m/>
    <m/>
    <m/>
    <m/>
    <m/>
    <m/>
    <m/>
    <m/>
    <m/>
    <m/>
    <m/>
    <m/>
    <m/>
    <m/>
  </r>
  <r>
    <x v="179"/>
    <n v="2008"/>
    <x v="29"/>
    <s v="Latin America and Caribbean"/>
    <m/>
    <s v="Mining"/>
    <s v="yes"/>
    <s v="no"/>
    <s v="no"/>
    <s v="Common clay"/>
    <s v="detailed"/>
    <s v="detailed Mining"/>
    <m/>
    <m/>
    <m/>
    <m/>
    <m/>
    <m/>
    <m/>
    <m/>
    <m/>
    <m/>
    <m/>
    <m/>
    <m/>
    <m/>
    <m/>
    <m/>
    <m/>
    <m/>
    <m/>
    <m/>
    <m/>
    <m/>
    <m/>
    <m/>
    <m/>
    <m/>
    <m/>
    <m/>
    <m/>
    <m/>
    <m/>
    <m/>
    <m/>
    <m/>
    <m/>
    <m/>
    <m/>
    <m/>
    <m/>
    <m/>
    <m/>
    <m/>
    <m/>
    <m/>
    <m/>
    <m/>
    <m/>
    <m/>
    <m/>
    <m/>
    <m/>
    <m/>
    <m/>
    <m/>
    <m/>
  </r>
  <r>
    <x v="179"/>
    <n v="2008"/>
    <x v="29"/>
    <s v="Latin America and Caribbean"/>
    <m/>
    <s v="Mining"/>
    <s v="yes"/>
    <s v="no"/>
    <s v="no"/>
    <s v="Copper"/>
    <s v="detailed"/>
    <s v="detailed Mining"/>
    <m/>
    <m/>
    <m/>
    <m/>
    <m/>
    <m/>
    <m/>
    <m/>
    <m/>
    <m/>
    <m/>
    <m/>
    <m/>
    <m/>
    <m/>
    <m/>
    <m/>
    <m/>
    <m/>
    <m/>
    <m/>
    <m/>
    <m/>
    <m/>
    <m/>
    <m/>
    <m/>
    <m/>
    <m/>
    <m/>
    <m/>
    <m/>
    <m/>
    <m/>
    <m/>
    <m/>
    <m/>
    <m/>
    <m/>
    <m/>
    <m/>
    <m/>
    <m/>
    <m/>
    <m/>
    <m/>
    <m/>
    <m/>
    <m/>
    <m/>
    <m/>
    <m/>
    <m/>
    <m/>
    <m/>
  </r>
  <r>
    <x v="179"/>
    <n v="2008"/>
    <x v="29"/>
    <s v="Latin America and Caribbean"/>
    <m/>
    <s v="Mining"/>
    <s v="yes"/>
    <s v="no"/>
    <s v="no"/>
    <s v="Diatomite"/>
    <s v="detailed"/>
    <s v="detailed Mining"/>
    <m/>
    <m/>
    <m/>
    <m/>
    <m/>
    <m/>
    <m/>
    <m/>
    <m/>
    <m/>
    <m/>
    <m/>
    <m/>
    <m/>
    <m/>
    <m/>
    <m/>
    <m/>
    <m/>
    <m/>
    <m/>
    <m/>
    <m/>
    <m/>
    <m/>
    <m/>
    <m/>
    <m/>
    <m/>
    <m/>
    <m/>
    <m/>
    <m/>
    <m/>
    <m/>
    <m/>
    <m/>
    <m/>
    <m/>
    <m/>
    <m/>
    <m/>
    <m/>
    <m/>
    <m/>
    <m/>
    <m/>
    <m/>
    <m/>
    <m/>
    <m/>
    <m/>
    <m/>
    <m/>
    <m/>
  </r>
  <r>
    <x v="179"/>
    <n v="2008"/>
    <x v="29"/>
    <s v="Latin America and Caribbean"/>
    <m/>
    <s v="Mining"/>
    <s v="yes"/>
    <s v="no"/>
    <s v="no"/>
    <s v="Dolomite "/>
    <s v="detailed"/>
    <s v="detailed Mining"/>
    <m/>
    <m/>
    <m/>
    <m/>
    <m/>
    <m/>
    <m/>
    <m/>
    <m/>
    <m/>
    <m/>
    <m/>
    <m/>
    <m/>
    <m/>
    <m/>
    <m/>
    <m/>
    <m/>
    <m/>
    <m/>
    <m/>
    <m/>
    <m/>
    <m/>
    <m/>
    <m/>
    <m/>
    <m/>
    <m/>
    <m/>
    <m/>
    <m/>
    <m/>
    <m/>
    <m/>
    <m/>
    <m/>
    <m/>
    <m/>
    <m/>
    <m/>
    <m/>
    <m/>
    <m/>
    <m/>
    <m/>
    <m/>
    <m/>
    <m/>
    <m/>
    <m/>
    <m/>
    <m/>
    <m/>
  </r>
  <r>
    <x v="179"/>
    <n v="2008"/>
    <x v="29"/>
    <s v="Latin America and Caribbean"/>
    <m/>
    <s v="Mining"/>
    <s v="yes"/>
    <s v="no"/>
    <s v="no"/>
    <s v="Feldspar"/>
    <s v="detailed"/>
    <s v="detailed Mining"/>
    <m/>
    <m/>
    <m/>
    <m/>
    <m/>
    <m/>
    <m/>
    <m/>
    <m/>
    <m/>
    <m/>
    <m/>
    <m/>
    <m/>
    <m/>
    <m/>
    <m/>
    <m/>
    <m/>
    <m/>
    <m/>
    <m/>
    <m/>
    <m/>
    <m/>
    <m/>
    <m/>
    <m/>
    <m/>
    <m/>
    <m/>
    <m/>
    <m/>
    <m/>
    <m/>
    <m/>
    <m/>
    <m/>
    <m/>
    <m/>
    <m/>
    <m/>
    <m/>
    <m/>
    <m/>
    <m/>
    <m/>
    <m/>
    <m/>
    <m/>
    <m/>
    <m/>
    <m/>
    <m/>
    <m/>
  </r>
  <r>
    <x v="179"/>
    <n v="2008"/>
    <x v="29"/>
    <s v="Latin America and Caribbean"/>
    <m/>
    <s v="Mining"/>
    <s v="yes"/>
    <s v="no"/>
    <s v="no"/>
    <s v="Fire clay"/>
    <s v="detailed"/>
    <s v="detailed Mining"/>
    <m/>
    <m/>
    <m/>
    <m/>
    <m/>
    <m/>
    <m/>
    <m/>
    <m/>
    <m/>
    <m/>
    <m/>
    <m/>
    <m/>
    <m/>
    <m/>
    <m/>
    <m/>
    <m/>
    <m/>
    <m/>
    <m/>
    <m/>
    <m/>
    <m/>
    <m/>
    <m/>
    <m/>
    <m/>
    <m/>
    <m/>
    <m/>
    <m/>
    <m/>
    <m/>
    <m/>
    <m/>
    <m/>
    <m/>
    <m/>
    <m/>
    <m/>
    <m/>
    <m/>
    <m/>
    <m/>
    <m/>
    <m/>
    <m/>
    <m/>
    <m/>
    <m/>
    <m/>
    <m/>
    <m/>
  </r>
  <r>
    <x v="179"/>
    <n v="2008"/>
    <x v="29"/>
    <s v="Latin America and Caribbean"/>
    <m/>
    <s v="Mining"/>
    <s v="yes"/>
    <s v="no"/>
    <s v="no"/>
    <s v="Flagstone"/>
    <s v="detailed"/>
    <s v="detailed Mining"/>
    <m/>
    <m/>
    <m/>
    <m/>
    <m/>
    <m/>
    <m/>
    <m/>
    <m/>
    <m/>
    <m/>
    <m/>
    <m/>
    <m/>
    <m/>
    <m/>
    <m/>
    <m/>
    <m/>
    <m/>
    <m/>
    <m/>
    <m/>
    <m/>
    <m/>
    <m/>
    <m/>
    <m/>
    <m/>
    <m/>
    <m/>
    <m/>
    <m/>
    <m/>
    <m/>
    <m/>
    <m/>
    <m/>
    <m/>
    <m/>
    <m/>
    <m/>
    <m/>
    <m/>
    <m/>
    <m/>
    <m/>
    <m/>
    <m/>
    <m/>
    <m/>
    <m/>
    <m/>
    <m/>
    <m/>
  </r>
  <r>
    <x v="179"/>
    <n v="2008"/>
    <x v="29"/>
    <s v="Latin America and Caribbean"/>
    <m/>
    <s v="Mining"/>
    <s v="yes"/>
    <s v="no"/>
    <s v="no"/>
    <s v="Gold"/>
    <s v="detailed"/>
    <s v="detailed Mining"/>
    <m/>
    <m/>
    <m/>
    <m/>
    <m/>
    <m/>
    <m/>
    <m/>
    <m/>
    <m/>
    <m/>
    <m/>
    <m/>
    <m/>
    <m/>
    <m/>
    <m/>
    <m/>
    <m/>
    <m/>
    <m/>
    <m/>
    <m/>
    <m/>
    <m/>
    <m/>
    <m/>
    <m/>
    <m/>
    <m/>
    <m/>
    <m/>
    <m/>
    <m/>
    <m/>
    <m/>
    <m/>
    <m/>
    <m/>
    <m/>
    <m/>
    <m/>
    <m/>
    <m/>
    <m/>
    <m/>
    <m/>
    <m/>
    <m/>
    <m/>
    <m/>
    <m/>
    <m/>
    <m/>
    <m/>
  </r>
  <r>
    <x v="179"/>
    <n v="2008"/>
    <x v="29"/>
    <s v="Latin America and Caribbean"/>
    <m/>
    <s v="Mining"/>
    <s v="yes"/>
    <s v="no"/>
    <s v="no"/>
    <s v="Granite"/>
    <s v="detailed"/>
    <s v="detailed Mining"/>
    <m/>
    <m/>
    <m/>
    <m/>
    <m/>
    <m/>
    <m/>
    <m/>
    <m/>
    <m/>
    <m/>
    <m/>
    <m/>
    <m/>
    <m/>
    <m/>
    <m/>
    <m/>
    <m/>
    <m/>
    <m/>
    <m/>
    <m/>
    <m/>
    <m/>
    <m/>
    <m/>
    <m/>
    <m/>
    <m/>
    <m/>
    <m/>
    <m/>
    <m/>
    <m/>
    <m/>
    <m/>
    <m/>
    <m/>
    <m/>
    <m/>
    <m/>
    <m/>
    <m/>
    <m/>
    <m/>
    <m/>
    <m/>
    <m/>
    <m/>
    <m/>
    <m/>
    <m/>
    <m/>
    <m/>
  </r>
  <r>
    <x v="179"/>
    <n v="2008"/>
    <x v="29"/>
    <s v="Latin America and Caribbean"/>
    <m/>
    <s v="Mining"/>
    <s v="yes"/>
    <s v="no"/>
    <s v="no"/>
    <s v="Gypsum (crude)"/>
    <s v="detailed"/>
    <s v="detailed Mining"/>
    <m/>
    <m/>
    <m/>
    <m/>
    <m/>
    <m/>
    <m/>
    <m/>
    <m/>
    <m/>
    <m/>
    <m/>
    <m/>
    <m/>
    <m/>
    <m/>
    <m/>
    <m/>
    <m/>
    <m/>
    <m/>
    <m/>
    <m/>
    <m/>
    <m/>
    <m/>
    <m/>
    <m/>
    <m/>
    <m/>
    <m/>
    <m/>
    <m/>
    <m/>
    <m/>
    <m/>
    <m/>
    <m/>
    <m/>
    <m/>
    <m/>
    <m/>
    <m/>
    <m/>
    <m/>
    <m/>
    <m/>
    <m/>
    <m/>
    <m/>
    <m/>
    <m/>
    <m/>
    <m/>
    <m/>
  </r>
  <r>
    <x v="179"/>
    <n v="2008"/>
    <x v="29"/>
    <s v="Latin America and Caribbean"/>
    <m/>
    <s v="Mining"/>
    <s v="yes"/>
    <s v="no"/>
    <s v="no"/>
    <s v="Indium"/>
    <s v="detailed"/>
    <s v="detailed Mining"/>
    <m/>
    <m/>
    <m/>
    <m/>
    <m/>
    <m/>
    <m/>
    <m/>
    <m/>
    <m/>
    <m/>
    <m/>
    <m/>
    <m/>
    <m/>
    <m/>
    <m/>
    <m/>
    <m/>
    <m/>
    <m/>
    <m/>
    <m/>
    <m/>
    <m/>
    <m/>
    <m/>
    <m/>
    <m/>
    <m/>
    <m/>
    <m/>
    <m/>
    <m/>
    <m/>
    <m/>
    <m/>
    <m/>
    <m/>
    <m/>
    <m/>
    <m/>
    <m/>
    <m/>
    <m/>
    <m/>
    <m/>
    <m/>
    <m/>
    <m/>
    <m/>
    <m/>
    <m/>
    <m/>
    <m/>
  </r>
  <r>
    <x v="179"/>
    <n v="2008"/>
    <x v="29"/>
    <s v="Latin America and Caribbean"/>
    <m/>
    <s v="Mining"/>
    <s v="yes"/>
    <s v="no"/>
    <s v="no"/>
    <s v="Iron ore"/>
    <s v="detailed"/>
    <s v="detailed Mining"/>
    <m/>
    <m/>
    <m/>
    <m/>
    <m/>
    <m/>
    <m/>
    <m/>
    <m/>
    <m/>
    <m/>
    <m/>
    <m/>
    <m/>
    <m/>
    <m/>
    <m/>
    <m/>
    <m/>
    <m/>
    <m/>
    <m/>
    <m/>
    <m/>
    <m/>
    <m/>
    <m/>
    <m/>
    <m/>
    <m/>
    <m/>
    <m/>
    <m/>
    <m/>
    <m/>
    <m/>
    <m/>
    <m/>
    <m/>
    <m/>
    <m/>
    <m/>
    <m/>
    <m/>
    <m/>
    <m/>
    <m/>
    <m/>
    <m/>
    <m/>
    <m/>
    <m/>
    <m/>
    <m/>
    <m/>
  </r>
  <r>
    <x v="179"/>
    <n v="2008"/>
    <x v="29"/>
    <s v="Latin America and Caribbean"/>
    <m/>
    <s v="Mining"/>
    <s v="yes"/>
    <s v="no"/>
    <s v="no"/>
    <s v="Kaolin clay"/>
    <s v="detailed"/>
    <s v="detailed Mining"/>
    <m/>
    <m/>
    <m/>
    <m/>
    <m/>
    <m/>
    <m/>
    <m/>
    <m/>
    <m/>
    <m/>
    <m/>
    <m/>
    <m/>
    <m/>
    <m/>
    <m/>
    <m/>
    <m/>
    <m/>
    <m/>
    <m/>
    <m/>
    <m/>
    <m/>
    <m/>
    <m/>
    <m/>
    <m/>
    <m/>
    <m/>
    <m/>
    <m/>
    <m/>
    <m/>
    <m/>
    <m/>
    <m/>
    <m/>
    <m/>
    <m/>
    <m/>
    <m/>
    <m/>
    <m/>
    <m/>
    <m/>
    <m/>
    <m/>
    <m/>
    <m/>
    <m/>
    <m/>
    <m/>
    <m/>
  </r>
  <r>
    <x v="179"/>
    <n v="2008"/>
    <x v="29"/>
    <s v="Latin America and Caribbean"/>
    <m/>
    <s v="Mining"/>
    <s v="yes"/>
    <s v="no"/>
    <s v="no"/>
    <s v="Lead"/>
    <s v="detailed"/>
    <s v="detailed Mining"/>
    <m/>
    <m/>
    <m/>
    <m/>
    <m/>
    <m/>
    <m/>
    <m/>
    <m/>
    <m/>
    <m/>
    <m/>
    <m/>
    <m/>
    <m/>
    <m/>
    <m/>
    <m/>
    <m/>
    <m/>
    <m/>
    <m/>
    <m/>
    <m/>
    <m/>
    <m/>
    <m/>
    <m/>
    <m/>
    <m/>
    <m/>
    <m/>
    <m/>
    <m/>
    <m/>
    <m/>
    <m/>
    <m/>
    <m/>
    <m/>
    <m/>
    <m/>
    <m/>
    <m/>
    <m/>
    <m/>
    <m/>
    <m/>
    <m/>
    <m/>
    <m/>
    <m/>
    <m/>
    <m/>
    <m/>
  </r>
  <r>
    <x v="179"/>
    <n v="2008"/>
    <x v="29"/>
    <s v="Latin America and Caribbean"/>
    <m/>
    <s v="Mining"/>
    <s v="yes"/>
    <s v="no"/>
    <s v="no"/>
    <s v="Lime"/>
    <s v="detailed"/>
    <s v="detailed Mining"/>
    <m/>
    <m/>
    <m/>
    <m/>
    <m/>
    <m/>
    <m/>
    <m/>
    <m/>
    <m/>
    <m/>
    <m/>
    <m/>
    <m/>
    <m/>
    <m/>
    <m/>
    <m/>
    <m/>
    <m/>
    <m/>
    <m/>
    <m/>
    <m/>
    <m/>
    <m/>
    <m/>
    <m/>
    <m/>
    <m/>
    <m/>
    <m/>
    <m/>
    <m/>
    <m/>
    <m/>
    <m/>
    <m/>
    <m/>
    <m/>
    <m/>
    <m/>
    <m/>
    <m/>
    <m/>
    <m/>
    <m/>
    <m/>
    <m/>
    <m/>
    <m/>
    <m/>
    <m/>
    <m/>
    <m/>
  </r>
  <r>
    <x v="179"/>
    <n v="2008"/>
    <x v="29"/>
    <s v="Latin America and Caribbean"/>
    <m/>
    <s v="Mining"/>
    <s v="yes"/>
    <s v="no"/>
    <s v="no"/>
    <s v="Limestone"/>
    <s v="detailed"/>
    <s v="detailed Mining"/>
    <m/>
    <m/>
    <m/>
    <m/>
    <m/>
    <m/>
    <m/>
    <m/>
    <m/>
    <m/>
    <m/>
    <m/>
    <m/>
    <m/>
    <m/>
    <m/>
    <m/>
    <m/>
    <m/>
    <m/>
    <m/>
    <m/>
    <m/>
    <m/>
    <m/>
    <m/>
    <m/>
    <m/>
    <m/>
    <m/>
    <m/>
    <m/>
    <m/>
    <m/>
    <m/>
    <m/>
    <m/>
    <m/>
    <m/>
    <m/>
    <m/>
    <m/>
    <m/>
    <m/>
    <m/>
    <m/>
    <m/>
    <m/>
    <m/>
    <m/>
    <m/>
    <m/>
    <m/>
    <m/>
    <m/>
  </r>
  <r>
    <x v="179"/>
    <n v="2008"/>
    <x v="29"/>
    <s v="Latin America and Caribbean"/>
    <m/>
    <s v="Mining"/>
    <s v="yes"/>
    <s v="no"/>
    <s v="no"/>
    <s v="Manganese"/>
    <s v="detailed"/>
    <s v="detailed Mining"/>
    <m/>
    <m/>
    <m/>
    <m/>
    <m/>
    <m/>
    <m/>
    <m/>
    <m/>
    <m/>
    <m/>
    <m/>
    <m/>
    <m/>
    <m/>
    <m/>
    <m/>
    <m/>
    <m/>
    <m/>
    <m/>
    <m/>
    <m/>
    <m/>
    <m/>
    <m/>
    <m/>
    <m/>
    <m/>
    <m/>
    <m/>
    <m/>
    <m/>
    <m/>
    <m/>
    <m/>
    <m/>
    <m/>
    <m/>
    <m/>
    <m/>
    <m/>
    <m/>
    <m/>
    <m/>
    <m/>
    <m/>
    <m/>
    <m/>
    <m/>
    <m/>
    <m/>
    <m/>
    <m/>
    <m/>
  </r>
  <r>
    <x v="179"/>
    <n v="2008"/>
    <x v="29"/>
    <s v="Latin America and Caribbean"/>
    <m/>
    <s v="Mining"/>
    <s v="yes"/>
    <s v="no"/>
    <s v="no"/>
    <s v="Marble"/>
    <s v="detailed"/>
    <s v="detailed Mining"/>
    <m/>
    <m/>
    <m/>
    <m/>
    <m/>
    <m/>
    <m/>
    <m/>
    <m/>
    <m/>
    <m/>
    <m/>
    <m/>
    <m/>
    <m/>
    <m/>
    <m/>
    <m/>
    <m/>
    <m/>
    <m/>
    <m/>
    <m/>
    <m/>
    <m/>
    <m/>
    <m/>
    <m/>
    <m/>
    <m/>
    <m/>
    <m/>
    <m/>
    <m/>
    <m/>
    <m/>
    <m/>
    <m/>
    <m/>
    <m/>
    <m/>
    <m/>
    <m/>
    <m/>
    <m/>
    <m/>
    <m/>
    <m/>
    <m/>
    <m/>
    <m/>
    <m/>
    <m/>
    <m/>
    <m/>
  </r>
  <r>
    <x v="179"/>
    <n v="2008"/>
    <x v="29"/>
    <s v="Latin America and Caribbean"/>
    <m/>
    <s v="Mining"/>
    <s v="yes"/>
    <s v="no"/>
    <s v="no"/>
    <s v="Molybdenum"/>
    <s v="detailed"/>
    <s v="detailed Mining"/>
    <m/>
    <m/>
    <m/>
    <m/>
    <m/>
    <m/>
    <m/>
    <m/>
    <m/>
    <m/>
    <m/>
    <m/>
    <m/>
    <m/>
    <m/>
    <m/>
    <m/>
    <m/>
    <m/>
    <m/>
    <m/>
    <m/>
    <m/>
    <m/>
    <m/>
    <m/>
    <m/>
    <m/>
    <m/>
    <m/>
    <m/>
    <m/>
    <m/>
    <m/>
    <m/>
    <m/>
    <m/>
    <m/>
    <m/>
    <m/>
    <m/>
    <m/>
    <m/>
    <m/>
    <m/>
    <m/>
    <m/>
    <m/>
    <m/>
    <m/>
    <m/>
    <m/>
    <m/>
    <m/>
    <m/>
  </r>
  <r>
    <x v="179"/>
    <n v="2008"/>
    <x v="29"/>
    <s v="Latin America and Caribbean"/>
    <m/>
    <s v="Mining"/>
    <s v="yes"/>
    <s v="no"/>
    <s v="no"/>
    <s v="Nitrogen (fixed - ammonia)"/>
    <s v="detailed"/>
    <s v="detailed Mining"/>
    <m/>
    <m/>
    <m/>
    <m/>
    <m/>
    <m/>
    <m/>
    <m/>
    <m/>
    <m/>
    <m/>
    <m/>
    <m/>
    <m/>
    <m/>
    <m/>
    <m/>
    <m/>
    <m/>
    <m/>
    <m/>
    <m/>
    <m/>
    <m/>
    <m/>
    <m/>
    <m/>
    <m/>
    <m/>
    <m/>
    <m/>
    <m/>
    <m/>
    <m/>
    <m/>
    <m/>
    <m/>
    <m/>
    <m/>
    <m/>
    <m/>
    <m/>
    <m/>
    <m/>
    <m/>
    <m/>
    <m/>
    <m/>
    <m/>
    <m/>
    <m/>
    <m/>
    <m/>
    <m/>
    <m/>
  </r>
  <r>
    <x v="179"/>
    <n v="2008"/>
    <x v="29"/>
    <s v="Latin America and Caribbean"/>
    <m/>
    <s v="Mining"/>
    <s v="yes"/>
    <s v="no"/>
    <s v="no"/>
    <s v="Onyx"/>
    <s v="detailed"/>
    <s v="detailed Mining"/>
    <m/>
    <m/>
    <m/>
    <m/>
    <m/>
    <m/>
    <m/>
    <m/>
    <m/>
    <m/>
    <m/>
    <m/>
    <m/>
    <m/>
    <m/>
    <m/>
    <m/>
    <m/>
    <m/>
    <m/>
    <m/>
    <m/>
    <m/>
    <m/>
    <m/>
    <m/>
    <m/>
    <m/>
    <m/>
    <m/>
    <m/>
    <m/>
    <m/>
    <m/>
    <m/>
    <m/>
    <m/>
    <m/>
    <m/>
    <m/>
    <m/>
    <m/>
    <m/>
    <m/>
    <m/>
    <m/>
    <m/>
    <m/>
    <m/>
    <m/>
    <m/>
    <m/>
    <m/>
    <m/>
    <m/>
  </r>
  <r>
    <x v="179"/>
    <n v="2008"/>
    <x v="29"/>
    <s v="Latin America and Caribbean"/>
    <m/>
    <s v="Mining"/>
    <s v="yes"/>
    <s v="no"/>
    <s v="no"/>
    <s v="Phosphate rock"/>
    <s v="detailed"/>
    <s v="detailed Mining"/>
    <m/>
    <m/>
    <m/>
    <m/>
    <m/>
    <m/>
    <m/>
    <m/>
    <m/>
    <m/>
    <m/>
    <m/>
    <m/>
    <m/>
    <m/>
    <m/>
    <m/>
    <m/>
    <m/>
    <m/>
    <m/>
    <m/>
    <m/>
    <m/>
    <m/>
    <m/>
    <m/>
    <m/>
    <m/>
    <m/>
    <m/>
    <m/>
    <m/>
    <m/>
    <m/>
    <m/>
    <m/>
    <m/>
    <m/>
    <m/>
    <m/>
    <m/>
    <m/>
    <m/>
    <m/>
    <m/>
    <m/>
    <m/>
    <m/>
    <m/>
    <m/>
    <m/>
    <m/>
    <m/>
    <m/>
  </r>
  <r>
    <x v="179"/>
    <n v="2008"/>
    <x v="29"/>
    <s v="Latin America and Caribbean"/>
    <m/>
    <s v="Mining"/>
    <s v="yes"/>
    <s v="no"/>
    <s v="no"/>
    <s v="Pig iron"/>
    <s v="detailed"/>
    <s v="detailed Mining"/>
    <m/>
    <m/>
    <m/>
    <m/>
    <m/>
    <m/>
    <m/>
    <m/>
    <m/>
    <m/>
    <m/>
    <m/>
    <m/>
    <m/>
    <m/>
    <m/>
    <m/>
    <m/>
    <m/>
    <m/>
    <m/>
    <m/>
    <m/>
    <m/>
    <m/>
    <m/>
    <m/>
    <m/>
    <m/>
    <m/>
    <m/>
    <m/>
    <m/>
    <m/>
    <m/>
    <m/>
    <m/>
    <m/>
    <m/>
    <m/>
    <m/>
    <m/>
    <m/>
    <m/>
    <m/>
    <m/>
    <m/>
    <m/>
    <m/>
    <m/>
    <m/>
    <m/>
    <m/>
    <m/>
    <m/>
  </r>
  <r>
    <x v="179"/>
    <n v="2008"/>
    <x v="29"/>
    <s v="Latin America and Caribbean"/>
    <m/>
    <s v="Mining"/>
    <s v="yes"/>
    <s v="no"/>
    <s v="no"/>
    <s v="Quartz and quartzite (crushed)"/>
    <s v="detailed"/>
    <s v="detailed Mining"/>
    <m/>
    <m/>
    <m/>
    <m/>
    <m/>
    <m/>
    <m/>
    <m/>
    <m/>
    <m/>
    <m/>
    <m/>
    <m/>
    <m/>
    <m/>
    <m/>
    <m/>
    <m/>
    <m/>
    <m/>
    <m/>
    <m/>
    <m/>
    <m/>
    <m/>
    <m/>
    <m/>
    <m/>
    <m/>
    <m/>
    <m/>
    <m/>
    <m/>
    <m/>
    <m/>
    <m/>
    <m/>
    <m/>
    <m/>
    <m/>
    <m/>
    <m/>
    <m/>
    <m/>
    <m/>
    <m/>
    <m/>
    <m/>
    <m/>
    <m/>
    <m/>
    <m/>
    <m/>
    <m/>
    <m/>
  </r>
  <r>
    <x v="179"/>
    <n v="2008"/>
    <x v="29"/>
    <s v="Latin America and Caribbean"/>
    <m/>
    <s v="Mining"/>
    <s v="yes"/>
    <s v="no"/>
    <s v="no"/>
    <s v="Salt"/>
    <s v="detailed"/>
    <s v="detailed Mining"/>
    <m/>
    <m/>
    <m/>
    <m/>
    <m/>
    <m/>
    <m/>
    <m/>
    <m/>
    <m/>
    <m/>
    <m/>
    <m/>
    <m/>
    <m/>
    <m/>
    <m/>
    <m/>
    <m/>
    <m/>
    <m/>
    <m/>
    <m/>
    <m/>
    <m/>
    <m/>
    <m/>
    <m/>
    <m/>
    <m/>
    <m/>
    <m/>
    <m/>
    <m/>
    <m/>
    <m/>
    <m/>
    <m/>
    <m/>
    <m/>
    <m/>
    <m/>
    <m/>
    <m/>
    <m/>
    <m/>
    <m/>
    <m/>
    <m/>
    <m/>
    <m/>
    <m/>
    <m/>
    <m/>
    <m/>
  </r>
  <r>
    <x v="179"/>
    <n v="2008"/>
    <x v="29"/>
    <s v="Latin America and Caribbean"/>
    <m/>
    <s v="Mining"/>
    <s v="yes"/>
    <s v="no"/>
    <s v="no"/>
    <s v="Sand"/>
    <s v="detailed"/>
    <s v="detailed Mining"/>
    <m/>
    <m/>
    <m/>
    <m/>
    <m/>
    <m/>
    <m/>
    <m/>
    <m/>
    <m/>
    <m/>
    <m/>
    <m/>
    <m/>
    <m/>
    <m/>
    <m/>
    <m/>
    <m/>
    <m/>
    <m/>
    <m/>
    <m/>
    <m/>
    <m/>
    <m/>
    <m/>
    <m/>
    <m/>
    <m/>
    <m/>
    <m/>
    <m/>
    <m/>
    <m/>
    <m/>
    <m/>
    <m/>
    <m/>
    <m/>
    <m/>
    <m/>
    <m/>
    <m/>
    <m/>
    <m/>
    <m/>
    <m/>
    <m/>
    <m/>
    <m/>
    <m/>
    <m/>
    <m/>
    <m/>
  </r>
  <r>
    <x v="179"/>
    <n v="2008"/>
    <x v="29"/>
    <s v="Latin America and Caribbean"/>
    <m/>
    <s v="Mining"/>
    <s v="yes"/>
    <s v="no"/>
    <s v="no"/>
    <s v="Selenium (metal, refined)"/>
    <s v="detailed"/>
    <s v="detailed Mining"/>
    <m/>
    <m/>
    <m/>
    <m/>
    <m/>
    <m/>
    <m/>
    <m/>
    <m/>
    <m/>
    <m/>
    <m/>
    <m/>
    <m/>
    <m/>
    <m/>
    <m/>
    <m/>
    <m/>
    <m/>
    <m/>
    <m/>
    <m/>
    <m/>
    <m/>
    <m/>
    <m/>
    <m/>
    <m/>
    <m/>
    <m/>
    <m/>
    <m/>
    <m/>
    <m/>
    <m/>
    <m/>
    <m/>
    <m/>
    <m/>
    <m/>
    <m/>
    <m/>
    <m/>
    <m/>
    <m/>
    <m/>
    <m/>
    <m/>
    <m/>
    <m/>
    <m/>
    <m/>
    <m/>
    <m/>
  </r>
  <r>
    <x v="179"/>
    <n v="2008"/>
    <x v="29"/>
    <s v="Latin America and Caribbean"/>
    <m/>
    <s v="Mining"/>
    <s v="yes"/>
    <s v="no"/>
    <s v="no"/>
    <s v="Shell"/>
    <s v="detailed"/>
    <s v="detailed Mining"/>
    <m/>
    <m/>
    <m/>
    <m/>
    <m/>
    <m/>
    <m/>
    <m/>
    <m/>
    <m/>
    <m/>
    <m/>
    <m/>
    <m/>
    <m/>
    <m/>
    <m/>
    <m/>
    <m/>
    <m/>
    <m/>
    <m/>
    <m/>
    <m/>
    <m/>
    <m/>
    <m/>
    <m/>
    <m/>
    <m/>
    <m/>
    <m/>
    <m/>
    <m/>
    <m/>
    <m/>
    <m/>
    <m/>
    <m/>
    <m/>
    <m/>
    <m/>
    <m/>
    <m/>
    <m/>
    <m/>
    <m/>
    <m/>
    <m/>
    <m/>
    <m/>
    <m/>
    <m/>
    <m/>
    <m/>
  </r>
  <r>
    <x v="179"/>
    <n v="2008"/>
    <x v="29"/>
    <s v="Latin America and Caribbean"/>
    <m/>
    <s v="Mining"/>
    <s v="yes"/>
    <s v="no"/>
    <s v="no"/>
    <s v="Silver"/>
    <s v="detailed"/>
    <s v="detailed Mining"/>
    <m/>
    <m/>
    <m/>
    <m/>
    <m/>
    <m/>
    <m/>
    <m/>
    <m/>
    <m/>
    <m/>
    <m/>
    <m/>
    <m/>
    <m/>
    <m/>
    <m/>
    <m/>
    <m/>
    <m/>
    <m/>
    <m/>
    <m/>
    <m/>
    <m/>
    <m/>
    <m/>
    <m/>
    <m/>
    <m/>
    <m/>
    <m/>
    <m/>
    <m/>
    <m/>
    <m/>
    <m/>
    <m/>
    <m/>
    <m/>
    <m/>
    <m/>
    <m/>
    <m/>
    <m/>
    <m/>
    <m/>
    <m/>
    <m/>
    <m/>
    <m/>
    <m/>
    <m/>
    <m/>
    <m/>
  </r>
  <r>
    <x v="179"/>
    <n v="2008"/>
    <x v="29"/>
    <s v="Latin America and Caribbean"/>
    <m/>
    <s v="Mining"/>
    <s v="yes"/>
    <s v="no"/>
    <s v="no"/>
    <s v="Slate"/>
    <s v="detailed"/>
    <s v="detailed Mining"/>
    <m/>
    <m/>
    <m/>
    <m/>
    <m/>
    <m/>
    <m/>
    <m/>
    <m/>
    <m/>
    <m/>
    <m/>
    <m/>
    <m/>
    <m/>
    <m/>
    <m/>
    <m/>
    <m/>
    <m/>
    <m/>
    <m/>
    <m/>
    <m/>
    <m/>
    <m/>
    <m/>
    <m/>
    <m/>
    <m/>
    <m/>
    <m/>
    <m/>
    <m/>
    <m/>
    <m/>
    <m/>
    <m/>
    <m/>
    <m/>
    <m/>
    <m/>
    <m/>
    <m/>
    <m/>
    <m/>
    <m/>
    <m/>
    <m/>
    <m/>
    <m/>
    <m/>
    <m/>
    <m/>
    <m/>
  </r>
  <r>
    <x v="179"/>
    <n v="2008"/>
    <x v="29"/>
    <s v="Latin America and Caribbean"/>
    <m/>
    <s v="Mining"/>
    <s v="yes"/>
    <s v="no"/>
    <s v="no"/>
    <s v="Steel"/>
    <s v="detailed"/>
    <s v="detailed Mining"/>
    <m/>
    <m/>
    <m/>
    <m/>
    <m/>
    <m/>
    <m/>
    <m/>
    <m/>
    <m/>
    <m/>
    <m/>
    <m/>
    <m/>
    <m/>
    <m/>
    <m/>
    <m/>
    <m/>
    <m/>
    <m/>
    <m/>
    <m/>
    <m/>
    <m/>
    <m/>
    <m/>
    <m/>
    <m/>
    <m/>
    <m/>
    <m/>
    <m/>
    <m/>
    <m/>
    <m/>
    <m/>
    <m/>
    <m/>
    <m/>
    <m/>
    <m/>
    <m/>
    <m/>
    <m/>
    <m/>
    <m/>
    <m/>
    <m/>
    <m/>
    <m/>
    <m/>
    <m/>
    <m/>
    <m/>
  </r>
  <r>
    <x v="179"/>
    <n v="2008"/>
    <x v="29"/>
    <s v="Latin America and Caribbean"/>
    <m/>
    <s v="Mining"/>
    <s v="yes"/>
    <s v="no"/>
    <s v="no"/>
    <s v="Stone (construction)"/>
    <s v="detailed"/>
    <s v="detailed Mining"/>
    <m/>
    <m/>
    <m/>
    <m/>
    <m/>
    <m/>
    <m/>
    <m/>
    <m/>
    <m/>
    <m/>
    <m/>
    <m/>
    <m/>
    <m/>
    <m/>
    <m/>
    <m/>
    <m/>
    <m/>
    <m/>
    <m/>
    <m/>
    <m/>
    <m/>
    <m/>
    <m/>
    <m/>
    <m/>
    <m/>
    <m/>
    <m/>
    <m/>
    <m/>
    <m/>
    <m/>
    <m/>
    <m/>
    <m/>
    <m/>
    <m/>
    <m/>
    <m/>
    <m/>
    <m/>
    <m/>
    <m/>
    <m/>
    <m/>
    <m/>
    <m/>
    <m/>
    <m/>
    <m/>
    <m/>
  </r>
  <r>
    <x v="179"/>
    <n v="2008"/>
    <x v="29"/>
    <s v="Latin America and Caribbean"/>
    <m/>
    <s v="Mining"/>
    <s v="yes"/>
    <s v="no"/>
    <s v="no"/>
    <s v="Sulfur (elemental)"/>
    <s v="detailed"/>
    <s v="detailed Mining"/>
    <m/>
    <m/>
    <m/>
    <m/>
    <m/>
    <m/>
    <m/>
    <m/>
    <m/>
    <m/>
    <m/>
    <m/>
    <m/>
    <m/>
    <m/>
    <m/>
    <m/>
    <m/>
    <m/>
    <m/>
    <m/>
    <m/>
    <m/>
    <m/>
    <m/>
    <m/>
    <m/>
    <m/>
    <m/>
    <m/>
    <m/>
    <m/>
    <m/>
    <m/>
    <m/>
    <m/>
    <m/>
    <m/>
    <m/>
    <m/>
    <m/>
    <m/>
    <m/>
    <m/>
    <m/>
    <m/>
    <m/>
    <m/>
    <m/>
    <m/>
    <m/>
    <m/>
    <m/>
    <m/>
    <m/>
  </r>
  <r>
    <x v="179"/>
    <n v="2008"/>
    <x v="29"/>
    <s v="Latin America and Caribbean"/>
    <m/>
    <s v="Mining"/>
    <s v="yes"/>
    <s v="no"/>
    <s v="no"/>
    <s v="Talc"/>
    <s v="detailed"/>
    <s v="detailed Mining"/>
    <m/>
    <m/>
    <m/>
    <m/>
    <m/>
    <m/>
    <m/>
    <m/>
    <m/>
    <m/>
    <m/>
    <m/>
    <m/>
    <m/>
    <m/>
    <m/>
    <m/>
    <m/>
    <m/>
    <m/>
    <m/>
    <m/>
    <m/>
    <m/>
    <m/>
    <m/>
    <m/>
    <m/>
    <m/>
    <m/>
    <m/>
    <m/>
    <m/>
    <m/>
    <m/>
    <m/>
    <m/>
    <m/>
    <m/>
    <m/>
    <m/>
    <m/>
    <m/>
    <m/>
    <m/>
    <m/>
    <m/>
    <m/>
    <m/>
    <m/>
    <m/>
    <m/>
    <m/>
    <m/>
    <m/>
  </r>
  <r>
    <x v="179"/>
    <n v="2008"/>
    <x v="29"/>
    <s v="Latin America and Caribbean"/>
    <m/>
    <s v="Mining"/>
    <s v="yes"/>
    <s v="no"/>
    <s v="no"/>
    <s v="Tellurium (metal)"/>
    <s v="detailed"/>
    <s v="detailed Mining"/>
    <m/>
    <m/>
    <m/>
    <m/>
    <m/>
    <m/>
    <m/>
    <m/>
    <m/>
    <m/>
    <m/>
    <m/>
    <m/>
    <m/>
    <m/>
    <m/>
    <m/>
    <m/>
    <m/>
    <m/>
    <m/>
    <m/>
    <m/>
    <m/>
    <m/>
    <m/>
    <m/>
    <m/>
    <m/>
    <m/>
    <m/>
    <m/>
    <m/>
    <m/>
    <m/>
    <m/>
    <m/>
    <m/>
    <m/>
    <m/>
    <m/>
    <m/>
    <m/>
    <m/>
    <m/>
    <m/>
    <m/>
    <m/>
    <m/>
    <m/>
    <m/>
    <m/>
    <m/>
    <m/>
    <m/>
  </r>
  <r>
    <x v="179"/>
    <n v="2008"/>
    <x v="29"/>
    <s v="Latin America and Caribbean"/>
    <m/>
    <s v="Mining"/>
    <s v="yes"/>
    <s v="no"/>
    <s v="no"/>
    <s v="Tin"/>
    <s v="detailed"/>
    <s v="detailed Mining"/>
    <m/>
    <m/>
    <m/>
    <m/>
    <m/>
    <m/>
    <m/>
    <m/>
    <m/>
    <m/>
    <m/>
    <m/>
    <m/>
    <m/>
    <m/>
    <m/>
    <m/>
    <m/>
    <m/>
    <m/>
    <m/>
    <m/>
    <m/>
    <m/>
    <m/>
    <m/>
    <m/>
    <m/>
    <m/>
    <m/>
    <m/>
    <m/>
    <m/>
    <m/>
    <m/>
    <m/>
    <m/>
    <m/>
    <m/>
    <m/>
    <m/>
    <m/>
    <m/>
    <m/>
    <m/>
    <m/>
    <m/>
    <m/>
    <m/>
    <m/>
    <m/>
    <m/>
    <m/>
    <m/>
    <m/>
  </r>
  <r>
    <x v="179"/>
    <n v="2008"/>
    <x v="29"/>
    <s v="Latin America and Caribbean"/>
    <m/>
    <s v="Mining"/>
    <s v="yes"/>
    <s v="no"/>
    <s v="no"/>
    <s v="Travertine"/>
    <s v="detailed"/>
    <s v="detailed Mining"/>
    <m/>
    <m/>
    <m/>
    <m/>
    <m/>
    <m/>
    <m/>
    <m/>
    <m/>
    <m/>
    <m/>
    <m/>
    <m/>
    <m/>
    <m/>
    <m/>
    <m/>
    <m/>
    <m/>
    <m/>
    <m/>
    <m/>
    <m/>
    <m/>
    <m/>
    <m/>
    <m/>
    <m/>
    <m/>
    <m/>
    <m/>
    <m/>
    <m/>
    <m/>
    <m/>
    <m/>
    <m/>
    <m/>
    <m/>
    <m/>
    <m/>
    <m/>
    <m/>
    <m/>
    <m/>
    <m/>
    <m/>
    <m/>
    <m/>
    <m/>
    <m/>
    <m/>
    <m/>
    <m/>
    <m/>
  </r>
  <r>
    <x v="179"/>
    <n v="2008"/>
    <x v="29"/>
    <s v="Latin America and Caribbean"/>
    <m/>
    <s v="Mining"/>
    <s v="yes"/>
    <s v="no"/>
    <s v="no"/>
    <s v="Tungsten (metal)"/>
    <s v="detailed"/>
    <s v="detailed Mining"/>
    <m/>
    <m/>
    <m/>
    <m/>
    <m/>
    <m/>
    <m/>
    <m/>
    <m/>
    <m/>
    <m/>
    <m/>
    <m/>
    <m/>
    <m/>
    <m/>
    <m/>
    <m/>
    <m/>
    <m/>
    <m/>
    <m/>
    <m/>
    <m/>
    <m/>
    <m/>
    <m/>
    <m/>
    <m/>
    <m/>
    <m/>
    <m/>
    <m/>
    <m/>
    <m/>
    <m/>
    <m/>
    <m/>
    <m/>
    <m/>
    <m/>
    <m/>
    <m/>
    <m/>
    <m/>
    <m/>
    <m/>
    <m/>
    <m/>
    <m/>
    <m/>
    <m/>
    <m/>
    <m/>
    <m/>
  </r>
  <r>
    <x v="179"/>
    <n v="2008"/>
    <x v="29"/>
    <s v="Latin America and Caribbean"/>
    <m/>
    <s v="Mining"/>
    <s v="yes"/>
    <s v="no"/>
    <s v="no"/>
    <s v="Zinc"/>
    <s v="detailed"/>
    <s v="detailed Mining"/>
    <m/>
    <m/>
    <m/>
    <m/>
    <m/>
    <m/>
    <m/>
    <m/>
    <m/>
    <m/>
    <m/>
    <m/>
    <m/>
    <m/>
    <m/>
    <m/>
    <m/>
    <m/>
    <m/>
    <m/>
    <m/>
    <m/>
    <m/>
    <m/>
    <m/>
    <m/>
    <m/>
    <m/>
    <m/>
    <m/>
    <m/>
    <m/>
    <m/>
    <m/>
    <m/>
    <m/>
    <m/>
    <m/>
    <m/>
    <m/>
    <m/>
    <m/>
    <m/>
    <m/>
    <m/>
    <m/>
    <m/>
    <m/>
    <m/>
    <m/>
    <m/>
    <m/>
    <m/>
    <m/>
    <m/>
  </r>
  <r>
    <x v="180"/>
    <n v="2009"/>
    <x v="29"/>
    <s v="Latin America and Caribbean"/>
    <s v="http://eitiperu.minem.gob.pe/"/>
    <s v="Oil, Gas, Mining"/>
    <s v="yes"/>
    <s v="yes"/>
    <s v="yes"/>
    <s v="Total"/>
    <s v="Total"/>
    <s v="Total Oil, Gas, Mining"/>
    <m/>
    <m/>
    <m/>
    <m/>
    <m/>
    <m/>
    <m/>
    <m/>
    <m/>
    <n v="21925846717.900002"/>
    <s v="Profits/Taxes, Royalties, Licenses and concessions"/>
    <s v="Does not include payments made in-kind"/>
    <s v="-"/>
    <n v="2965369766.4701195"/>
    <n v="2965945526.7968125"/>
    <m/>
    <m/>
    <m/>
    <n v="0.15514833295028571"/>
    <s v="United States Dollar and the Peruvian neuvo sol"/>
    <n v="3.012"/>
    <s v="Disaggregated by revenue stream"/>
    <m/>
    <m/>
    <m/>
    <m/>
    <n v="51"/>
    <s v="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Pacific Stratus Energy S.A. PeruDivision, Savia Perú S.A., Pluspetrol Lote 56 S.A, Interoil Perú S.A., Sonatrach Perú Corporation S.A.C,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
    <n v="51"/>
    <d v="2011-12-01T00:00:00"/>
    <d v="2014-09-17T00:00:00"/>
    <s v="Ernst &amp; Young"/>
    <s v="http://eiti.org/files/Peru%202008-2010%20EITI%20Report.pdf"/>
    <s v="76-78"/>
    <s v="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90% of national oil &amp; gas production and 84% of national mining production in 2009, which is given in the report as US$3,764,019,399 and US$18,161,827,319.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
    <m/>
    <m/>
    <m/>
    <m/>
    <m/>
    <m/>
    <m/>
    <m/>
    <m/>
    <m/>
    <m/>
    <m/>
    <m/>
    <m/>
    <m/>
    <m/>
    <m/>
    <m/>
    <m/>
    <m/>
  </r>
  <r>
    <x v="180"/>
    <n v="2009"/>
    <x v="29"/>
    <s v="Latin America and Caribbean"/>
    <m/>
    <s v="Oil, Gas"/>
    <s v="no"/>
    <s v="yes"/>
    <s v="yes"/>
    <s v="Total Oil &amp; Gas"/>
    <s v="Total"/>
    <s v="Total Oil, Gas"/>
    <m/>
    <m/>
    <m/>
    <m/>
    <m/>
    <m/>
    <m/>
    <m/>
    <m/>
    <n v="3764019398.8099999"/>
    <m/>
    <m/>
    <m/>
    <n v="908761224.34528553"/>
    <n v="908758831.34528553"/>
    <s v="90% of production value"/>
    <m/>
    <m/>
    <n v="0.27435650565716091"/>
    <m/>
    <m/>
    <m/>
    <m/>
    <m/>
    <m/>
    <m/>
    <n v="18"/>
    <s v="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Compañía de Minas Buenaventura S.A.A., Pacific Stratus Energy S.A. PeruDivision, Savia Perú S.A., Pluspetrol Lote 56 S.A, Interoil Perú S.A., Sonatrach Perú Corporation S.A.C"/>
    <n v="18"/>
    <m/>
    <m/>
    <m/>
    <m/>
    <n v="10"/>
    <m/>
    <m/>
    <m/>
    <m/>
    <m/>
    <m/>
    <m/>
    <m/>
    <m/>
    <m/>
    <m/>
    <m/>
    <m/>
    <m/>
    <m/>
    <m/>
    <m/>
    <m/>
    <m/>
    <m/>
    <m/>
  </r>
  <r>
    <x v="180"/>
    <n v="2009"/>
    <x v="29"/>
    <s v="Latin America and Caribbean"/>
    <m/>
    <s v="Gas"/>
    <s v="no"/>
    <s v="yes"/>
    <s v="no"/>
    <s v="Gas"/>
    <s v="detailed"/>
    <s v="detailed Gas"/>
    <m/>
    <m/>
    <m/>
    <m/>
    <m/>
    <m/>
    <m/>
    <m/>
    <m/>
    <m/>
    <m/>
    <m/>
    <m/>
    <m/>
    <m/>
    <m/>
    <m/>
    <m/>
    <m/>
    <m/>
    <m/>
    <m/>
    <m/>
    <m/>
    <m/>
    <m/>
    <m/>
    <s v="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
    <m/>
    <m/>
    <m/>
    <m/>
    <m/>
    <m/>
    <m/>
    <m/>
    <m/>
    <m/>
    <m/>
    <m/>
    <m/>
    <m/>
    <m/>
    <m/>
    <m/>
    <m/>
    <m/>
    <m/>
    <m/>
    <m/>
    <m/>
    <m/>
    <m/>
    <m/>
    <m/>
  </r>
  <r>
    <x v="180"/>
    <n v="2009"/>
    <x v="29"/>
    <s v="Latin America and Caribbean"/>
    <m/>
    <s v="Oil"/>
    <s v="no"/>
    <s v="no"/>
    <s v="yes"/>
    <s v="Oil"/>
    <s v="detailed"/>
    <s v="detailed Oil"/>
    <m/>
    <m/>
    <m/>
    <m/>
    <m/>
    <m/>
    <m/>
    <m/>
    <m/>
    <m/>
    <m/>
    <m/>
    <m/>
    <m/>
    <m/>
    <m/>
    <m/>
    <m/>
    <m/>
    <m/>
    <m/>
    <m/>
    <m/>
    <m/>
    <m/>
    <m/>
    <m/>
    <m/>
    <m/>
    <m/>
    <m/>
    <m/>
    <m/>
    <m/>
    <m/>
    <m/>
    <m/>
    <m/>
    <m/>
    <m/>
    <m/>
    <m/>
    <m/>
    <m/>
    <m/>
    <m/>
    <m/>
    <m/>
    <m/>
    <m/>
    <m/>
    <m/>
    <m/>
    <m/>
    <m/>
  </r>
  <r>
    <x v="180"/>
    <n v="2009"/>
    <x v="29"/>
    <s v="Latin America and Caribbean"/>
    <m/>
    <s v="Mining"/>
    <s v="yes"/>
    <s v="no"/>
    <s v="no"/>
    <s v="Total Mining"/>
    <s v="Total"/>
    <s v="Total Mining"/>
    <m/>
    <m/>
    <m/>
    <m/>
    <m/>
    <m/>
    <m/>
    <m/>
    <m/>
    <n v="18161827319.09"/>
    <m/>
    <m/>
    <m/>
    <n v="2056608542.1248341"/>
    <n v="2057186695.4515271"/>
    <s v="84% of production value"/>
    <m/>
    <m/>
    <n v="0.13015859158767445"/>
    <m/>
    <m/>
    <m/>
    <m/>
    <m/>
    <m/>
    <m/>
    <n v="33"/>
    <s v="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
    <n v="33"/>
    <m/>
    <m/>
    <m/>
    <m/>
    <n v="10"/>
    <m/>
    <m/>
    <m/>
    <m/>
    <m/>
    <m/>
    <m/>
    <m/>
    <m/>
    <m/>
    <m/>
    <m/>
    <m/>
    <m/>
    <m/>
    <m/>
    <m/>
    <m/>
    <m/>
    <m/>
    <m/>
  </r>
  <r>
    <x v="180"/>
    <n v="2009"/>
    <x v="29"/>
    <s v="Latin America and Caribbean"/>
    <m/>
    <s v="Mining"/>
    <s v="yes"/>
    <s v="no"/>
    <s v="no"/>
    <s v="Antimony (metal)"/>
    <s v="detailed"/>
    <s v="detailed Mining"/>
    <m/>
    <m/>
    <m/>
    <m/>
    <m/>
    <m/>
    <m/>
    <m/>
    <m/>
    <m/>
    <m/>
    <m/>
    <m/>
    <m/>
    <m/>
    <m/>
    <m/>
    <m/>
    <m/>
    <m/>
    <m/>
    <m/>
    <m/>
    <m/>
    <m/>
    <m/>
    <m/>
    <m/>
    <m/>
    <m/>
    <m/>
    <m/>
    <m/>
    <m/>
    <m/>
    <m/>
    <m/>
    <m/>
    <m/>
    <m/>
    <m/>
    <m/>
    <m/>
    <m/>
    <m/>
    <m/>
    <m/>
    <m/>
    <m/>
    <m/>
    <m/>
    <m/>
    <m/>
    <m/>
    <m/>
  </r>
  <r>
    <x v="180"/>
    <n v="2009"/>
    <x v="29"/>
    <s v="Latin America and Caribbean"/>
    <m/>
    <s v="Mining"/>
    <s v="yes"/>
    <s v="no"/>
    <s v="no"/>
    <s v="Arsenic (white)"/>
    <s v="detailed"/>
    <s v="detailed Mining"/>
    <m/>
    <m/>
    <m/>
    <m/>
    <m/>
    <m/>
    <m/>
    <m/>
    <m/>
    <m/>
    <m/>
    <m/>
    <m/>
    <m/>
    <m/>
    <m/>
    <m/>
    <m/>
    <m/>
    <m/>
    <m/>
    <m/>
    <m/>
    <m/>
    <m/>
    <m/>
    <m/>
    <m/>
    <m/>
    <m/>
    <m/>
    <m/>
    <m/>
    <m/>
    <m/>
    <m/>
    <m/>
    <m/>
    <m/>
    <m/>
    <m/>
    <m/>
    <m/>
    <m/>
    <m/>
    <m/>
    <m/>
    <m/>
    <m/>
    <m/>
    <m/>
    <m/>
    <m/>
    <m/>
    <m/>
  </r>
  <r>
    <x v="180"/>
    <n v="2009"/>
    <x v="29"/>
    <s v="Latin America and Caribbean"/>
    <m/>
    <s v="Mining"/>
    <s v="yes"/>
    <s v="no"/>
    <s v="no"/>
    <s v="Barite"/>
    <s v="detailed"/>
    <s v="detailed Mining"/>
    <m/>
    <m/>
    <m/>
    <m/>
    <m/>
    <m/>
    <m/>
    <m/>
    <m/>
    <m/>
    <m/>
    <m/>
    <m/>
    <m/>
    <m/>
    <m/>
    <m/>
    <m/>
    <m/>
    <m/>
    <m/>
    <m/>
    <m/>
    <m/>
    <m/>
    <m/>
    <m/>
    <m/>
    <m/>
    <m/>
    <m/>
    <m/>
    <m/>
    <m/>
    <m/>
    <m/>
    <m/>
    <m/>
    <m/>
    <m/>
    <m/>
    <m/>
    <m/>
    <m/>
    <m/>
    <m/>
    <m/>
    <m/>
    <m/>
    <m/>
    <m/>
    <m/>
    <m/>
    <m/>
    <m/>
  </r>
  <r>
    <x v="180"/>
    <n v="2009"/>
    <x v="29"/>
    <s v="Latin America and Caribbean"/>
    <m/>
    <s v="Mining"/>
    <s v="yes"/>
    <s v="no"/>
    <s v="no"/>
    <s v="Bentonite clay"/>
    <s v="detailed"/>
    <s v="detailed Mining"/>
    <m/>
    <m/>
    <m/>
    <m/>
    <m/>
    <m/>
    <m/>
    <m/>
    <m/>
    <m/>
    <m/>
    <m/>
    <m/>
    <m/>
    <m/>
    <m/>
    <m/>
    <m/>
    <m/>
    <m/>
    <m/>
    <m/>
    <m/>
    <m/>
    <m/>
    <m/>
    <m/>
    <m/>
    <m/>
    <m/>
    <m/>
    <m/>
    <m/>
    <m/>
    <m/>
    <m/>
    <m/>
    <m/>
    <m/>
    <m/>
    <m/>
    <m/>
    <m/>
    <m/>
    <m/>
    <m/>
    <m/>
    <m/>
    <m/>
    <m/>
    <m/>
    <m/>
    <m/>
    <m/>
    <m/>
  </r>
  <r>
    <x v="180"/>
    <n v="2009"/>
    <x v="29"/>
    <s v="Latin America and Caribbean"/>
    <m/>
    <s v="Mining"/>
    <s v="yes"/>
    <s v="no"/>
    <s v="no"/>
    <s v="Bismuth (metal)"/>
    <s v="detailed"/>
    <s v="detailed Mining"/>
    <m/>
    <m/>
    <m/>
    <m/>
    <m/>
    <m/>
    <m/>
    <m/>
    <m/>
    <m/>
    <m/>
    <m/>
    <m/>
    <m/>
    <m/>
    <m/>
    <m/>
    <m/>
    <m/>
    <m/>
    <m/>
    <m/>
    <m/>
    <m/>
    <m/>
    <m/>
    <m/>
    <m/>
    <m/>
    <m/>
    <m/>
    <m/>
    <m/>
    <m/>
    <m/>
    <m/>
    <m/>
    <m/>
    <m/>
    <m/>
    <m/>
    <m/>
    <m/>
    <m/>
    <m/>
    <m/>
    <m/>
    <m/>
    <m/>
    <m/>
    <m/>
    <m/>
    <m/>
    <m/>
    <m/>
  </r>
  <r>
    <x v="180"/>
    <n v="2009"/>
    <x v="29"/>
    <s v="Latin America and Caribbean"/>
    <m/>
    <s v="Mining"/>
    <s v="yes"/>
    <s v="no"/>
    <s v="no"/>
    <s v="Boron materials (crude)"/>
    <s v="detailed"/>
    <s v="detailed Mining"/>
    <m/>
    <m/>
    <m/>
    <m/>
    <m/>
    <m/>
    <m/>
    <m/>
    <m/>
    <m/>
    <m/>
    <m/>
    <m/>
    <m/>
    <m/>
    <m/>
    <m/>
    <m/>
    <m/>
    <m/>
    <m/>
    <m/>
    <m/>
    <m/>
    <m/>
    <m/>
    <m/>
    <m/>
    <m/>
    <m/>
    <m/>
    <m/>
    <m/>
    <m/>
    <m/>
    <m/>
    <m/>
    <m/>
    <m/>
    <m/>
    <m/>
    <m/>
    <m/>
    <m/>
    <m/>
    <m/>
    <m/>
    <m/>
    <m/>
    <m/>
    <m/>
    <m/>
    <m/>
    <m/>
    <m/>
  </r>
  <r>
    <x v="180"/>
    <n v="2009"/>
    <x v="29"/>
    <s v="Latin America and Caribbean"/>
    <m/>
    <s v="Mining"/>
    <s v="yes"/>
    <s v="no"/>
    <s v="no"/>
    <s v="Cadmium (metal)"/>
    <s v="detailed"/>
    <s v="detailed Mining"/>
    <m/>
    <m/>
    <m/>
    <m/>
    <m/>
    <m/>
    <m/>
    <m/>
    <m/>
    <m/>
    <m/>
    <m/>
    <m/>
    <m/>
    <m/>
    <m/>
    <m/>
    <m/>
    <m/>
    <m/>
    <m/>
    <m/>
    <m/>
    <m/>
    <m/>
    <m/>
    <m/>
    <m/>
    <m/>
    <m/>
    <m/>
    <m/>
    <m/>
    <m/>
    <m/>
    <m/>
    <m/>
    <m/>
    <m/>
    <m/>
    <m/>
    <m/>
    <m/>
    <m/>
    <m/>
    <m/>
    <m/>
    <m/>
    <m/>
    <m/>
    <m/>
    <m/>
    <m/>
    <m/>
    <m/>
  </r>
  <r>
    <x v="180"/>
    <n v="2009"/>
    <x v="29"/>
    <s v="Latin America and Caribbean"/>
    <m/>
    <s v="Mining"/>
    <s v="yes"/>
    <s v="no"/>
    <s v="no"/>
    <s v="Cement"/>
    <s v="detailed"/>
    <s v="detailed Mining"/>
    <m/>
    <m/>
    <m/>
    <m/>
    <m/>
    <m/>
    <m/>
    <m/>
    <m/>
    <m/>
    <m/>
    <m/>
    <m/>
    <m/>
    <m/>
    <m/>
    <m/>
    <m/>
    <m/>
    <m/>
    <m/>
    <m/>
    <m/>
    <m/>
    <m/>
    <m/>
    <m/>
    <m/>
    <m/>
    <m/>
    <m/>
    <m/>
    <m/>
    <m/>
    <m/>
    <m/>
    <m/>
    <m/>
    <m/>
    <m/>
    <m/>
    <m/>
    <m/>
    <m/>
    <m/>
    <m/>
    <m/>
    <m/>
    <m/>
    <m/>
    <m/>
    <m/>
    <m/>
    <m/>
    <m/>
  </r>
  <r>
    <x v="180"/>
    <n v="2009"/>
    <x v="29"/>
    <s v="Latin America and Caribbean"/>
    <m/>
    <s v="Mining"/>
    <s v="yes"/>
    <s v="no"/>
    <s v="no"/>
    <s v="Chalk"/>
    <s v="detailed"/>
    <s v="detailed Mining"/>
    <m/>
    <m/>
    <m/>
    <m/>
    <m/>
    <m/>
    <m/>
    <m/>
    <m/>
    <m/>
    <m/>
    <m/>
    <m/>
    <m/>
    <m/>
    <m/>
    <m/>
    <m/>
    <m/>
    <m/>
    <m/>
    <m/>
    <m/>
    <m/>
    <m/>
    <m/>
    <m/>
    <m/>
    <m/>
    <m/>
    <m/>
    <m/>
    <m/>
    <m/>
    <m/>
    <m/>
    <m/>
    <m/>
    <m/>
    <m/>
    <m/>
    <m/>
    <m/>
    <m/>
    <m/>
    <m/>
    <m/>
    <m/>
    <m/>
    <m/>
    <m/>
    <m/>
    <m/>
    <m/>
    <m/>
  </r>
  <r>
    <x v="180"/>
    <n v="2009"/>
    <x v="29"/>
    <s v="Latin America and Caribbean"/>
    <m/>
    <s v="Mining"/>
    <s v="yes"/>
    <s v="no"/>
    <s v="no"/>
    <s v="Coal"/>
    <s v="detailed"/>
    <s v="detailed Mining"/>
    <m/>
    <m/>
    <m/>
    <m/>
    <m/>
    <m/>
    <m/>
    <m/>
    <m/>
    <m/>
    <m/>
    <m/>
    <m/>
    <m/>
    <m/>
    <m/>
    <m/>
    <m/>
    <m/>
    <m/>
    <m/>
    <m/>
    <m/>
    <m/>
    <m/>
    <m/>
    <m/>
    <m/>
    <m/>
    <m/>
    <m/>
    <m/>
    <m/>
    <m/>
    <m/>
    <m/>
    <m/>
    <m/>
    <m/>
    <m/>
    <m/>
    <m/>
    <m/>
    <m/>
    <m/>
    <m/>
    <m/>
    <m/>
    <m/>
    <m/>
    <m/>
    <m/>
    <m/>
    <m/>
    <m/>
  </r>
  <r>
    <x v="180"/>
    <n v="2009"/>
    <x v="29"/>
    <s v="Latin America and Caribbean"/>
    <m/>
    <s v="Mining"/>
    <s v="yes"/>
    <s v="no"/>
    <s v="no"/>
    <s v="Common clay"/>
    <s v="detailed"/>
    <s v="detailed Mining"/>
    <m/>
    <m/>
    <m/>
    <m/>
    <m/>
    <m/>
    <m/>
    <m/>
    <m/>
    <m/>
    <m/>
    <m/>
    <m/>
    <m/>
    <m/>
    <m/>
    <m/>
    <m/>
    <m/>
    <m/>
    <m/>
    <m/>
    <m/>
    <m/>
    <m/>
    <m/>
    <m/>
    <m/>
    <m/>
    <m/>
    <m/>
    <m/>
    <m/>
    <m/>
    <m/>
    <m/>
    <m/>
    <m/>
    <m/>
    <m/>
    <m/>
    <m/>
    <m/>
    <m/>
    <m/>
    <m/>
    <m/>
    <m/>
    <m/>
    <m/>
    <m/>
    <m/>
    <m/>
    <m/>
    <m/>
  </r>
  <r>
    <x v="180"/>
    <n v="2009"/>
    <x v="29"/>
    <s v="Latin America and Caribbean"/>
    <m/>
    <s v="Mining"/>
    <s v="yes"/>
    <s v="no"/>
    <s v="no"/>
    <s v="Copper"/>
    <s v="detailed"/>
    <s v="detailed Mining"/>
    <m/>
    <m/>
    <m/>
    <m/>
    <m/>
    <m/>
    <m/>
    <m/>
    <m/>
    <m/>
    <m/>
    <m/>
    <m/>
    <m/>
    <m/>
    <m/>
    <m/>
    <m/>
    <m/>
    <m/>
    <m/>
    <m/>
    <m/>
    <m/>
    <m/>
    <m/>
    <m/>
    <m/>
    <m/>
    <m/>
    <m/>
    <m/>
    <m/>
    <m/>
    <m/>
    <m/>
    <m/>
    <m/>
    <m/>
    <m/>
    <m/>
    <m/>
    <m/>
    <m/>
    <m/>
    <m/>
    <m/>
    <m/>
    <m/>
    <m/>
    <m/>
    <m/>
    <m/>
    <m/>
    <m/>
  </r>
  <r>
    <x v="180"/>
    <n v="2009"/>
    <x v="29"/>
    <s v="Latin America and Caribbean"/>
    <m/>
    <s v="Mining"/>
    <s v="yes"/>
    <s v="no"/>
    <s v="no"/>
    <s v="Diatomite"/>
    <s v="detailed"/>
    <s v="detailed Mining"/>
    <m/>
    <m/>
    <m/>
    <m/>
    <m/>
    <m/>
    <m/>
    <m/>
    <m/>
    <m/>
    <m/>
    <m/>
    <m/>
    <m/>
    <m/>
    <m/>
    <m/>
    <m/>
    <m/>
    <m/>
    <m/>
    <m/>
    <m/>
    <m/>
    <m/>
    <m/>
    <m/>
    <m/>
    <m/>
    <m/>
    <m/>
    <m/>
    <m/>
    <m/>
    <m/>
    <m/>
    <m/>
    <m/>
    <m/>
    <m/>
    <m/>
    <m/>
    <m/>
    <m/>
    <m/>
    <m/>
    <m/>
    <m/>
    <m/>
    <m/>
    <m/>
    <m/>
    <m/>
    <m/>
    <m/>
  </r>
  <r>
    <x v="180"/>
    <n v="2009"/>
    <x v="29"/>
    <s v="Latin America and Caribbean"/>
    <m/>
    <s v="Mining"/>
    <s v="yes"/>
    <s v="no"/>
    <s v="no"/>
    <s v="Dolomite "/>
    <s v="detailed"/>
    <s v="detailed Mining"/>
    <m/>
    <m/>
    <m/>
    <m/>
    <m/>
    <m/>
    <m/>
    <m/>
    <m/>
    <m/>
    <m/>
    <m/>
    <m/>
    <m/>
    <m/>
    <m/>
    <m/>
    <m/>
    <m/>
    <m/>
    <m/>
    <m/>
    <m/>
    <m/>
    <m/>
    <m/>
    <m/>
    <m/>
    <m/>
    <m/>
    <m/>
    <m/>
    <m/>
    <m/>
    <m/>
    <m/>
    <m/>
    <m/>
    <m/>
    <m/>
    <m/>
    <m/>
    <m/>
    <m/>
    <m/>
    <m/>
    <m/>
    <m/>
    <m/>
    <m/>
    <m/>
    <m/>
    <m/>
    <m/>
    <m/>
  </r>
  <r>
    <x v="180"/>
    <n v="2009"/>
    <x v="29"/>
    <s v="Latin America and Caribbean"/>
    <m/>
    <s v="Mining"/>
    <s v="yes"/>
    <s v="no"/>
    <s v="no"/>
    <s v="Feldspar"/>
    <s v="detailed"/>
    <s v="detailed Mining"/>
    <m/>
    <m/>
    <m/>
    <m/>
    <m/>
    <m/>
    <m/>
    <m/>
    <m/>
    <m/>
    <m/>
    <m/>
    <m/>
    <m/>
    <m/>
    <m/>
    <m/>
    <m/>
    <m/>
    <m/>
    <m/>
    <m/>
    <m/>
    <m/>
    <m/>
    <m/>
    <m/>
    <m/>
    <m/>
    <m/>
    <m/>
    <m/>
    <m/>
    <m/>
    <m/>
    <m/>
    <m/>
    <m/>
    <m/>
    <m/>
    <m/>
    <m/>
    <m/>
    <m/>
    <m/>
    <m/>
    <m/>
    <m/>
    <m/>
    <m/>
    <m/>
    <m/>
    <m/>
    <m/>
    <m/>
  </r>
  <r>
    <x v="180"/>
    <n v="2009"/>
    <x v="29"/>
    <s v="Latin America and Caribbean"/>
    <m/>
    <s v="Mining"/>
    <s v="yes"/>
    <s v="no"/>
    <s v="no"/>
    <s v="Fire clay"/>
    <s v="detailed"/>
    <s v="detailed Mining"/>
    <m/>
    <m/>
    <m/>
    <m/>
    <m/>
    <m/>
    <m/>
    <m/>
    <m/>
    <m/>
    <m/>
    <m/>
    <m/>
    <m/>
    <m/>
    <m/>
    <m/>
    <m/>
    <m/>
    <m/>
    <m/>
    <m/>
    <m/>
    <m/>
    <m/>
    <m/>
    <m/>
    <m/>
    <m/>
    <m/>
    <m/>
    <m/>
    <m/>
    <m/>
    <m/>
    <m/>
    <m/>
    <m/>
    <m/>
    <m/>
    <m/>
    <m/>
    <m/>
    <m/>
    <m/>
    <m/>
    <m/>
    <m/>
    <m/>
    <m/>
    <m/>
    <m/>
    <m/>
    <m/>
    <m/>
  </r>
  <r>
    <x v="180"/>
    <n v="2009"/>
    <x v="29"/>
    <s v="Latin America and Caribbean"/>
    <m/>
    <s v="Mining"/>
    <s v="yes"/>
    <s v="no"/>
    <s v="no"/>
    <s v="Flagstone"/>
    <s v="detailed"/>
    <s v="detailed Mining"/>
    <m/>
    <m/>
    <m/>
    <m/>
    <m/>
    <m/>
    <m/>
    <m/>
    <m/>
    <m/>
    <m/>
    <m/>
    <m/>
    <m/>
    <m/>
    <m/>
    <m/>
    <m/>
    <m/>
    <m/>
    <m/>
    <m/>
    <m/>
    <m/>
    <m/>
    <m/>
    <m/>
    <m/>
    <m/>
    <m/>
    <m/>
    <m/>
    <m/>
    <m/>
    <m/>
    <m/>
    <m/>
    <m/>
    <m/>
    <m/>
    <m/>
    <m/>
    <m/>
    <m/>
    <m/>
    <m/>
    <m/>
    <m/>
    <m/>
    <m/>
    <m/>
    <m/>
    <m/>
    <m/>
    <m/>
  </r>
  <r>
    <x v="180"/>
    <n v="2009"/>
    <x v="29"/>
    <s v="Latin America and Caribbean"/>
    <m/>
    <s v="Mining"/>
    <s v="yes"/>
    <s v="no"/>
    <s v="no"/>
    <s v="Gold"/>
    <s v="detailed"/>
    <s v="detailed Mining"/>
    <m/>
    <m/>
    <m/>
    <m/>
    <m/>
    <m/>
    <m/>
    <m/>
    <m/>
    <m/>
    <m/>
    <m/>
    <m/>
    <m/>
    <m/>
    <m/>
    <m/>
    <m/>
    <m/>
    <m/>
    <m/>
    <m/>
    <m/>
    <m/>
    <m/>
    <m/>
    <m/>
    <m/>
    <m/>
    <m/>
    <m/>
    <m/>
    <m/>
    <m/>
    <m/>
    <m/>
    <m/>
    <m/>
    <m/>
    <m/>
    <m/>
    <m/>
    <m/>
    <m/>
    <m/>
    <m/>
    <m/>
    <m/>
    <m/>
    <m/>
    <m/>
    <m/>
    <m/>
    <m/>
    <m/>
  </r>
  <r>
    <x v="180"/>
    <n v="2009"/>
    <x v="29"/>
    <s v="Latin America and Caribbean"/>
    <m/>
    <s v="Mining"/>
    <s v="yes"/>
    <s v="no"/>
    <s v="no"/>
    <s v="Granite"/>
    <s v="detailed"/>
    <s v="detailed Mining"/>
    <m/>
    <m/>
    <m/>
    <m/>
    <m/>
    <m/>
    <m/>
    <m/>
    <m/>
    <m/>
    <m/>
    <m/>
    <m/>
    <m/>
    <m/>
    <m/>
    <m/>
    <m/>
    <m/>
    <m/>
    <m/>
    <m/>
    <m/>
    <m/>
    <m/>
    <m/>
    <m/>
    <m/>
    <m/>
    <m/>
    <m/>
    <m/>
    <m/>
    <m/>
    <m/>
    <m/>
    <m/>
    <m/>
    <m/>
    <m/>
    <m/>
    <m/>
    <m/>
    <m/>
    <m/>
    <m/>
    <m/>
    <m/>
    <m/>
    <m/>
    <m/>
    <m/>
    <m/>
    <m/>
    <m/>
  </r>
  <r>
    <x v="180"/>
    <n v="2009"/>
    <x v="29"/>
    <s v="Latin America and Caribbean"/>
    <m/>
    <s v="Mining"/>
    <s v="yes"/>
    <s v="no"/>
    <s v="no"/>
    <s v="Gypsum (crude)"/>
    <s v="detailed"/>
    <s v="detailed Mining"/>
    <m/>
    <m/>
    <m/>
    <m/>
    <m/>
    <m/>
    <m/>
    <m/>
    <m/>
    <m/>
    <m/>
    <m/>
    <m/>
    <m/>
    <m/>
    <m/>
    <m/>
    <m/>
    <m/>
    <m/>
    <m/>
    <m/>
    <m/>
    <m/>
    <m/>
    <m/>
    <m/>
    <m/>
    <m/>
    <m/>
    <m/>
    <m/>
    <m/>
    <m/>
    <m/>
    <m/>
    <m/>
    <m/>
    <m/>
    <m/>
    <m/>
    <m/>
    <m/>
    <m/>
    <m/>
    <m/>
    <m/>
    <m/>
    <m/>
    <m/>
    <m/>
    <m/>
    <m/>
    <m/>
    <m/>
  </r>
  <r>
    <x v="180"/>
    <n v="2009"/>
    <x v="29"/>
    <s v="Latin America and Caribbean"/>
    <m/>
    <s v="Mining"/>
    <s v="yes"/>
    <s v="no"/>
    <s v="no"/>
    <s v="Indium"/>
    <s v="detailed"/>
    <s v="detailed Mining"/>
    <m/>
    <m/>
    <m/>
    <m/>
    <m/>
    <m/>
    <m/>
    <m/>
    <m/>
    <m/>
    <m/>
    <m/>
    <m/>
    <m/>
    <m/>
    <m/>
    <m/>
    <m/>
    <m/>
    <m/>
    <m/>
    <m/>
    <m/>
    <m/>
    <m/>
    <m/>
    <m/>
    <m/>
    <m/>
    <m/>
    <m/>
    <m/>
    <m/>
    <m/>
    <m/>
    <m/>
    <m/>
    <m/>
    <m/>
    <m/>
    <m/>
    <m/>
    <m/>
    <m/>
    <m/>
    <m/>
    <m/>
    <m/>
    <m/>
    <m/>
    <m/>
    <m/>
    <m/>
    <m/>
    <m/>
  </r>
  <r>
    <x v="180"/>
    <n v="2009"/>
    <x v="29"/>
    <s v="Latin America and Caribbean"/>
    <m/>
    <s v="Mining"/>
    <s v="yes"/>
    <s v="no"/>
    <s v="no"/>
    <s v="Iron ore"/>
    <s v="detailed"/>
    <s v="detailed Mining"/>
    <m/>
    <m/>
    <m/>
    <m/>
    <m/>
    <m/>
    <m/>
    <m/>
    <m/>
    <m/>
    <m/>
    <m/>
    <m/>
    <m/>
    <m/>
    <m/>
    <m/>
    <m/>
    <m/>
    <m/>
    <m/>
    <m/>
    <m/>
    <m/>
    <m/>
    <m/>
    <m/>
    <m/>
    <m/>
    <m/>
    <m/>
    <m/>
    <m/>
    <m/>
    <m/>
    <m/>
    <m/>
    <m/>
    <m/>
    <m/>
    <m/>
    <m/>
    <m/>
    <m/>
    <m/>
    <m/>
    <m/>
    <m/>
    <m/>
    <m/>
    <m/>
    <m/>
    <m/>
    <m/>
    <m/>
  </r>
  <r>
    <x v="180"/>
    <n v="2009"/>
    <x v="29"/>
    <s v="Latin America and Caribbean"/>
    <m/>
    <s v="Mining"/>
    <s v="yes"/>
    <s v="no"/>
    <s v="no"/>
    <s v="Kaolin clay"/>
    <s v="detailed"/>
    <s v="detailed Mining"/>
    <m/>
    <m/>
    <m/>
    <m/>
    <m/>
    <m/>
    <m/>
    <m/>
    <m/>
    <m/>
    <m/>
    <m/>
    <m/>
    <m/>
    <m/>
    <m/>
    <m/>
    <m/>
    <m/>
    <m/>
    <m/>
    <m/>
    <m/>
    <m/>
    <m/>
    <m/>
    <m/>
    <m/>
    <m/>
    <m/>
    <m/>
    <m/>
    <m/>
    <m/>
    <m/>
    <m/>
    <m/>
    <m/>
    <m/>
    <m/>
    <m/>
    <m/>
    <m/>
    <m/>
    <m/>
    <m/>
    <m/>
    <m/>
    <m/>
    <m/>
    <m/>
    <m/>
    <m/>
    <m/>
    <m/>
  </r>
  <r>
    <x v="180"/>
    <n v="2009"/>
    <x v="29"/>
    <s v="Latin America and Caribbean"/>
    <m/>
    <s v="Mining"/>
    <s v="yes"/>
    <s v="no"/>
    <s v="no"/>
    <s v="Lead"/>
    <s v="detailed"/>
    <s v="detailed Mining"/>
    <m/>
    <m/>
    <m/>
    <m/>
    <m/>
    <m/>
    <m/>
    <m/>
    <m/>
    <m/>
    <m/>
    <m/>
    <m/>
    <m/>
    <m/>
    <m/>
    <m/>
    <m/>
    <m/>
    <m/>
    <m/>
    <m/>
    <m/>
    <m/>
    <m/>
    <m/>
    <m/>
    <m/>
    <m/>
    <m/>
    <m/>
    <m/>
    <m/>
    <m/>
    <m/>
    <m/>
    <m/>
    <m/>
    <m/>
    <m/>
    <m/>
    <m/>
    <m/>
    <m/>
    <m/>
    <m/>
    <m/>
    <m/>
    <m/>
    <m/>
    <m/>
    <m/>
    <m/>
    <m/>
    <m/>
  </r>
  <r>
    <x v="180"/>
    <n v="2009"/>
    <x v="29"/>
    <s v="Latin America and Caribbean"/>
    <m/>
    <s v="Mining"/>
    <s v="yes"/>
    <s v="no"/>
    <s v="no"/>
    <s v="Lime"/>
    <s v="detailed"/>
    <s v="detailed Mining"/>
    <m/>
    <m/>
    <m/>
    <m/>
    <m/>
    <m/>
    <m/>
    <m/>
    <m/>
    <m/>
    <m/>
    <m/>
    <m/>
    <m/>
    <m/>
    <m/>
    <m/>
    <m/>
    <m/>
    <m/>
    <m/>
    <m/>
    <m/>
    <m/>
    <m/>
    <m/>
    <m/>
    <m/>
    <m/>
    <m/>
    <m/>
    <m/>
    <m/>
    <m/>
    <m/>
    <m/>
    <m/>
    <m/>
    <m/>
    <m/>
    <m/>
    <m/>
    <m/>
    <m/>
    <m/>
    <m/>
    <m/>
    <m/>
    <m/>
    <m/>
    <m/>
    <m/>
    <m/>
    <m/>
    <m/>
  </r>
  <r>
    <x v="180"/>
    <n v="2009"/>
    <x v="29"/>
    <s v="Latin America and Caribbean"/>
    <m/>
    <s v="Mining"/>
    <s v="yes"/>
    <s v="no"/>
    <s v="no"/>
    <s v="Limestone"/>
    <s v="detailed"/>
    <s v="detailed Mining"/>
    <m/>
    <m/>
    <m/>
    <m/>
    <m/>
    <m/>
    <m/>
    <m/>
    <m/>
    <m/>
    <m/>
    <m/>
    <m/>
    <m/>
    <m/>
    <m/>
    <m/>
    <m/>
    <m/>
    <m/>
    <m/>
    <m/>
    <m/>
    <m/>
    <m/>
    <m/>
    <m/>
    <m/>
    <m/>
    <m/>
    <m/>
    <m/>
    <m/>
    <m/>
    <m/>
    <m/>
    <m/>
    <m/>
    <m/>
    <m/>
    <m/>
    <m/>
    <m/>
    <m/>
    <m/>
    <m/>
    <m/>
    <m/>
    <m/>
    <m/>
    <m/>
    <m/>
    <m/>
    <m/>
    <m/>
  </r>
  <r>
    <x v="180"/>
    <n v="2009"/>
    <x v="29"/>
    <s v="Latin America and Caribbean"/>
    <m/>
    <s v="Mining"/>
    <s v="yes"/>
    <s v="no"/>
    <s v="no"/>
    <s v="Manganese"/>
    <s v="detailed"/>
    <s v="detailed Mining"/>
    <m/>
    <m/>
    <m/>
    <m/>
    <m/>
    <m/>
    <m/>
    <m/>
    <m/>
    <m/>
    <m/>
    <m/>
    <m/>
    <m/>
    <m/>
    <m/>
    <m/>
    <m/>
    <m/>
    <m/>
    <m/>
    <m/>
    <m/>
    <m/>
    <m/>
    <m/>
    <m/>
    <m/>
    <m/>
    <m/>
    <m/>
    <m/>
    <m/>
    <m/>
    <m/>
    <m/>
    <m/>
    <m/>
    <m/>
    <m/>
    <m/>
    <m/>
    <m/>
    <m/>
    <m/>
    <m/>
    <m/>
    <m/>
    <m/>
    <m/>
    <m/>
    <m/>
    <m/>
    <m/>
    <m/>
  </r>
  <r>
    <x v="180"/>
    <n v="2009"/>
    <x v="29"/>
    <s v="Latin America and Caribbean"/>
    <m/>
    <s v="Mining"/>
    <s v="yes"/>
    <s v="no"/>
    <s v="no"/>
    <s v="Marble"/>
    <s v="detailed"/>
    <s v="detailed Mining"/>
    <m/>
    <m/>
    <m/>
    <m/>
    <m/>
    <m/>
    <m/>
    <m/>
    <m/>
    <m/>
    <m/>
    <m/>
    <m/>
    <m/>
    <m/>
    <m/>
    <m/>
    <m/>
    <m/>
    <m/>
    <m/>
    <m/>
    <m/>
    <m/>
    <m/>
    <m/>
    <m/>
    <m/>
    <m/>
    <m/>
    <m/>
    <m/>
    <m/>
    <m/>
    <m/>
    <m/>
    <m/>
    <m/>
    <m/>
    <m/>
    <m/>
    <m/>
    <m/>
    <m/>
    <m/>
    <m/>
    <m/>
    <m/>
    <m/>
    <m/>
    <m/>
    <m/>
    <m/>
    <m/>
    <m/>
  </r>
  <r>
    <x v="180"/>
    <n v="2009"/>
    <x v="29"/>
    <s v="Latin America and Caribbean"/>
    <m/>
    <s v="Mining"/>
    <s v="yes"/>
    <s v="no"/>
    <s v="no"/>
    <s v="Molybdenum"/>
    <s v="detailed"/>
    <s v="detailed Mining"/>
    <m/>
    <m/>
    <m/>
    <m/>
    <m/>
    <m/>
    <m/>
    <m/>
    <m/>
    <m/>
    <m/>
    <m/>
    <m/>
    <m/>
    <m/>
    <m/>
    <m/>
    <m/>
    <m/>
    <m/>
    <m/>
    <m/>
    <m/>
    <m/>
    <m/>
    <m/>
    <m/>
    <m/>
    <m/>
    <m/>
    <m/>
    <m/>
    <m/>
    <m/>
    <m/>
    <m/>
    <m/>
    <m/>
    <m/>
    <m/>
    <m/>
    <m/>
    <m/>
    <m/>
    <m/>
    <m/>
    <m/>
    <m/>
    <m/>
    <m/>
    <m/>
    <m/>
    <m/>
    <m/>
    <m/>
  </r>
  <r>
    <x v="180"/>
    <n v="2009"/>
    <x v="29"/>
    <s v="Latin America and Caribbean"/>
    <m/>
    <s v="Mining"/>
    <s v="yes"/>
    <s v="no"/>
    <s v="no"/>
    <s v="Nitrogen (fixed - ammonia)"/>
    <s v="detailed"/>
    <s v="detailed Mining"/>
    <m/>
    <m/>
    <m/>
    <m/>
    <m/>
    <m/>
    <m/>
    <m/>
    <m/>
    <m/>
    <m/>
    <m/>
    <m/>
    <m/>
    <m/>
    <m/>
    <m/>
    <m/>
    <m/>
    <m/>
    <m/>
    <m/>
    <m/>
    <m/>
    <m/>
    <m/>
    <m/>
    <m/>
    <m/>
    <m/>
    <m/>
    <m/>
    <m/>
    <m/>
    <m/>
    <m/>
    <m/>
    <m/>
    <m/>
    <m/>
    <m/>
    <m/>
    <m/>
    <m/>
    <m/>
    <m/>
    <m/>
    <m/>
    <m/>
    <m/>
    <m/>
    <m/>
    <m/>
    <m/>
    <m/>
  </r>
  <r>
    <x v="180"/>
    <n v="2009"/>
    <x v="29"/>
    <s v="Latin America and Caribbean"/>
    <m/>
    <s v="Mining"/>
    <s v="yes"/>
    <s v="no"/>
    <s v="no"/>
    <s v="Onyx"/>
    <s v="detailed"/>
    <s v="detailed Mining"/>
    <m/>
    <m/>
    <m/>
    <m/>
    <m/>
    <m/>
    <m/>
    <m/>
    <m/>
    <m/>
    <m/>
    <m/>
    <m/>
    <m/>
    <m/>
    <m/>
    <m/>
    <m/>
    <m/>
    <m/>
    <m/>
    <m/>
    <m/>
    <m/>
    <m/>
    <m/>
    <m/>
    <m/>
    <m/>
    <m/>
    <m/>
    <m/>
    <m/>
    <m/>
    <m/>
    <m/>
    <m/>
    <m/>
    <m/>
    <m/>
    <m/>
    <m/>
    <m/>
    <m/>
    <m/>
    <m/>
    <m/>
    <m/>
    <m/>
    <m/>
    <m/>
    <m/>
    <m/>
    <m/>
    <m/>
  </r>
  <r>
    <x v="180"/>
    <n v="2009"/>
    <x v="29"/>
    <s v="Latin America and Caribbean"/>
    <m/>
    <s v="Mining"/>
    <s v="yes"/>
    <s v="no"/>
    <s v="no"/>
    <s v="Phosphate rock"/>
    <s v="detailed"/>
    <s v="detailed Mining"/>
    <m/>
    <m/>
    <m/>
    <m/>
    <m/>
    <m/>
    <m/>
    <m/>
    <m/>
    <m/>
    <m/>
    <m/>
    <m/>
    <m/>
    <m/>
    <m/>
    <m/>
    <m/>
    <m/>
    <m/>
    <m/>
    <m/>
    <m/>
    <m/>
    <m/>
    <m/>
    <m/>
    <m/>
    <m/>
    <m/>
    <m/>
    <m/>
    <m/>
    <m/>
    <m/>
    <m/>
    <m/>
    <m/>
    <m/>
    <m/>
    <m/>
    <m/>
    <m/>
    <m/>
    <m/>
    <m/>
    <m/>
    <m/>
    <m/>
    <m/>
    <m/>
    <m/>
    <m/>
    <m/>
    <m/>
  </r>
  <r>
    <x v="180"/>
    <n v="2009"/>
    <x v="29"/>
    <s v="Latin America and Caribbean"/>
    <m/>
    <s v="Mining"/>
    <s v="yes"/>
    <s v="no"/>
    <s v="no"/>
    <s v="o/w Gross weight"/>
    <s v="detailed"/>
    <s v="detailed Mining"/>
    <m/>
    <m/>
    <m/>
    <m/>
    <m/>
    <m/>
    <m/>
    <m/>
    <m/>
    <m/>
    <m/>
    <m/>
    <m/>
    <m/>
    <m/>
    <m/>
    <m/>
    <m/>
    <m/>
    <m/>
    <m/>
    <m/>
    <m/>
    <m/>
    <m/>
    <m/>
    <m/>
    <m/>
    <m/>
    <m/>
    <m/>
    <m/>
    <m/>
    <m/>
    <m/>
    <m/>
    <m/>
    <m/>
    <m/>
    <m/>
    <m/>
    <m/>
    <m/>
    <m/>
    <m/>
    <m/>
    <m/>
    <m/>
    <m/>
    <m/>
    <m/>
    <m/>
    <m/>
    <m/>
    <m/>
  </r>
  <r>
    <x v="180"/>
    <n v="2009"/>
    <x v="29"/>
    <s v="Latin America and Caribbean"/>
    <m/>
    <s v="Mining"/>
    <s v="yes"/>
    <s v="no"/>
    <s v="no"/>
    <s v="o/w P2O5 content"/>
    <s v="detailed"/>
    <s v="detailed Mining"/>
    <m/>
    <m/>
    <m/>
    <m/>
    <m/>
    <m/>
    <m/>
    <m/>
    <m/>
    <m/>
    <m/>
    <m/>
    <m/>
    <m/>
    <m/>
    <m/>
    <m/>
    <m/>
    <m/>
    <m/>
    <m/>
    <m/>
    <m/>
    <m/>
    <m/>
    <m/>
    <m/>
    <m/>
    <m/>
    <m/>
    <m/>
    <m/>
    <m/>
    <m/>
    <m/>
    <m/>
    <m/>
    <m/>
    <m/>
    <m/>
    <m/>
    <m/>
    <m/>
    <m/>
    <m/>
    <m/>
    <m/>
    <m/>
    <m/>
    <m/>
    <m/>
    <m/>
    <m/>
    <m/>
    <m/>
  </r>
  <r>
    <x v="180"/>
    <n v="2009"/>
    <x v="29"/>
    <s v="Latin America and Caribbean"/>
    <m/>
    <s v="Mining"/>
    <s v="yes"/>
    <s v="no"/>
    <s v="no"/>
    <s v="Pig iron"/>
    <s v="detailed"/>
    <s v="detailed Mining"/>
    <m/>
    <m/>
    <m/>
    <m/>
    <m/>
    <m/>
    <m/>
    <m/>
    <m/>
    <m/>
    <m/>
    <m/>
    <m/>
    <m/>
    <m/>
    <m/>
    <m/>
    <m/>
    <m/>
    <m/>
    <m/>
    <m/>
    <m/>
    <m/>
    <m/>
    <m/>
    <m/>
    <m/>
    <m/>
    <m/>
    <m/>
    <m/>
    <m/>
    <m/>
    <m/>
    <m/>
    <m/>
    <m/>
    <m/>
    <m/>
    <m/>
    <m/>
    <m/>
    <m/>
    <m/>
    <m/>
    <m/>
    <m/>
    <m/>
    <m/>
    <m/>
    <m/>
    <m/>
    <m/>
    <m/>
  </r>
  <r>
    <x v="180"/>
    <n v="2009"/>
    <x v="29"/>
    <s v="Latin America and Caribbean"/>
    <m/>
    <s v="Mining"/>
    <s v="yes"/>
    <s v="no"/>
    <s v="no"/>
    <s v="Quartz and quartzite (crushed)"/>
    <s v="detailed"/>
    <s v="detailed Mining"/>
    <m/>
    <m/>
    <m/>
    <m/>
    <m/>
    <m/>
    <m/>
    <m/>
    <m/>
    <m/>
    <m/>
    <m/>
    <m/>
    <m/>
    <m/>
    <m/>
    <m/>
    <m/>
    <m/>
    <m/>
    <m/>
    <m/>
    <m/>
    <m/>
    <m/>
    <m/>
    <m/>
    <m/>
    <m/>
    <m/>
    <m/>
    <m/>
    <m/>
    <m/>
    <m/>
    <m/>
    <m/>
    <m/>
    <m/>
    <m/>
    <m/>
    <m/>
    <m/>
    <m/>
    <m/>
    <m/>
    <m/>
    <m/>
    <m/>
    <m/>
    <m/>
    <m/>
    <m/>
    <m/>
    <m/>
  </r>
  <r>
    <x v="180"/>
    <n v="2009"/>
    <x v="29"/>
    <s v="Latin America and Caribbean"/>
    <m/>
    <s v="Mining"/>
    <s v="yes"/>
    <s v="no"/>
    <s v="no"/>
    <s v="Salt"/>
    <s v="detailed"/>
    <s v="detailed Mining"/>
    <m/>
    <m/>
    <m/>
    <m/>
    <m/>
    <m/>
    <m/>
    <m/>
    <m/>
    <m/>
    <m/>
    <m/>
    <m/>
    <m/>
    <m/>
    <m/>
    <m/>
    <m/>
    <m/>
    <m/>
    <m/>
    <m/>
    <m/>
    <m/>
    <m/>
    <m/>
    <m/>
    <m/>
    <m/>
    <m/>
    <m/>
    <m/>
    <m/>
    <m/>
    <m/>
    <m/>
    <m/>
    <m/>
    <m/>
    <m/>
    <m/>
    <m/>
    <m/>
    <m/>
    <m/>
    <m/>
    <m/>
    <m/>
    <m/>
    <m/>
    <m/>
    <m/>
    <m/>
    <m/>
    <m/>
  </r>
  <r>
    <x v="180"/>
    <n v="2009"/>
    <x v="29"/>
    <s v="Latin America and Caribbean"/>
    <m/>
    <s v="Mining"/>
    <s v="yes"/>
    <s v="no"/>
    <s v="no"/>
    <s v="Sand"/>
    <s v="detailed"/>
    <s v="detailed Mining"/>
    <m/>
    <m/>
    <m/>
    <m/>
    <m/>
    <m/>
    <m/>
    <m/>
    <m/>
    <m/>
    <m/>
    <m/>
    <m/>
    <m/>
    <m/>
    <m/>
    <m/>
    <m/>
    <m/>
    <m/>
    <m/>
    <m/>
    <m/>
    <m/>
    <m/>
    <m/>
    <m/>
    <m/>
    <m/>
    <m/>
    <m/>
    <m/>
    <m/>
    <m/>
    <m/>
    <m/>
    <m/>
    <m/>
    <m/>
    <m/>
    <m/>
    <m/>
    <m/>
    <m/>
    <m/>
    <m/>
    <m/>
    <m/>
    <m/>
    <m/>
    <m/>
    <m/>
    <m/>
    <m/>
    <m/>
  </r>
  <r>
    <x v="180"/>
    <n v="2009"/>
    <x v="29"/>
    <s v="Latin America and Caribbean"/>
    <m/>
    <s v="Mining"/>
    <s v="yes"/>
    <s v="no"/>
    <s v="no"/>
    <s v="Selenium (metal, refined)"/>
    <s v="detailed"/>
    <s v="detailed Mining"/>
    <m/>
    <m/>
    <m/>
    <m/>
    <m/>
    <m/>
    <m/>
    <m/>
    <m/>
    <m/>
    <m/>
    <m/>
    <m/>
    <m/>
    <m/>
    <m/>
    <m/>
    <m/>
    <m/>
    <m/>
    <m/>
    <m/>
    <m/>
    <m/>
    <m/>
    <m/>
    <m/>
    <m/>
    <m/>
    <m/>
    <m/>
    <m/>
    <m/>
    <m/>
    <m/>
    <m/>
    <m/>
    <m/>
    <m/>
    <m/>
    <m/>
    <m/>
    <m/>
    <m/>
    <m/>
    <m/>
    <m/>
    <m/>
    <m/>
    <m/>
    <m/>
    <m/>
    <m/>
    <m/>
    <m/>
  </r>
  <r>
    <x v="180"/>
    <n v="2009"/>
    <x v="29"/>
    <s v="Latin America and Caribbean"/>
    <m/>
    <s v="Mining"/>
    <s v="yes"/>
    <s v="no"/>
    <s v="no"/>
    <s v="Shell"/>
    <s v="detailed"/>
    <s v="detailed Mining"/>
    <m/>
    <m/>
    <m/>
    <m/>
    <m/>
    <m/>
    <m/>
    <m/>
    <m/>
    <m/>
    <m/>
    <m/>
    <m/>
    <m/>
    <m/>
    <m/>
    <m/>
    <m/>
    <m/>
    <m/>
    <m/>
    <m/>
    <m/>
    <m/>
    <m/>
    <m/>
    <m/>
    <m/>
    <m/>
    <m/>
    <m/>
    <m/>
    <m/>
    <m/>
    <m/>
    <m/>
    <m/>
    <m/>
    <m/>
    <m/>
    <m/>
    <m/>
    <m/>
    <m/>
    <m/>
    <m/>
    <m/>
    <m/>
    <m/>
    <m/>
    <m/>
    <m/>
    <m/>
    <m/>
    <m/>
  </r>
  <r>
    <x v="180"/>
    <n v="2009"/>
    <x v="29"/>
    <s v="Latin America and Caribbean"/>
    <m/>
    <s v="Mining"/>
    <s v="yes"/>
    <s v="no"/>
    <s v="no"/>
    <s v="Silver"/>
    <s v="detailed"/>
    <s v="detailed Mining"/>
    <m/>
    <m/>
    <m/>
    <m/>
    <m/>
    <m/>
    <m/>
    <m/>
    <m/>
    <m/>
    <m/>
    <m/>
    <m/>
    <m/>
    <m/>
    <m/>
    <m/>
    <m/>
    <m/>
    <m/>
    <m/>
    <m/>
    <m/>
    <m/>
    <m/>
    <m/>
    <m/>
    <m/>
    <m/>
    <m/>
    <m/>
    <m/>
    <m/>
    <m/>
    <m/>
    <m/>
    <m/>
    <m/>
    <m/>
    <m/>
    <m/>
    <m/>
    <m/>
    <m/>
    <m/>
    <m/>
    <m/>
    <m/>
    <m/>
    <m/>
    <m/>
    <m/>
    <m/>
    <m/>
    <m/>
  </r>
  <r>
    <x v="180"/>
    <n v="2009"/>
    <x v="29"/>
    <s v="Latin America and Caribbean"/>
    <m/>
    <s v="Mining"/>
    <s v="yes"/>
    <s v="no"/>
    <s v="no"/>
    <s v="Slate"/>
    <s v="detailed"/>
    <s v="detailed Mining"/>
    <m/>
    <m/>
    <m/>
    <m/>
    <m/>
    <m/>
    <m/>
    <m/>
    <m/>
    <m/>
    <m/>
    <m/>
    <m/>
    <m/>
    <m/>
    <m/>
    <m/>
    <m/>
    <m/>
    <m/>
    <m/>
    <m/>
    <m/>
    <m/>
    <m/>
    <m/>
    <m/>
    <m/>
    <m/>
    <m/>
    <m/>
    <m/>
    <m/>
    <m/>
    <m/>
    <m/>
    <m/>
    <m/>
    <m/>
    <m/>
    <m/>
    <m/>
    <m/>
    <m/>
    <m/>
    <m/>
    <m/>
    <m/>
    <m/>
    <m/>
    <m/>
    <m/>
    <m/>
    <m/>
    <m/>
  </r>
  <r>
    <x v="180"/>
    <n v="2009"/>
    <x v="29"/>
    <s v="Latin America and Caribbean"/>
    <m/>
    <s v="Mining"/>
    <s v="yes"/>
    <s v="no"/>
    <s v="no"/>
    <s v="Steel"/>
    <s v="detailed"/>
    <s v="detailed Mining"/>
    <m/>
    <m/>
    <m/>
    <m/>
    <m/>
    <m/>
    <m/>
    <m/>
    <m/>
    <m/>
    <m/>
    <m/>
    <m/>
    <m/>
    <m/>
    <m/>
    <m/>
    <m/>
    <m/>
    <m/>
    <m/>
    <m/>
    <m/>
    <m/>
    <m/>
    <m/>
    <m/>
    <m/>
    <m/>
    <m/>
    <m/>
    <m/>
    <m/>
    <m/>
    <m/>
    <m/>
    <m/>
    <m/>
    <m/>
    <m/>
    <m/>
    <m/>
    <m/>
    <m/>
    <m/>
    <m/>
    <m/>
    <m/>
    <m/>
    <m/>
    <m/>
    <m/>
    <m/>
    <m/>
    <m/>
  </r>
  <r>
    <x v="180"/>
    <n v="2009"/>
    <x v="29"/>
    <s v="Latin America and Caribbean"/>
    <m/>
    <s v="Mining"/>
    <s v="yes"/>
    <s v="no"/>
    <s v="no"/>
    <s v="Stone (construction)"/>
    <s v="detailed"/>
    <s v="detailed Mining"/>
    <m/>
    <m/>
    <m/>
    <m/>
    <m/>
    <m/>
    <m/>
    <m/>
    <m/>
    <m/>
    <m/>
    <m/>
    <m/>
    <m/>
    <m/>
    <m/>
    <m/>
    <m/>
    <m/>
    <m/>
    <m/>
    <m/>
    <m/>
    <m/>
    <m/>
    <m/>
    <m/>
    <m/>
    <m/>
    <m/>
    <m/>
    <m/>
    <m/>
    <m/>
    <m/>
    <m/>
    <m/>
    <m/>
    <m/>
    <m/>
    <m/>
    <m/>
    <m/>
    <m/>
    <m/>
    <m/>
    <m/>
    <m/>
    <m/>
    <m/>
    <m/>
    <m/>
    <m/>
    <m/>
    <m/>
  </r>
  <r>
    <x v="180"/>
    <n v="2009"/>
    <x v="29"/>
    <s v="Latin America and Caribbean"/>
    <m/>
    <s v="Mining"/>
    <s v="yes"/>
    <s v="no"/>
    <s v="no"/>
    <s v="Sulfur (elemental)"/>
    <s v="detailed"/>
    <s v="detailed Mining"/>
    <m/>
    <m/>
    <m/>
    <m/>
    <m/>
    <m/>
    <m/>
    <m/>
    <m/>
    <m/>
    <m/>
    <m/>
    <m/>
    <m/>
    <m/>
    <m/>
    <m/>
    <m/>
    <m/>
    <m/>
    <m/>
    <m/>
    <m/>
    <m/>
    <m/>
    <m/>
    <m/>
    <m/>
    <m/>
    <m/>
    <m/>
    <m/>
    <m/>
    <m/>
    <m/>
    <m/>
    <m/>
    <m/>
    <m/>
    <m/>
    <m/>
    <m/>
    <m/>
    <m/>
    <m/>
    <m/>
    <m/>
    <m/>
    <m/>
    <m/>
    <m/>
    <m/>
    <m/>
    <m/>
    <m/>
  </r>
  <r>
    <x v="180"/>
    <n v="2009"/>
    <x v="29"/>
    <s v="Latin America and Caribbean"/>
    <m/>
    <s v="Mining"/>
    <s v="yes"/>
    <s v="no"/>
    <s v="no"/>
    <s v="Talc"/>
    <s v="detailed"/>
    <s v="detailed Mining"/>
    <m/>
    <m/>
    <m/>
    <m/>
    <m/>
    <m/>
    <m/>
    <m/>
    <m/>
    <m/>
    <m/>
    <m/>
    <m/>
    <m/>
    <m/>
    <m/>
    <m/>
    <m/>
    <m/>
    <m/>
    <m/>
    <m/>
    <m/>
    <m/>
    <m/>
    <m/>
    <m/>
    <m/>
    <m/>
    <m/>
    <m/>
    <m/>
    <m/>
    <m/>
    <m/>
    <m/>
    <m/>
    <m/>
    <m/>
    <m/>
    <m/>
    <m/>
    <m/>
    <m/>
    <m/>
    <m/>
    <m/>
    <m/>
    <m/>
    <m/>
    <m/>
    <m/>
    <m/>
    <m/>
    <m/>
  </r>
  <r>
    <x v="180"/>
    <n v="2009"/>
    <x v="29"/>
    <s v="Latin America and Caribbean"/>
    <m/>
    <s v="Mining"/>
    <s v="yes"/>
    <s v="no"/>
    <s v="no"/>
    <s v="Tellurium (metal)"/>
    <s v="detailed"/>
    <s v="detailed Mining"/>
    <m/>
    <m/>
    <m/>
    <m/>
    <m/>
    <m/>
    <m/>
    <m/>
    <m/>
    <m/>
    <m/>
    <m/>
    <m/>
    <m/>
    <m/>
    <m/>
    <m/>
    <m/>
    <m/>
    <m/>
    <m/>
    <m/>
    <m/>
    <m/>
    <m/>
    <m/>
    <m/>
    <m/>
    <m/>
    <m/>
    <m/>
    <m/>
    <m/>
    <m/>
    <m/>
    <m/>
    <m/>
    <m/>
    <m/>
    <m/>
    <m/>
    <m/>
    <m/>
    <m/>
    <m/>
    <m/>
    <m/>
    <m/>
    <m/>
    <m/>
    <m/>
    <m/>
    <m/>
    <m/>
    <m/>
  </r>
  <r>
    <x v="180"/>
    <n v="2009"/>
    <x v="29"/>
    <s v="Latin America and Caribbean"/>
    <m/>
    <s v="Mining"/>
    <s v="yes"/>
    <s v="no"/>
    <s v="no"/>
    <s v="Tin"/>
    <s v="detailed"/>
    <s v="detailed Mining"/>
    <m/>
    <m/>
    <m/>
    <m/>
    <m/>
    <m/>
    <m/>
    <m/>
    <m/>
    <m/>
    <m/>
    <m/>
    <m/>
    <m/>
    <m/>
    <m/>
    <m/>
    <m/>
    <m/>
    <m/>
    <m/>
    <m/>
    <m/>
    <m/>
    <m/>
    <m/>
    <m/>
    <m/>
    <m/>
    <m/>
    <m/>
    <m/>
    <m/>
    <m/>
    <m/>
    <m/>
    <m/>
    <m/>
    <m/>
    <m/>
    <m/>
    <m/>
    <m/>
    <m/>
    <m/>
    <m/>
    <m/>
    <m/>
    <m/>
    <m/>
    <m/>
    <m/>
    <m/>
    <m/>
    <m/>
  </r>
  <r>
    <x v="180"/>
    <n v="2009"/>
    <x v="29"/>
    <s v="Latin America and Caribbean"/>
    <m/>
    <s v="Mining"/>
    <s v="yes"/>
    <s v="no"/>
    <s v="no"/>
    <s v="Travertine"/>
    <s v="detailed"/>
    <s v="detailed Mining"/>
    <m/>
    <m/>
    <m/>
    <m/>
    <m/>
    <m/>
    <m/>
    <m/>
    <m/>
    <m/>
    <m/>
    <m/>
    <m/>
    <m/>
    <m/>
    <m/>
    <m/>
    <m/>
    <m/>
    <m/>
    <m/>
    <m/>
    <m/>
    <m/>
    <m/>
    <m/>
    <m/>
    <m/>
    <m/>
    <m/>
    <m/>
    <m/>
    <m/>
    <m/>
    <m/>
    <m/>
    <m/>
    <m/>
    <m/>
    <m/>
    <m/>
    <m/>
    <m/>
    <m/>
    <m/>
    <m/>
    <m/>
    <m/>
    <m/>
    <m/>
    <m/>
    <m/>
    <m/>
    <m/>
    <m/>
  </r>
  <r>
    <x v="180"/>
    <n v="2009"/>
    <x v="29"/>
    <s v="Latin America and Caribbean"/>
    <m/>
    <s v="Mining"/>
    <s v="yes"/>
    <s v="no"/>
    <s v="no"/>
    <s v="Tungsten (metal)"/>
    <s v="detailed"/>
    <s v="detailed Mining"/>
    <m/>
    <m/>
    <m/>
    <m/>
    <m/>
    <m/>
    <m/>
    <m/>
    <m/>
    <m/>
    <m/>
    <m/>
    <m/>
    <m/>
    <m/>
    <m/>
    <m/>
    <m/>
    <m/>
    <m/>
    <m/>
    <m/>
    <m/>
    <m/>
    <m/>
    <m/>
    <m/>
    <m/>
    <m/>
    <m/>
    <m/>
    <m/>
    <m/>
    <m/>
    <m/>
    <m/>
    <m/>
    <m/>
    <m/>
    <m/>
    <m/>
    <m/>
    <m/>
    <m/>
    <m/>
    <m/>
    <m/>
    <m/>
    <m/>
    <m/>
    <m/>
    <m/>
    <m/>
    <m/>
    <m/>
  </r>
  <r>
    <x v="180"/>
    <n v="2009"/>
    <x v="29"/>
    <s v="Latin America and Caribbean"/>
    <m/>
    <s v="Mining"/>
    <s v="yes"/>
    <s v="no"/>
    <s v="no"/>
    <s v="Zinc"/>
    <s v="detailed"/>
    <s v="detailed Mining"/>
    <m/>
    <m/>
    <m/>
    <m/>
    <m/>
    <m/>
    <m/>
    <m/>
    <m/>
    <m/>
    <m/>
    <m/>
    <m/>
    <m/>
    <m/>
    <m/>
    <m/>
    <m/>
    <m/>
    <m/>
    <m/>
    <m/>
    <m/>
    <m/>
    <m/>
    <m/>
    <m/>
    <m/>
    <m/>
    <m/>
    <m/>
    <m/>
    <m/>
    <m/>
    <m/>
    <m/>
    <m/>
    <m/>
    <m/>
    <m/>
    <m/>
    <m/>
    <m/>
    <m/>
    <m/>
    <m/>
    <m/>
    <m/>
    <m/>
    <m/>
    <m/>
    <m/>
    <m/>
    <m/>
    <m/>
  </r>
  <r>
    <x v="181"/>
    <n v="2010"/>
    <x v="29"/>
    <s v="Latin America and Caribbean"/>
    <s v="http://eitiperu.minem.gob.pe/"/>
    <s v="Oil, Gas, Mining"/>
    <s v="yes"/>
    <s v="yes"/>
    <s v="yes"/>
    <s v="Total"/>
    <s v="Total"/>
    <s v="Total Oil, Gas, Mining"/>
    <m/>
    <m/>
    <m/>
    <m/>
    <m/>
    <m/>
    <m/>
    <m/>
    <m/>
    <n v="29100004547.420002"/>
    <s v="Profits/Taxes, Royalties, Licenses and concessions"/>
    <s v="Does not include payments made in-kind"/>
    <s v="-"/>
    <n v="4358147652.2724705"/>
    <n v="4358224746.2937012"/>
    <m/>
    <m/>
    <m/>
    <n v="0.17175727590516091"/>
    <s v="United States Dollar and the Peruvian neuvo sol"/>
    <n v="2.8260000000000001"/>
    <s v="Disaggregated by revenue stream"/>
    <m/>
    <m/>
    <m/>
    <m/>
    <n v="51"/>
    <s v="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Pacific Stratus Energy S.A. PeruDivision, Savia Perú S.A., Pluspetrol Lote 56 S.A, Interoil Perú S.A., Sonatrach Perú Corporation S.A.C,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
    <n v="51"/>
    <d v="2011-12-01T00:00:00"/>
    <d v="2014-09-17T00:00:00"/>
    <s v="Ernst &amp; Young"/>
    <s v="http://eiti.org/files/Peru%202008-2010%20EITI%20Report.pdf"/>
    <s v="76-78"/>
    <s v="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90% of national oil &amp; gas production and 83% of national mining production in 2010, which is given in the report as US$5,687,106,188 and US$23,412,898,360.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
    <m/>
    <m/>
    <m/>
    <m/>
    <m/>
    <m/>
    <m/>
    <m/>
    <m/>
    <m/>
    <m/>
    <m/>
    <m/>
    <m/>
    <m/>
    <m/>
    <m/>
    <m/>
    <m/>
    <m/>
  </r>
  <r>
    <x v="181"/>
    <n v="2010"/>
    <x v="29"/>
    <s v="Latin America and Caribbean"/>
    <m/>
    <s v="Oil, Gas"/>
    <s v="no"/>
    <s v="yes"/>
    <s v="yes"/>
    <s v="Total Oil &amp; Gas"/>
    <s v="Total"/>
    <s v="Total Oil, Gas"/>
    <m/>
    <m/>
    <m/>
    <m/>
    <m/>
    <m/>
    <m/>
    <m/>
    <m/>
    <n v="5687106187.7200003"/>
    <m/>
    <m/>
    <m/>
    <n v="1509113462.3184714"/>
    <n v="1509113234.3184714"/>
    <s v="90% of production value"/>
    <m/>
    <m/>
    <n v="0.30154205058250394"/>
    <m/>
    <m/>
    <m/>
    <m/>
    <m/>
    <m/>
    <m/>
    <n v="18"/>
    <s v="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Compañía de Minas Buenaventura S.A.A., Pacific Stratus Energy S.A. PeruDivision, Savia Perú S.A., Pluspetrol Lote 56 S.A, Interoil Perú S.A., Sonatrach Perú Corporation S.A.C"/>
    <n v="18"/>
    <m/>
    <m/>
    <m/>
    <m/>
    <n v="10"/>
    <m/>
    <m/>
    <m/>
    <m/>
    <m/>
    <m/>
    <m/>
    <m/>
    <m/>
    <m/>
    <m/>
    <m/>
    <m/>
    <m/>
    <m/>
    <m/>
    <m/>
    <m/>
    <m/>
    <m/>
    <m/>
  </r>
  <r>
    <x v="181"/>
    <n v="2010"/>
    <x v="29"/>
    <s v="Latin America and Caribbean"/>
    <m/>
    <s v="Gas"/>
    <s v="no"/>
    <s v="yes"/>
    <s v="no"/>
    <s v="Gas"/>
    <s v="detailed"/>
    <s v="detailed Gas"/>
    <m/>
    <m/>
    <m/>
    <m/>
    <m/>
    <m/>
    <m/>
    <m/>
    <m/>
    <m/>
    <m/>
    <m/>
    <m/>
    <m/>
    <m/>
    <m/>
    <m/>
    <m/>
    <m/>
    <m/>
    <m/>
    <m/>
    <m/>
    <m/>
    <m/>
    <m/>
    <m/>
    <s v="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
    <m/>
    <m/>
    <m/>
    <m/>
    <m/>
    <m/>
    <m/>
    <m/>
    <m/>
    <m/>
    <m/>
    <m/>
    <m/>
    <m/>
    <m/>
    <m/>
    <m/>
    <m/>
    <m/>
    <m/>
    <m/>
    <m/>
    <m/>
    <m/>
    <m/>
    <m/>
    <m/>
  </r>
  <r>
    <x v="181"/>
    <n v="2010"/>
    <x v="29"/>
    <s v="Latin America and Caribbean"/>
    <m/>
    <s v="Oil"/>
    <s v="no"/>
    <s v="no"/>
    <s v="yes"/>
    <s v="Oil"/>
    <s v="detailed"/>
    <s v="detailed Oil"/>
    <m/>
    <m/>
    <m/>
    <m/>
    <m/>
    <m/>
    <m/>
    <m/>
    <m/>
    <m/>
    <m/>
    <m/>
    <m/>
    <m/>
    <m/>
    <m/>
    <m/>
    <m/>
    <m/>
    <m/>
    <m/>
    <m/>
    <m/>
    <m/>
    <m/>
    <m/>
    <m/>
    <m/>
    <m/>
    <m/>
    <m/>
    <m/>
    <m/>
    <m/>
    <m/>
    <m/>
    <m/>
    <m/>
    <m/>
    <m/>
    <m/>
    <m/>
    <m/>
    <m/>
    <m/>
    <m/>
    <m/>
    <m/>
    <m/>
    <m/>
    <m/>
    <m/>
    <m/>
    <m/>
    <m/>
  </r>
  <r>
    <x v="181"/>
    <n v="2010"/>
    <x v="29"/>
    <s v="Latin America and Caribbean"/>
    <m/>
    <s v="Mining"/>
    <s v="yes"/>
    <s v="no"/>
    <s v="no"/>
    <s v="Total Mining"/>
    <s v="Total"/>
    <s v="Total Mining"/>
    <m/>
    <m/>
    <m/>
    <m/>
    <m/>
    <m/>
    <m/>
    <m/>
    <m/>
    <n v="23412898359.700001"/>
    <m/>
    <m/>
    <m/>
    <n v="2849034189.9539986"/>
    <n v="2849111511.9752302"/>
    <s v="83% of production value"/>
    <m/>
    <m/>
    <n v="0.13986956643149334"/>
    <m/>
    <m/>
    <m/>
    <m/>
    <m/>
    <m/>
    <m/>
    <n v="33"/>
    <s v="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
    <n v="33"/>
    <m/>
    <m/>
    <m/>
    <m/>
    <n v="10"/>
    <m/>
    <m/>
    <m/>
    <m/>
    <m/>
    <m/>
    <m/>
    <m/>
    <m/>
    <m/>
    <m/>
    <m/>
    <m/>
    <m/>
    <m/>
    <m/>
    <m/>
    <m/>
    <m/>
    <m/>
    <m/>
  </r>
  <r>
    <x v="181"/>
    <n v="2010"/>
    <x v="29"/>
    <s v="Latin America and Caribbean"/>
    <m/>
    <s v="Mining"/>
    <s v="yes"/>
    <s v="no"/>
    <s v="no"/>
    <s v="Antimony (metal)"/>
    <s v="detailed"/>
    <s v="detailed Mining"/>
    <m/>
    <m/>
    <m/>
    <m/>
    <m/>
    <m/>
    <m/>
    <m/>
    <m/>
    <m/>
    <m/>
    <m/>
    <m/>
    <m/>
    <m/>
    <m/>
    <m/>
    <m/>
    <m/>
    <m/>
    <m/>
    <m/>
    <m/>
    <m/>
    <m/>
    <m/>
    <m/>
    <m/>
    <m/>
    <m/>
    <m/>
    <m/>
    <m/>
    <m/>
    <m/>
    <m/>
    <m/>
    <m/>
    <m/>
    <m/>
    <m/>
    <m/>
    <m/>
    <m/>
    <m/>
    <m/>
    <m/>
    <m/>
    <m/>
    <m/>
    <m/>
    <m/>
    <m/>
    <m/>
    <m/>
  </r>
  <r>
    <x v="181"/>
    <n v="2010"/>
    <x v="29"/>
    <s v="Latin America and Caribbean"/>
    <m/>
    <s v="Mining"/>
    <s v="yes"/>
    <s v="no"/>
    <s v="no"/>
    <s v="Arsenic (white)"/>
    <s v="detailed"/>
    <s v="detailed Mining"/>
    <m/>
    <m/>
    <m/>
    <m/>
    <m/>
    <m/>
    <m/>
    <m/>
    <m/>
    <m/>
    <m/>
    <m/>
    <m/>
    <m/>
    <m/>
    <m/>
    <m/>
    <m/>
    <m/>
    <m/>
    <m/>
    <m/>
    <m/>
    <m/>
    <m/>
    <m/>
    <m/>
    <m/>
    <m/>
    <m/>
    <m/>
    <m/>
    <m/>
    <m/>
    <m/>
    <m/>
    <m/>
    <m/>
    <m/>
    <m/>
    <m/>
    <m/>
    <m/>
    <m/>
    <m/>
    <m/>
    <m/>
    <m/>
    <m/>
    <m/>
    <m/>
    <m/>
    <m/>
    <m/>
    <m/>
  </r>
  <r>
    <x v="181"/>
    <n v="2010"/>
    <x v="29"/>
    <s v="Latin America and Caribbean"/>
    <m/>
    <s v="Mining"/>
    <s v="yes"/>
    <s v="no"/>
    <s v="no"/>
    <s v="Barite"/>
    <s v="detailed"/>
    <s v="detailed Mining"/>
    <m/>
    <m/>
    <m/>
    <m/>
    <m/>
    <m/>
    <m/>
    <m/>
    <m/>
    <m/>
    <m/>
    <m/>
    <m/>
    <m/>
    <m/>
    <m/>
    <m/>
    <m/>
    <m/>
    <m/>
    <m/>
    <m/>
    <m/>
    <m/>
    <m/>
    <m/>
    <m/>
    <m/>
    <m/>
    <m/>
    <m/>
    <m/>
    <m/>
    <m/>
    <m/>
    <m/>
    <m/>
    <m/>
    <m/>
    <m/>
    <m/>
    <m/>
    <m/>
    <m/>
    <m/>
    <m/>
    <m/>
    <m/>
    <m/>
    <m/>
    <m/>
    <m/>
    <m/>
    <m/>
    <m/>
  </r>
  <r>
    <x v="181"/>
    <n v="2010"/>
    <x v="29"/>
    <s v="Latin America and Caribbean"/>
    <m/>
    <s v="Mining"/>
    <s v="yes"/>
    <s v="no"/>
    <s v="no"/>
    <s v="Bentonite clay"/>
    <s v="detailed"/>
    <s v="detailed Mining"/>
    <m/>
    <m/>
    <m/>
    <m/>
    <m/>
    <m/>
    <m/>
    <m/>
    <m/>
    <m/>
    <m/>
    <m/>
    <m/>
    <m/>
    <m/>
    <m/>
    <m/>
    <m/>
    <m/>
    <m/>
    <m/>
    <m/>
    <m/>
    <m/>
    <m/>
    <m/>
    <m/>
    <m/>
    <m/>
    <m/>
    <m/>
    <m/>
    <m/>
    <m/>
    <m/>
    <m/>
    <m/>
    <m/>
    <m/>
    <m/>
    <m/>
    <m/>
    <m/>
    <m/>
    <m/>
    <m/>
    <m/>
    <m/>
    <m/>
    <m/>
    <m/>
    <m/>
    <m/>
    <m/>
    <m/>
  </r>
  <r>
    <x v="181"/>
    <n v="2010"/>
    <x v="29"/>
    <s v="Latin America and Caribbean"/>
    <m/>
    <s v="Mining"/>
    <s v="yes"/>
    <s v="no"/>
    <s v="no"/>
    <s v="Bismuth (metal)"/>
    <s v="detailed"/>
    <s v="detailed Mining"/>
    <m/>
    <m/>
    <m/>
    <m/>
    <m/>
    <m/>
    <m/>
    <m/>
    <m/>
    <m/>
    <m/>
    <m/>
    <m/>
    <m/>
    <m/>
    <m/>
    <m/>
    <m/>
    <m/>
    <m/>
    <m/>
    <m/>
    <m/>
    <m/>
    <m/>
    <m/>
    <m/>
    <m/>
    <m/>
    <m/>
    <m/>
    <m/>
    <m/>
    <m/>
    <m/>
    <m/>
    <m/>
    <m/>
    <m/>
    <m/>
    <m/>
    <m/>
    <m/>
    <m/>
    <m/>
    <m/>
    <m/>
    <m/>
    <m/>
    <m/>
    <m/>
    <m/>
    <m/>
    <m/>
    <m/>
  </r>
  <r>
    <x v="181"/>
    <n v="2010"/>
    <x v="29"/>
    <s v="Latin America and Caribbean"/>
    <m/>
    <s v="Mining"/>
    <s v="yes"/>
    <s v="no"/>
    <s v="no"/>
    <s v="Boron materials (crude)"/>
    <s v="detailed"/>
    <s v="detailed Mining"/>
    <m/>
    <m/>
    <m/>
    <m/>
    <m/>
    <m/>
    <m/>
    <m/>
    <m/>
    <m/>
    <m/>
    <m/>
    <m/>
    <m/>
    <m/>
    <m/>
    <m/>
    <m/>
    <m/>
    <m/>
    <m/>
    <m/>
    <m/>
    <m/>
    <m/>
    <m/>
    <m/>
    <m/>
    <m/>
    <m/>
    <m/>
    <m/>
    <m/>
    <m/>
    <m/>
    <m/>
    <m/>
    <m/>
    <m/>
    <m/>
    <m/>
    <m/>
    <m/>
    <m/>
    <m/>
    <m/>
    <m/>
    <m/>
    <m/>
    <m/>
    <m/>
    <m/>
    <m/>
    <m/>
    <m/>
  </r>
  <r>
    <x v="181"/>
    <n v="2010"/>
    <x v="29"/>
    <s v="Latin America and Caribbean"/>
    <m/>
    <s v="Mining"/>
    <s v="yes"/>
    <s v="no"/>
    <s v="no"/>
    <s v="Cadmium (metal)"/>
    <s v="detailed"/>
    <s v="detailed Mining"/>
    <m/>
    <m/>
    <m/>
    <m/>
    <m/>
    <m/>
    <m/>
    <m/>
    <m/>
    <m/>
    <m/>
    <m/>
    <m/>
    <m/>
    <m/>
    <m/>
    <m/>
    <m/>
    <m/>
    <m/>
    <m/>
    <m/>
    <m/>
    <m/>
    <m/>
    <m/>
    <m/>
    <m/>
    <m/>
    <m/>
    <m/>
    <m/>
    <m/>
    <m/>
    <m/>
    <m/>
    <m/>
    <m/>
    <m/>
    <m/>
    <m/>
    <m/>
    <m/>
    <m/>
    <m/>
    <m/>
    <m/>
    <m/>
    <m/>
    <m/>
    <m/>
    <m/>
    <m/>
    <m/>
    <m/>
  </r>
  <r>
    <x v="181"/>
    <n v="2010"/>
    <x v="29"/>
    <s v="Latin America and Caribbean"/>
    <m/>
    <s v="Mining"/>
    <s v="yes"/>
    <s v="no"/>
    <s v="no"/>
    <s v="Cement"/>
    <s v="detailed"/>
    <s v="detailed Mining"/>
    <m/>
    <m/>
    <m/>
    <m/>
    <m/>
    <m/>
    <m/>
    <m/>
    <m/>
    <m/>
    <m/>
    <m/>
    <m/>
    <m/>
    <m/>
    <m/>
    <m/>
    <m/>
    <m/>
    <m/>
    <m/>
    <m/>
    <m/>
    <m/>
    <m/>
    <m/>
    <m/>
    <m/>
    <m/>
    <m/>
    <m/>
    <m/>
    <m/>
    <m/>
    <m/>
    <m/>
    <m/>
    <m/>
    <m/>
    <m/>
    <m/>
    <m/>
    <m/>
    <m/>
    <m/>
    <m/>
    <m/>
    <m/>
    <m/>
    <m/>
    <m/>
    <m/>
    <m/>
    <m/>
    <m/>
  </r>
  <r>
    <x v="181"/>
    <n v="2010"/>
    <x v="29"/>
    <s v="Latin America and Caribbean"/>
    <m/>
    <s v="Mining"/>
    <s v="yes"/>
    <s v="no"/>
    <s v="no"/>
    <s v="Chalk"/>
    <s v="detailed"/>
    <s v="detailed Mining"/>
    <m/>
    <m/>
    <m/>
    <m/>
    <m/>
    <m/>
    <m/>
    <m/>
    <m/>
    <m/>
    <m/>
    <m/>
    <m/>
    <m/>
    <m/>
    <m/>
    <m/>
    <m/>
    <m/>
    <m/>
    <m/>
    <m/>
    <m/>
    <m/>
    <m/>
    <m/>
    <m/>
    <m/>
    <m/>
    <m/>
    <m/>
    <m/>
    <m/>
    <m/>
    <m/>
    <m/>
    <m/>
    <m/>
    <m/>
    <m/>
    <m/>
    <m/>
    <m/>
    <m/>
    <m/>
    <m/>
    <m/>
    <m/>
    <m/>
    <m/>
    <m/>
    <m/>
    <m/>
    <m/>
    <m/>
  </r>
  <r>
    <x v="181"/>
    <n v="2010"/>
    <x v="29"/>
    <s v="Latin America and Caribbean"/>
    <m/>
    <s v="Mining"/>
    <s v="yes"/>
    <s v="no"/>
    <s v="no"/>
    <s v="Coal"/>
    <s v="detailed"/>
    <s v="detailed Mining"/>
    <m/>
    <m/>
    <m/>
    <m/>
    <m/>
    <m/>
    <m/>
    <m/>
    <m/>
    <m/>
    <m/>
    <m/>
    <m/>
    <m/>
    <m/>
    <m/>
    <m/>
    <m/>
    <m/>
    <m/>
    <m/>
    <m/>
    <m/>
    <m/>
    <m/>
    <m/>
    <m/>
    <m/>
    <m/>
    <m/>
    <m/>
    <m/>
    <m/>
    <m/>
    <m/>
    <m/>
    <m/>
    <m/>
    <m/>
    <m/>
    <m/>
    <m/>
    <m/>
    <m/>
    <m/>
    <m/>
    <m/>
    <m/>
    <m/>
    <m/>
    <m/>
    <m/>
    <m/>
    <m/>
    <m/>
  </r>
  <r>
    <x v="181"/>
    <n v="2010"/>
    <x v="29"/>
    <s v="Latin America and Caribbean"/>
    <m/>
    <s v="Mining"/>
    <s v="yes"/>
    <s v="no"/>
    <s v="no"/>
    <s v="Common clay"/>
    <s v="detailed"/>
    <s v="detailed Mining"/>
    <m/>
    <m/>
    <m/>
    <m/>
    <m/>
    <m/>
    <m/>
    <m/>
    <m/>
    <m/>
    <m/>
    <m/>
    <m/>
    <m/>
    <m/>
    <m/>
    <m/>
    <m/>
    <m/>
    <m/>
    <m/>
    <m/>
    <m/>
    <m/>
    <m/>
    <m/>
    <m/>
    <m/>
    <m/>
    <m/>
    <m/>
    <m/>
    <m/>
    <m/>
    <m/>
    <m/>
    <m/>
    <m/>
    <m/>
    <m/>
    <m/>
    <m/>
    <m/>
    <m/>
    <m/>
    <m/>
    <m/>
    <m/>
    <m/>
    <m/>
    <m/>
    <m/>
    <m/>
    <m/>
    <m/>
  </r>
  <r>
    <x v="181"/>
    <n v="2010"/>
    <x v="29"/>
    <s v="Latin America and Caribbean"/>
    <m/>
    <s v="Mining"/>
    <s v="yes"/>
    <s v="no"/>
    <s v="no"/>
    <s v="Copper"/>
    <s v="detailed"/>
    <s v="detailed Mining"/>
    <m/>
    <m/>
    <m/>
    <m/>
    <m/>
    <m/>
    <m/>
    <m/>
    <m/>
    <m/>
    <m/>
    <m/>
    <m/>
    <m/>
    <m/>
    <m/>
    <m/>
    <m/>
    <m/>
    <m/>
    <m/>
    <m/>
    <m/>
    <m/>
    <m/>
    <m/>
    <m/>
    <m/>
    <m/>
    <m/>
    <m/>
    <m/>
    <m/>
    <m/>
    <m/>
    <m/>
    <m/>
    <m/>
    <m/>
    <m/>
    <m/>
    <m/>
    <m/>
    <m/>
    <m/>
    <m/>
    <m/>
    <m/>
    <m/>
    <m/>
    <m/>
    <m/>
    <m/>
    <m/>
    <m/>
  </r>
  <r>
    <x v="181"/>
    <n v="2010"/>
    <x v="29"/>
    <s v="Latin America and Caribbean"/>
    <m/>
    <s v="Mining"/>
    <s v="yes"/>
    <s v="no"/>
    <s v="no"/>
    <s v="Diatomite"/>
    <s v="detailed"/>
    <s v="detailed Mining"/>
    <m/>
    <m/>
    <m/>
    <m/>
    <m/>
    <m/>
    <m/>
    <m/>
    <m/>
    <m/>
    <m/>
    <m/>
    <m/>
    <m/>
    <m/>
    <m/>
    <m/>
    <m/>
    <m/>
    <m/>
    <m/>
    <m/>
    <m/>
    <m/>
    <m/>
    <m/>
    <m/>
    <m/>
    <m/>
    <m/>
    <m/>
    <m/>
    <m/>
    <m/>
    <m/>
    <m/>
    <m/>
    <m/>
    <m/>
    <m/>
    <m/>
    <m/>
    <m/>
    <m/>
    <m/>
    <m/>
    <m/>
    <m/>
    <m/>
    <m/>
    <m/>
    <m/>
    <m/>
    <m/>
    <m/>
  </r>
  <r>
    <x v="181"/>
    <n v="2010"/>
    <x v="29"/>
    <s v="Latin America and Caribbean"/>
    <m/>
    <s v="Mining"/>
    <s v="yes"/>
    <s v="no"/>
    <s v="no"/>
    <s v="Dolomite "/>
    <s v="detailed"/>
    <s v="detailed Mining"/>
    <m/>
    <m/>
    <m/>
    <m/>
    <m/>
    <m/>
    <m/>
    <m/>
    <m/>
    <m/>
    <m/>
    <m/>
    <m/>
    <m/>
    <m/>
    <m/>
    <m/>
    <m/>
    <m/>
    <m/>
    <m/>
    <m/>
    <m/>
    <m/>
    <m/>
    <m/>
    <m/>
    <m/>
    <m/>
    <m/>
    <m/>
    <m/>
    <m/>
    <m/>
    <m/>
    <m/>
    <m/>
    <m/>
    <m/>
    <m/>
    <m/>
    <m/>
    <m/>
    <m/>
    <m/>
    <m/>
    <m/>
    <m/>
    <m/>
    <m/>
    <m/>
    <m/>
    <m/>
    <m/>
    <m/>
  </r>
  <r>
    <x v="181"/>
    <n v="2010"/>
    <x v="29"/>
    <s v="Latin America and Caribbean"/>
    <m/>
    <s v="Mining"/>
    <s v="yes"/>
    <s v="no"/>
    <s v="no"/>
    <s v="Feldspar"/>
    <s v="detailed"/>
    <s v="detailed Mining"/>
    <m/>
    <m/>
    <m/>
    <m/>
    <m/>
    <m/>
    <m/>
    <m/>
    <m/>
    <m/>
    <m/>
    <m/>
    <m/>
    <m/>
    <m/>
    <m/>
    <m/>
    <m/>
    <m/>
    <m/>
    <m/>
    <m/>
    <m/>
    <m/>
    <m/>
    <m/>
    <m/>
    <m/>
    <m/>
    <m/>
    <m/>
    <m/>
    <m/>
    <m/>
    <m/>
    <m/>
    <m/>
    <m/>
    <m/>
    <m/>
    <m/>
    <m/>
    <m/>
    <m/>
    <m/>
    <m/>
    <m/>
    <m/>
    <m/>
    <m/>
    <m/>
    <m/>
    <m/>
    <m/>
    <m/>
  </r>
  <r>
    <x v="181"/>
    <n v="2010"/>
    <x v="29"/>
    <s v="Latin America and Caribbean"/>
    <m/>
    <s v="Mining"/>
    <s v="yes"/>
    <s v="no"/>
    <s v="no"/>
    <s v="Fire clay"/>
    <s v="detailed"/>
    <s v="detailed Mining"/>
    <m/>
    <m/>
    <m/>
    <m/>
    <m/>
    <m/>
    <m/>
    <m/>
    <m/>
    <m/>
    <m/>
    <m/>
    <m/>
    <m/>
    <m/>
    <m/>
    <m/>
    <m/>
    <m/>
    <m/>
    <m/>
    <m/>
    <m/>
    <m/>
    <m/>
    <m/>
    <m/>
    <m/>
    <m/>
    <m/>
    <m/>
    <m/>
    <m/>
    <m/>
    <m/>
    <m/>
    <m/>
    <m/>
    <m/>
    <m/>
    <m/>
    <m/>
    <m/>
    <m/>
    <m/>
    <m/>
    <m/>
    <m/>
    <m/>
    <m/>
    <m/>
    <m/>
    <m/>
    <m/>
    <m/>
  </r>
  <r>
    <x v="181"/>
    <n v="2010"/>
    <x v="29"/>
    <s v="Latin America and Caribbean"/>
    <m/>
    <s v="Mining"/>
    <s v="yes"/>
    <s v="no"/>
    <s v="no"/>
    <s v="Flagstone"/>
    <s v="detailed"/>
    <s v="detailed Mining"/>
    <m/>
    <m/>
    <m/>
    <m/>
    <m/>
    <m/>
    <m/>
    <m/>
    <m/>
    <m/>
    <m/>
    <m/>
    <m/>
    <m/>
    <m/>
    <m/>
    <m/>
    <m/>
    <m/>
    <m/>
    <m/>
    <m/>
    <m/>
    <m/>
    <m/>
    <m/>
    <m/>
    <m/>
    <m/>
    <m/>
    <m/>
    <m/>
    <m/>
    <m/>
    <m/>
    <m/>
    <m/>
    <m/>
    <m/>
    <m/>
    <m/>
    <m/>
    <m/>
    <m/>
    <m/>
    <m/>
    <m/>
    <m/>
    <m/>
    <m/>
    <m/>
    <m/>
    <m/>
    <m/>
    <m/>
  </r>
  <r>
    <x v="181"/>
    <n v="2010"/>
    <x v="29"/>
    <s v="Latin America and Caribbean"/>
    <m/>
    <s v="Mining"/>
    <s v="yes"/>
    <s v="no"/>
    <s v="no"/>
    <s v="Gold"/>
    <s v="detailed"/>
    <s v="detailed Mining"/>
    <m/>
    <m/>
    <m/>
    <m/>
    <m/>
    <m/>
    <m/>
    <m/>
    <m/>
    <m/>
    <m/>
    <m/>
    <m/>
    <m/>
    <m/>
    <m/>
    <m/>
    <m/>
    <m/>
    <m/>
    <m/>
    <m/>
    <m/>
    <m/>
    <m/>
    <m/>
    <m/>
    <m/>
    <m/>
    <m/>
    <m/>
    <m/>
    <m/>
    <m/>
    <m/>
    <m/>
    <m/>
    <m/>
    <m/>
    <m/>
    <m/>
    <m/>
    <m/>
    <m/>
    <m/>
    <m/>
    <m/>
    <m/>
    <m/>
    <m/>
    <m/>
    <m/>
    <m/>
    <m/>
    <m/>
  </r>
  <r>
    <x v="181"/>
    <n v="2010"/>
    <x v="29"/>
    <s v="Latin America and Caribbean"/>
    <m/>
    <s v="Mining"/>
    <s v="yes"/>
    <s v="no"/>
    <s v="no"/>
    <s v="Granite"/>
    <s v="detailed"/>
    <s v="detailed Mining"/>
    <m/>
    <m/>
    <m/>
    <m/>
    <m/>
    <m/>
    <m/>
    <m/>
    <m/>
    <m/>
    <m/>
    <m/>
    <m/>
    <m/>
    <m/>
    <m/>
    <m/>
    <m/>
    <m/>
    <m/>
    <m/>
    <m/>
    <m/>
    <m/>
    <m/>
    <m/>
    <m/>
    <m/>
    <m/>
    <m/>
    <m/>
    <m/>
    <m/>
    <m/>
    <m/>
    <m/>
    <m/>
    <m/>
    <m/>
    <m/>
    <m/>
    <m/>
    <m/>
    <m/>
    <m/>
    <m/>
    <m/>
    <m/>
    <m/>
    <m/>
    <m/>
    <m/>
    <m/>
    <m/>
    <m/>
  </r>
  <r>
    <x v="181"/>
    <n v="2010"/>
    <x v="29"/>
    <s v="Latin America and Caribbean"/>
    <m/>
    <s v="Mining"/>
    <s v="yes"/>
    <s v="no"/>
    <s v="no"/>
    <s v="Gypsum (crude)"/>
    <s v="detailed"/>
    <s v="detailed Mining"/>
    <m/>
    <m/>
    <m/>
    <m/>
    <m/>
    <m/>
    <m/>
    <m/>
    <m/>
    <m/>
    <m/>
    <m/>
    <m/>
    <m/>
    <m/>
    <m/>
    <m/>
    <m/>
    <m/>
    <m/>
    <m/>
    <m/>
    <m/>
    <m/>
    <m/>
    <m/>
    <m/>
    <m/>
    <m/>
    <m/>
    <m/>
    <m/>
    <m/>
    <m/>
    <m/>
    <m/>
    <m/>
    <m/>
    <m/>
    <m/>
    <m/>
    <m/>
    <m/>
    <m/>
    <m/>
    <m/>
    <m/>
    <m/>
    <m/>
    <m/>
    <m/>
    <m/>
    <m/>
    <m/>
    <m/>
  </r>
  <r>
    <x v="181"/>
    <n v="2010"/>
    <x v="29"/>
    <s v="Latin America and Caribbean"/>
    <m/>
    <s v="Mining"/>
    <s v="yes"/>
    <s v="no"/>
    <s v="no"/>
    <s v="Indium"/>
    <s v="detailed"/>
    <s v="detailed Mining"/>
    <m/>
    <m/>
    <m/>
    <m/>
    <m/>
    <m/>
    <m/>
    <m/>
    <m/>
    <m/>
    <m/>
    <m/>
    <m/>
    <m/>
    <m/>
    <m/>
    <m/>
    <m/>
    <m/>
    <m/>
    <m/>
    <m/>
    <m/>
    <m/>
    <m/>
    <m/>
    <m/>
    <m/>
    <m/>
    <m/>
    <m/>
    <m/>
    <m/>
    <m/>
    <m/>
    <m/>
    <m/>
    <m/>
    <m/>
    <m/>
    <m/>
    <m/>
    <m/>
    <m/>
    <m/>
    <m/>
    <m/>
    <m/>
    <m/>
    <m/>
    <m/>
    <m/>
    <m/>
    <m/>
    <m/>
  </r>
  <r>
    <x v="181"/>
    <n v="2010"/>
    <x v="29"/>
    <s v="Latin America and Caribbean"/>
    <m/>
    <s v="Mining"/>
    <s v="yes"/>
    <s v="no"/>
    <s v="no"/>
    <s v="Iron ore"/>
    <s v="detailed"/>
    <s v="detailed Mining"/>
    <m/>
    <m/>
    <m/>
    <m/>
    <m/>
    <m/>
    <m/>
    <m/>
    <m/>
    <m/>
    <m/>
    <m/>
    <m/>
    <m/>
    <m/>
    <m/>
    <m/>
    <m/>
    <m/>
    <m/>
    <m/>
    <m/>
    <m/>
    <m/>
    <m/>
    <m/>
    <m/>
    <m/>
    <m/>
    <m/>
    <m/>
    <m/>
    <m/>
    <m/>
    <m/>
    <m/>
    <m/>
    <m/>
    <m/>
    <m/>
    <m/>
    <m/>
    <m/>
    <m/>
    <m/>
    <m/>
    <m/>
    <m/>
    <m/>
    <m/>
    <m/>
    <m/>
    <m/>
    <m/>
    <m/>
  </r>
  <r>
    <x v="181"/>
    <n v="2010"/>
    <x v="29"/>
    <s v="Latin America and Caribbean"/>
    <m/>
    <s v="Mining"/>
    <s v="yes"/>
    <s v="no"/>
    <s v="no"/>
    <s v="Kaolin clay"/>
    <s v="detailed"/>
    <s v="detailed Mining"/>
    <m/>
    <m/>
    <m/>
    <m/>
    <m/>
    <m/>
    <m/>
    <m/>
    <m/>
    <m/>
    <m/>
    <m/>
    <m/>
    <m/>
    <m/>
    <m/>
    <m/>
    <m/>
    <m/>
    <m/>
    <m/>
    <m/>
    <m/>
    <m/>
    <m/>
    <m/>
    <m/>
    <m/>
    <m/>
    <m/>
    <m/>
    <m/>
    <m/>
    <m/>
    <m/>
    <m/>
    <m/>
    <m/>
    <m/>
    <m/>
    <m/>
    <m/>
    <m/>
    <m/>
    <m/>
    <m/>
    <m/>
    <m/>
    <m/>
    <m/>
    <m/>
    <m/>
    <m/>
    <m/>
    <m/>
  </r>
  <r>
    <x v="181"/>
    <n v="2010"/>
    <x v="29"/>
    <s v="Latin America and Caribbean"/>
    <m/>
    <s v="Mining"/>
    <s v="yes"/>
    <s v="no"/>
    <s v="no"/>
    <s v="Lead"/>
    <s v="detailed"/>
    <s v="detailed Mining"/>
    <m/>
    <m/>
    <m/>
    <m/>
    <m/>
    <m/>
    <m/>
    <m/>
    <m/>
    <m/>
    <m/>
    <m/>
    <m/>
    <m/>
    <m/>
    <m/>
    <m/>
    <m/>
    <m/>
    <m/>
    <m/>
    <m/>
    <m/>
    <m/>
    <m/>
    <m/>
    <m/>
    <m/>
    <m/>
    <m/>
    <m/>
    <m/>
    <m/>
    <m/>
    <m/>
    <m/>
    <m/>
    <m/>
    <m/>
    <m/>
    <m/>
    <m/>
    <m/>
    <m/>
    <m/>
    <m/>
    <m/>
    <m/>
    <m/>
    <m/>
    <m/>
    <m/>
    <m/>
    <m/>
    <m/>
  </r>
  <r>
    <x v="181"/>
    <n v="2010"/>
    <x v="29"/>
    <s v="Latin America and Caribbean"/>
    <m/>
    <s v="Mining"/>
    <s v="yes"/>
    <s v="no"/>
    <s v="no"/>
    <s v="Lime"/>
    <s v="detailed"/>
    <s v="detailed Mining"/>
    <m/>
    <m/>
    <m/>
    <m/>
    <m/>
    <m/>
    <m/>
    <m/>
    <m/>
    <m/>
    <m/>
    <m/>
    <m/>
    <m/>
    <m/>
    <m/>
    <m/>
    <m/>
    <m/>
    <m/>
    <m/>
    <m/>
    <m/>
    <m/>
    <m/>
    <m/>
    <m/>
    <m/>
    <m/>
    <m/>
    <m/>
    <m/>
    <m/>
    <m/>
    <m/>
    <m/>
    <m/>
    <m/>
    <m/>
    <m/>
    <m/>
    <m/>
    <m/>
    <m/>
    <m/>
    <m/>
    <m/>
    <m/>
    <m/>
    <m/>
    <m/>
    <m/>
    <m/>
    <m/>
    <m/>
  </r>
  <r>
    <x v="181"/>
    <n v="2010"/>
    <x v="29"/>
    <s v="Latin America and Caribbean"/>
    <m/>
    <s v="Mining"/>
    <s v="yes"/>
    <s v="no"/>
    <s v="no"/>
    <s v="Limestone"/>
    <s v="detailed"/>
    <s v="detailed Mining"/>
    <m/>
    <m/>
    <m/>
    <m/>
    <m/>
    <m/>
    <m/>
    <m/>
    <m/>
    <m/>
    <m/>
    <m/>
    <m/>
    <m/>
    <m/>
    <m/>
    <m/>
    <m/>
    <m/>
    <m/>
    <m/>
    <m/>
    <m/>
    <m/>
    <m/>
    <m/>
    <m/>
    <m/>
    <m/>
    <m/>
    <m/>
    <m/>
    <m/>
    <m/>
    <m/>
    <m/>
    <m/>
    <m/>
    <m/>
    <m/>
    <m/>
    <m/>
    <m/>
    <m/>
    <m/>
    <m/>
    <m/>
    <m/>
    <m/>
    <m/>
    <m/>
    <m/>
    <m/>
    <m/>
    <m/>
  </r>
  <r>
    <x v="181"/>
    <n v="2010"/>
    <x v="29"/>
    <s v="Latin America and Caribbean"/>
    <m/>
    <s v="Mining"/>
    <s v="yes"/>
    <s v="no"/>
    <s v="no"/>
    <s v="Manganese"/>
    <s v="detailed"/>
    <s v="detailed Mining"/>
    <m/>
    <m/>
    <m/>
    <m/>
    <m/>
    <m/>
    <m/>
    <m/>
    <m/>
    <m/>
    <m/>
    <m/>
    <m/>
    <m/>
    <m/>
    <m/>
    <m/>
    <m/>
    <m/>
    <m/>
    <m/>
    <m/>
    <m/>
    <m/>
    <m/>
    <m/>
    <m/>
    <m/>
    <m/>
    <m/>
    <m/>
    <m/>
    <m/>
    <m/>
    <m/>
    <m/>
    <m/>
    <m/>
    <m/>
    <m/>
    <m/>
    <m/>
    <m/>
    <m/>
    <m/>
    <m/>
    <m/>
    <m/>
    <m/>
    <m/>
    <m/>
    <m/>
    <m/>
    <m/>
    <m/>
  </r>
  <r>
    <x v="181"/>
    <n v="2010"/>
    <x v="29"/>
    <s v="Latin America and Caribbean"/>
    <m/>
    <s v="Mining"/>
    <s v="yes"/>
    <s v="no"/>
    <s v="no"/>
    <s v="Marble"/>
    <s v="detailed"/>
    <s v="detailed Mining"/>
    <m/>
    <m/>
    <m/>
    <m/>
    <m/>
    <m/>
    <m/>
    <m/>
    <m/>
    <m/>
    <m/>
    <m/>
    <m/>
    <m/>
    <m/>
    <m/>
    <m/>
    <m/>
    <m/>
    <m/>
    <m/>
    <m/>
    <m/>
    <m/>
    <m/>
    <m/>
    <m/>
    <m/>
    <m/>
    <m/>
    <m/>
    <m/>
    <m/>
    <m/>
    <m/>
    <m/>
    <m/>
    <m/>
    <m/>
    <m/>
    <m/>
    <m/>
    <m/>
    <m/>
    <m/>
    <m/>
    <m/>
    <m/>
    <m/>
    <m/>
    <m/>
    <m/>
    <m/>
    <m/>
    <m/>
  </r>
  <r>
    <x v="181"/>
    <n v="2010"/>
    <x v="29"/>
    <s v="Latin America and Caribbean"/>
    <m/>
    <s v="Mining"/>
    <s v="yes"/>
    <s v="no"/>
    <s v="no"/>
    <s v="Molybdenum"/>
    <s v="detailed"/>
    <s v="detailed Mining"/>
    <m/>
    <m/>
    <m/>
    <m/>
    <m/>
    <m/>
    <m/>
    <m/>
    <m/>
    <m/>
    <m/>
    <m/>
    <m/>
    <m/>
    <m/>
    <m/>
    <m/>
    <m/>
    <m/>
    <m/>
    <m/>
    <m/>
    <m/>
    <m/>
    <m/>
    <m/>
    <m/>
    <m/>
    <m/>
    <m/>
    <m/>
    <m/>
    <m/>
    <m/>
    <m/>
    <m/>
    <m/>
    <m/>
    <m/>
    <m/>
    <m/>
    <m/>
    <m/>
    <m/>
    <m/>
    <m/>
    <m/>
    <m/>
    <m/>
    <m/>
    <m/>
    <m/>
    <m/>
    <m/>
    <m/>
  </r>
  <r>
    <x v="181"/>
    <n v="2010"/>
    <x v="29"/>
    <s v="Latin America and Caribbean"/>
    <m/>
    <s v="Mining"/>
    <s v="yes"/>
    <s v="no"/>
    <s v="no"/>
    <s v="Nitrogen (fixed - ammonia)"/>
    <s v="detailed"/>
    <s v="detailed Mining"/>
    <m/>
    <m/>
    <m/>
    <m/>
    <m/>
    <m/>
    <m/>
    <m/>
    <m/>
    <m/>
    <m/>
    <m/>
    <m/>
    <m/>
    <m/>
    <m/>
    <m/>
    <m/>
    <m/>
    <m/>
    <m/>
    <m/>
    <m/>
    <m/>
    <m/>
    <m/>
    <m/>
    <m/>
    <m/>
    <m/>
    <m/>
    <m/>
    <m/>
    <m/>
    <m/>
    <m/>
    <m/>
    <m/>
    <m/>
    <m/>
    <m/>
    <m/>
    <m/>
    <m/>
    <m/>
    <m/>
    <m/>
    <m/>
    <m/>
    <m/>
    <m/>
    <m/>
    <m/>
    <m/>
    <m/>
  </r>
  <r>
    <x v="181"/>
    <n v="2010"/>
    <x v="29"/>
    <s v="Latin America and Caribbean"/>
    <m/>
    <s v="Mining"/>
    <s v="yes"/>
    <s v="no"/>
    <s v="no"/>
    <s v="Onyx"/>
    <s v="detailed"/>
    <s v="detailed Mining"/>
    <m/>
    <m/>
    <m/>
    <m/>
    <m/>
    <m/>
    <m/>
    <m/>
    <m/>
    <m/>
    <m/>
    <m/>
    <m/>
    <m/>
    <m/>
    <m/>
    <m/>
    <m/>
    <m/>
    <m/>
    <m/>
    <m/>
    <m/>
    <m/>
    <m/>
    <m/>
    <m/>
    <m/>
    <m/>
    <m/>
    <m/>
    <m/>
    <m/>
    <m/>
    <m/>
    <m/>
    <m/>
    <m/>
    <m/>
    <m/>
    <m/>
    <m/>
    <m/>
    <m/>
    <m/>
    <m/>
    <m/>
    <m/>
    <m/>
    <m/>
    <m/>
    <m/>
    <m/>
    <m/>
    <m/>
  </r>
  <r>
    <x v="181"/>
    <n v="2010"/>
    <x v="29"/>
    <s v="Latin America and Caribbean"/>
    <m/>
    <s v="Mining"/>
    <s v="yes"/>
    <s v="no"/>
    <s v="no"/>
    <s v="Phosphate rock"/>
    <s v="detailed"/>
    <s v="detailed Mining"/>
    <m/>
    <m/>
    <m/>
    <m/>
    <m/>
    <m/>
    <m/>
    <m/>
    <m/>
    <m/>
    <m/>
    <m/>
    <m/>
    <m/>
    <m/>
    <m/>
    <m/>
    <m/>
    <m/>
    <m/>
    <m/>
    <m/>
    <m/>
    <m/>
    <m/>
    <m/>
    <m/>
    <m/>
    <m/>
    <m/>
    <m/>
    <m/>
    <m/>
    <m/>
    <m/>
    <m/>
    <m/>
    <m/>
    <m/>
    <m/>
    <m/>
    <m/>
    <m/>
    <m/>
    <m/>
    <m/>
    <m/>
    <m/>
    <m/>
    <m/>
    <m/>
    <m/>
    <m/>
    <m/>
    <m/>
  </r>
  <r>
    <x v="181"/>
    <n v="2010"/>
    <x v="29"/>
    <s v="Latin America and Caribbean"/>
    <m/>
    <s v="Mining"/>
    <s v="yes"/>
    <s v="no"/>
    <s v="no"/>
    <s v="Pig iron"/>
    <s v="detailed"/>
    <s v="detailed Mining"/>
    <m/>
    <m/>
    <m/>
    <m/>
    <m/>
    <m/>
    <m/>
    <m/>
    <m/>
    <m/>
    <m/>
    <m/>
    <m/>
    <m/>
    <m/>
    <m/>
    <m/>
    <m/>
    <m/>
    <m/>
    <m/>
    <m/>
    <m/>
    <m/>
    <m/>
    <m/>
    <m/>
    <m/>
    <m/>
    <m/>
    <m/>
    <m/>
    <m/>
    <m/>
    <m/>
    <m/>
    <m/>
    <m/>
    <m/>
    <m/>
    <m/>
    <m/>
    <m/>
    <m/>
    <m/>
    <m/>
    <m/>
    <m/>
    <m/>
    <m/>
    <m/>
    <m/>
    <m/>
    <m/>
    <m/>
  </r>
  <r>
    <x v="181"/>
    <n v="2010"/>
    <x v="29"/>
    <s v="Latin America and Caribbean"/>
    <m/>
    <s v="Mining"/>
    <s v="yes"/>
    <s v="no"/>
    <s v="no"/>
    <s v="Quartz and quartzite (crushed)"/>
    <s v="detailed"/>
    <s v="detailed Mining"/>
    <m/>
    <m/>
    <m/>
    <m/>
    <m/>
    <m/>
    <m/>
    <m/>
    <m/>
    <m/>
    <m/>
    <m/>
    <m/>
    <m/>
    <m/>
    <m/>
    <m/>
    <m/>
    <m/>
    <m/>
    <m/>
    <m/>
    <m/>
    <m/>
    <m/>
    <m/>
    <m/>
    <m/>
    <m/>
    <m/>
    <m/>
    <m/>
    <m/>
    <m/>
    <m/>
    <m/>
    <m/>
    <m/>
    <m/>
    <m/>
    <m/>
    <m/>
    <m/>
    <m/>
    <m/>
    <m/>
    <m/>
    <m/>
    <m/>
    <m/>
    <m/>
    <m/>
    <m/>
    <m/>
    <m/>
  </r>
  <r>
    <x v="181"/>
    <n v="2010"/>
    <x v="29"/>
    <s v="Latin America and Caribbean"/>
    <m/>
    <s v="Mining"/>
    <s v="yes"/>
    <s v="no"/>
    <s v="no"/>
    <s v="Salt"/>
    <s v="detailed"/>
    <s v="detailed Mining"/>
    <m/>
    <m/>
    <m/>
    <m/>
    <m/>
    <m/>
    <m/>
    <m/>
    <m/>
    <m/>
    <m/>
    <m/>
    <m/>
    <m/>
    <m/>
    <m/>
    <m/>
    <m/>
    <m/>
    <m/>
    <m/>
    <m/>
    <m/>
    <m/>
    <m/>
    <m/>
    <m/>
    <m/>
    <m/>
    <m/>
    <m/>
    <m/>
    <m/>
    <m/>
    <m/>
    <m/>
    <m/>
    <m/>
    <m/>
    <m/>
    <m/>
    <m/>
    <m/>
    <m/>
    <m/>
    <m/>
    <m/>
    <m/>
    <m/>
    <m/>
    <m/>
    <m/>
    <m/>
    <m/>
    <m/>
  </r>
  <r>
    <x v="181"/>
    <n v="2010"/>
    <x v="29"/>
    <s v="Latin America and Caribbean"/>
    <m/>
    <s v="Mining"/>
    <s v="yes"/>
    <s v="no"/>
    <s v="no"/>
    <s v="Sand"/>
    <s v="detailed"/>
    <s v="detailed Mining"/>
    <m/>
    <m/>
    <m/>
    <m/>
    <m/>
    <m/>
    <m/>
    <m/>
    <m/>
    <m/>
    <m/>
    <m/>
    <m/>
    <m/>
    <m/>
    <m/>
    <m/>
    <m/>
    <m/>
    <m/>
    <m/>
    <m/>
    <m/>
    <m/>
    <m/>
    <m/>
    <m/>
    <m/>
    <m/>
    <m/>
    <m/>
    <m/>
    <m/>
    <m/>
    <m/>
    <m/>
    <m/>
    <m/>
    <m/>
    <m/>
    <m/>
    <m/>
    <m/>
    <m/>
    <m/>
    <m/>
    <m/>
    <m/>
    <m/>
    <m/>
    <m/>
    <m/>
    <m/>
    <m/>
    <m/>
  </r>
  <r>
    <x v="181"/>
    <n v="2010"/>
    <x v="29"/>
    <s v="Latin America and Caribbean"/>
    <m/>
    <s v="Mining"/>
    <s v="yes"/>
    <s v="no"/>
    <s v="no"/>
    <s v="Selenium (metal, refined)"/>
    <s v="detailed"/>
    <s v="detailed Mining"/>
    <m/>
    <m/>
    <m/>
    <m/>
    <m/>
    <m/>
    <m/>
    <m/>
    <m/>
    <m/>
    <m/>
    <m/>
    <m/>
    <m/>
    <m/>
    <m/>
    <m/>
    <m/>
    <m/>
    <m/>
    <m/>
    <m/>
    <m/>
    <m/>
    <m/>
    <m/>
    <m/>
    <m/>
    <m/>
    <m/>
    <m/>
    <m/>
    <m/>
    <m/>
    <m/>
    <m/>
    <m/>
    <m/>
    <m/>
    <m/>
    <m/>
    <m/>
    <m/>
    <m/>
    <m/>
    <m/>
    <m/>
    <m/>
    <m/>
    <m/>
    <m/>
    <m/>
    <m/>
    <m/>
    <m/>
  </r>
  <r>
    <x v="181"/>
    <n v="2010"/>
    <x v="29"/>
    <s v="Latin America and Caribbean"/>
    <m/>
    <s v="Mining"/>
    <s v="yes"/>
    <s v="no"/>
    <s v="no"/>
    <s v="Shell"/>
    <s v="detailed"/>
    <s v="detailed Mining"/>
    <m/>
    <m/>
    <m/>
    <m/>
    <m/>
    <m/>
    <m/>
    <m/>
    <m/>
    <m/>
    <m/>
    <m/>
    <m/>
    <m/>
    <m/>
    <m/>
    <m/>
    <m/>
    <m/>
    <m/>
    <m/>
    <m/>
    <m/>
    <m/>
    <m/>
    <m/>
    <m/>
    <m/>
    <m/>
    <m/>
    <m/>
    <m/>
    <m/>
    <m/>
    <m/>
    <m/>
    <m/>
    <m/>
    <m/>
    <m/>
    <m/>
    <m/>
    <m/>
    <m/>
    <m/>
    <m/>
    <m/>
    <m/>
    <m/>
    <m/>
    <m/>
    <m/>
    <m/>
    <m/>
    <m/>
  </r>
  <r>
    <x v="181"/>
    <n v="2010"/>
    <x v="29"/>
    <s v="Latin America and Caribbean"/>
    <m/>
    <s v="Mining"/>
    <s v="yes"/>
    <s v="no"/>
    <s v="no"/>
    <s v="Silver"/>
    <s v="detailed"/>
    <s v="detailed Mining"/>
    <m/>
    <m/>
    <m/>
    <m/>
    <m/>
    <m/>
    <m/>
    <m/>
    <m/>
    <m/>
    <m/>
    <m/>
    <m/>
    <m/>
    <m/>
    <m/>
    <m/>
    <m/>
    <m/>
    <m/>
    <m/>
    <m/>
    <m/>
    <m/>
    <m/>
    <m/>
    <m/>
    <m/>
    <m/>
    <m/>
    <m/>
    <m/>
    <m/>
    <m/>
    <m/>
    <m/>
    <m/>
    <m/>
    <m/>
    <m/>
    <m/>
    <m/>
    <m/>
    <m/>
    <m/>
    <m/>
    <m/>
    <m/>
    <m/>
    <m/>
    <m/>
    <m/>
    <m/>
    <m/>
    <m/>
  </r>
  <r>
    <x v="181"/>
    <n v="2010"/>
    <x v="29"/>
    <s v="Latin America and Caribbean"/>
    <m/>
    <s v="Mining"/>
    <s v="yes"/>
    <s v="no"/>
    <s v="no"/>
    <s v="Slate"/>
    <s v="detailed"/>
    <s v="detailed Mining"/>
    <m/>
    <m/>
    <m/>
    <m/>
    <m/>
    <m/>
    <m/>
    <m/>
    <m/>
    <m/>
    <m/>
    <m/>
    <m/>
    <m/>
    <m/>
    <m/>
    <m/>
    <m/>
    <m/>
    <m/>
    <m/>
    <m/>
    <m/>
    <m/>
    <m/>
    <m/>
    <m/>
    <m/>
    <m/>
    <m/>
    <m/>
    <m/>
    <m/>
    <m/>
    <m/>
    <m/>
    <m/>
    <m/>
    <m/>
    <m/>
    <m/>
    <m/>
    <m/>
    <m/>
    <m/>
    <m/>
    <m/>
    <m/>
    <m/>
    <m/>
    <m/>
    <m/>
    <m/>
    <m/>
    <m/>
  </r>
  <r>
    <x v="181"/>
    <n v="2010"/>
    <x v="29"/>
    <s v="Latin America and Caribbean"/>
    <m/>
    <s v="Mining"/>
    <s v="yes"/>
    <s v="no"/>
    <s v="no"/>
    <s v="Steel"/>
    <s v="detailed"/>
    <s v="detailed Mining"/>
    <m/>
    <m/>
    <m/>
    <m/>
    <m/>
    <m/>
    <m/>
    <m/>
    <m/>
    <m/>
    <m/>
    <m/>
    <m/>
    <m/>
    <m/>
    <m/>
    <m/>
    <m/>
    <m/>
    <m/>
    <m/>
    <m/>
    <m/>
    <m/>
    <m/>
    <m/>
    <m/>
    <m/>
    <m/>
    <m/>
    <m/>
    <m/>
    <m/>
    <m/>
    <m/>
    <m/>
    <m/>
    <m/>
    <m/>
    <m/>
    <m/>
    <m/>
    <m/>
    <m/>
    <m/>
    <m/>
    <m/>
    <m/>
    <m/>
    <m/>
    <m/>
    <m/>
    <m/>
    <m/>
    <m/>
  </r>
  <r>
    <x v="181"/>
    <n v="2010"/>
    <x v="29"/>
    <s v="Latin America and Caribbean"/>
    <m/>
    <s v="Mining"/>
    <s v="yes"/>
    <s v="no"/>
    <s v="no"/>
    <s v="Stone (construction)"/>
    <s v="detailed"/>
    <s v="detailed Mining"/>
    <m/>
    <m/>
    <m/>
    <m/>
    <m/>
    <m/>
    <m/>
    <m/>
    <m/>
    <m/>
    <m/>
    <m/>
    <m/>
    <m/>
    <m/>
    <m/>
    <m/>
    <m/>
    <m/>
    <m/>
    <m/>
    <m/>
    <m/>
    <m/>
    <m/>
    <m/>
    <m/>
    <m/>
    <m/>
    <m/>
    <m/>
    <m/>
    <m/>
    <m/>
    <m/>
    <m/>
    <m/>
    <m/>
    <m/>
    <m/>
    <m/>
    <m/>
    <m/>
    <m/>
    <m/>
    <m/>
    <m/>
    <m/>
    <m/>
    <m/>
    <m/>
    <m/>
    <m/>
    <m/>
    <m/>
  </r>
  <r>
    <x v="181"/>
    <n v="2010"/>
    <x v="29"/>
    <s v="Latin America and Caribbean"/>
    <m/>
    <s v="Mining"/>
    <s v="yes"/>
    <s v="no"/>
    <s v="no"/>
    <s v="Sulfur (elemental)"/>
    <s v="detailed"/>
    <s v="detailed Mining"/>
    <m/>
    <m/>
    <m/>
    <m/>
    <m/>
    <m/>
    <m/>
    <m/>
    <m/>
    <m/>
    <m/>
    <m/>
    <m/>
    <m/>
    <m/>
    <m/>
    <m/>
    <m/>
    <m/>
    <m/>
    <m/>
    <m/>
    <m/>
    <m/>
    <m/>
    <m/>
    <m/>
    <m/>
    <m/>
    <m/>
    <m/>
    <m/>
    <m/>
    <m/>
    <m/>
    <m/>
    <m/>
    <m/>
    <m/>
    <m/>
    <m/>
    <m/>
    <m/>
    <m/>
    <m/>
    <m/>
    <m/>
    <m/>
    <m/>
    <m/>
    <m/>
    <m/>
    <m/>
    <m/>
    <m/>
  </r>
  <r>
    <x v="181"/>
    <n v="2010"/>
    <x v="29"/>
    <s v="Latin America and Caribbean"/>
    <m/>
    <s v="Mining"/>
    <s v="yes"/>
    <s v="no"/>
    <s v="no"/>
    <s v="Talc"/>
    <s v="detailed"/>
    <s v="detailed Mining"/>
    <m/>
    <m/>
    <m/>
    <m/>
    <m/>
    <m/>
    <m/>
    <m/>
    <m/>
    <m/>
    <m/>
    <m/>
    <m/>
    <m/>
    <m/>
    <m/>
    <m/>
    <m/>
    <m/>
    <m/>
    <m/>
    <m/>
    <m/>
    <m/>
    <m/>
    <m/>
    <m/>
    <m/>
    <m/>
    <m/>
    <m/>
    <m/>
    <m/>
    <m/>
    <m/>
    <m/>
    <m/>
    <m/>
    <m/>
    <m/>
    <m/>
    <m/>
    <m/>
    <m/>
    <m/>
    <m/>
    <m/>
    <m/>
    <m/>
    <m/>
    <m/>
    <m/>
    <m/>
    <m/>
    <m/>
  </r>
  <r>
    <x v="181"/>
    <n v="2010"/>
    <x v="29"/>
    <s v="Latin America and Caribbean"/>
    <m/>
    <s v="Mining"/>
    <s v="yes"/>
    <s v="no"/>
    <s v="no"/>
    <s v="Tellurium (metal)"/>
    <s v="detailed"/>
    <s v="detailed Mining"/>
    <m/>
    <m/>
    <m/>
    <m/>
    <m/>
    <m/>
    <m/>
    <m/>
    <m/>
    <m/>
    <m/>
    <m/>
    <m/>
    <m/>
    <m/>
    <m/>
    <m/>
    <m/>
    <m/>
    <m/>
    <m/>
    <m/>
    <m/>
    <m/>
    <m/>
    <m/>
    <m/>
    <m/>
    <m/>
    <m/>
    <m/>
    <m/>
    <m/>
    <m/>
    <m/>
    <m/>
    <m/>
    <m/>
    <m/>
    <m/>
    <m/>
    <m/>
    <m/>
    <m/>
    <m/>
    <m/>
    <m/>
    <m/>
    <m/>
    <m/>
    <m/>
    <m/>
    <m/>
    <m/>
    <m/>
  </r>
  <r>
    <x v="181"/>
    <n v="2010"/>
    <x v="29"/>
    <s v="Latin America and Caribbean"/>
    <m/>
    <s v="Mining"/>
    <s v="yes"/>
    <s v="no"/>
    <s v="no"/>
    <s v="Tin"/>
    <s v="detailed"/>
    <s v="detailed Mining"/>
    <m/>
    <m/>
    <m/>
    <m/>
    <m/>
    <m/>
    <m/>
    <m/>
    <m/>
    <m/>
    <m/>
    <m/>
    <m/>
    <m/>
    <m/>
    <m/>
    <m/>
    <m/>
    <m/>
    <m/>
    <m/>
    <m/>
    <m/>
    <m/>
    <m/>
    <m/>
    <m/>
    <m/>
    <m/>
    <m/>
    <m/>
    <m/>
    <m/>
    <m/>
    <m/>
    <m/>
    <m/>
    <m/>
    <m/>
    <m/>
    <m/>
    <m/>
    <m/>
    <m/>
    <m/>
    <m/>
    <m/>
    <m/>
    <m/>
    <m/>
    <m/>
    <m/>
    <m/>
    <m/>
    <m/>
  </r>
  <r>
    <x v="181"/>
    <n v="2010"/>
    <x v="29"/>
    <s v="Latin America and Caribbean"/>
    <m/>
    <s v="Mining"/>
    <s v="yes"/>
    <s v="no"/>
    <s v="no"/>
    <s v="Travertine"/>
    <s v="detailed"/>
    <s v="detailed Mining"/>
    <m/>
    <m/>
    <m/>
    <m/>
    <m/>
    <m/>
    <m/>
    <m/>
    <m/>
    <m/>
    <m/>
    <m/>
    <m/>
    <m/>
    <m/>
    <m/>
    <m/>
    <m/>
    <m/>
    <m/>
    <m/>
    <m/>
    <m/>
    <m/>
    <m/>
    <m/>
    <m/>
    <m/>
    <m/>
    <m/>
    <m/>
    <m/>
    <m/>
    <m/>
    <m/>
    <m/>
    <m/>
    <m/>
    <m/>
    <m/>
    <m/>
    <m/>
    <m/>
    <m/>
    <m/>
    <m/>
    <m/>
    <m/>
    <m/>
    <m/>
    <m/>
    <m/>
    <m/>
    <m/>
    <m/>
  </r>
  <r>
    <x v="181"/>
    <n v="2010"/>
    <x v="29"/>
    <s v="Latin America and Caribbean"/>
    <m/>
    <s v="Mining"/>
    <s v="yes"/>
    <s v="no"/>
    <s v="no"/>
    <s v="Tungsten (metal)"/>
    <s v="detailed"/>
    <s v="detailed Mining"/>
    <m/>
    <m/>
    <m/>
    <m/>
    <m/>
    <m/>
    <m/>
    <m/>
    <m/>
    <m/>
    <m/>
    <m/>
    <m/>
    <m/>
    <m/>
    <m/>
    <m/>
    <m/>
    <m/>
    <m/>
    <m/>
    <m/>
    <m/>
    <m/>
    <m/>
    <m/>
    <m/>
    <m/>
    <m/>
    <m/>
    <m/>
    <m/>
    <m/>
    <m/>
    <m/>
    <m/>
    <m/>
    <m/>
    <m/>
    <m/>
    <m/>
    <m/>
    <m/>
    <m/>
    <m/>
    <m/>
    <m/>
    <m/>
    <m/>
    <m/>
    <m/>
    <m/>
    <m/>
    <m/>
    <m/>
  </r>
  <r>
    <x v="181"/>
    <n v="2010"/>
    <x v="29"/>
    <s v="Latin America and Caribbean"/>
    <m/>
    <s v="Mining"/>
    <s v="yes"/>
    <s v="no"/>
    <s v="no"/>
    <s v="Zinc"/>
    <s v="detailed"/>
    <s v="detailed Mining"/>
    <m/>
    <m/>
    <m/>
    <m/>
    <m/>
    <m/>
    <m/>
    <m/>
    <m/>
    <m/>
    <m/>
    <m/>
    <m/>
    <m/>
    <m/>
    <m/>
    <m/>
    <m/>
    <m/>
    <m/>
    <m/>
    <m/>
    <m/>
    <m/>
    <m/>
    <m/>
    <m/>
    <m/>
    <m/>
    <m/>
    <m/>
    <m/>
    <m/>
    <m/>
    <m/>
    <m/>
    <m/>
    <m/>
    <m/>
    <m/>
    <m/>
    <m/>
    <m/>
    <m/>
    <m/>
    <m/>
    <m/>
    <m/>
    <m/>
    <m/>
    <m/>
    <m/>
    <m/>
    <m/>
    <m/>
  </r>
  <r>
    <x v="182"/>
    <n v="2011"/>
    <x v="29"/>
    <s v="Latin America and Caribbean"/>
    <s v="http://eitiperu.minem.gob.pe/"/>
    <s v="Oil, Gas, Mining"/>
    <s v="yes"/>
    <s v="yes"/>
    <s v="yes"/>
    <s v="Total"/>
    <s v="Total"/>
    <s v="Total Oil, Gas, Mining"/>
    <m/>
    <m/>
    <m/>
    <m/>
    <m/>
    <m/>
    <m/>
    <m/>
    <m/>
    <n v="38441848535.731789"/>
    <s v="Profits/Taxes, Royalties, Dividends, Licenses and concessions, Other significant benefits to government"/>
    <s v="Does not include payments made in-kind"/>
    <m/>
    <n v="5884323617"/>
    <n v="5881394469"/>
    <m/>
    <m/>
    <m/>
    <n v="0.15307077680019751"/>
    <m/>
    <n v="2.7"/>
    <s v="Disaggregated by revenue stream, Disaggregated by company"/>
    <m/>
    <m/>
    <m/>
    <m/>
    <m/>
    <m/>
    <n v="59"/>
    <s v="February 2014"/>
    <d v="2014-10-10T00:00:00"/>
    <s v="Ernst &amp; Young"/>
    <s v="http://eiti.org/files/Peru-2011-2012-EITI-Report.pdf"/>
    <m/>
    <s v="The Report is partially disaggregated by company.  "/>
    <m/>
    <m/>
    <m/>
    <m/>
    <m/>
    <m/>
    <m/>
    <m/>
    <m/>
    <m/>
    <m/>
    <m/>
    <m/>
    <m/>
    <m/>
    <m/>
    <m/>
    <m/>
    <m/>
    <m/>
  </r>
  <r>
    <x v="182"/>
    <n v="2011"/>
    <x v="29"/>
    <s v="Latin America and Caribbean"/>
    <m/>
    <s v="Oil, Gas"/>
    <s v="no"/>
    <s v="yes"/>
    <s v="yes"/>
    <s v="Total Oil &amp; Gas"/>
    <s v="Total"/>
    <s v="Total Oil, Gas"/>
    <m/>
    <m/>
    <m/>
    <m/>
    <m/>
    <m/>
    <m/>
    <m/>
    <m/>
    <n v="6499468689.8278608"/>
    <m/>
    <m/>
    <m/>
    <m/>
    <m/>
    <m/>
    <m/>
    <m/>
    <m/>
    <m/>
    <m/>
    <m/>
    <m/>
    <m/>
    <m/>
    <m/>
    <m/>
    <m/>
    <m/>
    <m/>
    <m/>
    <m/>
    <m/>
    <m/>
    <m/>
    <m/>
    <m/>
    <m/>
    <m/>
    <m/>
    <m/>
    <m/>
    <m/>
    <m/>
    <m/>
    <m/>
    <m/>
    <m/>
    <m/>
    <m/>
    <m/>
    <m/>
    <m/>
    <m/>
    <m/>
  </r>
  <r>
    <x v="182"/>
    <n v="2011"/>
    <x v="29"/>
    <s v="Latin America and Caribbean"/>
    <m/>
    <s v="Gas"/>
    <s v="no"/>
    <s v="yes"/>
    <s v="no"/>
    <s v="Gas"/>
    <s v="detailed"/>
    <s v="detailed Gas"/>
    <n v="11300000000"/>
    <m/>
    <m/>
    <m/>
    <m/>
    <s v="m³"/>
    <n v="0.19666043794616025"/>
    <s v="US$/m³"/>
    <s v="Volume and price from BPSR 2014. Price is an average of the UK, US and Canada Indices for natural gas."/>
    <n v="2222262948.7916107"/>
    <m/>
    <m/>
    <m/>
    <m/>
    <m/>
    <m/>
    <m/>
    <m/>
    <m/>
    <m/>
    <m/>
    <m/>
    <m/>
    <m/>
    <m/>
    <m/>
    <m/>
    <m/>
    <m/>
    <m/>
    <m/>
    <m/>
    <m/>
    <m/>
    <m/>
    <m/>
    <m/>
    <m/>
    <m/>
    <m/>
    <m/>
    <m/>
    <m/>
    <m/>
    <m/>
    <m/>
    <m/>
    <m/>
    <m/>
    <m/>
    <m/>
    <m/>
    <m/>
    <m/>
    <m/>
  </r>
  <r>
    <x v="182"/>
    <n v="2011"/>
    <x v="29"/>
    <s v="Latin America and Caribbean"/>
    <m/>
    <s v="Oil"/>
    <s v="no"/>
    <s v="no"/>
    <s v="yes"/>
    <s v="Oil"/>
    <s v="detailed"/>
    <s v="detailed Oil"/>
    <n v="40150000"/>
    <m/>
    <m/>
    <m/>
    <m/>
    <s v="bbl"/>
    <n v="106.530653575"/>
    <s v="US$/bbl"/>
    <s v="Volume and price from BPSR 2014. Price is an average of the spot prices for Brent, Dubai, Nigerian Forcados and West Texas Intermediate crude oil."/>
    <n v="4277205741.0362501"/>
    <m/>
    <m/>
    <m/>
    <m/>
    <m/>
    <m/>
    <m/>
    <m/>
    <m/>
    <m/>
    <m/>
    <m/>
    <m/>
    <m/>
    <m/>
    <m/>
    <m/>
    <m/>
    <m/>
    <m/>
    <m/>
    <m/>
    <m/>
    <m/>
    <m/>
    <m/>
    <m/>
    <m/>
    <m/>
    <m/>
    <m/>
    <m/>
    <m/>
    <m/>
    <m/>
    <m/>
    <m/>
    <m/>
    <m/>
    <m/>
    <m/>
    <m/>
    <m/>
    <m/>
    <m/>
  </r>
  <r>
    <x v="182"/>
    <n v="2011"/>
    <x v="29"/>
    <s v="Latin America and Caribbean"/>
    <m/>
    <s v="Mining"/>
    <s v="yes"/>
    <s v="no"/>
    <s v="no"/>
    <s v="Total Mining"/>
    <s v="Total"/>
    <s v="Total Mining"/>
    <m/>
    <m/>
    <m/>
    <m/>
    <m/>
    <m/>
    <m/>
    <m/>
    <m/>
    <n v="31942379845.903927"/>
    <m/>
    <m/>
    <m/>
    <m/>
    <m/>
    <m/>
    <m/>
    <m/>
    <m/>
    <m/>
    <m/>
    <m/>
    <m/>
    <m/>
    <m/>
    <m/>
    <m/>
    <m/>
    <m/>
    <m/>
    <m/>
    <m/>
    <m/>
    <m/>
    <m/>
    <m/>
    <m/>
    <m/>
    <m/>
    <m/>
    <m/>
    <m/>
    <m/>
    <m/>
    <m/>
    <m/>
    <m/>
    <m/>
    <m/>
    <m/>
    <m/>
    <m/>
    <m/>
    <m/>
    <m/>
  </r>
  <r>
    <x v="182"/>
    <n v="2011"/>
    <x v="29"/>
    <s v="Latin America and Caribbean"/>
    <m/>
    <s v="Mining"/>
    <s v="yes"/>
    <s v="no"/>
    <s v="no"/>
    <s v="Antimony (metal)"/>
    <s v="detailed"/>
    <s v="detailed Mining"/>
    <n v="0"/>
    <m/>
    <m/>
    <m/>
    <m/>
    <s v="t"/>
    <m/>
    <m/>
    <s v="Volume from USGS Mineral Yearbook 2011"/>
    <n v="0"/>
    <m/>
    <m/>
    <m/>
    <m/>
    <m/>
    <m/>
    <m/>
    <m/>
    <m/>
    <m/>
    <m/>
    <m/>
    <m/>
    <m/>
    <m/>
    <m/>
    <m/>
    <m/>
    <m/>
    <m/>
    <m/>
    <m/>
    <m/>
    <m/>
    <m/>
    <m/>
    <m/>
    <m/>
    <m/>
    <m/>
    <m/>
    <m/>
    <m/>
    <m/>
    <m/>
    <m/>
    <m/>
    <m/>
    <m/>
    <m/>
    <m/>
    <m/>
    <m/>
    <m/>
    <m/>
  </r>
  <r>
    <x v="182"/>
    <n v="2011"/>
    <x v="29"/>
    <s v="Latin America and Caribbean"/>
    <m/>
    <s v="Mining"/>
    <s v="yes"/>
    <s v="no"/>
    <s v="no"/>
    <s v="Arsenic (white)"/>
    <s v="detailed"/>
    <s v="detailed Mining"/>
    <n v="0"/>
    <m/>
    <m/>
    <m/>
    <m/>
    <s v="t"/>
    <m/>
    <m/>
    <s v="Volume from USGS Mineral Yearbook 2011"/>
    <n v="0"/>
    <m/>
    <m/>
    <m/>
    <m/>
    <m/>
    <m/>
    <m/>
    <m/>
    <m/>
    <m/>
    <m/>
    <m/>
    <m/>
    <m/>
    <m/>
    <m/>
    <m/>
    <m/>
    <m/>
    <m/>
    <m/>
    <m/>
    <m/>
    <m/>
    <m/>
    <m/>
    <m/>
    <m/>
    <m/>
    <m/>
    <m/>
    <m/>
    <m/>
    <m/>
    <m/>
    <m/>
    <m/>
    <m/>
    <m/>
    <m/>
    <m/>
    <m/>
    <m/>
    <m/>
    <m/>
  </r>
  <r>
    <x v="182"/>
    <n v="2011"/>
    <x v="29"/>
    <s v="Latin America and Caribbean"/>
    <m/>
    <s v="Mining"/>
    <s v="yes"/>
    <s v="no"/>
    <s v="no"/>
    <s v="Barite"/>
    <s v="detailed"/>
    <s v="detailed Mining"/>
    <n v="86790"/>
    <m/>
    <m/>
    <m/>
    <m/>
    <s v="t"/>
    <n v="86"/>
    <s v="US$/t"/>
    <s v="Volume from USGS Mineral Yearbook 2011. Price from USGS Mineral Commodity Summary 2014, and is the estimated f.o.b. mine price in the US."/>
    <n v="7463940"/>
    <m/>
    <m/>
    <m/>
    <m/>
    <m/>
    <m/>
    <m/>
    <m/>
    <m/>
    <m/>
    <m/>
    <m/>
    <m/>
    <m/>
    <m/>
    <m/>
    <m/>
    <m/>
    <m/>
    <m/>
    <m/>
    <m/>
    <m/>
    <m/>
    <m/>
    <m/>
    <m/>
    <m/>
    <m/>
    <m/>
    <m/>
    <m/>
    <m/>
    <m/>
    <m/>
    <m/>
    <m/>
    <m/>
    <m/>
    <m/>
    <m/>
    <m/>
    <m/>
    <m/>
    <m/>
  </r>
  <r>
    <x v="182"/>
    <n v="2011"/>
    <x v="29"/>
    <s v="Latin America and Caribbean"/>
    <m/>
    <s v="Mining"/>
    <s v="yes"/>
    <s v="no"/>
    <s v="no"/>
    <s v="Bentonite clay"/>
    <s v="detailed"/>
    <s v="detailed Mining"/>
    <n v="27534"/>
    <m/>
    <m/>
    <m/>
    <m/>
    <s v="t"/>
    <n v="61"/>
    <s v="US$/t"/>
    <s v="Volume from USGS Mineral Yearbook 2011. Price from USGS Mineral Commodity Summary 2014, and is price for bentonite clay in the US."/>
    <n v="1679574"/>
    <m/>
    <m/>
    <m/>
    <m/>
    <m/>
    <m/>
    <m/>
    <m/>
    <m/>
    <m/>
    <m/>
    <m/>
    <m/>
    <m/>
    <m/>
    <m/>
    <m/>
    <m/>
    <m/>
    <m/>
    <m/>
    <m/>
    <m/>
    <m/>
    <m/>
    <m/>
    <m/>
    <m/>
    <m/>
    <m/>
    <m/>
    <m/>
    <m/>
    <m/>
    <m/>
    <m/>
    <m/>
    <m/>
    <m/>
    <m/>
    <m/>
    <m/>
    <m/>
    <m/>
    <m/>
  </r>
  <r>
    <x v="182"/>
    <n v="2011"/>
    <x v="29"/>
    <s v="Latin America and Caribbean"/>
    <m/>
    <s v="Mining"/>
    <s v="yes"/>
    <s v="no"/>
    <s v="no"/>
    <s v="Bismuth (metal)"/>
    <s v="detailed"/>
    <s v="detailed Mining"/>
    <n v="0"/>
    <m/>
    <m/>
    <m/>
    <m/>
    <s v="t"/>
    <m/>
    <m/>
    <s v="Volume from USGS Mineral Yearbook 2011"/>
    <n v="0"/>
    <m/>
    <m/>
    <m/>
    <m/>
    <m/>
    <m/>
    <m/>
    <m/>
    <m/>
    <m/>
    <m/>
    <m/>
    <m/>
    <m/>
    <m/>
    <m/>
    <m/>
    <m/>
    <m/>
    <m/>
    <m/>
    <m/>
    <m/>
    <m/>
    <m/>
    <m/>
    <m/>
    <m/>
    <m/>
    <m/>
    <m/>
    <m/>
    <m/>
    <m/>
    <m/>
    <m/>
    <m/>
    <m/>
    <m/>
    <m/>
    <m/>
    <m/>
    <m/>
    <m/>
    <m/>
  </r>
  <r>
    <x v="182"/>
    <n v="2011"/>
    <x v="29"/>
    <s v="Latin America and Caribbean"/>
    <m/>
    <s v="Mining"/>
    <s v="yes"/>
    <s v="no"/>
    <s v="no"/>
    <s v="Boron materials (crude)"/>
    <s v="detailed"/>
    <s v="detailed Mining"/>
    <n v="0"/>
    <m/>
    <m/>
    <m/>
    <m/>
    <s v="t"/>
    <m/>
    <m/>
    <s v="Volume from USGS Mineral Yearbook 2011"/>
    <n v="0"/>
    <m/>
    <m/>
    <m/>
    <m/>
    <m/>
    <m/>
    <m/>
    <m/>
    <m/>
    <m/>
    <m/>
    <m/>
    <m/>
    <m/>
    <m/>
    <m/>
    <m/>
    <m/>
    <m/>
    <m/>
    <m/>
    <m/>
    <m/>
    <m/>
    <m/>
    <m/>
    <m/>
    <m/>
    <m/>
    <m/>
    <m/>
    <m/>
    <m/>
    <m/>
    <m/>
    <m/>
    <m/>
    <m/>
    <m/>
    <m/>
    <m/>
    <m/>
    <m/>
    <m/>
    <m/>
  </r>
  <r>
    <x v="182"/>
    <n v="2011"/>
    <x v="29"/>
    <s v="Latin America and Caribbean"/>
    <m/>
    <s v="Mining"/>
    <s v="yes"/>
    <s v="no"/>
    <s v="no"/>
    <s v="Cadmium (metal)"/>
    <s v="detailed"/>
    <s v="detailed Mining"/>
    <n v="572"/>
    <m/>
    <m/>
    <m/>
    <m/>
    <s v="t"/>
    <n v="2755.7805252297217"/>
    <s v="US$/t"/>
    <s v="Volume from USGS Mineral Yearbook 2011. Price from USGS Mineral Yearbook 2012, and is the price in the US."/>
    <n v="1576306.4604314007"/>
    <m/>
    <m/>
    <m/>
    <m/>
    <m/>
    <m/>
    <m/>
    <m/>
    <m/>
    <m/>
    <m/>
    <m/>
    <m/>
    <m/>
    <m/>
    <m/>
    <m/>
    <m/>
    <m/>
    <m/>
    <m/>
    <m/>
    <m/>
    <m/>
    <m/>
    <m/>
    <m/>
    <m/>
    <m/>
    <m/>
    <m/>
    <m/>
    <m/>
    <m/>
    <m/>
    <m/>
    <m/>
    <m/>
    <m/>
    <m/>
    <m/>
    <m/>
    <m/>
    <m/>
    <m/>
  </r>
  <r>
    <x v="182"/>
    <n v="2011"/>
    <x v="29"/>
    <s v="Latin America and Caribbean"/>
    <m/>
    <s v="Mining"/>
    <s v="yes"/>
    <s v="no"/>
    <s v="no"/>
    <s v="Cement"/>
    <s v="detailed"/>
    <s v="detailed Mining"/>
    <n v="8100000"/>
    <m/>
    <m/>
    <m/>
    <m/>
    <s v="t"/>
    <n v="89.5"/>
    <s v="US$/t"/>
    <s v="Volume from USGS Mineral Yearbook 2011. Price from USGS Mineral Commodity Summary 2014, and is the average mill price for cement in the US."/>
    <n v="724950000"/>
    <m/>
    <m/>
    <m/>
    <m/>
    <m/>
    <m/>
    <m/>
    <m/>
    <m/>
    <m/>
    <m/>
    <m/>
    <m/>
    <m/>
    <m/>
    <m/>
    <m/>
    <m/>
    <m/>
    <m/>
    <m/>
    <m/>
    <m/>
    <m/>
    <m/>
    <m/>
    <m/>
    <m/>
    <m/>
    <m/>
    <m/>
    <m/>
    <m/>
    <m/>
    <m/>
    <m/>
    <m/>
    <m/>
    <m/>
    <m/>
    <m/>
    <m/>
    <m/>
    <m/>
    <m/>
  </r>
  <r>
    <x v="182"/>
    <n v="2011"/>
    <x v="29"/>
    <s v="Latin America and Caribbean"/>
    <m/>
    <s v="Mining"/>
    <s v="yes"/>
    <s v="no"/>
    <s v="no"/>
    <s v="Chalk"/>
    <s v="detailed"/>
    <s v="detailed Mining"/>
    <n v="322000"/>
    <m/>
    <m/>
    <m/>
    <m/>
    <s v="t"/>
    <m/>
    <m/>
    <s v="Volume from USGS Mineral Yearbook 2011"/>
    <n v="0"/>
    <m/>
    <m/>
    <m/>
    <m/>
    <m/>
    <m/>
    <m/>
    <m/>
    <m/>
    <m/>
    <m/>
    <m/>
    <m/>
    <m/>
    <m/>
    <m/>
    <m/>
    <m/>
    <m/>
    <m/>
    <m/>
    <m/>
    <m/>
    <m/>
    <m/>
    <m/>
    <m/>
    <m/>
    <m/>
    <m/>
    <m/>
    <m/>
    <m/>
    <m/>
    <m/>
    <m/>
    <m/>
    <m/>
    <m/>
    <m/>
    <m/>
    <m/>
    <m/>
    <m/>
    <m/>
  </r>
  <r>
    <x v="182"/>
    <n v="2011"/>
    <x v="29"/>
    <s v="Latin America and Caribbean"/>
    <m/>
    <s v="Mining"/>
    <s v="yes"/>
    <s v="no"/>
    <s v="no"/>
    <s v="Coal"/>
    <s v="detailed"/>
    <s v="detailed Mining"/>
    <n v="182481"/>
    <m/>
    <m/>
    <m/>
    <m/>
    <s v="t"/>
    <n v="111.54662184722224"/>
    <s v="US$/t"/>
    <s v="Volume from USGS Mineral Yearbook 2011. Price is from BPSR 2014, and is an average of the American Central Appalachian, Asian and Northwest Europe marker/spot prices."/>
    <n v="20355139.101302963"/>
    <m/>
    <m/>
    <m/>
    <m/>
    <m/>
    <m/>
    <m/>
    <m/>
    <m/>
    <m/>
    <m/>
    <m/>
    <m/>
    <m/>
    <m/>
    <m/>
    <m/>
    <m/>
    <m/>
    <m/>
    <m/>
    <m/>
    <m/>
    <m/>
    <m/>
    <m/>
    <m/>
    <m/>
    <m/>
    <m/>
    <m/>
    <m/>
    <m/>
    <m/>
    <m/>
    <m/>
    <m/>
    <m/>
    <m/>
    <m/>
    <m/>
    <m/>
    <m/>
    <m/>
    <m/>
  </r>
  <r>
    <x v="182"/>
    <n v="2011"/>
    <x v="29"/>
    <s v="Latin America and Caribbean"/>
    <m/>
    <s v="Mining"/>
    <s v="yes"/>
    <s v="no"/>
    <s v="no"/>
    <s v="Common clay"/>
    <s v="detailed"/>
    <s v="detailed Mining"/>
    <n v="1021502"/>
    <m/>
    <m/>
    <m/>
    <m/>
    <s v="t"/>
    <n v="12"/>
    <s v="US$/t"/>
    <s v="Volume from USGS Mineral Yearbook 2011. Price from USGS Mineral Commodity Summary 2014, and is price for common clay in the US."/>
    <n v="12258024"/>
    <m/>
    <m/>
    <m/>
    <m/>
    <m/>
    <m/>
    <m/>
    <m/>
    <m/>
    <m/>
    <m/>
    <m/>
    <m/>
    <m/>
    <m/>
    <m/>
    <m/>
    <m/>
    <m/>
    <m/>
    <m/>
    <m/>
    <m/>
    <m/>
    <m/>
    <m/>
    <m/>
    <m/>
    <m/>
    <m/>
    <m/>
    <m/>
    <m/>
    <m/>
    <m/>
    <m/>
    <m/>
    <m/>
    <m/>
    <m/>
    <m/>
    <m/>
    <m/>
    <m/>
    <m/>
  </r>
  <r>
    <x v="182"/>
    <n v="2011"/>
    <x v="29"/>
    <s v="Latin America and Caribbean"/>
    <m/>
    <s v="Mining"/>
    <s v="yes"/>
    <s v="no"/>
    <s v="no"/>
    <s v="Copper"/>
    <s v="detailed"/>
    <s v="detailed Mining"/>
    <m/>
    <m/>
    <m/>
    <m/>
    <m/>
    <m/>
    <n v="8828.1875"/>
    <s v="US$/t"/>
    <s v="Price from World Bank (Global Economic Monitor (GEM) Commodities database), and is defined as: Copper (LME), grade A, minimum 99.9935% purity, cathodes and wire bar shapes, settlement price."/>
    <n v="5885443619.6875"/>
    <m/>
    <m/>
    <m/>
    <m/>
    <m/>
    <m/>
    <m/>
    <m/>
    <m/>
    <m/>
    <m/>
    <m/>
    <m/>
    <m/>
    <m/>
    <m/>
    <m/>
    <m/>
    <m/>
    <m/>
    <m/>
    <m/>
    <m/>
    <m/>
    <m/>
    <m/>
    <m/>
    <m/>
    <m/>
    <m/>
    <m/>
    <m/>
    <m/>
    <m/>
    <m/>
    <m/>
    <m/>
    <m/>
    <m/>
    <m/>
    <m/>
    <m/>
    <m/>
    <m/>
    <m/>
  </r>
  <r>
    <x v="182"/>
    <n v="2011"/>
    <x v="29"/>
    <s v="Latin America and Caribbean"/>
    <m/>
    <s v="Mining"/>
    <s v="yes"/>
    <s v="no"/>
    <s v="no"/>
    <s v="o/w Copper content in mine output"/>
    <s v="detailed"/>
    <s v="detailed Mining"/>
    <n v="1094971"/>
    <m/>
    <m/>
    <m/>
    <m/>
    <s v="t"/>
    <m/>
    <m/>
    <s v="Volume from USGS Mineral Yearbook 2011"/>
    <m/>
    <m/>
    <m/>
    <m/>
    <m/>
    <m/>
    <m/>
    <m/>
    <m/>
    <m/>
    <m/>
    <m/>
    <m/>
    <m/>
    <m/>
    <m/>
    <m/>
    <m/>
    <m/>
    <m/>
    <m/>
    <m/>
    <m/>
    <m/>
    <m/>
    <m/>
    <m/>
    <m/>
    <m/>
    <m/>
    <m/>
    <m/>
    <m/>
    <m/>
    <m/>
    <m/>
    <m/>
    <m/>
    <m/>
    <m/>
    <m/>
    <m/>
    <m/>
    <m/>
    <m/>
    <m/>
  </r>
  <r>
    <x v="182"/>
    <n v="2011"/>
    <x v="29"/>
    <s v="Latin America and Caribbean"/>
    <m/>
    <s v="Mining"/>
    <s v="yes"/>
    <s v="no"/>
    <s v="no"/>
    <s v="o/w Metal (smelter)"/>
    <s v="detailed"/>
    <s v="detailed Mining"/>
    <n v="299004"/>
    <m/>
    <m/>
    <m/>
    <m/>
    <s v="t"/>
    <m/>
    <m/>
    <s v="Volume from USGS Mineral Yearbook 2011"/>
    <m/>
    <m/>
    <m/>
    <m/>
    <m/>
    <m/>
    <m/>
    <m/>
    <m/>
    <m/>
    <m/>
    <m/>
    <m/>
    <m/>
    <m/>
    <m/>
    <m/>
    <m/>
    <m/>
    <m/>
    <m/>
    <m/>
    <m/>
    <m/>
    <m/>
    <m/>
    <m/>
    <m/>
    <m/>
    <m/>
    <m/>
    <m/>
    <m/>
    <m/>
    <m/>
    <m/>
    <m/>
    <m/>
    <m/>
    <m/>
    <m/>
    <m/>
    <m/>
    <m/>
    <m/>
    <m/>
  </r>
  <r>
    <x v="182"/>
    <n v="2011"/>
    <x v="29"/>
    <s v="Latin America and Caribbean"/>
    <m/>
    <s v="Mining"/>
    <s v="yes"/>
    <s v="no"/>
    <s v="no"/>
    <s v="o/w Metal (refined, primary)"/>
    <s v="detailed"/>
    <s v="detailed Mining"/>
    <n v="367661"/>
    <m/>
    <m/>
    <m/>
    <m/>
    <s v="t"/>
    <m/>
    <m/>
    <s v="Volume from USGS Mineral Yearbook 2011"/>
    <m/>
    <m/>
    <m/>
    <m/>
    <m/>
    <m/>
    <m/>
    <m/>
    <m/>
    <m/>
    <m/>
    <m/>
    <m/>
    <m/>
    <m/>
    <m/>
    <m/>
    <m/>
    <m/>
    <m/>
    <m/>
    <m/>
    <m/>
    <m/>
    <m/>
    <m/>
    <m/>
    <m/>
    <m/>
    <m/>
    <m/>
    <m/>
    <m/>
    <m/>
    <m/>
    <m/>
    <m/>
    <m/>
    <m/>
    <m/>
    <m/>
    <m/>
    <m/>
    <m/>
    <m/>
    <m/>
  </r>
  <r>
    <x v="182"/>
    <n v="2011"/>
    <x v="29"/>
    <s v="Latin America and Caribbean"/>
    <m/>
    <s v="Mining"/>
    <s v="yes"/>
    <s v="no"/>
    <s v="no"/>
    <s v="Diatomite"/>
    <s v="detailed"/>
    <s v="detailed Mining"/>
    <n v="10100"/>
    <m/>
    <m/>
    <m/>
    <m/>
    <s v="t"/>
    <n v="269"/>
    <s v="US$/t"/>
    <s v="Volume from USGS Mineral Yearbook 2011. Price from USGS Mineral Commodity Summary 2013, and is the f.o.b. plant price in the US."/>
    <n v="2716900"/>
    <m/>
    <m/>
    <m/>
    <m/>
    <m/>
    <m/>
    <m/>
    <m/>
    <m/>
    <m/>
    <m/>
    <m/>
    <m/>
    <m/>
    <m/>
    <m/>
    <m/>
    <m/>
    <m/>
    <m/>
    <m/>
    <m/>
    <m/>
    <m/>
    <m/>
    <m/>
    <m/>
    <m/>
    <m/>
    <m/>
    <m/>
    <m/>
    <m/>
    <m/>
    <m/>
    <m/>
    <m/>
    <m/>
    <m/>
    <m/>
    <m/>
    <m/>
    <m/>
    <m/>
    <m/>
  </r>
  <r>
    <x v="182"/>
    <n v="2011"/>
    <x v="29"/>
    <s v="Latin America and Caribbean"/>
    <m/>
    <s v="Mining"/>
    <s v="yes"/>
    <s v="no"/>
    <s v="no"/>
    <s v="Dolomite "/>
    <s v="detailed"/>
    <s v="detailed Mining"/>
    <n v="645"/>
    <m/>
    <m/>
    <m/>
    <m/>
    <s v="t"/>
    <n v="9.9700000000000006"/>
    <s v="US$/t"/>
    <s v="Volume from USGS Mineral Yearbook 2011. Price from USGS Mineral Yearbook 2012, and is the price in the US for crushed dolomite."/>
    <n v="6430.6500000000005"/>
    <m/>
    <m/>
    <m/>
    <m/>
    <m/>
    <m/>
    <m/>
    <m/>
    <m/>
    <m/>
    <m/>
    <m/>
    <m/>
    <m/>
    <m/>
    <m/>
    <m/>
    <m/>
    <m/>
    <m/>
    <m/>
    <m/>
    <m/>
    <m/>
    <m/>
    <m/>
    <m/>
    <m/>
    <m/>
    <m/>
    <m/>
    <m/>
    <m/>
    <m/>
    <m/>
    <m/>
    <m/>
    <m/>
    <m/>
    <m/>
    <m/>
    <m/>
    <m/>
    <m/>
    <m/>
  </r>
  <r>
    <x v="182"/>
    <n v="2011"/>
    <x v="29"/>
    <s v="Latin America and Caribbean"/>
    <m/>
    <s v="Mining"/>
    <s v="yes"/>
    <s v="no"/>
    <s v="no"/>
    <s v="Feldspar"/>
    <s v="detailed"/>
    <s v="detailed Mining"/>
    <n v="11645"/>
    <m/>
    <m/>
    <m/>
    <m/>
    <s v="t"/>
    <n v="62"/>
    <s v="US$/t"/>
    <s v="Volume from USGS Mineral Yearbook 2011. Price from USGS Mineral Commodity Summary 2014, and is the price for marketable production in the US."/>
    <n v="721990"/>
    <m/>
    <m/>
    <m/>
    <m/>
    <m/>
    <m/>
    <m/>
    <m/>
    <m/>
    <m/>
    <m/>
    <m/>
    <m/>
    <m/>
    <m/>
    <m/>
    <m/>
    <m/>
    <m/>
    <m/>
    <m/>
    <m/>
    <m/>
    <m/>
    <m/>
    <m/>
    <m/>
    <m/>
    <m/>
    <m/>
    <m/>
    <m/>
    <m/>
    <m/>
    <m/>
    <m/>
    <m/>
    <m/>
    <m/>
    <m/>
    <m/>
    <m/>
    <m/>
    <m/>
    <m/>
  </r>
  <r>
    <x v="182"/>
    <n v="2011"/>
    <x v="29"/>
    <s v="Latin America and Caribbean"/>
    <m/>
    <s v="Mining"/>
    <s v="yes"/>
    <s v="no"/>
    <s v="no"/>
    <s v="Fire clay"/>
    <s v="detailed"/>
    <s v="detailed Mining"/>
    <n v="6000"/>
    <m/>
    <m/>
    <m/>
    <m/>
    <s v="t"/>
    <n v="29"/>
    <s v="US$/t"/>
    <s v="Volume from USGS Mineral Yearbook 2011. Price from USGS Mineral Commodity Summary 2014, and is price for fire clay in the US."/>
    <n v="174000"/>
    <m/>
    <m/>
    <m/>
    <m/>
    <m/>
    <m/>
    <m/>
    <m/>
    <m/>
    <m/>
    <m/>
    <m/>
    <m/>
    <m/>
    <m/>
    <m/>
    <m/>
    <m/>
    <m/>
    <m/>
    <m/>
    <m/>
    <m/>
    <m/>
    <m/>
    <m/>
    <m/>
    <m/>
    <m/>
    <m/>
    <m/>
    <m/>
    <m/>
    <m/>
    <m/>
    <m/>
    <m/>
    <m/>
    <m/>
    <m/>
    <m/>
    <m/>
    <m/>
    <m/>
    <m/>
  </r>
  <r>
    <x v="182"/>
    <n v="2011"/>
    <x v="29"/>
    <s v="Latin America and Caribbean"/>
    <m/>
    <s v="Mining"/>
    <s v="yes"/>
    <s v="no"/>
    <s v="no"/>
    <s v="Flagstone"/>
    <s v="detailed"/>
    <s v="detailed Mining"/>
    <n v="300000"/>
    <m/>
    <m/>
    <m/>
    <m/>
    <s v="t"/>
    <m/>
    <m/>
    <s v="Volume from USGS Mineral Yearbook 2011"/>
    <m/>
    <m/>
    <m/>
    <m/>
    <m/>
    <m/>
    <m/>
    <m/>
    <m/>
    <m/>
    <m/>
    <m/>
    <m/>
    <m/>
    <m/>
    <m/>
    <m/>
    <m/>
    <m/>
    <m/>
    <m/>
    <m/>
    <m/>
    <m/>
    <m/>
    <m/>
    <m/>
    <m/>
    <m/>
    <m/>
    <m/>
    <m/>
    <m/>
    <m/>
    <m/>
    <m/>
    <m/>
    <m/>
    <m/>
    <m/>
    <m/>
    <m/>
    <m/>
    <m/>
    <m/>
    <m/>
  </r>
  <r>
    <x v="182"/>
    <n v="2011"/>
    <x v="29"/>
    <s v="Latin America and Caribbean"/>
    <m/>
    <s v="Mining"/>
    <s v="yes"/>
    <s v="no"/>
    <s v="no"/>
    <s v="Gold"/>
    <s v="detailed"/>
    <s v="detailed Mining"/>
    <n v="5273011.2294351226"/>
    <m/>
    <m/>
    <m/>
    <m/>
    <s v="toz"/>
    <n v="1569.2108333333299"/>
    <s v="US$/toz"/>
    <s v="Volume from USGS Mineral Yearbook 2011. Price from World Bank (Global Economic Monitor (GEM) Commodities database), and is defined as: Gold (UK), 99.5% fine, London afternoon fixing, average of daily rates."/>
    <n v="8274466345.5178947"/>
    <m/>
    <m/>
    <m/>
    <m/>
    <m/>
    <m/>
    <m/>
    <m/>
    <m/>
    <m/>
    <m/>
    <m/>
    <m/>
    <m/>
    <m/>
    <m/>
    <m/>
    <m/>
    <m/>
    <m/>
    <m/>
    <m/>
    <m/>
    <m/>
    <m/>
    <m/>
    <m/>
    <m/>
    <m/>
    <m/>
    <m/>
    <m/>
    <m/>
    <m/>
    <m/>
    <m/>
    <m/>
    <m/>
    <m/>
    <m/>
    <m/>
    <m/>
    <m/>
    <m/>
    <m/>
  </r>
  <r>
    <x v="182"/>
    <n v="2011"/>
    <x v="29"/>
    <s v="Latin America and Caribbean"/>
    <m/>
    <s v="Mining"/>
    <s v="yes"/>
    <s v="no"/>
    <s v="no"/>
    <s v="Granite"/>
    <s v="detailed"/>
    <s v="detailed Mining"/>
    <n v="2000"/>
    <m/>
    <m/>
    <m/>
    <m/>
    <s v="t"/>
    <n v="12"/>
    <s v="US$/t"/>
    <s v="Volume from USGS Mineral Yearbook 2011. Price from USGS Mineral Yearbook 2012, and is the price in the US for crushed granite."/>
    <n v="24000"/>
    <m/>
    <m/>
    <m/>
    <m/>
    <m/>
    <m/>
    <m/>
    <m/>
    <m/>
    <m/>
    <m/>
    <m/>
    <m/>
    <m/>
    <m/>
    <m/>
    <m/>
    <m/>
    <m/>
    <m/>
    <m/>
    <m/>
    <m/>
    <m/>
    <m/>
    <m/>
    <m/>
    <m/>
    <m/>
    <m/>
    <m/>
    <m/>
    <m/>
    <m/>
    <m/>
    <m/>
    <m/>
    <m/>
    <m/>
    <m/>
    <m/>
    <m/>
    <m/>
    <m/>
    <m/>
  </r>
  <r>
    <x v="182"/>
    <n v="2011"/>
    <x v="29"/>
    <s v="Latin America and Caribbean"/>
    <m/>
    <s v="Mining"/>
    <s v="yes"/>
    <s v="no"/>
    <s v="no"/>
    <s v="Gypsum (crude)"/>
    <s v="detailed"/>
    <s v="detailed Mining"/>
    <n v="331000"/>
    <m/>
    <m/>
    <m/>
    <m/>
    <s v="t"/>
    <n v="18.5"/>
    <s v="US$/t"/>
    <s v="Volume from USGS Mineral Yearbook 2011. Price from USGS Mineral Commodity Summary 2013, and is the average f.o.b. price for crude and calcined products."/>
    <n v="6123500"/>
    <m/>
    <m/>
    <m/>
    <m/>
    <m/>
    <m/>
    <m/>
    <m/>
    <m/>
    <m/>
    <m/>
    <m/>
    <m/>
    <m/>
    <m/>
    <m/>
    <m/>
    <m/>
    <m/>
    <m/>
    <m/>
    <m/>
    <m/>
    <m/>
    <m/>
    <m/>
    <m/>
    <m/>
    <m/>
    <m/>
    <m/>
    <m/>
    <m/>
    <m/>
    <m/>
    <m/>
    <m/>
    <m/>
    <m/>
    <m/>
    <m/>
    <m/>
    <m/>
    <m/>
    <m/>
  </r>
  <r>
    <x v="182"/>
    <n v="2011"/>
    <x v="29"/>
    <s v="Latin America and Caribbean"/>
    <m/>
    <s v="Mining"/>
    <s v="yes"/>
    <s v="no"/>
    <s v="no"/>
    <s v="Indium"/>
    <s v="detailed"/>
    <s v="detailed Mining"/>
    <n v="2000"/>
    <m/>
    <m/>
    <m/>
    <m/>
    <s v="kg"/>
    <n v="720"/>
    <s v="US$/kg"/>
    <s v="Volume from USGS Mineral Yearbook 2011. Price from USGS Mineral Commodity Summary 2009, and is the price of Indium Corp, a US producer, for 99.97% purity metal."/>
    <n v="1440000"/>
    <m/>
    <m/>
    <m/>
    <m/>
    <m/>
    <m/>
    <m/>
    <m/>
    <m/>
    <m/>
    <m/>
    <m/>
    <m/>
    <m/>
    <m/>
    <m/>
    <m/>
    <m/>
    <m/>
    <m/>
    <m/>
    <m/>
    <m/>
    <m/>
    <m/>
    <m/>
    <m/>
    <m/>
    <m/>
    <m/>
    <m/>
    <m/>
    <m/>
    <m/>
    <m/>
    <m/>
    <m/>
    <m/>
    <m/>
    <m/>
    <m/>
    <m/>
    <m/>
    <m/>
    <m/>
  </r>
  <r>
    <x v="182"/>
    <n v="2011"/>
    <x v="29"/>
    <s v="Latin America and Caribbean"/>
    <m/>
    <s v="Mining"/>
    <s v="yes"/>
    <s v="no"/>
    <s v="no"/>
    <s v="Iron ore"/>
    <s v="detailed"/>
    <s v="detailed Mining"/>
    <n v="10626000"/>
    <m/>
    <m/>
    <m/>
    <m/>
    <s v="t"/>
    <n v="167.75416666666999"/>
    <s v="US$/t"/>
    <s v="Volume from USGS Mineral Yearbook 2011. Price from World Bank (Global Economic Monitor (GEM) Commodities database), and is defined as: Iron ore (any origin) fines, spot price, c.f.r. China, 62% Fe."/>
    <n v="1782555775.0000353"/>
    <m/>
    <m/>
    <m/>
    <m/>
    <m/>
    <m/>
    <m/>
    <m/>
    <m/>
    <m/>
    <m/>
    <m/>
    <m/>
    <m/>
    <m/>
    <m/>
    <m/>
    <m/>
    <m/>
    <m/>
    <m/>
    <m/>
    <m/>
    <m/>
    <m/>
    <m/>
    <m/>
    <m/>
    <m/>
    <m/>
    <m/>
    <m/>
    <m/>
    <m/>
    <m/>
    <m/>
    <m/>
    <m/>
    <m/>
    <m/>
    <m/>
    <m/>
    <m/>
    <m/>
    <m/>
  </r>
  <r>
    <x v="182"/>
    <n v="2011"/>
    <x v="29"/>
    <s v="Latin America and Caribbean"/>
    <m/>
    <s v="Mining"/>
    <s v="yes"/>
    <s v="no"/>
    <s v="no"/>
    <s v="Kaolin clay"/>
    <s v="detailed"/>
    <s v="detailed Mining"/>
    <n v="18169"/>
    <m/>
    <m/>
    <m/>
    <m/>
    <s v="t"/>
    <n v="143"/>
    <s v="US$/t"/>
    <s v="Volume from USGS Mineral Yearbook 2011. Price from USGS Mineral Commodity Summary 2014, and is price for kaolin clay in the US."/>
    <n v="2598167"/>
    <m/>
    <m/>
    <m/>
    <m/>
    <m/>
    <m/>
    <m/>
    <m/>
    <m/>
    <m/>
    <m/>
    <m/>
    <m/>
    <m/>
    <m/>
    <m/>
    <m/>
    <m/>
    <m/>
    <m/>
    <m/>
    <m/>
    <m/>
    <m/>
    <m/>
    <m/>
    <m/>
    <m/>
    <m/>
    <m/>
    <m/>
    <m/>
    <m/>
    <m/>
    <m/>
    <m/>
    <m/>
    <m/>
    <m/>
    <m/>
    <m/>
    <m/>
    <m/>
    <m/>
    <m/>
  </r>
  <r>
    <x v="182"/>
    <n v="2011"/>
    <x v="29"/>
    <s v="Latin America and Caribbean"/>
    <m/>
    <s v="Mining"/>
    <s v="yes"/>
    <s v="no"/>
    <s v="no"/>
    <s v="Lead"/>
    <s v="detailed"/>
    <s v="detailed Mining"/>
    <m/>
    <m/>
    <m/>
    <m/>
    <m/>
    <m/>
    <n v="2400.8120833333301"/>
    <s v="US$/t"/>
    <s v="Price from World Bank (Global Economic Monitor (GEM) Commodities database), and is defined as: Lead (LME), refined, 99.97% purity, settlement price"/>
    <n v="48597238.190833271"/>
    <m/>
    <m/>
    <m/>
    <m/>
    <m/>
    <m/>
    <m/>
    <m/>
    <m/>
    <m/>
    <m/>
    <m/>
    <m/>
    <m/>
    <m/>
    <m/>
    <m/>
    <m/>
    <m/>
    <m/>
    <m/>
    <m/>
    <m/>
    <m/>
    <m/>
    <m/>
    <m/>
    <m/>
    <m/>
    <m/>
    <m/>
    <m/>
    <m/>
    <m/>
    <m/>
    <m/>
    <m/>
    <m/>
    <m/>
    <m/>
    <m/>
    <m/>
    <m/>
    <m/>
    <m/>
  </r>
  <r>
    <x v="182"/>
    <n v="2011"/>
    <x v="29"/>
    <s v="Latin America and Caribbean"/>
    <m/>
    <s v="Mining"/>
    <s v="yes"/>
    <s v="no"/>
    <s v="no"/>
    <s v="o/w Lead content of mine output"/>
    <s v="detailed"/>
    <s v="detailed Mining"/>
    <n v="230172"/>
    <m/>
    <m/>
    <m/>
    <m/>
    <s v="t"/>
    <m/>
    <m/>
    <s v="Volume from USGS Mineral Yearbook 2011"/>
    <m/>
    <m/>
    <m/>
    <m/>
    <m/>
    <m/>
    <m/>
    <m/>
    <m/>
    <m/>
    <m/>
    <m/>
    <m/>
    <m/>
    <m/>
    <m/>
    <m/>
    <m/>
    <m/>
    <m/>
    <m/>
    <m/>
    <m/>
    <m/>
    <m/>
    <m/>
    <m/>
    <m/>
    <m/>
    <m/>
    <m/>
    <m/>
    <m/>
    <m/>
    <m/>
    <m/>
    <m/>
    <m/>
    <m/>
    <m/>
    <m/>
    <m/>
    <m/>
    <m/>
    <m/>
    <m/>
  </r>
  <r>
    <x v="182"/>
    <n v="2011"/>
    <x v="29"/>
    <s v="Latin America and Caribbean"/>
    <m/>
    <s v="Mining"/>
    <s v="yes"/>
    <s v="no"/>
    <s v="no"/>
    <s v="o/w Metal"/>
    <s v="detailed"/>
    <s v="detailed Mining"/>
    <n v="20242"/>
    <m/>
    <m/>
    <m/>
    <m/>
    <s v="t"/>
    <m/>
    <m/>
    <s v="Volume from USGS Mineral Yearbook 2011"/>
    <m/>
    <m/>
    <m/>
    <m/>
    <m/>
    <m/>
    <m/>
    <m/>
    <m/>
    <m/>
    <m/>
    <m/>
    <m/>
    <m/>
    <m/>
    <m/>
    <m/>
    <m/>
    <m/>
    <m/>
    <m/>
    <m/>
    <m/>
    <m/>
    <m/>
    <m/>
    <m/>
    <m/>
    <m/>
    <m/>
    <m/>
    <m/>
    <m/>
    <m/>
    <m/>
    <m/>
    <m/>
    <m/>
    <m/>
    <m/>
    <m/>
    <m/>
    <m/>
    <m/>
    <m/>
    <m/>
  </r>
  <r>
    <x v="182"/>
    <n v="2011"/>
    <x v="29"/>
    <s v="Latin America and Caribbean"/>
    <m/>
    <s v="Mining"/>
    <s v="yes"/>
    <s v="no"/>
    <s v="no"/>
    <s v="Lime"/>
    <s v="detailed"/>
    <s v="detailed Mining"/>
    <n v="216000"/>
    <m/>
    <m/>
    <m/>
    <m/>
    <s v="t"/>
    <n v="119.4"/>
    <s v="US$/t"/>
    <s v="Volume from USGS Mineral Yearbook 2011. Price from USGS Mineral Commodity Summary 2014, and is the average plant price for quicklime and hydrate products in the US."/>
    <n v="25790400"/>
    <m/>
    <m/>
    <m/>
    <m/>
    <m/>
    <m/>
    <m/>
    <m/>
    <m/>
    <m/>
    <m/>
    <m/>
    <m/>
    <m/>
    <m/>
    <m/>
    <m/>
    <m/>
    <m/>
    <m/>
    <m/>
    <m/>
    <m/>
    <m/>
    <m/>
    <m/>
    <m/>
    <m/>
    <m/>
    <m/>
    <m/>
    <m/>
    <m/>
    <m/>
    <m/>
    <m/>
    <m/>
    <m/>
    <m/>
    <m/>
    <m/>
    <m/>
    <m/>
    <m/>
    <m/>
  </r>
  <r>
    <x v="182"/>
    <n v="2011"/>
    <x v="29"/>
    <s v="Latin America and Caribbean"/>
    <m/>
    <s v="Mining"/>
    <s v="yes"/>
    <s v="no"/>
    <s v="no"/>
    <s v="Limestone"/>
    <s v="detailed"/>
    <s v="detailed Mining"/>
    <n v="11581000"/>
    <m/>
    <m/>
    <m/>
    <m/>
    <s v="t"/>
    <n v="9.06"/>
    <s v="US$/t"/>
    <s v="Volume from USGS Mineral Yearbook 2011. Price from USGS Mineral Yearbook 2012, and is the price in the US for crushed limestone."/>
    <n v="104923860"/>
    <m/>
    <m/>
    <m/>
    <m/>
    <m/>
    <m/>
    <m/>
    <m/>
    <m/>
    <m/>
    <m/>
    <m/>
    <m/>
    <m/>
    <m/>
    <m/>
    <m/>
    <m/>
    <m/>
    <m/>
    <m/>
    <m/>
    <m/>
    <m/>
    <m/>
    <m/>
    <m/>
    <m/>
    <m/>
    <m/>
    <m/>
    <m/>
    <m/>
    <m/>
    <m/>
    <m/>
    <m/>
    <m/>
    <m/>
    <m/>
    <m/>
    <m/>
    <m/>
    <m/>
    <m/>
  </r>
  <r>
    <x v="182"/>
    <n v="2011"/>
    <x v="29"/>
    <s v="Latin America and Caribbean"/>
    <m/>
    <s v="Mining"/>
    <s v="yes"/>
    <s v="no"/>
    <s v="no"/>
    <s v="Manganese"/>
    <s v="detailed"/>
    <s v="detailed Mining"/>
    <n v="200"/>
    <m/>
    <m/>
    <m/>
    <m/>
    <s v="t"/>
    <n v="7.88"/>
    <s v="US$/t"/>
    <s v="Volume from USGS Mineral Yearbook 2011. Price from USGS Mineral Commodity Summary 2013, and is the c.i.f. price at US ports for metallurgical ore with 46-48% manganese content. "/>
    <n v="1576"/>
    <m/>
    <m/>
    <m/>
    <m/>
    <m/>
    <m/>
    <m/>
    <m/>
    <m/>
    <m/>
    <m/>
    <m/>
    <m/>
    <m/>
    <m/>
    <m/>
    <m/>
    <m/>
    <m/>
    <m/>
    <m/>
    <m/>
    <m/>
    <m/>
    <m/>
    <m/>
    <m/>
    <m/>
    <m/>
    <m/>
    <m/>
    <m/>
    <m/>
    <m/>
    <m/>
    <m/>
    <m/>
    <m/>
    <m/>
    <m/>
    <m/>
    <m/>
    <m/>
    <m/>
    <m/>
  </r>
  <r>
    <x v="182"/>
    <n v="2011"/>
    <x v="29"/>
    <s v="Latin America and Caribbean"/>
    <m/>
    <s v="Mining"/>
    <s v="yes"/>
    <s v="no"/>
    <s v="no"/>
    <s v="Marble"/>
    <s v="detailed"/>
    <s v="detailed Mining"/>
    <n v="0"/>
    <m/>
    <m/>
    <m/>
    <m/>
    <s v="t"/>
    <m/>
    <m/>
    <s v="Volume from USGS Mineral Yearbook 2011"/>
    <n v="0"/>
    <m/>
    <m/>
    <m/>
    <m/>
    <m/>
    <m/>
    <m/>
    <m/>
    <m/>
    <m/>
    <m/>
    <m/>
    <m/>
    <m/>
    <m/>
    <m/>
    <m/>
    <m/>
    <m/>
    <m/>
    <m/>
    <m/>
    <m/>
    <m/>
    <m/>
    <m/>
    <m/>
    <m/>
    <m/>
    <m/>
    <m/>
    <m/>
    <m/>
    <m/>
    <m/>
    <m/>
    <m/>
    <m/>
    <m/>
    <m/>
    <m/>
    <m/>
    <m/>
    <m/>
    <m/>
  </r>
  <r>
    <x v="182"/>
    <n v="2011"/>
    <x v="29"/>
    <s v="Latin America and Caribbean"/>
    <m/>
    <s v="Mining"/>
    <s v="yes"/>
    <s v="no"/>
    <s v="no"/>
    <s v="Molybdenum"/>
    <s v="detailed"/>
    <s v="detailed Mining"/>
    <n v="19141"/>
    <m/>
    <m/>
    <m/>
    <m/>
    <s v="t"/>
    <n v="34130"/>
    <s v="US$/t"/>
    <s v="Volume from USGS Mineral Yearbook 2011. Price from USGS Mineral Commodity Summary 2013, and is the price in the US."/>
    <n v="653282330"/>
    <m/>
    <m/>
    <m/>
    <m/>
    <m/>
    <m/>
    <m/>
    <m/>
    <m/>
    <m/>
    <m/>
    <m/>
    <m/>
    <m/>
    <m/>
    <m/>
    <m/>
    <m/>
    <m/>
    <m/>
    <m/>
    <m/>
    <m/>
    <m/>
    <m/>
    <m/>
    <m/>
    <m/>
    <m/>
    <m/>
    <m/>
    <m/>
    <m/>
    <m/>
    <m/>
    <m/>
    <m/>
    <m/>
    <m/>
    <m/>
    <m/>
    <m/>
    <m/>
    <m/>
    <m/>
  </r>
  <r>
    <x v="182"/>
    <n v="2011"/>
    <x v="29"/>
    <s v="Latin America and Caribbean"/>
    <m/>
    <s v="Mining"/>
    <s v="yes"/>
    <s v="no"/>
    <s v="no"/>
    <s v="Nitrogen (fixed - ammonia)"/>
    <s v="detailed"/>
    <s v="detailed Mining"/>
    <n v="5000"/>
    <m/>
    <m/>
    <m/>
    <m/>
    <s v="t"/>
    <n v="531"/>
    <s v="US$/t"/>
    <s v="Volume from USGS Mineral Yearbook 2011. Price from USGS Mineral Commodity Summary 2013, and is the f.o.b price in the US."/>
    <n v="2655000"/>
    <m/>
    <m/>
    <m/>
    <m/>
    <m/>
    <m/>
    <m/>
    <m/>
    <m/>
    <m/>
    <m/>
    <m/>
    <m/>
    <m/>
    <m/>
    <m/>
    <m/>
    <m/>
    <m/>
    <m/>
    <m/>
    <m/>
    <m/>
    <m/>
    <m/>
    <m/>
    <m/>
    <m/>
    <m/>
    <m/>
    <m/>
    <m/>
    <m/>
    <m/>
    <m/>
    <m/>
    <m/>
    <m/>
    <m/>
    <m/>
    <m/>
    <m/>
    <m/>
    <m/>
    <m/>
  </r>
  <r>
    <x v="182"/>
    <n v="2011"/>
    <x v="29"/>
    <s v="Latin America and Caribbean"/>
    <m/>
    <s v="Mining"/>
    <s v="yes"/>
    <s v="no"/>
    <s v="no"/>
    <s v="Onyx"/>
    <s v="detailed"/>
    <s v="detailed Mining"/>
    <n v="150"/>
    <m/>
    <m/>
    <m/>
    <m/>
    <s v="t"/>
    <m/>
    <m/>
    <s v="Volume from USGS Mineral Yearbook 2011"/>
    <m/>
    <m/>
    <m/>
    <m/>
    <m/>
    <m/>
    <m/>
    <m/>
    <m/>
    <m/>
    <m/>
    <m/>
    <m/>
    <m/>
    <m/>
    <m/>
    <m/>
    <m/>
    <m/>
    <m/>
    <m/>
    <m/>
    <m/>
    <m/>
    <m/>
    <m/>
    <m/>
    <m/>
    <m/>
    <m/>
    <m/>
    <m/>
    <m/>
    <m/>
    <m/>
    <m/>
    <m/>
    <m/>
    <m/>
    <m/>
    <m/>
    <m/>
    <m/>
    <m/>
    <m/>
    <m/>
  </r>
  <r>
    <x v="182"/>
    <n v="2011"/>
    <x v="29"/>
    <s v="Latin America and Caribbean"/>
    <m/>
    <s v="Mining"/>
    <s v="yes"/>
    <s v="no"/>
    <s v="no"/>
    <s v="Phosphate rock"/>
    <s v="detailed"/>
    <s v="detailed Mining"/>
    <n v="38000"/>
    <m/>
    <m/>
    <m/>
    <m/>
    <s v="t"/>
    <n v="184.89583333332999"/>
    <s v="US$/t"/>
    <s v="Volume from USGS Mineral Yearbook 2011. Price from World Bank (Global Economic Monitor (GEM) Commodities database), and is defined as: Phosphate rock (Morocco), 70% BPL, contract, f.a.s. Casablanca."/>
    <n v="7026041.6666665394"/>
    <m/>
    <m/>
    <m/>
    <m/>
    <m/>
    <m/>
    <m/>
    <m/>
    <m/>
    <m/>
    <m/>
    <m/>
    <m/>
    <m/>
    <m/>
    <m/>
    <m/>
    <m/>
    <m/>
    <m/>
    <m/>
    <m/>
    <m/>
    <m/>
    <m/>
    <m/>
    <m/>
    <m/>
    <m/>
    <m/>
    <m/>
    <m/>
    <m/>
    <m/>
    <m/>
    <m/>
    <m/>
    <m/>
    <m/>
    <m/>
    <m/>
    <m/>
    <m/>
    <m/>
    <m/>
  </r>
  <r>
    <x v="182"/>
    <n v="2011"/>
    <x v="29"/>
    <s v="Latin America and Caribbean"/>
    <m/>
    <s v="Mining"/>
    <s v="yes"/>
    <s v="no"/>
    <s v="no"/>
    <s v="Pig iron"/>
    <s v="detailed"/>
    <s v="detailed Mining"/>
    <n v="330000"/>
    <m/>
    <m/>
    <m/>
    <m/>
    <s v="t"/>
    <m/>
    <m/>
    <s v="Volume from USGS Mineral Yearbook 2011"/>
    <m/>
    <m/>
    <m/>
    <m/>
    <m/>
    <m/>
    <m/>
    <m/>
    <m/>
    <m/>
    <m/>
    <m/>
    <m/>
    <m/>
    <m/>
    <m/>
    <m/>
    <m/>
    <m/>
    <m/>
    <m/>
    <m/>
    <m/>
    <m/>
    <m/>
    <m/>
    <m/>
    <m/>
    <m/>
    <m/>
    <m/>
    <m/>
    <m/>
    <m/>
    <m/>
    <m/>
    <m/>
    <m/>
    <m/>
    <m/>
    <m/>
    <m/>
    <m/>
    <m/>
    <m/>
    <m/>
  </r>
  <r>
    <x v="182"/>
    <n v="2011"/>
    <x v="29"/>
    <s v="Latin America and Caribbean"/>
    <m/>
    <s v="Mining"/>
    <s v="yes"/>
    <s v="no"/>
    <s v="no"/>
    <s v="Quartz and quartzite (crushed)"/>
    <s v="detailed"/>
    <s v="detailed Mining"/>
    <n v="124000"/>
    <m/>
    <m/>
    <m/>
    <m/>
    <s v="t"/>
    <n v="8.98"/>
    <s v="US$/t"/>
    <s v="Volume from USGS Mineral Yearbook 2011. Price from USGS Mineral Yearbook 2012, and is the price in the US for crushed quartzite."/>
    <n v="1113520"/>
    <m/>
    <m/>
    <m/>
    <m/>
    <m/>
    <m/>
    <m/>
    <m/>
    <m/>
    <m/>
    <m/>
    <m/>
    <m/>
    <m/>
    <m/>
    <m/>
    <m/>
    <m/>
    <m/>
    <m/>
    <m/>
    <m/>
    <m/>
    <m/>
    <m/>
    <m/>
    <m/>
    <m/>
    <m/>
    <m/>
    <m/>
    <m/>
    <m/>
    <m/>
    <m/>
    <m/>
    <m/>
    <m/>
    <m/>
    <m/>
    <m/>
    <m/>
    <m/>
    <m/>
    <m/>
  </r>
  <r>
    <x v="182"/>
    <n v="2011"/>
    <x v="29"/>
    <s v="Latin America and Caribbean"/>
    <m/>
    <s v="Mining"/>
    <s v="yes"/>
    <s v="no"/>
    <s v="no"/>
    <s v="Salt"/>
    <s v="detailed"/>
    <s v="detailed Mining"/>
    <n v="1565000"/>
    <m/>
    <m/>
    <m/>
    <m/>
    <s v="t"/>
    <n v="67.89"/>
    <s v="US$/t"/>
    <s v="Volume from USGS Mineral Yearbook 2011. Price from USGS Mineral Commodity Summary 2013, and is the average f.o.b. mine and plant price for bulk, pellets and packaged vacuum and open pan salt, solar salt, rock salt and salt in brine."/>
    <n v="106247850"/>
    <m/>
    <m/>
    <m/>
    <m/>
    <m/>
    <m/>
    <m/>
    <m/>
    <m/>
    <m/>
    <m/>
    <m/>
    <m/>
    <m/>
    <m/>
    <m/>
    <m/>
    <m/>
    <m/>
    <m/>
    <m/>
    <m/>
    <m/>
    <m/>
    <m/>
    <m/>
    <m/>
    <m/>
    <m/>
    <m/>
    <m/>
    <m/>
    <m/>
    <m/>
    <m/>
    <m/>
    <m/>
    <m/>
    <m/>
    <m/>
    <m/>
    <m/>
    <m/>
    <m/>
    <m/>
  </r>
  <r>
    <x v="182"/>
    <n v="2011"/>
    <x v="29"/>
    <s v="Latin America and Caribbean"/>
    <m/>
    <s v="Mining"/>
    <s v="yes"/>
    <s v="no"/>
    <s v="no"/>
    <s v="Sand"/>
    <s v="detailed"/>
    <s v="detailed Mining"/>
    <n v="1076"/>
    <m/>
    <m/>
    <m/>
    <m/>
    <s v="t"/>
    <n v="7.49"/>
    <s v="US$/t"/>
    <s v="Volume from USGS Mineral Yearbook 2011. Price from USGS Mineral Yearbook 2012, and is the price in the US for construction sand and gravel."/>
    <n v="8059.24"/>
    <m/>
    <m/>
    <m/>
    <m/>
    <m/>
    <m/>
    <m/>
    <m/>
    <m/>
    <m/>
    <m/>
    <m/>
    <m/>
    <m/>
    <m/>
    <m/>
    <m/>
    <m/>
    <m/>
    <m/>
    <m/>
    <m/>
    <m/>
    <m/>
    <m/>
    <m/>
    <m/>
    <m/>
    <m/>
    <m/>
    <m/>
    <m/>
    <m/>
    <m/>
    <m/>
    <m/>
    <m/>
    <m/>
    <m/>
    <m/>
    <m/>
    <m/>
    <m/>
    <m/>
    <m/>
  </r>
  <r>
    <x v="182"/>
    <n v="2011"/>
    <x v="29"/>
    <s v="Latin America and Caribbean"/>
    <m/>
    <s v="Mining"/>
    <s v="yes"/>
    <s v="no"/>
    <s v="no"/>
    <s v="Selenium (metal, refined)"/>
    <s v="detailed"/>
    <s v="detailed Mining"/>
    <n v="54000"/>
    <m/>
    <m/>
    <m/>
    <m/>
    <s v="t"/>
    <n v="146276.83027919361"/>
    <s v="US$/t"/>
    <s v="Volume from USGS Mineral Yearbook 2011. Price from the USGS Mineral Commodity Summary 2014, and is the price for the refined product in the US."/>
    <n v="7898948835.0764551"/>
    <m/>
    <m/>
    <m/>
    <m/>
    <m/>
    <m/>
    <m/>
    <m/>
    <m/>
    <m/>
    <m/>
    <m/>
    <m/>
    <m/>
    <m/>
    <m/>
    <m/>
    <m/>
    <m/>
    <m/>
    <m/>
    <m/>
    <m/>
    <m/>
    <m/>
    <m/>
    <m/>
    <m/>
    <m/>
    <m/>
    <m/>
    <m/>
    <m/>
    <m/>
    <m/>
    <m/>
    <m/>
    <m/>
    <m/>
    <m/>
    <m/>
    <m/>
    <m/>
    <m/>
    <m/>
  </r>
  <r>
    <x v="182"/>
    <n v="2011"/>
    <x v="29"/>
    <s v="Latin America and Caribbean"/>
    <m/>
    <s v="Mining"/>
    <s v="yes"/>
    <s v="no"/>
    <s v="no"/>
    <s v="Shell "/>
    <s v="detailed"/>
    <s v="detailed Mining"/>
    <n v="6200"/>
    <m/>
    <m/>
    <m/>
    <m/>
    <s v="t"/>
    <n v="13.81"/>
    <s v="US$/t"/>
    <s v="Volume from USGS Mineral Yearbook 2011. Price from USGS Mineral Yearbook 2012, and is the price in the US for crushed shell."/>
    <n v="85622"/>
    <m/>
    <m/>
    <m/>
    <m/>
    <m/>
    <m/>
    <m/>
    <m/>
    <m/>
    <m/>
    <m/>
    <m/>
    <m/>
    <m/>
    <m/>
    <m/>
    <m/>
    <m/>
    <m/>
    <m/>
    <m/>
    <m/>
    <m/>
    <m/>
    <m/>
    <m/>
    <m/>
    <m/>
    <m/>
    <m/>
    <m/>
    <m/>
    <m/>
    <m/>
    <m/>
    <m/>
    <m/>
    <m/>
    <m/>
    <m/>
    <m/>
    <m/>
    <m/>
    <m/>
    <m/>
  </r>
  <r>
    <x v="182"/>
    <n v="2011"/>
    <x v="29"/>
    <s v="Latin America and Caribbean"/>
    <m/>
    <s v="Mining"/>
    <s v="yes"/>
    <s v="no"/>
    <s v="no"/>
    <s v="Silver"/>
    <s v="detailed"/>
    <s v="detailed Mining"/>
    <n v="109762648.8924"/>
    <m/>
    <m/>
    <m/>
    <m/>
    <s v="toz"/>
    <n v="35.22411666667"/>
    <s v="US$/toz"/>
    <s v="Volume from USGS Mineral Yearbook 2011. Price from World Bank (Global Economic Monitor (GEM) Commodities database), and is defined as: Silver (Handy &amp; Harman), 99.9% grade refined, New York."/>
    <n v="3866292350.2286339"/>
    <m/>
    <m/>
    <m/>
    <m/>
    <m/>
    <m/>
    <m/>
    <m/>
    <m/>
    <m/>
    <m/>
    <m/>
    <m/>
    <m/>
    <m/>
    <m/>
    <m/>
    <m/>
    <m/>
    <m/>
    <m/>
    <m/>
    <m/>
    <m/>
    <m/>
    <m/>
    <m/>
    <m/>
    <m/>
    <m/>
    <m/>
    <m/>
    <m/>
    <m/>
    <m/>
    <m/>
    <m/>
    <m/>
    <m/>
    <m/>
    <m/>
    <m/>
    <m/>
    <m/>
    <m/>
  </r>
  <r>
    <x v="182"/>
    <n v="2011"/>
    <x v="29"/>
    <s v="Latin America and Caribbean"/>
    <m/>
    <s v="Mining"/>
    <s v="yes"/>
    <s v="no"/>
    <s v="no"/>
    <s v="Slate"/>
    <s v="detailed"/>
    <s v="detailed Mining"/>
    <n v="16500"/>
    <m/>
    <m/>
    <m/>
    <m/>
    <s v="t"/>
    <n v="12.67"/>
    <s v="US$/t"/>
    <s v="Volume from USGS Mineral Yearbook 2011. Price from USGS Mineral Yearbook 2012, and is the price in the US for crushed slate."/>
    <n v="209055"/>
    <m/>
    <m/>
    <m/>
    <m/>
    <m/>
    <m/>
    <m/>
    <m/>
    <m/>
    <m/>
    <m/>
    <m/>
    <m/>
    <m/>
    <m/>
    <m/>
    <m/>
    <m/>
    <m/>
    <m/>
    <m/>
    <m/>
    <m/>
    <m/>
    <m/>
    <m/>
    <m/>
    <m/>
    <m/>
    <m/>
    <m/>
    <m/>
    <m/>
    <m/>
    <m/>
    <m/>
    <m/>
    <m/>
    <m/>
    <m/>
    <m/>
    <m/>
    <m/>
    <m/>
    <m/>
  </r>
  <r>
    <x v="182"/>
    <n v="2011"/>
    <x v="29"/>
    <s v="Latin America and Caribbean"/>
    <m/>
    <s v="Mining"/>
    <s v="yes"/>
    <s v="no"/>
    <s v="no"/>
    <s v="Steel (various)"/>
    <s v="detailed"/>
    <s v="detailed Mining"/>
    <n v="1260000"/>
    <m/>
    <m/>
    <m/>
    <m/>
    <s v="t"/>
    <n v="768.715208333335"/>
    <s v="US$/t"/>
    <s v="Volume from USGS Mineral Yearbook 2011. Price from World Bank (Global Economic Monitor (GEM) Commodities database), and is an average of the prices for steel coilsheets, wirerods and rebars."/>
    <n v="968581162.50000215"/>
    <m/>
    <m/>
    <m/>
    <m/>
    <m/>
    <m/>
    <m/>
    <m/>
    <m/>
    <m/>
    <m/>
    <m/>
    <m/>
    <m/>
    <m/>
    <m/>
    <m/>
    <m/>
    <m/>
    <m/>
    <m/>
    <m/>
    <m/>
    <m/>
    <m/>
    <m/>
    <m/>
    <m/>
    <m/>
    <m/>
    <m/>
    <m/>
    <m/>
    <m/>
    <m/>
    <m/>
    <m/>
    <m/>
    <m/>
    <m/>
    <m/>
    <m/>
    <m/>
    <m/>
    <m/>
  </r>
  <r>
    <x v="182"/>
    <n v="2011"/>
    <x v="29"/>
    <s v="Latin America and Caribbean"/>
    <m/>
    <s v="Mining"/>
    <s v="yes"/>
    <s v="no"/>
    <s v="no"/>
    <s v="Stone (construction)"/>
    <s v="detailed"/>
    <s v="detailed Mining"/>
    <n v="4372"/>
    <m/>
    <m/>
    <m/>
    <m/>
    <s v="t"/>
    <n v="8.66"/>
    <s v="US$/t"/>
    <s v="Volume from USGS Mineral Yearbook 2011. Price from USGS Mineral Yearbook 2012, and is the price in the US for crushed miscellaneous stone."/>
    <n v="37861.520000000004"/>
    <m/>
    <m/>
    <m/>
    <m/>
    <m/>
    <m/>
    <m/>
    <m/>
    <m/>
    <m/>
    <m/>
    <m/>
    <m/>
    <m/>
    <m/>
    <m/>
    <m/>
    <m/>
    <m/>
    <m/>
    <m/>
    <m/>
    <m/>
    <m/>
    <m/>
    <m/>
    <m/>
    <m/>
    <m/>
    <m/>
    <m/>
    <m/>
    <m/>
    <m/>
    <m/>
    <m/>
    <m/>
    <m/>
    <m/>
    <m/>
    <m/>
    <m/>
    <m/>
    <m/>
    <m/>
  </r>
  <r>
    <x v="182"/>
    <n v="2011"/>
    <x v="29"/>
    <s v="Latin America and Caribbean"/>
    <m/>
    <s v="Mining"/>
    <s v="yes"/>
    <s v="no"/>
    <s v="no"/>
    <s v="Sulfur (elemental)"/>
    <s v="detailed"/>
    <s v="detailed Mining"/>
    <m/>
    <m/>
    <m/>
    <m/>
    <m/>
    <m/>
    <n v="159.83000000000001"/>
    <s v="US$/t"/>
    <s v="Volume from USGS Mineral Yearbook 2011. Price from USGS Mineral Commodity Summary 2013, and is f.o.b. mine and/or plant price for elemental sulfur in the US."/>
    <m/>
    <m/>
    <m/>
    <m/>
    <m/>
    <m/>
    <m/>
    <m/>
    <m/>
    <m/>
    <m/>
    <m/>
    <m/>
    <m/>
    <m/>
    <m/>
    <m/>
    <m/>
    <m/>
    <m/>
    <m/>
    <m/>
    <m/>
    <m/>
    <m/>
    <m/>
    <m/>
    <m/>
    <m/>
    <m/>
    <m/>
    <m/>
    <m/>
    <m/>
    <m/>
    <m/>
    <m/>
    <m/>
    <m/>
    <m/>
    <m/>
    <m/>
    <m/>
    <m/>
    <m/>
    <m/>
  </r>
  <r>
    <x v="182"/>
    <n v="2011"/>
    <x v="29"/>
    <s v="Latin America and Caribbean"/>
    <m/>
    <s v="Mining"/>
    <s v="yes"/>
    <s v="no"/>
    <s v="no"/>
    <s v="o/w Native"/>
    <s v="detailed"/>
    <s v="detailed Mining"/>
    <n v="100"/>
    <m/>
    <m/>
    <m/>
    <m/>
    <s v="t"/>
    <m/>
    <m/>
    <s v="Volume from USGS Mineral Yearbook 2011"/>
    <m/>
    <m/>
    <m/>
    <m/>
    <m/>
    <m/>
    <m/>
    <m/>
    <m/>
    <m/>
    <m/>
    <m/>
    <m/>
    <m/>
    <m/>
    <m/>
    <m/>
    <m/>
    <m/>
    <m/>
    <m/>
    <m/>
    <m/>
    <m/>
    <m/>
    <m/>
    <m/>
    <m/>
    <m/>
    <m/>
    <m/>
    <m/>
    <m/>
    <m/>
    <m/>
    <m/>
    <m/>
    <m/>
    <m/>
    <m/>
    <m/>
    <m/>
    <m/>
    <m/>
    <m/>
    <m/>
  </r>
  <r>
    <x v="182"/>
    <n v="2011"/>
    <x v="29"/>
    <s v="Latin America and Caribbean"/>
    <m/>
    <s v="Mining"/>
    <s v="yes"/>
    <s v="no"/>
    <s v="no"/>
    <s v="o/w Sulfuric acid"/>
    <s v="detailed"/>
    <s v="detailed Mining"/>
    <n v="204000"/>
    <m/>
    <m/>
    <m/>
    <m/>
    <s v="t"/>
    <m/>
    <m/>
    <s v="Volume from USGS Mineral Yearbook 2011"/>
    <m/>
    <m/>
    <m/>
    <m/>
    <m/>
    <m/>
    <m/>
    <m/>
    <m/>
    <m/>
    <m/>
    <m/>
    <m/>
    <m/>
    <m/>
    <m/>
    <m/>
    <m/>
    <m/>
    <m/>
    <m/>
    <m/>
    <m/>
    <m/>
    <m/>
    <m/>
    <m/>
    <m/>
    <m/>
    <m/>
    <m/>
    <m/>
    <m/>
    <m/>
    <m/>
    <m/>
    <m/>
    <m/>
    <m/>
    <m/>
    <m/>
    <m/>
    <m/>
    <m/>
    <m/>
    <m/>
  </r>
  <r>
    <x v="182"/>
    <n v="2011"/>
    <x v="29"/>
    <s v="Latin America and Caribbean"/>
    <m/>
    <s v="Mining"/>
    <s v="yes"/>
    <s v="no"/>
    <s v="no"/>
    <s v="Talc"/>
    <s v="detailed"/>
    <s v="detailed Mining"/>
    <n v="28296"/>
    <m/>
    <m/>
    <m/>
    <m/>
    <s v="t"/>
    <n v="155"/>
    <s v="US$/t"/>
    <s v="Volume from USGS Mineral Yearbook 2011. Price from USGS Mineral Commodity Summary 2013, and is the price for processed talc in the US."/>
    <n v="4385880"/>
    <m/>
    <m/>
    <m/>
    <m/>
    <m/>
    <m/>
    <m/>
    <m/>
    <m/>
    <m/>
    <m/>
    <m/>
    <m/>
    <m/>
    <m/>
    <m/>
    <m/>
    <m/>
    <m/>
    <m/>
    <m/>
    <m/>
    <m/>
    <m/>
    <m/>
    <m/>
    <m/>
    <m/>
    <m/>
    <m/>
    <m/>
    <m/>
    <m/>
    <m/>
    <m/>
    <m/>
    <m/>
    <m/>
    <m/>
    <m/>
    <m/>
    <m/>
    <m/>
    <m/>
    <m/>
  </r>
  <r>
    <x v="182"/>
    <n v="2011"/>
    <x v="29"/>
    <s v="Latin America and Caribbean"/>
    <m/>
    <s v="Mining"/>
    <s v="yes"/>
    <s v="no"/>
    <s v="no"/>
    <s v="Tellurium (metal)"/>
    <s v="detailed"/>
    <s v="detailed Mining"/>
    <n v="0"/>
    <m/>
    <m/>
    <m/>
    <m/>
    <s v="t"/>
    <m/>
    <m/>
    <s v="Volume from USGS Mineral Yearbook 2011"/>
    <n v="0"/>
    <m/>
    <m/>
    <m/>
    <m/>
    <m/>
    <m/>
    <m/>
    <m/>
    <m/>
    <m/>
    <m/>
    <m/>
    <m/>
    <m/>
    <m/>
    <m/>
    <m/>
    <m/>
    <m/>
    <m/>
    <m/>
    <m/>
    <m/>
    <m/>
    <m/>
    <m/>
    <m/>
    <m/>
    <m/>
    <m/>
    <m/>
    <m/>
    <m/>
    <m/>
    <m/>
    <m/>
    <m/>
    <m/>
    <m/>
    <m/>
    <m/>
    <m/>
    <m/>
    <m/>
    <m/>
  </r>
  <r>
    <x v="182"/>
    <n v="2011"/>
    <x v="29"/>
    <s v="Latin America and Caribbean"/>
    <m/>
    <s v="Mining"/>
    <s v="yes"/>
    <s v="no"/>
    <s v="no"/>
    <s v="Tin"/>
    <s v="detailed"/>
    <s v="detailed Mining"/>
    <m/>
    <m/>
    <m/>
    <m/>
    <m/>
    <m/>
    <n v="26053.674999999999"/>
    <s v="US$/t"/>
    <s v="Price from World Bank (Global Economic Monitor (GEM) Commodities database), and is defined as: Tin (LME), refined, 99.85% purity, settlement price"/>
    <n v="841273165.75"/>
    <m/>
    <m/>
    <m/>
    <m/>
    <m/>
    <m/>
    <m/>
    <m/>
    <m/>
    <m/>
    <m/>
    <m/>
    <m/>
    <m/>
    <m/>
    <m/>
    <m/>
    <m/>
    <m/>
    <m/>
    <m/>
    <m/>
    <m/>
    <m/>
    <m/>
    <m/>
    <m/>
    <m/>
    <m/>
    <m/>
    <m/>
    <m/>
    <m/>
    <m/>
    <m/>
    <m/>
    <m/>
    <m/>
    <m/>
    <m/>
    <m/>
    <m/>
    <m/>
    <m/>
    <m/>
  </r>
  <r>
    <x v="182"/>
    <n v="2011"/>
    <x v="29"/>
    <s v="Latin America and Caribbean"/>
    <m/>
    <s v="Mining"/>
    <s v="yes"/>
    <s v="no"/>
    <s v="no"/>
    <s v="o/w Tin content of mine output"/>
    <s v="detailed"/>
    <s v="detailed Mining"/>
    <n v="28882"/>
    <m/>
    <m/>
    <m/>
    <m/>
    <s v="t"/>
    <m/>
    <m/>
    <s v="Volume from USGS Mineral Yearbook 2011"/>
    <m/>
    <m/>
    <m/>
    <m/>
    <m/>
    <m/>
    <m/>
    <m/>
    <m/>
    <m/>
    <m/>
    <m/>
    <m/>
    <m/>
    <m/>
    <m/>
    <m/>
    <m/>
    <m/>
    <m/>
    <m/>
    <m/>
    <m/>
    <m/>
    <m/>
    <m/>
    <m/>
    <m/>
    <m/>
    <m/>
    <m/>
    <m/>
    <m/>
    <m/>
    <m/>
    <m/>
    <m/>
    <m/>
    <m/>
    <m/>
    <m/>
    <m/>
    <m/>
    <m/>
    <m/>
    <m/>
  </r>
  <r>
    <x v="182"/>
    <n v="2011"/>
    <x v="29"/>
    <s v="Latin America and Caribbean"/>
    <m/>
    <s v="Mining"/>
    <s v="yes"/>
    <s v="no"/>
    <s v="no"/>
    <s v="o/w Metal"/>
    <s v="detailed"/>
    <s v="detailed Mining"/>
    <n v="32290"/>
    <m/>
    <m/>
    <m/>
    <m/>
    <s v="t"/>
    <m/>
    <m/>
    <s v="Volume from USGS Mineral Yearbook 2011"/>
    <m/>
    <m/>
    <m/>
    <m/>
    <m/>
    <m/>
    <m/>
    <m/>
    <m/>
    <m/>
    <m/>
    <m/>
    <m/>
    <m/>
    <m/>
    <m/>
    <m/>
    <m/>
    <m/>
    <m/>
    <m/>
    <m/>
    <m/>
    <m/>
    <m/>
    <m/>
    <m/>
    <m/>
    <m/>
    <m/>
    <m/>
    <m/>
    <m/>
    <m/>
    <m/>
    <m/>
    <m/>
    <m/>
    <m/>
    <m/>
    <m/>
    <m/>
    <m/>
    <m/>
    <m/>
    <m/>
  </r>
  <r>
    <x v="182"/>
    <n v="2011"/>
    <x v="29"/>
    <s v="Latin America and Caribbean"/>
    <m/>
    <s v="Mining"/>
    <s v="yes"/>
    <s v="no"/>
    <s v="no"/>
    <s v="Travertine"/>
    <s v="detailed"/>
    <s v="detailed Mining"/>
    <n v="116073"/>
    <m/>
    <m/>
    <m/>
    <m/>
    <s v="t"/>
    <m/>
    <m/>
    <s v="Volume from USGS Mineral Yearbook 2011"/>
    <m/>
    <m/>
    <m/>
    <m/>
    <m/>
    <m/>
    <m/>
    <m/>
    <m/>
    <m/>
    <m/>
    <m/>
    <m/>
    <m/>
    <m/>
    <m/>
    <m/>
    <m/>
    <m/>
    <m/>
    <m/>
    <m/>
    <m/>
    <m/>
    <m/>
    <m/>
    <m/>
    <m/>
    <m/>
    <m/>
    <m/>
    <m/>
    <m/>
    <m/>
    <m/>
    <m/>
    <m/>
    <m/>
    <m/>
    <m/>
    <m/>
    <m/>
    <m/>
    <m/>
    <m/>
    <m/>
  </r>
  <r>
    <x v="182"/>
    <n v="2011"/>
    <x v="29"/>
    <s v="Latin America and Caribbean"/>
    <m/>
    <s v="Mining"/>
    <s v="yes"/>
    <s v="no"/>
    <s v="no"/>
    <s v="Tungsten (metal)"/>
    <s v="detailed"/>
    <s v="detailed Mining"/>
    <n v="548"/>
    <m/>
    <m/>
    <m/>
    <m/>
    <s v="t"/>
    <n v="199"/>
    <s v="US$/t"/>
    <s v="Volume from USGS Mineral Yearbook 2011. Price from USGS Mineral Commodity Summary 2013, and is the average price on the US and European spot markets for a metric ton unit of tungsten trioxide, which contains 7.93kg of tungsten."/>
    <n v="109052"/>
    <m/>
    <m/>
    <m/>
    <m/>
    <m/>
    <m/>
    <m/>
    <m/>
    <m/>
    <m/>
    <m/>
    <m/>
    <m/>
    <m/>
    <m/>
    <m/>
    <m/>
    <m/>
    <m/>
    <m/>
    <m/>
    <m/>
    <m/>
    <m/>
    <m/>
    <m/>
    <m/>
    <m/>
    <m/>
    <m/>
    <m/>
    <m/>
    <m/>
    <m/>
    <m/>
    <m/>
    <m/>
    <m/>
    <m/>
    <m/>
    <m/>
    <m/>
    <m/>
    <m/>
    <m/>
  </r>
  <r>
    <x v="182"/>
    <n v="2011"/>
    <x v="29"/>
    <s v="Latin America and Caribbean"/>
    <m/>
    <s v="Mining"/>
    <s v="yes"/>
    <s v="no"/>
    <s v="no"/>
    <s v="Zinc"/>
    <s v="detailed"/>
    <s v="detailed Mining"/>
    <m/>
    <m/>
    <m/>
    <m/>
    <m/>
    <m/>
    <n v="2193.90041666667"/>
    <s v="US$/t"/>
    <s v="Price from World Bank (Global Economic Monitor (GEM) Commodities database), and is defined as: Zinc (LME), high grade, minimum 99.95% purity, settlement price beginning April 1990; previously special high grade, minimum 99.995%, cash prices"/>
    <n v="688257275.31416774"/>
    <m/>
    <m/>
    <m/>
    <m/>
    <m/>
    <m/>
    <m/>
    <m/>
    <m/>
    <m/>
    <m/>
    <m/>
    <m/>
    <m/>
    <m/>
    <m/>
    <m/>
    <m/>
    <m/>
    <m/>
    <m/>
    <m/>
    <m/>
    <m/>
    <m/>
    <m/>
    <m/>
    <m/>
    <m/>
    <m/>
    <m/>
    <m/>
    <m/>
    <m/>
    <m/>
    <m/>
    <m/>
    <m/>
    <m/>
    <m/>
    <m/>
    <m/>
    <m/>
    <m/>
    <m/>
  </r>
  <r>
    <x v="182"/>
    <n v="2011"/>
    <x v="29"/>
    <s v="Latin America and Caribbean"/>
    <m/>
    <s v="Mining"/>
    <s v="yes"/>
    <s v="no"/>
    <s v="no"/>
    <s v="o/w Zinc content of mine output"/>
    <s v="detailed"/>
    <s v="detailed Mining"/>
    <n v="1256383"/>
    <m/>
    <m/>
    <m/>
    <m/>
    <s v="t"/>
    <m/>
    <m/>
    <s v="Volume from USGS Mineral Yearbook 2011"/>
    <m/>
    <m/>
    <m/>
    <m/>
    <m/>
    <m/>
    <m/>
    <m/>
    <m/>
    <m/>
    <m/>
    <m/>
    <m/>
    <m/>
    <m/>
    <m/>
    <m/>
    <m/>
    <m/>
    <m/>
    <m/>
    <m/>
    <m/>
    <m/>
    <m/>
    <m/>
    <m/>
    <m/>
    <m/>
    <m/>
    <m/>
    <m/>
    <m/>
    <m/>
    <m/>
    <m/>
    <m/>
    <m/>
    <m/>
    <m/>
    <m/>
    <m/>
    <m/>
    <m/>
    <m/>
    <m/>
  </r>
  <r>
    <x v="182"/>
    <n v="2011"/>
    <x v="29"/>
    <s v="Latin America and Caribbean"/>
    <m/>
    <s v="Mining"/>
    <s v="yes"/>
    <s v="no"/>
    <s v="no"/>
    <s v="o/w Metal"/>
    <s v="detailed"/>
    <s v="detailed Mining"/>
    <n v="313714"/>
    <m/>
    <m/>
    <m/>
    <m/>
    <s v="t"/>
    <m/>
    <m/>
    <s v="Volume from USGS Mineral Yearbook 2011"/>
    <m/>
    <m/>
    <m/>
    <m/>
    <m/>
    <m/>
    <m/>
    <m/>
    <m/>
    <m/>
    <m/>
    <m/>
    <m/>
    <m/>
    <m/>
    <m/>
    <m/>
    <m/>
    <m/>
    <m/>
    <m/>
    <m/>
    <m/>
    <m/>
    <m/>
    <m/>
    <m/>
    <m/>
    <m/>
    <m/>
    <m/>
    <m/>
    <m/>
    <m/>
    <m/>
    <m/>
    <m/>
    <m/>
    <m/>
    <m/>
    <m/>
    <m/>
    <m/>
    <m/>
    <m/>
    <m/>
  </r>
  <r>
    <x v="183"/>
    <n v="2012"/>
    <x v="29"/>
    <s v="Latin America and Caribbean"/>
    <s v="http://eitiperu.minem.gob.pe/"/>
    <s v="Oil, Gas, Mining"/>
    <s v="yes"/>
    <s v="yes"/>
    <s v="yes"/>
    <s v="Total"/>
    <s v="Total"/>
    <s v="Total Oil, Gas, Mining"/>
    <m/>
    <m/>
    <m/>
    <m/>
    <m/>
    <m/>
    <m/>
    <m/>
    <m/>
    <n v="33323460765.120514"/>
    <s v="Profits/Taxes, Royalties, Licenses and concessions, Other significant benefits to government"/>
    <s v="Does not include payments made in-kind"/>
    <m/>
    <n v="5480907241"/>
    <n v="5478998767"/>
    <m/>
    <m/>
    <m/>
    <n v="0.16447593122551171"/>
    <m/>
    <n v="2.59"/>
    <s v="Disaggregated by revenue stream, Disaggregated by company"/>
    <m/>
    <m/>
    <m/>
    <m/>
    <m/>
    <m/>
    <n v="59"/>
    <s v="February 2014"/>
    <d v="2014-10-10T00:00:00"/>
    <s v="Ernst &amp; Young"/>
    <s v="http://eiti.org/files/Peru-2011-2012-EITI-Report_0.pdf"/>
    <m/>
    <s v="The Report is partially disaggregated by company.  "/>
    <m/>
    <m/>
    <m/>
    <m/>
    <m/>
    <m/>
    <m/>
    <m/>
    <m/>
    <m/>
    <m/>
    <m/>
    <m/>
    <m/>
    <m/>
    <m/>
    <m/>
    <m/>
    <m/>
    <m/>
  </r>
  <r>
    <x v="183"/>
    <n v="2012"/>
    <x v="29"/>
    <s v="Latin America and Caribbean"/>
    <m/>
    <s v="Oil, Gas"/>
    <s v="no"/>
    <s v="yes"/>
    <s v="yes"/>
    <s v="Total Oil &amp; Gas"/>
    <s v="Total"/>
    <s v="Total Oil, Gas"/>
    <m/>
    <m/>
    <m/>
    <m/>
    <m/>
    <m/>
    <m/>
    <m/>
    <m/>
    <n v="6436963217.4101572"/>
    <m/>
    <m/>
    <m/>
    <m/>
    <m/>
    <m/>
    <m/>
    <m/>
    <m/>
    <m/>
    <m/>
    <m/>
    <m/>
    <m/>
    <m/>
    <m/>
    <m/>
    <m/>
    <m/>
    <m/>
    <m/>
    <m/>
    <m/>
    <m/>
    <m/>
    <m/>
    <m/>
    <m/>
    <m/>
    <m/>
    <m/>
    <m/>
    <m/>
    <m/>
    <m/>
    <m/>
    <m/>
    <m/>
    <m/>
    <m/>
    <m/>
    <m/>
    <m/>
    <m/>
    <m/>
  </r>
  <r>
    <x v="183"/>
    <n v="2012"/>
    <x v="29"/>
    <s v="Latin America and Caribbean"/>
    <m/>
    <s v="Gas"/>
    <s v="no"/>
    <s v="yes"/>
    <s v="no"/>
    <s v="Gas"/>
    <s v="detailed"/>
    <s v="detailed Gas"/>
    <n v="11900000000"/>
    <m/>
    <m/>
    <m/>
    <m/>
    <s v="m³"/>
    <n v="0.17241089108361263"/>
    <s v="US$/m³"/>
    <s v="Volume and price from BPSR 2014. Price is an average of the UK, US and Canada Indices for natural gas."/>
    <n v="2051689603.8949902"/>
    <m/>
    <m/>
    <m/>
    <m/>
    <m/>
    <m/>
    <m/>
    <m/>
    <m/>
    <m/>
    <m/>
    <m/>
    <m/>
    <m/>
    <m/>
    <m/>
    <m/>
    <m/>
    <m/>
    <m/>
    <m/>
    <m/>
    <m/>
    <m/>
    <m/>
    <m/>
    <m/>
    <m/>
    <m/>
    <m/>
    <m/>
    <m/>
    <m/>
    <m/>
    <m/>
    <m/>
    <m/>
    <m/>
    <m/>
    <m/>
    <m/>
    <m/>
    <m/>
    <m/>
    <m/>
  </r>
  <r>
    <x v="183"/>
    <n v="2012"/>
    <x v="29"/>
    <s v="Latin America and Caribbean"/>
    <m/>
    <s v="Oil"/>
    <s v="no"/>
    <s v="no"/>
    <s v="yes"/>
    <s v="Oil"/>
    <s v="detailed"/>
    <s v="detailed Oil"/>
    <n v="40880000"/>
    <m/>
    <m/>
    <m/>
    <m/>
    <s v="bbl"/>
    <n v="107.27185943041016"/>
    <s v="US$/bbl"/>
    <s v="Volume and price from BPSR 2014. Price is an average of the spot prices for Brent, Dubai, Nigerian Forcados and West Texas Intermediate crude oil."/>
    <n v="4385273613.5151672"/>
    <m/>
    <m/>
    <m/>
    <m/>
    <m/>
    <m/>
    <m/>
    <m/>
    <m/>
    <m/>
    <m/>
    <m/>
    <m/>
    <m/>
    <m/>
    <m/>
    <m/>
    <m/>
    <m/>
    <m/>
    <m/>
    <m/>
    <m/>
    <m/>
    <m/>
    <m/>
    <m/>
    <m/>
    <m/>
    <m/>
    <m/>
    <m/>
    <m/>
    <m/>
    <m/>
    <m/>
    <m/>
    <m/>
    <m/>
    <m/>
    <m/>
    <m/>
    <m/>
    <m/>
    <m/>
  </r>
  <r>
    <x v="183"/>
    <n v="2012"/>
    <x v="29"/>
    <s v="Latin America and Caribbean"/>
    <m/>
    <s v="Mining"/>
    <s v="yes"/>
    <s v="no"/>
    <s v="no"/>
    <s v="Total Mining"/>
    <s v="Total"/>
    <s v="Total Mining"/>
    <m/>
    <m/>
    <m/>
    <m/>
    <m/>
    <m/>
    <m/>
    <m/>
    <m/>
    <n v="26886497547.710358"/>
    <m/>
    <m/>
    <m/>
    <m/>
    <m/>
    <m/>
    <m/>
    <m/>
    <m/>
    <m/>
    <m/>
    <m/>
    <m/>
    <m/>
    <m/>
    <m/>
    <m/>
    <m/>
    <m/>
    <m/>
    <m/>
    <m/>
    <m/>
    <m/>
    <m/>
    <m/>
    <m/>
    <m/>
    <m/>
    <m/>
    <m/>
    <m/>
    <m/>
    <m/>
    <m/>
    <m/>
    <m/>
    <m/>
    <m/>
    <m/>
    <m/>
    <m/>
    <m/>
    <m/>
    <m/>
  </r>
  <r>
    <x v="183"/>
    <n v="2012"/>
    <x v="29"/>
    <s v="Latin America and Caribbean"/>
    <m/>
    <s v="Mining"/>
    <s v="yes"/>
    <s v="no"/>
    <s v="no"/>
    <s v="Antimony (metal)"/>
    <s v="detailed"/>
    <s v="detailed Mining"/>
    <n v="0"/>
    <m/>
    <m/>
    <m/>
    <m/>
    <s v="t"/>
    <m/>
    <m/>
    <s v="Volume from USGS Mineral Yearbook 2012"/>
    <n v="0"/>
    <m/>
    <m/>
    <m/>
    <m/>
    <m/>
    <m/>
    <m/>
    <m/>
    <m/>
    <m/>
    <m/>
    <m/>
    <m/>
    <m/>
    <m/>
    <m/>
    <m/>
    <m/>
    <m/>
    <m/>
    <m/>
    <m/>
    <m/>
    <m/>
    <m/>
    <m/>
    <m/>
    <m/>
    <m/>
    <m/>
    <m/>
    <m/>
    <m/>
    <m/>
    <m/>
    <m/>
    <m/>
    <m/>
    <m/>
    <m/>
    <m/>
    <m/>
    <m/>
    <m/>
    <m/>
  </r>
  <r>
    <x v="183"/>
    <n v="2012"/>
    <x v="29"/>
    <s v="Latin America and Caribbean"/>
    <m/>
    <s v="Mining"/>
    <s v="yes"/>
    <s v="no"/>
    <s v="no"/>
    <s v="Arsenic (white)"/>
    <s v="detailed"/>
    <s v="detailed Mining"/>
    <n v="0"/>
    <m/>
    <m/>
    <m/>
    <m/>
    <s v="t"/>
    <m/>
    <m/>
    <s v="Volume from USGS Mineral Yearbook 2012"/>
    <n v="0"/>
    <m/>
    <m/>
    <m/>
    <m/>
    <m/>
    <m/>
    <m/>
    <m/>
    <m/>
    <m/>
    <m/>
    <m/>
    <m/>
    <m/>
    <m/>
    <m/>
    <m/>
    <m/>
    <m/>
    <m/>
    <m/>
    <m/>
    <m/>
    <m/>
    <m/>
    <m/>
    <m/>
    <m/>
    <m/>
    <m/>
    <m/>
    <m/>
    <m/>
    <m/>
    <m/>
    <m/>
    <m/>
    <m/>
    <m/>
    <m/>
    <m/>
    <m/>
    <m/>
    <m/>
    <m/>
  </r>
  <r>
    <x v="183"/>
    <n v="2012"/>
    <x v="29"/>
    <s v="Latin America and Caribbean"/>
    <m/>
    <s v="Mining"/>
    <s v="yes"/>
    <s v="no"/>
    <s v="no"/>
    <s v="Barite"/>
    <s v="detailed"/>
    <s v="detailed Mining"/>
    <n v="76007"/>
    <m/>
    <m/>
    <m/>
    <m/>
    <s v="t"/>
    <n v="112"/>
    <s v="US$/t"/>
    <s v="Volume from USGS Mineral Yearbook 2012. Price from USGS Mineral Commodity Summary 2014, and is the estimated f.o.b. mine price in the US."/>
    <n v="8512784"/>
    <m/>
    <m/>
    <m/>
    <m/>
    <m/>
    <m/>
    <m/>
    <m/>
    <m/>
    <m/>
    <m/>
    <m/>
    <m/>
    <m/>
    <m/>
    <m/>
    <m/>
    <m/>
    <m/>
    <m/>
    <m/>
    <m/>
    <m/>
    <m/>
    <m/>
    <m/>
    <m/>
    <m/>
    <m/>
    <m/>
    <m/>
    <m/>
    <m/>
    <m/>
    <m/>
    <m/>
    <m/>
    <m/>
    <m/>
    <m/>
    <m/>
    <m/>
    <m/>
    <m/>
    <m/>
  </r>
  <r>
    <x v="183"/>
    <n v="2012"/>
    <x v="29"/>
    <s v="Latin America and Caribbean"/>
    <m/>
    <s v="Mining"/>
    <s v="yes"/>
    <s v="no"/>
    <s v="no"/>
    <s v="Bentonite clay"/>
    <s v="detailed"/>
    <s v="detailed Mining"/>
    <n v="22977"/>
    <m/>
    <m/>
    <m/>
    <m/>
    <s v="t"/>
    <n v="62"/>
    <s v="US$/t"/>
    <s v="Volume from USGS Mineral Yearbook 2012. Price from USGS Mineral Commodity Summary 2014, and is price for bentonite clay in the US."/>
    <n v="1424574"/>
    <m/>
    <m/>
    <m/>
    <m/>
    <m/>
    <m/>
    <m/>
    <m/>
    <m/>
    <m/>
    <m/>
    <m/>
    <m/>
    <m/>
    <m/>
    <m/>
    <m/>
    <m/>
    <m/>
    <m/>
    <m/>
    <m/>
    <m/>
    <m/>
    <m/>
    <m/>
    <m/>
    <m/>
    <m/>
    <m/>
    <m/>
    <m/>
    <m/>
    <m/>
    <m/>
    <m/>
    <m/>
    <m/>
    <m/>
    <m/>
    <m/>
    <m/>
    <m/>
    <m/>
    <m/>
  </r>
  <r>
    <x v="183"/>
    <n v="2012"/>
    <x v="29"/>
    <s v="Latin America and Caribbean"/>
    <m/>
    <s v="Mining"/>
    <s v="yes"/>
    <s v="no"/>
    <s v="no"/>
    <s v="Bismuth (metal)"/>
    <s v="detailed"/>
    <s v="detailed Mining"/>
    <n v="0"/>
    <m/>
    <m/>
    <m/>
    <m/>
    <s v="t"/>
    <m/>
    <m/>
    <s v="Volume from USGS Mineral Yearbook 2012"/>
    <n v="0"/>
    <m/>
    <m/>
    <m/>
    <m/>
    <m/>
    <m/>
    <m/>
    <m/>
    <m/>
    <m/>
    <m/>
    <m/>
    <m/>
    <m/>
    <m/>
    <m/>
    <m/>
    <m/>
    <m/>
    <m/>
    <m/>
    <m/>
    <m/>
    <m/>
    <m/>
    <m/>
    <m/>
    <m/>
    <m/>
    <m/>
    <m/>
    <m/>
    <m/>
    <m/>
    <m/>
    <m/>
    <m/>
    <m/>
    <m/>
    <m/>
    <m/>
    <m/>
    <m/>
    <m/>
    <m/>
  </r>
  <r>
    <x v="183"/>
    <n v="2012"/>
    <x v="29"/>
    <s v="Latin America and Caribbean"/>
    <m/>
    <s v="Mining"/>
    <s v="yes"/>
    <s v="no"/>
    <s v="no"/>
    <s v="Boron materials (crude)"/>
    <s v="detailed"/>
    <s v="detailed Mining"/>
    <n v="104072"/>
    <m/>
    <m/>
    <m/>
    <m/>
    <s v="t"/>
    <n v="360"/>
    <s v="US$/t"/>
    <s v="Volume from USGS Mineral Yearbook 2012. Price from USGS Mineral Commodity Summary 2013, and is the average f.a.s. price of US imports."/>
    <n v="37465920"/>
    <m/>
    <m/>
    <m/>
    <m/>
    <m/>
    <m/>
    <m/>
    <m/>
    <m/>
    <m/>
    <m/>
    <m/>
    <m/>
    <m/>
    <m/>
    <m/>
    <m/>
    <m/>
    <m/>
    <m/>
    <m/>
    <m/>
    <m/>
    <m/>
    <m/>
    <m/>
    <m/>
    <m/>
    <m/>
    <m/>
    <m/>
    <m/>
    <m/>
    <m/>
    <m/>
    <m/>
    <m/>
    <m/>
    <m/>
    <m/>
    <m/>
    <m/>
    <m/>
    <m/>
    <m/>
  </r>
  <r>
    <x v="183"/>
    <n v="2012"/>
    <x v="29"/>
    <s v="Latin America and Caribbean"/>
    <m/>
    <s v="Mining"/>
    <s v="yes"/>
    <s v="no"/>
    <s v="no"/>
    <s v="Cadmium (metal)"/>
    <s v="detailed"/>
    <s v="detailed Mining"/>
    <n v="684"/>
    <m/>
    <m/>
    <m/>
    <m/>
    <s v="t"/>
    <n v="2028.2544665690755"/>
    <s v="US$/t"/>
    <s v="Volume from USGS Mineral Yearbook 2012. Price from USGS Mineral Yearbook 2012, and is the price in the US."/>
    <n v="1387326.0551332475"/>
    <m/>
    <m/>
    <m/>
    <m/>
    <m/>
    <m/>
    <m/>
    <m/>
    <m/>
    <m/>
    <m/>
    <m/>
    <m/>
    <m/>
    <m/>
    <m/>
    <m/>
    <m/>
    <m/>
    <m/>
    <m/>
    <m/>
    <m/>
    <m/>
    <m/>
    <m/>
    <m/>
    <m/>
    <m/>
    <m/>
    <m/>
    <m/>
    <m/>
    <m/>
    <m/>
    <m/>
    <m/>
    <m/>
    <m/>
    <m/>
    <m/>
    <m/>
    <m/>
    <m/>
    <m/>
  </r>
  <r>
    <x v="183"/>
    <n v="2012"/>
    <x v="29"/>
    <s v="Latin America and Caribbean"/>
    <m/>
    <s v="Mining"/>
    <s v="yes"/>
    <s v="no"/>
    <s v="no"/>
    <s v="Cement"/>
    <s v="detailed"/>
    <s v="detailed Mining"/>
    <n v="8100000"/>
    <m/>
    <m/>
    <m/>
    <m/>
    <s v="t"/>
    <n v="89.5"/>
    <s v="US$/t"/>
    <s v="Volume from USGS Mineral Yearbook 2012. Price from USGS Mineral Commodity Summary 2014, and is the average mill price for cement in the US."/>
    <n v="724950000"/>
    <m/>
    <m/>
    <m/>
    <m/>
    <m/>
    <m/>
    <m/>
    <m/>
    <m/>
    <m/>
    <m/>
    <m/>
    <m/>
    <m/>
    <m/>
    <m/>
    <m/>
    <m/>
    <m/>
    <m/>
    <m/>
    <m/>
    <m/>
    <m/>
    <m/>
    <m/>
    <m/>
    <m/>
    <m/>
    <m/>
    <m/>
    <m/>
    <m/>
    <m/>
    <m/>
    <m/>
    <m/>
    <m/>
    <m/>
    <m/>
    <m/>
    <m/>
    <m/>
    <m/>
    <m/>
  </r>
  <r>
    <x v="183"/>
    <n v="2012"/>
    <x v="29"/>
    <s v="Latin America and Caribbean"/>
    <m/>
    <s v="Mining"/>
    <s v="yes"/>
    <s v="no"/>
    <s v="no"/>
    <s v="Chalk"/>
    <s v="detailed"/>
    <s v="detailed Mining"/>
    <n v="321711"/>
    <m/>
    <m/>
    <m/>
    <m/>
    <s v="t"/>
    <m/>
    <m/>
    <s v="Volume from USGS Mineral Yearbook 2012"/>
    <m/>
    <m/>
    <m/>
    <m/>
    <m/>
    <m/>
    <m/>
    <m/>
    <m/>
    <m/>
    <m/>
    <m/>
    <m/>
    <m/>
    <m/>
    <m/>
    <m/>
    <m/>
    <m/>
    <m/>
    <m/>
    <m/>
    <m/>
    <m/>
    <m/>
    <m/>
    <m/>
    <m/>
    <m/>
    <m/>
    <m/>
    <m/>
    <m/>
    <m/>
    <m/>
    <m/>
    <m/>
    <m/>
    <m/>
    <m/>
    <m/>
    <m/>
    <m/>
    <m/>
    <m/>
    <m/>
  </r>
  <r>
    <x v="183"/>
    <n v="2012"/>
    <x v="29"/>
    <s v="Latin America and Caribbean"/>
    <m/>
    <s v="Mining"/>
    <s v="yes"/>
    <s v="no"/>
    <s v="no"/>
    <s v="Coal"/>
    <s v="detailed"/>
    <s v="detailed Mining"/>
    <n v="226358"/>
    <m/>
    <m/>
    <m/>
    <m/>
    <s v="t"/>
    <n v="90.020556297186616"/>
    <s v="US$/t"/>
    <s v="Volume from USGS Mineral Yearbook 2012. Price is from BPSR 2014, and is an average of the American Central Appalachian, Asian and Northwest Europe marker/spot prices."/>
    <n v="20376873.082318567"/>
    <m/>
    <m/>
    <m/>
    <m/>
    <m/>
    <m/>
    <m/>
    <m/>
    <m/>
    <m/>
    <m/>
    <m/>
    <m/>
    <m/>
    <m/>
    <m/>
    <m/>
    <m/>
    <m/>
    <m/>
    <m/>
    <m/>
    <m/>
    <m/>
    <m/>
    <m/>
    <m/>
    <m/>
    <m/>
    <m/>
    <m/>
    <m/>
    <m/>
    <m/>
    <m/>
    <m/>
    <m/>
    <m/>
    <m/>
    <m/>
    <m/>
    <m/>
    <m/>
    <m/>
    <m/>
  </r>
  <r>
    <x v="183"/>
    <n v="2012"/>
    <x v="29"/>
    <s v="Latin America and Caribbean"/>
    <m/>
    <s v="Mining"/>
    <s v="yes"/>
    <s v="no"/>
    <s v="no"/>
    <s v="Common clay"/>
    <s v="detailed"/>
    <s v="detailed Mining"/>
    <n v="1098267"/>
    <m/>
    <m/>
    <m/>
    <m/>
    <s v="t"/>
    <n v="10"/>
    <s v="US$/t"/>
    <s v="Volume from USGS Mineral Yearbook 2012. Price from USGS Mineral Commodity Summary 2014, and is price for common clay in the US."/>
    <n v="10982670"/>
    <m/>
    <m/>
    <m/>
    <m/>
    <m/>
    <m/>
    <m/>
    <m/>
    <m/>
    <m/>
    <m/>
    <m/>
    <m/>
    <m/>
    <m/>
    <m/>
    <m/>
    <m/>
    <m/>
    <m/>
    <m/>
    <m/>
    <m/>
    <m/>
    <m/>
    <m/>
    <m/>
    <m/>
    <m/>
    <m/>
    <m/>
    <m/>
    <m/>
    <m/>
    <m/>
    <m/>
    <m/>
    <m/>
    <m/>
    <m/>
    <m/>
    <m/>
    <m/>
    <m/>
    <m/>
  </r>
  <r>
    <x v="183"/>
    <n v="2012"/>
    <x v="29"/>
    <s v="Latin America and Caribbean"/>
    <m/>
    <s v="Mining"/>
    <s v="yes"/>
    <s v="no"/>
    <s v="no"/>
    <s v="Copper"/>
    <s v="detailed"/>
    <s v="detailed Mining"/>
    <m/>
    <m/>
    <m/>
    <m/>
    <m/>
    <m/>
    <n v="7962.3470628192699"/>
    <s v="US$/t"/>
    <s v="Price from World Bank (Global Economic Monitor (GEM) Commodities database), and is defined as: Copper (LME), grade A, minimum 99.9935% purity, cathodes and wire bar shapes, settlement price."/>
    <n v="4787074527.0258245"/>
    <m/>
    <m/>
    <m/>
    <m/>
    <m/>
    <m/>
    <m/>
    <m/>
    <m/>
    <m/>
    <m/>
    <m/>
    <m/>
    <m/>
    <m/>
    <m/>
    <m/>
    <m/>
    <m/>
    <m/>
    <m/>
    <m/>
    <m/>
    <m/>
    <m/>
    <m/>
    <m/>
    <m/>
    <m/>
    <m/>
    <m/>
    <m/>
    <m/>
    <m/>
    <m/>
    <m/>
    <m/>
    <m/>
    <m/>
    <m/>
    <m/>
    <m/>
    <m/>
    <m/>
    <m/>
  </r>
  <r>
    <x v="183"/>
    <n v="2012"/>
    <x v="29"/>
    <s v="Latin America and Caribbean"/>
    <m/>
    <s v="Mining"/>
    <s v="yes"/>
    <s v="no"/>
    <s v="no"/>
    <s v="o/w Copper content in mine output"/>
    <s v="detailed"/>
    <s v="detailed Mining"/>
    <n v="1197530"/>
    <m/>
    <m/>
    <m/>
    <m/>
    <s v="t"/>
    <m/>
    <m/>
    <s v="Volume from USGS Mineral Yearbook 2012"/>
    <m/>
    <m/>
    <m/>
    <m/>
    <m/>
    <m/>
    <m/>
    <m/>
    <m/>
    <m/>
    <m/>
    <m/>
    <m/>
    <m/>
    <m/>
    <m/>
    <m/>
    <m/>
    <m/>
    <m/>
    <m/>
    <m/>
    <m/>
    <m/>
    <m/>
    <m/>
    <m/>
    <m/>
    <m/>
    <m/>
    <m/>
    <m/>
    <m/>
    <m/>
    <m/>
    <m/>
    <m/>
    <m/>
    <m/>
    <m/>
    <m/>
    <m/>
    <m/>
    <m/>
    <m/>
    <m/>
  </r>
  <r>
    <x v="183"/>
    <n v="2012"/>
    <x v="29"/>
    <s v="Latin America and Caribbean"/>
    <m/>
    <s v="Mining"/>
    <s v="yes"/>
    <s v="no"/>
    <s v="no"/>
    <s v="o/w Metal (smelter)"/>
    <s v="detailed"/>
    <s v="detailed Mining"/>
    <n v="290088"/>
    <m/>
    <m/>
    <m/>
    <m/>
    <s v="t"/>
    <m/>
    <m/>
    <s v="Volume from USGS Mineral Yearbook 2012"/>
    <m/>
    <m/>
    <m/>
    <m/>
    <m/>
    <m/>
    <m/>
    <m/>
    <m/>
    <m/>
    <m/>
    <m/>
    <m/>
    <m/>
    <m/>
    <m/>
    <m/>
    <m/>
    <m/>
    <m/>
    <m/>
    <m/>
    <m/>
    <m/>
    <m/>
    <m/>
    <m/>
    <m/>
    <m/>
    <m/>
    <m/>
    <m/>
    <m/>
    <m/>
    <m/>
    <m/>
    <m/>
    <m/>
    <m/>
    <m/>
    <m/>
    <m/>
    <m/>
    <m/>
    <m/>
    <m/>
  </r>
  <r>
    <x v="183"/>
    <n v="2012"/>
    <x v="29"/>
    <s v="Latin America and Caribbean"/>
    <m/>
    <s v="Mining"/>
    <s v="yes"/>
    <s v="no"/>
    <s v="no"/>
    <s v="o/w Metal (refined, primary)"/>
    <s v="detailed"/>
    <s v="detailed Mining"/>
    <n v="311126"/>
    <m/>
    <m/>
    <m/>
    <m/>
    <s v="t"/>
    <m/>
    <m/>
    <s v="Volume from USGS Mineral Yearbook 2012"/>
    <m/>
    <m/>
    <m/>
    <m/>
    <m/>
    <m/>
    <m/>
    <m/>
    <m/>
    <m/>
    <m/>
    <m/>
    <m/>
    <m/>
    <m/>
    <m/>
    <m/>
    <m/>
    <m/>
    <m/>
    <m/>
    <m/>
    <m/>
    <m/>
    <m/>
    <m/>
    <m/>
    <m/>
    <m/>
    <m/>
    <m/>
    <m/>
    <m/>
    <m/>
    <m/>
    <m/>
    <m/>
    <m/>
    <m/>
    <m/>
    <m/>
    <m/>
    <m/>
    <m/>
    <m/>
    <m/>
  </r>
  <r>
    <x v="183"/>
    <n v="2012"/>
    <x v="29"/>
    <s v="Latin America and Caribbean"/>
    <m/>
    <s v="Mining"/>
    <s v="yes"/>
    <s v="no"/>
    <s v="no"/>
    <s v="Diatomite"/>
    <s v="detailed"/>
    <s v="detailed Mining"/>
    <n v="93996"/>
    <m/>
    <m/>
    <m/>
    <m/>
    <s v="t"/>
    <n v="275"/>
    <s v="US$/t"/>
    <s v="Volume from USGS Mineral Yearbook 2012. Price from USGS Mineral Commodity Summary 2013, and is the f.o.b. plant price in the US."/>
    <n v="25848900"/>
    <m/>
    <m/>
    <m/>
    <m/>
    <m/>
    <m/>
    <m/>
    <m/>
    <m/>
    <m/>
    <m/>
    <m/>
    <m/>
    <m/>
    <m/>
    <m/>
    <m/>
    <m/>
    <m/>
    <m/>
    <m/>
    <m/>
    <m/>
    <m/>
    <m/>
    <m/>
    <m/>
    <m/>
    <m/>
    <m/>
    <m/>
    <m/>
    <m/>
    <m/>
    <m/>
    <m/>
    <m/>
    <m/>
    <m/>
    <m/>
    <m/>
    <m/>
    <m/>
    <m/>
    <m/>
  </r>
  <r>
    <x v="183"/>
    <n v="2012"/>
    <x v="29"/>
    <s v="Latin America and Caribbean"/>
    <m/>
    <s v="Mining"/>
    <s v="yes"/>
    <s v="no"/>
    <s v="no"/>
    <s v="Feldspar"/>
    <s v="detailed"/>
    <s v="detailed Mining"/>
    <n v="26359"/>
    <m/>
    <m/>
    <m/>
    <m/>
    <s v="t"/>
    <n v="68"/>
    <s v="US$/t"/>
    <s v="Volume from USGS Mineral Yearbook 2012. Price from USGS Mineral Commodity Summary 2014, and is the price for marketable production in the US."/>
    <n v="1792412"/>
    <m/>
    <m/>
    <m/>
    <m/>
    <m/>
    <m/>
    <m/>
    <m/>
    <m/>
    <m/>
    <m/>
    <m/>
    <m/>
    <m/>
    <m/>
    <m/>
    <m/>
    <m/>
    <m/>
    <m/>
    <m/>
    <m/>
    <m/>
    <m/>
    <m/>
    <m/>
    <m/>
    <m/>
    <m/>
    <m/>
    <m/>
    <m/>
    <m/>
    <m/>
    <m/>
    <m/>
    <m/>
    <m/>
    <m/>
    <m/>
    <m/>
    <m/>
    <m/>
    <m/>
    <m/>
  </r>
  <r>
    <x v="183"/>
    <n v="2012"/>
    <x v="29"/>
    <s v="Latin America and Caribbean"/>
    <m/>
    <s v="Mining"/>
    <s v="yes"/>
    <s v="no"/>
    <s v="no"/>
    <s v="Gold"/>
    <s v="detailed"/>
    <s v="detailed Mining"/>
    <n v="5186718.6348835807"/>
    <m/>
    <m/>
    <m/>
    <m/>
    <s v="toz"/>
    <n v="1669.51766666667"/>
    <s v="US$/toz"/>
    <s v="Volume from USGS Mineral Yearbook 2012. Price from World Bank (Global Economic Monitor (GEM) Commodities database), and is defined as: Gold (UK), 99.5% fine, London afternoon fixing, average of daily rates."/>
    <n v="8659318392.967371"/>
    <m/>
    <m/>
    <m/>
    <m/>
    <m/>
    <m/>
    <m/>
    <m/>
    <m/>
    <m/>
    <m/>
    <m/>
    <m/>
    <m/>
    <m/>
    <m/>
    <m/>
    <m/>
    <m/>
    <m/>
    <m/>
    <m/>
    <m/>
    <m/>
    <m/>
    <m/>
    <m/>
    <m/>
    <m/>
    <m/>
    <m/>
    <m/>
    <m/>
    <m/>
    <m/>
    <m/>
    <m/>
    <m/>
    <m/>
    <m/>
    <m/>
    <m/>
    <m/>
    <m/>
    <m/>
  </r>
  <r>
    <x v="183"/>
    <n v="2012"/>
    <x v="29"/>
    <s v="Latin America and Caribbean"/>
    <m/>
    <s v="Mining"/>
    <s v="yes"/>
    <s v="no"/>
    <s v="no"/>
    <s v="Gypsum (crude)"/>
    <s v="detailed"/>
    <s v="detailed Mining"/>
    <n v="345000"/>
    <m/>
    <m/>
    <m/>
    <m/>
    <s v="t"/>
    <n v="18.5"/>
    <s v="US$/t"/>
    <s v="Volume from USGS Mineral Yearbook 2012. Price from USGS Mineral Commodity Summary 2013, and is the average f.o.b. price for crude and calcined products."/>
    <n v="6382500"/>
    <m/>
    <m/>
    <m/>
    <m/>
    <m/>
    <m/>
    <m/>
    <m/>
    <m/>
    <m/>
    <m/>
    <m/>
    <m/>
    <m/>
    <m/>
    <m/>
    <m/>
    <m/>
    <m/>
    <m/>
    <m/>
    <m/>
    <m/>
    <m/>
    <m/>
    <m/>
    <m/>
    <m/>
    <m/>
    <m/>
    <m/>
    <m/>
    <m/>
    <m/>
    <m/>
    <m/>
    <m/>
    <m/>
    <m/>
    <m/>
    <m/>
    <m/>
    <m/>
    <m/>
    <m/>
  </r>
  <r>
    <x v="183"/>
    <n v="2012"/>
    <x v="29"/>
    <s v="Latin America and Caribbean"/>
    <m/>
    <s v="Mining"/>
    <s v="yes"/>
    <s v="no"/>
    <s v="no"/>
    <s v="Indium"/>
    <s v="detailed"/>
    <s v="detailed Mining"/>
    <n v="2000"/>
    <m/>
    <m/>
    <m/>
    <m/>
    <s v="kg"/>
    <n v="650"/>
    <s v="US$/kg"/>
    <s v="Volume from USGS Mineral Yearbook 2012. Price from USGS Mineral Commodity Summary 2014, and is the price of Indium Corp, a US producer, for 99.97% purity metal."/>
    <n v="1300000"/>
    <m/>
    <m/>
    <m/>
    <m/>
    <m/>
    <m/>
    <m/>
    <m/>
    <m/>
    <m/>
    <m/>
    <m/>
    <m/>
    <m/>
    <m/>
    <m/>
    <m/>
    <m/>
    <m/>
    <m/>
    <m/>
    <m/>
    <m/>
    <m/>
    <m/>
    <m/>
    <m/>
    <m/>
    <m/>
    <m/>
    <m/>
    <m/>
    <m/>
    <m/>
    <m/>
    <m/>
    <m/>
    <m/>
    <m/>
    <m/>
    <m/>
    <m/>
    <m/>
    <m/>
    <m/>
  </r>
  <r>
    <x v="183"/>
    <n v="2012"/>
    <x v="29"/>
    <s v="Latin America and Caribbean"/>
    <m/>
    <s v="Mining"/>
    <s v="yes"/>
    <s v="no"/>
    <s v="no"/>
    <s v="Iron ore"/>
    <s v="detailed"/>
    <s v="detailed Mining"/>
    <n v="10132"/>
    <m/>
    <m/>
    <m/>
    <m/>
    <s v="t"/>
    <n v="128.49592592593001"/>
    <s v="US$/t"/>
    <s v="Volume from USGS Mineral Yearbook 2012. Price from World Bank (Global Economic Monitor (GEM) Commodities database), and is defined as: Iron ore (any origin) fines, spot price, c.f.r. China, 62% Fe."/>
    <n v="1301920.7214815228"/>
    <m/>
    <m/>
    <m/>
    <m/>
    <m/>
    <m/>
    <m/>
    <m/>
    <m/>
    <m/>
    <m/>
    <m/>
    <m/>
    <m/>
    <m/>
    <m/>
    <m/>
    <m/>
    <m/>
    <m/>
    <m/>
    <m/>
    <m/>
    <m/>
    <m/>
    <m/>
    <m/>
    <m/>
    <m/>
    <m/>
    <m/>
    <m/>
    <m/>
    <m/>
    <m/>
    <m/>
    <m/>
    <m/>
    <m/>
    <m/>
    <m/>
    <m/>
    <m/>
    <m/>
    <m/>
  </r>
  <r>
    <x v="183"/>
    <n v="2012"/>
    <x v="29"/>
    <s v="Latin America and Caribbean"/>
    <m/>
    <s v="Mining"/>
    <s v="yes"/>
    <s v="no"/>
    <s v="no"/>
    <s v="Kaolin clay"/>
    <s v="detailed"/>
    <s v="detailed Mining"/>
    <n v="33863"/>
    <m/>
    <m/>
    <m/>
    <m/>
    <s v="t"/>
    <n v="146"/>
    <s v="US$/t"/>
    <s v="Volume from USGS Mineral Yearbook 2012. Price from USGS Mineral Commodity Summary 2014, and is price for kaolin clay in the US."/>
    <n v="4943998"/>
    <m/>
    <m/>
    <m/>
    <m/>
    <m/>
    <m/>
    <m/>
    <m/>
    <m/>
    <m/>
    <m/>
    <m/>
    <m/>
    <m/>
    <m/>
    <m/>
    <m/>
    <m/>
    <m/>
    <m/>
    <m/>
    <m/>
    <m/>
    <m/>
    <m/>
    <m/>
    <m/>
    <m/>
    <m/>
    <m/>
    <m/>
    <m/>
    <m/>
    <m/>
    <m/>
    <m/>
    <m/>
    <m/>
    <m/>
    <m/>
    <m/>
    <m/>
    <m/>
    <m/>
    <m/>
  </r>
  <r>
    <x v="183"/>
    <n v="2012"/>
    <x v="29"/>
    <s v="Latin America and Caribbean"/>
    <m/>
    <s v="Mining"/>
    <s v="yes"/>
    <s v="no"/>
    <s v="no"/>
    <s v="Lead"/>
    <s v="detailed"/>
    <s v="detailed Mining"/>
    <m/>
    <m/>
    <m/>
    <m/>
    <m/>
    <m/>
    <n v="2064.6382656781898"/>
    <s v="US$/t"/>
    <s v="Price from World Bank (Global Economic Monitor (GEM) Commodities database), and is defined as: Lead (LME), refined, 99.97% purity, settlement price"/>
    <n v="0"/>
    <m/>
    <m/>
    <m/>
    <m/>
    <m/>
    <m/>
    <m/>
    <m/>
    <m/>
    <m/>
    <m/>
    <m/>
    <m/>
    <m/>
    <m/>
    <m/>
    <m/>
    <m/>
    <m/>
    <m/>
    <m/>
    <m/>
    <m/>
    <m/>
    <m/>
    <m/>
    <m/>
    <m/>
    <m/>
    <m/>
    <m/>
    <m/>
    <m/>
    <m/>
    <m/>
    <m/>
    <m/>
    <m/>
    <m/>
    <m/>
    <m/>
    <m/>
    <m/>
    <m/>
    <m/>
  </r>
  <r>
    <x v="183"/>
    <n v="2012"/>
    <x v="29"/>
    <s v="Latin America and Caribbean"/>
    <m/>
    <s v="Mining"/>
    <s v="yes"/>
    <s v="no"/>
    <s v="no"/>
    <s v="o/w Lead content of mine output"/>
    <s v="detailed"/>
    <s v="detailed Mining"/>
    <n v="248659"/>
    <m/>
    <m/>
    <m/>
    <m/>
    <s v="t"/>
    <m/>
    <m/>
    <s v="Volume from USGS Mineral Yearbook 2012"/>
    <m/>
    <m/>
    <m/>
    <m/>
    <m/>
    <m/>
    <m/>
    <m/>
    <m/>
    <m/>
    <m/>
    <m/>
    <m/>
    <m/>
    <m/>
    <m/>
    <m/>
    <m/>
    <m/>
    <m/>
    <m/>
    <m/>
    <m/>
    <m/>
    <m/>
    <m/>
    <m/>
    <m/>
    <m/>
    <m/>
    <m/>
    <m/>
    <m/>
    <m/>
    <m/>
    <m/>
    <m/>
    <m/>
    <m/>
    <m/>
    <m/>
    <m/>
    <m/>
    <m/>
    <m/>
    <m/>
  </r>
  <r>
    <x v="183"/>
    <n v="2012"/>
    <x v="29"/>
    <s v="Latin America and Caribbean"/>
    <m/>
    <s v="Mining"/>
    <s v="yes"/>
    <s v="no"/>
    <s v="no"/>
    <s v="o/w Metal"/>
    <s v="detailed"/>
    <s v="detailed Mining"/>
    <n v="0"/>
    <m/>
    <m/>
    <m/>
    <m/>
    <s v="t"/>
    <m/>
    <m/>
    <s v="Volume from USGS Mineral Yearbook 2012"/>
    <m/>
    <m/>
    <m/>
    <m/>
    <m/>
    <m/>
    <m/>
    <m/>
    <m/>
    <m/>
    <m/>
    <m/>
    <m/>
    <m/>
    <m/>
    <m/>
    <m/>
    <m/>
    <m/>
    <m/>
    <m/>
    <m/>
    <m/>
    <m/>
    <m/>
    <m/>
    <m/>
    <m/>
    <m/>
    <m/>
    <m/>
    <m/>
    <m/>
    <m/>
    <m/>
    <m/>
    <m/>
    <m/>
    <m/>
    <m/>
    <m/>
    <m/>
    <m/>
    <m/>
    <m/>
    <m/>
  </r>
  <r>
    <x v="183"/>
    <n v="2012"/>
    <x v="29"/>
    <s v="Latin America and Caribbean"/>
    <m/>
    <s v="Mining"/>
    <s v="yes"/>
    <s v="no"/>
    <s v="no"/>
    <s v="Limestone"/>
    <s v="detailed"/>
    <s v="detailed Mining"/>
    <n v="14567000"/>
    <m/>
    <m/>
    <m/>
    <m/>
    <s v="t"/>
    <n v="9.1"/>
    <s v="US$/t"/>
    <s v="Volume from USGS Mineral Yearbook 2012. Price from USGS Mineral Yearbook 2012, and is the price in the US for crushed limestone."/>
    <n v="132559700"/>
    <m/>
    <m/>
    <m/>
    <m/>
    <m/>
    <m/>
    <m/>
    <m/>
    <m/>
    <m/>
    <m/>
    <m/>
    <m/>
    <m/>
    <m/>
    <m/>
    <m/>
    <m/>
    <m/>
    <m/>
    <m/>
    <m/>
    <m/>
    <m/>
    <m/>
    <m/>
    <m/>
    <m/>
    <m/>
    <m/>
    <m/>
    <m/>
    <m/>
    <m/>
    <m/>
    <m/>
    <m/>
    <m/>
    <m/>
    <m/>
    <m/>
    <m/>
    <m/>
    <m/>
    <m/>
  </r>
  <r>
    <x v="183"/>
    <n v="2012"/>
    <x v="29"/>
    <s v="Latin America and Caribbean"/>
    <m/>
    <s v="Mining"/>
    <s v="yes"/>
    <s v="no"/>
    <s v="no"/>
    <s v="Marble"/>
    <s v="detailed"/>
    <s v="detailed Mining"/>
    <n v="9885"/>
    <m/>
    <m/>
    <m/>
    <m/>
    <s v="t"/>
    <n v="15.52"/>
    <s v="US$/t"/>
    <s v="Volume from USGS Mineral Yearbook 2012. Price from USGS Mineral Yearbook 2012, and is the price in the US for crushed marble."/>
    <n v="153415.19999999998"/>
    <m/>
    <m/>
    <m/>
    <m/>
    <m/>
    <m/>
    <m/>
    <m/>
    <m/>
    <m/>
    <m/>
    <m/>
    <m/>
    <m/>
    <m/>
    <m/>
    <m/>
    <m/>
    <m/>
    <m/>
    <m/>
    <m/>
    <m/>
    <m/>
    <m/>
    <m/>
    <m/>
    <m/>
    <m/>
    <m/>
    <m/>
    <m/>
    <m/>
    <m/>
    <m/>
    <m/>
    <m/>
    <m/>
    <m/>
    <m/>
    <m/>
    <m/>
    <m/>
    <m/>
    <m/>
  </r>
  <r>
    <x v="183"/>
    <n v="2012"/>
    <x v="29"/>
    <s v="Latin America and Caribbean"/>
    <m/>
    <s v="Mining"/>
    <s v="yes"/>
    <s v="no"/>
    <s v="no"/>
    <s v="Molybdenum"/>
    <s v="detailed"/>
    <s v="detailed Mining"/>
    <n v="16790"/>
    <m/>
    <m/>
    <m/>
    <m/>
    <s v="t"/>
    <n v="29200"/>
    <s v="US$/t"/>
    <s v="Volume from USGS Mineral Yearbook 2012. Price from USGS Mineral Commodity Summary 2013, and is the price in the US."/>
    <n v="490268000"/>
    <m/>
    <m/>
    <m/>
    <m/>
    <m/>
    <m/>
    <m/>
    <m/>
    <m/>
    <m/>
    <m/>
    <m/>
    <m/>
    <m/>
    <m/>
    <m/>
    <m/>
    <m/>
    <m/>
    <m/>
    <m/>
    <m/>
    <m/>
    <m/>
    <m/>
    <m/>
    <m/>
    <m/>
    <m/>
    <m/>
    <m/>
    <m/>
    <m/>
    <m/>
    <m/>
    <m/>
    <m/>
    <m/>
    <m/>
    <m/>
    <m/>
    <m/>
    <m/>
    <m/>
    <m/>
  </r>
  <r>
    <x v="183"/>
    <n v="2012"/>
    <x v="29"/>
    <s v="Latin America and Caribbean"/>
    <m/>
    <s v="Mining"/>
    <s v="yes"/>
    <s v="no"/>
    <s v="no"/>
    <s v="Onyx"/>
    <s v="detailed"/>
    <s v="detailed Mining"/>
    <n v="3578"/>
    <m/>
    <m/>
    <m/>
    <m/>
    <s v="t"/>
    <m/>
    <m/>
    <s v="Volume from USGS Mineral Yearbook 2012"/>
    <m/>
    <m/>
    <m/>
    <m/>
    <m/>
    <m/>
    <m/>
    <m/>
    <m/>
    <m/>
    <m/>
    <m/>
    <m/>
    <m/>
    <m/>
    <m/>
    <m/>
    <m/>
    <m/>
    <m/>
    <m/>
    <m/>
    <m/>
    <m/>
    <m/>
    <m/>
    <m/>
    <m/>
    <m/>
    <m/>
    <m/>
    <m/>
    <m/>
    <m/>
    <m/>
    <m/>
    <m/>
    <m/>
    <m/>
    <m/>
    <m/>
    <m/>
    <m/>
    <m/>
    <m/>
    <m/>
  </r>
  <r>
    <x v="183"/>
    <n v="2012"/>
    <x v="29"/>
    <s v="Latin America and Caribbean"/>
    <m/>
    <s v="Mining"/>
    <s v="yes"/>
    <s v="no"/>
    <s v="no"/>
    <s v="Phosphate rock"/>
    <s v="detailed"/>
    <s v="detailed Mining"/>
    <n v="10338"/>
    <m/>
    <m/>
    <m/>
    <m/>
    <s v="t"/>
    <n v="185.88541666667001"/>
    <s v="US$/t"/>
    <s v="Volume from USGS Mineral Yearbook 2012. Price from World Bank (Global Economic Monitor (GEM) Commodities database), and is defined as: Phosphate rock (Morocco), 70% BPL, contract, f.a.s. Casablanca."/>
    <n v="1921683.4375000345"/>
    <m/>
    <m/>
    <m/>
    <m/>
    <m/>
    <m/>
    <m/>
    <m/>
    <m/>
    <m/>
    <m/>
    <m/>
    <m/>
    <m/>
    <m/>
    <m/>
    <m/>
    <m/>
    <m/>
    <m/>
    <m/>
    <m/>
    <m/>
    <m/>
    <m/>
    <m/>
    <m/>
    <m/>
    <m/>
    <m/>
    <m/>
    <m/>
    <m/>
    <m/>
    <m/>
    <m/>
    <m/>
    <m/>
    <m/>
    <m/>
    <m/>
    <m/>
    <m/>
    <m/>
    <m/>
  </r>
  <r>
    <x v="183"/>
    <n v="2012"/>
    <x v="29"/>
    <s v="Latin America and Caribbean"/>
    <m/>
    <s v="Mining"/>
    <s v="yes"/>
    <s v="no"/>
    <s v="no"/>
    <s v="Pig iron"/>
    <s v="detailed"/>
    <s v="detailed Mining"/>
    <n v="0"/>
    <m/>
    <m/>
    <m/>
    <m/>
    <s v="t"/>
    <m/>
    <m/>
    <s v="Volume from USGS Mineral Yearbook 2012"/>
    <n v="0"/>
    <m/>
    <m/>
    <m/>
    <m/>
    <m/>
    <m/>
    <m/>
    <m/>
    <m/>
    <m/>
    <m/>
    <m/>
    <m/>
    <m/>
    <m/>
    <m/>
    <m/>
    <m/>
    <m/>
    <m/>
    <m/>
    <m/>
    <m/>
    <m/>
    <m/>
    <m/>
    <m/>
    <m/>
    <m/>
    <m/>
    <m/>
    <m/>
    <m/>
    <m/>
    <m/>
    <m/>
    <m/>
    <m/>
    <m/>
    <m/>
    <m/>
    <m/>
    <m/>
    <m/>
    <m/>
  </r>
  <r>
    <x v="183"/>
    <n v="2012"/>
    <x v="29"/>
    <s v="Latin America and Caribbean"/>
    <m/>
    <s v="Mining"/>
    <s v="yes"/>
    <s v="no"/>
    <s v="no"/>
    <s v="Quartz and quartzite (crushed)"/>
    <s v="detailed"/>
    <s v="detailed Mining"/>
    <n v="87481"/>
    <m/>
    <m/>
    <m/>
    <m/>
    <s v="t"/>
    <n v="9.1"/>
    <s v="US$/t"/>
    <s v="Volume from USGS Mineral Yearbook 2012. Price from USGS Mineral Yearbook 2012, and is the price in the US for crushed quartzite."/>
    <n v="796077.1"/>
    <m/>
    <m/>
    <m/>
    <m/>
    <m/>
    <m/>
    <m/>
    <m/>
    <m/>
    <m/>
    <m/>
    <m/>
    <m/>
    <m/>
    <m/>
    <m/>
    <m/>
    <m/>
    <m/>
    <m/>
    <m/>
    <m/>
    <m/>
    <m/>
    <m/>
    <m/>
    <m/>
    <m/>
    <m/>
    <m/>
    <m/>
    <m/>
    <m/>
    <m/>
    <m/>
    <m/>
    <m/>
    <m/>
    <m/>
    <m/>
    <m/>
    <m/>
    <m/>
    <m/>
    <m/>
  </r>
  <r>
    <x v="183"/>
    <n v="2012"/>
    <x v="29"/>
    <s v="Latin America and Caribbean"/>
    <m/>
    <s v="Mining"/>
    <s v="yes"/>
    <s v="no"/>
    <s v="no"/>
    <s v="Salt"/>
    <s v="detailed"/>
    <s v="detailed Mining"/>
    <n v="1199585"/>
    <m/>
    <m/>
    <m/>
    <m/>
    <s v="t"/>
    <n v="67.25"/>
    <s v="US$/t"/>
    <s v="Volume from USGS Mineral Yearbook 2012. Price from USGS Mineral Commodity Summary 2013, and is the average f.o.b. mine and plant price for bulk, pellets and packaged vacuum and open pan salt, solar salt, rock salt and salt in brine."/>
    <n v="80672091.25"/>
    <m/>
    <m/>
    <m/>
    <m/>
    <m/>
    <m/>
    <m/>
    <m/>
    <m/>
    <m/>
    <m/>
    <m/>
    <m/>
    <m/>
    <m/>
    <m/>
    <m/>
    <m/>
    <m/>
    <m/>
    <m/>
    <m/>
    <m/>
    <m/>
    <m/>
    <m/>
    <m/>
    <m/>
    <m/>
    <m/>
    <m/>
    <m/>
    <m/>
    <m/>
    <m/>
    <m/>
    <m/>
    <m/>
    <m/>
    <m/>
    <m/>
    <m/>
    <m/>
    <m/>
    <m/>
  </r>
  <r>
    <x v="183"/>
    <n v="2012"/>
    <x v="29"/>
    <s v="Latin America and Caribbean"/>
    <m/>
    <s v="Mining"/>
    <s v="yes"/>
    <s v="no"/>
    <s v="no"/>
    <s v="Sand"/>
    <s v="detailed"/>
    <s v="detailed Mining"/>
    <n v="1625000"/>
    <m/>
    <m/>
    <m/>
    <m/>
    <s v="t"/>
    <n v="7.65"/>
    <s v="US$/t"/>
    <s v="Volume from USGS Mineral Yearbook 2012. Price from USGS Mineral Yearbook 2012, and is the price in the US for construction sand and gravel."/>
    <n v="12431250"/>
    <m/>
    <m/>
    <m/>
    <m/>
    <m/>
    <m/>
    <m/>
    <m/>
    <m/>
    <m/>
    <m/>
    <m/>
    <m/>
    <m/>
    <m/>
    <m/>
    <m/>
    <m/>
    <m/>
    <m/>
    <m/>
    <m/>
    <m/>
    <m/>
    <m/>
    <m/>
    <m/>
    <m/>
    <m/>
    <m/>
    <m/>
    <m/>
    <m/>
    <m/>
    <m/>
    <m/>
    <m/>
    <m/>
    <m/>
    <m/>
    <m/>
    <m/>
    <m/>
    <m/>
    <m/>
  </r>
  <r>
    <x v="183"/>
    <n v="2012"/>
    <x v="29"/>
    <s v="Latin America and Caribbean"/>
    <m/>
    <s v="Mining"/>
    <s v="yes"/>
    <s v="no"/>
    <s v="no"/>
    <s v="Selenium (metal, refined)"/>
    <s v="detailed"/>
    <s v="detailed Mining"/>
    <n v="54000"/>
    <m/>
    <m/>
    <m/>
    <m/>
    <s v="t"/>
    <n v="120085.89216741036"/>
    <s v="US$/t"/>
    <s v="Volume from USGS Mineral Yearbook 2012. Price from the USGS Mineral Commodity Summary 2014, and is the price for the refined product in the US."/>
    <n v="6484638177.0401592"/>
    <m/>
    <m/>
    <m/>
    <m/>
    <m/>
    <m/>
    <m/>
    <m/>
    <m/>
    <m/>
    <m/>
    <m/>
    <m/>
    <m/>
    <m/>
    <m/>
    <m/>
    <m/>
    <m/>
    <m/>
    <m/>
    <m/>
    <m/>
    <m/>
    <m/>
    <m/>
    <m/>
    <m/>
    <m/>
    <m/>
    <m/>
    <m/>
    <m/>
    <m/>
    <m/>
    <m/>
    <m/>
    <m/>
    <m/>
    <m/>
    <m/>
    <m/>
    <m/>
    <m/>
    <m/>
  </r>
  <r>
    <x v="183"/>
    <n v="2012"/>
    <x v="29"/>
    <s v="Latin America and Caribbean"/>
    <m/>
    <s v="Mining"/>
    <s v="yes"/>
    <s v="no"/>
    <s v="no"/>
    <s v="Silver"/>
    <s v="detailed"/>
    <s v="detailed Mining"/>
    <n v="111852447.4214"/>
    <m/>
    <m/>
    <m/>
    <m/>
    <s v="toz"/>
    <n v="31.137408333330001"/>
    <s v="US$/toz"/>
    <s v="Volume from USGS Mineral Yearbook 2012. Price from World Bank (Global Economic Monitor (GEM) Commodities database), and is defined as: Silver (Handy &amp; Harman), 99.9% grade refined, New York."/>
    <n v="3482795328.4424558"/>
    <m/>
    <m/>
    <m/>
    <m/>
    <m/>
    <m/>
    <m/>
    <m/>
    <m/>
    <m/>
    <m/>
    <m/>
    <m/>
    <m/>
    <m/>
    <m/>
    <m/>
    <m/>
    <m/>
    <m/>
    <m/>
    <m/>
    <m/>
    <m/>
    <m/>
    <m/>
    <m/>
    <m/>
    <m/>
    <m/>
    <m/>
    <m/>
    <m/>
    <m/>
    <m/>
    <m/>
    <m/>
    <m/>
    <m/>
    <m/>
    <m/>
    <m/>
    <m/>
    <m/>
    <m/>
  </r>
  <r>
    <x v="183"/>
    <n v="2012"/>
    <x v="29"/>
    <s v="Latin America and Caribbean"/>
    <m/>
    <s v="Mining"/>
    <s v="yes"/>
    <s v="no"/>
    <s v="no"/>
    <s v="Slate"/>
    <s v="detailed"/>
    <s v="detailed Mining"/>
    <n v="16500"/>
    <m/>
    <m/>
    <m/>
    <m/>
    <s v="t"/>
    <n v="11.2"/>
    <s v="US$/t"/>
    <s v="Volume from USGS Mineral Yearbook 2012. Price from USGS Mineral Yearbook 2012, and is the price in the US for crushed slate."/>
    <n v="184800"/>
    <m/>
    <m/>
    <m/>
    <m/>
    <m/>
    <m/>
    <m/>
    <m/>
    <m/>
    <m/>
    <m/>
    <m/>
    <m/>
    <m/>
    <m/>
    <m/>
    <m/>
    <m/>
    <m/>
    <m/>
    <m/>
    <m/>
    <m/>
    <m/>
    <m/>
    <m/>
    <m/>
    <m/>
    <m/>
    <m/>
    <m/>
    <m/>
    <m/>
    <m/>
    <m/>
    <m/>
    <m/>
    <m/>
    <m/>
    <m/>
    <m/>
    <m/>
    <m/>
    <m/>
    <m/>
  </r>
  <r>
    <x v="183"/>
    <n v="2012"/>
    <x v="29"/>
    <s v="Latin America and Caribbean"/>
    <m/>
    <s v="Mining"/>
    <s v="yes"/>
    <s v="no"/>
    <s v="no"/>
    <s v="Steel (various)"/>
    <s v="detailed"/>
    <s v="detailed Mining"/>
    <n v="982211"/>
    <m/>
    <m/>
    <m/>
    <m/>
    <s v="t"/>
    <n v="768.715208333335"/>
    <s v="US$/t"/>
    <s v="Volume from USGS Mineral Yearbook 2012. Price from World Bank (Global Economic Monitor (GEM) Commodities database), and is an average of the prices for steel coilsheets, wirerods and rebars in 2011 (steel prices in 2012 are not given by the World Bank or USGS)."/>
    <n v="755040533.49229336"/>
    <m/>
    <m/>
    <m/>
    <m/>
    <m/>
    <m/>
    <m/>
    <m/>
    <m/>
    <m/>
    <m/>
    <m/>
    <m/>
    <m/>
    <m/>
    <m/>
    <m/>
    <m/>
    <m/>
    <m/>
    <m/>
    <m/>
    <m/>
    <m/>
    <s v="The price for this year is not available from the World Bank or USGS."/>
    <m/>
    <m/>
    <m/>
    <m/>
    <m/>
    <m/>
    <m/>
    <m/>
    <m/>
    <m/>
    <m/>
    <m/>
    <m/>
    <m/>
    <m/>
    <m/>
    <m/>
    <m/>
    <m/>
    <m/>
  </r>
  <r>
    <x v="183"/>
    <n v="2012"/>
    <x v="29"/>
    <s v="Latin America and Caribbean"/>
    <m/>
    <s v="Mining"/>
    <s v="yes"/>
    <s v="no"/>
    <s v="no"/>
    <s v="Stone (construction)"/>
    <s v="detailed"/>
    <s v="detailed Mining"/>
    <n v="4624"/>
    <m/>
    <m/>
    <m/>
    <m/>
    <s v="t"/>
    <n v="8.82"/>
    <s v="US$/t"/>
    <s v="Volume from USGS Mineral Yearbook 2012. Price from USGS Mineral Yearbook 2012, and is the price in the US for crushed miscellaneous stone."/>
    <n v="40783.68"/>
    <m/>
    <m/>
    <m/>
    <m/>
    <m/>
    <m/>
    <m/>
    <m/>
    <m/>
    <m/>
    <m/>
    <m/>
    <m/>
    <m/>
    <m/>
    <m/>
    <m/>
    <m/>
    <m/>
    <m/>
    <m/>
    <m/>
    <m/>
    <m/>
    <m/>
    <m/>
    <m/>
    <m/>
    <m/>
    <m/>
    <m/>
    <m/>
    <m/>
    <m/>
    <m/>
    <m/>
    <m/>
    <m/>
    <m/>
    <m/>
    <m/>
    <m/>
    <m/>
    <m/>
    <m/>
  </r>
  <r>
    <x v="183"/>
    <n v="2012"/>
    <x v="29"/>
    <s v="Latin America and Caribbean"/>
    <m/>
    <s v="Mining"/>
    <s v="yes"/>
    <s v="no"/>
    <s v="no"/>
    <s v="Talc"/>
    <s v="detailed"/>
    <s v="detailed Mining"/>
    <n v="31559"/>
    <m/>
    <m/>
    <m/>
    <m/>
    <s v="t"/>
    <n v="157"/>
    <s v="US$/t"/>
    <s v="Volume from USGS Mineral Yearbook 2012. Price from USGS Mineral Commodity Summary 2013, and is the price for processed talc in the US."/>
    <n v="4954763"/>
    <m/>
    <m/>
    <m/>
    <m/>
    <m/>
    <m/>
    <m/>
    <m/>
    <m/>
    <m/>
    <m/>
    <m/>
    <m/>
    <m/>
    <m/>
    <m/>
    <m/>
    <m/>
    <m/>
    <m/>
    <m/>
    <m/>
    <m/>
    <m/>
    <m/>
    <m/>
    <m/>
    <m/>
    <m/>
    <m/>
    <m/>
    <m/>
    <m/>
    <m/>
    <m/>
    <m/>
    <m/>
    <m/>
    <m/>
    <m/>
    <m/>
    <m/>
    <m/>
    <m/>
    <m/>
  </r>
  <r>
    <x v="183"/>
    <n v="2012"/>
    <x v="29"/>
    <s v="Latin America and Caribbean"/>
    <m/>
    <s v="Mining"/>
    <s v="yes"/>
    <s v="no"/>
    <s v="no"/>
    <s v="Tellurium (metal)"/>
    <s v="detailed"/>
    <s v="detailed Mining"/>
    <n v="0"/>
    <m/>
    <m/>
    <m/>
    <m/>
    <s v="t"/>
    <m/>
    <m/>
    <s v="Volume from USGS Mineral Yearbook 2012"/>
    <m/>
    <m/>
    <m/>
    <m/>
    <m/>
    <m/>
    <m/>
    <m/>
    <m/>
    <m/>
    <m/>
    <m/>
    <m/>
    <m/>
    <m/>
    <m/>
    <m/>
    <m/>
    <m/>
    <m/>
    <m/>
    <m/>
    <m/>
    <m/>
    <m/>
    <m/>
    <m/>
    <m/>
    <m/>
    <m/>
    <m/>
    <m/>
    <m/>
    <m/>
    <m/>
    <m/>
    <m/>
    <m/>
    <m/>
    <m/>
    <m/>
    <m/>
    <m/>
    <m/>
    <m/>
    <m/>
  </r>
  <r>
    <x v="183"/>
    <n v="2012"/>
    <x v="29"/>
    <s v="Latin America and Caribbean"/>
    <m/>
    <s v="Mining"/>
    <s v="yes"/>
    <s v="no"/>
    <s v="no"/>
    <s v="Tin"/>
    <s v="detailed"/>
    <s v="detailed Mining"/>
    <m/>
    <m/>
    <m/>
    <m/>
    <m/>
    <m/>
    <n v="21125.994409731498"/>
    <s v="US$/t"/>
    <s v="Price from World Bank (Global Economic Monitor (GEM) Commodities database), and is defined as: Tin (LME), refined, 99.85% purity, settlement price"/>
    <n v="524157047.2998482"/>
    <m/>
    <m/>
    <m/>
    <m/>
    <m/>
    <m/>
    <m/>
    <m/>
    <m/>
    <m/>
    <m/>
    <m/>
    <m/>
    <m/>
    <m/>
    <m/>
    <m/>
    <m/>
    <m/>
    <m/>
    <m/>
    <m/>
    <m/>
    <m/>
    <m/>
    <m/>
    <m/>
    <m/>
    <m/>
    <m/>
    <m/>
    <m/>
    <m/>
    <m/>
    <m/>
    <m/>
    <m/>
    <m/>
    <m/>
    <m/>
    <m/>
    <m/>
    <m/>
    <m/>
    <m/>
  </r>
  <r>
    <x v="183"/>
    <n v="2012"/>
    <x v="29"/>
    <s v="Latin America and Caribbean"/>
    <m/>
    <s v="Mining"/>
    <s v="yes"/>
    <s v="no"/>
    <s v="no"/>
    <s v="o/w Tin content of mine output"/>
    <s v="detailed"/>
    <s v="detailed Mining"/>
    <n v="26105"/>
    <m/>
    <m/>
    <m/>
    <m/>
    <s v="t"/>
    <m/>
    <m/>
    <s v="Volume from USGS Mineral Yearbook 2012"/>
    <m/>
    <m/>
    <m/>
    <m/>
    <m/>
    <m/>
    <m/>
    <m/>
    <m/>
    <m/>
    <m/>
    <m/>
    <m/>
    <m/>
    <m/>
    <m/>
    <m/>
    <m/>
    <m/>
    <m/>
    <m/>
    <m/>
    <m/>
    <m/>
    <m/>
    <m/>
    <m/>
    <m/>
    <m/>
    <m/>
    <m/>
    <m/>
    <m/>
    <m/>
    <m/>
    <m/>
    <m/>
    <m/>
    <m/>
    <m/>
    <m/>
    <m/>
    <m/>
    <m/>
    <m/>
    <m/>
  </r>
  <r>
    <x v="183"/>
    <n v="2012"/>
    <x v="29"/>
    <s v="Latin America and Caribbean"/>
    <m/>
    <s v="Mining"/>
    <s v="yes"/>
    <s v="no"/>
    <s v="no"/>
    <s v="o/w Metal"/>
    <s v="detailed"/>
    <s v="detailed Mining"/>
    <n v="24811"/>
    <m/>
    <m/>
    <m/>
    <m/>
    <s v="t"/>
    <m/>
    <m/>
    <s v="Volume from USGS Mineral Yearbook 2012"/>
    <m/>
    <m/>
    <m/>
    <m/>
    <m/>
    <m/>
    <m/>
    <m/>
    <m/>
    <m/>
    <m/>
    <m/>
    <m/>
    <m/>
    <m/>
    <m/>
    <m/>
    <m/>
    <m/>
    <m/>
    <m/>
    <m/>
    <m/>
    <m/>
    <m/>
    <m/>
    <m/>
    <m/>
    <m/>
    <m/>
    <m/>
    <m/>
    <m/>
    <m/>
    <m/>
    <m/>
    <m/>
    <m/>
    <m/>
    <m/>
    <m/>
    <m/>
    <m/>
    <m/>
    <m/>
    <m/>
  </r>
  <r>
    <x v="183"/>
    <n v="2012"/>
    <x v="29"/>
    <s v="Latin America and Caribbean"/>
    <m/>
    <s v="Mining"/>
    <s v="yes"/>
    <s v="no"/>
    <s v="no"/>
    <s v="Travertine"/>
    <s v="detailed"/>
    <s v="detailed Mining"/>
    <n v="148515"/>
    <m/>
    <m/>
    <m/>
    <m/>
    <s v="t"/>
    <m/>
    <m/>
    <s v="Volume from USGS Mineral Yearbook 2012"/>
    <m/>
    <m/>
    <m/>
    <m/>
    <m/>
    <m/>
    <m/>
    <m/>
    <m/>
    <m/>
    <m/>
    <m/>
    <m/>
    <m/>
    <m/>
    <m/>
    <m/>
    <m/>
    <m/>
    <m/>
    <m/>
    <m/>
    <m/>
    <m/>
    <m/>
    <m/>
    <m/>
    <m/>
    <m/>
    <m/>
    <m/>
    <m/>
    <m/>
    <m/>
    <m/>
    <m/>
    <m/>
    <m/>
    <m/>
    <m/>
    <m/>
    <m/>
    <m/>
    <m/>
    <m/>
    <m/>
  </r>
  <r>
    <x v="183"/>
    <n v="2012"/>
    <x v="29"/>
    <s v="Latin America and Caribbean"/>
    <m/>
    <s v="Mining"/>
    <s v="yes"/>
    <s v="no"/>
    <s v="no"/>
    <s v="Tungsten (metal)"/>
    <s v="detailed"/>
    <s v="detailed Mining"/>
    <n v="365"/>
    <m/>
    <m/>
    <m/>
    <m/>
    <s v="t"/>
    <n v="255"/>
    <s v="US$/t"/>
    <s v="Volume from USGS Mineral Yearbook 2012. Price from USGS Mineral Commodity Summary 2013, and is the average price on the US and European spot markets for a metric ton unit of tungsten trioxide, which contains 7.93kg of tungsten."/>
    <n v="93075"/>
    <m/>
    <m/>
    <m/>
    <m/>
    <m/>
    <m/>
    <m/>
    <m/>
    <m/>
    <m/>
    <m/>
    <m/>
    <m/>
    <m/>
    <m/>
    <m/>
    <m/>
    <m/>
    <m/>
    <m/>
    <m/>
    <m/>
    <m/>
    <m/>
    <m/>
    <m/>
    <m/>
    <m/>
    <m/>
    <m/>
    <m/>
    <m/>
    <m/>
    <m/>
    <m/>
    <m/>
    <m/>
    <m/>
    <m/>
    <m/>
    <m/>
    <m/>
    <m/>
    <m/>
    <m/>
  </r>
  <r>
    <x v="183"/>
    <n v="2012"/>
    <x v="29"/>
    <s v="Latin America and Caribbean"/>
    <m/>
    <s v="Mining"/>
    <s v="yes"/>
    <s v="no"/>
    <s v="no"/>
    <s v="Zinc"/>
    <s v="detailed"/>
    <s v="detailed Mining"/>
    <m/>
    <m/>
    <m/>
    <m/>
    <m/>
    <m/>
    <n v="1950.4135082559801"/>
    <s v="US$/t"/>
    <s v="Price from World Bank (Global Economic Monitor (GEM) Commodities database), and is defined as: Zinc (LME), high grade, minimum 99.95% purity, settlement price beginning April 1990; previously special high grade, minimum 99.995%, cash prices"/>
    <n v="622728024.91596937"/>
    <m/>
    <m/>
    <m/>
    <m/>
    <m/>
    <m/>
    <m/>
    <m/>
    <m/>
    <m/>
    <m/>
    <m/>
    <m/>
    <m/>
    <m/>
    <m/>
    <m/>
    <m/>
    <m/>
    <m/>
    <m/>
    <m/>
    <m/>
    <m/>
    <m/>
    <m/>
    <m/>
    <m/>
    <m/>
    <m/>
    <m/>
    <m/>
    <m/>
    <m/>
    <m/>
    <m/>
    <m/>
    <m/>
    <m/>
    <m/>
    <m/>
    <m/>
    <m/>
    <m/>
    <m/>
  </r>
  <r>
    <x v="183"/>
    <n v="2012"/>
    <x v="29"/>
    <s v="Latin America and Caribbean"/>
    <m/>
    <s v="Mining"/>
    <s v="yes"/>
    <s v="no"/>
    <s v="no"/>
    <s v="o/w Zinc content of mine output"/>
    <s v="detailed"/>
    <s v="detailed Mining"/>
    <n v="1280975"/>
    <m/>
    <m/>
    <m/>
    <m/>
    <s v="t"/>
    <m/>
    <m/>
    <s v="Volume from USGS Mineral Yearbook 2012"/>
    <m/>
    <m/>
    <m/>
    <m/>
    <m/>
    <m/>
    <m/>
    <m/>
    <m/>
    <m/>
    <m/>
    <m/>
    <m/>
    <m/>
    <m/>
    <m/>
    <m/>
    <m/>
    <m/>
    <m/>
    <m/>
    <m/>
    <m/>
    <m/>
    <m/>
    <m/>
    <m/>
    <m/>
    <m/>
    <m/>
    <m/>
    <m/>
    <m/>
    <m/>
    <m/>
    <m/>
    <m/>
    <m/>
    <m/>
    <m/>
    <m/>
    <m/>
    <m/>
    <m/>
    <m/>
    <m/>
  </r>
  <r>
    <x v="183"/>
    <n v="2012"/>
    <x v="29"/>
    <s v="Latin America and Caribbean"/>
    <m/>
    <s v="Mining"/>
    <s v="yes"/>
    <s v="no"/>
    <s v="no"/>
    <s v="o/w Metal"/>
    <s v="detailed"/>
    <s v="detailed Mining"/>
    <n v="319280"/>
    <m/>
    <m/>
    <m/>
    <m/>
    <s v="t"/>
    <m/>
    <m/>
    <s v="Volume from USGS Mineral Yearbook 2012"/>
    <m/>
    <m/>
    <m/>
    <m/>
    <m/>
    <m/>
    <m/>
    <m/>
    <m/>
    <m/>
    <m/>
    <m/>
    <m/>
    <m/>
    <m/>
    <m/>
    <m/>
    <m/>
    <m/>
    <m/>
    <m/>
    <m/>
    <m/>
    <m/>
    <m/>
    <m/>
    <m/>
    <m/>
    <m/>
    <m/>
    <m/>
    <m/>
    <m/>
    <m/>
    <m/>
    <m/>
    <m/>
    <m/>
    <m/>
    <m/>
    <m/>
    <m/>
    <m/>
    <m/>
    <m/>
    <m/>
  </r>
  <r>
    <x v="184"/>
    <n v="2004"/>
    <x v="30"/>
    <s v="Africa"/>
    <m/>
    <s v="Oil"/>
    <s v="no"/>
    <s v="no"/>
    <s v="yes"/>
    <s v="Oil"/>
    <s v="detailed"/>
    <s v="detailed Oil"/>
    <n v="79205000"/>
    <m/>
    <n v="82051092.063999996"/>
    <m/>
    <m/>
    <s v="bbl"/>
    <n v="33.112499999999997"/>
    <s v="US$/bbl"/>
    <s v="Volume from BPSR 2014. Price from EITI Report."/>
    <n v="2622675562.5"/>
    <m/>
    <m/>
    <m/>
    <n v="802597372.72742176"/>
    <m/>
    <m/>
    <m/>
    <m/>
    <n v="0.30602236288897505"/>
    <s v="Central African CFA Franc"/>
    <n v="528.28480930499995"/>
    <s v="Disaggregated by revenue stream"/>
    <m/>
    <n v="1203706767.2579422"/>
    <m/>
    <m/>
    <n v="17"/>
    <m/>
    <m/>
    <s v="August 2008"/>
    <d v="2014-11-17T00:00:00"/>
    <s v="Ghelber &amp; Gourdon"/>
    <s v="http://eiti.org/files/Congo-Rep-2004-2005-2006-EITI-Report.pdf"/>
    <s v="61, 134"/>
    <s v="EITI Report for 2004-2006 does not include revenue/payment totals or company/govt reconciliated figures, and eiti.org does not give data on payments or revenues. Four fields were selected for reconciliation and in-kind receipts from these fields were reported (see p.58-59), but it is not clear whether these are government or company reported amounts, or both, and what these in-kind payments include. Project-by-project production data is given on p.134; production figures are taken from the totals given here. Total production value in FCFA is given on p.61; value was determined by &quot;prix fiscale&quot;, which is defined in Article 8 of the CPP (contrat de partage de production). The &quot;prix fiscale&quot; is given for each quarter on p.69; prices here are annual averages of these prices. (Note slight differences between EITI production volume x price and the producton values given). Total Received by Govt is &quot;Recettes constatées du Trésor&quot; from p.61; however, this appears to be revenues from the government's production share only. Total In-kind Payment Value is production share (&quot;droits&quot;) from p.61. Note that the value of the state's share of production (column AB) is greater than the total received by the Treasury (column R); the report states that fees and debts are deducted from production share (p.61). The value of oil delivered to CORAF, the state refinery, for domestic consumption is equivalent to US$11,792,881 (p.65-66). Also, information on how in-kind receipts (profit oil, cost oil, etc) are calculated is on p.18, p.33; project-by-project profit oil and royalties are given on p.132-133. 17 upstream petroleum companies were covered by the report (p.99); company names are not given, and it's not clear how many actually participated (according to eiti.org, 25 companies reported; it's unclear where this number comes from). "/>
    <m/>
    <m/>
    <m/>
    <m/>
    <m/>
    <m/>
    <m/>
    <m/>
    <m/>
    <m/>
    <m/>
    <m/>
    <m/>
    <m/>
    <m/>
    <m/>
    <m/>
    <m/>
    <m/>
    <m/>
  </r>
  <r>
    <x v="185"/>
    <n v="2005"/>
    <x v="30"/>
    <s v="Africa"/>
    <m/>
    <s v="Oil"/>
    <s v="no"/>
    <s v="no"/>
    <s v="yes"/>
    <s v="Oil"/>
    <s v="detailed"/>
    <s v="detailed Oil"/>
    <n v="87235000"/>
    <m/>
    <n v="92556385.953999996"/>
    <m/>
    <m/>
    <s v="bbl"/>
    <n v="50.827500000000001"/>
    <s v="US$/bbl"/>
    <s v="Volume from BPSR 2014. Price from EITI Report."/>
    <n v="4433936962.5"/>
    <m/>
    <m/>
    <m/>
    <n v="1738493617.9513669"/>
    <m/>
    <m/>
    <m/>
    <m/>
    <n v="0.39208803207052062"/>
    <s v="Central African CFA Franc"/>
    <n v="527.46814284000004"/>
    <s v="Disaggregated by revenue stream"/>
    <m/>
    <n v="2162974229.7935815"/>
    <m/>
    <m/>
    <n v="17"/>
    <m/>
    <m/>
    <s v="August 2009"/>
    <d v="2014-11-17T00:00:00"/>
    <s v="Ghelber &amp; Gourdon"/>
    <s v="http://eiti.org/files/Congo-Rep-2004-2005-2006-EITI-Report_0.pdf"/>
    <m/>
    <s v="EITI Report for 2004-2006 does not include revenue/payment totals or company/govt reconciliated figures. Four fields were selected for reconciliation and in-kind receipts from these fields were reported (see p.58-59), but it is not clear whether these are government or company reported amounts, or both, and what these in-kind payments include. Project-by-project production data is given on p.134; production figures are taken from the totals given here. Total production value in FCFA is given on p.61; value was determined by &quot;prix fiscale&quot;, which is defined in Article 8 of the CPP (contrat de partage de production). The &quot;prix fiscale&quot; is given for each quarter on p.69; prices here are annual averages of these prices. (Note slight differences between EITI production volume x price and the producton values given). Total Received by Govt is &quot;Recettes constatées du Trésor&quot; from p.61; however, this appears to be revenues from the government's production share only. Total In-kind Payment Value is production share (&quot;droits&quot;) from p.61. Note that the value of the state's share of production (column W) is greater than the total received by the treasury (column Q); the report states that fees and debts are deducted from production share (p.61). The value of oil delivered to CORAF, the state refinery, for domestic consumption is given on p.65-66; these values are included in the Subsidy column. Also, information on how in-kind receipts (profit oil, cost oil, etc) are caluclated is on p.18, p.33; project-by-project profit oil and royalties are given on p.132-133. 17 upstream petroleum companies were covered by the report (p.99); company names are not given, and it's not clear how many actually participated (according to eiti.org, 25 companies reported; it's unclear where this number comes from). "/>
    <m/>
    <m/>
    <m/>
    <m/>
    <m/>
    <m/>
    <m/>
    <m/>
    <m/>
    <m/>
    <m/>
    <m/>
    <m/>
    <m/>
    <m/>
    <m/>
    <m/>
    <m/>
    <m/>
    <m/>
  </r>
  <r>
    <x v="186"/>
    <n v="2006"/>
    <x v="30"/>
    <s v="Africa"/>
    <m/>
    <s v="Oil"/>
    <s v="no"/>
    <s v="no"/>
    <s v="yes"/>
    <s v="Oil"/>
    <s v="detailed"/>
    <s v="detailed Oil"/>
    <n v="98915000"/>
    <m/>
    <n v="98684504.871000007"/>
    <m/>
    <m/>
    <s v="bbl"/>
    <n v="59.47"/>
    <s v="US$/bbl"/>
    <s v="Volume from BPSR 2014. Price from EITI Report."/>
    <n v="5882475050"/>
    <m/>
    <m/>
    <m/>
    <n v="2581804427.3293929"/>
    <m/>
    <m/>
    <m/>
    <m/>
    <n v="0.43889764178929969"/>
    <s v="Central African CFA Franc"/>
    <n v="522.89010961083295"/>
    <s v="Disaggregated by revenue stream"/>
    <m/>
    <n v="3072729758.0667667"/>
    <m/>
    <m/>
    <n v="17"/>
    <m/>
    <m/>
    <s v="August 2009"/>
    <d v="2014-11-17T00:00:00"/>
    <s v="Ghelber &amp; Gourdon"/>
    <s v="http://eiti.org/files/Congo-Rep-2004-2005-2006-EITI-Report_1.pdf"/>
    <m/>
    <s v="EITI Report for 2004-2006 does not include revenue/payment totals or company/govt reconciliated figures. Four fields were selected for reconciliation and in-kind receipts from these fields were reported (see p.58-59), but it is not clear whether these are government or company reported amounts, or both, and what these in-kind payments include. Project-by-project production data is given on p.134; production figures are taken from the totals given here. Total production value in FCFA is given on p.61; value was determined by &quot;prix fiscale&quot;, which is defined in Article 8 of the CPP (contrat de partage de production). The &quot;prix fiscale&quot; is given for each quarter on p.69; prices here are annual averages of these prices. (Note slight differences between EITI production volume x price and the producton values given). Total Received by Govt is &quot;Recettes constatées du Trésor&quot; from p.61; however, this appears to be revenues from the government's production share only. Total In-kind Payment Value is production share (&quot;droits&quot;) from p.61. Note that the value of the state's share of production (column W) is greater than the total received by the treasury (column Q); the report states that fees and debts are deducted from production share (p.61). The value of oil delivered to CORAF, the state refinery, for domestic consumption is given on p.65-66; these values are included in the Subsidy column. Also, information on how in-kind receipts (profit oil, cost oil, etc) are caluclated is on p.18, p.33; project-by-project profit oil and royalties are given on p.132-133. 17 upstream petroleum companies were covered by the report (p.99); company names are not given, and it's not clear how many actually participated (according to eiti.org, 25 companies reported; it's unclear where this number comes from). "/>
    <m/>
    <m/>
    <m/>
    <m/>
    <m/>
    <m/>
    <m/>
    <m/>
    <m/>
    <m/>
    <m/>
    <m/>
    <m/>
    <m/>
    <m/>
    <m/>
    <m/>
    <m/>
    <m/>
    <m/>
  </r>
  <r>
    <x v="187"/>
    <n v="2007"/>
    <x v="30"/>
    <s v="Africa"/>
    <s v="http://www.itie-congo.org/"/>
    <s v="Oil, Gas"/>
    <s v="no"/>
    <s v="yes"/>
    <s v="yes"/>
    <s v="Total"/>
    <s v="Total"/>
    <s v="Total Oil, Gas"/>
    <m/>
    <m/>
    <m/>
    <m/>
    <m/>
    <m/>
    <m/>
    <m/>
    <m/>
    <n v="6828718147.0424004"/>
    <s v="Host government's production entitlement, State-owned company production entitlement, Profits/Taxes, Royalties, Dividends, Bonuses, Licenses and concessions, Other significant benefits to government"/>
    <s v="Also covers payments made in-kind"/>
    <m/>
    <n v="2553350325.8307009"/>
    <n v="2443821662.9688482"/>
    <m/>
    <m/>
    <m/>
    <n v="0.37391356193791475"/>
    <m/>
    <n v="479.27"/>
    <s v="Disaggregated by revenue stream"/>
    <m/>
    <m/>
    <m/>
    <m/>
    <m/>
    <m/>
    <n v="25"/>
    <s v="October 2010"/>
    <d v="2014-10-10T00:00:00"/>
    <s v="Ghelber &amp; Gourdon"/>
    <s v="http://eiti.org/files/Republic%20of%20Congo%202007-2008-2009%20EITI%20Report.pdf"/>
    <m/>
    <m/>
    <m/>
    <m/>
    <m/>
    <m/>
    <m/>
    <m/>
    <m/>
    <m/>
    <m/>
    <m/>
    <m/>
    <m/>
    <m/>
    <m/>
    <m/>
    <m/>
    <m/>
    <m/>
    <m/>
    <m/>
  </r>
  <r>
    <x v="187"/>
    <n v="2007"/>
    <x v="30"/>
    <s v="Africa"/>
    <m/>
    <s v="Gas"/>
    <s v="no"/>
    <s v="yes"/>
    <s v="no"/>
    <s v="Gas"/>
    <s v="detailed"/>
    <s v="detailed Gas"/>
    <n v="7617219200"/>
    <n v="50273646.719999999"/>
    <m/>
    <m/>
    <m/>
    <s v="m³"/>
    <n v="0.22764700000000004"/>
    <s v="US$/m³"/>
    <s v="Volume from EIA. Price from BPSR 2014, and is an average of the UK, US and Canada Indices for natural gas."/>
    <n v="1734037099.2224004"/>
    <m/>
    <m/>
    <m/>
    <m/>
    <m/>
    <m/>
    <m/>
    <m/>
    <m/>
    <m/>
    <m/>
    <m/>
    <m/>
    <m/>
    <m/>
    <m/>
    <m/>
    <m/>
    <m/>
    <m/>
    <m/>
    <m/>
    <m/>
    <m/>
    <m/>
    <m/>
    <m/>
    <m/>
    <m/>
    <m/>
    <m/>
    <m/>
    <m/>
    <m/>
    <m/>
    <m/>
    <m/>
    <m/>
    <m/>
    <m/>
    <m/>
    <m/>
    <m/>
    <m/>
    <m/>
  </r>
  <r>
    <x v="187"/>
    <n v="2007"/>
    <x v="30"/>
    <s v="Africa"/>
    <m/>
    <s v="Oil"/>
    <s v="no"/>
    <s v="no"/>
    <s v="yes"/>
    <s v="Oil"/>
    <s v="detailed"/>
    <s v="detailed Oil"/>
    <n v="80665000"/>
    <n v="0.62323990231203119"/>
    <m/>
    <m/>
    <m/>
    <s v="bbl"/>
    <n v="63.158507999999991"/>
    <s v="US$/bbl"/>
    <s v="Volume and price from BPSR 2014. Price is an average of the spot prices for Brent, Dubai, Nigerian Forcados and West Texas Intermediate crude oil, adjusted to account for the prices given in the 2004-2006 and 2010-2012 EITI Reports being an average 87.94% of this in 2004-2006 and 2010-2012."/>
    <n v="5094681047.8199997"/>
    <m/>
    <m/>
    <m/>
    <m/>
    <m/>
    <m/>
    <m/>
    <m/>
    <m/>
    <m/>
    <m/>
    <m/>
    <m/>
    <m/>
    <m/>
    <m/>
    <m/>
    <m/>
    <m/>
    <m/>
    <m/>
    <m/>
    <m/>
    <m/>
    <m/>
    <m/>
    <m/>
    <m/>
    <m/>
    <m/>
    <m/>
    <m/>
    <m/>
    <m/>
    <m/>
    <m/>
    <m/>
    <m/>
    <m/>
    <m/>
    <m/>
    <m/>
    <m/>
    <m/>
    <m/>
  </r>
  <r>
    <x v="188"/>
    <n v="2008"/>
    <x v="30"/>
    <s v="Africa"/>
    <s v="http://www.itie-congo.org/"/>
    <s v="Oil, Gas"/>
    <s v="no"/>
    <s v="yes"/>
    <s v="yes"/>
    <s v="Total"/>
    <s v="Total"/>
    <s v="Total Oil, Gas"/>
    <m/>
    <m/>
    <m/>
    <m/>
    <m/>
    <m/>
    <m/>
    <m/>
    <m/>
    <n v="9945008932.4211998"/>
    <s v="Host government's production entitlement, State-owned company production entitlement, Profits/Taxes, Royalties, Dividends, Bonuses, Licenses and concessions, Other significant benefits to government"/>
    <s v="Also covers payments made in-kind"/>
    <m/>
    <n v="4645910135.5534267"/>
    <n v="4608048676.9085875"/>
    <m/>
    <m/>
    <m/>
    <n v="0.46715997613712945"/>
    <m/>
    <n v="447.81"/>
    <s v="Disaggregated by revenue stream"/>
    <m/>
    <m/>
    <m/>
    <m/>
    <m/>
    <m/>
    <n v="25"/>
    <s v="October 2010"/>
    <d v="2014-10-10T00:00:00"/>
    <s v="Ghelber &amp; Gourdon"/>
    <s v="http://eiti.org/files/Republic%20of%20Congo%202007-2008-2009%20EITI%20Report_0.pdf"/>
    <m/>
    <m/>
    <m/>
    <m/>
    <m/>
    <m/>
    <m/>
    <m/>
    <m/>
    <m/>
    <m/>
    <m/>
    <m/>
    <m/>
    <m/>
    <m/>
    <m/>
    <m/>
    <m/>
    <m/>
    <m/>
    <m/>
  </r>
  <r>
    <x v="188"/>
    <n v="2008"/>
    <x v="30"/>
    <s v="Africa"/>
    <m/>
    <s v="Gas"/>
    <s v="no"/>
    <s v="yes"/>
    <s v="no"/>
    <s v="Gas"/>
    <s v="detailed"/>
    <s v="detailed Gas"/>
    <n v="7702169600"/>
    <n v="50834319.359999999"/>
    <m/>
    <m/>
    <m/>
    <s v="m³"/>
    <n v="0.32879700000000006"/>
    <s v="US$/m³"/>
    <s v="Volume from EIA. Price from BPSR 2014, and is an average of the UK, US and Canada Indices for natural gas."/>
    <n v="2532450257.9712005"/>
    <m/>
    <m/>
    <m/>
    <m/>
    <m/>
    <m/>
    <m/>
    <m/>
    <m/>
    <m/>
    <m/>
    <m/>
    <m/>
    <m/>
    <m/>
    <m/>
    <m/>
    <m/>
    <m/>
    <m/>
    <m/>
    <m/>
    <m/>
    <m/>
    <m/>
    <m/>
    <m/>
    <m/>
    <m/>
    <m/>
    <m/>
    <m/>
    <m/>
    <m/>
    <m/>
    <m/>
    <m/>
    <m/>
    <m/>
    <m/>
    <m/>
    <m/>
    <m/>
    <m/>
    <m/>
  </r>
  <r>
    <x v="188"/>
    <n v="2008"/>
    <x v="30"/>
    <s v="Africa"/>
    <m/>
    <s v="Oil"/>
    <s v="no"/>
    <s v="no"/>
    <s v="yes"/>
    <s v="Oil"/>
    <s v="detailed"/>
    <s v="detailed Oil"/>
    <n v="85775000"/>
    <n v="0.59264726738560181"/>
    <m/>
    <m/>
    <m/>
    <s v="bbl"/>
    <n v="86.418637999999987"/>
    <s v="US$/bbl"/>
    <s v="Volume and price from BPSR 2014. Price is an average of the spot prices for Brent, Dubai, Nigerian Forcados and West Texas Intermediate crude oil, adjusted to account for the prices given in the 2004-2006 and 2010-2012 EITI Reports being an average 87.94% of this in 2004-2006 and 2010-2012."/>
    <n v="7412558674.4499989"/>
    <m/>
    <m/>
    <m/>
    <m/>
    <m/>
    <m/>
    <m/>
    <m/>
    <m/>
    <m/>
    <m/>
    <m/>
    <m/>
    <m/>
    <m/>
    <m/>
    <m/>
    <m/>
    <m/>
    <m/>
    <m/>
    <m/>
    <m/>
    <m/>
    <m/>
    <m/>
    <m/>
    <m/>
    <m/>
    <m/>
    <m/>
    <m/>
    <m/>
    <m/>
    <m/>
    <m/>
    <m/>
    <m/>
    <m/>
    <m/>
    <m/>
    <m/>
    <m/>
    <m/>
    <m/>
  </r>
  <r>
    <x v="189"/>
    <n v="2009"/>
    <x v="30"/>
    <s v="Africa"/>
    <s v="http://www.itie-congo.org/"/>
    <s v="Oil, Gas"/>
    <s v="no"/>
    <s v="yes"/>
    <s v="yes"/>
    <s v="Total"/>
    <s v="Total"/>
    <s v="Total Oil, Gas"/>
    <m/>
    <m/>
    <m/>
    <m/>
    <m/>
    <m/>
    <m/>
    <m/>
    <m/>
    <n v="6512047108.2436066"/>
    <s v="Host government's production entitlement, State-owned company production entitlement, Profits/Taxes, Royalties, Dividends, Bonuses, Licenses and concessions, Other significant benefits to government"/>
    <s v="Also covers payments made in-kind"/>
    <m/>
    <n v="2343960552.7359438"/>
    <n v="2293891127.9047532"/>
    <m/>
    <m/>
    <m/>
    <n v="0.35994219847837433"/>
    <m/>
    <n v="472.19"/>
    <s v="Disaggregated by revenue stream"/>
    <m/>
    <m/>
    <m/>
    <m/>
    <m/>
    <m/>
    <n v="30"/>
    <s v="October 2010"/>
    <d v="2014-10-10T00:00:00"/>
    <s v="Ghelber &amp; Gourdon"/>
    <s v="http://eiti.org/files/Republic%20of%20Congo%202007-2008-2009%20EITI%20Report_1.pdf"/>
    <m/>
    <m/>
    <m/>
    <m/>
    <m/>
    <m/>
    <m/>
    <m/>
    <m/>
    <m/>
    <m/>
    <m/>
    <m/>
    <m/>
    <m/>
    <m/>
    <m/>
    <m/>
    <m/>
    <m/>
    <m/>
    <m/>
  </r>
  <r>
    <x v="189"/>
    <n v="2009"/>
    <x v="30"/>
    <s v="Africa"/>
    <m/>
    <s v="Gas"/>
    <s v="no"/>
    <s v="yes"/>
    <s v="no"/>
    <s v="Gas"/>
    <s v="detailed"/>
    <s v="detailed Gas"/>
    <n v="7985337600"/>
    <n v="52703228.159999996"/>
    <m/>
    <m/>
    <m/>
    <s v="m³"/>
    <n v="0.14422800000000002"/>
    <s v="US$/m³"/>
    <s v="Volume from EIA. Price from BPSR 2014, and is an average of the UK, US and Canada Indices for natural gas."/>
    <n v="1151709271.3728001"/>
    <m/>
    <m/>
    <m/>
    <m/>
    <m/>
    <m/>
    <m/>
    <m/>
    <m/>
    <m/>
    <m/>
    <m/>
    <m/>
    <m/>
    <m/>
    <m/>
    <m/>
    <m/>
    <m/>
    <m/>
    <m/>
    <m/>
    <m/>
    <m/>
    <m/>
    <m/>
    <m/>
    <m/>
    <m/>
    <m/>
    <m/>
    <m/>
    <m/>
    <m/>
    <m/>
    <m/>
    <m/>
    <m/>
    <m/>
    <m/>
    <m/>
    <m/>
    <m/>
    <m/>
    <m/>
  </r>
  <r>
    <x v="189"/>
    <n v="2009"/>
    <x v="30"/>
    <s v="Africa"/>
    <m/>
    <s v="Oil"/>
    <s v="no"/>
    <s v="no"/>
    <s v="yes"/>
    <s v="Oil"/>
    <s v="detailed"/>
    <s v="detailed Oil"/>
    <n v="98185000"/>
    <n v="0.53677474318887808"/>
    <m/>
    <m/>
    <m/>
    <s v="bbl"/>
    <n v="54.594264265119996"/>
    <s v="US$/bbl"/>
    <s v="Volume and price from BPSR 2014. Price is an average of the spot prices for Brent, Dubai, Nigerian Forcados and West Texas Intermediate crude oil, adjusted to account for the prices given in the 2004-2006 and 2010-2012 EITI Reports being an average 87.94% of this in 2004-2006 and 2010-2012."/>
    <n v="5360337836.8708067"/>
    <m/>
    <m/>
    <m/>
    <m/>
    <m/>
    <m/>
    <m/>
    <m/>
    <m/>
    <m/>
    <m/>
    <m/>
    <m/>
    <m/>
    <m/>
    <m/>
    <m/>
    <m/>
    <m/>
    <m/>
    <m/>
    <m/>
    <m/>
    <m/>
    <m/>
    <m/>
    <m/>
    <m/>
    <m/>
    <m/>
    <m/>
    <m/>
    <m/>
    <m/>
    <m/>
    <m/>
    <m/>
    <m/>
    <m/>
    <m/>
    <m/>
    <m/>
    <m/>
    <m/>
    <m/>
  </r>
  <r>
    <x v="190"/>
    <n v="2010"/>
    <x v="30"/>
    <s v="Africa"/>
    <s v="http://www.itie-congo.org/"/>
    <s v="Oil, Gas"/>
    <s v="no"/>
    <s v="yes"/>
    <s v="yes"/>
    <s v="Total"/>
    <s v="Total"/>
    <s v="Total Oil, Gas"/>
    <m/>
    <m/>
    <m/>
    <m/>
    <m/>
    <m/>
    <m/>
    <m/>
    <m/>
    <n v="6911955014.2825518"/>
    <s v="Host government's production entitlement, State-owned company production entitlement, Profits/Taxes, Royalties, Dividends, Bonuses, Licenses and concessions, Other significant benefits to government"/>
    <s v="Also covers payments made in-kind"/>
    <s v="No"/>
    <n v="3195780380.0319676"/>
    <n v="3419011268.8920569"/>
    <m/>
    <m/>
    <m/>
    <n v="0.46235549470856674"/>
    <s v="Central African CFA Franc"/>
    <n v="486.11700000000002"/>
    <s v="Disaggregated by revenue stream, Disaggregated by company"/>
    <s v="56,430,394 bbl of oil"/>
    <n v="2862253451.329618"/>
    <m/>
    <m/>
    <n v="24"/>
    <s v="SNPC, TOTAL, ENI CONGO, CONGOREP, PERENCO EP CONGO, PERENCO EP CONGO, CMS NOMECO, NUEVO CONGO COMPANY, NUEVO CONGO LIMITED, MURPHY, PRESTOIL, AOGC, CHEVRON, MAUREL &amp; PROM CONGO, SOCO, ENGEN, BUREN, TULLOW, PREMIER, PILATUS, CLIVEDEN, CNOOC, SVENSKA, WING WAH, OPHIR CONGO"/>
    <n v="16"/>
    <s v="December 2011"/>
    <d v="2014-11-17T00:00:00"/>
    <s v="Moore Stephens"/>
    <s v="http://eiti.org/files/Republic%20of%20Congo%202010%20EITI%20Report.pdf"/>
    <s v="6, 7, 8, 24-27"/>
    <s v="Voluntary social payments were reported unilaterally by companies are and included here under Total Payments by Company.  Revenue/payment totals given in FCFA in the report include the earnings of the state from the commercialization of in-kind oil receipts (commercialized on behalf of the state by SNPC). To avoid double counting, in-kind flows received by SNPC on behalf of the state have not been added to revenue/payment totals.  The exchange rate used in the EITI Report is 495 FCFA/$, which is different from the WB rate used here. In-kind receipts include state (51,334,916 bbl) and SNPC (5,095,478 bbl) production share, as reported by the government (p.26). Note, however, that Total In-kind Payment Value reflects only the amount SNPC paid to the state after commercializing the state's share of production, as reported by govt (ie, for 51.3 mill bbl the state received $2.86 bill). CORAF, the state refinery, also received a portion of the state's production share (for provision of subsidized fuel to the domestic market), but these volumes were not included in the report. Note that some revenue streams were not reported by govt and couldn't be reconciled (see p.4)."/>
    <m/>
    <m/>
    <m/>
    <m/>
    <m/>
    <m/>
    <m/>
    <m/>
    <m/>
    <m/>
    <m/>
    <m/>
    <m/>
    <m/>
    <m/>
    <m/>
    <m/>
    <m/>
    <m/>
    <m/>
  </r>
  <r>
    <x v="190"/>
    <n v="2010"/>
    <x v="30"/>
    <s v="Africa"/>
    <m/>
    <s v="Gas"/>
    <s v="no"/>
    <s v="yes"/>
    <s v="no"/>
    <s v="Gas"/>
    <s v="detailed"/>
    <s v="detailed Gas"/>
    <n v="8438406400"/>
    <n v="55693482.240000002"/>
    <m/>
    <m/>
    <m/>
    <s v="m³"/>
    <n v="0.1741077336927683"/>
    <s v="US$/m³"/>
    <s v="Volume from EIA. Price from BPSR 2014, and is an average of the UK, US and Canada Indices for natural gas."/>
    <n v="1469191814.2825518"/>
    <m/>
    <m/>
    <m/>
    <m/>
    <m/>
    <m/>
    <m/>
    <m/>
    <m/>
    <m/>
    <m/>
    <m/>
    <m/>
    <m/>
    <m/>
    <m/>
    <m/>
    <m/>
    <m/>
    <m/>
    <m/>
    <m/>
    <m/>
    <m/>
    <m/>
    <m/>
    <m/>
    <m/>
    <m/>
    <m/>
    <m/>
    <m/>
    <m/>
    <m/>
    <m/>
    <m/>
    <m/>
    <m/>
    <m/>
    <m/>
    <m/>
    <m/>
    <m/>
    <m/>
    <m/>
  </r>
  <r>
    <x v="190"/>
    <n v="2010"/>
    <x v="30"/>
    <s v="Africa"/>
    <m/>
    <s v="Oil"/>
    <s v="no"/>
    <s v="no"/>
    <s v="yes"/>
    <s v="Oil"/>
    <s v="detailed"/>
    <s v="detailed Oil"/>
    <n v="107310000"/>
    <n v="0.5189962001677384"/>
    <m/>
    <m/>
    <m/>
    <s v="bbl"/>
    <n v="50.72"/>
    <s v="US$/bbl"/>
    <s v="Volume from BPSR 2014. Price from EITI Report, and is basd on the value and volume of payments made in-kind."/>
    <n v="5442763200"/>
    <m/>
    <m/>
    <m/>
    <m/>
    <m/>
    <m/>
    <m/>
    <m/>
    <m/>
    <m/>
    <m/>
    <m/>
    <s v="56,430,394 bbl of oil"/>
    <n v="2862253451.329618"/>
    <m/>
    <m/>
    <m/>
    <m/>
    <m/>
    <m/>
    <m/>
    <m/>
    <m/>
    <m/>
    <m/>
    <m/>
    <m/>
    <m/>
    <m/>
    <m/>
    <m/>
    <m/>
    <m/>
    <m/>
    <m/>
    <m/>
    <m/>
    <m/>
    <m/>
    <m/>
    <m/>
    <m/>
    <m/>
    <m/>
    <m/>
  </r>
  <r>
    <x v="191"/>
    <n v="2011"/>
    <x v="30"/>
    <s v="Africa"/>
    <s v="http://www.itie-congo.org/"/>
    <s v="Oil, Gas"/>
    <s v="no"/>
    <s v="yes"/>
    <s v="yes"/>
    <s v="Total"/>
    <s v="Total"/>
    <s v="Total Oil, Gas"/>
    <m/>
    <m/>
    <m/>
    <m/>
    <m/>
    <m/>
    <m/>
    <m/>
    <m/>
    <n v="12742985192.604099"/>
    <s v="Host government's production entitlement, State-owned company production entitlement, Profits/Taxes, Royalties, Dividends, Bonuses, Licenses and concessions, Other significant benefits to government"/>
    <s v="Also covers payments made in-kind"/>
    <s v="No"/>
    <n v="5529544307"/>
    <n v="5551437090.9858561"/>
    <m/>
    <m/>
    <m/>
    <n v="0.43392848876645418"/>
    <s v="Central African CFA Franc"/>
    <n v="473.7"/>
    <s v="Disaggregated by revenue stream, Disaggregated by company"/>
    <s v="58,610,387 bbl of oil"/>
    <s v="5,038,537,547 (commercialized value of the portion of Govt in-kind receipts that go to the Treasury only)"/>
    <m/>
    <m/>
    <n v="17"/>
    <s v="Total (TEP Congo), ENI Congo, SNPC, Congorep, Societe Chevron, Burren, Murphy West Africa, PA Ressources, CMS Nomeco, Tullow, Nuevo Congo Company, Nuevo Congo Limited, Presoil, Maurel &amp; Prom Congo, AOGC, Petroci, Prevail."/>
    <n v="17"/>
    <s v="September 2012"/>
    <d v="2014-11-17T00:00:00"/>
    <s v="Moore Stephens LLP"/>
    <s v="http://eiti.org/files/Congo-Rep-2011-EITI-Report-2.pdf"/>
    <s v="5, 6, 29-31, 35, 36"/>
    <s v="Total Payments by Companies includes unilaterally reported &quot;taxe maritime&quot; and voluntary social payments.  Reported amounts cover the earnings of the state from the commercialization of the oil; SNPC commercializes the state's production share on the international market (p.12), so all in-kind receipts are received by SNPC and converted to cash before being remitted to the state. To avoid double counting, in-kind flows received by SNPC on behalf of the state have not been added to revenue/payment totals. The state receives a total of 55,600,658 bbl, of which 4,350,547 bbl (see p.41) goes to CORAF for the domestic market. The remainder (51,035,686 bbl) is commercialized by SNPC on behalf of the state, for which the state received FCFA 2,386,755,236,000. In addition, SNPC received 3,009,729 bbl for its own account. Here, Total In-kind Payment Volume includes State and SNPC in-kind receipts (55,600,658 bbl+3,009,729 bbl, as reported by the government). But note that the Total In-Kind Payment Value is for commercialized barrels only (ie, 51 million bbl sold for 2.39 trillion FCFA, or about $99/bbl). The repor also includes mining revenues reported unilaterally by the state but these are not included in Total Revenues Reported by Government"/>
    <m/>
    <m/>
    <m/>
    <m/>
    <m/>
    <m/>
    <m/>
    <m/>
    <m/>
    <m/>
    <m/>
    <m/>
    <m/>
    <m/>
    <m/>
    <m/>
    <m/>
    <m/>
    <m/>
    <m/>
  </r>
  <r>
    <x v="191"/>
    <n v="2011"/>
    <x v="30"/>
    <s v="Africa"/>
    <m/>
    <s v="Gas"/>
    <s v="no"/>
    <s v="yes"/>
    <s v="no"/>
    <s v="Gas"/>
    <s v="detailed"/>
    <s v="detailed Gas"/>
    <n v="9457811200"/>
    <n v="62421553.920000002"/>
    <m/>
    <m/>
    <m/>
    <s v="m³"/>
    <n v="0.19666043794616025"/>
    <s v="US$/m³"/>
    <s v="Volume from EIA. Price from BPSR 2014, and is an average of the UK, US and Canada Indices for natural gas."/>
    <n v="1859977292.6040995"/>
    <m/>
    <m/>
    <m/>
    <m/>
    <m/>
    <m/>
    <m/>
    <m/>
    <m/>
    <m/>
    <m/>
    <m/>
    <m/>
    <m/>
    <m/>
    <m/>
    <m/>
    <m/>
    <m/>
    <m/>
    <m/>
    <m/>
    <m/>
    <m/>
    <m/>
    <m/>
    <m/>
    <m/>
    <m/>
    <m/>
    <m/>
    <m/>
    <m/>
    <m/>
    <m/>
    <m/>
    <m/>
    <m/>
    <m/>
    <m/>
    <m/>
    <m/>
    <m/>
    <m/>
    <m/>
  </r>
  <r>
    <x v="191"/>
    <n v="2011"/>
    <x v="30"/>
    <s v="Africa"/>
    <m/>
    <s v="Oil"/>
    <s v="no"/>
    <s v="no"/>
    <s v="yes"/>
    <s v="Oil"/>
    <s v="detailed"/>
    <s v="detailed Oil"/>
    <n v="110230000"/>
    <n v="0.56628462233511745"/>
    <m/>
    <m/>
    <m/>
    <s v="bbl"/>
    <n v="98.73"/>
    <s v="US$/bbl"/>
    <s v="Volume from BPSR 2014. Price from EITI Report, and is basd on the value and volume of payments made in-kind."/>
    <n v="10883007900"/>
    <m/>
    <m/>
    <m/>
    <m/>
    <m/>
    <m/>
    <m/>
    <m/>
    <m/>
    <m/>
    <m/>
    <m/>
    <s v="58,610,387 bbl of oil"/>
    <s v="5,038,537,547 (commercialized value of the portion of Govt in-kind receipts that go to the Treasury only)"/>
    <m/>
    <m/>
    <m/>
    <m/>
    <m/>
    <m/>
    <m/>
    <m/>
    <m/>
    <m/>
    <m/>
    <m/>
    <m/>
    <m/>
    <m/>
    <m/>
    <m/>
    <m/>
    <m/>
    <m/>
    <m/>
    <m/>
    <m/>
    <m/>
    <m/>
    <m/>
    <m/>
    <m/>
    <m/>
    <m/>
    <m/>
  </r>
  <r>
    <x v="192"/>
    <n v="2012"/>
    <x v="30"/>
    <s v="Africa"/>
    <s v="http://www.itie-congo.org/"/>
    <s v="Oil, Gas, Mining"/>
    <s v="yes"/>
    <s v="yes"/>
    <s v="yes"/>
    <s v="Total"/>
    <s v="Total"/>
    <s v="Total Oil, Gas, Mining"/>
    <m/>
    <m/>
    <m/>
    <m/>
    <m/>
    <m/>
    <m/>
    <m/>
    <m/>
    <n v="12526814546.70013"/>
    <s v=""/>
    <s v="Also covers payments made in-kind"/>
    <s v="No"/>
    <n v="3185676000"/>
    <n v="3210830000"/>
    <m/>
    <m/>
    <m/>
    <n v="0.25430854652823009"/>
    <s v="Central African CFA Franc and United States Dollar"/>
    <n v="510.53"/>
    <s v="Disaggregated by revenue stream, Disaggregated by company"/>
    <s v="54,922,000 bbl of oil (includes total govt in-kind receipts and SNPC receipts)"/>
    <s v="2,748,286,000 (commercialized value of the portion of Govt in-kind receipts that go to the Treasury only)"/>
    <m/>
    <m/>
    <n v="24"/>
    <s v="PETROLEUM SOC: Societe Nationale des Petroles du Congo (SNPC). PETROLEUM PRODUCTION: Africa Oil and Gas Corporation (AOGC), Chevron Overseas Congo, CMS Nomeco, Congorep, ENI Congo, Murphy West Africa, Prestoil, Nuevo Congo Company, Nuevo Congo Ltd, PA Resources Congo, Petro Kouilou, Total E&amp;P Congo, Maurel &amp; Prom Congo. PETROLEUM EXPLORATION: China National Offshore Oil Corporation (CNOOC), Ophir Congo, Perenco Exploration &amp; Production Congo, Pilatus, Premier Oil, SOCO Exploration and Production Congo, Wing Wah. MINING PRODUCTION: Lulu, Magminerals Potasses Congo, Societe de Recherche et d'Exploitation Miniere (SOREMI)."/>
    <n v="21"/>
    <s v="December 2013"/>
    <d v="2014-11-18T00:00:00"/>
    <s v="Fair Links"/>
    <s v="http://eiti.org/files/EITI%20REPORT%202012-CONGO%20B..pdf"/>
    <s v="4-7, 30-34"/>
    <s v="Total Received by Govt includes revenues from mining companies in the exploratory phase reported unilaterally by the state. Total Payments by Companies includes unilaterally reported &quot;taxe maritime&quot; and voluntary social payments. SNPC, the state oil company, is included as both a paying company (in-kind royalties and tax oil paid to state and some financial flows) and a receiving entity (production share received for SNPC's own account and SNPC dividends are included in govt totals). Reported dollar amounts include the earnings of the state from the commercialization of the oil; SNPC commercializes the state's production share on the international market (p.15), so all in-kind receipts are received by SNPC and converted to cash before being remitted to the state. To avoid double counting, in-kind flows received by SNPC on behalf of the state have not been added to revenue/payment totals. The state received a total of 53,078,000 bbl of oil (before &quot;prelevements&quot; were deducted), valued at $5,573,156,000. Of this production share, 5,959,000 bbl went to CORAF for refining and sale at subsidized prices to the domestic market (this transfer was valued at $600 million, see p.6). The in-kind receipts to the treasury (26,681,000 bbl) were commercialized by SNPC on behalf of the state, for which the state received $2,748,286,000. In addition, SNPC received 1,694,000 bbl for its own account. Here, Total In-kind Payment Volume includes all State and SNPC in-kind receipts, before deductions (ie, 53,228,000 bbl+1,694,000 bbl, as reported by the government). But note that the Total In-Kind Payment Value is for commercialized barrels only (ie, 26.7 million bbl sold for $2.75 bill, or about $103/bbl). "/>
    <m/>
    <m/>
    <m/>
    <m/>
    <m/>
    <m/>
    <m/>
    <m/>
    <m/>
    <m/>
    <m/>
    <m/>
    <m/>
    <m/>
    <m/>
    <m/>
    <m/>
    <m/>
    <m/>
    <m/>
  </r>
  <r>
    <x v="192"/>
    <n v="2012"/>
    <x v="30"/>
    <s v="Africa"/>
    <m/>
    <s v="Oil, Gas"/>
    <s v="no"/>
    <s v="yes"/>
    <s v="yes"/>
    <s v="Total Oil &amp; Gas"/>
    <s v="Total"/>
    <s v="Total Oil, Gas"/>
    <m/>
    <m/>
    <m/>
    <m/>
    <m/>
    <m/>
    <m/>
    <m/>
    <m/>
    <n v="12501521631.413208"/>
    <m/>
    <m/>
    <m/>
    <n v="3182873000"/>
    <n v="3210427000"/>
    <m/>
    <m/>
    <m/>
    <n v="0.2545988475516639"/>
    <m/>
    <m/>
    <m/>
    <m/>
    <m/>
    <m/>
    <m/>
    <m/>
    <m/>
    <m/>
    <m/>
    <m/>
    <m/>
    <m/>
    <m/>
    <m/>
    <m/>
    <m/>
    <m/>
    <m/>
    <m/>
    <m/>
    <m/>
    <m/>
    <m/>
    <m/>
    <m/>
    <m/>
    <m/>
    <m/>
    <m/>
    <m/>
    <m/>
    <m/>
    <m/>
    <m/>
  </r>
  <r>
    <x v="192"/>
    <n v="2012"/>
    <x v="30"/>
    <s v="Africa"/>
    <m/>
    <s v="Gas"/>
    <s v="no"/>
    <s v="yes"/>
    <s v="no"/>
    <s v="Gas"/>
    <s v="detailed"/>
    <s v="detailed Gas"/>
    <n v="9486128000"/>
    <n v="62608444.799999997"/>
    <m/>
    <m/>
    <m/>
    <s v="m³"/>
    <n v="0.17241089108361263"/>
    <s v="US$/m³"/>
    <s v="Volume from EIA. Price from BPSR 2014, and is an average of the UK, US and Canada Indices for natural gas."/>
    <n v="1635511781.413208"/>
    <m/>
    <m/>
    <m/>
    <m/>
    <m/>
    <m/>
    <m/>
    <m/>
    <m/>
    <m/>
    <m/>
    <m/>
    <m/>
    <m/>
    <m/>
    <m/>
    <m/>
    <m/>
    <m/>
    <m/>
    <m/>
    <m/>
    <m/>
    <m/>
    <m/>
    <m/>
    <m/>
    <m/>
    <m/>
    <m/>
    <m/>
    <m/>
    <m/>
    <m/>
    <m/>
    <m/>
    <m/>
    <m/>
    <m/>
    <m/>
    <m/>
    <m/>
    <m/>
    <m/>
    <m/>
  </r>
  <r>
    <x v="192"/>
    <n v="2012"/>
    <x v="30"/>
    <s v="Africa"/>
    <m/>
    <s v="Oil"/>
    <s v="no"/>
    <s v="no"/>
    <s v="yes"/>
    <s v="Oil"/>
    <s v="detailed"/>
    <s v="detailed Oil"/>
    <n v="105485000"/>
    <n v="0.59352936246859744"/>
    <m/>
    <m/>
    <m/>
    <s v="bbl"/>
    <n v="103.01"/>
    <s v="US$/bbl"/>
    <s v="Volume from BPSR 2014. Price from EITI Report, and is basd on the value and volume of payments made in-kind."/>
    <n v="10866009850"/>
    <m/>
    <m/>
    <m/>
    <m/>
    <m/>
    <m/>
    <m/>
    <m/>
    <m/>
    <m/>
    <m/>
    <m/>
    <s v="54,922,000 bbl of oil (includes total govt in-kind receipts and SNPC receipts)"/>
    <s v="2,748,286,000 (commercialized value of the portion of Govt in-kind receipts that go to the Treasury only)"/>
    <m/>
    <m/>
    <m/>
    <m/>
    <m/>
    <m/>
    <m/>
    <m/>
    <m/>
    <m/>
    <s v="Export value reported as $10 billion, but this does not reflect total production value as some oil is refined and used domestically"/>
    <m/>
    <m/>
    <m/>
    <m/>
    <m/>
    <m/>
    <m/>
    <m/>
    <m/>
    <m/>
    <m/>
    <m/>
    <m/>
    <m/>
    <m/>
    <m/>
    <m/>
    <m/>
    <m/>
    <m/>
  </r>
  <r>
    <x v="192"/>
    <n v="2012"/>
    <x v="30"/>
    <s v="Africa"/>
    <m/>
    <s v="Mining"/>
    <s v="yes"/>
    <s v="no"/>
    <s v="no"/>
    <s v="Total Mining"/>
    <s v="Total"/>
    <s v="Total Mining"/>
    <m/>
    <m/>
    <m/>
    <m/>
    <m/>
    <m/>
    <m/>
    <m/>
    <m/>
    <n v="25292915.286923066"/>
    <m/>
    <m/>
    <m/>
    <n v="2803000"/>
    <n v="403000"/>
    <m/>
    <m/>
    <m/>
    <n v="0.11082154699063916"/>
    <m/>
    <m/>
    <m/>
    <m/>
    <m/>
    <m/>
    <m/>
    <m/>
    <m/>
    <m/>
    <m/>
    <m/>
    <m/>
    <m/>
    <m/>
    <m/>
    <m/>
    <m/>
    <m/>
    <m/>
    <m/>
    <m/>
    <m/>
    <m/>
    <m/>
    <m/>
    <m/>
    <m/>
    <m/>
    <m/>
    <m/>
    <m/>
    <m/>
    <m/>
    <m/>
    <m/>
  </r>
  <r>
    <x v="192"/>
    <n v="2012"/>
    <x v="30"/>
    <s v="Africa"/>
    <m/>
    <s v="Mining"/>
    <s v="yes"/>
    <s v="no"/>
    <s v="no"/>
    <s v="Cement"/>
    <s v="detailed"/>
    <s v="detailed Mining"/>
    <n v="150000"/>
    <m/>
    <m/>
    <m/>
    <m/>
    <s v="t"/>
    <n v="89.5"/>
    <s v="US$/t"/>
    <s v="Volume from USGS Mineral Yearbook 2012. Price from USGS Mineral Commodity Summary 2014, and is the average mill price for cement in the US."/>
    <n v="13425000"/>
    <m/>
    <m/>
    <m/>
    <m/>
    <m/>
    <m/>
    <m/>
    <m/>
    <m/>
    <m/>
    <m/>
    <m/>
    <m/>
    <m/>
    <m/>
    <m/>
    <m/>
    <m/>
    <m/>
    <m/>
    <m/>
    <m/>
    <m/>
    <m/>
    <m/>
    <m/>
    <m/>
    <m/>
    <m/>
    <m/>
    <m/>
    <m/>
    <m/>
    <m/>
    <m/>
    <m/>
    <m/>
    <m/>
    <m/>
    <m/>
    <m/>
    <m/>
    <m/>
    <m/>
    <m/>
  </r>
  <r>
    <x v="192"/>
    <n v="2012"/>
    <x v="30"/>
    <s v="Africa"/>
    <m/>
    <s v="Mining"/>
    <s v="yes"/>
    <s v="no"/>
    <s v="no"/>
    <s v="Diamond"/>
    <s v="detailed"/>
    <s v="detailed Mining"/>
    <n v="51588"/>
    <m/>
    <m/>
    <m/>
    <m/>
    <s v="carats"/>
    <n v="73.98"/>
    <s v="US$/carat"/>
    <s v="Volume from USGS Mineral Yearbook 2012. Price from kimberley Process Annual Summary 2012."/>
    <n v="3816480.24"/>
    <m/>
    <m/>
    <m/>
    <m/>
    <m/>
    <m/>
    <m/>
    <m/>
    <m/>
    <m/>
    <m/>
    <m/>
    <m/>
    <m/>
    <m/>
    <m/>
    <m/>
    <m/>
    <m/>
    <m/>
    <m/>
    <m/>
    <m/>
    <m/>
    <m/>
    <m/>
    <m/>
    <m/>
    <m/>
    <m/>
    <m/>
    <m/>
    <m/>
    <m/>
    <m/>
    <m/>
    <m/>
    <m/>
    <m/>
    <m/>
    <m/>
    <m/>
    <m/>
    <m/>
    <m/>
  </r>
  <r>
    <x v="192"/>
    <n v="2012"/>
    <x v="30"/>
    <s v="Africa"/>
    <m/>
    <s v="Mining"/>
    <s v="yes"/>
    <s v="no"/>
    <s v="no"/>
    <s v="Gold"/>
    <s v="detailed"/>
    <s v="detailed Mining"/>
    <n v="4822.6114689749993"/>
    <m/>
    <m/>
    <m/>
    <m/>
    <s v="toz"/>
    <n v="1669.51766666667"/>
    <s v="US$/toz"/>
    <s v="Volume from USGS Mineral Yearbook 2012. Price from World Bank (Global Economic Monitor (GEM) Commodities database), and is defined as: Gold (UK), 99.5% fine, London afternoon fixing, average of daily rates."/>
    <n v="8051435.0469230628"/>
    <m/>
    <m/>
    <m/>
    <m/>
    <m/>
    <m/>
    <m/>
    <m/>
    <m/>
    <m/>
    <m/>
    <m/>
    <m/>
    <m/>
    <m/>
    <m/>
    <m/>
    <m/>
    <m/>
    <m/>
    <m/>
    <m/>
    <m/>
    <m/>
    <m/>
    <m/>
    <m/>
    <m/>
    <m/>
    <m/>
    <m/>
    <m/>
    <m/>
    <m/>
    <m/>
    <m/>
    <m/>
    <m/>
    <m/>
    <m/>
    <m/>
    <m/>
    <m/>
    <m/>
    <m/>
  </r>
  <r>
    <x v="193"/>
    <n v="2013"/>
    <x v="30"/>
    <s v="Africa"/>
    <s v="http://www.itie-congo.org/"/>
    <s v="Oil, Gas"/>
    <m/>
    <m/>
    <m/>
    <s v="Total "/>
    <m/>
    <m/>
    <m/>
    <m/>
    <m/>
    <m/>
    <m/>
    <m/>
    <m/>
    <m/>
    <s v="Volume from EITI Report"/>
    <n v="9000000000"/>
    <m/>
    <s v="Also covers payments made in-kind"/>
    <s v="No"/>
    <n v="3041615000"/>
    <n v="3044743000"/>
    <m/>
    <n v="5153939000"/>
    <m/>
    <m/>
    <s v="Central African CFA Franc"/>
    <n v="493.887"/>
    <s v="Disaggregated by revenue stream, Disaggregated by companies"/>
    <m/>
    <m/>
    <m/>
    <m/>
    <n v="96"/>
    <s v="Congo Iron*, Magminerals Potasses Congo*, Core Mining Congo, Sintoukola Potash*, Dmc, Iron Congo*, Societe De Recherche Et D'exploitation Miniere (Soremi)*, Lulu B, African Iron, Macpela Mining, Afrimines, Managem, Agil Congo, Maud Congo, Alassane Geomines, Million Well Holding, Alector Congo, Mpd Congo*, Allante Resources Congo, Natural Resources Exploration, Alpha Minerals, Newco Mining, Amd, Niel Congo, Avima Gold, Nyanga Congo, China Development Resources, Nyive Congo, Cominco*, Oky Services International, Comisa, Sadem, Congo Gold, Potasses Du Congo, Congo Mining*, Sai Congo, Coredem, Saison Zhong, Corem, Sanu Resources, Distribution Internationale, Sino Congo Development, Eni Congo, Sino Congo Gold, Equamineral, Sino Congo Resources, Gan Congo, Societe Des Potasses Du Congo, Golden Lion, Societe Des Potasses Et Des Mines, Guided By Grace Ministries, Soneco, Kimin Congo, Srem, La Congolaise Des Mines, Yuan Wang, Luyan Des Mines, Zhong Jin Hui Da Beijing, Mac Congo C, African Minerals Compagny (Amc), Niall Mellon, Bikonga Mining, Oyabi Gold Mine, Dimension Finances, Panex, Equateur Mining Congo, Qatar Mining, First Republic Resources, Renaissance Copper, Gbgm, Societe Congolaise Des Mines Et Des Potasses (Socomip), Hind Metal Corp, Societe D'exploitation Miniere Du Congo (Emc), La Congolaise De Graphite, Transfrontiergroup Compagny Mayombe Gold Societe Nationale Des Petroles Du Congo (Snpc) B, Africa Oil And Gas Corporation (Aogc), Nuevo Congo Company, Cms Nomeco, Nuevo Congo Limited, Congorep, Pa Resources Congo, Eni Congo, Petro Kouilou (Ex Prestoil), Murphy West Africa, Total E&amp;P Congo C, China National Offshore Oil Corporation (Cnooc), Perenco Exploration &amp; Production Congo, Chevron Overseas Congo, Philia*, Dig Oil*, Pilatus, Maurel &amp; Prom Congo, Soco Exploration And Production Congo, Ophir Congo, Wing Wah"/>
    <n v="96"/>
    <s v="December 2014"/>
    <m/>
    <s v="Fair Links"/>
    <s v="https://eiti.org/files/Fair%20Links%20-%20Congo%20-%20ITIE%202013%20-%20Rapport%20ITIE%202013.pdf"/>
    <m/>
    <s v="Missing a Great Deal of Information and Clarification (Information on EITI website is innacurate). Payments from companies and government revenues unclear."/>
    <m/>
    <m/>
    <m/>
    <m/>
    <m/>
    <m/>
    <m/>
    <m/>
    <m/>
    <m/>
    <m/>
    <m/>
    <m/>
    <m/>
    <m/>
    <m/>
    <m/>
    <m/>
    <m/>
    <m/>
  </r>
  <r>
    <x v="193"/>
    <n v="2013"/>
    <x v="30"/>
    <s v="Africa"/>
    <m/>
    <s v="Oil"/>
    <m/>
    <m/>
    <m/>
    <s v="Oil"/>
    <m/>
    <m/>
    <m/>
    <m/>
    <m/>
    <n v="88384000"/>
    <m/>
    <s v="bbl"/>
    <m/>
    <m/>
    <m/>
    <m/>
    <m/>
    <m/>
    <m/>
    <m/>
    <m/>
    <m/>
    <n v="5149979000"/>
    <m/>
    <m/>
    <m/>
    <m/>
    <m/>
    <m/>
    <m/>
    <m/>
    <m/>
    <m/>
    <m/>
    <m/>
    <m/>
    <m/>
    <m/>
    <m/>
    <m/>
    <m/>
    <m/>
    <m/>
    <m/>
    <m/>
    <m/>
    <m/>
    <m/>
    <m/>
    <m/>
    <m/>
    <m/>
    <m/>
    <m/>
    <m/>
    <m/>
    <m/>
    <m/>
    <m/>
    <m/>
    <m/>
  </r>
  <r>
    <x v="193"/>
    <n v="2013"/>
    <x v="30"/>
    <s v="Africa"/>
    <m/>
    <s v="Gas"/>
    <m/>
    <m/>
    <m/>
    <s v="Gas"/>
    <m/>
    <m/>
    <m/>
    <m/>
    <m/>
    <n v="1500000"/>
    <m/>
    <s v="bbl"/>
    <m/>
    <m/>
    <m/>
    <m/>
    <m/>
    <m/>
    <m/>
    <m/>
    <m/>
    <m/>
    <n v="3960000"/>
    <m/>
    <m/>
    <m/>
    <m/>
    <m/>
    <m/>
    <m/>
    <m/>
    <m/>
    <m/>
    <m/>
    <m/>
    <m/>
    <m/>
    <m/>
    <m/>
    <m/>
    <m/>
    <m/>
    <m/>
    <m/>
    <m/>
    <m/>
    <m/>
    <m/>
    <m/>
    <m/>
    <m/>
    <m/>
    <m/>
    <m/>
    <m/>
    <m/>
    <m/>
    <m/>
    <m/>
    <m/>
    <m/>
  </r>
  <r>
    <x v="194"/>
    <n v="2006"/>
    <x v="31"/>
    <s v="Africa"/>
    <s v="http://www.sleiti.gov.sl"/>
    <s v="Mining"/>
    <s v="yes"/>
    <s v="no"/>
    <s v="no"/>
    <s v="Total"/>
    <s v="Total"/>
    <s v="Total Mining"/>
    <m/>
    <m/>
    <m/>
    <m/>
    <m/>
    <m/>
    <m/>
    <m/>
    <m/>
    <n v="192970526.33591437"/>
    <s v="Profits/Taxes, Royalties, Licenses and concessions, Other significant benefits to government"/>
    <s v="Does not include payments made in-kind"/>
    <s v="-"/>
    <n v="7255694.5761567"/>
    <n v="7650039.54407294"/>
    <m/>
    <m/>
    <m/>
    <n v="3.7600014437056128E-2"/>
    <s v="United States Dollar and the Sierra Leone Leone"/>
    <n v="2961"/>
    <s v="Disaggregated by revenue stream, Disaggregated by company, Disaggregated by company and revenue stream"/>
    <m/>
    <m/>
    <m/>
    <m/>
    <n v="9"/>
    <s v="African Minerals, Andre Hope, Cluff Gold, Hisham Mackie (H.M. Diamonds), Kassim Basma, Koidu Holdings SA, London Mining Co, Sierra Minerals, Sierra Rutile"/>
    <n v="9"/>
    <s v="February 2010"/>
    <d v="2014-09-15T00:00:00"/>
    <s v="Verdi Consulting"/>
    <s v="http://eiti.org/files/Sierra%20Leone%202006-2007%20EITI%20Report.pdf"/>
    <n v="23"/>
    <s v="The report uses both US dollars and the local currency, the Sierra Leone Leone. Materiality threshold: not given. Unilateral declarations are included in the figures. "/>
    <m/>
    <m/>
    <m/>
    <m/>
    <m/>
    <m/>
    <m/>
    <m/>
    <m/>
    <m/>
    <m/>
    <m/>
    <m/>
    <m/>
    <m/>
    <m/>
    <m/>
    <m/>
    <m/>
    <m/>
  </r>
  <r>
    <x v="194"/>
    <n v="2006"/>
    <x v="31"/>
    <s v="Africa"/>
    <m/>
    <s v="Mining"/>
    <s v="yes"/>
    <s v="no"/>
    <s v="no"/>
    <s v="Bauxite"/>
    <s v="detailed"/>
    <s v="detailed Mining"/>
    <n v="1072000"/>
    <m/>
    <m/>
    <m/>
    <m/>
    <s v="t"/>
    <n v="28.1"/>
    <s v="US$/t"/>
    <s v="Volume from USGS Mineral Yearbook 2010. Price from USGS Mineral Yearbook 2007, and is the average f.a.s. price of US imports of crude and dried bauxite."/>
    <n v="30123200"/>
    <m/>
    <m/>
    <m/>
    <n v="771204.04154002026"/>
    <n v="791668.04154002026"/>
    <m/>
    <m/>
    <m/>
    <n v="2.560166388497969E-2"/>
    <m/>
    <m/>
    <m/>
    <m/>
    <m/>
    <m/>
    <m/>
    <n v="1"/>
    <s v="Sierra Minerals"/>
    <n v="1"/>
    <m/>
    <m/>
    <m/>
    <m/>
    <n v="23"/>
    <m/>
    <m/>
    <m/>
    <m/>
    <m/>
    <m/>
    <m/>
    <m/>
    <m/>
    <m/>
    <m/>
    <m/>
    <m/>
    <m/>
    <m/>
    <m/>
    <m/>
    <m/>
    <m/>
    <m/>
    <m/>
  </r>
  <r>
    <x v="194"/>
    <n v="2006"/>
    <x v="31"/>
    <s v="Africa"/>
    <m/>
    <s v="Mining"/>
    <s v="yes"/>
    <s v="no"/>
    <s v="no"/>
    <s v="Diamond"/>
    <s v="detailed"/>
    <s v="detailed Mining"/>
    <n v="603566"/>
    <m/>
    <m/>
    <m/>
    <m/>
    <s v="carats"/>
    <n v="207.61"/>
    <s v="US$/carat"/>
    <s v="Volume from USGS Mineral Yearbook 2010. Price from kimberley Process Annual Summary 2006."/>
    <n v="125306337.26000001"/>
    <m/>
    <m/>
    <m/>
    <n v="4401772.398176292"/>
    <n v="4672725.0097939884"/>
    <m/>
    <m/>
    <m/>
    <n v="3.5128090840633126E-2"/>
    <m/>
    <m/>
    <m/>
    <m/>
    <m/>
    <m/>
    <m/>
    <n v="4"/>
    <s v="Andre Hope, Hisham Mackie (H.M. Diamonds), Kassim Basma, Koidu Holdings SA"/>
    <n v="4"/>
    <m/>
    <m/>
    <m/>
    <m/>
    <n v="23"/>
    <m/>
    <m/>
    <m/>
    <m/>
    <m/>
    <m/>
    <m/>
    <m/>
    <m/>
    <m/>
    <m/>
    <m/>
    <m/>
    <m/>
    <m/>
    <m/>
    <m/>
    <m/>
    <m/>
    <m/>
    <m/>
  </r>
  <r>
    <x v="194"/>
    <n v="2006"/>
    <x v="31"/>
    <s v="Africa"/>
    <m/>
    <s v="Mining"/>
    <s v="yes"/>
    <s v="no"/>
    <s v="no"/>
    <s v="Gold"/>
    <s v="detailed"/>
    <s v="detailed Mining"/>
    <n v="2282.7027619814999"/>
    <m/>
    <m/>
    <m/>
    <m/>
    <s v="toz"/>
    <n v="604.33583333333002"/>
    <s v="US$/toz"/>
    <s v="Volume from USGS Mineral Yearbook 2010. Price from World Bank (Global Economic Monitor (GEM) Commodities database), and is defined as: Gold (UK), 99.5% fine, London afternoon fixing, average of daily rates."/>
    <n v="1379519.0759143839"/>
    <m/>
    <m/>
    <m/>
    <n v="32574.198243836541"/>
    <n v="33784.6106045255"/>
    <m/>
    <m/>
    <m/>
    <n v="2.3612720412905817E-2"/>
    <m/>
    <m/>
    <m/>
    <m/>
    <m/>
    <m/>
    <m/>
    <n v="1"/>
    <s v="Cluff Gold"/>
    <n v="1"/>
    <m/>
    <m/>
    <m/>
    <m/>
    <n v="23"/>
    <m/>
    <m/>
    <m/>
    <m/>
    <m/>
    <m/>
    <m/>
    <m/>
    <m/>
    <m/>
    <m/>
    <m/>
    <m/>
    <m/>
    <m/>
    <m/>
    <m/>
    <m/>
    <m/>
    <m/>
    <m/>
  </r>
  <r>
    <x v="194"/>
    <n v="2006"/>
    <x v="31"/>
    <s v="Africa"/>
    <m/>
    <s v="Mining"/>
    <s v="yes"/>
    <s v="no"/>
    <s v="no"/>
    <s v="Iron ore"/>
    <s v="detailed"/>
    <s v="detailed Mining"/>
    <n v="0"/>
    <m/>
    <m/>
    <m/>
    <m/>
    <s v="t"/>
    <m/>
    <m/>
    <s v="Volume from USGS Mineral Yearbook 2010"/>
    <n v="0"/>
    <m/>
    <m/>
    <m/>
    <n v="1413430.3887200269"/>
    <n v="1531054.7706855792"/>
    <m/>
    <m/>
    <m/>
    <m/>
    <m/>
    <m/>
    <m/>
    <m/>
    <m/>
    <m/>
    <m/>
    <n v="2"/>
    <s v="African Minerals, London Mining Co"/>
    <n v="2"/>
    <m/>
    <m/>
    <m/>
    <m/>
    <n v="23"/>
    <m/>
    <m/>
    <m/>
    <m/>
    <m/>
    <m/>
    <m/>
    <m/>
    <m/>
    <m/>
    <m/>
    <m/>
    <m/>
    <m/>
    <m/>
    <m/>
    <m/>
    <m/>
    <m/>
    <m/>
    <m/>
  </r>
  <r>
    <x v="194"/>
    <n v="2006"/>
    <x v="31"/>
    <s v="Africa"/>
    <m/>
    <s v="Mining"/>
    <s v="yes"/>
    <s v="no"/>
    <s v="no"/>
    <s v="Titanium minerals &amp; Zircon"/>
    <s v="detailed"/>
    <s v="detailed Mining"/>
    <m/>
    <m/>
    <m/>
    <m/>
    <m/>
    <m/>
    <m/>
    <m/>
    <m/>
    <n v="36161470"/>
    <m/>
    <m/>
    <m/>
    <n v="636712.54981425195"/>
    <n v="645807.11144883488"/>
    <m/>
    <m/>
    <m/>
    <n v="1.7607485254726978E-2"/>
    <m/>
    <m/>
    <m/>
    <m/>
    <m/>
    <m/>
    <m/>
    <n v="1"/>
    <s v="Sierra Rutile"/>
    <n v="1"/>
    <m/>
    <m/>
    <m/>
    <m/>
    <n v="23"/>
    <m/>
    <m/>
    <m/>
    <m/>
    <m/>
    <m/>
    <m/>
    <m/>
    <m/>
    <m/>
    <m/>
    <m/>
    <m/>
    <m/>
    <m/>
    <m/>
    <m/>
    <m/>
    <m/>
    <m/>
    <m/>
  </r>
  <r>
    <x v="194"/>
    <n v="2006"/>
    <x v="31"/>
    <s v="Africa"/>
    <m/>
    <s v="Mining"/>
    <s v="yes"/>
    <s v="no"/>
    <s v="no"/>
    <s v="o/w Ilmenite concentrate"/>
    <s v="detailed"/>
    <s v="detailed Mining"/>
    <n v="13819"/>
    <m/>
    <m/>
    <m/>
    <m/>
    <s v="t"/>
    <n v="80"/>
    <s v="US$/t"/>
    <s v="Volume from USGS Mineral Yearbook 2010. Price from USGS Mineral Commodity Summary 2009, and is the f.o.b. price in Australia for a bulk product with a minimum TiO2 content of 54%."/>
    <n v="1105520"/>
    <m/>
    <m/>
    <m/>
    <m/>
    <m/>
    <m/>
    <m/>
    <m/>
    <m/>
    <m/>
    <m/>
    <m/>
    <m/>
    <m/>
    <m/>
    <m/>
    <m/>
    <m/>
    <m/>
    <m/>
    <m/>
    <m/>
    <m/>
    <m/>
    <m/>
    <m/>
    <m/>
    <m/>
    <m/>
    <m/>
    <m/>
    <m/>
    <m/>
    <m/>
    <m/>
    <m/>
    <m/>
    <m/>
    <m/>
    <m/>
    <m/>
    <m/>
    <m/>
    <m/>
    <m/>
  </r>
  <r>
    <x v="194"/>
    <n v="2006"/>
    <x v="31"/>
    <s v="Africa"/>
    <m/>
    <s v="Mining"/>
    <s v="yes"/>
    <s v="no"/>
    <s v="no"/>
    <s v="o/w Rutile concentrate"/>
    <s v="detailed"/>
    <s v="detailed Mining"/>
    <n v="73802"/>
    <m/>
    <m/>
    <m/>
    <m/>
    <s v="t"/>
    <n v="475"/>
    <s v="US$/t"/>
    <s v="Volume from USGS Mineral Yearbook 2010. Price from USGS Mineral Commodity Summary 2009, and is the f.o.b. price in Australia for a bulk product with a minimum TiO2 content of 95%."/>
    <n v="35055950"/>
    <m/>
    <m/>
    <m/>
    <m/>
    <m/>
    <m/>
    <m/>
    <m/>
    <m/>
    <m/>
    <m/>
    <m/>
    <m/>
    <m/>
    <m/>
    <m/>
    <m/>
    <m/>
    <m/>
    <m/>
    <m/>
    <m/>
    <m/>
    <m/>
    <m/>
    <m/>
    <m/>
    <m/>
    <m/>
    <m/>
    <m/>
    <m/>
    <m/>
    <m/>
    <m/>
    <m/>
    <m/>
    <m/>
    <m/>
    <m/>
    <m/>
    <m/>
    <m/>
    <m/>
    <m/>
  </r>
  <r>
    <x v="194"/>
    <n v="2006"/>
    <x v="31"/>
    <s v="Africa"/>
    <m/>
    <s v="Mining"/>
    <s v="yes"/>
    <s v="no"/>
    <s v="no"/>
    <s v="o/w Zirconconium concentrate"/>
    <s v="detailed"/>
    <s v="detailed Mining"/>
    <m/>
    <m/>
    <m/>
    <m/>
    <m/>
    <m/>
    <m/>
    <m/>
    <m/>
    <m/>
    <m/>
    <m/>
    <m/>
    <m/>
    <m/>
    <m/>
    <m/>
    <m/>
    <m/>
    <m/>
    <m/>
    <m/>
    <m/>
    <m/>
    <m/>
    <m/>
    <m/>
    <m/>
    <m/>
    <m/>
    <m/>
    <m/>
    <m/>
    <m/>
    <s v="The USGS Mineral Yearbook 2010 indicates that there was insufficent data to estimate production volumes. "/>
    <m/>
    <m/>
    <m/>
    <m/>
    <m/>
    <m/>
    <m/>
    <m/>
    <m/>
    <m/>
    <m/>
    <m/>
    <m/>
    <m/>
    <m/>
    <m/>
    <m/>
    <m/>
    <m/>
    <m/>
  </r>
  <r>
    <x v="195"/>
    <n v="2007"/>
    <x v="31"/>
    <s v="Africa"/>
    <s v="http://www.sleiti.gov.sl"/>
    <s v="Mining"/>
    <s v="yes"/>
    <s v="no"/>
    <s v="no"/>
    <s v="Total"/>
    <s v="Total"/>
    <s v="Total Mining"/>
    <m/>
    <m/>
    <m/>
    <m/>
    <m/>
    <m/>
    <m/>
    <m/>
    <m/>
    <n v="233476345.83322155"/>
    <s v="Profits/Taxes, Royalties, Licenses and concessions, Other significant benefits to government"/>
    <s v="Does not include payments made in-kind"/>
    <s v="-"/>
    <n v="10201528.665884711"/>
    <n v="10475495.659182299"/>
    <m/>
    <m/>
    <m/>
    <n v="4.3694056584095836E-2"/>
    <s v="United States Dollar and the Sierra Leone Leone"/>
    <n v="2984"/>
    <s v="Disaggregated by revenue stream, Disaggregated by company, Disaggregated by company and revenue stream"/>
    <m/>
    <m/>
    <m/>
    <m/>
    <n v="9"/>
    <s v="African Minerals, Andre Hope, Cluff Gold, Hisham Mackie (H.M. Diamonds), Kassim Basma, Koidu Holdings SA, London Mining Co, Sierra Minerals, Sierra Rutile"/>
    <n v="9"/>
    <s v="February 2010"/>
    <d v="2014-09-15T00:00:00"/>
    <s v="Verdi Consulting"/>
    <s v="http://eiti.org/files/Sierra%20Leone%202006-2007%20EITI%20Report_0.pdf"/>
    <n v="23"/>
    <s v="The report uses both US dollars and the local currency, the Sierra Leone Leone. Materiality threshold: not given. Unilateral declarations are included in the figures. "/>
    <m/>
    <m/>
    <m/>
    <m/>
    <m/>
    <m/>
    <m/>
    <m/>
    <m/>
    <m/>
    <m/>
    <m/>
    <m/>
    <m/>
    <m/>
    <m/>
    <m/>
    <m/>
    <m/>
    <m/>
  </r>
  <r>
    <x v="195"/>
    <n v="2007"/>
    <x v="31"/>
    <s v="Africa"/>
    <m/>
    <s v="Mining"/>
    <s v="yes"/>
    <s v="no"/>
    <s v="no"/>
    <s v="Bauxite"/>
    <s v="detailed"/>
    <s v="detailed Mining"/>
    <n v="1169000"/>
    <m/>
    <m/>
    <m/>
    <m/>
    <s v="t"/>
    <n v="31.2"/>
    <s v="US$/t"/>
    <s v="Volume from USGS Mineral Yearbook 2010. Price from USGS Mineral Yearbook 2007, and is the average f.a.s. price of US imports of crude and dried bauxite."/>
    <n v="36472800"/>
    <m/>
    <m/>
    <m/>
    <n v="2004501.7158176943"/>
    <n v="2025451.6940348526"/>
    <m/>
    <m/>
    <m/>
    <n v="5.4958810834860344E-2"/>
    <m/>
    <m/>
    <m/>
    <m/>
    <m/>
    <m/>
    <m/>
    <n v="1"/>
    <s v="Sierra Minerals"/>
    <n v="1"/>
    <m/>
    <m/>
    <m/>
    <m/>
    <n v="23"/>
    <m/>
    <m/>
    <m/>
    <m/>
    <m/>
    <m/>
    <m/>
    <m/>
    <m/>
    <m/>
    <m/>
    <m/>
    <m/>
    <m/>
    <m/>
    <m/>
    <m/>
    <m/>
    <m/>
    <m/>
    <m/>
  </r>
  <r>
    <x v="195"/>
    <n v="2007"/>
    <x v="31"/>
    <s v="Africa"/>
    <m/>
    <s v="Mining"/>
    <s v="yes"/>
    <s v="no"/>
    <s v="no"/>
    <s v="Diamond"/>
    <s v="detailed"/>
    <s v="detailed Mining"/>
    <n v="603623"/>
    <m/>
    <m/>
    <m/>
    <m/>
    <s v="carats"/>
    <n v="234.53"/>
    <s v="US$/carat"/>
    <s v="Volume from USGS Mineral Yearbook 2010. Price from Kimberly Process Annual Summary 2007."/>
    <n v="141567702.19"/>
    <m/>
    <m/>
    <m/>
    <n v="5413394.8498659516"/>
    <n v="5441141.6286863275"/>
    <m/>
    <m/>
    <m/>
    <n v="3.823891160287788E-2"/>
    <m/>
    <m/>
    <m/>
    <m/>
    <m/>
    <m/>
    <m/>
    <n v="4"/>
    <s v="Andre Hope, Hisham Mackie (H.M. Diamonds), Kassim Basma, Koidu Holdings SA"/>
    <n v="4"/>
    <m/>
    <m/>
    <m/>
    <m/>
    <n v="23"/>
    <m/>
    <m/>
    <m/>
    <m/>
    <m/>
    <m/>
    <m/>
    <m/>
    <m/>
    <m/>
    <m/>
    <m/>
    <m/>
    <m/>
    <m/>
    <m/>
    <m/>
    <m/>
    <m/>
    <m/>
    <m/>
  </r>
  <r>
    <x v="195"/>
    <n v="2007"/>
    <x v="31"/>
    <s v="Africa"/>
    <m/>
    <s v="Mining"/>
    <s v="yes"/>
    <s v="no"/>
    <s v="no"/>
    <s v="Gold"/>
    <s v="detailed"/>
    <s v="detailed Mining"/>
    <n v="6815.9575428179996"/>
    <m/>
    <m/>
    <m/>
    <m/>
    <s v="toz"/>
    <n v="696.72024999999996"/>
    <s v="US$/toz"/>
    <s v="Volume from USGS Mineral Yearbook 2010. Price from World Bank (Global Economic Monitor (GEM) Commodities database), and is defined as: Gold (UK), 99.5% fine, London afternoon fixing, average of daily rates."/>
    <n v="4748815.6432215422"/>
    <m/>
    <m/>
    <m/>
    <n v="48410.447050938339"/>
    <n v="88837.704758713138"/>
    <m/>
    <m/>
    <m/>
    <n v="1.0194214871246769E-2"/>
    <m/>
    <m/>
    <m/>
    <m/>
    <m/>
    <m/>
    <m/>
    <n v="1"/>
    <s v="Cluff Gold"/>
    <n v="1"/>
    <m/>
    <m/>
    <m/>
    <m/>
    <n v="23"/>
    <m/>
    <m/>
    <m/>
    <m/>
    <m/>
    <m/>
    <m/>
    <m/>
    <m/>
    <m/>
    <m/>
    <m/>
    <m/>
    <m/>
    <m/>
    <m/>
    <m/>
    <m/>
    <m/>
    <m/>
    <m/>
  </r>
  <r>
    <x v="195"/>
    <n v="2007"/>
    <x v="31"/>
    <s v="Africa"/>
    <m/>
    <s v="Mining"/>
    <s v="yes"/>
    <s v="no"/>
    <s v="no"/>
    <s v="Iron ore"/>
    <s v="detailed"/>
    <s v="detailed Mining"/>
    <n v="0"/>
    <m/>
    <m/>
    <m/>
    <m/>
    <s v="t"/>
    <m/>
    <m/>
    <s v="Volume from USGS Mineral Yearbook 2010"/>
    <n v="0"/>
    <m/>
    <m/>
    <m/>
    <n v="1998232.1993967828"/>
    <n v="2142651.2784852549"/>
    <m/>
    <m/>
    <m/>
    <m/>
    <m/>
    <m/>
    <m/>
    <m/>
    <m/>
    <m/>
    <m/>
    <n v="2"/>
    <s v="African Minerals, London Mining Co"/>
    <n v="2"/>
    <m/>
    <m/>
    <m/>
    <m/>
    <n v="23"/>
    <m/>
    <m/>
    <m/>
    <m/>
    <m/>
    <m/>
    <m/>
    <m/>
    <m/>
    <m/>
    <m/>
    <m/>
    <m/>
    <m/>
    <m/>
    <m/>
    <m/>
    <m/>
    <m/>
    <m/>
    <m/>
  </r>
  <r>
    <x v="195"/>
    <n v="2007"/>
    <x v="31"/>
    <s v="Africa"/>
    <m/>
    <s v="Mining"/>
    <s v="yes"/>
    <s v="no"/>
    <s v="no"/>
    <s v="Titanium minerals &amp; Zircon"/>
    <s v="detailed"/>
    <s v="detailed Mining"/>
    <m/>
    <m/>
    <m/>
    <m/>
    <m/>
    <m/>
    <m/>
    <m/>
    <m/>
    <n v="50687028"/>
    <m/>
    <m/>
    <m/>
    <n v="736989.45408847183"/>
    <n v="777415.35321715823"/>
    <m/>
    <m/>
    <m/>
    <n v="1.4540001321215201E-2"/>
    <m/>
    <m/>
    <m/>
    <m/>
    <m/>
    <m/>
    <m/>
    <n v="1"/>
    <s v="Sierra Rutile"/>
    <n v="1"/>
    <m/>
    <m/>
    <m/>
    <m/>
    <n v="23"/>
    <m/>
    <m/>
    <m/>
    <m/>
    <m/>
    <m/>
    <m/>
    <m/>
    <m/>
    <m/>
    <m/>
    <m/>
    <m/>
    <m/>
    <m/>
    <m/>
    <m/>
    <m/>
    <m/>
    <m/>
    <m/>
  </r>
  <r>
    <x v="195"/>
    <n v="2007"/>
    <x v="31"/>
    <s v="Africa"/>
    <m/>
    <s v="Mining"/>
    <s v="yes"/>
    <s v="no"/>
    <s v="no"/>
    <s v="o/w Ilmenite concentrate"/>
    <s v="detailed"/>
    <s v="detailed Mining"/>
    <n v="15570"/>
    <m/>
    <m/>
    <m/>
    <m/>
    <s v="t"/>
    <n v="107"/>
    <s v="US$/t"/>
    <s v="Volume from USGS Mineral Yearbook 2010. Price from USGS Mineral Commodity Summary 2009, and is the f.o.b. price in Australia for a bulk product with a minimum TiO2 content of 54%."/>
    <n v="1665990"/>
    <m/>
    <m/>
    <m/>
    <m/>
    <m/>
    <m/>
    <m/>
    <m/>
    <m/>
    <m/>
    <m/>
    <m/>
    <m/>
    <m/>
    <m/>
    <m/>
    <m/>
    <m/>
    <m/>
    <m/>
    <m/>
    <m/>
    <m/>
    <m/>
    <m/>
    <m/>
    <m/>
    <m/>
    <m/>
    <m/>
    <m/>
    <m/>
    <m/>
    <m/>
    <m/>
    <m/>
    <m/>
    <m/>
    <m/>
    <m/>
    <m/>
    <m/>
    <m/>
    <m/>
    <m/>
  </r>
  <r>
    <x v="195"/>
    <n v="2007"/>
    <x v="31"/>
    <s v="Africa"/>
    <m/>
    <s v="Mining"/>
    <s v="yes"/>
    <s v="no"/>
    <s v="no"/>
    <s v="o/w Rutile concentrate"/>
    <s v="detailed"/>
    <s v="detailed Mining"/>
    <n v="82527"/>
    <m/>
    <m/>
    <m/>
    <m/>
    <s v="t"/>
    <n v="594"/>
    <s v="US$/t"/>
    <s v="Volume from USGS Mineral Yearbook 2010. Price from USGS Mineral Commodity Summary 2009, and is the f.o.b. price in Australia for a bulk product with a minimum TiO2 content of 95%."/>
    <n v="49021038"/>
    <m/>
    <m/>
    <m/>
    <m/>
    <m/>
    <m/>
    <m/>
    <m/>
    <m/>
    <m/>
    <m/>
    <m/>
    <m/>
    <m/>
    <m/>
    <m/>
    <m/>
    <m/>
    <m/>
    <m/>
    <m/>
    <m/>
    <m/>
    <m/>
    <m/>
    <m/>
    <m/>
    <m/>
    <m/>
    <m/>
    <m/>
    <m/>
    <m/>
    <m/>
    <m/>
    <m/>
    <m/>
    <m/>
    <m/>
    <m/>
    <m/>
    <m/>
    <m/>
    <m/>
    <m/>
  </r>
  <r>
    <x v="195"/>
    <n v="2007"/>
    <x v="31"/>
    <s v="Africa"/>
    <m/>
    <s v="Mining"/>
    <s v="yes"/>
    <s v="no"/>
    <s v="no"/>
    <s v="o/w Zirconconium concentrate"/>
    <s v="detailed"/>
    <s v="detailed Mining"/>
    <m/>
    <m/>
    <m/>
    <m/>
    <m/>
    <m/>
    <m/>
    <m/>
    <m/>
    <m/>
    <m/>
    <m/>
    <m/>
    <m/>
    <m/>
    <m/>
    <m/>
    <m/>
    <m/>
    <m/>
    <m/>
    <m/>
    <m/>
    <m/>
    <m/>
    <m/>
    <m/>
    <m/>
    <m/>
    <m/>
    <m/>
    <m/>
    <m/>
    <m/>
    <s v="The USGS Mineral Yearbook 2010 indicates that there was insufficent data to estimate production volumes. "/>
    <m/>
    <m/>
    <m/>
    <m/>
    <m/>
    <m/>
    <m/>
    <m/>
    <m/>
    <m/>
    <m/>
    <m/>
    <m/>
    <m/>
    <m/>
    <m/>
    <m/>
    <m/>
    <m/>
    <m/>
  </r>
  <r>
    <x v="196"/>
    <n v="2008"/>
    <x v="31"/>
    <s v="Africa"/>
    <s v="http://www.sleiti.gov.sl"/>
    <s v="Oil, Gas, Mining"/>
    <s v="yes"/>
    <s v="yes"/>
    <s v="yes"/>
    <s v="Total"/>
    <s v="Total"/>
    <s v="Total Oil, Gas, Mining"/>
    <m/>
    <m/>
    <m/>
    <m/>
    <m/>
    <m/>
    <m/>
    <m/>
    <m/>
    <n v="172713489.90236521"/>
    <s v="Profits/Taxes, Royalties, Licenses and concessions, Other significant benefits to government"/>
    <s v="Does not include payments made in-kind"/>
    <s v="-"/>
    <n v="4427564.2110363245"/>
    <n v="7476297.1408309368"/>
    <m/>
    <m/>
    <m/>
    <n v="2.5635312062417492E-2"/>
    <s v="United States Dollar and the Sierra Leone Leone"/>
    <n v="4359.0600000000004"/>
    <s v="Disaggregated by revenue stream, Disaggregated by commodity, Disaggregated by company, Disaggregated by company and revenue stream, Disaggregated by commodity and revenue stream"/>
    <m/>
    <m/>
    <m/>
    <m/>
    <n v="12"/>
    <s v="African Minerals Ltd, Cluff Gold Resources, Koidu Holdings SA, London Mining Co Ltd, Nimini Mining Ltd, Sierra Minerals Ltd, Sierra Rutile Ltd, HM Diamonds, Kassim Basma, Anardako Petroleum, Prontinal Ltd, Oranto Ltd"/>
    <n v="12"/>
    <s v="September 2012"/>
    <d v="2014-09-16T00:00:00"/>
    <s v="Boas &amp; Associates"/>
    <s v="http://eiti.org/files/Sierra-Leone-2008-2010-EITI-Report_1.pdf"/>
    <s v="23-29"/>
    <s v="The report uses both US dollars and the local currency, the Sierra Leone Leone. Materiality threshold: all active oil &amp; gas companies should be reconciled; all mining entities that have made a payment of at least $4,000 in 2008 should be reconciled. The report doesn't distinguish between oil and gas producers. Resolved discrepancies do not appear to be included in the final figures, but there is insufficent information to add these retrospectively. Unilateral declarations do not appear to be included in the figures. "/>
    <m/>
    <m/>
    <m/>
    <m/>
    <m/>
    <m/>
    <m/>
    <m/>
    <m/>
    <m/>
    <m/>
    <m/>
    <m/>
    <m/>
    <m/>
    <m/>
    <m/>
    <m/>
    <m/>
    <m/>
  </r>
  <r>
    <x v="196"/>
    <n v="2008"/>
    <x v="31"/>
    <s v="Africa"/>
    <m/>
    <s v="Oil, Gas"/>
    <s v="no"/>
    <s v="yes"/>
    <s v="yes"/>
    <s v="Total Oil &amp; Gas"/>
    <s v="Total"/>
    <s v="Total Oil, Gas"/>
    <m/>
    <m/>
    <m/>
    <m/>
    <m/>
    <m/>
    <m/>
    <m/>
    <m/>
    <n v="0"/>
    <m/>
    <m/>
    <m/>
    <n v="1072246"/>
    <n v="726850"/>
    <s v="100% of production value  &amp; revenue"/>
    <n v="1072246"/>
    <s v="Inferred from EITI Report"/>
    <s v="-"/>
    <m/>
    <m/>
    <m/>
    <m/>
    <m/>
    <m/>
    <m/>
    <n v="3"/>
    <s v="Anardako Petroleum, Prontinal Ltd, Oranto Ltd"/>
    <n v="3"/>
    <m/>
    <m/>
    <m/>
    <m/>
    <s v="23-29"/>
    <m/>
    <m/>
    <m/>
    <m/>
    <m/>
    <m/>
    <m/>
    <m/>
    <m/>
    <m/>
    <m/>
    <m/>
    <m/>
    <m/>
    <m/>
    <m/>
    <m/>
    <m/>
    <m/>
    <m/>
    <m/>
  </r>
  <r>
    <x v="196"/>
    <n v="2008"/>
    <x v="31"/>
    <s v="Africa"/>
    <m/>
    <s v="Gas"/>
    <s v="no"/>
    <s v="yes"/>
    <s v="no"/>
    <s v="Gas"/>
    <s v="detailed"/>
    <s v="detailed Gas"/>
    <n v="0"/>
    <m/>
    <m/>
    <m/>
    <m/>
    <s v="cbf"/>
    <m/>
    <m/>
    <s v="Volume from EIA"/>
    <n v="0"/>
    <m/>
    <m/>
    <m/>
    <m/>
    <m/>
    <m/>
    <m/>
    <m/>
    <m/>
    <m/>
    <m/>
    <m/>
    <m/>
    <m/>
    <m/>
    <m/>
    <m/>
    <m/>
    <m/>
    <m/>
    <m/>
    <m/>
    <m/>
    <m/>
    <m/>
    <m/>
    <m/>
    <m/>
    <m/>
    <m/>
    <m/>
    <m/>
    <m/>
    <m/>
    <m/>
    <m/>
    <m/>
    <m/>
    <m/>
    <m/>
    <m/>
    <m/>
    <m/>
    <m/>
    <m/>
  </r>
  <r>
    <x v="196"/>
    <n v="2008"/>
    <x v="31"/>
    <s v="Africa"/>
    <m/>
    <s v="Oil"/>
    <s v="no"/>
    <s v="no"/>
    <s v="yes"/>
    <s v="Oil"/>
    <s v="detailed"/>
    <s v="detailed Oil"/>
    <n v="0"/>
    <m/>
    <m/>
    <m/>
    <m/>
    <s v="bbl"/>
    <m/>
    <m/>
    <s v="Volume from EIA"/>
    <n v="0"/>
    <m/>
    <m/>
    <m/>
    <m/>
    <m/>
    <m/>
    <m/>
    <m/>
    <m/>
    <m/>
    <m/>
    <m/>
    <m/>
    <m/>
    <m/>
    <m/>
    <m/>
    <m/>
    <m/>
    <m/>
    <m/>
    <m/>
    <m/>
    <m/>
    <m/>
    <m/>
    <m/>
    <m/>
    <m/>
    <m/>
    <m/>
    <m/>
    <m/>
    <m/>
    <m/>
    <m/>
    <m/>
    <m/>
    <m/>
    <m/>
    <m/>
    <m/>
    <m/>
    <m/>
    <m/>
  </r>
  <r>
    <x v="196"/>
    <n v="2008"/>
    <x v="31"/>
    <s v="Africa"/>
    <m/>
    <s v="Mining"/>
    <s v="yes"/>
    <s v="no"/>
    <s v="no"/>
    <s v="Total Mining"/>
    <s v="Total"/>
    <s v="Total Mining"/>
    <m/>
    <m/>
    <m/>
    <m/>
    <m/>
    <m/>
    <m/>
    <m/>
    <m/>
    <n v="172713489.90236521"/>
    <m/>
    <m/>
    <m/>
    <n v="3355318.2110363245"/>
    <n v="6749447.1408309368"/>
    <m/>
    <m/>
    <m/>
    <n v="1.9427076674399222E-2"/>
    <m/>
    <m/>
    <m/>
    <m/>
    <m/>
    <m/>
    <m/>
    <n v="9"/>
    <s v="African Minerals Ltd, Cluff Gold Resources, Koidu Holdings SA, London Mining Co Ltd, Nimini Mining Ltd, Sierra Minerals Ltd, Sierra Rutile Ltd, HM Diamonds, Kassim Basma"/>
    <n v="9"/>
    <m/>
    <m/>
    <m/>
    <m/>
    <s v="23-29"/>
    <m/>
    <m/>
    <m/>
    <m/>
    <m/>
    <m/>
    <m/>
    <m/>
    <m/>
    <m/>
    <m/>
    <m/>
    <m/>
    <m/>
    <m/>
    <m/>
    <m/>
    <m/>
    <m/>
    <m/>
    <m/>
  </r>
  <r>
    <x v="196"/>
    <n v="2008"/>
    <x v="31"/>
    <s v="Africa"/>
    <m/>
    <s v="Mining"/>
    <s v="yes"/>
    <s v="no"/>
    <s v="no"/>
    <s v="Bauxite"/>
    <s v="detailed"/>
    <s v="detailed Mining"/>
    <n v="954000"/>
    <m/>
    <m/>
    <m/>
    <m/>
    <s v="t"/>
    <n v="26.43"/>
    <s v="US$/t"/>
    <s v="Volume from USGS Mineral Yearbook 2012. Price from USGS Mineral Yearbook 2008, and is the average f.a.s. price of US imports of crude and dried bauxite."/>
    <n v="25214220"/>
    <m/>
    <m/>
    <m/>
    <n v="286131"/>
    <n v="941518.16780682071"/>
    <m/>
    <m/>
    <m/>
    <n v="1.1348001246915431E-2"/>
    <m/>
    <m/>
    <m/>
    <m/>
    <m/>
    <m/>
    <m/>
    <n v="1"/>
    <s v="Sierra Minerals Ltd"/>
    <n v="1"/>
    <m/>
    <m/>
    <m/>
    <m/>
    <s v="23-29"/>
    <m/>
    <m/>
    <m/>
    <m/>
    <m/>
    <m/>
    <m/>
    <m/>
    <m/>
    <m/>
    <m/>
    <m/>
    <m/>
    <m/>
    <m/>
    <m/>
    <m/>
    <m/>
    <m/>
    <m/>
    <m/>
  </r>
  <r>
    <x v="196"/>
    <n v="2008"/>
    <x v="31"/>
    <s v="Africa"/>
    <m/>
    <s v="Mining"/>
    <s v="yes"/>
    <s v="no"/>
    <s v="no"/>
    <s v="Diamond"/>
    <s v="detailed"/>
    <s v="detailed Mining"/>
    <n v="371261"/>
    <m/>
    <m/>
    <m/>
    <m/>
    <s v="carats"/>
    <n v="266.05"/>
    <s v="US$/carat"/>
    <s v="Volume from USGS Mineral Yearbook 2012. Price from Kimberly Process Annual Summary 2008."/>
    <n v="98773989.049999997"/>
    <m/>
    <m/>
    <m/>
    <n v="2379770"/>
    <n v="2726162.0803958885"/>
    <m/>
    <m/>
    <m/>
    <n v="2.4093083846146439E-2"/>
    <m/>
    <m/>
    <m/>
    <m/>
    <m/>
    <m/>
    <m/>
    <n v="3"/>
    <s v="Koidu Holdings SA, HM Diamonds, Kassim Basma"/>
    <n v="3"/>
    <m/>
    <m/>
    <m/>
    <m/>
    <s v="23-29"/>
    <m/>
    <m/>
    <m/>
    <m/>
    <m/>
    <m/>
    <m/>
    <m/>
    <m/>
    <m/>
    <m/>
    <m/>
    <m/>
    <m/>
    <m/>
    <m/>
    <m/>
    <m/>
    <m/>
    <m/>
    <m/>
  </r>
  <r>
    <x v="196"/>
    <n v="2008"/>
    <x v="31"/>
    <s v="Africa"/>
    <m/>
    <s v="Mining"/>
    <s v="yes"/>
    <s v="no"/>
    <s v="no"/>
    <s v="Gold"/>
    <s v="detailed"/>
    <s v="detailed Mining"/>
    <n v="6140.7919371614989"/>
    <m/>
    <m/>
    <m/>
    <m/>
    <s v="toz"/>
    <n v="871.70725000000004"/>
    <s v="US$/toz"/>
    <s v="Volume from USGS Mineral Yearbook 2012. Price from World Bank (Global Economic Monitor (GEM) Commodities database), and is defined as: Gold (UK), 99.5% fine, London afternoon fixing, average of daily rates."/>
    <n v="5352972.8523652237"/>
    <m/>
    <m/>
    <m/>
    <n v="194863.68597816958"/>
    <n v="279590"/>
    <m/>
    <m/>
    <m/>
    <n v="3.6402890758556454E-2"/>
    <m/>
    <m/>
    <m/>
    <m/>
    <m/>
    <m/>
    <m/>
    <n v="2"/>
    <s v="Cluff Gold Resources, Nimini Mining Ltd"/>
    <n v="2"/>
    <m/>
    <m/>
    <m/>
    <m/>
    <s v="23-29"/>
    <m/>
    <m/>
    <m/>
    <m/>
    <m/>
    <m/>
    <m/>
    <m/>
    <m/>
    <m/>
    <m/>
    <m/>
    <m/>
    <m/>
    <m/>
    <m/>
    <m/>
    <m/>
    <m/>
    <m/>
    <m/>
  </r>
  <r>
    <x v="196"/>
    <n v="2008"/>
    <x v="31"/>
    <s v="Africa"/>
    <m/>
    <s v="Mining"/>
    <s v="yes"/>
    <s v="no"/>
    <s v="no"/>
    <s v="Iron ore"/>
    <s v="detailed"/>
    <s v="detailed Mining"/>
    <n v="0"/>
    <m/>
    <m/>
    <m/>
    <m/>
    <s v="t"/>
    <m/>
    <m/>
    <s v="Volume from USGS Mineral Yearbook 2012"/>
    <n v="0"/>
    <m/>
    <m/>
    <m/>
    <n v="33754.525058154737"/>
    <n v="2234995"/>
    <m/>
    <m/>
    <m/>
    <m/>
    <m/>
    <m/>
    <m/>
    <m/>
    <m/>
    <m/>
    <m/>
    <n v="2"/>
    <s v="African Minerals Ltd, London Mining Co Ltd"/>
    <n v="2"/>
    <m/>
    <m/>
    <m/>
    <m/>
    <s v="23-29"/>
    <m/>
    <m/>
    <m/>
    <m/>
    <m/>
    <m/>
    <m/>
    <m/>
    <m/>
    <m/>
    <m/>
    <m/>
    <m/>
    <m/>
    <m/>
    <m/>
    <m/>
    <m/>
    <m/>
    <m/>
    <m/>
  </r>
  <r>
    <x v="196"/>
    <n v="2008"/>
    <x v="31"/>
    <s v="Africa"/>
    <m/>
    <s v="Mining"/>
    <s v="yes"/>
    <s v="no"/>
    <s v="no"/>
    <s v="Titanium minerals &amp; Zircon"/>
    <s v="detailed"/>
    <s v="detailed Mining"/>
    <m/>
    <m/>
    <m/>
    <m/>
    <m/>
    <m/>
    <m/>
    <m/>
    <m/>
    <n v="43372308"/>
    <m/>
    <m/>
    <m/>
    <n v="460799"/>
    <n v="567181.89262822713"/>
    <m/>
    <m/>
    <m/>
    <n v="1.0624267447330679E-2"/>
    <m/>
    <m/>
    <m/>
    <m/>
    <m/>
    <m/>
    <m/>
    <n v="1"/>
    <s v="Sierra Rutile Ltd"/>
    <n v="1"/>
    <m/>
    <m/>
    <m/>
    <m/>
    <s v="23-29"/>
    <m/>
    <m/>
    <m/>
    <m/>
    <m/>
    <m/>
    <m/>
    <m/>
    <m/>
    <m/>
    <m/>
    <m/>
    <m/>
    <m/>
    <m/>
    <m/>
    <m/>
    <m/>
    <m/>
    <m/>
    <m/>
  </r>
  <r>
    <x v="196"/>
    <n v="2008"/>
    <x v="31"/>
    <s v="Africa"/>
    <m/>
    <s v="Mining"/>
    <s v="yes"/>
    <s v="no"/>
    <s v="no"/>
    <s v="o/w Ilmenite concentrate"/>
    <s v="detailed"/>
    <s v="detailed Mining"/>
    <n v="17528"/>
    <m/>
    <m/>
    <m/>
    <m/>
    <s v="t"/>
    <n v="111"/>
    <s v="US$/t"/>
    <s v="Volume from USGS Mineral Yearbook 2012. Price from USGS Mineral Commodity Summary 2013, and is the f.o.b. price in Australia for a bulk product with a minimum TiO2 content of 54%."/>
    <n v="1945608"/>
    <m/>
    <m/>
    <m/>
    <m/>
    <m/>
    <m/>
    <m/>
    <m/>
    <m/>
    <m/>
    <m/>
    <m/>
    <m/>
    <m/>
    <m/>
    <m/>
    <m/>
    <m/>
    <m/>
    <m/>
    <m/>
    <m/>
    <m/>
    <m/>
    <m/>
    <m/>
    <m/>
    <m/>
    <m/>
    <m/>
    <m/>
    <m/>
    <m/>
    <m/>
    <m/>
    <m/>
    <m/>
    <m/>
    <m/>
    <m/>
    <m/>
    <m/>
    <m/>
    <m/>
    <m/>
  </r>
  <r>
    <x v="196"/>
    <n v="2008"/>
    <x v="31"/>
    <s v="Africa"/>
    <m/>
    <s v="Mining"/>
    <s v="yes"/>
    <s v="no"/>
    <s v="no"/>
    <s v="o/w Rutile concentrate"/>
    <s v="detailed"/>
    <s v="detailed Mining"/>
    <n v="78908"/>
    <m/>
    <m/>
    <m/>
    <m/>
    <s v="t"/>
    <n v="525"/>
    <s v="US$/t"/>
    <s v="Volume from USGS Mineral Yearbook 2012. Price from USGS Mineral Commodity Summary 2013, and is the f.o.b. price in Australia for a bulk product with a minimum TiO2 content of 95%."/>
    <n v="41426700"/>
    <m/>
    <m/>
    <m/>
    <m/>
    <m/>
    <m/>
    <m/>
    <m/>
    <m/>
    <m/>
    <m/>
    <m/>
    <m/>
    <m/>
    <m/>
    <m/>
    <m/>
    <m/>
    <m/>
    <m/>
    <m/>
    <m/>
    <m/>
    <m/>
    <m/>
    <m/>
    <m/>
    <m/>
    <m/>
    <m/>
    <m/>
    <m/>
    <m/>
    <m/>
    <m/>
    <m/>
    <m/>
    <m/>
    <m/>
    <m/>
    <m/>
    <m/>
    <m/>
    <m/>
    <m/>
  </r>
  <r>
    <x v="196"/>
    <n v="2008"/>
    <x v="31"/>
    <s v="Africa"/>
    <m/>
    <s v="Mining"/>
    <s v="yes"/>
    <s v="no"/>
    <s v="no"/>
    <s v="o/w Zirconconium concentrate"/>
    <s v="detailed"/>
    <s v="detailed Mining"/>
    <n v="0"/>
    <m/>
    <m/>
    <m/>
    <m/>
    <s v="t"/>
    <m/>
    <m/>
    <s v="Volume from USGS Mineral Yearbook 2012"/>
    <m/>
    <m/>
    <m/>
    <m/>
    <m/>
    <m/>
    <m/>
    <m/>
    <m/>
    <m/>
    <m/>
    <m/>
    <m/>
    <m/>
    <m/>
    <m/>
    <m/>
    <m/>
    <m/>
    <m/>
    <m/>
    <m/>
    <m/>
    <m/>
    <m/>
    <m/>
    <m/>
    <m/>
    <m/>
    <m/>
    <m/>
    <m/>
    <m/>
    <m/>
    <m/>
    <m/>
    <m/>
    <m/>
    <m/>
    <m/>
    <m/>
    <m/>
    <m/>
    <m/>
    <m/>
    <m/>
  </r>
  <r>
    <x v="197"/>
    <n v="2009"/>
    <x v="31"/>
    <s v="Africa"/>
    <s v="http://www.sleiti.gov.sl"/>
    <s v="Oil, Gas, Mining"/>
    <s v="yes"/>
    <s v="yes"/>
    <s v="yes"/>
    <s v="Total"/>
    <s v="Total"/>
    <s v="Total Oil, Gas, Mining"/>
    <m/>
    <m/>
    <m/>
    <m/>
    <m/>
    <m/>
    <m/>
    <m/>
    <m/>
    <n v="145767005.57944161"/>
    <s v="Profits/Taxes, Royalties, Licenses and concessions, Other significant benefits to government"/>
    <s v="Does not include payments made in-kind"/>
    <s v="-"/>
    <n v="5875777.9977596682"/>
    <n v="6091293.3647605022"/>
    <m/>
    <m/>
    <m/>
    <n v="4.030938259589497E-2"/>
    <s v="United States Dollar and the Sierra Leone Leone"/>
    <n v="4691.2700000000004"/>
    <s v="Disaggregated by revenue stream, Disaggregated by commodity, Disaggregated by company, Disaggregated by company and revenue stream, Disaggregated by commodity and revenue stream"/>
    <m/>
    <m/>
    <m/>
    <m/>
    <n v="13"/>
    <s v="African Minerals Ltd, Cluff Gold Resources, Koidu Holdings SA, London Mining Co Ltd, Nimini Mining Ltd Sierra Minerals Ltd, Sierra Rutile Ltd, Chang Feng, HM Diamonds, Kassim Basma, Anardako Petroleum, Prontinal Ltd, Oranto Ltd"/>
    <n v="12"/>
    <s v="September 2012"/>
    <d v="2014-09-16T00:00:00"/>
    <s v="Boas &amp; Associates"/>
    <s v="http://eiti.org/files/Sierra-Leone-2008-2010-EITI-Report_1.pdf"/>
    <s v="30-37"/>
    <s v="The report uses both US dollars and the local currency, the Sierra Leone Leone. Materiality threshold: all active oil &amp; gas companies should be reconciled; all mining entities that have made a payment of at least $4,000 in 2009 should be reconciled. The report doesn't distinguish between oil and gas producers. Resolved discrepancies do not appear to be included in the final figures, but there is insufficent information to add these retrospectively. Unilateral declarations are included in the figures. "/>
    <m/>
    <m/>
    <m/>
    <m/>
    <m/>
    <m/>
    <m/>
    <m/>
    <m/>
    <m/>
    <m/>
    <m/>
    <m/>
    <m/>
    <m/>
    <m/>
    <m/>
    <m/>
    <m/>
    <m/>
  </r>
  <r>
    <x v="197"/>
    <n v="2009"/>
    <x v="31"/>
    <s v="Africa"/>
    <m/>
    <s v="Oil, Gas"/>
    <s v="no"/>
    <s v="yes"/>
    <s v="yes"/>
    <s v="Total Oil &amp; Gas"/>
    <s v="Total"/>
    <s v="Total Oil, Gas"/>
    <m/>
    <m/>
    <m/>
    <m/>
    <m/>
    <m/>
    <m/>
    <m/>
    <m/>
    <n v="0"/>
    <m/>
    <m/>
    <m/>
    <n v="1032767"/>
    <n v="1032767"/>
    <s v="100% of production value  &amp; revenue"/>
    <n v="1032767"/>
    <s v="Inferred from EITI Report"/>
    <s v="-"/>
    <m/>
    <m/>
    <m/>
    <m/>
    <m/>
    <m/>
    <m/>
    <n v="3"/>
    <s v="Anardako Petroleum, Prontinal Ltd, Oranto Ltd"/>
    <n v="3"/>
    <m/>
    <m/>
    <m/>
    <m/>
    <s v="30-37"/>
    <m/>
    <m/>
    <m/>
    <m/>
    <m/>
    <m/>
    <m/>
    <m/>
    <m/>
    <m/>
    <m/>
    <m/>
    <m/>
    <m/>
    <m/>
    <m/>
    <m/>
    <m/>
    <m/>
    <m/>
    <m/>
  </r>
  <r>
    <x v="197"/>
    <n v="2009"/>
    <x v="31"/>
    <s v="Africa"/>
    <m/>
    <s v="Gas"/>
    <s v="no"/>
    <s v="yes"/>
    <s v="no"/>
    <s v="Gas"/>
    <s v="detailed"/>
    <s v="detailed Gas"/>
    <n v="0"/>
    <m/>
    <m/>
    <m/>
    <m/>
    <s v="cbf"/>
    <m/>
    <m/>
    <s v="Volume from EIA"/>
    <n v="0"/>
    <m/>
    <m/>
    <m/>
    <m/>
    <m/>
    <m/>
    <m/>
    <m/>
    <m/>
    <m/>
    <m/>
    <m/>
    <m/>
    <m/>
    <m/>
    <m/>
    <m/>
    <m/>
    <m/>
    <m/>
    <m/>
    <m/>
    <m/>
    <m/>
    <m/>
    <m/>
    <m/>
    <m/>
    <m/>
    <m/>
    <m/>
    <m/>
    <m/>
    <m/>
    <m/>
    <m/>
    <m/>
    <m/>
    <m/>
    <m/>
    <m/>
    <m/>
    <m/>
    <m/>
    <m/>
  </r>
  <r>
    <x v="197"/>
    <n v="2009"/>
    <x v="31"/>
    <s v="Africa"/>
    <m/>
    <s v="Oil"/>
    <s v="no"/>
    <s v="no"/>
    <s v="yes"/>
    <s v="Oil"/>
    <s v="detailed"/>
    <s v="detailed Oil"/>
    <n v="0"/>
    <m/>
    <m/>
    <m/>
    <m/>
    <s v="bbl"/>
    <m/>
    <m/>
    <s v="Volume from EIA"/>
    <n v="0"/>
    <m/>
    <m/>
    <m/>
    <m/>
    <m/>
    <m/>
    <m/>
    <m/>
    <m/>
    <m/>
    <m/>
    <m/>
    <m/>
    <m/>
    <m/>
    <m/>
    <m/>
    <m/>
    <m/>
    <m/>
    <m/>
    <m/>
    <m/>
    <m/>
    <m/>
    <m/>
    <m/>
    <m/>
    <m/>
    <m/>
    <m/>
    <m/>
    <m/>
    <m/>
    <m/>
    <m/>
    <m/>
    <m/>
    <m/>
    <m/>
    <m/>
    <m/>
    <m/>
    <m/>
    <m/>
  </r>
  <r>
    <x v="197"/>
    <n v="2009"/>
    <x v="31"/>
    <s v="Africa"/>
    <m/>
    <s v="Mining"/>
    <s v="yes"/>
    <s v="no"/>
    <s v="no"/>
    <s v="Total Mining"/>
    <s v="Total"/>
    <s v="Total Mining"/>
    <m/>
    <m/>
    <m/>
    <m/>
    <m/>
    <m/>
    <m/>
    <m/>
    <m/>
    <n v="145767005.57944161"/>
    <m/>
    <m/>
    <m/>
    <n v="4843010.9977596682"/>
    <n v="5058526.3647605022"/>
    <m/>
    <m/>
    <m/>
    <n v="3.3224329322730541E-2"/>
    <m/>
    <m/>
    <m/>
    <m/>
    <m/>
    <m/>
    <m/>
    <n v="10"/>
    <s v="African Minerals Ltd, Cluff Gold Resources, Koidu Holdings SA, London Mining Co Ltd, Nimini Mining Ltd, Sierra Minerals Ltd, Sierra Rutile Ltd, Chang Feng, HM Diamonds, Kassim Basma"/>
    <n v="9"/>
    <m/>
    <m/>
    <m/>
    <m/>
    <s v="30-37"/>
    <m/>
    <m/>
    <m/>
    <m/>
    <m/>
    <m/>
    <m/>
    <m/>
    <m/>
    <m/>
    <m/>
    <m/>
    <m/>
    <m/>
    <m/>
    <m/>
    <m/>
    <m/>
    <m/>
    <m/>
    <m/>
  </r>
  <r>
    <x v="197"/>
    <n v="2009"/>
    <x v="31"/>
    <s v="Africa"/>
    <m/>
    <s v="Mining"/>
    <s v="yes"/>
    <s v="no"/>
    <s v="no"/>
    <s v="Bauxite"/>
    <s v="detailed"/>
    <s v="detailed Mining"/>
    <n v="757000"/>
    <m/>
    <m/>
    <m/>
    <m/>
    <s v="t"/>
    <n v="29.8"/>
    <s v="US$/t"/>
    <s v="Volume from USGS Mineral Yearbook 2012. Price from USGS Mineral Yearbook 2010, and is the average f.a.s. price of US imports of crude and dried bauxite."/>
    <n v="22558600"/>
    <m/>
    <m/>
    <m/>
    <n v="388273.5833878672"/>
    <n v="781583.39067033026"/>
    <m/>
    <m/>
    <m/>
    <n v="1.7211776590208044E-2"/>
    <m/>
    <m/>
    <m/>
    <m/>
    <m/>
    <m/>
    <m/>
    <n v="1"/>
    <s v="Sierra Minerals Ltd"/>
    <n v="1"/>
    <m/>
    <m/>
    <m/>
    <m/>
    <s v="30-37"/>
    <m/>
    <m/>
    <m/>
    <m/>
    <m/>
    <m/>
    <m/>
    <m/>
    <m/>
    <m/>
    <m/>
    <m/>
    <m/>
    <m/>
    <m/>
    <m/>
    <m/>
    <m/>
    <m/>
    <m/>
    <m/>
  </r>
  <r>
    <x v="197"/>
    <n v="2009"/>
    <x v="31"/>
    <s v="Africa"/>
    <m/>
    <s v="Mining"/>
    <s v="yes"/>
    <s v="no"/>
    <s v="no"/>
    <s v="Diamond"/>
    <s v="detailed"/>
    <s v="detailed Mining"/>
    <n v="400843"/>
    <m/>
    <m/>
    <m/>
    <m/>
    <s v="carats"/>
    <n v="195.65"/>
    <s v="US$/carat"/>
    <s v="Volume from USGS Mineral Yearbook 2012. Price from Kimberly Process Annual Summary 2009."/>
    <n v="78424932.950000003"/>
    <m/>
    <m/>
    <m/>
    <n v="1832306.5898445409"/>
    <n v="2057580.1560110589"/>
    <m/>
    <m/>
    <m/>
    <n v="2.3363827304930338E-2"/>
    <m/>
    <m/>
    <m/>
    <m/>
    <m/>
    <m/>
    <m/>
    <n v="3"/>
    <s v="Koidu Holdings SA, HM Diamonds, Kassim Basma"/>
    <n v="3"/>
    <m/>
    <m/>
    <m/>
    <m/>
    <s v="30-37"/>
    <m/>
    <m/>
    <m/>
    <m/>
    <m/>
    <m/>
    <m/>
    <m/>
    <m/>
    <m/>
    <m/>
    <m/>
    <m/>
    <m/>
    <m/>
    <m/>
    <m/>
    <m/>
    <m/>
    <m/>
    <m/>
  </r>
  <r>
    <x v="197"/>
    <n v="2009"/>
    <x v="31"/>
    <s v="Africa"/>
    <m/>
    <s v="Mining"/>
    <s v="yes"/>
    <s v="no"/>
    <s v="no"/>
    <s v="Gold"/>
    <s v="detailed"/>
    <s v="detailed Mining"/>
    <n v="5047.6666708604998"/>
    <m/>
    <m/>
    <m/>
    <m/>
    <s v="toz"/>
    <n v="972.96591666666995"/>
    <s v="US$/toz"/>
    <s v="Volume from USGS Mineral Yearbook 2012. Price from World Bank (Global Economic Monitor (GEM) Commodities database), and is defined as: Gold (UK), 99.5% fine, London afternoon fixing, average of daily rates."/>
    <n v="4911207.6294415845"/>
    <m/>
    <m/>
    <m/>
    <n v="421054.85508188611"/>
    <n v="276000"/>
    <m/>
    <m/>
    <m/>
    <n v="8.5733466562838229E-2"/>
    <m/>
    <m/>
    <m/>
    <m/>
    <m/>
    <m/>
    <m/>
    <n v="3"/>
    <s v="Cluff Gold Resources, Nimini Mining Ltd, Chang Feng"/>
    <n v="2"/>
    <m/>
    <m/>
    <m/>
    <m/>
    <s v="30-37"/>
    <m/>
    <m/>
    <m/>
    <m/>
    <m/>
    <m/>
    <m/>
    <m/>
    <m/>
    <m/>
    <m/>
    <m/>
    <m/>
    <m/>
    <m/>
    <m/>
    <m/>
    <m/>
    <m/>
    <m/>
    <m/>
  </r>
  <r>
    <x v="197"/>
    <n v="2009"/>
    <x v="31"/>
    <s v="Africa"/>
    <m/>
    <s v="Mining"/>
    <s v="yes"/>
    <s v="no"/>
    <s v="no"/>
    <s v="Iron ore"/>
    <s v="detailed"/>
    <s v="detailed Mining"/>
    <n v="0"/>
    <m/>
    <m/>
    <m/>
    <m/>
    <s v="t"/>
    <m/>
    <m/>
    <s v="Volume from USGS Mineral Yearbook 2012"/>
    <n v="0"/>
    <m/>
    <m/>
    <m/>
    <n v="1447234.6452026849"/>
    <n v="1186782"/>
    <m/>
    <m/>
    <m/>
    <m/>
    <m/>
    <m/>
    <m/>
    <m/>
    <m/>
    <m/>
    <m/>
    <n v="2"/>
    <s v="African Minerals Ltd, London Mining Co Ltd"/>
    <n v="2"/>
    <m/>
    <m/>
    <m/>
    <m/>
    <s v="30-37"/>
    <m/>
    <m/>
    <m/>
    <m/>
    <m/>
    <m/>
    <m/>
    <m/>
    <m/>
    <m/>
    <m/>
    <m/>
    <m/>
    <m/>
    <m/>
    <m/>
    <m/>
    <m/>
    <m/>
    <m/>
    <m/>
  </r>
  <r>
    <x v="197"/>
    <n v="2009"/>
    <x v="31"/>
    <s v="Africa"/>
    <m/>
    <s v="Mining"/>
    <s v="yes"/>
    <s v="no"/>
    <s v="no"/>
    <s v="Titanium minerals &amp; Zircon"/>
    <s v="detailed"/>
    <s v="detailed Mining"/>
    <m/>
    <m/>
    <m/>
    <m/>
    <m/>
    <m/>
    <m/>
    <m/>
    <m/>
    <n v="39872265"/>
    <m/>
    <m/>
    <m/>
    <n v="754141.32424268906"/>
    <n v="756580.8180791128"/>
    <m/>
    <m/>
    <m/>
    <n v="1.8913932384896845E-2"/>
    <m/>
    <m/>
    <m/>
    <m/>
    <m/>
    <m/>
    <m/>
    <n v="1"/>
    <s v="Sierra Rutile Ltd"/>
    <n v="1"/>
    <m/>
    <m/>
    <m/>
    <m/>
    <s v="30-37"/>
    <m/>
    <m/>
    <m/>
    <m/>
    <m/>
    <m/>
    <m/>
    <m/>
    <m/>
    <m/>
    <m/>
    <m/>
    <m/>
    <m/>
    <m/>
    <m/>
    <m/>
    <m/>
    <m/>
    <m/>
    <m/>
  </r>
  <r>
    <x v="197"/>
    <n v="2009"/>
    <x v="31"/>
    <s v="Africa"/>
    <m/>
    <s v="Mining"/>
    <s v="yes"/>
    <s v="no"/>
    <s v="no"/>
    <s v="o/w Ilmenite concentrate"/>
    <s v="detailed"/>
    <s v="detailed Mining"/>
    <n v="15161"/>
    <m/>
    <m/>
    <m/>
    <m/>
    <s v="t"/>
    <n v="73"/>
    <s v="US$/t"/>
    <s v="Volume from USGS Mineral Yearbook 2012. Price from USGS Mineral Commodity Summary 2013, and is the f.o.b. price in Australia for a bulk product with a minimum TiO2 content of 54%."/>
    <n v="1106753"/>
    <m/>
    <m/>
    <m/>
    <m/>
    <m/>
    <m/>
    <m/>
    <m/>
    <m/>
    <m/>
    <m/>
    <m/>
    <m/>
    <m/>
    <m/>
    <m/>
    <m/>
    <m/>
    <m/>
    <m/>
    <m/>
    <m/>
    <m/>
    <m/>
    <m/>
    <m/>
    <m/>
    <m/>
    <m/>
    <m/>
    <m/>
    <m/>
    <m/>
    <m/>
    <m/>
    <m/>
    <m/>
    <m/>
    <m/>
    <m/>
    <m/>
    <m/>
    <m/>
    <m/>
    <m/>
  </r>
  <r>
    <x v="197"/>
    <n v="2009"/>
    <x v="31"/>
    <s v="Africa"/>
    <m/>
    <s v="Mining"/>
    <s v="yes"/>
    <s v="no"/>
    <s v="no"/>
    <s v="o/w Rutile concentrate"/>
    <s v="detailed"/>
    <s v="detailed Mining"/>
    <n v="63864"/>
    <m/>
    <m/>
    <m/>
    <m/>
    <s v="t"/>
    <n v="533"/>
    <s v="US$/t"/>
    <s v="Volume from USGS Mineral Yearbook 2012. Price from USGS Mineral Commodity Summary 2013, and is the f.o.b. price in Australia for a bulk product with a minimum TiO2 content of 95%."/>
    <n v="34039512"/>
    <m/>
    <m/>
    <m/>
    <m/>
    <m/>
    <m/>
    <m/>
    <m/>
    <m/>
    <m/>
    <m/>
    <m/>
    <m/>
    <m/>
    <m/>
    <m/>
    <m/>
    <m/>
    <m/>
    <m/>
    <m/>
    <m/>
    <m/>
    <m/>
    <m/>
    <m/>
    <m/>
    <m/>
    <m/>
    <m/>
    <m/>
    <m/>
    <m/>
    <m/>
    <m/>
    <m/>
    <m/>
    <m/>
    <m/>
    <m/>
    <m/>
    <m/>
    <m/>
    <m/>
    <m/>
  </r>
  <r>
    <x v="197"/>
    <n v="2009"/>
    <x v="31"/>
    <s v="Africa"/>
    <m/>
    <s v="Mining"/>
    <s v="yes"/>
    <s v="no"/>
    <s v="no"/>
    <s v="o/w Zirconconium concentrate"/>
    <s v="detailed"/>
    <s v="detailed Mining"/>
    <n v="5560"/>
    <m/>
    <m/>
    <m/>
    <m/>
    <s v="t"/>
    <n v="850"/>
    <s v="US$/t"/>
    <s v="Volume from USGS Mineral Yearbook 2012. Price from USGS Mineral Commodity Summary 2013, and is the f.o.b. price for US imports."/>
    <n v="4726000"/>
    <m/>
    <m/>
    <m/>
    <m/>
    <m/>
    <m/>
    <m/>
    <m/>
    <m/>
    <m/>
    <m/>
    <m/>
    <m/>
    <m/>
    <m/>
    <m/>
    <m/>
    <m/>
    <m/>
    <m/>
    <m/>
    <m/>
    <m/>
    <m/>
    <m/>
    <m/>
    <m/>
    <m/>
    <m/>
    <m/>
    <m/>
    <m/>
    <m/>
    <m/>
    <m/>
    <m/>
    <m/>
    <m/>
    <m/>
    <m/>
    <m/>
    <m/>
    <m/>
    <m/>
    <m/>
  </r>
  <r>
    <x v="198"/>
    <n v="2010"/>
    <x v="31"/>
    <s v="Africa"/>
    <s v="http://www.sleiti.gov.sl"/>
    <s v="Oil, Gas, Mining"/>
    <s v="yes"/>
    <s v="yes"/>
    <s v="yes"/>
    <s v="Total"/>
    <s v="Total"/>
    <s v="Total Oil, Gas, Mining"/>
    <m/>
    <m/>
    <m/>
    <m/>
    <m/>
    <m/>
    <m/>
    <m/>
    <m/>
    <n v="193112882.46384859"/>
    <s v="Profits/Taxes, Royalties, Licenses and concessions, Other significant benefits to government"/>
    <s v="Does not include payments made in-kind"/>
    <s v="-"/>
    <n v="7586792.5651504043"/>
    <n v="8273470.9751235368"/>
    <m/>
    <m/>
    <m/>
    <n v="3.9286827830197595E-2"/>
    <s v="United States Dollar and the Sierra Leone Leone"/>
    <n v="5322.3"/>
    <s v="Disaggregated by revenue stream, Disaggregated by commodity, Disaggregated by company, Disaggregated by company and revenue stream, Disaggregated by commodity and revenue stream"/>
    <m/>
    <m/>
    <m/>
    <m/>
    <n v="14"/>
    <s v="African Minerals Ltd, Cluff Gold Resources, Kingho Investment Co Ltd, Koidu Holdings SA, London Mining Co Ltd, Nimini Mining Ltd Sierra Minerals Ltd, Sierra Rutile Ltd, West African Zircon Ltd, Chang Feng, HM Diamonds, Kassim Basma, Anardako Petroleum, Prontinal Ltd, Oranto Ltd"/>
    <n v="13"/>
    <s v="September 2012"/>
    <d v="2014-09-16T00:00:00"/>
    <s v="Boas &amp; Associates"/>
    <s v="http://eiti.org/files/Sierra-Leone-2008-2010-EITI-Report_1.pdf"/>
    <s v="38-44"/>
    <s v="The report uses both US dollars and the local currency, the Sierra Leone Leone. Materiality threshold: all active oil &amp; gas companies should be reconciled; all mining entities that made a payment of at least $4,000 in 2010 should be reconciled. The report doesn't distinguish between oil and gas producers. Resolved discrepancies do not appear to be included in the final figures, but there is insufficent information to add these retrospectively. Unilateral declarations are included in the figures. "/>
    <m/>
    <m/>
    <m/>
    <m/>
    <m/>
    <m/>
    <m/>
    <m/>
    <m/>
    <m/>
    <m/>
    <m/>
    <m/>
    <m/>
    <m/>
    <m/>
    <m/>
    <m/>
    <m/>
    <m/>
  </r>
  <r>
    <x v="198"/>
    <n v="2010"/>
    <x v="31"/>
    <s v="Africa"/>
    <m/>
    <s v="Oil, Gas"/>
    <s v="no"/>
    <s v="yes"/>
    <s v="yes"/>
    <s v="Total Oil &amp; Gas"/>
    <s v="Total"/>
    <s v="Total Oil, Gas"/>
    <m/>
    <m/>
    <m/>
    <m/>
    <m/>
    <m/>
    <m/>
    <m/>
    <m/>
    <n v="0"/>
    <m/>
    <m/>
    <m/>
    <n v="1173808"/>
    <n v="1173918"/>
    <s v="100% of production value  &amp; revenue"/>
    <n v="1173808"/>
    <s v="Inferred from EITI Report"/>
    <s v="-"/>
    <m/>
    <m/>
    <m/>
    <m/>
    <m/>
    <m/>
    <m/>
    <n v="2"/>
    <s v="Anardako Petroleum, Prontinal Ltd"/>
    <n v="2"/>
    <m/>
    <m/>
    <m/>
    <m/>
    <s v="38-44"/>
    <m/>
    <m/>
    <m/>
    <m/>
    <m/>
    <m/>
    <m/>
    <m/>
    <m/>
    <m/>
    <m/>
    <m/>
    <m/>
    <m/>
    <m/>
    <m/>
    <m/>
    <m/>
    <m/>
    <m/>
    <m/>
  </r>
  <r>
    <x v="198"/>
    <n v="2010"/>
    <x v="31"/>
    <s v="Africa"/>
    <m/>
    <s v="Oil"/>
    <s v="no"/>
    <s v="no"/>
    <s v="yes"/>
    <s v="Gas"/>
    <s v="detailed"/>
    <s v="detailed Oil"/>
    <n v="0"/>
    <m/>
    <m/>
    <m/>
    <m/>
    <s v="cbf"/>
    <m/>
    <m/>
    <s v="Volume from EIA"/>
    <n v="0"/>
    <m/>
    <m/>
    <m/>
    <m/>
    <m/>
    <m/>
    <m/>
    <m/>
    <m/>
    <m/>
    <m/>
    <m/>
    <m/>
    <m/>
    <m/>
    <m/>
    <m/>
    <m/>
    <m/>
    <m/>
    <m/>
    <m/>
    <m/>
    <m/>
    <m/>
    <m/>
    <m/>
    <m/>
    <m/>
    <m/>
    <m/>
    <m/>
    <m/>
    <m/>
    <m/>
    <m/>
    <m/>
    <m/>
    <m/>
    <m/>
    <m/>
    <m/>
    <m/>
    <m/>
    <m/>
  </r>
  <r>
    <x v="198"/>
    <n v="2010"/>
    <x v="31"/>
    <s v="Africa"/>
    <m/>
    <s v="Gas"/>
    <s v="no"/>
    <s v="yes"/>
    <s v="no"/>
    <s v="Oil"/>
    <s v="detailed"/>
    <s v="detailed Gas"/>
    <n v="0"/>
    <m/>
    <m/>
    <m/>
    <m/>
    <s v="bbl"/>
    <m/>
    <m/>
    <s v="Volume from EIA"/>
    <n v="0"/>
    <m/>
    <m/>
    <m/>
    <m/>
    <m/>
    <m/>
    <m/>
    <m/>
    <m/>
    <m/>
    <m/>
    <m/>
    <m/>
    <m/>
    <m/>
    <m/>
    <m/>
    <m/>
    <m/>
    <m/>
    <m/>
    <m/>
    <m/>
    <m/>
    <m/>
    <m/>
    <m/>
    <m/>
    <m/>
    <m/>
    <m/>
    <m/>
    <m/>
    <m/>
    <m/>
    <m/>
    <m/>
    <m/>
    <m/>
    <m/>
    <m/>
    <m/>
    <m/>
    <m/>
    <m/>
  </r>
  <r>
    <x v="198"/>
    <n v="2010"/>
    <x v="31"/>
    <s v="Africa"/>
    <m/>
    <s v="Mining"/>
    <s v="yes"/>
    <s v="no"/>
    <s v="no"/>
    <s v="Total Mining"/>
    <s v="Total"/>
    <s v="Total Mining"/>
    <m/>
    <m/>
    <m/>
    <m/>
    <m/>
    <m/>
    <m/>
    <m/>
    <m/>
    <n v="193112882.46384859"/>
    <m/>
    <m/>
    <m/>
    <n v="6412984.5651504043"/>
    <n v="7099552.9751235368"/>
    <m/>
    <m/>
    <m/>
    <n v="3.3208476220383372E-2"/>
    <m/>
    <m/>
    <m/>
    <m/>
    <m/>
    <m/>
    <m/>
    <n v="12"/>
    <s v="African Minerals Ltd, Cluff Gold Resources, Kingho Investment Co Ltd, Koidu Holdings SA, London Mining Co Ltd, Nimini Mining Ltd, Sierra Minerals Ltd, Sierra Rutile Ltd, West African Zircon Ltd, Chang Feng, HM Diamonds, Kassim Basma"/>
    <n v="11"/>
    <m/>
    <m/>
    <m/>
    <m/>
    <s v="38-44"/>
    <m/>
    <m/>
    <m/>
    <m/>
    <m/>
    <m/>
    <m/>
    <m/>
    <m/>
    <m/>
    <m/>
    <m/>
    <m/>
    <m/>
    <m/>
    <m/>
    <m/>
    <m/>
    <m/>
    <m/>
    <m/>
  </r>
  <r>
    <x v="198"/>
    <n v="2010"/>
    <x v="31"/>
    <s v="Africa"/>
    <m/>
    <s v="Mining"/>
    <s v="yes"/>
    <s v="no"/>
    <s v="no"/>
    <s v="Bauxite"/>
    <s v="detailed"/>
    <s v="detailed Mining"/>
    <n v="1090000"/>
    <m/>
    <m/>
    <m/>
    <m/>
    <s v="t"/>
    <n v="29.41"/>
    <s v="US$/t"/>
    <s v="Volume from USGS Mineral Yearbook 2012. Price from USGS Mineral Yearbook 2010, and is the average f.a.s. price of US imports of crude and dried bauxite."/>
    <n v="32056900"/>
    <m/>
    <m/>
    <m/>
    <n v="600110.54487721471"/>
    <n v="1077880.9682655996"/>
    <m/>
    <m/>
    <m/>
    <n v="1.872016772916953E-2"/>
    <m/>
    <m/>
    <m/>
    <m/>
    <m/>
    <m/>
    <m/>
    <n v="1"/>
    <s v="Sierra Minerals Ltd"/>
    <n v="1"/>
    <m/>
    <m/>
    <m/>
    <m/>
    <s v="38-44"/>
    <m/>
    <m/>
    <m/>
    <m/>
    <m/>
    <m/>
    <m/>
    <m/>
    <m/>
    <m/>
    <m/>
    <m/>
    <m/>
    <m/>
    <m/>
    <m/>
    <m/>
    <m/>
    <m/>
    <m/>
    <m/>
  </r>
  <r>
    <x v="198"/>
    <n v="2010"/>
    <x v="31"/>
    <s v="Africa"/>
    <m/>
    <s v="Mining"/>
    <s v="yes"/>
    <s v="no"/>
    <s v="no"/>
    <s v="Diamond"/>
    <s v="detailed"/>
    <s v="detailed Mining"/>
    <n v="437516"/>
    <m/>
    <m/>
    <m/>
    <m/>
    <s v="carats"/>
    <n v="242.42"/>
    <s v="US$/carat"/>
    <s v="Volume from USGS Mineral Yearbook 2012. Price from Kimberly Process Annual Summary 2010."/>
    <n v="106062628.72"/>
    <m/>
    <m/>
    <m/>
    <n v="3267098.9551509684"/>
    <n v="3395978.2792401779"/>
    <m/>
    <m/>
    <m/>
    <n v="3.0803488416037143E-2"/>
    <m/>
    <m/>
    <m/>
    <m/>
    <m/>
    <m/>
    <m/>
    <n v="3"/>
    <s v="Koidu Holdings SA, HM Diamonds, Kassim Basma"/>
    <n v="3"/>
    <m/>
    <m/>
    <m/>
    <m/>
    <s v="38-44"/>
    <m/>
    <m/>
    <m/>
    <m/>
    <m/>
    <m/>
    <m/>
    <m/>
    <m/>
    <m/>
    <m/>
    <m/>
    <m/>
    <m/>
    <m/>
    <m/>
    <m/>
    <m/>
    <m/>
    <m/>
    <m/>
  </r>
  <r>
    <x v="198"/>
    <n v="2010"/>
    <x v="31"/>
    <s v="Africa"/>
    <m/>
    <s v="Mining"/>
    <s v="yes"/>
    <s v="no"/>
    <s v="no"/>
    <s v="Gold"/>
    <s v="detailed"/>
    <s v="detailed Mining"/>
    <n v="8680.7006441549984"/>
    <m/>
    <m/>
    <m/>
    <m/>
    <s v="toz"/>
    <n v="1224.66425"/>
    <s v="US$/toz"/>
    <s v="Volume from USGS Mineral Yearbook 2012. Price from World Bank (Global Economic Monitor (GEM) Commodities database), and is defined as: Gold (UK), 99.5% fine, London afternoon fixing, average of daily rates."/>
    <n v="10630943.743848598"/>
    <m/>
    <m/>
    <m/>
    <n v="515372.17293275462"/>
    <n v="367230.47291584464"/>
    <m/>
    <m/>
    <m/>
    <n v="4.8478496862610652E-2"/>
    <m/>
    <m/>
    <m/>
    <m/>
    <m/>
    <m/>
    <m/>
    <n v="3"/>
    <s v="Cluff Gold Resources, Nimini Mining Ltd, Chang Feng"/>
    <n v="2"/>
    <m/>
    <m/>
    <m/>
    <m/>
    <s v="38-44"/>
    <m/>
    <m/>
    <m/>
    <m/>
    <m/>
    <m/>
    <m/>
    <m/>
    <m/>
    <m/>
    <m/>
    <m/>
    <m/>
    <m/>
    <m/>
    <m/>
    <m/>
    <m/>
    <m/>
    <m/>
    <m/>
  </r>
  <r>
    <x v="198"/>
    <n v="2010"/>
    <x v="31"/>
    <s v="Africa"/>
    <m/>
    <s v="Mining"/>
    <s v="yes"/>
    <s v="no"/>
    <s v="no"/>
    <s v="Iron ore"/>
    <s v="detailed"/>
    <s v="detailed Mining"/>
    <n v="0"/>
    <m/>
    <m/>
    <m/>
    <m/>
    <s v="t"/>
    <m/>
    <m/>
    <s v="Volume from USGS Mineral Yearbook 2012"/>
    <n v="0"/>
    <m/>
    <m/>
    <m/>
    <n v="1187517.525975612"/>
    <n v="1199830"/>
    <m/>
    <m/>
    <m/>
    <m/>
    <m/>
    <m/>
    <m/>
    <m/>
    <m/>
    <m/>
    <m/>
    <n v="3"/>
    <s v="African Minerals Ltd, Kingho Investment Co Ltd, London Mining Co Ltd"/>
    <n v="3"/>
    <m/>
    <m/>
    <m/>
    <m/>
    <s v="38-44"/>
    <m/>
    <m/>
    <m/>
    <m/>
    <m/>
    <m/>
    <m/>
    <m/>
    <m/>
    <m/>
    <m/>
    <m/>
    <m/>
    <m/>
    <m/>
    <m/>
    <m/>
    <m/>
    <m/>
    <m/>
    <m/>
  </r>
  <r>
    <x v="198"/>
    <n v="2010"/>
    <x v="31"/>
    <s v="Africa"/>
    <m/>
    <s v="Mining"/>
    <s v="yes"/>
    <s v="no"/>
    <s v="no"/>
    <s v="Titanium minerals &amp; Zircon"/>
    <s v="detailed"/>
    <s v="detailed Mining"/>
    <m/>
    <m/>
    <m/>
    <m/>
    <m/>
    <m/>
    <m/>
    <m/>
    <m/>
    <n v="44362410"/>
    <m/>
    <m/>
    <m/>
    <n v="842885.36621385464"/>
    <n v="1058633.2547019145"/>
    <m/>
    <m/>
    <m/>
    <n v="1.8999990447179371E-2"/>
    <m/>
    <m/>
    <m/>
    <m/>
    <m/>
    <m/>
    <m/>
    <n v="2"/>
    <s v="Sierra Rutile Ltd, West African Zircon"/>
    <n v="2"/>
    <m/>
    <m/>
    <m/>
    <m/>
    <s v="38-44"/>
    <m/>
    <m/>
    <m/>
    <m/>
    <m/>
    <m/>
    <m/>
    <m/>
    <m/>
    <m/>
    <m/>
    <m/>
    <m/>
    <m/>
    <m/>
    <m/>
    <m/>
    <m/>
    <m/>
    <m/>
    <m/>
  </r>
  <r>
    <x v="198"/>
    <n v="2010"/>
    <x v="31"/>
    <s v="Africa"/>
    <m/>
    <s v="Mining"/>
    <s v="yes"/>
    <s v="no"/>
    <s v="no"/>
    <s v="o/w Ilmenite concentrate"/>
    <s v="detailed"/>
    <s v="detailed Mining"/>
    <n v="18206"/>
    <m/>
    <m/>
    <m/>
    <m/>
    <s v="t"/>
    <n v="75"/>
    <s v="US$/t"/>
    <s v="Volume from USGS Mineral Yearbook 2012. Price from USGS Mineral Commodity Summary 2013, and is the f.o.b. price in Australia for a bulk product with a minimum TiO2 content of 54%."/>
    <n v="1365450"/>
    <m/>
    <m/>
    <m/>
    <m/>
    <m/>
    <m/>
    <m/>
    <m/>
    <m/>
    <m/>
    <m/>
    <m/>
    <m/>
    <m/>
    <m/>
    <m/>
    <m/>
    <m/>
    <m/>
    <m/>
    <m/>
    <m/>
    <m/>
    <m/>
    <m/>
    <m/>
    <m/>
    <m/>
    <m/>
    <m/>
    <m/>
    <m/>
    <m/>
    <m/>
    <m/>
    <m/>
    <m/>
    <m/>
    <m/>
    <m/>
    <m/>
    <m/>
    <m/>
    <m/>
    <m/>
  </r>
  <r>
    <x v="198"/>
    <n v="2010"/>
    <x v="31"/>
    <s v="Africa"/>
    <m/>
    <s v="Mining"/>
    <s v="yes"/>
    <s v="no"/>
    <s v="no"/>
    <s v="o/w Rutile concentrate"/>
    <s v="detailed"/>
    <s v="detailed Mining"/>
    <n v="68198"/>
    <m/>
    <m/>
    <m/>
    <m/>
    <s v="t"/>
    <n v="540"/>
    <s v="US$/t"/>
    <s v="Volume from USGS Mineral Yearbook 2012. Price from USGS Mineral Commodity Summary 2013, and is the f.o.b. price in Australia for a bulk product with a minimum TiO2 content of 95%."/>
    <n v="36826920"/>
    <m/>
    <m/>
    <m/>
    <m/>
    <m/>
    <m/>
    <m/>
    <m/>
    <m/>
    <m/>
    <m/>
    <m/>
    <m/>
    <m/>
    <m/>
    <m/>
    <m/>
    <m/>
    <m/>
    <m/>
    <m/>
    <m/>
    <m/>
    <m/>
    <m/>
    <m/>
    <m/>
    <m/>
    <m/>
    <m/>
    <m/>
    <m/>
    <m/>
    <m/>
    <m/>
    <m/>
    <m/>
    <m/>
    <m/>
    <m/>
    <m/>
    <m/>
    <m/>
    <m/>
    <m/>
  </r>
  <r>
    <x v="198"/>
    <n v="2010"/>
    <x v="31"/>
    <s v="Africa"/>
    <m/>
    <s v="Mining"/>
    <s v="yes"/>
    <s v="no"/>
    <s v="no"/>
    <s v="o/w Zirconconium concentrate"/>
    <s v="detailed"/>
    <s v="detailed Mining"/>
    <n v="7092"/>
    <m/>
    <m/>
    <m/>
    <m/>
    <s v="t"/>
    <n v="870"/>
    <s v="US$/t"/>
    <s v="Volume from USGS Mineral Yearbook 2012. Price from USGS Mineral Commodity Summary 2013, and is the f.o.b. price for US imports."/>
    <n v="6170040"/>
    <m/>
    <m/>
    <m/>
    <m/>
    <m/>
    <m/>
    <m/>
    <m/>
    <m/>
    <m/>
    <m/>
    <m/>
    <m/>
    <m/>
    <m/>
    <m/>
    <m/>
    <m/>
    <m/>
    <m/>
    <m/>
    <m/>
    <m/>
    <m/>
    <m/>
    <m/>
    <m/>
    <m/>
    <m/>
    <m/>
    <m/>
    <m/>
    <m/>
    <m/>
    <m/>
    <m/>
    <m/>
    <m/>
    <m/>
    <m/>
    <m/>
    <m/>
    <m/>
    <m/>
    <m/>
  </r>
  <r>
    <x v="199"/>
    <n v="2011"/>
    <x v="31"/>
    <s v="Africa"/>
    <s v="http://www.sleiti.gov.sl"/>
    <s v="Oil, Gas, Mining"/>
    <s v="yes"/>
    <s v="yes"/>
    <s v="yes"/>
    <s v="Total"/>
    <s v="Total"/>
    <s v="Total Oil, Gas, Mining"/>
    <m/>
    <m/>
    <m/>
    <m/>
    <m/>
    <m/>
    <m/>
    <m/>
    <m/>
    <n v="509572462.55053759"/>
    <s v="Profits/Taxes, Royalties, Bonuses, Licenses and concessions, Other significant benefits to government"/>
    <s v="Does not include payments made in-kind"/>
    <s v="-"/>
    <n v="27621406"/>
    <n v="26293141"/>
    <m/>
    <m/>
    <m/>
    <n v="5.420506018270288E-2"/>
    <s v="United States Dollar"/>
    <m/>
    <s v="Disaggregated by revenue stream, Disaggregated by company, Disaggregated by company and revenue stream"/>
    <m/>
    <m/>
    <m/>
    <m/>
    <n v="25"/>
    <s v="African Minerals Ltd, AMR Gold (SL) Ltd, Cluff Gold (SL) Ltd, Danasha Gem (SL) Ltd, Diam Investment (SL) Ltd, Hasanein Ibrahim Akar, Kingho Investment Co Ltd, Koidu Holdings SA, Lion Stones (SL) Ltd, London Mining Co Ltd, Marampa Iron Ore (SL) Ltd, Metal Exploration (SL) Ltd, Murray Investment Company Ltd, Shanti Sierra Ltd, Shawke B Shour, Sierra Minerals Holdings Ltd, Sierra Rutile Ltd, West Africa Group for Mining Gold and Diamonds (SL) Ltd, West African Zircon Ltd, HM Diamonds, Kassim Basma, Anardako Petroleum, European Hydrocarbon Ltd. UK, Lukoil Overseas Sierra Leone, Talisman Sierra Leone BV/Prontinal Ltd"/>
    <n v="19"/>
    <s v="December 2013"/>
    <d v="2014-09-16T00:00:00"/>
    <s v="Moore Stephens"/>
    <s v="http://eiti.org/files/SLEITI%20Reconciliation%20Report%202011%20-%20Final.pdf"/>
    <s v="18-19"/>
    <s v="Materiality threshold: all active oil &amp; gas companies should be reconciled; all mining entities that made a payment of at least $99,360 in 2011 should be reconciled. This means over 85% of payments for the revenue streams covered in the report are accounted for. The report doesn't distinguish between oil and gas producers. Unilateral declarations are included in the figures. "/>
    <m/>
    <m/>
    <m/>
    <m/>
    <m/>
    <m/>
    <m/>
    <m/>
    <m/>
    <m/>
    <m/>
    <m/>
    <m/>
    <m/>
    <m/>
    <m/>
    <m/>
    <m/>
    <m/>
    <m/>
  </r>
  <r>
    <x v="199"/>
    <n v="2011"/>
    <x v="31"/>
    <s v="Africa"/>
    <m/>
    <s v="Oil, Gas"/>
    <s v="no"/>
    <s v="yes"/>
    <s v="yes"/>
    <s v="Total Oil &amp; Gas"/>
    <s v="Total"/>
    <s v="Total Oil, Gas"/>
    <m/>
    <m/>
    <m/>
    <m/>
    <m/>
    <m/>
    <m/>
    <m/>
    <m/>
    <n v="0"/>
    <m/>
    <m/>
    <m/>
    <n v="15376455"/>
    <n v="15194339"/>
    <s v="100% of production value  &amp; revenue"/>
    <n v="15376455"/>
    <s v="Inferred from EITI Report"/>
    <s v="-"/>
    <m/>
    <m/>
    <m/>
    <m/>
    <m/>
    <m/>
    <m/>
    <n v="4"/>
    <s v="Anardako Petroleum, European Hydrocarbon Ltd. UK, Lukoil Overseas Sierra Leone, Talisman Sierra Leone BV/Prontinal Ltd"/>
    <n v="4"/>
    <m/>
    <m/>
    <m/>
    <m/>
    <s v="18-19"/>
    <m/>
    <m/>
    <m/>
    <m/>
    <m/>
    <m/>
    <m/>
    <m/>
    <m/>
    <m/>
    <m/>
    <m/>
    <m/>
    <m/>
    <m/>
    <m/>
    <m/>
    <m/>
    <m/>
    <m/>
    <m/>
  </r>
  <r>
    <x v="199"/>
    <n v="2011"/>
    <x v="31"/>
    <s v="Africa"/>
    <m/>
    <s v="Gas"/>
    <s v="no"/>
    <s v="yes"/>
    <s v="no"/>
    <s v="Gas"/>
    <s v="detailed"/>
    <s v="detailed Gas"/>
    <n v="0"/>
    <m/>
    <m/>
    <m/>
    <m/>
    <s v="cbf"/>
    <m/>
    <m/>
    <s v="Volume from EIA"/>
    <n v="0"/>
    <m/>
    <m/>
    <m/>
    <m/>
    <m/>
    <m/>
    <m/>
    <m/>
    <m/>
    <m/>
    <m/>
    <m/>
    <m/>
    <m/>
    <m/>
    <m/>
    <m/>
    <m/>
    <m/>
    <m/>
    <m/>
    <m/>
    <m/>
    <m/>
    <m/>
    <m/>
    <m/>
    <m/>
    <m/>
    <m/>
    <m/>
    <m/>
    <m/>
    <m/>
    <m/>
    <m/>
    <m/>
    <m/>
    <m/>
    <m/>
    <m/>
    <m/>
    <m/>
    <m/>
    <m/>
  </r>
  <r>
    <x v="199"/>
    <n v="2011"/>
    <x v="31"/>
    <s v="Africa"/>
    <m/>
    <s v="Oil"/>
    <s v="no"/>
    <s v="no"/>
    <s v="yes"/>
    <s v="Oil"/>
    <s v="detailed"/>
    <s v="detailed Oil"/>
    <n v="0"/>
    <m/>
    <m/>
    <m/>
    <m/>
    <s v="bbl"/>
    <m/>
    <m/>
    <s v="Volume from EIA"/>
    <n v="0"/>
    <m/>
    <m/>
    <m/>
    <m/>
    <m/>
    <m/>
    <m/>
    <m/>
    <m/>
    <m/>
    <m/>
    <m/>
    <m/>
    <m/>
    <m/>
    <m/>
    <m/>
    <m/>
    <m/>
    <m/>
    <m/>
    <m/>
    <m/>
    <m/>
    <m/>
    <m/>
    <m/>
    <m/>
    <m/>
    <m/>
    <m/>
    <m/>
    <m/>
    <m/>
    <m/>
    <m/>
    <m/>
    <m/>
    <m/>
    <m/>
    <m/>
    <m/>
    <m/>
    <m/>
    <m/>
  </r>
  <r>
    <x v="199"/>
    <n v="2011"/>
    <x v="31"/>
    <s v="Africa"/>
    <m/>
    <s v="Mining"/>
    <s v="yes"/>
    <s v="no"/>
    <s v="no"/>
    <s v="Total Mining"/>
    <s v="Total"/>
    <s v="Total Mining"/>
    <m/>
    <m/>
    <m/>
    <m/>
    <m/>
    <m/>
    <m/>
    <m/>
    <m/>
    <n v="509572462.55053759"/>
    <m/>
    <m/>
    <m/>
    <n v="12244951"/>
    <n v="11098802"/>
    <m/>
    <m/>
    <m/>
    <n v="2.4029852277948769E-2"/>
    <m/>
    <m/>
    <m/>
    <m/>
    <m/>
    <m/>
    <m/>
    <n v="21"/>
    <s v="African Minerals Ltd, AMR Gold (SL) Ltd, Cluff Gold (SL) Ltd, Danasha Gem (SL) Ltd, Diam Investment (SL) Ltd, Hasanein Ibrahim Akar, Kingho Investment Co Ltd, Koidu Holdings SA, Lion Stones (SL) Ltd, London Mining Co Ltd, Marampa Iron Ore (SL) Ltd, Metal Exploration (SL) Ltd, Murray Investment Company Ltd, Shanti Sierra Ltd, Shawke B Shour, Sierra Minerals Holdings Ltd, Sierra Rutile Ltd, West Africa Group for Mining Gold and Diamonds (SL) Ltd, West African Zircon Ltd, HM Diamonds, Kassim Basma"/>
    <n v="15"/>
    <m/>
    <m/>
    <m/>
    <m/>
    <s v="18-19"/>
    <m/>
    <m/>
    <m/>
    <m/>
    <m/>
    <m/>
    <m/>
    <m/>
    <m/>
    <m/>
    <m/>
    <m/>
    <m/>
    <m/>
    <m/>
    <m/>
    <m/>
    <m/>
    <m/>
    <m/>
    <m/>
  </r>
  <r>
    <x v="199"/>
    <n v="2011"/>
    <x v="31"/>
    <s v="Africa"/>
    <m/>
    <s v="Mining"/>
    <s v="yes"/>
    <s v="no"/>
    <s v="no"/>
    <s v="Bauxite"/>
    <s v="detailed"/>
    <s v="detailed Mining"/>
    <n v="1300000"/>
    <m/>
    <m/>
    <m/>
    <m/>
    <s v="t"/>
    <n v="30.49"/>
    <s v="US$/t"/>
    <s v="Volume from USGS Mineral Yearbook 2012. Price from USGS Mineral Yearbook 2012, and is the average f.a.s. price of US imports of crude and dried bauxite."/>
    <n v="39637000"/>
    <m/>
    <m/>
    <m/>
    <n v="1286069"/>
    <n v="1286077"/>
    <m/>
    <m/>
    <m/>
    <n v="3.2446174029316044E-2"/>
    <m/>
    <m/>
    <m/>
    <m/>
    <m/>
    <m/>
    <m/>
    <n v="1"/>
    <s v="Sierra Minerals Ltd"/>
    <n v="1"/>
    <m/>
    <m/>
    <m/>
    <m/>
    <s v="18-19"/>
    <m/>
    <m/>
    <m/>
    <m/>
    <m/>
    <m/>
    <m/>
    <m/>
    <m/>
    <m/>
    <m/>
    <m/>
    <m/>
    <m/>
    <m/>
    <m/>
    <m/>
    <m/>
    <m/>
    <m/>
    <m/>
  </r>
  <r>
    <x v="199"/>
    <n v="2011"/>
    <x v="31"/>
    <s v="Africa"/>
    <m/>
    <s v="Mining"/>
    <s v="yes"/>
    <s v="no"/>
    <s v="no"/>
    <s v="Diamonds"/>
    <s v="detailed"/>
    <s v="detailed Mining"/>
    <n v="357161"/>
    <m/>
    <m/>
    <m/>
    <m/>
    <s v="carats"/>
    <n v="347.6"/>
    <s v="US$/carat"/>
    <s v="Volume from USGS Mineral Yearbook 2012. Price from Kimberly Process Annual Summary 2011."/>
    <n v="124149163.60000001"/>
    <m/>
    <m/>
    <m/>
    <n v="5845518"/>
    <n v="4699007"/>
    <m/>
    <m/>
    <m/>
    <n v="4.7084634567767639E-2"/>
    <m/>
    <m/>
    <m/>
    <m/>
    <m/>
    <m/>
    <m/>
    <n v="11"/>
    <s v="Danasha Gem (SL) Ltd, Diam Investment (SL) Ltd, Hasanein Ibrahim Akar, Koidu Holdings SA, HM Diamonds, Kassim Basma, Lion Stones (SL) Ltd, Murray Investment Company, Shanti Sierra Ltd, Shawke B Shour Ltd, West Africa Group for Mining Gold and Diamonds (SL) Ltd"/>
    <n v="5"/>
    <m/>
    <m/>
    <m/>
    <m/>
    <s v="18-19"/>
    <m/>
    <m/>
    <m/>
    <m/>
    <m/>
    <m/>
    <m/>
    <m/>
    <m/>
    <m/>
    <m/>
    <m/>
    <m/>
    <m/>
    <m/>
    <m/>
    <m/>
    <m/>
    <m/>
    <m/>
    <m/>
  </r>
  <r>
    <x v="199"/>
    <n v="2011"/>
    <x v="31"/>
    <s v="Africa"/>
    <m/>
    <s v="Mining"/>
    <s v="yes"/>
    <s v="no"/>
    <s v="no"/>
    <s v="Gold"/>
    <s v="detailed"/>
    <s v="detailed Mining"/>
    <n v="5272.7218727459995"/>
    <m/>
    <m/>
    <m/>
    <m/>
    <s v="toz"/>
    <n v="1569.2108333333299"/>
    <s v="US$/toz"/>
    <s v="Volume from USGS Mineral Yearbook 2012. Price from World Bank (Global Economic Monitor (GEM) Commodities database), and is defined as: Gold (UK), 99.5% fine, London afternoon fixing, average of daily rates."/>
    <n v="8274012.2838666253"/>
    <m/>
    <m/>
    <m/>
    <n v="412938"/>
    <n v="412938"/>
    <m/>
    <m/>
    <m/>
    <n v="4.9907830183571485E-2"/>
    <m/>
    <m/>
    <m/>
    <m/>
    <m/>
    <m/>
    <m/>
    <n v="2"/>
    <s v="AMR Gold (SL) Ltd, Cluff Gold Resources"/>
    <n v="2"/>
    <m/>
    <m/>
    <m/>
    <m/>
    <s v="18-19"/>
    <m/>
    <m/>
    <m/>
    <m/>
    <m/>
    <m/>
    <m/>
    <m/>
    <m/>
    <m/>
    <m/>
    <m/>
    <m/>
    <m/>
    <m/>
    <m/>
    <m/>
    <m/>
    <m/>
    <m/>
    <m/>
  </r>
  <r>
    <x v="199"/>
    <n v="2011"/>
    <x v="31"/>
    <s v="Africa"/>
    <m/>
    <s v="Mining"/>
    <s v="yes"/>
    <s v="no"/>
    <s v="no"/>
    <s v="Iron Ore"/>
    <s v="detailed"/>
    <s v="detailed Mining"/>
    <n v="1300000"/>
    <m/>
    <m/>
    <m/>
    <m/>
    <s v="t"/>
    <n v="167.75416666666999"/>
    <s v="US$/t"/>
    <s v="Volume from USGS Mineral Yearbook 2012. Price from World Bank (Global Economic Monitor (GEM) Commodities database), and is defined as: Iron ore (any origin) fines, spot price, c.f.r. China, 62% Fe."/>
    <n v="218080416.66667098"/>
    <m/>
    <m/>
    <m/>
    <n v="3529379"/>
    <n v="3529621"/>
    <m/>
    <m/>
    <m/>
    <n v="1.6183841969609515E-2"/>
    <m/>
    <m/>
    <m/>
    <m/>
    <m/>
    <m/>
    <m/>
    <n v="5"/>
    <s v="African Minerals Ltd, Kingho Investment Co Ltd, London Mining Co Ltd, Marampa Iron Ore (SL) Ltd, Metal Exploration (SL) Ltd"/>
    <n v="5"/>
    <m/>
    <m/>
    <m/>
    <m/>
    <s v="18-19"/>
    <m/>
    <m/>
    <m/>
    <m/>
    <m/>
    <m/>
    <m/>
    <m/>
    <m/>
    <m/>
    <m/>
    <m/>
    <m/>
    <m/>
    <m/>
    <m/>
    <m/>
    <m/>
    <m/>
    <m/>
    <m/>
  </r>
  <r>
    <x v="199"/>
    <n v="2011"/>
    <x v="31"/>
    <s v="Africa"/>
    <m/>
    <s v="Mining"/>
    <s v="yes"/>
    <s v="no"/>
    <s v="no"/>
    <s v="Titanium minerals &amp; Zircon"/>
    <s v="detailed"/>
    <s v="detailed Mining"/>
    <m/>
    <m/>
    <m/>
    <m/>
    <m/>
    <m/>
    <m/>
    <m/>
    <m/>
    <n v="119431870"/>
    <m/>
    <m/>
    <m/>
    <n v="1171161"/>
    <n v="1171047"/>
    <m/>
    <m/>
    <m/>
    <n v="9.8061011688086279E-3"/>
    <m/>
    <m/>
    <m/>
    <m/>
    <m/>
    <m/>
    <m/>
    <n v="2"/>
    <s v="Sierra Rutile Ltd, West African Zircon"/>
    <n v="2"/>
    <m/>
    <m/>
    <m/>
    <m/>
    <s v="18-19"/>
    <m/>
    <m/>
    <m/>
    <m/>
    <m/>
    <m/>
    <m/>
    <m/>
    <m/>
    <m/>
    <m/>
    <m/>
    <m/>
    <m/>
    <m/>
    <m/>
    <m/>
    <m/>
    <m/>
    <m/>
    <m/>
  </r>
  <r>
    <x v="199"/>
    <n v="2011"/>
    <x v="31"/>
    <s v="Africa"/>
    <m/>
    <s v="Mining"/>
    <s v="yes"/>
    <s v="no"/>
    <s v="no"/>
    <s v="o/w Ilmenite concentrate"/>
    <s v="detailed"/>
    <s v="detailed Mining"/>
    <n v="15946"/>
    <m/>
    <m/>
    <m/>
    <m/>
    <s v="t"/>
    <n v="195"/>
    <s v="US$/t"/>
    <s v="Volume from USGS Mineral Yearbook 2012. Price from USGS Mineral Commodity Summary 2013, and is the f.o.b. price in Australia for a bulk product with a minimum TiO2 content of 54%."/>
    <n v="3109470"/>
    <m/>
    <m/>
    <m/>
    <m/>
    <m/>
    <m/>
    <m/>
    <m/>
    <m/>
    <m/>
    <m/>
    <m/>
    <m/>
    <m/>
    <m/>
    <m/>
    <m/>
    <m/>
    <m/>
    <m/>
    <m/>
    <m/>
    <m/>
    <m/>
    <m/>
    <m/>
    <m/>
    <m/>
    <m/>
    <m/>
    <m/>
    <m/>
    <m/>
    <m/>
    <m/>
    <m/>
    <m/>
    <m/>
    <m/>
    <m/>
    <m/>
    <m/>
    <m/>
    <m/>
    <m/>
  </r>
  <r>
    <x v="199"/>
    <n v="2011"/>
    <x v="31"/>
    <s v="Africa"/>
    <m/>
    <s v="Mining"/>
    <s v="yes"/>
    <s v="no"/>
    <s v="no"/>
    <s v="o/w Rutile concentrate"/>
    <s v="detailed"/>
    <s v="detailed Mining"/>
    <n v="67916"/>
    <m/>
    <m/>
    <m/>
    <m/>
    <s v="t"/>
    <n v="1400"/>
    <s v="US$/t"/>
    <s v="Volume from USGS Mineral Yearbook 2012. Price from USGS Mineral Commodity Summary 2013, and is the f.o.b. price in Australia for a bulk product with a minimum TiO2 content of 95%."/>
    <n v="95082400"/>
    <m/>
    <m/>
    <m/>
    <m/>
    <m/>
    <m/>
    <m/>
    <m/>
    <m/>
    <m/>
    <m/>
    <m/>
    <m/>
    <m/>
    <m/>
    <m/>
    <m/>
    <m/>
    <m/>
    <m/>
    <m/>
    <m/>
    <m/>
    <m/>
    <m/>
    <m/>
    <m/>
    <m/>
    <m/>
    <m/>
    <m/>
    <m/>
    <m/>
    <m/>
    <m/>
    <m/>
    <m/>
    <m/>
    <m/>
    <m/>
    <m/>
    <m/>
    <m/>
    <m/>
    <m/>
  </r>
  <r>
    <x v="199"/>
    <n v="2011"/>
    <x v="31"/>
    <s v="Africa"/>
    <m/>
    <s v="Mining"/>
    <s v="yes"/>
    <s v="no"/>
    <s v="no"/>
    <s v="o/w Zirconconium concentrate"/>
    <s v="detailed"/>
    <s v="detailed Mining"/>
    <n v="8496"/>
    <m/>
    <m/>
    <m/>
    <m/>
    <s v="t"/>
    <n v="2500"/>
    <s v="US$/t"/>
    <s v="Volume from USGS Mineral Yearbook 2012. Price from USGS Mineral Commodity Summary 2013, and is the f.o.b. price for US imports."/>
    <n v="21240000"/>
    <m/>
    <m/>
    <m/>
    <m/>
    <m/>
    <m/>
    <m/>
    <m/>
    <m/>
    <m/>
    <m/>
    <m/>
    <m/>
    <m/>
    <m/>
    <m/>
    <m/>
    <m/>
    <m/>
    <m/>
    <m/>
    <m/>
    <m/>
    <m/>
    <m/>
    <m/>
    <m/>
    <m/>
    <m/>
    <m/>
    <m/>
    <m/>
    <m/>
    <m/>
    <m/>
    <m/>
    <m/>
    <m/>
    <m/>
    <m/>
    <m/>
    <m/>
    <m/>
    <m/>
    <m/>
  </r>
  <r>
    <x v="200"/>
    <n v="2009"/>
    <x v="32"/>
    <s v="Africa"/>
    <s v="http://www.teiti.or.tz/"/>
    <s v="Gas, Mining"/>
    <s v="yes"/>
    <s v="yes"/>
    <s v="no"/>
    <s v="Total"/>
    <s v="Total"/>
    <s v="Total Gas, Mining"/>
    <m/>
    <m/>
    <m/>
    <m/>
    <m/>
    <m/>
    <m/>
    <m/>
    <m/>
    <n v="1437074058.2265177"/>
    <s v="State-owned company production entitlement, Profits/Taxes, Royalties, Dividends, Licenses and concessions, Other significant benefits to government"/>
    <s v="Does not include payments made in-kind"/>
    <m/>
    <n v="102252340"/>
    <n v="138928383"/>
    <m/>
    <m/>
    <m/>
    <n v="7.1153145806687829E-2"/>
    <s v="United States Dollar and Tanzania Shilling"/>
    <n v="1248"/>
    <s v="Disaggregated by revenue stream, Disaggregated by commodity, Disaggregated by company, Disaggregated by company and revenue stream, Disaggregated by commodity and revenue stream"/>
    <m/>
    <m/>
    <m/>
    <m/>
    <n v="11"/>
    <s v="Bulyanhulu Gold Mine Limited, Pangea Minerals Limited, North Mara Gold Mine Limited, Geita Gold Mine Limited, Resolute (Tanzania) Limited, Williamson Diamonds Limited, El-Hillal Minerals Limited, Tanzaniteone Mining Limited, Pan African Energy Tanzania Ltd, Artumas Group &amp; Partners (Gas) Ltd, Tanzania Petroleum Development Corporation (TPDC)"/>
    <n v="11"/>
    <s v="January 2011"/>
    <d v="2014-09-17T00:00:00"/>
    <s v="Hart Group &amp;amp; BDO East Africa"/>
    <s v="http://eiti.org/files/Tanzania%20Jul%202008-%20Jun%202009%20EITI%20Report.pdf"/>
    <s v="23-24"/>
    <s v="The report covers the  financial year of 1 July 2008 to 30 June 2009. The report uses both US dollars and the local currency, the Tanzania shilling. Materiality threshold: the three largest gas producers should be reconciled; the nine largest mining companies (which classifies one company operating in two geographical areas as two companies) should be reconciled. Unilateral declarations are included in the figures. The figures for company payments provided in the company disaggregation do not total to the same amount as the figures for company payments provided in the revenue stream disaggregation.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also covers the majority shareowner of the companies."/>
    <m/>
    <m/>
    <m/>
    <m/>
    <m/>
    <m/>
    <m/>
    <m/>
    <m/>
    <m/>
    <m/>
    <m/>
    <m/>
    <m/>
    <m/>
    <m/>
    <m/>
    <m/>
    <m/>
    <m/>
  </r>
  <r>
    <x v="200"/>
    <n v="2009"/>
    <x v="32"/>
    <s v="Africa"/>
    <m/>
    <s v="Gas"/>
    <s v="no"/>
    <s v="yes"/>
    <s v="no"/>
    <s v="Gas"/>
    <s v="detailed"/>
    <s v="detailed Gas"/>
    <n v="608462088.76712334"/>
    <m/>
    <m/>
    <m/>
    <m/>
    <s v="m³"/>
    <n v="0.23727100273972601"/>
    <s v="US$/m³"/>
    <s v="Volume from EIA, adjusted to account for the fiscal year. Price from BPSR 2014, and is an average of the UK, US and Canada Indices for natural gas, adjusted to account for the fiscal year."/>
    <n v="144370409.93088353"/>
    <m/>
    <m/>
    <m/>
    <n v="10567107"/>
    <n v="14889559"/>
    <m/>
    <m/>
    <m/>
    <n v="7.3194410163820542E-2"/>
    <m/>
    <m/>
    <m/>
    <m/>
    <m/>
    <m/>
    <m/>
    <n v="3"/>
    <s v="Pan African Energy Tanzania Ltd, Artumas Group &amp; Partners (Gas) Ltd, Tanzania Petroleum Development Corporation (TPDC)"/>
    <n v="3"/>
    <m/>
    <m/>
    <m/>
    <m/>
    <s v="59-61"/>
    <m/>
    <m/>
    <m/>
    <m/>
    <m/>
    <m/>
    <m/>
    <m/>
    <m/>
    <m/>
    <m/>
    <m/>
    <m/>
    <m/>
    <m/>
    <m/>
    <m/>
    <m/>
    <m/>
    <m/>
    <m/>
  </r>
  <r>
    <x v="200"/>
    <n v="2009"/>
    <x v="32"/>
    <s v="Africa"/>
    <m/>
    <s v="Mining"/>
    <s v="yes"/>
    <s v="no"/>
    <s v="no"/>
    <s v="Total Mining"/>
    <s v="Total"/>
    <s v="Total Mining"/>
    <m/>
    <m/>
    <m/>
    <m/>
    <m/>
    <m/>
    <m/>
    <m/>
    <m/>
    <n v="1292703648.2956343"/>
    <m/>
    <m/>
    <m/>
    <n v="91685617"/>
    <n v="115158295"/>
    <m/>
    <m/>
    <m/>
    <n v="7.0925472455255267E-2"/>
    <m/>
    <m/>
    <m/>
    <m/>
    <m/>
    <m/>
    <m/>
    <n v="8"/>
    <s v="Bulyanhulu Gold Mine Limited, Pangea Minerals Limited, North Mara Gold Mine Limited, Geita Gold Mine Limited, Resolute (Tanzania) Limited, Williamson Diamonds Limited, El-Hillal Minerals Limited, Tanzanite One Mining Limited"/>
    <n v="8"/>
    <m/>
    <m/>
    <m/>
    <m/>
    <s v="44-58"/>
    <m/>
    <m/>
    <m/>
    <m/>
    <m/>
    <m/>
    <m/>
    <m/>
    <m/>
    <m/>
    <m/>
    <m/>
    <m/>
    <m/>
    <m/>
    <m/>
    <m/>
    <m/>
    <m/>
    <m/>
    <m/>
  </r>
  <r>
    <x v="200"/>
    <n v="2009"/>
    <x v="32"/>
    <s v="Africa"/>
    <m/>
    <s v="Mining"/>
    <s v="yes"/>
    <s v="no"/>
    <s v="no"/>
    <s v="Diamond"/>
    <s v="detailed"/>
    <s v="detailed Mining"/>
    <n v="210004.32328767123"/>
    <m/>
    <m/>
    <m/>
    <m/>
    <s v="carats"/>
    <n v="118.65145205479453"/>
    <s v="US$/carat"/>
    <s v="Volume from USGS Mineral Yearbook 2012, adjusted to account for the fiscal year. Price from Kimberley Process Annual Summary 2008 and 2009, adjusted to account for the fiscal year."/>
    <n v="24917317.895866692"/>
    <m/>
    <m/>
    <m/>
    <n v="6131329"/>
    <n v="6696569"/>
    <m/>
    <m/>
    <m/>
    <n v="0.24606697340475278"/>
    <m/>
    <m/>
    <m/>
    <m/>
    <m/>
    <m/>
    <m/>
    <n v="2"/>
    <s v="Williamson Diamonds Limited, El-Hillal Minerals Limited"/>
    <n v="2"/>
    <m/>
    <m/>
    <m/>
    <m/>
    <s v="54-56"/>
    <m/>
    <m/>
    <m/>
    <m/>
    <m/>
    <m/>
    <m/>
    <m/>
    <m/>
    <m/>
    <m/>
    <m/>
    <m/>
    <m/>
    <m/>
    <m/>
    <m/>
    <m/>
    <m/>
    <m/>
    <m/>
  </r>
  <r>
    <x v="200"/>
    <n v="2009"/>
    <x v="32"/>
    <s v="Africa"/>
    <m/>
    <s v="Mining"/>
    <s v="yes"/>
    <s v="no"/>
    <s v="no"/>
    <s v="Gold"/>
    <s v="detailed"/>
    <s v="detailed Mining"/>
    <n v="1214076.1857744374"/>
    <m/>
    <m/>
    <m/>
    <m/>
    <s v="toz"/>
    <n v="1009.783207158904"/>
    <s v="US$/toz"/>
    <s v="Volume from USGS Mineral Yearbook 2012, adjusted to account for the fiscal year. Price from World Bank (Global Economic Monitor (GEM) Commodities database) - defined as: Gold (UK), 99.5% fine, London afternoon fixing, average of daily rates - adjusted to account for the fiscal year and for the price given in the 2011 EITI Report being 109.53% of this in the fiscal year of 2010-11."/>
    <n v="1225953744.6065607"/>
    <m/>
    <m/>
    <m/>
    <n v="83605841"/>
    <n v="105572207"/>
    <m/>
    <m/>
    <m/>
    <n v="6.8196570521370861E-2"/>
    <m/>
    <m/>
    <m/>
    <m/>
    <m/>
    <m/>
    <m/>
    <n v="5"/>
    <s v="Bulyanhulu Gold Mine Limited, Pangea Minerals Limited, North Mara Gold Mine Limited, Geita Gold Mine Limited, Resolute (Tanzania) Limited"/>
    <n v="5"/>
    <m/>
    <m/>
    <m/>
    <m/>
    <s v="44-53"/>
    <m/>
    <m/>
    <m/>
    <m/>
    <m/>
    <m/>
    <m/>
    <m/>
    <m/>
    <m/>
    <m/>
    <m/>
    <m/>
    <m/>
    <m/>
    <m/>
    <m/>
    <m/>
    <m/>
    <m/>
    <m/>
  </r>
  <r>
    <x v="200"/>
    <n v="2009"/>
    <x v="32"/>
    <s v="Africa"/>
    <m/>
    <s v="Mining"/>
    <s v="yes"/>
    <s v="no"/>
    <s v="no"/>
    <s v="Tanzanite"/>
    <s v="detailed"/>
    <s v="detailed Mining"/>
    <n v="718.59726027397255"/>
    <m/>
    <m/>
    <m/>
    <m/>
    <s v="kg"/>
    <n v="58214.229452054788"/>
    <s v="US$/kg"/>
    <s v="Volume from USGS Mineral Yearbook 2012, adjusted to account for the fiscal year. Price from the USGS Mineral Yearbook 2008 and 2009, and is the median of the year-end price range for cut tanzanite in the US, adjusted to account for the fiscal year and for the price given in the 2011 EITI Report being 3.21% of this in the fiscal year of 2010-11."/>
    <n v="41832585.793206975"/>
    <m/>
    <m/>
    <m/>
    <n v="1948447"/>
    <n v="2889519"/>
    <m/>
    <m/>
    <m/>
    <n v="4.6577254622314081E-2"/>
    <m/>
    <m/>
    <m/>
    <m/>
    <m/>
    <m/>
    <m/>
    <n v="1"/>
    <s v="Tanzaniteone Mining Limited"/>
    <n v="1"/>
    <m/>
    <m/>
    <m/>
    <m/>
    <s v="57-58"/>
    <m/>
    <m/>
    <m/>
    <m/>
    <m/>
    <m/>
    <m/>
    <m/>
    <m/>
    <m/>
    <m/>
    <m/>
    <m/>
    <m/>
    <m/>
    <m/>
    <m/>
    <m/>
    <m/>
    <m/>
    <m/>
  </r>
  <r>
    <x v="201"/>
    <n v="2010"/>
    <x v="32"/>
    <s v="Africa"/>
    <s v="http://www.teiti.or.tz/"/>
    <s v="Gas, Mining"/>
    <s v="yes"/>
    <s v="yes"/>
    <s v="no"/>
    <s v="Total"/>
    <s v="Total"/>
    <s v="Total Gas, Mining"/>
    <m/>
    <m/>
    <m/>
    <m/>
    <m/>
    <m/>
    <m/>
    <m/>
    <m/>
    <n v="1731467246.7526865"/>
    <s v="State-owned company production entitlement, Profits/Taxes, Royalties, Dividends, Licenses and concessions, Other significant benefits to government"/>
    <s v="Does not include payments made in-kind"/>
    <s v="-"/>
    <n v="305762430.10000002"/>
    <n v="309407926.30000001"/>
    <s v="92.4% of revenue"/>
    <n v="330911720.88744587"/>
    <s v="Inferred from EITI Report"/>
    <n v="0.19111636186480604"/>
    <s v="United States Dollar and Tanzania Shilling"/>
    <n v="1372.15"/>
    <s v="Disaggregated by revenue stream, Disaggregated by commodity, Disaggregated by company, Disaggregated by company and revenue stream, Disaggregated by commodity and revenue stream"/>
    <m/>
    <m/>
    <m/>
    <m/>
    <n v="24"/>
    <s v="Etablissement Maurel et Prom, Orphir Tanzania Limited, Pan African Energy Tanzania Limited, Petrobras Tanzania Limited, Songas Limited, Statoil Tanzania AS, Tullow Tanzania, B.V, Wentworth Gas Limited, Tanzania Petroleum Development Corporation (TPDC), Barrick Exploration Africa Limited, Bulyanhulu Gold Mine Limited, Geita Gold Mining Limited, Mbeya Cement Company Limited, Mineral Extraction Technologies Limited, North Mara Gold Mine Limited, Pangea Minerals Limited, Resolute Tanzania Limited, Seasalt Limited, Shanta Mining Company Limited, Tancan Mining Company Limited, Tanga Cement Company Limited, Tanzania Portland Cement Company Limited, Tanzaniteone Mining Limited, Williamson Diamonds Limited"/>
    <n v="22"/>
    <s v="May 2012"/>
    <d v="2014-09-17T00:00:00"/>
    <s v="BDO East Africa &amp;amp; Paulsam Geo-Engineering Ltd"/>
    <s v="http://eiti.org/files/Tanzania-2010-EITI-Report.pdf"/>
    <s v="39-40"/>
    <s v="The report covers the  financial year of 1 July 2009 to 30 June 2010. The report uses both US dollars and the local currency, the Tanzania shilling. Materiality threshold: all companies that paid more than TzS 200 million in the financial year should be reconciled. Reporting companies accounted for 92.4% of total mining and petroleum revenues collected by Government.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provides production volumes for some companies in 2010 but not the fiscal year."/>
    <m/>
    <m/>
    <m/>
    <m/>
    <m/>
    <m/>
    <m/>
    <m/>
    <m/>
    <m/>
    <m/>
    <m/>
    <m/>
    <m/>
    <m/>
    <m/>
    <m/>
    <m/>
    <m/>
    <m/>
  </r>
  <r>
    <x v="201"/>
    <n v="2010"/>
    <x v="32"/>
    <s v="Africa"/>
    <m/>
    <s v="Gas"/>
    <s v="no"/>
    <s v="yes"/>
    <s v="no"/>
    <s v="Gas"/>
    <s v="detailed"/>
    <s v="detailed Gas"/>
    <n v="721496547.94520533"/>
    <m/>
    <m/>
    <m/>
    <m/>
    <s v="m³"/>
    <n v="0.15904520547945206"/>
    <s v="US$/m³"/>
    <s v="Volume from EIA, adjusted to account for the fiscal year. Price from BPSR 2014, and is an average of the UK, US and Canada Indices for natural gas, adjusted to account for the fiscal year."/>
    <n v="114750566.72066051"/>
    <m/>
    <m/>
    <m/>
    <n v="60253511.736775927"/>
    <n v="60421683.815934844"/>
    <m/>
    <m/>
    <m/>
    <n v="0.5250824763545805"/>
    <m/>
    <m/>
    <m/>
    <m/>
    <m/>
    <m/>
    <m/>
    <n v="9"/>
    <s v="Etablissement Maurel et Prom, Orphir Tanzania Limited, Pan African Energy Tanzania Limited, Petrobras Tanzania Limited, Songas Limited, Statoil Tanzania AS, Tullow Tanzania B.V, Wentworth Gas Limited, Tanzania Petroleum Development Corporation (TPDC)"/>
    <n v="9"/>
    <m/>
    <m/>
    <m/>
    <m/>
    <s v="39-40"/>
    <m/>
    <m/>
    <m/>
    <m/>
    <m/>
    <m/>
    <m/>
    <m/>
    <m/>
    <m/>
    <m/>
    <m/>
    <m/>
    <m/>
    <m/>
    <m/>
    <m/>
    <m/>
    <m/>
    <m/>
    <m/>
  </r>
  <r>
    <x v="201"/>
    <n v="2010"/>
    <x v="32"/>
    <s v="Africa"/>
    <m/>
    <s v="Mining"/>
    <s v="yes"/>
    <s v="no"/>
    <s v="no"/>
    <s v="Total Mining"/>
    <s v="Total"/>
    <s v="Total Mining"/>
    <m/>
    <m/>
    <m/>
    <m/>
    <m/>
    <m/>
    <m/>
    <m/>
    <m/>
    <n v="1616716680.0320261"/>
    <m/>
    <m/>
    <m/>
    <n v="245508918.34572005"/>
    <n v="248986240.68433204"/>
    <m/>
    <m/>
    <m/>
    <n v="0.15185648875773131"/>
    <m/>
    <m/>
    <m/>
    <m/>
    <m/>
    <m/>
    <m/>
    <n v="15"/>
    <s v="Barrick Exploration Africa Limited, Bulyanhulu Gold Mine Limited, Geita Gold Mining Limited, Mbeya Cement Company Limited, Mineral Extraction Technologies Limited, North Mara Gold Mine Limited, Pangea Minerals Limited, Resolute Tanzania Limited, Seasalt Limited, Shanta Mining Company Limited, Tancan Mining Company Limited, Tanga Cement Company Limited, Tanzania Portland Cement Company Limited, Tanzaniteone Mining Limited, Williamson Diamonds Limited"/>
    <n v="13"/>
    <m/>
    <m/>
    <m/>
    <m/>
    <s v="39-40"/>
    <m/>
    <m/>
    <m/>
    <m/>
    <m/>
    <m/>
    <m/>
    <m/>
    <m/>
    <m/>
    <m/>
    <m/>
    <m/>
    <m/>
    <m/>
    <m/>
    <m/>
    <m/>
    <m/>
    <m/>
    <m/>
  </r>
  <r>
    <x v="201"/>
    <n v="2010"/>
    <x v="32"/>
    <s v="Africa"/>
    <m/>
    <s v="Mining"/>
    <s v="yes"/>
    <s v="no"/>
    <s v="no"/>
    <s v="Coal"/>
    <s v="detailed"/>
    <s v="detailed Mining"/>
    <n v="88.764383561643839"/>
    <m/>
    <m/>
    <m/>
    <m/>
    <s v="t"/>
    <n v="81.108739726027409"/>
    <s v="US$/t"/>
    <s v="Volume from USGS Mineral Yearbook 2012, adjusted to account for the fiscal year. Price from BPSR 2014, and is  an average of the American Central Appalachian, Asian and Northwest Europe marker/spot prices, adjusted to account for the fiscal year."/>
    <n v="7199.5672832426362"/>
    <m/>
    <m/>
    <m/>
    <m/>
    <m/>
    <m/>
    <m/>
    <m/>
    <m/>
    <m/>
    <m/>
    <m/>
    <m/>
    <m/>
    <m/>
    <m/>
    <m/>
    <m/>
    <m/>
    <m/>
    <m/>
    <m/>
    <m/>
    <m/>
    <m/>
    <m/>
    <m/>
    <m/>
    <m/>
    <m/>
    <m/>
    <m/>
    <m/>
    <m/>
    <m/>
    <m/>
    <m/>
    <m/>
    <m/>
    <m/>
    <m/>
    <m/>
    <m/>
    <m/>
    <m/>
  </r>
  <r>
    <x v="201"/>
    <n v="2010"/>
    <x v="32"/>
    <s v="Africa"/>
    <m/>
    <s v="Mining"/>
    <s v="yes"/>
    <s v="no"/>
    <s v="no"/>
    <s v="Diamond"/>
    <s v="detailed"/>
    <s v="detailed Mining"/>
    <n v="131602.61369863013"/>
    <m/>
    <m/>
    <m/>
    <m/>
    <s v="carats"/>
    <n v="160.42969863013698"/>
    <s v="US$/carat"/>
    <s v="Volume from USGS Mineral Yearbook 2012, adjusted to account for the fiscal year. Price from Kimberley Process Annual Summary 2009 and 2010, adjusted to account for the fiscal year."/>
    <n v="21112967.654609568"/>
    <m/>
    <m/>
    <m/>
    <n v="3504749.2471331009"/>
    <n v="3341654.408236878"/>
    <m/>
    <m/>
    <m/>
    <n v="0.1659998397415208"/>
    <m/>
    <m/>
    <m/>
    <m/>
    <m/>
    <m/>
    <m/>
    <n v="1"/>
    <s v="Williamson Diamonds Limited"/>
    <n v="1"/>
    <m/>
    <m/>
    <m/>
    <m/>
    <s v="39-40"/>
    <m/>
    <m/>
    <m/>
    <m/>
    <m/>
    <m/>
    <m/>
    <m/>
    <m/>
    <m/>
    <m/>
    <m/>
    <m/>
    <m/>
    <m/>
    <m/>
    <m/>
    <m/>
    <m/>
    <m/>
    <m/>
  </r>
  <r>
    <x v="201"/>
    <n v="2010"/>
    <x v="32"/>
    <s v="Africa"/>
    <m/>
    <s v="Mining"/>
    <s v="yes"/>
    <s v="no"/>
    <s v="no"/>
    <s v="Gold"/>
    <s v="detailed"/>
    <s v="detailed Mining"/>
    <n v="1262836.7955581371"/>
    <m/>
    <m/>
    <m/>
    <m/>
    <s v="toz"/>
    <n v="1202.3991541972603"/>
    <s v="US$/toz"/>
    <s v="Volume from USGS Mineral Yearbook 2012, adjusted to account for the fiscal year. Price from World Bank (Global Economic Monitor (GEM) Commodities database) - defined as: Gold (UK), 99.5% fine, London afternoon fixing, average of daily rates - adjusted to account for the fiscal year and for the price given in the 2011 EITI Report being 109.53% of this in the fiscal year of 2010-11."/>
    <n v="1518433894.8682826"/>
    <m/>
    <m/>
    <m/>
    <n v="194098293.0180403"/>
    <n v="217618121.77843034"/>
    <m/>
    <m/>
    <m/>
    <n v="0.12782795067603353"/>
    <m/>
    <m/>
    <m/>
    <m/>
    <m/>
    <m/>
    <m/>
    <n v="6"/>
    <s v="Bulyanhulu Gold Mine Limited, Pangea Minerals Limited, North Mara Gold Mine Limited, Geita Gold Mine Limited, Resolute (Tanzania) Limited, Shanta Mining Company Limited"/>
    <n v="6"/>
    <m/>
    <m/>
    <m/>
    <m/>
    <s v="39-40"/>
    <m/>
    <m/>
    <m/>
    <m/>
    <m/>
    <m/>
    <m/>
    <m/>
    <m/>
    <m/>
    <m/>
    <m/>
    <m/>
    <m/>
    <m/>
    <m/>
    <m/>
    <m/>
    <m/>
    <m/>
    <m/>
  </r>
  <r>
    <x v="201"/>
    <n v="2010"/>
    <x v="32"/>
    <s v="Africa"/>
    <m/>
    <s v="Mining"/>
    <s v="yes"/>
    <s v="no"/>
    <s v="no"/>
    <s v="Limestone"/>
    <s v="detailed"/>
    <s v="detailed Mining"/>
    <n v="1359723.2876712328"/>
    <m/>
    <m/>
    <m/>
    <m/>
    <s v="t"/>
    <n v="0.1324502684931507"/>
    <s v="US$/t"/>
    <s v="Volume from USGS Mineral Yearbook 2012, adjusted to account for the fiscal year. Price from USGS Mineral Yearbook 2010, and is the price in the US for crushed limestone, adjusted to account for the fiscal year and for the price given in the 2011 EITI Report being 1.48% of this in the fiscal year of 2010-11."/>
    <n v="180095.71452844437"/>
    <m/>
    <m/>
    <m/>
    <n v="44011271.543548338"/>
    <n v="24076677.025007721"/>
    <m/>
    <m/>
    <m/>
    <n v="244.37711723894012"/>
    <m/>
    <m/>
    <m/>
    <m/>
    <m/>
    <m/>
    <m/>
    <n v="3"/>
    <s v="Mbeya Cement Company Limited, Tanga Cement Company Limited, Tanzania Portland Cement Company Limited"/>
    <n v="2"/>
    <m/>
    <m/>
    <m/>
    <m/>
    <s v="39-40"/>
    <m/>
    <m/>
    <m/>
    <m/>
    <m/>
    <m/>
    <m/>
    <m/>
    <m/>
    <m/>
    <m/>
    <m/>
    <m/>
    <m/>
    <m/>
    <m/>
    <m/>
    <m/>
    <m/>
    <m/>
    <m/>
  </r>
  <r>
    <x v="201"/>
    <n v="2010"/>
    <x v="32"/>
    <s v="Africa"/>
    <m/>
    <s v="Mining"/>
    <s v="yes"/>
    <s v="no"/>
    <s v="no"/>
    <s v="Salt"/>
    <s v="detailed"/>
    <s v="detailed Mining"/>
    <n v="31424.797260273976"/>
    <m/>
    <m/>
    <m/>
    <m/>
    <s v="t"/>
    <n v="71.929424657534241"/>
    <s v="US$/t"/>
    <s v="Volume from USGS Mineral Yearbook 2012, adjusted to account for the fiscal year. Price from USGS Mineral Commodity Summary 2013, and is the average f.o.b. mine and plant price for bulk, pellets and packaged vacuum and open pan salt, solar salt, rock salt and salt in brine, adjusted to account for the fiscal year."/>
    <n v="2260367.5869111652"/>
    <m/>
    <m/>
    <m/>
    <n v="155004.72014196639"/>
    <n v="444033.25775649009"/>
    <m/>
    <m/>
    <m/>
    <n v="6.8575005693557678E-2"/>
    <m/>
    <m/>
    <m/>
    <m/>
    <m/>
    <m/>
    <m/>
    <n v="1"/>
    <s v="Seasalt Limited"/>
    <n v="1"/>
    <m/>
    <m/>
    <m/>
    <m/>
    <s v="39-40"/>
    <m/>
    <m/>
    <m/>
    <m/>
    <m/>
    <m/>
    <m/>
    <m/>
    <m/>
    <m/>
    <m/>
    <m/>
    <m/>
    <m/>
    <m/>
    <m/>
    <m/>
    <m/>
    <m/>
    <m/>
    <m/>
  </r>
  <r>
    <x v="201"/>
    <n v="2010"/>
    <x v="32"/>
    <s v="Africa"/>
    <m/>
    <s v="Mining"/>
    <s v="yes"/>
    <s v="no"/>
    <s v="no"/>
    <s v="Tanzanite"/>
    <s v="detailed"/>
    <s v="detailed Mining"/>
    <n v="1379.4328767123286"/>
    <m/>
    <m/>
    <m/>
    <m/>
    <s v="kg"/>
    <n v="54168.749999999993"/>
    <s v="US$/kg"/>
    <s v="Volume from USGS Mineral Yearbook 2012, adjusted to account for the fiscal year. Price from the USGS Mineral Yearbook 2009 and 2010, and is the median of the year-end price range for cut tanzanite in the US, adjusted to account for the fiscal year and for the price given in the 2011 EITI Report being 3.21% of this in the fiscal year of 2010-11."/>
    <n v="74722154.640410945"/>
    <m/>
    <m/>
    <m/>
    <n v="2369639.6191304452"/>
    <n v="2331830.2572042816"/>
    <m/>
    <m/>
    <m/>
    <n v="3.1712677860187208E-2"/>
    <m/>
    <m/>
    <m/>
    <m/>
    <m/>
    <m/>
    <m/>
    <n v="1"/>
    <s v="Tanzanite One Mining Limited"/>
    <n v="1"/>
    <m/>
    <m/>
    <m/>
    <m/>
    <s v="39-40"/>
    <m/>
    <m/>
    <m/>
    <m/>
    <m/>
    <m/>
    <m/>
    <m/>
    <m/>
    <m/>
    <m/>
    <m/>
    <m/>
    <m/>
    <m/>
    <m/>
    <m/>
    <m/>
    <m/>
    <m/>
    <m/>
  </r>
  <r>
    <x v="201"/>
    <n v="2010"/>
    <x v="32"/>
    <s v="Africa"/>
    <m/>
    <s v="Mining"/>
    <s v="yes"/>
    <s v="no"/>
    <s v="no"/>
    <s v="Others (inc. exploration of an unspecified mineral)"/>
    <s v="detailed"/>
    <s v="detailed Mining"/>
    <m/>
    <m/>
    <m/>
    <m/>
    <m/>
    <m/>
    <m/>
    <m/>
    <m/>
    <m/>
    <m/>
    <m/>
    <m/>
    <n v="1369960.1977258837"/>
    <n v="1173923.9576963184"/>
    <m/>
    <m/>
    <m/>
    <m/>
    <m/>
    <m/>
    <m/>
    <m/>
    <m/>
    <m/>
    <m/>
    <n v="3"/>
    <s v="Barrick Exploration Africa Limited, Mineral Extraction Technologies Limited, Tancan Mining Company Limited"/>
    <n v="2"/>
    <m/>
    <m/>
    <m/>
    <m/>
    <s v="39-40"/>
    <m/>
    <m/>
    <m/>
    <m/>
    <m/>
    <m/>
    <m/>
    <m/>
    <m/>
    <m/>
    <m/>
    <m/>
    <m/>
    <m/>
    <m/>
    <m/>
    <m/>
    <m/>
    <m/>
    <m/>
    <m/>
  </r>
  <r>
    <x v="202"/>
    <n v="2011"/>
    <x v="32"/>
    <s v="Africa"/>
    <s v="http://www.teiti.or.tz/"/>
    <s v="Gas, Mining"/>
    <s v="yes"/>
    <s v="yes"/>
    <s v="no"/>
    <s v="Total"/>
    <s v="Total"/>
    <s v="Total Gas, Mining"/>
    <m/>
    <m/>
    <m/>
    <m/>
    <m/>
    <m/>
    <m/>
    <m/>
    <m/>
    <n v="2253652278.7831125"/>
    <s v="State-owned company production entitlement, Profits/Taxes, Royalties, Dividends, Licenses and concessions, Other significant benefits to government"/>
    <s v="Does not include payments made in-kind"/>
    <s v="-"/>
    <n v="329804745"/>
    <n v="337100430"/>
    <s v="99.3% of revenue"/>
    <n v="332129652.56797582"/>
    <s v="Inferred from EITI Report"/>
    <n v="0.14737395635289102"/>
    <s v="United States Dollar and Tanzania Shilling"/>
    <n v="1507.7"/>
    <s v="Disaggregated by revenue stream, Disaggregated by commodity, Disaggregated by company, Disaggregated by company and revenue stream, Disaggregated by commodity and revenue stream"/>
    <m/>
    <m/>
    <m/>
    <m/>
    <n v="30"/>
    <s v="Etablissement Maurel et Prom, Orphir Tanzania Limited, Pan African Energy Tanzania Limited, Petrobras Tanzania Limited, Songas Limited, Statoil Tanzania AS, Tullow Tanzania B.V, Wentworth Gas Limited, Tanzania Petroleum Development Corporation (TPDC), BG International Limited, Beach Petroleum Tanzania Limited, Dominion Oil &amp; Gas Limited, Barrick Exploration Africa Limited,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 Tanzanite One Trading Limited, Williamson Diamonds Limited, Mantra Tanzania Limited, Bafex Tanzania Ltd, Tanzania American International, Canaco Tanzania Limited"/>
    <n v="29"/>
    <s v="June 2013"/>
    <d v="2014-09-18T00:00:00"/>
    <s v="BDO East Africa &amp;amp; Paulsam Geo-Engineering Ltd"/>
    <s v="http://eiti.org/files/Tanzania-2011-EITI-Report.pdf"/>
    <s v="55-56"/>
    <s v="The report covers the  financial year of 1 July 2010 to 30 June 2011. The report uses both US dollars and the local currency, the Tanzania shilling. Materiality threshold: all companies that paid more than TzS 150 million in the financial year should be reconciled. These companies accounted for 99.3% of total mining and petroleum revenues collected by Government.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also covers shareowners of companies, potential reserves, the values of companies' exports and gold export destinations."/>
    <m/>
    <m/>
    <m/>
    <m/>
    <m/>
    <m/>
    <m/>
    <m/>
    <m/>
    <m/>
    <m/>
    <m/>
    <m/>
    <m/>
    <m/>
    <m/>
    <m/>
    <m/>
    <m/>
    <m/>
  </r>
  <r>
    <x v="202"/>
    <n v="2011"/>
    <x v="32"/>
    <s v="Africa"/>
    <m/>
    <s v="Gas"/>
    <s v="no"/>
    <s v="yes"/>
    <s v="no"/>
    <s v="Gas"/>
    <s v="detailed"/>
    <s v="detailed Gas"/>
    <n v="820954459.17808223"/>
    <m/>
    <m/>
    <m/>
    <m/>
    <s v="m³"/>
    <n v="0.18529132054794523"/>
    <s v="US$/m³"/>
    <s v="Volume from EIA, adjusted to account for the fiscal year. Price from BPSR 2014, and is an average of the UK, US and Canada Indices for natural gas, adjusted to account for the fiscal year."/>
    <n v="152115735.85083106"/>
    <m/>
    <m/>
    <m/>
    <n v="73086077.200000003"/>
    <n v="71562388.00999999"/>
    <m/>
    <m/>
    <m/>
    <n v="0.48046362061890985"/>
    <m/>
    <m/>
    <m/>
    <m/>
    <m/>
    <m/>
    <m/>
    <n v="12"/>
    <s v="Etablissement Maurel et Prom, Orphir Tanzania Limited, Pan African Energy Tanzania Limited, Petrobras Tanzania Limited, Songas Limited, Statoil Tanzania AS, Tullow Tanzania B.V, Wentworth Gas Limited, Tanzania Petroleum Development Corporation (TPDC), BG International Limited, Beach Petroleum Tanzania Limited, Dominion Oil &amp; Gas Limited"/>
    <n v="11"/>
    <m/>
    <m/>
    <m/>
    <m/>
    <s v="55-56"/>
    <s v="The price inferred from the reported volume and value of sales in the EITI Report (p21) is US$135.5/m³."/>
    <m/>
    <m/>
    <m/>
    <m/>
    <m/>
    <m/>
    <m/>
    <m/>
    <m/>
    <m/>
    <m/>
    <m/>
    <m/>
    <m/>
    <m/>
    <m/>
    <m/>
    <m/>
    <m/>
    <m/>
  </r>
  <r>
    <x v="202"/>
    <n v="2011"/>
    <x v="32"/>
    <s v="Africa"/>
    <m/>
    <s v="Mining"/>
    <s v="yes"/>
    <s v="no"/>
    <s v="no"/>
    <s v="Total Mining"/>
    <s v="Total"/>
    <s v="Total Mining"/>
    <m/>
    <m/>
    <m/>
    <m/>
    <m/>
    <m/>
    <m/>
    <m/>
    <m/>
    <n v="2101536542.9322813"/>
    <m/>
    <m/>
    <m/>
    <n v="256718668.419"/>
    <n v="265538041.09299999"/>
    <m/>
    <m/>
    <m/>
    <n v="0.12215760381725246"/>
    <m/>
    <m/>
    <m/>
    <m/>
    <m/>
    <m/>
    <m/>
    <n v="18"/>
    <s v="Barrick Exploration Africa Limited,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Canaco Tanzania Limited"/>
    <n v="18"/>
    <m/>
    <m/>
    <m/>
    <m/>
    <m/>
    <m/>
    <m/>
    <m/>
    <m/>
    <m/>
    <m/>
    <m/>
    <m/>
    <m/>
    <m/>
    <m/>
    <m/>
    <m/>
    <m/>
    <m/>
    <m/>
    <m/>
    <m/>
    <m/>
    <m/>
    <m/>
  </r>
  <r>
    <x v="202"/>
    <n v="2011"/>
    <x v="32"/>
    <s v="Africa"/>
    <m/>
    <s v="Mining"/>
    <s v="yes"/>
    <s v="no"/>
    <s v="no"/>
    <s v="Diamond"/>
    <s v="detailed"/>
    <s v="detailed Mining"/>
    <n v="54652.191780821922"/>
    <m/>
    <n v="29879"/>
    <m/>
    <m/>
    <s v="carats"/>
    <n v="301.99626049754397"/>
    <s v="US$/carats"/>
    <s v="Volume from USGS Mineral Yearbook 2012, adjusted to account for the fiscal year. Price from EITI Report, and is based on the reported volume and value of exports."/>
    <n v="16504757.545802828"/>
    <m/>
    <m/>
    <m/>
    <n v="5227716.7209999999"/>
    <n v="4225205.9950000001"/>
    <m/>
    <m/>
    <m/>
    <n v="0.31673998884821014"/>
    <m/>
    <m/>
    <m/>
    <m/>
    <m/>
    <m/>
    <m/>
    <n v="1"/>
    <s v="Williamson Diamonds Limited"/>
    <n v="1"/>
    <m/>
    <m/>
    <m/>
    <m/>
    <s v="21, 55-56"/>
    <m/>
    <m/>
    <m/>
    <m/>
    <m/>
    <m/>
    <m/>
    <m/>
    <m/>
    <m/>
    <m/>
    <m/>
    <m/>
    <m/>
    <m/>
    <m/>
    <m/>
    <m/>
    <m/>
    <m/>
    <m/>
  </r>
  <r>
    <x v="202"/>
    <n v="2011"/>
    <x v="32"/>
    <s v="Africa"/>
    <m/>
    <s v="Mining"/>
    <s v="yes"/>
    <s v="no"/>
    <s v="no"/>
    <s v="Gold"/>
    <s v="detailed"/>
    <s v="detailed Mining"/>
    <n v="1313752.6502262729"/>
    <m/>
    <n v="1293058"/>
    <m/>
    <m/>
    <s v="toz"/>
    <n v="1528.4435034743601"/>
    <s v="US$/toz"/>
    <s v="Volume from USGS Mineral Yearbook 2012, adjusted to account for the fiscal year. Price from EITI Report, and is based on the reported volume and value of exports."/>
    <n v="2007996703.4105701"/>
    <m/>
    <m/>
    <m/>
    <n v="169530430.09999999"/>
    <n v="179357734.40000001"/>
    <m/>
    <m/>
    <m/>
    <n v="8.4427643637090433E-2"/>
    <m/>
    <m/>
    <m/>
    <m/>
    <m/>
    <m/>
    <m/>
    <m/>
    <m/>
    <m/>
    <m/>
    <m/>
    <m/>
    <m/>
    <n v="21"/>
    <m/>
    <m/>
    <m/>
    <m/>
    <m/>
    <m/>
    <m/>
    <m/>
    <m/>
    <m/>
    <m/>
    <m/>
    <m/>
    <m/>
    <m/>
    <m/>
    <m/>
    <m/>
    <m/>
    <m/>
    <m/>
  </r>
  <r>
    <x v="202"/>
    <n v="2011"/>
    <x v="32"/>
    <s v="Africa"/>
    <m/>
    <s v="Mining"/>
    <s v="yes"/>
    <s v="no"/>
    <s v="no"/>
    <s v="Limestone"/>
    <s v="detailed"/>
    <s v="detailed Mining"/>
    <n v="1702149.3150684931"/>
    <m/>
    <n v="1267369"/>
    <m/>
    <m/>
    <s v="t"/>
    <n v="0.13289745316450108"/>
    <s v="US$/t"/>
    <s v="Volume from USGS Mineral Yearbook 2012, adjusted to account for the fiscal year. Price from EITI Report, and is based on the reported volume and value of exports."/>
    <n v="226211.30887830266"/>
    <m/>
    <m/>
    <m/>
    <n v="73175062.082000002"/>
    <n v="72820703.819999993"/>
    <m/>
    <m/>
    <m/>
    <n v="323.48100740342198"/>
    <m/>
    <m/>
    <m/>
    <m/>
    <m/>
    <m/>
    <m/>
    <n v="3"/>
    <s v="Mbeya Cement Company Limited, Tanga Cement Company Limited, Tanzania Portland Cement Company Limited"/>
    <n v="2"/>
    <m/>
    <m/>
    <m/>
    <m/>
    <s v="21, 55-56"/>
    <m/>
    <m/>
    <m/>
    <m/>
    <m/>
    <m/>
    <m/>
    <m/>
    <m/>
    <m/>
    <m/>
    <m/>
    <m/>
    <m/>
    <m/>
    <m/>
    <m/>
    <m/>
    <m/>
    <m/>
    <m/>
  </r>
  <r>
    <x v="202"/>
    <n v="2011"/>
    <x v="32"/>
    <s v="Africa"/>
    <m/>
    <s v="Mining"/>
    <s v="yes"/>
    <s v="no"/>
    <s v="no"/>
    <s v="Tanzanite"/>
    <s v="detailed"/>
    <s v="detailed Mining"/>
    <n v="1416.841095890411"/>
    <m/>
    <n v="481.23160000000001"/>
    <m/>
    <m/>
    <s v="kg"/>
    <n v="54211.351498637501"/>
    <s v="US$/kg"/>
    <s v="Volume from USGS Mineral Yearbook 2012, adjusted to account for the fiscal year. Price from EITI Report, and is based on the reported volume and value of exports."/>
    <n v="76808870.667029828"/>
    <m/>
    <m/>
    <m/>
    <n v="2900644.7749999999"/>
    <n v="3068262.0874000001"/>
    <m/>
    <m/>
    <m/>
    <n v="3.7764450249170245E-2"/>
    <m/>
    <m/>
    <m/>
    <m/>
    <m/>
    <m/>
    <m/>
    <n v="2"/>
    <s v="Tanzanite One Mining Limited, Tanzanite One Trading Limited"/>
    <n v="2"/>
    <m/>
    <m/>
    <m/>
    <m/>
    <s v="21, 55-56"/>
    <m/>
    <m/>
    <m/>
    <m/>
    <m/>
    <m/>
    <m/>
    <m/>
    <m/>
    <m/>
    <m/>
    <m/>
    <m/>
    <m/>
    <m/>
    <m/>
    <m/>
    <m/>
    <m/>
    <m/>
    <m/>
  </r>
  <r>
    <x v="202"/>
    <n v="2011"/>
    <x v="32"/>
    <s v="Africa"/>
    <m/>
    <s v="Mining"/>
    <s v="yes"/>
    <s v="no"/>
    <s v="no"/>
    <s v="Uranium"/>
    <s v="detailed"/>
    <s v="detailed Mining"/>
    <n v="0"/>
    <m/>
    <m/>
    <m/>
    <m/>
    <s v="t"/>
    <m/>
    <m/>
    <s v="Volume from USGS Mineral Yearbook 2012, adjusted to account for the fiscal year"/>
    <n v="0"/>
    <m/>
    <m/>
    <m/>
    <n v="4420994.0180000002"/>
    <n v="4564733.0190000003"/>
    <m/>
    <m/>
    <m/>
    <m/>
    <m/>
    <m/>
    <m/>
    <m/>
    <m/>
    <m/>
    <m/>
    <n v="1"/>
    <s v="Mantra Tanzania Limited"/>
    <n v="1"/>
    <m/>
    <m/>
    <m/>
    <m/>
    <s v="21, 55-56"/>
    <m/>
    <m/>
    <m/>
    <m/>
    <m/>
    <m/>
    <m/>
    <m/>
    <m/>
    <m/>
    <m/>
    <m/>
    <m/>
    <m/>
    <m/>
    <m/>
    <m/>
    <m/>
    <m/>
    <m/>
    <m/>
  </r>
  <r>
    <x v="202"/>
    <n v="2011"/>
    <x v="32"/>
    <s v="Africa"/>
    <m/>
    <s v="Mining"/>
    <s v="yes"/>
    <s v="no"/>
    <s v="no"/>
    <s v="Others (inc. exploration of an unspecified mineral)"/>
    <s v="detailed"/>
    <s v="detailed Mining"/>
    <m/>
    <m/>
    <m/>
    <m/>
    <m/>
    <m/>
    <m/>
    <m/>
    <m/>
    <m/>
    <m/>
    <m/>
    <m/>
    <n v="1463821.085"/>
    <n v="1501402.085"/>
    <m/>
    <m/>
    <m/>
    <m/>
    <m/>
    <m/>
    <m/>
    <m/>
    <m/>
    <m/>
    <m/>
    <n v="3"/>
    <s v="Bafex Tanzania Ltd, Tanzania American International, Canaco Tanzania Limited"/>
    <n v="3"/>
    <m/>
    <m/>
    <m/>
    <m/>
    <m/>
    <m/>
    <m/>
    <m/>
    <m/>
    <m/>
    <m/>
    <m/>
    <m/>
    <m/>
    <m/>
    <m/>
    <m/>
    <m/>
    <m/>
    <m/>
    <m/>
    <m/>
    <m/>
    <m/>
    <m/>
    <m/>
  </r>
  <r>
    <x v="203"/>
    <n v="2012"/>
    <x v="32"/>
    <s v="Africa"/>
    <s v="http://www.teiti.or.tz/"/>
    <s v="Oil, Gas, Mining"/>
    <s v="yes"/>
    <s v="yes"/>
    <s v="yes"/>
    <s v="Total"/>
    <s v="Total"/>
    <s v="Total Oil, Gas, Mining"/>
    <m/>
    <m/>
    <m/>
    <m/>
    <m/>
    <m/>
    <m/>
    <m/>
    <m/>
    <n v="4329620597.5478354"/>
    <s v="State-owned company production entitlement, Profits/Taxes, Royalties, Dividends, Licenses and concessions, Other significant benefits to government"/>
    <s v="Does not include payments made in-kind"/>
    <s v="-"/>
    <n v="468277747.69958961"/>
    <n v="469605653.31086099"/>
    <s v="99.79% of revenue"/>
    <n v="469263200.42047256"/>
    <s v="Inferred from EITI Report"/>
    <n v="0.10838436991136102"/>
    <s v="United States Dollar and Tanzania Shilling"/>
    <n v="1617.99"/>
    <s v="Disaggregated by revenue stream, Disaggregated by company, Disaggregated by company and revenue stream"/>
    <m/>
    <m/>
    <m/>
    <m/>
    <n v="46"/>
    <s v="Etablissement Maurel et Prom, Orphir Tanzania Limited, Pan African Energy Tanzania Limited, Petrobras Tanzania Limited, Songas Limited, Statoil Tanzania AS, Tullow Tanzania B.V, Wentworth Gas Limited, Tanzania Petroleum Development Corporation (TPDC), BG International Limited, Dominion Oil &amp; Gas Limited, Dominion TZ, BG Tanzania Ltd, Ndovu Resources Ltd, National Oil (Tanzania) Ltd, Ras Al Khaimah Gas Tanzania Ltd, Heritage Rukwa, Afren Gabon Ltd, Heritage Oil, Swala Energy,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Willy Enterprises, Mdn Tanzania Ltd, Geo Can Resources Co Ltd, State Mining Corporation, TOL Gases Ltd, Dhahabu Resources Tanzania Ltd, Minesite Tanzania Ltd, Maweni Limestone Ltd, Midwest Minerals Processor Ltd"/>
    <n v="44"/>
    <s v="June 2014"/>
    <d v="2014-09-18T00:00:00"/>
    <s v="Moore Stephens"/>
    <s v="http://eiti.org/files/Tanzania_2012_EITI_Report.pdf"/>
    <s v="35-36"/>
    <s v="The report covers the financial year of 1 July 2011 to 30 June 2012. The report uses both US dollars and the local currency, the Tanzania shilling. Materiality threshold: all companies that paid more than TzS 150 million in the financial year should be reconciled. These companies accounted for 99.79% of total mining and petroleum revenues collected by Government. The report doesn't distinguish between oil and gas producers, or provide comprehensive information on which commodities are produced by individual mining companies.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 Production in the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provides production volumes for some companies, but this is not comprehensive. The report also covers shareowners of companies, potential reserves, the values of some companies' exports, gold export destinations and social payments (on p55, but these do not appear to be included in the totals)."/>
    <m/>
    <m/>
    <m/>
    <m/>
    <m/>
    <m/>
    <m/>
    <m/>
    <m/>
    <m/>
    <m/>
    <m/>
    <m/>
    <m/>
    <m/>
    <m/>
    <m/>
    <m/>
    <m/>
    <m/>
  </r>
  <r>
    <x v="203"/>
    <n v="2012"/>
    <x v="32"/>
    <s v="Africa"/>
    <m/>
    <s v="Oil, Gas"/>
    <s v="no"/>
    <s v="yes"/>
    <s v="yes"/>
    <s v="Total Oil &amp; Gas"/>
    <s v="Total"/>
    <s v="Total Oil, Gas"/>
    <m/>
    <m/>
    <m/>
    <m/>
    <m/>
    <m/>
    <m/>
    <m/>
    <m/>
    <n v="164626258.23755881"/>
    <m/>
    <m/>
    <m/>
    <n v="89598040.779347211"/>
    <n v="88601056.249303147"/>
    <m/>
    <m/>
    <m/>
    <n v="0.54425121325454373"/>
    <m/>
    <m/>
    <m/>
    <m/>
    <m/>
    <m/>
    <m/>
    <n v="20"/>
    <s v="Etablissement Maurel et Prom, Orphir Tanzania Limited, Pan African Energy Tanzania Limited, Petrobras Tanzania Limited, Songas Limited, Statoil Tanzania AS, Tullow Tanzania B.V, Wentworth Gas Limited, Tanzania Petroleum Development Corporation (TPDC), BG International Limited, Dominion Oil &amp; Gas Limited, Dominion TZ, BG Tanzania Ltd, Ndovu Resources Ltd, National Oil (Tanzania) Ltd, Ras Al Khaimah Gas Tanzania Ltd, Heritage Rukwa, Afren Gabon Ltd, Heritage Oil, Swala Energy"/>
    <n v="20"/>
    <m/>
    <m/>
    <m/>
    <m/>
    <s v="35-36"/>
    <m/>
    <m/>
    <m/>
    <m/>
    <m/>
    <m/>
    <m/>
    <m/>
    <m/>
    <m/>
    <m/>
    <m/>
    <m/>
    <m/>
    <m/>
    <m/>
    <m/>
    <m/>
    <m/>
    <m/>
    <m/>
  </r>
  <r>
    <x v="203"/>
    <n v="2012"/>
    <x v="32"/>
    <s v="Africa"/>
    <m/>
    <s v="Gas"/>
    <s v="no"/>
    <s v="yes"/>
    <s v="no"/>
    <s v="Gas"/>
    <s v="detailed"/>
    <s v="detailed Gas"/>
    <n v="891630088.76712322"/>
    <m/>
    <m/>
    <m/>
    <m/>
    <s v="m³"/>
    <n v="0.18463515342465753"/>
    <s v="US$/m³"/>
    <s v="Volume from EIA, adjusted to account for the fiscal year. Price from BPSR 2014, and is an average of the UK, US and Canada Indices for natural gas, adjusted to account for the fiscal year."/>
    <n v="164626258.23755881"/>
    <m/>
    <m/>
    <m/>
    <m/>
    <m/>
    <m/>
    <m/>
    <m/>
    <m/>
    <m/>
    <m/>
    <m/>
    <m/>
    <m/>
    <m/>
    <m/>
    <m/>
    <m/>
    <m/>
    <m/>
    <m/>
    <m/>
    <m/>
    <m/>
    <m/>
    <m/>
    <m/>
    <m/>
    <m/>
    <m/>
    <m/>
    <m/>
    <m/>
    <m/>
    <m/>
    <m/>
    <m/>
    <m/>
    <m/>
    <m/>
    <m/>
    <m/>
    <m/>
    <m/>
    <m/>
  </r>
  <r>
    <x v="203"/>
    <n v="2012"/>
    <x v="32"/>
    <s v="Africa"/>
    <m/>
    <s v="Oil"/>
    <s v="no"/>
    <s v="no"/>
    <s v="yes"/>
    <s v="Oil"/>
    <s v="detailed"/>
    <s v="detailed Oil"/>
    <n v="0"/>
    <m/>
    <m/>
    <m/>
    <m/>
    <s v="bbl"/>
    <m/>
    <m/>
    <s v="Volume from EIA, adjusted to account for the fiscal year"/>
    <n v="0"/>
    <m/>
    <m/>
    <m/>
    <m/>
    <m/>
    <m/>
    <m/>
    <m/>
    <m/>
    <m/>
    <m/>
    <m/>
    <m/>
    <m/>
    <m/>
    <m/>
    <m/>
    <m/>
    <m/>
    <m/>
    <m/>
    <m/>
    <m/>
    <m/>
    <m/>
    <m/>
    <m/>
    <m/>
    <m/>
    <m/>
    <m/>
    <m/>
    <m/>
    <m/>
    <m/>
    <m/>
    <m/>
    <m/>
    <m/>
    <m/>
    <m/>
    <m/>
    <m/>
    <m/>
    <m/>
  </r>
  <r>
    <x v="203"/>
    <n v="2012"/>
    <x v="32"/>
    <s v="Africa"/>
    <m/>
    <s v="Mining"/>
    <s v="yes"/>
    <s v="no"/>
    <s v="no"/>
    <s v="Total Mining"/>
    <s v="Total"/>
    <s v="Total Mining"/>
    <m/>
    <m/>
    <m/>
    <m/>
    <m/>
    <m/>
    <m/>
    <m/>
    <m/>
    <n v="4164994339.310277"/>
    <m/>
    <m/>
    <m/>
    <n v="378679706.30280972"/>
    <n v="381004596.44412512"/>
    <m/>
    <m/>
    <m/>
    <n v="9.0919620881290103E-2"/>
    <m/>
    <m/>
    <m/>
    <m/>
    <m/>
    <m/>
    <m/>
    <n v="26"/>
    <s v="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Willy Enterprises, Mdn Tanzania Ltd, Geo Can Resources Co Ltd, State Mining Corporation, TOL Gases Ltd, Dhahabu Resources Tanzania Ltd, Minesite Tanzania Ltd, Maweni Limestone Ltd, Midwest Minerals Processor Ltd"/>
    <n v="24"/>
    <m/>
    <m/>
    <m/>
    <m/>
    <m/>
    <m/>
    <m/>
    <m/>
    <m/>
    <m/>
    <m/>
    <m/>
    <m/>
    <m/>
    <m/>
    <m/>
    <m/>
    <m/>
    <m/>
    <m/>
    <m/>
    <m/>
    <m/>
    <m/>
    <m/>
    <m/>
  </r>
  <r>
    <x v="203"/>
    <n v="2012"/>
    <x v="32"/>
    <s v="Africa"/>
    <m/>
    <s v="Mining"/>
    <s v="yes"/>
    <s v="no"/>
    <s v="no"/>
    <s v="Coal"/>
    <s v="detailed"/>
    <s v="detailed Mining"/>
    <n v="79699.375342465748"/>
    <m/>
    <n v="81000"/>
    <m/>
    <m/>
    <s v="t"/>
    <n v="100.8734794520548"/>
    <s v="US$/t"/>
    <s v="Volume from USGS Mineral Yearbook 2012, adjusted to account for the fiscal year. Price from BPSR 2014, and is  an average of the American Central Appalachian, Asian and Northwest Europe marker/spot prices, adjusted to account for the fiscal year."/>
    <n v="8039553.3009498212"/>
    <m/>
    <m/>
    <m/>
    <m/>
    <m/>
    <m/>
    <m/>
    <m/>
    <m/>
    <m/>
    <m/>
    <m/>
    <m/>
    <m/>
    <m/>
    <m/>
    <m/>
    <m/>
    <m/>
    <m/>
    <m/>
    <m/>
    <m/>
    <m/>
    <m/>
    <m/>
    <m/>
    <m/>
    <m/>
    <m/>
    <m/>
    <m/>
    <m/>
    <m/>
    <m/>
    <m/>
    <m/>
    <m/>
    <m/>
    <m/>
    <m/>
    <m/>
    <m/>
    <m/>
    <m/>
  </r>
  <r>
    <x v="203"/>
    <n v="2012"/>
    <x v="32"/>
    <s v="Africa"/>
    <m/>
    <s v="Mining"/>
    <s v="yes"/>
    <s v="no"/>
    <s v="no"/>
    <s v="Copper (contained in concentrates and dore)"/>
    <s v="detailed"/>
    <s v="detailed Mining"/>
    <n v="6297.7315068493153"/>
    <m/>
    <n v="3000"/>
    <m/>
    <m/>
    <s v="t"/>
    <n v="8398.8282465753437"/>
    <s v="US$/t"/>
    <s v="Volume from USGS Mineral Yearbook 2012, adjusted to account for the fiscal year. Price from World Bank (Global Economic Monitor (GEM) Commodities database) - defined as: Copper (LME), grade A, minimum 99.9935% purity, cathodes and wire bar shapes, settlement price - adjusted to account for the fiscal year."/>
    <n v="52893565.269073531"/>
    <m/>
    <m/>
    <m/>
    <m/>
    <m/>
    <m/>
    <m/>
    <m/>
    <m/>
    <m/>
    <m/>
    <m/>
    <m/>
    <m/>
    <m/>
    <m/>
    <m/>
    <m/>
    <m/>
    <m/>
    <m/>
    <m/>
    <m/>
    <m/>
    <s v="This commodity is not mentioned in the EITI Report, but its production is reported on in the USGS Mineral Yearbook 2012."/>
    <m/>
    <m/>
    <m/>
    <m/>
    <m/>
    <m/>
    <m/>
    <m/>
    <m/>
    <m/>
    <m/>
    <m/>
    <m/>
    <m/>
    <m/>
    <m/>
    <m/>
    <m/>
    <m/>
    <m/>
  </r>
  <r>
    <x v="203"/>
    <n v="2012"/>
    <x v="32"/>
    <s v="Africa"/>
    <m/>
    <s v="Mining"/>
    <s v="yes"/>
    <s v="no"/>
    <s v="no"/>
    <s v="Diamond"/>
    <s v="detailed"/>
    <s v="detailed Mining"/>
    <n v="77369.989041095891"/>
    <m/>
    <n v="158003"/>
    <m/>
    <m/>
    <s v="carats"/>
    <n v="271.64106849315067"/>
    <s v="US$/carat"/>
    <s v="Volume from USGS Mineral Yearbook 2012, adjusted to account for the fiscal year. Price from Kimberley Process Annual Summary 2011 and 2012, adjusted to account for the fiscal year."/>
    <n v="21016866.492426645"/>
    <m/>
    <m/>
    <m/>
    <m/>
    <m/>
    <m/>
    <m/>
    <m/>
    <m/>
    <m/>
    <m/>
    <m/>
    <m/>
    <m/>
    <m/>
    <m/>
    <m/>
    <m/>
    <m/>
    <m/>
    <m/>
    <m/>
    <m/>
    <m/>
    <m/>
    <m/>
    <m/>
    <m/>
    <m/>
    <m/>
    <m/>
    <m/>
    <m/>
    <m/>
    <m/>
    <m/>
    <m/>
    <m/>
    <m/>
    <m/>
    <m/>
    <m/>
    <m/>
    <m/>
    <m/>
  </r>
  <r>
    <x v="203"/>
    <n v="2012"/>
    <x v="32"/>
    <s v="Africa"/>
    <m/>
    <s v="Mining"/>
    <s v="yes"/>
    <s v="no"/>
    <s v="no"/>
    <s v="Garnet"/>
    <s v="detailed"/>
    <s v="detailed Mining"/>
    <n v="10000"/>
    <m/>
    <m/>
    <m/>
    <m/>
    <s v="kg"/>
    <n v="167500"/>
    <s v="US$/kg"/>
    <s v="Volume from USGS Mineral Yearbook 2012, adjusted to account for the fiscal year. Price from the USGS Mineral Yearbook 2011 and 2012, and is the median of the year-end price range for cut rhodolite garnet in the US, adjusted to account for the fiscal year."/>
    <n v="1675000000"/>
    <m/>
    <m/>
    <m/>
    <m/>
    <m/>
    <m/>
    <m/>
    <m/>
    <m/>
    <m/>
    <m/>
    <m/>
    <m/>
    <m/>
    <m/>
    <m/>
    <m/>
    <m/>
    <m/>
    <m/>
    <m/>
    <m/>
    <m/>
    <m/>
    <m/>
    <m/>
    <m/>
    <m/>
    <m/>
    <m/>
    <m/>
    <m/>
    <m/>
    <m/>
    <m/>
    <m/>
    <m/>
    <m/>
    <m/>
    <m/>
    <m/>
    <m/>
    <m/>
    <m/>
    <m/>
  </r>
  <r>
    <x v="203"/>
    <n v="2012"/>
    <x v="32"/>
    <s v="Africa"/>
    <m/>
    <s v="Mining"/>
    <s v="yes"/>
    <s v="no"/>
    <s v="no"/>
    <s v="Gold"/>
    <s v="detailed"/>
    <s v="detailed Mining"/>
    <n v="1333670.0796352534"/>
    <m/>
    <n v="1250000"/>
    <m/>
    <m/>
    <s v="toz"/>
    <n v="1773.238965830137"/>
    <s v="US$/toz"/>
    <s v="Volume from USGS Mineral Yearbook 2012, adjusted to account for the fiscal year. Price from World Bank (Global Economic Monitor (GEM) Commodities database) - defined as: Gold (UK), 99.5% fine, London afternoon fixing, average of daily rates - adjusted to account for the fiscal year and for the price given in the 2011 EITI Report being 109.53% of this in the fiscal year of 2010-11."/>
    <n v="2364915752.7710133"/>
    <m/>
    <m/>
    <m/>
    <m/>
    <m/>
    <m/>
    <m/>
    <m/>
    <m/>
    <m/>
    <m/>
    <m/>
    <m/>
    <m/>
    <m/>
    <m/>
    <m/>
    <m/>
    <m/>
    <m/>
    <m/>
    <m/>
    <m/>
    <s v="10, 35-36"/>
    <m/>
    <m/>
    <m/>
    <m/>
    <m/>
    <m/>
    <m/>
    <m/>
    <m/>
    <m/>
    <m/>
    <m/>
    <m/>
    <m/>
    <m/>
    <m/>
    <m/>
    <m/>
    <m/>
    <m/>
    <m/>
  </r>
  <r>
    <x v="203"/>
    <n v="2012"/>
    <x v="32"/>
    <s v="Africa"/>
    <m/>
    <s v="Mining"/>
    <s v="yes"/>
    <s v="no"/>
    <s v="no"/>
    <s v="Limestone"/>
    <s v="detailed"/>
    <s v="detailed Mining"/>
    <n v="1985935.3424657532"/>
    <m/>
    <m/>
    <m/>
    <m/>
    <s v="t"/>
    <n v="0.13438156712328767"/>
    <s v="US$/t"/>
    <s v="Volume from USGS Mineral Yearbook 2012, adjusted to account for the fiscal year. Price from USGS Mineral Yearbook 2012, and is the price in the US for crushed limestone, adjusted to account for the fiscal year and for the price given in the 2011 EITI Report being 1.48% of this in the fiscal year of 2010-11."/>
    <n v="266873.10352607089"/>
    <m/>
    <m/>
    <m/>
    <m/>
    <m/>
    <m/>
    <m/>
    <m/>
    <m/>
    <m/>
    <m/>
    <m/>
    <m/>
    <m/>
    <m/>
    <m/>
    <m/>
    <m/>
    <m/>
    <m/>
    <m/>
    <m/>
    <m/>
    <m/>
    <m/>
    <m/>
    <m/>
    <m/>
    <m/>
    <m/>
    <m/>
    <m/>
    <m/>
    <m/>
    <m/>
    <m/>
    <m/>
    <m/>
    <m/>
    <m/>
    <m/>
    <m/>
    <m/>
    <m/>
    <m/>
  </r>
  <r>
    <x v="203"/>
    <n v="2012"/>
    <x v="32"/>
    <s v="Africa"/>
    <m/>
    <s v="Mining"/>
    <s v="yes"/>
    <s v="no"/>
    <s v="no"/>
    <s v="Tanzanite"/>
    <s v="detailed"/>
    <s v="detailed Mining"/>
    <n v="791.26301369863017"/>
    <m/>
    <m/>
    <m/>
    <m/>
    <s v="kg"/>
    <n v="54168.749999999993"/>
    <s v="US$/kg"/>
    <s v="Volume from USGS Mineral Yearbook 2012, adjusted to account for the fiscal year. Price from the USGS Mineral Yearbook 2011 and 2012, and is the median of the year-end price range for cut tanzanite in the US, adjusted to account for the fiscal year and for the price given in the 2011 EITI Report being 3.21% of this in the fiscal year of 2010-11."/>
    <n v="42861728.37328767"/>
    <m/>
    <m/>
    <m/>
    <m/>
    <m/>
    <m/>
    <m/>
    <m/>
    <m/>
    <m/>
    <m/>
    <m/>
    <m/>
    <m/>
    <m/>
    <m/>
    <m/>
    <m/>
    <m/>
    <m/>
    <m/>
    <m/>
    <m/>
    <m/>
    <m/>
    <m/>
    <m/>
    <m/>
    <m/>
    <m/>
    <m/>
    <m/>
    <m/>
    <m/>
    <m/>
    <m/>
    <m/>
    <m/>
    <m/>
    <m/>
    <m/>
    <m/>
    <m/>
    <m/>
    <m/>
  </r>
  <r>
    <x v="204"/>
    <n v="2008"/>
    <x v="33"/>
    <s v="East Asia and Pacific"/>
    <s v="http://www.eiti.tl/"/>
    <s v="Oil"/>
    <s v="no"/>
    <s v="no"/>
    <s v="yes"/>
    <s v="Oil"/>
    <s v="detailed"/>
    <s v="detailed Oil"/>
    <n v="36500000"/>
    <m/>
    <m/>
    <m/>
    <m/>
    <s v="bbl"/>
    <n v="98.27"/>
    <s v="US$/bbl"/>
    <s v="Volume from EIA. Price from BPSR 2014, and is an average of the spot prices for Brent, Dubai, Nigerian Forcados and West Texas Intermediate crude oil."/>
    <n v="3586855000"/>
    <s v="Host government's production entitlement, Profits/Taxes, Royalties, Licenses and concessions, Other significant benefits to government"/>
    <s v="Does not include payments made in-kind"/>
    <s v="-"/>
    <n v="2509572538"/>
    <n v="2509572538"/>
    <m/>
    <m/>
    <m/>
    <n v="0.69965820698076731"/>
    <s v="United States Dollar"/>
    <s v=""/>
    <s v="Disaggregated by revenue stream, Disaggregated by company, Disaggregated by company and revenue stream, Disaggregated by project"/>
    <m/>
    <m/>
    <m/>
    <m/>
    <n v="18"/>
    <s v="ConocoPhillips (Emet) Pty Ltd, ConocoPhilips JPDA Pty Ltd, ConocoPhillps (03-13) Pty Ltd, ConocoPhillps (03-12) Pty Ltd, ConocoPhillips (Timor Sea) Pty Ltd, Conoco Phillips (03-19) Pty Ltd, PC (Timor Sea 06-102) Ltd, Santos JPDA (91-12) Pty Ltd, ENI JPDA 03-13 Limited, ENI Timor-Leste S.P.A (PSC 1-5), ENI JPDA 06-105 PTY LTD, Oilex (JPDA 06-103) Ltd, Tokyo Timor Sea Resource Pty Ltd, Inpex Sahul Co. Ltd, Woodside Petroleum (Timor Sea 19) Pty Ltd, Woodside Petroleum (Timor Sea 20) Pty Ltd, Reliance Exploration &amp; Production DMCC"/>
    <n v="18"/>
    <s v="October 2009"/>
    <d v="2014-09-24T00:00:00"/>
    <s v="Deloitte"/>
    <s v="http://eiti.org/files/Timor-Leste%20EITI%202008%20report_0.pdf"/>
    <n v="5"/>
    <s v="Materiality threshold: not given. The report does not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re was only one field in operation in 2008, Bayu Undan. This is operated by ConocoPhilips and is located in the JPDA. The state's share of revenue from this field is transferred to Timor-Leste and Australia in accordance with the Timor Sea Treaty (90% toTimor-Leste and 10% to Australia). The Government of Timor-Leste's entitlement to revenues derived from oil &amp; gas activities through production-sharing agreements accounted for 65% of its revenues from the sector in 2008."/>
    <m/>
    <m/>
    <m/>
    <m/>
    <m/>
    <m/>
    <m/>
    <m/>
    <m/>
    <m/>
    <m/>
    <m/>
    <m/>
    <m/>
    <m/>
    <m/>
    <m/>
    <m/>
    <m/>
    <m/>
  </r>
  <r>
    <x v="205"/>
    <n v="2009"/>
    <x v="33"/>
    <s v="East Asia and Pacific"/>
    <s v="http://www.eiti.tl/"/>
    <s v="Oil"/>
    <s v="no"/>
    <s v="no"/>
    <s v="yes"/>
    <s v="Oil"/>
    <s v="detailed"/>
    <s v="detailed Oil"/>
    <n v="35149500"/>
    <m/>
    <m/>
    <m/>
    <m/>
    <s v="bbl"/>
    <n v="62.0812648"/>
    <s v="US$/bbl"/>
    <s v="Volume from EIA. Price from BPSR 2014, and is an average of the spot prices for Brent, Dubai, Nigerian Forcados and West Texas Intermediate crude oil."/>
    <n v="2182125417.0875998"/>
    <s v="Host government's production entitlement, State-owned company production entitlement, Profits/Taxes, Royalties, Dividends, Bonuses, Licenses and concessions, Other significant benefits to government"/>
    <s v="Does not include payments made in-kind"/>
    <s v="-"/>
    <n v="1763889996"/>
    <n v="1763889996"/>
    <m/>
    <m/>
    <m/>
    <n v="0.80833575475886132"/>
    <s v="United States Dollar"/>
    <s v=""/>
    <s v="Disaggregated by revenue stream, Disaggregated by company, Disaggregated by company and revenue stream, Disaggregated by project"/>
    <m/>
    <m/>
    <m/>
    <m/>
    <n v="18"/>
    <s v="ConocoPhillips (Emet) Pty Ltd, ConocoPhilips JPDA Pty Ltd, ConocoPhillps (03-13) Pty Ltd, ConocoPhillps (03-12) Pty Ltd, ConocoPhillips (Timor Sea) Pty Ltd, Conoco Phillips (03-19) Pty Ltd, PC (Timor Sea 06-102) Ltd, Santos JPDA (91-12) Pty Ltd, ENI JPDA 03-13 Limited, ENI Timor-Leste S.P.A (PSC 1-5), ENI JPDA 06-105 PTY LTD, Oilex (JPDA 06-103) Ltd, Tokyo Timor Sea Resource Pty Ltd, Inpex Sahul Co. Ltd, Woodside Petroleum (Timor Sea 19) Pty Ltd, Woodside Petroleum (Timor Sea 20) Pty Ltd, Reliance Exploration &amp; Production DMCC"/>
    <n v="18"/>
    <s v="February 2011"/>
    <d v="2014-09-24T00:00:00"/>
    <s v="Deloitte"/>
    <s v="http://eiti.org/files/Timor-Leste%202009%20EITI%20Report.pdf"/>
    <n v="18"/>
    <s v="Materiality threshold: not given. The report does not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re were two fields in operation in 2009, Bayu Undan and Kitan. There was only one field in operation in 2008, Bayu Undan. These are operated by ConocoPhilips and Eni respectively and are both located in the JPDA. The state's share of revenue from these fields are transferred to Timor-Leste and Australia in accordance with the Timor Sea Treaty (90% toTimor-Leste and 10% to Australia). The Government of Timor-Leste's entitlement to revenues derived from oil &amp; gas activities through production-sharing agreements accounted for 63% of its revenues from the sector in 2009."/>
    <m/>
    <m/>
    <m/>
    <m/>
    <m/>
    <m/>
    <m/>
    <m/>
    <m/>
    <m/>
    <m/>
    <m/>
    <m/>
    <m/>
    <m/>
    <m/>
    <m/>
    <m/>
    <m/>
    <m/>
  </r>
  <r>
    <x v="206"/>
    <n v="2010"/>
    <x v="33"/>
    <s v="East Asia and Pacific"/>
    <s v="http://www.eiti.tl/"/>
    <s v="Oil"/>
    <s v="no"/>
    <s v="no"/>
    <s v="yes"/>
    <s v="Oil"/>
    <s v="detailed"/>
    <s v="detailed Oil"/>
    <n v="31937500"/>
    <m/>
    <m/>
    <m/>
    <m/>
    <s v="bbl"/>
    <n v="79.510000000000005"/>
    <s v="US$/bbl"/>
    <s v="Volume from EIA. Price from BPSR 2014, and is an average of the spot prices for Brent, Dubai, Nigerian Forcados and West Texas Intermediate crude oil."/>
    <n v="2539350625"/>
    <s v="Host government's production entitlement, Profits/Taxes, Licenses and concessions, Other significant benefits to government"/>
    <s v="Does not include payments made in-kind"/>
    <s v="-"/>
    <n v="2149721568"/>
    <n v="2149721568"/>
    <m/>
    <m/>
    <m/>
    <n v="0.84656350597507579"/>
    <s v="United States Dollar"/>
    <s v=""/>
    <s v="Disaggregated by revenue stream, Disaggregated by company, Disaggregated by company and revenue stream, Disaggregated by project"/>
    <m/>
    <m/>
    <m/>
    <m/>
    <n v="20"/>
    <s v="ConocoPhillips (03-12) Pty Ltd, ConocoPhillips JPDA Pty Ltd, ConocoPhillips (Timor Sea) Pty Ltd, ConocoPhillips (03-13) Pty Ltd, ConocoPhillips (Emet) Pty Ltd, ConocoPhillips (03-19) Pty Ltd, Eni JPDA 03-103 Limited, Eni JPDA 06-105 Pty Ltd, Eni Timor Leste SpA, Santos, Inpex Sahul, Tokyo Timor Sea Resources, Woodside Petroleum, Minza Oil &amp; Gas, Petronas, Oilex, Reliance Exploration &amp; Production, Talisman, Japan Energy E and P, AusAid"/>
    <n v="19"/>
    <s v="November 2012"/>
    <d v="2014-09-24T00:00:00"/>
    <s v="Moore Stephens"/>
    <s v="http://eiti.org/files/Timor-Leste-2010-EITI-Report.pdf"/>
    <n v="6"/>
    <s v="Materiality threshold: not given. The report does not comprehensively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 state's share of revenue from fields in the JPDA are transferred to Timor-Leste and Australia in accordance with the Timor Sea Treaty (90% to Timor-Leste and 10% to Australia). The state's entitlement to revenues derived from oil &amp; gas activities through production-sharing agreements accounted for 58% of government revenues from the sector in 2010. ConocoPhilips (as a whole) accounted for 61% of government revenues in 2010. The Timor-Leste Government set up a special Petroleum Fund in 2005 to facilitate the sustainable use of its revenues over the long term. Petroleum Fund assets reached $6.9 billion in 2010."/>
    <m/>
    <m/>
    <m/>
    <m/>
    <m/>
    <m/>
    <m/>
    <m/>
    <m/>
    <m/>
    <m/>
    <m/>
    <m/>
    <m/>
    <m/>
    <m/>
    <m/>
    <m/>
    <m/>
    <m/>
  </r>
  <r>
    <x v="207"/>
    <n v="2011"/>
    <x v="33"/>
    <s v="East Asia and Pacific"/>
    <s v="http://www.eiti.tl/"/>
    <s v="Oil"/>
    <s v="no"/>
    <s v="no"/>
    <s v="yes"/>
    <s v="Oil"/>
    <s v="detailed"/>
    <s v="detailed Oil"/>
    <n v="30550500"/>
    <m/>
    <m/>
    <m/>
    <m/>
    <s v="bbl"/>
    <n v="106.53"/>
    <s v="US$/bbl"/>
    <s v="Volume from EIA. Price from BPSR 2014, and is an average of the spot prices for Brent, Dubai, Nigerian Forcados and West Texas Intermediate crude oil."/>
    <n v="3254544765"/>
    <s v="Host government's production entitlement, Profits/Taxes, Licenses and concessions, Other significant benefits to government"/>
    <s v="Does not include payments made in-kind"/>
    <s v="-"/>
    <n v="3453285817"/>
    <n v="3453285817"/>
    <m/>
    <m/>
    <m/>
    <n v="1.0610656993067968"/>
    <s v="United States Dollar"/>
    <s v=""/>
    <s v="Disaggregated by revenue stream, Disaggregated by company, Disaggregated by company and revenue stream, Disaggregated by project"/>
    <m/>
    <m/>
    <m/>
    <m/>
    <n v="20"/>
    <s v="ConocoPhillips (03-12) Pty Ltd, ConocoPhillips JPDA Pty Ltd, ConocoPhillips (Timor Sea) Pty Ltd, ConocoPhillips (03-13) Pty Ltd, ConocoPhillips (Emet) Pty Ltd, ConocoPhillips (03-19) Pty Ltd, Eni JPDA 03-103 Limited, Eni JPDA 06-105 Pty Ltd, Eni Timor Leste SpA, Santos, Inpex Sahul, Tokyo Timor Sea Resources, Woodside Petroleum, Minza Oil &amp; Gas, Petronas, Oilex, Reliance Exploration &amp; Production, Talisman, Japan Energy E and P, AusAid"/>
    <n v="20"/>
    <s v="December 2012"/>
    <d v="2014-09-24T00:00:00"/>
    <s v="Moore Stephens"/>
    <s v="http://eiti.org/files/Timor-Leste-2010-EITI-Report.pdf"/>
    <n v="6"/>
    <s v="Materiality threshold: not given. The report does not comprehensively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 state's share of revenue from fields in the JPDA are transferred to Timor-Leste and Australia in accordance with the Timor Sea Treaty (90% to Timor-Leste and 10% to Australia). The state's entitlement to revenues derived from oil &amp; gas activities through production-sharing agreements accounted for 61% of government revenues from the sector in 2011. ConocoPhilips (as a whole) accounted for 58% of government revenues in 2011."/>
    <m/>
    <m/>
    <m/>
    <m/>
    <m/>
    <m/>
    <m/>
    <m/>
    <m/>
    <m/>
    <m/>
    <m/>
    <m/>
    <m/>
    <m/>
    <m/>
    <m/>
    <m/>
    <m/>
    <m/>
  </r>
  <r>
    <x v="208"/>
    <n v="2010"/>
    <x v="34"/>
    <s v="Africa"/>
    <s v="http://www.itietogo.org/"/>
    <s v="Oil, Mining, Other"/>
    <s v="yes"/>
    <s v="no"/>
    <s v="no"/>
    <s v="Total"/>
    <s v="Total"/>
    <s v="Total Oil, Mining, Other"/>
    <m/>
    <m/>
    <m/>
    <m/>
    <m/>
    <m/>
    <m/>
    <m/>
    <m/>
    <n v="719912729.64555907"/>
    <s v="Profits/Taxes, Royalties, Dividends, Bonuses, Licenses and concessions, Other significant benefits to government"/>
    <s v="Does not include payments made in-kind"/>
    <m/>
    <n v="60128720.446464643"/>
    <n v="65899109.789898992"/>
    <m/>
    <m/>
    <m/>
    <n v="8.3522235363261796E-2"/>
    <s v="West African CFA Franc"/>
    <n v="495"/>
    <s v="Disaggregated by revenue stream, Disaggregated by company"/>
    <m/>
    <m/>
    <m/>
    <m/>
    <n v="17"/>
    <s v="MINING PRODUCTION: SNPT (state-owned), WACEM, MM Mining, Scantogo Mines. MINING EXPLORATION: G&amp;B African Resources, RRCC, Silverhill Enterprises Ltd, Global Merchants, Future Investment, Togo Minerals SA. PETROLEUM EXPLORATION: ENI Togo. QUARRY PRODUCTION (&quot;EXPLOITATION DE ROCHE&quot;): Togo Rail, Togo Carriere, Colas, ENCOTRA, CEMAT Industrie, EBOMAF. WATER SECTOR (&quot;NAPPE SOUTERRAINE&quot;): Voltic, BB/Eau Vitale, Horizon Oxygene Clever SARL, Societe Togolaise des Eaux (state-owned)."/>
    <n v="22"/>
    <s v="February 2012"/>
    <d v="2014-11-18T00:00:00"/>
    <s v="Moore Stephens"/>
    <s v="http://eiti.org/files/Togo-2010-EITI-Report.pdf"/>
    <s v="27-30, 42, 66"/>
    <s v="This report also included the water sector.  Note that some companies included in the report are involved in non-extractive sectors as well and the figures given in the report do not distinguish between extractive and non-extractive payments/receipts (see p.16, 21). The state receives no in-kind revenues (p.17). Voluntary social payments were reported unilaterally by companies and have been included in Total Payments by Companies."/>
    <m/>
    <m/>
    <m/>
    <m/>
    <m/>
    <m/>
    <m/>
    <m/>
    <m/>
    <m/>
    <m/>
    <m/>
    <m/>
    <m/>
    <m/>
    <m/>
    <m/>
    <m/>
    <m/>
    <m/>
  </r>
  <r>
    <x v="208"/>
    <n v="2010"/>
    <x v="34"/>
    <s v="Africa"/>
    <m/>
    <s v="Oil"/>
    <s v="no"/>
    <s v="no"/>
    <s v="yes"/>
    <s v="Oil"/>
    <s v="detailed"/>
    <s v="detailed Oil"/>
    <n v="0"/>
    <m/>
    <m/>
    <m/>
    <m/>
    <s v="bbl"/>
    <m/>
    <m/>
    <s v="Volume from EIA"/>
    <n v="0"/>
    <m/>
    <m/>
    <m/>
    <n v="13123840"/>
    <n v="13123840"/>
    <m/>
    <m/>
    <m/>
    <m/>
    <m/>
    <m/>
    <m/>
    <m/>
    <m/>
    <m/>
    <m/>
    <m/>
    <m/>
    <m/>
    <m/>
    <m/>
    <m/>
    <m/>
    <m/>
    <m/>
    <m/>
    <m/>
    <m/>
    <m/>
    <m/>
    <m/>
    <m/>
    <m/>
    <m/>
    <m/>
    <m/>
    <m/>
    <m/>
    <m/>
    <m/>
    <m/>
    <m/>
    <m/>
    <m/>
    <m/>
  </r>
  <r>
    <x v="208"/>
    <n v="2010"/>
    <x v="34"/>
    <s v="Africa"/>
    <m/>
    <s v="Mining"/>
    <s v="yes"/>
    <s v="no"/>
    <s v="no"/>
    <s v="Total Mining"/>
    <s v="Total"/>
    <s v="Total Mining"/>
    <m/>
    <m/>
    <m/>
    <m/>
    <m/>
    <m/>
    <m/>
    <m/>
    <m/>
    <n v="719912729.64555907"/>
    <m/>
    <m/>
    <m/>
    <n v="23559566.686868686"/>
    <n v="25687657.911111113"/>
    <m/>
    <m/>
    <m/>
    <n v="3.2725587028399922E-2"/>
    <m/>
    <m/>
    <m/>
    <m/>
    <m/>
    <m/>
    <m/>
    <m/>
    <m/>
    <m/>
    <m/>
    <m/>
    <m/>
    <m/>
    <m/>
    <s v="Mining totals include mineral production companies, mineral exploration companies and quarrying (&quot;exploitation de roche&quot;) companies. "/>
    <m/>
    <m/>
    <m/>
    <m/>
    <m/>
    <m/>
    <m/>
    <m/>
    <m/>
    <m/>
    <m/>
    <m/>
    <m/>
    <m/>
    <m/>
    <m/>
    <m/>
    <m/>
    <m/>
    <m/>
  </r>
  <r>
    <x v="208"/>
    <n v="2010"/>
    <x v="34"/>
    <s v="Africa"/>
    <m/>
    <s v="Mining"/>
    <s v="yes"/>
    <s v="no"/>
    <s v="no"/>
    <s v="Cement"/>
    <s v="detailed"/>
    <s v="detailed Mining"/>
    <n v="2245153"/>
    <m/>
    <m/>
    <m/>
    <m/>
    <s v="t"/>
    <n v="92"/>
    <s v="US$/t"/>
    <s v="Volume from USGS Mineral Yearbook 2012. Price from USGS Mineral Commodity Summary 2014, and is the average mill price for cement in the US."/>
    <n v="206554076"/>
    <m/>
    <m/>
    <m/>
    <m/>
    <m/>
    <m/>
    <m/>
    <m/>
    <m/>
    <m/>
    <m/>
    <m/>
    <m/>
    <m/>
    <m/>
    <m/>
    <m/>
    <m/>
    <m/>
    <m/>
    <m/>
    <m/>
    <m/>
    <m/>
    <m/>
    <m/>
    <m/>
    <m/>
    <m/>
    <m/>
    <m/>
    <m/>
    <m/>
    <m/>
    <m/>
    <m/>
    <m/>
    <m/>
    <m/>
    <m/>
    <m/>
    <m/>
    <m/>
    <m/>
    <m/>
  </r>
  <r>
    <x v="208"/>
    <n v="2010"/>
    <x v="34"/>
    <s v="Africa"/>
    <m/>
    <s v="Mining"/>
    <s v="yes"/>
    <s v="no"/>
    <s v="no"/>
    <s v="Diamond"/>
    <s v="detailed"/>
    <s v="detailed Mining"/>
    <n v="96"/>
    <m/>
    <m/>
    <m/>
    <m/>
    <s v="carats"/>
    <n v="110.05"/>
    <s v="US$/carat"/>
    <s v="Volume from USGS Mineral Yearbook 2012. Price from Kimberley Process Annual Summary 2010."/>
    <n v="10564.8"/>
    <m/>
    <m/>
    <m/>
    <m/>
    <m/>
    <m/>
    <m/>
    <m/>
    <m/>
    <m/>
    <m/>
    <m/>
    <m/>
    <m/>
    <m/>
    <m/>
    <m/>
    <m/>
    <m/>
    <m/>
    <m/>
    <m/>
    <m/>
    <m/>
    <m/>
    <m/>
    <m/>
    <m/>
    <m/>
    <m/>
    <m/>
    <m/>
    <m/>
    <m/>
    <m/>
    <m/>
    <m/>
    <m/>
    <m/>
    <m/>
    <m/>
    <m/>
    <m/>
    <m/>
    <m/>
  </r>
  <r>
    <x v="208"/>
    <n v="2010"/>
    <x v="34"/>
    <s v="Africa"/>
    <m/>
    <s v="Mining"/>
    <s v="yes"/>
    <s v="no"/>
    <s v="no"/>
    <s v="Gold"/>
    <s v="detailed"/>
    <s v="detailed Mining"/>
    <n v="336039.56715817796"/>
    <m/>
    <m/>
    <m/>
    <m/>
    <s v="toz"/>
    <n v="1224.66425"/>
    <s v="US$/toz"/>
    <s v="Volume from USGS Mineral Yearbook 2012. Price from World Bank (Global Economic Monitor (GEM) Commodities database), and is defined as: Gold (UK), 99.5% fine, London afternoon fixing, average of daily rates."/>
    <n v="411535644.48409468"/>
    <m/>
    <m/>
    <m/>
    <m/>
    <m/>
    <m/>
    <m/>
    <m/>
    <m/>
    <m/>
    <m/>
    <m/>
    <m/>
    <m/>
    <m/>
    <m/>
    <m/>
    <m/>
    <m/>
    <m/>
    <m/>
    <m/>
    <m/>
    <m/>
    <m/>
    <m/>
    <m/>
    <m/>
    <m/>
    <m/>
    <m/>
    <m/>
    <m/>
    <m/>
    <m/>
    <m/>
    <m/>
    <m/>
    <m/>
    <m/>
    <m/>
    <m/>
    <m/>
    <m/>
    <m/>
  </r>
  <r>
    <x v="208"/>
    <n v="2010"/>
    <x v="34"/>
    <s v="Africa"/>
    <m/>
    <s v="Mining"/>
    <s v="yes"/>
    <s v="no"/>
    <s v="no"/>
    <s v="Gravel"/>
    <s v="detailed"/>
    <s v="detailed Mining"/>
    <n v="183910.88"/>
    <m/>
    <n v="183910.88"/>
    <m/>
    <m/>
    <s v="t"/>
    <n v="7.31"/>
    <s v="US$/t"/>
    <s v="Volume from EITI Report. Price from USGS Mineral Yearbook 2010, and is the price in the US for construction sand and gravel."/>
    <n v="1344388.5327999999"/>
    <m/>
    <m/>
    <m/>
    <m/>
    <m/>
    <m/>
    <m/>
    <m/>
    <m/>
    <m/>
    <m/>
    <m/>
    <m/>
    <m/>
    <m/>
    <m/>
    <m/>
    <m/>
    <m/>
    <m/>
    <m/>
    <m/>
    <m/>
    <m/>
    <s v="This commodity is not mentioned in the USGS Mineral Yearbook 2012"/>
    <m/>
    <m/>
    <m/>
    <m/>
    <m/>
    <m/>
    <m/>
    <m/>
    <m/>
    <m/>
    <m/>
    <m/>
    <m/>
    <m/>
    <m/>
    <m/>
    <m/>
    <m/>
    <m/>
    <m/>
  </r>
  <r>
    <x v="208"/>
    <n v="2010"/>
    <x v="34"/>
    <s v="Africa"/>
    <m/>
    <s v="Mining"/>
    <s v="yes"/>
    <s v="no"/>
    <s v="no"/>
    <s v="Limestone"/>
    <s v="detailed"/>
    <s v="detailed Mining"/>
    <n v="1656041"/>
    <m/>
    <m/>
    <m/>
    <m/>
    <s v="t"/>
    <n v="9.0299999999999994"/>
    <s v="US$/t"/>
    <s v="Volume from USGS Mineral Yearbook 2012. Price from USGS Mineral Yearbook 2010, and is the price in the US for crushed limestone."/>
    <n v="14954050.229999999"/>
    <m/>
    <m/>
    <m/>
    <m/>
    <m/>
    <m/>
    <m/>
    <m/>
    <m/>
    <m/>
    <m/>
    <m/>
    <m/>
    <m/>
    <m/>
    <m/>
    <m/>
    <m/>
    <m/>
    <m/>
    <m/>
    <m/>
    <m/>
    <m/>
    <m/>
    <m/>
    <m/>
    <m/>
    <m/>
    <m/>
    <m/>
    <m/>
    <m/>
    <m/>
    <m/>
    <m/>
    <m/>
    <m/>
    <m/>
    <m/>
    <m/>
    <m/>
    <m/>
    <m/>
    <m/>
  </r>
  <r>
    <x v="208"/>
    <n v="2010"/>
    <x v="34"/>
    <s v="Africa"/>
    <m/>
    <s v="Mining"/>
    <s v="yes"/>
    <s v="no"/>
    <s v="no"/>
    <s v="Phosphate rock (beneficiated)"/>
    <s v="detailed"/>
    <s v="detailed Mining"/>
    <n v="695000"/>
    <m/>
    <m/>
    <m/>
    <m/>
    <s v="t"/>
    <n v="123.02083333333"/>
    <s v="US$/t"/>
    <s v="Volume from USGS Mineral Yearbook 2012. Price from World Bank (Global Economic Monitor (GEM) Commodities database), and is defined as: Phosphate rock (Morocco), 70% BPL, contract, f.a.s. Casablanca."/>
    <n v="85499479.166664347"/>
    <m/>
    <m/>
    <m/>
    <m/>
    <m/>
    <m/>
    <m/>
    <m/>
    <m/>
    <m/>
    <m/>
    <m/>
    <m/>
    <m/>
    <m/>
    <m/>
    <m/>
    <m/>
    <m/>
    <m/>
    <m/>
    <m/>
    <m/>
    <m/>
    <m/>
    <m/>
    <m/>
    <m/>
    <m/>
    <m/>
    <m/>
    <m/>
    <m/>
    <m/>
    <m/>
    <m/>
    <m/>
    <m/>
    <m/>
    <m/>
    <m/>
    <m/>
    <m/>
    <m/>
    <m/>
  </r>
  <r>
    <x v="208"/>
    <n v="2010"/>
    <x v="34"/>
    <s v="Africa"/>
    <m/>
    <s v="Mining"/>
    <s v="yes"/>
    <s v="no"/>
    <s v="no"/>
    <s v="Sand"/>
    <s v="detailed"/>
    <s v="detailed Mining"/>
    <n v="1987.1999999999998"/>
    <m/>
    <n v="1987.1999999999998"/>
    <m/>
    <m/>
    <s v="t"/>
    <n v="7.31"/>
    <s v="US$/t"/>
    <s v="Volume from EITI Report. Price from USGS Mineral Yearbook 2010, and is the price in the US for construction sand and gravel."/>
    <n v="14526.431999999997"/>
    <m/>
    <m/>
    <m/>
    <m/>
    <m/>
    <m/>
    <m/>
    <m/>
    <m/>
    <m/>
    <m/>
    <m/>
    <m/>
    <m/>
    <m/>
    <m/>
    <m/>
    <m/>
    <m/>
    <m/>
    <m/>
    <m/>
    <m/>
    <m/>
    <s v="This commodity is not mentioned in the USGS Mineral Yearbook 2012"/>
    <m/>
    <m/>
    <m/>
    <m/>
    <m/>
    <m/>
    <m/>
    <m/>
    <m/>
    <m/>
    <m/>
    <m/>
    <m/>
    <m/>
    <m/>
    <m/>
    <m/>
    <m/>
    <m/>
    <m/>
  </r>
  <r>
    <x v="208"/>
    <n v="2010"/>
    <x v="34"/>
    <s v="Africa"/>
    <m/>
    <s v="Other"/>
    <s v="no"/>
    <s v="no"/>
    <s v="no"/>
    <s v="Water"/>
    <s v="detailed"/>
    <s v="detailed Other"/>
    <m/>
    <m/>
    <n v="20528065"/>
    <m/>
    <m/>
    <s v="m³"/>
    <m/>
    <m/>
    <m/>
    <n v="0"/>
    <m/>
    <m/>
    <m/>
    <m/>
    <m/>
    <m/>
    <m/>
    <m/>
    <m/>
    <m/>
    <m/>
    <m/>
    <m/>
    <m/>
    <m/>
    <m/>
    <m/>
    <m/>
    <m/>
    <m/>
    <m/>
    <m/>
    <m/>
    <m/>
    <m/>
    <m/>
    <m/>
    <m/>
    <m/>
    <m/>
    <m/>
    <m/>
    <m/>
    <m/>
    <m/>
    <m/>
    <m/>
    <m/>
    <m/>
    <m/>
    <m/>
    <m/>
    <m/>
    <m/>
    <m/>
  </r>
  <r>
    <x v="209"/>
    <n v="2011"/>
    <x v="34"/>
    <s v="Africa"/>
    <s v="http://www.itietogo.org/"/>
    <s v="Oil, Mining, Other"/>
    <s v="yes"/>
    <s v="no"/>
    <s v="no"/>
    <s v="Total"/>
    <s v="Total"/>
    <s v="Total Oil, Mining, Other"/>
    <m/>
    <m/>
    <m/>
    <m/>
    <m/>
    <m/>
    <m/>
    <m/>
    <m/>
    <n v="1228553530.9457467"/>
    <s v="Profits/Taxes, Royalties, Dividends, Licenses and concessions, Other significant benefits to government"/>
    <s v="Does not include payments made in-kind"/>
    <m/>
    <n v="31315792.572000001"/>
    <n v="31297366.316"/>
    <m/>
    <m/>
    <m/>
    <n v="2.5489969938788867E-2"/>
    <s v="West African CFA Franc"/>
    <n v="500"/>
    <s v="Disaggregated by revenue stream, Disaggregated by company"/>
    <m/>
    <m/>
    <m/>
    <m/>
    <n v="25"/>
    <s v="PETROLEUM: ENI Togo. NON-PETROLEUM PRODUCTION: WACEM, SNPT (state-owned), POMAR, SCANTOGO Mines, MM Mining, BB/Eau Vitale, TdE (state-owned), Voltic Togo, Horizon Oxygene Clever, Colas, Etoile de Golfe, EBOMAF, Togo Carriere, ENCOTRA, Togo Rail, Les Aigles, SATEM Sarlu, CEMAT, TGC SA. PRECIOUS METALS: WAFEX, Soltrans. EXPLORATION: Granutogo, RRCC, G&amp;B AR."/>
    <n v="25"/>
    <s v="February 2013"/>
    <d v="2014-11-18T00:00:00"/>
    <s v="Moore Stephens"/>
    <s v="http://eiti.org/files/Togo-2011-EITI-Report-FR.pdf"/>
    <s v="27-29, 42"/>
    <s v="This report also included the water sector.  Some companies included in the report are involved in non-extractive sectors as well; unlike in the 2010 EITI Report, 2011 totals only include extractive revenues, except in the case of Les Aigles (see p.18). The state receives no in-kind revenues (p.19). Most voluntary social payments were reported unilaterally by companies and have been included in Total Payments by Companies for a total of FCFA 66,749,775 (social payments by ENI Togo and SNPT were included in reconciliation and are not included in this total, see p.6). Subnational paid by companies to local governments (via central govt) were reported unilaterally by the central government and have been added to Total Received by Govt (FCFA 66,669,843); the governments unilaterally-reported revenues from companies not covered by the report (FCFA 9,105,360) were also included in Total Received by Govt. Unlike the 2010 report, reconciled figures were not presented in disaggregated form by sector, so total mining/oil/water figures are not given."/>
    <m/>
    <m/>
    <m/>
    <m/>
    <m/>
    <m/>
    <m/>
    <m/>
    <m/>
    <m/>
    <m/>
    <m/>
    <m/>
    <m/>
    <m/>
    <m/>
    <m/>
    <m/>
    <m/>
    <m/>
  </r>
  <r>
    <x v="209"/>
    <n v="2011"/>
    <x v="34"/>
    <s v="Africa"/>
    <m/>
    <s v="Oil"/>
    <s v="no"/>
    <s v="no"/>
    <s v="yes"/>
    <s v="Oil"/>
    <s v="detailed"/>
    <s v="detailed Oil"/>
    <n v="0"/>
    <m/>
    <m/>
    <m/>
    <m/>
    <s v="bbl"/>
    <m/>
    <m/>
    <s v="Volume from EIA"/>
    <n v="0"/>
    <m/>
    <m/>
    <m/>
    <m/>
    <m/>
    <m/>
    <m/>
    <m/>
    <m/>
    <m/>
    <m/>
    <m/>
    <m/>
    <m/>
    <m/>
    <m/>
    <m/>
    <m/>
    <m/>
    <m/>
    <m/>
    <m/>
    <m/>
    <m/>
    <m/>
    <m/>
    <m/>
    <m/>
    <m/>
    <m/>
    <m/>
    <m/>
    <m/>
    <m/>
    <m/>
    <m/>
    <m/>
    <m/>
    <m/>
    <m/>
    <m/>
    <m/>
    <m/>
    <m/>
    <m/>
  </r>
  <r>
    <x v="209"/>
    <n v="2011"/>
    <x v="34"/>
    <s v="Africa"/>
    <m/>
    <s v="Mining"/>
    <s v="yes"/>
    <s v="no"/>
    <s v="no"/>
    <s v="Total Mining"/>
    <s v="Total"/>
    <s v="Total Mining"/>
    <m/>
    <m/>
    <m/>
    <m/>
    <m/>
    <m/>
    <m/>
    <m/>
    <m/>
    <n v="1228553530.9457467"/>
    <m/>
    <m/>
    <m/>
    <m/>
    <m/>
    <m/>
    <m/>
    <m/>
    <m/>
    <m/>
    <m/>
    <m/>
    <m/>
    <m/>
    <m/>
    <m/>
    <m/>
    <m/>
    <m/>
    <m/>
    <m/>
    <m/>
    <m/>
    <m/>
    <m/>
    <m/>
    <m/>
    <m/>
    <m/>
    <m/>
    <m/>
    <m/>
    <m/>
    <m/>
    <m/>
    <m/>
    <m/>
    <m/>
    <m/>
    <m/>
    <m/>
    <m/>
    <m/>
    <m/>
    <m/>
  </r>
  <r>
    <x v="209"/>
    <n v="2011"/>
    <x v="34"/>
    <s v="Africa"/>
    <m/>
    <s v="Mining"/>
    <s v="yes"/>
    <s v="no"/>
    <s v="no"/>
    <s v="Cement (hydraulic &amp; clinker)"/>
    <s v="detailed"/>
    <s v="detailed Mining"/>
    <n v="2360606"/>
    <m/>
    <m/>
    <m/>
    <m/>
    <s v="t"/>
    <n v="89.5"/>
    <s v="US$/t"/>
    <s v="Volume from USGS Mineral Yearbook 2012. Price from USGS Mineral Commodity Summary 2014, and is the average mill price for cement in the US."/>
    <n v="211274237"/>
    <m/>
    <m/>
    <m/>
    <m/>
    <m/>
    <m/>
    <m/>
    <m/>
    <m/>
    <m/>
    <m/>
    <m/>
    <m/>
    <m/>
    <m/>
    <m/>
    <m/>
    <m/>
    <m/>
    <m/>
    <m/>
    <m/>
    <m/>
    <m/>
    <m/>
    <m/>
    <m/>
    <m/>
    <m/>
    <m/>
    <m/>
    <m/>
    <m/>
    <m/>
    <m/>
    <m/>
    <m/>
    <m/>
    <m/>
    <m/>
    <m/>
    <m/>
    <m/>
    <m/>
    <m/>
  </r>
  <r>
    <x v="209"/>
    <n v="2011"/>
    <x v="34"/>
    <s v="Africa"/>
    <m/>
    <s v="Mining"/>
    <s v="yes"/>
    <s v="no"/>
    <s v="no"/>
    <s v="Diamond"/>
    <s v="detailed"/>
    <s v="detailed Mining"/>
    <n v="71"/>
    <m/>
    <m/>
    <m/>
    <m/>
    <s v="carats"/>
    <n v="210.9"/>
    <s v="US$/carat"/>
    <s v="Volume from USGS Mineral Yearbook 2012. Price from Kimberley Process Annual Summary 2011."/>
    <n v="14973.9"/>
    <m/>
    <m/>
    <m/>
    <m/>
    <m/>
    <m/>
    <m/>
    <m/>
    <m/>
    <m/>
    <m/>
    <m/>
    <m/>
    <m/>
    <m/>
    <m/>
    <m/>
    <m/>
    <m/>
    <m/>
    <m/>
    <m/>
    <m/>
    <m/>
    <m/>
    <m/>
    <m/>
    <m/>
    <m/>
    <m/>
    <m/>
    <m/>
    <m/>
    <m/>
    <m/>
    <m/>
    <m/>
    <m/>
    <m/>
    <m/>
    <m/>
    <m/>
    <m/>
    <m/>
    <m/>
  </r>
  <r>
    <x v="209"/>
    <n v="2011"/>
    <x v="34"/>
    <s v="Africa"/>
    <m/>
    <s v="Mining"/>
    <s v="yes"/>
    <s v="no"/>
    <s v="no"/>
    <s v="Gold"/>
    <s v="detailed"/>
    <s v="detailed Mining"/>
    <n v="529490.58855032839"/>
    <m/>
    <m/>
    <m/>
    <m/>
    <s v="toz"/>
    <n v="1569.2108333333299"/>
    <s v="US$/toz"/>
    <s v="Volume from USGS Mineral Yearbook 2012. Price from World Bank (Global Economic Monitor (GEM) Commodities database), and is defined as: Gold (UK), 99.5% fine, London afternoon fixing, average of daily rates."/>
    <n v="830882367.7012161"/>
    <m/>
    <m/>
    <m/>
    <m/>
    <m/>
    <m/>
    <m/>
    <m/>
    <m/>
    <m/>
    <m/>
    <m/>
    <m/>
    <m/>
    <m/>
    <m/>
    <m/>
    <m/>
    <m/>
    <m/>
    <m/>
    <m/>
    <m/>
    <m/>
    <m/>
    <m/>
    <m/>
    <m/>
    <m/>
    <m/>
    <m/>
    <m/>
    <m/>
    <m/>
    <m/>
    <m/>
    <m/>
    <m/>
    <m/>
    <m/>
    <m/>
    <m/>
    <m/>
    <m/>
    <m/>
  </r>
  <r>
    <x v="208"/>
    <n v="2010"/>
    <x v="34"/>
    <s v="Africa"/>
    <m/>
    <s v="Mining"/>
    <s v="yes"/>
    <s v="no"/>
    <s v="no"/>
    <s v="Gravel"/>
    <s v="detailed"/>
    <s v="detailed Mining"/>
    <n v="263672.88"/>
    <m/>
    <n v="263672.88"/>
    <m/>
    <m/>
    <s v="t"/>
    <n v="7.49"/>
    <s v="US$/t"/>
    <s v="Volume from EITI Report. Price from USGS Mineral Yearbook 2012, and is the price in the US for construction sand and gravel."/>
    <n v="1974909.8712000002"/>
    <m/>
    <m/>
    <m/>
    <m/>
    <m/>
    <m/>
    <m/>
    <m/>
    <m/>
    <m/>
    <m/>
    <m/>
    <m/>
    <m/>
    <m/>
    <m/>
    <m/>
    <m/>
    <m/>
    <m/>
    <m/>
    <m/>
    <m/>
    <m/>
    <s v="This commodity is not mentioned in the USGS Mineral Yearbook 2012"/>
    <m/>
    <m/>
    <m/>
    <m/>
    <m/>
    <m/>
    <m/>
    <m/>
    <m/>
    <m/>
    <m/>
    <m/>
    <m/>
    <m/>
    <m/>
    <m/>
    <m/>
    <m/>
    <m/>
    <m/>
  </r>
  <r>
    <x v="209"/>
    <n v="2011"/>
    <x v="34"/>
    <s v="Africa"/>
    <m/>
    <s v="Mining"/>
    <s v="yes"/>
    <s v="no"/>
    <s v="no"/>
    <s v="Iron ore"/>
    <s v="detailed"/>
    <s v="detailed Mining"/>
    <n v="40912"/>
    <m/>
    <m/>
    <m/>
    <m/>
    <s v="t"/>
    <n v="167.75416666666999"/>
    <s v="US$/t"/>
    <m/>
    <n v="6863158.4666668028"/>
    <m/>
    <m/>
    <m/>
    <m/>
    <m/>
    <m/>
    <m/>
    <m/>
    <m/>
    <m/>
    <m/>
    <m/>
    <m/>
    <m/>
    <m/>
    <m/>
    <m/>
    <m/>
    <m/>
    <m/>
    <m/>
    <m/>
    <m/>
    <m/>
    <m/>
    <m/>
    <m/>
    <m/>
    <m/>
    <m/>
    <m/>
    <m/>
    <m/>
    <m/>
    <m/>
    <m/>
    <m/>
    <m/>
    <m/>
    <m/>
    <m/>
    <m/>
    <m/>
    <m/>
    <m/>
  </r>
  <r>
    <x v="209"/>
    <n v="2011"/>
    <x v="34"/>
    <s v="Africa"/>
    <m/>
    <s v="Mining"/>
    <s v="yes"/>
    <s v="no"/>
    <s v="no"/>
    <s v="Limestone"/>
    <s v="detailed"/>
    <s v="detailed Mining"/>
    <n v="1923189"/>
    <m/>
    <m/>
    <m/>
    <m/>
    <s v="t"/>
    <n v="9.06"/>
    <s v="US$/t"/>
    <s v="Volume from USGS Mineral Yearbook 2012. Price from USGS Mineral Yearbook 2012, and is the price in the US for crushed limestone."/>
    <n v="17424092.34"/>
    <m/>
    <m/>
    <m/>
    <m/>
    <m/>
    <m/>
    <m/>
    <m/>
    <m/>
    <m/>
    <m/>
    <m/>
    <m/>
    <m/>
    <m/>
    <m/>
    <m/>
    <m/>
    <m/>
    <m/>
    <m/>
    <m/>
    <m/>
    <m/>
    <m/>
    <m/>
    <m/>
    <m/>
    <m/>
    <m/>
    <m/>
    <m/>
    <m/>
    <m/>
    <m/>
    <m/>
    <m/>
    <m/>
    <m/>
    <m/>
    <m/>
    <m/>
    <m/>
    <m/>
    <m/>
  </r>
  <r>
    <x v="209"/>
    <n v="2011"/>
    <x v="34"/>
    <s v="Africa"/>
    <m/>
    <s v="Mining"/>
    <s v="yes"/>
    <s v="no"/>
    <s v="no"/>
    <s v="Phosphate rock (beneficiated)"/>
    <s v="detailed"/>
    <s v="detailed Mining"/>
    <n v="866000"/>
    <m/>
    <m/>
    <m/>
    <m/>
    <s v="t"/>
    <n v="184.89583333332999"/>
    <s v="US$/t"/>
    <s v="Volume from USGS Mineral Yearbook 2012. Price from World Bank (Global Economic Monitor (GEM) Commodities database), and is defined as: Phosphate rock (Morocco), 70% BPL, contract, f.a.s. Casablanca."/>
    <n v="160119791.66666377"/>
    <m/>
    <m/>
    <m/>
    <m/>
    <m/>
    <m/>
    <m/>
    <m/>
    <m/>
    <m/>
    <m/>
    <m/>
    <m/>
    <m/>
    <m/>
    <m/>
    <m/>
    <m/>
    <m/>
    <m/>
    <m/>
    <m/>
    <m/>
    <m/>
    <m/>
    <m/>
    <m/>
    <m/>
    <m/>
    <m/>
    <m/>
    <m/>
    <m/>
    <m/>
    <m/>
    <m/>
    <m/>
    <m/>
    <m/>
    <m/>
    <m/>
    <m/>
    <m/>
    <m/>
    <m/>
  </r>
  <r>
    <x v="209"/>
    <n v="2011"/>
    <x v="34"/>
    <s v="Africa"/>
    <m/>
    <s v="Other"/>
    <s v="no"/>
    <s v="no"/>
    <s v="no"/>
    <s v="Water"/>
    <s v="detailed"/>
    <s v="detailed Other"/>
    <m/>
    <m/>
    <n v="21463689"/>
    <m/>
    <m/>
    <s v="m³"/>
    <m/>
    <m/>
    <m/>
    <n v="0"/>
    <m/>
    <m/>
    <m/>
    <m/>
    <m/>
    <m/>
    <m/>
    <m/>
    <m/>
    <m/>
    <m/>
    <m/>
    <m/>
    <m/>
    <m/>
    <m/>
    <m/>
    <m/>
    <m/>
    <m/>
    <m/>
    <m/>
    <m/>
    <m/>
    <m/>
    <m/>
    <m/>
    <m/>
    <m/>
    <m/>
    <m/>
    <m/>
    <m/>
    <m/>
    <m/>
    <m/>
    <m/>
    <m/>
    <m/>
    <m/>
    <m/>
    <m/>
    <m/>
    <m/>
    <m/>
  </r>
  <r>
    <x v="210"/>
    <n v="2012"/>
    <x v="34"/>
    <s v="Africa"/>
    <s v="http://www.itietogo.org/"/>
    <s v="Mining"/>
    <m/>
    <m/>
    <m/>
    <s v="Total"/>
    <m/>
    <m/>
    <m/>
    <m/>
    <m/>
    <m/>
    <m/>
    <m/>
    <m/>
    <m/>
    <s v="Volume from EITI Report"/>
    <n v="960500000"/>
    <s v="Profits/Taxes, Royalties, Dividends, Bonuses, Licenses and concessions, Other significant benefits to government"/>
    <s v="Does not include payments made in-kind"/>
    <s v="No"/>
    <n v="31681601.940000001"/>
    <n v="35222626.909999996"/>
    <n v="0.99"/>
    <n v="31929509.41"/>
    <m/>
    <n v="0.33239999999999997"/>
    <s v="West African CFA Franc"/>
    <n v="497.16"/>
    <s v="Disaggregated by revenue stream, Disaggregated by company"/>
    <m/>
    <m/>
    <m/>
    <m/>
    <n v="37"/>
    <s v="SNPT, WACEM, SCANTOGO Mines, MM Mining, POMAR, BB/Eau Vitale, Voltic Togo Sarl, ACI Togo, TdE, WAFEX, SOLTRANS, Granutogo, RRCC, SGM, G&amp;B African Resources, Global Merchants, GTOA Sarl, Les Aigles, Togo Rail, Etoile Du Golfe, COLAS, Togo Carrière, TGC SA, ADEOTI, MIDNIGHT SUN, SHEHU DAN FODIO, SILME-BTP Sarl"/>
    <n v="27"/>
    <s v="December 2014"/>
    <m/>
    <s v="Moore Stephens"/>
    <s v="https://eiti.org/files/2012%20Togo%20EITI%20Report%20Moore%20Stephens.pdf"/>
    <m/>
    <s v="Divergent production data between companies and state"/>
    <m/>
    <m/>
    <m/>
    <m/>
    <m/>
    <m/>
    <m/>
    <m/>
    <m/>
    <m/>
    <m/>
    <m/>
    <m/>
    <m/>
    <m/>
    <m/>
    <m/>
    <m/>
    <m/>
    <m/>
  </r>
  <r>
    <x v="210"/>
    <n v="2012"/>
    <x v="34"/>
    <s v="Africa"/>
    <m/>
    <s v="Mining"/>
    <m/>
    <m/>
    <m/>
    <s v="Phosphate"/>
    <m/>
    <m/>
    <m/>
    <m/>
    <m/>
    <n v="1100000"/>
    <n v="1110416"/>
    <s v="t"/>
    <m/>
    <m/>
    <m/>
    <m/>
    <m/>
    <m/>
    <m/>
    <m/>
    <m/>
    <m/>
    <m/>
    <m/>
    <m/>
    <m/>
    <m/>
    <m/>
    <m/>
    <m/>
    <m/>
    <m/>
    <m/>
    <m/>
    <m/>
    <m/>
    <m/>
    <m/>
    <m/>
    <m/>
    <m/>
    <m/>
    <m/>
    <m/>
    <m/>
    <m/>
    <m/>
    <m/>
    <m/>
    <m/>
    <m/>
    <m/>
    <m/>
    <m/>
    <m/>
    <m/>
    <m/>
    <m/>
    <m/>
    <m/>
    <m/>
  </r>
  <r>
    <x v="210"/>
    <n v="2012"/>
    <x v="34"/>
    <s v="Africa"/>
    <m/>
    <s v="Mining"/>
    <m/>
    <m/>
    <m/>
    <s v="Limestone"/>
    <m/>
    <m/>
    <m/>
    <m/>
    <m/>
    <n v="1923189"/>
    <n v="2371219"/>
    <s v="t"/>
    <m/>
    <m/>
    <m/>
    <m/>
    <m/>
    <m/>
    <m/>
    <m/>
    <m/>
    <m/>
    <m/>
    <m/>
    <m/>
    <m/>
    <m/>
    <m/>
    <m/>
    <m/>
    <m/>
    <m/>
    <m/>
    <m/>
    <m/>
    <m/>
    <m/>
    <m/>
    <m/>
    <m/>
    <m/>
    <m/>
    <m/>
    <m/>
    <m/>
    <m/>
    <m/>
    <m/>
    <m/>
    <m/>
    <m/>
    <m/>
    <m/>
    <m/>
    <m/>
    <m/>
    <m/>
    <m/>
    <m/>
    <m/>
    <m/>
  </r>
  <r>
    <x v="210"/>
    <n v="2012"/>
    <x v="34"/>
    <s v="Africa"/>
    <m/>
    <s v="Mining"/>
    <m/>
    <m/>
    <m/>
    <s v="Iron"/>
    <m/>
    <m/>
    <m/>
    <m/>
    <m/>
    <n v="52706"/>
    <n v="177318"/>
    <s v="t"/>
    <m/>
    <m/>
    <m/>
    <m/>
    <m/>
    <m/>
    <m/>
    <m/>
    <m/>
    <m/>
    <m/>
    <m/>
    <m/>
    <m/>
    <m/>
    <m/>
    <m/>
    <m/>
    <m/>
    <m/>
    <m/>
    <m/>
    <m/>
    <m/>
    <m/>
    <m/>
    <m/>
    <m/>
    <m/>
    <m/>
    <m/>
    <m/>
    <m/>
    <m/>
    <m/>
    <m/>
    <m/>
    <m/>
    <m/>
    <m/>
    <m/>
    <m/>
    <m/>
    <m/>
    <m/>
    <m/>
    <m/>
    <m/>
    <m/>
  </r>
  <r>
    <x v="210"/>
    <n v="2012"/>
    <x v="34"/>
    <s v="Africa"/>
    <m/>
    <s v="Mining"/>
    <m/>
    <m/>
    <m/>
    <s v="Sand and Gravel"/>
    <m/>
    <m/>
    <m/>
    <m/>
    <m/>
    <n v="127900"/>
    <n v="134282"/>
    <s v="m³"/>
    <m/>
    <m/>
    <m/>
    <m/>
    <m/>
    <m/>
    <m/>
    <m/>
    <m/>
    <m/>
    <m/>
    <m/>
    <m/>
    <m/>
    <m/>
    <m/>
    <m/>
    <m/>
    <m/>
    <m/>
    <m/>
    <m/>
    <m/>
    <m/>
    <m/>
    <m/>
    <m/>
    <m/>
    <m/>
    <m/>
    <m/>
    <m/>
    <m/>
    <m/>
    <m/>
    <m/>
    <m/>
    <m/>
    <m/>
    <m/>
    <m/>
    <m/>
    <m/>
    <m/>
    <m/>
    <m/>
    <m/>
    <m/>
    <m/>
  </r>
  <r>
    <x v="210"/>
    <n v="2012"/>
    <x v="34"/>
    <s v="Africa"/>
    <m/>
    <s v="Mining"/>
    <m/>
    <m/>
    <m/>
    <s v="Other"/>
    <m/>
    <m/>
    <m/>
    <m/>
    <m/>
    <m/>
    <n v="184655"/>
    <m/>
    <m/>
    <m/>
    <m/>
    <m/>
    <m/>
    <m/>
    <m/>
    <m/>
    <m/>
    <m/>
    <m/>
    <m/>
    <m/>
    <m/>
    <m/>
    <m/>
    <m/>
    <m/>
    <m/>
    <m/>
    <m/>
    <m/>
    <m/>
    <m/>
    <m/>
    <m/>
    <m/>
    <m/>
    <m/>
    <m/>
    <m/>
    <m/>
    <m/>
    <m/>
    <m/>
    <m/>
    <m/>
    <m/>
    <m/>
    <m/>
    <m/>
    <m/>
    <m/>
    <m/>
    <m/>
    <m/>
    <m/>
    <m/>
    <m/>
  </r>
  <r>
    <x v="211"/>
    <n v="2011"/>
    <x v="35"/>
    <s v="Latin America and Caribbean"/>
    <s v="http://www.tteiti.org.tt"/>
    <s v="Oil, Gas"/>
    <s v="no"/>
    <s v="yes"/>
    <s v="yes"/>
    <s v="Total"/>
    <s v="Total"/>
    <s v="Total Oil, Gas"/>
    <m/>
    <m/>
    <m/>
    <m/>
    <m/>
    <m/>
    <m/>
    <m/>
    <m/>
    <n v="13699973216.692986"/>
    <s v="Profits/Taxes, Dividends, Licenses and concessions"/>
    <s v="Does not include payments made in-kind"/>
    <s v="-"/>
    <n v="3593984496"/>
    <n v="3605333333"/>
    <m/>
    <m/>
    <m/>
    <n v="0.26233514760604371"/>
    <s v="Trinidad and Tobago Dollar"/>
    <n v="6.45"/>
    <s v="Disaggregated by revenue stream, Disaggregated by company, Disaggregated by company and revenue stream, Disaggregated by project"/>
    <m/>
    <m/>
    <m/>
    <m/>
    <n v="56"/>
    <s v="Amoco Trinidad Gas BV, Anadarko, Bayfield Energy (Galeota) Limited, Bayfield Energy Trinidad Ltd, BG International Ltd, BG Manatee Limited, BG Trinidad 5A Limited, BG Trinidad and Tobago Ltd, BG Trinidad Central Block Ltd, BG Trinidad EC Limited, BHP Billiton (Trinidad 3A) Limited, BHP Billiton Trinidad 2AB, BHP Billiton Trinidad 2C Ltd, BP EOC Trinidad Branch, BP Trinidad and Tobago LLC Trinidad Branch, Centrica (Horne &amp; Wren) Ltd , Centrica North Sea Gas Limited, Centrica North Sea Oil Limited,  Trinidad and Tobago  Centrica Group, Centrica Resources (Amada) Limited, Centrica Resources Ltd, Centrica Trinidad and Tobago Limited, Centrica Upstream Limited, Chaoyang Petroleum 2C Ltd, Chevron Texaco Trinidad &amp; Tobago Resources, Chevron Trinidad and Tobago Resources SRL, Elf Exploration Trinidad BV, ENI Trinidad &amp; Tobago Exploration, ENI Trinidad Limited, EOG Resources Trinidad Blk 4A Unlimited, EOG Resources Trinidad U(A) Block Limited, EOG Resources Trinidad Ltd, EOG Resources U(B) Block Ltd, Lease Operators Ltd, Mora Oil Ventures, The National Gas Company of Trinidad and Tobago, Niko Resources (Block 4B Caribbean) Limited, Niko Resources (Block 5C Caribbean)Limited, Niko Resources (Caribbean) limited, Niko Resources (NCMA2 Caribbean) Limited, Niko Resources (NCMA3 Caribbean) Limited, Niko Resources (Trinidad and Tobago Ltd), NSGP (Ensign) Ltd, Petroleum Company of Trinidad and Tobago Limited (Petrotin), Primera Block 3(B) limited, Primera Block 4(A) Limited, Primera East Brighton Limited, Primera Modified U(B) Limited, Primera Oil &amp; Gas Ltd, Primera Rock Dome Limited, Repsol E&amp;P T&amp;T Limited, Sonde Resources Corp, Ten Degrees North Operations Company Ltd, Total E&amp;P Trinidad Block 3A, Total E&amp;P Trinidad BV, Trintomar, Venture North Sea Gas Ltd, Voyager Energy (Trinidad) Ltd"/>
    <n v="46"/>
    <s v="September 2013"/>
    <d v="2014-09-26T00:00:00"/>
    <s v="BDO Trinity Ltd/Hart-Nurse Group"/>
    <s v="http://eiti.org/files/FINAL-TTEITI-reconciliation-report-2011.pdf"/>
    <n v="7"/>
    <s v="The report covers the fiscal year of 1 October 2010 to 30 September 2011. Materiality threshold: not given. The report doesn't comprehensively distinguish between oil and gas producers. Unilateral declarations do not appear to be included in the report. The report provides production volumes for some companies, but this is not comprehensive. It also provides production volumes for the country as a whole on a chart, but not actual amounts. The Petroleum Company of Trinidad and Tobago Limited (Petrotin) is a SOC involved in upstream activities, while The National Gas Company of Trinidad and Tobago is a SOC involved in midstream activities, purchasing, compressing, selling, transmitting and distributing natural gas to a crosssection of consumers including petrochemical, steel and power generation plants. The report also covers: downstream activites in the oil &amp; gas industry; export destinations; royalties received from quarries; expenditure of oil &amp; gas revenues, including the Heritage and Stabilisation Fund; extractive industries pricing mechanisms; which companies operate in each block (though there isn't comprehensive disaggregation of revenue to this level)."/>
    <m/>
    <m/>
    <m/>
    <m/>
    <m/>
    <m/>
    <m/>
    <m/>
    <m/>
    <m/>
    <m/>
    <m/>
    <m/>
    <m/>
    <m/>
    <m/>
    <m/>
    <m/>
    <m/>
    <m/>
  </r>
  <r>
    <x v="211"/>
    <n v="2011"/>
    <x v="35"/>
    <s v="Latin America and Caribbean"/>
    <m/>
    <s v="Gas"/>
    <s v="no"/>
    <s v="yes"/>
    <s v="no"/>
    <s v="Gas"/>
    <s v="detailed"/>
    <s v="detailed Gas"/>
    <n v="43378904109.589043"/>
    <m/>
    <m/>
    <m/>
    <m/>
    <s v="m³"/>
    <n v="0.19666043794616025"/>
    <s v="US$/m³"/>
    <s v="Volume and price from BPSR 2014, adjusted to account for the fiscal year. Price is an average of the UK, US and Canada Indices for natural gas."/>
    <n v="8530914279.8162718"/>
    <m/>
    <m/>
    <m/>
    <m/>
    <m/>
    <m/>
    <m/>
    <m/>
    <m/>
    <m/>
    <m/>
    <m/>
    <m/>
    <m/>
    <m/>
    <m/>
    <m/>
    <m/>
    <m/>
    <m/>
    <m/>
    <m/>
    <m/>
    <m/>
    <m/>
    <m/>
    <m/>
    <m/>
    <m/>
    <m/>
    <m/>
    <m/>
    <m/>
    <m/>
    <m/>
    <m/>
    <m/>
    <m/>
    <m/>
    <m/>
    <m/>
    <m/>
    <m/>
    <m/>
    <m/>
  </r>
  <r>
    <x v="211"/>
    <n v="2011"/>
    <x v="35"/>
    <s v="Latin America and Caribbean"/>
    <m/>
    <s v="Oil"/>
    <s v="no"/>
    <s v="no"/>
    <s v="yes"/>
    <s v="Oil"/>
    <s v="detailed"/>
    <s v="detailed Oil"/>
    <n v="51836000"/>
    <m/>
    <m/>
    <m/>
    <m/>
    <s v="bbl"/>
    <n v="99.719479452054799"/>
    <s v="US$/bbl"/>
    <s v="Volume and price from BPSR 2014, adjusted to account for the fiscal year. Price is an average of the spot prices for Brent, Dubai, Nigerian Forcados and West Texas Intermediate crude oil."/>
    <n v="5169058936.8767128"/>
    <m/>
    <m/>
    <m/>
    <m/>
    <m/>
    <m/>
    <m/>
    <m/>
    <m/>
    <m/>
    <m/>
    <m/>
    <m/>
    <m/>
    <m/>
    <m/>
    <m/>
    <m/>
    <m/>
    <m/>
    <m/>
    <m/>
    <m/>
    <m/>
    <m/>
    <m/>
    <m/>
    <m/>
    <m/>
    <m/>
    <m/>
    <m/>
    <m/>
    <m/>
    <m/>
    <m/>
    <m/>
    <m/>
    <m/>
    <m/>
    <m/>
    <m/>
    <m/>
    <m/>
    <m/>
  </r>
  <r>
    <x v="212"/>
    <n v="2005"/>
    <x v="36"/>
    <s v="Middle East and North Africa"/>
    <s v="http://www.yemeneiti.org/english/"/>
    <s v="Oil"/>
    <s v="no"/>
    <s v="no"/>
    <s v="yes"/>
    <s v="Oil"/>
    <s v="detailed"/>
    <s v="detailed Oil"/>
    <n v="153665000"/>
    <m/>
    <m/>
    <m/>
    <m/>
    <s v="bbl"/>
    <n v="51.448448141042135"/>
    <s v="US$/bbl"/>
    <s v="Volume from BPSR 2014. Price from EITI Report, and is based on the volume and value of payments made in-kind."/>
    <n v="7905825783.5932398"/>
    <s v="Host government's production entitlement, State-owned company production entitlement, Bonuses, Other significant benefits to government"/>
    <s v="Also covers payments made in-kind"/>
    <s v="No"/>
    <n v="4668154975"/>
    <n v="4668248606"/>
    <m/>
    <m/>
    <m/>
    <n v="0.59047025608478543"/>
    <s v="United States Dollar"/>
    <s v=""/>
    <s v="Disaggregated by revenue stream"/>
    <s v="89,700,742 bbl of oil"/>
    <n v="4614963973"/>
    <m/>
    <m/>
    <n v="12"/>
    <s v="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
    <n v="12"/>
    <s v="September 2010"/>
    <d v="2014-10-02T00:00:00"/>
    <s v="Hart Group"/>
    <s v="http://eiti.org/files/Yemen%202005-2006-2007%20EITI%20Report.pdf"/>
    <n v="19"/>
    <s v="Materiality threshold: Not given. Unilateral declarations are not included. The report doesn't indicate how the value of payments in-kind are calculated, though does include a reconciliation of the volumes of crude oil received by the Government which are then exported or transferred to government refineries. Safer E&amp;P Operation Company and Yemen Company For Investment In Oil And Minerals are both SOCs. "/>
    <m/>
    <m/>
    <m/>
    <m/>
    <m/>
    <m/>
    <m/>
    <m/>
    <m/>
    <m/>
    <m/>
    <m/>
    <m/>
    <m/>
    <m/>
    <m/>
    <m/>
    <m/>
    <m/>
    <m/>
  </r>
  <r>
    <x v="213"/>
    <n v="2006"/>
    <x v="36"/>
    <s v="Middle East and North Africa"/>
    <s v="http://www.yemeneiti.org/english/"/>
    <s v="Oil"/>
    <s v="no"/>
    <s v="no"/>
    <s v="yes"/>
    <s v="Oil"/>
    <s v="detailed"/>
    <s v="detailed Oil"/>
    <n v="141255000"/>
    <m/>
    <m/>
    <m/>
    <m/>
    <s v="bbl"/>
    <n v="56.158702915231345"/>
    <s v="US$/bbl"/>
    <s v="Volume from BPSR 2014. Price from EITI Report, and is based on the volume and value of payments made in-kind."/>
    <n v="7932697580.2910032"/>
    <s v="Host government's production entitlement, State-owned company production entitlement, Bonuses, Other significant benefits to government"/>
    <s v="Also covers payments made in-kind"/>
    <s v="No"/>
    <n v="5122351269"/>
    <n v="5121921597"/>
    <m/>
    <m/>
    <m/>
    <n v="0.64572627623251599"/>
    <s v="United States Dollar"/>
    <s v=""/>
    <s v="Disaggregated by revenue stream"/>
    <s v="89,425,150 bbl of oil"/>
    <n v="5022000432"/>
    <m/>
    <m/>
    <n v="12"/>
    <s v="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
    <n v="12"/>
    <s v="September 2010"/>
    <d v="2014-10-02T00:00:00"/>
    <s v="Hart Group"/>
    <s v="http://eiti.org/files/Yemen%202005-2006-2007%20EITI%20Report.pdf"/>
    <n v="20"/>
    <s v="Materiality threshold: Not given. Unilateral declarations are not included. The report doesn't indicate how the value of payments in-kind are calculated, though does include a reconciliation of the volumes of crude oil received by the Government which are then exported or transferred to government refineries. Safer E&amp;P Operation Company and Yemen Company For Investment In Oil And Minerals are both SOCs. "/>
    <m/>
    <m/>
    <m/>
    <m/>
    <m/>
    <m/>
    <m/>
    <m/>
    <m/>
    <m/>
    <m/>
    <m/>
    <m/>
    <m/>
    <m/>
    <m/>
    <m/>
    <m/>
    <m/>
    <m/>
  </r>
  <r>
    <x v="214"/>
    <n v="2007"/>
    <x v="36"/>
    <s v="Middle East and North Africa"/>
    <s v="http://www.yemeneiti.org/english/"/>
    <s v="Oil"/>
    <s v="no"/>
    <s v="no"/>
    <s v="yes"/>
    <s v="Oil"/>
    <s v="detailed"/>
    <s v="detailed Oil"/>
    <n v="124465000"/>
    <m/>
    <m/>
    <m/>
    <m/>
    <s v="bbl"/>
    <n v="71.930690371762495"/>
    <s v="US$/bbl"/>
    <s v="Volume from BPSR 2014. Price from EITI Report, and is based on the volume and value of payments made in-kind."/>
    <n v="8952853377.121418"/>
    <s v="Host government's production entitlement, State-owned company production entitlement, Bonuses, Other significant benefits to government"/>
    <s v="Also covers payments made in-kind"/>
    <s v="No"/>
    <n v="5331162225"/>
    <n v="5331078375"/>
    <m/>
    <m/>
    <m/>
    <n v="0.59547073993454713"/>
    <s v="United States Dollar"/>
    <s v=""/>
    <s v="Disaggregated by revenue stream"/>
    <s v="72,952,303 bbl of oil"/>
    <n v="5247509519"/>
    <m/>
    <m/>
    <n v="12"/>
    <s v="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
    <n v="12"/>
    <s v="September 2010"/>
    <d v="2014-10-02T00:00:00"/>
    <s v="Hart Group"/>
    <s v="http://eiti.org/files/Yemen%202005-2006-2007%20EITI%20Report.pdf"/>
    <n v="21"/>
    <s v="Materiality threshold: Not given. Unilateral declarations are not included. The report doesn't indicate how the value of payments in-kind are calculated, though does include a reconciliation of the volumes of crude oil received by the Government which are then exported or transferred to government refineries. Safer E&amp;P Operation Company and Yemen Company For Investment In Oil And Minerals are both SOCs. "/>
    <m/>
    <m/>
    <m/>
    <m/>
    <m/>
    <m/>
    <m/>
    <m/>
    <m/>
    <m/>
    <m/>
    <m/>
    <m/>
    <m/>
    <m/>
    <m/>
    <m/>
    <m/>
    <m/>
    <m/>
  </r>
  <r>
    <x v="215"/>
    <n v="2008"/>
    <x v="36"/>
    <s v="Middle East and North Africa"/>
    <s v="http://www.yemeneiti.org/english/"/>
    <s v="Oil"/>
    <s v="no"/>
    <s v="no"/>
    <s v="yes"/>
    <s v="Oil"/>
    <s v="detailed"/>
    <s v="detailed Oil"/>
    <n v="114975000"/>
    <m/>
    <m/>
    <m/>
    <m/>
    <s v="bbl"/>
    <n v="100.68876875401018"/>
    <s v="US$/bbl"/>
    <s v="Volume from BPSR 2014. Price from EITI Report, and is based on the volume and value of payments made in-kind."/>
    <n v="11576691187.492321"/>
    <s v="Host government's production entitlement, State-owned company production entitlement, Bonuses, Other significant benefits to government"/>
    <s v="Also covers payments made in-kind (though only the Government reports on the value of this)"/>
    <s v="No"/>
    <n v="7591231594"/>
    <n v="214794365"/>
    <s v="100% of production"/>
    <m/>
    <m/>
    <n v="0.65573413603722208"/>
    <s v="United States Dollar"/>
    <s v=""/>
    <s v="Disaggregated by revenue stream"/>
    <s v="73,251,000 bbl of oil"/>
    <n v="7375553000"/>
    <m/>
    <m/>
    <n v="12"/>
    <s v="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
    <n v="12"/>
    <s v="June 2013"/>
    <d v="2014-10-02T00:00:00"/>
    <s v="Hart Group"/>
    <s v="http://eiti.org/files/Yemen-2008-2009-2010-EITI-Report_1.pdf; http://www.yemeneiti.org/english/wp-content/uploads/2013/09/APPENDICES_Final-Edition.pdf"/>
    <s v="24, 35"/>
    <s v="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is calculated, though does include a reconciliation of the volumes of crude oil received by the Government which are then exported or transferred to government refineries. Safer E&amp;P Operation Company and Yemen Company For Investment In Oil And Minerals (YCOM) are both SOCs. Although the report disagggregates financial flows by company, it does not do this for payments in-kind. The report also provides: information on the mining sector; a list of companies operating in each oil block."/>
    <m/>
    <m/>
    <m/>
    <m/>
    <m/>
    <m/>
    <m/>
    <m/>
    <m/>
    <m/>
    <m/>
    <m/>
    <m/>
    <m/>
    <m/>
    <m/>
    <m/>
    <m/>
    <m/>
    <m/>
  </r>
  <r>
    <x v="216"/>
    <n v="2009"/>
    <x v="36"/>
    <s v="Middle East and North Africa"/>
    <s v="http://www.yemeneiti.org/english/"/>
    <s v="Oil"/>
    <s v="no"/>
    <s v="no"/>
    <s v="yes"/>
    <s v="Oil"/>
    <s v="detailed"/>
    <s v="detailed Oil"/>
    <n v="111690000"/>
    <m/>
    <m/>
    <m/>
    <m/>
    <s v="bbl"/>
    <n v="58.807703233352825"/>
    <s v="US$/bbl"/>
    <s v="Volume from BPSR 2014. Price from EITI Report, and is based on the volume and value of payments made in-kind."/>
    <n v="6568232374.1331768"/>
    <s v="Host government's production entitlement, State-owned company production entitlement, Bonuses, Other significant benefits to government"/>
    <s v="Also covers payments made in-kind (though only the Government reports on the value of this)"/>
    <s v="No"/>
    <n v="3625997931"/>
    <n v="114590378"/>
    <s v="100% of production"/>
    <m/>
    <m/>
    <n v="0.55205079912820998"/>
    <s v="United States Dollar"/>
    <s v=""/>
    <s v="Disaggregated by revenue stream"/>
    <s v="59,845,000 bbl of oil"/>
    <n v="3519347000"/>
    <m/>
    <m/>
    <n v="12"/>
    <s v="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
    <n v="12"/>
    <s v="June 2013"/>
    <d v="2014-10-02T00:00:00"/>
    <s v="Hart Group"/>
    <s v="http://eiti.org/files/Yemen-2008-2009-2010-EITI-Report_1.pdf; http://www.yemeneiti.org/english/wp-content/uploads/2013/09/APPENDICES_Final-Edition.pdf"/>
    <s v="25, 37"/>
    <s v="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is calculated, though does include a reconciliation of the volumes of crude oil received by the Government which are then exported or transferred to government refineries. Safer E&amp;P Operation Company and Yemen Company For Investment In Oil And Minerals (YCOM) are both SOCs. The report also provides: information on the mining sector; a list of companies operating in each oil block."/>
    <m/>
    <m/>
    <m/>
    <m/>
    <m/>
    <m/>
    <m/>
    <m/>
    <m/>
    <m/>
    <m/>
    <m/>
    <m/>
    <m/>
    <m/>
    <m/>
    <m/>
    <m/>
    <m/>
    <m/>
  </r>
  <r>
    <x v="217"/>
    <n v="2010"/>
    <x v="36"/>
    <s v="Middle East and North Africa"/>
    <s v="http://www.yemeneiti.org/english/"/>
    <s v="Oil, Gas"/>
    <s v="no"/>
    <s v="yes"/>
    <s v="yes"/>
    <s v="Total"/>
    <s v="Total"/>
    <s v="Total Oil, Gas"/>
    <m/>
    <m/>
    <m/>
    <m/>
    <m/>
    <m/>
    <m/>
    <m/>
    <m/>
    <n v="9404103439.4122658"/>
    <s v="Host government's production entitlement, State-owned company production entitlement, Bonuses, Other significant benefits to government"/>
    <s v="Also covers payments made in-kind (though only the Government reports on the value of this)"/>
    <s v="No"/>
    <n v="5081696110"/>
    <n v="245902656"/>
    <s v="100% of production"/>
    <m/>
    <m/>
    <n v="0.54037007809833215"/>
    <s v="United States Dollar"/>
    <s v=""/>
    <s v="Disaggregated by revenue stream, Disaggregated by commodity, Disaggregated by commodity and revenue stream"/>
    <s v="61,690,000 bbl of oil"/>
    <n v="4834974000"/>
    <m/>
    <m/>
    <n v="13"/>
    <s v="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 Yemen Liquefied Natural Gas (YLNG)/Yemen Gas Company"/>
    <n v="13"/>
    <s v="June 2013"/>
    <d v="2014-10-02T00:00:00"/>
    <s v="Hart Group"/>
    <s v="http://eiti.org/files/Yemen-2008-2009-2010-EITI-Report_1.pdf; http://www.yemeneiti.org/english/wp-content/uploads/2013/09/APPENDICES_Final-Edition.pdf"/>
    <s v="26, 28, 39"/>
    <s v="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are calculated, though does include a reconciliation of the volumes of crude oil received by the Government which are then exported or transferred to government refineries. Although the Government is entitled to a share of the gas produced, this is settled in cash. YLNG is a joint venture between Yemen Gas Company, a SOC,  and international companies, including Total, Hunt, SK Innovation, Koreas Gas Corporation, Hyundai Corporation and The General Authority for Social Security and Pensions. Exports of Liquefied Natural Gas by YLNG in 2010, its first year of production, were 186.8 billion cubic feet. Safer E&amp;P Operation Company and Yemen Company For Investment In Oil And Minerals (YCOM) are also SOCs. The report also provides: information on the mining sector; a list of companies operating in each oil block."/>
    <m/>
    <m/>
    <m/>
    <m/>
    <m/>
    <m/>
    <m/>
    <m/>
    <m/>
    <m/>
    <m/>
    <m/>
    <m/>
    <m/>
    <m/>
    <m/>
    <m/>
    <m/>
    <m/>
    <m/>
  </r>
  <r>
    <x v="217"/>
    <n v="2010"/>
    <x v="36"/>
    <s v="Middle East and North Africa"/>
    <m/>
    <s v="Gas"/>
    <s v="no"/>
    <s v="yes"/>
    <s v="no"/>
    <s v="Gas"/>
    <s v="detailed"/>
    <s v="detailed Gas"/>
    <n v="6200000000"/>
    <m/>
    <m/>
    <m/>
    <m/>
    <s v="m³"/>
    <n v="0.1741077336927683"/>
    <s v="US$/m³"/>
    <s v="Volume from BPSR 2014"/>
    <n v="1079467948.8951635"/>
    <m/>
    <m/>
    <m/>
    <n v="112270000"/>
    <n v="112270000"/>
    <m/>
    <m/>
    <m/>
    <n v="0.10400494068852016"/>
    <m/>
    <m/>
    <m/>
    <m/>
    <m/>
    <m/>
    <m/>
    <n v="1"/>
    <s v="Yemen Liquefied Natural Gas (YLNG)/Yemen Gas Company"/>
    <n v="1"/>
    <m/>
    <m/>
    <m/>
    <m/>
    <n v="28"/>
    <m/>
    <m/>
    <m/>
    <m/>
    <m/>
    <m/>
    <m/>
    <m/>
    <m/>
    <m/>
    <m/>
    <m/>
    <m/>
    <m/>
    <m/>
    <m/>
    <m/>
    <m/>
    <m/>
    <m/>
    <m/>
  </r>
  <r>
    <x v="217"/>
    <n v="2010"/>
    <x v="36"/>
    <s v="Middle East and North Africa"/>
    <m/>
    <s v="Oil"/>
    <s v="no"/>
    <s v="no"/>
    <s v="yes"/>
    <s v="Oil"/>
    <s v="detailed"/>
    <s v="detailed Oil"/>
    <n v="106215000"/>
    <m/>
    <m/>
    <m/>
    <m/>
    <s v="bbl"/>
    <n v="78.375328254174093"/>
    <s v="US$/bbl"/>
    <s v="Volume from BPSR 2014. Price from EITI Report, and is based on the volume and value of payments made in-kind."/>
    <n v="8324635490.5171013"/>
    <m/>
    <m/>
    <m/>
    <n v="4969426110"/>
    <n v="133632656"/>
    <m/>
    <m/>
    <m/>
    <n v="0.59695419885481549"/>
    <m/>
    <m/>
    <m/>
    <s v="61,690,000 bbl of oil"/>
    <n v="4834974000"/>
    <m/>
    <m/>
    <n v="12"/>
    <s v="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
    <n v="12"/>
    <m/>
    <m/>
    <m/>
    <m/>
    <s v="26, 39"/>
    <m/>
    <m/>
    <m/>
    <m/>
    <m/>
    <m/>
    <m/>
    <m/>
    <m/>
    <m/>
    <m/>
    <m/>
    <m/>
    <m/>
    <m/>
    <m/>
    <m/>
    <m/>
    <m/>
    <m/>
    <m/>
  </r>
  <r>
    <x v="218"/>
    <n v="2011"/>
    <x v="36"/>
    <s v="Middle East and North Africa"/>
    <s v="http://www.yemeneiti.org/english/"/>
    <s v="Oil, Gas"/>
    <s v="no"/>
    <s v="yes"/>
    <s v="yes"/>
    <s v="Total"/>
    <s v="Total"/>
    <s v="Total Oil, Gas"/>
    <m/>
    <m/>
    <m/>
    <m/>
    <m/>
    <m/>
    <m/>
    <m/>
    <m/>
    <n v="11012010677.542271"/>
    <s v="Host government's production entitlement, State-owned company production entitlement, Bonuses, Other significant benefits to government"/>
    <s v="Also covers payments made in-kind (though only the Government reports on the value of this)"/>
    <s v="No"/>
    <n v="5539756725"/>
    <n v="372118093"/>
    <m/>
    <m/>
    <m/>
    <n v="0.5030649612697613"/>
    <s v="United States Dollar"/>
    <s v=""/>
    <s v="Disaggregated by revenue stream, Disaggregated by commodity, Disaggregated by commodity and revenue stream"/>
    <s v="46,961,000 bbl of oil"/>
    <n v="5170903000"/>
    <m/>
    <m/>
    <n v="40"/>
    <s v="YLNG, Safer (Block 18), Petro Masila (Block 14), YICOM (Block 4), KNOC (Block 4), Total (Block 10), DNO Yemen (Block 32), DNO Yemen (Block 43), DNO Yemen (Block 47), Dove Energy Yemen Limited (Block 53), Jannah Hunt (Block 5), Canadian Nexen Petroleum Yemen (Block 14), Canadian Nexen Petroleum East Al Hajr Ltd (block 51), Occidental of Yemen (Block S-1 Inc), Calvalley Petroleum (Cyprus) Ltd (Block 9), OMV (Yemen Block S2) Exploration GMBH, Sincopec (Block 1), Sincopec (Block 69), Sincopec (Block 71), OMV (Block 2), OMV (Block 29), Oil Search (Block 3), Oil Search (Block 71), Gallo Oil (Block 13), Gallo Oil (Block R2), GSPC (Block 19), GSPC (Block 28), GSPC (Block 57), CCC (Block 33), CCC (Block 45), Reliance (Block 34), Reliance (Block 37), Kuwait Energy (Block 49), Midas (Block 68), Total (Block 70), DNO (Block 72), Occidental (Block 75), Medco (Block 82), Medco (Block 83), Total (Block 72)"/>
    <n v="36"/>
    <s v="April 2014"/>
    <d v="2014-10-02T00:00:00"/>
    <s v="Hart Group"/>
    <s v="http://eiti.org/files/YEM3_11_apr_2014.pdf"/>
    <s v="39, 40, 47"/>
    <s v="Materiality threshold: companies that are in production should be reconciled. Unilateral declarations are included. Some revenue streams which companies weren't requested to provide information for are reported on, but this is in an appendix which is not available on either the International or National website. Both Government and the companies report on the volume of oil received by Government as payment in-kind, but only Government reports the value of this. The report doesn't indicate how the value of payments in-kind are calculated, though does include a reconciliation of the volumes of crude oil received by the Government which are then exported or transferred to government refineries. Although the Government is entitled to a share of the gas produced, this is settled in cash. YLNG is a joint venture between Yemen Gas Company, a SOC, and international companies, including Total, Hunt, SK Innovation, Koreas Gas Corporation, Hyundai Corporation and The General Authority for Social Security and Pensions. Exports of Liquefied Natural Gas by YLNG in 2011 were 309.4 billion cubic feet. Safer E&amp;P Operation Company and Yemen Company For Investment In Oil And Minerals (YCOM) are also SOCs. Total Government income from the oil, gas and mining sectors in 2011 was US$5,683,499,532. Income from the mining sector accounts for, at most, 0.4% of this. Though it is not included in the reconciliation, the report provides information on the mining sector. Although the main report provides a disagggregation financial flows by company and project, it does not do this for payments in-kind. It appears this is provided in the appendix. The appendix also includes production by project."/>
    <m/>
    <m/>
    <m/>
    <m/>
    <m/>
    <m/>
    <m/>
    <m/>
    <m/>
    <m/>
    <m/>
    <m/>
    <m/>
    <m/>
    <m/>
    <m/>
    <m/>
    <m/>
    <m/>
    <m/>
  </r>
  <r>
    <x v="218"/>
    <n v="2011"/>
    <x v="36"/>
    <s v="Middle East and North Africa"/>
    <m/>
    <s v="Gas"/>
    <s v="no"/>
    <s v="yes"/>
    <s v="no"/>
    <s v="Gas"/>
    <s v="detailed"/>
    <s v="detailed Gas"/>
    <n v="9400000000"/>
    <m/>
    <m/>
    <m/>
    <m/>
    <s v="m³"/>
    <n v="0.19666043794616025"/>
    <s v="US$/m³"/>
    <s v="Volume from BPSR 2014"/>
    <n v="1848608116.6939063"/>
    <m/>
    <m/>
    <m/>
    <n v="201261000"/>
    <n v="201001000"/>
    <m/>
    <m/>
    <m/>
    <n v="0.1088716414163213"/>
    <m/>
    <m/>
    <m/>
    <m/>
    <m/>
    <m/>
    <m/>
    <n v="1"/>
    <s v="YLNG"/>
    <n v="1"/>
    <m/>
    <m/>
    <m/>
    <m/>
    <n v="40"/>
    <m/>
    <m/>
    <m/>
    <m/>
    <m/>
    <m/>
    <m/>
    <m/>
    <m/>
    <m/>
    <m/>
    <m/>
    <m/>
    <m/>
    <m/>
    <m/>
    <m/>
    <m/>
    <m/>
    <m/>
    <m/>
  </r>
  <r>
    <x v="218"/>
    <n v="2011"/>
    <x v="36"/>
    <s v="Middle East and North Africa"/>
    <m/>
    <s v="Oil"/>
    <s v="no"/>
    <s v="no"/>
    <s v="yes"/>
    <s v="Oil"/>
    <s v="detailed"/>
    <s v="detailed Oil"/>
    <n v="83220000"/>
    <m/>
    <m/>
    <m/>
    <m/>
    <s v="bbl"/>
    <n v="110.11058112050425"/>
    <s v="US$/bbl"/>
    <s v="Volume from BPSR 2014. Price from EITI Report, and is based on the volume and value of payments made in-kind."/>
    <n v="9163402560.8483639"/>
    <m/>
    <m/>
    <m/>
    <n v="5338495725"/>
    <n v="171117093"/>
    <m/>
    <m/>
    <m/>
    <n v="0.58258880252727352"/>
    <m/>
    <m/>
    <m/>
    <s v="46,961,000 bbl of oil"/>
    <n v="5170903000"/>
    <m/>
    <m/>
    <n v="39"/>
    <s v="Safer (Block 18), Petro Masila (Block 14), YICOM (Block 4), KNOC (Block 4), Total (Block 10), DNO Yemen (Block 32), DNO Yemen (Block 43), DNO Yemen (Block 47), Dove Energy Yemen Limited (Block 53), Jannah Hunt (Block 5), Canadian Nexen Petroleum Yemen (Block 14), Canadian Nexen Petroleum East Al Hajr Ltd (block 51), Occidental of Yemen (Block S-1 Inc), Calvalley Petroleum (Cyprus) Ltd (Block 9), OMV (Yemen Block S2) Exploration GMBH, Sincopec (Block 1), Sincopec (Block 69), Sincopec (Block 71), OMV (Block 2), OMV (Block 29), Oil Search (Block 3), Oil Search (Block 71), Gallo Oil (Block 13), Gallo Oil (Block R2), GSPC (Block 19), GSPC (Block 28), GSPC (Block 57), CCC (Block 33), CCC (Block 45), Reliance (Block 34), Reliance (Block 37), Kuwait Energy (Block 49), Midas (Block 68), Total (Block 70), DNO (Block 72), Occidental (Block 75), Medco (Block 82), Medco (Block 83), Total (Block 72)"/>
    <n v="35"/>
    <m/>
    <m/>
    <m/>
    <m/>
    <s v="39, 47"/>
    <m/>
    <m/>
    <m/>
    <m/>
    <m/>
    <m/>
    <m/>
    <m/>
    <m/>
    <m/>
    <m/>
    <m/>
    <m/>
    <m/>
    <m/>
    <m/>
    <m/>
    <m/>
    <m/>
    <m/>
    <m/>
  </r>
  <r>
    <x v="219"/>
    <n v="2008"/>
    <x v="37"/>
    <s v="Africa"/>
    <s v="http://www.zambiaeiti.org"/>
    <s v="Mining"/>
    <s v="yes"/>
    <s v="no"/>
    <s v="no"/>
    <s v="Total"/>
    <s v="Total"/>
    <s v="Total Mining"/>
    <m/>
    <m/>
    <m/>
    <m/>
    <m/>
    <m/>
    <m/>
    <m/>
    <m/>
    <n v="134197936263.53198"/>
    <s v="Profits/Taxes, Royalties, Dividends, Licenses and concessions, Other significant benefits to government"/>
    <s v="Does not include payments made in-kind"/>
    <s v="-"/>
    <n v="470370875"/>
    <n v="473725116"/>
    <m/>
    <m/>
    <m/>
    <n v="3.5050529694905775E-3"/>
    <s v="Zambian Kwacha"/>
    <n v="3667"/>
    <s v="Disaggregated by revenue stream, Disaggregated by company, Disaggregated by company and revenue stream"/>
    <m/>
    <m/>
    <m/>
    <m/>
    <n v="16"/>
    <s v="Albidon Zambia Limited, Chambeshi Metals Plc, Chibuluma Mines Plc, CNMC - Luanshya Copper Mines, Kagem Mining Limited, Kansanshi Mining Plc, Konkola Copper Mines Plc, Lafarge Cement Zambia Plc, Lumwana Mining Limited, Maamba Colleries Limited, Mopani Copper Mines Plc, Ndola Lime Limited, NFC Africa Mining Plc, Sino Leach Metals Limited, Grizzly Mining Limited, Zambia Consolidated Copper Mines – Investment Holdings Plc"/>
    <n v="14"/>
    <s v="January 2011"/>
    <d v="2014-09-24T00:00:00"/>
    <s v="PriceWaterhouseCoopers"/>
    <s v="http://eiti.org/files/Zambia%202008%20EITI%20Report.pdf"/>
    <n v="31"/>
    <s v="Materiality threshold: all companies with large scale mining licences operational in 2008 that paid over K200 million in mineral royalties in 2008 should be reconciled. Zambia Consolidated Copper Mines – Investment Holdings Plc (ZCCM-IH) is also included even though it does not meet this criteria as the state owns 87.6% of it. ZCCM-IH receives dividends from companies it holds equity in, and 'price participation fees' (when commodity prices go above an agreed price) from companies which bought the mines ZCCM-IH previously operated. The companies ZCCM-IH holds equity in include Chambishi Metals Plc, Equinox Minerals (owner of Lumwana Mining Limited), Ndola Lime Limited, Chibuluma Mines Plc, Kansanshi Mining Plc, Konkola Copper Mines Plc, Luanshya Copper Mines Plc, Mopani Copper Mines Plc and NFC Africa Mining Plc. Disaggregation by commodity is only indirect through disaggregation by company, and therefore limited. Resolved discrepancies are not included in the final figures, but there is insufficent information to add these retrospectively. Unilateral declarations are included in these pre-adjustment figures, as are the two revenue streams paid to ZCCM-IH (these are not included in the post-adjustment figures as they are not necessarily then remitted in full to the Government with Government only receiving dividends from ZCCM-IH and any remittance of profits being equitable to all shareholders). Production volumes for the major mines are given in the 2010 report. "/>
    <m/>
    <m/>
    <m/>
    <m/>
    <m/>
    <m/>
    <m/>
    <m/>
    <m/>
    <m/>
    <m/>
    <m/>
    <m/>
    <m/>
    <m/>
    <m/>
    <m/>
    <m/>
    <m/>
    <m/>
  </r>
  <r>
    <x v="219"/>
    <n v="2008"/>
    <x v="37"/>
    <s v="Africa"/>
    <m/>
    <s v="Mining"/>
    <s v="yes"/>
    <s v="no"/>
    <s v="no"/>
    <s v="Coal"/>
    <s v="detailed"/>
    <s v="detailed Mining"/>
    <n v="220000"/>
    <m/>
    <m/>
    <m/>
    <m/>
    <s v="t"/>
    <n v="138.17277433644946"/>
    <s v="US$/t"/>
    <s v="Volume from USGS Mineral Yearbook 2012. Price from BPSR 2014, and is an average of the American Central Appalachian, Asian and Northwest Europe marker/spot prices."/>
    <n v="30398010.354018882"/>
    <m/>
    <m/>
    <m/>
    <n v="849187.21788928274"/>
    <n v="54476.449413689661"/>
    <m/>
    <m/>
    <m/>
    <n v="2.7935618417111723E-2"/>
    <m/>
    <m/>
    <m/>
    <m/>
    <m/>
    <m/>
    <m/>
    <n v="1"/>
    <s v="Maamba Colleries Limited"/>
    <n v="1"/>
    <m/>
    <m/>
    <m/>
    <m/>
    <s v="Appendix 4"/>
    <m/>
    <m/>
    <m/>
    <m/>
    <m/>
    <m/>
    <m/>
    <m/>
    <m/>
    <m/>
    <m/>
    <m/>
    <m/>
    <m/>
    <m/>
    <m/>
    <m/>
    <m/>
    <m/>
    <m/>
    <m/>
  </r>
  <r>
    <x v="219"/>
    <n v="2008"/>
    <x v="37"/>
    <s v="Africa"/>
    <m/>
    <s v="Mining"/>
    <s v="yes"/>
    <s v="no"/>
    <s v="no"/>
    <s v="Cobalt"/>
    <s v="detailed"/>
    <s v="detailed Mining"/>
    <m/>
    <m/>
    <m/>
    <m/>
    <m/>
    <m/>
    <n v="68148.300675496925"/>
    <s v="US$/t"/>
    <s v="Volume from USGS Mineral Yearbook 2012. Price from USGS Mineral Yearbook 2012, and is the average U.S. spot price for minimum 99.8% cobalt cathode reported by Platts Metals Week, adjusted to account for the prices given in the 2010-2011 EITI Reports being an average 79.24% of this in 2010-2011."/>
    <n v="477038104.72847849"/>
    <m/>
    <m/>
    <m/>
    <m/>
    <m/>
    <m/>
    <m/>
    <m/>
    <m/>
    <m/>
    <m/>
    <m/>
    <m/>
    <m/>
    <m/>
    <m/>
    <n v="2"/>
    <s v="Chambeshi Metals Plc, Mopani Copper Mines Plc"/>
    <n v="2"/>
    <m/>
    <m/>
    <m/>
    <m/>
    <m/>
    <m/>
    <m/>
    <m/>
    <m/>
    <m/>
    <m/>
    <m/>
    <m/>
    <m/>
    <m/>
    <m/>
    <m/>
    <m/>
    <m/>
    <m/>
    <m/>
    <m/>
    <m/>
    <m/>
    <m/>
    <m/>
  </r>
  <r>
    <x v="219"/>
    <n v="2008"/>
    <x v="37"/>
    <s v="Africa"/>
    <m/>
    <s v="Mining"/>
    <s v="yes"/>
    <s v="no"/>
    <s v="no"/>
    <s v="o/w Cobalt content in mine output"/>
    <s v="detailed"/>
    <s v="detailed Mining"/>
    <n v="7000"/>
    <m/>
    <m/>
    <m/>
    <m/>
    <s v="t"/>
    <m/>
    <m/>
    <s v="Volume from USGS Mineral Yearbook 2012"/>
    <m/>
    <m/>
    <m/>
    <m/>
    <m/>
    <m/>
    <m/>
    <m/>
    <m/>
    <m/>
    <m/>
    <m/>
    <m/>
    <m/>
    <m/>
    <m/>
    <m/>
    <m/>
    <m/>
    <m/>
    <m/>
    <m/>
    <m/>
    <m/>
    <m/>
    <m/>
    <m/>
    <m/>
    <m/>
    <m/>
    <m/>
    <m/>
    <m/>
    <m/>
    <m/>
    <m/>
    <m/>
    <m/>
    <m/>
    <m/>
    <m/>
    <m/>
    <m/>
    <m/>
    <m/>
    <m/>
  </r>
  <r>
    <x v="219"/>
    <n v="2008"/>
    <x v="37"/>
    <s v="Africa"/>
    <m/>
    <s v="Mining"/>
    <s v="yes"/>
    <s v="no"/>
    <s v="no"/>
    <s v="o/w Metal"/>
    <s v="detailed"/>
    <s v="detailed Mining"/>
    <n v="4049"/>
    <m/>
    <m/>
    <m/>
    <m/>
    <s v="t"/>
    <m/>
    <m/>
    <s v="Volume from USGS Mineral Yearbook 2012"/>
    <m/>
    <m/>
    <m/>
    <m/>
    <m/>
    <m/>
    <m/>
    <m/>
    <m/>
    <m/>
    <m/>
    <m/>
    <m/>
    <m/>
    <m/>
    <m/>
    <m/>
    <m/>
    <m/>
    <m/>
    <m/>
    <m/>
    <m/>
    <m/>
    <m/>
    <m/>
    <m/>
    <m/>
    <m/>
    <m/>
    <m/>
    <m/>
    <m/>
    <m/>
    <m/>
    <m/>
    <m/>
    <m/>
    <m/>
    <m/>
    <m/>
    <m/>
    <m/>
    <m/>
    <m/>
    <m/>
  </r>
  <r>
    <x v="219"/>
    <n v="2008"/>
    <x v="37"/>
    <s v="Africa"/>
    <m/>
    <s v="Mining"/>
    <s v="yes"/>
    <s v="no"/>
    <s v="no"/>
    <s v="Copper"/>
    <s v="detailed"/>
    <s v="detailed Mining"/>
    <m/>
    <m/>
    <m/>
    <m/>
    <m/>
    <m/>
    <n v="6955.8798333333298"/>
    <s v="US$/t"/>
    <s v="Price from World Bank (Global Economic Monitor (GEM) Commodities database), and is defined as: Copper (LME), grade A, minimum 99.9935% purity, cathodes and wire bar shapes, settlement price."/>
    <n v="4500454252.1666641"/>
    <m/>
    <m/>
    <m/>
    <m/>
    <m/>
    <m/>
    <m/>
    <m/>
    <m/>
    <m/>
    <m/>
    <m/>
    <m/>
    <m/>
    <m/>
    <m/>
    <n v="9"/>
    <s v="Chambeshi Metals Plc, Chibuluma Mines Plc, CNMC - Luanshya Copper Mines, Kansanshi Mining Plc, Konkola Copper Mines Plc, Lumwana Mining Limited, Mopani Copper Mines Plc, NFC Africa Mining Plc, Sino Leach Metals Limited"/>
    <n v="8"/>
    <m/>
    <m/>
    <m/>
    <m/>
    <m/>
    <m/>
    <m/>
    <m/>
    <m/>
    <m/>
    <m/>
    <m/>
    <m/>
    <m/>
    <m/>
    <m/>
    <m/>
    <m/>
    <m/>
    <m/>
    <m/>
    <m/>
    <m/>
    <m/>
    <m/>
    <m/>
  </r>
  <r>
    <x v="219"/>
    <n v="2008"/>
    <x v="37"/>
    <s v="Africa"/>
    <m/>
    <s v="Mining"/>
    <s v="yes"/>
    <s v="no"/>
    <s v="no"/>
    <s v="o/w Copper content in mine output"/>
    <s v="detailed"/>
    <s v="detailed Mining"/>
    <n v="534000"/>
    <m/>
    <m/>
    <m/>
    <m/>
    <s v="t"/>
    <m/>
    <m/>
    <s v="Volume from USGS Mineral Yearbook 2012"/>
    <m/>
    <m/>
    <m/>
    <m/>
    <m/>
    <m/>
    <m/>
    <m/>
    <m/>
    <m/>
    <m/>
    <m/>
    <m/>
    <m/>
    <m/>
    <m/>
    <m/>
    <m/>
    <m/>
    <m/>
    <m/>
    <m/>
    <m/>
    <m/>
    <m/>
    <m/>
    <m/>
    <m/>
    <m/>
    <m/>
    <m/>
    <m/>
    <m/>
    <m/>
    <m/>
    <m/>
    <m/>
    <m/>
    <m/>
    <m/>
    <m/>
    <m/>
    <m/>
    <m/>
    <m/>
    <m/>
  </r>
  <r>
    <x v="219"/>
    <n v="2008"/>
    <x v="37"/>
    <s v="Africa"/>
    <m/>
    <s v="Mining"/>
    <s v="yes"/>
    <s v="no"/>
    <s v="no"/>
    <s v="o/w Metal (smelter, primary)"/>
    <s v="detailed"/>
    <s v="detailed Mining"/>
    <n v="232000"/>
    <m/>
    <m/>
    <m/>
    <m/>
    <s v="t"/>
    <m/>
    <m/>
    <s v="Volume from USGS Mineral Yearbook 2012"/>
    <m/>
    <m/>
    <m/>
    <m/>
    <m/>
    <m/>
    <m/>
    <m/>
    <m/>
    <m/>
    <m/>
    <m/>
    <m/>
    <m/>
    <m/>
    <m/>
    <m/>
    <m/>
    <m/>
    <m/>
    <m/>
    <m/>
    <m/>
    <m/>
    <m/>
    <m/>
    <m/>
    <m/>
    <m/>
    <m/>
    <m/>
    <m/>
    <m/>
    <m/>
    <m/>
    <m/>
    <m/>
    <m/>
    <m/>
    <m/>
    <m/>
    <m/>
    <m/>
    <m/>
    <m/>
    <m/>
  </r>
  <r>
    <x v="219"/>
    <n v="2008"/>
    <x v="37"/>
    <s v="Africa"/>
    <m/>
    <s v="Mining"/>
    <s v="yes"/>
    <s v="no"/>
    <s v="no"/>
    <s v="o/w Metal (refinery, primary)"/>
    <s v="detailed"/>
    <s v="detailed Mining"/>
    <n v="415000"/>
    <m/>
    <m/>
    <m/>
    <m/>
    <s v="t"/>
    <m/>
    <m/>
    <s v="Volume from USGS Mineral Yearbook 2012"/>
    <m/>
    <m/>
    <m/>
    <m/>
    <m/>
    <m/>
    <m/>
    <m/>
    <m/>
    <m/>
    <m/>
    <m/>
    <m/>
    <m/>
    <m/>
    <m/>
    <m/>
    <m/>
    <m/>
    <m/>
    <m/>
    <m/>
    <m/>
    <m/>
    <m/>
    <m/>
    <m/>
    <m/>
    <m/>
    <m/>
    <m/>
    <m/>
    <m/>
    <m/>
    <m/>
    <m/>
    <m/>
    <m/>
    <m/>
    <m/>
    <m/>
    <m/>
    <m/>
    <m/>
    <m/>
    <m/>
  </r>
  <r>
    <x v="219"/>
    <n v="2008"/>
    <x v="37"/>
    <s v="Africa"/>
    <m/>
    <s v="Mining"/>
    <s v="yes"/>
    <s v="no"/>
    <s v="no"/>
    <s v="Gemstones"/>
    <s v="detailed"/>
    <s v="detailed Mining"/>
    <m/>
    <m/>
    <m/>
    <m/>
    <m/>
    <m/>
    <m/>
    <m/>
    <m/>
    <n v="129106250000"/>
    <m/>
    <m/>
    <m/>
    <n v="441075.23834196891"/>
    <n v="638865.33242432505"/>
    <m/>
    <m/>
    <m/>
    <n v="3.416374020173066E-6"/>
    <m/>
    <m/>
    <m/>
    <m/>
    <m/>
    <m/>
    <m/>
    <n v="2"/>
    <s v="Kagem Mining Limited, Grizzly Mining Limited"/>
    <n v="1"/>
    <m/>
    <m/>
    <m/>
    <m/>
    <s v="Appendix 4"/>
    <m/>
    <m/>
    <m/>
    <m/>
    <m/>
    <m/>
    <m/>
    <m/>
    <m/>
    <m/>
    <m/>
    <m/>
    <m/>
    <m/>
    <m/>
    <m/>
    <m/>
    <m/>
    <m/>
    <m/>
    <m/>
  </r>
  <r>
    <x v="219"/>
    <n v="2008"/>
    <x v="37"/>
    <s v="Africa"/>
    <m/>
    <s v="Mining"/>
    <s v="yes"/>
    <s v="no"/>
    <s v="no"/>
    <s v="o/w Amethyst"/>
    <s v="detailed"/>
    <s v="detailed Mining"/>
    <n v="900000"/>
    <m/>
    <m/>
    <m/>
    <m/>
    <s v="kg"/>
    <n v="80000"/>
    <s v="US$/kg"/>
    <s v="Volume from USGS Mineral Yearbook 2012. Price from the USGS Mineral Yearbook 2008, and is the median of the price range for cut amethyst in the US."/>
    <n v="72000000000"/>
    <m/>
    <m/>
    <m/>
    <m/>
    <m/>
    <m/>
    <m/>
    <m/>
    <m/>
    <m/>
    <m/>
    <m/>
    <m/>
    <m/>
    <m/>
    <m/>
    <m/>
    <m/>
    <m/>
    <m/>
    <m/>
    <m/>
    <m/>
    <m/>
    <m/>
    <m/>
    <m/>
    <m/>
    <m/>
    <m/>
    <m/>
    <m/>
    <m/>
    <m/>
    <m/>
    <m/>
    <m/>
    <m/>
    <m/>
    <m/>
    <m/>
    <m/>
    <m/>
    <m/>
    <m/>
  </r>
  <r>
    <x v="219"/>
    <n v="2008"/>
    <x v="37"/>
    <s v="Africa"/>
    <m/>
    <s v="Mining"/>
    <s v="yes"/>
    <s v="no"/>
    <s v="no"/>
    <s v="o/w Beryl"/>
    <s v="detailed"/>
    <s v="detailed Mining"/>
    <n v="12000000"/>
    <m/>
    <m/>
    <m/>
    <m/>
    <s v="carats"/>
    <m/>
    <m/>
    <s v="Volume from USGS Mineral Yearbook 2012"/>
    <m/>
    <m/>
    <m/>
    <m/>
    <m/>
    <m/>
    <m/>
    <m/>
    <m/>
    <m/>
    <m/>
    <m/>
    <m/>
    <m/>
    <m/>
    <m/>
    <m/>
    <m/>
    <m/>
    <m/>
    <m/>
    <m/>
    <m/>
    <m/>
    <m/>
    <m/>
    <m/>
    <m/>
    <m/>
    <m/>
    <m/>
    <m/>
    <m/>
    <m/>
    <m/>
    <m/>
    <m/>
    <m/>
    <m/>
    <m/>
    <m/>
    <m/>
    <m/>
    <m/>
    <m/>
    <m/>
  </r>
  <r>
    <x v="219"/>
    <n v="2008"/>
    <x v="37"/>
    <s v="Africa"/>
    <m/>
    <s v="Mining"/>
    <s v="yes"/>
    <s v="no"/>
    <s v="no"/>
    <s v="o/w Emerald"/>
    <s v="detailed"/>
    <s v="detailed Mining"/>
    <n v="16000000"/>
    <m/>
    <m/>
    <m/>
    <m/>
    <s v="carats"/>
    <n v="3200"/>
    <s v="US$/carat"/>
    <s v="Volume from USGS Mineral Yearbook 2012. Price from the USGS Mineral Yearbook 2008, and is the median of the price range for cut emerald in the US."/>
    <n v="51200000000"/>
    <m/>
    <m/>
    <m/>
    <m/>
    <m/>
    <m/>
    <m/>
    <m/>
    <m/>
    <m/>
    <m/>
    <m/>
    <m/>
    <m/>
    <m/>
    <m/>
    <m/>
    <m/>
    <m/>
    <m/>
    <m/>
    <m/>
    <m/>
    <m/>
    <m/>
    <m/>
    <m/>
    <m/>
    <m/>
    <m/>
    <m/>
    <m/>
    <m/>
    <m/>
    <m/>
    <m/>
    <m/>
    <m/>
    <m/>
    <m/>
    <m/>
    <m/>
    <m/>
    <m/>
    <m/>
  </r>
  <r>
    <x v="219"/>
    <n v="2008"/>
    <x v="37"/>
    <s v="Africa"/>
    <m/>
    <s v="Mining"/>
    <s v="yes"/>
    <s v="no"/>
    <s v="no"/>
    <s v="o/w Tourmaline"/>
    <s v="detailed"/>
    <s v="detailed Mining"/>
    <n v="15000"/>
    <m/>
    <m/>
    <m/>
    <m/>
    <s v="kg"/>
    <n v="393750"/>
    <s v="US$/kg"/>
    <s v="Volume from USGS Mineral Yearbook 2012. Price from the USGS Mineral Yearbook 2008, and is the average of the medians of the year-end price ranges for cut green and pink tourmaline in the US."/>
    <n v="5906250000"/>
    <m/>
    <m/>
    <m/>
    <m/>
    <m/>
    <m/>
    <m/>
    <m/>
    <m/>
    <m/>
    <m/>
    <m/>
    <m/>
    <m/>
    <m/>
    <m/>
    <m/>
    <m/>
    <m/>
    <m/>
    <m/>
    <m/>
    <m/>
    <m/>
    <m/>
    <m/>
    <m/>
    <m/>
    <m/>
    <m/>
    <m/>
    <m/>
    <m/>
    <m/>
    <m/>
    <m/>
    <m/>
    <m/>
    <m/>
    <m/>
    <m/>
    <m/>
    <m/>
    <m/>
    <m/>
  </r>
  <r>
    <x v="219"/>
    <n v="2008"/>
    <x v="37"/>
    <s v="Africa"/>
    <m/>
    <s v="Mining"/>
    <s v="yes"/>
    <s v="no"/>
    <s v="no"/>
    <s v="Gold"/>
    <s v="detailed"/>
    <s v="detailed Mining"/>
    <n v="62050.934234144996"/>
    <m/>
    <m/>
    <m/>
    <m/>
    <s v="toz"/>
    <n v="871.70725000000004"/>
    <s v="US$/toz"/>
    <s v="Volume from USGS Mineral Yearbook 2012. Price from World Bank (Global Economic Monitor (GEM) Commodities database), and is defined as: Gold (UK), 99.5% fine, London afternoon fixing, average of daily rates."/>
    <n v="54090249.241177395"/>
    <m/>
    <m/>
    <m/>
    <m/>
    <m/>
    <m/>
    <m/>
    <m/>
    <m/>
    <m/>
    <m/>
    <m/>
    <m/>
    <m/>
    <m/>
    <m/>
    <n v="1"/>
    <s v="Kansanshi Mining Plc"/>
    <n v="1"/>
    <m/>
    <m/>
    <m/>
    <m/>
    <m/>
    <m/>
    <m/>
    <m/>
    <m/>
    <m/>
    <m/>
    <m/>
    <m/>
    <m/>
    <m/>
    <m/>
    <m/>
    <m/>
    <m/>
    <m/>
    <m/>
    <m/>
    <m/>
    <m/>
    <m/>
    <m/>
  </r>
  <r>
    <x v="219"/>
    <n v="2008"/>
    <x v="37"/>
    <s v="Africa"/>
    <m/>
    <s v="Mining"/>
    <s v="yes"/>
    <s v="no"/>
    <s v="no"/>
    <s v="Lead (metal, secondary)"/>
    <s v="detailed"/>
    <s v="detailed Mining"/>
    <n v="1000"/>
    <m/>
    <m/>
    <m/>
    <m/>
    <s v="t"/>
    <n v="2090.6634166666699"/>
    <s v="US$/t"/>
    <s v="Volume from USGS Mineral Yearbook 2012. Price from World Bank (Global Economic Monitor (GEM) Commodities database), and is defined as: Lead (LME), refined, 99.97% purity, settlement price."/>
    <n v="2090663.41666667"/>
    <m/>
    <m/>
    <m/>
    <m/>
    <m/>
    <m/>
    <m/>
    <m/>
    <m/>
    <m/>
    <m/>
    <m/>
    <m/>
    <m/>
    <m/>
    <m/>
    <m/>
    <m/>
    <m/>
    <m/>
    <m/>
    <m/>
    <m/>
    <m/>
    <m/>
    <m/>
    <m/>
    <m/>
    <m/>
    <m/>
    <m/>
    <m/>
    <m/>
    <m/>
    <m/>
    <m/>
    <m/>
    <m/>
    <m/>
    <m/>
    <m/>
    <m/>
    <m/>
    <m/>
    <m/>
  </r>
  <r>
    <x v="219"/>
    <n v="2008"/>
    <x v="37"/>
    <s v="Africa"/>
    <m/>
    <s v="Mining"/>
    <s v="yes"/>
    <s v="no"/>
    <s v="no"/>
    <s v="Limestone"/>
    <s v="detailed"/>
    <s v="detailed Mining"/>
    <n v="1370000"/>
    <m/>
    <m/>
    <m/>
    <m/>
    <s v="t"/>
    <n v="8.6"/>
    <s v="US$/t"/>
    <s v="Volume from USGS Mineral Yearbook 2012. Price from USGS Mineral Yearbook 2009, and is the price in the US for crushed limestone."/>
    <n v="11782000"/>
    <m/>
    <m/>
    <m/>
    <n v="24129103.693755113"/>
    <n v="16234503.299700027"/>
    <m/>
    <m/>
    <m/>
    <n v="2.0479633079065618"/>
    <m/>
    <m/>
    <m/>
    <m/>
    <m/>
    <m/>
    <m/>
    <n v="2"/>
    <s v="Lafarge Cement Zambia Plc, Ndola Lime Limited"/>
    <n v="2"/>
    <m/>
    <m/>
    <m/>
    <m/>
    <s v="Appendix 4"/>
    <m/>
    <m/>
    <m/>
    <m/>
    <m/>
    <m/>
    <m/>
    <m/>
    <m/>
    <m/>
    <m/>
    <m/>
    <m/>
    <m/>
    <m/>
    <m/>
    <m/>
    <m/>
    <m/>
    <m/>
    <m/>
  </r>
  <r>
    <x v="219"/>
    <n v="2008"/>
    <x v="37"/>
    <s v="Africa"/>
    <m/>
    <s v="Mining"/>
    <s v="yes"/>
    <s v="no"/>
    <s v="no"/>
    <s v="Nickel (nickel content of concentrates)"/>
    <s v="detailed"/>
    <s v="detailed Mining"/>
    <n v="750"/>
    <m/>
    <m/>
    <m/>
    <m/>
    <s v="t"/>
    <n v="21110.644833333299"/>
    <s v="US$/t"/>
    <s v="Volume from USGS Mineral Yearbook 2012. Price from World Bank (Global Economic Monitor (GEM) Commodities database), and is defined as: Nickel (LME), cathodes, minimum 99.8% purity, settlement price beginning 2005; previously cash price."/>
    <n v="15832983.624999974"/>
    <m/>
    <m/>
    <m/>
    <n v="5158934.1210799022"/>
    <n v="13211680.946004909"/>
    <m/>
    <m/>
    <m/>
    <n v="0.32583461483115822"/>
    <m/>
    <m/>
    <m/>
    <m/>
    <m/>
    <m/>
    <m/>
    <n v="1"/>
    <s v="Albidon Zambia Limited"/>
    <n v="1"/>
    <m/>
    <m/>
    <m/>
    <m/>
    <s v="Appendix 4"/>
    <m/>
    <m/>
    <m/>
    <m/>
    <m/>
    <m/>
    <m/>
    <m/>
    <m/>
    <m/>
    <m/>
    <m/>
    <m/>
    <m/>
    <m/>
    <m/>
    <m/>
    <m/>
    <m/>
    <m/>
    <m/>
  </r>
  <r>
    <x v="220"/>
    <n v="2009"/>
    <x v="37"/>
    <s v="Africa"/>
    <s v="http://www.zambiaeiti.org"/>
    <s v="Mining"/>
    <s v="yes"/>
    <s v="no"/>
    <s v="no"/>
    <s v="Total"/>
    <s v="Total"/>
    <s v="Total Mining"/>
    <m/>
    <m/>
    <m/>
    <m/>
    <m/>
    <m/>
    <m/>
    <m/>
    <m/>
    <n v="161854056644.77145"/>
    <s v="Profits/Taxes, Royalties, Licenses and concessions, Other significant benefits to government"/>
    <s v="Does not include payments made in-kind"/>
    <s v="-"/>
    <n v="533783358"/>
    <n v="574901639"/>
    <s v="99.8% of revenue"/>
    <n v="534853064.1282565"/>
    <s v="Inferred from EITI Report"/>
    <n v="3.3045391336846324E-3"/>
    <s v="Zambian Kwacha"/>
    <n v="4819"/>
    <s v="Disaggregated by revenue stream, Disaggregated by company, Disaggregated by company and revenue stream"/>
    <m/>
    <m/>
    <m/>
    <m/>
    <n v="28"/>
    <s v="Aggregates Ltd, Albidon Zambia Limited, BHP Billiton World Exploration Inc, Chambishi Metals Plc, Chambishi Copper Smelter Ltd, Chibuluma Mines Plc, CNMC - Luanshya Copper Mines, Denison Mines Zambia Ltd, First Quantum Mining And Operations Ltd, Gemfields Holdings Zambia Ltd, Grizzly Mining Limited, Kagem Mining Limited, Kansanshi Mining Plc, Kariba Minerals Ltd, Konkola Copper Mines Plc, Lafarge Cement Zambia Plc, Lumwana Mining Limited, Maamba Colleries Limited, Mopani Copper Mines Plc, Ndola Lime Limited, NFC Africa Mining Plc, Scirocco Enterprises Ltd, San He Zambia Ltd, Sino-Metals Leach Limited, Teal Zambia Ltd, Universal Mining &amp; Chemical Industries Ltd, Zambian Goldcommon Resources Holdings Ltd, Zambia Consolidated Copper Mines – Investment Holdings Plc"/>
    <n v="28"/>
    <s v="February 2012"/>
    <d v="2014-09-24T00:00:00"/>
    <s v="Moore Stephens"/>
    <s v="http://eiti.org/files/Zambia-2009-EITI-Report.pdf"/>
    <s v="5, 39"/>
    <s v="Materiality threshold: Companies that made a payment of at least 500,000,000ZMK in 2009 should be reconciled. These companies accounted for 99.8% of total mining revenues collected by the Zambia Revenue Authority. Four of these companies are excluded however as they are contractors and do not mining licenses. Zambia Consolidated Copper Mines – Investment Holdings Plc (ZCCM-IH) is included as the state owns 87.6% of it. The companies ZCCM-IH holds equity in include Chambishi Metals Plc, Equinox Minerals (owner of Lumwana Mining Limited), Ndola Lime Limited, Chibuluma Mines Plc, Kansanshi Mining Plc, Konkola Copper Mines Plc, Luanshya Copper Mines Plc, Mopani Copper Mines Plc and NFC Africa Mining Plc. Unilateral declarations are included in the figures, including unreconciled social payments and transfers of $34,593,277 that companies were asked to voluntarily report on. The report doesn't provide comprehensive information on which commodities are produced by individual mining companies. The report provides production volumes for some companies, but this is not comprehensive. Production volumes for the major mines are given in the 2010 report. The report also includes company payments to ZCCM-IH, though these are not fully remitted to Government."/>
    <m/>
    <m/>
    <m/>
    <m/>
    <m/>
    <m/>
    <m/>
    <m/>
    <m/>
    <m/>
    <m/>
    <m/>
    <m/>
    <m/>
    <m/>
    <m/>
    <m/>
    <m/>
    <m/>
    <m/>
  </r>
  <r>
    <x v="220"/>
    <n v="2009"/>
    <x v="37"/>
    <s v="Africa"/>
    <m/>
    <s v="Mining"/>
    <s v="yes"/>
    <s v="no"/>
    <s v="no"/>
    <s v="Amethyst"/>
    <s v="detailed"/>
    <s v="detailed Mining"/>
    <n v="1400000"/>
    <m/>
    <n v="1172000"/>
    <m/>
    <m/>
    <s v="kg"/>
    <n v="87500"/>
    <s v="US$/kg"/>
    <s v="Volume from USGS Mineral Yearbook 2012. Price from the USGS Mineral Yearbook 2009, and is the median of the price range for cut amethyst in the US."/>
    <n v="122500000000"/>
    <m/>
    <m/>
    <m/>
    <m/>
    <m/>
    <m/>
    <m/>
    <m/>
    <m/>
    <m/>
    <m/>
    <m/>
    <m/>
    <m/>
    <m/>
    <m/>
    <m/>
    <m/>
    <m/>
    <m/>
    <m/>
    <m/>
    <m/>
    <m/>
    <s v="Production volumes declared by extractive companies p.37 and 38"/>
    <m/>
    <m/>
    <m/>
    <m/>
    <m/>
    <m/>
    <m/>
    <m/>
    <m/>
    <m/>
    <m/>
    <m/>
    <m/>
    <m/>
    <m/>
    <m/>
    <m/>
    <m/>
    <m/>
    <m/>
  </r>
  <r>
    <x v="220"/>
    <n v="2009"/>
    <x v="37"/>
    <s v="Africa"/>
    <m/>
    <s v="Mining"/>
    <s v="yes"/>
    <s v="no"/>
    <s v="no"/>
    <s v="Beryl"/>
    <s v="detailed"/>
    <s v="detailed Mining"/>
    <n v="6000000"/>
    <m/>
    <n v="17903122"/>
    <m/>
    <m/>
    <s v="carats"/>
    <m/>
    <m/>
    <s v="Volume from USGS Mineral Yearbook 2012"/>
    <m/>
    <m/>
    <m/>
    <m/>
    <m/>
    <m/>
    <m/>
    <m/>
    <m/>
    <m/>
    <m/>
    <m/>
    <m/>
    <m/>
    <m/>
    <m/>
    <m/>
    <m/>
    <m/>
    <m/>
    <m/>
    <m/>
    <m/>
    <m/>
    <m/>
    <m/>
    <m/>
    <m/>
    <m/>
    <m/>
    <m/>
    <m/>
    <m/>
    <m/>
    <m/>
    <m/>
    <m/>
    <m/>
    <m/>
    <m/>
    <m/>
    <m/>
    <m/>
    <m/>
    <m/>
    <m/>
  </r>
  <r>
    <x v="220"/>
    <n v="2009"/>
    <x v="37"/>
    <s v="Africa"/>
    <m/>
    <s v="Mining"/>
    <s v="yes"/>
    <s v="no"/>
    <s v="no"/>
    <s v="Coal"/>
    <s v="detailed"/>
    <s v="detailed Mining"/>
    <n v="200000"/>
    <m/>
    <n v="85327"/>
    <m/>
    <m/>
    <s v="t"/>
    <n v="72.516709165814987"/>
    <s v="US$/t"/>
    <s v="Volume from USGS Mineral Yearbook 2012. Price from BPSR 2014, and is an average of the American Central Appalachian, Asian and Northwest Europe marker/spot prices."/>
    <n v="14503341.833162997"/>
    <m/>
    <m/>
    <m/>
    <m/>
    <m/>
    <m/>
    <m/>
    <m/>
    <m/>
    <m/>
    <m/>
    <m/>
    <m/>
    <m/>
    <m/>
    <m/>
    <m/>
    <m/>
    <m/>
    <m/>
    <m/>
    <m/>
    <m/>
    <m/>
    <m/>
    <m/>
    <m/>
    <m/>
    <m/>
    <m/>
    <m/>
    <m/>
    <m/>
    <m/>
    <m/>
    <m/>
    <m/>
    <m/>
    <m/>
    <m/>
    <m/>
    <m/>
    <m/>
    <m/>
    <m/>
  </r>
  <r>
    <x v="220"/>
    <n v="2009"/>
    <x v="37"/>
    <s v="Africa"/>
    <m/>
    <s v="Mining"/>
    <s v="yes"/>
    <s v="no"/>
    <s v="no"/>
    <s v="Cobalt"/>
    <s v="detailed"/>
    <s v="detailed Mining"/>
    <m/>
    <m/>
    <n v="1566"/>
    <m/>
    <m/>
    <m/>
    <n v="31200.426815287748"/>
    <s v="US$/t"/>
    <s v="Volume from USGS Mineral Yearbook 2012. Price from USGS Mineral Yearbook 2012, and is the average U.S. spot price for minimum 99.8% cobalt cathode reported by Platts Metals Week, adjusted to account for the prices given in the 2010-2011 EITI Reports being an average 79.24% of this in 2010-2011."/>
    <n v="152882091.39490998"/>
    <m/>
    <m/>
    <m/>
    <m/>
    <m/>
    <m/>
    <m/>
    <m/>
    <m/>
    <m/>
    <m/>
    <m/>
    <m/>
    <m/>
    <m/>
    <m/>
    <m/>
    <m/>
    <m/>
    <m/>
    <m/>
    <m/>
    <m/>
    <m/>
    <m/>
    <m/>
    <m/>
    <m/>
    <m/>
    <m/>
    <m/>
    <m/>
    <m/>
    <m/>
    <m/>
    <m/>
    <m/>
    <m/>
    <m/>
    <m/>
    <m/>
    <m/>
    <m/>
    <m/>
    <m/>
  </r>
  <r>
    <x v="220"/>
    <n v="2009"/>
    <x v="37"/>
    <s v="Africa"/>
    <m/>
    <s v="Mining"/>
    <s v="yes"/>
    <s v="no"/>
    <s v="no"/>
    <s v="o/w Cobalt content in mine output"/>
    <s v="detailed"/>
    <s v="detailed Mining"/>
    <n v="4900"/>
    <m/>
    <m/>
    <m/>
    <m/>
    <s v="t"/>
    <m/>
    <m/>
    <s v="Volume from USGS Mineral Yearbook 2012"/>
    <m/>
    <m/>
    <m/>
    <m/>
    <m/>
    <m/>
    <m/>
    <m/>
    <m/>
    <m/>
    <m/>
    <m/>
    <m/>
    <m/>
    <m/>
    <m/>
    <m/>
    <m/>
    <m/>
    <m/>
    <m/>
    <m/>
    <m/>
    <m/>
    <m/>
    <m/>
    <m/>
    <m/>
    <m/>
    <m/>
    <m/>
    <m/>
    <m/>
    <m/>
    <m/>
    <m/>
    <m/>
    <m/>
    <m/>
    <m/>
    <m/>
    <m/>
    <m/>
    <m/>
    <m/>
    <m/>
  </r>
  <r>
    <x v="220"/>
    <n v="2009"/>
    <x v="37"/>
    <s v="Africa"/>
    <m/>
    <s v="Mining"/>
    <s v="yes"/>
    <s v="no"/>
    <s v="no"/>
    <s v="o/w Metal"/>
    <s v="detailed"/>
    <s v="detailed Mining"/>
    <n v="1506"/>
    <m/>
    <m/>
    <m/>
    <m/>
    <s v="t"/>
    <m/>
    <m/>
    <s v="Volume from USGS Mineral Yearbook 2012"/>
    <m/>
    <m/>
    <m/>
    <m/>
    <m/>
    <m/>
    <m/>
    <m/>
    <m/>
    <m/>
    <m/>
    <m/>
    <m/>
    <m/>
    <m/>
    <m/>
    <m/>
    <m/>
    <m/>
    <m/>
    <m/>
    <m/>
    <m/>
    <m/>
    <m/>
    <m/>
    <m/>
    <m/>
    <m/>
    <m/>
    <m/>
    <m/>
    <m/>
    <m/>
    <m/>
    <m/>
    <m/>
    <m/>
    <m/>
    <m/>
    <m/>
    <m/>
    <m/>
    <m/>
    <m/>
    <m/>
  </r>
  <r>
    <x v="220"/>
    <n v="2009"/>
    <x v="37"/>
    <s v="Africa"/>
    <m/>
    <s v="Mining"/>
    <s v="yes"/>
    <s v="no"/>
    <s v="no"/>
    <s v="Copper"/>
    <s v="detailed"/>
    <s v="detailed Mining"/>
    <m/>
    <m/>
    <n v="655987"/>
    <m/>
    <m/>
    <m/>
    <n v="5149.7385833333301"/>
    <s v="US$/t"/>
    <s v="Price from World Bank (Global Economic Monitor (GEM) Commodities database), and is defined as: Copper (LME), grade A, minimum 99.9935% purity, cathodes and wire bar shapes, settlement price."/>
    <n v="3852004460.3333311"/>
    <m/>
    <m/>
    <m/>
    <m/>
    <m/>
    <m/>
    <m/>
    <m/>
    <m/>
    <m/>
    <m/>
    <m/>
    <m/>
    <m/>
    <m/>
    <m/>
    <m/>
    <m/>
    <m/>
    <m/>
    <m/>
    <m/>
    <m/>
    <m/>
    <m/>
    <m/>
    <m/>
    <m/>
    <m/>
    <m/>
    <m/>
    <m/>
    <m/>
    <m/>
    <m/>
    <m/>
    <m/>
    <m/>
    <m/>
    <m/>
    <m/>
    <m/>
    <m/>
    <m/>
    <m/>
  </r>
  <r>
    <x v="220"/>
    <n v="2009"/>
    <x v="37"/>
    <s v="Africa"/>
    <m/>
    <s v="Mining"/>
    <s v="yes"/>
    <s v="no"/>
    <s v="no"/>
    <s v="o/w Copper content in mine output"/>
    <s v="detailed"/>
    <s v="detailed Mining"/>
    <n v="698000"/>
    <m/>
    <m/>
    <m/>
    <m/>
    <s v="t"/>
    <m/>
    <m/>
    <s v="Volume from USGS Mineral Yearbook 2012"/>
    <m/>
    <m/>
    <m/>
    <m/>
    <m/>
    <m/>
    <m/>
    <m/>
    <m/>
    <m/>
    <m/>
    <m/>
    <m/>
    <m/>
    <m/>
    <m/>
    <m/>
    <m/>
    <m/>
    <m/>
    <m/>
    <m/>
    <m/>
    <m/>
    <m/>
    <m/>
    <m/>
    <m/>
    <m/>
    <m/>
    <m/>
    <m/>
    <m/>
    <m/>
    <m/>
    <m/>
    <m/>
    <m/>
    <m/>
    <m/>
    <m/>
    <m/>
    <m/>
    <m/>
    <m/>
    <m/>
  </r>
  <r>
    <x v="220"/>
    <n v="2009"/>
    <x v="37"/>
    <s v="Africa"/>
    <m/>
    <s v="Mining"/>
    <s v="yes"/>
    <s v="no"/>
    <s v="no"/>
    <s v="o/w Metal (smelter, primary)"/>
    <s v="detailed"/>
    <s v="detailed Mining"/>
    <n v="334000"/>
    <m/>
    <m/>
    <m/>
    <m/>
    <s v="t"/>
    <m/>
    <m/>
    <s v="Volume from USGS Mineral Yearbook 2012"/>
    <m/>
    <m/>
    <m/>
    <m/>
    <m/>
    <m/>
    <m/>
    <m/>
    <m/>
    <m/>
    <m/>
    <m/>
    <m/>
    <m/>
    <m/>
    <m/>
    <m/>
    <m/>
    <m/>
    <m/>
    <m/>
    <m/>
    <m/>
    <m/>
    <m/>
    <m/>
    <m/>
    <m/>
    <m/>
    <m/>
    <m/>
    <m/>
    <m/>
    <m/>
    <m/>
    <m/>
    <m/>
    <m/>
    <m/>
    <m/>
    <m/>
    <m/>
    <m/>
    <m/>
    <m/>
    <m/>
  </r>
  <r>
    <x v="220"/>
    <n v="2009"/>
    <x v="37"/>
    <s v="Africa"/>
    <m/>
    <s v="Mining"/>
    <s v="yes"/>
    <s v="no"/>
    <s v="no"/>
    <s v="o/w Metal (refinery, primary)"/>
    <s v="detailed"/>
    <s v="detailed Mining"/>
    <n v="414000"/>
    <m/>
    <m/>
    <m/>
    <m/>
    <s v="t"/>
    <m/>
    <m/>
    <s v="Volume from USGS Mineral Yearbook 2012"/>
    <m/>
    <m/>
    <m/>
    <m/>
    <m/>
    <m/>
    <m/>
    <m/>
    <m/>
    <m/>
    <m/>
    <m/>
    <m/>
    <m/>
    <m/>
    <m/>
    <m/>
    <m/>
    <m/>
    <m/>
    <m/>
    <m/>
    <m/>
    <m/>
    <m/>
    <m/>
    <m/>
    <m/>
    <m/>
    <m/>
    <m/>
    <m/>
    <m/>
    <m/>
    <m/>
    <m/>
    <m/>
    <m/>
    <m/>
    <m/>
    <m/>
    <m/>
    <m/>
    <m/>
    <m/>
    <m/>
  </r>
  <r>
    <x v="220"/>
    <n v="2009"/>
    <x v="37"/>
    <s v="Africa"/>
    <m/>
    <s v="Mining"/>
    <s v="yes"/>
    <s v="no"/>
    <s v="no"/>
    <s v="Emerald"/>
    <s v="detailed"/>
    <s v="detailed Mining"/>
    <n v="11000000"/>
    <m/>
    <n v="196385185"/>
    <m/>
    <m/>
    <s v="carats"/>
    <n v="3200"/>
    <s v="US$/carat"/>
    <s v="Volume from USGS Mineral Yearbook 2012. Price from the USGS Mineral Yearbook 2009, and is the median of the price range for cut emerald in the US."/>
    <n v="35200000000"/>
    <m/>
    <m/>
    <m/>
    <m/>
    <m/>
    <m/>
    <m/>
    <m/>
    <m/>
    <m/>
    <m/>
    <m/>
    <m/>
    <m/>
    <m/>
    <m/>
    <m/>
    <m/>
    <m/>
    <m/>
    <m/>
    <m/>
    <m/>
    <m/>
    <m/>
    <m/>
    <m/>
    <m/>
    <m/>
    <m/>
    <m/>
    <m/>
    <m/>
    <m/>
    <m/>
    <m/>
    <m/>
    <m/>
    <m/>
    <m/>
    <m/>
    <m/>
    <m/>
    <m/>
    <m/>
  </r>
  <r>
    <x v="220"/>
    <n v="2009"/>
    <x v="37"/>
    <s v="Africa"/>
    <m/>
    <s v="Mining"/>
    <s v="yes"/>
    <s v="no"/>
    <s v="no"/>
    <s v="Gold"/>
    <s v="detailed"/>
    <s v="detailed Mining"/>
    <n v="106097.45231744999"/>
    <m/>
    <n v="99936"/>
    <m/>
    <m/>
    <s v="toz"/>
    <n v="972.96591666666995"/>
    <s v="US$/toz"/>
    <s v="Volume from USGS Mineral Yearbook 2012. Price from World Bank (Global Economic Monitor (GEM) Commodities database), and is defined as: Gold (UK), 99.5% fine, London afternoon fixing, average of daily rates."/>
    <n v="103229204.95004603"/>
    <m/>
    <m/>
    <m/>
    <m/>
    <m/>
    <m/>
    <m/>
    <m/>
    <m/>
    <m/>
    <m/>
    <m/>
    <m/>
    <m/>
    <m/>
    <m/>
    <m/>
    <m/>
    <m/>
    <m/>
    <m/>
    <m/>
    <m/>
    <m/>
    <m/>
    <m/>
    <m/>
    <m/>
    <m/>
    <m/>
    <m/>
    <m/>
    <m/>
    <m/>
    <m/>
    <m/>
    <m/>
    <m/>
    <m/>
    <m/>
    <m/>
    <m/>
    <m/>
    <m/>
    <m/>
  </r>
  <r>
    <x v="220"/>
    <n v="2009"/>
    <x v="37"/>
    <s v="Africa"/>
    <m/>
    <s v="Mining"/>
    <s v="yes"/>
    <s v="no"/>
    <s v="no"/>
    <s v="Limestone"/>
    <s v="detailed"/>
    <s v="detailed Mining"/>
    <n v="3070000"/>
    <m/>
    <n v="938947"/>
    <m/>
    <m/>
    <s v="t"/>
    <n v="8.8699999999999992"/>
    <s v="US$/t"/>
    <s v="Volume from USGS Mineral Yearbook 2012. Price from USGS Mineral Yearbook 2009, and is the price in the US for crushed limestone."/>
    <n v="27230899.999999996"/>
    <m/>
    <m/>
    <m/>
    <m/>
    <m/>
    <m/>
    <m/>
    <m/>
    <m/>
    <m/>
    <m/>
    <m/>
    <m/>
    <m/>
    <m/>
    <m/>
    <m/>
    <m/>
    <m/>
    <m/>
    <m/>
    <m/>
    <m/>
    <m/>
    <m/>
    <m/>
    <m/>
    <m/>
    <m/>
    <m/>
    <m/>
    <m/>
    <m/>
    <m/>
    <m/>
    <m/>
    <m/>
    <m/>
    <m/>
    <m/>
    <m/>
    <m/>
    <m/>
    <m/>
    <m/>
  </r>
  <r>
    <x v="220"/>
    <n v="2009"/>
    <x v="37"/>
    <s v="Africa"/>
    <m/>
    <s v="Mining"/>
    <s v="yes"/>
    <s v="no"/>
    <s v="no"/>
    <s v="Manganese Ore"/>
    <s v="detailed"/>
    <s v="detailed Mining"/>
    <m/>
    <m/>
    <n v="16611"/>
    <m/>
    <m/>
    <m/>
    <n v="7.95"/>
    <s v="US$/t"/>
    <s v="Price from USGS Mineral Commodity Summary 2013, and is the c.i.f. price at US ports for metallurgical ore with 46-48% manganese content. "/>
    <n v="103350"/>
    <m/>
    <m/>
    <m/>
    <m/>
    <m/>
    <m/>
    <m/>
    <m/>
    <m/>
    <m/>
    <m/>
    <m/>
    <m/>
    <m/>
    <m/>
    <m/>
    <m/>
    <m/>
    <m/>
    <m/>
    <m/>
    <m/>
    <m/>
    <m/>
    <m/>
    <m/>
    <m/>
    <m/>
    <m/>
    <m/>
    <m/>
    <m/>
    <m/>
    <m/>
    <m/>
    <m/>
    <m/>
    <m/>
    <m/>
    <m/>
    <m/>
    <m/>
    <m/>
    <m/>
    <m/>
  </r>
  <r>
    <x v="220"/>
    <n v="2009"/>
    <x v="37"/>
    <s v="Africa"/>
    <m/>
    <s v="Mining"/>
    <s v="yes"/>
    <s v="no"/>
    <s v="no"/>
    <s v="o/w Gross weight"/>
    <s v="detailed"/>
    <s v="detailed Mining"/>
    <n v="40000"/>
    <m/>
    <m/>
    <m/>
    <m/>
    <s v="t"/>
    <m/>
    <m/>
    <s v="Volume from USGS Mineral Yearbook 2012"/>
    <m/>
    <m/>
    <m/>
    <m/>
    <m/>
    <m/>
    <m/>
    <m/>
    <m/>
    <m/>
    <m/>
    <m/>
    <m/>
    <m/>
    <m/>
    <m/>
    <m/>
    <m/>
    <m/>
    <m/>
    <m/>
    <m/>
    <m/>
    <m/>
    <m/>
    <m/>
    <m/>
    <m/>
    <m/>
    <m/>
    <m/>
    <m/>
    <m/>
    <m/>
    <m/>
    <m/>
    <m/>
    <m/>
    <m/>
    <m/>
    <m/>
    <m/>
    <m/>
    <m/>
    <m/>
    <m/>
  </r>
  <r>
    <x v="220"/>
    <n v="2009"/>
    <x v="37"/>
    <s v="Africa"/>
    <m/>
    <s v="Mining"/>
    <s v="yes"/>
    <s v="no"/>
    <s v="no"/>
    <s v="o/w Mn content"/>
    <s v="detailed"/>
    <s v="detailed Mining"/>
    <n v="13000"/>
    <m/>
    <m/>
    <m/>
    <m/>
    <s v="t"/>
    <m/>
    <m/>
    <s v="Volume from USGS Mineral Yearbook 2012"/>
    <m/>
    <m/>
    <m/>
    <m/>
    <m/>
    <m/>
    <m/>
    <m/>
    <m/>
    <m/>
    <m/>
    <m/>
    <m/>
    <m/>
    <m/>
    <m/>
    <m/>
    <m/>
    <m/>
    <m/>
    <m/>
    <m/>
    <m/>
    <m/>
    <m/>
    <m/>
    <m/>
    <m/>
    <m/>
    <m/>
    <m/>
    <m/>
    <m/>
    <m/>
    <m/>
    <m/>
    <m/>
    <m/>
    <m/>
    <m/>
    <m/>
    <m/>
    <m/>
    <m/>
    <m/>
    <m/>
  </r>
  <r>
    <x v="220"/>
    <n v="2009"/>
    <x v="37"/>
    <s v="Africa"/>
    <m/>
    <s v="Mining"/>
    <s v="yes"/>
    <s v="no"/>
    <s v="no"/>
    <s v="Nickel (nickel content of concentrates)"/>
    <s v="detailed"/>
    <s v="detailed Mining"/>
    <n v="280"/>
    <m/>
    <n v="116"/>
    <m/>
    <m/>
    <s v="t"/>
    <n v="14654.629499999999"/>
    <s v="US$/t"/>
    <s v="Volume from USGS Mineral Yearbook 2012. Price from World Bank (Global Economic Monitor (GEM) Commodities database), and is defined as: Nickel (LME), cathodes, minimum 99.8% purity, settlement price beginning 2005; previously cash price."/>
    <n v="4103296.26"/>
    <m/>
    <m/>
    <m/>
    <m/>
    <m/>
    <m/>
    <m/>
    <m/>
    <m/>
    <m/>
    <m/>
    <m/>
    <m/>
    <m/>
    <m/>
    <m/>
    <m/>
    <m/>
    <m/>
    <m/>
    <m/>
    <m/>
    <m/>
    <m/>
    <m/>
    <m/>
    <m/>
    <m/>
    <m/>
    <m/>
    <m/>
    <m/>
    <m/>
    <m/>
    <m/>
    <m/>
    <m/>
    <m/>
    <m/>
    <m/>
    <m/>
    <m/>
    <m/>
    <m/>
    <m/>
  </r>
  <r>
    <x v="221"/>
    <n v="2010"/>
    <x v="37"/>
    <s v="Africa"/>
    <s v="http://www.zambiaeiti.org"/>
    <s v="Mining"/>
    <s v="yes"/>
    <s v="no"/>
    <s v="no"/>
    <s v="Total"/>
    <s v="Total"/>
    <s v="Total Mining"/>
    <m/>
    <m/>
    <m/>
    <m/>
    <m/>
    <m/>
    <m/>
    <m/>
    <m/>
    <n v="157220004123.46591"/>
    <s v="Profits/Taxes, Royalties, Licenses and concessions, Other significant benefits to government"/>
    <s v="Does not include payments made in-kind"/>
    <s v="-"/>
    <n v="757063737"/>
    <n v="758825945"/>
    <m/>
    <m/>
    <m/>
    <n v="4.8153143184341404E-3"/>
    <s v="Zambian Kwacha"/>
    <n v="5000"/>
    <s v="Disaggregated by revenue stream, Disaggregated by company, Disaggregated by company and revenue stream"/>
    <m/>
    <m/>
    <m/>
    <m/>
    <n v="22"/>
    <s v="Albidon Zambia Limited, BHP Billiton World Exploration Inc, Chambishi Metals Plc, Chambishi Copper Smelter Ltd, Chibuluma Mines Plc, CNMC - Luanshya Copper Mines, First Quantum Mining And Operations Ltd, Kagem Mining Limited, Kansanshi Mining Plc, Konkola Copper Mines Plc, Lafarge Cement Zambia Plc, Lumwana Mining Limited, Maamba Colleries Limited, Mopani Copper Mines Plc, Ndola Lime Limited, NFC Africa Mining Plc, Scirocco Enterprises Ltd, San He Zambia Ltd, Sino-Metals Leach Limited, Zambezi Portland Cement Limited, Zambian Nonferrous Metals Exploration &amp; Con Co Ltd, Zambia Consolidated Copper Mines – Investment Holdings Plc"/>
    <n v="20"/>
    <s v="February 2013"/>
    <d v="2014-09-25T00:00:00"/>
    <s v="Hart Nurse Ltd &amp; Baker Tilly Meralis "/>
    <s v="http://eiti.org/files/Zambia-2010-EITI-Report.pdf; http://eiti.org/files/zambia/Zambia-EITI-2010-Report-Annexes.pdf"/>
    <n v="9"/>
    <s v="Materiality threshold: Companies that made a payment of at least 2,500,000,000ZMK in 2010 should be reconciled. Zambia Consolidated Copper Mines – Investment Holdings Plc (ZCCM-IH) is also included as the state owns 87.6% of it. These companies accounted for 99.6% of total mining revenues collected by the Zambia Revenue Authority. The report doesn't provide comprehensive information on which commodities are produced by individual mining companies. Unilateral declarations do not appear to be included in the figures. The report also includes: production volumes of some companies; the value of exports of some commodities; information on ZCCM-IH's shareholdings; company payments to ZCCM-IH (these are not fully remitted to Government); information on the Environmental Protection Fund; a listing of licenses for each company (though there isn't disaggregation of revenue to this level)."/>
    <m/>
    <m/>
    <m/>
    <m/>
    <m/>
    <m/>
    <m/>
    <m/>
    <m/>
    <m/>
    <m/>
    <m/>
    <m/>
    <m/>
    <m/>
    <m/>
    <m/>
    <m/>
    <m/>
    <m/>
  </r>
  <r>
    <x v="221"/>
    <n v="2010"/>
    <x v="37"/>
    <s v="Africa"/>
    <m/>
    <s v="Mining"/>
    <s v="yes"/>
    <s v="no"/>
    <s v="no"/>
    <s v="Amethyst"/>
    <s v="detailed"/>
    <s v="detailed Mining"/>
    <n v="1300000"/>
    <m/>
    <m/>
    <m/>
    <m/>
    <s v="kg"/>
    <n v="87500"/>
    <s v="US$/kg"/>
    <s v="Volume from USGS Mineral Yearbook 2012. Price from the USGS Mineral Yearbook 2010, and is the median of the price range for cut amethyst in the US."/>
    <n v="113750000000"/>
    <m/>
    <m/>
    <m/>
    <m/>
    <m/>
    <m/>
    <m/>
    <m/>
    <m/>
    <m/>
    <m/>
    <m/>
    <m/>
    <m/>
    <m/>
    <m/>
    <m/>
    <m/>
    <m/>
    <m/>
    <m/>
    <m/>
    <m/>
    <n v="36"/>
    <m/>
    <m/>
    <m/>
    <m/>
    <m/>
    <m/>
    <m/>
    <m/>
    <m/>
    <m/>
    <m/>
    <m/>
    <m/>
    <m/>
    <m/>
    <m/>
    <m/>
    <m/>
    <m/>
    <m/>
    <m/>
  </r>
  <r>
    <x v="221"/>
    <n v="2010"/>
    <x v="37"/>
    <s v="Africa"/>
    <m/>
    <s v="Mining"/>
    <s v="yes"/>
    <s v="no"/>
    <s v="no"/>
    <s v="Beryl"/>
    <s v="detailed"/>
    <s v="detailed Mining"/>
    <n v="13000000"/>
    <m/>
    <m/>
    <m/>
    <m/>
    <s v="carats"/>
    <m/>
    <m/>
    <s v="Volume from USGS Mineral Yearbook 2012"/>
    <m/>
    <m/>
    <m/>
    <m/>
    <m/>
    <m/>
    <m/>
    <m/>
    <m/>
    <m/>
    <m/>
    <m/>
    <m/>
    <m/>
    <m/>
    <m/>
    <m/>
    <m/>
    <m/>
    <m/>
    <m/>
    <m/>
    <m/>
    <m/>
    <m/>
    <m/>
    <m/>
    <m/>
    <m/>
    <m/>
    <m/>
    <m/>
    <m/>
    <m/>
    <m/>
    <m/>
    <m/>
    <m/>
    <m/>
    <m/>
    <m/>
    <m/>
    <m/>
    <m/>
    <m/>
    <m/>
  </r>
  <r>
    <x v="221"/>
    <n v="2010"/>
    <x v="37"/>
    <s v="Africa"/>
    <m/>
    <s v="Mining"/>
    <s v="yes"/>
    <s v="no"/>
    <s v="no"/>
    <s v="Cement"/>
    <s v="detailed"/>
    <s v="detailed Mining"/>
    <n v="1126728"/>
    <m/>
    <m/>
    <m/>
    <m/>
    <s v="t"/>
    <n v="92"/>
    <s v="US$/t"/>
    <s v="Volume from USGS Mineral Yearbook 2012. Price from USGS Mineral Commodity Summary 2014, and is the average mill price for cement in the US."/>
    <n v="103658976"/>
    <m/>
    <m/>
    <m/>
    <m/>
    <m/>
    <m/>
    <m/>
    <m/>
    <m/>
    <m/>
    <m/>
    <m/>
    <m/>
    <m/>
    <m/>
    <m/>
    <m/>
    <m/>
    <m/>
    <m/>
    <m/>
    <m/>
    <m/>
    <m/>
    <m/>
    <m/>
    <m/>
    <m/>
    <m/>
    <m/>
    <m/>
    <m/>
    <m/>
    <m/>
    <m/>
    <m/>
    <m/>
    <m/>
    <m/>
    <m/>
    <m/>
    <m/>
    <m/>
    <m/>
    <m/>
  </r>
  <r>
    <x v="221"/>
    <n v="2010"/>
    <x v="37"/>
    <s v="Africa"/>
    <m/>
    <s v="Mining"/>
    <s v="yes"/>
    <s v="no"/>
    <s v="no"/>
    <s v="Coal"/>
    <s v="detailed"/>
    <s v="detailed Mining"/>
    <n v="200000"/>
    <m/>
    <m/>
    <m/>
    <m/>
    <s v="t"/>
    <n v="89.852021850427363"/>
    <s v="US$/t"/>
    <s v="Volume from USGS Mineral Yearbook 2012. Price from BPSR 2014, and is an average of the American Central Appalachian, Asian and Northwest Europe marker/spot prices."/>
    <n v="17970404.370085474"/>
    <m/>
    <m/>
    <m/>
    <m/>
    <m/>
    <m/>
    <m/>
    <m/>
    <m/>
    <m/>
    <m/>
    <m/>
    <m/>
    <m/>
    <m/>
    <m/>
    <m/>
    <m/>
    <m/>
    <m/>
    <m/>
    <m/>
    <m/>
    <n v="36"/>
    <m/>
    <m/>
    <m/>
    <m/>
    <m/>
    <m/>
    <m/>
    <m/>
    <m/>
    <m/>
    <m/>
    <m/>
    <m/>
    <m/>
    <m/>
    <m/>
    <m/>
    <m/>
    <m/>
    <m/>
    <m/>
  </r>
  <r>
    <x v="221"/>
    <n v="2010"/>
    <x v="37"/>
    <s v="Africa"/>
    <m/>
    <s v="Mining"/>
    <s v="yes"/>
    <s v="no"/>
    <s v="no"/>
    <s v="Cobalt"/>
    <s v="detailed"/>
    <s v="detailed Mining"/>
    <m/>
    <m/>
    <m/>
    <m/>
    <m/>
    <m/>
    <n v="35160.39"/>
    <s v="US$/t"/>
    <s v="Price from 2011 EITI Report"/>
    <n v="217994418"/>
    <m/>
    <m/>
    <m/>
    <m/>
    <m/>
    <m/>
    <m/>
    <m/>
    <m/>
    <m/>
    <m/>
    <m/>
    <m/>
    <m/>
    <m/>
    <m/>
    <m/>
    <m/>
    <m/>
    <m/>
    <m/>
    <m/>
    <m/>
    <n v="36"/>
    <m/>
    <m/>
    <m/>
    <m/>
    <m/>
    <m/>
    <m/>
    <m/>
    <m/>
    <m/>
    <m/>
    <m/>
    <m/>
    <m/>
    <m/>
    <m/>
    <m/>
    <m/>
    <m/>
    <m/>
    <m/>
  </r>
  <r>
    <x v="221"/>
    <n v="2010"/>
    <x v="37"/>
    <s v="Africa"/>
    <m/>
    <s v="Mining"/>
    <s v="yes"/>
    <s v="no"/>
    <s v="no"/>
    <s v="o/w Cobalt content in mine output"/>
    <s v="detailed"/>
    <s v="detailed Mining"/>
    <n v="6200"/>
    <m/>
    <m/>
    <m/>
    <m/>
    <s v="t"/>
    <m/>
    <m/>
    <s v="Volume from USGS Mineral Yearbook 2012"/>
    <m/>
    <m/>
    <m/>
    <m/>
    <m/>
    <m/>
    <m/>
    <m/>
    <m/>
    <m/>
    <m/>
    <m/>
    <m/>
    <m/>
    <m/>
    <m/>
    <m/>
    <m/>
    <m/>
    <m/>
    <m/>
    <m/>
    <m/>
    <m/>
    <m/>
    <m/>
    <m/>
    <m/>
    <m/>
    <m/>
    <m/>
    <m/>
    <m/>
    <m/>
    <m/>
    <m/>
    <m/>
    <m/>
    <m/>
    <m/>
    <m/>
    <m/>
    <m/>
    <m/>
    <m/>
    <m/>
  </r>
  <r>
    <x v="221"/>
    <n v="2010"/>
    <x v="37"/>
    <s v="Africa"/>
    <m/>
    <s v="Mining"/>
    <s v="yes"/>
    <s v="no"/>
    <s v="no"/>
    <s v="o/w Metal"/>
    <s v="detailed"/>
    <s v="detailed Mining"/>
    <n v="5026"/>
    <m/>
    <m/>
    <m/>
    <m/>
    <s v="t"/>
    <m/>
    <m/>
    <s v="Volume from USGS Mineral Yearbook 2012"/>
    <m/>
    <m/>
    <m/>
    <m/>
    <m/>
    <m/>
    <m/>
    <m/>
    <m/>
    <m/>
    <m/>
    <m/>
    <m/>
    <m/>
    <m/>
    <m/>
    <m/>
    <m/>
    <m/>
    <m/>
    <m/>
    <m/>
    <m/>
    <m/>
    <m/>
    <m/>
    <m/>
    <m/>
    <m/>
    <m/>
    <m/>
    <m/>
    <m/>
    <m/>
    <m/>
    <m/>
    <m/>
    <m/>
    <m/>
    <m/>
    <m/>
    <m/>
    <m/>
    <m/>
    <m/>
    <m/>
  </r>
  <r>
    <x v="221"/>
    <n v="2010"/>
    <x v="37"/>
    <s v="Africa"/>
    <m/>
    <s v="Mining"/>
    <s v="yes"/>
    <s v="no"/>
    <s v="no"/>
    <s v="Copper"/>
    <s v="detailed"/>
    <s v="detailed Mining"/>
    <m/>
    <m/>
    <m/>
    <m/>
    <m/>
    <m/>
    <n v="7534.7795833333303"/>
    <s v="US$/t"/>
    <s v="Price from World Bank (Global Economic Monitor (GEM) Commodities database), and is defined as: Copper (LME), grade A, minimum 99.9935% purity, cathodes and wire bar shapes, settlement price."/>
    <n v="7685475174.9999971"/>
    <m/>
    <m/>
    <m/>
    <m/>
    <m/>
    <m/>
    <m/>
    <m/>
    <m/>
    <m/>
    <m/>
    <m/>
    <m/>
    <m/>
    <m/>
    <m/>
    <m/>
    <m/>
    <m/>
    <m/>
    <m/>
    <m/>
    <m/>
    <n v="36"/>
    <m/>
    <m/>
    <m/>
    <m/>
    <m/>
    <m/>
    <m/>
    <m/>
    <m/>
    <m/>
    <m/>
    <m/>
    <m/>
    <m/>
    <m/>
    <m/>
    <m/>
    <m/>
    <m/>
    <m/>
    <m/>
  </r>
  <r>
    <x v="221"/>
    <n v="2010"/>
    <x v="37"/>
    <s v="Africa"/>
    <m/>
    <s v="Mining"/>
    <s v="yes"/>
    <s v="no"/>
    <s v="no"/>
    <s v="o/w Copper content in mine output"/>
    <s v="detailed"/>
    <s v="detailed Mining"/>
    <n v="686000"/>
    <m/>
    <m/>
    <m/>
    <m/>
    <s v="t"/>
    <m/>
    <m/>
    <s v="Volume from USGS Mineral Yearbook 2012"/>
    <m/>
    <m/>
    <m/>
    <m/>
    <m/>
    <m/>
    <m/>
    <m/>
    <m/>
    <m/>
    <m/>
    <m/>
    <m/>
    <m/>
    <m/>
    <m/>
    <m/>
    <m/>
    <m/>
    <m/>
    <m/>
    <m/>
    <m/>
    <m/>
    <m/>
    <m/>
    <m/>
    <m/>
    <m/>
    <m/>
    <m/>
    <m/>
    <m/>
    <m/>
    <m/>
    <m/>
    <m/>
    <m/>
    <m/>
    <m/>
    <m/>
    <m/>
    <m/>
    <m/>
    <m/>
    <m/>
  </r>
  <r>
    <x v="221"/>
    <n v="2010"/>
    <x v="37"/>
    <s v="Africa"/>
    <m/>
    <s v="Mining"/>
    <s v="yes"/>
    <s v="no"/>
    <s v="no"/>
    <s v="o/w Metal (smelter, primary)"/>
    <s v="detailed"/>
    <s v="detailed Mining"/>
    <n v="490000"/>
    <m/>
    <m/>
    <m/>
    <m/>
    <s v="t"/>
    <m/>
    <m/>
    <s v="Volume from USGS Mineral Yearbook 2012"/>
    <m/>
    <m/>
    <m/>
    <m/>
    <m/>
    <m/>
    <m/>
    <m/>
    <m/>
    <m/>
    <m/>
    <m/>
    <m/>
    <m/>
    <m/>
    <m/>
    <m/>
    <m/>
    <m/>
    <m/>
    <m/>
    <m/>
    <m/>
    <m/>
    <m/>
    <m/>
    <m/>
    <m/>
    <m/>
    <m/>
    <m/>
    <m/>
    <m/>
    <m/>
    <m/>
    <m/>
    <m/>
    <m/>
    <m/>
    <m/>
    <m/>
    <m/>
    <m/>
    <m/>
    <m/>
    <m/>
  </r>
  <r>
    <x v="221"/>
    <n v="2010"/>
    <x v="37"/>
    <s v="Africa"/>
    <m/>
    <s v="Mining"/>
    <s v="yes"/>
    <s v="no"/>
    <s v="no"/>
    <s v="o/w Metal (refinery, primary)"/>
    <s v="detailed"/>
    <s v="detailed Mining"/>
    <n v="530000"/>
    <m/>
    <m/>
    <m/>
    <m/>
    <s v="t"/>
    <m/>
    <m/>
    <s v="Volume from USGS Mineral Yearbook 2012"/>
    <m/>
    <m/>
    <m/>
    <m/>
    <m/>
    <m/>
    <m/>
    <m/>
    <m/>
    <m/>
    <m/>
    <m/>
    <m/>
    <m/>
    <m/>
    <m/>
    <m/>
    <m/>
    <m/>
    <m/>
    <m/>
    <m/>
    <m/>
    <m/>
    <m/>
    <m/>
    <m/>
    <m/>
    <m/>
    <m/>
    <m/>
    <m/>
    <m/>
    <m/>
    <m/>
    <m/>
    <m/>
    <m/>
    <m/>
    <m/>
    <m/>
    <m/>
    <m/>
    <m/>
    <m/>
    <m/>
  </r>
  <r>
    <x v="221"/>
    <n v="2010"/>
    <x v="37"/>
    <s v="Africa"/>
    <m/>
    <s v="Mining"/>
    <s v="yes"/>
    <s v="no"/>
    <s v="no"/>
    <s v="Emerald"/>
    <s v="detailed"/>
    <s v="detailed Mining"/>
    <n v="11000000"/>
    <m/>
    <m/>
    <m/>
    <m/>
    <s v="carats"/>
    <n v="3200"/>
    <s v="US$/carat"/>
    <s v="Volume from USGS Mineral Yearbook 2012. Price from the USGS Mineral Yearbook 2010, and is the median of the price range for cut emerald in the US."/>
    <n v="35200000000"/>
    <m/>
    <m/>
    <m/>
    <m/>
    <m/>
    <m/>
    <m/>
    <m/>
    <m/>
    <m/>
    <m/>
    <m/>
    <m/>
    <m/>
    <m/>
    <m/>
    <m/>
    <m/>
    <m/>
    <m/>
    <m/>
    <m/>
    <m/>
    <n v="36"/>
    <m/>
    <m/>
    <m/>
    <m/>
    <m/>
    <m/>
    <m/>
    <m/>
    <m/>
    <m/>
    <m/>
    <m/>
    <m/>
    <m/>
    <m/>
    <m/>
    <m/>
    <m/>
    <m/>
    <m/>
    <m/>
  </r>
  <r>
    <x v="221"/>
    <n v="2010"/>
    <x v="37"/>
    <s v="Africa"/>
    <m/>
    <s v="Mining"/>
    <s v="yes"/>
    <s v="no"/>
    <s v="no"/>
    <s v="Gold"/>
    <s v="detailed"/>
    <s v="detailed Mining"/>
    <n v="115742.67525539998"/>
    <m/>
    <m/>
    <m/>
    <m/>
    <s v="toz"/>
    <n v="1224.66425"/>
    <s v="US$/toz"/>
    <s v="Volume from USGS Mineral Yearbook 2012. Price from World Bank (Global Economic Monitor (GEM) Commodities database), and is defined as: Gold (UK), 99.5% fine, London afternoon fixing, average of daily rates."/>
    <n v="141745916.58464798"/>
    <m/>
    <m/>
    <m/>
    <m/>
    <m/>
    <m/>
    <m/>
    <m/>
    <m/>
    <m/>
    <m/>
    <m/>
    <m/>
    <m/>
    <m/>
    <m/>
    <m/>
    <m/>
    <m/>
    <m/>
    <m/>
    <m/>
    <m/>
    <n v="36"/>
    <m/>
    <m/>
    <m/>
    <m/>
    <m/>
    <m/>
    <m/>
    <m/>
    <m/>
    <m/>
    <m/>
    <m/>
    <m/>
    <m/>
    <m/>
    <m/>
    <m/>
    <m/>
    <m/>
    <m/>
    <m/>
  </r>
  <r>
    <x v="221"/>
    <n v="2010"/>
    <x v="37"/>
    <s v="Africa"/>
    <m/>
    <s v="Mining"/>
    <s v="yes"/>
    <s v="no"/>
    <s v="no"/>
    <s v="Lime"/>
    <s v="detailed"/>
    <s v="detailed Mining"/>
    <n v="140000"/>
    <m/>
    <m/>
    <m/>
    <m/>
    <s v="t"/>
    <n v="114.2"/>
    <s v="US$/t"/>
    <s v="Volume from USGS Mineral Yearbook 2012. Price from USGS Mineral Commodity Summary 2014, and is the average plant price for quicklime and hydrate products in the US."/>
    <n v="15988000"/>
    <m/>
    <m/>
    <m/>
    <m/>
    <m/>
    <m/>
    <m/>
    <m/>
    <m/>
    <m/>
    <m/>
    <m/>
    <m/>
    <m/>
    <m/>
    <m/>
    <m/>
    <m/>
    <m/>
    <m/>
    <m/>
    <m/>
    <m/>
    <m/>
    <m/>
    <m/>
    <m/>
    <m/>
    <m/>
    <m/>
    <m/>
    <m/>
    <m/>
    <m/>
    <m/>
    <m/>
    <m/>
    <m/>
    <m/>
    <m/>
    <m/>
    <m/>
    <m/>
    <m/>
    <m/>
  </r>
  <r>
    <x v="221"/>
    <n v="2010"/>
    <x v="37"/>
    <s v="Africa"/>
    <m/>
    <s v="Mining"/>
    <s v="yes"/>
    <s v="no"/>
    <s v="no"/>
    <s v="Limestone"/>
    <s v="detailed"/>
    <s v="detailed Mining"/>
    <n v="3150000"/>
    <m/>
    <m/>
    <m/>
    <m/>
    <s v="t"/>
    <n v="9.0299999999999994"/>
    <s v="US$/t"/>
    <s v="Volume from USGS Mineral Yearbook 2012. Price from USGS Mineral Yearbook 2010, and is the price in the US for crushed limestone."/>
    <n v="28444499.999999996"/>
    <m/>
    <m/>
    <m/>
    <m/>
    <m/>
    <m/>
    <m/>
    <m/>
    <m/>
    <m/>
    <m/>
    <m/>
    <m/>
    <m/>
    <m/>
    <m/>
    <m/>
    <m/>
    <m/>
    <m/>
    <m/>
    <m/>
    <m/>
    <n v="36"/>
    <m/>
    <m/>
    <m/>
    <m/>
    <m/>
    <m/>
    <m/>
    <m/>
    <m/>
    <m/>
    <m/>
    <m/>
    <m/>
    <m/>
    <m/>
    <m/>
    <m/>
    <m/>
    <m/>
    <m/>
    <m/>
  </r>
  <r>
    <x v="221"/>
    <n v="2010"/>
    <x v="37"/>
    <s v="Africa"/>
    <m/>
    <s v="Mining"/>
    <s v="yes"/>
    <s v="no"/>
    <s v="no"/>
    <s v="Manganese ore"/>
    <s v="detailed"/>
    <s v="detailed Mining"/>
    <m/>
    <m/>
    <m/>
    <m/>
    <m/>
    <m/>
    <n v="9.64"/>
    <s v="US$/t"/>
    <s v="Price from USGS Mineral Commodity Summary 2013, and is the c.i.f. price at US ports for metallurgical ore with 46-48% manganese content. "/>
    <n v="385600"/>
    <m/>
    <m/>
    <m/>
    <m/>
    <m/>
    <m/>
    <m/>
    <m/>
    <m/>
    <m/>
    <m/>
    <m/>
    <m/>
    <m/>
    <m/>
    <m/>
    <m/>
    <m/>
    <m/>
    <m/>
    <m/>
    <m/>
    <m/>
    <n v="36"/>
    <m/>
    <m/>
    <m/>
    <m/>
    <m/>
    <m/>
    <m/>
    <m/>
    <m/>
    <m/>
    <m/>
    <m/>
    <m/>
    <m/>
    <m/>
    <m/>
    <m/>
    <m/>
    <m/>
    <m/>
    <m/>
  </r>
  <r>
    <x v="221"/>
    <n v="2010"/>
    <x v="37"/>
    <s v="Africa"/>
    <m/>
    <s v="Mining"/>
    <s v="yes"/>
    <s v="no"/>
    <s v="no"/>
    <s v="o/w Gross weight"/>
    <s v="detailed"/>
    <s v="detailed Mining"/>
    <n v="120000"/>
    <m/>
    <m/>
    <m/>
    <m/>
    <s v="t"/>
    <m/>
    <m/>
    <s v="Volume from USGS Mineral Yearbook 2012"/>
    <m/>
    <m/>
    <m/>
    <m/>
    <m/>
    <m/>
    <m/>
    <m/>
    <m/>
    <m/>
    <m/>
    <m/>
    <m/>
    <m/>
    <m/>
    <m/>
    <m/>
    <m/>
    <m/>
    <m/>
    <m/>
    <m/>
    <m/>
    <m/>
    <m/>
    <m/>
    <m/>
    <m/>
    <m/>
    <m/>
    <m/>
    <m/>
    <m/>
    <m/>
    <m/>
    <m/>
    <m/>
    <m/>
    <m/>
    <m/>
    <m/>
    <m/>
    <m/>
    <m/>
    <m/>
    <m/>
  </r>
  <r>
    <x v="221"/>
    <n v="2010"/>
    <x v="37"/>
    <s v="Africa"/>
    <m/>
    <s v="Mining"/>
    <s v="yes"/>
    <s v="no"/>
    <s v="no"/>
    <s v="o/w Mn content"/>
    <s v="detailed"/>
    <s v="detailed Mining"/>
    <n v="40000"/>
    <m/>
    <m/>
    <m/>
    <m/>
    <s v="t"/>
    <m/>
    <m/>
    <s v="Volume from USGS Mineral Yearbook 2012"/>
    <m/>
    <m/>
    <m/>
    <m/>
    <m/>
    <m/>
    <m/>
    <m/>
    <m/>
    <m/>
    <m/>
    <m/>
    <m/>
    <m/>
    <m/>
    <m/>
    <m/>
    <m/>
    <m/>
    <m/>
    <m/>
    <m/>
    <m/>
    <m/>
    <m/>
    <m/>
    <m/>
    <m/>
    <m/>
    <m/>
    <m/>
    <m/>
    <m/>
    <m/>
    <m/>
    <m/>
    <m/>
    <m/>
    <m/>
    <m/>
    <m/>
    <m/>
    <m/>
    <m/>
    <m/>
    <m/>
  </r>
  <r>
    <x v="221"/>
    <n v="2010"/>
    <x v="37"/>
    <s v="Africa"/>
    <m/>
    <s v="Mining"/>
    <s v="yes"/>
    <s v="no"/>
    <s v="no"/>
    <s v="Nickel (nickel content of concentrates)"/>
    <s v="detailed"/>
    <s v="detailed Mining"/>
    <n v="2482"/>
    <m/>
    <m/>
    <m/>
    <m/>
    <s v="t"/>
    <n v="21808.852416666701"/>
    <s v="US$/t"/>
    <s v="Volume from USGS Mineral Yearbook 2012. Price from World Bank (Global Economic Monitor (GEM) Commodities database), and is defined as: Nickel (LME), cathodes, minimum 99.8% purity, settlement price beginning 2005; previously cash price."/>
    <n v="54129571.69816675"/>
    <m/>
    <m/>
    <m/>
    <n v="1753873.2"/>
    <n v="3901248"/>
    <m/>
    <m/>
    <m/>
    <n v="3.2401386986392867E-2"/>
    <m/>
    <m/>
    <m/>
    <m/>
    <m/>
    <m/>
    <m/>
    <m/>
    <m/>
    <m/>
    <m/>
    <m/>
    <m/>
    <m/>
    <n v="36"/>
    <m/>
    <m/>
    <m/>
    <m/>
    <m/>
    <m/>
    <m/>
    <m/>
    <m/>
    <m/>
    <m/>
    <m/>
    <m/>
    <m/>
    <m/>
    <m/>
    <m/>
    <m/>
    <m/>
    <m/>
    <m/>
  </r>
  <r>
    <x v="221"/>
    <n v="2010"/>
    <x v="37"/>
    <s v="Africa"/>
    <m/>
    <s v="Mining"/>
    <s v="yes"/>
    <s v="no"/>
    <s v="no"/>
    <s v="Silver"/>
    <s v="detailed"/>
    <s v="detailed Mining"/>
    <n v="208979.83032224997"/>
    <m/>
    <m/>
    <m/>
    <m/>
    <s v="toz"/>
    <n v="20.152958333330002"/>
    <s v="US$/toz"/>
    <s v="Volume from USGS Mineral Yearbook 2012. Price from World Bank (Global Economic Monitor (GEM) Commodities database), and is defined as: Silver (Handy &amp; Harman), 99.9% grade refined, New York."/>
    <n v="4211561.8129906775"/>
    <m/>
    <m/>
    <m/>
    <m/>
    <m/>
    <m/>
    <m/>
    <m/>
    <m/>
    <m/>
    <m/>
    <m/>
    <m/>
    <m/>
    <m/>
    <m/>
    <m/>
    <m/>
    <m/>
    <m/>
    <m/>
    <m/>
    <m/>
    <m/>
    <m/>
    <m/>
    <m/>
    <m/>
    <m/>
    <m/>
    <m/>
    <m/>
    <m/>
    <m/>
    <m/>
    <m/>
    <m/>
    <m/>
    <m/>
    <m/>
    <m/>
    <m/>
    <m/>
    <m/>
    <m/>
  </r>
  <r>
    <x v="222"/>
    <n v="2011"/>
    <x v="37"/>
    <s v="Africa"/>
    <s v="http://www.zambiaeiti.org"/>
    <s v="Mining"/>
    <s v="yes"/>
    <s v="no"/>
    <s v="no"/>
    <s v="Total"/>
    <s v="Total"/>
    <s v="Total Mining"/>
    <m/>
    <m/>
    <m/>
    <m/>
    <m/>
    <m/>
    <m/>
    <m/>
    <m/>
    <n v="146061644279.72226"/>
    <s v="Profits/Taxes, Royalties, Dividends, Licenses and concessions, Other significant benefits to government"/>
    <s v="Also covers payments made in-kind"/>
    <s v="No"/>
    <n v="1588841770"/>
    <n v="1600810082"/>
    <m/>
    <m/>
    <m/>
    <n v="1.0877885004205577E-2"/>
    <s v="Zambian Kwacha"/>
    <n v="4.8600000000000003"/>
    <s v="Disaggregated by revenue stream, Disaggregated by company, Disaggregated by company and revenue stream"/>
    <s v="Not given"/>
    <n v="15165226"/>
    <m/>
    <m/>
    <n v="26"/>
    <s v="Albidon Zambia Limited, BHP Billiton World Exploration Inc, Chambishi Metals Plc, Chambishi Copper Smelter Ltd, Chibuluma Mines Plc, CNMC - Luanshya Copper Mines, First Quantum Mining And Operations Ltd, Grizzly Mining Limited, Kagem Mining Limited, Kalumbila Minerals Limited, Kansanshi Mining Plc, Konkola Copper Mines Plc, Lafarge Cement Zambia Plc, Lubambe Copper Mines Limited, Lumwana Mining Limited, Maamba Colleries Limited, Mopani Copper Mines Plc, Ndola Lime Limited, NFC Africa Mining Plc, Sable Zinc Kabwe Limited, Scirocco Enterprises Ltd, San He Zambia Ltd, Sino-Metals Leach Limited, Universal Mining and Chemical INdustries Ltd, Zambian Nonferrous Metals Exploration &amp; Con Co Ltd, Zambia Consolidated Copper Mines – Investment Holdings Plc"/>
    <n v="25"/>
    <s v="February 2014"/>
    <d v="2014-09-25T00:00:00"/>
    <s v="Moore Stephens"/>
    <s v="http://eiti.org/files/Zambia-2011-EITI-Report.pdf"/>
    <n v="7"/>
    <s v="Materiality threshold: Companies that made a payment of at least 2,000,000,000ZMK in 2011 should be reconciled. These companies accounted for 99.8% of total mining revenues collected by the Zambia Revenue Authority. Zambia Consolidated Copper Mines – Investment Holdings Plc (ZCCM-IH) is also included as the state owns 87.6% of it. ZCCM-IH is now also classified as a government entity, unlike previous reports. Unilateral declarations are included in the figures, mainly company payments including unreconciled social payments and transfers of $22,018,519 that companies were asked to voluntarily report on ($15,165,226 of this were payments in-kind). The report doesn't provide comprehensive information on which commodities are produced by individual mining companies. The report also includes: the production volume of some companies; the value of exports of some commodities; information on ZCCM-IH's shareholdings; company shareholdings; a listing of licenses for each company (though there isn't disaggregation of revenue to this level); a list of oil and gas companies. 5 companies contributed approximately 88% of total Government mining revenues in 2011, while Kansanchi Mining Plc on its own accounts for almost 56%."/>
    <m/>
    <m/>
    <m/>
    <m/>
    <m/>
    <m/>
    <m/>
    <m/>
    <m/>
    <m/>
    <m/>
    <m/>
    <m/>
    <m/>
    <m/>
    <m/>
    <m/>
    <m/>
    <m/>
    <m/>
  </r>
  <r>
    <x v="222"/>
    <n v="2011"/>
    <x v="37"/>
    <s v="Africa"/>
    <m/>
    <s v="Mining"/>
    <s v="yes"/>
    <s v="no"/>
    <s v="no"/>
    <s v="Amethyst"/>
    <s v="detailed"/>
    <s v="detailed Mining"/>
    <n v="1000000"/>
    <m/>
    <m/>
    <m/>
    <m/>
    <s v="kg"/>
    <n v="87500"/>
    <s v="US$/kg"/>
    <s v="Volume from USGS Mineral Yearbook 2012. Price from the USGS Mineral Yearbook 2011, and is the median of the price range for cut amethyst in the US."/>
    <n v="87500000000"/>
    <m/>
    <m/>
    <m/>
    <m/>
    <m/>
    <m/>
    <m/>
    <m/>
    <m/>
    <m/>
    <m/>
    <m/>
    <m/>
    <m/>
    <m/>
    <m/>
    <m/>
    <m/>
    <m/>
    <m/>
    <m/>
    <m/>
    <m/>
    <m/>
    <m/>
    <m/>
    <m/>
    <m/>
    <m/>
    <m/>
    <m/>
    <m/>
    <m/>
    <m/>
    <m/>
    <m/>
    <m/>
    <m/>
    <m/>
    <m/>
    <m/>
    <m/>
    <m/>
    <m/>
    <m/>
  </r>
  <r>
    <x v="222"/>
    <n v="2011"/>
    <x v="37"/>
    <s v="Africa"/>
    <m/>
    <s v="Mining"/>
    <s v="yes"/>
    <s v="no"/>
    <s v="no"/>
    <s v="Beryl"/>
    <s v="detailed"/>
    <s v="detailed Mining"/>
    <n v="7000000"/>
    <m/>
    <m/>
    <m/>
    <m/>
    <s v="carats"/>
    <m/>
    <m/>
    <s v="Volume from USGS Mineral Yearbook 2012"/>
    <m/>
    <m/>
    <m/>
    <m/>
    <m/>
    <m/>
    <m/>
    <m/>
    <m/>
    <m/>
    <m/>
    <m/>
    <m/>
    <m/>
    <m/>
    <m/>
    <m/>
    <m/>
    <m/>
    <m/>
    <m/>
    <m/>
    <m/>
    <m/>
    <m/>
    <m/>
    <m/>
    <m/>
    <m/>
    <m/>
    <m/>
    <m/>
    <m/>
    <m/>
    <m/>
    <m/>
    <m/>
    <m/>
    <m/>
    <m/>
    <m/>
    <m/>
    <m/>
    <m/>
    <m/>
    <m/>
  </r>
  <r>
    <x v="222"/>
    <n v="2011"/>
    <x v="37"/>
    <s v="Africa"/>
    <m/>
    <s v="Mining"/>
    <s v="yes"/>
    <s v="no"/>
    <s v="no"/>
    <s v="Clay"/>
    <s v="detailed"/>
    <s v="detailed Mining"/>
    <n v="34300"/>
    <m/>
    <m/>
    <m/>
    <m/>
    <s v="t"/>
    <n v="12"/>
    <s v="US$/t"/>
    <s v="Volume from USGS Mineral Yearbook 2012. Price from USGS Mineral Commodity Summary 2014, and is the price for common clay in the US."/>
    <n v="411600"/>
    <m/>
    <m/>
    <m/>
    <m/>
    <m/>
    <m/>
    <m/>
    <m/>
    <m/>
    <m/>
    <m/>
    <m/>
    <m/>
    <m/>
    <m/>
    <m/>
    <m/>
    <m/>
    <m/>
    <m/>
    <m/>
    <m/>
    <m/>
    <m/>
    <m/>
    <m/>
    <m/>
    <m/>
    <m/>
    <m/>
    <m/>
    <m/>
    <m/>
    <m/>
    <m/>
    <m/>
    <m/>
    <m/>
    <m/>
    <m/>
    <m/>
    <m/>
    <m/>
    <m/>
    <m/>
  </r>
  <r>
    <x v="222"/>
    <n v="2011"/>
    <x v="37"/>
    <s v="Africa"/>
    <m/>
    <s v="Mining"/>
    <s v="yes"/>
    <s v="no"/>
    <s v="no"/>
    <s v="Coal"/>
    <s v="detailed"/>
    <s v="detailed Mining"/>
    <n v="220000"/>
    <m/>
    <m/>
    <m/>
    <m/>
    <s v="t"/>
    <n v="111.54662184722224"/>
    <s v="US$/t"/>
    <s v="Volume from USGS Mineral Yearbook 2012. Price from BPSR 2014, and is an average of the American Central Appalachian, Asian and Northwest Europe marker/spot prices."/>
    <n v="24540256.806388892"/>
    <m/>
    <m/>
    <m/>
    <m/>
    <m/>
    <m/>
    <m/>
    <m/>
    <m/>
    <m/>
    <m/>
    <m/>
    <m/>
    <m/>
    <m/>
    <m/>
    <m/>
    <m/>
    <m/>
    <m/>
    <m/>
    <m/>
    <m/>
    <m/>
    <m/>
    <m/>
    <m/>
    <m/>
    <m/>
    <m/>
    <m/>
    <m/>
    <m/>
    <m/>
    <m/>
    <m/>
    <m/>
    <m/>
    <m/>
    <m/>
    <m/>
    <m/>
    <m/>
    <m/>
    <m/>
  </r>
  <r>
    <x v="222"/>
    <n v="2011"/>
    <x v="37"/>
    <s v="Africa"/>
    <m/>
    <s v="Mining"/>
    <s v="yes"/>
    <s v="no"/>
    <s v="no"/>
    <s v="Cobalt"/>
    <s v="detailed"/>
    <s v="detailed Mining"/>
    <m/>
    <m/>
    <m/>
    <m/>
    <m/>
    <m/>
    <n v="32693.17"/>
    <s v="US$/t"/>
    <s v="Price from EITI Report"/>
    <n v="176543118"/>
    <m/>
    <m/>
    <m/>
    <m/>
    <m/>
    <m/>
    <m/>
    <m/>
    <m/>
    <m/>
    <m/>
    <m/>
    <m/>
    <m/>
    <m/>
    <m/>
    <m/>
    <m/>
    <m/>
    <m/>
    <m/>
    <m/>
    <m/>
    <s v="18, 27"/>
    <m/>
    <m/>
    <m/>
    <m/>
    <m/>
    <m/>
    <m/>
    <m/>
    <m/>
    <m/>
    <m/>
    <m/>
    <m/>
    <m/>
    <m/>
    <m/>
    <m/>
    <m/>
    <m/>
    <m/>
    <m/>
  </r>
  <r>
    <x v="222"/>
    <n v="2011"/>
    <x v="37"/>
    <s v="Africa"/>
    <m/>
    <s v="Mining"/>
    <s v="yes"/>
    <s v="no"/>
    <s v="no"/>
    <s v="o/w Cobalt content in mine output"/>
    <s v="detailed"/>
    <s v="detailed Mining"/>
    <n v="5400"/>
    <m/>
    <m/>
    <m/>
    <m/>
    <m/>
    <m/>
    <m/>
    <s v="Volume from USGS Mineral Yearbook 2012"/>
    <m/>
    <m/>
    <m/>
    <m/>
    <m/>
    <m/>
    <m/>
    <m/>
    <m/>
    <m/>
    <m/>
    <m/>
    <m/>
    <m/>
    <m/>
    <m/>
    <m/>
    <m/>
    <m/>
    <m/>
    <m/>
    <m/>
    <m/>
    <m/>
    <m/>
    <m/>
    <m/>
    <m/>
    <m/>
    <m/>
    <m/>
    <m/>
    <m/>
    <m/>
    <m/>
    <m/>
    <m/>
    <m/>
    <m/>
    <m/>
    <m/>
    <m/>
    <m/>
    <m/>
    <m/>
    <m/>
  </r>
  <r>
    <x v="222"/>
    <n v="2011"/>
    <x v="37"/>
    <s v="Africa"/>
    <m/>
    <s v="Mining"/>
    <s v="yes"/>
    <s v="no"/>
    <s v="no"/>
    <s v="o/w Metal"/>
    <s v="detailed"/>
    <s v="detailed Mining"/>
    <n v="5746"/>
    <m/>
    <m/>
    <m/>
    <m/>
    <m/>
    <m/>
    <m/>
    <s v="Volume from USGS Mineral Yearbook 2012"/>
    <m/>
    <m/>
    <m/>
    <m/>
    <m/>
    <m/>
    <m/>
    <m/>
    <m/>
    <m/>
    <m/>
    <m/>
    <m/>
    <m/>
    <m/>
    <m/>
    <m/>
    <m/>
    <m/>
    <m/>
    <m/>
    <m/>
    <m/>
    <m/>
    <m/>
    <m/>
    <m/>
    <m/>
    <m/>
    <m/>
    <m/>
    <m/>
    <m/>
    <m/>
    <m/>
    <m/>
    <m/>
    <m/>
    <m/>
    <m/>
    <m/>
    <m/>
    <m/>
    <m/>
    <m/>
    <m/>
  </r>
  <r>
    <x v="222"/>
    <n v="2011"/>
    <x v="37"/>
    <s v="Africa"/>
    <m/>
    <s v="Mining"/>
    <s v="yes"/>
    <s v="no"/>
    <s v="no"/>
    <s v="Copper"/>
    <s v="detailed"/>
    <s v="detailed Mining"/>
    <m/>
    <m/>
    <m/>
    <m/>
    <m/>
    <m/>
    <n v="8828.1875"/>
    <s v="US$/t"/>
    <s v="Price from World Bank (Global Economic Monitor (GEM) Commodities database), and is defined as: Copper (LME), grade A, minimum 99.9935% purity, cathodes and wire bar shapes, settlement price."/>
    <n v="9066548562.5"/>
    <m/>
    <m/>
    <m/>
    <m/>
    <m/>
    <m/>
    <m/>
    <m/>
    <m/>
    <m/>
    <m/>
    <m/>
    <m/>
    <m/>
    <m/>
    <m/>
    <m/>
    <m/>
    <m/>
    <m/>
    <m/>
    <m/>
    <m/>
    <n v="11"/>
    <m/>
    <m/>
    <m/>
    <m/>
    <m/>
    <m/>
    <m/>
    <m/>
    <m/>
    <m/>
    <m/>
    <m/>
    <m/>
    <m/>
    <m/>
    <m/>
    <m/>
    <m/>
    <m/>
    <m/>
    <m/>
  </r>
  <r>
    <x v="222"/>
    <n v="2011"/>
    <x v="37"/>
    <s v="Africa"/>
    <m/>
    <s v="Mining"/>
    <s v="yes"/>
    <s v="no"/>
    <s v="no"/>
    <s v="o/w Copper content in mine output"/>
    <s v="detailed"/>
    <s v="detailed Mining"/>
    <n v="668000"/>
    <m/>
    <m/>
    <m/>
    <m/>
    <m/>
    <m/>
    <m/>
    <s v="Volume from USGS Mineral Yearbook 2012"/>
    <m/>
    <m/>
    <m/>
    <m/>
    <m/>
    <m/>
    <m/>
    <m/>
    <m/>
    <m/>
    <m/>
    <m/>
    <m/>
    <m/>
    <m/>
    <m/>
    <m/>
    <m/>
    <m/>
    <m/>
    <m/>
    <m/>
    <m/>
    <m/>
    <m/>
    <m/>
    <m/>
    <m/>
    <m/>
    <m/>
    <m/>
    <m/>
    <m/>
    <m/>
    <m/>
    <m/>
    <m/>
    <m/>
    <m/>
    <m/>
    <m/>
    <m/>
    <m/>
    <m/>
    <m/>
    <m/>
  </r>
  <r>
    <x v="222"/>
    <n v="2011"/>
    <x v="37"/>
    <s v="Africa"/>
    <m/>
    <s v="Mining"/>
    <s v="yes"/>
    <s v="no"/>
    <s v="no"/>
    <s v="o/w Metal (smelter, primary)"/>
    <s v="detailed"/>
    <s v="detailed Mining"/>
    <n v="511000"/>
    <m/>
    <m/>
    <m/>
    <m/>
    <m/>
    <m/>
    <m/>
    <s v="Volume from USGS Mineral Yearbook 2012"/>
    <m/>
    <m/>
    <m/>
    <m/>
    <m/>
    <m/>
    <m/>
    <m/>
    <m/>
    <m/>
    <m/>
    <m/>
    <m/>
    <m/>
    <m/>
    <m/>
    <m/>
    <m/>
    <m/>
    <m/>
    <m/>
    <m/>
    <m/>
    <m/>
    <m/>
    <m/>
    <m/>
    <m/>
    <m/>
    <m/>
    <m/>
    <m/>
    <m/>
    <m/>
    <m/>
    <m/>
    <m/>
    <m/>
    <m/>
    <m/>
    <m/>
    <m/>
    <m/>
    <m/>
    <m/>
    <m/>
  </r>
  <r>
    <x v="222"/>
    <n v="2011"/>
    <x v="37"/>
    <s v="Africa"/>
    <m/>
    <s v="Mining"/>
    <s v="yes"/>
    <s v="no"/>
    <s v="no"/>
    <s v="o/w Metal (refinery, primary)"/>
    <s v="detailed"/>
    <s v="detailed Mining"/>
    <n v="516000"/>
    <m/>
    <m/>
    <m/>
    <m/>
    <m/>
    <m/>
    <m/>
    <s v="Volume from USGS Mineral Yearbook 2012"/>
    <m/>
    <m/>
    <m/>
    <m/>
    <m/>
    <m/>
    <m/>
    <m/>
    <m/>
    <m/>
    <m/>
    <m/>
    <m/>
    <m/>
    <m/>
    <m/>
    <m/>
    <m/>
    <m/>
    <m/>
    <m/>
    <m/>
    <m/>
    <m/>
    <m/>
    <m/>
    <m/>
    <m/>
    <m/>
    <m/>
    <m/>
    <m/>
    <m/>
    <m/>
    <m/>
    <m/>
    <m/>
    <m/>
    <m/>
    <m/>
    <m/>
    <m/>
    <m/>
    <m/>
    <m/>
    <m/>
  </r>
  <r>
    <x v="222"/>
    <n v="2011"/>
    <x v="37"/>
    <s v="Africa"/>
    <m/>
    <s v="Mining"/>
    <s v="yes"/>
    <s v="no"/>
    <s v="no"/>
    <s v="Emerald"/>
    <s v="detailed"/>
    <s v="detailed Mining"/>
    <n v="14000000"/>
    <m/>
    <m/>
    <m/>
    <m/>
    <s v="carats"/>
    <n v="3500"/>
    <s v="US$/carat"/>
    <s v="Volume from USGS Mineral Yearbook 2012. Price from the USGS Mineral Yearbook 2011, and is the median of the price range for cut emerald in the US."/>
    <n v="49000000000"/>
    <m/>
    <m/>
    <m/>
    <m/>
    <m/>
    <m/>
    <m/>
    <m/>
    <m/>
    <m/>
    <m/>
    <m/>
    <m/>
    <m/>
    <m/>
    <m/>
    <m/>
    <m/>
    <m/>
    <m/>
    <m/>
    <m/>
    <m/>
    <m/>
    <m/>
    <m/>
    <m/>
    <m/>
    <m/>
    <m/>
    <m/>
    <m/>
    <m/>
    <m/>
    <m/>
    <m/>
    <m/>
    <m/>
    <m/>
    <m/>
    <m/>
    <m/>
    <m/>
    <m/>
    <m/>
  </r>
  <r>
    <x v="222"/>
    <n v="2011"/>
    <x v="37"/>
    <s v="Africa"/>
    <m/>
    <s v="Mining"/>
    <s v="yes"/>
    <s v="no"/>
    <s v="no"/>
    <s v="Gold"/>
    <s v="detailed"/>
    <s v="detailed Mining"/>
    <n v="122172.82388069999"/>
    <m/>
    <m/>
    <m/>
    <m/>
    <s v="toz"/>
    <n v="1569.2108333333299"/>
    <s v="US$/toz"/>
    <s v="Volume from USGS Mineral Yearbook 2012. Price from World Bank (Global Economic Monitor (GEM) Commodities database), and is defined as: Gold (UK), 99.5% fine, London afternoon fixing, average of daily rates."/>
    <n v="191714918.77251938"/>
    <m/>
    <m/>
    <m/>
    <m/>
    <m/>
    <m/>
    <m/>
    <m/>
    <m/>
    <m/>
    <m/>
    <m/>
    <m/>
    <m/>
    <m/>
    <m/>
    <m/>
    <m/>
    <m/>
    <m/>
    <m/>
    <m/>
    <m/>
    <n v="27"/>
    <m/>
    <m/>
    <m/>
    <m/>
    <m/>
    <m/>
    <m/>
    <m/>
    <m/>
    <m/>
    <m/>
    <m/>
    <m/>
    <m/>
    <m/>
    <m/>
    <m/>
    <m/>
    <m/>
    <m/>
    <m/>
  </r>
  <r>
    <x v="222"/>
    <n v="2011"/>
    <x v="37"/>
    <s v="Africa"/>
    <m/>
    <s v="Mining"/>
    <s v="yes"/>
    <s v="no"/>
    <s v="no"/>
    <s v="Lead (metal, secondary)"/>
    <s v="detailed"/>
    <s v="detailed Mining"/>
    <n v="1000"/>
    <m/>
    <m/>
    <m/>
    <m/>
    <s v="t"/>
    <n v="2400.8120833333301"/>
    <s v="US$/t"/>
    <s v="Volume from USGS Mineral Yearbook 2012. Price from World Bank (Global Economic Monitor (GEM) Commodities database), and is defined as: Lead (LME), refined, 99.97% purity, settlement price."/>
    <n v="2400812.0833333302"/>
    <m/>
    <m/>
    <m/>
    <m/>
    <m/>
    <m/>
    <m/>
    <m/>
    <m/>
    <m/>
    <m/>
    <m/>
    <m/>
    <m/>
    <m/>
    <m/>
    <m/>
    <m/>
    <m/>
    <m/>
    <m/>
    <m/>
    <m/>
    <m/>
    <m/>
    <m/>
    <m/>
    <m/>
    <m/>
    <m/>
    <m/>
    <m/>
    <m/>
    <m/>
    <m/>
    <m/>
    <m/>
    <m/>
    <m/>
    <m/>
    <m/>
    <m/>
    <m/>
    <m/>
    <m/>
  </r>
  <r>
    <x v="222"/>
    <n v="2011"/>
    <x v="37"/>
    <s v="Africa"/>
    <m/>
    <s v="Mining"/>
    <s v="yes"/>
    <s v="no"/>
    <s v="no"/>
    <s v="Limestone"/>
    <s v="detailed"/>
    <s v="detailed Mining"/>
    <n v="3760000"/>
    <m/>
    <m/>
    <m/>
    <m/>
    <s v="t"/>
    <n v="9.06"/>
    <s v="US$/t"/>
    <s v="Volume from USGS Mineral Yearbook 2012. Price from USGS Mineral Yearbook 2012, and is the price in the US for crushed limestone."/>
    <n v="34065600"/>
    <m/>
    <m/>
    <m/>
    <m/>
    <m/>
    <m/>
    <m/>
    <m/>
    <m/>
    <m/>
    <m/>
    <m/>
    <m/>
    <m/>
    <m/>
    <m/>
    <m/>
    <m/>
    <m/>
    <m/>
    <m/>
    <m/>
    <m/>
    <m/>
    <m/>
    <m/>
    <m/>
    <m/>
    <m/>
    <m/>
    <m/>
    <m/>
    <m/>
    <m/>
    <m/>
    <m/>
    <m/>
    <m/>
    <m/>
    <m/>
    <m/>
    <m/>
    <m/>
    <m/>
    <m/>
  </r>
  <r>
    <x v="222"/>
    <n v="2011"/>
    <x v="37"/>
    <s v="Africa"/>
    <m/>
    <s v="Mining"/>
    <s v="yes"/>
    <s v="no"/>
    <s v="no"/>
    <s v="Manganese ore"/>
    <s v="detailed"/>
    <s v="detailed Mining"/>
    <m/>
    <m/>
    <m/>
    <m/>
    <m/>
    <m/>
    <n v="7.88"/>
    <s v="US$/t"/>
    <s v="Price from USGS Mineral Commodity Summary 2013, and is the c.i.f. price at US ports for metallurgical ore with 46-48% manganese content. "/>
    <n v="315200"/>
    <m/>
    <m/>
    <m/>
    <m/>
    <m/>
    <m/>
    <m/>
    <m/>
    <m/>
    <m/>
    <m/>
    <m/>
    <m/>
    <m/>
    <m/>
    <m/>
    <m/>
    <m/>
    <m/>
    <m/>
    <m/>
    <m/>
    <m/>
    <m/>
    <m/>
    <m/>
    <m/>
    <m/>
    <m/>
    <m/>
    <m/>
    <m/>
    <m/>
    <m/>
    <m/>
    <m/>
    <m/>
    <m/>
    <m/>
    <m/>
    <m/>
    <m/>
    <m/>
    <m/>
    <m/>
  </r>
  <r>
    <x v="222"/>
    <n v="2011"/>
    <x v="37"/>
    <s v="Africa"/>
    <m/>
    <s v="Mining"/>
    <s v="yes"/>
    <s v="no"/>
    <s v="no"/>
    <s v="o/w Gross weight"/>
    <s v="detailed"/>
    <s v="detailed Mining"/>
    <n v="120000"/>
    <m/>
    <m/>
    <m/>
    <m/>
    <s v="t"/>
    <m/>
    <m/>
    <s v="Volume from USGS Mineral Yearbook 2012"/>
    <m/>
    <m/>
    <m/>
    <m/>
    <m/>
    <m/>
    <m/>
    <m/>
    <m/>
    <m/>
    <m/>
    <m/>
    <m/>
    <m/>
    <m/>
    <m/>
    <m/>
    <m/>
    <m/>
    <m/>
    <m/>
    <m/>
    <m/>
    <m/>
    <m/>
    <m/>
    <m/>
    <m/>
    <m/>
    <m/>
    <m/>
    <m/>
    <m/>
    <m/>
    <m/>
    <m/>
    <m/>
    <m/>
    <m/>
    <m/>
    <m/>
    <m/>
    <m/>
    <m/>
    <m/>
    <m/>
  </r>
  <r>
    <x v="222"/>
    <n v="2011"/>
    <x v="37"/>
    <s v="Africa"/>
    <m/>
    <s v="Mining"/>
    <s v="yes"/>
    <s v="no"/>
    <s v="no"/>
    <s v="o/w Mn content"/>
    <s v="detailed"/>
    <s v="detailed Mining"/>
    <n v="40000"/>
    <m/>
    <m/>
    <m/>
    <m/>
    <s v="t"/>
    <m/>
    <m/>
    <s v="Volume from USGS Mineral Yearbook 2012"/>
    <m/>
    <m/>
    <m/>
    <m/>
    <m/>
    <m/>
    <m/>
    <m/>
    <m/>
    <m/>
    <m/>
    <m/>
    <m/>
    <m/>
    <m/>
    <m/>
    <m/>
    <m/>
    <m/>
    <m/>
    <m/>
    <m/>
    <m/>
    <m/>
    <m/>
    <m/>
    <m/>
    <m/>
    <m/>
    <m/>
    <m/>
    <m/>
    <m/>
    <m/>
    <m/>
    <m/>
    <m/>
    <m/>
    <m/>
    <m/>
    <m/>
    <m/>
    <m/>
    <m/>
    <m/>
    <m/>
  </r>
  <r>
    <x v="222"/>
    <n v="2011"/>
    <x v="37"/>
    <s v="Africa"/>
    <m/>
    <s v="Mining"/>
    <s v="yes"/>
    <s v="no"/>
    <s v="no"/>
    <s v="Nickel (nickel content of concentrates)"/>
    <s v="detailed"/>
    <s v="detailed Mining"/>
    <n v="2724"/>
    <m/>
    <m/>
    <m/>
    <m/>
    <s v="t"/>
    <n v="22910.356666666699"/>
    <s v="US$/t"/>
    <s v="Volume from USGS Mineral Yearbook 2012. Price from World Bank (Global Economic Monitor (GEM) Commodities database), and is defined as: Nickel (LME), cathodes, minimum 99.8% purity, settlement price beginning 2005; previously cash price."/>
    <n v="62407811.560000092"/>
    <m/>
    <m/>
    <m/>
    <m/>
    <m/>
    <m/>
    <m/>
    <m/>
    <m/>
    <m/>
    <m/>
    <m/>
    <m/>
    <m/>
    <m/>
    <m/>
    <m/>
    <m/>
    <m/>
    <m/>
    <m/>
    <m/>
    <m/>
    <n v="27"/>
    <m/>
    <m/>
    <m/>
    <m/>
    <m/>
    <m/>
    <m/>
    <m/>
    <m/>
    <m/>
    <m/>
    <m/>
    <m/>
    <m/>
    <m/>
    <m/>
    <m/>
    <m/>
    <m/>
    <m/>
    <m/>
  </r>
  <r>
    <x v="222"/>
    <n v="2011"/>
    <x v="37"/>
    <s v="Africa"/>
    <m/>
    <s v="Mining"/>
    <s v="yes"/>
    <s v="no"/>
    <s v="no"/>
    <s v="Sand &amp; gravel (construction)"/>
    <s v="detailed"/>
    <s v="detailed Mining"/>
    <n v="360000"/>
    <m/>
    <m/>
    <m/>
    <m/>
    <s v="t"/>
    <n v="7.49"/>
    <s v="US$/t"/>
    <s v="Volume from USGS Mineral Yearbook 2012. Price from USGS Mineral Yearbook 2012, and is the price in the US for construction sand and gravel."/>
    <n v="2696400"/>
    <m/>
    <m/>
    <m/>
    <m/>
    <m/>
    <m/>
    <m/>
    <m/>
    <m/>
    <m/>
    <m/>
    <m/>
    <m/>
    <m/>
    <m/>
    <m/>
    <m/>
    <m/>
    <m/>
    <m/>
    <m/>
    <m/>
    <m/>
    <m/>
    <m/>
    <m/>
    <m/>
    <m/>
    <m/>
    <m/>
    <m/>
    <m/>
    <m/>
    <m/>
    <m/>
    <m/>
    <m/>
    <m/>
    <m/>
    <m/>
    <m/>
    <m/>
    <m/>
    <m/>
    <m/>
  </r>
  <r>
    <x v="223"/>
    <n v="2012"/>
    <x v="38"/>
    <s v="Africa"/>
    <s v="http://www.zambiaeiti.org"/>
    <s v="Oil, Mining"/>
    <m/>
    <m/>
    <m/>
    <s v="Total"/>
    <m/>
    <m/>
    <m/>
    <m/>
    <m/>
    <m/>
    <m/>
    <m/>
    <m/>
    <m/>
    <s v="Volume from EITI Report"/>
    <m/>
    <s v="Profits/Taxes, Royalties, Dividends, Licenses and concessions, Other significant benefits to government_x000a_"/>
    <s v="Does not include payments made in-kind"/>
    <s v="No"/>
    <n v="1537626771.04"/>
    <n v="1519219439.75"/>
    <n v="0.95983636276129736"/>
    <n v="1582790044.9400001"/>
    <s v="EITI Report"/>
    <m/>
    <s v="Zambian Kwacha"/>
    <n v="5.0659999999999998"/>
    <s v="Disaggregated by revenue stream, Disaggregated by companies"/>
    <m/>
    <m/>
    <m/>
    <m/>
    <n v="29"/>
    <s v="Kansanshi Mining Plc, Konkola Copper Mines Plc, First Quantum Mining And Operations Ltd-Bm M S, Mopani Copper Mines Plc, Lumwana Mining Company Limited, Chibuluma Mines Plc, Lafarge Cement Zambia Plc, Nfc Africa Mining Plc, Kagem Mining Limited ,Cnmc Luanshya Copper Mines Plc, Zambezi Portland Cement Limited (*), Lions Group Quarries Limited (*), Scirocco Enterprises Limited, Lubambe Copper Mine Limited, Chambishi Metals Plc, Sino-Metals Leach Zambia Ltd, Ndola Lime Company Limited, Maamba Collieries Limited, San He (Zambia) Limited, Sable Zinc Kabwe Limited, Albidon Zambia Limited, Kalumbila Minerals Limited, Grizzly Mining Limited, Dolomite Aggregates Limited(*), Universal Mining &amp; Chemical Industries Limited, Chambishi Copper Smelter Limited, Denison Mines Zambia Limited (*), Bhp Billiton World Exploration Inc, Zambian Nonferrous Metals Exploration &amp; Con Co Ltd"/>
    <n v="29"/>
    <s v="December 2012"/>
    <s v="11 March 2015"/>
    <s v="Moore Stephens"/>
    <s v="https://eiti.org/files/zeiti_2012_reconciliation_final_report_18_12_14.pdf"/>
    <m/>
    <s v="Company payments differ from website. Missing production values."/>
    <s v=" "/>
    <m/>
    <m/>
    <m/>
    <m/>
    <m/>
    <m/>
    <m/>
    <m/>
    <m/>
    <m/>
    <m/>
    <m/>
    <m/>
    <m/>
    <m/>
    <m/>
    <m/>
    <m/>
    <m/>
  </r>
  <r>
    <x v="223"/>
    <n v="2012"/>
    <x v="38"/>
    <s v="Africa"/>
    <m/>
    <s v="Mining"/>
    <m/>
    <m/>
    <m/>
    <s v="Total Mining"/>
    <m/>
    <m/>
    <m/>
    <m/>
    <m/>
    <m/>
    <m/>
    <m/>
    <m/>
    <m/>
    <m/>
    <m/>
    <m/>
    <m/>
    <m/>
    <m/>
    <m/>
    <m/>
    <m/>
    <m/>
    <m/>
    <m/>
    <m/>
    <m/>
    <m/>
    <m/>
    <m/>
    <m/>
    <m/>
    <m/>
    <m/>
    <m/>
    <m/>
    <m/>
    <m/>
    <m/>
    <m/>
    <m/>
    <m/>
    <m/>
    <m/>
    <m/>
    <m/>
    <m/>
    <m/>
    <m/>
    <m/>
    <m/>
    <m/>
    <m/>
    <m/>
    <m/>
    <m/>
    <m/>
    <m/>
    <m/>
    <m/>
  </r>
  <r>
    <x v="223"/>
    <n v="2012"/>
    <x v="38"/>
    <s v="Africa"/>
    <m/>
    <s v="Mining"/>
    <m/>
    <m/>
    <m/>
    <s v="Copper"/>
    <m/>
    <m/>
    <m/>
    <n v="681906"/>
    <m/>
    <m/>
    <n v="681906"/>
    <s v="t"/>
    <m/>
    <m/>
    <m/>
    <m/>
    <m/>
    <m/>
    <m/>
    <m/>
    <m/>
    <m/>
    <m/>
    <m/>
    <m/>
    <m/>
    <m/>
    <m/>
    <m/>
    <m/>
    <m/>
    <m/>
    <m/>
    <m/>
    <m/>
    <m/>
    <m/>
    <m/>
    <m/>
    <m/>
    <m/>
    <m/>
    <m/>
    <m/>
    <m/>
    <m/>
    <m/>
    <m/>
    <m/>
    <m/>
    <m/>
    <m/>
    <m/>
    <m/>
    <m/>
    <m/>
    <m/>
    <m/>
    <m/>
    <m/>
    <m/>
  </r>
  <r>
    <x v="223"/>
    <n v="2012"/>
    <x v="38"/>
    <s v="Africa"/>
    <m/>
    <s v="Mining"/>
    <m/>
    <m/>
    <m/>
    <s v="Cobalt"/>
    <m/>
    <m/>
    <m/>
    <n v="1508"/>
    <m/>
    <m/>
    <n v="1508"/>
    <s v="t"/>
    <m/>
    <m/>
    <m/>
    <m/>
    <m/>
    <m/>
    <m/>
    <m/>
    <m/>
    <m/>
    <m/>
    <m/>
    <m/>
    <m/>
    <m/>
    <m/>
    <m/>
    <m/>
    <m/>
    <m/>
    <m/>
    <m/>
    <m/>
    <m/>
    <m/>
    <m/>
    <m/>
    <m/>
    <m/>
    <m/>
    <m/>
    <m/>
    <m/>
    <m/>
    <m/>
    <m/>
    <m/>
    <m/>
    <m/>
    <m/>
    <m/>
    <m/>
    <m/>
    <m/>
    <m/>
    <m/>
    <m/>
    <m/>
    <m/>
  </r>
  <r>
    <x v="223"/>
    <n v="2012"/>
    <x v="38"/>
    <s v="Africa"/>
    <m/>
    <s v="Mining"/>
    <m/>
    <m/>
    <m/>
    <s v="Gold"/>
    <m/>
    <m/>
    <m/>
    <n v="136056"/>
    <m/>
    <m/>
    <n v="136056"/>
    <s v="Troy oz"/>
    <m/>
    <m/>
    <m/>
    <m/>
    <m/>
    <m/>
    <m/>
    <m/>
    <m/>
    <m/>
    <m/>
    <m/>
    <m/>
    <m/>
    <m/>
    <m/>
    <m/>
    <m/>
    <m/>
    <m/>
    <m/>
    <m/>
    <m/>
    <m/>
    <m/>
    <m/>
    <m/>
    <m/>
    <m/>
    <m/>
    <m/>
    <m/>
    <m/>
    <m/>
    <m/>
    <m/>
    <m/>
    <m/>
    <m/>
    <m/>
    <m/>
    <m/>
    <m/>
    <m/>
    <m/>
    <m/>
    <m/>
    <m/>
    <m/>
  </r>
  <r>
    <x v="223"/>
    <n v="2012"/>
    <x v="38"/>
    <s v="Africa"/>
    <m/>
    <s v="Mining"/>
    <m/>
    <m/>
    <m/>
    <s v="Pyrite"/>
    <m/>
    <m/>
    <m/>
    <n v="16304"/>
    <m/>
    <m/>
    <n v="16304"/>
    <s v="t"/>
    <m/>
    <m/>
    <m/>
    <m/>
    <m/>
    <m/>
    <m/>
    <m/>
    <m/>
    <m/>
    <m/>
    <m/>
    <m/>
    <m/>
    <m/>
    <m/>
    <m/>
    <m/>
    <m/>
    <m/>
    <m/>
    <m/>
    <m/>
    <m/>
    <m/>
    <m/>
    <m/>
    <m/>
    <m/>
    <m/>
    <m/>
    <m/>
    <m/>
    <m/>
    <m/>
    <m/>
    <m/>
    <m/>
    <m/>
    <m/>
    <m/>
    <m/>
    <m/>
    <m/>
    <m/>
    <m/>
    <m/>
    <m/>
    <m/>
  </r>
  <r>
    <x v="223"/>
    <n v="2012"/>
    <x v="38"/>
    <s v="Africa"/>
    <m/>
    <s v="Mining"/>
    <m/>
    <m/>
    <m/>
    <s v="Limestone"/>
    <m/>
    <m/>
    <m/>
    <n v="980373"/>
    <m/>
    <m/>
    <n v="980373"/>
    <s v="t"/>
    <m/>
    <m/>
    <m/>
    <m/>
    <m/>
    <m/>
    <m/>
    <m/>
    <m/>
    <m/>
    <m/>
    <m/>
    <m/>
    <m/>
    <m/>
    <m/>
    <m/>
    <m/>
    <m/>
    <m/>
    <m/>
    <m/>
    <m/>
    <m/>
    <m/>
    <m/>
    <m/>
    <m/>
    <m/>
    <m/>
    <m/>
    <m/>
    <m/>
    <m/>
    <m/>
    <m/>
    <m/>
    <m/>
    <m/>
    <m/>
    <m/>
    <m/>
    <m/>
    <m/>
    <m/>
    <m/>
    <m/>
    <m/>
    <m/>
  </r>
  <r>
    <x v="223"/>
    <n v="2012"/>
    <x v="38"/>
    <s v="Africa"/>
    <m/>
    <s v="Mining"/>
    <m/>
    <m/>
    <m/>
    <s v="Phylite"/>
    <m/>
    <m/>
    <m/>
    <n v="45496"/>
    <m/>
    <m/>
    <n v="45496"/>
    <s v="t"/>
    <m/>
    <m/>
    <m/>
    <m/>
    <m/>
    <m/>
    <m/>
    <m/>
    <m/>
    <m/>
    <m/>
    <m/>
    <m/>
    <m/>
    <m/>
    <m/>
    <m/>
    <m/>
    <m/>
    <m/>
    <m/>
    <m/>
    <m/>
    <m/>
    <m/>
    <m/>
    <m/>
    <m/>
    <m/>
    <m/>
    <m/>
    <m/>
    <m/>
    <m/>
    <m/>
    <m/>
    <m/>
    <m/>
    <m/>
    <m/>
    <m/>
    <m/>
    <m/>
    <m/>
    <m/>
    <m/>
    <m/>
    <m/>
    <m/>
  </r>
  <r>
    <x v="223"/>
    <n v="2012"/>
    <x v="38"/>
    <s v="Africa"/>
    <m/>
    <s v="Mining"/>
    <m/>
    <m/>
    <m/>
    <s v="Shale/Phylite"/>
    <m/>
    <m/>
    <m/>
    <n v="87354"/>
    <m/>
    <m/>
    <n v="87354"/>
    <s v="t"/>
    <m/>
    <m/>
    <m/>
    <m/>
    <m/>
    <m/>
    <m/>
    <m/>
    <m/>
    <m/>
    <m/>
    <m/>
    <m/>
    <m/>
    <m/>
    <m/>
    <m/>
    <m/>
    <m/>
    <m/>
    <m/>
    <m/>
    <m/>
    <m/>
    <m/>
    <m/>
    <m/>
    <m/>
    <m/>
    <m/>
    <m/>
    <m/>
    <m/>
    <m/>
    <m/>
    <m/>
    <m/>
    <m/>
    <m/>
    <m/>
    <m/>
    <m/>
    <m/>
    <m/>
    <m/>
    <m/>
    <m/>
    <m/>
    <m/>
  </r>
  <r>
    <x v="223"/>
    <n v="2012"/>
    <x v="38"/>
    <s v="Africa"/>
    <m/>
    <s v="Mining"/>
    <m/>
    <m/>
    <m/>
    <s v="Emerald"/>
    <m/>
    <m/>
    <m/>
    <n v="1474"/>
    <m/>
    <m/>
    <n v="1474"/>
    <s v="kg"/>
    <m/>
    <m/>
    <m/>
    <m/>
    <m/>
    <m/>
    <m/>
    <m/>
    <m/>
    <m/>
    <m/>
    <m/>
    <m/>
    <m/>
    <m/>
    <m/>
    <m/>
    <m/>
    <m/>
    <m/>
    <m/>
    <m/>
    <m/>
    <m/>
    <m/>
    <m/>
    <m/>
    <m/>
    <m/>
    <m/>
    <m/>
    <m/>
    <m/>
    <m/>
    <m/>
    <m/>
    <m/>
    <m/>
    <m/>
    <m/>
    <m/>
    <m/>
    <m/>
    <m/>
    <m/>
    <m/>
    <m/>
    <m/>
    <m/>
  </r>
  <r>
    <x v="223"/>
    <n v="2012"/>
    <x v="38"/>
    <s v="Africa"/>
    <m/>
    <s v="Mining"/>
    <m/>
    <m/>
    <m/>
    <s v="Emerald/Premium"/>
    <m/>
    <m/>
    <m/>
    <n v="45"/>
    <m/>
    <m/>
    <n v="45"/>
    <s v="kg"/>
    <m/>
    <m/>
    <m/>
    <m/>
    <m/>
    <m/>
    <m/>
    <m/>
    <m/>
    <m/>
    <m/>
    <m/>
    <m/>
    <m/>
    <m/>
    <m/>
    <m/>
    <m/>
    <m/>
    <m/>
    <m/>
    <m/>
    <m/>
    <m/>
    <m/>
    <m/>
    <m/>
    <m/>
    <m/>
    <m/>
    <m/>
    <m/>
    <m/>
    <m/>
    <m/>
    <m/>
    <m/>
    <m/>
    <m/>
    <m/>
    <m/>
    <m/>
    <m/>
    <m/>
    <m/>
    <m/>
    <m/>
    <m/>
    <m/>
  </r>
  <r>
    <x v="223"/>
    <n v="2012"/>
    <x v="38"/>
    <s v="Africa"/>
    <m/>
    <s v="Mining"/>
    <m/>
    <m/>
    <m/>
    <s v="Emerald/Rough stones"/>
    <m/>
    <m/>
    <m/>
    <n v="39"/>
    <m/>
    <m/>
    <n v="39"/>
    <s v="kg"/>
    <m/>
    <m/>
    <m/>
    <m/>
    <m/>
    <m/>
    <m/>
    <m/>
    <m/>
    <m/>
    <m/>
    <m/>
    <m/>
    <m/>
    <m/>
    <m/>
    <m/>
    <m/>
    <m/>
    <m/>
    <m/>
    <m/>
    <m/>
    <m/>
    <m/>
    <m/>
    <m/>
    <m/>
    <m/>
    <m/>
    <m/>
    <m/>
    <m/>
    <m/>
    <m/>
    <m/>
    <m/>
    <m/>
    <m/>
    <m/>
    <m/>
    <m/>
    <m/>
    <m/>
    <m/>
    <m/>
    <m/>
    <m/>
    <m/>
  </r>
  <r>
    <x v="223"/>
    <n v="2012"/>
    <x v="38"/>
    <s v="Africa"/>
    <m/>
    <s v="Mining"/>
    <m/>
    <m/>
    <m/>
    <s v="Beryl"/>
    <m/>
    <m/>
    <m/>
    <n v="48981"/>
    <m/>
    <m/>
    <n v="48981"/>
    <s v="kg"/>
    <m/>
    <m/>
    <m/>
    <m/>
    <m/>
    <m/>
    <m/>
    <m/>
    <m/>
    <m/>
    <m/>
    <m/>
    <m/>
    <m/>
    <m/>
    <m/>
    <m/>
    <m/>
    <m/>
    <m/>
    <m/>
    <m/>
    <m/>
    <m/>
    <m/>
    <m/>
    <m/>
    <m/>
    <m/>
    <m/>
    <m/>
    <m/>
    <m/>
    <m/>
    <m/>
    <m/>
    <m/>
    <m/>
    <m/>
    <m/>
    <m/>
    <m/>
    <m/>
    <m/>
    <m/>
    <m/>
    <m/>
    <m/>
    <m/>
  </r>
  <r>
    <x v="223"/>
    <n v="2012"/>
    <x v="38"/>
    <s v="Africa"/>
    <m/>
    <s v="Mining"/>
    <m/>
    <m/>
    <m/>
    <s v="Beryl-l"/>
    <m/>
    <m/>
    <m/>
    <n v="2325"/>
    <m/>
    <m/>
    <n v="2325"/>
    <s v="kg"/>
    <m/>
    <m/>
    <m/>
    <m/>
    <m/>
    <m/>
    <m/>
    <m/>
    <m/>
    <m/>
    <m/>
    <m/>
    <m/>
    <m/>
    <m/>
    <m/>
    <m/>
    <m/>
    <m/>
    <m/>
    <m/>
    <m/>
    <m/>
    <m/>
    <m/>
    <m/>
    <m/>
    <m/>
    <m/>
    <m/>
    <m/>
    <m/>
    <m/>
    <m/>
    <m/>
    <m/>
    <m/>
    <m/>
    <m/>
    <m/>
    <m/>
    <m/>
    <m/>
    <m/>
    <m/>
    <m/>
    <m/>
    <m/>
    <m/>
  </r>
  <r>
    <x v="223"/>
    <n v="2012"/>
    <x v="38"/>
    <s v="Africa"/>
    <m/>
    <s v="Mining"/>
    <m/>
    <m/>
    <m/>
    <s v="Beryl-ll"/>
    <m/>
    <m/>
    <m/>
    <n v="1513"/>
    <m/>
    <m/>
    <n v="1513"/>
    <s v="kg"/>
    <m/>
    <m/>
    <m/>
    <m/>
    <m/>
    <m/>
    <m/>
    <m/>
    <m/>
    <m/>
    <m/>
    <m/>
    <m/>
    <m/>
    <m/>
    <m/>
    <m/>
    <m/>
    <m/>
    <m/>
    <m/>
    <m/>
    <m/>
    <m/>
    <m/>
    <m/>
    <m/>
    <m/>
    <m/>
    <m/>
    <m/>
    <m/>
    <m/>
    <m/>
    <m/>
    <m/>
    <m/>
    <m/>
    <m/>
    <m/>
    <m/>
    <m/>
    <m/>
    <m/>
    <m/>
    <m/>
    <m/>
    <m/>
    <m/>
  </r>
  <r>
    <x v="223"/>
    <n v="2012"/>
    <x v="38"/>
    <s v="Africa"/>
    <m/>
    <s v="Mining"/>
    <m/>
    <m/>
    <m/>
    <s v="Specimen"/>
    <m/>
    <m/>
    <m/>
    <n v="26"/>
    <m/>
    <m/>
    <n v="26"/>
    <s v="kg"/>
    <m/>
    <m/>
    <m/>
    <m/>
    <m/>
    <m/>
    <m/>
    <m/>
    <m/>
    <m/>
    <m/>
    <m/>
    <m/>
    <m/>
    <m/>
    <m/>
    <m/>
    <m/>
    <m/>
    <m/>
    <m/>
    <m/>
    <m/>
    <m/>
    <m/>
    <m/>
    <m/>
    <m/>
    <m/>
    <m/>
    <m/>
    <m/>
    <m/>
    <m/>
    <m/>
    <m/>
    <m/>
    <m/>
    <m/>
    <m/>
    <m/>
    <m/>
    <m/>
    <m/>
    <m/>
    <m/>
    <m/>
    <m/>
    <m/>
  </r>
  <r>
    <x v="223"/>
    <n v="2012"/>
    <x v="38"/>
    <s v="Africa"/>
    <m/>
    <s v="Mining"/>
    <m/>
    <m/>
    <m/>
    <s v="Fines"/>
    <m/>
    <m/>
    <m/>
    <n v="825"/>
    <m/>
    <m/>
    <n v="825"/>
    <s v="kg"/>
    <m/>
    <m/>
    <m/>
    <m/>
    <m/>
    <m/>
    <m/>
    <m/>
    <m/>
    <m/>
    <m/>
    <m/>
    <m/>
    <m/>
    <m/>
    <m/>
    <m/>
    <m/>
    <m/>
    <m/>
    <m/>
    <m/>
    <m/>
    <m/>
    <m/>
    <m/>
    <m/>
    <m/>
    <m/>
    <m/>
    <m/>
    <m/>
    <m/>
    <m/>
    <m/>
    <m/>
    <m/>
    <m/>
    <m/>
    <m/>
    <m/>
    <m/>
    <m/>
    <m/>
    <m/>
    <m/>
    <m/>
    <m/>
    <m/>
  </r>
  <r>
    <x v="223"/>
    <n v="2012"/>
    <x v="38"/>
    <s v="Africa"/>
    <m/>
    <s v="Mining"/>
    <m/>
    <m/>
    <m/>
    <s v="Hydrated Lime"/>
    <m/>
    <m/>
    <m/>
    <n v="26126"/>
    <m/>
    <m/>
    <n v="26126"/>
    <s v="t"/>
    <m/>
    <m/>
    <m/>
    <m/>
    <m/>
    <m/>
    <m/>
    <m/>
    <m/>
    <m/>
    <m/>
    <m/>
    <m/>
    <m/>
    <m/>
    <m/>
    <m/>
    <m/>
    <m/>
    <m/>
    <m/>
    <m/>
    <m/>
    <m/>
    <m/>
    <m/>
    <m/>
    <m/>
    <m/>
    <m/>
    <m/>
    <m/>
    <m/>
    <m/>
    <m/>
    <m/>
    <m/>
    <m/>
    <m/>
    <m/>
    <m/>
    <m/>
    <m/>
    <m/>
    <m/>
    <m/>
    <m/>
    <m/>
    <m/>
  </r>
  <r>
    <x v="223"/>
    <n v="2012"/>
    <x v="38"/>
    <s v="Africa"/>
    <m/>
    <s v="Mining"/>
    <m/>
    <m/>
    <m/>
    <s v="Quicklime"/>
    <m/>
    <m/>
    <m/>
    <n v="149895"/>
    <m/>
    <m/>
    <n v="149895"/>
    <s v="t"/>
    <m/>
    <m/>
    <m/>
    <m/>
    <m/>
    <m/>
    <m/>
    <m/>
    <m/>
    <m/>
    <m/>
    <m/>
    <m/>
    <m/>
    <m/>
    <m/>
    <m/>
    <m/>
    <m/>
    <m/>
    <m/>
    <m/>
    <m/>
    <m/>
    <m/>
    <m/>
    <m/>
    <m/>
    <m/>
    <m/>
    <m/>
    <m/>
    <m/>
    <m/>
    <m/>
    <m/>
    <m/>
    <m/>
    <m/>
    <m/>
    <m/>
    <m/>
    <m/>
    <m/>
    <m/>
    <m/>
    <m/>
    <m/>
    <m/>
  </r>
  <r>
    <x v="223"/>
    <n v="2012"/>
    <x v="38"/>
    <s v="Africa"/>
    <m/>
    <s v="Mining"/>
    <m/>
    <m/>
    <m/>
    <s v="Coal"/>
    <m/>
    <m/>
    <m/>
    <n v="90493"/>
    <m/>
    <m/>
    <n v="90493"/>
    <s v="t"/>
    <m/>
    <m/>
    <m/>
    <m/>
    <m/>
    <m/>
    <m/>
    <m/>
    <m/>
    <m/>
    <m/>
    <m/>
    <m/>
    <m/>
    <m/>
    <m/>
    <m/>
    <m/>
    <m/>
    <m/>
    <m/>
    <m/>
    <m/>
    <m/>
    <m/>
    <m/>
    <m/>
    <m/>
    <m/>
    <m/>
    <m/>
    <m/>
    <m/>
    <m/>
    <m/>
    <m/>
    <m/>
    <m/>
    <m/>
    <m/>
    <m/>
    <m/>
    <m/>
    <m/>
    <m/>
    <m/>
    <m/>
    <m/>
    <m/>
  </r>
  <r>
    <x v="223"/>
    <n v="2012"/>
    <x v="38"/>
    <s v="Africa"/>
    <m/>
    <s v="Mining"/>
    <m/>
    <m/>
    <m/>
    <s v="Manganese"/>
    <m/>
    <m/>
    <m/>
    <n v="50567"/>
    <m/>
    <m/>
    <n v="50567"/>
    <s v="t"/>
    <m/>
    <m/>
    <m/>
    <m/>
    <m/>
    <m/>
    <m/>
    <m/>
    <m/>
    <m/>
    <m/>
    <m/>
    <m/>
    <m/>
    <m/>
    <m/>
    <m/>
    <m/>
    <m/>
    <m/>
    <m/>
    <m/>
    <m/>
    <m/>
    <m/>
    <m/>
    <m/>
    <m/>
    <m/>
    <m/>
    <m/>
    <m/>
    <m/>
    <m/>
    <m/>
    <m/>
    <m/>
    <m/>
    <m/>
    <m/>
    <m/>
    <m/>
    <m/>
    <m/>
    <m/>
    <m/>
    <m/>
    <m/>
    <m/>
  </r>
  <r>
    <x v="224"/>
    <n v="2013"/>
    <x v="38"/>
    <s v="Africa"/>
    <s v="http://www.zambiaeiti.org"/>
    <s v="Oil, Mining"/>
    <m/>
    <m/>
    <m/>
    <s v="Total"/>
    <m/>
    <m/>
    <m/>
    <m/>
    <m/>
    <m/>
    <m/>
    <m/>
    <m/>
    <m/>
    <s v="Volume from EITI Report"/>
    <m/>
    <s v="Profits/Taxes, Royalties, Dividends, Licenses and concessions, Other significant benefits to government"/>
    <s v="Does not include payments made in-kind"/>
    <s v="No"/>
    <n v="1498550077.77"/>
    <n v="1428239205.4400001"/>
    <n v="1"/>
    <n v="1498550077.77"/>
    <m/>
    <m/>
    <s v="Zambian Kwacha"/>
    <n v="5.3489000000000004"/>
    <s v="Disaggregated by revenue stream, Disaggregated by company"/>
    <m/>
    <m/>
    <m/>
    <m/>
    <n v="30"/>
    <s v="Kansanshi Mining PLC., Konkola Copper Mines PLC., First Quantum Mining And Operations LTD., Mopani Copper Mines PLC., Lumwana Mining Company LTD., Chibuluma Mines PLC., Lafarge Cement Zambia PLC., NFC Africa Mining PLC., Kagem Mining LTD., CNMC Luanshya Copper Mines PLC., Zambezi Portland Cement LTD., Lions Group Quarries LTD., Scirocco Enterprises LTD., Lubambe Copper Mine LTD., Chambishi Metals PLC., Sino-Metals Leach Zambia LTD., Ndola Lime Company LTD., Maamba Collieries LTD., San He (Zambia) LTD., Sable Zinc Kabwe LTD., Albidon Zambia LTD., Kalumbila Minerals LTD., Grizzly Mining LTD., Dolomite Aggregates LTD., Universal Mining &amp; Chemical Industries LTD., Chambishi Copper Smelter LTD., Denison Mines Zambia LTD., BHP Billiton World Exploration Inc., Zambian Nonferrous Metals Exploration &amp; Con Co LTD., ZCCM-IH"/>
    <n v="29"/>
    <s v="December 2014"/>
    <m/>
    <s v="Moore Stephens"/>
    <s v="https://eiti.org/files/zeiti_2013_reconciliation_final_report_18_12_14%20%281%29%20%282%29.pdf"/>
    <m/>
    <s v="Exchange rate differs from EITI website. Company payments differ from website"/>
    <m/>
    <m/>
    <m/>
    <m/>
    <m/>
    <m/>
    <m/>
    <m/>
    <m/>
    <m/>
    <m/>
    <m/>
    <m/>
    <m/>
    <m/>
    <m/>
    <m/>
    <m/>
    <m/>
    <m/>
  </r>
  <r>
    <x v="224"/>
    <n v="2013"/>
    <x v="38"/>
    <s v="Africa"/>
    <m/>
    <s v="Mining"/>
    <m/>
    <m/>
    <m/>
    <s v="Total Mining"/>
    <m/>
    <m/>
    <m/>
    <m/>
    <m/>
    <m/>
    <m/>
    <m/>
    <m/>
    <m/>
    <m/>
    <m/>
    <m/>
    <m/>
    <m/>
    <m/>
    <m/>
    <m/>
    <m/>
    <m/>
    <m/>
    <m/>
    <m/>
    <m/>
    <m/>
    <m/>
    <m/>
    <m/>
    <m/>
    <m/>
    <m/>
    <m/>
    <m/>
    <m/>
    <m/>
    <m/>
    <m/>
    <m/>
    <m/>
    <m/>
    <m/>
    <m/>
    <m/>
    <m/>
    <m/>
    <m/>
    <m/>
    <m/>
    <m/>
    <m/>
    <m/>
    <m/>
    <m/>
    <m/>
    <m/>
    <m/>
    <m/>
  </r>
  <r>
    <x v="224"/>
    <n v="2013"/>
    <x v="38"/>
    <s v="Africa"/>
    <m/>
    <s v="Mining"/>
    <m/>
    <m/>
    <m/>
    <s v="Copper"/>
    <m/>
    <m/>
    <m/>
    <m/>
    <m/>
    <m/>
    <n v="739291"/>
    <s v="t"/>
    <m/>
    <m/>
    <m/>
    <m/>
    <m/>
    <m/>
    <m/>
    <m/>
    <m/>
    <m/>
    <m/>
    <m/>
    <m/>
    <m/>
    <m/>
    <m/>
    <m/>
    <m/>
    <m/>
    <m/>
    <m/>
    <m/>
    <m/>
    <m/>
    <m/>
    <m/>
    <m/>
    <m/>
    <m/>
    <m/>
    <m/>
    <m/>
    <m/>
    <m/>
    <m/>
    <m/>
    <m/>
    <m/>
    <m/>
    <m/>
    <m/>
    <m/>
    <m/>
    <m/>
    <m/>
    <m/>
    <m/>
    <m/>
    <m/>
  </r>
  <r>
    <x v="224"/>
    <n v="2013"/>
    <x v="38"/>
    <s v="Africa"/>
    <m/>
    <s v="Mining"/>
    <m/>
    <m/>
    <m/>
    <s v="Cobalt"/>
    <m/>
    <m/>
    <m/>
    <m/>
    <m/>
    <m/>
    <n v="1957"/>
    <s v="t"/>
    <m/>
    <m/>
    <m/>
    <m/>
    <m/>
    <m/>
    <m/>
    <m/>
    <m/>
    <m/>
    <m/>
    <m/>
    <m/>
    <m/>
    <m/>
    <m/>
    <m/>
    <m/>
    <m/>
    <m/>
    <m/>
    <m/>
    <m/>
    <m/>
    <m/>
    <m/>
    <m/>
    <m/>
    <m/>
    <m/>
    <m/>
    <m/>
    <m/>
    <m/>
    <m/>
    <m/>
    <m/>
    <m/>
    <m/>
    <m/>
    <m/>
    <m/>
    <m/>
    <m/>
    <m/>
    <m/>
    <m/>
    <m/>
    <m/>
  </r>
  <r>
    <x v="224"/>
    <n v="2013"/>
    <x v="38"/>
    <s v="Africa"/>
    <m/>
    <s v="Mining"/>
    <m/>
    <m/>
    <m/>
    <s v="Gold"/>
    <m/>
    <m/>
    <m/>
    <m/>
    <m/>
    <m/>
    <n v="167395"/>
    <s v="oz"/>
    <m/>
    <m/>
    <m/>
    <m/>
    <m/>
    <m/>
    <m/>
    <m/>
    <m/>
    <m/>
    <m/>
    <m/>
    <m/>
    <m/>
    <m/>
    <m/>
    <m/>
    <m/>
    <m/>
    <m/>
    <m/>
    <m/>
    <m/>
    <m/>
    <m/>
    <m/>
    <m/>
    <m/>
    <m/>
    <m/>
    <m/>
    <m/>
    <m/>
    <m/>
    <m/>
    <m/>
    <m/>
    <m/>
    <m/>
    <m/>
    <m/>
    <m/>
    <m/>
    <m/>
    <m/>
    <m/>
    <m/>
    <m/>
    <m/>
  </r>
  <r>
    <x v="224"/>
    <n v="2013"/>
    <x v="38"/>
    <s v="Africa"/>
    <m/>
    <s v="Mining"/>
    <m/>
    <m/>
    <m/>
    <s v="Pyrite"/>
    <m/>
    <m/>
    <m/>
    <m/>
    <m/>
    <m/>
    <n v="7310"/>
    <s v="t"/>
    <m/>
    <m/>
    <m/>
    <m/>
    <m/>
    <m/>
    <m/>
    <m/>
    <m/>
    <m/>
    <m/>
    <m/>
    <m/>
    <m/>
    <m/>
    <m/>
    <m/>
    <m/>
    <m/>
    <m/>
    <m/>
    <m/>
    <m/>
    <m/>
    <m/>
    <m/>
    <m/>
    <m/>
    <m/>
    <m/>
    <m/>
    <m/>
    <m/>
    <m/>
    <m/>
    <m/>
    <m/>
    <m/>
    <m/>
    <m/>
    <m/>
    <m/>
    <m/>
    <m/>
    <m/>
    <m/>
    <m/>
    <m/>
    <m/>
  </r>
  <r>
    <x v="224"/>
    <n v="2013"/>
    <x v="38"/>
    <s v="Africa"/>
    <m/>
    <s v="Mining"/>
    <m/>
    <m/>
    <m/>
    <s v="Limestone"/>
    <m/>
    <m/>
    <m/>
    <m/>
    <m/>
    <m/>
    <n v="2080237"/>
    <s v="t"/>
    <m/>
    <m/>
    <m/>
    <m/>
    <m/>
    <m/>
    <m/>
    <m/>
    <m/>
    <m/>
    <m/>
    <m/>
    <m/>
    <m/>
    <m/>
    <m/>
    <m/>
    <m/>
    <m/>
    <m/>
    <m/>
    <m/>
    <m/>
    <m/>
    <m/>
    <m/>
    <m/>
    <m/>
    <m/>
    <m/>
    <m/>
    <m/>
    <m/>
    <m/>
    <m/>
    <m/>
    <m/>
    <m/>
    <m/>
    <m/>
    <m/>
    <m/>
    <m/>
    <m/>
    <m/>
    <m/>
    <m/>
    <m/>
    <m/>
  </r>
  <r>
    <x v="224"/>
    <n v="2013"/>
    <x v="38"/>
    <s v="Africa"/>
    <m/>
    <s v="Mining"/>
    <m/>
    <m/>
    <m/>
    <s v="Phylilite"/>
    <m/>
    <m/>
    <m/>
    <m/>
    <m/>
    <m/>
    <n v="163020"/>
    <s v="t"/>
    <m/>
    <m/>
    <m/>
    <m/>
    <m/>
    <m/>
    <m/>
    <m/>
    <m/>
    <m/>
    <m/>
    <m/>
    <m/>
    <m/>
    <m/>
    <m/>
    <m/>
    <m/>
    <m/>
    <m/>
    <m/>
    <m/>
    <m/>
    <m/>
    <m/>
    <m/>
    <m/>
    <m/>
    <m/>
    <m/>
    <m/>
    <m/>
    <m/>
    <m/>
    <m/>
    <m/>
    <m/>
    <m/>
    <m/>
    <m/>
    <m/>
    <m/>
    <m/>
    <m/>
    <m/>
    <m/>
    <m/>
    <m/>
    <m/>
  </r>
  <r>
    <x v="224"/>
    <n v="2013"/>
    <x v="38"/>
    <s v="Africa"/>
    <m/>
    <s v="Mining"/>
    <m/>
    <m/>
    <m/>
    <s v="Emerald"/>
    <m/>
    <m/>
    <m/>
    <m/>
    <m/>
    <m/>
    <n v="1587"/>
    <s v="kg"/>
    <m/>
    <m/>
    <m/>
    <m/>
    <m/>
    <m/>
    <m/>
    <m/>
    <m/>
    <m/>
    <m/>
    <m/>
    <m/>
    <m/>
    <m/>
    <m/>
    <m/>
    <m/>
    <m/>
    <m/>
    <m/>
    <m/>
    <m/>
    <m/>
    <m/>
    <m/>
    <m/>
    <m/>
    <m/>
    <m/>
    <m/>
    <m/>
    <m/>
    <m/>
    <m/>
    <m/>
    <m/>
    <m/>
    <m/>
    <m/>
    <m/>
    <m/>
    <m/>
    <m/>
    <m/>
    <m/>
    <m/>
    <m/>
    <m/>
  </r>
  <r>
    <x v="224"/>
    <n v="2013"/>
    <x v="38"/>
    <s v="Africa"/>
    <m/>
    <s v="Mining"/>
    <m/>
    <m/>
    <m/>
    <s v="Emerald/Premium"/>
    <m/>
    <m/>
    <m/>
    <m/>
    <m/>
    <m/>
    <n v="27"/>
    <s v="kg"/>
    <m/>
    <m/>
    <m/>
    <m/>
    <m/>
    <m/>
    <m/>
    <m/>
    <m/>
    <m/>
    <m/>
    <m/>
    <m/>
    <m/>
    <m/>
    <m/>
    <m/>
    <m/>
    <m/>
    <m/>
    <m/>
    <m/>
    <m/>
    <m/>
    <m/>
    <m/>
    <m/>
    <m/>
    <m/>
    <m/>
    <m/>
    <m/>
    <m/>
    <m/>
    <m/>
    <m/>
    <m/>
    <m/>
    <m/>
    <m/>
    <m/>
    <m/>
    <m/>
    <m/>
    <m/>
    <m/>
    <m/>
    <m/>
    <m/>
  </r>
  <r>
    <x v="224"/>
    <n v="2013"/>
    <x v="38"/>
    <s v="Africa"/>
    <m/>
    <s v="Mining"/>
    <m/>
    <m/>
    <m/>
    <s v="Emerald/Rough Stones"/>
    <m/>
    <m/>
    <m/>
    <m/>
    <m/>
    <m/>
    <n v="86"/>
    <s v="kg"/>
    <m/>
    <m/>
    <m/>
    <m/>
    <m/>
    <m/>
    <m/>
    <m/>
    <m/>
    <m/>
    <m/>
    <m/>
    <m/>
    <m/>
    <m/>
    <m/>
    <m/>
    <m/>
    <m/>
    <m/>
    <m/>
    <m/>
    <m/>
    <m/>
    <m/>
    <m/>
    <m/>
    <m/>
    <m/>
    <m/>
    <m/>
    <m/>
    <m/>
    <m/>
    <m/>
    <m/>
    <m/>
    <m/>
    <m/>
    <m/>
    <m/>
    <m/>
    <m/>
    <m/>
    <m/>
    <m/>
    <m/>
    <m/>
    <m/>
  </r>
  <r>
    <x v="224"/>
    <n v="2013"/>
    <x v="38"/>
    <s v="Africa"/>
    <m/>
    <s v="Mining"/>
    <m/>
    <m/>
    <m/>
    <s v="Beryl"/>
    <m/>
    <m/>
    <m/>
    <m/>
    <m/>
    <m/>
    <n v="41259"/>
    <s v="kg"/>
    <m/>
    <m/>
    <m/>
    <m/>
    <m/>
    <m/>
    <m/>
    <m/>
    <m/>
    <m/>
    <m/>
    <m/>
    <m/>
    <m/>
    <m/>
    <m/>
    <m/>
    <m/>
    <m/>
    <m/>
    <m/>
    <m/>
    <m/>
    <m/>
    <m/>
    <m/>
    <m/>
    <m/>
    <m/>
    <m/>
    <m/>
    <m/>
    <m/>
    <m/>
    <m/>
    <m/>
    <m/>
    <m/>
    <m/>
    <m/>
    <m/>
    <m/>
    <m/>
    <m/>
    <m/>
    <m/>
    <m/>
    <m/>
    <m/>
  </r>
  <r>
    <x v="224"/>
    <n v="2013"/>
    <x v="38"/>
    <s v="Africa"/>
    <m/>
    <s v="Mining"/>
    <m/>
    <m/>
    <m/>
    <s v="Beryl-I"/>
    <m/>
    <m/>
    <m/>
    <m/>
    <m/>
    <m/>
    <n v="2141"/>
    <s v="kg"/>
    <m/>
    <m/>
    <m/>
    <m/>
    <m/>
    <m/>
    <m/>
    <m/>
    <m/>
    <m/>
    <m/>
    <m/>
    <m/>
    <m/>
    <m/>
    <m/>
    <m/>
    <m/>
    <m/>
    <m/>
    <m/>
    <m/>
    <m/>
    <m/>
    <m/>
    <m/>
    <m/>
    <m/>
    <m/>
    <m/>
    <m/>
    <m/>
    <m/>
    <m/>
    <m/>
    <m/>
    <m/>
    <m/>
    <m/>
    <m/>
    <m/>
    <m/>
    <m/>
    <m/>
    <m/>
    <m/>
    <m/>
    <m/>
    <m/>
  </r>
  <r>
    <x v="224"/>
    <n v="2013"/>
    <x v="38"/>
    <s v="Africa"/>
    <m/>
    <s v="Mining"/>
    <m/>
    <m/>
    <m/>
    <s v="Beryl-II"/>
    <m/>
    <m/>
    <m/>
    <m/>
    <m/>
    <m/>
    <n v="1399"/>
    <s v="kg"/>
    <m/>
    <m/>
    <m/>
    <m/>
    <m/>
    <m/>
    <m/>
    <m/>
    <m/>
    <m/>
    <m/>
    <m/>
    <m/>
    <m/>
    <m/>
    <m/>
    <m/>
    <m/>
    <m/>
    <m/>
    <m/>
    <m/>
    <m/>
    <m/>
    <m/>
    <m/>
    <m/>
    <m/>
    <m/>
    <m/>
    <m/>
    <m/>
    <m/>
    <m/>
    <m/>
    <m/>
    <m/>
    <m/>
    <m/>
    <m/>
    <m/>
    <m/>
    <m/>
    <m/>
    <m/>
    <m/>
    <m/>
    <m/>
    <m/>
  </r>
  <r>
    <x v="224"/>
    <n v="2013"/>
    <x v="38"/>
    <s v="Africa"/>
    <m/>
    <s v="Mining"/>
    <m/>
    <m/>
    <m/>
    <s v="Manganese"/>
    <m/>
    <m/>
    <m/>
    <m/>
    <m/>
    <m/>
    <n v="45326"/>
    <s v="t"/>
    <m/>
    <m/>
    <m/>
    <m/>
    <m/>
    <m/>
    <m/>
    <m/>
    <m/>
    <m/>
    <m/>
    <m/>
    <m/>
    <m/>
    <m/>
    <m/>
    <m/>
    <m/>
    <m/>
    <m/>
    <m/>
    <m/>
    <m/>
    <m/>
    <m/>
    <m/>
    <m/>
    <m/>
    <m/>
    <m/>
    <m/>
    <m/>
    <m/>
    <m/>
    <m/>
    <m/>
    <m/>
    <m/>
    <m/>
    <m/>
    <m/>
    <m/>
    <m/>
    <m/>
    <m/>
    <m/>
    <m/>
    <m/>
    <m/>
  </r>
  <r>
    <x v="224"/>
    <n v="2013"/>
    <x v="38"/>
    <s v="Africa"/>
    <m/>
    <s v="Mining"/>
    <m/>
    <m/>
    <m/>
    <s v="Specimen"/>
    <m/>
    <m/>
    <m/>
    <m/>
    <m/>
    <m/>
    <n v="17"/>
    <s v="kg"/>
    <m/>
    <m/>
    <m/>
    <m/>
    <m/>
    <m/>
    <m/>
    <m/>
    <m/>
    <m/>
    <m/>
    <m/>
    <m/>
    <m/>
    <m/>
    <m/>
    <m/>
    <m/>
    <m/>
    <m/>
    <m/>
    <m/>
    <m/>
    <m/>
    <m/>
    <m/>
    <m/>
    <m/>
    <m/>
    <m/>
    <m/>
    <m/>
    <m/>
    <m/>
    <m/>
    <m/>
    <m/>
    <m/>
    <m/>
    <m/>
    <m/>
    <m/>
    <m/>
    <m/>
    <m/>
    <m/>
    <m/>
    <m/>
    <m/>
  </r>
  <r>
    <x v="224"/>
    <n v="2013"/>
    <x v="38"/>
    <s v="Africa"/>
    <m/>
    <s v="Mining"/>
    <m/>
    <m/>
    <m/>
    <s v="Fines"/>
    <m/>
    <m/>
    <m/>
    <m/>
    <m/>
    <m/>
    <n v="1259"/>
    <s v="kg"/>
    <m/>
    <m/>
    <m/>
    <m/>
    <m/>
    <m/>
    <m/>
    <m/>
    <m/>
    <m/>
    <m/>
    <m/>
    <m/>
    <m/>
    <m/>
    <m/>
    <m/>
    <m/>
    <m/>
    <m/>
    <m/>
    <m/>
    <m/>
    <m/>
    <m/>
    <m/>
    <m/>
    <m/>
    <m/>
    <m/>
    <m/>
    <m/>
    <m/>
    <m/>
    <m/>
    <m/>
    <m/>
    <m/>
    <m/>
    <m/>
    <m/>
    <m/>
    <m/>
    <m/>
    <m/>
    <m/>
    <m/>
    <m/>
    <m/>
  </r>
  <r>
    <x v="224"/>
    <n v="2013"/>
    <x v="38"/>
    <s v="Africa"/>
    <m/>
    <s v="Mining"/>
    <m/>
    <m/>
    <m/>
    <s v="Hydrated Lime"/>
    <m/>
    <m/>
    <m/>
    <m/>
    <m/>
    <m/>
    <n v="18793"/>
    <s v="t"/>
    <m/>
    <m/>
    <m/>
    <m/>
    <m/>
    <m/>
    <m/>
    <m/>
    <m/>
    <m/>
    <m/>
    <m/>
    <m/>
    <m/>
    <m/>
    <m/>
    <m/>
    <m/>
    <m/>
    <m/>
    <m/>
    <m/>
    <m/>
    <m/>
    <m/>
    <m/>
    <m/>
    <m/>
    <m/>
    <m/>
    <m/>
    <m/>
    <m/>
    <m/>
    <m/>
    <m/>
    <m/>
    <m/>
    <m/>
    <m/>
    <m/>
    <m/>
    <m/>
    <m/>
    <m/>
    <m/>
    <m/>
    <m/>
    <m/>
  </r>
  <r>
    <x v="224"/>
    <n v="2013"/>
    <x v="38"/>
    <s v="Africa"/>
    <m/>
    <s v="Mining"/>
    <m/>
    <m/>
    <m/>
    <s v="Quicklime"/>
    <m/>
    <m/>
    <m/>
    <m/>
    <m/>
    <m/>
    <n v="127281"/>
    <s v="t"/>
    <m/>
    <m/>
    <m/>
    <m/>
    <m/>
    <m/>
    <m/>
    <m/>
    <m/>
    <m/>
    <m/>
    <m/>
    <m/>
    <m/>
    <m/>
    <m/>
    <m/>
    <m/>
    <m/>
    <m/>
    <m/>
    <m/>
    <m/>
    <m/>
    <m/>
    <m/>
    <m/>
    <m/>
    <m/>
    <m/>
    <m/>
    <m/>
    <m/>
    <m/>
    <m/>
    <m/>
    <m/>
    <m/>
    <m/>
    <m/>
    <m/>
    <m/>
    <m/>
    <m/>
    <m/>
    <m/>
    <m/>
    <m/>
    <m/>
  </r>
  <r>
    <x v="224"/>
    <n v="2013"/>
    <x v="38"/>
    <s v="Africa"/>
    <m/>
    <s v="Mining"/>
    <m/>
    <m/>
    <m/>
    <s v="Coal"/>
    <m/>
    <m/>
    <m/>
    <m/>
    <m/>
    <m/>
    <n v="415233"/>
    <s v="t"/>
    <m/>
    <m/>
    <m/>
    <m/>
    <m/>
    <m/>
    <m/>
    <m/>
    <m/>
    <m/>
    <m/>
    <m/>
    <m/>
    <m/>
    <m/>
    <m/>
    <m/>
    <m/>
    <m/>
    <m/>
    <m/>
    <m/>
    <m/>
    <m/>
    <m/>
    <m/>
    <m/>
    <m/>
    <m/>
    <m/>
    <m/>
    <m/>
    <m/>
    <m/>
    <m/>
    <m/>
    <m/>
    <m/>
    <m/>
    <m/>
    <m/>
    <m/>
    <m/>
    <m/>
    <m/>
    <m/>
    <m/>
    <m/>
    <m/>
  </r>
  <r>
    <x v="224"/>
    <n v="2013"/>
    <x v="38"/>
    <s v="Africa"/>
    <m/>
    <s v="Mining"/>
    <m/>
    <m/>
    <m/>
    <s v="Aggregate"/>
    <m/>
    <m/>
    <m/>
    <m/>
    <m/>
    <m/>
    <n v="642262"/>
    <s v="t"/>
    <m/>
    <m/>
    <m/>
    <m/>
    <m/>
    <m/>
    <m/>
    <m/>
    <m/>
    <m/>
    <m/>
    <m/>
    <m/>
    <m/>
    <m/>
    <m/>
    <m/>
    <m/>
    <m/>
    <m/>
    <m/>
    <m/>
    <m/>
    <m/>
    <m/>
    <m/>
    <m/>
    <m/>
    <m/>
    <m/>
    <m/>
    <m/>
    <m/>
    <m/>
    <m/>
    <m/>
    <m/>
    <m/>
    <m/>
    <m/>
    <m/>
    <m/>
    <m/>
    <m/>
    <m/>
    <m/>
    <m/>
    <m/>
    <m/>
  </r>
  <r>
    <x v="15"/>
    <m/>
    <x v="3"/>
    <m/>
    <m/>
    <m/>
    <m/>
    <m/>
    <m/>
    <m/>
    <m/>
    <m/>
    <m/>
    <m/>
    <m/>
    <m/>
    <m/>
    <m/>
    <m/>
    <m/>
    <m/>
    <m/>
    <m/>
    <m/>
    <m/>
    <m/>
    <m/>
    <m/>
    <m/>
    <m/>
    <m/>
    <m/>
    <m/>
    <m/>
    <m/>
    <m/>
    <m/>
    <m/>
    <m/>
    <m/>
    <m/>
    <m/>
    <m/>
    <m/>
    <m/>
    <m/>
    <m/>
    <m/>
    <m/>
    <m/>
    <m/>
    <m/>
    <m/>
    <m/>
    <m/>
    <m/>
    <m/>
    <m/>
    <m/>
    <m/>
    <m/>
    <m/>
    <m/>
    <m/>
    <m/>
    <m/>
    <m/>
  </r>
  <r>
    <x v="15"/>
    <m/>
    <x v="3"/>
    <m/>
    <m/>
    <m/>
    <m/>
    <m/>
    <m/>
    <m/>
    <m/>
    <m/>
    <m/>
    <m/>
    <m/>
    <m/>
    <m/>
    <m/>
    <m/>
    <m/>
    <m/>
    <m/>
    <m/>
    <m/>
    <m/>
    <m/>
    <m/>
    <m/>
    <m/>
    <m/>
    <m/>
    <m/>
    <m/>
    <m/>
    <m/>
    <m/>
    <m/>
    <m/>
    <m/>
    <m/>
    <m/>
    <m/>
    <m/>
    <m/>
    <m/>
    <m/>
    <m/>
    <m/>
    <m/>
    <m/>
    <m/>
    <m/>
    <m/>
    <m/>
    <m/>
    <m/>
    <m/>
    <m/>
    <m/>
    <m/>
    <m/>
    <m/>
    <m/>
    <m/>
    <m/>
    <m/>
    <m/>
  </r>
  <r>
    <x v="15"/>
    <m/>
    <x v="3"/>
    <m/>
    <m/>
    <m/>
    <m/>
    <m/>
    <m/>
    <m/>
    <m/>
    <m/>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A268" firstHeaderRow="1" firstDataRow="1" firstDataCol="1"/>
  <pivotFields count="67">
    <pivotField axis="axisRow" showAll="0">
      <items count="226">
        <item x="0"/>
        <item x="1"/>
        <item x="2"/>
        <item x="3"/>
        <item x="4"/>
        <item x="5"/>
        <item x="6"/>
        <item x="7"/>
        <item x="8"/>
        <item x="9"/>
        <item x="10"/>
        <item x="11"/>
        <item x="12"/>
        <item x="13"/>
        <item x="14"/>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6"/>
        <item x="135"/>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15"/>
        <item t="default"/>
      </items>
    </pivotField>
    <pivotField showAll="0"/>
    <pivotField axis="axisRow" showAll="0">
      <items count="47">
        <item x="0"/>
        <item m="1" x="40"/>
        <item x="1"/>
        <item x="2"/>
        <item m="1" x="43"/>
        <item x="4"/>
        <item x="5"/>
        <item x="6"/>
        <item x="7"/>
        <item m="1" x="42"/>
        <item x="8"/>
        <item x="9"/>
        <item x="10"/>
        <item x="11"/>
        <item m="1" x="44"/>
        <item x="12"/>
        <item x="13"/>
        <item x="14"/>
        <item x="15"/>
        <item m="1" x="41"/>
        <item x="16"/>
        <item m="1" x="39"/>
        <item m="1" x="45"/>
        <item x="17"/>
        <item x="18"/>
        <item x="19"/>
        <item x="20"/>
        <item x="21"/>
        <item x="22"/>
        <item x="24"/>
        <item x="23"/>
        <item x="25"/>
        <item x="26"/>
        <item x="27"/>
        <item x="28"/>
        <item x="29"/>
        <item x="30"/>
        <item x="31"/>
        <item x="32"/>
        <item x="33"/>
        <item x="34"/>
        <item x="35"/>
        <item x="36"/>
        <item x="38"/>
        <item x="37"/>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0"/>
  </rowFields>
  <rowItems count="265">
    <i>
      <x/>
    </i>
    <i r="1">
      <x/>
    </i>
    <i r="1">
      <x v="1"/>
    </i>
    <i r="1">
      <x v="2"/>
    </i>
    <i r="1">
      <x v="3"/>
    </i>
    <i>
      <x v="2"/>
    </i>
    <i r="1">
      <x v="4"/>
    </i>
    <i r="1">
      <x v="5"/>
    </i>
    <i r="1">
      <x v="6"/>
    </i>
    <i r="1">
      <x v="7"/>
    </i>
    <i>
      <x v="3"/>
    </i>
    <i r="1">
      <x v="8"/>
    </i>
    <i r="1">
      <x v="9"/>
    </i>
    <i r="1">
      <x v="10"/>
    </i>
    <i r="1">
      <x v="11"/>
    </i>
    <i r="1">
      <x v="12"/>
    </i>
    <i r="1">
      <x v="13"/>
    </i>
    <i r="1">
      <x v="14"/>
    </i>
    <i r="1">
      <x v="15"/>
    </i>
    <i r="1">
      <x v="16"/>
    </i>
    <i r="1">
      <x v="17"/>
    </i>
    <i>
      <x v="5"/>
    </i>
    <i r="1">
      <x v="18"/>
    </i>
    <i r="1">
      <x v="19"/>
    </i>
    <i r="1">
      <x v="20"/>
    </i>
    <i r="1">
      <x v="21"/>
    </i>
    <i r="1">
      <x v="22"/>
    </i>
    <i>
      <x v="6"/>
    </i>
    <i r="1">
      <x v="23"/>
    </i>
    <i r="1">
      <x v="24"/>
    </i>
    <i r="1">
      <x v="25"/>
    </i>
    <i r="1">
      <x v="26"/>
    </i>
    <i r="1">
      <x v="27"/>
    </i>
    <i r="1">
      <x v="28"/>
    </i>
    <i r="1">
      <x v="29"/>
    </i>
    <i r="1">
      <x v="30"/>
    </i>
    <i r="1">
      <x v="31"/>
    </i>
    <i r="1">
      <x v="32"/>
    </i>
    <i r="1">
      <x v="33"/>
    </i>
    <i r="1">
      <x v="34"/>
    </i>
    <i>
      <x v="7"/>
    </i>
    <i r="1">
      <x v="35"/>
    </i>
    <i r="1">
      <x v="36"/>
    </i>
    <i r="1">
      <x v="37"/>
    </i>
    <i r="1">
      <x v="38"/>
    </i>
    <i r="1">
      <x v="39"/>
    </i>
    <i>
      <x v="8"/>
    </i>
    <i r="1">
      <x v="40"/>
    </i>
    <i r="1">
      <x v="41"/>
    </i>
    <i r="1">
      <x v="42"/>
    </i>
    <i r="1">
      <x v="43"/>
    </i>
    <i r="1">
      <x v="44"/>
    </i>
    <i r="1">
      <x v="45"/>
    </i>
    <i>
      <x v="10"/>
    </i>
    <i r="1">
      <x v="46"/>
    </i>
    <i r="1">
      <x v="47"/>
    </i>
    <i r="1">
      <x v="48"/>
    </i>
    <i r="1">
      <x v="49"/>
    </i>
    <i r="1">
      <x v="50"/>
    </i>
    <i r="1">
      <x v="51"/>
    </i>
    <i r="1">
      <x v="52"/>
    </i>
    <i>
      <x v="11"/>
    </i>
    <i r="1">
      <x v="53"/>
    </i>
    <i r="1">
      <x v="54"/>
    </i>
    <i r="1">
      <x v="55"/>
    </i>
    <i r="1">
      <x v="56"/>
    </i>
    <i r="1">
      <x v="57"/>
    </i>
    <i r="1">
      <x v="58"/>
    </i>
    <i>
      <x v="12"/>
    </i>
    <i r="1">
      <x v="59"/>
    </i>
    <i r="1">
      <x v="60"/>
    </i>
    <i>
      <x v="13"/>
    </i>
    <i r="1">
      <x v="61"/>
    </i>
    <i r="1">
      <x v="62"/>
    </i>
    <i r="1">
      <x v="63"/>
    </i>
    <i>
      <x v="15"/>
    </i>
    <i r="1">
      <x v="64"/>
    </i>
    <i r="1">
      <x v="65"/>
    </i>
    <i r="1">
      <x v="66"/>
    </i>
    <i r="1">
      <x v="67"/>
    </i>
    <i r="1">
      <x v="68"/>
    </i>
    <i r="1">
      <x v="69"/>
    </i>
    <i r="1">
      <x v="70"/>
    </i>
    <i r="1">
      <x v="71"/>
    </i>
    <i r="1">
      <x v="72"/>
    </i>
    <i r="1">
      <x v="73"/>
    </i>
    <i>
      <x v="16"/>
    </i>
    <i r="1">
      <x v="74"/>
    </i>
    <i r="1">
      <x v="75"/>
    </i>
    <i>
      <x v="17"/>
    </i>
    <i r="1">
      <x v="76"/>
    </i>
    <i r="1">
      <x v="77"/>
    </i>
    <i r="1">
      <x v="78"/>
    </i>
    <i r="1">
      <x v="79"/>
    </i>
    <i r="1">
      <x v="80"/>
    </i>
    <i r="1">
      <x v="81"/>
    </i>
    <i r="1">
      <x v="82"/>
    </i>
    <i r="1">
      <x v="83"/>
    </i>
    <i>
      <x v="18"/>
    </i>
    <i r="1">
      <x v="84"/>
    </i>
    <i r="1">
      <x v="85"/>
    </i>
    <i r="1">
      <x v="86"/>
    </i>
    <i>
      <x v="20"/>
    </i>
    <i r="1">
      <x v="87"/>
    </i>
    <i r="1">
      <x v="88"/>
    </i>
    <i r="1">
      <x v="89"/>
    </i>
    <i r="1">
      <x v="90"/>
    </i>
    <i>
      <x v="23"/>
    </i>
    <i r="1">
      <x v="91"/>
    </i>
    <i r="1">
      <x v="92"/>
    </i>
    <i r="1">
      <x v="93"/>
    </i>
    <i r="1">
      <x v="94"/>
    </i>
    <i r="1">
      <x v="95"/>
    </i>
    <i r="1">
      <x v="96"/>
    </i>
    <i r="1">
      <x v="97"/>
    </i>
    <i r="1">
      <x v="98"/>
    </i>
    <i r="1">
      <x v="99"/>
    </i>
    <i>
      <x v="24"/>
    </i>
    <i r="1">
      <x v="100"/>
    </i>
    <i r="1">
      <x v="101"/>
    </i>
    <i r="1">
      <x v="102"/>
    </i>
    <i r="1">
      <x v="103"/>
    </i>
    <i r="1">
      <x v="104"/>
    </i>
    <i r="1">
      <x v="105"/>
    </i>
    <i r="1">
      <x v="106"/>
    </i>
    <i r="1">
      <x v="107"/>
    </i>
    <i r="1">
      <x v="108"/>
    </i>
    <i>
      <x v="25"/>
    </i>
    <i r="1">
      <x v="109"/>
    </i>
    <i r="1">
      <x v="110"/>
    </i>
    <i r="1">
      <x v="111"/>
    </i>
    <i r="1">
      <x v="112"/>
    </i>
    <i r="1">
      <x v="113"/>
    </i>
    <i>
      <x v="26"/>
    </i>
    <i r="1">
      <x v="114"/>
    </i>
    <i r="1">
      <x v="115"/>
    </i>
    <i r="1">
      <x v="116"/>
    </i>
    <i r="1">
      <x v="117"/>
    </i>
    <i r="1">
      <x v="118"/>
    </i>
    <i>
      <x v="27"/>
    </i>
    <i r="1">
      <x v="119"/>
    </i>
    <i r="1">
      <x v="120"/>
    </i>
    <i r="1">
      <x v="121"/>
    </i>
    <i r="1">
      <x v="122"/>
    </i>
    <i r="1">
      <x v="123"/>
    </i>
    <i r="1">
      <x v="124"/>
    </i>
    <i r="1">
      <x v="125"/>
    </i>
    <i>
      <x v="28"/>
    </i>
    <i r="1">
      <x v="126"/>
    </i>
    <i r="1">
      <x v="127"/>
    </i>
    <i r="1">
      <x v="128"/>
    </i>
    <i r="1">
      <x v="129"/>
    </i>
    <i r="1">
      <x v="130"/>
    </i>
    <i r="1">
      <x v="131"/>
    </i>
    <i r="1">
      <x v="132"/>
    </i>
    <i r="1">
      <x v="133"/>
    </i>
    <i>
      <x v="29"/>
    </i>
    <i r="1">
      <x v="142"/>
    </i>
    <i>
      <x v="30"/>
    </i>
    <i r="1">
      <x v="134"/>
    </i>
    <i r="1">
      <x v="135"/>
    </i>
    <i r="1">
      <x v="136"/>
    </i>
    <i r="1">
      <x v="137"/>
    </i>
    <i r="1">
      <x v="138"/>
    </i>
    <i r="1">
      <x v="139"/>
    </i>
    <i r="1">
      <x v="140"/>
    </i>
    <i r="1">
      <x v="141"/>
    </i>
    <i>
      <x v="31"/>
    </i>
    <i r="1">
      <x v="143"/>
    </i>
    <i r="1">
      <x v="144"/>
    </i>
    <i r="1">
      <x v="145"/>
    </i>
    <i r="1">
      <x v="146"/>
    </i>
    <i>
      <x v="32"/>
    </i>
    <i r="1">
      <x v="147"/>
    </i>
    <i r="1">
      <x v="148"/>
    </i>
    <i r="1">
      <x v="149"/>
    </i>
    <i r="1">
      <x v="150"/>
    </i>
    <i r="1">
      <x v="151"/>
    </i>
    <i r="1">
      <x v="152"/>
    </i>
    <i r="1">
      <x v="153"/>
    </i>
    <i r="1">
      <x v="154"/>
    </i>
    <i>
      <x v="33"/>
    </i>
    <i r="1">
      <x v="155"/>
    </i>
    <i r="1">
      <x v="156"/>
    </i>
    <i r="1">
      <x v="157"/>
    </i>
    <i r="1">
      <x v="158"/>
    </i>
    <i r="1">
      <x v="159"/>
    </i>
    <i r="1">
      <x v="160"/>
    </i>
    <i r="1">
      <x v="161"/>
    </i>
    <i r="1">
      <x v="162"/>
    </i>
    <i r="1">
      <x v="163"/>
    </i>
    <i r="1">
      <x v="164"/>
    </i>
    <i r="1">
      <x v="165"/>
    </i>
    <i r="1">
      <x v="166"/>
    </i>
    <i r="1">
      <x v="167"/>
    </i>
    <i r="1">
      <x v="168"/>
    </i>
    <i>
      <x v="34"/>
    </i>
    <i r="1">
      <x v="169"/>
    </i>
    <i r="1">
      <x v="170"/>
    </i>
    <i r="1">
      <x v="171"/>
    </i>
    <i r="1">
      <x v="172"/>
    </i>
    <i r="1">
      <x v="173"/>
    </i>
    <i>
      <x v="35"/>
    </i>
    <i r="1">
      <x v="174"/>
    </i>
    <i r="1">
      <x v="175"/>
    </i>
    <i r="1">
      <x v="176"/>
    </i>
    <i r="1">
      <x v="177"/>
    </i>
    <i r="1">
      <x v="178"/>
    </i>
    <i r="1">
      <x v="179"/>
    </i>
    <i r="1">
      <x v="180"/>
    </i>
    <i r="1">
      <x v="181"/>
    </i>
    <i r="1">
      <x v="182"/>
    </i>
    <i>
      <x v="36"/>
    </i>
    <i r="1">
      <x v="183"/>
    </i>
    <i r="1">
      <x v="184"/>
    </i>
    <i r="1">
      <x v="185"/>
    </i>
    <i r="1">
      <x v="186"/>
    </i>
    <i r="1">
      <x v="187"/>
    </i>
    <i r="1">
      <x v="188"/>
    </i>
    <i r="1">
      <x v="189"/>
    </i>
    <i r="1">
      <x v="190"/>
    </i>
    <i r="1">
      <x v="191"/>
    </i>
    <i r="1">
      <x v="192"/>
    </i>
    <i>
      <x v="37"/>
    </i>
    <i r="1">
      <x v="193"/>
    </i>
    <i r="1">
      <x v="194"/>
    </i>
    <i r="1">
      <x v="195"/>
    </i>
    <i r="1">
      <x v="196"/>
    </i>
    <i r="1">
      <x v="197"/>
    </i>
    <i r="1">
      <x v="198"/>
    </i>
    <i>
      <x v="38"/>
    </i>
    <i r="1">
      <x v="199"/>
    </i>
    <i r="1">
      <x v="200"/>
    </i>
    <i r="1">
      <x v="201"/>
    </i>
    <i r="1">
      <x v="202"/>
    </i>
    <i>
      <x v="39"/>
    </i>
    <i r="1">
      <x v="203"/>
    </i>
    <i r="1">
      <x v="204"/>
    </i>
    <i r="1">
      <x v="205"/>
    </i>
    <i r="1">
      <x v="206"/>
    </i>
    <i>
      <x v="40"/>
    </i>
    <i r="1">
      <x v="207"/>
    </i>
    <i r="1">
      <x v="208"/>
    </i>
    <i r="1">
      <x v="209"/>
    </i>
    <i>
      <x v="41"/>
    </i>
    <i r="1">
      <x v="210"/>
    </i>
    <i>
      <x v="42"/>
    </i>
    <i r="1">
      <x v="211"/>
    </i>
    <i r="1">
      <x v="212"/>
    </i>
    <i r="1">
      <x v="213"/>
    </i>
    <i r="1">
      <x v="214"/>
    </i>
    <i r="1">
      <x v="215"/>
    </i>
    <i r="1">
      <x v="216"/>
    </i>
    <i r="1">
      <x v="217"/>
    </i>
    <i>
      <x v="43"/>
    </i>
    <i r="1">
      <x v="222"/>
    </i>
    <i r="1">
      <x v="223"/>
    </i>
    <i>
      <x v="44"/>
    </i>
    <i r="1">
      <x v="218"/>
    </i>
    <i r="1">
      <x v="219"/>
    </i>
    <i r="1">
      <x v="220"/>
    </i>
    <i r="1">
      <x v="221"/>
    </i>
    <i>
      <x v="45"/>
    </i>
    <i r="1">
      <x v="22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eiti.org/files/Indonesia_2009_EITI_Report.pdf" TargetMode="External"/><Relationship Id="rId3" Type="http://schemas.openxmlformats.org/officeDocument/2006/relationships/hyperlink" Target="http://eiti.org/files/Ghana%202004-2008%20EITI%20Report_0.pdf" TargetMode="External"/><Relationship Id="rId7" Type="http://schemas.openxmlformats.org/officeDocument/2006/relationships/hyperlink" Target="http://eiti.org/files/EITI-2010-2011-oil-final.pdf;" TargetMode="External"/><Relationship Id="rId2" Type="http://schemas.openxmlformats.org/officeDocument/2006/relationships/hyperlink" Target="http://eiti.org/Nigeria" TargetMode="External"/><Relationship Id="rId1" Type="http://schemas.openxmlformats.org/officeDocument/2006/relationships/hyperlink" Target="http://eiti.org/countries/reports" TargetMode="External"/><Relationship Id="rId6" Type="http://schemas.openxmlformats.org/officeDocument/2006/relationships/hyperlink" Target="http://eiti.org/files/Norway-2009-EITI-Report.pdf" TargetMode="External"/><Relationship Id="rId11" Type="http://schemas.openxmlformats.org/officeDocument/2006/relationships/comments" Target="../comments1.xml"/><Relationship Id="rId5" Type="http://schemas.openxmlformats.org/officeDocument/2006/relationships/hyperlink" Target="http://eiti.org/files/Azerbaijan-2003-EITI-Report.pdf" TargetMode="External"/><Relationship Id="rId10" Type="http://schemas.openxmlformats.org/officeDocument/2006/relationships/vmlDrawing" Target="../drawings/vmlDrawing1.vml"/><Relationship Id="rId4" Type="http://schemas.openxmlformats.org/officeDocument/2006/relationships/hyperlink" Target="http://eiti.org/files/Afghanistan-2010-2011-EITI-Report.pdf" TargetMode="External"/><Relationship Id="rId9" Type="http://schemas.openxmlformats.org/officeDocument/2006/relationships/hyperlink" Target="http://eiti.org/files/EITI-2010-2011-oil-final.pdf;"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hyperlink" Target="http://eiti.org/files/EITI-2010-2011-oil-final.pdf;" TargetMode="External"/><Relationship Id="rId13" Type="http://schemas.openxmlformats.org/officeDocument/2006/relationships/hyperlink" Target="http://eiti.org/files/NEITI-EITI-Core-Audit-Report-Oil-Gas-2009-2011-310113-New_0.pdf" TargetMode="External"/><Relationship Id="rId18" Type="http://schemas.openxmlformats.org/officeDocument/2006/relationships/hyperlink" Target="http://eiti.org/files/DRC%202008-2009%20EITI%20Report.pdf" TargetMode="External"/><Relationship Id="rId26" Type="http://schemas.openxmlformats.org/officeDocument/2006/relationships/hyperlink" Target="http://eiti.org/files/Niger-2010-EITI-Report.pdf" TargetMode="External"/><Relationship Id="rId39" Type="http://schemas.openxmlformats.org/officeDocument/2006/relationships/hyperlink" Target="http://eiti.org/files/Mali-2010-EITI-Report.pdf" TargetMode="External"/><Relationship Id="rId3" Type="http://schemas.openxmlformats.org/officeDocument/2006/relationships/hyperlink" Target="http://eiti.org/files/Afghanistan-2008-2009-EITI-Report.pdf" TargetMode="External"/><Relationship Id="rId21" Type="http://schemas.openxmlformats.org/officeDocument/2006/relationships/hyperlink" Target="http://eiti.org/files/Guinea-2008-EITI-Report.pdf" TargetMode="External"/><Relationship Id="rId34" Type="http://schemas.openxmlformats.org/officeDocument/2006/relationships/hyperlink" Target="http://eiti.org/files/4eme_rapport_itie_niger_2011_0.pdf" TargetMode="External"/><Relationship Id="rId42" Type="http://schemas.openxmlformats.org/officeDocument/2006/relationships/printerSettings" Target="../printerSettings/printerSettings1.bin"/><Relationship Id="rId7" Type="http://schemas.openxmlformats.org/officeDocument/2006/relationships/hyperlink" Target="http://eiti.org/files/Norway-2012-EITI-report.pdf" TargetMode="External"/><Relationship Id="rId12" Type="http://schemas.openxmlformats.org/officeDocument/2006/relationships/hyperlink" Target="https://eiti.org/files/Nigeria%202006-2007-2008%20EITI%20Report_1.pdf" TargetMode="External"/><Relationship Id="rId17" Type="http://schemas.openxmlformats.org/officeDocument/2006/relationships/hyperlink" Target="http://eiti.org/files/Cote-dIvoire-2011-EITI-Report-FR.pdf" TargetMode="External"/><Relationship Id="rId25" Type="http://schemas.openxmlformats.org/officeDocument/2006/relationships/hyperlink" Target="http://eiti.org/files/Mauritania%202009%20EITI%20Report.pdf" TargetMode="External"/><Relationship Id="rId33" Type="http://schemas.openxmlformats.org/officeDocument/2006/relationships/hyperlink" Target="http://eiti.org/files/Niger-2010-EITI-Report.pdf" TargetMode="External"/><Relationship Id="rId38" Type="http://schemas.openxmlformats.org/officeDocument/2006/relationships/hyperlink" Target="http://eiti.org/files/Mali%202009%20EITI%20Report.pdf" TargetMode="External"/><Relationship Id="rId2" Type="http://schemas.openxmlformats.org/officeDocument/2006/relationships/hyperlink" Target="http://eiti.org/files/Ghana%202004-2008%20EITI%20Report_0.pdf" TargetMode="External"/><Relationship Id="rId16" Type="http://schemas.openxmlformats.org/officeDocument/2006/relationships/hyperlink" Target="http://eiti.org/files/Cote-dIvoire-2010-EITI-Report.pdf" TargetMode="External"/><Relationship Id="rId20" Type="http://schemas.openxmlformats.org/officeDocument/2006/relationships/hyperlink" Target="http://eiti.org/files/Guinea-2007-EITI-Report.pdf" TargetMode="External"/><Relationship Id="rId29" Type="http://schemas.openxmlformats.org/officeDocument/2006/relationships/hyperlink" Target="http://eiti.org/files/Togo-2011-EITI-Report-FR.pdf" TargetMode="External"/><Relationship Id="rId41" Type="http://schemas.openxmlformats.org/officeDocument/2006/relationships/hyperlink" Target="http://www.regjeringen.no/upload/OED/pdf%20filer/EITI/1269981599_670670_EITIrapport_2012_engelsk.pdf" TargetMode="External"/><Relationship Id="rId1" Type="http://schemas.openxmlformats.org/officeDocument/2006/relationships/hyperlink" Target="http://eiti.org/files/Afghanistan-2008-2009-EITI-Report.pdf" TargetMode="External"/><Relationship Id="rId6" Type="http://schemas.openxmlformats.org/officeDocument/2006/relationships/hyperlink" Target="http://eiti.org/files/Azerbaijan-2003-EITI-Report.pdf" TargetMode="External"/><Relationship Id="rId11" Type="http://schemas.openxmlformats.org/officeDocument/2006/relationships/hyperlink" Target="https://eiti.org/files/Nigeria%202006-2007-2008%20EITI%20Report_1.pdf" TargetMode="External"/><Relationship Id="rId24" Type="http://schemas.openxmlformats.org/officeDocument/2006/relationships/hyperlink" Target="http://eiti.org/files/Guinea-2012-EITI-Report-FR.pdf" TargetMode="External"/><Relationship Id="rId32" Type="http://schemas.openxmlformats.org/officeDocument/2006/relationships/hyperlink" Target="http://eiti.org/files/EITI%20REPORT%202012-CONGO%20B..pdf" TargetMode="External"/><Relationship Id="rId37" Type="http://schemas.openxmlformats.org/officeDocument/2006/relationships/hyperlink" Target="http://eiti.org/files/Congo-Rep-2004-2005-2006-EITI-Report.pdf" TargetMode="External"/><Relationship Id="rId40" Type="http://schemas.openxmlformats.org/officeDocument/2006/relationships/hyperlink" Target="http://eiti.org/files/Mali-2011-EITI-Report-FR.pdf" TargetMode="External"/><Relationship Id="rId5" Type="http://schemas.openxmlformats.org/officeDocument/2006/relationships/hyperlink" Target="http://eiti.org/files/Burkina-Faso-2008-2009-EITI-Report_0.pdf" TargetMode="External"/><Relationship Id="rId15" Type="http://schemas.openxmlformats.org/officeDocument/2006/relationships/hyperlink" Target="http://eiti.org/files/Cote-dIvoire-2009-EITI-Report.pdf" TargetMode="External"/><Relationship Id="rId23" Type="http://schemas.openxmlformats.org/officeDocument/2006/relationships/hyperlink" Target="http://eiti.org/files/Guinea-2010-EITI-Report.pdf" TargetMode="External"/><Relationship Id="rId28" Type="http://schemas.openxmlformats.org/officeDocument/2006/relationships/hyperlink" Target="http://eiti.org/files/Togo-2010-EITI-Report.pdf" TargetMode="External"/><Relationship Id="rId36" Type="http://schemas.openxmlformats.org/officeDocument/2006/relationships/hyperlink" Target="http://eiti.org/files/Madagascar-2010-EITI-Report.pdf" TargetMode="External"/><Relationship Id="rId10" Type="http://schemas.openxmlformats.org/officeDocument/2006/relationships/hyperlink" Target="https://eiti.org/files/Nigeria%202006-2007-2008%20EITI%20Report_1.pdf" TargetMode="External"/><Relationship Id="rId19" Type="http://schemas.openxmlformats.org/officeDocument/2006/relationships/hyperlink" Target="http://eiti.org/files/Congo-DRC-2010-EITI-Report-ENG_0.pdf" TargetMode="External"/><Relationship Id="rId31" Type="http://schemas.openxmlformats.org/officeDocument/2006/relationships/hyperlink" Target="http://eiti.org/files/Congo-Rep-2011-EITI-Report-2.pdf" TargetMode="External"/><Relationship Id="rId44" Type="http://schemas.openxmlformats.org/officeDocument/2006/relationships/comments" Target="../comments2.xml"/><Relationship Id="rId4" Type="http://schemas.openxmlformats.org/officeDocument/2006/relationships/hyperlink" Target="http://eiti.org/files/Afghanistan-2010-2011-EITI-Report.pdf" TargetMode="External"/><Relationship Id="rId9" Type="http://schemas.openxmlformats.org/officeDocument/2006/relationships/hyperlink" Target="http://eiti.org/files/EITI-2010-2011-oil-final.pdf;" TargetMode="External"/><Relationship Id="rId14" Type="http://schemas.openxmlformats.org/officeDocument/2006/relationships/hyperlink" Target="http://eiti.org/files/Cote-dIvoire-2008-EITI-Report.pdf" TargetMode="External"/><Relationship Id="rId22" Type="http://schemas.openxmlformats.org/officeDocument/2006/relationships/hyperlink" Target="http://eiti.org/files/Guinea-2009-EITI-Report.pdf" TargetMode="External"/><Relationship Id="rId27" Type="http://schemas.openxmlformats.org/officeDocument/2006/relationships/hyperlink" Target="http://eiti.org/files/4eme_rapport_itie_niger_2011_0.pdf" TargetMode="External"/><Relationship Id="rId30" Type="http://schemas.openxmlformats.org/officeDocument/2006/relationships/hyperlink" Target="http://eiti.org/files/Republic%20of%20Congo%202010%20EITI%20Report.pdf" TargetMode="External"/><Relationship Id="rId35" Type="http://schemas.openxmlformats.org/officeDocument/2006/relationships/hyperlink" Target="http://eiti.org/files/Rapport%20FINAL%20EITI%20Madagascar%20-%20Exercice%202011%20-%20FR_0.pdf" TargetMode="External"/><Relationship Id="rId4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231"/>
  <sheetViews>
    <sheetView zoomScale="80" zoomScaleNormal="80" zoomScalePageLayoutView="80" workbookViewId="0">
      <pane xSplit="1" ySplit="2" topLeftCell="B192" activePane="bottomRight" state="frozen"/>
      <selection pane="topRight" activeCell="B1" sqref="B1"/>
      <selection pane="bottomLeft" activeCell="A3" sqref="A3"/>
      <selection pane="bottomRight" activeCell="B219" sqref="B219"/>
    </sheetView>
  </sheetViews>
  <sheetFormatPr defaultColWidth="8.85546875" defaultRowHeight="15"/>
  <cols>
    <col min="1" max="1" width="35.7109375" style="8" customWidth="1"/>
    <col min="2" max="4" width="35.7109375" style="9" customWidth="1"/>
    <col min="5" max="5" width="35.7109375" style="102" customWidth="1"/>
    <col min="6" max="8" width="35.7109375" style="9" customWidth="1"/>
    <col min="9" max="9" width="35.7109375" style="12" customWidth="1"/>
    <col min="10" max="10" width="35.7109375" style="9" customWidth="1"/>
    <col min="11" max="18" width="20.7109375" style="9" customWidth="1"/>
    <col min="19" max="19" width="8.85546875" style="8"/>
    <col min="20" max="20" width="13.85546875" style="8" bestFit="1" customWidth="1"/>
    <col min="21" max="21" width="14.85546875" style="8" bestFit="1" customWidth="1"/>
    <col min="22" max="16384" width="8.85546875" style="8"/>
  </cols>
  <sheetData>
    <row r="1" spans="1:1018 1025:2044 2051:3070 3077:4096 4103:5116 5122:6142 6148:7168 7174:8190 8194:9216 9220:10234 10241:11260 11267:12286 12293:13312 13319:14332 14338:15358 15364:16384" s="2" customFormat="1">
      <c r="A1" s="1"/>
      <c r="B1" s="838" t="s">
        <v>0</v>
      </c>
      <c r="C1" s="838"/>
      <c r="D1" s="838"/>
      <c r="E1" s="838"/>
      <c r="F1" s="838"/>
      <c r="G1" s="838"/>
      <c r="H1" s="838"/>
      <c r="I1" s="838"/>
      <c r="J1" s="838"/>
      <c r="K1" s="838" t="s">
        <v>1</v>
      </c>
      <c r="L1" s="838"/>
      <c r="M1" s="838"/>
      <c r="N1" s="838"/>
      <c r="O1" s="838"/>
      <c r="P1" s="838"/>
      <c r="Q1" s="838"/>
      <c r="R1" s="838"/>
    </row>
    <row r="2" spans="1:1018 1025:2044 2051:3070 3077:4096 4103:5116 5122:6142 6148:7168 7174:8190 8194:9216 9220:10234 10241:11260 11267:12286 12293:13312 13319:14332 14338:15358 15364:16384" s="7" customFormat="1" ht="30">
      <c r="A2" s="3" t="s">
        <v>2</v>
      </c>
      <c r="B2" s="4" t="s">
        <v>3</v>
      </c>
      <c r="C2" s="4" t="s">
        <v>4</v>
      </c>
      <c r="D2" s="4" t="s">
        <v>5</v>
      </c>
      <c r="E2" s="5" t="s">
        <v>6</v>
      </c>
      <c r="F2" s="4" t="s">
        <v>7</v>
      </c>
      <c r="G2" s="4" t="s">
        <v>8</v>
      </c>
      <c r="H2" s="4" t="s">
        <v>9</v>
      </c>
      <c r="I2" s="4" t="s">
        <v>10</v>
      </c>
      <c r="J2" s="6" t="s">
        <v>11</v>
      </c>
      <c r="K2" s="4" t="s">
        <v>12</v>
      </c>
      <c r="L2" s="4" t="s">
        <v>13</v>
      </c>
      <c r="M2" s="4" t="s">
        <v>14</v>
      </c>
      <c r="N2" s="4" t="s">
        <v>15</v>
      </c>
      <c r="O2" s="4" t="s">
        <v>16</v>
      </c>
      <c r="P2" s="4" t="s">
        <v>17</v>
      </c>
      <c r="Q2" s="4" t="s">
        <v>18</v>
      </c>
      <c r="R2" s="4" t="s">
        <v>19</v>
      </c>
    </row>
    <row r="3" spans="1:1018 1025:2044 2051:3070 3077:4096 4103:5116 5122:6142 6148:7168 7174:8190 8194:9216 9220:10234 10241:11260 11267:12286 12293:13312 13319:14332 14338:15358 15364:16384">
      <c r="A3" s="8" t="s">
        <v>20</v>
      </c>
      <c r="B3" s="9">
        <v>2008</v>
      </c>
      <c r="C3" s="9" t="s">
        <v>21</v>
      </c>
      <c r="D3" s="9" t="s">
        <v>22</v>
      </c>
      <c r="E3" s="10" t="s">
        <v>23</v>
      </c>
      <c r="F3" s="9" t="s">
        <v>24</v>
      </c>
      <c r="G3" s="11">
        <v>89690970</v>
      </c>
      <c r="H3" s="11">
        <v>89986645</v>
      </c>
      <c r="I3" s="12">
        <v>4</v>
      </c>
      <c r="J3" s="13" t="s">
        <v>25</v>
      </c>
      <c r="K3" s="9" t="s">
        <v>26</v>
      </c>
      <c r="M3" s="9" t="s">
        <v>26</v>
      </c>
      <c r="O3" s="14" t="s">
        <v>26</v>
      </c>
      <c r="Q3" s="14" t="s">
        <v>27</v>
      </c>
      <c r="R3" s="14" t="s">
        <v>28</v>
      </c>
      <c r="V3" s="15"/>
      <c r="AB3" s="16"/>
      <c r="AI3" s="17"/>
      <c r="AJ3" s="17"/>
      <c r="AN3" s="15"/>
      <c r="AT3" s="16"/>
      <c r="BA3" s="17"/>
      <c r="BB3" s="17"/>
      <c r="BF3" s="15"/>
      <c r="BL3" s="16"/>
      <c r="BS3" s="17"/>
      <c r="BT3" s="17"/>
      <c r="BX3" s="15"/>
      <c r="CD3" s="16"/>
      <c r="CK3" s="17"/>
      <c r="CL3" s="17"/>
      <c r="CP3" s="15"/>
      <c r="CV3" s="16"/>
      <c r="DC3" s="17"/>
      <c r="DD3" s="17"/>
      <c r="DH3" s="15"/>
      <c r="DN3" s="16"/>
      <c r="DU3" s="17"/>
      <c r="DV3" s="17"/>
      <c r="DZ3" s="15"/>
      <c r="EF3" s="16"/>
      <c r="EM3" s="17"/>
      <c r="EN3" s="17"/>
      <c r="ER3" s="15"/>
      <c r="EX3" s="16"/>
      <c r="FE3" s="17"/>
      <c r="FF3" s="17"/>
      <c r="FJ3" s="15"/>
      <c r="FP3" s="16"/>
      <c r="FW3" s="17"/>
      <c r="FX3" s="17"/>
      <c r="GB3" s="15"/>
      <c r="GH3" s="16"/>
      <c r="GO3" s="17"/>
      <c r="GP3" s="17"/>
      <c r="GT3" s="15"/>
      <c r="GZ3" s="16"/>
      <c r="HG3" s="17"/>
      <c r="HH3" s="17"/>
      <c r="HL3" s="15"/>
      <c r="HR3" s="16"/>
      <c r="HY3" s="17"/>
      <c r="HZ3" s="17"/>
      <c r="ID3" s="15"/>
      <c r="IJ3" s="16"/>
      <c r="IQ3" s="17"/>
      <c r="IR3" s="17"/>
      <c r="IV3" s="15"/>
      <c r="JB3" s="16"/>
      <c r="JI3" s="17"/>
      <c r="JJ3" s="17"/>
      <c r="JN3" s="15"/>
      <c r="JT3" s="16"/>
      <c r="KA3" s="17"/>
      <c r="KB3" s="17"/>
      <c r="KF3" s="15"/>
      <c r="KL3" s="16"/>
      <c r="KS3" s="17"/>
      <c r="KT3" s="17"/>
      <c r="KX3" s="15"/>
      <c r="LD3" s="16"/>
      <c r="LK3" s="17"/>
      <c r="LL3" s="17"/>
      <c r="LP3" s="15"/>
      <c r="LV3" s="16"/>
      <c r="MC3" s="17"/>
      <c r="MD3" s="17"/>
      <c r="MH3" s="15"/>
      <c r="MN3" s="16"/>
      <c r="MU3" s="17"/>
      <c r="MV3" s="17"/>
      <c r="MZ3" s="15"/>
      <c r="NF3" s="16"/>
      <c r="NM3" s="17"/>
      <c r="NN3" s="17"/>
      <c r="NR3" s="15"/>
      <c r="NX3" s="16"/>
      <c r="OE3" s="17"/>
      <c r="OF3" s="17"/>
      <c r="OJ3" s="15"/>
      <c r="OP3" s="16"/>
      <c r="OW3" s="17"/>
      <c r="OX3" s="17"/>
      <c r="PB3" s="15"/>
      <c r="PH3" s="16"/>
      <c r="PO3" s="17"/>
      <c r="PP3" s="17"/>
      <c r="PT3" s="15"/>
      <c r="PZ3" s="16"/>
      <c r="QG3" s="17"/>
      <c r="QH3" s="17"/>
      <c r="QL3" s="15"/>
      <c r="QR3" s="16"/>
      <c r="QY3" s="17"/>
      <c r="QZ3" s="17"/>
      <c r="RD3" s="15"/>
      <c r="RJ3" s="16"/>
      <c r="RQ3" s="17"/>
      <c r="RR3" s="17"/>
      <c r="RV3" s="15"/>
      <c r="SB3" s="16"/>
      <c r="SI3" s="17"/>
      <c r="SJ3" s="17"/>
      <c r="SN3" s="15"/>
      <c r="ST3" s="16"/>
      <c r="TA3" s="17"/>
      <c r="TB3" s="17"/>
      <c r="TF3" s="15"/>
      <c r="TL3" s="16"/>
      <c r="TS3" s="17"/>
      <c r="TT3" s="17"/>
      <c r="TX3" s="15"/>
      <c r="UD3" s="16"/>
      <c r="UK3" s="17"/>
      <c r="UL3" s="17"/>
      <c r="UP3" s="15"/>
      <c r="UV3" s="16"/>
      <c r="VC3" s="17"/>
      <c r="VD3" s="17"/>
      <c r="VH3" s="15"/>
      <c r="VN3" s="16"/>
      <c r="VU3" s="17"/>
      <c r="VV3" s="17"/>
      <c r="VZ3" s="15"/>
      <c r="WF3" s="16"/>
      <c r="WM3" s="17"/>
      <c r="WN3" s="17"/>
      <c r="WR3" s="15"/>
      <c r="WX3" s="16"/>
      <c r="XE3" s="17"/>
      <c r="XF3" s="17"/>
      <c r="XJ3" s="15"/>
      <c r="XP3" s="16"/>
      <c r="XW3" s="17"/>
      <c r="XX3" s="17"/>
      <c r="YB3" s="15"/>
      <c r="YH3" s="16"/>
      <c r="YO3" s="17"/>
      <c r="YP3" s="17"/>
      <c r="YT3" s="15"/>
      <c r="YZ3" s="16"/>
      <c r="ZG3" s="17"/>
      <c r="ZH3" s="17"/>
      <c r="ZL3" s="15"/>
      <c r="ZR3" s="16"/>
      <c r="ZY3" s="17"/>
      <c r="ZZ3" s="17"/>
      <c r="AAD3" s="15"/>
      <c r="AAJ3" s="16"/>
      <c r="AAQ3" s="17"/>
      <c r="AAR3" s="17"/>
      <c r="AAV3" s="15"/>
      <c r="ABB3" s="16"/>
      <c r="ABI3" s="17"/>
      <c r="ABJ3" s="17"/>
      <c r="ABN3" s="15"/>
      <c r="ABT3" s="16"/>
      <c r="ACA3" s="17"/>
      <c r="ACB3" s="17"/>
      <c r="ACF3" s="15"/>
      <c r="ACL3" s="16"/>
      <c r="ACS3" s="17"/>
      <c r="ACT3" s="17"/>
      <c r="ACX3" s="15"/>
      <c r="ADD3" s="16"/>
      <c r="ADK3" s="17"/>
      <c r="ADL3" s="17"/>
      <c r="ADP3" s="15"/>
      <c r="ADV3" s="16"/>
      <c r="AEC3" s="17"/>
      <c r="AED3" s="17"/>
      <c r="AEH3" s="15"/>
      <c r="AEN3" s="16"/>
      <c r="AEU3" s="17"/>
      <c r="AEV3" s="17"/>
      <c r="AEZ3" s="15"/>
      <c r="AFF3" s="16"/>
      <c r="AFM3" s="17"/>
      <c r="AFN3" s="17"/>
      <c r="AFR3" s="15"/>
      <c r="AFX3" s="16"/>
      <c r="AGE3" s="17"/>
      <c r="AGF3" s="17"/>
      <c r="AGJ3" s="15"/>
      <c r="AGP3" s="16"/>
      <c r="AGW3" s="17"/>
      <c r="AGX3" s="17"/>
      <c r="AHB3" s="15"/>
      <c r="AHH3" s="16"/>
      <c r="AHO3" s="17"/>
      <c r="AHP3" s="17"/>
      <c r="AHT3" s="15"/>
      <c r="AHZ3" s="16"/>
      <c r="AIG3" s="17"/>
      <c r="AIH3" s="17"/>
      <c r="AIL3" s="15"/>
      <c r="AIR3" s="16"/>
      <c r="AIY3" s="17"/>
      <c r="AIZ3" s="17"/>
      <c r="AJD3" s="15"/>
      <c r="AJJ3" s="16"/>
      <c r="AJQ3" s="17"/>
      <c r="AJR3" s="17"/>
      <c r="AJV3" s="15"/>
      <c r="AKB3" s="16"/>
      <c r="AKI3" s="17"/>
      <c r="AKJ3" s="17"/>
      <c r="AKN3" s="15"/>
      <c r="AKT3" s="16"/>
      <c r="ALA3" s="17"/>
      <c r="ALB3" s="17"/>
      <c r="ALF3" s="15"/>
      <c r="ALL3" s="16"/>
      <c r="ALS3" s="17"/>
      <c r="ALT3" s="17"/>
      <c r="ALX3" s="15"/>
      <c r="AMD3" s="16"/>
      <c r="AMK3" s="17"/>
      <c r="AML3" s="17"/>
      <c r="AMP3" s="15"/>
      <c r="AMV3" s="16"/>
      <c r="ANC3" s="17"/>
      <c r="AND3" s="17"/>
      <c r="ANH3" s="15"/>
      <c r="ANN3" s="16"/>
      <c r="ANU3" s="17"/>
      <c r="ANV3" s="17"/>
      <c r="ANZ3" s="15"/>
      <c r="AOF3" s="16"/>
      <c r="AOM3" s="17"/>
      <c r="AON3" s="17"/>
      <c r="AOR3" s="15"/>
      <c r="AOX3" s="16"/>
      <c r="APE3" s="17"/>
      <c r="APF3" s="17"/>
      <c r="APJ3" s="15"/>
      <c r="APP3" s="16"/>
      <c r="APW3" s="17"/>
      <c r="APX3" s="17"/>
      <c r="AQB3" s="15"/>
      <c r="AQH3" s="16"/>
      <c r="AQO3" s="17"/>
      <c r="AQP3" s="17"/>
      <c r="AQT3" s="15"/>
      <c r="AQZ3" s="16"/>
      <c r="ARG3" s="17"/>
      <c r="ARH3" s="17"/>
      <c r="ARL3" s="15"/>
      <c r="ARR3" s="16"/>
      <c r="ARY3" s="17"/>
      <c r="ARZ3" s="17"/>
      <c r="ASD3" s="15"/>
      <c r="ASJ3" s="16"/>
      <c r="ASQ3" s="17"/>
      <c r="ASR3" s="17"/>
      <c r="ASV3" s="15"/>
      <c r="ATB3" s="16"/>
      <c r="ATI3" s="17"/>
      <c r="ATJ3" s="17"/>
      <c r="ATN3" s="15"/>
      <c r="ATT3" s="16"/>
      <c r="AUA3" s="17"/>
      <c r="AUB3" s="17"/>
      <c r="AUF3" s="15"/>
      <c r="AUL3" s="16"/>
      <c r="AUS3" s="17"/>
      <c r="AUT3" s="17"/>
      <c r="AUX3" s="15"/>
      <c r="AVD3" s="16"/>
      <c r="AVK3" s="17"/>
      <c r="AVL3" s="17"/>
      <c r="AVP3" s="15"/>
      <c r="AVV3" s="16"/>
      <c r="AWC3" s="17"/>
      <c r="AWD3" s="17"/>
      <c r="AWH3" s="15"/>
      <c r="AWN3" s="16"/>
      <c r="AWU3" s="17"/>
      <c r="AWV3" s="17"/>
      <c r="AWZ3" s="15"/>
      <c r="AXF3" s="16"/>
      <c r="AXM3" s="17"/>
      <c r="AXN3" s="17"/>
      <c r="AXR3" s="15"/>
      <c r="AXX3" s="16"/>
      <c r="AYE3" s="17"/>
      <c r="AYF3" s="17"/>
      <c r="AYJ3" s="15"/>
      <c r="AYP3" s="16"/>
      <c r="AYW3" s="17"/>
      <c r="AYX3" s="17"/>
      <c r="AZB3" s="15"/>
      <c r="AZH3" s="16"/>
      <c r="AZO3" s="17"/>
      <c r="AZP3" s="17"/>
      <c r="AZT3" s="15"/>
      <c r="AZZ3" s="16"/>
      <c r="BAG3" s="17"/>
      <c r="BAH3" s="17"/>
      <c r="BAL3" s="15"/>
      <c r="BAR3" s="16"/>
      <c r="BAY3" s="17"/>
      <c r="BAZ3" s="17"/>
      <c r="BBD3" s="15"/>
      <c r="BBJ3" s="16"/>
      <c r="BBQ3" s="17"/>
      <c r="BBR3" s="17"/>
      <c r="BBV3" s="15"/>
      <c r="BCB3" s="16"/>
      <c r="BCI3" s="17"/>
      <c r="BCJ3" s="17"/>
      <c r="BCN3" s="15"/>
      <c r="BCT3" s="16"/>
      <c r="BDA3" s="17"/>
      <c r="BDB3" s="17"/>
      <c r="BDF3" s="15"/>
      <c r="BDL3" s="16"/>
      <c r="BDS3" s="17"/>
      <c r="BDT3" s="17"/>
      <c r="BDX3" s="15"/>
      <c r="BED3" s="16"/>
      <c r="BEK3" s="17"/>
      <c r="BEL3" s="17"/>
      <c r="BEP3" s="15"/>
      <c r="BEV3" s="16"/>
      <c r="BFC3" s="17"/>
      <c r="BFD3" s="17"/>
      <c r="BFH3" s="15"/>
      <c r="BFN3" s="16"/>
      <c r="BFU3" s="17"/>
      <c r="BFV3" s="17"/>
      <c r="BFZ3" s="15"/>
      <c r="BGF3" s="16"/>
      <c r="BGM3" s="17"/>
      <c r="BGN3" s="17"/>
      <c r="BGR3" s="15"/>
      <c r="BGX3" s="16"/>
      <c r="BHE3" s="17"/>
      <c r="BHF3" s="17"/>
      <c r="BHJ3" s="15"/>
      <c r="BHP3" s="16"/>
      <c r="BHW3" s="17"/>
      <c r="BHX3" s="17"/>
      <c r="BIB3" s="15"/>
      <c r="BIH3" s="16"/>
      <c r="BIO3" s="17"/>
      <c r="BIP3" s="17"/>
      <c r="BIT3" s="15"/>
      <c r="BIZ3" s="16"/>
      <c r="BJG3" s="17"/>
      <c r="BJH3" s="17"/>
      <c r="BJL3" s="15"/>
      <c r="BJR3" s="16"/>
      <c r="BJY3" s="17"/>
      <c r="BJZ3" s="17"/>
      <c r="BKD3" s="15"/>
      <c r="BKJ3" s="16"/>
      <c r="BKQ3" s="17"/>
      <c r="BKR3" s="17"/>
      <c r="BKV3" s="15"/>
      <c r="BLB3" s="16"/>
      <c r="BLI3" s="17"/>
      <c r="BLJ3" s="17"/>
      <c r="BLN3" s="15"/>
      <c r="BLT3" s="16"/>
      <c r="BMA3" s="17"/>
      <c r="BMB3" s="17"/>
      <c r="BMF3" s="15"/>
      <c r="BML3" s="16"/>
      <c r="BMS3" s="17"/>
      <c r="BMT3" s="17"/>
      <c r="BMX3" s="15"/>
      <c r="BND3" s="16"/>
      <c r="BNK3" s="17"/>
      <c r="BNL3" s="17"/>
      <c r="BNP3" s="15"/>
      <c r="BNV3" s="16"/>
      <c r="BOC3" s="17"/>
      <c r="BOD3" s="17"/>
      <c r="BOH3" s="15"/>
      <c r="BON3" s="16"/>
      <c r="BOU3" s="17"/>
      <c r="BOV3" s="17"/>
      <c r="BOZ3" s="15"/>
      <c r="BPF3" s="16"/>
      <c r="BPM3" s="17"/>
      <c r="BPN3" s="17"/>
      <c r="BPR3" s="15"/>
      <c r="BPX3" s="16"/>
      <c r="BQE3" s="17"/>
      <c r="BQF3" s="17"/>
      <c r="BQJ3" s="15"/>
      <c r="BQP3" s="16"/>
      <c r="BQW3" s="17"/>
      <c r="BQX3" s="17"/>
      <c r="BRB3" s="15"/>
      <c r="BRH3" s="16"/>
      <c r="BRO3" s="17"/>
      <c r="BRP3" s="17"/>
      <c r="BRT3" s="15"/>
      <c r="BRZ3" s="16"/>
      <c r="BSG3" s="17"/>
      <c r="BSH3" s="17"/>
      <c r="BSL3" s="15"/>
      <c r="BSR3" s="16"/>
      <c r="BSY3" s="17"/>
      <c r="BSZ3" s="17"/>
      <c r="BTD3" s="15"/>
      <c r="BTJ3" s="16"/>
      <c r="BTQ3" s="17"/>
      <c r="BTR3" s="17"/>
      <c r="BTV3" s="15"/>
      <c r="BUB3" s="16"/>
      <c r="BUI3" s="17"/>
      <c r="BUJ3" s="17"/>
      <c r="BUN3" s="15"/>
      <c r="BUT3" s="16"/>
      <c r="BVA3" s="17"/>
      <c r="BVB3" s="17"/>
      <c r="BVF3" s="15"/>
      <c r="BVL3" s="16"/>
      <c r="BVS3" s="17"/>
      <c r="BVT3" s="17"/>
      <c r="BVX3" s="15"/>
      <c r="BWD3" s="16"/>
      <c r="BWK3" s="17"/>
      <c r="BWL3" s="17"/>
      <c r="BWP3" s="15"/>
      <c r="BWV3" s="16"/>
      <c r="BXC3" s="17"/>
      <c r="BXD3" s="17"/>
      <c r="BXH3" s="15"/>
      <c r="BXN3" s="16"/>
      <c r="BXU3" s="17"/>
      <c r="BXV3" s="17"/>
      <c r="BXZ3" s="15"/>
      <c r="BYF3" s="16"/>
      <c r="BYM3" s="17"/>
      <c r="BYN3" s="17"/>
      <c r="BYR3" s="15"/>
      <c r="BYX3" s="16"/>
      <c r="BZE3" s="17"/>
      <c r="BZF3" s="17"/>
      <c r="BZJ3" s="15"/>
      <c r="BZP3" s="16"/>
      <c r="BZW3" s="17"/>
      <c r="BZX3" s="17"/>
      <c r="CAB3" s="15"/>
      <c r="CAH3" s="16"/>
      <c r="CAO3" s="17"/>
      <c r="CAP3" s="17"/>
      <c r="CAT3" s="15"/>
      <c r="CAZ3" s="16"/>
      <c r="CBG3" s="17"/>
      <c r="CBH3" s="17"/>
      <c r="CBL3" s="15"/>
      <c r="CBR3" s="16"/>
      <c r="CBY3" s="17"/>
      <c r="CBZ3" s="17"/>
      <c r="CCD3" s="15"/>
      <c r="CCJ3" s="16"/>
      <c r="CCQ3" s="17"/>
      <c r="CCR3" s="17"/>
      <c r="CCV3" s="15"/>
      <c r="CDB3" s="16"/>
      <c r="CDI3" s="17"/>
      <c r="CDJ3" s="17"/>
      <c r="CDN3" s="15"/>
      <c r="CDT3" s="16"/>
      <c r="CEA3" s="17"/>
      <c r="CEB3" s="17"/>
      <c r="CEF3" s="15"/>
      <c r="CEL3" s="16"/>
      <c r="CES3" s="17"/>
      <c r="CET3" s="17"/>
      <c r="CEX3" s="15"/>
      <c r="CFD3" s="16"/>
      <c r="CFK3" s="17"/>
      <c r="CFL3" s="17"/>
      <c r="CFP3" s="15"/>
      <c r="CFV3" s="16"/>
      <c r="CGC3" s="17"/>
      <c r="CGD3" s="17"/>
      <c r="CGH3" s="15"/>
      <c r="CGN3" s="16"/>
      <c r="CGU3" s="17"/>
      <c r="CGV3" s="17"/>
      <c r="CGZ3" s="15"/>
      <c r="CHF3" s="16"/>
      <c r="CHM3" s="17"/>
      <c r="CHN3" s="17"/>
      <c r="CHR3" s="15"/>
      <c r="CHX3" s="16"/>
      <c r="CIE3" s="17"/>
      <c r="CIF3" s="17"/>
      <c r="CIJ3" s="15"/>
      <c r="CIP3" s="16"/>
      <c r="CIW3" s="17"/>
      <c r="CIX3" s="17"/>
      <c r="CJB3" s="15"/>
      <c r="CJH3" s="16"/>
      <c r="CJO3" s="17"/>
      <c r="CJP3" s="17"/>
      <c r="CJT3" s="15"/>
      <c r="CJZ3" s="16"/>
      <c r="CKG3" s="17"/>
      <c r="CKH3" s="17"/>
      <c r="CKL3" s="15"/>
      <c r="CKR3" s="16"/>
      <c r="CKY3" s="17"/>
      <c r="CKZ3" s="17"/>
      <c r="CLD3" s="15"/>
      <c r="CLJ3" s="16"/>
      <c r="CLQ3" s="17"/>
      <c r="CLR3" s="17"/>
      <c r="CLV3" s="15"/>
      <c r="CMB3" s="16"/>
      <c r="CMI3" s="17"/>
      <c r="CMJ3" s="17"/>
      <c r="CMN3" s="15"/>
      <c r="CMT3" s="16"/>
      <c r="CNA3" s="17"/>
      <c r="CNB3" s="17"/>
      <c r="CNF3" s="15"/>
      <c r="CNL3" s="16"/>
      <c r="CNS3" s="17"/>
      <c r="CNT3" s="17"/>
      <c r="CNX3" s="15"/>
      <c r="COD3" s="16"/>
      <c r="COK3" s="17"/>
      <c r="COL3" s="17"/>
      <c r="COP3" s="15"/>
      <c r="COV3" s="16"/>
      <c r="CPC3" s="17"/>
      <c r="CPD3" s="17"/>
      <c r="CPH3" s="15"/>
      <c r="CPN3" s="16"/>
      <c r="CPU3" s="17"/>
      <c r="CPV3" s="17"/>
      <c r="CPZ3" s="15"/>
      <c r="CQF3" s="16"/>
      <c r="CQM3" s="17"/>
      <c r="CQN3" s="17"/>
      <c r="CQR3" s="15"/>
      <c r="CQX3" s="16"/>
      <c r="CRE3" s="17"/>
      <c r="CRF3" s="17"/>
      <c r="CRJ3" s="15"/>
      <c r="CRP3" s="16"/>
      <c r="CRW3" s="17"/>
      <c r="CRX3" s="17"/>
      <c r="CSB3" s="15"/>
      <c r="CSH3" s="16"/>
      <c r="CSO3" s="17"/>
      <c r="CSP3" s="17"/>
      <c r="CST3" s="15"/>
      <c r="CSZ3" s="16"/>
      <c r="CTG3" s="17"/>
      <c r="CTH3" s="17"/>
      <c r="CTL3" s="15"/>
      <c r="CTR3" s="16"/>
      <c r="CTY3" s="17"/>
      <c r="CTZ3" s="17"/>
      <c r="CUD3" s="15"/>
      <c r="CUJ3" s="16"/>
      <c r="CUQ3" s="17"/>
      <c r="CUR3" s="17"/>
      <c r="CUV3" s="15"/>
      <c r="CVB3" s="16"/>
      <c r="CVI3" s="17"/>
      <c r="CVJ3" s="17"/>
      <c r="CVN3" s="15"/>
      <c r="CVT3" s="16"/>
      <c r="CWA3" s="17"/>
      <c r="CWB3" s="17"/>
      <c r="CWF3" s="15"/>
      <c r="CWL3" s="16"/>
      <c r="CWS3" s="17"/>
      <c r="CWT3" s="17"/>
      <c r="CWX3" s="15"/>
      <c r="CXD3" s="16"/>
      <c r="CXK3" s="17"/>
      <c r="CXL3" s="17"/>
      <c r="CXP3" s="15"/>
      <c r="CXV3" s="16"/>
      <c r="CYC3" s="17"/>
      <c r="CYD3" s="17"/>
      <c r="CYH3" s="15"/>
      <c r="CYN3" s="16"/>
      <c r="CYU3" s="17"/>
      <c r="CYV3" s="17"/>
      <c r="CYZ3" s="15"/>
      <c r="CZF3" s="16"/>
      <c r="CZM3" s="17"/>
      <c r="CZN3" s="17"/>
      <c r="CZR3" s="15"/>
      <c r="CZX3" s="16"/>
      <c r="DAE3" s="17"/>
      <c r="DAF3" s="17"/>
      <c r="DAJ3" s="15"/>
      <c r="DAP3" s="16"/>
      <c r="DAW3" s="17"/>
      <c r="DAX3" s="17"/>
      <c r="DBB3" s="15"/>
      <c r="DBH3" s="16"/>
      <c r="DBO3" s="17"/>
      <c r="DBP3" s="17"/>
      <c r="DBT3" s="15"/>
      <c r="DBZ3" s="16"/>
      <c r="DCG3" s="17"/>
      <c r="DCH3" s="17"/>
      <c r="DCL3" s="15"/>
      <c r="DCR3" s="16"/>
      <c r="DCY3" s="17"/>
      <c r="DCZ3" s="17"/>
      <c r="DDD3" s="15"/>
      <c r="DDJ3" s="16"/>
      <c r="DDQ3" s="17"/>
      <c r="DDR3" s="17"/>
      <c r="DDV3" s="15"/>
      <c r="DEB3" s="16"/>
      <c r="DEI3" s="17"/>
      <c r="DEJ3" s="17"/>
      <c r="DEN3" s="15"/>
      <c r="DET3" s="16"/>
      <c r="DFA3" s="17"/>
      <c r="DFB3" s="17"/>
      <c r="DFF3" s="15"/>
      <c r="DFL3" s="16"/>
      <c r="DFS3" s="17"/>
      <c r="DFT3" s="17"/>
      <c r="DFX3" s="15"/>
      <c r="DGD3" s="16"/>
      <c r="DGK3" s="17"/>
      <c r="DGL3" s="17"/>
      <c r="DGP3" s="15"/>
      <c r="DGV3" s="16"/>
      <c r="DHC3" s="17"/>
      <c r="DHD3" s="17"/>
      <c r="DHH3" s="15"/>
      <c r="DHN3" s="16"/>
      <c r="DHU3" s="17"/>
      <c r="DHV3" s="17"/>
      <c r="DHZ3" s="15"/>
      <c r="DIF3" s="16"/>
      <c r="DIM3" s="17"/>
      <c r="DIN3" s="17"/>
      <c r="DIR3" s="15"/>
      <c r="DIX3" s="16"/>
      <c r="DJE3" s="17"/>
      <c r="DJF3" s="17"/>
      <c r="DJJ3" s="15"/>
      <c r="DJP3" s="16"/>
      <c r="DJW3" s="17"/>
      <c r="DJX3" s="17"/>
      <c r="DKB3" s="15"/>
      <c r="DKH3" s="16"/>
      <c r="DKO3" s="17"/>
      <c r="DKP3" s="17"/>
      <c r="DKT3" s="15"/>
      <c r="DKZ3" s="16"/>
      <c r="DLG3" s="17"/>
      <c r="DLH3" s="17"/>
      <c r="DLL3" s="15"/>
      <c r="DLR3" s="16"/>
      <c r="DLY3" s="17"/>
      <c r="DLZ3" s="17"/>
      <c r="DMD3" s="15"/>
      <c r="DMJ3" s="16"/>
      <c r="DMQ3" s="17"/>
      <c r="DMR3" s="17"/>
      <c r="DMV3" s="15"/>
      <c r="DNB3" s="16"/>
      <c r="DNI3" s="17"/>
      <c r="DNJ3" s="17"/>
      <c r="DNN3" s="15"/>
      <c r="DNT3" s="16"/>
      <c r="DOA3" s="17"/>
      <c r="DOB3" s="17"/>
      <c r="DOF3" s="15"/>
      <c r="DOL3" s="16"/>
      <c r="DOS3" s="17"/>
      <c r="DOT3" s="17"/>
      <c r="DOX3" s="15"/>
      <c r="DPD3" s="16"/>
      <c r="DPK3" s="17"/>
      <c r="DPL3" s="17"/>
      <c r="DPP3" s="15"/>
      <c r="DPV3" s="16"/>
      <c r="DQC3" s="17"/>
      <c r="DQD3" s="17"/>
      <c r="DQH3" s="15"/>
      <c r="DQN3" s="16"/>
      <c r="DQU3" s="17"/>
      <c r="DQV3" s="17"/>
      <c r="DQZ3" s="15"/>
      <c r="DRF3" s="16"/>
      <c r="DRM3" s="17"/>
      <c r="DRN3" s="17"/>
      <c r="DRR3" s="15"/>
      <c r="DRX3" s="16"/>
      <c r="DSE3" s="17"/>
      <c r="DSF3" s="17"/>
      <c r="DSJ3" s="15"/>
      <c r="DSP3" s="16"/>
      <c r="DSW3" s="17"/>
      <c r="DSX3" s="17"/>
      <c r="DTB3" s="15"/>
      <c r="DTH3" s="16"/>
      <c r="DTO3" s="17"/>
      <c r="DTP3" s="17"/>
      <c r="DTT3" s="15"/>
      <c r="DTZ3" s="16"/>
      <c r="DUG3" s="17"/>
      <c r="DUH3" s="17"/>
      <c r="DUL3" s="15"/>
      <c r="DUR3" s="16"/>
      <c r="DUY3" s="17"/>
      <c r="DUZ3" s="17"/>
      <c r="DVD3" s="15"/>
      <c r="DVJ3" s="16"/>
      <c r="DVQ3" s="17"/>
      <c r="DVR3" s="17"/>
      <c r="DVV3" s="15"/>
      <c r="DWB3" s="16"/>
      <c r="DWI3" s="17"/>
      <c r="DWJ3" s="17"/>
      <c r="DWN3" s="15"/>
      <c r="DWT3" s="16"/>
      <c r="DXA3" s="17"/>
      <c r="DXB3" s="17"/>
      <c r="DXF3" s="15"/>
      <c r="DXL3" s="16"/>
      <c r="DXS3" s="17"/>
      <c r="DXT3" s="17"/>
      <c r="DXX3" s="15"/>
      <c r="DYD3" s="16"/>
      <c r="DYK3" s="17"/>
      <c r="DYL3" s="17"/>
      <c r="DYP3" s="15"/>
      <c r="DYV3" s="16"/>
      <c r="DZC3" s="17"/>
      <c r="DZD3" s="17"/>
      <c r="DZH3" s="15"/>
      <c r="DZN3" s="16"/>
      <c r="DZU3" s="17"/>
      <c r="DZV3" s="17"/>
      <c r="DZZ3" s="15"/>
      <c r="EAF3" s="16"/>
      <c r="EAM3" s="17"/>
      <c r="EAN3" s="17"/>
      <c r="EAR3" s="15"/>
      <c r="EAX3" s="16"/>
      <c r="EBE3" s="17"/>
      <c r="EBF3" s="17"/>
      <c r="EBJ3" s="15"/>
      <c r="EBP3" s="16"/>
      <c r="EBW3" s="17"/>
      <c r="EBX3" s="17"/>
      <c r="ECB3" s="15"/>
      <c r="ECH3" s="16"/>
      <c r="ECO3" s="17"/>
      <c r="ECP3" s="17"/>
      <c r="ECT3" s="15"/>
      <c r="ECZ3" s="16"/>
      <c r="EDG3" s="17"/>
      <c r="EDH3" s="17"/>
      <c r="EDL3" s="15"/>
      <c r="EDR3" s="16"/>
      <c r="EDY3" s="17"/>
      <c r="EDZ3" s="17"/>
      <c r="EED3" s="15"/>
      <c r="EEJ3" s="16"/>
      <c r="EEQ3" s="17"/>
      <c r="EER3" s="17"/>
      <c r="EEV3" s="15"/>
      <c r="EFB3" s="16"/>
      <c r="EFI3" s="17"/>
      <c r="EFJ3" s="17"/>
      <c r="EFN3" s="15"/>
      <c r="EFT3" s="16"/>
      <c r="EGA3" s="17"/>
      <c r="EGB3" s="17"/>
      <c r="EGF3" s="15"/>
      <c r="EGL3" s="16"/>
      <c r="EGS3" s="17"/>
      <c r="EGT3" s="17"/>
      <c r="EGX3" s="15"/>
      <c r="EHD3" s="16"/>
      <c r="EHK3" s="17"/>
      <c r="EHL3" s="17"/>
      <c r="EHP3" s="15"/>
      <c r="EHV3" s="16"/>
      <c r="EIC3" s="17"/>
      <c r="EID3" s="17"/>
      <c r="EIH3" s="15"/>
      <c r="EIN3" s="16"/>
      <c r="EIU3" s="17"/>
      <c r="EIV3" s="17"/>
      <c r="EIZ3" s="15"/>
      <c r="EJF3" s="16"/>
      <c r="EJM3" s="17"/>
      <c r="EJN3" s="17"/>
      <c r="EJR3" s="15"/>
      <c r="EJX3" s="16"/>
      <c r="EKE3" s="17"/>
      <c r="EKF3" s="17"/>
      <c r="EKJ3" s="15"/>
      <c r="EKP3" s="16"/>
      <c r="EKW3" s="17"/>
      <c r="EKX3" s="17"/>
      <c r="ELB3" s="15"/>
      <c r="ELH3" s="16"/>
      <c r="ELO3" s="17"/>
      <c r="ELP3" s="17"/>
      <c r="ELT3" s="15"/>
      <c r="ELZ3" s="16"/>
      <c r="EMG3" s="17"/>
      <c r="EMH3" s="17"/>
      <c r="EML3" s="15"/>
      <c r="EMR3" s="16"/>
      <c r="EMY3" s="17"/>
      <c r="EMZ3" s="17"/>
      <c r="END3" s="15"/>
      <c r="ENJ3" s="16"/>
      <c r="ENQ3" s="17"/>
      <c r="ENR3" s="17"/>
      <c r="ENV3" s="15"/>
      <c r="EOB3" s="16"/>
      <c r="EOI3" s="17"/>
      <c r="EOJ3" s="17"/>
      <c r="EON3" s="15"/>
      <c r="EOT3" s="16"/>
      <c r="EPA3" s="17"/>
      <c r="EPB3" s="17"/>
      <c r="EPF3" s="15"/>
      <c r="EPL3" s="16"/>
      <c r="EPS3" s="17"/>
      <c r="EPT3" s="17"/>
      <c r="EPX3" s="15"/>
      <c r="EQD3" s="16"/>
      <c r="EQK3" s="17"/>
      <c r="EQL3" s="17"/>
      <c r="EQP3" s="15"/>
      <c r="EQV3" s="16"/>
      <c r="ERC3" s="17"/>
      <c r="ERD3" s="17"/>
      <c r="ERH3" s="15"/>
      <c r="ERN3" s="16"/>
      <c r="ERU3" s="17"/>
      <c r="ERV3" s="17"/>
      <c r="ERZ3" s="15"/>
      <c r="ESF3" s="16"/>
      <c r="ESM3" s="17"/>
      <c r="ESN3" s="17"/>
      <c r="ESR3" s="15"/>
      <c r="ESX3" s="16"/>
      <c r="ETE3" s="17"/>
      <c r="ETF3" s="17"/>
      <c r="ETJ3" s="15"/>
      <c r="ETP3" s="16"/>
      <c r="ETW3" s="17"/>
      <c r="ETX3" s="17"/>
      <c r="EUB3" s="15"/>
      <c r="EUH3" s="16"/>
      <c r="EUO3" s="17"/>
      <c r="EUP3" s="17"/>
      <c r="EUT3" s="15"/>
      <c r="EUZ3" s="16"/>
      <c r="EVG3" s="17"/>
      <c r="EVH3" s="17"/>
      <c r="EVL3" s="15"/>
      <c r="EVR3" s="16"/>
      <c r="EVY3" s="17"/>
      <c r="EVZ3" s="17"/>
      <c r="EWD3" s="15"/>
      <c r="EWJ3" s="16"/>
      <c r="EWQ3" s="17"/>
      <c r="EWR3" s="17"/>
      <c r="EWV3" s="15"/>
      <c r="EXB3" s="16"/>
      <c r="EXI3" s="17"/>
      <c r="EXJ3" s="17"/>
      <c r="EXN3" s="15"/>
      <c r="EXT3" s="16"/>
      <c r="EYA3" s="17"/>
      <c r="EYB3" s="17"/>
      <c r="EYF3" s="15"/>
      <c r="EYL3" s="16"/>
      <c r="EYS3" s="17"/>
      <c r="EYT3" s="17"/>
      <c r="EYX3" s="15"/>
      <c r="EZD3" s="16"/>
      <c r="EZK3" s="17"/>
      <c r="EZL3" s="17"/>
      <c r="EZP3" s="15"/>
      <c r="EZV3" s="16"/>
      <c r="FAC3" s="17"/>
      <c r="FAD3" s="17"/>
      <c r="FAH3" s="15"/>
      <c r="FAN3" s="16"/>
      <c r="FAU3" s="17"/>
      <c r="FAV3" s="17"/>
      <c r="FAZ3" s="15"/>
      <c r="FBF3" s="16"/>
      <c r="FBM3" s="17"/>
      <c r="FBN3" s="17"/>
      <c r="FBR3" s="15"/>
      <c r="FBX3" s="16"/>
      <c r="FCE3" s="17"/>
      <c r="FCF3" s="17"/>
      <c r="FCJ3" s="15"/>
      <c r="FCP3" s="16"/>
      <c r="FCW3" s="17"/>
      <c r="FCX3" s="17"/>
      <c r="FDB3" s="15"/>
      <c r="FDH3" s="16"/>
      <c r="FDO3" s="17"/>
      <c r="FDP3" s="17"/>
      <c r="FDT3" s="15"/>
      <c r="FDZ3" s="16"/>
      <c r="FEG3" s="17"/>
      <c r="FEH3" s="17"/>
      <c r="FEL3" s="15"/>
      <c r="FER3" s="16"/>
      <c r="FEY3" s="17"/>
      <c r="FEZ3" s="17"/>
      <c r="FFD3" s="15"/>
      <c r="FFJ3" s="16"/>
      <c r="FFQ3" s="17"/>
      <c r="FFR3" s="17"/>
      <c r="FFV3" s="15"/>
      <c r="FGB3" s="16"/>
      <c r="FGI3" s="17"/>
      <c r="FGJ3" s="17"/>
      <c r="FGN3" s="15"/>
      <c r="FGT3" s="16"/>
      <c r="FHA3" s="17"/>
      <c r="FHB3" s="17"/>
      <c r="FHF3" s="15"/>
      <c r="FHL3" s="16"/>
      <c r="FHS3" s="17"/>
      <c r="FHT3" s="17"/>
      <c r="FHX3" s="15"/>
      <c r="FID3" s="16"/>
      <c r="FIK3" s="17"/>
      <c r="FIL3" s="17"/>
      <c r="FIP3" s="15"/>
      <c r="FIV3" s="16"/>
      <c r="FJC3" s="17"/>
      <c r="FJD3" s="17"/>
      <c r="FJH3" s="15"/>
      <c r="FJN3" s="16"/>
      <c r="FJU3" s="17"/>
      <c r="FJV3" s="17"/>
      <c r="FJZ3" s="15"/>
      <c r="FKF3" s="16"/>
      <c r="FKM3" s="17"/>
      <c r="FKN3" s="17"/>
      <c r="FKR3" s="15"/>
      <c r="FKX3" s="16"/>
      <c r="FLE3" s="17"/>
      <c r="FLF3" s="17"/>
      <c r="FLJ3" s="15"/>
      <c r="FLP3" s="16"/>
      <c r="FLW3" s="17"/>
      <c r="FLX3" s="17"/>
      <c r="FMB3" s="15"/>
      <c r="FMH3" s="16"/>
      <c r="FMO3" s="17"/>
      <c r="FMP3" s="17"/>
      <c r="FMT3" s="15"/>
      <c r="FMZ3" s="16"/>
      <c r="FNG3" s="17"/>
      <c r="FNH3" s="17"/>
      <c r="FNL3" s="15"/>
      <c r="FNR3" s="16"/>
      <c r="FNY3" s="17"/>
      <c r="FNZ3" s="17"/>
      <c r="FOD3" s="15"/>
      <c r="FOJ3" s="16"/>
      <c r="FOQ3" s="17"/>
      <c r="FOR3" s="17"/>
      <c r="FOV3" s="15"/>
      <c r="FPB3" s="16"/>
      <c r="FPI3" s="17"/>
      <c r="FPJ3" s="17"/>
      <c r="FPN3" s="15"/>
      <c r="FPT3" s="16"/>
      <c r="FQA3" s="17"/>
      <c r="FQB3" s="17"/>
      <c r="FQF3" s="15"/>
      <c r="FQL3" s="16"/>
      <c r="FQS3" s="17"/>
      <c r="FQT3" s="17"/>
      <c r="FQX3" s="15"/>
      <c r="FRD3" s="16"/>
      <c r="FRK3" s="17"/>
      <c r="FRL3" s="17"/>
      <c r="FRP3" s="15"/>
      <c r="FRV3" s="16"/>
      <c r="FSC3" s="17"/>
      <c r="FSD3" s="17"/>
      <c r="FSH3" s="15"/>
      <c r="FSN3" s="16"/>
      <c r="FSU3" s="17"/>
      <c r="FSV3" s="17"/>
      <c r="FSZ3" s="15"/>
      <c r="FTF3" s="16"/>
      <c r="FTM3" s="17"/>
      <c r="FTN3" s="17"/>
      <c r="FTR3" s="15"/>
      <c r="FTX3" s="16"/>
      <c r="FUE3" s="17"/>
      <c r="FUF3" s="17"/>
      <c r="FUJ3" s="15"/>
      <c r="FUP3" s="16"/>
      <c r="FUW3" s="17"/>
      <c r="FUX3" s="17"/>
      <c r="FVB3" s="15"/>
      <c r="FVH3" s="16"/>
      <c r="FVO3" s="17"/>
      <c r="FVP3" s="17"/>
      <c r="FVT3" s="15"/>
      <c r="FVZ3" s="16"/>
      <c r="FWG3" s="17"/>
      <c r="FWH3" s="17"/>
      <c r="FWL3" s="15"/>
      <c r="FWR3" s="16"/>
      <c r="FWY3" s="17"/>
      <c r="FWZ3" s="17"/>
      <c r="FXD3" s="15"/>
      <c r="FXJ3" s="16"/>
      <c r="FXQ3" s="17"/>
      <c r="FXR3" s="17"/>
      <c r="FXV3" s="15"/>
      <c r="FYB3" s="16"/>
      <c r="FYI3" s="17"/>
      <c r="FYJ3" s="17"/>
      <c r="FYN3" s="15"/>
      <c r="FYT3" s="16"/>
      <c r="FZA3" s="17"/>
      <c r="FZB3" s="17"/>
      <c r="FZF3" s="15"/>
      <c r="FZL3" s="16"/>
      <c r="FZS3" s="17"/>
      <c r="FZT3" s="17"/>
      <c r="FZX3" s="15"/>
      <c r="GAD3" s="16"/>
      <c r="GAK3" s="17"/>
      <c r="GAL3" s="17"/>
      <c r="GAP3" s="15"/>
      <c r="GAV3" s="16"/>
      <c r="GBC3" s="17"/>
      <c r="GBD3" s="17"/>
      <c r="GBH3" s="15"/>
      <c r="GBN3" s="16"/>
      <c r="GBU3" s="17"/>
      <c r="GBV3" s="17"/>
      <c r="GBZ3" s="15"/>
      <c r="GCF3" s="16"/>
      <c r="GCM3" s="17"/>
      <c r="GCN3" s="17"/>
      <c r="GCR3" s="15"/>
      <c r="GCX3" s="16"/>
      <c r="GDE3" s="17"/>
      <c r="GDF3" s="17"/>
      <c r="GDJ3" s="15"/>
      <c r="GDP3" s="16"/>
      <c r="GDW3" s="17"/>
      <c r="GDX3" s="17"/>
      <c r="GEB3" s="15"/>
      <c r="GEH3" s="16"/>
      <c r="GEO3" s="17"/>
      <c r="GEP3" s="17"/>
      <c r="GET3" s="15"/>
      <c r="GEZ3" s="16"/>
      <c r="GFG3" s="17"/>
      <c r="GFH3" s="17"/>
      <c r="GFL3" s="15"/>
      <c r="GFR3" s="16"/>
      <c r="GFY3" s="17"/>
      <c r="GFZ3" s="17"/>
      <c r="GGD3" s="15"/>
      <c r="GGJ3" s="16"/>
      <c r="GGQ3" s="17"/>
      <c r="GGR3" s="17"/>
      <c r="GGV3" s="15"/>
      <c r="GHB3" s="16"/>
      <c r="GHI3" s="17"/>
      <c r="GHJ3" s="17"/>
      <c r="GHN3" s="15"/>
      <c r="GHT3" s="16"/>
      <c r="GIA3" s="17"/>
      <c r="GIB3" s="17"/>
      <c r="GIF3" s="15"/>
      <c r="GIL3" s="16"/>
      <c r="GIS3" s="17"/>
      <c r="GIT3" s="17"/>
      <c r="GIX3" s="15"/>
      <c r="GJD3" s="16"/>
      <c r="GJK3" s="17"/>
      <c r="GJL3" s="17"/>
      <c r="GJP3" s="15"/>
      <c r="GJV3" s="16"/>
      <c r="GKC3" s="17"/>
      <c r="GKD3" s="17"/>
      <c r="GKH3" s="15"/>
      <c r="GKN3" s="16"/>
      <c r="GKU3" s="17"/>
      <c r="GKV3" s="17"/>
      <c r="GKZ3" s="15"/>
      <c r="GLF3" s="16"/>
      <c r="GLM3" s="17"/>
      <c r="GLN3" s="17"/>
      <c r="GLR3" s="15"/>
      <c r="GLX3" s="16"/>
      <c r="GME3" s="17"/>
      <c r="GMF3" s="17"/>
      <c r="GMJ3" s="15"/>
      <c r="GMP3" s="16"/>
      <c r="GMW3" s="17"/>
      <c r="GMX3" s="17"/>
      <c r="GNB3" s="15"/>
      <c r="GNH3" s="16"/>
      <c r="GNO3" s="17"/>
      <c r="GNP3" s="17"/>
      <c r="GNT3" s="15"/>
      <c r="GNZ3" s="16"/>
      <c r="GOG3" s="17"/>
      <c r="GOH3" s="17"/>
      <c r="GOL3" s="15"/>
      <c r="GOR3" s="16"/>
      <c r="GOY3" s="17"/>
      <c r="GOZ3" s="17"/>
      <c r="GPD3" s="15"/>
      <c r="GPJ3" s="16"/>
      <c r="GPQ3" s="17"/>
      <c r="GPR3" s="17"/>
      <c r="GPV3" s="15"/>
      <c r="GQB3" s="16"/>
      <c r="GQI3" s="17"/>
      <c r="GQJ3" s="17"/>
      <c r="GQN3" s="15"/>
      <c r="GQT3" s="16"/>
      <c r="GRA3" s="17"/>
      <c r="GRB3" s="17"/>
      <c r="GRF3" s="15"/>
      <c r="GRL3" s="16"/>
      <c r="GRS3" s="17"/>
      <c r="GRT3" s="17"/>
      <c r="GRX3" s="15"/>
      <c r="GSD3" s="16"/>
      <c r="GSK3" s="17"/>
      <c r="GSL3" s="17"/>
      <c r="GSP3" s="15"/>
      <c r="GSV3" s="16"/>
      <c r="GTC3" s="17"/>
      <c r="GTD3" s="17"/>
      <c r="GTH3" s="15"/>
      <c r="GTN3" s="16"/>
      <c r="GTU3" s="17"/>
      <c r="GTV3" s="17"/>
      <c r="GTZ3" s="15"/>
      <c r="GUF3" s="16"/>
      <c r="GUM3" s="17"/>
      <c r="GUN3" s="17"/>
      <c r="GUR3" s="15"/>
      <c r="GUX3" s="16"/>
      <c r="GVE3" s="17"/>
      <c r="GVF3" s="17"/>
      <c r="GVJ3" s="15"/>
      <c r="GVP3" s="16"/>
      <c r="GVW3" s="17"/>
      <c r="GVX3" s="17"/>
      <c r="GWB3" s="15"/>
      <c r="GWH3" s="16"/>
      <c r="GWO3" s="17"/>
      <c r="GWP3" s="17"/>
      <c r="GWT3" s="15"/>
      <c r="GWZ3" s="16"/>
      <c r="GXG3" s="17"/>
      <c r="GXH3" s="17"/>
      <c r="GXL3" s="15"/>
      <c r="GXR3" s="16"/>
      <c r="GXY3" s="17"/>
      <c r="GXZ3" s="17"/>
      <c r="GYD3" s="15"/>
      <c r="GYJ3" s="16"/>
      <c r="GYQ3" s="17"/>
      <c r="GYR3" s="17"/>
      <c r="GYV3" s="15"/>
      <c r="GZB3" s="16"/>
      <c r="GZI3" s="17"/>
      <c r="GZJ3" s="17"/>
      <c r="GZN3" s="15"/>
      <c r="GZT3" s="16"/>
      <c r="HAA3" s="17"/>
      <c r="HAB3" s="17"/>
      <c r="HAF3" s="15"/>
      <c r="HAL3" s="16"/>
      <c r="HAS3" s="17"/>
      <c r="HAT3" s="17"/>
      <c r="HAX3" s="15"/>
      <c r="HBD3" s="16"/>
      <c r="HBK3" s="17"/>
      <c r="HBL3" s="17"/>
      <c r="HBP3" s="15"/>
      <c r="HBV3" s="16"/>
      <c r="HCC3" s="17"/>
      <c r="HCD3" s="17"/>
      <c r="HCH3" s="15"/>
      <c r="HCN3" s="16"/>
      <c r="HCU3" s="17"/>
      <c r="HCV3" s="17"/>
      <c r="HCZ3" s="15"/>
      <c r="HDF3" s="16"/>
      <c r="HDM3" s="17"/>
      <c r="HDN3" s="17"/>
      <c r="HDR3" s="15"/>
      <c r="HDX3" s="16"/>
      <c r="HEE3" s="17"/>
      <c r="HEF3" s="17"/>
      <c r="HEJ3" s="15"/>
      <c r="HEP3" s="16"/>
      <c r="HEW3" s="17"/>
      <c r="HEX3" s="17"/>
      <c r="HFB3" s="15"/>
      <c r="HFH3" s="16"/>
      <c r="HFO3" s="17"/>
      <c r="HFP3" s="17"/>
      <c r="HFT3" s="15"/>
      <c r="HFZ3" s="16"/>
      <c r="HGG3" s="17"/>
      <c r="HGH3" s="17"/>
      <c r="HGL3" s="15"/>
      <c r="HGR3" s="16"/>
      <c r="HGY3" s="17"/>
      <c r="HGZ3" s="17"/>
      <c r="HHD3" s="15"/>
      <c r="HHJ3" s="16"/>
      <c r="HHQ3" s="17"/>
      <c r="HHR3" s="17"/>
      <c r="HHV3" s="15"/>
      <c r="HIB3" s="16"/>
      <c r="HII3" s="17"/>
      <c r="HIJ3" s="17"/>
      <c r="HIN3" s="15"/>
      <c r="HIT3" s="16"/>
      <c r="HJA3" s="17"/>
      <c r="HJB3" s="17"/>
      <c r="HJF3" s="15"/>
      <c r="HJL3" s="16"/>
      <c r="HJS3" s="17"/>
      <c r="HJT3" s="17"/>
      <c r="HJX3" s="15"/>
      <c r="HKD3" s="16"/>
      <c r="HKK3" s="17"/>
      <c r="HKL3" s="17"/>
      <c r="HKP3" s="15"/>
      <c r="HKV3" s="16"/>
      <c r="HLC3" s="17"/>
      <c r="HLD3" s="17"/>
      <c r="HLH3" s="15"/>
      <c r="HLN3" s="16"/>
      <c r="HLU3" s="17"/>
      <c r="HLV3" s="17"/>
      <c r="HLZ3" s="15"/>
      <c r="HMF3" s="16"/>
      <c r="HMM3" s="17"/>
      <c r="HMN3" s="17"/>
      <c r="HMR3" s="15"/>
      <c r="HMX3" s="16"/>
      <c r="HNE3" s="17"/>
      <c r="HNF3" s="17"/>
      <c r="HNJ3" s="15"/>
      <c r="HNP3" s="16"/>
      <c r="HNW3" s="17"/>
      <c r="HNX3" s="17"/>
      <c r="HOB3" s="15"/>
      <c r="HOH3" s="16"/>
      <c r="HOO3" s="17"/>
      <c r="HOP3" s="17"/>
      <c r="HOT3" s="15"/>
      <c r="HOZ3" s="16"/>
      <c r="HPG3" s="17"/>
      <c r="HPH3" s="17"/>
      <c r="HPL3" s="15"/>
      <c r="HPR3" s="16"/>
      <c r="HPY3" s="17"/>
      <c r="HPZ3" s="17"/>
      <c r="HQD3" s="15"/>
      <c r="HQJ3" s="16"/>
      <c r="HQQ3" s="17"/>
      <c r="HQR3" s="17"/>
      <c r="HQV3" s="15"/>
      <c r="HRB3" s="16"/>
      <c r="HRI3" s="17"/>
      <c r="HRJ3" s="17"/>
      <c r="HRN3" s="15"/>
      <c r="HRT3" s="16"/>
      <c r="HSA3" s="17"/>
      <c r="HSB3" s="17"/>
      <c r="HSF3" s="15"/>
      <c r="HSL3" s="16"/>
      <c r="HSS3" s="17"/>
      <c r="HST3" s="17"/>
      <c r="HSX3" s="15"/>
      <c r="HTD3" s="16"/>
      <c r="HTK3" s="17"/>
      <c r="HTL3" s="17"/>
      <c r="HTP3" s="15"/>
      <c r="HTV3" s="16"/>
      <c r="HUC3" s="17"/>
      <c r="HUD3" s="17"/>
      <c r="HUH3" s="15"/>
      <c r="HUN3" s="16"/>
      <c r="HUU3" s="17"/>
      <c r="HUV3" s="17"/>
      <c r="HUZ3" s="15"/>
      <c r="HVF3" s="16"/>
      <c r="HVM3" s="17"/>
      <c r="HVN3" s="17"/>
      <c r="HVR3" s="15"/>
      <c r="HVX3" s="16"/>
      <c r="HWE3" s="17"/>
      <c r="HWF3" s="17"/>
      <c r="HWJ3" s="15"/>
      <c r="HWP3" s="16"/>
      <c r="HWW3" s="17"/>
      <c r="HWX3" s="17"/>
      <c r="HXB3" s="15"/>
      <c r="HXH3" s="16"/>
      <c r="HXO3" s="17"/>
      <c r="HXP3" s="17"/>
      <c r="HXT3" s="15"/>
      <c r="HXZ3" s="16"/>
      <c r="HYG3" s="17"/>
      <c r="HYH3" s="17"/>
      <c r="HYL3" s="15"/>
      <c r="HYR3" s="16"/>
      <c r="HYY3" s="17"/>
      <c r="HYZ3" s="17"/>
      <c r="HZD3" s="15"/>
      <c r="HZJ3" s="16"/>
      <c r="HZQ3" s="17"/>
      <c r="HZR3" s="17"/>
      <c r="HZV3" s="15"/>
      <c r="IAB3" s="16"/>
      <c r="IAI3" s="17"/>
      <c r="IAJ3" s="17"/>
      <c r="IAN3" s="15"/>
      <c r="IAT3" s="16"/>
      <c r="IBA3" s="17"/>
      <c r="IBB3" s="17"/>
      <c r="IBF3" s="15"/>
      <c r="IBL3" s="16"/>
      <c r="IBS3" s="17"/>
      <c r="IBT3" s="17"/>
      <c r="IBX3" s="15"/>
      <c r="ICD3" s="16"/>
      <c r="ICK3" s="17"/>
      <c r="ICL3" s="17"/>
      <c r="ICP3" s="15"/>
      <c r="ICV3" s="16"/>
      <c r="IDC3" s="17"/>
      <c r="IDD3" s="17"/>
      <c r="IDH3" s="15"/>
      <c r="IDN3" s="16"/>
      <c r="IDU3" s="17"/>
      <c r="IDV3" s="17"/>
      <c r="IDZ3" s="15"/>
      <c r="IEF3" s="16"/>
      <c r="IEM3" s="17"/>
      <c r="IEN3" s="17"/>
      <c r="IER3" s="15"/>
      <c r="IEX3" s="16"/>
      <c r="IFE3" s="17"/>
      <c r="IFF3" s="17"/>
      <c r="IFJ3" s="15"/>
      <c r="IFP3" s="16"/>
      <c r="IFW3" s="17"/>
      <c r="IFX3" s="17"/>
      <c r="IGB3" s="15"/>
      <c r="IGH3" s="16"/>
      <c r="IGO3" s="17"/>
      <c r="IGP3" s="17"/>
      <c r="IGT3" s="15"/>
      <c r="IGZ3" s="16"/>
      <c r="IHG3" s="17"/>
      <c r="IHH3" s="17"/>
      <c r="IHL3" s="15"/>
      <c r="IHR3" s="16"/>
      <c r="IHY3" s="17"/>
      <c r="IHZ3" s="17"/>
      <c r="IID3" s="15"/>
      <c r="IIJ3" s="16"/>
      <c r="IIQ3" s="17"/>
      <c r="IIR3" s="17"/>
      <c r="IIV3" s="15"/>
      <c r="IJB3" s="16"/>
      <c r="IJI3" s="17"/>
      <c r="IJJ3" s="17"/>
      <c r="IJN3" s="15"/>
      <c r="IJT3" s="16"/>
      <c r="IKA3" s="17"/>
      <c r="IKB3" s="17"/>
      <c r="IKF3" s="15"/>
      <c r="IKL3" s="16"/>
      <c r="IKS3" s="17"/>
      <c r="IKT3" s="17"/>
      <c r="IKX3" s="15"/>
      <c r="ILD3" s="16"/>
      <c r="ILK3" s="17"/>
      <c r="ILL3" s="17"/>
      <c r="ILP3" s="15"/>
      <c r="ILV3" s="16"/>
      <c r="IMC3" s="17"/>
      <c r="IMD3" s="17"/>
      <c r="IMH3" s="15"/>
      <c r="IMN3" s="16"/>
      <c r="IMU3" s="17"/>
      <c r="IMV3" s="17"/>
      <c r="IMZ3" s="15"/>
      <c r="INF3" s="16"/>
      <c r="INM3" s="17"/>
      <c r="INN3" s="17"/>
      <c r="INR3" s="15"/>
      <c r="INX3" s="16"/>
      <c r="IOE3" s="17"/>
      <c r="IOF3" s="17"/>
      <c r="IOJ3" s="15"/>
      <c r="IOP3" s="16"/>
      <c r="IOW3" s="17"/>
      <c r="IOX3" s="17"/>
      <c r="IPB3" s="15"/>
      <c r="IPH3" s="16"/>
      <c r="IPO3" s="17"/>
      <c r="IPP3" s="17"/>
      <c r="IPT3" s="15"/>
      <c r="IPZ3" s="16"/>
      <c r="IQG3" s="17"/>
      <c r="IQH3" s="17"/>
      <c r="IQL3" s="15"/>
      <c r="IQR3" s="16"/>
      <c r="IQY3" s="17"/>
      <c r="IQZ3" s="17"/>
      <c r="IRD3" s="15"/>
      <c r="IRJ3" s="16"/>
      <c r="IRQ3" s="17"/>
      <c r="IRR3" s="17"/>
      <c r="IRV3" s="15"/>
      <c r="ISB3" s="16"/>
      <c r="ISI3" s="17"/>
      <c r="ISJ3" s="17"/>
      <c r="ISN3" s="15"/>
      <c r="IST3" s="16"/>
      <c r="ITA3" s="17"/>
      <c r="ITB3" s="17"/>
      <c r="ITF3" s="15"/>
      <c r="ITL3" s="16"/>
      <c r="ITS3" s="17"/>
      <c r="ITT3" s="17"/>
      <c r="ITX3" s="15"/>
      <c r="IUD3" s="16"/>
      <c r="IUK3" s="17"/>
      <c r="IUL3" s="17"/>
      <c r="IUP3" s="15"/>
      <c r="IUV3" s="16"/>
      <c r="IVC3" s="17"/>
      <c r="IVD3" s="17"/>
      <c r="IVH3" s="15"/>
      <c r="IVN3" s="16"/>
      <c r="IVU3" s="17"/>
      <c r="IVV3" s="17"/>
      <c r="IVZ3" s="15"/>
      <c r="IWF3" s="16"/>
      <c r="IWM3" s="17"/>
      <c r="IWN3" s="17"/>
      <c r="IWR3" s="15"/>
      <c r="IWX3" s="16"/>
      <c r="IXE3" s="17"/>
      <c r="IXF3" s="17"/>
      <c r="IXJ3" s="15"/>
      <c r="IXP3" s="16"/>
      <c r="IXW3" s="17"/>
      <c r="IXX3" s="17"/>
      <c r="IYB3" s="15"/>
      <c r="IYH3" s="16"/>
      <c r="IYO3" s="17"/>
      <c r="IYP3" s="17"/>
      <c r="IYT3" s="15"/>
      <c r="IYZ3" s="16"/>
      <c r="IZG3" s="17"/>
      <c r="IZH3" s="17"/>
      <c r="IZL3" s="15"/>
      <c r="IZR3" s="16"/>
      <c r="IZY3" s="17"/>
      <c r="IZZ3" s="17"/>
      <c r="JAD3" s="15"/>
      <c r="JAJ3" s="16"/>
      <c r="JAQ3" s="17"/>
      <c r="JAR3" s="17"/>
      <c r="JAV3" s="15"/>
      <c r="JBB3" s="16"/>
      <c r="JBI3" s="17"/>
      <c r="JBJ3" s="17"/>
      <c r="JBN3" s="15"/>
      <c r="JBT3" s="16"/>
      <c r="JCA3" s="17"/>
      <c r="JCB3" s="17"/>
      <c r="JCF3" s="15"/>
      <c r="JCL3" s="16"/>
      <c r="JCS3" s="17"/>
      <c r="JCT3" s="17"/>
      <c r="JCX3" s="15"/>
      <c r="JDD3" s="16"/>
      <c r="JDK3" s="17"/>
      <c r="JDL3" s="17"/>
      <c r="JDP3" s="15"/>
      <c r="JDV3" s="16"/>
      <c r="JEC3" s="17"/>
      <c r="JED3" s="17"/>
      <c r="JEH3" s="15"/>
      <c r="JEN3" s="16"/>
      <c r="JEU3" s="17"/>
      <c r="JEV3" s="17"/>
      <c r="JEZ3" s="15"/>
      <c r="JFF3" s="16"/>
      <c r="JFM3" s="17"/>
      <c r="JFN3" s="17"/>
      <c r="JFR3" s="15"/>
      <c r="JFX3" s="16"/>
      <c r="JGE3" s="17"/>
      <c r="JGF3" s="17"/>
      <c r="JGJ3" s="15"/>
      <c r="JGP3" s="16"/>
      <c r="JGW3" s="17"/>
      <c r="JGX3" s="17"/>
      <c r="JHB3" s="15"/>
      <c r="JHH3" s="16"/>
      <c r="JHO3" s="17"/>
      <c r="JHP3" s="17"/>
      <c r="JHT3" s="15"/>
      <c r="JHZ3" s="16"/>
      <c r="JIG3" s="17"/>
      <c r="JIH3" s="17"/>
      <c r="JIL3" s="15"/>
      <c r="JIR3" s="16"/>
      <c r="JIY3" s="17"/>
      <c r="JIZ3" s="17"/>
      <c r="JJD3" s="15"/>
      <c r="JJJ3" s="16"/>
      <c r="JJQ3" s="17"/>
      <c r="JJR3" s="17"/>
      <c r="JJV3" s="15"/>
      <c r="JKB3" s="16"/>
      <c r="JKI3" s="17"/>
      <c r="JKJ3" s="17"/>
      <c r="JKN3" s="15"/>
      <c r="JKT3" s="16"/>
      <c r="JLA3" s="17"/>
      <c r="JLB3" s="17"/>
      <c r="JLF3" s="15"/>
      <c r="JLL3" s="16"/>
      <c r="JLS3" s="17"/>
      <c r="JLT3" s="17"/>
      <c r="JLX3" s="15"/>
      <c r="JMD3" s="16"/>
      <c r="JMK3" s="17"/>
      <c r="JML3" s="17"/>
      <c r="JMP3" s="15"/>
      <c r="JMV3" s="16"/>
      <c r="JNC3" s="17"/>
      <c r="JND3" s="17"/>
      <c r="JNH3" s="15"/>
      <c r="JNN3" s="16"/>
      <c r="JNU3" s="17"/>
      <c r="JNV3" s="17"/>
      <c r="JNZ3" s="15"/>
      <c r="JOF3" s="16"/>
      <c r="JOM3" s="17"/>
      <c r="JON3" s="17"/>
      <c r="JOR3" s="15"/>
      <c r="JOX3" s="16"/>
      <c r="JPE3" s="17"/>
      <c r="JPF3" s="17"/>
      <c r="JPJ3" s="15"/>
      <c r="JPP3" s="16"/>
      <c r="JPW3" s="17"/>
      <c r="JPX3" s="17"/>
      <c r="JQB3" s="15"/>
      <c r="JQH3" s="16"/>
      <c r="JQO3" s="17"/>
      <c r="JQP3" s="17"/>
      <c r="JQT3" s="15"/>
      <c r="JQZ3" s="16"/>
      <c r="JRG3" s="17"/>
      <c r="JRH3" s="17"/>
      <c r="JRL3" s="15"/>
      <c r="JRR3" s="16"/>
      <c r="JRY3" s="17"/>
      <c r="JRZ3" s="17"/>
      <c r="JSD3" s="15"/>
      <c r="JSJ3" s="16"/>
      <c r="JSQ3" s="17"/>
      <c r="JSR3" s="17"/>
      <c r="JSV3" s="15"/>
      <c r="JTB3" s="16"/>
      <c r="JTI3" s="17"/>
      <c r="JTJ3" s="17"/>
      <c r="JTN3" s="15"/>
      <c r="JTT3" s="16"/>
      <c r="JUA3" s="17"/>
      <c r="JUB3" s="17"/>
      <c r="JUF3" s="15"/>
      <c r="JUL3" s="16"/>
      <c r="JUS3" s="17"/>
      <c r="JUT3" s="17"/>
      <c r="JUX3" s="15"/>
      <c r="JVD3" s="16"/>
      <c r="JVK3" s="17"/>
      <c r="JVL3" s="17"/>
      <c r="JVP3" s="15"/>
      <c r="JVV3" s="16"/>
      <c r="JWC3" s="17"/>
      <c r="JWD3" s="17"/>
      <c r="JWH3" s="15"/>
      <c r="JWN3" s="16"/>
      <c r="JWU3" s="17"/>
      <c r="JWV3" s="17"/>
      <c r="JWZ3" s="15"/>
      <c r="JXF3" s="16"/>
      <c r="JXM3" s="17"/>
      <c r="JXN3" s="17"/>
      <c r="JXR3" s="15"/>
      <c r="JXX3" s="16"/>
      <c r="JYE3" s="17"/>
      <c r="JYF3" s="17"/>
      <c r="JYJ3" s="15"/>
      <c r="JYP3" s="16"/>
      <c r="JYW3" s="17"/>
      <c r="JYX3" s="17"/>
      <c r="JZB3" s="15"/>
      <c r="JZH3" s="16"/>
      <c r="JZO3" s="17"/>
      <c r="JZP3" s="17"/>
      <c r="JZT3" s="15"/>
      <c r="JZZ3" s="16"/>
      <c r="KAG3" s="17"/>
      <c r="KAH3" s="17"/>
      <c r="KAL3" s="15"/>
      <c r="KAR3" s="16"/>
      <c r="KAY3" s="17"/>
      <c r="KAZ3" s="17"/>
      <c r="KBD3" s="15"/>
      <c r="KBJ3" s="16"/>
      <c r="KBQ3" s="17"/>
      <c r="KBR3" s="17"/>
      <c r="KBV3" s="15"/>
      <c r="KCB3" s="16"/>
      <c r="KCI3" s="17"/>
      <c r="KCJ3" s="17"/>
      <c r="KCN3" s="15"/>
      <c r="KCT3" s="16"/>
      <c r="KDA3" s="17"/>
      <c r="KDB3" s="17"/>
      <c r="KDF3" s="15"/>
      <c r="KDL3" s="16"/>
      <c r="KDS3" s="17"/>
      <c r="KDT3" s="17"/>
      <c r="KDX3" s="15"/>
      <c r="KED3" s="16"/>
      <c r="KEK3" s="17"/>
      <c r="KEL3" s="17"/>
      <c r="KEP3" s="15"/>
      <c r="KEV3" s="16"/>
      <c r="KFC3" s="17"/>
      <c r="KFD3" s="17"/>
      <c r="KFH3" s="15"/>
      <c r="KFN3" s="16"/>
      <c r="KFU3" s="17"/>
      <c r="KFV3" s="17"/>
      <c r="KFZ3" s="15"/>
      <c r="KGF3" s="16"/>
      <c r="KGM3" s="17"/>
      <c r="KGN3" s="17"/>
      <c r="KGR3" s="15"/>
      <c r="KGX3" s="16"/>
      <c r="KHE3" s="17"/>
      <c r="KHF3" s="17"/>
      <c r="KHJ3" s="15"/>
      <c r="KHP3" s="16"/>
      <c r="KHW3" s="17"/>
      <c r="KHX3" s="17"/>
      <c r="KIB3" s="15"/>
      <c r="KIH3" s="16"/>
      <c r="KIO3" s="17"/>
      <c r="KIP3" s="17"/>
      <c r="KIT3" s="15"/>
      <c r="KIZ3" s="16"/>
      <c r="KJG3" s="17"/>
      <c r="KJH3" s="17"/>
      <c r="KJL3" s="15"/>
      <c r="KJR3" s="16"/>
      <c r="KJY3" s="17"/>
      <c r="KJZ3" s="17"/>
      <c r="KKD3" s="15"/>
      <c r="KKJ3" s="16"/>
      <c r="KKQ3" s="17"/>
      <c r="KKR3" s="17"/>
      <c r="KKV3" s="15"/>
      <c r="KLB3" s="16"/>
      <c r="KLI3" s="17"/>
      <c r="KLJ3" s="17"/>
      <c r="KLN3" s="15"/>
      <c r="KLT3" s="16"/>
      <c r="KMA3" s="17"/>
      <c r="KMB3" s="17"/>
      <c r="KMF3" s="15"/>
      <c r="KML3" s="16"/>
      <c r="KMS3" s="17"/>
      <c r="KMT3" s="17"/>
      <c r="KMX3" s="15"/>
      <c r="KND3" s="16"/>
      <c r="KNK3" s="17"/>
      <c r="KNL3" s="17"/>
      <c r="KNP3" s="15"/>
      <c r="KNV3" s="16"/>
      <c r="KOC3" s="17"/>
      <c r="KOD3" s="17"/>
      <c r="KOH3" s="15"/>
      <c r="KON3" s="16"/>
      <c r="KOU3" s="17"/>
      <c r="KOV3" s="17"/>
      <c r="KOZ3" s="15"/>
      <c r="KPF3" s="16"/>
      <c r="KPM3" s="17"/>
      <c r="KPN3" s="17"/>
      <c r="KPR3" s="15"/>
      <c r="KPX3" s="16"/>
      <c r="KQE3" s="17"/>
      <c r="KQF3" s="17"/>
      <c r="KQJ3" s="15"/>
      <c r="KQP3" s="16"/>
      <c r="KQW3" s="17"/>
      <c r="KQX3" s="17"/>
      <c r="KRB3" s="15"/>
      <c r="KRH3" s="16"/>
      <c r="KRO3" s="17"/>
      <c r="KRP3" s="17"/>
      <c r="KRT3" s="15"/>
      <c r="KRZ3" s="16"/>
      <c r="KSG3" s="17"/>
      <c r="KSH3" s="17"/>
      <c r="KSL3" s="15"/>
      <c r="KSR3" s="16"/>
      <c r="KSY3" s="17"/>
      <c r="KSZ3" s="17"/>
      <c r="KTD3" s="15"/>
      <c r="KTJ3" s="16"/>
      <c r="KTQ3" s="17"/>
      <c r="KTR3" s="17"/>
      <c r="KTV3" s="15"/>
      <c r="KUB3" s="16"/>
      <c r="KUI3" s="17"/>
      <c r="KUJ3" s="17"/>
      <c r="KUN3" s="15"/>
      <c r="KUT3" s="16"/>
      <c r="KVA3" s="17"/>
      <c r="KVB3" s="17"/>
      <c r="KVF3" s="15"/>
      <c r="KVL3" s="16"/>
      <c r="KVS3" s="17"/>
      <c r="KVT3" s="17"/>
      <c r="KVX3" s="15"/>
      <c r="KWD3" s="16"/>
      <c r="KWK3" s="17"/>
      <c r="KWL3" s="17"/>
      <c r="KWP3" s="15"/>
      <c r="KWV3" s="16"/>
      <c r="KXC3" s="17"/>
      <c r="KXD3" s="17"/>
      <c r="KXH3" s="15"/>
      <c r="KXN3" s="16"/>
      <c r="KXU3" s="17"/>
      <c r="KXV3" s="17"/>
      <c r="KXZ3" s="15"/>
      <c r="KYF3" s="16"/>
      <c r="KYM3" s="17"/>
      <c r="KYN3" s="17"/>
      <c r="KYR3" s="15"/>
      <c r="KYX3" s="16"/>
      <c r="KZE3" s="17"/>
      <c r="KZF3" s="17"/>
      <c r="KZJ3" s="15"/>
      <c r="KZP3" s="16"/>
      <c r="KZW3" s="17"/>
      <c r="KZX3" s="17"/>
      <c r="LAB3" s="15"/>
      <c r="LAH3" s="16"/>
      <c r="LAO3" s="17"/>
      <c r="LAP3" s="17"/>
      <c r="LAT3" s="15"/>
      <c r="LAZ3" s="16"/>
      <c r="LBG3" s="17"/>
      <c r="LBH3" s="17"/>
      <c r="LBL3" s="15"/>
      <c r="LBR3" s="16"/>
      <c r="LBY3" s="17"/>
      <c r="LBZ3" s="17"/>
      <c r="LCD3" s="15"/>
      <c r="LCJ3" s="16"/>
      <c r="LCQ3" s="17"/>
      <c r="LCR3" s="17"/>
      <c r="LCV3" s="15"/>
      <c r="LDB3" s="16"/>
      <c r="LDI3" s="17"/>
      <c r="LDJ3" s="17"/>
      <c r="LDN3" s="15"/>
      <c r="LDT3" s="16"/>
      <c r="LEA3" s="17"/>
      <c r="LEB3" s="17"/>
      <c r="LEF3" s="15"/>
      <c r="LEL3" s="16"/>
      <c r="LES3" s="17"/>
      <c r="LET3" s="17"/>
      <c r="LEX3" s="15"/>
      <c r="LFD3" s="16"/>
      <c r="LFK3" s="17"/>
      <c r="LFL3" s="17"/>
      <c r="LFP3" s="15"/>
      <c r="LFV3" s="16"/>
      <c r="LGC3" s="17"/>
      <c r="LGD3" s="17"/>
      <c r="LGH3" s="15"/>
      <c r="LGN3" s="16"/>
      <c r="LGU3" s="17"/>
      <c r="LGV3" s="17"/>
      <c r="LGZ3" s="15"/>
      <c r="LHF3" s="16"/>
      <c r="LHM3" s="17"/>
      <c r="LHN3" s="17"/>
      <c r="LHR3" s="15"/>
      <c r="LHX3" s="16"/>
      <c r="LIE3" s="17"/>
      <c r="LIF3" s="17"/>
      <c r="LIJ3" s="15"/>
      <c r="LIP3" s="16"/>
      <c r="LIW3" s="17"/>
      <c r="LIX3" s="17"/>
      <c r="LJB3" s="15"/>
      <c r="LJH3" s="16"/>
      <c r="LJO3" s="17"/>
      <c r="LJP3" s="17"/>
      <c r="LJT3" s="15"/>
      <c r="LJZ3" s="16"/>
      <c r="LKG3" s="17"/>
      <c r="LKH3" s="17"/>
      <c r="LKL3" s="15"/>
      <c r="LKR3" s="16"/>
      <c r="LKY3" s="17"/>
      <c r="LKZ3" s="17"/>
      <c r="LLD3" s="15"/>
      <c r="LLJ3" s="16"/>
      <c r="LLQ3" s="17"/>
      <c r="LLR3" s="17"/>
      <c r="LLV3" s="15"/>
      <c r="LMB3" s="16"/>
      <c r="LMI3" s="17"/>
      <c r="LMJ3" s="17"/>
      <c r="LMN3" s="15"/>
      <c r="LMT3" s="16"/>
      <c r="LNA3" s="17"/>
      <c r="LNB3" s="17"/>
      <c r="LNF3" s="15"/>
      <c r="LNL3" s="16"/>
      <c r="LNS3" s="17"/>
      <c r="LNT3" s="17"/>
      <c r="LNX3" s="15"/>
      <c r="LOD3" s="16"/>
      <c r="LOK3" s="17"/>
      <c r="LOL3" s="17"/>
      <c r="LOP3" s="15"/>
      <c r="LOV3" s="16"/>
      <c r="LPC3" s="17"/>
      <c r="LPD3" s="17"/>
      <c r="LPH3" s="15"/>
      <c r="LPN3" s="16"/>
      <c r="LPU3" s="17"/>
      <c r="LPV3" s="17"/>
      <c r="LPZ3" s="15"/>
      <c r="LQF3" s="16"/>
      <c r="LQM3" s="17"/>
      <c r="LQN3" s="17"/>
      <c r="LQR3" s="15"/>
      <c r="LQX3" s="16"/>
      <c r="LRE3" s="17"/>
      <c r="LRF3" s="17"/>
      <c r="LRJ3" s="15"/>
      <c r="LRP3" s="16"/>
      <c r="LRW3" s="17"/>
      <c r="LRX3" s="17"/>
      <c r="LSB3" s="15"/>
      <c r="LSH3" s="16"/>
      <c r="LSO3" s="17"/>
      <c r="LSP3" s="17"/>
      <c r="LST3" s="15"/>
      <c r="LSZ3" s="16"/>
      <c r="LTG3" s="17"/>
      <c r="LTH3" s="17"/>
      <c r="LTL3" s="15"/>
      <c r="LTR3" s="16"/>
      <c r="LTY3" s="17"/>
      <c r="LTZ3" s="17"/>
      <c r="LUD3" s="15"/>
      <c r="LUJ3" s="16"/>
      <c r="LUQ3" s="17"/>
      <c r="LUR3" s="17"/>
      <c r="LUV3" s="15"/>
      <c r="LVB3" s="16"/>
      <c r="LVI3" s="17"/>
      <c r="LVJ3" s="17"/>
      <c r="LVN3" s="15"/>
      <c r="LVT3" s="16"/>
      <c r="LWA3" s="17"/>
      <c r="LWB3" s="17"/>
      <c r="LWF3" s="15"/>
      <c r="LWL3" s="16"/>
      <c r="LWS3" s="17"/>
      <c r="LWT3" s="17"/>
      <c r="LWX3" s="15"/>
      <c r="LXD3" s="16"/>
      <c r="LXK3" s="17"/>
      <c r="LXL3" s="17"/>
      <c r="LXP3" s="15"/>
      <c r="LXV3" s="16"/>
      <c r="LYC3" s="17"/>
      <c r="LYD3" s="17"/>
      <c r="LYH3" s="15"/>
      <c r="LYN3" s="16"/>
      <c r="LYU3" s="17"/>
      <c r="LYV3" s="17"/>
      <c r="LYZ3" s="15"/>
      <c r="LZF3" s="16"/>
      <c r="LZM3" s="17"/>
      <c r="LZN3" s="17"/>
      <c r="LZR3" s="15"/>
      <c r="LZX3" s="16"/>
      <c r="MAE3" s="17"/>
      <c r="MAF3" s="17"/>
      <c r="MAJ3" s="15"/>
      <c r="MAP3" s="16"/>
      <c r="MAW3" s="17"/>
      <c r="MAX3" s="17"/>
      <c r="MBB3" s="15"/>
      <c r="MBH3" s="16"/>
      <c r="MBO3" s="17"/>
      <c r="MBP3" s="17"/>
      <c r="MBT3" s="15"/>
      <c r="MBZ3" s="16"/>
      <c r="MCG3" s="17"/>
      <c r="MCH3" s="17"/>
      <c r="MCL3" s="15"/>
      <c r="MCR3" s="16"/>
      <c r="MCY3" s="17"/>
      <c r="MCZ3" s="17"/>
      <c r="MDD3" s="15"/>
      <c r="MDJ3" s="16"/>
      <c r="MDQ3" s="17"/>
      <c r="MDR3" s="17"/>
      <c r="MDV3" s="15"/>
      <c r="MEB3" s="16"/>
      <c r="MEI3" s="17"/>
      <c r="MEJ3" s="17"/>
      <c r="MEN3" s="15"/>
      <c r="MET3" s="16"/>
      <c r="MFA3" s="17"/>
      <c r="MFB3" s="17"/>
      <c r="MFF3" s="15"/>
      <c r="MFL3" s="16"/>
      <c r="MFS3" s="17"/>
      <c r="MFT3" s="17"/>
      <c r="MFX3" s="15"/>
      <c r="MGD3" s="16"/>
      <c r="MGK3" s="17"/>
      <c r="MGL3" s="17"/>
      <c r="MGP3" s="15"/>
      <c r="MGV3" s="16"/>
      <c r="MHC3" s="17"/>
      <c r="MHD3" s="17"/>
      <c r="MHH3" s="15"/>
      <c r="MHN3" s="16"/>
      <c r="MHU3" s="17"/>
      <c r="MHV3" s="17"/>
      <c r="MHZ3" s="15"/>
      <c r="MIF3" s="16"/>
      <c r="MIM3" s="17"/>
      <c r="MIN3" s="17"/>
      <c r="MIR3" s="15"/>
      <c r="MIX3" s="16"/>
      <c r="MJE3" s="17"/>
      <c r="MJF3" s="17"/>
      <c r="MJJ3" s="15"/>
      <c r="MJP3" s="16"/>
      <c r="MJW3" s="17"/>
      <c r="MJX3" s="17"/>
      <c r="MKB3" s="15"/>
      <c r="MKH3" s="16"/>
      <c r="MKO3" s="17"/>
      <c r="MKP3" s="17"/>
      <c r="MKT3" s="15"/>
      <c r="MKZ3" s="16"/>
      <c r="MLG3" s="17"/>
      <c r="MLH3" s="17"/>
      <c r="MLL3" s="15"/>
      <c r="MLR3" s="16"/>
      <c r="MLY3" s="17"/>
      <c r="MLZ3" s="17"/>
      <c r="MMD3" s="15"/>
      <c r="MMJ3" s="16"/>
      <c r="MMQ3" s="17"/>
      <c r="MMR3" s="17"/>
      <c r="MMV3" s="15"/>
      <c r="MNB3" s="16"/>
      <c r="MNI3" s="17"/>
      <c r="MNJ3" s="17"/>
      <c r="MNN3" s="15"/>
      <c r="MNT3" s="16"/>
      <c r="MOA3" s="17"/>
      <c r="MOB3" s="17"/>
      <c r="MOF3" s="15"/>
      <c r="MOL3" s="16"/>
      <c r="MOS3" s="17"/>
      <c r="MOT3" s="17"/>
      <c r="MOX3" s="15"/>
      <c r="MPD3" s="16"/>
      <c r="MPK3" s="17"/>
      <c r="MPL3" s="17"/>
      <c r="MPP3" s="15"/>
      <c r="MPV3" s="16"/>
      <c r="MQC3" s="17"/>
      <c r="MQD3" s="17"/>
      <c r="MQH3" s="15"/>
      <c r="MQN3" s="16"/>
      <c r="MQU3" s="17"/>
      <c r="MQV3" s="17"/>
      <c r="MQZ3" s="15"/>
      <c r="MRF3" s="16"/>
      <c r="MRM3" s="17"/>
      <c r="MRN3" s="17"/>
      <c r="MRR3" s="15"/>
      <c r="MRX3" s="16"/>
      <c r="MSE3" s="17"/>
      <c r="MSF3" s="17"/>
      <c r="MSJ3" s="15"/>
      <c r="MSP3" s="16"/>
      <c r="MSW3" s="17"/>
      <c r="MSX3" s="17"/>
      <c r="MTB3" s="15"/>
      <c r="MTH3" s="16"/>
      <c r="MTO3" s="17"/>
      <c r="MTP3" s="17"/>
      <c r="MTT3" s="15"/>
      <c r="MTZ3" s="16"/>
      <c r="MUG3" s="17"/>
      <c r="MUH3" s="17"/>
      <c r="MUL3" s="15"/>
      <c r="MUR3" s="16"/>
      <c r="MUY3" s="17"/>
      <c r="MUZ3" s="17"/>
      <c r="MVD3" s="15"/>
      <c r="MVJ3" s="16"/>
      <c r="MVQ3" s="17"/>
      <c r="MVR3" s="17"/>
      <c r="MVV3" s="15"/>
      <c r="MWB3" s="16"/>
      <c r="MWI3" s="17"/>
      <c r="MWJ3" s="17"/>
      <c r="MWN3" s="15"/>
      <c r="MWT3" s="16"/>
      <c r="MXA3" s="17"/>
      <c r="MXB3" s="17"/>
      <c r="MXF3" s="15"/>
      <c r="MXL3" s="16"/>
      <c r="MXS3" s="17"/>
      <c r="MXT3" s="17"/>
      <c r="MXX3" s="15"/>
      <c r="MYD3" s="16"/>
      <c r="MYK3" s="17"/>
      <c r="MYL3" s="17"/>
      <c r="MYP3" s="15"/>
      <c r="MYV3" s="16"/>
      <c r="MZC3" s="17"/>
      <c r="MZD3" s="17"/>
      <c r="MZH3" s="15"/>
      <c r="MZN3" s="16"/>
      <c r="MZU3" s="17"/>
      <c r="MZV3" s="17"/>
      <c r="MZZ3" s="15"/>
      <c r="NAF3" s="16"/>
      <c r="NAM3" s="17"/>
      <c r="NAN3" s="17"/>
      <c r="NAR3" s="15"/>
      <c r="NAX3" s="16"/>
      <c r="NBE3" s="17"/>
      <c r="NBF3" s="17"/>
      <c r="NBJ3" s="15"/>
      <c r="NBP3" s="16"/>
      <c r="NBW3" s="17"/>
      <c r="NBX3" s="17"/>
      <c r="NCB3" s="15"/>
      <c r="NCH3" s="16"/>
      <c r="NCO3" s="17"/>
      <c r="NCP3" s="17"/>
      <c r="NCT3" s="15"/>
      <c r="NCZ3" s="16"/>
      <c r="NDG3" s="17"/>
      <c r="NDH3" s="17"/>
      <c r="NDL3" s="15"/>
      <c r="NDR3" s="16"/>
      <c r="NDY3" s="17"/>
      <c r="NDZ3" s="17"/>
      <c r="NED3" s="15"/>
      <c r="NEJ3" s="16"/>
      <c r="NEQ3" s="17"/>
      <c r="NER3" s="17"/>
      <c r="NEV3" s="15"/>
      <c r="NFB3" s="16"/>
      <c r="NFI3" s="17"/>
      <c r="NFJ3" s="17"/>
      <c r="NFN3" s="15"/>
      <c r="NFT3" s="16"/>
      <c r="NGA3" s="17"/>
      <c r="NGB3" s="17"/>
      <c r="NGF3" s="15"/>
      <c r="NGL3" s="16"/>
      <c r="NGS3" s="17"/>
      <c r="NGT3" s="17"/>
      <c r="NGX3" s="15"/>
      <c r="NHD3" s="16"/>
      <c r="NHK3" s="17"/>
      <c r="NHL3" s="17"/>
      <c r="NHP3" s="15"/>
      <c r="NHV3" s="16"/>
      <c r="NIC3" s="17"/>
      <c r="NID3" s="17"/>
      <c r="NIH3" s="15"/>
      <c r="NIN3" s="16"/>
      <c r="NIU3" s="17"/>
      <c r="NIV3" s="17"/>
      <c r="NIZ3" s="15"/>
      <c r="NJF3" s="16"/>
      <c r="NJM3" s="17"/>
      <c r="NJN3" s="17"/>
      <c r="NJR3" s="15"/>
      <c r="NJX3" s="16"/>
      <c r="NKE3" s="17"/>
      <c r="NKF3" s="17"/>
      <c r="NKJ3" s="15"/>
      <c r="NKP3" s="16"/>
      <c r="NKW3" s="17"/>
      <c r="NKX3" s="17"/>
      <c r="NLB3" s="15"/>
      <c r="NLH3" s="16"/>
      <c r="NLO3" s="17"/>
      <c r="NLP3" s="17"/>
      <c r="NLT3" s="15"/>
      <c r="NLZ3" s="16"/>
      <c r="NMG3" s="17"/>
      <c r="NMH3" s="17"/>
      <c r="NML3" s="15"/>
      <c r="NMR3" s="16"/>
      <c r="NMY3" s="17"/>
      <c r="NMZ3" s="17"/>
      <c r="NND3" s="15"/>
      <c r="NNJ3" s="16"/>
      <c r="NNQ3" s="17"/>
      <c r="NNR3" s="17"/>
      <c r="NNV3" s="15"/>
      <c r="NOB3" s="16"/>
      <c r="NOI3" s="17"/>
      <c r="NOJ3" s="17"/>
      <c r="NON3" s="15"/>
      <c r="NOT3" s="16"/>
      <c r="NPA3" s="17"/>
      <c r="NPB3" s="17"/>
      <c r="NPF3" s="15"/>
      <c r="NPL3" s="16"/>
      <c r="NPS3" s="17"/>
      <c r="NPT3" s="17"/>
      <c r="NPX3" s="15"/>
      <c r="NQD3" s="16"/>
      <c r="NQK3" s="17"/>
      <c r="NQL3" s="17"/>
      <c r="NQP3" s="15"/>
      <c r="NQV3" s="16"/>
      <c r="NRC3" s="17"/>
      <c r="NRD3" s="17"/>
      <c r="NRH3" s="15"/>
      <c r="NRN3" s="16"/>
      <c r="NRU3" s="17"/>
      <c r="NRV3" s="17"/>
      <c r="NRZ3" s="15"/>
      <c r="NSF3" s="16"/>
      <c r="NSM3" s="17"/>
      <c r="NSN3" s="17"/>
      <c r="NSR3" s="15"/>
      <c r="NSX3" s="16"/>
      <c r="NTE3" s="17"/>
      <c r="NTF3" s="17"/>
      <c r="NTJ3" s="15"/>
      <c r="NTP3" s="16"/>
      <c r="NTW3" s="17"/>
      <c r="NTX3" s="17"/>
      <c r="NUB3" s="15"/>
      <c r="NUH3" s="16"/>
      <c r="NUO3" s="17"/>
      <c r="NUP3" s="17"/>
      <c r="NUT3" s="15"/>
      <c r="NUZ3" s="16"/>
      <c r="NVG3" s="17"/>
      <c r="NVH3" s="17"/>
      <c r="NVL3" s="15"/>
      <c r="NVR3" s="16"/>
      <c r="NVY3" s="17"/>
      <c r="NVZ3" s="17"/>
      <c r="NWD3" s="15"/>
      <c r="NWJ3" s="16"/>
      <c r="NWQ3" s="17"/>
      <c r="NWR3" s="17"/>
      <c r="NWV3" s="15"/>
      <c r="NXB3" s="16"/>
      <c r="NXI3" s="17"/>
      <c r="NXJ3" s="17"/>
      <c r="NXN3" s="15"/>
      <c r="NXT3" s="16"/>
      <c r="NYA3" s="17"/>
      <c r="NYB3" s="17"/>
      <c r="NYF3" s="15"/>
      <c r="NYL3" s="16"/>
      <c r="NYS3" s="17"/>
      <c r="NYT3" s="17"/>
      <c r="NYX3" s="15"/>
      <c r="NZD3" s="16"/>
      <c r="NZK3" s="17"/>
      <c r="NZL3" s="17"/>
      <c r="NZP3" s="15"/>
      <c r="NZV3" s="16"/>
      <c r="OAC3" s="17"/>
      <c r="OAD3" s="17"/>
      <c r="OAH3" s="15"/>
      <c r="OAN3" s="16"/>
      <c r="OAU3" s="17"/>
      <c r="OAV3" s="17"/>
      <c r="OAZ3" s="15"/>
      <c r="OBF3" s="16"/>
      <c r="OBM3" s="17"/>
      <c r="OBN3" s="17"/>
      <c r="OBR3" s="15"/>
      <c r="OBX3" s="16"/>
      <c r="OCE3" s="17"/>
      <c r="OCF3" s="17"/>
      <c r="OCJ3" s="15"/>
      <c r="OCP3" s="16"/>
      <c r="OCW3" s="17"/>
      <c r="OCX3" s="17"/>
      <c r="ODB3" s="15"/>
      <c r="ODH3" s="16"/>
      <c r="ODO3" s="17"/>
      <c r="ODP3" s="17"/>
      <c r="ODT3" s="15"/>
      <c r="ODZ3" s="16"/>
      <c r="OEG3" s="17"/>
      <c r="OEH3" s="17"/>
      <c r="OEL3" s="15"/>
      <c r="OER3" s="16"/>
      <c r="OEY3" s="17"/>
      <c r="OEZ3" s="17"/>
      <c r="OFD3" s="15"/>
      <c r="OFJ3" s="16"/>
      <c r="OFQ3" s="17"/>
      <c r="OFR3" s="17"/>
      <c r="OFV3" s="15"/>
      <c r="OGB3" s="16"/>
      <c r="OGI3" s="17"/>
      <c r="OGJ3" s="17"/>
      <c r="OGN3" s="15"/>
      <c r="OGT3" s="16"/>
      <c r="OHA3" s="17"/>
      <c r="OHB3" s="17"/>
      <c r="OHF3" s="15"/>
      <c r="OHL3" s="16"/>
      <c r="OHS3" s="17"/>
      <c r="OHT3" s="17"/>
      <c r="OHX3" s="15"/>
      <c r="OID3" s="16"/>
      <c r="OIK3" s="17"/>
      <c r="OIL3" s="17"/>
      <c r="OIP3" s="15"/>
      <c r="OIV3" s="16"/>
      <c r="OJC3" s="17"/>
      <c r="OJD3" s="17"/>
      <c r="OJH3" s="15"/>
      <c r="OJN3" s="16"/>
      <c r="OJU3" s="17"/>
      <c r="OJV3" s="17"/>
      <c r="OJZ3" s="15"/>
      <c r="OKF3" s="16"/>
      <c r="OKM3" s="17"/>
      <c r="OKN3" s="17"/>
      <c r="OKR3" s="15"/>
      <c r="OKX3" s="16"/>
      <c r="OLE3" s="17"/>
      <c r="OLF3" s="17"/>
      <c r="OLJ3" s="15"/>
      <c r="OLP3" s="16"/>
      <c r="OLW3" s="17"/>
      <c r="OLX3" s="17"/>
      <c r="OMB3" s="15"/>
      <c r="OMH3" s="16"/>
      <c r="OMO3" s="17"/>
      <c r="OMP3" s="17"/>
      <c r="OMT3" s="15"/>
      <c r="OMZ3" s="16"/>
      <c r="ONG3" s="17"/>
      <c r="ONH3" s="17"/>
      <c r="ONL3" s="15"/>
      <c r="ONR3" s="16"/>
      <c r="ONY3" s="17"/>
      <c r="ONZ3" s="17"/>
      <c r="OOD3" s="15"/>
      <c r="OOJ3" s="16"/>
      <c r="OOQ3" s="17"/>
      <c r="OOR3" s="17"/>
      <c r="OOV3" s="15"/>
      <c r="OPB3" s="16"/>
      <c r="OPI3" s="17"/>
      <c r="OPJ3" s="17"/>
      <c r="OPN3" s="15"/>
      <c r="OPT3" s="16"/>
      <c r="OQA3" s="17"/>
      <c r="OQB3" s="17"/>
      <c r="OQF3" s="15"/>
      <c r="OQL3" s="16"/>
      <c r="OQS3" s="17"/>
      <c r="OQT3" s="17"/>
      <c r="OQX3" s="15"/>
      <c r="ORD3" s="16"/>
      <c r="ORK3" s="17"/>
      <c r="ORL3" s="17"/>
      <c r="ORP3" s="15"/>
      <c r="ORV3" s="16"/>
      <c r="OSC3" s="17"/>
      <c r="OSD3" s="17"/>
      <c r="OSH3" s="15"/>
      <c r="OSN3" s="16"/>
      <c r="OSU3" s="17"/>
      <c r="OSV3" s="17"/>
      <c r="OSZ3" s="15"/>
      <c r="OTF3" s="16"/>
      <c r="OTM3" s="17"/>
      <c r="OTN3" s="17"/>
      <c r="OTR3" s="15"/>
      <c r="OTX3" s="16"/>
      <c r="OUE3" s="17"/>
      <c r="OUF3" s="17"/>
      <c r="OUJ3" s="15"/>
      <c r="OUP3" s="16"/>
      <c r="OUW3" s="17"/>
      <c r="OUX3" s="17"/>
      <c r="OVB3" s="15"/>
      <c r="OVH3" s="16"/>
      <c r="OVO3" s="17"/>
      <c r="OVP3" s="17"/>
      <c r="OVT3" s="15"/>
      <c r="OVZ3" s="16"/>
      <c r="OWG3" s="17"/>
      <c r="OWH3" s="17"/>
      <c r="OWL3" s="15"/>
      <c r="OWR3" s="16"/>
      <c r="OWY3" s="17"/>
      <c r="OWZ3" s="17"/>
      <c r="OXD3" s="15"/>
      <c r="OXJ3" s="16"/>
      <c r="OXQ3" s="17"/>
      <c r="OXR3" s="17"/>
      <c r="OXV3" s="15"/>
      <c r="OYB3" s="16"/>
      <c r="OYI3" s="17"/>
      <c r="OYJ3" s="17"/>
      <c r="OYN3" s="15"/>
      <c r="OYT3" s="16"/>
      <c r="OZA3" s="17"/>
      <c r="OZB3" s="17"/>
      <c r="OZF3" s="15"/>
      <c r="OZL3" s="16"/>
      <c r="OZS3" s="17"/>
      <c r="OZT3" s="17"/>
      <c r="OZX3" s="15"/>
      <c r="PAD3" s="16"/>
      <c r="PAK3" s="17"/>
      <c r="PAL3" s="17"/>
      <c r="PAP3" s="15"/>
      <c r="PAV3" s="16"/>
      <c r="PBC3" s="17"/>
      <c r="PBD3" s="17"/>
      <c r="PBH3" s="15"/>
      <c r="PBN3" s="16"/>
      <c r="PBU3" s="17"/>
      <c r="PBV3" s="17"/>
      <c r="PBZ3" s="15"/>
      <c r="PCF3" s="16"/>
      <c r="PCM3" s="17"/>
      <c r="PCN3" s="17"/>
      <c r="PCR3" s="15"/>
      <c r="PCX3" s="16"/>
      <c r="PDE3" s="17"/>
      <c r="PDF3" s="17"/>
      <c r="PDJ3" s="15"/>
      <c r="PDP3" s="16"/>
      <c r="PDW3" s="17"/>
      <c r="PDX3" s="17"/>
      <c r="PEB3" s="15"/>
      <c r="PEH3" s="16"/>
      <c r="PEO3" s="17"/>
      <c r="PEP3" s="17"/>
      <c r="PET3" s="15"/>
      <c r="PEZ3" s="16"/>
      <c r="PFG3" s="17"/>
      <c r="PFH3" s="17"/>
      <c r="PFL3" s="15"/>
      <c r="PFR3" s="16"/>
      <c r="PFY3" s="17"/>
      <c r="PFZ3" s="17"/>
      <c r="PGD3" s="15"/>
      <c r="PGJ3" s="16"/>
      <c r="PGQ3" s="17"/>
      <c r="PGR3" s="17"/>
      <c r="PGV3" s="15"/>
      <c r="PHB3" s="16"/>
      <c r="PHI3" s="17"/>
      <c r="PHJ3" s="17"/>
      <c r="PHN3" s="15"/>
      <c r="PHT3" s="16"/>
      <c r="PIA3" s="17"/>
      <c r="PIB3" s="17"/>
      <c r="PIF3" s="15"/>
      <c r="PIL3" s="16"/>
      <c r="PIS3" s="17"/>
      <c r="PIT3" s="17"/>
      <c r="PIX3" s="15"/>
      <c r="PJD3" s="16"/>
      <c r="PJK3" s="17"/>
      <c r="PJL3" s="17"/>
      <c r="PJP3" s="15"/>
      <c r="PJV3" s="16"/>
      <c r="PKC3" s="17"/>
      <c r="PKD3" s="17"/>
      <c r="PKH3" s="15"/>
      <c r="PKN3" s="16"/>
      <c r="PKU3" s="17"/>
      <c r="PKV3" s="17"/>
      <c r="PKZ3" s="15"/>
      <c r="PLF3" s="16"/>
      <c r="PLM3" s="17"/>
      <c r="PLN3" s="17"/>
      <c r="PLR3" s="15"/>
      <c r="PLX3" s="16"/>
      <c r="PME3" s="17"/>
      <c r="PMF3" s="17"/>
      <c r="PMJ3" s="15"/>
      <c r="PMP3" s="16"/>
      <c r="PMW3" s="17"/>
      <c r="PMX3" s="17"/>
      <c r="PNB3" s="15"/>
      <c r="PNH3" s="16"/>
      <c r="PNO3" s="17"/>
      <c r="PNP3" s="17"/>
      <c r="PNT3" s="15"/>
      <c r="PNZ3" s="16"/>
      <c r="POG3" s="17"/>
      <c r="POH3" s="17"/>
      <c r="POL3" s="15"/>
      <c r="POR3" s="16"/>
      <c r="POY3" s="17"/>
      <c r="POZ3" s="17"/>
      <c r="PPD3" s="15"/>
      <c r="PPJ3" s="16"/>
      <c r="PPQ3" s="17"/>
      <c r="PPR3" s="17"/>
      <c r="PPV3" s="15"/>
      <c r="PQB3" s="16"/>
      <c r="PQI3" s="17"/>
      <c r="PQJ3" s="17"/>
      <c r="PQN3" s="15"/>
      <c r="PQT3" s="16"/>
      <c r="PRA3" s="17"/>
      <c r="PRB3" s="17"/>
      <c r="PRF3" s="15"/>
      <c r="PRL3" s="16"/>
      <c r="PRS3" s="17"/>
      <c r="PRT3" s="17"/>
      <c r="PRX3" s="15"/>
      <c r="PSD3" s="16"/>
      <c r="PSK3" s="17"/>
      <c r="PSL3" s="17"/>
      <c r="PSP3" s="15"/>
      <c r="PSV3" s="16"/>
      <c r="PTC3" s="17"/>
      <c r="PTD3" s="17"/>
      <c r="PTH3" s="15"/>
      <c r="PTN3" s="16"/>
      <c r="PTU3" s="17"/>
      <c r="PTV3" s="17"/>
      <c r="PTZ3" s="15"/>
      <c r="PUF3" s="16"/>
      <c r="PUM3" s="17"/>
      <c r="PUN3" s="17"/>
      <c r="PUR3" s="15"/>
      <c r="PUX3" s="16"/>
      <c r="PVE3" s="17"/>
      <c r="PVF3" s="17"/>
      <c r="PVJ3" s="15"/>
      <c r="PVP3" s="16"/>
      <c r="PVW3" s="17"/>
      <c r="PVX3" s="17"/>
      <c r="PWB3" s="15"/>
      <c r="PWH3" s="16"/>
      <c r="PWO3" s="17"/>
      <c r="PWP3" s="17"/>
      <c r="PWT3" s="15"/>
      <c r="PWZ3" s="16"/>
      <c r="PXG3" s="17"/>
      <c r="PXH3" s="17"/>
      <c r="PXL3" s="15"/>
      <c r="PXR3" s="16"/>
      <c r="PXY3" s="17"/>
      <c r="PXZ3" s="17"/>
      <c r="PYD3" s="15"/>
      <c r="PYJ3" s="16"/>
      <c r="PYQ3" s="17"/>
      <c r="PYR3" s="17"/>
      <c r="PYV3" s="15"/>
      <c r="PZB3" s="16"/>
      <c r="PZI3" s="17"/>
      <c r="PZJ3" s="17"/>
      <c r="PZN3" s="15"/>
      <c r="PZT3" s="16"/>
      <c r="QAA3" s="17"/>
      <c r="QAB3" s="17"/>
      <c r="QAF3" s="15"/>
      <c r="QAL3" s="16"/>
      <c r="QAS3" s="17"/>
      <c r="QAT3" s="17"/>
      <c r="QAX3" s="15"/>
      <c r="QBD3" s="16"/>
      <c r="QBK3" s="17"/>
      <c r="QBL3" s="17"/>
      <c r="QBP3" s="15"/>
      <c r="QBV3" s="16"/>
      <c r="QCC3" s="17"/>
      <c r="QCD3" s="17"/>
      <c r="QCH3" s="15"/>
      <c r="QCN3" s="16"/>
      <c r="QCU3" s="17"/>
      <c r="QCV3" s="17"/>
      <c r="QCZ3" s="15"/>
      <c r="QDF3" s="16"/>
      <c r="QDM3" s="17"/>
      <c r="QDN3" s="17"/>
      <c r="QDR3" s="15"/>
      <c r="QDX3" s="16"/>
      <c r="QEE3" s="17"/>
      <c r="QEF3" s="17"/>
      <c r="QEJ3" s="15"/>
      <c r="QEP3" s="16"/>
      <c r="QEW3" s="17"/>
      <c r="QEX3" s="17"/>
      <c r="QFB3" s="15"/>
      <c r="QFH3" s="16"/>
      <c r="QFO3" s="17"/>
      <c r="QFP3" s="17"/>
      <c r="QFT3" s="15"/>
      <c r="QFZ3" s="16"/>
      <c r="QGG3" s="17"/>
      <c r="QGH3" s="17"/>
      <c r="QGL3" s="15"/>
      <c r="QGR3" s="16"/>
      <c r="QGY3" s="17"/>
      <c r="QGZ3" s="17"/>
      <c r="QHD3" s="15"/>
      <c r="QHJ3" s="16"/>
      <c r="QHQ3" s="17"/>
      <c r="QHR3" s="17"/>
      <c r="QHV3" s="15"/>
      <c r="QIB3" s="16"/>
      <c r="QII3" s="17"/>
      <c r="QIJ3" s="17"/>
      <c r="QIN3" s="15"/>
      <c r="QIT3" s="16"/>
      <c r="QJA3" s="17"/>
      <c r="QJB3" s="17"/>
      <c r="QJF3" s="15"/>
      <c r="QJL3" s="16"/>
      <c r="QJS3" s="17"/>
      <c r="QJT3" s="17"/>
      <c r="QJX3" s="15"/>
      <c r="QKD3" s="16"/>
      <c r="QKK3" s="17"/>
      <c r="QKL3" s="17"/>
      <c r="QKP3" s="15"/>
      <c r="QKV3" s="16"/>
      <c r="QLC3" s="17"/>
      <c r="QLD3" s="17"/>
      <c r="QLH3" s="15"/>
      <c r="QLN3" s="16"/>
      <c r="QLU3" s="17"/>
      <c r="QLV3" s="17"/>
      <c r="QLZ3" s="15"/>
      <c r="QMF3" s="16"/>
      <c r="QMM3" s="17"/>
      <c r="QMN3" s="17"/>
      <c r="QMR3" s="15"/>
      <c r="QMX3" s="16"/>
      <c r="QNE3" s="17"/>
      <c r="QNF3" s="17"/>
      <c r="QNJ3" s="15"/>
      <c r="QNP3" s="16"/>
      <c r="QNW3" s="17"/>
      <c r="QNX3" s="17"/>
      <c r="QOB3" s="15"/>
      <c r="QOH3" s="16"/>
      <c r="QOO3" s="17"/>
      <c r="QOP3" s="17"/>
      <c r="QOT3" s="15"/>
      <c r="QOZ3" s="16"/>
      <c r="QPG3" s="17"/>
      <c r="QPH3" s="17"/>
      <c r="QPL3" s="15"/>
      <c r="QPR3" s="16"/>
      <c r="QPY3" s="17"/>
      <c r="QPZ3" s="17"/>
      <c r="QQD3" s="15"/>
      <c r="QQJ3" s="16"/>
      <c r="QQQ3" s="17"/>
      <c r="QQR3" s="17"/>
      <c r="QQV3" s="15"/>
      <c r="QRB3" s="16"/>
      <c r="QRI3" s="17"/>
      <c r="QRJ3" s="17"/>
      <c r="QRN3" s="15"/>
      <c r="QRT3" s="16"/>
      <c r="QSA3" s="17"/>
      <c r="QSB3" s="17"/>
      <c r="QSF3" s="15"/>
      <c r="QSL3" s="16"/>
      <c r="QSS3" s="17"/>
      <c r="QST3" s="17"/>
      <c r="QSX3" s="15"/>
      <c r="QTD3" s="16"/>
      <c r="QTK3" s="17"/>
      <c r="QTL3" s="17"/>
      <c r="QTP3" s="15"/>
      <c r="QTV3" s="16"/>
      <c r="QUC3" s="17"/>
      <c r="QUD3" s="17"/>
      <c r="QUH3" s="15"/>
      <c r="QUN3" s="16"/>
      <c r="QUU3" s="17"/>
      <c r="QUV3" s="17"/>
      <c r="QUZ3" s="15"/>
      <c r="QVF3" s="16"/>
      <c r="QVM3" s="17"/>
      <c r="QVN3" s="17"/>
      <c r="QVR3" s="15"/>
      <c r="QVX3" s="16"/>
      <c r="QWE3" s="17"/>
      <c r="QWF3" s="17"/>
      <c r="QWJ3" s="15"/>
      <c r="QWP3" s="16"/>
      <c r="QWW3" s="17"/>
      <c r="QWX3" s="17"/>
      <c r="QXB3" s="15"/>
      <c r="QXH3" s="16"/>
      <c r="QXO3" s="17"/>
      <c r="QXP3" s="17"/>
      <c r="QXT3" s="15"/>
      <c r="QXZ3" s="16"/>
      <c r="QYG3" s="17"/>
      <c r="QYH3" s="17"/>
      <c r="QYL3" s="15"/>
      <c r="QYR3" s="16"/>
      <c r="QYY3" s="17"/>
      <c r="QYZ3" s="17"/>
      <c r="QZD3" s="15"/>
      <c r="QZJ3" s="16"/>
      <c r="QZQ3" s="17"/>
      <c r="QZR3" s="17"/>
      <c r="QZV3" s="15"/>
      <c r="RAB3" s="16"/>
      <c r="RAI3" s="17"/>
      <c r="RAJ3" s="17"/>
      <c r="RAN3" s="15"/>
      <c r="RAT3" s="16"/>
      <c r="RBA3" s="17"/>
      <c r="RBB3" s="17"/>
      <c r="RBF3" s="15"/>
      <c r="RBL3" s="16"/>
      <c r="RBS3" s="17"/>
      <c r="RBT3" s="17"/>
      <c r="RBX3" s="15"/>
      <c r="RCD3" s="16"/>
      <c r="RCK3" s="17"/>
      <c r="RCL3" s="17"/>
      <c r="RCP3" s="15"/>
      <c r="RCV3" s="16"/>
      <c r="RDC3" s="17"/>
      <c r="RDD3" s="17"/>
      <c r="RDH3" s="15"/>
      <c r="RDN3" s="16"/>
      <c r="RDU3" s="17"/>
      <c r="RDV3" s="17"/>
      <c r="RDZ3" s="15"/>
      <c r="REF3" s="16"/>
      <c r="REM3" s="17"/>
      <c r="REN3" s="17"/>
      <c r="RER3" s="15"/>
      <c r="REX3" s="16"/>
      <c r="RFE3" s="17"/>
      <c r="RFF3" s="17"/>
      <c r="RFJ3" s="15"/>
      <c r="RFP3" s="16"/>
      <c r="RFW3" s="17"/>
      <c r="RFX3" s="17"/>
      <c r="RGB3" s="15"/>
      <c r="RGH3" s="16"/>
      <c r="RGO3" s="17"/>
      <c r="RGP3" s="17"/>
      <c r="RGT3" s="15"/>
      <c r="RGZ3" s="16"/>
      <c r="RHG3" s="17"/>
      <c r="RHH3" s="17"/>
      <c r="RHL3" s="15"/>
      <c r="RHR3" s="16"/>
      <c r="RHY3" s="17"/>
      <c r="RHZ3" s="17"/>
      <c r="RID3" s="15"/>
      <c r="RIJ3" s="16"/>
      <c r="RIQ3" s="17"/>
      <c r="RIR3" s="17"/>
      <c r="RIV3" s="15"/>
      <c r="RJB3" s="16"/>
      <c r="RJI3" s="17"/>
      <c r="RJJ3" s="17"/>
      <c r="RJN3" s="15"/>
      <c r="RJT3" s="16"/>
      <c r="RKA3" s="17"/>
      <c r="RKB3" s="17"/>
      <c r="RKF3" s="15"/>
      <c r="RKL3" s="16"/>
      <c r="RKS3" s="17"/>
      <c r="RKT3" s="17"/>
      <c r="RKX3" s="15"/>
      <c r="RLD3" s="16"/>
      <c r="RLK3" s="17"/>
      <c r="RLL3" s="17"/>
      <c r="RLP3" s="15"/>
      <c r="RLV3" s="16"/>
      <c r="RMC3" s="17"/>
      <c r="RMD3" s="17"/>
      <c r="RMH3" s="15"/>
      <c r="RMN3" s="16"/>
      <c r="RMU3" s="17"/>
      <c r="RMV3" s="17"/>
      <c r="RMZ3" s="15"/>
      <c r="RNF3" s="16"/>
      <c r="RNM3" s="17"/>
      <c r="RNN3" s="17"/>
      <c r="RNR3" s="15"/>
      <c r="RNX3" s="16"/>
      <c r="ROE3" s="17"/>
      <c r="ROF3" s="17"/>
      <c r="ROJ3" s="15"/>
      <c r="ROP3" s="16"/>
      <c r="ROW3" s="17"/>
      <c r="ROX3" s="17"/>
      <c r="RPB3" s="15"/>
      <c r="RPH3" s="16"/>
      <c r="RPO3" s="17"/>
      <c r="RPP3" s="17"/>
      <c r="RPT3" s="15"/>
      <c r="RPZ3" s="16"/>
      <c r="RQG3" s="17"/>
      <c r="RQH3" s="17"/>
      <c r="RQL3" s="15"/>
      <c r="RQR3" s="16"/>
      <c r="RQY3" s="17"/>
      <c r="RQZ3" s="17"/>
      <c r="RRD3" s="15"/>
      <c r="RRJ3" s="16"/>
      <c r="RRQ3" s="17"/>
      <c r="RRR3" s="17"/>
      <c r="RRV3" s="15"/>
      <c r="RSB3" s="16"/>
      <c r="RSI3" s="17"/>
      <c r="RSJ3" s="17"/>
      <c r="RSN3" s="15"/>
      <c r="RST3" s="16"/>
      <c r="RTA3" s="17"/>
      <c r="RTB3" s="17"/>
      <c r="RTF3" s="15"/>
      <c r="RTL3" s="16"/>
      <c r="RTS3" s="17"/>
      <c r="RTT3" s="17"/>
      <c r="RTX3" s="15"/>
      <c r="RUD3" s="16"/>
      <c r="RUK3" s="17"/>
      <c r="RUL3" s="17"/>
      <c r="RUP3" s="15"/>
      <c r="RUV3" s="16"/>
      <c r="RVC3" s="17"/>
      <c r="RVD3" s="17"/>
      <c r="RVH3" s="15"/>
      <c r="RVN3" s="16"/>
      <c r="RVU3" s="17"/>
      <c r="RVV3" s="17"/>
      <c r="RVZ3" s="15"/>
      <c r="RWF3" s="16"/>
      <c r="RWM3" s="17"/>
      <c r="RWN3" s="17"/>
      <c r="RWR3" s="15"/>
      <c r="RWX3" s="16"/>
      <c r="RXE3" s="17"/>
      <c r="RXF3" s="17"/>
      <c r="RXJ3" s="15"/>
      <c r="RXP3" s="16"/>
      <c r="RXW3" s="17"/>
      <c r="RXX3" s="17"/>
      <c r="RYB3" s="15"/>
      <c r="RYH3" s="16"/>
      <c r="RYO3" s="17"/>
      <c r="RYP3" s="17"/>
      <c r="RYT3" s="15"/>
      <c r="RYZ3" s="16"/>
      <c r="RZG3" s="17"/>
      <c r="RZH3" s="17"/>
      <c r="RZL3" s="15"/>
      <c r="RZR3" s="16"/>
      <c r="RZY3" s="17"/>
      <c r="RZZ3" s="17"/>
      <c r="SAD3" s="15"/>
      <c r="SAJ3" s="16"/>
      <c r="SAQ3" s="17"/>
      <c r="SAR3" s="17"/>
      <c r="SAV3" s="15"/>
      <c r="SBB3" s="16"/>
      <c r="SBI3" s="17"/>
      <c r="SBJ3" s="17"/>
      <c r="SBN3" s="15"/>
      <c r="SBT3" s="16"/>
      <c r="SCA3" s="17"/>
      <c r="SCB3" s="17"/>
      <c r="SCF3" s="15"/>
      <c r="SCL3" s="16"/>
      <c r="SCS3" s="17"/>
      <c r="SCT3" s="17"/>
      <c r="SCX3" s="15"/>
      <c r="SDD3" s="16"/>
      <c r="SDK3" s="17"/>
      <c r="SDL3" s="17"/>
      <c r="SDP3" s="15"/>
      <c r="SDV3" s="16"/>
      <c r="SEC3" s="17"/>
      <c r="SED3" s="17"/>
      <c r="SEH3" s="15"/>
      <c r="SEN3" s="16"/>
      <c r="SEU3" s="17"/>
      <c r="SEV3" s="17"/>
      <c r="SEZ3" s="15"/>
      <c r="SFF3" s="16"/>
      <c r="SFM3" s="17"/>
      <c r="SFN3" s="17"/>
      <c r="SFR3" s="15"/>
      <c r="SFX3" s="16"/>
      <c r="SGE3" s="17"/>
      <c r="SGF3" s="17"/>
      <c r="SGJ3" s="15"/>
      <c r="SGP3" s="16"/>
      <c r="SGW3" s="17"/>
      <c r="SGX3" s="17"/>
      <c r="SHB3" s="15"/>
      <c r="SHH3" s="16"/>
      <c r="SHO3" s="17"/>
      <c r="SHP3" s="17"/>
      <c r="SHT3" s="15"/>
      <c r="SHZ3" s="16"/>
      <c r="SIG3" s="17"/>
      <c r="SIH3" s="17"/>
      <c r="SIL3" s="15"/>
      <c r="SIR3" s="16"/>
      <c r="SIY3" s="17"/>
      <c r="SIZ3" s="17"/>
      <c r="SJD3" s="15"/>
      <c r="SJJ3" s="16"/>
      <c r="SJQ3" s="17"/>
      <c r="SJR3" s="17"/>
      <c r="SJV3" s="15"/>
      <c r="SKB3" s="16"/>
      <c r="SKI3" s="17"/>
      <c r="SKJ3" s="17"/>
      <c r="SKN3" s="15"/>
      <c r="SKT3" s="16"/>
      <c r="SLA3" s="17"/>
      <c r="SLB3" s="17"/>
      <c r="SLF3" s="15"/>
      <c r="SLL3" s="16"/>
      <c r="SLS3" s="17"/>
      <c r="SLT3" s="17"/>
      <c r="SLX3" s="15"/>
      <c r="SMD3" s="16"/>
      <c r="SMK3" s="17"/>
      <c r="SML3" s="17"/>
      <c r="SMP3" s="15"/>
      <c r="SMV3" s="16"/>
      <c r="SNC3" s="17"/>
      <c r="SND3" s="17"/>
      <c r="SNH3" s="15"/>
      <c r="SNN3" s="16"/>
      <c r="SNU3" s="17"/>
      <c r="SNV3" s="17"/>
      <c r="SNZ3" s="15"/>
      <c r="SOF3" s="16"/>
      <c r="SOM3" s="17"/>
      <c r="SON3" s="17"/>
      <c r="SOR3" s="15"/>
      <c r="SOX3" s="16"/>
      <c r="SPE3" s="17"/>
      <c r="SPF3" s="17"/>
      <c r="SPJ3" s="15"/>
      <c r="SPP3" s="16"/>
      <c r="SPW3" s="17"/>
      <c r="SPX3" s="17"/>
      <c r="SQB3" s="15"/>
      <c r="SQH3" s="16"/>
      <c r="SQO3" s="17"/>
      <c r="SQP3" s="17"/>
      <c r="SQT3" s="15"/>
      <c r="SQZ3" s="16"/>
      <c r="SRG3" s="17"/>
      <c r="SRH3" s="17"/>
      <c r="SRL3" s="15"/>
      <c r="SRR3" s="16"/>
      <c r="SRY3" s="17"/>
      <c r="SRZ3" s="17"/>
      <c r="SSD3" s="15"/>
      <c r="SSJ3" s="16"/>
      <c r="SSQ3" s="17"/>
      <c r="SSR3" s="17"/>
      <c r="SSV3" s="15"/>
      <c r="STB3" s="16"/>
      <c r="STI3" s="17"/>
      <c r="STJ3" s="17"/>
      <c r="STN3" s="15"/>
      <c r="STT3" s="16"/>
      <c r="SUA3" s="17"/>
      <c r="SUB3" s="17"/>
      <c r="SUF3" s="15"/>
      <c r="SUL3" s="16"/>
      <c r="SUS3" s="17"/>
      <c r="SUT3" s="17"/>
      <c r="SUX3" s="15"/>
      <c r="SVD3" s="16"/>
      <c r="SVK3" s="17"/>
      <c r="SVL3" s="17"/>
      <c r="SVP3" s="15"/>
      <c r="SVV3" s="16"/>
      <c r="SWC3" s="17"/>
      <c r="SWD3" s="17"/>
      <c r="SWH3" s="15"/>
      <c r="SWN3" s="16"/>
      <c r="SWU3" s="17"/>
      <c r="SWV3" s="17"/>
      <c r="SWZ3" s="15"/>
      <c r="SXF3" s="16"/>
      <c r="SXM3" s="17"/>
      <c r="SXN3" s="17"/>
      <c r="SXR3" s="15"/>
      <c r="SXX3" s="16"/>
      <c r="SYE3" s="17"/>
      <c r="SYF3" s="17"/>
      <c r="SYJ3" s="15"/>
      <c r="SYP3" s="16"/>
      <c r="SYW3" s="17"/>
      <c r="SYX3" s="17"/>
      <c r="SZB3" s="15"/>
      <c r="SZH3" s="16"/>
      <c r="SZO3" s="17"/>
      <c r="SZP3" s="17"/>
      <c r="SZT3" s="15"/>
      <c r="SZZ3" s="16"/>
      <c r="TAG3" s="17"/>
      <c r="TAH3" s="17"/>
      <c r="TAL3" s="15"/>
      <c r="TAR3" s="16"/>
      <c r="TAY3" s="17"/>
      <c r="TAZ3" s="17"/>
      <c r="TBD3" s="15"/>
      <c r="TBJ3" s="16"/>
      <c r="TBQ3" s="17"/>
      <c r="TBR3" s="17"/>
      <c r="TBV3" s="15"/>
      <c r="TCB3" s="16"/>
      <c r="TCI3" s="17"/>
      <c r="TCJ3" s="17"/>
      <c r="TCN3" s="15"/>
      <c r="TCT3" s="16"/>
      <c r="TDA3" s="17"/>
      <c r="TDB3" s="17"/>
      <c r="TDF3" s="15"/>
      <c r="TDL3" s="16"/>
      <c r="TDS3" s="17"/>
      <c r="TDT3" s="17"/>
      <c r="TDX3" s="15"/>
      <c r="TED3" s="16"/>
      <c r="TEK3" s="17"/>
      <c r="TEL3" s="17"/>
      <c r="TEP3" s="15"/>
      <c r="TEV3" s="16"/>
      <c r="TFC3" s="17"/>
      <c r="TFD3" s="17"/>
      <c r="TFH3" s="15"/>
      <c r="TFN3" s="16"/>
      <c r="TFU3" s="17"/>
      <c r="TFV3" s="17"/>
      <c r="TFZ3" s="15"/>
      <c r="TGF3" s="16"/>
      <c r="TGM3" s="17"/>
      <c r="TGN3" s="17"/>
      <c r="TGR3" s="15"/>
      <c r="TGX3" s="16"/>
      <c r="THE3" s="17"/>
      <c r="THF3" s="17"/>
      <c r="THJ3" s="15"/>
      <c r="THP3" s="16"/>
      <c r="THW3" s="17"/>
      <c r="THX3" s="17"/>
      <c r="TIB3" s="15"/>
      <c r="TIH3" s="16"/>
      <c r="TIO3" s="17"/>
      <c r="TIP3" s="17"/>
      <c r="TIT3" s="15"/>
      <c r="TIZ3" s="16"/>
      <c r="TJG3" s="17"/>
      <c r="TJH3" s="17"/>
      <c r="TJL3" s="15"/>
      <c r="TJR3" s="16"/>
      <c r="TJY3" s="17"/>
      <c r="TJZ3" s="17"/>
      <c r="TKD3" s="15"/>
      <c r="TKJ3" s="16"/>
      <c r="TKQ3" s="17"/>
      <c r="TKR3" s="17"/>
      <c r="TKV3" s="15"/>
      <c r="TLB3" s="16"/>
      <c r="TLI3" s="17"/>
      <c r="TLJ3" s="17"/>
      <c r="TLN3" s="15"/>
      <c r="TLT3" s="16"/>
      <c r="TMA3" s="17"/>
      <c r="TMB3" s="17"/>
      <c r="TMF3" s="15"/>
      <c r="TML3" s="16"/>
      <c r="TMS3" s="17"/>
      <c r="TMT3" s="17"/>
      <c r="TMX3" s="15"/>
      <c r="TND3" s="16"/>
      <c r="TNK3" s="17"/>
      <c r="TNL3" s="17"/>
      <c r="TNP3" s="15"/>
      <c r="TNV3" s="16"/>
      <c r="TOC3" s="17"/>
      <c r="TOD3" s="17"/>
      <c r="TOH3" s="15"/>
      <c r="TON3" s="16"/>
      <c r="TOU3" s="17"/>
      <c r="TOV3" s="17"/>
      <c r="TOZ3" s="15"/>
      <c r="TPF3" s="16"/>
      <c r="TPM3" s="17"/>
      <c r="TPN3" s="17"/>
      <c r="TPR3" s="15"/>
      <c r="TPX3" s="16"/>
      <c r="TQE3" s="17"/>
      <c r="TQF3" s="17"/>
      <c r="TQJ3" s="15"/>
      <c r="TQP3" s="16"/>
      <c r="TQW3" s="17"/>
      <c r="TQX3" s="17"/>
      <c r="TRB3" s="15"/>
      <c r="TRH3" s="16"/>
      <c r="TRO3" s="17"/>
      <c r="TRP3" s="17"/>
      <c r="TRT3" s="15"/>
      <c r="TRZ3" s="16"/>
      <c r="TSG3" s="17"/>
      <c r="TSH3" s="17"/>
      <c r="TSL3" s="15"/>
      <c r="TSR3" s="16"/>
      <c r="TSY3" s="17"/>
      <c r="TSZ3" s="17"/>
      <c r="TTD3" s="15"/>
      <c r="TTJ3" s="16"/>
      <c r="TTQ3" s="17"/>
      <c r="TTR3" s="17"/>
      <c r="TTV3" s="15"/>
      <c r="TUB3" s="16"/>
      <c r="TUI3" s="17"/>
      <c r="TUJ3" s="17"/>
      <c r="TUN3" s="15"/>
      <c r="TUT3" s="16"/>
      <c r="TVA3" s="17"/>
      <c r="TVB3" s="17"/>
      <c r="TVF3" s="15"/>
      <c r="TVL3" s="16"/>
      <c r="TVS3" s="17"/>
      <c r="TVT3" s="17"/>
      <c r="TVX3" s="15"/>
      <c r="TWD3" s="16"/>
      <c r="TWK3" s="17"/>
      <c r="TWL3" s="17"/>
      <c r="TWP3" s="15"/>
      <c r="TWV3" s="16"/>
      <c r="TXC3" s="17"/>
      <c r="TXD3" s="17"/>
      <c r="TXH3" s="15"/>
      <c r="TXN3" s="16"/>
      <c r="TXU3" s="17"/>
      <c r="TXV3" s="17"/>
      <c r="TXZ3" s="15"/>
      <c r="TYF3" s="16"/>
      <c r="TYM3" s="17"/>
      <c r="TYN3" s="17"/>
      <c r="TYR3" s="15"/>
      <c r="TYX3" s="16"/>
      <c r="TZE3" s="17"/>
      <c r="TZF3" s="17"/>
      <c r="TZJ3" s="15"/>
      <c r="TZP3" s="16"/>
      <c r="TZW3" s="17"/>
      <c r="TZX3" s="17"/>
      <c r="UAB3" s="15"/>
      <c r="UAH3" s="16"/>
      <c r="UAO3" s="17"/>
      <c r="UAP3" s="17"/>
      <c r="UAT3" s="15"/>
      <c r="UAZ3" s="16"/>
      <c r="UBG3" s="17"/>
      <c r="UBH3" s="17"/>
      <c r="UBL3" s="15"/>
      <c r="UBR3" s="16"/>
      <c r="UBY3" s="17"/>
      <c r="UBZ3" s="17"/>
      <c r="UCD3" s="15"/>
      <c r="UCJ3" s="16"/>
      <c r="UCQ3" s="17"/>
      <c r="UCR3" s="17"/>
      <c r="UCV3" s="15"/>
      <c r="UDB3" s="16"/>
      <c r="UDI3" s="17"/>
      <c r="UDJ3" s="17"/>
      <c r="UDN3" s="15"/>
      <c r="UDT3" s="16"/>
      <c r="UEA3" s="17"/>
      <c r="UEB3" s="17"/>
      <c r="UEF3" s="15"/>
      <c r="UEL3" s="16"/>
      <c r="UES3" s="17"/>
      <c r="UET3" s="17"/>
      <c r="UEX3" s="15"/>
      <c r="UFD3" s="16"/>
      <c r="UFK3" s="17"/>
      <c r="UFL3" s="17"/>
      <c r="UFP3" s="15"/>
      <c r="UFV3" s="16"/>
      <c r="UGC3" s="17"/>
      <c r="UGD3" s="17"/>
      <c r="UGH3" s="15"/>
      <c r="UGN3" s="16"/>
      <c r="UGU3" s="17"/>
      <c r="UGV3" s="17"/>
      <c r="UGZ3" s="15"/>
      <c r="UHF3" s="16"/>
      <c r="UHM3" s="17"/>
      <c r="UHN3" s="17"/>
      <c r="UHR3" s="15"/>
      <c r="UHX3" s="16"/>
      <c r="UIE3" s="17"/>
      <c r="UIF3" s="17"/>
      <c r="UIJ3" s="15"/>
      <c r="UIP3" s="16"/>
      <c r="UIW3" s="17"/>
      <c r="UIX3" s="17"/>
      <c r="UJB3" s="15"/>
      <c r="UJH3" s="16"/>
      <c r="UJO3" s="17"/>
      <c r="UJP3" s="17"/>
      <c r="UJT3" s="15"/>
      <c r="UJZ3" s="16"/>
      <c r="UKG3" s="17"/>
      <c r="UKH3" s="17"/>
      <c r="UKL3" s="15"/>
      <c r="UKR3" s="16"/>
      <c r="UKY3" s="17"/>
      <c r="UKZ3" s="17"/>
      <c r="ULD3" s="15"/>
      <c r="ULJ3" s="16"/>
      <c r="ULQ3" s="17"/>
      <c r="ULR3" s="17"/>
      <c r="ULV3" s="15"/>
      <c r="UMB3" s="16"/>
      <c r="UMI3" s="17"/>
      <c r="UMJ3" s="17"/>
      <c r="UMN3" s="15"/>
      <c r="UMT3" s="16"/>
      <c r="UNA3" s="17"/>
      <c r="UNB3" s="17"/>
      <c r="UNF3" s="15"/>
      <c r="UNL3" s="16"/>
      <c r="UNS3" s="17"/>
      <c r="UNT3" s="17"/>
      <c r="UNX3" s="15"/>
      <c r="UOD3" s="16"/>
      <c r="UOK3" s="17"/>
      <c r="UOL3" s="17"/>
      <c r="UOP3" s="15"/>
      <c r="UOV3" s="16"/>
      <c r="UPC3" s="17"/>
      <c r="UPD3" s="17"/>
      <c r="UPH3" s="15"/>
      <c r="UPN3" s="16"/>
      <c r="UPU3" s="17"/>
      <c r="UPV3" s="17"/>
      <c r="UPZ3" s="15"/>
      <c r="UQF3" s="16"/>
      <c r="UQM3" s="17"/>
      <c r="UQN3" s="17"/>
      <c r="UQR3" s="15"/>
      <c r="UQX3" s="16"/>
      <c r="URE3" s="17"/>
      <c r="URF3" s="17"/>
      <c r="URJ3" s="15"/>
      <c r="URP3" s="16"/>
      <c r="URW3" s="17"/>
      <c r="URX3" s="17"/>
      <c r="USB3" s="15"/>
      <c r="USH3" s="16"/>
      <c r="USO3" s="17"/>
      <c r="USP3" s="17"/>
      <c r="UST3" s="15"/>
      <c r="USZ3" s="16"/>
      <c r="UTG3" s="17"/>
      <c r="UTH3" s="17"/>
      <c r="UTL3" s="15"/>
      <c r="UTR3" s="16"/>
      <c r="UTY3" s="17"/>
      <c r="UTZ3" s="17"/>
      <c r="UUD3" s="15"/>
      <c r="UUJ3" s="16"/>
      <c r="UUQ3" s="17"/>
      <c r="UUR3" s="17"/>
      <c r="UUV3" s="15"/>
      <c r="UVB3" s="16"/>
      <c r="UVI3" s="17"/>
      <c r="UVJ3" s="17"/>
      <c r="UVN3" s="15"/>
      <c r="UVT3" s="16"/>
      <c r="UWA3" s="17"/>
      <c r="UWB3" s="17"/>
      <c r="UWF3" s="15"/>
      <c r="UWL3" s="16"/>
      <c r="UWS3" s="17"/>
      <c r="UWT3" s="17"/>
      <c r="UWX3" s="15"/>
      <c r="UXD3" s="16"/>
      <c r="UXK3" s="17"/>
      <c r="UXL3" s="17"/>
      <c r="UXP3" s="15"/>
      <c r="UXV3" s="16"/>
      <c r="UYC3" s="17"/>
      <c r="UYD3" s="17"/>
      <c r="UYH3" s="15"/>
      <c r="UYN3" s="16"/>
      <c r="UYU3" s="17"/>
      <c r="UYV3" s="17"/>
      <c r="UYZ3" s="15"/>
      <c r="UZF3" s="16"/>
      <c r="UZM3" s="17"/>
      <c r="UZN3" s="17"/>
      <c r="UZR3" s="15"/>
      <c r="UZX3" s="16"/>
      <c r="VAE3" s="17"/>
      <c r="VAF3" s="17"/>
      <c r="VAJ3" s="15"/>
      <c r="VAP3" s="16"/>
      <c r="VAW3" s="17"/>
      <c r="VAX3" s="17"/>
      <c r="VBB3" s="15"/>
      <c r="VBH3" s="16"/>
      <c r="VBO3" s="17"/>
      <c r="VBP3" s="17"/>
      <c r="VBT3" s="15"/>
      <c r="VBZ3" s="16"/>
      <c r="VCG3" s="17"/>
      <c r="VCH3" s="17"/>
      <c r="VCL3" s="15"/>
      <c r="VCR3" s="16"/>
      <c r="VCY3" s="17"/>
      <c r="VCZ3" s="17"/>
      <c r="VDD3" s="15"/>
      <c r="VDJ3" s="16"/>
      <c r="VDQ3" s="17"/>
      <c r="VDR3" s="17"/>
      <c r="VDV3" s="15"/>
      <c r="VEB3" s="16"/>
      <c r="VEI3" s="17"/>
      <c r="VEJ3" s="17"/>
      <c r="VEN3" s="15"/>
      <c r="VET3" s="16"/>
      <c r="VFA3" s="17"/>
      <c r="VFB3" s="17"/>
      <c r="VFF3" s="15"/>
      <c r="VFL3" s="16"/>
      <c r="VFS3" s="17"/>
      <c r="VFT3" s="17"/>
      <c r="VFX3" s="15"/>
      <c r="VGD3" s="16"/>
      <c r="VGK3" s="17"/>
      <c r="VGL3" s="17"/>
      <c r="VGP3" s="15"/>
      <c r="VGV3" s="16"/>
      <c r="VHC3" s="17"/>
      <c r="VHD3" s="17"/>
      <c r="VHH3" s="15"/>
      <c r="VHN3" s="16"/>
      <c r="VHU3" s="17"/>
      <c r="VHV3" s="17"/>
      <c r="VHZ3" s="15"/>
      <c r="VIF3" s="16"/>
      <c r="VIM3" s="17"/>
      <c r="VIN3" s="17"/>
      <c r="VIR3" s="15"/>
      <c r="VIX3" s="16"/>
      <c r="VJE3" s="17"/>
      <c r="VJF3" s="17"/>
      <c r="VJJ3" s="15"/>
      <c r="VJP3" s="16"/>
      <c r="VJW3" s="17"/>
      <c r="VJX3" s="17"/>
      <c r="VKB3" s="15"/>
      <c r="VKH3" s="16"/>
      <c r="VKO3" s="17"/>
      <c r="VKP3" s="17"/>
      <c r="VKT3" s="15"/>
      <c r="VKZ3" s="16"/>
      <c r="VLG3" s="17"/>
      <c r="VLH3" s="17"/>
      <c r="VLL3" s="15"/>
      <c r="VLR3" s="16"/>
      <c r="VLY3" s="17"/>
      <c r="VLZ3" s="17"/>
      <c r="VMD3" s="15"/>
      <c r="VMJ3" s="16"/>
      <c r="VMQ3" s="17"/>
      <c r="VMR3" s="17"/>
      <c r="VMV3" s="15"/>
      <c r="VNB3" s="16"/>
      <c r="VNI3" s="17"/>
      <c r="VNJ3" s="17"/>
      <c r="VNN3" s="15"/>
      <c r="VNT3" s="16"/>
      <c r="VOA3" s="17"/>
      <c r="VOB3" s="17"/>
      <c r="VOF3" s="15"/>
      <c r="VOL3" s="16"/>
      <c r="VOS3" s="17"/>
      <c r="VOT3" s="17"/>
      <c r="VOX3" s="15"/>
      <c r="VPD3" s="16"/>
      <c r="VPK3" s="17"/>
      <c r="VPL3" s="17"/>
      <c r="VPP3" s="15"/>
      <c r="VPV3" s="16"/>
      <c r="VQC3" s="17"/>
      <c r="VQD3" s="17"/>
      <c r="VQH3" s="15"/>
      <c r="VQN3" s="16"/>
      <c r="VQU3" s="17"/>
      <c r="VQV3" s="17"/>
      <c r="VQZ3" s="15"/>
      <c r="VRF3" s="16"/>
      <c r="VRM3" s="17"/>
      <c r="VRN3" s="17"/>
      <c r="VRR3" s="15"/>
      <c r="VRX3" s="16"/>
      <c r="VSE3" s="17"/>
      <c r="VSF3" s="17"/>
      <c r="VSJ3" s="15"/>
      <c r="VSP3" s="16"/>
      <c r="VSW3" s="17"/>
      <c r="VSX3" s="17"/>
      <c r="VTB3" s="15"/>
      <c r="VTH3" s="16"/>
      <c r="VTO3" s="17"/>
      <c r="VTP3" s="17"/>
      <c r="VTT3" s="15"/>
      <c r="VTZ3" s="16"/>
      <c r="VUG3" s="17"/>
      <c r="VUH3" s="17"/>
      <c r="VUL3" s="15"/>
      <c r="VUR3" s="16"/>
      <c r="VUY3" s="17"/>
      <c r="VUZ3" s="17"/>
      <c r="VVD3" s="15"/>
      <c r="VVJ3" s="16"/>
      <c r="VVQ3" s="17"/>
      <c r="VVR3" s="17"/>
      <c r="VVV3" s="15"/>
      <c r="VWB3" s="16"/>
      <c r="VWI3" s="17"/>
      <c r="VWJ3" s="17"/>
      <c r="VWN3" s="15"/>
      <c r="VWT3" s="16"/>
      <c r="VXA3" s="17"/>
      <c r="VXB3" s="17"/>
      <c r="VXF3" s="15"/>
      <c r="VXL3" s="16"/>
      <c r="VXS3" s="17"/>
      <c r="VXT3" s="17"/>
      <c r="VXX3" s="15"/>
      <c r="VYD3" s="16"/>
      <c r="VYK3" s="17"/>
      <c r="VYL3" s="17"/>
      <c r="VYP3" s="15"/>
      <c r="VYV3" s="16"/>
      <c r="VZC3" s="17"/>
      <c r="VZD3" s="17"/>
      <c r="VZH3" s="15"/>
      <c r="VZN3" s="16"/>
      <c r="VZU3" s="17"/>
      <c r="VZV3" s="17"/>
      <c r="VZZ3" s="15"/>
      <c r="WAF3" s="16"/>
      <c r="WAM3" s="17"/>
      <c r="WAN3" s="17"/>
      <c r="WAR3" s="15"/>
      <c r="WAX3" s="16"/>
      <c r="WBE3" s="17"/>
      <c r="WBF3" s="17"/>
      <c r="WBJ3" s="15"/>
      <c r="WBP3" s="16"/>
      <c r="WBW3" s="17"/>
      <c r="WBX3" s="17"/>
      <c r="WCB3" s="15"/>
      <c r="WCH3" s="16"/>
      <c r="WCO3" s="17"/>
      <c r="WCP3" s="17"/>
      <c r="WCT3" s="15"/>
      <c r="WCZ3" s="16"/>
      <c r="WDG3" s="17"/>
      <c r="WDH3" s="17"/>
      <c r="WDL3" s="15"/>
      <c r="WDR3" s="16"/>
      <c r="WDY3" s="17"/>
      <c r="WDZ3" s="17"/>
      <c r="WED3" s="15"/>
      <c r="WEJ3" s="16"/>
      <c r="WEQ3" s="17"/>
      <c r="WER3" s="17"/>
      <c r="WEV3" s="15"/>
      <c r="WFB3" s="16"/>
      <c r="WFI3" s="17"/>
      <c r="WFJ3" s="17"/>
      <c r="WFN3" s="15"/>
      <c r="WFT3" s="16"/>
      <c r="WGA3" s="17"/>
      <c r="WGB3" s="17"/>
      <c r="WGF3" s="15"/>
      <c r="WGL3" s="16"/>
      <c r="WGS3" s="17"/>
      <c r="WGT3" s="17"/>
      <c r="WGX3" s="15"/>
      <c r="WHD3" s="16"/>
      <c r="WHK3" s="17"/>
      <c r="WHL3" s="17"/>
      <c r="WHP3" s="15"/>
      <c r="WHV3" s="16"/>
      <c r="WIC3" s="17"/>
      <c r="WID3" s="17"/>
      <c r="WIH3" s="15"/>
      <c r="WIN3" s="16"/>
      <c r="WIU3" s="17"/>
      <c r="WIV3" s="17"/>
      <c r="WIZ3" s="15"/>
      <c r="WJF3" s="16"/>
      <c r="WJM3" s="17"/>
      <c r="WJN3" s="17"/>
      <c r="WJR3" s="15"/>
      <c r="WJX3" s="16"/>
      <c r="WKE3" s="17"/>
      <c r="WKF3" s="17"/>
      <c r="WKJ3" s="15"/>
      <c r="WKP3" s="16"/>
      <c r="WKW3" s="17"/>
      <c r="WKX3" s="17"/>
      <c r="WLB3" s="15"/>
      <c r="WLH3" s="16"/>
      <c r="WLO3" s="17"/>
      <c r="WLP3" s="17"/>
      <c r="WLT3" s="15"/>
      <c r="WLZ3" s="16"/>
      <c r="WMG3" s="17"/>
      <c r="WMH3" s="17"/>
      <c r="WML3" s="15"/>
      <c r="WMR3" s="16"/>
      <c r="WMY3" s="17"/>
      <c r="WMZ3" s="17"/>
      <c r="WND3" s="15"/>
      <c r="WNJ3" s="16"/>
      <c r="WNQ3" s="17"/>
      <c r="WNR3" s="17"/>
      <c r="WNV3" s="15"/>
      <c r="WOB3" s="16"/>
      <c r="WOI3" s="17"/>
      <c r="WOJ3" s="17"/>
      <c r="WON3" s="15"/>
      <c r="WOT3" s="16"/>
      <c r="WPA3" s="17"/>
      <c r="WPB3" s="17"/>
      <c r="WPF3" s="15"/>
      <c r="WPL3" s="16"/>
      <c r="WPS3" s="17"/>
      <c r="WPT3" s="17"/>
      <c r="WPX3" s="15"/>
      <c r="WQD3" s="16"/>
      <c r="WQK3" s="17"/>
      <c r="WQL3" s="17"/>
      <c r="WQP3" s="15"/>
      <c r="WQV3" s="16"/>
      <c r="WRC3" s="17"/>
      <c r="WRD3" s="17"/>
      <c r="WRH3" s="15"/>
      <c r="WRN3" s="16"/>
      <c r="WRU3" s="17"/>
      <c r="WRV3" s="17"/>
      <c r="WRZ3" s="15"/>
      <c r="WSF3" s="16"/>
      <c r="WSM3" s="17"/>
      <c r="WSN3" s="17"/>
      <c r="WSR3" s="15"/>
      <c r="WSX3" s="16"/>
      <c r="WTE3" s="17"/>
      <c r="WTF3" s="17"/>
      <c r="WTJ3" s="15"/>
      <c r="WTP3" s="16"/>
      <c r="WTW3" s="17"/>
      <c r="WTX3" s="17"/>
      <c r="WUB3" s="15"/>
      <c r="WUH3" s="16"/>
      <c r="WUO3" s="17"/>
      <c r="WUP3" s="17"/>
      <c r="WUT3" s="15"/>
      <c r="WUZ3" s="16"/>
      <c r="WVG3" s="17"/>
      <c r="WVH3" s="17"/>
      <c r="WVL3" s="15"/>
      <c r="WVR3" s="16"/>
      <c r="WVY3" s="17"/>
      <c r="WVZ3" s="17"/>
      <c r="WWD3" s="15"/>
      <c r="WWJ3" s="16"/>
      <c r="WWQ3" s="17"/>
      <c r="WWR3" s="17"/>
      <c r="WWV3" s="15"/>
      <c r="WXB3" s="16"/>
      <c r="WXI3" s="17"/>
      <c r="WXJ3" s="17"/>
      <c r="WXN3" s="15"/>
      <c r="WXT3" s="16"/>
      <c r="WYA3" s="17"/>
      <c r="WYB3" s="17"/>
      <c r="WYF3" s="15"/>
      <c r="WYL3" s="16"/>
      <c r="WYS3" s="17"/>
      <c r="WYT3" s="17"/>
      <c r="WYX3" s="15"/>
      <c r="WZD3" s="16"/>
      <c r="WZK3" s="17"/>
      <c r="WZL3" s="17"/>
      <c r="WZP3" s="15"/>
      <c r="WZV3" s="16"/>
      <c r="XAC3" s="17"/>
      <c r="XAD3" s="17"/>
      <c r="XAH3" s="15"/>
      <c r="XAN3" s="16"/>
      <c r="XAU3" s="17"/>
      <c r="XAV3" s="17"/>
      <c r="XAZ3" s="15"/>
      <c r="XBF3" s="16"/>
      <c r="XBM3" s="17"/>
      <c r="XBN3" s="17"/>
      <c r="XBR3" s="15"/>
      <c r="XBX3" s="16"/>
      <c r="XCE3" s="17"/>
      <c r="XCF3" s="17"/>
      <c r="XCJ3" s="15"/>
      <c r="XCP3" s="16"/>
      <c r="XCW3" s="17"/>
      <c r="XCX3" s="17"/>
      <c r="XDB3" s="15"/>
      <c r="XDH3" s="16"/>
      <c r="XDO3" s="17"/>
      <c r="XDP3" s="17"/>
      <c r="XDT3" s="15"/>
      <c r="XDZ3" s="16"/>
      <c r="XEG3" s="17"/>
      <c r="XEH3" s="17"/>
      <c r="XEL3" s="15"/>
      <c r="XER3" s="16"/>
      <c r="XEY3" s="17"/>
      <c r="XEZ3" s="17"/>
      <c r="XFD3" s="15"/>
    </row>
    <row r="4" spans="1:1018 1025:2044 2051:3070 3077:4096 4103:5116 5122:6142 6148:7168 7174:8190 8194:9216 9220:10234 10241:11260 11267:12286 12293:13312 13319:14332 14338:15358 15364:16384">
      <c r="A4" s="17" t="s">
        <v>29</v>
      </c>
      <c r="B4" s="9">
        <v>2009</v>
      </c>
      <c r="C4" s="9" t="s">
        <v>21</v>
      </c>
      <c r="D4" s="9" t="s">
        <v>22</v>
      </c>
      <c r="E4" s="10" t="s">
        <v>23</v>
      </c>
      <c r="F4" s="9" t="s">
        <v>24</v>
      </c>
      <c r="G4" s="11">
        <v>7788994</v>
      </c>
      <c r="H4" s="11">
        <v>13964717</v>
      </c>
      <c r="I4" s="12">
        <v>5</v>
      </c>
      <c r="J4" s="13" t="s">
        <v>25</v>
      </c>
      <c r="K4" s="9" t="s">
        <v>26</v>
      </c>
      <c r="M4" s="9" t="s">
        <v>26</v>
      </c>
      <c r="O4" s="14" t="s">
        <v>26</v>
      </c>
      <c r="Q4" s="14" t="s">
        <v>27</v>
      </c>
      <c r="R4" s="14" t="s">
        <v>28</v>
      </c>
      <c r="V4" s="15"/>
      <c r="AB4" s="16"/>
      <c r="AI4" s="17"/>
      <c r="AJ4" s="17"/>
      <c r="AN4" s="15"/>
      <c r="AT4" s="16"/>
      <c r="BA4" s="17"/>
      <c r="BB4" s="17"/>
      <c r="BF4" s="15"/>
      <c r="BL4" s="16"/>
      <c r="BS4" s="17"/>
      <c r="BT4" s="17"/>
      <c r="BX4" s="15"/>
      <c r="CD4" s="16"/>
      <c r="CK4" s="17"/>
      <c r="CL4" s="17"/>
      <c r="CP4" s="15"/>
      <c r="CV4" s="16"/>
      <c r="DC4" s="17"/>
      <c r="DD4" s="17"/>
      <c r="DH4" s="15"/>
      <c r="DN4" s="16"/>
      <c r="DU4" s="17"/>
      <c r="DV4" s="17"/>
      <c r="DZ4" s="15"/>
      <c r="EF4" s="16"/>
      <c r="EM4" s="17"/>
      <c r="EN4" s="17"/>
      <c r="ER4" s="15"/>
      <c r="EX4" s="16"/>
      <c r="FE4" s="17"/>
      <c r="FF4" s="17"/>
      <c r="FJ4" s="15"/>
      <c r="FP4" s="16"/>
      <c r="FW4" s="17"/>
      <c r="FX4" s="17"/>
      <c r="GB4" s="15"/>
      <c r="GH4" s="16"/>
      <c r="GO4" s="17"/>
      <c r="GP4" s="17"/>
      <c r="GT4" s="15"/>
      <c r="GZ4" s="16"/>
      <c r="HG4" s="17"/>
      <c r="HH4" s="17"/>
      <c r="HL4" s="15"/>
      <c r="HR4" s="16"/>
      <c r="HY4" s="17"/>
      <c r="HZ4" s="17"/>
      <c r="ID4" s="15"/>
      <c r="IJ4" s="16"/>
      <c r="IQ4" s="17"/>
      <c r="IR4" s="17"/>
      <c r="IV4" s="15"/>
      <c r="JB4" s="16"/>
      <c r="JI4" s="17"/>
      <c r="JJ4" s="17"/>
      <c r="JN4" s="15"/>
      <c r="JT4" s="16"/>
      <c r="KA4" s="17"/>
      <c r="KB4" s="17"/>
      <c r="KF4" s="15"/>
      <c r="KL4" s="16"/>
      <c r="KS4" s="17"/>
      <c r="KT4" s="17"/>
      <c r="KX4" s="15"/>
      <c r="LD4" s="16"/>
      <c r="LK4" s="17"/>
      <c r="LL4" s="17"/>
      <c r="LP4" s="15"/>
      <c r="LV4" s="16"/>
      <c r="MC4" s="17"/>
      <c r="MD4" s="17"/>
      <c r="MH4" s="15"/>
      <c r="MN4" s="16"/>
      <c r="MU4" s="17"/>
      <c r="MV4" s="17"/>
      <c r="MZ4" s="15"/>
      <c r="NF4" s="16"/>
      <c r="NM4" s="17"/>
      <c r="NN4" s="17"/>
      <c r="NR4" s="15"/>
      <c r="NX4" s="16"/>
      <c r="OE4" s="17"/>
      <c r="OF4" s="17"/>
      <c r="OJ4" s="15"/>
      <c r="OP4" s="16"/>
      <c r="OW4" s="17"/>
      <c r="OX4" s="17"/>
      <c r="PB4" s="15"/>
      <c r="PH4" s="16"/>
      <c r="PO4" s="17"/>
      <c r="PP4" s="17"/>
      <c r="PT4" s="15"/>
      <c r="PZ4" s="16"/>
      <c r="QG4" s="17"/>
      <c r="QH4" s="17"/>
      <c r="QL4" s="15"/>
      <c r="QR4" s="16"/>
      <c r="QY4" s="17"/>
      <c r="QZ4" s="17"/>
      <c r="RD4" s="15"/>
      <c r="RJ4" s="16"/>
      <c r="RQ4" s="17"/>
      <c r="RR4" s="17"/>
      <c r="RV4" s="15"/>
      <c r="SB4" s="16"/>
      <c r="SI4" s="17"/>
      <c r="SJ4" s="17"/>
      <c r="SN4" s="15"/>
      <c r="ST4" s="16"/>
      <c r="TA4" s="17"/>
      <c r="TB4" s="17"/>
      <c r="TF4" s="15"/>
      <c r="TL4" s="16"/>
      <c r="TS4" s="17"/>
      <c r="TT4" s="17"/>
      <c r="TX4" s="15"/>
      <c r="UD4" s="16"/>
      <c r="UK4" s="17"/>
      <c r="UL4" s="17"/>
      <c r="UP4" s="15"/>
      <c r="UV4" s="16"/>
      <c r="VC4" s="17"/>
      <c r="VD4" s="17"/>
      <c r="VH4" s="15"/>
      <c r="VN4" s="16"/>
      <c r="VU4" s="17"/>
      <c r="VV4" s="17"/>
      <c r="VZ4" s="15"/>
      <c r="WF4" s="16"/>
      <c r="WM4" s="17"/>
      <c r="WN4" s="17"/>
      <c r="WR4" s="15"/>
      <c r="WX4" s="16"/>
      <c r="XE4" s="17"/>
      <c r="XF4" s="17"/>
      <c r="XJ4" s="15"/>
      <c r="XP4" s="16"/>
      <c r="XW4" s="17"/>
      <c r="XX4" s="17"/>
      <c r="YB4" s="15"/>
      <c r="YH4" s="16"/>
      <c r="YO4" s="17"/>
      <c r="YP4" s="17"/>
      <c r="YT4" s="15"/>
      <c r="YZ4" s="16"/>
      <c r="ZG4" s="17"/>
      <c r="ZH4" s="17"/>
      <c r="ZL4" s="15"/>
      <c r="ZR4" s="16"/>
      <c r="ZY4" s="17"/>
      <c r="ZZ4" s="17"/>
      <c r="AAD4" s="15"/>
      <c r="AAJ4" s="16"/>
      <c r="AAQ4" s="17"/>
      <c r="AAR4" s="17"/>
      <c r="AAV4" s="15"/>
      <c r="ABB4" s="16"/>
      <c r="ABI4" s="17"/>
      <c r="ABJ4" s="17"/>
      <c r="ABN4" s="15"/>
      <c r="ABT4" s="16"/>
      <c r="ACA4" s="17"/>
      <c r="ACB4" s="17"/>
      <c r="ACF4" s="15"/>
      <c r="ACL4" s="16"/>
      <c r="ACS4" s="17"/>
      <c r="ACT4" s="17"/>
      <c r="ACX4" s="15"/>
      <c r="ADD4" s="16"/>
      <c r="ADK4" s="17"/>
      <c r="ADL4" s="17"/>
      <c r="ADP4" s="15"/>
      <c r="ADV4" s="16"/>
      <c r="AEC4" s="17"/>
      <c r="AED4" s="17"/>
      <c r="AEH4" s="15"/>
      <c r="AEN4" s="16"/>
      <c r="AEU4" s="17"/>
      <c r="AEV4" s="17"/>
      <c r="AEZ4" s="15"/>
      <c r="AFF4" s="16"/>
      <c r="AFM4" s="17"/>
      <c r="AFN4" s="17"/>
      <c r="AFR4" s="15"/>
      <c r="AFX4" s="16"/>
      <c r="AGE4" s="17"/>
      <c r="AGF4" s="17"/>
      <c r="AGJ4" s="15"/>
      <c r="AGP4" s="16"/>
      <c r="AGW4" s="17"/>
      <c r="AGX4" s="17"/>
      <c r="AHB4" s="15"/>
      <c r="AHH4" s="16"/>
      <c r="AHO4" s="17"/>
      <c r="AHP4" s="17"/>
      <c r="AHT4" s="15"/>
      <c r="AHZ4" s="16"/>
      <c r="AIG4" s="17"/>
      <c r="AIH4" s="17"/>
      <c r="AIL4" s="15"/>
      <c r="AIR4" s="16"/>
      <c r="AIY4" s="17"/>
      <c r="AIZ4" s="17"/>
      <c r="AJD4" s="15"/>
      <c r="AJJ4" s="16"/>
      <c r="AJQ4" s="17"/>
      <c r="AJR4" s="17"/>
      <c r="AJV4" s="15"/>
      <c r="AKB4" s="16"/>
      <c r="AKI4" s="17"/>
      <c r="AKJ4" s="17"/>
      <c r="AKN4" s="15"/>
      <c r="AKT4" s="16"/>
      <c r="ALA4" s="17"/>
      <c r="ALB4" s="17"/>
      <c r="ALF4" s="15"/>
      <c r="ALL4" s="16"/>
      <c r="ALS4" s="17"/>
      <c r="ALT4" s="17"/>
      <c r="ALX4" s="15"/>
      <c r="AMD4" s="16"/>
      <c r="AMK4" s="17"/>
      <c r="AML4" s="17"/>
      <c r="AMP4" s="15"/>
      <c r="AMV4" s="16"/>
      <c r="ANC4" s="17"/>
      <c r="AND4" s="17"/>
      <c r="ANH4" s="15"/>
      <c r="ANN4" s="16"/>
      <c r="ANU4" s="17"/>
      <c r="ANV4" s="17"/>
      <c r="ANZ4" s="15"/>
      <c r="AOF4" s="16"/>
      <c r="AOM4" s="17"/>
      <c r="AON4" s="17"/>
      <c r="AOR4" s="15"/>
      <c r="AOX4" s="16"/>
      <c r="APE4" s="17"/>
      <c r="APF4" s="17"/>
      <c r="APJ4" s="15"/>
      <c r="APP4" s="16"/>
      <c r="APW4" s="17"/>
      <c r="APX4" s="17"/>
      <c r="AQB4" s="15"/>
      <c r="AQH4" s="16"/>
      <c r="AQO4" s="17"/>
      <c r="AQP4" s="17"/>
      <c r="AQT4" s="15"/>
      <c r="AQZ4" s="16"/>
      <c r="ARG4" s="17"/>
      <c r="ARH4" s="17"/>
      <c r="ARL4" s="15"/>
      <c r="ARR4" s="16"/>
      <c r="ARY4" s="17"/>
      <c r="ARZ4" s="17"/>
      <c r="ASD4" s="15"/>
      <c r="ASJ4" s="16"/>
      <c r="ASQ4" s="17"/>
      <c r="ASR4" s="17"/>
      <c r="ASV4" s="15"/>
      <c r="ATB4" s="16"/>
      <c r="ATI4" s="17"/>
      <c r="ATJ4" s="17"/>
      <c r="ATN4" s="15"/>
      <c r="ATT4" s="16"/>
      <c r="AUA4" s="17"/>
      <c r="AUB4" s="17"/>
      <c r="AUF4" s="15"/>
      <c r="AUL4" s="16"/>
      <c r="AUS4" s="17"/>
      <c r="AUT4" s="17"/>
      <c r="AUX4" s="15"/>
      <c r="AVD4" s="16"/>
      <c r="AVK4" s="17"/>
      <c r="AVL4" s="17"/>
      <c r="AVP4" s="15"/>
      <c r="AVV4" s="16"/>
      <c r="AWC4" s="17"/>
      <c r="AWD4" s="17"/>
      <c r="AWH4" s="15"/>
      <c r="AWN4" s="16"/>
      <c r="AWU4" s="17"/>
      <c r="AWV4" s="17"/>
      <c r="AWZ4" s="15"/>
      <c r="AXF4" s="16"/>
      <c r="AXM4" s="17"/>
      <c r="AXN4" s="17"/>
      <c r="AXR4" s="15"/>
      <c r="AXX4" s="16"/>
      <c r="AYE4" s="17"/>
      <c r="AYF4" s="17"/>
      <c r="AYJ4" s="15"/>
      <c r="AYP4" s="16"/>
      <c r="AYW4" s="17"/>
      <c r="AYX4" s="17"/>
      <c r="AZB4" s="15"/>
      <c r="AZH4" s="16"/>
      <c r="AZO4" s="17"/>
      <c r="AZP4" s="17"/>
      <c r="AZT4" s="15"/>
      <c r="AZZ4" s="16"/>
      <c r="BAG4" s="17"/>
      <c r="BAH4" s="17"/>
      <c r="BAL4" s="15"/>
      <c r="BAR4" s="16"/>
      <c r="BAY4" s="17"/>
      <c r="BAZ4" s="17"/>
      <c r="BBD4" s="15"/>
      <c r="BBJ4" s="16"/>
      <c r="BBQ4" s="17"/>
      <c r="BBR4" s="17"/>
      <c r="BBV4" s="15"/>
      <c r="BCB4" s="16"/>
      <c r="BCI4" s="17"/>
      <c r="BCJ4" s="17"/>
      <c r="BCN4" s="15"/>
      <c r="BCT4" s="16"/>
      <c r="BDA4" s="17"/>
      <c r="BDB4" s="17"/>
      <c r="BDF4" s="15"/>
      <c r="BDL4" s="16"/>
      <c r="BDS4" s="17"/>
      <c r="BDT4" s="17"/>
      <c r="BDX4" s="15"/>
      <c r="BED4" s="16"/>
      <c r="BEK4" s="17"/>
      <c r="BEL4" s="17"/>
      <c r="BEP4" s="15"/>
      <c r="BEV4" s="16"/>
      <c r="BFC4" s="17"/>
      <c r="BFD4" s="17"/>
      <c r="BFH4" s="15"/>
      <c r="BFN4" s="16"/>
      <c r="BFU4" s="17"/>
      <c r="BFV4" s="17"/>
      <c r="BFZ4" s="15"/>
      <c r="BGF4" s="16"/>
      <c r="BGM4" s="17"/>
      <c r="BGN4" s="17"/>
      <c r="BGR4" s="15"/>
      <c r="BGX4" s="16"/>
      <c r="BHE4" s="17"/>
      <c r="BHF4" s="17"/>
      <c r="BHJ4" s="15"/>
      <c r="BHP4" s="16"/>
      <c r="BHW4" s="17"/>
      <c r="BHX4" s="17"/>
      <c r="BIB4" s="15"/>
      <c r="BIH4" s="16"/>
      <c r="BIO4" s="17"/>
      <c r="BIP4" s="17"/>
      <c r="BIT4" s="15"/>
      <c r="BIZ4" s="16"/>
      <c r="BJG4" s="17"/>
      <c r="BJH4" s="17"/>
      <c r="BJL4" s="15"/>
      <c r="BJR4" s="16"/>
      <c r="BJY4" s="17"/>
      <c r="BJZ4" s="17"/>
      <c r="BKD4" s="15"/>
      <c r="BKJ4" s="16"/>
      <c r="BKQ4" s="17"/>
      <c r="BKR4" s="17"/>
      <c r="BKV4" s="15"/>
      <c r="BLB4" s="16"/>
      <c r="BLI4" s="17"/>
      <c r="BLJ4" s="17"/>
      <c r="BLN4" s="15"/>
      <c r="BLT4" s="16"/>
      <c r="BMA4" s="17"/>
      <c r="BMB4" s="17"/>
      <c r="BMF4" s="15"/>
      <c r="BML4" s="16"/>
      <c r="BMS4" s="17"/>
      <c r="BMT4" s="17"/>
      <c r="BMX4" s="15"/>
      <c r="BND4" s="16"/>
      <c r="BNK4" s="17"/>
      <c r="BNL4" s="17"/>
      <c r="BNP4" s="15"/>
      <c r="BNV4" s="16"/>
      <c r="BOC4" s="17"/>
      <c r="BOD4" s="17"/>
      <c r="BOH4" s="15"/>
      <c r="BON4" s="16"/>
      <c r="BOU4" s="17"/>
      <c r="BOV4" s="17"/>
      <c r="BOZ4" s="15"/>
      <c r="BPF4" s="16"/>
      <c r="BPM4" s="17"/>
      <c r="BPN4" s="17"/>
      <c r="BPR4" s="15"/>
      <c r="BPX4" s="16"/>
      <c r="BQE4" s="17"/>
      <c r="BQF4" s="17"/>
      <c r="BQJ4" s="15"/>
      <c r="BQP4" s="16"/>
      <c r="BQW4" s="17"/>
      <c r="BQX4" s="17"/>
      <c r="BRB4" s="15"/>
      <c r="BRH4" s="16"/>
      <c r="BRO4" s="17"/>
      <c r="BRP4" s="17"/>
      <c r="BRT4" s="15"/>
      <c r="BRZ4" s="16"/>
      <c r="BSG4" s="17"/>
      <c r="BSH4" s="17"/>
      <c r="BSL4" s="15"/>
      <c r="BSR4" s="16"/>
      <c r="BSY4" s="17"/>
      <c r="BSZ4" s="17"/>
      <c r="BTD4" s="15"/>
      <c r="BTJ4" s="16"/>
      <c r="BTQ4" s="17"/>
      <c r="BTR4" s="17"/>
      <c r="BTV4" s="15"/>
      <c r="BUB4" s="16"/>
      <c r="BUI4" s="17"/>
      <c r="BUJ4" s="17"/>
      <c r="BUN4" s="15"/>
      <c r="BUT4" s="16"/>
      <c r="BVA4" s="17"/>
      <c r="BVB4" s="17"/>
      <c r="BVF4" s="15"/>
      <c r="BVL4" s="16"/>
      <c r="BVS4" s="17"/>
      <c r="BVT4" s="17"/>
      <c r="BVX4" s="15"/>
      <c r="BWD4" s="16"/>
      <c r="BWK4" s="17"/>
      <c r="BWL4" s="17"/>
      <c r="BWP4" s="15"/>
      <c r="BWV4" s="16"/>
      <c r="BXC4" s="17"/>
      <c r="BXD4" s="17"/>
      <c r="BXH4" s="15"/>
      <c r="BXN4" s="16"/>
      <c r="BXU4" s="17"/>
      <c r="BXV4" s="17"/>
      <c r="BXZ4" s="15"/>
      <c r="BYF4" s="16"/>
      <c r="BYM4" s="17"/>
      <c r="BYN4" s="17"/>
      <c r="BYR4" s="15"/>
      <c r="BYX4" s="16"/>
      <c r="BZE4" s="17"/>
      <c r="BZF4" s="17"/>
      <c r="BZJ4" s="15"/>
      <c r="BZP4" s="16"/>
      <c r="BZW4" s="17"/>
      <c r="BZX4" s="17"/>
      <c r="CAB4" s="15"/>
      <c r="CAH4" s="16"/>
      <c r="CAO4" s="17"/>
      <c r="CAP4" s="17"/>
      <c r="CAT4" s="15"/>
      <c r="CAZ4" s="16"/>
      <c r="CBG4" s="17"/>
      <c r="CBH4" s="17"/>
      <c r="CBL4" s="15"/>
      <c r="CBR4" s="16"/>
      <c r="CBY4" s="17"/>
      <c r="CBZ4" s="17"/>
      <c r="CCD4" s="15"/>
      <c r="CCJ4" s="16"/>
      <c r="CCQ4" s="17"/>
      <c r="CCR4" s="17"/>
      <c r="CCV4" s="15"/>
      <c r="CDB4" s="16"/>
      <c r="CDI4" s="17"/>
      <c r="CDJ4" s="17"/>
      <c r="CDN4" s="15"/>
      <c r="CDT4" s="16"/>
      <c r="CEA4" s="17"/>
      <c r="CEB4" s="17"/>
      <c r="CEF4" s="15"/>
      <c r="CEL4" s="16"/>
      <c r="CES4" s="17"/>
      <c r="CET4" s="17"/>
      <c r="CEX4" s="15"/>
      <c r="CFD4" s="16"/>
      <c r="CFK4" s="17"/>
      <c r="CFL4" s="17"/>
      <c r="CFP4" s="15"/>
      <c r="CFV4" s="16"/>
      <c r="CGC4" s="17"/>
      <c r="CGD4" s="17"/>
      <c r="CGH4" s="15"/>
      <c r="CGN4" s="16"/>
      <c r="CGU4" s="17"/>
      <c r="CGV4" s="17"/>
      <c r="CGZ4" s="15"/>
      <c r="CHF4" s="16"/>
      <c r="CHM4" s="17"/>
      <c r="CHN4" s="17"/>
      <c r="CHR4" s="15"/>
      <c r="CHX4" s="16"/>
      <c r="CIE4" s="17"/>
      <c r="CIF4" s="17"/>
      <c r="CIJ4" s="15"/>
      <c r="CIP4" s="16"/>
      <c r="CIW4" s="17"/>
      <c r="CIX4" s="17"/>
      <c r="CJB4" s="15"/>
      <c r="CJH4" s="16"/>
      <c r="CJO4" s="17"/>
      <c r="CJP4" s="17"/>
      <c r="CJT4" s="15"/>
      <c r="CJZ4" s="16"/>
      <c r="CKG4" s="17"/>
      <c r="CKH4" s="17"/>
      <c r="CKL4" s="15"/>
      <c r="CKR4" s="16"/>
      <c r="CKY4" s="17"/>
      <c r="CKZ4" s="17"/>
      <c r="CLD4" s="15"/>
      <c r="CLJ4" s="16"/>
      <c r="CLQ4" s="17"/>
      <c r="CLR4" s="17"/>
      <c r="CLV4" s="15"/>
      <c r="CMB4" s="16"/>
      <c r="CMI4" s="17"/>
      <c r="CMJ4" s="17"/>
      <c r="CMN4" s="15"/>
      <c r="CMT4" s="16"/>
      <c r="CNA4" s="17"/>
      <c r="CNB4" s="17"/>
      <c r="CNF4" s="15"/>
      <c r="CNL4" s="16"/>
      <c r="CNS4" s="17"/>
      <c r="CNT4" s="17"/>
      <c r="CNX4" s="15"/>
      <c r="COD4" s="16"/>
      <c r="COK4" s="17"/>
      <c r="COL4" s="17"/>
      <c r="COP4" s="15"/>
      <c r="COV4" s="16"/>
      <c r="CPC4" s="17"/>
      <c r="CPD4" s="17"/>
      <c r="CPH4" s="15"/>
      <c r="CPN4" s="16"/>
      <c r="CPU4" s="17"/>
      <c r="CPV4" s="17"/>
      <c r="CPZ4" s="15"/>
      <c r="CQF4" s="16"/>
      <c r="CQM4" s="17"/>
      <c r="CQN4" s="17"/>
      <c r="CQR4" s="15"/>
      <c r="CQX4" s="16"/>
      <c r="CRE4" s="17"/>
      <c r="CRF4" s="17"/>
      <c r="CRJ4" s="15"/>
      <c r="CRP4" s="16"/>
      <c r="CRW4" s="17"/>
      <c r="CRX4" s="17"/>
      <c r="CSB4" s="15"/>
      <c r="CSH4" s="16"/>
      <c r="CSO4" s="17"/>
      <c r="CSP4" s="17"/>
      <c r="CST4" s="15"/>
      <c r="CSZ4" s="16"/>
      <c r="CTG4" s="17"/>
      <c r="CTH4" s="17"/>
      <c r="CTL4" s="15"/>
      <c r="CTR4" s="16"/>
      <c r="CTY4" s="17"/>
      <c r="CTZ4" s="17"/>
      <c r="CUD4" s="15"/>
      <c r="CUJ4" s="16"/>
      <c r="CUQ4" s="17"/>
      <c r="CUR4" s="17"/>
      <c r="CUV4" s="15"/>
      <c r="CVB4" s="16"/>
      <c r="CVI4" s="17"/>
      <c r="CVJ4" s="17"/>
      <c r="CVN4" s="15"/>
      <c r="CVT4" s="16"/>
      <c r="CWA4" s="17"/>
      <c r="CWB4" s="17"/>
      <c r="CWF4" s="15"/>
      <c r="CWL4" s="16"/>
      <c r="CWS4" s="17"/>
      <c r="CWT4" s="17"/>
      <c r="CWX4" s="15"/>
      <c r="CXD4" s="16"/>
      <c r="CXK4" s="17"/>
      <c r="CXL4" s="17"/>
      <c r="CXP4" s="15"/>
      <c r="CXV4" s="16"/>
      <c r="CYC4" s="17"/>
      <c r="CYD4" s="17"/>
      <c r="CYH4" s="15"/>
      <c r="CYN4" s="16"/>
      <c r="CYU4" s="17"/>
      <c r="CYV4" s="17"/>
      <c r="CYZ4" s="15"/>
      <c r="CZF4" s="16"/>
      <c r="CZM4" s="17"/>
      <c r="CZN4" s="17"/>
      <c r="CZR4" s="15"/>
      <c r="CZX4" s="16"/>
      <c r="DAE4" s="17"/>
      <c r="DAF4" s="17"/>
      <c r="DAJ4" s="15"/>
      <c r="DAP4" s="16"/>
      <c r="DAW4" s="17"/>
      <c r="DAX4" s="17"/>
      <c r="DBB4" s="15"/>
      <c r="DBH4" s="16"/>
      <c r="DBO4" s="17"/>
      <c r="DBP4" s="17"/>
      <c r="DBT4" s="15"/>
      <c r="DBZ4" s="16"/>
      <c r="DCG4" s="17"/>
      <c r="DCH4" s="17"/>
      <c r="DCL4" s="15"/>
      <c r="DCR4" s="16"/>
      <c r="DCY4" s="17"/>
      <c r="DCZ4" s="17"/>
      <c r="DDD4" s="15"/>
      <c r="DDJ4" s="16"/>
      <c r="DDQ4" s="17"/>
      <c r="DDR4" s="17"/>
      <c r="DDV4" s="15"/>
      <c r="DEB4" s="16"/>
      <c r="DEI4" s="17"/>
      <c r="DEJ4" s="17"/>
      <c r="DEN4" s="15"/>
      <c r="DET4" s="16"/>
      <c r="DFA4" s="17"/>
      <c r="DFB4" s="17"/>
      <c r="DFF4" s="15"/>
      <c r="DFL4" s="16"/>
      <c r="DFS4" s="17"/>
      <c r="DFT4" s="17"/>
      <c r="DFX4" s="15"/>
      <c r="DGD4" s="16"/>
      <c r="DGK4" s="17"/>
      <c r="DGL4" s="17"/>
      <c r="DGP4" s="15"/>
      <c r="DGV4" s="16"/>
      <c r="DHC4" s="17"/>
      <c r="DHD4" s="17"/>
      <c r="DHH4" s="15"/>
      <c r="DHN4" s="16"/>
      <c r="DHU4" s="17"/>
      <c r="DHV4" s="17"/>
      <c r="DHZ4" s="15"/>
      <c r="DIF4" s="16"/>
      <c r="DIM4" s="17"/>
      <c r="DIN4" s="17"/>
      <c r="DIR4" s="15"/>
      <c r="DIX4" s="16"/>
      <c r="DJE4" s="17"/>
      <c r="DJF4" s="17"/>
      <c r="DJJ4" s="15"/>
      <c r="DJP4" s="16"/>
      <c r="DJW4" s="17"/>
      <c r="DJX4" s="17"/>
      <c r="DKB4" s="15"/>
      <c r="DKH4" s="16"/>
      <c r="DKO4" s="17"/>
      <c r="DKP4" s="17"/>
      <c r="DKT4" s="15"/>
      <c r="DKZ4" s="16"/>
      <c r="DLG4" s="17"/>
      <c r="DLH4" s="17"/>
      <c r="DLL4" s="15"/>
      <c r="DLR4" s="16"/>
      <c r="DLY4" s="17"/>
      <c r="DLZ4" s="17"/>
      <c r="DMD4" s="15"/>
      <c r="DMJ4" s="16"/>
      <c r="DMQ4" s="17"/>
      <c r="DMR4" s="17"/>
      <c r="DMV4" s="15"/>
      <c r="DNB4" s="16"/>
      <c r="DNI4" s="17"/>
      <c r="DNJ4" s="17"/>
      <c r="DNN4" s="15"/>
      <c r="DNT4" s="16"/>
      <c r="DOA4" s="17"/>
      <c r="DOB4" s="17"/>
      <c r="DOF4" s="15"/>
      <c r="DOL4" s="16"/>
      <c r="DOS4" s="17"/>
      <c r="DOT4" s="17"/>
      <c r="DOX4" s="15"/>
      <c r="DPD4" s="16"/>
      <c r="DPK4" s="17"/>
      <c r="DPL4" s="17"/>
      <c r="DPP4" s="15"/>
      <c r="DPV4" s="16"/>
      <c r="DQC4" s="17"/>
      <c r="DQD4" s="17"/>
      <c r="DQH4" s="15"/>
      <c r="DQN4" s="16"/>
      <c r="DQU4" s="17"/>
      <c r="DQV4" s="17"/>
      <c r="DQZ4" s="15"/>
      <c r="DRF4" s="16"/>
      <c r="DRM4" s="17"/>
      <c r="DRN4" s="17"/>
      <c r="DRR4" s="15"/>
      <c r="DRX4" s="16"/>
      <c r="DSE4" s="17"/>
      <c r="DSF4" s="17"/>
      <c r="DSJ4" s="15"/>
      <c r="DSP4" s="16"/>
      <c r="DSW4" s="17"/>
      <c r="DSX4" s="17"/>
      <c r="DTB4" s="15"/>
      <c r="DTH4" s="16"/>
      <c r="DTO4" s="17"/>
      <c r="DTP4" s="17"/>
      <c r="DTT4" s="15"/>
      <c r="DTZ4" s="16"/>
      <c r="DUG4" s="17"/>
      <c r="DUH4" s="17"/>
      <c r="DUL4" s="15"/>
      <c r="DUR4" s="16"/>
      <c r="DUY4" s="17"/>
      <c r="DUZ4" s="17"/>
      <c r="DVD4" s="15"/>
      <c r="DVJ4" s="16"/>
      <c r="DVQ4" s="17"/>
      <c r="DVR4" s="17"/>
      <c r="DVV4" s="15"/>
      <c r="DWB4" s="16"/>
      <c r="DWI4" s="17"/>
      <c r="DWJ4" s="17"/>
      <c r="DWN4" s="15"/>
      <c r="DWT4" s="16"/>
      <c r="DXA4" s="17"/>
      <c r="DXB4" s="17"/>
      <c r="DXF4" s="15"/>
      <c r="DXL4" s="16"/>
      <c r="DXS4" s="17"/>
      <c r="DXT4" s="17"/>
      <c r="DXX4" s="15"/>
      <c r="DYD4" s="16"/>
      <c r="DYK4" s="17"/>
      <c r="DYL4" s="17"/>
      <c r="DYP4" s="15"/>
      <c r="DYV4" s="16"/>
      <c r="DZC4" s="17"/>
      <c r="DZD4" s="17"/>
      <c r="DZH4" s="15"/>
      <c r="DZN4" s="16"/>
      <c r="DZU4" s="17"/>
      <c r="DZV4" s="17"/>
      <c r="DZZ4" s="15"/>
      <c r="EAF4" s="16"/>
      <c r="EAM4" s="17"/>
      <c r="EAN4" s="17"/>
      <c r="EAR4" s="15"/>
      <c r="EAX4" s="16"/>
      <c r="EBE4" s="17"/>
      <c r="EBF4" s="17"/>
      <c r="EBJ4" s="15"/>
      <c r="EBP4" s="16"/>
      <c r="EBW4" s="17"/>
      <c r="EBX4" s="17"/>
      <c r="ECB4" s="15"/>
      <c r="ECH4" s="16"/>
      <c r="ECO4" s="17"/>
      <c r="ECP4" s="17"/>
      <c r="ECT4" s="15"/>
      <c r="ECZ4" s="16"/>
      <c r="EDG4" s="17"/>
      <c r="EDH4" s="17"/>
      <c r="EDL4" s="15"/>
      <c r="EDR4" s="16"/>
      <c r="EDY4" s="17"/>
      <c r="EDZ4" s="17"/>
      <c r="EED4" s="15"/>
      <c r="EEJ4" s="16"/>
      <c r="EEQ4" s="17"/>
      <c r="EER4" s="17"/>
      <c r="EEV4" s="15"/>
      <c r="EFB4" s="16"/>
      <c r="EFI4" s="17"/>
      <c r="EFJ4" s="17"/>
      <c r="EFN4" s="15"/>
      <c r="EFT4" s="16"/>
      <c r="EGA4" s="17"/>
      <c r="EGB4" s="17"/>
      <c r="EGF4" s="15"/>
      <c r="EGL4" s="16"/>
      <c r="EGS4" s="17"/>
      <c r="EGT4" s="17"/>
      <c r="EGX4" s="15"/>
      <c r="EHD4" s="16"/>
      <c r="EHK4" s="17"/>
      <c r="EHL4" s="17"/>
      <c r="EHP4" s="15"/>
      <c r="EHV4" s="16"/>
      <c r="EIC4" s="17"/>
      <c r="EID4" s="17"/>
      <c r="EIH4" s="15"/>
      <c r="EIN4" s="16"/>
      <c r="EIU4" s="17"/>
      <c r="EIV4" s="17"/>
      <c r="EIZ4" s="15"/>
      <c r="EJF4" s="16"/>
      <c r="EJM4" s="17"/>
      <c r="EJN4" s="17"/>
      <c r="EJR4" s="15"/>
      <c r="EJX4" s="16"/>
      <c r="EKE4" s="17"/>
      <c r="EKF4" s="17"/>
      <c r="EKJ4" s="15"/>
      <c r="EKP4" s="16"/>
      <c r="EKW4" s="17"/>
      <c r="EKX4" s="17"/>
      <c r="ELB4" s="15"/>
      <c r="ELH4" s="16"/>
      <c r="ELO4" s="17"/>
      <c r="ELP4" s="17"/>
      <c r="ELT4" s="15"/>
      <c r="ELZ4" s="16"/>
      <c r="EMG4" s="17"/>
      <c r="EMH4" s="17"/>
      <c r="EML4" s="15"/>
      <c r="EMR4" s="16"/>
      <c r="EMY4" s="17"/>
      <c r="EMZ4" s="17"/>
      <c r="END4" s="15"/>
      <c r="ENJ4" s="16"/>
      <c r="ENQ4" s="17"/>
      <c r="ENR4" s="17"/>
      <c r="ENV4" s="15"/>
      <c r="EOB4" s="16"/>
      <c r="EOI4" s="17"/>
      <c r="EOJ4" s="17"/>
      <c r="EON4" s="15"/>
      <c r="EOT4" s="16"/>
      <c r="EPA4" s="17"/>
      <c r="EPB4" s="17"/>
      <c r="EPF4" s="15"/>
      <c r="EPL4" s="16"/>
      <c r="EPS4" s="17"/>
      <c r="EPT4" s="17"/>
      <c r="EPX4" s="15"/>
      <c r="EQD4" s="16"/>
      <c r="EQK4" s="17"/>
      <c r="EQL4" s="17"/>
      <c r="EQP4" s="15"/>
      <c r="EQV4" s="16"/>
      <c r="ERC4" s="17"/>
      <c r="ERD4" s="17"/>
      <c r="ERH4" s="15"/>
      <c r="ERN4" s="16"/>
      <c r="ERU4" s="17"/>
      <c r="ERV4" s="17"/>
      <c r="ERZ4" s="15"/>
      <c r="ESF4" s="16"/>
      <c r="ESM4" s="17"/>
      <c r="ESN4" s="17"/>
      <c r="ESR4" s="15"/>
      <c r="ESX4" s="16"/>
      <c r="ETE4" s="17"/>
      <c r="ETF4" s="17"/>
      <c r="ETJ4" s="15"/>
      <c r="ETP4" s="16"/>
      <c r="ETW4" s="17"/>
      <c r="ETX4" s="17"/>
      <c r="EUB4" s="15"/>
      <c r="EUH4" s="16"/>
      <c r="EUO4" s="17"/>
      <c r="EUP4" s="17"/>
      <c r="EUT4" s="15"/>
      <c r="EUZ4" s="16"/>
      <c r="EVG4" s="17"/>
      <c r="EVH4" s="17"/>
      <c r="EVL4" s="15"/>
      <c r="EVR4" s="16"/>
      <c r="EVY4" s="17"/>
      <c r="EVZ4" s="17"/>
      <c r="EWD4" s="15"/>
      <c r="EWJ4" s="16"/>
      <c r="EWQ4" s="17"/>
      <c r="EWR4" s="17"/>
      <c r="EWV4" s="15"/>
      <c r="EXB4" s="16"/>
      <c r="EXI4" s="17"/>
      <c r="EXJ4" s="17"/>
      <c r="EXN4" s="15"/>
      <c r="EXT4" s="16"/>
      <c r="EYA4" s="17"/>
      <c r="EYB4" s="17"/>
      <c r="EYF4" s="15"/>
      <c r="EYL4" s="16"/>
      <c r="EYS4" s="17"/>
      <c r="EYT4" s="17"/>
      <c r="EYX4" s="15"/>
      <c r="EZD4" s="16"/>
      <c r="EZK4" s="17"/>
      <c r="EZL4" s="17"/>
      <c r="EZP4" s="15"/>
      <c r="EZV4" s="16"/>
      <c r="FAC4" s="17"/>
      <c r="FAD4" s="17"/>
      <c r="FAH4" s="15"/>
      <c r="FAN4" s="16"/>
      <c r="FAU4" s="17"/>
      <c r="FAV4" s="17"/>
      <c r="FAZ4" s="15"/>
      <c r="FBF4" s="16"/>
      <c r="FBM4" s="17"/>
      <c r="FBN4" s="17"/>
      <c r="FBR4" s="15"/>
      <c r="FBX4" s="16"/>
      <c r="FCE4" s="17"/>
      <c r="FCF4" s="17"/>
      <c r="FCJ4" s="15"/>
      <c r="FCP4" s="16"/>
      <c r="FCW4" s="17"/>
      <c r="FCX4" s="17"/>
      <c r="FDB4" s="15"/>
      <c r="FDH4" s="16"/>
      <c r="FDO4" s="17"/>
      <c r="FDP4" s="17"/>
      <c r="FDT4" s="15"/>
      <c r="FDZ4" s="16"/>
      <c r="FEG4" s="17"/>
      <c r="FEH4" s="17"/>
      <c r="FEL4" s="15"/>
      <c r="FER4" s="16"/>
      <c r="FEY4" s="17"/>
      <c r="FEZ4" s="17"/>
      <c r="FFD4" s="15"/>
      <c r="FFJ4" s="16"/>
      <c r="FFQ4" s="17"/>
      <c r="FFR4" s="17"/>
      <c r="FFV4" s="15"/>
      <c r="FGB4" s="16"/>
      <c r="FGI4" s="17"/>
      <c r="FGJ4" s="17"/>
      <c r="FGN4" s="15"/>
      <c r="FGT4" s="16"/>
      <c r="FHA4" s="17"/>
      <c r="FHB4" s="17"/>
      <c r="FHF4" s="15"/>
      <c r="FHL4" s="16"/>
      <c r="FHS4" s="17"/>
      <c r="FHT4" s="17"/>
      <c r="FHX4" s="15"/>
      <c r="FID4" s="16"/>
      <c r="FIK4" s="17"/>
      <c r="FIL4" s="17"/>
      <c r="FIP4" s="15"/>
      <c r="FIV4" s="16"/>
      <c r="FJC4" s="17"/>
      <c r="FJD4" s="17"/>
      <c r="FJH4" s="15"/>
      <c r="FJN4" s="16"/>
      <c r="FJU4" s="17"/>
      <c r="FJV4" s="17"/>
      <c r="FJZ4" s="15"/>
      <c r="FKF4" s="16"/>
      <c r="FKM4" s="17"/>
      <c r="FKN4" s="17"/>
      <c r="FKR4" s="15"/>
      <c r="FKX4" s="16"/>
      <c r="FLE4" s="17"/>
      <c r="FLF4" s="17"/>
      <c r="FLJ4" s="15"/>
      <c r="FLP4" s="16"/>
      <c r="FLW4" s="17"/>
      <c r="FLX4" s="17"/>
      <c r="FMB4" s="15"/>
      <c r="FMH4" s="16"/>
      <c r="FMO4" s="17"/>
      <c r="FMP4" s="17"/>
      <c r="FMT4" s="15"/>
      <c r="FMZ4" s="16"/>
      <c r="FNG4" s="17"/>
      <c r="FNH4" s="17"/>
      <c r="FNL4" s="15"/>
      <c r="FNR4" s="16"/>
      <c r="FNY4" s="17"/>
      <c r="FNZ4" s="17"/>
      <c r="FOD4" s="15"/>
      <c r="FOJ4" s="16"/>
      <c r="FOQ4" s="17"/>
      <c r="FOR4" s="17"/>
      <c r="FOV4" s="15"/>
      <c r="FPB4" s="16"/>
      <c r="FPI4" s="17"/>
      <c r="FPJ4" s="17"/>
      <c r="FPN4" s="15"/>
      <c r="FPT4" s="16"/>
      <c r="FQA4" s="17"/>
      <c r="FQB4" s="17"/>
      <c r="FQF4" s="15"/>
      <c r="FQL4" s="16"/>
      <c r="FQS4" s="17"/>
      <c r="FQT4" s="17"/>
      <c r="FQX4" s="15"/>
      <c r="FRD4" s="16"/>
      <c r="FRK4" s="17"/>
      <c r="FRL4" s="17"/>
      <c r="FRP4" s="15"/>
      <c r="FRV4" s="16"/>
      <c r="FSC4" s="17"/>
      <c r="FSD4" s="17"/>
      <c r="FSH4" s="15"/>
      <c r="FSN4" s="16"/>
      <c r="FSU4" s="17"/>
      <c r="FSV4" s="17"/>
      <c r="FSZ4" s="15"/>
      <c r="FTF4" s="16"/>
      <c r="FTM4" s="17"/>
      <c r="FTN4" s="17"/>
      <c r="FTR4" s="15"/>
      <c r="FTX4" s="16"/>
      <c r="FUE4" s="17"/>
      <c r="FUF4" s="17"/>
      <c r="FUJ4" s="15"/>
      <c r="FUP4" s="16"/>
      <c r="FUW4" s="17"/>
      <c r="FUX4" s="17"/>
      <c r="FVB4" s="15"/>
      <c r="FVH4" s="16"/>
      <c r="FVO4" s="17"/>
      <c r="FVP4" s="17"/>
      <c r="FVT4" s="15"/>
      <c r="FVZ4" s="16"/>
      <c r="FWG4" s="17"/>
      <c r="FWH4" s="17"/>
      <c r="FWL4" s="15"/>
      <c r="FWR4" s="16"/>
      <c r="FWY4" s="17"/>
      <c r="FWZ4" s="17"/>
      <c r="FXD4" s="15"/>
      <c r="FXJ4" s="16"/>
      <c r="FXQ4" s="17"/>
      <c r="FXR4" s="17"/>
      <c r="FXV4" s="15"/>
      <c r="FYB4" s="16"/>
      <c r="FYI4" s="17"/>
      <c r="FYJ4" s="17"/>
      <c r="FYN4" s="15"/>
      <c r="FYT4" s="16"/>
      <c r="FZA4" s="17"/>
      <c r="FZB4" s="17"/>
      <c r="FZF4" s="15"/>
      <c r="FZL4" s="16"/>
      <c r="FZS4" s="17"/>
      <c r="FZT4" s="17"/>
      <c r="FZX4" s="15"/>
      <c r="GAD4" s="16"/>
      <c r="GAK4" s="17"/>
      <c r="GAL4" s="17"/>
      <c r="GAP4" s="15"/>
      <c r="GAV4" s="16"/>
      <c r="GBC4" s="17"/>
      <c r="GBD4" s="17"/>
      <c r="GBH4" s="15"/>
      <c r="GBN4" s="16"/>
      <c r="GBU4" s="17"/>
      <c r="GBV4" s="17"/>
      <c r="GBZ4" s="15"/>
      <c r="GCF4" s="16"/>
      <c r="GCM4" s="17"/>
      <c r="GCN4" s="17"/>
      <c r="GCR4" s="15"/>
      <c r="GCX4" s="16"/>
      <c r="GDE4" s="17"/>
      <c r="GDF4" s="17"/>
      <c r="GDJ4" s="15"/>
      <c r="GDP4" s="16"/>
      <c r="GDW4" s="17"/>
      <c r="GDX4" s="17"/>
      <c r="GEB4" s="15"/>
      <c r="GEH4" s="16"/>
      <c r="GEO4" s="17"/>
      <c r="GEP4" s="17"/>
      <c r="GET4" s="15"/>
      <c r="GEZ4" s="16"/>
      <c r="GFG4" s="17"/>
      <c r="GFH4" s="17"/>
      <c r="GFL4" s="15"/>
      <c r="GFR4" s="16"/>
      <c r="GFY4" s="17"/>
      <c r="GFZ4" s="17"/>
      <c r="GGD4" s="15"/>
      <c r="GGJ4" s="16"/>
      <c r="GGQ4" s="17"/>
      <c r="GGR4" s="17"/>
      <c r="GGV4" s="15"/>
      <c r="GHB4" s="16"/>
      <c r="GHI4" s="17"/>
      <c r="GHJ4" s="17"/>
      <c r="GHN4" s="15"/>
      <c r="GHT4" s="16"/>
      <c r="GIA4" s="17"/>
      <c r="GIB4" s="17"/>
      <c r="GIF4" s="15"/>
      <c r="GIL4" s="16"/>
      <c r="GIS4" s="17"/>
      <c r="GIT4" s="17"/>
      <c r="GIX4" s="15"/>
      <c r="GJD4" s="16"/>
      <c r="GJK4" s="17"/>
      <c r="GJL4" s="17"/>
      <c r="GJP4" s="15"/>
      <c r="GJV4" s="16"/>
      <c r="GKC4" s="17"/>
      <c r="GKD4" s="17"/>
      <c r="GKH4" s="15"/>
      <c r="GKN4" s="16"/>
      <c r="GKU4" s="17"/>
      <c r="GKV4" s="17"/>
      <c r="GKZ4" s="15"/>
      <c r="GLF4" s="16"/>
      <c r="GLM4" s="17"/>
      <c r="GLN4" s="17"/>
      <c r="GLR4" s="15"/>
      <c r="GLX4" s="16"/>
      <c r="GME4" s="17"/>
      <c r="GMF4" s="17"/>
      <c r="GMJ4" s="15"/>
      <c r="GMP4" s="16"/>
      <c r="GMW4" s="17"/>
      <c r="GMX4" s="17"/>
      <c r="GNB4" s="15"/>
      <c r="GNH4" s="16"/>
      <c r="GNO4" s="17"/>
      <c r="GNP4" s="17"/>
      <c r="GNT4" s="15"/>
      <c r="GNZ4" s="16"/>
      <c r="GOG4" s="17"/>
      <c r="GOH4" s="17"/>
      <c r="GOL4" s="15"/>
      <c r="GOR4" s="16"/>
      <c r="GOY4" s="17"/>
      <c r="GOZ4" s="17"/>
      <c r="GPD4" s="15"/>
      <c r="GPJ4" s="16"/>
      <c r="GPQ4" s="17"/>
      <c r="GPR4" s="17"/>
      <c r="GPV4" s="15"/>
      <c r="GQB4" s="16"/>
      <c r="GQI4" s="17"/>
      <c r="GQJ4" s="17"/>
      <c r="GQN4" s="15"/>
      <c r="GQT4" s="16"/>
      <c r="GRA4" s="17"/>
      <c r="GRB4" s="17"/>
      <c r="GRF4" s="15"/>
      <c r="GRL4" s="16"/>
      <c r="GRS4" s="17"/>
      <c r="GRT4" s="17"/>
      <c r="GRX4" s="15"/>
      <c r="GSD4" s="16"/>
      <c r="GSK4" s="17"/>
      <c r="GSL4" s="17"/>
      <c r="GSP4" s="15"/>
      <c r="GSV4" s="16"/>
      <c r="GTC4" s="17"/>
      <c r="GTD4" s="17"/>
      <c r="GTH4" s="15"/>
      <c r="GTN4" s="16"/>
      <c r="GTU4" s="17"/>
      <c r="GTV4" s="17"/>
      <c r="GTZ4" s="15"/>
      <c r="GUF4" s="16"/>
      <c r="GUM4" s="17"/>
      <c r="GUN4" s="17"/>
      <c r="GUR4" s="15"/>
      <c r="GUX4" s="16"/>
      <c r="GVE4" s="17"/>
      <c r="GVF4" s="17"/>
      <c r="GVJ4" s="15"/>
      <c r="GVP4" s="16"/>
      <c r="GVW4" s="17"/>
      <c r="GVX4" s="17"/>
      <c r="GWB4" s="15"/>
      <c r="GWH4" s="16"/>
      <c r="GWO4" s="17"/>
      <c r="GWP4" s="17"/>
      <c r="GWT4" s="15"/>
      <c r="GWZ4" s="16"/>
      <c r="GXG4" s="17"/>
      <c r="GXH4" s="17"/>
      <c r="GXL4" s="15"/>
      <c r="GXR4" s="16"/>
      <c r="GXY4" s="17"/>
      <c r="GXZ4" s="17"/>
      <c r="GYD4" s="15"/>
      <c r="GYJ4" s="16"/>
      <c r="GYQ4" s="17"/>
      <c r="GYR4" s="17"/>
      <c r="GYV4" s="15"/>
      <c r="GZB4" s="16"/>
      <c r="GZI4" s="17"/>
      <c r="GZJ4" s="17"/>
      <c r="GZN4" s="15"/>
      <c r="GZT4" s="16"/>
      <c r="HAA4" s="17"/>
      <c r="HAB4" s="17"/>
      <c r="HAF4" s="15"/>
      <c r="HAL4" s="16"/>
      <c r="HAS4" s="17"/>
      <c r="HAT4" s="17"/>
      <c r="HAX4" s="15"/>
      <c r="HBD4" s="16"/>
      <c r="HBK4" s="17"/>
      <c r="HBL4" s="17"/>
      <c r="HBP4" s="15"/>
      <c r="HBV4" s="16"/>
      <c r="HCC4" s="17"/>
      <c r="HCD4" s="17"/>
      <c r="HCH4" s="15"/>
      <c r="HCN4" s="16"/>
      <c r="HCU4" s="17"/>
      <c r="HCV4" s="17"/>
      <c r="HCZ4" s="15"/>
      <c r="HDF4" s="16"/>
      <c r="HDM4" s="17"/>
      <c r="HDN4" s="17"/>
      <c r="HDR4" s="15"/>
      <c r="HDX4" s="16"/>
      <c r="HEE4" s="17"/>
      <c r="HEF4" s="17"/>
      <c r="HEJ4" s="15"/>
      <c r="HEP4" s="16"/>
      <c r="HEW4" s="17"/>
      <c r="HEX4" s="17"/>
      <c r="HFB4" s="15"/>
      <c r="HFH4" s="16"/>
      <c r="HFO4" s="17"/>
      <c r="HFP4" s="17"/>
      <c r="HFT4" s="15"/>
      <c r="HFZ4" s="16"/>
      <c r="HGG4" s="17"/>
      <c r="HGH4" s="17"/>
      <c r="HGL4" s="15"/>
      <c r="HGR4" s="16"/>
      <c r="HGY4" s="17"/>
      <c r="HGZ4" s="17"/>
      <c r="HHD4" s="15"/>
      <c r="HHJ4" s="16"/>
      <c r="HHQ4" s="17"/>
      <c r="HHR4" s="17"/>
      <c r="HHV4" s="15"/>
      <c r="HIB4" s="16"/>
      <c r="HII4" s="17"/>
      <c r="HIJ4" s="17"/>
      <c r="HIN4" s="15"/>
      <c r="HIT4" s="16"/>
      <c r="HJA4" s="17"/>
      <c r="HJB4" s="17"/>
      <c r="HJF4" s="15"/>
      <c r="HJL4" s="16"/>
      <c r="HJS4" s="17"/>
      <c r="HJT4" s="17"/>
      <c r="HJX4" s="15"/>
      <c r="HKD4" s="16"/>
      <c r="HKK4" s="17"/>
      <c r="HKL4" s="17"/>
      <c r="HKP4" s="15"/>
      <c r="HKV4" s="16"/>
      <c r="HLC4" s="17"/>
      <c r="HLD4" s="17"/>
      <c r="HLH4" s="15"/>
      <c r="HLN4" s="16"/>
      <c r="HLU4" s="17"/>
      <c r="HLV4" s="17"/>
      <c r="HLZ4" s="15"/>
      <c r="HMF4" s="16"/>
      <c r="HMM4" s="17"/>
      <c r="HMN4" s="17"/>
      <c r="HMR4" s="15"/>
      <c r="HMX4" s="16"/>
      <c r="HNE4" s="17"/>
      <c r="HNF4" s="17"/>
      <c r="HNJ4" s="15"/>
      <c r="HNP4" s="16"/>
      <c r="HNW4" s="17"/>
      <c r="HNX4" s="17"/>
      <c r="HOB4" s="15"/>
      <c r="HOH4" s="16"/>
      <c r="HOO4" s="17"/>
      <c r="HOP4" s="17"/>
      <c r="HOT4" s="15"/>
      <c r="HOZ4" s="16"/>
      <c r="HPG4" s="17"/>
      <c r="HPH4" s="17"/>
      <c r="HPL4" s="15"/>
      <c r="HPR4" s="16"/>
      <c r="HPY4" s="17"/>
      <c r="HPZ4" s="17"/>
      <c r="HQD4" s="15"/>
      <c r="HQJ4" s="16"/>
      <c r="HQQ4" s="17"/>
      <c r="HQR4" s="17"/>
      <c r="HQV4" s="15"/>
      <c r="HRB4" s="16"/>
      <c r="HRI4" s="17"/>
      <c r="HRJ4" s="17"/>
      <c r="HRN4" s="15"/>
      <c r="HRT4" s="16"/>
      <c r="HSA4" s="17"/>
      <c r="HSB4" s="17"/>
      <c r="HSF4" s="15"/>
      <c r="HSL4" s="16"/>
      <c r="HSS4" s="17"/>
      <c r="HST4" s="17"/>
      <c r="HSX4" s="15"/>
      <c r="HTD4" s="16"/>
      <c r="HTK4" s="17"/>
      <c r="HTL4" s="17"/>
      <c r="HTP4" s="15"/>
      <c r="HTV4" s="16"/>
      <c r="HUC4" s="17"/>
      <c r="HUD4" s="17"/>
      <c r="HUH4" s="15"/>
      <c r="HUN4" s="16"/>
      <c r="HUU4" s="17"/>
      <c r="HUV4" s="17"/>
      <c r="HUZ4" s="15"/>
      <c r="HVF4" s="16"/>
      <c r="HVM4" s="17"/>
      <c r="HVN4" s="17"/>
      <c r="HVR4" s="15"/>
      <c r="HVX4" s="16"/>
      <c r="HWE4" s="17"/>
      <c r="HWF4" s="17"/>
      <c r="HWJ4" s="15"/>
      <c r="HWP4" s="16"/>
      <c r="HWW4" s="17"/>
      <c r="HWX4" s="17"/>
      <c r="HXB4" s="15"/>
      <c r="HXH4" s="16"/>
      <c r="HXO4" s="17"/>
      <c r="HXP4" s="17"/>
      <c r="HXT4" s="15"/>
      <c r="HXZ4" s="16"/>
      <c r="HYG4" s="17"/>
      <c r="HYH4" s="17"/>
      <c r="HYL4" s="15"/>
      <c r="HYR4" s="16"/>
      <c r="HYY4" s="17"/>
      <c r="HYZ4" s="17"/>
      <c r="HZD4" s="15"/>
      <c r="HZJ4" s="16"/>
      <c r="HZQ4" s="17"/>
      <c r="HZR4" s="17"/>
      <c r="HZV4" s="15"/>
      <c r="IAB4" s="16"/>
      <c r="IAI4" s="17"/>
      <c r="IAJ4" s="17"/>
      <c r="IAN4" s="15"/>
      <c r="IAT4" s="16"/>
      <c r="IBA4" s="17"/>
      <c r="IBB4" s="17"/>
      <c r="IBF4" s="15"/>
      <c r="IBL4" s="16"/>
      <c r="IBS4" s="17"/>
      <c r="IBT4" s="17"/>
      <c r="IBX4" s="15"/>
      <c r="ICD4" s="16"/>
      <c r="ICK4" s="17"/>
      <c r="ICL4" s="17"/>
      <c r="ICP4" s="15"/>
      <c r="ICV4" s="16"/>
      <c r="IDC4" s="17"/>
      <c r="IDD4" s="17"/>
      <c r="IDH4" s="15"/>
      <c r="IDN4" s="16"/>
      <c r="IDU4" s="17"/>
      <c r="IDV4" s="17"/>
      <c r="IDZ4" s="15"/>
      <c r="IEF4" s="16"/>
      <c r="IEM4" s="17"/>
      <c r="IEN4" s="17"/>
      <c r="IER4" s="15"/>
      <c r="IEX4" s="16"/>
      <c r="IFE4" s="17"/>
      <c r="IFF4" s="17"/>
      <c r="IFJ4" s="15"/>
      <c r="IFP4" s="16"/>
      <c r="IFW4" s="17"/>
      <c r="IFX4" s="17"/>
      <c r="IGB4" s="15"/>
      <c r="IGH4" s="16"/>
      <c r="IGO4" s="17"/>
      <c r="IGP4" s="17"/>
      <c r="IGT4" s="15"/>
      <c r="IGZ4" s="16"/>
      <c r="IHG4" s="17"/>
      <c r="IHH4" s="17"/>
      <c r="IHL4" s="15"/>
      <c r="IHR4" s="16"/>
      <c r="IHY4" s="17"/>
      <c r="IHZ4" s="17"/>
      <c r="IID4" s="15"/>
      <c r="IIJ4" s="16"/>
      <c r="IIQ4" s="17"/>
      <c r="IIR4" s="17"/>
      <c r="IIV4" s="15"/>
      <c r="IJB4" s="16"/>
      <c r="IJI4" s="17"/>
      <c r="IJJ4" s="17"/>
      <c r="IJN4" s="15"/>
      <c r="IJT4" s="16"/>
      <c r="IKA4" s="17"/>
      <c r="IKB4" s="17"/>
      <c r="IKF4" s="15"/>
      <c r="IKL4" s="16"/>
      <c r="IKS4" s="17"/>
      <c r="IKT4" s="17"/>
      <c r="IKX4" s="15"/>
      <c r="ILD4" s="16"/>
      <c r="ILK4" s="17"/>
      <c r="ILL4" s="17"/>
      <c r="ILP4" s="15"/>
      <c r="ILV4" s="16"/>
      <c r="IMC4" s="17"/>
      <c r="IMD4" s="17"/>
      <c r="IMH4" s="15"/>
      <c r="IMN4" s="16"/>
      <c r="IMU4" s="17"/>
      <c r="IMV4" s="17"/>
      <c r="IMZ4" s="15"/>
      <c r="INF4" s="16"/>
      <c r="INM4" s="17"/>
      <c r="INN4" s="17"/>
      <c r="INR4" s="15"/>
      <c r="INX4" s="16"/>
      <c r="IOE4" s="17"/>
      <c r="IOF4" s="17"/>
      <c r="IOJ4" s="15"/>
      <c r="IOP4" s="16"/>
      <c r="IOW4" s="17"/>
      <c r="IOX4" s="17"/>
      <c r="IPB4" s="15"/>
      <c r="IPH4" s="16"/>
      <c r="IPO4" s="17"/>
      <c r="IPP4" s="17"/>
      <c r="IPT4" s="15"/>
      <c r="IPZ4" s="16"/>
      <c r="IQG4" s="17"/>
      <c r="IQH4" s="17"/>
      <c r="IQL4" s="15"/>
      <c r="IQR4" s="16"/>
      <c r="IQY4" s="17"/>
      <c r="IQZ4" s="17"/>
      <c r="IRD4" s="15"/>
      <c r="IRJ4" s="16"/>
      <c r="IRQ4" s="17"/>
      <c r="IRR4" s="17"/>
      <c r="IRV4" s="15"/>
      <c r="ISB4" s="16"/>
      <c r="ISI4" s="17"/>
      <c r="ISJ4" s="17"/>
      <c r="ISN4" s="15"/>
      <c r="IST4" s="16"/>
      <c r="ITA4" s="17"/>
      <c r="ITB4" s="17"/>
      <c r="ITF4" s="15"/>
      <c r="ITL4" s="16"/>
      <c r="ITS4" s="17"/>
      <c r="ITT4" s="17"/>
      <c r="ITX4" s="15"/>
      <c r="IUD4" s="16"/>
      <c r="IUK4" s="17"/>
      <c r="IUL4" s="17"/>
      <c r="IUP4" s="15"/>
      <c r="IUV4" s="16"/>
      <c r="IVC4" s="17"/>
      <c r="IVD4" s="17"/>
      <c r="IVH4" s="15"/>
      <c r="IVN4" s="16"/>
      <c r="IVU4" s="17"/>
      <c r="IVV4" s="17"/>
      <c r="IVZ4" s="15"/>
      <c r="IWF4" s="16"/>
      <c r="IWM4" s="17"/>
      <c r="IWN4" s="17"/>
      <c r="IWR4" s="15"/>
      <c r="IWX4" s="16"/>
      <c r="IXE4" s="17"/>
      <c r="IXF4" s="17"/>
      <c r="IXJ4" s="15"/>
      <c r="IXP4" s="16"/>
      <c r="IXW4" s="17"/>
      <c r="IXX4" s="17"/>
      <c r="IYB4" s="15"/>
      <c r="IYH4" s="16"/>
      <c r="IYO4" s="17"/>
      <c r="IYP4" s="17"/>
      <c r="IYT4" s="15"/>
      <c r="IYZ4" s="16"/>
      <c r="IZG4" s="17"/>
      <c r="IZH4" s="17"/>
      <c r="IZL4" s="15"/>
      <c r="IZR4" s="16"/>
      <c r="IZY4" s="17"/>
      <c r="IZZ4" s="17"/>
      <c r="JAD4" s="15"/>
      <c r="JAJ4" s="16"/>
      <c r="JAQ4" s="17"/>
      <c r="JAR4" s="17"/>
      <c r="JAV4" s="15"/>
      <c r="JBB4" s="16"/>
      <c r="JBI4" s="17"/>
      <c r="JBJ4" s="17"/>
      <c r="JBN4" s="15"/>
      <c r="JBT4" s="16"/>
      <c r="JCA4" s="17"/>
      <c r="JCB4" s="17"/>
      <c r="JCF4" s="15"/>
      <c r="JCL4" s="16"/>
      <c r="JCS4" s="17"/>
      <c r="JCT4" s="17"/>
      <c r="JCX4" s="15"/>
      <c r="JDD4" s="16"/>
      <c r="JDK4" s="17"/>
      <c r="JDL4" s="17"/>
      <c r="JDP4" s="15"/>
      <c r="JDV4" s="16"/>
      <c r="JEC4" s="17"/>
      <c r="JED4" s="17"/>
      <c r="JEH4" s="15"/>
      <c r="JEN4" s="16"/>
      <c r="JEU4" s="17"/>
      <c r="JEV4" s="17"/>
      <c r="JEZ4" s="15"/>
      <c r="JFF4" s="16"/>
      <c r="JFM4" s="17"/>
      <c r="JFN4" s="17"/>
      <c r="JFR4" s="15"/>
      <c r="JFX4" s="16"/>
      <c r="JGE4" s="17"/>
      <c r="JGF4" s="17"/>
      <c r="JGJ4" s="15"/>
      <c r="JGP4" s="16"/>
      <c r="JGW4" s="17"/>
      <c r="JGX4" s="17"/>
      <c r="JHB4" s="15"/>
      <c r="JHH4" s="16"/>
      <c r="JHO4" s="17"/>
      <c r="JHP4" s="17"/>
      <c r="JHT4" s="15"/>
      <c r="JHZ4" s="16"/>
      <c r="JIG4" s="17"/>
      <c r="JIH4" s="17"/>
      <c r="JIL4" s="15"/>
      <c r="JIR4" s="16"/>
      <c r="JIY4" s="17"/>
      <c r="JIZ4" s="17"/>
      <c r="JJD4" s="15"/>
      <c r="JJJ4" s="16"/>
      <c r="JJQ4" s="17"/>
      <c r="JJR4" s="17"/>
      <c r="JJV4" s="15"/>
      <c r="JKB4" s="16"/>
      <c r="JKI4" s="17"/>
      <c r="JKJ4" s="17"/>
      <c r="JKN4" s="15"/>
      <c r="JKT4" s="16"/>
      <c r="JLA4" s="17"/>
      <c r="JLB4" s="17"/>
      <c r="JLF4" s="15"/>
      <c r="JLL4" s="16"/>
      <c r="JLS4" s="17"/>
      <c r="JLT4" s="17"/>
      <c r="JLX4" s="15"/>
      <c r="JMD4" s="16"/>
      <c r="JMK4" s="17"/>
      <c r="JML4" s="17"/>
      <c r="JMP4" s="15"/>
      <c r="JMV4" s="16"/>
      <c r="JNC4" s="17"/>
      <c r="JND4" s="17"/>
      <c r="JNH4" s="15"/>
      <c r="JNN4" s="16"/>
      <c r="JNU4" s="17"/>
      <c r="JNV4" s="17"/>
      <c r="JNZ4" s="15"/>
      <c r="JOF4" s="16"/>
      <c r="JOM4" s="17"/>
      <c r="JON4" s="17"/>
      <c r="JOR4" s="15"/>
      <c r="JOX4" s="16"/>
      <c r="JPE4" s="17"/>
      <c r="JPF4" s="17"/>
      <c r="JPJ4" s="15"/>
      <c r="JPP4" s="16"/>
      <c r="JPW4" s="17"/>
      <c r="JPX4" s="17"/>
      <c r="JQB4" s="15"/>
      <c r="JQH4" s="16"/>
      <c r="JQO4" s="17"/>
      <c r="JQP4" s="17"/>
      <c r="JQT4" s="15"/>
      <c r="JQZ4" s="16"/>
      <c r="JRG4" s="17"/>
      <c r="JRH4" s="17"/>
      <c r="JRL4" s="15"/>
      <c r="JRR4" s="16"/>
      <c r="JRY4" s="17"/>
      <c r="JRZ4" s="17"/>
      <c r="JSD4" s="15"/>
      <c r="JSJ4" s="16"/>
      <c r="JSQ4" s="17"/>
      <c r="JSR4" s="17"/>
      <c r="JSV4" s="15"/>
      <c r="JTB4" s="16"/>
      <c r="JTI4" s="17"/>
      <c r="JTJ4" s="17"/>
      <c r="JTN4" s="15"/>
      <c r="JTT4" s="16"/>
      <c r="JUA4" s="17"/>
      <c r="JUB4" s="17"/>
      <c r="JUF4" s="15"/>
      <c r="JUL4" s="16"/>
      <c r="JUS4" s="17"/>
      <c r="JUT4" s="17"/>
      <c r="JUX4" s="15"/>
      <c r="JVD4" s="16"/>
      <c r="JVK4" s="17"/>
      <c r="JVL4" s="17"/>
      <c r="JVP4" s="15"/>
      <c r="JVV4" s="16"/>
      <c r="JWC4" s="17"/>
      <c r="JWD4" s="17"/>
      <c r="JWH4" s="15"/>
      <c r="JWN4" s="16"/>
      <c r="JWU4" s="17"/>
      <c r="JWV4" s="17"/>
      <c r="JWZ4" s="15"/>
      <c r="JXF4" s="16"/>
      <c r="JXM4" s="17"/>
      <c r="JXN4" s="17"/>
      <c r="JXR4" s="15"/>
      <c r="JXX4" s="16"/>
      <c r="JYE4" s="17"/>
      <c r="JYF4" s="17"/>
      <c r="JYJ4" s="15"/>
      <c r="JYP4" s="16"/>
      <c r="JYW4" s="17"/>
      <c r="JYX4" s="17"/>
      <c r="JZB4" s="15"/>
      <c r="JZH4" s="16"/>
      <c r="JZO4" s="17"/>
      <c r="JZP4" s="17"/>
      <c r="JZT4" s="15"/>
      <c r="JZZ4" s="16"/>
      <c r="KAG4" s="17"/>
      <c r="KAH4" s="17"/>
      <c r="KAL4" s="15"/>
      <c r="KAR4" s="16"/>
      <c r="KAY4" s="17"/>
      <c r="KAZ4" s="17"/>
      <c r="KBD4" s="15"/>
      <c r="KBJ4" s="16"/>
      <c r="KBQ4" s="17"/>
      <c r="KBR4" s="17"/>
      <c r="KBV4" s="15"/>
      <c r="KCB4" s="16"/>
      <c r="KCI4" s="17"/>
      <c r="KCJ4" s="17"/>
      <c r="KCN4" s="15"/>
      <c r="KCT4" s="16"/>
      <c r="KDA4" s="17"/>
      <c r="KDB4" s="17"/>
      <c r="KDF4" s="15"/>
      <c r="KDL4" s="16"/>
      <c r="KDS4" s="17"/>
      <c r="KDT4" s="17"/>
      <c r="KDX4" s="15"/>
      <c r="KED4" s="16"/>
      <c r="KEK4" s="17"/>
      <c r="KEL4" s="17"/>
      <c r="KEP4" s="15"/>
      <c r="KEV4" s="16"/>
      <c r="KFC4" s="17"/>
      <c r="KFD4" s="17"/>
      <c r="KFH4" s="15"/>
      <c r="KFN4" s="16"/>
      <c r="KFU4" s="17"/>
      <c r="KFV4" s="17"/>
      <c r="KFZ4" s="15"/>
      <c r="KGF4" s="16"/>
      <c r="KGM4" s="17"/>
      <c r="KGN4" s="17"/>
      <c r="KGR4" s="15"/>
      <c r="KGX4" s="16"/>
      <c r="KHE4" s="17"/>
      <c r="KHF4" s="17"/>
      <c r="KHJ4" s="15"/>
      <c r="KHP4" s="16"/>
      <c r="KHW4" s="17"/>
      <c r="KHX4" s="17"/>
      <c r="KIB4" s="15"/>
      <c r="KIH4" s="16"/>
      <c r="KIO4" s="17"/>
      <c r="KIP4" s="17"/>
      <c r="KIT4" s="15"/>
      <c r="KIZ4" s="16"/>
      <c r="KJG4" s="17"/>
      <c r="KJH4" s="17"/>
      <c r="KJL4" s="15"/>
      <c r="KJR4" s="16"/>
      <c r="KJY4" s="17"/>
      <c r="KJZ4" s="17"/>
      <c r="KKD4" s="15"/>
      <c r="KKJ4" s="16"/>
      <c r="KKQ4" s="17"/>
      <c r="KKR4" s="17"/>
      <c r="KKV4" s="15"/>
      <c r="KLB4" s="16"/>
      <c r="KLI4" s="17"/>
      <c r="KLJ4" s="17"/>
      <c r="KLN4" s="15"/>
      <c r="KLT4" s="16"/>
      <c r="KMA4" s="17"/>
      <c r="KMB4" s="17"/>
      <c r="KMF4" s="15"/>
      <c r="KML4" s="16"/>
      <c r="KMS4" s="17"/>
      <c r="KMT4" s="17"/>
      <c r="KMX4" s="15"/>
      <c r="KND4" s="16"/>
      <c r="KNK4" s="17"/>
      <c r="KNL4" s="17"/>
      <c r="KNP4" s="15"/>
      <c r="KNV4" s="16"/>
      <c r="KOC4" s="17"/>
      <c r="KOD4" s="17"/>
      <c r="KOH4" s="15"/>
      <c r="KON4" s="16"/>
      <c r="KOU4" s="17"/>
      <c r="KOV4" s="17"/>
      <c r="KOZ4" s="15"/>
      <c r="KPF4" s="16"/>
      <c r="KPM4" s="17"/>
      <c r="KPN4" s="17"/>
      <c r="KPR4" s="15"/>
      <c r="KPX4" s="16"/>
      <c r="KQE4" s="17"/>
      <c r="KQF4" s="17"/>
      <c r="KQJ4" s="15"/>
      <c r="KQP4" s="16"/>
      <c r="KQW4" s="17"/>
      <c r="KQX4" s="17"/>
      <c r="KRB4" s="15"/>
      <c r="KRH4" s="16"/>
      <c r="KRO4" s="17"/>
      <c r="KRP4" s="17"/>
      <c r="KRT4" s="15"/>
      <c r="KRZ4" s="16"/>
      <c r="KSG4" s="17"/>
      <c r="KSH4" s="17"/>
      <c r="KSL4" s="15"/>
      <c r="KSR4" s="16"/>
      <c r="KSY4" s="17"/>
      <c r="KSZ4" s="17"/>
      <c r="KTD4" s="15"/>
      <c r="KTJ4" s="16"/>
      <c r="KTQ4" s="17"/>
      <c r="KTR4" s="17"/>
      <c r="KTV4" s="15"/>
      <c r="KUB4" s="16"/>
      <c r="KUI4" s="17"/>
      <c r="KUJ4" s="17"/>
      <c r="KUN4" s="15"/>
      <c r="KUT4" s="16"/>
      <c r="KVA4" s="17"/>
      <c r="KVB4" s="17"/>
      <c r="KVF4" s="15"/>
      <c r="KVL4" s="16"/>
      <c r="KVS4" s="17"/>
      <c r="KVT4" s="17"/>
      <c r="KVX4" s="15"/>
      <c r="KWD4" s="16"/>
      <c r="KWK4" s="17"/>
      <c r="KWL4" s="17"/>
      <c r="KWP4" s="15"/>
      <c r="KWV4" s="16"/>
      <c r="KXC4" s="17"/>
      <c r="KXD4" s="17"/>
      <c r="KXH4" s="15"/>
      <c r="KXN4" s="16"/>
      <c r="KXU4" s="17"/>
      <c r="KXV4" s="17"/>
      <c r="KXZ4" s="15"/>
      <c r="KYF4" s="16"/>
      <c r="KYM4" s="17"/>
      <c r="KYN4" s="17"/>
      <c r="KYR4" s="15"/>
      <c r="KYX4" s="16"/>
      <c r="KZE4" s="17"/>
      <c r="KZF4" s="17"/>
      <c r="KZJ4" s="15"/>
      <c r="KZP4" s="16"/>
      <c r="KZW4" s="17"/>
      <c r="KZX4" s="17"/>
      <c r="LAB4" s="15"/>
      <c r="LAH4" s="16"/>
      <c r="LAO4" s="17"/>
      <c r="LAP4" s="17"/>
      <c r="LAT4" s="15"/>
      <c r="LAZ4" s="16"/>
      <c r="LBG4" s="17"/>
      <c r="LBH4" s="17"/>
      <c r="LBL4" s="15"/>
      <c r="LBR4" s="16"/>
      <c r="LBY4" s="17"/>
      <c r="LBZ4" s="17"/>
      <c r="LCD4" s="15"/>
      <c r="LCJ4" s="16"/>
      <c r="LCQ4" s="17"/>
      <c r="LCR4" s="17"/>
      <c r="LCV4" s="15"/>
      <c r="LDB4" s="16"/>
      <c r="LDI4" s="17"/>
      <c r="LDJ4" s="17"/>
      <c r="LDN4" s="15"/>
      <c r="LDT4" s="16"/>
      <c r="LEA4" s="17"/>
      <c r="LEB4" s="17"/>
      <c r="LEF4" s="15"/>
      <c r="LEL4" s="16"/>
      <c r="LES4" s="17"/>
      <c r="LET4" s="17"/>
      <c r="LEX4" s="15"/>
      <c r="LFD4" s="16"/>
      <c r="LFK4" s="17"/>
      <c r="LFL4" s="17"/>
      <c r="LFP4" s="15"/>
      <c r="LFV4" s="16"/>
      <c r="LGC4" s="17"/>
      <c r="LGD4" s="17"/>
      <c r="LGH4" s="15"/>
      <c r="LGN4" s="16"/>
      <c r="LGU4" s="17"/>
      <c r="LGV4" s="17"/>
      <c r="LGZ4" s="15"/>
      <c r="LHF4" s="16"/>
      <c r="LHM4" s="17"/>
      <c r="LHN4" s="17"/>
      <c r="LHR4" s="15"/>
      <c r="LHX4" s="16"/>
      <c r="LIE4" s="17"/>
      <c r="LIF4" s="17"/>
      <c r="LIJ4" s="15"/>
      <c r="LIP4" s="16"/>
      <c r="LIW4" s="17"/>
      <c r="LIX4" s="17"/>
      <c r="LJB4" s="15"/>
      <c r="LJH4" s="16"/>
      <c r="LJO4" s="17"/>
      <c r="LJP4" s="17"/>
      <c r="LJT4" s="15"/>
      <c r="LJZ4" s="16"/>
      <c r="LKG4" s="17"/>
      <c r="LKH4" s="17"/>
      <c r="LKL4" s="15"/>
      <c r="LKR4" s="16"/>
      <c r="LKY4" s="17"/>
      <c r="LKZ4" s="17"/>
      <c r="LLD4" s="15"/>
      <c r="LLJ4" s="16"/>
      <c r="LLQ4" s="17"/>
      <c r="LLR4" s="17"/>
      <c r="LLV4" s="15"/>
      <c r="LMB4" s="16"/>
      <c r="LMI4" s="17"/>
      <c r="LMJ4" s="17"/>
      <c r="LMN4" s="15"/>
      <c r="LMT4" s="16"/>
      <c r="LNA4" s="17"/>
      <c r="LNB4" s="17"/>
      <c r="LNF4" s="15"/>
      <c r="LNL4" s="16"/>
      <c r="LNS4" s="17"/>
      <c r="LNT4" s="17"/>
      <c r="LNX4" s="15"/>
      <c r="LOD4" s="16"/>
      <c r="LOK4" s="17"/>
      <c r="LOL4" s="17"/>
      <c r="LOP4" s="15"/>
      <c r="LOV4" s="16"/>
      <c r="LPC4" s="17"/>
      <c r="LPD4" s="17"/>
      <c r="LPH4" s="15"/>
      <c r="LPN4" s="16"/>
      <c r="LPU4" s="17"/>
      <c r="LPV4" s="17"/>
      <c r="LPZ4" s="15"/>
      <c r="LQF4" s="16"/>
      <c r="LQM4" s="17"/>
      <c r="LQN4" s="17"/>
      <c r="LQR4" s="15"/>
      <c r="LQX4" s="16"/>
      <c r="LRE4" s="17"/>
      <c r="LRF4" s="17"/>
      <c r="LRJ4" s="15"/>
      <c r="LRP4" s="16"/>
      <c r="LRW4" s="17"/>
      <c r="LRX4" s="17"/>
      <c r="LSB4" s="15"/>
      <c r="LSH4" s="16"/>
      <c r="LSO4" s="17"/>
      <c r="LSP4" s="17"/>
      <c r="LST4" s="15"/>
      <c r="LSZ4" s="16"/>
      <c r="LTG4" s="17"/>
      <c r="LTH4" s="17"/>
      <c r="LTL4" s="15"/>
      <c r="LTR4" s="16"/>
      <c r="LTY4" s="17"/>
      <c r="LTZ4" s="17"/>
      <c r="LUD4" s="15"/>
      <c r="LUJ4" s="16"/>
      <c r="LUQ4" s="17"/>
      <c r="LUR4" s="17"/>
      <c r="LUV4" s="15"/>
      <c r="LVB4" s="16"/>
      <c r="LVI4" s="17"/>
      <c r="LVJ4" s="17"/>
      <c r="LVN4" s="15"/>
      <c r="LVT4" s="16"/>
      <c r="LWA4" s="17"/>
      <c r="LWB4" s="17"/>
      <c r="LWF4" s="15"/>
      <c r="LWL4" s="16"/>
      <c r="LWS4" s="17"/>
      <c r="LWT4" s="17"/>
      <c r="LWX4" s="15"/>
      <c r="LXD4" s="16"/>
      <c r="LXK4" s="17"/>
      <c r="LXL4" s="17"/>
      <c r="LXP4" s="15"/>
      <c r="LXV4" s="16"/>
      <c r="LYC4" s="17"/>
      <c r="LYD4" s="17"/>
      <c r="LYH4" s="15"/>
      <c r="LYN4" s="16"/>
      <c r="LYU4" s="17"/>
      <c r="LYV4" s="17"/>
      <c r="LYZ4" s="15"/>
      <c r="LZF4" s="16"/>
      <c r="LZM4" s="17"/>
      <c r="LZN4" s="17"/>
      <c r="LZR4" s="15"/>
      <c r="LZX4" s="16"/>
      <c r="MAE4" s="17"/>
      <c r="MAF4" s="17"/>
      <c r="MAJ4" s="15"/>
      <c r="MAP4" s="16"/>
      <c r="MAW4" s="17"/>
      <c r="MAX4" s="17"/>
      <c r="MBB4" s="15"/>
      <c r="MBH4" s="16"/>
      <c r="MBO4" s="17"/>
      <c r="MBP4" s="17"/>
      <c r="MBT4" s="15"/>
      <c r="MBZ4" s="16"/>
      <c r="MCG4" s="17"/>
      <c r="MCH4" s="17"/>
      <c r="MCL4" s="15"/>
      <c r="MCR4" s="16"/>
      <c r="MCY4" s="17"/>
      <c r="MCZ4" s="17"/>
      <c r="MDD4" s="15"/>
      <c r="MDJ4" s="16"/>
      <c r="MDQ4" s="17"/>
      <c r="MDR4" s="17"/>
      <c r="MDV4" s="15"/>
      <c r="MEB4" s="16"/>
      <c r="MEI4" s="17"/>
      <c r="MEJ4" s="17"/>
      <c r="MEN4" s="15"/>
      <c r="MET4" s="16"/>
      <c r="MFA4" s="17"/>
      <c r="MFB4" s="17"/>
      <c r="MFF4" s="15"/>
      <c r="MFL4" s="16"/>
      <c r="MFS4" s="17"/>
      <c r="MFT4" s="17"/>
      <c r="MFX4" s="15"/>
      <c r="MGD4" s="16"/>
      <c r="MGK4" s="17"/>
      <c r="MGL4" s="17"/>
      <c r="MGP4" s="15"/>
      <c r="MGV4" s="16"/>
      <c r="MHC4" s="17"/>
      <c r="MHD4" s="17"/>
      <c r="MHH4" s="15"/>
      <c r="MHN4" s="16"/>
      <c r="MHU4" s="17"/>
      <c r="MHV4" s="17"/>
      <c r="MHZ4" s="15"/>
      <c r="MIF4" s="16"/>
      <c r="MIM4" s="17"/>
      <c r="MIN4" s="17"/>
      <c r="MIR4" s="15"/>
      <c r="MIX4" s="16"/>
      <c r="MJE4" s="17"/>
      <c r="MJF4" s="17"/>
      <c r="MJJ4" s="15"/>
      <c r="MJP4" s="16"/>
      <c r="MJW4" s="17"/>
      <c r="MJX4" s="17"/>
      <c r="MKB4" s="15"/>
      <c r="MKH4" s="16"/>
      <c r="MKO4" s="17"/>
      <c r="MKP4" s="17"/>
      <c r="MKT4" s="15"/>
      <c r="MKZ4" s="16"/>
      <c r="MLG4" s="17"/>
      <c r="MLH4" s="17"/>
      <c r="MLL4" s="15"/>
      <c r="MLR4" s="16"/>
      <c r="MLY4" s="17"/>
      <c r="MLZ4" s="17"/>
      <c r="MMD4" s="15"/>
      <c r="MMJ4" s="16"/>
      <c r="MMQ4" s="17"/>
      <c r="MMR4" s="17"/>
      <c r="MMV4" s="15"/>
      <c r="MNB4" s="16"/>
      <c r="MNI4" s="17"/>
      <c r="MNJ4" s="17"/>
      <c r="MNN4" s="15"/>
      <c r="MNT4" s="16"/>
      <c r="MOA4" s="17"/>
      <c r="MOB4" s="17"/>
      <c r="MOF4" s="15"/>
      <c r="MOL4" s="16"/>
      <c r="MOS4" s="17"/>
      <c r="MOT4" s="17"/>
      <c r="MOX4" s="15"/>
      <c r="MPD4" s="16"/>
      <c r="MPK4" s="17"/>
      <c r="MPL4" s="17"/>
      <c r="MPP4" s="15"/>
      <c r="MPV4" s="16"/>
      <c r="MQC4" s="17"/>
      <c r="MQD4" s="17"/>
      <c r="MQH4" s="15"/>
      <c r="MQN4" s="16"/>
      <c r="MQU4" s="17"/>
      <c r="MQV4" s="17"/>
      <c r="MQZ4" s="15"/>
      <c r="MRF4" s="16"/>
      <c r="MRM4" s="17"/>
      <c r="MRN4" s="17"/>
      <c r="MRR4" s="15"/>
      <c r="MRX4" s="16"/>
      <c r="MSE4" s="17"/>
      <c r="MSF4" s="17"/>
      <c r="MSJ4" s="15"/>
      <c r="MSP4" s="16"/>
      <c r="MSW4" s="17"/>
      <c r="MSX4" s="17"/>
      <c r="MTB4" s="15"/>
      <c r="MTH4" s="16"/>
      <c r="MTO4" s="17"/>
      <c r="MTP4" s="17"/>
      <c r="MTT4" s="15"/>
      <c r="MTZ4" s="16"/>
      <c r="MUG4" s="17"/>
      <c r="MUH4" s="17"/>
      <c r="MUL4" s="15"/>
      <c r="MUR4" s="16"/>
      <c r="MUY4" s="17"/>
      <c r="MUZ4" s="17"/>
      <c r="MVD4" s="15"/>
      <c r="MVJ4" s="16"/>
      <c r="MVQ4" s="17"/>
      <c r="MVR4" s="17"/>
      <c r="MVV4" s="15"/>
      <c r="MWB4" s="16"/>
      <c r="MWI4" s="17"/>
      <c r="MWJ4" s="17"/>
      <c r="MWN4" s="15"/>
      <c r="MWT4" s="16"/>
      <c r="MXA4" s="17"/>
      <c r="MXB4" s="17"/>
      <c r="MXF4" s="15"/>
      <c r="MXL4" s="16"/>
      <c r="MXS4" s="17"/>
      <c r="MXT4" s="17"/>
      <c r="MXX4" s="15"/>
      <c r="MYD4" s="16"/>
      <c r="MYK4" s="17"/>
      <c r="MYL4" s="17"/>
      <c r="MYP4" s="15"/>
      <c r="MYV4" s="16"/>
      <c r="MZC4" s="17"/>
      <c r="MZD4" s="17"/>
      <c r="MZH4" s="15"/>
      <c r="MZN4" s="16"/>
      <c r="MZU4" s="17"/>
      <c r="MZV4" s="17"/>
      <c r="MZZ4" s="15"/>
      <c r="NAF4" s="16"/>
      <c r="NAM4" s="17"/>
      <c r="NAN4" s="17"/>
      <c r="NAR4" s="15"/>
      <c r="NAX4" s="16"/>
      <c r="NBE4" s="17"/>
      <c r="NBF4" s="17"/>
      <c r="NBJ4" s="15"/>
      <c r="NBP4" s="16"/>
      <c r="NBW4" s="17"/>
      <c r="NBX4" s="17"/>
      <c r="NCB4" s="15"/>
      <c r="NCH4" s="16"/>
      <c r="NCO4" s="17"/>
      <c r="NCP4" s="17"/>
      <c r="NCT4" s="15"/>
      <c r="NCZ4" s="16"/>
      <c r="NDG4" s="17"/>
      <c r="NDH4" s="17"/>
      <c r="NDL4" s="15"/>
      <c r="NDR4" s="16"/>
      <c r="NDY4" s="17"/>
      <c r="NDZ4" s="17"/>
      <c r="NED4" s="15"/>
      <c r="NEJ4" s="16"/>
      <c r="NEQ4" s="17"/>
      <c r="NER4" s="17"/>
      <c r="NEV4" s="15"/>
      <c r="NFB4" s="16"/>
      <c r="NFI4" s="17"/>
      <c r="NFJ4" s="17"/>
      <c r="NFN4" s="15"/>
      <c r="NFT4" s="16"/>
      <c r="NGA4" s="17"/>
      <c r="NGB4" s="17"/>
      <c r="NGF4" s="15"/>
      <c r="NGL4" s="16"/>
      <c r="NGS4" s="17"/>
      <c r="NGT4" s="17"/>
      <c r="NGX4" s="15"/>
      <c r="NHD4" s="16"/>
      <c r="NHK4" s="17"/>
      <c r="NHL4" s="17"/>
      <c r="NHP4" s="15"/>
      <c r="NHV4" s="16"/>
      <c r="NIC4" s="17"/>
      <c r="NID4" s="17"/>
      <c r="NIH4" s="15"/>
      <c r="NIN4" s="16"/>
      <c r="NIU4" s="17"/>
      <c r="NIV4" s="17"/>
      <c r="NIZ4" s="15"/>
      <c r="NJF4" s="16"/>
      <c r="NJM4" s="17"/>
      <c r="NJN4" s="17"/>
      <c r="NJR4" s="15"/>
      <c r="NJX4" s="16"/>
      <c r="NKE4" s="17"/>
      <c r="NKF4" s="17"/>
      <c r="NKJ4" s="15"/>
      <c r="NKP4" s="16"/>
      <c r="NKW4" s="17"/>
      <c r="NKX4" s="17"/>
      <c r="NLB4" s="15"/>
      <c r="NLH4" s="16"/>
      <c r="NLO4" s="17"/>
      <c r="NLP4" s="17"/>
      <c r="NLT4" s="15"/>
      <c r="NLZ4" s="16"/>
      <c r="NMG4" s="17"/>
      <c r="NMH4" s="17"/>
      <c r="NML4" s="15"/>
      <c r="NMR4" s="16"/>
      <c r="NMY4" s="17"/>
      <c r="NMZ4" s="17"/>
      <c r="NND4" s="15"/>
      <c r="NNJ4" s="16"/>
      <c r="NNQ4" s="17"/>
      <c r="NNR4" s="17"/>
      <c r="NNV4" s="15"/>
      <c r="NOB4" s="16"/>
      <c r="NOI4" s="17"/>
      <c r="NOJ4" s="17"/>
      <c r="NON4" s="15"/>
      <c r="NOT4" s="16"/>
      <c r="NPA4" s="17"/>
      <c r="NPB4" s="17"/>
      <c r="NPF4" s="15"/>
      <c r="NPL4" s="16"/>
      <c r="NPS4" s="17"/>
      <c r="NPT4" s="17"/>
      <c r="NPX4" s="15"/>
      <c r="NQD4" s="16"/>
      <c r="NQK4" s="17"/>
      <c r="NQL4" s="17"/>
      <c r="NQP4" s="15"/>
      <c r="NQV4" s="16"/>
      <c r="NRC4" s="17"/>
      <c r="NRD4" s="17"/>
      <c r="NRH4" s="15"/>
      <c r="NRN4" s="16"/>
      <c r="NRU4" s="17"/>
      <c r="NRV4" s="17"/>
      <c r="NRZ4" s="15"/>
      <c r="NSF4" s="16"/>
      <c r="NSM4" s="17"/>
      <c r="NSN4" s="17"/>
      <c r="NSR4" s="15"/>
      <c r="NSX4" s="16"/>
      <c r="NTE4" s="17"/>
      <c r="NTF4" s="17"/>
      <c r="NTJ4" s="15"/>
      <c r="NTP4" s="16"/>
      <c r="NTW4" s="17"/>
      <c r="NTX4" s="17"/>
      <c r="NUB4" s="15"/>
      <c r="NUH4" s="16"/>
      <c r="NUO4" s="17"/>
      <c r="NUP4" s="17"/>
      <c r="NUT4" s="15"/>
      <c r="NUZ4" s="16"/>
      <c r="NVG4" s="17"/>
      <c r="NVH4" s="17"/>
      <c r="NVL4" s="15"/>
      <c r="NVR4" s="16"/>
      <c r="NVY4" s="17"/>
      <c r="NVZ4" s="17"/>
      <c r="NWD4" s="15"/>
      <c r="NWJ4" s="16"/>
      <c r="NWQ4" s="17"/>
      <c r="NWR4" s="17"/>
      <c r="NWV4" s="15"/>
      <c r="NXB4" s="16"/>
      <c r="NXI4" s="17"/>
      <c r="NXJ4" s="17"/>
      <c r="NXN4" s="15"/>
      <c r="NXT4" s="16"/>
      <c r="NYA4" s="17"/>
      <c r="NYB4" s="17"/>
      <c r="NYF4" s="15"/>
      <c r="NYL4" s="16"/>
      <c r="NYS4" s="17"/>
      <c r="NYT4" s="17"/>
      <c r="NYX4" s="15"/>
      <c r="NZD4" s="16"/>
      <c r="NZK4" s="17"/>
      <c r="NZL4" s="17"/>
      <c r="NZP4" s="15"/>
      <c r="NZV4" s="16"/>
      <c r="OAC4" s="17"/>
      <c r="OAD4" s="17"/>
      <c r="OAH4" s="15"/>
      <c r="OAN4" s="16"/>
      <c r="OAU4" s="17"/>
      <c r="OAV4" s="17"/>
      <c r="OAZ4" s="15"/>
      <c r="OBF4" s="16"/>
      <c r="OBM4" s="17"/>
      <c r="OBN4" s="17"/>
      <c r="OBR4" s="15"/>
      <c r="OBX4" s="16"/>
      <c r="OCE4" s="17"/>
      <c r="OCF4" s="17"/>
      <c r="OCJ4" s="15"/>
      <c r="OCP4" s="16"/>
      <c r="OCW4" s="17"/>
      <c r="OCX4" s="17"/>
      <c r="ODB4" s="15"/>
      <c r="ODH4" s="16"/>
      <c r="ODO4" s="17"/>
      <c r="ODP4" s="17"/>
      <c r="ODT4" s="15"/>
      <c r="ODZ4" s="16"/>
      <c r="OEG4" s="17"/>
      <c r="OEH4" s="17"/>
      <c r="OEL4" s="15"/>
      <c r="OER4" s="16"/>
      <c r="OEY4" s="17"/>
      <c r="OEZ4" s="17"/>
      <c r="OFD4" s="15"/>
      <c r="OFJ4" s="16"/>
      <c r="OFQ4" s="17"/>
      <c r="OFR4" s="17"/>
      <c r="OFV4" s="15"/>
      <c r="OGB4" s="16"/>
      <c r="OGI4" s="17"/>
      <c r="OGJ4" s="17"/>
      <c r="OGN4" s="15"/>
      <c r="OGT4" s="16"/>
      <c r="OHA4" s="17"/>
      <c r="OHB4" s="17"/>
      <c r="OHF4" s="15"/>
      <c r="OHL4" s="16"/>
      <c r="OHS4" s="17"/>
      <c r="OHT4" s="17"/>
      <c r="OHX4" s="15"/>
      <c r="OID4" s="16"/>
      <c r="OIK4" s="17"/>
      <c r="OIL4" s="17"/>
      <c r="OIP4" s="15"/>
      <c r="OIV4" s="16"/>
      <c r="OJC4" s="17"/>
      <c r="OJD4" s="17"/>
      <c r="OJH4" s="15"/>
      <c r="OJN4" s="16"/>
      <c r="OJU4" s="17"/>
      <c r="OJV4" s="17"/>
      <c r="OJZ4" s="15"/>
      <c r="OKF4" s="16"/>
      <c r="OKM4" s="17"/>
      <c r="OKN4" s="17"/>
      <c r="OKR4" s="15"/>
      <c r="OKX4" s="16"/>
      <c r="OLE4" s="17"/>
      <c r="OLF4" s="17"/>
      <c r="OLJ4" s="15"/>
      <c r="OLP4" s="16"/>
      <c r="OLW4" s="17"/>
      <c r="OLX4" s="17"/>
      <c r="OMB4" s="15"/>
      <c r="OMH4" s="16"/>
      <c r="OMO4" s="17"/>
      <c r="OMP4" s="17"/>
      <c r="OMT4" s="15"/>
      <c r="OMZ4" s="16"/>
      <c r="ONG4" s="17"/>
      <c r="ONH4" s="17"/>
      <c r="ONL4" s="15"/>
      <c r="ONR4" s="16"/>
      <c r="ONY4" s="17"/>
      <c r="ONZ4" s="17"/>
      <c r="OOD4" s="15"/>
      <c r="OOJ4" s="16"/>
      <c r="OOQ4" s="17"/>
      <c r="OOR4" s="17"/>
      <c r="OOV4" s="15"/>
      <c r="OPB4" s="16"/>
      <c r="OPI4" s="17"/>
      <c r="OPJ4" s="17"/>
      <c r="OPN4" s="15"/>
      <c r="OPT4" s="16"/>
      <c r="OQA4" s="17"/>
      <c r="OQB4" s="17"/>
      <c r="OQF4" s="15"/>
      <c r="OQL4" s="16"/>
      <c r="OQS4" s="17"/>
      <c r="OQT4" s="17"/>
      <c r="OQX4" s="15"/>
      <c r="ORD4" s="16"/>
      <c r="ORK4" s="17"/>
      <c r="ORL4" s="17"/>
      <c r="ORP4" s="15"/>
      <c r="ORV4" s="16"/>
      <c r="OSC4" s="17"/>
      <c r="OSD4" s="17"/>
      <c r="OSH4" s="15"/>
      <c r="OSN4" s="16"/>
      <c r="OSU4" s="17"/>
      <c r="OSV4" s="17"/>
      <c r="OSZ4" s="15"/>
      <c r="OTF4" s="16"/>
      <c r="OTM4" s="17"/>
      <c r="OTN4" s="17"/>
      <c r="OTR4" s="15"/>
      <c r="OTX4" s="16"/>
      <c r="OUE4" s="17"/>
      <c r="OUF4" s="17"/>
      <c r="OUJ4" s="15"/>
      <c r="OUP4" s="16"/>
      <c r="OUW4" s="17"/>
      <c r="OUX4" s="17"/>
      <c r="OVB4" s="15"/>
      <c r="OVH4" s="16"/>
      <c r="OVO4" s="17"/>
      <c r="OVP4" s="17"/>
      <c r="OVT4" s="15"/>
      <c r="OVZ4" s="16"/>
      <c r="OWG4" s="17"/>
      <c r="OWH4" s="17"/>
      <c r="OWL4" s="15"/>
      <c r="OWR4" s="16"/>
      <c r="OWY4" s="17"/>
      <c r="OWZ4" s="17"/>
      <c r="OXD4" s="15"/>
      <c r="OXJ4" s="16"/>
      <c r="OXQ4" s="17"/>
      <c r="OXR4" s="17"/>
      <c r="OXV4" s="15"/>
      <c r="OYB4" s="16"/>
      <c r="OYI4" s="17"/>
      <c r="OYJ4" s="17"/>
      <c r="OYN4" s="15"/>
      <c r="OYT4" s="16"/>
      <c r="OZA4" s="17"/>
      <c r="OZB4" s="17"/>
      <c r="OZF4" s="15"/>
      <c r="OZL4" s="16"/>
      <c r="OZS4" s="17"/>
      <c r="OZT4" s="17"/>
      <c r="OZX4" s="15"/>
      <c r="PAD4" s="16"/>
      <c r="PAK4" s="17"/>
      <c r="PAL4" s="17"/>
      <c r="PAP4" s="15"/>
      <c r="PAV4" s="16"/>
      <c r="PBC4" s="17"/>
      <c r="PBD4" s="17"/>
      <c r="PBH4" s="15"/>
      <c r="PBN4" s="16"/>
      <c r="PBU4" s="17"/>
      <c r="PBV4" s="17"/>
      <c r="PBZ4" s="15"/>
      <c r="PCF4" s="16"/>
      <c r="PCM4" s="17"/>
      <c r="PCN4" s="17"/>
      <c r="PCR4" s="15"/>
      <c r="PCX4" s="16"/>
      <c r="PDE4" s="17"/>
      <c r="PDF4" s="17"/>
      <c r="PDJ4" s="15"/>
      <c r="PDP4" s="16"/>
      <c r="PDW4" s="17"/>
      <c r="PDX4" s="17"/>
      <c r="PEB4" s="15"/>
      <c r="PEH4" s="16"/>
      <c r="PEO4" s="17"/>
      <c r="PEP4" s="17"/>
      <c r="PET4" s="15"/>
      <c r="PEZ4" s="16"/>
      <c r="PFG4" s="17"/>
      <c r="PFH4" s="17"/>
      <c r="PFL4" s="15"/>
      <c r="PFR4" s="16"/>
      <c r="PFY4" s="17"/>
      <c r="PFZ4" s="17"/>
      <c r="PGD4" s="15"/>
      <c r="PGJ4" s="16"/>
      <c r="PGQ4" s="17"/>
      <c r="PGR4" s="17"/>
      <c r="PGV4" s="15"/>
      <c r="PHB4" s="16"/>
      <c r="PHI4" s="17"/>
      <c r="PHJ4" s="17"/>
      <c r="PHN4" s="15"/>
      <c r="PHT4" s="16"/>
      <c r="PIA4" s="17"/>
      <c r="PIB4" s="17"/>
      <c r="PIF4" s="15"/>
      <c r="PIL4" s="16"/>
      <c r="PIS4" s="17"/>
      <c r="PIT4" s="17"/>
      <c r="PIX4" s="15"/>
      <c r="PJD4" s="16"/>
      <c r="PJK4" s="17"/>
      <c r="PJL4" s="17"/>
      <c r="PJP4" s="15"/>
      <c r="PJV4" s="16"/>
      <c r="PKC4" s="17"/>
      <c r="PKD4" s="17"/>
      <c r="PKH4" s="15"/>
      <c r="PKN4" s="16"/>
      <c r="PKU4" s="17"/>
      <c r="PKV4" s="17"/>
      <c r="PKZ4" s="15"/>
      <c r="PLF4" s="16"/>
      <c r="PLM4" s="17"/>
      <c r="PLN4" s="17"/>
      <c r="PLR4" s="15"/>
      <c r="PLX4" s="16"/>
      <c r="PME4" s="17"/>
      <c r="PMF4" s="17"/>
      <c r="PMJ4" s="15"/>
      <c r="PMP4" s="16"/>
      <c r="PMW4" s="17"/>
      <c r="PMX4" s="17"/>
      <c r="PNB4" s="15"/>
      <c r="PNH4" s="16"/>
      <c r="PNO4" s="17"/>
      <c r="PNP4" s="17"/>
      <c r="PNT4" s="15"/>
      <c r="PNZ4" s="16"/>
      <c r="POG4" s="17"/>
      <c r="POH4" s="17"/>
      <c r="POL4" s="15"/>
      <c r="POR4" s="16"/>
      <c r="POY4" s="17"/>
      <c r="POZ4" s="17"/>
      <c r="PPD4" s="15"/>
      <c r="PPJ4" s="16"/>
      <c r="PPQ4" s="17"/>
      <c r="PPR4" s="17"/>
      <c r="PPV4" s="15"/>
      <c r="PQB4" s="16"/>
      <c r="PQI4" s="17"/>
      <c r="PQJ4" s="17"/>
      <c r="PQN4" s="15"/>
      <c r="PQT4" s="16"/>
      <c r="PRA4" s="17"/>
      <c r="PRB4" s="17"/>
      <c r="PRF4" s="15"/>
      <c r="PRL4" s="16"/>
      <c r="PRS4" s="17"/>
      <c r="PRT4" s="17"/>
      <c r="PRX4" s="15"/>
      <c r="PSD4" s="16"/>
      <c r="PSK4" s="17"/>
      <c r="PSL4" s="17"/>
      <c r="PSP4" s="15"/>
      <c r="PSV4" s="16"/>
      <c r="PTC4" s="17"/>
      <c r="PTD4" s="17"/>
      <c r="PTH4" s="15"/>
      <c r="PTN4" s="16"/>
      <c r="PTU4" s="17"/>
      <c r="PTV4" s="17"/>
      <c r="PTZ4" s="15"/>
      <c r="PUF4" s="16"/>
      <c r="PUM4" s="17"/>
      <c r="PUN4" s="17"/>
      <c r="PUR4" s="15"/>
      <c r="PUX4" s="16"/>
      <c r="PVE4" s="17"/>
      <c r="PVF4" s="17"/>
      <c r="PVJ4" s="15"/>
      <c r="PVP4" s="16"/>
      <c r="PVW4" s="17"/>
      <c r="PVX4" s="17"/>
      <c r="PWB4" s="15"/>
      <c r="PWH4" s="16"/>
      <c r="PWO4" s="17"/>
      <c r="PWP4" s="17"/>
      <c r="PWT4" s="15"/>
      <c r="PWZ4" s="16"/>
      <c r="PXG4" s="17"/>
      <c r="PXH4" s="17"/>
      <c r="PXL4" s="15"/>
      <c r="PXR4" s="16"/>
      <c r="PXY4" s="17"/>
      <c r="PXZ4" s="17"/>
      <c r="PYD4" s="15"/>
      <c r="PYJ4" s="16"/>
      <c r="PYQ4" s="17"/>
      <c r="PYR4" s="17"/>
      <c r="PYV4" s="15"/>
      <c r="PZB4" s="16"/>
      <c r="PZI4" s="17"/>
      <c r="PZJ4" s="17"/>
      <c r="PZN4" s="15"/>
      <c r="PZT4" s="16"/>
      <c r="QAA4" s="17"/>
      <c r="QAB4" s="17"/>
      <c r="QAF4" s="15"/>
      <c r="QAL4" s="16"/>
      <c r="QAS4" s="17"/>
      <c r="QAT4" s="17"/>
      <c r="QAX4" s="15"/>
      <c r="QBD4" s="16"/>
      <c r="QBK4" s="17"/>
      <c r="QBL4" s="17"/>
      <c r="QBP4" s="15"/>
      <c r="QBV4" s="16"/>
      <c r="QCC4" s="17"/>
      <c r="QCD4" s="17"/>
      <c r="QCH4" s="15"/>
      <c r="QCN4" s="16"/>
      <c r="QCU4" s="17"/>
      <c r="QCV4" s="17"/>
      <c r="QCZ4" s="15"/>
      <c r="QDF4" s="16"/>
      <c r="QDM4" s="17"/>
      <c r="QDN4" s="17"/>
      <c r="QDR4" s="15"/>
      <c r="QDX4" s="16"/>
      <c r="QEE4" s="17"/>
      <c r="QEF4" s="17"/>
      <c r="QEJ4" s="15"/>
      <c r="QEP4" s="16"/>
      <c r="QEW4" s="17"/>
      <c r="QEX4" s="17"/>
      <c r="QFB4" s="15"/>
      <c r="QFH4" s="16"/>
      <c r="QFO4" s="17"/>
      <c r="QFP4" s="17"/>
      <c r="QFT4" s="15"/>
      <c r="QFZ4" s="16"/>
      <c r="QGG4" s="17"/>
      <c r="QGH4" s="17"/>
      <c r="QGL4" s="15"/>
      <c r="QGR4" s="16"/>
      <c r="QGY4" s="17"/>
      <c r="QGZ4" s="17"/>
      <c r="QHD4" s="15"/>
      <c r="QHJ4" s="16"/>
      <c r="QHQ4" s="17"/>
      <c r="QHR4" s="17"/>
      <c r="QHV4" s="15"/>
      <c r="QIB4" s="16"/>
      <c r="QII4" s="17"/>
      <c r="QIJ4" s="17"/>
      <c r="QIN4" s="15"/>
      <c r="QIT4" s="16"/>
      <c r="QJA4" s="17"/>
      <c r="QJB4" s="17"/>
      <c r="QJF4" s="15"/>
      <c r="QJL4" s="16"/>
      <c r="QJS4" s="17"/>
      <c r="QJT4" s="17"/>
      <c r="QJX4" s="15"/>
      <c r="QKD4" s="16"/>
      <c r="QKK4" s="17"/>
      <c r="QKL4" s="17"/>
      <c r="QKP4" s="15"/>
      <c r="QKV4" s="16"/>
      <c r="QLC4" s="17"/>
      <c r="QLD4" s="17"/>
      <c r="QLH4" s="15"/>
      <c r="QLN4" s="16"/>
      <c r="QLU4" s="17"/>
      <c r="QLV4" s="17"/>
      <c r="QLZ4" s="15"/>
      <c r="QMF4" s="16"/>
      <c r="QMM4" s="17"/>
      <c r="QMN4" s="17"/>
      <c r="QMR4" s="15"/>
      <c r="QMX4" s="16"/>
      <c r="QNE4" s="17"/>
      <c r="QNF4" s="17"/>
      <c r="QNJ4" s="15"/>
      <c r="QNP4" s="16"/>
      <c r="QNW4" s="17"/>
      <c r="QNX4" s="17"/>
      <c r="QOB4" s="15"/>
      <c r="QOH4" s="16"/>
      <c r="QOO4" s="17"/>
      <c r="QOP4" s="17"/>
      <c r="QOT4" s="15"/>
      <c r="QOZ4" s="16"/>
      <c r="QPG4" s="17"/>
      <c r="QPH4" s="17"/>
      <c r="QPL4" s="15"/>
      <c r="QPR4" s="16"/>
      <c r="QPY4" s="17"/>
      <c r="QPZ4" s="17"/>
      <c r="QQD4" s="15"/>
      <c r="QQJ4" s="16"/>
      <c r="QQQ4" s="17"/>
      <c r="QQR4" s="17"/>
      <c r="QQV4" s="15"/>
      <c r="QRB4" s="16"/>
      <c r="QRI4" s="17"/>
      <c r="QRJ4" s="17"/>
      <c r="QRN4" s="15"/>
      <c r="QRT4" s="16"/>
      <c r="QSA4" s="17"/>
      <c r="QSB4" s="17"/>
      <c r="QSF4" s="15"/>
      <c r="QSL4" s="16"/>
      <c r="QSS4" s="17"/>
      <c r="QST4" s="17"/>
      <c r="QSX4" s="15"/>
      <c r="QTD4" s="16"/>
      <c r="QTK4" s="17"/>
      <c r="QTL4" s="17"/>
      <c r="QTP4" s="15"/>
      <c r="QTV4" s="16"/>
      <c r="QUC4" s="17"/>
      <c r="QUD4" s="17"/>
      <c r="QUH4" s="15"/>
      <c r="QUN4" s="16"/>
      <c r="QUU4" s="17"/>
      <c r="QUV4" s="17"/>
      <c r="QUZ4" s="15"/>
      <c r="QVF4" s="16"/>
      <c r="QVM4" s="17"/>
      <c r="QVN4" s="17"/>
      <c r="QVR4" s="15"/>
      <c r="QVX4" s="16"/>
      <c r="QWE4" s="17"/>
      <c r="QWF4" s="17"/>
      <c r="QWJ4" s="15"/>
      <c r="QWP4" s="16"/>
      <c r="QWW4" s="17"/>
      <c r="QWX4" s="17"/>
      <c r="QXB4" s="15"/>
      <c r="QXH4" s="16"/>
      <c r="QXO4" s="17"/>
      <c r="QXP4" s="17"/>
      <c r="QXT4" s="15"/>
      <c r="QXZ4" s="16"/>
      <c r="QYG4" s="17"/>
      <c r="QYH4" s="17"/>
      <c r="QYL4" s="15"/>
      <c r="QYR4" s="16"/>
      <c r="QYY4" s="17"/>
      <c r="QYZ4" s="17"/>
      <c r="QZD4" s="15"/>
      <c r="QZJ4" s="16"/>
      <c r="QZQ4" s="17"/>
      <c r="QZR4" s="17"/>
      <c r="QZV4" s="15"/>
      <c r="RAB4" s="16"/>
      <c r="RAI4" s="17"/>
      <c r="RAJ4" s="17"/>
      <c r="RAN4" s="15"/>
      <c r="RAT4" s="16"/>
      <c r="RBA4" s="17"/>
      <c r="RBB4" s="17"/>
      <c r="RBF4" s="15"/>
      <c r="RBL4" s="16"/>
      <c r="RBS4" s="17"/>
      <c r="RBT4" s="17"/>
      <c r="RBX4" s="15"/>
      <c r="RCD4" s="16"/>
      <c r="RCK4" s="17"/>
      <c r="RCL4" s="17"/>
      <c r="RCP4" s="15"/>
      <c r="RCV4" s="16"/>
      <c r="RDC4" s="17"/>
      <c r="RDD4" s="17"/>
      <c r="RDH4" s="15"/>
      <c r="RDN4" s="16"/>
      <c r="RDU4" s="17"/>
      <c r="RDV4" s="17"/>
      <c r="RDZ4" s="15"/>
      <c r="REF4" s="16"/>
      <c r="REM4" s="17"/>
      <c r="REN4" s="17"/>
      <c r="RER4" s="15"/>
      <c r="REX4" s="16"/>
      <c r="RFE4" s="17"/>
      <c r="RFF4" s="17"/>
      <c r="RFJ4" s="15"/>
      <c r="RFP4" s="16"/>
      <c r="RFW4" s="17"/>
      <c r="RFX4" s="17"/>
      <c r="RGB4" s="15"/>
      <c r="RGH4" s="16"/>
      <c r="RGO4" s="17"/>
      <c r="RGP4" s="17"/>
      <c r="RGT4" s="15"/>
      <c r="RGZ4" s="16"/>
      <c r="RHG4" s="17"/>
      <c r="RHH4" s="17"/>
      <c r="RHL4" s="15"/>
      <c r="RHR4" s="16"/>
      <c r="RHY4" s="17"/>
      <c r="RHZ4" s="17"/>
      <c r="RID4" s="15"/>
      <c r="RIJ4" s="16"/>
      <c r="RIQ4" s="17"/>
      <c r="RIR4" s="17"/>
      <c r="RIV4" s="15"/>
      <c r="RJB4" s="16"/>
      <c r="RJI4" s="17"/>
      <c r="RJJ4" s="17"/>
      <c r="RJN4" s="15"/>
      <c r="RJT4" s="16"/>
      <c r="RKA4" s="17"/>
      <c r="RKB4" s="17"/>
      <c r="RKF4" s="15"/>
      <c r="RKL4" s="16"/>
      <c r="RKS4" s="17"/>
      <c r="RKT4" s="17"/>
      <c r="RKX4" s="15"/>
      <c r="RLD4" s="16"/>
      <c r="RLK4" s="17"/>
      <c r="RLL4" s="17"/>
      <c r="RLP4" s="15"/>
      <c r="RLV4" s="16"/>
      <c r="RMC4" s="17"/>
      <c r="RMD4" s="17"/>
      <c r="RMH4" s="15"/>
      <c r="RMN4" s="16"/>
      <c r="RMU4" s="17"/>
      <c r="RMV4" s="17"/>
      <c r="RMZ4" s="15"/>
      <c r="RNF4" s="16"/>
      <c r="RNM4" s="17"/>
      <c r="RNN4" s="17"/>
      <c r="RNR4" s="15"/>
      <c r="RNX4" s="16"/>
      <c r="ROE4" s="17"/>
      <c r="ROF4" s="17"/>
      <c r="ROJ4" s="15"/>
      <c r="ROP4" s="16"/>
      <c r="ROW4" s="17"/>
      <c r="ROX4" s="17"/>
      <c r="RPB4" s="15"/>
      <c r="RPH4" s="16"/>
      <c r="RPO4" s="17"/>
      <c r="RPP4" s="17"/>
      <c r="RPT4" s="15"/>
      <c r="RPZ4" s="16"/>
      <c r="RQG4" s="17"/>
      <c r="RQH4" s="17"/>
      <c r="RQL4" s="15"/>
      <c r="RQR4" s="16"/>
      <c r="RQY4" s="17"/>
      <c r="RQZ4" s="17"/>
      <c r="RRD4" s="15"/>
      <c r="RRJ4" s="16"/>
      <c r="RRQ4" s="17"/>
      <c r="RRR4" s="17"/>
      <c r="RRV4" s="15"/>
      <c r="RSB4" s="16"/>
      <c r="RSI4" s="17"/>
      <c r="RSJ4" s="17"/>
      <c r="RSN4" s="15"/>
      <c r="RST4" s="16"/>
      <c r="RTA4" s="17"/>
      <c r="RTB4" s="17"/>
      <c r="RTF4" s="15"/>
      <c r="RTL4" s="16"/>
      <c r="RTS4" s="17"/>
      <c r="RTT4" s="17"/>
      <c r="RTX4" s="15"/>
      <c r="RUD4" s="16"/>
      <c r="RUK4" s="17"/>
      <c r="RUL4" s="17"/>
      <c r="RUP4" s="15"/>
      <c r="RUV4" s="16"/>
      <c r="RVC4" s="17"/>
      <c r="RVD4" s="17"/>
      <c r="RVH4" s="15"/>
      <c r="RVN4" s="16"/>
      <c r="RVU4" s="17"/>
      <c r="RVV4" s="17"/>
      <c r="RVZ4" s="15"/>
      <c r="RWF4" s="16"/>
      <c r="RWM4" s="17"/>
      <c r="RWN4" s="17"/>
      <c r="RWR4" s="15"/>
      <c r="RWX4" s="16"/>
      <c r="RXE4" s="17"/>
      <c r="RXF4" s="17"/>
      <c r="RXJ4" s="15"/>
      <c r="RXP4" s="16"/>
      <c r="RXW4" s="17"/>
      <c r="RXX4" s="17"/>
      <c r="RYB4" s="15"/>
      <c r="RYH4" s="16"/>
      <c r="RYO4" s="17"/>
      <c r="RYP4" s="17"/>
      <c r="RYT4" s="15"/>
      <c r="RYZ4" s="16"/>
      <c r="RZG4" s="17"/>
      <c r="RZH4" s="17"/>
      <c r="RZL4" s="15"/>
      <c r="RZR4" s="16"/>
      <c r="RZY4" s="17"/>
      <c r="RZZ4" s="17"/>
      <c r="SAD4" s="15"/>
      <c r="SAJ4" s="16"/>
      <c r="SAQ4" s="17"/>
      <c r="SAR4" s="17"/>
      <c r="SAV4" s="15"/>
      <c r="SBB4" s="16"/>
      <c r="SBI4" s="17"/>
      <c r="SBJ4" s="17"/>
      <c r="SBN4" s="15"/>
      <c r="SBT4" s="16"/>
      <c r="SCA4" s="17"/>
      <c r="SCB4" s="17"/>
      <c r="SCF4" s="15"/>
      <c r="SCL4" s="16"/>
      <c r="SCS4" s="17"/>
      <c r="SCT4" s="17"/>
      <c r="SCX4" s="15"/>
      <c r="SDD4" s="16"/>
      <c r="SDK4" s="17"/>
      <c r="SDL4" s="17"/>
      <c r="SDP4" s="15"/>
      <c r="SDV4" s="16"/>
      <c r="SEC4" s="17"/>
      <c r="SED4" s="17"/>
      <c r="SEH4" s="15"/>
      <c r="SEN4" s="16"/>
      <c r="SEU4" s="17"/>
      <c r="SEV4" s="17"/>
      <c r="SEZ4" s="15"/>
      <c r="SFF4" s="16"/>
      <c r="SFM4" s="17"/>
      <c r="SFN4" s="17"/>
      <c r="SFR4" s="15"/>
      <c r="SFX4" s="16"/>
      <c r="SGE4" s="17"/>
      <c r="SGF4" s="17"/>
      <c r="SGJ4" s="15"/>
      <c r="SGP4" s="16"/>
      <c r="SGW4" s="17"/>
      <c r="SGX4" s="17"/>
      <c r="SHB4" s="15"/>
      <c r="SHH4" s="16"/>
      <c r="SHO4" s="17"/>
      <c r="SHP4" s="17"/>
      <c r="SHT4" s="15"/>
      <c r="SHZ4" s="16"/>
      <c r="SIG4" s="17"/>
      <c r="SIH4" s="17"/>
      <c r="SIL4" s="15"/>
      <c r="SIR4" s="16"/>
      <c r="SIY4" s="17"/>
      <c r="SIZ4" s="17"/>
      <c r="SJD4" s="15"/>
      <c r="SJJ4" s="16"/>
      <c r="SJQ4" s="17"/>
      <c r="SJR4" s="17"/>
      <c r="SJV4" s="15"/>
      <c r="SKB4" s="16"/>
      <c r="SKI4" s="17"/>
      <c r="SKJ4" s="17"/>
      <c r="SKN4" s="15"/>
      <c r="SKT4" s="16"/>
      <c r="SLA4" s="17"/>
      <c r="SLB4" s="17"/>
      <c r="SLF4" s="15"/>
      <c r="SLL4" s="16"/>
      <c r="SLS4" s="17"/>
      <c r="SLT4" s="17"/>
      <c r="SLX4" s="15"/>
      <c r="SMD4" s="16"/>
      <c r="SMK4" s="17"/>
      <c r="SML4" s="17"/>
      <c r="SMP4" s="15"/>
      <c r="SMV4" s="16"/>
      <c r="SNC4" s="17"/>
      <c r="SND4" s="17"/>
      <c r="SNH4" s="15"/>
      <c r="SNN4" s="16"/>
      <c r="SNU4" s="17"/>
      <c r="SNV4" s="17"/>
      <c r="SNZ4" s="15"/>
      <c r="SOF4" s="16"/>
      <c r="SOM4" s="17"/>
      <c r="SON4" s="17"/>
      <c r="SOR4" s="15"/>
      <c r="SOX4" s="16"/>
      <c r="SPE4" s="17"/>
      <c r="SPF4" s="17"/>
      <c r="SPJ4" s="15"/>
      <c r="SPP4" s="16"/>
      <c r="SPW4" s="17"/>
      <c r="SPX4" s="17"/>
      <c r="SQB4" s="15"/>
      <c r="SQH4" s="16"/>
      <c r="SQO4" s="17"/>
      <c r="SQP4" s="17"/>
      <c r="SQT4" s="15"/>
      <c r="SQZ4" s="16"/>
      <c r="SRG4" s="17"/>
      <c r="SRH4" s="17"/>
      <c r="SRL4" s="15"/>
      <c r="SRR4" s="16"/>
      <c r="SRY4" s="17"/>
      <c r="SRZ4" s="17"/>
      <c r="SSD4" s="15"/>
      <c r="SSJ4" s="16"/>
      <c r="SSQ4" s="17"/>
      <c r="SSR4" s="17"/>
      <c r="SSV4" s="15"/>
      <c r="STB4" s="16"/>
      <c r="STI4" s="17"/>
      <c r="STJ4" s="17"/>
      <c r="STN4" s="15"/>
      <c r="STT4" s="16"/>
      <c r="SUA4" s="17"/>
      <c r="SUB4" s="17"/>
      <c r="SUF4" s="15"/>
      <c r="SUL4" s="16"/>
      <c r="SUS4" s="17"/>
      <c r="SUT4" s="17"/>
      <c r="SUX4" s="15"/>
      <c r="SVD4" s="16"/>
      <c r="SVK4" s="17"/>
      <c r="SVL4" s="17"/>
      <c r="SVP4" s="15"/>
      <c r="SVV4" s="16"/>
      <c r="SWC4" s="17"/>
      <c r="SWD4" s="17"/>
      <c r="SWH4" s="15"/>
      <c r="SWN4" s="16"/>
      <c r="SWU4" s="17"/>
      <c r="SWV4" s="17"/>
      <c r="SWZ4" s="15"/>
      <c r="SXF4" s="16"/>
      <c r="SXM4" s="17"/>
      <c r="SXN4" s="17"/>
      <c r="SXR4" s="15"/>
      <c r="SXX4" s="16"/>
      <c r="SYE4" s="17"/>
      <c r="SYF4" s="17"/>
      <c r="SYJ4" s="15"/>
      <c r="SYP4" s="16"/>
      <c r="SYW4" s="17"/>
      <c r="SYX4" s="17"/>
      <c r="SZB4" s="15"/>
      <c r="SZH4" s="16"/>
      <c r="SZO4" s="17"/>
      <c r="SZP4" s="17"/>
      <c r="SZT4" s="15"/>
      <c r="SZZ4" s="16"/>
      <c r="TAG4" s="17"/>
      <c r="TAH4" s="17"/>
      <c r="TAL4" s="15"/>
      <c r="TAR4" s="16"/>
      <c r="TAY4" s="17"/>
      <c r="TAZ4" s="17"/>
      <c r="TBD4" s="15"/>
      <c r="TBJ4" s="16"/>
      <c r="TBQ4" s="17"/>
      <c r="TBR4" s="17"/>
      <c r="TBV4" s="15"/>
      <c r="TCB4" s="16"/>
      <c r="TCI4" s="17"/>
      <c r="TCJ4" s="17"/>
      <c r="TCN4" s="15"/>
      <c r="TCT4" s="16"/>
      <c r="TDA4" s="17"/>
      <c r="TDB4" s="17"/>
      <c r="TDF4" s="15"/>
      <c r="TDL4" s="16"/>
      <c r="TDS4" s="17"/>
      <c r="TDT4" s="17"/>
      <c r="TDX4" s="15"/>
      <c r="TED4" s="16"/>
      <c r="TEK4" s="17"/>
      <c r="TEL4" s="17"/>
      <c r="TEP4" s="15"/>
      <c r="TEV4" s="16"/>
      <c r="TFC4" s="17"/>
      <c r="TFD4" s="17"/>
      <c r="TFH4" s="15"/>
      <c r="TFN4" s="16"/>
      <c r="TFU4" s="17"/>
      <c r="TFV4" s="17"/>
      <c r="TFZ4" s="15"/>
      <c r="TGF4" s="16"/>
      <c r="TGM4" s="17"/>
      <c r="TGN4" s="17"/>
      <c r="TGR4" s="15"/>
      <c r="TGX4" s="16"/>
      <c r="THE4" s="17"/>
      <c r="THF4" s="17"/>
      <c r="THJ4" s="15"/>
      <c r="THP4" s="16"/>
      <c r="THW4" s="17"/>
      <c r="THX4" s="17"/>
      <c r="TIB4" s="15"/>
      <c r="TIH4" s="16"/>
      <c r="TIO4" s="17"/>
      <c r="TIP4" s="17"/>
      <c r="TIT4" s="15"/>
      <c r="TIZ4" s="16"/>
      <c r="TJG4" s="17"/>
      <c r="TJH4" s="17"/>
      <c r="TJL4" s="15"/>
      <c r="TJR4" s="16"/>
      <c r="TJY4" s="17"/>
      <c r="TJZ4" s="17"/>
      <c r="TKD4" s="15"/>
      <c r="TKJ4" s="16"/>
      <c r="TKQ4" s="17"/>
      <c r="TKR4" s="17"/>
      <c r="TKV4" s="15"/>
      <c r="TLB4" s="16"/>
      <c r="TLI4" s="17"/>
      <c r="TLJ4" s="17"/>
      <c r="TLN4" s="15"/>
      <c r="TLT4" s="16"/>
      <c r="TMA4" s="17"/>
      <c r="TMB4" s="17"/>
      <c r="TMF4" s="15"/>
      <c r="TML4" s="16"/>
      <c r="TMS4" s="17"/>
      <c r="TMT4" s="17"/>
      <c r="TMX4" s="15"/>
      <c r="TND4" s="16"/>
      <c r="TNK4" s="17"/>
      <c r="TNL4" s="17"/>
      <c r="TNP4" s="15"/>
      <c r="TNV4" s="16"/>
      <c r="TOC4" s="17"/>
      <c r="TOD4" s="17"/>
      <c r="TOH4" s="15"/>
      <c r="TON4" s="16"/>
      <c r="TOU4" s="17"/>
      <c r="TOV4" s="17"/>
      <c r="TOZ4" s="15"/>
      <c r="TPF4" s="16"/>
      <c r="TPM4" s="17"/>
      <c r="TPN4" s="17"/>
      <c r="TPR4" s="15"/>
      <c r="TPX4" s="16"/>
      <c r="TQE4" s="17"/>
      <c r="TQF4" s="17"/>
      <c r="TQJ4" s="15"/>
      <c r="TQP4" s="16"/>
      <c r="TQW4" s="17"/>
      <c r="TQX4" s="17"/>
      <c r="TRB4" s="15"/>
      <c r="TRH4" s="16"/>
      <c r="TRO4" s="17"/>
      <c r="TRP4" s="17"/>
      <c r="TRT4" s="15"/>
      <c r="TRZ4" s="16"/>
      <c r="TSG4" s="17"/>
      <c r="TSH4" s="17"/>
      <c r="TSL4" s="15"/>
      <c r="TSR4" s="16"/>
      <c r="TSY4" s="17"/>
      <c r="TSZ4" s="17"/>
      <c r="TTD4" s="15"/>
      <c r="TTJ4" s="16"/>
      <c r="TTQ4" s="17"/>
      <c r="TTR4" s="17"/>
      <c r="TTV4" s="15"/>
      <c r="TUB4" s="16"/>
      <c r="TUI4" s="17"/>
      <c r="TUJ4" s="17"/>
      <c r="TUN4" s="15"/>
      <c r="TUT4" s="16"/>
      <c r="TVA4" s="17"/>
      <c r="TVB4" s="17"/>
      <c r="TVF4" s="15"/>
      <c r="TVL4" s="16"/>
      <c r="TVS4" s="17"/>
      <c r="TVT4" s="17"/>
      <c r="TVX4" s="15"/>
      <c r="TWD4" s="16"/>
      <c r="TWK4" s="17"/>
      <c r="TWL4" s="17"/>
      <c r="TWP4" s="15"/>
      <c r="TWV4" s="16"/>
      <c r="TXC4" s="17"/>
      <c r="TXD4" s="17"/>
      <c r="TXH4" s="15"/>
      <c r="TXN4" s="16"/>
      <c r="TXU4" s="17"/>
      <c r="TXV4" s="17"/>
      <c r="TXZ4" s="15"/>
      <c r="TYF4" s="16"/>
      <c r="TYM4" s="17"/>
      <c r="TYN4" s="17"/>
      <c r="TYR4" s="15"/>
      <c r="TYX4" s="16"/>
      <c r="TZE4" s="17"/>
      <c r="TZF4" s="17"/>
      <c r="TZJ4" s="15"/>
      <c r="TZP4" s="16"/>
      <c r="TZW4" s="17"/>
      <c r="TZX4" s="17"/>
      <c r="UAB4" s="15"/>
      <c r="UAH4" s="16"/>
      <c r="UAO4" s="17"/>
      <c r="UAP4" s="17"/>
      <c r="UAT4" s="15"/>
      <c r="UAZ4" s="16"/>
      <c r="UBG4" s="17"/>
      <c r="UBH4" s="17"/>
      <c r="UBL4" s="15"/>
      <c r="UBR4" s="16"/>
      <c r="UBY4" s="17"/>
      <c r="UBZ4" s="17"/>
      <c r="UCD4" s="15"/>
      <c r="UCJ4" s="16"/>
      <c r="UCQ4" s="17"/>
      <c r="UCR4" s="17"/>
      <c r="UCV4" s="15"/>
      <c r="UDB4" s="16"/>
      <c r="UDI4" s="17"/>
      <c r="UDJ4" s="17"/>
      <c r="UDN4" s="15"/>
      <c r="UDT4" s="16"/>
      <c r="UEA4" s="17"/>
      <c r="UEB4" s="17"/>
      <c r="UEF4" s="15"/>
      <c r="UEL4" s="16"/>
      <c r="UES4" s="17"/>
      <c r="UET4" s="17"/>
      <c r="UEX4" s="15"/>
      <c r="UFD4" s="16"/>
      <c r="UFK4" s="17"/>
      <c r="UFL4" s="17"/>
      <c r="UFP4" s="15"/>
      <c r="UFV4" s="16"/>
      <c r="UGC4" s="17"/>
      <c r="UGD4" s="17"/>
      <c r="UGH4" s="15"/>
      <c r="UGN4" s="16"/>
      <c r="UGU4" s="17"/>
      <c r="UGV4" s="17"/>
      <c r="UGZ4" s="15"/>
      <c r="UHF4" s="16"/>
      <c r="UHM4" s="17"/>
      <c r="UHN4" s="17"/>
      <c r="UHR4" s="15"/>
      <c r="UHX4" s="16"/>
      <c r="UIE4" s="17"/>
      <c r="UIF4" s="17"/>
      <c r="UIJ4" s="15"/>
      <c r="UIP4" s="16"/>
      <c r="UIW4" s="17"/>
      <c r="UIX4" s="17"/>
      <c r="UJB4" s="15"/>
      <c r="UJH4" s="16"/>
      <c r="UJO4" s="17"/>
      <c r="UJP4" s="17"/>
      <c r="UJT4" s="15"/>
      <c r="UJZ4" s="16"/>
      <c r="UKG4" s="17"/>
      <c r="UKH4" s="17"/>
      <c r="UKL4" s="15"/>
      <c r="UKR4" s="16"/>
      <c r="UKY4" s="17"/>
      <c r="UKZ4" s="17"/>
      <c r="ULD4" s="15"/>
      <c r="ULJ4" s="16"/>
      <c r="ULQ4" s="17"/>
      <c r="ULR4" s="17"/>
      <c r="ULV4" s="15"/>
      <c r="UMB4" s="16"/>
      <c r="UMI4" s="17"/>
      <c r="UMJ4" s="17"/>
      <c r="UMN4" s="15"/>
      <c r="UMT4" s="16"/>
      <c r="UNA4" s="17"/>
      <c r="UNB4" s="17"/>
      <c r="UNF4" s="15"/>
      <c r="UNL4" s="16"/>
      <c r="UNS4" s="17"/>
      <c r="UNT4" s="17"/>
      <c r="UNX4" s="15"/>
      <c r="UOD4" s="16"/>
      <c r="UOK4" s="17"/>
      <c r="UOL4" s="17"/>
      <c r="UOP4" s="15"/>
      <c r="UOV4" s="16"/>
      <c r="UPC4" s="17"/>
      <c r="UPD4" s="17"/>
      <c r="UPH4" s="15"/>
      <c r="UPN4" s="16"/>
      <c r="UPU4" s="17"/>
      <c r="UPV4" s="17"/>
      <c r="UPZ4" s="15"/>
      <c r="UQF4" s="16"/>
      <c r="UQM4" s="17"/>
      <c r="UQN4" s="17"/>
      <c r="UQR4" s="15"/>
      <c r="UQX4" s="16"/>
      <c r="URE4" s="17"/>
      <c r="URF4" s="17"/>
      <c r="URJ4" s="15"/>
      <c r="URP4" s="16"/>
      <c r="URW4" s="17"/>
      <c r="URX4" s="17"/>
      <c r="USB4" s="15"/>
      <c r="USH4" s="16"/>
      <c r="USO4" s="17"/>
      <c r="USP4" s="17"/>
      <c r="UST4" s="15"/>
      <c r="USZ4" s="16"/>
      <c r="UTG4" s="17"/>
      <c r="UTH4" s="17"/>
      <c r="UTL4" s="15"/>
      <c r="UTR4" s="16"/>
      <c r="UTY4" s="17"/>
      <c r="UTZ4" s="17"/>
      <c r="UUD4" s="15"/>
      <c r="UUJ4" s="16"/>
      <c r="UUQ4" s="17"/>
      <c r="UUR4" s="17"/>
      <c r="UUV4" s="15"/>
      <c r="UVB4" s="16"/>
      <c r="UVI4" s="17"/>
      <c r="UVJ4" s="17"/>
      <c r="UVN4" s="15"/>
      <c r="UVT4" s="16"/>
      <c r="UWA4" s="17"/>
      <c r="UWB4" s="17"/>
      <c r="UWF4" s="15"/>
      <c r="UWL4" s="16"/>
      <c r="UWS4" s="17"/>
      <c r="UWT4" s="17"/>
      <c r="UWX4" s="15"/>
      <c r="UXD4" s="16"/>
      <c r="UXK4" s="17"/>
      <c r="UXL4" s="17"/>
      <c r="UXP4" s="15"/>
      <c r="UXV4" s="16"/>
      <c r="UYC4" s="17"/>
      <c r="UYD4" s="17"/>
      <c r="UYH4" s="15"/>
      <c r="UYN4" s="16"/>
      <c r="UYU4" s="17"/>
      <c r="UYV4" s="17"/>
      <c r="UYZ4" s="15"/>
      <c r="UZF4" s="16"/>
      <c r="UZM4" s="17"/>
      <c r="UZN4" s="17"/>
      <c r="UZR4" s="15"/>
      <c r="UZX4" s="16"/>
      <c r="VAE4" s="17"/>
      <c r="VAF4" s="17"/>
      <c r="VAJ4" s="15"/>
      <c r="VAP4" s="16"/>
      <c r="VAW4" s="17"/>
      <c r="VAX4" s="17"/>
      <c r="VBB4" s="15"/>
      <c r="VBH4" s="16"/>
      <c r="VBO4" s="17"/>
      <c r="VBP4" s="17"/>
      <c r="VBT4" s="15"/>
      <c r="VBZ4" s="16"/>
      <c r="VCG4" s="17"/>
      <c r="VCH4" s="17"/>
      <c r="VCL4" s="15"/>
      <c r="VCR4" s="16"/>
      <c r="VCY4" s="17"/>
      <c r="VCZ4" s="17"/>
      <c r="VDD4" s="15"/>
      <c r="VDJ4" s="16"/>
      <c r="VDQ4" s="17"/>
      <c r="VDR4" s="17"/>
      <c r="VDV4" s="15"/>
      <c r="VEB4" s="16"/>
      <c r="VEI4" s="17"/>
      <c r="VEJ4" s="17"/>
      <c r="VEN4" s="15"/>
      <c r="VET4" s="16"/>
      <c r="VFA4" s="17"/>
      <c r="VFB4" s="17"/>
      <c r="VFF4" s="15"/>
      <c r="VFL4" s="16"/>
      <c r="VFS4" s="17"/>
      <c r="VFT4" s="17"/>
      <c r="VFX4" s="15"/>
      <c r="VGD4" s="16"/>
      <c r="VGK4" s="17"/>
      <c r="VGL4" s="17"/>
      <c r="VGP4" s="15"/>
      <c r="VGV4" s="16"/>
      <c r="VHC4" s="17"/>
      <c r="VHD4" s="17"/>
      <c r="VHH4" s="15"/>
      <c r="VHN4" s="16"/>
      <c r="VHU4" s="17"/>
      <c r="VHV4" s="17"/>
      <c r="VHZ4" s="15"/>
      <c r="VIF4" s="16"/>
      <c r="VIM4" s="17"/>
      <c r="VIN4" s="17"/>
      <c r="VIR4" s="15"/>
      <c r="VIX4" s="16"/>
      <c r="VJE4" s="17"/>
      <c r="VJF4" s="17"/>
      <c r="VJJ4" s="15"/>
      <c r="VJP4" s="16"/>
      <c r="VJW4" s="17"/>
      <c r="VJX4" s="17"/>
      <c r="VKB4" s="15"/>
      <c r="VKH4" s="16"/>
      <c r="VKO4" s="17"/>
      <c r="VKP4" s="17"/>
      <c r="VKT4" s="15"/>
      <c r="VKZ4" s="16"/>
      <c r="VLG4" s="17"/>
      <c r="VLH4" s="17"/>
      <c r="VLL4" s="15"/>
      <c r="VLR4" s="16"/>
      <c r="VLY4" s="17"/>
      <c r="VLZ4" s="17"/>
      <c r="VMD4" s="15"/>
      <c r="VMJ4" s="16"/>
      <c r="VMQ4" s="17"/>
      <c r="VMR4" s="17"/>
      <c r="VMV4" s="15"/>
      <c r="VNB4" s="16"/>
      <c r="VNI4" s="17"/>
      <c r="VNJ4" s="17"/>
      <c r="VNN4" s="15"/>
      <c r="VNT4" s="16"/>
      <c r="VOA4" s="17"/>
      <c r="VOB4" s="17"/>
      <c r="VOF4" s="15"/>
      <c r="VOL4" s="16"/>
      <c r="VOS4" s="17"/>
      <c r="VOT4" s="17"/>
      <c r="VOX4" s="15"/>
      <c r="VPD4" s="16"/>
      <c r="VPK4" s="17"/>
      <c r="VPL4" s="17"/>
      <c r="VPP4" s="15"/>
      <c r="VPV4" s="16"/>
      <c r="VQC4" s="17"/>
      <c r="VQD4" s="17"/>
      <c r="VQH4" s="15"/>
      <c r="VQN4" s="16"/>
      <c r="VQU4" s="17"/>
      <c r="VQV4" s="17"/>
      <c r="VQZ4" s="15"/>
      <c r="VRF4" s="16"/>
      <c r="VRM4" s="17"/>
      <c r="VRN4" s="17"/>
      <c r="VRR4" s="15"/>
      <c r="VRX4" s="16"/>
      <c r="VSE4" s="17"/>
      <c r="VSF4" s="17"/>
      <c r="VSJ4" s="15"/>
      <c r="VSP4" s="16"/>
      <c r="VSW4" s="17"/>
      <c r="VSX4" s="17"/>
      <c r="VTB4" s="15"/>
      <c r="VTH4" s="16"/>
      <c r="VTO4" s="17"/>
      <c r="VTP4" s="17"/>
      <c r="VTT4" s="15"/>
      <c r="VTZ4" s="16"/>
      <c r="VUG4" s="17"/>
      <c r="VUH4" s="17"/>
      <c r="VUL4" s="15"/>
      <c r="VUR4" s="16"/>
      <c r="VUY4" s="17"/>
      <c r="VUZ4" s="17"/>
      <c r="VVD4" s="15"/>
      <c r="VVJ4" s="16"/>
      <c r="VVQ4" s="17"/>
      <c r="VVR4" s="17"/>
      <c r="VVV4" s="15"/>
      <c r="VWB4" s="16"/>
      <c r="VWI4" s="17"/>
      <c r="VWJ4" s="17"/>
      <c r="VWN4" s="15"/>
      <c r="VWT4" s="16"/>
      <c r="VXA4" s="17"/>
      <c r="VXB4" s="17"/>
      <c r="VXF4" s="15"/>
      <c r="VXL4" s="16"/>
      <c r="VXS4" s="17"/>
      <c r="VXT4" s="17"/>
      <c r="VXX4" s="15"/>
      <c r="VYD4" s="16"/>
      <c r="VYK4" s="17"/>
      <c r="VYL4" s="17"/>
      <c r="VYP4" s="15"/>
      <c r="VYV4" s="16"/>
      <c r="VZC4" s="17"/>
      <c r="VZD4" s="17"/>
      <c r="VZH4" s="15"/>
      <c r="VZN4" s="16"/>
      <c r="VZU4" s="17"/>
      <c r="VZV4" s="17"/>
      <c r="VZZ4" s="15"/>
      <c r="WAF4" s="16"/>
      <c r="WAM4" s="17"/>
      <c r="WAN4" s="17"/>
      <c r="WAR4" s="15"/>
      <c r="WAX4" s="16"/>
      <c r="WBE4" s="17"/>
      <c r="WBF4" s="17"/>
      <c r="WBJ4" s="15"/>
      <c r="WBP4" s="16"/>
      <c r="WBW4" s="17"/>
      <c r="WBX4" s="17"/>
      <c r="WCB4" s="15"/>
      <c r="WCH4" s="16"/>
      <c r="WCO4" s="17"/>
      <c r="WCP4" s="17"/>
      <c r="WCT4" s="15"/>
      <c r="WCZ4" s="16"/>
      <c r="WDG4" s="17"/>
      <c r="WDH4" s="17"/>
      <c r="WDL4" s="15"/>
      <c r="WDR4" s="16"/>
      <c r="WDY4" s="17"/>
      <c r="WDZ4" s="17"/>
      <c r="WED4" s="15"/>
      <c r="WEJ4" s="16"/>
      <c r="WEQ4" s="17"/>
      <c r="WER4" s="17"/>
      <c r="WEV4" s="15"/>
      <c r="WFB4" s="16"/>
      <c r="WFI4" s="17"/>
      <c r="WFJ4" s="17"/>
      <c r="WFN4" s="15"/>
      <c r="WFT4" s="16"/>
      <c r="WGA4" s="17"/>
      <c r="WGB4" s="17"/>
      <c r="WGF4" s="15"/>
      <c r="WGL4" s="16"/>
      <c r="WGS4" s="17"/>
      <c r="WGT4" s="17"/>
      <c r="WGX4" s="15"/>
      <c r="WHD4" s="16"/>
      <c r="WHK4" s="17"/>
      <c r="WHL4" s="17"/>
      <c r="WHP4" s="15"/>
      <c r="WHV4" s="16"/>
      <c r="WIC4" s="17"/>
      <c r="WID4" s="17"/>
      <c r="WIH4" s="15"/>
      <c r="WIN4" s="16"/>
      <c r="WIU4" s="17"/>
      <c r="WIV4" s="17"/>
      <c r="WIZ4" s="15"/>
      <c r="WJF4" s="16"/>
      <c r="WJM4" s="17"/>
      <c r="WJN4" s="17"/>
      <c r="WJR4" s="15"/>
      <c r="WJX4" s="16"/>
      <c r="WKE4" s="17"/>
      <c r="WKF4" s="17"/>
      <c r="WKJ4" s="15"/>
      <c r="WKP4" s="16"/>
      <c r="WKW4" s="17"/>
      <c r="WKX4" s="17"/>
      <c r="WLB4" s="15"/>
      <c r="WLH4" s="16"/>
      <c r="WLO4" s="17"/>
      <c r="WLP4" s="17"/>
      <c r="WLT4" s="15"/>
      <c r="WLZ4" s="16"/>
      <c r="WMG4" s="17"/>
      <c r="WMH4" s="17"/>
      <c r="WML4" s="15"/>
      <c r="WMR4" s="16"/>
      <c r="WMY4" s="17"/>
      <c r="WMZ4" s="17"/>
      <c r="WND4" s="15"/>
      <c r="WNJ4" s="16"/>
      <c r="WNQ4" s="17"/>
      <c r="WNR4" s="17"/>
      <c r="WNV4" s="15"/>
      <c r="WOB4" s="16"/>
      <c r="WOI4" s="17"/>
      <c r="WOJ4" s="17"/>
      <c r="WON4" s="15"/>
      <c r="WOT4" s="16"/>
      <c r="WPA4" s="17"/>
      <c r="WPB4" s="17"/>
      <c r="WPF4" s="15"/>
      <c r="WPL4" s="16"/>
      <c r="WPS4" s="17"/>
      <c r="WPT4" s="17"/>
      <c r="WPX4" s="15"/>
      <c r="WQD4" s="16"/>
      <c r="WQK4" s="17"/>
      <c r="WQL4" s="17"/>
      <c r="WQP4" s="15"/>
      <c r="WQV4" s="16"/>
      <c r="WRC4" s="17"/>
      <c r="WRD4" s="17"/>
      <c r="WRH4" s="15"/>
      <c r="WRN4" s="16"/>
      <c r="WRU4" s="17"/>
      <c r="WRV4" s="17"/>
      <c r="WRZ4" s="15"/>
      <c r="WSF4" s="16"/>
      <c r="WSM4" s="17"/>
      <c r="WSN4" s="17"/>
      <c r="WSR4" s="15"/>
      <c r="WSX4" s="16"/>
      <c r="WTE4" s="17"/>
      <c r="WTF4" s="17"/>
      <c r="WTJ4" s="15"/>
      <c r="WTP4" s="16"/>
      <c r="WTW4" s="17"/>
      <c r="WTX4" s="17"/>
      <c r="WUB4" s="15"/>
      <c r="WUH4" s="16"/>
      <c r="WUO4" s="17"/>
      <c r="WUP4" s="17"/>
      <c r="WUT4" s="15"/>
      <c r="WUZ4" s="16"/>
      <c r="WVG4" s="17"/>
      <c r="WVH4" s="17"/>
      <c r="WVL4" s="15"/>
      <c r="WVR4" s="16"/>
      <c r="WVY4" s="17"/>
      <c r="WVZ4" s="17"/>
      <c r="WWD4" s="15"/>
      <c r="WWJ4" s="16"/>
      <c r="WWQ4" s="17"/>
      <c r="WWR4" s="17"/>
      <c r="WWV4" s="15"/>
      <c r="WXB4" s="16"/>
      <c r="WXI4" s="17"/>
      <c r="WXJ4" s="17"/>
      <c r="WXN4" s="15"/>
      <c r="WXT4" s="16"/>
      <c r="WYA4" s="17"/>
      <c r="WYB4" s="17"/>
      <c r="WYF4" s="15"/>
      <c r="WYL4" s="16"/>
      <c r="WYS4" s="17"/>
      <c r="WYT4" s="17"/>
      <c r="WYX4" s="15"/>
      <c r="WZD4" s="16"/>
      <c r="WZK4" s="17"/>
      <c r="WZL4" s="17"/>
      <c r="WZP4" s="15"/>
      <c r="WZV4" s="16"/>
      <c r="XAC4" s="17"/>
      <c r="XAD4" s="17"/>
      <c r="XAH4" s="15"/>
      <c r="XAN4" s="16"/>
      <c r="XAU4" s="17"/>
      <c r="XAV4" s="17"/>
      <c r="XAZ4" s="15"/>
      <c r="XBF4" s="16"/>
      <c r="XBM4" s="17"/>
      <c r="XBN4" s="17"/>
      <c r="XBR4" s="15"/>
      <c r="XBX4" s="16"/>
      <c r="XCE4" s="17"/>
      <c r="XCF4" s="17"/>
      <c r="XCJ4" s="15"/>
      <c r="XCP4" s="16"/>
      <c r="XCW4" s="17"/>
      <c r="XCX4" s="17"/>
      <c r="XDB4" s="15"/>
      <c r="XDH4" s="16"/>
      <c r="XDO4" s="17"/>
      <c r="XDP4" s="17"/>
      <c r="XDT4" s="15"/>
      <c r="XDZ4" s="16"/>
      <c r="XEG4" s="17"/>
      <c r="XEH4" s="17"/>
      <c r="XEL4" s="15"/>
      <c r="XER4" s="16"/>
      <c r="XEY4" s="17"/>
      <c r="XEZ4" s="17"/>
      <c r="XFD4" s="15"/>
    </row>
    <row r="5" spans="1:1018 1025:2044 2051:3070 3077:4096 4103:5116 5122:6142 6148:7168 7174:8190 8194:9216 9220:10234 10241:11260 11267:12286 12293:13312 13319:14332 14338:15358 15364:16384">
      <c r="A5" s="17" t="s">
        <v>30</v>
      </c>
      <c r="B5" s="9">
        <v>2010</v>
      </c>
      <c r="C5" s="9" t="s">
        <v>21</v>
      </c>
      <c r="D5" s="9" t="s">
        <v>22</v>
      </c>
      <c r="E5" s="10" t="s">
        <v>31</v>
      </c>
      <c r="F5" s="9" t="s">
        <v>24</v>
      </c>
      <c r="G5" s="18">
        <v>23383829.469999999</v>
      </c>
      <c r="H5" s="18">
        <v>24969535.890000001</v>
      </c>
      <c r="I5" s="12">
        <v>5</v>
      </c>
      <c r="J5" s="13" t="s">
        <v>32</v>
      </c>
      <c r="K5" s="9" t="s">
        <v>26</v>
      </c>
      <c r="M5" s="9" t="s">
        <v>26</v>
      </c>
      <c r="O5" s="14" t="s">
        <v>26</v>
      </c>
      <c r="Q5" s="14" t="s">
        <v>27</v>
      </c>
      <c r="R5" s="14" t="s">
        <v>28</v>
      </c>
      <c r="V5" s="15"/>
      <c r="AB5" s="16"/>
      <c r="AI5" s="17"/>
      <c r="AJ5" s="17"/>
      <c r="AN5" s="15"/>
      <c r="AT5" s="16"/>
      <c r="BA5" s="17"/>
      <c r="BB5" s="17"/>
      <c r="BF5" s="15"/>
      <c r="BL5" s="16"/>
      <c r="BS5" s="17"/>
      <c r="BT5" s="17"/>
      <c r="BX5" s="15"/>
      <c r="CD5" s="16"/>
      <c r="CK5" s="17"/>
      <c r="CL5" s="17"/>
      <c r="CP5" s="15"/>
      <c r="CV5" s="16"/>
      <c r="DC5" s="17"/>
      <c r="DD5" s="17"/>
      <c r="DH5" s="15"/>
      <c r="DN5" s="16"/>
      <c r="DU5" s="17"/>
      <c r="DV5" s="17"/>
      <c r="DZ5" s="15"/>
      <c r="EF5" s="16"/>
      <c r="EM5" s="17"/>
      <c r="EN5" s="17"/>
      <c r="ER5" s="15"/>
      <c r="EX5" s="16"/>
      <c r="FE5" s="17"/>
      <c r="FF5" s="17"/>
      <c r="FJ5" s="15"/>
      <c r="FP5" s="16"/>
      <c r="FW5" s="17"/>
      <c r="FX5" s="17"/>
      <c r="GB5" s="15"/>
      <c r="GH5" s="16"/>
      <c r="GO5" s="17"/>
      <c r="GP5" s="17"/>
      <c r="GT5" s="15"/>
      <c r="GZ5" s="16"/>
      <c r="HG5" s="17"/>
      <c r="HH5" s="17"/>
      <c r="HL5" s="15"/>
      <c r="HR5" s="16"/>
      <c r="HY5" s="17"/>
      <c r="HZ5" s="17"/>
      <c r="ID5" s="15"/>
      <c r="IJ5" s="16"/>
      <c r="IQ5" s="17"/>
      <c r="IR5" s="17"/>
      <c r="IV5" s="15"/>
      <c r="JB5" s="16"/>
      <c r="JI5" s="17"/>
      <c r="JJ5" s="17"/>
      <c r="JN5" s="15"/>
      <c r="JT5" s="16"/>
      <c r="KA5" s="17"/>
      <c r="KB5" s="17"/>
      <c r="KF5" s="15"/>
      <c r="KL5" s="16"/>
      <c r="KS5" s="17"/>
      <c r="KT5" s="17"/>
      <c r="KX5" s="15"/>
      <c r="LD5" s="16"/>
      <c r="LK5" s="17"/>
      <c r="LL5" s="17"/>
      <c r="LP5" s="15"/>
      <c r="LV5" s="16"/>
      <c r="MC5" s="17"/>
      <c r="MD5" s="17"/>
      <c r="MH5" s="15"/>
      <c r="MN5" s="16"/>
      <c r="MU5" s="17"/>
      <c r="MV5" s="17"/>
      <c r="MZ5" s="15"/>
      <c r="NF5" s="16"/>
      <c r="NM5" s="17"/>
      <c r="NN5" s="17"/>
      <c r="NR5" s="15"/>
      <c r="NX5" s="16"/>
      <c r="OE5" s="17"/>
      <c r="OF5" s="17"/>
      <c r="OJ5" s="15"/>
      <c r="OP5" s="16"/>
      <c r="OW5" s="17"/>
      <c r="OX5" s="17"/>
      <c r="PB5" s="15"/>
      <c r="PH5" s="16"/>
      <c r="PO5" s="17"/>
      <c r="PP5" s="17"/>
      <c r="PT5" s="15"/>
      <c r="PZ5" s="16"/>
      <c r="QG5" s="17"/>
      <c r="QH5" s="17"/>
      <c r="QL5" s="15"/>
      <c r="QR5" s="16"/>
      <c r="QY5" s="17"/>
      <c r="QZ5" s="17"/>
      <c r="RD5" s="15"/>
      <c r="RJ5" s="16"/>
      <c r="RQ5" s="17"/>
      <c r="RR5" s="17"/>
      <c r="RV5" s="15"/>
      <c r="SB5" s="16"/>
      <c r="SI5" s="17"/>
      <c r="SJ5" s="17"/>
      <c r="SN5" s="15"/>
      <c r="ST5" s="16"/>
      <c r="TA5" s="17"/>
      <c r="TB5" s="17"/>
      <c r="TF5" s="15"/>
      <c r="TL5" s="16"/>
      <c r="TS5" s="17"/>
      <c r="TT5" s="17"/>
      <c r="TX5" s="15"/>
      <c r="UD5" s="16"/>
      <c r="UK5" s="17"/>
      <c r="UL5" s="17"/>
      <c r="UP5" s="15"/>
      <c r="UV5" s="16"/>
      <c r="VC5" s="17"/>
      <c r="VD5" s="17"/>
      <c r="VH5" s="15"/>
      <c r="VN5" s="16"/>
      <c r="VU5" s="17"/>
      <c r="VV5" s="17"/>
      <c r="VZ5" s="15"/>
      <c r="WF5" s="16"/>
      <c r="WM5" s="17"/>
      <c r="WN5" s="17"/>
      <c r="WR5" s="15"/>
      <c r="WX5" s="16"/>
      <c r="XE5" s="17"/>
      <c r="XF5" s="17"/>
      <c r="XJ5" s="15"/>
      <c r="XP5" s="16"/>
      <c r="XW5" s="17"/>
      <c r="XX5" s="17"/>
      <c r="YB5" s="15"/>
      <c r="YH5" s="16"/>
      <c r="YO5" s="17"/>
      <c r="YP5" s="17"/>
      <c r="YT5" s="15"/>
      <c r="YZ5" s="16"/>
      <c r="ZG5" s="17"/>
      <c r="ZH5" s="17"/>
      <c r="ZL5" s="15"/>
      <c r="ZR5" s="16"/>
      <c r="ZY5" s="17"/>
      <c r="ZZ5" s="17"/>
      <c r="AAD5" s="15"/>
      <c r="AAJ5" s="16"/>
      <c r="AAQ5" s="17"/>
      <c r="AAR5" s="17"/>
      <c r="AAV5" s="15"/>
      <c r="ABB5" s="16"/>
      <c r="ABI5" s="17"/>
      <c r="ABJ5" s="17"/>
      <c r="ABN5" s="15"/>
      <c r="ABT5" s="16"/>
      <c r="ACA5" s="17"/>
      <c r="ACB5" s="17"/>
      <c r="ACF5" s="15"/>
      <c r="ACL5" s="16"/>
      <c r="ACS5" s="17"/>
      <c r="ACT5" s="17"/>
      <c r="ACX5" s="15"/>
      <c r="ADD5" s="16"/>
      <c r="ADK5" s="17"/>
      <c r="ADL5" s="17"/>
      <c r="ADP5" s="15"/>
      <c r="ADV5" s="16"/>
      <c r="AEC5" s="17"/>
      <c r="AED5" s="17"/>
      <c r="AEH5" s="15"/>
      <c r="AEN5" s="16"/>
      <c r="AEU5" s="17"/>
      <c r="AEV5" s="17"/>
      <c r="AEZ5" s="15"/>
      <c r="AFF5" s="16"/>
      <c r="AFM5" s="17"/>
      <c r="AFN5" s="17"/>
      <c r="AFR5" s="15"/>
      <c r="AFX5" s="16"/>
      <c r="AGE5" s="17"/>
      <c r="AGF5" s="17"/>
      <c r="AGJ5" s="15"/>
      <c r="AGP5" s="16"/>
      <c r="AGW5" s="17"/>
      <c r="AGX5" s="17"/>
      <c r="AHB5" s="15"/>
      <c r="AHH5" s="16"/>
      <c r="AHO5" s="17"/>
      <c r="AHP5" s="17"/>
      <c r="AHT5" s="15"/>
      <c r="AHZ5" s="16"/>
      <c r="AIG5" s="17"/>
      <c r="AIH5" s="17"/>
      <c r="AIL5" s="15"/>
      <c r="AIR5" s="16"/>
      <c r="AIY5" s="17"/>
      <c r="AIZ5" s="17"/>
      <c r="AJD5" s="15"/>
      <c r="AJJ5" s="16"/>
      <c r="AJQ5" s="17"/>
      <c r="AJR5" s="17"/>
      <c r="AJV5" s="15"/>
      <c r="AKB5" s="16"/>
      <c r="AKI5" s="17"/>
      <c r="AKJ5" s="17"/>
      <c r="AKN5" s="15"/>
      <c r="AKT5" s="16"/>
      <c r="ALA5" s="17"/>
      <c r="ALB5" s="17"/>
      <c r="ALF5" s="15"/>
      <c r="ALL5" s="16"/>
      <c r="ALS5" s="17"/>
      <c r="ALT5" s="17"/>
      <c r="ALX5" s="15"/>
      <c r="AMD5" s="16"/>
      <c r="AMK5" s="17"/>
      <c r="AML5" s="17"/>
      <c r="AMP5" s="15"/>
      <c r="AMV5" s="16"/>
      <c r="ANC5" s="17"/>
      <c r="AND5" s="17"/>
      <c r="ANH5" s="15"/>
      <c r="ANN5" s="16"/>
      <c r="ANU5" s="17"/>
      <c r="ANV5" s="17"/>
      <c r="ANZ5" s="15"/>
      <c r="AOF5" s="16"/>
      <c r="AOM5" s="17"/>
      <c r="AON5" s="17"/>
      <c r="AOR5" s="15"/>
      <c r="AOX5" s="16"/>
      <c r="APE5" s="17"/>
      <c r="APF5" s="17"/>
      <c r="APJ5" s="15"/>
      <c r="APP5" s="16"/>
      <c r="APW5" s="17"/>
      <c r="APX5" s="17"/>
      <c r="AQB5" s="15"/>
      <c r="AQH5" s="16"/>
      <c r="AQO5" s="17"/>
      <c r="AQP5" s="17"/>
      <c r="AQT5" s="15"/>
      <c r="AQZ5" s="16"/>
      <c r="ARG5" s="17"/>
      <c r="ARH5" s="17"/>
      <c r="ARL5" s="15"/>
      <c r="ARR5" s="16"/>
      <c r="ARY5" s="17"/>
      <c r="ARZ5" s="17"/>
      <c r="ASD5" s="15"/>
      <c r="ASJ5" s="16"/>
      <c r="ASQ5" s="17"/>
      <c r="ASR5" s="17"/>
      <c r="ASV5" s="15"/>
      <c r="ATB5" s="16"/>
      <c r="ATI5" s="17"/>
      <c r="ATJ5" s="17"/>
      <c r="ATN5" s="15"/>
      <c r="ATT5" s="16"/>
      <c r="AUA5" s="17"/>
      <c r="AUB5" s="17"/>
      <c r="AUF5" s="15"/>
      <c r="AUL5" s="16"/>
      <c r="AUS5" s="17"/>
      <c r="AUT5" s="17"/>
      <c r="AUX5" s="15"/>
      <c r="AVD5" s="16"/>
      <c r="AVK5" s="17"/>
      <c r="AVL5" s="17"/>
      <c r="AVP5" s="15"/>
      <c r="AVV5" s="16"/>
      <c r="AWC5" s="17"/>
      <c r="AWD5" s="17"/>
      <c r="AWH5" s="15"/>
      <c r="AWN5" s="16"/>
      <c r="AWU5" s="17"/>
      <c r="AWV5" s="17"/>
      <c r="AWZ5" s="15"/>
      <c r="AXF5" s="16"/>
      <c r="AXM5" s="17"/>
      <c r="AXN5" s="17"/>
      <c r="AXR5" s="15"/>
      <c r="AXX5" s="16"/>
      <c r="AYE5" s="17"/>
      <c r="AYF5" s="17"/>
      <c r="AYJ5" s="15"/>
      <c r="AYP5" s="16"/>
      <c r="AYW5" s="17"/>
      <c r="AYX5" s="17"/>
      <c r="AZB5" s="15"/>
      <c r="AZH5" s="16"/>
      <c r="AZO5" s="17"/>
      <c r="AZP5" s="17"/>
      <c r="AZT5" s="15"/>
      <c r="AZZ5" s="16"/>
      <c r="BAG5" s="17"/>
      <c r="BAH5" s="17"/>
      <c r="BAL5" s="15"/>
      <c r="BAR5" s="16"/>
      <c r="BAY5" s="17"/>
      <c r="BAZ5" s="17"/>
      <c r="BBD5" s="15"/>
      <c r="BBJ5" s="16"/>
      <c r="BBQ5" s="17"/>
      <c r="BBR5" s="17"/>
      <c r="BBV5" s="15"/>
      <c r="BCB5" s="16"/>
      <c r="BCI5" s="17"/>
      <c r="BCJ5" s="17"/>
      <c r="BCN5" s="15"/>
      <c r="BCT5" s="16"/>
      <c r="BDA5" s="17"/>
      <c r="BDB5" s="17"/>
      <c r="BDF5" s="15"/>
      <c r="BDL5" s="16"/>
      <c r="BDS5" s="17"/>
      <c r="BDT5" s="17"/>
      <c r="BDX5" s="15"/>
      <c r="BED5" s="16"/>
      <c r="BEK5" s="17"/>
      <c r="BEL5" s="17"/>
      <c r="BEP5" s="15"/>
      <c r="BEV5" s="16"/>
      <c r="BFC5" s="17"/>
      <c r="BFD5" s="17"/>
      <c r="BFH5" s="15"/>
      <c r="BFN5" s="16"/>
      <c r="BFU5" s="17"/>
      <c r="BFV5" s="17"/>
      <c r="BFZ5" s="15"/>
      <c r="BGF5" s="16"/>
      <c r="BGM5" s="17"/>
      <c r="BGN5" s="17"/>
      <c r="BGR5" s="15"/>
      <c r="BGX5" s="16"/>
      <c r="BHE5" s="17"/>
      <c r="BHF5" s="17"/>
      <c r="BHJ5" s="15"/>
      <c r="BHP5" s="16"/>
      <c r="BHW5" s="17"/>
      <c r="BHX5" s="17"/>
      <c r="BIB5" s="15"/>
      <c r="BIH5" s="16"/>
      <c r="BIO5" s="17"/>
      <c r="BIP5" s="17"/>
      <c r="BIT5" s="15"/>
      <c r="BIZ5" s="16"/>
      <c r="BJG5" s="17"/>
      <c r="BJH5" s="17"/>
      <c r="BJL5" s="15"/>
      <c r="BJR5" s="16"/>
      <c r="BJY5" s="17"/>
      <c r="BJZ5" s="17"/>
      <c r="BKD5" s="15"/>
      <c r="BKJ5" s="16"/>
      <c r="BKQ5" s="17"/>
      <c r="BKR5" s="17"/>
      <c r="BKV5" s="15"/>
      <c r="BLB5" s="16"/>
      <c r="BLI5" s="17"/>
      <c r="BLJ5" s="17"/>
      <c r="BLN5" s="15"/>
      <c r="BLT5" s="16"/>
      <c r="BMA5" s="17"/>
      <c r="BMB5" s="17"/>
      <c r="BMF5" s="15"/>
      <c r="BML5" s="16"/>
      <c r="BMS5" s="17"/>
      <c r="BMT5" s="17"/>
      <c r="BMX5" s="15"/>
      <c r="BND5" s="16"/>
      <c r="BNK5" s="17"/>
      <c r="BNL5" s="17"/>
      <c r="BNP5" s="15"/>
      <c r="BNV5" s="16"/>
      <c r="BOC5" s="17"/>
      <c r="BOD5" s="17"/>
      <c r="BOH5" s="15"/>
      <c r="BON5" s="16"/>
      <c r="BOU5" s="17"/>
      <c r="BOV5" s="17"/>
      <c r="BOZ5" s="15"/>
      <c r="BPF5" s="16"/>
      <c r="BPM5" s="17"/>
      <c r="BPN5" s="17"/>
      <c r="BPR5" s="15"/>
      <c r="BPX5" s="16"/>
      <c r="BQE5" s="17"/>
      <c r="BQF5" s="17"/>
      <c r="BQJ5" s="15"/>
      <c r="BQP5" s="16"/>
      <c r="BQW5" s="17"/>
      <c r="BQX5" s="17"/>
      <c r="BRB5" s="15"/>
      <c r="BRH5" s="16"/>
      <c r="BRO5" s="17"/>
      <c r="BRP5" s="17"/>
      <c r="BRT5" s="15"/>
      <c r="BRZ5" s="16"/>
      <c r="BSG5" s="17"/>
      <c r="BSH5" s="17"/>
      <c r="BSL5" s="15"/>
      <c r="BSR5" s="16"/>
      <c r="BSY5" s="17"/>
      <c r="BSZ5" s="17"/>
      <c r="BTD5" s="15"/>
      <c r="BTJ5" s="16"/>
      <c r="BTQ5" s="17"/>
      <c r="BTR5" s="17"/>
      <c r="BTV5" s="15"/>
      <c r="BUB5" s="16"/>
      <c r="BUI5" s="17"/>
      <c r="BUJ5" s="17"/>
      <c r="BUN5" s="15"/>
      <c r="BUT5" s="16"/>
      <c r="BVA5" s="17"/>
      <c r="BVB5" s="17"/>
      <c r="BVF5" s="15"/>
      <c r="BVL5" s="16"/>
      <c r="BVS5" s="17"/>
      <c r="BVT5" s="17"/>
      <c r="BVX5" s="15"/>
      <c r="BWD5" s="16"/>
      <c r="BWK5" s="17"/>
      <c r="BWL5" s="17"/>
      <c r="BWP5" s="15"/>
      <c r="BWV5" s="16"/>
      <c r="BXC5" s="17"/>
      <c r="BXD5" s="17"/>
      <c r="BXH5" s="15"/>
      <c r="BXN5" s="16"/>
      <c r="BXU5" s="17"/>
      <c r="BXV5" s="17"/>
      <c r="BXZ5" s="15"/>
      <c r="BYF5" s="16"/>
      <c r="BYM5" s="17"/>
      <c r="BYN5" s="17"/>
      <c r="BYR5" s="15"/>
      <c r="BYX5" s="16"/>
      <c r="BZE5" s="17"/>
      <c r="BZF5" s="17"/>
      <c r="BZJ5" s="15"/>
      <c r="BZP5" s="16"/>
      <c r="BZW5" s="17"/>
      <c r="BZX5" s="17"/>
      <c r="CAB5" s="15"/>
      <c r="CAH5" s="16"/>
      <c r="CAO5" s="17"/>
      <c r="CAP5" s="17"/>
      <c r="CAT5" s="15"/>
      <c r="CAZ5" s="16"/>
      <c r="CBG5" s="17"/>
      <c r="CBH5" s="17"/>
      <c r="CBL5" s="15"/>
      <c r="CBR5" s="16"/>
      <c r="CBY5" s="17"/>
      <c r="CBZ5" s="17"/>
      <c r="CCD5" s="15"/>
      <c r="CCJ5" s="16"/>
      <c r="CCQ5" s="17"/>
      <c r="CCR5" s="17"/>
      <c r="CCV5" s="15"/>
      <c r="CDB5" s="16"/>
      <c r="CDI5" s="17"/>
      <c r="CDJ5" s="17"/>
      <c r="CDN5" s="15"/>
      <c r="CDT5" s="16"/>
      <c r="CEA5" s="17"/>
      <c r="CEB5" s="17"/>
      <c r="CEF5" s="15"/>
      <c r="CEL5" s="16"/>
      <c r="CES5" s="17"/>
      <c r="CET5" s="17"/>
      <c r="CEX5" s="15"/>
      <c r="CFD5" s="16"/>
      <c r="CFK5" s="17"/>
      <c r="CFL5" s="17"/>
      <c r="CFP5" s="15"/>
      <c r="CFV5" s="16"/>
      <c r="CGC5" s="17"/>
      <c r="CGD5" s="17"/>
      <c r="CGH5" s="15"/>
      <c r="CGN5" s="16"/>
      <c r="CGU5" s="17"/>
      <c r="CGV5" s="17"/>
      <c r="CGZ5" s="15"/>
      <c r="CHF5" s="16"/>
      <c r="CHM5" s="17"/>
      <c r="CHN5" s="17"/>
      <c r="CHR5" s="15"/>
      <c r="CHX5" s="16"/>
      <c r="CIE5" s="17"/>
      <c r="CIF5" s="17"/>
      <c r="CIJ5" s="15"/>
      <c r="CIP5" s="16"/>
      <c r="CIW5" s="17"/>
      <c r="CIX5" s="17"/>
      <c r="CJB5" s="15"/>
      <c r="CJH5" s="16"/>
      <c r="CJO5" s="17"/>
      <c r="CJP5" s="17"/>
      <c r="CJT5" s="15"/>
      <c r="CJZ5" s="16"/>
      <c r="CKG5" s="17"/>
      <c r="CKH5" s="17"/>
      <c r="CKL5" s="15"/>
      <c r="CKR5" s="16"/>
      <c r="CKY5" s="17"/>
      <c r="CKZ5" s="17"/>
      <c r="CLD5" s="15"/>
      <c r="CLJ5" s="16"/>
      <c r="CLQ5" s="17"/>
      <c r="CLR5" s="17"/>
      <c r="CLV5" s="15"/>
      <c r="CMB5" s="16"/>
      <c r="CMI5" s="17"/>
      <c r="CMJ5" s="17"/>
      <c r="CMN5" s="15"/>
      <c r="CMT5" s="16"/>
      <c r="CNA5" s="17"/>
      <c r="CNB5" s="17"/>
      <c r="CNF5" s="15"/>
      <c r="CNL5" s="16"/>
      <c r="CNS5" s="17"/>
      <c r="CNT5" s="17"/>
      <c r="CNX5" s="15"/>
      <c r="COD5" s="16"/>
      <c r="COK5" s="17"/>
      <c r="COL5" s="17"/>
      <c r="COP5" s="15"/>
      <c r="COV5" s="16"/>
      <c r="CPC5" s="17"/>
      <c r="CPD5" s="17"/>
      <c r="CPH5" s="15"/>
      <c r="CPN5" s="16"/>
      <c r="CPU5" s="17"/>
      <c r="CPV5" s="17"/>
      <c r="CPZ5" s="15"/>
      <c r="CQF5" s="16"/>
      <c r="CQM5" s="17"/>
      <c r="CQN5" s="17"/>
      <c r="CQR5" s="15"/>
      <c r="CQX5" s="16"/>
      <c r="CRE5" s="17"/>
      <c r="CRF5" s="17"/>
      <c r="CRJ5" s="15"/>
      <c r="CRP5" s="16"/>
      <c r="CRW5" s="17"/>
      <c r="CRX5" s="17"/>
      <c r="CSB5" s="15"/>
      <c r="CSH5" s="16"/>
      <c r="CSO5" s="17"/>
      <c r="CSP5" s="17"/>
      <c r="CST5" s="15"/>
      <c r="CSZ5" s="16"/>
      <c r="CTG5" s="17"/>
      <c r="CTH5" s="17"/>
      <c r="CTL5" s="15"/>
      <c r="CTR5" s="16"/>
      <c r="CTY5" s="17"/>
      <c r="CTZ5" s="17"/>
      <c r="CUD5" s="15"/>
      <c r="CUJ5" s="16"/>
      <c r="CUQ5" s="17"/>
      <c r="CUR5" s="17"/>
      <c r="CUV5" s="15"/>
      <c r="CVB5" s="16"/>
      <c r="CVI5" s="17"/>
      <c r="CVJ5" s="17"/>
      <c r="CVN5" s="15"/>
      <c r="CVT5" s="16"/>
      <c r="CWA5" s="17"/>
      <c r="CWB5" s="17"/>
      <c r="CWF5" s="15"/>
      <c r="CWL5" s="16"/>
      <c r="CWS5" s="17"/>
      <c r="CWT5" s="17"/>
      <c r="CWX5" s="15"/>
      <c r="CXD5" s="16"/>
      <c r="CXK5" s="17"/>
      <c r="CXL5" s="17"/>
      <c r="CXP5" s="15"/>
      <c r="CXV5" s="16"/>
      <c r="CYC5" s="17"/>
      <c r="CYD5" s="17"/>
      <c r="CYH5" s="15"/>
      <c r="CYN5" s="16"/>
      <c r="CYU5" s="17"/>
      <c r="CYV5" s="17"/>
      <c r="CYZ5" s="15"/>
      <c r="CZF5" s="16"/>
      <c r="CZM5" s="17"/>
      <c r="CZN5" s="17"/>
      <c r="CZR5" s="15"/>
      <c r="CZX5" s="16"/>
      <c r="DAE5" s="17"/>
      <c r="DAF5" s="17"/>
      <c r="DAJ5" s="15"/>
      <c r="DAP5" s="16"/>
      <c r="DAW5" s="17"/>
      <c r="DAX5" s="17"/>
      <c r="DBB5" s="15"/>
      <c r="DBH5" s="16"/>
      <c r="DBO5" s="17"/>
      <c r="DBP5" s="17"/>
      <c r="DBT5" s="15"/>
      <c r="DBZ5" s="16"/>
      <c r="DCG5" s="17"/>
      <c r="DCH5" s="17"/>
      <c r="DCL5" s="15"/>
      <c r="DCR5" s="16"/>
      <c r="DCY5" s="17"/>
      <c r="DCZ5" s="17"/>
      <c r="DDD5" s="15"/>
      <c r="DDJ5" s="16"/>
      <c r="DDQ5" s="17"/>
      <c r="DDR5" s="17"/>
      <c r="DDV5" s="15"/>
      <c r="DEB5" s="16"/>
      <c r="DEI5" s="17"/>
      <c r="DEJ5" s="17"/>
      <c r="DEN5" s="15"/>
      <c r="DET5" s="16"/>
      <c r="DFA5" s="17"/>
      <c r="DFB5" s="17"/>
      <c r="DFF5" s="15"/>
      <c r="DFL5" s="16"/>
      <c r="DFS5" s="17"/>
      <c r="DFT5" s="17"/>
      <c r="DFX5" s="15"/>
      <c r="DGD5" s="16"/>
      <c r="DGK5" s="17"/>
      <c r="DGL5" s="17"/>
      <c r="DGP5" s="15"/>
      <c r="DGV5" s="16"/>
      <c r="DHC5" s="17"/>
      <c r="DHD5" s="17"/>
      <c r="DHH5" s="15"/>
      <c r="DHN5" s="16"/>
      <c r="DHU5" s="17"/>
      <c r="DHV5" s="17"/>
      <c r="DHZ5" s="15"/>
      <c r="DIF5" s="16"/>
      <c r="DIM5" s="17"/>
      <c r="DIN5" s="17"/>
      <c r="DIR5" s="15"/>
      <c r="DIX5" s="16"/>
      <c r="DJE5" s="17"/>
      <c r="DJF5" s="17"/>
      <c r="DJJ5" s="15"/>
      <c r="DJP5" s="16"/>
      <c r="DJW5" s="17"/>
      <c r="DJX5" s="17"/>
      <c r="DKB5" s="15"/>
      <c r="DKH5" s="16"/>
      <c r="DKO5" s="17"/>
      <c r="DKP5" s="17"/>
      <c r="DKT5" s="15"/>
      <c r="DKZ5" s="16"/>
      <c r="DLG5" s="17"/>
      <c r="DLH5" s="17"/>
      <c r="DLL5" s="15"/>
      <c r="DLR5" s="16"/>
      <c r="DLY5" s="17"/>
      <c r="DLZ5" s="17"/>
      <c r="DMD5" s="15"/>
      <c r="DMJ5" s="16"/>
      <c r="DMQ5" s="17"/>
      <c r="DMR5" s="17"/>
      <c r="DMV5" s="15"/>
      <c r="DNB5" s="16"/>
      <c r="DNI5" s="17"/>
      <c r="DNJ5" s="17"/>
      <c r="DNN5" s="15"/>
      <c r="DNT5" s="16"/>
      <c r="DOA5" s="17"/>
      <c r="DOB5" s="17"/>
      <c r="DOF5" s="15"/>
      <c r="DOL5" s="16"/>
      <c r="DOS5" s="17"/>
      <c r="DOT5" s="17"/>
      <c r="DOX5" s="15"/>
      <c r="DPD5" s="16"/>
      <c r="DPK5" s="17"/>
      <c r="DPL5" s="17"/>
      <c r="DPP5" s="15"/>
      <c r="DPV5" s="16"/>
      <c r="DQC5" s="17"/>
      <c r="DQD5" s="17"/>
      <c r="DQH5" s="15"/>
      <c r="DQN5" s="16"/>
      <c r="DQU5" s="17"/>
      <c r="DQV5" s="17"/>
      <c r="DQZ5" s="15"/>
      <c r="DRF5" s="16"/>
      <c r="DRM5" s="17"/>
      <c r="DRN5" s="17"/>
      <c r="DRR5" s="15"/>
      <c r="DRX5" s="16"/>
      <c r="DSE5" s="17"/>
      <c r="DSF5" s="17"/>
      <c r="DSJ5" s="15"/>
      <c r="DSP5" s="16"/>
      <c r="DSW5" s="17"/>
      <c r="DSX5" s="17"/>
      <c r="DTB5" s="15"/>
      <c r="DTH5" s="16"/>
      <c r="DTO5" s="17"/>
      <c r="DTP5" s="17"/>
      <c r="DTT5" s="15"/>
      <c r="DTZ5" s="16"/>
      <c r="DUG5" s="17"/>
      <c r="DUH5" s="17"/>
      <c r="DUL5" s="15"/>
      <c r="DUR5" s="16"/>
      <c r="DUY5" s="17"/>
      <c r="DUZ5" s="17"/>
      <c r="DVD5" s="15"/>
      <c r="DVJ5" s="16"/>
      <c r="DVQ5" s="17"/>
      <c r="DVR5" s="17"/>
      <c r="DVV5" s="15"/>
      <c r="DWB5" s="16"/>
      <c r="DWI5" s="17"/>
      <c r="DWJ5" s="17"/>
      <c r="DWN5" s="15"/>
      <c r="DWT5" s="16"/>
      <c r="DXA5" s="17"/>
      <c r="DXB5" s="17"/>
      <c r="DXF5" s="15"/>
      <c r="DXL5" s="16"/>
      <c r="DXS5" s="17"/>
      <c r="DXT5" s="17"/>
      <c r="DXX5" s="15"/>
      <c r="DYD5" s="16"/>
      <c r="DYK5" s="17"/>
      <c r="DYL5" s="17"/>
      <c r="DYP5" s="15"/>
      <c r="DYV5" s="16"/>
      <c r="DZC5" s="17"/>
      <c r="DZD5" s="17"/>
      <c r="DZH5" s="15"/>
      <c r="DZN5" s="16"/>
      <c r="DZU5" s="17"/>
      <c r="DZV5" s="17"/>
      <c r="DZZ5" s="15"/>
      <c r="EAF5" s="16"/>
      <c r="EAM5" s="17"/>
      <c r="EAN5" s="17"/>
      <c r="EAR5" s="15"/>
      <c r="EAX5" s="16"/>
      <c r="EBE5" s="17"/>
      <c r="EBF5" s="17"/>
      <c r="EBJ5" s="15"/>
      <c r="EBP5" s="16"/>
      <c r="EBW5" s="17"/>
      <c r="EBX5" s="17"/>
      <c r="ECB5" s="15"/>
      <c r="ECH5" s="16"/>
      <c r="ECO5" s="17"/>
      <c r="ECP5" s="17"/>
      <c r="ECT5" s="15"/>
      <c r="ECZ5" s="16"/>
      <c r="EDG5" s="17"/>
      <c r="EDH5" s="17"/>
      <c r="EDL5" s="15"/>
      <c r="EDR5" s="16"/>
      <c r="EDY5" s="17"/>
      <c r="EDZ5" s="17"/>
      <c r="EED5" s="15"/>
      <c r="EEJ5" s="16"/>
      <c r="EEQ5" s="17"/>
      <c r="EER5" s="17"/>
      <c r="EEV5" s="15"/>
      <c r="EFB5" s="16"/>
      <c r="EFI5" s="17"/>
      <c r="EFJ5" s="17"/>
      <c r="EFN5" s="15"/>
      <c r="EFT5" s="16"/>
      <c r="EGA5" s="17"/>
      <c r="EGB5" s="17"/>
      <c r="EGF5" s="15"/>
      <c r="EGL5" s="16"/>
      <c r="EGS5" s="17"/>
      <c r="EGT5" s="17"/>
      <c r="EGX5" s="15"/>
      <c r="EHD5" s="16"/>
      <c r="EHK5" s="17"/>
      <c r="EHL5" s="17"/>
      <c r="EHP5" s="15"/>
      <c r="EHV5" s="16"/>
      <c r="EIC5" s="17"/>
      <c r="EID5" s="17"/>
      <c r="EIH5" s="15"/>
      <c r="EIN5" s="16"/>
      <c r="EIU5" s="17"/>
      <c r="EIV5" s="17"/>
      <c r="EIZ5" s="15"/>
      <c r="EJF5" s="16"/>
      <c r="EJM5" s="17"/>
      <c r="EJN5" s="17"/>
      <c r="EJR5" s="15"/>
      <c r="EJX5" s="16"/>
      <c r="EKE5" s="17"/>
      <c r="EKF5" s="17"/>
      <c r="EKJ5" s="15"/>
      <c r="EKP5" s="16"/>
      <c r="EKW5" s="17"/>
      <c r="EKX5" s="17"/>
      <c r="ELB5" s="15"/>
      <c r="ELH5" s="16"/>
      <c r="ELO5" s="17"/>
      <c r="ELP5" s="17"/>
      <c r="ELT5" s="15"/>
      <c r="ELZ5" s="16"/>
      <c r="EMG5" s="17"/>
      <c r="EMH5" s="17"/>
      <c r="EML5" s="15"/>
      <c r="EMR5" s="16"/>
      <c r="EMY5" s="17"/>
      <c r="EMZ5" s="17"/>
      <c r="END5" s="15"/>
      <c r="ENJ5" s="16"/>
      <c r="ENQ5" s="17"/>
      <c r="ENR5" s="17"/>
      <c r="ENV5" s="15"/>
      <c r="EOB5" s="16"/>
      <c r="EOI5" s="17"/>
      <c r="EOJ5" s="17"/>
      <c r="EON5" s="15"/>
      <c r="EOT5" s="16"/>
      <c r="EPA5" s="17"/>
      <c r="EPB5" s="17"/>
      <c r="EPF5" s="15"/>
      <c r="EPL5" s="16"/>
      <c r="EPS5" s="17"/>
      <c r="EPT5" s="17"/>
      <c r="EPX5" s="15"/>
      <c r="EQD5" s="16"/>
      <c r="EQK5" s="17"/>
      <c r="EQL5" s="17"/>
      <c r="EQP5" s="15"/>
      <c r="EQV5" s="16"/>
      <c r="ERC5" s="17"/>
      <c r="ERD5" s="17"/>
      <c r="ERH5" s="15"/>
      <c r="ERN5" s="16"/>
      <c r="ERU5" s="17"/>
      <c r="ERV5" s="17"/>
      <c r="ERZ5" s="15"/>
      <c r="ESF5" s="16"/>
      <c r="ESM5" s="17"/>
      <c r="ESN5" s="17"/>
      <c r="ESR5" s="15"/>
      <c r="ESX5" s="16"/>
      <c r="ETE5" s="17"/>
      <c r="ETF5" s="17"/>
      <c r="ETJ5" s="15"/>
      <c r="ETP5" s="16"/>
      <c r="ETW5" s="17"/>
      <c r="ETX5" s="17"/>
      <c r="EUB5" s="15"/>
      <c r="EUH5" s="16"/>
      <c r="EUO5" s="17"/>
      <c r="EUP5" s="17"/>
      <c r="EUT5" s="15"/>
      <c r="EUZ5" s="16"/>
      <c r="EVG5" s="17"/>
      <c r="EVH5" s="17"/>
      <c r="EVL5" s="15"/>
      <c r="EVR5" s="16"/>
      <c r="EVY5" s="17"/>
      <c r="EVZ5" s="17"/>
      <c r="EWD5" s="15"/>
      <c r="EWJ5" s="16"/>
      <c r="EWQ5" s="17"/>
      <c r="EWR5" s="17"/>
      <c r="EWV5" s="15"/>
      <c r="EXB5" s="16"/>
      <c r="EXI5" s="17"/>
      <c r="EXJ5" s="17"/>
      <c r="EXN5" s="15"/>
      <c r="EXT5" s="16"/>
      <c r="EYA5" s="17"/>
      <c r="EYB5" s="17"/>
      <c r="EYF5" s="15"/>
      <c r="EYL5" s="16"/>
      <c r="EYS5" s="17"/>
      <c r="EYT5" s="17"/>
      <c r="EYX5" s="15"/>
      <c r="EZD5" s="16"/>
      <c r="EZK5" s="17"/>
      <c r="EZL5" s="17"/>
      <c r="EZP5" s="15"/>
      <c r="EZV5" s="16"/>
      <c r="FAC5" s="17"/>
      <c r="FAD5" s="17"/>
      <c r="FAH5" s="15"/>
      <c r="FAN5" s="16"/>
      <c r="FAU5" s="17"/>
      <c r="FAV5" s="17"/>
      <c r="FAZ5" s="15"/>
      <c r="FBF5" s="16"/>
      <c r="FBM5" s="17"/>
      <c r="FBN5" s="17"/>
      <c r="FBR5" s="15"/>
      <c r="FBX5" s="16"/>
      <c r="FCE5" s="17"/>
      <c r="FCF5" s="17"/>
      <c r="FCJ5" s="15"/>
      <c r="FCP5" s="16"/>
      <c r="FCW5" s="17"/>
      <c r="FCX5" s="17"/>
      <c r="FDB5" s="15"/>
      <c r="FDH5" s="16"/>
      <c r="FDO5" s="17"/>
      <c r="FDP5" s="17"/>
      <c r="FDT5" s="15"/>
      <c r="FDZ5" s="16"/>
      <c r="FEG5" s="17"/>
      <c r="FEH5" s="17"/>
      <c r="FEL5" s="15"/>
      <c r="FER5" s="16"/>
      <c r="FEY5" s="17"/>
      <c r="FEZ5" s="17"/>
      <c r="FFD5" s="15"/>
      <c r="FFJ5" s="16"/>
      <c r="FFQ5" s="17"/>
      <c r="FFR5" s="17"/>
      <c r="FFV5" s="15"/>
      <c r="FGB5" s="16"/>
      <c r="FGI5" s="17"/>
      <c r="FGJ5" s="17"/>
      <c r="FGN5" s="15"/>
      <c r="FGT5" s="16"/>
      <c r="FHA5" s="17"/>
      <c r="FHB5" s="17"/>
      <c r="FHF5" s="15"/>
      <c r="FHL5" s="16"/>
      <c r="FHS5" s="17"/>
      <c r="FHT5" s="17"/>
      <c r="FHX5" s="15"/>
      <c r="FID5" s="16"/>
      <c r="FIK5" s="17"/>
      <c r="FIL5" s="17"/>
      <c r="FIP5" s="15"/>
      <c r="FIV5" s="16"/>
      <c r="FJC5" s="17"/>
      <c r="FJD5" s="17"/>
      <c r="FJH5" s="15"/>
      <c r="FJN5" s="16"/>
      <c r="FJU5" s="17"/>
      <c r="FJV5" s="17"/>
      <c r="FJZ5" s="15"/>
      <c r="FKF5" s="16"/>
      <c r="FKM5" s="17"/>
      <c r="FKN5" s="17"/>
      <c r="FKR5" s="15"/>
      <c r="FKX5" s="16"/>
      <c r="FLE5" s="17"/>
      <c r="FLF5" s="17"/>
      <c r="FLJ5" s="15"/>
      <c r="FLP5" s="16"/>
      <c r="FLW5" s="17"/>
      <c r="FLX5" s="17"/>
      <c r="FMB5" s="15"/>
      <c r="FMH5" s="16"/>
      <c r="FMO5" s="17"/>
      <c r="FMP5" s="17"/>
      <c r="FMT5" s="15"/>
      <c r="FMZ5" s="16"/>
      <c r="FNG5" s="17"/>
      <c r="FNH5" s="17"/>
      <c r="FNL5" s="15"/>
      <c r="FNR5" s="16"/>
      <c r="FNY5" s="17"/>
      <c r="FNZ5" s="17"/>
      <c r="FOD5" s="15"/>
      <c r="FOJ5" s="16"/>
      <c r="FOQ5" s="17"/>
      <c r="FOR5" s="17"/>
      <c r="FOV5" s="15"/>
      <c r="FPB5" s="16"/>
      <c r="FPI5" s="17"/>
      <c r="FPJ5" s="17"/>
      <c r="FPN5" s="15"/>
      <c r="FPT5" s="16"/>
      <c r="FQA5" s="17"/>
      <c r="FQB5" s="17"/>
      <c r="FQF5" s="15"/>
      <c r="FQL5" s="16"/>
      <c r="FQS5" s="17"/>
      <c r="FQT5" s="17"/>
      <c r="FQX5" s="15"/>
      <c r="FRD5" s="16"/>
      <c r="FRK5" s="17"/>
      <c r="FRL5" s="17"/>
      <c r="FRP5" s="15"/>
      <c r="FRV5" s="16"/>
      <c r="FSC5" s="17"/>
      <c r="FSD5" s="17"/>
      <c r="FSH5" s="15"/>
      <c r="FSN5" s="16"/>
      <c r="FSU5" s="17"/>
      <c r="FSV5" s="17"/>
      <c r="FSZ5" s="15"/>
      <c r="FTF5" s="16"/>
      <c r="FTM5" s="17"/>
      <c r="FTN5" s="17"/>
      <c r="FTR5" s="15"/>
      <c r="FTX5" s="16"/>
      <c r="FUE5" s="17"/>
      <c r="FUF5" s="17"/>
      <c r="FUJ5" s="15"/>
      <c r="FUP5" s="16"/>
      <c r="FUW5" s="17"/>
      <c r="FUX5" s="17"/>
      <c r="FVB5" s="15"/>
      <c r="FVH5" s="16"/>
      <c r="FVO5" s="17"/>
      <c r="FVP5" s="17"/>
      <c r="FVT5" s="15"/>
      <c r="FVZ5" s="16"/>
      <c r="FWG5" s="17"/>
      <c r="FWH5" s="17"/>
      <c r="FWL5" s="15"/>
      <c r="FWR5" s="16"/>
      <c r="FWY5" s="17"/>
      <c r="FWZ5" s="17"/>
      <c r="FXD5" s="15"/>
      <c r="FXJ5" s="16"/>
      <c r="FXQ5" s="17"/>
      <c r="FXR5" s="17"/>
      <c r="FXV5" s="15"/>
      <c r="FYB5" s="16"/>
      <c r="FYI5" s="17"/>
      <c r="FYJ5" s="17"/>
      <c r="FYN5" s="15"/>
      <c r="FYT5" s="16"/>
      <c r="FZA5" s="17"/>
      <c r="FZB5" s="17"/>
      <c r="FZF5" s="15"/>
      <c r="FZL5" s="16"/>
      <c r="FZS5" s="17"/>
      <c r="FZT5" s="17"/>
      <c r="FZX5" s="15"/>
      <c r="GAD5" s="16"/>
      <c r="GAK5" s="17"/>
      <c r="GAL5" s="17"/>
      <c r="GAP5" s="15"/>
      <c r="GAV5" s="16"/>
      <c r="GBC5" s="17"/>
      <c r="GBD5" s="17"/>
      <c r="GBH5" s="15"/>
      <c r="GBN5" s="16"/>
      <c r="GBU5" s="17"/>
      <c r="GBV5" s="17"/>
      <c r="GBZ5" s="15"/>
      <c r="GCF5" s="16"/>
      <c r="GCM5" s="17"/>
      <c r="GCN5" s="17"/>
      <c r="GCR5" s="15"/>
      <c r="GCX5" s="16"/>
      <c r="GDE5" s="17"/>
      <c r="GDF5" s="17"/>
      <c r="GDJ5" s="15"/>
      <c r="GDP5" s="16"/>
      <c r="GDW5" s="17"/>
      <c r="GDX5" s="17"/>
      <c r="GEB5" s="15"/>
      <c r="GEH5" s="16"/>
      <c r="GEO5" s="17"/>
      <c r="GEP5" s="17"/>
      <c r="GET5" s="15"/>
      <c r="GEZ5" s="16"/>
      <c r="GFG5" s="17"/>
      <c r="GFH5" s="17"/>
      <c r="GFL5" s="15"/>
      <c r="GFR5" s="16"/>
      <c r="GFY5" s="17"/>
      <c r="GFZ5" s="17"/>
      <c r="GGD5" s="15"/>
      <c r="GGJ5" s="16"/>
      <c r="GGQ5" s="17"/>
      <c r="GGR5" s="17"/>
      <c r="GGV5" s="15"/>
      <c r="GHB5" s="16"/>
      <c r="GHI5" s="17"/>
      <c r="GHJ5" s="17"/>
      <c r="GHN5" s="15"/>
      <c r="GHT5" s="16"/>
      <c r="GIA5" s="17"/>
      <c r="GIB5" s="17"/>
      <c r="GIF5" s="15"/>
      <c r="GIL5" s="16"/>
      <c r="GIS5" s="17"/>
      <c r="GIT5" s="17"/>
      <c r="GIX5" s="15"/>
      <c r="GJD5" s="16"/>
      <c r="GJK5" s="17"/>
      <c r="GJL5" s="17"/>
      <c r="GJP5" s="15"/>
      <c r="GJV5" s="16"/>
      <c r="GKC5" s="17"/>
      <c r="GKD5" s="17"/>
      <c r="GKH5" s="15"/>
      <c r="GKN5" s="16"/>
      <c r="GKU5" s="17"/>
      <c r="GKV5" s="17"/>
      <c r="GKZ5" s="15"/>
      <c r="GLF5" s="16"/>
      <c r="GLM5" s="17"/>
      <c r="GLN5" s="17"/>
      <c r="GLR5" s="15"/>
      <c r="GLX5" s="16"/>
      <c r="GME5" s="17"/>
      <c r="GMF5" s="17"/>
      <c r="GMJ5" s="15"/>
      <c r="GMP5" s="16"/>
      <c r="GMW5" s="17"/>
      <c r="GMX5" s="17"/>
      <c r="GNB5" s="15"/>
      <c r="GNH5" s="16"/>
      <c r="GNO5" s="17"/>
      <c r="GNP5" s="17"/>
      <c r="GNT5" s="15"/>
      <c r="GNZ5" s="16"/>
      <c r="GOG5" s="17"/>
      <c r="GOH5" s="17"/>
      <c r="GOL5" s="15"/>
      <c r="GOR5" s="16"/>
      <c r="GOY5" s="17"/>
      <c r="GOZ5" s="17"/>
      <c r="GPD5" s="15"/>
      <c r="GPJ5" s="16"/>
      <c r="GPQ5" s="17"/>
      <c r="GPR5" s="17"/>
      <c r="GPV5" s="15"/>
      <c r="GQB5" s="16"/>
      <c r="GQI5" s="17"/>
      <c r="GQJ5" s="17"/>
      <c r="GQN5" s="15"/>
      <c r="GQT5" s="16"/>
      <c r="GRA5" s="17"/>
      <c r="GRB5" s="17"/>
      <c r="GRF5" s="15"/>
      <c r="GRL5" s="16"/>
      <c r="GRS5" s="17"/>
      <c r="GRT5" s="17"/>
      <c r="GRX5" s="15"/>
      <c r="GSD5" s="16"/>
      <c r="GSK5" s="17"/>
      <c r="GSL5" s="17"/>
      <c r="GSP5" s="15"/>
      <c r="GSV5" s="16"/>
      <c r="GTC5" s="17"/>
      <c r="GTD5" s="17"/>
      <c r="GTH5" s="15"/>
      <c r="GTN5" s="16"/>
      <c r="GTU5" s="17"/>
      <c r="GTV5" s="17"/>
      <c r="GTZ5" s="15"/>
      <c r="GUF5" s="16"/>
      <c r="GUM5" s="17"/>
      <c r="GUN5" s="17"/>
      <c r="GUR5" s="15"/>
      <c r="GUX5" s="16"/>
      <c r="GVE5" s="17"/>
      <c r="GVF5" s="17"/>
      <c r="GVJ5" s="15"/>
      <c r="GVP5" s="16"/>
      <c r="GVW5" s="17"/>
      <c r="GVX5" s="17"/>
      <c r="GWB5" s="15"/>
      <c r="GWH5" s="16"/>
      <c r="GWO5" s="17"/>
      <c r="GWP5" s="17"/>
      <c r="GWT5" s="15"/>
      <c r="GWZ5" s="16"/>
      <c r="GXG5" s="17"/>
      <c r="GXH5" s="17"/>
      <c r="GXL5" s="15"/>
      <c r="GXR5" s="16"/>
      <c r="GXY5" s="17"/>
      <c r="GXZ5" s="17"/>
      <c r="GYD5" s="15"/>
      <c r="GYJ5" s="16"/>
      <c r="GYQ5" s="17"/>
      <c r="GYR5" s="17"/>
      <c r="GYV5" s="15"/>
      <c r="GZB5" s="16"/>
      <c r="GZI5" s="17"/>
      <c r="GZJ5" s="17"/>
      <c r="GZN5" s="15"/>
      <c r="GZT5" s="16"/>
      <c r="HAA5" s="17"/>
      <c r="HAB5" s="17"/>
      <c r="HAF5" s="15"/>
      <c r="HAL5" s="16"/>
      <c r="HAS5" s="17"/>
      <c r="HAT5" s="17"/>
      <c r="HAX5" s="15"/>
      <c r="HBD5" s="16"/>
      <c r="HBK5" s="17"/>
      <c r="HBL5" s="17"/>
      <c r="HBP5" s="15"/>
      <c r="HBV5" s="16"/>
      <c r="HCC5" s="17"/>
      <c r="HCD5" s="17"/>
      <c r="HCH5" s="15"/>
      <c r="HCN5" s="16"/>
      <c r="HCU5" s="17"/>
      <c r="HCV5" s="17"/>
      <c r="HCZ5" s="15"/>
      <c r="HDF5" s="16"/>
      <c r="HDM5" s="17"/>
      <c r="HDN5" s="17"/>
      <c r="HDR5" s="15"/>
      <c r="HDX5" s="16"/>
      <c r="HEE5" s="17"/>
      <c r="HEF5" s="17"/>
      <c r="HEJ5" s="15"/>
      <c r="HEP5" s="16"/>
      <c r="HEW5" s="17"/>
      <c r="HEX5" s="17"/>
      <c r="HFB5" s="15"/>
      <c r="HFH5" s="16"/>
      <c r="HFO5" s="17"/>
      <c r="HFP5" s="17"/>
      <c r="HFT5" s="15"/>
      <c r="HFZ5" s="16"/>
      <c r="HGG5" s="17"/>
      <c r="HGH5" s="17"/>
      <c r="HGL5" s="15"/>
      <c r="HGR5" s="16"/>
      <c r="HGY5" s="17"/>
      <c r="HGZ5" s="17"/>
      <c r="HHD5" s="15"/>
      <c r="HHJ5" s="16"/>
      <c r="HHQ5" s="17"/>
      <c r="HHR5" s="17"/>
      <c r="HHV5" s="15"/>
      <c r="HIB5" s="16"/>
      <c r="HII5" s="17"/>
      <c r="HIJ5" s="17"/>
      <c r="HIN5" s="15"/>
      <c r="HIT5" s="16"/>
      <c r="HJA5" s="17"/>
      <c r="HJB5" s="17"/>
      <c r="HJF5" s="15"/>
      <c r="HJL5" s="16"/>
      <c r="HJS5" s="17"/>
      <c r="HJT5" s="17"/>
      <c r="HJX5" s="15"/>
      <c r="HKD5" s="16"/>
      <c r="HKK5" s="17"/>
      <c r="HKL5" s="17"/>
      <c r="HKP5" s="15"/>
      <c r="HKV5" s="16"/>
      <c r="HLC5" s="17"/>
      <c r="HLD5" s="17"/>
      <c r="HLH5" s="15"/>
      <c r="HLN5" s="16"/>
      <c r="HLU5" s="17"/>
      <c r="HLV5" s="17"/>
      <c r="HLZ5" s="15"/>
      <c r="HMF5" s="16"/>
      <c r="HMM5" s="17"/>
      <c r="HMN5" s="17"/>
      <c r="HMR5" s="15"/>
      <c r="HMX5" s="16"/>
      <c r="HNE5" s="17"/>
      <c r="HNF5" s="17"/>
      <c r="HNJ5" s="15"/>
      <c r="HNP5" s="16"/>
      <c r="HNW5" s="17"/>
      <c r="HNX5" s="17"/>
      <c r="HOB5" s="15"/>
      <c r="HOH5" s="16"/>
      <c r="HOO5" s="17"/>
      <c r="HOP5" s="17"/>
      <c r="HOT5" s="15"/>
      <c r="HOZ5" s="16"/>
      <c r="HPG5" s="17"/>
      <c r="HPH5" s="17"/>
      <c r="HPL5" s="15"/>
      <c r="HPR5" s="16"/>
      <c r="HPY5" s="17"/>
      <c r="HPZ5" s="17"/>
      <c r="HQD5" s="15"/>
      <c r="HQJ5" s="16"/>
      <c r="HQQ5" s="17"/>
      <c r="HQR5" s="17"/>
      <c r="HQV5" s="15"/>
      <c r="HRB5" s="16"/>
      <c r="HRI5" s="17"/>
      <c r="HRJ5" s="17"/>
      <c r="HRN5" s="15"/>
      <c r="HRT5" s="16"/>
      <c r="HSA5" s="17"/>
      <c r="HSB5" s="17"/>
      <c r="HSF5" s="15"/>
      <c r="HSL5" s="16"/>
      <c r="HSS5" s="17"/>
      <c r="HST5" s="17"/>
      <c r="HSX5" s="15"/>
      <c r="HTD5" s="16"/>
      <c r="HTK5" s="17"/>
      <c r="HTL5" s="17"/>
      <c r="HTP5" s="15"/>
      <c r="HTV5" s="16"/>
      <c r="HUC5" s="17"/>
      <c r="HUD5" s="17"/>
      <c r="HUH5" s="15"/>
      <c r="HUN5" s="16"/>
      <c r="HUU5" s="17"/>
      <c r="HUV5" s="17"/>
      <c r="HUZ5" s="15"/>
      <c r="HVF5" s="16"/>
      <c r="HVM5" s="17"/>
      <c r="HVN5" s="17"/>
      <c r="HVR5" s="15"/>
      <c r="HVX5" s="16"/>
      <c r="HWE5" s="17"/>
      <c r="HWF5" s="17"/>
      <c r="HWJ5" s="15"/>
      <c r="HWP5" s="16"/>
      <c r="HWW5" s="17"/>
      <c r="HWX5" s="17"/>
      <c r="HXB5" s="15"/>
      <c r="HXH5" s="16"/>
      <c r="HXO5" s="17"/>
      <c r="HXP5" s="17"/>
      <c r="HXT5" s="15"/>
      <c r="HXZ5" s="16"/>
      <c r="HYG5" s="17"/>
      <c r="HYH5" s="17"/>
      <c r="HYL5" s="15"/>
      <c r="HYR5" s="16"/>
      <c r="HYY5" s="17"/>
      <c r="HYZ5" s="17"/>
      <c r="HZD5" s="15"/>
      <c r="HZJ5" s="16"/>
      <c r="HZQ5" s="17"/>
      <c r="HZR5" s="17"/>
      <c r="HZV5" s="15"/>
      <c r="IAB5" s="16"/>
      <c r="IAI5" s="17"/>
      <c r="IAJ5" s="17"/>
      <c r="IAN5" s="15"/>
      <c r="IAT5" s="16"/>
      <c r="IBA5" s="17"/>
      <c r="IBB5" s="17"/>
      <c r="IBF5" s="15"/>
      <c r="IBL5" s="16"/>
      <c r="IBS5" s="17"/>
      <c r="IBT5" s="17"/>
      <c r="IBX5" s="15"/>
      <c r="ICD5" s="16"/>
      <c r="ICK5" s="17"/>
      <c r="ICL5" s="17"/>
      <c r="ICP5" s="15"/>
      <c r="ICV5" s="16"/>
      <c r="IDC5" s="17"/>
      <c r="IDD5" s="17"/>
      <c r="IDH5" s="15"/>
      <c r="IDN5" s="16"/>
      <c r="IDU5" s="17"/>
      <c r="IDV5" s="17"/>
      <c r="IDZ5" s="15"/>
      <c r="IEF5" s="16"/>
      <c r="IEM5" s="17"/>
      <c r="IEN5" s="17"/>
      <c r="IER5" s="15"/>
      <c r="IEX5" s="16"/>
      <c r="IFE5" s="17"/>
      <c r="IFF5" s="17"/>
      <c r="IFJ5" s="15"/>
      <c r="IFP5" s="16"/>
      <c r="IFW5" s="17"/>
      <c r="IFX5" s="17"/>
      <c r="IGB5" s="15"/>
      <c r="IGH5" s="16"/>
      <c r="IGO5" s="17"/>
      <c r="IGP5" s="17"/>
      <c r="IGT5" s="15"/>
      <c r="IGZ5" s="16"/>
      <c r="IHG5" s="17"/>
      <c r="IHH5" s="17"/>
      <c r="IHL5" s="15"/>
      <c r="IHR5" s="16"/>
      <c r="IHY5" s="17"/>
      <c r="IHZ5" s="17"/>
      <c r="IID5" s="15"/>
      <c r="IIJ5" s="16"/>
      <c r="IIQ5" s="17"/>
      <c r="IIR5" s="17"/>
      <c r="IIV5" s="15"/>
      <c r="IJB5" s="16"/>
      <c r="IJI5" s="17"/>
      <c r="IJJ5" s="17"/>
      <c r="IJN5" s="15"/>
      <c r="IJT5" s="16"/>
      <c r="IKA5" s="17"/>
      <c r="IKB5" s="17"/>
      <c r="IKF5" s="15"/>
      <c r="IKL5" s="16"/>
      <c r="IKS5" s="17"/>
      <c r="IKT5" s="17"/>
      <c r="IKX5" s="15"/>
      <c r="ILD5" s="16"/>
      <c r="ILK5" s="17"/>
      <c r="ILL5" s="17"/>
      <c r="ILP5" s="15"/>
      <c r="ILV5" s="16"/>
      <c r="IMC5" s="17"/>
      <c r="IMD5" s="17"/>
      <c r="IMH5" s="15"/>
      <c r="IMN5" s="16"/>
      <c r="IMU5" s="17"/>
      <c r="IMV5" s="17"/>
      <c r="IMZ5" s="15"/>
      <c r="INF5" s="16"/>
      <c r="INM5" s="17"/>
      <c r="INN5" s="17"/>
      <c r="INR5" s="15"/>
      <c r="INX5" s="16"/>
      <c r="IOE5" s="17"/>
      <c r="IOF5" s="17"/>
      <c r="IOJ5" s="15"/>
      <c r="IOP5" s="16"/>
      <c r="IOW5" s="17"/>
      <c r="IOX5" s="17"/>
      <c r="IPB5" s="15"/>
      <c r="IPH5" s="16"/>
      <c r="IPO5" s="17"/>
      <c r="IPP5" s="17"/>
      <c r="IPT5" s="15"/>
      <c r="IPZ5" s="16"/>
      <c r="IQG5" s="17"/>
      <c r="IQH5" s="17"/>
      <c r="IQL5" s="15"/>
      <c r="IQR5" s="16"/>
      <c r="IQY5" s="17"/>
      <c r="IQZ5" s="17"/>
      <c r="IRD5" s="15"/>
      <c r="IRJ5" s="16"/>
      <c r="IRQ5" s="17"/>
      <c r="IRR5" s="17"/>
      <c r="IRV5" s="15"/>
      <c r="ISB5" s="16"/>
      <c r="ISI5" s="17"/>
      <c r="ISJ5" s="17"/>
      <c r="ISN5" s="15"/>
      <c r="IST5" s="16"/>
      <c r="ITA5" s="17"/>
      <c r="ITB5" s="17"/>
      <c r="ITF5" s="15"/>
      <c r="ITL5" s="16"/>
      <c r="ITS5" s="17"/>
      <c r="ITT5" s="17"/>
      <c r="ITX5" s="15"/>
      <c r="IUD5" s="16"/>
      <c r="IUK5" s="17"/>
      <c r="IUL5" s="17"/>
      <c r="IUP5" s="15"/>
      <c r="IUV5" s="16"/>
      <c r="IVC5" s="17"/>
      <c r="IVD5" s="17"/>
      <c r="IVH5" s="15"/>
      <c r="IVN5" s="16"/>
      <c r="IVU5" s="17"/>
      <c r="IVV5" s="17"/>
      <c r="IVZ5" s="15"/>
      <c r="IWF5" s="16"/>
      <c r="IWM5" s="17"/>
      <c r="IWN5" s="17"/>
      <c r="IWR5" s="15"/>
      <c r="IWX5" s="16"/>
      <c r="IXE5" s="17"/>
      <c r="IXF5" s="17"/>
      <c r="IXJ5" s="15"/>
      <c r="IXP5" s="16"/>
      <c r="IXW5" s="17"/>
      <c r="IXX5" s="17"/>
      <c r="IYB5" s="15"/>
      <c r="IYH5" s="16"/>
      <c r="IYO5" s="17"/>
      <c r="IYP5" s="17"/>
      <c r="IYT5" s="15"/>
      <c r="IYZ5" s="16"/>
      <c r="IZG5" s="17"/>
      <c r="IZH5" s="17"/>
      <c r="IZL5" s="15"/>
      <c r="IZR5" s="16"/>
      <c r="IZY5" s="17"/>
      <c r="IZZ5" s="17"/>
      <c r="JAD5" s="15"/>
      <c r="JAJ5" s="16"/>
      <c r="JAQ5" s="17"/>
      <c r="JAR5" s="17"/>
      <c r="JAV5" s="15"/>
      <c r="JBB5" s="16"/>
      <c r="JBI5" s="17"/>
      <c r="JBJ5" s="17"/>
      <c r="JBN5" s="15"/>
      <c r="JBT5" s="16"/>
      <c r="JCA5" s="17"/>
      <c r="JCB5" s="17"/>
      <c r="JCF5" s="15"/>
      <c r="JCL5" s="16"/>
      <c r="JCS5" s="17"/>
      <c r="JCT5" s="17"/>
      <c r="JCX5" s="15"/>
      <c r="JDD5" s="16"/>
      <c r="JDK5" s="17"/>
      <c r="JDL5" s="17"/>
      <c r="JDP5" s="15"/>
      <c r="JDV5" s="16"/>
      <c r="JEC5" s="17"/>
      <c r="JED5" s="17"/>
      <c r="JEH5" s="15"/>
      <c r="JEN5" s="16"/>
      <c r="JEU5" s="17"/>
      <c r="JEV5" s="17"/>
      <c r="JEZ5" s="15"/>
      <c r="JFF5" s="16"/>
      <c r="JFM5" s="17"/>
      <c r="JFN5" s="17"/>
      <c r="JFR5" s="15"/>
      <c r="JFX5" s="16"/>
      <c r="JGE5" s="17"/>
      <c r="JGF5" s="17"/>
      <c r="JGJ5" s="15"/>
      <c r="JGP5" s="16"/>
      <c r="JGW5" s="17"/>
      <c r="JGX5" s="17"/>
      <c r="JHB5" s="15"/>
      <c r="JHH5" s="16"/>
      <c r="JHO5" s="17"/>
      <c r="JHP5" s="17"/>
      <c r="JHT5" s="15"/>
      <c r="JHZ5" s="16"/>
      <c r="JIG5" s="17"/>
      <c r="JIH5" s="17"/>
      <c r="JIL5" s="15"/>
      <c r="JIR5" s="16"/>
      <c r="JIY5" s="17"/>
      <c r="JIZ5" s="17"/>
      <c r="JJD5" s="15"/>
      <c r="JJJ5" s="16"/>
      <c r="JJQ5" s="17"/>
      <c r="JJR5" s="17"/>
      <c r="JJV5" s="15"/>
      <c r="JKB5" s="16"/>
      <c r="JKI5" s="17"/>
      <c r="JKJ5" s="17"/>
      <c r="JKN5" s="15"/>
      <c r="JKT5" s="16"/>
      <c r="JLA5" s="17"/>
      <c r="JLB5" s="17"/>
      <c r="JLF5" s="15"/>
      <c r="JLL5" s="16"/>
      <c r="JLS5" s="17"/>
      <c r="JLT5" s="17"/>
      <c r="JLX5" s="15"/>
      <c r="JMD5" s="16"/>
      <c r="JMK5" s="17"/>
      <c r="JML5" s="17"/>
      <c r="JMP5" s="15"/>
      <c r="JMV5" s="16"/>
      <c r="JNC5" s="17"/>
      <c r="JND5" s="17"/>
      <c r="JNH5" s="15"/>
      <c r="JNN5" s="16"/>
      <c r="JNU5" s="17"/>
      <c r="JNV5" s="17"/>
      <c r="JNZ5" s="15"/>
      <c r="JOF5" s="16"/>
      <c r="JOM5" s="17"/>
      <c r="JON5" s="17"/>
      <c r="JOR5" s="15"/>
      <c r="JOX5" s="16"/>
      <c r="JPE5" s="17"/>
      <c r="JPF5" s="17"/>
      <c r="JPJ5" s="15"/>
      <c r="JPP5" s="16"/>
      <c r="JPW5" s="17"/>
      <c r="JPX5" s="17"/>
      <c r="JQB5" s="15"/>
      <c r="JQH5" s="16"/>
      <c r="JQO5" s="17"/>
      <c r="JQP5" s="17"/>
      <c r="JQT5" s="15"/>
      <c r="JQZ5" s="16"/>
      <c r="JRG5" s="17"/>
      <c r="JRH5" s="17"/>
      <c r="JRL5" s="15"/>
      <c r="JRR5" s="16"/>
      <c r="JRY5" s="17"/>
      <c r="JRZ5" s="17"/>
      <c r="JSD5" s="15"/>
      <c r="JSJ5" s="16"/>
      <c r="JSQ5" s="17"/>
      <c r="JSR5" s="17"/>
      <c r="JSV5" s="15"/>
      <c r="JTB5" s="16"/>
      <c r="JTI5" s="17"/>
      <c r="JTJ5" s="17"/>
      <c r="JTN5" s="15"/>
      <c r="JTT5" s="16"/>
      <c r="JUA5" s="17"/>
      <c r="JUB5" s="17"/>
      <c r="JUF5" s="15"/>
      <c r="JUL5" s="16"/>
      <c r="JUS5" s="17"/>
      <c r="JUT5" s="17"/>
      <c r="JUX5" s="15"/>
      <c r="JVD5" s="16"/>
      <c r="JVK5" s="17"/>
      <c r="JVL5" s="17"/>
      <c r="JVP5" s="15"/>
      <c r="JVV5" s="16"/>
      <c r="JWC5" s="17"/>
      <c r="JWD5" s="17"/>
      <c r="JWH5" s="15"/>
      <c r="JWN5" s="16"/>
      <c r="JWU5" s="17"/>
      <c r="JWV5" s="17"/>
      <c r="JWZ5" s="15"/>
      <c r="JXF5" s="16"/>
      <c r="JXM5" s="17"/>
      <c r="JXN5" s="17"/>
      <c r="JXR5" s="15"/>
      <c r="JXX5" s="16"/>
      <c r="JYE5" s="17"/>
      <c r="JYF5" s="17"/>
      <c r="JYJ5" s="15"/>
      <c r="JYP5" s="16"/>
      <c r="JYW5" s="17"/>
      <c r="JYX5" s="17"/>
      <c r="JZB5" s="15"/>
      <c r="JZH5" s="16"/>
      <c r="JZO5" s="17"/>
      <c r="JZP5" s="17"/>
      <c r="JZT5" s="15"/>
      <c r="JZZ5" s="16"/>
      <c r="KAG5" s="17"/>
      <c r="KAH5" s="17"/>
      <c r="KAL5" s="15"/>
      <c r="KAR5" s="16"/>
      <c r="KAY5" s="17"/>
      <c r="KAZ5" s="17"/>
      <c r="KBD5" s="15"/>
      <c r="KBJ5" s="16"/>
      <c r="KBQ5" s="17"/>
      <c r="KBR5" s="17"/>
      <c r="KBV5" s="15"/>
      <c r="KCB5" s="16"/>
      <c r="KCI5" s="17"/>
      <c r="KCJ5" s="17"/>
      <c r="KCN5" s="15"/>
      <c r="KCT5" s="16"/>
      <c r="KDA5" s="17"/>
      <c r="KDB5" s="17"/>
      <c r="KDF5" s="15"/>
      <c r="KDL5" s="16"/>
      <c r="KDS5" s="17"/>
      <c r="KDT5" s="17"/>
      <c r="KDX5" s="15"/>
      <c r="KED5" s="16"/>
      <c r="KEK5" s="17"/>
      <c r="KEL5" s="17"/>
      <c r="KEP5" s="15"/>
      <c r="KEV5" s="16"/>
      <c r="KFC5" s="17"/>
      <c r="KFD5" s="17"/>
      <c r="KFH5" s="15"/>
      <c r="KFN5" s="16"/>
      <c r="KFU5" s="17"/>
      <c r="KFV5" s="17"/>
      <c r="KFZ5" s="15"/>
      <c r="KGF5" s="16"/>
      <c r="KGM5" s="17"/>
      <c r="KGN5" s="17"/>
      <c r="KGR5" s="15"/>
      <c r="KGX5" s="16"/>
      <c r="KHE5" s="17"/>
      <c r="KHF5" s="17"/>
      <c r="KHJ5" s="15"/>
      <c r="KHP5" s="16"/>
      <c r="KHW5" s="17"/>
      <c r="KHX5" s="17"/>
      <c r="KIB5" s="15"/>
      <c r="KIH5" s="16"/>
      <c r="KIO5" s="17"/>
      <c r="KIP5" s="17"/>
      <c r="KIT5" s="15"/>
      <c r="KIZ5" s="16"/>
      <c r="KJG5" s="17"/>
      <c r="KJH5" s="17"/>
      <c r="KJL5" s="15"/>
      <c r="KJR5" s="16"/>
      <c r="KJY5" s="17"/>
      <c r="KJZ5" s="17"/>
      <c r="KKD5" s="15"/>
      <c r="KKJ5" s="16"/>
      <c r="KKQ5" s="17"/>
      <c r="KKR5" s="17"/>
      <c r="KKV5" s="15"/>
      <c r="KLB5" s="16"/>
      <c r="KLI5" s="17"/>
      <c r="KLJ5" s="17"/>
      <c r="KLN5" s="15"/>
      <c r="KLT5" s="16"/>
      <c r="KMA5" s="17"/>
      <c r="KMB5" s="17"/>
      <c r="KMF5" s="15"/>
      <c r="KML5" s="16"/>
      <c r="KMS5" s="17"/>
      <c r="KMT5" s="17"/>
      <c r="KMX5" s="15"/>
      <c r="KND5" s="16"/>
      <c r="KNK5" s="17"/>
      <c r="KNL5" s="17"/>
      <c r="KNP5" s="15"/>
      <c r="KNV5" s="16"/>
      <c r="KOC5" s="17"/>
      <c r="KOD5" s="17"/>
      <c r="KOH5" s="15"/>
      <c r="KON5" s="16"/>
      <c r="KOU5" s="17"/>
      <c r="KOV5" s="17"/>
      <c r="KOZ5" s="15"/>
      <c r="KPF5" s="16"/>
      <c r="KPM5" s="17"/>
      <c r="KPN5" s="17"/>
      <c r="KPR5" s="15"/>
      <c r="KPX5" s="16"/>
      <c r="KQE5" s="17"/>
      <c r="KQF5" s="17"/>
      <c r="KQJ5" s="15"/>
      <c r="KQP5" s="16"/>
      <c r="KQW5" s="17"/>
      <c r="KQX5" s="17"/>
      <c r="KRB5" s="15"/>
      <c r="KRH5" s="16"/>
      <c r="KRO5" s="17"/>
      <c r="KRP5" s="17"/>
      <c r="KRT5" s="15"/>
      <c r="KRZ5" s="16"/>
      <c r="KSG5" s="17"/>
      <c r="KSH5" s="17"/>
      <c r="KSL5" s="15"/>
      <c r="KSR5" s="16"/>
      <c r="KSY5" s="17"/>
      <c r="KSZ5" s="17"/>
      <c r="KTD5" s="15"/>
      <c r="KTJ5" s="16"/>
      <c r="KTQ5" s="17"/>
      <c r="KTR5" s="17"/>
      <c r="KTV5" s="15"/>
      <c r="KUB5" s="16"/>
      <c r="KUI5" s="17"/>
      <c r="KUJ5" s="17"/>
      <c r="KUN5" s="15"/>
      <c r="KUT5" s="16"/>
      <c r="KVA5" s="17"/>
      <c r="KVB5" s="17"/>
      <c r="KVF5" s="15"/>
      <c r="KVL5" s="16"/>
      <c r="KVS5" s="17"/>
      <c r="KVT5" s="17"/>
      <c r="KVX5" s="15"/>
      <c r="KWD5" s="16"/>
      <c r="KWK5" s="17"/>
      <c r="KWL5" s="17"/>
      <c r="KWP5" s="15"/>
      <c r="KWV5" s="16"/>
      <c r="KXC5" s="17"/>
      <c r="KXD5" s="17"/>
      <c r="KXH5" s="15"/>
      <c r="KXN5" s="16"/>
      <c r="KXU5" s="17"/>
      <c r="KXV5" s="17"/>
      <c r="KXZ5" s="15"/>
      <c r="KYF5" s="16"/>
      <c r="KYM5" s="17"/>
      <c r="KYN5" s="17"/>
      <c r="KYR5" s="15"/>
      <c r="KYX5" s="16"/>
      <c r="KZE5" s="17"/>
      <c r="KZF5" s="17"/>
      <c r="KZJ5" s="15"/>
      <c r="KZP5" s="16"/>
      <c r="KZW5" s="17"/>
      <c r="KZX5" s="17"/>
      <c r="LAB5" s="15"/>
      <c r="LAH5" s="16"/>
      <c r="LAO5" s="17"/>
      <c r="LAP5" s="17"/>
      <c r="LAT5" s="15"/>
      <c r="LAZ5" s="16"/>
      <c r="LBG5" s="17"/>
      <c r="LBH5" s="17"/>
      <c r="LBL5" s="15"/>
      <c r="LBR5" s="16"/>
      <c r="LBY5" s="17"/>
      <c r="LBZ5" s="17"/>
      <c r="LCD5" s="15"/>
      <c r="LCJ5" s="16"/>
      <c r="LCQ5" s="17"/>
      <c r="LCR5" s="17"/>
      <c r="LCV5" s="15"/>
      <c r="LDB5" s="16"/>
      <c r="LDI5" s="17"/>
      <c r="LDJ5" s="17"/>
      <c r="LDN5" s="15"/>
      <c r="LDT5" s="16"/>
      <c r="LEA5" s="17"/>
      <c r="LEB5" s="17"/>
      <c r="LEF5" s="15"/>
      <c r="LEL5" s="16"/>
      <c r="LES5" s="17"/>
      <c r="LET5" s="17"/>
      <c r="LEX5" s="15"/>
      <c r="LFD5" s="16"/>
      <c r="LFK5" s="17"/>
      <c r="LFL5" s="17"/>
      <c r="LFP5" s="15"/>
      <c r="LFV5" s="16"/>
      <c r="LGC5" s="17"/>
      <c r="LGD5" s="17"/>
      <c r="LGH5" s="15"/>
      <c r="LGN5" s="16"/>
      <c r="LGU5" s="17"/>
      <c r="LGV5" s="17"/>
      <c r="LGZ5" s="15"/>
      <c r="LHF5" s="16"/>
      <c r="LHM5" s="17"/>
      <c r="LHN5" s="17"/>
      <c r="LHR5" s="15"/>
      <c r="LHX5" s="16"/>
      <c r="LIE5" s="17"/>
      <c r="LIF5" s="17"/>
      <c r="LIJ5" s="15"/>
      <c r="LIP5" s="16"/>
      <c r="LIW5" s="17"/>
      <c r="LIX5" s="17"/>
      <c r="LJB5" s="15"/>
      <c r="LJH5" s="16"/>
      <c r="LJO5" s="17"/>
      <c r="LJP5" s="17"/>
      <c r="LJT5" s="15"/>
      <c r="LJZ5" s="16"/>
      <c r="LKG5" s="17"/>
      <c r="LKH5" s="17"/>
      <c r="LKL5" s="15"/>
      <c r="LKR5" s="16"/>
      <c r="LKY5" s="17"/>
      <c r="LKZ5" s="17"/>
      <c r="LLD5" s="15"/>
      <c r="LLJ5" s="16"/>
      <c r="LLQ5" s="17"/>
      <c r="LLR5" s="17"/>
      <c r="LLV5" s="15"/>
      <c r="LMB5" s="16"/>
      <c r="LMI5" s="17"/>
      <c r="LMJ5" s="17"/>
      <c r="LMN5" s="15"/>
      <c r="LMT5" s="16"/>
      <c r="LNA5" s="17"/>
      <c r="LNB5" s="17"/>
      <c r="LNF5" s="15"/>
      <c r="LNL5" s="16"/>
      <c r="LNS5" s="17"/>
      <c r="LNT5" s="17"/>
      <c r="LNX5" s="15"/>
      <c r="LOD5" s="16"/>
      <c r="LOK5" s="17"/>
      <c r="LOL5" s="17"/>
      <c r="LOP5" s="15"/>
      <c r="LOV5" s="16"/>
      <c r="LPC5" s="17"/>
      <c r="LPD5" s="17"/>
      <c r="LPH5" s="15"/>
      <c r="LPN5" s="16"/>
      <c r="LPU5" s="17"/>
      <c r="LPV5" s="17"/>
      <c r="LPZ5" s="15"/>
      <c r="LQF5" s="16"/>
      <c r="LQM5" s="17"/>
      <c r="LQN5" s="17"/>
      <c r="LQR5" s="15"/>
      <c r="LQX5" s="16"/>
      <c r="LRE5" s="17"/>
      <c r="LRF5" s="17"/>
      <c r="LRJ5" s="15"/>
      <c r="LRP5" s="16"/>
      <c r="LRW5" s="17"/>
      <c r="LRX5" s="17"/>
      <c r="LSB5" s="15"/>
      <c r="LSH5" s="16"/>
      <c r="LSO5" s="17"/>
      <c r="LSP5" s="17"/>
      <c r="LST5" s="15"/>
      <c r="LSZ5" s="16"/>
      <c r="LTG5" s="17"/>
      <c r="LTH5" s="17"/>
      <c r="LTL5" s="15"/>
      <c r="LTR5" s="16"/>
      <c r="LTY5" s="17"/>
      <c r="LTZ5" s="17"/>
      <c r="LUD5" s="15"/>
      <c r="LUJ5" s="16"/>
      <c r="LUQ5" s="17"/>
      <c r="LUR5" s="17"/>
      <c r="LUV5" s="15"/>
      <c r="LVB5" s="16"/>
      <c r="LVI5" s="17"/>
      <c r="LVJ5" s="17"/>
      <c r="LVN5" s="15"/>
      <c r="LVT5" s="16"/>
      <c r="LWA5" s="17"/>
      <c r="LWB5" s="17"/>
      <c r="LWF5" s="15"/>
      <c r="LWL5" s="16"/>
      <c r="LWS5" s="17"/>
      <c r="LWT5" s="17"/>
      <c r="LWX5" s="15"/>
      <c r="LXD5" s="16"/>
      <c r="LXK5" s="17"/>
      <c r="LXL5" s="17"/>
      <c r="LXP5" s="15"/>
      <c r="LXV5" s="16"/>
      <c r="LYC5" s="17"/>
      <c r="LYD5" s="17"/>
      <c r="LYH5" s="15"/>
      <c r="LYN5" s="16"/>
      <c r="LYU5" s="17"/>
      <c r="LYV5" s="17"/>
      <c r="LYZ5" s="15"/>
      <c r="LZF5" s="16"/>
      <c r="LZM5" s="17"/>
      <c r="LZN5" s="17"/>
      <c r="LZR5" s="15"/>
      <c r="LZX5" s="16"/>
      <c r="MAE5" s="17"/>
      <c r="MAF5" s="17"/>
      <c r="MAJ5" s="15"/>
      <c r="MAP5" s="16"/>
      <c r="MAW5" s="17"/>
      <c r="MAX5" s="17"/>
      <c r="MBB5" s="15"/>
      <c r="MBH5" s="16"/>
      <c r="MBO5" s="17"/>
      <c r="MBP5" s="17"/>
      <c r="MBT5" s="15"/>
      <c r="MBZ5" s="16"/>
      <c r="MCG5" s="17"/>
      <c r="MCH5" s="17"/>
      <c r="MCL5" s="15"/>
      <c r="MCR5" s="16"/>
      <c r="MCY5" s="17"/>
      <c r="MCZ5" s="17"/>
      <c r="MDD5" s="15"/>
      <c r="MDJ5" s="16"/>
      <c r="MDQ5" s="17"/>
      <c r="MDR5" s="17"/>
      <c r="MDV5" s="15"/>
      <c r="MEB5" s="16"/>
      <c r="MEI5" s="17"/>
      <c r="MEJ5" s="17"/>
      <c r="MEN5" s="15"/>
      <c r="MET5" s="16"/>
      <c r="MFA5" s="17"/>
      <c r="MFB5" s="17"/>
      <c r="MFF5" s="15"/>
      <c r="MFL5" s="16"/>
      <c r="MFS5" s="17"/>
      <c r="MFT5" s="17"/>
      <c r="MFX5" s="15"/>
      <c r="MGD5" s="16"/>
      <c r="MGK5" s="17"/>
      <c r="MGL5" s="17"/>
      <c r="MGP5" s="15"/>
      <c r="MGV5" s="16"/>
      <c r="MHC5" s="17"/>
      <c r="MHD5" s="17"/>
      <c r="MHH5" s="15"/>
      <c r="MHN5" s="16"/>
      <c r="MHU5" s="17"/>
      <c r="MHV5" s="17"/>
      <c r="MHZ5" s="15"/>
      <c r="MIF5" s="16"/>
      <c r="MIM5" s="17"/>
      <c r="MIN5" s="17"/>
      <c r="MIR5" s="15"/>
      <c r="MIX5" s="16"/>
      <c r="MJE5" s="17"/>
      <c r="MJF5" s="17"/>
      <c r="MJJ5" s="15"/>
      <c r="MJP5" s="16"/>
      <c r="MJW5" s="17"/>
      <c r="MJX5" s="17"/>
      <c r="MKB5" s="15"/>
      <c r="MKH5" s="16"/>
      <c r="MKO5" s="17"/>
      <c r="MKP5" s="17"/>
      <c r="MKT5" s="15"/>
      <c r="MKZ5" s="16"/>
      <c r="MLG5" s="17"/>
      <c r="MLH5" s="17"/>
      <c r="MLL5" s="15"/>
      <c r="MLR5" s="16"/>
      <c r="MLY5" s="17"/>
      <c r="MLZ5" s="17"/>
      <c r="MMD5" s="15"/>
      <c r="MMJ5" s="16"/>
      <c r="MMQ5" s="17"/>
      <c r="MMR5" s="17"/>
      <c r="MMV5" s="15"/>
      <c r="MNB5" s="16"/>
      <c r="MNI5" s="17"/>
      <c r="MNJ5" s="17"/>
      <c r="MNN5" s="15"/>
      <c r="MNT5" s="16"/>
      <c r="MOA5" s="17"/>
      <c r="MOB5" s="17"/>
      <c r="MOF5" s="15"/>
      <c r="MOL5" s="16"/>
      <c r="MOS5" s="17"/>
      <c r="MOT5" s="17"/>
      <c r="MOX5" s="15"/>
      <c r="MPD5" s="16"/>
      <c r="MPK5" s="17"/>
      <c r="MPL5" s="17"/>
      <c r="MPP5" s="15"/>
      <c r="MPV5" s="16"/>
      <c r="MQC5" s="17"/>
      <c r="MQD5" s="17"/>
      <c r="MQH5" s="15"/>
      <c r="MQN5" s="16"/>
      <c r="MQU5" s="17"/>
      <c r="MQV5" s="17"/>
      <c r="MQZ5" s="15"/>
      <c r="MRF5" s="16"/>
      <c r="MRM5" s="17"/>
      <c r="MRN5" s="17"/>
      <c r="MRR5" s="15"/>
      <c r="MRX5" s="16"/>
      <c r="MSE5" s="17"/>
      <c r="MSF5" s="17"/>
      <c r="MSJ5" s="15"/>
      <c r="MSP5" s="16"/>
      <c r="MSW5" s="17"/>
      <c r="MSX5" s="17"/>
      <c r="MTB5" s="15"/>
      <c r="MTH5" s="16"/>
      <c r="MTO5" s="17"/>
      <c r="MTP5" s="17"/>
      <c r="MTT5" s="15"/>
      <c r="MTZ5" s="16"/>
      <c r="MUG5" s="17"/>
      <c r="MUH5" s="17"/>
      <c r="MUL5" s="15"/>
      <c r="MUR5" s="16"/>
      <c r="MUY5" s="17"/>
      <c r="MUZ5" s="17"/>
      <c r="MVD5" s="15"/>
      <c r="MVJ5" s="16"/>
      <c r="MVQ5" s="17"/>
      <c r="MVR5" s="17"/>
      <c r="MVV5" s="15"/>
      <c r="MWB5" s="16"/>
      <c r="MWI5" s="17"/>
      <c r="MWJ5" s="17"/>
      <c r="MWN5" s="15"/>
      <c r="MWT5" s="16"/>
      <c r="MXA5" s="17"/>
      <c r="MXB5" s="17"/>
      <c r="MXF5" s="15"/>
      <c r="MXL5" s="16"/>
      <c r="MXS5" s="17"/>
      <c r="MXT5" s="17"/>
      <c r="MXX5" s="15"/>
      <c r="MYD5" s="16"/>
      <c r="MYK5" s="17"/>
      <c r="MYL5" s="17"/>
      <c r="MYP5" s="15"/>
      <c r="MYV5" s="16"/>
      <c r="MZC5" s="17"/>
      <c r="MZD5" s="17"/>
      <c r="MZH5" s="15"/>
      <c r="MZN5" s="16"/>
      <c r="MZU5" s="17"/>
      <c r="MZV5" s="17"/>
      <c r="MZZ5" s="15"/>
      <c r="NAF5" s="16"/>
      <c r="NAM5" s="17"/>
      <c r="NAN5" s="17"/>
      <c r="NAR5" s="15"/>
      <c r="NAX5" s="16"/>
      <c r="NBE5" s="17"/>
      <c r="NBF5" s="17"/>
      <c r="NBJ5" s="15"/>
      <c r="NBP5" s="16"/>
      <c r="NBW5" s="17"/>
      <c r="NBX5" s="17"/>
      <c r="NCB5" s="15"/>
      <c r="NCH5" s="16"/>
      <c r="NCO5" s="17"/>
      <c r="NCP5" s="17"/>
      <c r="NCT5" s="15"/>
      <c r="NCZ5" s="16"/>
      <c r="NDG5" s="17"/>
      <c r="NDH5" s="17"/>
      <c r="NDL5" s="15"/>
      <c r="NDR5" s="16"/>
      <c r="NDY5" s="17"/>
      <c r="NDZ5" s="17"/>
      <c r="NED5" s="15"/>
      <c r="NEJ5" s="16"/>
      <c r="NEQ5" s="17"/>
      <c r="NER5" s="17"/>
      <c r="NEV5" s="15"/>
      <c r="NFB5" s="16"/>
      <c r="NFI5" s="17"/>
      <c r="NFJ5" s="17"/>
      <c r="NFN5" s="15"/>
      <c r="NFT5" s="16"/>
      <c r="NGA5" s="17"/>
      <c r="NGB5" s="17"/>
      <c r="NGF5" s="15"/>
      <c r="NGL5" s="16"/>
      <c r="NGS5" s="17"/>
      <c r="NGT5" s="17"/>
      <c r="NGX5" s="15"/>
      <c r="NHD5" s="16"/>
      <c r="NHK5" s="17"/>
      <c r="NHL5" s="17"/>
      <c r="NHP5" s="15"/>
      <c r="NHV5" s="16"/>
      <c r="NIC5" s="17"/>
      <c r="NID5" s="17"/>
      <c r="NIH5" s="15"/>
      <c r="NIN5" s="16"/>
      <c r="NIU5" s="17"/>
      <c r="NIV5" s="17"/>
      <c r="NIZ5" s="15"/>
      <c r="NJF5" s="16"/>
      <c r="NJM5" s="17"/>
      <c r="NJN5" s="17"/>
      <c r="NJR5" s="15"/>
      <c r="NJX5" s="16"/>
      <c r="NKE5" s="17"/>
      <c r="NKF5" s="17"/>
      <c r="NKJ5" s="15"/>
      <c r="NKP5" s="16"/>
      <c r="NKW5" s="17"/>
      <c r="NKX5" s="17"/>
      <c r="NLB5" s="15"/>
      <c r="NLH5" s="16"/>
      <c r="NLO5" s="17"/>
      <c r="NLP5" s="17"/>
      <c r="NLT5" s="15"/>
      <c r="NLZ5" s="16"/>
      <c r="NMG5" s="17"/>
      <c r="NMH5" s="17"/>
      <c r="NML5" s="15"/>
      <c r="NMR5" s="16"/>
      <c r="NMY5" s="17"/>
      <c r="NMZ5" s="17"/>
      <c r="NND5" s="15"/>
      <c r="NNJ5" s="16"/>
      <c r="NNQ5" s="17"/>
      <c r="NNR5" s="17"/>
      <c r="NNV5" s="15"/>
      <c r="NOB5" s="16"/>
      <c r="NOI5" s="17"/>
      <c r="NOJ5" s="17"/>
      <c r="NON5" s="15"/>
      <c r="NOT5" s="16"/>
      <c r="NPA5" s="17"/>
      <c r="NPB5" s="17"/>
      <c r="NPF5" s="15"/>
      <c r="NPL5" s="16"/>
      <c r="NPS5" s="17"/>
      <c r="NPT5" s="17"/>
      <c r="NPX5" s="15"/>
      <c r="NQD5" s="16"/>
      <c r="NQK5" s="17"/>
      <c r="NQL5" s="17"/>
      <c r="NQP5" s="15"/>
      <c r="NQV5" s="16"/>
      <c r="NRC5" s="17"/>
      <c r="NRD5" s="17"/>
      <c r="NRH5" s="15"/>
      <c r="NRN5" s="16"/>
      <c r="NRU5" s="17"/>
      <c r="NRV5" s="17"/>
      <c r="NRZ5" s="15"/>
      <c r="NSF5" s="16"/>
      <c r="NSM5" s="17"/>
      <c r="NSN5" s="17"/>
      <c r="NSR5" s="15"/>
      <c r="NSX5" s="16"/>
      <c r="NTE5" s="17"/>
      <c r="NTF5" s="17"/>
      <c r="NTJ5" s="15"/>
      <c r="NTP5" s="16"/>
      <c r="NTW5" s="17"/>
      <c r="NTX5" s="17"/>
      <c r="NUB5" s="15"/>
      <c r="NUH5" s="16"/>
      <c r="NUO5" s="17"/>
      <c r="NUP5" s="17"/>
      <c r="NUT5" s="15"/>
      <c r="NUZ5" s="16"/>
      <c r="NVG5" s="17"/>
      <c r="NVH5" s="17"/>
      <c r="NVL5" s="15"/>
      <c r="NVR5" s="16"/>
      <c r="NVY5" s="17"/>
      <c r="NVZ5" s="17"/>
      <c r="NWD5" s="15"/>
      <c r="NWJ5" s="16"/>
      <c r="NWQ5" s="17"/>
      <c r="NWR5" s="17"/>
      <c r="NWV5" s="15"/>
      <c r="NXB5" s="16"/>
      <c r="NXI5" s="17"/>
      <c r="NXJ5" s="17"/>
      <c r="NXN5" s="15"/>
      <c r="NXT5" s="16"/>
      <c r="NYA5" s="17"/>
      <c r="NYB5" s="17"/>
      <c r="NYF5" s="15"/>
      <c r="NYL5" s="16"/>
      <c r="NYS5" s="17"/>
      <c r="NYT5" s="17"/>
      <c r="NYX5" s="15"/>
      <c r="NZD5" s="16"/>
      <c r="NZK5" s="17"/>
      <c r="NZL5" s="17"/>
      <c r="NZP5" s="15"/>
      <c r="NZV5" s="16"/>
      <c r="OAC5" s="17"/>
      <c r="OAD5" s="17"/>
      <c r="OAH5" s="15"/>
      <c r="OAN5" s="16"/>
      <c r="OAU5" s="17"/>
      <c r="OAV5" s="17"/>
      <c r="OAZ5" s="15"/>
      <c r="OBF5" s="16"/>
      <c r="OBM5" s="17"/>
      <c r="OBN5" s="17"/>
      <c r="OBR5" s="15"/>
      <c r="OBX5" s="16"/>
      <c r="OCE5" s="17"/>
      <c r="OCF5" s="17"/>
      <c r="OCJ5" s="15"/>
      <c r="OCP5" s="16"/>
      <c r="OCW5" s="17"/>
      <c r="OCX5" s="17"/>
      <c r="ODB5" s="15"/>
      <c r="ODH5" s="16"/>
      <c r="ODO5" s="17"/>
      <c r="ODP5" s="17"/>
      <c r="ODT5" s="15"/>
      <c r="ODZ5" s="16"/>
      <c r="OEG5" s="17"/>
      <c r="OEH5" s="17"/>
      <c r="OEL5" s="15"/>
      <c r="OER5" s="16"/>
      <c r="OEY5" s="17"/>
      <c r="OEZ5" s="17"/>
      <c r="OFD5" s="15"/>
      <c r="OFJ5" s="16"/>
      <c r="OFQ5" s="17"/>
      <c r="OFR5" s="17"/>
      <c r="OFV5" s="15"/>
      <c r="OGB5" s="16"/>
      <c r="OGI5" s="17"/>
      <c r="OGJ5" s="17"/>
      <c r="OGN5" s="15"/>
      <c r="OGT5" s="16"/>
      <c r="OHA5" s="17"/>
      <c r="OHB5" s="17"/>
      <c r="OHF5" s="15"/>
      <c r="OHL5" s="16"/>
      <c r="OHS5" s="17"/>
      <c r="OHT5" s="17"/>
      <c r="OHX5" s="15"/>
      <c r="OID5" s="16"/>
      <c r="OIK5" s="17"/>
      <c r="OIL5" s="17"/>
      <c r="OIP5" s="15"/>
      <c r="OIV5" s="16"/>
      <c r="OJC5" s="17"/>
      <c r="OJD5" s="17"/>
      <c r="OJH5" s="15"/>
      <c r="OJN5" s="16"/>
      <c r="OJU5" s="17"/>
      <c r="OJV5" s="17"/>
      <c r="OJZ5" s="15"/>
      <c r="OKF5" s="16"/>
      <c r="OKM5" s="17"/>
      <c r="OKN5" s="17"/>
      <c r="OKR5" s="15"/>
      <c r="OKX5" s="16"/>
      <c r="OLE5" s="17"/>
      <c r="OLF5" s="17"/>
      <c r="OLJ5" s="15"/>
      <c r="OLP5" s="16"/>
      <c r="OLW5" s="17"/>
      <c r="OLX5" s="17"/>
      <c r="OMB5" s="15"/>
      <c r="OMH5" s="16"/>
      <c r="OMO5" s="17"/>
      <c r="OMP5" s="17"/>
      <c r="OMT5" s="15"/>
      <c r="OMZ5" s="16"/>
      <c r="ONG5" s="17"/>
      <c r="ONH5" s="17"/>
      <c r="ONL5" s="15"/>
      <c r="ONR5" s="16"/>
      <c r="ONY5" s="17"/>
      <c r="ONZ5" s="17"/>
      <c r="OOD5" s="15"/>
      <c r="OOJ5" s="16"/>
      <c r="OOQ5" s="17"/>
      <c r="OOR5" s="17"/>
      <c r="OOV5" s="15"/>
      <c r="OPB5" s="16"/>
      <c r="OPI5" s="17"/>
      <c r="OPJ5" s="17"/>
      <c r="OPN5" s="15"/>
      <c r="OPT5" s="16"/>
      <c r="OQA5" s="17"/>
      <c r="OQB5" s="17"/>
      <c r="OQF5" s="15"/>
      <c r="OQL5" s="16"/>
      <c r="OQS5" s="17"/>
      <c r="OQT5" s="17"/>
      <c r="OQX5" s="15"/>
      <c r="ORD5" s="16"/>
      <c r="ORK5" s="17"/>
      <c r="ORL5" s="17"/>
      <c r="ORP5" s="15"/>
      <c r="ORV5" s="16"/>
      <c r="OSC5" s="17"/>
      <c r="OSD5" s="17"/>
      <c r="OSH5" s="15"/>
      <c r="OSN5" s="16"/>
      <c r="OSU5" s="17"/>
      <c r="OSV5" s="17"/>
      <c r="OSZ5" s="15"/>
      <c r="OTF5" s="16"/>
      <c r="OTM5" s="17"/>
      <c r="OTN5" s="17"/>
      <c r="OTR5" s="15"/>
      <c r="OTX5" s="16"/>
      <c r="OUE5" s="17"/>
      <c r="OUF5" s="17"/>
      <c r="OUJ5" s="15"/>
      <c r="OUP5" s="16"/>
      <c r="OUW5" s="17"/>
      <c r="OUX5" s="17"/>
      <c r="OVB5" s="15"/>
      <c r="OVH5" s="16"/>
      <c r="OVO5" s="17"/>
      <c r="OVP5" s="17"/>
      <c r="OVT5" s="15"/>
      <c r="OVZ5" s="16"/>
      <c r="OWG5" s="17"/>
      <c r="OWH5" s="17"/>
      <c r="OWL5" s="15"/>
      <c r="OWR5" s="16"/>
      <c r="OWY5" s="17"/>
      <c r="OWZ5" s="17"/>
      <c r="OXD5" s="15"/>
      <c r="OXJ5" s="16"/>
      <c r="OXQ5" s="17"/>
      <c r="OXR5" s="17"/>
      <c r="OXV5" s="15"/>
      <c r="OYB5" s="16"/>
      <c r="OYI5" s="17"/>
      <c r="OYJ5" s="17"/>
      <c r="OYN5" s="15"/>
      <c r="OYT5" s="16"/>
      <c r="OZA5" s="17"/>
      <c r="OZB5" s="17"/>
      <c r="OZF5" s="15"/>
      <c r="OZL5" s="16"/>
      <c r="OZS5" s="17"/>
      <c r="OZT5" s="17"/>
      <c r="OZX5" s="15"/>
      <c r="PAD5" s="16"/>
      <c r="PAK5" s="17"/>
      <c r="PAL5" s="17"/>
      <c r="PAP5" s="15"/>
      <c r="PAV5" s="16"/>
      <c r="PBC5" s="17"/>
      <c r="PBD5" s="17"/>
      <c r="PBH5" s="15"/>
      <c r="PBN5" s="16"/>
      <c r="PBU5" s="17"/>
      <c r="PBV5" s="17"/>
      <c r="PBZ5" s="15"/>
      <c r="PCF5" s="16"/>
      <c r="PCM5" s="17"/>
      <c r="PCN5" s="17"/>
      <c r="PCR5" s="15"/>
      <c r="PCX5" s="16"/>
      <c r="PDE5" s="17"/>
      <c r="PDF5" s="17"/>
      <c r="PDJ5" s="15"/>
      <c r="PDP5" s="16"/>
      <c r="PDW5" s="17"/>
      <c r="PDX5" s="17"/>
      <c r="PEB5" s="15"/>
      <c r="PEH5" s="16"/>
      <c r="PEO5" s="17"/>
      <c r="PEP5" s="17"/>
      <c r="PET5" s="15"/>
      <c r="PEZ5" s="16"/>
      <c r="PFG5" s="17"/>
      <c r="PFH5" s="17"/>
      <c r="PFL5" s="15"/>
      <c r="PFR5" s="16"/>
      <c r="PFY5" s="17"/>
      <c r="PFZ5" s="17"/>
      <c r="PGD5" s="15"/>
      <c r="PGJ5" s="16"/>
      <c r="PGQ5" s="17"/>
      <c r="PGR5" s="17"/>
      <c r="PGV5" s="15"/>
      <c r="PHB5" s="16"/>
      <c r="PHI5" s="17"/>
      <c r="PHJ5" s="17"/>
      <c r="PHN5" s="15"/>
      <c r="PHT5" s="16"/>
      <c r="PIA5" s="17"/>
      <c r="PIB5" s="17"/>
      <c r="PIF5" s="15"/>
      <c r="PIL5" s="16"/>
      <c r="PIS5" s="17"/>
      <c r="PIT5" s="17"/>
      <c r="PIX5" s="15"/>
      <c r="PJD5" s="16"/>
      <c r="PJK5" s="17"/>
      <c r="PJL5" s="17"/>
      <c r="PJP5" s="15"/>
      <c r="PJV5" s="16"/>
      <c r="PKC5" s="17"/>
      <c r="PKD5" s="17"/>
      <c r="PKH5" s="15"/>
      <c r="PKN5" s="16"/>
      <c r="PKU5" s="17"/>
      <c r="PKV5" s="17"/>
      <c r="PKZ5" s="15"/>
      <c r="PLF5" s="16"/>
      <c r="PLM5" s="17"/>
      <c r="PLN5" s="17"/>
      <c r="PLR5" s="15"/>
      <c r="PLX5" s="16"/>
      <c r="PME5" s="17"/>
      <c r="PMF5" s="17"/>
      <c r="PMJ5" s="15"/>
      <c r="PMP5" s="16"/>
      <c r="PMW5" s="17"/>
      <c r="PMX5" s="17"/>
      <c r="PNB5" s="15"/>
      <c r="PNH5" s="16"/>
      <c r="PNO5" s="17"/>
      <c r="PNP5" s="17"/>
      <c r="PNT5" s="15"/>
      <c r="PNZ5" s="16"/>
      <c r="POG5" s="17"/>
      <c r="POH5" s="17"/>
      <c r="POL5" s="15"/>
      <c r="POR5" s="16"/>
      <c r="POY5" s="17"/>
      <c r="POZ5" s="17"/>
      <c r="PPD5" s="15"/>
      <c r="PPJ5" s="16"/>
      <c r="PPQ5" s="17"/>
      <c r="PPR5" s="17"/>
      <c r="PPV5" s="15"/>
      <c r="PQB5" s="16"/>
      <c r="PQI5" s="17"/>
      <c r="PQJ5" s="17"/>
      <c r="PQN5" s="15"/>
      <c r="PQT5" s="16"/>
      <c r="PRA5" s="17"/>
      <c r="PRB5" s="17"/>
      <c r="PRF5" s="15"/>
      <c r="PRL5" s="16"/>
      <c r="PRS5" s="17"/>
      <c r="PRT5" s="17"/>
      <c r="PRX5" s="15"/>
      <c r="PSD5" s="16"/>
      <c r="PSK5" s="17"/>
      <c r="PSL5" s="17"/>
      <c r="PSP5" s="15"/>
      <c r="PSV5" s="16"/>
      <c r="PTC5" s="17"/>
      <c r="PTD5" s="17"/>
      <c r="PTH5" s="15"/>
      <c r="PTN5" s="16"/>
      <c r="PTU5" s="17"/>
      <c r="PTV5" s="17"/>
      <c r="PTZ5" s="15"/>
      <c r="PUF5" s="16"/>
      <c r="PUM5" s="17"/>
      <c r="PUN5" s="17"/>
      <c r="PUR5" s="15"/>
      <c r="PUX5" s="16"/>
      <c r="PVE5" s="17"/>
      <c r="PVF5" s="17"/>
      <c r="PVJ5" s="15"/>
      <c r="PVP5" s="16"/>
      <c r="PVW5" s="17"/>
      <c r="PVX5" s="17"/>
      <c r="PWB5" s="15"/>
      <c r="PWH5" s="16"/>
      <c r="PWO5" s="17"/>
      <c r="PWP5" s="17"/>
      <c r="PWT5" s="15"/>
      <c r="PWZ5" s="16"/>
      <c r="PXG5" s="17"/>
      <c r="PXH5" s="17"/>
      <c r="PXL5" s="15"/>
      <c r="PXR5" s="16"/>
      <c r="PXY5" s="17"/>
      <c r="PXZ5" s="17"/>
      <c r="PYD5" s="15"/>
      <c r="PYJ5" s="16"/>
      <c r="PYQ5" s="17"/>
      <c r="PYR5" s="17"/>
      <c r="PYV5" s="15"/>
      <c r="PZB5" s="16"/>
      <c r="PZI5" s="17"/>
      <c r="PZJ5" s="17"/>
      <c r="PZN5" s="15"/>
      <c r="PZT5" s="16"/>
      <c r="QAA5" s="17"/>
      <c r="QAB5" s="17"/>
      <c r="QAF5" s="15"/>
      <c r="QAL5" s="16"/>
      <c r="QAS5" s="17"/>
      <c r="QAT5" s="17"/>
      <c r="QAX5" s="15"/>
      <c r="QBD5" s="16"/>
      <c r="QBK5" s="17"/>
      <c r="QBL5" s="17"/>
      <c r="QBP5" s="15"/>
      <c r="QBV5" s="16"/>
      <c r="QCC5" s="17"/>
      <c r="QCD5" s="17"/>
      <c r="QCH5" s="15"/>
      <c r="QCN5" s="16"/>
      <c r="QCU5" s="17"/>
      <c r="QCV5" s="17"/>
      <c r="QCZ5" s="15"/>
      <c r="QDF5" s="16"/>
      <c r="QDM5" s="17"/>
      <c r="QDN5" s="17"/>
      <c r="QDR5" s="15"/>
      <c r="QDX5" s="16"/>
      <c r="QEE5" s="17"/>
      <c r="QEF5" s="17"/>
      <c r="QEJ5" s="15"/>
      <c r="QEP5" s="16"/>
      <c r="QEW5" s="17"/>
      <c r="QEX5" s="17"/>
      <c r="QFB5" s="15"/>
      <c r="QFH5" s="16"/>
      <c r="QFO5" s="17"/>
      <c r="QFP5" s="17"/>
      <c r="QFT5" s="15"/>
      <c r="QFZ5" s="16"/>
      <c r="QGG5" s="17"/>
      <c r="QGH5" s="17"/>
      <c r="QGL5" s="15"/>
      <c r="QGR5" s="16"/>
      <c r="QGY5" s="17"/>
      <c r="QGZ5" s="17"/>
      <c r="QHD5" s="15"/>
      <c r="QHJ5" s="16"/>
      <c r="QHQ5" s="17"/>
      <c r="QHR5" s="17"/>
      <c r="QHV5" s="15"/>
      <c r="QIB5" s="16"/>
      <c r="QII5" s="17"/>
      <c r="QIJ5" s="17"/>
      <c r="QIN5" s="15"/>
      <c r="QIT5" s="16"/>
      <c r="QJA5" s="17"/>
      <c r="QJB5" s="17"/>
      <c r="QJF5" s="15"/>
      <c r="QJL5" s="16"/>
      <c r="QJS5" s="17"/>
      <c r="QJT5" s="17"/>
      <c r="QJX5" s="15"/>
      <c r="QKD5" s="16"/>
      <c r="QKK5" s="17"/>
      <c r="QKL5" s="17"/>
      <c r="QKP5" s="15"/>
      <c r="QKV5" s="16"/>
      <c r="QLC5" s="17"/>
      <c r="QLD5" s="17"/>
      <c r="QLH5" s="15"/>
      <c r="QLN5" s="16"/>
      <c r="QLU5" s="17"/>
      <c r="QLV5" s="17"/>
      <c r="QLZ5" s="15"/>
      <c r="QMF5" s="16"/>
      <c r="QMM5" s="17"/>
      <c r="QMN5" s="17"/>
      <c r="QMR5" s="15"/>
      <c r="QMX5" s="16"/>
      <c r="QNE5" s="17"/>
      <c r="QNF5" s="17"/>
      <c r="QNJ5" s="15"/>
      <c r="QNP5" s="16"/>
      <c r="QNW5" s="17"/>
      <c r="QNX5" s="17"/>
      <c r="QOB5" s="15"/>
      <c r="QOH5" s="16"/>
      <c r="QOO5" s="17"/>
      <c r="QOP5" s="17"/>
      <c r="QOT5" s="15"/>
      <c r="QOZ5" s="16"/>
      <c r="QPG5" s="17"/>
      <c r="QPH5" s="17"/>
      <c r="QPL5" s="15"/>
      <c r="QPR5" s="16"/>
      <c r="QPY5" s="17"/>
      <c r="QPZ5" s="17"/>
      <c r="QQD5" s="15"/>
      <c r="QQJ5" s="16"/>
      <c r="QQQ5" s="17"/>
      <c r="QQR5" s="17"/>
      <c r="QQV5" s="15"/>
      <c r="QRB5" s="16"/>
      <c r="QRI5" s="17"/>
      <c r="QRJ5" s="17"/>
      <c r="QRN5" s="15"/>
      <c r="QRT5" s="16"/>
      <c r="QSA5" s="17"/>
      <c r="QSB5" s="17"/>
      <c r="QSF5" s="15"/>
      <c r="QSL5" s="16"/>
      <c r="QSS5" s="17"/>
      <c r="QST5" s="17"/>
      <c r="QSX5" s="15"/>
      <c r="QTD5" s="16"/>
      <c r="QTK5" s="17"/>
      <c r="QTL5" s="17"/>
      <c r="QTP5" s="15"/>
      <c r="QTV5" s="16"/>
      <c r="QUC5" s="17"/>
      <c r="QUD5" s="17"/>
      <c r="QUH5" s="15"/>
      <c r="QUN5" s="16"/>
      <c r="QUU5" s="17"/>
      <c r="QUV5" s="17"/>
      <c r="QUZ5" s="15"/>
      <c r="QVF5" s="16"/>
      <c r="QVM5" s="17"/>
      <c r="QVN5" s="17"/>
      <c r="QVR5" s="15"/>
      <c r="QVX5" s="16"/>
      <c r="QWE5" s="17"/>
      <c r="QWF5" s="17"/>
      <c r="QWJ5" s="15"/>
      <c r="QWP5" s="16"/>
      <c r="QWW5" s="17"/>
      <c r="QWX5" s="17"/>
      <c r="QXB5" s="15"/>
      <c r="QXH5" s="16"/>
      <c r="QXO5" s="17"/>
      <c r="QXP5" s="17"/>
      <c r="QXT5" s="15"/>
      <c r="QXZ5" s="16"/>
      <c r="QYG5" s="17"/>
      <c r="QYH5" s="17"/>
      <c r="QYL5" s="15"/>
      <c r="QYR5" s="16"/>
      <c r="QYY5" s="17"/>
      <c r="QYZ5" s="17"/>
      <c r="QZD5" s="15"/>
      <c r="QZJ5" s="16"/>
      <c r="QZQ5" s="17"/>
      <c r="QZR5" s="17"/>
      <c r="QZV5" s="15"/>
      <c r="RAB5" s="16"/>
      <c r="RAI5" s="17"/>
      <c r="RAJ5" s="17"/>
      <c r="RAN5" s="15"/>
      <c r="RAT5" s="16"/>
      <c r="RBA5" s="17"/>
      <c r="RBB5" s="17"/>
      <c r="RBF5" s="15"/>
      <c r="RBL5" s="16"/>
      <c r="RBS5" s="17"/>
      <c r="RBT5" s="17"/>
      <c r="RBX5" s="15"/>
      <c r="RCD5" s="16"/>
      <c r="RCK5" s="17"/>
      <c r="RCL5" s="17"/>
      <c r="RCP5" s="15"/>
      <c r="RCV5" s="16"/>
      <c r="RDC5" s="17"/>
      <c r="RDD5" s="17"/>
      <c r="RDH5" s="15"/>
      <c r="RDN5" s="16"/>
      <c r="RDU5" s="17"/>
      <c r="RDV5" s="17"/>
      <c r="RDZ5" s="15"/>
      <c r="REF5" s="16"/>
      <c r="REM5" s="17"/>
      <c r="REN5" s="17"/>
      <c r="RER5" s="15"/>
      <c r="REX5" s="16"/>
      <c r="RFE5" s="17"/>
      <c r="RFF5" s="17"/>
      <c r="RFJ5" s="15"/>
      <c r="RFP5" s="16"/>
      <c r="RFW5" s="17"/>
      <c r="RFX5" s="17"/>
      <c r="RGB5" s="15"/>
      <c r="RGH5" s="16"/>
      <c r="RGO5" s="17"/>
      <c r="RGP5" s="17"/>
      <c r="RGT5" s="15"/>
      <c r="RGZ5" s="16"/>
      <c r="RHG5" s="17"/>
      <c r="RHH5" s="17"/>
      <c r="RHL5" s="15"/>
      <c r="RHR5" s="16"/>
      <c r="RHY5" s="17"/>
      <c r="RHZ5" s="17"/>
      <c r="RID5" s="15"/>
      <c r="RIJ5" s="16"/>
      <c r="RIQ5" s="17"/>
      <c r="RIR5" s="17"/>
      <c r="RIV5" s="15"/>
      <c r="RJB5" s="16"/>
      <c r="RJI5" s="17"/>
      <c r="RJJ5" s="17"/>
      <c r="RJN5" s="15"/>
      <c r="RJT5" s="16"/>
      <c r="RKA5" s="17"/>
      <c r="RKB5" s="17"/>
      <c r="RKF5" s="15"/>
      <c r="RKL5" s="16"/>
      <c r="RKS5" s="17"/>
      <c r="RKT5" s="17"/>
      <c r="RKX5" s="15"/>
      <c r="RLD5" s="16"/>
      <c r="RLK5" s="17"/>
      <c r="RLL5" s="17"/>
      <c r="RLP5" s="15"/>
      <c r="RLV5" s="16"/>
      <c r="RMC5" s="17"/>
      <c r="RMD5" s="17"/>
      <c r="RMH5" s="15"/>
      <c r="RMN5" s="16"/>
      <c r="RMU5" s="17"/>
      <c r="RMV5" s="17"/>
      <c r="RMZ5" s="15"/>
      <c r="RNF5" s="16"/>
      <c r="RNM5" s="17"/>
      <c r="RNN5" s="17"/>
      <c r="RNR5" s="15"/>
      <c r="RNX5" s="16"/>
      <c r="ROE5" s="17"/>
      <c r="ROF5" s="17"/>
      <c r="ROJ5" s="15"/>
      <c r="ROP5" s="16"/>
      <c r="ROW5" s="17"/>
      <c r="ROX5" s="17"/>
      <c r="RPB5" s="15"/>
      <c r="RPH5" s="16"/>
      <c r="RPO5" s="17"/>
      <c r="RPP5" s="17"/>
      <c r="RPT5" s="15"/>
      <c r="RPZ5" s="16"/>
      <c r="RQG5" s="17"/>
      <c r="RQH5" s="17"/>
      <c r="RQL5" s="15"/>
      <c r="RQR5" s="16"/>
      <c r="RQY5" s="17"/>
      <c r="RQZ5" s="17"/>
      <c r="RRD5" s="15"/>
      <c r="RRJ5" s="16"/>
      <c r="RRQ5" s="17"/>
      <c r="RRR5" s="17"/>
      <c r="RRV5" s="15"/>
      <c r="RSB5" s="16"/>
      <c r="RSI5" s="17"/>
      <c r="RSJ5" s="17"/>
      <c r="RSN5" s="15"/>
      <c r="RST5" s="16"/>
      <c r="RTA5" s="17"/>
      <c r="RTB5" s="17"/>
      <c r="RTF5" s="15"/>
      <c r="RTL5" s="16"/>
      <c r="RTS5" s="17"/>
      <c r="RTT5" s="17"/>
      <c r="RTX5" s="15"/>
      <c r="RUD5" s="16"/>
      <c r="RUK5" s="17"/>
      <c r="RUL5" s="17"/>
      <c r="RUP5" s="15"/>
      <c r="RUV5" s="16"/>
      <c r="RVC5" s="17"/>
      <c r="RVD5" s="17"/>
      <c r="RVH5" s="15"/>
      <c r="RVN5" s="16"/>
      <c r="RVU5" s="17"/>
      <c r="RVV5" s="17"/>
      <c r="RVZ5" s="15"/>
      <c r="RWF5" s="16"/>
      <c r="RWM5" s="17"/>
      <c r="RWN5" s="17"/>
      <c r="RWR5" s="15"/>
      <c r="RWX5" s="16"/>
      <c r="RXE5" s="17"/>
      <c r="RXF5" s="17"/>
      <c r="RXJ5" s="15"/>
      <c r="RXP5" s="16"/>
      <c r="RXW5" s="17"/>
      <c r="RXX5" s="17"/>
      <c r="RYB5" s="15"/>
      <c r="RYH5" s="16"/>
      <c r="RYO5" s="17"/>
      <c r="RYP5" s="17"/>
      <c r="RYT5" s="15"/>
      <c r="RYZ5" s="16"/>
      <c r="RZG5" s="17"/>
      <c r="RZH5" s="17"/>
      <c r="RZL5" s="15"/>
      <c r="RZR5" s="16"/>
      <c r="RZY5" s="17"/>
      <c r="RZZ5" s="17"/>
      <c r="SAD5" s="15"/>
      <c r="SAJ5" s="16"/>
      <c r="SAQ5" s="17"/>
      <c r="SAR5" s="17"/>
      <c r="SAV5" s="15"/>
      <c r="SBB5" s="16"/>
      <c r="SBI5" s="17"/>
      <c r="SBJ5" s="17"/>
      <c r="SBN5" s="15"/>
      <c r="SBT5" s="16"/>
      <c r="SCA5" s="17"/>
      <c r="SCB5" s="17"/>
      <c r="SCF5" s="15"/>
      <c r="SCL5" s="16"/>
      <c r="SCS5" s="17"/>
      <c r="SCT5" s="17"/>
      <c r="SCX5" s="15"/>
      <c r="SDD5" s="16"/>
      <c r="SDK5" s="17"/>
      <c r="SDL5" s="17"/>
      <c r="SDP5" s="15"/>
      <c r="SDV5" s="16"/>
      <c r="SEC5" s="17"/>
      <c r="SED5" s="17"/>
      <c r="SEH5" s="15"/>
      <c r="SEN5" s="16"/>
      <c r="SEU5" s="17"/>
      <c r="SEV5" s="17"/>
      <c r="SEZ5" s="15"/>
      <c r="SFF5" s="16"/>
      <c r="SFM5" s="17"/>
      <c r="SFN5" s="17"/>
      <c r="SFR5" s="15"/>
      <c r="SFX5" s="16"/>
      <c r="SGE5" s="17"/>
      <c r="SGF5" s="17"/>
      <c r="SGJ5" s="15"/>
      <c r="SGP5" s="16"/>
      <c r="SGW5" s="17"/>
      <c r="SGX5" s="17"/>
      <c r="SHB5" s="15"/>
      <c r="SHH5" s="16"/>
      <c r="SHO5" s="17"/>
      <c r="SHP5" s="17"/>
      <c r="SHT5" s="15"/>
      <c r="SHZ5" s="16"/>
      <c r="SIG5" s="17"/>
      <c r="SIH5" s="17"/>
      <c r="SIL5" s="15"/>
      <c r="SIR5" s="16"/>
      <c r="SIY5" s="17"/>
      <c r="SIZ5" s="17"/>
      <c r="SJD5" s="15"/>
      <c r="SJJ5" s="16"/>
      <c r="SJQ5" s="17"/>
      <c r="SJR5" s="17"/>
      <c r="SJV5" s="15"/>
      <c r="SKB5" s="16"/>
      <c r="SKI5" s="17"/>
      <c r="SKJ5" s="17"/>
      <c r="SKN5" s="15"/>
      <c r="SKT5" s="16"/>
      <c r="SLA5" s="17"/>
      <c r="SLB5" s="17"/>
      <c r="SLF5" s="15"/>
      <c r="SLL5" s="16"/>
      <c r="SLS5" s="17"/>
      <c r="SLT5" s="17"/>
      <c r="SLX5" s="15"/>
      <c r="SMD5" s="16"/>
      <c r="SMK5" s="17"/>
      <c r="SML5" s="17"/>
      <c r="SMP5" s="15"/>
      <c r="SMV5" s="16"/>
      <c r="SNC5" s="17"/>
      <c r="SND5" s="17"/>
      <c r="SNH5" s="15"/>
      <c r="SNN5" s="16"/>
      <c r="SNU5" s="17"/>
      <c r="SNV5" s="17"/>
      <c r="SNZ5" s="15"/>
      <c r="SOF5" s="16"/>
      <c r="SOM5" s="17"/>
      <c r="SON5" s="17"/>
      <c r="SOR5" s="15"/>
      <c r="SOX5" s="16"/>
      <c r="SPE5" s="17"/>
      <c r="SPF5" s="17"/>
      <c r="SPJ5" s="15"/>
      <c r="SPP5" s="16"/>
      <c r="SPW5" s="17"/>
      <c r="SPX5" s="17"/>
      <c r="SQB5" s="15"/>
      <c r="SQH5" s="16"/>
      <c r="SQO5" s="17"/>
      <c r="SQP5" s="17"/>
      <c r="SQT5" s="15"/>
      <c r="SQZ5" s="16"/>
      <c r="SRG5" s="17"/>
      <c r="SRH5" s="17"/>
      <c r="SRL5" s="15"/>
      <c r="SRR5" s="16"/>
      <c r="SRY5" s="17"/>
      <c r="SRZ5" s="17"/>
      <c r="SSD5" s="15"/>
      <c r="SSJ5" s="16"/>
      <c r="SSQ5" s="17"/>
      <c r="SSR5" s="17"/>
      <c r="SSV5" s="15"/>
      <c r="STB5" s="16"/>
      <c r="STI5" s="17"/>
      <c r="STJ5" s="17"/>
      <c r="STN5" s="15"/>
      <c r="STT5" s="16"/>
      <c r="SUA5" s="17"/>
      <c r="SUB5" s="17"/>
      <c r="SUF5" s="15"/>
      <c r="SUL5" s="16"/>
      <c r="SUS5" s="17"/>
      <c r="SUT5" s="17"/>
      <c r="SUX5" s="15"/>
      <c r="SVD5" s="16"/>
      <c r="SVK5" s="17"/>
      <c r="SVL5" s="17"/>
      <c r="SVP5" s="15"/>
      <c r="SVV5" s="16"/>
      <c r="SWC5" s="17"/>
      <c r="SWD5" s="17"/>
      <c r="SWH5" s="15"/>
      <c r="SWN5" s="16"/>
      <c r="SWU5" s="17"/>
      <c r="SWV5" s="17"/>
      <c r="SWZ5" s="15"/>
      <c r="SXF5" s="16"/>
      <c r="SXM5" s="17"/>
      <c r="SXN5" s="17"/>
      <c r="SXR5" s="15"/>
      <c r="SXX5" s="16"/>
      <c r="SYE5" s="17"/>
      <c r="SYF5" s="17"/>
      <c r="SYJ5" s="15"/>
      <c r="SYP5" s="16"/>
      <c r="SYW5" s="17"/>
      <c r="SYX5" s="17"/>
      <c r="SZB5" s="15"/>
      <c r="SZH5" s="16"/>
      <c r="SZO5" s="17"/>
      <c r="SZP5" s="17"/>
      <c r="SZT5" s="15"/>
      <c r="SZZ5" s="16"/>
      <c r="TAG5" s="17"/>
      <c r="TAH5" s="17"/>
      <c r="TAL5" s="15"/>
      <c r="TAR5" s="16"/>
      <c r="TAY5" s="17"/>
      <c r="TAZ5" s="17"/>
      <c r="TBD5" s="15"/>
      <c r="TBJ5" s="16"/>
      <c r="TBQ5" s="17"/>
      <c r="TBR5" s="17"/>
      <c r="TBV5" s="15"/>
      <c r="TCB5" s="16"/>
      <c r="TCI5" s="17"/>
      <c r="TCJ5" s="17"/>
      <c r="TCN5" s="15"/>
      <c r="TCT5" s="16"/>
      <c r="TDA5" s="17"/>
      <c r="TDB5" s="17"/>
      <c r="TDF5" s="15"/>
      <c r="TDL5" s="16"/>
      <c r="TDS5" s="17"/>
      <c r="TDT5" s="17"/>
      <c r="TDX5" s="15"/>
      <c r="TED5" s="16"/>
      <c r="TEK5" s="17"/>
      <c r="TEL5" s="17"/>
      <c r="TEP5" s="15"/>
      <c r="TEV5" s="16"/>
      <c r="TFC5" s="17"/>
      <c r="TFD5" s="17"/>
      <c r="TFH5" s="15"/>
      <c r="TFN5" s="16"/>
      <c r="TFU5" s="17"/>
      <c r="TFV5" s="17"/>
      <c r="TFZ5" s="15"/>
      <c r="TGF5" s="16"/>
      <c r="TGM5" s="17"/>
      <c r="TGN5" s="17"/>
      <c r="TGR5" s="15"/>
      <c r="TGX5" s="16"/>
      <c r="THE5" s="17"/>
      <c r="THF5" s="17"/>
      <c r="THJ5" s="15"/>
      <c r="THP5" s="16"/>
      <c r="THW5" s="17"/>
      <c r="THX5" s="17"/>
      <c r="TIB5" s="15"/>
      <c r="TIH5" s="16"/>
      <c r="TIO5" s="17"/>
      <c r="TIP5" s="17"/>
      <c r="TIT5" s="15"/>
      <c r="TIZ5" s="16"/>
      <c r="TJG5" s="17"/>
      <c r="TJH5" s="17"/>
      <c r="TJL5" s="15"/>
      <c r="TJR5" s="16"/>
      <c r="TJY5" s="17"/>
      <c r="TJZ5" s="17"/>
      <c r="TKD5" s="15"/>
      <c r="TKJ5" s="16"/>
      <c r="TKQ5" s="17"/>
      <c r="TKR5" s="17"/>
      <c r="TKV5" s="15"/>
      <c r="TLB5" s="16"/>
      <c r="TLI5" s="17"/>
      <c r="TLJ5" s="17"/>
      <c r="TLN5" s="15"/>
      <c r="TLT5" s="16"/>
      <c r="TMA5" s="17"/>
      <c r="TMB5" s="17"/>
      <c r="TMF5" s="15"/>
      <c r="TML5" s="16"/>
      <c r="TMS5" s="17"/>
      <c r="TMT5" s="17"/>
      <c r="TMX5" s="15"/>
      <c r="TND5" s="16"/>
      <c r="TNK5" s="17"/>
      <c r="TNL5" s="17"/>
      <c r="TNP5" s="15"/>
      <c r="TNV5" s="16"/>
      <c r="TOC5" s="17"/>
      <c r="TOD5" s="17"/>
      <c r="TOH5" s="15"/>
      <c r="TON5" s="16"/>
      <c r="TOU5" s="17"/>
      <c r="TOV5" s="17"/>
      <c r="TOZ5" s="15"/>
      <c r="TPF5" s="16"/>
      <c r="TPM5" s="17"/>
      <c r="TPN5" s="17"/>
      <c r="TPR5" s="15"/>
      <c r="TPX5" s="16"/>
      <c r="TQE5" s="17"/>
      <c r="TQF5" s="17"/>
      <c r="TQJ5" s="15"/>
      <c r="TQP5" s="16"/>
      <c r="TQW5" s="17"/>
      <c r="TQX5" s="17"/>
      <c r="TRB5" s="15"/>
      <c r="TRH5" s="16"/>
      <c r="TRO5" s="17"/>
      <c r="TRP5" s="17"/>
      <c r="TRT5" s="15"/>
      <c r="TRZ5" s="16"/>
      <c r="TSG5" s="17"/>
      <c r="TSH5" s="17"/>
      <c r="TSL5" s="15"/>
      <c r="TSR5" s="16"/>
      <c r="TSY5" s="17"/>
      <c r="TSZ5" s="17"/>
      <c r="TTD5" s="15"/>
      <c r="TTJ5" s="16"/>
      <c r="TTQ5" s="17"/>
      <c r="TTR5" s="17"/>
      <c r="TTV5" s="15"/>
      <c r="TUB5" s="16"/>
      <c r="TUI5" s="17"/>
      <c r="TUJ5" s="17"/>
      <c r="TUN5" s="15"/>
      <c r="TUT5" s="16"/>
      <c r="TVA5" s="17"/>
      <c r="TVB5" s="17"/>
      <c r="TVF5" s="15"/>
      <c r="TVL5" s="16"/>
      <c r="TVS5" s="17"/>
      <c r="TVT5" s="17"/>
      <c r="TVX5" s="15"/>
      <c r="TWD5" s="16"/>
      <c r="TWK5" s="17"/>
      <c r="TWL5" s="17"/>
      <c r="TWP5" s="15"/>
      <c r="TWV5" s="16"/>
      <c r="TXC5" s="17"/>
      <c r="TXD5" s="17"/>
      <c r="TXH5" s="15"/>
      <c r="TXN5" s="16"/>
      <c r="TXU5" s="17"/>
      <c r="TXV5" s="17"/>
      <c r="TXZ5" s="15"/>
      <c r="TYF5" s="16"/>
      <c r="TYM5" s="17"/>
      <c r="TYN5" s="17"/>
      <c r="TYR5" s="15"/>
      <c r="TYX5" s="16"/>
      <c r="TZE5" s="17"/>
      <c r="TZF5" s="17"/>
      <c r="TZJ5" s="15"/>
      <c r="TZP5" s="16"/>
      <c r="TZW5" s="17"/>
      <c r="TZX5" s="17"/>
      <c r="UAB5" s="15"/>
      <c r="UAH5" s="16"/>
      <c r="UAO5" s="17"/>
      <c r="UAP5" s="17"/>
      <c r="UAT5" s="15"/>
      <c r="UAZ5" s="16"/>
      <c r="UBG5" s="17"/>
      <c r="UBH5" s="17"/>
      <c r="UBL5" s="15"/>
      <c r="UBR5" s="16"/>
      <c r="UBY5" s="17"/>
      <c r="UBZ5" s="17"/>
      <c r="UCD5" s="15"/>
      <c r="UCJ5" s="16"/>
      <c r="UCQ5" s="17"/>
      <c r="UCR5" s="17"/>
      <c r="UCV5" s="15"/>
      <c r="UDB5" s="16"/>
      <c r="UDI5" s="17"/>
      <c r="UDJ5" s="17"/>
      <c r="UDN5" s="15"/>
      <c r="UDT5" s="16"/>
      <c r="UEA5" s="17"/>
      <c r="UEB5" s="17"/>
      <c r="UEF5" s="15"/>
      <c r="UEL5" s="16"/>
      <c r="UES5" s="17"/>
      <c r="UET5" s="17"/>
      <c r="UEX5" s="15"/>
      <c r="UFD5" s="16"/>
      <c r="UFK5" s="17"/>
      <c r="UFL5" s="17"/>
      <c r="UFP5" s="15"/>
      <c r="UFV5" s="16"/>
      <c r="UGC5" s="17"/>
      <c r="UGD5" s="17"/>
      <c r="UGH5" s="15"/>
      <c r="UGN5" s="16"/>
      <c r="UGU5" s="17"/>
      <c r="UGV5" s="17"/>
      <c r="UGZ5" s="15"/>
      <c r="UHF5" s="16"/>
      <c r="UHM5" s="17"/>
      <c r="UHN5" s="17"/>
      <c r="UHR5" s="15"/>
      <c r="UHX5" s="16"/>
      <c r="UIE5" s="17"/>
      <c r="UIF5" s="17"/>
      <c r="UIJ5" s="15"/>
      <c r="UIP5" s="16"/>
      <c r="UIW5" s="17"/>
      <c r="UIX5" s="17"/>
      <c r="UJB5" s="15"/>
      <c r="UJH5" s="16"/>
      <c r="UJO5" s="17"/>
      <c r="UJP5" s="17"/>
      <c r="UJT5" s="15"/>
      <c r="UJZ5" s="16"/>
      <c r="UKG5" s="17"/>
      <c r="UKH5" s="17"/>
      <c r="UKL5" s="15"/>
      <c r="UKR5" s="16"/>
      <c r="UKY5" s="17"/>
      <c r="UKZ5" s="17"/>
      <c r="ULD5" s="15"/>
      <c r="ULJ5" s="16"/>
      <c r="ULQ5" s="17"/>
      <c r="ULR5" s="17"/>
      <c r="ULV5" s="15"/>
      <c r="UMB5" s="16"/>
      <c r="UMI5" s="17"/>
      <c r="UMJ5" s="17"/>
      <c r="UMN5" s="15"/>
      <c r="UMT5" s="16"/>
      <c r="UNA5" s="17"/>
      <c r="UNB5" s="17"/>
      <c r="UNF5" s="15"/>
      <c r="UNL5" s="16"/>
      <c r="UNS5" s="17"/>
      <c r="UNT5" s="17"/>
      <c r="UNX5" s="15"/>
      <c r="UOD5" s="16"/>
      <c r="UOK5" s="17"/>
      <c r="UOL5" s="17"/>
      <c r="UOP5" s="15"/>
      <c r="UOV5" s="16"/>
      <c r="UPC5" s="17"/>
      <c r="UPD5" s="17"/>
      <c r="UPH5" s="15"/>
      <c r="UPN5" s="16"/>
      <c r="UPU5" s="17"/>
      <c r="UPV5" s="17"/>
      <c r="UPZ5" s="15"/>
      <c r="UQF5" s="16"/>
      <c r="UQM5" s="17"/>
      <c r="UQN5" s="17"/>
      <c r="UQR5" s="15"/>
      <c r="UQX5" s="16"/>
      <c r="URE5" s="17"/>
      <c r="URF5" s="17"/>
      <c r="URJ5" s="15"/>
      <c r="URP5" s="16"/>
      <c r="URW5" s="17"/>
      <c r="URX5" s="17"/>
      <c r="USB5" s="15"/>
      <c r="USH5" s="16"/>
      <c r="USO5" s="17"/>
      <c r="USP5" s="17"/>
      <c r="UST5" s="15"/>
      <c r="USZ5" s="16"/>
      <c r="UTG5" s="17"/>
      <c r="UTH5" s="17"/>
      <c r="UTL5" s="15"/>
      <c r="UTR5" s="16"/>
      <c r="UTY5" s="17"/>
      <c r="UTZ5" s="17"/>
      <c r="UUD5" s="15"/>
      <c r="UUJ5" s="16"/>
      <c r="UUQ5" s="17"/>
      <c r="UUR5" s="17"/>
      <c r="UUV5" s="15"/>
      <c r="UVB5" s="16"/>
      <c r="UVI5" s="17"/>
      <c r="UVJ5" s="17"/>
      <c r="UVN5" s="15"/>
      <c r="UVT5" s="16"/>
      <c r="UWA5" s="17"/>
      <c r="UWB5" s="17"/>
      <c r="UWF5" s="15"/>
      <c r="UWL5" s="16"/>
      <c r="UWS5" s="17"/>
      <c r="UWT5" s="17"/>
      <c r="UWX5" s="15"/>
      <c r="UXD5" s="16"/>
      <c r="UXK5" s="17"/>
      <c r="UXL5" s="17"/>
      <c r="UXP5" s="15"/>
      <c r="UXV5" s="16"/>
      <c r="UYC5" s="17"/>
      <c r="UYD5" s="17"/>
      <c r="UYH5" s="15"/>
      <c r="UYN5" s="16"/>
      <c r="UYU5" s="17"/>
      <c r="UYV5" s="17"/>
      <c r="UYZ5" s="15"/>
      <c r="UZF5" s="16"/>
      <c r="UZM5" s="17"/>
      <c r="UZN5" s="17"/>
      <c r="UZR5" s="15"/>
      <c r="UZX5" s="16"/>
      <c r="VAE5" s="17"/>
      <c r="VAF5" s="17"/>
      <c r="VAJ5" s="15"/>
      <c r="VAP5" s="16"/>
      <c r="VAW5" s="17"/>
      <c r="VAX5" s="17"/>
      <c r="VBB5" s="15"/>
      <c r="VBH5" s="16"/>
      <c r="VBO5" s="17"/>
      <c r="VBP5" s="17"/>
      <c r="VBT5" s="15"/>
      <c r="VBZ5" s="16"/>
      <c r="VCG5" s="17"/>
      <c r="VCH5" s="17"/>
      <c r="VCL5" s="15"/>
      <c r="VCR5" s="16"/>
      <c r="VCY5" s="17"/>
      <c r="VCZ5" s="17"/>
      <c r="VDD5" s="15"/>
      <c r="VDJ5" s="16"/>
      <c r="VDQ5" s="17"/>
      <c r="VDR5" s="17"/>
      <c r="VDV5" s="15"/>
      <c r="VEB5" s="16"/>
      <c r="VEI5" s="17"/>
      <c r="VEJ5" s="17"/>
      <c r="VEN5" s="15"/>
      <c r="VET5" s="16"/>
      <c r="VFA5" s="17"/>
      <c r="VFB5" s="17"/>
      <c r="VFF5" s="15"/>
      <c r="VFL5" s="16"/>
      <c r="VFS5" s="17"/>
      <c r="VFT5" s="17"/>
      <c r="VFX5" s="15"/>
      <c r="VGD5" s="16"/>
      <c r="VGK5" s="17"/>
      <c r="VGL5" s="17"/>
      <c r="VGP5" s="15"/>
      <c r="VGV5" s="16"/>
      <c r="VHC5" s="17"/>
      <c r="VHD5" s="17"/>
      <c r="VHH5" s="15"/>
      <c r="VHN5" s="16"/>
      <c r="VHU5" s="17"/>
      <c r="VHV5" s="17"/>
      <c r="VHZ5" s="15"/>
      <c r="VIF5" s="16"/>
      <c r="VIM5" s="17"/>
      <c r="VIN5" s="17"/>
      <c r="VIR5" s="15"/>
      <c r="VIX5" s="16"/>
      <c r="VJE5" s="17"/>
      <c r="VJF5" s="17"/>
      <c r="VJJ5" s="15"/>
      <c r="VJP5" s="16"/>
      <c r="VJW5" s="17"/>
      <c r="VJX5" s="17"/>
      <c r="VKB5" s="15"/>
      <c r="VKH5" s="16"/>
      <c r="VKO5" s="17"/>
      <c r="VKP5" s="17"/>
      <c r="VKT5" s="15"/>
      <c r="VKZ5" s="16"/>
      <c r="VLG5" s="17"/>
      <c r="VLH5" s="17"/>
      <c r="VLL5" s="15"/>
      <c r="VLR5" s="16"/>
      <c r="VLY5" s="17"/>
      <c r="VLZ5" s="17"/>
      <c r="VMD5" s="15"/>
      <c r="VMJ5" s="16"/>
      <c r="VMQ5" s="17"/>
      <c r="VMR5" s="17"/>
      <c r="VMV5" s="15"/>
      <c r="VNB5" s="16"/>
      <c r="VNI5" s="17"/>
      <c r="VNJ5" s="17"/>
      <c r="VNN5" s="15"/>
      <c r="VNT5" s="16"/>
      <c r="VOA5" s="17"/>
      <c r="VOB5" s="17"/>
      <c r="VOF5" s="15"/>
      <c r="VOL5" s="16"/>
      <c r="VOS5" s="17"/>
      <c r="VOT5" s="17"/>
      <c r="VOX5" s="15"/>
      <c r="VPD5" s="16"/>
      <c r="VPK5" s="17"/>
      <c r="VPL5" s="17"/>
      <c r="VPP5" s="15"/>
      <c r="VPV5" s="16"/>
      <c r="VQC5" s="17"/>
      <c r="VQD5" s="17"/>
      <c r="VQH5" s="15"/>
      <c r="VQN5" s="16"/>
      <c r="VQU5" s="17"/>
      <c r="VQV5" s="17"/>
      <c r="VQZ5" s="15"/>
      <c r="VRF5" s="16"/>
      <c r="VRM5" s="17"/>
      <c r="VRN5" s="17"/>
      <c r="VRR5" s="15"/>
      <c r="VRX5" s="16"/>
      <c r="VSE5" s="17"/>
      <c r="VSF5" s="17"/>
      <c r="VSJ5" s="15"/>
      <c r="VSP5" s="16"/>
      <c r="VSW5" s="17"/>
      <c r="VSX5" s="17"/>
      <c r="VTB5" s="15"/>
      <c r="VTH5" s="16"/>
      <c r="VTO5" s="17"/>
      <c r="VTP5" s="17"/>
      <c r="VTT5" s="15"/>
      <c r="VTZ5" s="16"/>
      <c r="VUG5" s="17"/>
      <c r="VUH5" s="17"/>
      <c r="VUL5" s="15"/>
      <c r="VUR5" s="16"/>
      <c r="VUY5" s="17"/>
      <c r="VUZ5" s="17"/>
      <c r="VVD5" s="15"/>
      <c r="VVJ5" s="16"/>
      <c r="VVQ5" s="17"/>
      <c r="VVR5" s="17"/>
      <c r="VVV5" s="15"/>
      <c r="VWB5" s="16"/>
      <c r="VWI5" s="17"/>
      <c r="VWJ5" s="17"/>
      <c r="VWN5" s="15"/>
      <c r="VWT5" s="16"/>
      <c r="VXA5" s="17"/>
      <c r="VXB5" s="17"/>
      <c r="VXF5" s="15"/>
      <c r="VXL5" s="16"/>
      <c r="VXS5" s="17"/>
      <c r="VXT5" s="17"/>
      <c r="VXX5" s="15"/>
      <c r="VYD5" s="16"/>
      <c r="VYK5" s="17"/>
      <c r="VYL5" s="17"/>
      <c r="VYP5" s="15"/>
      <c r="VYV5" s="16"/>
      <c r="VZC5" s="17"/>
      <c r="VZD5" s="17"/>
      <c r="VZH5" s="15"/>
      <c r="VZN5" s="16"/>
      <c r="VZU5" s="17"/>
      <c r="VZV5" s="17"/>
      <c r="VZZ5" s="15"/>
      <c r="WAF5" s="16"/>
      <c r="WAM5" s="17"/>
      <c r="WAN5" s="17"/>
      <c r="WAR5" s="15"/>
      <c r="WAX5" s="16"/>
      <c r="WBE5" s="17"/>
      <c r="WBF5" s="17"/>
      <c r="WBJ5" s="15"/>
      <c r="WBP5" s="16"/>
      <c r="WBW5" s="17"/>
      <c r="WBX5" s="17"/>
      <c r="WCB5" s="15"/>
      <c r="WCH5" s="16"/>
      <c r="WCO5" s="17"/>
      <c r="WCP5" s="17"/>
      <c r="WCT5" s="15"/>
      <c r="WCZ5" s="16"/>
      <c r="WDG5" s="17"/>
      <c r="WDH5" s="17"/>
      <c r="WDL5" s="15"/>
      <c r="WDR5" s="16"/>
      <c r="WDY5" s="17"/>
      <c r="WDZ5" s="17"/>
      <c r="WED5" s="15"/>
      <c r="WEJ5" s="16"/>
      <c r="WEQ5" s="17"/>
      <c r="WER5" s="17"/>
      <c r="WEV5" s="15"/>
      <c r="WFB5" s="16"/>
      <c r="WFI5" s="17"/>
      <c r="WFJ5" s="17"/>
      <c r="WFN5" s="15"/>
      <c r="WFT5" s="16"/>
      <c r="WGA5" s="17"/>
      <c r="WGB5" s="17"/>
      <c r="WGF5" s="15"/>
      <c r="WGL5" s="16"/>
      <c r="WGS5" s="17"/>
      <c r="WGT5" s="17"/>
      <c r="WGX5" s="15"/>
      <c r="WHD5" s="16"/>
      <c r="WHK5" s="17"/>
      <c r="WHL5" s="17"/>
      <c r="WHP5" s="15"/>
      <c r="WHV5" s="16"/>
      <c r="WIC5" s="17"/>
      <c r="WID5" s="17"/>
      <c r="WIH5" s="15"/>
      <c r="WIN5" s="16"/>
      <c r="WIU5" s="17"/>
      <c r="WIV5" s="17"/>
      <c r="WIZ5" s="15"/>
      <c r="WJF5" s="16"/>
      <c r="WJM5" s="17"/>
      <c r="WJN5" s="17"/>
      <c r="WJR5" s="15"/>
      <c r="WJX5" s="16"/>
      <c r="WKE5" s="17"/>
      <c r="WKF5" s="17"/>
      <c r="WKJ5" s="15"/>
      <c r="WKP5" s="16"/>
      <c r="WKW5" s="17"/>
      <c r="WKX5" s="17"/>
      <c r="WLB5" s="15"/>
      <c r="WLH5" s="16"/>
      <c r="WLO5" s="17"/>
      <c r="WLP5" s="17"/>
      <c r="WLT5" s="15"/>
      <c r="WLZ5" s="16"/>
      <c r="WMG5" s="17"/>
      <c r="WMH5" s="17"/>
      <c r="WML5" s="15"/>
      <c r="WMR5" s="16"/>
      <c r="WMY5" s="17"/>
      <c r="WMZ5" s="17"/>
      <c r="WND5" s="15"/>
      <c r="WNJ5" s="16"/>
      <c r="WNQ5" s="17"/>
      <c r="WNR5" s="17"/>
      <c r="WNV5" s="15"/>
      <c r="WOB5" s="16"/>
      <c r="WOI5" s="17"/>
      <c r="WOJ5" s="17"/>
      <c r="WON5" s="15"/>
      <c r="WOT5" s="16"/>
      <c r="WPA5" s="17"/>
      <c r="WPB5" s="17"/>
      <c r="WPF5" s="15"/>
      <c r="WPL5" s="16"/>
      <c r="WPS5" s="17"/>
      <c r="WPT5" s="17"/>
      <c r="WPX5" s="15"/>
      <c r="WQD5" s="16"/>
      <c r="WQK5" s="17"/>
      <c r="WQL5" s="17"/>
      <c r="WQP5" s="15"/>
      <c r="WQV5" s="16"/>
      <c r="WRC5" s="17"/>
      <c r="WRD5" s="17"/>
      <c r="WRH5" s="15"/>
      <c r="WRN5" s="16"/>
      <c r="WRU5" s="17"/>
      <c r="WRV5" s="17"/>
      <c r="WRZ5" s="15"/>
      <c r="WSF5" s="16"/>
      <c r="WSM5" s="17"/>
      <c r="WSN5" s="17"/>
      <c r="WSR5" s="15"/>
      <c r="WSX5" s="16"/>
      <c r="WTE5" s="17"/>
      <c r="WTF5" s="17"/>
      <c r="WTJ5" s="15"/>
      <c r="WTP5" s="16"/>
      <c r="WTW5" s="17"/>
      <c r="WTX5" s="17"/>
      <c r="WUB5" s="15"/>
      <c r="WUH5" s="16"/>
      <c r="WUO5" s="17"/>
      <c r="WUP5" s="17"/>
      <c r="WUT5" s="15"/>
      <c r="WUZ5" s="16"/>
      <c r="WVG5" s="17"/>
      <c r="WVH5" s="17"/>
      <c r="WVL5" s="15"/>
      <c r="WVR5" s="16"/>
      <c r="WVY5" s="17"/>
      <c r="WVZ5" s="17"/>
      <c r="WWD5" s="15"/>
      <c r="WWJ5" s="16"/>
      <c r="WWQ5" s="17"/>
      <c r="WWR5" s="17"/>
      <c r="WWV5" s="15"/>
      <c r="WXB5" s="16"/>
      <c r="WXI5" s="17"/>
      <c r="WXJ5" s="17"/>
      <c r="WXN5" s="15"/>
      <c r="WXT5" s="16"/>
      <c r="WYA5" s="17"/>
      <c r="WYB5" s="17"/>
      <c r="WYF5" s="15"/>
      <c r="WYL5" s="16"/>
      <c r="WYS5" s="17"/>
      <c r="WYT5" s="17"/>
      <c r="WYX5" s="15"/>
      <c r="WZD5" s="16"/>
      <c r="WZK5" s="17"/>
      <c r="WZL5" s="17"/>
      <c r="WZP5" s="15"/>
      <c r="WZV5" s="16"/>
      <c r="XAC5" s="17"/>
      <c r="XAD5" s="17"/>
      <c r="XAH5" s="15"/>
      <c r="XAN5" s="16"/>
      <c r="XAU5" s="17"/>
      <c r="XAV5" s="17"/>
      <c r="XAZ5" s="15"/>
      <c r="XBF5" s="16"/>
      <c r="XBM5" s="17"/>
      <c r="XBN5" s="17"/>
      <c r="XBR5" s="15"/>
      <c r="XBX5" s="16"/>
      <c r="XCE5" s="17"/>
      <c r="XCF5" s="17"/>
      <c r="XCJ5" s="15"/>
      <c r="XCP5" s="16"/>
      <c r="XCW5" s="17"/>
      <c r="XCX5" s="17"/>
      <c r="XDB5" s="15"/>
      <c r="XDH5" s="16"/>
      <c r="XDO5" s="17"/>
      <c r="XDP5" s="17"/>
      <c r="XDT5" s="15"/>
      <c r="XDZ5" s="16"/>
      <c r="XEG5" s="17"/>
      <c r="XEH5" s="17"/>
      <c r="XEL5" s="15"/>
      <c r="XER5" s="16"/>
      <c r="XEY5" s="17"/>
      <c r="XEZ5" s="17"/>
      <c r="XFD5" s="15"/>
    </row>
    <row r="6" spans="1:1018 1025:2044 2051:3070 3077:4096 4103:5116 5122:6142 6148:7168 7174:8190 8194:9216 9220:10234 10241:11260 11267:12286 12293:13312 13319:14332 14338:15358 15364:16384">
      <c r="A6" s="17" t="s">
        <v>33</v>
      </c>
      <c r="B6" s="9">
        <v>2011</v>
      </c>
      <c r="C6" s="9" t="s">
        <v>21</v>
      </c>
      <c r="D6" s="9" t="s">
        <v>22</v>
      </c>
      <c r="E6" s="10" t="s">
        <v>34</v>
      </c>
      <c r="F6" s="19" t="s">
        <v>35</v>
      </c>
      <c r="G6" s="20">
        <v>101776402</v>
      </c>
      <c r="H6" s="20">
        <v>101712176</v>
      </c>
      <c r="I6" s="12">
        <v>14</v>
      </c>
      <c r="J6" s="13" t="s">
        <v>36</v>
      </c>
      <c r="K6" s="14" t="s">
        <v>26</v>
      </c>
      <c r="M6" s="14" t="s">
        <v>26</v>
      </c>
      <c r="O6" s="14" t="s">
        <v>26</v>
      </c>
      <c r="Q6" s="14" t="s">
        <v>27</v>
      </c>
      <c r="R6" s="14" t="s">
        <v>28</v>
      </c>
      <c r="V6" s="15"/>
      <c r="AB6" s="16"/>
      <c r="AI6" s="17"/>
      <c r="AJ6" s="17"/>
      <c r="AN6" s="15"/>
      <c r="AT6" s="16"/>
      <c r="BA6" s="17"/>
      <c r="BB6" s="17"/>
      <c r="BF6" s="15"/>
      <c r="BL6" s="16"/>
      <c r="BS6" s="17"/>
      <c r="BT6" s="17"/>
      <c r="BX6" s="15"/>
      <c r="CD6" s="16"/>
      <c r="CK6" s="17"/>
      <c r="CL6" s="17"/>
      <c r="CP6" s="15"/>
      <c r="CV6" s="16"/>
      <c r="DC6" s="17"/>
      <c r="DD6" s="17"/>
      <c r="DH6" s="15"/>
      <c r="DN6" s="16"/>
      <c r="DU6" s="17"/>
      <c r="DV6" s="17"/>
      <c r="DZ6" s="15"/>
      <c r="EF6" s="16"/>
      <c r="EM6" s="17"/>
      <c r="EN6" s="17"/>
      <c r="ER6" s="15"/>
      <c r="EX6" s="16"/>
      <c r="FE6" s="17"/>
      <c r="FF6" s="17"/>
      <c r="FJ6" s="15"/>
      <c r="FP6" s="16"/>
      <c r="FW6" s="17"/>
      <c r="FX6" s="17"/>
      <c r="GB6" s="15"/>
      <c r="GH6" s="16"/>
      <c r="GO6" s="17"/>
      <c r="GP6" s="17"/>
      <c r="GT6" s="15"/>
      <c r="GZ6" s="16"/>
      <c r="HG6" s="17"/>
      <c r="HH6" s="17"/>
      <c r="HL6" s="15"/>
      <c r="HR6" s="16"/>
      <c r="HY6" s="17"/>
      <c r="HZ6" s="17"/>
      <c r="ID6" s="15"/>
      <c r="IJ6" s="16"/>
      <c r="IQ6" s="17"/>
      <c r="IR6" s="17"/>
      <c r="IV6" s="15"/>
      <c r="JB6" s="16"/>
      <c r="JI6" s="17"/>
      <c r="JJ6" s="17"/>
      <c r="JN6" s="15"/>
      <c r="JT6" s="16"/>
      <c r="KA6" s="17"/>
      <c r="KB6" s="17"/>
      <c r="KF6" s="15"/>
      <c r="KL6" s="16"/>
      <c r="KS6" s="17"/>
      <c r="KT6" s="17"/>
      <c r="KX6" s="15"/>
      <c r="LD6" s="16"/>
      <c r="LK6" s="17"/>
      <c r="LL6" s="17"/>
      <c r="LP6" s="15"/>
      <c r="LV6" s="16"/>
      <c r="MC6" s="17"/>
      <c r="MD6" s="17"/>
      <c r="MH6" s="15"/>
      <c r="MN6" s="16"/>
      <c r="MU6" s="17"/>
      <c r="MV6" s="17"/>
      <c r="MZ6" s="15"/>
      <c r="NF6" s="16"/>
      <c r="NM6" s="17"/>
      <c r="NN6" s="17"/>
      <c r="NR6" s="15"/>
      <c r="NX6" s="16"/>
      <c r="OE6" s="17"/>
      <c r="OF6" s="17"/>
      <c r="OJ6" s="15"/>
      <c r="OP6" s="16"/>
      <c r="OW6" s="17"/>
      <c r="OX6" s="17"/>
      <c r="PB6" s="15"/>
      <c r="PH6" s="16"/>
      <c r="PO6" s="17"/>
      <c r="PP6" s="17"/>
      <c r="PT6" s="15"/>
      <c r="PZ6" s="16"/>
      <c r="QG6" s="17"/>
      <c r="QH6" s="17"/>
      <c r="QL6" s="15"/>
      <c r="QR6" s="16"/>
      <c r="QY6" s="17"/>
      <c r="QZ6" s="17"/>
      <c r="RD6" s="15"/>
      <c r="RJ6" s="16"/>
      <c r="RQ6" s="17"/>
      <c r="RR6" s="17"/>
      <c r="RV6" s="15"/>
      <c r="SB6" s="16"/>
      <c r="SI6" s="17"/>
      <c r="SJ6" s="17"/>
      <c r="SN6" s="15"/>
      <c r="ST6" s="16"/>
      <c r="TA6" s="17"/>
      <c r="TB6" s="17"/>
      <c r="TF6" s="15"/>
      <c r="TL6" s="16"/>
      <c r="TS6" s="17"/>
      <c r="TT6" s="17"/>
      <c r="TX6" s="15"/>
      <c r="UD6" s="16"/>
      <c r="UK6" s="17"/>
      <c r="UL6" s="17"/>
      <c r="UP6" s="15"/>
      <c r="UV6" s="16"/>
      <c r="VC6" s="17"/>
      <c r="VD6" s="17"/>
      <c r="VH6" s="15"/>
      <c r="VN6" s="16"/>
      <c r="VU6" s="17"/>
      <c r="VV6" s="17"/>
      <c r="VZ6" s="15"/>
      <c r="WF6" s="16"/>
      <c r="WM6" s="17"/>
      <c r="WN6" s="17"/>
      <c r="WR6" s="15"/>
      <c r="WX6" s="16"/>
      <c r="XE6" s="17"/>
      <c r="XF6" s="17"/>
      <c r="XJ6" s="15"/>
      <c r="XP6" s="16"/>
      <c r="XW6" s="17"/>
      <c r="XX6" s="17"/>
      <c r="YB6" s="15"/>
      <c r="YH6" s="16"/>
      <c r="YO6" s="17"/>
      <c r="YP6" s="17"/>
      <c r="YT6" s="15"/>
      <c r="YZ6" s="16"/>
      <c r="ZG6" s="17"/>
      <c r="ZH6" s="17"/>
      <c r="ZL6" s="15"/>
      <c r="ZR6" s="16"/>
      <c r="ZY6" s="17"/>
      <c r="ZZ6" s="17"/>
      <c r="AAD6" s="15"/>
      <c r="AAJ6" s="16"/>
      <c r="AAQ6" s="17"/>
      <c r="AAR6" s="17"/>
      <c r="AAV6" s="15"/>
      <c r="ABB6" s="16"/>
      <c r="ABI6" s="17"/>
      <c r="ABJ6" s="17"/>
      <c r="ABN6" s="15"/>
      <c r="ABT6" s="16"/>
      <c r="ACA6" s="17"/>
      <c r="ACB6" s="17"/>
      <c r="ACF6" s="15"/>
      <c r="ACL6" s="16"/>
      <c r="ACS6" s="17"/>
      <c r="ACT6" s="17"/>
      <c r="ACX6" s="15"/>
      <c r="ADD6" s="16"/>
      <c r="ADK6" s="17"/>
      <c r="ADL6" s="17"/>
      <c r="ADP6" s="15"/>
      <c r="ADV6" s="16"/>
      <c r="AEC6" s="17"/>
      <c r="AED6" s="17"/>
      <c r="AEH6" s="15"/>
      <c r="AEN6" s="16"/>
      <c r="AEU6" s="17"/>
      <c r="AEV6" s="17"/>
      <c r="AEZ6" s="15"/>
      <c r="AFF6" s="16"/>
      <c r="AFM6" s="17"/>
      <c r="AFN6" s="17"/>
      <c r="AFR6" s="15"/>
      <c r="AFX6" s="16"/>
      <c r="AGE6" s="17"/>
      <c r="AGF6" s="17"/>
      <c r="AGJ6" s="15"/>
      <c r="AGP6" s="16"/>
      <c r="AGW6" s="17"/>
      <c r="AGX6" s="17"/>
      <c r="AHB6" s="15"/>
      <c r="AHH6" s="16"/>
      <c r="AHO6" s="17"/>
      <c r="AHP6" s="17"/>
      <c r="AHT6" s="15"/>
      <c r="AHZ6" s="16"/>
      <c r="AIG6" s="17"/>
      <c r="AIH6" s="17"/>
      <c r="AIL6" s="15"/>
      <c r="AIR6" s="16"/>
      <c r="AIY6" s="17"/>
      <c r="AIZ6" s="17"/>
      <c r="AJD6" s="15"/>
      <c r="AJJ6" s="16"/>
      <c r="AJQ6" s="17"/>
      <c r="AJR6" s="17"/>
      <c r="AJV6" s="15"/>
      <c r="AKB6" s="16"/>
      <c r="AKI6" s="17"/>
      <c r="AKJ6" s="17"/>
      <c r="AKN6" s="15"/>
      <c r="AKT6" s="16"/>
      <c r="ALA6" s="17"/>
      <c r="ALB6" s="17"/>
      <c r="ALF6" s="15"/>
      <c r="ALL6" s="16"/>
      <c r="ALS6" s="17"/>
      <c r="ALT6" s="17"/>
      <c r="ALX6" s="15"/>
      <c r="AMD6" s="16"/>
      <c r="AMK6" s="17"/>
      <c r="AML6" s="17"/>
      <c r="AMP6" s="15"/>
      <c r="AMV6" s="16"/>
      <c r="ANC6" s="17"/>
      <c r="AND6" s="17"/>
      <c r="ANH6" s="15"/>
      <c r="ANN6" s="16"/>
      <c r="ANU6" s="17"/>
      <c r="ANV6" s="17"/>
      <c r="ANZ6" s="15"/>
      <c r="AOF6" s="16"/>
      <c r="AOM6" s="17"/>
      <c r="AON6" s="17"/>
      <c r="AOR6" s="15"/>
      <c r="AOX6" s="16"/>
      <c r="APE6" s="17"/>
      <c r="APF6" s="17"/>
      <c r="APJ6" s="15"/>
      <c r="APP6" s="16"/>
      <c r="APW6" s="17"/>
      <c r="APX6" s="17"/>
      <c r="AQB6" s="15"/>
      <c r="AQH6" s="16"/>
      <c r="AQO6" s="17"/>
      <c r="AQP6" s="17"/>
      <c r="AQT6" s="15"/>
      <c r="AQZ6" s="16"/>
      <c r="ARG6" s="17"/>
      <c r="ARH6" s="17"/>
      <c r="ARL6" s="15"/>
      <c r="ARR6" s="16"/>
      <c r="ARY6" s="17"/>
      <c r="ARZ6" s="17"/>
      <c r="ASD6" s="15"/>
      <c r="ASJ6" s="16"/>
      <c r="ASQ6" s="17"/>
      <c r="ASR6" s="17"/>
      <c r="ASV6" s="15"/>
      <c r="ATB6" s="16"/>
      <c r="ATI6" s="17"/>
      <c r="ATJ6" s="17"/>
      <c r="ATN6" s="15"/>
      <c r="ATT6" s="16"/>
      <c r="AUA6" s="17"/>
      <c r="AUB6" s="17"/>
      <c r="AUF6" s="15"/>
      <c r="AUL6" s="16"/>
      <c r="AUS6" s="17"/>
      <c r="AUT6" s="17"/>
      <c r="AUX6" s="15"/>
      <c r="AVD6" s="16"/>
      <c r="AVK6" s="17"/>
      <c r="AVL6" s="17"/>
      <c r="AVP6" s="15"/>
      <c r="AVV6" s="16"/>
      <c r="AWC6" s="17"/>
      <c r="AWD6" s="17"/>
      <c r="AWH6" s="15"/>
      <c r="AWN6" s="16"/>
      <c r="AWU6" s="17"/>
      <c r="AWV6" s="17"/>
      <c r="AWZ6" s="15"/>
      <c r="AXF6" s="16"/>
      <c r="AXM6" s="17"/>
      <c r="AXN6" s="17"/>
      <c r="AXR6" s="15"/>
      <c r="AXX6" s="16"/>
      <c r="AYE6" s="17"/>
      <c r="AYF6" s="17"/>
      <c r="AYJ6" s="15"/>
      <c r="AYP6" s="16"/>
      <c r="AYW6" s="17"/>
      <c r="AYX6" s="17"/>
      <c r="AZB6" s="15"/>
      <c r="AZH6" s="16"/>
      <c r="AZO6" s="17"/>
      <c r="AZP6" s="17"/>
      <c r="AZT6" s="15"/>
      <c r="AZZ6" s="16"/>
      <c r="BAG6" s="17"/>
      <c r="BAH6" s="17"/>
      <c r="BAL6" s="15"/>
      <c r="BAR6" s="16"/>
      <c r="BAY6" s="17"/>
      <c r="BAZ6" s="17"/>
      <c r="BBD6" s="15"/>
      <c r="BBJ6" s="16"/>
      <c r="BBQ6" s="17"/>
      <c r="BBR6" s="17"/>
      <c r="BBV6" s="15"/>
      <c r="BCB6" s="16"/>
      <c r="BCI6" s="17"/>
      <c r="BCJ6" s="17"/>
      <c r="BCN6" s="15"/>
      <c r="BCT6" s="16"/>
      <c r="BDA6" s="17"/>
      <c r="BDB6" s="17"/>
      <c r="BDF6" s="15"/>
      <c r="BDL6" s="16"/>
      <c r="BDS6" s="17"/>
      <c r="BDT6" s="17"/>
      <c r="BDX6" s="15"/>
      <c r="BED6" s="16"/>
      <c r="BEK6" s="17"/>
      <c r="BEL6" s="17"/>
      <c r="BEP6" s="15"/>
      <c r="BEV6" s="16"/>
      <c r="BFC6" s="17"/>
      <c r="BFD6" s="17"/>
      <c r="BFH6" s="15"/>
      <c r="BFN6" s="16"/>
      <c r="BFU6" s="17"/>
      <c r="BFV6" s="17"/>
      <c r="BFZ6" s="15"/>
      <c r="BGF6" s="16"/>
      <c r="BGM6" s="17"/>
      <c r="BGN6" s="17"/>
      <c r="BGR6" s="15"/>
      <c r="BGX6" s="16"/>
      <c r="BHE6" s="17"/>
      <c r="BHF6" s="17"/>
      <c r="BHJ6" s="15"/>
      <c r="BHP6" s="16"/>
      <c r="BHW6" s="17"/>
      <c r="BHX6" s="17"/>
      <c r="BIB6" s="15"/>
      <c r="BIH6" s="16"/>
      <c r="BIO6" s="17"/>
      <c r="BIP6" s="17"/>
      <c r="BIT6" s="15"/>
      <c r="BIZ6" s="16"/>
      <c r="BJG6" s="17"/>
      <c r="BJH6" s="17"/>
      <c r="BJL6" s="15"/>
      <c r="BJR6" s="16"/>
      <c r="BJY6" s="17"/>
      <c r="BJZ6" s="17"/>
      <c r="BKD6" s="15"/>
      <c r="BKJ6" s="16"/>
      <c r="BKQ6" s="17"/>
      <c r="BKR6" s="17"/>
      <c r="BKV6" s="15"/>
      <c r="BLB6" s="16"/>
      <c r="BLI6" s="17"/>
      <c r="BLJ6" s="17"/>
      <c r="BLN6" s="15"/>
      <c r="BLT6" s="16"/>
      <c r="BMA6" s="17"/>
      <c r="BMB6" s="17"/>
      <c r="BMF6" s="15"/>
      <c r="BML6" s="16"/>
      <c r="BMS6" s="17"/>
      <c r="BMT6" s="17"/>
      <c r="BMX6" s="15"/>
      <c r="BND6" s="16"/>
      <c r="BNK6" s="17"/>
      <c r="BNL6" s="17"/>
      <c r="BNP6" s="15"/>
      <c r="BNV6" s="16"/>
      <c r="BOC6" s="17"/>
      <c r="BOD6" s="17"/>
      <c r="BOH6" s="15"/>
      <c r="BON6" s="16"/>
      <c r="BOU6" s="17"/>
      <c r="BOV6" s="17"/>
      <c r="BOZ6" s="15"/>
      <c r="BPF6" s="16"/>
      <c r="BPM6" s="17"/>
      <c r="BPN6" s="17"/>
      <c r="BPR6" s="15"/>
      <c r="BPX6" s="16"/>
      <c r="BQE6" s="17"/>
      <c r="BQF6" s="17"/>
      <c r="BQJ6" s="15"/>
      <c r="BQP6" s="16"/>
      <c r="BQW6" s="17"/>
      <c r="BQX6" s="17"/>
      <c r="BRB6" s="15"/>
      <c r="BRH6" s="16"/>
      <c r="BRO6" s="17"/>
      <c r="BRP6" s="17"/>
      <c r="BRT6" s="15"/>
      <c r="BRZ6" s="16"/>
      <c r="BSG6" s="17"/>
      <c r="BSH6" s="17"/>
      <c r="BSL6" s="15"/>
      <c r="BSR6" s="16"/>
      <c r="BSY6" s="17"/>
      <c r="BSZ6" s="17"/>
      <c r="BTD6" s="15"/>
      <c r="BTJ6" s="16"/>
      <c r="BTQ6" s="17"/>
      <c r="BTR6" s="17"/>
      <c r="BTV6" s="15"/>
      <c r="BUB6" s="16"/>
      <c r="BUI6" s="17"/>
      <c r="BUJ6" s="17"/>
      <c r="BUN6" s="15"/>
      <c r="BUT6" s="16"/>
      <c r="BVA6" s="17"/>
      <c r="BVB6" s="17"/>
      <c r="BVF6" s="15"/>
      <c r="BVL6" s="16"/>
      <c r="BVS6" s="17"/>
      <c r="BVT6" s="17"/>
      <c r="BVX6" s="15"/>
      <c r="BWD6" s="16"/>
      <c r="BWK6" s="17"/>
      <c r="BWL6" s="17"/>
      <c r="BWP6" s="15"/>
      <c r="BWV6" s="16"/>
      <c r="BXC6" s="17"/>
      <c r="BXD6" s="17"/>
      <c r="BXH6" s="15"/>
      <c r="BXN6" s="16"/>
      <c r="BXU6" s="17"/>
      <c r="BXV6" s="17"/>
      <c r="BXZ6" s="15"/>
      <c r="BYF6" s="16"/>
      <c r="BYM6" s="17"/>
      <c r="BYN6" s="17"/>
      <c r="BYR6" s="15"/>
      <c r="BYX6" s="16"/>
      <c r="BZE6" s="17"/>
      <c r="BZF6" s="17"/>
      <c r="BZJ6" s="15"/>
      <c r="BZP6" s="16"/>
      <c r="BZW6" s="17"/>
      <c r="BZX6" s="17"/>
      <c r="CAB6" s="15"/>
      <c r="CAH6" s="16"/>
      <c r="CAO6" s="17"/>
      <c r="CAP6" s="17"/>
      <c r="CAT6" s="15"/>
      <c r="CAZ6" s="16"/>
      <c r="CBG6" s="17"/>
      <c r="CBH6" s="17"/>
      <c r="CBL6" s="15"/>
      <c r="CBR6" s="16"/>
      <c r="CBY6" s="17"/>
      <c r="CBZ6" s="17"/>
      <c r="CCD6" s="15"/>
      <c r="CCJ6" s="16"/>
      <c r="CCQ6" s="17"/>
      <c r="CCR6" s="17"/>
      <c r="CCV6" s="15"/>
      <c r="CDB6" s="16"/>
      <c r="CDI6" s="17"/>
      <c r="CDJ6" s="17"/>
      <c r="CDN6" s="15"/>
      <c r="CDT6" s="16"/>
      <c r="CEA6" s="17"/>
      <c r="CEB6" s="17"/>
      <c r="CEF6" s="15"/>
      <c r="CEL6" s="16"/>
      <c r="CES6" s="17"/>
      <c r="CET6" s="17"/>
      <c r="CEX6" s="15"/>
      <c r="CFD6" s="16"/>
      <c r="CFK6" s="17"/>
      <c r="CFL6" s="17"/>
      <c r="CFP6" s="15"/>
      <c r="CFV6" s="16"/>
      <c r="CGC6" s="17"/>
      <c r="CGD6" s="17"/>
      <c r="CGH6" s="15"/>
      <c r="CGN6" s="16"/>
      <c r="CGU6" s="17"/>
      <c r="CGV6" s="17"/>
      <c r="CGZ6" s="15"/>
      <c r="CHF6" s="16"/>
      <c r="CHM6" s="17"/>
      <c r="CHN6" s="17"/>
      <c r="CHR6" s="15"/>
      <c r="CHX6" s="16"/>
      <c r="CIE6" s="17"/>
      <c r="CIF6" s="17"/>
      <c r="CIJ6" s="15"/>
      <c r="CIP6" s="16"/>
      <c r="CIW6" s="17"/>
      <c r="CIX6" s="17"/>
      <c r="CJB6" s="15"/>
      <c r="CJH6" s="16"/>
      <c r="CJO6" s="17"/>
      <c r="CJP6" s="17"/>
      <c r="CJT6" s="15"/>
      <c r="CJZ6" s="16"/>
      <c r="CKG6" s="17"/>
      <c r="CKH6" s="17"/>
      <c r="CKL6" s="15"/>
      <c r="CKR6" s="16"/>
      <c r="CKY6" s="17"/>
      <c r="CKZ6" s="17"/>
      <c r="CLD6" s="15"/>
      <c r="CLJ6" s="16"/>
      <c r="CLQ6" s="17"/>
      <c r="CLR6" s="17"/>
      <c r="CLV6" s="15"/>
      <c r="CMB6" s="16"/>
      <c r="CMI6" s="17"/>
      <c r="CMJ6" s="17"/>
      <c r="CMN6" s="15"/>
      <c r="CMT6" s="16"/>
      <c r="CNA6" s="17"/>
      <c r="CNB6" s="17"/>
      <c r="CNF6" s="15"/>
      <c r="CNL6" s="16"/>
      <c r="CNS6" s="17"/>
      <c r="CNT6" s="17"/>
      <c r="CNX6" s="15"/>
      <c r="COD6" s="16"/>
      <c r="COK6" s="17"/>
      <c r="COL6" s="17"/>
      <c r="COP6" s="15"/>
      <c r="COV6" s="16"/>
      <c r="CPC6" s="17"/>
      <c r="CPD6" s="17"/>
      <c r="CPH6" s="15"/>
      <c r="CPN6" s="16"/>
      <c r="CPU6" s="17"/>
      <c r="CPV6" s="17"/>
      <c r="CPZ6" s="15"/>
      <c r="CQF6" s="16"/>
      <c r="CQM6" s="17"/>
      <c r="CQN6" s="17"/>
      <c r="CQR6" s="15"/>
      <c r="CQX6" s="16"/>
      <c r="CRE6" s="17"/>
      <c r="CRF6" s="17"/>
      <c r="CRJ6" s="15"/>
      <c r="CRP6" s="16"/>
      <c r="CRW6" s="17"/>
      <c r="CRX6" s="17"/>
      <c r="CSB6" s="15"/>
      <c r="CSH6" s="16"/>
      <c r="CSO6" s="17"/>
      <c r="CSP6" s="17"/>
      <c r="CST6" s="15"/>
      <c r="CSZ6" s="16"/>
      <c r="CTG6" s="17"/>
      <c r="CTH6" s="17"/>
      <c r="CTL6" s="15"/>
      <c r="CTR6" s="16"/>
      <c r="CTY6" s="17"/>
      <c r="CTZ6" s="17"/>
      <c r="CUD6" s="15"/>
      <c r="CUJ6" s="16"/>
      <c r="CUQ6" s="17"/>
      <c r="CUR6" s="17"/>
      <c r="CUV6" s="15"/>
      <c r="CVB6" s="16"/>
      <c r="CVI6" s="17"/>
      <c r="CVJ6" s="17"/>
      <c r="CVN6" s="15"/>
      <c r="CVT6" s="16"/>
      <c r="CWA6" s="17"/>
      <c r="CWB6" s="17"/>
      <c r="CWF6" s="15"/>
      <c r="CWL6" s="16"/>
      <c r="CWS6" s="17"/>
      <c r="CWT6" s="17"/>
      <c r="CWX6" s="15"/>
      <c r="CXD6" s="16"/>
      <c r="CXK6" s="17"/>
      <c r="CXL6" s="17"/>
      <c r="CXP6" s="15"/>
      <c r="CXV6" s="16"/>
      <c r="CYC6" s="17"/>
      <c r="CYD6" s="17"/>
      <c r="CYH6" s="15"/>
      <c r="CYN6" s="16"/>
      <c r="CYU6" s="17"/>
      <c r="CYV6" s="17"/>
      <c r="CYZ6" s="15"/>
      <c r="CZF6" s="16"/>
      <c r="CZM6" s="17"/>
      <c r="CZN6" s="17"/>
      <c r="CZR6" s="15"/>
      <c r="CZX6" s="16"/>
      <c r="DAE6" s="17"/>
      <c r="DAF6" s="17"/>
      <c r="DAJ6" s="15"/>
      <c r="DAP6" s="16"/>
      <c r="DAW6" s="17"/>
      <c r="DAX6" s="17"/>
      <c r="DBB6" s="15"/>
      <c r="DBH6" s="16"/>
      <c r="DBO6" s="17"/>
      <c r="DBP6" s="17"/>
      <c r="DBT6" s="15"/>
      <c r="DBZ6" s="16"/>
      <c r="DCG6" s="17"/>
      <c r="DCH6" s="17"/>
      <c r="DCL6" s="15"/>
      <c r="DCR6" s="16"/>
      <c r="DCY6" s="17"/>
      <c r="DCZ6" s="17"/>
      <c r="DDD6" s="15"/>
      <c r="DDJ6" s="16"/>
      <c r="DDQ6" s="17"/>
      <c r="DDR6" s="17"/>
      <c r="DDV6" s="15"/>
      <c r="DEB6" s="16"/>
      <c r="DEI6" s="17"/>
      <c r="DEJ6" s="17"/>
      <c r="DEN6" s="15"/>
      <c r="DET6" s="16"/>
      <c r="DFA6" s="17"/>
      <c r="DFB6" s="17"/>
      <c r="DFF6" s="15"/>
      <c r="DFL6" s="16"/>
      <c r="DFS6" s="17"/>
      <c r="DFT6" s="17"/>
      <c r="DFX6" s="15"/>
      <c r="DGD6" s="16"/>
      <c r="DGK6" s="17"/>
      <c r="DGL6" s="17"/>
      <c r="DGP6" s="15"/>
      <c r="DGV6" s="16"/>
      <c r="DHC6" s="17"/>
      <c r="DHD6" s="17"/>
      <c r="DHH6" s="15"/>
      <c r="DHN6" s="16"/>
      <c r="DHU6" s="17"/>
      <c r="DHV6" s="17"/>
      <c r="DHZ6" s="15"/>
      <c r="DIF6" s="16"/>
      <c r="DIM6" s="17"/>
      <c r="DIN6" s="17"/>
      <c r="DIR6" s="15"/>
      <c r="DIX6" s="16"/>
      <c r="DJE6" s="17"/>
      <c r="DJF6" s="17"/>
      <c r="DJJ6" s="15"/>
      <c r="DJP6" s="16"/>
      <c r="DJW6" s="17"/>
      <c r="DJX6" s="17"/>
      <c r="DKB6" s="15"/>
      <c r="DKH6" s="16"/>
      <c r="DKO6" s="17"/>
      <c r="DKP6" s="17"/>
      <c r="DKT6" s="15"/>
      <c r="DKZ6" s="16"/>
      <c r="DLG6" s="17"/>
      <c r="DLH6" s="17"/>
      <c r="DLL6" s="15"/>
      <c r="DLR6" s="16"/>
      <c r="DLY6" s="17"/>
      <c r="DLZ6" s="17"/>
      <c r="DMD6" s="15"/>
      <c r="DMJ6" s="16"/>
      <c r="DMQ6" s="17"/>
      <c r="DMR6" s="17"/>
      <c r="DMV6" s="15"/>
      <c r="DNB6" s="16"/>
      <c r="DNI6" s="17"/>
      <c r="DNJ6" s="17"/>
      <c r="DNN6" s="15"/>
      <c r="DNT6" s="16"/>
      <c r="DOA6" s="17"/>
      <c r="DOB6" s="17"/>
      <c r="DOF6" s="15"/>
      <c r="DOL6" s="16"/>
      <c r="DOS6" s="17"/>
      <c r="DOT6" s="17"/>
      <c r="DOX6" s="15"/>
      <c r="DPD6" s="16"/>
      <c r="DPK6" s="17"/>
      <c r="DPL6" s="17"/>
      <c r="DPP6" s="15"/>
      <c r="DPV6" s="16"/>
      <c r="DQC6" s="17"/>
      <c r="DQD6" s="17"/>
      <c r="DQH6" s="15"/>
      <c r="DQN6" s="16"/>
      <c r="DQU6" s="17"/>
      <c r="DQV6" s="17"/>
      <c r="DQZ6" s="15"/>
      <c r="DRF6" s="16"/>
      <c r="DRM6" s="17"/>
      <c r="DRN6" s="17"/>
      <c r="DRR6" s="15"/>
      <c r="DRX6" s="16"/>
      <c r="DSE6" s="17"/>
      <c r="DSF6" s="17"/>
      <c r="DSJ6" s="15"/>
      <c r="DSP6" s="16"/>
      <c r="DSW6" s="17"/>
      <c r="DSX6" s="17"/>
      <c r="DTB6" s="15"/>
      <c r="DTH6" s="16"/>
      <c r="DTO6" s="17"/>
      <c r="DTP6" s="17"/>
      <c r="DTT6" s="15"/>
      <c r="DTZ6" s="16"/>
      <c r="DUG6" s="17"/>
      <c r="DUH6" s="17"/>
      <c r="DUL6" s="15"/>
      <c r="DUR6" s="16"/>
      <c r="DUY6" s="17"/>
      <c r="DUZ6" s="17"/>
      <c r="DVD6" s="15"/>
      <c r="DVJ6" s="16"/>
      <c r="DVQ6" s="17"/>
      <c r="DVR6" s="17"/>
      <c r="DVV6" s="15"/>
      <c r="DWB6" s="16"/>
      <c r="DWI6" s="17"/>
      <c r="DWJ6" s="17"/>
      <c r="DWN6" s="15"/>
      <c r="DWT6" s="16"/>
      <c r="DXA6" s="17"/>
      <c r="DXB6" s="17"/>
      <c r="DXF6" s="15"/>
      <c r="DXL6" s="16"/>
      <c r="DXS6" s="17"/>
      <c r="DXT6" s="17"/>
      <c r="DXX6" s="15"/>
      <c r="DYD6" s="16"/>
      <c r="DYK6" s="17"/>
      <c r="DYL6" s="17"/>
      <c r="DYP6" s="15"/>
      <c r="DYV6" s="16"/>
      <c r="DZC6" s="17"/>
      <c r="DZD6" s="17"/>
      <c r="DZH6" s="15"/>
      <c r="DZN6" s="16"/>
      <c r="DZU6" s="17"/>
      <c r="DZV6" s="17"/>
      <c r="DZZ6" s="15"/>
      <c r="EAF6" s="16"/>
      <c r="EAM6" s="17"/>
      <c r="EAN6" s="17"/>
      <c r="EAR6" s="15"/>
      <c r="EAX6" s="16"/>
      <c r="EBE6" s="17"/>
      <c r="EBF6" s="17"/>
      <c r="EBJ6" s="15"/>
      <c r="EBP6" s="16"/>
      <c r="EBW6" s="17"/>
      <c r="EBX6" s="17"/>
      <c r="ECB6" s="15"/>
      <c r="ECH6" s="16"/>
      <c r="ECO6" s="17"/>
      <c r="ECP6" s="17"/>
      <c r="ECT6" s="15"/>
      <c r="ECZ6" s="16"/>
      <c r="EDG6" s="17"/>
      <c r="EDH6" s="17"/>
      <c r="EDL6" s="15"/>
      <c r="EDR6" s="16"/>
      <c r="EDY6" s="17"/>
      <c r="EDZ6" s="17"/>
      <c r="EED6" s="15"/>
      <c r="EEJ6" s="16"/>
      <c r="EEQ6" s="17"/>
      <c r="EER6" s="17"/>
      <c r="EEV6" s="15"/>
      <c r="EFB6" s="16"/>
      <c r="EFI6" s="17"/>
      <c r="EFJ6" s="17"/>
      <c r="EFN6" s="15"/>
      <c r="EFT6" s="16"/>
      <c r="EGA6" s="17"/>
      <c r="EGB6" s="17"/>
      <c r="EGF6" s="15"/>
      <c r="EGL6" s="16"/>
      <c r="EGS6" s="17"/>
      <c r="EGT6" s="17"/>
      <c r="EGX6" s="15"/>
      <c r="EHD6" s="16"/>
      <c r="EHK6" s="17"/>
      <c r="EHL6" s="17"/>
      <c r="EHP6" s="15"/>
      <c r="EHV6" s="16"/>
      <c r="EIC6" s="17"/>
      <c r="EID6" s="17"/>
      <c r="EIH6" s="15"/>
      <c r="EIN6" s="16"/>
      <c r="EIU6" s="17"/>
      <c r="EIV6" s="17"/>
      <c r="EIZ6" s="15"/>
      <c r="EJF6" s="16"/>
      <c r="EJM6" s="17"/>
      <c r="EJN6" s="17"/>
      <c r="EJR6" s="15"/>
      <c r="EJX6" s="16"/>
      <c r="EKE6" s="17"/>
      <c r="EKF6" s="17"/>
      <c r="EKJ6" s="15"/>
      <c r="EKP6" s="16"/>
      <c r="EKW6" s="17"/>
      <c r="EKX6" s="17"/>
      <c r="ELB6" s="15"/>
      <c r="ELH6" s="16"/>
      <c r="ELO6" s="17"/>
      <c r="ELP6" s="17"/>
      <c r="ELT6" s="15"/>
      <c r="ELZ6" s="16"/>
      <c r="EMG6" s="17"/>
      <c r="EMH6" s="17"/>
      <c r="EML6" s="15"/>
      <c r="EMR6" s="16"/>
      <c r="EMY6" s="17"/>
      <c r="EMZ6" s="17"/>
      <c r="END6" s="15"/>
      <c r="ENJ6" s="16"/>
      <c r="ENQ6" s="17"/>
      <c r="ENR6" s="17"/>
      <c r="ENV6" s="15"/>
      <c r="EOB6" s="16"/>
      <c r="EOI6" s="17"/>
      <c r="EOJ6" s="17"/>
      <c r="EON6" s="15"/>
      <c r="EOT6" s="16"/>
      <c r="EPA6" s="17"/>
      <c r="EPB6" s="17"/>
      <c r="EPF6" s="15"/>
      <c r="EPL6" s="16"/>
      <c r="EPS6" s="17"/>
      <c r="EPT6" s="17"/>
      <c r="EPX6" s="15"/>
      <c r="EQD6" s="16"/>
      <c r="EQK6" s="17"/>
      <c r="EQL6" s="17"/>
      <c r="EQP6" s="15"/>
      <c r="EQV6" s="16"/>
      <c r="ERC6" s="17"/>
      <c r="ERD6" s="17"/>
      <c r="ERH6" s="15"/>
      <c r="ERN6" s="16"/>
      <c r="ERU6" s="17"/>
      <c r="ERV6" s="17"/>
      <c r="ERZ6" s="15"/>
      <c r="ESF6" s="16"/>
      <c r="ESM6" s="17"/>
      <c r="ESN6" s="17"/>
      <c r="ESR6" s="15"/>
      <c r="ESX6" s="16"/>
      <c r="ETE6" s="17"/>
      <c r="ETF6" s="17"/>
      <c r="ETJ6" s="15"/>
      <c r="ETP6" s="16"/>
      <c r="ETW6" s="17"/>
      <c r="ETX6" s="17"/>
      <c r="EUB6" s="15"/>
      <c r="EUH6" s="16"/>
      <c r="EUO6" s="17"/>
      <c r="EUP6" s="17"/>
      <c r="EUT6" s="15"/>
      <c r="EUZ6" s="16"/>
      <c r="EVG6" s="17"/>
      <c r="EVH6" s="17"/>
      <c r="EVL6" s="15"/>
      <c r="EVR6" s="16"/>
      <c r="EVY6" s="17"/>
      <c r="EVZ6" s="17"/>
      <c r="EWD6" s="15"/>
      <c r="EWJ6" s="16"/>
      <c r="EWQ6" s="17"/>
      <c r="EWR6" s="17"/>
      <c r="EWV6" s="15"/>
      <c r="EXB6" s="16"/>
      <c r="EXI6" s="17"/>
      <c r="EXJ6" s="17"/>
      <c r="EXN6" s="15"/>
      <c r="EXT6" s="16"/>
      <c r="EYA6" s="17"/>
      <c r="EYB6" s="17"/>
      <c r="EYF6" s="15"/>
      <c r="EYL6" s="16"/>
      <c r="EYS6" s="17"/>
      <c r="EYT6" s="17"/>
      <c r="EYX6" s="15"/>
      <c r="EZD6" s="16"/>
      <c r="EZK6" s="17"/>
      <c r="EZL6" s="17"/>
      <c r="EZP6" s="15"/>
      <c r="EZV6" s="16"/>
      <c r="FAC6" s="17"/>
      <c r="FAD6" s="17"/>
      <c r="FAH6" s="15"/>
      <c r="FAN6" s="16"/>
      <c r="FAU6" s="17"/>
      <c r="FAV6" s="17"/>
      <c r="FAZ6" s="15"/>
      <c r="FBF6" s="16"/>
      <c r="FBM6" s="17"/>
      <c r="FBN6" s="17"/>
      <c r="FBR6" s="15"/>
      <c r="FBX6" s="16"/>
      <c r="FCE6" s="17"/>
      <c r="FCF6" s="17"/>
      <c r="FCJ6" s="15"/>
      <c r="FCP6" s="16"/>
      <c r="FCW6" s="17"/>
      <c r="FCX6" s="17"/>
      <c r="FDB6" s="15"/>
      <c r="FDH6" s="16"/>
      <c r="FDO6" s="17"/>
      <c r="FDP6" s="17"/>
      <c r="FDT6" s="15"/>
      <c r="FDZ6" s="16"/>
      <c r="FEG6" s="17"/>
      <c r="FEH6" s="17"/>
      <c r="FEL6" s="15"/>
      <c r="FER6" s="16"/>
      <c r="FEY6" s="17"/>
      <c r="FEZ6" s="17"/>
      <c r="FFD6" s="15"/>
      <c r="FFJ6" s="16"/>
      <c r="FFQ6" s="17"/>
      <c r="FFR6" s="17"/>
      <c r="FFV6" s="15"/>
      <c r="FGB6" s="16"/>
      <c r="FGI6" s="17"/>
      <c r="FGJ6" s="17"/>
      <c r="FGN6" s="15"/>
      <c r="FGT6" s="16"/>
      <c r="FHA6" s="17"/>
      <c r="FHB6" s="17"/>
      <c r="FHF6" s="15"/>
      <c r="FHL6" s="16"/>
      <c r="FHS6" s="17"/>
      <c r="FHT6" s="17"/>
      <c r="FHX6" s="15"/>
      <c r="FID6" s="16"/>
      <c r="FIK6" s="17"/>
      <c r="FIL6" s="17"/>
      <c r="FIP6" s="15"/>
      <c r="FIV6" s="16"/>
      <c r="FJC6" s="17"/>
      <c r="FJD6" s="17"/>
      <c r="FJH6" s="15"/>
      <c r="FJN6" s="16"/>
      <c r="FJU6" s="17"/>
      <c r="FJV6" s="17"/>
      <c r="FJZ6" s="15"/>
      <c r="FKF6" s="16"/>
      <c r="FKM6" s="17"/>
      <c r="FKN6" s="17"/>
      <c r="FKR6" s="15"/>
      <c r="FKX6" s="16"/>
      <c r="FLE6" s="17"/>
      <c r="FLF6" s="17"/>
      <c r="FLJ6" s="15"/>
      <c r="FLP6" s="16"/>
      <c r="FLW6" s="17"/>
      <c r="FLX6" s="17"/>
      <c r="FMB6" s="15"/>
      <c r="FMH6" s="16"/>
      <c r="FMO6" s="17"/>
      <c r="FMP6" s="17"/>
      <c r="FMT6" s="15"/>
      <c r="FMZ6" s="16"/>
      <c r="FNG6" s="17"/>
      <c r="FNH6" s="17"/>
      <c r="FNL6" s="15"/>
      <c r="FNR6" s="16"/>
      <c r="FNY6" s="17"/>
      <c r="FNZ6" s="17"/>
      <c r="FOD6" s="15"/>
      <c r="FOJ6" s="16"/>
      <c r="FOQ6" s="17"/>
      <c r="FOR6" s="17"/>
      <c r="FOV6" s="15"/>
      <c r="FPB6" s="16"/>
      <c r="FPI6" s="17"/>
      <c r="FPJ6" s="17"/>
      <c r="FPN6" s="15"/>
      <c r="FPT6" s="16"/>
      <c r="FQA6" s="17"/>
      <c r="FQB6" s="17"/>
      <c r="FQF6" s="15"/>
      <c r="FQL6" s="16"/>
      <c r="FQS6" s="17"/>
      <c r="FQT6" s="17"/>
      <c r="FQX6" s="15"/>
      <c r="FRD6" s="16"/>
      <c r="FRK6" s="17"/>
      <c r="FRL6" s="17"/>
      <c r="FRP6" s="15"/>
      <c r="FRV6" s="16"/>
      <c r="FSC6" s="17"/>
      <c r="FSD6" s="17"/>
      <c r="FSH6" s="15"/>
      <c r="FSN6" s="16"/>
      <c r="FSU6" s="17"/>
      <c r="FSV6" s="17"/>
      <c r="FSZ6" s="15"/>
      <c r="FTF6" s="16"/>
      <c r="FTM6" s="17"/>
      <c r="FTN6" s="17"/>
      <c r="FTR6" s="15"/>
      <c r="FTX6" s="16"/>
      <c r="FUE6" s="17"/>
      <c r="FUF6" s="17"/>
      <c r="FUJ6" s="15"/>
      <c r="FUP6" s="16"/>
      <c r="FUW6" s="17"/>
      <c r="FUX6" s="17"/>
      <c r="FVB6" s="15"/>
      <c r="FVH6" s="16"/>
      <c r="FVO6" s="17"/>
      <c r="FVP6" s="17"/>
      <c r="FVT6" s="15"/>
      <c r="FVZ6" s="16"/>
      <c r="FWG6" s="17"/>
      <c r="FWH6" s="17"/>
      <c r="FWL6" s="15"/>
      <c r="FWR6" s="16"/>
      <c r="FWY6" s="17"/>
      <c r="FWZ6" s="17"/>
      <c r="FXD6" s="15"/>
      <c r="FXJ6" s="16"/>
      <c r="FXQ6" s="17"/>
      <c r="FXR6" s="17"/>
      <c r="FXV6" s="15"/>
      <c r="FYB6" s="16"/>
      <c r="FYI6" s="17"/>
      <c r="FYJ6" s="17"/>
      <c r="FYN6" s="15"/>
      <c r="FYT6" s="16"/>
      <c r="FZA6" s="17"/>
      <c r="FZB6" s="17"/>
      <c r="FZF6" s="15"/>
      <c r="FZL6" s="16"/>
      <c r="FZS6" s="17"/>
      <c r="FZT6" s="17"/>
      <c r="FZX6" s="15"/>
      <c r="GAD6" s="16"/>
      <c r="GAK6" s="17"/>
      <c r="GAL6" s="17"/>
      <c r="GAP6" s="15"/>
      <c r="GAV6" s="16"/>
      <c r="GBC6" s="17"/>
      <c r="GBD6" s="17"/>
      <c r="GBH6" s="15"/>
      <c r="GBN6" s="16"/>
      <c r="GBU6" s="17"/>
      <c r="GBV6" s="17"/>
      <c r="GBZ6" s="15"/>
      <c r="GCF6" s="16"/>
      <c r="GCM6" s="17"/>
      <c r="GCN6" s="17"/>
      <c r="GCR6" s="15"/>
      <c r="GCX6" s="16"/>
      <c r="GDE6" s="17"/>
      <c r="GDF6" s="17"/>
      <c r="GDJ6" s="15"/>
      <c r="GDP6" s="16"/>
      <c r="GDW6" s="17"/>
      <c r="GDX6" s="17"/>
      <c r="GEB6" s="15"/>
      <c r="GEH6" s="16"/>
      <c r="GEO6" s="17"/>
      <c r="GEP6" s="17"/>
      <c r="GET6" s="15"/>
      <c r="GEZ6" s="16"/>
      <c r="GFG6" s="17"/>
      <c r="GFH6" s="17"/>
      <c r="GFL6" s="15"/>
      <c r="GFR6" s="16"/>
      <c r="GFY6" s="17"/>
      <c r="GFZ6" s="17"/>
      <c r="GGD6" s="15"/>
      <c r="GGJ6" s="16"/>
      <c r="GGQ6" s="17"/>
      <c r="GGR6" s="17"/>
      <c r="GGV6" s="15"/>
      <c r="GHB6" s="16"/>
      <c r="GHI6" s="17"/>
      <c r="GHJ6" s="17"/>
      <c r="GHN6" s="15"/>
      <c r="GHT6" s="16"/>
      <c r="GIA6" s="17"/>
      <c r="GIB6" s="17"/>
      <c r="GIF6" s="15"/>
      <c r="GIL6" s="16"/>
      <c r="GIS6" s="17"/>
      <c r="GIT6" s="17"/>
      <c r="GIX6" s="15"/>
      <c r="GJD6" s="16"/>
      <c r="GJK6" s="17"/>
      <c r="GJL6" s="17"/>
      <c r="GJP6" s="15"/>
      <c r="GJV6" s="16"/>
      <c r="GKC6" s="17"/>
      <c r="GKD6" s="17"/>
      <c r="GKH6" s="15"/>
      <c r="GKN6" s="16"/>
      <c r="GKU6" s="17"/>
      <c r="GKV6" s="17"/>
      <c r="GKZ6" s="15"/>
      <c r="GLF6" s="16"/>
      <c r="GLM6" s="17"/>
      <c r="GLN6" s="17"/>
      <c r="GLR6" s="15"/>
      <c r="GLX6" s="16"/>
      <c r="GME6" s="17"/>
      <c r="GMF6" s="17"/>
      <c r="GMJ6" s="15"/>
      <c r="GMP6" s="16"/>
      <c r="GMW6" s="17"/>
      <c r="GMX6" s="17"/>
      <c r="GNB6" s="15"/>
      <c r="GNH6" s="16"/>
      <c r="GNO6" s="17"/>
      <c r="GNP6" s="17"/>
      <c r="GNT6" s="15"/>
      <c r="GNZ6" s="16"/>
      <c r="GOG6" s="17"/>
      <c r="GOH6" s="17"/>
      <c r="GOL6" s="15"/>
      <c r="GOR6" s="16"/>
      <c r="GOY6" s="17"/>
      <c r="GOZ6" s="17"/>
      <c r="GPD6" s="15"/>
      <c r="GPJ6" s="16"/>
      <c r="GPQ6" s="17"/>
      <c r="GPR6" s="17"/>
      <c r="GPV6" s="15"/>
      <c r="GQB6" s="16"/>
      <c r="GQI6" s="17"/>
      <c r="GQJ6" s="17"/>
      <c r="GQN6" s="15"/>
      <c r="GQT6" s="16"/>
      <c r="GRA6" s="17"/>
      <c r="GRB6" s="17"/>
      <c r="GRF6" s="15"/>
      <c r="GRL6" s="16"/>
      <c r="GRS6" s="17"/>
      <c r="GRT6" s="17"/>
      <c r="GRX6" s="15"/>
      <c r="GSD6" s="16"/>
      <c r="GSK6" s="17"/>
      <c r="GSL6" s="17"/>
      <c r="GSP6" s="15"/>
      <c r="GSV6" s="16"/>
      <c r="GTC6" s="17"/>
      <c r="GTD6" s="17"/>
      <c r="GTH6" s="15"/>
      <c r="GTN6" s="16"/>
      <c r="GTU6" s="17"/>
      <c r="GTV6" s="17"/>
      <c r="GTZ6" s="15"/>
      <c r="GUF6" s="16"/>
      <c r="GUM6" s="17"/>
      <c r="GUN6" s="17"/>
      <c r="GUR6" s="15"/>
      <c r="GUX6" s="16"/>
      <c r="GVE6" s="17"/>
      <c r="GVF6" s="17"/>
      <c r="GVJ6" s="15"/>
      <c r="GVP6" s="16"/>
      <c r="GVW6" s="17"/>
      <c r="GVX6" s="17"/>
      <c r="GWB6" s="15"/>
      <c r="GWH6" s="16"/>
      <c r="GWO6" s="17"/>
      <c r="GWP6" s="17"/>
      <c r="GWT6" s="15"/>
      <c r="GWZ6" s="16"/>
      <c r="GXG6" s="17"/>
      <c r="GXH6" s="17"/>
      <c r="GXL6" s="15"/>
      <c r="GXR6" s="16"/>
      <c r="GXY6" s="17"/>
      <c r="GXZ6" s="17"/>
      <c r="GYD6" s="15"/>
      <c r="GYJ6" s="16"/>
      <c r="GYQ6" s="17"/>
      <c r="GYR6" s="17"/>
      <c r="GYV6" s="15"/>
      <c r="GZB6" s="16"/>
      <c r="GZI6" s="17"/>
      <c r="GZJ6" s="17"/>
      <c r="GZN6" s="15"/>
      <c r="GZT6" s="16"/>
      <c r="HAA6" s="17"/>
      <c r="HAB6" s="17"/>
      <c r="HAF6" s="15"/>
      <c r="HAL6" s="16"/>
      <c r="HAS6" s="17"/>
      <c r="HAT6" s="17"/>
      <c r="HAX6" s="15"/>
      <c r="HBD6" s="16"/>
      <c r="HBK6" s="17"/>
      <c r="HBL6" s="17"/>
      <c r="HBP6" s="15"/>
      <c r="HBV6" s="16"/>
      <c r="HCC6" s="17"/>
      <c r="HCD6" s="17"/>
      <c r="HCH6" s="15"/>
      <c r="HCN6" s="16"/>
      <c r="HCU6" s="17"/>
      <c r="HCV6" s="17"/>
      <c r="HCZ6" s="15"/>
      <c r="HDF6" s="16"/>
      <c r="HDM6" s="17"/>
      <c r="HDN6" s="17"/>
      <c r="HDR6" s="15"/>
      <c r="HDX6" s="16"/>
      <c r="HEE6" s="17"/>
      <c r="HEF6" s="17"/>
      <c r="HEJ6" s="15"/>
      <c r="HEP6" s="16"/>
      <c r="HEW6" s="17"/>
      <c r="HEX6" s="17"/>
      <c r="HFB6" s="15"/>
      <c r="HFH6" s="16"/>
      <c r="HFO6" s="17"/>
      <c r="HFP6" s="17"/>
      <c r="HFT6" s="15"/>
      <c r="HFZ6" s="16"/>
      <c r="HGG6" s="17"/>
      <c r="HGH6" s="17"/>
      <c r="HGL6" s="15"/>
      <c r="HGR6" s="16"/>
      <c r="HGY6" s="17"/>
      <c r="HGZ6" s="17"/>
      <c r="HHD6" s="15"/>
      <c r="HHJ6" s="16"/>
      <c r="HHQ6" s="17"/>
      <c r="HHR6" s="17"/>
      <c r="HHV6" s="15"/>
      <c r="HIB6" s="16"/>
      <c r="HII6" s="17"/>
      <c r="HIJ6" s="17"/>
      <c r="HIN6" s="15"/>
      <c r="HIT6" s="16"/>
      <c r="HJA6" s="17"/>
      <c r="HJB6" s="17"/>
      <c r="HJF6" s="15"/>
      <c r="HJL6" s="16"/>
      <c r="HJS6" s="17"/>
      <c r="HJT6" s="17"/>
      <c r="HJX6" s="15"/>
      <c r="HKD6" s="16"/>
      <c r="HKK6" s="17"/>
      <c r="HKL6" s="17"/>
      <c r="HKP6" s="15"/>
      <c r="HKV6" s="16"/>
      <c r="HLC6" s="17"/>
      <c r="HLD6" s="17"/>
      <c r="HLH6" s="15"/>
      <c r="HLN6" s="16"/>
      <c r="HLU6" s="17"/>
      <c r="HLV6" s="17"/>
      <c r="HLZ6" s="15"/>
      <c r="HMF6" s="16"/>
      <c r="HMM6" s="17"/>
      <c r="HMN6" s="17"/>
      <c r="HMR6" s="15"/>
      <c r="HMX6" s="16"/>
      <c r="HNE6" s="17"/>
      <c r="HNF6" s="17"/>
      <c r="HNJ6" s="15"/>
      <c r="HNP6" s="16"/>
      <c r="HNW6" s="17"/>
      <c r="HNX6" s="17"/>
      <c r="HOB6" s="15"/>
      <c r="HOH6" s="16"/>
      <c r="HOO6" s="17"/>
      <c r="HOP6" s="17"/>
      <c r="HOT6" s="15"/>
      <c r="HOZ6" s="16"/>
      <c r="HPG6" s="17"/>
      <c r="HPH6" s="17"/>
      <c r="HPL6" s="15"/>
      <c r="HPR6" s="16"/>
      <c r="HPY6" s="17"/>
      <c r="HPZ6" s="17"/>
      <c r="HQD6" s="15"/>
      <c r="HQJ6" s="16"/>
      <c r="HQQ6" s="17"/>
      <c r="HQR6" s="17"/>
      <c r="HQV6" s="15"/>
      <c r="HRB6" s="16"/>
      <c r="HRI6" s="17"/>
      <c r="HRJ6" s="17"/>
      <c r="HRN6" s="15"/>
      <c r="HRT6" s="16"/>
      <c r="HSA6" s="17"/>
      <c r="HSB6" s="17"/>
      <c r="HSF6" s="15"/>
      <c r="HSL6" s="16"/>
      <c r="HSS6" s="17"/>
      <c r="HST6" s="17"/>
      <c r="HSX6" s="15"/>
      <c r="HTD6" s="16"/>
      <c r="HTK6" s="17"/>
      <c r="HTL6" s="17"/>
      <c r="HTP6" s="15"/>
      <c r="HTV6" s="16"/>
      <c r="HUC6" s="17"/>
      <c r="HUD6" s="17"/>
      <c r="HUH6" s="15"/>
      <c r="HUN6" s="16"/>
      <c r="HUU6" s="17"/>
      <c r="HUV6" s="17"/>
      <c r="HUZ6" s="15"/>
      <c r="HVF6" s="16"/>
      <c r="HVM6" s="17"/>
      <c r="HVN6" s="17"/>
      <c r="HVR6" s="15"/>
      <c r="HVX6" s="16"/>
      <c r="HWE6" s="17"/>
      <c r="HWF6" s="17"/>
      <c r="HWJ6" s="15"/>
      <c r="HWP6" s="16"/>
      <c r="HWW6" s="17"/>
      <c r="HWX6" s="17"/>
      <c r="HXB6" s="15"/>
      <c r="HXH6" s="16"/>
      <c r="HXO6" s="17"/>
      <c r="HXP6" s="17"/>
      <c r="HXT6" s="15"/>
      <c r="HXZ6" s="16"/>
      <c r="HYG6" s="17"/>
      <c r="HYH6" s="17"/>
      <c r="HYL6" s="15"/>
      <c r="HYR6" s="16"/>
      <c r="HYY6" s="17"/>
      <c r="HYZ6" s="17"/>
      <c r="HZD6" s="15"/>
      <c r="HZJ6" s="16"/>
      <c r="HZQ6" s="17"/>
      <c r="HZR6" s="17"/>
      <c r="HZV6" s="15"/>
      <c r="IAB6" s="16"/>
      <c r="IAI6" s="17"/>
      <c r="IAJ6" s="17"/>
      <c r="IAN6" s="15"/>
      <c r="IAT6" s="16"/>
      <c r="IBA6" s="17"/>
      <c r="IBB6" s="17"/>
      <c r="IBF6" s="15"/>
      <c r="IBL6" s="16"/>
      <c r="IBS6" s="17"/>
      <c r="IBT6" s="17"/>
      <c r="IBX6" s="15"/>
      <c r="ICD6" s="16"/>
      <c r="ICK6" s="17"/>
      <c r="ICL6" s="17"/>
      <c r="ICP6" s="15"/>
      <c r="ICV6" s="16"/>
      <c r="IDC6" s="17"/>
      <c r="IDD6" s="17"/>
      <c r="IDH6" s="15"/>
      <c r="IDN6" s="16"/>
      <c r="IDU6" s="17"/>
      <c r="IDV6" s="17"/>
      <c r="IDZ6" s="15"/>
      <c r="IEF6" s="16"/>
      <c r="IEM6" s="17"/>
      <c r="IEN6" s="17"/>
      <c r="IER6" s="15"/>
      <c r="IEX6" s="16"/>
      <c r="IFE6" s="17"/>
      <c r="IFF6" s="17"/>
      <c r="IFJ6" s="15"/>
      <c r="IFP6" s="16"/>
      <c r="IFW6" s="17"/>
      <c r="IFX6" s="17"/>
      <c r="IGB6" s="15"/>
      <c r="IGH6" s="16"/>
      <c r="IGO6" s="17"/>
      <c r="IGP6" s="17"/>
      <c r="IGT6" s="15"/>
      <c r="IGZ6" s="16"/>
      <c r="IHG6" s="17"/>
      <c r="IHH6" s="17"/>
      <c r="IHL6" s="15"/>
      <c r="IHR6" s="16"/>
      <c r="IHY6" s="17"/>
      <c r="IHZ6" s="17"/>
      <c r="IID6" s="15"/>
      <c r="IIJ6" s="16"/>
      <c r="IIQ6" s="17"/>
      <c r="IIR6" s="17"/>
      <c r="IIV6" s="15"/>
      <c r="IJB6" s="16"/>
      <c r="IJI6" s="17"/>
      <c r="IJJ6" s="17"/>
      <c r="IJN6" s="15"/>
      <c r="IJT6" s="16"/>
      <c r="IKA6" s="17"/>
      <c r="IKB6" s="17"/>
      <c r="IKF6" s="15"/>
      <c r="IKL6" s="16"/>
      <c r="IKS6" s="17"/>
      <c r="IKT6" s="17"/>
      <c r="IKX6" s="15"/>
      <c r="ILD6" s="16"/>
      <c r="ILK6" s="17"/>
      <c r="ILL6" s="17"/>
      <c r="ILP6" s="15"/>
      <c r="ILV6" s="16"/>
      <c r="IMC6" s="17"/>
      <c r="IMD6" s="17"/>
      <c r="IMH6" s="15"/>
      <c r="IMN6" s="16"/>
      <c r="IMU6" s="17"/>
      <c r="IMV6" s="17"/>
      <c r="IMZ6" s="15"/>
      <c r="INF6" s="16"/>
      <c r="INM6" s="17"/>
      <c r="INN6" s="17"/>
      <c r="INR6" s="15"/>
      <c r="INX6" s="16"/>
      <c r="IOE6" s="17"/>
      <c r="IOF6" s="17"/>
      <c r="IOJ6" s="15"/>
      <c r="IOP6" s="16"/>
      <c r="IOW6" s="17"/>
      <c r="IOX6" s="17"/>
      <c r="IPB6" s="15"/>
      <c r="IPH6" s="16"/>
      <c r="IPO6" s="17"/>
      <c r="IPP6" s="17"/>
      <c r="IPT6" s="15"/>
      <c r="IPZ6" s="16"/>
      <c r="IQG6" s="17"/>
      <c r="IQH6" s="17"/>
      <c r="IQL6" s="15"/>
      <c r="IQR6" s="16"/>
      <c r="IQY6" s="17"/>
      <c r="IQZ6" s="17"/>
      <c r="IRD6" s="15"/>
      <c r="IRJ6" s="16"/>
      <c r="IRQ6" s="17"/>
      <c r="IRR6" s="17"/>
      <c r="IRV6" s="15"/>
      <c r="ISB6" s="16"/>
      <c r="ISI6" s="17"/>
      <c r="ISJ6" s="17"/>
      <c r="ISN6" s="15"/>
      <c r="IST6" s="16"/>
      <c r="ITA6" s="17"/>
      <c r="ITB6" s="17"/>
      <c r="ITF6" s="15"/>
      <c r="ITL6" s="16"/>
      <c r="ITS6" s="17"/>
      <c r="ITT6" s="17"/>
      <c r="ITX6" s="15"/>
      <c r="IUD6" s="16"/>
      <c r="IUK6" s="17"/>
      <c r="IUL6" s="17"/>
      <c r="IUP6" s="15"/>
      <c r="IUV6" s="16"/>
      <c r="IVC6" s="17"/>
      <c r="IVD6" s="17"/>
      <c r="IVH6" s="15"/>
      <c r="IVN6" s="16"/>
      <c r="IVU6" s="17"/>
      <c r="IVV6" s="17"/>
      <c r="IVZ6" s="15"/>
      <c r="IWF6" s="16"/>
      <c r="IWM6" s="17"/>
      <c r="IWN6" s="17"/>
      <c r="IWR6" s="15"/>
      <c r="IWX6" s="16"/>
      <c r="IXE6" s="17"/>
      <c r="IXF6" s="17"/>
      <c r="IXJ6" s="15"/>
      <c r="IXP6" s="16"/>
      <c r="IXW6" s="17"/>
      <c r="IXX6" s="17"/>
      <c r="IYB6" s="15"/>
      <c r="IYH6" s="16"/>
      <c r="IYO6" s="17"/>
      <c r="IYP6" s="17"/>
      <c r="IYT6" s="15"/>
      <c r="IYZ6" s="16"/>
      <c r="IZG6" s="17"/>
      <c r="IZH6" s="17"/>
      <c r="IZL6" s="15"/>
      <c r="IZR6" s="16"/>
      <c r="IZY6" s="17"/>
      <c r="IZZ6" s="17"/>
      <c r="JAD6" s="15"/>
      <c r="JAJ6" s="16"/>
      <c r="JAQ6" s="17"/>
      <c r="JAR6" s="17"/>
      <c r="JAV6" s="15"/>
      <c r="JBB6" s="16"/>
      <c r="JBI6" s="17"/>
      <c r="JBJ6" s="17"/>
      <c r="JBN6" s="15"/>
      <c r="JBT6" s="16"/>
      <c r="JCA6" s="17"/>
      <c r="JCB6" s="17"/>
      <c r="JCF6" s="15"/>
      <c r="JCL6" s="16"/>
      <c r="JCS6" s="17"/>
      <c r="JCT6" s="17"/>
      <c r="JCX6" s="15"/>
      <c r="JDD6" s="16"/>
      <c r="JDK6" s="17"/>
      <c r="JDL6" s="17"/>
      <c r="JDP6" s="15"/>
      <c r="JDV6" s="16"/>
      <c r="JEC6" s="17"/>
      <c r="JED6" s="17"/>
      <c r="JEH6" s="15"/>
      <c r="JEN6" s="16"/>
      <c r="JEU6" s="17"/>
      <c r="JEV6" s="17"/>
      <c r="JEZ6" s="15"/>
      <c r="JFF6" s="16"/>
      <c r="JFM6" s="17"/>
      <c r="JFN6" s="17"/>
      <c r="JFR6" s="15"/>
      <c r="JFX6" s="16"/>
      <c r="JGE6" s="17"/>
      <c r="JGF6" s="17"/>
      <c r="JGJ6" s="15"/>
      <c r="JGP6" s="16"/>
      <c r="JGW6" s="17"/>
      <c r="JGX6" s="17"/>
      <c r="JHB6" s="15"/>
      <c r="JHH6" s="16"/>
      <c r="JHO6" s="17"/>
      <c r="JHP6" s="17"/>
      <c r="JHT6" s="15"/>
      <c r="JHZ6" s="16"/>
      <c r="JIG6" s="17"/>
      <c r="JIH6" s="17"/>
      <c r="JIL6" s="15"/>
      <c r="JIR6" s="16"/>
      <c r="JIY6" s="17"/>
      <c r="JIZ6" s="17"/>
      <c r="JJD6" s="15"/>
      <c r="JJJ6" s="16"/>
      <c r="JJQ6" s="17"/>
      <c r="JJR6" s="17"/>
      <c r="JJV6" s="15"/>
      <c r="JKB6" s="16"/>
      <c r="JKI6" s="17"/>
      <c r="JKJ6" s="17"/>
      <c r="JKN6" s="15"/>
      <c r="JKT6" s="16"/>
      <c r="JLA6" s="17"/>
      <c r="JLB6" s="17"/>
      <c r="JLF6" s="15"/>
      <c r="JLL6" s="16"/>
      <c r="JLS6" s="17"/>
      <c r="JLT6" s="17"/>
      <c r="JLX6" s="15"/>
      <c r="JMD6" s="16"/>
      <c r="JMK6" s="17"/>
      <c r="JML6" s="17"/>
      <c r="JMP6" s="15"/>
      <c r="JMV6" s="16"/>
      <c r="JNC6" s="17"/>
      <c r="JND6" s="17"/>
      <c r="JNH6" s="15"/>
      <c r="JNN6" s="16"/>
      <c r="JNU6" s="17"/>
      <c r="JNV6" s="17"/>
      <c r="JNZ6" s="15"/>
      <c r="JOF6" s="16"/>
      <c r="JOM6" s="17"/>
      <c r="JON6" s="17"/>
      <c r="JOR6" s="15"/>
      <c r="JOX6" s="16"/>
      <c r="JPE6" s="17"/>
      <c r="JPF6" s="17"/>
      <c r="JPJ6" s="15"/>
      <c r="JPP6" s="16"/>
      <c r="JPW6" s="17"/>
      <c r="JPX6" s="17"/>
      <c r="JQB6" s="15"/>
      <c r="JQH6" s="16"/>
      <c r="JQO6" s="17"/>
      <c r="JQP6" s="17"/>
      <c r="JQT6" s="15"/>
      <c r="JQZ6" s="16"/>
      <c r="JRG6" s="17"/>
      <c r="JRH6" s="17"/>
      <c r="JRL6" s="15"/>
      <c r="JRR6" s="16"/>
      <c r="JRY6" s="17"/>
      <c r="JRZ6" s="17"/>
      <c r="JSD6" s="15"/>
      <c r="JSJ6" s="16"/>
      <c r="JSQ6" s="17"/>
      <c r="JSR6" s="17"/>
      <c r="JSV6" s="15"/>
      <c r="JTB6" s="16"/>
      <c r="JTI6" s="17"/>
      <c r="JTJ6" s="17"/>
      <c r="JTN6" s="15"/>
      <c r="JTT6" s="16"/>
      <c r="JUA6" s="17"/>
      <c r="JUB6" s="17"/>
      <c r="JUF6" s="15"/>
      <c r="JUL6" s="16"/>
      <c r="JUS6" s="17"/>
      <c r="JUT6" s="17"/>
      <c r="JUX6" s="15"/>
      <c r="JVD6" s="16"/>
      <c r="JVK6" s="17"/>
      <c r="JVL6" s="17"/>
      <c r="JVP6" s="15"/>
      <c r="JVV6" s="16"/>
      <c r="JWC6" s="17"/>
      <c r="JWD6" s="17"/>
      <c r="JWH6" s="15"/>
      <c r="JWN6" s="16"/>
      <c r="JWU6" s="17"/>
      <c r="JWV6" s="17"/>
      <c r="JWZ6" s="15"/>
      <c r="JXF6" s="16"/>
      <c r="JXM6" s="17"/>
      <c r="JXN6" s="17"/>
      <c r="JXR6" s="15"/>
      <c r="JXX6" s="16"/>
      <c r="JYE6" s="17"/>
      <c r="JYF6" s="17"/>
      <c r="JYJ6" s="15"/>
      <c r="JYP6" s="16"/>
      <c r="JYW6" s="17"/>
      <c r="JYX6" s="17"/>
      <c r="JZB6" s="15"/>
      <c r="JZH6" s="16"/>
      <c r="JZO6" s="17"/>
      <c r="JZP6" s="17"/>
      <c r="JZT6" s="15"/>
      <c r="JZZ6" s="16"/>
      <c r="KAG6" s="17"/>
      <c r="KAH6" s="17"/>
      <c r="KAL6" s="15"/>
      <c r="KAR6" s="16"/>
      <c r="KAY6" s="17"/>
      <c r="KAZ6" s="17"/>
      <c r="KBD6" s="15"/>
      <c r="KBJ6" s="16"/>
      <c r="KBQ6" s="17"/>
      <c r="KBR6" s="17"/>
      <c r="KBV6" s="15"/>
      <c r="KCB6" s="16"/>
      <c r="KCI6" s="17"/>
      <c r="KCJ6" s="17"/>
      <c r="KCN6" s="15"/>
      <c r="KCT6" s="16"/>
      <c r="KDA6" s="17"/>
      <c r="KDB6" s="17"/>
      <c r="KDF6" s="15"/>
      <c r="KDL6" s="16"/>
      <c r="KDS6" s="17"/>
      <c r="KDT6" s="17"/>
      <c r="KDX6" s="15"/>
      <c r="KED6" s="16"/>
      <c r="KEK6" s="17"/>
      <c r="KEL6" s="17"/>
      <c r="KEP6" s="15"/>
      <c r="KEV6" s="16"/>
      <c r="KFC6" s="17"/>
      <c r="KFD6" s="17"/>
      <c r="KFH6" s="15"/>
      <c r="KFN6" s="16"/>
      <c r="KFU6" s="17"/>
      <c r="KFV6" s="17"/>
      <c r="KFZ6" s="15"/>
      <c r="KGF6" s="16"/>
      <c r="KGM6" s="17"/>
      <c r="KGN6" s="17"/>
      <c r="KGR6" s="15"/>
      <c r="KGX6" s="16"/>
      <c r="KHE6" s="17"/>
      <c r="KHF6" s="17"/>
      <c r="KHJ6" s="15"/>
      <c r="KHP6" s="16"/>
      <c r="KHW6" s="17"/>
      <c r="KHX6" s="17"/>
      <c r="KIB6" s="15"/>
      <c r="KIH6" s="16"/>
      <c r="KIO6" s="17"/>
      <c r="KIP6" s="17"/>
      <c r="KIT6" s="15"/>
      <c r="KIZ6" s="16"/>
      <c r="KJG6" s="17"/>
      <c r="KJH6" s="17"/>
      <c r="KJL6" s="15"/>
      <c r="KJR6" s="16"/>
      <c r="KJY6" s="17"/>
      <c r="KJZ6" s="17"/>
      <c r="KKD6" s="15"/>
      <c r="KKJ6" s="16"/>
      <c r="KKQ6" s="17"/>
      <c r="KKR6" s="17"/>
      <c r="KKV6" s="15"/>
      <c r="KLB6" s="16"/>
      <c r="KLI6" s="17"/>
      <c r="KLJ6" s="17"/>
      <c r="KLN6" s="15"/>
      <c r="KLT6" s="16"/>
      <c r="KMA6" s="17"/>
      <c r="KMB6" s="17"/>
      <c r="KMF6" s="15"/>
      <c r="KML6" s="16"/>
      <c r="KMS6" s="17"/>
      <c r="KMT6" s="17"/>
      <c r="KMX6" s="15"/>
      <c r="KND6" s="16"/>
      <c r="KNK6" s="17"/>
      <c r="KNL6" s="17"/>
      <c r="KNP6" s="15"/>
      <c r="KNV6" s="16"/>
      <c r="KOC6" s="17"/>
      <c r="KOD6" s="17"/>
      <c r="KOH6" s="15"/>
      <c r="KON6" s="16"/>
      <c r="KOU6" s="17"/>
      <c r="KOV6" s="17"/>
      <c r="KOZ6" s="15"/>
      <c r="KPF6" s="16"/>
      <c r="KPM6" s="17"/>
      <c r="KPN6" s="17"/>
      <c r="KPR6" s="15"/>
      <c r="KPX6" s="16"/>
      <c r="KQE6" s="17"/>
      <c r="KQF6" s="17"/>
      <c r="KQJ6" s="15"/>
      <c r="KQP6" s="16"/>
      <c r="KQW6" s="17"/>
      <c r="KQX6" s="17"/>
      <c r="KRB6" s="15"/>
      <c r="KRH6" s="16"/>
      <c r="KRO6" s="17"/>
      <c r="KRP6" s="17"/>
      <c r="KRT6" s="15"/>
      <c r="KRZ6" s="16"/>
      <c r="KSG6" s="17"/>
      <c r="KSH6" s="17"/>
      <c r="KSL6" s="15"/>
      <c r="KSR6" s="16"/>
      <c r="KSY6" s="17"/>
      <c r="KSZ6" s="17"/>
      <c r="KTD6" s="15"/>
      <c r="KTJ6" s="16"/>
      <c r="KTQ6" s="17"/>
      <c r="KTR6" s="17"/>
      <c r="KTV6" s="15"/>
      <c r="KUB6" s="16"/>
      <c r="KUI6" s="17"/>
      <c r="KUJ6" s="17"/>
      <c r="KUN6" s="15"/>
      <c r="KUT6" s="16"/>
      <c r="KVA6" s="17"/>
      <c r="KVB6" s="17"/>
      <c r="KVF6" s="15"/>
      <c r="KVL6" s="16"/>
      <c r="KVS6" s="17"/>
      <c r="KVT6" s="17"/>
      <c r="KVX6" s="15"/>
      <c r="KWD6" s="16"/>
      <c r="KWK6" s="17"/>
      <c r="KWL6" s="17"/>
      <c r="KWP6" s="15"/>
      <c r="KWV6" s="16"/>
      <c r="KXC6" s="17"/>
      <c r="KXD6" s="17"/>
      <c r="KXH6" s="15"/>
      <c r="KXN6" s="16"/>
      <c r="KXU6" s="17"/>
      <c r="KXV6" s="17"/>
      <c r="KXZ6" s="15"/>
      <c r="KYF6" s="16"/>
      <c r="KYM6" s="17"/>
      <c r="KYN6" s="17"/>
      <c r="KYR6" s="15"/>
      <c r="KYX6" s="16"/>
      <c r="KZE6" s="17"/>
      <c r="KZF6" s="17"/>
      <c r="KZJ6" s="15"/>
      <c r="KZP6" s="16"/>
      <c r="KZW6" s="17"/>
      <c r="KZX6" s="17"/>
      <c r="LAB6" s="15"/>
      <c r="LAH6" s="16"/>
      <c r="LAO6" s="17"/>
      <c r="LAP6" s="17"/>
      <c r="LAT6" s="15"/>
      <c r="LAZ6" s="16"/>
      <c r="LBG6" s="17"/>
      <c r="LBH6" s="17"/>
      <c r="LBL6" s="15"/>
      <c r="LBR6" s="16"/>
      <c r="LBY6" s="17"/>
      <c r="LBZ6" s="17"/>
      <c r="LCD6" s="15"/>
      <c r="LCJ6" s="16"/>
      <c r="LCQ6" s="17"/>
      <c r="LCR6" s="17"/>
      <c r="LCV6" s="15"/>
      <c r="LDB6" s="16"/>
      <c r="LDI6" s="17"/>
      <c r="LDJ6" s="17"/>
      <c r="LDN6" s="15"/>
      <c r="LDT6" s="16"/>
      <c r="LEA6" s="17"/>
      <c r="LEB6" s="17"/>
      <c r="LEF6" s="15"/>
      <c r="LEL6" s="16"/>
      <c r="LES6" s="17"/>
      <c r="LET6" s="17"/>
      <c r="LEX6" s="15"/>
      <c r="LFD6" s="16"/>
      <c r="LFK6" s="17"/>
      <c r="LFL6" s="17"/>
      <c r="LFP6" s="15"/>
      <c r="LFV6" s="16"/>
      <c r="LGC6" s="17"/>
      <c r="LGD6" s="17"/>
      <c r="LGH6" s="15"/>
      <c r="LGN6" s="16"/>
      <c r="LGU6" s="17"/>
      <c r="LGV6" s="17"/>
      <c r="LGZ6" s="15"/>
      <c r="LHF6" s="16"/>
      <c r="LHM6" s="17"/>
      <c r="LHN6" s="17"/>
      <c r="LHR6" s="15"/>
      <c r="LHX6" s="16"/>
      <c r="LIE6" s="17"/>
      <c r="LIF6" s="17"/>
      <c r="LIJ6" s="15"/>
      <c r="LIP6" s="16"/>
      <c r="LIW6" s="17"/>
      <c r="LIX6" s="17"/>
      <c r="LJB6" s="15"/>
      <c r="LJH6" s="16"/>
      <c r="LJO6" s="17"/>
      <c r="LJP6" s="17"/>
      <c r="LJT6" s="15"/>
      <c r="LJZ6" s="16"/>
      <c r="LKG6" s="17"/>
      <c r="LKH6" s="17"/>
      <c r="LKL6" s="15"/>
      <c r="LKR6" s="16"/>
      <c r="LKY6" s="17"/>
      <c r="LKZ6" s="17"/>
      <c r="LLD6" s="15"/>
      <c r="LLJ6" s="16"/>
      <c r="LLQ6" s="17"/>
      <c r="LLR6" s="17"/>
      <c r="LLV6" s="15"/>
      <c r="LMB6" s="16"/>
      <c r="LMI6" s="17"/>
      <c r="LMJ6" s="17"/>
      <c r="LMN6" s="15"/>
      <c r="LMT6" s="16"/>
      <c r="LNA6" s="17"/>
      <c r="LNB6" s="17"/>
      <c r="LNF6" s="15"/>
      <c r="LNL6" s="16"/>
      <c r="LNS6" s="17"/>
      <c r="LNT6" s="17"/>
      <c r="LNX6" s="15"/>
      <c r="LOD6" s="16"/>
      <c r="LOK6" s="17"/>
      <c r="LOL6" s="17"/>
      <c r="LOP6" s="15"/>
      <c r="LOV6" s="16"/>
      <c r="LPC6" s="17"/>
      <c r="LPD6" s="17"/>
      <c r="LPH6" s="15"/>
      <c r="LPN6" s="16"/>
      <c r="LPU6" s="17"/>
      <c r="LPV6" s="17"/>
      <c r="LPZ6" s="15"/>
      <c r="LQF6" s="16"/>
      <c r="LQM6" s="17"/>
      <c r="LQN6" s="17"/>
      <c r="LQR6" s="15"/>
      <c r="LQX6" s="16"/>
      <c r="LRE6" s="17"/>
      <c r="LRF6" s="17"/>
      <c r="LRJ6" s="15"/>
      <c r="LRP6" s="16"/>
      <c r="LRW6" s="17"/>
      <c r="LRX6" s="17"/>
      <c r="LSB6" s="15"/>
      <c r="LSH6" s="16"/>
      <c r="LSO6" s="17"/>
      <c r="LSP6" s="17"/>
      <c r="LST6" s="15"/>
      <c r="LSZ6" s="16"/>
      <c r="LTG6" s="17"/>
      <c r="LTH6" s="17"/>
      <c r="LTL6" s="15"/>
      <c r="LTR6" s="16"/>
      <c r="LTY6" s="17"/>
      <c r="LTZ6" s="17"/>
      <c r="LUD6" s="15"/>
      <c r="LUJ6" s="16"/>
      <c r="LUQ6" s="17"/>
      <c r="LUR6" s="17"/>
      <c r="LUV6" s="15"/>
      <c r="LVB6" s="16"/>
      <c r="LVI6" s="17"/>
      <c r="LVJ6" s="17"/>
      <c r="LVN6" s="15"/>
      <c r="LVT6" s="16"/>
      <c r="LWA6" s="17"/>
      <c r="LWB6" s="17"/>
      <c r="LWF6" s="15"/>
      <c r="LWL6" s="16"/>
      <c r="LWS6" s="17"/>
      <c r="LWT6" s="17"/>
      <c r="LWX6" s="15"/>
      <c r="LXD6" s="16"/>
      <c r="LXK6" s="17"/>
      <c r="LXL6" s="17"/>
      <c r="LXP6" s="15"/>
      <c r="LXV6" s="16"/>
      <c r="LYC6" s="17"/>
      <c r="LYD6" s="17"/>
      <c r="LYH6" s="15"/>
      <c r="LYN6" s="16"/>
      <c r="LYU6" s="17"/>
      <c r="LYV6" s="17"/>
      <c r="LYZ6" s="15"/>
      <c r="LZF6" s="16"/>
      <c r="LZM6" s="17"/>
      <c r="LZN6" s="17"/>
      <c r="LZR6" s="15"/>
      <c r="LZX6" s="16"/>
      <c r="MAE6" s="17"/>
      <c r="MAF6" s="17"/>
      <c r="MAJ6" s="15"/>
      <c r="MAP6" s="16"/>
      <c r="MAW6" s="17"/>
      <c r="MAX6" s="17"/>
      <c r="MBB6" s="15"/>
      <c r="MBH6" s="16"/>
      <c r="MBO6" s="17"/>
      <c r="MBP6" s="17"/>
      <c r="MBT6" s="15"/>
      <c r="MBZ6" s="16"/>
      <c r="MCG6" s="17"/>
      <c r="MCH6" s="17"/>
      <c r="MCL6" s="15"/>
      <c r="MCR6" s="16"/>
      <c r="MCY6" s="17"/>
      <c r="MCZ6" s="17"/>
      <c r="MDD6" s="15"/>
      <c r="MDJ6" s="16"/>
      <c r="MDQ6" s="17"/>
      <c r="MDR6" s="17"/>
      <c r="MDV6" s="15"/>
      <c r="MEB6" s="16"/>
      <c r="MEI6" s="17"/>
      <c r="MEJ6" s="17"/>
      <c r="MEN6" s="15"/>
      <c r="MET6" s="16"/>
      <c r="MFA6" s="17"/>
      <c r="MFB6" s="17"/>
      <c r="MFF6" s="15"/>
      <c r="MFL6" s="16"/>
      <c r="MFS6" s="17"/>
      <c r="MFT6" s="17"/>
      <c r="MFX6" s="15"/>
      <c r="MGD6" s="16"/>
      <c r="MGK6" s="17"/>
      <c r="MGL6" s="17"/>
      <c r="MGP6" s="15"/>
      <c r="MGV6" s="16"/>
      <c r="MHC6" s="17"/>
      <c r="MHD6" s="17"/>
      <c r="MHH6" s="15"/>
      <c r="MHN6" s="16"/>
      <c r="MHU6" s="17"/>
      <c r="MHV6" s="17"/>
      <c r="MHZ6" s="15"/>
      <c r="MIF6" s="16"/>
      <c r="MIM6" s="17"/>
      <c r="MIN6" s="17"/>
      <c r="MIR6" s="15"/>
      <c r="MIX6" s="16"/>
      <c r="MJE6" s="17"/>
      <c r="MJF6" s="17"/>
      <c r="MJJ6" s="15"/>
      <c r="MJP6" s="16"/>
      <c r="MJW6" s="17"/>
      <c r="MJX6" s="17"/>
      <c r="MKB6" s="15"/>
      <c r="MKH6" s="16"/>
      <c r="MKO6" s="17"/>
      <c r="MKP6" s="17"/>
      <c r="MKT6" s="15"/>
      <c r="MKZ6" s="16"/>
      <c r="MLG6" s="17"/>
      <c r="MLH6" s="17"/>
      <c r="MLL6" s="15"/>
      <c r="MLR6" s="16"/>
      <c r="MLY6" s="17"/>
      <c r="MLZ6" s="17"/>
      <c r="MMD6" s="15"/>
      <c r="MMJ6" s="16"/>
      <c r="MMQ6" s="17"/>
      <c r="MMR6" s="17"/>
      <c r="MMV6" s="15"/>
      <c r="MNB6" s="16"/>
      <c r="MNI6" s="17"/>
      <c r="MNJ6" s="17"/>
      <c r="MNN6" s="15"/>
      <c r="MNT6" s="16"/>
      <c r="MOA6" s="17"/>
      <c r="MOB6" s="17"/>
      <c r="MOF6" s="15"/>
      <c r="MOL6" s="16"/>
      <c r="MOS6" s="17"/>
      <c r="MOT6" s="17"/>
      <c r="MOX6" s="15"/>
      <c r="MPD6" s="16"/>
      <c r="MPK6" s="17"/>
      <c r="MPL6" s="17"/>
      <c r="MPP6" s="15"/>
      <c r="MPV6" s="16"/>
      <c r="MQC6" s="17"/>
      <c r="MQD6" s="17"/>
      <c r="MQH6" s="15"/>
      <c r="MQN6" s="16"/>
      <c r="MQU6" s="17"/>
      <c r="MQV6" s="17"/>
      <c r="MQZ6" s="15"/>
      <c r="MRF6" s="16"/>
      <c r="MRM6" s="17"/>
      <c r="MRN6" s="17"/>
      <c r="MRR6" s="15"/>
      <c r="MRX6" s="16"/>
      <c r="MSE6" s="17"/>
      <c r="MSF6" s="17"/>
      <c r="MSJ6" s="15"/>
      <c r="MSP6" s="16"/>
      <c r="MSW6" s="17"/>
      <c r="MSX6" s="17"/>
      <c r="MTB6" s="15"/>
      <c r="MTH6" s="16"/>
      <c r="MTO6" s="17"/>
      <c r="MTP6" s="17"/>
      <c r="MTT6" s="15"/>
      <c r="MTZ6" s="16"/>
      <c r="MUG6" s="17"/>
      <c r="MUH6" s="17"/>
      <c r="MUL6" s="15"/>
      <c r="MUR6" s="16"/>
      <c r="MUY6" s="17"/>
      <c r="MUZ6" s="17"/>
      <c r="MVD6" s="15"/>
      <c r="MVJ6" s="16"/>
      <c r="MVQ6" s="17"/>
      <c r="MVR6" s="17"/>
      <c r="MVV6" s="15"/>
      <c r="MWB6" s="16"/>
      <c r="MWI6" s="17"/>
      <c r="MWJ6" s="17"/>
      <c r="MWN6" s="15"/>
      <c r="MWT6" s="16"/>
      <c r="MXA6" s="17"/>
      <c r="MXB6" s="17"/>
      <c r="MXF6" s="15"/>
      <c r="MXL6" s="16"/>
      <c r="MXS6" s="17"/>
      <c r="MXT6" s="17"/>
      <c r="MXX6" s="15"/>
      <c r="MYD6" s="16"/>
      <c r="MYK6" s="17"/>
      <c r="MYL6" s="17"/>
      <c r="MYP6" s="15"/>
      <c r="MYV6" s="16"/>
      <c r="MZC6" s="17"/>
      <c r="MZD6" s="17"/>
      <c r="MZH6" s="15"/>
      <c r="MZN6" s="16"/>
      <c r="MZU6" s="17"/>
      <c r="MZV6" s="17"/>
      <c r="MZZ6" s="15"/>
      <c r="NAF6" s="16"/>
      <c r="NAM6" s="17"/>
      <c r="NAN6" s="17"/>
      <c r="NAR6" s="15"/>
      <c r="NAX6" s="16"/>
      <c r="NBE6" s="17"/>
      <c r="NBF6" s="17"/>
      <c r="NBJ6" s="15"/>
      <c r="NBP6" s="16"/>
      <c r="NBW6" s="17"/>
      <c r="NBX6" s="17"/>
      <c r="NCB6" s="15"/>
      <c r="NCH6" s="16"/>
      <c r="NCO6" s="17"/>
      <c r="NCP6" s="17"/>
      <c r="NCT6" s="15"/>
      <c r="NCZ6" s="16"/>
      <c r="NDG6" s="17"/>
      <c r="NDH6" s="17"/>
      <c r="NDL6" s="15"/>
      <c r="NDR6" s="16"/>
      <c r="NDY6" s="17"/>
      <c r="NDZ6" s="17"/>
      <c r="NED6" s="15"/>
      <c r="NEJ6" s="16"/>
      <c r="NEQ6" s="17"/>
      <c r="NER6" s="17"/>
      <c r="NEV6" s="15"/>
      <c r="NFB6" s="16"/>
      <c r="NFI6" s="17"/>
      <c r="NFJ6" s="17"/>
      <c r="NFN6" s="15"/>
      <c r="NFT6" s="16"/>
      <c r="NGA6" s="17"/>
      <c r="NGB6" s="17"/>
      <c r="NGF6" s="15"/>
      <c r="NGL6" s="16"/>
      <c r="NGS6" s="17"/>
      <c r="NGT6" s="17"/>
      <c r="NGX6" s="15"/>
      <c r="NHD6" s="16"/>
      <c r="NHK6" s="17"/>
      <c r="NHL6" s="17"/>
      <c r="NHP6" s="15"/>
      <c r="NHV6" s="16"/>
      <c r="NIC6" s="17"/>
      <c r="NID6" s="17"/>
      <c r="NIH6" s="15"/>
      <c r="NIN6" s="16"/>
      <c r="NIU6" s="17"/>
      <c r="NIV6" s="17"/>
      <c r="NIZ6" s="15"/>
      <c r="NJF6" s="16"/>
      <c r="NJM6" s="17"/>
      <c r="NJN6" s="17"/>
      <c r="NJR6" s="15"/>
      <c r="NJX6" s="16"/>
      <c r="NKE6" s="17"/>
      <c r="NKF6" s="17"/>
      <c r="NKJ6" s="15"/>
      <c r="NKP6" s="16"/>
      <c r="NKW6" s="17"/>
      <c r="NKX6" s="17"/>
      <c r="NLB6" s="15"/>
      <c r="NLH6" s="16"/>
      <c r="NLO6" s="17"/>
      <c r="NLP6" s="17"/>
      <c r="NLT6" s="15"/>
      <c r="NLZ6" s="16"/>
      <c r="NMG6" s="17"/>
      <c r="NMH6" s="17"/>
      <c r="NML6" s="15"/>
      <c r="NMR6" s="16"/>
      <c r="NMY6" s="17"/>
      <c r="NMZ6" s="17"/>
      <c r="NND6" s="15"/>
      <c r="NNJ6" s="16"/>
      <c r="NNQ6" s="17"/>
      <c r="NNR6" s="17"/>
      <c r="NNV6" s="15"/>
      <c r="NOB6" s="16"/>
      <c r="NOI6" s="17"/>
      <c r="NOJ6" s="17"/>
      <c r="NON6" s="15"/>
      <c r="NOT6" s="16"/>
      <c r="NPA6" s="17"/>
      <c r="NPB6" s="17"/>
      <c r="NPF6" s="15"/>
      <c r="NPL6" s="16"/>
      <c r="NPS6" s="17"/>
      <c r="NPT6" s="17"/>
      <c r="NPX6" s="15"/>
      <c r="NQD6" s="16"/>
      <c r="NQK6" s="17"/>
      <c r="NQL6" s="17"/>
      <c r="NQP6" s="15"/>
      <c r="NQV6" s="16"/>
      <c r="NRC6" s="17"/>
      <c r="NRD6" s="17"/>
      <c r="NRH6" s="15"/>
      <c r="NRN6" s="16"/>
      <c r="NRU6" s="17"/>
      <c r="NRV6" s="17"/>
      <c r="NRZ6" s="15"/>
      <c r="NSF6" s="16"/>
      <c r="NSM6" s="17"/>
      <c r="NSN6" s="17"/>
      <c r="NSR6" s="15"/>
      <c r="NSX6" s="16"/>
      <c r="NTE6" s="17"/>
      <c r="NTF6" s="17"/>
      <c r="NTJ6" s="15"/>
      <c r="NTP6" s="16"/>
      <c r="NTW6" s="17"/>
      <c r="NTX6" s="17"/>
      <c r="NUB6" s="15"/>
      <c r="NUH6" s="16"/>
      <c r="NUO6" s="17"/>
      <c r="NUP6" s="17"/>
      <c r="NUT6" s="15"/>
      <c r="NUZ6" s="16"/>
      <c r="NVG6" s="17"/>
      <c r="NVH6" s="17"/>
      <c r="NVL6" s="15"/>
      <c r="NVR6" s="16"/>
      <c r="NVY6" s="17"/>
      <c r="NVZ6" s="17"/>
      <c r="NWD6" s="15"/>
      <c r="NWJ6" s="16"/>
      <c r="NWQ6" s="17"/>
      <c r="NWR6" s="17"/>
      <c r="NWV6" s="15"/>
      <c r="NXB6" s="16"/>
      <c r="NXI6" s="17"/>
      <c r="NXJ6" s="17"/>
      <c r="NXN6" s="15"/>
      <c r="NXT6" s="16"/>
      <c r="NYA6" s="17"/>
      <c r="NYB6" s="17"/>
      <c r="NYF6" s="15"/>
      <c r="NYL6" s="16"/>
      <c r="NYS6" s="17"/>
      <c r="NYT6" s="17"/>
      <c r="NYX6" s="15"/>
      <c r="NZD6" s="16"/>
      <c r="NZK6" s="17"/>
      <c r="NZL6" s="17"/>
      <c r="NZP6" s="15"/>
      <c r="NZV6" s="16"/>
      <c r="OAC6" s="17"/>
      <c r="OAD6" s="17"/>
      <c r="OAH6" s="15"/>
      <c r="OAN6" s="16"/>
      <c r="OAU6" s="17"/>
      <c r="OAV6" s="17"/>
      <c r="OAZ6" s="15"/>
      <c r="OBF6" s="16"/>
      <c r="OBM6" s="17"/>
      <c r="OBN6" s="17"/>
      <c r="OBR6" s="15"/>
      <c r="OBX6" s="16"/>
      <c r="OCE6" s="17"/>
      <c r="OCF6" s="17"/>
      <c r="OCJ6" s="15"/>
      <c r="OCP6" s="16"/>
      <c r="OCW6" s="17"/>
      <c r="OCX6" s="17"/>
      <c r="ODB6" s="15"/>
      <c r="ODH6" s="16"/>
      <c r="ODO6" s="17"/>
      <c r="ODP6" s="17"/>
      <c r="ODT6" s="15"/>
      <c r="ODZ6" s="16"/>
      <c r="OEG6" s="17"/>
      <c r="OEH6" s="17"/>
      <c r="OEL6" s="15"/>
      <c r="OER6" s="16"/>
      <c r="OEY6" s="17"/>
      <c r="OEZ6" s="17"/>
      <c r="OFD6" s="15"/>
      <c r="OFJ6" s="16"/>
      <c r="OFQ6" s="17"/>
      <c r="OFR6" s="17"/>
      <c r="OFV6" s="15"/>
      <c r="OGB6" s="16"/>
      <c r="OGI6" s="17"/>
      <c r="OGJ6" s="17"/>
      <c r="OGN6" s="15"/>
      <c r="OGT6" s="16"/>
      <c r="OHA6" s="17"/>
      <c r="OHB6" s="17"/>
      <c r="OHF6" s="15"/>
      <c r="OHL6" s="16"/>
      <c r="OHS6" s="17"/>
      <c r="OHT6" s="17"/>
      <c r="OHX6" s="15"/>
      <c r="OID6" s="16"/>
      <c r="OIK6" s="17"/>
      <c r="OIL6" s="17"/>
      <c r="OIP6" s="15"/>
      <c r="OIV6" s="16"/>
      <c r="OJC6" s="17"/>
      <c r="OJD6" s="17"/>
      <c r="OJH6" s="15"/>
      <c r="OJN6" s="16"/>
      <c r="OJU6" s="17"/>
      <c r="OJV6" s="17"/>
      <c r="OJZ6" s="15"/>
      <c r="OKF6" s="16"/>
      <c r="OKM6" s="17"/>
      <c r="OKN6" s="17"/>
      <c r="OKR6" s="15"/>
      <c r="OKX6" s="16"/>
      <c r="OLE6" s="17"/>
      <c r="OLF6" s="17"/>
      <c r="OLJ6" s="15"/>
      <c r="OLP6" s="16"/>
      <c r="OLW6" s="17"/>
      <c r="OLX6" s="17"/>
      <c r="OMB6" s="15"/>
      <c r="OMH6" s="16"/>
      <c r="OMO6" s="17"/>
      <c r="OMP6" s="17"/>
      <c r="OMT6" s="15"/>
      <c r="OMZ6" s="16"/>
      <c r="ONG6" s="17"/>
      <c r="ONH6" s="17"/>
      <c r="ONL6" s="15"/>
      <c r="ONR6" s="16"/>
      <c r="ONY6" s="17"/>
      <c r="ONZ6" s="17"/>
      <c r="OOD6" s="15"/>
      <c r="OOJ6" s="16"/>
      <c r="OOQ6" s="17"/>
      <c r="OOR6" s="17"/>
      <c r="OOV6" s="15"/>
      <c r="OPB6" s="16"/>
      <c r="OPI6" s="17"/>
      <c r="OPJ6" s="17"/>
      <c r="OPN6" s="15"/>
      <c r="OPT6" s="16"/>
      <c r="OQA6" s="17"/>
      <c r="OQB6" s="17"/>
      <c r="OQF6" s="15"/>
      <c r="OQL6" s="16"/>
      <c r="OQS6" s="17"/>
      <c r="OQT6" s="17"/>
      <c r="OQX6" s="15"/>
      <c r="ORD6" s="16"/>
      <c r="ORK6" s="17"/>
      <c r="ORL6" s="17"/>
      <c r="ORP6" s="15"/>
      <c r="ORV6" s="16"/>
      <c r="OSC6" s="17"/>
      <c r="OSD6" s="17"/>
      <c r="OSH6" s="15"/>
      <c r="OSN6" s="16"/>
      <c r="OSU6" s="17"/>
      <c r="OSV6" s="17"/>
      <c r="OSZ6" s="15"/>
      <c r="OTF6" s="16"/>
      <c r="OTM6" s="17"/>
      <c r="OTN6" s="17"/>
      <c r="OTR6" s="15"/>
      <c r="OTX6" s="16"/>
      <c r="OUE6" s="17"/>
      <c r="OUF6" s="17"/>
      <c r="OUJ6" s="15"/>
      <c r="OUP6" s="16"/>
      <c r="OUW6" s="17"/>
      <c r="OUX6" s="17"/>
      <c r="OVB6" s="15"/>
      <c r="OVH6" s="16"/>
      <c r="OVO6" s="17"/>
      <c r="OVP6" s="17"/>
      <c r="OVT6" s="15"/>
      <c r="OVZ6" s="16"/>
      <c r="OWG6" s="17"/>
      <c r="OWH6" s="17"/>
      <c r="OWL6" s="15"/>
      <c r="OWR6" s="16"/>
      <c r="OWY6" s="17"/>
      <c r="OWZ6" s="17"/>
      <c r="OXD6" s="15"/>
      <c r="OXJ6" s="16"/>
      <c r="OXQ6" s="17"/>
      <c r="OXR6" s="17"/>
      <c r="OXV6" s="15"/>
      <c r="OYB6" s="16"/>
      <c r="OYI6" s="17"/>
      <c r="OYJ6" s="17"/>
      <c r="OYN6" s="15"/>
      <c r="OYT6" s="16"/>
      <c r="OZA6" s="17"/>
      <c r="OZB6" s="17"/>
      <c r="OZF6" s="15"/>
      <c r="OZL6" s="16"/>
      <c r="OZS6" s="17"/>
      <c r="OZT6" s="17"/>
      <c r="OZX6" s="15"/>
      <c r="PAD6" s="16"/>
      <c r="PAK6" s="17"/>
      <c r="PAL6" s="17"/>
      <c r="PAP6" s="15"/>
      <c r="PAV6" s="16"/>
      <c r="PBC6" s="17"/>
      <c r="PBD6" s="17"/>
      <c r="PBH6" s="15"/>
      <c r="PBN6" s="16"/>
      <c r="PBU6" s="17"/>
      <c r="PBV6" s="17"/>
      <c r="PBZ6" s="15"/>
      <c r="PCF6" s="16"/>
      <c r="PCM6" s="17"/>
      <c r="PCN6" s="17"/>
      <c r="PCR6" s="15"/>
      <c r="PCX6" s="16"/>
      <c r="PDE6" s="17"/>
      <c r="PDF6" s="17"/>
      <c r="PDJ6" s="15"/>
      <c r="PDP6" s="16"/>
      <c r="PDW6" s="17"/>
      <c r="PDX6" s="17"/>
      <c r="PEB6" s="15"/>
      <c r="PEH6" s="16"/>
      <c r="PEO6" s="17"/>
      <c r="PEP6" s="17"/>
      <c r="PET6" s="15"/>
      <c r="PEZ6" s="16"/>
      <c r="PFG6" s="17"/>
      <c r="PFH6" s="17"/>
      <c r="PFL6" s="15"/>
      <c r="PFR6" s="16"/>
      <c r="PFY6" s="17"/>
      <c r="PFZ6" s="17"/>
      <c r="PGD6" s="15"/>
      <c r="PGJ6" s="16"/>
      <c r="PGQ6" s="17"/>
      <c r="PGR6" s="17"/>
      <c r="PGV6" s="15"/>
      <c r="PHB6" s="16"/>
      <c r="PHI6" s="17"/>
      <c r="PHJ6" s="17"/>
      <c r="PHN6" s="15"/>
      <c r="PHT6" s="16"/>
      <c r="PIA6" s="17"/>
      <c r="PIB6" s="17"/>
      <c r="PIF6" s="15"/>
      <c r="PIL6" s="16"/>
      <c r="PIS6" s="17"/>
      <c r="PIT6" s="17"/>
      <c r="PIX6" s="15"/>
      <c r="PJD6" s="16"/>
      <c r="PJK6" s="17"/>
      <c r="PJL6" s="17"/>
      <c r="PJP6" s="15"/>
      <c r="PJV6" s="16"/>
      <c r="PKC6" s="17"/>
      <c r="PKD6" s="17"/>
      <c r="PKH6" s="15"/>
      <c r="PKN6" s="16"/>
      <c r="PKU6" s="17"/>
      <c r="PKV6" s="17"/>
      <c r="PKZ6" s="15"/>
      <c r="PLF6" s="16"/>
      <c r="PLM6" s="17"/>
      <c r="PLN6" s="17"/>
      <c r="PLR6" s="15"/>
      <c r="PLX6" s="16"/>
      <c r="PME6" s="17"/>
      <c r="PMF6" s="17"/>
      <c r="PMJ6" s="15"/>
      <c r="PMP6" s="16"/>
      <c r="PMW6" s="17"/>
      <c r="PMX6" s="17"/>
      <c r="PNB6" s="15"/>
      <c r="PNH6" s="16"/>
      <c r="PNO6" s="17"/>
      <c r="PNP6" s="17"/>
      <c r="PNT6" s="15"/>
      <c r="PNZ6" s="16"/>
      <c r="POG6" s="17"/>
      <c r="POH6" s="17"/>
      <c r="POL6" s="15"/>
      <c r="POR6" s="16"/>
      <c r="POY6" s="17"/>
      <c r="POZ6" s="17"/>
      <c r="PPD6" s="15"/>
      <c r="PPJ6" s="16"/>
      <c r="PPQ6" s="17"/>
      <c r="PPR6" s="17"/>
      <c r="PPV6" s="15"/>
      <c r="PQB6" s="16"/>
      <c r="PQI6" s="17"/>
      <c r="PQJ6" s="17"/>
      <c r="PQN6" s="15"/>
      <c r="PQT6" s="16"/>
      <c r="PRA6" s="17"/>
      <c r="PRB6" s="17"/>
      <c r="PRF6" s="15"/>
      <c r="PRL6" s="16"/>
      <c r="PRS6" s="17"/>
      <c r="PRT6" s="17"/>
      <c r="PRX6" s="15"/>
      <c r="PSD6" s="16"/>
      <c r="PSK6" s="17"/>
      <c r="PSL6" s="17"/>
      <c r="PSP6" s="15"/>
      <c r="PSV6" s="16"/>
      <c r="PTC6" s="17"/>
      <c r="PTD6" s="17"/>
      <c r="PTH6" s="15"/>
      <c r="PTN6" s="16"/>
      <c r="PTU6" s="17"/>
      <c r="PTV6" s="17"/>
      <c r="PTZ6" s="15"/>
      <c r="PUF6" s="16"/>
      <c r="PUM6" s="17"/>
      <c r="PUN6" s="17"/>
      <c r="PUR6" s="15"/>
      <c r="PUX6" s="16"/>
      <c r="PVE6" s="17"/>
      <c r="PVF6" s="17"/>
      <c r="PVJ6" s="15"/>
      <c r="PVP6" s="16"/>
      <c r="PVW6" s="17"/>
      <c r="PVX6" s="17"/>
      <c r="PWB6" s="15"/>
      <c r="PWH6" s="16"/>
      <c r="PWO6" s="17"/>
      <c r="PWP6" s="17"/>
      <c r="PWT6" s="15"/>
      <c r="PWZ6" s="16"/>
      <c r="PXG6" s="17"/>
      <c r="PXH6" s="17"/>
      <c r="PXL6" s="15"/>
      <c r="PXR6" s="16"/>
      <c r="PXY6" s="17"/>
      <c r="PXZ6" s="17"/>
      <c r="PYD6" s="15"/>
      <c r="PYJ6" s="16"/>
      <c r="PYQ6" s="17"/>
      <c r="PYR6" s="17"/>
      <c r="PYV6" s="15"/>
      <c r="PZB6" s="16"/>
      <c r="PZI6" s="17"/>
      <c r="PZJ6" s="17"/>
      <c r="PZN6" s="15"/>
      <c r="PZT6" s="16"/>
      <c r="QAA6" s="17"/>
      <c r="QAB6" s="17"/>
      <c r="QAF6" s="15"/>
      <c r="QAL6" s="16"/>
      <c r="QAS6" s="17"/>
      <c r="QAT6" s="17"/>
      <c r="QAX6" s="15"/>
      <c r="QBD6" s="16"/>
      <c r="QBK6" s="17"/>
      <c r="QBL6" s="17"/>
      <c r="QBP6" s="15"/>
      <c r="QBV6" s="16"/>
      <c r="QCC6" s="17"/>
      <c r="QCD6" s="17"/>
      <c r="QCH6" s="15"/>
      <c r="QCN6" s="16"/>
      <c r="QCU6" s="17"/>
      <c r="QCV6" s="17"/>
      <c r="QCZ6" s="15"/>
      <c r="QDF6" s="16"/>
      <c r="QDM6" s="17"/>
      <c r="QDN6" s="17"/>
      <c r="QDR6" s="15"/>
      <c r="QDX6" s="16"/>
      <c r="QEE6" s="17"/>
      <c r="QEF6" s="17"/>
      <c r="QEJ6" s="15"/>
      <c r="QEP6" s="16"/>
      <c r="QEW6" s="17"/>
      <c r="QEX6" s="17"/>
      <c r="QFB6" s="15"/>
      <c r="QFH6" s="16"/>
      <c r="QFO6" s="17"/>
      <c r="QFP6" s="17"/>
      <c r="QFT6" s="15"/>
      <c r="QFZ6" s="16"/>
      <c r="QGG6" s="17"/>
      <c r="QGH6" s="17"/>
      <c r="QGL6" s="15"/>
      <c r="QGR6" s="16"/>
      <c r="QGY6" s="17"/>
      <c r="QGZ6" s="17"/>
      <c r="QHD6" s="15"/>
      <c r="QHJ6" s="16"/>
      <c r="QHQ6" s="17"/>
      <c r="QHR6" s="17"/>
      <c r="QHV6" s="15"/>
      <c r="QIB6" s="16"/>
      <c r="QII6" s="17"/>
      <c r="QIJ6" s="17"/>
      <c r="QIN6" s="15"/>
      <c r="QIT6" s="16"/>
      <c r="QJA6" s="17"/>
      <c r="QJB6" s="17"/>
      <c r="QJF6" s="15"/>
      <c r="QJL6" s="16"/>
      <c r="QJS6" s="17"/>
      <c r="QJT6" s="17"/>
      <c r="QJX6" s="15"/>
      <c r="QKD6" s="16"/>
      <c r="QKK6" s="17"/>
      <c r="QKL6" s="17"/>
      <c r="QKP6" s="15"/>
      <c r="QKV6" s="16"/>
      <c r="QLC6" s="17"/>
      <c r="QLD6" s="17"/>
      <c r="QLH6" s="15"/>
      <c r="QLN6" s="16"/>
      <c r="QLU6" s="17"/>
      <c r="QLV6" s="17"/>
      <c r="QLZ6" s="15"/>
      <c r="QMF6" s="16"/>
      <c r="QMM6" s="17"/>
      <c r="QMN6" s="17"/>
      <c r="QMR6" s="15"/>
      <c r="QMX6" s="16"/>
      <c r="QNE6" s="17"/>
      <c r="QNF6" s="17"/>
      <c r="QNJ6" s="15"/>
      <c r="QNP6" s="16"/>
      <c r="QNW6" s="17"/>
      <c r="QNX6" s="17"/>
      <c r="QOB6" s="15"/>
      <c r="QOH6" s="16"/>
      <c r="QOO6" s="17"/>
      <c r="QOP6" s="17"/>
      <c r="QOT6" s="15"/>
      <c r="QOZ6" s="16"/>
      <c r="QPG6" s="17"/>
      <c r="QPH6" s="17"/>
      <c r="QPL6" s="15"/>
      <c r="QPR6" s="16"/>
      <c r="QPY6" s="17"/>
      <c r="QPZ6" s="17"/>
      <c r="QQD6" s="15"/>
      <c r="QQJ6" s="16"/>
      <c r="QQQ6" s="17"/>
      <c r="QQR6" s="17"/>
      <c r="QQV6" s="15"/>
      <c r="QRB6" s="16"/>
      <c r="QRI6" s="17"/>
      <c r="QRJ6" s="17"/>
      <c r="QRN6" s="15"/>
      <c r="QRT6" s="16"/>
      <c r="QSA6" s="17"/>
      <c r="QSB6" s="17"/>
      <c r="QSF6" s="15"/>
      <c r="QSL6" s="16"/>
      <c r="QSS6" s="17"/>
      <c r="QST6" s="17"/>
      <c r="QSX6" s="15"/>
      <c r="QTD6" s="16"/>
      <c r="QTK6" s="17"/>
      <c r="QTL6" s="17"/>
      <c r="QTP6" s="15"/>
      <c r="QTV6" s="16"/>
      <c r="QUC6" s="17"/>
      <c r="QUD6" s="17"/>
      <c r="QUH6" s="15"/>
      <c r="QUN6" s="16"/>
      <c r="QUU6" s="17"/>
      <c r="QUV6" s="17"/>
      <c r="QUZ6" s="15"/>
      <c r="QVF6" s="16"/>
      <c r="QVM6" s="17"/>
      <c r="QVN6" s="17"/>
      <c r="QVR6" s="15"/>
      <c r="QVX6" s="16"/>
      <c r="QWE6" s="17"/>
      <c r="QWF6" s="17"/>
      <c r="QWJ6" s="15"/>
      <c r="QWP6" s="16"/>
      <c r="QWW6" s="17"/>
      <c r="QWX6" s="17"/>
      <c r="QXB6" s="15"/>
      <c r="QXH6" s="16"/>
      <c r="QXO6" s="17"/>
      <c r="QXP6" s="17"/>
      <c r="QXT6" s="15"/>
      <c r="QXZ6" s="16"/>
      <c r="QYG6" s="17"/>
      <c r="QYH6" s="17"/>
      <c r="QYL6" s="15"/>
      <c r="QYR6" s="16"/>
      <c r="QYY6" s="17"/>
      <c r="QYZ6" s="17"/>
      <c r="QZD6" s="15"/>
      <c r="QZJ6" s="16"/>
      <c r="QZQ6" s="17"/>
      <c r="QZR6" s="17"/>
      <c r="QZV6" s="15"/>
      <c r="RAB6" s="16"/>
      <c r="RAI6" s="17"/>
      <c r="RAJ6" s="17"/>
      <c r="RAN6" s="15"/>
      <c r="RAT6" s="16"/>
      <c r="RBA6" s="17"/>
      <c r="RBB6" s="17"/>
      <c r="RBF6" s="15"/>
      <c r="RBL6" s="16"/>
      <c r="RBS6" s="17"/>
      <c r="RBT6" s="17"/>
      <c r="RBX6" s="15"/>
      <c r="RCD6" s="16"/>
      <c r="RCK6" s="17"/>
      <c r="RCL6" s="17"/>
      <c r="RCP6" s="15"/>
      <c r="RCV6" s="16"/>
      <c r="RDC6" s="17"/>
      <c r="RDD6" s="17"/>
      <c r="RDH6" s="15"/>
      <c r="RDN6" s="16"/>
      <c r="RDU6" s="17"/>
      <c r="RDV6" s="17"/>
      <c r="RDZ6" s="15"/>
      <c r="REF6" s="16"/>
      <c r="REM6" s="17"/>
      <c r="REN6" s="17"/>
      <c r="RER6" s="15"/>
      <c r="REX6" s="16"/>
      <c r="RFE6" s="17"/>
      <c r="RFF6" s="17"/>
      <c r="RFJ6" s="15"/>
      <c r="RFP6" s="16"/>
      <c r="RFW6" s="17"/>
      <c r="RFX6" s="17"/>
      <c r="RGB6" s="15"/>
      <c r="RGH6" s="16"/>
      <c r="RGO6" s="17"/>
      <c r="RGP6" s="17"/>
      <c r="RGT6" s="15"/>
      <c r="RGZ6" s="16"/>
      <c r="RHG6" s="17"/>
      <c r="RHH6" s="17"/>
      <c r="RHL6" s="15"/>
      <c r="RHR6" s="16"/>
      <c r="RHY6" s="17"/>
      <c r="RHZ6" s="17"/>
      <c r="RID6" s="15"/>
      <c r="RIJ6" s="16"/>
      <c r="RIQ6" s="17"/>
      <c r="RIR6" s="17"/>
      <c r="RIV6" s="15"/>
      <c r="RJB6" s="16"/>
      <c r="RJI6" s="17"/>
      <c r="RJJ6" s="17"/>
      <c r="RJN6" s="15"/>
      <c r="RJT6" s="16"/>
      <c r="RKA6" s="17"/>
      <c r="RKB6" s="17"/>
      <c r="RKF6" s="15"/>
      <c r="RKL6" s="16"/>
      <c r="RKS6" s="17"/>
      <c r="RKT6" s="17"/>
      <c r="RKX6" s="15"/>
      <c r="RLD6" s="16"/>
      <c r="RLK6" s="17"/>
      <c r="RLL6" s="17"/>
      <c r="RLP6" s="15"/>
      <c r="RLV6" s="16"/>
      <c r="RMC6" s="17"/>
      <c r="RMD6" s="17"/>
      <c r="RMH6" s="15"/>
      <c r="RMN6" s="16"/>
      <c r="RMU6" s="17"/>
      <c r="RMV6" s="17"/>
      <c r="RMZ6" s="15"/>
      <c r="RNF6" s="16"/>
      <c r="RNM6" s="17"/>
      <c r="RNN6" s="17"/>
      <c r="RNR6" s="15"/>
      <c r="RNX6" s="16"/>
      <c r="ROE6" s="17"/>
      <c r="ROF6" s="17"/>
      <c r="ROJ6" s="15"/>
      <c r="ROP6" s="16"/>
      <c r="ROW6" s="17"/>
      <c r="ROX6" s="17"/>
      <c r="RPB6" s="15"/>
      <c r="RPH6" s="16"/>
      <c r="RPO6" s="17"/>
      <c r="RPP6" s="17"/>
      <c r="RPT6" s="15"/>
      <c r="RPZ6" s="16"/>
      <c r="RQG6" s="17"/>
      <c r="RQH6" s="17"/>
      <c r="RQL6" s="15"/>
      <c r="RQR6" s="16"/>
      <c r="RQY6" s="17"/>
      <c r="RQZ6" s="17"/>
      <c r="RRD6" s="15"/>
      <c r="RRJ6" s="16"/>
      <c r="RRQ6" s="17"/>
      <c r="RRR6" s="17"/>
      <c r="RRV6" s="15"/>
      <c r="RSB6" s="16"/>
      <c r="RSI6" s="17"/>
      <c r="RSJ6" s="17"/>
      <c r="RSN6" s="15"/>
      <c r="RST6" s="16"/>
      <c r="RTA6" s="17"/>
      <c r="RTB6" s="17"/>
      <c r="RTF6" s="15"/>
      <c r="RTL6" s="16"/>
      <c r="RTS6" s="17"/>
      <c r="RTT6" s="17"/>
      <c r="RTX6" s="15"/>
      <c r="RUD6" s="16"/>
      <c r="RUK6" s="17"/>
      <c r="RUL6" s="17"/>
      <c r="RUP6" s="15"/>
      <c r="RUV6" s="16"/>
      <c r="RVC6" s="17"/>
      <c r="RVD6" s="17"/>
      <c r="RVH6" s="15"/>
      <c r="RVN6" s="16"/>
      <c r="RVU6" s="17"/>
      <c r="RVV6" s="17"/>
      <c r="RVZ6" s="15"/>
      <c r="RWF6" s="16"/>
      <c r="RWM6" s="17"/>
      <c r="RWN6" s="17"/>
      <c r="RWR6" s="15"/>
      <c r="RWX6" s="16"/>
      <c r="RXE6" s="17"/>
      <c r="RXF6" s="17"/>
      <c r="RXJ6" s="15"/>
      <c r="RXP6" s="16"/>
      <c r="RXW6" s="17"/>
      <c r="RXX6" s="17"/>
      <c r="RYB6" s="15"/>
      <c r="RYH6" s="16"/>
      <c r="RYO6" s="17"/>
      <c r="RYP6" s="17"/>
      <c r="RYT6" s="15"/>
      <c r="RYZ6" s="16"/>
      <c r="RZG6" s="17"/>
      <c r="RZH6" s="17"/>
      <c r="RZL6" s="15"/>
      <c r="RZR6" s="16"/>
      <c r="RZY6" s="17"/>
      <c r="RZZ6" s="17"/>
      <c r="SAD6" s="15"/>
      <c r="SAJ6" s="16"/>
      <c r="SAQ6" s="17"/>
      <c r="SAR6" s="17"/>
      <c r="SAV6" s="15"/>
      <c r="SBB6" s="16"/>
      <c r="SBI6" s="17"/>
      <c r="SBJ6" s="17"/>
      <c r="SBN6" s="15"/>
      <c r="SBT6" s="16"/>
      <c r="SCA6" s="17"/>
      <c r="SCB6" s="17"/>
      <c r="SCF6" s="15"/>
      <c r="SCL6" s="16"/>
      <c r="SCS6" s="17"/>
      <c r="SCT6" s="17"/>
      <c r="SCX6" s="15"/>
      <c r="SDD6" s="16"/>
      <c r="SDK6" s="17"/>
      <c r="SDL6" s="17"/>
      <c r="SDP6" s="15"/>
      <c r="SDV6" s="16"/>
      <c r="SEC6" s="17"/>
      <c r="SED6" s="17"/>
      <c r="SEH6" s="15"/>
      <c r="SEN6" s="16"/>
      <c r="SEU6" s="17"/>
      <c r="SEV6" s="17"/>
      <c r="SEZ6" s="15"/>
      <c r="SFF6" s="16"/>
      <c r="SFM6" s="17"/>
      <c r="SFN6" s="17"/>
      <c r="SFR6" s="15"/>
      <c r="SFX6" s="16"/>
      <c r="SGE6" s="17"/>
      <c r="SGF6" s="17"/>
      <c r="SGJ6" s="15"/>
      <c r="SGP6" s="16"/>
      <c r="SGW6" s="17"/>
      <c r="SGX6" s="17"/>
      <c r="SHB6" s="15"/>
      <c r="SHH6" s="16"/>
      <c r="SHO6" s="17"/>
      <c r="SHP6" s="17"/>
      <c r="SHT6" s="15"/>
      <c r="SHZ6" s="16"/>
      <c r="SIG6" s="17"/>
      <c r="SIH6" s="17"/>
      <c r="SIL6" s="15"/>
      <c r="SIR6" s="16"/>
      <c r="SIY6" s="17"/>
      <c r="SIZ6" s="17"/>
      <c r="SJD6" s="15"/>
      <c r="SJJ6" s="16"/>
      <c r="SJQ6" s="17"/>
      <c r="SJR6" s="17"/>
      <c r="SJV6" s="15"/>
      <c r="SKB6" s="16"/>
      <c r="SKI6" s="17"/>
      <c r="SKJ6" s="17"/>
      <c r="SKN6" s="15"/>
      <c r="SKT6" s="16"/>
      <c r="SLA6" s="17"/>
      <c r="SLB6" s="17"/>
      <c r="SLF6" s="15"/>
      <c r="SLL6" s="16"/>
      <c r="SLS6" s="17"/>
      <c r="SLT6" s="17"/>
      <c r="SLX6" s="15"/>
      <c r="SMD6" s="16"/>
      <c r="SMK6" s="17"/>
      <c r="SML6" s="17"/>
      <c r="SMP6" s="15"/>
      <c r="SMV6" s="16"/>
      <c r="SNC6" s="17"/>
      <c r="SND6" s="17"/>
      <c r="SNH6" s="15"/>
      <c r="SNN6" s="16"/>
      <c r="SNU6" s="17"/>
      <c r="SNV6" s="17"/>
      <c r="SNZ6" s="15"/>
      <c r="SOF6" s="16"/>
      <c r="SOM6" s="17"/>
      <c r="SON6" s="17"/>
      <c r="SOR6" s="15"/>
      <c r="SOX6" s="16"/>
      <c r="SPE6" s="17"/>
      <c r="SPF6" s="17"/>
      <c r="SPJ6" s="15"/>
      <c r="SPP6" s="16"/>
      <c r="SPW6" s="17"/>
      <c r="SPX6" s="17"/>
      <c r="SQB6" s="15"/>
      <c r="SQH6" s="16"/>
      <c r="SQO6" s="17"/>
      <c r="SQP6" s="17"/>
      <c r="SQT6" s="15"/>
      <c r="SQZ6" s="16"/>
      <c r="SRG6" s="17"/>
      <c r="SRH6" s="17"/>
      <c r="SRL6" s="15"/>
      <c r="SRR6" s="16"/>
      <c r="SRY6" s="17"/>
      <c r="SRZ6" s="17"/>
      <c r="SSD6" s="15"/>
      <c r="SSJ6" s="16"/>
      <c r="SSQ6" s="17"/>
      <c r="SSR6" s="17"/>
      <c r="SSV6" s="15"/>
      <c r="STB6" s="16"/>
      <c r="STI6" s="17"/>
      <c r="STJ6" s="17"/>
      <c r="STN6" s="15"/>
      <c r="STT6" s="16"/>
      <c r="SUA6" s="17"/>
      <c r="SUB6" s="17"/>
      <c r="SUF6" s="15"/>
      <c r="SUL6" s="16"/>
      <c r="SUS6" s="17"/>
      <c r="SUT6" s="17"/>
      <c r="SUX6" s="15"/>
      <c r="SVD6" s="16"/>
      <c r="SVK6" s="17"/>
      <c r="SVL6" s="17"/>
      <c r="SVP6" s="15"/>
      <c r="SVV6" s="16"/>
      <c r="SWC6" s="17"/>
      <c r="SWD6" s="17"/>
      <c r="SWH6" s="15"/>
      <c r="SWN6" s="16"/>
      <c r="SWU6" s="17"/>
      <c r="SWV6" s="17"/>
      <c r="SWZ6" s="15"/>
      <c r="SXF6" s="16"/>
      <c r="SXM6" s="17"/>
      <c r="SXN6" s="17"/>
      <c r="SXR6" s="15"/>
      <c r="SXX6" s="16"/>
      <c r="SYE6" s="17"/>
      <c r="SYF6" s="17"/>
      <c r="SYJ6" s="15"/>
      <c r="SYP6" s="16"/>
      <c r="SYW6" s="17"/>
      <c r="SYX6" s="17"/>
      <c r="SZB6" s="15"/>
      <c r="SZH6" s="16"/>
      <c r="SZO6" s="17"/>
      <c r="SZP6" s="17"/>
      <c r="SZT6" s="15"/>
      <c r="SZZ6" s="16"/>
      <c r="TAG6" s="17"/>
      <c r="TAH6" s="17"/>
      <c r="TAL6" s="15"/>
      <c r="TAR6" s="16"/>
      <c r="TAY6" s="17"/>
      <c r="TAZ6" s="17"/>
      <c r="TBD6" s="15"/>
      <c r="TBJ6" s="16"/>
      <c r="TBQ6" s="17"/>
      <c r="TBR6" s="17"/>
      <c r="TBV6" s="15"/>
      <c r="TCB6" s="16"/>
      <c r="TCI6" s="17"/>
      <c r="TCJ6" s="17"/>
      <c r="TCN6" s="15"/>
      <c r="TCT6" s="16"/>
      <c r="TDA6" s="17"/>
      <c r="TDB6" s="17"/>
      <c r="TDF6" s="15"/>
      <c r="TDL6" s="16"/>
      <c r="TDS6" s="17"/>
      <c r="TDT6" s="17"/>
      <c r="TDX6" s="15"/>
      <c r="TED6" s="16"/>
      <c r="TEK6" s="17"/>
      <c r="TEL6" s="17"/>
      <c r="TEP6" s="15"/>
      <c r="TEV6" s="16"/>
      <c r="TFC6" s="17"/>
      <c r="TFD6" s="17"/>
      <c r="TFH6" s="15"/>
      <c r="TFN6" s="16"/>
      <c r="TFU6" s="17"/>
      <c r="TFV6" s="17"/>
      <c r="TFZ6" s="15"/>
      <c r="TGF6" s="16"/>
      <c r="TGM6" s="17"/>
      <c r="TGN6" s="17"/>
      <c r="TGR6" s="15"/>
      <c r="TGX6" s="16"/>
      <c r="THE6" s="17"/>
      <c r="THF6" s="17"/>
      <c r="THJ6" s="15"/>
      <c r="THP6" s="16"/>
      <c r="THW6" s="17"/>
      <c r="THX6" s="17"/>
      <c r="TIB6" s="15"/>
      <c r="TIH6" s="16"/>
      <c r="TIO6" s="17"/>
      <c r="TIP6" s="17"/>
      <c r="TIT6" s="15"/>
      <c r="TIZ6" s="16"/>
      <c r="TJG6" s="17"/>
      <c r="TJH6" s="17"/>
      <c r="TJL6" s="15"/>
      <c r="TJR6" s="16"/>
      <c r="TJY6" s="17"/>
      <c r="TJZ6" s="17"/>
      <c r="TKD6" s="15"/>
      <c r="TKJ6" s="16"/>
      <c r="TKQ6" s="17"/>
      <c r="TKR6" s="17"/>
      <c r="TKV6" s="15"/>
      <c r="TLB6" s="16"/>
      <c r="TLI6" s="17"/>
      <c r="TLJ6" s="17"/>
      <c r="TLN6" s="15"/>
      <c r="TLT6" s="16"/>
      <c r="TMA6" s="17"/>
      <c r="TMB6" s="17"/>
      <c r="TMF6" s="15"/>
      <c r="TML6" s="16"/>
      <c r="TMS6" s="17"/>
      <c r="TMT6" s="17"/>
      <c r="TMX6" s="15"/>
      <c r="TND6" s="16"/>
      <c r="TNK6" s="17"/>
      <c r="TNL6" s="17"/>
      <c r="TNP6" s="15"/>
      <c r="TNV6" s="16"/>
      <c r="TOC6" s="17"/>
      <c r="TOD6" s="17"/>
      <c r="TOH6" s="15"/>
      <c r="TON6" s="16"/>
      <c r="TOU6" s="17"/>
      <c r="TOV6" s="17"/>
      <c r="TOZ6" s="15"/>
      <c r="TPF6" s="16"/>
      <c r="TPM6" s="17"/>
      <c r="TPN6" s="17"/>
      <c r="TPR6" s="15"/>
      <c r="TPX6" s="16"/>
      <c r="TQE6" s="17"/>
      <c r="TQF6" s="17"/>
      <c r="TQJ6" s="15"/>
      <c r="TQP6" s="16"/>
      <c r="TQW6" s="17"/>
      <c r="TQX6" s="17"/>
      <c r="TRB6" s="15"/>
      <c r="TRH6" s="16"/>
      <c r="TRO6" s="17"/>
      <c r="TRP6" s="17"/>
      <c r="TRT6" s="15"/>
      <c r="TRZ6" s="16"/>
      <c r="TSG6" s="17"/>
      <c r="TSH6" s="17"/>
      <c r="TSL6" s="15"/>
      <c r="TSR6" s="16"/>
      <c r="TSY6" s="17"/>
      <c r="TSZ6" s="17"/>
      <c r="TTD6" s="15"/>
      <c r="TTJ6" s="16"/>
      <c r="TTQ6" s="17"/>
      <c r="TTR6" s="17"/>
      <c r="TTV6" s="15"/>
      <c r="TUB6" s="16"/>
      <c r="TUI6" s="17"/>
      <c r="TUJ6" s="17"/>
      <c r="TUN6" s="15"/>
      <c r="TUT6" s="16"/>
      <c r="TVA6" s="17"/>
      <c r="TVB6" s="17"/>
      <c r="TVF6" s="15"/>
      <c r="TVL6" s="16"/>
      <c r="TVS6" s="17"/>
      <c r="TVT6" s="17"/>
      <c r="TVX6" s="15"/>
      <c r="TWD6" s="16"/>
      <c r="TWK6" s="17"/>
      <c r="TWL6" s="17"/>
      <c r="TWP6" s="15"/>
      <c r="TWV6" s="16"/>
      <c r="TXC6" s="17"/>
      <c r="TXD6" s="17"/>
      <c r="TXH6" s="15"/>
      <c r="TXN6" s="16"/>
      <c r="TXU6" s="17"/>
      <c r="TXV6" s="17"/>
      <c r="TXZ6" s="15"/>
      <c r="TYF6" s="16"/>
      <c r="TYM6" s="17"/>
      <c r="TYN6" s="17"/>
      <c r="TYR6" s="15"/>
      <c r="TYX6" s="16"/>
      <c r="TZE6" s="17"/>
      <c r="TZF6" s="17"/>
      <c r="TZJ6" s="15"/>
      <c r="TZP6" s="16"/>
      <c r="TZW6" s="17"/>
      <c r="TZX6" s="17"/>
      <c r="UAB6" s="15"/>
      <c r="UAH6" s="16"/>
      <c r="UAO6" s="17"/>
      <c r="UAP6" s="17"/>
      <c r="UAT6" s="15"/>
      <c r="UAZ6" s="16"/>
      <c r="UBG6" s="17"/>
      <c r="UBH6" s="17"/>
      <c r="UBL6" s="15"/>
      <c r="UBR6" s="16"/>
      <c r="UBY6" s="17"/>
      <c r="UBZ6" s="17"/>
      <c r="UCD6" s="15"/>
      <c r="UCJ6" s="16"/>
      <c r="UCQ6" s="17"/>
      <c r="UCR6" s="17"/>
      <c r="UCV6" s="15"/>
      <c r="UDB6" s="16"/>
      <c r="UDI6" s="17"/>
      <c r="UDJ6" s="17"/>
      <c r="UDN6" s="15"/>
      <c r="UDT6" s="16"/>
      <c r="UEA6" s="17"/>
      <c r="UEB6" s="17"/>
      <c r="UEF6" s="15"/>
      <c r="UEL6" s="16"/>
      <c r="UES6" s="17"/>
      <c r="UET6" s="17"/>
      <c r="UEX6" s="15"/>
      <c r="UFD6" s="16"/>
      <c r="UFK6" s="17"/>
      <c r="UFL6" s="17"/>
      <c r="UFP6" s="15"/>
      <c r="UFV6" s="16"/>
      <c r="UGC6" s="17"/>
      <c r="UGD6" s="17"/>
      <c r="UGH6" s="15"/>
      <c r="UGN6" s="16"/>
      <c r="UGU6" s="17"/>
      <c r="UGV6" s="17"/>
      <c r="UGZ6" s="15"/>
      <c r="UHF6" s="16"/>
      <c r="UHM6" s="17"/>
      <c r="UHN6" s="17"/>
      <c r="UHR6" s="15"/>
      <c r="UHX6" s="16"/>
      <c r="UIE6" s="17"/>
      <c r="UIF6" s="17"/>
      <c r="UIJ6" s="15"/>
      <c r="UIP6" s="16"/>
      <c r="UIW6" s="17"/>
      <c r="UIX6" s="17"/>
      <c r="UJB6" s="15"/>
      <c r="UJH6" s="16"/>
      <c r="UJO6" s="17"/>
      <c r="UJP6" s="17"/>
      <c r="UJT6" s="15"/>
      <c r="UJZ6" s="16"/>
      <c r="UKG6" s="17"/>
      <c r="UKH6" s="17"/>
      <c r="UKL6" s="15"/>
      <c r="UKR6" s="16"/>
      <c r="UKY6" s="17"/>
      <c r="UKZ6" s="17"/>
      <c r="ULD6" s="15"/>
      <c r="ULJ6" s="16"/>
      <c r="ULQ6" s="17"/>
      <c r="ULR6" s="17"/>
      <c r="ULV6" s="15"/>
      <c r="UMB6" s="16"/>
      <c r="UMI6" s="17"/>
      <c r="UMJ6" s="17"/>
      <c r="UMN6" s="15"/>
      <c r="UMT6" s="16"/>
      <c r="UNA6" s="17"/>
      <c r="UNB6" s="17"/>
      <c r="UNF6" s="15"/>
      <c r="UNL6" s="16"/>
      <c r="UNS6" s="17"/>
      <c r="UNT6" s="17"/>
      <c r="UNX6" s="15"/>
      <c r="UOD6" s="16"/>
      <c r="UOK6" s="17"/>
      <c r="UOL6" s="17"/>
      <c r="UOP6" s="15"/>
      <c r="UOV6" s="16"/>
      <c r="UPC6" s="17"/>
      <c r="UPD6" s="17"/>
      <c r="UPH6" s="15"/>
      <c r="UPN6" s="16"/>
      <c r="UPU6" s="17"/>
      <c r="UPV6" s="17"/>
      <c r="UPZ6" s="15"/>
      <c r="UQF6" s="16"/>
      <c r="UQM6" s="17"/>
      <c r="UQN6" s="17"/>
      <c r="UQR6" s="15"/>
      <c r="UQX6" s="16"/>
      <c r="URE6" s="17"/>
      <c r="URF6" s="17"/>
      <c r="URJ6" s="15"/>
      <c r="URP6" s="16"/>
      <c r="URW6" s="17"/>
      <c r="URX6" s="17"/>
      <c r="USB6" s="15"/>
      <c r="USH6" s="16"/>
      <c r="USO6" s="17"/>
      <c r="USP6" s="17"/>
      <c r="UST6" s="15"/>
      <c r="USZ6" s="16"/>
      <c r="UTG6" s="17"/>
      <c r="UTH6" s="17"/>
      <c r="UTL6" s="15"/>
      <c r="UTR6" s="16"/>
      <c r="UTY6" s="17"/>
      <c r="UTZ6" s="17"/>
      <c r="UUD6" s="15"/>
      <c r="UUJ6" s="16"/>
      <c r="UUQ6" s="17"/>
      <c r="UUR6" s="17"/>
      <c r="UUV6" s="15"/>
      <c r="UVB6" s="16"/>
      <c r="UVI6" s="17"/>
      <c r="UVJ6" s="17"/>
      <c r="UVN6" s="15"/>
      <c r="UVT6" s="16"/>
      <c r="UWA6" s="17"/>
      <c r="UWB6" s="17"/>
      <c r="UWF6" s="15"/>
      <c r="UWL6" s="16"/>
      <c r="UWS6" s="17"/>
      <c r="UWT6" s="17"/>
      <c r="UWX6" s="15"/>
      <c r="UXD6" s="16"/>
      <c r="UXK6" s="17"/>
      <c r="UXL6" s="17"/>
      <c r="UXP6" s="15"/>
      <c r="UXV6" s="16"/>
      <c r="UYC6" s="17"/>
      <c r="UYD6" s="17"/>
      <c r="UYH6" s="15"/>
      <c r="UYN6" s="16"/>
      <c r="UYU6" s="17"/>
      <c r="UYV6" s="17"/>
      <c r="UYZ6" s="15"/>
      <c r="UZF6" s="16"/>
      <c r="UZM6" s="17"/>
      <c r="UZN6" s="17"/>
      <c r="UZR6" s="15"/>
      <c r="UZX6" s="16"/>
      <c r="VAE6" s="17"/>
      <c r="VAF6" s="17"/>
      <c r="VAJ6" s="15"/>
      <c r="VAP6" s="16"/>
      <c r="VAW6" s="17"/>
      <c r="VAX6" s="17"/>
      <c r="VBB6" s="15"/>
      <c r="VBH6" s="16"/>
      <c r="VBO6" s="17"/>
      <c r="VBP6" s="17"/>
      <c r="VBT6" s="15"/>
      <c r="VBZ6" s="16"/>
      <c r="VCG6" s="17"/>
      <c r="VCH6" s="17"/>
      <c r="VCL6" s="15"/>
      <c r="VCR6" s="16"/>
      <c r="VCY6" s="17"/>
      <c r="VCZ6" s="17"/>
      <c r="VDD6" s="15"/>
      <c r="VDJ6" s="16"/>
      <c r="VDQ6" s="17"/>
      <c r="VDR6" s="17"/>
      <c r="VDV6" s="15"/>
      <c r="VEB6" s="16"/>
      <c r="VEI6" s="17"/>
      <c r="VEJ6" s="17"/>
      <c r="VEN6" s="15"/>
      <c r="VET6" s="16"/>
      <c r="VFA6" s="17"/>
      <c r="VFB6" s="17"/>
      <c r="VFF6" s="15"/>
      <c r="VFL6" s="16"/>
      <c r="VFS6" s="17"/>
      <c r="VFT6" s="17"/>
      <c r="VFX6" s="15"/>
      <c r="VGD6" s="16"/>
      <c r="VGK6" s="17"/>
      <c r="VGL6" s="17"/>
      <c r="VGP6" s="15"/>
      <c r="VGV6" s="16"/>
      <c r="VHC6" s="17"/>
      <c r="VHD6" s="17"/>
      <c r="VHH6" s="15"/>
      <c r="VHN6" s="16"/>
      <c r="VHU6" s="17"/>
      <c r="VHV6" s="17"/>
      <c r="VHZ6" s="15"/>
      <c r="VIF6" s="16"/>
      <c r="VIM6" s="17"/>
      <c r="VIN6" s="17"/>
      <c r="VIR6" s="15"/>
      <c r="VIX6" s="16"/>
      <c r="VJE6" s="17"/>
      <c r="VJF6" s="17"/>
      <c r="VJJ6" s="15"/>
      <c r="VJP6" s="16"/>
      <c r="VJW6" s="17"/>
      <c r="VJX6" s="17"/>
      <c r="VKB6" s="15"/>
      <c r="VKH6" s="16"/>
      <c r="VKO6" s="17"/>
      <c r="VKP6" s="17"/>
      <c r="VKT6" s="15"/>
      <c r="VKZ6" s="16"/>
      <c r="VLG6" s="17"/>
      <c r="VLH6" s="17"/>
      <c r="VLL6" s="15"/>
      <c r="VLR6" s="16"/>
      <c r="VLY6" s="17"/>
      <c r="VLZ6" s="17"/>
      <c r="VMD6" s="15"/>
      <c r="VMJ6" s="16"/>
      <c r="VMQ6" s="17"/>
      <c r="VMR6" s="17"/>
      <c r="VMV6" s="15"/>
      <c r="VNB6" s="16"/>
      <c r="VNI6" s="17"/>
      <c r="VNJ6" s="17"/>
      <c r="VNN6" s="15"/>
      <c r="VNT6" s="16"/>
      <c r="VOA6" s="17"/>
      <c r="VOB6" s="17"/>
      <c r="VOF6" s="15"/>
      <c r="VOL6" s="16"/>
      <c r="VOS6" s="17"/>
      <c r="VOT6" s="17"/>
      <c r="VOX6" s="15"/>
      <c r="VPD6" s="16"/>
      <c r="VPK6" s="17"/>
      <c r="VPL6" s="17"/>
      <c r="VPP6" s="15"/>
      <c r="VPV6" s="16"/>
      <c r="VQC6" s="17"/>
      <c r="VQD6" s="17"/>
      <c r="VQH6" s="15"/>
      <c r="VQN6" s="16"/>
      <c r="VQU6" s="17"/>
      <c r="VQV6" s="17"/>
      <c r="VQZ6" s="15"/>
      <c r="VRF6" s="16"/>
      <c r="VRM6" s="17"/>
      <c r="VRN6" s="17"/>
      <c r="VRR6" s="15"/>
      <c r="VRX6" s="16"/>
      <c r="VSE6" s="17"/>
      <c r="VSF6" s="17"/>
      <c r="VSJ6" s="15"/>
      <c r="VSP6" s="16"/>
      <c r="VSW6" s="17"/>
      <c r="VSX6" s="17"/>
      <c r="VTB6" s="15"/>
      <c r="VTH6" s="16"/>
      <c r="VTO6" s="17"/>
      <c r="VTP6" s="17"/>
      <c r="VTT6" s="15"/>
      <c r="VTZ6" s="16"/>
      <c r="VUG6" s="17"/>
      <c r="VUH6" s="17"/>
      <c r="VUL6" s="15"/>
      <c r="VUR6" s="16"/>
      <c r="VUY6" s="17"/>
      <c r="VUZ6" s="17"/>
      <c r="VVD6" s="15"/>
      <c r="VVJ6" s="16"/>
      <c r="VVQ6" s="17"/>
      <c r="VVR6" s="17"/>
      <c r="VVV6" s="15"/>
      <c r="VWB6" s="16"/>
      <c r="VWI6" s="17"/>
      <c r="VWJ6" s="17"/>
      <c r="VWN6" s="15"/>
      <c r="VWT6" s="16"/>
      <c r="VXA6" s="17"/>
      <c r="VXB6" s="17"/>
      <c r="VXF6" s="15"/>
      <c r="VXL6" s="16"/>
      <c r="VXS6" s="17"/>
      <c r="VXT6" s="17"/>
      <c r="VXX6" s="15"/>
      <c r="VYD6" s="16"/>
      <c r="VYK6" s="17"/>
      <c r="VYL6" s="17"/>
      <c r="VYP6" s="15"/>
      <c r="VYV6" s="16"/>
      <c r="VZC6" s="17"/>
      <c r="VZD6" s="17"/>
      <c r="VZH6" s="15"/>
      <c r="VZN6" s="16"/>
      <c r="VZU6" s="17"/>
      <c r="VZV6" s="17"/>
      <c r="VZZ6" s="15"/>
      <c r="WAF6" s="16"/>
      <c r="WAM6" s="17"/>
      <c r="WAN6" s="17"/>
      <c r="WAR6" s="15"/>
      <c r="WAX6" s="16"/>
      <c r="WBE6" s="17"/>
      <c r="WBF6" s="17"/>
      <c r="WBJ6" s="15"/>
      <c r="WBP6" s="16"/>
      <c r="WBW6" s="17"/>
      <c r="WBX6" s="17"/>
      <c r="WCB6" s="15"/>
      <c r="WCH6" s="16"/>
      <c r="WCO6" s="17"/>
      <c r="WCP6" s="17"/>
      <c r="WCT6" s="15"/>
      <c r="WCZ6" s="16"/>
      <c r="WDG6" s="17"/>
      <c r="WDH6" s="17"/>
      <c r="WDL6" s="15"/>
      <c r="WDR6" s="16"/>
      <c r="WDY6" s="17"/>
      <c r="WDZ6" s="17"/>
      <c r="WED6" s="15"/>
      <c r="WEJ6" s="16"/>
      <c r="WEQ6" s="17"/>
      <c r="WER6" s="17"/>
      <c r="WEV6" s="15"/>
      <c r="WFB6" s="16"/>
      <c r="WFI6" s="17"/>
      <c r="WFJ6" s="17"/>
      <c r="WFN6" s="15"/>
      <c r="WFT6" s="16"/>
      <c r="WGA6" s="17"/>
      <c r="WGB6" s="17"/>
      <c r="WGF6" s="15"/>
      <c r="WGL6" s="16"/>
      <c r="WGS6" s="17"/>
      <c r="WGT6" s="17"/>
      <c r="WGX6" s="15"/>
      <c r="WHD6" s="16"/>
      <c r="WHK6" s="17"/>
      <c r="WHL6" s="17"/>
      <c r="WHP6" s="15"/>
      <c r="WHV6" s="16"/>
      <c r="WIC6" s="17"/>
      <c r="WID6" s="17"/>
      <c r="WIH6" s="15"/>
      <c r="WIN6" s="16"/>
      <c r="WIU6" s="17"/>
      <c r="WIV6" s="17"/>
      <c r="WIZ6" s="15"/>
      <c r="WJF6" s="16"/>
      <c r="WJM6" s="17"/>
      <c r="WJN6" s="17"/>
      <c r="WJR6" s="15"/>
      <c r="WJX6" s="16"/>
      <c r="WKE6" s="17"/>
      <c r="WKF6" s="17"/>
      <c r="WKJ6" s="15"/>
      <c r="WKP6" s="16"/>
      <c r="WKW6" s="17"/>
      <c r="WKX6" s="17"/>
      <c r="WLB6" s="15"/>
      <c r="WLH6" s="16"/>
      <c r="WLO6" s="17"/>
      <c r="WLP6" s="17"/>
      <c r="WLT6" s="15"/>
      <c r="WLZ6" s="16"/>
      <c r="WMG6" s="17"/>
      <c r="WMH6" s="17"/>
      <c r="WML6" s="15"/>
      <c r="WMR6" s="16"/>
      <c r="WMY6" s="17"/>
      <c r="WMZ6" s="17"/>
      <c r="WND6" s="15"/>
      <c r="WNJ6" s="16"/>
      <c r="WNQ6" s="17"/>
      <c r="WNR6" s="17"/>
      <c r="WNV6" s="15"/>
      <c r="WOB6" s="16"/>
      <c r="WOI6" s="17"/>
      <c r="WOJ6" s="17"/>
      <c r="WON6" s="15"/>
      <c r="WOT6" s="16"/>
      <c r="WPA6" s="17"/>
      <c r="WPB6" s="17"/>
      <c r="WPF6" s="15"/>
      <c r="WPL6" s="16"/>
      <c r="WPS6" s="17"/>
      <c r="WPT6" s="17"/>
      <c r="WPX6" s="15"/>
      <c r="WQD6" s="16"/>
      <c r="WQK6" s="17"/>
      <c r="WQL6" s="17"/>
      <c r="WQP6" s="15"/>
      <c r="WQV6" s="16"/>
      <c r="WRC6" s="17"/>
      <c r="WRD6" s="17"/>
      <c r="WRH6" s="15"/>
      <c r="WRN6" s="16"/>
      <c r="WRU6" s="17"/>
      <c r="WRV6" s="17"/>
      <c r="WRZ6" s="15"/>
      <c r="WSF6" s="16"/>
      <c r="WSM6" s="17"/>
      <c r="WSN6" s="17"/>
      <c r="WSR6" s="15"/>
      <c r="WSX6" s="16"/>
      <c r="WTE6" s="17"/>
      <c r="WTF6" s="17"/>
      <c r="WTJ6" s="15"/>
      <c r="WTP6" s="16"/>
      <c r="WTW6" s="17"/>
      <c r="WTX6" s="17"/>
      <c r="WUB6" s="15"/>
      <c r="WUH6" s="16"/>
      <c r="WUO6" s="17"/>
      <c r="WUP6" s="17"/>
      <c r="WUT6" s="15"/>
      <c r="WUZ6" s="16"/>
      <c r="WVG6" s="17"/>
      <c r="WVH6" s="17"/>
      <c r="WVL6" s="15"/>
      <c r="WVR6" s="16"/>
      <c r="WVY6" s="17"/>
      <c r="WVZ6" s="17"/>
      <c r="WWD6" s="15"/>
      <c r="WWJ6" s="16"/>
      <c r="WWQ6" s="17"/>
      <c r="WWR6" s="17"/>
      <c r="WWV6" s="15"/>
      <c r="WXB6" s="16"/>
      <c r="WXI6" s="17"/>
      <c r="WXJ6" s="17"/>
      <c r="WXN6" s="15"/>
      <c r="WXT6" s="16"/>
      <c r="WYA6" s="17"/>
      <c r="WYB6" s="17"/>
      <c r="WYF6" s="15"/>
      <c r="WYL6" s="16"/>
      <c r="WYS6" s="17"/>
      <c r="WYT6" s="17"/>
      <c r="WYX6" s="15"/>
      <c r="WZD6" s="16"/>
      <c r="WZK6" s="17"/>
      <c r="WZL6" s="17"/>
      <c r="WZP6" s="15"/>
      <c r="WZV6" s="16"/>
      <c r="XAC6" s="17"/>
      <c r="XAD6" s="17"/>
      <c r="XAH6" s="15"/>
      <c r="XAN6" s="16"/>
      <c r="XAU6" s="17"/>
      <c r="XAV6" s="17"/>
      <c r="XAZ6" s="15"/>
      <c r="XBF6" s="16"/>
      <c r="XBM6" s="17"/>
      <c r="XBN6" s="17"/>
      <c r="XBR6" s="15"/>
      <c r="XBX6" s="16"/>
      <c r="XCE6" s="17"/>
      <c r="XCF6" s="17"/>
      <c r="XCJ6" s="15"/>
      <c r="XCP6" s="16"/>
      <c r="XCW6" s="17"/>
      <c r="XCX6" s="17"/>
      <c r="XDB6" s="15"/>
      <c r="XDH6" s="16"/>
      <c r="XDO6" s="17"/>
      <c r="XDP6" s="17"/>
      <c r="XDT6" s="15"/>
      <c r="XDZ6" s="16"/>
      <c r="XEG6" s="17"/>
      <c r="XEH6" s="17"/>
      <c r="XEL6" s="15"/>
      <c r="XER6" s="16"/>
      <c r="XEY6" s="17"/>
      <c r="XEZ6" s="17"/>
      <c r="XFD6" s="15"/>
    </row>
    <row r="7" spans="1:1018 1025:2044 2051:3070 3077:4096 4103:5116 5122:6142 6148:7168 7174:8190 8194:9216 9220:10234 10241:11260 11267:12286 12293:13312 13319:14332 14338:15358 15364:16384" s="24" customFormat="1">
      <c r="A7" s="21" t="s">
        <v>37</v>
      </c>
      <c r="B7" s="12">
        <v>2009</v>
      </c>
      <c r="C7" s="22" t="s">
        <v>38</v>
      </c>
      <c r="D7" s="22" t="s">
        <v>39</v>
      </c>
      <c r="E7" s="10" t="s">
        <v>40</v>
      </c>
      <c r="F7" s="22" t="s">
        <v>41</v>
      </c>
      <c r="G7" s="20">
        <v>33298711.201804318</v>
      </c>
      <c r="H7" s="20">
        <v>33961855.117602833</v>
      </c>
      <c r="I7" s="12">
        <v>41</v>
      </c>
      <c r="J7" s="23" t="s">
        <v>42</v>
      </c>
      <c r="K7" s="12"/>
      <c r="L7" s="22"/>
      <c r="M7" s="22" t="s">
        <v>26</v>
      </c>
      <c r="N7" s="12"/>
      <c r="O7" s="22"/>
      <c r="P7" s="12"/>
      <c r="Q7" s="22" t="s">
        <v>27</v>
      </c>
      <c r="R7" s="22" t="s">
        <v>28</v>
      </c>
      <c r="V7" s="15"/>
      <c r="AB7" s="25"/>
      <c r="AI7" s="21"/>
      <c r="AJ7" s="21"/>
      <c r="AN7" s="15"/>
      <c r="AT7" s="25"/>
      <c r="BA7" s="21"/>
      <c r="BB7" s="21"/>
      <c r="BF7" s="15"/>
      <c r="BL7" s="25"/>
      <c r="BS7" s="21"/>
      <c r="BT7" s="21"/>
      <c r="BX7" s="15"/>
      <c r="CD7" s="25"/>
      <c r="CK7" s="21"/>
      <c r="CL7" s="21"/>
      <c r="CP7" s="15"/>
      <c r="CV7" s="25"/>
      <c r="DC7" s="21"/>
      <c r="DD7" s="21"/>
      <c r="DH7" s="15"/>
      <c r="DN7" s="25"/>
      <c r="DU7" s="21"/>
      <c r="DV7" s="21"/>
      <c r="DZ7" s="15"/>
      <c r="EF7" s="25"/>
      <c r="EM7" s="21"/>
      <c r="EN7" s="21"/>
      <c r="ER7" s="15"/>
      <c r="EX7" s="25"/>
      <c r="FE7" s="21"/>
      <c r="FF7" s="21"/>
      <c r="FJ7" s="15"/>
      <c r="FP7" s="25"/>
      <c r="FW7" s="21"/>
      <c r="FX7" s="21"/>
      <c r="GB7" s="15"/>
      <c r="GH7" s="25"/>
      <c r="GO7" s="21"/>
      <c r="GP7" s="21"/>
      <c r="GT7" s="15"/>
      <c r="GZ7" s="25"/>
      <c r="HG7" s="21"/>
      <c r="HH7" s="21"/>
      <c r="HL7" s="15"/>
      <c r="HR7" s="25"/>
      <c r="HY7" s="21"/>
      <c r="HZ7" s="21"/>
      <c r="ID7" s="15"/>
      <c r="IJ7" s="25"/>
      <c r="IQ7" s="21"/>
      <c r="IR7" s="21"/>
      <c r="IV7" s="15"/>
      <c r="JB7" s="25"/>
      <c r="JI7" s="21"/>
      <c r="JJ7" s="21"/>
      <c r="JN7" s="15"/>
      <c r="JT7" s="25"/>
      <c r="KA7" s="21"/>
      <c r="KB7" s="21"/>
      <c r="KF7" s="15"/>
      <c r="KL7" s="25"/>
      <c r="KS7" s="21"/>
      <c r="KT7" s="21"/>
      <c r="KX7" s="15"/>
      <c r="LD7" s="25"/>
      <c r="LK7" s="21"/>
      <c r="LL7" s="21"/>
      <c r="LP7" s="15"/>
      <c r="LV7" s="25"/>
      <c r="MC7" s="21"/>
      <c r="MD7" s="21"/>
      <c r="MH7" s="15"/>
      <c r="MN7" s="25"/>
      <c r="MU7" s="21"/>
      <c r="MV7" s="21"/>
      <c r="MZ7" s="15"/>
      <c r="NF7" s="25"/>
      <c r="NM7" s="21"/>
      <c r="NN7" s="21"/>
      <c r="NR7" s="15"/>
      <c r="NX7" s="25"/>
      <c r="OE7" s="21"/>
      <c r="OF7" s="21"/>
      <c r="OJ7" s="15"/>
      <c r="OP7" s="25"/>
      <c r="OW7" s="21"/>
      <c r="OX7" s="21"/>
      <c r="PB7" s="15"/>
      <c r="PH7" s="25"/>
      <c r="PO7" s="21"/>
      <c r="PP7" s="21"/>
      <c r="PT7" s="15"/>
      <c r="PZ7" s="25"/>
      <c r="QG7" s="21"/>
      <c r="QH7" s="21"/>
      <c r="QL7" s="15"/>
      <c r="QR7" s="25"/>
      <c r="QY7" s="21"/>
      <c r="QZ7" s="21"/>
      <c r="RD7" s="15"/>
      <c r="RJ7" s="25"/>
      <c r="RQ7" s="21"/>
      <c r="RR7" s="21"/>
      <c r="RV7" s="15"/>
      <c r="SB7" s="25"/>
      <c r="SI7" s="21"/>
      <c r="SJ7" s="21"/>
      <c r="SN7" s="15"/>
      <c r="ST7" s="25"/>
      <c r="TA7" s="21"/>
      <c r="TB7" s="21"/>
      <c r="TF7" s="15"/>
      <c r="TL7" s="25"/>
      <c r="TS7" s="21"/>
      <c r="TT7" s="21"/>
      <c r="TX7" s="15"/>
      <c r="UD7" s="25"/>
      <c r="UK7" s="21"/>
      <c r="UL7" s="21"/>
      <c r="UP7" s="15"/>
      <c r="UV7" s="25"/>
      <c r="VC7" s="21"/>
      <c r="VD7" s="21"/>
      <c r="VH7" s="15"/>
      <c r="VN7" s="25"/>
      <c r="VU7" s="21"/>
      <c r="VV7" s="21"/>
      <c r="VZ7" s="15"/>
      <c r="WF7" s="25"/>
      <c r="WM7" s="21"/>
      <c r="WN7" s="21"/>
      <c r="WR7" s="15"/>
      <c r="WX7" s="25"/>
      <c r="XE7" s="21"/>
      <c r="XF7" s="21"/>
      <c r="XJ7" s="15"/>
      <c r="XP7" s="25"/>
      <c r="XW7" s="21"/>
      <c r="XX7" s="21"/>
      <c r="YB7" s="15"/>
      <c r="YH7" s="25"/>
      <c r="YO7" s="21"/>
      <c r="YP7" s="21"/>
      <c r="YT7" s="15"/>
      <c r="YZ7" s="25"/>
      <c r="ZG7" s="21"/>
      <c r="ZH7" s="21"/>
      <c r="ZL7" s="15"/>
      <c r="ZR7" s="25"/>
      <c r="ZY7" s="21"/>
      <c r="ZZ7" s="21"/>
      <c r="AAD7" s="15"/>
      <c r="AAJ7" s="25"/>
      <c r="AAQ7" s="21"/>
      <c r="AAR7" s="21"/>
      <c r="AAV7" s="15"/>
      <c r="ABB7" s="25"/>
      <c r="ABI7" s="21"/>
      <c r="ABJ7" s="21"/>
      <c r="ABN7" s="15"/>
      <c r="ABT7" s="25"/>
      <c r="ACA7" s="21"/>
      <c r="ACB7" s="21"/>
      <c r="ACF7" s="15"/>
      <c r="ACL7" s="25"/>
      <c r="ACS7" s="21"/>
      <c r="ACT7" s="21"/>
      <c r="ACX7" s="15"/>
      <c r="ADD7" s="25"/>
      <c r="ADK7" s="21"/>
      <c r="ADL7" s="21"/>
      <c r="ADP7" s="15"/>
      <c r="ADV7" s="25"/>
      <c r="AEC7" s="21"/>
      <c r="AED7" s="21"/>
      <c r="AEH7" s="15"/>
      <c r="AEN7" s="25"/>
      <c r="AEU7" s="21"/>
      <c r="AEV7" s="21"/>
      <c r="AEZ7" s="15"/>
      <c r="AFF7" s="25"/>
      <c r="AFM7" s="21"/>
      <c r="AFN7" s="21"/>
      <c r="AFR7" s="15"/>
      <c r="AFX7" s="25"/>
      <c r="AGE7" s="21"/>
      <c r="AGF7" s="21"/>
      <c r="AGJ7" s="15"/>
      <c r="AGP7" s="25"/>
      <c r="AGW7" s="21"/>
      <c r="AGX7" s="21"/>
      <c r="AHB7" s="15"/>
      <c r="AHH7" s="25"/>
      <c r="AHO7" s="21"/>
      <c r="AHP7" s="21"/>
      <c r="AHT7" s="15"/>
      <c r="AHZ7" s="25"/>
      <c r="AIG7" s="21"/>
      <c r="AIH7" s="21"/>
      <c r="AIL7" s="15"/>
      <c r="AIR7" s="25"/>
      <c r="AIY7" s="21"/>
      <c r="AIZ7" s="21"/>
      <c r="AJD7" s="15"/>
      <c r="AJJ7" s="25"/>
      <c r="AJQ7" s="21"/>
      <c r="AJR7" s="21"/>
      <c r="AJV7" s="15"/>
      <c r="AKB7" s="25"/>
      <c r="AKI7" s="21"/>
      <c r="AKJ7" s="21"/>
      <c r="AKN7" s="15"/>
      <c r="AKT7" s="25"/>
      <c r="ALA7" s="21"/>
      <c r="ALB7" s="21"/>
      <c r="ALF7" s="15"/>
      <c r="ALL7" s="25"/>
      <c r="ALS7" s="21"/>
      <c r="ALT7" s="21"/>
      <c r="ALX7" s="15"/>
      <c r="AMD7" s="25"/>
      <c r="AMK7" s="21"/>
      <c r="AML7" s="21"/>
      <c r="AMP7" s="15"/>
      <c r="AMV7" s="25"/>
      <c r="ANC7" s="21"/>
      <c r="AND7" s="21"/>
      <c r="ANH7" s="15"/>
      <c r="ANN7" s="25"/>
      <c r="ANU7" s="21"/>
      <c r="ANV7" s="21"/>
      <c r="ANZ7" s="15"/>
      <c r="AOF7" s="25"/>
      <c r="AOM7" s="21"/>
      <c r="AON7" s="21"/>
      <c r="AOR7" s="15"/>
      <c r="AOX7" s="25"/>
      <c r="APE7" s="21"/>
      <c r="APF7" s="21"/>
      <c r="APJ7" s="15"/>
      <c r="APP7" s="25"/>
      <c r="APW7" s="21"/>
      <c r="APX7" s="21"/>
      <c r="AQB7" s="15"/>
      <c r="AQH7" s="25"/>
      <c r="AQO7" s="21"/>
      <c r="AQP7" s="21"/>
      <c r="AQT7" s="15"/>
      <c r="AQZ7" s="25"/>
      <c r="ARG7" s="21"/>
      <c r="ARH7" s="21"/>
      <c r="ARL7" s="15"/>
      <c r="ARR7" s="25"/>
      <c r="ARY7" s="21"/>
      <c r="ARZ7" s="21"/>
      <c r="ASD7" s="15"/>
      <c r="ASJ7" s="25"/>
      <c r="ASQ7" s="21"/>
      <c r="ASR7" s="21"/>
      <c r="ASV7" s="15"/>
      <c r="ATB7" s="25"/>
      <c r="ATI7" s="21"/>
      <c r="ATJ7" s="21"/>
      <c r="ATN7" s="15"/>
      <c r="ATT7" s="25"/>
      <c r="AUA7" s="21"/>
      <c r="AUB7" s="21"/>
      <c r="AUF7" s="15"/>
      <c r="AUL7" s="25"/>
      <c r="AUS7" s="21"/>
      <c r="AUT7" s="21"/>
      <c r="AUX7" s="15"/>
      <c r="AVD7" s="25"/>
      <c r="AVK7" s="21"/>
      <c r="AVL7" s="21"/>
      <c r="AVP7" s="15"/>
      <c r="AVV7" s="25"/>
      <c r="AWC7" s="21"/>
      <c r="AWD7" s="21"/>
      <c r="AWH7" s="15"/>
      <c r="AWN7" s="25"/>
      <c r="AWU7" s="21"/>
      <c r="AWV7" s="21"/>
      <c r="AWZ7" s="15"/>
      <c r="AXF7" s="25"/>
      <c r="AXM7" s="21"/>
      <c r="AXN7" s="21"/>
      <c r="AXR7" s="15"/>
      <c r="AXX7" s="25"/>
      <c r="AYE7" s="21"/>
      <c r="AYF7" s="21"/>
      <c r="AYJ7" s="15"/>
      <c r="AYP7" s="25"/>
      <c r="AYW7" s="21"/>
      <c r="AYX7" s="21"/>
      <c r="AZB7" s="15"/>
      <c r="AZH7" s="25"/>
      <c r="AZO7" s="21"/>
      <c r="AZP7" s="21"/>
      <c r="AZT7" s="15"/>
      <c r="AZZ7" s="25"/>
      <c r="BAG7" s="21"/>
      <c r="BAH7" s="21"/>
      <c r="BAL7" s="15"/>
      <c r="BAR7" s="25"/>
      <c r="BAY7" s="21"/>
      <c r="BAZ7" s="21"/>
      <c r="BBD7" s="15"/>
      <c r="BBJ7" s="25"/>
      <c r="BBQ7" s="21"/>
      <c r="BBR7" s="21"/>
      <c r="BBV7" s="15"/>
      <c r="BCB7" s="25"/>
      <c r="BCI7" s="21"/>
      <c r="BCJ7" s="21"/>
      <c r="BCN7" s="15"/>
      <c r="BCT7" s="25"/>
      <c r="BDA7" s="21"/>
      <c r="BDB7" s="21"/>
      <c r="BDF7" s="15"/>
      <c r="BDL7" s="25"/>
      <c r="BDS7" s="21"/>
      <c r="BDT7" s="21"/>
      <c r="BDX7" s="15"/>
      <c r="BED7" s="25"/>
      <c r="BEK7" s="21"/>
      <c r="BEL7" s="21"/>
      <c r="BEP7" s="15"/>
      <c r="BEV7" s="25"/>
      <c r="BFC7" s="21"/>
      <c r="BFD7" s="21"/>
      <c r="BFH7" s="15"/>
      <c r="BFN7" s="25"/>
      <c r="BFU7" s="21"/>
      <c r="BFV7" s="21"/>
      <c r="BFZ7" s="15"/>
      <c r="BGF7" s="25"/>
      <c r="BGM7" s="21"/>
      <c r="BGN7" s="21"/>
      <c r="BGR7" s="15"/>
      <c r="BGX7" s="25"/>
      <c r="BHE7" s="21"/>
      <c r="BHF7" s="21"/>
      <c r="BHJ7" s="15"/>
      <c r="BHP7" s="25"/>
      <c r="BHW7" s="21"/>
      <c r="BHX7" s="21"/>
      <c r="BIB7" s="15"/>
      <c r="BIH7" s="25"/>
      <c r="BIO7" s="21"/>
      <c r="BIP7" s="21"/>
      <c r="BIT7" s="15"/>
      <c r="BIZ7" s="25"/>
      <c r="BJG7" s="21"/>
      <c r="BJH7" s="21"/>
      <c r="BJL7" s="15"/>
      <c r="BJR7" s="25"/>
      <c r="BJY7" s="21"/>
      <c r="BJZ7" s="21"/>
      <c r="BKD7" s="15"/>
      <c r="BKJ7" s="25"/>
      <c r="BKQ7" s="21"/>
      <c r="BKR7" s="21"/>
      <c r="BKV7" s="15"/>
      <c r="BLB7" s="25"/>
      <c r="BLI7" s="21"/>
      <c r="BLJ7" s="21"/>
      <c r="BLN7" s="15"/>
      <c r="BLT7" s="25"/>
      <c r="BMA7" s="21"/>
      <c r="BMB7" s="21"/>
      <c r="BMF7" s="15"/>
      <c r="BML7" s="25"/>
      <c r="BMS7" s="21"/>
      <c r="BMT7" s="21"/>
      <c r="BMX7" s="15"/>
      <c r="BND7" s="25"/>
      <c r="BNK7" s="21"/>
      <c r="BNL7" s="21"/>
      <c r="BNP7" s="15"/>
      <c r="BNV7" s="25"/>
      <c r="BOC7" s="21"/>
      <c r="BOD7" s="21"/>
      <c r="BOH7" s="15"/>
      <c r="BON7" s="25"/>
      <c r="BOU7" s="21"/>
      <c r="BOV7" s="21"/>
      <c r="BOZ7" s="15"/>
      <c r="BPF7" s="25"/>
      <c r="BPM7" s="21"/>
      <c r="BPN7" s="21"/>
      <c r="BPR7" s="15"/>
      <c r="BPX7" s="25"/>
      <c r="BQE7" s="21"/>
      <c r="BQF7" s="21"/>
      <c r="BQJ7" s="15"/>
      <c r="BQP7" s="25"/>
      <c r="BQW7" s="21"/>
      <c r="BQX7" s="21"/>
      <c r="BRB7" s="15"/>
      <c r="BRH7" s="25"/>
      <c r="BRO7" s="21"/>
      <c r="BRP7" s="21"/>
      <c r="BRT7" s="15"/>
      <c r="BRZ7" s="25"/>
      <c r="BSG7" s="21"/>
      <c r="BSH7" s="21"/>
      <c r="BSL7" s="15"/>
      <c r="BSR7" s="25"/>
      <c r="BSY7" s="21"/>
      <c r="BSZ7" s="21"/>
      <c r="BTD7" s="15"/>
      <c r="BTJ7" s="25"/>
      <c r="BTQ7" s="21"/>
      <c r="BTR7" s="21"/>
      <c r="BTV7" s="15"/>
      <c r="BUB7" s="25"/>
      <c r="BUI7" s="21"/>
      <c r="BUJ7" s="21"/>
      <c r="BUN7" s="15"/>
      <c r="BUT7" s="25"/>
      <c r="BVA7" s="21"/>
      <c r="BVB7" s="21"/>
      <c r="BVF7" s="15"/>
      <c r="BVL7" s="25"/>
      <c r="BVS7" s="21"/>
      <c r="BVT7" s="21"/>
      <c r="BVX7" s="15"/>
      <c r="BWD7" s="25"/>
      <c r="BWK7" s="21"/>
      <c r="BWL7" s="21"/>
      <c r="BWP7" s="15"/>
      <c r="BWV7" s="25"/>
      <c r="BXC7" s="21"/>
      <c r="BXD7" s="21"/>
      <c r="BXH7" s="15"/>
      <c r="BXN7" s="25"/>
      <c r="BXU7" s="21"/>
      <c r="BXV7" s="21"/>
      <c r="BXZ7" s="15"/>
      <c r="BYF7" s="25"/>
      <c r="BYM7" s="21"/>
      <c r="BYN7" s="21"/>
      <c r="BYR7" s="15"/>
      <c r="BYX7" s="25"/>
      <c r="BZE7" s="21"/>
      <c r="BZF7" s="21"/>
      <c r="BZJ7" s="15"/>
      <c r="BZP7" s="25"/>
      <c r="BZW7" s="21"/>
      <c r="BZX7" s="21"/>
      <c r="CAB7" s="15"/>
      <c r="CAH7" s="25"/>
      <c r="CAO7" s="21"/>
      <c r="CAP7" s="21"/>
      <c r="CAT7" s="15"/>
      <c r="CAZ7" s="25"/>
      <c r="CBG7" s="21"/>
      <c r="CBH7" s="21"/>
      <c r="CBL7" s="15"/>
      <c r="CBR7" s="25"/>
      <c r="CBY7" s="21"/>
      <c r="CBZ7" s="21"/>
      <c r="CCD7" s="15"/>
      <c r="CCJ7" s="25"/>
      <c r="CCQ7" s="21"/>
      <c r="CCR7" s="21"/>
      <c r="CCV7" s="15"/>
      <c r="CDB7" s="25"/>
      <c r="CDI7" s="21"/>
      <c r="CDJ7" s="21"/>
      <c r="CDN7" s="15"/>
      <c r="CDT7" s="25"/>
      <c r="CEA7" s="21"/>
      <c r="CEB7" s="21"/>
      <c r="CEF7" s="15"/>
      <c r="CEL7" s="25"/>
      <c r="CES7" s="21"/>
      <c r="CET7" s="21"/>
      <c r="CEX7" s="15"/>
      <c r="CFD7" s="25"/>
      <c r="CFK7" s="21"/>
      <c r="CFL7" s="21"/>
      <c r="CFP7" s="15"/>
      <c r="CFV7" s="25"/>
      <c r="CGC7" s="21"/>
      <c r="CGD7" s="21"/>
      <c r="CGH7" s="15"/>
      <c r="CGN7" s="25"/>
      <c r="CGU7" s="21"/>
      <c r="CGV7" s="21"/>
      <c r="CGZ7" s="15"/>
      <c r="CHF7" s="25"/>
      <c r="CHM7" s="21"/>
      <c r="CHN7" s="21"/>
      <c r="CHR7" s="15"/>
      <c r="CHX7" s="25"/>
      <c r="CIE7" s="21"/>
      <c r="CIF7" s="21"/>
      <c r="CIJ7" s="15"/>
      <c r="CIP7" s="25"/>
      <c r="CIW7" s="21"/>
      <c r="CIX7" s="21"/>
      <c r="CJB7" s="15"/>
      <c r="CJH7" s="25"/>
      <c r="CJO7" s="21"/>
      <c r="CJP7" s="21"/>
      <c r="CJT7" s="15"/>
      <c r="CJZ7" s="25"/>
      <c r="CKG7" s="21"/>
      <c r="CKH7" s="21"/>
      <c r="CKL7" s="15"/>
      <c r="CKR7" s="25"/>
      <c r="CKY7" s="21"/>
      <c r="CKZ7" s="21"/>
      <c r="CLD7" s="15"/>
      <c r="CLJ7" s="25"/>
      <c r="CLQ7" s="21"/>
      <c r="CLR7" s="21"/>
      <c r="CLV7" s="15"/>
      <c r="CMB7" s="25"/>
      <c r="CMI7" s="21"/>
      <c r="CMJ7" s="21"/>
      <c r="CMN7" s="15"/>
      <c r="CMT7" s="25"/>
      <c r="CNA7" s="21"/>
      <c r="CNB7" s="21"/>
      <c r="CNF7" s="15"/>
      <c r="CNL7" s="25"/>
      <c r="CNS7" s="21"/>
      <c r="CNT7" s="21"/>
      <c r="CNX7" s="15"/>
      <c r="COD7" s="25"/>
      <c r="COK7" s="21"/>
      <c r="COL7" s="21"/>
      <c r="COP7" s="15"/>
      <c r="COV7" s="25"/>
      <c r="CPC7" s="21"/>
      <c r="CPD7" s="21"/>
      <c r="CPH7" s="15"/>
      <c r="CPN7" s="25"/>
      <c r="CPU7" s="21"/>
      <c r="CPV7" s="21"/>
      <c r="CPZ7" s="15"/>
      <c r="CQF7" s="25"/>
      <c r="CQM7" s="21"/>
      <c r="CQN7" s="21"/>
      <c r="CQR7" s="15"/>
      <c r="CQX7" s="25"/>
      <c r="CRE7" s="21"/>
      <c r="CRF7" s="21"/>
      <c r="CRJ7" s="15"/>
      <c r="CRP7" s="25"/>
      <c r="CRW7" s="21"/>
      <c r="CRX7" s="21"/>
      <c r="CSB7" s="15"/>
      <c r="CSH7" s="25"/>
      <c r="CSO7" s="21"/>
      <c r="CSP7" s="21"/>
      <c r="CST7" s="15"/>
      <c r="CSZ7" s="25"/>
      <c r="CTG7" s="21"/>
      <c r="CTH7" s="21"/>
      <c r="CTL7" s="15"/>
      <c r="CTR7" s="25"/>
      <c r="CTY7" s="21"/>
      <c r="CTZ7" s="21"/>
      <c r="CUD7" s="15"/>
      <c r="CUJ7" s="25"/>
      <c r="CUQ7" s="21"/>
      <c r="CUR7" s="21"/>
      <c r="CUV7" s="15"/>
      <c r="CVB7" s="25"/>
      <c r="CVI7" s="21"/>
      <c r="CVJ7" s="21"/>
      <c r="CVN7" s="15"/>
      <c r="CVT7" s="25"/>
      <c r="CWA7" s="21"/>
      <c r="CWB7" s="21"/>
      <c r="CWF7" s="15"/>
      <c r="CWL7" s="25"/>
      <c r="CWS7" s="21"/>
      <c r="CWT7" s="21"/>
      <c r="CWX7" s="15"/>
      <c r="CXD7" s="25"/>
      <c r="CXK7" s="21"/>
      <c r="CXL7" s="21"/>
      <c r="CXP7" s="15"/>
      <c r="CXV7" s="25"/>
      <c r="CYC7" s="21"/>
      <c r="CYD7" s="21"/>
      <c r="CYH7" s="15"/>
      <c r="CYN7" s="25"/>
      <c r="CYU7" s="21"/>
      <c r="CYV7" s="21"/>
      <c r="CYZ7" s="15"/>
      <c r="CZF7" s="25"/>
      <c r="CZM7" s="21"/>
      <c r="CZN7" s="21"/>
      <c r="CZR7" s="15"/>
      <c r="CZX7" s="25"/>
      <c r="DAE7" s="21"/>
      <c r="DAF7" s="21"/>
      <c r="DAJ7" s="15"/>
      <c r="DAP7" s="25"/>
      <c r="DAW7" s="21"/>
      <c r="DAX7" s="21"/>
      <c r="DBB7" s="15"/>
      <c r="DBH7" s="25"/>
      <c r="DBO7" s="21"/>
      <c r="DBP7" s="21"/>
      <c r="DBT7" s="15"/>
      <c r="DBZ7" s="25"/>
      <c r="DCG7" s="21"/>
      <c r="DCH7" s="21"/>
      <c r="DCL7" s="15"/>
      <c r="DCR7" s="25"/>
      <c r="DCY7" s="21"/>
      <c r="DCZ7" s="21"/>
      <c r="DDD7" s="15"/>
      <c r="DDJ7" s="25"/>
      <c r="DDQ7" s="21"/>
      <c r="DDR7" s="21"/>
      <c r="DDV7" s="15"/>
      <c r="DEB7" s="25"/>
      <c r="DEI7" s="21"/>
      <c r="DEJ7" s="21"/>
      <c r="DEN7" s="15"/>
      <c r="DET7" s="25"/>
      <c r="DFA7" s="21"/>
      <c r="DFB7" s="21"/>
      <c r="DFF7" s="15"/>
      <c r="DFL7" s="25"/>
      <c r="DFS7" s="21"/>
      <c r="DFT7" s="21"/>
      <c r="DFX7" s="15"/>
      <c r="DGD7" s="25"/>
      <c r="DGK7" s="21"/>
      <c r="DGL7" s="21"/>
      <c r="DGP7" s="15"/>
      <c r="DGV7" s="25"/>
      <c r="DHC7" s="21"/>
      <c r="DHD7" s="21"/>
      <c r="DHH7" s="15"/>
      <c r="DHN7" s="25"/>
      <c r="DHU7" s="21"/>
      <c r="DHV7" s="21"/>
      <c r="DHZ7" s="15"/>
      <c r="DIF7" s="25"/>
      <c r="DIM7" s="21"/>
      <c r="DIN7" s="21"/>
      <c r="DIR7" s="15"/>
      <c r="DIX7" s="25"/>
      <c r="DJE7" s="21"/>
      <c r="DJF7" s="21"/>
      <c r="DJJ7" s="15"/>
      <c r="DJP7" s="25"/>
      <c r="DJW7" s="21"/>
      <c r="DJX7" s="21"/>
      <c r="DKB7" s="15"/>
      <c r="DKH7" s="25"/>
      <c r="DKO7" s="21"/>
      <c r="DKP7" s="21"/>
      <c r="DKT7" s="15"/>
      <c r="DKZ7" s="25"/>
      <c r="DLG7" s="21"/>
      <c r="DLH7" s="21"/>
      <c r="DLL7" s="15"/>
      <c r="DLR7" s="25"/>
      <c r="DLY7" s="21"/>
      <c r="DLZ7" s="21"/>
      <c r="DMD7" s="15"/>
      <c r="DMJ7" s="25"/>
      <c r="DMQ7" s="21"/>
      <c r="DMR7" s="21"/>
      <c r="DMV7" s="15"/>
      <c r="DNB7" s="25"/>
      <c r="DNI7" s="21"/>
      <c r="DNJ7" s="21"/>
      <c r="DNN7" s="15"/>
      <c r="DNT7" s="25"/>
      <c r="DOA7" s="21"/>
      <c r="DOB7" s="21"/>
      <c r="DOF7" s="15"/>
      <c r="DOL7" s="25"/>
      <c r="DOS7" s="21"/>
      <c r="DOT7" s="21"/>
      <c r="DOX7" s="15"/>
      <c r="DPD7" s="25"/>
      <c r="DPK7" s="21"/>
      <c r="DPL7" s="21"/>
      <c r="DPP7" s="15"/>
      <c r="DPV7" s="25"/>
      <c r="DQC7" s="21"/>
      <c r="DQD7" s="21"/>
      <c r="DQH7" s="15"/>
      <c r="DQN7" s="25"/>
      <c r="DQU7" s="21"/>
      <c r="DQV7" s="21"/>
      <c r="DQZ7" s="15"/>
      <c r="DRF7" s="25"/>
      <c r="DRM7" s="21"/>
      <c r="DRN7" s="21"/>
      <c r="DRR7" s="15"/>
      <c r="DRX7" s="25"/>
      <c r="DSE7" s="21"/>
      <c r="DSF7" s="21"/>
      <c r="DSJ7" s="15"/>
      <c r="DSP7" s="25"/>
      <c r="DSW7" s="21"/>
      <c r="DSX7" s="21"/>
      <c r="DTB7" s="15"/>
      <c r="DTH7" s="25"/>
      <c r="DTO7" s="21"/>
      <c r="DTP7" s="21"/>
      <c r="DTT7" s="15"/>
      <c r="DTZ7" s="25"/>
      <c r="DUG7" s="21"/>
      <c r="DUH7" s="21"/>
      <c r="DUL7" s="15"/>
      <c r="DUR7" s="25"/>
      <c r="DUY7" s="21"/>
      <c r="DUZ7" s="21"/>
      <c r="DVD7" s="15"/>
      <c r="DVJ7" s="25"/>
      <c r="DVQ7" s="21"/>
      <c r="DVR7" s="21"/>
      <c r="DVV7" s="15"/>
      <c r="DWB7" s="25"/>
      <c r="DWI7" s="21"/>
      <c r="DWJ7" s="21"/>
      <c r="DWN7" s="15"/>
      <c r="DWT7" s="25"/>
      <c r="DXA7" s="21"/>
      <c r="DXB7" s="21"/>
      <c r="DXF7" s="15"/>
      <c r="DXL7" s="25"/>
      <c r="DXS7" s="21"/>
      <c r="DXT7" s="21"/>
      <c r="DXX7" s="15"/>
      <c r="DYD7" s="25"/>
      <c r="DYK7" s="21"/>
      <c r="DYL7" s="21"/>
      <c r="DYP7" s="15"/>
      <c r="DYV7" s="25"/>
      <c r="DZC7" s="21"/>
      <c r="DZD7" s="21"/>
      <c r="DZH7" s="15"/>
      <c r="DZN7" s="25"/>
      <c r="DZU7" s="21"/>
      <c r="DZV7" s="21"/>
      <c r="DZZ7" s="15"/>
      <c r="EAF7" s="25"/>
      <c r="EAM7" s="21"/>
      <c r="EAN7" s="21"/>
      <c r="EAR7" s="15"/>
      <c r="EAX7" s="25"/>
      <c r="EBE7" s="21"/>
      <c r="EBF7" s="21"/>
      <c r="EBJ7" s="15"/>
      <c r="EBP7" s="25"/>
      <c r="EBW7" s="21"/>
      <c r="EBX7" s="21"/>
      <c r="ECB7" s="15"/>
      <c r="ECH7" s="25"/>
      <c r="ECO7" s="21"/>
      <c r="ECP7" s="21"/>
      <c r="ECT7" s="15"/>
      <c r="ECZ7" s="25"/>
      <c r="EDG7" s="21"/>
      <c r="EDH7" s="21"/>
      <c r="EDL7" s="15"/>
      <c r="EDR7" s="25"/>
      <c r="EDY7" s="21"/>
      <c r="EDZ7" s="21"/>
      <c r="EED7" s="15"/>
      <c r="EEJ7" s="25"/>
      <c r="EEQ7" s="21"/>
      <c r="EER7" s="21"/>
      <c r="EEV7" s="15"/>
      <c r="EFB7" s="25"/>
      <c r="EFI7" s="21"/>
      <c r="EFJ7" s="21"/>
      <c r="EFN7" s="15"/>
      <c r="EFT7" s="25"/>
      <c r="EGA7" s="21"/>
      <c r="EGB7" s="21"/>
      <c r="EGF7" s="15"/>
      <c r="EGL7" s="25"/>
      <c r="EGS7" s="21"/>
      <c r="EGT7" s="21"/>
      <c r="EGX7" s="15"/>
      <c r="EHD7" s="25"/>
      <c r="EHK7" s="21"/>
      <c r="EHL7" s="21"/>
      <c r="EHP7" s="15"/>
      <c r="EHV7" s="25"/>
      <c r="EIC7" s="21"/>
      <c r="EID7" s="21"/>
      <c r="EIH7" s="15"/>
      <c r="EIN7" s="25"/>
      <c r="EIU7" s="21"/>
      <c r="EIV7" s="21"/>
      <c r="EIZ7" s="15"/>
      <c r="EJF7" s="25"/>
      <c r="EJM7" s="21"/>
      <c r="EJN7" s="21"/>
      <c r="EJR7" s="15"/>
      <c r="EJX7" s="25"/>
      <c r="EKE7" s="21"/>
      <c r="EKF7" s="21"/>
      <c r="EKJ7" s="15"/>
      <c r="EKP7" s="25"/>
      <c r="EKW7" s="21"/>
      <c r="EKX7" s="21"/>
      <c r="ELB7" s="15"/>
      <c r="ELH7" s="25"/>
      <c r="ELO7" s="21"/>
      <c r="ELP7" s="21"/>
      <c r="ELT7" s="15"/>
      <c r="ELZ7" s="25"/>
      <c r="EMG7" s="21"/>
      <c r="EMH7" s="21"/>
      <c r="EML7" s="15"/>
      <c r="EMR7" s="25"/>
      <c r="EMY7" s="21"/>
      <c r="EMZ7" s="21"/>
      <c r="END7" s="15"/>
      <c r="ENJ7" s="25"/>
      <c r="ENQ7" s="21"/>
      <c r="ENR7" s="21"/>
      <c r="ENV7" s="15"/>
      <c r="EOB7" s="25"/>
      <c r="EOI7" s="21"/>
      <c r="EOJ7" s="21"/>
      <c r="EON7" s="15"/>
      <c r="EOT7" s="25"/>
      <c r="EPA7" s="21"/>
      <c r="EPB7" s="21"/>
      <c r="EPF7" s="15"/>
      <c r="EPL7" s="25"/>
      <c r="EPS7" s="21"/>
      <c r="EPT7" s="21"/>
      <c r="EPX7" s="15"/>
      <c r="EQD7" s="25"/>
      <c r="EQK7" s="21"/>
      <c r="EQL7" s="21"/>
      <c r="EQP7" s="15"/>
      <c r="EQV7" s="25"/>
      <c r="ERC7" s="21"/>
      <c r="ERD7" s="21"/>
      <c r="ERH7" s="15"/>
      <c r="ERN7" s="25"/>
      <c r="ERU7" s="21"/>
      <c r="ERV7" s="21"/>
      <c r="ERZ7" s="15"/>
      <c r="ESF7" s="25"/>
      <c r="ESM7" s="21"/>
      <c r="ESN7" s="21"/>
      <c r="ESR7" s="15"/>
      <c r="ESX7" s="25"/>
      <c r="ETE7" s="21"/>
      <c r="ETF7" s="21"/>
      <c r="ETJ7" s="15"/>
      <c r="ETP7" s="25"/>
      <c r="ETW7" s="21"/>
      <c r="ETX7" s="21"/>
      <c r="EUB7" s="15"/>
      <c r="EUH7" s="25"/>
      <c r="EUO7" s="21"/>
      <c r="EUP7" s="21"/>
      <c r="EUT7" s="15"/>
      <c r="EUZ7" s="25"/>
      <c r="EVG7" s="21"/>
      <c r="EVH7" s="21"/>
      <c r="EVL7" s="15"/>
      <c r="EVR7" s="25"/>
      <c r="EVY7" s="21"/>
      <c r="EVZ7" s="21"/>
      <c r="EWD7" s="15"/>
      <c r="EWJ7" s="25"/>
      <c r="EWQ7" s="21"/>
      <c r="EWR7" s="21"/>
      <c r="EWV7" s="15"/>
      <c r="EXB7" s="25"/>
      <c r="EXI7" s="21"/>
      <c r="EXJ7" s="21"/>
      <c r="EXN7" s="15"/>
      <c r="EXT7" s="25"/>
      <c r="EYA7" s="21"/>
      <c r="EYB7" s="21"/>
      <c r="EYF7" s="15"/>
      <c r="EYL7" s="25"/>
      <c r="EYS7" s="21"/>
      <c r="EYT7" s="21"/>
      <c r="EYX7" s="15"/>
      <c r="EZD7" s="25"/>
      <c r="EZK7" s="21"/>
      <c r="EZL7" s="21"/>
      <c r="EZP7" s="15"/>
      <c r="EZV7" s="25"/>
      <c r="FAC7" s="21"/>
      <c r="FAD7" s="21"/>
      <c r="FAH7" s="15"/>
      <c r="FAN7" s="25"/>
      <c r="FAU7" s="21"/>
      <c r="FAV7" s="21"/>
      <c r="FAZ7" s="15"/>
      <c r="FBF7" s="25"/>
      <c r="FBM7" s="21"/>
      <c r="FBN7" s="21"/>
      <c r="FBR7" s="15"/>
      <c r="FBX7" s="25"/>
      <c r="FCE7" s="21"/>
      <c r="FCF7" s="21"/>
      <c r="FCJ7" s="15"/>
      <c r="FCP7" s="25"/>
      <c r="FCW7" s="21"/>
      <c r="FCX7" s="21"/>
      <c r="FDB7" s="15"/>
      <c r="FDH7" s="25"/>
      <c r="FDO7" s="21"/>
      <c r="FDP7" s="21"/>
      <c r="FDT7" s="15"/>
      <c r="FDZ7" s="25"/>
      <c r="FEG7" s="21"/>
      <c r="FEH7" s="21"/>
      <c r="FEL7" s="15"/>
      <c r="FER7" s="25"/>
      <c r="FEY7" s="21"/>
      <c r="FEZ7" s="21"/>
      <c r="FFD7" s="15"/>
      <c r="FFJ7" s="25"/>
      <c r="FFQ7" s="21"/>
      <c r="FFR7" s="21"/>
      <c r="FFV7" s="15"/>
      <c r="FGB7" s="25"/>
      <c r="FGI7" s="21"/>
      <c r="FGJ7" s="21"/>
      <c r="FGN7" s="15"/>
      <c r="FGT7" s="25"/>
      <c r="FHA7" s="21"/>
      <c r="FHB7" s="21"/>
      <c r="FHF7" s="15"/>
      <c r="FHL7" s="25"/>
      <c r="FHS7" s="21"/>
      <c r="FHT7" s="21"/>
      <c r="FHX7" s="15"/>
      <c r="FID7" s="25"/>
      <c r="FIK7" s="21"/>
      <c r="FIL7" s="21"/>
      <c r="FIP7" s="15"/>
      <c r="FIV7" s="25"/>
      <c r="FJC7" s="21"/>
      <c r="FJD7" s="21"/>
      <c r="FJH7" s="15"/>
      <c r="FJN7" s="25"/>
      <c r="FJU7" s="21"/>
      <c r="FJV7" s="21"/>
      <c r="FJZ7" s="15"/>
      <c r="FKF7" s="25"/>
      <c r="FKM7" s="21"/>
      <c r="FKN7" s="21"/>
      <c r="FKR7" s="15"/>
      <c r="FKX7" s="25"/>
      <c r="FLE7" s="21"/>
      <c r="FLF7" s="21"/>
      <c r="FLJ7" s="15"/>
      <c r="FLP7" s="25"/>
      <c r="FLW7" s="21"/>
      <c r="FLX7" s="21"/>
      <c r="FMB7" s="15"/>
      <c r="FMH7" s="25"/>
      <c r="FMO7" s="21"/>
      <c r="FMP7" s="21"/>
      <c r="FMT7" s="15"/>
      <c r="FMZ7" s="25"/>
      <c r="FNG7" s="21"/>
      <c r="FNH7" s="21"/>
      <c r="FNL7" s="15"/>
      <c r="FNR7" s="25"/>
      <c r="FNY7" s="21"/>
      <c r="FNZ7" s="21"/>
      <c r="FOD7" s="15"/>
      <c r="FOJ7" s="25"/>
      <c r="FOQ7" s="21"/>
      <c r="FOR7" s="21"/>
      <c r="FOV7" s="15"/>
      <c r="FPB7" s="25"/>
      <c r="FPI7" s="21"/>
      <c r="FPJ7" s="21"/>
      <c r="FPN7" s="15"/>
      <c r="FPT7" s="25"/>
      <c r="FQA7" s="21"/>
      <c r="FQB7" s="21"/>
      <c r="FQF7" s="15"/>
      <c r="FQL7" s="25"/>
      <c r="FQS7" s="21"/>
      <c r="FQT7" s="21"/>
      <c r="FQX7" s="15"/>
      <c r="FRD7" s="25"/>
      <c r="FRK7" s="21"/>
      <c r="FRL7" s="21"/>
      <c r="FRP7" s="15"/>
      <c r="FRV7" s="25"/>
      <c r="FSC7" s="21"/>
      <c r="FSD7" s="21"/>
      <c r="FSH7" s="15"/>
      <c r="FSN7" s="25"/>
      <c r="FSU7" s="21"/>
      <c r="FSV7" s="21"/>
      <c r="FSZ7" s="15"/>
      <c r="FTF7" s="25"/>
      <c r="FTM7" s="21"/>
      <c r="FTN7" s="21"/>
      <c r="FTR7" s="15"/>
      <c r="FTX7" s="25"/>
      <c r="FUE7" s="21"/>
      <c r="FUF7" s="21"/>
      <c r="FUJ7" s="15"/>
      <c r="FUP7" s="25"/>
      <c r="FUW7" s="21"/>
      <c r="FUX7" s="21"/>
      <c r="FVB7" s="15"/>
      <c r="FVH7" s="25"/>
      <c r="FVO7" s="21"/>
      <c r="FVP7" s="21"/>
      <c r="FVT7" s="15"/>
      <c r="FVZ7" s="25"/>
      <c r="FWG7" s="21"/>
      <c r="FWH7" s="21"/>
      <c r="FWL7" s="15"/>
      <c r="FWR7" s="25"/>
      <c r="FWY7" s="21"/>
      <c r="FWZ7" s="21"/>
      <c r="FXD7" s="15"/>
      <c r="FXJ7" s="25"/>
      <c r="FXQ7" s="21"/>
      <c r="FXR7" s="21"/>
      <c r="FXV7" s="15"/>
      <c r="FYB7" s="25"/>
      <c r="FYI7" s="21"/>
      <c r="FYJ7" s="21"/>
      <c r="FYN7" s="15"/>
      <c r="FYT7" s="25"/>
      <c r="FZA7" s="21"/>
      <c r="FZB7" s="21"/>
      <c r="FZF7" s="15"/>
      <c r="FZL7" s="25"/>
      <c r="FZS7" s="21"/>
      <c r="FZT7" s="21"/>
      <c r="FZX7" s="15"/>
      <c r="GAD7" s="25"/>
      <c r="GAK7" s="21"/>
      <c r="GAL7" s="21"/>
      <c r="GAP7" s="15"/>
      <c r="GAV7" s="25"/>
      <c r="GBC7" s="21"/>
      <c r="GBD7" s="21"/>
      <c r="GBH7" s="15"/>
      <c r="GBN7" s="25"/>
      <c r="GBU7" s="21"/>
      <c r="GBV7" s="21"/>
      <c r="GBZ7" s="15"/>
      <c r="GCF7" s="25"/>
      <c r="GCM7" s="21"/>
      <c r="GCN7" s="21"/>
      <c r="GCR7" s="15"/>
      <c r="GCX7" s="25"/>
      <c r="GDE7" s="21"/>
      <c r="GDF7" s="21"/>
      <c r="GDJ7" s="15"/>
      <c r="GDP7" s="25"/>
      <c r="GDW7" s="21"/>
      <c r="GDX7" s="21"/>
      <c r="GEB7" s="15"/>
      <c r="GEH7" s="25"/>
      <c r="GEO7" s="21"/>
      <c r="GEP7" s="21"/>
      <c r="GET7" s="15"/>
      <c r="GEZ7" s="25"/>
      <c r="GFG7" s="21"/>
      <c r="GFH7" s="21"/>
      <c r="GFL7" s="15"/>
      <c r="GFR7" s="25"/>
      <c r="GFY7" s="21"/>
      <c r="GFZ7" s="21"/>
      <c r="GGD7" s="15"/>
      <c r="GGJ7" s="25"/>
      <c r="GGQ7" s="21"/>
      <c r="GGR7" s="21"/>
      <c r="GGV7" s="15"/>
      <c r="GHB7" s="25"/>
      <c r="GHI7" s="21"/>
      <c r="GHJ7" s="21"/>
      <c r="GHN7" s="15"/>
      <c r="GHT7" s="25"/>
      <c r="GIA7" s="21"/>
      <c r="GIB7" s="21"/>
      <c r="GIF7" s="15"/>
      <c r="GIL7" s="25"/>
      <c r="GIS7" s="21"/>
      <c r="GIT7" s="21"/>
      <c r="GIX7" s="15"/>
      <c r="GJD7" s="25"/>
      <c r="GJK7" s="21"/>
      <c r="GJL7" s="21"/>
      <c r="GJP7" s="15"/>
      <c r="GJV7" s="25"/>
      <c r="GKC7" s="21"/>
      <c r="GKD7" s="21"/>
      <c r="GKH7" s="15"/>
      <c r="GKN7" s="25"/>
      <c r="GKU7" s="21"/>
      <c r="GKV7" s="21"/>
      <c r="GKZ7" s="15"/>
      <c r="GLF7" s="25"/>
      <c r="GLM7" s="21"/>
      <c r="GLN7" s="21"/>
      <c r="GLR7" s="15"/>
      <c r="GLX7" s="25"/>
      <c r="GME7" s="21"/>
      <c r="GMF7" s="21"/>
      <c r="GMJ7" s="15"/>
      <c r="GMP7" s="25"/>
      <c r="GMW7" s="21"/>
      <c r="GMX7" s="21"/>
      <c r="GNB7" s="15"/>
      <c r="GNH7" s="25"/>
      <c r="GNO7" s="21"/>
      <c r="GNP7" s="21"/>
      <c r="GNT7" s="15"/>
      <c r="GNZ7" s="25"/>
      <c r="GOG7" s="21"/>
      <c r="GOH7" s="21"/>
      <c r="GOL7" s="15"/>
      <c r="GOR7" s="25"/>
      <c r="GOY7" s="21"/>
      <c r="GOZ7" s="21"/>
      <c r="GPD7" s="15"/>
      <c r="GPJ7" s="25"/>
      <c r="GPQ7" s="21"/>
      <c r="GPR7" s="21"/>
      <c r="GPV7" s="15"/>
      <c r="GQB7" s="25"/>
      <c r="GQI7" s="21"/>
      <c r="GQJ7" s="21"/>
      <c r="GQN7" s="15"/>
      <c r="GQT7" s="25"/>
      <c r="GRA7" s="21"/>
      <c r="GRB7" s="21"/>
      <c r="GRF7" s="15"/>
      <c r="GRL7" s="25"/>
      <c r="GRS7" s="21"/>
      <c r="GRT7" s="21"/>
      <c r="GRX7" s="15"/>
      <c r="GSD7" s="25"/>
      <c r="GSK7" s="21"/>
      <c r="GSL7" s="21"/>
      <c r="GSP7" s="15"/>
      <c r="GSV7" s="25"/>
      <c r="GTC7" s="21"/>
      <c r="GTD7" s="21"/>
      <c r="GTH7" s="15"/>
      <c r="GTN7" s="25"/>
      <c r="GTU7" s="21"/>
      <c r="GTV7" s="21"/>
      <c r="GTZ7" s="15"/>
      <c r="GUF7" s="25"/>
      <c r="GUM7" s="21"/>
      <c r="GUN7" s="21"/>
      <c r="GUR7" s="15"/>
      <c r="GUX7" s="25"/>
      <c r="GVE7" s="21"/>
      <c r="GVF7" s="21"/>
      <c r="GVJ7" s="15"/>
      <c r="GVP7" s="25"/>
      <c r="GVW7" s="21"/>
      <c r="GVX7" s="21"/>
      <c r="GWB7" s="15"/>
      <c r="GWH7" s="25"/>
      <c r="GWO7" s="21"/>
      <c r="GWP7" s="21"/>
      <c r="GWT7" s="15"/>
      <c r="GWZ7" s="25"/>
      <c r="GXG7" s="21"/>
      <c r="GXH7" s="21"/>
      <c r="GXL7" s="15"/>
      <c r="GXR7" s="25"/>
      <c r="GXY7" s="21"/>
      <c r="GXZ7" s="21"/>
      <c r="GYD7" s="15"/>
      <c r="GYJ7" s="25"/>
      <c r="GYQ7" s="21"/>
      <c r="GYR7" s="21"/>
      <c r="GYV7" s="15"/>
      <c r="GZB7" s="25"/>
      <c r="GZI7" s="21"/>
      <c r="GZJ7" s="21"/>
      <c r="GZN7" s="15"/>
      <c r="GZT7" s="25"/>
      <c r="HAA7" s="21"/>
      <c r="HAB7" s="21"/>
      <c r="HAF7" s="15"/>
      <c r="HAL7" s="25"/>
      <c r="HAS7" s="21"/>
      <c r="HAT7" s="21"/>
      <c r="HAX7" s="15"/>
      <c r="HBD7" s="25"/>
      <c r="HBK7" s="21"/>
      <c r="HBL7" s="21"/>
      <c r="HBP7" s="15"/>
      <c r="HBV7" s="25"/>
      <c r="HCC7" s="21"/>
      <c r="HCD7" s="21"/>
      <c r="HCH7" s="15"/>
      <c r="HCN7" s="25"/>
      <c r="HCU7" s="21"/>
      <c r="HCV7" s="21"/>
      <c r="HCZ7" s="15"/>
      <c r="HDF7" s="25"/>
      <c r="HDM7" s="21"/>
      <c r="HDN7" s="21"/>
      <c r="HDR7" s="15"/>
      <c r="HDX7" s="25"/>
      <c r="HEE7" s="21"/>
      <c r="HEF7" s="21"/>
      <c r="HEJ7" s="15"/>
      <c r="HEP7" s="25"/>
      <c r="HEW7" s="21"/>
      <c r="HEX7" s="21"/>
      <c r="HFB7" s="15"/>
      <c r="HFH7" s="25"/>
      <c r="HFO7" s="21"/>
      <c r="HFP7" s="21"/>
      <c r="HFT7" s="15"/>
      <c r="HFZ7" s="25"/>
      <c r="HGG7" s="21"/>
      <c r="HGH7" s="21"/>
      <c r="HGL7" s="15"/>
      <c r="HGR7" s="25"/>
      <c r="HGY7" s="21"/>
      <c r="HGZ7" s="21"/>
      <c r="HHD7" s="15"/>
      <c r="HHJ7" s="25"/>
      <c r="HHQ7" s="21"/>
      <c r="HHR7" s="21"/>
      <c r="HHV7" s="15"/>
      <c r="HIB7" s="25"/>
      <c r="HII7" s="21"/>
      <c r="HIJ7" s="21"/>
      <c r="HIN7" s="15"/>
      <c r="HIT7" s="25"/>
      <c r="HJA7" s="21"/>
      <c r="HJB7" s="21"/>
      <c r="HJF7" s="15"/>
      <c r="HJL7" s="25"/>
      <c r="HJS7" s="21"/>
      <c r="HJT7" s="21"/>
      <c r="HJX7" s="15"/>
      <c r="HKD7" s="25"/>
      <c r="HKK7" s="21"/>
      <c r="HKL7" s="21"/>
      <c r="HKP7" s="15"/>
      <c r="HKV7" s="25"/>
      <c r="HLC7" s="21"/>
      <c r="HLD7" s="21"/>
      <c r="HLH7" s="15"/>
      <c r="HLN7" s="25"/>
      <c r="HLU7" s="21"/>
      <c r="HLV7" s="21"/>
      <c r="HLZ7" s="15"/>
      <c r="HMF7" s="25"/>
      <c r="HMM7" s="21"/>
      <c r="HMN7" s="21"/>
      <c r="HMR7" s="15"/>
      <c r="HMX7" s="25"/>
      <c r="HNE7" s="21"/>
      <c r="HNF7" s="21"/>
      <c r="HNJ7" s="15"/>
      <c r="HNP7" s="25"/>
      <c r="HNW7" s="21"/>
      <c r="HNX7" s="21"/>
      <c r="HOB7" s="15"/>
      <c r="HOH7" s="25"/>
      <c r="HOO7" s="21"/>
      <c r="HOP7" s="21"/>
      <c r="HOT7" s="15"/>
      <c r="HOZ7" s="25"/>
      <c r="HPG7" s="21"/>
      <c r="HPH7" s="21"/>
      <c r="HPL7" s="15"/>
      <c r="HPR7" s="25"/>
      <c r="HPY7" s="21"/>
      <c r="HPZ7" s="21"/>
      <c r="HQD7" s="15"/>
      <c r="HQJ7" s="25"/>
      <c r="HQQ7" s="21"/>
      <c r="HQR7" s="21"/>
      <c r="HQV7" s="15"/>
      <c r="HRB7" s="25"/>
      <c r="HRI7" s="21"/>
      <c r="HRJ7" s="21"/>
      <c r="HRN7" s="15"/>
      <c r="HRT7" s="25"/>
      <c r="HSA7" s="21"/>
      <c r="HSB7" s="21"/>
      <c r="HSF7" s="15"/>
      <c r="HSL7" s="25"/>
      <c r="HSS7" s="21"/>
      <c r="HST7" s="21"/>
      <c r="HSX7" s="15"/>
      <c r="HTD7" s="25"/>
      <c r="HTK7" s="21"/>
      <c r="HTL7" s="21"/>
      <c r="HTP7" s="15"/>
      <c r="HTV7" s="25"/>
      <c r="HUC7" s="21"/>
      <c r="HUD7" s="21"/>
      <c r="HUH7" s="15"/>
      <c r="HUN7" s="25"/>
      <c r="HUU7" s="21"/>
      <c r="HUV7" s="21"/>
      <c r="HUZ7" s="15"/>
      <c r="HVF7" s="25"/>
      <c r="HVM7" s="21"/>
      <c r="HVN7" s="21"/>
      <c r="HVR7" s="15"/>
      <c r="HVX7" s="25"/>
      <c r="HWE7" s="21"/>
      <c r="HWF7" s="21"/>
      <c r="HWJ7" s="15"/>
      <c r="HWP7" s="25"/>
      <c r="HWW7" s="21"/>
      <c r="HWX7" s="21"/>
      <c r="HXB7" s="15"/>
      <c r="HXH7" s="25"/>
      <c r="HXO7" s="21"/>
      <c r="HXP7" s="21"/>
      <c r="HXT7" s="15"/>
      <c r="HXZ7" s="25"/>
      <c r="HYG7" s="21"/>
      <c r="HYH7" s="21"/>
      <c r="HYL7" s="15"/>
      <c r="HYR7" s="25"/>
      <c r="HYY7" s="21"/>
      <c r="HYZ7" s="21"/>
      <c r="HZD7" s="15"/>
      <c r="HZJ7" s="25"/>
      <c r="HZQ7" s="21"/>
      <c r="HZR7" s="21"/>
      <c r="HZV7" s="15"/>
      <c r="IAB7" s="25"/>
      <c r="IAI7" s="21"/>
      <c r="IAJ7" s="21"/>
      <c r="IAN7" s="15"/>
      <c r="IAT7" s="25"/>
      <c r="IBA7" s="21"/>
      <c r="IBB7" s="21"/>
      <c r="IBF7" s="15"/>
      <c r="IBL7" s="25"/>
      <c r="IBS7" s="21"/>
      <c r="IBT7" s="21"/>
      <c r="IBX7" s="15"/>
      <c r="ICD7" s="25"/>
      <c r="ICK7" s="21"/>
      <c r="ICL7" s="21"/>
      <c r="ICP7" s="15"/>
      <c r="ICV7" s="25"/>
      <c r="IDC7" s="21"/>
      <c r="IDD7" s="21"/>
      <c r="IDH7" s="15"/>
      <c r="IDN7" s="25"/>
      <c r="IDU7" s="21"/>
      <c r="IDV7" s="21"/>
      <c r="IDZ7" s="15"/>
      <c r="IEF7" s="25"/>
      <c r="IEM7" s="21"/>
      <c r="IEN7" s="21"/>
      <c r="IER7" s="15"/>
      <c r="IEX7" s="25"/>
      <c r="IFE7" s="21"/>
      <c r="IFF7" s="21"/>
      <c r="IFJ7" s="15"/>
      <c r="IFP7" s="25"/>
      <c r="IFW7" s="21"/>
      <c r="IFX7" s="21"/>
      <c r="IGB7" s="15"/>
      <c r="IGH7" s="25"/>
      <c r="IGO7" s="21"/>
      <c r="IGP7" s="21"/>
      <c r="IGT7" s="15"/>
      <c r="IGZ7" s="25"/>
      <c r="IHG7" s="21"/>
      <c r="IHH7" s="21"/>
      <c r="IHL7" s="15"/>
      <c r="IHR7" s="25"/>
      <c r="IHY7" s="21"/>
      <c r="IHZ7" s="21"/>
      <c r="IID7" s="15"/>
      <c r="IIJ7" s="25"/>
      <c r="IIQ7" s="21"/>
      <c r="IIR7" s="21"/>
      <c r="IIV7" s="15"/>
      <c r="IJB7" s="25"/>
      <c r="IJI7" s="21"/>
      <c r="IJJ7" s="21"/>
      <c r="IJN7" s="15"/>
      <c r="IJT7" s="25"/>
      <c r="IKA7" s="21"/>
      <c r="IKB7" s="21"/>
      <c r="IKF7" s="15"/>
      <c r="IKL7" s="25"/>
      <c r="IKS7" s="21"/>
      <c r="IKT7" s="21"/>
      <c r="IKX7" s="15"/>
      <c r="ILD7" s="25"/>
      <c r="ILK7" s="21"/>
      <c r="ILL7" s="21"/>
      <c r="ILP7" s="15"/>
      <c r="ILV7" s="25"/>
      <c r="IMC7" s="21"/>
      <c r="IMD7" s="21"/>
      <c r="IMH7" s="15"/>
      <c r="IMN7" s="25"/>
      <c r="IMU7" s="21"/>
      <c r="IMV7" s="21"/>
      <c r="IMZ7" s="15"/>
      <c r="INF7" s="25"/>
      <c r="INM7" s="21"/>
      <c r="INN7" s="21"/>
      <c r="INR7" s="15"/>
      <c r="INX7" s="25"/>
      <c r="IOE7" s="21"/>
      <c r="IOF7" s="21"/>
      <c r="IOJ7" s="15"/>
      <c r="IOP7" s="25"/>
      <c r="IOW7" s="21"/>
      <c r="IOX7" s="21"/>
      <c r="IPB7" s="15"/>
      <c r="IPH7" s="25"/>
      <c r="IPO7" s="21"/>
      <c r="IPP7" s="21"/>
      <c r="IPT7" s="15"/>
      <c r="IPZ7" s="25"/>
      <c r="IQG7" s="21"/>
      <c r="IQH7" s="21"/>
      <c r="IQL7" s="15"/>
      <c r="IQR7" s="25"/>
      <c r="IQY7" s="21"/>
      <c r="IQZ7" s="21"/>
      <c r="IRD7" s="15"/>
      <c r="IRJ7" s="25"/>
      <c r="IRQ7" s="21"/>
      <c r="IRR7" s="21"/>
      <c r="IRV7" s="15"/>
      <c r="ISB7" s="25"/>
      <c r="ISI7" s="21"/>
      <c r="ISJ7" s="21"/>
      <c r="ISN7" s="15"/>
      <c r="IST7" s="25"/>
      <c r="ITA7" s="21"/>
      <c r="ITB7" s="21"/>
      <c r="ITF7" s="15"/>
      <c r="ITL7" s="25"/>
      <c r="ITS7" s="21"/>
      <c r="ITT7" s="21"/>
      <c r="ITX7" s="15"/>
      <c r="IUD7" s="25"/>
      <c r="IUK7" s="21"/>
      <c r="IUL7" s="21"/>
      <c r="IUP7" s="15"/>
      <c r="IUV7" s="25"/>
      <c r="IVC7" s="21"/>
      <c r="IVD7" s="21"/>
      <c r="IVH7" s="15"/>
      <c r="IVN7" s="25"/>
      <c r="IVU7" s="21"/>
      <c r="IVV7" s="21"/>
      <c r="IVZ7" s="15"/>
      <c r="IWF7" s="25"/>
      <c r="IWM7" s="21"/>
      <c r="IWN7" s="21"/>
      <c r="IWR7" s="15"/>
      <c r="IWX7" s="25"/>
      <c r="IXE7" s="21"/>
      <c r="IXF7" s="21"/>
      <c r="IXJ7" s="15"/>
      <c r="IXP7" s="25"/>
      <c r="IXW7" s="21"/>
      <c r="IXX7" s="21"/>
      <c r="IYB7" s="15"/>
      <c r="IYH7" s="25"/>
      <c r="IYO7" s="21"/>
      <c r="IYP7" s="21"/>
      <c r="IYT7" s="15"/>
      <c r="IYZ7" s="25"/>
      <c r="IZG7" s="21"/>
      <c r="IZH7" s="21"/>
      <c r="IZL7" s="15"/>
      <c r="IZR7" s="25"/>
      <c r="IZY7" s="21"/>
      <c r="IZZ7" s="21"/>
      <c r="JAD7" s="15"/>
      <c r="JAJ7" s="25"/>
      <c r="JAQ7" s="21"/>
      <c r="JAR7" s="21"/>
      <c r="JAV7" s="15"/>
      <c r="JBB7" s="25"/>
      <c r="JBI7" s="21"/>
      <c r="JBJ7" s="21"/>
      <c r="JBN7" s="15"/>
      <c r="JBT7" s="25"/>
      <c r="JCA7" s="21"/>
      <c r="JCB7" s="21"/>
      <c r="JCF7" s="15"/>
      <c r="JCL7" s="25"/>
      <c r="JCS7" s="21"/>
      <c r="JCT7" s="21"/>
      <c r="JCX7" s="15"/>
      <c r="JDD7" s="25"/>
      <c r="JDK7" s="21"/>
      <c r="JDL7" s="21"/>
      <c r="JDP7" s="15"/>
      <c r="JDV7" s="25"/>
      <c r="JEC7" s="21"/>
      <c r="JED7" s="21"/>
      <c r="JEH7" s="15"/>
      <c r="JEN7" s="25"/>
      <c r="JEU7" s="21"/>
      <c r="JEV7" s="21"/>
      <c r="JEZ7" s="15"/>
      <c r="JFF7" s="25"/>
      <c r="JFM7" s="21"/>
      <c r="JFN7" s="21"/>
      <c r="JFR7" s="15"/>
      <c r="JFX7" s="25"/>
      <c r="JGE7" s="21"/>
      <c r="JGF7" s="21"/>
      <c r="JGJ7" s="15"/>
      <c r="JGP7" s="25"/>
      <c r="JGW7" s="21"/>
      <c r="JGX7" s="21"/>
      <c r="JHB7" s="15"/>
      <c r="JHH7" s="25"/>
      <c r="JHO7" s="21"/>
      <c r="JHP7" s="21"/>
      <c r="JHT7" s="15"/>
      <c r="JHZ7" s="25"/>
      <c r="JIG7" s="21"/>
      <c r="JIH7" s="21"/>
      <c r="JIL7" s="15"/>
      <c r="JIR7" s="25"/>
      <c r="JIY7" s="21"/>
      <c r="JIZ7" s="21"/>
      <c r="JJD7" s="15"/>
      <c r="JJJ7" s="25"/>
      <c r="JJQ7" s="21"/>
      <c r="JJR7" s="21"/>
      <c r="JJV7" s="15"/>
      <c r="JKB7" s="25"/>
      <c r="JKI7" s="21"/>
      <c r="JKJ7" s="21"/>
      <c r="JKN7" s="15"/>
      <c r="JKT7" s="25"/>
      <c r="JLA7" s="21"/>
      <c r="JLB7" s="21"/>
      <c r="JLF7" s="15"/>
      <c r="JLL7" s="25"/>
      <c r="JLS7" s="21"/>
      <c r="JLT7" s="21"/>
      <c r="JLX7" s="15"/>
      <c r="JMD7" s="25"/>
      <c r="JMK7" s="21"/>
      <c r="JML7" s="21"/>
      <c r="JMP7" s="15"/>
      <c r="JMV7" s="25"/>
      <c r="JNC7" s="21"/>
      <c r="JND7" s="21"/>
      <c r="JNH7" s="15"/>
      <c r="JNN7" s="25"/>
      <c r="JNU7" s="21"/>
      <c r="JNV7" s="21"/>
      <c r="JNZ7" s="15"/>
      <c r="JOF7" s="25"/>
      <c r="JOM7" s="21"/>
      <c r="JON7" s="21"/>
      <c r="JOR7" s="15"/>
      <c r="JOX7" s="25"/>
      <c r="JPE7" s="21"/>
      <c r="JPF7" s="21"/>
      <c r="JPJ7" s="15"/>
      <c r="JPP7" s="25"/>
      <c r="JPW7" s="21"/>
      <c r="JPX7" s="21"/>
      <c r="JQB7" s="15"/>
      <c r="JQH7" s="25"/>
      <c r="JQO7" s="21"/>
      <c r="JQP7" s="21"/>
      <c r="JQT7" s="15"/>
      <c r="JQZ7" s="25"/>
      <c r="JRG7" s="21"/>
      <c r="JRH7" s="21"/>
      <c r="JRL7" s="15"/>
      <c r="JRR7" s="25"/>
      <c r="JRY7" s="21"/>
      <c r="JRZ7" s="21"/>
      <c r="JSD7" s="15"/>
      <c r="JSJ7" s="25"/>
      <c r="JSQ7" s="21"/>
      <c r="JSR7" s="21"/>
      <c r="JSV7" s="15"/>
      <c r="JTB7" s="25"/>
      <c r="JTI7" s="21"/>
      <c r="JTJ7" s="21"/>
      <c r="JTN7" s="15"/>
      <c r="JTT7" s="25"/>
      <c r="JUA7" s="21"/>
      <c r="JUB7" s="21"/>
      <c r="JUF7" s="15"/>
      <c r="JUL7" s="25"/>
      <c r="JUS7" s="21"/>
      <c r="JUT7" s="21"/>
      <c r="JUX7" s="15"/>
      <c r="JVD7" s="25"/>
      <c r="JVK7" s="21"/>
      <c r="JVL7" s="21"/>
      <c r="JVP7" s="15"/>
      <c r="JVV7" s="25"/>
      <c r="JWC7" s="21"/>
      <c r="JWD7" s="21"/>
      <c r="JWH7" s="15"/>
      <c r="JWN7" s="25"/>
      <c r="JWU7" s="21"/>
      <c r="JWV7" s="21"/>
      <c r="JWZ7" s="15"/>
      <c r="JXF7" s="25"/>
      <c r="JXM7" s="21"/>
      <c r="JXN7" s="21"/>
      <c r="JXR7" s="15"/>
      <c r="JXX7" s="25"/>
      <c r="JYE7" s="21"/>
      <c r="JYF7" s="21"/>
      <c r="JYJ7" s="15"/>
      <c r="JYP7" s="25"/>
      <c r="JYW7" s="21"/>
      <c r="JYX7" s="21"/>
      <c r="JZB7" s="15"/>
      <c r="JZH7" s="25"/>
      <c r="JZO7" s="21"/>
      <c r="JZP7" s="21"/>
      <c r="JZT7" s="15"/>
      <c r="JZZ7" s="25"/>
      <c r="KAG7" s="21"/>
      <c r="KAH7" s="21"/>
      <c r="KAL7" s="15"/>
      <c r="KAR7" s="25"/>
      <c r="KAY7" s="21"/>
      <c r="KAZ7" s="21"/>
      <c r="KBD7" s="15"/>
      <c r="KBJ7" s="25"/>
      <c r="KBQ7" s="21"/>
      <c r="KBR7" s="21"/>
      <c r="KBV7" s="15"/>
      <c r="KCB7" s="25"/>
      <c r="KCI7" s="21"/>
      <c r="KCJ7" s="21"/>
      <c r="KCN7" s="15"/>
      <c r="KCT7" s="25"/>
      <c r="KDA7" s="21"/>
      <c r="KDB7" s="21"/>
      <c r="KDF7" s="15"/>
      <c r="KDL7" s="25"/>
      <c r="KDS7" s="21"/>
      <c r="KDT7" s="21"/>
      <c r="KDX7" s="15"/>
      <c r="KED7" s="25"/>
      <c r="KEK7" s="21"/>
      <c r="KEL7" s="21"/>
      <c r="KEP7" s="15"/>
      <c r="KEV7" s="25"/>
      <c r="KFC7" s="21"/>
      <c r="KFD7" s="21"/>
      <c r="KFH7" s="15"/>
      <c r="KFN7" s="25"/>
      <c r="KFU7" s="21"/>
      <c r="KFV7" s="21"/>
      <c r="KFZ7" s="15"/>
      <c r="KGF7" s="25"/>
      <c r="KGM7" s="21"/>
      <c r="KGN7" s="21"/>
      <c r="KGR7" s="15"/>
      <c r="KGX7" s="25"/>
      <c r="KHE7" s="21"/>
      <c r="KHF7" s="21"/>
      <c r="KHJ7" s="15"/>
      <c r="KHP7" s="25"/>
      <c r="KHW7" s="21"/>
      <c r="KHX7" s="21"/>
      <c r="KIB7" s="15"/>
      <c r="KIH7" s="25"/>
      <c r="KIO7" s="21"/>
      <c r="KIP7" s="21"/>
      <c r="KIT7" s="15"/>
      <c r="KIZ7" s="25"/>
      <c r="KJG7" s="21"/>
      <c r="KJH7" s="21"/>
      <c r="KJL7" s="15"/>
      <c r="KJR7" s="25"/>
      <c r="KJY7" s="21"/>
      <c r="KJZ7" s="21"/>
      <c r="KKD7" s="15"/>
      <c r="KKJ7" s="25"/>
      <c r="KKQ7" s="21"/>
      <c r="KKR7" s="21"/>
      <c r="KKV7" s="15"/>
      <c r="KLB7" s="25"/>
      <c r="KLI7" s="21"/>
      <c r="KLJ7" s="21"/>
      <c r="KLN7" s="15"/>
      <c r="KLT7" s="25"/>
      <c r="KMA7" s="21"/>
      <c r="KMB7" s="21"/>
      <c r="KMF7" s="15"/>
      <c r="KML7" s="25"/>
      <c r="KMS7" s="21"/>
      <c r="KMT7" s="21"/>
      <c r="KMX7" s="15"/>
      <c r="KND7" s="25"/>
      <c r="KNK7" s="21"/>
      <c r="KNL7" s="21"/>
      <c r="KNP7" s="15"/>
      <c r="KNV7" s="25"/>
      <c r="KOC7" s="21"/>
      <c r="KOD7" s="21"/>
      <c r="KOH7" s="15"/>
      <c r="KON7" s="25"/>
      <c r="KOU7" s="21"/>
      <c r="KOV7" s="21"/>
      <c r="KOZ7" s="15"/>
      <c r="KPF7" s="25"/>
      <c r="KPM7" s="21"/>
      <c r="KPN7" s="21"/>
      <c r="KPR7" s="15"/>
      <c r="KPX7" s="25"/>
      <c r="KQE7" s="21"/>
      <c r="KQF7" s="21"/>
      <c r="KQJ7" s="15"/>
      <c r="KQP7" s="25"/>
      <c r="KQW7" s="21"/>
      <c r="KQX7" s="21"/>
      <c r="KRB7" s="15"/>
      <c r="KRH7" s="25"/>
      <c r="KRO7" s="21"/>
      <c r="KRP7" s="21"/>
      <c r="KRT7" s="15"/>
      <c r="KRZ7" s="25"/>
      <c r="KSG7" s="21"/>
      <c r="KSH7" s="21"/>
      <c r="KSL7" s="15"/>
      <c r="KSR7" s="25"/>
      <c r="KSY7" s="21"/>
      <c r="KSZ7" s="21"/>
      <c r="KTD7" s="15"/>
      <c r="KTJ7" s="25"/>
      <c r="KTQ7" s="21"/>
      <c r="KTR7" s="21"/>
      <c r="KTV7" s="15"/>
      <c r="KUB7" s="25"/>
      <c r="KUI7" s="21"/>
      <c r="KUJ7" s="21"/>
      <c r="KUN7" s="15"/>
      <c r="KUT7" s="25"/>
      <c r="KVA7" s="21"/>
      <c r="KVB7" s="21"/>
      <c r="KVF7" s="15"/>
      <c r="KVL7" s="25"/>
      <c r="KVS7" s="21"/>
      <c r="KVT7" s="21"/>
      <c r="KVX7" s="15"/>
      <c r="KWD7" s="25"/>
      <c r="KWK7" s="21"/>
      <c r="KWL7" s="21"/>
      <c r="KWP7" s="15"/>
      <c r="KWV7" s="25"/>
      <c r="KXC7" s="21"/>
      <c r="KXD7" s="21"/>
      <c r="KXH7" s="15"/>
      <c r="KXN7" s="25"/>
      <c r="KXU7" s="21"/>
      <c r="KXV7" s="21"/>
      <c r="KXZ7" s="15"/>
      <c r="KYF7" s="25"/>
      <c r="KYM7" s="21"/>
      <c r="KYN7" s="21"/>
      <c r="KYR7" s="15"/>
      <c r="KYX7" s="25"/>
      <c r="KZE7" s="21"/>
      <c r="KZF7" s="21"/>
      <c r="KZJ7" s="15"/>
      <c r="KZP7" s="25"/>
      <c r="KZW7" s="21"/>
      <c r="KZX7" s="21"/>
      <c r="LAB7" s="15"/>
      <c r="LAH7" s="25"/>
      <c r="LAO7" s="21"/>
      <c r="LAP7" s="21"/>
      <c r="LAT7" s="15"/>
      <c r="LAZ7" s="25"/>
      <c r="LBG7" s="21"/>
      <c r="LBH7" s="21"/>
      <c r="LBL7" s="15"/>
      <c r="LBR7" s="25"/>
      <c r="LBY7" s="21"/>
      <c r="LBZ7" s="21"/>
      <c r="LCD7" s="15"/>
      <c r="LCJ7" s="25"/>
      <c r="LCQ7" s="21"/>
      <c r="LCR7" s="21"/>
      <c r="LCV7" s="15"/>
      <c r="LDB7" s="25"/>
      <c r="LDI7" s="21"/>
      <c r="LDJ7" s="21"/>
      <c r="LDN7" s="15"/>
      <c r="LDT7" s="25"/>
      <c r="LEA7" s="21"/>
      <c r="LEB7" s="21"/>
      <c r="LEF7" s="15"/>
      <c r="LEL7" s="25"/>
      <c r="LES7" s="21"/>
      <c r="LET7" s="21"/>
      <c r="LEX7" s="15"/>
      <c r="LFD7" s="25"/>
      <c r="LFK7" s="21"/>
      <c r="LFL7" s="21"/>
      <c r="LFP7" s="15"/>
      <c r="LFV7" s="25"/>
      <c r="LGC7" s="21"/>
      <c r="LGD7" s="21"/>
      <c r="LGH7" s="15"/>
      <c r="LGN7" s="25"/>
      <c r="LGU7" s="21"/>
      <c r="LGV7" s="21"/>
      <c r="LGZ7" s="15"/>
      <c r="LHF7" s="25"/>
      <c r="LHM7" s="21"/>
      <c r="LHN7" s="21"/>
      <c r="LHR7" s="15"/>
      <c r="LHX7" s="25"/>
      <c r="LIE7" s="21"/>
      <c r="LIF7" s="21"/>
      <c r="LIJ7" s="15"/>
      <c r="LIP7" s="25"/>
      <c r="LIW7" s="21"/>
      <c r="LIX7" s="21"/>
      <c r="LJB7" s="15"/>
      <c r="LJH7" s="25"/>
      <c r="LJO7" s="21"/>
      <c r="LJP7" s="21"/>
      <c r="LJT7" s="15"/>
      <c r="LJZ7" s="25"/>
      <c r="LKG7" s="21"/>
      <c r="LKH7" s="21"/>
      <c r="LKL7" s="15"/>
      <c r="LKR7" s="25"/>
      <c r="LKY7" s="21"/>
      <c r="LKZ7" s="21"/>
      <c r="LLD7" s="15"/>
      <c r="LLJ7" s="25"/>
      <c r="LLQ7" s="21"/>
      <c r="LLR7" s="21"/>
      <c r="LLV7" s="15"/>
      <c r="LMB7" s="25"/>
      <c r="LMI7" s="21"/>
      <c r="LMJ7" s="21"/>
      <c r="LMN7" s="15"/>
      <c r="LMT7" s="25"/>
      <c r="LNA7" s="21"/>
      <c r="LNB7" s="21"/>
      <c r="LNF7" s="15"/>
      <c r="LNL7" s="25"/>
      <c r="LNS7" s="21"/>
      <c r="LNT7" s="21"/>
      <c r="LNX7" s="15"/>
      <c r="LOD7" s="25"/>
      <c r="LOK7" s="21"/>
      <c r="LOL7" s="21"/>
      <c r="LOP7" s="15"/>
      <c r="LOV7" s="25"/>
      <c r="LPC7" s="21"/>
      <c r="LPD7" s="21"/>
      <c r="LPH7" s="15"/>
      <c r="LPN7" s="25"/>
      <c r="LPU7" s="21"/>
      <c r="LPV7" s="21"/>
      <c r="LPZ7" s="15"/>
      <c r="LQF7" s="25"/>
      <c r="LQM7" s="21"/>
      <c r="LQN7" s="21"/>
      <c r="LQR7" s="15"/>
      <c r="LQX7" s="25"/>
      <c r="LRE7" s="21"/>
      <c r="LRF7" s="21"/>
      <c r="LRJ7" s="15"/>
      <c r="LRP7" s="25"/>
      <c r="LRW7" s="21"/>
      <c r="LRX7" s="21"/>
      <c r="LSB7" s="15"/>
      <c r="LSH7" s="25"/>
      <c r="LSO7" s="21"/>
      <c r="LSP7" s="21"/>
      <c r="LST7" s="15"/>
      <c r="LSZ7" s="25"/>
      <c r="LTG7" s="21"/>
      <c r="LTH7" s="21"/>
      <c r="LTL7" s="15"/>
      <c r="LTR7" s="25"/>
      <c r="LTY7" s="21"/>
      <c r="LTZ7" s="21"/>
      <c r="LUD7" s="15"/>
      <c r="LUJ7" s="25"/>
      <c r="LUQ7" s="21"/>
      <c r="LUR7" s="21"/>
      <c r="LUV7" s="15"/>
      <c r="LVB7" s="25"/>
      <c r="LVI7" s="21"/>
      <c r="LVJ7" s="21"/>
      <c r="LVN7" s="15"/>
      <c r="LVT7" s="25"/>
      <c r="LWA7" s="21"/>
      <c r="LWB7" s="21"/>
      <c r="LWF7" s="15"/>
      <c r="LWL7" s="25"/>
      <c r="LWS7" s="21"/>
      <c r="LWT7" s="21"/>
      <c r="LWX7" s="15"/>
      <c r="LXD7" s="25"/>
      <c r="LXK7" s="21"/>
      <c r="LXL7" s="21"/>
      <c r="LXP7" s="15"/>
      <c r="LXV7" s="25"/>
      <c r="LYC7" s="21"/>
      <c r="LYD7" s="21"/>
      <c r="LYH7" s="15"/>
      <c r="LYN7" s="25"/>
      <c r="LYU7" s="21"/>
      <c r="LYV7" s="21"/>
      <c r="LYZ7" s="15"/>
      <c r="LZF7" s="25"/>
      <c r="LZM7" s="21"/>
      <c r="LZN7" s="21"/>
      <c r="LZR7" s="15"/>
      <c r="LZX7" s="25"/>
      <c r="MAE7" s="21"/>
      <c r="MAF7" s="21"/>
      <c r="MAJ7" s="15"/>
      <c r="MAP7" s="25"/>
      <c r="MAW7" s="21"/>
      <c r="MAX7" s="21"/>
      <c r="MBB7" s="15"/>
      <c r="MBH7" s="25"/>
      <c r="MBO7" s="21"/>
      <c r="MBP7" s="21"/>
      <c r="MBT7" s="15"/>
      <c r="MBZ7" s="25"/>
      <c r="MCG7" s="21"/>
      <c r="MCH7" s="21"/>
      <c r="MCL7" s="15"/>
      <c r="MCR7" s="25"/>
      <c r="MCY7" s="21"/>
      <c r="MCZ7" s="21"/>
      <c r="MDD7" s="15"/>
      <c r="MDJ7" s="25"/>
      <c r="MDQ7" s="21"/>
      <c r="MDR7" s="21"/>
      <c r="MDV7" s="15"/>
      <c r="MEB7" s="25"/>
      <c r="MEI7" s="21"/>
      <c r="MEJ7" s="21"/>
      <c r="MEN7" s="15"/>
      <c r="MET7" s="25"/>
      <c r="MFA7" s="21"/>
      <c r="MFB7" s="21"/>
      <c r="MFF7" s="15"/>
      <c r="MFL7" s="25"/>
      <c r="MFS7" s="21"/>
      <c r="MFT7" s="21"/>
      <c r="MFX7" s="15"/>
      <c r="MGD7" s="25"/>
      <c r="MGK7" s="21"/>
      <c r="MGL7" s="21"/>
      <c r="MGP7" s="15"/>
      <c r="MGV7" s="25"/>
      <c r="MHC7" s="21"/>
      <c r="MHD7" s="21"/>
      <c r="MHH7" s="15"/>
      <c r="MHN7" s="25"/>
      <c r="MHU7" s="21"/>
      <c r="MHV7" s="21"/>
      <c r="MHZ7" s="15"/>
      <c r="MIF7" s="25"/>
      <c r="MIM7" s="21"/>
      <c r="MIN7" s="21"/>
      <c r="MIR7" s="15"/>
      <c r="MIX7" s="25"/>
      <c r="MJE7" s="21"/>
      <c r="MJF7" s="21"/>
      <c r="MJJ7" s="15"/>
      <c r="MJP7" s="25"/>
      <c r="MJW7" s="21"/>
      <c r="MJX7" s="21"/>
      <c r="MKB7" s="15"/>
      <c r="MKH7" s="25"/>
      <c r="MKO7" s="21"/>
      <c r="MKP7" s="21"/>
      <c r="MKT7" s="15"/>
      <c r="MKZ7" s="25"/>
      <c r="MLG7" s="21"/>
      <c r="MLH7" s="21"/>
      <c r="MLL7" s="15"/>
      <c r="MLR7" s="25"/>
      <c r="MLY7" s="21"/>
      <c r="MLZ7" s="21"/>
      <c r="MMD7" s="15"/>
      <c r="MMJ7" s="25"/>
      <c r="MMQ7" s="21"/>
      <c r="MMR7" s="21"/>
      <c r="MMV7" s="15"/>
      <c r="MNB7" s="25"/>
      <c r="MNI7" s="21"/>
      <c r="MNJ7" s="21"/>
      <c r="MNN7" s="15"/>
      <c r="MNT7" s="25"/>
      <c r="MOA7" s="21"/>
      <c r="MOB7" s="21"/>
      <c r="MOF7" s="15"/>
      <c r="MOL7" s="25"/>
      <c r="MOS7" s="21"/>
      <c r="MOT7" s="21"/>
      <c r="MOX7" s="15"/>
      <c r="MPD7" s="25"/>
      <c r="MPK7" s="21"/>
      <c r="MPL7" s="21"/>
      <c r="MPP7" s="15"/>
      <c r="MPV7" s="25"/>
      <c r="MQC7" s="21"/>
      <c r="MQD7" s="21"/>
      <c r="MQH7" s="15"/>
      <c r="MQN7" s="25"/>
      <c r="MQU7" s="21"/>
      <c r="MQV7" s="21"/>
      <c r="MQZ7" s="15"/>
      <c r="MRF7" s="25"/>
      <c r="MRM7" s="21"/>
      <c r="MRN7" s="21"/>
      <c r="MRR7" s="15"/>
      <c r="MRX7" s="25"/>
      <c r="MSE7" s="21"/>
      <c r="MSF7" s="21"/>
      <c r="MSJ7" s="15"/>
      <c r="MSP7" s="25"/>
      <c r="MSW7" s="21"/>
      <c r="MSX7" s="21"/>
      <c r="MTB7" s="15"/>
      <c r="MTH7" s="25"/>
      <c r="MTO7" s="21"/>
      <c r="MTP7" s="21"/>
      <c r="MTT7" s="15"/>
      <c r="MTZ7" s="25"/>
      <c r="MUG7" s="21"/>
      <c r="MUH7" s="21"/>
      <c r="MUL7" s="15"/>
      <c r="MUR7" s="25"/>
      <c r="MUY7" s="21"/>
      <c r="MUZ7" s="21"/>
      <c r="MVD7" s="15"/>
      <c r="MVJ7" s="25"/>
      <c r="MVQ7" s="21"/>
      <c r="MVR7" s="21"/>
      <c r="MVV7" s="15"/>
      <c r="MWB7" s="25"/>
      <c r="MWI7" s="21"/>
      <c r="MWJ7" s="21"/>
      <c r="MWN7" s="15"/>
      <c r="MWT7" s="25"/>
      <c r="MXA7" s="21"/>
      <c r="MXB7" s="21"/>
      <c r="MXF7" s="15"/>
      <c r="MXL7" s="25"/>
      <c r="MXS7" s="21"/>
      <c r="MXT7" s="21"/>
      <c r="MXX7" s="15"/>
      <c r="MYD7" s="25"/>
      <c r="MYK7" s="21"/>
      <c r="MYL7" s="21"/>
      <c r="MYP7" s="15"/>
      <c r="MYV7" s="25"/>
      <c r="MZC7" s="21"/>
      <c r="MZD7" s="21"/>
      <c r="MZH7" s="15"/>
      <c r="MZN7" s="25"/>
      <c r="MZU7" s="21"/>
      <c r="MZV7" s="21"/>
      <c r="MZZ7" s="15"/>
      <c r="NAF7" s="25"/>
      <c r="NAM7" s="21"/>
      <c r="NAN7" s="21"/>
      <c r="NAR7" s="15"/>
      <c r="NAX7" s="25"/>
      <c r="NBE7" s="21"/>
      <c r="NBF7" s="21"/>
      <c r="NBJ7" s="15"/>
      <c r="NBP7" s="25"/>
      <c r="NBW7" s="21"/>
      <c r="NBX7" s="21"/>
      <c r="NCB7" s="15"/>
      <c r="NCH7" s="25"/>
      <c r="NCO7" s="21"/>
      <c r="NCP7" s="21"/>
      <c r="NCT7" s="15"/>
      <c r="NCZ7" s="25"/>
      <c r="NDG7" s="21"/>
      <c r="NDH7" s="21"/>
      <c r="NDL7" s="15"/>
      <c r="NDR7" s="25"/>
      <c r="NDY7" s="21"/>
      <c r="NDZ7" s="21"/>
      <c r="NED7" s="15"/>
      <c r="NEJ7" s="25"/>
      <c r="NEQ7" s="21"/>
      <c r="NER7" s="21"/>
      <c r="NEV7" s="15"/>
      <c r="NFB7" s="25"/>
      <c r="NFI7" s="21"/>
      <c r="NFJ7" s="21"/>
      <c r="NFN7" s="15"/>
      <c r="NFT7" s="25"/>
      <c r="NGA7" s="21"/>
      <c r="NGB7" s="21"/>
      <c r="NGF7" s="15"/>
      <c r="NGL7" s="25"/>
      <c r="NGS7" s="21"/>
      <c r="NGT7" s="21"/>
      <c r="NGX7" s="15"/>
      <c r="NHD7" s="25"/>
      <c r="NHK7" s="21"/>
      <c r="NHL7" s="21"/>
      <c r="NHP7" s="15"/>
      <c r="NHV7" s="25"/>
      <c r="NIC7" s="21"/>
      <c r="NID7" s="21"/>
      <c r="NIH7" s="15"/>
      <c r="NIN7" s="25"/>
      <c r="NIU7" s="21"/>
      <c r="NIV7" s="21"/>
      <c r="NIZ7" s="15"/>
      <c r="NJF7" s="25"/>
      <c r="NJM7" s="21"/>
      <c r="NJN7" s="21"/>
      <c r="NJR7" s="15"/>
      <c r="NJX7" s="25"/>
      <c r="NKE7" s="21"/>
      <c r="NKF7" s="21"/>
      <c r="NKJ7" s="15"/>
      <c r="NKP7" s="25"/>
      <c r="NKW7" s="21"/>
      <c r="NKX7" s="21"/>
      <c r="NLB7" s="15"/>
      <c r="NLH7" s="25"/>
      <c r="NLO7" s="21"/>
      <c r="NLP7" s="21"/>
      <c r="NLT7" s="15"/>
      <c r="NLZ7" s="25"/>
      <c r="NMG7" s="21"/>
      <c r="NMH7" s="21"/>
      <c r="NML7" s="15"/>
      <c r="NMR7" s="25"/>
      <c r="NMY7" s="21"/>
      <c r="NMZ7" s="21"/>
      <c r="NND7" s="15"/>
      <c r="NNJ7" s="25"/>
      <c r="NNQ7" s="21"/>
      <c r="NNR7" s="21"/>
      <c r="NNV7" s="15"/>
      <c r="NOB7" s="25"/>
      <c r="NOI7" s="21"/>
      <c r="NOJ7" s="21"/>
      <c r="NON7" s="15"/>
      <c r="NOT7" s="25"/>
      <c r="NPA7" s="21"/>
      <c r="NPB7" s="21"/>
      <c r="NPF7" s="15"/>
      <c r="NPL7" s="25"/>
      <c r="NPS7" s="21"/>
      <c r="NPT7" s="21"/>
      <c r="NPX7" s="15"/>
      <c r="NQD7" s="25"/>
      <c r="NQK7" s="21"/>
      <c r="NQL7" s="21"/>
      <c r="NQP7" s="15"/>
      <c r="NQV7" s="25"/>
      <c r="NRC7" s="21"/>
      <c r="NRD7" s="21"/>
      <c r="NRH7" s="15"/>
      <c r="NRN7" s="25"/>
      <c r="NRU7" s="21"/>
      <c r="NRV7" s="21"/>
      <c r="NRZ7" s="15"/>
      <c r="NSF7" s="25"/>
      <c r="NSM7" s="21"/>
      <c r="NSN7" s="21"/>
      <c r="NSR7" s="15"/>
      <c r="NSX7" s="25"/>
      <c r="NTE7" s="21"/>
      <c r="NTF7" s="21"/>
      <c r="NTJ7" s="15"/>
      <c r="NTP7" s="25"/>
      <c r="NTW7" s="21"/>
      <c r="NTX7" s="21"/>
      <c r="NUB7" s="15"/>
      <c r="NUH7" s="25"/>
      <c r="NUO7" s="21"/>
      <c r="NUP7" s="21"/>
      <c r="NUT7" s="15"/>
      <c r="NUZ7" s="25"/>
      <c r="NVG7" s="21"/>
      <c r="NVH7" s="21"/>
      <c r="NVL7" s="15"/>
      <c r="NVR7" s="25"/>
      <c r="NVY7" s="21"/>
      <c r="NVZ7" s="21"/>
      <c r="NWD7" s="15"/>
      <c r="NWJ7" s="25"/>
      <c r="NWQ7" s="21"/>
      <c r="NWR7" s="21"/>
      <c r="NWV7" s="15"/>
      <c r="NXB7" s="25"/>
      <c r="NXI7" s="21"/>
      <c r="NXJ7" s="21"/>
      <c r="NXN7" s="15"/>
      <c r="NXT7" s="25"/>
      <c r="NYA7" s="21"/>
      <c r="NYB7" s="21"/>
      <c r="NYF7" s="15"/>
      <c r="NYL7" s="25"/>
      <c r="NYS7" s="21"/>
      <c r="NYT7" s="21"/>
      <c r="NYX7" s="15"/>
      <c r="NZD7" s="25"/>
      <c r="NZK7" s="21"/>
      <c r="NZL7" s="21"/>
      <c r="NZP7" s="15"/>
      <c r="NZV7" s="25"/>
      <c r="OAC7" s="21"/>
      <c r="OAD7" s="21"/>
      <c r="OAH7" s="15"/>
      <c r="OAN7" s="25"/>
      <c r="OAU7" s="21"/>
      <c r="OAV7" s="21"/>
      <c r="OAZ7" s="15"/>
      <c r="OBF7" s="25"/>
      <c r="OBM7" s="21"/>
      <c r="OBN7" s="21"/>
      <c r="OBR7" s="15"/>
      <c r="OBX7" s="25"/>
      <c r="OCE7" s="21"/>
      <c r="OCF7" s="21"/>
      <c r="OCJ7" s="15"/>
      <c r="OCP7" s="25"/>
      <c r="OCW7" s="21"/>
      <c r="OCX7" s="21"/>
      <c r="ODB7" s="15"/>
      <c r="ODH7" s="25"/>
      <c r="ODO7" s="21"/>
      <c r="ODP7" s="21"/>
      <c r="ODT7" s="15"/>
      <c r="ODZ7" s="25"/>
      <c r="OEG7" s="21"/>
      <c r="OEH7" s="21"/>
      <c r="OEL7" s="15"/>
      <c r="OER7" s="25"/>
      <c r="OEY7" s="21"/>
      <c r="OEZ7" s="21"/>
      <c r="OFD7" s="15"/>
      <c r="OFJ7" s="25"/>
      <c r="OFQ7" s="21"/>
      <c r="OFR7" s="21"/>
      <c r="OFV7" s="15"/>
      <c r="OGB7" s="25"/>
      <c r="OGI7" s="21"/>
      <c r="OGJ7" s="21"/>
      <c r="OGN7" s="15"/>
      <c r="OGT7" s="25"/>
      <c r="OHA7" s="21"/>
      <c r="OHB7" s="21"/>
      <c r="OHF7" s="15"/>
      <c r="OHL7" s="25"/>
      <c r="OHS7" s="21"/>
      <c r="OHT7" s="21"/>
      <c r="OHX7" s="15"/>
      <c r="OID7" s="25"/>
      <c r="OIK7" s="21"/>
      <c r="OIL7" s="21"/>
      <c r="OIP7" s="15"/>
      <c r="OIV7" s="25"/>
      <c r="OJC7" s="21"/>
      <c r="OJD7" s="21"/>
      <c r="OJH7" s="15"/>
      <c r="OJN7" s="25"/>
      <c r="OJU7" s="21"/>
      <c r="OJV7" s="21"/>
      <c r="OJZ7" s="15"/>
      <c r="OKF7" s="25"/>
      <c r="OKM7" s="21"/>
      <c r="OKN7" s="21"/>
      <c r="OKR7" s="15"/>
      <c r="OKX7" s="25"/>
      <c r="OLE7" s="21"/>
      <c r="OLF7" s="21"/>
      <c r="OLJ7" s="15"/>
      <c r="OLP7" s="25"/>
      <c r="OLW7" s="21"/>
      <c r="OLX7" s="21"/>
      <c r="OMB7" s="15"/>
      <c r="OMH7" s="25"/>
      <c r="OMO7" s="21"/>
      <c r="OMP7" s="21"/>
      <c r="OMT7" s="15"/>
      <c r="OMZ7" s="25"/>
      <c r="ONG7" s="21"/>
      <c r="ONH7" s="21"/>
      <c r="ONL7" s="15"/>
      <c r="ONR7" s="25"/>
      <c r="ONY7" s="21"/>
      <c r="ONZ7" s="21"/>
      <c r="OOD7" s="15"/>
      <c r="OOJ7" s="25"/>
      <c r="OOQ7" s="21"/>
      <c r="OOR7" s="21"/>
      <c r="OOV7" s="15"/>
      <c r="OPB7" s="25"/>
      <c r="OPI7" s="21"/>
      <c r="OPJ7" s="21"/>
      <c r="OPN7" s="15"/>
      <c r="OPT7" s="25"/>
      <c r="OQA7" s="21"/>
      <c r="OQB7" s="21"/>
      <c r="OQF7" s="15"/>
      <c r="OQL7" s="25"/>
      <c r="OQS7" s="21"/>
      <c r="OQT7" s="21"/>
      <c r="OQX7" s="15"/>
      <c r="ORD7" s="25"/>
      <c r="ORK7" s="21"/>
      <c r="ORL7" s="21"/>
      <c r="ORP7" s="15"/>
      <c r="ORV7" s="25"/>
      <c r="OSC7" s="21"/>
      <c r="OSD7" s="21"/>
      <c r="OSH7" s="15"/>
      <c r="OSN7" s="25"/>
      <c r="OSU7" s="21"/>
      <c r="OSV7" s="21"/>
      <c r="OSZ7" s="15"/>
      <c r="OTF7" s="25"/>
      <c r="OTM7" s="21"/>
      <c r="OTN7" s="21"/>
      <c r="OTR7" s="15"/>
      <c r="OTX7" s="25"/>
      <c r="OUE7" s="21"/>
      <c r="OUF7" s="21"/>
      <c r="OUJ7" s="15"/>
      <c r="OUP7" s="25"/>
      <c r="OUW7" s="21"/>
      <c r="OUX7" s="21"/>
      <c r="OVB7" s="15"/>
      <c r="OVH7" s="25"/>
      <c r="OVO7" s="21"/>
      <c r="OVP7" s="21"/>
      <c r="OVT7" s="15"/>
      <c r="OVZ7" s="25"/>
      <c r="OWG7" s="21"/>
      <c r="OWH7" s="21"/>
      <c r="OWL7" s="15"/>
      <c r="OWR7" s="25"/>
      <c r="OWY7" s="21"/>
      <c r="OWZ7" s="21"/>
      <c r="OXD7" s="15"/>
      <c r="OXJ7" s="25"/>
      <c r="OXQ7" s="21"/>
      <c r="OXR7" s="21"/>
      <c r="OXV7" s="15"/>
      <c r="OYB7" s="25"/>
      <c r="OYI7" s="21"/>
      <c r="OYJ7" s="21"/>
      <c r="OYN7" s="15"/>
      <c r="OYT7" s="25"/>
      <c r="OZA7" s="21"/>
      <c r="OZB7" s="21"/>
      <c r="OZF7" s="15"/>
      <c r="OZL7" s="25"/>
      <c r="OZS7" s="21"/>
      <c r="OZT7" s="21"/>
      <c r="OZX7" s="15"/>
      <c r="PAD7" s="25"/>
      <c r="PAK7" s="21"/>
      <c r="PAL7" s="21"/>
      <c r="PAP7" s="15"/>
      <c r="PAV7" s="25"/>
      <c r="PBC7" s="21"/>
      <c r="PBD7" s="21"/>
      <c r="PBH7" s="15"/>
      <c r="PBN7" s="25"/>
      <c r="PBU7" s="21"/>
      <c r="PBV7" s="21"/>
      <c r="PBZ7" s="15"/>
      <c r="PCF7" s="25"/>
      <c r="PCM7" s="21"/>
      <c r="PCN7" s="21"/>
      <c r="PCR7" s="15"/>
      <c r="PCX7" s="25"/>
      <c r="PDE7" s="21"/>
      <c r="PDF7" s="21"/>
      <c r="PDJ7" s="15"/>
      <c r="PDP7" s="25"/>
      <c r="PDW7" s="21"/>
      <c r="PDX7" s="21"/>
      <c r="PEB7" s="15"/>
      <c r="PEH7" s="25"/>
      <c r="PEO7" s="21"/>
      <c r="PEP7" s="21"/>
      <c r="PET7" s="15"/>
      <c r="PEZ7" s="25"/>
      <c r="PFG7" s="21"/>
      <c r="PFH7" s="21"/>
      <c r="PFL7" s="15"/>
      <c r="PFR7" s="25"/>
      <c r="PFY7" s="21"/>
      <c r="PFZ7" s="21"/>
      <c r="PGD7" s="15"/>
      <c r="PGJ7" s="25"/>
      <c r="PGQ7" s="21"/>
      <c r="PGR7" s="21"/>
      <c r="PGV7" s="15"/>
      <c r="PHB7" s="25"/>
      <c r="PHI7" s="21"/>
      <c r="PHJ7" s="21"/>
      <c r="PHN7" s="15"/>
      <c r="PHT7" s="25"/>
      <c r="PIA7" s="21"/>
      <c r="PIB7" s="21"/>
      <c r="PIF7" s="15"/>
      <c r="PIL7" s="25"/>
      <c r="PIS7" s="21"/>
      <c r="PIT7" s="21"/>
      <c r="PIX7" s="15"/>
      <c r="PJD7" s="25"/>
      <c r="PJK7" s="21"/>
      <c r="PJL7" s="21"/>
      <c r="PJP7" s="15"/>
      <c r="PJV7" s="25"/>
      <c r="PKC7" s="21"/>
      <c r="PKD7" s="21"/>
      <c r="PKH7" s="15"/>
      <c r="PKN7" s="25"/>
      <c r="PKU7" s="21"/>
      <c r="PKV7" s="21"/>
      <c r="PKZ7" s="15"/>
      <c r="PLF7" s="25"/>
      <c r="PLM7" s="21"/>
      <c r="PLN7" s="21"/>
      <c r="PLR7" s="15"/>
      <c r="PLX7" s="25"/>
      <c r="PME7" s="21"/>
      <c r="PMF7" s="21"/>
      <c r="PMJ7" s="15"/>
      <c r="PMP7" s="25"/>
      <c r="PMW7" s="21"/>
      <c r="PMX7" s="21"/>
      <c r="PNB7" s="15"/>
      <c r="PNH7" s="25"/>
      <c r="PNO7" s="21"/>
      <c r="PNP7" s="21"/>
      <c r="PNT7" s="15"/>
      <c r="PNZ7" s="25"/>
      <c r="POG7" s="21"/>
      <c r="POH7" s="21"/>
      <c r="POL7" s="15"/>
      <c r="POR7" s="25"/>
      <c r="POY7" s="21"/>
      <c r="POZ7" s="21"/>
      <c r="PPD7" s="15"/>
      <c r="PPJ7" s="25"/>
      <c r="PPQ7" s="21"/>
      <c r="PPR7" s="21"/>
      <c r="PPV7" s="15"/>
      <c r="PQB7" s="25"/>
      <c r="PQI7" s="21"/>
      <c r="PQJ7" s="21"/>
      <c r="PQN7" s="15"/>
      <c r="PQT7" s="25"/>
      <c r="PRA7" s="21"/>
      <c r="PRB7" s="21"/>
      <c r="PRF7" s="15"/>
      <c r="PRL7" s="25"/>
      <c r="PRS7" s="21"/>
      <c r="PRT7" s="21"/>
      <c r="PRX7" s="15"/>
      <c r="PSD7" s="25"/>
      <c r="PSK7" s="21"/>
      <c r="PSL7" s="21"/>
      <c r="PSP7" s="15"/>
      <c r="PSV7" s="25"/>
      <c r="PTC7" s="21"/>
      <c r="PTD7" s="21"/>
      <c r="PTH7" s="15"/>
      <c r="PTN7" s="25"/>
      <c r="PTU7" s="21"/>
      <c r="PTV7" s="21"/>
      <c r="PTZ7" s="15"/>
      <c r="PUF7" s="25"/>
      <c r="PUM7" s="21"/>
      <c r="PUN7" s="21"/>
      <c r="PUR7" s="15"/>
      <c r="PUX7" s="25"/>
      <c r="PVE7" s="21"/>
      <c r="PVF7" s="21"/>
      <c r="PVJ7" s="15"/>
      <c r="PVP7" s="25"/>
      <c r="PVW7" s="21"/>
      <c r="PVX7" s="21"/>
      <c r="PWB7" s="15"/>
      <c r="PWH7" s="25"/>
      <c r="PWO7" s="21"/>
      <c r="PWP7" s="21"/>
      <c r="PWT7" s="15"/>
      <c r="PWZ7" s="25"/>
      <c r="PXG7" s="21"/>
      <c r="PXH7" s="21"/>
      <c r="PXL7" s="15"/>
      <c r="PXR7" s="25"/>
      <c r="PXY7" s="21"/>
      <c r="PXZ7" s="21"/>
      <c r="PYD7" s="15"/>
      <c r="PYJ7" s="25"/>
      <c r="PYQ7" s="21"/>
      <c r="PYR7" s="21"/>
      <c r="PYV7" s="15"/>
      <c r="PZB7" s="25"/>
      <c r="PZI7" s="21"/>
      <c r="PZJ7" s="21"/>
      <c r="PZN7" s="15"/>
      <c r="PZT7" s="25"/>
      <c r="QAA7" s="21"/>
      <c r="QAB7" s="21"/>
      <c r="QAF7" s="15"/>
      <c r="QAL7" s="25"/>
      <c r="QAS7" s="21"/>
      <c r="QAT7" s="21"/>
      <c r="QAX7" s="15"/>
      <c r="QBD7" s="25"/>
      <c r="QBK7" s="21"/>
      <c r="QBL7" s="21"/>
      <c r="QBP7" s="15"/>
      <c r="QBV7" s="25"/>
      <c r="QCC7" s="21"/>
      <c r="QCD7" s="21"/>
      <c r="QCH7" s="15"/>
      <c r="QCN7" s="25"/>
      <c r="QCU7" s="21"/>
      <c r="QCV7" s="21"/>
      <c r="QCZ7" s="15"/>
      <c r="QDF7" s="25"/>
      <c r="QDM7" s="21"/>
      <c r="QDN7" s="21"/>
      <c r="QDR7" s="15"/>
      <c r="QDX7" s="25"/>
      <c r="QEE7" s="21"/>
      <c r="QEF7" s="21"/>
      <c r="QEJ7" s="15"/>
      <c r="QEP7" s="25"/>
      <c r="QEW7" s="21"/>
      <c r="QEX7" s="21"/>
      <c r="QFB7" s="15"/>
      <c r="QFH7" s="25"/>
      <c r="QFO7" s="21"/>
      <c r="QFP7" s="21"/>
      <c r="QFT7" s="15"/>
      <c r="QFZ7" s="25"/>
      <c r="QGG7" s="21"/>
      <c r="QGH7" s="21"/>
      <c r="QGL7" s="15"/>
      <c r="QGR7" s="25"/>
      <c r="QGY7" s="21"/>
      <c r="QGZ7" s="21"/>
      <c r="QHD7" s="15"/>
      <c r="QHJ7" s="25"/>
      <c r="QHQ7" s="21"/>
      <c r="QHR7" s="21"/>
      <c r="QHV7" s="15"/>
      <c r="QIB7" s="25"/>
      <c r="QII7" s="21"/>
      <c r="QIJ7" s="21"/>
      <c r="QIN7" s="15"/>
      <c r="QIT7" s="25"/>
      <c r="QJA7" s="21"/>
      <c r="QJB7" s="21"/>
      <c r="QJF7" s="15"/>
      <c r="QJL7" s="25"/>
      <c r="QJS7" s="21"/>
      <c r="QJT7" s="21"/>
      <c r="QJX7" s="15"/>
      <c r="QKD7" s="25"/>
      <c r="QKK7" s="21"/>
      <c r="QKL7" s="21"/>
      <c r="QKP7" s="15"/>
      <c r="QKV7" s="25"/>
      <c r="QLC7" s="21"/>
      <c r="QLD7" s="21"/>
      <c r="QLH7" s="15"/>
      <c r="QLN7" s="25"/>
      <c r="QLU7" s="21"/>
      <c r="QLV7" s="21"/>
      <c r="QLZ7" s="15"/>
      <c r="QMF7" s="25"/>
      <c r="QMM7" s="21"/>
      <c r="QMN7" s="21"/>
      <c r="QMR7" s="15"/>
      <c r="QMX7" s="25"/>
      <c r="QNE7" s="21"/>
      <c r="QNF7" s="21"/>
      <c r="QNJ7" s="15"/>
      <c r="QNP7" s="25"/>
      <c r="QNW7" s="21"/>
      <c r="QNX7" s="21"/>
      <c r="QOB7" s="15"/>
      <c r="QOH7" s="25"/>
      <c r="QOO7" s="21"/>
      <c r="QOP7" s="21"/>
      <c r="QOT7" s="15"/>
      <c r="QOZ7" s="25"/>
      <c r="QPG7" s="21"/>
      <c r="QPH7" s="21"/>
      <c r="QPL7" s="15"/>
      <c r="QPR7" s="25"/>
      <c r="QPY7" s="21"/>
      <c r="QPZ7" s="21"/>
      <c r="QQD7" s="15"/>
      <c r="QQJ7" s="25"/>
      <c r="QQQ7" s="21"/>
      <c r="QQR7" s="21"/>
      <c r="QQV7" s="15"/>
      <c r="QRB7" s="25"/>
      <c r="QRI7" s="21"/>
      <c r="QRJ7" s="21"/>
      <c r="QRN7" s="15"/>
      <c r="QRT7" s="25"/>
      <c r="QSA7" s="21"/>
      <c r="QSB7" s="21"/>
      <c r="QSF7" s="15"/>
      <c r="QSL7" s="25"/>
      <c r="QSS7" s="21"/>
      <c r="QST7" s="21"/>
      <c r="QSX7" s="15"/>
      <c r="QTD7" s="25"/>
      <c r="QTK7" s="21"/>
      <c r="QTL7" s="21"/>
      <c r="QTP7" s="15"/>
      <c r="QTV7" s="25"/>
      <c r="QUC7" s="21"/>
      <c r="QUD7" s="21"/>
      <c r="QUH7" s="15"/>
      <c r="QUN7" s="25"/>
      <c r="QUU7" s="21"/>
      <c r="QUV7" s="21"/>
      <c r="QUZ7" s="15"/>
      <c r="QVF7" s="25"/>
      <c r="QVM7" s="21"/>
      <c r="QVN7" s="21"/>
      <c r="QVR7" s="15"/>
      <c r="QVX7" s="25"/>
      <c r="QWE7" s="21"/>
      <c r="QWF7" s="21"/>
      <c r="QWJ7" s="15"/>
      <c r="QWP7" s="25"/>
      <c r="QWW7" s="21"/>
      <c r="QWX7" s="21"/>
      <c r="QXB7" s="15"/>
      <c r="QXH7" s="25"/>
      <c r="QXO7" s="21"/>
      <c r="QXP7" s="21"/>
      <c r="QXT7" s="15"/>
      <c r="QXZ7" s="25"/>
      <c r="QYG7" s="21"/>
      <c r="QYH7" s="21"/>
      <c r="QYL7" s="15"/>
      <c r="QYR7" s="25"/>
      <c r="QYY7" s="21"/>
      <c r="QYZ7" s="21"/>
      <c r="QZD7" s="15"/>
      <c r="QZJ7" s="25"/>
      <c r="QZQ7" s="21"/>
      <c r="QZR7" s="21"/>
      <c r="QZV7" s="15"/>
      <c r="RAB7" s="25"/>
      <c r="RAI7" s="21"/>
      <c r="RAJ7" s="21"/>
      <c r="RAN7" s="15"/>
      <c r="RAT7" s="25"/>
      <c r="RBA7" s="21"/>
      <c r="RBB7" s="21"/>
      <c r="RBF7" s="15"/>
      <c r="RBL7" s="25"/>
      <c r="RBS7" s="21"/>
      <c r="RBT7" s="21"/>
      <c r="RBX7" s="15"/>
      <c r="RCD7" s="25"/>
      <c r="RCK7" s="21"/>
      <c r="RCL7" s="21"/>
      <c r="RCP7" s="15"/>
      <c r="RCV7" s="25"/>
      <c r="RDC7" s="21"/>
      <c r="RDD7" s="21"/>
      <c r="RDH7" s="15"/>
      <c r="RDN7" s="25"/>
      <c r="RDU7" s="21"/>
      <c r="RDV7" s="21"/>
      <c r="RDZ7" s="15"/>
      <c r="REF7" s="25"/>
      <c r="REM7" s="21"/>
      <c r="REN7" s="21"/>
      <c r="RER7" s="15"/>
      <c r="REX7" s="25"/>
      <c r="RFE7" s="21"/>
      <c r="RFF7" s="21"/>
      <c r="RFJ7" s="15"/>
      <c r="RFP7" s="25"/>
      <c r="RFW7" s="21"/>
      <c r="RFX7" s="21"/>
      <c r="RGB7" s="15"/>
      <c r="RGH7" s="25"/>
      <c r="RGO7" s="21"/>
      <c r="RGP7" s="21"/>
      <c r="RGT7" s="15"/>
      <c r="RGZ7" s="25"/>
      <c r="RHG7" s="21"/>
      <c r="RHH7" s="21"/>
      <c r="RHL7" s="15"/>
      <c r="RHR7" s="25"/>
      <c r="RHY7" s="21"/>
      <c r="RHZ7" s="21"/>
      <c r="RID7" s="15"/>
      <c r="RIJ7" s="25"/>
      <c r="RIQ7" s="21"/>
      <c r="RIR7" s="21"/>
      <c r="RIV7" s="15"/>
      <c r="RJB7" s="25"/>
      <c r="RJI7" s="21"/>
      <c r="RJJ7" s="21"/>
      <c r="RJN7" s="15"/>
      <c r="RJT7" s="25"/>
      <c r="RKA7" s="21"/>
      <c r="RKB7" s="21"/>
      <c r="RKF7" s="15"/>
      <c r="RKL7" s="25"/>
      <c r="RKS7" s="21"/>
      <c r="RKT7" s="21"/>
      <c r="RKX7" s="15"/>
      <c r="RLD7" s="25"/>
      <c r="RLK7" s="21"/>
      <c r="RLL7" s="21"/>
      <c r="RLP7" s="15"/>
      <c r="RLV7" s="25"/>
      <c r="RMC7" s="21"/>
      <c r="RMD7" s="21"/>
      <c r="RMH7" s="15"/>
      <c r="RMN7" s="25"/>
      <c r="RMU7" s="21"/>
      <c r="RMV7" s="21"/>
      <c r="RMZ7" s="15"/>
      <c r="RNF7" s="25"/>
      <c r="RNM7" s="21"/>
      <c r="RNN7" s="21"/>
      <c r="RNR7" s="15"/>
      <c r="RNX7" s="25"/>
      <c r="ROE7" s="21"/>
      <c r="ROF7" s="21"/>
      <c r="ROJ7" s="15"/>
      <c r="ROP7" s="25"/>
      <c r="ROW7" s="21"/>
      <c r="ROX7" s="21"/>
      <c r="RPB7" s="15"/>
      <c r="RPH7" s="25"/>
      <c r="RPO7" s="21"/>
      <c r="RPP7" s="21"/>
      <c r="RPT7" s="15"/>
      <c r="RPZ7" s="25"/>
      <c r="RQG7" s="21"/>
      <c r="RQH7" s="21"/>
      <c r="RQL7" s="15"/>
      <c r="RQR7" s="25"/>
      <c r="RQY7" s="21"/>
      <c r="RQZ7" s="21"/>
      <c r="RRD7" s="15"/>
      <c r="RRJ7" s="25"/>
      <c r="RRQ7" s="21"/>
      <c r="RRR7" s="21"/>
      <c r="RRV7" s="15"/>
      <c r="RSB7" s="25"/>
      <c r="RSI7" s="21"/>
      <c r="RSJ7" s="21"/>
      <c r="RSN7" s="15"/>
      <c r="RST7" s="25"/>
      <c r="RTA7" s="21"/>
      <c r="RTB7" s="21"/>
      <c r="RTF7" s="15"/>
      <c r="RTL7" s="25"/>
      <c r="RTS7" s="21"/>
      <c r="RTT7" s="21"/>
      <c r="RTX7" s="15"/>
      <c r="RUD7" s="25"/>
      <c r="RUK7" s="21"/>
      <c r="RUL7" s="21"/>
      <c r="RUP7" s="15"/>
      <c r="RUV7" s="25"/>
      <c r="RVC7" s="21"/>
      <c r="RVD7" s="21"/>
      <c r="RVH7" s="15"/>
      <c r="RVN7" s="25"/>
      <c r="RVU7" s="21"/>
      <c r="RVV7" s="21"/>
      <c r="RVZ7" s="15"/>
      <c r="RWF7" s="25"/>
      <c r="RWM7" s="21"/>
      <c r="RWN7" s="21"/>
      <c r="RWR7" s="15"/>
      <c r="RWX7" s="25"/>
      <c r="RXE7" s="21"/>
      <c r="RXF7" s="21"/>
      <c r="RXJ7" s="15"/>
      <c r="RXP7" s="25"/>
      <c r="RXW7" s="21"/>
      <c r="RXX7" s="21"/>
      <c r="RYB7" s="15"/>
      <c r="RYH7" s="25"/>
      <c r="RYO7" s="21"/>
      <c r="RYP7" s="21"/>
      <c r="RYT7" s="15"/>
      <c r="RYZ7" s="25"/>
      <c r="RZG7" s="21"/>
      <c r="RZH7" s="21"/>
      <c r="RZL7" s="15"/>
      <c r="RZR7" s="25"/>
      <c r="RZY7" s="21"/>
      <c r="RZZ7" s="21"/>
      <c r="SAD7" s="15"/>
      <c r="SAJ7" s="25"/>
      <c r="SAQ7" s="21"/>
      <c r="SAR7" s="21"/>
      <c r="SAV7" s="15"/>
      <c r="SBB7" s="25"/>
      <c r="SBI7" s="21"/>
      <c r="SBJ7" s="21"/>
      <c r="SBN7" s="15"/>
      <c r="SBT7" s="25"/>
      <c r="SCA7" s="21"/>
      <c r="SCB7" s="21"/>
      <c r="SCF7" s="15"/>
      <c r="SCL7" s="25"/>
      <c r="SCS7" s="21"/>
      <c r="SCT7" s="21"/>
      <c r="SCX7" s="15"/>
      <c r="SDD7" s="25"/>
      <c r="SDK7" s="21"/>
      <c r="SDL7" s="21"/>
      <c r="SDP7" s="15"/>
      <c r="SDV7" s="25"/>
      <c r="SEC7" s="21"/>
      <c r="SED7" s="21"/>
      <c r="SEH7" s="15"/>
      <c r="SEN7" s="25"/>
      <c r="SEU7" s="21"/>
      <c r="SEV7" s="21"/>
      <c r="SEZ7" s="15"/>
      <c r="SFF7" s="25"/>
      <c r="SFM7" s="21"/>
      <c r="SFN7" s="21"/>
      <c r="SFR7" s="15"/>
      <c r="SFX7" s="25"/>
      <c r="SGE7" s="21"/>
      <c r="SGF7" s="21"/>
      <c r="SGJ7" s="15"/>
      <c r="SGP7" s="25"/>
      <c r="SGW7" s="21"/>
      <c r="SGX7" s="21"/>
      <c r="SHB7" s="15"/>
      <c r="SHH7" s="25"/>
      <c r="SHO7" s="21"/>
      <c r="SHP7" s="21"/>
      <c r="SHT7" s="15"/>
      <c r="SHZ7" s="25"/>
      <c r="SIG7" s="21"/>
      <c r="SIH7" s="21"/>
      <c r="SIL7" s="15"/>
      <c r="SIR7" s="25"/>
      <c r="SIY7" s="21"/>
      <c r="SIZ7" s="21"/>
      <c r="SJD7" s="15"/>
      <c r="SJJ7" s="25"/>
      <c r="SJQ7" s="21"/>
      <c r="SJR7" s="21"/>
      <c r="SJV7" s="15"/>
      <c r="SKB7" s="25"/>
      <c r="SKI7" s="21"/>
      <c r="SKJ7" s="21"/>
      <c r="SKN7" s="15"/>
      <c r="SKT7" s="25"/>
      <c r="SLA7" s="21"/>
      <c r="SLB7" s="21"/>
      <c r="SLF7" s="15"/>
      <c r="SLL7" s="25"/>
      <c r="SLS7" s="21"/>
      <c r="SLT7" s="21"/>
      <c r="SLX7" s="15"/>
      <c r="SMD7" s="25"/>
      <c r="SMK7" s="21"/>
      <c r="SML7" s="21"/>
      <c r="SMP7" s="15"/>
      <c r="SMV7" s="25"/>
      <c r="SNC7" s="21"/>
      <c r="SND7" s="21"/>
      <c r="SNH7" s="15"/>
      <c r="SNN7" s="25"/>
      <c r="SNU7" s="21"/>
      <c r="SNV7" s="21"/>
      <c r="SNZ7" s="15"/>
      <c r="SOF7" s="25"/>
      <c r="SOM7" s="21"/>
      <c r="SON7" s="21"/>
      <c r="SOR7" s="15"/>
      <c r="SOX7" s="25"/>
      <c r="SPE7" s="21"/>
      <c r="SPF7" s="21"/>
      <c r="SPJ7" s="15"/>
      <c r="SPP7" s="25"/>
      <c r="SPW7" s="21"/>
      <c r="SPX7" s="21"/>
      <c r="SQB7" s="15"/>
      <c r="SQH7" s="25"/>
      <c r="SQO7" s="21"/>
      <c r="SQP7" s="21"/>
      <c r="SQT7" s="15"/>
      <c r="SQZ7" s="25"/>
      <c r="SRG7" s="21"/>
      <c r="SRH7" s="21"/>
      <c r="SRL7" s="15"/>
      <c r="SRR7" s="25"/>
      <c r="SRY7" s="21"/>
      <c r="SRZ7" s="21"/>
      <c r="SSD7" s="15"/>
      <c r="SSJ7" s="25"/>
      <c r="SSQ7" s="21"/>
      <c r="SSR7" s="21"/>
      <c r="SSV7" s="15"/>
      <c r="STB7" s="25"/>
      <c r="STI7" s="21"/>
      <c r="STJ7" s="21"/>
      <c r="STN7" s="15"/>
      <c r="STT7" s="25"/>
      <c r="SUA7" s="21"/>
      <c r="SUB7" s="21"/>
      <c r="SUF7" s="15"/>
      <c r="SUL7" s="25"/>
      <c r="SUS7" s="21"/>
      <c r="SUT7" s="21"/>
      <c r="SUX7" s="15"/>
      <c r="SVD7" s="25"/>
      <c r="SVK7" s="21"/>
      <c r="SVL7" s="21"/>
      <c r="SVP7" s="15"/>
      <c r="SVV7" s="25"/>
      <c r="SWC7" s="21"/>
      <c r="SWD7" s="21"/>
      <c r="SWH7" s="15"/>
      <c r="SWN7" s="25"/>
      <c r="SWU7" s="21"/>
      <c r="SWV7" s="21"/>
      <c r="SWZ7" s="15"/>
      <c r="SXF7" s="25"/>
      <c r="SXM7" s="21"/>
      <c r="SXN7" s="21"/>
      <c r="SXR7" s="15"/>
      <c r="SXX7" s="25"/>
      <c r="SYE7" s="21"/>
      <c r="SYF7" s="21"/>
      <c r="SYJ7" s="15"/>
      <c r="SYP7" s="25"/>
      <c r="SYW7" s="21"/>
      <c r="SYX7" s="21"/>
      <c r="SZB7" s="15"/>
      <c r="SZH7" s="25"/>
      <c r="SZO7" s="21"/>
      <c r="SZP7" s="21"/>
      <c r="SZT7" s="15"/>
      <c r="SZZ7" s="25"/>
      <c r="TAG7" s="21"/>
      <c r="TAH7" s="21"/>
      <c r="TAL7" s="15"/>
      <c r="TAR7" s="25"/>
      <c r="TAY7" s="21"/>
      <c r="TAZ7" s="21"/>
      <c r="TBD7" s="15"/>
      <c r="TBJ7" s="25"/>
      <c r="TBQ7" s="21"/>
      <c r="TBR7" s="21"/>
      <c r="TBV7" s="15"/>
      <c r="TCB7" s="25"/>
      <c r="TCI7" s="21"/>
      <c r="TCJ7" s="21"/>
      <c r="TCN7" s="15"/>
      <c r="TCT7" s="25"/>
      <c r="TDA7" s="21"/>
      <c r="TDB7" s="21"/>
      <c r="TDF7" s="15"/>
      <c r="TDL7" s="25"/>
      <c r="TDS7" s="21"/>
      <c r="TDT7" s="21"/>
      <c r="TDX7" s="15"/>
      <c r="TED7" s="25"/>
      <c r="TEK7" s="21"/>
      <c r="TEL7" s="21"/>
      <c r="TEP7" s="15"/>
      <c r="TEV7" s="25"/>
      <c r="TFC7" s="21"/>
      <c r="TFD7" s="21"/>
      <c r="TFH7" s="15"/>
      <c r="TFN7" s="25"/>
      <c r="TFU7" s="21"/>
      <c r="TFV7" s="21"/>
      <c r="TFZ7" s="15"/>
      <c r="TGF7" s="25"/>
      <c r="TGM7" s="21"/>
      <c r="TGN7" s="21"/>
      <c r="TGR7" s="15"/>
      <c r="TGX7" s="25"/>
      <c r="THE7" s="21"/>
      <c r="THF7" s="21"/>
      <c r="THJ7" s="15"/>
      <c r="THP7" s="25"/>
      <c r="THW7" s="21"/>
      <c r="THX7" s="21"/>
      <c r="TIB7" s="15"/>
      <c r="TIH7" s="25"/>
      <c r="TIO7" s="21"/>
      <c r="TIP7" s="21"/>
      <c r="TIT7" s="15"/>
      <c r="TIZ7" s="25"/>
      <c r="TJG7" s="21"/>
      <c r="TJH7" s="21"/>
      <c r="TJL7" s="15"/>
      <c r="TJR7" s="25"/>
      <c r="TJY7" s="21"/>
      <c r="TJZ7" s="21"/>
      <c r="TKD7" s="15"/>
      <c r="TKJ7" s="25"/>
      <c r="TKQ7" s="21"/>
      <c r="TKR7" s="21"/>
      <c r="TKV7" s="15"/>
      <c r="TLB7" s="25"/>
      <c r="TLI7" s="21"/>
      <c r="TLJ7" s="21"/>
      <c r="TLN7" s="15"/>
      <c r="TLT7" s="25"/>
      <c r="TMA7" s="21"/>
      <c r="TMB7" s="21"/>
      <c r="TMF7" s="15"/>
      <c r="TML7" s="25"/>
      <c r="TMS7" s="21"/>
      <c r="TMT7" s="21"/>
      <c r="TMX7" s="15"/>
      <c r="TND7" s="25"/>
      <c r="TNK7" s="21"/>
      <c r="TNL7" s="21"/>
      <c r="TNP7" s="15"/>
      <c r="TNV7" s="25"/>
      <c r="TOC7" s="21"/>
      <c r="TOD7" s="21"/>
      <c r="TOH7" s="15"/>
      <c r="TON7" s="25"/>
      <c r="TOU7" s="21"/>
      <c r="TOV7" s="21"/>
      <c r="TOZ7" s="15"/>
      <c r="TPF7" s="25"/>
      <c r="TPM7" s="21"/>
      <c r="TPN7" s="21"/>
      <c r="TPR7" s="15"/>
      <c r="TPX7" s="25"/>
      <c r="TQE7" s="21"/>
      <c r="TQF7" s="21"/>
      <c r="TQJ7" s="15"/>
      <c r="TQP7" s="25"/>
      <c r="TQW7" s="21"/>
      <c r="TQX7" s="21"/>
      <c r="TRB7" s="15"/>
      <c r="TRH7" s="25"/>
      <c r="TRO7" s="21"/>
      <c r="TRP7" s="21"/>
      <c r="TRT7" s="15"/>
      <c r="TRZ7" s="25"/>
      <c r="TSG7" s="21"/>
      <c r="TSH7" s="21"/>
      <c r="TSL7" s="15"/>
      <c r="TSR7" s="25"/>
      <c r="TSY7" s="21"/>
      <c r="TSZ7" s="21"/>
      <c r="TTD7" s="15"/>
      <c r="TTJ7" s="25"/>
      <c r="TTQ7" s="21"/>
      <c r="TTR7" s="21"/>
      <c r="TTV7" s="15"/>
      <c r="TUB7" s="25"/>
      <c r="TUI7" s="21"/>
      <c r="TUJ7" s="21"/>
      <c r="TUN7" s="15"/>
      <c r="TUT7" s="25"/>
      <c r="TVA7" s="21"/>
      <c r="TVB7" s="21"/>
      <c r="TVF7" s="15"/>
      <c r="TVL7" s="25"/>
      <c r="TVS7" s="21"/>
      <c r="TVT7" s="21"/>
      <c r="TVX7" s="15"/>
      <c r="TWD7" s="25"/>
      <c r="TWK7" s="21"/>
      <c r="TWL7" s="21"/>
      <c r="TWP7" s="15"/>
      <c r="TWV7" s="25"/>
      <c r="TXC7" s="21"/>
      <c r="TXD7" s="21"/>
      <c r="TXH7" s="15"/>
      <c r="TXN7" s="25"/>
      <c r="TXU7" s="21"/>
      <c r="TXV7" s="21"/>
      <c r="TXZ7" s="15"/>
      <c r="TYF7" s="25"/>
      <c r="TYM7" s="21"/>
      <c r="TYN7" s="21"/>
      <c r="TYR7" s="15"/>
      <c r="TYX7" s="25"/>
      <c r="TZE7" s="21"/>
      <c r="TZF7" s="21"/>
      <c r="TZJ7" s="15"/>
      <c r="TZP7" s="25"/>
      <c r="TZW7" s="21"/>
      <c r="TZX7" s="21"/>
      <c r="UAB7" s="15"/>
      <c r="UAH7" s="25"/>
      <c r="UAO7" s="21"/>
      <c r="UAP7" s="21"/>
      <c r="UAT7" s="15"/>
      <c r="UAZ7" s="25"/>
      <c r="UBG7" s="21"/>
      <c r="UBH7" s="21"/>
      <c r="UBL7" s="15"/>
      <c r="UBR7" s="25"/>
      <c r="UBY7" s="21"/>
      <c r="UBZ7" s="21"/>
      <c r="UCD7" s="15"/>
      <c r="UCJ7" s="25"/>
      <c r="UCQ7" s="21"/>
      <c r="UCR7" s="21"/>
      <c r="UCV7" s="15"/>
      <c r="UDB7" s="25"/>
      <c r="UDI7" s="21"/>
      <c r="UDJ7" s="21"/>
      <c r="UDN7" s="15"/>
      <c r="UDT7" s="25"/>
      <c r="UEA7" s="21"/>
      <c r="UEB7" s="21"/>
      <c r="UEF7" s="15"/>
      <c r="UEL7" s="25"/>
      <c r="UES7" s="21"/>
      <c r="UET7" s="21"/>
      <c r="UEX7" s="15"/>
      <c r="UFD7" s="25"/>
      <c r="UFK7" s="21"/>
      <c r="UFL7" s="21"/>
      <c r="UFP7" s="15"/>
      <c r="UFV7" s="25"/>
      <c r="UGC7" s="21"/>
      <c r="UGD7" s="21"/>
      <c r="UGH7" s="15"/>
      <c r="UGN7" s="25"/>
      <c r="UGU7" s="21"/>
      <c r="UGV7" s="21"/>
      <c r="UGZ7" s="15"/>
      <c r="UHF7" s="25"/>
      <c r="UHM7" s="21"/>
      <c r="UHN7" s="21"/>
      <c r="UHR7" s="15"/>
      <c r="UHX7" s="25"/>
      <c r="UIE7" s="21"/>
      <c r="UIF7" s="21"/>
      <c r="UIJ7" s="15"/>
      <c r="UIP7" s="25"/>
      <c r="UIW7" s="21"/>
      <c r="UIX7" s="21"/>
      <c r="UJB7" s="15"/>
      <c r="UJH7" s="25"/>
      <c r="UJO7" s="21"/>
      <c r="UJP7" s="21"/>
      <c r="UJT7" s="15"/>
      <c r="UJZ7" s="25"/>
      <c r="UKG7" s="21"/>
      <c r="UKH7" s="21"/>
      <c r="UKL7" s="15"/>
      <c r="UKR7" s="25"/>
      <c r="UKY7" s="21"/>
      <c r="UKZ7" s="21"/>
      <c r="ULD7" s="15"/>
      <c r="ULJ7" s="25"/>
      <c r="ULQ7" s="21"/>
      <c r="ULR7" s="21"/>
      <c r="ULV7" s="15"/>
      <c r="UMB7" s="25"/>
      <c r="UMI7" s="21"/>
      <c r="UMJ7" s="21"/>
      <c r="UMN7" s="15"/>
      <c r="UMT7" s="25"/>
      <c r="UNA7" s="21"/>
      <c r="UNB7" s="21"/>
      <c r="UNF7" s="15"/>
      <c r="UNL7" s="25"/>
      <c r="UNS7" s="21"/>
      <c r="UNT7" s="21"/>
      <c r="UNX7" s="15"/>
      <c r="UOD7" s="25"/>
      <c r="UOK7" s="21"/>
      <c r="UOL7" s="21"/>
      <c r="UOP7" s="15"/>
      <c r="UOV7" s="25"/>
      <c r="UPC7" s="21"/>
      <c r="UPD7" s="21"/>
      <c r="UPH7" s="15"/>
      <c r="UPN7" s="25"/>
      <c r="UPU7" s="21"/>
      <c r="UPV7" s="21"/>
      <c r="UPZ7" s="15"/>
      <c r="UQF7" s="25"/>
      <c r="UQM7" s="21"/>
      <c r="UQN7" s="21"/>
      <c r="UQR7" s="15"/>
      <c r="UQX7" s="25"/>
      <c r="URE7" s="21"/>
      <c r="URF7" s="21"/>
      <c r="URJ7" s="15"/>
      <c r="URP7" s="25"/>
      <c r="URW7" s="21"/>
      <c r="URX7" s="21"/>
      <c r="USB7" s="15"/>
      <c r="USH7" s="25"/>
      <c r="USO7" s="21"/>
      <c r="USP7" s="21"/>
      <c r="UST7" s="15"/>
      <c r="USZ7" s="25"/>
      <c r="UTG7" s="21"/>
      <c r="UTH7" s="21"/>
      <c r="UTL7" s="15"/>
      <c r="UTR7" s="25"/>
      <c r="UTY7" s="21"/>
      <c r="UTZ7" s="21"/>
      <c r="UUD7" s="15"/>
      <c r="UUJ7" s="25"/>
      <c r="UUQ7" s="21"/>
      <c r="UUR7" s="21"/>
      <c r="UUV7" s="15"/>
      <c r="UVB7" s="25"/>
      <c r="UVI7" s="21"/>
      <c r="UVJ7" s="21"/>
      <c r="UVN7" s="15"/>
      <c r="UVT7" s="25"/>
      <c r="UWA7" s="21"/>
      <c r="UWB7" s="21"/>
      <c r="UWF7" s="15"/>
      <c r="UWL7" s="25"/>
      <c r="UWS7" s="21"/>
      <c r="UWT7" s="21"/>
      <c r="UWX7" s="15"/>
      <c r="UXD7" s="25"/>
      <c r="UXK7" s="21"/>
      <c r="UXL7" s="21"/>
      <c r="UXP7" s="15"/>
      <c r="UXV7" s="25"/>
      <c r="UYC7" s="21"/>
      <c r="UYD7" s="21"/>
      <c r="UYH7" s="15"/>
      <c r="UYN7" s="25"/>
      <c r="UYU7" s="21"/>
      <c r="UYV7" s="21"/>
      <c r="UYZ7" s="15"/>
      <c r="UZF7" s="25"/>
      <c r="UZM7" s="21"/>
      <c r="UZN7" s="21"/>
      <c r="UZR7" s="15"/>
      <c r="UZX7" s="25"/>
      <c r="VAE7" s="21"/>
      <c r="VAF7" s="21"/>
      <c r="VAJ7" s="15"/>
      <c r="VAP7" s="25"/>
      <c r="VAW7" s="21"/>
      <c r="VAX7" s="21"/>
      <c r="VBB7" s="15"/>
      <c r="VBH7" s="25"/>
      <c r="VBO7" s="21"/>
      <c r="VBP7" s="21"/>
      <c r="VBT7" s="15"/>
      <c r="VBZ7" s="25"/>
      <c r="VCG7" s="21"/>
      <c r="VCH7" s="21"/>
      <c r="VCL7" s="15"/>
      <c r="VCR7" s="25"/>
      <c r="VCY7" s="21"/>
      <c r="VCZ7" s="21"/>
      <c r="VDD7" s="15"/>
      <c r="VDJ7" s="25"/>
      <c r="VDQ7" s="21"/>
      <c r="VDR7" s="21"/>
      <c r="VDV7" s="15"/>
      <c r="VEB7" s="25"/>
      <c r="VEI7" s="21"/>
      <c r="VEJ7" s="21"/>
      <c r="VEN7" s="15"/>
      <c r="VET7" s="25"/>
      <c r="VFA7" s="21"/>
      <c r="VFB7" s="21"/>
      <c r="VFF7" s="15"/>
      <c r="VFL7" s="25"/>
      <c r="VFS7" s="21"/>
      <c r="VFT7" s="21"/>
      <c r="VFX7" s="15"/>
      <c r="VGD7" s="25"/>
      <c r="VGK7" s="21"/>
      <c r="VGL7" s="21"/>
      <c r="VGP7" s="15"/>
      <c r="VGV7" s="25"/>
      <c r="VHC7" s="21"/>
      <c r="VHD7" s="21"/>
      <c r="VHH7" s="15"/>
      <c r="VHN7" s="25"/>
      <c r="VHU7" s="21"/>
      <c r="VHV7" s="21"/>
      <c r="VHZ7" s="15"/>
      <c r="VIF7" s="25"/>
      <c r="VIM7" s="21"/>
      <c r="VIN7" s="21"/>
      <c r="VIR7" s="15"/>
      <c r="VIX7" s="25"/>
      <c r="VJE7" s="21"/>
      <c r="VJF7" s="21"/>
      <c r="VJJ7" s="15"/>
      <c r="VJP7" s="25"/>
      <c r="VJW7" s="21"/>
      <c r="VJX7" s="21"/>
      <c r="VKB7" s="15"/>
      <c r="VKH7" s="25"/>
      <c r="VKO7" s="21"/>
      <c r="VKP7" s="21"/>
      <c r="VKT7" s="15"/>
      <c r="VKZ7" s="25"/>
      <c r="VLG7" s="21"/>
      <c r="VLH7" s="21"/>
      <c r="VLL7" s="15"/>
      <c r="VLR7" s="25"/>
      <c r="VLY7" s="21"/>
      <c r="VLZ7" s="21"/>
      <c r="VMD7" s="15"/>
      <c r="VMJ7" s="25"/>
      <c r="VMQ7" s="21"/>
      <c r="VMR7" s="21"/>
      <c r="VMV7" s="15"/>
      <c r="VNB7" s="25"/>
      <c r="VNI7" s="21"/>
      <c r="VNJ7" s="21"/>
      <c r="VNN7" s="15"/>
      <c r="VNT7" s="25"/>
      <c r="VOA7" s="21"/>
      <c r="VOB7" s="21"/>
      <c r="VOF7" s="15"/>
      <c r="VOL7" s="25"/>
      <c r="VOS7" s="21"/>
      <c r="VOT7" s="21"/>
      <c r="VOX7" s="15"/>
      <c r="VPD7" s="25"/>
      <c r="VPK7" s="21"/>
      <c r="VPL7" s="21"/>
      <c r="VPP7" s="15"/>
      <c r="VPV7" s="25"/>
      <c r="VQC7" s="21"/>
      <c r="VQD7" s="21"/>
      <c r="VQH7" s="15"/>
      <c r="VQN7" s="25"/>
      <c r="VQU7" s="21"/>
      <c r="VQV7" s="21"/>
      <c r="VQZ7" s="15"/>
      <c r="VRF7" s="25"/>
      <c r="VRM7" s="21"/>
      <c r="VRN7" s="21"/>
      <c r="VRR7" s="15"/>
      <c r="VRX7" s="25"/>
      <c r="VSE7" s="21"/>
      <c r="VSF7" s="21"/>
      <c r="VSJ7" s="15"/>
      <c r="VSP7" s="25"/>
      <c r="VSW7" s="21"/>
      <c r="VSX7" s="21"/>
      <c r="VTB7" s="15"/>
      <c r="VTH7" s="25"/>
      <c r="VTO7" s="21"/>
      <c r="VTP7" s="21"/>
      <c r="VTT7" s="15"/>
      <c r="VTZ7" s="25"/>
      <c r="VUG7" s="21"/>
      <c r="VUH7" s="21"/>
      <c r="VUL7" s="15"/>
      <c r="VUR7" s="25"/>
      <c r="VUY7" s="21"/>
      <c r="VUZ7" s="21"/>
      <c r="VVD7" s="15"/>
      <c r="VVJ7" s="25"/>
      <c r="VVQ7" s="21"/>
      <c r="VVR7" s="21"/>
      <c r="VVV7" s="15"/>
      <c r="VWB7" s="25"/>
      <c r="VWI7" s="21"/>
      <c r="VWJ7" s="21"/>
      <c r="VWN7" s="15"/>
      <c r="VWT7" s="25"/>
      <c r="VXA7" s="21"/>
      <c r="VXB7" s="21"/>
      <c r="VXF7" s="15"/>
      <c r="VXL7" s="25"/>
      <c r="VXS7" s="21"/>
      <c r="VXT7" s="21"/>
      <c r="VXX7" s="15"/>
      <c r="VYD7" s="25"/>
      <c r="VYK7" s="21"/>
      <c r="VYL7" s="21"/>
      <c r="VYP7" s="15"/>
      <c r="VYV7" s="25"/>
      <c r="VZC7" s="21"/>
      <c r="VZD7" s="21"/>
      <c r="VZH7" s="15"/>
      <c r="VZN7" s="25"/>
      <c r="VZU7" s="21"/>
      <c r="VZV7" s="21"/>
      <c r="VZZ7" s="15"/>
      <c r="WAF7" s="25"/>
      <c r="WAM7" s="21"/>
      <c r="WAN7" s="21"/>
      <c r="WAR7" s="15"/>
      <c r="WAX7" s="25"/>
      <c r="WBE7" s="21"/>
      <c r="WBF7" s="21"/>
      <c r="WBJ7" s="15"/>
      <c r="WBP7" s="25"/>
      <c r="WBW7" s="21"/>
      <c r="WBX7" s="21"/>
      <c r="WCB7" s="15"/>
      <c r="WCH7" s="25"/>
      <c r="WCO7" s="21"/>
      <c r="WCP7" s="21"/>
      <c r="WCT7" s="15"/>
      <c r="WCZ7" s="25"/>
      <c r="WDG7" s="21"/>
      <c r="WDH7" s="21"/>
      <c r="WDL7" s="15"/>
      <c r="WDR7" s="25"/>
      <c r="WDY7" s="21"/>
      <c r="WDZ7" s="21"/>
      <c r="WED7" s="15"/>
      <c r="WEJ7" s="25"/>
      <c r="WEQ7" s="21"/>
      <c r="WER7" s="21"/>
      <c r="WEV7" s="15"/>
      <c r="WFB7" s="25"/>
      <c r="WFI7" s="21"/>
      <c r="WFJ7" s="21"/>
      <c r="WFN7" s="15"/>
      <c r="WFT7" s="25"/>
      <c r="WGA7" s="21"/>
      <c r="WGB7" s="21"/>
      <c r="WGF7" s="15"/>
      <c r="WGL7" s="25"/>
      <c r="WGS7" s="21"/>
      <c r="WGT7" s="21"/>
      <c r="WGX7" s="15"/>
      <c r="WHD7" s="25"/>
      <c r="WHK7" s="21"/>
      <c r="WHL7" s="21"/>
      <c r="WHP7" s="15"/>
      <c r="WHV7" s="25"/>
      <c r="WIC7" s="21"/>
      <c r="WID7" s="21"/>
      <c r="WIH7" s="15"/>
      <c r="WIN7" s="25"/>
      <c r="WIU7" s="21"/>
      <c r="WIV7" s="21"/>
      <c r="WIZ7" s="15"/>
      <c r="WJF7" s="25"/>
      <c r="WJM7" s="21"/>
      <c r="WJN7" s="21"/>
      <c r="WJR7" s="15"/>
      <c r="WJX7" s="25"/>
      <c r="WKE7" s="21"/>
      <c r="WKF7" s="21"/>
      <c r="WKJ7" s="15"/>
      <c r="WKP7" s="25"/>
      <c r="WKW7" s="21"/>
      <c r="WKX7" s="21"/>
      <c r="WLB7" s="15"/>
      <c r="WLH7" s="25"/>
      <c r="WLO7" s="21"/>
      <c r="WLP7" s="21"/>
      <c r="WLT7" s="15"/>
      <c r="WLZ7" s="25"/>
      <c r="WMG7" s="21"/>
      <c r="WMH7" s="21"/>
      <c r="WML7" s="15"/>
      <c r="WMR7" s="25"/>
      <c r="WMY7" s="21"/>
      <c r="WMZ7" s="21"/>
      <c r="WND7" s="15"/>
      <c r="WNJ7" s="25"/>
      <c r="WNQ7" s="21"/>
      <c r="WNR7" s="21"/>
      <c r="WNV7" s="15"/>
      <c r="WOB7" s="25"/>
      <c r="WOI7" s="21"/>
      <c r="WOJ7" s="21"/>
      <c r="WON7" s="15"/>
      <c r="WOT7" s="25"/>
      <c r="WPA7" s="21"/>
      <c r="WPB7" s="21"/>
      <c r="WPF7" s="15"/>
      <c r="WPL7" s="25"/>
      <c r="WPS7" s="21"/>
      <c r="WPT7" s="21"/>
      <c r="WPX7" s="15"/>
      <c r="WQD7" s="25"/>
      <c r="WQK7" s="21"/>
      <c r="WQL7" s="21"/>
      <c r="WQP7" s="15"/>
      <c r="WQV7" s="25"/>
      <c r="WRC7" s="21"/>
      <c r="WRD7" s="21"/>
      <c r="WRH7" s="15"/>
      <c r="WRN7" s="25"/>
      <c r="WRU7" s="21"/>
      <c r="WRV7" s="21"/>
      <c r="WRZ7" s="15"/>
      <c r="WSF7" s="25"/>
      <c r="WSM7" s="21"/>
      <c r="WSN7" s="21"/>
      <c r="WSR7" s="15"/>
      <c r="WSX7" s="25"/>
      <c r="WTE7" s="21"/>
      <c r="WTF7" s="21"/>
      <c r="WTJ7" s="15"/>
      <c r="WTP7" s="25"/>
      <c r="WTW7" s="21"/>
      <c r="WTX7" s="21"/>
      <c r="WUB7" s="15"/>
      <c r="WUH7" s="25"/>
      <c r="WUO7" s="21"/>
      <c r="WUP7" s="21"/>
      <c r="WUT7" s="15"/>
      <c r="WUZ7" s="25"/>
      <c r="WVG7" s="21"/>
      <c r="WVH7" s="21"/>
      <c r="WVL7" s="15"/>
      <c r="WVR7" s="25"/>
      <c r="WVY7" s="21"/>
      <c r="WVZ7" s="21"/>
      <c r="WWD7" s="15"/>
      <c r="WWJ7" s="25"/>
      <c r="WWQ7" s="21"/>
      <c r="WWR7" s="21"/>
      <c r="WWV7" s="15"/>
      <c r="WXB7" s="25"/>
      <c r="WXI7" s="21"/>
      <c r="WXJ7" s="21"/>
      <c r="WXN7" s="15"/>
      <c r="WXT7" s="25"/>
      <c r="WYA7" s="21"/>
      <c r="WYB7" s="21"/>
      <c r="WYF7" s="15"/>
      <c r="WYL7" s="25"/>
      <c r="WYS7" s="21"/>
      <c r="WYT7" s="21"/>
      <c r="WYX7" s="15"/>
      <c r="WZD7" s="25"/>
      <c r="WZK7" s="21"/>
      <c r="WZL7" s="21"/>
      <c r="WZP7" s="15"/>
      <c r="WZV7" s="25"/>
      <c r="XAC7" s="21"/>
      <c r="XAD7" s="21"/>
      <c r="XAH7" s="15"/>
      <c r="XAN7" s="25"/>
      <c r="XAU7" s="21"/>
      <c r="XAV7" s="21"/>
      <c r="XAZ7" s="15"/>
      <c r="XBF7" s="25"/>
      <c r="XBM7" s="21"/>
      <c r="XBN7" s="21"/>
      <c r="XBR7" s="15"/>
      <c r="XBX7" s="25"/>
      <c r="XCE7" s="21"/>
      <c r="XCF7" s="21"/>
      <c r="XCJ7" s="15"/>
      <c r="XCP7" s="25"/>
      <c r="XCW7" s="21"/>
      <c r="XCX7" s="21"/>
      <c r="XDB7" s="15"/>
      <c r="XDH7" s="25"/>
      <c r="XDO7" s="21"/>
      <c r="XDP7" s="21"/>
      <c r="XDT7" s="15"/>
      <c r="XDZ7" s="25"/>
      <c r="XEG7" s="21"/>
      <c r="XEH7" s="21"/>
      <c r="XEL7" s="15"/>
      <c r="XER7" s="25"/>
      <c r="XEY7" s="21"/>
      <c r="XEZ7" s="21"/>
      <c r="XFD7" s="15"/>
    </row>
    <row r="8" spans="1:1018 1025:2044 2051:3070 3077:4096 4103:5116 5122:6142 6148:7168 7174:8190 8194:9216 9220:10234 10241:11260 11267:12286 12293:13312 13319:14332 14338:15358 15364:16384" s="24" customFormat="1">
      <c r="A8" s="21" t="s">
        <v>43</v>
      </c>
      <c r="B8" s="12">
        <v>2010</v>
      </c>
      <c r="C8" s="22" t="s">
        <v>38</v>
      </c>
      <c r="D8" s="22" t="s">
        <v>39</v>
      </c>
      <c r="E8" s="10" t="s">
        <v>44</v>
      </c>
      <c r="F8" s="22" t="s">
        <v>35</v>
      </c>
      <c r="G8" s="18">
        <v>62819643</v>
      </c>
      <c r="H8" s="18">
        <v>61621520</v>
      </c>
      <c r="I8" s="12">
        <v>62</v>
      </c>
      <c r="J8" s="23" t="s">
        <v>45</v>
      </c>
      <c r="K8" s="12"/>
      <c r="L8" s="22"/>
      <c r="M8" s="22" t="s">
        <v>26</v>
      </c>
      <c r="N8" s="12"/>
      <c r="O8" s="22"/>
      <c r="P8" s="12"/>
      <c r="Q8" s="22" t="s">
        <v>27</v>
      </c>
      <c r="R8" s="22" t="s">
        <v>28</v>
      </c>
      <c r="V8" s="15"/>
      <c r="AB8" s="25"/>
      <c r="AI8" s="21"/>
      <c r="AJ8" s="21"/>
      <c r="AN8" s="15"/>
      <c r="AT8" s="25"/>
      <c r="BA8" s="21"/>
      <c r="BB8" s="21"/>
      <c r="BF8" s="15"/>
      <c r="BL8" s="25"/>
      <c r="BS8" s="21"/>
      <c r="BT8" s="21"/>
      <c r="BX8" s="15"/>
      <c r="CD8" s="25"/>
      <c r="CK8" s="21"/>
      <c r="CL8" s="21"/>
      <c r="CP8" s="15"/>
      <c r="CV8" s="25"/>
      <c r="DC8" s="21"/>
      <c r="DD8" s="21"/>
      <c r="DH8" s="15"/>
      <c r="DN8" s="25"/>
      <c r="DU8" s="21"/>
      <c r="DV8" s="21"/>
      <c r="DZ8" s="15"/>
      <c r="EF8" s="25"/>
      <c r="EM8" s="21"/>
      <c r="EN8" s="21"/>
      <c r="ER8" s="15"/>
      <c r="EX8" s="25"/>
      <c r="FE8" s="21"/>
      <c r="FF8" s="21"/>
      <c r="FJ8" s="15"/>
      <c r="FP8" s="25"/>
      <c r="FW8" s="21"/>
      <c r="FX8" s="21"/>
      <c r="GB8" s="15"/>
      <c r="GH8" s="25"/>
      <c r="GO8" s="21"/>
      <c r="GP8" s="21"/>
      <c r="GT8" s="15"/>
      <c r="GZ8" s="25"/>
      <c r="HG8" s="21"/>
      <c r="HH8" s="21"/>
      <c r="HL8" s="15"/>
      <c r="HR8" s="25"/>
      <c r="HY8" s="21"/>
      <c r="HZ8" s="21"/>
      <c r="ID8" s="15"/>
      <c r="IJ8" s="25"/>
      <c r="IQ8" s="21"/>
      <c r="IR8" s="21"/>
      <c r="IV8" s="15"/>
      <c r="JB8" s="25"/>
      <c r="JI8" s="21"/>
      <c r="JJ8" s="21"/>
      <c r="JN8" s="15"/>
      <c r="JT8" s="25"/>
      <c r="KA8" s="21"/>
      <c r="KB8" s="21"/>
      <c r="KF8" s="15"/>
      <c r="KL8" s="25"/>
      <c r="KS8" s="21"/>
      <c r="KT8" s="21"/>
      <c r="KX8" s="15"/>
      <c r="LD8" s="25"/>
      <c r="LK8" s="21"/>
      <c r="LL8" s="21"/>
      <c r="LP8" s="15"/>
      <c r="LV8" s="25"/>
      <c r="MC8" s="21"/>
      <c r="MD8" s="21"/>
      <c r="MH8" s="15"/>
      <c r="MN8" s="25"/>
      <c r="MU8" s="21"/>
      <c r="MV8" s="21"/>
      <c r="MZ8" s="15"/>
      <c r="NF8" s="25"/>
      <c r="NM8" s="21"/>
      <c r="NN8" s="21"/>
      <c r="NR8" s="15"/>
      <c r="NX8" s="25"/>
      <c r="OE8" s="21"/>
      <c r="OF8" s="21"/>
      <c r="OJ8" s="15"/>
      <c r="OP8" s="25"/>
      <c r="OW8" s="21"/>
      <c r="OX8" s="21"/>
      <c r="PB8" s="15"/>
      <c r="PH8" s="25"/>
      <c r="PO8" s="21"/>
      <c r="PP8" s="21"/>
      <c r="PT8" s="15"/>
      <c r="PZ8" s="25"/>
      <c r="QG8" s="21"/>
      <c r="QH8" s="21"/>
      <c r="QL8" s="15"/>
      <c r="QR8" s="25"/>
      <c r="QY8" s="21"/>
      <c r="QZ8" s="21"/>
      <c r="RD8" s="15"/>
      <c r="RJ8" s="25"/>
      <c r="RQ8" s="21"/>
      <c r="RR8" s="21"/>
      <c r="RV8" s="15"/>
      <c r="SB8" s="25"/>
      <c r="SI8" s="21"/>
      <c r="SJ8" s="21"/>
      <c r="SN8" s="15"/>
      <c r="ST8" s="25"/>
      <c r="TA8" s="21"/>
      <c r="TB8" s="21"/>
      <c r="TF8" s="15"/>
      <c r="TL8" s="25"/>
      <c r="TS8" s="21"/>
      <c r="TT8" s="21"/>
      <c r="TX8" s="15"/>
      <c r="UD8" s="25"/>
      <c r="UK8" s="21"/>
      <c r="UL8" s="21"/>
      <c r="UP8" s="15"/>
      <c r="UV8" s="25"/>
      <c r="VC8" s="21"/>
      <c r="VD8" s="21"/>
      <c r="VH8" s="15"/>
      <c r="VN8" s="25"/>
      <c r="VU8" s="21"/>
      <c r="VV8" s="21"/>
      <c r="VZ8" s="15"/>
      <c r="WF8" s="25"/>
      <c r="WM8" s="21"/>
      <c r="WN8" s="21"/>
      <c r="WR8" s="15"/>
      <c r="WX8" s="25"/>
      <c r="XE8" s="21"/>
      <c r="XF8" s="21"/>
      <c r="XJ8" s="15"/>
      <c r="XP8" s="25"/>
      <c r="XW8" s="21"/>
      <c r="XX8" s="21"/>
      <c r="YB8" s="15"/>
      <c r="YH8" s="25"/>
      <c r="YO8" s="21"/>
      <c r="YP8" s="21"/>
      <c r="YT8" s="15"/>
      <c r="YZ8" s="25"/>
      <c r="ZG8" s="21"/>
      <c r="ZH8" s="21"/>
      <c r="ZL8" s="15"/>
      <c r="ZR8" s="25"/>
      <c r="ZY8" s="21"/>
      <c r="ZZ8" s="21"/>
      <c r="AAD8" s="15"/>
      <c r="AAJ8" s="25"/>
      <c r="AAQ8" s="21"/>
      <c r="AAR8" s="21"/>
      <c r="AAV8" s="15"/>
      <c r="ABB8" s="25"/>
      <c r="ABI8" s="21"/>
      <c r="ABJ8" s="21"/>
      <c r="ABN8" s="15"/>
      <c r="ABT8" s="25"/>
      <c r="ACA8" s="21"/>
      <c r="ACB8" s="21"/>
      <c r="ACF8" s="15"/>
      <c r="ACL8" s="25"/>
      <c r="ACS8" s="21"/>
      <c r="ACT8" s="21"/>
      <c r="ACX8" s="15"/>
      <c r="ADD8" s="25"/>
      <c r="ADK8" s="21"/>
      <c r="ADL8" s="21"/>
      <c r="ADP8" s="15"/>
      <c r="ADV8" s="25"/>
      <c r="AEC8" s="21"/>
      <c r="AED8" s="21"/>
      <c r="AEH8" s="15"/>
      <c r="AEN8" s="25"/>
      <c r="AEU8" s="21"/>
      <c r="AEV8" s="21"/>
      <c r="AEZ8" s="15"/>
      <c r="AFF8" s="25"/>
      <c r="AFM8" s="21"/>
      <c r="AFN8" s="21"/>
      <c r="AFR8" s="15"/>
      <c r="AFX8" s="25"/>
      <c r="AGE8" s="21"/>
      <c r="AGF8" s="21"/>
      <c r="AGJ8" s="15"/>
      <c r="AGP8" s="25"/>
      <c r="AGW8" s="21"/>
      <c r="AGX8" s="21"/>
      <c r="AHB8" s="15"/>
      <c r="AHH8" s="25"/>
      <c r="AHO8" s="21"/>
      <c r="AHP8" s="21"/>
      <c r="AHT8" s="15"/>
      <c r="AHZ8" s="25"/>
      <c r="AIG8" s="21"/>
      <c r="AIH8" s="21"/>
      <c r="AIL8" s="15"/>
      <c r="AIR8" s="25"/>
      <c r="AIY8" s="21"/>
      <c r="AIZ8" s="21"/>
      <c r="AJD8" s="15"/>
      <c r="AJJ8" s="25"/>
      <c r="AJQ8" s="21"/>
      <c r="AJR8" s="21"/>
      <c r="AJV8" s="15"/>
      <c r="AKB8" s="25"/>
      <c r="AKI8" s="21"/>
      <c r="AKJ8" s="21"/>
      <c r="AKN8" s="15"/>
      <c r="AKT8" s="25"/>
      <c r="ALA8" s="21"/>
      <c r="ALB8" s="21"/>
      <c r="ALF8" s="15"/>
      <c r="ALL8" s="25"/>
      <c r="ALS8" s="21"/>
      <c r="ALT8" s="21"/>
      <c r="ALX8" s="15"/>
      <c r="AMD8" s="25"/>
      <c r="AMK8" s="21"/>
      <c r="AML8" s="21"/>
      <c r="AMP8" s="15"/>
      <c r="AMV8" s="25"/>
      <c r="ANC8" s="21"/>
      <c r="AND8" s="21"/>
      <c r="ANH8" s="15"/>
      <c r="ANN8" s="25"/>
      <c r="ANU8" s="21"/>
      <c r="ANV8" s="21"/>
      <c r="ANZ8" s="15"/>
      <c r="AOF8" s="25"/>
      <c r="AOM8" s="21"/>
      <c r="AON8" s="21"/>
      <c r="AOR8" s="15"/>
      <c r="AOX8" s="25"/>
      <c r="APE8" s="21"/>
      <c r="APF8" s="21"/>
      <c r="APJ8" s="15"/>
      <c r="APP8" s="25"/>
      <c r="APW8" s="21"/>
      <c r="APX8" s="21"/>
      <c r="AQB8" s="15"/>
      <c r="AQH8" s="25"/>
      <c r="AQO8" s="21"/>
      <c r="AQP8" s="21"/>
      <c r="AQT8" s="15"/>
      <c r="AQZ8" s="25"/>
      <c r="ARG8" s="21"/>
      <c r="ARH8" s="21"/>
      <c r="ARL8" s="15"/>
      <c r="ARR8" s="25"/>
      <c r="ARY8" s="21"/>
      <c r="ARZ8" s="21"/>
      <c r="ASD8" s="15"/>
      <c r="ASJ8" s="25"/>
      <c r="ASQ8" s="21"/>
      <c r="ASR8" s="21"/>
      <c r="ASV8" s="15"/>
      <c r="ATB8" s="25"/>
      <c r="ATI8" s="21"/>
      <c r="ATJ8" s="21"/>
      <c r="ATN8" s="15"/>
      <c r="ATT8" s="25"/>
      <c r="AUA8" s="21"/>
      <c r="AUB8" s="21"/>
      <c r="AUF8" s="15"/>
      <c r="AUL8" s="25"/>
      <c r="AUS8" s="21"/>
      <c r="AUT8" s="21"/>
      <c r="AUX8" s="15"/>
      <c r="AVD8" s="25"/>
      <c r="AVK8" s="21"/>
      <c r="AVL8" s="21"/>
      <c r="AVP8" s="15"/>
      <c r="AVV8" s="25"/>
      <c r="AWC8" s="21"/>
      <c r="AWD8" s="21"/>
      <c r="AWH8" s="15"/>
      <c r="AWN8" s="25"/>
      <c r="AWU8" s="21"/>
      <c r="AWV8" s="21"/>
      <c r="AWZ8" s="15"/>
      <c r="AXF8" s="25"/>
      <c r="AXM8" s="21"/>
      <c r="AXN8" s="21"/>
      <c r="AXR8" s="15"/>
      <c r="AXX8" s="25"/>
      <c r="AYE8" s="21"/>
      <c r="AYF8" s="21"/>
      <c r="AYJ8" s="15"/>
      <c r="AYP8" s="25"/>
      <c r="AYW8" s="21"/>
      <c r="AYX8" s="21"/>
      <c r="AZB8" s="15"/>
      <c r="AZH8" s="25"/>
      <c r="AZO8" s="21"/>
      <c r="AZP8" s="21"/>
      <c r="AZT8" s="15"/>
      <c r="AZZ8" s="25"/>
      <c r="BAG8" s="21"/>
      <c r="BAH8" s="21"/>
      <c r="BAL8" s="15"/>
      <c r="BAR8" s="25"/>
      <c r="BAY8" s="21"/>
      <c r="BAZ8" s="21"/>
      <c r="BBD8" s="15"/>
      <c r="BBJ8" s="25"/>
      <c r="BBQ8" s="21"/>
      <c r="BBR8" s="21"/>
      <c r="BBV8" s="15"/>
      <c r="BCB8" s="25"/>
      <c r="BCI8" s="21"/>
      <c r="BCJ8" s="21"/>
      <c r="BCN8" s="15"/>
      <c r="BCT8" s="25"/>
      <c r="BDA8" s="21"/>
      <c r="BDB8" s="21"/>
      <c r="BDF8" s="15"/>
      <c r="BDL8" s="25"/>
      <c r="BDS8" s="21"/>
      <c r="BDT8" s="21"/>
      <c r="BDX8" s="15"/>
      <c r="BED8" s="25"/>
      <c r="BEK8" s="21"/>
      <c r="BEL8" s="21"/>
      <c r="BEP8" s="15"/>
      <c r="BEV8" s="25"/>
      <c r="BFC8" s="21"/>
      <c r="BFD8" s="21"/>
      <c r="BFH8" s="15"/>
      <c r="BFN8" s="25"/>
      <c r="BFU8" s="21"/>
      <c r="BFV8" s="21"/>
      <c r="BFZ8" s="15"/>
      <c r="BGF8" s="25"/>
      <c r="BGM8" s="21"/>
      <c r="BGN8" s="21"/>
      <c r="BGR8" s="15"/>
      <c r="BGX8" s="25"/>
      <c r="BHE8" s="21"/>
      <c r="BHF8" s="21"/>
      <c r="BHJ8" s="15"/>
      <c r="BHP8" s="25"/>
      <c r="BHW8" s="21"/>
      <c r="BHX8" s="21"/>
      <c r="BIB8" s="15"/>
      <c r="BIH8" s="25"/>
      <c r="BIO8" s="21"/>
      <c r="BIP8" s="21"/>
      <c r="BIT8" s="15"/>
      <c r="BIZ8" s="25"/>
      <c r="BJG8" s="21"/>
      <c r="BJH8" s="21"/>
      <c r="BJL8" s="15"/>
      <c r="BJR8" s="25"/>
      <c r="BJY8" s="21"/>
      <c r="BJZ8" s="21"/>
      <c r="BKD8" s="15"/>
      <c r="BKJ8" s="25"/>
      <c r="BKQ8" s="21"/>
      <c r="BKR8" s="21"/>
      <c r="BKV8" s="15"/>
      <c r="BLB8" s="25"/>
      <c r="BLI8" s="21"/>
      <c r="BLJ8" s="21"/>
      <c r="BLN8" s="15"/>
      <c r="BLT8" s="25"/>
      <c r="BMA8" s="21"/>
      <c r="BMB8" s="21"/>
      <c r="BMF8" s="15"/>
      <c r="BML8" s="25"/>
      <c r="BMS8" s="21"/>
      <c r="BMT8" s="21"/>
      <c r="BMX8" s="15"/>
      <c r="BND8" s="25"/>
      <c r="BNK8" s="21"/>
      <c r="BNL8" s="21"/>
      <c r="BNP8" s="15"/>
      <c r="BNV8" s="25"/>
      <c r="BOC8" s="21"/>
      <c r="BOD8" s="21"/>
      <c r="BOH8" s="15"/>
      <c r="BON8" s="25"/>
      <c r="BOU8" s="21"/>
      <c r="BOV8" s="21"/>
      <c r="BOZ8" s="15"/>
      <c r="BPF8" s="25"/>
      <c r="BPM8" s="21"/>
      <c r="BPN8" s="21"/>
      <c r="BPR8" s="15"/>
      <c r="BPX8" s="25"/>
      <c r="BQE8" s="21"/>
      <c r="BQF8" s="21"/>
      <c r="BQJ8" s="15"/>
      <c r="BQP8" s="25"/>
      <c r="BQW8" s="21"/>
      <c r="BQX8" s="21"/>
      <c r="BRB8" s="15"/>
      <c r="BRH8" s="25"/>
      <c r="BRO8" s="21"/>
      <c r="BRP8" s="21"/>
      <c r="BRT8" s="15"/>
      <c r="BRZ8" s="25"/>
      <c r="BSG8" s="21"/>
      <c r="BSH8" s="21"/>
      <c r="BSL8" s="15"/>
      <c r="BSR8" s="25"/>
      <c r="BSY8" s="21"/>
      <c r="BSZ8" s="21"/>
      <c r="BTD8" s="15"/>
      <c r="BTJ8" s="25"/>
      <c r="BTQ8" s="21"/>
      <c r="BTR8" s="21"/>
      <c r="BTV8" s="15"/>
      <c r="BUB8" s="25"/>
      <c r="BUI8" s="21"/>
      <c r="BUJ8" s="21"/>
      <c r="BUN8" s="15"/>
      <c r="BUT8" s="25"/>
      <c r="BVA8" s="21"/>
      <c r="BVB8" s="21"/>
      <c r="BVF8" s="15"/>
      <c r="BVL8" s="25"/>
      <c r="BVS8" s="21"/>
      <c r="BVT8" s="21"/>
      <c r="BVX8" s="15"/>
      <c r="BWD8" s="25"/>
      <c r="BWK8" s="21"/>
      <c r="BWL8" s="21"/>
      <c r="BWP8" s="15"/>
      <c r="BWV8" s="25"/>
      <c r="BXC8" s="21"/>
      <c r="BXD8" s="21"/>
      <c r="BXH8" s="15"/>
      <c r="BXN8" s="25"/>
      <c r="BXU8" s="21"/>
      <c r="BXV8" s="21"/>
      <c r="BXZ8" s="15"/>
      <c r="BYF8" s="25"/>
      <c r="BYM8" s="21"/>
      <c r="BYN8" s="21"/>
      <c r="BYR8" s="15"/>
      <c r="BYX8" s="25"/>
      <c r="BZE8" s="21"/>
      <c r="BZF8" s="21"/>
      <c r="BZJ8" s="15"/>
      <c r="BZP8" s="25"/>
      <c r="BZW8" s="21"/>
      <c r="BZX8" s="21"/>
      <c r="CAB8" s="15"/>
      <c r="CAH8" s="25"/>
      <c r="CAO8" s="21"/>
      <c r="CAP8" s="21"/>
      <c r="CAT8" s="15"/>
      <c r="CAZ8" s="25"/>
      <c r="CBG8" s="21"/>
      <c r="CBH8" s="21"/>
      <c r="CBL8" s="15"/>
      <c r="CBR8" s="25"/>
      <c r="CBY8" s="21"/>
      <c r="CBZ8" s="21"/>
      <c r="CCD8" s="15"/>
      <c r="CCJ8" s="25"/>
      <c r="CCQ8" s="21"/>
      <c r="CCR8" s="21"/>
      <c r="CCV8" s="15"/>
      <c r="CDB8" s="25"/>
      <c r="CDI8" s="21"/>
      <c r="CDJ8" s="21"/>
      <c r="CDN8" s="15"/>
      <c r="CDT8" s="25"/>
      <c r="CEA8" s="21"/>
      <c r="CEB8" s="21"/>
      <c r="CEF8" s="15"/>
      <c r="CEL8" s="25"/>
      <c r="CES8" s="21"/>
      <c r="CET8" s="21"/>
      <c r="CEX8" s="15"/>
      <c r="CFD8" s="25"/>
      <c r="CFK8" s="21"/>
      <c r="CFL8" s="21"/>
      <c r="CFP8" s="15"/>
      <c r="CFV8" s="25"/>
      <c r="CGC8" s="21"/>
      <c r="CGD8" s="21"/>
      <c r="CGH8" s="15"/>
      <c r="CGN8" s="25"/>
      <c r="CGU8" s="21"/>
      <c r="CGV8" s="21"/>
      <c r="CGZ8" s="15"/>
      <c r="CHF8" s="25"/>
      <c r="CHM8" s="21"/>
      <c r="CHN8" s="21"/>
      <c r="CHR8" s="15"/>
      <c r="CHX8" s="25"/>
      <c r="CIE8" s="21"/>
      <c r="CIF8" s="21"/>
      <c r="CIJ8" s="15"/>
      <c r="CIP8" s="25"/>
      <c r="CIW8" s="21"/>
      <c r="CIX8" s="21"/>
      <c r="CJB8" s="15"/>
      <c r="CJH8" s="25"/>
      <c r="CJO8" s="21"/>
      <c r="CJP8" s="21"/>
      <c r="CJT8" s="15"/>
      <c r="CJZ8" s="25"/>
      <c r="CKG8" s="21"/>
      <c r="CKH8" s="21"/>
      <c r="CKL8" s="15"/>
      <c r="CKR8" s="25"/>
      <c r="CKY8" s="21"/>
      <c r="CKZ8" s="21"/>
      <c r="CLD8" s="15"/>
      <c r="CLJ8" s="25"/>
      <c r="CLQ8" s="21"/>
      <c r="CLR8" s="21"/>
      <c r="CLV8" s="15"/>
      <c r="CMB8" s="25"/>
      <c r="CMI8" s="21"/>
      <c r="CMJ8" s="21"/>
      <c r="CMN8" s="15"/>
      <c r="CMT8" s="25"/>
      <c r="CNA8" s="21"/>
      <c r="CNB8" s="21"/>
      <c r="CNF8" s="15"/>
      <c r="CNL8" s="25"/>
      <c r="CNS8" s="21"/>
      <c r="CNT8" s="21"/>
      <c r="CNX8" s="15"/>
      <c r="COD8" s="25"/>
      <c r="COK8" s="21"/>
      <c r="COL8" s="21"/>
      <c r="COP8" s="15"/>
      <c r="COV8" s="25"/>
      <c r="CPC8" s="21"/>
      <c r="CPD8" s="21"/>
      <c r="CPH8" s="15"/>
      <c r="CPN8" s="25"/>
      <c r="CPU8" s="21"/>
      <c r="CPV8" s="21"/>
      <c r="CPZ8" s="15"/>
      <c r="CQF8" s="25"/>
      <c r="CQM8" s="21"/>
      <c r="CQN8" s="21"/>
      <c r="CQR8" s="15"/>
      <c r="CQX8" s="25"/>
      <c r="CRE8" s="21"/>
      <c r="CRF8" s="21"/>
      <c r="CRJ8" s="15"/>
      <c r="CRP8" s="25"/>
      <c r="CRW8" s="21"/>
      <c r="CRX8" s="21"/>
      <c r="CSB8" s="15"/>
      <c r="CSH8" s="25"/>
      <c r="CSO8" s="21"/>
      <c r="CSP8" s="21"/>
      <c r="CST8" s="15"/>
      <c r="CSZ8" s="25"/>
      <c r="CTG8" s="21"/>
      <c r="CTH8" s="21"/>
      <c r="CTL8" s="15"/>
      <c r="CTR8" s="25"/>
      <c r="CTY8" s="21"/>
      <c r="CTZ8" s="21"/>
      <c r="CUD8" s="15"/>
      <c r="CUJ8" s="25"/>
      <c r="CUQ8" s="21"/>
      <c r="CUR8" s="21"/>
      <c r="CUV8" s="15"/>
      <c r="CVB8" s="25"/>
      <c r="CVI8" s="21"/>
      <c r="CVJ8" s="21"/>
      <c r="CVN8" s="15"/>
      <c r="CVT8" s="25"/>
      <c r="CWA8" s="21"/>
      <c r="CWB8" s="21"/>
      <c r="CWF8" s="15"/>
      <c r="CWL8" s="25"/>
      <c r="CWS8" s="21"/>
      <c r="CWT8" s="21"/>
      <c r="CWX8" s="15"/>
      <c r="CXD8" s="25"/>
      <c r="CXK8" s="21"/>
      <c r="CXL8" s="21"/>
      <c r="CXP8" s="15"/>
      <c r="CXV8" s="25"/>
      <c r="CYC8" s="21"/>
      <c r="CYD8" s="21"/>
      <c r="CYH8" s="15"/>
      <c r="CYN8" s="25"/>
      <c r="CYU8" s="21"/>
      <c r="CYV8" s="21"/>
      <c r="CYZ8" s="15"/>
      <c r="CZF8" s="25"/>
      <c r="CZM8" s="21"/>
      <c r="CZN8" s="21"/>
      <c r="CZR8" s="15"/>
      <c r="CZX8" s="25"/>
      <c r="DAE8" s="21"/>
      <c r="DAF8" s="21"/>
      <c r="DAJ8" s="15"/>
      <c r="DAP8" s="25"/>
      <c r="DAW8" s="21"/>
      <c r="DAX8" s="21"/>
      <c r="DBB8" s="15"/>
      <c r="DBH8" s="25"/>
      <c r="DBO8" s="21"/>
      <c r="DBP8" s="21"/>
      <c r="DBT8" s="15"/>
      <c r="DBZ8" s="25"/>
      <c r="DCG8" s="21"/>
      <c r="DCH8" s="21"/>
      <c r="DCL8" s="15"/>
      <c r="DCR8" s="25"/>
      <c r="DCY8" s="21"/>
      <c r="DCZ8" s="21"/>
      <c r="DDD8" s="15"/>
      <c r="DDJ8" s="25"/>
      <c r="DDQ8" s="21"/>
      <c r="DDR8" s="21"/>
      <c r="DDV8" s="15"/>
      <c r="DEB8" s="25"/>
      <c r="DEI8" s="21"/>
      <c r="DEJ8" s="21"/>
      <c r="DEN8" s="15"/>
      <c r="DET8" s="25"/>
      <c r="DFA8" s="21"/>
      <c r="DFB8" s="21"/>
      <c r="DFF8" s="15"/>
      <c r="DFL8" s="25"/>
      <c r="DFS8" s="21"/>
      <c r="DFT8" s="21"/>
      <c r="DFX8" s="15"/>
      <c r="DGD8" s="25"/>
      <c r="DGK8" s="21"/>
      <c r="DGL8" s="21"/>
      <c r="DGP8" s="15"/>
      <c r="DGV8" s="25"/>
      <c r="DHC8" s="21"/>
      <c r="DHD8" s="21"/>
      <c r="DHH8" s="15"/>
      <c r="DHN8" s="25"/>
      <c r="DHU8" s="21"/>
      <c r="DHV8" s="21"/>
      <c r="DHZ8" s="15"/>
      <c r="DIF8" s="25"/>
      <c r="DIM8" s="21"/>
      <c r="DIN8" s="21"/>
      <c r="DIR8" s="15"/>
      <c r="DIX8" s="25"/>
      <c r="DJE8" s="21"/>
      <c r="DJF8" s="21"/>
      <c r="DJJ8" s="15"/>
      <c r="DJP8" s="25"/>
      <c r="DJW8" s="21"/>
      <c r="DJX8" s="21"/>
      <c r="DKB8" s="15"/>
      <c r="DKH8" s="25"/>
      <c r="DKO8" s="21"/>
      <c r="DKP8" s="21"/>
      <c r="DKT8" s="15"/>
      <c r="DKZ8" s="25"/>
      <c r="DLG8" s="21"/>
      <c r="DLH8" s="21"/>
      <c r="DLL8" s="15"/>
      <c r="DLR8" s="25"/>
      <c r="DLY8" s="21"/>
      <c r="DLZ8" s="21"/>
      <c r="DMD8" s="15"/>
      <c r="DMJ8" s="25"/>
      <c r="DMQ8" s="21"/>
      <c r="DMR8" s="21"/>
      <c r="DMV8" s="15"/>
      <c r="DNB8" s="25"/>
      <c r="DNI8" s="21"/>
      <c r="DNJ8" s="21"/>
      <c r="DNN8" s="15"/>
      <c r="DNT8" s="25"/>
      <c r="DOA8" s="21"/>
      <c r="DOB8" s="21"/>
      <c r="DOF8" s="15"/>
      <c r="DOL8" s="25"/>
      <c r="DOS8" s="21"/>
      <c r="DOT8" s="21"/>
      <c r="DOX8" s="15"/>
      <c r="DPD8" s="25"/>
      <c r="DPK8" s="21"/>
      <c r="DPL8" s="21"/>
      <c r="DPP8" s="15"/>
      <c r="DPV8" s="25"/>
      <c r="DQC8" s="21"/>
      <c r="DQD8" s="21"/>
      <c r="DQH8" s="15"/>
      <c r="DQN8" s="25"/>
      <c r="DQU8" s="21"/>
      <c r="DQV8" s="21"/>
      <c r="DQZ8" s="15"/>
      <c r="DRF8" s="25"/>
      <c r="DRM8" s="21"/>
      <c r="DRN8" s="21"/>
      <c r="DRR8" s="15"/>
      <c r="DRX8" s="25"/>
      <c r="DSE8" s="21"/>
      <c r="DSF8" s="21"/>
      <c r="DSJ8" s="15"/>
      <c r="DSP8" s="25"/>
      <c r="DSW8" s="21"/>
      <c r="DSX8" s="21"/>
      <c r="DTB8" s="15"/>
      <c r="DTH8" s="25"/>
      <c r="DTO8" s="21"/>
      <c r="DTP8" s="21"/>
      <c r="DTT8" s="15"/>
      <c r="DTZ8" s="25"/>
      <c r="DUG8" s="21"/>
      <c r="DUH8" s="21"/>
      <c r="DUL8" s="15"/>
      <c r="DUR8" s="25"/>
      <c r="DUY8" s="21"/>
      <c r="DUZ8" s="21"/>
      <c r="DVD8" s="15"/>
      <c r="DVJ8" s="25"/>
      <c r="DVQ8" s="21"/>
      <c r="DVR8" s="21"/>
      <c r="DVV8" s="15"/>
      <c r="DWB8" s="25"/>
      <c r="DWI8" s="21"/>
      <c r="DWJ8" s="21"/>
      <c r="DWN8" s="15"/>
      <c r="DWT8" s="25"/>
      <c r="DXA8" s="21"/>
      <c r="DXB8" s="21"/>
      <c r="DXF8" s="15"/>
      <c r="DXL8" s="25"/>
      <c r="DXS8" s="21"/>
      <c r="DXT8" s="21"/>
      <c r="DXX8" s="15"/>
      <c r="DYD8" s="25"/>
      <c r="DYK8" s="21"/>
      <c r="DYL8" s="21"/>
      <c r="DYP8" s="15"/>
      <c r="DYV8" s="25"/>
      <c r="DZC8" s="21"/>
      <c r="DZD8" s="21"/>
      <c r="DZH8" s="15"/>
      <c r="DZN8" s="25"/>
      <c r="DZU8" s="21"/>
      <c r="DZV8" s="21"/>
      <c r="DZZ8" s="15"/>
      <c r="EAF8" s="25"/>
      <c r="EAM8" s="21"/>
      <c r="EAN8" s="21"/>
      <c r="EAR8" s="15"/>
      <c r="EAX8" s="25"/>
      <c r="EBE8" s="21"/>
      <c r="EBF8" s="21"/>
      <c r="EBJ8" s="15"/>
      <c r="EBP8" s="25"/>
      <c r="EBW8" s="21"/>
      <c r="EBX8" s="21"/>
      <c r="ECB8" s="15"/>
      <c r="ECH8" s="25"/>
      <c r="ECO8" s="21"/>
      <c r="ECP8" s="21"/>
      <c r="ECT8" s="15"/>
      <c r="ECZ8" s="25"/>
      <c r="EDG8" s="21"/>
      <c r="EDH8" s="21"/>
      <c r="EDL8" s="15"/>
      <c r="EDR8" s="25"/>
      <c r="EDY8" s="21"/>
      <c r="EDZ8" s="21"/>
      <c r="EED8" s="15"/>
      <c r="EEJ8" s="25"/>
      <c r="EEQ8" s="21"/>
      <c r="EER8" s="21"/>
      <c r="EEV8" s="15"/>
      <c r="EFB8" s="25"/>
      <c r="EFI8" s="21"/>
      <c r="EFJ8" s="21"/>
      <c r="EFN8" s="15"/>
      <c r="EFT8" s="25"/>
      <c r="EGA8" s="21"/>
      <c r="EGB8" s="21"/>
      <c r="EGF8" s="15"/>
      <c r="EGL8" s="25"/>
      <c r="EGS8" s="21"/>
      <c r="EGT8" s="21"/>
      <c r="EGX8" s="15"/>
      <c r="EHD8" s="25"/>
      <c r="EHK8" s="21"/>
      <c r="EHL8" s="21"/>
      <c r="EHP8" s="15"/>
      <c r="EHV8" s="25"/>
      <c r="EIC8" s="21"/>
      <c r="EID8" s="21"/>
      <c r="EIH8" s="15"/>
      <c r="EIN8" s="25"/>
      <c r="EIU8" s="21"/>
      <c r="EIV8" s="21"/>
      <c r="EIZ8" s="15"/>
      <c r="EJF8" s="25"/>
      <c r="EJM8" s="21"/>
      <c r="EJN8" s="21"/>
      <c r="EJR8" s="15"/>
      <c r="EJX8" s="25"/>
      <c r="EKE8" s="21"/>
      <c r="EKF8" s="21"/>
      <c r="EKJ8" s="15"/>
      <c r="EKP8" s="25"/>
      <c r="EKW8" s="21"/>
      <c r="EKX8" s="21"/>
      <c r="ELB8" s="15"/>
      <c r="ELH8" s="25"/>
      <c r="ELO8" s="21"/>
      <c r="ELP8" s="21"/>
      <c r="ELT8" s="15"/>
      <c r="ELZ8" s="25"/>
      <c r="EMG8" s="21"/>
      <c r="EMH8" s="21"/>
      <c r="EML8" s="15"/>
      <c r="EMR8" s="25"/>
      <c r="EMY8" s="21"/>
      <c r="EMZ8" s="21"/>
      <c r="END8" s="15"/>
      <c r="ENJ8" s="25"/>
      <c r="ENQ8" s="21"/>
      <c r="ENR8" s="21"/>
      <c r="ENV8" s="15"/>
      <c r="EOB8" s="25"/>
      <c r="EOI8" s="21"/>
      <c r="EOJ8" s="21"/>
      <c r="EON8" s="15"/>
      <c r="EOT8" s="25"/>
      <c r="EPA8" s="21"/>
      <c r="EPB8" s="21"/>
      <c r="EPF8" s="15"/>
      <c r="EPL8" s="25"/>
      <c r="EPS8" s="21"/>
      <c r="EPT8" s="21"/>
      <c r="EPX8" s="15"/>
      <c r="EQD8" s="25"/>
      <c r="EQK8" s="21"/>
      <c r="EQL8" s="21"/>
      <c r="EQP8" s="15"/>
      <c r="EQV8" s="25"/>
      <c r="ERC8" s="21"/>
      <c r="ERD8" s="21"/>
      <c r="ERH8" s="15"/>
      <c r="ERN8" s="25"/>
      <c r="ERU8" s="21"/>
      <c r="ERV8" s="21"/>
      <c r="ERZ8" s="15"/>
      <c r="ESF8" s="25"/>
      <c r="ESM8" s="21"/>
      <c r="ESN8" s="21"/>
      <c r="ESR8" s="15"/>
      <c r="ESX8" s="25"/>
      <c r="ETE8" s="21"/>
      <c r="ETF8" s="21"/>
      <c r="ETJ8" s="15"/>
      <c r="ETP8" s="25"/>
      <c r="ETW8" s="21"/>
      <c r="ETX8" s="21"/>
      <c r="EUB8" s="15"/>
      <c r="EUH8" s="25"/>
      <c r="EUO8" s="21"/>
      <c r="EUP8" s="21"/>
      <c r="EUT8" s="15"/>
      <c r="EUZ8" s="25"/>
      <c r="EVG8" s="21"/>
      <c r="EVH8" s="21"/>
      <c r="EVL8" s="15"/>
      <c r="EVR8" s="25"/>
      <c r="EVY8" s="21"/>
      <c r="EVZ8" s="21"/>
      <c r="EWD8" s="15"/>
      <c r="EWJ8" s="25"/>
      <c r="EWQ8" s="21"/>
      <c r="EWR8" s="21"/>
      <c r="EWV8" s="15"/>
      <c r="EXB8" s="25"/>
      <c r="EXI8" s="21"/>
      <c r="EXJ8" s="21"/>
      <c r="EXN8" s="15"/>
      <c r="EXT8" s="25"/>
      <c r="EYA8" s="21"/>
      <c r="EYB8" s="21"/>
      <c r="EYF8" s="15"/>
      <c r="EYL8" s="25"/>
      <c r="EYS8" s="21"/>
      <c r="EYT8" s="21"/>
      <c r="EYX8" s="15"/>
      <c r="EZD8" s="25"/>
      <c r="EZK8" s="21"/>
      <c r="EZL8" s="21"/>
      <c r="EZP8" s="15"/>
      <c r="EZV8" s="25"/>
      <c r="FAC8" s="21"/>
      <c r="FAD8" s="21"/>
      <c r="FAH8" s="15"/>
      <c r="FAN8" s="25"/>
      <c r="FAU8" s="21"/>
      <c r="FAV8" s="21"/>
      <c r="FAZ8" s="15"/>
      <c r="FBF8" s="25"/>
      <c r="FBM8" s="21"/>
      <c r="FBN8" s="21"/>
      <c r="FBR8" s="15"/>
      <c r="FBX8" s="25"/>
      <c r="FCE8" s="21"/>
      <c r="FCF8" s="21"/>
      <c r="FCJ8" s="15"/>
      <c r="FCP8" s="25"/>
      <c r="FCW8" s="21"/>
      <c r="FCX8" s="21"/>
      <c r="FDB8" s="15"/>
      <c r="FDH8" s="25"/>
      <c r="FDO8" s="21"/>
      <c r="FDP8" s="21"/>
      <c r="FDT8" s="15"/>
      <c r="FDZ8" s="25"/>
      <c r="FEG8" s="21"/>
      <c r="FEH8" s="21"/>
      <c r="FEL8" s="15"/>
      <c r="FER8" s="25"/>
      <c r="FEY8" s="21"/>
      <c r="FEZ8" s="21"/>
      <c r="FFD8" s="15"/>
      <c r="FFJ8" s="25"/>
      <c r="FFQ8" s="21"/>
      <c r="FFR8" s="21"/>
      <c r="FFV8" s="15"/>
      <c r="FGB8" s="25"/>
      <c r="FGI8" s="21"/>
      <c r="FGJ8" s="21"/>
      <c r="FGN8" s="15"/>
      <c r="FGT8" s="25"/>
      <c r="FHA8" s="21"/>
      <c r="FHB8" s="21"/>
      <c r="FHF8" s="15"/>
      <c r="FHL8" s="25"/>
      <c r="FHS8" s="21"/>
      <c r="FHT8" s="21"/>
      <c r="FHX8" s="15"/>
      <c r="FID8" s="25"/>
      <c r="FIK8" s="21"/>
      <c r="FIL8" s="21"/>
      <c r="FIP8" s="15"/>
      <c r="FIV8" s="25"/>
      <c r="FJC8" s="21"/>
      <c r="FJD8" s="21"/>
      <c r="FJH8" s="15"/>
      <c r="FJN8" s="25"/>
      <c r="FJU8" s="21"/>
      <c r="FJV8" s="21"/>
      <c r="FJZ8" s="15"/>
      <c r="FKF8" s="25"/>
      <c r="FKM8" s="21"/>
      <c r="FKN8" s="21"/>
      <c r="FKR8" s="15"/>
      <c r="FKX8" s="25"/>
      <c r="FLE8" s="21"/>
      <c r="FLF8" s="21"/>
      <c r="FLJ8" s="15"/>
      <c r="FLP8" s="25"/>
      <c r="FLW8" s="21"/>
      <c r="FLX8" s="21"/>
      <c r="FMB8" s="15"/>
      <c r="FMH8" s="25"/>
      <c r="FMO8" s="21"/>
      <c r="FMP8" s="21"/>
      <c r="FMT8" s="15"/>
      <c r="FMZ8" s="25"/>
      <c r="FNG8" s="21"/>
      <c r="FNH8" s="21"/>
      <c r="FNL8" s="15"/>
      <c r="FNR8" s="25"/>
      <c r="FNY8" s="21"/>
      <c r="FNZ8" s="21"/>
      <c r="FOD8" s="15"/>
      <c r="FOJ8" s="25"/>
      <c r="FOQ8" s="21"/>
      <c r="FOR8" s="21"/>
      <c r="FOV8" s="15"/>
      <c r="FPB8" s="25"/>
      <c r="FPI8" s="21"/>
      <c r="FPJ8" s="21"/>
      <c r="FPN8" s="15"/>
      <c r="FPT8" s="25"/>
      <c r="FQA8" s="21"/>
      <c r="FQB8" s="21"/>
      <c r="FQF8" s="15"/>
      <c r="FQL8" s="25"/>
      <c r="FQS8" s="21"/>
      <c r="FQT8" s="21"/>
      <c r="FQX8" s="15"/>
      <c r="FRD8" s="25"/>
      <c r="FRK8" s="21"/>
      <c r="FRL8" s="21"/>
      <c r="FRP8" s="15"/>
      <c r="FRV8" s="25"/>
      <c r="FSC8" s="21"/>
      <c r="FSD8" s="21"/>
      <c r="FSH8" s="15"/>
      <c r="FSN8" s="25"/>
      <c r="FSU8" s="21"/>
      <c r="FSV8" s="21"/>
      <c r="FSZ8" s="15"/>
      <c r="FTF8" s="25"/>
      <c r="FTM8" s="21"/>
      <c r="FTN8" s="21"/>
      <c r="FTR8" s="15"/>
      <c r="FTX8" s="25"/>
      <c r="FUE8" s="21"/>
      <c r="FUF8" s="21"/>
      <c r="FUJ8" s="15"/>
      <c r="FUP8" s="25"/>
      <c r="FUW8" s="21"/>
      <c r="FUX8" s="21"/>
      <c r="FVB8" s="15"/>
      <c r="FVH8" s="25"/>
      <c r="FVO8" s="21"/>
      <c r="FVP8" s="21"/>
      <c r="FVT8" s="15"/>
      <c r="FVZ8" s="25"/>
      <c r="FWG8" s="21"/>
      <c r="FWH8" s="21"/>
      <c r="FWL8" s="15"/>
      <c r="FWR8" s="25"/>
      <c r="FWY8" s="21"/>
      <c r="FWZ8" s="21"/>
      <c r="FXD8" s="15"/>
      <c r="FXJ8" s="25"/>
      <c r="FXQ8" s="21"/>
      <c r="FXR8" s="21"/>
      <c r="FXV8" s="15"/>
      <c r="FYB8" s="25"/>
      <c r="FYI8" s="21"/>
      <c r="FYJ8" s="21"/>
      <c r="FYN8" s="15"/>
      <c r="FYT8" s="25"/>
      <c r="FZA8" s="21"/>
      <c r="FZB8" s="21"/>
      <c r="FZF8" s="15"/>
      <c r="FZL8" s="25"/>
      <c r="FZS8" s="21"/>
      <c r="FZT8" s="21"/>
      <c r="FZX8" s="15"/>
      <c r="GAD8" s="25"/>
      <c r="GAK8" s="21"/>
      <c r="GAL8" s="21"/>
      <c r="GAP8" s="15"/>
      <c r="GAV8" s="25"/>
      <c r="GBC8" s="21"/>
      <c r="GBD8" s="21"/>
      <c r="GBH8" s="15"/>
      <c r="GBN8" s="25"/>
      <c r="GBU8" s="21"/>
      <c r="GBV8" s="21"/>
      <c r="GBZ8" s="15"/>
      <c r="GCF8" s="25"/>
      <c r="GCM8" s="21"/>
      <c r="GCN8" s="21"/>
      <c r="GCR8" s="15"/>
      <c r="GCX8" s="25"/>
      <c r="GDE8" s="21"/>
      <c r="GDF8" s="21"/>
      <c r="GDJ8" s="15"/>
      <c r="GDP8" s="25"/>
      <c r="GDW8" s="21"/>
      <c r="GDX8" s="21"/>
      <c r="GEB8" s="15"/>
      <c r="GEH8" s="25"/>
      <c r="GEO8" s="21"/>
      <c r="GEP8" s="21"/>
      <c r="GET8" s="15"/>
      <c r="GEZ8" s="25"/>
      <c r="GFG8" s="21"/>
      <c r="GFH8" s="21"/>
      <c r="GFL8" s="15"/>
      <c r="GFR8" s="25"/>
      <c r="GFY8" s="21"/>
      <c r="GFZ8" s="21"/>
      <c r="GGD8" s="15"/>
      <c r="GGJ8" s="25"/>
      <c r="GGQ8" s="21"/>
      <c r="GGR8" s="21"/>
      <c r="GGV8" s="15"/>
      <c r="GHB8" s="25"/>
      <c r="GHI8" s="21"/>
      <c r="GHJ8" s="21"/>
      <c r="GHN8" s="15"/>
      <c r="GHT8" s="25"/>
      <c r="GIA8" s="21"/>
      <c r="GIB8" s="21"/>
      <c r="GIF8" s="15"/>
      <c r="GIL8" s="25"/>
      <c r="GIS8" s="21"/>
      <c r="GIT8" s="21"/>
      <c r="GIX8" s="15"/>
      <c r="GJD8" s="25"/>
      <c r="GJK8" s="21"/>
      <c r="GJL8" s="21"/>
      <c r="GJP8" s="15"/>
      <c r="GJV8" s="25"/>
      <c r="GKC8" s="21"/>
      <c r="GKD8" s="21"/>
      <c r="GKH8" s="15"/>
      <c r="GKN8" s="25"/>
      <c r="GKU8" s="21"/>
      <c r="GKV8" s="21"/>
      <c r="GKZ8" s="15"/>
      <c r="GLF8" s="25"/>
      <c r="GLM8" s="21"/>
      <c r="GLN8" s="21"/>
      <c r="GLR8" s="15"/>
      <c r="GLX8" s="25"/>
      <c r="GME8" s="21"/>
      <c r="GMF8" s="21"/>
      <c r="GMJ8" s="15"/>
      <c r="GMP8" s="25"/>
      <c r="GMW8" s="21"/>
      <c r="GMX8" s="21"/>
      <c r="GNB8" s="15"/>
      <c r="GNH8" s="25"/>
      <c r="GNO8" s="21"/>
      <c r="GNP8" s="21"/>
      <c r="GNT8" s="15"/>
      <c r="GNZ8" s="25"/>
      <c r="GOG8" s="21"/>
      <c r="GOH8" s="21"/>
      <c r="GOL8" s="15"/>
      <c r="GOR8" s="25"/>
      <c r="GOY8" s="21"/>
      <c r="GOZ8" s="21"/>
      <c r="GPD8" s="15"/>
      <c r="GPJ8" s="25"/>
      <c r="GPQ8" s="21"/>
      <c r="GPR8" s="21"/>
      <c r="GPV8" s="15"/>
      <c r="GQB8" s="25"/>
      <c r="GQI8" s="21"/>
      <c r="GQJ8" s="21"/>
      <c r="GQN8" s="15"/>
      <c r="GQT8" s="25"/>
      <c r="GRA8" s="21"/>
      <c r="GRB8" s="21"/>
      <c r="GRF8" s="15"/>
      <c r="GRL8" s="25"/>
      <c r="GRS8" s="21"/>
      <c r="GRT8" s="21"/>
      <c r="GRX8" s="15"/>
      <c r="GSD8" s="25"/>
      <c r="GSK8" s="21"/>
      <c r="GSL8" s="21"/>
      <c r="GSP8" s="15"/>
      <c r="GSV8" s="25"/>
      <c r="GTC8" s="21"/>
      <c r="GTD8" s="21"/>
      <c r="GTH8" s="15"/>
      <c r="GTN8" s="25"/>
      <c r="GTU8" s="21"/>
      <c r="GTV8" s="21"/>
      <c r="GTZ8" s="15"/>
      <c r="GUF8" s="25"/>
      <c r="GUM8" s="21"/>
      <c r="GUN8" s="21"/>
      <c r="GUR8" s="15"/>
      <c r="GUX8" s="25"/>
      <c r="GVE8" s="21"/>
      <c r="GVF8" s="21"/>
      <c r="GVJ8" s="15"/>
      <c r="GVP8" s="25"/>
      <c r="GVW8" s="21"/>
      <c r="GVX8" s="21"/>
      <c r="GWB8" s="15"/>
      <c r="GWH8" s="25"/>
      <c r="GWO8" s="21"/>
      <c r="GWP8" s="21"/>
      <c r="GWT8" s="15"/>
      <c r="GWZ8" s="25"/>
      <c r="GXG8" s="21"/>
      <c r="GXH8" s="21"/>
      <c r="GXL8" s="15"/>
      <c r="GXR8" s="25"/>
      <c r="GXY8" s="21"/>
      <c r="GXZ8" s="21"/>
      <c r="GYD8" s="15"/>
      <c r="GYJ8" s="25"/>
      <c r="GYQ8" s="21"/>
      <c r="GYR8" s="21"/>
      <c r="GYV8" s="15"/>
      <c r="GZB8" s="25"/>
      <c r="GZI8" s="21"/>
      <c r="GZJ8" s="21"/>
      <c r="GZN8" s="15"/>
      <c r="GZT8" s="25"/>
      <c r="HAA8" s="21"/>
      <c r="HAB8" s="21"/>
      <c r="HAF8" s="15"/>
      <c r="HAL8" s="25"/>
      <c r="HAS8" s="21"/>
      <c r="HAT8" s="21"/>
      <c r="HAX8" s="15"/>
      <c r="HBD8" s="25"/>
      <c r="HBK8" s="21"/>
      <c r="HBL8" s="21"/>
      <c r="HBP8" s="15"/>
      <c r="HBV8" s="25"/>
      <c r="HCC8" s="21"/>
      <c r="HCD8" s="21"/>
      <c r="HCH8" s="15"/>
      <c r="HCN8" s="25"/>
      <c r="HCU8" s="21"/>
      <c r="HCV8" s="21"/>
      <c r="HCZ8" s="15"/>
      <c r="HDF8" s="25"/>
      <c r="HDM8" s="21"/>
      <c r="HDN8" s="21"/>
      <c r="HDR8" s="15"/>
      <c r="HDX8" s="25"/>
      <c r="HEE8" s="21"/>
      <c r="HEF8" s="21"/>
      <c r="HEJ8" s="15"/>
      <c r="HEP8" s="25"/>
      <c r="HEW8" s="21"/>
      <c r="HEX8" s="21"/>
      <c r="HFB8" s="15"/>
      <c r="HFH8" s="25"/>
      <c r="HFO8" s="21"/>
      <c r="HFP8" s="21"/>
      <c r="HFT8" s="15"/>
      <c r="HFZ8" s="25"/>
      <c r="HGG8" s="21"/>
      <c r="HGH8" s="21"/>
      <c r="HGL8" s="15"/>
      <c r="HGR8" s="25"/>
      <c r="HGY8" s="21"/>
      <c r="HGZ8" s="21"/>
      <c r="HHD8" s="15"/>
      <c r="HHJ8" s="25"/>
      <c r="HHQ8" s="21"/>
      <c r="HHR8" s="21"/>
      <c r="HHV8" s="15"/>
      <c r="HIB8" s="25"/>
      <c r="HII8" s="21"/>
      <c r="HIJ8" s="21"/>
      <c r="HIN8" s="15"/>
      <c r="HIT8" s="25"/>
      <c r="HJA8" s="21"/>
      <c r="HJB8" s="21"/>
      <c r="HJF8" s="15"/>
      <c r="HJL8" s="25"/>
      <c r="HJS8" s="21"/>
      <c r="HJT8" s="21"/>
      <c r="HJX8" s="15"/>
      <c r="HKD8" s="25"/>
      <c r="HKK8" s="21"/>
      <c r="HKL8" s="21"/>
      <c r="HKP8" s="15"/>
      <c r="HKV8" s="25"/>
      <c r="HLC8" s="21"/>
      <c r="HLD8" s="21"/>
      <c r="HLH8" s="15"/>
      <c r="HLN8" s="25"/>
      <c r="HLU8" s="21"/>
      <c r="HLV8" s="21"/>
      <c r="HLZ8" s="15"/>
      <c r="HMF8" s="25"/>
      <c r="HMM8" s="21"/>
      <c r="HMN8" s="21"/>
      <c r="HMR8" s="15"/>
      <c r="HMX8" s="25"/>
      <c r="HNE8" s="21"/>
      <c r="HNF8" s="21"/>
      <c r="HNJ8" s="15"/>
      <c r="HNP8" s="25"/>
      <c r="HNW8" s="21"/>
      <c r="HNX8" s="21"/>
      <c r="HOB8" s="15"/>
      <c r="HOH8" s="25"/>
      <c r="HOO8" s="21"/>
      <c r="HOP8" s="21"/>
      <c r="HOT8" s="15"/>
      <c r="HOZ8" s="25"/>
      <c r="HPG8" s="21"/>
      <c r="HPH8" s="21"/>
      <c r="HPL8" s="15"/>
      <c r="HPR8" s="25"/>
      <c r="HPY8" s="21"/>
      <c r="HPZ8" s="21"/>
      <c r="HQD8" s="15"/>
      <c r="HQJ8" s="25"/>
      <c r="HQQ8" s="21"/>
      <c r="HQR8" s="21"/>
      <c r="HQV8" s="15"/>
      <c r="HRB8" s="25"/>
      <c r="HRI8" s="21"/>
      <c r="HRJ8" s="21"/>
      <c r="HRN8" s="15"/>
      <c r="HRT8" s="25"/>
      <c r="HSA8" s="21"/>
      <c r="HSB8" s="21"/>
      <c r="HSF8" s="15"/>
      <c r="HSL8" s="25"/>
      <c r="HSS8" s="21"/>
      <c r="HST8" s="21"/>
      <c r="HSX8" s="15"/>
      <c r="HTD8" s="25"/>
      <c r="HTK8" s="21"/>
      <c r="HTL8" s="21"/>
      <c r="HTP8" s="15"/>
      <c r="HTV8" s="25"/>
      <c r="HUC8" s="21"/>
      <c r="HUD8" s="21"/>
      <c r="HUH8" s="15"/>
      <c r="HUN8" s="25"/>
      <c r="HUU8" s="21"/>
      <c r="HUV8" s="21"/>
      <c r="HUZ8" s="15"/>
      <c r="HVF8" s="25"/>
      <c r="HVM8" s="21"/>
      <c r="HVN8" s="21"/>
      <c r="HVR8" s="15"/>
      <c r="HVX8" s="25"/>
      <c r="HWE8" s="21"/>
      <c r="HWF8" s="21"/>
      <c r="HWJ8" s="15"/>
      <c r="HWP8" s="25"/>
      <c r="HWW8" s="21"/>
      <c r="HWX8" s="21"/>
      <c r="HXB8" s="15"/>
      <c r="HXH8" s="25"/>
      <c r="HXO8" s="21"/>
      <c r="HXP8" s="21"/>
      <c r="HXT8" s="15"/>
      <c r="HXZ8" s="25"/>
      <c r="HYG8" s="21"/>
      <c r="HYH8" s="21"/>
      <c r="HYL8" s="15"/>
      <c r="HYR8" s="25"/>
      <c r="HYY8" s="21"/>
      <c r="HYZ8" s="21"/>
      <c r="HZD8" s="15"/>
      <c r="HZJ8" s="25"/>
      <c r="HZQ8" s="21"/>
      <c r="HZR8" s="21"/>
      <c r="HZV8" s="15"/>
      <c r="IAB8" s="25"/>
      <c r="IAI8" s="21"/>
      <c r="IAJ8" s="21"/>
      <c r="IAN8" s="15"/>
      <c r="IAT8" s="25"/>
      <c r="IBA8" s="21"/>
      <c r="IBB8" s="21"/>
      <c r="IBF8" s="15"/>
      <c r="IBL8" s="25"/>
      <c r="IBS8" s="21"/>
      <c r="IBT8" s="21"/>
      <c r="IBX8" s="15"/>
      <c r="ICD8" s="25"/>
      <c r="ICK8" s="21"/>
      <c r="ICL8" s="21"/>
      <c r="ICP8" s="15"/>
      <c r="ICV8" s="25"/>
      <c r="IDC8" s="21"/>
      <c r="IDD8" s="21"/>
      <c r="IDH8" s="15"/>
      <c r="IDN8" s="25"/>
      <c r="IDU8" s="21"/>
      <c r="IDV8" s="21"/>
      <c r="IDZ8" s="15"/>
      <c r="IEF8" s="25"/>
      <c r="IEM8" s="21"/>
      <c r="IEN8" s="21"/>
      <c r="IER8" s="15"/>
      <c r="IEX8" s="25"/>
      <c r="IFE8" s="21"/>
      <c r="IFF8" s="21"/>
      <c r="IFJ8" s="15"/>
      <c r="IFP8" s="25"/>
      <c r="IFW8" s="21"/>
      <c r="IFX8" s="21"/>
      <c r="IGB8" s="15"/>
      <c r="IGH8" s="25"/>
      <c r="IGO8" s="21"/>
      <c r="IGP8" s="21"/>
      <c r="IGT8" s="15"/>
      <c r="IGZ8" s="25"/>
      <c r="IHG8" s="21"/>
      <c r="IHH8" s="21"/>
      <c r="IHL8" s="15"/>
      <c r="IHR8" s="25"/>
      <c r="IHY8" s="21"/>
      <c r="IHZ8" s="21"/>
      <c r="IID8" s="15"/>
      <c r="IIJ8" s="25"/>
      <c r="IIQ8" s="21"/>
      <c r="IIR8" s="21"/>
      <c r="IIV8" s="15"/>
      <c r="IJB8" s="25"/>
      <c r="IJI8" s="21"/>
      <c r="IJJ8" s="21"/>
      <c r="IJN8" s="15"/>
      <c r="IJT8" s="25"/>
      <c r="IKA8" s="21"/>
      <c r="IKB8" s="21"/>
      <c r="IKF8" s="15"/>
      <c r="IKL8" s="25"/>
      <c r="IKS8" s="21"/>
      <c r="IKT8" s="21"/>
      <c r="IKX8" s="15"/>
      <c r="ILD8" s="25"/>
      <c r="ILK8" s="21"/>
      <c r="ILL8" s="21"/>
      <c r="ILP8" s="15"/>
      <c r="ILV8" s="25"/>
      <c r="IMC8" s="21"/>
      <c r="IMD8" s="21"/>
      <c r="IMH8" s="15"/>
      <c r="IMN8" s="25"/>
      <c r="IMU8" s="21"/>
      <c r="IMV8" s="21"/>
      <c r="IMZ8" s="15"/>
      <c r="INF8" s="25"/>
      <c r="INM8" s="21"/>
      <c r="INN8" s="21"/>
      <c r="INR8" s="15"/>
      <c r="INX8" s="25"/>
      <c r="IOE8" s="21"/>
      <c r="IOF8" s="21"/>
      <c r="IOJ8" s="15"/>
      <c r="IOP8" s="25"/>
      <c r="IOW8" s="21"/>
      <c r="IOX8" s="21"/>
      <c r="IPB8" s="15"/>
      <c r="IPH8" s="25"/>
      <c r="IPO8" s="21"/>
      <c r="IPP8" s="21"/>
      <c r="IPT8" s="15"/>
      <c r="IPZ8" s="25"/>
      <c r="IQG8" s="21"/>
      <c r="IQH8" s="21"/>
      <c r="IQL8" s="15"/>
      <c r="IQR8" s="25"/>
      <c r="IQY8" s="21"/>
      <c r="IQZ8" s="21"/>
      <c r="IRD8" s="15"/>
      <c r="IRJ8" s="25"/>
      <c r="IRQ8" s="21"/>
      <c r="IRR8" s="21"/>
      <c r="IRV8" s="15"/>
      <c r="ISB8" s="25"/>
      <c r="ISI8" s="21"/>
      <c r="ISJ8" s="21"/>
      <c r="ISN8" s="15"/>
      <c r="IST8" s="25"/>
      <c r="ITA8" s="21"/>
      <c r="ITB8" s="21"/>
      <c r="ITF8" s="15"/>
      <c r="ITL8" s="25"/>
      <c r="ITS8" s="21"/>
      <c r="ITT8" s="21"/>
      <c r="ITX8" s="15"/>
      <c r="IUD8" s="25"/>
      <c r="IUK8" s="21"/>
      <c r="IUL8" s="21"/>
      <c r="IUP8" s="15"/>
      <c r="IUV8" s="25"/>
      <c r="IVC8" s="21"/>
      <c r="IVD8" s="21"/>
      <c r="IVH8" s="15"/>
      <c r="IVN8" s="25"/>
      <c r="IVU8" s="21"/>
      <c r="IVV8" s="21"/>
      <c r="IVZ8" s="15"/>
      <c r="IWF8" s="25"/>
      <c r="IWM8" s="21"/>
      <c r="IWN8" s="21"/>
      <c r="IWR8" s="15"/>
      <c r="IWX8" s="25"/>
      <c r="IXE8" s="21"/>
      <c r="IXF8" s="21"/>
      <c r="IXJ8" s="15"/>
      <c r="IXP8" s="25"/>
      <c r="IXW8" s="21"/>
      <c r="IXX8" s="21"/>
      <c r="IYB8" s="15"/>
      <c r="IYH8" s="25"/>
      <c r="IYO8" s="21"/>
      <c r="IYP8" s="21"/>
      <c r="IYT8" s="15"/>
      <c r="IYZ8" s="25"/>
      <c r="IZG8" s="21"/>
      <c r="IZH8" s="21"/>
      <c r="IZL8" s="15"/>
      <c r="IZR8" s="25"/>
      <c r="IZY8" s="21"/>
      <c r="IZZ8" s="21"/>
      <c r="JAD8" s="15"/>
      <c r="JAJ8" s="25"/>
      <c r="JAQ8" s="21"/>
      <c r="JAR8" s="21"/>
      <c r="JAV8" s="15"/>
      <c r="JBB8" s="25"/>
      <c r="JBI8" s="21"/>
      <c r="JBJ8" s="21"/>
      <c r="JBN8" s="15"/>
      <c r="JBT8" s="25"/>
      <c r="JCA8" s="21"/>
      <c r="JCB8" s="21"/>
      <c r="JCF8" s="15"/>
      <c r="JCL8" s="25"/>
      <c r="JCS8" s="21"/>
      <c r="JCT8" s="21"/>
      <c r="JCX8" s="15"/>
      <c r="JDD8" s="25"/>
      <c r="JDK8" s="21"/>
      <c r="JDL8" s="21"/>
      <c r="JDP8" s="15"/>
      <c r="JDV8" s="25"/>
      <c r="JEC8" s="21"/>
      <c r="JED8" s="21"/>
      <c r="JEH8" s="15"/>
      <c r="JEN8" s="25"/>
      <c r="JEU8" s="21"/>
      <c r="JEV8" s="21"/>
      <c r="JEZ8" s="15"/>
      <c r="JFF8" s="25"/>
      <c r="JFM8" s="21"/>
      <c r="JFN8" s="21"/>
      <c r="JFR8" s="15"/>
      <c r="JFX8" s="25"/>
      <c r="JGE8" s="21"/>
      <c r="JGF8" s="21"/>
      <c r="JGJ8" s="15"/>
      <c r="JGP8" s="25"/>
      <c r="JGW8" s="21"/>
      <c r="JGX8" s="21"/>
      <c r="JHB8" s="15"/>
      <c r="JHH8" s="25"/>
      <c r="JHO8" s="21"/>
      <c r="JHP8" s="21"/>
      <c r="JHT8" s="15"/>
      <c r="JHZ8" s="25"/>
      <c r="JIG8" s="21"/>
      <c r="JIH8" s="21"/>
      <c r="JIL8" s="15"/>
      <c r="JIR8" s="25"/>
      <c r="JIY8" s="21"/>
      <c r="JIZ8" s="21"/>
      <c r="JJD8" s="15"/>
      <c r="JJJ8" s="25"/>
      <c r="JJQ8" s="21"/>
      <c r="JJR8" s="21"/>
      <c r="JJV8" s="15"/>
      <c r="JKB8" s="25"/>
      <c r="JKI8" s="21"/>
      <c r="JKJ8" s="21"/>
      <c r="JKN8" s="15"/>
      <c r="JKT8" s="25"/>
      <c r="JLA8" s="21"/>
      <c r="JLB8" s="21"/>
      <c r="JLF8" s="15"/>
      <c r="JLL8" s="25"/>
      <c r="JLS8" s="21"/>
      <c r="JLT8" s="21"/>
      <c r="JLX8" s="15"/>
      <c r="JMD8" s="25"/>
      <c r="JMK8" s="21"/>
      <c r="JML8" s="21"/>
      <c r="JMP8" s="15"/>
      <c r="JMV8" s="25"/>
      <c r="JNC8" s="21"/>
      <c r="JND8" s="21"/>
      <c r="JNH8" s="15"/>
      <c r="JNN8" s="25"/>
      <c r="JNU8" s="21"/>
      <c r="JNV8" s="21"/>
      <c r="JNZ8" s="15"/>
      <c r="JOF8" s="25"/>
      <c r="JOM8" s="21"/>
      <c r="JON8" s="21"/>
      <c r="JOR8" s="15"/>
      <c r="JOX8" s="25"/>
      <c r="JPE8" s="21"/>
      <c r="JPF8" s="21"/>
      <c r="JPJ8" s="15"/>
      <c r="JPP8" s="25"/>
      <c r="JPW8" s="21"/>
      <c r="JPX8" s="21"/>
      <c r="JQB8" s="15"/>
      <c r="JQH8" s="25"/>
      <c r="JQO8" s="21"/>
      <c r="JQP8" s="21"/>
      <c r="JQT8" s="15"/>
      <c r="JQZ8" s="25"/>
      <c r="JRG8" s="21"/>
      <c r="JRH8" s="21"/>
      <c r="JRL8" s="15"/>
      <c r="JRR8" s="25"/>
      <c r="JRY8" s="21"/>
      <c r="JRZ8" s="21"/>
      <c r="JSD8" s="15"/>
      <c r="JSJ8" s="25"/>
      <c r="JSQ8" s="21"/>
      <c r="JSR8" s="21"/>
      <c r="JSV8" s="15"/>
      <c r="JTB8" s="25"/>
      <c r="JTI8" s="21"/>
      <c r="JTJ8" s="21"/>
      <c r="JTN8" s="15"/>
      <c r="JTT8" s="25"/>
      <c r="JUA8" s="21"/>
      <c r="JUB8" s="21"/>
      <c r="JUF8" s="15"/>
      <c r="JUL8" s="25"/>
      <c r="JUS8" s="21"/>
      <c r="JUT8" s="21"/>
      <c r="JUX8" s="15"/>
      <c r="JVD8" s="25"/>
      <c r="JVK8" s="21"/>
      <c r="JVL8" s="21"/>
      <c r="JVP8" s="15"/>
      <c r="JVV8" s="25"/>
      <c r="JWC8" s="21"/>
      <c r="JWD8" s="21"/>
      <c r="JWH8" s="15"/>
      <c r="JWN8" s="25"/>
      <c r="JWU8" s="21"/>
      <c r="JWV8" s="21"/>
      <c r="JWZ8" s="15"/>
      <c r="JXF8" s="25"/>
      <c r="JXM8" s="21"/>
      <c r="JXN8" s="21"/>
      <c r="JXR8" s="15"/>
      <c r="JXX8" s="25"/>
      <c r="JYE8" s="21"/>
      <c r="JYF8" s="21"/>
      <c r="JYJ8" s="15"/>
      <c r="JYP8" s="25"/>
      <c r="JYW8" s="21"/>
      <c r="JYX8" s="21"/>
      <c r="JZB8" s="15"/>
      <c r="JZH8" s="25"/>
      <c r="JZO8" s="21"/>
      <c r="JZP8" s="21"/>
      <c r="JZT8" s="15"/>
      <c r="JZZ8" s="25"/>
      <c r="KAG8" s="21"/>
      <c r="KAH8" s="21"/>
      <c r="KAL8" s="15"/>
      <c r="KAR8" s="25"/>
      <c r="KAY8" s="21"/>
      <c r="KAZ8" s="21"/>
      <c r="KBD8" s="15"/>
      <c r="KBJ8" s="25"/>
      <c r="KBQ8" s="21"/>
      <c r="KBR8" s="21"/>
      <c r="KBV8" s="15"/>
      <c r="KCB8" s="25"/>
      <c r="KCI8" s="21"/>
      <c r="KCJ8" s="21"/>
      <c r="KCN8" s="15"/>
      <c r="KCT8" s="25"/>
      <c r="KDA8" s="21"/>
      <c r="KDB8" s="21"/>
      <c r="KDF8" s="15"/>
      <c r="KDL8" s="25"/>
      <c r="KDS8" s="21"/>
      <c r="KDT8" s="21"/>
      <c r="KDX8" s="15"/>
      <c r="KED8" s="25"/>
      <c r="KEK8" s="21"/>
      <c r="KEL8" s="21"/>
      <c r="KEP8" s="15"/>
      <c r="KEV8" s="25"/>
      <c r="KFC8" s="21"/>
      <c r="KFD8" s="21"/>
      <c r="KFH8" s="15"/>
      <c r="KFN8" s="25"/>
      <c r="KFU8" s="21"/>
      <c r="KFV8" s="21"/>
      <c r="KFZ8" s="15"/>
      <c r="KGF8" s="25"/>
      <c r="KGM8" s="21"/>
      <c r="KGN8" s="21"/>
      <c r="KGR8" s="15"/>
      <c r="KGX8" s="25"/>
      <c r="KHE8" s="21"/>
      <c r="KHF8" s="21"/>
      <c r="KHJ8" s="15"/>
      <c r="KHP8" s="25"/>
      <c r="KHW8" s="21"/>
      <c r="KHX8" s="21"/>
      <c r="KIB8" s="15"/>
      <c r="KIH8" s="25"/>
      <c r="KIO8" s="21"/>
      <c r="KIP8" s="21"/>
      <c r="KIT8" s="15"/>
      <c r="KIZ8" s="25"/>
      <c r="KJG8" s="21"/>
      <c r="KJH8" s="21"/>
      <c r="KJL8" s="15"/>
      <c r="KJR8" s="25"/>
      <c r="KJY8" s="21"/>
      <c r="KJZ8" s="21"/>
      <c r="KKD8" s="15"/>
      <c r="KKJ8" s="25"/>
      <c r="KKQ8" s="21"/>
      <c r="KKR8" s="21"/>
      <c r="KKV8" s="15"/>
      <c r="KLB8" s="25"/>
      <c r="KLI8" s="21"/>
      <c r="KLJ8" s="21"/>
      <c r="KLN8" s="15"/>
      <c r="KLT8" s="25"/>
      <c r="KMA8" s="21"/>
      <c r="KMB8" s="21"/>
      <c r="KMF8" s="15"/>
      <c r="KML8" s="25"/>
      <c r="KMS8" s="21"/>
      <c r="KMT8" s="21"/>
      <c r="KMX8" s="15"/>
      <c r="KND8" s="25"/>
      <c r="KNK8" s="21"/>
      <c r="KNL8" s="21"/>
      <c r="KNP8" s="15"/>
      <c r="KNV8" s="25"/>
      <c r="KOC8" s="21"/>
      <c r="KOD8" s="21"/>
      <c r="KOH8" s="15"/>
      <c r="KON8" s="25"/>
      <c r="KOU8" s="21"/>
      <c r="KOV8" s="21"/>
      <c r="KOZ8" s="15"/>
      <c r="KPF8" s="25"/>
      <c r="KPM8" s="21"/>
      <c r="KPN8" s="21"/>
      <c r="KPR8" s="15"/>
      <c r="KPX8" s="25"/>
      <c r="KQE8" s="21"/>
      <c r="KQF8" s="21"/>
      <c r="KQJ8" s="15"/>
      <c r="KQP8" s="25"/>
      <c r="KQW8" s="21"/>
      <c r="KQX8" s="21"/>
      <c r="KRB8" s="15"/>
      <c r="KRH8" s="25"/>
      <c r="KRO8" s="21"/>
      <c r="KRP8" s="21"/>
      <c r="KRT8" s="15"/>
      <c r="KRZ8" s="25"/>
      <c r="KSG8" s="21"/>
      <c r="KSH8" s="21"/>
      <c r="KSL8" s="15"/>
      <c r="KSR8" s="25"/>
      <c r="KSY8" s="21"/>
      <c r="KSZ8" s="21"/>
      <c r="KTD8" s="15"/>
      <c r="KTJ8" s="25"/>
      <c r="KTQ8" s="21"/>
      <c r="KTR8" s="21"/>
      <c r="KTV8" s="15"/>
      <c r="KUB8" s="25"/>
      <c r="KUI8" s="21"/>
      <c r="KUJ8" s="21"/>
      <c r="KUN8" s="15"/>
      <c r="KUT8" s="25"/>
      <c r="KVA8" s="21"/>
      <c r="KVB8" s="21"/>
      <c r="KVF8" s="15"/>
      <c r="KVL8" s="25"/>
      <c r="KVS8" s="21"/>
      <c r="KVT8" s="21"/>
      <c r="KVX8" s="15"/>
      <c r="KWD8" s="25"/>
      <c r="KWK8" s="21"/>
      <c r="KWL8" s="21"/>
      <c r="KWP8" s="15"/>
      <c r="KWV8" s="25"/>
      <c r="KXC8" s="21"/>
      <c r="KXD8" s="21"/>
      <c r="KXH8" s="15"/>
      <c r="KXN8" s="25"/>
      <c r="KXU8" s="21"/>
      <c r="KXV8" s="21"/>
      <c r="KXZ8" s="15"/>
      <c r="KYF8" s="25"/>
      <c r="KYM8" s="21"/>
      <c r="KYN8" s="21"/>
      <c r="KYR8" s="15"/>
      <c r="KYX8" s="25"/>
      <c r="KZE8" s="21"/>
      <c r="KZF8" s="21"/>
      <c r="KZJ8" s="15"/>
      <c r="KZP8" s="25"/>
      <c r="KZW8" s="21"/>
      <c r="KZX8" s="21"/>
      <c r="LAB8" s="15"/>
      <c r="LAH8" s="25"/>
      <c r="LAO8" s="21"/>
      <c r="LAP8" s="21"/>
      <c r="LAT8" s="15"/>
      <c r="LAZ8" s="25"/>
      <c r="LBG8" s="21"/>
      <c r="LBH8" s="21"/>
      <c r="LBL8" s="15"/>
      <c r="LBR8" s="25"/>
      <c r="LBY8" s="21"/>
      <c r="LBZ8" s="21"/>
      <c r="LCD8" s="15"/>
      <c r="LCJ8" s="25"/>
      <c r="LCQ8" s="21"/>
      <c r="LCR8" s="21"/>
      <c r="LCV8" s="15"/>
      <c r="LDB8" s="25"/>
      <c r="LDI8" s="21"/>
      <c r="LDJ8" s="21"/>
      <c r="LDN8" s="15"/>
      <c r="LDT8" s="25"/>
      <c r="LEA8" s="21"/>
      <c r="LEB8" s="21"/>
      <c r="LEF8" s="15"/>
      <c r="LEL8" s="25"/>
      <c r="LES8" s="21"/>
      <c r="LET8" s="21"/>
      <c r="LEX8" s="15"/>
      <c r="LFD8" s="25"/>
      <c r="LFK8" s="21"/>
      <c r="LFL8" s="21"/>
      <c r="LFP8" s="15"/>
      <c r="LFV8" s="25"/>
      <c r="LGC8" s="21"/>
      <c r="LGD8" s="21"/>
      <c r="LGH8" s="15"/>
      <c r="LGN8" s="25"/>
      <c r="LGU8" s="21"/>
      <c r="LGV8" s="21"/>
      <c r="LGZ8" s="15"/>
      <c r="LHF8" s="25"/>
      <c r="LHM8" s="21"/>
      <c r="LHN8" s="21"/>
      <c r="LHR8" s="15"/>
      <c r="LHX8" s="25"/>
      <c r="LIE8" s="21"/>
      <c r="LIF8" s="21"/>
      <c r="LIJ8" s="15"/>
      <c r="LIP8" s="25"/>
      <c r="LIW8" s="21"/>
      <c r="LIX8" s="21"/>
      <c r="LJB8" s="15"/>
      <c r="LJH8" s="25"/>
      <c r="LJO8" s="21"/>
      <c r="LJP8" s="21"/>
      <c r="LJT8" s="15"/>
      <c r="LJZ8" s="25"/>
      <c r="LKG8" s="21"/>
      <c r="LKH8" s="21"/>
      <c r="LKL8" s="15"/>
      <c r="LKR8" s="25"/>
      <c r="LKY8" s="21"/>
      <c r="LKZ8" s="21"/>
      <c r="LLD8" s="15"/>
      <c r="LLJ8" s="25"/>
      <c r="LLQ8" s="21"/>
      <c r="LLR8" s="21"/>
      <c r="LLV8" s="15"/>
      <c r="LMB8" s="25"/>
      <c r="LMI8" s="21"/>
      <c r="LMJ8" s="21"/>
      <c r="LMN8" s="15"/>
      <c r="LMT8" s="25"/>
      <c r="LNA8" s="21"/>
      <c r="LNB8" s="21"/>
      <c r="LNF8" s="15"/>
      <c r="LNL8" s="25"/>
      <c r="LNS8" s="21"/>
      <c r="LNT8" s="21"/>
      <c r="LNX8" s="15"/>
      <c r="LOD8" s="25"/>
      <c r="LOK8" s="21"/>
      <c r="LOL8" s="21"/>
      <c r="LOP8" s="15"/>
      <c r="LOV8" s="25"/>
      <c r="LPC8" s="21"/>
      <c r="LPD8" s="21"/>
      <c r="LPH8" s="15"/>
      <c r="LPN8" s="25"/>
      <c r="LPU8" s="21"/>
      <c r="LPV8" s="21"/>
      <c r="LPZ8" s="15"/>
      <c r="LQF8" s="25"/>
      <c r="LQM8" s="21"/>
      <c r="LQN8" s="21"/>
      <c r="LQR8" s="15"/>
      <c r="LQX8" s="25"/>
      <c r="LRE8" s="21"/>
      <c r="LRF8" s="21"/>
      <c r="LRJ8" s="15"/>
      <c r="LRP8" s="25"/>
      <c r="LRW8" s="21"/>
      <c r="LRX8" s="21"/>
      <c r="LSB8" s="15"/>
      <c r="LSH8" s="25"/>
      <c r="LSO8" s="21"/>
      <c r="LSP8" s="21"/>
      <c r="LST8" s="15"/>
      <c r="LSZ8" s="25"/>
      <c r="LTG8" s="21"/>
      <c r="LTH8" s="21"/>
      <c r="LTL8" s="15"/>
      <c r="LTR8" s="25"/>
      <c r="LTY8" s="21"/>
      <c r="LTZ8" s="21"/>
      <c r="LUD8" s="15"/>
      <c r="LUJ8" s="25"/>
      <c r="LUQ8" s="21"/>
      <c r="LUR8" s="21"/>
      <c r="LUV8" s="15"/>
      <c r="LVB8" s="25"/>
      <c r="LVI8" s="21"/>
      <c r="LVJ8" s="21"/>
      <c r="LVN8" s="15"/>
      <c r="LVT8" s="25"/>
      <c r="LWA8" s="21"/>
      <c r="LWB8" s="21"/>
      <c r="LWF8" s="15"/>
      <c r="LWL8" s="25"/>
      <c r="LWS8" s="21"/>
      <c r="LWT8" s="21"/>
      <c r="LWX8" s="15"/>
      <c r="LXD8" s="25"/>
      <c r="LXK8" s="21"/>
      <c r="LXL8" s="21"/>
      <c r="LXP8" s="15"/>
      <c r="LXV8" s="25"/>
      <c r="LYC8" s="21"/>
      <c r="LYD8" s="21"/>
      <c r="LYH8" s="15"/>
      <c r="LYN8" s="25"/>
      <c r="LYU8" s="21"/>
      <c r="LYV8" s="21"/>
      <c r="LYZ8" s="15"/>
      <c r="LZF8" s="25"/>
      <c r="LZM8" s="21"/>
      <c r="LZN8" s="21"/>
      <c r="LZR8" s="15"/>
      <c r="LZX8" s="25"/>
      <c r="MAE8" s="21"/>
      <c r="MAF8" s="21"/>
      <c r="MAJ8" s="15"/>
      <c r="MAP8" s="25"/>
      <c r="MAW8" s="21"/>
      <c r="MAX8" s="21"/>
      <c r="MBB8" s="15"/>
      <c r="MBH8" s="25"/>
      <c r="MBO8" s="21"/>
      <c r="MBP8" s="21"/>
      <c r="MBT8" s="15"/>
      <c r="MBZ8" s="25"/>
      <c r="MCG8" s="21"/>
      <c r="MCH8" s="21"/>
      <c r="MCL8" s="15"/>
      <c r="MCR8" s="25"/>
      <c r="MCY8" s="21"/>
      <c r="MCZ8" s="21"/>
      <c r="MDD8" s="15"/>
      <c r="MDJ8" s="25"/>
      <c r="MDQ8" s="21"/>
      <c r="MDR8" s="21"/>
      <c r="MDV8" s="15"/>
      <c r="MEB8" s="25"/>
      <c r="MEI8" s="21"/>
      <c r="MEJ8" s="21"/>
      <c r="MEN8" s="15"/>
      <c r="MET8" s="25"/>
      <c r="MFA8" s="21"/>
      <c r="MFB8" s="21"/>
      <c r="MFF8" s="15"/>
      <c r="MFL8" s="25"/>
      <c r="MFS8" s="21"/>
      <c r="MFT8" s="21"/>
      <c r="MFX8" s="15"/>
      <c r="MGD8" s="25"/>
      <c r="MGK8" s="21"/>
      <c r="MGL8" s="21"/>
      <c r="MGP8" s="15"/>
      <c r="MGV8" s="25"/>
      <c r="MHC8" s="21"/>
      <c r="MHD8" s="21"/>
      <c r="MHH8" s="15"/>
      <c r="MHN8" s="25"/>
      <c r="MHU8" s="21"/>
      <c r="MHV8" s="21"/>
      <c r="MHZ8" s="15"/>
      <c r="MIF8" s="25"/>
      <c r="MIM8" s="21"/>
      <c r="MIN8" s="21"/>
      <c r="MIR8" s="15"/>
      <c r="MIX8" s="25"/>
      <c r="MJE8" s="21"/>
      <c r="MJF8" s="21"/>
      <c r="MJJ8" s="15"/>
      <c r="MJP8" s="25"/>
      <c r="MJW8" s="21"/>
      <c r="MJX8" s="21"/>
      <c r="MKB8" s="15"/>
      <c r="MKH8" s="25"/>
      <c r="MKO8" s="21"/>
      <c r="MKP8" s="21"/>
      <c r="MKT8" s="15"/>
      <c r="MKZ8" s="25"/>
      <c r="MLG8" s="21"/>
      <c r="MLH8" s="21"/>
      <c r="MLL8" s="15"/>
      <c r="MLR8" s="25"/>
      <c r="MLY8" s="21"/>
      <c r="MLZ8" s="21"/>
      <c r="MMD8" s="15"/>
      <c r="MMJ8" s="25"/>
      <c r="MMQ8" s="21"/>
      <c r="MMR8" s="21"/>
      <c r="MMV8" s="15"/>
      <c r="MNB8" s="25"/>
      <c r="MNI8" s="21"/>
      <c r="MNJ8" s="21"/>
      <c r="MNN8" s="15"/>
      <c r="MNT8" s="25"/>
      <c r="MOA8" s="21"/>
      <c r="MOB8" s="21"/>
      <c r="MOF8" s="15"/>
      <c r="MOL8" s="25"/>
      <c r="MOS8" s="21"/>
      <c r="MOT8" s="21"/>
      <c r="MOX8" s="15"/>
      <c r="MPD8" s="25"/>
      <c r="MPK8" s="21"/>
      <c r="MPL8" s="21"/>
      <c r="MPP8" s="15"/>
      <c r="MPV8" s="25"/>
      <c r="MQC8" s="21"/>
      <c r="MQD8" s="21"/>
      <c r="MQH8" s="15"/>
      <c r="MQN8" s="25"/>
      <c r="MQU8" s="21"/>
      <c r="MQV8" s="21"/>
      <c r="MQZ8" s="15"/>
      <c r="MRF8" s="25"/>
      <c r="MRM8" s="21"/>
      <c r="MRN8" s="21"/>
      <c r="MRR8" s="15"/>
      <c r="MRX8" s="25"/>
      <c r="MSE8" s="21"/>
      <c r="MSF8" s="21"/>
      <c r="MSJ8" s="15"/>
      <c r="MSP8" s="25"/>
      <c r="MSW8" s="21"/>
      <c r="MSX8" s="21"/>
      <c r="MTB8" s="15"/>
      <c r="MTH8" s="25"/>
      <c r="MTO8" s="21"/>
      <c r="MTP8" s="21"/>
      <c r="MTT8" s="15"/>
      <c r="MTZ8" s="25"/>
      <c r="MUG8" s="21"/>
      <c r="MUH8" s="21"/>
      <c r="MUL8" s="15"/>
      <c r="MUR8" s="25"/>
      <c r="MUY8" s="21"/>
      <c r="MUZ8" s="21"/>
      <c r="MVD8" s="15"/>
      <c r="MVJ8" s="25"/>
      <c r="MVQ8" s="21"/>
      <c r="MVR8" s="21"/>
      <c r="MVV8" s="15"/>
      <c r="MWB8" s="25"/>
      <c r="MWI8" s="21"/>
      <c r="MWJ8" s="21"/>
      <c r="MWN8" s="15"/>
      <c r="MWT8" s="25"/>
      <c r="MXA8" s="21"/>
      <c r="MXB8" s="21"/>
      <c r="MXF8" s="15"/>
      <c r="MXL8" s="25"/>
      <c r="MXS8" s="21"/>
      <c r="MXT8" s="21"/>
      <c r="MXX8" s="15"/>
      <c r="MYD8" s="25"/>
      <c r="MYK8" s="21"/>
      <c r="MYL8" s="21"/>
      <c r="MYP8" s="15"/>
      <c r="MYV8" s="25"/>
      <c r="MZC8" s="21"/>
      <c r="MZD8" s="21"/>
      <c r="MZH8" s="15"/>
      <c r="MZN8" s="25"/>
      <c r="MZU8" s="21"/>
      <c r="MZV8" s="21"/>
      <c r="MZZ8" s="15"/>
      <c r="NAF8" s="25"/>
      <c r="NAM8" s="21"/>
      <c r="NAN8" s="21"/>
      <c r="NAR8" s="15"/>
      <c r="NAX8" s="25"/>
      <c r="NBE8" s="21"/>
      <c r="NBF8" s="21"/>
      <c r="NBJ8" s="15"/>
      <c r="NBP8" s="25"/>
      <c r="NBW8" s="21"/>
      <c r="NBX8" s="21"/>
      <c r="NCB8" s="15"/>
      <c r="NCH8" s="25"/>
      <c r="NCO8" s="21"/>
      <c r="NCP8" s="21"/>
      <c r="NCT8" s="15"/>
      <c r="NCZ8" s="25"/>
      <c r="NDG8" s="21"/>
      <c r="NDH8" s="21"/>
      <c r="NDL8" s="15"/>
      <c r="NDR8" s="25"/>
      <c r="NDY8" s="21"/>
      <c r="NDZ8" s="21"/>
      <c r="NED8" s="15"/>
      <c r="NEJ8" s="25"/>
      <c r="NEQ8" s="21"/>
      <c r="NER8" s="21"/>
      <c r="NEV8" s="15"/>
      <c r="NFB8" s="25"/>
      <c r="NFI8" s="21"/>
      <c r="NFJ8" s="21"/>
      <c r="NFN8" s="15"/>
      <c r="NFT8" s="25"/>
      <c r="NGA8" s="21"/>
      <c r="NGB8" s="21"/>
      <c r="NGF8" s="15"/>
      <c r="NGL8" s="25"/>
      <c r="NGS8" s="21"/>
      <c r="NGT8" s="21"/>
      <c r="NGX8" s="15"/>
      <c r="NHD8" s="25"/>
      <c r="NHK8" s="21"/>
      <c r="NHL8" s="21"/>
      <c r="NHP8" s="15"/>
      <c r="NHV8" s="25"/>
      <c r="NIC8" s="21"/>
      <c r="NID8" s="21"/>
      <c r="NIH8" s="15"/>
      <c r="NIN8" s="25"/>
      <c r="NIU8" s="21"/>
      <c r="NIV8" s="21"/>
      <c r="NIZ8" s="15"/>
      <c r="NJF8" s="25"/>
      <c r="NJM8" s="21"/>
      <c r="NJN8" s="21"/>
      <c r="NJR8" s="15"/>
      <c r="NJX8" s="25"/>
      <c r="NKE8" s="21"/>
      <c r="NKF8" s="21"/>
      <c r="NKJ8" s="15"/>
      <c r="NKP8" s="25"/>
      <c r="NKW8" s="21"/>
      <c r="NKX8" s="21"/>
      <c r="NLB8" s="15"/>
      <c r="NLH8" s="25"/>
      <c r="NLO8" s="21"/>
      <c r="NLP8" s="21"/>
      <c r="NLT8" s="15"/>
      <c r="NLZ8" s="25"/>
      <c r="NMG8" s="21"/>
      <c r="NMH8" s="21"/>
      <c r="NML8" s="15"/>
      <c r="NMR8" s="25"/>
      <c r="NMY8" s="21"/>
      <c r="NMZ8" s="21"/>
      <c r="NND8" s="15"/>
      <c r="NNJ8" s="25"/>
      <c r="NNQ8" s="21"/>
      <c r="NNR8" s="21"/>
      <c r="NNV8" s="15"/>
      <c r="NOB8" s="25"/>
      <c r="NOI8" s="21"/>
      <c r="NOJ8" s="21"/>
      <c r="NON8" s="15"/>
      <c r="NOT8" s="25"/>
      <c r="NPA8" s="21"/>
      <c r="NPB8" s="21"/>
      <c r="NPF8" s="15"/>
      <c r="NPL8" s="25"/>
      <c r="NPS8" s="21"/>
      <c r="NPT8" s="21"/>
      <c r="NPX8" s="15"/>
      <c r="NQD8" s="25"/>
      <c r="NQK8" s="21"/>
      <c r="NQL8" s="21"/>
      <c r="NQP8" s="15"/>
      <c r="NQV8" s="25"/>
      <c r="NRC8" s="21"/>
      <c r="NRD8" s="21"/>
      <c r="NRH8" s="15"/>
      <c r="NRN8" s="25"/>
      <c r="NRU8" s="21"/>
      <c r="NRV8" s="21"/>
      <c r="NRZ8" s="15"/>
      <c r="NSF8" s="25"/>
      <c r="NSM8" s="21"/>
      <c r="NSN8" s="21"/>
      <c r="NSR8" s="15"/>
      <c r="NSX8" s="25"/>
      <c r="NTE8" s="21"/>
      <c r="NTF8" s="21"/>
      <c r="NTJ8" s="15"/>
      <c r="NTP8" s="25"/>
      <c r="NTW8" s="21"/>
      <c r="NTX8" s="21"/>
      <c r="NUB8" s="15"/>
      <c r="NUH8" s="25"/>
      <c r="NUO8" s="21"/>
      <c r="NUP8" s="21"/>
      <c r="NUT8" s="15"/>
      <c r="NUZ8" s="25"/>
      <c r="NVG8" s="21"/>
      <c r="NVH8" s="21"/>
      <c r="NVL8" s="15"/>
      <c r="NVR8" s="25"/>
      <c r="NVY8" s="21"/>
      <c r="NVZ8" s="21"/>
      <c r="NWD8" s="15"/>
      <c r="NWJ8" s="25"/>
      <c r="NWQ8" s="21"/>
      <c r="NWR8" s="21"/>
      <c r="NWV8" s="15"/>
      <c r="NXB8" s="25"/>
      <c r="NXI8" s="21"/>
      <c r="NXJ8" s="21"/>
      <c r="NXN8" s="15"/>
      <c r="NXT8" s="25"/>
      <c r="NYA8" s="21"/>
      <c r="NYB8" s="21"/>
      <c r="NYF8" s="15"/>
      <c r="NYL8" s="25"/>
      <c r="NYS8" s="21"/>
      <c r="NYT8" s="21"/>
      <c r="NYX8" s="15"/>
      <c r="NZD8" s="25"/>
      <c r="NZK8" s="21"/>
      <c r="NZL8" s="21"/>
      <c r="NZP8" s="15"/>
      <c r="NZV8" s="25"/>
      <c r="OAC8" s="21"/>
      <c r="OAD8" s="21"/>
      <c r="OAH8" s="15"/>
      <c r="OAN8" s="25"/>
      <c r="OAU8" s="21"/>
      <c r="OAV8" s="21"/>
      <c r="OAZ8" s="15"/>
      <c r="OBF8" s="25"/>
      <c r="OBM8" s="21"/>
      <c r="OBN8" s="21"/>
      <c r="OBR8" s="15"/>
      <c r="OBX8" s="25"/>
      <c r="OCE8" s="21"/>
      <c r="OCF8" s="21"/>
      <c r="OCJ8" s="15"/>
      <c r="OCP8" s="25"/>
      <c r="OCW8" s="21"/>
      <c r="OCX8" s="21"/>
      <c r="ODB8" s="15"/>
      <c r="ODH8" s="25"/>
      <c r="ODO8" s="21"/>
      <c r="ODP8" s="21"/>
      <c r="ODT8" s="15"/>
      <c r="ODZ8" s="25"/>
      <c r="OEG8" s="21"/>
      <c r="OEH8" s="21"/>
      <c r="OEL8" s="15"/>
      <c r="OER8" s="25"/>
      <c r="OEY8" s="21"/>
      <c r="OEZ8" s="21"/>
      <c r="OFD8" s="15"/>
      <c r="OFJ8" s="25"/>
      <c r="OFQ8" s="21"/>
      <c r="OFR8" s="21"/>
      <c r="OFV8" s="15"/>
      <c r="OGB8" s="25"/>
      <c r="OGI8" s="21"/>
      <c r="OGJ8" s="21"/>
      <c r="OGN8" s="15"/>
      <c r="OGT8" s="25"/>
      <c r="OHA8" s="21"/>
      <c r="OHB8" s="21"/>
      <c r="OHF8" s="15"/>
      <c r="OHL8" s="25"/>
      <c r="OHS8" s="21"/>
      <c r="OHT8" s="21"/>
      <c r="OHX8" s="15"/>
      <c r="OID8" s="25"/>
      <c r="OIK8" s="21"/>
      <c r="OIL8" s="21"/>
      <c r="OIP8" s="15"/>
      <c r="OIV8" s="25"/>
      <c r="OJC8" s="21"/>
      <c r="OJD8" s="21"/>
      <c r="OJH8" s="15"/>
      <c r="OJN8" s="25"/>
      <c r="OJU8" s="21"/>
      <c r="OJV8" s="21"/>
      <c r="OJZ8" s="15"/>
      <c r="OKF8" s="25"/>
      <c r="OKM8" s="21"/>
      <c r="OKN8" s="21"/>
      <c r="OKR8" s="15"/>
      <c r="OKX8" s="25"/>
      <c r="OLE8" s="21"/>
      <c r="OLF8" s="21"/>
      <c r="OLJ8" s="15"/>
      <c r="OLP8" s="25"/>
      <c r="OLW8" s="21"/>
      <c r="OLX8" s="21"/>
      <c r="OMB8" s="15"/>
      <c r="OMH8" s="25"/>
      <c r="OMO8" s="21"/>
      <c r="OMP8" s="21"/>
      <c r="OMT8" s="15"/>
      <c r="OMZ8" s="25"/>
      <c r="ONG8" s="21"/>
      <c r="ONH8" s="21"/>
      <c r="ONL8" s="15"/>
      <c r="ONR8" s="25"/>
      <c r="ONY8" s="21"/>
      <c r="ONZ8" s="21"/>
      <c r="OOD8" s="15"/>
      <c r="OOJ8" s="25"/>
      <c r="OOQ8" s="21"/>
      <c r="OOR8" s="21"/>
      <c r="OOV8" s="15"/>
      <c r="OPB8" s="25"/>
      <c r="OPI8" s="21"/>
      <c r="OPJ8" s="21"/>
      <c r="OPN8" s="15"/>
      <c r="OPT8" s="25"/>
      <c r="OQA8" s="21"/>
      <c r="OQB8" s="21"/>
      <c r="OQF8" s="15"/>
      <c r="OQL8" s="25"/>
      <c r="OQS8" s="21"/>
      <c r="OQT8" s="21"/>
      <c r="OQX8" s="15"/>
      <c r="ORD8" s="25"/>
      <c r="ORK8" s="21"/>
      <c r="ORL8" s="21"/>
      <c r="ORP8" s="15"/>
      <c r="ORV8" s="25"/>
      <c r="OSC8" s="21"/>
      <c r="OSD8" s="21"/>
      <c r="OSH8" s="15"/>
      <c r="OSN8" s="25"/>
      <c r="OSU8" s="21"/>
      <c r="OSV8" s="21"/>
      <c r="OSZ8" s="15"/>
      <c r="OTF8" s="25"/>
      <c r="OTM8" s="21"/>
      <c r="OTN8" s="21"/>
      <c r="OTR8" s="15"/>
      <c r="OTX8" s="25"/>
      <c r="OUE8" s="21"/>
      <c r="OUF8" s="21"/>
      <c r="OUJ8" s="15"/>
      <c r="OUP8" s="25"/>
      <c r="OUW8" s="21"/>
      <c r="OUX8" s="21"/>
      <c r="OVB8" s="15"/>
      <c r="OVH8" s="25"/>
      <c r="OVO8" s="21"/>
      <c r="OVP8" s="21"/>
      <c r="OVT8" s="15"/>
      <c r="OVZ8" s="25"/>
      <c r="OWG8" s="21"/>
      <c r="OWH8" s="21"/>
      <c r="OWL8" s="15"/>
      <c r="OWR8" s="25"/>
      <c r="OWY8" s="21"/>
      <c r="OWZ8" s="21"/>
      <c r="OXD8" s="15"/>
      <c r="OXJ8" s="25"/>
      <c r="OXQ8" s="21"/>
      <c r="OXR8" s="21"/>
      <c r="OXV8" s="15"/>
      <c r="OYB8" s="25"/>
      <c r="OYI8" s="21"/>
      <c r="OYJ8" s="21"/>
      <c r="OYN8" s="15"/>
      <c r="OYT8" s="25"/>
      <c r="OZA8" s="21"/>
      <c r="OZB8" s="21"/>
      <c r="OZF8" s="15"/>
      <c r="OZL8" s="25"/>
      <c r="OZS8" s="21"/>
      <c r="OZT8" s="21"/>
      <c r="OZX8" s="15"/>
      <c r="PAD8" s="25"/>
      <c r="PAK8" s="21"/>
      <c r="PAL8" s="21"/>
      <c r="PAP8" s="15"/>
      <c r="PAV8" s="25"/>
      <c r="PBC8" s="21"/>
      <c r="PBD8" s="21"/>
      <c r="PBH8" s="15"/>
      <c r="PBN8" s="25"/>
      <c r="PBU8" s="21"/>
      <c r="PBV8" s="21"/>
      <c r="PBZ8" s="15"/>
      <c r="PCF8" s="25"/>
      <c r="PCM8" s="21"/>
      <c r="PCN8" s="21"/>
      <c r="PCR8" s="15"/>
      <c r="PCX8" s="25"/>
      <c r="PDE8" s="21"/>
      <c r="PDF8" s="21"/>
      <c r="PDJ8" s="15"/>
      <c r="PDP8" s="25"/>
      <c r="PDW8" s="21"/>
      <c r="PDX8" s="21"/>
      <c r="PEB8" s="15"/>
      <c r="PEH8" s="25"/>
      <c r="PEO8" s="21"/>
      <c r="PEP8" s="21"/>
      <c r="PET8" s="15"/>
      <c r="PEZ8" s="25"/>
      <c r="PFG8" s="21"/>
      <c r="PFH8" s="21"/>
      <c r="PFL8" s="15"/>
      <c r="PFR8" s="25"/>
      <c r="PFY8" s="21"/>
      <c r="PFZ8" s="21"/>
      <c r="PGD8" s="15"/>
      <c r="PGJ8" s="25"/>
      <c r="PGQ8" s="21"/>
      <c r="PGR8" s="21"/>
      <c r="PGV8" s="15"/>
      <c r="PHB8" s="25"/>
      <c r="PHI8" s="21"/>
      <c r="PHJ8" s="21"/>
      <c r="PHN8" s="15"/>
      <c r="PHT8" s="25"/>
      <c r="PIA8" s="21"/>
      <c r="PIB8" s="21"/>
      <c r="PIF8" s="15"/>
      <c r="PIL8" s="25"/>
      <c r="PIS8" s="21"/>
      <c r="PIT8" s="21"/>
      <c r="PIX8" s="15"/>
      <c r="PJD8" s="25"/>
      <c r="PJK8" s="21"/>
      <c r="PJL8" s="21"/>
      <c r="PJP8" s="15"/>
      <c r="PJV8" s="25"/>
      <c r="PKC8" s="21"/>
      <c r="PKD8" s="21"/>
      <c r="PKH8" s="15"/>
      <c r="PKN8" s="25"/>
      <c r="PKU8" s="21"/>
      <c r="PKV8" s="21"/>
      <c r="PKZ8" s="15"/>
      <c r="PLF8" s="25"/>
      <c r="PLM8" s="21"/>
      <c r="PLN8" s="21"/>
      <c r="PLR8" s="15"/>
      <c r="PLX8" s="25"/>
      <c r="PME8" s="21"/>
      <c r="PMF8" s="21"/>
      <c r="PMJ8" s="15"/>
      <c r="PMP8" s="25"/>
      <c r="PMW8" s="21"/>
      <c r="PMX8" s="21"/>
      <c r="PNB8" s="15"/>
      <c r="PNH8" s="25"/>
      <c r="PNO8" s="21"/>
      <c r="PNP8" s="21"/>
      <c r="PNT8" s="15"/>
      <c r="PNZ8" s="25"/>
      <c r="POG8" s="21"/>
      <c r="POH8" s="21"/>
      <c r="POL8" s="15"/>
      <c r="POR8" s="25"/>
      <c r="POY8" s="21"/>
      <c r="POZ8" s="21"/>
      <c r="PPD8" s="15"/>
      <c r="PPJ8" s="25"/>
      <c r="PPQ8" s="21"/>
      <c r="PPR8" s="21"/>
      <c r="PPV8" s="15"/>
      <c r="PQB8" s="25"/>
      <c r="PQI8" s="21"/>
      <c r="PQJ8" s="21"/>
      <c r="PQN8" s="15"/>
      <c r="PQT8" s="25"/>
      <c r="PRA8" s="21"/>
      <c r="PRB8" s="21"/>
      <c r="PRF8" s="15"/>
      <c r="PRL8" s="25"/>
      <c r="PRS8" s="21"/>
      <c r="PRT8" s="21"/>
      <c r="PRX8" s="15"/>
      <c r="PSD8" s="25"/>
      <c r="PSK8" s="21"/>
      <c r="PSL8" s="21"/>
      <c r="PSP8" s="15"/>
      <c r="PSV8" s="25"/>
      <c r="PTC8" s="21"/>
      <c r="PTD8" s="21"/>
      <c r="PTH8" s="15"/>
      <c r="PTN8" s="25"/>
      <c r="PTU8" s="21"/>
      <c r="PTV8" s="21"/>
      <c r="PTZ8" s="15"/>
      <c r="PUF8" s="25"/>
      <c r="PUM8" s="21"/>
      <c r="PUN8" s="21"/>
      <c r="PUR8" s="15"/>
      <c r="PUX8" s="25"/>
      <c r="PVE8" s="21"/>
      <c r="PVF8" s="21"/>
      <c r="PVJ8" s="15"/>
      <c r="PVP8" s="25"/>
      <c r="PVW8" s="21"/>
      <c r="PVX8" s="21"/>
      <c r="PWB8" s="15"/>
      <c r="PWH8" s="25"/>
      <c r="PWO8" s="21"/>
      <c r="PWP8" s="21"/>
      <c r="PWT8" s="15"/>
      <c r="PWZ8" s="25"/>
      <c r="PXG8" s="21"/>
      <c r="PXH8" s="21"/>
      <c r="PXL8" s="15"/>
      <c r="PXR8" s="25"/>
      <c r="PXY8" s="21"/>
      <c r="PXZ8" s="21"/>
      <c r="PYD8" s="15"/>
      <c r="PYJ8" s="25"/>
      <c r="PYQ8" s="21"/>
      <c r="PYR8" s="21"/>
      <c r="PYV8" s="15"/>
      <c r="PZB8" s="25"/>
      <c r="PZI8" s="21"/>
      <c r="PZJ8" s="21"/>
      <c r="PZN8" s="15"/>
      <c r="PZT8" s="25"/>
      <c r="QAA8" s="21"/>
      <c r="QAB8" s="21"/>
      <c r="QAF8" s="15"/>
      <c r="QAL8" s="25"/>
      <c r="QAS8" s="21"/>
      <c r="QAT8" s="21"/>
      <c r="QAX8" s="15"/>
      <c r="QBD8" s="25"/>
      <c r="QBK8" s="21"/>
      <c r="QBL8" s="21"/>
      <c r="QBP8" s="15"/>
      <c r="QBV8" s="25"/>
      <c r="QCC8" s="21"/>
      <c r="QCD8" s="21"/>
      <c r="QCH8" s="15"/>
      <c r="QCN8" s="25"/>
      <c r="QCU8" s="21"/>
      <c r="QCV8" s="21"/>
      <c r="QCZ8" s="15"/>
      <c r="QDF8" s="25"/>
      <c r="QDM8" s="21"/>
      <c r="QDN8" s="21"/>
      <c r="QDR8" s="15"/>
      <c r="QDX8" s="25"/>
      <c r="QEE8" s="21"/>
      <c r="QEF8" s="21"/>
      <c r="QEJ8" s="15"/>
      <c r="QEP8" s="25"/>
      <c r="QEW8" s="21"/>
      <c r="QEX8" s="21"/>
      <c r="QFB8" s="15"/>
      <c r="QFH8" s="25"/>
      <c r="QFO8" s="21"/>
      <c r="QFP8" s="21"/>
      <c r="QFT8" s="15"/>
      <c r="QFZ8" s="25"/>
      <c r="QGG8" s="21"/>
      <c r="QGH8" s="21"/>
      <c r="QGL8" s="15"/>
      <c r="QGR8" s="25"/>
      <c r="QGY8" s="21"/>
      <c r="QGZ8" s="21"/>
      <c r="QHD8" s="15"/>
      <c r="QHJ8" s="25"/>
      <c r="QHQ8" s="21"/>
      <c r="QHR8" s="21"/>
      <c r="QHV8" s="15"/>
      <c r="QIB8" s="25"/>
      <c r="QII8" s="21"/>
      <c r="QIJ8" s="21"/>
      <c r="QIN8" s="15"/>
      <c r="QIT8" s="25"/>
      <c r="QJA8" s="21"/>
      <c r="QJB8" s="21"/>
      <c r="QJF8" s="15"/>
      <c r="QJL8" s="25"/>
      <c r="QJS8" s="21"/>
      <c r="QJT8" s="21"/>
      <c r="QJX8" s="15"/>
      <c r="QKD8" s="25"/>
      <c r="QKK8" s="21"/>
      <c r="QKL8" s="21"/>
      <c r="QKP8" s="15"/>
      <c r="QKV8" s="25"/>
      <c r="QLC8" s="21"/>
      <c r="QLD8" s="21"/>
      <c r="QLH8" s="15"/>
      <c r="QLN8" s="25"/>
      <c r="QLU8" s="21"/>
      <c r="QLV8" s="21"/>
      <c r="QLZ8" s="15"/>
      <c r="QMF8" s="25"/>
      <c r="QMM8" s="21"/>
      <c r="QMN8" s="21"/>
      <c r="QMR8" s="15"/>
      <c r="QMX8" s="25"/>
      <c r="QNE8" s="21"/>
      <c r="QNF8" s="21"/>
      <c r="QNJ8" s="15"/>
      <c r="QNP8" s="25"/>
      <c r="QNW8" s="21"/>
      <c r="QNX8" s="21"/>
      <c r="QOB8" s="15"/>
      <c r="QOH8" s="25"/>
      <c r="QOO8" s="21"/>
      <c r="QOP8" s="21"/>
      <c r="QOT8" s="15"/>
      <c r="QOZ8" s="25"/>
      <c r="QPG8" s="21"/>
      <c r="QPH8" s="21"/>
      <c r="QPL8" s="15"/>
      <c r="QPR8" s="25"/>
      <c r="QPY8" s="21"/>
      <c r="QPZ8" s="21"/>
      <c r="QQD8" s="15"/>
      <c r="QQJ8" s="25"/>
      <c r="QQQ8" s="21"/>
      <c r="QQR8" s="21"/>
      <c r="QQV8" s="15"/>
      <c r="QRB8" s="25"/>
      <c r="QRI8" s="21"/>
      <c r="QRJ8" s="21"/>
      <c r="QRN8" s="15"/>
      <c r="QRT8" s="25"/>
      <c r="QSA8" s="21"/>
      <c r="QSB8" s="21"/>
      <c r="QSF8" s="15"/>
      <c r="QSL8" s="25"/>
      <c r="QSS8" s="21"/>
      <c r="QST8" s="21"/>
      <c r="QSX8" s="15"/>
      <c r="QTD8" s="25"/>
      <c r="QTK8" s="21"/>
      <c r="QTL8" s="21"/>
      <c r="QTP8" s="15"/>
      <c r="QTV8" s="25"/>
      <c r="QUC8" s="21"/>
      <c r="QUD8" s="21"/>
      <c r="QUH8" s="15"/>
      <c r="QUN8" s="25"/>
      <c r="QUU8" s="21"/>
      <c r="QUV8" s="21"/>
      <c r="QUZ8" s="15"/>
      <c r="QVF8" s="25"/>
      <c r="QVM8" s="21"/>
      <c r="QVN8" s="21"/>
      <c r="QVR8" s="15"/>
      <c r="QVX8" s="25"/>
      <c r="QWE8" s="21"/>
      <c r="QWF8" s="21"/>
      <c r="QWJ8" s="15"/>
      <c r="QWP8" s="25"/>
      <c r="QWW8" s="21"/>
      <c r="QWX8" s="21"/>
      <c r="QXB8" s="15"/>
      <c r="QXH8" s="25"/>
      <c r="QXO8" s="21"/>
      <c r="QXP8" s="21"/>
      <c r="QXT8" s="15"/>
      <c r="QXZ8" s="25"/>
      <c r="QYG8" s="21"/>
      <c r="QYH8" s="21"/>
      <c r="QYL8" s="15"/>
      <c r="QYR8" s="25"/>
      <c r="QYY8" s="21"/>
      <c r="QYZ8" s="21"/>
      <c r="QZD8" s="15"/>
      <c r="QZJ8" s="25"/>
      <c r="QZQ8" s="21"/>
      <c r="QZR8" s="21"/>
      <c r="QZV8" s="15"/>
      <c r="RAB8" s="25"/>
      <c r="RAI8" s="21"/>
      <c r="RAJ8" s="21"/>
      <c r="RAN8" s="15"/>
      <c r="RAT8" s="25"/>
      <c r="RBA8" s="21"/>
      <c r="RBB8" s="21"/>
      <c r="RBF8" s="15"/>
      <c r="RBL8" s="25"/>
      <c r="RBS8" s="21"/>
      <c r="RBT8" s="21"/>
      <c r="RBX8" s="15"/>
      <c r="RCD8" s="25"/>
      <c r="RCK8" s="21"/>
      <c r="RCL8" s="21"/>
      <c r="RCP8" s="15"/>
      <c r="RCV8" s="25"/>
      <c r="RDC8" s="21"/>
      <c r="RDD8" s="21"/>
      <c r="RDH8" s="15"/>
      <c r="RDN8" s="25"/>
      <c r="RDU8" s="21"/>
      <c r="RDV8" s="21"/>
      <c r="RDZ8" s="15"/>
      <c r="REF8" s="25"/>
      <c r="REM8" s="21"/>
      <c r="REN8" s="21"/>
      <c r="RER8" s="15"/>
      <c r="REX8" s="25"/>
      <c r="RFE8" s="21"/>
      <c r="RFF8" s="21"/>
      <c r="RFJ8" s="15"/>
      <c r="RFP8" s="25"/>
      <c r="RFW8" s="21"/>
      <c r="RFX8" s="21"/>
      <c r="RGB8" s="15"/>
      <c r="RGH8" s="25"/>
      <c r="RGO8" s="21"/>
      <c r="RGP8" s="21"/>
      <c r="RGT8" s="15"/>
      <c r="RGZ8" s="25"/>
      <c r="RHG8" s="21"/>
      <c r="RHH8" s="21"/>
      <c r="RHL8" s="15"/>
      <c r="RHR8" s="25"/>
      <c r="RHY8" s="21"/>
      <c r="RHZ8" s="21"/>
      <c r="RID8" s="15"/>
      <c r="RIJ8" s="25"/>
      <c r="RIQ8" s="21"/>
      <c r="RIR8" s="21"/>
      <c r="RIV8" s="15"/>
      <c r="RJB8" s="25"/>
      <c r="RJI8" s="21"/>
      <c r="RJJ8" s="21"/>
      <c r="RJN8" s="15"/>
      <c r="RJT8" s="25"/>
      <c r="RKA8" s="21"/>
      <c r="RKB8" s="21"/>
      <c r="RKF8" s="15"/>
      <c r="RKL8" s="25"/>
      <c r="RKS8" s="21"/>
      <c r="RKT8" s="21"/>
      <c r="RKX8" s="15"/>
      <c r="RLD8" s="25"/>
      <c r="RLK8" s="21"/>
      <c r="RLL8" s="21"/>
      <c r="RLP8" s="15"/>
      <c r="RLV8" s="25"/>
      <c r="RMC8" s="21"/>
      <c r="RMD8" s="21"/>
      <c r="RMH8" s="15"/>
      <c r="RMN8" s="25"/>
      <c r="RMU8" s="21"/>
      <c r="RMV8" s="21"/>
      <c r="RMZ8" s="15"/>
      <c r="RNF8" s="25"/>
      <c r="RNM8" s="21"/>
      <c r="RNN8" s="21"/>
      <c r="RNR8" s="15"/>
      <c r="RNX8" s="25"/>
      <c r="ROE8" s="21"/>
      <c r="ROF8" s="21"/>
      <c r="ROJ8" s="15"/>
      <c r="ROP8" s="25"/>
      <c r="ROW8" s="21"/>
      <c r="ROX8" s="21"/>
      <c r="RPB8" s="15"/>
      <c r="RPH8" s="25"/>
      <c r="RPO8" s="21"/>
      <c r="RPP8" s="21"/>
      <c r="RPT8" s="15"/>
      <c r="RPZ8" s="25"/>
      <c r="RQG8" s="21"/>
      <c r="RQH8" s="21"/>
      <c r="RQL8" s="15"/>
      <c r="RQR8" s="25"/>
      <c r="RQY8" s="21"/>
      <c r="RQZ8" s="21"/>
      <c r="RRD8" s="15"/>
      <c r="RRJ8" s="25"/>
      <c r="RRQ8" s="21"/>
      <c r="RRR8" s="21"/>
      <c r="RRV8" s="15"/>
      <c r="RSB8" s="25"/>
      <c r="RSI8" s="21"/>
      <c r="RSJ8" s="21"/>
      <c r="RSN8" s="15"/>
      <c r="RST8" s="25"/>
      <c r="RTA8" s="21"/>
      <c r="RTB8" s="21"/>
      <c r="RTF8" s="15"/>
      <c r="RTL8" s="25"/>
      <c r="RTS8" s="21"/>
      <c r="RTT8" s="21"/>
      <c r="RTX8" s="15"/>
      <c r="RUD8" s="25"/>
      <c r="RUK8" s="21"/>
      <c r="RUL8" s="21"/>
      <c r="RUP8" s="15"/>
      <c r="RUV8" s="25"/>
      <c r="RVC8" s="21"/>
      <c r="RVD8" s="21"/>
      <c r="RVH8" s="15"/>
      <c r="RVN8" s="25"/>
      <c r="RVU8" s="21"/>
      <c r="RVV8" s="21"/>
      <c r="RVZ8" s="15"/>
      <c r="RWF8" s="25"/>
      <c r="RWM8" s="21"/>
      <c r="RWN8" s="21"/>
      <c r="RWR8" s="15"/>
      <c r="RWX8" s="25"/>
      <c r="RXE8" s="21"/>
      <c r="RXF8" s="21"/>
      <c r="RXJ8" s="15"/>
      <c r="RXP8" s="25"/>
      <c r="RXW8" s="21"/>
      <c r="RXX8" s="21"/>
      <c r="RYB8" s="15"/>
      <c r="RYH8" s="25"/>
      <c r="RYO8" s="21"/>
      <c r="RYP8" s="21"/>
      <c r="RYT8" s="15"/>
      <c r="RYZ8" s="25"/>
      <c r="RZG8" s="21"/>
      <c r="RZH8" s="21"/>
      <c r="RZL8" s="15"/>
      <c r="RZR8" s="25"/>
      <c r="RZY8" s="21"/>
      <c r="RZZ8" s="21"/>
      <c r="SAD8" s="15"/>
      <c r="SAJ8" s="25"/>
      <c r="SAQ8" s="21"/>
      <c r="SAR8" s="21"/>
      <c r="SAV8" s="15"/>
      <c r="SBB8" s="25"/>
      <c r="SBI8" s="21"/>
      <c r="SBJ8" s="21"/>
      <c r="SBN8" s="15"/>
      <c r="SBT8" s="25"/>
      <c r="SCA8" s="21"/>
      <c r="SCB8" s="21"/>
      <c r="SCF8" s="15"/>
      <c r="SCL8" s="25"/>
      <c r="SCS8" s="21"/>
      <c r="SCT8" s="21"/>
      <c r="SCX8" s="15"/>
      <c r="SDD8" s="25"/>
      <c r="SDK8" s="21"/>
      <c r="SDL8" s="21"/>
      <c r="SDP8" s="15"/>
      <c r="SDV8" s="25"/>
      <c r="SEC8" s="21"/>
      <c r="SED8" s="21"/>
      <c r="SEH8" s="15"/>
      <c r="SEN8" s="25"/>
      <c r="SEU8" s="21"/>
      <c r="SEV8" s="21"/>
      <c r="SEZ8" s="15"/>
      <c r="SFF8" s="25"/>
      <c r="SFM8" s="21"/>
      <c r="SFN8" s="21"/>
      <c r="SFR8" s="15"/>
      <c r="SFX8" s="25"/>
      <c r="SGE8" s="21"/>
      <c r="SGF8" s="21"/>
      <c r="SGJ8" s="15"/>
      <c r="SGP8" s="25"/>
      <c r="SGW8" s="21"/>
      <c r="SGX8" s="21"/>
      <c r="SHB8" s="15"/>
      <c r="SHH8" s="25"/>
      <c r="SHO8" s="21"/>
      <c r="SHP8" s="21"/>
      <c r="SHT8" s="15"/>
      <c r="SHZ8" s="25"/>
      <c r="SIG8" s="21"/>
      <c r="SIH8" s="21"/>
      <c r="SIL8" s="15"/>
      <c r="SIR8" s="25"/>
      <c r="SIY8" s="21"/>
      <c r="SIZ8" s="21"/>
      <c r="SJD8" s="15"/>
      <c r="SJJ8" s="25"/>
      <c r="SJQ8" s="21"/>
      <c r="SJR8" s="21"/>
      <c r="SJV8" s="15"/>
      <c r="SKB8" s="25"/>
      <c r="SKI8" s="21"/>
      <c r="SKJ8" s="21"/>
      <c r="SKN8" s="15"/>
      <c r="SKT8" s="25"/>
      <c r="SLA8" s="21"/>
      <c r="SLB8" s="21"/>
      <c r="SLF8" s="15"/>
      <c r="SLL8" s="25"/>
      <c r="SLS8" s="21"/>
      <c r="SLT8" s="21"/>
      <c r="SLX8" s="15"/>
      <c r="SMD8" s="25"/>
      <c r="SMK8" s="21"/>
      <c r="SML8" s="21"/>
      <c r="SMP8" s="15"/>
      <c r="SMV8" s="25"/>
      <c r="SNC8" s="21"/>
      <c r="SND8" s="21"/>
      <c r="SNH8" s="15"/>
      <c r="SNN8" s="25"/>
      <c r="SNU8" s="21"/>
      <c r="SNV8" s="21"/>
      <c r="SNZ8" s="15"/>
      <c r="SOF8" s="25"/>
      <c r="SOM8" s="21"/>
      <c r="SON8" s="21"/>
      <c r="SOR8" s="15"/>
      <c r="SOX8" s="25"/>
      <c r="SPE8" s="21"/>
      <c r="SPF8" s="21"/>
      <c r="SPJ8" s="15"/>
      <c r="SPP8" s="25"/>
      <c r="SPW8" s="21"/>
      <c r="SPX8" s="21"/>
      <c r="SQB8" s="15"/>
      <c r="SQH8" s="25"/>
      <c r="SQO8" s="21"/>
      <c r="SQP8" s="21"/>
      <c r="SQT8" s="15"/>
      <c r="SQZ8" s="25"/>
      <c r="SRG8" s="21"/>
      <c r="SRH8" s="21"/>
      <c r="SRL8" s="15"/>
      <c r="SRR8" s="25"/>
      <c r="SRY8" s="21"/>
      <c r="SRZ8" s="21"/>
      <c r="SSD8" s="15"/>
      <c r="SSJ8" s="25"/>
      <c r="SSQ8" s="21"/>
      <c r="SSR8" s="21"/>
      <c r="SSV8" s="15"/>
      <c r="STB8" s="25"/>
      <c r="STI8" s="21"/>
      <c r="STJ8" s="21"/>
      <c r="STN8" s="15"/>
      <c r="STT8" s="25"/>
      <c r="SUA8" s="21"/>
      <c r="SUB8" s="21"/>
      <c r="SUF8" s="15"/>
      <c r="SUL8" s="25"/>
      <c r="SUS8" s="21"/>
      <c r="SUT8" s="21"/>
      <c r="SUX8" s="15"/>
      <c r="SVD8" s="25"/>
      <c r="SVK8" s="21"/>
      <c r="SVL8" s="21"/>
      <c r="SVP8" s="15"/>
      <c r="SVV8" s="25"/>
      <c r="SWC8" s="21"/>
      <c r="SWD8" s="21"/>
      <c r="SWH8" s="15"/>
      <c r="SWN8" s="25"/>
      <c r="SWU8" s="21"/>
      <c r="SWV8" s="21"/>
      <c r="SWZ8" s="15"/>
      <c r="SXF8" s="25"/>
      <c r="SXM8" s="21"/>
      <c r="SXN8" s="21"/>
      <c r="SXR8" s="15"/>
      <c r="SXX8" s="25"/>
      <c r="SYE8" s="21"/>
      <c r="SYF8" s="21"/>
      <c r="SYJ8" s="15"/>
      <c r="SYP8" s="25"/>
      <c r="SYW8" s="21"/>
      <c r="SYX8" s="21"/>
      <c r="SZB8" s="15"/>
      <c r="SZH8" s="25"/>
      <c r="SZO8" s="21"/>
      <c r="SZP8" s="21"/>
      <c r="SZT8" s="15"/>
      <c r="SZZ8" s="25"/>
      <c r="TAG8" s="21"/>
      <c r="TAH8" s="21"/>
      <c r="TAL8" s="15"/>
      <c r="TAR8" s="25"/>
      <c r="TAY8" s="21"/>
      <c r="TAZ8" s="21"/>
      <c r="TBD8" s="15"/>
      <c r="TBJ8" s="25"/>
      <c r="TBQ8" s="21"/>
      <c r="TBR8" s="21"/>
      <c r="TBV8" s="15"/>
      <c r="TCB8" s="25"/>
      <c r="TCI8" s="21"/>
      <c r="TCJ8" s="21"/>
      <c r="TCN8" s="15"/>
      <c r="TCT8" s="25"/>
      <c r="TDA8" s="21"/>
      <c r="TDB8" s="21"/>
      <c r="TDF8" s="15"/>
      <c r="TDL8" s="25"/>
      <c r="TDS8" s="21"/>
      <c r="TDT8" s="21"/>
      <c r="TDX8" s="15"/>
      <c r="TED8" s="25"/>
      <c r="TEK8" s="21"/>
      <c r="TEL8" s="21"/>
      <c r="TEP8" s="15"/>
      <c r="TEV8" s="25"/>
      <c r="TFC8" s="21"/>
      <c r="TFD8" s="21"/>
      <c r="TFH8" s="15"/>
      <c r="TFN8" s="25"/>
      <c r="TFU8" s="21"/>
      <c r="TFV8" s="21"/>
      <c r="TFZ8" s="15"/>
      <c r="TGF8" s="25"/>
      <c r="TGM8" s="21"/>
      <c r="TGN8" s="21"/>
      <c r="TGR8" s="15"/>
      <c r="TGX8" s="25"/>
      <c r="THE8" s="21"/>
      <c r="THF8" s="21"/>
      <c r="THJ8" s="15"/>
      <c r="THP8" s="25"/>
      <c r="THW8" s="21"/>
      <c r="THX8" s="21"/>
      <c r="TIB8" s="15"/>
      <c r="TIH8" s="25"/>
      <c r="TIO8" s="21"/>
      <c r="TIP8" s="21"/>
      <c r="TIT8" s="15"/>
      <c r="TIZ8" s="25"/>
      <c r="TJG8" s="21"/>
      <c r="TJH8" s="21"/>
      <c r="TJL8" s="15"/>
      <c r="TJR8" s="25"/>
      <c r="TJY8" s="21"/>
      <c r="TJZ8" s="21"/>
      <c r="TKD8" s="15"/>
      <c r="TKJ8" s="25"/>
      <c r="TKQ8" s="21"/>
      <c r="TKR8" s="21"/>
      <c r="TKV8" s="15"/>
      <c r="TLB8" s="25"/>
      <c r="TLI8" s="21"/>
      <c r="TLJ8" s="21"/>
      <c r="TLN8" s="15"/>
      <c r="TLT8" s="25"/>
      <c r="TMA8" s="21"/>
      <c r="TMB8" s="21"/>
      <c r="TMF8" s="15"/>
      <c r="TML8" s="25"/>
      <c r="TMS8" s="21"/>
      <c r="TMT8" s="21"/>
      <c r="TMX8" s="15"/>
      <c r="TND8" s="25"/>
      <c r="TNK8" s="21"/>
      <c r="TNL8" s="21"/>
      <c r="TNP8" s="15"/>
      <c r="TNV8" s="25"/>
      <c r="TOC8" s="21"/>
      <c r="TOD8" s="21"/>
      <c r="TOH8" s="15"/>
      <c r="TON8" s="25"/>
      <c r="TOU8" s="21"/>
      <c r="TOV8" s="21"/>
      <c r="TOZ8" s="15"/>
      <c r="TPF8" s="25"/>
      <c r="TPM8" s="21"/>
      <c r="TPN8" s="21"/>
      <c r="TPR8" s="15"/>
      <c r="TPX8" s="25"/>
      <c r="TQE8" s="21"/>
      <c r="TQF8" s="21"/>
      <c r="TQJ8" s="15"/>
      <c r="TQP8" s="25"/>
      <c r="TQW8" s="21"/>
      <c r="TQX8" s="21"/>
      <c r="TRB8" s="15"/>
      <c r="TRH8" s="25"/>
      <c r="TRO8" s="21"/>
      <c r="TRP8" s="21"/>
      <c r="TRT8" s="15"/>
      <c r="TRZ8" s="25"/>
      <c r="TSG8" s="21"/>
      <c r="TSH8" s="21"/>
      <c r="TSL8" s="15"/>
      <c r="TSR8" s="25"/>
      <c r="TSY8" s="21"/>
      <c r="TSZ8" s="21"/>
      <c r="TTD8" s="15"/>
      <c r="TTJ8" s="25"/>
      <c r="TTQ8" s="21"/>
      <c r="TTR8" s="21"/>
      <c r="TTV8" s="15"/>
      <c r="TUB8" s="25"/>
      <c r="TUI8" s="21"/>
      <c r="TUJ8" s="21"/>
      <c r="TUN8" s="15"/>
      <c r="TUT8" s="25"/>
      <c r="TVA8" s="21"/>
      <c r="TVB8" s="21"/>
      <c r="TVF8" s="15"/>
      <c r="TVL8" s="25"/>
      <c r="TVS8" s="21"/>
      <c r="TVT8" s="21"/>
      <c r="TVX8" s="15"/>
      <c r="TWD8" s="25"/>
      <c r="TWK8" s="21"/>
      <c r="TWL8" s="21"/>
      <c r="TWP8" s="15"/>
      <c r="TWV8" s="25"/>
      <c r="TXC8" s="21"/>
      <c r="TXD8" s="21"/>
      <c r="TXH8" s="15"/>
      <c r="TXN8" s="25"/>
      <c r="TXU8" s="21"/>
      <c r="TXV8" s="21"/>
      <c r="TXZ8" s="15"/>
      <c r="TYF8" s="25"/>
      <c r="TYM8" s="21"/>
      <c r="TYN8" s="21"/>
      <c r="TYR8" s="15"/>
      <c r="TYX8" s="25"/>
      <c r="TZE8" s="21"/>
      <c r="TZF8" s="21"/>
      <c r="TZJ8" s="15"/>
      <c r="TZP8" s="25"/>
      <c r="TZW8" s="21"/>
      <c r="TZX8" s="21"/>
      <c r="UAB8" s="15"/>
      <c r="UAH8" s="25"/>
      <c r="UAO8" s="21"/>
      <c r="UAP8" s="21"/>
      <c r="UAT8" s="15"/>
      <c r="UAZ8" s="25"/>
      <c r="UBG8" s="21"/>
      <c r="UBH8" s="21"/>
      <c r="UBL8" s="15"/>
      <c r="UBR8" s="25"/>
      <c r="UBY8" s="21"/>
      <c r="UBZ8" s="21"/>
      <c r="UCD8" s="15"/>
      <c r="UCJ8" s="25"/>
      <c r="UCQ8" s="21"/>
      <c r="UCR8" s="21"/>
      <c r="UCV8" s="15"/>
      <c r="UDB8" s="25"/>
      <c r="UDI8" s="21"/>
      <c r="UDJ8" s="21"/>
      <c r="UDN8" s="15"/>
      <c r="UDT8" s="25"/>
      <c r="UEA8" s="21"/>
      <c r="UEB8" s="21"/>
      <c r="UEF8" s="15"/>
      <c r="UEL8" s="25"/>
      <c r="UES8" s="21"/>
      <c r="UET8" s="21"/>
      <c r="UEX8" s="15"/>
      <c r="UFD8" s="25"/>
      <c r="UFK8" s="21"/>
      <c r="UFL8" s="21"/>
      <c r="UFP8" s="15"/>
      <c r="UFV8" s="25"/>
      <c r="UGC8" s="21"/>
      <c r="UGD8" s="21"/>
      <c r="UGH8" s="15"/>
      <c r="UGN8" s="25"/>
      <c r="UGU8" s="21"/>
      <c r="UGV8" s="21"/>
      <c r="UGZ8" s="15"/>
      <c r="UHF8" s="25"/>
      <c r="UHM8" s="21"/>
      <c r="UHN8" s="21"/>
      <c r="UHR8" s="15"/>
      <c r="UHX8" s="25"/>
      <c r="UIE8" s="21"/>
      <c r="UIF8" s="21"/>
      <c r="UIJ8" s="15"/>
      <c r="UIP8" s="25"/>
      <c r="UIW8" s="21"/>
      <c r="UIX8" s="21"/>
      <c r="UJB8" s="15"/>
      <c r="UJH8" s="25"/>
      <c r="UJO8" s="21"/>
      <c r="UJP8" s="21"/>
      <c r="UJT8" s="15"/>
      <c r="UJZ8" s="25"/>
      <c r="UKG8" s="21"/>
      <c r="UKH8" s="21"/>
      <c r="UKL8" s="15"/>
      <c r="UKR8" s="25"/>
      <c r="UKY8" s="21"/>
      <c r="UKZ8" s="21"/>
      <c r="ULD8" s="15"/>
      <c r="ULJ8" s="25"/>
      <c r="ULQ8" s="21"/>
      <c r="ULR8" s="21"/>
      <c r="ULV8" s="15"/>
      <c r="UMB8" s="25"/>
      <c r="UMI8" s="21"/>
      <c r="UMJ8" s="21"/>
      <c r="UMN8" s="15"/>
      <c r="UMT8" s="25"/>
      <c r="UNA8" s="21"/>
      <c r="UNB8" s="21"/>
      <c r="UNF8" s="15"/>
      <c r="UNL8" s="25"/>
      <c r="UNS8" s="21"/>
      <c r="UNT8" s="21"/>
      <c r="UNX8" s="15"/>
      <c r="UOD8" s="25"/>
      <c r="UOK8" s="21"/>
      <c r="UOL8" s="21"/>
      <c r="UOP8" s="15"/>
      <c r="UOV8" s="25"/>
      <c r="UPC8" s="21"/>
      <c r="UPD8" s="21"/>
      <c r="UPH8" s="15"/>
      <c r="UPN8" s="25"/>
      <c r="UPU8" s="21"/>
      <c r="UPV8" s="21"/>
      <c r="UPZ8" s="15"/>
      <c r="UQF8" s="25"/>
      <c r="UQM8" s="21"/>
      <c r="UQN8" s="21"/>
      <c r="UQR8" s="15"/>
      <c r="UQX8" s="25"/>
      <c r="URE8" s="21"/>
      <c r="URF8" s="21"/>
      <c r="URJ8" s="15"/>
      <c r="URP8" s="25"/>
      <c r="URW8" s="21"/>
      <c r="URX8" s="21"/>
      <c r="USB8" s="15"/>
      <c r="USH8" s="25"/>
      <c r="USO8" s="21"/>
      <c r="USP8" s="21"/>
      <c r="UST8" s="15"/>
      <c r="USZ8" s="25"/>
      <c r="UTG8" s="21"/>
      <c r="UTH8" s="21"/>
      <c r="UTL8" s="15"/>
      <c r="UTR8" s="25"/>
      <c r="UTY8" s="21"/>
      <c r="UTZ8" s="21"/>
      <c r="UUD8" s="15"/>
      <c r="UUJ8" s="25"/>
      <c r="UUQ8" s="21"/>
      <c r="UUR8" s="21"/>
      <c r="UUV8" s="15"/>
      <c r="UVB8" s="25"/>
      <c r="UVI8" s="21"/>
      <c r="UVJ8" s="21"/>
      <c r="UVN8" s="15"/>
      <c r="UVT8" s="25"/>
      <c r="UWA8" s="21"/>
      <c r="UWB8" s="21"/>
      <c r="UWF8" s="15"/>
      <c r="UWL8" s="25"/>
      <c r="UWS8" s="21"/>
      <c r="UWT8" s="21"/>
      <c r="UWX8" s="15"/>
      <c r="UXD8" s="25"/>
      <c r="UXK8" s="21"/>
      <c r="UXL8" s="21"/>
      <c r="UXP8" s="15"/>
      <c r="UXV8" s="25"/>
      <c r="UYC8" s="21"/>
      <c r="UYD8" s="21"/>
      <c r="UYH8" s="15"/>
      <c r="UYN8" s="25"/>
      <c r="UYU8" s="21"/>
      <c r="UYV8" s="21"/>
      <c r="UYZ8" s="15"/>
      <c r="UZF8" s="25"/>
      <c r="UZM8" s="21"/>
      <c r="UZN8" s="21"/>
      <c r="UZR8" s="15"/>
      <c r="UZX8" s="25"/>
      <c r="VAE8" s="21"/>
      <c r="VAF8" s="21"/>
      <c r="VAJ8" s="15"/>
      <c r="VAP8" s="25"/>
      <c r="VAW8" s="21"/>
      <c r="VAX8" s="21"/>
      <c r="VBB8" s="15"/>
      <c r="VBH8" s="25"/>
      <c r="VBO8" s="21"/>
      <c r="VBP8" s="21"/>
      <c r="VBT8" s="15"/>
      <c r="VBZ8" s="25"/>
      <c r="VCG8" s="21"/>
      <c r="VCH8" s="21"/>
      <c r="VCL8" s="15"/>
      <c r="VCR8" s="25"/>
      <c r="VCY8" s="21"/>
      <c r="VCZ8" s="21"/>
      <c r="VDD8" s="15"/>
      <c r="VDJ8" s="25"/>
      <c r="VDQ8" s="21"/>
      <c r="VDR8" s="21"/>
      <c r="VDV8" s="15"/>
      <c r="VEB8" s="25"/>
      <c r="VEI8" s="21"/>
      <c r="VEJ8" s="21"/>
      <c r="VEN8" s="15"/>
      <c r="VET8" s="25"/>
      <c r="VFA8" s="21"/>
      <c r="VFB8" s="21"/>
      <c r="VFF8" s="15"/>
      <c r="VFL8" s="25"/>
      <c r="VFS8" s="21"/>
      <c r="VFT8" s="21"/>
      <c r="VFX8" s="15"/>
      <c r="VGD8" s="25"/>
      <c r="VGK8" s="21"/>
      <c r="VGL8" s="21"/>
      <c r="VGP8" s="15"/>
      <c r="VGV8" s="25"/>
      <c r="VHC8" s="21"/>
      <c r="VHD8" s="21"/>
      <c r="VHH8" s="15"/>
      <c r="VHN8" s="25"/>
      <c r="VHU8" s="21"/>
      <c r="VHV8" s="21"/>
      <c r="VHZ8" s="15"/>
      <c r="VIF8" s="25"/>
      <c r="VIM8" s="21"/>
      <c r="VIN8" s="21"/>
      <c r="VIR8" s="15"/>
      <c r="VIX8" s="25"/>
      <c r="VJE8" s="21"/>
      <c r="VJF8" s="21"/>
      <c r="VJJ8" s="15"/>
      <c r="VJP8" s="25"/>
      <c r="VJW8" s="21"/>
      <c r="VJX8" s="21"/>
      <c r="VKB8" s="15"/>
      <c r="VKH8" s="25"/>
      <c r="VKO8" s="21"/>
      <c r="VKP8" s="21"/>
      <c r="VKT8" s="15"/>
      <c r="VKZ8" s="25"/>
      <c r="VLG8" s="21"/>
      <c r="VLH8" s="21"/>
      <c r="VLL8" s="15"/>
      <c r="VLR8" s="25"/>
      <c r="VLY8" s="21"/>
      <c r="VLZ8" s="21"/>
      <c r="VMD8" s="15"/>
      <c r="VMJ8" s="25"/>
      <c r="VMQ8" s="21"/>
      <c r="VMR8" s="21"/>
      <c r="VMV8" s="15"/>
      <c r="VNB8" s="25"/>
      <c r="VNI8" s="21"/>
      <c r="VNJ8" s="21"/>
      <c r="VNN8" s="15"/>
      <c r="VNT8" s="25"/>
      <c r="VOA8" s="21"/>
      <c r="VOB8" s="21"/>
      <c r="VOF8" s="15"/>
      <c r="VOL8" s="25"/>
      <c r="VOS8" s="21"/>
      <c r="VOT8" s="21"/>
      <c r="VOX8" s="15"/>
      <c r="VPD8" s="25"/>
      <c r="VPK8" s="21"/>
      <c r="VPL8" s="21"/>
      <c r="VPP8" s="15"/>
      <c r="VPV8" s="25"/>
      <c r="VQC8" s="21"/>
      <c r="VQD8" s="21"/>
      <c r="VQH8" s="15"/>
      <c r="VQN8" s="25"/>
      <c r="VQU8" s="21"/>
      <c r="VQV8" s="21"/>
      <c r="VQZ8" s="15"/>
      <c r="VRF8" s="25"/>
      <c r="VRM8" s="21"/>
      <c r="VRN8" s="21"/>
      <c r="VRR8" s="15"/>
      <c r="VRX8" s="25"/>
      <c r="VSE8" s="21"/>
      <c r="VSF8" s="21"/>
      <c r="VSJ8" s="15"/>
      <c r="VSP8" s="25"/>
      <c r="VSW8" s="21"/>
      <c r="VSX8" s="21"/>
      <c r="VTB8" s="15"/>
      <c r="VTH8" s="25"/>
      <c r="VTO8" s="21"/>
      <c r="VTP8" s="21"/>
      <c r="VTT8" s="15"/>
      <c r="VTZ8" s="25"/>
      <c r="VUG8" s="21"/>
      <c r="VUH8" s="21"/>
      <c r="VUL8" s="15"/>
      <c r="VUR8" s="25"/>
      <c r="VUY8" s="21"/>
      <c r="VUZ8" s="21"/>
      <c r="VVD8" s="15"/>
      <c r="VVJ8" s="25"/>
      <c r="VVQ8" s="21"/>
      <c r="VVR8" s="21"/>
      <c r="VVV8" s="15"/>
      <c r="VWB8" s="25"/>
      <c r="VWI8" s="21"/>
      <c r="VWJ8" s="21"/>
      <c r="VWN8" s="15"/>
      <c r="VWT8" s="25"/>
      <c r="VXA8" s="21"/>
      <c r="VXB8" s="21"/>
      <c r="VXF8" s="15"/>
      <c r="VXL8" s="25"/>
      <c r="VXS8" s="21"/>
      <c r="VXT8" s="21"/>
      <c r="VXX8" s="15"/>
      <c r="VYD8" s="25"/>
      <c r="VYK8" s="21"/>
      <c r="VYL8" s="21"/>
      <c r="VYP8" s="15"/>
      <c r="VYV8" s="25"/>
      <c r="VZC8" s="21"/>
      <c r="VZD8" s="21"/>
      <c r="VZH8" s="15"/>
      <c r="VZN8" s="25"/>
      <c r="VZU8" s="21"/>
      <c r="VZV8" s="21"/>
      <c r="VZZ8" s="15"/>
      <c r="WAF8" s="25"/>
      <c r="WAM8" s="21"/>
      <c r="WAN8" s="21"/>
      <c r="WAR8" s="15"/>
      <c r="WAX8" s="25"/>
      <c r="WBE8" s="21"/>
      <c r="WBF8" s="21"/>
      <c r="WBJ8" s="15"/>
      <c r="WBP8" s="25"/>
      <c r="WBW8" s="21"/>
      <c r="WBX8" s="21"/>
      <c r="WCB8" s="15"/>
      <c r="WCH8" s="25"/>
      <c r="WCO8" s="21"/>
      <c r="WCP8" s="21"/>
      <c r="WCT8" s="15"/>
      <c r="WCZ8" s="25"/>
      <c r="WDG8" s="21"/>
      <c r="WDH8" s="21"/>
      <c r="WDL8" s="15"/>
      <c r="WDR8" s="25"/>
      <c r="WDY8" s="21"/>
      <c r="WDZ8" s="21"/>
      <c r="WED8" s="15"/>
      <c r="WEJ8" s="25"/>
      <c r="WEQ8" s="21"/>
      <c r="WER8" s="21"/>
      <c r="WEV8" s="15"/>
      <c r="WFB8" s="25"/>
      <c r="WFI8" s="21"/>
      <c r="WFJ8" s="21"/>
      <c r="WFN8" s="15"/>
      <c r="WFT8" s="25"/>
      <c r="WGA8" s="21"/>
      <c r="WGB8" s="21"/>
      <c r="WGF8" s="15"/>
      <c r="WGL8" s="25"/>
      <c r="WGS8" s="21"/>
      <c r="WGT8" s="21"/>
      <c r="WGX8" s="15"/>
      <c r="WHD8" s="25"/>
      <c r="WHK8" s="21"/>
      <c r="WHL8" s="21"/>
      <c r="WHP8" s="15"/>
      <c r="WHV8" s="25"/>
      <c r="WIC8" s="21"/>
      <c r="WID8" s="21"/>
      <c r="WIH8" s="15"/>
      <c r="WIN8" s="25"/>
      <c r="WIU8" s="21"/>
      <c r="WIV8" s="21"/>
      <c r="WIZ8" s="15"/>
      <c r="WJF8" s="25"/>
      <c r="WJM8" s="21"/>
      <c r="WJN8" s="21"/>
      <c r="WJR8" s="15"/>
      <c r="WJX8" s="25"/>
      <c r="WKE8" s="21"/>
      <c r="WKF8" s="21"/>
      <c r="WKJ8" s="15"/>
      <c r="WKP8" s="25"/>
      <c r="WKW8" s="21"/>
      <c r="WKX8" s="21"/>
      <c r="WLB8" s="15"/>
      <c r="WLH8" s="25"/>
      <c r="WLO8" s="21"/>
      <c r="WLP8" s="21"/>
      <c r="WLT8" s="15"/>
      <c r="WLZ8" s="25"/>
      <c r="WMG8" s="21"/>
      <c r="WMH8" s="21"/>
      <c r="WML8" s="15"/>
      <c r="WMR8" s="25"/>
      <c r="WMY8" s="21"/>
      <c r="WMZ8" s="21"/>
      <c r="WND8" s="15"/>
      <c r="WNJ8" s="25"/>
      <c r="WNQ8" s="21"/>
      <c r="WNR8" s="21"/>
      <c r="WNV8" s="15"/>
      <c r="WOB8" s="25"/>
      <c r="WOI8" s="21"/>
      <c r="WOJ8" s="21"/>
      <c r="WON8" s="15"/>
      <c r="WOT8" s="25"/>
      <c r="WPA8" s="21"/>
      <c r="WPB8" s="21"/>
      <c r="WPF8" s="15"/>
      <c r="WPL8" s="25"/>
      <c r="WPS8" s="21"/>
      <c r="WPT8" s="21"/>
      <c r="WPX8" s="15"/>
      <c r="WQD8" s="25"/>
      <c r="WQK8" s="21"/>
      <c r="WQL8" s="21"/>
      <c r="WQP8" s="15"/>
      <c r="WQV8" s="25"/>
      <c r="WRC8" s="21"/>
      <c r="WRD8" s="21"/>
      <c r="WRH8" s="15"/>
      <c r="WRN8" s="25"/>
      <c r="WRU8" s="21"/>
      <c r="WRV8" s="21"/>
      <c r="WRZ8" s="15"/>
      <c r="WSF8" s="25"/>
      <c r="WSM8" s="21"/>
      <c r="WSN8" s="21"/>
      <c r="WSR8" s="15"/>
      <c r="WSX8" s="25"/>
      <c r="WTE8" s="21"/>
      <c r="WTF8" s="21"/>
      <c r="WTJ8" s="15"/>
      <c r="WTP8" s="25"/>
      <c r="WTW8" s="21"/>
      <c r="WTX8" s="21"/>
      <c r="WUB8" s="15"/>
      <c r="WUH8" s="25"/>
      <c r="WUO8" s="21"/>
      <c r="WUP8" s="21"/>
      <c r="WUT8" s="15"/>
      <c r="WUZ8" s="25"/>
      <c r="WVG8" s="21"/>
      <c r="WVH8" s="21"/>
      <c r="WVL8" s="15"/>
      <c r="WVR8" s="25"/>
      <c r="WVY8" s="21"/>
      <c r="WVZ8" s="21"/>
      <c r="WWD8" s="15"/>
      <c r="WWJ8" s="25"/>
      <c r="WWQ8" s="21"/>
      <c r="WWR8" s="21"/>
      <c r="WWV8" s="15"/>
      <c r="WXB8" s="25"/>
      <c r="WXI8" s="21"/>
      <c r="WXJ8" s="21"/>
      <c r="WXN8" s="15"/>
      <c r="WXT8" s="25"/>
      <c r="WYA8" s="21"/>
      <c r="WYB8" s="21"/>
      <c r="WYF8" s="15"/>
      <c r="WYL8" s="25"/>
      <c r="WYS8" s="21"/>
      <c r="WYT8" s="21"/>
      <c r="WYX8" s="15"/>
      <c r="WZD8" s="25"/>
      <c r="WZK8" s="21"/>
      <c r="WZL8" s="21"/>
      <c r="WZP8" s="15"/>
      <c r="WZV8" s="25"/>
      <c r="XAC8" s="21"/>
      <c r="XAD8" s="21"/>
      <c r="XAH8" s="15"/>
      <c r="XAN8" s="25"/>
      <c r="XAU8" s="21"/>
      <c r="XAV8" s="21"/>
      <c r="XAZ8" s="15"/>
      <c r="XBF8" s="25"/>
      <c r="XBM8" s="21"/>
      <c r="XBN8" s="21"/>
      <c r="XBR8" s="15"/>
      <c r="XBX8" s="25"/>
      <c r="XCE8" s="21"/>
      <c r="XCF8" s="21"/>
      <c r="XCJ8" s="15"/>
      <c r="XCP8" s="25"/>
      <c r="XCW8" s="21"/>
      <c r="XCX8" s="21"/>
      <c r="XDB8" s="15"/>
      <c r="XDH8" s="25"/>
      <c r="XDO8" s="21"/>
      <c r="XDP8" s="21"/>
      <c r="XDT8" s="15"/>
      <c r="XDZ8" s="25"/>
      <c r="XEG8" s="21"/>
      <c r="XEH8" s="21"/>
      <c r="XEL8" s="15"/>
      <c r="XER8" s="25"/>
      <c r="XEY8" s="21"/>
      <c r="XEZ8" s="21"/>
      <c r="XFD8" s="15"/>
    </row>
    <row r="9" spans="1:1018 1025:2044 2051:3070 3077:4096 4103:5116 5122:6142 6148:7168 7174:8190 8194:9216 9220:10234 10241:11260 11267:12286 12293:13312 13319:14332 14338:15358 15364:16384" s="24" customFormat="1">
      <c r="A9" s="21" t="s">
        <v>46</v>
      </c>
      <c r="B9" s="12">
        <v>2011</v>
      </c>
      <c r="C9" s="22" t="s">
        <v>38</v>
      </c>
      <c r="D9" s="22" t="s">
        <v>39</v>
      </c>
      <c r="E9" s="10" t="s">
        <v>47</v>
      </c>
      <c r="F9" s="22" t="s">
        <v>35</v>
      </c>
      <c r="G9" s="18">
        <v>87672150.568453237</v>
      </c>
      <c r="H9" s="18">
        <v>87847635.425623387</v>
      </c>
      <c r="I9" s="12">
        <v>63</v>
      </c>
      <c r="J9" s="23" t="s">
        <v>48</v>
      </c>
      <c r="K9" s="22" t="s">
        <v>26</v>
      </c>
      <c r="L9" s="22"/>
      <c r="M9" s="22" t="s">
        <v>26</v>
      </c>
      <c r="N9" s="12"/>
      <c r="O9" s="22" t="s">
        <v>26</v>
      </c>
      <c r="P9" s="12"/>
      <c r="Q9" s="22" t="s">
        <v>27</v>
      </c>
      <c r="R9" s="22" t="s">
        <v>28</v>
      </c>
      <c r="V9" s="15"/>
      <c r="AB9" s="25"/>
      <c r="AI9" s="21"/>
      <c r="AJ9" s="21"/>
      <c r="AN9" s="15"/>
      <c r="AT9" s="25"/>
      <c r="BA9" s="21"/>
      <c r="BB9" s="21"/>
      <c r="BF9" s="15"/>
      <c r="BL9" s="25"/>
      <c r="BS9" s="21"/>
      <c r="BT9" s="21"/>
      <c r="BX9" s="15"/>
      <c r="CD9" s="25"/>
      <c r="CK9" s="21"/>
      <c r="CL9" s="21"/>
      <c r="CP9" s="15"/>
      <c r="CV9" s="25"/>
      <c r="DC9" s="21"/>
      <c r="DD9" s="21"/>
      <c r="DH9" s="15"/>
      <c r="DN9" s="25"/>
      <c r="DU9" s="21"/>
      <c r="DV9" s="21"/>
      <c r="DZ9" s="15"/>
      <c r="EF9" s="25"/>
      <c r="EM9" s="21"/>
      <c r="EN9" s="21"/>
      <c r="ER9" s="15"/>
      <c r="EX9" s="25"/>
      <c r="FE9" s="21"/>
      <c r="FF9" s="21"/>
      <c r="FJ9" s="15"/>
      <c r="FP9" s="25"/>
      <c r="FW9" s="21"/>
      <c r="FX9" s="21"/>
      <c r="GB9" s="15"/>
      <c r="GH9" s="25"/>
      <c r="GO9" s="21"/>
      <c r="GP9" s="21"/>
      <c r="GT9" s="15"/>
      <c r="GZ9" s="25"/>
      <c r="HG9" s="21"/>
      <c r="HH9" s="21"/>
      <c r="HL9" s="15"/>
      <c r="HR9" s="25"/>
      <c r="HY9" s="21"/>
      <c r="HZ9" s="21"/>
      <c r="ID9" s="15"/>
      <c r="IJ9" s="25"/>
      <c r="IQ9" s="21"/>
      <c r="IR9" s="21"/>
      <c r="IV9" s="15"/>
      <c r="JB9" s="25"/>
      <c r="JI9" s="21"/>
      <c r="JJ9" s="21"/>
      <c r="JN9" s="15"/>
      <c r="JT9" s="25"/>
      <c r="KA9" s="21"/>
      <c r="KB9" s="21"/>
      <c r="KF9" s="15"/>
      <c r="KL9" s="25"/>
      <c r="KS9" s="21"/>
      <c r="KT9" s="21"/>
      <c r="KX9" s="15"/>
      <c r="LD9" s="25"/>
      <c r="LK9" s="21"/>
      <c r="LL9" s="21"/>
      <c r="LP9" s="15"/>
      <c r="LV9" s="25"/>
      <c r="MC9" s="21"/>
      <c r="MD9" s="21"/>
      <c r="MH9" s="15"/>
      <c r="MN9" s="25"/>
      <c r="MU9" s="21"/>
      <c r="MV9" s="21"/>
      <c r="MZ9" s="15"/>
      <c r="NF9" s="25"/>
      <c r="NM9" s="21"/>
      <c r="NN9" s="21"/>
      <c r="NR9" s="15"/>
      <c r="NX9" s="25"/>
      <c r="OE9" s="21"/>
      <c r="OF9" s="21"/>
      <c r="OJ9" s="15"/>
      <c r="OP9" s="25"/>
      <c r="OW9" s="21"/>
      <c r="OX9" s="21"/>
      <c r="PB9" s="15"/>
      <c r="PH9" s="25"/>
      <c r="PO9" s="21"/>
      <c r="PP9" s="21"/>
      <c r="PT9" s="15"/>
      <c r="PZ9" s="25"/>
      <c r="QG9" s="21"/>
      <c r="QH9" s="21"/>
      <c r="QL9" s="15"/>
      <c r="QR9" s="25"/>
      <c r="QY9" s="21"/>
      <c r="QZ9" s="21"/>
      <c r="RD9" s="15"/>
      <c r="RJ9" s="25"/>
      <c r="RQ9" s="21"/>
      <c r="RR9" s="21"/>
      <c r="RV9" s="15"/>
      <c r="SB9" s="25"/>
      <c r="SI9" s="21"/>
      <c r="SJ9" s="21"/>
      <c r="SN9" s="15"/>
      <c r="ST9" s="25"/>
      <c r="TA9" s="21"/>
      <c r="TB9" s="21"/>
      <c r="TF9" s="15"/>
      <c r="TL9" s="25"/>
      <c r="TS9" s="21"/>
      <c r="TT9" s="21"/>
      <c r="TX9" s="15"/>
      <c r="UD9" s="25"/>
      <c r="UK9" s="21"/>
      <c r="UL9" s="21"/>
      <c r="UP9" s="15"/>
      <c r="UV9" s="25"/>
      <c r="VC9" s="21"/>
      <c r="VD9" s="21"/>
      <c r="VH9" s="15"/>
      <c r="VN9" s="25"/>
      <c r="VU9" s="21"/>
      <c r="VV9" s="21"/>
      <c r="VZ9" s="15"/>
      <c r="WF9" s="25"/>
      <c r="WM9" s="21"/>
      <c r="WN9" s="21"/>
      <c r="WR9" s="15"/>
      <c r="WX9" s="25"/>
      <c r="XE9" s="21"/>
      <c r="XF9" s="21"/>
      <c r="XJ9" s="15"/>
      <c r="XP9" s="25"/>
      <c r="XW9" s="21"/>
      <c r="XX9" s="21"/>
      <c r="YB9" s="15"/>
      <c r="YH9" s="25"/>
      <c r="YO9" s="21"/>
      <c r="YP9" s="21"/>
      <c r="YT9" s="15"/>
      <c r="YZ9" s="25"/>
      <c r="ZG9" s="21"/>
      <c r="ZH9" s="21"/>
      <c r="ZL9" s="15"/>
      <c r="ZR9" s="25"/>
      <c r="ZY9" s="21"/>
      <c r="ZZ9" s="21"/>
      <c r="AAD9" s="15"/>
      <c r="AAJ9" s="25"/>
      <c r="AAQ9" s="21"/>
      <c r="AAR9" s="21"/>
      <c r="AAV9" s="15"/>
      <c r="ABB9" s="25"/>
      <c r="ABI9" s="21"/>
      <c r="ABJ9" s="21"/>
      <c r="ABN9" s="15"/>
      <c r="ABT9" s="25"/>
      <c r="ACA9" s="21"/>
      <c r="ACB9" s="21"/>
      <c r="ACF9" s="15"/>
      <c r="ACL9" s="25"/>
      <c r="ACS9" s="21"/>
      <c r="ACT9" s="21"/>
      <c r="ACX9" s="15"/>
      <c r="ADD9" s="25"/>
      <c r="ADK9" s="21"/>
      <c r="ADL9" s="21"/>
      <c r="ADP9" s="15"/>
      <c r="ADV9" s="25"/>
      <c r="AEC9" s="21"/>
      <c r="AED9" s="21"/>
      <c r="AEH9" s="15"/>
      <c r="AEN9" s="25"/>
      <c r="AEU9" s="21"/>
      <c r="AEV9" s="21"/>
      <c r="AEZ9" s="15"/>
      <c r="AFF9" s="25"/>
      <c r="AFM9" s="21"/>
      <c r="AFN9" s="21"/>
      <c r="AFR9" s="15"/>
      <c r="AFX9" s="25"/>
      <c r="AGE9" s="21"/>
      <c r="AGF9" s="21"/>
      <c r="AGJ9" s="15"/>
      <c r="AGP9" s="25"/>
      <c r="AGW9" s="21"/>
      <c r="AGX9" s="21"/>
      <c r="AHB9" s="15"/>
      <c r="AHH9" s="25"/>
      <c r="AHO9" s="21"/>
      <c r="AHP9" s="21"/>
      <c r="AHT9" s="15"/>
      <c r="AHZ9" s="25"/>
      <c r="AIG9" s="21"/>
      <c r="AIH9" s="21"/>
      <c r="AIL9" s="15"/>
      <c r="AIR9" s="25"/>
      <c r="AIY9" s="21"/>
      <c r="AIZ9" s="21"/>
      <c r="AJD9" s="15"/>
      <c r="AJJ9" s="25"/>
      <c r="AJQ9" s="21"/>
      <c r="AJR9" s="21"/>
      <c r="AJV9" s="15"/>
      <c r="AKB9" s="25"/>
      <c r="AKI9" s="21"/>
      <c r="AKJ9" s="21"/>
      <c r="AKN9" s="15"/>
      <c r="AKT9" s="25"/>
      <c r="ALA9" s="21"/>
      <c r="ALB9" s="21"/>
      <c r="ALF9" s="15"/>
      <c r="ALL9" s="25"/>
      <c r="ALS9" s="21"/>
      <c r="ALT9" s="21"/>
      <c r="ALX9" s="15"/>
      <c r="AMD9" s="25"/>
      <c r="AMK9" s="21"/>
      <c r="AML9" s="21"/>
      <c r="AMP9" s="15"/>
      <c r="AMV9" s="25"/>
      <c r="ANC9" s="21"/>
      <c r="AND9" s="21"/>
      <c r="ANH9" s="15"/>
      <c r="ANN9" s="25"/>
      <c r="ANU9" s="21"/>
      <c r="ANV9" s="21"/>
      <c r="ANZ9" s="15"/>
      <c r="AOF9" s="25"/>
      <c r="AOM9" s="21"/>
      <c r="AON9" s="21"/>
      <c r="AOR9" s="15"/>
      <c r="AOX9" s="25"/>
      <c r="APE9" s="21"/>
      <c r="APF9" s="21"/>
      <c r="APJ9" s="15"/>
      <c r="APP9" s="25"/>
      <c r="APW9" s="21"/>
      <c r="APX9" s="21"/>
      <c r="AQB9" s="15"/>
      <c r="AQH9" s="25"/>
      <c r="AQO9" s="21"/>
      <c r="AQP9" s="21"/>
      <c r="AQT9" s="15"/>
      <c r="AQZ9" s="25"/>
      <c r="ARG9" s="21"/>
      <c r="ARH9" s="21"/>
      <c r="ARL9" s="15"/>
      <c r="ARR9" s="25"/>
      <c r="ARY9" s="21"/>
      <c r="ARZ9" s="21"/>
      <c r="ASD9" s="15"/>
      <c r="ASJ9" s="25"/>
      <c r="ASQ9" s="21"/>
      <c r="ASR9" s="21"/>
      <c r="ASV9" s="15"/>
      <c r="ATB9" s="25"/>
      <c r="ATI9" s="21"/>
      <c r="ATJ9" s="21"/>
      <c r="ATN9" s="15"/>
      <c r="ATT9" s="25"/>
      <c r="AUA9" s="21"/>
      <c r="AUB9" s="21"/>
      <c r="AUF9" s="15"/>
      <c r="AUL9" s="25"/>
      <c r="AUS9" s="21"/>
      <c r="AUT9" s="21"/>
      <c r="AUX9" s="15"/>
      <c r="AVD9" s="25"/>
      <c r="AVK9" s="21"/>
      <c r="AVL9" s="21"/>
      <c r="AVP9" s="15"/>
      <c r="AVV9" s="25"/>
      <c r="AWC9" s="21"/>
      <c r="AWD9" s="21"/>
      <c r="AWH9" s="15"/>
      <c r="AWN9" s="25"/>
      <c r="AWU9" s="21"/>
      <c r="AWV9" s="21"/>
      <c r="AWZ9" s="15"/>
      <c r="AXF9" s="25"/>
      <c r="AXM9" s="21"/>
      <c r="AXN9" s="21"/>
      <c r="AXR9" s="15"/>
      <c r="AXX9" s="25"/>
      <c r="AYE9" s="21"/>
      <c r="AYF9" s="21"/>
      <c r="AYJ9" s="15"/>
      <c r="AYP9" s="25"/>
      <c r="AYW9" s="21"/>
      <c r="AYX9" s="21"/>
      <c r="AZB9" s="15"/>
      <c r="AZH9" s="25"/>
      <c r="AZO9" s="21"/>
      <c r="AZP9" s="21"/>
      <c r="AZT9" s="15"/>
      <c r="AZZ9" s="25"/>
      <c r="BAG9" s="21"/>
      <c r="BAH9" s="21"/>
      <c r="BAL9" s="15"/>
      <c r="BAR9" s="25"/>
      <c r="BAY9" s="21"/>
      <c r="BAZ9" s="21"/>
      <c r="BBD9" s="15"/>
      <c r="BBJ9" s="25"/>
      <c r="BBQ9" s="21"/>
      <c r="BBR9" s="21"/>
      <c r="BBV9" s="15"/>
      <c r="BCB9" s="25"/>
      <c r="BCI9" s="21"/>
      <c r="BCJ9" s="21"/>
      <c r="BCN9" s="15"/>
      <c r="BCT9" s="25"/>
      <c r="BDA9" s="21"/>
      <c r="BDB9" s="21"/>
      <c r="BDF9" s="15"/>
      <c r="BDL9" s="25"/>
      <c r="BDS9" s="21"/>
      <c r="BDT9" s="21"/>
      <c r="BDX9" s="15"/>
      <c r="BED9" s="25"/>
      <c r="BEK9" s="21"/>
      <c r="BEL9" s="21"/>
      <c r="BEP9" s="15"/>
      <c r="BEV9" s="25"/>
      <c r="BFC9" s="21"/>
      <c r="BFD9" s="21"/>
      <c r="BFH9" s="15"/>
      <c r="BFN9" s="25"/>
      <c r="BFU9" s="21"/>
      <c r="BFV9" s="21"/>
      <c r="BFZ9" s="15"/>
      <c r="BGF9" s="25"/>
      <c r="BGM9" s="21"/>
      <c r="BGN9" s="21"/>
      <c r="BGR9" s="15"/>
      <c r="BGX9" s="25"/>
      <c r="BHE9" s="21"/>
      <c r="BHF9" s="21"/>
      <c r="BHJ9" s="15"/>
      <c r="BHP9" s="25"/>
      <c r="BHW9" s="21"/>
      <c r="BHX9" s="21"/>
      <c r="BIB9" s="15"/>
      <c r="BIH9" s="25"/>
      <c r="BIO9" s="21"/>
      <c r="BIP9" s="21"/>
      <c r="BIT9" s="15"/>
      <c r="BIZ9" s="25"/>
      <c r="BJG9" s="21"/>
      <c r="BJH9" s="21"/>
      <c r="BJL9" s="15"/>
      <c r="BJR9" s="25"/>
      <c r="BJY9" s="21"/>
      <c r="BJZ9" s="21"/>
      <c r="BKD9" s="15"/>
      <c r="BKJ9" s="25"/>
      <c r="BKQ9" s="21"/>
      <c r="BKR9" s="21"/>
      <c r="BKV9" s="15"/>
      <c r="BLB9" s="25"/>
      <c r="BLI9" s="21"/>
      <c r="BLJ9" s="21"/>
      <c r="BLN9" s="15"/>
      <c r="BLT9" s="25"/>
      <c r="BMA9" s="21"/>
      <c r="BMB9" s="21"/>
      <c r="BMF9" s="15"/>
      <c r="BML9" s="25"/>
      <c r="BMS9" s="21"/>
      <c r="BMT9" s="21"/>
      <c r="BMX9" s="15"/>
      <c r="BND9" s="25"/>
      <c r="BNK9" s="21"/>
      <c r="BNL9" s="21"/>
      <c r="BNP9" s="15"/>
      <c r="BNV9" s="25"/>
      <c r="BOC9" s="21"/>
      <c r="BOD9" s="21"/>
      <c r="BOH9" s="15"/>
      <c r="BON9" s="25"/>
      <c r="BOU9" s="21"/>
      <c r="BOV9" s="21"/>
      <c r="BOZ9" s="15"/>
      <c r="BPF9" s="25"/>
      <c r="BPM9" s="21"/>
      <c r="BPN9" s="21"/>
      <c r="BPR9" s="15"/>
      <c r="BPX9" s="25"/>
      <c r="BQE9" s="21"/>
      <c r="BQF9" s="21"/>
      <c r="BQJ9" s="15"/>
      <c r="BQP9" s="25"/>
      <c r="BQW9" s="21"/>
      <c r="BQX9" s="21"/>
      <c r="BRB9" s="15"/>
      <c r="BRH9" s="25"/>
      <c r="BRO9" s="21"/>
      <c r="BRP9" s="21"/>
      <c r="BRT9" s="15"/>
      <c r="BRZ9" s="25"/>
      <c r="BSG9" s="21"/>
      <c r="BSH9" s="21"/>
      <c r="BSL9" s="15"/>
      <c r="BSR9" s="25"/>
      <c r="BSY9" s="21"/>
      <c r="BSZ9" s="21"/>
      <c r="BTD9" s="15"/>
      <c r="BTJ9" s="25"/>
      <c r="BTQ9" s="21"/>
      <c r="BTR9" s="21"/>
      <c r="BTV9" s="15"/>
      <c r="BUB9" s="25"/>
      <c r="BUI9" s="21"/>
      <c r="BUJ9" s="21"/>
      <c r="BUN9" s="15"/>
      <c r="BUT9" s="25"/>
      <c r="BVA9" s="21"/>
      <c r="BVB9" s="21"/>
      <c r="BVF9" s="15"/>
      <c r="BVL9" s="25"/>
      <c r="BVS9" s="21"/>
      <c r="BVT9" s="21"/>
      <c r="BVX9" s="15"/>
      <c r="BWD9" s="25"/>
      <c r="BWK9" s="21"/>
      <c r="BWL9" s="21"/>
      <c r="BWP9" s="15"/>
      <c r="BWV9" s="25"/>
      <c r="BXC9" s="21"/>
      <c r="BXD9" s="21"/>
      <c r="BXH9" s="15"/>
      <c r="BXN9" s="25"/>
      <c r="BXU9" s="21"/>
      <c r="BXV9" s="21"/>
      <c r="BXZ9" s="15"/>
      <c r="BYF9" s="25"/>
      <c r="BYM9" s="21"/>
      <c r="BYN9" s="21"/>
      <c r="BYR9" s="15"/>
      <c r="BYX9" s="25"/>
      <c r="BZE9" s="21"/>
      <c r="BZF9" s="21"/>
      <c r="BZJ9" s="15"/>
      <c r="BZP9" s="25"/>
      <c r="BZW9" s="21"/>
      <c r="BZX9" s="21"/>
      <c r="CAB9" s="15"/>
      <c r="CAH9" s="25"/>
      <c r="CAO9" s="21"/>
      <c r="CAP9" s="21"/>
      <c r="CAT9" s="15"/>
      <c r="CAZ9" s="25"/>
      <c r="CBG9" s="21"/>
      <c r="CBH9" s="21"/>
      <c r="CBL9" s="15"/>
      <c r="CBR9" s="25"/>
      <c r="CBY9" s="21"/>
      <c r="CBZ9" s="21"/>
      <c r="CCD9" s="15"/>
      <c r="CCJ9" s="25"/>
      <c r="CCQ9" s="21"/>
      <c r="CCR9" s="21"/>
      <c r="CCV9" s="15"/>
      <c r="CDB9" s="25"/>
      <c r="CDI9" s="21"/>
      <c r="CDJ9" s="21"/>
      <c r="CDN9" s="15"/>
      <c r="CDT9" s="25"/>
      <c r="CEA9" s="21"/>
      <c r="CEB9" s="21"/>
      <c r="CEF9" s="15"/>
      <c r="CEL9" s="25"/>
      <c r="CES9" s="21"/>
      <c r="CET9" s="21"/>
      <c r="CEX9" s="15"/>
      <c r="CFD9" s="25"/>
      <c r="CFK9" s="21"/>
      <c r="CFL9" s="21"/>
      <c r="CFP9" s="15"/>
      <c r="CFV9" s="25"/>
      <c r="CGC9" s="21"/>
      <c r="CGD9" s="21"/>
      <c r="CGH9" s="15"/>
      <c r="CGN9" s="25"/>
      <c r="CGU9" s="21"/>
      <c r="CGV9" s="21"/>
      <c r="CGZ9" s="15"/>
      <c r="CHF9" s="25"/>
      <c r="CHM9" s="21"/>
      <c r="CHN9" s="21"/>
      <c r="CHR9" s="15"/>
      <c r="CHX9" s="25"/>
      <c r="CIE9" s="21"/>
      <c r="CIF9" s="21"/>
      <c r="CIJ9" s="15"/>
      <c r="CIP9" s="25"/>
      <c r="CIW9" s="21"/>
      <c r="CIX9" s="21"/>
      <c r="CJB9" s="15"/>
      <c r="CJH9" s="25"/>
      <c r="CJO9" s="21"/>
      <c r="CJP9" s="21"/>
      <c r="CJT9" s="15"/>
      <c r="CJZ9" s="25"/>
      <c r="CKG9" s="21"/>
      <c r="CKH9" s="21"/>
      <c r="CKL9" s="15"/>
      <c r="CKR9" s="25"/>
      <c r="CKY9" s="21"/>
      <c r="CKZ9" s="21"/>
      <c r="CLD9" s="15"/>
      <c r="CLJ9" s="25"/>
      <c r="CLQ9" s="21"/>
      <c r="CLR9" s="21"/>
      <c r="CLV9" s="15"/>
      <c r="CMB9" s="25"/>
      <c r="CMI9" s="21"/>
      <c r="CMJ9" s="21"/>
      <c r="CMN9" s="15"/>
      <c r="CMT9" s="25"/>
      <c r="CNA9" s="21"/>
      <c r="CNB9" s="21"/>
      <c r="CNF9" s="15"/>
      <c r="CNL9" s="25"/>
      <c r="CNS9" s="21"/>
      <c r="CNT9" s="21"/>
      <c r="CNX9" s="15"/>
      <c r="COD9" s="25"/>
      <c r="COK9" s="21"/>
      <c r="COL9" s="21"/>
      <c r="COP9" s="15"/>
      <c r="COV9" s="25"/>
      <c r="CPC9" s="21"/>
      <c r="CPD9" s="21"/>
      <c r="CPH9" s="15"/>
      <c r="CPN9" s="25"/>
      <c r="CPU9" s="21"/>
      <c r="CPV9" s="21"/>
      <c r="CPZ9" s="15"/>
      <c r="CQF9" s="25"/>
      <c r="CQM9" s="21"/>
      <c r="CQN9" s="21"/>
      <c r="CQR9" s="15"/>
      <c r="CQX9" s="25"/>
      <c r="CRE9" s="21"/>
      <c r="CRF9" s="21"/>
      <c r="CRJ9" s="15"/>
      <c r="CRP9" s="25"/>
      <c r="CRW9" s="21"/>
      <c r="CRX9" s="21"/>
      <c r="CSB9" s="15"/>
      <c r="CSH9" s="25"/>
      <c r="CSO9" s="21"/>
      <c r="CSP9" s="21"/>
      <c r="CST9" s="15"/>
      <c r="CSZ9" s="25"/>
      <c r="CTG9" s="21"/>
      <c r="CTH9" s="21"/>
      <c r="CTL9" s="15"/>
      <c r="CTR9" s="25"/>
      <c r="CTY9" s="21"/>
      <c r="CTZ9" s="21"/>
      <c r="CUD9" s="15"/>
      <c r="CUJ9" s="25"/>
      <c r="CUQ9" s="21"/>
      <c r="CUR9" s="21"/>
      <c r="CUV9" s="15"/>
      <c r="CVB9" s="25"/>
      <c r="CVI9" s="21"/>
      <c r="CVJ9" s="21"/>
      <c r="CVN9" s="15"/>
      <c r="CVT9" s="25"/>
      <c r="CWA9" s="21"/>
      <c r="CWB9" s="21"/>
      <c r="CWF9" s="15"/>
      <c r="CWL9" s="25"/>
      <c r="CWS9" s="21"/>
      <c r="CWT9" s="21"/>
      <c r="CWX9" s="15"/>
      <c r="CXD9" s="25"/>
      <c r="CXK9" s="21"/>
      <c r="CXL9" s="21"/>
      <c r="CXP9" s="15"/>
      <c r="CXV9" s="25"/>
      <c r="CYC9" s="21"/>
      <c r="CYD9" s="21"/>
      <c r="CYH9" s="15"/>
      <c r="CYN9" s="25"/>
      <c r="CYU9" s="21"/>
      <c r="CYV9" s="21"/>
      <c r="CYZ9" s="15"/>
      <c r="CZF9" s="25"/>
      <c r="CZM9" s="21"/>
      <c r="CZN9" s="21"/>
      <c r="CZR9" s="15"/>
      <c r="CZX9" s="25"/>
      <c r="DAE9" s="21"/>
      <c r="DAF9" s="21"/>
      <c r="DAJ9" s="15"/>
      <c r="DAP9" s="25"/>
      <c r="DAW9" s="21"/>
      <c r="DAX9" s="21"/>
      <c r="DBB9" s="15"/>
      <c r="DBH9" s="25"/>
      <c r="DBO9" s="21"/>
      <c r="DBP9" s="21"/>
      <c r="DBT9" s="15"/>
      <c r="DBZ9" s="25"/>
      <c r="DCG9" s="21"/>
      <c r="DCH9" s="21"/>
      <c r="DCL9" s="15"/>
      <c r="DCR9" s="25"/>
      <c r="DCY9" s="21"/>
      <c r="DCZ9" s="21"/>
      <c r="DDD9" s="15"/>
      <c r="DDJ9" s="25"/>
      <c r="DDQ9" s="21"/>
      <c r="DDR9" s="21"/>
      <c r="DDV9" s="15"/>
      <c r="DEB9" s="25"/>
      <c r="DEI9" s="21"/>
      <c r="DEJ9" s="21"/>
      <c r="DEN9" s="15"/>
      <c r="DET9" s="25"/>
      <c r="DFA9" s="21"/>
      <c r="DFB9" s="21"/>
      <c r="DFF9" s="15"/>
      <c r="DFL9" s="25"/>
      <c r="DFS9" s="21"/>
      <c r="DFT9" s="21"/>
      <c r="DFX9" s="15"/>
      <c r="DGD9" s="25"/>
      <c r="DGK9" s="21"/>
      <c r="DGL9" s="21"/>
      <c r="DGP9" s="15"/>
      <c r="DGV9" s="25"/>
      <c r="DHC9" s="21"/>
      <c r="DHD9" s="21"/>
      <c r="DHH9" s="15"/>
      <c r="DHN9" s="25"/>
      <c r="DHU9" s="21"/>
      <c r="DHV9" s="21"/>
      <c r="DHZ9" s="15"/>
      <c r="DIF9" s="25"/>
      <c r="DIM9" s="21"/>
      <c r="DIN9" s="21"/>
      <c r="DIR9" s="15"/>
      <c r="DIX9" s="25"/>
      <c r="DJE9" s="21"/>
      <c r="DJF9" s="21"/>
      <c r="DJJ9" s="15"/>
      <c r="DJP9" s="25"/>
      <c r="DJW9" s="21"/>
      <c r="DJX9" s="21"/>
      <c r="DKB9" s="15"/>
      <c r="DKH9" s="25"/>
      <c r="DKO9" s="21"/>
      <c r="DKP9" s="21"/>
      <c r="DKT9" s="15"/>
      <c r="DKZ9" s="25"/>
      <c r="DLG9" s="21"/>
      <c r="DLH9" s="21"/>
      <c r="DLL9" s="15"/>
      <c r="DLR9" s="25"/>
      <c r="DLY9" s="21"/>
      <c r="DLZ9" s="21"/>
      <c r="DMD9" s="15"/>
      <c r="DMJ9" s="25"/>
      <c r="DMQ9" s="21"/>
      <c r="DMR9" s="21"/>
      <c r="DMV9" s="15"/>
      <c r="DNB9" s="25"/>
      <c r="DNI9" s="21"/>
      <c r="DNJ9" s="21"/>
      <c r="DNN9" s="15"/>
      <c r="DNT9" s="25"/>
      <c r="DOA9" s="21"/>
      <c r="DOB9" s="21"/>
      <c r="DOF9" s="15"/>
      <c r="DOL9" s="25"/>
      <c r="DOS9" s="21"/>
      <c r="DOT9" s="21"/>
      <c r="DOX9" s="15"/>
      <c r="DPD9" s="25"/>
      <c r="DPK9" s="21"/>
      <c r="DPL9" s="21"/>
      <c r="DPP9" s="15"/>
      <c r="DPV9" s="25"/>
      <c r="DQC9" s="21"/>
      <c r="DQD9" s="21"/>
      <c r="DQH9" s="15"/>
      <c r="DQN9" s="25"/>
      <c r="DQU9" s="21"/>
      <c r="DQV9" s="21"/>
      <c r="DQZ9" s="15"/>
      <c r="DRF9" s="25"/>
      <c r="DRM9" s="21"/>
      <c r="DRN9" s="21"/>
      <c r="DRR9" s="15"/>
      <c r="DRX9" s="25"/>
      <c r="DSE9" s="21"/>
      <c r="DSF9" s="21"/>
      <c r="DSJ9" s="15"/>
      <c r="DSP9" s="25"/>
      <c r="DSW9" s="21"/>
      <c r="DSX9" s="21"/>
      <c r="DTB9" s="15"/>
      <c r="DTH9" s="25"/>
      <c r="DTO9" s="21"/>
      <c r="DTP9" s="21"/>
      <c r="DTT9" s="15"/>
      <c r="DTZ9" s="25"/>
      <c r="DUG9" s="21"/>
      <c r="DUH9" s="21"/>
      <c r="DUL9" s="15"/>
      <c r="DUR9" s="25"/>
      <c r="DUY9" s="21"/>
      <c r="DUZ9" s="21"/>
      <c r="DVD9" s="15"/>
      <c r="DVJ9" s="25"/>
      <c r="DVQ9" s="21"/>
      <c r="DVR9" s="21"/>
      <c r="DVV9" s="15"/>
      <c r="DWB9" s="25"/>
      <c r="DWI9" s="21"/>
      <c r="DWJ9" s="21"/>
      <c r="DWN9" s="15"/>
      <c r="DWT9" s="25"/>
      <c r="DXA9" s="21"/>
      <c r="DXB9" s="21"/>
      <c r="DXF9" s="15"/>
      <c r="DXL9" s="25"/>
      <c r="DXS9" s="21"/>
      <c r="DXT9" s="21"/>
      <c r="DXX9" s="15"/>
      <c r="DYD9" s="25"/>
      <c r="DYK9" s="21"/>
      <c r="DYL9" s="21"/>
      <c r="DYP9" s="15"/>
      <c r="DYV9" s="25"/>
      <c r="DZC9" s="21"/>
      <c r="DZD9" s="21"/>
      <c r="DZH9" s="15"/>
      <c r="DZN9" s="25"/>
      <c r="DZU9" s="21"/>
      <c r="DZV9" s="21"/>
      <c r="DZZ9" s="15"/>
      <c r="EAF9" s="25"/>
      <c r="EAM9" s="21"/>
      <c r="EAN9" s="21"/>
      <c r="EAR9" s="15"/>
      <c r="EAX9" s="25"/>
      <c r="EBE9" s="21"/>
      <c r="EBF9" s="21"/>
      <c r="EBJ9" s="15"/>
      <c r="EBP9" s="25"/>
      <c r="EBW9" s="21"/>
      <c r="EBX9" s="21"/>
      <c r="ECB9" s="15"/>
      <c r="ECH9" s="25"/>
      <c r="ECO9" s="21"/>
      <c r="ECP9" s="21"/>
      <c r="ECT9" s="15"/>
      <c r="ECZ9" s="25"/>
      <c r="EDG9" s="21"/>
      <c r="EDH9" s="21"/>
      <c r="EDL9" s="15"/>
      <c r="EDR9" s="25"/>
      <c r="EDY9" s="21"/>
      <c r="EDZ9" s="21"/>
      <c r="EED9" s="15"/>
      <c r="EEJ9" s="25"/>
      <c r="EEQ9" s="21"/>
      <c r="EER9" s="21"/>
      <c r="EEV9" s="15"/>
      <c r="EFB9" s="25"/>
      <c r="EFI9" s="21"/>
      <c r="EFJ9" s="21"/>
      <c r="EFN9" s="15"/>
      <c r="EFT9" s="25"/>
      <c r="EGA9" s="21"/>
      <c r="EGB9" s="21"/>
      <c r="EGF9" s="15"/>
      <c r="EGL9" s="25"/>
      <c r="EGS9" s="21"/>
      <c r="EGT9" s="21"/>
      <c r="EGX9" s="15"/>
      <c r="EHD9" s="25"/>
      <c r="EHK9" s="21"/>
      <c r="EHL9" s="21"/>
      <c r="EHP9" s="15"/>
      <c r="EHV9" s="25"/>
      <c r="EIC9" s="21"/>
      <c r="EID9" s="21"/>
      <c r="EIH9" s="15"/>
      <c r="EIN9" s="25"/>
      <c r="EIU9" s="21"/>
      <c r="EIV9" s="21"/>
      <c r="EIZ9" s="15"/>
      <c r="EJF9" s="25"/>
      <c r="EJM9" s="21"/>
      <c r="EJN9" s="21"/>
      <c r="EJR9" s="15"/>
      <c r="EJX9" s="25"/>
      <c r="EKE9" s="21"/>
      <c r="EKF9" s="21"/>
      <c r="EKJ9" s="15"/>
      <c r="EKP9" s="25"/>
      <c r="EKW9" s="21"/>
      <c r="EKX9" s="21"/>
      <c r="ELB9" s="15"/>
      <c r="ELH9" s="25"/>
      <c r="ELO9" s="21"/>
      <c r="ELP9" s="21"/>
      <c r="ELT9" s="15"/>
      <c r="ELZ9" s="25"/>
      <c r="EMG9" s="21"/>
      <c r="EMH9" s="21"/>
      <c r="EML9" s="15"/>
      <c r="EMR9" s="25"/>
      <c r="EMY9" s="21"/>
      <c r="EMZ9" s="21"/>
      <c r="END9" s="15"/>
      <c r="ENJ9" s="25"/>
      <c r="ENQ9" s="21"/>
      <c r="ENR9" s="21"/>
      <c r="ENV9" s="15"/>
      <c r="EOB9" s="25"/>
      <c r="EOI9" s="21"/>
      <c r="EOJ9" s="21"/>
      <c r="EON9" s="15"/>
      <c r="EOT9" s="25"/>
      <c r="EPA9" s="21"/>
      <c r="EPB9" s="21"/>
      <c r="EPF9" s="15"/>
      <c r="EPL9" s="25"/>
      <c r="EPS9" s="21"/>
      <c r="EPT9" s="21"/>
      <c r="EPX9" s="15"/>
      <c r="EQD9" s="25"/>
      <c r="EQK9" s="21"/>
      <c r="EQL9" s="21"/>
      <c r="EQP9" s="15"/>
      <c r="EQV9" s="25"/>
      <c r="ERC9" s="21"/>
      <c r="ERD9" s="21"/>
      <c r="ERH9" s="15"/>
      <c r="ERN9" s="25"/>
      <c r="ERU9" s="21"/>
      <c r="ERV9" s="21"/>
      <c r="ERZ9" s="15"/>
      <c r="ESF9" s="25"/>
      <c r="ESM9" s="21"/>
      <c r="ESN9" s="21"/>
      <c r="ESR9" s="15"/>
      <c r="ESX9" s="25"/>
      <c r="ETE9" s="21"/>
      <c r="ETF9" s="21"/>
      <c r="ETJ9" s="15"/>
      <c r="ETP9" s="25"/>
      <c r="ETW9" s="21"/>
      <c r="ETX9" s="21"/>
      <c r="EUB9" s="15"/>
      <c r="EUH9" s="25"/>
      <c r="EUO9" s="21"/>
      <c r="EUP9" s="21"/>
      <c r="EUT9" s="15"/>
      <c r="EUZ9" s="25"/>
      <c r="EVG9" s="21"/>
      <c r="EVH9" s="21"/>
      <c r="EVL9" s="15"/>
      <c r="EVR9" s="25"/>
      <c r="EVY9" s="21"/>
      <c r="EVZ9" s="21"/>
      <c r="EWD9" s="15"/>
      <c r="EWJ9" s="25"/>
      <c r="EWQ9" s="21"/>
      <c r="EWR9" s="21"/>
      <c r="EWV9" s="15"/>
      <c r="EXB9" s="25"/>
      <c r="EXI9" s="21"/>
      <c r="EXJ9" s="21"/>
      <c r="EXN9" s="15"/>
      <c r="EXT9" s="25"/>
      <c r="EYA9" s="21"/>
      <c r="EYB9" s="21"/>
      <c r="EYF9" s="15"/>
      <c r="EYL9" s="25"/>
      <c r="EYS9" s="21"/>
      <c r="EYT9" s="21"/>
      <c r="EYX9" s="15"/>
      <c r="EZD9" s="25"/>
      <c r="EZK9" s="21"/>
      <c r="EZL9" s="21"/>
      <c r="EZP9" s="15"/>
      <c r="EZV9" s="25"/>
      <c r="FAC9" s="21"/>
      <c r="FAD9" s="21"/>
      <c r="FAH9" s="15"/>
      <c r="FAN9" s="25"/>
      <c r="FAU9" s="21"/>
      <c r="FAV9" s="21"/>
      <c r="FAZ9" s="15"/>
      <c r="FBF9" s="25"/>
      <c r="FBM9" s="21"/>
      <c r="FBN9" s="21"/>
      <c r="FBR9" s="15"/>
      <c r="FBX9" s="25"/>
      <c r="FCE9" s="21"/>
      <c r="FCF9" s="21"/>
      <c r="FCJ9" s="15"/>
      <c r="FCP9" s="25"/>
      <c r="FCW9" s="21"/>
      <c r="FCX9" s="21"/>
      <c r="FDB9" s="15"/>
      <c r="FDH9" s="25"/>
      <c r="FDO9" s="21"/>
      <c r="FDP9" s="21"/>
      <c r="FDT9" s="15"/>
      <c r="FDZ9" s="25"/>
      <c r="FEG9" s="21"/>
      <c r="FEH9" s="21"/>
      <c r="FEL9" s="15"/>
      <c r="FER9" s="25"/>
      <c r="FEY9" s="21"/>
      <c r="FEZ9" s="21"/>
      <c r="FFD9" s="15"/>
      <c r="FFJ9" s="25"/>
      <c r="FFQ9" s="21"/>
      <c r="FFR9" s="21"/>
      <c r="FFV9" s="15"/>
      <c r="FGB9" s="25"/>
      <c r="FGI9" s="21"/>
      <c r="FGJ9" s="21"/>
      <c r="FGN9" s="15"/>
      <c r="FGT9" s="25"/>
      <c r="FHA9" s="21"/>
      <c r="FHB9" s="21"/>
      <c r="FHF9" s="15"/>
      <c r="FHL9" s="25"/>
      <c r="FHS9" s="21"/>
      <c r="FHT9" s="21"/>
      <c r="FHX9" s="15"/>
      <c r="FID9" s="25"/>
      <c r="FIK9" s="21"/>
      <c r="FIL9" s="21"/>
      <c r="FIP9" s="15"/>
      <c r="FIV9" s="25"/>
      <c r="FJC9" s="21"/>
      <c r="FJD9" s="21"/>
      <c r="FJH9" s="15"/>
      <c r="FJN9" s="25"/>
      <c r="FJU9" s="21"/>
      <c r="FJV9" s="21"/>
      <c r="FJZ9" s="15"/>
      <c r="FKF9" s="25"/>
      <c r="FKM9" s="21"/>
      <c r="FKN9" s="21"/>
      <c r="FKR9" s="15"/>
      <c r="FKX9" s="25"/>
      <c r="FLE9" s="21"/>
      <c r="FLF9" s="21"/>
      <c r="FLJ9" s="15"/>
      <c r="FLP9" s="25"/>
      <c r="FLW9" s="21"/>
      <c r="FLX9" s="21"/>
      <c r="FMB9" s="15"/>
      <c r="FMH9" s="25"/>
      <c r="FMO9" s="21"/>
      <c r="FMP9" s="21"/>
      <c r="FMT9" s="15"/>
      <c r="FMZ9" s="25"/>
      <c r="FNG9" s="21"/>
      <c r="FNH9" s="21"/>
      <c r="FNL9" s="15"/>
      <c r="FNR9" s="25"/>
      <c r="FNY9" s="21"/>
      <c r="FNZ9" s="21"/>
      <c r="FOD9" s="15"/>
      <c r="FOJ9" s="25"/>
      <c r="FOQ9" s="21"/>
      <c r="FOR9" s="21"/>
      <c r="FOV9" s="15"/>
      <c r="FPB9" s="25"/>
      <c r="FPI9" s="21"/>
      <c r="FPJ9" s="21"/>
      <c r="FPN9" s="15"/>
      <c r="FPT9" s="25"/>
      <c r="FQA9" s="21"/>
      <c r="FQB9" s="21"/>
      <c r="FQF9" s="15"/>
      <c r="FQL9" s="25"/>
      <c r="FQS9" s="21"/>
      <c r="FQT9" s="21"/>
      <c r="FQX9" s="15"/>
      <c r="FRD9" s="25"/>
      <c r="FRK9" s="21"/>
      <c r="FRL9" s="21"/>
      <c r="FRP9" s="15"/>
      <c r="FRV9" s="25"/>
      <c r="FSC9" s="21"/>
      <c r="FSD9" s="21"/>
      <c r="FSH9" s="15"/>
      <c r="FSN9" s="25"/>
      <c r="FSU9" s="21"/>
      <c r="FSV9" s="21"/>
      <c r="FSZ9" s="15"/>
      <c r="FTF9" s="25"/>
      <c r="FTM9" s="21"/>
      <c r="FTN9" s="21"/>
      <c r="FTR9" s="15"/>
      <c r="FTX9" s="25"/>
      <c r="FUE9" s="21"/>
      <c r="FUF9" s="21"/>
      <c r="FUJ9" s="15"/>
      <c r="FUP9" s="25"/>
      <c r="FUW9" s="21"/>
      <c r="FUX9" s="21"/>
      <c r="FVB9" s="15"/>
      <c r="FVH9" s="25"/>
      <c r="FVO9" s="21"/>
      <c r="FVP9" s="21"/>
      <c r="FVT9" s="15"/>
      <c r="FVZ9" s="25"/>
      <c r="FWG9" s="21"/>
      <c r="FWH9" s="21"/>
      <c r="FWL9" s="15"/>
      <c r="FWR9" s="25"/>
      <c r="FWY9" s="21"/>
      <c r="FWZ9" s="21"/>
      <c r="FXD9" s="15"/>
      <c r="FXJ9" s="25"/>
      <c r="FXQ9" s="21"/>
      <c r="FXR9" s="21"/>
      <c r="FXV9" s="15"/>
      <c r="FYB9" s="25"/>
      <c r="FYI9" s="21"/>
      <c r="FYJ9" s="21"/>
      <c r="FYN9" s="15"/>
      <c r="FYT9" s="25"/>
      <c r="FZA9" s="21"/>
      <c r="FZB9" s="21"/>
      <c r="FZF9" s="15"/>
      <c r="FZL9" s="25"/>
      <c r="FZS9" s="21"/>
      <c r="FZT9" s="21"/>
      <c r="FZX9" s="15"/>
      <c r="GAD9" s="25"/>
      <c r="GAK9" s="21"/>
      <c r="GAL9" s="21"/>
      <c r="GAP9" s="15"/>
      <c r="GAV9" s="25"/>
      <c r="GBC9" s="21"/>
      <c r="GBD9" s="21"/>
      <c r="GBH9" s="15"/>
      <c r="GBN9" s="25"/>
      <c r="GBU9" s="21"/>
      <c r="GBV9" s="21"/>
      <c r="GBZ9" s="15"/>
      <c r="GCF9" s="25"/>
      <c r="GCM9" s="21"/>
      <c r="GCN9" s="21"/>
      <c r="GCR9" s="15"/>
      <c r="GCX9" s="25"/>
      <c r="GDE9" s="21"/>
      <c r="GDF9" s="21"/>
      <c r="GDJ9" s="15"/>
      <c r="GDP9" s="25"/>
      <c r="GDW9" s="21"/>
      <c r="GDX9" s="21"/>
      <c r="GEB9" s="15"/>
      <c r="GEH9" s="25"/>
      <c r="GEO9" s="21"/>
      <c r="GEP9" s="21"/>
      <c r="GET9" s="15"/>
      <c r="GEZ9" s="25"/>
      <c r="GFG9" s="21"/>
      <c r="GFH9" s="21"/>
      <c r="GFL9" s="15"/>
      <c r="GFR9" s="25"/>
      <c r="GFY9" s="21"/>
      <c r="GFZ9" s="21"/>
      <c r="GGD9" s="15"/>
      <c r="GGJ9" s="25"/>
      <c r="GGQ9" s="21"/>
      <c r="GGR9" s="21"/>
      <c r="GGV9" s="15"/>
      <c r="GHB9" s="25"/>
      <c r="GHI9" s="21"/>
      <c r="GHJ9" s="21"/>
      <c r="GHN9" s="15"/>
      <c r="GHT9" s="25"/>
      <c r="GIA9" s="21"/>
      <c r="GIB9" s="21"/>
      <c r="GIF9" s="15"/>
      <c r="GIL9" s="25"/>
      <c r="GIS9" s="21"/>
      <c r="GIT9" s="21"/>
      <c r="GIX9" s="15"/>
      <c r="GJD9" s="25"/>
      <c r="GJK9" s="21"/>
      <c r="GJL9" s="21"/>
      <c r="GJP9" s="15"/>
      <c r="GJV9" s="25"/>
      <c r="GKC9" s="21"/>
      <c r="GKD9" s="21"/>
      <c r="GKH9" s="15"/>
      <c r="GKN9" s="25"/>
      <c r="GKU9" s="21"/>
      <c r="GKV9" s="21"/>
      <c r="GKZ9" s="15"/>
      <c r="GLF9" s="25"/>
      <c r="GLM9" s="21"/>
      <c r="GLN9" s="21"/>
      <c r="GLR9" s="15"/>
      <c r="GLX9" s="25"/>
      <c r="GME9" s="21"/>
      <c r="GMF9" s="21"/>
      <c r="GMJ9" s="15"/>
      <c r="GMP9" s="25"/>
      <c r="GMW9" s="21"/>
      <c r="GMX9" s="21"/>
      <c r="GNB9" s="15"/>
      <c r="GNH9" s="25"/>
      <c r="GNO9" s="21"/>
      <c r="GNP9" s="21"/>
      <c r="GNT9" s="15"/>
      <c r="GNZ9" s="25"/>
      <c r="GOG9" s="21"/>
      <c r="GOH9" s="21"/>
      <c r="GOL9" s="15"/>
      <c r="GOR9" s="25"/>
      <c r="GOY9" s="21"/>
      <c r="GOZ9" s="21"/>
      <c r="GPD9" s="15"/>
      <c r="GPJ9" s="25"/>
      <c r="GPQ9" s="21"/>
      <c r="GPR9" s="21"/>
      <c r="GPV9" s="15"/>
      <c r="GQB9" s="25"/>
      <c r="GQI9" s="21"/>
      <c r="GQJ9" s="21"/>
      <c r="GQN9" s="15"/>
      <c r="GQT9" s="25"/>
      <c r="GRA9" s="21"/>
      <c r="GRB9" s="21"/>
      <c r="GRF9" s="15"/>
      <c r="GRL9" s="25"/>
      <c r="GRS9" s="21"/>
      <c r="GRT9" s="21"/>
      <c r="GRX9" s="15"/>
      <c r="GSD9" s="25"/>
      <c r="GSK9" s="21"/>
      <c r="GSL9" s="21"/>
      <c r="GSP9" s="15"/>
      <c r="GSV9" s="25"/>
      <c r="GTC9" s="21"/>
      <c r="GTD9" s="21"/>
      <c r="GTH9" s="15"/>
      <c r="GTN9" s="25"/>
      <c r="GTU9" s="21"/>
      <c r="GTV9" s="21"/>
      <c r="GTZ9" s="15"/>
      <c r="GUF9" s="25"/>
      <c r="GUM9" s="21"/>
      <c r="GUN9" s="21"/>
      <c r="GUR9" s="15"/>
      <c r="GUX9" s="25"/>
      <c r="GVE9" s="21"/>
      <c r="GVF9" s="21"/>
      <c r="GVJ9" s="15"/>
      <c r="GVP9" s="25"/>
      <c r="GVW9" s="21"/>
      <c r="GVX9" s="21"/>
      <c r="GWB9" s="15"/>
      <c r="GWH9" s="25"/>
      <c r="GWO9" s="21"/>
      <c r="GWP9" s="21"/>
      <c r="GWT9" s="15"/>
      <c r="GWZ9" s="25"/>
      <c r="GXG9" s="21"/>
      <c r="GXH9" s="21"/>
      <c r="GXL9" s="15"/>
      <c r="GXR9" s="25"/>
      <c r="GXY9" s="21"/>
      <c r="GXZ9" s="21"/>
      <c r="GYD9" s="15"/>
      <c r="GYJ9" s="25"/>
      <c r="GYQ9" s="21"/>
      <c r="GYR9" s="21"/>
      <c r="GYV9" s="15"/>
      <c r="GZB9" s="25"/>
      <c r="GZI9" s="21"/>
      <c r="GZJ9" s="21"/>
      <c r="GZN9" s="15"/>
      <c r="GZT9" s="25"/>
      <c r="HAA9" s="21"/>
      <c r="HAB9" s="21"/>
      <c r="HAF9" s="15"/>
      <c r="HAL9" s="25"/>
      <c r="HAS9" s="21"/>
      <c r="HAT9" s="21"/>
      <c r="HAX9" s="15"/>
      <c r="HBD9" s="25"/>
      <c r="HBK9" s="21"/>
      <c r="HBL9" s="21"/>
      <c r="HBP9" s="15"/>
      <c r="HBV9" s="25"/>
      <c r="HCC9" s="21"/>
      <c r="HCD9" s="21"/>
      <c r="HCH9" s="15"/>
      <c r="HCN9" s="25"/>
      <c r="HCU9" s="21"/>
      <c r="HCV9" s="21"/>
      <c r="HCZ9" s="15"/>
      <c r="HDF9" s="25"/>
      <c r="HDM9" s="21"/>
      <c r="HDN9" s="21"/>
      <c r="HDR9" s="15"/>
      <c r="HDX9" s="25"/>
      <c r="HEE9" s="21"/>
      <c r="HEF9" s="21"/>
      <c r="HEJ9" s="15"/>
      <c r="HEP9" s="25"/>
      <c r="HEW9" s="21"/>
      <c r="HEX9" s="21"/>
      <c r="HFB9" s="15"/>
      <c r="HFH9" s="25"/>
      <c r="HFO9" s="21"/>
      <c r="HFP9" s="21"/>
      <c r="HFT9" s="15"/>
      <c r="HFZ9" s="25"/>
      <c r="HGG9" s="21"/>
      <c r="HGH9" s="21"/>
      <c r="HGL9" s="15"/>
      <c r="HGR9" s="25"/>
      <c r="HGY9" s="21"/>
      <c r="HGZ9" s="21"/>
      <c r="HHD9" s="15"/>
      <c r="HHJ9" s="25"/>
      <c r="HHQ9" s="21"/>
      <c r="HHR9" s="21"/>
      <c r="HHV9" s="15"/>
      <c r="HIB9" s="25"/>
      <c r="HII9" s="21"/>
      <c r="HIJ9" s="21"/>
      <c r="HIN9" s="15"/>
      <c r="HIT9" s="25"/>
      <c r="HJA9" s="21"/>
      <c r="HJB9" s="21"/>
      <c r="HJF9" s="15"/>
      <c r="HJL9" s="25"/>
      <c r="HJS9" s="21"/>
      <c r="HJT9" s="21"/>
      <c r="HJX9" s="15"/>
      <c r="HKD9" s="25"/>
      <c r="HKK9" s="21"/>
      <c r="HKL9" s="21"/>
      <c r="HKP9" s="15"/>
      <c r="HKV9" s="25"/>
      <c r="HLC9" s="21"/>
      <c r="HLD9" s="21"/>
      <c r="HLH9" s="15"/>
      <c r="HLN9" s="25"/>
      <c r="HLU9" s="21"/>
      <c r="HLV9" s="21"/>
      <c r="HLZ9" s="15"/>
      <c r="HMF9" s="25"/>
      <c r="HMM9" s="21"/>
      <c r="HMN9" s="21"/>
      <c r="HMR9" s="15"/>
      <c r="HMX9" s="25"/>
      <c r="HNE9" s="21"/>
      <c r="HNF9" s="21"/>
      <c r="HNJ9" s="15"/>
      <c r="HNP9" s="25"/>
      <c r="HNW9" s="21"/>
      <c r="HNX9" s="21"/>
      <c r="HOB9" s="15"/>
      <c r="HOH9" s="25"/>
      <c r="HOO9" s="21"/>
      <c r="HOP9" s="21"/>
      <c r="HOT9" s="15"/>
      <c r="HOZ9" s="25"/>
      <c r="HPG9" s="21"/>
      <c r="HPH9" s="21"/>
      <c r="HPL9" s="15"/>
      <c r="HPR9" s="25"/>
      <c r="HPY9" s="21"/>
      <c r="HPZ9" s="21"/>
      <c r="HQD9" s="15"/>
      <c r="HQJ9" s="25"/>
      <c r="HQQ9" s="21"/>
      <c r="HQR9" s="21"/>
      <c r="HQV9" s="15"/>
      <c r="HRB9" s="25"/>
      <c r="HRI9" s="21"/>
      <c r="HRJ9" s="21"/>
      <c r="HRN9" s="15"/>
      <c r="HRT9" s="25"/>
      <c r="HSA9" s="21"/>
      <c r="HSB9" s="21"/>
      <c r="HSF9" s="15"/>
      <c r="HSL9" s="25"/>
      <c r="HSS9" s="21"/>
      <c r="HST9" s="21"/>
      <c r="HSX9" s="15"/>
      <c r="HTD9" s="25"/>
      <c r="HTK9" s="21"/>
      <c r="HTL9" s="21"/>
      <c r="HTP9" s="15"/>
      <c r="HTV9" s="25"/>
      <c r="HUC9" s="21"/>
      <c r="HUD9" s="21"/>
      <c r="HUH9" s="15"/>
      <c r="HUN9" s="25"/>
      <c r="HUU9" s="21"/>
      <c r="HUV9" s="21"/>
      <c r="HUZ9" s="15"/>
      <c r="HVF9" s="25"/>
      <c r="HVM9" s="21"/>
      <c r="HVN9" s="21"/>
      <c r="HVR9" s="15"/>
      <c r="HVX9" s="25"/>
      <c r="HWE9" s="21"/>
      <c r="HWF9" s="21"/>
      <c r="HWJ9" s="15"/>
      <c r="HWP9" s="25"/>
      <c r="HWW9" s="21"/>
      <c r="HWX9" s="21"/>
      <c r="HXB9" s="15"/>
      <c r="HXH9" s="25"/>
      <c r="HXO9" s="21"/>
      <c r="HXP9" s="21"/>
      <c r="HXT9" s="15"/>
      <c r="HXZ9" s="25"/>
      <c r="HYG9" s="21"/>
      <c r="HYH9" s="21"/>
      <c r="HYL9" s="15"/>
      <c r="HYR9" s="25"/>
      <c r="HYY9" s="21"/>
      <c r="HYZ9" s="21"/>
      <c r="HZD9" s="15"/>
      <c r="HZJ9" s="25"/>
      <c r="HZQ9" s="21"/>
      <c r="HZR9" s="21"/>
      <c r="HZV9" s="15"/>
      <c r="IAB9" s="25"/>
      <c r="IAI9" s="21"/>
      <c r="IAJ9" s="21"/>
      <c r="IAN9" s="15"/>
      <c r="IAT9" s="25"/>
      <c r="IBA9" s="21"/>
      <c r="IBB9" s="21"/>
      <c r="IBF9" s="15"/>
      <c r="IBL9" s="25"/>
      <c r="IBS9" s="21"/>
      <c r="IBT9" s="21"/>
      <c r="IBX9" s="15"/>
      <c r="ICD9" s="25"/>
      <c r="ICK9" s="21"/>
      <c r="ICL9" s="21"/>
      <c r="ICP9" s="15"/>
      <c r="ICV9" s="25"/>
      <c r="IDC9" s="21"/>
      <c r="IDD9" s="21"/>
      <c r="IDH9" s="15"/>
      <c r="IDN9" s="25"/>
      <c r="IDU9" s="21"/>
      <c r="IDV9" s="21"/>
      <c r="IDZ9" s="15"/>
      <c r="IEF9" s="25"/>
      <c r="IEM9" s="21"/>
      <c r="IEN9" s="21"/>
      <c r="IER9" s="15"/>
      <c r="IEX9" s="25"/>
      <c r="IFE9" s="21"/>
      <c r="IFF9" s="21"/>
      <c r="IFJ9" s="15"/>
      <c r="IFP9" s="25"/>
      <c r="IFW9" s="21"/>
      <c r="IFX9" s="21"/>
      <c r="IGB9" s="15"/>
      <c r="IGH9" s="25"/>
      <c r="IGO9" s="21"/>
      <c r="IGP9" s="21"/>
      <c r="IGT9" s="15"/>
      <c r="IGZ9" s="25"/>
      <c r="IHG9" s="21"/>
      <c r="IHH9" s="21"/>
      <c r="IHL9" s="15"/>
      <c r="IHR9" s="25"/>
      <c r="IHY9" s="21"/>
      <c r="IHZ9" s="21"/>
      <c r="IID9" s="15"/>
      <c r="IIJ9" s="25"/>
      <c r="IIQ9" s="21"/>
      <c r="IIR9" s="21"/>
      <c r="IIV9" s="15"/>
      <c r="IJB9" s="25"/>
      <c r="IJI9" s="21"/>
      <c r="IJJ9" s="21"/>
      <c r="IJN9" s="15"/>
      <c r="IJT9" s="25"/>
      <c r="IKA9" s="21"/>
      <c r="IKB9" s="21"/>
      <c r="IKF9" s="15"/>
      <c r="IKL9" s="25"/>
      <c r="IKS9" s="21"/>
      <c r="IKT9" s="21"/>
      <c r="IKX9" s="15"/>
      <c r="ILD9" s="25"/>
      <c r="ILK9" s="21"/>
      <c r="ILL9" s="21"/>
      <c r="ILP9" s="15"/>
      <c r="ILV9" s="25"/>
      <c r="IMC9" s="21"/>
      <c r="IMD9" s="21"/>
      <c r="IMH9" s="15"/>
      <c r="IMN9" s="25"/>
      <c r="IMU9" s="21"/>
      <c r="IMV9" s="21"/>
      <c r="IMZ9" s="15"/>
      <c r="INF9" s="25"/>
      <c r="INM9" s="21"/>
      <c r="INN9" s="21"/>
      <c r="INR9" s="15"/>
      <c r="INX9" s="25"/>
      <c r="IOE9" s="21"/>
      <c r="IOF9" s="21"/>
      <c r="IOJ9" s="15"/>
      <c r="IOP9" s="25"/>
      <c r="IOW9" s="21"/>
      <c r="IOX9" s="21"/>
      <c r="IPB9" s="15"/>
      <c r="IPH9" s="25"/>
      <c r="IPO9" s="21"/>
      <c r="IPP9" s="21"/>
      <c r="IPT9" s="15"/>
      <c r="IPZ9" s="25"/>
      <c r="IQG9" s="21"/>
      <c r="IQH9" s="21"/>
      <c r="IQL9" s="15"/>
      <c r="IQR9" s="25"/>
      <c r="IQY9" s="21"/>
      <c r="IQZ9" s="21"/>
      <c r="IRD9" s="15"/>
      <c r="IRJ9" s="25"/>
      <c r="IRQ9" s="21"/>
      <c r="IRR9" s="21"/>
      <c r="IRV9" s="15"/>
      <c r="ISB9" s="25"/>
      <c r="ISI9" s="21"/>
      <c r="ISJ9" s="21"/>
      <c r="ISN9" s="15"/>
      <c r="IST9" s="25"/>
      <c r="ITA9" s="21"/>
      <c r="ITB9" s="21"/>
      <c r="ITF9" s="15"/>
      <c r="ITL9" s="25"/>
      <c r="ITS9" s="21"/>
      <c r="ITT9" s="21"/>
      <c r="ITX9" s="15"/>
      <c r="IUD9" s="25"/>
      <c r="IUK9" s="21"/>
      <c r="IUL9" s="21"/>
      <c r="IUP9" s="15"/>
      <c r="IUV9" s="25"/>
      <c r="IVC9" s="21"/>
      <c r="IVD9" s="21"/>
      <c r="IVH9" s="15"/>
      <c r="IVN9" s="25"/>
      <c r="IVU9" s="21"/>
      <c r="IVV9" s="21"/>
      <c r="IVZ9" s="15"/>
      <c r="IWF9" s="25"/>
      <c r="IWM9" s="21"/>
      <c r="IWN9" s="21"/>
      <c r="IWR9" s="15"/>
      <c r="IWX9" s="25"/>
      <c r="IXE9" s="21"/>
      <c r="IXF9" s="21"/>
      <c r="IXJ9" s="15"/>
      <c r="IXP9" s="25"/>
      <c r="IXW9" s="21"/>
      <c r="IXX9" s="21"/>
      <c r="IYB9" s="15"/>
      <c r="IYH9" s="25"/>
      <c r="IYO9" s="21"/>
      <c r="IYP9" s="21"/>
      <c r="IYT9" s="15"/>
      <c r="IYZ9" s="25"/>
      <c r="IZG9" s="21"/>
      <c r="IZH9" s="21"/>
      <c r="IZL9" s="15"/>
      <c r="IZR9" s="25"/>
      <c r="IZY9" s="21"/>
      <c r="IZZ9" s="21"/>
      <c r="JAD9" s="15"/>
      <c r="JAJ9" s="25"/>
      <c r="JAQ9" s="21"/>
      <c r="JAR9" s="21"/>
      <c r="JAV9" s="15"/>
      <c r="JBB9" s="25"/>
      <c r="JBI9" s="21"/>
      <c r="JBJ9" s="21"/>
      <c r="JBN9" s="15"/>
      <c r="JBT9" s="25"/>
      <c r="JCA9" s="21"/>
      <c r="JCB9" s="21"/>
      <c r="JCF9" s="15"/>
      <c r="JCL9" s="25"/>
      <c r="JCS9" s="21"/>
      <c r="JCT9" s="21"/>
      <c r="JCX9" s="15"/>
      <c r="JDD9" s="25"/>
      <c r="JDK9" s="21"/>
      <c r="JDL9" s="21"/>
      <c r="JDP9" s="15"/>
      <c r="JDV9" s="25"/>
      <c r="JEC9" s="21"/>
      <c r="JED9" s="21"/>
      <c r="JEH9" s="15"/>
      <c r="JEN9" s="25"/>
      <c r="JEU9" s="21"/>
      <c r="JEV9" s="21"/>
      <c r="JEZ9" s="15"/>
      <c r="JFF9" s="25"/>
      <c r="JFM9" s="21"/>
      <c r="JFN9" s="21"/>
      <c r="JFR9" s="15"/>
      <c r="JFX9" s="25"/>
      <c r="JGE9" s="21"/>
      <c r="JGF9" s="21"/>
      <c r="JGJ9" s="15"/>
      <c r="JGP9" s="25"/>
      <c r="JGW9" s="21"/>
      <c r="JGX9" s="21"/>
      <c r="JHB9" s="15"/>
      <c r="JHH9" s="25"/>
      <c r="JHO9" s="21"/>
      <c r="JHP9" s="21"/>
      <c r="JHT9" s="15"/>
      <c r="JHZ9" s="25"/>
      <c r="JIG9" s="21"/>
      <c r="JIH9" s="21"/>
      <c r="JIL9" s="15"/>
      <c r="JIR9" s="25"/>
      <c r="JIY9" s="21"/>
      <c r="JIZ9" s="21"/>
      <c r="JJD9" s="15"/>
      <c r="JJJ9" s="25"/>
      <c r="JJQ9" s="21"/>
      <c r="JJR9" s="21"/>
      <c r="JJV9" s="15"/>
      <c r="JKB9" s="25"/>
      <c r="JKI9" s="21"/>
      <c r="JKJ9" s="21"/>
      <c r="JKN9" s="15"/>
      <c r="JKT9" s="25"/>
      <c r="JLA9" s="21"/>
      <c r="JLB9" s="21"/>
      <c r="JLF9" s="15"/>
      <c r="JLL9" s="25"/>
      <c r="JLS9" s="21"/>
      <c r="JLT9" s="21"/>
      <c r="JLX9" s="15"/>
      <c r="JMD9" s="25"/>
      <c r="JMK9" s="21"/>
      <c r="JML9" s="21"/>
      <c r="JMP9" s="15"/>
      <c r="JMV9" s="25"/>
      <c r="JNC9" s="21"/>
      <c r="JND9" s="21"/>
      <c r="JNH9" s="15"/>
      <c r="JNN9" s="25"/>
      <c r="JNU9" s="21"/>
      <c r="JNV9" s="21"/>
      <c r="JNZ9" s="15"/>
      <c r="JOF9" s="25"/>
      <c r="JOM9" s="21"/>
      <c r="JON9" s="21"/>
      <c r="JOR9" s="15"/>
      <c r="JOX9" s="25"/>
      <c r="JPE9" s="21"/>
      <c r="JPF9" s="21"/>
      <c r="JPJ9" s="15"/>
      <c r="JPP9" s="25"/>
      <c r="JPW9" s="21"/>
      <c r="JPX9" s="21"/>
      <c r="JQB9" s="15"/>
      <c r="JQH9" s="25"/>
      <c r="JQO9" s="21"/>
      <c r="JQP9" s="21"/>
      <c r="JQT9" s="15"/>
      <c r="JQZ9" s="25"/>
      <c r="JRG9" s="21"/>
      <c r="JRH9" s="21"/>
      <c r="JRL9" s="15"/>
      <c r="JRR9" s="25"/>
      <c r="JRY9" s="21"/>
      <c r="JRZ9" s="21"/>
      <c r="JSD9" s="15"/>
      <c r="JSJ9" s="25"/>
      <c r="JSQ9" s="21"/>
      <c r="JSR9" s="21"/>
      <c r="JSV9" s="15"/>
      <c r="JTB9" s="25"/>
      <c r="JTI9" s="21"/>
      <c r="JTJ9" s="21"/>
      <c r="JTN9" s="15"/>
      <c r="JTT9" s="25"/>
      <c r="JUA9" s="21"/>
      <c r="JUB9" s="21"/>
      <c r="JUF9" s="15"/>
      <c r="JUL9" s="25"/>
      <c r="JUS9" s="21"/>
      <c r="JUT9" s="21"/>
      <c r="JUX9" s="15"/>
      <c r="JVD9" s="25"/>
      <c r="JVK9" s="21"/>
      <c r="JVL9" s="21"/>
      <c r="JVP9" s="15"/>
      <c r="JVV9" s="25"/>
      <c r="JWC9" s="21"/>
      <c r="JWD9" s="21"/>
      <c r="JWH9" s="15"/>
      <c r="JWN9" s="25"/>
      <c r="JWU9" s="21"/>
      <c r="JWV9" s="21"/>
      <c r="JWZ9" s="15"/>
      <c r="JXF9" s="25"/>
      <c r="JXM9" s="21"/>
      <c r="JXN9" s="21"/>
      <c r="JXR9" s="15"/>
      <c r="JXX9" s="25"/>
      <c r="JYE9" s="21"/>
      <c r="JYF9" s="21"/>
      <c r="JYJ9" s="15"/>
      <c r="JYP9" s="25"/>
      <c r="JYW9" s="21"/>
      <c r="JYX9" s="21"/>
      <c r="JZB9" s="15"/>
      <c r="JZH9" s="25"/>
      <c r="JZO9" s="21"/>
      <c r="JZP9" s="21"/>
      <c r="JZT9" s="15"/>
      <c r="JZZ9" s="25"/>
      <c r="KAG9" s="21"/>
      <c r="KAH9" s="21"/>
      <c r="KAL9" s="15"/>
      <c r="KAR9" s="25"/>
      <c r="KAY9" s="21"/>
      <c r="KAZ9" s="21"/>
      <c r="KBD9" s="15"/>
      <c r="KBJ9" s="25"/>
      <c r="KBQ9" s="21"/>
      <c r="KBR9" s="21"/>
      <c r="KBV9" s="15"/>
      <c r="KCB9" s="25"/>
      <c r="KCI9" s="21"/>
      <c r="KCJ9" s="21"/>
      <c r="KCN9" s="15"/>
      <c r="KCT9" s="25"/>
      <c r="KDA9" s="21"/>
      <c r="KDB9" s="21"/>
      <c r="KDF9" s="15"/>
      <c r="KDL9" s="25"/>
      <c r="KDS9" s="21"/>
      <c r="KDT9" s="21"/>
      <c r="KDX9" s="15"/>
      <c r="KED9" s="25"/>
      <c r="KEK9" s="21"/>
      <c r="KEL9" s="21"/>
      <c r="KEP9" s="15"/>
      <c r="KEV9" s="25"/>
      <c r="KFC9" s="21"/>
      <c r="KFD9" s="21"/>
      <c r="KFH9" s="15"/>
      <c r="KFN9" s="25"/>
      <c r="KFU9" s="21"/>
      <c r="KFV9" s="21"/>
      <c r="KFZ9" s="15"/>
      <c r="KGF9" s="25"/>
      <c r="KGM9" s="21"/>
      <c r="KGN9" s="21"/>
      <c r="KGR9" s="15"/>
      <c r="KGX9" s="25"/>
      <c r="KHE9" s="21"/>
      <c r="KHF9" s="21"/>
      <c r="KHJ9" s="15"/>
      <c r="KHP9" s="25"/>
      <c r="KHW9" s="21"/>
      <c r="KHX9" s="21"/>
      <c r="KIB9" s="15"/>
      <c r="KIH9" s="25"/>
      <c r="KIO9" s="21"/>
      <c r="KIP9" s="21"/>
      <c r="KIT9" s="15"/>
      <c r="KIZ9" s="25"/>
      <c r="KJG9" s="21"/>
      <c r="KJH9" s="21"/>
      <c r="KJL9" s="15"/>
      <c r="KJR9" s="25"/>
      <c r="KJY9" s="21"/>
      <c r="KJZ9" s="21"/>
      <c r="KKD9" s="15"/>
      <c r="KKJ9" s="25"/>
      <c r="KKQ9" s="21"/>
      <c r="KKR9" s="21"/>
      <c r="KKV9" s="15"/>
      <c r="KLB9" s="25"/>
      <c r="KLI9" s="21"/>
      <c r="KLJ9" s="21"/>
      <c r="KLN9" s="15"/>
      <c r="KLT9" s="25"/>
      <c r="KMA9" s="21"/>
      <c r="KMB9" s="21"/>
      <c r="KMF9" s="15"/>
      <c r="KML9" s="25"/>
      <c r="KMS9" s="21"/>
      <c r="KMT9" s="21"/>
      <c r="KMX9" s="15"/>
      <c r="KND9" s="25"/>
      <c r="KNK9" s="21"/>
      <c r="KNL9" s="21"/>
      <c r="KNP9" s="15"/>
      <c r="KNV9" s="25"/>
      <c r="KOC9" s="21"/>
      <c r="KOD9" s="21"/>
      <c r="KOH9" s="15"/>
      <c r="KON9" s="25"/>
      <c r="KOU9" s="21"/>
      <c r="KOV9" s="21"/>
      <c r="KOZ9" s="15"/>
      <c r="KPF9" s="25"/>
      <c r="KPM9" s="21"/>
      <c r="KPN9" s="21"/>
      <c r="KPR9" s="15"/>
      <c r="KPX9" s="25"/>
      <c r="KQE9" s="21"/>
      <c r="KQF9" s="21"/>
      <c r="KQJ9" s="15"/>
      <c r="KQP9" s="25"/>
      <c r="KQW9" s="21"/>
      <c r="KQX9" s="21"/>
      <c r="KRB9" s="15"/>
      <c r="KRH9" s="25"/>
      <c r="KRO9" s="21"/>
      <c r="KRP9" s="21"/>
      <c r="KRT9" s="15"/>
      <c r="KRZ9" s="25"/>
      <c r="KSG9" s="21"/>
      <c r="KSH9" s="21"/>
      <c r="KSL9" s="15"/>
      <c r="KSR9" s="25"/>
      <c r="KSY9" s="21"/>
      <c r="KSZ9" s="21"/>
      <c r="KTD9" s="15"/>
      <c r="KTJ9" s="25"/>
      <c r="KTQ9" s="21"/>
      <c r="KTR9" s="21"/>
      <c r="KTV9" s="15"/>
      <c r="KUB9" s="25"/>
      <c r="KUI9" s="21"/>
      <c r="KUJ9" s="21"/>
      <c r="KUN9" s="15"/>
      <c r="KUT9" s="25"/>
      <c r="KVA9" s="21"/>
      <c r="KVB9" s="21"/>
      <c r="KVF9" s="15"/>
      <c r="KVL9" s="25"/>
      <c r="KVS9" s="21"/>
      <c r="KVT9" s="21"/>
      <c r="KVX9" s="15"/>
      <c r="KWD9" s="25"/>
      <c r="KWK9" s="21"/>
      <c r="KWL9" s="21"/>
      <c r="KWP9" s="15"/>
      <c r="KWV9" s="25"/>
      <c r="KXC9" s="21"/>
      <c r="KXD9" s="21"/>
      <c r="KXH9" s="15"/>
      <c r="KXN9" s="25"/>
      <c r="KXU9" s="21"/>
      <c r="KXV9" s="21"/>
      <c r="KXZ9" s="15"/>
      <c r="KYF9" s="25"/>
      <c r="KYM9" s="21"/>
      <c r="KYN9" s="21"/>
      <c r="KYR9" s="15"/>
      <c r="KYX9" s="25"/>
      <c r="KZE9" s="21"/>
      <c r="KZF9" s="21"/>
      <c r="KZJ9" s="15"/>
      <c r="KZP9" s="25"/>
      <c r="KZW9" s="21"/>
      <c r="KZX9" s="21"/>
      <c r="LAB9" s="15"/>
      <c r="LAH9" s="25"/>
      <c r="LAO9" s="21"/>
      <c r="LAP9" s="21"/>
      <c r="LAT9" s="15"/>
      <c r="LAZ9" s="25"/>
      <c r="LBG9" s="21"/>
      <c r="LBH9" s="21"/>
      <c r="LBL9" s="15"/>
      <c r="LBR9" s="25"/>
      <c r="LBY9" s="21"/>
      <c r="LBZ9" s="21"/>
      <c r="LCD9" s="15"/>
      <c r="LCJ9" s="25"/>
      <c r="LCQ9" s="21"/>
      <c r="LCR9" s="21"/>
      <c r="LCV9" s="15"/>
      <c r="LDB9" s="25"/>
      <c r="LDI9" s="21"/>
      <c r="LDJ9" s="21"/>
      <c r="LDN9" s="15"/>
      <c r="LDT9" s="25"/>
      <c r="LEA9" s="21"/>
      <c r="LEB9" s="21"/>
      <c r="LEF9" s="15"/>
      <c r="LEL9" s="25"/>
      <c r="LES9" s="21"/>
      <c r="LET9" s="21"/>
      <c r="LEX9" s="15"/>
      <c r="LFD9" s="25"/>
      <c r="LFK9" s="21"/>
      <c r="LFL9" s="21"/>
      <c r="LFP9" s="15"/>
      <c r="LFV9" s="25"/>
      <c r="LGC9" s="21"/>
      <c r="LGD9" s="21"/>
      <c r="LGH9" s="15"/>
      <c r="LGN9" s="25"/>
      <c r="LGU9" s="21"/>
      <c r="LGV9" s="21"/>
      <c r="LGZ9" s="15"/>
      <c r="LHF9" s="25"/>
      <c r="LHM9" s="21"/>
      <c r="LHN9" s="21"/>
      <c r="LHR9" s="15"/>
      <c r="LHX9" s="25"/>
      <c r="LIE9" s="21"/>
      <c r="LIF9" s="21"/>
      <c r="LIJ9" s="15"/>
      <c r="LIP9" s="25"/>
      <c r="LIW9" s="21"/>
      <c r="LIX9" s="21"/>
      <c r="LJB9" s="15"/>
      <c r="LJH9" s="25"/>
      <c r="LJO9" s="21"/>
      <c r="LJP9" s="21"/>
      <c r="LJT9" s="15"/>
      <c r="LJZ9" s="25"/>
      <c r="LKG9" s="21"/>
      <c r="LKH9" s="21"/>
      <c r="LKL9" s="15"/>
      <c r="LKR9" s="25"/>
      <c r="LKY9" s="21"/>
      <c r="LKZ9" s="21"/>
      <c r="LLD9" s="15"/>
      <c r="LLJ9" s="25"/>
      <c r="LLQ9" s="21"/>
      <c r="LLR9" s="21"/>
      <c r="LLV9" s="15"/>
      <c r="LMB9" s="25"/>
      <c r="LMI9" s="21"/>
      <c r="LMJ9" s="21"/>
      <c r="LMN9" s="15"/>
      <c r="LMT9" s="25"/>
      <c r="LNA9" s="21"/>
      <c r="LNB9" s="21"/>
      <c r="LNF9" s="15"/>
      <c r="LNL9" s="25"/>
      <c r="LNS9" s="21"/>
      <c r="LNT9" s="21"/>
      <c r="LNX9" s="15"/>
      <c r="LOD9" s="25"/>
      <c r="LOK9" s="21"/>
      <c r="LOL9" s="21"/>
      <c r="LOP9" s="15"/>
      <c r="LOV9" s="25"/>
      <c r="LPC9" s="21"/>
      <c r="LPD9" s="21"/>
      <c r="LPH9" s="15"/>
      <c r="LPN9" s="25"/>
      <c r="LPU9" s="21"/>
      <c r="LPV9" s="21"/>
      <c r="LPZ9" s="15"/>
      <c r="LQF9" s="25"/>
      <c r="LQM9" s="21"/>
      <c r="LQN9" s="21"/>
      <c r="LQR9" s="15"/>
      <c r="LQX9" s="25"/>
      <c r="LRE9" s="21"/>
      <c r="LRF9" s="21"/>
      <c r="LRJ9" s="15"/>
      <c r="LRP9" s="25"/>
      <c r="LRW9" s="21"/>
      <c r="LRX9" s="21"/>
      <c r="LSB9" s="15"/>
      <c r="LSH9" s="25"/>
      <c r="LSO9" s="21"/>
      <c r="LSP9" s="21"/>
      <c r="LST9" s="15"/>
      <c r="LSZ9" s="25"/>
      <c r="LTG9" s="21"/>
      <c r="LTH9" s="21"/>
      <c r="LTL9" s="15"/>
      <c r="LTR9" s="25"/>
      <c r="LTY9" s="21"/>
      <c r="LTZ9" s="21"/>
      <c r="LUD9" s="15"/>
      <c r="LUJ9" s="25"/>
      <c r="LUQ9" s="21"/>
      <c r="LUR9" s="21"/>
      <c r="LUV9" s="15"/>
      <c r="LVB9" s="25"/>
      <c r="LVI9" s="21"/>
      <c r="LVJ9" s="21"/>
      <c r="LVN9" s="15"/>
      <c r="LVT9" s="25"/>
      <c r="LWA9" s="21"/>
      <c r="LWB9" s="21"/>
      <c r="LWF9" s="15"/>
      <c r="LWL9" s="25"/>
      <c r="LWS9" s="21"/>
      <c r="LWT9" s="21"/>
      <c r="LWX9" s="15"/>
      <c r="LXD9" s="25"/>
      <c r="LXK9" s="21"/>
      <c r="LXL9" s="21"/>
      <c r="LXP9" s="15"/>
      <c r="LXV9" s="25"/>
      <c r="LYC9" s="21"/>
      <c r="LYD9" s="21"/>
      <c r="LYH9" s="15"/>
      <c r="LYN9" s="25"/>
      <c r="LYU9" s="21"/>
      <c r="LYV9" s="21"/>
      <c r="LYZ9" s="15"/>
      <c r="LZF9" s="25"/>
      <c r="LZM9" s="21"/>
      <c r="LZN9" s="21"/>
      <c r="LZR9" s="15"/>
      <c r="LZX9" s="25"/>
      <c r="MAE9" s="21"/>
      <c r="MAF9" s="21"/>
      <c r="MAJ9" s="15"/>
      <c r="MAP9" s="25"/>
      <c r="MAW9" s="21"/>
      <c r="MAX9" s="21"/>
      <c r="MBB9" s="15"/>
      <c r="MBH9" s="25"/>
      <c r="MBO9" s="21"/>
      <c r="MBP9" s="21"/>
      <c r="MBT9" s="15"/>
      <c r="MBZ9" s="25"/>
      <c r="MCG9" s="21"/>
      <c r="MCH9" s="21"/>
      <c r="MCL9" s="15"/>
      <c r="MCR9" s="25"/>
      <c r="MCY9" s="21"/>
      <c r="MCZ9" s="21"/>
      <c r="MDD9" s="15"/>
      <c r="MDJ9" s="25"/>
      <c r="MDQ9" s="21"/>
      <c r="MDR9" s="21"/>
      <c r="MDV9" s="15"/>
      <c r="MEB9" s="25"/>
      <c r="MEI9" s="21"/>
      <c r="MEJ9" s="21"/>
      <c r="MEN9" s="15"/>
      <c r="MET9" s="25"/>
      <c r="MFA9" s="21"/>
      <c r="MFB9" s="21"/>
      <c r="MFF9" s="15"/>
      <c r="MFL9" s="25"/>
      <c r="MFS9" s="21"/>
      <c r="MFT9" s="21"/>
      <c r="MFX9" s="15"/>
      <c r="MGD9" s="25"/>
      <c r="MGK9" s="21"/>
      <c r="MGL9" s="21"/>
      <c r="MGP9" s="15"/>
      <c r="MGV9" s="25"/>
      <c r="MHC9" s="21"/>
      <c r="MHD9" s="21"/>
      <c r="MHH9" s="15"/>
      <c r="MHN9" s="25"/>
      <c r="MHU9" s="21"/>
      <c r="MHV9" s="21"/>
      <c r="MHZ9" s="15"/>
      <c r="MIF9" s="25"/>
      <c r="MIM9" s="21"/>
      <c r="MIN9" s="21"/>
      <c r="MIR9" s="15"/>
      <c r="MIX9" s="25"/>
      <c r="MJE9" s="21"/>
      <c r="MJF9" s="21"/>
      <c r="MJJ9" s="15"/>
      <c r="MJP9" s="25"/>
      <c r="MJW9" s="21"/>
      <c r="MJX9" s="21"/>
      <c r="MKB9" s="15"/>
      <c r="MKH9" s="25"/>
      <c r="MKO9" s="21"/>
      <c r="MKP9" s="21"/>
      <c r="MKT9" s="15"/>
      <c r="MKZ9" s="25"/>
      <c r="MLG9" s="21"/>
      <c r="MLH9" s="21"/>
      <c r="MLL9" s="15"/>
      <c r="MLR9" s="25"/>
      <c r="MLY9" s="21"/>
      <c r="MLZ9" s="21"/>
      <c r="MMD9" s="15"/>
      <c r="MMJ9" s="25"/>
      <c r="MMQ9" s="21"/>
      <c r="MMR9" s="21"/>
      <c r="MMV9" s="15"/>
      <c r="MNB9" s="25"/>
      <c r="MNI9" s="21"/>
      <c r="MNJ9" s="21"/>
      <c r="MNN9" s="15"/>
      <c r="MNT9" s="25"/>
      <c r="MOA9" s="21"/>
      <c r="MOB9" s="21"/>
      <c r="MOF9" s="15"/>
      <c r="MOL9" s="25"/>
      <c r="MOS9" s="21"/>
      <c r="MOT9" s="21"/>
      <c r="MOX9" s="15"/>
      <c r="MPD9" s="25"/>
      <c r="MPK9" s="21"/>
      <c r="MPL9" s="21"/>
      <c r="MPP9" s="15"/>
      <c r="MPV9" s="25"/>
      <c r="MQC9" s="21"/>
      <c r="MQD9" s="21"/>
      <c r="MQH9" s="15"/>
      <c r="MQN9" s="25"/>
      <c r="MQU9" s="21"/>
      <c r="MQV9" s="21"/>
      <c r="MQZ9" s="15"/>
      <c r="MRF9" s="25"/>
      <c r="MRM9" s="21"/>
      <c r="MRN9" s="21"/>
      <c r="MRR9" s="15"/>
      <c r="MRX9" s="25"/>
      <c r="MSE9" s="21"/>
      <c r="MSF9" s="21"/>
      <c r="MSJ9" s="15"/>
      <c r="MSP9" s="25"/>
      <c r="MSW9" s="21"/>
      <c r="MSX9" s="21"/>
      <c r="MTB9" s="15"/>
      <c r="MTH9" s="25"/>
      <c r="MTO9" s="21"/>
      <c r="MTP9" s="21"/>
      <c r="MTT9" s="15"/>
      <c r="MTZ9" s="25"/>
      <c r="MUG9" s="21"/>
      <c r="MUH9" s="21"/>
      <c r="MUL9" s="15"/>
      <c r="MUR9" s="25"/>
      <c r="MUY9" s="21"/>
      <c r="MUZ9" s="21"/>
      <c r="MVD9" s="15"/>
      <c r="MVJ9" s="25"/>
      <c r="MVQ9" s="21"/>
      <c r="MVR9" s="21"/>
      <c r="MVV9" s="15"/>
      <c r="MWB9" s="25"/>
      <c r="MWI9" s="21"/>
      <c r="MWJ9" s="21"/>
      <c r="MWN9" s="15"/>
      <c r="MWT9" s="25"/>
      <c r="MXA9" s="21"/>
      <c r="MXB9" s="21"/>
      <c r="MXF9" s="15"/>
      <c r="MXL9" s="25"/>
      <c r="MXS9" s="21"/>
      <c r="MXT9" s="21"/>
      <c r="MXX9" s="15"/>
      <c r="MYD9" s="25"/>
      <c r="MYK9" s="21"/>
      <c r="MYL9" s="21"/>
      <c r="MYP9" s="15"/>
      <c r="MYV9" s="25"/>
      <c r="MZC9" s="21"/>
      <c r="MZD9" s="21"/>
      <c r="MZH9" s="15"/>
      <c r="MZN9" s="25"/>
      <c r="MZU9" s="21"/>
      <c r="MZV9" s="21"/>
      <c r="MZZ9" s="15"/>
      <c r="NAF9" s="25"/>
      <c r="NAM9" s="21"/>
      <c r="NAN9" s="21"/>
      <c r="NAR9" s="15"/>
      <c r="NAX9" s="25"/>
      <c r="NBE9" s="21"/>
      <c r="NBF9" s="21"/>
      <c r="NBJ9" s="15"/>
      <c r="NBP9" s="25"/>
      <c r="NBW9" s="21"/>
      <c r="NBX9" s="21"/>
      <c r="NCB9" s="15"/>
      <c r="NCH9" s="25"/>
      <c r="NCO9" s="21"/>
      <c r="NCP9" s="21"/>
      <c r="NCT9" s="15"/>
      <c r="NCZ9" s="25"/>
      <c r="NDG9" s="21"/>
      <c r="NDH9" s="21"/>
      <c r="NDL9" s="15"/>
      <c r="NDR9" s="25"/>
      <c r="NDY9" s="21"/>
      <c r="NDZ9" s="21"/>
      <c r="NED9" s="15"/>
      <c r="NEJ9" s="25"/>
      <c r="NEQ9" s="21"/>
      <c r="NER9" s="21"/>
      <c r="NEV9" s="15"/>
      <c r="NFB9" s="25"/>
      <c r="NFI9" s="21"/>
      <c r="NFJ9" s="21"/>
      <c r="NFN9" s="15"/>
      <c r="NFT9" s="25"/>
      <c r="NGA9" s="21"/>
      <c r="NGB9" s="21"/>
      <c r="NGF9" s="15"/>
      <c r="NGL9" s="25"/>
      <c r="NGS9" s="21"/>
      <c r="NGT9" s="21"/>
      <c r="NGX9" s="15"/>
      <c r="NHD9" s="25"/>
      <c r="NHK9" s="21"/>
      <c r="NHL9" s="21"/>
      <c r="NHP9" s="15"/>
      <c r="NHV9" s="25"/>
      <c r="NIC9" s="21"/>
      <c r="NID9" s="21"/>
      <c r="NIH9" s="15"/>
      <c r="NIN9" s="25"/>
      <c r="NIU9" s="21"/>
      <c r="NIV9" s="21"/>
      <c r="NIZ9" s="15"/>
      <c r="NJF9" s="25"/>
      <c r="NJM9" s="21"/>
      <c r="NJN9" s="21"/>
      <c r="NJR9" s="15"/>
      <c r="NJX9" s="25"/>
      <c r="NKE9" s="21"/>
      <c r="NKF9" s="21"/>
      <c r="NKJ9" s="15"/>
      <c r="NKP9" s="25"/>
      <c r="NKW9" s="21"/>
      <c r="NKX9" s="21"/>
      <c r="NLB9" s="15"/>
      <c r="NLH9" s="25"/>
      <c r="NLO9" s="21"/>
      <c r="NLP9" s="21"/>
      <c r="NLT9" s="15"/>
      <c r="NLZ9" s="25"/>
      <c r="NMG9" s="21"/>
      <c r="NMH9" s="21"/>
      <c r="NML9" s="15"/>
      <c r="NMR9" s="25"/>
      <c r="NMY9" s="21"/>
      <c r="NMZ9" s="21"/>
      <c r="NND9" s="15"/>
      <c r="NNJ9" s="25"/>
      <c r="NNQ9" s="21"/>
      <c r="NNR9" s="21"/>
      <c r="NNV9" s="15"/>
      <c r="NOB9" s="25"/>
      <c r="NOI9" s="21"/>
      <c r="NOJ9" s="21"/>
      <c r="NON9" s="15"/>
      <c r="NOT9" s="25"/>
      <c r="NPA9" s="21"/>
      <c r="NPB9" s="21"/>
      <c r="NPF9" s="15"/>
      <c r="NPL9" s="25"/>
      <c r="NPS9" s="21"/>
      <c r="NPT9" s="21"/>
      <c r="NPX9" s="15"/>
      <c r="NQD9" s="25"/>
      <c r="NQK9" s="21"/>
      <c r="NQL9" s="21"/>
      <c r="NQP9" s="15"/>
      <c r="NQV9" s="25"/>
      <c r="NRC9" s="21"/>
      <c r="NRD9" s="21"/>
      <c r="NRH9" s="15"/>
      <c r="NRN9" s="25"/>
      <c r="NRU9" s="21"/>
      <c r="NRV9" s="21"/>
      <c r="NRZ9" s="15"/>
      <c r="NSF9" s="25"/>
      <c r="NSM9" s="21"/>
      <c r="NSN9" s="21"/>
      <c r="NSR9" s="15"/>
      <c r="NSX9" s="25"/>
      <c r="NTE9" s="21"/>
      <c r="NTF9" s="21"/>
      <c r="NTJ9" s="15"/>
      <c r="NTP9" s="25"/>
      <c r="NTW9" s="21"/>
      <c r="NTX9" s="21"/>
      <c r="NUB9" s="15"/>
      <c r="NUH9" s="25"/>
      <c r="NUO9" s="21"/>
      <c r="NUP9" s="21"/>
      <c r="NUT9" s="15"/>
      <c r="NUZ9" s="25"/>
      <c r="NVG9" s="21"/>
      <c r="NVH9" s="21"/>
      <c r="NVL9" s="15"/>
      <c r="NVR9" s="25"/>
      <c r="NVY9" s="21"/>
      <c r="NVZ9" s="21"/>
      <c r="NWD9" s="15"/>
      <c r="NWJ9" s="25"/>
      <c r="NWQ9" s="21"/>
      <c r="NWR9" s="21"/>
      <c r="NWV9" s="15"/>
      <c r="NXB9" s="25"/>
      <c r="NXI9" s="21"/>
      <c r="NXJ9" s="21"/>
      <c r="NXN9" s="15"/>
      <c r="NXT9" s="25"/>
      <c r="NYA9" s="21"/>
      <c r="NYB9" s="21"/>
      <c r="NYF9" s="15"/>
      <c r="NYL9" s="25"/>
      <c r="NYS9" s="21"/>
      <c r="NYT9" s="21"/>
      <c r="NYX9" s="15"/>
      <c r="NZD9" s="25"/>
      <c r="NZK9" s="21"/>
      <c r="NZL9" s="21"/>
      <c r="NZP9" s="15"/>
      <c r="NZV9" s="25"/>
      <c r="OAC9" s="21"/>
      <c r="OAD9" s="21"/>
      <c r="OAH9" s="15"/>
      <c r="OAN9" s="25"/>
      <c r="OAU9" s="21"/>
      <c r="OAV9" s="21"/>
      <c r="OAZ9" s="15"/>
      <c r="OBF9" s="25"/>
      <c r="OBM9" s="21"/>
      <c r="OBN9" s="21"/>
      <c r="OBR9" s="15"/>
      <c r="OBX9" s="25"/>
      <c r="OCE9" s="21"/>
      <c r="OCF9" s="21"/>
      <c r="OCJ9" s="15"/>
      <c r="OCP9" s="25"/>
      <c r="OCW9" s="21"/>
      <c r="OCX9" s="21"/>
      <c r="ODB9" s="15"/>
      <c r="ODH9" s="25"/>
      <c r="ODO9" s="21"/>
      <c r="ODP9" s="21"/>
      <c r="ODT9" s="15"/>
      <c r="ODZ9" s="25"/>
      <c r="OEG9" s="21"/>
      <c r="OEH9" s="21"/>
      <c r="OEL9" s="15"/>
      <c r="OER9" s="25"/>
      <c r="OEY9" s="21"/>
      <c r="OEZ9" s="21"/>
      <c r="OFD9" s="15"/>
      <c r="OFJ9" s="25"/>
      <c r="OFQ9" s="21"/>
      <c r="OFR9" s="21"/>
      <c r="OFV9" s="15"/>
      <c r="OGB9" s="25"/>
      <c r="OGI9" s="21"/>
      <c r="OGJ9" s="21"/>
      <c r="OGN9" s="15"/>
      <c r="OGT9" s="25"/>
      <c r="OHA9" s="21"/>
      <c r="OHB9" s="21"/>
      <c r="OHF9" s="15"/>
      <c r="OHL9" s="25"/>
      <c r="OHS9" s="21"/>
      <c r="OHT9" s="21"/>
      <c r="OHX9" s="15"/>
      <c r="OID9" s="25"/>
      <c r="OIK9" s="21"/>
      <c r="OIL9" s="21"/>
      <c r="OIP9" s="15"/>
      <c r="OIV9" s="25"/>
      <c r="OJC9" s="21"/>
      <c r="OJD9" s="21"/>
      <c r="OJH9" s="15"/>
      <c r="OJN9" s="25"/>
      <c r="OJU9" s="21"/>
      <c r="OJV9" s="21"/>
      <c r="OJZ9" s="15"/>
      <c r="OKF9" s="25"/>
      <c r="OKM9" s="21"/>
      <c r="OKN9" s="21"/>
      <c r="OKR9" s="15"/>
      <c r="OKX9" s="25"/>
      <c r="OLE9" s="21"/>
      <c r="OLF9" s="21"/>
      <c r="OLJ9" s="15"/>
      <c r="OLP9" s="25"/>
      <c r="OLW9" s="21"/>
      <c r="OLX9" s="21"/>
      <c r="OMB9" s="15"/>
      <c r="OMH9" s="25"/>
      <c r="OMO9" s="21"/>
      <c r="OMP9" s="21"/>
      <c r="OMT9" s="15"/>
      <c r="OMZ9" s="25"/>
      <c r="ONG9" s="21"/>
      <c r="ONH9" s="21"/>
      <c r="ONL9" s="15"/>
      <c r="ONR9" s="25"/>
      <c r="ONY9" s="21"/>
      <c r="ONZ9" s="21"/>
      <c r="OOD9" s="15"/>
      <c r="OOJ9" s="25"/>
      <c r="OOQ9" s="21"/>
      <c r="OOR9" s="21"/>
      <c r="OOV9" s="15"/>
      <c r="OPB9" s="25"/>
      <c r="OPI9" s="21"/>
      <c r="OPJ9" s="21"/>
      <c r="OPN9" s="15"/>
      <c r="OPT9" s="25"/>
      <c r="OQA9" s="21"/>
      <c r="OQB9" s="21"/>
      <c r="OQF9" s="15"/>
      <c r="OQL9" s="25"/>
      <c r="OQS9" s="21"/>
      <c r="OQT9" s="21"/>
      <c r="OQX9" s="15"/>
      <c r="ORD9" s="25"/>
      <c r="ORK9" s="21"/>
      <c r="ORL9" s="21"/>
      <c r="ORP9" s="15"/>
      <c r="ORV9" s="25"/>
      <c r="OSC9" s="21"/>
      <c r="OSD9" s="21"/>
      <c r="OSH9" s="15"/>
      <c r="OSN9" s="25"/>
      <c r="OSU9" s="21"/>
      <c r="OSV9" s="21"/>
      <c r="OSZ9" s="15"/>
      <c r="OTF9" s="25"/>
      <c r="OTM9" s="21"/>
      <c r="OTN9" s="21"/>
      <c r="OTR9" s="15"/>
      <c r="OTX9" s="25"/>
      <c r="OUE9" s="21"/>
      <c r="OUF9" s="21"/>
      <c r="OUJ9" s="15"/>
      <c r="OUP9" s="25"/>
      <c r="OUW9" s="21"/>
      <c r="OUX9" s="21"/>
      <c r="OVB9" s="15"/>
      <c r="OVH9" s="25"/>
      <c r="OVO9" s="21"/>
      <c r="OVP9" s="21"/>
      <c r="OVT9" s="15"/>
      <c r="OVZ9" s="25"/>
      <c r="OWG9" s="21"/>
      <c r="OWH9" s="21"/>
      <c r="OWL9" s="15"/>
      <c r="OWR9" s="25"/>
      <c r="OWY9" s="21"/>
      <c r="OWZ9" s="21"/>
      <c r="OXD9" s="15"/>
      <c r="OXJ9" s="25"/>
      <c r="OXQ9" s="21"/>
      <c r="OXR9" s="21"/>
      <c r="OXV9" s="15"/>
      <c r="OYB9" s="25"/>
      <c r="OYI9" s="21"/>
      <c r="OYJ9" s="21"/>
      <c r="OYN9" s="15"/>
      <c r="OYT9" s="25"/>
      <c r="OZA9" s="21"/>
      <c r="OZB9" s="21"/>
      <c r="OZF9" s="15"/>
      <c r="OZL9" s="25"/>
      <c r="OZS9" s="21"/>
      <c r="OZT9" s="21"/>
      <c r="OZX9" s="15"/>
      <c r="PAD9" s="25"/>
      <c r="PAK9" s="21"/>
      <c r="PAL9" s="21"/>
      <c r="PAP9" s="15"/>
      <c r="PAV9" s="25"/>
      <c r="PBC9" s="21"/>
      <c r="PBD9" s="21"/>
      <c r="PBH9" s="15"/>
      <c r="PBN9" s="25"/>
      <c r="PBU9" s="21"/>
      <c r="PBV9" s="21"/>
      <c r="PBZ9" s="15"/>
      <c r="PCF9" s="25"/>
      <c r="PCM9" s="21"/>
      <c r="PCN9" s="21"/>
      <c r="PCR9" s="15"/>
      <c r="PCX9" s="25"/>
      <c r="PDE9" s="21"/>
      <c r="PDF9" s="21"/>
      <c r="PDJ9" s="15"/>
      <c r="PDP9" s="25"/>
      <c r="PDW9" s="21"/>
      <c r="PDX9" s="21"/>
      <c r="PEB9" s="15"/>
      <c r="PEH9" s="25"/>
      <c r="PEO9" s="21"/>
      <c r="PEP9" s="21"/>
      <c r="PET9" s="15"/>
      <c r="PEZ9" s="25"/>
      <c r="PFG9" s="21"/>
      <c r="PFH9" s="21"/>
      <c r="PFL9" s="15"/>
      <c r="PFR9" s="25"/>
      <c r="PFY9" s="21"/>
      <c r="PFZ9" s="21"/>
      <c r="PGD9" s="15"/>
      <c r="PGJ9" s="25"/>
      <c r="PGQ9" s="21"/>
      <c r="PGR9" s="21"/>
      <c r="PGV9" s="15"/>
      <c r="PHB9" s="25"/>
      <c r="PHI9" s="21"/>
      <c r="PHJ9" s="21"/>
      <c r="PHN9" s="15"/>
      <c r="PHT9" s="25"/>
      <c r="PIA9" s="21"/>
      <c r="PIB9" s="21"/>
      <c r="PIF9" s="15"/>
      <c r="PIL9" s="25"/>
      <c r="PIS9" s="21"/>
      <c r="PIT9" s="21"/>
      <c r="PIX9" s="15"/>
      <c r="PJD9" s="25"/>
      <c r="PJK9" s="21"/>
      <c r="PJL9" s="21"/>
      <c r="PJP9" s="15"/>
      <c r="PJV9" s="25"/>
      <c r="PKC9" s="21"/>
      <c r="PKD9" s="21"/>
      <c r="PKH9" s="15"/>
      <c r="PKN9" s="25"/>
      <c r="PKU9" s="21"/>
      <c r="PKV9" s="21"/>
      <c r="PKZ9" s="15"/>
      <c r="PLF9" s="25"/>
      <c r="PLM9" s="21"/>
      <c r="PLN9" s="21"/>
      <c r="PLR9" s="15"/>
      <c r="PLX9" s="25"/>
      <c r="PME9" s="21"/>
      <c r="PMF9" s="21"/>
      <c r="PMJ9" s="15"/>
      <c r="PMP9" s="25"/>
      <c r="PMW9" s="21"/>
      <c r="PMX9" s="21"/>
      <c r="PNB9" s="15"/>
      <c r="PNH9" s="25"/>
      <c r="PNO9" s="21"/>
      <c r="PNP9" s="21"/>
      <c r="PNT9" s="15"/>
      <c r="PNZ9" s="25"/>
      <c r="POG9" s="21"/>
      <c r="POH9" s="21"/>
      <c r="POL9" s="15"/>
      <c r="POR9" s="25"/>
      <c r="POY9" s="21"/>
      <c r="POZ9" s="21"/>
      <c r="PPD9" s="15"/>
      <c r="PPJ9" s="25"/>
      <c r="PPQ9" s="21"/>
      <c r="PPR9" s="21"/>
      <c r="PPV9" s="15"/>
      <c r="PQB9" s="25"/>
      <c r="PQI9" s="21"/>
      <c r="PQJ9" s="21"/>
      <c r="PQN9" s="15"/>
      <c r="PQT9" s="25"/>
      <c r="PRA9" s="21"/>
      <c r="PRB9" s="21"/>
      <c r="PRF9" s="15"/>
      <c r="PRL9" s="25"/>
      <c r="PRS9" s="21"/>
      <c r="PRT9" s="21"/>
      <c r="PRX9" s="15"/>
      <c r="PSD9" s="25"/>
      <c r="PSK9" s="21"/>
      <c r="PSL9" s="21"/>
      <c r="PSP9" s="15"/>
      <c r="PSV9" s="25"/>
      <c r="PTC9" s="21"/>
      <c r="PTD9" s="21"/>
      <c r="PTH9" s="15"/>
      <c r="PTN9" s="25"/>
      <c r="PTU9" s="21"/>
      <c r="PTV9" s="21"/>
      <c r="PTZ9" s="15"/>
      <c r="PUF9" s="25"/>
      <c r="PUM9" s="21"/>
      <c r="PUN9" s="21"/>
      <c r="PUR9" s="15"/>
      <c r="PUX9" s="25"/>
      <c r="PVE9" s="21"/>
      <c r="PVF9" s="21"/>
      <c r="PVJ9" s="15"/>
      <c r="PVP9" s="25"/>
      <c r="PVW9" s="21"/>
      <c r="PVX9" s="21"/>
      <c r="PWB9" s="15"/>
      <c r="PWH9" s="25"/>
      <c r="PWO9" s="21"/>
      <c r="PWP9" s="21"/>
      <c r="PWT9" s="15"/>
      <c r="PWZ9" s="25"/>
      <c r="PXG9" s="21"/>
      <c r="PXH9" s="21"/>
      <c r="PXL9" s="15"/>
      <c r="PXR9" s="25"/>
      <c r="PXY9" s="21"/>
      <c r="PXZ9" s="21"/>
      <c r="PYD9" s="15"/>
      <c r="PYJ9" s="25"/>
      <c r="PYQ9" s="21"/>
      <c r="PYR9" s="21"/>
      <c r="PYV9" s="15"/>
      <c r="PZB9" s="25"/>
      <c r="PZI9" s="21"/>
      <c r="PZJ9" s="21"/>
      <c r="PZN9" s="15"/>
      <c r="PZT9" s="25"/>
      <c r="QAA9" s="21"/>
      <c r="QAB9" s="21"/>
      <c r="QAF9" s="15"/>
      <c r="QAL9" s="25"/>
      <c r="QAS9" s="21"/>
      <c r="QAT9" s="21"/>
      <c r="QAX9" s="15"/>
      <c r="QBD9" s="25"/>
      <c r="QBK9" s="21"/>
      <c r="QBL9" s="21"/>
      <c r="QBP9" s="15"/>
      <c r="QBV9" s="25"/>
      <c r="QCC9" s="21"/>
      <c r="QCD9" s="21"/>
      <c r="QCH9" s="15"/>
      <c r="QCN9" s="25"/>
      <c r="QCU9" s="21"/>
      <c r="QCV9" s="21"/>
      <c r="QCZ9" s="15"/>
      <c r="QDF9" s="25"/>
      <c r="QDM9" s="21"/>
      <c r="QDN9" s="21"/>
      <c r="QDR9" s="15"/>
      <c r="QDX9" s="25"/>
      <c r="QEE9" s="21"/>
      <c r="QEF9" s="21"/>
      <c r="QEJ9" s="15"/>
      <c r="QEP9" s="25"/>
      <c r="QEW9" s="21"/>
      <c r="QEX9" s="21"/>
      <c r="QFB9" s="15"/>
      <c r="QFH9" s="25"/>
      <c r="QFO9" s="21"/>
      <c r="QFP9" s="21"/>
      <c r="QFT9" s="15"/>
      <c r="QFZ9" s="25"/>
      <c r="QGG9" s="21"/>
      <c r="QGH9" s="21"/>
      <c r="QGL9" s="15"/>
      <c r="QGR9" s="25"/>
      <c r="QGY9" s="21"/>
      <c r="QGZ9" s="21"/>
      <c r="QHD9" s="15"/>
      <c r="QHJ9" s="25"/>
      <c r="QHQ9" s="21"/>
      <c r="QHR9" s="21"/>
      <c r="QHV9" s="15"/>
      <c r="QIB9" s="25"/>
      <c r="QII9" s="21"/>
      <c r="QIJ9" s="21"/>
      <c r="QIN9" s="15"/>
      <c r="QIT9" s="25"/>
      <c r="QJA9" s="21"/>
      <c r="QJB9" s="21"/>
      <c r="QJF9" s="15"/>
      <c r="QJL9" s="25"/>
      <c r="QJS9" s="21"/>
      <c r="QJT9" s="21"/>
      <c r="QJX9" s="15"/>
      <c r="QKD9" s="25"/>
      <c r="QKK9" s="21"/>
      <c r="QKL9" s="21"/>
      <c r="QKP9" s="15"/>
      <c r="QKV9" s="25"/>
      <c r="QLC9" s="21"/>
      <c r="QLD9" s="21"/>
      <c r="QLH9" s="15"/>
      <c r="QLN9" s="25"/>
      <c r="QLU9" s="21"/>
      <c r="QLV9" s="21"/>
      <c r="QLZ9" s="15"/>
      <c r="QMF9" s="25"/>
      <c r="QMM9" s="21"/>
      <c r="QMN9" s="21"/>
      <c r="QMR9" s="15"/>
      <c r="QMX9" s="25"/>
      <c r="QNE9" s="21"/>
      <c r="QNF9" s="21"/>
      <c r="QNJ9" s="15"/>
      <c r="QNP9" s="25"/>
      <c r="QNW9" s="21"/>
      <c r="QNX9" s="21"/>
      <c r="QOB9" s="15"/>
      <c r="QOH9" s="25"/>
      <c r="QOO9" s="21"/>
      <c r="QOP9" s="21"/>
      <c r="QOT9" s="15"/>
      <c r="QOZ9" s="25"/>
      <c r="QPG9" s="21"/>
      <c r="QPH9" s="21"/>
      <c r="QPL9" s="15"/>
      <c r="QPR9" s="25"/>
      <c r="QPY9" s="21"/>
      <c r="QPZ9" s="21"/>
      <c r="QQD9" s="15"/>
      <c r="QQJ9" s="25"/>
      <c r="QQQ9" s="21"/>
      <c r="QQR9" s="21"/>
      <c r="QQV9" s="15"/>
      <c r="QRB9" s="25"/>
      <c r="QRI9" s="21"/>
      <c r="QRJ9" s="21"/>
      <c r="QRN9" s="15"/>
      <c r="QRT9" s="25"/>
      <c r="QSA9" s="21"/>
      <c r="QSB9" s="21"/>
      <c r="QSF9" s="15"/>
      <c r="QSL9" s="25"/>
      <c r="QSS9" s="21"/>
      <c r="QST9" s="21"/>
      <c r="QSX9" s="15"/>
      <c r="QTD9" s="25"/>
      <c r="QTK9" s="21"/>
      <c r="QTL9" s="21"/>
      <c r="QTP9" s="15"/>
      <c r="QTV9" s="25"/>
      <c r="QUC9" s="21"/>
      <c r="QUD9" s="21"/>
      <c r="QUH9" s="15"/>
      <c r="QUN9" s="25"/>
      <c r="QUU9" s="21"/>
      <c r="QUV9" s="21"/>
      <c r="QUZ9" s="15"/>
      <c r="QVF9" s="25"/>
      <c r="QVM9" s="21"/>
      <c r="QVN9" s="21"/>
      <c r="QVR9" s="15"/>
      <c r="QVX9" s="25"/>
      <c r="QWE9" s="21"/>
      <c r="QWF9" s="21"/>
      <c r="QWJ9" s="15"/>
      <c r="QWP9" s="25"/>
      <c r="QWW9" s="21"/>
      <c r="QWX9" s="21"/>
      <c r="QXB9" s="15"/>
      <c r="QXH9" s="25"/>
      <c r="QXO9" s="21"/>
      <c r="QXP9" s="21"/>
      <c r="QXT9" s="15"/>
      <c r="QXZ9" s="25"/>
      <c r="QYG9" s="21"/>
      <c r="QYH9" s="21"/>
      <c r="QYL9" s="15"/>
      <c r="QYR9" s="25"/>
      <c r="QYY9" s="21"/>
      <c r="QYZ9" s="21"/>
      <c r="QZD9" s="15"/>
      <c r="QZJ9" s="25"/>
      <c r="QZQ9" s="21"/>
      <c r="QZR9" s="21"/>
      <c r="QZV9" s="15"/>
      <c r="RAB9" s="25"/>
      <c r="RAI9" s="21"/>
      <c r="RAJ9" s="21"/>
      <c r="RAN9" s="15"/>
      <c r="RAT9" s="25"/>
      <c r="RBA9" s="21"/>
      <c r="RBB9" s="21"/>
      <c r="RBF9" s="15"/>
      <c r="RBL9" s="25"/>
      <c r="RBS9" s="21"/>
      <c r="RBT9" s="21"/>
      <c r="RBX9" s="15"/>
      <c r="RCD9" s="25"/>
      <c r="RCK9" s="21"/>
      <c r="RCL9" s="21"/>
      <c r="RCP9" s="15"/>
      <c r="RCV9" s="25"/>
      <c r="RDC9" s="21"/>
      <c r="RDD9" s="21"/>
      <c r="RDH9" s="15"/>
      <c r="RDN9" s="25"/>
      <c r="RDU9" s="21"/>
      <c r="RDV9" s="21"/>
      <c r="RDZ9" s="15"/>
      <c r="REF9" s="25"/>
      <c r="REM9" s="21"/>
      <c r="REN9" s="21"/>
      <c r="RER9" s="15"/>
      <c r="REX9" s="25"/>
      <c r="RFE9" s="21"/>
      <c r="RFF9" s="21"/>
      <c r="RFJ9" s="15"/>
      <c r="RFP9" s="25"/>
      <c r="RFW9" s="21"/>
      <c r="RFX9" s="21"/>
      <c r="RGB9" s="15"/>
      <c r="RGH9" s="25"/>
      <c r="RGO9" s="21"/>
      <c r="RGP9" s="21"/>
      <c r="RGT9" s="15"/>
      <c r="RGZ9" s="25"/>
      <c r="RHG9" s="21"/>
      <c r="RHH9" s="21"/>
      <c r="RHL9" s="15"/>
      <c r="RHR9" s="25"/>
      <c r="RHY9" s="21"/>
      <c r="RHZ9" s="21"/>
      <c r="RID9" s="15"/>
      <c r="RIJ9" s="25"/>
      <c r="RIQ9" s="21"/>
      <c r="RIR9" s="21"/>
      <c r="RIV9" s="15"/>
      <c r="RJB9" s="25"/>
      <c r="RJI9" s="21"/>
      <c r="RJJ9" s="21"/>
      <c r="RJN9" s="15"/>
      <c r="RJT9" s="25"/>
      <c r="RKA9" s="21"/>
      <c r="RKB9" s="21"/>
      <c r="RKF9" s="15"/>
      <c r="RKL9" s="25"/>
      <c r="RKS9" s="21"/>
      <c r="RKT9" s="21"/>
      <c r="RKX9" s="15"/>
      <c r="RLD9" s="25"/>
      <c r="RLK9" s="21"/>
      <c r="RLL9" s="21"/>
      <c r="RLP9" s="15"/>
      <c r="RLV9" s="25"/>
      <c r="RMC9" s="21"/>
      <c r="RMD9" s="21"/>
      <c r="RMH9" s="15"/>
      <c r="RMN9" s="25"/>
      <c r="RMU9" s="21"/>
      <c r="RMV9" s="21"/>
      <c r="RMZ9" s="15"/>
      <c r="RNF9" s="25"/>
      <c r="RNM9" s="21"/>
      <c r="RNN9" s="21"/>
      <c r="RNR9" s="15"/>
      <c r="RNX9" s="25"/>
      <c r="ROE9" s="21"/>
      <c r="ROF9" s="21"/>
      <c r="ROJ9" s="15"/>
      <c r="ROP9" s="25"/>
      <c r="ROW9" s="21"/>
      <c r="ROX9" s="21"/>
      <c r="RPB9" s="15"/>
      <c r="RPH9" s="25"/>
      <c r="RPO9" s="21"/>
      <c r="RPP9" s="21"/>
      <c r="RPT9" s="15"/>
      <c r="RPZ9" s="25"/>
      <c r="RQG9" s="21"/>
      <c r="RQH9" s="21"/>
      <c r="RQL9" s="15"/>
      <c r="RQR9" s="25"/>
      <c r="RQY9" s="21"/>
      <c r="RQZ9" s="21"/>
      <c r="RRD9" s="15"/>
      <c r="RRJ9" s="25"/>
      <c r="RRQ9" s="21"/>
      <c r="RRR9" s="21"/>
      <c r="RRV9" s="15"/>
      <c r="RSB9" s="25"/>
      <c r="RSI9" s="21"/>
      <c r="RSJ9" s="21"/>
      <c r="RSN9" s="15"/>
      <c r="RST9" s="25"/>
      <c r="RTA9" s="21"/>
      <c r="RTB9" s="21"/>
      <c r="RTF9" s="15"/>
      <c r="RTL9" s="25"/>
      <c r="RTS9" s="21"/>
      <c r="RTT9" s="21"/>
      <c r="RTX9" s="15"/>
      <c r="RUD9" s="25"/>
      <c r="RUK9" s="21"/>
      <c r="RUL9" s="21"/>
      <c r="RUP9" s="15"/>
      <c r="RUV9" s="25"/>
      <c r="RVC9" s="21"/>
      <c r="RVD9" s="21"/>
      <c r="RVH9" s="15"/>
      <c r="RVN9" s="25"/>
      <c r="RVU9" s="21"/>
      <c r="RVV9" s="21"/>
      <c r="RVZ9" s="15"/>
      <c r="RWF9" s="25"/>
      <c r="RWM9" s="21"/>
      <c r="RWN9" s="21"/>
      <c r="RWR9" s="15"/>
      <c r="RWX9" s="25"/>
      <c r="RXE9" s="21"/>
      <c r="RXF9" s="21"/>
      <c r="RXJ9" s="15"/>
      <c r="RXP9" s="25"/>
      <c r="RXW9" s="21"/>
      <c r="RXX9" s="21"/>
      <c r="RYB9" s="15"/>
      <c r="RYH9" s="25"/>
      <c r="RYO9" s="21"/>
      <c r="RYP9" s="21"/>
      <c r="RYT9" s="15"/>
      <c r="RYZ9" s="25"/>
      <c r="RZG9" s="21"/>
      <c r="RZH9" s="21"/>
      <c r="RZL9" s="15"/>
      <c r="RZR9" s="25"/>
      <c r="RZY9" s="21"/>
      <c r="RZZ9" s="21"/>
      <c r="SAD9" s="15"/>
      <c r="SAJ9" s="25"/>
      <c r="SAQ9" s="21"/>
      <c r="SAR9" s="21"/>
      <c r="SAV9" s="15"/>
      <c r="SBB9" s="25"/>
      <c r="SBI9" s="21"/>
      <c r="SBJ9" s="21"/>
      <c r="SBN9" s="15"/>
      <c r="SBT9" s="25"/>
      <c r="SCA9" s="21"/>
      <c r="SCB9" s="21"/>
      <c r="SCF9" s="15"/>
      <c r="SCL9" s="25"/>
      <c r="SCS9" s="21"/>
      <c r="SCT9" s="21"/>
      <c r="SCX9" s="15"/>
      <c r="SDD9" s="25"/>
      <c r="SDK9" s="21"/>
      <c r="SDL9" s="21"/>
      <c r="SDP9" s="15"/>
      <c r="SDV9" s="25"/>
      <c r="SEC9" s="21"/>
      <c r="SED9" s="21"/>
      <c r="SEH9" s="15"/>
      <c r="SEN9" s="25"/>
      <c r="SEU9" s="21"/>
      <c r="SEV9" s="21"/>
      <c r="SEZ9" s="15"/>
      <c r="SFF9" s="25"/>
      <c r="SFM9" s="21"/>
      <c r="SFN9" s="21"/>
      <c r="SFR9" s="15"/>
      <c r="SFX9" s="25"/>
      <c r="SGE9" s="21"/>
      <c r="SGF9" s="21"/>
      <c r="SGJ9" s="15"/>
      <c r="SGP9" s="25"/>
      <c r="SGW9" s="21"/>
      <c r="SGX9" s="21"/>
      <c r="SHB9" s="15"/>
      <c r="SHH9" s="25"/>
      <c r="SHO9" s="21"/>
      <c r="SHP9" s="21"/>
      <c r="SHT9" s="15"/>
      <c r="SHZ9" s="25"/>
      <c r="SIG9" s="21"/>
      <c r="SIH9" s="21"/>
      <c r="SIL9" s="15"/>
      <c r="SIR9" s="25"/>
      <c r="SIY9" s="21"/>
      <c r="SIZ9" s="21"/>
      <c r="SJD9" s="15"/>
      <c r="SJJ9" s="25"/>
      <c r="SJQ9" s="21"/>
      <c r="SJR9" s="21"/>
      <c r="SJV9" s="15"/>
      <c r="SKB9" s="25"/>
      <c r="SKI9" s="21"/>
      <c r="SKJ9" s="21"/>
      <c r="SKN9" s="15"/>
      <c r="SKT9" s="25"/>
      <c r="SLA9" s="21"/>
      <c r="SLB9" s="21"/>
      <c r="SLF9" s="15"/>
      <c r="SLL9" s="25"/>
      <c r="SLS9" s="21"/>
      <c r="SLT9" s="21"/>
      <c r="SLX9" s="15"/>
      <c r="SMD9" s="25"/>
      <c r="SMK9" s="21"/>
      <c r="SML9" s="21"/>
      <c r="SMP9" s="15"/>
      <c r="SMV9" s="25"/>
      <c r="SNC9" s="21"/>
      <c r="SND9" s="21"/>
      <c r="SNH9" s="15"/>
      <c r="SNN9" s="25"/>
      <c r="SNU9" s="21"/>
      <c r="SNV9" s="21"/>
      <c r="SNZ9" s="15"/>
      <c r="SOF9" s="25"/>
      <c r="SOM9" s="21"/>
      <c r="SON9" s="21"/>
      <c r="SOR9" s="15"/>
      <c r="SOX9" s="25"/>
      <c r="SPE9" s="21"/>
      <c r="SPF9" s="21"/>
      <c r="SPJ9" s="15"/>
      <c r="SPP9" s="25"/>
      <c r="SPW9" s="21"/>
      <c r="SPX9" s="21"/>
      <c r="SQB9" s="15"/>
      <c r="SQH9" s="25"/>
      <c r="SQO9" s="21"/>
      <c r="SQP9" s="21"/>
      <c r="SQT9" s="15"/>
      <c r="SQZ9" s="25"/>
      <c r="SRG9" s="21"/>
      <c r="SRH9" s="21"/>
      <c r="SRL9" s="15"/>
      <c r="SRR9" s="25"/>
      <c r="SRY9" s="21"/>
      <c r="SRZ9" s="21"/>
      <c r="SSD9" s="15"/>
      <c r="SSJ9" s="25"/>
      <c r="SSQ9" s="21"/>
      <c r="SSR9" s="21"/>
      <c r="SSV9" s="15"/>
      <c r="STB9" s="25"/>
      <c r="STI9" s="21"/>
      <c r="STJ9" s="21"/>
      <c r="STN9" s="15"/>
      <c r="STT9" s="25"/>
      <c r="SUA9" s="21"/>
      <c r="SUB9" s="21"/>
      <c r="SUF9" s="15"/>
      <c r="SUL9" s="25"/>
      <c r="SUS9" s="21"/>
      <c r="SUT9" s="21"/>
      <c r="SUX9" s="15"/>
      <c r="SVD9" s="25"/>
      <c r="SVK9" s="21"/>
      <c r="SVL9" s="21"/>
      <c r="SVP9" s="15"/>
      <c r="SVV9" s="25"/>
      <c r="SWC9" s="21"/>
      <c r="SWD9" s="21"/>
      <c r="SWH9" s="15"/>
      <c r="SWN9" s="25"/>
      <c r="SWU9" s="21"/>
      <c r="SWV9" s="21"/>
      <c r="SWZ9" s="15"/>
      <c r="SXF9" s="25"/>
      <c r="SXM9" s="21"/>
      <c r="SXN9" s="21"/>
      <c r="SXR9" s="15"/>
      <c r="SXX9" s="25"/>
      <c r="SYE9" s="21"/>
      <c r="SYF9" s="21"/>
      <c r="SYJ9" s="15"/>
      <c r="SYP9" s="25"/>
      <c r="SYW9" s="21"/>
      <c r="SYX9" s="21"/>
      <c r="SZB9" s="15"/>
      <c r="SZH9" s="25"/>
      <c r="SZO9" s="21"/>
      <c r="SZP9" s="21"/>
      <c r="SZT9" s="15"/>
      <c r="SZZ9" s="25"/>
      <c r="TAG9" s="21"/>
      <c r="TAH9" s="21"/>
      <c r="TAL9" s="15"/>
      <c r="TAR9" s="25"/>
      <c r="TAY9" s="21"/>
      <c r="TAZ9" s="21"/>
      <c r="TBD9" s="15"/>
      <c r="TBJ9" s="25"/>
      <c r="TBQ9" s="21"/>
      <c r="TBR9" s="21"/>
      <c r="TBV9" s="15"/>
      <c r="TCB9" s="25"/>
      <c r="TCI9" s="21"/>
      <c r="TCJ9" s="21"/>
      <c r="TCN9" s="15"/>
      <c r="TCT9" s="25"/>
      <c r="TDA9" s="21"/>
      <c r="TDB9" s="21"/>
      <c r="TDF9" s="15"/>
      <c r="TDL9" s="25"/>
      <c r="TDS9" s="21"/>
      <c r="TDT9" s="21"/>
      <c r="TDX9" s="15"/>
      <c r="TED9" s="25"/>
      <c r="TEK9" s="21"/>
      <c r="TEL9" s="21"/>
      <c r="TEP9" s="15"/>
      <c r="TEV9" s="25"/>
      <c r="TFC9" s="21"/>
      <c r="TFD9" s="21"/>
      <c r="TFH9" s="15"/>
      <c r="TFN9" s="25"/>
      <c r="TFU9" s="21"/>
      <c r="TFV9" s="21"/>
      <c r="TFZ9" s="15"/>
      <c r="TGF9" s="25"/>
      <c r="TGM9" s="21"/>
      <c r="TGN9" s="21"/>
      <c r="TGR9" s="15"/>
      <c r="TGX9" s="25"/>
      <c r="THE9" s="21"/>
      <c r="THF9" s="21"/>
      <c r="THJ9" s="15"/>
      <c r="THP9" s="25"/>
      <c r="THW9" s="21"/>
      <c r="THX9" s="21"/>
      <c r="TIB9" s="15"/>
      <c r="TIH9" s="25"/>
      <c r="TIO9" s="21"/>
      <c r="TIP9" s="21"/>
      <c r="TIT9" s="15"/>
      <c r="TIZ9" s="25"/>
      <c r="TJG9" s="21"/>
      <c r="TJH9" s="21"/>
      <c r="TJL9" s="15"/>
      <c r="TJR9" s="25"/>
      <c r="TJY9" s="21"/>
      <c r="TJZ9" s="21"/>
      <c r="TKD9" s="15"/>
      <c r="TKJ9" s="25"/>
      <c r="TKQ9" s="21"/>
      <c r="TKR9" s="21"/>
      <c r="TKV9" s="15"/>
      <c r="TLB9" s="25"/>
      <c r="TLI9" s="21"/>
      <c r="TLJ9" s="21"/>
      <c r="TLN9" s="15"/>
      <c r="TLT9" s="25"/>
      <c r="TMA9" s="21"/>
      <c r="TMB9" s="21"/>
      <c r="TMF9" s="15"/>
      <c r="TML9" s="25"/>
      <c r="TMS9" s="21"/>
      <c r="TMT9" s="21"/>
      <c r="TMX9" s="15"/>
      <c r="TND9" s="25"/>
      <c r="TNK9" s="21"/>
      <c r="TNL9" s="21"/>
      <c r="TNP9" s="15"/>
      <c r="TNV9" s="25"/>
      <c r="TOC9" s="21"/>
      <c r="TOD9" s="21"/>
      <c r="TOH9" s="15"/>
      <c r="TON9" s="25"/>
      <c r="TOU9" s="21"/>
      <c r="TOV9" s="21"/>
      <c r="TOZ9" s="15"/>
      <c r="TPF9" s="25"/>
      <c r="TPM9" s="21"/>
      <c r="TPN9" s="21"/>
      <c r="TPR9" s="15"/>
      <c r="TPX9" s="25"/>
      <c r="TQE9" s="21"/>
      <c r="TQF9" s="21"/>
      <c r="TQJ9" s="15"/>
      <c r="TQP9" s="25"/>
      <c r="TQW9" s="21"/>
      <c r="TQX9" s="21"/>
      <c r="TRB9" s="15"/>
      <c r="TRH9" s="25"/>
      <c r="TRO9" s="21"/>
      <c r="TRP9" s="21"/>
      <c r="TRT9" s="15"/>
      <c r="TRZ9" s="25"/>
      <c r="TSG9" s="21"/>
      <c r="TSH9" s="21"/>
      <c r="TSL9" s="15"/>
      <c r="TSR9" s="25"/>
      <c r="TSY9" s="21"/>
      <c r="TSZ9" s="21"/>
      <c r="TTD9" s="15"/>
      <c r="TTJ9" s="25"/>
      <c r="TTQ9" s="21"/>
      <c r="TTR9" s="21"/>
      <c r="TTV9" s="15"/>
      <c r="TUB9" s="25"/>
      <c r="TUI9" s="21"/>
      <c r="TUJ9" s="21"/>
      <c r="TUN9" s="15"/>
      <c r="TUT9" s="25"/>
      <c r="TVA9" s="21"/>
      <c r="TVB9" s="21"/>
      <c r="TVF9" s="15"/>
      <c r="TVL9" s="25"/>
      <c r="TVS9" s="21"/>
      <c r="TVT9" s="21"/>
      <c r="TVX9" s="15"/>
      <c r="TWD9" s="25"/>
      <c r="TWK9" s="21"/>
      <c r="TWL9" s="21"/>
      <c r="TWP9" s="15"/>
      <c r="TWV9" s="25"/>
      <c r="TXC9" s="21"/>
      <c r="TXD9" s="21"/>
      <c r="TXH9" s="15"/>
      <c r="TXN9" s="25"/>
      <c r="TXU9" s="21"/>
      <c r="TXV9" s="21"/>
      <c r="TXZ9" s="15"/>
      <c r="TYF9" s="25"/>
      <c r="TYM9" s="21"/>
      <c r="TYN9" s="21"/>
      <c r="TYR9" s="15"/>
      <c r="TYX9" s="25"/>
      <c r="TZE9" s="21"/>
      <c r="TZF9" s="21"/>
      <c r="TZJ9" s="15"/>
      <c r="TZP9" s="25"/>
      <c r="TZW9" s="21"/>
      <c r="TZX9" s="21"/>
      <c r="UAB9" s="15"/>
      <c r="UAH9" s="25"/>
      <c r="UAO9" s="21"/>
      <c r="UAP9" s="21"/>
      <c r="UAT9" s="15"/>
      <c r="UAZ9" s="25"/>
      <c r="UBG9" s="21"/>
      <c r="UBH9" s="21"/>
      <c r="UBL9" s="15"/>
      <c r="UBR9" s="25"/>
      <c r="UBY9" s="21"/>
      <c r="UBZ9" s="21"/>
      <c r="UCD9" s="15"/>
      <c r="UCJ9" s="25"/>
      <c r="UCQ9" s="21"/>
      <c r="UCR9" s="21"/>
      <c r="UCV9" s="15"/>
      <c r="UDB9" s="25"/>
      <c r="UDI9" s="21"/>
      <c r="UDJ9" s="21"/>
      <c r="UDN9" s="15"/>
      <c r="UDT9" s="25"/>
      <c r="UEA9" s="21"/>
      <c r="UEB9" s="21"/>
      <c r="UEF9" s="15"/>
      <c r="UEL9" s="25"/>
      <c r="UES9" s="21"/>
      <c r="UET9" s="21"/>
      <c r="UEX9" s="15"/>
      <c r="UFD9" s="25"/>
      <c r="UFK9" s="21"/>
      <c r="UFL9" s="21"/>
      <c r="UFP9" s="15"/>
      <c r="UFV9" s="25"/>
      <c r="UGC9" s="21"/>
      <c r="UGD9" s="21"/>
      <c r="UGH9" s="15"/>
      <c r="UGN9" s="25"/>
      <c r="UGU9" s="21"/>
      <c r="UGV9" s="21"/>
      <c r="UGZ9" s="15"/>
      <c r="UHF9" s="25"/>
      <c r="UHM9" s="21"/>
      <c r="UHN9" s="21"/>
      <c r="UHR9" s="15"/>
      <c r="UHX9" s="25"/>
      <c r="UIE9" s="21"/>
      <c r="UIF9" s="21"/>
      <c r="UIJ9" s="15"/>
      <c r="UIP9" s="25"/>
      <c r="UIW9" s="21"/>
      <c r="UIX9" s="21"/>
      <c r="UJB9" s="15"/>
      <c r="UJH9" s="25"/>
      <c r="UJO9" s="21"/>
      <c r="UJP9" s="21"/>
      <c r="UJT9" s="15"/>
      <c r="UJZ9" s="25"/>
      <c r="UKG9" s="21"/>
      <c r="UKH9" s="21"/>
      <c r="UKL9" s="15"/>
      <c r="UKR9" s="25"/>
      <c r="UKY9" s="21"/>
      <c r="UKZ9" s="21"/>
      <c r="ULD9" s="15"/>
      <c r="ULJ9" s="25"/>
      <c r="ULQ9" s="21"/>
      <c r="ULR9" s="21"/>
      <c r="ULV9" s="15"/>
      <c r="UMB9" s="25"/>
      <c r="UMI9" s="21"/>
      <c r="UMJ9" s="21"/>
      <c r="UMN9" s="15"/>
      <c r="UMT9" s="25"/>
      <c r="UNA9" s="21"/>
      <c r="UNB9" s="21"/>
      <c r="UNF9" s="15"/>
      <c r="UNL9" s="25"/>
      <c r="UNS9" s="21"/>
      <c r="UNT9" s="21"/>
      <c r="UNX9" s="15"/>
      <c r="UOD9" s="25"/>
      <c r="UOK9" s="21"/>
      <c r="UOL9" s="21"/>
      <c r="UOP9" s="15"/>
      <c r="UOV9" s="25"/>
      <c r="UPC9" s="21"/>
      <c r="UPD9" s="21"/>
      <c r="UPH9" s="15"/>
      <c r="UPN9" s="25"/>
      <c r="UPU9" s="21"/>
      <c r="UPV9" s="21"/>
      <c r="UPZ9" s="15"/>
      <c r="UQF9" s="25"/>
      <c r="UQM9" s="21"/>
      <c r="UQN9" s="21"/>
      <c r="UQR9" s="15"/>
      <c r="UQX9" s="25"/>
      <c r="URE9" s="21"/>
      <c r="URF9" s="21"/>
      <c r="URJ9" s="15"/>
      <c r="URP9" s="25"/>
      <c r="URW9" s="21"/>
      <c r="URX9" s="21"/>
      <c r="USB9" s="15"/>
      <c r="USH9" s="25"/>
      <c r="USO9" s="21"/>
      <c r="USP9" s="21"/>
      <c r="UST9" s="15"/>
      <c r="USZ9" s="25"/>
      <c r="UTG9" s="21"/>
      <c r="UTH9" s="21"/>
      <c r="UTL9" s="15"/>
      <c r="UTR9" s="25"/>
      <c r="UTY9" s="21"/>
      <c r="UTZ9" s="21"/>
      <c r="UUD9" s="15"/>
      <c r="UUJ9" s="25"/>
      <c r="UUQ9" s="21"/>
      <c r="UUR9" s="21"/>
      <c r="UUV9" s="15"/>
      <c r="UVB9" s="25"/>
      <c r="UVI9" s="21"/>
      <c r="UVJ9" s="21"/>
      <c r="UVN9" s="15"/>
      <c r="UVT9" s="25"/>
      <c r="UWA9" s="21"/>
      <c r="UWB9" s="21"/>
      <c r="UWF9" s="15"/>
      <c r="UWL9" s="25"/>
      <c r="UWS9" s="21"/>
      <c r="UWT9" s="21"/>
      <c r="UWX9" s="15"/>
      <c r="UXD9" s="25"/>
      <c r="UXK9" s="21"/>
      <c r="UXL9" s="21"/>
      <c r="UXP9" s="15"/>
      <c r="UXV9" s="25"/>
      <c r="UYC9" s="21"/>
      <c r="UYD9" s="21"/>
      <c r="UYH9" s="15"/>
      <c r="UYN9" s="25"/>
      <c r="UYU9" s="21"/>
      <c r="UYV9" s="21"/>
      <c r="UYZ9" s="15"/>
      <c r="UZF9" s="25"/>
      <c r="UZM9" s="21"/>
      <c r="UZN9" s="21"/>
      <c r="UZR9" s="15"/>
      <c r="UZX9" s="25"/>
      <c r="VAE9" s="21"/>
      <c r="VAF9" s="21"/>
      <c r="VAJ9" s="15"/>
      <c r="VAP9" s="25"/>
      <c r="VAW9" s="21"/>
      <c r="VAX9" s="21"/>
      <c r="VBB9" s="15"/>
      <c r="VBH9" s="25"/>
      <c r="VBO9" s="21"/>
      <c r="VBP9" s="21"/>
      <c r="VBT9" s="15"/>
      <c r="VBZ9" s="25"/>
      <c r="VCG9" s="21"/>
      <c r="VCH9" s="21"/>
      <c r="VCL9" s="15"/>
      <c r="VCR9" s="25"/>
      <c r="VCY9" s="21"/>
      <c r="VCZ9" s="21"/>
      <c r="VDD9" s="15"/>
      <c r="VDJ9" s="25"/>
      <c r="VDQ9" s="21"/>
      <c r="VDR9" s="21"/>
      <c r="VDV9" s="15"/>
      <c r="VEB9" s="25"/>
      <c r="VEI9" s="21"/>
      <c r="VEJ9" s="21"/>
      <c r="VEN9" s="15"/>
      <c r="VET9" s="25"/>
      <c r="VFA9" s="21"/>
      <c r="VFB9" s="21"/>
      <c r="VFF9" s="15"/>
      <c r="VFL9" s="25"/>
      <c r="VFS9" s="21"/>
      <c r="VFT9" s="21"/>
      <c r="VFX9" s="15"/>
      <c r="VGD9" s="25"/>
      <c r="VGK9" s="21"/>
      <c r="VGL9" s="21"/>
      <c r="VGP9" s="15"/>
      <c r="VGV9" s="25"/>
      <c r="VHC9" s="21"/>
      <c r="VHD9" s="21"/>
      <c r="VHH9" s="15"/>
      <c r="VHN9" s="25"/>
      <c r="VHU9" s="21"/>
      <c r="VHV9" s="21"/>
      <c r="VHZ9" s="15"/>
      <c r="VIF9" s="25"/>
      <c r="VIM9" s="21"/>
      <c r="VIN9" s="21"/>
      <c r="VIR9" s="15"/>
      <c r="VIX9" s="25"/>
      <c r="VJE9" s="21"/>
      <c r="VJF9" s="21"/>
      <c r="VJJ9" s="15"/>
      <c r="VJP9" s="25"/>
      <c r="VJW9" s="21"/>
      <c r="VJX9" s="21"/>
      <c r="VKB9" s="15"/>
      <c r="VKH9" s="25"/>
      <c r="VKO9" s="21"/>
      <c r="VKP9" s="21"/>
      <c r="VKT9" s="15"/>
      <c r="VKZ9" s="25"/>
      <c r="VLG9" s="21"/>
      <c r="VLH9" s="21"/>
      <c r="VLL9" s="15"/>
      <c r="VLR9" s="25"/>
      <c r="VLY9" s="21"/>
      <c r="VLZ9" s="21"/>
      <c r="VMD9" s="15"/>
      <c r="VMJ9" s="25"/>
      <c r="VMQ9" s="21"/>
      <c r="VMR9" s="21"/>
      <c r="VMV9" s="15"/>
      <c r="VNB9" s="25"/>
      <c r="VNI9" s="21"/>
      <c r="VNJ9" s="21"/>
      <c r="VNN9" s="15"/>
      <c r="VNT9" s="25"/>
      <c r="VOA9" s="21"/>
      <c r="VOB9" s="21"/>
      <c r="VOF9" s="15"/>
      <c r="VOL9" s="25"/>
      <c r="VOS9" s="21"/>
      <c r="VOT9" s="21"/>
      <c r="VOX9" s="15"/>
      <c r="VPD9" s="25"/>
      <c r="VPK9" s="21"/>
      <c r="VPL9" s="21"/>
      <c r="VPP9" s="15"/>
      <c r="VPV9" s="25"/>
      <c r="VQC9" s="21"/>
      <c r="VQD9" s="21"/>
      <c r="VQH9" s="15"/>
      <c r="VQN9" s="25"/>
      <c r="VQU9" s="21"/>
      <c r="VQV9" s="21"/>
      <c r="VQZ9" s="15"/>
      <c r="VRF9" s="25"/>
      <c r="VRM9" s="21"/>
      <c r="VRN9" s="21"/>
      <c r="VRR9" s="15"/>
      <c r="VRX9" s="25"/>
      <c r="VSE9" s="21"/>
      <c r="VSF9" s="21"/>
      <c r="VSJ9" s="15"/>
      <c r="VSP9" s="25"/>
      <c r="VSW9" s="21"/>
      <c r="VSX9" s="21"/>
      <c r="VTB9" s="15"/>
      <c r="VTH9" s="25"/>
      <c r="VTO9" s="21"/>
      <c r="VTP9" s="21"/>
      <c r="VTT9" s="15"/>
      <c r="VTZ9" s="25"/>
      <c r="VUG9" s="21"/>
      <c r="VUH9" s="21"/>
      <c r="VUL9" s="15"/>
      <c r="VUR9" s="25"/>
      <c r="VUY9" s="21"/>
      <c r="VUZ9" s="21"/>
      <c r="VVD9" s="15"/>
      <c r="VVJ9" s="25"/>
      <c r="VVQ9" s="21"/>
      <c r="VVR9" s="21"/>
      <c r="VVV9" s="15"/>
      <c r="VWB9" s="25"/>
      <c r="VWI9" s="21"/>
      <c r="VWJ9" s="21"/>
      <c r="VWN9" s="15"/>
      <c r="VWT9" s="25"/>
      <c r="VXA9" s="21"/>
      <c r="VXB9" s="21"/>
      <c r="VXF9" s="15"/>
      <c r="VXL9" s="25"/>
      <c r="VXS9" s="21"/>
      <c r="VXT9" s="21"/>
      <c r="VXX9" s="15"/>
      <c r="VYD9" s="25"/>
      <c r="VYK9" s="21"/>
      <c r="VYL9" s="21"/>
      <c r="VYP9" s="15"/>
      <c r="VYV9" s="25"/>
      <c r="VZC9" s="21"/>
      <c r="VZD9" s="21"/>
      <c r="VZH9" s="15"/>
      <c r="VZN9" s="25"/>
      <c r="VZU9" s="21"/>
      <c r="VZV9" s="21"/>
      <c r="VZZ9" s="15"/>
      <c r="WAF9" s="25"/>
      <c r="WAM9" s="21"/>
      <c r="WAN9" s="21"/>
      <c r="WAR9" s="15"/>
      <c r="WAX9" s="25"/>
      <c r="WBE9" s="21"/>
      <c r="WBF9" s="21"/>
      <c r="WBJ9" s="15"/>
      <c r="WBP9" s="25"/>
      <c r="WBW9" s="21"/>
      <c r="WBX9" s="21"/>
      <c r="WCB9" s="15"/>
      <c r="WCH9" s="25"/>
      <c r="WCO9" s="21"/>
      <c r="WCP9" s="21"/>
      <c r="WCT9" s="15"/>
      <c r="WCZ9" s="25"/>
      <c r="WDG9" s="21"/>
      <c r="WDH9" s="21"/>
      <c r="WDL9" s="15"/>
      <c r="WDR9" s="25"/>
      <c r="WDY9" s="21"/>
      <c r="WDZ9" s="21"/>
      <c r="WED9" s="15"/>
      <c r="WEJ9" s="25"/>
      <c r="WEQ9" s="21"/>
      <c r="WER9" s="21"/>
      <c r="WEV9" s="15"/>
      <c r="WFB9" s="25"/>
      <c r="WFI9" s="21"/>
      <c r="WFJ9" s="21"/>
      <c r="WFN9" s="15"/>
      <c r="WFT9" s="25"/>
      <c r="WGA9" s="21"/>
      <c r="WGB9" s="21"/>
      <c r="WGF9" s="15"/>
      <c r="WGL9" s="25"/>
      <c r="WGS9" s="21"/>
      <c r="WGT9" s="21"/>
      <c r="WGX9" s="15"/>
      <c r="WHD9" s="25"/>
      <c r="WHK9" s="21"/>
      <c r="WHL9" s="21"/>
      <c r="WHP9" s="15"/>
      <c r="WHV9" s="25"/>
      <c r="WIC9" s="21"/>
      <c r="WID9" s="21"/>
      <c r="WIH9" s="15"/>
      <c r="WIN9" s="25"/>
      <c r="WIU9" s="21"/>
      <c r="WIV9" s="21"/>
      <c r="WIZ9" s="15"/>
      <c r="WJF9" s="25"/>
      <c r="WJM9" s="21"/>
      <c r="WJN9" s="21"/>
      <c r="WJR9" s="15"/>
      <c r="WJX9" s="25"/>
      <c r="WKE9" s="21"/>
      <c r="WKF9" s="21"/>
      <c r="WKJ9" s="15"/>
      <c r="WKP9" s="25"/>
      <c r="WKW9" s="21"/>
      <c r="WKX9" s="21"/>
      <c r="WLB9" s="15"/>
      <c r="WLH9" s="25"/>
      <c r="WLO9" s="21"/>
      <c r="WLP9" s="21"/>
      <c r="WLT9" s="15"/>
      <c r="WLZ9" s="25"/>
      <c r="WMG9" s="21"/>
      <c r="WMH9" s="21"/>
      <c r="WML9" s="15"/>
      <c r="WMR9" s="25"/>
      <c r="WMY9" s="21"/>
      <c r="WMZ9" s="21"/>
      <c r="WND9" s="15"/>
      <c r="WNJ9" s="25"/>
      <c r="WNQ9" s="21"/>
      <c r="WNR9" s="21"/>
      <c r="WNV9" s="15"/>
      <c r="WOB9" s="25"/>
      <c r="WOI9" s="21"/>
      <c r="WOJ9" s="21"/>
      <c r="WON9" s="15"/>
      <c r="WOT9" s="25"/>
      <c r="WPA9" s="21"/>
      <c r="WPB9" s="21"/>
      <c r="WPF9" s="15"/>
      <c r="WPL9" s="25"/>
      <c r="WPS9" s="21"/>
      <c r="WPT9" s="21"/>
      <c r="WPX9" s="15"/>
      <c r="WQD9" s="25"/>
      <c r="WQK9" s="21"/>
      <c r="WQL9" s="21"/>
      <c r="WQP9" s="15"/>
      <c r="WQV9" s="25"/>
      <c r="WRC9" s="21"/>
      <c r="WRD9" s="21"/>
      <c r="WRH9" s="15"/>
      <c r="WRN9" s="25"/>
      <c r="WRU9" s="21"/>
      <c r="WRV9" s="21"/>
      <c r="WRZ9" s="15"/>
      <c r="WSF9" s="25"/>
      <c r="WSM9" s="21"/>
      <c r="WSN9" s="21"/>
      <c r="WSR9" s="15"/>
      <c r="WSX9" s="25"/>
      <c r="WTE9" s="21"/>
      <c r="WTF9" s="21"/>
      <c r="WTJ9" s="15"/>
      <c r="WTP9" s="25"/>
      <c r="WTW9" s="21"/>
      <c r="WTX9" s="21"/>
      <c r="WUB9" s="15"/>
      <c r="WUH9" s="25"/>
      <c r="WUO9" s="21"/>
      <c r="WUP9" s="21"/>
      <c r="WUT9" s="15"/>
      <c r="WUZ9" s="25"/>
      <c r="WVG9" s="21"/>
      <c r="WVH9" s="21"/>
      <c r="WVL9" s="15"/>
      <c r="WVR9" s="25"/>
      <c r="WVY9" s="21"/>
      <c r="WVZ9" s="21"/>
      <c r="WWD9" s="15"/>
      <c r="WWJ9" s="25"/>
      <c r="WWQ9" s="21"/>
      <c r="WWR9" s="21"/>
      <c r="WWV9" s="15"/>
      <c r="WXB9" s="25"/>
      <c r="WXI9" s="21"/>
      <c r="WXJ9" s="21"/>
      <c r="WXN9" s="15"/>
      <c r="WXT9" s="25"/>
      <c r="WYA9" s="21"/>
      <c r="WYB9" s="21"/>
      <c r="WYF9" s="15"/>
      <c r="WYL9" s="25"/>
      <c r="WYS9" s="21"/>
      <c r="WYT9" s="21"/>
      <c r="WYX9" s="15"/>
      <c r="WZD9" s="25"/>
      <c r="WZK9" s="21"/>
      <c r="WZL9" s="21"/>
      <c r="WZP9" s="15"/>
      <c r="WZV9" s="25"/>
      <c r="XAC9" s="21"/>
      <c r="XAD9" s="21"/>
      <c r="XAH9" s="15"/>
      <c r="XAN9" s="25"/>
      <c r="XAU9" s="21"/>
      <c r="XAV9" s="21"/>
      <c r="XAZ9" s="15"/>
      <c r="XBF9" s="25"/>
      <c r="XBM9" s="21"/>
      <c r="XBN9" s="21"/>
      <c r="XBR9" s="15"/>
      <c r="XBX9" s="25"/>
      <c r="XCE9" s="21"/>
      <c r="XCF9" s="21"/>
      <c r="XCJ9" s="15"/>
      <c r="XCP9" s="25"/>
      <c r="XCW9" s="21"/>
      <c r="XCX9" s="21"/>
      <c r="XDB9" s="15"/>
      <c r="XDH9" s="25"/>
      <c r="XDO9" s="21"/>
      <c r="XDP9" s="21"/>
      <c r="XDT9" s="15"/>
      <c r="XDZ9" s="25"/>
      <c r="XEG9" s="21"/>
      <c r="XEH9" s="21"/>
      <c r="XEL9" s="15"/>
      <c r="XER9" s="25"/>
      <c r="XEY9" s="21"/>
      <c r="XEZ9" s="21"/>
      <c r="XFD9" s="15"/>
    </row>
    <row r="10" spans="1:1018 1025:2044 2051:3070 3077:4096 4103:5116 5122:6142 6148:7168 7174:8190 8194:9216 9220:10234 10241:11260 11267:12286 12293:13312 13319:14332 14338:15358 15364:16384">
      <c r="A10" s="26" t="s">
        <v>49</v>
      </c>
      <c r="B10" s="27">
        <v>2012</v>
      </c>
      <c r="C10" s="27" t="s">
        <v>38</v>
      </c>
      <c r="D10" s="27" t="s">
        <v>39</v>
      </c>
      <c r="E10" s="10" t="s">
        <v>50</v>
      </c>
      <c r="F10" s="27" t="s">
        <v>41</v>
      </c>
      <c r="G10" s="28">
        <v>92136623.819999993</v>
      </c>
      <c r="H10" s="28">
        <v>92418128.930000007</v>
      </c>
      <c r="I10" s="29">
        <v>74</v>
      </c>
      <c r="J10" s="30" t="s">
        <v>51</v>
      </c>
      <c r="K10" t="s">
        <v>26</v>
      </c>
      <c r="L10"/>
      <c r="M10" t="s">
        <v>26</v>
      </c>
      <c r="N10"/>
      <c r="O10"/>
      <c r="P10"/>
      <c r="Q10"/>
      <c r="R10" t="s">
        <v>28</v>
      </c>
    </row>
    <row r="11" spans="1:1018 1025:2044 2051:3070 3077:4096 4103:5116 5122:6142 6148:7168 7174:8190 8194:9216 9220:10234 10241:11260 11267:12286 12293:13312 13319:14332 14338:15358 15364:16384" s="24" customFormat="1">
      <c r="A11" s="21" t="s">
        <v>52</v>
      </c>
      <c r="B11" s="12">
        <v>2003</v>
      </c>
      <c r="C11" s="19" t="s">
        <v>53</v>
      </c>
      <c r="D11" s="22" t="s">
        <v>39</v>
      </c>
      <c r="E11" s="10" t="s">
        <v>54</v>
      </c>
      <c r="F11" s="22" t="s">
        <v>55</v>
      </c>
      <c r="G11" s="31">
        <v>622338949.75102043</v>
      </c>
      <c r="H11" s="31">
        <v>263638775.51020396</v>
      </c>
      <c r="I11" s="12">
        <v>21</v>
      </c>
      <c r="J11" s="23" t="s">
        <v>56</v>
      </c>
      <c r="K11" s="22"/>
      <c r="L11" s="22"/>
      <c r="M11" s="22" t="s">
        <v>26</v>
      </c>
      <c r="N11" s="12"/>
      <c r="O11" s="22"/>
      <c r="P11" s="12"/>
      <c r="Q11" s="22" t="s">
        <v>27</v>
      </c>
      <c r="R11" s="22" t="s">
        <v>28</v>
      </c>
      <c r="V11" s="15"/>
      <c r="AB11" s="25"/>
      <c r="AI11" s="21"/>
      <c r="AJ11" s="21"/>
      <c r="AN11" s="15"/>
      <c r="AT11" s="25"/>
      <c r="BA11" s="21"/>
      <c r="BB11" s="21"/>
      <c r="BF11" s="15"/>
      <c r="BL11" s="25"/>
      <c r="BS11" s="21"/>
      <c r="BT11" s="21"/>
      <c r="BX11" s="15"/>
      <c r="CD11" s="25"/>
      <c r="CK11" s="21"/>
      <c r="CL11" s="21"/>
      <c r="CP11" s="15"/>
      <c r="CV11" s="25"/>
      <c r="DC11" s="21"/>
      <c r="DD11" s="21"/>
      <c r="DH11" s="15"/>
      <c r="DN11" s="25"/>
      <c r="DU11" s="21"/>
      <c r="DV11" s="21"/>
      <c r="DZ11" s="15"/>
      <c r="EF11" s="25"/>
      <c r="EM11" s="21"/>
      <c r="EN11" s="21"/>
      <c r="ER11" s="15"/>
      <c r="EX11" s="25"/>
      <c r="FE11" s="21"/>
      <c r="FF11" s="21"/>
      <c r="FJ11" s="15"/>
      <c r="FP11" s="25"/>
      <c r="FW11" s="21"/>
      <c r="FX11" s="21"/>
      <c r="GB11" s="15"/>
      <c r="GH11" s="25"/>
      <c r="GO11" s="21"/>
      <c r="GP11" s="21"/>
      <c r="GT11" s="15"/>
      <c r="GZ11" s="25"/>
      <c r="HG11" s="21"/>
      <c r="HH11" s="21"/>
      <c r="HL11" s="15"/>
      <c r="HR11" s="25"/>
      <c r="HY11" s="21"/>
      <c r="HZ11" s="21"/>
      <c r="ID11" s="15"/>
      <c r="IJ11" s="25"/>
      <c r="IQ11" s="21"/>
      <c r="IR11" s="21"/>
      <c r="IV11" s="15"/>
      <c r="JB11" s="25"/>
      <c r="JI11" s="21"/>
      <c r="JJ11" s="21"/>
      <c r="JN11" s="15"/>
      <c r="JT11" s="25"/>
      <c r="KA11" s="21"/>
      <c r="KB11" s="21"/>
      <c r="KF11" s="15"/>
      <c r="KL11" s="25"/>
      <c r="KS11" s="21"/>
      <c r="KT11" s="21"/>
      <c r="KX11" s="15"/>
      <c r="LD11" s="25"/>
      <c r="LK11" s="21"/>
      <c r="LL11" s="21"/>
      <c r="LP11" s="15"/>
      <c r="LV11" s="25"/>
      <c r="MC11" s="21"/>
      <c r="MD11" s="21"/>
      <c r="MH11" s="15"/>
      <c r="MN11" s="25"/>
      <c r="MU11" s="21"/>
      <c r="MV11" s="21"/>
      <c r="MZ11" s="15"/>
      <c r="NF11" s="25"/>
      <c r="NM11" s="21"/>
      <c r="NN11" s="21"/>
      <c r="NR11" s="15"/>
      <c r="NX11" s="25"/>
      <c r="OE11" s="21"/>
      <c r="OF11" s="21"/>
      <c r="OJ11" s="15"/>
      <c r="OP11" s="25"/>
      <c r="OW11" s="21"/>
      <c r="OX11" s="21"/>
      <c r="PB11" s="15"/>
      <c r="PH11" s="25"/>
      <c r="PO11" s="21"/>
      <c r="PP11" s="21"/>
      <c r="PT11" s="15"/>
      <c r="PZ11" s="25"/>
      <c r="QG11" s="21"/>
      <c r="QH11" s="21"/>
      <c r="QL11" s="15"/>
      <c r="QR11" s="25"/>
      <c r="QY11" s="21"/>
      <c r="QZ11" s="21"/>
      <c r="RD11" s="15"/>
      <c r="RJ11" s="25"/>
      <c r="RQ11" s="21"/>
      <c r="RR11" s="21"/>
      <c r="RV11" s="15"/>
      <c r="SB11" s="25"/>
      <c r="SI11" s="21"/>
      <c r="SJ11" s="21"/>
      <c r="SN11" s="15"/>
      <c r="ST11" s="25"/>
      <c r="TA11" s="21"/>
      <c r="TB11" s="21"/>
      <c r="TF11" s="15"/>
      <c r="TL11" s="25"/>
      <c r="TS11" s="21"/>
      <c r="TT11" s="21"/>
      <c r="TX11" s="15"/>
      <c r="UD11" s="25"/>
      <c r="UK11" s="21"/>
      <c r="UL11" s="21"/>
      <c r="UP11" s="15"/>
      <c r="UV11" s="25"/>
      <c r="VC11" s="21"/>
      <c r="VD11" s="21"/>
      <c r="VH11" s="15"/>
      <c r="VN11" s="25"/>
      <c r="VU11" s="21"/>
      <c r="VV11" s="21"/>
      <c r="VZ11" s="15"/>
      <c r="WF11" s="25"/>
      <c r="WM11" s="21"/>
      <c r="WN11" s="21"/>
      <c r="WR11" s="15"/>
      <c r="WX11" s="25"/>
      <c r="XE11" s="21"/>
      <c r="XF11" s="21"/>
      <c r="XJ11" s="15"/>
      <c r="XP11" s="25"/>
      <c r="XW11" s="21"/>
      <c r="XX11" s="21"/>
      <c r="YB11" s="15"/>
      <c r="YH11" s="25"/>
      <c r="YO11" s="21"/>
      <c r="YP11" s="21"/>
      <c r="YT11" s="15"/>
      <c r="YZ11" s="25"/>
      <c r="ZG11" s="21"/>
      <c r="ZH11" s="21"/>
      <c r="ZL11" s="15"/>
      <c r="ZR11" s="25"/>
      <c r="ZY11" s="21"/>
      <c r="ZZ11" s="21"/>
      <c r="AAD11" s="15"/>
      <c r="AAJ11" s="25"/>
      <c r="AAQ11" s="21"/>
      <c r="AAR11" s="21"/>
      <c r="AAV11" s="15"/>
      <c r="ABB11" s="25"/>
      <c r="ABI11" s="21"/>
      <c r="ABJ11" s="21"/>
      <c r="ABN11" s="15"/>
      <c r="ABT11" s="25"/>
      <c r="ACA11" s="21"/>
      <c r="ACB11" s="21"/>
      <c r="ACF11" s="15"/>
      <c r="ACL11" s="25"/>
      <c r="ACS11" s="21"/>
      <c r="ACT11" s="21"/>
      <c r="ACX11" s="15"/>
      <c r="ADD11" s="25"/>
      <c r="ADK11" s="21"/>
      <c r="ADL11" s="21"/>
      <c r="ADP11" s="15"/>
      <c r="ADV11" s="25"/>
      <c r="AEC11" s="21"/>
      <c r="AED11" s="21"/>
      <c r="AEH11" s="15"/>
      <c r="AEN11" s="25"/>
      <c r="AEU11" s="21"/>
      <c r="AEV11" s="21"/>
      <c r="AEZ11" s="15"/>
      <c r="AFF11" s="25"/>
      <c r="AFM11" s="21"/>
      <c r="AFN11" s="21"/>
      <c r="AFR11" s="15"/>
      <c r="AFX11" s="25"/>
      <c r="AGE11" s="21"/>
      <c r="AGF11" s="21"/>
      <c r="AGJ11" s="15"/>
      <c r="AGP11" s="25"/>
      <c r="AGW11" s="21"/>
      <c r="AGX11" s="21"/>
      <c r="AHB11" s="15"/>
      <c r="AHH11" s="25"/>
      <c r="AHO11" s="21"/>
      <c r="AHP11" s="21"/>
      <c r="AHT11" s="15"/>
      <c r="AHZ11" s="25"/>
      <c r="AIG11" s="21"/>
      <c r="AIH11" s="21"/>
      <c r="AIL11" s="15"/>
      <c r="AIR11" s="25"/>
      <c r="AIY11" s="21"/>
      <c r="AIZ11" s="21"/>
      <c r="AJD11" s="15"/>
      <c r="AJJ11" s="25"/>
      <c r="AJQ11" s="21"/>
      <c r="AJR11" s="21"/>
      <c r="AJV11" s="15"/>
      <c r="AKB11" s="25"/>
      <c r="AKI11" s="21"/>
      <c r="AKJ11" s="21"/>
      <c r="AKN11" s="15"/>
      <c r="AKT11" s="25"/>
      <c r="ALA11" s="21"/>
      <c r="ALB11" s="21"/>
      <c r="ALF11" s="15"/>
      <c r="ALL11" s="25"/>
      <c r="ALS11" s="21"/>
      <c r="ALT11" s="21"/>
      <c r="ALX11" s="15"/>
      <c r="AMD11" s="25"/>
      <c r="AMK11" s="21"/>
      <c r="AML11" s="21"/>
      <c r="AMP11" s="15"/>
      <c r="AMV11" s="25"/>
      <c r="ANC11" s="21"/>
      <c r="AND11" s="21"/>
      <c r="ANH11" s="15"/>
      <c r="ANN11" s="25"/>
      <c r="ANU11" s="21"/>
      <c r="ANV11" s="21"/>
      <c r="ANZ11" s="15"/>
      <c r="AOF11" s="25"/>
      <c r="AOM11" s="21"/>
      <c r="AON11" s="21"/>
      <c r="AOR11" s="15"/>
      <c r="AOX11" s="25"/>
      <c r="APE11" s="21"/>
      <c r="APF11" s="21"/>
      <c r="APJ11" s="15"/>
      <c r="APP11" s="25"/>
      <c r="APW11" s="21"/>
      <c r="APX11" s="21"/>
      <c r="AQB11" s="15"/>
      <c r="AQH11" s="25"/>
      <c r="AQO11" s="21"/>
      <c r="AQP11" s="21"/>
      <c r="AQT11" s="15"/>
      <c r="AQZ11" s="25"/>
      <c r="ARG11" s="21"/>
      <c r="ARH11" s="21"/>
      <c r="ARL11" s="15"/>
      <c r="ARR11" s="25"/>
      <c r="ARY11" s="21"/>
      <c r="ARZ11" s="21"/>
      <c r="ASD11" s="15"/>
      <c r="ASJ11" s="25"/>
      <c r="ASQ11" s="21"/>
      <c r="ASR11" s="21"/>
      <c r="ASV11" s="15"/>
      <c r="ATB11" s="25"/>
      <c r="ATI11" s="21"/>
      <c r="ATJ11" s="21"/>
      <c r="ATN11" s="15"/>
      <c r="ATT11" s="25"/>
      <c r="AUA11" s="21"/>
      <c r="AUB11" s="21"/>
      <c r="AUF11" s="15"/>
      <c r="AUL11" s="25"/>
      <c r="AUS11" s="21"/>
      <c r="AUT11" s="21"/>
      <c r="AUX11" s="15"/>
      <c r="AVD11" s="25"/>
      <c r="AVK11" s="21"/>
      <c r="AVL11" s="21"/>
      <c r="AVP11" s="15"/>
      <c r="AVV11" s="25"/>
      <c r="AWC11" s="21"/>
      <c r="AWD11" s="21"/>
      <c r="AWH11" s="15"/>
      <c r="AWN11" s="25"/>
      <c r="AWU11" s="21"/>
      <c r="AWV11" s="21"/>
      <c r="AWZ11" s="15"/>
      <c r="AXF11" s="25"/>
      <c r="AXM11" s="21"/>
      <c r="AXN11" s="21"/>
      <c r="AXR11" s="15"/>
      <c r="AXX11" s="25"/>
      <c r="AYE11" s="21"/>
      <c r="AYF11" s="21"/>
      <c r="AYJ11" s="15"/>
      <c r="AYP11" s="25"/>
      <c r="AYW11" s="21"/>
      <c r="AYX11" s="21"/>
      <c r="AZB11" s="15"/>
      <c r="AZH11" s="25"/>
      <c r="AZO11" s="21"/>
      <c r="AZP11" s="21"/>
      <c r="AZT11" s="15"/>
      <c r="AZZ11" s="25"/>
      <c r="BAG11" s="21"/>
      <c r="BAH11" s="21"/>
      <c r="BAL11" s="15"/>
      <c r="BAR11" s="25"/>
      <c r="BAY11" s="21"/>
      <c r="BAZ11" s="21"/>
      <c r="BBD11" s="15"/>
      <c r="BBJ11" s="25"/>
      <c r="BBQ11" s="21"/>
      <c r="BBR11" s="21"/>
      <c r="BBV11" s="15"/>
      <c r="BCB11" s="25"/>
      <c r="BCI11" s="21"/>
      <c r="BCJ11" s="21"/>
      <c r="BCN11" s="15"/>
      <c r="BCT11" s="25"/>
      <c r="BDA11" s="21"/>
      <c r="BDB11" s="21"/>
      <c r="BDF11" s="15"/>
      <c r="BDL11" s="25"/>
      <c r="BDS11" s="21"/>
      <c r="BDT11" s="21"/>
      <c r="BDX11" s="15"/>
      <c r="BED11" s="25"/>
      <c r="BEK11" s="21"/>
      <c r="BEL11" s="21"/>
      <c r="BEP11" s="15"/>
      <c r="BEV11" s="25"/>
      <c r="BFC11" s="21"/>
      <c r="BFD11" s="21"/>
      <c r="BFH11" s="15"/>
      <c r="BFN11" s="25"/>
      <c r="BFU11" s="21"/>
      <c r="BFV11" s="21"/>
      <c r="BFZ11" s="15"/>
      <c r="BGF11" s="25"/>
      <c r="BGM11" s="21"/>
      <c r="BGN11" s="21"/>
      <c r="BGR11" s="15"/>
      <c r="BGX11" s="25"/>
      <c r="BHE11" s="21"/>
      <c r="BHF11" s="21"/>
      <c r="BHJ11" s="15"/>
      <c r="BHP11" s="25"/>
      <c r="BHW11" s="21"/>
      <c r="BHX11" s="21"/>
      <c r="BIB11" s="15"/>
      <c r="BIH11" s="25"/>
      <c r="BIO11" s="21"/>
      <c r="BIP11" s="21"/>
      <c r="BIT11" s="15"/>
      <c r="BIZ11" s="25"/>
      <c r="BJG11" s="21"/>
      <c r="BJH11" s="21"/>
      <c r="BJL11" s="15"/>
      <c r="BJR11" s="25"/>
      <c r="BJY11" s="21"/>
      <c r="BJZ11" s="21"/>
      <c r="BKD11" s="15"/>
      <c r="BKJ11" s="25"/>
      <c r="BKQ11" s="21"/>
      <c r="BKR11" s="21"/>
      <c r="BKV11" s="15"/>
      <c r="BLB11" s="25"/>
      <c r="BLI11" s="21"/>
      <c r="BLJ11" s="21"/>
      <c r="BLN11" s="15"/>
      <c r="BLT11" s="25"/>
      <c r="BMA11" s="21"/>
      <c r="BMB11" s="21"/>
      <c r="BMF11" s="15"/>
      <c r="BML11" s="25"/>
      <c r="BMS11" s="21"/>
      <c r="BMT11" s="21"/>
      <c r="BMX11" s="15"/>
      <c r="BND11" s="25"/>
      <c r="BNK11" s="21"/>
      <c r="BNL11" s="21"/>
      <c r="BNP11" s="15"/>
      <c r="BNV11" s="25"/>
      <c r="BOC11" s="21"/>
      <c r="BOD11" s="21"/>
      <c r="BOH11" s="15"/>
      <c r="BON11" s="25"/>
      <c r="BOU11" s="21"/>
      <c r="BOV11" s="21"/>
      <c r="BOZ11" s="15"/>
      <c r="BPF11" s="25"/>
      <c r="BPM11" s="21"/>
      <c r="BPN11" s="21"/>
      <c r="BPR11" s="15"/>
      <c r="BPX11" s="25"/>
      <c r="BQE11" s="21"/>
      <c r="BQF11" s="21"/>
      <c r="BQJ11" s="15"/>
      <c r="BQP11" s="25"/>
      <c r="BQW11" s="21"/>
      <c r="BQX11" s="21"/>
      <c r="BRB11" s="15"/>
      <c r="BRH11" s="25"/>
      <c r="BRO11" s="21"/>
      <c r="BRP11" s="21"/>
      <c r="BRT11" s="15"/>
      <c r="BRZ11" s="25"/>
      <c r="BSG11" s="21"/>
      <c r="BSH11" s="21"/>
      <c r="BSL11" s="15"/>
      <c r="BSR11" s="25"/>
      <c r="BSY11" s="21"/>
      <c r="BSZ11" s="21"/>
      <c r="BTD11" s="15"/>
      <c r="BTJ11" s="25"/>
      <c r="BTQ11" s="21"/>
      <c r="BTR11" s="21"/>
      <c r="BTV11" s="15"/>
      <c r="BUB11" s="25"/>
      <c r="BUI11" s="21"/>
      <c r="BUJ11" s="21"/>
      <c r="BUN11" s="15"/>
      <c r="BUT11" s="25"/>
      <c r="BVA11" s="21"/>
      <c r="BVB11" s="21"/>
      <c r="BVF11" s="15"/>
      <c r="BVL11" s="25"/>
      <c r="BVS11" s="21"/>
      <c r="BVT11" s="21"/>
      <c r="BVX11" s="15"/>
      <c r="BWD11" s="25"/>
      <c r="BWK11" s="21"/>
      <c r="BWL11" s="21"/>
      <c r="BWP11" s="15"/>
      <c r="BWV11" s="25"/>
      <c r="BXC11" s="21"/>
      <c r="BXD11" s="21"/>
      <c r="BXH11" s="15"/>
      <c r="BXN11" s="25"/>
      <c r="BXU11" s="21"/>
      <c r="BXV11" s="21"/>
      <c r="BXZ11" s="15"/>
      <c r="BYF11" s="25"/>
      <c r="BYM11" s="21"/>
      <c r="BYN11" s="21"/>
      <c r="BYR11" s="15"/>
      <c r="BYX11" s="25"/>
      <c r="BZE11" s="21"/>
      <c r="BZF11" s="21"/>
      <c r="BZJ11" s="15"/>
      <c r="BZP11" s="25"/>
      <c r="BZW11" s="21"/>
      <c r="BZX11" s="21"/>
      <c r="CAB11" s="15"/>
      <c r="CAH11" s="25"/>
      <c r="CAO11" s="21"/>
      <c r="CAP11" s="21"/>
      <c r="CAT11" s="15"/>
      <c r="CAZ11" s="25"/>
      <c r="CBG11" s="21"/>
      <c r="CBH11" s="21"/>
      <c r="CBL11" s="15"/>
      <c r="CBR11" s="25"/>
      <c r="CBY11" s="21"/>
      <c r="CBZ11" s="21"/>
      <c r="CCD11" s="15"/>
      <c r="CCJ11" s="25"/>
      <c r="CCQ11" s="21"/>
      <c r="CCR11" s="21"/>
      <c r="CCV11" s="15"/>
      <c r="CDB11" s="25"/>
      <c r="CDI11" s="21"/>
      <c r="CDJ11" s="21"/>
      <c r="CDN11" s="15"/>
      <c r="CDT11" s="25"/>
      <c r="CEA11" s="21"/>
      <c r="CEB11" s="21"/>
      <c r="CEF11" s="15"/>
      <c r="CEL11" s="25"/>
      <c r="CES11" s="21"/>
      <c r="CET11" s="21"/>
      <c r="CEX11" s="15"/>
      <c r="CFD11" s="25"/>
      <c r="CFK11" s="21"/>
      <c r="CFL11" s="21"/>
      <c r="CFP11" s="15"/>
      <c r="CFV11" s="25"/>
      <c r="CGC11" s="21"/>
      <c r="CGD11" s="21"/>
      <c r="CGH11" s="15"/>
      <c r="CGN11" s="25"/>
      <c r="CGU11" s="21"/>
      <c r="CGV11" s="21"/>
      <c r="CGZ11" s="15"/>
      <c r="CHF11" s="25"/>
      <c r="CHM11" s="21"/>
      <c r="CHN11" s="21"/>
      <c r="CHR11" s="15"/>
      <c r="CHX11" s="25"/>
      <c r="CIE11" s="21"/>
      <c r="CIF11" s="21"/>
      <c r="CIJ11" s="15"/>
      <c r="CIP11" s="25"/>
      <c r="CIW11" s="21"/>
      <c r="CIX11" s="21"/>
      <c r="CJB11" s="15"/>
      <c r="CJH11" s="25"/>
      <c r="CJO11" s="21"/>
      <c r="CJP11" s="21"/>
      <c r="CJT11" s="15"/>
      <c r="CJZ11" s="25"/>
      <c r="CKG11" s="21"/>
      <c r="CKH11" s="21"/>
      <c r="CKL11" s="15"/>
      <c r="CKR11" s="25"/>
      <c r="CKY11" s="21"/>
      <c r="CKZ11" s="21"/>
      <c r="CLD11" s="15"/>
      <c r="CLJ11" s="25"/>
      <c r="CLQ11" s="21"/>
      <c r="CLR11" s="21"/>
      <c r="CLV11" s="15"/>
      <c r="CMB11" s="25"/>
      <c r="CMI11" s="21"/>
      <c r="CMJ11" s="21"/>
      <c r="CMN11" s="15"/>
      <c r="CMT11" s="25"/>
      <c r="CNA11" s="21"/>
      <c r="CNB11" s="21"/>
      <c r="CNF11" s="15"/>
      <c r="CNL11" s="25"/>
      <c r="CNS11" s="21"/>
      <c r="CNT11" s="21"/>
      <c r="CNX11" s="15"/>
      <c r="COD11" s="25"/>
      <c r="COK11" s="21"/>
      <c r="COL11" s="21"/>
      <c r="COP11" s="15"/>
      <c r="COV11" s="25"/>
      <c r="CPC11" s="21"/>
      <c r="CPD11" s="21"/>
      <c r="CPH11" s="15"/>
      <c r="CPN11" s="25"/>
      <c r="CPU11" s="21"/>
      <c r="CPV11" s="21"/>
      <c r="CPZ11" s="15"/>
      <c r="CQF11" s="25"/>
      <c r="CQM11" s="21"/>
      <c r="CQN11" s="21"/>
      <c r="CQR11" s="15"/>
      <c r="CQX11" s="25"/>
      <c r="CRE11" s="21"/>
      <c r="CRF11" s="21"/>
      <c r="CRJ11" s="15"/>
      <c r="CRP11" s="25"/>
      <c r="CRW11" s="21"/>
      <c r="CRX11" s="21"/>
      <c r="CSB11" s="15"/>
      <c r="CSH11" s="25"/>
      <c r="CSO11" s="21"/>
      <c r="CSP11" s="21"/>
      <c r="CST11" s="15"/>
      <c r="CSZ11" s="25"/>
      <c r="CTG11" s="21"/>
      <c r="CTH11" s="21"/>
      <c r="CTL11" s="15"/>
      <c r="CTR11" s="25"/>
      <c r="CTY11" s="21"/>
      <c r="CTZ11" s="21"/>
      <c r="CUD11" s="15"/>
      <c r="CUJ11" s="25"/>
      <c r="CUQ11" s="21"/>
      <c r="CUR11" s="21"/>
      <c r="CUV11" s="15"/>
      <c r="CVB11" s="25"/>
      <c r="CVI11" s="21"/>
      <c r="CVJ11" s="21"/>
      <c r="CVN11" s="15"/>
      <c r="CVT11" s="25"/>
      <c r="CWA11" s="21"/>
      <c r="CWB11" s="21"/>
      <c r="CWF11" s="15"/>
      <c r="CWL11" s="25"/>
      <c r="CWS11" s="21"/>
      <c r="CWT11" s="21"/>
      <c r="CWX11" s="15"/>
      <c r="CXD11" s="25"/>
      <c r="CXK11" s="21"/>
      <c r="CXL11" s="21"/>
      <c r="CXP11" s="15"/>
      <c r="CXV11" s="25"/>
      <c r="CYC11" s="21"/>
      <c r="CYD11" s="21"/>
      <c r="CYH11" s="15"/>
      <c r="CYN11" s="25"/>
      <c r="CYU11" s="21"/>
      <c r="CYV11" s="21"/>
      <c r="CYZ11" s="15"/>
      <c r="CZF11" s="25"/>
      <c r="CZM11" s="21"/>
      <c r="CZN11" s="21"/>
      <c r="CZR11" s="15"/>
      <c r="CZX11" s="25"/>
      <c r="DAE11" s="21"/>
      <c r="DAF11" s="21"/>
      <c r="DAJ11" s="15"/>
      <c r="DAP11" s="25"/>
      <c r="DAW11" s="21"/>
      <c r="DAX11" s="21"/>
      <c r="DBB11" s="15"/>
      <c r="DBH11" s="25"/>
      <c r="DBO11" s="21"/>
      <c r="DBP11" s="21"/>
      <c r="DBT11" s="15"/>
      <c r="DBZ11" s="25"/>
      <c r="DCG11" s="21"/>
      <c r="DCH11" s="21"/>
      <c r="DCL11" s="15"/>
      <c r="DCR11" s="25"/>
      <c r="DCY11" s="21"/>
      <c r="DCZ11" s="21"/>
      <c r="DDD11" s="15"/>
      <c r="DDJ11" s="25"/>
      <c r="DDQ11" s="21"/>
      <c r="DDR11" s="21"/>
      <c r="DDV11" s="15"/>
      <c r="DEB11" s="25"/>
      <c r="DEI11" s="21"/>
      <c r="DEJ11" s="21"/>
      <c r="DEN11" s="15"/>
      <c r="DET11" s="25"/>
      <c r="DFA11" s="21"/>
      <c r="DFB11" s="21"/>
      <c r="DFF11" s="15"/>
      <c r="DFL11" s="25"/>
      <c r="DFS11" s="21"/>
      <c r="DFT11" s="21"/>
      <c r="DFX11" s="15"/>
      <c r="DGD11" s="25"/>
      <c r="DGK11" s="21"/>
      <c r="DGL11" s="21"/>
      <c r="DGP11" s="15"/>
      <c r="DGV11" s="25"/>
      <c r="DHC11" s="21"/>
      <c r="DHD11" s="21"/>
      <c r="DHH11" s="15"/>
      <c r="DHN11" s="25"/>
      <c r="DHU11" s="21"/>
      <c r="DHV11" s="21"/>
      <c r="DHZ11" s="15"/>
      <c r="DIF11" s="25"/>
      <c r="DIM11" s="21"/>
      <c r="DIN11" s="21"/>
      <c r="DIR11" s="15"/>
      <c r="DIX11" s="25"/>
      <c r="DJE11" s="21"/>
      <c r="DJF11" s="21"/>
      <c r="DJJ11" s="15"/>
      <c r="DJP11" s="25"/>
      <c r="DJW11" s="21"/>
      <c r="DJX11" s="21"/>
      <c r="DKB11" s="15"/>
      <c r="DKH11" s="25"/>
      <c r="DKO11" s="21"/>
      <c r="DKP11" s="21"/>
      <c r="DKT11" s="15"/>
      <c r="DKZ11" s="25"/>
      <c r="DLG11" s="21"/>
      <c r="DLH11" s="21"/>
      <c r="DLL11" s="15"/>
      <c r="DLR11" s="25"/>
      <c r="DLY11" s="21"/>
      <c r="DLZ11" s="21"/>
      <c r="DMD11" s="15"/>
      <c r="DMJ11" s="25"/>
      <c r="DMQ11" s="21"/>
      <c r="DMR11" s="21"/>
      <c r="DMV11" s="15"/>
      <c r="DNB11" s="25"/>
      <c r="DNI11" s="21"/>
      <c r="DNJ11" s="21"/>
      <c r="DNN11" s="15"/>
      <c r="DNT11" s="25"/>
      <c r="DOA11" s="21"/>
      <c r="DOB11" s="21"/>
      <c r="DOF11" s="15"/>
      <c r="DOL11" s="25"/>
      <c r="DOS11" s="21"/>
      <c r="DOT11" s="21"/>
      <c r="DOX11" s="15"/>
      <c r="DPD11" s="25"/>
      <c r="DPK11" s="21"/>
      <c r="DPL11" s="21"/>
      <c r="DPP11" s="15"/>
      <c r="DPV11" s="25"/>
      <c r="DQC11" s="21"/>
      <c r="DQD11" s="21"/>
      <c r="DQH11" s="15"/>
      <c r="DQN11" s="25"/>
      <c r="DQU11" s="21"/>
      <c r="DQV11" s="21"/>
      <c r="DQZ11" s="15"/>
      <c r="DRF11" s="25"/>
      <c r="DRM11" s="21"/>
      <c r="DRN11" s="21"/>
      <c r="DRR11" s="15"/>
      <c r="DRX11" s="25"/>
      <c r="DSE11" s="21"/>
      <c r="DSF11" s="21"/>
      <c r="DSJ11" s="15"/>
      <c r="DSP11" s="25"/>
      <c r="DSW11" s="21"/>
      <c r="DSX11" s="21"/>
      <c r="DTB11" s="15"/>
      <c r="DTH11" s="25"/>
      <c r="DTO11" s="21"/>
      <c r="DTP11" s="21"/>
      <c r="DTT11" s="15"/>
      <c r="DTZ11" s="25"/>
      <c r="DUG11" s="21"/>
      <c r="DUH11" s="21"/>
      <c r="DUL11" s="15"/>
      <c r="DUR11" s="25"/>
      <c r="DUY11" s="21"/>
      <c r="DUZ11" s="21"/>
      <c r="DVD11" s="15"/>
      <c r="DVJ11" s="25"/>
      <c r="DVQ11" s="21"/>
      <c r="DVR11" s="21"/>
      <c r="DVV11" s="15"/>
      <c r="DWB11" s="25"/>
      <c r="DWI11" s="21"/>
      <c r="DWJ11" s="21"/>
      <c r="DWN11" s="15"/>
      <c r="DWT11" s="25"/>
      <c r="DXA11" s="21"/>
      <c r="DXB11" s="21"/>
      <c r="DXF11" s="15"/>
      <c r="DXL11" s="25"/>
      <c r="DXS11" s="21"/>
      <c r="DXT11" s="21"/>
      <c r="DXX11" s="15"/>
      <c r="DYD11" s="25"/>
      <c r="DYK11" s="21"/>
      <c r="DYL11" s="21"/>
      <c r="DYP11" s="15"/>
      <c r="DYV11" s="25"/>
      <c r="DZC11" s="21"/>
      <c r="DZD11" s="21"/>
      <c r="DZH11" s="15"/>
      <c r="DZN11" s="25"/>
      <c r="DZU11" s="21"/>
      <c r="DZV11" s="21"/>
      <c r="DZZ11" s="15"/>
      <c r="EAF11" s="25"/>
      <c r="EAM11" s="21"/>
      <c r="EAN11" s="21"/>
      <c r="EAR11" s="15"/>
      <c r="EAX11" s="25"/>
      <c r="EBE11" s="21"/>
      <c r="EBF11" s="21"/>
      <c r="EBJ11" s="15"/>
      <c r="EBP11" s="25"/>
      <c r="EBW11" s="21"/>
      <c r="EBX11" s="21"/>
      <c r="ECB11" s="15"/>
      <c r="ECH11" s="25"/>
      <c r="ECO11" s="21"/>
      <c r="ECP11" s="21"/>
      <c r="ECT11" s="15"/>
      <c r="ECZ11" s="25"/>
      <c r="EDG11" s="21"/>
      <c r="EDH11" s="21"/>
      <c r="EDL11" s="15"/>
      <c r="EDR11" s="25"/>
      <c r="EDY11" s="21"/>
      <c r="EDZ11" s="21"/>
      <c r="EED11" s="15"/>
      <c r="EEJ11" s="25"/>
      <c r="EEQ11" s="21"/>
      <c r="EER11" s="21"/>
      <c r="EEV11" s="15"/>
      <c r="EFB11" s="25"/>
      <c r="EFI11" s="21"/>
      <c r="EFJ11" s="21"/>
      <c r="EFN11" s="15"/>
      <c r="EFT11" s="25"/>
      <c r="EGA11" s="21"/>
      <c r="EGB11" s="21"/>
      <c r="EGF11" s="15"/>
      <c r="EGL11" s="25"/>
      <c r="EGS11" s="21"/>
      <c r="EGT11" s="21"/>
      <c r="EGX11" s="15"/>
      <c r="EHD11" s="25"/>
      <c r="EHK11" s="21"/>
      <c r="EHL11" s="21"/>
      <c r="EHP11" s="15"/>
      <c r="EHV11" s="25"/>
      <c r="EIC11" s="21"/>
      <c r="EID11" s="21"/>
      <c r="EIH11" s="15"/>
      <c r="EIN11" s="25"/>
      <c r="EIU11" s="21"/>
      <c r="EIV11" s="21"/>
      <c r="EIZ11" s="15"/>
      <c r="EJF11" s="25"/>
      <c r="EJM11" s="21"/>
      <c r="EJN11" s="21"/>
      <c r="EJR11" s="15"/>
      <c r="EJX11" s="25"/>
      <c r="EKE11" s="21"/>
      <c r="EKF11" s="21"/>
      <c r="EKJ11" s="15"/>
      <c r="EKP11" s="25"/>
      <c r="EKW11" s="21"/>
      <c r="EKX11" s="21"/>
      <c r="ELB11" s="15"/>
      <c r="ELH11" s="25"/>
      <c r="ELO11" s="21"/>
      <c r="ELP11" s="21"/>
      <c r="ELT11" s="15"/>
      <c r="ELZ11" s="25"/>
      <c r="EMG11" s="21"/>
      <c r="EMH11" s="21"/>
      <c r="EML11" s="15"/>
      <c r="EMR11" s="25"/>
      <c r="EMY11" s="21"/>
      <c r="EMZ11" s="21"/>
      <c r="END11" s="15"/>
      <c r="ENJ11" s="25"/>
      <c r="ENQ11" s="21"/>
      <c r="ENR11" s="21"/>
      <c r="ENV11" s="15"/>
      <c r="EOB11" s="25"/>
      <c r="EOI11" s="21"/>
      <c r="EOJ11" s="21"/>
      <c r="EON11" s="15"/>
      <c r="EOT11" s="25"/>
      <c r="EPA11" s="21"/>
      <c r="EPB11" s="21"/>
      <c r="EPF11" s="15"/>
      <c r="EPL11" s="25"/>
      <c r="EPS11" s="21"/>
      <c r="EPT11" s="21"/>
      <c r="EPX11" s="15"/>
      <c r="EQD11" s="25"/>
      <c r="EQK11" s="21"/>
      <c r="EQL11" s="21"/>
      <c r="EQP11" s="15"/>
      <c r="EQV11" s="25"/>
      <c r="ERC11" s="21"/>
      <c r="ERD11" s="21"/>
      <c r="ERH11" s="15"/>
      <c r="ERN11" s="25"/>
      <c r="ERU11" s="21"/>
      <c r="ERV11" s="21"/>
      <c r="ERZ11" s="15"/>
      <c r="ESF11" s="25"/>
      <c r="ESM11" s="21"/>
      <c r="ESN11" s="21"/>
      <c r="ESR11" s="15"/>
      <c r="ESX11" s="25"/>
      <c r="ETE11" s="21"/>
      <c r="ETF11" s="21"/>
      <c r="ETJ11" s="15"/>
      <c r="ETP11" s="25"/>
      <c r="ETW11" s="21"/>
      <c r="ETX11" s="21"/>
      <c r="EUB11" s="15"/>
      <c r="EUH11" s="25"/>
      <c r="EUO11" s="21"/>
      <c r="EUP11" s="21"/>
      <c r="EUT11" s="15"/>
      <c r="EUZ11" s="25"/>
      <c r="EVG11" s="21"/>
      <c r="EVH11" s="21"/>
      <c r="EVL11" s="15"/>
      <c r="EVR11" s="25"/>
      <c r="EVY11" s="21"/>
      <c r="EVZ11" s="21"/>
      <c r="EWD11" s="15"/>
      <c r="EWJ11" s="25"/>
      <c r="EWQ11" s="21"/>
      <c r="EWR11" s="21"/>
      <c r="EWV11" s="15"/>
      <c r="EXB11" s="25"/>
      <c r="EXI11" s="21"/>
      <c r="EXJ11" s="21"/>
      <c r="EXN11" s="15"/>
      <c r="EXT11" s="25"/>
      <c r="EYA11" s="21"/>
      <c r="EYB11" s="21"/>
      <c r="EYF11" s="15"/>
      <c r="EYL11" s="25"/>
      <c r="EYS11" s="21"/>
      <c r="EYT11" s="21"/>
      <c r="EYX11" s="15"/>
      <c r="EZD11" s="25"/>
      <c r="EZK11" s="21"/>
      <c r="EZL11" s="21"/>
      <c r="EZP11" s="15"/>
      <c r="EZV11" s="25"/>
      <c r="FAC11" s="21"/>
      <c r="FAD11" s="21"/>
      <c r="FAH11" s="15"/>
      <c r="FAN11" s="25"/>
      <c r="FAU11" s="21"/>
      <c r="FAV11" s="21"/>
      <c r="FAZ11" s="15"/>
      <c r="FBF11" s="25"/>
      <c r="FBM11" s="21"/>
      <c r="FBN11" s="21"/>
      <c r="FBR11" s="15"/>
      <c r="FBX11" s="25"/>
      <c r="FCE11" s="21"/>
      <c r="FCF11" s="21"/>
      <c r="FCJ11" s="15"/>
      <c r="FCP11" s="25"/>
      <c r="FCW11" s="21"/>
      <c r="FCX11" s="21"/>
      <c r="FDB11" s="15"/>
      <c r="FDH11" s="25"/>
      <c r="FDO11" s="21"/>
      <c r="FDP11" s="21"/>
      <c r="FDT11" s="15"/>
      <c r="FDZ11" s="25"/>
      <c r="FEG11" s="21"/>
      <c r="FEH11" s="21"/>
      <c r="FEL11" s="15"/>
      <c r="FER11" s="25"/>
      <c r="FEY11" s="21"/>
      <c r="FEZ11" s="21"/>
      <c r="FFD11" s="15"/>
      <c r="FFJ11" s="25"/>
      <c r="FFQ11" s="21"/>
      <c r="FFR11" s="21"/>
      <c r="FFV11" s="15"/>
      <c r="FGB11" s="25"/>
      <c r="FGI11" s="21"/>
      <c r="FGJ11" s="21"/>
      <c r="FGN11" s="15"/>
      <c r="FGT11" s="25"/>
      <c r="FHA11" s="21"/>
      <c r="FHB11" s="21"/>
      <c r="FHF11" s="15"/>
      <c r="FHL11" s="25"/>
      <c r="FHS11" s="21"/>
      <c r="FHT11" s="21"/>
      <c r="FHX11" s="15"/>
      <c r="FID11" s="25"/>
      <c r="FIK11" s="21"/>
      <c r="FIL11" s="21"/>
      <c r="FIP11" s="15"/>
      <c r="FIV11" s="25"/>
      <c r="FJC11" s="21"/>
      <c r="FJD11" s="21"/>
      <c r="FJH11" s="15"/>
      <c r="FJN11" s="25"/>
      <c r="FJU11" s="21"/>
      <c r="FJV11" s="21"/>
      <c r="FJZ11" s="15"/>
      <c r="FKF11" s="25"/>
      <c r="FKM11" s="21"/>
      <c r="FKN11" s="21"/>
      <c r="FKR11" s="15"/>
      <c r="FKX11" s="25"/>
      <c r="FLE11" s="21"/>
      <c r="FLF11" s="21"/>
      <c r="FLJ11" s="15"/>
      <c r="FLP11" s="25"/>
      <c r="FLW11" s="21"/>
      <c r="FLX11" s="21"/>
      <c r="FMB11" s="15"/>
      <c r="FMH11" s="25"/>
      <c r="FMO11" s="21"/>
      <c r="FMP11" s="21"/>
      <c r="FMT11" s="15"/>
      <c r="FMZ11" s="25"/>
      <c r="FNG11" s="21"/>
      <c r="FNH11" s="21"/>
      <c r="FNL11" s="15"/>
      <c r="FNR11" s="25"/>
      <c r="FNY11" s="21"/>
      <c r="FNZ11" s="21"/>
      <c r="FOD11" s="15"/>
      <c r="FOJ11" s="25"/>
      <c r="FOQ11" s="21"/>
      <c r="FOR11" s="21"/>
      <c r="FOV11" s="15"/>
      <c r="FPB11" s="25"/>
      <c r="FPI11" s="21"/>
      <c r="FPJ11" s="21"/>
      <c r="FPN11" s="15"/>
      <c r="FPT11" s="25"/>
      <c r="FQA11" s="21"/>
      <c r="FQB11" s="21"/>
      <c r="FQF11" s="15"/>
      <c r="FQL11" s="25"/>
      <c r="FQS11" s="21"/>
      <c r="FQT11" s="21"/>
      <c r="FQX11" s="15"/>
      <c r="FRD11" s="25"/>
      <c r="FRK11" s="21"/>
      <c r="FRL11" s="21"/>
      <c r="FRP11" s="15"/>
      <c r="FRV11" s="25"/>
      <c r="FSC11" s="21"/>
      <c r="FSD11" s="21"/>
      <c r="FSH11" s="15"/>
      <c r="FSN11" s="25"/>
      <c r="FSU11" s="21"/>
      <c r="FSV11" s="21"/>
      <c r="FSZ11" s="15"/>
      <c r="FTF11" s="25"/>
      <c r="FTM11" s="21"/>
      <c r="FTN11" s="21"/>
      <c r="FTR11" s="15"/>
      <c r="FTX11" s="25"/>
      <c r="FUE11" s="21"/>
      <c r="FUF11" s="21"/>
      <c r="FUJ11" s="15"/>
      <c r="FUP11" s="25"/>
      <c r="FUW11" s="21"/>
      <c r="FUX11" s="21"/>
      <c r="FVB11" s="15"/>
      <c r="FVH11" s="25"/>
      <c r="FVO11" s="21"/>
      <c r="FVP11" s="21"/>
      <c r="FVT11" s="15"/>
      <c r="FVZ11" s="25"/>
      <c r="FWG11" s="21"/>
      <c r="FWH11" s="21"/>
      <c r="FWL11" s="15"/>
      <c r="FWR11" s="25"/>
      <c r="FWY11" s="21"/>
      <c r="FWZ11" s="21"/>
      <c r="FXD11" s="15"/>
      <c r="FXJ11" s="25"/>
      <c r="FXQ11" s="21"/>
      <c r="FXR11" s="21"/>
      <c r="FXV11" s="15"/>
      <c r="FYB11" s="25"/>
      <c r="FYI11" s="21"/>
      <c r="FYJ11" s="21"/>
      <c r="FYN11" s="15"/>
      <c r="FYT11" s="25"/>
      <c r="FZA11" s="21"/>
      <c r="FZB11" s="21"/>
      <c r="FZF11" s="15"/>
      <c r="FZL11" s="25"/>
      <c r="FZS11" s="21"/>
      <c r="FZT11" s="21"/>
      <c r="FZX11" s="15"/>
      <c r="GAD11" s="25"/>
      <c r="GAK11" s="21"/>
      <c r="GAL11" s="21"/>
      <c r="GAP11" s="15"/>
      <c r="GAV11" s="25"/>
      <c r="GBC11" s="21"/>
      <c r="GBD11" s="21"/>
      <c r="GBH11" s="15"/>
      <c r="GBN11" s="25"/>
      <c r="GBU11" s="21"/>
      <c r="GBV11" s="21"/>
      <c r="GBZ11" s="15"/>
      <c r="GCF11" s="25"/>
      <c r="GCM11" s="21"/>
      <c r="GCN11" s="21"/>
      <c r="GCR11" s="15"/>
      <c r="GCX11" s="25"/>
      <c r="GDE11" s="21"/>
      <c r="GDF11" s="21"/>
      <c r="GDJ11" s="15"/>
      <c r="GDP11" s="25"/>
      <c r="GDW11" s="21"/>
      <c r="GDX11" s="21"/>
      <c r="GEB11" s="15"/>
      <c r="GEH11" s="25"/>
      <c r="GEO11" s="21"/>
      <c r="GEP11" s="21"/>
      <c r="GET11" s="15"/>
      <c r="GEZ11" s="25"/>
      <c r="GFG11" s="21"/>
      <c r="GFH11" s="21"/>
      <c r="GFL11" s="15"/>
      <c r="GFR11" s="25"/>
      <c r="GFY11" s="21"/>
      <c r="GFZ11" s="21"/>
      <c r="GGD11" s="15"/>
      <c r="GGJ11" s="25"/>
      <c r="GGQ11" s="21"/>
      <c r="GGR11" s="21"/>
      <c r="GGV11" s="15"/>
      <c r="GHB11" s="25"/>
      <c r="GHI11" s="21"/>
      <c r="GHJ11" s="21"/>
      <c r="GHN11" s="15"/>
      <c r="GHT11" s="25"/>
      <c r="GIA11" s="21"/>
      <c r="GIB11" s="21"/>
      <c r="GIF11" s="15"/>
      <c r="GIL11" s="25"/>
      <c r="GIS11" s="21"/>
      <c r="GIT11" s="21"/>
      <c r="GIX11" s="15"/>
      <c r="GJD11" s="25"/>
      <c r="GJK11" s="21"/>
      <c r="GJL11" s="21"/>
      <c r="GJP11" s="15"/>
      <c r="GJV11" s="25"/>
      <c r="GKC11" s="21"/>
      <c r="GKD11" s="21"/>
      <c r="GKH11" s="15"/>
      <c r="GKN11" s="25"/>
      <c r="GKU11" s="21"/>
      <c r="GKV11" s="21"/>
      <c r="GKZ11" s="15"/>
      <c r="GLF11" s="25"/>
      <c r="GLM11" s="21"/>
      <c r="GLN11" s="21"/>
      <c r="GLR11" s="15"/>
      <c r="GLX11" s="25"/>
      <c r="GME11" s="21"/>
      <c r="GMF11" s="21"/>
      <c r="GMJ11" s="15"/>
      <c r="GMP11" s="25"/>
      <c r="GMW11" s="21"/>
      <c r="GMX11" s="21"/>
      <c r="GNB11" s="15"/>
      <c r="GNH11" s="25"/>
      <c r="GNO11" s="21"/>
      <c r="GNP11" s="21"/>
      <c r="GNT11" s="15"/>
      <c r="GNZ11" s="25"/>
      <c r="GOG11" s="21"/>
      <c r="GOH11" s="21"/>
      <c r="GOL11" s="15"/>
      <c r="GOR11" s="25"/>
      <c r="GOY11" s="21"/>
      <c r="GOZ11" s="21"/>
      <c r="GPD11" s="15"/>
      <c r="GPJ11" s="25"/>
      <c r="GPQ11" s="21"/>
      <c r="GPR11" s="21"/>
      <c r="GPV11" s="15"/>
      <c r="GQB11" s="25"/>
      <c r="GQI11" s="21"/>
      <c r="GQJ11" s="21"/>
      <c r="GQN11" s="15"/>
      <c r="GQT11" s="25"/>
      <c r="GRA11" s="21"/>
      <c r="GRB11" s="21"/>
      <c r="GRF11" s="15"/>
      <c r="GRL11" s="25"/>
      <c r="GRS11" s="21"/>
      <c r="GRT11" s="21"/>
      <c r="GRX11" s="15"/>
      <c r="GSD11" s="25"/>
      <c r="GSK11" s="21"/>
      <c r="GSL11" s="21"/>
      <c r="GSP11" s="15"/>
      <c r="GSV11" s="25"/>
      <c r="GTC11" s="21"/>
      <c r="GTD11" s="21"/>
      <c r="GTH11" s="15"/>
      <c r="GTN11" s="25"/>
      <c r="GTU11" s="21"/>
      <c r="GTV11" s="21"/>
      <c r="GTZ11" s="15"/>
      <c r="GUF11" s="25"/>
      <c r="GUM11" s="21"/>
      <c r="GUN11" s="21"/>
      <c r="GUR11" s="15"/>
      <c r="GUX11" s="25"/>
      <c r="GVE11" s="21"/>
      <c r="GVF11" s="21"/>
      <c r="GVJ11" s="15"/>
      <c r="GVP11" s="25"/>
      <c r="GVW11" s="21"/>
      <c r="GVX11" s="21"/>
      <c r="GWB11" s="15"/>
      <c r="GWH11" s="25"/>
      <c r="GWO11" s="21"/>
      <c r="GWP11" s="21"/>
      <c r="GWT11" s="15"/>
      <c r="GWZ11" s="25"/>
      <c r="GXG11" s="21"/>
      <c r="GXH11" s="21"/>
      <c r="GXL11" s="15"/>
      <c r="GXR11" s="25"/>
      <c r="GXY11" s="21"/>
      <c r="GXZ11" s="21"/>
      <c r="GYD11" s="15"/>
      <c r="GYJ11" s="25"/>
      <c r="GYQ11" s="21"/>
      <c r="GYR11" s="21"/>
      <c r="GYV11" s="15"/>
      <c r="GZB11" s="25"/>
      <c r="GZI11" s="21"/>
      <c r="GZJ11" s="21"/>
      <c r="GZN11" s="15"/>
      <c r="GZT11" s="25"/>
      <c r="HAA11" s="21"/>
      <c r="HAB11" s="21"/>
      <c r="HAF11" s="15"/>
      <c r="HAL11" s="25"/>
      <c r="HAS11" s="21"/>
      <c r="HAT11" s="21"/>
      <c r="HAX11" s="15"/>
      <c r="HBD11" s="25"/>
      <c r="HBK11" s="21"/>
      <c r="HBL11" s="21"/>
      <c r="HBP11" s="15"/>
      <c r="HBV11" s="25"/>
      <c r="HCC11" s="21"/>
      <c r="HCD11" s="21"/>
      <c r="HCH11" s="15"/>
      <c r="HCN11" s="25"/>
      <c r="HCU11" s="21"/>
      <c r="HCV11" s="21"/>
      <c r="HCZ11" s="15"/>
      <c r="HDF11" s="25"/>
      <c r="HDM11" s="21"/>
      <c r="HDN11" s="21"/>
      <c r="HDR11" s="15"/>
      <c r="HDX11" s="25"/>
      <c r="HEE11" s="21"/>
      <c r="HEF11" s="21"/>
      <c r="HEJ11" s="15"/>
      <c r="HEP11" s="25"/>
      <c r="HEW11" s="21"/>
      <c r="HEX11" s="21"/>
      <c r="HFB11" s="15"/>
      <c r="HFH11" s="25"/>
      <c r="HFO11" s="21"/>
      <c r="HFP11" s="21"/>
      <c r="HFT11" s="15"/>
      <c r="HFZ11" s="25"/>
      <c r="HGG11" s="21"/>
      <c r="HGH11" s="21"/>
      <c r="HGL11" s="15"/>
      <c r="HGR11" s="25"/>
      <c r="HGY11" s="21"/>
      <c r="HGZ11" s="21"/>
      <c r="HHD11" s="15"/>
      <c r="HHJ11" s="25"/>
      <c r="HHQ11" s="21"/>
      <c r="HHR11" s="21"/>
      <c r="HHV11" s="15"/>
      <c r="HIB11" s="25"/>
      <c r="HII11" s="21"/>
      <c r="HIJ11" s="21"/>
      <c r="HIN11" s="15"/>
      <c r="HIT11" s="25"/>
      <c r="HJA11" s="21"/>
      <c r="HJB11" s="21"/>
      <c r="HJF11" s="15"/>
      <c r="HJL11" s="25"/>
      <c r="HJS11" s="21"/>
      <c r="HJT11" s="21"/>
      <c r="HJX11" s="15"/>
      <c r="HKD11" s="25"/>
      <c r="HKK11" s="21"/>
      <c r="HKL11" s="21"/>
      <c r="HKP11" s="15"/>
      <c r="HKV11" s="25"/>
      <c r="HLC11" s="21"/>
      <c r="HLD11" s="21"/>
      <c r="HLH11" s="15"/>
      <c r="HLN11" s="25"/>
      <c r="HLU11" s="21"/>
      <c r="HLV11" s="21"/>
      <c r="HLZ11" s="15"/>
      <c r="HMF11" s="25"/>
      <c r="HMM11" s="21"/>
      <c r="HMN11" s="21"/>
      <c r="HMR11" s="15"/>
      <c r="HMX11" s="25"/>
      <c r="HNE11" s="21"/>
      <c r="HNF11" s="21"/>
      <c r="HNJ11" s="15"/>
      <c r="HNP11" s="25"/>
      <c r="HNW11" s="21"/>
      <c r="HNX11" s="21"/>
      <c r="HOB11" s="15"/>
      <c r="HOH11" s="25"/>
      <c r="HOO11" s="21"/>
      <c r="HOP11" s="21"/>
      <c r="HOT11" s="15"/>
      <c r="HOZ11" s="25"/>
      <c r="HPG11" s="21"/>
      <c r="HPH11" s="21"/>
      <c r="HPL11" s="15"/>
      <c r="HPR11" s="25"/>
      <c r="HPY11" s="21"/>
      <c r="HPZ11" s="21"/>
      <c r="HQD11" s="15"/>
      <c r="HQJ11" s="25"/>
      <c r="HQQ11" s="21"/>
      <c r="HQR11" s="21"/>
      <c r="HQV11" s="15"/>
      <c r="HRB11" s="25"/>
      <c r="HRI11" s="21"/>
      <c r="HRJ11" s="21"/>
      <c r="HRN11" s="15"/>
      <c r="HRT11" s="25"/>
      <c r="HSA11" s="21"/>
      <c r="HSB11" s="21"/>
      <c r="HSF11" s="15"/>
      <c r="HSL11" s="25"/>
      <c r="HSS11" s="21"/>
      <c r="HST11" s="21"/>
      <c r="HSX11" s="15"/>
      <c r="HTD11" s="25"/>
      <c r="HTK11" s="21"/>
      <c r="HTL11" s="21"/>
      <c r="HTP11" s="15"/>
      <c r="HTV11" s="25"/>
      <c r="HUC11" s="21"/>
      <c r="HUD11" s="21"/>
      <c r="HUH11" s="15"/>
      <c r="HUN11" s="25"/>
      <c r="HUU11" s="21"/>
      <c r="HUV11" s="21"/>
      <c r="HUZ11" s="15"/>
      <c r="HVF11" s="25"/>
      <c r="HVM11" s="21"/>
      <c r="HVN11" s="21"/>
      <c r="HVR11" s="15"/>
      <c r="HVX11" s="25"/>
      <c r="HWE11" s="21"/>
      <c r="HWF11" s="21"/>
      <c r="HWJ11" s="15"/>
      <c r="HWP11" s="25"/>
      <c r="HWW11" s="21"/>
      <c r="HWX11" s="21"/>
      <c r="HXB11" s="15"/>
      <c r="HXH11" s="25"/>
      <c r="HXO11" s="21"/>
      <c r="HXP11" s="21"/>
      <c r="HXT11" s="15"/>
      <c r="HXZ11" s="25"/>
      <c r="HYG11" s="21"/>
      <c r="HYH11" s="21"/>
      <c r="HYL11" s="15"/>
      <c r="HYR11" s="25"/>
      <c r="HYY11" s="21"/>
      <c r="HYZ11" s="21"/>
      <c r="HZD11" s="15"/>
      <c r="HZJ11" s="25"/>
      <c r="HZQ11" s="21"/>
      <c r="HZR11" s="21"/>
      <c r="HZV11" s="15"/>
      <c r="IAB11" s="25"/>
      <c r="IAI11" s="21"/>
      <c r="IAJ11" s="21"/>
      <c r="IAN11" s="15"/>
      <c r="IAT11" s="25"/>
      <c r="IBA11" s="21"/>
      <c r="IBB11" s="21"/>
      <c r="IBF11" s="15"/>
      <c r="IBL11" s="25"/>
      <c r="IBS11" s="21"/>
      <c r="IBT11" s="21"/>
      <c r="IBX11" s="15"/>
      <c r="ICD11" s="25"/>
      <c r="ICK11" s="21"/>
      <c r="ICL11" s="21"/>
      <c r="ICP11" s="15"/>
      <c r="ICV11" s="25"/>
      <c r="IDC11" s="21"/>
      <c r="IDD11" s="21"/>
      <c r="IDH11" s="15"/>
      <c r="IDN11" s="25"/>
      <c r="IDU11" s="21"/>
      <c r="IDV11" s="21"/>
      <c r="IDZ11" s="15"/>
      <c r="IEF11" s="25"/>
      <c r="IEM11" s="21"/>
      <c r="IEN11" s="21"/>
      <c r="IER11" s="15"/>
      <c r="IEX11" s="25"/>
      <c r="IFE11" s="21"/>
      <c r="IFF11" s="21"/>
      <c r="IFJ11" s="15"/>
      <c r="IFP11" s="25"/>
      <c r="IFW11" s="21"/>
      <c r="IFX11" s="21"/>
      <c r="IGB11" s="15"/>
      <c r="IGH11" s="25"/>
      <c r="IGO11" s="21"/>
      <c r="IGP11" s="21"/>
      <c r="IGT11" s="15"/>
      <c r="IGZ11" s="25"/>
      <c r="IHG11" s="21"/>
      <c r="IHH11" s="21"/>
      <c r="IHL11" s="15"/>
      <c r="IHR11" s="25"/>
      <c r="IHY11" s="21"/>
      <c r="IHZ11" s="21"/>
      <c r="IID11" s="15"/>
      <c r="IIJ11" s="25"/>
      <c r="IIQ11" s="21"/>
      <c r="IIR11" s="21"/>
      <c r="IIV11" s="15"/>
      <c r="IJB11" s="25"/>
      <c r="IJI11" s="21"/>
      <c r="IJJ11" s="21"/>
      <c r="IJN11" s="15"/>
      <c r="IJT11" s="25"/>
      <c r="IKA11" s="21"/>
      <c r="IKB11" s="21"/>
      <c r="IKF11" s="15"/>
      <c r="IKL11" s="25"/>
      <c r="IKS11" s="21"/>
      <c r="IKT11" s="21"/>
      <c r="IKX11" s="15"/>
      <c r="ILD11" s="25"/>
      <c r="ILK11" s="21"/>
      <c r="ILL11" s="21"/>
      <c r="ILP11" s="15"/>
      <c r="ILV11" s="25"/>
      <c r="IMC11" s="21"/>
      <c r="IMD11" s="21"/>
      <c r="IMH11" s="15"/>
      <c r="IMN11" s="25"/>
      <c r="IMU11" s="21"/>
      <c r="IMV11" s="21"/>
      <c r="IMZ11" s="15"/>
      <c r="INF11" s="25"/>
      <c r="INM11" s="21"/>
      <c r="INN11" s="21"/>
      <c r="INR11" s="15"/>
      <c r="INX11" s="25"/>
      <c r="IOE11" s="21"/>
      <c r="IOF11" s="21"/>
      <c r="IOJ11" s="15"/>
      <c r="IOP11" s="25"/>
      <c r="IOW11" s="21"/>
      <c r="IOX11" s="21"/>
      <c r="IPB11" s="15"/>
      <c r="IPH11" s="25"/>
      <c r="IPO11" s="21"/>
      <c r="IPP11" s="21"/>
      <c r="IPT11" s="15"/>
      <c r="IPZ11" s="25"/>
      <c r="IQG11" s="21"/>
      <c r="IQH11" s="21"/>
      <c r="IQL11" s="15"/>
      <c r="IQR11" s="25"/>
      <c r="IQY11" s="21"/>
      <c r="IQZ11" s="21"/>
      <c r="IRD11" s="15"/>
      <c r="IRJ11" s="25"/>
      <c r="IRQ11" s="21"/>
      <c r="IRR11" s="21"/>
      <c r="IRV11" s="15"/>
      <c r="ISB11" s="25"/>
      <c r="ISI11" s="21"/>
      <c r="ISJ11" s="21"/>
      <c r="ISN11" s="15"/>
      <c r="IST11" s="25"/>
      <c r="ITA11" s="21"/>
      <c r="ITB11" s="21"/>
      <c r="ITF11" s="15"/>
      <c r="ITL11" s="25"/>
      <c r="ITS11" s="21"/>
      <c r="ITT11" s="21"/>
      <c r="ITX11" s="15"/>
      <c r="IUD11" s="25"/>
      <c r="IUK11" s="21"/>
      <c r="IUL11" s="21"/>
      <c r="IUP11" s="15"/>
      <c r="IUV11" s="25"/>
      <c r="IVC11" s="21"/>
      <c r="IVD11" s="21"/>
      <c r="IVH11" s="15"/>
      <c r="IVN11" s="25"/>
      <c r="IVU11" s="21"/>
      <c r="IVV11" s="21"/>
      <c r="IVZ11" s="15"/>
      <c r="IWF11" s="25"/>
      <c r="IWM11" s="21"/>
      <c r="IWN11" s="21"/>
      <c r="IWR11" s="15"/>
      <c r="IWX11" s="25"/>
      <c r="IXE11" s="21"/>
      <c r="IXF11" s="21"/>
      <c r="IXJ11" s="15"/>
      <c r="IXP11" s="25"/>
      <c r="IXW11" s="21"/>
      <c r="IXX11" s="21"/>
      <c r="IYB11" s="15"/>
      <c r="IYH11" s="25"/>
      <c r="IYO11" s="21"/>
      <c r="IYP11" s="21"/>
      <c r="IYT11" s="15"/>
      <c r="IYZ11" s="25"/>
      <c r="IZG11" s="21"/>
      <c r="IZH11" s="21"/>
      <c r="IZL11" s="15"/>
      <c r="IZR11" s="25"/>
      <c r="IZY11" s="21"/>
      <c r="IZZ11" s="21"/>
      <c r="JAD11" s="15"/>
      <c r="JAJ11" s="25"/>
      <c r="JAQ11" s="21"/>
      <c r="JAR11" s="21"/>
      <c r="JAV11" s="15"/>
      <c r="JBB11" s="25"/>
      <c r="JBI11" s="21"/>
      <c r="JBJ11" s="21"/>
      <c r="JBN11" s="15"/>
      <c r="JBT11" s="25"/>
      <c r="JCA11" s="21"/>
      <c r="JCB11" s="21"/>
      <c r="JCF11" s="15"/>
      <c r="JCL11" s="25"/>
      <c r="JCS11" s="21"/>
      <c r="JCT11" s="21"/>
      <c r="JCX11" s="15"/>
      <c r="JDD11" s="25"/>
      <c r="JDK11" s="21"/>
      <c r="JDL11" s="21"/>
      <c r="JDP11" s="15"/>
      <c r="JDV11" s="25"/>
      <c r="JEC11" s="21"/>
      <c r="JED11" s="21"/>
      <c r="JEH11" s="15"/>
      <c r="JEN11" s="25"/>
      <c r="JEU11" s="21"/>
      <c r="JEV11" s="21"/>
      <c r="JEZ11" s="15"/>
      <c r="JFF11" s="25"/>
      <c r="JFM11" s="21"/>
      <c r="JFN11" s="21"/>
      <c r="JFR11" s="15"/>
      <c r="JFX11" s="25"/>
      <c r="JGE11" s="21"/>
      <c r="JGF11" s="21"/>
      <c r="JGJ11" s="15"/>
      <c r="JGP11" s="25"/>
      <c r="JGW11" s="21"/>
      <c r="JGX11" s="21"/>
      <c r="JHB11" s="15"/>
      <c r="JHH11" s="25"/>
      <c r="JHO11" s="21"/>
      <c r="JHP11" s="21"/>
      <c r="JHT11" s="15"/>
      <c r="JHZ11" s="25"/>
      <c r="JIG11" s="21"/>
      <c r="JIH11" s="21"/>
      <c r="JIL11" s="15"/>
      <c r="JIR11" s="25"/>
      <c r="JIY11" s="21"/>
      <c r="JIZ11" s="21"/>
      <c r="JJD11" s="15"/>
      <c r="JJJ11" s="25"/>
      <c r="JJQ11" s="21"/>
      <c r="JJR11" s="21"/>
      <c r="JJV11" s="15"/>
      <c r="JKB11" s="25"/>
      <c r="JKI11" s="21"/>
      <c r="JKJ11" s="21"/>
      <c r="JKN11" s="15"/>
      <c r="JKT11" s="25"/>
      <c r="JLA11" s="21"/>
      <c r="JLB11" s="21"/>
      <c r="JLF11" s="15"/>
      <c r="JLL11" s="25"/>
      <c r="JLS11" s="21"/>
      <c r="JLT11" s="21"/>
      <c r="JLX11" s="15"/>
      <c r="JMD11" s="25"/>
      <c r="JMK11" s="21"/>
      <c r="JML11" s="21"/>
      <c r="JMP11" s="15"/>
      <c r="JMV11" s="25"/>
      <c r="JNC11" s="21"/>
      <c r="JND11" s="21"/>
      <c r="JNH11" s="15"/>
      <c r="JNN11" s="25"/>
      <c r="JNU11" s="21"/>
      <c r="JNV11" s="21"/>
      <c r="JNZ11" s="15"/>
      <c r="JOF11" s="25"/>
      <c r="JOM11" s="21"/>
      <c r="JON11" s="21"/>
      <c r="JOR11" s="15"/>
      <c r="JOX11" s="25"/>
      <c r="JPE11" s="21"/>
      <c r="JPF11" s="21"/>
      <c r="JPJ11" s="15"/>
      <c r="JPP11" s="25"/>
      <c r="JPW11" s="21"/>
      <c r="JPX11" s="21"/>
      <c r="JQB11" s="15"/>
      <c r="JQH11" s="25"/>
      <c r="JQO11" s="21"/>
      <c r="JQP11" s="21"/>
      <c r="JQT11" s="15"/>
      <c r="JQZ11" s="25"/>
      <c r="JRG11" s="21"/>
      <c r="JRH11" s="21"/>
      <c r="JRL11" s="15"/>
      <c r="JRR11" s="25"/>
      <c r="JRY11" s="21"/>
      <c r="JRZ11" s="21"/>
      <c r="JSD11" s="15"/>
      <c r="JSJ11" s="25"/>
      <c r="JSQ11" s="21"/>
      <c r="JSR11" s="21"/>
      <c r="JSV11" s="15"/>
      <c r="JTB11" s="25"/>
      <c r="JTI11" s="21"/>
      <c r="JTJ11" s="21"/>
      <c r="JTN11" s="15"/>
      <c r="JTT11" s="25"/>
      <c r="JUA11" s="21"/>
      <c r="JUB11" s="21"/>
      <c r="JUF11" s="15"/>
      <c r="JUL11" s="25"/>
      <c r="JUS11" s="21"/>
      <c r="JUT11" s="21"/>
      <c r="JUX11" s="15"/>
      <c r="JVD11" s="25"/>
      <c r="JVK11" s="21"/>
      <c r="JVL11" s="21"/>
      <c r="JVP11" s="15"/>
      <c r="JVV11" s="25"/>
      <c r="JWC11" s="21"/>
      <c r="JWD11" s="21"/>
      <c r="JWH11" s="15"/>
      <c r="JWN11" s="25"/>
      <c r="JWU11" s="21"/>
      <c r="JWV11" s="21"/>
      <c r="JWZ11" s="15"/>
      <c r="JXF11" s="25"/>
      <c r="JXM11" s="21"/>
      <c r="JXN11" s="21"/>
      <c r="JXR11" s="15"/>
      <c r="JXX11" s="25"/>
      <c r="JYE11" s="21"/>
      <c r="JYF11" s="21"/>
      <c r="JYJ11" s="15"/>
      <c r="JYP11" s="25"/>
      <c r="JYW11" s="21"/>
      <c r="JYX11" s="21"/>
      <c r="JZB11" s="15"/>
      <c r="JZH11" s="25"/>
      <c r="JZO11" s="21"/>
      <c r="JZP11" s="21"/>
      <c r="JZT11" s="15"/>
      <c r="JZZ11" s="25"/>
      <c r="KAG11" s="21"/>
      <c r="KAH11" s="21"/>
      <c r="KAL11" s="15"/>
      <c r="KAR11" s="25"/>
      <c r="KAY11" s="21"/>
      <c r="KAZ11" s="21"/>
      <c r="KBD11" s="15"/>
      <c r="KBJ11" s="25"/>
      <c r="KBQ11" s="21"/>
      <c r="KBR11" s="21"/>
      <c r="KBV11" s="15"/>
      <c r="KCB11" s="25"/>
      <c r="KCI11" s="21"/>
      <c r="KCJ11" s="21"/>
      <c r="KCN11" s="15"/>
      <c r="KCT11" s="25"/>
      <c r="KDA11" s="21"/>
      <c r="KDB11" s="21"/>
      <c r="KDF11" s="15"/>
      <c r="KDL11" s="25"/>
      <c r="KDS11" s="21"/>
      <c r="KDT11" s="21"/>
      <c r="KDX11" s="15"/>
      <c r="KED11" s="25"/>
      <c r="KEK11" s="21"/>
      <c r="KEL11" s="21"/>
      <c r="KEP11" s="15"/>
      <c r="KEV11" s="25"/>
      <c r="KFC11" s="21"/>
      <c r="KFD11" s="21"/>
      <c r="KFH11" s="15"/>
      <c r="KFN11" s="25"/>
      <c r="KFU11" s="21"/>
      <c r="KFV11" s="21"/>
      <c r="KFZ11" s="15"/>
      <c r="KGF11" s="25"/>
      <c r="KGM11" s="21"/>
      <c r="KGN11" s="21"/>
      <c r="KGR11" s="15"/>
      <c r="KGX11" s="25"/>
      <c r="KHE11" s="21"/>
      <c r="KHF11" s="21"/>
      <c r="KHJ11" s="15"/>
      <c r="KHP11" s="25"/>
      <c r="KHW11" s="21"/>
      <c r="KHX11" s="21"/>
      <c r="KIB11" s="15"/>
      <c r="KIH11" s="25"/>
      <c r="KIO11" s="21"/>
      <c r="KIP11" s="21"/>
      <c r="KIT11" s="15"/>
      <c r="KIZ11" s="25"/>
      <c r="KJG11" s="21"/>
      <c r="KJH11" s="21"/>
      <c r="KJL11" s="15"/>
      <c r="KJR11" s="25"/>
      <c r="KJY11" s="21"/>
      <c r="KJZ11" s="21"/>
      <c r="KKD11" s="15"/>
      <c r="KKJ11" s="25"/>
      <c r="KKQ11" s="21"/>
      <c r="KKR11" s="21"/>
      <c r="KKV11" s="15"/>
      <c r="KLB11" s="25"/>
      <c r="KLI11" s="21"/>
      <c r="KLJ11" s="21"/>
      <c r="KLN11" s="15"/>
      <c r="KLT11" s="25"/>
      <c r="KMA11" s="21"/>
      <c r="KMB11" s="21"/>
      <c r="KMF11" s="15"/>
      <c r="KML11" s="25"/>
      <c r="KMS11" s="21"/>
      <c r="KMT11" s="21"/>
      <c r="KMX11" s="15"/>
      <c r="KND11" s="25"/>
      <c r="KNK11" s="21"/>
      <c r="KNL11" s="21"/>
      <c r="KNP11" s="15"/>
      <c r="KNV11" s="25"/>
      <c r="KOC11" s="21"/>
      <c r="KOD11" s="21"/>
      <c r="KOH11" s="15"/>
      <c r="KON11" s="25"/>
      <c r="KOU11" s="21"/>
      <c r="KOV11" s="21"/>
      <c r="KOZ11" s="15"/>
      <c r="KPF11" s="25"/>
      <c r="KPM11" s="21"/>
      <c r="KPN11" s="21"/>
      <c r="KPR11" s="15"/>
      <c r="KPX11" s="25"/>
      <c r="KQE11" s="21"/>
      <c r="KQF11" s="21"/>
      <c r="KQJ11" s="15"/>
      <c r="KQP11" s="25"/>
      <c r="KQW11" s="21"/>
      <c r="KQX11" s="21"/>
      <c r="KRB11" s="15"/>
      <c r="KRH11" s="25"/>
      <c r="KRO11" s="21"/>
      <c r="KRP11" s="21"/>
      <c r="KRT11" s="15"/>
      <c r="KRZ11" s="25"/>
      <c r="KSG11" s="21"/>
      <c r="KSH11" s="21"/>
      <c r="KSL11" s="15"/>
      <c r="KSR11" s="25"/>
      <c r="KSY11" s="21"/>
      <c r="KSZ11" s="21"/>
      <c r="KTD11" s="15"/>
      <c r="KTJ11" s="25"/>
      <c r="KTQ11" s="21"/>
      <c r="KTR11" s="21"/>
      <c r="KTV11" s="15"/>
      <c r="KUB11" s="25"/>
      <c r="KUI11" s="21"/>
      <c r="KUJ11" s="21"/>
      <c r="KUN11" s="15"/>
      <c r="KUT11" s="25"/>
      <c r="KVA11" s="21"/>
      <c r="KVB11" s="21"/>
      <c r="KVF11" s="15"/>
      <c r="KVL11" s="25"/>
      <c r="KVS11" s="21"/>
      <c r="KVT11" s="21"/>
      <c r="KVX11" s="15"/>
      <c r="KWD11" s="25"/>
      <c r="KWK11" s="21"/>
      <c r="KWL11" s="21"/>
      <c r="KWP11" s="15"/>
      <c r="KWV11" s="25"/>
      <c r="KXC11" s="21"/>
      <c r="KXD11" s="21"/>
      <c r="KXH11" s="15"/>
      <c r="KXN11" s="25"/>
      <c r="KXU11" s="21"/>
      <c r="KXV11" s="21"/>
      <c r="KXZ11" s="15"/>
      <c r="KYF11" s="25"/>
      <c r="KYM11" s="21"/>
      <c r="KYN11" s="21"/>
      <c r="KYR11" s="15"/>
      <c r="KYX11" s="25"/>
      <c r="KZE11" s="21"/>
      <c r="KZF11" s="21"/>
      <c r="KZJ11" s="15"/>
      <c r="KZP11" s="25"/>
      <c r="KZW11" s="21"/>
      <c r="KZX11" s="21"/>
      <c r="LAB11" s="15"/>
      <c r="LAH11" s="25"/>
      <c r="LAO11" s="21"/>
      <c r="LAP11" s="21"/>
      <c r="LAT11" s="15"/>
      <c r="LAZ11" s="25"/>
      <c r="LBG11" s="21"/>
      <c r="LBH11" s="21"/>
      <c r="LBL11" s="15"/>
      <c r="LBR11" s="25"/>
      <c r="LBY11" s="21"/>
      <c r="LBZ11" s="21"/>
      <c r="LCD11" s="15"/>
      <c r="LCJ11" s="25"/>
      <c r="LCQ11" s="21"/>
      <c r="LCR11" s="21"/>
      <c r="LCV11" s="15"/>
      <c r="LDB11" s="25"/>
      <c r="LDI11" s="21"/>
      <c r="LDJ11" s="21"/>
      <c r="LDN11" s="15"/>
      <c r="LDT11" s="25"/>
      <c r="LEA11" s="21"/>
      <c r="LEB11" s="21"/>
      <c r="LEF11" s="15"/>
      <c r="LEL11" s="25"/>
      <c r="LES11" s="21"/>
      <c r="LET11" s="21"/>
      <c r="LEX11" s="15"/>
      <c r="LFD11" s="25"/>
      <c r="LFK11" s="21"/>
      <c r="LFL11" s="21"/>
      <c r="LFP11" s="15"/>
      <c r="LFV11" s="25"/>
      <c r="LGC11" s="21"/>
      <c r="LGD11" s="21"/>
      <c r="LGH11" s="15"/>
      <c r="LGN11" s="25"/>
      <c r="LGU11" s="21"/>
      <c r="LGV11" s="21"/>
      <c r="LGZ11" s="15"/>
      <c r="LHF11" s="25"/>
      <c r="LHM11" s="21"/>
      <c r="LHN11" s="21"/>
      <c r="LHR11" s="15"/>
      <c r="LHX11" s="25"/>
      <c r="LIE11" s="21"/>
      <c r="LIF11" s="21"/>
      <c r="LIJ11" s="15"/>
      <c r="LIP11" s="25"/>
      <c r="LIW11" s="21"/>
      <c r="LIX11" s="21"/>
      <c r="LJB11" s="15"/>
      <c r="LJH11" s="25"/>
      <c r="LJO11" s="21"/>
      <c r="LJP11" s="21"/>
      <c r="LJT11" s="15"/>
      <c r="LJZ11" s="25"/>
      <c r="LKG11" s="21"/>
      <c r="LKH11" s="21"/>
      <c r="LKL11" s="15"/>
      <c r="LKR11" s="25"/>
      <c r="LKY11" s="21"/>
      <c r="LKZ11" s="21"/>
      <c r="LLD11" s="15"/>
      <c r="LLJ11" s="25"/>
      <c r="LLQ11" s="21"/>
      <c r="LLR11" s="21"/>
      <c r="LLV11" s="15"/>
      <c r="LMB11" s="25"/>
      <c r="LMI11" s="21"/>
      <c r="LMJ11" s="21"/>
      <c r="LMN11" s="15"/>
      <c r="LMT11" s="25"/>
      <c r="LNA11" s="21"/>
      <c r="LNB11" s="21"/>
      <c r="LNF11" s="15"/>
      <c r="LNL11" s="25"/>
      <c r="LNS11" s="21"/>
      <c r="LNT11" s="21"/>
      <c r="LNX11" s="15"/>
      <c r="LOD11" s="25"/>
      <c r="LOK11" s="21"/>
      <c r="LOL11" s="21"/>
      <c r="LOP11" s="15"/>
      <c r="LOV11" s="25"/>
      <c r="LPC11" s="21"/>
      <c r="LPD11" s="21"/>
      <c r="LPH11" s="15"/>
      <c r="LPN11" s="25"/>
      <c r="LPU11" s="21"/>
      <c r="LPV11" s="21"/>
      <c r="LPZ11" s="15"/>
      <c r="LQF11" s="25"/>
      <c r="LQM11" s="21"/>
      <c r="LQN11" s="21"/>
      <c r="LQR11" s="15"/>
      <c r="LQX11" s="25"/>
      <c r="LRE11" s="21"/>
      <c r="LRF11" s="21"/>
      <c r="LRJ11" s="15"/>
      <c r="LRP11" s="25"/>
      <c r="LRW11" s="21"/>
      <c r="LRX11" s="21"/>
      <c r="LSB11" s="15"/>
      <c r="LSH11" s="25"/>
      <c r="LSO11" s="21"/>
      <c r="LSP11" s="21"/>
      <c r="LST11" s="15"/>
      <c r="LSZ11" s="25"/>
      <c r="LTG11" s="21"/>
      <c r="LTH11" s="21"/>
      <c r="LTL11" s="15"/>
      <c r="LTR11" s="25"/>
      <c r="LTY11" s="21"/>
      <c r="LTZ11" s="21"/>
      <c r="LUD11" s="15"/>
      <c r="LUJ11" s="25"/>
      <c r="LUQ11" s="21"/>
      <c r="LUR11" s="21"/>
      <c r="LUV11" s="15"/>
      <c r="LVB11" s="25"/>
      <c r="LVI11" s="21"/>
      <c r="LVJ11" s="21"/>
      <c r="LVN11" s="15"/>
      <c r="LVT11" s="25"/>
      <c r="LWA11" s="21"/>
      <c r="LWB11" s="21"/>
      <c r="LWF11" s="15"/>
      <c r="LWL11" s="25"/>
      <c r="LWS11" s="21"/>
      <c r="LWT11" s="21"/>
      <c r="LWX11" s="15"/>
      <c r="LXD11" s="25"/>
      <c r="LXK11" s="21"/>
      <c r="LXL11" s="21"/>
      <c r="LXP11" s="15"/>
      <c r="LXV11" s="25"/>
      <c r="LYC11" s="21"/>
      <c r="LYD11" s="21"/>
      <c r="LYH11" s="15"/>
      <c r="LYN11" s="25"/>
      <c r="LYU11" s="21"/>
      <c r="LYV11" s="21"/>
      <c r="LYZ11" s="15"/>
      <c r="LZF11" s="25"/>
      <c r="LZM11" s="21"/>
      <c r="LZN11" s="21"/>
      <c r="LZR11" s="15"/>
      <c r="LZX11" s="25"/>
      <c r="MAE11" s="21"/>
      <c r="MAF11" s="21"/>
      <c r="MAJ11" s="15"/>
      <c r="MAP11" s="25"/>
      <c r="MAW11" s="21"/>
      <c r="MAX11" s="21"/>
      <c r="MBB11" s="15"/>
      <c r="MBH11" s="25"/>
      <c r="MBO11" s="21"/>
      <c r="MBP11" s="21"/>
      <c r="MBT11" s="15"/>
      <c r="MBZ11" s="25"/>
      <c r="MCG11" s="21"/>
      <c r="MCH11" s="21"/>
      <c r="MCL11" s="15"/>
      <c r="MCR11" s="25"/>
      <c r="MCY11" s="21"/>
      <c r="MCZ11" s="21"/>
      <c r="MDD11" s="15"/>
      <c r="MDJ11" s="25"/>
      <c r="MDQ11" s="21"/>
      <c r="MDR11" s="21"/>
      <c r="MDV11" s="15"/>
      <c r="MEB11" s="25"/>
      <c r="MEI11" s="21"/>
      <c r="MEJ11" s="21"/>
      <c r="MEN11" s="15"/>
      <c r="MET11" s="25"/>
      <c r="MFA11" s="21"/>
      <c r="MFB11" s="21"/>
      <c r="MFF11" s="15"/>
      <c r="MFL11" s="25"/>
      <c r="MFS11" s="21"/>
      <c r="MFT11" s="21"/>
      <c r="MFX11" s="15"/>
      <c r="MGD11" s="25"/>
      <c r="MGK11" s="21"/>
      <c r="MGL11" s="21"/>
      <c r="MGP11" s="15"/>
      <c r="MGV11" s="25"/>
      <c r="MHC11" s="21"/>
      <c r="MHD11" s="21"/>
      <c r="MHH11" s="15"/>
      <c r="MHN11" s="25"/>
      <c r="MHU11" s="21"/>
      <c r="MHV11" s="21"/>
      <c r="MHZ11" s="15"/>
      <c r="MIF11" s="25"/>
      <c r="MIM11" s="21"/>
      <c r="MIN11" s="21"/>
      <c r="MIR11" s="15"/>
      <c r="MIX11" s="25"/>
      <c r="MJE11" s="21"/>
      <c r="MJF11" s="21"/>
      <c r="MJJ11" s="15"/>
      <c r="MJP11" s="25"/>
      <c r="MJW11" s="21"/>
      <c r="MJX11" s="21"/>
      <c r="MKB11" s="15"/>
      <c r="MKH11" s="25"/>
      <c r="MKO11" s="21"/>
      <c r="MKP11" s="21"/>
      <c r="MKT11" s="15"/>
      <c r="MKZ11" s="25"/>
      <c r="MLG11" s="21"/>
      <c r="MLH11" s="21"/>
      <c r="MLL11" s="15"/>
      <c r="MLR11" s="25"/>
      <c r="MLY11" s="21"/>
      <c r="MLZ11" s="21"/>
      <c r="MMD11" s="15"/>
      <c r="MMJ11" s="25"/>
      <c r="MMQ11" s="21"/>
      <c r="MMR11" s="21"/>
      <c r="MMV11" s="15"/>
      <c r="MNB11" s="25"/>
      <c r="MNI11" s="21"/>
      <c r="MNJ11" s="21"/>
      <c r="MNN11" s="15"/>
      <c r="MNT11" s="25"/>
      <c r="MOA11" s="21"/>
      <c r="MOB11" s="21"/>
      <c r="MOF11" s="15"/>
      <c r="MOL11" s="25"/>
      <c r="MOS11" s="21"/>
      <c r="MOT11" s="21"/>
      <c r="MOX11" s="15"/>
      <c r="MPD11" s="25"/>
      <c r="MPK11" s="21"/>
      <c r="MPL11" s="21"/>
      <c r="MPP11" s="15"/>
      <c r="MPV11" s="25"/>
      <c r="MQC11" s="21"/>
      <c r="MQD11" s="21"/>
      <c r="MQH11" s="15"/>
      <c r="MQN11" s="25"/>
      <c r="MQU11" s="21"/>
      <c r="MQV11" s="21"/>
      <c r="MQZ11" s="15"/>
      <c r="MRF11" s="25"/>
      <c r="MRM11" s="21"/>
      <c r="MRN11" s="21"/>
      <c r="MRR11" s="15"/>
      <c r="MRX11" s="25"/>
      <c r="MSE11" s="21"/>
      <c r="MSF11" s="21"/>
      <c r="MSJ11" s="15"/>
      <c r="MSP11" s="25"/>
      <c r="MSW11" s="21"/>
      <c r="MSX11" s="21"/>
      <c r="MTB11" s="15"/>
      <c r="MTH11" s="25"/>
      <c r="MTO11" s="21"/>
      <c r="MTP11" s="21"/>
      <c r="MTT11" s="15"/>
      <c r="MTZ11" s="25"/>
      <c r="MUG11" s="21"/>
      <c r="MUH11" s="21"/>
      <c r="MUL11" s="15"/>
      <c r="MUR11" s="25"/>
      <c r="MUY11" s="21"/>
      <c r="MUZ11" s="21"/>
      <c r="MVD11" s="15"/>
      <c r="MVJ11" s="25"/>
      <c r="MVQ11" s="21"/>
      <c r="MVR11" s="21"/>
      <c r="MVV11" s="15"/>
      <c r="MWB11" s="25"/>
      <c r="MWI11" s="21"/>
      <c r="MWJ11" s="21"/>
      <c r="MWN11" s="15"/>
      <c r="MWT11" s="25"/>
      <c r="MXA11" s="21"/>
      <c r="MXB11" s="21"/>
      <c r="MXF11" s="15"/>
      <c r="MXL11" s="25"/>
      <c r="MXS11" s="21"/>
      <c r="MXT11" s="21"/>
      <c r="MXX11" s="15"/>
      <c r="MYD11" s="25"/>
      <c r="MYK11" s="21"/>
      <c r="MYL11" s="21"/>
      <c r="MYP11" s="15"/>
      <c r="MYV11" s="25"/>
      <c r="MZC11" s="21"/>
      <c r="MZD11" s="21"/>
      <c r="MZH11" s="15"/>
      <c r="MZN11" s="25"/>
      <c r="MZU11" s="21"/>
      <c r="MZV11" s="21"/>
      <c r="MZZ11" s="15"/>
      <c r="NAF11" s="25"/>
      <c r="NAM11" s="21"/>
      <c r="NAN11" s="21"/>
      <c r="NAR11" s="15"/>
      <c r="NAX11" s="25"/>
      <c r="NBE11" s="21"/>
      <c r="NBF11" s="21"/>
      <c r="NBJ11" s="15"/>
      <c r="NBP11" s="25"/>
      <c r="NBW11" s="21"/>
      <c r="NBX11" s="21"/>
      <c r="NCB11" s="15"/>
      <c r="NCH11" s="25"/>
      <c r="NCO11" s="21"/>
      <c r="NCP11" s="21"/>
      <c r="NCT11" s="15"/>
      <c r="NCZ11" s="25"/>
      <c r="NDG11" s="21"/>
      <c r="NDH11" s="21"/>
      <c r="NDL11" s="15"/>
      <c r="NDR11" s="25"/>
      <c r="NDY11" s="21"/>
      <c r="NDZ11" s="21"/>
      <c r="NED11" s="15"/>
      <c r="NEJ11" s="25"/>
      <c r="NEQ11" s="21"/>
      <c r="NER11" s="21"/>
      <c r="NEV11" s="15"/>
      <c r="NFB11" s="25"/>
      <c r="NFI11" s="21"/>
      <c r="NFJ11" s="21"/>
      <c r="NFN11" s="15"/>
      <c r="NFT11" s="25"/>
      <c r="NGA11" s="21"/>
      <c r="NGB11" s="21"/>
      <c r="NGF11" s="15"/>
      <c r="NGL11" s="25"/>
      <c r="NGS11" s="21"/>
      <c r="NGT11" s="21"/>
      <c r="NGX11" s="15"/>
      <c r="NHD11" s="25"/>
      <c r="NHK11" s="21"/>
      <c r="NHL11" s="21"/>
      <c r="NHP11" s="15"/>
      <c r="NHV11" s="25"/>
      <c r="NIC11" s="21"/>
      <c r="NID11" s="21"/>
      <c r="NIH11" s="15"/>
      <c r="NIN11" s="25"/>
      <c r="NIU11" s="21"/>
      <c r="NIV11" s="21"/>
      <c r="NIZ11" s="15"/>
      <c r="NJF11" s="25"/>
      <c r="NJM11" s="21"/>
      <c r="NJN11" s="21"/>
      <c r="NJR11" s="15"/>
      <c r="NJX11" s="25"/>
      <c r="NKE11" s="21"/>
      <c r="NKF11" s="21"/>
      <c r="NKJ11" s="15"/>
      <c r="NKP11" s="25"/>
      <c r="NKW11" s="21"/>
      <c r="NKX11" s="21"/>
      <c r="NLB11" s="15"/>
      <c r="NLH11" s="25"/>
      <c r="NLO11" s="21"/>
      <c r="NLP11" s="21"/>
      <c r="NLT11" s="15"/>
      <c r="NLZ11" s="25"/>
      <c r="NMG11" s="21"/>
      <c r="NMH11" s="21"/>
      <c r="NML11" s="15"/>
      <c r="NMR11" s="25"/>
      <c r="NMY11" s="21"/>
      <c r="NMZ11" s="21"/>
      <c r="NND11" s="15"/>
      <c r="NNJ11" s="25"/>
      <c r="NNQ11" s="21"/>
      <c r="NNR11" s="21"/>
      <c r="NNV11" s="15"/>
      <c r="NOB11" s="25"/>
      <c r="NOI11" s="21"/>
      <c r="NOJ11" s="21"/>
      <c r="NON11" s="15"/>
      <c r="NOT11" s="25"/>
      <c r="NPA11" s="21"/>
      <c r="NPB11" s="21"/>
      <c r="NPF11" s="15"/>
      <c r="NPL11" s="25"/>
      <c r="NPS11" s="21"/>
      <c r="NPT11" s="21"/>
      <c r="NPX11" s="15"/>
      <c r="NQD11" s="25"/>
      <c r="NQK11" s="21"/>
      <c r="NQL11" s="21"/>
      <c r="NQP11" s="15"/>
      <c r="NQV11" s="25"/>
      <c r="NRC11" s="21"/>
      <c r="NRD11" s="21"/>
      <c r="NRH11" s="15"/>
      <c r="NRN11" s="25"/>
      <c r="NRU11" s="21"/>
      <c r="NRV11" s="21"/>
      <c r="NRZ11" s="15"/>
      <c r="NSF11" s="25"/>
      <c r="NSM11" s="21"/>
      <c r="NSN11" s="21"/>
      <c r="NSR11" s="15"/>
      <c r="NSX11" s="25"/>
      <c r="NTE11" s="21"/>
      <c r="NTF11" s="21"/>
      <c r="NTJ11" s="15"/>
      <c r="NTP11" s="25"/>
      <c r="NTW11" s="21"/>
      <c r="NTX11" s="21"/>
      <c r="NUB11" s="15"/>
      <c r="NUH11" s="25"/>
      <c r="NUO11" s="21"/>
      <c r="NUP11" s="21"/>
      <c r="NUT11" s="15"/>
      <c r="NUZ11" s="25"/>
      <c r="NVG11" s="21"/>
      <c r="NVH11" s="21"/>
      <c r="NVL11" s="15"/>
      <c r="NVR11" s="25"/>
      <c r="NVY11" s="21"/>
      <c r="NVZ11" s="21"/>
      <c r="NWD11" s="15"/>
      <c r="NWJ11" s="25"/>
      <c r="NWQ11" s="21"/>
      <c r="NWR11" s="21"/>
      <c r="NWV11" s="15"/>
      <c r="NXB11" s="25"/>
      <c r="NXI11" s="21"/>
      <c r="NXJ11" s="21"/>
      <c r="NXN11" s="15"/>
      <c r="NXT11" s="25"/>
      <c r="NYA11" s="21"/>
      <c r="NYB11" s="21"/>
      <c r="NYF11" s="15"/>
      <c r="NYL11" s="25"/>
      <c r="NYS11" s="21"/>
      <c r="NYT11" s="21"/>
      <c r="NYX11" s="15"/>
      <c r="NZD11" s="25"/>
      <c r="NZK11" s="21"/>
      <c r="NZL11" s="21"/>
      <c r="NZP11" s="15"/>
      <c r="NZV11" s="25"/>
      <c r="OAC11" s="21"/>
      <c r="OAD11" s="21"/>
      <c r="OAH11" s="15"/>
      <c r="OAN11" s="25"/>
      <c r="OAU11" s="21"/>
      <c r="OAV11" s="21"/>
      <c r="OAZ11" s="15"/>
      <c r="OBF11" s="25"/>
      <c r="OBM11" s="21"/>
      <c r="OBN11" s="21"/>
      <c r="OBR11" s="15"/>
      <c r="OBX11" s="25"/>
      <c r="OCE11" s="21"/>
      <c r="OCF11" s="21"/>
      <c r="OCJ11" s="15"/>
      <c r="OCP11" s="25"/>
      <c r="OCW11" s="21"/>
      <c r="OCX11" s="21"/>
      <c r="ODB11" s="15"/>
      <c r="ODH11" s="25"/>
      <c r="ODO11" s="21"/>
      <c r="ODP11" s="21"/>
      <c r="ODT11" s="15"/>
      <c r="ODZ11" s="25"/>
      <c r="OEG11" s="21"/>
      <c r="OEH11" s="21"/>
      <c r="OEL11" s="15"/>
      <c r="OER11" s="25"/>
      <c r="OEY11" s="21"/>
      <c r="OEZ11" s="21"/>
      <c r="OFD11" s="15"/>
      <c r="OFJ11" s="25"/>
      <c r="OFQ11" s="21"/>
      <c r="OFR11" s="21"/>
      <c r="OFV11" s="15"/>
      <c r="OGB11" s="25"/>
      <c r="OGI11" s="21"/>
      <c r="OGJ11" s="21"/>
      <c r="OGN11" s="15"/>
      <c r="OGT11" s="25"/>
      <c r="OHA11" s="21"/>
      <c r="OHB11" s="21"/>
      <c r="OHF11" s="15"/>
      <c r="OHL11" s="25"/>
      <c r="OHS11" s="21"/>
      <c r="OHT11" s="21"/>
      <c r="OHX11" s="15"/>
      <c r="OID11" s="25"/>
      <c r="OIK11" s="21"/>
      <c r="OIL11" s="21"/>
      <c r="OIP11" s="15"/>
      <c r="OIV11" s="25"/>
      <c r="OJC11" s="21"/>
      <c r="OJD11" s="21"/>
      <c r="OJH11" s="15"/>
      <c r="OJN11" s="25"/>
      <c r="OJU11" s="21"/>
      <c r="OJV11" s="21"/>
      <c r="OJZ11" s="15"/>
      <c r="OKF11" s="25"/>
      <c r="OKM11" s="21"/>
      <c r="OKN11" s="21"/>
      <c r="OKR11" s="15"/>
      <c r="OKX11" s="25"/>
      <c r="OLE11" s="21"/>
      <c r="OLF11" s="21"/>
      <c r="OLJ11" s="15"/>
      <c r="OLP11" s="25"/>
      <c r="OLW11" s="21"/>
      <c r="OLX11" s="21"/>
      <c r="OMB11" s="15"/>
      <c r="OMH11" s="25"/>
      <c r="OMO11" s="21"/>
      <c r="OMP11" s="21"/>
      <c r="OMT11" s="15"/>
      <c r="OMZ11" s="25"/>
      <c r="ONG11" s="21"/>
      <c r="ONH11" s="21"/>
      <c r="ONL11" s="15"/>
      <c r="ONR11" s="25"/>
      <c r="ONY11" s="21"/>
      <c r="ONZ11" s="21"/>
      <c r="OOD11" s="15"/>
      <c r="OOJ11" s="25"/>
      <c r="OOQ11" s="21"/>
      <c r="OOR11" s="21"/>
      <c r="OOV11" s="15"/>
      <c r="OPB11" s="25"/>
      <c r="OPI11" s="21"/>
      <c r="OPJ11" s="21"/>
      <c r="OPN11" s="15"/>
      <c r="OPT11" s="25"/>
      <c r="OQA11" s="21"/>
      <c r="OQB11" s="21"/>
      <c r="OQF11" s="15"/>
      <c r="OQL11" s="25"/>
      <c r="OQS11" s="21"/>
      <c r="OQT11" s="21"/>
      <c r="OQX11" s="15"/>
      <c r="ORD11" s="25"/>
      <c r="ORK11" s="21"/>
      <c r="ORL11" s="21"/>
      <c r="ORP11" s="15"/>
      <c r="ORV11" s="25"/>
      <c r="OSC11" s="21"/>
      <c r="OSD11" s="21"/>
      <c r="OSH11" s="15"/>
      <c r="OSN11" s="25"/>
      <c r="OSU11" s="21"/>
      <c r="OSV11" s="21"/>
      <c r="OSZ11" s="15"/>
      <c r="OTF11" s="25"/>
      <c r="OTM11" s="21"/>
      <c r="OTN11" s="21"/>
      <c r="OTR11" s="15"/>
      <c r="OTX11" s="25"/>
      <c r="OUE11" s="21"/>
      <c r="OUF11" s="21"/>
      <c r="OUJ11" s="15"/>
      <c r="OUP11" s="25"/>
      <c r="OUW11" s="21"/>
      <c r="OUX11" s="21"/>
      <c r="OVB11" s="15"/>
      <c r="OVH11" s="25"/>
      <c r="OVO11" s="21"/>
      <c r="OVP11" s="21"/>
      <c r="OVT11" s="15"/>
      <c r="OVZ11" s="25"/>
      <c r="OWG11" s="21"/>
      <c r="OWH11" s="21"/>
      <c r="OWL11" s="15"/>
      <c r="OWR11" s="25"/>
      <c r="OWY11" s="21"/>
      <c r="OWZ11" s="21"/>
      <c r="OXD11" s="15"/>
      <c r="OXJ11" s="25"/>
      <c r="OXQ11" s="21"/>
      <c r="OXR11" s="21"/>
      <c r="OXV11" s="15"/>
      <c r="OYB11" s="25"/>
      <c r="OYI11" s="21"/>
      <c r="OYJ11" s="21"/>
      <c r="OYN11" s="15"/>
      <c r="OYT11" s="25"/>
      <c r="OZA11" s="21"/>
      <c r="OZB11" s="21"/>
      <c r="OZF11" s="15"/>
      <c r="OZL11" s="25"/>
      <c r="OZS11" s="21"/>
      <c r="OZT11" s="21"/>
      <c r="OZX11" s="15"/>
      <c r="PAD11" s="25"/>
      <c r="PAK11" s="21"/>
      <c r="PAL11" s="21"/>
      <c r="PAP11" s="15"/>
      <c r="PAV11" s="25"/>
      <c r="PBC11" s="21"/>
      <c r="PBD11" s="21"/>
      <c r="PBH11" s="15"/>
      <c r="PBN11" s="25"/>
      <c r="PBU11" s="21"/>
      <c r="PBV11" s="21"/>
      <c r="PBZ11" s="15"/>
      <c r="PCF11" s="25"/>
      <c r="PCM11" s="21"/>
      <c r="PCN11" s="21"/>
      <c r="PCR11" s="15"/>
      <c r="PCX11" s="25"/>
      <c r="PDE11" s="21"/>
      <c r="PDF11" s="21"/>
      <c r="PDJ11" s="15"/>
      <c r="PDP11" s="25"/>
      <c r="PDW11" s="21"/>
      <c r="PDX11" s="21"/>
      <c r="PEB11" s="15"/>
      <c r="PEH11" s="25"/>
      <c r="PEO11" s="21"/>
      <c r="PEP11" s="21"/>
      <c r="PET11" s="15"/>
      <c r="PEZ11" s="25"/>
      <c r="PFG11" s="21"/>
      <c r="PFH11" s="21"/>
      <c r="PFL11" s="15"/>
      <c r="PFR11" s="25"/>
      <c r="PFY11" s="21"/>
      <c r="PFZ11" s="21"/>
      <c r="PGD11" s="15"/>
      <c r="PGJ11" s="25"/>
      <c r="PGQ11" s="21"/>
      <c r="PGR11" s="21"/>
      <c r="PGV11" s="15"/>
      <c r="PHB11" s="25"/>
      <c r="PHI11" s="21"/>
      <c r="PHJ11" s="21"/>
      <c r="PHN11" s="15"/>
      <c r="PHT11" s="25"/>
      <c r="PIA11" s="21"/>
      <c r="PIB11" s="21"/>
      <c r="PIF11" s="15"/>
      <c r="PIL11" s="25"/>
      <c r="PIS11" s="21"/>
      <c r="PIT11" s="21"/>
      <c r="PIX11" s="15"/>
      <c r="PJD11" s="25"/>
      <c r="PJK11" s="21"/>
      <c r="PJL11" s="21"/>
      <c r="PJP11" s="15"/>
      <c r="PJV11" s="25"/>
      <c r="PKC11" s="21"/>
      <c r="PKD11" s="21"/>
      <c r="PKH11" s="15"/>
      <c r="PKN11" s="25"/>
      <c r="PKU11" s="21"/>
      <c r="PKV11" s="21"/>
      <c r="PKZ11" s="15"/>
      <c r="PLF11" s="25"/>
      <c r="PLM11" s="21"/>
      <c r="PLN11" s="21"/>
      <c r="PLR11" s="15"/>
      <c r="PLX11" s="25"/>
      <c r="PME11" s="21"/>
      <c r="PMF11" s="21"/>
      <c r="PMJ11" s="15"/>
      <c r="PMP11" s="25"/>
      <c r="PMW11" s="21"/>
      <c r="PMX11" s="21"/>
      <c r="PNB11" s="15"/>
      <c r="PNH11" s="25"/>
      <c r="PNO11" s="21"/>
      <c r="PNP11" s="21"/>
      <c r="PNT11" s="15"/>
      <c r="PNZ11" s="25"/>
      <c r="POG11" s="21"/>
      <c r="POH11" s="21"/>
      <c r="POL11" s="15"/>
      <c r="POR11" s="25"/>
      <c r="POY11" s="21"/>
      <c r="POZ11" s="21"/>
      <c r="PPD11" s="15"/>
      <c r="PPJ11" s="25"/>
      <c r="PPQ11" s="21"/>
      <c r="PPR11" s="21"/>
      <c r="PPV11" s="15"/>
      <c r="PQB11" s="25"/>
      <c r="PQI11" s="21"/>
      <c r="PQJ11" s="21"/>
      <c r="PQN11" s="15"/>
      <c r="PQT11" s="25"/>
      <c r="PRA11" s="21"/>
      <c r="PRB11" s="21"/>
      <c r="PRF11" s="15"/>
      <c r="PRL11" s="25"/>
      <c r="PRS11" s="21"/>
      <c r="PRT11" s="21"/>
      <c r="PRX11" s="15"/>
      <c r="PSD11" s="25"/>
      <c r="PSK11" s="21"/>
      <c r="PSL11" s="21"/>
      <c r="PSP11" s="15"/>
      <c r="PSV11" s="25"/>
      <c r="PTC11" s="21"/>
      <c r="PTD11" s="21"/>
      <c r="PTH11" s="15"/>
      <c r="PTN11" s="25"/>
      <c r="PTU11" s="21"/>
      <c r="PTV11" s="21"/>
      <c r="PTZ11" s="15"/>
      <c r="PUF11" s="25"/>
      <c r="PUM11" s="21"/>
      <c r="PUN11" s="21"/>
      <c r="PUR11" s="15"/>
      <c r="PUX11" s="25"/>
      <c r="PVE11" s="21"/>
      <c r="PVF11" s="21"/>
      <c r="PVJ11" s="15"/>
      <c r="PVP11" s="25"/>
      <c r="PVW11" s="21"/>
      <c r="PVX11" s="21"/>
      <c r="PWB11" s="15"/>
      <c r="PWH11" s="25"/>
      <c r="PWO11" s="21"/>
      <c r="PWP11" s="21"/>
      <c r="PWT11" s="15"/>
      <c r="PWZ11" s="25"/>
      <c r="PXG11" s="21"/>
      <c r="PXH11" s="21"/>
      <c r="PXL11" s="15"/>
      <c r="PXR11" s="25"/>
      <c r="PXY11" s="21"/>
      <c r="PXZ11" s="21"/>
      <c r="PYD11" s="15"/>
      <c r="PYJ11" s="25"/>
      <c r="PYQ11" s="21"/>
      <c r="PYR11" s="21"/>
      <c r="PYV11" s="15"/>
      <c r="PZB11" s="25"/>
      <c r="PZI11" s="21"/>
      <c r="PZJ11" s="21"/>
      <c r="PZN11" s="15"/>
      <c r="PZT11" s="25"/>
      <c r="QAA11" s="21"/>
      <c r="QAB11" s="21"/>
      <c r="QAF11" s="15"/>
      <c r="QAL11" s="25"/>
      <c r="QAS11" s="21"/>
      <c r="QAT11" s="21"/>
      <c r="QAX11" s="15"/>
      <c r="QBD11" s="25"/>
      <c r="QBK11" s="21"/>
      <c r="QBL11" s="21"/>
      <c r="QBP11" s="15"/>
      <c r="QBV11" s="25"/>
      <c r="QCC11" s="21"/>
      <c r="QCD11" s="21"/>
      <c r="QCH11" s="15"/>
      <c r="QCN11" s="25"/>
      <c r="QCU11" s="21"/>
      <c r="QCV11" s="21"/>
      <c r="QCZ11" s="15"/>
      <c r="QDF11" s="25"/>
      <c r="QDM11" s="21"/>
      <c r="QDN11" s="21"/>
      <c r="QDR11" s="15"/>
      <c r="QDX11" s="25"/>
      <c r="QEE11" s="21"/>
      <c r="QEF11" s="21"/>
      <c r="QEJ11" s="15"/>
      <c r="QEP11" s="25"/>
      <c r="QEW11" s="21"/>
      <c r="QEX11" s="21"/>
      <c r="QFB11" s="15"/>
      <c r="QFH11" s="25"/>
      <c r="QFO11" s="21"/>
      <c r="QFP11" s="21"/>
      <c r="QFT11" s="15"/>
      <c r="QFZ11" s="25"/>
      <c r="QGG11" s="21"/>
      <c r="QGH11" s="21"/>
      <c r="QGL11" s="15"/>
      <c r="QGR11" s="25"/>
      <c r="QGY11" s="21"/>
      <c r="QGZ11" s="21"/>
      <c r="QHD11" s="15"/>
      <c r="QHJ11" s="25"/>
      <c r="QHQ11" s="21"/>
      <c r="QHR11" s="21"/>
      <c r="QHV11" s="15"/>
      <c r="QIB11" s="25"/>
      <c r="QII11" s="21"/>
      <c r="QIJ11" s="21"/>
      <c r="QIN11" s="15"/>
      <c r="QIT11" s="25"/>
      <c r="QJA11" s="21"/>
      <c r="QJB11" s="21"/>
      <c r="QJF11" s="15"/>
      <c r="QJL11" s="25"/>
      <c r="QJS11" s="21"/>
      <c r="QJT11" s="21"/>
      <c r="QJX11" s="15"/>
      <c r="QKD11" s="25"/>
      <c r="QKK11" s="21"/>
      <c r="QKL11" s="21"/>
      <c r="QKP11" s="15"/>
      <c r="QKV11" s="25"/>
      <c r="QLC11" s="21"/>
      <c r="QLD11" s="21"/>
      <c r="QLH11" s="15"/>
      <c r="QLN11" s="25"/>
      <c r="QLU11" s="21"/>
      <c r="QLV11" s="21"/>
      <c r="QLZ11" s="15"/>
      <c r="QMF11" s="25"/>
      <c r="QMM11" s="21"/>
      <c r="QMN11" s="21"/>
      <c r="QMR11" s="15"/>
      <c r="QMX11" s="25"/>
      <c r="QNE11" s="21"/>
      <c r="QNF11" s="21"/>
      <c r="QNJ11" s="15"/>
      <c r="QNP11" s="25"/>
      <c r="QNW11" s="21"/>
      <c r="QNX11" s="21"/>
      <c r="QOB11" s="15"/>
      <c r="QOH11" s="25"/>
      <c r="QOO11" s="21"/>
      <c r="QOP11" s="21"/>
      <c r="QOT11" s="15"/>
      <c r="QOZ11" s="25"/>
      <c r="QPG11" s="21"/>
      <c r="QPH11" s="21"/>
      <c r="QPL11" s="15"/>
      <c r="QPR11" s="25"/>
      <c r="QPY11" s="21"/>
      <c r="QPZ11" s="21"/>
      <c r="QQD11" s="15"/>
      <c r="QQJ11" s="25"/>
      <c r="QQQ11" s="21"/>
      <c r="QQR11" s="21"/>
      <c r="QQV11" s="15"/>
      <c r="QRB11" s="25"/>
      <c r="QRI11" s="21"/>
      <c r="QRJ11" s="21"/>
      <c r="QRN11" s="15"/>
      <c r="QRT11" s="25"/>
      <c r="QSA11" s="21"/>
      <c r="QSB11" s="21"/>
      <c r="QSF11" s="15"/>
      <c r="QSL11" s="25"/>
      <c r="QSS11" s="21"/>
      <c r="QST11" s="21"/>
      <c r="QSX11" s="15"/>
      <c r="QTD11" s="25"/>
      <c r="QTK11" s="21"/>
      <c r="QTL11" s="21"/>
      <c r="QTP11" s="15"/>
      <c r="QTV11" s="25"/>
      <c r="QUC11" s="21"/>
      <c r="QUD11" s="21"/>
      <c r="QUH11" s="15"/>
      <c r="QUN11" s="25"/>
      <c r="QUU11" s="21"/>
      <c r="QUV11" s="21"/>
      <c r="QUZ11" s="15"/>
      <c r="QVF11" s="25"/>
      <c r="QVM11" s="21"/>
      <c r="QVN11" s="21"/>
      <c r="QVR11" s="15"/>
      <c r="QVX11" s="25"/>
      <c r="QWE11" s="21"/>
      <c r="QWF11" s="21"/>
      <c r="QWJ11" s="15"/>
      <c r="QWP11" s="25"/>
      <c r="QWW11" s="21"/>
      <c r="QWX11" s="21"/>
      <c r="QXB11" s="15"/>
      <c r="QXH11" s="25"/>
      <c r="QXO11" s="21"/>
      <c r="QXP11" s="21"/>
      <c r="QXT11" s="15"/>
      <c r="QXZ11" s="25"/>
      <c r="QYG11" s="21"/>
      <c r="QYH11" s="21"/>
      <c r="QYL11" s="15"/>
      <c r="QYR11" s="25"/>
      <c r="QYY11" s="21"/>
      <c r="QYZ11" s="21"/>
      <c r="QZD11" s="15"/>
      <c r="QZJ11" s="25"/>
      <c r="QZQ11" s="21"/>
      <c r="QZR11" s="21"/>
      <c r="QZV11" s="15"/>
      <c r="RAB11" s="25"/>
      <c r="RAI11" s="21"/>
      <c r="RAJ11" s="21"/>
      <c r="RAN11" s="15"/>
      <c r="RAT11" s="25"/>
      <c r="RBA11" s="21"/>
      <c r="RBB11" s="21"/>
      <c r="RBF11" s="15"/>
      <c r="RBL11" s="25"/>
      <c r="RBS11" s="21"/>
      <c r="RBT11" s="21"/>
      <c r="RBX11" s="15"/>
      <c r="RCD11" s="25"/>
      <c r="RCK11" s="21"/>
      <c r="RCL11" s="21"/>
      <c r="RCP11" s="15"/>
      <c r="RCV11" s="25"/>
      <c r="RDC11" s="21"/>
      <c r="RDD11" s="21"/>
      <c r="RDH11" s="15"/>
      <c r="RDN11" s="25"/>
      <c r="RDU11" s="21"/>
      <c r="RDV11" s="21"/>
      <c r="RDZ11" s="15"/>
      <c r="REF11" s="25"/>
      <c r="REM11" s="21"/>
      <c r="REN11" s="21"/>
      <c r="RER11" s="15"/>
      <c r="REX11" s="25"/>
      <c r="RFE11" s="21"/>
      <c r="RFF11" s="21"/>
      <c r="RFJ11" s="15"/>
      <c r="RFP11" s="25"/>
      <c r="RFW11" s="21"/>
      <c r="RFX11" s="21"/>
      <c r="RGB11" s="15"/>
      <c r="RGH11" s="25"/>
      <c r="RGO11" s="21"/>
      <c r="RGP11" s="21"/>
      <c r="RGT11" s="15"/>
      <c r="RGZ11" s="25"/>
      <c r="RHG11" s="21"/>
      <c r="RHH11" s="21"/>
      <c r="RHL11" s="15"/>
      <c r="RHR11" s="25"/>
      <c r="RHY11" s="21"/>
      <c r="RHZ11" s="21"/>
      <c r="RID11" s="15"/>
      <c r="RIJ11" s="25"/>
      <c r="RIQ11" s="21"/>
      <c r="RIR11" s="21"/>
      <c r="RIV11" s="15"/>
      <c r="RJB11" s="25"/>
      <c r="RJI11" s="21"/>
      <c r="RJJ11" s="21"/>
      <c r="RJN11" s="15"/>
      <c r="RJT11" s="25"/>
      <c r="RKA11" s="21"/>
      <c r="RKB11" s="21"/>
      <c r="RKF11" s="15"/>
      <c r="RKL11" s="25"/>
      <c r="RKS11" s="21"/>
      <c r="RKT11" s="21"/>
      <c r="RKX11" s="15"/>
      <c r="RLD11" s="25"/>
      <c r="RLK11" s="21"/>
      <c r="RLL11" s="21"/>
      <c r="RLP11" s="15"/>
      <c r="RLV11" s="25"/>
      <c r="RMC11" s="21"/>
      <c r="RMD11" s="21"/>
      <c r="RMH11" s="15"/>
      <c r="RMN11" s="25"/>
      <c r="RMU11" s="21"/>
      <c r="RMV11" s="21"/>
      <c r="RMZ11" s="15"/>
      <c r="RNF11" s="25"/>
      <c r="RNM11" s="21"/>
      <c r="RNN11" s="21"/>
      <c r="RNR11" s="15"/>
      <c r="RNX11" s="25"/>
      <c r="ROE11" s="21"/>
      <c r="ROF11" s="21"/>
      <c r="ROJ11" s="15"/>
      <c r="ROP11" s="25"/>
      <c r="ROW11" s="21"/>
      <c r="ROX11" s="21"/>
      <c r="RPB11" s="15"/>
      <c r="RPH11" s="25"/>
      <c r="RPO11" s="21"/>
      <c r="RPP11" s="21"/>
      <c r="RPT11" s="15"/>
      <c r="RPZ11" s="25"/>
      <c r="RQG11" s="21"/>
      <c r="RQH11" s="21"/>
      <c r="RQL11" s="15"/>
      <c r="RQR11" s="25"/>
      <c r="RQY11" s="21"/>
      <c r="RQZ11" s="21"/>
      <c r="RRD11" s="15"/>
      <c r="RRJ11" s="25"/>
      <c r="RRQ11" s="21"/>
      <c r="RRR11" s="21"/>
      <c r="RRV11" s="15"/>
      <c r="RSB11" s="25"/>
      <c r="RSI11" s="21"/>
      <c r="RSJ11" s="21"/>
      <c r="RSN11" s="15"/>
      <c r="RST11" s="25"/>
      <c r="RTA11" s="21"/>
      <c r="RTB11" s="21"/>
      <c r="RTF11" s="15"/>
      <c r="RTL11" s="25"/>
      <c r="RTS11" s="21"/>
      <c r="RTT11" s="21"/>
      <c r="RTX11" s="15"/>
      <c r="RUD11" s="25"/>
      <c r="RUK11" s="21"/>
      <c r="RUL11" s="21"/>
      <c r="RUP11" s="15"/>
      <c r="RUV11" s="25"/>
      <c r="RVC11" s="21"/>
      <c r="RVD11" s="21"/>
      <c r="RVH11" s="15"/>
      <c r="RVN11" s="25"/>
      <c r="RVU11" s="21"/>
      <c r="RVV11" s="21"/>
      <c r="RVZ11" s="15"/>
      <c r="RWF11" s="25"/>
      <c r="RWM11" s="21"/>
      <c r="RWN11" s="21"/>
      <c r="RWR11" s="15"/>
      <c r="RWX11" s="25"/>
      <c r="RXE11" s="21"/>
      <c r="RXF11" s="21"/>
      <c r="RXJ11" s="15"/>
      <c r="RXP11" s="25"/>
      <c r="RXW11" s="21"/>
      <c r="RXX11" s="21"/>
      <c r="RYB11" s="15"/>
      <c r="RYH11" s="25"/>
      <c r="RYO11" s="21"/>
      <c r="RYP11" s="21"/>
      <c r="RYT11" s="15"/>
      <c r="RYZ11" s="25"/>
      <c r="RZG11" s="21"/>
      <c r="RZH11" s="21"/>
      <c r="RZL11" s="15"/>
      <c r="RZR11" s="25"/>
      <c r="RZY11" s="21"/>
      <c r="RZZ11" s="21"/>
      <c r="SAD11" s="15"/>
      <c r="SAJ11" s="25"/>
      <c r="SAQ11" s="21"/>
      <c r="SAR11" s="21"/>
      <c r="SAV11" s="15"/>
      <c r="SBB11" s="25"/>
      <c r="SBI11" s="21"/>
      <c r="SBJ11" s="21"/>
      <c r="SBN11" s="15"/>
      <c r="SBT11" s="25"/>
      <c r="SCA11" s="21"/>
      <c r="SCB11" s="21"/>
      <c r="SCF11" s="15"/>
      <c r="SCL11" s="25"/>
      <c r="SCS11" s="21"/>
      <c r="SCT11" s="21"/>
      <c r="SCX11" s="15"/>
      <c r="SDD11" s="25"/>
      <c r="SDK11" s="21"/>
      <c r="SDL11" s="21"/>
      <c r="SDP11" s="15"/>
      <c r="SDV11" s="25"/>
      <c r="SEC11" s="21"/>
      <c r="SED11" s="21"/>
      <c r="SEH11" s="15"/>
      <c r="SEN11" s="25"/>
      <c r="SEU11" s="21"/>
      <c r="SEV11" s="21"/>
      <c r="SEZ11" s="15"/>
      <c r="SFF11" s="25"/>
      <c r="SFM11" s="21"/>
      <c r="SFN11" s="21"/>
      <c r="SFR11" s="15"/>
      <c r="SFX11" s="25"/>
      <c r="SGE11" s="21"/>
      <c r="SGF11" s="21"/>
      <c r="SGJ11" s="15"/>
      <c r="SGP11" s="25"/>
      <c r="SGW11" s="21"/>
      <c r="SGX11" s="21"/>
      <c r="SHB11" s="15"/>
      <c r="SHH11" s="25"/>
      <c r="SHO11" s="21"/>
      <c r="SHP11" s="21"/>
      <c r="SHT11" s="15"/>
      <c r="SHZ11" s="25"/>
      <c r="SIG11" s="21"/>
      <c r="SIH11" s="21"/>
      <c r="SIL11" s="15"/>
      <c r="SIR11" s="25"/>
      <c r="SIY11" s="21"/>
      <c r="SIZ11" s="21"/>
      <c r="SJD11" s="15"/>
      <c r="SJJ11" s="25"/>
      <c r="SJQ11" s="21"/>
      <c r="SJR11" s="21"/>
      <c r="SJV11" s="15"/>
      <c r="SKB11" s="25"/>
      <c r="SKI11" s="21"/>
      <c r="SKJ11" s="21"/>
      <c r="SKN11" s="15"/>
      <c r="SKT11" s="25"/>
      <c r="SLA11" s="21"/>
      <c r="SLB11" s="21"/>
      <c r="SLF11" s="15"/>
      <c r="SLL11" s="25"/>
      <c r="SLS11" s="21"/>
      <c r="SLT11" s="21"/>
      <c r="SLX11" s="15"/>
      <c r="SMD11" s="25"/>
      <c r="SMK11" s="21"/>
      <c r="SML11" s="21"/>
      <c r="SMP11" s="15"/>
      <c r="SMV11" s="25"/>
      <c r="SNC11" s="21"/>
      <c r="SND11" s="21"/>
      <c r="SNH11" s="15"/>
      <c r="SNN11" s="25"/>
      <c r="SNU11" s="21"/>
      <c r="SNV11" s="21"/>
      <c r="SNZ11" s="15"/>
      <c r="SOF11" s="25"/>
      <c r="SOM11" s="21"/>
      <c r="SON11" s="21"/>
      <c r="SOR11" s="15"/>
      <c r="SOX11" s="25"/>
      <c r="SPE11" s="21"/>
      <c r="SPF11" s="21"/>
      <c r="SPJ11" s="15"/>
      <c r="SPP11" s="25"/>
      <c r="SPW11" s="21"/>
      <c r="SPX11" s="21"/>
      <c r="SQB11" s="15"/>
      <c r="SQH11" s="25"/>
      <c r="SQO11" s="21"/>
      <c r="SQP11" s="21"/>
      <c r="SQT11" s="15"/>
      <c r="SQZ11" s="25"/>
      <c r="SRG11" s="21"/>
      <c r="SRH11" s="21"/>
      <c r="SRL11" s="15"/>
      <c r="SRR11" s="25"/>
      <c r="SRY11" s="21"/>
      <c r="SRZ11" s="21"/>
      <c r="SSD11" s="15"/>
      <c r="SSJ11" s="25"/>
      <c r="SSQ11" s="21"/>
      <c r="SSR11" s="21"/>
      <c r="SSV11" s="15"/>
      <c r="STB11" s="25"/>
      <c r="STI11" s="21"/>
      <c r="STJ11" s="21"/>
      <c r="STN11" s="15"/>
      <c r="STT11" s="25"/>
      <c r="SUA11" s="21"/>
      <c r="SUB11" s="21"/>
      <c r="SUF11" s="15"/>
      <c r="SUL11" s="25"/>
      <c r="SUS11" s="21"/>
      <c r="SUT11" s="21"/>
      <c r="SUX11" s="15"/>
      <c r="SVD11" s="25"/>
      <c r="SVK11" s="21"/>
      <c r="SVL11" s="21"/>
      <c r="SVP11" s="15"/>
      <c r="SVV11" s="25"/>
      <c r="SWC11" s="21"/>
      <c r="SWD11" s="21"/>
      <c r="SWH11" s="15"/>
      <c r="SWN11" s="25"/>
      <c r="SWU11" s="21"/>
      <c r="SWV11" s="21"/>
      <c r="SWZ11" s="15"/>
      <c r="SXF11" s="25"/>
      <c r="SXM11" s="21"/>
      <c r="SXN11" s="21"/>
      <c r="SXR11" s="15"/>
      <c r="SXX11" s="25"/>
      <c r="SYE11" s="21"/>
      <c r="SYF11" s="21"/>
      <c r="SYJ11" s="15"/>
      <c r="SYP11" s="25"/>
      <c r="SYW11" s="21"/>
      <c r="SYX11" s="21"/>
      <c r="SZB11" s="15"/>
      <c r="SZH11" s="25"/>
      <c r="SZO11" s="21"/>
      <c r="SZP11" s="21"/>
      <c r="SZT11" s="15"/>
      <c r="SZZ11" s="25"/>
      <c r="TAG11" s="21"/>
      <c r="TAH11" s="21"/>
      <c r="TAL11" s="15"/>
      <c r="TAR11" s="25"/>
      <c r="TAY11" s="21"/>
      <c r="TAZ11" s="21"/>
      <c r="TBD11" s="15"/>
      <c r="TBJ11" s="25"/>
      <c r="TBQ11" s="21"/>
      <c r="TBR11" s="21"/>
      <c r="TBV11" s="15"/>
      <c r="TCB11" s="25"/>
      <c r="TCI11" s="21"/>
      <c r="TCJ11" s="21"/>
      <c r="TCN11" s="15"/>
      <c r="TCT11" s="25"/>
      <c r="TDA11" s="21"/>
      <c r="TDB11" s="21"/>
      <c r="TDF11" s="15"/>
      <c r="TDL11" s="25"/>
      <c r="TDS11" s="21"/>
      <c r="TDT11" s="21"/>
      <c r="TDX11" s="15"/>
      <c r="TED11" s="25"/>
      <c r="TEK11" s="21"/>
      <c r="TEL11" s="21"/>
      <c r="TEP11" s="15"/>
      <c r="TEV11" s="25"/>
      <c r="TFC11" s="21"/>
      <c r="TFD11" s="21"/>
      <c r="TFH11" s="15"/>
      <c r="TFN11" s="25"/>
      <c r="TFU11" s="21"/>
      <c r="TFV11" s="21"/>
      <c r="TFZ11" s="15"/>
      <c r="TGF11" s="25"/>
      <c r="TGM11" s="21"/>
      <c r="TGN11" s="21"/>
      <c r="TGR11" s="15"/>
      <c r="TGX11" s="25"/>
      <c r="THE11" s="21"/>
      <c r="THF11" s="21"/>
      <c r="THJ11" s="15"/>
      <c r="THP11" s="25"/>
      <c r="THW11" s="21"/>
      <c r="THX11" s="21"/>
      <c r="TIB11" s="15"/>
      <c r="TIH11" s="25"/>
      <c r="TIO11" s="21"/>
      <c r="TIP11" s="21"/>
      <c r="TIT11" s="15"/>
      <c r="TIZ11" s="25"/>
      <c r="TJG11" s="21"/>
      <c r="TJH11" s="21"/>
      <c r="TJL11" s="15"/>
      <c r="TJR11" s="25"/>
      <c r="TJY11" s="21"/>
      <c r="TJZ11" s="21"/>
      <c r="TKD11" s="15"/>
      <c r="TKJ11" s="25"/>
      <c r="TKQ11" s="21"/>
      <c r="TKR11" s="21"/>
      <c r="TKV11" s="15"/>
      <c r="TLB11" s="25"/>
      <c r="TLI11" s="21"/>
      <c r="TLJ11" s="21"/>
      <c r="TLN11" s="15"/>
      <c r="TLT11" s="25"/>
      <c r="TMA11" s="21"/>
      <c r="TMB11" s="21"/>
      <c r="TMF11" s="15"/>
      <c r="TML11" s="25"/>
      <c r="TMS11" s="21"/>
      <c r="TMT11" s="21"/>
      <c r="TMX11" s="15"/>
      <c r="TND11" s="25"/>
      <c r="TNK11" s="21"/>
      <c r="TNL11" s="21"/>
      <c r="TNP11" s="15"/>
      <c r="TNV11" s="25"/>
      <c r="TOC11" s="21"/>
      <c r="TOD11" s="21"/>
      <c r="TOH11" s="15"/>
      <c r="TON11" s="25"/>
      <c r="TOU11" s="21"/>
      <c r="TOV11" s="21"/>
      <c r="TOZ11" s="15"/>
      <c r="TPF11" s="25"/>
      <c r="TPM11" s="21"/>
      <c r="TPN11" s="21"/>
      <c r="TPR11" s="15"/>
      <c r="TPX11" s="25"/>
      <c r="TQE11" s="21"/>
      <c r="TQF11" s="21"/>
      <c r="TQJ11" s="15"/>
      <c r="TQP11" s="25"/>
      <c r="TQW11" s="21"/>
      <c r="TQX11" s="21"/>
      <c r="TRB11" s="15"/>
      <c r="TRH11" s="25"/>
      <c r="TRO11" s="21"/>
      <c r="TRP11" s="21"/>
      <c r="TRT11" s="15"/>
      <c r="TRZ11" s="25"/>
      <c r="TSG11" s="21"/>
      <c r="TSH11" s="21"/>
      <c r="TSL11" s="15"/>
      <c r="TSR11" s="25"/>
      <c r="TSY11" s="21"/>
      <c r="TSZ11" s="21"/>
      <c r="TTD11" s="15"/>
      <c r="TTJ11" s="25"/>
      <c r="TTQ11" s="21"/>
      <c r="TTR11" s="21"/>
      <c r="TTV11" s="15"/>
      <c r="TUB11" s="25"/>
      <c r="TUI11" s="21"/>
      <c r="TUJ11" s="21"/>
      <c r="TUN11" s="15"/>
      <c r="TUT11" s="25"/>
      <c r="TVA11" s="21"/>
      <c r="TVB11" s="21"/>
      <c r="TVF11" s="15"/>
      <c r="TVL11" s="25"/>
      <c r="TVS11" s="21"/>
      <c r="TVT11" s="21"/>
      <c r="TVX11" s="15"/>
      <c r="TWD11" s="25"/>
      <c r="TWK11" s="21"/>
      <c r="TWL11" s="21"/>
      <c r="TWP11" s="15"/>
      <c r="TWV11" s="25"/>
      <c r="TXC11" s="21"/>
      <c r="TXD11" s="21"/>
      <c r="TXH11" s="15"/>
      <c r="TXN11" s="25"/>
      <c r="TXU11" s="21"/>
      <c r="TXV11" s="21"/>
      <c r="TXZ11" s="15"/>
      <c r="TYF11" s="25"/>
      <c r="TYM11" s="21"/>
      <c r="TYN11" s="21"/>
      <c r="TYR11" s="15"/>
      <c r="TYX11" s="25"/>
      <c r="TZE11" s="21"/>
      <c r="TZF11" s="21"/>
      <c r="TZJ11" s="15"/>
      <c r="TZP11" s="25"/>
      <c r="TZW11" s="21"/>
      <c r="TZX11" s="21"/>
      <c r="UAB11" s="15"/>
      <c r="UAH11" s="25"/>
      <c r="UAO11" s="21"/>
      <c r="UAP11" s="21"/>
      <c r="UAT11" s="15"/>
      <c r="UAZ11" s="25"/>
      <c r="UBG11" s="21"/>
      <c r="UBH11" s="21"/>
      <c r="UBL11" s="15"/>
      <c r="UBR11" s="25"/>
      <c r="UBY11" s="21"/>
      <c r="UBZ11" s="21"/>
      <c r="UCD11" s="15"/>
      <c r="UCJ11" s="25"/>
      <c r="UCQ11" s="21"/>
      <c r="UCR11" s="21"/>
      <c r="UCV11" s="15"/>
      <c r="UDB11" s="25"/>
      <c r="UDI11" s="21"/>
      <c r="UDJ11" s="21"/>
      <c r="UDN11" s="15"/>
      <c r="UDT11" s="25"/>
      <c r="UEA11" s="21"/>
      <c r="UEB11" s="21"/>
      <c r="UEF11" s="15"/>
      <c r="UEL11" s="25"/>
      <c r="UES11" s="21"/>
      <c r="UET11" s="21"/>
      <c r="UEX11" s="15"/>
      <c r="UFD11" s="25"/>
      <c r="UFK11" s="21"/>
      <c r="UFL11" s="21"/>
      <c r="UFP11" s="15"/>
      <c r="UFV11" s="25"/>
      <c r="UGC11" s="21"/>
      <c r="UGD11" s="21"/>
      <c r="UGH11" s="15"/>
      <c r="UGN11" s="25"/>
      <c r="UGU11" s="21"/>
      <c r="UGV11" s="21"/>
      <c r="UGZ11" s="15"/>
      <c r="UHF11" s="25"/>
      <c r="UHM11" s="21"/>
      <c r="UHN11" s="21"/>
      <c r="UHR11" s="15"/>
      <c r="UHX11" s="25"/>
      <c r="UIE11" s="21"/>
      <c r="UIF11" s="21"/>
      <c r="UIJ11" s="15"/>
      <c r="UIP11" s="25"/>
      <c r="UIW11" s="21"/>
      <c r="UIX11" s="21"/>
      <c r="UJB11" s="15"/>
      <c r="UJH11" s="25"/>
      <c r="UJO11" s="21"/>
      <c r="UJP11" s="21"/>
      <c r="UJT11" s="15"/>
      <c r="UJZ11" s="25"/>
      <c r="UKG11" s="21"/>
      <c r="UKH11" s="21"/>
      <c r="UKL11" s="15"/>
      <c r="UKR11" s="25"/>
      <c r="UKY11" s="21"/>
      <c r="UKZ11" s="21"/>
      <c r="ULD11" s="15"/>
      <c r="ULJ11" s="25"/>
      <c r="ULQ11" s="21"/>
      <c r="ULR11" s="21"/>
      <c r="ULV11" s="15"/>
      <c r="UMB11" s="25"/>
      <c r="UMI11" s="21"/>
      <c r="UMJ11" s="21"/>
      <c r="UMN11" s="15"/>
      <c r="UMT11" s="25"/>
      <c r="UNA11" s="21"/>
      <c r="UNB11" s="21"/>
      <c r="UNF11" s="15"/>
      <c r="UNL11" s="25"/>
      <c r="UNS11" s="21"/>
      <c r="UNT11" s="21"/>
      <c r="UNX11" s="15"/>
      <c r="UOD11" s="25"/>
      <c r="UOK11" s="21"/>
      <c r="UOL11" s="21"/>
      <c r="UOP11" s="15"/>
      <c r="UOV11" s="25"/>
      <c r="UPC11" s="21"/>
      <c r="UPD11" s="21"/>
      <c r="UPH11" s="15"/>
      <c r="UPN11" s="25"/>
      <c r="UPU11" s="21"/>
      <c r="UPV11" s="21"/>
      <c r="UPZ11" s="15"/>
      <c r="UQF11" s="25"/>
      <c r="UQM11" s="21"/>
      <c r="UQN11" s="21"/>
      <c r="UQR11" s="15"/>
      <c r="UQX11" s="25"/>
      <c r="URE11" s="21"/>
      <c r="URF11" s="21"/>
      <c r="URJ11" s="15"/>
      <c r="URP11" s="25"/>
      <c r="URW11" s="21"/>
      <c r="URX11" s="21"/>
      <c r="USB11" s="15"/>
      <c r="USH11" s="25"/>
      <c r="USO11" s="21"/>
      <c r="USP11" s="21"/>
      <c r="UST11" s="15"/>
      <c r="USZ11" s="25"/>
      <c r="UTG11" s="21"/>
      <c r="UTH11" s="21"/>
      <c r="UTL11" s="15"/>
      <c r="UTR11" s="25"/>
      <c r="UTY11" s="21"/>
      <c r="UTZ11" s="21"/>
      <c r="UUD11" s="15"/>
      <c r="UUJ11" s="25"/>
      <c r="UUQ11" s="21"/>
      <c r="UUR11" s="21"/>
      <c r="UUV11" s="15"/>
      <c r="UVB11" s="25"/>
      <c r="UVI11" s="21"/>
      <c r="UVJ11" s="21"/>
      <c r="UVN11" s="15"/>
      <c r="UVT11" s="25"/>
      <c r="UWA11" s="21"/>
      <c r="UWB11" s="21"/>
      <c r="UWF11" s="15"/>
      <c r="UWL11" s="25"/>
      <c r="UWS11" s="21"/>
      <c r="UWT11" s="21"/>
      <c r="UWX11" s="15"/>
      <c r="UXD11" s="25"/>
      <c r="UXK11" s="21"/>
      <c r="UXL11" s="21"/>
      <c r="UXP11" s="15"/>
      <c r="UXV11" s="25"/>
      <c r="UYC11" s="21"/>
      <c r="UYD11" s="21"/>
      <c r="UYH11" s="15"/>
      <c r="UYN11" s="25"/>
      <c r="UYU11" s="21"/>
      <c r="UYV11" s="21"/>
      <c r="UYZ11" s="15"/>
      <c r="UZF11" s="25"/>
      <c r="UZM11" s="21"/>
      <c r="UZN11" s="21"/>
      <c r="UZR11" s="15"/>
      <c r="UZX11" s="25"/>
      <c r="VAE11" s="21"/>
      <c r="VAF11" s="21"/>
      <c r="VAJ11" s="15"/>
      <c r="VAP11" s="25"/>
      <c r="VAW11" s="21"/>
      <c r="VAX11" s="21"/>
      <c r="VBB11" s="15"/>
      <c r="VBH11" s="25"/>
      <c r="VBO11" s="21"/>
      <c r="VBP11" s="21"/>
      <c r="VBT11" s="15"/>
      <c r="VBZ11" s="25"/>
      <c r="VCG11" s="21"/>
      <c r="VCH11" s="21"/>
      <c r="VCL11" s="15"/>
      <c r="VCR11" s="25"/>
      <c r="VCY11" s="21"/>
      <c r="VCZ11" s="21"/>
      <c r="VDD11" s="15"/>
      <c r="VDJ11" s="25"/>
      <c r="VDQ11" s="21"/>
      <c r="VDR11" s="21"/>
      <c r="VDV11" s="15"/>
      <c r="VEB11" s="25"/>
      <c r="VEI11" s="21"/>
      <c r="VEJ11" s="21"/>
      <c r="VEN11" s="15"/>
      <c r="VET11" s="25"/>
      <c r="VFA11" s="21"/>
      <c r="VFB11" s="21"/>
      <c r="VFF11" s="15"/>
      <c r="VFL11" s="25"/>
      <c r="VFS11" s="21"/>
      <c r="VFT11" s="21"/>
      <c r="VFX11" s="15"/>
      <c r="VGD11" s="25"/>
      <c r="VGK11" s="21"/>
      <c r="VGL11" s="21"/>
      <c r="VGP11" s="15"/>
      <c r="VGV11" s="25"/>
      <c r="VHC11" s="21"/>
      <c r="VHD11" s="21"/>
      <c r="VHH11" s="15"/>
      <c r="VHN11" s="25"/>
      <c r="VHU11" s="21"/>
      <c r="VHV11" s="21"/>
      <c r="VHZ11" s="15"/>
      <c r="VIF11" s="25"/>
      <c r="VIM11" s="21"/>
      <c r="VIN11" s="21"/>
      <c r="VIR11" s="15"/>
      <c r="VIX11" s="25"/>
      <c r="VJE11" s="21"/>
      <c r="VJF11" s="21"/>
      <c r="VJJ11" s="15"/>
      <c r="VJP11" s="25"/>
      <c r="VJW11" s="21"/>
      <c r="VJX11" s="21"/>
      <c r="VKB11" s="15"/>
      <c r="VKH11" s="25"/>
      <c r="VKO11" s="21"/>
      <c r="VKP11" s="21"/>
      <c r="VKT11" s="15"/>
      <c r="VKZ11" s="25"/>
      <c r="VLG11" s="21"/>
      <c r="VLH11" s="21"/>
      <c r="VLL11" s="15"/>
      <c r="VLR11" s="25"/>
      <c r="VLY11" s="21"/>
      <c r="VLZ11" s="21"/>
      <c r="VMD11" s="15"/>
      <c r="VMJ11" s="25"/>
      <c r="VMQ11" s="21"/>
      <c r="VMR11" s="21"/>
      <c r="VMV11" s="15"/>
      <c r="VNB11" s="25"/>
      <c r="VNI11" s="21"/>
      <c r="VNJ11" s="21"/>
      <c r="VNN11" s="15"/>
      <c r="VNT11" s="25"/>
      <c r="VOA11" s="21"/>
      <c r="VOB11" s="21"/>
      <c r="VOF11" s="15"/>
      <c r="VOL11" s="25"/>
      <c r="VOS11" s="21"/>
      <c r="VOT11" s="21"/>
      <c r="VOX11" s="15"/>
      <c r="VPD11" s="25"/>
      <c r="VPK11" s="21"/>
      <c r="VPL11" s="21"/>
      <c r="VPP11" s="15"/>
      <c r="VPV11" s="25"/>
      <c r="VQC11" s="21"/>
      <c r="VQD11" s="21"/>
      <c r="VQH11" s="15"/>
      <c r="VQN11" s="25"/>
      <c r="VQU11" s="21"/>
      <c r="VQV11" s="21"/>
      <c r="VQZ11" s="15"/>
      <c r="VRF11" s="25"/>
      <c r="VRM11" s="21"/>
      <c r="VRN11" s="21"/>
      <c r="VRR11" s="15"/>
      <c r="VRX11" s="25"/>
      <c r="VSE11" s="21"/>
      <c r="VSF11" s="21"/>
      <c r="VSJ11" s="15"/>
      <c r="VSP11" s="25"/>
      <c r="VSW11" s="21"/>
      <c r="VSX11" s="21"/>
      <c r="VTB11" s="15"/>
      <c r="VTH11" s="25"/>
      <c r="VTO11" s="21"/>
      <c r="VTP11" s="21"/>
      <c r="VTT11" s="15"/>
      <c r="VTZ11" s="25"/>
      <c r="VUG11" s="21"/>
      <c r="VUH11" s="21"/>
      <c r="VUL11" s="15"/>
      <c r="VUR11" s="25"/>
      <c r="VUY11" s="21"/>
      <c r="VUZ11" s="21"/>
      <c r="VVD11" s="15"/>
      <c r="VVJ11" s="25"/>
      <c r="VVQ11" s="21"/>
      <c r="VVR11" s="21"/>
      <c r="VVV11" s="15"/>
      <c r="VWB11" s="25"/>
      <c r="VWI11" s="21"/>
      <c r="VWJ11" s="21"/>
      <c r="VWN11" s="15"/>
      <c r="VWT11" s="25"/>
      <c r="VXA11" s="21"/>
      <c r="VXB11" s="21"/>
      <c r="VXF11" s="15"/>
      <c r="VXL11" s="25"/>
      <c r="VXS11" s="21"/>
      <c r="VXT11" s="21"/>
      <c r="VXX11" s="15"/>
      <c r="VYD11" s="25"/>
      <c r="VYK11" s="21"/>
      <c r="VYL11" s="21"/>
      <c r="VYP11" s="15"/>
      <c r="VYV11" s="25"/>
      <c r="VZC11" s="21"/>
      <c r="VZD11" s="21"/>
      <c r="VZH11" s="15"/>
      <c r="VZN11" s="25"/>
      <c r="VZU11" s="21"/>
      <c r="VZV11" s="21"/>
      <c r="VZZ11" s="15"/>
      <c r="WAF11" s="25"/>
      <c r="WAM11" s="21"/>
      <c r="WAN11" s="21"/>
      <c r="WAR11" s="15"/>
      <c r="WAX11" s="25"/>
      <c r="WBE11" s="21"/>
      <c r="WBF11" s="21"/>
      <c r="WBJ11" s="15"/>
      <c r="WBP11" s="25"/>
      <c r="WBW11" s="21"/>
      <c r="WBX11" s="21"/>
      <c r="WCB11" s="15"/>
      <c r="WCH11" s="25"/>
      <c r="WCO11" s="21"/>
      <c r="WCP11" s="21"/>
      <c r="WCT11" s="15"/>
      <c r="WCZ11" s="25"/>
      <c r="WDG11" s="21"/>
      <c r="WDH11" s="21"/>
      <c r="WDL11" s="15"/>
      <c r="WDR11" s="25"/>
      <c r="WDY11" s="21"/>
      <c r="WDZ11" s="21"/>
      <c r="WED11" s="15"/>
      <c r="WEJ11" s="25"/>
      <c r="WEQ11" s="21"/>
      <c r="WER11" s="21"/>
      <c r="WEV11" s="15"/>
      <c r="WFB11" s="25"/>
      <c r="WFI11" s="21"/>
      <c r="WFJ11" s="21"/>
      <c r="WFN11" s="15"/>
      <c r="WFT11" s="25"/>
      <c r="WGA11" s="21"/>
      <c r="WGB11" s="21"/>
      <c r="WGF11" s="15"/>
      <c r="WGL11" s="25"/>
      <c r="WGS11" s="21"/>
      <c r="WGT11" s="21"/>
      <c r="WGX11" s="15"/>
      <c r="WHD11" s="25"/>
      <c r="WHK11" s="21"/>
      <c r="WHL11" s="21"/>
      <c r="WHP11" s="15"/>
      <c r="WHV11" s="25"/>
      <c r="WIC11" s="21"/>
      <c r="WID11" s="21"/>
      <c r="WIH11" s="15"/>
      <c r="WIN11" s="25"/>
      <c r="WIU11" s="21"/>
      <c r="WIV11" s="21"/>
      <c r="WIZ11" s="15"/>
      <c r="WJF11" s="25"/>
      <c r="WJM11" s="21"/>
      <c r="WJN11" s="21"/>
      <c r="WJR11" s="15"/>
      <c r="WJX11" s="25"/>
      <c r="WKE11" s="21"/>
      <c r="WKF11" s="21"/>
      <c r="WKJ11" s="15"/>
      <c r="WKP11" s="25"/>
      <c r="WKW11" s="21"/>
      <c r="WKX11" s="21"/>
      <c r="WLB11" s="15"/>
      <c r="WLH11" s="25"/>
      <c r="WLO11" s="21"/>
      <c r="WLP11" s="21"/>
      <c r="WLT11" s="15"/>
      <c r="WLZ11" s="25"/>
      <c r="WMG11" s="21"/>
      <c r="WMH11" s="21"/>
      <c r="WML11" s="15"/>
      <c r="WMR11" s="25"/>
      <c r="WMY11" s="21"/>
      <c r="WMZ11" s="21"/>
      <c r="WND11" s="15"/>
      <c r="WNJ11" s="25"/>
      <c r="WNQ11" s="21"/>
      <c r="WNR11" s="21"/>
      <c r="WNV11" s="15"/>
      <c r="WOB11" s="25"/>
      <c r="WOI11" s="21"/>
      <c r="WOJ11" s="21"/>
      <c r="WON11" s="15"/>
      <c r="WOT11" s="25"/>
      <c r="WPA11" s="21"/>
      <c r="WPB11" s="21"/>
      <c r="WPF11" s="15"/>
      <c r="WPL11" s="25"/>
      <c r="WPS11" s="21"/>
      <c r="WPT11" s="21"/>
      <c r="WPX11" s="15"/>
      <c r="WQD11" s="25"/>
      <c r="WQK11" s="21"/>
      <c r="WQL11" s="21"/>
      <c r="WQP11" s="15"/>
      <c r="WQV11" s="25"/>
      <c r="WRC11" s="21"/>
      <c r="WRD11" s="21"/>
      <c r="WRH11" s="15"/>
      <c r="WRN11" s="25"/>
      <c r="WRU11" s="21"/>
      <c r="WRV11" s="21"/>
      <c r="WRZ11" s="15"/>
      <c r="WSF11" s="25"/>
      <c r="WSM11" s="21"/>
      <c r="WSN11" s="21"/>
      <c r="WSR11" s="15"/>
      <c r="WSX11" s="25"/>
      <c r="WTE11" s="21"/>
      <c r="WTF11" s="21"/>
      <c r="WTJ11" s="15"/>
      <c r="WTP11" s="25"/>
      <c r="WTW11" s="21"/>
      <c r="WTX11" s="21"/>
      <c r="WUB11" s="15"/>
      <c r="WUH11" s="25"/>
      <c r="WUO11" s="21"/>
      <c r="WUP11" s="21"/>
      <c r="WUT11" s="15"/>
      <c r="WUZ11" s="25"/>
      <c r="WVG11" s="21"/>
      <c r="WVH11" s="21"/>
      <c r="WVL11" s="15"/>
      <c r="WVR11" s="25"/>
      <c r="WVY11" s="21"/>
      <c r="WVZ11" s="21"/>
      <c r="WWD11" s="15"/>
      <c r="WWJ11" s="25"/>
      <c r="WWQ11" s="21"/>
      <c r="WWR11" s="21"/>
      <c r="WWV11" s="15"/>
      <c r="WXB11" s="25"/>
      <c r="WXI11" s="21"/>
      <c r="WXJ11" s="21"/>
      <c r="WXN11" s="15"/>
      <c r="WXT11" s="25"/>
      <c r="WYA11" s="21"/>
      <c r="WYB11" s="21"/>
      <c r="WYF11" s="15"/>
      <c r="WYL11" s="25"/>
      <c r="WYS11" s="21"/>
      <c r="WYT11" s="21"/>
      <c r="WYX11" s="15"/>
      <c r="WZD11" s="25"/>
      <c r="WZK11" s="21"/>
      <c r="WZL11" s="21"/>
      <c r="WZP11" s="15"/>
      <c r="WZV11" s="25"/>
      <c r="XAC11" s="21"/>
      <c r="XAD11" s="21"/>
      <c r="XAH11" s="15"/>
      <c r="XAN11" s="25"/>
      <c r="XAU11" s="21"/>
      <c r="XAV11" s="21"/>
      <c r="XAZ11" s="15"/>
      <c r="XBF11" s="25"/>
      <c r="XBM11" s="21"/>
      <c r="XBN11" s="21"/>
      <c r="XBR11" s="15"/>
      <c r="XBX11" s="25"/>
      <c r="XCE11" s="21"/>
      <c r="XCF11" s="21"/>
      <c r="XCJ11" s="15"/>
      <c r="XCP11" s="25"/>
      <c r="XCW11" s="21"/>
      <c r="XCX11" s="21"/>
      <c r="XDB11" s="15"/>
      <c r="XDH11" s="25"/>
      <c r="XDO11" s="21"/>
      <c r="XDP11" s="21"/>
      <c r="XDT11" s="15"/>
      <c r="XDZ11" s="25"/>
      <c r="XEG11" s="21"/>
      <c r="XEH11" s="21"/>
      <c r="XEL11" s="15"/>
      <c r="XER11" s="25"/>
      <c r="XEY11" s="21"/>
      <c r="XEZ11" s="21"/>
      <c r="XFD11" s="15"/>
    </row>
    <row r="12" spans="1:1018 1025:2044 2051:3070 3077:4096 4103:5116 5122:6142 6148:7168 7174:8190 8194:9216 9220:10234 10241:11260 11267:12286 12293:13312 13319:14332 14338:15358 15364:16384" s="24" customFormat="1">
      <c r="A12" s="21" t="s">
        <v>57</v>
      </c>
      <c r="B12" s="12">
        <v>2004</v>
      </c>
      <c r="C12" s="19" t="s">
        <v>53</v>
      </c>
      <c r="D12" s="823" t="s">
        <v>39</v>
      </c>
      <c r="E12" s="10" t="s">
        <v>58</v>
      </c>
      <c r="F12" s="22" t="s">
        <v>55</v>
      </c>
      <c r="G12" s="31">
        <v>1099837402.0408163</v>
      </c>
      <c r="H12" s="31">
        <v>645018367.34693873</v>
      </c>
      <c r="I12" s="12">
        <v>21</v>
      </c>
      <c r="J12" s="23" t="s">
        <v>59</v>
      </c>
      <c r="K12" s="22"/>
      <c r="L12" s="22"/>
      <c r="M12" s="22" t="s">
        <v>26</v>
      </c>
      <c r="N12" s="12"/>
      <c r="O12" s="22"/>
      <c r="P12" s="12"/>
      <c r="Q12" s="22" t="s">
        <v>27</v>
      </c>
      <c r="R12" s="22" t="s">
        <v>28</v>
      </c>
      <c r="V12" s="15"/>
      <c r="AB12" s="25"/>
      <c r="AI12" s="21"/>
      <c r="AJ12" s="21"/>
      <c r="AN12" s="15"/>
      <c r="AT12" s="25"/>
      <c r="BA12" s="21"/>
      <c r="BB12" s="21"/>
      <c r="BF12" s="15"/>
      <c r="BL12" s="25"/>
      <c r="BS12" s="21"/>
      <c r="BT12" s="21"/>
      <c r="BX12" s="15"/>
      <c r="CD12" s="25"/>
      <c r="CK12" s="21"/>
      <c r="CL12" s="21"/>
      <c r="CP12" s="15"/>
      <c r="CV12" s="25"/>
      <c r="DC12" s="21"/>
      <c r="DD12" s="21"/>
      <c r="DH12" s="15"/>
      <c r="DN12" s="25"/>
      <c r="DU12" s="21"/>
      <c r="DV12" s="21"/>
      <c r="DZ12" s="15"/>
      <c r="EF12" s="25"/>
      <c r="EM12" s="21"/>
      <c r="EN12" s="21"/>
      <c r="ER12" s="15"/>
      <c r="EX12" s="25"/>
      <c r="FE12" s="21"/>
      <c r="FF12" s="21"/>
      <c r="FJ12" s="15"/>
      <c r="FP12" s="25"/>
      <c r="FW12" s="21"/>
      <c r="FX12" s="21"/>
      <c r="GB12" s="15"/>
      <c r="GH12" s="25"/>
      <c r="GO12" s="21"/>
      <c r="GP12" s="21"/>
      <c r="GT12" s="15"/>
      <c r="GZ12" s="25"/>
      <c r="HG12" s="21"/>
      <c r="HH12" s="21"/>
      <c r="HL12" s="15"/>
      <c r="HR12" s="25"/>
      <c r="HY12" s="21"/>
      <c r="HZ12" s="21"/>
      <c r="ID12" s="15"/>
      <c r="IJ12" s="25"/>
      <c r="IQ12" s="21"/>
      <c r="IR12" s="21"/>
      <c r="IV12" s="15"/>
      <c r="JB12" s="25"/>
      <c r="JI12" s="21"/>
      <c r="JJ12" s="21"/>
      <c r="JN12" s="15"/>
      <c r="JT12" s="25"/>
      <c r="KA12" s="21"/>
      <c r="KB12" s="21"/>
      <c r="KF12" s="15"/>
      <c r="KL12" s="25"/>
      <c r="KS12" s="21"/>
      <c r="KT12" s="21"/>
      <c r="KX12" s="15"/>
      <c r="LD12" s="25"/>
      <c r="LK12" s="21"/>
      <c r="LL12" s="21"/>
      <c r="LP12" s="15"/>
      <c r="LV12" s="25"/>
      <c r="MC12" s="21"/>
      <c r="MD12" s="21"/>
      <c r="MH12" s="15"/>
      <c r="MN12" s="25"/>
      <c r="MU12" s="21"/>
      <c r="MV12" s="21"/>
      <c r="MZ12" s="15"/>
      <c r="NF12" s="25"/>
      <c r="NM12" s="21"/>
      <c r="NN12" s="21"/>
      <c r="NR12" s="15"/>
      <c r="NX12" s="25"/>
      <c r="OE12" s="21"/>
      <c r="OF12" s="21"/>
      <c r="OJ12" s="15"/>
      <c r="OP12" s="25"/>
      <c r="OW12" s="21"/>
      <c r="OX12" s="21"/>
      <c r="PB12" s="15"/>
      <c r="PH12" s="25"/>
      <c r="PO12" s="21"/>
      <c r="PP12" s="21"/>
      <c r="PT12" s="15"/>
      <c r="PZ12" s="25"/>
      <c r="QG12" s="21"/>
      <c r="QH12" s="21"/>
      <c r="QL12" s="15"/>
      <c r="QR12" s="25"/>
      <c r="QY12" s="21"/>
      <c r="QZ12" s="21"/>
      <c r="RD12" s="15"/>
      <c r="RJ12" s="25"/>
      <c r="RQ12" s="21"/>
      <c r="RR12" s="21"/>
      <c r="RV12" s="15"/>
      <c r="SB12" s="25"/>
      <c r="SI12" s="21"/>
      <c r="SJ12" s="21"/>
      <c r="SN12" s="15"/>
      <c r="ST12" s="25"/>
      <c r="TA12" s="21"/>
      <c r="TB12" s="21"/>
      <c r="TF12" s="15"/>
      <c r="TL12" s="25"/>
      <c r="TS12" s="21"/>
      <c r="TT12" s="21"/>
      <c r="TX12" s="15"/>
      <c r="UD12" s="25"/>
      <c r="UK12" s="21"/>
      <c r="UL12" s="21"/>
      <c r="UP12" s="15"/>
      <c r="UV12" s="25"/>
      <c r="VC12" s="21"/>
      <c r="VD12" s="21"/>
      <c r="VH12" s="15"/>
      <c r="VN12" s="25"/>
      <c r="VU12" s="21"/>
      <c r="VV12" s="21"/>
      <c r="VZ12" s="15"/>
      <c r="WF12" s="25"/>
      <c r="WM12" s="21"/>
      <c r="WN12" s="21"/>
      <c r="WR12" s="15"/>
      <c r="WX12" s="25"/>
      <c r="XE12" s="21"/>
      <c r="XF12" s="21"/>
      <c r="XJ12" s="15"/>
      <c r="XP12" s="25"/>
      <c r="XW12" s="21"/>
      <c r="XX12" s="21"/>
      <c r="YB12" s="15"/>
      <c r="YH12" s="25"/>
      <c r="YO12" s="21"/>
      <c r="YP12" s="21"/>
      <c r="YT12" s="15"/>
      <c r="YZ12" s="25"/>
      <c r="ZG12" s="21"/>
      <c r="ZH12" s="21"/>
      <c r="ZL12" s="15"/>
      <c r="ZR12" s="25"/>
      <c r="ZY12" s="21"/>
      <c r="ZZ12" s="21"/>
      <c r="AAD12" s="15"/>
      <c r="AAJ12" s="25"/>
      <c r="AAQ12" s="21"/>
      <c r="AAR12" s="21"/>
      <c r="AAV12" s="15"/>
      <c r="ABB12" s="25"/>
      <c r="ABI12" s="21"/>
      <c r="ABJ12" s="21"/>
      <c r="ABN12" s="15"/>
      <c r="ABT12" s="25"/>
      <c r="ACA12" s="21"/>
      <c r="ACB12" s="21"/>
      <c r="ACF12" s="15"/>
      <c r="ACL12" s="25"/>
      <c r="ACS12" s="21"/>
      <c r="ACT12" s="21"/>
      <c r="ACX12" s="15"/>
      <c r="ADD12" s="25"/>
      <c r="ADK12" s="21"/>
      <c r="ADL12" s="21"/>
      <c r="ADP12" s="15"/>
      <c r="ADV12" s="25"/>
      <c r="AEC12" s="21"/>
      <c r="AED12" s="21"/>
      <c r="AEH12" s="15"/>
      <c r="AEN12" s="25"/>
      <c r="AEU12" s="21"/>
      <c r="AEV12" s="21"/>
      <c r="AEZ12" s="15"/>
      <c r="AFF12" s="25"/>
      <c r="AFM12" s="21"/>
      <c r="AFN12" s="21"/>
      <c r="AFR12" s="15"/>
      <c r="AFX12" s="25"/>
      <c r="AGE12" s="21"/>
      <c r="AGF12" s="21"/>
      <c r="AGJ12" s="15"/>
      <c r="AGP12" s="25"/>
      <c r="AGW12" s="21"/>
      <c r="AGX12" s="21"/>
      <c r="AHB12" s="15"/>
      <c r="AHH12" s="25"/>
      <c r="AHO12" s="21"/>
      <c r="AHP12" s="21"/>
      <c r="AHT12" s="15"/>
      <c r="AHZ12" s="25"/>
      <c r="AIG12" s="21"/>
      <c r="AIH12" s="21"/>
      <c r="AIL12" s="15"/>
      <c r="AIR12" s="25"/>
      <c r="AIY12" s="21"/>
      <c r="AIZ12" s="21"/>
      <c r="AJD12" s="15"/>
      <c r="AJJ12" s="25"/>
      <c r="AJQ12" s="21"/>
      <c r="AJR12" s="21"/>
      <c r="AJV12" s="15"/>
      <c r="AKB12" s="25"/>
      <c r="AKI12" s="21"/>
      <c r="AKJ12" s="21"/>
      <c r="AKN12" s="15"/>
      <c r="AKT12" s="25"/>
      <c r="ALA12" s="21"/>
      <c r="ALB12" s="21"/>
      <c r="ALF12" s="15"/>
      <c r="ALL12" s="25"/>
      <c r="ALS12" s="21"/>
      <c r="ALT12" s="21"/>
      <c r="ALX12" s="15"/>
      <c r="AMD12" s="25"/>
      <c r="AMK12" s="21"/>
      <c r="AML12" s="21"/>
      <c r="AMP12" s="15"/>
      <c r="AMV12" s="25"/>
      <c r="ANC12" s="21"/>
      <c r="AND12" s="21"/>
      <c r="ANH12" s="15"/>
      <c r="ANN12" s="25"/>
      <c r="ANU12" s="21"/>
      <c r="ANV12" s="21"/>
      <c r="ANZ12" s="15"/>
      <c r="AOF12" s="25"/>
      <c r="AOM12" s="21"/>
      <c r="AON12" s="21"/>
      <c r="AOR12" s="15"/>
      <c r="AOX12" s="25"/>
      <c r="APE12" s="21"/>
      <c r="APF12" s="21"/>
      <c r="APJ12" s="15"/>
      <c r="APP12" s="25"/>
      <c r="APW12" s="21"/>
      <c r="APX12" s="21"/>
      <c r="AQB12" s="15"/>
      <c r="AQH12" s="25"/>
      <c r="AQO12" s="21"/>
      <c r="AQP12" s="21"/>
      <c r="AQT12" s="15"/>
      <c r="AQZ12" s="25"/>
      <c r="ARG12" s="21"/>
      <c r="ARH12" s="21"/>
      <c r="ARL12" s="15"/>
      <c r="ARR12" s="25"/>
      <c r="ARY12" s="21"/>
      <c r="ARZ12" s="21"/>
      <c r="ASD12" s="15"/>
      <c r="ASJ12" s="25"/>
      <c r="ASQ12" s="21"/>
      <c r="ASR12" s="21"/>
      <c r="ASV12" s="15"/>
      <c r="ATB12" s="25"/>
      <c r="ATI12" s="21"/>
      <c r="ATJ12" s="21"/>
      <c r="ATN12" s="15"/>
      <c r="ATT12" s="25"/>
      <c r="AUA12" s="21"/>
      <c r="AUB12" s="21"/>
      <c r="AUF12" s="15"/>
      <c r="AUL12" s="25"/>
      <c r="AUS12" s="21"/>
      <c r="AUT12" s="21"/>
      <c r="AUX12" s="15"/>
      <c r="AVD12" s="25"/>
      <c r="AVK12" s="21"/>
      <c r="AVL12" s="21"/>
      <c r="AVP12" s="15"/>
      <c r="AVV12" s="25"/>
      <c r="AWC12" s="21"/>
      <c r="AWD12" s="21"/>
      <c r="AWH12" s="15"/>
      <c r="AWN12" s="25"/>
      <c r="AWU12" s="21"/>
      <c r="AWV12" s="21"/>
      <c r="AWZ12" s="15"/>
      <c r="AXF12" s="25"/>
      <c r="AXM12" s="21"/>
      <c r="AXN12" s="21"/>
      <c r="AXR12" s="15"/>
      <c r="AXX12" s="25"/>
      <c r="AYE12" s="21"/>
      <c r="AYF12" s="21"/>
      <c r="AYJ12" s="15"/>
      <c r="AYP12" s="25"/>
      <c r="AYW12" s="21"/>
      <c r="AYX12" s="21"/>
      <c r="AZB12" s="15"/>
      <c r="AZH12" s="25"/>
      <c r="AZO12" s="21"/>
      <c r="AZP12" s="21"/>
      <c r="AZT12" s="15"/>
      <c r="AZZ12" s="25"/>
      <c r="BAG12" s="21"/>
      <c r="BAH12" s="21"/>
      <c r="BAL12" s="15"/>
      <c r="BAR12" s="25"/>
      <c r="BAY12" s="21"/>
      <c r="BAZ12" s="21"/>
      <c r="BBD12" s="15"/>
      <c r="BBJ12" s="25"/>
      <c r="BBQ12" s="21"/>
      <c r="BBR12" s="21"/>
      <c r="BBV12" s="15"/>
      <c r="BCB12" s="25"/>
      <c r="BCI12" s="21"/>
      <c r="BCJ12" s="21"/>
      <c r="BCN12" s="15"/>
      <c r="BCT12" s="25"/>
      <c r="BDA12" s="21"/>
      <c r="BDB12" s="21"/>
      <c r="BDF12" s="15"/>
      <c r="BDL12" s="25"/>
      <c r="BDS12" s="21"/>
      <c r="BDT12" s="21"/>
      <c r="BDX12" s="15"/>
      <c r="BED12" s="25"/>
      <c r="BEK12" s="21"/>
      <c r="BEL12" s="21"/>
      <c r="BEP12" s="15"/>
      <c r="BEV12" s="25"/>
      <c r="BFC12" s="21"/>
      <c r="BFD12" s="21"/>
      <c r="BFH12" s="15"/>
      <c r="BFN12" s="25"/>
      <c r="BFU12" s="21"/>
      <c r="BFV12" s="21"/>
      <c r="BFZ12" s="15"/>
      <c r="BGF12" s="25"/>
      <c r="BGM12" s="21"/>
      <c r="BGN12" s="21"/>
      <c r="BGR12" s="15"/>
      <c r="BGX12" s="25"/>
      <c r="BHE12" s="21"/>
      <c r="BHF12" s="21"/>
      <c r="BHJ12" s="15"/>
      <c r="BHP12" s="25"/>
      <c r="BHW12" s="21"/>
      <c r="BHX12" s="21"/>
      <c r="BIB12" s="15"/>
      <c r="BIH12" s="25"/>
      <c r="BIO12" s="21"/>
      <c r="BIP12" s="21"/>
      <c r="BIT12" s="15"/>
      <c r="BIZ12" s="25"/>
      <c r="BJG12" s="21"/>
      <c r="BJH12" s="21"/>
      <c r="BJL12" s="15"/>
      <c r="BJR12" s="25"/>
      <c r="BJY12" s="21"/>
      <c r="BJZ12" s="21"/>
      <c r="BKD12" s="15"/>
      <c r="BKJ12" s="25"/>
      <c r="BKQ12" s="21"/>
      <c r="BKR12" s="21"/>
      <c r="BKV12" s="15"/>
      <c r="BLB12" s="25"/>
      <c r="BLI12" s="21"/>
      <c r="BLJ12" s="21"/>
      <c r="BLN12" s="15"/>
      <c r="BLT12" s="25"/>
      <c r="BMA12" s="21"/>
      <c r="BMB12" s="21"/>
      <c r="BMF12" s="15"/>
      <c r="BML12" s="25"/>
      <c r="BMS12" s="21"/>
      <c r="BMT12" s="21"/>
      <c r="BMX12" s="15"/>
      <c r="BND12" s="25"/>
      <c r="BNK12" s="21"/>
      <c r="BNL12" s="21"/>
      <c r="BNP12" s="15"/>
      <c r="BNV12" s="25"/>
      <c r="BOC12" s="21"/>
      <c r="BOD12" s="21"/>
      <c r="BOH12" s="15"/>
      <c r="BON12" s="25"/>
      <c r="BOU12" s="21"/>
      <c r="BOV12" s="21"/>
      <c r="BOZ12" s="15"/>
      <c r="BPF12" s="25"/>
      <c r="BPM12" s="21"/>
      <c r="BPN12" s="21"/>
      <c r="BPR12" s="15"/>
      <c r="BPX12" s="25"/>
      <c r="BQE12" s="21"/>
      <c r="BQF12" s="21"/>
      <c r="BQJ12" s="15"/>
      <c r="BQP12" s="25"/>
      <c r="BQW12" s="21"/>
      <c r="BQX12" s="21"/>
      <c r="BRB12" s="15"/>
      <c r="BRH12" s="25"/>
      <c r="BRO12" s="21"/>
      <c r="BRP12" s="21"/>
      <c r="BRT12" s="15"/>
      <c r="BRZ12" s="25"/>
      <c r="BSG12" s="21"/>
      <c r="BSH12" s="21"/>
      <c r="BSL12" s="15"/>
      <c r="BSR12" s="25"/>
      <c r="BSY12" s="21"/>
      <c r="BSZ12" s="21"/>
      <c r="BTD12" s="15"/>
      <c r="BTJ12" s="25"/>
      <c r="BTQ12" s="21"/>
      <c r="BTR12" s="21"/>
      <c r="BTV12" s="15"/>
      <c r="BUB12" s="25"/>
      <c r="BUI12" s="21"/>
      <c r="BUJ12" s="21"/>
      <c r="BUN12" s="15"/>
      <c r="BUT12" s="25"/>
      <c r="BVA12" s="21"/>
      <c r="BVB12" s="21"/>
      <c r="BVF12" s="15"/>
      <c r="BVL12" s="25"/>
      <c r="BVS12" s="21"/>
      <c r="BVT12" s="21"/>
      <c r="BVX12" s="15"/>
      <c r="BWD12" s="25"/>
      <c r="BWK12" s="21"/>
      <c r="BWL12" s="21"/>
      <c r="BWP12" s="15"/>
      <c r="BWV12" s="25"/>
      <c r="BXC12" s="21"/>
      <c r="BXD12" s="21"/>
      <c r="BXH12" s="15"/>
      <c r="BXN12" s="25"/>
      <c r="BXU12" s="21"/>
      <c r="BXV12" s="21"/>
      <c r="BXZ12" s="15"/>
      <c r="BYF12" s="25"/>
      <c r="BYM12" s="21"/>
      <c r="BYN12" s="21"/>
      <c r="BYR12" s="15"/>
      <c r="BYX12" s="25"/>
      <c r="BZE12" s="21"/>
      <c r="BZF12" s="21"/>
      <c r="BZJ12" s="15"/>
      <c r="BZP12" s="25"/>
      <c r="BZW12" s="21"/>
      <c r="BZX12" s="21"/>
      <c r="CAB12" s="15"/>
      <c r="CAH12" s="25"/>
      <c r="CAO12" s="21"/>
      <c r="CAP12" s="21"/>
      <c r="CAT12" s="15"/>
      <c r="CAZ12" s="25"/>
      <c r="CBG12" s="21"/>
      <c r="CBH12" s="21"/>
      <c r="CBL12" s="15"/>
      <c r="CBR12" s="25"/>
      <c r="CBY12" s="21"/>
      <c r="CBZ12" s="21"/>
      <c r="CCD12" s="15"/>
      <c r="CCJ12" s="25"/>
      <c r="CCQ12" s="21"/>
      <c r="CCR12" s="21"/>
      <c r="CCV12" s="15"/>
      <c r="CDB12" s="25"/>
      <c r="CDI12" s="21"/>
      <c r="CDJ12" s="21"/>
      <c r="CDN12" s="15"/>
      <c r="CDT12" s="25"/>
      <c r="CEA12" s="21"/>
      <c r="CEB12" s="21"/>
      <c r="CEF12" s="15"/>
      <c r="CEL12" s="25"/>
      <c r="CES12" s="21"/>
      <c r="CET12" s="21"/>
      <c r="CEX12" s="15"/>
      <c r="CFD12" s="25"/>
      <c r="CFK12" s="21"/>
      <c r="CFL12" s="21"/>
      <c r="CFP12" s="15"/>
      <c r="CFV12" s="25"/>
      <c r="CGC12" s="21"/>
      <c r="CGD12" s="21"/>
      <c r="CGH12" s="15"/>
      <c r="CGN12" s="25"/>
      <c r="CGU12" s="21"/>
      <c r="CGV12" s="21"/>
      <c r="CGZ12" s="15"/>
      <c r="CHF12" s="25"/>
      <c r="CHM12" s="21"/>
      <c r="CHN12" s="21"/>
      <c r="CHR12" s="15"/>
      <c r="CHX12" s="25"/>
      <c r="CIE12" s="21"/>
      <c r="CIF12" s="21"/>
      <c r="CIJ12" s="15"/>
      <c r="CIP12" s="25"/>
      <c r="CIW12" s="21"/>
      <c r="CIX12" s="21"/>
      <c r="CJB12" s="15"/>
      <c r="CJH12" s="25"/>
      <c r="CJO12" s="21"/>
      <c r="CJP12" s="21"/>
      <c r="CJT12" s="15"/>
      <c r="CJZ12" s="25"/>
      <c r="CKG12" s="21"/>
      <c r="CKH12" s="21"/>
      <c r="CKL12" s="15"/>
      <c r="CKR12" s="25"/>
      <c r="CKY12" s="21"/>
      <c r="CKZ12" s="21"/>
      <c r="CLD12" s="15"/>
      <c r="CLJ12" s="25"/>
      <c r="CLQ12" s="21"/>
      <c r="CLR12" s="21"/>
      <c r="CLV12" s="15"/>
      <c r="CMB12" s="25"/>
      <c r="CMI12" s="21"/>
      <c r="CMJ12" s="21"/>
      <c r="CMN12" s="15"/>
      <c r="CMT12" s="25"/>
      <c r="CNA12" s="21"/>
      <c r="CNB12" s="21"/>
      <c r="CNF12" s="15"/>
      <c r="CNL12" s="25"/>
      <c r="CNS12" s="21"/>
      <c r="CNT12" s="21"/>
      <c r="CNX12" s="15"/>
      <c r="COD12" s="25"/>
      <c r="COK12" s="21"/>
      <c r="COL12" s="21"/>
      <c r="COP12" s="15"/>
      <c r="COV12" s="25"/>
      <c r="CPC12" s="21"/>
      <c r="CPD12" s="21"/>
      <c r="CPH12" s="15"/>
      <c r="CPN12" s="25"/>
      <c r="CPU12" s="21"/>
      <c r="CPV12" s="21"/>
      <c r="CPZ12" s="15"/>
      <c r="CQF12" s="25"/>
      <c r="CQM12" s="21"/>
      <c r="CQN12" s="21"/>
      <c r="CQR12" s="15"/>
      <c r="CQX12" s="25"/>
      <c r="CRE12" s="21"/>
      <c r="CRF12" s="21"/>
      <c r="CRJ12" s="15"/>
      <c r="CRP12" s="25"/>
      <c r="CRW12" s="21"/>
      <c r="CRX12" s="21"/>
      <c r="CSB12" s="15"/>
      <c r="CSH12" s="25"/>
      <c r="CSO12" s="21"/>
      <c r="CSP12" s="21"/>
      <c r="CST12" s="15"/>
      <c r="CSZ12" s="25"/>
      <c r="CTG12" s="21"/>
      <c r="CTH12" s="21"/>
      <c r="CTL12" s="15"/>
      <c r="CTR12" s="25"/>
      <c r="CTY12" s="21"/>
      <c r="CTZ12" s="21"/>
      <c r="CUD12" s="15"/>
      <c r="CUJ12" s="25"/>
      <c r="CUQ12" s="21"/>
      <c r="CUR12" s="21"/>
      <c r="CUV12" s="15"/>
      <c r="CVB12" s="25"/>
      <c r="CVI12" s="21"/>
      <c r="CVJ12" s="21"/>
      <c r="CVN12" s="15"/>
      <c r="CVT12" s="25"/>
      <c r="CWA12" s="21"/>
      <c r="CWB12" s="21"/>
      <c r="CWF12" s="15"/>
      <c r="CWL12" s="25"/>
      <c r="CWS12" s="21"/>
      <c r="CWT12" s="21"/>
      <c r="CWX12" s="15"/>
      <c r="CXD12" s="25"/>
      <c r="CXK12" s="21"/>
      <c r="CXL12" s="21"/>
      <c r="CXP12" s="15"/>
      <c r="CXV12" s="25"/>
      <c r="CYC12" s="21"/>
      <c r="CYD12" s="21"/>
      <c r="CYH12" s="15"/>
      <c r="CYN12" s="25"/>
      <c r="CYU12" s="21"/>
      <c r="CYV12" s="21"/>
      <c r="CYZ12" s="15"/>
      <c r="CZF12" s="25"/>
      <c r="CZM12" s="21"/>
      <c r="CZN12" s="21"/>
      <c r="CZR12" s="15"/>
      <c r="CZX12" s="25"/>
      <c r="DAE12" s="21"/>
      <c r="DAF12" s="21"/>
      <c r="DAJ12" s="15"/>
      <c r="DAP12" s="25"/>
      <c r="DAW12" s="21"/>
      <c r="DAX12" s="21"/>
      <c r="DBB12" s="15"/>
      <c r="DBH12" s="25"/>
      <c r="DBO12" s="21"/>
      <c r="DBP12" s="21"/>
      <c r="DBT12" s="15"/>
      <c r="DBZ12" s="25"/>
      <c r="DCG12" s="21"/>
      <c r="DCH12" s="21"/>
      <c r="DCL12" s="15"/>
      <c r="DCR12" s="25"/>
      <c r="DCY12" s="21"/>
      <c r="DCZ12" s="21"/>
      <c r="DDD12" s="15"/>
      <c r="DDJ12" s="25"/>
      <c r="DDQ12" s="21"/>
      <c r="DDR12" s="21"/>
      <c r="DDV12" s="15"/>
      <c r="DEB12" s="25"/>
      <c r="DEI12" s="21"/>
      <c r="DEJ12" s="21"/>
      <c r="DEN12" s="15"/>
      <c r="DET12" s="25"/>
      <c r="DFA12" s="21"/>
      <c r="DFB12" s="21"/>
      <c r="DFF12" s="15"/>
      <c r="DFL12" s="25"/>
      <c r="DFS12" s="21"/>
      <c r="DFT12" s="21"/>
      <c r="DFX12" s="15"/>
      <c r="DGD12" s="25"/>
      <c r="DGK12" s="21"/>
      <c r="DGL12" s="21"/>
      <c r="DGP12" s="15"/>
      <c r="DGV12" s="25"/>
      <c r="DHC12" s="21"/>
      <c r="DHD12" s="21"/>
      <c r="DHH12" s="15"/>
      <c r="DHN12" s="25"/>
      <c r="DHU12" s="21"/>
      <c r="DHV12" s="21"/>
      <c r="DHZ12" s="15"/>
      <c r="DIF12" s="25"/>
      <c r="DIM12" s="21"/>
      <c r="DIN12" s="21"/>
      <c r="DIR12" s="15"/>
      <c r="DIX12" s="25"/>
      <c r="DJE12" s="21"/>
      <c r="DJF12" s="21"/>
      <c r="DJJ12" s="15"/>
      <c r="DJP12" s="25"/>
      <c r="DJW12" s="21"/>
      <c r="DJX12" s="21"/>
      <c r="DKB12" s="15"/>
      <c r="DKH12" s="25"/>
      <c r="DKO12" s="21"/>
      <c r="DKP12" s="21"/>
      <c r="DKT12" s="15"/>
      <c r="DKZ12" s="25"/>
      <c r="DLG12" s="21"/>
      <c r="DLH12" s="21"/>
      <c r="DLL12" s="15"/>
      <c r="DLR12" s="25"/>
      <c r="DLY12" s="21"/>
      <c r="DLZ12" s="21"/>
      <c r="DMD12" s="15"/>
      <c r="DMJ12" s="25"/>
      <c r="DMQ12" s="21"/>
      <c r="DMR12" s="21"/>
      <c r="DMV12" s="15"/>
      <c r="DNB12" s="25"/>
      <c r="DNI12" s="21"/>
      <c r="DNJ12" s="21"/>
      <c r="DNN12" s="15"/>
      <c r="DNT12" s="25"/>
      <c r="DOA12" s="21"/>
      <c r="DOB12" s="21"/>
      <c r="DOF12" s="15"/>
      <c r="DOL12" s="25"/>
      <c r="DOS12" s="21"/>
      <c r="DOT12" s="21"/>
      <c r="DOX12" s="15"/>
      <c r="DPD12" s="25"/>
      <c r="DPK12" s="21"/>
      <c r="DPL12" s="21"/>
      <c r="DPP12" s="15"/>
      <c r="DPV12" s="25"/>
      <c r="DQC12" s="21"/>
      <c r="DQD12" s="21"/>
      <c r="DQH12" s="15"/>
      <c r="DQN12" s="25"/>
      <c r="DQU12" s="21"/>
      <c r="DQV12" s="21"/>
      <c r="DQZ12" s="15"/>
      <c r="DRF12" s="25"/>
      <c r="DRM12" s="21"/>
      <c r="DRN12" s="21"/>
      <c r="DRR12" s="15"/>
      <c r="DRX12" s="25"/>
      <c r="DSE12" s="21"/>
      <c r="DSF12" s="21"/>
      <c r="DSJ12" s="15"/>
      <c r="DSP12" s="25"/>
      <c r="DSW12" s="21"/>
      <c r="DSX12" s="21"/>
      <c r="DTB12" s="15"/>
      <c r="DTH12" s="25"/>
      <c r="DTO12" s="21"/>
      <c r="DTP12" s="21"/>
      <c r="DTT12" s="15"/>
      <c r="DTZ12" s="25"/>
      <c r="DUG12" s="21"/>
      <c r="DUH12" s="21"/>
      <c r="DUL12" s="15"/>
      <c r="DUR12" s="25"/>
      <c r="DUY12" s="21"/>
      <c r="DUZ12" s="21"/>
      <c r="DVD12" s="15"/>
      <c r="DVJ12" s="25"/>
      <c r="DVQ12" s="21"/>
      <c r="DVR12" s="21"/>
      <c r="DVV12" s="15"/>
      <c r="DWB12" s="25"/>
      <c r="DWI12" s="21"/>
      <c r="DWJ12" s="21"/>
      <c r="DWN12" s="15"/>
      <c r="DWT12" s="25"/>
      <c r="DXA12" s="21"/>
      <c r="DXB12" s="21"/>
      <c r="DXF12" s="15"/>
      <c r="DXL12" s="25"/>
      <c r="DXS12" s="21"/>
      <c r="DXT12" s="21"/>
      <c r="DXX12" s="15"/>
      <c r="DYD12" s="25"/>
      <c r="DYK12" s="21"/>
      <c r="DYL12" s="21"/>
      <c r="DYP12" s="15"/>
      <c r="DYV12" s="25"/>
      <c r="DZC12" s="21"/>
      <c r="DZD12" s="21"/>
      <c r="DZH12" s="15"/>
      <c r="DZN12" s="25"/>
      <c r="DZU12" s="21"/>
      <c r="DZV12" s="21"/>
      <c r="DZZ12" s="15"/>
      <c r="EAF12" s="25"/>
      <c r="EAM12" s="21"/>
      <c r="EAN12" s="21"/>
      <c r="EAR12" s="15"/>
      <c r="EAX12" s="25"/>
      <c r="EBE12" s="21"/>
      <c r="EBF12" s="21"/>
      <c r="EBJ12" s="15"/>
      <c r="EBP12" s="25"/>
      <c r="EBW12" s="21"/>
      <c r="EBX12" s="21"/>
      <c r="ECB12" s="15"/>
      <c r="ECH12" s="25"/>
      <c r="ECO12" s="21"/>
      <c r="ECP12" s="21"/>
      <c r="ECT12" s="15"/>
      <c r="ECZ12" s="25"/>
      <c r="EDG12" s="21"/>
      <c r="EDH12" s="21"/>
      <c r="EDL12" s="15"/>
      <c r="EDR12" s="25"/>
      <c r="EDY12" s="21"/>
      <c r="EDZ12" s="21"/>
      <c r="EED12" s="15"/>
      <c r="EEJ12" s="25"/>
      <c r="EEQ12" s="21"/>
      <c r="EER12" s="21"/>
      <c r="EEV12" s="15"/>
      <c r="EFB12" s="25"/>
      <c r="EFI12" s="21"/>
      <c r="EFJ12" s="21"/>
      <c r="EFN12" s="15"/>
      <c r="EFT12" s="25"/>
      <c r="EGA12" s="21"/>
      <c r="EGB12" s="21"/>
      <c r="EGF12" s="15"/>
      <c r="EGL12" s="25"/>
      <c r="EGS12" s="21"/>
      <c r="EGT12" s="21"/>
      <c r="EGX12" s="15"/>
      <c r="EHD12" s="25"/>
      <c r="EHK12" s="21"/>
      <c r="EHL12" s="21"/>
      <c r="EHP12" s="15"/>
      <c r="EHV12" s="25"/>
      <c r="EIC12" s="21"/>
      <c r="EID12" s="21"/>
      <c r="EIH12" s="15"/>
      <c r="EIN12" s="25"/>
      <c r="EIU12" s="21"/>
      <c r="EIV12" s="21"/>
      <c r="EIZ12" s="15"/>
      <c r="EJF12" s="25"/>
      <c r="EJM12" s="21"/>
      <c r="EJN12" s="21"/>
      <c r="EJR12" s="15"/>
      <c r="EJX12" s="25"/>
      <c r="EKE12" s="21"/>
      <c r="EKF12" s="21"/>
      <c r="EKJ12" s="15"/>
      <c r="EKP12" s="25"/>
      <c r="EKW12" s="21"/>
      <c r="EKX12" s="21"/>
      <c r="ELB12" s="15"/>
      <c r="ELH12" s="25"/>
      <c r="ELO12" s="21"/>
      <c r="ELP12" s="21"/>
      <c r="ELT12" s="15"/>
      <c r="ELZ12" s="25"/>
      <c r="EMG12" s="21"/>
      <c r="EMH12" s="21"/>
      <c r="EML12" s="15"/>
      <c r="EMR12" s="25"/>
      <c r="EMY12" s="21"/>
      <c r="EMZ12" s="21"/>
      <c r="END12" s="15"/>
      <c r="ENJ12" s="25"/>
      <c r="ENQ12" s="21"/>
      <c r="ENR12" s="21"/>
      <c r="ENV12" s="15"/>
      <c r="EOB12" s="25"/>
      <c r="EOI12" s="21"/>
      <c r="EOJ12" s="21"/>
      <c r="EON12" s="15"/>
      <c r="EOT12" s="25"/>
      <c r="EPA12" s="21"/>
      <c r="EPB12" s="21"/>
      <c r="EPF12" s="15"/>
      <c r="EPL12" s="25"/>
      <c r="EPS12" s="21"/>
      <c r="EPT12" s="21"/>
      <c r="EPX12" s="15"/>
      <c r="EQD12" s="25"/>
      <c r="EQK12" s="21"/>
      <c r="EQL12" s="21"/>
      <c r="EQP12" s="15"/>
      <c r="EQV12" s="25"/>
      <c r="ERC12" s="21"/>
      <c r="ERD12" s="21"/>
      <c r="ERH12" s="15"/>
      <c r="ERN12" s="25"/>
      <c r="ERU12" s="21"/>
      <c r="ERV12" s="21"/>
      <c r="ERZ12" s="15"/>
      <c r="ESF12" s="25"/>
      <c r="ESM12" s="21"/>
      <c r="ESN12" s="21"/>
      <c r="ESR12" s="15"/>
      <c r="ESX12" s="25"/>
      <c r="ETE12" s="21"/>
      <c r="ETF12" s="21"/>
      <c r="ETJ12" s="15"/>
      <c r="ETP12" s="25"/>
      <c r="ETW12" s="21"/>
      <c r="ETX12" s="21"/>
      <c r="EUB12" s="15"/>
      <c r="EUH12" s="25"/>
      <c r="EUO12" s="21"/>
      <c r="EUP12" s="21"/>
      <c r="EUT12" s="15"/>
      <c r="EUZ12" s="25"/>
      <c r="EVG12" s="21"/>
      <c r="EVH12" s="21"/>
      <c r="EVL12" s="15"/>
      <c r="EVR12" s="25"/>
      <c r="EVY12" s="21"/>
      <c r="EVZ12" s="21"/>
      <c r="EWD12" s="15"/>
      <c r="EWJ12" s="25"/>
      <c r="EWQ12" s="21"/>
      <c r="EWR12" s="21"/>
      <c r="EWV12" s="15"/>
      <c r="EXB12" s="25"/>
      <c r="EXI12" s="21"/>
      <c r="EXJ12" s="21"/>
      <c r="EXN12" s="15"/>
      <c r="EXT12" s="25"/>
      <c r="EYA12" s="21"/>
      <c r="EYB12" s="21"/>
      <c r="EYF12" s="15"/>
      <c r="EYL12" s="25"/>
      <c r="EYS12" s="21"/>
      <c r="EYT12" s="21"/>
      <c r="EYX12" s="15"/>
      <c r="EZD12" s="25"/>
      <c r="EZK12" s="21"/>
      <c r="EZL12" s="21"/>
      <c r="EZP12" s="15"/>
      <c r="EZV12" s="25"/>
      <c r="FAC12" s="21"/>
      <c r="FAD12" s="21"/>
      <c r="FAH12" s="15"/>
      <c r="FAN12" s="25"/>
      <c r="FAU12" s="21"/>
      <c r="FAV12" s="21"/>
      <c r="FAZ12" s="15"/>
      <c r="FBF12" s="25"/>
      <c r="FBM12" s="21"/>
      <c r="FBN12" s="21"/>
      <c r="FBR12" s="15"/>
      <c r="FBX12" s="25"/>
      <c r="FCE12" s="21"/>
      <c r="FCF12" s="21"/>
      <c r="FCJ12" s="15"/>
      <c r="FCP12" s="25"/>
      <c r="FCW12" s="21"/>
      <c r="FCX12" s="21"/>
      <c r="FDB12" s="15"/>
      <c r="FDH12" s="25"/>
      <c r="FDO12" s="21"/>
      <c r="FDP12" s="21"/>
      <c r="FDT12" s="15"/>
      <c r="FDZ12" s="25"/>
      <c r="FEG12" s="21"/>
      <c r="FEH12" s="21"/>
      <c r="FEL12" s="15"/>
      <c r="FER12" s="25"/>
      <c r="FEY12" s="21"/>
      <c r="FEZ12" s="21"/>
      <c r="FFD12" s="15"/>
      <c r="FFJ12" s="25"/>
      <c r="FFQ12" s="21"/>
      <c r="FFR12" s="21"/>
      <c r="FFV12" s="15"/>
      <c r="FGB12" s="25"/>
      <c r="FGI12" s="21"/>
      <c r="FGJ12" s="21"/>
      <c r="FGN12" s="15"/>
      <c r="FGT12" s="25"/>
      <c r="FHA12" s="21"/>
      <c r="FHB12" s="21"/>
      <c r="FHF12" s="15"/>
      <c r="FHL12" s="25"/>
      <c r="FHS12" s="21"/>
      <c r="FHT12" s="21"/>
      <c r="FHX12" s="15"/>
      <c r="FID12" s="25"/>
      <c r="FIK12" s="21"/>
      <c r="FIL12" s="21"/>
      <c r="FIP12" s="15"/>
      <c r="FIV12" s="25"/>
      <c r="FJC12" s="21"/>
      <c r="FJD12" s="21"/>
      <c r="FJH12" s="15"/>
      <c r="FJN12" s="25"/>
      <c r="FJU12" s="21"/>
      <c r="FJV12" s="21"/>
      <c r="FJZ12" s="15"/>
      <c r="FKF12" s="25"/>
      <c r="FKM12" s="21"/>
      <c r="FKN12" s="21"/>
      <c r="FKR12" s="15"/>
      <c r="FKX12" s="25"/>
      <c r="FLE12" s="21"/>
      <c r="FLF12" s="21"/>
      <c r="FLJ12" s="15"/>
      <c r="FLP12" s="25"/>
      <c r="FLW12" s="21"/>
      <c r="FLX12" s="21"/>
      <c r="FMB12" s="15"/>
      <c r="FMH12" s="25"/>
      <c r="FMO12" s="21"/>
      <c r="FMP12" s="21"/>
      <c r="FMT12" s="15"/>
      <c r="FMZ12" s="25"/>
      <c r="FNG12" s="21"/>
      <c r="FNH12" s="21"/>
      <c r="FNL12" s="15"/>
      <c r="FNR12" s="25"/>
      <c r="FNY12" s="21"/>
      <c r="FNZ12" s="21"/>
      <c r="FOD12" s="15"/>
      <c r="FOJ12" s="25"/>
      <c r="FOQ12" s="21"/>
      <c r="FOR12" s="21"/>
      <c r="FOV12" s="15"/>
      <c r="FPB12" s="25"/>
      <c r="FPI12" s="21"/>
      <c r="FPJ12" s="21"/>
      <c r="FPN12" s="15"/>
      <c r="FPT12" s="25"/>
      <c r="FQA12" s="21"/>
      <c r="FQB12" s="21"/>
      <c r="FQF12" s="15"/>
      <c r="FQL12" s="25"/>
      <c r="FQS12" s="21"/>
      <c r="FQT12" s="21"/>
      <c r="FQX12" s="15"/>
      <c r="FRD12" s="25"/>
      <c r="FRK12" s="21"/>
      <c r="FRL12" s="21"/>
      <c r="FRP12" s="15"/>
      <c r="FRV12" s="25"/>
      <c r="FSC12" s="21"/>
      <c r="FSD12" s="21"/>
      <c r="FSH12" s="15"/>
      <c r="FSN12" s="25"/>
      <c r="FSU12" s="21"/>
      <c r="FSV12" s="21"/>
      <c r="FSZ12" s="15"/>
      <c r="FTF12" s="25"/>
      <c r="FTM12" s="21"/>
      <c r="FTN12" s="21"/>
      <c r="FTR12" s="15"/>
      <c r="FTX12" s="25"/>
      <c r="FUE12" s="21"/>
      <c r="FUF12" s="21"/>
      <c r="FUJ12" s="15"/>
      <c r="FUP12" s="25"/>
      <c r="FUW12" s="21"/>
      <c r="FUX12" s="21"/>
      <c r="FVB12" s="15"/>
      <c r="FVH12" s="25"/>
      <c r="FVO12" s="21"/>
      <c r="FVP12" s="21"/>
      <c r="FVT12" s="15"/>
      <c r="FVZ12" s="25"/>
      <c r="FWG12" s="21"/>
      <c r="FWH12" s="21"/>
      <c r="FWL12" s="15"/>
      <c r="FWR12" s="25"/>
      <c r="FWY12" s="21"/>
      <c r="FWZ12" s="21"/>
      <c r="FXD12" s="15"/>
      <c r="FXJ12" s="25"/>
      <c r="FXQ12" s="21"/>
      <c r="FXR12" s="21"/>
      <c r="FXV12" s="15"/>
      <c r="FYB12" s="25"/>
      <c r="FYI12" s="21"/>
      <c r="FYJ12" s="21"/>
      <c r="FYN12" s="15"/>
      <c r="FYT12" s="25"/>
      <c r="FZA12" s="21"/>
      <c r="FZB12" s="21"/>
      <c r="FZF12" s="15"/>
      <c r="FZL12" s="25"/>
      <c r="FZS12" s="21"/>
      <c r="FZT12" s="21"/>
      <c r="FZX12" s="15"/>
      <c r="GAD12" s="25"/>
      <c r="GAK12" s="21"/>
      <c r="GAL12" s="21"/>
      <c r="GAP12" s="15"/>
      <c r="GAV12" s="25"/>
      <c r="GBC12" s="21"/>
      <c r="GBD12" s="21"/>
      <c r="GBH12" s="15"/>
      <c r="GBN12" s="25"/>
      <c r="GBU12" s="21"/>
      <c r="GBV12" s="21"/>
      <c r="GBZ12" s="15"/>
      <c r="GCF12" s="25"/>
      <c r="GCM12" s="21"/>
      <c r="GCN12" s="21"/>
      <c r="GCR12" s="15"/>
      <c r="GCX12" s="25"/>
      <c r="GDE12" s="21"/>
      <c r="GDF12" s="21"/>
      <c r="GDJ12" s="15"/>
      <c r="GDP12" s="25"/>
      <c r="GDW12" s="21"/>
      <c r="GDX12" s="21"/>
      <c r="GEB12" s="15"/>
      <c r="GEH12" s="25"/>
      <c r="GEO12" s="21"/>
      <c r="GEP12" s="21"/>
      <c r="GET12" s="15"/>
      <c r="GEZ12" s="25"/>
      <c r="GFG12" s="21"/>
      <c r="GFH12" s="21"/>
      <c r="GFL12" s="15"/>
      <c r="GFR12" s="25"/>
      <c r="GFY12" s="21"/>
      <c r="GFZ12" s="21"/>
      <c r="GGD12" s="15"/>
      <c r="GGJ12" s="25"/>
      <c r="GGQ12" s="21"/>
      <c r="GGR12" s="21"/>
      <c r="GGV12" s="15"/>
      <c r="GHB12" s="25"/>
      <c r="GHI12" s="21"/>
      <c r="GHJ12" s="21"/>
      <c r="GHN12" s="15"/>
      <c r="GHT12" s="25"/>
      <c r="GIA12" s="21"/>
      <c r="GIB12" s="21"/>
      <c r="GIF12" s="15"/>
      <c r="GIL12" s="25"/>
      <c r="GIS12" s="21"/>
      <c r="GIT12" s="21"/>
      <c r="GIX12" s="15"/>
      <c r="GJD12" s="25"/>
      <c r="GJK12" s="21"/>
      <c r="GJL12" s="21"/>
      <c r="GJP12" s="15"/>
      <c r="GJV12" s="25"/>
      <c r="GKC12" s="21"/>
      <c r="GKD12" s="21"/>
      <c r="GKH12" s="15"/>
      <c r="GKN12" s="25"/>
      <c r="GKU12" s="21"/>
      <c r="GKV12" s="21"/>
      <c r="GKZ12" s="15"/>
      <c r="GLF12" s="25"/>
      <c r="GLM12" s="21"/>
      <c r="GLN12" s="21"/>
      <c r="GLR12" s="15"/>
      <c r="GLX12" s="25"/>
      <c r="GME12" s="21"/>
      <c r="GMF12" s="21"/>
      <c r="GMJ12" s="15"/>
      <c r="GMP12" s="25"/>
      <c r="GMW12" s="21"/>
      <c r="GMX12" s="21"/>
      <c r="GNB12" s="15"/>
      <c r="GNH12" s="25"/>
      <c r="GNO12" s="21"/>
      <c r="GNP12" s="21"/>
      <c r="GNT12" s="15"/>
      <c r="GNZ12" s="25"/>
      <c r="GOG12" s="21"/>
      <c r="GOH12" s="21"/>
      <c r="GOL12" s="15"/>
      <c r="GOR12" s="25"/>
      <c r="GOY12" s="21"/>
      <c r="GOZ12" s="21"/>
      <c r="GPD12" s="15"/>
      <c r="GPJ12" s="25"/>
      <c r="GPQ12" s="21"/>
      <c r="GPR12" s="21"/>
      <c r="GPV12" s="15"/>
      <c r="GQB12" s="25"/>
      <c r="GQI12" s="21"/>
      <c r="GQJ12" s="21"/>
      <c r="GQN12" s="15"/>
      <c r="GQT12" s="25"/>
      <c r="GRA12" s="21"/>
      <c r="GRB12" s="21"/>
      <c r="GRF12" s="15"/>
      <c r="GRL12" s="25"/>
      <c r="GRS12" s="21"/>
      <c r="GRT12" s="21"/>
      <c r="GRX12" s="15"/>
      <c r="GSD12" s="25"/>
      <c r="GSK12" s="21"/>
      <c r="GSL12" s="21"/>
      <c r="GSP12" s="15"/>
      <c r="GSV12" s="25"/>
      <c r="GTC12" s="21"/>
      <c r="GTD12" s="21"/>
      <c r="GTH12" s="15"/>
      <c r="GTN12" s="25"/>
      <c r="GTU12" s="21"/>
      <c r="GTV12" s="21"/>
      <c r="GTZ12" s="15"/>
      <c r="GUF12" s="25"/>
      <c r="GUM12" s="21"/>
      <c r="GUN12" s="21"/>
      <c r="GUR12" s="15"/>
      <c r="GUX12" s="25"/>
      <c r="GVE12" s="21"/>
      <c r="GVF12" s="21"/>
      <c r="GVJ12" s="15"/>
      <c r="GVP12" s="25"/>
      <c r="GVW12" s="21"/>
      <c r="GVX12" s="21"/>
      <c r="GWB12" s="15"/>
      <c r="GWH12" s="25"/>
      <c r="GWO12" s="21"/>
      <c r="GWP12" s="21"/>
      <c r="GWT12" s="15"/>
      <c r="GWZ12" s="25"/>
      <c r="GXG12" s="21"/>
      <c r="GXH12" s="21"/>
      <c r="GXL12" s="15"/>
      <c r="GXR12" s="25"/>
      <c r="GXY12" s="21"/>
      <c r="GXZ12" s="21"/>
      <c r="GYD12" s="15"/>
      <c r="GYJ12" s="25"/>
      <c r="GYQ12" s="21"/>
      <c r="GYR12" s="21"/>
      <c r="GYV12" s="15"/>
      <c r="GZB12" s="25"/>
      <c r="GZI12" s="21"/>
      <c r="GZJ12" s="21"/>
      <c r="GZN12" s="15"/>
      <c r="GZT12" s="25"/>
      <c r="HAA12" s="21"/>
      <c r="HAB12" s="21"/>
      <c r="HAF12" s="15"/>
      <c r="HAL12" s="25"/>
      <c r="HAS12" s="21"/>
      <c r="HAT12" s="21"/>
      <c r="HAX12" s="15"/>
      <c r="HBD12" s="25"/>
      <c r="HBK12" s="21"/>
      <c r="HBL12" s="21"/>
      <c r="HBP12" s="15"/>
      <c r="HBV12" s="25"/>
      <c r="HCC12" s="21"/>
      <c r="HCD12" s="21"/>
      <c r="HCH12" s="15"/>
      <c r="HCN12" s="25"/>
      <c r="HCU12" s="21"/>
      <c r="HCV12" s="21"/>
      <c r="HCZ12" s="15"/>
      <c r="HDF12" s="25"/>
      <c r="HDM12" s="21"/>
      <c r="HDN12" s="21"/>
      <c r="HDR12" s="15"/>
      <c r="HDX12" s="25"/>
      <c r="HEE12" s="21"/>
      <c r="HEF12" s="21"/>
      <c r="HEJ12" s="15"/>
      <c r="HEP12" s="25"/>
      <c r="HEW12" s="21"/>
      <c r="HEX12" s="21"/>
      <c r="HFB12" s="15"/>
      <c r="HFH12" s="25"/>
      <c r="HFO12" s="21"/>
      <c r="HFP12" s="21"/>
      <c r="HFT12" s="15"/>
      <c r="HFZ12" s="25"/>
      <c r="HGG12" s="21"/>
      <c r="HGH12" s="21"/>
      <c r="HGL12" s="15"/>
      <c r="HGR12" s="25"/>
      <c r="HGY12" s="21"/>
      <c r="HGZ12" s="21"/>
      <c r="HHD12" s="15"/>
      <c r="HHJ12" s="25"/>
      <c r="HHQ12" s="21"/>
      <c r="HHR12" s="21"/>
      <c r="HHV12" s="15"/>
      <c r="HIB12" s="25"/>
      <c r="HII12" s="21"/>
      <c r="HIJ12" s="21"/>
      <c r="HIN12" s="15"/>
      <c r="HIT12" s="25"/>
      <c r="HJA12" s="21"/>
      <c r="HJB12" s="21"/>
      <c r="HJF12" s="15"/>
      <c r="HJL12" s="25"/>
      <c r="HJS12" s="21"/>
      <c r="HJT12" s="21"/>
      <c r="HJX12" s="15"/>
      <c r="HKD12" s="25"/>
      <c r="HKK12" s="21"/>
      <c r="HKL12" s="21"/>
      <c r="HKP12" s="15"/>
      <c r="HKV12" s="25"/>
      <c r="HLC12" s="21"/>
      <c r="HLD12" s="21"/>
      <c r="HLH12" s="15"/>
      <c r="HLN12" s="25"/>
      <c r="HLU12" s="21"/>
      <c r="HLV12" s="21"/>
      <c r="HLZ12" s="15"/>
      <c r="HMF12" s="25"/>
      <c r="HMM12" s="21"/>
      <c r="HMN12" s="21"/>
      <c r="HMR12" s="15"/>
      <c r="HMX12" s="25"/>
      <c r="HNE12" s="21"/>
      <c r="HNF12" s="21"/>
      <c r="HNJ12" s="15"/>
      <c r="HNP12" s="25"/>
      <c r="HNW12" s="21"/>
      <c r="HNX12" s="21"/>
      <c r="HOB12" s="15"/>
      <c r="HOH12" s="25"/>
      <c r="HOO12" s="21"/>
      <c r="HOP12" s="21"/>
      <c r="HOT12" s="15"/>
      <c r="HOZ12" s="25"/>
      <c r="HPG12" s="21"/>
      <c r="HPH12" s="21"/>
      <c r="HPL12" s="15"/>
      <c r="HPR12" s="25"/>
      <c r="HPY12" s="21"/>
      <c r="HPZ12" s="21"/>
      <c r="HQD12" s="15"/>
      <c r="HQJ12" s="25"/>
      <c r="HQQ12" s="21"/>
      <c r="HQR12" s="21"/>
      <c r="HQV12" s="15"/>
      <c r="HRB12" s="25"/>
      <c r="HRI12" s="21"/>
      <c r="HRJ12" s="21"/>
      <c r="HRN12" s="15"/>
      <c r="HRT12" s="25"/>
      <c r="HSA12" s="21"/>
      <c r="HSB12" s="21"/>
      <c r="HSF12" s="15"/>
      <c r="HSL12" s="25"/>
      <c r="HSS12" s="21"/>
      <c r="HST12" s="21"/>
      <c r="HSX12" s="15"/>
      <c r="HTD12" s="25"/>
      <c r="HTK12" s="21"/>
      <c r="HTL12" s="21"/>
      <c r="HTP12" s="15"/>
      <c r="HTV12" s="25"/>
      <c r="HUC12" s="21"/>
      <c r="HUD12" s="21"/>
      <c r="HUH12" s="15"/>
      <c r="HUN12" s="25"/>
      <c r="HUU12" s="21"/>
      <c r="HUV12" s="21"/>
      <c r="HUZ12" s="15"/>
      <c r="HVF12" s="25"/>
      <c r="HVM12" s="21"/>
      <c r="HVN12" s="21"/>
      <c r="HVR12" s="15"/>
      <c r="HVX12" s="25"/>
      <c r="HWE12" s="21"/>
      <c r="HWF12" s="21"/>
      <c r="HWJ12" s="15"/>
      <c r="HWP12" s="25"/>
      <c r="HWW12" s="21"/>
      <c r="HWX12" s="21"/>
      <c r="HXB12" s="15"/>
      <c r="HXH12" s="25"/>
      <c r="HXO12" s="21"/>
      <c r="HXP12" s="21"/>
      <c r="HXT12" s="15"/>
      <c r="HXZ12" s="25"/>
      <c r="HYG12" s="21"/>
      <c r="HYH12" s="21"/>
      <c r="HYL12" s="15"/>
      <c r="HYR12" s="25"/>
      <c r="HYY12" s="21"/>
      <c r="HYZ12" s="21"/>
      <c r="HZD12" s="15"/>
      <c r="HZJ12" s="25"/>
      <c r="HZQ12" s="21"/>
      <c r="HZR12" s="21"/>
      <c r="HZV12" s="15"/>
      <c r="IAB12" s="25"/>
      <c r="IAI12" s="21"/>
      <c r="IAJ12" s="21"/>
      <c r="IAN12" s="15"/>
      <c r="IAT12" s="25"/>
      <c r="IBA12" s="21"/>
      <c r="IBB12" s="21"/>
      <c r="IBF12" s="15"/>
      <c r="IBL12" s="25"/>
      <c r="IBS12" s="21"/>
      <c r="IBT12" s="21"/>
      <c r="IBX12" s="15"/>
      <c r="ICD12" s="25"/>
      <c r="ICK12" s="21"/>
      <c r="ICL12" s="21"/>
      <c r="ICP12" s="15"/>
      <c r="ICV12" s="25"/>
      <c r="IDC12" s="21"/>
      <c r="IDD12" s="21"/>
      <c r="IDH12" s="15"/>
      <c r="IDN12" s="25"/>
      <c r="IDU12" s="21"/>
      <c r="IDV12" s="21"/>
      <c r="IDZ12" s="15"/>
      <c r="IEF12" s="25"/>
      <c r="IEM12" s="21"/>
      <c r="IEN12" s="21"/>
      <c r="IER12" s="15"/>
      <c r="IEX12" s="25"/>
      <c r="IFE12" s="21"/>
      <c r="IFF12" s="21"/>
      <c r="IFJ12" s="15"/>
      <c r="IFP12" s="25"/>
      <c r="IFW12" s="21"/>
      <c r="IFX12" s="21"/>
      <c r="IGB12" s="15"/>
      <c r="IGH12" s="25"/>
      <c r="IGO12" s="21"/>
      <c r="IGP12" s="21"/>
      <c r="IGT12" s="15"/>
      <c r="IGZ12" s="25"/>
      <c r="IHG12" s="21"/>
      <c r="IHH12" s="21"/>
      <c r="IHL12" s="15"/>
      <c r="IHR12" s="25"/>
      <c r="IHY12" s="21"/>
      <c r="IHZ12" s="21"/>
      <c r="IID12" s="15"/>
      <c r="IIJ12" s="25"/>
      <c r="IIQ12" s="21"/>
      <c r="IIR12" s="21"/>
      <c r="IIV12" s="15"/>
      <c r="IJB12" s="25"/>
      <c r="IJI12" s="21"/>
      <c r="IJJ12" s="21"/>
      <c r="IJN12" s="15"/>
      <c r="IJT12" s="25"/>
      <c r="IKA12" s="21"/>
      <c r="IKB12" s="21"/>
      <c r="IKF12" s="15"/>
      <c r="IKL12" s="25"/>
      <c r="IKS12" s="21"/>
      <c r="IKT12" s="21"/>
      <c r="IKX12" s="15"/>
      <c r="ILD12" s="25"/>
      <c r="ILK12" s="21"/>
      <c r="ILL12" s="21"/>
      <c r="ILP12" s="15"/>
      <c r="ILV12" s="25"/>
      <c r="IMC12" s="21"/>
      <c r="IMD12" s="21"/>
      <c r="IMH12" s="15"/>
      <c r="IMN12" s="25"/>
      <c r="IMU12" s="21"/>
      <c r="IMV12" s="21"/>
      <c r="IMZ12" s="15"/>
      <c r="INF12" s="25"/>
      <c r="INM12" s="21"/>
      <c r="INN12" s="21"/>
      <c r="INR12" s="15"/>
      <c r="INX12" s="25"/>
      <c r="IOE12" s="21"/>
      <c r="IOF12" s="21"/>
      <c r="IOJ12" s="15"/>
      <c r="IOP12" s="25"/>
      <c r="IOW12" s="21"/>
      <c r="IOX12" s="21"/>
      <c r="IPB12" s="15"/>
      <c r="IPH12" s="25"/>
      <c r="IPO12" s="21"/>
      <c r="IPP12" s="21"/>
      <c r="IPT12" s="15"/>
      <c r="IPZ12" s="25"/>
      <c r="IQG12" s="21"/>
      <c r="IQH12" s="21"/>
      <c r="IQL12" s="15"/>
      <c r="IQR12" s="25"/>
      <c r="IQY12" s="21"/>
      <c r="IQZ12" s="21"/>
      <c r="IRD12" s="15"/>
      <c r="IRJ12" s="25"/>
      <c r="IRQ12" s="21"/>
      <c r="IRR12" s="21"/>
      <c r="IRV12" s="15"/>
      <c r="ISB12" s="25"/>
      <c r="ISI12" s="21"/>
      <c r="ISJ12" s="21"/>
      <c r="ISN12" s="15"/>
      <c r="IST12" s="25"/>
      <c r="ITA12" s="21"/>
      <c r="ITB12" s="21"/>
      <c r="ITF12" s="15"/>
      <c r="ITL12" s="25"/>
      <c r="ITS12" s="21"/>
      <c r="ITT12" s="21"/>
      <c r="ITX12" s="15"/>
      <c r="IUD12" s="25"/>
      <c r="IUK12" s="21"/>
      <c r="IUL12" s="21"/>
      <c r="IUP12" s="15"/>
      <c r="IUV12" s="25"/>
      <c r="IVC12" s="21"/>
      <c r="IVD12" s="21"/>
      <c r="IVH12" s="15"/>
      <c r="IVN12" s="25"/>
      <c r="IVU12" s="21"/>
      <c r="IVV12" s="21"/>
      <c r="IVZ12" s="15"/>
      <c r="IWF12" s="25"/>
      <c r="IWM12" s="21"/>
      <c r="IWN12" s="21"/>
      <c r="IWR12" s="15"/>
      <c r="IWX12" s="25"/>
      <c r="IXE12" s="21"/>
      <c r="IXF12" s="21"/>
      <c r="IXJ12" s="15"/>
      <c r="IXP12" s="25"/>
      <c r="IXW12" s="21"/>
      <c r="IXX12" s="21"/>
      <c r="IYB12" s="15"/>
      <c r="IYH12" s="25"/>
      <c r="IYO12" s="21"/>
      <c r="IYP12" s="21"/>
      <c r="IYT12" s="15"/>
      <c r="IYZ12" s="25"/>
      <c r="IZG12" s="21"/>
      <c r="IZH12" s="21"/>
      <c r="IZL12" s="15"/>
      <c r="IZR12" s="25"/>
      <c r="IZY12" s="21"/>
      <c r="IZZ12" s="21"/>
      <c r="JAD12" s="15"/>
      <c r="JAJ12" s="25"/>
      <c r="JAQ12" s="21"/>
      <c r="JAR12" s="21"/>
      <c r="JAV12" s="15"/>
      <c r="JBB12" s="25"/>
      <c r="JBI12" s="21"/>
      <c r="JBJ12" s="21"/>
      <c r="JBN12" s="15"/>
      <c r="JBT12" s="25"/>
      <c r="JCA12" s="21"/>
      <c r="JCB12" s="21"/>
      <c r="JCF12" s="15"/>
      <c r="JCL12" s="25"/>
      <c r="JCS12" s="21"/>
      <c r="JCT12" s="21"/>
      <c r="JCX12" s="15"/>
      <c r="JDD12" s="25"/>
      <c r="JDK12" s="21"/>
      <c r="JDL12" s="21"/>
      <c r="JDP12" s="15"/>
      <c r="JDV12" s="25"/>
      <c r="JEC12" s="21"/>
      <c r="JED12" s="21"/>
      <c r="JEH12" s="15"/>
      <c r="JEN12" s="25"/>
      <c r="JEU12" s="21"/>
      <c r="JEV12" s="21"/>
      <c r="JEZ12" s="15"/>
      <c r="JFF12" s="25"/>
      <c r="JFM12" s="21"/>
      <c r="JFN12" s="21"/>
      <c r="JFR12" s="15"/>
      <c r="JFX12" s="25"/>
      <c r="JGE12" s="21"/>
      <c r="JGF12" s="21"/>
      <c r="JGJ12" s="15"/>
      <c r="JGP12" s="25"/>
      <c r="JGW12" s="21"/>
      <c r="JGX12" s="21"/>
      <c r="JHB12" s="15"/>
      <c r="JHH12" s="25"/>
      <c r="JHO12" s="21"/>
      <c r="JHP12" s="21"/>
      <c r="JHT12" s="15"/>
      <c r="JHZ12" s="25"/>
      <c r="JIG12" s="21"/>
      <c r="JIH12" s="21"/>
      <c r="JIL12" s="15"/>
      <c r="JIR12" s="25"/>
      <c r="JIY12" s="21"/>
      <c r="JIZ12" s="21"/>
      <c r="JJD12" s="15"/>
      <c r="JJJ12" s="25"/>
      <c r="JJQ12" s="21"/>
      <c r="JJR12" s="21"/>
      <c r="JJV12" s="15"/>
      <c r="JKB12" s="25"/>
      <c r="JKI12" s="21"/>
      <c r="JKJ12" s="21"/>
      <c r="JKN12" s="15"/>
      <c r="JKT12" s="25"/>
      <c r="JLA12" s="21"/>
      <c r="JLB12" s="21"/>
      <c r="JLF12" s="15"/>
      <c r="JLL12" s="25"/>
      <c r="JLS12" s="21"/>
      <c r="JLT12" s="21"/>
      <c r="JLX12" s="15"/>
      <c r="JMD12" s="25"/>
      <c r="JMK12" s="21"/>
      <c r="JML12" s="21"/>
      <c r="JMP12" s="15"/>
      <c r="JMV12" s="25"/>
      <c r="JNC12" s="21"/>
      <c r="JND12" s="21"/>
      <c r="JNH12" s="15"/>
      <c r="JNN12" s="25"/>
      <c r="JNU12" s="21"/>
      <c r="JNV12" s="21"/>
      <c r="JNZ12" s="15"/>
      <c r="JOF12" s="25"/>
      <c r="JOM12" s="21"/>
      <c r="JON12" s="21"/>
      <c r="JOR12" s="15"/>
      <c r="JOX12" s="25"/>
      <c r="JPE12" s="21"/>
      <c r="JPF12" s="21"/>
      <c r="JPJ12" s="15"/>
      <c r="JPP12" s="25"/>
      <c r="JPW12" s="21"/>
      <c r="JPX12" s="21"/>
      <c r="JQB12" s="15"/>
      <c r="JQH12" s="25"/>
      <c r="JQO12" s="21"/>
      <c r="JQP12" s="21"/>
      <c r="JQT12" s="15"/>
      <c r="JQZ12" s="25"/>
      <c r="JRG12" s="21"/>
      <c r="JRH12" s="21"/>
      <c r="JRL12" s="15"/>
      <c r="JRR12" s="25"/>
      <c r="JRY12" s="21"/>
      <c r="JRZ12" s="21"/>
      <c r="JSD12" s="15"/>
      <c r="JSJ12" s="25"/>
      <c r="JSQ12" s="21"/>
      <c r="JSR12" s="21"/>
      <c r="JSV12" s="15"/>
      <c r="JTB12" s="25"/>
      <c r="JTI12" s="21"/>
      <c r="JTJ12" s="21"/>
      <c r="JTN12" s="15"/>
      <c r="JTT12" s="25"/>
      <c r="JUA12" s="21"/>
      <c r="JUB12" s="21"/>
      <c r="JUF12" s="15"/>
      <c r="JUL12" s="25"/>
      <c r="JUS12" s="21"/>
      <c r="JUT12" s="21"/>
      <c r="JUX12" s="15"/>
      <c r="JVD12" s="25"/>
      <c r="JVK12" s="21"/>
      <c r="JVL12" s="21"/>
      <c r="JVP12" s="15"/>
      <c r="JVV12" s="25"/>
      <c r="JWC12" s="21"/>
      <c r="JWD12" s="21"/>
      <c r="JWH12" s="15"/>
      <c r="JWN12" s="25"/>
      <c r="JWU12" s="21"/>
      <c r="JWV12" s="21"/>
      <c r="JWZ12" s="15"/>
      <c r="JXF12" s="25"/>
      <c r="JXM12" s="21"/>
      <c r="JXN12" s="21"/>
      <c r="JXR12" s="15"/>
      <c r="JXX12" s="25"/>
      <c r="JYE12" s="21"/>
      <c r="JYF12" s="21"/>
      <c r="JYJ12" s="15"/>
      <c r="JYP12" s="25"/>
      <c r="JYW12" s="21"/>
      <c r="JYX12" s="21"/>
      <c r="JZB12" s="15"/>
      <c r="JZH12" s="25"/>
      <c r="JZO12" s="21"/>
      <c r="JZP12" s="21"/>
      <c r="JZT12" s="15"/>
      <c r="JZZ12" s="25"/>
      <c r="KAG12" s="21"/>
      <c r="KAH12" s="21"/>
      <c r="KAL12" s="15"/>
      <c r="KAR12" s="25"/>
      <c r="KAY12" s="21"/>
      <c r="KAZ12" s="21"/>
      <c r="KBD12" s="15"/>
      <c r="KBJ12" s="25"/>
      <c r="KBQ12" s="21"/>
      <c r="KBR12" s="21"/>
      <c r="KBV12" s="15"/>
      <c r="KCB12" s="25"/>
      <c r="KCI12" s="21"/>
      <c r="KCJ12" s="21"/>
      <c r="KCN12" s="15"/>
      <c r="KCT12" s="25"/>
      <c r="KDA12" s="21"/>
      <c r="KDB12" s="21"/>
      <c r="KDF12" s="15"/>
      <c r="KDL12" s="25"/>
      <c r="KDS12" s="21"/>
      <c r="KDT12" s="21"/>
      <c r="KDX12" s="15"/>
      <c r="KED12" s="25"/>
      <c r="KEK12" s="21"/>
      <c r="KEL12" s="21"/>
      <c r="KEP12" s="15"/>
      <c r="KEV12" s="25"/>
      <c r="KFC12" s="21"/>
      <c r="KFD12" s="21"/>
      <c r="KFH12" s="15"/>
      <c r="KFN12" s="25"/>
      <c r="KFU12" s="21"/>
      <c r="KFV12" s="21"/>
      <c r="KFZ12" s="15"/>
      <c r="KGF12" s="25"/>
      <c r="KGM12" s="21"/>
      <c r="KGN12" s="21"/>
      <c r="KGR12" s="15"/>
      <c r="KGX12" s="25"/>
      <c r="KHE12" s="21"/>
      <c r="KHF12" s="21"/>
      <c r="KHJ12" s="15"/>
      <c r="KHP12" s="25"/>
      <c r="KHW12" s="21"/>
      <c r="KHX12" s="21"/>
      <c r="KIB12" s="15"/>
      <c r="KIH12" s="25"/>
      <c r="KIO12" s="21"/>
      <c r="KIP12" s="21"/>
      <c r="KIT12" s="15"/>
      <c r="KIZ12" s="25"/>
      <c r="KJG12" s="21"/>
      <c r="KJH12" s="21"/>
      <c r="KJL12" s="15"/>
      <c r="KJR12" s="25"/>
      <c r="KJY12" s="21"/>
      <c r="KJZ12" s="21"/>
      <c r="KKD12" s="15"/>
      <c r="KKJ12" s="25"/>
      <c r="KKQ12" s="21"/>
      <c r="KKR12" s="21"/>
      <c r="KKV12" s="15"/>
      <c r="KLB12" s="25"/>
      <c r="KLI12" s="21"/>
      <c r="KLJ12" s="21"/>
      <c r="KLN12" s="15"/>
      <c r="KLT12" s="25"/>
      <c r="KMA12" s="21"/>
      <c r="KMB12" s="21"/>
      <c r="KMF12" s="15"/>
      <c r="KML12" s="25"/>
      <c r="KMS12" s="21"/>
      <c r="KMT12" s="21"/>
      <c r="KMX12" s="15"/>
      <c r="KND12" s="25"/>
      <c r="KNK12" s="21"/>
      <c r="KNL12" s="21"/>
      <c r="KNP12" s="15"/>
      <c r="KNV12" s="25"/>
      <c r="KOC12" s="21"/>
      <c r="KOD12" s="21"/>
      <c r="KOH12" s="15"/>
      <c r="KON12" s="25"/>
      <c r="KOU12" s="21"/>
      <c r="KOV12" s="21"/>
      <c r="KOZ12" s="15"/>
      <c r="KPF12" s="25"/>
      <c r="KPM12" s="21"/>
      <c r="KPN12" s="21"/>
      <c r="KPR12" s="15"/>
      <c r="KPX12" s="25"/>
      <c r="KQE12" s="21"/>
      <c r="KQF12" s="21"/>
      <c r="KQJ12" s="15"/>
      <c r="KQP12" s="25"/>
      <c r="KQW12" s="21"/>
      <c r="KQX12" s="21"/>
      <c r="KRB12" s="15"/>
      <c r="KRH12" s="25"/>
      <c r="KRO12" s="21"/>
      <c r="KRP12" s="21"/>
      <c r="KRT12" s="15"/>
      <c r="KRZ12" s="25"/>
      <c r="KSG12" s="21"/>
      <c r="KSH12" s="21"/>
      <c r="KSL12" s="15"/>
      <c r="KSR12" s="25"/>
      <c r="KSY12" s="21"/>
      <c r="KSZ12" s="21"/>
      <c r="KTD12" s="15"/>
      <c r="KTJ12" s="25"/>
      <c r="KTQ12" s="21"/>
      <c r="KTR12" s="21"/>
      <c r="KTV12" s="15"/>
      <c r="KUB12" s="25"/>
      <c r="KUI12" s="21"/>
      <c r="KUJ12" s="21"/>
      <c r="KUN12" s="15"/>
      <c r="KUT12" s="25"/>
      <c r="KVA12" s="21"/>
      <c r="KVB12" s="21"/>
      <c r="KVF12" s="15"/>
      <c r="KVL12" s="25"/>
      <c r="KVS12" s="21"/>
      <c r="KVT12" s="21"/>
      <c r="KVX12" s="15"/>
      <c r="KWD12" s="25"/>
      <c r="KWK12" s="21"/>
      <c r="KWL12" s="21"/>
      <c r="KWP12" s="15"/>
      <c r="KWV12" s="25"/>
      <c r="KXC12" s="21"/>
      <c r="KXD12" s="21"/>
      <c r="KXH12" s="15"/>
      <c r="KXN12" s="25"/>
      <c r="KXU12" s="21"/>
      <c r="KXV12" s="21"/>
      <c r="KXZ12" s="15"/>
      <c r="KYF12" s="25"/>
      <c r="KYM12" s="21"/>
      <c r="KYN12" s="21"/>
      <c r="KYR12" s="15"/>
      <c r="KYX12" s="25"/>
      <c r="KZE12" s="21"/>
      <c r="KZF12" s="21"/>
      <c r="KZJ12" s="15"/>
      <c r="KZP12" s="25"/>
      <c r="KZW12" s="21"/>
      <c r="KZX12" s="21"/>
      <c r="LAB12" s="15"/>
      <c r="LAH12" s="25"/>
      <c r="LAO12" s="21"/>
      <c r="LAP12" s="21"/>
      <c r="LAT12" s="15"/>
      <c r="LAZ12" s="25"/>
      <c r="LBG12" s="21"/>
      <c r="LBH12" s="21"/>
      <c r="LBL12" s="15"/>
      <c r="LBR12" s="25"/>
      <c r="LBY12" s="21"/>
      <c r="LBZ12" s="21"/>
      <c r="LCD12" s="15"/>
      <c r="LCJ12" s="25"/>
      <c r="LCQ12" s="21"/>
      <c r="LCR12" s="21"/>
      <c r="LCV12" s="15"/>
      <c r="LDB12" s="25"/>
      <c r="LDI12" s="21"/>
      <c r="LDJ12" s="21"/>
      <c r="LDN12" s="15"/>
      <c r="LDT12" s="25"/>
      <c r="LEA12" s="21"/>
      <c r="LEB12" s="21"/>
      <c r="LEF12" s="15"/>
      <c r="LEL12" s="25"/>
      <c r="LES12" s="21"/>
      <c r="LET12" s="21"/>
      <c r="LEX12" s="15"/>
      <c r="LFD12" s="25"/>
      <c r="LFK12" s="21"/>
      <c r="LFL12" s="21"/>
      <c r="LFP12" s="15"/>
      <c r="LFV12" s="25"/>
      <c r="LGC12" s="21"/>
      <c r="LGD12" s="21"/>
      <c r="LGH12" s="15"/>
      <c r="LGN12" s="25"/>
      <c r="LGU12" s="21"/>
      <c r="LGV12" s="21"/>
      <c r="LGZ12" s="15"/>
      <c r="LHF12" s="25"/>
      <c r="LHM12" s="21"/>
      <c r="LHN12" s="21"/>
      <c r="LHR12" s="15"/>
      <c r="LHX12" s="25"/>
      <c r="LIE12" s="21"/>
      <c r="LIF12" s="21"/>
      <c r="LIJ12" s="15"/>
      <c r="LIP12" s="25"/>
      <c r="LIW12" s="21"/>
      <c r="LIX12" s="21"/>
      <c r="LJB12" s="15"/>
      <c r="LJH12" s="25"/>
      <c r="LJO12" s="21"/>
      <c r="LJP12" s="21"/>
      <c r="LJT12" s="15"/>
      <c r="LJZ12" s="25"/>
      <c r="LKG12" s="21"/>
      <c r="LKH12" s="21"/>
      <c r="LKL12" s="15"/>
      <c r="LKR12" s="25"/>
      <c r="LKY12" s="21"/>
      <c r="LKZ12" s="21"/>
      <c r="LLD12" s="15"/>
      <c r="LLJ12" s="25"/>
      <c r="LLQ12" s="21"/>
      <c r="LLR12" s="21"/>
      <c r="LLV12" s="15"/>
      <c r="LMB12" s="25"/>
      <c r="LMI12" s="21"/>
      <c r="LMJ12" s="21"/>
      <c r="LMN12" s="15"/>
      <c r="LMT12" s="25"/>
      <c r="LNA12" s="21"/>
      <c r="LNB12" s="21"/>
      <c r="LNF12" s="15"/>
      <c r="LNL12" s="25"/>
      <c r="LNS12" s="21"/>
      <c r="LNT12" s="21"/>
      <c r="LNX12" s="15"/>
      <c r="LOD12" s="25"/>
      <c r="LOK12" s="21"/>
      <c r="LOL12" s="21"/>
      <c r="LOP12" s="15"/>
      <c r="LOV12" s="25"/>
      <c r="LPC12" s="21"/>
      <c r="LPD12" s="21"/>
      <c r="LPH12" s="15"/>
      <c r="LPN12" s="25"/>
      <c r="LPU12" s="21"/>
      <c r="LPV12" s="21"/>
      <c r="LPZ12" s="15"/>
      <c r="LQF12" s="25"/>
      <c r="LQM12" s="21"/>
      <c r="LQN12" s="21"/>
      <c r="LQR12" s="15"/>
      <c r="LQX12" s="25"/>
      <c r="LRE12" s="21"/>
      <c r="LRF12" s="21"/>
      <c r="LRJ12" s="15"/>
      <c r="LRP12" s="25"/>
      <c r="LRW12" s="21"/>
      <c r="LRX12" s="21"/>
      <c r="LSB12" s="15"/>
      <c r="LSH12" s="25"/>
      <c r="LSO12" s="21"/>
      <c r="LSP12" s="21"/>
      <c r="LST12" s="15"/>
      <c r="LSZ12" s="25"/>
      <c r="LTG12" s="21"/>
      <c r="LTH12" s="21"/>
      <c r="LTL12" s="15"/>
      <c r="LTR12" s="25"/>
      <c r="LTY12" s="21"/>
      <c r="LTZ12" s="21"/>
      <c r="LUD12" s="15"/>
      <c r="LUJ12" s="25"/>
      <c r="LUQ12" s="21"/>
      <c r="LUR12" s="21"/>
      <c r="LUV12" s="15"/>
      <c r="LVB12" s="25"/>
      <c r="LVI12" s="21"/>
      <c r="LVJ12" s="21"/>
      <c r="LVN12" s="15"/>
      <c r="LVT12" s="25"/>
      <c r="LWA12" s="21"/>
      <c r="LWB12" s="21"/>
      <c r="LWF12" s="15"/>
      <c r="LWL12" s="25"/>
      <c r="LWS12" s="21"/>
      <c r="LWT12" s="21"/>
      <c r="LWX12" s="15"/>
      <c r="LXD12" s="25"/>
      <c r="LXK12" s="21"/>
      <c r="LXL12" s="21"/>
      <c r="LXP12" s="15"/>
      <c r="LXV12" s="25"/>
      <c r="LYC12" s="21"/>
      <c r="LYD12" s="21"/>
      <c r="LYH12" s="15"/>
      <c r="LYN12" s="25"/>
      <c r="LYU12" s="21"/>
      <c r="LYV12" s="21"/>
      <c r="LYZ12" s="15"/>
      <c r="LZF12" s="25"/>
      <c r="LZM12" s="21"/>
      <c r="LZN12" s="21"/>
      <c r="LZR12" s="15"/>
      <c r="LZX12" s="25"/>
      <c r="MAE12" s="21"/>
      <c r="MAF12" s="21"/>
      <c r="MAJ12" s="15"/>
      <c r="MAP12" s="25"/>
      <c r="MAW12" s="21"/>
      <c r="MAX12" s="21"/>
      <c r="MBB12" s="15"/>
      <c r="MBH12" s="25"/>
      <c r="MBO12" s="21"/>
      <c r="MBP12" s="21"/>
      <c r="MBT12" s="15"/>
      <c r="MBZ12" s="25"/>
      <c r="MCG12" s="21"/>
      <c r="MCH12" s="21"/>
      <c r="MCL12" s="15"/>
      <c r="MCR12" s="25"/>
      <c r="MCY12" s="21"/>
      <c r="MCZ12" s="21"/>
      <c r="MDD12" s="15"/>
      <c r="MDJ12" s="25"/>
      <c r="MDQ12" s="21"/>
      <c r="MDR12" s="21"/>
      <c r="MDV12" s="15"/>
      <c r="MEB12" s="25"/>
      <c r="MEI12" s="21"/>
      <c r="MEJ12" s="21"/>
      <c r="MEN12" s="15"/>
      <c r="MET12" s="25"/>
      <c r="MFA12" s="21"/>
      <c r="MFB12" s="21"/>
      <c r="MFF12" s="15"/>
      <c r="MFL12" s="25"/>
      <c r="MFS12" s="21"/>
      <c r="MFT12" s="21"/>
      <c r="MFX12" s="15"/>
      <c r="MGD12" s="25"/>
      <c r="MGK12" s="21"/>
      <c r="MGL12" s="21"/>
      <c r="MGP12" s="15"/>
      <c r="MGV12" s="25"/>
      <c r="MHC12" s="21"/>
      <c r="MHD12" s="21"/>
      <c r="MHH12" s="15"/>
      <c r="MHN12" s="25"/>
      <c r="MHU12" s="21"/>
      <c r="MHV12" s="21"/>
      <c r="MHZ12" s="15"/>
      <c r="MIF12" s="25"/>
      <c r="MIM12" s="21"/>
      <c r="MIN12" s="21"/>
      <c r="MIR12" s="15"/>
      <c r="MIX12" s="25"/>
      <c r="MJE12" s="21"/>
      <c r="MJF12" s="21"/>
      <c r="MJJ12" s="15"/>
      <c r="MJP12" s="25"/>
      <c r="MJW12" s="21"/>
      <c r="MJX12" s="21"/>
      <c r="MKB12" s="15"/>
      <c r="MKH12" s="25"/>
      <c r="MKO12" s="21"/>
      <c r="MKP12" s="21"/>
      <c r="MKT12" s="15"/>
      <c r="MKZ12" s="25"/>
      <c r="MLG12" s="21"/>
      <c r="MLH12" s="21"/>
      <c r="MLL12" s="15"/>
      <c r="MLR12" s="25"/>
      <c r="MLY12" s="21"/>
      <c r="MLZ12" s="21"/>
      <c r="MMD12" s="15"/>
      <c r="MMJ12" s="25"/>
      <c r="MMQ12" s="21"/>
      <c r="MMR12" s="21"/>
      <c r="MMV12" s="15"/>
      <c r="MNB12" s="25"/>
      <c r="MNI12" s="21"/>
      <c r="MNJ12" s="21"/>
      <c r="MNN12" s="15"/>
      <c r="MNT12" s="25"/>
      <c r="MOA12" s="21"/>
      <c r="MOB12" s="21"/>
      <c r="MOF12" s="15"/>
      <c r="MOL12" s="25"/>
      <c r="MOS12" s="21"/>
      <c r="MOT12" s="21"/>
      <c r="MOX12" s="15"/>
      <c r="MPD12" s="25"/>
      <c r="MPK12" s="21"/>
      <c r="MPL12" s="21"/>
      <c r="MPP12" s="15"/>
      <c r="MPV12" s="25"/>
      <c r="MQC12" s="21"/>
      <c r="MQD12" s="21"/>
      <c r="MQH12" s="15"/>
      <c r="MQN12" s="25"/>
      <c r="MQU12" s="21"/>
      <c r="MQV12" s="21"/>
      <c r="MQZ12" s="15"/>
      <c r="MRF12" s="25"/>
      <c r="MRM12" s="21"/>
      <c r="MRN12" s="21"/>
      <c r="MRR12" s="15"/>
      <c r="MRX12" s="25"/>
      <c r="MSE12" s="21"/>
      <c r="MSF12" s="21"/>
      <c r="MSJ12" s="15"/>
      <c r="MSP12" s="25"/>
      <c r="MSW12" s="21"/>
      <c r="MSX12" s="21"/>
      <c r="MTB12" s="15"/>
      <c r="MTH12" s="25"/>
      <c r="MTO12" s="21"/>
      <c r="MTP12" s="21"/>
      <c r="MTT12" s="15"/>
      <c r="MTZ12" s="25"/>
      <c r="MUG12" s="21"/>
      <c r="MUH12" s="21"/>
      <c r="MUL12" s="15"/>
      <c r="MUR12" s="25"/>
      <c r="MUY12" s="21"/>
      <c r="MUZ12" s="21"/>
      <c r="MVD12" s="15"/>
      <c r="MVJ12" s="25"/>
      <c r="MVQ12" s="21"/>
      <c r="MVR12" s="21"/>
      <c r="MVV12" s="15"/>
      <c r="MWB12" s="25"/>
      <c r="MWI12" s="21"/>
      <c r="MWJ12" s="21"/>
      <c r="MWN12" s="15"/>
      <c r="MWT12" s="25"/>
      <c r="MXA12" s="21"/>
      <c r="MXB12" s="21"/>
      <c r="MXF12" s="15"/>
      <c r="MXL12" s="25"/>
      <c r="MXS12" s="21"/>
      <c r="MXT12" s="21"/>
      <c r="MXX12" s="15"/>
      <c r="MYD12" s="25"/>
      <c r="MYK12" s="21"/>
      <c r="MYL12" s="21"/>
      <c r="MYP12" s="15"/>
      <c r="MYV12" s="25"/>
      <c r="MZC12" s="21"/>
      <c r="MZD12" s="21"/>
      <c r="MZH12" s="15"/>
      <c r="MZN12" s="25"/>
      <c r="MZU12" s="21"/>
      <c r="MZV12" s="21"/>
      <c r="MZZ12" s="15"/>
      <c r="NAF12" s="25"/>
      <c r="NAM12" s="21"/>
      <c r="NAN12" s="21"/>
      <c r="NAR12" s="15"/>
      <c r="NAX12" s="25"/>
      <c r="NBE12" s="21"/>
      <c r="NBF12" s="21"/>
      <c r="NBJ12" s="15"/>
      <c r="NBP12" s="25"/>
      <c r="NBW12" s="21"/>
      <c r="NBX12" s="21"/>
      <c r="NCB12" s="15"/>
      <c r="NCH12" s="25"/>
      <c r="NCO12" s="21"/>
      <c r="NCP12" s="21"/>
      <c r="NCT12" s="15"/>
      <c r="NCZ12" s="25"/>
      <c r="NDG12" s="21"/>
      <c r="NDH12" s="21"/>
      <c r="NDL12" s="15"/>
      <c r="NDR12" s="25"/>
      <c r="NDY12" s="21"/>
      <c r="NDZ12" s="21"/>
      <c r="NED12" s="15"/>
      <c r="NEJ12" s="25"/>
      <c r="NEQ12" s="21"/>
      <c r="NER12" s="21"/>
      <c r="NEV12" s="15"/>
      <c r="NFB12" s="25"/>
      <c r="NFI12" s="21"/>
      <c r="NFJ12" s="21"/>
      <c r="NFN12" s="15"/>
      <c r="NFT12" s="25"/>
      <c r="NGA12" s="21"/>
      <c r="NGB12" s="21"/>
      <c r="NGF12" s="15"/>
      <c r="NGL12" s="25"/>
      <c r="NGS12" s="21"/>
      <c r="NGT12" s="21"/>
      <c r="NGX12" s="15"/>
      <c r="NHD12" s="25"/>
      <c r="NHK12" s="21"/>
      <c r="NHL12" s="21"/>
      <c r="NHP12" s="15"/>
      <c r="NHV12" s="25"/>
      <c r="NIC12" s="21"/>
      <c r="NID12" s="21"/>
      <c r="NIH12" s="15"/>
      <c r="NIN12" s="25"/>
      <c r="NIU12" s="21"/>
      <c r="NIV12" s="21"/>
      <c r="NIZ12" s="15"/>
      <c r="NJF12" s="25"/>
      <c r="NJM12" s="21"/>
      <c r="NJN12" s="21"/>
      <c r="NJR12" s="15"/>
      <c r="NJX12" s="25"/>
      <c r="NKE12" s="21"/>
      <c r="NKF12" s="21"/>
      <c r="NKJ12" s="15"/>
      <c r="NKP12" s="25"/>
      <c r="NKW12" s="21"/>
      <c r="NKX12" s="21"/>
      <c r="NLB12" s="15"/>
      <c r="NLH12" s="25"/>
      <c r="NLO12" s="21"/>
      <c r="NLP12" s="21"/>
      <c r="NLT12" s="15"/>
      <c r="NLZ12" s="25"/>
      <c r="NMG12" s="21"/>
      <c r="NMH12" s="21"/>
      <c r="NML12" s="15"/>
      <c r="NMR12" s="25"/>
      <c r="NMY12" s="21"/>
      <c r="NMZ12" s="21"/>
      <c r="NND12" s="15"/>
      <c r="NNJ12" s="25"/>
      <c r="NNQ12" s="21"/>
      <c r="NNR12" s="21"/>
      <c r="NNV12" s="15"/>
      <c r="NOB12" s="25"/>
      <c r="NOI12" s="21"/>
      <c r="NOJ12" s="21"/>
      <c r="NON12" s="15"/>
      <c r="NOT12" s="25"/>
      <c r="NPA12" s="21"/>
      <c r="NPB12" s="21"/>
      <c r="NPF12" s="15"/>
      <c r="NPL12" s="25"/>
      <c r="NPS12" s="21"/>
      <c r="NPT12" s="21"/>
      <c r="NPX12" s="15"/>
      <c r="NQD12" s="25"/>
      <c r="NQK12" s="21"/>
      <c r="NQL12" s="21"/>
      <c r="NQP12" s="15"/>
      <c r="NQV12" s="25"/>
      <c r="NRC12" s="21"/>
      <c r="NRD12" s="21"/>
      <c r="NRH12" s="15"/>
      <c r="NRN12" s="25"/>
      <c r="NRU12" s="21"/>
      <c r="NRV12" s="21"/>
      <c r="NRZ12" s="15"/>
      <c r="NSF12" s="25"/>
      <c r="NSM12" s="21"/>
      <c r="NSN12" s="21"/>
      <c r="NSR12" s="15"/>
      <c r="NSX12" s="25"/>
      <c r="NTE12" s="21"/>
      <c r="NTF12" s="21"/>
      <c r="NTJ12" s="15"/>
      <c r="NTP12" s="25"/>
      <c r="NTW12" s="21"/>
      <c r="NTX12" s="21"/>
      <c r="NUB12" s="15"/>
      <c r="NUH12" s="25"/>
      <c r="NUO12" s="21"/>
      <c r="NUP12" s="21"/>
      <c r="NUT12" s="15"/>
      <c r="NUZ12" s="25"/>
      <c r="NVG12" s="21"/>
      <c r="NVH12" s="21"/>
      <c r="NVL12" s="15"/>
      <c r="NVR12" s="25"/>
      <c r="NVY12" s="21"/>
      <c r="NVZ12" s="21"/>
      <c r="NWD12" s="15"/>
      <c r="NWJ12" s="25"/>
      <c r="NWQ12" s="21"/>
      <c r="NWR12" s="21"/>
      <c r="NWV12" s="15"/>
      <c r="NXB12" s="25"/>
      <c r="NXI12" s="21"/>
      <c r="NXJ12" s="21"/>
      <c r="NXN12" s="15"/>
      <c r="NXT12" s="25"/>
      <c r="NYA12" s="21"/>
      <c r="NYB12" s="21"/>
      <c r="NYF12" s="15"/>
      <c r="NYL12" s="25"/>
      <c r="NYS12" s="21"/>
      <c r="NYT12" s="21"/>
      <c r="NYX12" s="15"/>
      <c r="NZD12" s="25"/>
      <c r="NZK12" s="21"/>
      <c r="NZL12" s="21"/>
      <c r="NZP12" s="15"/>
      <c r="NZV12" s="25"/>
      <c r="OAC12" s="21"/>
      <c r="OAD12" s="21"/>
      <c r="OAH12" s="15"/>
      <c r="OAN12" s="25"/>
      <c r="OAU12" s="21"/>
      <c r="OAV12" s="21"/>
      <c r="OAZ12" s="15"/>
      <c r="OBF12" s="25"/>
      <c r="OBM12" s="21"/>
      <c r="OBN12" s="21"/>
      <c r="OBR12" s="15"/>
      <c r="OBX12" s="25"/>
      <c r="OCE12" s="21"/>
      <c r="OCF12" s="21"/>
      <c r="OCJ12" s="15"/>
      <c r="OCP12" s="25"/>
      <c r="OCW12" s="21"/>
      <c r="OCX12" s="21"/>
      <c r="ODB12" s="15"/>
      <c r="ODH12" s="25"/>
      <c r="ODO12" s="21"/>
      <c r="ODP12" s="21"/>
      <c r="ODT12" s="15"/>
      <c r="ODZ12" s="25"/>
      <c r="OEG12" s="21"/>
      <c r="OEH12" s="21"/>
      <c r="OEL12" s="15"/>
      <c r="OER12" s="25"/>
      <c r="OEY12" s="21"/>
      <c r="OEZ12" s="21"/>
      <c r="OFD12" s="15"/>
      <c r="OFJ12" s="25"/>
      <c r="OFQ12" s="21"/>
      <c r="OFR12" s="21"/>
      <c r="OFV12" s="15"/>
      <c r="OGB12" s="25"/>
      <c r="OGI12" s="21"/>
      <c r="OGJ12" s="21"/>
      <c r="OGN12" s="15"/>
      <c r="OGT12" s="25"/>
      <c r="OHA12" s="21"/>
      <c r="OHB12" s="21"/>
      <c r="OHF12" s="15"/>
      <c r="OHL12" s="25"/>
      <c r="OHS12" s="21"/>
      <c r="OHT12" s="21"/>
      <c r="OHX12" s="15"/>
      <c r="OID12" s="25"/>
      <c r="OIK12" s="21"/>
      <c r="OIL12" s="21"/>
      <c r="OIP12" s="15"/>
      <c r="OIV12" s="25"/>
      <c r="OJC12" s="21"/>
      <c r="OJD12" s="21"/>
      <c r="OJH12" s="15"/>
      <c r="OJN12" s="25"/>
      <c r="OJU12" s="21"/>
      <c r="OJV12" s="21"/>
      <c r="OJZ12" s="15"/>
      <c r="OKF12" s="25"/>
      <c r="OKM12" s="21"/>
      <c r="OKN12" s="21"/>
      <c r="OKR12" s="15"/>
      <c r="OKX12" s="25"/>
      <c r="OLE12" s="21"/>
      <c r="OLF12" s="21"/>
      <c r="OLJ12" s="15"/>
      <c r="OLP12" s="25"/>
      <c r="OLW12" s="21"/>
      <c r="OLX12" s="21"/>
      <c r="OMB12" s="15"/>
      <c r="OMH12" s="25"/>
      <c r="OMO12" s="21"/>
      <c r="OMP12" s="21"/>
      <c r="OMT12" s="15"/>
      <c r="OMZ12" s="25"/>
      <c r="ONG12" s="21"/>
      <c r="ONH12" s="21"/>
      <c r="ONL12" s="15"/>
      <c r="ONR12" s="25"/>
      <c r="ONY12" s="21"/>
      <c r="ONZ12" s="21"/>
      <c r="OOD12" s="15"/>
      <c r="OOJ12" s="25"/>
      <c r="OOQ12" s="21"/>
      <c r="OOR12" s="21"/>
      <c r="OOV12" s="15"/>
      <c r="OPB12" s="25"/>
      <c r="OPI12" s="21"/>
      <c r="OPJ12" s="21"/>
      <c r="OPN12" s="15"/>
      <c r="OPT12" s="25"/>
      <c r="OQA12" s="21"/>
      <c r="OQB12" s="21"/>
      <c r="OQF12" s="15"/>
      <c r="OQL12" s="25"/>
      <c r="OQS12" s="21"/>
      <c r="OQT12" s="21"/>
      <c r="OQX12" s="15"/>
      <c r="ORD12" s="25"/>
      <c r="ORK12" s="21"/>
      <c r="ORL12" s="21"/>
      <c r="ORP12" s="15"/>
      <c r="ORV12" s="25"/>
      <c r="OSC12" s="21"/>
      <c r="OSD12" s="21"/>
      <c r="OSH12" s="15"/>
      <c r="OSN12" s="25"/>
      <c r="OSU12" s="21"/>
      <c r="OSV12" s="21"/>
      <c r="OSZ12" s="15"/>
      <c r="OTF12" s="25"/>
      <c r="OTM12" s="21"/>
      <c r="OTN12" s="21"/>
      <c r="OTR12" s="15"/>
      <c r="OTX12" s="25"/>
      <c r="OUE12" s="21"/>
      <c r="OUF12" s="21"/>
      <c r="OUJ12" s="15"/>
      <c r="OUP12" s="25"/>
      <c r="OUW12" s="21"/>
      <c r="OUX12" s="21"/>
      <c r="OVB12" s="15"/>
      <c r="OVH12" s="25"/>
      <c r="OVO12" s="21"/>
      <c r="OVP12" s="21"/>
      <c r="OVT12" s="15"/>
      <c r="OVZ12" s="25"/>
      <c r="OWG12" s="21"/>
      <c r="OWH12" s="21"/>
      <c r="OWL12" s="15"/>
      <c r="OWR12" s="25"/>
      <c r="OWY12" s="21"/>
      <c r="OWZ12" s="21"/>
      <c r="OXD12" s="15"/>
      <c r="OXJ12" s="25"/>
      <c r="OXQ12" s="21"/>
      <c r="OXR12" s="21"/>
      <c r="OXV12" s="15"/>
      <c r="OYB12" s="25"/>
      <c r="OYI12" s="21"/>
      <c r="OYJ12" s="21"/>
      <c r="OYN12" s="15"/>
      <c r="OYT12" s="25"/>
      <c r="OZA12" s="21"/>
      <c r="OZB12" s="21"/>
      <c r="OZF12" s="15"/>
      <c r="OZL12" s="25"/>
      <c r="OZS12" s="21"/>
      <c r="OZT12" s="21"/>
      <c r="OZX12" s="15"/>
      <c r="PAD12" s="25"/>
      <c r="PAK12" s="21"/>
      <c r="PAL12" s="21"/>
      <c r="PAP12" s="15"/>
      <c r="PAV12" s="25"/>
      <c r="PBC12" s="21"/>
      <c r="PBD12" s="21"/>
      <c r="PBH12" s="15"/>
      <c r="PBN12" s="25"/>
      <c r="PBU12" s="21"/>
      <c r="PBV12" s="21"/>
      <c r="PBZ12" s="15"/>
      <c r="PCF12" s="25"/>
      <c r="PCM12" s="21"/>
      <c r="PCN12" s="21"/>
      <c r="PCR12" s="15"/>
      <c r="PCX12" s="25"/>
      <c r="PDE12" s="21"/>
      <c r="PDF12" s="21"/>
      <c r="PDJ12" s="15"/>
      <c r="PDP12" s="25"/>
      <c r="PDW12" s="21"/>
      <c r="PDX12" s="21"/>
      <c r="PEB12" s="15"/>
      <c r="PEH12" s="25"/>
      <c r="PEO12" s="21"/>
      <c r="PEP12" s="21"/>
      <c r="PET12" s="15"/>
      <c r="PEZ12" s="25"/>
      <c r="PFG12" s="21"/>
      <c r="PFH12" s="21"/>
      <c r="PFL12" s="15"/>
      <c r="PFR12" s="25"/>
      <c r="PFY12" s="21"/>
      <c r="PFZ12" s="21"/>
      <c r="PGD12" s="15"/>
      <c r="PGJ12" s="25"/>
      <c r="PGQ12" s="21"/>
      <c r="PGR12" s="21"/>
      <c r="PGV12" s="15"/>
      <c r="PHB12" s="25"/>
      <c r="PHI12" s="21"/>
      <c r="PHJ12" s="21"/>
      <c r="PHN12" s="15"/>
      <c r="PHT12" s="25"/>
      <c r="PIA12" s="21"/>
      <c r="PIB12" s="21"/>
      <c r="PIF12" s="15"/>
      <c r="PIL12" s="25"/>
      <c r="PIS12" s="21"/>
      <c r="PIT12" s="21"/>
      <c r="PIX12" s="15"/>
      <c r="PJD12" s="25"/>
      <c r="PJK12" s="21"/>
      <c r="PJL12" s="21"/>
      <c r="PJP12" s="15"/>
      <c r="PJV12" s="25"/>
      <c r="PKC12" s="21"/>
      <c r="PKD12" s="21"/>
      <c r="PKH12" s="15"/>
      <c r="PKN12" s="25"/>
      <c r="PKU12" s="21"/>
      <c r="PKV12" s="21"/>
      <c r="PKZ12" s="15"/>
      <c r="PLF12" s="25"/>
      <c r="PLM12" s="21"/>
      <c r="PLN12" s="21"/>
      <c r="PLR12" s="15"/>
      <c r="PLX12" s="25"/>
      <c r="PME12" s="21"/>
      <c r="PMF12" s="21"/>
      <c r="PMJ12" s="15"/>
      <c r="PMP12" s="25"/>
      <c r="PMW12" s="21"/>
      <c r="PMX12" s="21"/>
      <c r="PNB12" s="15"/>
      <c r="PNH12" s="25"/>
      <c r="PNO12" s="21"/>
      <c r="PNP12" s="21"/>
      <c r="PNT12" s="15"/>
      <c r="PNZ12" s="25"/>
      <c r="POG12" s="21"/>
      <c r="POH12" s="21"/>
      <c r="POL12" s="15"/>
      <c r="POR12" s="25"/>
      <c r="POY12" s="21"/>
      <c r="POZ12" s="21"/>
      <c r="PPD12" s="15"/>
      <c r="PPJ12" s="25"/>
      <c r="PPQ12" s="21"/>
      <c r="PPR12" s="21"/>
      <c r="PPV12" s="15"/>
      <c r="PQB12" s="25"/>
      <c r="PQI12" s="21"/>
      <c r="PQJ12" s="21"/>
      <c r="PQN12" s="15"/>
      <c r="PQT12" s="25"/>
      <c r="PRA12" s="21"/>
      <c r="PRB12" s="21"/>
      <c r="PRF12" s="15"/>
      <c r="PRL12" s="25"/>
      <c r="PRS12" s="21"/>
      <c r="PRT12" s="21"/>
      <c r="PRX12" s="15"/>
      <c r="PSD12" s="25"/>
      <c r="PSK12" s="21"/>
      <c r="PSL12" s="21"/>
      <c r="PSP12" s="15"/>
      <c r="PSV12" s="25"/>
      <c r="PTC12" s="21"/>
      <c r="PTD12" s="21"/>
      <c r="PTH12" s="15"/>
      <c r="PTN12" s="25"/>
      <c r="PTU12" s="21"/>
      <c r="PTV12" s="21"/>
      <c r="PTZ12" s="15"/>
      <c r="PUF12" s="25"/>
      <c r="PUM12" s="21"/>
      <c r="PUN12" s="21"/>
      <c r="PUR12" s="15"/>
      <c r="PUX12" s="25"/>
      <c r="PVE12" s="21"/>
      <c r="PVF12" s="21"/>
      <c r="PVJ12" s="15"/>
      <c r="PVP12" s="25"/>
      <c r="PVW12" s="21"/>
      <c r="PVX12" s="21"/>
      <c r="PWB12" s="15"/>
      <c r="PWH12" s="25"/>
      <c r="PWO12" s="21"/>
      <c r="PWP12" s="21"/>
      <c r="PWT12" s="15"/>
      <c r="PWZ12" s="25"/>
      <c r="PXG12" s="21"/>
      <c r="PXH12" s="21"/>
      <c r="PXL12" s="15"/>
      <c r="PXR12" s="25"/>
      <c r="PXY12" s="21"/>
      <c r="PXZ12" s="21"/>
      <c r="PYD12" s="15"/>
      <c r="PYJ12" s="25"/>
      <c r="PYQ12" s="21"/>
      <c r="PYR12" s="21"/>
      <c r="PYV12" s="15"/>
      <c r="PZB12" s="25"/>
      <c r="PZI12" s="21"/>
      <c r="PZJ12" s="21"/>
      <c r="PZN12" s="15"/>
      <c r="PZT12" s="25"/>
      <c r="QAA12" s="21"/>
      <c r="QAB12" s="21"/>
      <c r="QAF12" s="15"/>
      <c r="QAL12" s="25"/>
      <c r="QAS12" s="21"/>
      <c r="QAT12" s="21"/>
      <c r="QAX12" s="15"/>
      <c r="QBD12" s="25"/>
      <c r="QBK12" s="21"/>
      <c r="QBL12" s="21"/>
      <c r="QBP12" s="15"/>
      <c r="QBV12" s="25"/>
      <c r="QCC12" s="21"/>
      <c r="QCD12" s="21"/>
      <c r="QCH12" s="15"/>
      <c r="QCN12" s="25"/>
      <c r="QCU12" s="21"/>
      <c r="QCV12" s="21"/>
      <c r="QCZ12" s="15"/>
      <c r="QDF12" s="25"/>
      <c r="QDM12" s="21"/>
      <c r="QDN12" s="21"/>
      <c r="QDR12" s="15"/>
      <c r="QDX12" s="25"/>
      <c r="QEE12" s="21"/>
      <c r="QEF12" s="21"/>
      <c r="QEJ12" s="15"/>
      <c r="QEP12" s="25"/>
      <c r="QEW12" s="21"/>
      <c r="QEX12" s="21"/>
      <c r="QFB12" s="15"/>
      <c r="QFH12" s="25"/>
      <c r="QFO12" s="21"/>
      <c r="QFP12" s="21"/>
      <c r="QFT12" s="15"/>
      <c r="QFZ12" s="25"/>
      <c r="QGG12" s="21"/>
      <c r="QGH12" s="21"/>
      <c r="QGL12" s="15"/>
      <c r="QGR12" s="25"/>
      <c r="QGY12" s="21"/>
      <c r="QGZ12" s="21"/>
      <c r="QHD12" s="15"/>
      <c r="QHJ12" s="25"/>
      <c r="QHQ12" s="21"/>
      <c r="QHR12" s="21"/>
      <c r="QHV12" s="15"/>
      <c r="QIB12" s="25"/>
      <c r="QII12" s="21"/>
      <c r="QIJ12" s="21"/>
      <c r="QIN12" s="15"/>
      <c r="QIT12" s="25"/>
      <c r="QJA12" s="21"/>
      <c r="QJB12" s="21"/>
      <c r="QJF12" s="15"/>
      <c r="QJL12" s="25"/>
      <c r="QJS12" s="21"/>
      <c r="QJT12" s="21"/>
      <c r="QJX12" s="15"/>
      <c r="QKD12" s="25"/>
      <c r="QKK12" s="21"/>
      <c r="QKL12" s="21"/>
      <c r="QKP12" s="15"/>
      <c r="QKV12" s="25"/>
      <c r="QLC12" s="21"/>
      <c r="QLD12" s="21"/>
      <c r="QLH12" s="15"/>
      <c r="QLN12" s="25"/>
      <c r="QLU12" s="21"/>
      <c r="QLV12" s="21"/>
      <c r="QLZ12" s="15"/>
      <c r="QMF12" s="25"/>
      <c r="QMM12" s="21"/>
      <c r="QMN12" s="21"/>
      <c r="QMR12" s="15"/>
      <c r="QMX12" s="25"/>
      <c r="QNE12" s="21"/>
      <c r="QNF12" s="21"/>
      <c r="QNJ12" s="15"/>
      <c r="QNP12" s="25"/>
      <c r="QNW12" s="21"/>
      <c r="QNX12" s="21"/>
      <c r="QOB12" s="15"/>
      <c r="QOH12" s="25"/>
      <c r="QOO12" s="21"/>
      <c r="QOP12" s="21"/>
      <c r="QOT12" s="15"/>
      <c r="QOZ12" s="25"/>
      <c r="QPG12" s="21"/>
      <c r="QPH12" s="21"/>
      <c r="QPL12" s="15"/>
      <c r="QPR12" s="25"/>
      <c r="QPY12" s="21"/>
      <c r="QPZ12" s="21"/>
      <c r="QQD12" s="15"/>
      <c r="QQJ12" s="25"/>
      <c r="QQQ12" s="21"/>
      <c r="QQR12" s="21"/>
      <c r="QQV12" s="15"/>
      <c r="QRB12" s="25"/>
      <c r="QRI12" s="21"/>
      <c r="QRJ12" s="21"/>
      <c r="QRN12" s="15"/>
      <c r="QRT12" s="25"/>
      <c r="QSA12" s="21"/>
      <c r="QSB12" s="21"/>
      <c r="QSF12" s="15"/>
      <c r="QSL12" s="25"/>
      <c r="QSS12" s="21"/>
      <c r="QST12" s="21"/>
      <c r="QSX12" s="15"/>
      <c r="QTD12" s="25"/>
      <c r="QTK12" s="21"/>
      <c r="QTL12" s="21"/>
      <c r="QTP12" s="15"/>
      <c r="QTV12" s="25"/>
      <c r="QUC12" s="21"/>
      <c r="QUD12" s="21"/>
      <c r="QUH12" s="15"/>
      <c r="QUN12" s="25"/>
      <c r="QUU12" s="21"/>
      <c r="QUV12" s="21"/>
      <c r="QUZ12" s="15"/>
      <c r="QVF12" s="25"/>
      <c r="QVM12" s="21"/>
      <c r="QVN12" s="21"/>
      <c r="QVR12" s="15"/>
      <c r="QVX12" s="25"/>
      <c r="QWE12" s="21"/>
      <c r="QWF12" s="21"/>
      <c r="QWJ12" s="15"/>
      <c r="QWP12" s="25"/>
      <c r="QWW12" s="21"/>
      <c r="QWX12" s="21"/>
      <c r="QXB12" s="15"/>
      <c r="QXH12" s="25"/>
      <c r="QXO12" s="21"/>
      <c r="QXP12" s="21"/>
      <c r="QXT12" s="15"/>
      <c r="QXZ12" s="25"/>
      <c r="QYG12" s="21"/>
      <c r="QYH12" s="21"/>
      <c r="QYL12" s="15"/>
      <c r="QYR12" s="25"/>
      <c r="QYY12" s="21"/>
      <c r="QYZ12" s="21"/>
      <c r="QZD12" s="15"/>
      <c r="QZJ12" s="25"/>
      <c r="QZQ12" s="21"/>
      <c r="QZR12" s="21"/>
      <c r="QZV12" s="15"/>
      <c r="RAB12" s="25"/>
      <c r="RAI12" s="21"/>
      <c r="RAJ12" s="21"/>
      <c r="RAN12" s="15"/>
      <c r="RAT12" s="25"/>
      <c r="RBA12" s="21"/>
      <c r="RBB12" s="21"/>
      <c r="RBF12" s="15"/>
      <c r="RBL12" s="25"/>
      <c r="RBS12" s="21"/>
      <c r="RBT12" s="21"/>
      <c r="RBX12" s="15"/>
      <c r="RCD12" s="25"/>
      <c r="RCK12" s="21"/>
      <c r="RCL12" s="21"/>
      <c r="RCP12" s="15"/>
      <c r="RCV12" s="25"/>
      <c r="RDC12" s="21"/>
      <c r="RDD12" s="21"/>
      <c r="RDH12" s="15"/>
      <c r="RDN12" s="25"/>
      <c r="RDU12" s="21"/>
      <c r="RDV12" s="21"/>
      <c r="RDZ12" s="15"/>
      <c r="REF12" s="25"/>
      <c r="REM12" s="21"/>
      <c r="REN12" s="21"/>
      <c r="RER12" s="15"/>
      <c r="REX12" s="25"/>
      <c r="RFE12" s="21"/>
      <c r="RFF12" s="21"/>
      <c r="RFJ12" s="15"/>
      <c r="RFP12" s="25"/>
      <c r="RFW12" s="21"/>
      <c r="RFX12" s="21"/>
      <c r="RGB12" s="15"/>
      <c r="RGH12" s="25"/>
      <c r="RGO12" s="21"/>
      <c r="RGP12" s="21"/>
      <c r="RGT12" s="15"/>
      <c r="RGZ12" s="25"/>
      <c r="RHG12" s="21"/>
      <c r="RHH12" s="21"/>
      <c r="RHL12" s="15"/>
      <c r="RHR12" s="25"/>
      <c r="RHY12" s="21"/>
      <c r="RHZ12" s="21"/>
      <c r="RID12" s="15"/>
      <c r="RIJ12" s="25"/>
      <c r="RIQ12" s="21"/>
      <c r="RIR12" s="21"/>
      <c r="RIV12" s="15"/>
      <c r="RJB12" s="25"/>
      <c r="RJI12" s="21"/>
      <c r="RJJ12" s="21"/>
      <c r="RJN12" s="15"/>
      <c r="RJT12" s="25"/>
      <c r="RKA12" s="21"/>
      <c r="RKB12" s="21"/>
      <c r="RKF12" s="15"/>
      <c r="RKL12" s="25"/>
      <c r="RKS12" s="21"/>
      <c r="RKT12" s="21"/>
      <c r="RKX12" s="15"/>
      <c r="RLD12" s="25"/>
      <c r="RLK12" s="21"/>
      <c r="RLL12" s="21"/>
      <c r="RLP12" s="15"/>
      <c r="RLV12" s="25"/>
      <c r="RMC12" s="21"/>
      <c r="RMD12" s="21"/>
      <c r="RMH12" s="15"/>
      <c r="RMN12" s="25"/>
      <c r="RMU12" s="21"/>
      <c r="RMV12" s="21"/>
      <c r="RMZ12" s="15"/>
      <c r="RNF12" s="25"/>
      <c r="RNM12" s="21"/>
      <c r="RNN12" s="21"/>
      <c r="RNR12" s="15"/>
      <c r="RNX12" s="25"/>
      <c r="ROE12" s="21"/>
      <c r="ROF12" s="21"/>
      <c r="ROJ12" s="15"/>
      <c r="ROP12" s="25"/>
      <c r="ROW12" s="21"/>
      <c r="ROX12" s="21"/>
      <c r="RPB12" s="15"/>
      <c r="RPH12" s="25"/>
      <c r="RPO12" s="21"/>
      <c r="RPP12" s="21"/>
      <c r="RPT12" s="15"/>
      <c r="RPZ12" s="25"/>
      <c r="RQG12" s="21"/>
      <c r="RQH12" s="21"/>
      <c r="RQL12" s="15"/>
      <c r="RQR12" s="25"/>
      <c r="RQY12" s="21"/>
      <c r="RQZ12" s="21"/>
      <c r="RRD12" s="15"/>
      <c r="RRJ12" s="25"/>
      <c r="RRQ12" s="21"/>
      <c r="RRR12" s="21"/>
      <c r="RRV12" s="15"/>
      <c r="RSB12" s="25"/>
      <c r="RSI12" s="21"/>
      <c r="RSJ12" s="21"/>
      <c r="RSN12" s="15"/>
      <c r="RST12" s="25"/>
      <c r="RTA12" s="21"/>
      <c r="RTB12" s="21"/>
      <c r="RTF12" s="15"/>
      <c r="RTL12" s="25"/>
      <c r="RTS12" s="21"/>
      <c r="RTT12" s="21"/>
      <c r="RTX12" s="15"/>
      <c r="RUD12" s="25"/>
      <c r="RUK12" s="21"/>
      <c r="RUL12" s="21"/>
      <c r="RUP12" s="15"/>
      <c r="RUV12" s="25"/>
      <c r="RVC12" s="21"/>
      <c r="RVD12" s="21"/>
      <c r="RVH12" s="15"/>
      <c r="RVN12" s="25"/>
      <c r="RVU12" s="21"/>
      <c r="RVV12" s="21"/>
      <c r="RVZ12" s="15"/>
      <c r="RWF12" s="25"/>
      <c r="RWM12" s="21"/>
      <c r="RWN12" s="21"/>
      <c r="RWR12" s="15"/>
      <c r="RWX12" s="25"/>
      <c r="RXE12" s="21"/>
      <c r="RXF12" s="21"/>
      <c r="RXJ12" s="15"/>
      <c r="RXP12" s="25"/>
      <c r="RXW12" s="21"/>
      <c r="RXX12" s="21"/>
      <c r="RYB12" s="15"/>
      <c r="RYH12" s="25"/>
      <c r="RYO12" s="21"/>
      <c r="RYP12" s="21"/>
      <c r="RYT12" s="15"/>
      <c r="RYZ12" s="25"/>
      <c r="RZG12" s="21"/>
      <c r="RZH12" s="21"/>
      <c r="RZL12" s="15"/>
      <c r="RZR12" s="25"/>
      <c r="RZY12" s="21"/>
      <c r="RZZ12" s="21"/>
      <c r="SAD12" s="15"/>
      <c r="SAJ12" s="25"/>
      <c r="SAQ12" s="21"/>
      <c r="SAR12" s="21"/>
      <c r="SAV12" s="15"/>
      <c r="SBB12" s="25"/>
      <c r="SBI12" s="21"/>
      <c r="SBJ12" s="21"/>
      <c r="SBN12" s="15"/>
      <c r="SBT12" s="25"/>
      <c r="SCA12" s="21"/>
      <c r="SCB12" s="21"/>
      <c r="SCF12" s="15"/>
      <c r="SCL12" s="25"/>
      <c r="SCS12" s="21"/>
      <c r="SCT12" s="21"/>
      <c r="SCX12" s="15"/>
      <c r="SDD12" s="25"/>
      <c r="SDK12" s="21"/>
      <c r="SDL12" s="21"/>
      <c r="SDP12" s="15"/>
      <c r="SDV12" s="25"/>
      <c r="SEC12" s="21"/>
      <c r="SED12" s="21"/>
      <c r="SEH12" s="15"/>
      <c r="SEN12" s="25"/>
      <c r="SEU12" s="21"/>
      <c r="SEV12" s="21"/>
      <c r="SEZ12" s="15"/>
      <c r="SFF12" s="25"/>
      <c r="SFM12" s="21"/>
      <c r="SFN12" s="21"/>
      <c r="SFR12" s="15"/>
      <c r="SFX12" s="25"/>
      <c r="SGE12" s="21"/>
      <c r="SGF12" s="21"/>
      <c r="SGJ12" s="15"/>
      <c r="SGP12" s="25"/>
      <c r="SGW12" s="21"/>
      <c r="SGX12" s="21"/>
      <c r="SHB12" s="15"/>
      <c r="SHH12" s="25"/>
      <c r="SHO12" s="21"/>
      <c r="SHP12" s="21"/>
      <c r="SHT12" s="15"/>
      <c r="SHZ12" s="25"/>
      <c r="SIG12" s="21"/>
      <c r="SIH12" s="21"/>
      <c r="SIL12" s="15"/>
      <c r="SIR12" s="25"/>
      <c r="SIY12" s="21"/>
      <c r="SIZ12" s="21"/>
      <c r="SJD12" s="15"/>
      <c r="SJJ12" s="25"/>
      <c r="SJQ12" s="21"/>
      <c r="SJR12" s="21"/>
      <c r="SJV12" s="15"/>
      <c r="SKB12" s="25"/>
      <c r="SKI12" s="21"/>
      <c r="SKJ12" s="21"/>
      <c r="SKN12" s="15"/>
      <c r="SKT12" s="25"/>
      <c r="SLA12" s="21"/>
      <c r="SLB12" s="21"/>
      <c r="SLF12" s="15"/>
      <c r="SLL12" s="25"/>
      <c r="SLS12" s="21"/>
      <c r="SLT12" s="21"/>
      <c r="SLX12" s="15"/>
      <c r="SMD12" s="25"/>
      <c r="SMK12" s="21"/>
      <c r="SML12" s="21"/>
      <c r="SMP12" s="15"/>
      <c r="SMV12" s="25"/>
      <c r="SNC12" s="21"/>
      <c r="SND12" s="21"/>
      <c r="SNH12" s="15"/>
      <c r="SNN12" s="25"/>
      <c r="SNU12" s="21"/>
      <c r="SNV12" s="21"/>
      <c r="SNZ12" s="15"/>
      <c r="SOF12" s="25"/>
      <c r="SOM12" s="21"/>
      <c r="SON12" s="21"/>
      <c r="SOR12" s="15"/>
      <c r="SOX12" s="25"/>
      <c r="SPE12" s="21"/>
      <c r="SPF12" s="21"/>
      <c r="SPJ12" s="15"/>
      <c r="SPP12" s="25"/>
      <c r="SPW12" s="21"/>
      <c r="SPX12" s="21"/>
      <c r="SQB12" s="15"/>
      <c r="SQH12" s="25"/>
      <c r="SQO12" s="21"/>
      <c r="SQP12" s="21"/>
      <c r="SQT12" s="15"/>
      <c r="SQZ12" s="25"/>
      <c r="SRG12" s="21"/>
      <c r="SRH12" s="21"/>
      <c r="SRL12" s="15"/>
      <c r="SRR12" s="25"/>
      <c r="SRY12" s="21"/>
      <c r="SRZ12" s="21"/>
      <c r="SSD12" s="15"/>
      <c r="SSJ12" s="25"/>
      <c r="SSQ12" s="21"/>
      <c r="SSR12" s="21"/>
      <c r="SSV12" s="15"/>
      <c r="STB12" s="25"/>
      <c r="STI12" s="21"/>
      <c r="STJ12" s="21"/>
      <c r="STN12" s="15"/>
      <c r="STT12" s="25"/>
      <c r="SUA12" s="21"/>
      <c r="SUB12" s="21"/>
      <c r="SUF12" s="15"/>
      <c r="SUL12" s="25"/>
      <c r="SUS12" s="21"/>
      <c r="SUT12" s="21"/>
      <c r="SUX12" s="15"/>
      <c r="SVD12" s="25"/>
      <c r="SVK12" s="21"/>
      <c r="SVL12" s="21"/>
      <c r="SVP12" s="15"/>
      <c r="SVV12" s="25"/>
      <c r="SWC12" s="21"/>
      <c r="SWD12" s="21"/>
      <c r="SWH12" s="15"/>
      <c r="SWN12" s="25"/>
      <c r="SWU12" s="21"/>
      <c r="SWV12" s="21"/>
      <c r="SWZ12" s="15"/>
      <c r="SXF12" s="25"/>
      <c r="SXM12" s="21"/>
      <c r="SXN12" s="21"/>
      <c r="SXR12" s="15"/>
      <c r="SXX12" s="25"/>
      <c r="SYE12" s="21"/>
      <c r="SYF12" s="21"/>
      <c r="SYJ12" s="15"/>
      <c r="SYP12" s="25"/>
      <c r="SYW12" s="21"/>
      <c r="SYX12" s="21"/>
      <c r="SZB12" s="15"/>
      <c r="SZH12" s="25"/>
      <c r="SZO12" s="21"/>
      <c r="SZP12" s="21"/>
      <c r="SZT12" s="15"/>
      <c r="SZZ12" s="25"/>
      <c r="TAG12" s="21"/>
      <c r="TAH12" s="21"/>
      <c r="TAL12" s="15"/>
      <c r="TAR12" s="25"/>
      <c r="TAY12" s="21"/>
      <c r="TAZ12" s="21"/>
      <c r="TBD12" s="15"/>
      <c r="TBJ12" s="25"/>
      <c r="TBQ12" s="21"/>
      <c r="TBR12" s="21"/>
      <c r="TBV12" s="15"/>
      <c r="TCB12" s="25"/>
      <c r="TCI12" s="21"/>
      <c r="TCJ12" s="21"/>
      <c r="TCN12" s="15"/>
      <c r="TCT12" s="25"/>
      <c r="TDA12" s="21"/>
      <c r="TDB12" s="21"/>
      <c r="TDF12" s="15"/>
      <c r="TDL12" s="25"/>
      <c r="TDS12" s="21"/>
      <c r="TDT12" s="21"/>
      <c r="TDX12" s="15"/>
      <c r="TED12" s="25"/>
      <c r="TEK12" s="21"/>
      <c r="TEL12" s="21"/>
      <c r="TEP12" s="15"/>
      <c r="TEV12" s="25"/>
      <c r="TFC12" s="21"/>
      <c r="TFD12" s="21"/>
      <c r="TFH12" s="15"/>
      <c r="TFN12" s="25"/>
      <c r="TFU12" s="21"/>
      <c r="TFV12" s="21"/>
      <c r="TFZ12" s="15"/>
      <c r="TGF12" s="25"/>
      <c r="TGM12" s="21"/>
      <c r="TGN12" s="21"/>
      <c r="TGR12" s="15"/>
      <c r="TGX12" s="25"/>
      <c r="THE12" s="21"/>
      <c r="THF12" s="21"/>
      <c r="THJ12" s="15"/>
      <c r="THP12" s="25"/>
      <c r="THW12" s="21"/>
      <c r="THX12" s="21"/>
      <c r="TIB12" s="15"/>
      <c r="TIH12" s="25"/>
      <c r="TIO12" s="21"/>
      <c r="TIP12" s="21"/>
      <c r="TIT12" s="15"/>
      <c r="TIZ12" s="25"/>
      <c r="TJG12" s="21"/>
      <c r="TJH12" s="21"/>
      <c r="TJL12" s="15"/>
      <c r="TJR12" s="25"/>
      <c r="TJY12" s="21"/>
      <c r="TJZ12" s="21"/>
      <c r="TKD12" s="15"/>
      <c r="TKJ12" s="25"/>
      <c r="TKQ12" s="21"/>
      <c r="TKR12" s="21"/>
      <c r="TKV12" s="15"/>
      <c r="TLB12" s="25"/>
      <c r="TLI12" s="21"/>
      <c r="TLJ12" s="21"/>
      <c r="TLN12" s="15"/>
      <c r="TLT12" s="25"/>
      <c r="TMA12" s="21"/>
      <c r="TMB12" s="21"/>
      <c r="TMF12" s="15"/>
      <c r="TML12" s="25"/>
      <c r="TMS12" s="21"/>
      <c r="TMT12" s="21"/>
      <c r="TMX12" s="15"/>
      <c r="TND12" s="25"/>
      <c r="TNK12" s="21"/>
      <c r="TNL12" s="21"/>
      <c r="TNP12" s="15"/>
      <c r="TNV12" s="25"/>
      <c r="TOC12" s="21"/>
      <c r="TOD12" s="21"/>
      <c r="TOH12" s="15"/>
      <c r="TON12" s="25"/>
      <c r="TOU12" s="21"/>
      <c r="TOV12" s="21"/>
      <c r="TOZ12" s="15"/>
      <c r="TPF12" s="25"/>
      <c r="TPM12" s="21"/>
      <c r="TPN12" s="21"/>
      <c r="TPR12" s="15"/>
      <c r="TPX12" s="25"/>
      <c r="TQE12" s="21"/>
      <c r="TQF12" s="21"/>
      <c r="TQJ12" s="15"/>
      <c r="TQP12" s="25"/>
      <c r="TQW12" s="21"/>
      <c r="TQX12" s="21"/>
      <c r="TRB12" s="15"/>
      <c r="TRH12" s="25"/>
      <c r="TRO12" s="21"/>
      <c r="TRP12" s="21"/>
      <c r="TRT12" s="15"/>
      <c r="TRZ12" s="25"/>
      <c r="TSG12" s="21"/>
      <c r="TSH12" s="21"/>
      <c r="TSL12" s="15"/>
      <c r="TSR12" s="25"/>
      <c r="TSY12" s="21"/>
      <c r="TSZ12" s="21"/>
      <c r="TTD12" s="15"/>
      <c r="TTJ12" s="25"/>
      <c r="TTQ12" s="21"/>
      <c r="TTR12" s="21"/>
      <c r="TTV12" s="15"/>
      <c r="TUB12" s="25"/>
      <c r="TUI12" s="21"/>
      <c r="TUJ12" s="21"/>
      <c r="TUN12" s="15"/>
      <c r="TUT12" s="25"/>
      <c r="TVA12" s="21"/>
      <c r="TVB12" s="21"/>
      <c r="TVF12" s="15"/>
      <c r="TVL12" s="25"/>
      <c r="TVS12" s="21"/>
      <c r="TVT12" s="21"/>
      <c r="TVX12" s="15"/>
      <c r="TWD12" s="25"/>
      <c r="TWK12" s="21"/>
      <c r="TWL12" s="21"/>
      <c r="TWP12" s="15"/>
      <c r="TWV12" s="25"/>
      <c r="TXC12" s="21"/>
      <c r="TXD12" s="21"/>
      <c r="TXH12" s="15"/>
      <c r="TXN12" s="25"/>
      <c r="TXU12" s="21"/>
      <c r="TXV12" s="21"/>
      <c r="TXZ12" s="15"/>
      <c r="TYF12" s="25"/>
      <c r="TYM12" s="21"/>
      <c r="TYN12" s="21"/>
      <c r="TYR12" s="15"/>
      <c r="TYX12" s="25"/>
      <c r="TZE12" s="21"/>
      <c r="TZF12" s="21"/>
      <c r="TZJ12" s="15"/>
      <c r="TZP12" s="25"/>
      <c r="TZW12" s="21"/>
      <c r="TZX12" s="21"/>
      <c r="UAB12" s="15"/>
      <c r="UAH12" s="25"/>
      <c r="UAO12" s="21"/>
      <c r="UAP12" s="21"/>
      <c r="UAT12" s="15"/>
      <c r="UAZ12" s="25"/>
      <c r="UBG12" s="21"/>
      <c r="UBH12" s="21"/>
      <c r="UBL12" s="15"/>
      <c r="UBR12" s="25"/>
      <c r="UBY12" s="21"/>
      <c r="UBZ12" s="21"/>
      <c r="UCD12" s="15"/>
      <c r="UCJ12" s="25"/>
      <c r="UCQ12" s="21"/>
      <c r="UCR12" s="21"/>
      <c r="UCV12" s="15"/>
      <c r="UDB12" s="25"/>
      <c r="UDI12" s="21"/>
      <c r="UDJ12" s="21"/>
      <c r="UDN12" s="15"/>
      <c r="UDT12" s="25"/>
      <c r="UEA12" s="21"/>
      <c r="UEB12" s="21"/>
      <c r="UEF12" s="15"/>
      <c r="UEL12" s="25"/>
      <c r="UES12" s="21"/>
      <c r="UET12" s="21"/>
      <c r="UEX12" s="15"/>
      <c r="UFD12" s="25"/>
      <c r="UFK12" s="21"/>
      <c r="UFL12" s="21"/>
      <c r="UFP12" s="15"/>
      <c r="UFV12" s="25"/>
      <c r="UGC12" s="21"/>
      <c r="UGD12" s="21"/>
      <c r="UGH12" s="15"/>
      <c r="UGN12" s="25"/>
      <c r="UGU12" s="21"/>
      <c r="UGV12" s="21"/>
      <c r="UGZ12" s="15"/>
      <c r="UHF12" s="25"/>
      <c r="UHM12" s="21"/>
      <c r="UHN12" s="21"/>
      <c r="UHR12" s="15"/>
      <c r="UHX12" s="25"/>
      <c r="UIE12" s="21"/>
      <c r="UIF12" s="21"/>
      <c r="UIJ12" s="15"/>
      <c r="UIP12" s="25"/>
      <c r="UIW12" s="21"/>
      <c r="UIX12" s="21"/>
      <c r="UJB12" s="15"/>
      <c r="UJH12" s="25"/>
      <c r="UJO12" s="21"/>
      <c r="UJP12" s="21"/>
      <c r="UJT12" s="15"/>
      <c r="UJZ12" s="25"/>
      <c r="UKG12" s="21"/>
      <c r="UKH12" s="21"/>
      <c r="UKL12" s="15"/>
      <c r="UKR12" s="25"/>
      <c r="UKY12" s="21"/>
      <c r="UKZ12" s="21"/>
      <c r="ULD12" s="15"/>
      <c r="ULJ12" s="25"/>
      <c r="ULQ12" s="21"/>
      <c r="ULR12" s="21"/>
      <c r="ULV12" s="15"/>
      <c r="UMB12" s="25"/>
      <c r="UMI12" s="21"/>
      <c r="UMJ12" s="21"/>
      <c r="UMN12" s="15"/>
      <c r="UMT12" s="25"/>
      <c r="UNA12" s="21"/>
      <c r="UNB12" s="21"/>
      <c r="UNF12" s="15"/>
      <c r="UNL12" s="25"/>
      <c r="UNS12" s="21"/>
      <c r="UNT12" s="21"/>
      <c r="UNX12" s="15"/>
      <c r="UOD12" s="25"/>
      <c r="UOK12" s="21"/>
      <c r="UOL12" s="21"/>
      <c r="UOP12" s="15"/>
      <c r="UOV12" s="25"/>
      <c r="UPC12" s="21"/>
      <c r="UPD12" s="21"/>
      <c r="UPH12" s="15"/>
      <c r="UPN12" s="25"/>
      <c r="UPU12" s="21"/>
      <c r="UPV12" s="21"/>
      <c r="UPZ12" s="15"/>
      <c r="UQF12" s="25"/>
      <c r="UQM12" s="21"/>
      <c r="UQN12" s="21"/>
      <c r="UQR12" s="15"/>
      <c r="UQX12" s="25"/>
      <c r="URE12" s="21"/>
      <c r="URF12" s="21"/>
      <c r="URJ12" s="15"/>
      <c r="URP12" s="25"/>
      <c r="URW12" s="21"/>
      <c r="URX12" s="21"/>
      <c r="USB12" s="15"/>
      <c r="USH12" s="25"/>
      <c r="USO12" s="21"/>
      <c r="USP12" s="21"/>
      <c r="UST12" s="15"/>
      <c r="USZ12" s="25"/>
      <c r="UTG12" s="21"/>
      <c r="UTH12" s="21"/>
      <c r="UTL12" s="15"/>
      <c r="UTR12" s="25"/>
      <c r="UTY12" s="21"/>
      <c r="UTZ12" s="21"/>
      <c r="UUD12" s="15"/>
      <c r="UUJ12" s="25"/>
      <c r="UUQ12" s="21"/>
      <c r="UUR12" s="21"/>
      <c r="UUV12" s="15"/>
      <c r="UVB12" s="25"/>
      <c r="UVI12" s="21"/>
      <c r="UVJ12" s="21"/>
      <c r="UVN12" s="15"/>
      <c r="UVT12" s="25"/>
      <c r="UWA12" s="21"/>
      <c r="UWB12" s="21"/>
      <c r="UWF12" s="15"/>
      <c r="UWL12" s="25"/>
      <c r="UWS12" s="21"/>
      <c r="UWT12" s="21"/>
      <c r="UWX12" s="15"/>
      <c r="UXD12" s="25"/>
      <c r="UXK12" s="21"/>
      <c r="UXL12" s="21"/>
      <c r="UXP12" s="15"/>
      <c r="UXV12" s="25"/>
      <c r="UYC12" s="21"/>
      <c r="UYD12" s="21"/>
      <c r="UYH12" s="15"/>
      <c r="UYN12" s="25"/>
      <c r="UYU12" s="21"/>
      <c r="UYV12" s="21"/>
      <c r="UYZ12" s="15"/>
      <c r="UZF12" s="25"/>
      <c r="UZM12" s="21"/>
      <c r="UZN12" s="21"/>
      <c r="UZR12" s="15"/>
      <c r="UZX12" s="25"/>
      <c r="VAE12" s="21"/>
      <c r="VAF12" s="21"/>
      <c r="VAJ12" s="15"/>
      <c r="VAP12" s="25"/>
      <c r="VAW12" s="21"/>
      <c r="VAX12" s="21"/>
      <c r="VBB12" s="15"/>
      <c r="VBH12" s="25"/>
      <c r="VBO12" s="21"/>
      <c r="VBP12" s="21"/>
      <c r="VBT12" s="15"/>
      <c r="VBZ12" s="25"/>
      <c r="VCG12" s="21"/>
      <c r="VCH12" s="21"/>
      <c r="VCL12" s="15"/>
      <c r="VCR12" s="25"/>
      <c r="VCY12" s="21"/>
      <c r="VCZ12" s="21"/>
      <c r="VDD12" s="15"/>
      <c r="VDJ12" s="25"/>
      <c r="VDQ12" s="21"/>
      <c r="VDR12" s="21"/>
      <c r="VDV12" s="15"/>
      <c r="VEB12" s="25"/>
      <c r="VEI12" s="21"/>
      <c r="VEJ12" s="21"/>
      <c r="VEN12" s="15"/>
      <c r="VET12" s="25"/>
      <c r="VFA12" s="21"/>
      <c r="VFB12" s="21"/>
      <c r="VFF12" s="15"/>
      <c r="VFL12" s="25"/>
      <c r="VFS12" s="21"/>
      <c r="VFT12" s="21"/>
      <c r="VFX12" s="15"/>
      <c r="VGD12" s="25"/>
      <c r="VGK12" s="21"/>
      <c r="VGL12" s="21"/>
      <c r="VGP12" s="15"/>
      <c r="VGV12" s="25"/>
      <c r="VHC12" s="21"/>
      <c r="VHD12" s="21"/>
      <c r="VHH12" s="15"/>
      <c r="VHN12" s="25"/>
      <c r="VHU12" s="21"/>
      <c r="VHV12" s="21"/>
      <c r="VHZ12" s="15"/>
      <c r="VIF12" s="25"/>
      <c r="VIM12" s="21"/>
      <c r="VIN12" s="21"/>
      <c r="VIR12" s="15"/>
      <c r="VIX12" s="25"/>
      <c r="VJE12" s="21"/>
      <c r="VJF12" s="21"/>
      <c r="VJJ12" s="15"/>
      <c r="VJP12" s="25"/>
      <c r="VJW12" s="21"/>
      <c r="VJX12" s="21"/>
      <c r="VKB12" s="15"/>
      <c r="VKH12" s="25"/>
      <c r="VKO12" s="21"/>
      <c r="VKP12" s="21"/>
      <c r="VKT12" s="15"/>
      <c r="VKZ12" s="25"/>
      <c r="VLG12" s="21"/>
      <c r="VLH12" s="21"/>
      <c r="VLL12" s="15"/>
      <c r="VLR12" s="25"/>
      <c r="VLY12" s="21"/>
      <c r="VLZ12" s="21"/>
      <c r="VMD12" s="15"/>
      <c r="VMJ12" s="25"/>
      <c r="VMQ12" s="21"/>
      <c r="VMR12" s="21"/>
      <c r="VMV12" s="15"/>
      <c r="VNB12" s="25"/>
      <c r="VNI12" s="21"/>
      <c r="VNJ12" s="21"/>
      <c r="VNN12" s="15"/>
      <c r="VNT12" s="25"/>
      <c r="VOA12" s="21"/>
      <c r="VOB12" s="21"/>
      <c r="VOF12" s="15"/>
      <c r="VOL12" s="25"/>
      <c r="VOS12" s="21"/>
      <c r="VOT12" s="21"/>
      <c r="VOX12" s="15"/>
      <c r="VPD12" s="25"/>
      <c r="VPK12" s="21"/>
      <c r="VPL12" s="21"/>
      <c r="VPP12" s="15"/>
      <c r="VPV12" s="25"/>
      <c r="VQC12" s="21"/>
      <c r="VQD12" s="21"/>
      <c r="VQH12" s="15"/>
      <c r="VQN12" s="25"/>
      <c r="VQU12" s="21"/>
      <c r="VQV12" s="21"/>
      <c r="VQZ12" s="15"/>
      <c r="VRF12" s="25"/>
      <c r="VRM12" s="21"/>
      <c r="VRN12" s="21"/>
      <c r="VRR12" s="15"/>
      <c r="VRX12" s="25"/>
      <c r="VSE12" s="21"/>
      <c r="VSF12" s="21"/>
      <c r="VSJ12" s="15"/>
      <c r="VSP12" s="25"/>
      <c r="VSW12" s="21"/>
      <c r="VSX12" s="21"/>
      <c r="VTB12" s="15"/>
      <c r="VTH12" s="25"/>
      <c r="VTO12" s="21"/>
      <c r="VTP12" s="21"/>
      <c r="VTT12" s="15"/>
      <c r="VTZ12" s="25"/>
      <c r="VUG12" s="21"/>
      <c r="VUH12" s="21"/>
      <c r="VUL12" s="15"/>
      <c r="VUR12" s="25"/>
      <c r="VUY12" s="21"/>
      <c r="VUZ12" s="21"/>
      <c r="VVD12" s="15"/>
      <c r="VVJ12" s="25"/>
      <c r="VVQ12" s="21"/>
      <c r="VVR12" s="21"/>
      <c r="VVV12" s="15"/>
      <c r="VWB12" s="25"/>
      <c r="VWI12" s="21"/>
      <c r="VWJ12" s="21"/>
      <c r="VWN12" s="15"/>
      <c r="VWT12" s="25"/>
      <c r="VXA12" s="21"/>
      <c r="VXB12" s="21"/>
      <c r="VXF12" s="15"/>
      <c r="VXL12" s="25"/>
      <c r="VXS12" s="21"/>
      <c r="VXT12" s="21"/>
      <c r="VXX12" s="15"/>
      <c r="VYD12" s="25"/>
      <c r="VYK12" s="21"/>
      <c r="VYL12" s="21"/>
      <c r="VYP12" s="15"/>
      <c r="VYV12" s="25"/>
      <c r="VZC12" s="21"/>
      <c r="VZD12" s="21"/>
      <c r="VZH12" s="15"/>
      <c r="VZN12" s="25"/>
      <c r="VZU12" s="21"/>
      <c r="VZV12" s="21"/>
      <c r="VZZ12" s="15"/>
      <c r="WAF12" s="25"/>
      <c r="WAM12" s="21"/>
      <c r="WAN12" s="21"/>
      <c r="WAR12" s="15"/>
      <c r="WAX12" s="25"/>
      <c r="WBE12" s="21"/>
      <c r="WBF12" s="21"/>
      <c r="WBJ12" s="15"/>
      <c r="WBP12" s="25"/>
      <c r="WBW12" s="21"/>
      <c r="WBX12" s="21"/>
      <c r="WCB12" s="15"/>
      <c r="WCH12" s="25"/>
      <c r="WCO12" s="21"/>
      <c r="WCP12" s="21"/>
      <c r="WCT12" s="15"/>
      <c r="WCZ12" s="25"/>
      <c r="WDG12" s="21"/>
      <c r="WDH12" s="21"/>
      <c r="WDL12" s="15"/>
      <c r="WDR12" s="25"/>
      <c r="WDY12" s="21"/>
      <c r="WDZ12" s="21"/>
      <c r="WED12" s="15"/>
      <c r="WEJ12" s="25"/>
      <c r="WEQ12" s="21"/>
      <c r="WER12" s="21"/>
      <c r="WEV12" s="15"/>
      <c r="WFB12" s="25"/>
      <c r="WFI12" s="21"/>
      <c r="WFJ12" s="21"/>
      <c r="WFN12" s="15"/>
      <c r="WFT12" s="25"/>
      <c r="WGA12" s="21"/>
      <c r="WGB12" s="21"/>
      <c r="WGF12" s="15"/>
      <c r="WGL12" s="25"/>
      <c r="WGS12" s="21"/>
      <c r="WGT12" s="21"/>
      <c r="WGX12" s="15"/>
      <c r="WHD12" s="25"/>
      <c r="WHK12" s="21"/>
      <c r="WHL12" s="21"/>
      <c r="WHP12" s="15"/>
      <c r="WHV12" s="25"/>
      <c r="WIC12" s="21"/>
      <c r="WID12" s="21"/>
      <c r="WIH12" s="15"/>
      <c r="WIN12" s="25"/>
      <c r="WIU12" s="21"/>
      <c r="WIV12" s="21"/>
      <c r="WIZ12" s="15"/>
      <c r="WJF12" s="25"/>
      <c r="WJM12" s="21"/>
      <c r="WJN12" s="21"/>
      <c r="WJR12" s="15"/>
      <c r="WJX12" s="25"/>
      <c r="WKE12" s="21"/>
      <c r="WKF12" s="21"/>
      <c r="WKJ12" s="15"/>
      <c r="WKP12" s="25"/>
      <c r="WKW12" s="21"/>
      <c r="WKX12" s="21"/>
      <c r="WLB12" s="15"/>
      <c r="WLH12" s="25"/>
      <c r="WLO12" s="21"/>
      <c r="WLP12" s="21"/>
      <c r="WLT12" s="15"/>
      <c r="WLZ12" s="25"/>
      <c r="WMG12" s="21"/>
      <c r="WMH12" s="21"/>
      <c r="WML12" s="15"/>
      <c r="WMR12" s="25"/>
      <c r="WMY12" s="21"/>
      <c r="WMZ12" s="21"/>
      <c r="WND12" s="15"/>
      <c r="WNJ12" s="25"/>
      <c r="WNQ12" s="21"/>
      <c r="WNR12" s="21"/>
      <c r="WNV12" s="15"/>
      <c r="WOB12" s="25"/>
      <c r="WOI12" s="21"/>
      <c r="WOJ12" s="21"/>
      <c r="WON12" s="15"/>
      <c r="WOT12" s="25"/>
      <c r="WPA12" s="21"/>
      <c r="WPB12" s="21"/>
      <c r="WPF12" s="15"/>
      <c r="WPL12" s="25"/>
      <c r="WPS12" s="21"/>
      <c r="WPT12" s="21"/>
      <c r="WPX12" s="15"/>
      <c r="WQD12" s="25"/>
      <c r="WQK12" s="21"/>
      <c r="WQL12" s="21"/>
      <c r="WQP12" s="15"/>
      <c r="WQV12" s="25"/>
      <c r="WRC12" s="21"/>
      <c r="WRD12" s="21"/>
      <c r="WRH12" s="15"/>
      <c r="WRN12" s="25"/>
      <c r="WRU12" s="21"/>
      <c r="WRV12" s="21"/>
      <c r="WRZ12" s="15"/>
      <c r="WSF12" s="25"/>
      <c r="WSM12" s="21"/>
      <c r="WSN12" s="21"/>
      <c r="WSR12" s="15"/>
      <c r="WSX12" s="25"/>
      <c r="WTE12" s="21"/>
      <c r="WTF12" s="21"/>
      <c r="WTJ12" s="15"/>
      <c r="WTP12" s="25"/>
      <c r="WTW12" s="21"/>
      <c r="WTX12" s="21"/>
      <c r="WUB12" s="15"/>
      <c r="WUH12" s="25"/>
      <c r="WUO12" s="21"/>
      <c r="WUP12" s="21"/>
      <c r="WUT12" s="15"/>
      <c r="WUZ12" s="25"/>
      <c r="WVG12" s="21"/>
      <c r="WVH12" s="21"/>
      <c r="WVL12" s="15"/>
      <c r="WVR12" s="25"/>
      <c r="WVY12" s="21"/>
      <c r="WVZ12" s="21"/>
      <c r="WWD12" s="15"/>
      <c r="WWJ12" s="25"/>
      <c r="WWQ12" s="21"/>
      <c r="WWR12" s="21"/>
      <c r="WWV12" s="15"/>
      <c r="WXB12" s="25"/>
      <c r="WXI12" s="21"/>
      <c r="WXJ12" s="21"/>
      <c r="WXN12" s="15"/>
      <c r="WXT12" s="25"/>
      <c r="WYA12" s="21"/>
      <c r="WYB12" s="21"/>
      <c r="WYF12" s="15"/>
      <c r="WYL12" s="25"/>
      <c r="WYS12" s="21"/>
      <c r="WYT12" s="21"/>
      <c r="WYX12" s="15"/>
      <c r="WZD12" s="25"/>
      <c r="WZK12" s="21"/>
      <c r="WZL12" s="21"/>
      <c r="WZP12" s="15"/>
      <c r="WZV12" s="25"/>
      <c r="XAC12" s="21"/>
      <c r="XAD12" s="21"/>
      <c r="XAH12" s="15"/>
      <c r="XAN12" s="25"/>
      <c r="XAU12" s="21"/>
      <c r="XAV12" s="21"/>
      <c r="XAZ12" s="15"/>
      <c r="XBF12" s="25"/>
      <c r="XBM12" s="21"/>
      <c r="XBN12" s="21"/>
      <c r="XBR12" s="15"/>
      <c r="XBX12" s="25"/>
      <c r="XCE12" s="21"/>
      <c r="XCF12" s="21"/>
      <c r="XCJ12" s="15"/>
      <c r="XCP12" s="25"/>
      <c r="XCW12" s="21"/>
      <c r="XCX12" s="21"/>
      <c r="XDB12" s="15"/>
      <c r="XDH12" s="25"/>
      <c r="XDO12" s="21"/>
      <c r="XDP12" s="21"/>
      <c r="XDT12" s="15"/>
      <c r="XDZ12" s="25"/>
      <c r="XEG12" s="21"/>
      <c r="XEH12" s="21"/>
      <c r="XEL12" s="15"/>
      <c r="XER12" s="25"/>
      <c r="XEY12" s="21"/>
      <c r="XEZ12" s="21"/>
      <c r="XFD12" s="15"/>
    </row>
    <row r="13" spans="1:1018 1025:2044 2051:3070 3077:4096 4103:5116 5122:6142 6148:7168 7174:8190 8194:9216 9220:10234 10241:11260 11267:12286 12293:13312 13319:14332 14338:15358 15364:16384" s="24" customFormat="1">
      <c r="A13" s="21" t="s">
        <v>60</v>
      </c>
      <c r="B13" s="12">
        <v>2005</v>
      </c>
      <c r="C13" s="19" t="s">
        <v>53</v>
      </c>
      <c r="D13" s="22" t="s">
        <v>39</v>
      </c>
      <c r="E13" s="10" t="s">
        <v>61</v>
      </c>
      <c r="F13" s="22" t="s">
        <v>55</v>
      </c>
      <c r="G13" s="32">
        <v>1475500561.5275025</v>
      </c>
      <c r="H13" s="32">
        <v>157145502.64550266</v>
      </c>
      <c r="I13" s="12">
        <v>22</v>
      </c>
      <c r="J13" s="23" t="s">
        <v>62</v>
      </c>
      <c r="K13" s="22"/>
      <c r="L13" s="22"/>
      <c r="M13" s="22" t="s">
        <v>26</v>
      </c>
      <c r="N13" s="12"/>
      <c r="O13" s="22"/>
      <c r="P13" s="12"/>
      <c r="Q13" s="22" t="s">
        <v>27</v>
      </c>
      <c r="R13" s="22" t="s">
        <v>28</v>
      </c>
      <c r="V13" s="15"/>
      <c r="AB13" s="25"/>
      <c r="AI13" s="21"/>
      <c r="AJ13" s="21"/>
      <c r="AN13" s="15"/>
      <c r="AT13" s="25"/>
      <c r="BA13" s="21"/>
      <c r="BB13" s="21"/>
      <c r="BF13" s="15"/>
      <c r="BL13" s="25"/>
      <c r="BS13" s="21"/>
      <c r="BT13" s="21"/>
      <c r="BX13" s="15"/>
      <c r="CD13" s="25"/>
      <c r="CK13" s="21"/>
      <c r="CL13" s="21"/>
      <c r="CP13" s="15"/>
      <c r="CV13" s="25"/>
      <c r="DC13" s="21"/>
      <c r="DD13" s="21"/>
      <c r="DH13" s="15"/>
      <c r="DN13" s="25"/>
      <c r="DU13" s="21"/>
      <c r="DV13" s="21"/>
      <c r="DZ13" s="15"/>
      <c r="EF13" s="25"/>
      <c r="EM13" s="21"/>
      <c r="EN13" s="21"/>
      <c r="ER13" s="15"/>
      <c r="EX13" s="25"/>
      <c r="FE13" s="21"/>
      <c r="FF13" s="21"/>
      <c r="FJ13" s="15"/>
      <c r="FP13" s="25"/>
      <c r="FW13" s="21"/>
      <c r="FX13" s="21"/>
      <c r="GB13" s="15"/>
      <c r="GH13" s="25"/>
      <c r="GO13" s="21"/>
      <c r="GP13" s="21"/>
      <c r="GT13" s="15"/>
      <c r="GZ13" s="25"/>
      <c r="HG13" s="21"/>
      <c r="HH13" s="21"/>
      <c r="HL13" s="15"/>
      <c r="HR13" s="25"/>
      <c r="HY13" s="21"/>
      <c r="HZ13" s="21"/>
      <c r="ID13" s="15"/>
      <c r="IJ13" s="25"/>
      <c r="IQ13" s="21"/>
      <c r="IR13" s="21"/>
      <c r="IV13" s="15"/>
      <c r="JB13" s="25"/>
      <c r="JI13" s="21"/>
      <c r="JJ13" s="21"/>
      <c r="JN13" s="15"/>
      <c r="JT13" s="25"/>
      <c r="KA13" s="21"/>
      <c r="KB13" s="21"/>
      <c r="KF13" s="15"/>
      <c r="KL13" s="25"/>
      <c r="KS13" s="21"/>
      <c r="KT13" s="21"/>
      <c r="KX13" s="15"/>
      <c r="LD13" s="25"/>
      <c r="LK13" s="21"/>
      <c r="LL13" s="21"/>
      <c r="LP13" s="15"/>
      <c r="LV13" s="25"/>
      <c r="MC13" s="21"/>
      <c r="MD13" s="21"/>
      <c r="MH13" s="15"/>
      <c r="MN13" s="25"/>
      <c r="MU13" s="21"/>
      <c r="MV13" s="21"/>
      <c r="MZ13" s="15"/>
      <c r="NF13" s="25"/>
      <c r="NM13" s="21"/>
      <c r="NN13" s="21"/>
      <c r="NR13" s="15"/>
      <c r="NX13" s="25"/>
      <c r="OE13" s="21"/>
      <c r="OF13" s="21"/>
      <c r="OJ13" s="15"/>
      <c r="OP13" s="25"/>
      <c r="OW13" s="21"/>
      <c r="OX13" s="21"/>
      <c r="PB13" s="15"/>
      <c r="PH13" s="25"/>
      <c r="PO13" s="21"/>
      <c r="PP13" s="21"/>
      <c r="PT13" s="15"/>
      <c r="PZ13" s="25"/>
      <c r="QG13" s="21"/>
      <c r="QH13" s="21"/>
      <c r="QL13" s="15"/>
      <c r="QR13" s="25"/>
      <c r="QY13" s="21"/>
      <c r="QZ13" s="21"/>
      <c r="RD13" s="15"/>
      <c r="RJ13" s="25"/>
      <c r="RQ13" s="21"/>
      <c r="RR13" s="21"/>
      <c r="RV13" s="15"/>
      <c r="SB13" s="25"/>
      <c r="SI13" s="21"/>
      <c r="SJ13" s="21"/>
      <c r="SN13" s="15"/>
      <c r="ST13" s="25"/>
      <c r="TA13" s="21"/>
      <c r="TB13" s="21"/>
      <c r="TF13" s="15"/>
      <c r="TL13" s="25"/>
      <c r="TS13" s="21"/>
      <c r="TT13" s="21"/>
      <c r="TX13" s="15"/>
      <c r="UD13" s="25"/>
      <c r="UK13" s="21"/>
      <c r="UL13" s="21"/>
      <c r="UP13" s="15"/>
      <c r="UV13" s="25"/>
      <c r="VC13" s="21"/>
      <c r="VD13" s="21"/>
      <c r="VH13" s="15"/>
      <c r="VN13" s="25"/>
      <c r="VU13" s="21"/>
      <c r="VV13" s="21"/>
      <c r="VZ13" s="15"/>
      <c r="WF13" s="25"/>
      <c r="WM13" s="21"/>
      <c r="WN13" s="21"/>
      <c r="WR13" s="15"/>
      <c r="WX13" s="25"/>
      <c r="XE13" s="21"/>
      <c r="XF13" s="21"/>
      <c r="XJ13" s="15"/>
      <c r="XP13" s="25"/>
      <c r="XW13" s="21"/>
      <c r="XX13" s="21"/>
      <c r="YB13" s="15"/>
      <c r="YH13" s="25"/>
      <c r="YO13" s="21"/>
      <c r="YP13" s="21"/>
      <c r="YT13" s="15"/>
      <c r="YZ13" s="25"/>
      <c r="ZG13" s="21"/>
      <c r="ZH13" s="21"/>
      <c r="ZL13" s="15"/>
      <c r="ZR13" s="25"/>
      <c r="ZY13" s="21"/>
      <c r="ZZ13" s="21"/>
      <c r="AAD13" s="15"/>
      <c r="AAJ13" s="25"/>
      <c r="AAQ13" s="21"/>
      <c r="AAR13" s="21"/>
      <c r="AAV13" s="15"/>
      <c r="ABB13" s="25"/>
      <c r="ABI13" s="21"/>
      <c r="ABJ13" s="21"/>
      <c r="ABN13" s="15"/>
      <c r="ABT13" s="25"/>
      <c r="ACA13" s="21"/>
      <c r="ACB13" s="21"/>
      <c r="ACF13" s="15"/>
      <c r="ACL13" s="25"/>
      <c r="ACS13" s="21"/>
      <c r="ACT13" s="21"/>
      <c r="ACX13" s="15"/>
      <c r="ADD13" s="25"/>
      <c r="ADK13" s="21"/>
      <c r="ADL13" s="21"/>
      <c r="ADP13" s="15"/>
      <c r="ADV13" s="25"/>
      <c r="AEC13" s="21"/>
      <c r="AED13" s="21"/>
      <c r="AEH13" s="15"/>
      <c r="AEN13" s="25"/>
      <c r="AEU13" s="21"/>
      <c r="AEV13" s="21"/>
      <c r="AEZ13" s="15"/>
      <c r="AFF13" s="25"/>
      <c r="AFM13" s="21"/>
      <c r="AFN13" s="21"/>
      <c r="AFR13" s="15"/>
      <c r="AFX13" s="25"/>
      <c r="AGE13" s="21"/>
      <c r="AGF13" s="21"/>
      <c r="AGJ13" s="15"/>
      <c r="AGP13" s="25"/>
      <c r="AGW13" s="21"/>
      <c r="AGX13" s="21"/>
      <c r="AHB13" s="15"/>
      <c r="AHH13" s="25"/>
      <c r="AHO13" s="21"/>
      <c r="AHP13" s="21"/>
      <c r="AHT13" s="15"/>
      <c r="AHZ13" s="25"/>
      <c r="AIG13" s="21"/>
      <c r="AIH13" s="21"/>
      <c r="AIL13" s="15"/>
      <c r="AIR13" s="25"/>
      <c r="AIY13" s="21"/>
      <c r="AIZ13" s="21"/>
      <c r="AJD13" s="15"/>
      <c r="AJJ13" s="25"/>
      <c r="AJQ13" s="21"/>
      <c r="AJR13" s="21"/>
      <c r="AJV13" s="15"/>
      <c r="AKB13" s="25"/>
      <c r="AKI13" s="21"/>
      <c r="AKJ13" s="21"/>
      <c r="AKN13" s="15"/>
      <c r="AKT13" s="25"/>
      <c r="ALA13" s="21"/>
      <c r="ALB13" s="21"/>
      <c r="ALF13" s="15"/>
      <c r="ALL13" s="25"/>
      <c r="ALS13" s="21"/>
      <c r="ALT13" s="21"/>
      <c r="ALX13" s="15"/>
      <c r="AMD13" s="25"/>
      <c r="AMK13" s="21"/>
      <c r="AML13" s="21"/>
      <c r="AMP13" s="15"/>
      <c r="AMV13" s="25"/>
      <c r="ANC13" s="21"/>
      <c r="AND13" s="21"/>
      <c r="ANH13" s="15"/>
      <c r="ANN13" s="25"/>
      <c r="ANU13" s="21"/>
      <c r="ANV13" s="21"/>
      <c r="ANZ13" s="15"/>
      <c r="AOF13" s="25"/>
      <c r="AOM13" s="21"/>
      <c r="AON13" s="21"/>
      <c r="AOR13" s="15"/>
      <c r="AOX13" s="25"/>
      <c r="APE13" s="21"/>
      <c r="APF13" s="21"/>
      <c r="APJ13" s="15"/>
      <c r="APP13" s="25"/>
      <c r="APW13" s="21"/>
      <c r="APX13" s="21"/>
      <c r="AQB13" s="15"/>
      <c r="AQH13" s="25"/>
      <c r="AQO13" s="21"/>
      <c r="AQP13" s="21"/>
      <c r="AQT13" s="15"/>
      <c r="AQZ13" s="25"/>
      <c r="ARG13" s="21"/>
      <c r="ARH13" s="21"/>
      <c r="ARL13" s="15"/>
      <c r="ARR13" s="25"/>
      <c r="ARY13" s="21"/>
      <c r="ARZ13" s="21"/>
      <c r="ASD13" s="15"/>
      <c r="ASJ13" s="25"/>
      <c r="ASQ13" s="21"/>
      <c r="ASR13" s="21"/>
      <c r="ASV13" s="15"/>
      <c r="ATB13" s="25"/>
      <c r="ATI13" s="21"/>
      <c r="ATJ13" s="21"/>
      <c r="ATN13" s="15"/>
      <c r="ATT13" s="25"/>
      <c r="AUA13" s="21"/>
      <c r="AUB13" s="21"/>
      <c r="AUF13" s="15"/>
      <c r="AUL13" s="25"/>
      <c r="AUS13" s="21"/>
      <c r="AUT13" s="21"/>
      <c r="AUX13" s="15"/>
      <c r="AVD13" s="25"/>
      <c r="AVK13" s="21"/>
      <c r="AVL13" s="21"/>
      <c r="AVP13" s="15"/>
      <c r="AVV13" s="25"/>
      <c r="AWC13" s="21"/>
      <c r="AWD13" s="21"/>
      <c r="AWH13" s="15"/>
      <c r="AWN13" s="25"/>
      <c r="AWU13" s="21"/>
      <c r="AWV13" s="21"/>
      <c r="AWZ13" s="15"/>
      <c r="AXF13" s="25"/>
      <c r="AXM13" s="21"/>
      <c r="AXN13" s="21"/>
      <c r="AXR13" s="15"/>
      <c r="AXX13" s="25"/>
      <c r="AYE13" s="21"/>
      <c r="AYF13" s="21"/>
      <c r="AYJ13" s="15"/>
      <c r="AYP13" s="25"/>
      <c r="AYW13" s="21"/>
      <c r="AYX13" s="21"/>
      <c r="AZB13" s="15"/>
      <c r="AZH13" s="25"/>
      <c r="AZO13" s="21"/>
      <c r="AZP13" s="21"/>
      <c r="AZT13" s="15"/>
      <c r="AZZ13" s="25"/>
      <c r="BAG13" s="21"/>
      <c r="BAH13" s="21"/>
      <c r="BAL13" s="15"/>
      <c r="BAR13" s="25"/>
      <c r="BAY13" s="21"/>
      <c r="BAZ13" s="21"/>
      <c r="BBD13" s="15"/>
      <c r="BBJ13" s="25"/>
      <c r="BBQ13" s="21"/>
      <c r="BBR13" s="21"/>
      <c r="BBV13" s="15"/>
      <c r="BCB13" s="25"/>
      <c r="BCI13" s="21"/>
      <c r="BCJ13" s="21"/>
      <c r="BCN13" s="15"/>
      <c r="BCT13" s="25"/>
      <c r="BDA13" s="21"/>
      <c r="BDB13" s="21"/>
      <c r="BDF13" s="15"/>
      <c r="BDL13" s="25"/>
      <c r="BDS13" s="21"/>
      <c r="BDT13" s="21"/>
      <c r="BDX13" s="15"/>
      <c r="BED13" s="25"/>
      <c r="BEK13" s="21"/>
      <c r="BEL13" s="21"/>
      <c r="BEP13" s="15"/>
      <c r="BEV13" s="25"/>
      <c r="BFC13" s="21"/>
      <c r="BFD13" s="21"/>
      <c r="BFH13" s="15"/>
      <c r="BFN13" s="25"/>
      <c r="BFU13" s="21"/>
      <c r="BFV13" s="21"/>
      <c r="BFZ13" s="15"/>
      <c r="BGF13" s="25"/>
      <c r="BGM13" s="21"/>
      <c r="BGN13" s="21"/>
      <c r="BGR13" s="15"/>
      <c r="BGX13" s="25"/>
      <c r="BHE13" s="21"/>
      <c r="BHF13" s="21"/>
      <c r="BHJ13" s="15"/>
      <c r="BHP13" s="25"/>
      <c r="BHW13" s="21"/>
      <c r="BHX13" s="21"/>
      <c r="BIB13" s="15"/>
      <c r="BIH13" s="25"/>
      <c r="BIO13" s="21"/>
      <c r="BIP13" s="21"/>
      <c r="BIT13" s="15"/>
      <c r="BIZ13" s="25"/>
      <c r="BJG13" s="21"/>
      <c r="BJH13" s="21"/>
      <c r="BJL13" s="15"/>
      <c r="BJR13" s="25"/>
      <c r="BJY13" s="21"/>
      <c r="BJZ13" s="21"/>
      <c r="BKD13" s="15"/>
      <c r="BKJ13" s="25"/>
      <c r="BKQ13" s="21"/>
      <c r="BKR13" s="21"/>
      <c r="BKV13" s="15"/>
      <c r="BLB13" s="25"/>
      <c r="BLI13" s="21"/>
      <c r="BLJ13" s="21"/>
      <c r="BLN13" s="15"/>
      <c r="BLT13" s="25"/>
      <c r="BMA13" s="21"/>
      <c r="BMB13" s="21"/>
      <c r="BMF13" s="15"/>
      <c r="BML13" s="25"/>
      <c r="BMS13" s="21"/>
      <c r="BMT13" s="21"/>
      <c r="BMX13" s="15"/>
      <c r="BND13" s="25"/>
      <c r="BNK13" s="21"/>
      <c r="BNL13" s="21"/>
      <c r="BNP13" s="15"/>
      <c r="BNV13" s="25"/>
      <c r="BOC13" s="21"/>
      <c r="BOD13" s="21"/>
      <c r="BOH13" s="15"/>
      <c r="BON13" s="25"/>
      <c r="BOU13" s="21"/>
      <c r="BOV13" s="21"/>
      <c r="BOZ13" s="15"/>
      <c r="BPF13" s="25"/>
      <c r="BPM13" s="21"/>
      <c r="BPN13" s="21"/>
      <c r="BPR13" s="15"/>
      <c r="BPX13" s="25"/>
      <c r="BQE13" s="21"/>
      <c r="BQF13" s="21"/>
      <c r="BQJ13" s="15"/>
      <c r="BQP13" s="25"/>
      <c r="BQW13" s="21"/>
      <c r="BQX13" s="21"/>
      <c r="BRB13" s="15"/>
      <c r="BRH13" s="25"/>
      <c r="BRO13" s="21"/>
      <c r="BRP13" s="21"/>
      <c r="BRT13" s="15"/>
      <c r="BRZ13" s="25"/>
      <c r="BSG13" s="21"/>
      <c r="BSH13" s="21"/>
      <c r="BSL13" s="15"/>
      <c r="BSR13" s="25"/>
      <c r="BSY13" s="21"/>
      <c r="BSZ13" s="21"/>
      <c r="BTD13" s="15"/>
      <c r="BTJ13" s="25"/>
      <c r="BTQ13" s="21"/>
      <c r="BTR13" s="21"/>
      <c r="BTV13" s="15"/>
      <c r="BUB13" s="25"/>
      <c r="BUI13" s="21"/>
      <c r="BUJ13" s="21"/>
      <c r="BUN13" s="15"/>
      <c r="BUT13" s="25"/>
      <c r="BVA13" s="21"/>
      <c r="BVB13" s="21"/>
      <c r="BVF13" s="15"/>
      <c r="BVL13" s="25"/>
      <c r="BVS13" s="21"/>
      <c r="BVT13" s="21"/>
      <c r="BVX13" s="15"/>
      <c r="BWD13" s="25"/>
      <c r="BWK13" s="21"/>
      <c r="BWL13" s="21"/>
      <c r="BWP13" s="15"/>
      <c r="BWV13" s="25"/>
      <c r="BXC13" s="21"/>
      <c r="BXD13" s="21"/>
      <c r="BXH13" s="15"/>
      <c r="BXN13" s="25"/>
      <c r="BXU13" s="21"/>
      <c r="BXV13" s="21"/>
      <c r="BXZ13" s="15"/>
      <c r="BYF13" s="25"/>
      <c r="BYM13" s="21"/>
      <c r="BYN13" s="21"/>
      <c r="BYR13" s="15"/>
      <c r="BYX13" s="25"/>
      <c r="BZE13" s="21"/>
      <c r="BZF13" s="21"/>
      <c r="BZJ13" s="15"/>
      <c r="BZP13" s="25"/>
      <c r="BZW13" s="21"/>
      <c r="BZX13" s="21"/>
      <c r="CAB13" s="15"/>
      <c r="CAH13" s="25"/>
      <c r="CAO13" s="21"/>
      <c r="CAP13" s="21"/>
      <c r="CAT13" s="15"/>
      <c r="CAZ13" s="25"/>
      <c r="CBG13" s="21"/>
      <c r="CBH13" s="21"/>
      <c r="CBL13" s="15"/>
      <c r="CBR13" s="25"/>
      <c r="CBY13" s="21"/>
      <c r="CBZ13" s="21"/>
      <c r="CCD13" s="15"/>
      <c r="CCJ13" s="25"/>
      <c r="CCQ13" s="21"/>
      <c r="CCR13" s="21"/>
      <c r="CCV13" s="15"/>
      <c r="CDB13" s="25"/>
      <c r="CDI13" s="21"/>
      <c r="CDJ13" s="21"/>
      <c r="CDN13" s="15"/>
      <c r="CDT13" s="25"/>
      <c r="CEA13" s="21"/>
      <c r="CEB13" s="21"/>
      <c r="CEF13" s="15"/>
      <c r="CEL13" s="25"/>
      <c r="CES13" s="21"/>
      <c r="CET13" s="21"/>
      <c r="CEX13" s="15"/>
      <c r="CFD13" s="25"/>
      <c r="CFK13" s="21"/>
      <c r="CFL13" s="21"/>
      <c r="CFP13" s="15"/>
      <c r="CFV13" s="25"/>
      <c r="CGC13" s="21"/>
      <c r="CGD13" s="21"/>
      <c r="CGH13" s="15"/>
      <c r="CGN13" s="25"/>
      <c r="CGU13" s="21"/>
      <c r="CGV13" s="21"/>
      <c r="CGZ13" s="15"/>
      <c r="CHF13" s="25"/>
      <c r="CHM13" s="21"/>
      <c r="CHN13" s="21"/>
      <c r="CHR13" s="15"/>
      <c r="CHX13" s="25"/>
      <c r="CIE13" s="21"/>
      <c r="CIF13" s="21"/>
      <c r="CIJ13" s="15"/>
      <c r="CIP13" s="25"/>
      <c r="CIW13" s="21"/>
      <c r="CIX13" s="21"/>
      <c r="CJB13" s="15"/>
      <c r="CJH13" s="25"/>
      <c r="CJO13" s="21"/>
      <c r="CJP13" s="21"/>
      <c r="CJT13" s="15"/>
      <c r="CJZ13" s="25"/>
      <c r="CKG13" s="21"/>
      <c r="CKH13" s="21"/>
      <c r="CKL13" s="15"/>
      <c r="CKR13" s="25"/>
      <c r="CKY13" s="21"/>
      <c r="CKZ13" s="21"/>
      <c r="CLD13" s="15"/>
      <c r="CLJ13" s="25"/>
      <c r="CLQ13" s="21"/>
      <c r="CLR13" s="21"/>
      <c r="CLV13" s="15"/>
      <c r="CMB13" s="25"/>
      <c r="CMI13" s="21"/>
      <c r="CMJ13" s="21"/>
      <c r="CMN13" s="15"/>
      <c r="CMT13" s="25"/>
      <c r="CNA13" s="21"/>
      <c r="CNB13" s="21"/>
      <c r="CNF13" s="15"/>
      <c r="CNL13" s="25"/>
      <c r="CNS13" s="21"/>
      <c r="CNT13" s="21"/>
      <c r="CNX13" s="15"/>
      <c r="COD13" s="25"/>
      <c r="COK13" s="21"/>
      <c r="COL13" s="21"/>
      <c r="COP13" s="15"/>
      <c r="COV13" s="25"/>
      <c r="CPC13" s="21"/>
      <c r="CPD13" s="21"/>
      <c r="CPH13" s="15"/>
      <c r="CPN13" s="25"/>
      <c r="CPU13" s="21"/>
      <c r="CPV13" s="21"/>
      <c r="CPZ13" s="15"/>
      <c r="CQF13" s="25"/>
      <c r="CQM13" s="21"/>
      <c r="CQN13" s="21"/>
      <c r="CQR13" s="15"/>
      <c r="CQX13" s="25"/>
      <c r="CRE13" s="21"/>
      <c r="CRF13" s="21"/>
      <c r="CRJ13" s="15"/>
      <c r="CRP13" s="25"/>
      <c r="CRW13" s="21"/>
      <c r="CRX13" s="21"/>
      <c r="CSB13" s="15"/>
      <c r="CSH13" s="25"/>
      <c r="CSO13" s="21"/>
      <c r="CSP13" s="21"/>
      <c r="CST13" s="15"/>
      <c r="CSZ13" s="25"/>
      <c r="CTG13" s="21"/>
      <c r="CTH13" s="21"/>
      <c r="CTL13" s="15"/>
      <c r="CTR13" s="25"/>
      <c r="CTY13" s="21"/>
      <c r="CTZ13" s="21"/>
      <c r="CUD13" s="15"/>
      <c r="CUJ13" s="25"/>
      <c r="CUQ13" s="21"/>
      <c r="CUR13" s="21"/>
      <c r="CUV13" s="15"/>
      <c r="CVB13" s="25"/>
      <c r="CVI13" s="21"/>
      <c r="CVJ13" s="21"/>
      <c r="CVN13" s="15"/>
      <c r="CVT13" s="25"/>
      <c r="CWA13" s="21"/>
      <c r="CWB13" s="21"/>
      <c r="CWF13" s="15"/>
      <c r="CWL13" s="25"/>
      <c r="CWS13" s="21"/>
      <c r="CWT13" s="21"/>
      <c r="CWX13" s="15"/>
      <c r="CXD13" s="25"/>
      <c r="CXK13" s="21"/>
      <c r="CXL13" s="21"/>
      <c r="CXP13" s="15"/>
      <c r="CXV13" s="25"/>
      <c r="CYC13" s="21"/>
      <c r="CYD13" s="21"/>
      <c r="CYH13" s="15"/>
      <c r="CYN13" s="25"/>
      <c r="CYU13" s="21"/>
      <c r="CYV13" s="21"/>
      <c r="CYZ13" s="15"/>
      <c r="CZF13" s="25"/>
      <c r="CZM13" s="21"/>
      <c r="CZN13" s="21"/>
      <c r="CZR13" s="15"/>
      <c r="CZX13" s="25"/>
      <c r="DAE13" s="21"/>
      <c r="DAF13" s="21"/>
      <c r="DAJ13" s="15"/>
      <c r="DAP13" s="25"/>
      <c r="DAW13" s="21"/>
      <c r="DAX13" s="21"/>
      <c r="DBB13" s="15"/>
      <c r="DBH13" s="25"/>
      <c r="DBO13" s="21"/>
      <c r="DBP13" s="21"/>
      <c r="DBT13" s="15"/>
      <c r="DBZ13" s="25"/>
      <c r="DCG13" s="21"/>
      <c r="DCH13" s="21"/>
      <c r="DCL13" s="15"/>
      <c r="DCR13" s="25"/>
      <c r="DCY13" s="21"/>
      <c r="DCZ13" s="21"/>
      <c r="DDD13" s="15"/>
      <c r="DDJ13" s="25"/>
      <c r="DDQ13" s="21"/>
      <c r="DDR13" s="21"/>
      <c r="DDV13" s="15"/>
      <c r="DEB13" s="25"/>
      <c r="DEI13" s="21"/>
      <c r="DEJ13" s="21"/>
      <c r="DEN13" s="15"/>
      <c r="DET13" s="25"/>
      <c r="DFA13" s="21"/>
      <c r="DFB13" s="21"/>
      <c r="DFF13" s="15"/>
      <c r="DFL13" s="25"/>
      <c r="DFS13" s="21"/>
      <c r="DFT13" s="21"/>
      <c r="DFX13" s="15"/>
      <c r="DGD13" s="25"/>
      <c r="DGK13" s="21"/>
      <c r="DGL13" s="21"/>
      <c r="DGP13" s="15"/>
      <c r="DGV13" s="25"/>
      <c r="DHC13" s="21"/>
      <c r="DHD13" s="21"/>
      <c r="DHH13" s="15"/>
      <c r="DHN13" s="25"/>
      <c r="DHU13" s="21"/>
      <c r="DHV13" s="21"/>
      <c r="DHZ13" s="15"/>
      <c r="DIF13" s="25"/>
      <c r="DIM13" s="21"/>
      <c r="DIN13" s="21"/>
      <c r="DIR13" s="15"/>
      <c r="DIX13" s="25"/>
      <c r="DJE13" s="21"/>
      <c r="DJF13" s="21"/>
      <c r="DJJ13" s="15"/>
      <c r="DJP13" s="25"/>
      <c r="DJW13" s="21"/>
      <c r="DJX13" s="21"/>
      <c r="DKB13" s="15"/>
      <c r="DKH13" s="25"/>
      <c r="DKO13" s="21"/>
      <c r="DKP13" s="21"/>
      <c r="DKT13" s="15"/>
      <c r="DKZ13" s="25"/>
      <c r="DLG13" s="21"/>
      <c r="DLH13" s="21"/>
      <c r="DLL13" s="15"/>
      <c r="DLR13" s="25"/>
      <c r="DLY13" s="21"/>
      <c r="DLZ13" s="21"/>
      <c r="DMD13" s="15"/>
      <c r="DMJ13" s="25"/>
      <c r="DMQ13" s="21"/>
      <c r="DMR13" s="21"/>
      <c r="DMV13" s="15"/>
      <c r="DNB13" s="25"/>
      <c r="DNI13" s="21"/>
      <c r="DNJ13" s="21"/>
      <c r="DNN13" s="15"/>
      <c r="DNT13" s="25"/>
      <c r="DOA13" s="21"/>
      <c r="DOB13" s="21"/>
      <c r="DOF13" s="15"/>
      <c r="DOL13" s="25"/>
      <c r="DOS13" s="21"/>
      <c r="DOT13" s="21"/>
      <c r="DOX13" s="15"/>
      <c r="DPD13" s="25"/>
      <c r="DPK13" s="21"/>
      <c r="DPL13" s="21"/>
      <c r="DPP13" s="15"/>
      <c r="DPV13" s="25"/>
      <c r="DQC13" s="21"/>
      <c r="DQD13" s="21"/>
      <c r="DQH13" s="15"/>
      <c r="DQN13" s="25"/>
      <c r="DQU13" s="21"/>
      <c r="DQV13" s="21"/>
      <c r="DQZ13" s="15"/>
      <c r="DRF13" s="25"/>
      <c r="DRM13" s="21"/>
      <c r="DRN13" s="21"/>
      <c r="DRR13" s="15"/>
      <c r="DRX13" s="25"/>
      <c r="DSE13" s="21"/>
      <c r="DSF13" s="21"/>
      <c r="DSJ13" s="15"/>
      <c r="DSP13" s="25"/>
      <c r="DSW13" s="21"/>
      <c r="DSX13" s="21"/>
      <c r="DTB13" s="15"/>
      <c r="DTH13" s="25"/>
      <c r="DTO13" s="21"/>
      <c r="DTP13" s="21"/>
      <c r="DTT13" s="15"/>
      <c r="DTZ13" s="25"/>
      <c r="DUG13" s="21"/>
      <c r="DUH13" s="21"/>
      <c r="DUL13" s="15"/>
      <c r="DUR13" s="25"/>
      <c r="DUY13" s="21"/>
      <c r="DUZ13" s="21"/>
      <c r="DVD13" s="15"/>
      <c r="DVJ13" s="25"/>
      <c r="DVQ13" s="21"/>
      <c r="DVR13" s="21"/>
      <c r="DVV13" s="15"/>
      <c r="DWB13" s="25"/>
      <c r="DWI13" s="21"/>
      <c r="DWJ13" s="21"/>
      <c r="DWN13" s="15"/>
      <c r="DWT13" s="25"/>
      <c r="DXA13" s="21"/>
      <c r="DXB13" s="21"/>
      <c r="DXF13" s="15"/>
      <c r="DXL13" s="25"/>
      <c r="DXS13" s="21"/>
      <c r="DXT13" s="21"/>
      <c r="DXX13" s="15"/>
      <c r="DYD13" s="25"/>
      <c r="DYK13" s="21"/>
      <c r="DYL13" s="21"/>
      <c r="DYP13" s="15"/>
      <c r="DYV13" s="25"/>
      <c r="DZC13" s="21"/>
      <c r="DZD13" s="21"/>
      <c r="DZH13" s="15"/>
      <c r="DZN13" s="25"/>
      <c r="DZU13" s="21"/>
      <c r="DZV13" s="21"/>
      <c r="DZZ13" s="15"/>
      <c r="EAF13" s="25"/>
      <c r="EAM13" s="21"/>
      <c r="EAN13" s="21"/>
      <c r="EAR13" s="15"/>
      <c r="EAX13" s="25"/>
      <c r="EBE13" s="21"/>
      <c r="EBF13" s="21"/>
      <c r="EBJ13" s="15"/>
      <c r="EBP13" s="25"/>
      <c r="EBW13" s="21"/>
      <c r="EBX13" s="21"/>
      <c r="ECB13" s="15"/>
      <c r="ECH13" s="25"/>
      <c r="ECO13" s="21"/>
      <c r="ECP13" s="21"/>
      <c r="ECT13" s="15"/>
      <c r="ECZ13" s="25"/>
      <c r="EDG13" s="21"/>
      <c r="EDH13" s="21"/>
      <c r="EDL13" s="15"/>
      <c r="EDR13" s="25"/>
      <c r="EDY13" s="21"/>
      <c r="EDZ13" s="21"/>
      <c r="EED13" s="15"/>
      <c r="EEJ13" s="25"/>
      <c r="EEQ13" s="21"/>
      <c r="EER13" s="21"/>
      <c r="EEV13" s="15"/>
      <c r="EFB13" s="25"/>
      <c r="EFI13" s="21"/>
      <c r="EFJ13" s="21"/>
      <c r="EFN13" s="15"/>
      <c r="EFT13" s="25"/>
      <c r="EGA13" s="21"/>
      <c r="EGB13" s="21"/>
      <c r="EGF13" s="15"/>
      <c r="EGL13" s="25"/>
      <c r="EGS13" s="21"/>
      <c r="EGT13" s="21"/>
      <c r="EGX13" s="15"/>
      <c r="EHD13" s="25"/>
      <c r="EHK13" s="21"/>
      <c r="EHL13" s="21"/>
      <c r="EHP13" s="15"/>
      <c r="EHV13" s="25"/>
      <c r="EIC13" s="21"/>
      <c r="EID13" s="21"/>
      <c r="EIH13" s="15"/>
      <c r="EIN13" s="25"/>
      <c r="EIU13" s="21"/>
      <c r="EIV13" s="21"/>
      <c r="EIZ13" s="15"/>
      <c r="EJF13" s="25"/>
      <c r="EJM13" s="21"/>
      <c r="EJN13" s="21"/>
      <c r="EJR13" s="15"/>
      <c r="EJX13" s="25"/>
      <c r="EKE13" s="21"/>
      <c r="EKF13" s="21"/>
      <c r="EKJ13" s="15"/>
      <c r="EKP13" s="25"/>
      <c r="EKW13" s="21"/>
      <c r="EKX13" s="21"/>
      <c r="ELB13" s="15"/>
      <c r="ELH13" s="25"/>
      <c r="ELO13" s="21"/>
      <c r="ELP13" s="21"/>
      <c r="ELT13" s="15"/>
      <c r="ELZ13" s="25"/>
      <c r="EMG13" s="21"/>
      <c r="EMH13" s="21"/>
      <c r="EML13" s="15"/>
      <c r="EMR13" s="25"/>
      <c r="EMY13" s="21"/>
      <c r="EMZ13" s="21"/>
      <c r="END13" s="15"/>
      <c r="ENJ13" s="25"/>
      <c r="ENQ13" s="21"/>
      <c r="ENR13" s="21"/>
      <c r="ENV13" s="15"/>
      <c r="EOB13" s="25"/>
      <c r="EOI13" s="21"/>
      <c r="EOJ13" s="21"/>
      <c r="EON13" s="15"/>
      <c r="EOT13" s="25"/>
      <c r="EPA13" s="21"/>
      <c r="EPB13" s="21"/>
      <c r="EPF13" s="15"/>
      <c r="EPL13" s="25"/>
      <c r="EPS13" s="21"/>
      <c r="EPT13" s="21"/>
      <c r="EPX13" s="15"/>
      <c r="EQD13" s="25"/>
      <c r="EQK13" s="21"/>
      <c r="EQL13" s="21"/>
      <c r="EQP13" s="15"/>
      <c r="EQV13" s="25"/>
      <c r="ERC13" s="21"/>
      <c r="ERD13" s="21"/>
      <c r="ERH13" s="15"/>
      <c r="ERN13" s="25"/>
      <c r="ERU13" s="21"/>
      <c r="ERV13" s="21"/>
      <c r="ERZ13" s="15"/>
      <c r="ESF13" s="25"/>
      <c r="ESM13" s="21"/>
      <c r="ESN13" s="21"/>
      <c r="ESR13" s="15"/>
      <c r="ESX13" s="25"/>
      <c r="ETE13" s="21"/>
      <c r="ETF13" s="21"/>
      <c r="ETJ13" s="15"/>
      <c r="ETP13" s="25"/>
      <c r="ETW13" s="21"/>
      <c r="ETX13" s="21"/>
      <c r="EUB13" s="15"/>
      <c r="EUH13" s="25"/>
      <c r="EUO13" s="21"/>
      <c r="EUP13" s="21"/>
      <c r="EUT13" s="15"/>
      <c r="EUZ13" s="25"/>
      <c r="EVG13" s="21"/>
      <c r="EVH13" s="21"/>
      <c r="EVL13" s="15"/>
      <c r="EVR13" s="25"/>
      <c r="EVY13" s="21"/>
      <c r="EVZ13" s="21"/>
      <c r="EWD13" s="15"/>
      <c r="EWJ13" s="25"/>
      <c r="EWQ13" s="21"/>
      <c r="EWR13" s="21"/>
      <c r="EWV13" s="15"/>
      <c r="EXB13" s="25"/>
      <c r="EXI13" s="21"/>
      <c r="EXJ13" s="21"/>
      <c r="EXN13" s="15"/>
      <c r="EXT13" s="25"/>
      <c r="EYA13" s="21"/>
      <c r="EYB13" s="21"/>
      <c r="EYF13" s="15"/>
      <c r="EYL13" s="25"/>
      <c r="EYS13" s="21"/>
      <c r="EYT13" s="21"/>
      <c r="EYX13" s="15"/>
      <c r="EZD13" s="25"/>
      <c r="EZK13" s="21"/>
      <c r="EZL13" s="21"/>
      <c r="EZP13" s="15"/>
      <c r="EZV13" s="25"/>
      <c r="FAC13" s="21"/>
      <c r="FAD13" s="21"/>
      <c r="FAH13" s="15"/>
      <c r="FAN13" s="25"/>
      <c r="FAU13" s="21"/>
      <c r="FAV13" s="21"/>
      <c r="FAZ13" s="15"/>
      <c r="FBF13" s="25"/>
      <c r="FBM13" s="21"/>
      <c r="FBN13" s="21"/>
      <c r="FBR13" s="15"/>
      <c r="FBX13" s="25"/>
      <c r="FCE13" s="21"/>
      <c r="FCF13" s="21"/>
      <c r="FCJ13" s="15"/>
      <c r="FCP13" s="25"/>
      <c r="FCW13" s="21"/>
      <c r="FCX13" s="21"/>
      <c r="FDB13" s="15"/>
      <c r="FDH13" s="25"/>
      <c r="FDO13" s="21"/>
      <c r="FDP13" s="21"/>
      <c r="FDT13" s="15"/>
      <c r="FDZ13" s="25"/>
      <c r="FEG13" s="21"/>
      <c r="FEH13" s="21"/>
      <c r="FEL13" s="15"/>
      <c r="FER13" s="25"/>
      <c r="FEY13" s="21"/>
      <c r="FEZ13" s="21"/>
      <c r="FFD13" s="15"/>
      <c r="FFJ13" s="25"/>
      <c r="FFQ13" s="21"/>
      <c r="FFR13" s="21"/>
      <c r="FFV13" s="15"/>
      <c r="FGB13" s="25"/>
      <c r="FGI13" s="21"/>
      <c r="FGJ13" s="21"/>
      <c r="FGN13" s="15"/>
      <c r="FGT13" s="25"/>
      <c r="FHA13" s="21"/>
      <c r="FHB13" s="21"/>
      <c r="FHF13" s="15"/>
      <c r="FHL13" s="25"/>
      <c r="FHS13" s="21"/>
      <c r="FHT13" s="21"/>
      <c r="FHX13" s="15"/>
      <c r="FID13" s="25"/>
      <c r="FIK13" s="21"/>
      <c r="FIL13" s="21"/>
      <c r="FIP13" s="15"/>
      <c r="FIV13" s="25"/>
      <c r="FJC13" s="21"/>
      <c r="FJD13" s="21"/>
      <c r="FJH13" s="15"/>
      <c r="FJN13" s="25"/>
      <c r="FJU13" s="21"/>
      <c r="FJV13" s="21"/>
      <c r="FJZ13" s="15"/>
      <c r="FKF13" s="25"/>
      <c r="FKM13" s="21"/>
      <c r="FKN13" s="21"/>
      <c r="FKR13" s="15"/>
      <c r="FKX13" s="25"/>
      <c r="FLE13" s="21"/>
      <c r="FLF13" s="21"/>
      <c r="FLJ13" s="15"/>
      <c r="FLP13" s="25"/>
      <c r="FLW13" s="21"/>
      <c r="FLX13" s="21"/>
      <c r="FMB13" s="15"/>
      <c r="FMH13" s="25"/>
      <c r="FMO13" s="21"/>
      <c r="FMP13" s="21"/>
      <c r="FMT13" s="15"/>
      <c r="FMZ13" s="25"/>
      <c r="FNG13" s="21"/>
      <c r="FNH13" s="21"/>
      <c r="FNL13" s="15"/>
      <c r="FNR13" s="25"/>
      <c r="FNY13" s="21"/>
      <c r="FNZ13" s="21"/>
      <c r="FOD13" s="15"/>
      <c r="FOJ13" s="25"/>
      <c r="FOQ13" s="21"/>
      <c r="FOR13" s="21"/>
      <c r="FOV13" s="15"/>
      <c r="FPB13" s="25"/>
      <c r="FPI13" s="21"/>
      <c r="FPJ13" s="21"/>
      <c r="FPN13" s="15"/>
      <c r="FPT13" s="25"/>
      <c r="FQA13" s="21"/>
      <c r="FQB13" s="21"/>
      <c r="FQF13" s="15"/>
      <c r="FQL13" s="25"/>
      <c r="FQS13" s="21"/>
      <c r="FQT13" s="21"/>
      <c r="FQX13" s="15"/>
      <c r="FRD13" s="25"/>
      <c r="FRK13" s="21"/>
      <c r="FRL13" s="21"/>
      <c r="FRP13" s="15"/>
      <c r="FRV13" s="25"/>
      <c r="FSC13" s="21"/>
      <c r="FSD13" s="21"/>
      <c r="FSH13" s="15"/>
      <c r="FSN13" s="25"/>
      <c r="FSU13" s="21"/>
      <c r="FSV13" s="21"/>
      <c r="FSZ13" s="15"/>
      <c r="FTF13" s="25"/>
      <c r="FTM13" s="21"/>
      <c r="FTN13" s="21"/>
      <c r="FTR13" s="15"/>
      <c r="FTX13" s="25"/>
      <c r="FUE13" s="21"/>
      <c r="FUF13" s="21"/>
      <c r="FUJ13" s="15"/>
      <c r="FUP13" s="25"/>
      <c r="FUW13" s="21"/>
      <c r="FUX13" s="21"/>
      <c r="FVB13" s="15"/>
      <c r="FVH13" s="25"/>
      <c r="FVO13" s="21"/>
      <c r="FVP13" s="21"/>
      <c r="FVT13" s="15"/>
      <c r="FVZ13" s="25"/>
      <c r="FWG13" s="21"/>
      <c r="FWH13" s="21"/>
      <c r="FWL13" s="15"/>
      <c r="FWR13" s="25"/>
      <c r="FWY13" s="21"/>
      <c r="FWZ13" s="21"/>
      <c r="FXD13" s="15"/>
      <c r="FXJ13" s="25"/>
      <c r="FXQ13" s="21"/>
      <c r="FXR13" s="21"/>
      <c r="FXV13" s="15"/>
      <c r="FYB13" s="25"/>
      <c r="FYI13" s="21"/>
      <c r="FYJ13" s="21"/>
      <c r="FYN13" s="15"/>
      <c r="FYT13" s="25"/>
      <c r="FZA13" s="21"/>
      <c r="FZB13" s="21"/>
      <c r="FZF13" s="15"/>
      <c r="FZL13" s="25"/>
      <c r="FZS13" s="21"/>
      <c r="FZT13" s="21"/>
      <c r="FZX13" s="15"/>
      <c r="GAD13" s="25"/>
      <c r="GAK13" s="21"/>
      <c r="GAL13" s="21"/>
      <c r="GAP13" s="15"/>
      <c r="GAV13" s="25"/>
      <c r="GBC13" s="21"/>
      <c r="GBD13" s="21"/>
      <c r="GBH13" s="15"/>
      <c r="GBN13" s="25"/>
      <c r="GBU13" s="21"/>
      <c r="GBV13" s="21"/>
      <c r="GBZ13" s="15"/>
      <c r="GCF13" s="25"/>
      <c r="GCM13" s="21"/>
      <c r="GCN13" s="21"/>
      <c r="GCR13" s="15"/>
      <c r="GCX13" s="25"/>
      <c r="GDE13" s="21"/>
      <c r="GDF13" s="21"/>
      <c r="GDJ13" s="15"/>
      <c r="GDP13" s="25"/>
      <c r="GDW13" s="21"/>
      <c r="GDX13" s="21"/>
      <c r="GEB13" s="15"/>
      <c r="GEH13" s="25"/>
      <c r="GEO13" s="21"/>
      <c r="GEP13" s="21"/>
      <c r="GET13" s="15"/>
      <c r="GEZ13" s="25"/>
      <c r="GFG13" s="21"/>
      <c r="GFH13" s="21"/>
      <c r="GFL13" s="15"/>
      <c r="GFR13" s="25"/>
      <c r="GFY13" s="21"/>
      <c r="GFZ13" s="21"/>
      <c r="GGD13" s="15"/>
      <c r="GGJ13" s="25"/>
      <c r="GGQ13" s="21"/>
      <c r="GGR13" s="21"/>
      <c r="GGV13" s="15"/>
      <c r="GHB13" s="25"/>
      <c r="GHI13" s="21"/>
      <c r="GHJ13" s="21"/>
      <c r="GHN13" s="15"/>
      <c r="GHT13" s="25"/>
      <c r="GIA13" s="21"/>
      <c r="GIB13" s="21"/>
      <c r="GIF13" s="15"/>
      <c r="GIL13" s="25"/>
      <c r="GIS13" s="21"/>
      <c r="GIT13" s="21"/>
      <c r="GIX13" s="15"/>
      <c r="GJD13" s="25"/>
      <c r="GJK13" s="21"/>
      <c r="GJL13" s="21"/>
      <c r="GJP13" s="15"/>
      <c r="GJV13" s="25"/>
      <c r="GKC13" s="21"/>
      <c r="GKD13" s="21"/>
      <c r="GKH13" s="15"/>
      <c r="GKN13" s="25"/>
      <c r="GKU13" s="21"/>
      <c r="GKV13" s="21"/>
      <c r="GKZ13" s="15"/>
      <c r="GLF13" s="25"/>
      <c r="GLM13" s="21"/>
      <c r="GLN13" s="21"/>
      <c r="GLR13" s="15"/>
      <c r="GLX13" s="25"/>
      <c r="GME13" s="21"/>
      <c r="GMF13" s="21"/>
      <c r="GMJ13" s="15"/>
      <c r="GMP13" s="25"/>
      <c r="GMW13" s="21"/>
      <c r="GMX13" s="21"/>
      <c r="GNB13" s="15"/>
      <c r="GNH13" s="25"/>
      <c r="GNO13" s="21"/>
      <c r="GNP13" s="21"/>
      <c r="GNT13" s="15"/>
      <c r="GNZ13" s="25"/>
      <c r="GOG13" s="21"/>
      <c r="GOH13" s="21"/>
      <c r="GOL13" s="15"/>
      <c r="GOR13" s="25"/>
      <c r="GOY13" s="21"/>
      <c r="GOZ13" s="21"/>
      <c r="GPD13" s="15"/>
      <c r="GPJ13" s="25"/>
      <c r="GPQ13" s="21"/>
      <c r="GPR13" s="21"/>
      <c r="GPV13" s="15"/>
      <c r="GQB13" s="25"/>
      <c r="GQI13" s="21"/>
      <c r="GQJ13" s="21"/>
      <c r="GQN13" s="15"/>
      <c r="GQT13" s="25"/>
      <c r="GRA13" s="21"/>
      <c r="GRB13" s="21"/>
      <c r="GRF13" s="15"/>
      <c r="GRL13" s="25"/>
      <c r="GRS13" s="21"/>
      <c r="GRT13" s="21"/>
      <c r="GRX13" s="15"/>
      <c r="GSD13" s="25"/>
      <c r="GSK13" s="21"/>
      <c r="GSL13" s="21"/>
      <c r="GSP13" s="15"/>
      <c r="GSV13" s="25"/>
      <c r="GTC13" s="21"/>
      <c r="GTD13" s="21"/>
      <c r="GTH13" s="15"/>
      <c r="GTN13" s="25"/>
      <c r="GTU13" s="21"/>
      <c r="GTV13" s="21"/>
      <c r="GTZ13" s="15"/>
      <c r="GUF13" s="25"/>
      <c r="GUM13" s="21"/>
      <c r="GUN13" s="21"/>
      <c r="GUR13" s="15"/>
      <c r="GUX13" s="25"/>
      <c r="GVE13" s="21"/>
      <c r="GVF13" s="21"/>
      <c r="GVJ13" s="15"/>
      <c r="GVP13" s="25"/>
      <c r="GVW13" s="21"/>
      <c r="GVX13" s="21"/>
      <c r="GWB13" s="15"/>
      <c r="GWH13" s="25"/>
      <c r="GWO13" s="21"/>
      <c r="GWP13" s="21"/>
      <c r="GWT13" s="15"/>
      <c r="GWZ13" s="25"/>
      <c r="GXG13" s="21"/>
      <c r="GXH13" s="21"/>
      <c r="GXL13" s="15"/>
      <c r="GXR13" s="25"/>
      <c r="GXY13" s="21"/>
      <c r="GXZ13" s="21"/>
      <c r="GYD13" s="15"/>
      <c r="GYJ13" s="25"/>
      <c r="GYQ13" s="21"/>
      <c r="GYR13" s="21"/>
      <c r="GYV13" s="15"/>
      <c r="GZB13" s="25"/>
      <c r="GZI13" s="21"/>
      <c r="GZJ13" s="21"/>
      <c r="GZN13" s="15"/>
      <c r="GZT13" s="25"/>
      <c r="HAA13" s="21"/>
      <c r="HAB13" s="21"/>
      <c r="HAF13" s="15"/>
      <c r="HAL13" s="25"/>
      <c r="HAS13" s="21"/>
      <c r="HAT13" s="21"/>
      <c r="HAX13" s="15"/>
      <c r="HBD13" s="25"/>
      <c r="HBK13" s="21"/>
      <c r="HBL13" s="21"/>
      <c r="HBP13" s="15"/>
      <c r="HBV13" s="25"/>
      <c r="HCC13" s="21"/>
      <c r="HCD13" s="21"/>
      <c r="HCH13" s="15"/>
      <c r="HCN13" s="25"/>
      <c r="HCU13" s="21"/>
      <c r="HCV13" s="21"/>
      <c r="HCZ13" s="15"/>
      <c r="HDF13" s="25"/>
      <c r="HDM13" s="21"/>
      <c r="HDN13" s="21"/>
      <c r="HDR13" s="15"/>
      <c r="HDX13" s="25"/>
      <c r="HEE13" s="21"/>
      <c r="HEF13" s="21"/>
      <c r="HEJ13" s="15"/>
      <c r="HEP13" s="25"/>
      <c r="HEW13" s="21"/>
      <c r="HEX13" s="21"/>
      <c r="HFB13" s="15"/>
      <c r="HFH13" s="25"/>
      <c r="HFO13" s="21"/>
      <c r="HFP13" s="21"/>
      <c r="HFT13" s="15"/>
      <c r="HFZ13" s="25"/>
      <c r="HGG13" s="21"/>
      <c r="HGH13" s="21"/>
      <c r="HGL13" s="15"/>
      <c r="HGR13" s="25"/>
      <c r="HGY13" s="21"/>
      <c r="HGZ13" s="21"/>
      <c r="HHD13" s="15"/>
      <c r="HHJ13" s="25"/>
      <c r="HHQ13" s="21"/>
      <c r="HHR13" s="21"/>
      <c r="HHV13" s="15"/>
      <c r="HIB13" s="25"/>
      <c r="HII13" s="21"/>
      <c r="HIJ13" s="21"/>
      <c r="HIN13" s="15"/>
      <c r="HIT13" s="25"/>
      <c r="HJA13" s="21"/>
      <c r="HJB13" s="21"/>
      <c r="HJF13" s="15"/>
      <c r="HJL13" s="25"/>
      <c r="HJS13" s="21"/>
      <c r="HJT13" s="21"/>
      <c r="HJX13" s="15"/>
      <c r="HKD13" s="25"/>
      <c r="HKK13" s="21"/>
      <c r="HKL13" s="21"/>
      <c r="HKP13" s="15"/>
      <c r="HKV13" s="25"/>
      <c r="HLC13" s="21"/>
      <c r="HLD13" s="21"/>
      <c r="HLH13" s="15"/>
      <c r="HLN13" s="25"/>
      <c r="HLU13" s="21"/>
      <c r="HLV13" s="21"/>
      <c r="HLZ13" s="15"/>
      <c r="HMF13" s="25"/>
      <c r="HMM13" s="21"/>
      <c r="HMN13" s="21"/>
      <c r="HMR13" s="15"/>
      <c r="HMX13" s="25"/>
      <c r="HNE13" s="21"/>
      <c r="HNF13" s="21"/>
      <c r="HNJ13" s="15"/>
      <c r="HNP13" s="25"/>
      <c r="HNW13" s="21"/>
      <c r="HNX13" s="21"/>
      <c r="HOB13" s="15"/>
      <c r="HOH13" s="25"/>
      <c r="HOO13" s="21"/>
      <c r="HOP13" s="21"/>
      <c r="HOT13" s="15"/>
      <c r="HOZ13" s="25"/>
      <c r="HPG13" s="21"/>
      <c r="HPH13" s="21"/>
      <c r="HPL13" s="15"/>
      <c r="HPR13" s="25"/>
      <c r="HPY13" s="21"/>
      <c r="HPZ13" s="21"/>
      <c r="HQD13" s="15"/>
      <c r="HQJ13" s="25"/>
      <c r="HQQ13" s="21"/>
      <c r="HQR13" s="21"/>
      <c r="HQV13" s="15"/>
      <c r="HRB13" s="25"/>
      <c r="HRI13" s="21"/>
      <c r="HRJ13" s="21"/>
      <c r="HRN13" s="15"/>
      <c r="HRT13" s="25"/>
      <c r="HSA13" s="21"/>
      <c r="HSB13" s="21"/>
      <c r="HSF13" s="15"/>
      <c r="HSL13" s="25"/>
      <c r="HSS13" s="21"/>
      <c r="HST13" s="21"/>
      <c r="HSX13" s="15"/>
      <c r="HTD13" s="25"/>
      <c r="HTK13" s="21"/>
      <c r="HTL13" s="21"/>
      <c r="HTP13" s="15"/>
      <c r="HTV13" s="25"/>
      <c r="HUC13" s="21"/>
      <c r="HUD13" s="21"/>
      <c r="HUH13" s="15"/>
      <c r="HUN13" s="25"/>
      <c r="HUU13" s="21"/>
      <c r="HUV13" s="21"/>
      <c r="HUZ13" s="15"/>
      <c r="HVF13" s="25"/>
      <c r="HVM13" s="21"/>
      <c r="HVN13" s="21"/>
      <c r="HVR13" s="15"/>
      <c r="HVX13" s="25"/>
      <c r="HWE13" s="21"/>
      <c r="HWF13" s="21"/>
      <c r="HWJ13" s="15"/>
      <c r="HWP13" s="25"/>
      <c r="HWW13" s="21"/>
      <c r="HWX13" s="21"/>
      <c r="HXB13" s="15"/>
      <c r="HXH13" s="25"/>
      <c r="HXO13" s="21"/>
      <c r="HXP13" s="21"/>
      <c r="HXT13" s="15"/>
      <c r="HXZ13" s="25"/>
      <c r="HYG13" s="21"/>
      <c r="HYH13" s="21"/>
      <c r="HYL13" s="15"/>
      <c r="HYR13" s="25"/>
      <c r="HYY13" s="21"/>
      <c r="HYZ13" s="21"/>
      <c r="HZD13" s="15"/>
      <c r="HZJ13" s="25"/>
      <c r="HZQ13" s="21"/>
      <c r="HZR13" s="21"/>
      <c r="HZV13" s="15"/>
      <c r="IAB13" s="25"/>
      <c r="IAI13" s="21"/>
      <c r="IAJ13" s="21"/>
      <c r="IAN13" s="15"/>
      <c r="IAT13" s="25"/>
      <c r="IBA13" s="21"/>
      <c r="IBB13" s="21"/>
      <c r="IBF13" s="15"/>
      <c r="IBL13" s="25"/>
      <c r="IBS13" s="21"/>
      <c r="IBT13" s="21"/>
      <c r="IBX13" s="15"/>
      <c r="ICD13" s="25"/>
      <c r="ICK13" s="21"/>
      <c r="ICL13" s="21"/>
      <c r="ICP13" s="15"/>
      <c r="ICV13" s="25"/>
      <c r="IDC13" s="21"/>
      <c r="IDD13" s="21"/>
      <c r="IDH13" s="15"/>
      <c r="IDN13" s="25"/>
      <c r="IDU13" s="21"/>
      <c r="IDV13" s="21"/>
      <c r="IDZ13" s="15"/>
      <c r="IEF13" s="25"/>
      <c r="IEM13" s="21"/>
      <c r="IEN13" s="21"/>
      <c r="IER13" s="15"/>
      <c r="IEX13" s="25"/>
      <c r="IFE13" s="21"/>
      <c r="IFF13" s="21"/>
      <c r="IFJ13" s="15"/>
      <c r="IFP13" s="25"/>
      <c r="IFW13" s="21"/>
      <c r="IFX13" s="21"/>
      <c r="IGB13" s="15"/>
      <c r="IGH13" s="25"/>
      <c r="IGO13" s="21"/>
      <c r="IGP13" s="21"/>
      <c r="IGT13" s="15"/>
      <c r="IGZ13" s="25"/>
      <c r="IHG13" s="21"/>
      <c r="IHH13" s="21"/>
      <c r="IHL13" s="15"/>
      <c r="IHR13" s="25"/>
      <c r="IHY13" s="21"/>
      <c r="IHZ13" s="21"/>
      <c r="IID13" s="15"/>
      <c r="IIJ13" s="25"/>
      <c r="IIQ13" s="21"/>
      <c r="IIR13" s="21"/>
      <c r="IIV13" s="15"/>
      <c r="IJB13" s="25"/>
      <c r="IJI13" s="21"/>
      <c r="IJJ13" s="21"/>
      <c r="IJN13" s="15"/>
      <c r="IJT13" s="25"/>
      <c r="IKA13" s="21"/>
      <c r="IKB13" s="21"/>
      <c r="IKF13" s="15"/>
      <c r="IKL13" s="25"/>
      <c r="IKS13" s="21"/>
      <c r="IKT13" s="21"/>
      <c r="IKX13" s="15"/>
      <c r="ILD13" s="25"/>
      <c r="ILK13" s="21"/>
      <c r="ILL13" s="21"/>
      <c r="ILP13" s="15"/>
      <c r="ILV13" s="25"/>
      <c r="IMC13" s="21"/>
      <c r="IMD13" s="21"/>
      <c r="IMH13" s="15"/>
      <c r="IMN13" s="25"/>
      <c r="IMU13" s="21"/>
      <c r="IMV13" s="21"/>
      <c r="IMZ13" s="15"/>
      <c r="INF13" s="25"/>
      <c r="INM13" s="21"/>
      <c r="INN13" s="21"/>
      <c r="INR13" s="15"/>
      <c r="INX13" s="25"/>
      <c r="IOE13" s="21"/>
      <c r="IOF13" s="21"/>
      <c r="IOJ13" s="15"/>
      <c r="IOP13" s="25"/>
      <c r="IOW13" s="21"/>
      <c r="IOX13" s="21"/>
      <c r="IPB13" s="15"/>
      <c r="IPH13" s="25"/>
      <c r="IPO13" s="21"/>
      <c r="IPP13" s="21"/>
      <c r="IPT13" s="15"/>
      <c r="IPZ13" s="25"/>
      <c r="IQG13" s="21"/>
      <c r="IQH13" s="21"/>
      <c r="IQL13" s="15"/>
      <c r="IQR13" s="25"/>
      <c r="IQY13" s="21"/>
      <c r="IQZ13" s="21"/>
      <c r="IRD13" s="15"/>
      <c r="IRJ13" s="25"/>
      <c r="IRQ13" s="21"/>
      <c r="IRR13" s="21"/>
      <c r="IRV13" s="15"/>
      <c r="ISB13" s="25"/>
      <c r="ISI13" s="21"/>
      <c r="ISJ13" s="21"/>
      <c r="ISN13" s="15"/>
      <c r="IST13" s="25"/>
      <c r="ITA13" s="21"/>
      <c r="ITB13" s="21"/>
      <c r="ITF13" s="15"/>
      <c r="ITL13" s="25"/>
      <c r="ITS13" s="21"/>
      <c r="ITT13" s="21"/>
      <c r="ITX13" s="15"/>
      <c r="IUD13" s="25"/>
      <c r="IUK13" s="21"/>
      <c r="IUL13" s="21"/>
      <c r="IUP13" s="15"/>
      <c r="IUV13" s="25"/>
      <c r="IVC13" s="21"/>
      <c r="IVD13" s="21"/>
      <c r="IVH13" s="15"/>
      <c r="IVN13" s="25"/>
      <c r="IVU13" s="21"/>
      <c r="IVV13" s="21"/>
      <c r="IVZ13" s="15"/>
      <c r="IWF13" s="25"/>
      <c r="IWM13" s="21"/>
      <c r="IWN13" s="21"/>
      <c r="IWR13" s="15"/>
      <c r="IWX13" s="25"/>
      <c r="IXE13" s="21"/>
      <c r="IXF13" s="21"/>
      <c r="IXJ13" s="15"/>
      <c r="IXP13" s="25"/>
      <c r="IXW13" s="21"/>
      <c r="IXX13" s="21"/>
      <c r="IYB13" s="15"/>
      <c r="IYH13" s="25"/>
      <c r="IYO13" s="21"/>
      <c r="IYP13" s="21"/>
      <c r="IYT13" s="15"/>
      <c r="IYZ13" s="25"/>
      <c r="IZG13" s="21"/>
      <c r="IZH13" s="21"/>
      <c r="IZL13" s="15"/>
      <c r="IZR13" s="25"/>
      <c r="IZY13" s="21"/>
      <c r="IZZ13" s="21"/>
      <c r="JAD13" s="15"/>
      <c r="JAJ13" s="25"/>
      <c r="JAQ13" s="21"/>
      <c r="JAR13" s="21"/>
      <c r="JAV13" s="15"/>
      <c r="JBB13" s="25"/>
      <c r="JBI13" s="21"/>
      <c r="JBJ13" s="21"/>
      <c r="JBN13" s="15"/>
      <c r="JBT13" s="25"/>
      <c r="JCA13" s="21"/>
      <c r="JCB13" s="21"/>
      <c r="JCF13" s="15"/>
      <c r="JCL13" s="25"/>
      <c r="JCS13" s="21"/>
      <c r="JCT13" s="21"/>
      <c r="JCX13" s="15"/>
      <c r="JDD13" s="25"/>
      <c r="JDK13" s="21"/>
      <c r="JDL13" s="21"/>
      <c r="JDP13" s="15"/>
      <c r="JDV13" s="25"/>
      <c r="JEC13" s="21"/>
      <c r="JED13" s="21"/>
      <c r="JEH13" s="15"/>
      <c r="JEN13" s="25"/>
      <c r="JEU13" s="21"/>
      <c r="JEV13" s="21"/>
      <c r="JEZ13" s="15"/>
      <c r="JFF13" s="25"/>
      <c r="JFM13" s="21"/>
      <c r="JFN13" s="21"/>
      <c r="JFR13" s="15"/>
      <c r="JFX13" s="25"/>
      <c r="JGE13" s="21"/>
      <c r="JGF13" s="21"/>
      <c r="JGJ13" s="15"/>
      <c r="JGP13" s="25"/>
      <c r="JGW13" s="21"/>
      <c r="JGX13" s="21"/>
      <c r="JHB13" s="15"/>
      <c r="JHH13" s="25"/>
      <c r="JHO13" s="21"/>
      <c r="JHP13" s="21"/>
      <c r="JHT13" s="15"/>
      <c r="JHZ13" s="25"/>
      <c r="JIG13" s="21"/>
      <c r="JIH13" s="21"/>
      <c r="JIL13" s="15"/>
      <c r="JIR13" s="25"/>
      <c r="JIY13" s="21"/>
      <c r="JIZ13" s="21"/>
      <c r="JJD13" s="15"/>
      <c r="JJJ13" s="25"/>
      <c r="JJQ13" s="21"/>
      <c r="JJR13" s="21"/>
      <c r="JJV13" s="15"/>
      <c r="JKB13" s="25"/>
      <c r="JKI13" s="21"/>
      <c r="JKJ13" s="21"/>
      <c r="JKN13" s="15"/>
      <c r="JKT13" s="25"/>
      <c r="JLA13" s="21"/>
      <c r="JLB13" s="21"/>
      <c r="JLF13" s="15"/>
      <c r="JLL13" s="25"/>
      <c r="JLS13" s="21"/>
      <c r="JLT13" s="21"/>
      <c r="JLX13" s="15"/>
      <c r="JMD13" s="25"/>
      <c r="JMK13" s="21"/>
      <c r="JML13" s="21"/>
      <c r="JMP13" s="15"/>
      <c r="JMV13" s="25"/>
      <c r="JNC13" s="21"/>
      <c r="JND13" s="21"/>
      <c r="JNH13" s="15"/>
      <c r="JNN13" s="25"/>
      <c r="JNU13" s="21"/>
      <c r="JNV13" s="21"/>
      <c r="JNZ13" s="15"/>
      <c r="JOF13" s="25"/>
      <c r="JOM13" s="21"/>
      <c r="JON13" s="21"/>
      <c r="JOR13" s="15"/>
      <c r="JOX13" s="25"/>
      <c r="JPE13" s="21"/>
      <c r="JPF13" s="21"/>
      <c r="JPJ13" s="15"/>
      <c r="JPP13" s="25"/>
      <c r="JPW13" s="21"/>
      <c r="JPX13" s="21"/>
      <c r="JQB13" s="15"/>
      <c r="JQH13" s="25"/>
      <c r="JQO13" s="21"/>
      <c r="JQP13" s="21"/>
      <c r="JQT13" s="15"/>
      <c r="JQZ13" s="25"/>
      <c r="JRG13" s="21"/>
      <c r="JRH13" s="21"/>
      <c r="JRL13" s="15"/>
      <c r="JRR13" s="25"/>
      <c r="JRY13" s="21"/>
      <c r="JRZ13" s="21"/>
      <c r="JSD13" s="15"/>
      <c r="JSJ13" s="25"/>
      <c r="JSQ13" s="21"/>
      <c r="JSR13" s="21"/>
      <c r="JSV13" s="15"/>
      <c r="JTB13" s="25"/>
      <c r="JTI13" s="21"/>
      <c r="JTJ13" s="21"/>
      <c r="JTN13" s="15"/>
      <c r="JTT13" s="25"/>
      <c r="JUA13" s="21"/>
      <c r="JUB13" s="21"/>
      <c r="JUF13" s="15"/>
      <c r="JUL13" s="25"/>
      <c r="JUS13" s="21"/>
      <c r="JUT13" s="21"/>
      <c r="JUX13" s="15"/>
      <c r="JVD13" s="25"/>
      <c r="JVK13" s="21"/>
      <c r="JVL13" s="21"/>
      <c r="JVP13" s="15"/>
      <c r="JVV13" s="25"/>
      <c r="JWC13" s="21"/>
      <c r="JWD13" s="21"/>
      <c r="JWH13" s="15"/>
      <c r="JWN13" s="25"/>
      <c r="JWU13" s="21"/>
      <c r="JWV13" s="21"/>
      <c r="JWZ13" s="15"/>
      <c r="JXF13" s="25"/>
      <c r="JXM13" s="21"/>
      <c r="JXN13" s="21"/>
      <c r="JXR13" s="15"/>
      <c r="JXX13" s="25"/>
      <c r="JYE13" s="21"/>
      <c r="JYF13" s="21"/>
      <c r="JYJ13" s="15"/>
      <c r="JYP13" s="25"/>
      <c r="JYW13" s="21"/>
      <c r="JYX13" s="21"/>
      <c r="JZB13" s="15"/>
      <c r="JZH13" s="25"/>
      <c r="JZO13" s="21"/>
      <c r="JZP13" s="21"/>
      <c r="JZT13" s="15"/>
      <c r="JZZ13" s="25"/>
      <c r="KAG13" s="21"/>
      <c r="KAH13" s="21"/>
      <c r="KAL13" s="15"/>
      <c r="KAR13" s="25"/>
      <c r="KAY13" s="21"/>
      <c r="KAZ13" s="21"/>
      <c r="KBD13" s="15"/>
      <c r="KBJ13" s="25"/>
      <c r="KBQ13" s="21"/>
      <c r="KBR13" s="21"/>
      <c r="KBV13" s="15"/>
      <c r="KCB13" s="25"/>
      <c r="KCI13" s="21"/>
      <c r="KCJ13" s="21"/>
      <c r="KCN13" s="15"/>
      <c r="KCT13" s="25"/>
      <c r="KDA13" s="21"/>
      <c r="KDB13" s="21"/>
      <c r="KDF13" s="15"/>
      <c r="KDL13" s="25"/>
      <c r="KDS13" s="21"/>
      <c r="KDT13" s="21"/>
      <c r="KDX13" s="15"/>
      <c r="KED13" s="25"/>
      <c r="KEK13" s="21"/>
      <c r="KEL13" s="21"/>
      <c r="KEP13" s="15"/>
      <c r="KEV13" s="25"/>
      <c r="KFC13" s="21"/>
      <c r="KFD13" s="21"/>
      <c r="KFH13" s="15"/>
      <c r="KFN13" s="25"/>
      <c r="KFU13" s="21"/>
      <c r="KFV13" s="21"/>
      <c r="KFZ13" s="15"/>
      <c r="KGF13" s="25"/>
      <c r="KGM13" s="21"/>
      <c r="KGN13" s="21"/>
      <c r="KGR13" s="15"/>
      <c r="KGX13" s="25"/>
      <c r="KHE13" s="21"/>
      <c r="KHF13" s="21"/>
      <c r="KHJ13" s="15"/>
      <c r="KHP13" s="25"/>
      <c r="KHW13" s="21"/>
      <c r="KHX13" s="21"/>
      <c r="KIB13" s="15"/>
      <c r="KIH13" s="25"/>
      <c r="KIO13" s="21"/>
      <c r="KIP13" s="21"/>
      <c r="KIT13" s="15"/>
      <c r="KIZ13" s="25"/>
      <c r="KJG13" s="21"/>
      <c r="KJH13" s="21"/>
      <c r="KJL13" s="15"/>
      <c r="KJR13" s="25"/>
      <c r="KJY13" s="21"/>
      <c r="KJZ13" s="21"/>
      <c r="KKD13" s="15"/>
      <c r="KKJ13" s="25"/>
      <c r="KKQ13" s="21"/>
      <c r="KKR13" s="21"/>
      <c r="KKV13" s="15"/>
      <c r="KLB13" s="25"/>
      <c r="KLI13" s="21"/>
      <c r="KLJ13" s="21"/>
      <c r="KLN13" s="15"/>
      <c r="KLT13" s="25"/>
      <c r="KMA13" s="21"/>
      <c r="KMB13" s="21"/>
      <c r="KMF13" s="15"/>
      <c r="KML13" s="25"/>
      <c r="KMS13" s="21"/>
      <c r="KMT13" s="21"/>
      <c r="KMX13" s="15"/>
      <c r="KND13" s="25"/>
      <c r="KNK13" s="21"/>
      <c r="KNL13" s="21"/>
      <c r="KNP13" s="15"/>
      <c r="KNV13" s="25"/>
      <c r="KOC13" s="21"/>
      <c r="KOD13" s="21"/>
      <c r="KOH13" s="15"/>
      <c r="KON13" s="25"/>
      <c r="KOU13" s="21"/>
      <c r="KOV13" s="21"/>
      <c r="KOZ13" s="15"/>
      <c r="KPF13" s="25"/>
      <c r="KPM13" s="21"/>
      <c r="KPN13" s="21"/>
      <c r="KPR13" s="15"/>
      <c r="KPX13" s="25"/>
      <c r="KQE13" s="21"/>
      <c r="KQF13" s="21"/>
      <c r="KQJ13" s="15"/>
      <c r="KQP13" s="25"/>
      <c r="KQW13" s="21"/>
      <c r="KQX13" s="21"/>
      <c r="KRB13" s="15"/>
      <c r="KRH13" s="25"/>
      <c r="KRO13" s="21"/>
      <c r="KRP13" s="21"/>
      <c r="KRT13" s="15"/>
      <c r="KRZ13" s="25"/>
      <c r="KSG13" s="21"/>
      <c r="KSH13" s="21"/>
      <c r="KSL13" s="15"/>
      <c r="KSR13" s="25"/>
      <c r="KSY13" s="21"/>
      <c r="KSZ13" s="21"/>
      <c r="KTD13" s="15"/>
      <c r="KTJ13" s="25"/>
      <c r="KTQ13" s="21"/>
      <c r="KTR13" s="21"/>
      <c r="KTV13" s="15"/>
      <c r="KUB13" s="25"/>
      <c r="KUI13" s="21"/>
      <c r="KUJ13" s="21"/>
      <c r="KUN13" s="15"/>
      <c r="KUT13" s="25"/>
      <c r="KVA13" s="21"/>
      <c r="KVB13" s="21"/>
      <c r="KVF13" s="15"/>
      <c r="KVL13" s="25"/>
      <c r="KVS13" s="21"/>
      <c r="KVT13" s="21"/>
      <c r="KVX13" s="15"/>
      <c r="KWD13" s="25"/>
      <c r="KWK13" s="21"/>
      <c r="KWL13" s="21"/>
      <c r="KWP13" s="15"/>
      <c r="KWV13" s="25"/>
      <c r="KXC13" s="21"/>
      <c r="KXD13" s="21"/>
      <c r="KXH13" s="15"/>
      <c r="KXN13" s="25"/>
      <c r="KXU13" s="21"/>
      <c r="KXV13" s="21"/>
      <c r="KXZ13" s="15"/>
      <c r="KYF13" s="25"/>
      <c r="KYM13" s="21"/>
      <c r="KYN13" s="21"/>
      <c r="KYR13" s="15"/>
      <c r="KYX13" s="25"/>
      <c r="KZE13" s="21"/>
      <c r="KZF13" s="21"/>
      <c r="KZJ13" s="15"/>
      <c r="KZP13" s="25"/>
      <c r="KZW13" s="21"/>
      <c r="KZX13" s="21"/>
      <c r="LAB13" s="15"/>
      <c r="LAH13" s="25"/>
      <c r="LAO13" s="21"/>
      <c r="LAP13" s="21"/>
      <c r="LAT13" s="15"/>
      <c r="LAZ13" s="25"/>
      <c r="LBG13" s="21"/>
      <c r="LBH13" s="21"/>
      <c r="LBL13" s="15"/>
      <c r="LBR13" s="25"/>
      <c r="LBY13" s="21"/>
      <c r="LBZ13" s="21"/>
      <c r="LCD13" s="15"/>
      <c r="LCJ13" s="25"/>
      <c r="LCQ13" s="21"/>
      <c r="LCR13" s="21"/>
      <c r="LCV13" s="15"/>
      <c r="LDB13" s="25"/>
      <c r="LDI13" s="21"/>
      <c r="LDJ13" s="21"/>
      <c r="LDN13" s="15"/>
      <c r="LDT13" s="25"/>
      <c r="LEA13" s="21"/>
      <c r="LEB13" s="21"/>
      <c r="LEF13" s="15"/>
      <c r="LEL13" s="25"/>
      <c r="LES13" s="21"/>
      <c r="LET13" s="21"/>
      <c r="LEX13" s="15"/>
      <c r="LFD13" s="25"/>
      <c r="LFK13" s="21"/>
      <c r="LFL13" s="21"/>
      <c r="LFP13" s="15"/>
      <c r="LFV13" s="25"/>
      <c r="LGC13" s="21"/>
      <c r="LGD13" s="21"/>
      <c r="LGH13" s="15"/>
      <c r="LGN13" s="25"/>
      <c r="LGU13" s="21"/>
      <c r="LGV13" s="21"/>
      <c r="LGZ13" s="15"/>
      <c r="LHF13" s="25"/>
      <c r="LHM13" s="21"/>
      <c r="LHN13" s="21"/>
      <c r="LHR13" s="15"/>
      <c r="LHX13" s="25"/>
      <c r="LIE13" s="21"/>
      <c r="LIF13" s="21"/>
      <c r="LIJ13" s="15"/>
      <c r="LIP13" s="25"/>
      <c r="LIW13" s="21"/>
      <c r="LIX13" s="21"/>
      <c r="LJB13" s="15"/>
      <c r="LJH13" s="25"/>
      <c r="LJO13" s="21"/>
      <c r="LJP13" s="21"/>
      <c r="LJT13" s="15"/>
      <c r="LJZ13" s="25"/>
      <c r="LKG13" s="21"/>
      <c r="LKH13" s="21"/>
      <c r="LKL13" s="15"/>
      <c r="LKR13" s="25"/>
      <c r="LKY13" s="21"/>
      <c r="LKZ13" s="21"/>
      <c r="LLD13" s="15"/>
      <c r="LLJ13" s="25"/>
      <c r="LLQ13" s="21"/>
      <c r="LLR13" s="21"/>
      <c r="LLV13" s="15"/>
      <c r="LMB13" s="25"/>
      <c r="LMI13" s="21"/>
      <c r="LMJ13" s="21"/>
      <c r="LMN13" s="15"/>
      <c r="LMT13" s="25"/>
      <c r="LNA13" s="21"/>
      <c r="LNB13" s="21"/>
      <c r="LNF13" s="15"/>
      <c r="LNL13" s="25"/>
      <c r="LNS13" s="21"/>
      <c r="LNT13" s="21"/>
      <c r="LNX13" s="15"/>
      <c r="LOD13" s="25"/>
      <c r="LOK13" s="21"/>
      <c r="LOL13" s="21"/>
      <c r="LOP13" s="15"/>
      <c r="LOV13" s="25"/>
      <c r="LPC13" s="21"/>
      <c r="LPD13" s="21"/>
      <c r="LPH13" s="15"/>
      <c r="LPN13" s="25"/>
      <c r="LPU13" s="21"/>
      <c r="LPV13" s="21"/>
      <c r="LPZ13" s="15"/>
      <c r="LQF13" s="25"/>
      <c r="LQM13" s="21"/>
      <c r="LQN13" s="21"/>
      <c r="LQR13" s="15"/>
      <c r="LQX13" s="25"/>
      <c r="LRE13" s="21"/>
      <c r="LRF13" s="21"/>
      <c r="LRJ13" s="15"/>
      <c r="LRP13" s="25"/>
      <c r="LRW13" s="21"/>
      <c r="LRX13" s="21"/>
      <c r="LSB13" s="15"/>
      <c r="LSH13" s="25"/>
      <c r="LSO13" s="21"/>
      <c r="LSP13" s="21"/>
      <c r="LST13" s="15"/>
      <c r="LSZ13" s="25"/>
      <c r="LTG13" s="21"/>
      <c r="LTH13" s="21"/>
      <c r="LTL13" s="15"/>
      <c r="LTR13" s="25"/>
      <c r="LTY13" s="21"/>
      <c r="LTZ13" s="21"/>
      <c r="LUD13" s="15"/>
      <c r="LUJ13" s="25"/>
      <c r="LUQ13" s="21"/>
      <c r="LUR13" s="21"/>
      <c r="LUV13" s="15"/>
      <c r="LVB13" s="25"/>
      <c r="LVI13" s="21"/>
      <c r="LVJ13" s="21"/>
      <c r="LVN13" s="15"/>
      <c r="LVT13" s="25"/>
      <c r="LWA13" s="21"/>
      <c r="LWB13" s="21"/>
      <c r="LWF13" s="15"/>
      <c r="LWL13" s="25"/>
      <c r="LWS13" s="21"/>
      <c r="LWT13" s="21"/>
      <c r="LWX13" s="15"/>
      <c r="LXD13" s="25"/>
      <c r="LXK13" s="21"/>
      <c r="LXL13" s="21"/>
      <c r="LXP13" s="15"/>
      <c r="LXV13" s="25"/>
      <c r="LYC13" s="21"/>
      <c r="LYD13" s="21"/>
      <c r="LYH13" s="15"/>
      <c r="LYN13" s="25"/>
      <c r="LYU13" s="21"/>
      <c r="LYV13" s="21"/>
      <c r="LYZ13" s="15"/>
      <c r="LZF13" s="25"/>
      <c r="LZM13" s="21"/>
      <c r="LZN13" s="21"/>
      <c r="LZR13" s="15"/>
      <c r="LZX13" s="25"/>
      <c r="MAE13" s="21"/>
      <c r="MAF13" s="21"/>
      <c r="MAJ13" s="15"/>
      <c r="MAP13" s="25"/>
      <c r="MAW13" s="21"/>
      <c r="MAX13" s="21"/>
      <c r="MBB13" s="15"/>
      <c r="MBH13" s="25"/>
      <c r="MBO13" s="21"/>
      <c r="MBP13" s="21"/>
      <c r="MBT13" s="15"/>
      <c r="MBZ13" s="25"/>
      <c r="MCG13" s="21"/>
      <c r="MCH13" s="21"/>
      <c r="MCL13" s="15"/>
      <c r="MCR13" s="25"/>
      <c r="MCY13" s="21"/>
      <c r="MCZ13" s="21"/>
      <c r="MDD13" s="15"/>
      <c r="MDJ13" s="25"/>
      <c r="MDQ13" s="21"/>
      <c r="MDR13" s="21"/>
      <c r="MDV13" s="15"/>
      <c r="MEB13" s="25"/>
      <c r="MEI13" s="21"/>
      <c r="MEJ13" s="21"/>
      <c r="MEN13" s="15"/>
      <c r="MET13" s="25"/>
      <c r="MFA13" s="21"/>
      <c r="MFB13" s="21"/>
      <c r="MFF13" s="15"/>
      <c r="MFL13" s="25"/>
      <c r="MFS13" s="21"/>
      <c r="MFT13" s="21"/>
      <c r="MFX13" s="15"/>
      <c r="MGD13" s="25"/>
      <c r="MGK13" s="21"/>
      <c r="MGL13" s="21"/>
      <c r="MGP13" s="15"/>
      <c r="MGV13" s="25"/>
      <c r="MHC13" s="21"/>
      <c r="MHD13" s="21"/>
      <c r="MHH13" s="15"/>
      <c r="MHN13" s="25"/>
      <c r="MHU13" s="21"/>
      <c r="MHV13" s="21"/>
      <c r="MHZ13" s="15"/>
      <c r="MIF13" s="25"/>
      <c r="MIM13" s="21"/>
      <c r="MIN13" s="21"/>
      <c r="MIR13" s="15"/>
      <c r="MIX13" s="25"/>
      <c r="MJE13" s="21"/>
      <c r="MJF13" s="21"/>
      <c r="MJJ13" s="15"/>
      <c r="MJP13" s="25"/>
      <c r="MJW13" s="21"/>
      <c r="MJX13" s="21"/>
      <c r="MKB13" s="15"/>
      <c r="MKH13" s="25"/>
      <c r="MKO13" s="21"/>
      <c r="MKP13" s="21"/>
      <c r="MKT13" s="15"/>
      <c r="MKZ13" s="25"/>
      <c r="MLG13" s="21"/>
      <c r="MLH13" s="21"/>
      <c r="MLL13" s="15"/>
      <c r="MLR13" s="25"/>
      <c r="MLY13" s="21"/>
      <c r="MLZ13" s="21"/>
      <c r="MMD13" s="15"/>
      <c r="MMJ13" s="25"/>
      <c r="MMQ13" s="21"/>
      <c r="MMR13" s="21"/>
      <c r="MMV13" s="15"/>
      <c r="MNB13" s="25"/>
      <c r="MNI13" s="21"/>
      <c r="MNJ13" s="21"/>
      <c r="MNN13" s="15"/>
      <c r="MNT13" s="25"/>
      <c r="MOA13" s="21"/>
      <c r="MOB13" s="21"/>
      <c r="MOF13" s="15"/>
      <c r="MOL13" s="25"/>
      <c r="MOS13" s="21"/>
      <c r="MOT13" s="21"/>
      <c r="MOX13" s="15"/>
      <c r="MPD13" s="25"/>
      <c r="MPK13" s="21"/>
      <c r="MPL13" s="21"/>
      <c r="MPP13" s="15"/>
      <c r="MPV13" s="25"/>
      <c r="MQC13" s="21"/>
      <c r="MQD13" s="21"/>
      <c r="MQH13" s="15"/>
      <c r="MQN13" s="25"/>
      <c r="MQU13" s="21"/>
      <c r="MQV13" s="21"/>
      <c r="MQZ13" s="15"/>
      <c r="MRF13" s="25"/>
      <c r="MRM13" s="21"/>
      <c r="MRN13" s="21"/>
      <c r="MRR13" s="15"/>
      <c r="MRX13" s="25"/>
      <c r="MSE13" s="21"/>
      <c r="MSF13" s="21"/>
      <c r="MSJ13" s="15"/>
      <c r="MSP13" s="25"/>
      <c r="MSW13" s="21"/>
      <c r="MSX13" s="21"/>
      <c r="MTB13" s="15"/>
      <c r="MTH13" s="25"/>
      <c r="MTO13" s="21"/>
      <c r="MTP13" s="21"/>
      <c r="MTT13" s="15"/>
      <c r="MTZ13" s="25"/>
      <c r="MUG13" s="21"/>
      <c r="MUH13" s="21"/>
      <c r="MUL13" s="15"/>
      <c r="MUR13" s="25"/>
      <c r="MUY13" s="21"/>
      <c r="MUZ13" s="21"/>
      <c r="MVD13" s="15"/>
      <c r="MVJ13" s="25"/>
      <c r="MVQ13" s="21"/>
      <c r="MVR13" s="21"/>
      <c r="MVV13" s="15"/>
      <c r="MWB13" s="25"/>
      <c r="MWI13" s="21"/>
      <c r="MWJ13" s="21"/>
      <c r="MWN13" s="15"/>
      <c r="MWT13" s="25"/>
      <c r="MXA13" s="21"/>
      <c r="MXB13" s="21"/>
      <c r="MXF13" s="15"/>
      <c r="MXL13" s="25"/>
      <c r="MXS13" s="21"/>
      <c r="MXT13" s="21"/>
      <c r="MXX13" s="15"/>
      <c r="MYD13" s="25"/>
      <c r="MYK13" s="21"/>
      <c r="MYL13" s="21"/>
      <c r="MYP13" s="15"/>
      <c r="MYV13" s="25"/>
      <c r="MZC13" s="21"/>
      <c r="MZD13" s="21"/>
      <c r="MZH13" s="15"/>
      <c r="MZN13" s="25"/>
      <c r="MZU13" s="21"/>
      <c r="MZV13" s="21"/>
      <c r="MZZ13" s="15"/>
      <c r="NAF13" s="25"/>
      <c r="NAM13" s="21"/>
      <c r="NAN13" s="21"/>
      <c r="NAR13" s="15"/>
      <c r="NAX13" s="25"/>
      <c r="NBE13" s="21"/>
      <c r="NBF13" s="21"/>
      <c r="NBJ13" s="15"/>
      <c r="NBP13" s="25"/>
      <c r="NBW13" s="21"/>
      <c r="NBX13" s="21"/>
      <c r="NCB13" s="15"/>
      <c r="NCH13" s="25"/>
      <c r="NCO13" s="21"/>
      <c r="NCP13" s="21"/>
      <c r="NCT13" s="15"/>
      <c r="NCZ13" s="25"/>
      <c r="NDG13" s="21"/>
      <c r="NDH13" s="21"/>
      <c r="NDL13" s="15"/>
      <c r="NDR13" s="25"/>
      <c r="NDY13" s="21"/>
      <c r="NDZ13" s="21"/>
      <c r="NED13" s="15"/>
      <c r="NEJ13" s="25"/>
      <c r="NEQ13" s="21"/>
      <c r="NER13" s="21"/>
      <c r="NEV13" s="15"/>
      <c r="NFB13" s="25"/>
      <c r="NFI13" s="21"/>
      <c r="NFJ13" s="21"/>
      <c r="NFN13" s="15"/>
      <c r="NFT13" s="25"/>
      <c r="NGA13" s="21"/>
      <c r="NGB13" s="21"/>
      <c r="NGF13" s="15"/>
      <c r="NGL13" s="25"/>
      <c r="NGS13" s="21"/>
      <c r="NGT13" s="21"/>
      <c r="NGX13" s="15"/>
      <c r="NHD13" s="25"/>
      <c r="NHK13" s="21"/>
      <c r="NHL13" s="21"/>
      <c r="NHP13" s="15"/>
      <c r="NHV13" s="25"/>
      <c r="NIC13" s="21"/>
      <c r="NID13" s="21"/>
      <c r="NIH13" s="15"/>
      <c r="NIN13" s="25"/>
      <c r="NIU13" s="21"/>
      <c r="NIV13" s="21"/>
      <c r="NIZ13" s="15"/>
      <c r="NJF13" s="25"/>
      <c r="NJM13" s="21"/>
      <c r="NJN13" s="21"/>
      <c r="NJR13" s="15"/>
      <c r="NJX13" s="25"/>
      <c r="NKE13" s="21"/>
      <c r="NKF13" s="21"/>
      <c r="NKJ13" s="15"/>
      <c r="NKP13" s="25"/>
      <c r="NKW13" s="21"/>
      <c r="NKX13" s="21"/>
      <c r="NLB13" s="15"/>
      <c r="NLH13" s="25"/>
      <c r="NLO13" s="21"/>
      <c r="NLP13" s="21"/>
      <c r="NLT13" s="15"/>
      <c r="NLZ13" s="25"/>
      <c r="NMG13" s="21"/>
      <c r="NMH13" s="21"/>
      <c r="NML13" s="15"/>
      <c r="NMR13" s="25"/>
      <c r="NMY13" s="21"/>
      <c r="NMZ13" s="21"/>
      <c r="NND13" s="15"/>
      <c r="NNJ13" s="25"/>
      <c r="NNQ13" s="21"/>
      <c r="NNR13" s="21"/>
      <c r="NNV13" s="15"/>
      <c r="NOB13" s="25"/>
      <c r="NOI13" s="21"/>
      <c r="NOJ13" s="21"/>
      <c r="NON13" s="15"/>
      <c r="NOT13" s="25"/>
      <c r="NPA13" s="21"/>
      <c r="NPB13" s="21"/>
      <c r="NPF13" s="15"/>
      <c r="NPL13" s="25"/>
      <c r="NPS13" s="21"/>
      <c r="NPT13" s="21"/>
      <c r="NPX13" s="15"/>
      <c r="NQD13" s="25"/>
      <c r="NQK13" s="21"/>
      <c r="NQL13" s="21"/>
      <c r="NQP13" s="15"/>
      <c r="NQV13" s="25"/>
      <c r="NRC13" s="21"/>
      <c r="NRD13" s="21"/>
      <c r="NRH13" s="15"/>
      <c r="NRN13" s="25"/>
      <c r="NRU13" s="21"/>
      <c r="NRV13" s="21"/>
      <c r="NRZ13" s="15"/>
      <c r="NSF13" s="25"/>
      <c r="NSM13" s="21"/>
      <c r="NSN13" s="21"/>
      <c r="NSR13" s="15"/>
      <c r="NSX13" s="25"/>
      <c r="NTE13" s="21"/>
      <c r="NTF13" s="21"/>
      <c r="NTJ13" s="15"/>
      <c r="NTP13" s="25"/>
      <c r="NTW13" s="21"/>
      <c r="NTX13" s="21"/>
      <c r="NUB13" s="15"/>
      <c r="NUH13" s="25"/>
      <c r="NUO13" s="21"/>
      <c r="NUP13" s="21"/>
      <c r="NUT13" s="15"/>
      <c r="NUZ13" s="25"/>
      <c r="NVG13" s="21"/>
      <c r="NVH13" s="21"/>
      <c r="NVL13" s="15"/>
      <c r="NVR13" s="25"/>
      <c r="NVY13" s="21"/>
      <c r="NVZ13" s="21"/>
      <c r="NWD13" s="15"/>
      <c r="NWJ13" s="25"/>
      <c r="NWQ13" s="21"/>
      <c r="NWR13" s="21"/>
      <c r="NWV13" s="15"/>
      <c r="NXB13" s="25"/>
      <c r="NXI13" s="21"/>
      <c r="NXJ13" s="21"/>
      <c r="NXN13" s="15"/>
      <c r="NXT13" s="25"/>
      <c r="NYA13" s="21"/>
      <c r="NYB13" s="21"/>
      <c r="NYF13" s="15"/>
      <c r="NYL13" s="25"/>
      <c r="NYS13" s="21"/>
      <c r="NYT13" s="21"/>
      <c r="NYX13" s="15"/>
      <c r="NZD13" s="25"/>
      <c r="NZK13" s="21"/>
      <c r="NZL13" s="21"/>
      <c r="NZP13" s="15"/>
      <c r="NZV13" s="25"/>
      <c r="OAC13" s="21"/>
      <c r="OAD13" s="21"/>
      <c r="OAH13" s="15"/>
      <c r="OAN13" s="25"/>
      <c r="OAU13" s="21"/>
      <c r="OAV13" s="21"/>
      <c r="OAZ13" s="15"/>
      <c r="OBF13" s="25"/>
      <c r="OBM13" s="21"/>
      <c r="OBN13" s="21"/>
      <c r="OBR13" s="15"/>
      <c r="OBX13" s="25"/>
      <c r="OCE13" s="21"/>
      <c r="OCF13" s="21"/>
      <c r="OCJ13" s="15"/>
      <c r="OCP13" s="25"/>
      <c r="OCW13" s="21"/>
      <c r="OCX13" s="21"/>
      <c r="ODB13" s="15"/>
      <c r="ODH13" s="25"/>
      <c r="ODO13" s="21"/>
      <c r="ODP13" s="21"/>
      <c r="ODT13" s="15"/>
      <c r="ODZ13" s="25"/>
      <c r="OEG13" s="21"/>
      <c r="OEH13" s="21"/>
      <c r="OEL13" s="15"/>
      <c r="OER13" s="25"/>
      <c r="OEY13" s="21"/>
      <c r="OEZ13" s="21"/>
      <c r="OFD13" s="15"/>
      <c r="OFJ13" s="25"/>
      <c r="OFQ13" s="21"/>
      <c r="OFR13" s="21"/>
      <c r="OFV13" s="15"/>
      <c r="OGB13" s="25"/>
      <c r="OGI13" s="21"/>
      <c r="OGJ13" s="21"/>
      <c r="OGN13" s="15"/>
      <c r="OGT13" s="25"/>
      <c r="OHA13" s="21"/>
      <c r="OHB13" s="21"/>
      <c r="OHF13" s="15"/>
      <c r="OHL13" s="25"/>
      <c r="OHS13" s="21"/>
      <c r="OHT13" s="21"/>
      <c r="OHX13" s="15"/>
      <c r="OID13" s="25"/>
      <c r="OIK13" s="21"/>
      <c r="OIL13" s="21"/>
      <c r="OIP13" s="15"/>
      <c r="OIV13" s="25"/>
      <c r="OJC13" s="21"/>
      <c r="OJD13" s="21"/>
      <c r="OJH13" s="15"/>
      <c r="OJN13" s="25"/>
      <c r="OJU13" s="21"/>
      <c r="OJV13" s="21"/>
      <c r="OJZ13" s="15"/>
      <c r="OKF13" s="25"/>
      <c r="OKM13" s="21"/>
      <c r="OKN13" s="21"/>
      <c r="OKR13" s="15"/>
      <c r="OKX13" s="25"/>
      <c r="OLE13" s="21"/>
      <c r="OLF13" s="21"/>
      <c r="OLJ13" s="15"/>
      <c r="OLP13" s="25"/>
      <c r="OLW13" s="21"/>
      <c r="OLX13" s="21"/>
      <c r="OMB13" s="15"/>
      <c r="OMH13" s="25"/>
      <c r="OMO13" s="21"/>
      <c r="OMP13" s="21"/>
      <c r="OMT13" s="15"/>
      <c r="OMZ13" s="25"/>
      <c r="ONG13" s="21"/>
      <c r="ONH13" s="21"/>
      <c r="ONL13" s="15"/>
      <c r="ONR13" s="25"/>
      <c r="ONY13" s="21"/>
      <c r="ONZ13" s="21"/>
      <c r="OOD13" s="15"/>
      <c r="OOJ13" s="25"/>
      <c r="OOQ13" s="21"/>
      <c r="OOR13" s="21"/>
      <c r="OOV13" s="15"/>
      <c r="OPB13" s="25"/>
      <c r="OPI13" s="21"/>
      <c r="OPJ13" s="21"/>
      <c r="OPN13" s="15"/>
      <c r="OPT13" s="25"/>
      <c r="OQA13" s="21"/>
      <c r="OQB13" s="21"/>
      <c r="OQF13" s="15"/>
      <c r="OQL13" s="25"/>
      <c r="OQS13" s="21"/>
      <c r="OQT13" s="21"/>
      <c r="OQX13" s="15"/>
      <c r="ORD13" s="25"/>
      <c r="ORK13" s="21"/>
      <c r="ORL13" s="21"/>
      <c r="ORP13" s="15"/>
      <c r="ORV13" s="25"/>
      <c r="OSC13" s="21"/>
      <c r="OSD13" s="21"/>
      <c r="OSH13" s="15"/>
      <c r="OSN13" s="25"/>
      <c r="OSU13" s="21"/>
      <c r="OSV13" s="21"/>
      <c r="OSZ13" s="15"/>
      <c r="OTF13" s="25"/>
      <c r="OTM13" s="21"/>
      <c r="OTN13" s="21"/>
      <c r="OTR13" s="15"/>
      <c r="OTX13" s="25"/>
      <c r="OUE13" s="21"/>
      <c r="OUF13" s="21"/>
      <c r="OUJ13" s="15"/>
      <c r="OUP13" s="25"/>
      <c r="OUW13" s="21"/>
      <c r="OUX13" s="21"/>
      <c r="OVB13" s="15"/>
      <c r="OVH13" s="25"/>
      <c r="OVO13" s="21"/>
      <c r="OVP13" s="21"/>
      <c r="OVT13" s="15"/>
      <c r="OVZ13" s="25"/>
      <c r="OWG13" s="21"/>
      <c r="OWH13" s="21"/>
      <c r="OWL13" s="15"/>
      <c r="OWR13" s="25"/>
      <c r="OWY13" s="21"/>
      <c r="OWZ13" s="21"/>
      <c r="OXD13" s="15"/>
      <c r="OXJ13" s="25"/>
      <c r="OXQ13" s="21"/>
      <c r="OXR13" s="21"/>
      <c r="OXV13" s="15"/>
      <c r="OYB13" s="25"/>
      <c r="OYI13" s="21"/>
      <c r="OYJ13" s="21"/>
      <c r="OYN13" s="15"/>
      <c r="OYT13" s="25"/>
      <c r="OZA13" s="21"/>
      <c r="OZB13" s="21"/>
      <c r="OZF13" s="15"/>
      <c r="OZL13" s="25"/>
      <c r="OZS13" s="21"/>
      <c r="OZT13" s="21"/>
      <c r="OZX13" s="15"/>
      <c r="PAD13" s="25"/>
      <c r="PAK13" s="21"/>
      <c r="PAL13" s="21"/>
      <c r="PAP13" s="15"/>
      <c r="PAV13" s="25"/>
      <c r="PBC13" s="21"/>
      <c r="PBD13" s="21"/>
      <c r="PBH13" s="15"/>
      <c r="PBN13" s="25"/>
      <c r="PBU13" s="21"/>
      <c r="PBV13" s="21"/>
      <c r="PBZ13" s="15"/>
      <c r="PCF13" s="25"/>
      <c r="PCM13" s="21"/>
      <c r="PCN13" s="21"/>
      <c r="PCR13" s="15"/>
      <c r="PCX13" s="25"/>
      <c r="PDE13" s="21"/>
      <c r="PDF13" s="21"/>
      <c r="PDJ13" s="15"/>
      <c r="PDP13" s="25"/>
      <c r="PDW13" s="21"/>
      <c r="PDX13" s="21"/>
      <c r="PEB13" s="15"/>
      <c r="PEH13" s="25"/>
      <c r="PEO13" s="21"/>
      <c r="PEP13" s="21"/>
      <c r="PET13" s="15"/>
      <c r="PEZ13" s="25"/>
      <c r="PFG13" s="21"/>
      <c r="PFH13" s="21"/>
      <c r="PFL13" s="15"/>
      <c r="PFR13" s="25"/>
      <c r="PFY13" s="21"/>
      <c r="PFZ13" s="21"/>
      <c r="PGD13" s="15"/>
      <c r="PGJ13" s="25"/>
      <c r="PGQ13" s="21"/>
      <c r="PGR13" s="21"/>
      <c r="PGV13" s="15"/>
      <c r="PHB13" s="25"/>
      <c r="PHI13" s="21"/>
      <c r="PHJ13" s="21"/>
      <c r="PHN13" s="15"/>
      <c r="PHT13" s="25"/>
      <c r="PIA13" s="21"/>
      <c r="PIB13" s="21"/>
      <c r="PIF13" s="15"/>
      <c r="PIL13" s="25"/>
      <c r="PIS13" s="21"/>
      <c r="PIT13" s="21"/>
      <c r="PIX13" s="15"/>
      <c r="PJD13" s="25"/>
      <c r="PJK13" s="21"/>
      <c r="PJL13" s="21"/>
      <c r="PJP13" s="15"/>
      <c r="PJV13" s="25"/>
      <c r="PKC13" s="21"/>
      <c r="PKD13" s="21"/>
      <c r="PKH13" s="15"/>
      <c r="PKN13" s="25"/>
      <c r="PKU13" s="21"/>
      <c r="PKV13" s="21"/>
      <c r="PKZ13" s="15"/>
      <c r="PLF13" s="25"/>
      <c r="PLM13" s="21"/>
      <c r="PLN13" s="21"/>
      <c r="PLR13" s="15"/>
      <c r="PLX13" s="25"/>
      <c r="PME13" s="21"/>
      <c r="PMF13" s="21"/>
      <c r="PMJ13" s="15"/>
      <c r="PMP13" s="25"/>
      <c r="PMW13" s="21"/>
      <c r="PMX13" s="21"/>
      <c r="PNB13" s="15"/>
      <c r="PNH13" s="25"/>
      <c r="PNO13" s="21"/>
      <c r="PNP13" s="21"/>
      <c r="PNT13" s="15"/>
      <c r="PNZ13" s="25"/>
      <c r="POG13" s="21"/>
      <c r="POH13" s="21"/>
      <c r="POL13" s="15"/>
      <c r="POR13" s="25"/>
      <c r="POY13" s="21"/>
      <c r="POZ13" s="21"/>
      <c r="PPD13" s="15"/>
      <c r="PPJ13" s="25"/>
      <c r="PPQ13" s="21"/>
      <c r="PPR13" s="21"/>
      <c r="PPV13" s="15"/>
      <c r="PQB13" s="25"/>
      <c r="PQI13" s="21"/>
      <c r="PQJ13" s="21"/>
      <c r="PQN13" s="15"/>
      <c r="PQT13" s="25"/>
      <c r="PRA13" s="21"/>
      <c r="PRB13" s="21"/>
      <c r="PRF13" s="15"/>
      <c r="PRL13" s="25"/>
      <c r="PRS13" s="21"/>
      <c r="PRT13" s="21"/>
      <c r="PRX13" s="15"/>
      <c r="PSD13" s="25"/>
      <c r="PSK13" s="21"/>
      <c r="PSL13" s="21"/>
      <c r="PSP13" s="15"/>
      <c r="PSV13" s="25"/>
      <c r="PTC13" s="21"/>
      <c r="PTD13" s="21"/>
      <c r="PTH13" s="15"/>
      <c r="PTN13" s="25"/>
      <c r="PTU13" s="21"/>
      <c r="PTV13" s="21"/>
      <c r="PTZ13" s="15"/>
      <c r="PUF13" s="25"/>
      <c r="PUM13" s="21"/>
      <c r="PUN13" s="21"/>
      <c r="PUR13" s="15"/>
      <c r="PUX13" s="25"/>
      <c r="PVE13" s="21"/>
      <c r="PVF13" s="21"/>
      <c r="PVJ13" s="15"/>
      <c r="PVP13" s="25"/>
      <c r="PVW13" s="21"/>
      <c r="PVX13" s="21"/>
      <c r="PWB13" s="15"/>
      <c r="PWH13" s="25"/>
      <c r="PWO13" s="21"/>
      <c r="PWP13" s="21"/>
      <c r="PWT13" s="15"/>
      <c r="PWZ13" s="25"/>
      <c r="PXG13" s="21"/>
      <c r="PXH13" s="21"/>
      <c r="PXL13" s="15"/>
      <c r="PXR13" s="25"/>
      <c r="PXY13" s="21"/>
      <c r="PXZ13" s="21"/>
      <c r="PYD13" s="15"/>
      <c r="PYJ13" s="25"/>
      <c r="PYQ13" s="21"/>
      <c r="PYR13" s="21"/>
      <c r="PYV13" s="15"/>
      <c r="PZB13" s="25"/>
      <c r="PZI13" s="21"/>
      <c r="PZJ13" s="21"/>
      <c r="PZN13" s="15"/>
      <c r="PZT13" s="25"/>
      <c r="QAA13" s="21"/>
      <c r="QAB13" s="21"/>
      <c r="QAF13" s="15"/>
      <c r="QAL13" s="25"/>
      <c r="QAS13" s="21"/>
      <c r="QAT13" s="21"/>
      <c r="QAX13" s="15"/>
      <c r="QBD13" s="25"/>
      <c r="QBK13" s="21"/>
      <c r="QBL13" s="21"/>
      <c r="QBP13" s="15"/>
      <c r="QBV13" s="25"/>
      <c r="QCC13" s="21"/>
      <c r="QCD13" s="21"/>
      <c r="QCH13" s="15"/>
      <c r="QCN13" s="25"/>
      <c r="QCU13" s="21"/>
      <c r="QCV13" s="21"/>
      <c r="QCZ13" s="15"/>
      <c r="QDF13" s="25"/>
      <c r="QDM13" s="21"/>
      <c r="QDN13" s="21"/>
      <c r="QDR13" s="15"/>
      <c r="QDX13" s="25"/>
      <c r="QEE13" s="21"/>
      <c r="QEF13" s="21"/>
      <c r="QEJ13" s="15"/>
      <c r="QEP13" s="25"/>
      <c r="QEW13" s="21"/>
      <c r="QEX13" s="21"/>
      <c r="QFB13" s="15"/>
      <c r="QFH13" s="25"/>
      <c r="QFO13" s="21"/>
      <c r="QFP13" s="21"/>
      <c r="QFT13" s="15"/>
      <c r="QFZ13" s="25"/>
      <c r="QGG13" s="21"/>
      <c r="QGH13" s="21"/>
      <c r="QGL13" s="15"/>
      <c r="QGR13" s="25"/>
      <c r="QGY13" s="21"/>
      <c r="QGZ13" s="21"/>
      <c r="QHD13" s="15"/>
      <c r="QHJ13" s="25"/>
      <c r="QHQ13" s="21"/>
      <c r="QHR13" s="21"/>
      <c r="QHV13" s="15"/>
      <c r="QIB13" s="25"/>
      <c r="QII13" s="21"/>
      <c r="QIJ13" s="21"/>
      <c r="QIN13" s="15"/>
      <c r="QIT13" s="25"/>
      <c r="QJA13" s="21"/>
      <c r="QJB13" s="21"/>
      <c r="QJF13" s="15"/>
      <c r="QJL13" s="25"/>
      <c r="QJS13" s="21"/>
      <c r="QJT13" s="21"/>
      <c r="QJX13" s="15"/>
      <c r="QKD13" s="25"/>
      <c r="QKK13" s="21"/>
      <c r="QKL13" s="21"/>
      <c r="QKP13" s="15"/>
      <c r="QKV13" s="25"/>
      <c r="QLC13" s="21"/>
      <c r="QLD13" s="21"/>
      <c r="QLH13" s="15"/>
      <c r="QLN13" s="25"/>
      <c r="QLU13" s="21"/>
      <c r="QLV13" s="21"/>
      <c r="QLZ13" s="15"/>
      <c r="QMF13" s="25"/>
      <c r="QMM13" s="21"/>
      <c r="QMN13" s="21"/>
      <c r="QMR13" s="15"/>
      <c r="QMX13" s="25"/>
      <c r="QNE13" s="21"/>
      <c r="QNF13" s="21"/>
      <c r="QNJ13" s="15"/>
      <c r="QNP13" s="25"/>
      <c r="QNW13" s="21"/>
      <c r="QNX13" s="21"/>
      <c r="QOB13" s="15"/>
      <c r="QOH13" s="25"/>
      <c r="QOO13" s="21"/>
      <c r="QOP13" s="21"/>
      <c r="QOT13" s="15"/>
      <c r="QOZ13" s="25"/>
      <c r="QPG13" s="21"/>
      <c r="QPH13" s="21"/>
      <c r="QPL13" s="15"/>
      <c r="QPR13" s="25"/>
      <c r="QPY13" s="21"/>
      <c r="QPZ13" s="21"/>
      <c r="QQD13" s="15"/>
      <c r="QQJ13" s="25"/>
      <c r="QQQ13" s="21"/>
      <c r="QQR13" s="21"/>
      <c r="QQV13" s="15"/>
      <c r="QRB13" s="25"/>
      <c r="QRI13" s="21"/>
      <c r="QRJ13" s="21"/>
      <c r="QRN13" s="15"/>
      <c r="QRT13" s="25"/>
      <c r="QSA13" s="21"/>
      <c r="QSB13" s="21"/>
      <c r="QSF13" s="15"/>
      <c r="QSL13" s="25"/>
      <c r="QSS13" s="21"/>
      <c r="QST13" s="21"/>
      <c r="QSX13" s="15"/>
      <c r="QTD13" s="25"/>
      <c r="QTK13" s="21"/>
      <c r="QTL13" s="21"/>
      <c r="QTP13" s="15"/>
      <c r="QTV13" s="25"/>
      <c r="QUC13" s="21"/>
      <c r="QUD13" s="21"/>
      <c r="QUH13" s="15"/>
      <c r="QUN13" s="25"/>
      <c r="QUU13" s="21"/>
      <c r="QUV13" s="21"/>
      <c r="QUZ13" s="15"/>
      <c r="QVF13" s="25"/>
      <c r="QVM13" s="21"/>
      <c r="QVN13" s="21"/>
      <c r="QVR13" s="15"/>
      <c r="QVX13" s="25"/>
      <c r="QWE13" s="21"/>
      <c r="QWF13" s="21"/>
      <c r="QWJ13" s="15"/>
      <c r="QWP13" s="25"/>
      <c r="QWW13" s="21"/>
      <c r="QWX13" s="21"/>
      <c r="QXB13" s="15"/>
      <c r="QXH13" s="25"/>
      <c r="QXO13" s="21"/>
      <c r="QXP13" s="21"/>
      <c r="QXT13" s="15"/>
      <c r="QXZ13" s="25"/>
      <c r="QYG13" s="21"/>
      <c r="QYH13" s="21"/>
      <c r="QYL13" s="15"/>
      <c r="QYR13" s="25"/>
      <c r="QYY13" s="21"/>
      <c r="QYZ13" s="21"/>
      <c r="QZD13" s="15"/>
      <c r="QZJ13" s="25"/>
      <c r="QZQ13" s="21"/>
      <c r="QZR13" s="21"/>
      <c r="QZV13" s="15"/>
      <c r="RAB13" s="25"/>
      <c r="RAI13" s="21"/>
      <c r="RAJ13" s="21"/>
      <c r="RAN13" s="15"/>
      <c r="RAT13" s="25"/>
      <c r="RBA13" s="21"/>
      <c r="RBB13" s="21"/>
      <c r="RBF13" s="15"/>
      <c r="RBL13" s="25"/>
      <c r="RBS13" s="21"/>
      <c r="RBT13" s="21"/>
      <c r="RBX13" s="15"/>
      <c r="RCD13" s="25"/>
      <c r="RCK13" s="21"/>
      <c r="RCL13" s="21"/>
      <c r="RCP13" s="15"/>
      <c r="RCV13" s="25"/>
      <c r="RDC13" s="21"/>
      <c r="RDD13" s="21"/>
      <c r="RDH13" s="15"/>
      <c r="RDN13" s="25"/>
      <c r="RDU13" s="21"/>
      <c r="RDV13" s="21"/>
      <c r="RDZ13" s="15"/>
      <c r="REF13" s="25"/>
      <c r="REM13" s="21"/>
      <c r="REN13" s="21"/>
      <c r="RER13" s="15"/>
      <c r="REX13" s="25"/>
      <c r="RFE13" s="21"/>
      <c r="RFF13" s="21"/>
      <c r="RFJ13" s="15"/>
      <c r="RFP13" s="25"/>
      <c r="RFW13" s="21"/>
      <c r="RFX13" s="21"/>
      <c r="RGB13" s="15"/>
      <c r="RGH13" s="25"/>
      <c r="RGO13" s="21"/>
      <c r="RGP13" s="21"/>
      <c r="RGT13" s="15"/>
      <c r="RGZ13" s="25"/>
      <c r="RHG13" s="21"/>
      <c r="RHH13" s="21"/>
      <c r="RHL13" s="15"/>
      <c r="RHR13" s="25"/>
      <c r="RHY13" s="21"/>
      <c r="RHZ13" s="21"/>
      <c r="RID13" s="15"/>
      <c r="RIJ13" s="25"/>
      <c r="RIQ13" s="21"/>
      <c r="RIR13" s="21"/>
      <c r="RIV13" s="15"/>
      <c r="RJB13" s="25"/>
      <c r="RJI13" s="21"/>
      <c r="RJJ13" s="21"/>
      <c r="RJN13" s="15"/>
      <c r="RJT13" s="25"/>
      <c r="RKA13" s="21"/>
      <c r="RKB13" s="21"/>
      <c r="RKF13" s="15"/>
      <c r="RKL13" s="25"/>
      <c r="RKS13" s="21"/>
      <c r="RKT13" s="21"/>
      <c r="RKX13" s="15"/>
      <c r="RLD13" s="25"/>
      <c r="RLK13" s="21"/>
      <c r="RLL13" s="21"/>
      <c r="RLP13" s="15"/>
      <c r="RLV13" s="25"/>
      <c r="RMC13" s="21"/>
      <c r="RMD13" s="21"/>
      <c r="RMH13" s="15"/>
      <c r="RMN13" s="25"/>
      <c r="RMU13" s="21"/>
      <c r="RMV13" s="21"/>
      <c r="RMZ13" s="15"/>
      <c r="RNF13" s="25"/>
      <c r="RNM13" s="21"/>
      <c r="RNN13" s="21"/>
      <c r="RNR13" s="15"/>
      <c r="RNX13" s="25"/>
      <c r="ROE13" s="21"/>
      <c r="ROF13" s="21"/>
      <c r="ROJ13" s="15"/>
      <c r="ROP13" s="25"/>
      <c r="ROW13" s="21"/>
      <c r="ROX13" s="21"/>
      <c r="RPB13" s="15"/>
      <c r="RPH13" s="25"/>
      <c r="RPO13" s="21"/>
      <c r="RPP13" s="21"/>
      <c r="RPT13" s="15"/>
      <c r="RPZ13" s="25"/>
      <c r="RQG13" s="21"/>
      <c r="RQH13" s="21"/>
      <c r="RQL13" s="15"/>
      <c r="RQR13" s="25"/>
      <c r="RQY13" s="21"/>
      <c r="RQZ13" s="21"/>
      <c r="RRD13" s="15"/>
      <c r="RRJ13" s="25"/>
      <c r="RRQ13" s="21"/>
      <c r="RRR13" s="21"/>
      <c r="RRV13" s="15"/>
      <c r="RSB13" s="25"/>
      <c r="RSI13" s="21"/>
      <c r="RSJ13" s="21"/>
      <c r="RSN13" s="15"/>
      <c r="RST13" s="25"/>
      <c r="RTA13" s="21"/>
      <c r="RTB13" s="21"/>
      <c r="RTF13" s="15"/>
      <c r="RTL13" s="25"/>
      <c r="RTS13" s="21"/>
      <c r="RTT13" s="21"/>
      <c r="RTX13" s="15"/>
      <c r="RUD13" s="25"/>
      <c r="RUK13" s="21"/>
      <c r="RUL13" s="21"/>
      <c r="RUP13" s="15"/>
      <c r="RUV13" s="25"/>
      <c r="RVC13" s="21"/>
      <c r="RVD13" s="21"/>
      <c r="RVH13" s="15"/>
      <c r="RVN13" s="25"/>
      <c r="RVU13" s="21"/>
      <c r="RVV13" s="21"/>
      <c r="RVZ13" s="15"/>
      <c r="RWF13" s="25"/>
      <c r="RWM13" s="21"/>
      <c r="RWN13" s="21"/>
      <c r="RWR13" s="15"/>
      <c r="RWX13" s="25"/>
      <c r="RXE13" s="21"/>
      <c r="RXF13" s="21"/>
      <c r="RXJ13" s="15"/>
      <c r="RXP13" s="25"/>
      <c r="RXW13" s="21"/>
      <c r="RXX13" s="21"/>
      <c r="RYB13" s="15"/>
      <c r="RYH13" s="25"/>
      <c r="RYO13" s="21"/>
      <c r="RYP13" s="21"/>
      <c r="RYT13" s="15"/>
      <c r="RYZ13" s="25"/>
      <c r="RZG13" s="21"/>
      <c r="RZH13" s="21"/>
      <c r="RZL13" s="15"/>
      <c r="RZR13" s="25"/>
      <c r="RZY13" s="21"/>
      <c r="RZZ13" s="21"/>
      <c r="SAD13" s="15"/>
      <c r="SAJ13" s="25"/>
      <c r="SAQ13" s="21"/>
      <c r="SAR13" s="21"/>
      <c r="SAV13" s="15"/>
      <c r="SBB13" s="25"/>
      <c r="SBI13" s="21"/>
      <c r="SBJ13" s="21"/>
      <c r="SBN13" s="15"/>
      <c r="SBT13" s="25"/>
      <c r="SCA13" s="21"/>
      <c r="SCB13" s="21"/>
      <c r="SCF13" s="15"/>
      <c r="SCL13" s="25"/>
      <c r="SCS13" s="21"/>
      <c r="SCT13" s="21"/>
      <c r="SCX13" s="15"/>
      <c r="SDD13" s="25"/>
      <c r="SDK13" s="21"/>
      <c r="SDL13" s="21"/>
      <c r="SDP13" s="15"/>
      <c r="SDV13" s="25"/>
      <c r="SEC13" s="21"/>
      <c r="SED13" s="21"/>
      <c r="SEH13" s="15"/>
      <c r="SEN13" s="25"/>
      <c r="SEU13" s="21"/>
      <c r="SEV13" s="21"/>
      <c r="SEZ13" s="15"/>
      <c r="SFF13" s="25"/>
      <c r="SFM13" s="21"/>
      <c r="SFN13" s="21"/>
      <c r="SFR13" s="15"/>
      <c r="SFX13" s="25"/>
      <c r="SGE13" s="21"/>
      <c r="SGF13" s="21"/>
      <c r="SGJ13" s="15"/>
      <c r="SGP13" s="25"/>
      <c r="SGW13" s="21"/>
      <c r="SGX13" s="21"/>
      <c r="SHB13" s="15"/>
      <c r="SHH13" s="25"/>
      <c r="SHO13" s="21"/>
      <c r="SHP13" s="21"/>
      <c r="SHT13" s="15"/>
      <c r="SHZ13" s="25"/>
      <c r="SIG13" s="21"/>
      <c r="SIH13" s="21"/>
      <c r="SIL13" s="15"/>
      <c r="SIR13" s="25"/>
      <c r="SIY13" s="21"/>
      <c r="SIZ13" s="21"/>
      <c r="SJD13" s="15"/>
      <c r="SJJ13" s="25"/>
      <c r="SJQ13" s="21"/>
      <c r="SJR13" s="21"/>
      <c r="SJV13" s="15"/>
      <c r="SKB13" s="25"/>
      <c r="SKI13" s="21"/>
      <c r="SKJ13" s="21"/>
      <c r="SKN13" s="15"/>
      <c r="SKT13" s="25"/>
      <c r="SLA13" s="21"/>
      <c r="SLB13" s="21"/>
      <c r="SLF13" s="15"/>
      <c r="SLL13" s="25"/>
      <c r="SLS13" s="21"/>
      <c r="SLT13" s="21"/>
      <c r="SLX13" s="15"/>
      <c r="SMD13" s="25"/>
      <c r="SMK13" s="21"/>
      <c r="SML13" s="21"/>
      <c r="SMP13" s="15"/>
      <c r="SMV13" s="25"/>
      <c r="SNC13" s="21"/>
      <c r="SND13" s="21"/>
      <c r="SNH13" s="15"/>
      <c r="SNN13" s="25"/>
      <c r="SNU13" s="21"/>
      <c r="SNV13" s="21"/>
      <c r="SNZ13" s="15"/>
      <c r="SOF13" s="25"/>
      <c r="SOM13" s="21"/>
      <c r="SON13" s="21"/>
      <c r="SOR13" s="15"/>
      <c r="SOX13" s="25"/>
      <c r="SPE13" s="21"/>
      <c r="SPF13" s="21"/>
      <c r="SPJ13" s="15"/>
      <c r="SPP13" s="25"/>
      <c r="SPW13" s="21"/>
      <c r="SPX13" s="21"/>
      <c r="SQB13" s="15"/>
      <c r="SQH13" s="25"/>
      <c r="SQO13" s="21"/>
      <c r="SQP13" s="21"/>
      <c r="SQT13" s="15"/>
      <c r="SQZ13" s="25"/>
      <c r="SRG13" s="21"/>
      <c r="SRH13" s="21"/>
      <c r="SRL13" s="15"/>
      <c r="SRR13" s="25"/>
      <c r="SRY13" s="21"/>
      <c r="SRZ13" s="21"/>
      <c r="SSD13" s="15"/>
      <c r="SSJ13" s="25"/>
      <c r="SSQ13" s="21"/>
      <c r="SSR13" s="21"/>
      <c r="SSV13" s="15"/>
      <c r="STB13" s="25"/>
      <c r="STI13" s="21"/>
      <c r="STJ13" s="21"/>
      <c r="STN13" s="15"/>
      <c r="STT13" s="25"/>
      <c r="SUA13" s="21"/>
      <c r="SUB13" s="21"/>
      <c r="SUF13" s="15"/>
      <c r="SUL13" s="25"/>
      <c r="SUS13" s="21"/>
      <c r="SUT13" s="21"/>
      <c r="SUX13" s="15"/>
      <c r="SVD13" s="25"/>
      <c r="SVK13" s="21"/>
      <c r="SVL13" s="21"/>
      <c r="SVP13" s="15"/>
      <c r="SVV13" s="25"/>
      <c r="SWC13" s="21"/>
      <c r="SWD13" s="21"/>
      <c r="SWH13" s="15"/>
      <c r="SWN13" s="25"/>
      <c r="SWU13" s="21"/>
      <c r="SWV13" s="21"/>
      <c r="SWZ13" s="15"/>
      <c r="SXF13" s="25"/>
      <c r="SXM13" s="21"/>
      <c r="SXN13" s="21"/>
      <c r="SXR13" s="15"/>
      <c r="SXX13" s="25"/>
      <c r="SYE13" s="21"/>
      <c r="SYF13" s="21"/>
      <c r="SYJ13" s="15"/>
      <c r="SYP13" s="25"/>
      <c r="SYW13" s="21"/>
      <c r="SYX13" s="21"/>
      <c r="SZB13" s="15"/>
      <c r="SZH13" s="25"/>
      <c r="SZO13" s="21"/>
      <c r="SZP13" s="21"/>
      <c r="SZT13" s="15"/>
      <c r="SZZ13" s="25"/>
      <c r="TAG13" s="21"/>
      <c r="TAH13" s="21"/>
      <c r="TAL13" s="15"/>
      <c r="TAR13" s="25"/>
      <c r="TAY13" s="21"/>
      <c r="TAZ13" s="21"/>
      <c r="TBD13" s="15"/>
      <c r="TBJ13" s="25"/>
      <c r="TBQ13" s="21"/>
      <c r="TBR13" s="21"/>
      <c r="TBV13" s="15"/>
      <c r="TCB13" s="25"/>
      <c r="TCI13" s="21"/>
      <c r="TCJ13" s="21"/>
      <c r="TCN13" s="15"/>
      <c r="TCT13" s="25"/>
      <c r="TDA13" s="21"/>
      <c r="TDB13" s="21"/>
      <c r="TDF13" s="15"/>
      <c r="TDL13" s="25"/>
      <c r="TDS13" s="21"/>
      <c r="TDT13" s="21"/>
      <c r="TDX13" s="15"/>
      <c r="TED13" s="25"/>
      <c r="TEK13" s="21"/>
      <c r="TEL13" s="21"/>
      <c r="TEP13" s="15"/>
      <c r="TEV13" s="25"/>
      <c r="TFC13" s="21"/>
      <c r="TFD13" s="21"/>
      <c r="TFH13" s="15"/>
      <c r="TFN13" s="25"/>
      <c r="TFU13" s="21"/>
      <c r="TFV13" s="21"/>
      <c r="TFZ13" s="15"/>
      <c r="TGF13" s="25"/>
      <c r="TGM13" s="21"/>
      <c r="TGN13" s="21"/>
      <c r="TGR13" s="15"/>
      <c r="TGX13" s="25"/>
      <c r="THE13" s="21"/>
      <c r="THF13" s="21"/>
      <c r="THJ13" s="15"/>
      <c r="THP13" s="25"/>
      <c r="THW13" s="21"/>
      <c r="THX13" s="21"/>
      <c r="TIB13" s="15"/>
      <c r="TIH13" s="25"/>
      <c r="TIO13" s="21"/>
      <c r="TIP13" s="21"/>
      <c r="TIT13" s="15"/>
      <c r="TIZ13" s="25"/>
      <c r="TJG13" s="21"/>
      <c r="TJH13" s="21"/>
      <c r="TJL13" s="15"/>
      <c r="TJR13" s="25"/>
      <c r="TJY13" s="21"/>
      <c r="TJZ13" s="21"/>
      <c r="TKD13" s="15"/>
      <c r="TKJ13" s="25"/>
      <c r="TKQ13" s="21"/>
      <c r="TKR13" s="21"/>
      <c r="TKV13" s="15"/>
      <c r="TLB13" s="25"/>
      <c r="TLI13" s="21"/>
      <c r="TLJ13" s="21"/>
      <c r="TLN13" s="15"/>
      <c r="TLT13" s="25"/>
      <c r="TMA13" s="21"/>
      <c r="TMB13" s="21"/>
      <c r="TMF13" s="15"/>
      <c r="TML13" s="25"/>
      <c r="TMS13" s="21"/>
      <c r="TMT13" s="21"/>
      <c r="TMX13" s="15"/>
      <c r="TND13" s="25"/>
      <c r="TNK13" s="21"/>
      <c r="TNL13" s="21"/>
      <c r="TNP13" s="15"/>
      <c r="TNV13" s="25"/>
      <c r="TOC13" s="21"/>
      <c r="TOD13" s="21"/>
      <c r="TOH13" s="15"/>
      <c r="TON13" s="25"/>
      <c r="TOU13" s="21"/>
      <c r="TOV13" s="21"/>
      <c r="TOZ13" s="15"/>
      <c r="TPF13" s="25"/>
      <c r="TPM13" s="21"/>
      <c r="TPN13" s="21"/>
      <c r="TPR13" s="15"/>
      <c r="TPX13" s="25"/>
      <c r="TQE13" s="21"/>
      <c r="TQF13" s="21"/>
      <c r="TQJ13" s="15"/>
      <c r="TQP13" s="25"/>
      <c r="TQW13" s="21"/>
      <c r="TQX13" s="21"/>
      <c r="TRB13" s="15"/>
      <c r="TRH13" s="25"/>
      <c r="TRO13" s="21"/>
      <c r="TRP13" s="21"/>
      <c r="TRT13" s="15"/>
      <c r="TRZ13" s="25"/>
      <c r="TSG13" s="21"/>
      <c r="TSH13" s="21"/>
      <c r="TSL13" s="15"/>
      <c r="TSR13" s="25"/>
      <c r="TSY13" s="21"/>
      <c r="TSZ13" s="21"/>
      <c r="TTD13" s="15"/>
      <c r="TTJ13" s="25"/>
      <c r="TTQ13" s="21"/>
      <c r="TTR13" s="21"/>
      <c r="TTV13" s="15"/>
      <c r="TUB13" s="25"/>
      <c r="TUI13" s="21"/>
      <c r="TUJ13" s="21"/>
      <c r="TUN13" s="15"/>
      <c r="TUT13" s="25"/>
      <c r="TVA13" s="21"/>
      <c r="TVB13" s="21"/>
      <c r="TVF13" s="15"/>
      <c r="TVL13" s="25"/>
      <c r="TVS13" s="21"/>
      <c r="TVT13" s="21"/>
      <c r="TVX13" s="15"/>
      <c r="TWD13" s="25"/>
      <c r="TWK13" s="21"/>
      <c r="TWL13" s="21"/>
      <c r="TWP13" s="15"/>
      <c r="TWV13" s="25"/>
      <c r="TXC13" s="21"/>
      <c r="TXD13" s="21"/>
      <c r="TXH13" s="15"/>
      <c r="TXN13" s="25"/>
      <c r="TXU13" s="21"/>
      <c r="TXV13" s="21"/>
      <c r="TXZ13" s="15"/>
      <c r="TYF13" s="25"/>
      <c r="TYM13" s="21"/>
      <c r="TYN13" s="21"/>
      <c r="TYR13" s="15"/>
      <c r="TYX13" s="25"/>
      <c r="TZE13" s="21"/>
      <c r="TZF13" s="21"/>
      <c r="TZJ13" s="15"/>
      <c r="TZP13" s="25"/>
      <c r="TZW13" s="21"/>
      <c r="TZX13" s="21"/>
      <c r="UAB13" s="15"/>
      <c r="UAH13" s="25"/>
      <c r="UAO13" s="21"/>
      <c r="UAP13" s="21"/>
      <c r="UAT13" s="15"/>
      <c r="UAZ13" s="25"/>
      <c r="UBG13" s="21"/>
      <c r="UBH13" s="21"/>
      <c r="UBL13" s="15"/>
      <c r="UBR13" s="25"/>
      <c r="UBY13" s="21"/>
      <c r="UBZ13" s="21"/>
      <c r="UCD13" s="15"/>
      <c r="UCJ13" s="25"/>
      <c r="UCQ13" s="21"/>
      <c r="UCR13" s="21"/>
      <c r="UCV13" s="15"/>
      <c r="UDB13" s="25"/>
      <c r="UDI13" s="21"/>
      <c r="UDJ13" s="21"/>
      <c r="UDN13" s="15"/>
      <c r="UDT13" s="25"/>
      <c r="UEA13" s="21"/>
      <c r="UEB13" s="21"/>
      <c r="UEF13" s="15"/>
      <c r="UEL13" s="25"/>
      <c r="UES13" s="21"/>
      <c r="UET13" s="21"/>
      <c r="UEX13" s="15"/>
      <c r="UFD13" s="25"/>
      <c r="UFK13" s="21"/>
      <c r="UFL13" s="21"/>
      <c r="UFP13" s="15"/>
      <c r="UFV13" s="25"/>
      <c r="UGC13" s="21"/>
      <c r="UGD13" s="21"/>
      <c r="UGH13" s="15"/>
      <c r="UGN13" s="25"/>
      <c r="UGU13" s="21"/>
      <c r="UGV13" s="21"/>
      <c r="UGZ13" s="15"/>
      <c r="UHF13" s="25"/>
      <c r="UHM13" s="21"/>
      <c r="UHN13" s="21"/>
      <c r="UHR13" s="15"/>
      <c r="UHX13" s="25"/>
      <c r="UIE13" s="21"/>
      <c r="UIF13" s="21"/>
      <c r="UIJ13" s="15"/>
      <c r="UIP13" s="25"/>
      <c r="UIW13" s="21"/>
      <c r="UIX13" s="21"/>
      <c r="UJB13" s="15"/>
      <c r="UJH13" s="25"/>
      <c r="UJO13" s="21"/>
      <c r="UJP13" s="21"/>
      <c r="UJT13" s="15"/>
      <c r="UJZ13" s="25"/>
      <c r="UKG13" s="21"/>
      <c r="UKH13" s="21"/>
      <c r="UKL13" s="15"/>
      <c r="UKR13" s="25"/>
      <c r="UKY13" s="21"/>
      <c r="UKZ13" s="21"/>
      <c r="ULD13" s="15"/>
      <c r="ULJ13" s="25"/>
      <c r="ULQ13" s="21"/>
      <c r="ULR13" s="21"/>
      <c r="ULV13" s="15"/>
      <c r="UMB13" s="25"/>
      <c r="UMI13" s="21"/>
      <c r="UMJ13" s="21"/>
      <c r="UMN13" s="15"/>
      <c r="UMT13" s="25"/>
      <c r="UNA13" s="21"/>
      <c r="UNB13" s="21"/>
      <c r="UNF13" s="15"/>
      <c r="UNL13" s="25"/>
      <c r="UNS13" s="21"/>
      <c r="UNT13" s="21"/>
      <c r="UNX13" s="15"/>
      <c r="UOD13" s="25"/>
      <c r="UOK13" s="21"/>
      <c r="UOL13" s="21"/>
      <c r="UOP13" s="15"/>
      <c r="UOV13" s="25"/>
      <c r="UPC13" s="21"/>
      <c r="UPD13" s="21"/>
      <c r="UPH13" s="15"/>
      <c r="UPN13" s="25"/>
      <c r="UPU13" s="21"/>
      <c r="UPV13" s="21"/>
      <c r="UPZ13" s="15"/>
      <c r="UQF13" s="25"/>
      <c r="UQM13" s="21"/>
      <c r="UQN13" s="21"/>
      <c r="UQR13" s="15"/>
      <c r="UQX13" s="25"/>
      <c r="URE13" s="21"/>
      <c r="URF13" s="21"/>
      <c r="URJ13" s="15"/>
      <c r="URP13" s="25"/>
      <c r="URW13" s="21"/>
      <c r="URX13" s="21"/>
      <c r="USB13" s="15"/>
      <c r="USH13" s="25"/>
      <c r="USO13" s="21"/>
      <c r="USP13" s="21"/>
      <c r="UST13" s="15"/>
      <c r="USZ13" s="25"/>
      <c r="UTG13" s="21"/>
      <c r="UTH13" s="21"/>
      <c r="UTL13" s="15"/>
      <c r="UTR13" s="25"/>
      <c r="UTY13" s="21"/>
      <c r="UTZ13" s="21"/>
      <c r="UUD13" s="15"/>
      <c r="UUJ13" s="25"/>
      <c r="UUQ13" s="21"/>
      <c r="UUR13" s="21"/>
      <c r="UUV13" s="15"/>
      <c r="UVB13" s="25"/>
      <c r="UVI13" s="21"/>
      <c r="UVJ13" s="21"/>
      <c r="UVN13" s="15"/>
      <c r="UVT13" s="25"/>
      <c r="UWA13" s="21"/>
      <c r="UWB13" s="21"/>
      <c r="UWF13" s="15"/>
      <c r="UWL13" s="25"/>
      <c r="UWS13" s="21"/>
      <c r="UWT13" s="21"/>
      <c r="UWX13" s="15"/>
      <c r="UXD13" s="25"/>
      <c r="UXK13" s="21"/>
      <c r="UXL13" s="21"/>
      <c r="UXP13" s="15"/>
      <c r="UXV13" s="25"/>
      <c r="UYC13" s="21"/>
      <c r="UYD13" s="21"/>
      <c r="UYH13" s="15"/>
      <c r="UYN13" s="25"/>
      <c r="UYU13" s="21"/>
      <c r="UYV13" s="21"/>
      <c r="UYZ13" s="15"/>
      <c r="UZF13" s="25"/>
      <c r="UZM13" s="21"/>
      <c r="UZN13" s="21"/>
      <c r="UZR13" s="15"/>
      <c r="UZX13" s="25"/>
      <c r="VAE13" s="21"/>
      <c r="VAF13" s="21"/>
      <c r="VAJ13" s="15"/>
      <c r="VAP13" s="25"/>
      <c r="VAW13" s="21"/>
      <c r="VAX13" s="21"/>
      <c r="VBB13" s="15"/>
      <c r="VBH13" s="25"/>
      <c r="VBO13" s="21"/>
      <c r="VBP13" s="21"/>
      <c r="VBT13" s="15"/>
      <c r="VBZ13" s="25"/>
      <c r="VCG13" s="21"/>
      <c r="VCH13" s="21"/>
      <c r="VCL13" s="15"/>
      <c r="VCR13" s="25"/>
      <c r="VCY13" s="21"/>
      <c r="VCZ13" s="21"/>
      <c r="VDD13" s="15"/>
      <c r="VDJ13" s="25"/>
      <c r="VDQ13" s="21"/>
      <c r="VDR13" s="21"/>
      <c r="VDV13" s="15"/>
      <c r="VEB13" s="25"/>
      <c r="VEI13" s="21"/>
      <c r="VEJ13" s="21"/>
      <c r="VEN13" s="15"/>
      <c r="VET13" s="25"/>
      <c r="VFA13" s="21"/>
      <c r="VFB13" s="21"/>
      <c r="VFF13" s="15"/>
      <c r="VFL13" s="25"/>
      <c r="VFS13" s="21"/>
      <c r="VFT13" s="21"/>
      <c r="VFX13" s="15"/>
      <c r="VGD13" s="25"/>
      <c r="VGK13" s="21"/>
      <c r="VGL13" s="21"/>
      <c r="VGP13" s="15"/>
      <c r="VGV13" s="25"/>
      <c r="VHC13" s="21"/>
      <c r="VHD13" s="21"/>
      <c r="VHH13" s="15"/>
      <c r="VHN13" s="25"/>
      <c r="VHU13" s="21"/>
      <c r="VHV13" s="21"/>
      <c r="VHZ13" s="15"/>
      <c r="VIF13" s="25"/>
      <c r="VIM13" s="21"/>
      <c r="VIN13" s="21"/>
      <c r="VIR13" s="15"/>
      <c r="VIX13" s="25"/>
      <c r="VJE13" s="21"/>
      <c r="VJF13" s="21"/>
      <c r="VJJ13" s="15"/>
      <c r="VJP13" s="25"/>
      <c r="VJW13" s="21"/>
      <c r="VJX13" s="21"/>
      <c r="VKB13" s="15"/>
      <c r="VKH13" s="25"/>
      <c r="VKO13" s="21"/>
      <c r="VKP13" s="21"/>
      <c r="VKT13" s="15"/>
      <c r="VKZ13" s="25"/>
      <c r="VLG13" s="21"/>
      <c r="VLH13" s="21"/>
      <c r="VLL13" s="15"/>
      <c r="VLR13" s="25"/>
      <c r="VLY13" s="21"/>
      <c r="VLZ13" s="21"/>
      <c r="VMD13" s="15"/>
      <c r="VMJ13" s="25"/>
      <c r="VMQ13" s="21"/>
      <c r="VMR13" s="21"/>
      <c r="VMV13" s="15"/>
      <c r="VNB13" s="25"/>
      <c r="VNI13" s="21"/>
      <c r="VNJ13" s="21"/>
      <c r="VNN13" s="15"/>
      <c r="VNT13" s="25"/>
      <c r="VOA13" s="21"/>
      <c r="VOB13" s="21"/>
      <c r="VOF13" s="15"/>
      <c r="VOL13" s="25"/>
      <c r="VOS13" s="21"/>
      <c r="VOT13" s="21"/>
      <c r="VOX13" s="15"/>
      <c r="VPD13" s="25"/>
      <c r="VPK13" s="21"/>
      <c r="VPL13" s="21"/>
      <c r="VPP13" s="15"/>
      <c r="VPV13" s="25"/>
      <c r="VQC13" s="21"/>
      <c r="VQD13" s="21"/>
      <c r="VQH13" s="15"/>
      <c r="VQN13" s="25"/>
      <c r="VQU13" s="21"/>
      <c r="VQV13" s="21"/>
      <c r="VQZ13" s="15"/>
      <c r="VRF13" s="25"/>
      <c r="VRM13" s="21"/>
      <c r="VRN13" s="21"/>
      <c r="VRR13" s="15"/>
      <c r="VRX13" s="25"/>
      <c r="VSE13" s="21"/>
      <c r="VSF13" s="21"/>
      <c r="VSJ13" s="15"/>
      <c r="VSP13" s="25"/>
      <c r="VSW13" s="21"/>
      <c r="VSX13" s="21"/>
      <c r="VTB13" s="15"/>
      <c r="VTH13" s="25"/>
      <c r="VTO13" s="21"/>
      <c r="VTP13" s="21"/>
      <c r="VTT13" s="15"/>
      <c r="VTZ13" s="25"/>
      <c r="VUG13" s="21"/>
      <c r="VUH13" s="21"/>
      <c r="VUL13" s="15"/>
      <c r="VUR13" s="25"/>
      <c r="VUY13" s="21"/>
      <c r="VUZ13" s="21"/>
      <c r="VVD13" s="15"/>
      <c r="VVJ13" s="25"/>
      <c r="VVQ13" s="21"/>
      <c r="VVR13" s="21"/>
      <c r="VVV13" s="15"/>
      <c r="VWB13" s="25"/>
      <c r="VWI13" s="21"/>
      <c r="VWJ13" s="21"/>
      <c r="VWN13" s="15"/>
      <c r="VWT13" s="25"/>
      <c r="VXA13" s="21"/>
      <c r="VXB13" s="21"/>
      <c r="VXF13" s="15"/>
      <c r="VXL13" s="25"/>
      <c r="VXS13" s="21"/>
      <c r="VXT13" s="21"/>
      <c r="VXX13" s="15"/>
      <c r="VYD13" s="25"/>
      <c r="VYK13" s="21"/>
      <c r="VYL13" s="21"/>
      <c r="VYP13" s="15"/>
      <c r="VYV13" s="25"/>
      <c r="VZC13" s="21"/>
      <c r="VZD13" s="21"/>
      <c r="VZH13" s="15"/>
      <c r="VZN13" s="25"/>
      <c r="VZU13" s="21"/>
      <c r="VZV13" s="21"/>
      <c r="VZZ13" s="15"/>
      <c r="WAF13" s="25"/>
      <c r="WAM13" s="21"/>
      <c r="WAN13" s="21"/>
      <c r="WAR13" s="15"/>
      <c r="WAX13" s="25"/>
      <c r="WBE13" s="21"/>
      <c r="WBF13" s="21"/>
      <c r="WBJ13" s="15"/>
      <c r="WBP13" s="25"/>
      <c r="WBW13" s="21"/>
      <c r="WBX13" s="21"/>
      <c r="WCB13" s="15"/>
      <c r="WCH13" s="25"/>
      <c r="WCO13" s="21"/>
      <c r="WCP13" s="21"/>
      <c r="WCT13" s="15"/>
      <c r="WCZ13" s="25"/>
      <c r="WDG13" s="21"/>
      <c r="WDH13" s="21"/>
      <c r="WDL13" s="15"/>
      <c r="WDR13" s="25"/>
      <c r="WDY13" s="21"/>
      <c r="WDZ13" s="21"/>
      <c r="WED13" s="15"/>
      <c r="WEJ13" s="25"/>
      <c r="WEQ13" s="21"/>
      <c r="WER13" s="21"/>
      <c r="WEV13" s="15"/>
      <c r="WFB13" s="25"/>
      <c r="WFI13" s="21"/>
      <c r="WFJ13" s="21"/>
      <c r="WFN13" s="15"/>
      <c r="WFT13" s="25"/>
      <c r="WGA13" s="21"/>
      <c r="WGB13" s="21"/>
      <c r="WGF13" s="15"/>
      <c r="WGL13" s="25"/>
      <c r="WGS13" s="21"/>
      <c r="WGT13" s="21"/>
      <c r="WGX13" s="15"/>
      <c r="WHD13" s="25"/>
      <c r="WHK13" s="21"/>
      <c r="WHL13" s="21"/>
      <c r="WHP13" s="15"/>
      <c r="WHV13" s="25"/>
      <c r="WIC13" s="21"/>
      <c r="WID13" s="21"/>
      <c r="WIH13" s="15"/>
      <c r="WIN13" s="25"/>
      <c r="WIU13" s="21"/>
      <c r="WIV13" s="21"/>
      <c r="WIZ13" s="15"/>
      <c r="WJF13" s="25"/>
      <c r="WJM13" s="21"/>
      <c r="WJN13" s="21"/>
      <c r="WJR13" s="15"/>
      <c r="WJX13" s="25"/>
      <c r="WKE13" s="21"/>
      <c r="WKF13" s="21"/>
      <c r="WKJ13" s="15"/>
      <c r="WKP13" s="25"/>
      <c r="WKW13" s="21"/>
      <c r="WKX13" s="21"/>
      <c r="WLB13" s="15"/>
      <c r="WLH13" s="25"/>
      <c r="WLO13" s="21"/>
      <c r="WLP13" s="21"/>
      <c r="WLT13" s="15"/>
      <c r="WLZ13" s="25"/>
      <c r="WMG13" s="21"/>
      <c r="WMH13" s="21"/>
      <c r="WML13" s="15"/>
      <c r="WMR13" s="25"/>
      <c r="WMY13" s="21"/>
      <c r="WMZ13" s="21"/>
      <c r="WND13" s="15"/>
      <c r="WNJ13" s="25"/>
      <c r="WNQ13" s="21"/>
      <c r="WNR13" s="21"/>
      <c r="WNV13" s="15"/>
      <c r="WOB13" s="25"/>
      <c r="WOI13" s="21"/>
      <c r="WOJ13" s="21"/>
      <c r="WON13" s="15"/>
      <c r="WOT13" s="25"/>
      <c r="WPA13" s="21"/>
      <c r="WPB13" s="21"/>
      <c r="WPF13" s="15"/>
      <c r="WPL13" s="25"/>
      <c r="WPS13" s="21"/>
      <c r="WPT13" s="21"/>
      <c r="WPX13" s="15"/>
      <c r="WQD13" s="25"/>
      <c r="WQK13" s="21"/>
      <c r="WQL13" s="21"/>
      <c r="WQP13" s="15"/>
      <c r="WQV13" s="25"/>
      <c r="WRC13" s="21"/>
      <c r="WRD13" s="21"/>
      <c r="WRH13" s="15"/>
      <c r="WRN13" s="25"/>
      <c r="WRU13" s="21"/>
      <c r="WRV13" s="21"/>
      <c r="WRZ13" s="15"/>
      <c r="WSF13" s="25"/>
      <c r="WSM13" s="21"/>
      <c r="WSN13" s="21"/>
      <c r="WSR13" s="15"/>
      <c r="WSX13" s="25"/>
      <c r="WTE13" s="21"/>
      <c r="WTF13" s="21"/>
      <c r="WTJ13" s="15"/>
      <c r="WTP13" s="25"/>
      <c r="WTW13" s="21"/>
      <c r="WTX13" s="21"/>
      <c r="WUB13" s="15"/>
      <c r="WUH13" s="25"/>
      <c r="WUO13" s="21"/>
      <c r="WUP13" s="21"/>
      <c r="WUT13" s="15"/>
      <c r="WUZ13" s="25"/>
      <c r="WVG13" s="21"/>
      <c r="WVH13" s="21"/>
      <c r="WVL13" s="15"/>
      <c r="WVR13" s="25"/>
      <c r="WVY13" s="21"/>
      <c r="WVZ13" s="21"/>
      <c r="WWD13" s="15"/>
      <c r="WWJ13" s="25"/>
      <c r="WWQ13" s="21"/>
      <c r="WWR13" s="21"/>
      <c r="WWV13" s="15"/>
      <c r="WXB13" s="25"/>
      <c r="WXI13" s="21"/>
      <c r="WXJ13" s="21"/>
      <c r="WXN13" s="15"/>
      <c r="WXT13" s="25"/>
      <c r="WYA13" s="21"/>
      <c r="WYB13" s="21"/>
      <c r="WYF13" s="15"/>
      <c r="WYL13" s="25"/>
      <c r="WYS13" s="21"/>
      <c r="WYT13" s="21"/>
      <c r="WYX13" s="15"/>
      <c r="WZD13" s="25"/>
      <c r="WZK13" s="21"/>
      <c r="WZL13" s="21"/>
      <c r="WZP13" s="15"/>
      <c r="WZV13" s="25"/>
      <c r="XAC13" s="21"/>
      <c r="XAD13" s="21"/>
      <c r="XAH13" s="15"/>
      <c r="XAN13" s="25"/>
      <c r="XAU13" s="21"/>
      <c r="XAV13" s="21"/>
      <c r="XAZ13" s="15"/>
      <c r="XBF13" s="25"/>
      <c r="XBM13" s="21"/>
      <c r="XBN13" s="21"/>
      <c r="XBR13" s="15"/>
      <c r="XBX13" s="25"/>
      <c r="XCE13" s="21"/>
      <c r="XCF13" s="21"/>
      <c r="XCJ13" s="15"/>
      <c r="XCP13" s="25"/>
      <c r="XCW13" s="21"/>
      <c r="XCX13" s="21"/>
      <c r="XDB13" s="15"/>
      <c r="XDH13" s="25"/>
      <c r="XDO13" s="21"/>
      <c r="XDP13" s="21"/>
      <c r="XDT13" s="15"/>
      <c r="XDZ13" s="25"/>
      <c r="XEG13" s="21"/>
      <c r="XEH13" s="21"/>
      <c r="XEL13" s="15"/>
      <c r="XER13" s="25"/>
      <c r="XEY13" s="21"/>
      <c r="XEZ13" s="21"/>
      <c r="XFD13" s="15"/>
    </row>
    <row r="14" spans="1:1018 1025:2044 2051:3070 3077:4096 4103:5116 5122:6142 6148:7168 7174:8190 8194:9216 9220:10234 10241:11260 11267:12286 12293:13312 13319:14332 14338:15358 15364:16384" s="24" customFormat="1">
      <c r="A14" s="21" t="s">
        <v>63</v>
      </c>
      <c r="B14" s="12">
        <v>2006</v>
      </c>
      <c r="C14" s="19" t="s">
        <v>53</v>
      </c>
      <c r="D14" s="22" t="s">
        <v>39</v>
      </c>
      <c r="E14" s="10" t="s">
        <v>64</v>
      </c>
      <c r="F14" s="22" t="s">
        <v>55</v>
      </c>
      <c r="G14" s="31">
        <v>3510790699.9586</v>
      </c>
      <c r="H14" s="31">
        <v>1687436394</v>
      </c>
      <c r="I14" s="12">
        <v>25</v>
      </c>
      <c r="J14" s="23" t="s">
        <v>65</v>
      </c>
      <c r="K14" s="22"/>
      <c r="L14" s="22"/>
      <c r="M14" s="22" t="s">
        <v>26</v>
      </c>
      <c r="N14" s="12"/>
      <c r="O14" s="22"/>
      <c r="P14" s="12"/>
      <c r="Q14" s="22" t="s">
        <v>27</v>
      </c>
      <c r="R14" s="22" t="s">
        <v>28</v>
      </c>
      <c r="V14" s="15"/>
      <c r="AB14" s="25"/>
      <c r="AI14" s="21"/>
      <c r="AJ14" s="21"/>
      <c r="AN14" s="15"/>
      <c r="AT14" s="25"/>
      <c r="BA14" s="21"/>
      <c r="BB14" s="21"/>
      <c r="BF14" s="15"/>
      <c r="BL14" s="25"/>
      <c r="BS14" s="21"/>
      <c r="BT14" s="21"/>
      <c r="BX14" s="15"/>
      <c r="CD14" s="25"/>
      <c r="CK14" s="21"/>
      <c r="CL14" s="21"/>
      <c r="CP14" s="15"/>
      <c r="CV14" s="25"/>
      <c r="DC14" s="21"/>
      <c r="DD14" s="21"/>
      <c r="DH14" s="15"/>
      <c r="DN14" s="25"/>
      <c r="DU14" s="21"/>
      <c r="DV14" s="21"/>
      <c r="DZ14" s="15"/>
      <c r="EF14" s="25"/>
      <c r="EM14" s="21"/>
      <c r="EN14" s="21"/>
      <c r="ER14" s="15"/>
      <c r="EX14" s="25"/>
      <c r="FE14" s="21"/>
      <c r="FF14" s="21"/>
      <c r="FJ14" s="15"/>
      <c r="FP14" s="25"/>
      <c r="FW14" s="21"/>
      <c r="FX14" s="21"/>
      <c r="GB14" s="15"/>
      <c r="GH14" s="25"/>
      <c r="GO14" s="21"/>
      <c r="GP14" s="21"/>
      <c r="GT14" s="15"/>
      <c r="GZ14" s="25"/>
      <c r="HG14" s="21"/>
      <c r="HH14" s="21"/>
      <c r="HL14" s="15"/>
      <c r="HR14" s="25"/>
      <c r="HY14" s="21"/>
      <c r="HZ14" s="21"/>
      <c r="ID14" s="15"/>
      <c r="IJ14" s="25"/>
      <c r="IQ14" s="21"/>
      <c r="IR14" s="21"/>
      <c r="IV14" s="15"/>
      <c r="JB14" s="25"/>
      <c r="JI14" s="21"/>
      <c r="JJ14" s="21"/>
      <c r="JN14" s="15"/>
      <c r="JT14" s="25"/>
      <c r="KA14" s="21"/>
      <c r="KB14" s="21"/>
      <c r="KF14" s="15"/>
      <c r="KL14" s="25"/>
      <c r="KS14" s="21"/>
      <c r="KT14" s="21"/>
      <c r="KX14" s="15"/>
      <c r="LD14" s="25"/>
      <c r="LK14" s="21"/>
      <c r="LL14" s="21"/>
      <c r="LP14" s="15"/>
      <c r="LV14" s="25"/>
      <c r="MC14" s="21"/>
      <c r="MD14" s="21"/>
      <c r="MH14" s="15"/>
      <c r="MN14" s="25"/>
      <c r="MU14" s="21"/>
      <c r="MV14" s="21"/>
      <c r="MZ14" s="15"/>
      <c r="NF14" s="25"/>
      <c r="NM14" s="21"/>
      <c r="NN14" s="21"/>
      <c r="NR14" s="15"/>
      <c r="NX14" s="25"/>
      <c r="OE14" s="21"/>
      <c r="OF14" s="21"/>
      <c r="OJ14" s="15"/>
      <c r="OP14" s="25"/>
      <c r="OW14" s="21"/>
      <c r="OX14" s="21"/>
      <c r="PB14" s="15"/>
      <c r="PH14" s="25"/>
      <c r="PO14" s="21"/>
      <c r="PP14" s="21"/>
      <c r="PT14" s="15"/>
      <c r="PZ14" s="25"/>
      <c r="QG14" s="21"/>
      <c r="QH14" s="21"/>
      <c r="QL14" s="15"/>
      <c r="QR14" s="25"/>
      <c r="QY14" s="21"/>
      <c r="QZ14" s="21"/>
      <c r="RD14" s="15"/>
      <c r="RJ14" s="25"/>
      <c r="RQ14" s="21"/>
      <c r="RR14" s="21"/>
      <c r="RV14" s="15"/>
      <c r="SB14" s="25"/>
      <c r="SI14" s="21"/>
      <c r="SJ14" s="21"/>
      <c r="SN14" s="15"/>
      <c r="ST14" s="25"/>
      <c r="TA14" s="21"/>
      <c r="TB14" s="21"/>
      <c r="TF14" s="15"/>
      <c r="TL14" s="25"/>
      <c r="TS14" s="21"/>
      <c r="TT14" s="21"/>
      <c r="TX14" s="15"/>
      <c r="UD14" s="25"/>
      <c r="UK14" s="21"/>
      <c r="UL14" s="21"/>
      <c r="UP14" s="15"/>
      <c r="UV14" s="25"/>
      <c r="VC14" s="21"/>
      <c r="VD14" s="21"/>
      <c r="VH14" s="15"/>
      <c r="VN14" s="25"/>
      <c r="VU14" s="21"/>
      <c r="VV14" s="21"/>
      <c r="VZ14" s="15"/>
      <c r="WF14" s="25"/>
      <c r="WM14" s="21"/>
      <c r="WN14" s="21"/>
      <c r="WR14" s="15"/>
      <c r="WX14" s="25"/>
      <c r="XE14" s="21"/>
      <c r="XF14" s="21"/>
      <c r="XJ14" s="15"/>
      <c r="XP14" s="25"/>
      <c r="XW14" s="21"/>
      <c r="XX14" s="21"/>
      <c r="YB14" s="15"/>
      <c r="YH14" s="25"/>
      <c r="YO14" s="21"/>
      <c r="YP14" s="21"/>
      <c r="YT14" s="15"/>
      <c r="YZ14" s="25"/>
      <c r="ZG14" s="21"/>
      <c r="ZH14" s="21"/>
      <c r="ZL14" s="15"/>
      <c r="ZR14" s="25"/>
      <c r="ZY14" s="21"/>
      <c r="ZZ14" s="21"/>
      <c r="AAD14" s="15"/>
      <c r="AAJ14" s="25"/>
      <c r="AAQ14" s="21"/>
      <c r="AAR14" s="21"/>
      <c r="AAV14" s="15"/>
      <c r="ABB14" s="25"/>
      <c r="ABI14" s="21"/>
      <c r="ABJ14" s="21"/>
      <c r="ABN14" s="15"/>
      <c r="ABT14" s="25"/>
      <c r="ACA14" s="21"/>
      <c r="ACB14" s="21"/>
      <c r="ACF14" s="15"/>
      <c r="ACL14" s="25"/>
      <c r="ACS14" s="21"/>
      <c r="ACT14" s="21"/>
      <c r="ACX14" s="15"/>
      <c r="ADD14" s="25"/>
      <c r="ADK14" s="21"/>
      <c r="ADL14" s="21"/>
      <c r="ADP14" s="15"/>
      <c r="ADV14" s="25"/>
      <c r="AEC14" s="21"/>
      <c r="AED14" s="21"/>
      <c r="AEH14" s="15"/>
      <c r="AEN14" s="25"/>
      <c r="AEU14" s="21"/>
      <c r="AEV14" s="21"/>
      <c r="AEZ14" s="15"/>
      <c r="AFF14" s="25"/>
      <c r="AFM14" s="21"/>
      <c r="AFN14" s="21"/>
      <c r="AFR14" s="15"/>
      <c r="AFX14" s="25"/>
      <c r="AGE14" s="21"/>
      <c r="AGF14" s="21"/>
      <c r="AGJ14" s="15"/>
      <c r="AGP14" s="25"/>
      <c r="AGW14" s="21"/>
      <c r="AGX14" s="21"/>
      <c r="AHB14" s="15"/>
      <c r="AHH14" s="25"/>
      <c r="AHO14" s="21"/>
      <c r="AHP14" s="21"/>
      <c r="AHT14" s="15"/>
      <c r="AHZ14" s="25"/>
      <c r="AIG14" s="21"/>
      <c r="AIH14" s="21"/>
      <c r="AIL14" s="15"/>
      <c r="AIR14" s="25"/>
      <c r="AIY14" s="21"/>
      <c r="AIZ14" s="21"/>
      <c r="AJD14" s="15"/>
      <c r="AJJ14" s="25"/>
      <c r="AJQ14" s="21"/>
      <c r="AJR14" s="21"/>
      <c r="AJV14" s="15"/>
      <c r="AKB14" s="25"/>
      <c r="AKI14" s="21"/>
      <c r="AKJ14" s="21"/>
      <c r="AKN14" s="15"/>
      <c r="AKT14" s="25"/>
      <c r="ALA14" s="21"/>
      <c r="ALB14" s="21"/>
      <c r="ALF14" s="15"/>
      <c r="ALL14" s="25"/>
      <c r="ALS14" s="21"/>
      <c r="ALT14" s="21"/>
      <c r="ALX14" s="15"/>
      <c r="AMD14" s="25"/>
      <c r="AMK14" s="21"/>
      <c r="AML14" s="21"/>
      <c r="AMP14" s="15"/>
      <c r="AMV14" s="25"/>
      <c r="ANC14" s="21"/>
      <c r="AND14" s="21"/>
      <c r="ANH14" s="15"/>
      <c r="ANN14" s="25"/>
      <c r="ANU14" s="21"/>
      <c r="ANV14" s="21"/>
      <c r="ANZ14" s="15"/>
      <c r="AOF14" s="25"/>
      <c r="AOM14" s="21"/>
      <c r="AON14" s="21"/>
      <c r="AOR14" s="15"/>
      <c r="AOX14" s="25"/>
      <c r="APE14" s="21"/>
      <c r="APF14" s="21"/>
      <c r="APJ14" s="15"/>
      <c r="APP14" s="25"/>
      <c r="APW14" s="21"/>
      <c r="APX14" s="21"/>
      <c r="AQB14" s="15"/>
      <c r="AQH14" s="25"/>
      <c r="AQO14" s="21"/>
      <c r="AQP14" s="21"/>
      <c r="AQT14" s="15"/>
      <c r="AQZ14" s="25"/>
      <c r="ARG14" s="21"/>
      <c r="ARH14" s="21"/>
      <c r="ARL14" s="15"/>
      <c r="ARR14" s="25"/>
      <c r="ARY14" s="21"/>
      <c r="ARZ14" s="21"/>
      <c r="ASD14" s="15"/>
      <c r="ASJ14" s="25"/>
      <c r="ASQ14" s="21"/>
      <c r="ASR14" s="21"/>
      <c r="ASV14" s="15"/>
      <c r="ATB14" s="25"/>
      <c r="ATI14" s="21"/>
      <c r="ATJ14" s="21"/>
      <c r="ATN14" s="15"/>
      <c r="ATT14" s="25"/>
      <c r="AUA14" s="21"/>
      <c r="AUB14" s="21"/>
      <c r="AUF14" s="15"/>
      <c r="AUL14" s="25"/>
      <c r="AUS14" s="21"/>
      <c r="AUT14" s="21"/>
      <c r="AUX14" s="15"/>
      <c r="AVD14" s="25"/>
      <c r="AVK14" s="21"/>
      <c r="AVL14" s="21"/>
      <c r="AVP14" s="15"/>
      <c r="AVV14" s="25"/>
      <c r="AWC14" s="21"/>
      <c r="AWD14" s="21"/>
      <c r="AWH14" s="15"/>
      <c r="AWN14" s="25"/>
      <c r="AWU14" s="21"/>
      <c r="AWV14" s="21"/>
      <c r="AWZ14" s="15"/>
      <c r="AXF14" s="25"/>
      <c r="AXM14" s="21"/>
      <c r="AXN14" s="21"/>
      <c r="AXR14" s="15"/>
      <c r="AXX14" s="25"/>
      <c r="AYE14" s="21"/>
      <c r="AYF14" s="21"/>
      <c r="AYJ14" s="15"/>
      <c r="AYP14" s="25"/>
      <c r="AYW14" s="21"/>
      <c r="AYX14" s="21"/>
      <c r="AZB14" s="15"/>
      <c r="AZH14" s="25"/>
      <c r="AZO14" s="21"/>
      <c r="AZP14" s="21"/>
      <c r="AZT14" s="15"/>
      <c r="AZZ14" s="25"/>
      <c r="BAG14" s="21"/>
      <c r="BAH14" s="21"/>
      <c r="BAL14" s="15"/>
      <c r="BAR14" s="25"/>
      <c r="BAY14" s="21"/>
      <c r="BAZ14" s="21"/>
      <c r="BBD14" s="15"/>
      <c r="BBJ14" s="25"/>
      <c r="BBQ14" s="21"/>
      <c r="BBR14" s="21"/>
      <c r="BBV14" s="15"/>
      <c r="BCB14" s="25"/>
      <c r="BCI14" s="21"/>
      <c r="BCJ14" s="21"/>
      <c r="BCN14" s="15"/>
      <c r="BCT14" s="25"/>
      <c r="BDA14" s="21"/>
      <c r="BDB14" s="21"/>
      <c r="BDF14" s="15"/>
      <c r="BDL14" s="25"/>
      <c r="BDS14" s="21"/>
      <c r="BDT14" s="21"/>
      <c r="BDX14" s="15"/>
      <c r="BED14" s="25"/>
      <c r="BEK14" s="21"/>
      <c r="BEL14" s="21"/>
      <c r="BEP14" s="15"/>
      <c r="BEV14" s="25"/>
      <c r="BFC14" s="21"/>
      <c r="BFD14" s="21"/>
      <c r="BFH14" s="15"/>
      <c r="BFN14" s="25"/>
      <c r="BFU14" s="21"/>
      <c r="BFV14" s="21"/>
      <c r="BFZ14" s="15"/>
      <c r="BGF14" s="25"/>
      <c r="BGM14" s="21"/>
      <c r="BGN14" s="21"/>
      <c r="BGR14" s="15"/>
      <c r="BGX14" s="25"/>
      <c r="BHE14" s="21"/>
      <c r="BHF14" s="21"/>
      <c r="BHJ14" s="15"/>
      <c r="BHP14" s="25"/>
      <c r="BHW14" s="21"/>
      <c r="BHX14" s="21"/>
      <c r="BIB14" s="15"/>
      <c r="BIH14" s="25"/>
      <c r="BIO14" s="21"/>
      <c r="BIP14" s="21"/>
      <c r="BIT14" s="15"/>
      <c r="BIZ14" s="25"/>
      <c r="BJG14" s="21"/>
      <c r="BJH14" s="21"/>
      <c r="BJL14" s="15"/>
      <c r="BJR14" s="25"/>
      <c r="BJY14" s="21"/>
      <c r="BJZ14" s="21"/>
      <c r="BKD14" s="15"/>
      <c r="BKJ14" s="25"/>
      <c r="BKQ14" s="21"/>
      <c r="BKR14" s="21"/>
      <c r="BKV14" s="15"/>
      <c r="BLB14" s="25"/>
      <c r="BLI14" s="21"/>
      <c r="BLJ14" s="21"/>
      <c r="BLN14" s="15"/>
      <c r="BLT14" s="25"/>
      <c r="BMA14" s="21"/>
      <c r="BMB14" s="21"/>
      <c r="BMF14" s="15"/>
      <c r="BML14" s="25"/>
      <c r="BMS14" s="21"/>
      <c r="BMT14" s="21"/>
      <c r="BMX14" s="15"/>
      <c r="BND14" s="25"/>
      <c r="BNK14" s="21"/>
      <c r="BNL14" s="21"/>
      <c r="BNP14" s="15"/>
      <c r="BNV14" s="25"/>
      <c r="BOC14" s="21"/>
      <c r="BOD14" s="21"/>
      <c r="BOH14" s="15"/>
      <c r="BON14" s="25"/>
      <c r="BOU14" s="21"/>
      <c r="BOV14" s="21"/>
      <c r="BOZ14" s="15"/>
      <c r="BPF14" s="25"/>
      <c r="BPM14" s="21"/>
      <c r="BPN14" s="21"/>
      <c r="BPR14" s="15"/>
      <c r="BPX14" s="25"/>
      <c r="BQE14" s="21"/>
      <c r="BQF14" s="21"/>
      <c r="BQJ14" s="15"/>
      <c r="BQP14" s="25"/>
      <c r="BQW14" s="21"/>
      <c r="BQX14" s="21"/>
      <c r="BRB14" s="15"/>
      <c r="BRH14" s="25"/>
      <c r="BRO14" s="21"/>
      <c r="BRP14" s="21"/>
      <c r="BRT14" s="15"/>
      <c r="BRZ14" s="25"/>
      <c r="BSG14" s="21"/>
      <c r="BSH14" s="21"/>
      <c r="BSL14" s="15"/>
      <c r="BSR14" s="25"/>
      <c r="BSY14" s="21"/>
      <c r="BSZ14" s="21"/>
      <c r="BTD14" s="15"/>
      <c r="BTJ14" s="25"/>
      <c r="BTQ14" s="21"/>
      <c r="BTR14" s="21"/>
      <c r="BTV14" s="15"/>
      <c r="BUB14" s="25"/>
      <c r="BUI14" s="21"/>
      <c r="BUJ14" s="21"/>
      <c r="BUN14" s="15"/>
      <c r="BUT14" s="25"/>
      <c r="BVA14" s="21"/>
      <c r="BVB14" s="21"/>
      <c r="BVF14" s="15"/>
      <c r="BVL14" s="25"/>
      <c r="BVS14" s="21"/>
      <c r="BVT14" s="21"/>
      <c r="BVX14" s="15"/>
      <c r="BWD14" s="25"/>
      <c r="BWK14" s="21"/>
      <c r="BWL14" s="21"/>
      <c r="BWP14" s="15"/>
      <c r="BWV14" s="25"/>
      <c r="BXC14" s="21"/>
      <c r="BXD14" s="21"/>
      <c r="BXH14" s="15"/>
      <c r="BXN14" s="25"/>
      <c r="BXU14" s="21"/>
      <c r="BXV14" s="21"/>
      <c r="BXZ14" s="15"/>
      <c r="BYF14" s="25"/>
      <c r="BYM14" s="21"/>
      <c r="BYN14" s="21"/>
      <c r="BYR14" s="15"/>
      <c r="BYX14" s="25"/>
      <c r="BZE14" s="21"/>
      <c r="BZF14" s="21"/>
      <c r="BZJ14" s="15"/>
      <c r="BZP14" s="25"/>
      <c r="BZW14" s="21"/>
      <c r="BZX14" s="21"/>
      <c r="CAB14" s="15"/>
      <c r="CAH14" s="25"/>
      <c r="CAO14" s="21"/>
      <c r="CAP14" s="21"/>
      <c r="CAT14" s="15"/>
      <c r="CAZ14" s="25"/>
      <c r="CBG14" s="21"/>
      <c r="CBH14" s="21"/>
      <c r="CBL14" s="15"/>
      <c r="CBR14" s="25"/>
      <c r="CBY14" s="21"/>
      <c r="CBZ14" s="21"/>
      <c r="CCD14" s="15"/>
      <c r="CCJ14" s="25"/>
      <c r="CCQ14" s="21"/>
      <c r="CCR14" s="21"/>
      <c r="CCV14" s="15"/>
      <c r="CDB14" s="25"/>
      <c r="CDI14" s="21"/>
      <c r="CDJ14" s="21"/>
      <c r="CDN14" s="15"/>
      <c r="CDT14" s="25"/>
      <c r="CEA14" s="21"/>
      <c r="CEB14" s="21"/>
      <c r="CEF14" s="15"/>
      <c r="CEL14" s="25"/>
      <c r="CES14" s="21"/>
      <c r="CET14" s="21"/>
      <c r="CEX14" s="15"/>
      <c r="CFD14" s="25"/>
      <c r="CFK14" s="21"/>
      <c r="CFL14" s="21"/>
      <c r="CFP14" s="15"/>
      <c r="CFV14" s="25"/>
      <c r="CGC14" s="21"/>
      <c r="CGD14" s="21"/>
      <c r="CGH14" s="15"/>
      <c r="CGN14" s="25"/>
      <c r="CGU14" s="21"/>
      <c r="CGV14" s="21"/>
      <c r="CGZ14" s="15"/>
      <c r="CHF14" s="25"/>
      <c r="CHM14" s="21"/>
      <c r="CHN14" s="21"/>
      <c r="CHR14" s="15"/>
      <c r="CHX14" s="25"/>
      <c r="CIE14" s="21"/>
      <c r="CIF14" s="21"/>
      <c r="CIJ14" s="15"/>
      <c r="CIP14" s="25"/>
      <c r="CIW14" s="21"/>
      <c r="CIX14" s="21"/>
      <c r="CJB14" s="15"/>
      <c r="CJH14" s="25"/>
      <c r="CJO14" s="21"/>
      <c r="CJP14" s="21"/>
      <c r="CJT14" s="15"/>
      <c r="CJZ14" s="25"/>
      <c r="CKG14" s="21"/>
      <c r="CKH14" s="21"/>
      <c r="CKL14" s="15"/>
      <c r="CKR14" s="25"/>
      <c r="CKY14" s="21"/>
      <c r="CKZ14" s="21"/>
      <c r="CLD14" s="15"/>
      <c r="CLJ14" s="25"/>
      <c r="CLQ14" s="21"/>
      <c r="CLR14" s="21"/>
      <c r="CLV14" s="15"/>
      <c r="CMB14" s="25"/>
      <c r="CMI14" s="21"/>
      <c r="CMJ14" s="21"/>
      <c r="CMN14" s="15"/>
      <c r="CMT14" s="25"/>
      <c r="CNA14" s="21"/>
      <c r="CNB14" s="21"/>
      <c r="CNF14" s="15"/>
      <c r="CNL14" s="25"/>
      <c r="CNS14" s="21"/>
      <c r="CNT14" s="21"/>
      <c r="CNX14" s="15"/>
      <c r="COD14" s="25"/>
      <c r="COK14" s="21"/>
      <c r="COL14" s="21"/>
      <c r="COP14" s="15"/>
      <c r="COV14" s="25"/>
      <c r="CPC14" s="21"/>
      <c r="CPD14" s="21"/>
      <c r="CPH14" s="15"/>
      <c r="CPN14" s="25"/>
      <c r="CPU14" s="21"/>
      <c r="CPV14" s="21"/>
      <c r="CPZ14" s="15"/>
      <c r="CQF14" s="25"/>
      <c r="CQM14" s="21"/>
      <c r="CQN14" s="21"/>
      <c r="CQR14" s="15"/>
      <c r="CQX14" s="25"/>
      <c r="CRE14" s="21"/>
      <c r="CRF14" s="21"/>
      <c r="CRJ14" s="15"/>
      <c r="CRP14" s="25"/>
      <c r="CRW14" s="21"/>
      <c r="CRX14" s="21"/>
      <c r="CSB14" s="15"/>
      <c r="CSH14" s="25"/>
      <c r="CSO14" s="21"/>
      <c r="CSP14" s="21"/>
      <c r="CST14" s="15"/>
      <c r="CSZ14" s="25"/>
      <c r="CTG14" s="21"/>
      <c r="CTH14" s="21"/>
      <c r="CTL14" s="15"/>
      <c r="CTR14" s="25"/>
      <c r="CTY14" s="21"/>
      <c r="CTZ14" s="21"/>
      <c r="CUD14" s="15"/>
      <c r="CUJ14" s="25"/>
      <c r="CUQ14" s="21"/>
      <c r="CUR14" s="21"/>
      <c r="CUV14" s="15"/>
      <c r="CVB14" s="25"/>
      <c r="CVI14" s="21"/>
      <c r="CVJ14" s="21"/>
      <c r="CVN14" s="15"/>
      <c r="CVT14" s="25"/>
      <c r="CWA14" s="21"/>
      <c r="CWB14" s="21"/>
      <c r="CWF14" s="15"/>
      <c r="CWL14" s="25"/>
      <c r="CWS14" s="21"/>
      <c r="CWT14" s="21"/>
      <c r="CWX14" s="15"/>
      <c r="CXD14" s="25"/>
      <c r="CXK14" s="21"/>
      <c r="CXL14" s="21"/>
      <c r="CXP14" s="15"/>
      <c r="CXV14" s="25"/>
      <c r="CYC14" s="21"/>
      <c r="CYD14" s="21"/>
      <c r="CYH14" s="15"/>
      <c r="CYN14" s="25"/>
      <c r="CYU14" s="21"/>
      <c r="CYV14" s="21"/>
      <c r="CYZ14" s="15"/>
      <c r="CZF14" s="25"/>
      <c r="CZM14" s="21"/>
      <c r="CZN14" s="21"/>
      <c r="CZR14" s="15"/>
      <c r="CZX14" s="25"/>
      <c r="DAE14" s="21"/>
      <c r="DAF14" s="21"/>
      <c r="DAJ14" s="15"/>
      <c r="DAP14" s="25"/>
      <c r="DAW14" s="21"/>
      <c r="DAX14" s="21"/>
      <c r="DBB14" s="15"/>
      <c r="DBH14" s="25"/>
      <c r="DBO14" s="21"/>
      <c r="DBP14" s="21"/>
      <c r="DBT14" s="15"/>
      <c r="DBZ14" s="25"/>
      <c r="DCG14" s="21"/>
      <c r="DCH14" s="21"/>
      <c r="DCL14" s="15"/>
      <c r="DCR14" s="25"/>
      <c r="DCY14" s="21"/>
      <c r="DCZ14" s="21"/>
      <c r="DDD14" s="15"/>
      <c r="DDJ14" s="25"/>
      <c r="DDQ14" s="21"/>
      <c r="DDR14" s="21"/>
      <c r="DDV14" s="15"/>
      <c r="DEB14" s="25"/>
      <c r="DEI14" s="21"/>
      <c r="DEJ14" s="21"/>
      <c r="DEN14" s="15"/>
      <c r="DET14" s="25"/>
      <c r="DFA14" s="21"/>
      <c r="DFB14" s="21"/>
      <c r="DFF14" s="15"/>
      <c r="DFL14" s="25"/>
      <c r="DFS14" s="21"/>
      <c r="DFT14" s="21"/>
      <c r="DFX14" s="15"/>
      <c r="DGD14" s="25"/>
      <c r="DGK14" s="21"/>
      <c r="DGL14" s="21"/>
      <c r="DGP14" s="15"/>
      <c r="DGV14" s="25"/>
      <c r="DHC14" s="21"/>
      <c r="DHD14" s="21"/>
      <c r="DHH14" s="15"/>
      <c r="DHN14" s="25"/>
      <c r="DHU14" s="21"/>
      <c r="DHV14" s="21"/>
      <c r="DHZ14" s="15"/>
      <c r="DIF14" s="25"/>
      <c r="DIM14" s="21"/>
      <c r="DIN14" s="21"/>
      <c r="DIR14" s="15"/>
      <c r="DIX14" s="25"/>
      <c r="DJE14" s="21"/>
      <c r="DJF14" s="21"/>
      <c r="DJJ14" s="15"/>
      <c r="DJP14" s="25"/>
      <c r="DJW14" s="21"/>
      <c r="DJX14" s="21"/>
      <c r="DKB14" s="15"/>
      <c r="DKH14" s="25"/>
      <c r="DKO14" s="21"/>
      <c r="DKP14" s="21"/>
      <c r="DKT14" s="15"/>
      <c r="DKZ14" s="25"/>
      <c r="DLG14" s="21"/>
      <c r="DLH14" s="21"/>
      <c r="DLL14" s="15"/>
      <c r="DLR14" s="25"/>
      <c r="DLY14" s="21"/>
      <c r="DLZ14" s="21"/>
      <c r="DMD14" s="15"/>
      <c r="DMJ14" s="25"/>
      <c r="DMQ14" s="21"/>
      <c r="DMR14" s="21"/>
      <c r="DMV14" s="15"/>
      <c r="DNB14" s="25"/>
      <c r="DNI14" s="21"/>
      <c r="DNJ14" s="21"/>
      <c r="DNN14" s="15"/>
      <c r="DNT14" s="25"/>
      <c r="DOA14" s="21"/>
      <c r="DOB14" s="21"/>
      <c r="DOF14" s="15"/>
      <c r="DOL14" s="25"/>
      <c r="DOS14" s="21"/>
      <c r="DOT14" s="21"/>
      <c r="DOX14" s="15"/>
      <c r="DPD14" s="25"/>
      <c r="DPK14" s="21"/>
      <c r="DPL14" s="21"/>
      <c r="DPP14" s="15"/>
      <c r="DPV14" s="25"/>
      <c r="DQC14" s="21"/>
      <c r="DQD14" s="21"/>
      <c r="DQH14" s="15"/>
      <c r="DQN14" s="25"/>
      <c r="DQU14" s="21"/>
      <c r="DQV14" s="21"/>
      <c r="DQZ14" s="15"/>
      <c r="DRF14" s="25"/>
      <c r="DRM14" s="21"/>
      <c r="DRN14" s="21"/>
      <c r="DRR14" s="15"/>
      <c r="DRX14" s="25"/>
      <c r="DSE14" s="21"/>
      <c r="DSF14" s="21"/>
      <c r="DSJ14" s="15"/>
      <c r="DSP14" s="25"/>
      <c r="DSW14" s="21"/>
      <c r="DSX14" s="21"/>
      <c r="DTB14" s="15"/>
      <c r="DTH14" s="25"/>
      <c r="DTO14" s="21"/>
      <c r="DTP14" s="21"/>
      <c r="DTT14" s="15"/>
      <c r="DTZ14" s="25"/>
      <c r="DUG14" s="21"/>
      <c r="DUH14" s="21"/>
      <c r="DUL14" s="15"/>
      <c r="DUR14" s="25"/>
      <c r="DUY14" s="21"/>
      <c r="DUZ14" s="21"/>
      <c r="DVD14" s="15"/>
      <c r="DVJ14" s="25"/>
      <c r="DVQ14" s="21"/>
      <c r="DVR14" s="21"/>
      <c r="DVV14" s="15"/>
      <c r="DWB14" s="25"/>
      <c r="DWI14" s="21"/>
      <c r="DWJ14" s="21"/>
      <c r="DWN14" s="15"/>
      <c r="DWT14" s="25"/>
      <c r="DXA14" s="21"/>
      <c r="DXB14" s="21"/>
      <c r="DXF14" s="15"/>
      <c r="DXL14" s="25"/>
      <c r="DXS14" s="21"/>
      <c r="DXT14" s="21"/>
      <c r="DXX14" s="15"/>
      <c r="DYD14" s="25"/>
      <c r="DYK14" s="21"/>
      <c r="DYL14" s="21"/>
      <c r="DYP14" s="15"/>
      <c r="DYV14" s="25"/>
      <c r="DZC14" s="21"/>
      <c r="DZD14" s="21"/>
      <c r="DZH14" s="15"/>
      <c r="DZN14" s="25"/>
      <c r="DZU14" s="21"/>
      <c r="DZV14" s="21"/>
      <c r="DZZ14" s="15"/>
      <c r="EAF14" s="25"/>
      <c r="EAM14" s="21"/>
      <c r="EAN14" s="21"/>
      <c r="EAR14" s="15"/>
      <c r="EAX14" s="25"/>
      <c r="EBE14" s="21"/>
      <c r="EBF14" s="21"/>
      <c r="EBJ14" s="15"/>
      <c r="EBP14" s="25"/>
      <c r="EBW14" s="21"/>
      <c r="EBX14" s="21"/>
      <c r="ECB14" s="15"/>
      <c r="ECH14" s="25"/>
      <c r="ECO14" s="21"/>
      <c r="ECP14" s="21"/>
      <c r="ECT14" s="15"/>
      <c r="ECZ14" s="25"/>
      <c r="EDG14" s="21"/>
      <c r="EDH14" s="21"/>
      <c r="EDL14" s="15"/>
      <c r="EDR14" s="25"/>
      <c r="EDY14" s="21"/>
      <c r="EDZ14" s="21"/>
      <c r="EED14" s="15"/>
      <c r="EEJ14" s="25"/>
      <c r="EEQ14" s="21"/>
      <c r="EER14" s="21"/>
      <c r="EEV14" s="15"/>
      <c r="EFB14" s="25"/>
      <c r="EFI14" s="21"/>
      <c r="EFJ14" s="21"/>
      <c r="EFN14" s="15"/>
      <c r="EFT14" s="25"/>
      <c r="EGA14" s="21"/>
      <c r="EGB14" s="21"/>
      <c r="EGF14" s="15"/>
      <c r="EGL14" s="25"/>
      <c r="EGS14" s="21"/>
      <c r="EGT14" s="21"/>
      <c r="EGX14" s="15"/>
      <c r="EHD14" s="25"/>
      <c r="EHK14" s="21"/>
      <c r="EHL14" s="21"/>
      <c r="EHP14" s="15"/>
      <c r="EHV14" s="25"/>
      <c r="EIC14" s="21"/>
      <c r="EID14" s="21"/>
      <c r="EIH14" s="15"/>
      <c r="EIN14" s="25"/>
      <c r="EIU14" s="21"/>
      <c r="EIV14" s="21"/>
      <c r="EIZ14" s="15"/>
      <c r="EJF14" s="25"/>
      <c r="EJM14" s="21"/>
      <c r="EJN14" s="21"/>
      <c r="EJR14" s="15"/>
      <c r="EJX14" s="25"/>
      <c r="EKE14" s="21"/>
      <c r="EKF14" s="21"/>
      <c r="EKJ14" s="15"/>
      <c r="EKP14" s="25"/>
      <c r="EKW14" s="21"/>
      <c r="EKX14" s="21"/>
      <c r="ELB14" s="15"/>
      <c r="ELH14" s="25"/>
      <c r="ELO14" s="21"/>
      <c r="ELP14" s="21"/>
      <c r="ELT14" s="15"/>
      <c r="ELZ14" s="25"/>
      <c r="EMG14" s="21"/>
      <c r="EMH14" s="21"/>
      <c r="EML14" s="15"/>
      <c r="EMR14" s="25"/>
      <c r="EMY14" s="21"/>
      <c r="EMZ14" s="21"/>
      <c r="END14" s="15"/>
      <c r="ENJ14" s="25"/>
      <c r="ENQ14" s="21"/>
      <c r="ENR14" s="21"/>
      <c r="ENV14" s="15"/>
      <c r="EOB14" s="25"/>
      <c r="EOI14" s="21"/>
      <c r="EOJ14" s="21"/>
      <c r="EON14" s="15"/>
      <c r="EOT14" s="25"/>
      <c r="EPA14" s="21"/>
      <c r="EPB14" s="21"/>
      <c r="EPF14" s="15"/>
      <c r="EPL14" s="25"/>
      <c r="EPS14" s="21"/>
      <c r="EPT14" s="21"/>
      <c r="EPX14" s="15"/>
      <c r="EQD14" s="25"/>
      <c r="EQK14" s="21"/>
      <c r="EQL14" s="21"/>
      <c r="EQP14" s="15"/>
      <c r="EQV14" s="25"/>
      <c r="ERC14" s="21"/>
      <c r="ERD14" s="21"/>
      <c r="ERH14" s="15"/>
      <c r="ERN14" s="25"/>
      <c r="ERU14" s="21"/>
      <c r="ERV14" s="21"/>
      <c r="ERZ14" s="15"/>
      <c r="ESF14" s="25"/>
      <c r="ESM14" s="21"/>
      <c r="ESN14" s="21"/>
      <c r="ESR14" s="15"/>
      <c r="ESX14" s="25"/>
      <c r="ETE14" s="21"/>
      <c r="ETF14" s="21"/>
      <c r="ETJ14" s="15"/>
      <c r="ETP14" s="25"/>
      <c r="ETW14" s="21"/>
      <c r="ETX14" s="21"/>
      <c r="EUB14" s="15"/>
      <c r="EUH14" s="25"/>
      <c r="EUO14" s="21"/>
      <c r="EUP14" s="21"/>
      <c r="EUT14" s="15"/>
      <c r="EUZ14" s="25"/>
      <c r="EVG14" s="21"/>
      <c r="EVH14" s="21"/>
      <c r="EVL14" s="15"/>
      <c r="EVR14" s="25"/>
      <c r="EVY14" s="21"/>
      <c r="EVZ14" s="21"/>
      <c r="EWD14" s="15"/>
      <c r="EWJ14" s="25"/>
      <c r="EWQ14" s="21"/>
      <c r="EWR14" s="21"/>
      <c r="EWV14" s="15"/>
      <c r="EXB14" s="25"/>
      <c r="EXI14" s="21"/>
      <c r="EXJ14" s="21"/>
      <c r="EXN14" s="15"/>
      <c r="EXT14" s="25"/>
      <c r="EYA14" s="21"/>
      <c r="EYB14" s="21"/>
      <c r="EYF14" s="15"/>
      <c r="EYL14" s="25"/>
      <c r="EYS14" s="21"/>
      <c r="EYT14" s="21"/>
      <c r="EYX14" s="15"/>
      <c r="EZD14" s="25"/>
      <c r="EZK14" s="21"/>
      <c r="EZL14" s="21"/>
      <c r="EZP14" s="15"/>
      <c r="EZV14" s="25"/>
      <c r="FAC14" s="21"/>
      <c r="FAD14" s="21"/>
      <c r="FAH14" s="15"/>
      <c r="FAN14" s="25"/>
      <c r="FAU14" s="21"/>
      <c r="FAV14" s="21"/>
      <c r="FAZ14" s="15"/>
      <c r="FBF14" s="25"/>
      <c r="FBM14" s="21"/>
      <c r="FBN14" s="21"/>
      <c r="FBR14" s="15"/>
      <c r="FBX14" s="25"/>
      <c r="FCE14" s="21"/>
      <c r="FCF14" s="21"/>
      <c r="FCJ14" s="15"/>
      <c r="FCP14" s="25"/>
      <c r="FCW14" s="21"/>
      <c r="FCX14" s="21"/>
      <c r="FDB14" s="15"/>
      <c r="FDH14" s="25"/>
      <c r="FDO14" s="21"/>
      <c r="FDP14" s="21"/>
      <c r="FDT14" s="15"/>
      <c r="FDZ14" s="25"/>
      <c r="FEG14" s="21"/>
      <c r="FEH14" s="21"/>
      <c r="FEL14" s="15"/>
      <c r="FER14" s="25"/>
      <c r="FEY14" s="21"/>
      <c r="FEZ14" s="21"/>
      <c r="FFD14" s="15"/>
      <c r="FFJ14" s="25"/>
      <c r="FFQ14" s="21"/>
      <c r="FFR14" s="21"/>
      <c r="FFV14" s="15"/>
      <c r="FGB14" s="25"/>
      <c r="FGI14" s="21"/>
      <c r="FGJ14" s="21"/>
      <c r="FGN14" s="15"/>
      <c r="FGT14" s="25"/>
      <c r="FHA14" s="21"/>
      <c r="FHB14" s="21"/>
      <c r="FHF14" s="15"/>
      <c r="FHL14" s="25"/>
      <c r="FHS14" s="21"/>
      <c r="FHT14" s="21"/>
      <c r="FHX14" s="15"/>
      <c r="FID14" s="25"/>
      <c r="FIK14" s="21"/>
      <c r="FIL14" s="21"/>
      <c r="FIP14" s="15"/>
      <c r="FIV14" s="25"/>
      <c r="FJC14" s="21"/>
      <c r="FJD14" s="21"/>
      <c r="FJH14" s="15"/>
      <c r="FJN14" s="25"/>
      <c r="FJU14" s="21"/>
      <c r="FJV14" s="21"/>
      <c r="FJZ14" s="15"/>
      <c r="FKF14" s="25"/>
      <c r="FKM14" s="21"/>
      <c r="FKN14" s="21"/>
      <c r="FKR14" s="15"/>
      <c r="FKX14" s="25"/>
      <c r="FLE14" s="21"/>
      <c r="FLF14" s="21"/>
      <c r="FLJ14" s="15"/>
      <c r="FLP14" s="25"/>
      <c r="FLW14" s="21"/>
      <c r="FLX14" s="21"/>
      <c r="FMB14" s="15"/>
      <c r="FMH14" s="25"/>
      <c r="FMO14" s="21"/>
      <c r="FMP14" s="21"/>
      <c r="FMT14" s="15"/>
      <c r="FMZ14" s="25"/>
      <c r="FNG14" s="21"/>
      <c r="FNH14" s="21"/>
      <c r="FNL14" s="15"/>
      <c r="FNR14" s="25"/>
      <c r="FNY14" s="21"/>
      <c r="FNZ14" s="21"/>
      <c r="FOD14" s="15"/>
      <c r="FOJ14" s="25"/>
      <c r="FOQ14" s="21"/>
      <c r="FOR14" s="21"/>
      <c r="FOV14" s="15"/>
      <c r="FPB14" s="25"/>
      <c r="FPI14" s="21"/>
      <c r="FPJ14" s="21"/>
      <c r="FPN14" s="15"/>
      <c r="FPT14" s="25"/>
      <c r="FQA14" s="21"/>
      <c r="FQB14" s="21"/>
      <c r="FQF14" s="15"/>
      <c r="FQL14" s="25"/>
      <c r="FQS14" s="21"/>
      <c r="FQT14" s="21"/>
      <c r="FQX14" s="15"/>
      <c r="FRD14" s="25"/>
      <c r="FRK14" s="21"/>
      <c r="FRL14" s="21"/>
      <c r="FRP14" s="15"/>
      <c r="FRV14" s="25"/>
      <c r="FSC14" s="21"/>
      <c r="FSD14" s="21"/>
      <c r="FSH14" s="15"/>
      <c r="FSN14" s="25"/>
      <c r="FSU14" s="21"/>
      <c r="FSV14" s="21"/>
      <c r="FSZ14" s="15"/>
      <c r="FTF14" s="25"/>
      <c r="FTM14" s="21"/>
      <c r="FTN14" s="21"/>
      <c r="FTR14" s="15"/>
      <c r="FTX14" s="25"/>
      <c r="FUE14" s="21"/>
      <c r="FUF14" s="21"/>
      <c r="FUJ14" s="15"/>
      <c r="FUP14" s="25"/>
      <c r="FUW14" s="21"/>
      <c r="FUX14" s="21"/>
      <c r="FVB14" s="15"/>
      <c r="FVH14" s="25"/>
      <c r="FVO14" s="21"/>
      <c r="FVP14" s="21"/>
      <c r="FVT14" s="15"/>
      <c r="FVZ14" s="25"/>
      <c r="FWG14" s="21"/>
      <c r="FWH14" s="21"/>
      <c r="FWL14" s="15"/>
      <c r="FWR14" s="25"/>
      <c r="FWY14" s="21"/>
      <c r="FWZ14" s="21"/>
      <c r="FXD14" s="15"/>
      <c r="FXJ14" s="25"/>
      <c r="FXQ14" s="21"/>
      <c r="FXR14" s="21"/>
      <c r="FXV14" s="15"/>
      <c r="FYB14" s="25"/>
      <c r="FYI14" s="21"/>
      <c r="FYJ14" s="21"/>
      <c r="FYN14" s="15"/>
      <c r="FYT14" s="25"/>
      <c r="FZA14" s="21"/>
      <c r="FZB14" s="21"/>
      <c r="FZF14" s="15"/>
      <c r="FZL14" s="25"/>
      <c r="FZS14" s="21"/>
      <c r="FZT14" s="21"/>
      <c r="FZX14" s="15"/>
      <c r="GAD14" s="25"/>
      <c r="GAK14" s="21"/>
      <c r="GAL14" s="21"/>
      <c r="GAP14" s="15"/>
      <c r="GAV14" s="25"/>
      <c r="GBC14" s="21"/>
      <c r="GBD14" s="21"/>
      <c r="GBH14" s="15"/>
      <c r="GBN14" s="25"/>
      <c r="GBU14" s="21"/>
      <c r="GBV14" s="21"/>
      <c r="GBZ14" s="15"/>
      <c r="GCF14" s="25"/>
      <c r="GCM14" s="21"/>
      <c r="GCN14" s="21"/>
      <c r="GCR14" s="15"/>
      <c r="GCX14" s="25"/>
      <c r="GDE14" s="21"/>
      <c r="GDF14" s="21"/>
      <c r="GDJ14" s="15"/>
      <c r="GDP14" s="25"/>
      <c r="GDW14" s="21"/>
      <c r="GDX14" s="21"/>
      <c r="GEB14" s="15"/>
      <c r="GEH14" s="25"/>
      <c r="GEO14" s="21"/>
      <c r="GEP14" s="21"/>
      <c r="GET14" s="15"/>
      <c r="GEZ14" s="25"/>
      <c r="GFG14" s="21"/>
      <c r="GFH14" s="21"/>
      <c r="GFL14" s="15"/>
      <c r="GFR14" s="25"/>
      <c r="GFY14" s="21"/>
      <c r="GFZ14" s="21"/>
      <c r="GGD14" s="15"/>
      <c r="GGJ14" s="25"/>
      <c r="GGQ14" s="21"/>
      <c r="GGR14" s="21"/>
      <c r="GGV14" s="15"/>
      <c r="GHB14" s="25"/>
      <c r="GHI14" s="21"/>
      <c r="GHJ14" s="21"/>
      <c r="GHN14" s="15"/>
      <c r="GHT14" s="25"/>
      <c r="GIA14" s="21"/>
      <c r="GIB14" s="21"/>
      <c r="GIF14" s="15"/>
      <c r="GIL14" s="25"/>
      <c r="GIS14" s="21"/>
      <c r="GIT14" s="21"/>
      <c r="GIX14" s="15"/>
      <c r="GJD14" s="25"/>
      <c r="GJK14" s="21"/>
      <c r="GJL14" s="21"/>
      <c r="GJP14" s="15"/>
      <c r="GJV14" s="25"/>
      <c r="GKC14" s="21"/>
      <c r="GKD14" s="21"/>
      <c r="GKH14" s="15"/>
      <c r="GKN14" s="25"/>
      <c r="GKU14" s="21"/>
      <c r="GKV14" s="21"/>
      <c r="GKZ14" s="15"/>
      <c r="GLF14" s="25"/>
      <c r="GLM14" s="21"/>
      <c r="GLN14" s="21"/>
      <c r="GLR14" s="15"/>
      <c r="GLX14" s="25"/>
      <c r="GME14" s="21"/>
      <c r="GMF14" s="21"/>
      <c r="GMJ14" s="15"/>
      <c r="GMP14" s="25"/>
      <c r="GMW14" s="21"/>
      <c r="GMX14" s="21"/>
      <c r="GNB14" s="15"/>
      <c r="GNH14" s="25"/>
      <c r="GNO14" s="21"/>
      <c r="GNP14" s="21"/>
      <c r="GNT14" s="15"/>
      <c r="GNZ14" s="25"/>
      <c r="GOG14" s="21"/>
      <c r="GOH14" s="21"/>
      <c r="GOL14" s="15"/>
      <c r="GOR14" s="25"/>
      <c r="GOY14" s="21"/>
      <c r="GOZ14" s="21"/>
      <c r="GPD14" s="15"/>
      <c r="GPJ14" s="25"/>
      <c r="GPQ14" s="21"/>
      <c r="GPR14" s="21"/>
      <c r="GPV14" s="15"/>
      <c r="GQB14" s="25"/>
      <c r="GQI14" s="21"/>
      <c r="GQJ14" s="21"/>
      <c r="GQN14" s="15"/>
      <c r="GQT14" s="25"/>
      <c r="GRA14" s="21"/>
      <c r="GRB14" s="21"/>
      <c r="GRF14" s="15"/>
      <c r="GRL14" s="25"/>
      <c r="GRS14" s="21"/>
      <c r="GRT14" s="21"/>
      <c r="GRX14" s="15"/>
      <c r="GSD14" s="25"/>
      <c r="GSK14" s="21"/>
      <c r="GSL14" s="21"/>
      <c r="GSP14" s="15"/>
      <c r="GSV14" s="25"/>
      <c r="GTC14" s="21"/>
      <c r="GTD14" s="21"/>
      <c r="GTH14" s="15"/>
      <c r="GTN14" s="25"/>
      <c r="GTU14" s="21"/>
      <c r="GTV14" s="21"/>
      <c r="GTZ14" s="15"/>
      <c r="GUF14" s="25"/>
      <c r="GUM14" s="21"/>
      <c r="GUN14" s="21"/>
      <c r="GUR14" s="15"/>
      <c r="GUX14" s="25"/>
      <c r="GVE14" s="21"/>
      <c r="GVF14" s="21"/>
      <c r="GVJ14" s="15"/>
      <c r="GVP14" s="25"/>
      <c r="GVW14" s="21"/>
      <c r="GVX14" s="21"/>
      <c r="GWB14" s="15"/>
      <c r="GWH14" s="25"/>
      <c r="GWO14" s="21"/>
      <c r="GWP14" s="21"/>
      <c r="GWT14" s="15"/>
      <c r="GWZ14" s="25"/>
      <c r="GXG14" s="21"/>
      <c r="GXH14" s="21"/>
      <c r="GXL14" s="15"/>
      <c r="GXR14" s="25"/>
      <c r="GXY14" s="21"/>
      <c r="GXZ14" s="21"/>
      <c r="GYD14" s="15"/>
      <c r="GYJ14" s="25"/>
      <c r="GYQ14" s="21"/>
      <c r="GYR14" s="21"/>
      <c r="GYV14" s="15"/>
      <c r="GZB14" s="25"/>
      <c r="GZI14" s="21"/>
      <c r="GZJ14" s="21"/>
      <c r="GZN14" s="15"/>
      <c r="GZT14" s="25"/>
      <c r="HAA14" s="21"/>
      <c r="HAB14" s="21"/>
      <c r="HAF14" s="15"/>
      <c r="HAL14" s="25"/>
      <c r="HAS14" s="21"/>
      <c r="HAT14" s="21"/>
      <c r="HAX14" s="15"/>
      <c r="HBD14" s="25"/>
      <c r="HBK14" s="21"/>
      <c r="HBL14" s="21"/>
      <c r="HBP14" s="15"/>
      <c r="HBV14" s="25"/>
      <c r="HCC14" s="21"/>
      <c r="HCD14" s="21"/>
      <c r="HCH14" s="15"/>
      <c r="HCN14" s="25"/>
      <c r="HCU14" s="21"/>
      <c r="HCV14" s="21"/>
      <c r="HCZ14" s="15"/>
      <c r="HDF14" s="25"/>
      <c r="HDM14" s="21"/>
      <c r="HDN14" s="21"/>
      <c r="HDR14" s="15"/>
      <c r="HDX14" s="25"/>
      <c r="HEE14" s="21"/>
      <c r="HEF14" s="21"/>
      <c r="HEJ14" s="15"/>
      <c r="HEP14" s="25"/>
      <c r="HEW14" s="21"/>
      <c r="HEX14" s="21"/>
      <c r="HFB14" s="15"/>
      <c r="HFH14" s="25"/>
      <c r="HFO14" s="21"/>
      <c r="HFP14" s="21"/>
      <c r="HFT14" s="15"/>
      <c r="HFZ14" s="25"/>
      <c r="HGG14" s="21"/>
      <c r="HGH14" s="21"/>
      <c r="HGL14" s="15"/>
      <c r="HGR14" s="25"/>
      <c r="HGY14" s="21"/>
      <c r="HGZ14" s="21"/>
      <c r="HHD14" s="15"/>
      <c r="HHJ14" s="25"/>
      <c r="HHQ14" s="21"/>
      <c r="HHR14" s="21"/>
      <c r="HHV14" s="15"/>
      <c r="HIB14" s="25"/>
      <c r="HII14" s="21"/>
      <c r="HIJ14" s="21"/>
      <c r="HIN14" s="15"/>
      <c r="HIT14" s="25"/>
      <c r="HJA14" s="21"/>
      <c r="HJB14" s="21"/>
      <c r="HJF14" s="15"/>
      <c r="HJL14" s="25"/>
      <c r="HJS14" s="21"/>
      <c r="HJT14" s="21"/>
      <c r="HJX14" s="15"/>
      <c r="HKD14" s="25"/>
      <c r="HKK14" s="21"/>
      <c r="HKL14" s="21"/>
      <c r="HKP14" s="15"/>
      <c r="HKV14" s="25"/>
      <c r="HLC14" s="21"/>
      <c r="HLD14" s="21"/>
      <c r="HLH14" s="15"/>
      <c r="HLN14" s="25"/>
      <c r="HLU14" s="21"/>
      <c r="HLV14" s="21"/>
      <c r="HLZ14" s="15"/>
      <c r="HMF14" s="25"/>
      <c r="HMM14" s="21"/>
      <c r="HMN14" s="21"/>
      <c r="HMR14" s="15"/>
      <c r="HMX14" s="25"/>
      <c r="HNE14" s="21"/>
      <c r="HNF14" s="21"/>
      <c r="HNJ14" s="15"/>
      <c r="HNP14" s="25"/>
      <c r="HNW14" s="21"/>
      <c r="HNX14" s="21"/>
      <c r="HOB14" s="15"/>
      <c r="HOH14" s="25"/>
      <c r="HOO14" s="21"/>
      <c r="HOP14" s="21"/>
      <c r="HOT14" s="15"/>
      <c r="HOZ14" s="25"/>
      <c r="HPG14" s="21"/>
      <c r="HPH14" s="21"/>
      <c r="HPL14" s="15"/>
      <c r="HPR14" s="25"/>
      <c r="HPY14" s="21"/>
      <c r="HPZ14" s="21"/>
      <c r="HQD14" s="15"/>
      <c r="HQJ14" s="25"/>
      <c r="HQQ14" s="21"/>
      <c r="HQR14" s="21"/>
      <c r="HQV14" s="15"/>
      <c r="HRB14" s="25"/>
      <c r="HRI14" s="21"/>
      <c r="HRJ14" s="21"/>
      <c r="HRN14" s="15"/>
      <c r="HRT14" s="25"/>
      <c r="HSA14" s="21"/>
      <c r="HSB14" s="21"/>
      <c r="HSF14" s="15"/>
      <c r="HSL14" s="25"/>
      <c r="HSS14" s="21"/>
      <c r="HST14" s="21"/>
      <c r="HSX14" s="15"/>
      <c r="HTD14" s="25"/>
      <c r="HTK14" s="21"/>
      <c r="HTL14" s="21"/>
      <c r="HTP14" s="15"/>
      <c r="HTV14" s="25"/>
      <c r="HUC14" s="21"/>
      <c r="HUD14" s="21"/>
      <c r="HUH14" s="15"/>
      <c r="HUN14" s="25"/>
      <c r="HUU14" s="21"/>
      <c r="HUV14" s="21"/>
      <c r="HUZ14" s="15"/>
      <c r="HVF14" s="25"/>
      <c r="HVM14" s="21"/>
      <c r="HVN14" s="21"/>
      <c r="HVR14" s="15"/>
      <c r="HVX14" s="25"/>
      <c r="HWE14" s="21"/>
      <c r="HWF14" s="21"/>
      <c r="HWJ14" s="15"/>
      <c r="HWP14" s="25"/>
      <c r="HWW14" s="21"/>
      <c r="HWX14" s="21"/>
      <c r="HXB14" s="15"/>
      <c r="HXH14" s="25"/>
      <c r="HXO14" s="21"/>
      <c r="HXP14" s="21"/>
      <c r="HXT14" s="15"/>
      <c r="HXZ14" s="25"/>
      <c r="HYG14" s="21"/>
      <c r="HYH14" s="21"/>
      <c r="HYL14" s="15"/>
      <c r="HYR14" s="25"/>
      <c r="HYY14" s="21"/>
      <c r="HYZ14" s="21"/>
      <c r="HZD14" s="15"/>
      <c r="HZJ14" s="25"/>
      <c r="HZQ14" s="21"/>
      <c r="HZR14" s="21"/>
      <c r="HZV14" s="15"/>
      <c r="IAB14" s="25"/>
      <c r="IAI14" s="21"/>
      <c r="IAJ14" s="21"/>
      <c r="IAN14" s="15"/>
      <c r="IAT14" s="25"/>
      <c r="IBA14" s="21"/>
      <c r="IBB14" s="21"/>
      <c r="IBF14" s="15"/>
      <c r="IBL14" s="25"/>
      <c r="IBS14" s="21"/>
      <c r="IBT14" s="21"/>
      <c r="IBX14" s="15"/>
      <c r="ICD14" s="25"/>
      <c r="ICK14" s="21"/>
      <c r="ICL14" s="21"/>
      <c r="ICP14" s="15"/>
      <c r="ICV14" s="25"/>
      <c r="IDC14" s="21"/>
      <c r="IDD14" s="21"/>
      <c r="IDH14" s="15"/>
      <c r="IDN14" s="25"/>
      <c r="IDU14" s="21"/>
      <c r="IDV14" s="21"/>
      <c r="IDZ14" s="15"/>
      <c r="IEF14" s="25"/>
      <c r="IEM14" s="21"/>
      <c r="IEN14" s="21"/>
      <c r="IER14" s="15"/>
      <c r="IEX14" s="25"/>
      <c r="IFE14" s="21"/>
      <c r="IFF14" s="21"/>
      <c r="IFJ14" s="15"/>
      <c r="IFP14" s="25"/>
      <c r="IFW14" s="21"/>
      <c r="IFX14" s="21"/>
      <c r="IGB14" s="15"/>
      <c r="IGH14" s="25"/>
      <c r="IGO14" s="21"/>
      <c r="IGP14" s="21"/>
      <c r="IGT14" s="15"/>
      <c r="IGZ14" s="25"/>
      <c r="IHG14" s="21"/>
      <c r="IHH14" s="21"/>
      <c r="IHL14" s="15"/>
      <c r="IHR14" s="25"/>
      <c r="IHY14" s="21"/>
      <c r="IHZ14" s="21"/>
      <c r="IID14" s="15"/>
      <c r="IIJ14" s="25"/>
      <c r="IIQ14" s="21"/>
      <c r="IIR14" s="21"/>
      <c r="IIV14" s="15"/>
      <c r="IJB14" s="25"/>
      <c r="IJI14" s="21"/>
      <c r="IJJ14" s="21"/>
      <c r="IJN14" s="15"/>
      <c r="IJT14" s="25"/>
      <c r="IKA14" s="21"/>
      <c r="IKB14" s="21"/>
      <c r="IKF14" s="15"/>
      <c r="IKL14" s="25"/>
      <c r="IKS14" s="21"/>
      <c r="IKT14" s="21"/>
      <c r="IKX14" s="15"/>
      <c r="ILD14" s="25"/>
      <c r="ILK14" s="21"/>
      <c r="ILL14" s="21"/>
      <c r="ILP14" s="15"/>
      <c r="ILV14" s="25"/>
      <c r="IMC14" s="21"/>
      <c r="IMD14" s="21"/>
      <c r="IMH14" s="15"/>
      <c r="IMN14" s="25"/>
      <c r="IMU14" s="21"/>
      <c r="IMV14" s="21"/>
      <c r="IMZ14" s="15"/>
      <c r="INF14" s="25"/>
      <c r="INM14" s="21"/>
      <c r="INN14" s="21"/>
      <c r="INR14" s="15"/>
      <c r="INX14" s="25"/>
      <c r="IOE14" s="21"/>
      <c r="IOF14" s="21"/>
      <c r="IOJ14" s="15"/>
      <c r="IOP14" s="25"/>
      <c r="IOW14" s="21"/>
      <c r="IOX14" s="21"/>
      <c r="IPB14" s="15"/>
      <c r="IPH14" s="25"/>
      <c r="IPO14" s="21"/>
      <c r="IPP14" s="21"/>
      <c r="IPT14" s="15"/>
      <c r="IPZ14" s="25"/>
      <c r="IQG14" s="21"/>
      <c r="IQH14" s="21"/>
      <c r="IQL14" s="15"/>
      <c r="IQR14" s="25"/>
      <c r="IQY14" s="21"/>
      <c r="IQZ14" s="21"/>
      <c r="IRD14" s="15"/>
      <c r="IRJ14" s="25"/>
      <c r="IRQ14" s="21"/>
      <c r="IRR14" s="21"/>
      <c r="IRV14" s="15"/>
      <c r="ISB14" s="25"/>
      <c r="ISI14" s="21"/>
      <c r="ISJ14" s="21"/>
      <c r="ISN14" s="15"/>
      <c r="IST14" s="25"/>
      <c r="ITA14" s="21"/>
      <c r="ITB14" s="21"/>
      <c r="ITF14" s="15"/>
      <c r="ITL14" s="25"/>
      <c r="ITS14" s="21"/>
      <c r="ITT14" s="21"/>
      <c r="ITX14" s="15"/>
      <c r="IUD14" s="25"/>
      <c r="IUK14" s="21"/>
      <c r="IUL14" s="21"/>
      <c r="IUP14" s="15"/>
      <c r="IUV14" s="25"/>
      <c r="IVC14" s="21"/>
      <c r="IVD14" s="21"/>
      <c r="IVH14" s="15"/>
      <c r="IVN14" s="25"/>
      <c r="IVU14" s="21"/>
      <c r="IVV14" s="21"/>
      <c r="IVZ14" s="15"/>
      <c r="IWF14" s="25"/>
      <c r="IWM14" s="21"/>
      <c r="IWN14" s="21"/>
      <c r="IWR14" s="15"/>
      <c r="IWX14" s="25"/>
      <c r="IXE14" s="21"/>
      <c r="IXF14" s="21"/>
      <c r="IXJ14" s="15"/>
      <c r="IXP14" s="25"/>
      <c r="IXW14" s="21"/>
      <c r="IXX14" s="21"/>
      <c r="IYB14" s="15"/>
      <c r="IYH14" s="25"/>
      <c r="IYO14" s="21"/>
      <c r="IYP14" s="21"/>
      <c r="IYT14" s="15"/>
      <c r="IYZ14" s="25"/>
      <c r="IZG14" s="21"/>
      <c r="IZH14" s="21"/>
      <c r="IZL14" s="15"/>
      <c r="IZR14" s="25"/>
      <c r="IZY14" s="21"/>
      <c r="IZZ14" s="21"/>
      <c r="JAD14" s="15"/>
      <c r="JAJ14" s="25"/>
      <c r="JAQ14" s="21"/>
      <c r="JAR14" s="21"/>
      <c r="JAV14" s="15"/>
      <c r="JBB14" s="25"/>
      <c r="JBI14" s="21"/>
      <c r="JBJ14" s="21"/>
      <c r="JBN14" s="15"/>
      <c r="JBT14" s="25"/>
      <c r="JCA14" s="21"/>
      <c r="JCB14" s="21"/>
      <c r="JCF14" s="15"/>
      <c r="JCL14" s="25"/>
      <c r="JCS14" s="21"/>
      <c r="JCT14" s="21"/>
      <c r="JCX14" s="15"/>
      <c r="JDD14" s="25"/>
      <c r="JDK14" s="21"/>
      <c r="JDL14" s="21"/>
      <c r="JDP14" s="15"/>
      <c r="JDV14" s="25"/>
      <c r="JEC14" s="21"/>
      <c r="JED14" s="21"/>
      <c r="JEH14" s="15"/>
      <c r="JEN14" s="25"/>
      <c r="JEU14" s="21"/>
      <c r="JEV14" s="21"/>
      <c r="JEZ14" s="15"/>
      <c r="JFF14" s="25"/>
      <c r="JFM14" s="21"/>
      <c r="JFN14" s="21"/>
      <c r="JFR14" s="15"/>
      <c r="JFX14" s="25"/>
      <c r="JGE14" s="21"/>
      <c r="JGF14" s="21"/>
      <c r="JGJ14" s="15"/>
      <c r="JGP14" s="25"/>
      <c r="JGW14" s="21"/>
      <c r="JGX14" s="21"/>
      <c r="JHB14" s="15"/>
      <c r="JHH14" s="25"/>
      <c r="JHO14" s="21"/>
      <c r="JHP14" s="21"/>
      <c r="JHT14" s="15"/>
      <c r="JHZ14" s="25"/>
      <c r="JIG14" s="21"/>
      <c r="JIH14" s="21"/>
      <c r="JIL14" s="15"/>
      <c r="JIR14" s="25"/>
      <c r="JIY14" s="21"/>
      <c r="JIZ14" s="21"/>
      <c r="JJD14" s="15"/>
      <c r="JJJ14" s="25"/>
      <c r="JJQ14" s="21"/>
      <c r="JJR14" s="21"/>
      <c r="JJV14" s="15"/>
      <c r="JKB14" s="25"/>
      <c r="JKI14" s="21"/>
      <c r="JKJ14" s="21"/>
      <c r="JKN14" s="15"/>
      <c r="JKT14" s="25"/>
      <c r="JLA14" s="21"/>
      <c r="JLB14" s="21"/>
      <c r="JLF14" s="15"/>
      <c r="JLL14" s="25"/>
      <c r="JLS14" s="21"/>
      <c r="JLT14" s="21"/>
      <c r="JLX14" s="15"/>
      <c r="JMD14" s="25"/>
      <c r="JMK14" s="21"/>
      <c r="JML14" s="21"/>
      <c r="JMP14" s="15"/>
      <c r="JMV14" s="25"/>
      <c r="JNC14" s="21"/>
      <c r="JND14" s="21"/>
      <c r="JNH14" s="15"/>
      <c r="JNN14" s="25"/>
      <c r="JNU14" s="21"/>
      <c r="JNV14" s="21"/>
      <c r="JNZ14" s="15"/>
      <c r="JOF14" s="25"/>
      <c r="JOM14" s="21"/>
      <c r="JON14" s="21"/>
      <c r="JOR14" s="15"/>
      <c r="JOX14" s="25"/>
      <c r="JPE14" s="21"/>
      <c r="JPF14" s="21"/>
      <c r="JPJ14" s="15"/>
      <c r="JPP14" s="25"/>
      <c r="JPW14" s="21"/>
      <c r="JPX14" s="21"/>
      <c r="JQB14" s="15"/>
      <c r="JQH14" s="25"/>
      <c r="JQO14" s="21"/>
      <c r="JQP14" s="21"/>
      <c r="JQT14" s="15"/>
      <c r="JQZ14" s="25"/>
      <c r="JRG14" s="21"/>
      <c r="JRH14" s="21"/>
      <c r="JRL14" s="15"/>
      <c r="JRR14" s="25"/>
      <c r="JRY14" s="21"/>
      <c r="JRZ14" s="21"/>
      <c r="JSD14" s="15"/>
      <c r="JSJ14" s="25"/>
      <c r="JSQ14" s="21"/>
      <c r="JSR14" s="21"/>
      <c r="JSV14" s="15"/>
      <c r="JTB14" s="25"/>
      <c r="JTI14" s="21"/>
      <c r="JTJ14" s="21"/>
      <c r="JTN14" s="15"/>
      <c r="JTT14" s="25"/>
      <c r="JUA14" s="21"/>
      <c r="JUB14" s="21"/>
      <c r="JUF14" s="15"/>
      <c r="JUL14" s="25"/>
      <c r="JUS14" s="21"/>
      <c r="JUT14" s="21"/>
      <c r="JUX14" s="15"/>
      <c r="JVD14" s="25"/>
      <c r="JVK14" s="21"/>
      <c r="JVL14" s="21"/>
      <c r="JVP14" s="15"/>
      <c r="JVV14" s="25"/>
      <c r="JWC14" s="21"/>
      <c r="JWD14" s="21"/>
      <c r="JWH14" s="15"/>
      <c r="JWN14" s="25"/>
      <c r="JWU14" s="21"/>
      <c r="JWV14" s="21"/>
      <c r="JWZ14" s="15"/>
      <c r="JXF14" s="25"/>
      <c r="JXM14" s="21"/>
      <c r="JXN14" s="21"/>
      <c r="JXR14" s="15"/>
      <c r="JXX14" s="25"/>
      <c r="JYE14" s="21"/>
      <c r="JYF14" s="21"/>
      <c r="JYJ14" s="15"/>
      <c r="JYP14" s="25"/>
      <c r="JYW14" s="21"/>
      <c r="JYX14" s="21"/>
      <c r="JZB14" s="15"/>
      <c r="JZH14" s="25"/>
      <c r="JZO14" s="21"/>
      <c r="JZP14" s="21"/>
      <c r="JZT14" s="15"/>
      <c r="JZZ14" s="25"/>
      <c r="KAG14" s="21"/>
      <c r="KAH14" s="21"/>
      <c r="KAL14" s="15"/>
      <c r="KAR14" s="25"/>
      <c r="KAY14" s="21"/>
      <c r="KAZ14" s="21"/>
      <c r="KBD14" s="15"/>
      <c r="KBJ14" s="25"/>
      <c r="KBQ14" s="21"/>
      <c r="KBR14" s="21"/>
      <c r="KBV14" s="15"/>
      <c r="KCB14" s="25"/>
      <c r="KCI14" s="21"/>
      <c r="KCJ14" s="21"/>
      <c r="KCN14" s="15"/>
      <c r="KCT14" s="25"/>
      <c r="KDA14" s="21"/>
      <c r="KDB14" s="21"/>
      <c r="KDF14" s="15"/>
      <c r="KDL14" s="25"/>
      <c r="KDS14" s="21"/>
      <c r="KDT14" s="21"/>
      <c r="KDX14" s="15"/>
      <c r="KED14" s="25"/>
      <c r="KEK14" s="21"/>
      <c r="KEL14" s="21"/>
      <c r="KEP14" s="15"/>
      <c r="KEV14" s="25"/>
      <c r="KFC14" s="21"/>
      <c r="KFD14" s="21"/>
      <c r="KFH14" s="15"/>
      <c r="KFN14" s="25"/>
      <c r="KFU14" s="21"/>
      <c r="KFV14" s="21"/>
      <c r="KFZ14" s="15"/>
      <c r="KGF14" s="25"/>
      <c r="KGM14" s="21"/>
      <c r="KGN14" s="21"/>
      <c r="KGR14" s="15"/>
      <c r="KGX14" s="25"/>
      <c r="KHE14" s="21"/>
      <c r="KHF14" s="21"/>
      <c r="KHJ14" s="15"/>
      <c r="KHP14" s="25"/>
      <c r="KHW14" s="21"/>
      <c r="KHX14" s="21"/>
      <c r="KIB14" s="15"/>
      <c r="KIH14" s="25"/>
      <c r="KIO14" s="21"/>
      <c r="KIP14" s="21"/>
      <c r="KIT14" s="15"/>
      <c r="KIZ14" s="25"/>
      <c r="KJG14" s="21"/>
      <c r="KJH14" s="21"/>
      <c r="KJL14" s="15"/>
      <c r="KJR14" s="25"/>
      <c r="KJY14" s="21"/>
      <c r="KJZ14" s="21"/>
      <c r="KKD14" s="15"/>
      <c r="KKJ14" s="25"/>
      <c r="KKQ14" s="21"/>
      <c r="KKR14" s="21"/>
      <c r="KKV14" s="15"/>
      <c r="KLB14" s="25"/>
      <c r="KLI14" s="21"/>
      <c r="KLJ14" s="21"/>
      <c r="KLN14" s="15"/>
      <c r="KLT14" s="25"/>
      <c r="KMA14" s="21"/>
      <c r="KMB14" s="21"/>
      <c r="KMF14" s="15"/>
      <c r="KML14" s="25"/>
      <c r="KMS14" s="21"/>
      <c r="KMT14" s="21"/>
      <c r="KMX14" s="15"/>
      <c r="KND14" s="25"/>
      <c r="KNK14" s="21"/>
      <c r="KNL14" s="21"/>
      <c r="KNP14" s="15"/>
      <c r="KNV14" s="25"/>
      <c r="KOC14" s="21"/>
      <c r="KOD14" s="21"/>
      <c r="KOH14" s="15"/>
      <c r="KON14" s="25"/>
      <c r="KOU14" s="21"/>
      <c r="KOV14" s="21"/>
      <c r="KOZ14" s="15"/>
      <c r="KPF14" s="25"/>
      <c r="KPM14" s="21"/>
      <c r="KPN14" s="21"/>
      <c r="KPR14" s="15"/>
      <c r="KPX14" s="25"/>
      <c r="KQE14" s="21"/>
      <c r="KQF14" s="21"/>
      <c r="KQJ14" s="15"/>
      <c r="KQP14" s="25"/>
      <c r="KQW14" s="21"/>
      <c r="KQX14" s="21"/>
      <c r="KRB14" s="15"/>
      <c r="KRH14" s="25"/>
      <c r="KRO14" s="21"/>
      <c r="KRP14" s="21"/>
      <c r="KRT14" s="15"/>
      <c r="KRZ14" s="25"/>
      <c r="KSG14" s="21"/>
      <c r="KSH14" s="21"/>
      <c r="KSL14" s="15"/>
      <c r="KSR14" s="25"/>
      <c r="KSY14" s="21"/>
      <c r="KSZ14" s="21"/>
      <c r="KTD14" s="15"/>
      <c r="KTJ14" s="25"/>
      <c r="KTQ14" s="21"/>
      <c r="KTR14" s="21"/>
      <c r="KTV14" s="15"/>
      <c r="KUB14" s="25"/>
      <c r="KUI14" s="21"/>
      <c r="KUJ14" s="21"/>
      <c r="KUN14" s="15"/>
      <c r="KUT14" s="25"/>
      <c r="KVA14" s="21"/>
      <c r="KVB14" s="21"/>
      <c r="KVF14" s="15"/>
      <c r="KVL14" s="25"/>
      <c r="KVS14" s="21"/>
      <c r="KVT14" s="21"/>
      <c r="KVX14" s="15"/>
      <c r="KWD14" s="25"/>
      <c r="KWK14" s="21"/>
      <c r="KWL14" s="21"/>
      <c r="KWP14" s="15"/>
      <c r="KWV14" s="25"/>
      <c r="KXC14" s="21"/>
      <c r="KXD14" s="21"/>
      <c r="KXH14" s="15"/>
      <c r="KXN14" s="25"/>
      <c r="KXU14" s="21"/>
      <c r="KXV14" s="21"/>
      <c r="KXZ14" s="15"/>
      <c r="KYF14" s="25"/>
      <c r="KYM14" s="21"/>
      <c r="KYN14" s="21"/>
      <c r="KYR14" s="15"/>
      <c r="KYX14" s="25"/>
      <c r="KZE14" s="21"/>
      <c r="KZF14" s="21"/>
      <c r="KZJ14" s="15"/>
      <c r="KZP14" s="25"/>
      <c r="KZW14" s="21"/>
      <c r="KZX14" s="21"/>
      <c r="LAB14" s="15"/>
      <c r="LAH14" s="25"/>
      <c r="LAO14" s="21"/>
      <c r="LAP14" s="21"/>
      <c r="LAT14" s="15"/>
      <c r="LAZ14" s="25"/>
      <c r="LBG14" s="21"/>
      <c r="LBH14" s="21"/>
      <c r="LBL14" s="15"/>
      <c r="LBR14" s="25"/>
      <c r="LBY14" s="21"/>
      <c r="LBZ14" s="21"/>
      <c r="LCD14" s="15"/>
      <c r="LCJ14" s="25"/>
      <c r="LCQ14" s="21"/>
      <c r="LCR14" s="21"/>
      <c r="LCV14" s="15"/>
      <c r="LDB14" s="25"/>
      <c r="LDI14" s="21"/>
      <c r="LDJ14" s="21"/>
      <c r="LDN14" s="15"/>
      <c r="LDT14" s="25"/>
      <c r="LEA14" s="21"/>
      <c r="LEB14" s="21"/>
      <c r="LEF14" s="15"/>
      <c r="LEL14" s="25"/>
      <c r="LES14" s="21"/>
      <c r="LET14" s="21"/>
      <c r="LEX14" s="15"/>
      <c r="LFD14" s="25"/>
      <c r="LFK14" s="21"/>
      <c r="LFL14" s="21"/>
      <c r="LFP14" s="15"/>
      <c r="LFV14" s="25"/>
      <c r="LGC14" s="21"/>
      <c r="LGD14" s="21"/>
      <c r="LGH14" s="15"/>
      <c r="LGN14" s="25"/>
      <c r="LGU14" s="21"/>
      <c r="LGV14" s="21"/>
      <c r="LGZ14" s="15"/>
      <c r="LHF14" s="25"/>
      <c r="LHM14" s="21"/>
      <c r="LHN14" s="21"/>
      <c r="LHR14" s="15"/>
      <c r="LHX14" s="25"/>
      <c r="LIE14" s="21"/>
      <c r="LIF14" s="21"/>
      <c r="LIJ14" s="15"/>
      <c r="LIP14" s="25"/>
      <c r="LIW14" s="21"/>
      <c r="LIX14" s="21"/>
      <c r="LJB14" s="15"/>
      <c r="LJH14" s="25"/>
      <c r="LJO14" s="21"/>
      <c r="LJP14" s="21"/>
      <c r="LJT14" s="15"/>
      <c r="LJZ14" s="25"/>
      <c r="LKG14" s="21"/>
      <c r="LKH14" s="21"/>
      <c r="LKL14" s="15"/>
      <c r="LKR14" s="25"/>
      <c r="LKY14" s="21"/>
      <c r="LKZ14" s="21"/>
      <c r="LLD14" s="15"/>
      <c r="LLJ14" s="25"/>
      <c r="LLQ14" s="21"/>
      <c r="LLR14" s="21"/>
      <c r="LLV14" s="15"/>
      <c r="LMB14" s="25"/>
      <c r="LMI14" s="21"/>
      <c r="LMJ14" s="21"/>
      <c r="LMN14" s="15"/>
      <c r="LMT14" s="25"/>
      <c r="LNA14" s="21"/>
      <c r="LNB14" s="21"/>
      <c r="LNF14" s="15"/>
      <c r="LNL14" s="25"/>
      <c r="LNS14" s="21"/>
      <c r="LNT14" s="21"/>
      <c r="LNX14" s="15"/>
      <c r="LOD14" s="25"/>
      <c r="LOK14" s="21"/>
      <c r="LOL14" s="21"/>
      <c r="LOP14" s="15"/>
      <c r="LOV14" s="25"/>
      <c r="LPC14" s="21"/>
      <c r="LPD14" s="21"/>
      <c r="LPH14" s="15"/>
      <c r="LPN14" s="25"/>
      <c r="LPU14" s="21"/>
      <c r="LPV14" s="21"/>
      <c r="LPZ14" s="15"/>
      <c r="LQF14" s="25"/>
      <c r="LQM14" s="21"/>
      <c r="LQN14" s="21"/>
      <c r="LQR14" s="15"/>
      <c r="LQX14" s="25"/>
      <c r="LRE14" s="21"/>
      <c r="LRF14" s="21"/>
      <c r="LRJ14" s="15"/>
      <c r="LRP14" s="25"/>
      <c r="LRW14" s="21"/>
      <c r="LRX14" s="21"/>
      <c r="LSB14" s="15"/>
      <c r="LSH14" s="25"/>
      <c r="LSO14" s="21"/>
      <c r="LSP14" s="21"/>
      <c r="LST14" s="15"/>
      <c r="LSZ14" s="25"/>
      <c r="LTG14" s="21"/>
      <c r="LTH14" s="21"/>
      <c r="LTL14" s="15"/>
      <c r="LTR14" s="25"/>
      <c r="LTY14" s="21"/>
      <c r="LTZ14" s="21"/>
      <c r="LUD14" s="15"/>
      <c r="LUJ14" s="25"/>
      <c r="LUQ14" s="21"/>
      <c r="LUR14" s="21"/>
      <c r="LUV14" s="15"/>
      <c r="LVB14" s="25"/>
      <c r="LVI14" s="21"/>
      <c r="LVJ14" s="21"/>
      <c r="LVN14" s="15"/>
      <c r="LVT14" s="25"/>
      <c r="LWA14" s="21"/>
      <c r="LWB14" s="21"/>
      <c r="LWF14" s="15"/>
      <c r="LWL14" s="25"/>
      <c r="LWS14" s="21"/>
      <c r="LWT14" s="21"/>
      <c r="LWX14" s="15"/>
      <c r="LXD14" s="25"/>
      <c r="LXK14" s="21"/>
      <c r="LXL14" s="21"/>
      <c r="LXP14" s="15"/>
      <c r="LXV14" s="25"/>
      <c r="LYC14" s="21"/>
      <c r="LYD14" s="21"/>
      <c r="LYH14" s="15"/>
      <c r="LYN14" s="25"/>
      <c r="LYU14" s="21"/>
      <c r="LYV14" s="21"/>
      <c r="LYZ14" s="15"/>
      <c r="LZF14" s="25"/>
      <c r="LZM14" s="21"/>
      <c r="LZN14" s="21"/>
      <c r="LZR14" s="15"/>
      <c r="LZX14" s="25"/>
      <c r="MAE14" s="21"/>
      <c r="MAF14" s="21"/>
      <c r="MAJ14" s="15"/>
      <c r="MAP14" s="25"/>
      <c r="MAW14" s="21"/>
      <c r="MAX14" s="21"/>
      <c r="MBB14" s="15"/>
      <c r="MBH14" s="25"/>
      <c r="MBO14" s="21"/>
      <c r="MBP14" s="21"/>
      <c r="MBT14" s="15"/>
      <c r="MBZ14" s="25"/>
      <c r="MCG14" s="21"/>
      <c r="MCH14" s="21"/>
      <c r="MCL14" s="15"/>
      <c r="MCR14" s="25"/>
      <c r="MCY14" s="21"/>
      <c r="MCZ14" s="21"/>
      <c r="MDD14" s="15"/>
      <c r="MDJ14" s="25"/>
      <c r="MDQ14" s="21"/>
      <c r="MDR14" s="21"/>
      <c r="MDV14" s="15"/>
      <c r="MEB14" s="25"/>
      <c r="MEI14" s="21"/>
      <c r="MEJ14" s="21"/>
      <c r="MEN14" s="15"/>
      <c r="MET14" s="25"/>
      <c r="MFA14" s="21"/>
      <c r="MFB14" s="21"/>
      <c r="MFF14" s="15"/>
      <c r="MFL14" s="25"/>
      <c r="MFS14" s="21"/>
      <c r="MFT14" s="21"/>
      <c r="MFX14" s="15"/>
      <c r="MGD14" s="25"/>
      <c r="MGK14" s="21"/>
      <c r="MGL14" s="21"/>
      <c r="MGP14" s="15"/>
      <c r="MGV14" s="25"/>
      <c r="MHC14" s="21"/>
      <c r="MHD14" s="21"/>
      <c r="MHH14" s="15"/>
      <c r="MHN14" s="25"/>
      <c r="MHU14" s="21"/>
      <c r="MHV14" s="21"/>
      <c r="MHZ14" s="15"/>
      <c r="MIF14" s="25"/>
      <c r="MIM14" s="21"/>
      <c r="MIN14" s="21"/>
      <c r="MIR14" s="15"/>
      <c r="MIX14" s="25"/>
      <c r="MJE14" s="21"/>
      <c r="MJF14" s="21"/>
      <c r="MJJ14" s="15"/>
      <c r="MJP14" s="25"/>
      <c r="MJW14" s="21"/>
      <c r="MJX14" s="21"/>
      <c r="MKB14" s="15"/>
      <c r="MKH14" s="25"/>
      <c r="MKO14" s="21"/>
      <c r="MKP14" s="21"/>
      <c r="MKT14" s="15"/>
      <c r="MKZ14" s="25"/>
      <c r="MLG14" s="21"/>
      <c r="MLH14" s="21"/>
      <c r="MLL14" s="15"/>
      <c r="MLR14" s="25"/>
      <c r="MLY14" s="21"/>
      <c r="MLZ14" s="21"/>
      <c r="MMD14" s="15"/>
      <c r="MMJ14" s="25"/>
      <c r="MMQ14" s="21"/>
      <c r="MMR14" s="21"/>
      <c r="MMV14" s="15"/>
      <c r="MNB14" s="25"/>
      <c r="MNI14" s="21"/>
      <c r="MNJ14" s="21"/>
      <c r="MNN14" s="15"/>
      <c r="MNT14" s="25"/>
      <c r="MOA14" s="21"/>
      <c r="MOB14" s="21"/>
      <c r="MOF14" s="15"/>
      <c r="MOL14" s="25"/>
      <c r="MOS14" s="21"/>
      <c r="MOT14" s="21"/>
      <c r="MOX14" s="15"/>
      <c r="MPD14" s="25"/>
      <c r="MPK14" s="21"/>
      <c r="MPL14" s="21"/>
      <c r="MPP14" s="15"/>
      <c r="MPV14" s="25"/>
      <c r="MQC14" s="21"/>
      <c r="MQD14" s="21"/>
      <c r="MQH14" s="15"/>
      <c r="MQN14" s="25"/>
      <c r="MQU14" s="21"/>
      <c r="MQV14" s="21"/>
      <c r="MQZ14" s="15"/>
      <c r="MRF14" s="25"/>
      <c r="MRM14" s="21"/>
      <c r="MRN14" s="21"/>
      <c r="MRR14" s="15"/>
      <c r="MRX14" s="25"/>
      <c r="MSE14" s="21"/>
      <c r="MSF14" s="21"/>
      <c r="MSJ14" s="15"/>
      <c r="MSP14" s="25"/>
      <c r="MSW14" s="21"/>
      <c r="MSX14" s="21"/>
      <c r="MTB14" s="15"/>
      <c r="MTH14" s="25"/>
      <c r="MTO14" s="21"/>
      <c r="MTP14" s="21"/>
      <c r="MTT14" s="15"/>
      <c r="MTZ14" s="25"/>
      <c r="MUG14" s="21"/>
      <c r="MUH14" s="21"/>
      <c r="MUL14" s="15"/>
      <c r="MUR14" s="25"/>
      <c r="MUY14" s="21"/>
      <c r="MUZ14" s="21"/>
      <c r="MVD14" s="15"/>
      <c r="MVJ14" s="25"/>
      <c r="MVQ14" s="21"/>
      <c r="MVR14" s="21"/>
      <c r="MVV14" s="15"/>
      <c r="MWB14" s="25"/>
      <c r="MWI14" s="21"/>
      <c r="MWJ14" s="21"/>
      <c r="MWN14" s="15"/>
      <c r="MWT14" s="25"/>
      <c r="MXA14" s="21"/>
      <c r="MXB14" s="21"/>
      <c r="MXF14" s="15"/>
      <c r="MXL14" s="25"/>
      <c r="MXS14" s="21"/>
      <c r="MXT14" s="21"/>
      <c r="MXX14" s="15"/>
      <c r="MYD14" s="25"/>
      <c r="MYK14" s="21"/>
      <c r="MYL14" s="21"/>
      <c r="MYP14" s="15"/>
      <c r="MYV14" s="25"/>
      <c r="MZC14" s="21"/>
      <c r="MZD14" s="21"/>
      <c r="MZH14" s="15"/>
      <c r="MZN14" s="25"/>
      <c r="MZU14" s="21"/>
      <c r="MZV14" s="21"/>
      <c r="MZZ14" s="15"/>
      <c r="NAF14" s="25"/>
      <c r="NAM14" s="21"/>
      <c r="NAN14" s="21"/>
      <c r="NAR14" s="15"/>
      <c r="NAX14" s="25"/>
      <c r="NBE14" s="21"/>
      <c r="NBF14" s="21"/>
      <c r="NBJ14" s="15"/>
      <c r="NBP14" s="25"/>
      <c r="NBW14" s="21"/>
      <c r="NBX14" s="21"/>
      <c r="NCB14" s="15"/>
      <c r="NCH14" s="25"/>
      <c r="NCO14" s="21"/>
      <c r="NCP14" s="21"/>
      <c r="NCT14" s="15"/>
      <c r="NCZ14" s="25"/>
      <c r="NDG14" s="21"/>
      <c r="NDH14" s="21"/>
      <c r="NDL14" s="15"/>
      <c r="NDR14" s="25"/>
      <c r="NDY14" s="21"/>
      <c r="NDZ14" s="21"/>
      <c r="NED14" s="15"/>
      <c r="NEJ14" s="25"/>
      <c r="NEQ14" s="21"/>
      <c r="NER14" s="21"/>
      <c r="NEV14" s="15"/>
      <c r="NFB14" s="25"/>
      <c r="NFI14" s="21"/>
      <c r="NFJ14" s="21"/>
      <c r="NFN14" s="15"/>
      <c r="NFT14" s="25"/>
      <c r="NGA14" s="21"/>
      <c r="NGB14" s="21"/>
      <c r="NGF14" s="15"/>
      <c r="NGL14" s="25"/>
      <c r="NGS14" s="21"/>
      <c r="NGT14" s="21"/>
      <c r="NGX14" s="15"/>
      <c r="NHD14" s="25"/>
      <c r="NHK14" s="21"/>
      <c r="NHL14" s="21"/>
      <c r="NHP14" s="15"/>
      <c r="NHV14" s="25"/>
      <c r="NIC14" s="21"/>
      <c r="NID14" s="21"/>
      <c r="NIH14" s="15"/>
      <c r="NIN14" s="25"/>
      <c r="NIU14" s="21"/>
      <c r="NIV14" s="21"/>
      <c r="NIZ14" s="15"/>
      <c r="NJF14" s="25"/>
      <c r="NJM14" s="21"/>
      <c r="NJN14" s="21"/>
      <c r="NJR14" s="15"/>
      <c r="NJX14" s="25"/>
      <c r="NKE14" s="21"/>
      <c r="NKF14" s="21"/>
      <c r="NKJ14" s="15"/>
      <c r="NKP14" s="25"/>
      <c r="NKW14" s="21"/>
      <c r="NKX14" s="21"/>
      <c r="NLB14" s="15"/>
      <c r="NLH14" s="25"/>
      <c r="NLO14" s="21"/>
      <c r="NLP14" s="21"/>
      <c r="NLT14" s="15"/>
      <c r="NLZ14" s="25"/>
      <c r="NMG14" s="21"/>
      <c r="NMH14" s="21"/>
      <c r="NML14" s="15"/>
      <c r="NMR14" s="25"/>
      <c r="NMY14" s="21"/>
      <c r="NMZ14" s="21"/>
      <c r="NND14" s="15"/>
      <c r="NNJ14" s="25"/>
      <c r="NNQ14" s="21"/>
      <c r="NNR14" s="21"/>
      <c r="NNV14" s="15"/>
      <c r="NOB14" s="25"/>
      <c r="NOI14" s="21"/>
      <c r="NOJ14" s="21"/>
      <c r="NON14" s="15"/>
      <c r="NOT14" s="25"/>
      <c r="NPA14" s="21"/>
      <c r="NPB14" s="21"/>
      <c r="NPF14" s="15"/>
      <c r="NPL14" s="25"/>
      <c r="NPS14" s="21"/>
      <c r="NPT14" s="21"/>
      <c r="NPX14" s="15"/>
      <c r="NQD14" s="25"/>
      <c r="NQK14" s="21"/>
      <c r="NQL14" s="21"/>
      <c r="NQP14" s="15"/>
      <c r="NQV14" s="25"/>
      <c r="NRC14" s="21"/>
      <c r="NRD14" s="21"/>
      <c r="NRH14" s="15"/>
      <c r="NRN14" s="25"/>
      <c r="NRU14" s="21"/>
      <c r="NRV14" s="21"/>
      <c r="NRZ14" s="15"/>
      <c r="NSF14" s="25"/>
      <c r="NSM14" s="21"/>
      <c r="NSN14" s="21"/>
      <c r="NSR14" s="15"/>
      <c r="NSX14" s="25"/>
      <c r="NTE14" s="21"/>
      <c r="NTF14" s="21"/>
      <c r="NTJ14" s="15"/>
      <c r="NTP14" s="25"/>
      <c r="NTW14" s="21"/>
      <c r="NTX14" s="21"/>
      <c r="NUB14" s="15"/>
      <c r="NUH14" s="25"/>
      <c r="NUO14" s="21"/>
      <c r="NUP14" s="21"/>
      <c r="NUT14" s="15"/>
      <c r="NUZ14" s="25"/>
      <c r="NVG14" s="21"/>
      <c r="NVH14" s="21"/>
      <c r="NVL14" s="15"/>
      <c r="NVR14" s="25"/>
      <c r="NVY14" s="21"/>
      <c r="NVZ14" s="21"/>
      <c r="NWD14" s="15"/>
      <c r="NWJ14" s="25"/>
      <c r="NWQ14" s="21"/>
      <c r="NWR14" s="21"/>
      <c r="NWV14" s="15"/>
      <c r="NXB14" s="25"/>
      <c r="NXI14" s="21"/>
      <c r="NXJ14" s="21"/>
      <c r="NXN14" s="15"/>
      <c r="NXT14" s="25"/>
      <c r="NYA14" s="21"/>
      <c r="NYB14" s="21"/>
      <c r="NYF14" s="15"/>
      <c r="NYL14" s="25"/>
      <c r="NYS14" s="21"/>
      <c r="NYT14" s="21"/>
      <c r="NYX14" s="15"/>
      <c r="NZD14" s="25"/>
      <c r="NZK14" s="21"/>
      <c r="NZL14" s="21"/>
      <c r="NZP14" s="15"/>
      <c r="NZV14" s="25"/>
      <c r="OAC14" s="21"/>
      <c r="OAD14" s="21"/>
      <c r="OAH14" s="15"/>
      <c r="OAN14" s="25"/>
      <c r="OAU14" s="21"/>
      <c r="OAV14" s="21"/>
      <c r="OAZ14" s="15"/>
      <c r="OBF14" s="25"/>
      <c r="OBM14" s="21"/>
      <c r="OBN14" s="21"/>
      <c r="OBR14" s="15"/>
      <c r="OBX14" s="25"/>
      <c r="OCE14" s="21"/>
      <c r="OCF14" s="21"/>
      <c r="OCJ14" s="15"/>
      <c r="OCP14" s="25"/>
      <c r="OCW14" s="21"/>
      <c r="OCX14" s="21"/>
      <c r="ODB14" s="15"/>
      <c r="ODH14" s="25"/>
      <c r="ODO14" s="21"/>
      <c r="ODP14" s="21"/>
      <c r="ODT14" s="15"/>
      <c r="ODZ14" s="25"/>
      <c r="OEG14" s="21"/>
      <c r="OEH14" s="21"/>
      <c r="OEL14" s="15"/>
      <c r="OER14" s="25"/>
      <c r="OEY14" s="21"/>
      <c r="OEZ14" s="21"/>
      <c r="OFD14" s="15"/>
      <c r="OFJ14" s="25"/>
      <c r="OFQ14" s="21"/>
      <c r="OFR14" s="21"/>
      <c r="OFV14" s="15"/>
      <c r="OGB14" s="25"/>
      <c r="OGI14" s="21"/>
      <c r="OGJ14" s="21"/>
      <c r="OGN14" s="15"/>
      <c r="OGT14" s="25"/>
      <c r="OHA14" s="21"/>
      <c r="OHB14" s="21"/>
      <c r="OHF14" s="15"/>
      <c r="OHL14" s="25"/>
      <c r="OHS14" s="21"/>
      <c r="OHT14" s="21"/>
      <c r="OHX14" s="15"/>
      <c r="OID14" s="25"/>
      <c r="OIK14" s="21"/>
      <c r="OIL14" s="21"/>
      <c r="OIP14" s="15"/>
      <c r="OIV14" s="25"/>
      <c r="OJC14" s="21"/>
      <c r="OJD14" s="21"/>
      <c r="OJH14" s="15"/>
      <c r="OJN14" s="25"/>
      <c r="OJU14" s="21"/>
      <c r="OJV14" s="21"/>
      <c r="OJZ14" s="15"/>
      <c r="OKF14" s="25"/>
      <c r="OKM14" s="21"/>
      <c r="OKN14" s="21"/>
      <c r="OKR14" s="15"/>
      <c r="OKX14" s="25"/>
      <c r="OLE14" s="21"/>
      <c r="OLF14" s="21"/>
      <c r="OLJ14" s="15"/>
      <c r="OLP14" s="25"/>
      <c r="OLW14" s="21"/>
      <c r="OLX14" s="21"/>
      <c r="OMB14" s="15"/>
      <c r="OMH14" s="25"/>
      <c r="OMO14" s="21"/>
      <c r="OMP14" s="21"/>
      <c r="OMT14" s="15"/>
      <c r="OMZ14" s="25"/>
      <c r="ONG14" s="21"/>
      <c r="ONH14" s="21"/>
      <c r="ONL14" s="15"/>
      <c r="ONR14" s="25"/>
      <c r="ONY14" s="21"/>
      <c r="ONZ14" s="21"/>
      <c r="OOD14" s="15"/>
      <c r="OOJ14" s="25"/>
      <c r="OOQ14" s="21"/>
      <c r="OOR14" s="21"/>
      <c r="OOV14" s="15"/>
      <c r="OPB14" s="25"/>
      <c r="OPI14" s="21"/>
      <c r="OPJ14" s="21"/>
      <c r="OPN14" s="15"/>
      <c r="OPT14" s="25"/>
      <c r="OQA14" s="21"/>
      <c r="OQB14" s="21"/>
      <c r="OQF14" s="15"/>
      <c r="OQL14" s="25"/>
      <c r="OQS14" s="21"/>
      <c r="OQT14" s="21"/>
      <c r="OQX14" s="15"/>
      <c r="ORD14" s="25"/>
      <c r="ORK14" s="21"/>
      <c r="ORL14" s="21"/>
      <c r="ORP14" s="15"/>
      <c r="ORV14" s="25"/>
      <c r="OSC14" s="21"/>
      <c r="OSD14" s="21"/>
      <c r="OSH14" s="15"/>
      <c r="OSN14" s="25"/>
      <c r="OSU14" s="21"/>
      <c r="OSV14" s="21"/>
      <c r="OSZ14" s="15"/>
      <c r="OTF14" s="25"/>
      <c r="OTM14" s="21"/>
      <c r="OTN14" s="21"/>
      <c r="OTR14" s="15"/>
      <c r="OTX14" s="25"/>
      <c r="OUE14" s="21"/>
      <c r="OUF14" s="21"/>
      <c r="OUJ14" s="15"/>
      <c r="OUP14" s="25"/>
      <c r="OUW14" s="21"/>
      <c r="OUX14" s="21"/>
      <c r="OVB14" s="15"/>
      <c r="OVH14" s="25"/>
      <c r="OVO14" s="21"/>
      <c r="OVP14" s="21"/>
      <c r="OVT14" s="15"/>
      <c r="OVZ14" s="25"/>
      <c r="OWG14" s="21"/>
      <c r="OWH14" s="21"/>
      <c r="OWL14" s="15"/>
      <c r="OWR14" s="25"/>
      <c r="OWY14" s="21"/>
      <c r="OWZ14" s="21"/>
      <c r="OXD14" s="15"/>
      <c r="OXJ14" s="25"/>
      <c r="OXQ14" s="21"/>
      <c r="OXR14" s="21"/>
      <c r="OXV14" s="15"/>
      <c r="OYB14" s="25"/>
      <c r="OYI14" s="21"/>
      <c r="OYJ14" s="21"/>
      <c r="OYN14" s="15"/>
      <c r="OYT14" s="25"/>
      <c r="OZA14" s="21"/>
      <c r="OZB14" s="21"/>
      <c r="OZF14" s="15"/>
      <c r="OZL14" s="25"/>
      <c r="OZS14" s="21"/>
      <c r="OZT14" s="21"/>
      <c r="OZX14" s="15"/>
      <c r="PAD14" s="25"/>
      <c r="PAK14" s="21"/>
      <c r="PAL14" s="21"/>
      <c r="PAP14" s="15"/>
      <c r="PAV14" s="25"/>
      <c r="PBC14" s="21"/>
      <c r="PBD14" s="21"/>
      <c r="PBH14" s="15"/>
      <c r="PBN14" s="25"/>
      <c r="PBU14" s="21"/>
      <c r="PBV14" s="21"/>
      <c r="PBZ14" s="15"/>
      <c r="PCF14" s="25"/>
      <c r="PCM14" s="21"/>
      <c r="PCN14" s="21"/>
      <c r="PCR14" s="15"/>
      <c r="PCX14" s="25"/>
      <c r="PDE14" s="21"/>
      <c r="PDF14" s="21"/>
      <c r="PDJ14" s="15"/>
      <c r="PDP14" s="25"/>
      <c r="PDW14" s="21"/>
      <c r="PDX14" s="21"/>
      <c r="PEB14" s="15"/>
      <c r="PEH14" s="25"/>
      <c r="PEO14" s="21"/>
      <c r="PEP14" s="21"/>
      <c r="PET14" s="15"/>
      <c r="PEZ14" s="25"/>
      <c r="PFG14" s="21"/>
      <c r="PFH14" s="21"/>
      <c r="PFL14" s="15"/>
      <c r="PFR14" s="25"/>
      <c r="PFY14" s="21"/>
      <c r="PFZ14" s="21"/>
      <c r="PGD14" s="15"/>
      <c r="PGJ14" s="25"/>
      <c r="PGQ14" s="21"/>
      <c r="PGR14" s="21"/>
      <c r="PGV14" s="15"/>
      <c r="PHB14" s="25"/>
      <c r="PHI14" s="21"/>
      <c r="PHJ14" s="21"/>
      <c r="PHN14" s="15"/>
      <c r="PHT14" s="25"/>
      <c r="PIA14" s="21"/>
      <c r="PIB14" s="21"/>
      <c r="PIF14" s="15"/>
      <c r="PIL14" s="25"/>
      <c r="PIS14" s="21"/>
      <c r="PIT14" s="21"/>
      <c r="PIX14" s="15"/>
      <c r="PJD14" s="25"/>
      <c r="PJK14" s="21"/>
      <c r="PJL14" s="21"/>
      <c r="PJP14" s="15"/>
      <c r="PJV14" s="25"/>
      <c r="PKC14" s="21"/>
      <c r="PKD14" s="21"/>
      <c r="PKH14" s="15"/>
      <c r="PKN14" s="25"/>
      <c r="PKU14" s="21"/>
      <c r="PKV14" s="21"/>
      <c r="PKZ14" s="15"/>
      <c r="PLF14" s="25"/>
      <c r="PLM14" s="21"/>
      <c r="PLN14" s="21"/>
      <c r="PLR14" s="15"/>
      <c r="PLX14" s="25"/>
      <c r="PME14" s="21"/>
      <c r="PMF14" s="21"/>
      <c r="PMJ14" s="15"/>
      <c r="PMP14" s="25"/>
      <c r="PMW14" s="21"/>
      <c r="PMX14" s="21"/>
      <c r="PNB14" s="15"/>
      <c r="PNH14" s="25"/>
      <c r="PNO14" s="21"/>
      <c r="PNP14" s="21"/>
      <c r="PNT14" s="15"/>
      <c r="PNZ14" s="25"/>
      <c r="POG14" s="21"/>
      <c r="POH14" s="21"/>
      <c r="POL14" s="15"/>
      <c r="POR14" s="25"/>
      <c r="POY14" s="21"/>
      <c r="POZ14" s="21"/>
      <c r="PPD14" s="15"/>
      <c r="PPJ14" s="25"/>
      <c r="PPQ14" s="21"/>
      <c r="PPR14" s="21"/>
      <c r="PPV14" s="15"/>
      <c r="PQB14" s="25"/>
      <c r="PQI14" s="21"/>
      <c r="PQJ14" s="21"/>
      <c r="PQN14" s="15"/>
      <c r="PQT14" s="25"/>
      <c r="PRA14" s="21"/>
      <c r="PRB14" s="21"/>
      <c r="PRF14" s="15"/>
      <c r="PRL14" s="25"/>
      <c r="PRS14" s="21"/>
      <c r="PRT14" s="21"/>
      <c r="PRX14" s="15"/>
      <c r="PSD14" s="25"/>
      <c r="PSK14" s="21"/>
      <c r="PSL14" s="21"/>
      <c r="PSP14" s="15"/>
      <c r="PSV14" s="25"/>
      <c r="PTC14" s="21"/>
      <c r="PTD14" s="21"/>
      <c r="PTH14" s="15"/>
      <c r="PTN14" s="25"/>
      <c r="PTU14" s="21"/>
      <c r="PTV14" s="21"/>
      <c r="PTZ14" s="15"/>
      <c r="PUF14" s="25"/>
      <c r="PUM14" s="21"/>
      <c r="PUN14" s="21"/>
      <c r="PUR14" s="15"/>
      <c r="PUX14" s="25"/>
      <c r="PVE14" s="21"/>
      <c r="PVF14" s="21"/>
      <c r="PVJ14" s="15"/>
      <c r="PVP14" s="25"/>
      <c r="PVW14" s="21"/>
      <c r="PVX14" s="21"/>
      <c r="PWB14" s="15"/>
      <c r="PWH14" s="25"/>
      <c r="PWO14" s="21"/>
      <c r="PWP14" s="21"/>
      <c r="PWT14" s="15"/>
      <c r="PWZ14" s="25"/>
      <c r="PXG14" s="21"/>
      <c r="PXH14" s="21"/>
      <c r="PXL14" s="15"/>
      <c r="PXR14" s="25"/>
      <c r="PXY14" s="21"/>
      <c r="PXZ14" s="21"/>
      <c r="PYD14" s="15"/>
      <c r="PYJ14" s="25"/>
      <c r="PYQ14" s="21"/>
      <c r="PYR14" s="21"/>
      <c r="PYV14" s="15"/>
      <c r="PZB14" s="25"/>
      <c r="PZI14" s="21"/>
      <c r="PZJ14" s="21"/>
      <c r="PZN14" s="15"/>
      <c r="PZT14" s="25"/>
      <c r="QAA14" s="21"/>
      <c r="QAB14" s="21"/>
      <c r="QAF14" s="15"/>
      <c r="QAL14" s="25"/>
      <c r="QAS14" s="21"/>
      <c r="QAT14" s="21"/>
      <c r="QAX14" s="15"/>
      <c r="QBD14" s="25"/>
      <c r="QBK14" s="21"/>
      <c r="QBL14" s="21"/>
      <c r="QBP14" s="15"/>
      <c r="QBV14" s="25"/>
      <c r="QCC14" s="21"/>
      <c r="QCD14" s="21"/>
      <c r="QCH14" s="15"/>
      <c r="QCN14" s="25"/>
      <c r="QCU14" s="21"/>
      <c r="QCV14" s="21"/>
      <c r="QCZ14" s="15"/>
      <c r="QDF14" s="25"/>
      <c r="QDM14" s="21"/>
      <c r="QDN14" s="21"/>
      <c r="QDR14" s="15"/>
      <c r="QDX14" s="25"/>
      <c r="QEE14" s="21"/>
      <c r="QEF14" s="21"/>
      <c r="QEJ14" s="15"/>
      <c r="QEP14" s="25"/>
      <c r="QEW14" s="21"/>
      <c r="QEX14" s="21"/>
      <c r="QFB14" s="15"/>
      <c r="QFH14" s="25"/>
      <c r="QFO14" s="21"/>
      <c r="QFP14" s="21"/>
      <c r="QFT14" s="15"/>
      <c r="QFZ14" s="25"/>
      <c r="QGG14" s="21"/>
      <c r="QGH14" s="21"/>
      <c r="QGL14" s="15"/>
      <c r="QGR14" s="25"/>
      <c r="QGY14" s="21"/>
      <c r="QGZ14" s="21"/>
      <c r="QHD14" s="15"/>
      <c r="QHJ14" s="25"/>
      <c r="QHQ14" s="21"/>
      <c r="QHR14" s="21"/>
      <c r="QHV14" s="15"/>
      <c r="QIB14" s="25"/>
      <c r="QII14" s="21"/>
      <c r="QIJ14" s="21"/>
      <c r="QIN14" s="15"/>
      <c r="QIT14" s="25"/>
      <c r="QJA14" s="21"/>
      <c r="QJB14" s="21"/>
      <c r="QJF14" s="15"/>
      <c r="QJL14" s="25"/>
      <c r="QJS14" s="21"/>
      <c r="QJT14" s="21"/>
      <c r="QJX14" s="15"/>
      <c r="QKD14" s="25"/>
      <c r="QKK14" s="21"/>
      <c r="QKL14" s="21"/>
      <c r="QKP14" s="15"/>
      <c r="QKV14" s="25"/>
      <c r="QLC14" s="21"/>
      <c r="QLD14" s="21"/>
      <c r="QLH14" s="15"/>
      <c r="QLN14" s="25"/>
      <c r="QLU14" s="21"/>
      <c r="QLV14" s="21"/>
      <c r="QLZ14" s="15"/>
      <c r="QMF14" s="25"/>
      <c r="QMM14" s="21"/>
      <c r="QMN14" s="21"/>
      <c r="QMR14" s="15"/>
      <c r="QMX14" s="25"/>
      <c r="QNE14" s="21"/>
      <c r="QNF14" s="21"/>
      <c r="QNJ14" s="15"/>
      <c r="QNP14" s="25"/>
      <c r="QNW14" s="21"/>
      <c r="QNX14" s="21"/>
      <c r="QOB14" s="15"/>
      <c r="QOH14" s="25"/>
      <c r="QOO14" s="21"/>
      <c r="QOP14" s="21"/>
      <c r="QOT14" s="15"/>
      <c r="QOZ14" s="25"/>
      <c r="QPG14" s="21"/>
      <c r="QPH14" s="21"/>
      <c r="QPL14" s="15"/>
      <c r="QPR14" s="25"/>
      <c r="QPY14" s="21"/>
      <c r="QPZ14" s="21"/>
      <c r="QQD14" s="15"/>
      <c r="QQJ14" s="25"/>
      <c r="QQQ14" s="21"/>
      <c r="QQR14" s="21"/>
      <c r="QQV14" s="15"/>
      <c r="QRB14" s="25"/>
      <c r="QRI14" s="21"/>
      <c r="QRJ14" s="21"/>
      <c r="QRN14" s="15"/>
      <c r="QRT14" s="25"/>
      <c r="QSA14" s="21"/>
      <c r="QSB14" s="21"/>
      <c r="QSF14" s="15"/>
      <c r="QSL14" s="25"/>
      <c r="QSS14" s="21"/>
      <c r="QST14" s="21"/>
      <c r="QSX14" s="15"/>
      <c r="QTD14" s="25"/>
      <c r="QTK14" s="21"/>
      <c r="QTL14" s="21"/>
      <c r="QTP14" s="15"/>
      <c r="QTV14" s="25"/>
      <c r="QUC14" s="21"/>
      <c r="QUD14" s="21"/>
      <c r="QUH14" s="15"/>
      <c r="QUN14" s="25"/>
      <c r="QUU14" s="21"/>
      <c r="QUV14" s="21"/>
      <c r="QUZ14" s="15"/>
      <c r="QVF14" s="25"/>
      <c r="QVM14" s="21"/>
      <c r="QVN14" s="21"/>
      <c r="QVR14" s="15"/>
      <c r="QVX14" s="25"/>
      <c r="QWE14" s="21"/>
      <c r="QWF14" s="21"/>
      <c r="QWJ14" s="15"/>
      <c r="QWP14" s="25"/>
      <c r="QWW14" s="21"/>
      <c r="QWX14" s="21"/>
      <c r="QXB14" s="15"/>
      <c r="QXH14" s="25"/>
      <c r="QXO14" s="21"/>
      <c r="QXP14" s="21"/>
      <c r="QXT14" s="15"/>
      <c r="QXZ14" s="25"/>
      <c r="QYG14" s="21"/>
      <c r="QYH14" s="21"/>
      <c r="QYL14" s="15"/>
      <c r="QYR14" s="25"/>
      <c r="QYY14" s="21"/>
      <c r="QYZ14" s="21"/>
      <c r="QZD14" s="15"/>
      <c r="QZJ14" s="25"/>
      <c r="QZQ14" s="21"/>
      <c r="QZR14" s="21"/>
      <c r="QZV14" s="15"/>
      <c r="RAB14" s="25"/>
      <c r="RAI14" s="21"/>
      <c r="RAJ14" s="21"/>
      <c r="RAN14" s="15"/>
      <c r="RAT14" s="25"/>
      <c r="RBA14" s="21"/>
      <c r="RBB14" s="21"/>
      <c r="RBF14" s="15"/>
      <c r="RBL14" s="25"/>
      <c r="RBS14" s="21"/>
      <c r="RBT14" s="21"/>
      <c r="RBX14" s="15"/>
      <c r="RCD14" s="25"/>
      <c r="RCK14" s="21"/>
      <c r="RCL14" s="21"/>
      <c r="RCP14" s="15"/>
      <c r="RCV14" s="25"/>
      <c r="RDC14" s="21"/>
      <c r="RDD14" s="21"/>
      <c r="RDH14" s="15"/>
      <c r="RDN14" s="25"/>
      <c r="RDU14" s="21"/>
      <c r="RDV14" s="21"/>
      <c r="RDZ14" s="15"/>
      <c r="REF14" s="25"/>
      <c r="REM14" s="21"/>
      <c r="REN14" s="21"/>
      <c r="RER14" s="15"/>
      <c r="REX14" s="25"/>
      <c r="RFE14" s="21"/>
      <c r="RFF14" s="21"/>
      <c r="RFJ14" s="15"/>
      <c r="RFP14" s="25"/>
      <c r="RFW14" s="21"/>
      <c r="RFX14" s="21"/>
      <c r="RGB14" s="15"/>
      <c r="RGH14" s="25"/>
      <c r="RGO14" s="21"/>
      <c r="RGP14" s="21"/>
      <c r="RGT14" s="15"/>
      <c r="RGZ14" s="25"/>
      <c r="RHG14" s="21"/>
      <c r="RHH14" s="21"/>
      <c r="RHL14" s="15"/>
      <c r="RHR14" s="25"/>
      <c r="RHY14" s="21"/>
      <c r="RHZ14" s="21"/>
      <c r="RID14" s="15"/>
      <c r="RIJ14" s="25"/>
      <c r="RIQ14" s="21"/>
      <c r="RIR14" s="21"/>
      <c r="RIV14" s="15"/>
      <c r="RJB14" s="25"/>
      <c r="RJI14" s="21"/>
      <c r="RJJ14" s="21"/>
      <c r="RJN14" s="15"/>
      <c r="RJT14" s="25"/>
      <c r="RKA14" s="21"/>
      <c r="RKB14" s="21"/>
      <c r="RKF14" s="15"/>
      <c r="RKL14" s="25"/>
      <c r="RKS14" s="21"/>
      <c r="RKT14" s="21"/>
      <c r="RKX14" s="15"/>
      <c r="RLD14" s="25"/>
      <c r="RLK14" s="21"/>
      <c r="RLL14" s="21"/>
      <c r="RLP14" s="15"/>
      <c r="RLV14" s="25"/>
      <c r="RMC14" s="21"/>
      <c r="RMD14" s="21"/>
      <c r="RMH14" s="15"/>
      <c r="RMN14" s="25"/>
      <c r="RMU14" s="21"/>
      <c r="RMV14" s="21"/>
      <c r="RMZ14" s="15"/>
      <c r="RNF14" s="25"/>
      <c r="RNM14" s="21"/>
      <c r="RNN14" s="21"/>
      <c r="RNR14" s="15"/>
      <c r="RNX14" s="25"/>
      <c r="ROE14" s="21"/>
      <c r="ROF14" s="21"/>
      <c r="ROJ14" s="15"/>
      <c r="ROP14" s="25"/>
      <c r="ROW14" s="21"/>
      <c r="ROX14" s="21"/>
      <c r="RPB14" s="15"/>
      <c r="RPH14" s="25"/>
      <c r="RPO14" s="21"/>
      <c r="RPP14" s="21"/>
      <c r="RPT14" s="15"/>
      <c r="RPZ14" s="25"/>
      <c r="RQG14" s="21"/>
      <c r="RQH14" s="21"/>
      <c r="RQL14" s="15"/>
      <c r="RQR14" s="25"/>
      <c r="RQY14" s="21"/>
      <c r="RQZ14" s="21"/>
      <c r="RRD14" s="15"/>
      <c r="RRJ14" s="25"/>
      <c r="RRQ14" s="21"/>
      <c r="RRR14" s="21"/>
      <c r="RRV14" s="15"/>
      <c r="RSB14" s="25"/>
      <c r="RSI14" s="21"/>
      <c r="RSJ14" s="21"/>
      <c r="RSN14" s="15"/>
      <c r="RST14" s="25"/>
      <c r="RTA14" s="21"/>
      <c r="RTB14" s="21"/>
      <c r="RTF14" s="15"/>
      <c r="RTL14" s="25"/>
      <c r="RTS14" s="21"/>
      <c r="RTT14" s="21"/>
      <c r="RTX14" s="15"/>
      <c r="RUD14" s="25"/>
      <c r="RUK14" s="21"/>
      <c r="RUL14" s="21"/>
      <c r="RUP14" s="15"/>
      <c r="RUV14" s="25"/>
      <c r="RVC14" s="21"/>
      <c r="RVD14" s="21"/>
      <c r="RVH14" s="15"/>
      <c r="RVN14" s="25"/>
      <c r="RVU14" s="21"/>
      <c r="RVV14" s="21"/>
      <c r="RVZ14" s="15"/>
      <c r="RWF14" s="25"/>
      <c r="RWM14" s="21"/>
      <c r="RWN14" s="21"/>
      <c r="RWR14" s="15"/>
      <c r="RWX14" s="25"/>
      <c r="RXE14" s="21"/>
      <c r="RXF14" s="21"/>
      <c r="RXJ14" s="15"/>
      <c r="RXP14" s="25"/>
      <c r="RXW14" s="21"/>
      <c r="RXX14" s="21"/>
      <c r="RYB14" s="15"/>
      <c r="RYH14" s="25"/>
      <c r="RYO14" s="21"/>
      <c r="RYP14" s="21"/>
      <c r="RYT14" s="15"/>
      <c r="RYZ14" s="25"/>
      <c r="RZG14" s="21"/>
      <c r="RZH14" s="21"/>
      <c r="RZL14" s="15"/>
      <c r="RZR14" s="25"/>
      <c r="RZY14" s="21"/>
      <c r="RZZ14" s="21"/>
      <c r="SAD14" s="15"/>
      <c r="SAJ14" s="25"/>
      <c r="SAQ14" s="21"/>
      <c r="SAR14" s="21"/>
      <c r="SAV14" s="15"/>
      <c r="SBB14" s="25"/>
      <c r="SBI14" s="21"/>
      <c r="SBJ14" s="21"/>
      <c r="SBN14" s="15"/>
      <c r="SBT14" s="25"/>
      <c r="SCA14" s="21"/>
      <c r="SCB14" s="21"/>
      <c r="SCF14" s="15"/>
      <c r="SCL14" s="25"/>
      <c r="SCS14" s="21"/>
      <c r="SCT14" s="21"/>
      <c r="SCX14" s="15"/>
      <c r="SDD14" s="25"/>
      <c r="SDK14" s="21"/>
      <c r="SDL14" s="21"/>
      <c r="SDP14" s="15"/>
      <c r="SDV14" s="25"/>
      <c r="SEC14" s="21"/>
      <c r="SED14" s="21"/>
      <c r="SEH14" s="15"/>
      <c r="SEN14" s="25"/>
      <c r="SEU14" s="21"/>
      <c r="SEV14" s="21"/>
      <c r="SEZ14" s="15"/>
      <c r="SFF14" s="25"/>
      <c r="SFM14" s="21"/>
      <c r="SFN14" s="21"/>
      <c r="SFR14" s="15"/>
      <c r="SFX14" s="25"/>
      <c r="SGE14" s="21"/>
      <c r="SGF14" s="21"/>
      <c r="SGJ14" s="15"/>
      <c r="SGP14" s="25"/>
      <c r="SGW14" s="21"/>
      <c r="SGX14" s="21"/>
      <c r="SHB14" s="15"/>
      <c r="SHH14" s="25"/>
      <c r="SHO14" s="21"/>
      <c r="SHP14" s="21"/>
      <c r="SHT14" s="15"/>
      <c r="SHZ14" s="25"/>
      <c r="SIG14" s="21"/>
      <c r="SIH14" s="21"/>
      <c r="SIL14" s="15"/>
      <c r="SIR14" s="25"/>
      <c r="SIY14" s="21"/>
      <c r="SIZ14" s="21"/>
      <c r="SJD14" s="15"/>
      <c r="SJJ14" s="25"/>
      <c r="SJQ14" s="21"/>
      <c r="SJR14" s="21"/>
      <c r="SJV14" s="15"/>
      <c r="SKB14" s="25"/>
      <c r="SKI14" s="21"/>
      <c r="SKJ14" s="21"/>
      <c r="SKN14" s="15"/>
      <c r="SKT14" s="25"/>
      <c r="SLA14" s="21"/>
      <c r="SLB14" s="21"/>
      <c r="SLF14" s="15"/>
      <c r="SLL14" s="25"/>
      <c r="SLS14" s="21"/>
      <c r="SLT14" s="21"/>
      <c r="SLX14" s="15"/>
      <c r="SMD14" s="25"/>
      <c r="SMK14" s="21"/>
      <c r="SML14" s="21"/>
      <c r="SMP14" s="15"/>
      <c r="SMV14" s="25"/>
      <c r="SNC14" s="21"/>
      <c r="SND14" s="21"/>
      <c r="SNH14" s="15"/>
      <c r="SNN14" s="25"/>
      <c r="SNU14" s="21"/>
      <c r="SNV14" s="21"/>
      <c r="SNZ14" s="15"/>
      <c r="SOF14" s="25"/>
      <c r="SOM14" s="21"/>
      <c r="SON14" s="21"/>
      <c r="SOR14" s="15"/>
      <c r="SOX14" s="25"/>
      <c r="SPE14" s="21"/>
      <c r="SPF14" s="21"/>
      <c r="SPJ14" s="15"/>
      <c r="SPP14" s="25"/>
      <c r="SPW14" s="21"/>
      <c r="SPX14" s="21"/>
      <c r="SQB14" s="15"/>
      <c r="SQH14" s="25"/>
      <c r="SQO14" s="21"/>
      <c r="SQP14" s="21"/>
      <c r="SQT14" s="15"/>
      <c r="SQZ14" s="25"/>
      <c r="SRG14" s="21"/>
      <c r="SRH14" s="21"/>
      <c r="SRL14" s="15"/>
      <c r="SRR14" s="25"/>
      <c r="SRY14" s="21"/>
      <c r="SRZ14" s="21"/>
      <c r="SSD14" s="15"/>
      <c r="SSJ14" s="25"/>
      <c r="SSQ14" s="21"/>
      <c r="SSR14" s="21"/>
      <c r="SSV14" s="15"/>
      <c r="STB14" s="25"/>
      <c r="STI14" s="21"/>
      <c r="STJ14" s="21"/>
      <c r="STN14" s="15"/>
      <c r="STT14" s="25"/>
      <c r="SUA14" s="21"/>
      <c r="SUB14" s="21"/>
      <c r="SUF14" s="15"/>
      <c r="SUL14" s="25"/>
      <c r="SUS14" s="21"/>
      <c r="SUT14" s="21"/>
      <c r="SUX14" s="15"/>
      <c r="SVD14" s="25"/>
      <c r="SVK14" s="21"/>
      <c r="SVL14" s="21"/>
      <c r="SVP14" s="15"/>
      <c r="SVV14" s="25"/>
      <c r="SWC14" s="21"/>
      <c r="SWD14" s="21"/>
      <c r="SWH14" s="15"/>
      <c r="SWN14" s="25"/>
      <c r="SWU14" s="21"/>
      <c r="SWV14" s="21"/>
      <c r="SWZ14" s="15"/>
      <c r="SXF14" s="25"/>
      <c r="SXM14" s="21"/>
      <c r="SXN14" s="21"/>
      <c r="SXR14" s="15"/>
      <c r="SXX14" s="25"/>
      <c r="SYE14" s="21"/>
      <c r="SYF14" s="21"/>
      <c r="SYJ14" s="15"/>
      <c r="SYP14" s="25"/>
      <c r="SYW14" s="21"/>
      <c r="SYX14" s="21"/>
      <c r="SZB14" s="15"/>
      <c r="SZH14" s="25"/>
      <c r="SZO14" s="21"/>
      <c r="SZP14" s="21"/>
      <c r="SZT14" s="15"/>
      <c r="SZZ14" s="25"/>
      <c r="TAG14" s="21"/>
      <c r="TAH14" s="21"/>
      <c r="TAL14" s="15"/>
      <c r="TAR14" s="25"/>
      <c r="TAY14" s="21"/>
      <c r="TAZ14" s="21"/>
      <c r="TBD14" s="15"/>
      <c r="TBJ14" s="25"/>
      <c r="TBQ14" s="21"/>
      <c r="TBR14" s="21"/>
      <c r="TBV14" s="15"/>
      <c r="TCB14" s="25"/>
      <c r="TCI14" s="21"/>
      <c r="TCJ14" s="21"/>
      <c r="TCN14" s="15"/>
      <c r="TCT14" s="25"/>
      <c r="TDA14" s="21"/>
      <c r="TDB14" s="21"/>
      <c r="TDF14" s="15"/>
      <c r="TDL14" s="25"/>
      <c r="TDS14" s="21"/>
      <c r="TDT14" s="21"/>
      <c r="TDX14" s="15"/>
      <c r="TED14" s="25"/>
      <c r="TEK14" s="21"/>
      <c r="TEL14" s="21"/>
      <c r="TEP14" s="15"/>
      <c r="TEV14" s="25"/>
      <c r="TFC14" s="21"/>
      <c r="TFD14" s="21"/>
      <c r="TFH14" s="15"/>
      <c r="TFN14" s="25"/>
      <c r="TFU14" s="21"/>
      <c r="TFV14" s="21"/>
      <c r="TFZ14" s="15"/>
      <c r="TGF14" s="25"/>
      <c r="TGM14" s="21"/>
      <c r="TGN14" s="21"/>
      <c r="TGR14" s="15"/>
      <c r="TGX14" s="25"/>
      <c r="THE14" s="21"/>
      <c r="THF14" s="21"/>
      <c r="THJ14" s="15"/>
      <c r="THP14" s="25"/>
      <c r="THW14" s="21"/>
      <c r="THX14" s="21"/>
      <c r="TIB14" s="15"/>
      <c r="TIH14" s="25"/>
      <c r="TIO14" s="21"/>
      <c r="TIP14" s="21"/>
      <c r="TIT14" s="15"/>
      <c r="TIZ14" s="25"/>
      <c r="TJG14" s="21"/>
      <c r="TJH14" s="21"/>
      <c r="TJL14" s="15"/>
      <c r="TJR14" s="25"/>
      <c r="TJY14" s="21"/>
      <c r="TJZ14" s="21"/>
      <c r="TKD14" s="15"/>
      <c r="TKJ14" s="25"/>
      <c r="TKQ14" s="21"/>
      <c r="TKR14" s="21"/>
      <c r="TKV14" s="15"/>
      <c r="TLB14" s="25"/>
      <c r="TLI14" s="21"/>
      <c r="TLJ14" s="21"/>
      <c r="TLN14" s="15"/>
      <c r="TLT14" s="25"/>
      <c r="TMA14" s="21"/>
      <c r="TMB14" s="21"/>
      <c r="TMF14" s="15"/>
      <c r="TML14" s="25"/>
      <c r="TMS14" s="21"/>
      <c r="TMT14" s="21"/>
      <c r="TMX14" s="15"/>
      <c r="TND14" s="25"/>
      <c r="TNK14" s="21"/>
      <c r="TNL14" s="21"/>
      <c r="TNP14" s="15"/>
      <c r="TNV14" s="25"/>
      <c r="TOC14" s="21"/>
      <c r="TOD14" s="21"/>
      <c r="TOH14" s="15"/>
      <c r="TON14" s="25"/>
      <c r="TOU14" s="21"/>
      <c r="TOV14" s="21"/>
      <c r="TOZ14" s="15"/>
      <c r="TPF14" s="25"/>
      <c r="TPM14" s="21"/>
      <c r="TPN14" s="21"/>
      <c r="TPR14" s="15"/>
      <c r="TPX14" s="25"/>
      <c r="TQE14" s="21"/>
      <c r="TQF14" s="21"/>
      <c r="TQJ14" s="15"/>
      <c r="TQP14" s="25"/>
      <c r="TQW14" s="21"/>
      <c r="TQX14" s="21"/>
      <c r="TRB14" s="15"/>
      <c r="TRH14" s="25"/>
      <c r="TRO14" s="21"/>
      <c r="TRP14" s="21"/>
      <c r="TRT14" s="15"/>
      <c r="TRZ14" s="25"/>
      <c r="TSG14" s="21"/>
      <c r="TSH14" s="21"/>
      <c r="TSL14" s="15"/>
      <c r="TSR14" s="25"/>
      <c r="TSY14" s="21"/>
      <c r="TSZ14" s="21"/>
      <c r="TTD14" s="15"/>
      <c r="TTJ14" s="25"/>
      <c r="TTQ14" s="21"/>
      <c r="TTR14" s="21"/>
      <c r="TTV14" s="15"/>
      <c r="TUB14" s="25"/>
      <c r="TUI14" s="21"/>
      <c r="TUJ14" s="21"/>
      <c r="TUN14" s="15"/>
      <c r="TUT14" s="25"/>
      <c r="TVA14" s="21"/>
      <c r="TVB14" s="21"/>
      <c r="TVF14" s="15"/>
      <c r="TVL14" s="25"/>
      <c r="TVS14" s="21"/>
      <c r="TVT14" s="21"/>
      <c r="TVX14" s="15"/>
      <c r="TWD14" s="25"/>
      <c r="TWK14" s="21"/>
      <c r="TWL14" s="21"/>
      <c r="TWP14" s="15"/>
      <c r="TWV14" s="25"/>
      <c r="TXC14" s="21"/>
      <c r="TXD14" s="21"/>
      <c r="TXH14" s="15"/>
      <c r="TXN14" s="25"/>
      <c r="TXU14" s="21"/>
      <c r="TXV14" s="21"/>
      <c r="TXZ14" s="15"/>
      <c r="TYF14" s="25"/>
      <c r="TYM14" s="21"/>
      <c r="TYN14" s="21"/>
      <c r="TYR14" s="15"/>
      <c r="TYX14" s="25"/>
      <c r="TZE14" s="21"/>
      <c r="TZF14" s="21"/>
      <c r="TZJ14" s="15"/>
      <c r="TZP14" s="25"/>
      <c r="TZW14" s="21"/>
      <c r="TZX14" s="21"/>
      <c r="UAB14" s="15"/>
      <c r="UAH14" s="25"/>
      <c r="UAO14" s="21"/>
      <c r="UAP14" s="21"/>
      <c r="UAT14" s="15"/>
      <c r="UAZ14" s="25"/>
      <c r="UBG14" s="21"/>
      <c r="UBH14" s="21"/>
      <c r="UBL14" s="15"/>
      <c r="UBR14" s="25"/>
      <c r="UBY14" s="21"/>
      <c r="UBZ14" s="21"/>
      <c r="UCD14" s="15"/>
      <c r="UCJ14" s="25"/>
      <c r="UCQ14" s="21"/>
      <c r="UCR14" s="21"/>
      <c r="UCV14" s="15"/>
      <c r="UDB14" s="25"/>
      <c r="UDI14" s="21"/>
      <c r="UDJ14" s="21"/>
      <c r="UDN14" s="15"/>
      <c r="UDT14" s="25"/>
      <c r="UEA14" s="21"/>
      <c r="UEB14" s="21"/>
      <c r="UEF14" s="15"/>
      <c r="UEL14" s="25"/>
      <c r="UES14" s="21"/>
      <c r="UET14" s="21"/>
      <c r="UEX14" s="15"/>
      <c r="UFD14" s="25"/>
      <c r="UFK14" s="21"/>
      <c r="UFL14" s="21"/>
      <c r="UFP14" s="15"/>
      <c r="UFV14" s="25"/>
      <c r="UGC14" s="21"/>
      <c r="UGD14" s="21"/>
      <c r="UGH14" s="15"/>
      <c r="UGN14" s="25"/>
      <c r="UGU14" s="21"/>
      <c r="UGV14" s="21"/>
      <c r="UGZ14" s="15"/>
      <c r="UHF14" s="25"/>
      <c r="UHM14" s="21"/>
      <c r="UHN14" s="21"/>
      <c r="UHR14" s="15"/>
      <c r="UHX14" s="25"/>
      <c r="UIE14" s="21"/>
      <c r="UIF14" s="21"/>
      <c r="UIJ14" s="15"/>
      <c r="UIP14" s="25"/>
      <c r="UIW14" s="21"/>
      <c r="UIX14" s="21"/>
      <c r="UJB14" s="15"/>
      <c r="UJH14" s="25"/>
      <c r="UJO14" s="21"/>
      <c r="UJP14" s="21"/>
      <c r="UJT14" s="15"/>
      <c r="UJZ14" s="25"/>
      <c r="UKG14" s="21"/>
      <c r="UKH14" s="21"/>
      <c r="UKL14" s="15"/>
      <c r="UKR14" s="25"/>
      <c r="UKY14" s="21"/>
      <c r="UKZ14" s="21"/>
      <c r="ULD14" s="15"/>
      <c r="ULJ14" s="25"/>
      <c r="ULQ14" s="21"/>
      <c r="ULR14" s="21"/>
      <c r="ULV14" s="15"/>
      <c r="UMB14" s="25"/>
      <c r="UMI14" s="21"/>
      <c r="UMJ14" s="21"/>
      <c r="UMN14" s="15"/>
      <c r="UMT14" s="25"/>
      <c r="UNA14" s="21"/>
      <c r="UNB14" s="21"/>
      <c r="UNF14" s="15"/>
      <c r="UNL14" s="25"/>
      <c r="UNS14" s="21"/>
      <c r="UNT14" s="21"/>
      <c r="UNX14" s="15"/>
      <c r="UOD14" s="25"/>
      <c r="UOK14" s="21"/>
      <c r="UOL14" s="21"/>
      <c r="UOP14" s="15"/>
      <c r="UOV14" s="25"/>
      <c r="UPC14" s="21"/>
      <c r="UPD14" s="21"/>
      <c r="UPH14" s="15"/>
      <c r="UPN14" s="25"/>
      <c r="UPU14" s="21"/>
      <c r="UPV14" s="21"/>
      <c r="UPZ14" s="15"/>
      <c r="UQF14" s="25"/>
      <c r="UQM14" s="21"/>
      <c r="UQN14" s="21"/>
      <c r="UQR14" s="15"/>
      <c r="UQX14" s="25"/>
      <c r="URE14" s="21"/>
      <c r="URF14" s="21"/>
      <c r="URJ14" s="15"/>
      <c r="URP14" s="25"/>
      <c r="URW14" s="21"/>
      <c r="URX14" s="21"/>
      <c r="USB14" s="15"/>
      <c r="USH14" s="25"/>
      <c r="USO14" s="21"/>
      <c r="USP14" s="21"/>
      <c r="UST14" s="15"/>
      <c r="USZ14" s="25"/>
      <c r="UTG14" s="21"/>
      <c r="UTH14" s="21"/>
      <c r="UTL14" s="15"/>
      <c r="UTR14" s="25"/>
      <c r="UTY14" s="21"/>
      <c r="UTZ14" s="21"/>
      <c r="UUD14" s="15"/>
      <c r="UUJ14" s="25"/>
      <c r="UUQ14" s="21"/>
      <c r="UUR14" s="21"/>
      <c r="UUV14" s="15"/>
      <c r="UVB14" s="25"/>
      <c r="UVI14" s="21"/>
      <c r="UVJ14" s="21"/>
      <c r="UVN14" s="15"/>
      <c r="UVT14" s="25"/>
      <c r="UWA14" s="21"/>
      <c r="UWB14" s="21"/>
      <c r="UWF14" s="15"/>
      <c r="UWL14" s="25"/>
      <c r="UWS14" s="21"/>
      <c r="UWT14" s="21"/>
      <c r="UWX14" s="15"/>
      <c r="UXD14" s="25"/>
      <c r="UXK14" s="21"/>
      <c r="UXL14" s="21"/>
      <c r="UXP14" s="15"/>
      <c r="UXV14" s="25"/>
      <c r="UYC14" s="21"/>
      <c r="UYD14" s="21"/>
      <c r="UYH14" s="15"/>
      <c r="UYN14" s="25"/>
      <c r="UYU14" s="21"/>
      <c r="UYV14" s="21"/>
      <c r="UYZ14" s="15"/>
      <c r="UZF14" s="25"/>
      <c r="UZM14" s="21"/>
      <c r="UZN14" s="21"/>
      <c r="UZR14" s="15"/>
      <c r="UZX14" s="25"/>
      <c r="VAE14" s="21"/>
      <c r="VAF14" s="21"/>
      <c r="VAJ14" s="15"/>
      <c r="VAP14" s="25"/>
      <c r="VAW14" s="21"/>
      <c r="VAX14" s="21"/>
      <c r="VBB14" s="15"/>
      <c r="VBH14" s="25"/>
      <c r="VBO14" s="21"/>
      <c r="VBP14" s="21"/>
      <c r="VBT14" s="15"/>
      <c r="VBZ14" s="25"/>
      <c r="VCG14" s="21"/>
      <c r="VCH14" s="21"/>
      <c r="VCL14" s="15"/>
      <c r="VCR14" s="25"/>
      <c r="VCY14" s="21"/>
      <c r="VCZ14" s="21"/>
      <c r="VDD14" s="15"/>
      <c r="VDJ14" s="25"/>
      <c r="VDQ14" s="21"/>
      <c r="VDR14" s="21"/>
      <c r="VDV14" s="15"/>
      <c r="VEB14" s="25"/>
      <c r="VEI14" s="21"/>
      <c r="VEJ14" s="21"/>
      <c r="VEN14" s="15"/>
      <c r="VET14" s="25"/>
      <c r="VFA14" s="21"/>
      <c r="VFB14" s="21"/>
      <c r="VFF14" s="15"/>
      <c r="VFL14" s="25"/>
      <c r="VFS14" s="21"/>
      <c r="VFT14" s="21"/>
      <c r="VFX14" s="15"/>
      <c r="VGD14" s="25"/>
      <c r="VGK14" s="21"/>
      <c r="VGL14" s="21"/>
      <c r="VGP14" s="15"/>
      <c r="VGV14" s="25"/>
      <c r="VHC14" s="21"/>
      <c r="VHD14" s="21"/>
      <c r="VHH14" s="15"/>
      <c r="VHN14" s="25"/>
      <c r="VHU14" s="21"/>
      <c r="VHV14" s="21"/>
      <c r="VHZ14" s="15"/>
      <c r="VIF14" s="25"/>
      <c r="VIM14" s="21"/>
      <c r="VIN14" s="21"/>
      <c r="VIR14" s="15"/>
      <c r="VIX14" s="25"/>
      <c r="VJE14" s="21"/>
      <c r="VJF14" s="21"/>
      <c r="VJJ14" s="15"/>
      <c r="VJP14" s="25"/>
      <c r="VJW14" s="21"/>
      <c r="VJX14" s="21"/>
      <c r="VKB14" s="15"/>
      <c r="VKH14" s="25"/>
      <c r="VKO14" s="21"/>
      <c r="VKP14" s="21"/>
      <c r="VKT14" s="15"/>
      <c r="VKZ14" s="25"/>
      <c r="VLG14" s="21"/>
      <c r="VLH14" s="21"/>
      <c r="VLL14" s="15"/>
      <c r="VLR14" s="25"/>
      <c r="VLY14" s="21"/>
      <c r="VLZ14" s="21"/>
      <c r="VMD14" s="15"/>
      <c r="VMJ14" s="25"/>
      <c r="VMQ14" s="21"/>
      <c r="VMR14" s="21"/>
      <c r="VMV14" s="15"/>
      <c r="VNB14" s="25"/>
      <c r="VNI14" s="21"/>
      <c r="VNJ14" s="21"/>
      <c r="VNN14" s="15"/>
      <c r="VNT14" s="25"/>
      <c r="VOA14" s="21"/>
      <c r="VOB14" s="21"/>
      <c r="VOF14" s="15"/>
      <c r="VOL14" s="25"/>
      <c r="VOS14" s="21"/>
      <c r="VOT14" s="21"/>
      <c r="VOX14" s="15"/>
      <c r="VPD14" s="25"/>
      <c r="VPK14" s="21"/>
      <c r="VPL14" s="21"/>
      <c r="VPP14" s="15"/>
      <c r="VPV14" s="25"/>
      <c r="VQC14" s="21"/>
      <c r="VQD14" s="21"/>
      <c r="VQH14" s="15"/>
      <c r="VQN14" s="25"/>
      <c r="VQU14" s="21"/>
      <c r="VQV14" s="21"/>
      <c r="VQZ14" s="15"/>
      <c r="VRF14" s="25"/>
      <c r="VRM14" s="21"/>
      <c r="VRN14" s="21"/>
      <c r="VRR14" s="15"/>
      <c r="VRX14" s="25"/>
      <c r="VSE14" s="21"/>
      <c r="VSF14" s="21"/>
      <c r="VSJ14" s="15"/>
      <c r="VSP14" s="25"/>
      <c r="VSW14" s="21"/>
      <c r="VSX14" s="21"/>
      <c r="VTB14" s="15"/>
      <c r="VTH14" s="25"/>
      <c r="VTO14" s="21"/>
      <c r="VTP14" s="21"/>
      <c r="VTT14" s="15"/>
      <c r="VTZ14" s="25"/>
      <c r="VUG14" s="21"/>
      <c r="VUH14" s="21"/>
      <c r="VUL14" s="15"/>
      <c r="VUR14" s="25"/>
      <c r="VUY14" s="21"/>
      <c r="VUZ14" s="21"/>
      <c r="VVD14" s="15"/>
      <c r="VVJ14" s="25"/>
      <c r="VVQ14" s="21"/>
      <c r="VVR14" s="21"/>
      <c r="VVV14" s="15"/>
      <c r="VWB14" s="25"/>
      <c r="VWI14" s="21"/>
      <c r="VWJ14" s="21"/>
      <c r="VWN14" s="15"/>
      <c r="VWT14" s="25"/>
      <c r="VXA14" s="21"/>
      <c r="VXB14" s="21"/>
      <c r="VXF14" s="15"/>
      <c r="VXL14" s="25"/>
      <c r="VXS14" s="21"/>
      <c r="VXT14" s="21"/>
      <c r="VXX14" s="15"/>
      <c r="VYD14" s="25"/>
      <c r="VYK14" s="21"/>
      <c r="VYL14" s="21"/>
      <c r="VYP14" s="15"/>
      <c r="VYV14" s="25"/>
      <c r="VZC14" s="21"/>
      <c r="VZD14" s="21"/>
      <c r="VZH14" s="15"/>
      <c r="VZN14" s="25"/>
      <c r="VZU14" s="21"/>
      <c r="VZV14" s="21"/>
      <c r="VZZ14" s="15"/>
      <c r="WAF14" s="25"/>
      <c r="WAM14" s="21"/>
      <c r="WAN14" s="21"/>
      <c r="WAR14" s="15"/>
      <c r="WAX14" s="25"/>
      <c r="WBE14" s="21"/>
      <c r="WBF14" s="21"/>
      <c r="WBJ14" s="15"/>
      <c r="WBP14" s="25"/>
      <c r="WBW14" s="21"/>
      <c r="WBX14" s="21"/>
      <c r="WCB14" s="15"/>
      <c r="WCH14" s="25"/>
      <c r="WCO14" s="21"/>
      <c r="WCP14" s="21"/>
      <c r="WCT14" s="15"/>
      <c r="WCZ14" s="25"/>
      <c r="WDG14" s="21"/>
      <c r="WDH14" s="21"/>
      <c r="WDL14" s="15"/>
      <c r="WDR14" s="25"/>
      <c r="WDY14" s="21"/>
      <c r="WDZ14" s="21"/>
      <c r="WED14" s="15"/>
      <c r="WEJ14" s="25"/>
      <c r="WEQ14" s="21"/>
      <c r="WER14" s="21"/>
      <c r="WEV14" s="15"/>
      <c r="WFB14" s="25"/>
      <c r="WFI14" s="21"/>
      <c r="WFJ14" s="21"/>
      <c r="WFN14" s="15"/>
      <c r="WFT14" s="25"/>
      <c r="WGA14" s="21"/>
      <c r="WGB14" s="21"/>
      <c r="WGF14" s="15"/>
      <c r="WGL14" s="25"/>
      <c r="WGS14" s="21"/>
      <c r="WGT14" s="21"/>
      <c r="WGX14" s="15"/>
      <c r="WHD14" s="25"/>
      <c r="WHK14" s="21"/>
      <c r="WHL14" s="21"/>
      <c r="WHP14" s="15"/>
      <c r="WHV14" s="25"/>
      <c r="WIC14" s="21"/>
      <c r="WID14" s="21"/>
      <c r="WIH14" s="15"/>
      <c r="WIN14" s="25"/>
      <c r="WIU14" s="21"/>
      <c r="WIV14" s="21"/>
      <c r="WIZ14" s="15"/>
      <c r="WJF14" s="25"/>
      <c r="WJM14" s="21"/>
      <c r="WJN14" s="21"/>
      <c r="WJR14" s="15"/>
      <c r="WJX14" s="25"/>
      <c r="WKE14" s="21"/>
      <c r="WKF14" s="21"/>
      <c r="WKJ14" s="15"/>
      <c r="WKP14" s="25"/>
      <c r="WKW14" s="21"/>
      <c r="WKX14" s="21"/>
      <c r="WLB14" s="15"/>
      <c r="WLH14" s="25"/>
      <c r="WLO14" s="21"/>
      <c r="WLP14" s="21"/>
      <c r="WLT14" s="15"/>
      <c r="WLZ14" s="25"/>
      <c r="WMG14" s="21"/>
      <c r="WMH14" s="21"/>
      <c r="WML14" s="15"/>
      <c r="WMR14" s="25"/>
      <c r="WMY14" s="21"/>
      <c r="WMZ14" s="21"/>
      <c r="WND14" s="15"/>
      <c r="WNJ14" s="25"/>
      <c r="WNQ14" s="21"/>
      <c r="WNR14" s="21"/>
      <c r="WNV14" s="15"/>
      <c r="WOB14" s="25"/>
      <c r="WOI14" s="21"/>
      <c r="WOJ14" s="21"/>
      <c r="WON14" s="15"/>
      <c r="WOT14" s="25"/>
      <c r="WPA14" s="21"/>
      <c r="WPB14" s="21"/>
      <c r="WPF14" s="15"/>
      <c r="WPL14" s="25"/>
      <c r="WPS14" s="21"/>
      <c r="WPT14" s="21"/>
      <c r="WPX14" s="15"/>
      <c r="WQD14" s="25"/>
      <c r="WQK14" s="21"/>
      <c r="WQL14" s="21"/>
      <c r="WQP14" s="15"/>
      <c r="WQV14" s="25"/>
      <c r="WRC14" s="21"/>
      <c r="WRD14" s="21"/>
      <c r="WRH14" s="15"/>
      <c r="WRN14" s="25"/>
      <c r="WRU14" s="21"/>
      <c r="WRV14" s="21"/>
      <c r="WRZ14" s="15"/>
      <c r="WSF14" s="25"/>
      <c r="WSM14" s="21"/>
      <c r="WSN14" s="21"/>
      <c r="WSR14" s="15"/>
      <c r="WSX14" s="25"/>
      <c r="WTE14" s="21"/>
      <c r="WTF14" s="21"/>
      <c r="WTJ14" s="15"/>
      <c r="WTP14" s="25"/>
      <c r="WTW14" s="21"/>
      <c r="WTX14" s="21"/>
      <c r="WUB14" s="15"/>
      <c r="WUH14" s="25"/>
      <c r="WUO14" s="21"/>
      <c r="WUP14" s="21"/>
      <c r="WUT14" s="15"/>
      <c r="WUZ14" s="25"/>
      <c r="WVG14" s="21"/>
      <c r="WVH14" s="21"/>
      <c r="WVL14" s="15"/>
      <c r="WVR14" s="25"/>
      <c r="WVY14" s="21"/>
      <c r="WVZ14" s="21"/>
      <c r="WWD14" s="15"/>
      <c r="WWJ14" s="25"/>
      <c r="WWQ14" s="21"/>
      <c r="WWR14" s="21"/>
      <c r="WWV14" s="15"/>
      <c r="WXB14" s="25"/>
      <c r="WXI14" s="21"/>
      <c r="WXJ14" s="21"/>
      <c r="WXN14" s="15"/>
      <c r="WXT14" s="25"/>
      <c r="WYA14" s="21"/>
      <c r="WYB14" s="21"/>
      <c r="WYF14" s="15"/>
      <c r="WYL14" s="25"/>
      <c r="WYS14" s="21"/>
      <c r="WYT14" s="21"/>
      <c r="WYX14" s="15"/>
      <c r="WZD14" s="25"/>
      <c r="WZK14" s="21"/>
      <c r="WZL14" s="21"/>
      <c r="WZP14" s="15"/>
      <c r="WZV14" s="25"/>
      <c r="XAC14" s="21"/>
      <c r="XAD14" s="21"/>
      <c r="XAH14" s="15"/>
      <c r="XAN14" s="25"/>
      <c r="XAU14" s="21"/>
      <c r="XAV14" s="21"/>
      <c r="XAZ14" s="15"/>
      <c r="XBF14" s="25"/>
      <c r="XBM14" s="21"/>
      <c r="XBN14" s="21"/>
      <c r="XBR14" s="15"/>
      <c r="XBX14" s="25"/>
      <c r="XCE14" s="21"/>
      <c r="XCF14" s="21"/>
      <c r="XCJ14" s="15"/>
      <c r="XCP14" s="25"/>
      <c r="XCW14" s="21"/>
      <c r="XCX14" s="21"/>
      <c r="XDB14" s="15"/>
      <c r="XDH14" s="25"/>
      <c r="XDO14" s="21"/>
      <c r="XDP14" s="21"/>
      <c r="XDT14" s="15"/>
      <c r="XDZ14" s="25"/>
      <c r="XEG14" s="21"/>
      <c r="XEH14" s="21"/>
      <c r="XEL14" s="15"/>
      <c r="XER14" s="25"/>
      <c r="XEY14" s="21"/>
      <c r="XEZ14" s="21"/>
      <c r="XFD14" s="15"/>
    </row>
    <row r="15" spans="1:1018 1025:2044 2051:3070 3077:4096 4103:5116 5122:6142 6148:7168 7174:8190 8194:9216 9220:10234 10241:11260 11267:12286 12293:13312 13319:14332 14338:15358 15364:16384" s="24" customFormat="1">
      <c r="A15" s="21" t="s">
        <v>66</v>
      </c>
      <c r="B15" s="12">
        <v>2007</v>
      </c>
      <c r="C15" s="19" t="s">
        <v>53</v>
      </c>
      <c r="D15" s="22" t="s">
        <v>39</v>
      </c>
      <c r="E15" s="10" t="s">
        <v>67</v>
      </c>
      <c r="F15" s="22" t="s">
        <v>55</v>
      </c>
      <c r="G15" s="31">
        <v>5563486877.5584002</v>
      </c>
      <c r="H15" s="31">
        <v>2818365735</v>
      </c>
      <c r="I15" s="12">
        <v>25</v>
      </c>
      <c r="J15" s="23" t="s">
        <v>68</v>
      </c>
      <c r="K15" s="22"/>
      <c r="L15" s="22"/>
      <c r="M15" s="22" t="s">
        <v>26</v>
      </c>
      <c r="N15" s="12"/>
      <c r="O15" s="22"/>
      <c r="P15" s="12"/>
      <c r="Q15" s="22" t="s">
        <v>27</v>
      </c>
      <c r="R15" s="22" t="s">
        <v>28</v>
      </c>
      <c r="V15" s="15"/>
      <c r="AB15" s="25"/>
      <c r="AI15" s="21"/>
      <c r="AJ15" s="21"/>
      <c r="AN15" s="15"/>
      <c r="AT15" s="25"/>
      <c r="BA15" s="21"/>
      <c r="BB15" s="21"/>
      <c r="BF15" s="15"/>
      <c r="BL15" s="25"/>
      <c r="BS15" s="21"/>
      <c r="BT15" s="21"/>
      <c r="BX15" s="15"/>
      <c r="CD15" s="25"/>
      <c r="CK15" s="21"/>
      <c r="CL15" s="21"/>
      <c r="CP15" s="15"/>
      <c r="CV15" s="25"/>
      <c r="DC15" s="21"/>
      <c r="DD15" s="21"/>
      <c r="DH15" s="15"/>
      <c r="DN15" s="25"/>
      <c r="DU15" s="21"/>
      <c r="DV15" s="21"/>
      <c r="DZ15" s="15"/>
      <c r="EF15" s="25"/>
      <c r="EM15" s="21"/>
      <c r="EN15" s="21"/>
      <c r="ER15" s="15"/>
      <c r="EX15" s="25"/>
      <c r="FE15" s="21"/>
      <c r="FF15" s="21"/>
      <c r="FJ15" s="15"/>
      <c r="FP15" s="25"/>
      <c r="FW15" s="21"/>
      <c r="FX15" s="21"/>
      <c r="GB15" s="15"/>
      <c r="GH15" s="25"/>
      <c r="GO15" s="21"/>
      <c r="GP15" s="21"/>
      <c r="GT15" s="15"/>
      <c r="GZ15" s="25"/>
      <c r="HG15" s="21"/>
      <c r="HH15" s="21"/>
      <c r="HL15" s="15"/>
      <c r="HR15" s="25"/>
      <c r="HY15" s="21"/>
      <c r="HZ15" s="21"/>
      <c r="ID15" s="15"/>
      <c r="IJ15" s="25"/>
      <c r="IQ15" s="21"/>
      <c r="IR15" s="21"/>
      <c r="IV15" s="15"/>
      <c r="JB15" s="25"/>
      <c r="JI15" s="21"/>
      <c r="JJ15" s="21"/>
      <c r="JN15" s="15"/>
      <c r="JT15" s="25"/>
      <c r="KA15" s="21"/>
      <c r="KB15" s="21"/>
      <c r="KF15" s="15"/>
      <c r="KL15" s="25"/>
      <c r="KS15" s="21"/>
      <c r="KT15" s="21"/>
      <c r="KX15" s="15"/>
      <c r="LD15" s="25"/>
      <c r="LK15" s="21"/>
      <c r="LL15" s="21"/>
      <c r="LP15" s="15"/>
      <c r="LV15" s="25"/>
      <c r="MC15" s="21"/>
      <c r="MD15" s="21"/>
      <c r="MH15" s="15"/>
      <c r="MN15" s="25"/>
      <c r="MU15" s="21"/>
      <c r="MV15" s="21"/>
      <c r="MZ15" s="15"/>
      <c r="NF15" s="25"/>
      <c r="NM15" s="21"/>
      <c r="NN15" s="21"/>
      <c r="NR15" s="15"/>
      <c r="NX15" s="25"/>
      <c r="OE15" s="21"/>
      <c r="OF15" s="21"/>
      <c r="OJ15" s="15"/>
      <c r="OP15" s="25"/>
      <c r="OW15" s="21"/>
      <c r="OX15" s="21"/>
      <c r="PB15" s="15"/>
      <c r="PH15" s="25"/>
      <c r="PO15" s="21"/>
      <c r="PP15" s="21"/>
      <c r="PT15" s="15"/>
      <c r="PZ15" s="25"/>
      <c r="QG15" s="21"/>
      <c r="QH15" s="21"/>
      <c r="QL15" s="15"/>
      <c r="QR15" s="25"/>
      <c r="QY15" s="21"/>
      <c r="QZ15" s="21"/>
      <c r="RD15" s="15"/>
      <c r="RJ15" s="25"/>
      <c r="RQ15" s="21"/>
      <c r="RR15" s="21"/>
      <c r="RV15" s="15"/>
      <c r="SB15" s="25"/>
      <c r="SI15" s="21"/>
      <c r="SJ15" s="21"/>
      <c r="SN15" s="15"/>
      <c r="ST15" s="25"/>
      <c r="TA15" s="21"/>
      <c r="TB15" s="21"/>
      <c r="TF15" s="15"/>
      <c r="TL15" s="25"/>
      <c r="TS15" s="21"/>
      <c r="TT15" s="21"/>
      <c r="TX15" s="15"/>
      <c r="UD15" s="25"/>
      <c r="UK15" s="21"/>
      <c r="UL15" s="21"/>
      <c r="UP15" s="15"/>
      <c r="UV15" s="25"/>
      <c r="VC15" s="21"/>
      <c r="VD15" s="21"/>
      <c r="VH15" s="15"/>
      <c r="VN15" s="25"/>
      <c r="VU15" s="21"/>
      <c r="VV15" s="21"/>
      <c r="VZ15" s="15"/>
      <c r="WF15" s="25"/>
      <c r="WM15" s="21"/>
      <c r="WN15" s="21"/>
      <c r="WR15" s="15"/>
      <c r="WX15" s="25"/>
      <c r="XE15" s="21"/>
      <c r="XF15" s="21"/>
      <c r="XJ15" s="15"/>
      <c r="XP15" s="25"/>
      <c r="XW15" s="21"/>
      <c r="XX15" s="21"/>
      <c r="YB15" s="15"/>
      <c r="YH15" s="25"/>
      <c r="YO15" s="21"/>
      <c r="YP15" s="21"/>
      <c r="YT15" s="15"/>
      <c r="YZ15" s="25"/>
      <c r="ZG15" s="21"/>
      <c r="ZH15" s="21"/>
      <c r="ZL15" s="15"/>
      <c r="ZR15" s="25"/>
      <c r="ZY15" s="21"/>
      <c r="ZZ15" s="21"/>
      <c r="AAD15" s="15"/>
      <c r="AAJ15" s="25"/>
      <c r="AAQ15" s="21"/>
      <c r="AAR15" s="21"/>
      <c r="AAV15" s="15"/>
      <c r="ABB15" s="25"/>
      <c r="ABI15" s="21"/>
      <c r="ABJ15" s="21"/>
      <c r="ABN15" s="15"/>
      <c r="ABT15" s="25"/>
      <c r="ACA15" s="21"/>
      <c r="ACB15" s="21"/>
      <c r="ACF15" s="15"/>
      <c r="ACL15" s="25"/>
      <c r="ACS15" s="21"/>
      <c r="ACT15" s="21"/>
      <c r="ACX15" s="15"/>
      <c r="ADD15" s="25"/>
      <c r="ADK15" s="21"/>
      <c r="ADL15" s="21"/>
      <c r="ADP15" s="15"/>
      <c r="ADV15" s="25"/>
      <c r="AEC15" s="21"/>
      <c r="AED15" s="21"/>
      <c r="AEH15" s="15"/>
      <c r="AEN15" s="25"/>
      <c r="AEU15" s="21"/>
      <c r="AEV15" s="21"/>
      <c r="AEZ15" s="15"/>
      <c r="AFF15" s="25"/>
      <c r="AFM15" s="21"/>
      <c r="AFN15" s="21"/>
      <c r="AFR15" s="15"/>
      <c r="AFX15" s="25"/>
      <c r="AGE15" s="21"/>
      <c r="AGF15" s="21"/>
      <c r="AGJ15" s="15"/>
      <c r="AGP15" s="25"/>
      <c r="AGW15" s="21"/>
      <c r="AGX15" s="21"/>
      <c r="AHB15" s="15"/>
      <c r="AHH15" s="25"/>
      <c r="AHO15" s="21"/>
      <c r="AHP15" s="21"/>
      <c r="AHT15" s="15"/>
      <c r="AHZ15" s="25"/>
      <c r="AIG15" s="21"/>
      <c r="AIH15" s="21"/>
      <c r="AIL15" s="15"/>
      <c r="AIR15" s="25"/>
      <c r="AIY15" s="21"/>
      <c r="AIZ15" s="21"/>
      <c r="AJD15" s="15"/>
      <c r="AJJ15" s="25"/>
      <c r="AJQ15" s="21"/>
      <c r="AJR15" s="21"/>
      <c r="AJV15" s="15"/>
      <c r="AKB15" s="25"/>
      <c r="AKI15" s="21"/>
      <c r="AKJ15" s="21"/>
      <c r="AKN15" s="15"/>
      <c r="AKT15" s="25"/>
      <c r="ALA15" s="21"/>
      <c r="ALB15" s="21"/>
      <c r="ALF15" s="15"/>
      <c r="ALL15" s="25"/>
      <c r="ALS15" s="21"/>
      <c r="ALT15" s="21"/>
      <c r="ALX15" s="15"/>
      <c r="AMD15" s="25"/>
      <c r="AMK15" s="21"/>
      <c r="AML15" s="21"/>
      <c r="AMP15" s="15"/>
      <c r="AMV15" s="25"/>
      <c r="ANC15" s="21"/>
      <c r="AND15" s="21"/>
      <c r="ANH15" s="15"/>
      <c r="ANN15" s="25"/>
      <c r="ANU15" s="21"/>
      <c r="ANV15" s="21"/>
      <c r="ANZ15" s="15"/>
      <c r="AOF15" s="25"/>
      <c r="AOM15" s="21"/>
      <c r="AON15" s="21"/>
      <c r="AOR15" s="15"/>
      <c r="AOX15" s="25"/>
      <c r="APE15" s="21"/>
      <c r="APF15" s="21"/>
      <c r="APJ15" s="15"/>
      <c r="APP15" s="25"/>
      <c r="APW15" s="21"/>
      <c r="APX15" s="21"/>
      <c r="AQB15" s="15"/>
      <c r="AQH15" s="25"/>
      <c r="AQO15" s="21"/>
      <c r="AQP15" s="21"/>
      <c r="AQT15" s="15"/>
      <c r="AQZ15" s="25"/>
      <c r="ARG15" s="21"/>
      <c r="ARH15" s="21"/>
      <c r="ARL15" s="15"/>
      <c r="ARR15" s="25"/>
      <c r="ARY15" s="21"/>
      <c r="ARZ15" s="21"/>
      <c r="ASD15" s="15"/>
      <c r="ASJ15" s="25"/>
      <c r="ASQ15" s="21"/>
      <c r="ASR15" s="21"/>
      <c r="ASV15" s="15"/>
      <c r="ATB15" s="25"/>
      <c r="ATI15" s="21"/>
      <c r="ATJ15" s="21"/>
      <c r="ATN15" s="15"/>
      <c r="ATT15" s="25"/>
      <c r="AUA15" s="21"/>
      <c r="AUB15" s="21"/>
      <c r="AUF15" s="15"/>
      <c r="AUL15" s="25"/>
      <c r="AUS15" s="21"/>
      <c r="AUT15" s="21"/>
      <c r="AUX15" s="15"/>
      <c r="AVD15" s="25"/>
      <c r="AVK15" s="21"/>
      <c r="AVL15" s="21"/>
      <c r="AVP15" s="15"/>
      <c r="AVV15" s="25"/>
      <c r="AWC15" s="21"/>
      <c r="AWD15" s="21"/>
      <c r="AWH15" s="15"/>
      <c r="AWN15" s="25"/>
      <c r="AWU15" s="21"/>
      <c r="AWV15" s="21"/>
      <c r="AWZ15" s="15"/>
      <c r="AXF15" s="25"/>
      <c r="AXM15" s="21"/>
      <c r="AXN15" s="21"/>
      <c r="AXR15" s="15"/>
      <c r="AXX15" s="25"/>
      <c r="AYE15" s="21"/>
      <c r="AYF15" s="21"/>
      <c r="AYJ15" s="15"/>
      <c r="AYP15" s="25"/>
      <c r="AYW15" s="21"/>
      <c r="AYX15" s="21"/>
      <c r="AZB15" s="15"/>
      <c r="AZH15" s="25"/>
      <c r="AZO15" s="21"/>
      <c r="AZP15" s="21"/>
      <c r="AZT15" s="15"/>
      <c r="AZZ15" s="25"/>
      <c r="BAG15" s="21"/>
      <c r="BAH15" s="21"/>
      <c r="BAL15" s="15"/>
      <c r="BAR15" s="25"/>
      <c r="BAY15" s="21"/>
      <c r="BAZ15" s="21"/>
      <c r="BBD15" s="15"/>
      <c r="BBJ15" s="25"/>
      <c r="BBQ15" s="21"/>
      <c r="BBR15" s="21"/>
      <c r="BBV15" s="15"/>
      <c r="BCB15" s="25"/>
      <c r="BCI15" s="21"/>
      <c r="BCJ15" s="21"/>
      <c r="BCN15" s="15"/>
      <c r="BCT15" s="25"/>
      <c r="BDA15" s="21"/>
      <c r="BDB15" s="21"/>
      <c r="BDF15" s="15"/>
      <c r="BDL15" s="25"/>
      <c r="BDS15" s="21"/>
      <c r="BDT15" s="21"/>
      <c r="BDX15" s="15"/>
      <c r="BED15" s="25"/>
      <c r="BEK15" s="21"/>
      <c r="BEL15" s="21"/>
      <c r="BEP15" s="15"/>
      <c r="BEV15" s="25"/>
      <c r="BFC15" s="21"/>
      <c r="BFD15" s="21"/>
      <c r="BFH15" s="15"/>
      <c r="BFN15" s="25"/>
      <c r="BFU15" s="21"/>
      <c r="BFV15" s="21"/>
      <c r="BFZ15" s="15"/>
      <c r="BGF15" s="25"/>
      <c r="BGM15" s="21"/>
      <c r="BGN15" s="21"/>
      <c r="BGR15" s="15"/>
      <c r="BGX15" s="25"/>
      <c r="BHE15" s="21"/>
      <c r="BHF15" s="21"/>
      <c r="BHJ15" s="15"/>
      <c r="BHP15" s="25"/>
      <c r="BHW15" s="21"/>
      <c r="BHX15" s="21"/>
      <c r="BIB15" s="15"/>
      <c r="BIH15" s="25"/>
      <c r="BIO15" s="21"/>
      <c r="BIP15" s="21"/>
      <c r="BIT15" s="15"/>
      <c r="BIZ15" s="25"/>
      <c r="BJG15" s="21"/>
      <c r="BJH15" s="21"/>
      <c r="BJL15" s="15"/>
      <c r="BJR15" s="25"/>
      <c r="BJY15" s="21"/>
      <c r="BJZ15" s="21"/>
      <c r="BKD15" s="15"/>
      <c r="BKJ15" s="25"/>
      <c r="BKQ15" s="21"/>
      <c r="BKR15" s="21"/>
      <c r="BKV15" s="15"/>
      <c r="BLB15" s="25"/>
      <c r="BLI15" s="21"/>
      <c r="BLJ15" s="21"/>
      <c r="BLN15" s="15"/>
      <c r="BLT15" s="25"/>
      <c r="BMA15" s="21"/>
      <c r="BMB15" s="21"/>
      <c r="BMF15" s="15"/>
      <c r="BML15" s="25"/>
      <c r="BMS15" s="21"/>
      <c r="BMT15" s="21"/>
      <c r="BMX15" s="15"/>
      <c r="BND15" s="25"/>
      <c r="BNK15" s="21"/>
      <c r="BNL15" s="21"/>
      <c r="BNP15" s="15"/>
      <c r="BNV15" s="25"/>
      <c r="BOC15" s="21"/>
      <c r="BOD15" s="21"/>
      <c r="BOH15" s="15"/>
      <c r="BON15" s="25"/>
      <c r="BOU15" s="21"/>
      <c r="BOV15" s="21"/>
      <c r="BOZ15" s="15"/>
      <c r="BPF15" s="25"/>
      <c r="BPM15" s="21"/>
      <c r="BPN15" s="21"/>
      <c r="BPR15" s="15"/>
      <c r="BPX15" s="25"/>
      <c r="BQE15" s="21"/>
      <c r="BQF15" s="21"/>
      <c r="BQJ15" s="15"/>
      <c r="BQP15" s="25"/>
      <c r="BQW15" s="21"/>
      <c r="BQX15" s="21"/>
      <c r="BRB15" s="15"/>
      <c r="BRH15" s="25"/>
      <c r="BRO15" s="21"/>
      <c r="BRP15" s="21"/>
      <c r="BRT15" s="15"/>
      <c r="BRZ15" s="25"/>
      <c r="BSG15" s="21"/>
      <c r="BSH15" s="21"/>
      <c r="BSL15" s="15"/>
      <c r="BSR15" s="25"/>
      <c r="BSY15" s="21"/>
      <c r="BSZ15" s="21"/>
      <c r="BTD15" s="15"/>
      <c r="BTJ15" s="25"/>
      <c r="BTQ15" s="21"/>
      <c r="BTR15" s="21"/>
      <c r="BTV15" s="15"/>
      <c r="BUB15" s="25"/>
      <c r="BUI15" s="21"/>
      <c r="BUJ15" s="21"/>
      <c r="BUN15" s="15"/>
      <c r="BUT15" s="25"/>
      <c r="BVA15" s="21"/>
      <c r="BVB15" s="21"/>
      <c r="BVF15" s="15"/>
      <c r="BVL15" s="25"/>
      <c r="BVS15" s="21"/>
      <c r="BVT15" s="21"/>
      <c r="BVX15" s="15"/>
      <c r="BWD15" s="25"/>
      <c r="BWK15" s="21"/>
      <c r="BWL15" s="21"/>
      <c r="BWP15" s="15"/>
      <c r="BWV15" s="25"/>
      <c r="BXC15" s="21"/>
      <c r="BXD15" s="21"/>
      <c r="BXH15" s="15"/>
      <c r="BXN15" s="25"/>
      <c r="BXU15" s="21"/>
      <c r="BXV15" s="21"/>
      <c r="BXZ15" s="15"/>
      <c r="BYF15" s="25"/>
      <c r="BYM15" s="21"/>
      <c r="BYN15" s="21"/>
      <c r="BYR15" s="15"/>
      <c r="BYX15" s="25"/>
      <c r="BZE15" s="21"/>
      <c r="BZF15" s="21"/>
      <c r="BZJ15" s="15"/>
      <c r="BZP15" s="25"/>
      <c r="BZW15" s="21"/>
      <c r="BZX15" s="21"/>
      <c r="CAB15" s="15"/>
      <c r="CAH15" s="25"/>
      <c r="CAO15" s="21"/>
      <c r="CAP15" s="21"/>
      <c r="CAT15" s="15"/>
      <c r="CAZ15" s="25"/>
      <c r="CBG15" s="21"/>
      <c r="CBH15" s="21"/>
      <c r="CBL15" s="15"/>
      <c r="CBR15" s="25"/>
      <c r="CBY15" s="21"/>
      <c r="CBZ15" s="21"/>
      <c r="CCD15" s="15"/>
      <c r="CCJ15" s="25"/>
      <c r="CCQ15" s="21"/>
      <c r="CCR15" s="21"/>
      <c r="CCV15" s="15"/>
      <c r="CDB15" s="25"/>
      <c r="CDI15" s="21"/>
      <c r="CDJ15" s="21"/>
      <c r="CDN15" s="15"/>
      <c r="CDT15" s="25"/>
      <c r="CEA15" s="21"/>
      <c r="CEB15" s="21"/>
      <c r="CEF15" s="15"/>
      <c r="CEL15" s="25"/>
      <c r="CES15" s="21"/>
      <c r="CET15" s="21"/>
      <c r="CEX15" s="15"/>
      <c r="CFD15" s="25"/>
      <c r="CFK15" s="21"/>
      <c r="CFL15" s="21"/>
      <c r="CFP15" s="15"/>
      <c r="CFV15" s="25"/>
      <c r="CGC15" s="21"/>
      <c r="CGD15" s="21"/>
      <c r="CGH15" s="15"/>
      <c r="CGN15" s="25"/>
      <c r="CGU15" s="21"/>
      <c r="CGV15" s="21"/>
      <c r="CGZ15" s="15"/>
      <c r="CHF15" s="25"/>
      <c r="CHM15" s="21"/>
      <c r="CHN15" s="21"/>
      <c r="CHR15" s="15"/>
      <c r="CHX15" s="25"/>
      <c r="CIE15" s="21"/>
      <c r="CIF15" s="21"/>
      <c r="CIJ15" s="15"/>
      <c r="CIP15" s="25"/>
      <c r="CIW15" s="21"/>
      <c r="CIX15" s="21"/>
      <c r="CJB15" s="15"/>
      <c r="CJH15" s="25"/>
      <c r="CJO15" s="21"/>
      <c r="CJP15" s="21"/>
      <c r="CJT15" s="15"/>
      <c r="CJZ15" s="25"/>
      <c r="CKG15" s="21"/>
      <c r="CKH15" s="21"/>
      <c r="CKL15" s="15"/>
      <c r="CKR15" s="25"/>
      <c r="CKY15" s="21"/>
      <c r="CKZ15" s="21"/>
      <c r="CLD15" s="15"/>
      <c r="CLJ15" s="25"/>
      <c r="CLQ15" s="21"/>
      <c r="CLR15" s="21"/>
      <c r="CLV15" s="15"/>
      <c r="CMB15" s="25"/>
      <c r="CMI15" s="21"/>
      <c r="CMJ15" s="21"/>
      <c r="CMN15" s="15"/>
      <c r="CMT15" s="25"/>
      <c r="CNA15" s="21"/>
      <c r="CNB15" s="21"/>
      <c r="CNF15" s="15"/>
      <c r="CNL15" s="25"/>
      <c r="CNS15" s="21"/>
      <c r="CNT15" s="21"/>
      <c r="CNX15" s="15"/>
      <c r="COD15" s="25"/>
      <c r="COK15" s="21"/>
      <c r="COL15" s="21"/>
      <c r="COP15" s="15"/>
      <c r="COV15" s="25"/>
      <c r="CPC15" s="21"/>
      <c r="CPD15" s="21"/>
      <c r="CPH15" s="15"/>
      <c r="CPN15" s="25"/>
      <c r="CPU15" s="21"/>
      <c r="CPV15" s="21"/>
      <c r="CPZ15" s="15"/>
      <c r="CQF15" s="25"/>
      <c r="CQM15" s="21"/>
      <c r="CQN15" s="21"/>
      <c r="CQR15" s="15"/>
      <c r="CQX15" s="25"/>
      <c r="CRE15" s="21"/>
      <c r="CRF15" s="21"/>
      <c r="CRJ15" s="15"/>
      <c r="CRP15" s="25"/>
      <c r="CRW15" s="21"/>
      <c r="CRX15" s="21"/>
      <c r="CSB15" s="15"/>
      <c r="CSH15" s="25"/>
      <c r="CSO15" s="21"/>
      <c r="CSP15" s="21"/>
      <c r="CST15" s="15"/>
      <c r="CSZ15" s="25"/>
      <c r="CTG15" s="21"/>
      <c r="CTH15" s="21"/>
      <c r="CTL15" s="15"/>
      <c r="CTR15" s="25"/>
      <c r="CTY15" s="21"/>
      <c r="CTZ15" s="21"/>
      <c r="CUD15" s="15"/>
      <c r="CUJ15" s="25"/>
      <c r="CUQ15" s="21"/>
      <c r="CUR15" s="21"/>
      <c r="CUV15" s="15"/>
      <c r="CVB15" s="25"/>
      <c r="CVI15" s="21"/>
      <c r="CVJ15" s="21"/>
      <c r="CVN15" s="15"/>
      <c r="CVT15" s="25"/>
      <c r="CWA15" s="21"/>
      <c r="CWB15" s="21"/>
      <c r="CWF15" s="15"/>
      <c r="CWL15" s="25"/>
      <c r="CWS15" s="21"/>
      <c r="CWT15" s="21"/>
      <c r="CWX15" s="15"/>
      <c r="CXD15" s="25"/>
      <c r="CXK15" s="21"/>
      <c r="CXL15" s="21"/>
      <c r="CXP15" s="15"/>
      <c r="CXV15" s="25"/>
      <c r="CYC15" s="21"/>
      <c r="CYD15" s="21"/>
      <c r="CYH15" s="15"/>
      <c r="CYN15" s="25"/>
      <c r="CYU15" s="21"/>
      <c r="CYV15" s="21"/>
      <c r="CYZ15" s="15"/>
      <c r="CZF15" s="25"/>
      <c r="CZM15" s="21"/>
      <c r="CZN15" s="21"/>
      <c r="CZR15" s="15"/>
      <c r="CZX15" s="25"/>
      <c r="DAE15" s="21"/>
      <c r="DAF15" s="21"/>
      <c r="DAJ15" s="15"/>
      <c r="DAP15" s="25"/>
      <c r="DAW15" s="21"/>
      <c r="DAX15" s="21"/>
      <c r="DBB15" s="15"/>
      <c r="DBH15" s="25"/>
      <c r="DBO15" s="21"/>
      <c r="DBP15" s="21"/>
      <c r="DBT15" s="15"/>
      <c r="DBZ15" s="25"/>
      <c r="DCG15" s="21"/>
      <c r="DCH15" s="21"/>
      <c r="DCL15" s="15"/>
      <c r="DCR15" s="25"/>
      <c r="DCY15" s="21"/>
      <c r="DCZ15" s="21"/>
      <c r="DDD15" s="15"/>
      <c r="DDJ15" s="25"/>
      <c r="DDQ15" s="21"/>
      <c r="DDR15" s="21"/>
      <c r="DDV15" s="15"/>
      <c r="DEB15" s="25"/>
      <c r="DEI15" s="21"/>
      <c r="DEJ15" s="21"/>
      <c r="DEN15" s="15"/>
      <c r="DET15" s="25"/>
      <c r="DFA15" s="21"/>
      <c r="DFB15" s="21"/>
      <c r="DFF15" s="15"/>
      <c r="DFL15" s="25"/>
      <c r="DFS15" s="21"/>
      <c r="DFT15" s="21"/>
      <c r="DFX15" s="15"/>
      <c r="DGD15" s="25"/>
      <c r="DGK15" s="21"/>
      <c r="DGL15" s="21"/>
      <c r="DGP15" s="15"/>
      <c r="DGV15" s="25"/>
      <c r="DHC15" s="21"/>
      <c r="DHD15" s="21"/>
      <c r="DHH15" s="15"/>
      <c r="DHN15" s="25"/>
      <c r="DHU15" s="21"/>
      <c r="DHV15" s="21"/>
      <c r="DHZ15" s="15"/>
      <c r="DIF15" s="25"/>
      <c r="DIM15" s="21"/>
      <c r="DIN15" s="21"/>
      <c r="DIR15" s="15"/>
      <c r="DIX15" s="25"/>
      <c r="DJE15" s="21"/>
      <c r="DJF15" s="21"/>
      <c r="DJJ15" s="15"/>
      <c r="DJP15" s="25"/>
      <c r="DJW15" s="21"/>
      <c r="DJX15" s="21"/>
      <c r="DKB15" s="15"/>
      <c r="DKH15" s="25"/>
      <c r="DKO15" s="21"/>
      <c r="DKP15" s="21"/>
      <c r="DKT15" s="15"/>
      <c r="DKZ15" s="25"/>
      <c r="DLG15" s="21"/>
      <c r="DLH15" s="21"/>
      <c r="DLL15" s="15"/>
      <c r="DLR15" s="25"/>
      <c r="DLY15" s="21"/>
      <c r="DLZ15" s="21"/>
      <c r="DMD15" s="15"/>
      <c r="DMJ15" s="25"/>
      <c r="DMQ15" s="21"/>
      <c r="DMR15" s="21"/>
      <c r="DMV15" s="15"/>
      <c r="DNB15" s="25"/>
      <c r="DNI15" s="21"/>
      <c r="DNJ15" s="21"/>
      <c r="DNN15" s="15"/>
      <c r="DNT15" s="25"/>
      <c r="DOA15" s="21"/>
      <c r="DOB15" s="21"/>
      <c r="DOF15" s="15"/>
      <c r="DOL15" s="25"/>
      <c r="DOS15" s="21"/>
      <c r="DOT15" s="21"/>
      <c r="DOX15" s="15"/>
      <c r="DPD15" s="25"/>
      <c r="DPK15" s="21"/>
      <c r="DPL15" s="21"/>
      <c r="DPP15" s="15"/>
      <c r="DPV15" s="25"/>
      <c r="DQC15" s="21"/>
      <c r="DQD15" s="21"/>
      <c r="DQH15" s="15"/>
      <c r="DQN15" s="25"/>
      <c r="DQU15" s="21"/>
      <c r="DQV15" s="21"/>
      <c r="DQZ15" s="15"/>
      <c r="DRF15" s="25"/>
      <c r="DRM15" s="21"/>
      <c r="DRN15" s="21"/>
      <c r="DRR15" s="15"/>
      <c r="DRX15" s="25"/>
      <c r="DSE15" s="21"/>
      <c r="DSF15" s="21"/>
      <c r="DSJ15" s="15"/>
      <c r="DSP15" s="25"/>
      <c r="DSW15" s="21"/>
      <c r="DSX15" s="21"/>
      <c r="DTB15" s="15"/>
      <c r="DTH15" s="25"/>
      <c r="DTO15" s="21"/>
      <c r="DTP15" s="21"/>
      <c r="DTT15" s="15"/>
      <c r="DTZ15" s="25"/>
      <c r="DUG15" s="21"/>
      <c r="DUH15" s="21"/>
      <c r="DUL15" s="15"/>
      <c r="DUR15" s="25"/>
      <c r="DUY15" s="21"/>
      <c r="DUZ15" s="21"/>
      <c r="DVD15" s="15"/>
      <c r="DVJ15" s="25"/>
      <c r="DVQ15" s="21"/>
      <c r="DVR15" s="21"/>
      <c r="DVV15" s="15"/>
      <c r="DWB15" s="25"/>
      <c r="DWI15" s="21"/>
      <c r="DWJ15" s="21"/>
      <c r="DWN15" s="15"/>
      <c r="DWT15" s="25"/>
      <c r="DXA15" s="21"/>
      <c r="DXB15" s="21"/>
      <c r="DXF15" s="15"/>
      <c r="DXL15" s="25"/>
      <c r="DXS15" s="21"/>
      <c r="DXT15" s="21"/>
      <c r="DXX15" s="15"/>
      <c r="DYD15" s="25"/>
      <c r="DYK15" s="21"/>
      <c r="DYL15" s="21"/>
      <c r="DYP15" s="15"/>
      <c r="DYV15" s="25"/>
      <c r="DZC15" s="21"/>
      <c r="DZD15" s="21"/>
      <c r="DZH15" s="15"/>
      <c r="DZN15" s="25"/>
      <c r="DZU15" s="21"/>
      <c r="DZV15" s="21"/>
      <c r="DZZ15" s="15"/>
      <c r="EAF15" s="25"/>
      <c r="EAM15" s="21"/>
      <c r="EAN15" s="21"/>
      <c r="EAR15" s="15"/>
      <c r="EAX15" s="25"/>
      <c r="EBE15" s="21"/>
      <c r="EBF15" s="21"/>
      <c r="EBJ15" s="15"/>
      <c r="EBP15" s="25"/>
      <c r="EBW15" s="21"/>
      <c r="EBX15" s="21"/>
      <c r="ECB15" s="15"/>
      <c r="ECH15" s="25"/>
      <c r="ECO15" s="21"/>
      <c r="ECP15" s="21"/>
      <c r="ECT15" s="15"/>
      <c r="ECZ15" s="25"/>
      <c r="EDG15" s="21"/>
      <c r="EDH15" s="21"/>
      <c r="EDL15" s="15"/>
      <c r="EDR15" s="25"/>
      <c r="EDY15" s="21"/>
      <c r="EDZ15" s="21"/>
      <c r="EED15" s="15"/>
      <c r="EEJ15" s="25"/>
      <c r="EEQ15" s="21"/>
      <c r="EER15" s="21"/>
      <c r="EEV15" s="15"/>
      <c r="EFB15" s="25"/>
      <c r="EFI15" s="21"/>
      <c r="EFJ15" s="21"/>
      <c r="EFN15" s="15"/>
      <c r="EFT15" s="25"/>
      <c r="EGA15" s="21"/>
      <c r="EGB15" s="21"/>
      <c r="EGF15" s="15"/>
      <c r="EGL15" s="25"/>
      <c r="EGS15" s="21"/>
      <c r="EGT15" s="21"/>
      <c r="EGX15" s="15"/>
      <c r="EHD15" s="25"/>
      <c r="EHK15" s="21"/>
      <c r="EHL15" s="21"/>
      <c r="EHP15" s="15"/>
      <c r="EHV15" s="25"/>
      <c r="EIC15" s="21"/>
      <c r="EID15" s="21"/>
      <c r="EIH15" s="15"/>
      <c r="EIN15" s="25"/>
      <c r="EIU15" s="21"/>
      <c r="EIV15" s="21"/>
      <c r="EIZ15" s="15"/>
      <c r="EJF15" s="25"/>
      <c r="EJM15" s="21"/>
      <c r="EJN15" s="21"/>
      <c r="EJR15" s="15"/>
      <c r="EJX15" s="25"/>
      <c r="EKE15" s="21"/>
      <c r="EKF15" s="21"/>
      <c r="EKJ15" s="15"/>
      <c r="EKP15" s="25"/>
      <c r="EKW15" s="21"/>
      <c r="EKX15" s="21"/>
      <c r="ELB15" s="15"/>
      <c r="ELH15" s="25"/>
      <c r="ELO15" s="21"/>
      <c r="ELP15" s="21"/>
      <c r="ELT15" s="15"/>
      <c r="ELZ15" s="25"/>
      <c r="EMG15" s="21"/>
      <c r="EMH15" s="21"/>
      <c r="EML15" s="15"/>
      <c r="EMR15" s="25"/>
      <c r="EMY15" s="21"/>
      <c r="EMZ15" s="21"/>
      <c r="END15" s="15"/>
      <c r="ENJ15" s="25"/>
      <c r="ENQ15" s="21"/>
      <c r="ENR15" s="21"/>
      <c r="ENV15" s="15"/>
      <c r="EOB15" s="25"/>
      <c r="EOI15" s="21"/>
      <c r="EOJ15" s="21"/>
      <c r="EON15" s="15"/>
      <c r="EOT15" s="25"/>
      <c r="EPA15" s="21"/>
      <c r="EPB15" s="21"/>
      <c r="EPF15" s="15"/>
      <c r="EPL15" s="25"/>
      <c r="EPS15" s="21"/>
      <c r="EPT15" s="21"/>
      <c r="EPX15" s="15"/>
      <c r="EQD15" s="25"/>
      <c r="EQK15" s="21"/>
      <c r="EQL15" s="21"/>
      <c r="EQP15" s="15"/>
      <c r="EQV15" s="25"/>
      <c r="ERC15" s="21"/>
      <c r="ERD15" s="21"/>
      <c r="ERH15" s="15"/>
      <c r="ERN15" s="25"/>
      <c r="ERU15" s="21"/>
      <c r="ERV15" s="21"/>
      <c r="ERZ15" s="15"/>
      <c r="ESF15" s="25"/>
      <c r="ESM15" s="21"/>
      <c r="ESN15" s="21"/>
      <c r="ESR15" s="15"/>
      <c r="ESX15" s="25"/>
      <c r="ETE15" s="21"/>
      <c r="ETF15" s="21"/>
      <c r="ETJ15" s="15"/>
      <c r="ETP15" s="25"/>
      <c r="ETW15" s="21"/>
      <c r="ETX15" s="21"/>
      <c r="EUB15" s="15"/>
      <c r="EUH15" s="25"/>
      <c r="EUO15" s="21"/>
      <c r="EUP15" s="21"/>
      <c r="EUT15" s="15"/>
      <c r="EUZ15" s="25"/>
      <c r="EVG15" s="21"/>
      <c r="EVH15" s="21"/>
      <c r="EVL15" s="15"/>
      <c r="EVR15" s="25"/>
      <c r="EVY15" s="21"/>
      <c r="EVZ15" s="21"/>
      <c r="EWD15" s="15"/>
      <c r="EWJ15" s="25"/>
      <c r="EWQ15" s="21"/>
      <c r="EWR15" s="21"/>
      <c r="EWV15" s="15"/>
      <c r="EXB15" s="25"/>
      <c r="EXI15" s="21"/>
      <c r="EXJ15" s="21"/>
      <c r="EXN15" s="15"/>
      <c r="EXT15" s="25"/>
      <c r="EYA15" s="21"/>
      <c r="EYB15" s="21"/>
      <c r="EYF15" s="15"/>
      <c r="EYL15" s="25"/>
      <c r="EYS15" s="21"/>
      <c r="EYT15" s="21"/>
      <c r="EYX15" s="15"/>
      <c r="EZD15" s="25"/>
      <c r="EZK15" s="21"/>
      <c r="EZL15" s="21"/>
      <c r="EZP15" s="15"/>
      <c r="EZV15" s="25"/>
      <c r="FAC15" s="21"/>
      <c r="FAD15" s="21"/>
      <c r="FAH15" s="15"/>
      <c r="FAN15" s="25"/>
      <c r="FAU15" s="21"/>
      <c r="FAV15" s="21"/>
      <c r="FAZ15" s="15"/>
      <c r="FBF15" s="25"/>
      <c r="FBM15" s="21"/>
      <c r="FBN15" s="21"/>
      <c r="FBR15" s="15"/>
      <c r="FBX15" s="25"/>
      <c r="FCE15" s="21"/>
      <c r="FCF15" s="21"/>
      <c r="FCJ15" s="15"/>
      <c r="FCP15" s="25"/>
      <c r="FCW15" s="21"/>
      <c r="FCX15" s="21"/>
      <c r="FDB15" s="15"/>
      <c r="FDH15" s="25"/>
      <c r="FDO15" s="21"/>
      <c r="FDP15" s="21"/>
      <c r="FDT15" s="15"/>
      <c r="FDZ15" s="25"/>
      <c r="FEG15" s="21"/>
      <c r="FEH15" s="21"/>
      <c r="FEL15" s="15"/>
      <c r="FER15" s="25"/>
      <c r="FEY15" s="21"/>
      <c r="FEZ15" s="21"/>
      <c r="FFD15" s="15"/>
      <c r="FFJ15" s="25"/>
      <c r="FFQ15" s="21"/>
      <c r="FFR15" s="21"/>
      <c r="FFV15" s="15"/>
      <c r="FGB15" s="25"/>
      <c r="FGI15" s="21"/>
      <c r="FGJ15" s="21"/>
      <c r="FGN15" s="15"/>
      <c r="FGT15" s="25"/>
      <c r="FHA15" s="21"/>
      <c r="FHB15" s="21"/>
      <c r="FHF15" s="15"/>
      <c r="FHL15" s="25"/>
      <c r="FHS15" s="21"/>
      <c r="FHT15" s="21"/>
      <c r="FHX15" s="15"/>
      <c r="FID15" s="25"/>
      <c r="FIK15" s="21"/>
      <c r="FIL15" s="21"/>
      <c r="FIP15" s="15"/>
      <c r="FIV15" s="25"/>
      <c r="FJC15" s="21"/>
      <c r="FJD15" s="21"/>
      <c r="FJH15" s="15"/>
      <c r="FJN15" s="25"/>
      <c r="FJU15" s="21"/>
      <c r="FJV15" s="21"/>
      <c r="FJZ15" s="15"/>
      <c r="FKF15" s="25"/>
      <c r="FKM15" s="21"/>
      <c r="FKN15" s="21"/>
      <c r="FKR15" s="15"/>
      <c r="FKX15" s="25"/>
      <c r="FLE15" s="21"/>
      <c r="FLF15" s="21"/>
      <c r="FLJ15" s="15"/>
      <c r="FLP15" s="25"/>
      <c r="FLW15" s="21"/>
      <c r="FLX15" s="21"/>
      <c r="FMB15" s="15"/>
      <c r="FMH15" s="25"/>
      <c r="FMO15" s="21"/>
      <c r="FMP15" s="21"/>
      <c r="FMT15" s="15"/>
      <c r="FMZ15" s="25"/>
      <c r="FNG15" s="21"/>
      <c r="FNH15" s="21"/>
      <c r="FNL15" s="15"/>
      <c r="FNR15" s="25"/>
      <c r="FNY15" s="21"/>
      <c r="FNZ15" s="21"/>
      <c r="FOD15" s="15"/>
      <c r="FOJ15" s="25"/>
      <c r="FOQ15" s="21"/>
      <c r="FOR15" s="21"/>
      <c r="FOV15" s="15"/>
      <c r="FPB15" s="25"/>
      <c r="FPI15" s="21"/>
      <c r="FPJ15" s="21"/>
      <c r="FPN15" s="15"/>
      <c r="FPT15" s="25"/>
      <c r="FQA15" s="21"/>
      <c r="FQB15" s="21"/>
      <c r="FQF15" s="15"/>
      <c r="FQL15" s="25"/>
      <c r="FQS15" s="21"/>
      <c r="FQT15" s="21"/>
      <c r="FQX15" s="15"/>
      <c r="FRD15" s="25"/>
      <c r="FRK15" s="21"/>
      <c r="FRL15" s="21"/>
      <c r="FRP15" s="15"/>
      <c r="FRV15" s="25"/>
      <c r="FSC15" s="21"/>
      <c r="FSD15" s="21"/>
      <c r="FSH15" s="15"/>
      <c r="FSN15" s="25"/>
      <c r="FSU15" s="21"/>
      <c r="FSV15" s="21"/>
      <c r="FSZ15" s="15"/>
      <c r="FTF15" s="25"/>
      <c r="FTM15" s="21"/>
      <c r="FTN15" s="21"/>
      <c r="FTR15" s="15"/>
      <c r="FTX15" s="25"/>
      <c r="FUE15" s="21"/>
      <c r="FUF15" s="21"/>
      <c r="FUJ15" s="15"/>
      <c r="FUP15" s="25"/>
      <c r="FUW15" s="21"/>
      <c r="FUX15" s="21"/>
      <c r="FVB15" s="15"/>
      <c r="FVH15" s="25"/>
      <c r="FVO15" s="21"/>
      <c r="FVP15" s="21"/>
      <c r="FVT15" s="15"/>
      <c r="FVZ15" s="25"/>
      <c r="FWG15" s="21"/>
      <c r="FWH15" s="21"/>
      <c r="FWL15" s="15"/>
      <c r="FWR15" s="25"/>
      <c r="FWY15" s="21"/>
      <c r="FWZ15" s="21"/>
      <c r="FXD15" s="15"/>
      <c r="FXJ15" s="25"/>
      <c r="FXQ15" s="21"/>
      <c r="FXR15" s="21"/>
      <c r="FXV15" s="15"/>
      <c r="FYB15" s="25"/>
      <c r="FYI15" s="21"/>
      <c r="FYJ15" s="21"/>
      <c r="FYN15" s="15"/>
      <c r="FYT15" s="25"/>
      <c r="FZA15" s="21"/>
      <c r="FZB15" s="21"/>
      <c r="FZF15" s="15"/>
      <c r="FZL15" s="25"/>
      <c r="FZS15" s="21"/>
      <c r="FZT15" s="21"/>
      <c r="FZX15" s="15"/>
      <c r="GAD15" s="25"/>
      <c r="GAK15" s="21"/>
      <c r="GAL15" s="21"/>
      <c r="GAP15" s="15"/>
      <c r="GAV15" s="25"/>
      <c r="GBC15" s="21"/>
      <c r="GBD15" s="21"/>
      <c r="GBH15" s="15"/>
      <c r="GBN15" s="25"/>
      <c r="GBU15" s="21"/>
      <c r="GBV15" s="21"/>
      <c r="GBZ15" s="15"/>
      <c r="GCF15" s="25"/>
      <c r="GCM15" s="21"/>
      <c r="GCN15" s="21"/>
      <c r="GCR15" s="15"/>
      <c r="GCX15" s="25"/>
      <c r="GDE15" s="21"/>
      <c r="GDF15" s="21"/>
      <c r="GDJ15" s="15"/>
      <c r="GDP15" s="25"/>
      <c r="GDW15" s="21"/>
      <c r="GDX15" s="21"/>
      <c r="GEB15" s="15"/>
      <c r="GEH15" s="25"/>
      <c r="GEO15" s="21"/>
      <c r="GEP15" s="21"/>
      <c r="GET15" s="15"/>
      <c r="GEZ15" s="25"/>
      <c r="GFG15" s="21"/>
      <c r="GFH15" s="21"/>
      <c r="GFL15" s="15"/>
      <c r="GFR15" s="25"/>
      <c r="GFY15" s="21"/>
      <c r="GFZ15" s="21"/>
      <c r="GGD15" s="15"/>
      <c r="GGJ15" s="25"/>
      <c r="GGQ15" s="21"/>
      <c r="GGR15" s="21"/>
      <c r="GGV15" s="15"/>
      <c r="GHB15" s="25"/>
      <c r="GHI15" s="21"/>
      <c r="GHJ15" s="21"/>
      <c r="GHN15" s="15"/>
      <c r="GHT15" s="25"/>
      <c r="GIA15" s="21"/>
      <c r="GIB15" s="21"/>
      <c r="GIF15" s="15"/>
      <c r="GIL15" s="25"/>
      <c r="GIS15" s="21"/>
      <c r="GIT15" s="21"/>
      <c r="GIX15" s="15"/>
      <c r="GJD15" s="25"/>
      <c r="GJK15" s="21"/>
      <c r="GJL15" s="21"/>
      <c r="GJP15" s="15"/>
      <c r="GJV15" s="25"/>
      <c r="GKC15" s="21"/>
      <c r="GKD15" s="21"/>
      <c r="GKH15" s="15"/>
      <c r="GKN15" s="25"/>
      <c r="GKU15" s="21"/>
      <c r="GKV15" s="21"/>
      <c r="GKZ15" s="15"/>
      <c r="GLF15" s="25"/>
      <c r="GLM15" s="21"/>
      <c r="GLN15" s="21"/>
      <c r="GLR15" s="15"/>
      <c r="GLX15" s="25"/>
      <c r="GME15" s="21"/>
      <c r="GMF15" s="21"/>
      <c r="GMJ15" s="15"/>
      <c r="GMP15" s="25"/>
      <c r="GMW15" s="21"/>
      <c r="GMX15" s="21"/>
      <c r="GNB15" s="15"/>
      <c r="GNH15" s="25"/>
      <c r="GNO15" s="21"/>
      <c r="GNP15" s="21"/>
      <c r="GNT15" s="15"/>
      <c r="GNZ15" s="25"/>
      <c r="GOG15" s="21"/>
      <c r="GOH15" s="21"/>
      <c r="GOL15" s="15"/>
      <c r="GOR15" s="25"/>
      <c r="GOY15" s="21"/>
      <c r="GOZ15" s="21"/>
      <c r="GPD15" s="15"/>
      <c r="GPJ15" s="25"/>
      <c r="GPQ15" s="21"/>
      <c r="GPR15" s="21"/>
      <c r="GPV15" s="15"/>
      <c r="GQB15" s="25"/>
      <c r="GQI15" s="21"/>
      <c r="GQJ15" s="21"/>
      <c r="GQN15" s="15"/>
      <c r="GQT15" s="25"/>
      <c r="GRA15" s="21"/>
      <c r="GRB15" s="21"/>
      <c r="GRF15" s="15"/>
      <c r="GRL15" s="25"/>
      <c r="GRS15" s="21"/>
      <c r="GRT15" s="21"/>
      <c r="GRX15" s="15"/>
      <c r="GSD15" s="25"/>
      <c r="GSK15" s="21"/>
      <c r="GSL15" s="21"/>
      <c r="GSP15" s="15"/>
      <c r="GSV15" s="25"/>
      <c r="GTC15" s="21"/>
      <c r="GTD15" s="21"/>
      <c r="GTH15" s="15"/>
      <c r="GTN15" s="25"/>
      <c r="GTU15" s="21"/>
      <c r="GTV15" s="21"/>
      <c r="GTZ15" s="15"/>
      <c r="GUF15" s="25"/>
      <c r="GUM15" s="21"/>
      <c r="GUN15" s="21"/>
      <c r="GUR15" s="15"/>
      <c r="GUX15" s="25"/>
      <c r="GVE15" s="21"/>
      <c r="GVF15" s="21"/>
      <c r="GVJ15" s="15"/>
      <c r="GVP15" s="25"/>
      <c r="GVW15" s="21"/>
      <c r="GVX15" s="21"/>
      <c r="GWB15" s="15"/>
      <c r="GWH15" s="25"/>
      <c r="GWO15" s="21"/>
      <c r="GWP15" s="21"/>
      <c r="GWT15" s="15"/>
      <c r="GWZ15" s="25"/>
      <c r="GXG15" s="21"/>
      <c r="GXH15" s="21"/>
      <c r="GXL15" s="15"/>
      <c r="GXR15" s="25"/>
      <c r="GXY15" s="21"/>
      <c r="GXZ15" s="21"/>
      <c r="GYD15" s="15"/>
      <c r="GYJ15" s="25"/>
      <c r="GYQ15" s="21"/>
      <c r="GYR15" s="21"/>
      <c r="GYV15" s="15"/>
      <c r="GZB15" s="25"/>
      <c r="GZI15" s="21"/>
      <c r="GZJ15" s="21"/>
      <c r="GZN15" s="15"/>
      <c r="GZT15" s="25"/>
      <c r="HAA15" s="21"/>
      <c r="HAB15" s="21"/>
      <c r="HAF15" s="15"/>
      <c r="HAL15" s="25"/>
      <c r="HAS15" s="21"/>
      <c r="HAT15" s="21"/>
      <c r="HAX15" s="15"/>
      <c r="HBD15" s="25"/>
      <c r="HBK15" s="21"/>
      <c r="HBL15" s="21"/>
      <c r="HBP15" s="15"/>
      <c r="HBV15" s="25"/>
      <c r="HCC15" s="21"/>
      <c r="HCD15" s="21"/>
      <c r="HCH15" s="15"/>
      <c r="HCN15" s="25"/>
      <c r="HCU15" s="21"/>
      <c r="HCV15" s="21"/>
      <c r="HCZ15" s="15"/>
      <c r="HDF15" s="25"/>
      <c r="HDM15" s="21"/>
      <c r="HDN15" s="21"/>
      <c r="HDR15" s="15"/>
      <c r="HDX15" s="25"/>
      <c r="HEE15" s="21"/>
      <c r="HEF15" s="21"/>
      <c r="HEJ15" s="15"/>
      <c r="HEP15" s="25"/>
      <c r="HEW15" s="21"/>
      <c r="HEX15" s="21"/>
      <c r="HFB15" s="15"/>
      <c r="HFH15" s="25"/>
      <c r="HFO15" s="21"/>
      <c r="HFP15" s="21"/>
      <c r="HFT15" s="15"/>
      <c r="HFZ15" s="25"/>
      <c r="HGG15" s="21"/>
      <c r="HGH15" s="21"/>
      <c r="HGL15" s="15"/>
      <c r="HGR15" s="25"/>
      <c r="HGY15" s="21"/>
      <c r="HGZ15" s="21"/>
      <c r="HHD15" s="15"/>
      <c r="HHJ15" s="25"/>
      <c r="HHQ15" s="21"/>
      <c r="HHR15" s="21"/>
      <c r="HHV15" s="15"/>
      <c r="HIB15" s="25"/>
      <c r="HII15" s="21"/>
      <c r="HIJ15" s="21"/>
      <c r="HIN15" s="15"/>
      <c r="HIT15" s="25"/>
      <c r="HJA15" s="21"/>
      <c r="HJB15" s="21"/>
      <c r="HJF15" s="15"/>
      <c r="HJL15" s="25"/>
      <c r="HJS15" s="21"/>
      <c r="HJT15" s="21"/>
      <c r="HJX15" s="15"/>
      <c r="HKD15" s="25"/>
      <c r="HKK15" s="21"/>
      <c r="HKL15" s="21"/>
      <c r="HKP15" s="15"/>
      <c r="HKV15" s="25"/>
      <c r="HLC15" s="21"/>
      <c r="HLD15" s="21"/>
      <c r="HLH15" s="15"/>
      <c r="HLN15" s="25"/>
      <c r="HLU15" s="21"/>
      <c r="HLV15" s="21"/>
      <c r="HLZ15" s="15"/>
      <c r="HMF15" s="25"/>
      <c r="HMM15" s="21"/>
      <c r="HMN15" s="21"/>
      <c r="HMR15" s="15"/>
      <c r="HMX15" s="25"/>
      <c r="HNE15" s="21"/>
      <c r="HNF15" s="21"/>
      <c r="HNJ15" s="15"/>
      <c r="HNP15" s="25"/>
      <c r="HNW15" s="21"/>
      <c r="HNX15" s="21"/>
      <c r="HOB15" s="15"/>
      <c r="HOH15" s="25"/>
      <c r="HOO15" s="21"/>
      <c r="HOP15" s="21"/>
      <c r="HOT15" s="15"/>
      <c r="HOZ15" s="25"/>
      <c r="HPG15" s="21"/>
      <c r="HPH15" s="21"/>
      <c r="HPL15" s="15"/>
      <c r="HPR15" s="25"/>
      <c r="HPY15" s="21"/>
      <c r="HPZ15" s="21"/>
      <c r="HQD15" s="15"/>
      <c r="HQJ15" s="25"/>
      <c r="HQQ15" s="21"/>
      <c r="HQR15" s="21"/>
      <c r="HQV15" s="15"/>
      <c r="HRB15" s="25"/>
      <c r="HRI15" s="21"/>
      <c r="HRJ15" s="21"/>
      <c r="HRN15" s="15"/>
      <c r="HRT15" s="25"/>
      <c r="HSA15" s="21"/>
      <c r="HSB15" s="21"/>
      <c r="HSF15" s="15"/>
      <c r="HSL15" s="25"/>
      <c r="HSS15" s="21"/>
      <c r="HST15" s="21"/>
      <c r="HSX15" s="15"/>
      <c r="HTD15" s="25"/>
      <c r="HTK15" s="21"/>
      <c r="HTL15" s="21"/>
      <c r="HTP15" s="15"/>
      <c r="HTV15" s="25"/>
      <c r="HUC15" s="21"/>
      <c r="HUD15" s="21"/>
      <c r="HUH15" s="15"/>
      <c r="HUN15" s="25"/>
      <c r="HUU15" s="21"/>
      <c r="HUV15" s="21"/>
      <c r="HUZ15" s="15"/>
      <c r="HVF15" s="25"/>
      <c r="HVM15" s="21"/>
      <c r="HVN15" s="21"/>
      <c r="HVR15" s="15"/>
      <c r="HVX15" s="25"/>
      <c r="HWE15" s="21"/>
      <c r="HWF15" s="21"/>
      <c r="HWJ15" s="15"/>
      <c r="HWP15" s="25"/>
      <c r="HWW15" s="21"/>
      <c r="HWX15" s="21"/>
      <c r="HXB15" s="15"/>
      <c r="HXH15" s="25"/>
      <c r="HXO15" s="21"/>
      <c r="HXP15" s="21"/>
      <c r="HXT15" s="15"/>
      <c r="HXZ15" s="25"/>
      <c r="HYG15" s="21"/>
      <c r="HYH15" s="21"/>
      <c r="HYL15" s="15"/>
      <c r="HYR15" s="25"/>
      <c r="HYY15" s="21"/>
      <c r="HYZ15" s="21"/>
      <c r="HZD15" s="15"/>
      <c r="HZJ15" s="25"/>
      <c r="HZQ15" s="21"/>
      <c r="HZR15" s="21"/>
      <c r="HZV15" s="15"/>
      <c r="IAB15" s="25"/>
      <c r="IAI15" s="21"/>
      <c r="IAJ15" s="21"/>
      <c r="IAN15" s="15"/>
      <c r="IAT15" s="25"/>
      <c r="IBA15" s="21"/>
      <c r="IBB15" s="21"/>
      <c r="IBF15" s="15"/>
      <c r="IBL15" s="25"/>
      <c r="IBS15" s="21"/>
      <c r="IBT15" s="21"/>
      <c r="IBX15" s="15"/>
      <c r="ICD15" s="25"/>
      <c r="ICK15" s="21"/>
      <c r="ICL15" s="21"/>
      <c r="ICP15" s="15"/>
      <c r="ICV15" s="25"/>
      <c r="IDC15" s="21"/>
      <c r="IDD15" s="21"/>
      <c r="IDH15" s="15"/>
      <c r="IDN15" s="25"/>
      <c r="IDU15" s="21"/>
      <c r="IDV15" s="21"/>
      <c r="IDZ15" s="15"/>
      <c r="IEF15" s="25"/>
      <c r="IEM15" s="21"/>
      <c r="IEN15" s="21"/>
      <c r="IER15" s="15"/>
      <c r="IEX15" s="25"/>
      <c r="IFE15" s="21"/>
      <c r="IFF15" s="21"/>
      <c r="IFJ15" s="15"/>
      <c r="IFP15" s="25"/>
      <c r="IFW15" s="21"/>
      <c r="IFX15" s="21"/>
      <c r="IGB15" s="15"/>
      <c r="IGH15" s="25"/>
      <c r="IGO15" s="21"/>
      <c r="IGP15" s="21"/>
      <c r="IGT15" s="15"/>
      <c r="IGZ15" s="25"/>
      <c r="IHG15" s="21"/>
      <c r="IHH15" s="21"/>
      <c r="IHL15" s="15"/>
      <c r="IHR15" s="25"/>
      <c r="IHY15" s="21"/>
      <c r="IHZ15" s="21"/>
      <c r="IID15" s="15"/>
      <c r="IIJ15" s="25"/>
      <c r="IIQ15" s="21"/>
      <c r="IIR15" s="21"/>
      <c r="IIV15" s="15"/>
      <c r="IJB15" s="25"/>
      <c r="IJI15" s="21"/>
      <c r="IJJ15" s="21"/>
      <c r="IJN15" s="15"/>
      <c r="IJT15" s="25"/>
      <c r="IKA15" s="21"/>
      <c r="IKB15" s="21"/>
      <c r="IKF15" s="15"/>
      <c r="IKL15" s="25"/>
      <c r="IKS15" s="21"/>
      <c r="IKT15" s="21"/>
      <c r="IKX15" s="15"/>
      <c r="ILD15" s="25"/>
      <c r="ILK15" s="21"/>
      <c r="ILL15" s="21"/>
      <c r="ILP15" s="15"/>
      <c r="ILV15" s="25"/>
      <c r="IMC15" s="21"/>
      <c r="IMD15" s="21"/>
      <c r="IMH15" s="15"/>
      <c r="IMN15" s="25"/>
      <c r="IMU15" s="21"/>
      <c r="IMV15" s="21"/>
      <c r="IMZ15" s="15"/>
      <c r="INF15" s="25"/>
      <c r="INM15" s="21"/>
      <c r="INN15" s="21"/>
      <c r="INR15" s="15"/>
      <c r="INX15" s="25"/>
      <c r="IOE15" s="21"/>
      <c r="IOF15" s="21"/>
      <c r="IOJ15" s="15"/>
      <c r="IOP15" s="25"/>
      <c r="IOW15" s="21"/>
      <c r="IOX15" s="21"/>
      <c r="IPB15" s="15"/>
      <c r="IPH15" s="25"/>
      <c r="IPO15" s="21"/>
      <c r="IPP15" s="21"/>
      <c r="IPT15" s="15"/>
      <c r="IPZ15" s="25"/>
      <c r="IQG15" s="21"/>
      <c r="IQH15" s="21"/>
      <c r="IQL15" s="15"/>
      <c r="IQR15" s="25"/>
      <c r="IQY15" s="21"/>
      <c r="IQZ15" s="21"/>
      <c r="IRD15" s="15"/>
      <c r="IRJ15" s="25"/>
      <c r="IRQ15" s="21"/>
      <c r="IRR15" s="21"/>
      <c r="IRV15" s="15"/>
      <c r="ISB15" s="25"/>
      <c r="ISI15" s="21"/>
      <c r="ISJ15" s="21"/>
      <c r="ISN15" s="15"/>
      <c r="IST15" s="25"/>
      <c r="ITA15" s="21"/>
      <c r="ITB15" s="21"/>
      <c r="ITF15" s="15"/>
      <c r="ITL15" s="25"/>
      <c r="ITS15" s="21"/>
      <c r="ITT15" s="21"/>
      <c r="ITX15" s="15"/>
      <c r="IUD15" s="25"/>
      <c r="IUK15" s="21"/>
      <c r="IUL15" s="21"/>
      <c r="IUP15" s="15"/>
      <c r="IUV15" s="25"/>
      <c r="IVC15" s="21"/>
      <c r="IVD15" s="21"/>
      <c r="IVH15" s="15"/>
      <c r="IVN15" s="25"/>
      <c r="IVU15" s="21"/>
      <c r="IVV15" s="21"/>
      <c r="IVZ15" s="15"/>
      <c r="IWF15" s="25"/>
      <c r="IWM15" s="21"/>
      <c r="IWN15" s="21"/>
      <c r="IWR15" s="15"/>
      <c r="IWX15" s="25"/>
      <c r="IXE15" s="21"/>
      <c r="IXF15" s="21"/>
      <c r="IXJ15" s="15"/>
      <c r="IXP15" s="25"/>
      <c r="IXW15" s="21"/>
      <c r="IXX15" s="21"/>
      <c r="IYB15" s="15"/>
      <c r="IYH15" s="25"/>
      <c r="IYO15" s="21"/>
      <c r="IYP15" s="21"/>
      <c r="IYT15" s="15"/>
      <c r="IYZ15" s="25"/>
      <c r="IZG15" s="21"/>
      <c r="IZH15" s="21"/>
      <c r="IZL15" s="15"/>
      <c r="IZR15" s="25"/>
      <c r="IZY15" s="21"/>
      <c r="IZZ15" s="21"/>
      <c r="JAD15" s="15"/>
      <c r="JAJ15" s="25"/>
      <c r="JAQ15" s="21"/>
      <c r="JAR15" s="21"/>
      <c r="JAV15" s="15"/>
      <c r="JBB15" s="25"/>
      <c r="JBI15" s="21"/>
      <c r="JBJ15" s="21"/>
      <c r="JBN15" s="15"/>
      <c r="JBT15" s="25"/>
      <c r="JCA15" s="21"/>
      <c r="JCB15" s="21"/>
      <c r="JCF15" s="15"/>
      <c r="JCL15" s="25"/>
      <c r="JCS15" s="21"/>
      <c r="JCT15" s="21"/>
      <c r="JCX15" s="15"/>
      <c r="JDD15" s="25"/>
      <c r="JDK15" s="21"/>
      <c r="JDL15" s="21"/>
      <c r="JDP15" s="15"/>
      <c r="JDV15" s="25"/>
      <c r="JEC15" s="21"/>
      <c r="JED15" s="21"/>
      <c r="JEH15" s="15"/>
      <c r="JEN15" s="25"/>
      <c r="JEU15" s="21"/>
      <c r="JEV15" s="21"/>
      <c r="JEZ15" s="15"/>
      <c r="JFF15" s="25"/>
      <c r="JFM15" s="21"/>
      <c r="JFN15" s="21"/>
      <c r="JFR15" s="15"/>
      <c r="JFX15" s="25"/>
      <c r="JGE15" s="21"/>
      <c r="JGF15" s="21"/>
      <c r="JGJ15" s="15"/>
      <c r="JGP15" s="25"/>
      <c r="JGW15" s="21"/>
      <c r="JGX15" s="21"/>
      <c r="JHB15" s="15"/>
      <c r="JHH15" s="25"/>
      <c r="JHO15" s="21"/>
      <c r="JHP15" s="21"/>
      <c r="JHT15" s="15"/>
      <c r="JHZ15" s="25"/>
      <c r="JIG15" s="21"/>
      <c r="JIH15" s="21"/>
      <c r="JIL15" s="15"/>
      <c r="JIR15" s="25"/>
      <c r="JIY15" s="21"/>
      <c r="JIZ15" s="21"/>
      <c r="JJD15" s="15"/>
      <c r="JJJ15" s="25"/>
      <c r="JJQ15" s="21"/>
      <c r="JJR15" s="21"/>
      <c r="JJV15" s="15"/>
      <c r="JKB15" s="25"/>
      <c r="JKI15" s="21"/>
      <c r="JKJ15" s="21"/>
      <c r="JKN15" s="15"/>
      <c r="JKT15" s="25"/>
      <c r="JLA15" s="21"/>
      <c r="JLB15" s="21"/>
      <c r="JLF15" s="15"/>
      <c r="JLL15" s="25"/>
      <c r="JLS15" s="21"/>
      <c r="JLT15" s="21"/>
      <c r="JLX15" s="15"/>
      <c r="JMD15" s="25"/>
      <c r="JMK15" s="21"/>
      <c r="JML15" s="21"/>
      <c r="JMP15" s="15"/>
      <c r="JMV15" s="25"/>
      <c r="JNC15" s="21"/>
      <c r="JND15" s="21"/>
      <c r="JNH15" s="15"/>
      <c r="JNN15" s="25"/>
      <c r="JNU15" s="21"/>
      <c r="JNV15" s="21"/>
      <c r="JNZ15" s="15"/>
      <c r="JOF15" s="25"/>
      <c r="JOM15" s="21"/>
      <c r="JON15" s="21"/>
      <c r="JOR15" s="15"/>
      <c r="JOX15" s="25"/>
      <c r="JPE15" s="21"/>
      <c r="JPF15" s="21"/>
      <c r="JPJ15" s="15"/>
      <c r="JPP15" s="25"/>
      <c r="JPW15" s="21"/>
      <c r="JPX15" s="21"/>
      <c r="JQB15" s="15"/>
      <c r="JQH15" s="25"/>
      <c r="JQO15" s="21"/>
      <c r="JQP15" s="21"/>
      <c r="JQT15" s="15"/>
      <c r="JQZ15" s="25"/>
      <c r="JRG15" s="21"/>
      <c r="JRH15" s="21"/>
      <c r="JRL15" s="15"/>
      <c r="JRR15" s="25"/>
      <c r="JRY15" s="21"/>
      <c r="JRZ15" s="21"/>
      <c r="JSD15" s="15"/>
      <c r="JSJ15" s="25"/>
      <c r="JSQ15" s="21"/>
      <c r="JSR15" s="21"/>
      <c r="JSV15" s="15"/>
      <c r="JTB15" s="25"/>
      <c r="JTI15" s="21"/>
      <c r="JTJ15" s="21"/>
      <c r="JTN15" s="15"/>
      <c r="JTT15" s="25"/>
      <c r="JUA15" s="21"/>
      <c r="JUB15" s="21"/>
      <c r="JUF15" s="15"/>
      <c r="JUL15" s="25"/>
      <c r="JUS15" s="21"/>
      <c r="JUT15" s="21"/>
      <c r="JUX15" s="15"/>
      <c r="JVD15" s="25"/>
      <c r="JVK15" s="21"/>
      <c r="JVL15" s="21"/>
      <c r="JVP15" s="15"/>
      <c r="JVV15" s="25"/>
      <c r="JWC15" s="21"/>
      <c r="JWD15" s="21"/>
      <c r="JWH15" s="15"/>
      <c r="JWN15" s="25"/>
      <c r="JWU15" s="21"/>
      <c r="JWV15" s="21"/>
      <c r="JWZ15" s="15"/>
      <c r="JXF15" s="25"/>
      <c r="JXM15" s="21"/>
      <c r="JXN15" s="21"/>
      <c r="JXR15" s="15"/>
      <c r="JXX15" s="25"/>
      <c r="JYE15" s="21"/>
      <c r="JYF15" s="21"/>
      <c r="JYJ15" s="15"/>
      <c r="JYP15" s="25"/>
      <c r="JYW15" s="21"/>
      <c r="JYX15" s="21"/>
      <c r="JZB15" s="15"/>
      <c r="JZH15" s="25"/>
      <c r="JZO15" s="21"/>
      <c r="JZP15" s="21"/>
      <c r="JZT15" s="15"/>
      <c r="JZZ15" s="25"/>
      <c r="KAG15" s="21"/>
      <c r="KAH15" s="21"/>
      <c r="KAL15" s="15"/>
      <c r="KAR15" s="25"/>
      <c r="KAY15" s="21"/>
      <c r="KAZ15" s="21"/>
      <c r="KBD15" s="15"/>
      <c r="KBJ15" s="25"/>
      <c r="KBQ15" s="21"/>
      <c r="KBR15" s="21"/>
      <c r="KBV15" s="15"/>
      <c r="KCB15" s="25"/>
      <c r="KCI15" s="21"/>
      <c r="KCJ15" s="21"/>
      <c r="KCN15" s="15"/>
      <c r="KCT15" s="25"/>
      <c r="KDA15" s="21"/>
      <c r="KDB15" s="21"/>
      <c r="KDF15" s="15"/>
      <c r="KDL15" s="25"/>
      <c r="KDS15" s="21"/>
      <c r="KDT15" s="21"/>
      <c r="KDX15" s="15"/>
      <c r="KED15" s="25"/>
      <c r="KEK15" s="21"/>
      <c r="KEL15" s="21"/>
      <c r="KEP15" s="15"/>
      <c r="KEV15" s="25"/>
      <c r="KFC15" s="21"/>
      <c r="KFD15" s="21"/>
      <c r="KFH15" s="15"/>
      <c r="KFN15" s="25"/>
      <c r="KFU15" s="21"/>
      <c r="KFV15" s="21"/>
      <c r="KFZ15" s="15"/>
      <c r="KGF15" s="25"/>
      <c r="KGM15" s="21"/>
      <c r="KGN15" s="21"/>
      <c r="KGR15" s="15"/>
      <c r="KGX15" s="25"/>
      <c r="KHE15" s="21"/>
      <c r="KHF15" s="21"/>
      <c r="KHJ15" s="15"/>
      <c r="KHP15" s="25"/>
      <c r="KHW15" s="21"/>
      <c r="KHX15" s="21"/>
      <c r="KIB15" s="15"/>
      <c r="KIH15" s="25"/>
      <c r="KIO15" s="21"/>
      <c r="KIP15" s="21"/>
      <c r="KIT15" s="15"/>
      <c r="KIZ15" s="25"/>
      <c r="KJG15" s="21"/>
      <c r="KJH15" s="21"/>
      <c r="KJL15" s="15"/>
      <c r="KJR15" s="25"/>
      <c r="KJY15" s="21"/>
      <c r="KJZ15" s="21"/>
      <c r="KKD15" s="15"/>
      <c r="KKJ15" s="25"/>
      <c r="KKQ15" s="21"/>
      <c r="KKR15" s="21"/>
      <c r="KKV15" s="15"/>
      <c r="KLB15" s="25"/>
      <c r="KLI15" s="21"/>
      <c r="KLJ15" s="21"/>
      <c r="KLN15" s="15"/>
      <c r="KLT15" s="25"/>
      <c r="KMA15" s="21"/>
      <c r="KMB15" s="21"/>
      <c r="KMF15" s="15"/>
      <c r="KML15" s="25"/>
      <c r="KMS15" s="21"/>
      <c r="KMT15" s="21"/>
      <c r="KMX15" s="15"/>
      <c r="KND15" s="25"/>
      <c r="KNK15" s="21"/>
      <c r="KNL15" s="21"/>
      <c r="KNP15" s="15"/>
      <c r="KNV15" s="25"/>
      <c r="KOC15" s="21"/>
      <c r="KOD15" s="21"/>
      <c r="KOH15" s="15"/>
      <c r="KON15" s="25"/>
      <c r="KOU15" s="21"/>
      <c r="KOV15" s="21"/>
      <c r="KOZ15" s="15"/>
      <c r="KPF15" s="25"/>
      <c r="KPM15" s="21"/>
      <c r="KPN15" s="21"/>
      <c r="KPR15" s="15"/>
      <c r="KPX15" s="25"/>
      <c r="KQE15" s="21"/>
      <c r="KQF15" s="21"/>
      <c r="KQJ15" s="15"/>
      <c r="KQP15" s="25"/>
      <c r="KQW15" s="21"/>
      <c r="KQX15" s="21"/>
      <c r="KRB15" s="15"/>
      <c r="KRH15" s="25"/>
      <c r="KRO15" s="21"/>
      <c r="KRP15" s="21"/>
      <c r="KRT15" s="15"/>
      <c r="KRZ15" s="25"/>
      <c r="KSG15" s="21"/>
      <c r="KSH15" s="21"/>
      <c r="KSL15" s="15"/>
      <c r="KSR15" s="25"/>
      <c r="KSY15" s="21"/>
      <c r="KSZ15" s="21"/>
      <c r="KTD15" s="15"/>
      <c r="KTJ15" s="25"/>
      <c r="KTQ15" s="21"/>
      <c r="KTR15" s="21"/>
      <c r="KTV15" s="15"/>
      <c r="KUB15" s="25"/>
      <c r="KUI15" s="21"/>
      <c r="KUJ15" s="21"/>
      <c r="KUN15" s="15"/>
      <c r="KUT15" s="25"/>
      <c r="KVA15" s="21"/>
      <c r="KVB15" s="21"/>
      <c r="KVF15" s="15"/>
      <c r="KVL15" s="25"/>
      <c r="KVS15" s="21"/>
      <c r="KVT15" s="21"/>
      <c r="KVX15" s="15"/>
      <c r="KWD15" s="25"/>
      <c r="KWK15" s="21"/>
      <c r="KWL15" s="21"/>
      <c r="KWP15" s="15"/>
      <c r="KWV15" s="25"/>
      <c r="KXC15" s="21"/>
      <c r="KXD15" s="21"/>
      <c r="KXH15" s="15"/>
      <c r="KXN15" s="25"/>
      <c r="KXU15" s="21"/>
      <c r="KXV15" s="21"/>
      <c r="KXZ15" s="15"/>
      <c r="KYF15" s="25"/>
      <c r="KYM15" s="21"/>
      <c r="KYN15" s="21"/>
      <c r="KYR15" s="15"/>
      <c r="KYX15" s="25"/>
      <c r="KZE15" s="21"/>
      <c r="KZF15" s="21"/>
      <c r="KZJ15" s="15"/>
      <c r="KZP15" s="25"/>
      <c r="KZW15" s="21"/>
      <c r="KZX15" s="21"/>
      <c r="LAB15" s="15"/>
      <c r="LAH15" s="25"/>
      <c r="LAO15" s="21"/>
      <c r="LAP15" s="21"/>
      <c r="LAT15" s="15"/>
      <c r="LAZ15" s="25"/>
      <c r="LBG15" s="21"/>
      <c r="LBH15" s="21"/>
      <c r="LBL15" s="15"/>
      <c r="LBR15" s="25"/>
      <c r="LBY15" s="21"/>
      <c r="LBZ15" s="21"/>
      <c r="LCD15" s="15"/>
      <c r="LCJ15" s="25"/>
      <c r="LCQ15" s="21"/>
      <c r="LCR15" s="21"/>
      <c r="LCV15" s="15"/>
      <c r="LDB15" s="25"/>
      <c r="LDI15" s="21"/>
      <c r="LDJ15" s="21"/>
      <c r="LDN15" s="15"/>
      <c r="LDT15" s="25"/>
      <c r="LEA15" s="21"/>
      <c r="LEB15" s="21"/>
      <c r="LEF15" s="15"/>
      <c r="LEL15" s="25"/>
      <c r="LES15" s="21"/>
      <c r="LET15" s="21"/>
      <c r="LEX15" s="15"/>
      <c r="LFD15" s="25"/>
      <c r="LFK15" s="21"/>
      <c r="LFL15" s="21"/>
      <c r="LFP15" s="15"/>
      <c r="LFV15" s="25"/>
      <c r="LGC15" s="21"/>
      <c r="LGD15" s="21"/>
      <c r="LGH15" s="15"/>
      <c r="LGN15" s="25"/>
      <c r="LGU15" s="21"/>
      <c r="LGV15" s="21"/>
      <c r="LGZ15" s="15"/>
      <c r="LHF15" s="25"/>
      <c r="LHM15" s="21"/>
      <c r="LHN15" s="21"/>
      <c r="LHR15" s="15"/>
      <c r="LHX15" s="25"/>
      <c r="LIE15" s="21"/>
      <c r="LIF15" s="21"/>
      <c r="LIJ15" s="15"/>
      <c r="LIP15" s="25"/>
      <c r="LIW15" s="21"/>
      <c r="LIX15" s="21"/>
      <c r="LJB15" s="15"/>
      <c r="LJH15" s="25"/>
      <c r="LJO15" s="21"/>
      <c r="LJP15" s="21"/>
      <c r="LJT15" s="15"/>
      <c r="LJZ15" s="25"/>
      <c r="LKG15" s="21"/>
      <c r="LKH15" s="21"/>
      <c r="LKL15" s="15"/>
      <c r="LKR15" s="25"/>
      <c r="LKY15" s="21"/>
      <c r="LKZ15" s="21"/>
      <c r="LLD15" s="15"/>
      <c r="LLJ15" s="25"/>
      <c r="LLQ15" s="21"/>
      <c r="LLR15" s="21"/>
      <c r="LLV15" s="15"/>
      <c r="LMB15" s="25"/>
      <c r="LMI15" s="21"/>
      <c r="LMJ15" s="21"/>
      <c r="LMN15" s="15"/>
      <c r="LMT15" s="25"/>
      <c r="LNA15" s="21"/>
      <c r="LNB15" s="21"/>
      <c r="LNF15" s="15"/>
      <c r="LNL15" s="25"/>
      <c r="LNS15" s="21"/>
      <c r="LNT15" s="21"/>
      <c r="LNX15" s="15"/>
      <c r="LOD15" s="25"/>
      <c r="LOK15" s="21"/>
      <c r="LOL15" s="21"/>
      <c r="LOP15" s="15"/>
      <c r="LOV15" s="25"/>
      <c r="LPC15" s="21"/>
      <c r="LPD15" s="21"/>
      <c r="LPH15" s="15"/>
      <c r="LPN15" s="25"/>
      <c r="LPU15" s="21"/>
      <c r="LPV15" s="21"/>
      <c r="LPZ15" s="15"/>
      <c r="LQF15" s="25"/>
      <c r="LQM15" s="21"/>
      <c r="LQN15" s="21"/>
      <c r="LQR15" s="15"/>
      <c r="LQX15" s="25"/>
      <c r="LRE15" s="21"/>
      <c r="LRF15" s="21"/>
      <c r="LRJ15" s="15"/>
      <c r="LRP15" s="25"/>
      <c r="LRW15" s="21"/>
      <c r="LRX15" s="21"/>
      <c r="LSB15" s="15"/>
      <c r="LSH15" s="25"/>
      <c r="LSO15" s="21"/>
      <c r="LSP15" s="21"/>
      <c r="LST15" s="15"/>
      <c r="LSZ15" s="25"/>
      <c r="LTG15" s="21"/>
      <c r="LTH15" s="21"/>
      <c r="LTL15" s="15"/>
      <c r="LTR15" s="25"/>
      <c r="LTY15" s="21"/>
      <c r="LTZ15" s="21"/>
      <c r="LUD15" s="15"/>
      <c r="LUJ15" s="25"/>
      <c r="LUQ15" s="21"/>
      <c r="LUR15" s="21"/>
      <c r="LUV15" s="15"/>
      <c r="LVB15" s="25"/>
      <c r="LVI15" s="21"/>
      <c r="LVJ15" s="21"/>
      <c r="LVN15" s="15"/>
      <c r="LVT15" s="25"/>
      <c r="LWA15" s="21"/>
      <c r="LWB15" s="21"/>
      <c r="LWF15" s="15"/>
      <c r="LWL15" s="25"/>
      <c r="LWS15" s="21"/>
      <c r="LWT15" s="21"/>
      <c r="LWX15" s="15"/>
      <c r="LXD15" s="25"/>
      <c r="LXK15" s="21"/>
      <c r="LXL15" s="21"/>
      <c r="LXP15" s="15"/>
      <c r="LXV15" s="25"/>
      <c r="LYC15" s="21"/>
      <c r="LYD15" s="21"/>
      <c r="LYH15" s="15"/>
      <c r="LYN15" s="25"/>
      <c r="LYU15" s="21"/>
      <c r="LYV15" s="21"/>
      <c r="LYZ15" s="15"/>
      <c r="LZF15" s="25"/>
      <c r="LZM15" s="21"/>
      <c r="LZN15" s="21"/>
      <c r="LZR15" s="15"/>
      <c r="LZX15" s="25"/>
      <c r="MAE15" s="21"/>
      <c r="MAF15" s="21"/>
      <c r="MAJ15" s="15"/>
      <c r="MAP15" s="25"/>
      <c r="MAW15" s="21"/>
      <c r="MAX15" s="21"/>
      <c r="MBB15" s="15"/>
      <c r="MBH15" s="25"/>
      <c r="MBO15" s="21"/>
      <c r="MBP15" s="21"/>
      <c r="MBT15" s="15"/>
      <c r="MBZ15" s="25"/>
      <c r="MCG15" s="21"/>
      <c r="MCH15" s="21"/>
      <c r="MCL15" s="15"/>
      <c r="MCR15" s="25"/>
      <c r="MCY15" s="21"/>
      <c r="MCZ15" s="21"/>
      <c r="MDD15" s="15"/>
      <c r="MDJ15" s="25"/>
      <c r="MDQ15" s="21"/>
      <c r="MDR15" s="21"/>
      <c r="MDV15" s="15"/>
      <c r="MEB15" s="25"/>
      <c r="MEI15" s="21"/>
      <c r="MEJ15" s="21"/>
      <c r="MEN15" s="15"/>
      <c r="MET15" s="25"/>
      <c r="MFA15" s="21"/>
      <c r="MFB15" s="21"/>
      <c r="MFF15" s="15"/>
      <c r="MFL15" s="25"/>
      <c r="MFS15" s="21"/>
      <c r="MFT15" s="21"/>
      <c r="MFX15" s="15"/>
      <c r="MGD15" s="25"/>
      <c r="MGK15" s="21"/>
      <c r="MGL15" s="21"/>
      <c r="MGP15" s="15"/>
      <c r="MGV15" s="25"/>
      <c r="MHC15" s="21"/>
      <c r="MHD15" s="21"/>
      <c r="MHH15" s="15"/>
      <c r="MHN15" s="25"/>
      <c r="MHU15" s="21"/>
      <c r="MHV15" s="21"/>
      <c r="MHZ15" s="15"/>
      <c r="MIF15" s="25"/>
      <c r="MIM15" s="21"/>
      <c r="MIN15" s="21"/>
      <c r="MIR15" s="15"/>
      <c r="MIX15" s="25"/>
      <c r="MJE15" s="21"/>
      <c r="MJF15" s="21"/>
      <c r="MJJ15" s="15"/>
      <c r="MJP15" s="25"/>
      <c r="MJW15" s="21"/>
      <c r="MJX15" s="21"/>
      <c r="MKB15" s="15"/>
      <c r="MKH15" s="25"/>
      <c r="MKO15" s="21"/>
      <c r="MKP15" s="21"/>
      <c r="MKT15" s="15"/>
      <c r="MKZ15" s="25"/>
      <c r="MLG15" s="21"/>
      <c r="MLH15" s="21"/>
      <c r="MLL15" s="15"/>
      <c r="MLR15" s="25"/>
      <c r="MLY15" s="21"/>
      <c r="MLZ15" s="21"/>
      <c r="MMD15" s="15"/>
      <c r="MMJ15" s="25"/>
      <c r="MMQ15" s="21"/>
      <c r="MMR15" s="21"/>
      <c r="MMV15" s="15"/>
      <c r="MNB15" s="25"/>
      <c r="MNI15" s="21"/>
      <c r="MNJ15" s="21"/>
      <c r="MNN15" s="15"/>
      <c r="MNT15" s="25"/>
      <c r="MOA15" s="21"/>
      <c r="MOB15" s="21"/>
      <c r="MOF15" s="15"/>
      <c r="MOL15" s="25"/>
      <c r="MOS15" s="21"/>
      <c r="MOT15" s="21"/>
      <c r="MOX15" s="15"/>
      <c r="MPD15" s="25"/>
      <c r="MPK15" s="21"/>
      <c r="MPL15" s="21"/>
      <c r="MPP15" s="15"/>
      <c r="MPV15" s="25"/>
      <c r="MQC15" s="21"/>
      <c r="MQD15" s="21"/>
      <c r="MQH15" s="15"/>
      <c r="MQN15" s="25"/>
      <c r="MQU15" s="21"/>
      <c r="MQV15" s="21"/>
      <c r="MQZ15" s="15"/>
      <c r="MRF15" s="25"/>
      <c r="MRM15" s="21"/>
      <c r="MRN15" s="21"/>
      <c r="MRR15" s="15"/>
      <c r="MRX15" s="25"/>
      <c r="MSE15" s="21"/>
      <c r="MSF15" s="21"/>
      <c r="MSJ15" s="15"/>
      <c r="MSP15" s="25"/>
      <c r="MSW15" s="21"/>
      <c r="MSX15" s="21"/>
      <c r="MTB15" s="15"/>
      <c r="MTH15" s="25"/>
      <c r="MTO15" s="21"/>
      <c r="MTP15" s="21"/>
      <c r="MTT15" s="15"/>
      <c r="MTZ15" s="25"/>
      <c r="MUG15" s="21"/>
      <c r="MUH15" s="21"/>
      <c r="MUL15" s="15"/>
      <c r="MUR15" s="25"/>
      <c r="MUY15" s="21"/>
      <c r="MUZ15" s="21"/>
      <c r="MVD15" s="15"/>
      <c r="MVJ15" s="25"/>
      <c r="MVQ15" s="21"/>
      <c r="MVR15" s="21"/>
      <c r="MVV15" s="15"/>
      <c r="MWB15" s="25"/>
      <c r="MWI15" s="21"/>
      <c r="MWJ15" s="21"/>
      <c r="MWN15" s="15"/>
      <c r="MWT15" s="25"/>
      <c r="MXA15" s="21"/>
      <c r="MXB15" s="21"/>
      <c r="MXF15" s="15"/>
      <c r="MXL15" s="25"/>
      <c r="MXS15" s="21"/>
      <c r="MXT15" s="21"/>
      <c r="MXX15" s="15"/>
      <c r="MYD15" s="25"/>
      <c r="MYK15" s="21"/>
      <c r="MYL15" s="21"/>
      <c r="MYP15" s="15"/>
      <c r="MYV15" s="25"/>
      <c r="MZC15" s="21"/>
      <c r="MZD15" s="21"/>
      <c r="MZH15" s="15"/>
      <c r="MZN15" s="25"/>
      <c r="MZU15" s="21"/>
      <c r="MZV15" s="21"/>
      <c r="MZZ15" s="15"/>
      <c r="NAF15" s="25"/>
      <c r="NAM15" s="21"/>
      <c r="NAN15" s="21"/>
      <c r="NAR15" s="15"/>
      <c r="NAX15" s="25"/>
      <c r="NBE15" s="21"/>
      <c r="NBF15" s="21"/>
      <c r="NBJ15" s="15"/>
      <c r="NBP15" s="25"/>
      <c r="NBW15" s="21"/>
      <c r="NBX15" s="21"/>
      <c r="NCB15" s="15"/>
      <c r="NCH15" s="25"/>
      <c r="NCO15" s="21"/>
      <c r="NCP15" s="21"/>
      <c r="NCT15" s="15"/>
      <c r="NCZ15" s="25"/>
      <c r="NDG15" s="21"/>
      <c r="NDH15" s="21"/>
      <c r="NDL15" s="15"/>
      <c r="NDR15" s="25"/>
      <c r="NDY15" s="21"/>
      <c r="NDZ15" s="21"/>
      <c r="NED15" s="15"/>
      <c r="NEJ15" s="25"/>
      <c r="NEQ15" s="21"/>
      <c r="NER15" s="21"/>
      <c r="NEV15" s="15"/>
      <c r="NFB15" s="25"/>
      <c r="NFI15" s="21"/>
      <c r="NFJ15" s="21"/>
      <c r="NFN15" s="15"/>
      <c r="NFT15" s="25"/>
      <c r="NGA15" s="21"/>
      <c r="NGB15" s="21"/>
      <c r="NGF15" s="15"/>
      <c r="NGL15" s="25"/>
      <c r="NGS15" s="21"/>
      <c r="NGT15" s="21"/>
      <c r="NGX15" s="15"/>
      <c r="NHD15" s="25"/>
      <c r="NHK15" s="21"/>
      <c r="NHL15" s="21"/>
      <c r="NHP15" s="15"/>
      <c r="NHV15" s="25"/>
      <c r="NIC15" s="21"/>
      <c r="NID15" s="21"/>
      <c r="NIH15" s="15"/>
      <c r="NIN15" s="25"/>
      <c r="NIU15" s="21"/>
      <c r="NIV15" s="21"/>
      <c r="NIZ15" s="15"/>
      <c r="NJF15" s="25"/>
      <c r="NJM15" s="21"/>
      <c r="NJN15" s="21"/>
      <c r="NJR15" s="15"/>
      <c r="NJX15" s="25"/>
      <c r="NKE15" s="21"/>
      <c r="NKF15" s="21"/>
      <c r="NKJ15" s="15"/>
      <c r="NKP15" s="25"/>
      <c r="NKW15" s="21"/>
      <c r="NKX15" s="21"/>
      <c r="NLB15" s="15"/>
      <c r="NLH15" s="25"/>
      <c r="NLO15" s="21"/>
      <c r="NLP15" s="21"/>
      <c r="NLT15" s="15"/>
      <c r="NLZ15" s="25"/>
      <c r="NMG15" s="21"/>
      <c r="NMH15" s="21"/>
      <c r="NML15" s="15"/>
      <c r="NMR15" s="25"/>
      <c r="NMY15" s="21"/>
      <c r="NMZ15" s="21"/>
      <c r="NND15" s="15"/>
      <c r="NNJ15" s="25"/>
      <c r="NNQ15" s="21"/>
      <c r="NNR15" s="21"/>
      <c r="NNV15" s="15"/>
      <c r="NOB15" s="25"/>
      <c r="NOI15" s="21"/>
      <c r="NOJ15" s="21"/>
      <c r="NON15" s="15"/>
      <c r="NOT15" s="25"/>
      <c r="NPA15" s="21"/>
      <c r="NPB15" s="21"/>
      <c r="NPF15" s="15"/>
      <c r="NPL15" s="25"/>
      <c r="NPS15" s="21"/>
      <c r="NPT15" s="21"/>
      <c r="NPX15" s="15"/>
      <c r="NQD15" s="25"/>
      <c r="NQK15" s="21"/>
      <c r="NQL15" s="21"/>
      <c r="NQP15" s="15"/>
      <c r="NQV15" s="25"/>
      <c r="NRC15" s="21"/>
      <c r="NRD15" s="21"/>
      <c r="NRH15" s="15"/>
      <c r="NRN15" s="25"/>
      <c r="NRU15" s="21"/>
      <c r="NRV15" s="21"/>
      <c r="NRZ15" s="15"/>
      <c r="NSF15" s="25"/>
      <c r="NSM15" s="21"/>
      <c r="NSN15" s="21"/>
      <c r="NSR15" s="15"/>
      <c r="NSX15" s="25"/>
      <c r="NTE15" s="21"/>
      <c r="NTF15" s="21"/>
      <c r="NTJ15" s="15"/>
      <c r="NTP15" s="25"/>
      <c r="NTW15" s="21"/>
      <c r="NTX15" s="21"/>
      <c r="NUB15" s="15"/>
      <c r="NUH15" s="25"/>
      <c r="NUO15" s="21"/>
      <c r="NUP15" s="21"/>
      <c r="NUT15" s="15"/>
      <c r="NUZ15" s="25"/>
      <c r="NVG15" s="21"/>
      <c r="NVH15" s="21"/>
      <c r="NVL15" s="15"/>
      <c r="NVR15" s="25"/>
      <c r="NVY15" s="21"/>
      <c r="NVZ15" s="21"/>
      <c r="NWD15" s="15"/>
      <c r="NWJ15" s="25"/>
      <c r="NWQ15" s="21"/>
      <c r="NWR15" s="21"/>
      <c r="NWV15" s="15"/>
      <c r="NXB15" s="25"/>
      <c r="NXI15" s="21"/>
      <c r="NXJ15" s="21"/>
      <c r="NXN15" s="15"/>
      <c r="NXT15" s="25"/>
      <c r="NYA15" s="21"/>
      <c r="NYB15" s="21"/>
      <c r="NYF15" s="15"/>
      <c r="NYL15" s="25"/>
      <c r="NYS15" s="21"/>
      <c r="NYT15" s="21"/>
      <c r="NYX15" s="15"/>
      <c r="NZD15" s="25"/>
      <c r="NZK15" s="21"/>
      <c r="NZL15" s="21"/>
      <c r="NZP15" s="15"/>
      <c r="NZV15" s="25"/>
      <c r="OAC15" s="21"/>
      <c r="OAD15" s="21"/>
      <c r="OAH15" s="15"/>
      <c r="OAN15" s="25"/>
      <c r="OAU15" s="21"/>
      <c r="OAV15" s="21"/>
      <c r="OAZ15" s="15"/>
      <c r="OBF15" s="25"/>
      <c r="OBM15" s="21"/>
      <c r="OBN15" s="21"/>
      <c r="OBR15" s="15"/>
      <c r="OBX15" s="25"/>
      <c r="OCE15" s="21"/>
      <c r="OCF15" s="21"/>
      <c r="OCJ15" s="15"/>
      <c r="OCP15" s="25"/>
      <c r="OCW15" s="21"/>
      <c r="OCX15" s="21"/>
      <c r="ODB15" s="15"/>
      <c r="ODH15" s="25"/>
      <c r="ODO15" s="21"/>
      <c r="ODP15" s="21"/>
      <c r="ODT15" s="15"/>
      <c r="ODZ15" s="25"/>
      <c r="OEG15" s="21"/>
      <c r="OEH15" s="21"/>
      <c r="OEL15" s="15"/>
      <c r="OER15" s="25"/>
      <c r="OEY15" s="21"/>
      <c r="OEZ15" s="21"/>
      <c r="OFD15" s="15"/>
      <c r="OFJ15" s="25"/>
      <c r="OFQ15" s="21"/>
      <c r="OFR15" s="21"/>
      <c r="OFV15" s="15"/>
      <c r="OGB15" s="25"/>
      <c r="OGI15" s="21"/>
      <c r="OGJ15" s="21"/>
      <c r="OGN15" s="15"/>
      <c r="OGT15" s="25"/>
      <c r="OHA15" s="21"/>
      <c r="OHB15" s="21"/>
      <c r="OHF15" s="15"/>
      <c r="OHL15" s="25"/>
      <c r="OHS15" s="21"/>
      <c r="OHT15" s="21"/>
      <c r="OHX15" s="15"/>
      <c r="OID15" s="25"/>
      <c r="OIK15" s="21"/>
      <c r="OIL15" s="21"/>
      <c r="OIP15" s="15"/>
      <c r="OIV15" s="25"/>
      <c r="OJC15" s="21"/>
      <c r="OJD15" s="21"/>
      <c r="OJH15" s="15"/>
      <c r="OJN15" s="25"/>
      <c r="OJU15" s="21"/>
      <c r="OJV15" s="21"/>
      <c r="OJZ15" s="15"/>
      <c r="OKF15" s="25"/>
      <c r="OKM15" s="21"/>
      <c r="OKN15" s="21"/>
      <c r="OKR15" s="15"/>
      <c r="OKX15" s="25"/>
      <c r="OLE15" s="21"/>
      <c r="OLF15" s="21"/>
      <c r="OLJ15" s="15"/>
      <c r="OLP15" s="25"/>
      <c r="OLW15" s="21"/>
      <c r="OLX15" s="21"/>
      <c r="OMB15" s="15"/>
      <c r="OMH15" s="25"/>
      <c r="OMO15" s="21"/>
      <c r="OMP15" s="21"/>
      <c r="OMT15" s="15"/>
      <c r="OMZ15" s="25"/>
      <c r="ONG15" s="21"/>
      <c r="ONH15" s="21"/>
      <c r="ONL15" s="15"/>
      <c r="ONR15" s="25"/>
      <c r="ONY15" s="21"/>
      <c r="ONZ15" s="21"/>
      <c r="OOD15" s="15"/>
      <c r="OOJ15" s="25"/>
      <c r="OOQ15" s="21"/>
      <c r="OOR15" s="21"/>
      <c r="OOV15" s="15"/>
      <c r="OPB15" s="25"/>
      <c r="OPI15" s="21"/>
      <c r="OPJ15" s="21"/>
      <c r="OPN15" s="15"/>
      <c r="OPT15" s="25"/>
      <c r="OQA15" s="21"/>
      <c r="OQB15" s="21"/>
      <c r="OQF15" s="15"/>
      <c r="OQL15" s="25"/>
      <c r="OQS15" s="21"/>
      <c r="OQT15" s="21"/>
      <c r="OQX15" s="15"/>
      <c r="ORD15" s="25"/>
      <c r="ORK15" s="21"/>
      <c r="ORL15" s="21"/>
      <c r="ORP15" s="15"/>
      <c r="ORV15" s="25"/>
      <c r="OSC15" s="21"/>
      <c r="OSD15" s="21"/>
      <c r="OSH15" s="15"/>
      <c r="OSN15" s="25"/>
      <c r="OSU15" s="21"/>
      <c r="OSV15" s="21"/>
      <c r="OSZ15" s="15"/>
      <c r="OTF15" s="25"/>
      <c r="OTM15" s="21"/>
      <c r="OTN15" s="21"/>
      <c r="OTR15" s="15"/>
      <c r="OTX15" s="25"/>
      <c r="OUE15" s="21"/>
      <c r="OUF15" s="21"/>
      <c r="OUJ15" s="15"/>
      <c r="OUP15" s="25"/>
      <c r="OUW15" s="21"/>
      <c r="OUX15" s="21"/>
      <c r="OVB15" s="15"/>
      <c r="OVH15" s="25"/>
      <c r="OVO15" s="21"/>
      <c r="OVP15" s="21"/>
      <c r="OVT15" s="15"/>
      <c r="OVZ15" s="25"/>
      <c r="OWG15" s="21"/>
      <c r="OWH15" s="21"/>
      <c r="OWL15" s="15"/>
      <c r="OWR15" s="25"/>
      <c r="OWY15" s="21"/>
      <c r="OWZ15" s="21"/>
      <c r="OXD15" s="15"/>
      <c r="OXJ15" s="25"/>
      <c r="OXQ15" s="21"/>
      <c r="OXR15" s="21"/>
      <c r="OXV15" s="15"/>
      <c r="OYB15" s="25"/>
      <c r="OYI15" s="21"/>
      <c r="OYJ15" s="21"/>
      <c r="OYN15" s="15"/>
      <c r="OYT15" s="25"/>
      <c r="OZA15" s="21"/>
      <c r="OZB15" s="21"/>
      <c r="OZF15" s="15"/>
      <c r="OZL15" s="25"/>
      <c r="OZS15" s="21"/>
      <c r="OZT15" s="21"/>
      <c r="OZX15" s="15"/>
      <c r="PAD15" s="25"/>
      <c r="PAK15" s="21"/>
      <c r="PAL15" s="21"/>
      <c r="PAP15" s="15"/>
      <c r="PAV15" s="25"/>
      <c r="PBC15" s="21"/>
      <c r="PBD15" s="21"/>
      <c r="PBH15" s="15"/>
      <c r="PBN15" s="25"/>
      <c r="PBU15" s="21"/>
      <c r="PBV15" s="21"/>
      <c r="PBZ15" s="15"/>
      <c r="PCF15" s="25"/>
      <c r="PCM15" s="21"/>
      <c r="PCN15" s="21"/>
      <c r="PCR15" s="15"/>
      <c r="PCX15" s="25"/>
      <c r="PDE15" s="21"/>
      <c r="PDF15" s="21"/>
      <c r="PDJ15" s="15"/>
      <c r="PDP15" s="25"/>
      <c r="PDW15" s="21"/>
      <c r="PDX15" s="21"/>
      <c r="PEB15" s="15"/>
      <c r="PEH15" s="25"/>
      <c r="PEO15" s="21"/>
      <c r="PEP15" s="21"/>
      <c r="PET15" s="15"/>
      <c r="PEZ15" s="25"/>
      <c r="PFG15" s="21"/>
      <c r="PFH15" s="21"/>
      <c r="PFL15" s="15"/>
      <c r="PFR15" s="25"/>
      <c r="PFY15" s="21"/>
      <c r="PFZ15" s="21"/>
      <c r="PGD15" s="15"/>
      <c r="PGJ15" s="25"/>
      <c r="PGQ15" s="21"/>
      <c r="PGR15" s="21"/>
      <c r="PGV15" s="15"/>
      <c r="PHB15" s="25"/>
      <c r="PHI15" s="21"/>
      <c r="PHJ15" s="21"/>
      <c r="PHN15" s="15"/>
      <c r="PHT15" s="25"/>
      <c r="PIA15" s="21"/>
      <c r="PIB15" s="21"/>
      <c r="PIF15" s="15"/>
      <c r="PIL15" s="25"/>
      <c r="PIS15" s="21"/>
      <c r="PIT15" s="21"/>
      <c r="PIX15" s="15"/>
      <c r="PJD15" s="25"/>
      <c r="PJK15" s="21"/>
      <c r="PJL15" s="21"/>
      <c r="PJP15" s="15"/>
      <c r="PJV15" s="25"/>
      <c r="PKC15" s="21"/>
      <c r="PKD15" s="21"/>
      <c r="PKH15" s="15"/>
      <c r="PKN15" s="25"/>
      <c r="PKU15" s="21"/>
      <c r="PKV15" s="21"/>
      <c r="PKZ15" s="15"/>
      <c r="PLF15" s="25"/>
      <c r="PLM15" s="21"/>
      <c r="PLN15" s="21"/>
      <c r="PLR15" s="15"/>
      <c r="PLX15" s="25"/>
      <c r="PME15" s="21"/>
      <c r="PMF15" s="21"/>
      <c r="PMJ15" s="15"/>
      <c r="PMP15" s="25"/>
      <c r="PMW15" s="21"/>
      <c r="PMX15" s="21"/>
      <c r="PNB15" s="15"/>
      <c r="PNH15" s="25"/>
      <c r="PNO15" s="21"/>
      <c r="PNP15" s="21"/>
      <c r="PNT15" s="15"/>
      <c r="PNZ15" s="25"/>
      <c r="POG15" s="21"/>
      <c r="POH15" s="21"/>
      <c r="POL15" s="15"/>
      <c r="POR15" s="25"/>
      <c r="POY15" s="21"/>
      <c r="POZ15" s="21"/>
      <c r="PPD15" s="15"/>
      <c r="PPJ15" s="25"/>
      <c r="PPQ15" s="21"/>
      <c r="PPR15" s="21"/>
      <c r="PPV15" s="15"/>
      <c r="PQB15" s="25"/>
      <c r="PQI15" s="21"/>
      <c r="PQJ15" s="21"/>
      <c r="PQN15" s="15"/>
      <c r="PQT15" s="25"/>
      <c r="PRA15" s="21"/>
      <c r="PRB15" s="21"/>
      <c r="PRF15" s="15"/>
      <c r="PRL15" s="25"/>
      <c r="PRS15" s="21"/>
      <c r="PRT15" s="21"/>
      <c r="PRX15" s="15"/>
      <c r="PSD15" s="25"/>
      <c r="PSK15" s="21"/>
      <c r="PSL15" s="21"/>
      <c r="PSP15" s="15"/>
      <c r="PSV15" s="25"/>
      <c r="PTC15" s="21"/>
      <c r="PTD15" s="21"/>
      <c r="PTH15" s="15"/>
      <c r="PTN15" s="25"/>
      <c r="PTU15" s="21"/>
      <c r="PTV15" s="21"/>
      <c r="PTZ15" s="15"/>
      <c r="PUF15" s="25"/>
      <c r="PUM15" s="21"/>
      <c r="PUN15" s="21"/>
      <c r="PUR15" s="15"/>
      <c r="PUX15" s="25"/>
      <c r="PVE15" s="21"/>
      <c r="PVF15" s="21"/>
      <c r="PVJ15" s="15"/>
      <c r="PVP15" s="25"/>
      <c r="PVW15" s="21"/>
      <c r="PVX15" s="21"/>
      <c r="PWB15" s="15"/>
      <c r="PWH15" s="25"/>
      <c r="PWO15" s="21"/>
      <c r="PWP15" s="21"/>
      <c r="PWT15" s="15"/>
      <c r="PWZ15" s="25"/>
      <c r="PXG15" s="21"/>
      <c r="PXH15" s="21"/>
      <c r="PXL15" s="15"/>
      <c r="PXR15" s="25"/>
      <c r="PXY15" s="21"/>
      <c r="PXZ15" s="21"/>
      <c r="PYD15" s="15"/>
      <c r="PYJ15" s="25"/>
      <c r="PYQ15" s="21"/>
      <c r="PYR15" s="21"/>
      <c r="PYV15" s="15"/>
      <c r="PZB15" s="25"/>
      <c r="PZI15" s="21"/>
      <c r="PZJ15" s="21"/>
      <c r="PZN15" s="15"/>
      <c r="PZT15" s="25"/>
      <c r="QAA15" s="21"/>
      <c r="QAB15" s="21"/>
      <c r="QAF15" s="15"/>
      <c r="QAL15" s="25"/>
      <c r="QAS15" s="21"/>
      <c r="QAT15" s="21"/>
      <c r="QAX15" s="15"/>
      <c r="QBD15" s="25"/>
      <c r="QBK15" s="21"/>
      <c r="QBL15" s="21"/>
      <c r="QBP15" s="15"/>
      <c r="QBV15" s="25"/>
      <c r="QCC15" s="21"/>
      <c r="QCD15" s="21"/>
      <c r="QCH15" s="15"/>
      <c r="QCN15" s="25"/>
      <c r="QCU15" s="21"/>
      <c r="QCV15" s="21"/>
      <c r="QCZ15" s="15"/>
      <c r="QDF15" s="25"/>
      <c r="QDM15" s="21"/>
      <c r="QDN15" s="21"/>
      <c r="QDR15" s="15"/>
      <c r="QDX15" s="25"/>
      <c r="QEE15" s="21"/>
      <c r="QEF15" s="21"/>
      <c r="QEJ15" s="15"/>
      <c r="QEP15" s="25"/>
      <c r="QEW15" s="21"/>
      <c r="QEX15" s="21"/>
      <c r="QFB15" s="15"/>
      <c r="QFH15" s="25"/>
      <c r="QFO15" s="21"/>
      <c r="QFP15" s="21"/>
      <c r="QFT15" s="15"/>
      <c r="QFZ15" s="25"/>
      <c r="QGG15" s="21"/>
      <c r="QGH15" s="21"/>
      <c r="QGL15" s="15"/>
      <c r="QGR15" s="25"/>
      <c r="QGY15" s="21"/>
      <c r="QGZ15" s="21"/>
      <c r="QHD15" s="15"/>
      <c r="QHJ15" s="25"/>
      <c r="QHQ15" s="21"/>
      <c r="QHR15" s="21"/>
      <c r="QHV15" s="15"/>
      <c r="QIB15" s="25"/>
      <c r="QII15" s="21"/>
      <c r="QIJ15" s="21"/>
      <c r="QIN15" s="15"/>
      <c r="QIT15" s="25"/>
      <c r="QJA15" s="21"/>
      <c r="QJB15" s="21"/>
      <c r="QJF15" s="15"/>
      <c r="QJL15" s="25"/>
      <c r="QJS15" s="21"/>
      <c r="QJT15" s="21"/>
      <c r="QJX15" s="15"/>
      <c r="QKD15" s="25"/>
      <c r="QKK15" s="21"/>
      <c r="QKL15" s="21"/>
      <c r="QKP15" s="15"/>
      <c r="QKV15" s="25"/>
      <c r="QLC15" s="21"/>
      <c r="QLD15" s="21"/>
      <c r="QLH15" s="15"/>
      <c r="QLN15" s="25"/>
      <c r="QLU15" s="21"/>
      <c r="QLV15" s="21"/>
      <c r="QLZ15" s="15"/>
      <c r="QMF15" s="25"/>
      <c r="QMM15" s="21"/>
      <c r="QMN15" s="21"/>
      <c r="QMR15" s="15"/>
      <c r="QMX15" s="25"/>
      <c r="QNE15" s="21"/>
      <c r="QNF15" s="21"/>
      <c r="QNJ15" s="15"/>
      <c r="QNP15" s="25"/>
      <c r="QNW15" s="21"/>
      <c r="QNX15" s="21"/>
      <c r="QOB15" s="15"/>
      <c r="QOH15" s="25"/>
      <c r="QOO15" s="21"/>
      <c r="QOP15" s="21"/>
      <c r="QOT15" s="15"/>
      <c r="QOZ15" s="25"/>
      <c r="QPG15" s="21"/>
      <c r="QPH15" s="21"/>
      <c r="QPL15" s="15"/>
      <c r="QPR15" s="25"/>
      <c r="QPY15" s="21"/>
      <c r="QPZ15" s="21"/>
      <c r="QQD15" s="15"/>
      <c r="QQJ15" s="25"/>
      <c r="QQQ15" s="21"/>
      <c r="QQR15" s="21"/>
      <c r="QQV15" s="15"/>
      <c r="QRB15" s="25"/>
      <c r="QRI15" s="21"/>
      <c r="QRJ15" s="21"/>
      <c r="QRN15" s="15"/>
      <c r="QRT15" s="25"/>
      <c r="QSA15" s="21"/>
      <c r="QSB15" s="21"/>
      <c r="QSF15" s="15"/>
      <c r="QSL15" s="25"/>
      <c r="QSS15" s="21"/>
      <c r="QST15" s="21"/>
      <c r="QSX15" s="15"/>
      <c r="QTD15" s="25"/>
      <c r="QTK15" s="21"/>
      <c r="QTL15" s="21"/>
      <c r="QTP15" s="15"/>
      <c r="QTV15" s="25"/>
      <c r="QUC15" s="21"/>
      <c r="QUD15" s="21"/>
      <c r="QUH15" s="15"/>
      <c r="QUN15" s="25"/>
      <c r="QUU15" s="21"/>
      <c r="QUV15" s="21"/>
      <c r="QUZ15" s="15"/>
      <c r="QVF15" s="25"/>
      <c r="QVM15" s="21"/>
      <c r="QVN15" s="21"/>
      <c r="QVR15" s="15"/>
      <c r="QVX15" s="25"/>
      <c r="QWE15" s="21"/>
      <c r="QWF15" s="21"/>
      <c r="QWJ15" s="15"/>
      <c r="QWP15" s="25"/>
      <c r="QWW15" s="21"/>
      <c r="QWX15" s="21"/>
      <c r="QXB15" s="15"/>
      <c r="QXH15" s="25"/>
      <c r="QXO15" s="21"/>
      <c r="QXP15" s="21"/>
      <c r="QXT15" s="15"/>
      <c r="QXZ15" s="25"/>
      <c r="QYG15" s="21"/>
      <c r="QYH15" s="21"/>
      <c r="QYL15" s="15"/>
      <c r="QYR15" s="25"/>
      <c r="QYY15" s="21"/>
      <c r="QYZ15" s="21"/>
      <c r="QZD15" s="15"/>
      <c r="QZJ15" s="25"/>
      <c r="QZQ15" s="21"/>
      <c r="QZR15" s="21"/>
      <c r="QZV15" s="15"/>
      <c r="RAB15" s="25"/>
      <c r="RAI15" s="21"/>
      <c r="RAJ15" s="21"/>
      <c r="RAN15" s="15"/>
      <c r="RAT15" s="25"/>
      <c r="RBA15" s="21"/>
      <c r="RBB15" s="21"/>
      <c r="RBF15" s="15"/>
      <c r="RBL15" s="25"/>
      <c r="RBS15" s="21"/>
      <c r="RBT15" s="21"/>
      <c r="RBX15" s="15"/>
      <c r="RCD15" s="25"/>
      <c r="RCK15" s="21"/>
      <c r="RCL15" s="21"/>
      <c r="RCP15" s="15"/>
      <c r="RCV15" s="25"/>
      <c r="RDC15" s="21"/>
      <c r="RDD15" s="21"/>
      <c r="RDH15" s="15"/>
      <c r="RDN15" s="25"/>
      <c r="RDU15" s="21"/>
      <c r="RDV15" s="21"/>
      <c r="RDZ15" s="15"/>
      <c r="REF15" s="25"/>
      <c r="REM15" s="21"/>
      <c r="REN15" s="21"/>
      <c r="RER15" s="15"/>
      <c r="REX15" s="25"/>
      <c r="RFE15" s="21"/>
      <c r="RFF15" s="21"/>
      <c r="RFJ15" s="15"/>
      <c r="RFP15" s="25"/>
      <c r="RFW15" s="21"/>
      <c r="RFX15" s="21"/>
      <c r="RGB15" s="15"/>
      <c r="RGH15" s="25"/>
      <c r="RGO15" s="21"/>
      <c r="RGP15" s="21"/>
      <c r="RGT15" s="15"/>
      <c r="RGZ15" s="25"/>
      <c r="RHG15" s="21"/>
      <c r="RHH15" s="21"/>
      <c r="RHL15" s="15"/>
      <c r="RHR15" s="25"/>
      <c r="RHY15" s="21"/>
      <c r="RHZ15" s="21"/>
      <c r="RID15" s="15"/>
      <c r="RIJ15" s="25"/>
      <c r="RIQ15" s="21"/>
      <c r="RIR15" s="21"/>
      <c r="RIV15" s="15"/>
      <c r="RJB15" s="25"/>
      <c r="RJI15" s="21"/>
      <c r="RJJ15" s="21"/>
      <c r="RJN15" s="15"/>
      <c r="RJT15" s="25"/>
      <c r="RKA15" s="21"/>
      <c r="RKB15" s="21"/>
      <c r="RKF15" s="15"/>
      <c r="RKL15" s="25"/>
      <c r="RKS15" s="21"/>
      <c r="RKT15" s="21"/>
      <c r="RKX15" s="15"/>
      <c r="RLD15" s="25"/>
      <c r="RLK15" s="21"/>
      <c r="RLL15" s="21"/>
      <c r="RLP15" s="15"/>
      <c r="RLV15" s="25"/>
      <c r="RMC15" s="21"/>
      <c r="RMD15" s="21"/>
      <c r="RMH15" s="15"/>
      <c r="RMN15" s="25"/>
      <c r="RMU15" s="21"/>
      <c r="RMV15" s="21"/>
      <c r="RMZ15" s="15"/>
      <c r="RNF15" s="25"/>
      <c r="RNM15" s="21"/>
      <c r="RNN15" s="21"/>
      <c r="RNR15" s="15"/>
      <c r="RNX15" s="25"/>
      <c r="ROE15" s="21"/>
      <c r="ROF15" s="21"/>
      <c r="ROJ15" s="15"/>
      <c r="ROP15" s="25"/>
      <c r="ROW15" s="21"/>
      <c r="ROX15" s="21"/>
      <c r="RPB15" s="15"/>
      <c r="RPH15" s="25"/>
      <c r="RPO15" s="21"/>
      <c r="RPP15" s="21"/>
      <c r="RPT15" s="15"/>
      <c r="RPZ15" s="25"/>
      <c r="RQG15" s="21"/>
      <c r="RQH15" s="21"/>
      <c r="RQL15" s="15"/>
      <c r="RQR15" s="25"/>
      <c r="RQY15" s="21"/>
      <c r="RQZ15" s="21"/>
      <c r="RRD15" s="15"/>
      <c r="RRJ15" s="25"/>
      <c r="RRQ15" s="21"/>
      <c r="RRR15" s="21"/>
      <c r="RRV15" s="15"/>
      <c r="RSB15" s="25"/>
      <c r="RSI15" s="21"/>
      <c r="RSJ15" s="21"/>
      <c r="RSN15" s="15"/>
      <c r="RST15" s="25"/>
      <c r="RTA15" s="21"/>
      <c r="RTB15" s="21"/>
      <c r="RTF15" s="15"/>
      <c r="RTL15" s="25"/>
      <c r="RTS15" s="21"/>
      <c r="RTT15" s="21"/>
      <c r="RTX15" s="15"/>
      <c r="RUD15" s="25"/>
      <c r="RUK15" s="21"/>
      <c r="RUL15" s="21"/>
      <c r="RUP15" s="15"/>
      <c r="RUV15" s="25"/>
      <c r="RVC15" s="21"/>
      <c r="RVD15" s="21"/>
      <c r="RVH15" s="15"/>
      <c r="RVN15" s="25"/>
      <c r="RVU15" s="21"/>
      <c r="RVV15" s="21"/>
      <c r="RVZ15" s="15"/>
      <c r="RWF15" s="25"/>
      <c r="RWM15" s="21"/>
      <c r="RWN15" s="21"/>
      <c r="RWR15" s="15"/>
      <c r="RWX15" s="25"/>
      <c r="RXE15" s="21"/>
      <c r="RXF15" s="21"/>
      <c r="RXJ15" s="15"/>
      <c r="RXP15" s="25"/>
      <c r="RXW15" s="21"/>
      <c r="RXX15" s="21"/>
      <c r="RYB15" s="15"/>
      <c r="RYH15" s="25"/>
      <c r="RYO15" s="21"/>
      <c r="RYP15" s="21"/>
      <c r="RYT15" s="15"/>
      <c r="RYZ15" s="25"/>
      <c r="RZG15" s="21"/>
      <c r="RZH15" s="21"/>
      <c r="RZL15" s="15"/>
      <c r="RZR15" s="25"/>
      <c r="RZY15" s="21"/>
      <c r="RZZ15" s="21"/>
      <c r="SAD15" s="15"/>
      <c r="SAJ15" s="25"/>
      <c r="SAQ15" s="21"/>
      <c r="SAR15" s="21"/>
      <c r="SAV15" s="15"/>
      <c r="SBB15" s="25"/>
      <c r="SBI15" s="21"/>
      <c r="SBJ15" s="21"/>
      <c r="SBN15" s="15"/>
      <c r="SBT15" s="25"/>
      <c r="SCA15" s="21"/>
      <c r="SCB15" s="21"/>
      <c r="SCF15" s="15"/>
      <c r="SCL15" s="25"/>
      <c r="SCS15" s="21"/>
      <c r="SCT15" s="21"/>
      <c r="SCX15" s="15"/>
      <c r="SDD15" s="25"/>
      <c r="SDK15" s="21"/>
      <c r="SDL15" s="21"/>
      <c r="SDP15" s="15"/>
      <c r="SDV15" s="25"/>
      <c r="SEC15" s="21"/>
      <c r="SED15" s="21"/>
      <c r="SEH15" s="15"/>
      <c r="SEN15" s="25"/>
      <c r="SEU15" s="21"/>
      <c r="SEV15" s="21"/>
      <c r="SEZ15" s="15"/>
      <c r="SFF15" s="25"/>
      <c r="SFM15" s="21"/>
      <c r="SFN15" s="21"/>
      <c r="SFR15" s="15"/>
      <c r="SFX15" s="25"/>
      <c r="SGE15" s="21"/>
      <c r="SGF15" s="21"/>
      <c r="SGJ15" s="15"/>
      <c r="SGP15" s="25"/>
      <c r="SGW15" s="21"/>
      <c r="SGX15" s="21"/>
      <c r="SHB15" s="15"/>
      <c r="SHH15" s="25"/>
      <c r="SHO15" s="21"/>
      <c r="SHP15" s="21"/>
      <c r="SHT15" s="15"/>
      <c r="SHZ15" s="25"/>
      <c r="SIG15" s="21"/>
      <c r="SIH15" s="21"/>
      <c r="SIL15" s="15"/>
      <c r="SIR15" s="25"/>
      <c r="SIY15" s="21"/>
      <c r="SIZ15" s="21"/>
      <c r="SJD15" s="15"/>
      <c r="SJJ15" s="25"/>
      <c r="SJQ15" s="21"/>
      <c r="SJR15" s="21"/>
      <c r="SJV15" s="15"/>
      <c r="SKB15" s="25"/>
      <c r="SKI15" s="21"/>
      <c r="SKJ15" s="21"/>
      <c r="SKN15" s="15"/>
      <c r="SKT15" s="25"/>
      <c r="SLA15" s="21"/>
      <c r="SLB15" s="21"/>
      <c r="SLF15" s="15"/>
      <c r="SLL15" s="25"/>
      <c r="SLS15" s="21"/>
      <c r="SLT15" s="21"/>
      <c r="SLX15" s="15"/>
      <c r="SMD15" s="25"/>
      <c r="SMK15" s="21"/>
      <c r="SML15" s="21"/>
      <c r="SMP15" s="15"/>
      <c r="SMV15" s="25"/>
      <c r="SNC15" s="21"/>
      <c r="SND15" s="21"/>
      <c r="SNH15" s="15"/>
      <c r="SNN15" s="25"/>
      <c r="SNU15" s="21"/>
      <c r="SNV15" s="21"/>
      <c r="SNZ15" s="15"/>
      <c r="SOF15" s="25"/>
      <c r="SOM15" s="21"/>
      <c r="SON15" s="21"/>
      <c r="SOR15" s="15"/>
      <c r="SOX15" s="25"/>
      <c r="SPE15" s="21"/>
      <c r="SPF15" s="21"/>
      <c r="SPJ15" s="15"/>
      <c r="SPP15" s="25"/>
      <c r="SPW15" s="21"/>
      <c r="SPX15" s="21"/>
      <c r="SQB15" s="15"/>
      <c r="SQH15" s="25"/>
      <c r="SQO15" s="21"/>
      <c r="SQP15" s="21"/>
      <c r="SQT15" s="15"/>
      <c r="SQZ15" s="25"/>
      <c r="SRG15" s="21"/>
      <c r="SRH15" s="21"/>
      <c r="SRL15" s="15"/>
      <c r="SRR15" s="25"/>
      <c r="SRY15" s="21"/>
      <c r="SRZ15" s="21"/>
      <c r="SSD15" s="15"/>
      <c r="SSJ15" s="25"/>
      <c r="SSQ15" s="21"/>
      <c r="SSR15" s="21"/>
      <c r="SSV15" s="15"/>
      <c r="STB15" s="25"/>
      <c r="STI15" s="21"/>
      <c r="STJ15" s="21"/>
      <c r="STN15" s="15"/>
      <c r="STT15" s="25"/>
      <c r="SUA15" s="21"/>
      <c r="SUB15" s="21"/>
      <c r="SUF15" s="15"/>
      <c r="SUL15" s="25"/>
      <c r="SUS15" s="21"/>
      <c r="SUT15" s="21"/>
      <c r="SUX15" s="15"/>
      <c r="SVD15" s="25"/>
      <c r="SVK15" s="21"/>
      <c r="SVL15" s="21"/>
      <c r="SVP15" s="15"/>
      <c r="SVV15" s="25"/>
      <c r="SWC15" s="21"/>
      <c r="SWD15" s="21"/>
      <c r="SWH15" s="15"/>
      <c r="SWN15" s="25"/>
      <c r="SWU15" s="21"/>
      <c r="SWV15" s="21"/>
      <c r="SWZ15" s="15"/>
      <c r="SXF15" s="25"/>
      <c r="SXM15" s="21"/>
      <c r="SXN15" s="21"/>
      <c r="SXR15" s="15"/>
      <c r="SXX15" s="25"/>
      <c r="SYE15" s="21"/>
      <c r="SYF15" s="21"/>
      <c r="SYJ15" s="15"/>
      <c r="SYP15" s="25"/>
      <c r="SYW15" s="21"/>
      <c r="SYX15" s="21"/>
      <c r="SZB15" s="15"/>
      <c r="SZH15" s="25"/>
      <c r="SZO15" s="21"/>
      <c r="SZP15" s="21"/>
      <c r="SZT15" s="15"/>
      <c r="SZZ15" s="25"/>
      <c r="TAG15" s="21"/>
      <c r="TAH15" s="21"/>
      <c r="TAL15" s="15"/>
      <c r="TAR15" s="25"/>
      <c r="TAY15" s="21"/>
      <c r="TAZ15" s="21"/>
      <c r="TBD15" s="15"/>
      <c r="TBJ15" s="25"/>
      <c r="TBQ15" s="21"/>
      <c r="TBR15" s="21"/>
      <c r="TBV15" s="15"/>
      <c r="TCB15" s="25"/>
      <c r="TCI15" s="21"/>
      <c r="TCJ15" s="21"/>
      <c r="TCN15" s="15"/>
      <c r="TCT15" s="25"/>
      <c r="TDA15" s="21"/>
      <c r="TDB15" s="21"/>
      <c r="TDF15" s="15"/>
      <c r="TDL15" s="25"/>
      <c r="TDS15" s="21"/>
      <c r="TDT15" s="21"/>
      <c r="TDX15" s="15"/>
      <c r="TED15" s="25"/>
      <c r="TEK15" s="21"/>
      <c r="TEL15" s="21"/>
      <c r="TEP15" s="15"/>
      <c r="TEV15" s="25"/>
      <c r="TFC15" s="21"/>
      <c r="TFD15" s="21"/>
      <c r="TFH15" s="15"/>
      <c r="TFN15" s="25"/>
      <c r="TFU15" s="21"/>
      <c r="TFV15" s="21"/>
      <c r="TFZ15" s="15"/>
      <c r="TGF15" s="25"/>
      <c r="TGM15" s="21"/>
      <c r="TGN15" s="21"/>
      <c r="TGR15" s="15"/>
      <c r="TGX15" s="25"/>
      <c r="THE15" s="21"/>
      <c r="THF15" s="21"/>
      <c r="THJ15" s="15"/>
      <c r="THP15" s="25"/>
      <c r="THW15" s="21"/>
      <c r="THX15" s="21"/>
      <c r="TIB15" s="15"/>
      <c r="TIH15" s="25"/>
      <c r="TIO15" s="21"/>
      <c r="TIP15" s="21"/>
      <c r="TIT15" s="15"/>
      <c r="TIZ15" s="25"/>
      <c r="TJG15" s="21"/>
      <c r="TJH15" s="21"/>
      <c r="TJL15" s="15"/>
      <c r="TJR15" s="25"/>
      <c r="TJY15" s="21"/>
      <c r="TJZ15" s="21"/>
      <c r="TKD15" s="15"/>
      <c r="TKJ15" s="25"/>
      <c r="TKQ15" s="21"/>
      <c r="TKR15" s="21"/>
      <c r="TKV15" s="15"/>
      <c r="TLB15" s="25"/>
      <c r="TLI15" s="21"/>
      <c r="TLJ15" s="21"/>
      <c r="TLN15" s="15"/>
      <c r="TLT15" s="25"/>
      <c r="TMA15" s="21"/>
      <c r="TMB15" s="21"/>
      <c r="TMF15" s="15"/>
      <c r="TML15" s="25"/>
      <c r="TMS15" s="21"/>
      <c r="TMT15" s="21"/>
      <c r="TMX15" s="15"/>
      <c r="TND15" s="25"/>
      <c r="TNK15" s="21"/>
      <c r="TNL15" s="21"/>
      <c r="TNP15" s="15"/>
      <c r="TNV15" s="25"/>
      <c r="TOC15" s="21"/>
      <c r="TOD15" s="21"/>
      <c r="TOH15" s="15"/>
      <c r="TON15" s="25"/>
      <c r="TOU15" s="21"/>
      <c r="TOV15" s="21"/>
      <c r="TOZ15" s="15"/>
      <c r="TPF15" s="25"/>
      <c r="TPM15" s="21"/>
      <c r="TPN15" s="21"/>
      <c r="TPR15" s="15"/>
      <c r="TPX15" s="25"/>
      <c r="TQE15" s="21"/>
      <c r="TQF15" s="21"/>
      <c r="TQJ15" s="15"/>
      <c r="TQP15" s="25"/>
      <c r="TQW15" s="21"/>
      <c r="TQX15" s="21"/>
      <c r="TRB15" s="15"/>
      <c r="TRH15" s="25"/>
      <c r="TRO15" s="21"/>
      <c r="TRP15" s="21"/>
      <c r="TRT15" s="15"/>
      <c r="TRZ15" s="25"/>
      <c r="TSG15" s="21"/>
      <c r="TSH15" s="21"/>
      <c r="TSL15" s="15"/>
      <c r="TSR15" s="25"/>
      <c r="TSY15" s="21"/>
      <c r="TSZ15" s="21"/>
      <c r="TTD15" s="15"/>
      <c r="TTJ15" s="25"/>
      <c r="TTQ15" s="21"/>
      <c r="TTR15" s="21"/>
      <c r="TTV15" s="15"/>
      <c r="TUB15" s="25"/>
      <c r="TUI15" s="21"/>
      <c r="TUJ15" s="21"/>
      <c r="TUN15" s="15"/>
      <c r="TUT15" s="25"/>
      <c r="TVA15" s="21"/>
      <c r="TVB15" s="21"/>
      <c r="TVF15" s="15"/>
      <c r="TVL15" s="25"/>
      <c r="TVS15" s="21"/>
      <c r="TVT15" s="21"/>
      <c r="TVX15" s="15"/>
      <c r="TWD15" s="25"/>
      <c r="TWK15" s="21"/>
      <c r="TWL15" s="21"/>
      <c r="TWP15" s="15"/>
      <c r="TWV15" s="25"/>
      <c r="TXC15" s="21"/>
      <c r="TXD15" s="21"/>
      <c r="TXH15" s="15"/>
      <c r="TXN15" s="25"/>
      <c r="TXU15" s="21"/>
      <c r="TXV15" s="21"/>
      <c r="TXZ15" s="15"/>
      <c r="TYF15" s="25"/>
      <c r="TYM15" s="21"/>
      <c r="TYN15" s="21"/>
      <c r="TYR15" s="15"/>
      <c r="TYX15" s="25"/>
      <c r="TZE15" s="21"/>
      <c r="TZF15" s="21"/>
      <c r="TZJ15" s="15"/>
      <c r="TZP15" s="25"/>
      <c r="TZW15" s="21"/>
      <c r="TZX15" s="21"/>
      <c r="UAB15" s="15"/>
      <c r="UAH15" s="25"/>
      <c r="UAO15" s="21"/>
      <c r="UAP15" s="21"/>
      <c r="UAT15" s="15"/>
      <c r="UAZ15" s="25"/>
      <c r="UBG15" s="21"/>
      <c r="UBH15" s="21"/>
      <c r="UBL15" s="15"/>
      <c r="UBR15" s="25"/>
      <c r="UBY15" s="21"/>
      <c r="UBZ15" s="21"/>
      <c r="UCD15" s="15"/>
      <c r="UCJ15" s="25"/>
      <c r="UCQ15" s="21"/>
      <c r="UCR15" s="21"/>
      <c r="UCV15" s="15"/>
      <c r="UDB15" s="25"/>
      <c r="UDI15" s="21"/>
      <c r="UDJ15" s="21"/>
      <c r="UDN15" s="15"/>
      <c r="UDT15" s="25"/>
      <c r="UEA15" s="21"/>
      <c r="UEB15" s="21"/>
      <c r="UEF15" s="15"/>
      <c r="UEL15" s="25"/>
      <c r="UES15" s="21"/>
      <c r="UET15" s="21"/>
      <c r="UEX15" s="15"/>
      <c r="UFD15" s="25"/>
      <c r="UFK15" s="21"/>
      <c r="UFL15" s="21"/>
      <c r="UFP15" s="15"/>
      <c r="UFV15" s="25"/>
      <c r="UGC15" s="21"/>
      <c r="UGD15" s="21"/>
      <c r="UGH15" s="15"/>
      <c r="UGN15" s="25"/>
      <c r="UGU15" s="21"/>
      <c r="UGV15" s="21"/>
      <c r="UGZ15" s="15"/>
      <c r="UHF15" s="25"/>
      <c r="UHM15" s="21"/>
      <c r="UHN15" s="21"/>
      <c r="UHR15" s="15"/>
      <c r="UHX15" s="25"/>
      <c r="UIE15" s="21"/>
      <c r="UIF15" s="21"/>
      <c r="UIJ15" s="15"/>
      <c r="UIP15" s="25"/>
      <c r="UIW15" s="21"/>
      <c r="UIX15" s="21"/>
      <c r="UJB15" s="15"/>
      <c r="UJH15" s="25"/>
      <c r="UJO15" s="21"/>
      <c r="UJP15" s="21"/>
      <c r="UJT15" s="15"/>
      <c r="UJZ15" s="25"/>
      <c r="UKG15" s="21"/>
      <c r="UKH15" s="21"/>
      <c r="UKL15" s="15"/>
      <c r="UKR15" s="25"/>
      <c r="UKY15" s="21"/>
      <c r="UKZ15" s="21"/>
      <c r="ULD15" s="15"/>
      <c r="ULJ15" s="25"/>
      <c r="ULQ15" s="21"/>
      <c r="ULR15" s="21"/>
      <c r="ULV15" s="15"/>
      <c r="UMB15" s="25"/>
      <c r="UMI15" s="21"/>
      <c r="UMJ15" s="21"/>
      <c r="UMN15" s="15"/>
      <c r="UMT15" s="25"/>
      <c r="UNA15" s="21"/>
      <c r="UNB15" s="21"/>
      <c r="UNF15" s="15"/>
      <c r="UNL15" s="25"/>
      <c r="UNS15" s="21"/>
      <c r="UNT15" s="21"/>
      <c r="UNX15" s="15"/>
      <c r="UOD15" s="25"/>
      <c r="UOK15" s="21"/>
      <c r="UOL15" s="21"/>
      <c r="UOP15" s="15"/>
      <c r="UOV15" s="25"/>
      <c r="UPC15" s="21"/>
      <c r="UPD15" s="21"/>
      <c r="UPH15" s="15"/>
      <c r="UPN15" s="25"/>
      <c r="UPU15" s="21"/>
      <c r="UPV15" s="21"/>
      <c r="UPZ15" s="15"/>
      <c r="UQF15" s="25"/>
      <c r="UQM15" s="21"/>
      <c r="UQN15" s="21"/>
      <c r="UQR15" s="15"/>
      <c r="UQX15" s="25"/>
      <c r="URE15" s="21"/>
      <c r="URF15" s="21"/>
      <c r="URJ15" s="15"/>
      <c r="URP15" s="25"/>
      <c r="URW15" s="21"/>
      <c r="URX15" s="21"/>
      <c r="USB15" s="15"/>
      <c r="USH15" s="25"/>
      <c r="USO15" s="21"/>
      <c r="USP15" s="21"/>
      <c r="UST15" s="15"/>
      <c r="USZ15" s="25"/>
      <c r="UTG15" s="21"/>
      <c r="UTH15" s="21"/>
      <c r="UTL15" s="15"/>
      <c r="UTR15" s="25"/>
      <c r="UTY15" s="21"/>
      <c r="UTZ15" s="21"/>
      <c r="UUD15" s="15"/>
      <c r="UUJ15" s="25"/>
      <c r="UUQ15" s="21"/>
      <c r="UUR15" s="21"/>
      <c r="UUV15" s="15"/>
      <c r="UVB15" s="25"/>
      <c r="UVI15" s="21"/>
      <c r="UVJ15" s="21"/>
      <c r="UVN15" s="15"/>
      <c r="UVT15" s="25"/>
      <c r="UWA15" s="21"/>
      <c r="UWB15" s="21"/>
      <c r="UWF15" s="15"/>
      <c r="UWL15" s="25"/>
      <c r="UWS15" s="21"/>
      <c r="UWT15" s="21"/>
      <c r="UWX15" s="15"/>
      <c r="UXD15" s="25"/>
      <c r="UXK15" s="21"/>
      <c r="UXL15" s="21"/>
      <c r="UXP15" s="15"/>
      <c r="UXV15" s="25"/>
      <c r="UYC15" s="21"/>
      <c r="UYD15" s="21"/>
      <c r="UYH15" s="15"/>
      <c r="UYN15" s="25"/>
      <c r="UYU15" s="21"/>
      <c r="UYV15" s="21"/>
      <c r="UYZ15" s="15"/>
      <c r="UZF15" s="25"/>
      <c r="UZM15" s="21"/>
      <c r="UZN15" s="21"/>
      <c r="UZR15" s="15"/>
      <c r="UZX15" s="25"/>
      <c r="VAE15" s="21"/>
      <c r="VAF15" s="21"/>
      <c r="VAJ15" s="15"/>
      <c r="VAP15" s="25"/>
      <c r="VAW15" s="21"/>
      <c r="VAX15" s="21"/>
      <c r="VBB15" s="15"/>
      <c r="VBH15" s="25"/>
      <c r="VBO15" s="21"/>
      <c r="VBP15" s="21"/>
      <c r="VBT15" s="15"/>
      <c r="VBZ15" s="25"/>
      <c r="VCG15" s="21"/>
      <c r="VCH15" s="21"/>
      <c r="VCL15" s="15"/>
      <c r="VCR15" s="25"/>
      <c r="VCY15" s="21"/>
      <c r="VCZ15" s="21"/>
      <c r="VDD15" s="15"/>
      <c r="VDJ15" s="25"/>
      <c r="VDQ15" s="21"/>
      <c r="VDR15" s="21"/>
      <c r="VDV15" s="15"/>
      <c r="VEB15" s="25"/>
      <c r="VEI15" s="21"/>
      <c r="VEJ15" s="21"/>
      <c r="VEN15" s="15"/>
      <c r="VET15" s="25"/>
      <c r="VFA15" s="21"/>
      <c r="VFB15" s="21"/>
      <c r="VFF15" s="15"/>
      <c r="VFL15" s="25"/>
      <c r="VFS15" s="21"/>
      <c r="VFT15" s="21"/>
      <c r="VFX15" s="15"/>
      <c r="VGD15" s="25"/>
      <c r="VGK15" s="21"/>
      <c r="VGL15" s="21"/>
      <c r="VGP15" s="15"/>
      <c r="VGV15" s="25"/>
      <c r="VHC15" s="21"/>
      <c r="VHD15" s="21"/>
      <c r="VHH15" s="15"/>
      <c r="VHN15" s="25"/>
      <c r="VHU15" s="21"/>
      <c r="VHV15" s="21"/>
      <c r="VHZ15" s="15"/>
      <c r="VIF15" s="25"/>
      <c r="VIM15" s="21"/>
      <c r="VIN15" s="21"/>
      <c r="VIR15" s="15"/>
      <c r="VIX15" s="25"/>
      <c r="VJE15" s="21"/>
      <c r="VJF15" s="21"/>
      <c r="VJJ15" s="15"/>
      <c r="VJP15" s="25"/>
      <c r="VJW15" s="21"/>
      <c r="VJX15" s="21"/>
      <c r="VKB15" s="15"/>
      <c r="VKH15" s="25"/>
      <c r="VKO15" s="21"/>
      <c r="VKP15" s="21"/>
      <c r="VKT15" s="15"/>
      <c r="VKZ15" s="25"/>
      <c r="VLG15" s="21"/>
      <c r="VLH15" s="21"/>
      <c r="VLL15" s="15"/>
      <c r="VLR15" s="25"/>
      <c r="VLY15" s="21"/>
      <c r="VLZ15" s="21"/>
      <c r="VMD15" s="15"/>
      <c r="VMJ15" s="25"/>
      <c r="VMQ15" s="21"/>
      <c r="VMR15" s="21"/>
      <c r="VMV15" s="15"/>
      <c r="VNB15" s="25"/>
      <c r="VNI15" s="21"/>
      <c r="VNJ15" s="21"/>
      <c r="VNN15" s="15"/>
      <c r="VNT15" s="25"/>
      <c r="VOA15" s="21"/>
      <c r="VOB15" s="21"/>
      <c r="VOF15" s="15"/>
      <c r="VOL15" s="25"/>
      <c r="VOS15" s="21"/>
      <c r="VOT15" s="21"/>
      <c r="VOX15" s="15"/>
      <c r="VPD15" s="25"/>
      <c r="VPK15" s="21"/>
      <c r="VPL15" s="21"/>
      <c r="VPP15" s="15"/>
      <c r="VPV15" s="25"/>
      <c r="VQC15" s="21"/>
      <c r="VQD15" s="21"/>
      <c r="VQH15" s="15"/>
      <c r="VQN15" s="25"/>
      <c r="VQU15" s="21"/>
      <c r="VQV15" s="21"/>
      <c r="VQZ15" s="15"/>
      <c r="VRF15" s="25"/>
      <c r="VRM15" s="21"/>
      <c r="VRN15" s="21"/>
      <c r="VRR15" s="15"/>
      <c r="VRX15" s="25"/>
      <c r="VSE15" s="21"/>
      <c r="VSF15" s="21"/>
      <c r="VSJ15" s="15"/>
      <c r="VSP15" s="25"/>
      <c r="VSW15" s="21"/>
      <c r="VSX15" s="21"/>
      <c r="VTB15" s="15"/>
      <c r="VTH15" s="25"/>
      <c r="VTO15" s="21"/>
      <c r="VTP15" s="21"/>
      <c r="VTT15" s="15"/>
      <c r="VTZ15" s="25"/>
      <c r="VUG15" s="21"/>
      <c r="VUH15" s="21"/>
      <c r="VUL15" s="15"/>
      <c r="VUR15" s="25"/>
      <c r="VUY15" s="21"/>
      <c r="VUZ15" s="21"/>
      <c r="VVD15" s="15"/>
      <c r="VVJ15" s="25"/>
      <c r="VVQ15" s="21"/>
      <c r="VVR15" s="21"/>
      <c r="VVV15" s="15"/>
      <c r="VWB15" s="25"/>
      <c r="VWI15" s="21"/>
      <c r="VWJ15" s="21"/>
      <c r="VWN15" s="15"/>
      <c r="VWT15" s="25"/>
      <c r="VXA15" s="21"/>
      <c r="VXB15" s="21"/>
      <c r="VXF15" s="15"/>
      <c r="VXL15" s="25"/>
      <c r="VXS15" s="21"/>
      <c r="VXT15" s="21"/>
      <c r="VXX15" s="15"/>
      <c r="VYD15" s="25"/>
      <c r="VYK15" s="21"/>
      <c r="VYL15" s="21"/>
      <c r="VYP15" s="15"/>
      <c r="VYV15" s="25"/>
      <c r="VZC15" s="21"/>
      <c r="VZD15" s="21"/>
      <c r="VZH15" s="15"/>
      <c r="VZN15" s="25"/>
      <c r="VZU15" s="21"/>
      <c r="VZV15" s="21"/>
      <c r="VZZ15" s="15"/>
      <c r="WAF15" s="25"/>
      <c r="WAM15" s="21"/>
      <c r="WAN15" s="21"/>
      <c r="WAR15" s="15"/>
      <c r="WAX15" s="25"/>
      <c r="WBE15" s="21"/>
      <c r="WBF15" s="21"/>
      <c r="WBJ15" s="15"/>
      <c r="WBP15" s="25"/>
      <c r="WBW15" s="21"/>
      <c r="WBX15" s="21"/>
      <c r="WCB15" s="15"/>
      <c r="WCH15" s="25"/>
      <c r="WCO15" s="21"/>
      <c r="WCP15" s="21"/>
      <c r="WCT15" s="15"/>
      <c r="WCZ15" s="25"/>
      <c r="WDG15" s="21"/>
      <c r="WDH15" s="21"/>
      <c r="WDL15" s="15"/>
      <c r="WDR15" s="25"/>
      <c r="WDY15" s="21"/>
      <c r="WDZ15" s="21"/>
      <c r="WED15" s="15"/>
      <c r="WEJ15" s="25"/>
      <c r="WEQ15" s="21"/>
      <c r="WER15" s="21"/>
      <c r="WEV15" s="15"/>
      <c r="WFB15" s="25"/>
      <c r="WFI15" s="21"/>
      <c r="WFJ15" s="21"/>
      <c r="WFN15" s="15"/>
      <c r="WFT15" s="25"/>
      <c r="WGA15" s="21"/>
      <c r="WGB15" s="21"/>
      <c r="WGF15" s="15"/>
      <c r="WGL15" s="25"/>
      <c r="WGS15" s="21"/>
      <c r="WGT15" s="21"/>
      <c r="WGX15" s="15"/>
      <c r="WHD15" s="25"/>
      <c r="WHK15" s="21"/>
      <c r="WHL15" s="21"/>
      <c r="WHP15" s="15"/>
      <c r="WHV15" s="25"/>
      <c r="WIC15" s="21"/>
      <c r="WID15" s="21"/>
      <c r="WIH15" s="15"/>
      <c r="WIN15" s="25"/>
      <c r="WIU15" s="21"/>
      <c r="WIV15" s="21"/>
      <c r="WIZ15" s="15"/>
      <c r="WJF15" s="25"/>
      <c r="WJM15" s="21"/>
      <c r="WJN15" s="21"/>
      <c r="WJR15" s="15"/>
      <c r="WJX15" s="25"/>
      <c r="WKE15" s="21"/>
      <c r="WKF15" s="21"/>
      <c r="WKJ15" s="15"/>
      <c r="WKP15" s="25"/>
      <c r="WKW15" s="21"/>
      <c r="WKX15" s="21"/>
      <c r="WLB15" s="15"/>
      <c r="WLH15" s="25"/>
      <c r="WLO15" s="21"/>
      <c r="WLP15" s="21"/>
      <c r="WLT15" s="15"/>
      <c r="WLZ15" s="25"/>
      <c r="WMG15" s="21"/>
      <c r="WMH15" s="21"/>
      <c r="WML15" s="15"/>
      <c r="WMR15" s="25"/>
      <c r="WMY15" s="21"/>
      <c r="WMZ15" s="21"/>
      <c r="WND15" s="15"/>
      <c r="WNJ15" s="25"/>
      <c r="WNQ15" s="21"/>
      <c r="WNR15" s="21"/>
      <c r="WNV15" s="15"/>
      <c r="WOB15" s="25"/>
      <c r="WOI15" s="21"/>
      <c r="WOJ15" s="21"/>
      <c r="WON15" s="15"/>
      <c r="WOT15" s="25"/>
      <c r="WPA15" s="21"/>
      <c r="WPB15" s="21"/>
      <c r="WPF15" s="15"/>
      <c r="WPL15" s="25"/>
      <c r="WPS15" s="21"/>
      <c r="WPT15" s="21"/>
      <c r="WPX15" s="15"/>
      <c r="WQD15" s="25"/>
      <c r="WQK15" s="21"/>
      <c r="WQL15" s="21"/>
      <c r="WQP15" s="15"/>
      <c r="WQV15" s="25"/>
      <c r="WRC15" s="21"/>
      <c r="WRD15" s="21"/>
      <c r="WRH15" s="15"/>
      <c r="WRN15" s="25"/>
      <c r="WRU15" s="21"/>
      <c r="WRV15" s="21"/>
      <c r="WRZ15" s="15"/>
      <c r="WSF15" s="25"/>
      <c r="WSM15" s="21"/>
      <c r="WSN15" s="21"/>
      <c r="WSR15" s="15"/>
      <c r="WSX15" s="25"/>
      <c r="WTE15" s="21"/>
      <c r="WTF15" s="21"/>
      <c r="WTJ15" s="15"/>
      <c r="WTP15" s="25"/>
      <c r="WTW15" s="21"/>
      <c r="WTX15" s="21"/>
      <c r="WUB15" s="15"/>
      <c r="WUH15" s="25"/>
      <c r="WUO15" s="21"/>
      <c r="WUP15" s="21"/>
      <c r="WUT15" s="15"/>
      <c r="WUZ15" s="25"/>
      <c r="WVG15" s="21"/>
      <c r="WVH15" s="21"/>
      <c r="WVL15" s="15"/>
      <c r="WVR15" s="25"/>
      <c r="WVY15" s="21"/>
      <c r="WVZ15" s="21"/>
      <c r="WWD15" s="15"/>
      <c r="WWJ15" s="25"/>
      <c r="WWQ15" s="21"/>
      <c r="WWR15" s="21"/>
      <c r="WWV15" s="15"/>
      <c r="WXB15" s="25"/>
      <c r="WXI15" s="21"/>
      <c r="WXJ15" s="21"/>
      <c r="WXN15" s="15"/>
      <c r="WXT15" s="25"/>
      <c r="WYA15" s="21"/>
      <c r="WYB15" s="21"/>
      <c r="WYF15" s="15"/>
      <c r="WYL15" s="25"/>
      <c r="WYS15" s="21"/>
      <c r="WYT15" s="21"/>
      <c r="WYX15" s="15"/>
      <c r="WZD15" s="25"/>
      <c r="WZK15" s="21"/>
      <c r="WZL15" s="21"/>
      <c r="WZP15" s="15"/>
      <c r="WZV15" s="25"/>
      <c r="XAC15" s="21"/>
      <c r="XAD15" s="21"/>
      <c r="XAH15" s="15"/>
      <c r="XAN15" s="25"/>
      <c r="XAU15" s="21"/>
      <c r="XAV15" s="21"/>
      <c r="XAZ15" s="15"/>
      <c r="XBF15" s="25"/>
      <c r="XBM15" s="21"/>
      <c r="XBN15" s="21"/>
      <c r="XBR15" s="15"/>
      <c r="XBX15" s="25"/>
      <c r="XCE15" s="21"/>
      <c r="XCF15" s="21"/>
      <c r="XCJ15" s="15"/>
      <c r="XCP15" s="25"/>
      <c r="XCW15" s="21"/>
      <c r="XCX15" s="21"/>
      <c r="XDB15" s="15"/>
      <c r="XDH15" s="25"/>
      <c r="XDO15" s="21"/>
      <c r="XDP15" s="21"/>
      <c r="XDT15" s="15"/>
      <c r="XDZ15" s="25"/>
      <c r="XEG15" s="21"/>
      <c r="XEH15" s="21"/>
      <c r="XEL15" s="15"/>
      <c r="XER15" s="25"/>
      <c r="XEY15" s="21"/>
      <c r="XEZ15" s="21"/>
      <c r="XFD15" s="15"/>
    </row>
    <row r="16" spans="1:1018 1025:2044 2051:3070 3077:4096 4103:5116 5122:6142 6148:7168 7174:8190 8194:9216 9220:10234 10241:11260 11267:12286 12293:13312 13319:14332 14338:15358 15364:16384" s="24" customFormat="1">
      <c r="A16" s="21" t="s">
        <v>69</v>
      </c>
      <c r="B16" s="12">
        <v>2008</v>
      </c>
      <c r="C16" s="19" t="s">
        <v>53</v>
      </c>
      <c r="D16" s="22" t="s">
        <v>39</v>
      </c>
      <c r="E16" s="10" t="s">
        <v>70</v>
      </c>
      <c r="F16" s="22" t="s">
        <v>55</v>
      </c>
      <c r="G16" s="31">
        <v>19134087707.225998</v>
      </c>
      <c r="H16" s="31">
        <v>3822950670</v>
      </c>
      <c r="I16" s="12">
        <v>26</v>
      </c>
      <c r="J16" s="23" t="s">
        <v>71</v>
      </c>
      <c r="K16" s="22"/>
      <c r="L16" s="22"/>
      <c r="M16" s="22" t="s">
        <v>26</v>
      </c>
      <c r="N16" s="12"/>
      <c r="O16" s="22"/>
      <c r="P16" s="12"/>
      <c r="Q16" s="22" t="s">
        <v>27</v>
      </c>
      <c r="R16" s="22" t="s">
        <v>28</v>
      </c>
      <c r="V16" s="15"/>
      <c r="AB16" s="25"/>
      <c r="AI16" s="21"/>
      <c r="AJ16" s="21"/>
      <c r="AN16" s="15"/>
      <c r="AT16" s="25"/>
      <c r="BA16" s="21"/>
      <c r="BB16" s="21"/>
      <c r="BF16" s="15"/>
      <c r="BL16" s="25"/>
      <c r="BS16" s="21"/>
      <c r="BT16" s="21"/>
      <c r="BX16" s="15"/>
      <c r="CD16" s="25"/>
      <c r="CK16" s="21"/>
      <c r="CL16" s="21"/>
      <c r="CP16" s="15"/>
      <c r="CV16" s="25"/>
      <c r="DC16" s="21"/>
      <c r="DD16" s="21"/>
      <c r="DH16" s="15"/>
      <c r="DN16" s="25"/>
      <c r="DU16" s="21"/>
      <c r="DV16" s="21"/>
      <c r="DZ16" s="15"/>
      <c r="EF16" s="25"/>
      <c r="EM16" s="21"/>
      <c r="EN16" s="21"/>
      <c r="ER16" s="15"/>
      <c r="EX16" s="25"/>
      <c r="FE16" s="21"/>
      <c r="FF16" s="21"/>
      <c r="FJ16" s="15"/>
      <c r="FP16" s="25"/>
      <c r="FW16" s="21"/>
      <c r="FX16" s="21"/>
      <c r="GB16" s="15"/>
      <c r="GH16" s="25"/>
      <c r="GO16" s="21"/>
      <c r="GP16" s="21"/>
      <c r="GT16" s="15"/>
      <c r="GZ16" s="25"/>
      <c r="HG16" s="21"/>
      <c r="HH16" s="21"/>
      <c r="HL16" s="15"/>
      <c r="HR16" s="25"/>
      <c r="HY16" s="21"/>
      <c r="HZ16" s="21"/>
      <c r="ID16" s="15"/>
      <c r="IJ16" s="25"/>
      <c r="IQ16" s="21"/>
      <c r="IR16" s="21"/>
      <c r="IV16" s="15"/>
      <c r="JB16" s="25"/>
      <c r="JI16" s="21"/>
      <c r="JJ16" s="21"/>
      <c r="JN16" s="15"/>
      <c r="JT16" s="25"/>
      <c r="KA16" s="21"/>
      <c r="KB16" s="21"/>
      <c r="KF16" s="15"/>
      <c r="KL16" s="25"/>
      <c r="KS16" s="21"/>
      <c r="KT16" s="21"/>
      <c r="KX16" s="15"/>
      <c r="LD16" s="25"/>
      <c r="LK16" s="21"/>
      <c r="LL16" s="21"/>
      <c r="LP16" s="15"/>
      <c r="LV16" s="25"/>
      <c r="MC16" s="21"/>
      <c r="MD16" s="21"/>
      <c r="MH16" s="15"/>
      <c r="MN16" s="25"/>
      <c r="MU16" s="21"/>
      <c r="MV16" s="21"/>
      <c r="MZ16" s="15"/>
      <c r="NF16" s="25"/>
      <c r="NM16" s="21"/>
      <c r="NN16" s="21"/>
      <c r="NR16" s="15"/>
      <c r="NX16" s="25"/>
      <c r="OE16" s="21"/>
      <c r="OF16" s="21"/>
      <c r="OJ16" s="15"/>
      <c r="OP16" s="25"/>
      <c r="OW16" s="21"/>
      <c r="OX16" s="21"/>
      <c r="PB16" s="15"/>
      <c r="PH16" s="25"/>
      <c r="PO16" s="21"/>
      <c r="PP16" s="21"/>
      <c r="PT16" s="15"/>
      <c r="PZ16" s="25"/>
      <c r="QG16" s="21"/>
      <c r="QH16" s="21"/>
      <c r="QL16" s="15"/>
      <c r="QR16" s="25"/>
      <c r="QY16" s="21"/>
      <c r="QZ16" s="21"/>
      <c r="RD16" s="15"/>
      <c r="RJ16" s="25"/>
      <c r="RQ16" s="21"/>
      <c r="RR16" s="21"/>
      <c r="RV16" s="15"/>
      <c r="SB16" s="25"/>
      <c r="SI16" s="21"/>
      <c r="SJ16" s="21"/>
      <c r="SN16" s="15"/>
      <c r="ST16" s="25"/>
      <c r="TA16" s="21"/>
      <c r="TB16" s="21"/>
      <c r="TF16" s="15"/>
      <c r="TL16" s="25"/>
      <c r="TS16" s="21"/>
      <c r="TT16" s="21"/>
      <c r="TX16" s="15"/>
      <c r="UD16" s="25"/>
      <c r="UK16" s="21"/>
      <c r="UL16" s="21"/>
      <c r="UP16" s="15"/>
      <c r="UV16" s="25"/>
      <c r="VC16" s="21"/>
      <c r="VD16" s="21"/>
      <c r="VH16" s="15"/>
      <c r="VN16" s="25"/>
      <c r="VU16" s="21"/>
      <c r="VV16" s="21"/>
      <c r="VZ16" s="15"/>
      <c r="WF16" s="25"/>
      <c r="WM16" s="21"/>
      <c r="WN16" s="21"/>
      <c r="WR16" s="15"/>
      <c r="WX16" s="25"/>
      <c r="XE16" s="21"/>
      <c r="XF16" s="21"/>
      <c r="XJ16" s="15"/>
      <c r="XP16" s="25"/>
      <c r="XW16" s="21"/>
      <c r="XX16" s="21"/>
      <c r="YB16" s="15"/>
      <c r="YH16" s="25"/>
      <c r="YO16" s="21"/>
      <c r="YP16" s="21"/>
      <c r="YT16" s="15"/>
      <c r="YZ16" s="25"/>
      <c r="ZG16" s="21"/>
      <c r="ZH16" s="21"/>
      <c r="ZL16" s="15"/>
      <c r="ZR16" s="25"/>
      <c r="ZY16" s="21"/>
      <c r="ZZ16" s="21"/>
      <c r="AAD16" s="15"/>
      <c r="AAJ16" s="25"/>
      <c r="AAQ16" s="21"/>
      <c r="AAR16" s="21"/>
      <c r="AAV16" s="15"/>
      <c r="ABB16" s="25"/>
      <c r="ABI16" s="21"/>
      <c r="ABJ16" s="21"/>
      <c r="ABN16" s="15"/>
      <c r="ABT16" s="25"/>
      <c r="ACA16" s="21"/>
      <c r="ACB16" s="21"/>
      <c r="ACF16" s="15"/>
      <c r="ACL16" s="25"/>
      <c r="ACS16" s="21"/>
      <c r="ACT16" s="21"/>
      <c r="ACX16" s="15"/>
      <c r="ADD16" s="25"/>
      <c r="ADK16" s="21"/>
      <c r="ADL16" s="21"/>
      <c r="ADP16" s="15"/>
      <c r="ADV16" s="25"/>
      <c r="AEC16" s="21"/>
      <c r="AED16" s="21"/>
      <c r="AEH16" s="15"/>
      <c r="AEN16" s="25"/>
      <c r="AEU16" s="21"/>
      <c r="AEV16" s="21"/>
      <c r="AEZ16" s="15"/>
      <c r="AFF16" s="25"/>
      <c r="AFM16" s="21"/>
      <c r="AFN16" s="21"/>
      <c r="AFR16" s="15"/>
      <c r="AFX16" s="25"/>
      <c r="AGE16" s="21"/>
      <c r="AGF16" s="21"/>
      <c r="AGJ16" s="15"/>
      <c r="AGP16" s="25"/>
      <c r="AGW16" s="21"/>
      <c r="AGX16" s="21"/>
      <c r="AHB16" s="15"/>
      <c r="AHH16" s="25"/>
      <c r="AHO16" s="21"/>
      <c r="AHP16" s="21"/>
      <c r="AHT16" s="15"/>
      <c r="AHZ16" s="25"/>
      <c r="AIG16" s="21"/>
      <c r="AIH16" s="21"/>
      <c r="AIL16" s="15"/>
      <c r="AIR16" s="25"/>
      <c r="AIY16" s="21"/>
      <c r="AIZ16" s="21"/>
      <c r="AJD16" s="15"/>
      <c r="AJJ16" s="25"/>
      <c r="AJQ16" s="21"/>
      <c r="AJR16" s="21"/>
      <c r="AJV16" s="15"/>
      <c r="AKB16" s="25"/>
      <c r="AKI16" s="21"/>
      <c r="AKJ16" s="21"/>
      <c r="AKN16" s="15"/>
      <c r="AKT16" s="25"/>
      <c r="ALA16" s="21"/>
      <c r="ALB16" s="21"/>
      <c r="ALF16" s="15"/>
      <c r="ALL16" s="25"/>
      <c r="ALS16" s="21"/>
      <c r="ALT16" s="21"/>
      <c r="ALX16" s="15"/>
      <c r="AMD16" s="25"/>
      <c r="AMK16" s="21"/>
      <c r="AML16" s="21"/>
      <c r="AMP16" s="15"/>
      <c r="AMV16" s="25"/>
      <c r="ANC16" s="21"/>
      <c r="AND16" s="21"/>
      <c r="ANH16" s="15"/>
      <c r="ANN16" s="25"/>
      <c r="ANU16" s="21"/>
      <c r="ANV16" s="21"/>
      <c r="ANZ16" s="15"/>
      <c r="AOF16" s="25"/>
      <c r="AOM16" s="21"/>
      <c r="AON16" s="21"/>
      <c r="AOR16" s="15"/>
      <c r="AOX16" s="25"/>
      <c r="APE16" s="21"/>
      <c r="APF16" s="21"/>
      <c r="APJ16" s="15"/>
      <c r="APP16" s="25"/>
      <c r="APW16" s="21"/>
      <c r="APX16" s="21"/>
      <c r="AQB16" s="15"/>
      <c r="AQH16" s="25"/>
      <c r="AQO16" s="21"/>
      <c r="AQP16" s="21"/>
      <c r="AQT16" s="15"/>
      <c r="AQZ16" s="25"/>
      <c r="ARG16" s="21"/>
      <c r="ARH16" s="21"/>
      <c r="ARL16" s="15"/>
      <c r="ARR16" s="25"/>
      <c r="ARY16" s="21"/>
      <c r="ARZ16" s="21"/>
      <c r="ASD16" s="15"/>
      <c r="ASJ16" s="25"/>
      <c r="ASQ16" s="21"/>
      <c r="ASR16" s="21"/>
      <c r="ASV16" s="15"/>
      <c r="ATB16" s="25"/>
      <c r="ATI16" s="21"/>
      <c r="ATJ16" s="21"/>
      <c r="ATN16" s="15"/>
      <c r="ATT16" s="25"/>
      <c r="AUA16" s="21"/>
      <c r="AUB16" s="21"/>
      <c r="AUF16" s="15"/>
      <c r="AUL16" s="25"/>
      <c r="AUS16" s="21"/>
      <c r="AUT16" s="21"/>
      <c r="AUX16" s="15"/>
      <c r="AVD16" s="25"/>
      <c r="AVK16" s="21"/>
      <c r="AVL16" s="21"/>
      <c r="AVP16" s="15"/>
      <c r="AVV16" s="25"/>
      <c r="AWC16" s="21"/>
      <c r="AWD16" s="21"/>
      <c r="AWH16" s="15"/>
      <c r="AWN16" s="25"/>
      <c r="AWU16" s="21"/>
      <c r="AWV16" s="21"/>
      <c r="AWZ16" s="15"/>
      <c r="AXF16" s="25"/>
      <c r="AXM16" s="21"/>
      <c r="AXN16" s="21"/>
      <c r="AXR16" s="15"/>
      <c r="AXX16" s="25"/>
      <c r="AYE16" s="21"/>
      <c r="AYF16" s="21"/>
      <c r="AYJ16" s="15"/>
      <c r="AYP16" s="25"/>
      <c r="AYW16" s="21"/>
      <c r="AYX16" s="21"/>
      <c r="AZB16" s="15"/>
      <c r="AZH16" s="25"/>
      <c r="AZO16" s="21"/>
      <c r="AZP16" s="21"/>
      <c r="AZT16" s="15"/>
      <c r="AZZ16" s="25"/>
      <c r="BAG16" s="21"/>
      <c r="BAH16" s="21"/>
      <c r="BAL16" s="15"/>
      <c r="BAR16" s="25"/>
      <c r="BAY16" s="21"/>
      <c r="BAZ16" s="21"/>
      <c r="BBD16" s="15"/>
      <c r="BBJ16" s="25"/>
      <c r="BBQ16" s="21"/>
      <c r="BBR16" s="21"/>
      <c r="BBV16" s="15"/>
      <c r="BCB16" s="25"/>
      <c r="BCI16" s="21"/>
      <c r="BCJ16" s="21"/>
      <c r="BCN16" s="15"/>
      <c r="BCT16" s="25"/>
      <c r="BDA16" s="21"/>
      <c r="BDB16" s="21"/>
      <c r="BDF16" s="15"/>
      <c r="BDL16" s="25"/>
      <c r="BDS16" s="21"/>
      <c r="BDT16" s="21"/>
      <c r="BDX16" s="15"/>
      <c r="BED16" s="25"/>
      <c r="BEK16" s="21"/>
      <c r="BEL16" s="21"/>
      <c r="BEP16" s="15"/>
      <c r="BEV16" s="25"/>
      <c r="BFC16" s="21"/>
      <c r="BFD16" s="21"/>
      <c r="BFH16" s="15"/>
      <c r="BFN16" s="25"/>
      <c r="BFU16" s="21"/>
      <c r="BFV16" s="21"/>
      <c r="BFZ16" s="15"/>
      <c r="BGF16" s="25"/>
      <c r="BGM16" s="21"/>
      <c r="BGN16" s="21"/>
      <c r="BGR16" s="15"/>
      <c r="BGX16" s="25"/>
      <c r="BHE16" s="21"/>
      <c r="BHF16" s="21"/>
      <c r="BHJ16" s="15"/>
      <c r="BHP16" s="25"/>
      <c r="BHW16" s="21"/>
      <c r="BHX16" s="21"/>
      <c r="BIB16" s="15"/>
      <c r="BIH16" s="25"/>
      <c r="BIO16" s="21"/>
      <c r="BIP16" s="21"/>
      <c r="BIT16" s="15"/>
      <c r="BIZ16" s="25"/>
      <c r="BJG16" s="21"/>
      <c r="BJH16" s="21"/>
      <c r="BJL16" s="15"/>
      <c r="BJR16" s="25"/>
      <c r="BJY16" s="21"/>
      <c r="BJZ16" s="21"/>
      <c r="BKD16" s="15"/>
      <c r="BKJ16" s="25"/>
      <c r="BKQ16" s="21"/>
      <c r="BKR16" s="21"/>
      <c r="BKV16" s="15"/>
      <c r="BLB16" s="25"/>
      <c r="BLI16" s="21"/>
      <c r="BLJ16" s="21"/>
      <c r="BLN16" s="15"/>
      <c r="BLT16" s="25"/>
      <c r="BMA16" s="21"/>
      <c r="BMB16" s="21"/>
      <c r="BMF16" s="15"/>
      <c r="BML16" s="25"/>
      <c r="BMS16" s="21"/>
      <c r="BMT16" s="21"/>
      <c r="BMX16" s="15"/>
      <c r="BND16" s="25"/>
      <c r="BNK16" s="21"/>
      <c r="BNL16" s="21"/>
      <c r="BNP16" s="15"/>
      <c r="BNV16" s="25"/>
      <c r="BOC16" s="21"/>
      <c r="BOD16" s="21"/>
      <c r="BOH16" s="15"/>
      <c r="BON16" s="25"/>
      <c r="BOU16" s="21"/>
      <c r="BOV16" s="21"/>
      <c r="BOZ16" s="15"/>
      <c r="BPF16" s="25"/>
      <c r="BPM16" s="21"/>
      <c r="BPN16" s="21"/>
      <c r="BPR16" s="15"/>
      <c r="BPX16" s="25"/>
      <c r="BQE16" s="21"/>
      <c r="BQF16" s="21"/>
      <c r="BQJ16" s="15"/>
      <c r="BQP16" s="25"/>
      <c r="BQW16" s="21"/>
      <c r="BQX16" s="21"/>
      <c r="BRB16" s="15"/>
      <c r="BRH16" s="25"/>
      <c r="BRO16" s="21"/>
      <c r="BRP16" s="21"/>
      <c r="BRT16" s="15"/>
      <c r="BRZ16" s="25"/>
      <c r="BSG16" s="21"/>
      <c r="BSH16" s="21"/>
      <c r="BSL16" s="15"/>
      <c r="BSR16" s="25"/>
      <c r="BSY16" s="21"/>
      <c r="BSZ16" s="21"/>
      <c r="BTD16" s="15"/>
      <c r="BTJ16" s="25"/>
      <c r="BTQ16" s="21"/>
      <c r="BTR16" s="21"/>
      <c r="BTV16" s="15"/>
      <c r="BUB16" s="25"/>
      <c r="BUI16" s="21"/>
      <c r="BUJ16" s="21"/>
      <c r="BUN16" s="15"/>
      <c r="BUT16" s="25"/>
      <c r="BVA16" s="21"/>
      <c r="BVB16" s="21"/>
      <c r="BVF16" s="15"/>
      <c r="BVL16" s="25"/>
      <c r="BVS16" s="21"/>
      <c r="BVT16" s="21"/>
      <c r="BVX16" s="15"/>
      <c r="BWD16" s="25"/>
      <c r="BWK16" s="21"/>
      <c r="BWL16" s="21"/>
      <c r="BWP16" s="15"/>
      <c r="BWV16" s="25"/>
      <c r="BXC16" s="21"/>
      <c r="BXD16" s="21"/>
      <c r="BXH16" s="15"/>
      <c r="BXN16" s="25"/>
      <c r="BXU16" s="21"/>
      <c r="BXV16" s="21"/>
      <c r="BXZ16" s="15"/>
      <c r="BYF16" s="25"/>
      <c r="BYM16" s="21"/>
      <c r="BYN16" s="21"/>
      <c r="BYR16" s="15"/>
      <c r="BYX16" s="25"/>
      <c r="BZE16" s="21"/>
      <c r="BZF16" s="21"/>
      <c r="BZJ16" s="15"/>
      <c r="BZP16" s="25"/>
      <c r="BZW16" s="21"/>
      <c r="BZX16" s="21"/>
      <c r="CAB16" s="15"/>
      <c r="CAH16" s="25"/>
      <c r="CAO16" s="21"/>
      <c r="CAP16" s="21"/>
      <c r="CAT16" s="15"/>
      <c r="CAZ16" s="25"/>
      <c r="CBG16" s="21"/>
      <c r="CBH16" s="21"/>
      <c r="CBL16" s="15"/>
      <c r="CBR16" s="25"/>
      <c r="CBY16" s="21"/>
      <c r="CBZ16" s="21"/>
      <c r="CCD16" s="15"/>
      <c r="CCJ16" s="25"/>
      <c r="CCQ16" s="21"/>
      <c r="CCR16" s="21"/>
      <c r="CCV16" s="15"/>
      <c r="CDB16" s="25"/>
      <c r="CDI16" s="21"/>
      <c r="CDJ16" s="21"/>
      <c r="CDN16" s="15"/>
      <c r="CDT16" s="25"/>
      <c r="CEA16" s="21"/>
      <c r="CEB16" s="21"/>
      <c r="CEF16" s="15"/>
      <c r="CEL16" s="25"/>
      <c r="CES16" s="21"/>
      <c r="CET16" s="21"/>
      <c r="CEX16" s="15"/>
      <c r="CFD16" s="25"/>
      <c r="CFK16" s="21"/>
      <c r="CFL16" s="21"/>
      <c r="CFP16" s="15"/>
      <c r="CFV16" s="25"/>
      <c r="CGC16" s="21"/>
      <c r="CGD16" s="21"/>
      <c r="CGH16" s="15"/>
      <c r="CGN16" s="25"/>
      <c r="CGU16" s="21"/>
      <c r="CGV16" s="21"/>
      <c r="CGZ16" s="15"/>
      <c r="CHF16" s="25"/>
      <c r="CHM16" s="21"/>
      <c r="CHN16" s="21"/>
      <c r="CHR16" s="15"/>
      <c r="CHX16" s="25"/>
      <c r="CIE16" s="21"/>
      <c r="CIF16" s="21"/>
      <c r="CIJ16" s="15"/>
      <c r="CIP16" s="25"/>
      <c r="CIW16" s="21"/>
      <c r="CIX16" s="21"/>
      <c r="CJB16" s="15"/>
      <c r="CJH16" s="25"/>
      <c r="CJO16" s="21"/>
      <c r="CJP16" s="21"/>
      <c r="CJT16" s="15"/>
      <c r="CJZ16" s="25"/>
      <c r="CKG16" s="21"/>
      <c r="CKH16" s="21"/>
      <c r="CKL16" s="15"/>
      <c r="CKR16" s="25"/>
      <c r="CKY16" s="21"/>
      <c r="CKZ16" s="21"/>
      <c r="CLD16" s="15"/>
      <c r="CLJ16" s="25"/>
      <c r="CLQ16" s="21"/>
      <c r="CLR16" s="21"/>
      <c r="CLV16" s="15"/>
      <c r="CMB16" s="25"/>
      <c r="CMI16" s="21"/>
      <c r="CMJ16" s="21"/>
      <c r="CMN16" s="15"/>
      <c r="CMT16" s="25"/>
      <c r="CNA16" s="21"/>
      <c r="CNB16" s="21"/>
      <c r="CNF16" s="15"/>
      <c r="CNL16" s="25"/>
      <c r="CNS16" s="21"/>
      <c r="CNT16" s="21"/>
      <c r="CNX16" s="15"/>
      <c r="COD16" s="25"/>
      <c r="COK16" s="21"/>
      <c r="COL16" s="21"/>
      <c r="COP16" s="15"/>
      <c r="COV16" s="25"/>
      <c r="CPC16" s="21"/>
      <c r="CPD16" s="21"/>
      <c r="CPH16" s="15"/>
      <c r="CPN16" s="25"/>
      <c r="CPU16" s="21"/>
      <c r="CPV16" s="21"/>
      <c r="CPZ16" s="15"/>
      <c r="CQF16" s="25"/>
      <c r="CQM16" s="21"/>
      <c r="CQN16" s="21"/>
      <c r="CQR16" s="15"/>
      <c r="CQX16" s="25"/>
      <c r="CRE16" s="21"/>
      <c r="CRF16" s="21"/>
      <c r="CRJ16" s="15"/>
      <c r="CRP16" s="25"/>
      <c r="CRW16" s="21"/>
      <c r="CRX16" s="21"/>
      <c r="CSB16" s="15"/>
      <c r="CSH16" s="25"/>
      <c r="CSO16" s="21"/>
      <c r="CSP16" s="21"/>
      <c r="CST16" s="15"/>
      <c r="CSZ16" s="25"/>
      <c r="CTG16" s="21"/>
      <c r="CTH16" s="21"/>
      <c r="CTL16" s="15"/>
      <c r="CTR16" s="25"/>
      <c r="CTY16" s="21"/>
      <c r="CTZ16" s="21"/>
      <c r="CUD16" s="15"/>
      <c r="CUJ16" s="25"/>
      <c r="CUQ16" s="21"/>
      <c r="CUR16" s="21"/>
      <c r="CUV16" s="15"/>
      <c r="CVB16" s="25"/>
      <c r="CVI16" s="21"/>
      <c r="CVJ16" s="21"/>
      <c r="CVN16" s="15"/>
      <c r="CVT16" s="25"/>
      <c r="CWA16" s="21"/>
      <c r="CWB16" s="21"/>
      <c r="CWF16" s="15"/>
      <c r="CWL16" s="25"/>
      <c r="CWS16" s="21"/>
      <c r="CWT16" s="21"/>
      <c r="CWX16" s="15"/>
      <c r="CXD16" s="25"/>
      <c r="CXK16" s="21"/>
      <c r="CXL16" s="21"/>
      <c r="CXP16" s="15"/>
      <c r="CXV16" s="25"/>
      <c r="CYC16" s="21"/>
      <c r="CYD16" s="21"/>
      <c r="CYH16" s="15"/>
      <c r="CYN16" s="25"/>
      <c r="CYU16" s="21"/>
      <c r="CYV16" s="21"/>
      <c r="CYZ16" s="15"/>
      <c r="CZF16" s="25"/>
      <c r="CZM16" s="21"/>
      <c r="CZN16" s="21"/>
      <c r="CZR16" s="15"/>
      <c r="CZX16" s="25"/>
      <c r="DAE16" s="21"/>
      <c r="DAF16" s="21"/>
      <c r="DAJ16" s="15"/>
      <c r="DAP16" s="25"/>
      <c r="DAW16" s="21"/>
      <c r="DAX16" s="21"/>
      <c r="DBB16" s="15"/>
      <c r="DBH16" s="25"/>
      <c r="DBO16" s="21"/>
      <c r="DBP16" s="21"/>
      <c r="DBT16" s="15"/>
      <c r="DBZ16" s="25"/>
      <c r="DCG16" s="21"/>
      <c r="DCH16" s="21"/>
      <c r="DCL16" s="15"/>
      <c r="DCR16" s="25"/>
      <c r="DCY16" s="21"/>
      <c r="DCZ16" s="21"/>
      <c r="DDD16" s="15"/>
      <c r="DDJ16" s="25"/>
      <c r="DDQ16" s="21"/>
      <c r="DDR16" s="21"/>
      <c r="DDV16" s="15"/>
      <c r="DEB16" s="25"/>
      <c r="DEI16" s="21"/>
      <c r="DEJ16" s="21"/>
      <c r="DEN16" s="15"/>
      <c r="DET16" s="25"/>
      <c r="DFA16" s="21"/>
      <c r="DFB16" s="21"/>
      <c r="DFF16" s="15"/>
      <c r="DFL16" s="25"/>
      <c r="DFS16" s="21"/>
      <c r="DFT16" s="21"/>
      <c r="DFX16" s="15"/>
      <c r="DGD16" s="25"/>
      <c r="DGK16" s="21"/>
      <c r="DGL16" s="21"/>
      <c r="DGP16" s="15"/>
      <c r="DGV16" s="25"/>
      <c r="DHC16" s="21"/>
      <c r="DHD16" s="21"/>
      <c r="DHH16" s="15"/>
      <c r="DHN16" s="25"/>
      <c r="DHU16" s="21"/>
      <c r="DHV16" s="21"/>
      <c r="DHZ16" s="15"/>
      <c r="DIF16" s="25"/>
      <c r="DIM16" s="21"/>
      <c r="DIN16" s="21"/>
      <c r="DIR16" s="15"/>
      <c r="DIX16" s="25"/>
      <c r="DJE16" s="21"/>
      <c r="DJF16" s="21"/>
      <c r="DJJ16" s="15"/>
      <c r="DJP16" s="25"/>
      <c r="DJW16" s="21"/>
      <c r="DJX16" s="21"/>
      <c r="DKB16" s="15"/>
      <c r="DKH16" s="25"/>
      <c r="DKO16" s="21"/>
      <c r="DKP16" s="21"/>
      <c r="DKT16" s="15"/>
      <c r="DKZ16" s="25"/>
      <c r="DLG16" s="21"/>
      <c r="DLH16" s="21"/>
      <c r="DLL16" s="15"/>
      <c r="DLR16" s="25"/>
      <c r="DLY16" s="21"/>
      <c r="DLZ16" s="21"/>
      <c r="DMD16" s="15"/>
      <c r="DMJ16" s="25"/>
      <c r="DMQ16" s="21"/>
      <c r="DMR16" s="21"/>
      <c r="DMV16" s="15"/>
      <c r="DNB16" s="25"/>
      <c r="DNI16" s="21"/>
      <c r="DNJ16" s="21"/>
      <c r="DNN16" s="15"/>
      <c r="DNT16" s="25"/>
      <c r="DOA16" s="21"/>
      <c r="DOB16" s="21"/>
      <c r="DOF16" s="15"/>
      <c r="DOL16" s="25"/>
      <c r="DOS16" s="21"/>
      <c r="DOT16" s="21"/>
      <c r="DOX16" s="15"/>
      <c r="DPD16" s="25"/>
      <c r="DPK16" s="21"/>
      <c r="DPL16" s="21"/>
      <c r="DPP16" s="15"/>
      <c r="DPV16" s="25"/>
      <c r="DQC16" s="21"/>
      <c r="DQD16" s="21"/>
      <c r="DQH16" s="15"/>
      <c r="DQN16" s="25"/>
      <c r="DQU16" s="21"/>
      <c r="DQV16" s="21"/>
      <c r="DQZ16" s="15"/>
      <c r="DRF16" s="25"/>
      <c r="DRM16" s="21"/>
      <c r="DRN16" s="21"/>
      <c r="DRR16" s="15"/>
      <c r="DRX16" s="25"/>
      <c r="DSE16" s="21"/>
      <c r="DSF16" s="21"/>
      <c r="DSJ16" s="15"/>
      <c r="DSP16" s="25"/>
      <c r="DSW16" s="21"/>
      <c r="DSX16" s="21"/>
      <c r="DTB16" s="15"/>
      <c r="DTH16" s="25"/>
      <c r="DTO16" s="21"/>
      <c r="DTP16" s="21"/>
      <c r="DTT16" s="15"/>
      <c r="DTZ16" s="25"/>
      <c r="DUG16" s="21"/>
      <c r="DUH16" s="21"/>
      <c r="DUL16" s="15"/>
      <c r="DUR16" s="25"/>
      <c r="DUY16" s="21"/>
      <c r="DUZ16" s="21"/>
      <c r="DVD16" s="15"/>
      <c r="DVJ16" s="25"/>
      <c r="DVQ16" s="21"/>
      <c r="DVR16" s="21"/>
      <c r="DVV16" s="15"/>
      <c r="DWB16" s="25"/>
      <c r="DWI16" s="21"/>
      <c r="DWJ16" s="21"/>
      <c r="DWN16" s="15"/>
      <c r="DWT16" s="25"/>
      <c r="DXA16" s="21"/>
      <c r="DXB16" s="21"/>
      <c r="DXF16" s="15"/>
      <c r="DXL16" s="25"/>
      <c r="DXS16" s="21"/>
      <c r="DXT16" s="21"/>
      <c r="DXX16" s="15"/>
      <c r="DYD16" s="25"/>
      <c r="DYK16" s="21"/>
      <c r="DYL16" s="21"/>
      <c r="DYP16" s="15"/>
      <c r="DYV16" s="25"/>
      <c r="DZC16" s="21"/>
      <c r="DZD16" s="21"/>
      <c r="DZH16" s="15"/>
      <c r="DZN16" s="25"/>
      <c r="DZU16" s="21"/>
      <c r="DZV16" s="21"/>
      <c r="DZZ16" s="15"/>
      <c r="EAF16" s="25"/>
      <c r="EAM16" s="21"/>
      <c r="EAN16" s="21"/>
      <c r="EAR16" s="15"/>
      <c r="EAX16" s="25"/>
      <c r="EBE16" s="21"/>
      <c r="EBF16" s="21"/>
      <c r="EBJ16" s="15"/>
      <c r="EBP16" s="25"/>
      <c r="EBW16" s="21"/>
      <c r="EBX16" s="21"/>
      <c r="ECB16" s="15"/>
      <c r="ECH16" s="25"/>
      <c r="ECO16" s="21"/>
      <c r="ECP16" s="21"/>
      <c r="ECT16" s="15"/>
      <c r="ECZ16" s="25"/>
      <c r="EDG16" s="21"/>
      <c r="EDH16" s="21"/>
      <c r="EDL16" s="15"/>
      <c r="EDR16" s="25"/>
      <c r="EDY16" s="21"/>
      <c r="EDZ16" s="21"/>
      <c r="EED16" s="15"/>
      <c r="EEJ16" s="25"/>
      <c r="EEQ16" s="21"/>
      <c r="EER16" s="21"/>
      <c r="EEV16" s="15"/>
      <c r="EFB16" s="25"/>
      <c r="EFI16" s="21"/>
      <c r="EFJ16" s="21"/>
      <c r="EFN16" s="15"/>
      <c r="EFT16" s="25"/>
      <c r="EGA16" s="21"/>
      <c r="EGB16" s="21"/>
      <c r="EGF16" s="15"/>
      <c r="EGL16" s="25"/>
      <c r="EGS16" s="21"/>
      <c r="EGT16" s="21"/>
      <c r="EGX16" s="15"/>
      <c r="EHD16" s="25"/>
      <c r="EHK16" s="21"/>
      <c r="EHL16" s="21"/>
      <c r="EHP16" s="15"/>
      <c r="EHV16" s="25"/>
      <c r="EIC16" s="21"/>
      <c r="EID16" s="21"/>
      <c r="EIH16" s="15"/>
      <c r="EIN16" s="25"/>
      <c r="EIU16" s="21"/>
      <c r="EIV16" s="21"/>
      <c r="EIZ16" s="15"/>
      <c r="EJF16" s="25"/>
      <c r="EJM16" s="21"/>
      <c r="EJN16" s="21"/>
      <c r="EJR16" s="15"/>
      <c r="EJX16" s="25"/>
      <c r="EKE16" s="21"/>
      <c r="EKF16" s="21"/>
      <c r="EKJ16" s="15"/>
      <c r="EKP16" s="25"/>
      <c r="EKW16" s="21"/>
      <c r="EKX16" s="21"/>
      <c r="ELB16" s="15"/>
      <c r="ELH16" s="25"/>
      <c r="ELO16" s="21"/>
      <c r="ELP16" s="21"/>
      <c r="ELT16" s="15"/>
      <c r="ELZ16" s="25"/>
      <c r="EMG16" s="21"/>
      <c r="EMH16" s="21"/>
      <c r="EML16" s="15"/>
      <c r="EMR16" s="25"/>
      <c r="EMY16" s="21"/>
      <c r="EMZ16" s="21"/>
      <c r="END16" s="15"/>
      <c r="ENJ16" s="25"/>
      <c r="ENQ16" s="21"/>
      <c r="ENR16" s="21"/>
      <c r="ENV16" s="15"/>
      <c r="EOB16" s="25"/>
      <c r="EOI16" s="21"/>
      <c r="EOJ16" s="21"/>
      <c r="EON16" s="15"/>
      <c r="EOT16" s="25"/>
      <c r="EPA16" s="21"/>
      <c r="EPB16" s="21"/>
      <c r="EPF16" s="15"/>
      <c r="EPL16" s="25"/>
      <c r="EPS16" s="21"/>
      <c r="EPT16" s="21"/>
      <c r="EPX16" s="15"/>
      <c r="EQD16" s="25"/>
      <c r="EQK16" s="21"/>
      <c r="EQL16" s="21"/>
      <c r="EQP16" s="15"/>
      <c r="EQV16" s="25"/>
      <c r="ERC16" s="21"/>
      <c r="ERD16" s="21"/>
      <c r="ERH16" s="15"/>
      <c r="ERN16" s="25"/>
      <c r="ERU16" s="21"/>
      <c r="ERV16" s="21"/>
      <c r="ERZ16" s="15"/>
      <c r="ESF16" s="25"/>
      <c r="ESM16" s="21"/>
      <c r="ESN16" s="21"/>
      <c r="ESR16" s="15"/>
      <c r="ESX16" s="25"/>
      <c r="ETE16" s="21"/>
      <c r="ETF16" s="21"/>
      <c r="ETJ16" s="15"/>
      <c r="ETP16" s="25"/>
      <c r="ETW16" s="21"/>
      <c r="ETX16" s="21"/>
      <c r="EUB16" s="15"/>
      <c r="EUH16" s="25"/>
      <c r="EUO16" s="21"/>
      <c r="EUP16" s="21"/>
      <c r="EUT16" s="15"/>
      <c r="EUZ16" s="25"/>
      <c r="EVG16" s="21"/>
      <c r="EVH16" s="21"/>
      <c r="EVL16" s="15"/>
      <c r="EVR16" s="25"/>
      <c r="EVY16" s="21"/>
      <c r="EVZ16" s="21"/>
      <c r="EWD16" s="15"/>
      <c r="EWJ16" s="25"/>
      <c r="EWQ16" s="21"/>
      <c r="EWR16" s="21"/>
      <c r="EWV16" s="15"/>
      <c r="EXB16" s="25"/>
      <c r="EXI16" s="21"/>
      <c r="EXJ16" s="21"/>
      <c r="EXN16" s="15"/>
      <c r="EXT16" s="25"/>
      <c r="EYA16" s="21"/>
      <c r="EYB16" s="21"/>
      <c r="EYF16" s="15"/>
      <c r="EYL16" s="25"/>
      <c r="EYS16" s="21"/>
      <c r="EYT16" s="21"/>
      <c r="EYX16" s="15"/>
      <c r="EZD16" s="25"/>
      <c r="EZK16" s="21"/>
      <c r="EZL16" s="21"/>
      <c r="EZP16" s="15"/>
      <c r="EZV16" s="25"/>
      <c r="FAC16" s="21"/>
      <c r="FAD16" s="21"/>
      <c r="FAH16" s="15"/>
      <c r="FAN16" s="25"/>
      <c r="FAU16" s="21"/>
      <c r="FAV16" s="21"/>
      <c r="FAZ16" s="15"/>
      <c r="FBF16" s="25"/>
      <c r="FBM16" s="21"/>
      <c r="FBN16" s="21"/>
      <c r="FBR16" s="15"/>
      <c r="FBX16" s="25"/>
      <c r="FCE16" s="21"/>
      <c r="FCF16" s="21"/>
      <c r="FCJ16" s="15"/>
      <c r="FCP16" s="25"/>
      <c r="FCW16" s="21"/>
      <c r="FCX16" s="21"/>
      <c r="FDB16" s="15"/>
      <c r="FDH16" s="25"/>
      <c r="FDO16" s="21"/>
      <c r="FDP16" s="21"/>
      <c r="FDT16" s="15"/>
      <c r="FDZ16" s="25"/>
      <c r="FEG16" s="21"/>
      <c r="FEH16" s="21"/>
      <c r="FEL16" s="15"/>
      <c r="FER16" s="25"/>
      <c r="FEY16" s="21"/>
      <c r="FEZ16" s="21"/>
      <c r="FFD16" s="15"/>
      <c r="FFJ16" s="25"/>
      <c r="FFQ16" s="21"/>
      <c r="FFR16" s="21"/>
      <c r="FFV16" s="15"/>
      <c r="FGB16" s="25"/>
      <c r="FGI16" s="21"/>
      <c r="FGJ16" s="21"/>
      <c r="FGN16" s="15"/>
      <c r="FGT16" s="25"/>
      <c r="FHA16" s="21"/>
      <c r="FHB16" s="21"/>
      <c r="FHF16" s="15"/>
      <c r="FHL16" s="25"/>
      <c r="FHS16" s="21"/>
      <c r="FHT16" s="21"/>
      <c r="FHX16" s="15"/>
      <c r="FID16" s="25"/>
      <c r="FIK16" s="21"/>
      <c r="FIL16" s="21"/>
      <c r="FIP16" s="15"/>
      <c r="FIV16" s="25"/>
      <c r="FJC16" s="21"/>
      <c r="FJD16" s="21"/>
      <c r="FJH16" s="15"/>
      <c r="FJN16" s="25"/>
      <c r="FJU16" s="21"/>
      <c r="FJV16" s="21"/>
      <c r="FJZ16" s="15"/>
      <c r="FKF16" s="25"/>
      <c r="FKM16" s="21"/>
      <c r="FKN16" s="21"/>
      <c r="FKR16" s="15"/>
      <c r="FKX16" s="25"/>
      <c r="FLE16" s="21"/>
      <c r="FLF16" s="21"/>
      <c r="FLJ16" s="15"/>
      <c r="FLP16" s="25"/>
      <c r="FLW16" s="21"/>
      <c r="FLX16" s="21"/>
      <c r="FMB16" s="15"/>
      <c r="FMH16" s="25"/>
      <c r="FMO16" s="21"/>
      <c r="FMP16" s="21"/>
      <c r="FMT16" s="15"/>
      <c r="FMZ16" s="25"/>
      <c r="FNG16" s="21"/>
      <c r="FNH16" s="21"/>
      <c r="FNL16" s="15"/>
      <c r="FNR16" s="25"/>
      <c r="FNY16" s="21"/>
      <c r="FNZ16" s="21"/>
      <c r="FOD16" s="15"/>
      <c r="FOJ16" s="25"/>
      <c r="FOQ16" s="21"/>
      <c r="FOR16" s="21"/>
      <c r="FOV16" s="15"/>
      <c r="FPB16" s="25"/>
      <c r="FPI16" s="21"/>
      <c r="FPJ16" s="21"/>
      <c r="FPN16" s="15"/>
      <c r="FPT16" s="25"/>
      <c r="FQA16" s="21"/>
      <c r="FQB16" s="21"/>
      <c r="FQF16" s="15"/>
      <c r="FQL16" s="25"/>
      <c r="FQS16" s="21"/>
      <c r="FQT16" s="21"/>
      <c r="FQX16" s="15"/>
      <c r="FRD16" s="25"/>
      <c r="FRK16" s="21"/>
      <c r="FRL16" s="21"/>
      <c r="FRP16" s="15"/>
      <c r="FRV16" s="25"/>
      <c r="FSC16" s="21"/>
      <c r="FSD16" s="21"/>
      <c r="FSH16" s="15"/>
      <c r="FSN16" s="25"/>
      <c r="FSU16" s="21"/>
      <c r="FSV16" s="21"/>
      <c r="FSZ16" s="15"/>
      <c r="FTF16" s="25"/>
      <c r="FTM16" s="21"/>
      <c r="FTN16" s="21"/>
      <c r="FTR16" s="15"/>
      <c r="FTX16" s="25"/>
      <c r="FUE16" s="21"/>
      <c r="FUF16" s="21"/>
      <c r="FUJ16" s="15"/>
      <c r="FUP16" s="25"/>
      <c r="FUW16" s="21"/>
      <c r="FUX16" s="21"/>
      <c r="FVB16" s="15"/>
      <c r="FVH16" s="25"/>
      <c r="FVO16" s="21"/>
      <c r="FVP16" s="21"/>
      <c r="FVT16" s="15"/>
      <c r="FVZ16" s="25"/>
      <c r="FWG16" s="21"/>
      <c r="FWH16" s="21"/>
      <c r="FWL16" s="15"/>
      <c r="FWR16" s="25"/>
      <c r="FWY16" s="21"/>
      <c r="FWZ16" s="21"/>
      <c r="FXD16" s="15"/>
      <c r="FXJ16" s="25"/>
      <c r="FXQ16" s="21"/>
      <c r="FXR16" s="21"/>
      <c r="FXV16" s="15"/>
      <c r="FYB16" s="25"/>
      <c r="FYI16" s="21"/>
      <c r="FYJ16" s="21"/>
      <c r="FYN16" s="15"/>
      <c r="FYT16" s="25"/>
      <c r="FZA16" s="21"/>
      <c r="FZB16" s="21"/>
      <c r="FZF16" s="15"/>
      <c r="FZL16" s="25"/>
      <c r="FZS16" s="21"/>
      <c r="FZT16" s="21"/>
      <c r="FZX16" s="15"/>
      <c r="GAD16" s="25"/>
      <c r="GAK16" s="21"/>
      <c r="GAL16" s="21"/>
      <c r="GAP16" s="15"/>
      <c r="GAV16" s="25"/>
      <c r="GBC16" s="21"/>
      <c r="GBD16" s="21"/>
      <c r="GBH16" s="15"/>
      <c r="GBN16" s="25"/>
      <c r="GBU16" s="21"/>
      <c r="GBV16" s="21"/>
      <c r="GBZ16" s="15"/>
      <c r="GCF16" s="25"/>
      <c r="GCM16" s="21"/>
      <c r="GCN16" s="21"/>
      <c r="GCR16" s="15"/>
      <c r="GCX16" s="25"/>
      <c r="GDE16" s="21"/>
      <c r="GDF16" s="21"/>
      <c r="GDJ16" s="15"/>
      <c r="GDP16" s="25"/>
      <c r="GDW16" s="21"/>
      <c r="GDX16" s="21"/>
      <c r="GEB16" s="15"/>
      <c r="GEH16" s="25"/>
      <c r="GEO16" s="21"/>
      <c r="GEP16" s="21"/>
      <c r="GET16" s="15"/>
      <c r="GEZ16" s="25"/>
      <c r="GFG16" s="21"/>
      <c r="GFH16" s="21"/>
      <c r="GFL16" s="15"/>
      <c r="GFR16" s="25"/>
      <c r="GFY16" s="21"/>
      <c r="GFZ16" s="21"/>
      <c r="GGD16" s="15"/>
      <c r="GGJ16" s="25"/>
      <c r="GGQ16" s="21"/>
      <c r="GGR16" s="21"/>
      <c r="GGV16" s="15"/>
      <c r="GHB16" s="25"/>
      <c r="GHI16" s="21"/>
      <c r="GHJ16" s="21"/>
      <c r="GHN16" s="15"/>
      <c r="GHT16" s="25"/>
      <c r="GIA16" s="21"/>
      <c r="GIB16" s="21"/>
      <c r="GIF16" s="15"/>
      <c r="GIL16" s="25"/>
      <c r="GIS16" s="21"/>
      <c r="GIT16" s="21"/>
      <c r="GIX16" s="15"/>
      <c r="GJD16" s="25"/>
      <c r="GJK16" s="21"/>
      <c r="GJL16" s="21"/>
      <c r="GJP16" s="15"/>
      <c r="GJV16" s="25"/>
      <c r="GKC16" s="21"/>
      <c r="GKD16" s="21"/>
      <c r="GKH16" s="15"/>
      <c r="GKN16" s="25"/>
      <c r="GKU16" s="21"/>
      <c r="GKV16" s="21"/>
      <c r="GKZ16" s="15"/>
      <c r="GLF16" s="25"/>
      <c r="GLM16" s="21"/>
      <c r="GLN16" s="21"/>
      <c r="GLR16" s="15"/>
      <c r="GLX16" s="25"/>
      <c r="GME16" s="21"/>
      <c r="GMF16" s="21"/>
      <c r="GMJ16" s="15"/>
      <c r="GMP16" s="25"/>
      <c r="GMW16" s="21"/>
      <c r="GMX16" s="21"/>
      <c r="GNB16" s="15"/>
      <c r="GNH16" s="25"/>
      <c r="GNO16" s="21"/>
      <c r="GNP16" s="21"/>
      <c r="GNT16" s="15"/>
      <c r="GNZ16" s="25"/>
      <c r="GOG16" s="21"/>
      <c r="GOH16" s="21"/>
      <c r="GOL16" s="15"/>
      <c r="GOR16" s="25"/>
      <c r="GOY16" s="21"/>
      <c r="GOZ16" s="21"/>
      <c r="GPD16" s="15"/>
      <c r="GPJ16" s="25"/>
      <c r="GPQ16" s="21"/>
      <c r="GPR16" s="21"/>
      <c r="GPV16" s="15"/>
      <c r="GQB16" s="25"/>
      <c r="GQI16" s="21"/>
      <c r="GQJ16" s="21"/>
      <c r="GQN16" s="15"/>
      <c r="GQT16" s="25"/>
      <c r="GRA16" s="21"/>
      <c r="GRB16" s="21"/>
      <c r="GRF16" s="15"/>
      <c r="GRL16" s="25"/>
      <c r="GRS16" s="21"/>
      <c r="GRT16" s="21"/>
      <c r="GRX16" s="15"/>
      <c r="GSD16" s="25"/>
      <c r="GSK16" s="21"/>
      <c r="GSL16" s="21"/>
      <c r="GSP16" s="15"/>
      <c r="GSV16" s="25"/>
      <c r="GTC16" s="21"/>
      <c r="GTD16" s="21"/>
      <c r="GTH16" s="15"/>
      <c r="GTN16" s="25"/>
      <c r="GTU16" s="21"/>
      <c r="GTV16" s="21"/>
      <c r="GTZ16" s="15"/>
      <c r="GUF16" s="25"/>
      <c r="GUM16" s="21"/>
      <c r="GUN16" s="21"/>
      <c r="GUR16" s="15"/>
      <c r="GUX16" s="25"/>
      <c r="GVE16" s="21"/>
      <c r="GVF16" s="21"/>
      <c r="GVJ16" s="15"/>
      <c r="GVP16" s="25"/>
      <c r="GVW16" s="21"/>
      <c r="GVX16" s="21"/>
      <c r="GWB16" s="15"/>
      <c r="GWH16" s="25"/>
      <c r="GWO16" s="21"/>
      <c r="GWP16" s="21"/>
      <c r="GWT16" s="15"/>
      <c r="GWZ16" s="25"/>
      <c r="GXG16" s="21"/>
      <c r="GXH16" s="21"/>
      <c r="GXL16" s="15"/>
      <c r="GXR16" s="25"/>
      <c r="GXY16" s="21"/>
      <c r="GXZ16" s="21"/>
      <c r="GYD16" s="15"/>
      <c r="GYJ16" s="25"/>
      <c r="GYQ16" s="21"/>
      <c r="GYR16" s="21"/>
      <c r="GYV16" s="15"/>
      <c r="GZB16" s="25"/>
      <c r="GZI16" s="21"/>
      <c r="GZJ16" s="21"/>
      <c r="GZN16" s="15"/>
      <c r="GZT16" s="25"/>
      <c r="HAA16" s="21"/>
      <c r="HAB16" s="21"/>
      <c r="HAF16" s="15"/>
      <c r="HAL16" s="25"/>
      <c r="HAS16" s="21"/>
      <c r="HAT16" s="21"/>
      <c r="HAX16" s="15"/>
      <c r="HBD16" s="25"/>
      <c r="HBK16" s="21"/>
      <c r="HBL16" s="21"/>
      <c r="HBP16" s="15"/>
      <c r="HBV16" s="25"/>
      <c r="HCC16" s="21"/>
      <c r="HCD16" s="21"/>
      <c r="HCH16" s="15"/>
      <c r="HCN16" s="25"/>
      <c r="HCU16" s="21"/>
      <c r="HCV16" s="21"/>
      <c r="HCZ16" s="15"/>
      <c r="HDF16" s="25"/>
      <c r="HDM16" s="21"/>
      <c r="HDN16" s="21"/>
      <c r="HDR16" s="15"/>
      <c r="HDX16" s="25"/>
      <c r="HEE16" s="21"/>
      <c r="HEF16" s="21"/>
      <c r="HEJ16" s="15"/>
      <c r="HEP16" s="25"/>
      <c r="HEW16" s="21"/>
      <c r="HEX16" s="21"/>
      <c r="HFB16" s="15"/>
      <c r="HFH16" s="25"/>
      <c r="HFO16" s="21"/>
      <c r="HFP16" s="21"/>
      <c r="HFT16" s="15"/>
      <c r="HFZ16" s="25"/>
      <c r="HGG16" s="21"/>
      <c r="HGH16" s="21"/>
      <c r="HGL16" s="15"/>
      <c r="HGR16" s="25"/>
      <c r="HGY16" s="21"/>
      <c r="HGZ16" s="21"/>
      <c r="HHD16" s="15"/>
      <c r="HHJ16" s="25"/>
      <c r="HHQ16" s="21"/>
      <c r="HHR16" s="21"/>
      <c r="HHV16" s="15"/>
      <c r="HIB16" s="25"/>
      <c r="HII16" s="21"/>
      <c r="HIJ16" s="21"/>
      <c r="HIN16" s="15"/>
      <c r="HIT16" s="25"/>
      <c r="HJA16" s="21"/>
      <c r="HJB16" s="21"/>
      <c r="HJF16" s="15"/>
      <c r="HJL16" s="25"/>
      <c r="HJS16" s="21"/>
      <c r="HJT16" s="21"/>
      <c r="HJX16" s="15"/>
      <c r="HKD16" s="25"/>
      <c r="HKK16" s="21"/>
      <c r="HKL16" s="21"/>
      <c r="HKP16" s="15"/>
      <c r="HKV16" s="25"/>
      <c r="HLC16" s="21"/>
      <c r="HLD16" s="21"/>
      <c r="HLH16" s="15"/>
      <c r="HLN16" s="25"/>
      <c r="HLU16" s="21"/>
      <c r="HLV16" s="21"/>
      <c r="HLZ16" s="15"/>
      <c r="HMF16" s="25"/>
      <c r="HMM16" s="21"/>
      <c r="HMN16" s="21"/>
      <c r="HMR16" s="15"/>
      <c r="HMX16" s="25"/>
      <c r="HNE16" s="21"/>
      <c r="HNF16" s="21"/>
      <c r="HNJ16" s="15"/>
      <c r="HNP16" s="25"/>
      <c r="HNW16" s="21"/>
      <c r="HNX16" s="21"/>
      <c r="HOB16" s="15"/>
      <c r="HOH16" s="25"/>
      <c r="HOO16" s="21"/>
      <c r="HOP16" s="21"/>
      <c r="HOT16" s="15"/>
      <c r="HOZ16" s="25"/>
      <c r="HPG16" s="21"/>
      <c r="HPH16" s="21"/>
      <c r="HPL16" s="15"/>
      <c r="HPR16" s="25"/>
      <c r="HPY16" s="21"/>
      <c r="HPZ16" s="21"/>
      <c r="HQD16" s="15"/>
      <c r="HQJ16" s="25"/>
      <c r="HQQ16" s="21"/>
      <c r="HQR16" s="21"/>
      <c r="HQV16" s="15"/>
      <c r="HRB16" s="25"/>
      <c r="HRI16" s="21"/>
      <c r="HRJ16" s="21"/>
      <c r="HRN16" s="15"/>
      <c r="HRT16" s="25"/>
      <c r="HSA16" s="21"/>
      <c r="HSB16" s="21"/>
      <c r="HSF16" s="15"/>
      <c r="HSL16" s="25"/>
      <c r="HSS16" s="21"/>
      <c r="HST16" s="21"/>
      <c r="HSX16" s="15"/>
      <c r="HTD16" s="25"/>
      <c r="HTK16" s="21"/>
      <c r="HTL16" s="21"/>
      <c r="HTP16" s="15"/>
      <c r="HTV16" s="25"/>
      <c r="HUC16" s="21"/>
      <c r="HUD16" s="21"/>
      <c r="HUH16" s="15"/>
      <c r="HUN16" s="25"/>
      <c r="HUU16" s="21"/>
      <c r="HUV16" s="21"/>
      <c r="HUZ16" s="15"/>
      <c r="HVF16" s="25"/>
      <c r="HVM16" s="21"/>
      <c r="HVN16" s="21"/>
      <c r="HVR16" s="15"/>
      <c r="HVX16" s="25"/>
      <c r="HWE16" s="21"/>
      <c r="HWF16" s="21"/>
      <c r="HWJ16" s="15"/>
      <c r="HWP16" s="25"/>
      <c r="HWW16" s="21"/>
      <c r="HWX16" s="21"/>
      <c r="HXB16" s="15"/>
      <c r="HXH16" s="25"/>
      <c r="HXO16" s="21"/>
      <c r="HXP16" s="21"/>
      <c r="HXT16" s="15"/>
      <c r="HXZ16" s="25"/>
      <c r="HYG16" s="21"/>
      <c r="HYH16" s="21"/>
      <c r="HYL16" s="15"/>
      <c r="HYR16" s="25"/>
      <c r="HYY16" s="21"/>
      <c r="HYZ16" s="21"/>
      <c r="HZD16" s="15"/>
      <c r="HZJ16" s="25"/>
      <c r="HZQ16" s="21"/>
      <c r="HZR16" s="21"/>
      <c r="HZV16" s="15"/>
      <c r="IAB16" s="25"/>
      <c r="IAI16" s="21"/>
      <c r="IAJ16" s="21"/>
      <c r="IAN16" s="15"/>
      <c r="IAT16" s="25"/>
      <c r="IBA16" s="21"/>
      <c r="IBB16" s="21"/>
      <c r="IBF16" s="15"/>
      <c r="IBL16" s="25"/>
      <c r="IBS16" s="21"/>
      <c r="IBT16" s="21"/>
      <c r="IBX16" s="15"/>
      <c r="ICD16" s="25"/>
      <c r="ICK16" s="21"/>
      <c r="ICL16" s="21"/>
      <c r="ICP16" s="15"/>
      <c r="ICV16" s="25"/>
      <c r="IDC16" s="21"/>
      <c r="IDD16" s="21"/>
      <c r="IDH16" s="15"/>
      <c r="IDN16" s="25"/>
      <c r="IDU16" s="21"/>
      <c r="IDV16" s="21"/>
      <c r="IDZ16" s="15"/>
      <c r="IEF16" s="25"/>
      <c r="IEM16" s="21"/>
      <c r="IEN16" s="21"/>
      <c r="IER16" s="15"/>
      <c r="IEX16" s="25"/>
      <c r="IFE16" s="21"/>
      <c r="IFF16" s="21"/>
      <c r="IFJ16" s="15"/>
      <c r="IFP16" s="25"/>
      <c r="IFW16" s="21"/>
      <c r="IFX16" s="21"/>
      <c r="IGB16" s="15"/>
      <c r="IGH16" s="25"/>
      <c r="IGO16" s="21"/>
      <c r="IGP16" s="21"/>
      <c r="IGT16" s="15"/>
      <c r="IGZ16" s="25"/>
      <c r="IHG16" s="21"/>
      <c r="IHH16" s="21"/>
      <c r="IHL16" s="15"/>
      <c r="IHR16" s="25"/>
      <c r="IHY16" s="21"/>
      <c r="IHZ16" s="21"/>
      <c r="IID16" s="15"/>
      <c r="IIJ16" s="25"/>
      <c r="IIQ16" s="21"/>
      <c r="IIR16" s="21"/>
      <c r="IIV16" s="15"/>
      <c r="IJB16" s="25"/>
      <c r="IJI16" s="21"/>
      <c r="IJJ16" s="21"/>
      <c r="IJN16" s="15"/>
      <c r="IJT16" s="25"/>
      <c r="IKA16" s="21"/>
      <c r="IKB16" s="21"/>
      <c r="IKF16" s="15"/>
      <c r="IKL16" s="25"/>
      <c r="IKS16" s="21"/>
      <c r="IKT16" s="21"/>
      <c r="IKX16" s="15"/>
      <c r="ILD16" s="25"/>
      <c r="ILK16" s="21"/>
      <c r="ILL16" s="21"/>
      <c r="ILP16" s="15"/>
      <c r="ILV16" s="25"/>
      <c r="IMC16" s="21"/>
      <c r="IMD16" s="21"/>
      <c r="IMH16" s="15"/>
      <c r="IMN16" s="25"/>
      <c r="IMU16" s="21"/>
      <c r="IMV16" s="21"/>
      <c r="IMZ16" s="15"/>
      <c r="INF16" s="25"/>
      <c r="INM16" s="21"/>
      <c r="INN16" s="21"/>
      <c r="INR16" s="15"/>
      <c r="INX16" s="25"/>
      <c r="IOE16" s="21"/>
      <c r="IOF16" s="21"/>
      <c r="IOJ16" s="15"/>
      <c r="IOP16" s="25"/>
      <c r="IOW16" s="21"/>
      <c r="IOX16" s="21"/>
      <c r="IPB16" s="15"/>
      <c r="IPH16" s="25"/>
      <c r="IPO16" s="21"/>
      <c r="IPP16" s="21"/>
      <c r="IPT16" s="15"/>
      <c r="IPZ16" s="25"/>
      <c r="IQG16" s="21"/>
      <c r="IQH16" s="21"/>
      <c r="IQL16" s="15"/>
      <c r="IQR16" s="25"/>
      <c r="IQY16" s="21"/>
      <c r="IQZ16" s="21"/>
      <c r="IRD16" s="15"/>
      <c r="IRJ16" s="25"/>
      <c r="IRQ16" s="21"/>
      <c r="IRR16" s="21"/>
      <c r="IRV16" s="15"/>
      <c r="ISB16" s="25"/>
      <c r="ISI16" s="21"/>
      <c r="ISJ16" s="21"/>
      <c r="ISN16" s="15"/>
      <c r="IST16" s="25"/>
      <c r="ITA16" s="21"/>
      <c r="ITB16" s="21"/>
      <c r="ITF16" s="15"/>
      <c r="ITL16" s="25"/>
      <c r="ITS16" s="21"/>
      <c r="ITT16" s="21"/>
      <c r="ITX16" s="15"/>
      <c r="IUD16" s="25"/>
      <c r="IUK16" s="21"/>
      <c r="IUL16" s="21"/>
      <c r="IUP16" s="15"/>
      <c r="IUV16" s="25"/>
      <c r="IVC16" s="21"/>
      <c r="IVD16" s="21"/>
      <c r="IVH16" s="15"/>
      <c r="IVN16" s="25"/>
      <c r="IVU16" s="21"/>
      <c r="IVV16" s="21"/>
      <c r="IVZ16" s="15"/>
      <c r="IWF16" s="25"/>
      <c r="IWM16" s="21"/>
      <c r="IWN16" s="21"/>
      <c r="IWR16" s="15"/>
      <c r="IWX16" s="25"/>
      <c r="IXE16" s="21"/>
      <c r="IXF16" s="21"/>
      <c r="IXJ16" s="15"/>
      <c r="IXP16" s="25"/>
      <c r="IXW16" s="21"/>
      <c r="IXX16" s="21"/>
      <c r="IYB16" s="15"/>
      <c r="IYH16" s="25"/>
      <c r="IYO16" s="21"/>
      <c r="IYP16" s="21"/>
      <c r="IYT16" s="15"/>
      <c r="IYZ16" s="25"/>
      <c r="IZG16" s="21"/>
      <c r="IZH16" s="21"/>
      <c r="IZL16" s="15"/>
      <c r="IZR16" s="25"/>
      <c r="IZY16" s="21"/>
      <c r="IZZ16" s="21"/>
      <c r="JAD16" s="15"/>
      <c r="JAJ16" s="25"/>
      <c r="JAQ16" s="21"/>
      <c r="JAR16" s="21"/>
      <c r="JAV16" s="15"/>
      <c r="JBB16" s="25"/>
      <c r="JBI16" s="21"/>
      <c r="JBJ16" s="21"/>
      <c r="JBN16" s="15"/>
      <c r="JBT16" s="25"/>
      <c r="JCA16" s="21"/>
      <c r="JCB16" s="21"/>
      <c r="JCF16" s="15"/>
      <c r="JCL16" s="25"/>
      <c r="JCS16" s="21"/>
      <c r="JCT16" s="21"/>
      <c r="JCX16" s="15"/>
      <c r="JDD16" s="25"/>
      <c r="JDK16" s="21"/>
      <c r="JDL16" s="21"/>
      <c r="JDP16" s="15"/>
      <c r="JDV16" s="25"/>
      <c r="JEC16" s="21"/>
      <c r="JED16" s="21"/>
      <c r="JEH16" s="15"/>
      <c r="JEN16" s="25"/>
      <c r="JEU16" s="21"/>
      <c r="JEV16" s="21"/>
      <c r="JEZ16" s="15"/>
      <c r="JFF16" s="25"/>
      <c r="JFM16" s="21"/>
      <c r="JFN16" s="21"/>
      <c r="JFR16" s="15"/>
      <c r="JFX16" s="25"/>
      <c r="JGE16" s="21"/>
      <c r="JGF16" s="21"/>
      <c r="JGJ16" s="15"/>
      <c r="JGP16" s="25"/>
      <c r="JGW16" s="21"/>
      <c r="JGX16" s="21"/>
      <c r="JHB16" s="15"/>
      <c r="JHH16" s="25"/>
      <c r="JHO16" s="21"/>
      <c r="JHP16" s="21"/>
      <c r="JHT16" s="15"/>
      <c r="JHZ16" s="25"/>
      <c r="JIG16" s="21"/>
      <c r="JIH16" s="21"/>
      <c r="JIL16" s="15"/>
      <c r="JIR16" s="25"/>
      <c r="JIY16" s="21"/>
      <c r="JIZ16" s="21"/>
      <c r="JJD16" s="15"/>
      <c r="JJJ16" s="25"/>
      <c r="JJQ16" s="21"/>
      <c r="JJR16" s="21"/>
      <c r="JJV16" s="15"/>
      <c r="JKB16" s="25"/>
      <c r="JKI16" s="21"/>
      <c r="JKJ16" s="21"/>
      <c r="JKN16" s="15"/>
      <c r="JKT16" s="25"/>
      <c r="JLA16" s="21"/>
      <c r="JLB16" s="21"/>
      <c r="JLF16" s="15"/>
      <c r="JLL16" s="25"/>
      <c r="JLS16" s="21"/>
      <c r="JLT16" s="21"/>
      <c r="JLX16" s="15"/>
      <c r="JMD16" s="25"/>
      <c r="JMK16" s="21"/>
      <c r="JML16" s="21"/>
      <c r="JMP16" s="15"/>
      <c r="JMV16" s="25"/>
      <c r="JNC16" s="21"/>
      <c r="JND16" s="21"/>
      <c r="JNH16" s="15"/>
      <c r="JNN16" s="25"/>
      <c r="JNU16" s="21"/>
      <c r="JNV16" s="21"/>
      <c r="JNZ16" s="15"/>
      <c r="JOF16" s="25"/>
      <c r="JOM16" s="21"/>
      <c r="JON16" s="21"/>
      <c r="JOR16" s="15"/>
      <c r="JOX16" s="25"/>
      <c r="JPE16" s="21"/>
      <c r="JPF16" s="21"/>
      <c r="JPJ16" s="15"/>
      <c r="JPP16" s="25"/>
      <c r="JPW16" s="21"/>
      <c r="JPX16" s="21"/>
      <c r="JQB16" s="15"/>
      <c r="JQH16" s="25"/>
      <c r="JQO16" s="21"/>
      <c r="JQP16" s="21"/>
      <c r="JQT16" s="15"/>
      <c r="JQZ16" s="25"/>
      <c r="JRG16" s="21"/>
      <c r="JRH16" s="21"/>
      <c r="JRL16" s="15"/>
      <c r="JRR16" s="25"/>
      <c r="JRY16" s="21"/>
      <c r="JRZ16" s="21"/>
      <c r="JSD16" s="15"/>
      <c r="JSJ16" s="25"/>
      <c r="JSQ16" s="21"/>
      <c r="JSR16" s="21"/>
      <c r="JSV16" s="15"/>
      <c r="JTB16" s="25"/>
      <c r="JTI16" s="21"/>
      <c r="JTJ16" s="21"/>
      <c r="JTN16" s="15"/>
      <c r="JTT16" s="25"/>
      <c r="JUA16" s="21"/>
      <c r="JUB16" s="21"/>
      <c r="JUF16" s="15"/>
      <c r="JUL16" s="25"/>
      <c r="JUS16" s="21"/>
      <c r="JUT16" s="21"/>
      <c r="JUX16" s="15"/>
      <c r="JVD16" s="25"/>
      <c r="JVK16" s="21"/>
      <c r="JVL16" s="21"/>
      <c r="JVP16" s="15"/>
      <c r="JVV16" s="25"/>
      <c r="JWC16" s="21"/>
      <c r="JWD16" s="21"/>
      <c r="JWH16" s="15"/>
      <c r="JWN16" s="25"/>
      <c r="JWU16" s="21"/>
      <c r="JWV16" s="21"/>
      <c r="JWZ16" s="15"/>
      <c r="JXF16" s="25"/>
      <c r="JXM16" s="21"/>
      <c r="JXN16" s="21"/>
      <c r="JXR16" s="15"/>
      <c r="JXX16" s="25"/>
      <c r="JYE16" s="21"/>
      <c r="JYF16" s="21"/>
      <c r="JYJ16" s="15"/>
      <c r="JYP16" s="25"/>
      <c r="JYW16" s="21"/>
      <c r="JYX16" s="21"/>
      <c r="JZB16" s="15"/>
      <c r="JZH16" s="25"/>
      <c r="JZO16" s="21"/>
      <c r="JZP16" s="21"/>
      <c r="JZT16" s="15"/>
      <c r="JZZ16" s="25"/>
      <c r="KAG16" s="21"/>
      <c r="KAH16" s="21"/>
      <c r="KAL16" s="15"/>
      <c r="KAR16" s="25"/>
      <c r="KAY16" s="21"/>
      <c r="KAZ16" s="21"/>
      <c r="KBD16" s="15"/>
      <c r="KBJ16" s="25"/>
      <c r="KBQ16" s="21"/>
      <c r="KBR16" s="21"/>
      <c r="KBV16" s="15"/>
      <c r="KCB16" s="25"/>
      <c r="KCI16" s="21"/>
      <c r="KCJ16" s="21"/>
      <c r="KCN16" s="15"/>
      <c r="KCT16" s="25"/>
      <c r="KDA16" s="21"/>
      <c r="KDB16" s="21"/>
      <c r="KDF16" s="15"/>
      <c r="KDL16" s="25"/>
      <c r="KDS16" s="21"/>
      <c r="KDT16" s="21"/>
      <c r="KDX16" s="15"/>
      <c r="KED16" s="25"/>
      <c r="KEK16" s="21"/>
      <c r="KEL16" s="21"/>
      <c r="KEP16" s="15"/>
      <c r="KEV16" s="25"/>
      <c r="KFC16" s="21"/>
      <c r="KFD16" s="21"/>
      <c r="KFH16" s="15"/>
      <c r="KFN16" s="25"/>
      <c r="KFU16" s="21"/>
      <c r="KFV16" s="21"/>
      <c r="KFZ16" s="15"/>
      <c r="KGF16" s="25"/>
      <c r="KGM16" s="21"/>
      <c r="KGN16" s="21"/>
      <c r="KGR16" s="15"/>
      <c r="KGX16" s="25"/>
      <c r="KHE16" s="21"/>
      <c r="KHF16" s="21"/>
      <c r="KHJ16" s="15"/>
      <c r="KHP16" s="25"/>
      <c r="KHW16" s="21"/>
      <c r="KHX16" s="21"/>
      <c r="KIB16" s="15"/>
      <c r="KIH16" s="25"/>
      <c r="KIO16" s="21"/>
      <c r="KIP16" s="21"/>
      <c r="KIT16" s="15"/>
      <c r="KIZ16" s="25"/>
      <c r="KJG16" s="21"/>
      <c r="KJH16" s="21"/>
      <c r="KJL16" s="15"/>
      <c r="KJR16" s="25"/>
      <c r="KJY16" s="21"/>
      <c r="KJZ16" s="21"/>
      <c r="KKD16" s="15"/>
      <c r="KKJ16" s="25"/>
      <c r="KKQ16" s="21"/>
      <c r="KKR16" s="21"/>
      <c r="KKV16" s="15"/>
      <c r="KLB16" s="25"/>
      <c r="KLI16" s="21"/>
      <c r="KLJ16" s="21"/>
      <c r="KLN16" s="15"/>
      <c r="KLT16" s="25"/>
      <c r="KMA16" s="21"/>
      <c r="KMB16" s="21"/>
      <c r="KMF16" s="15"/>
      <c r="KML16" s="25"/>
      <c r="KMS16" s="21"/>
      <c r="KMT16" s="21"/>
      <c r="KMX16" s="15"/>
      <c r="KND16" s="25"/>
      <c r="KNK16" s="21"/>
      <c r="KNL16" s="21"/>
      <c r="KNP16" s="15"/>
      <c r="KNV16" s="25"/>
      <c r="KOC16" s="21"/>
      <c r="KOD16" s="21"/>
      <c r="KOH16" s="15"/>
      <c r="KON16" s="25"/>
      <c r="KOU16" s="21"/>
      <c r="KOV16" s="21"/>
      <c r="KOZ16" s="15"/>
      <c r="KPF16" s="25"/>
      <c r="KPM16" s="21"/>
      <c r="KPN16" s="21"/>
      <c r="KPR16" s="15"/>
      <c r="KPX16" s="25"/>
      <c r="KQE16" s="21"/>
      <c r="KQF16" s="21"/>
      <c r="KQJ16" s="15"/>
      <c r="KQP16" s="25"/>
      <c r="KQW16" s="21"/>
      <c r="KQX16" s="21"/>
      <c r="KRB16" s="15"/>
      <c r="KRH16" s="25"/>
      <c r="KRO16" s="21"/>
      <c r="KRP16" s="21"/>
      <c r="KRT16" s="15"/>
      <c r="KRZ16" s="25"/>
      <c r="KSG16" s="21"/>
      <c r="KSH16" s="21"/>
      <c r="KSL16" s="15"/>
      <c r="KSR16" s="25"/>
      <c r="KSY16" s="21"/>
      <c r="KSZ16" s="21"/>
      <c r="KTD16" s="15"/>
      <c r="KTJ16" s="25"/>
      <c r="KTQ16" s="21"/>
      <c r="KTR16" s="21"/>
      <c r="KTV16" s="15"/>
      <c r="KUB16" s="25"/>
      <c r="KUI16" s="21"/>
      <c r="KUJ16" s="21"/>
      <c r="KUN16" s="15"/>
      <c r="KUT16" s="25"/>
      <c r="KVA16" s="21"/>
      <c r="KVB16" s="21"/>
      <c r="KVF16" s="15"/>
      <c r="KVL16" s="25"/>
      <c r="KVS16" s="21"/>
      <c r="KVT16" s="21"/>
      <c r="KVX16" s="15"/>
      <c r="KWD16" s="25"/>
      <c r="KWK16" s="21"/>
      <c r="KWL16" s="21"/>
      <c r="KWP16" s="15"/>
      <c r="KWV16" s="25"/>
      <c r="KXC16" s="21"/>
      <c r="KXD16" s="21"/>
      <c r="KXH16" s="15"/>
      <c r="KXN16" s="25"/>
      <c r="KXU16" s="21"/>
      <c r="KXV16" s="21"/>
      <c r="KXZ16" s="15"/>
      <c r="KYF16" s="25"/>
      <c r="KYM16" s="21"/>
      <c r="KYN16" s="21"/>
      <c r="KYR16" s="15"/>
      <c r="KYX16" s="25"/>
      <c r="KZE16" s="21"/>
      <c r="KZF16" s="21"/>
      <c r="KZJ16" s="15"/>
      <c r="KZP16" s="25"/>
      <c r="KZW16" s="21"/>
      <c r="KZX16" s="21"/>
      <c r="LAB16" s="15"/>
      <c r="LAH16" s="25"/>
      <c r="LAO16" s="21"/>
      <c r="LAP16" s="21"/>
      <c r="LAT16" s="15"/>
      <c r="LAZ16" s="25"/>
      <c r="LBG16" s="21"/>
      <c r="LBH16" s="21"/>
      <c r="LBL16" s="15"/>
      <c r="LBR16" s="25"/>
      <c r="LBY16" s="21"/>
      <c r="LBZ16" s="21"/>
      <c r="LCD16" s="15"/>
      <c r="LCJ16" s="25"/>
      <c r="LCQ16" s="21"/>
      <c r="LCR16" s="21"/>
      <c r="LCV16" s="15"/>
      <c r="LDB16" s="25"/>
      <c r="LDI16" s="21"/>
      <c r="LDJ16" s="21"/>
      <c r="LDN16" s="15"/>
      <c r="LDT16" s="25"/>
      <c r="LEA16" s="21"/>
      <c r="LEB16" s="21"/>
      <c r="LEF16" s="15"/>
      <c r="LEL16" s="25"/>
      <c r="LES16" s="21"/>
      <c r="LET16" s="21"/>
      <c r="LEX16" s="15"/>
      <c r="LFD16" s="25"/>
      <c r="LFK16" s="21"/>
      <c r="LFL16" s="21"/>
      <c r="LFP16" s="15"/>
      <c r="LFV16" s="25"/>
      <c r="LGC16" s="21"/>
      <c r="LGD16" s="21"/>
      <c r="LGH16" s="15"/>
      <c r="LGN16" s="25"/>
      <c r="LGU16" s="21"/>
      <c r="LGV16" s="21"/>
      <c r="LGZ16" s="15"/>
      <c r="LHF16" s="25"/>
      <c r="LHM16" s="21"/>
      <c r="LHN16" s="21"/>
      <c r="LHR16" s="15"/>
      <c r="LHX16" s="25"/>
      <c r="LIE16" s="21"/>
      <c r="LIF16" s="21"/>
      <c r="LIJ16" s="15"/>
      <c r="LIP16" s="25"/>
      <c r="LIW16" s="21"/>
      <c r="LIX16" s="21"/>
      <c r="LJB16" s="15"/>
      <c r="LJH16" s="25"/>
      <c r="LJO16" s="21"/>
      <c r="LJP16" s="21"/>
      <c r="LJT16" s="15"/>
      <c r="LJZ16" s="25"/>
      <c r="LKG16" s="21"/>
      <c r="LKH16" s="21"/>
      <c r="LKL16" s="15"/>
      <c r="LKR16" s="25"/>
      <c r="LKY16" s="21"/>
      <c r="LKZ16" s="21"/>
      <c r="LLD16" s="15"/>
      <c r="LLJ16" s="25"/>
      <c r="LLQ16" s="21"/>
      <c r="LLR16" s="21"/>
      <c r="LLV16" s="15"/>
      <c r="LMB16" s="25"/>
      <c r="LMI16" s="21"/>
      <c r="LMJ16" s="21"/>
      <c r="LMN16" s="15"/>
      <c r="LMT16" s="25"/>
      <c r="LNA16" s="21"/>
      <c r="LNB16" s="21"/>
      <c r="LNF16" s="15"/>
      <c r="LNL16" s="25"/>
      <c r="LNS16" s="21"/>
      <c r="LNT16" s="21"/>
      <c r="LNX16" s="15"/>
      <c r="LOD16" s="25"/>
      <c r="LOK16" s="21"/>
      <c r="LOL16" s="21"/>
      <c r="LOP16" s="15"/>
      <c r="LOV16" s="25"/>
      <c r="LPC16" s="21"/>
      <c r="LPD16" s="21"/>
      <c r="LPH16" s="15"/>
      <c r="LPN16" s="25"/>
      <c r="LPU16" s="21"/>
      <c r="LPV16" s="21"/>
      <c r="LPZ16" s="15"/>
      <c r="LQF16" s="25"/>
      <c r="LQM16" s="21"/>
      <c r="LQN16" s="21"/>
      <c r="LQR16" s="15"/>
      <c r="LQX16" s="25"/>
      <c r="LRE16" s="21"/>
      <c r="LRF16" s="21"/>
      <c r="LRJ16" s="15"/>
      <c r="LRP16" s="25"/>
      <c r="LRW16" s="21"/>
      <c r="LRX16" s="21"/>
      <c r="LSB16" s="15"/>
      <c r="LSH16" s="25"/>
      <c r="LSO16" s="21"/>
      <c r="LSP16" s="21"/>
      <c r="LST16" s="15"/>
      <c r="LSZ16" s="25"/>
      <c r="LTG16" s="21"/>
      <c r="LTH16" s="21"/>
      <c r="LTL16" s="15"/>
      <c r="LTR16" s="25"/>
      <c r="LTY16" s="21"/>
      <c r="LTZ16" s="21"/>
      <c r="LUD16" s="15"/>
      <c r="LUJ16" s="25"/>
      <c r="LUQ16" s="21"/>
      <c r="LUR16" s="21"/>
      <c r="LUV16" s="15"/>
      <c r="LVB16" s="25"/>
      <c r="LVI16" s="21"/>
      <c r="LVJ16" s="21"/>
      <c r="LVN16" s="15"/>
      <c r="LVT16" s="25"/>
      <c r="LWA16" s="21"/>
      <c r="LWB16" s="21"/>
      <c r="LWF16" s="15"/>
      <c r="LWL16" s="25"/>
      <c r="LWS16" s="21"/>
      <c r="LWT16" s="21"/>
      <c r="LWX16" s="15"/>
      <c r="LXD16" s="25"/>
      <c r="LXK16" s="21"/>
      <c r="LXL16" s="21"/>
      <c r="LXP16" s="15"/>
      <c r="LXV16" s="25"/>
      <c r="LYC16" s="21"/>
      <c r="LYD16" s="21"/>
      <c r="LYH16" s="15"/>
      <c r="LYN16" s="25"/>
      <c r="LYU16" s="21"/>
      <c r="LYV16" s="21"/>
      <c r="LYZ16" s="15"/>
      <c r="LZF16" s="25"/>
      <c r="LZM16" s="21"/>
      <c r="LZN16" s="21"/>
      <c r="LZR16" s="15"/>
      <c r="LZX16" s="25"/>
      <c r="MAE16" s="21"/>
      <c r="MAF16" s="21"/>
      <c r="MAJ16" s="15"/>
      <c r="MAP16" s="25"/>
      <c r="MAW16" s="21"/>
      <c r="MAX16" s="21"/>
      <c r="MBB16" s="15"/>
      <c r="MBH16" s="25"/>
      <c r="MBO16" s="21"/>
      <c r="MBP16" s="21"/>
      <c r="MBT16" s="15"/>
      <c r="MBZ16" s="25"/>
      <c r="MCG16" s="21"/>
      <c r="MCH16" s="21"/>
      <c r="MCL16" s="15"/>
      <c r="MCR16" s="25"/>
      <c r="MCY16" s="21"/>
      <c r="MCZ16" s="21"/>
      <c r="MDD16" s="15"/>
      <c r="MDJ16" s="25"/>
      <c r="MDQ16" s="21"/>
      <c r="MDR16" s="21"/>
      <c r="MDV16" s="15"/>
      <c r="MEB16" s="25"/>
      <c r="MEI16" s="21"/>
      <c r="MEJ16" s="21"/>
      <c r="MEN16" s="15"/>
      <c r="MET16" s="25"/>
      <c r="MFA16" s="21"/>
      <c r="MFB16" s="21"/>
      <c r="MFF16" s="15"/>
      <c r="MFL16" s="25"/>
      <c r="MFS16" s="21"/>
      <c r="MFT16" s="21"/>
      <c r="MFX16" s="15"/>
      <c r="MGD16" s="25"/>
      <c r="MGK16" s="21"/>
      <c r="MGL16" s="21"/>
      <c r="MGP16" s="15"/>
      <c r="MGV16" s="25"/>
      <c r="MHC16" s="21"/>
      <c r="MHD16" s="21"/>
      <c r="MHH16" s="15"/>
      <c r="MHN16" s="25"/>
      <c r="MHU16" s="21"/>
      <c r="MHV16" s="21"/>
      <c r="MHZ16" s="15"/>
      <c r="MIF16" s="25"/>
      <c r="MIM16" s="21"/>
      <c r="MIN16" s="21"/>
      <c r="MIR16" s="15"/>
      <c r="MIX16" s="25"/>
      <c r="MJE16" s="21"/>
      <c r="MJF16" s="21"/>
      <c r="MJJ16" s="15"/>
      <c r="MJP16" s="25"/>
      <c r="MJW16" s="21"/>
      <c r="MJX16" s="21"/>
      <c r="MKB16" s="15"/>
      <c r="MKH16" s="25"/>
      <c r="MKO16" s="21"/>
      <c r="MKP16" s="21"/>
      <c r="MKT16" s="15"/>
      <c r="MKZ16" s="25"/>
      <c r="MLG16" s="21"/>
      <c r="MLH16" s="21"/>
      <c r="MLL16" s="15"/>
      <c r="MLR16" s="25"/>
      <c r="MLY16" s="21"/>
      <c r="MLZ16" s="21"/>
      <c r="MMD16" s="15"/>
      <c r="MMJ16" s="25"/>
      <c r="MMQ16" s="21"/>
      <c r="MMR16" s="21"/>
      <c r="MMV16" s="15"/>
      <c r="MNB16" s="25"/>
      <c r="MNI16" s="21"/>
      <c r="MNJ16" s="21"/>
      <c r="MNN16" s="15"/>
      <c r="MNT16" s="25"/>
      <c r="MOA16" s="21"/>
      <c r="MOB16" s="21"/>
      <c r="MOF16" s="15"/>
      <c r="MOL16" s="25"/>
      <c r="MOS16" s="21"/>
      <c r="MOT16" s="21"/>
      <c r="MOX16" s="15"/>
      <c r="MPD16" s="25"/>
      <c r="MPK16" s="21"/>
      <c r="MPL16" s="21"/>
      <c r="MPP16" s="15"/>
      <c r="MPV16" s="25"/>
      <c r="MQC16" s="21"/>
      <c r="MQD16" s="21"/>
      <c r="MQH16" s="15"/>
      <c r="MQN16" s="25"/>
      <c r="MQU16" s="21"/>
      <c r="MQV16" s="21"/>
      <c r="MQZ16" s="15"/>
      <c r="MRF16" s="25"/>
      <c r="MRM16" s="21"/>
      <c r="MRN16" s="21"/>
      <c r="MRR16" s="15"/>
      <c r="MRX16" s="25"/>
      <c r="MSE16" s="21"/>
      <c r="MSF16" s="21"/>
      <c r="MSJ16" s="15"/>
      <c r="MSP16" s="25"/>
      <c r="MSW16" s="21"/>
      <c r="MSX16" s="21"/>
      <c r="MTB16" s="15"/>
      <c r="MTH16" s="25"/>
      <c r="MTO16" s="21"/>
      <c r="MTP16" s="21"/>
      <c r="MTT16" s="15"/>
      <c r="MTZ16" s="25"/>
      <c r="MUG16" s="21"/>
      <c r="MUH16" s="21"/>
      <c r="MUL16" s="15"/>
      <c r="MUR16" s="25"/>
      <c r="MUY16" s="21"/>
      <c r="MUZ16" s="21"/>
      <c r="MVD16" s="15"/>
      <c r="MVJ16" s="25"/>
      <c r="MVQ16" s="21"/>
      <c r="MVR16" s="21"/>
      <c r="MVV16" s="15"/>
      <c r="MWB16" s="25"/>
      <c r="MWI16" s="21"/>
      <c r="MWJ16" s="21"/>
      <c r="MWN16" s="15"/>
      <c r="MWT16" s="25"/>
      <c r="MXA16" s="21"/>
      <c r="MXB16" s="21"/>
      <c r="MXF16" s="15"/>
      <c r="MXL16" s="25"/>
      <c r="MXS16" s="21"/>
      <c r="MXT16" s="21"/>
      <c r="MXX16" s="15"/>
      <c r="MYD16" s="25"/>
      <c r="MYK16" s="21"/>
      <c r="MYL16" s="21"/>
      <c r="MYP16" s="15"/>
      <c r="MYV16" s="25"/>
      <c r="MZC16" s="21"/>
      <c r="MZD16" s="21"/>
      <c r="MZH16" s="15"/>
      <c r="MZN16" s="25"/>
      <c r="MZU16" s="21"/>
      <c r="MZV16" s="21"/>
      <c r="MZZ16" s="15"/>
      <c r="NAF16" s="25"/>
      <c r="NAM16" s="21"/>
      <c r="NAN16" s="21"/>
      <c r="NAR16" s="15"/>
      <c r="NAX16" s="25"/>
      <c r="NBE16" s="21"/>
      <c r="NBF16" s="21"/>
      <c r="NBJ16" s="15"/>
      <c r="NBP16" s="25"/>
      <c r="NBW16" s="21"/>
      <c r="NBX16" s="21"/>
      <c r="NCB16" s="15"/>
      <c r="NCH16" s="25"/>
      <c r="NCO16" s="21"/>
      <c r="NCP16" s="21"/>
      <c r="NCT16" s="15"/>
      <c r="NCZ16" s="25"/>
      <c r="NDG16" s="21"/>
      <c r="NDH16" s="21"/>
      <c r="NDL16" s="15"/>
      <c r="NDR16" s="25"/>
      <c r="NDY16" s="21"/>
      <c r="NDZ16" s="21"/>
      <c r="NED16" s="15"/>
      <c r="NEJ16" s="25"/>
      <c r="NEQ16" s="21"/>
      <c r="NER16" s="21"/>
      <c r="NEV16" s="15"/>
      <c r="NFB16" s="25"/>
      <c r="NFI16" s="21"/>
      <c r="NFJ16" s="21"/>
      <c r="NFN16" s="15"/>
      <c r="NFT16" s="25"/>
      <c r="NGA16" s="21"/>
      <c r="NGB16" s="21"/>
      <c r="NGF16" s="15"/>
      <c r="NGL16" s="25"/>
      <c r="NGS16" s="21"/>
      <c r="NGT16" s="21"/>
      <c r="NGX16" s="15"/>
      <c r="NHD16" s="25"/>
      <c r="NHK16" s="21"/>
      <c r="NHL16" s="21"/>
      <c r="NHP16" s="15"/>
      <c r="NHV16" s="25"/>
      <c r="NIC16" s="21"/>
      <c r="NID16" s="21"/>
      <c r="NIH16" s="15"/>
      <c r="NIN16" s="25"/>
      <c r="NIU16" s="21"/>
      <c r="NIV16" s="21"/>
      <c r="NIZ16" s="15"/>
      <c r="NJF16" s="25"/>
      <c r="NJM16" s="21"/>
      <c r="NJN16" s="21"/>
      <c r="NJR16" s="15"/>
      <c r="NJX16" s="25"/>
      <c r="NKE16" s="21"/>
      <c r="NKF16" s="21"/>
      <c r="NKJ16" s="15"/>
      <c r="NKP16" s="25"/>
      <c r="NKW16" s="21"/>
      <c r="NKX16" s="21"/>
      <c r="NLB16" s="15"/>
      <c r="NLH16" s="25"/>
      <c r="NLO16" s="21"/>
      <c r="NLP16" s="21"/>
      <c r="NLT16" s="15"/>
      <c r="NLZ16" s="25"/>
      <c r="NMG16" s="21"/>
      <c r="NMH16" s="21"/>
      <c r="NML16" s="15"/>
      <c r="NMR16" s="25"/>
      <c r="NMY16" s="21"/>
      <c r="NMZ16" s="21"/>
      <c r="NND16" s="15"/>
      <c r="NNJ16" s="25"/>
      <c r="NNQ16" s="21"/>
      <c r="NNR16" s="21"/>
      <c r="NNV16" s="15"/>
      <c r="NOB16" s="25"/>
      <c r="NOI16" s="21"/>
      <c r="NOJ16" s="21"/>
      <c r="NON16" s="15"/>
      <c r="NOT16" s="25"/>
      <c r="NPA16" s="21"/>
      <c r="NPB16" s="21"/>
      <c r="NPF16" s="15"/>
      <c r="NPL16" s="25"/>
      <c r="NPS16" s="21"/>
      <c r="NPT16" s="21"/>
      <c r="NPX16" s="15"/>
      <c r="NQD16" s="25"/>
      <c r="NQK16" s="21"/>
      <c r="NQL16" s="21"/>
      <c r="NQP16" s="15"/>
      <c r="NQV16" s="25"/>
      <c r="NRC16" s="21"/>
      <c r="NRD16" s="21"/>
      <c r="NRH16" s="15"/>
      <c r="NRN16" s="25"/>
      <c r="NRU16" s="21"/>
      <c r="NRV16" s="21"/>
      <c r="NRZ16" s="15"/>
      <c r="NSF16" s="25"/>
      <c r="NSM16" s="21"/>
      <c r="NSN16" s="21"/>
      <c r="NSR16" s="15"/>
      <c r="NSX16" s="25"/>
      <c r="NTE16" s="21"/>
      <c r="NTF16" s="21"/>
      <c r="NTJ16" s="15"/>
      <c r="NTP16" s="25"/>
      <c r="NTW16" s="21"/>
      <c r="NTX16" s="21"/>
      <c r="NUB16" s="15"/>
      <c r="NUH16" s="25"/>
      <c r="NUO16" s="21"/>
      <c r="NUP16" s="21"/>
      <c r="NUT16" s="15"/>
      <c r="NUZ16" s="25"/>
      <c r="NVG16" s="21"/>
      <c r="NVH16" s="21"/>
      <c r="NVL16" s="15"/>
      <c r="NVR16" s="25"/>
      <c r="NVY16" s="21"/>
      <c r="NVZ16" s="21"/>
      <c r="NWD16" s="15"/>
      <c r="NWJ16" s="25"/>
      <c r="NWQ16" s="21"/>
      <c r="NWR16" s="21"/>
      <c r="NWV16" s="15"/>
      <c r="NXB16" s="25"/>
      <c r="NXI16" s="21"/>
      <c r="NXJ16" s="21"/>
      <c r="NXN16" s="15"/>
      <c r="NXT16" s="25"/>
      <c r="NYA16" s="21"/>
      <c r="NYB16" s="21"/>
      <c r="NYF16" s="15"/>
      <c r="NYL16" s="25"/>
      <c r="NYS16" s="21"/>
      <c r="NYT16" s="21"/>
      <c r="NYX16" s="15"/>
      <c r="NZD16" s="25"/>
      <c r="NZK16" s="21"/>
      <c r="NZL16" s="21"/>
      <c r="NZP16" s="15"/>
      <c r="NZV16" s="25"/>
      <c r="OAC16" s="21"/>
      <c r="OAD16" s="21"/>
      <c r="OAH16" s="15"/>
      <c r="OAN16" s="25"/>
      <c r="OAU16" s="21"/>
      <c r="OAV16" s="21"/>
      <c r="OAZ16" s="15"/>
      <c r="OBF16" s="25"/>
      <c r="OBM16" s="21"/>
      <c r="OBN16" s="21"/>
      <c r="OBR16" s="15"/>
      <c r="OBX16" s="25"/>
      <c r="OCE16" s="21"/>
      <c r="OCF16" s="21"/>
      <c r="OCJ16" s="15"/>
      <c r="OCP16" s="25"/>
      <c r="OCW16" s="21"/>
      <c r="OCX16" s="21"/>
      <c r="ODB16" s="15"/>
      <c r="ODH16" s="25"/>
      <c r="ODO16" s="21"/>
      <c r="ODP16" s="21"/>
      <c r="ODT16" s="15"/>
      <c r="ODZ16" s="25"/>
      <c r="OEG16" s="21"/>
      <c r="OEH16" s="21"/>
      <c r="OEL16" s="15"/>
      <c r="OER16" s="25"/>
      <c r="OEY16" s="21"/>
      <c r="OEZ16" s="21"/>
      <c r="OFD16" s="15"/>
      <c r="OFJ16" s="25"/>
      <c r="OFQ16" s="21"/>
      <c r="OFR16" s="21"/>
      <c r="OFV16" s="15"/>
      <c r="OGB16" s="25"/>
      <c r="OGI16" s="21"/>
      <c r="OGJ16" s="21"/>
      <c r="OGN16" s="15"/>
      <c r="OGT16" s="25"/>
      <c r="OHA16" s="21"/>
      <c r="OHB16" s="21"/>
      <c r="OHF16" s="15"/>
      <c r="OHL16" s="25"/>
      <c r="OHS16" s="21"/>
      <c r="OHT16" s="21"/>
      <c r="OHX16" s="15"/>
      <c r="OID16" s="25"/>
      <c r="OIK16" s="21"/>
      <c r="OIL16" s="21"/>
      <c r="OIP16" s="15"/>
      <c r="OIV16" s="25"/>
      <c r="OJC16" s="21"/>
      <c r="OJD16" s="21"/>
      <c r="OJH16" s="15"/>
      <c r="OJN16" s="25"/>
      <c r="OJU16" s="21"/>
      <c r="OJV16" s="21"/>
      <c r="OJZ16" s="15"/>
      <c r="OKF16" s="25"/>
      <c r="OKM16" s="21"/>
      <c r="OKN16" s="21"/>
      <c r="OKR16" s="15"/>
      <c r="OKX16" s="25"/>
      <c r="OLE16" s="21"/>
      <c r="OLF16" s="21"/>
      <c r="OLJ16" s="15"/>
      <c r="OLP16" s="25"/>
      <c r="OLW16" s="21"/>
      <c r="OLX16" s="21"/>
      <c r="OMB16" s="15"/>
      <c r="OMH16" s="25"/>
      <c r="OMO16" s="21"/>
      <c r="OMP16" s="21"/>
      <c r="OMT16" s="15"/>
      <c r="OMZ16" s="25"/>
      <c r="ONG16" s="21"/>
      <c r="ONH16" s="21"/>
      <c r="ONL16" s="15"/>
      <c r="ONR16" s="25"/>
      <c r="ONY16" s="21"/>
      <c r="ONZ16" s="21"/>
      <c r="OOD16" s="15"/>
      <c r="OOJ16" s="25"/>
      <c r="OOQ16" s="21"/>
      <c r="OOR16" s="21"/>
      <c r="OOV16" s="15"/>
      <c r="OPB16" s="25"/>
      <c r="OPI16" s="21"/>
      <c r="OPJ16" s="21"/>
      <c r="OPN16" s="15"/>
      <c r="OPT16" s="25"/>
      <c r="OQA16" s="21"/>
      <c r="OQB16" s="21"/>
      <c r="OQF16" s="15"/>
      <c r="OQL16" s="25"/>
      <c r="OQS16" s="21"/>
      <c r="OQT16" s="21"/>
      <c r="OQX16" s="15"/>
      <c r="ORD16" s="25"/>
      <c r="ORK16" s="21"/>
      <c r="ORL16" s="21"/>
      <c r="ORP16" s="15"/>
      <c r="ORV16" s="25"/>
      <c r="OSC16" s="21"/>
      <c r="OSD16" s="21"/>
      <c r="OSH16" s="15"/>
      <c r="OSN16" s="25"/>
      <c r="OSU16" s="21"/>
      <c r="OSV16" s="21"/>
      <c r="OSZ16" s="15"/>
      <c r="OTF16" s="25"/>
      <c r="OTM16" s="21"/>
      <c r="OTN16" s="21"/>
      <c r="OTR16" s="15"/>
      <c r="OTX16" s="25"/>
      <c r="OUE16" s="21"/>
      <c r="OUF16" s="21"/>
      <c r="OUJ16" s="15"/>
      <c r="OUP16" s="25"/>
      <c r="OUW16" s="21"/>
      <c r="OUX16" s="21"/>
      <c r="OVB16" s="15"/>
      <c r="OVH16" s="25"/>
      <c r="OVO16" s="21"/>
      <c r="OVP16" s="21"/>
      <c r="OVT16" s="15"/>
      <c r="OVZ16" s="25"/>
      <c r="OWG16" s="21"/>
      <c r="OWH16" s="21"/>
      <c r="OWL16" s="15"/>
      <c r="OWR16" s="25"/>
      <c r="OWY16" s="21"/>
      <c r="OWZ16" s="21"/>
      <c r="OXD16" s="15"/>
      <c r="OXJ16" s="25"/>
      <c r="OXQ16" s="21"/>
      <c r="OXR16" s="21"/>
      <c r="OXV16" s="15"/>
      <c r="OYB16" s="25"/>
      <c r="OYI16" s="21"/>
      <c r="OYJ16" s="21"/>
      <c r="OYN16" s="15"/>
      <c r="OYT16" s="25"/>
      <c r="OZA16" s="21"/>
      <c r="OZB16" s="21"/>
      <c r="OZF16" s="15"/>
      <c r="OZL16" s="25"/>
      <c r="OZS16" s="21"/>
      <c r="OZT16" s="21"/>
      <c r="OZX16" s="15"/>
      <c r="PAD16" s="25"/>
      <c r="PAK16" s="21"/>
      <c r="PAL16" s="21"/>
      <c r="PAP16" s="15"/>
      <c r="PAV16" s="25"/>
      <c r="PBC16" s="21"/>
      <c r="PBD16" s="21"/>
      <c r="PBH16" s="15"/>
      <c r="PBN16" s="25"/>
      <c r="PBU16" s="21"/>
      <c r="PBV16" s="21"/>
      <c r="PBZ16" s="15"/>
      <c r="PCF16" s="25"/>
      <c r="PCM16" s="21"/>
      <c r="PCN16" s="21"/>
      <c r="PCR16" s="15"/>
      <c r="PCX16" s="25"/>
      <c r="PDE16" s="21"/>
      <c r="PDF16" s="21"/>
      <c r="PDJ16" s="15"/>
      <c r="PDP16" s="25"/>
      <c r="PDW16" s="21"/>
      <c r="PDX16" s="21"/>
      <c r="PEB16" s="15"/>
      <c r="PEH16" s="25"/>
      <c r="PEO16" s="21"/>
      <c r="PEP16" s="21"/>
      <c r="PET16" s="15"/>
      <c r="PEZ16" s="25"/>
      <c r="PFG16" s="21"/>
      <c r="PFH16" s="21"/>
      <c r="PFL16" s="15"/>
      <c r="PFR16" s="25"/>
      <c r="PFY16" s="21"/>
      <c r="PFZ16" s="21"/>
      <c r="PGD16" s="15"/>
      <c r="PGJ16" s="25"/>
      <c r="PGQ16" s="21"/>
      <c r="PGR16" s="21"/>
      <c r="PGV16" s="15"/>
      <c r="PHB16" s="25"/>
      <c r="PHI16" s="21"/>
      <c r="PHJ16" s="21"/>
      <c r="PHN16" s="15"/>
      <c r="PHT16" s="25"/>
      <c r="PIA16" s="21"/>
      <c r="PIB16" s="21"/>
      <c r="PIF16" s="15"/>
      <c r="PIL16" s="25"/>
      <c r="PIS16" s="21"/>
      <c r="PIT16" s="21"/>
      <c r="PIX16" s="15"/>
      <c r="PJD16" s="25"/>
      <c r="PJK16" s="21"/>
      <c r="PJL16" s="21"/>
      <c r="PJP16" s="15"/>
      <c r="PJV16" s="25"/>
      <c r="PKC16" s="21"/>
      <c r="PKD16" s="21"/>
      <c r="PKH16" s="15"/>
      <c r="PKN16" s="25"/>
      <c r="PKU16" s="21"/>
      <c r="PKV16" s="21"/>
      <c r="PKZ16" s="15"/>
      <c r="PLF16" s="25"/>
      <c r="PLM16" s="21"/>
      <c r="PLN16" s="21"/>
      <c r="PLR16" s="15"/>
      <c r="PLX16" s="25"/>
      <c r="PME16" s="21"/>
      <c r="PMF16" s="21"/>
      <c r="PMJ16" s="15"/>
      <c r="PMP16" s="25"/>
      <c r="PMW16" s="21"/>
      <c r="PMX16" s="21"/>
      <c r="PNB16" s="15"/>
      <c r="PNH16" s="25"/>
      <c r="PNO16" s="21"/>
      <c r="PNP16" s="21"/>
      <c r="PNT16" s="15"/>
      <c r="PNZ16" s="25"/>
      <c r="POG16" s="21"/>
      <c r="POH16" s="21"/>
      <c r="POL16" s="15"/>
      <c r="POR16" s="25"/>
      <c r="POY16" s="21"/>
      <c r="POZ16" s="21"/>
      <c r="PPD16" s="15"/>
      <c r="PPJ16" s="25"/>
      <c r="PPQ16" s="21"/>
      <c r="PPR16" s="21"/>
      <c r="PPV16" s="15"/>
      <c r="PQB16" s="25"/>
      <c r="PQI16" s="21"/>
      <c r="PQJ16" s="21"/>
      <c r="PQN16" s="15"/>
      <c r="PQT16" s="25"/>
      <c r="PRA16" s="21"/>
      <c r="PRB16" s="21"/>
      <c r="PRF16" s="15"/>
      <c r="PRL16" s="25"/>
      <c r="PRS16" s="21"/>
      <c r="PRT16" s="21"/>
      <c r="PRX16" s="15"/>
      <c r="PSD16" s="25"/>
      <c r="PSK16" s="21"/>
      <c r="PSL16" s="21"/>
      <c r="PSP16" s="15"/>
      <c r="PSV16" s="25"/>
      <c r="PTC16" s="21"/>
      <c r="PTD16" s="21"/>
      <c r="PTH16" s="15"/>
      <c r="PTN16" s="25"/>
      <c r="PTU16" s="21"/>
      <c r="PTV16" s="21"/>
      <c r="PTZ16" s="15"/>
      <c r="PUF16" s="25"/>
      <c r="PUM16" s="21"/>
      <c r="PUN16" s="21"/>
      <c r="PUR16" s="15"/>
      <c r="PUX16" s="25"/>
      <c r="PVE16" s="21"/>
      <c r="PVF16" s="21"/>
      <c r="PVJ16" s="15"/>
      <c r="PVP16" s="25"/>
      <c r="PVW16" s="21"/>
      <c r="PVX16" s="21"/>
      <c r="PWB16" s="15"/>
      <c r="PWH16" s="25"/>
      <c r="PWO16" s="21"/>
      <c r="PWP16" s="21"/>
      <c r="PWT16" s="15"/>
      <c r="PWZ16" s="25"/>
      <c r="PXG16" s="21"/>
      <c r="PXH16" s="21"/>
      <c r="PXL16" s="15"/>
      <c r="PXR16" s="25"/>
      <c r="PXY16" s="21"/>
      <c r="PXZ16" s="21"/>
      <c r="PYD16" s="15"/>
      <c r="PYJ16" s="25"/>
      <c r="PYQ16" s="21"/>
      <c r="PYR16" s="21"/>
      <c r="PYV16" s="15"/>
      <c r="PZB16" s="25"/>
      <c r="PZI16" s="21"/>
      <c r="PZJ16" s="21"/>
      <c r="PZN16" s="15"/>
      <c r="PZT16" s="25"/>
      <c r="QAA16" s="21"/>
      <c r="QAB16" s="21"/>
      <c r="QAF16" s="15"/>
      <c r="QAL16" s="25"/>
      <c r="QAS16" s="21"/>
      <c r="QAT16" s="21"/>
      <c r="QAX16" s="15"/>
      <c r="QBD16" s="25"/>
      <c r="QBK16" s="21"/>
      <c r="QBL16" s="21"/>
      <c r="QBP16" s="15"/>
      <c r="QBV16" s="25"/>
      <c r="QCC16" s="21"/>
      <c r="QCD16" s="21"/>
      <c r="QCH16" s="15"/>
      <c r="QCN16" s="25"/>
      <c r="QCU16" s="21"/>
      <c r="QCV16" s="21"/>
      <c r="QCZ16" s="15"/>
      <c r="QDF16" s="25"/>
      <c r="QDM16" s="21"/>
      <c r="QDN16" s="21"/>
      <c r="QDR16" s="15"/>
      <c r="QDX16" s="25"/>
      <c r="QEE16" s="21"/>
      <c r="QEF16" s="21"/>
      <c r="QEJ16" s="15"/>
      <c r="QEP16" s="25"/>
      <c r="QEW16" s="21"/>
      <c r="QEX16" s="21"/>
      <c r="QFB16" s="15"/>
      <c r="QFH16" s="25"/>
      <c r="QFO16" s="21"/>
      <c r="QFP16" s="21"/>
      <c r="QFT16" s="15"/>
      <c r="QFZ16" s="25"/>
      <c r="QGG16" s="21"/>
      <c r="QGH16" s="21"/>
      <c r="QGL16" s="15"/>
      <c r="QGR16" s="25"/>
      <c r="QGY16" s="21"/>
      <c r="QGZ16" s="21"/>
      <c r="QHD16" s="15"/>
      <c r="QHJ16" s="25"/>
      <c r="QHQ16" s="21"/>
      <c r="QHR16" s="21"/>
      <c r="QHV16" s="15"/>
      <c r="QIB16" s="25"/>
      <c r="QII16" s="21"/>
      <c r="QIJ16" s="21"/>
      <c r="QIN16" s="15"/>
      <c r="QIT16" s="25"/>
      <c r="QJA16" s="21"/>
      <c r="QJB16" s="21"/>
      <c r="QJF16" s="15"/>
      <c r="QJL16" s="25"/>
      <c r="QJS16" s="21"/>
      <c r="QJT16" s="21"/>
      <c r="QJX16" s="15"/>
      <c r="QKD16" s="25"/>
      <c r="QKK16" s="21"/>
      <c r="QKL16" s="21"/>
      <c r="QKP16" s="15"/>
      <c r="QKV16" s="25"/>
      <c r="QLC16" s="21"/>
      <c r="QLD16" s="21"/>
      <c r="QLH16" s="15"/>
      <c r="QLN16" s="25"/>
      <c r="QLU16" s="21"/>
      <c r="QLV16" s="21"/>
      <c r="QLZ16" s="15"/>
      <c r="QMF16" s="25"/>
      <c r="QMM16" s="21"/>
      <c r="QMN16" s="21"/>
      <c r="QMR16" s="15"/>
      <c r="QMX16" s="25"/>
      <c r="QNE16" s="21"/>
      <c r="QNF16" s="21"/>
      <c r="QNJ16" s="15"/>
      <c r="QNP16" s="25"/>
      <c r="QNW16" s="21"/>
      <c r="QNX16" s="21"/>
      <c r="QOB16" s="15"/>
      <c r="QOH16" s="25"/>
      <c r="QOO16" s="21"/>
      <c r="QOP16" s="21"/>
      <c r="QOT16" s="15"/>
      <c r="QOZ16" s="25"/>
      <c r="QPG16" s="21"/>
      <c r="QPH16" s="21"/>
      <c r="QPL16" s="15"/>
      <c r="QPR16" s="25"/>
      <c r="QPY16" s="21"/>
      <c r="QPZ16" s="21"/>
      <c r="QQD16" s="15"/>
      <c r="QQJ16" s="25"/>
      <c r="QQQ16" s="21"/>
      <c r="QQR16" s="21"/>
      <c r="QQV16" s="15"/>
      <c r="QRB16" s="25"/>
      <c r="QRI16" s="21"/>
      <c r="QRJ16" s="21"/>
      <c r="QRN16" s="15"/>
      <c r="QRT16" s="25"/>
      <c r="QSA16" s="21"/>
      <c r="QSB16" s="21"/>
      <c r="QSF16" s="15"/>
      <c r="QSL16" s="25"/>
      <c r="QSS16" s="21"/>
      <c r="QST16" s="21"/>
      <c r="QSX16" s="15"/>
      <c r="QTD16" s="25"/>
      <c r="QTK16" s="21"/>
      <c r="QTL16" s="21"/>
      <c r="QTP16" s="15"/>
      <c r="QTV16" s="25"/>
      <c r="QUC16" s="21"/>
      <c r="QUD16" s="21"/>
      <c r="QUH16" s="15"/>
      <c r="QUN16" s="25"/>
      <c r="QUU16" s="21"/>
      <c r="QUV16" s="21"/>
      <c r="QUZ16" s="15"/>
      <c r="QVF16" s="25"/>
      <c r="QVM16" s="21"/>
      <c r="QVN16" s="21"/>
      <c r="QVR16" s="15"/>
      <c r="QVX16" s="25"/>
      <c r="QWE16" s="21"/>
      <c r="QWF16" s="21"/>
      <c r="QWJ16" s="15"/>
      <c r="QWP16" s="25"/>
      <c r="QWW16" s="21"/>
      <c r="QWX16" s="21"/>
      <c r="QXB16" s="15"/>
      <c r="QXH16" s="25"/>
      <c r="QXO16" s="21"/>
      <c r="QXP16" s="21"/>
      <c r="QXT16" s="15"/>
      <c r="QXZ16" s="25"/>
      <c r="QYG16" s="21"/>
      <c r="QYH16" s="21"/>
      <c r="QYL16" s="15"/>
      <c r="QYR16" s="25"/>
      <c r="QYY16" s="21"/>
      <c r="QYZ16" s="21"/>
      <c r="QZD16" s="15"/>
      <c r="QZJ16" s="25"/>
      <c r="QZQ16" s="21"/>
      <c r="QZR16" s="21"/>
      <c r="QZV16" s="15"/>
      <c r="RAB16" s="25"/>
      <c r="RAI16" s="21"/>
      <c r="RAJ16" s="21"/>
      <c r="RAN16" s="15"/>
      <c r="RAT16" s="25"/>
      <c r="RBA16" s="21"/>
      <c r="RBB16" s="21"/>
      <c r="RBF16" s="15"/>
      <c r="RBL16" s="25"/>
      <c r="RBS16" s="21"/>
      <c r="RBT16" s="21"/>
      <c r="RBX16" s="15"/>
      <c r="RCD16" s="25"/>
      <c r="RCK16" s="21"/>
      <c r="RCL16" s="21"/>
      <c r="RCP16" s="15"/>
      <c r="RCV16" s="25"/>
      <c r="RDC16" s="21"/>
      <c r="RDD16" s="21"/>
      <c r="RDH16" s="15"/>
      <c r="RDN16" s="25"/>
      <c r="RDU16" s="21"/>
      <c r="RDV16" s="21"/>
      <c r="RDZ16" s="15"/>
      <c r="REF16" s="25"/>
      <c r="REM16" s="21"/>
      <c r="REN16" s="21"/>
      <c r="RER16" s="15"/>
      <c r="REX16" s="25"/>
      <c r="RFE16" s="21"/>
      <c r="RFF16" s="21"/>
      <c r="RFJ16" s="15"/>
      <c r="RFP16" s="25"/>
      <c r="RFW16" s="21"/>
      <c r="RFX16" s="21"/>
      <c r="RGB16" s="15"/>
      <c r="RGH16" s="25"/>
      <c r="RGO16" s="21"/>
      <c r="RGP16" s="21"/>
      <c r="RGT16" s="15"/>
      <c r="RGZ16" s="25"/>
      <c r="RHG16" s="21"/>
      <c r="RHH16" s="21"/>
      <c r="RHL16" s="15"/>
      <c r="RHR16" s="25"/>
      <c r="RHY16" s="21"/>
      <c r="RHZ16" s="21"/>
      <c r="RID16" s="15"/>
      <c r="RIJ16" s="25"/>
      <c r="RIQ16" s="21"/>
      <c r="RIR16" s="21"/>
      <c r="RIV16" s="15"/>
      <c r="RJB16" s="25"/>
      <c r="RJI16" s="21"/>
      <c r="RJJ16" s="21"/>
      <c r="RJN16" s="15"/>
      <c r="RJT16" s="25"/>
      <c r="RKA16" s="21"/>
      <c r="RKB16" s="21"/>
      <c r="RKF16" s="15"/>
      <c r="RKL16" s="25"/>
      <c r="RKS16" s="21"/>
      <c r="RKT16" s="21"/>
      <c r="RKX16" s="15"/>
      <c r="RLD16" s="25"/>
      <c r="RLK16" s="21"/>
      <c r="RLL16" s="21"/>
      <c r="RLP16" s="15"/>
      <c r="RLV16" s="25"/>
      <c r="RMC16" s="21"/>
      <c r="RMD16" s="21"/>
      <c r="RMH16" s="15"/>
      <c r="RMN16" s="25"/>
      <c r="RMU16" s="21"/>
      <c r="RMV16" s="21"/>
      <c r="RMZ16" s="15"/>
      <c r="RNF16" s="25"/>
      <c r="RNM16" s="21"/>
      <c r="RNN16" s="21"/>
      <c r="RNR16" s="15"/>
      <c r="RNX16" s="25"/>
      <c r="ROE16" s="21"/>
      <c r="ROF16" s="21"/>
      <c r="ROJ16" s="15"/>
      <c r="ROP16" s="25"/>
      <c r="ROW16" s="21"/>
      <c r="ROX16" s="21"/>
      <c r="RPB16" s="15"/>
      <c r="RPH16" s="25"/>
      <c r="RPO16" s="21"/>
      <c r="RPP16" s="21"/>
      <c r="RPT16" s="15"/>
      <c r="RPZ16" s="25"/>
      <c r="RQG16" s="21"/>
      <c r="RQH16" s="21"/>
      <c r="RQL16" s="15"/>
      <c r="RQR16" s="25"/>
      <c r="RQY16" s="21"/>
      <c r="RQZ16" s="21"/>
      <c r="RRD16" s="15"/>
      <c r="RRJ16" s="25"/>
      <c r="RRQ16" s="21"/>
      <c r="RRR16" s="21"/>
      <c r="RRV16" s="15"/>
      <c r="RSB16" s="25"/>
      <c r="RSI16" s="21"/>
      <c r="RSJ16" s="21"/>
      <c r="RSN16" s="15"/>
      <c r="RST16" s="25"/>
      <c r="RTA16" s="21"/>
      <c r="RTB16" s="21"/>
      <c r="RTF16" s="15"/>
      <c r="RTL16" s="25"/>
      <c r="RTS16" s="21"/>
      <c r="RTT16" s="21"/>
      <c r="RTX16" s="15"/>
      <c r="RUD16" s="25"/>
      <c r="RUK16" s="21"/>
      <c r="RUL16" s="21"/>
      <c r="RUP16" s="15"/>
      <c r="RUV16" s="25"/>
      <c r="RVC16" s="21"/>
      <c r="RVD16" s="21"/>
      <c r="RVH16" s="15"/>
      <c r="RVN16" s="25"/>
      <c r="RVU16" s="21"/>
      <c r="RVV16" s="21"/>
      <c r="RVZ16" s="15"/>
      <c r="RWF16" s="25"/>
      <c r="RWM16" s="21"/>
      <c r="RWN16" s="21"/>
      <c r="RWR16" s="15"/>
      <c r="RWX16" s="25"/>
      <c r="RXE16" s="21"/>
      <c r="RXF16" s="21"/>
      <c r="RXJ16" s="15"/>
      <c r="RXP16" s="25"/>
      <c r="RXW16" s="21"/>
      <c r="RXX16" s="21"/>
      <c r="RYB16" s="15"/>
      <c r="RYH16" s="25"/>
      <c r="RYO16" s="21"/>
      <c r="RYP16" s="21"/>
      <c r="RYT16" s="15"/>
      <c r="RYZ16" s="25"/>
      <c r="RZG16" s="21"/>
      <c r="RZH16" s="21"/>
      <c r="RZL16" s="15"/>
      <c r="RZR16" s="25"/>
      <c r="RZY16" s="21"/>
      <c r="RZZ16" s="21"/>
      <c r="SAD16" s="15"/>
      <c r="SAJ16" s="25"/>
      <c r="SAQ16" s="21"/>
      <c r="SAR16" s="21"/>
      <c r="SAV16" s="15"/>
      <c r="SBB16" s="25"/>
      <c r="SBI16" s="21"/>
      <c r="SBJ16" s="21"/>
      <c r="SBN16" s="15"/>
      <c r="SBT16" s="25"/>
      <c r="SCA16" s="21"/>
      <c r="SCB16" s="21"/>
      <c r="SCF16" s="15"/>
      <c r="SCL16" s="25"/>
      <c r="SCS16" s="21"/>
      <c r="SCT16" s="21"/>
      <c r="SCX16" s="15"/>
      <c r="SDD16" s="25"/>
      <c r="SDK16" s="21"/>
      <c r="SDL16" s="21"/>
      <c r="SDP16" s="15"/>
      <c r="SDV16" s="25"/>
      <c r="SEC16" s="21"/>
      <c r="SED16" s="21"/>
      <c r="SEH16" s="15"/>
      <c r="SEN16" s="25"/>
      <c r="SEU16" s="21"/>
      <c r="SEV16" s="21"/>
      <c r="SEZ16" s="15"/>
      <c r="SFF16" s="25"/>
      <c r="SFM16" s="21"/>
      <c r="SFN16" s="21"/>
      <c r="SFR16" s="15"/>
      <c r="SFX16" s="25"/>
      <c r="SGE16" s="21"/>
      <c r="SGF16" s="21"/>
      <c r="SGJ16" s="15"/>
      <c r="SGP16" s="25"/>
      <c r="SGW16" s="21"/>
      <c r="SGX16" s="21"/>
      <c r="SHB16" s="15"/>
      <c r="SHH16" s="25"/>
      <c r="SHO16" s="21"/>
      <c r="SHP16" s="21"/>
      <c r="SHT16" s="15"/>
      <c r="SHZ16" s="25"/>
      <c r="SIG16" s="21"/>
      <c r="SIH16" s="21"/>
      <c r="SIL16" s="15"/>
      <c r="SIR16" s="25"/>
      <c r="SIY16" s="21"/>
      <c r="SIZ16" s="21"/>
      <c r="SJD16" s="15"/>
      <c r="SJJ16" s="25"/>
      <c r="SJQ16" s="21"/>
      <c r="SJR16" s="21"/>
      <c r="SJV16" s="15"/>
      <c r="SKB16" s="25"/>
      <c r="SKI16" s="21"/>
      <c r="SKJ16" s="21"/>
      <c r="SKN16" s="15"/>
      <c r="SKT16" s="25"/>
      <c r="SLA16" s="21"/>
      <c r="SLB16" s="21"/>
      <c r="SLF16" s="15"/>
      <c r="SLL16" s="25"/>
      <c r="SLS16" s="21"/>
      <c r="SLT16" s="21"/>
      <c r="SLX16" s="15"/>
      <c r="SMD16" s="25"/>
      <c r="SMK16" s="21"/>
      <c r="SML16" s="21"/>
      <c r="SMP16" s="15"/>
      <c r="SMV16" s="25"/>
      <c r="SNC16" s="21"/>
      <c r="SND16" s="21"/>
      <c r="SNH16" s="15"/>
      <c r="SNN16" s="25"/>
      <c r="SNU16" s="21"/>
      <c r="SNV16" s="21"/>
      <c r="SNZ16" s="15"/>
      <c r="SOF16" s="25"/>
      <c r="SOM16" s="21"/>
      <c r="SON16" s="21"/>
      <c r="SOR16" s="15"/>
      <c r="SOX16" s="25"/>
      <c r="SPE16" s="21"/>
      <c r="SPF16" s="21"/>
      <c r="SPJ16" s="15"/>
      <c r="SPP16" s="25"/>
      <c r="SPW16" s="21"/>
      <c r="SPX16" s="21"/>
      <c r="SQB16" s="15"/>
      <c r="SQH16" s="25"/>
      <c r="SQO16" s="21"/>
      <c r="SQP16" s="21"/>
      <c r="SQT16" s="15"/>
      <c r="SQZ16" s="25"/>
      <c r="SRG16" s="21"/>
      <c r="SRH16" s="21"/>
      <c r="SRL16" s="15"/>
      <c r="SRR16" s="25"/>
      <c r="SRY16" s="21"/>
      <c r="SRZ16" s="21"/>
      <c r="SSD16" s="15"/>
      <c r="SSJ16" s="25"/>
      <c r="SSQ16" s="21"/>
      <c r="SSR16" s="21"/>
      <c r="SSV16" s="15"/>
      <c r="STB16" s="25"/>
      <c r="STI16" s="21"/>
      <c r="STJ16" s="21"/>
      <c r="STN16" s="15"/>
      <c r="STT16" s="25"/>
      <c r="SUA16" s="21"/>
      <c r="SUB16" s="21"/>
      <c r="SUF16" s="15"/>
      <c r="SUL16" s="25"/>
      <c r="SUS16" s="21"/>
      <c r="SUT16" s="21"/>
      <c r="SUX16" s="15"/>
      <c r="SVD16" s="25"/>
      <c r="SVK16" s="21"/>
      <c r="SVL16" s="21"/>
      <c r="SVP16" s="15"/>
      <c r="SVV16" s="25"/>
      <c r="SWC16" s="21"/>
      <c r="SWD16" s="21"/>
      <c r="SWH16" s="15"/>
      <c r="SWN16" s="25"/>
      <c r="SWU16" s="21"/>
      <c r="SWV16" s="21"/>
      <c r="SWZ16" s="15"/>
      <c r="SXF16" s="25"/>
      <c r="SXM16" s="21"/>
      <c r="SXN16" s="21"/>
      <c r="SXR16" s="15"/>
      <c r="SXX16" s="25"/>
      <c r="SYE16" s="21"/>
      <c r="SYF16" s="21"/>
      <c r="SYJ16" s="15"/>
      <c r="SYP16" s="25"/>
      <c r="SYW16" s="21"/>
      <c r="SYX16" s="21"/>
      <c r="SZB16" s="15"/>
      <c r="SZH16" s="25"/>
      <c r="SZO16" s="21"/>
      <c r="SZP16" s="21"/>
      <c r="SZT16" s="15"/>
      <c r="SZZ16" s="25"/>
      <c r="TAG16" s="21"/>
      <c r="TAH16" s="21"/>
      <c r="TAL16" s="15"/>
      <c r="TAR16" s="25"/>
      <c r="TAY16" s="21"/>
      <c r="TAZ16" s="21"/>
      <c r="TBD16" s="15"/>
      <c r="TBJ16" s="25"/>
      <c r="TBQ16" s="21"/>
      <c r="TBR16" s="21"/>
      <c r="TBV16" s="15"/>
      <c r="TCB16" s="25"/>
      <c r="TCI16" s="21"/>
      <c r="TCJ16" s="21"/>
      <c r="TCN16" s="15"/>
      <c r="TCT16" s="25"/>
      <c r="TDA16" s="21"/>
      <c r="TDB16" s="21"/>
      <c r="TDF16" s="15"/>
      <c r="TDL16" s="25"/>
      <c r="TDS16" s="21"/>
      <c r="TDT16" s="21"/>
      <c r="TDX16" s="15"/>
      <c r="TED16" s="25"/>
      <c r="TEK16" s="21"/>
      <c r="TEL16" s="21"/>
      <c r="TEP16" s="15"/>
      <c r="TEV16" s="25"/>
      <c r="TFC16" s="21"/>
      <c r="TFD16" s="21"/>
      <c r="TFH16" s="15"/>
      <c r="TFN16" s="25"/>
      <c r="TFU16" s="21"/>
      <c r="TFV16" s="21"/>
      <c r="TFZ16" s="15"/>
      <c r="TGF16" s="25"/>
      <c r="TGM16" s="21"/>
      <c r="TGN16" s="21"/>
      <c r="TGR16" s="15"/>
      <c r="TGX16" s="25"/>
      <c r="THE16" s="21"/>
      <c r="THF16" s="21"/>
      <c r="THJ16" s="15"/>
      <c r="THP16" s="25"/>
      <c r="THW16" s="21"/>
      <c r="THX16" s="21"/>
      <c r="TIB16" s="15"/>
      <c r="TIH16" s="25"/>
      <c r="TIO16" s="21"/>
      <c r="TIP16" s="21"/>
      <c r="TIT16" s="15"/>
      <c r="TIZ16" s="25"/>
      <c r="TJG16" s="21"/>
      <c r="TJH16" s="21"/>
      <c r="TJL16" s="15"/>
      <c r="TJR16" s="25"/>
      <c r="TJY16" s="21"/>
      <c r="TJZ16" s="21"/>
      <c r="TKD16" s="15"/>
      <c r="TKJ16" s="25"/>
      <c r="TKQ16" s="21"/>
      <c r="TKR16" s="21"/>
      <c r="TKV16" s="15"/>
      <c r="TLB16" s="25"/>
      <c r="TLI16" s="21"/>
      <c r="TLJ16" s="21"/>
      <c r="TLN16" s="15"/>
      <c r="TLT16" s="25"/>
      <c r="TMA16" s="21"/>
      <c r="TMB16" s="21"/>
      <c r="TMF16" s="15"/>
      <c r="TML16" s="25"/>
      <c r="TMS16" s="21"/>
      <c r="TMT16" s="21"/>
      <c r="TMX16" s="15"/>
      <c r="TND16" s="25"/>
      <c r="TNK16" s="21"/>
      <c r="TNL16" s="21"/>
      <c r="TNP16" s="15"/>
      <c r="TNV16" s="25"/>
      <c r="TOC16" s="21"/>
      <c r="TOD16" s="21"/>
      <c r="TOH16" s="15"/>
      <c r="TON16" s="25"/>
      <c r="TOU16" s="21"/>
      <c r="TOV16" s="21"/>
      <c r="TOZ16" s="15"/>
      <c r="TPF16" s="25"/>
      <c r="TPM16" s="21"/>
      <c r="TPN16" s="21"/>
      <c r="TPR16" s="15"/>
      <c r="TPX16" s="25"/>
      <c r="TQE16" s="21"/>
      <c r="TQF16" s="21"/>
      <c r="TQJ16" s="15"/>
      <c r="TQP16" s="25"/>
      <c r="TQW16" s="21"/>
      <c r="TQX16" s="21"/>
      <c r="TRB16" s="15"/>
      <c r="TRH16" s="25"/>
      <c r="TRO16" s="21"/>
      <c r="TRP16" s="21"/>
      <c r="TRT16" s="15"/>
      <c r="TRZ16" s="25"/>
      <c r="TSG16" s="21"/>
      <c r="TSH16" s="21"/>
      <c r="TSL16" s="15"/>
      <c r="TSR16" s="25"/>
      <c r="TSY16" s="21"/>
      <c r="TSZ16" s="21"/>
      <c r="TTD16" s="15"/>
      <c r="TTJ16" s="25"/>
      <c r="TTQ16" s="21"/>
      <c r="TTR16" s="21"/>
      <c r="TTV16" s="15"/>
      <c r="TUB16" s="25"/>
      <c r="TUI16" s="21"/>
      <c r="TUJ16" s="21"/>
      <c r="TUN16" s="15"/>
      <c r="TUT16" s="25"/>
      <c r="TVA16" s="21"/>
      <c r="TVB16" s="21"/>
      <c r="TVF16" s="15"/>
      <c r="TVL16" s="25"/>
      <c r="TVS16" s="21"/>
      <c r="TVT16" s="21"/>
      <c r="TVX16" s="15"/>
      <c r="TWD16" s="25"/>
      <c r="TWK16" s="21"/>
      <c r="TWL16" s="21"/>
      <c r="TWP16" s="15"/>
      <c r="TWV16" s="25"/>
      <c r="TXC16" s="21"/>
      <c r="TXD16" s="21"/>
      <c r="TXH16" s="15"/>
      <c r="TXN16" s="25"/>
      <c r="TXU16" s="21"/>
      <c r="TXV16" s="21"/>
      <c r="TXZ16" s="15"/>
      <c r="TYF16" s="25"/>
      <c r="TYM16" s="21"/>
      <c r="TYN16" s="21"/>
      <c r="TYR16" s="15"/>
      <c r="TYX16" s="25"/>
      <c r="TZE16" s="21"/>
      <c r="TZF16" s="21"/>
      <c r="TZJ16" s="15"/>
      <c r="TZP16" s="25"/>
      <c r="TZW16" s="21"/>
      <c r="TZX16" s="21"/>
      <c r="UAB16" s="15"/>
      <c r="UAH16" s="25"/>
      <c r="UAO16" s="21"/>
      <c r="UAP16" s="21"/>
      <c r="UAT16" s="15"/>
      <c r="UAZ16" s="25"/>
      <c r="UBG16" s="21"/>
      <c r="UBH16" s="21"/>
      <c r="UBL16" s="15"/>
      <c r="UBR16" s="25"/>
      <c r="UBY16" s="21"/>
      <c r="UBZ16" s="21"/>
      <c r="UCD16" s="15"/>
      <c r="UCJ16" s="25"/>
      <c r="UCQ16" s="21"/>
      <c r="UCR16" s="21"/>
      <c r="UCV16" s="15"/>
      <c r="UDB16" s="25"/>
      <c r="UDI16" s="21"/>
      <c r="UDJ16" s="21"/>
      <c r="UDN16" s="15"/>
      <c r="UDT16" s="25"/>
      <c r="UEA16" s="21"/>
      <c r="UEB16" s="21"/>
      <c r="UEF16" s="15"/>
      <c r="UEL16" s="25"/>
      <c r="UES16" s="21"/>
      <c r="UET16" s="21"/>
      <c r="UEX16" s="15"/>
      <c r="UFD16" s="25"/>
      <c r="UFK16" s="21"/>
      <c r="UFL16" s="21"/>
      <c r="UFP16" s="15"/>
      <c r="UFV16" s="25"/>
      <c r="UGC16" s="21"/>
      <c r="UGD16" s="21"/>
      <c r="UGH16" s="15"/>
      <c r="UGN16" s="25"/>
      <c r="UGU16" s="21"/>
      <c r="UGV16" s="21"/>
      <c r="UGZ16" s="15"/>
      <c r="UHF16" s="25"/>
      <c r="UHM16" s="21"/>
      <c r="UHN16" s="21"/>
      <c r="UHR16" s="15"/>
      <c r="UHX16" s="25"/>
      <c r="UIE16" s="21"/>
      <c r="UIF16" s="21"/>
      <c r="UIJ16" s="15"/>
      <c r="UIP16" s="25"/>
      <c r="UIW16" s="21"/>
      <c r="UIX16" s="21"/>
      <c r="UJB16" s="15"/>
      <c r="UJH16" s="25"/>
      <c r="UJO16" s="21"/>
      <c r="UJP16" s="21"/>
      <c r="UJT16" s="15"/>
      <c r="UJZ16" s="25"/>
      <c r="UKG16" s="21"/>
      <c r="UKH16" s="21"/>
      <c r="UKL16" s="15"/>
      <c r="UKR16" s="25"/>
      <c r="UKY16" s="21"/>
      <c r="UKZ16" s="21"/>
      <c r="ULD16" s="15"/>
      <c r="ULJ16" s="25"/>
      <c r="ULQ16" s="21"/>
      <c r="ULR16" s="21"/>
      <c r="ULV16" s="15"/>
      <c r="UMB16" s="25"/>
      <c r="UMI16" s="21"/>
      <c r="UMJ16" s="21"/>
      <c r="UMN16" s="15"/>
      <c r="UMT16" s="25"/>
      <c r="UNA16" s="21"/>
      <c r="UNB16" s="21"/>
      <c r="UNF16" s="15"/>
      <c r="UNL16" s="25"/>
      <c r="UNS16" s="21"/>
      <c r="UNT16" s="21"/>
      <c r="UNX16" s="15"/>
      <c r="UOD16" s="25"/>
      <c r="UOK16" s="21"/>
      <c r="UOL16" s="21"/>
      <c r="UOP16" s="15"/>
      <c r="UOV16" s="25"/>
      <c r="UPC16" s="21"/>
      <c r="UPD16" s="21"/>
      <c r="UPH16" s="15"/>
      <c r="UPN16" s="25"/>
      <c r="UPU16" s="21"/>
      <c r="UPV16" s="21"/>
      <c r="UPZ16" s="15"/>
      <c r="UQF16" s="25"/>
      <c r="UQM16" s="21"/>
      <c r="UQN16" s="21"/>
      <c r="UQR16" s="15"/>
      <c r="UQX16" s="25"/>
      <c r="URE16" s="21"/>
      <c r="URF16" s="21"/>
      <c r="URJ16" s="15"/>
      <c r="URP16" s="25"/>
      <c r="URW16" s="21"/>
      <c r="URX16" s="21"/>
      <c r="USB16" s="15"/>
      <c r="USH16" s="25"/>
      <c r="USO16" s="21"/>
      <c r="USP16" s="21"/>
      <c r="UST16" s="15"/>
      <c r="USZ16" s="25"/>
      <c r="UTG16" s="21"/>
      <c r="UTH16" s="21"/>
      <c r="UTL16" s="15"/>
      <c r="UTR16" s="25"/>
      <c r="UTY16" s="21"/>
      <c r="UTZ16" s="21"/>
      <c r="UUD16" s="15"/>
      <c r="UUJ16" s="25"/>
      <c r="UUQ16" s="21"/>
      <c r="UUR16" s="21"/>
      <c r="UUV16" s="15"/>
      <c r="UVB16" s="25"/>
      <c r="UVI16" s="21"/>
      <c r="UVJ16" s="21"/>
      <c r="UVN16" s="15"/>
      <c r="UVT16" s="25"/>
      <c r="UWA16" s="21"/>
      <c r="UWB16" s="21"/>
      <c r="UWF16" s="15"/>
      <c r="UWL16" s="25"/>
      <c r="UWS16" s="21"/>
      <c r="UWT16" s="21"/>
      <c r="UWX16" s="15"/>
      <c r="UXD16" s="25"/>
      <c r="UXK16" s="21"/>
      <c r="UXL16" s="21"/>
      <c r="UXP16" s="15"/>
      <c r="UXV16" s="25"/>
      <c r="UYC16" s="21"/>
      <c r="UYD16" s="21"/>
      <c r="UYH16" s="15"/>
      <c r="UYN16" s="25"/>
      <c r="UYU16" s="21"/>
      <c r="UYV16" s="21"/>
      <c r="UYZ16" s="15"/>
      <c r="UZF16" s="25"/>
      <c r="UZM16" s="21"/>
      <c r="UZN16" s="21"/>
      <c r="UZR16" s="15"/>
      <c r="UZX16" s="25"/>
      <c r="VAE16" s="21"/>
      <c r="VAF16" s="21"/>
      <c r="VAJ16" s="15"/>
      <c r="VAP16" s="25"/>
      <c r="VAW16" s="21"/>
      <c r="VAX16" s="21"/>
      <c r="VBB16" s="15"/>
      <c r="VBH16" s="25"/>
      <c r="VBO16" s="21"/>
      <c r="VBP16" s="21"/>
      <c r="VBT16" s="15"/>
      <c r="VBZ16" s="25"/>
      <c r="VCG16" s="21"/>
      <c r="VCH16" s="21"/>
      <c r="VCL16" s="15"/>
      <c r="VCR16" s="25"/>
      <c r="VCY16" s="21"/>
      <c r="VCZ16" s="21"/>
      <c r="VDD16" s="15"/>
      <c r="VDJ16" s="25"/>
      <c r="VDQ16" s="21"/>
      <c r="VDR16" s="21"/>
      <c r="VDV16" s="15"/>
      <c r="VEB16" s="25"/>
      <c r="VEI16" s="21"/>
      <c r="VEJ16" s="21"/>
      <c r="VEN16" s="15"/>
      <c r="VET16" s="25"/>
      <c r="VFA16" s="21"/>
      <c r="VFB16" s="21"/>
      <c r="VFF16" s="15"/>
      <c r="VFL16" s="25"/>
      <c r="VFS16" s="21"/>
      <c r="VFT16" s="21"/>
      <c r="VFX16" s="15"/>
      <c r="VGD16" s="25"/>
      <c r="VGK16" s="21"/>
      <c r="VGL16" s="21"/>
      <c r="VGP16" s="15"/>
      <c r="VGV16" s="25"/>
      <c r="VHC16" s="21"/>
      <c r="VHD16" s="21"/>
      <c r="VHH16" s="15"/>
      <c r="VHN16" s="25"/>
      <c r="VHU16" s="21"/>
      <c r="VHV16" s="21"/>
      <c r="VHZ16" s="15"/>
      <c r="VIF16" s="25"/>
      <c r="VIM16" s="21"/>
      <c r="VIN16" s="21"/>
      <c r="VIR16" s="15"/>
      <c r="VIX16" s="25"/>
      <c r="VJE16" s="21"/>
      <c r="VJF16" s="21"/>
      <c r="VJJ16" s="15"/>
      <c r="VJP16" s="25"/>
      <c r="VJW16" s="21"/>
      <c r="VJX16" s="21"/>
      <c r="VKB16" s="15"/>
      <c r="VKH16" s="25"/>
      <c r="VKO16" s="21"/>
      <c r="VKP16" s="21"/>
      <c r="VKT16" s="15"/>
      <c r="VKZ16" s="25"/>
      <c r="VLG16" s="21"/>
      <c r="VLH16" s="21"/>
      <c r="VLL16" s="15"/>
      <c r="VLR16" s="25"/>
      <c r="VLY16" s="21"/>
      <c r="VLZ16" s="21"/>
      <c r="VMD16" s="15"/>
      <c r="VMJ16" s="25"/>
      <c r="VMQ16" s="21"/>
      <c r="VMR16" s="21"/>
      <c r="VMV16" s="15"/>
      <c r="VNB16" s="25"/>
      <c r="VNI16" s="21"/>
      <c r="VNJ16" s="21"/>
      <c r="VNN16" s="15"/>
      <c r="VNT16" s="25"/>
      <c r="VOA16" s="21"/>
      <c r="VOB16" s="21"/>
      <c r="VOF16" s="15"/>
      <c r="VOL16" s="25"/>
      <c r="VOS16" s="21"/>
      <c r="VOT16" s="21"/>
      <c r="VOX16" s="15"/>
      <c r="VPD16" s="25"/>
      <c r="VPK16" s="21"/>
      <c r="VPL16" s="21"/>
      <c r="VPP16" s="15"/>
      <c r="VPV16" s="25"/>
      <c r="VQC16" s="21"/>
      <c r="VQD16" s="21"/>
      <c r="VQH16" s="15"/>
      <c r="VQN16" s="25"/>
      <c r="VQU16" s="21"/>
      <c r="VQV16" s="21"/>
      <c r="VQZ16" s="15"/>
      <c r="VRF16" s="25"/>
      <c r="VRM16" s="21"/>
      <c r="VRN16" s="21"/>
      <c r="VRR16" s="15"/>
      <c r="VRX16" s="25"/>
      <c r="VSE16" s="21"/>
      <c r="VSF16" s="21"/>
      <c r="VSJ16" s="15"/>
      <c r="VSP16" s="25"/>
      <c r="VSW16" s="21"/>
      <c r="VSX16" s="21"/>
      <c r="VTB16" s="15"/>
      <c r="VTH16" s="25"/>
      <c r="VTO16" s="21"/>
      <c r="VTP16" s="21"/>
      <c r="VTT16" s="15"/>
      <c r="VTZ16" s="25"/>
      <c r="VUG16" s="21"/>
      <c r="VUH16" s="21"/>
      <c r="VUL16" s="15"/>
      <c r="VUR16" s="25"/>
      <c r="VUY16" s="21"/>
      <c r="VUZ16" s="21"/>
      <c r="VVD16" s="15"/>
      <c r="VVJ16" s="25"/>
      <c r="VVQ16" s="21"/>
      <c r="VVR16" s="21"/>
      <c r="VVV16" s="15"/>
      <c r="VWB16" s="25"/>
      <c r="VWI16" s="21"/>
      <c r="VWJ16" s="21"/>
      <c r="VWN16" s="15"/>
      <c r="VWT16" s="25"/>
      <c r="VXA16" s="21"/>
      <c r="VXB16" s="21"/>
      <c r="VXF16" s="15"/>
      <c r="VXL16" s="25"/>
      <c r="VXS16" s="21"/>
      <c r="VXT16" s="21"/>
      <c r="VXX16" s="15"/>
      <c r="VYD16" s="25"/>
      <c r="VYK16" s="21"/>
      <c r="VYL16" s="21"/>
      <c r="VYP16" s="15"/>
      <c r="VYV16" s="25"/>
      <c r="VZC16" s="21"/>
      <c r="VZD16" s="21"/>
      <c r="VZH16" s="15"/>
      <c r="VZN16" s="25"/>
      <c r="VZU16" s="21"/>
      <c r="VZV16" s="21"/>
      <c r="VZZ16" s="15"/>
      <c r="WAF16" s="25"/>
      <c r="WAM16" s="21"/>
      <c r="WAN16" s="21"/>
      <c r="WAR16" s="15"/>
      <c r="WAX16" s="25"/>
      <c r="WBE16" s="21"/>
      <c r="WBF16" s="21"/>
      <c r="WBJ16" s="15"/>
      <c r="WBP16" s="25"/>
      <c r="WBW16" s="21"/>
      <c r="WBX16" s="21"/>
      <c r="WCB16" s="15"/>
      <c r="WCH16" s="25"/>
      <c r="WCO16" s="21"/>
      <c r="WCP16" s="21"/>
      <c r="WCT16" s="15"/>
      <c r="WCZ16" s="25"/>
      <c r="WDG16" s="21"/>
      <c r="WDH16" s="21"/>
      <c r="WDL16" s="15"/>
      <c r="WDR16" s="25"/>
      <c r="WDY16" s="21"/>
      <c r="WDZ16" s="21"/>
      <c r="WED16" s="15"/>
      <c r="WEJ16" s="25"/>
      <c r="WEQ16" s="21"/>
      <c r="WER16" s="21"/>
      <c r="WEV16" s="15"/>
      <c r="WFB16" s="25"/>
      <c r="WFI16" s="21"/>
      <c r="WFJ16" s="21"/>
      <c r="WFN16" s="15"/>
      <c r="WFT16" s="25"/>
      <c r="WGA16" s="21"/>
      <c r="WGB16" s="21"/>
      <c r="WGF16" s="15"/>
      <c r="WGL16" s="25"/>
      <c r="WGS16" s="21"/>
      <c r="WGT16" s="21"/>
      <c r="WGX16" s="15"/>
      <c r="WHD16" s="25"/>
      <c r="WHK16" s="21"/>
      <c r="WHL16" s="21"/>
      <c r="WHP16" s="15"/>
      <c r="WHV16" s="25"/>
      <c r="WIC16" s="21"/>
      <c r="WID16" s="21"/>
      <c r="WIH16" s="15"/>
      <c r="WIN16" s="25"/>
      <c r="WIU16" s="21"/>
      <c r="WIV16" s="21"/>
      <c r="WIZ16" s="15"/>
      <c r="WJF16" s="25"/>
      <c r="WJM16" s="21"/>
      <c r="WJN16" s="21"/>
      <c r="WJR16" s="15"/>
      <c r="WJX16" s="25"/>
      <c r="WKE16" s="21"/>
      <c r="WKF16" s="21"/>
      <c r="WKJ16" s="15"/>
      <c r="WKP16" s="25"/>
      <c r="WKW16" s="21"/>
      <c r="WKX16" s="21"/>
      <c r="WLB16" s="15"/>
      <c r="WLH16" s="25"/>
      <c r="WLO16" s="21"/>
      <c r="WLP16" s="21"/>
      <c r="WLT16" s="15"/>
      <c r="WLZ16" s="25"/>
      <c r="WMG16" s="21"/>
      <c r="WMH16" s="21"/>
      <c r="WML16" s="15"/>
      <c r="WMR16" s="25"/>
      <c r="WMY16" s="21"/>
      <c r="WMZ16" s="21"/>
      <c r="WND16" s="15"/>
      <c r="WNJ16" s="25"/>
      <c r="WNQ16" s="21"/>
      <c r="WNR16" s="21"/>
      <c r="WNV16" s="15"/>
      <c r="WOB16" s="25"/>
      <c r="WOI16" s="21"/>
      <c r="WOJ16" s="21"/>
      <c r="WON16" s="15"/>
      <c r="WOT16" s="25"/>
      <c r="WPA16" s="21"/>
      <c r="WPB16" s="21"/>
      <c r="WPF16" s="15"/>
      <c r="WPL16" s="25"/>
      <c r="WPS16" s="21"/>
      <c r="WPT16" s="21"/>
      <c r="WPX16" s="15"/>
      <c r="WQD16" s="25"/>
      <c r="WQK16" s="21"/>
      <c r="WQL16" s="21"/>
      <c r="WQP16" s="15"/>
      <c r="WQV16" s="25"/>
      <c r="WRC16" s="21"/>
      <c r="WRD16" s="21"/>
      <c r="WRH16" s="15"/>
      <c r="WRN16" s="25"/>
      <c r="WRU16" s="21"/>
      <c r="WRV16" s="21"/>
      <c r="WRZ16" s="15"/>
      <c r="WSF16" s="25"/>
      <c r="WSM16" s="21"/>
      <c r="WSN16" s="21"/>
      <c r="WSR16" s="15"/>
      <c r="WSX16" s="25"/>
      <c r="WTE16" s="21"/>
      <c r="WTF16" s="21"/>
      <c r="WTJ16" s="15"/>
      <c r="WTP16" s="25"/>
      <c r="WTW16" s="21"/>
      <c r="WTX16" s="21"/>
      <c r="WUB16" s="15"/>
      <c r="WUH16" s="25"/>
      <c r="WUO16" s="21"/>
      <c r="WUP16" s="21"/>
      <c r="WUT16" s="15"/>
      <c r="WUZ16" s="25"/>
      <c r="WVG16" s="21"/>
      <c r="WVH16" s="21"/>
      <c r="WVL16" s="15"/>
      <c r="WVR16" s="25"/>
      <c r="WVY16" s="21"/>
      <c r="WVZ16" s="21"/>
      <c r="WWD16" s="15"/>
      <c r="WWJ16" s="25"/>
      <c r="WWQ16" s="21"/>
      <c r="WWR16" s="21"/>
      <c r="WWV16" s="15"/>
      <c r="WXB16" s="25"/>
      <c r="WXI16" s="21"/>
      <c r="WXJ16" s="21"/>
      <c r="WXN16" s="15"/>
      <c r="WXT16" s="25"/>
      <c r="WYA16" s="21"/>
      <c r="WYB16" s="21"/>
      <c r="WYF16" s="15"/>
      <c r="WYL16" s="25"/>
      <c r="WYS16" s="21"/>
      <c r="WYT16" s="21"/>
      <c r="WYX16" s="15"/>
      <c r="WZD16" s="25"/>
      <c r="WZK16" s="21"/>
      <c r="WZL16" s="21"/>
      <c r="WZP16" s="15"/>
      <c r="WZV16" s="25"/>
      <c r="XAC16" s="21"/>
      <c r="XAD16" s="21"/>
      <c r="XAH16" s="15"/>
      <c r="XAN16" s="25"/>
      <c r="XAU16" s="21"/>
      <c r="XAV16" s="21"/>
      <c r="XAZ16" s="15"/>
      <c r="XBF16" s="25"/>
      <c r="XBM16" s="21"/>
      <c r="XBN16" s="21"/>
      <c r="XBR16" s="15"/>
      <c r="XBX16" s="25"/>
      <c r="XCE16" s="21"/>
      <c r="XCF16" s="21"/>
      <c r="XCJ16" s="15"/>
      <c r="XCP16" s="25"/>
      <c r="XCW16" s="21"/>
      <c r="XCX16" s="21"/>
      <c r="XDB16" s="15"/>
      <c r="XDH16" s="25"/>
      <c r="XDO16" s="21"/>
      <c r="XDP16" s="21"/>
      <c r="XDT16" s="15"/>
      <c r="XDZ16" s="25"/>
      <c r="XEG16" s="21"/>
      <c r="XEH16" s="21"/>
      <c r="XEL16" s="15"/>
      <c r="XER16" s="25"/>
      <c r="XEY16" s="21"/>
      <c r="XEZ16" s="21"/>
      <c r="XFD16" s="15"/>
    </row>
    <row r="17" spans="1:1018 1025:2044 2051:3070 3077:4096 4103:5116 5122:6142 6148:7168 7174:8190 8194:9216 9220:10234 10241:11260 11267:12286 12293:13312 13319:14332 14338:15358 15364:16384" s="24" customFormat="1">
      <c r="A17" s="21" t="s">
        <v>72</v>
      </c>
      <c r="B17" s="12">
        <v>2009</v>
      </c>
      <c r="C17" s="19" t="s">
        <v>53</v>
      </c>
      <c r="D17" s="22" t="s">
        <v>39</v>
      </c>
      <c r="E17" s="10" t="s">
        <v>73</v>
      </c>
      <c r="F17" s="19" t="s">
        <v>35</v>
      </c>
      <c r="G17" s="31">
        <v>14160319906.428267</v>
      </c>
      <c r="H17" s="31">
        <v>1706355915.317559</v>
      </c>
      <c r="I17" s="12">
        <v>30</v>
      </c>
      <c r="J17" s="23" t="s">
        <v>74</v>
      </c>
      <c r="K17" s="22"/>
      <c r="L17" s="22"/>
      <c r="M17" s="22" t="s">
        <v>26</v>
      </c>
      <c r="N17" s="12"/>
      <c r="O17" s="22"/>
      <c r="P17" s="12"/>
      <c r="Q17" s="22" t="s">
        <v>27</v>
      </c>
      <c r="R17" s="22" t="s">
        <v>28</v>
      </c>
      <c r="V17" s="15"/>
      <c r="AB17" s="25"/>
      <c r="AI17" s="21"/>
      <c r="AJ17" s="21"/>
      <c r="AN17" s="15"/>
      <c r="AT17" s="25"/>
      <c r="BA17" s="21"/>
      <c r="BB17" s="21"/>
      <c r="BF17" s="15"/>
      <c r="BL17" s="25"/>
      <c r="BS17" s="21"/>
      <c r="BT17" s="21"/>
      <c r="BX17" s="15"/>
      <c r="CD17" s="25"/>
      <c r="CK17" s="21"/>
      <c r="CL17" s="21"/>
      <c r="CP17" s="15"/>
      <c r="CV17" s="25"/>
      <c r="DC17" s="21"/>
      <c r="DD17" s="21"/>
      <c r="DH17" s="15"/>
      <c r="DN17" s="25"/>
      <c r="DU17" s="21"/>
      <c r="DV17" s="21"/>
      <c r="DZ17" s="15"/>
      <c r="EF17" s="25"/>
      <c r="EM17" s="21"/>
      <c r="EN17" s="21"/>
      <c r="ER17" s="15"/>
      <c r="EX17" s="25"/>
      <c r="FE17" s="21"/>
      <c r="FF17" s="21"/>
      <c r="FJ17" s="15"/>
      <c r="FP17" s="25"/>
      <c r="FW17" s="21"/>
      <c r="FX17" s="21"/>
      <c r="GB17" s="15"/>
      <c r="GH17" s="25"/>
      <c r="GO17" s="21"/>
      <c r="GP17" s="21"/>
      <c r="GT17" s="15"/>
      <c r="GZ17" s="25"/>
      <c r="HG17" s="21"/>
      <c r="HH17" s="21"/>
      <c r="HL17" s="15"/>
      <c r="HR17" s="25"/>
      <c r="HY17" s="21"/>
      <c r="HZ17" s="21"/>
      <c r="ID17" s="15"/>
      <c r="IJ17" s="25"/>
      <c r="IQ17" s="21"/>
      <c r="IR17" s="21"/>
      <c r="IV17" s="15"/>
      <c r="JB17" s="25"/>
      <c r="JI17" s="21"/>
      <c r="JJ17" s="21"/>
      <c r="JN17" s="15"/>
      <c r="JT17" s="25"/>
      <c r="KA17" s="21"/>
      <c r="KB17" s="21"/>
      <c r="KF17" s="15"/>
      <c r="KL17" s="25"/>
      <c r="KS17" s="21"/>
      <c r="KT17" s="21"/>
      <c r="KX17" s="15"/>
      <c r="LD17" s="25"/>
      <c r="LK17" s="21"/>
      <c r="LL17" s="21"/>
      <c r="LP17" s="15"/>
      <c r="LV17" s="25"/>
      <c r="MC17" s="21"/>
      <c r="MD17" s="21"/>
      <c r="MH17" s="15"/>
      <c r="MN17" s="25"/>
      <c r="MU17" s="21"/>
      <c r="MV17" s="21"/>
      <c r="MZ17" s="15"/>
      <c r="NF17" s="25"/>
      <c r="NM17" s="21"/>
      <c r="NN17" s="21"/>
      <c r="NR17" s="15"/>
      <c r="NX17" s="25"/>
      <c r="OE17" s="21"/>
      <c r="OF17" s="21"/>
      <c r="OJ17" s="15"/>
      <c r="OP17" s="25"/>
      <c r="OW17" s="21"/>
      <c r="OX17" s="21"/>
      <c r="PB17" s="15"/>
      <c r="PH17" s="25"/>
      <c r="PO17" s="21"/>
      <c r="PP17" s="21"/>
      <c r="PT17" s="15"/>
      <c r="PZ17" s="25"/>
      <c r="QG17" s="21"/>
      <c r="QH17" s="21"/>
      <c r="QL17" s="15"/>
      <c r="QR17" s="25"/>
      <c r="QY17" s="21"/>
      <c r="QZ17" s="21"/>
      <c r="RD17" s="15"/>
      <c r="RJ17" s="25"/>
      <c r="RQ17" s="21"/>
      <c r="RR17" s="21"/>
      <c r="RV17" s="15"/>
      <c r="SB17" s="25"/>
      <c r="SI17" s="21"/>
      <c r="SJ17" s="21"/>
      <c r="SN17" s="15"/>
      <c r="ST17" s="25"/>
      <c r="TA17" s="21"/>
      <c r="TB17" s="21"/>
      <c r="TF17" s="15"/>
      <c r="TL17" s="25"/>
      <c r="TS17" s="21"/>
      <c r="TT17" s="21"/>
      <c r="TX17" s="15"/>
      <c r="UD17" s="25"/>
      <c r="UK17" s="21"/>
      <c r="UL17" s="21"/>
      <c r="UP17" s="15"/>
      <c r="UV17" s="25"/>
      <c r="VC17" s="21"/>
      <c r="VD17" s="21"/>
      <c r="VH17" s="15"/>
      <c r="VN17" s="25"/>
      <c r="VU17" s="21"/>
      <c r="VV17" s="21"/>
      <c r="VZ17" s="15"/>
      <c r="WF17" s="25"/>
      <c r="WM17" s="21"/>
      <c r="WN17" s="21"/>
      <c r="WR17" s="15"/>
      <c r="WX17" s="25"/>
      <c r="XE17" s="21"/>
      <c r="XF17" s="21"/>
      <c r="XJ17" s="15"/>
      <c r="XP17" s="25"/>
      <c r="XW17" s="21"/>
      <c r="XX17" s="21"/>
      <c r="YB17" s="15"/>
      <c r="YH17" s="25"/>
      <c r="YO17" s="21"/>
      <c r="YP17" s="21"/>
      <c r="YT17" s="15"/>
      <c r="YZ17" s="25"/>
      <c r="ZG17" s="21"/>
      <c r="ZH17" s="21"/>
      <c r="ZL17" s="15"/>
      <c r="ZR17" s="25"/>
      <c r="ZY17" s="21"/>
      <c r="ZZ17" s="21"/>
      <c r="AAD17" s="15"/>
      <c r="AAJ17" s="25"/>
      <c r="AAQ17" s="21"/>
      <c r="AAR17" s="21"/>
      <c r="AAV17" s="15"/>
      <c r="ABB17" s="25"/>
      <c r="ABI17" s="21"/>
      <c r="ABJ17" s="21"/>
      <c r="ABN17" s="15"/>
      <c r="ABT17" s="25"/>
      <c r="ACA17" s="21"/>
      <c r="ACB17" s="21"/>
      <c r="ACF17" s="15"/>
      <c r="ACL17" s="25"/>
      <c r="ACS17" s="21"/>
      <c r="ACT17" s="21"/>
      <c r="ACX17" s="15"/>
      <c r="ADD17" s="25"/>
      <c r="ADK17" s="21"/>
      <c r="ADL17" s="21"/>
      <c r="ADP17" s="15"/>
      <c r="ADV17" s="25"/>
      <c r="AEC17" s="21"/>
      <c r="AED17" s="21"/>
      <c r="AEH17" s="15"/>
      <c r="AEN17" s="25"/>
      <c r="AEU17" s="21"/>
      <c r="AEV17" s="21"/>
      <c r="AEZ17" s="15"/>
      <c r="AFF17" s="25"/>
      <c r="AFM17" s="21"/>
      <c r="AFN17" s="21"/>
      <c r="AFR17" s="15"/>
      <c r="AFX17" s="25"/>
      <c r="AGE17" s="21"/>
      <c r="AGF17" s="21"/>
      <c r="AGJ17" s="15"/>
      <c r="AGP17" s="25"/>
      <c r="AGW17" s="21"/>
      <c r="AGX17" s="21"/>
      <c r="AHB17" s="15"/>
      <c r="AHH17" s="25"/>
      <c r="AHO17" s="21"/>
      <c r="AHP17" s="21"/>
      <c r="AHT17" s="15"/>
      <c r="AHZ17" s="25"/>
      <c r="AIG17" s="21"/>
      <c r="AIH17" s="21"/>
      <c r="AIL17" s="15"/>
      <c r="AIR17" s="25"/>
      <c r="AIY17" s="21"/>
      <c r="AIZ17" s="21"/>
      <c r="AJD17" s="15"/>
      <c r="AJJ17" s="25"/>
      <c r="AJQ17" s="21"/>
      <c r="AJR17" s="21"/>
      <c r="AJV17" s="15"/>
      <c r="AKB17" s="25"/>
      <c r="AKI17" s="21"/>
      <c r="AKJ17" s="21"/>
      <c r="AKN17" s="15"/>
      <c r="AKT17" s="25"/>
      <c r="ALA17" s="21"/>
      <c r="ALB17" s="21"/>
      <c r="ALF17" s="15"/>
      <c r="ALL17" s="25"/>
      <c r="ALS17" s="21"/>
      <c r="ALT17" s="21"/>
      <c r="ALX17" s="15"/>
      <c r="AMD17" s="25"/>
      <c r="AMK17" s="21"/>
      <c r="AML17" s="21"/>
      <c r="AMP17" s="15"/>
      <c r="AMV17" s="25"/>
      <c r="ANC17" s="21"/>
      <c r="AND17" s="21"/>
      <c r="ANH17" s="15"/>
      <c r="ANN17" s="25"/>
      <c r="ANU17" s="21"/>
      <c r="ANV17" s="21"/>
      <c r="ANZ17" s="15"/>
      <c r="AOF17" s="25"/>
      <c r="AOM17" s="21"/>
      <c r="AON17" s="21"/>
      <c r="AOR17" s="15"/>
      <c r="AOX17" s="25"/>
      <c r="APE17" s="21"/>
      <c r="APF17" s="21"/>
      <c r="APJ17" s="15"/>
      <c r="APP17" s="25"/>
      <c r="APW17" s="21"/>
      <c r="APX17" s="21"/>
      <c r="AQB17" s="15"/>
      <c r="AQH17" s="25"/>
      <c r="AQO17" s="21"/>
      <c r="AQP17" s="21"/>
      <c r="AQT17" s="15"/>
      <c r="AQZ17" s="25"/>
      <c r="ARG17" s="21"/>
      <c r="ARH17" s="21"/>
      <c r="ARL17" s="15"/>
      <c r="ARR17" s="25"/>
      <c r="ARY17" s="21"/>
      <c r="ARZ17" s="21"/>
      <c r="ASD17" s="15"/>
      <c r="ASJ17" s="25"/>
      <c r="ASQ17" s="21"/>
      <c r="ASR17" s="21"/>
      <c r="ASV17" s="15"/>
      <c r="ATB17" s="25"/>
      <c r="ATI17" s="21"/>
      <c r="ATJ17" s="21"/>
      <c r="ATN17" s="15"/>
      <c r="ATT17" s="25"/>
      <c r="AUA17" s="21"/>
      <c r="AUB17" s="21"/>
      <c r="AUF17" s="15"/>
      <c r="AUL17" s="25"/>
      <c r="AUS17" s="21"/>
      <c r="AUT17" s="21"/>
      <c r="AUX17" s="15"/>
      <c r="AVD17" s="25"/>
      <c r="AVK17" s="21"/>
      <c r="AVL17" s="21"/>
      <c r="AVP17" s="15"/>
      <c r="AVV17" s="25"/>
      <c r="AWC17" s="21"/>
      <c r="AWD17" s="21"/>
      <c r="AWH17" s="15"/>
      <c r="AWN17" s="25"/>
      <c r="AWU17" s="21"/>
      <c r="AWV17" s="21"/>
      <c r="AWZ17" s="15"/>
      <c r="AXF17" s="25"/>
      <c r="AXM17" s="21"/>
      <c r="AXN17" s="21"/>
      <c r="AXR17" s="15"/>
      <c r="AXX17" s="25"/>
      <c r="AYE17" s="21"/>
      <c r="AYF17" s="21"/>
      <c r="AYJ17" s="15"/>
      <c r="AYP17" s="25"/>
      <c r="AYW17" s="21"/>
      <c r="AYX17" s="21"/>
      <c r="AZB17" s="15"/>
      <c r="AZH17" s="25"/>
      <c r="AZO17" s="21"/>
      <c r="AZP17" s="21"/>
      <c r="AZT17" s="15"/>
      <c r="AZZ17" s="25"/>
      <c r="BAG17" s="21"/>
      <c r="BAH17" s="21"/>
      <c r="BAL17" s="15"/>
      <c r="BAR17" s="25"/>
      <c r="BAY17" s="21"/>
      <c r="BAZ17" s="21"/>
      <c r="BBD17" s="15"/>
      <c r="BBJ17" s="25"/>
      <c r="BBQ17" s="21"/>
      <c r="BBR17" s="21"/>
      <c r="BBV17" s="15"/>
      <c r="BCB17" s="25"/>
      <c r="BCI17" s="21"/>
      <c r="BCJ17" s="21"/>
      <c r="BCN17" s="15"/>
      <c r="BCT17" s="25"/>
      <c r="BDA17" s="21"/>
      <c r="BDB17" s="21"/>
      <c r="BDF17" s="15"/>
      <c r="BDL17" s="25"/>
      <c r="BDS17" s="21"/>
      <c r="BDT17" s="21"/>
      <c r="BDX17" s="15"/>
      <c r="BED17" s="25"/>
      <c r="BEK17" s="21"/>
      <c r="BEL17" s="21"/>
      <c r="BEP17" s="15"/>
      <c r="BEV17" s="25"/>
      <c r="BFC17" s="21"/>
      <c r="BFD17" s="21"/>
      <c r="BFH17" s="15"/>
      <c r="BFN17" s="25"/>
      <c r="BFU17" s="21"/>
      <c r="BFV17" s="21"/>
      <c r="BFZ17" s="15"/>
      <c r="BGF17" s="25"/>
      <c r="BGM17" s="21"/>
      <c r="BGN17" s="21"/>
      <c r="BGR17" s="15"/>
      <c r="BGX17" s="25"/>
      <c r="BHE17" s="21"/>
      <c r="BHF17" s="21"/>
      <c r="BHJ17" s="15"/>
      <c r="BHP17" s="25"/>
      <c r="BHW17" s="21"/>
      <c r="BHX17" s="21"/>
      <c r="BIB17" s="15"/>
      <c r="BIH17" s="25"/>
      <c r="BIO17" s="21"/>
      <c r="BIP17" s="21"/>
      <c r="BIT17" s="15"/>
      <c r="BIZ17" s="25"/>
      <c r="BJG17" s="21"/>
      <c r="BJH17" s="21"/>
      <c r="BJL17" s="15"/>
      <c r="BJR17" s="25"/>
      <c r="BJY17" s="21"/>
      <c r="BJZ17" s="21"/>
      <c r="BKD17" s="15"/>
      <c r="BKJ17" s="25"/>
      <c r="BKQ17" s="21"/>
      <c r="BKR17" s="21"/>
      <c r="BKV17" s="15"/>
      <c r="BLB17" s="25"/>
      <c r="BLI17" s="21"/>
      <c r="BLJ17" s="21"/>
      <c r="BLN17" s="15"/>
      <c r="BLT17" s="25"/>
      <c r="BMA17" s="21"/>
      <c r="BMB17" s="21"/>
      <c r="BMF17" s="15"/>
      <c r="BML17" s="25"/>
      <c r="BMS17" s="21"/>
      <c r="BMT17" s="21"/>
      <c r="BMX17" s="15"/>
      <c r="BND17" s="25"/>
      <c r="BNK17" s="21"/>
      <c r="BNL17" s="21"/>
      <c r="BNP17" s="15"/>
      <c r="BNV17" s="25"/>
      <c r="BOC17" s="21"/>
      <c r="BOD17" s="21"/>
      <c r="BOH17" s="15"/>
      <c r="BON17" s="25"/>
      <c r="BOU17" s="21"/>
      <c r="BOV17" s="21"/>
      <c r="BOZ17" s="15"/>
      <c r="BPF17" s="25"/>
      <c r="BPM17" s="21"/>
      <c r="BPN17" s="21"/>
      <c r="BPR17" s="15"/>
      <c r="BPX17" s="25"/>
      <c r="BQE17" s="21"/>
      <c r="BQF17" s="21"/>
      <c r="BQJ17" s="15"/>
      <c r="BQP17" s="25"/>
      <c r="BQW17" s="21"/>
      <c r="BQX17" s="21"/>
      <c r="BRB17" s="15"/>
      <c r="BRH17" s="25"/>
      <c r="BRO17" s="21"/>
      <c r="BRP17" s="21"/>
      <c r="BRT17" s="15"/>
      <c r="BRZ17" s="25"/>
      <c r="BSG17" s="21"/>
      <c r="BSH17" s="21"/>
      <c r="BSL17" s="15"/>
      <c r="BSR17" s="25"/>
      <c r="BSY17" s="21"/>
      <c r="BSZ17" s="21"/>
      <c r="BTD17" s="15"/>
      <c r="BTJ17" s="25"/>
      <c r="BTQ17" s="21"/>
      <c r="BTR17" s="21"/>
      <c r="BTV17" s="15"/>
      <c r="BUB17" s="25"/>
      <c r="BUI17" s="21"/>
      <c r="BUJ17" s="21"/>
      <c r="BUN17" s="15"/>
      <c r="BUT17" s="25"/>
      <c r="BVA17" s="21"/>
      <c r="BVB17" s="21"/>
      <c r="BVF17" s="15"/>
      <c r="BVL17" s="25"/>
      <c r="BVS17" s="21"/>
      <c r="BVT17" s="21"/>
      <c r="BVX17" s="15"/>
      <c r="BWD17" s="25"/>
      <c r="BWK17" s="21"/>
      <c r="BWL17" s="21"/>
      <c r="BWP17" s="15"/>
      <c r="BWV17" s="25"/>
      <c r="BXC17" s="21"/>
      <c r="BXD17" s="21"/>
      <c r="BXH17" s="15"/>
      <c r="BXN17" s="25"/>
      <c r="BXU17" s="21"/>
      <c r="BXV17" s="21"/>
      <c r="BXZ17" s="15"/>
      <c r="BYF17" s="25"/>
      <c r="BYM17" s="21"/>
      <c r="BYN17" s="21"/>
      <c r="BYR17" s="15"/>
      <c r="BYX17" s="25"/>
      <c r="BZE17" s="21"/>
      <c r="BZF17" s="21"/>
      <c r="BZJ17" s="15"/>
      <c r="BZP17" s="25"/>
      <c r="BZW17" s="21"/>
      <c r="BZX17" s="21"/>
      <c r="CAB17" s="15"/>
      <c r="CAH17" s="25"/>
      <c r="CAO17" s="21"/>
      <c r="CAP17" s="21"/>
      <c r="CAT17" s="15"/>
      <c r="CAZ17" s="25"/>
      <c r="CBG17" s="21"/>
      <c r="CBH17" s="21"/>
      <c r="CBL17" s="15"/>
      <c r="CBR17" s="25"/>
      <c r="CBY17" s="21"/>
      <c r="CBZ17" s="21"/>
      <c r="CCD17" s="15"/>
      <c r="CCJ17" s="25"/>
      <c r="CCQ17" s="21"/>
      <c r="CCR17" s="21"/>
      <c r="CCV17" s="15"/>
      <c r="CDB17" s="25"/>
      <c r="CDI17" s="21"/>
      <c r="CDJ17" s="21"/>
      <c r="CDN17" s="15"/>
      <c r="CDT17" s="25"/>
      <c r="CEA17" s="21"/>
      <c r="CEB17" s="21"/>
      <c r="CEF17" s="15"/>
      <c r="CEL17" s="25"/>
      <c r="CES17" s="21"/>
      <c r="CET17" s="21"/>
      <c r="CEX17" s="15"/>
      <c r="CFD17" s="25"/>
      <c r="CFK17" s="21"/>
      <c r="CFL17" s="21"/>
      <c r="CFP17" s="15"/>
      <c r="CFV17" s="25"/>
      <c r="CGC17" s="21"/>
      <c r="CGD17" s="21"/>
      <c r="CGH17" s="15"/>
      <c r="CGN17" s="25"/>
      <c r="CGU17" s="21"/>
      <c r="CGV17" s="21"/>
      <c r="CGZ17" s="15"/>
      <c r="CHF17" s="25"/>
      <c r="CHM17" s="21"/>
      <c r="CHN17" s="21"/>
      <c r="CHR17" s="15"/>
      <c r="CHX17" s="25"/>
      <c r="CIE17" s="21"/>
      <c r="CIF17" s="21"/>
      <c r="CIJ17" s="15"/>
      <c r="CIP17" s="25"/>
      <c r="CIW17" s="21"/>
      <c r="CIX17" s="21"/>
      <c r="CJB17" s="15"/>
      <c r="CJH17" s="25"/>
      <c r="CJO17" s="21"/>
      <c r="CJP17" s="21"/>
      <c r="CJT17" s="15"/>
      <c r="CJZ17" s="25"/>
      <c r="CKG17" s="21"/>
      <c r="CKH17" s="21"/>
      <c r="CKL17" s="15"/>
      <c r="CKR17" s="25"/>
      <c r="CKY17" s="21"/>
      <c r="CKZ17" s="21"/>
      <c r="CLD17" s="15"/>
      <c r="CLJ17" s="25"/>
      <c r="CLQ17" s="21"/>
      <c r="CLR17" s="21"/>
      <c r="CLV17" s="15"/>
      <c r="CMB17" s="25"/>
      <c r="CMI17" s="21"/>
      <c r="CMJ17" s="21"/>
      <c r="CMN17" s="15"/>
      <c r="CMT17" s="25"/>
      <c r="CNA17" s="21"/>
      <c r="CNB17" s="21"/>
      <c r="CNF17" s="15"/>
      <c r="CNL17" s="25"/>
      <c r="CNS17" s="21"/>
      <c r="CNT17" s="21"/>
      <c r="CNX17" s="15"/>
      <c r="COD17" s="25"/>
      <c r="COK17" s="21"/>
      <c r="COL17" s="21"/>
      <c r="COP17" s="15"/>
      <c r="COV17" s="25"/>
      <c r="CPC17" s="21"/>
      <c r="CPD17" s="21"/>
      <c r="CPH17" s="15"/>
      <c r="CPN17" s="25"/>
      <c r="CPU17" s="21"/>
      <c r="CPV17" s="21"/>
      <c r="CPZ17" s="15"/>
      <c r="CQF17" s="25"/>
      <c r="CQM17" s="21"/>
      <c r="CQN17" s="21"/>
      <c r="CQR17" s="15"/>
      <c r="CQX17" s="25"/>
      <c r="CRE17" s="21"/>
      <c r="CRF17" s="21"/>
      <c r="CRJ17" s="15"/>
      <c r="CRP17" s="25"/>
      <c r="CRW17" s="21"/>
      <c r="CRX17" s="21"/>
      <c r="CSB17" s="15"/>
      <c r="CSH17" s="25"/>
      <c r="CSO17" s="21"/>
      <c r="CSP17" s="21"/>
      <c r="CST17" s="15"/>
      <c r="CSZ17" s="25"/>
      <c r="CTG17" s="21"/>
      <c r="CTH17" s="21"/>
      <c r="CTL17" s="15"/>
      <c r="CTR17" s="25"/>
      <c r="CTY17" s="21"/>
      <c r="CTZ17" s="21"/>
      <c r="CUD17" s="15"/>
      <c r="CUJ17" s="25"/>
      <c r="CUQ17" s="21"/>
      <c r="CUR17" s="21"/>
      <c r="CUV17" s="15"/>
      <c r="CVB17" s="25"/>
      <c r="CVI17" s="21"/>
      <c r="CVJ17" s="21"/>
      <c r="CVN17" s="15"/>
      <c r="CVT17" s="25"/>
      <c r="CWA17" s="21"/>
      <c r="CWB17" s="21"/>
      <c r="CWF17" s="15"/>
      <c r="CWL17" s="25"/>
      <c r="CWS17" s="21"/>
      <c r="CWT17" s="21"/>
      <c r="CWX17" s="15"/>
      <c r="CXD17" s="25"/>
      <c r="CXK17" s="21"/>
      <c r="CXL17" s="21"/>
      <c r="CXP17" s="15"/>
      <c r="CXV17" s="25"/>
      <c r="CYC17" s="21"/>
      <c r="CYD17" s="21"/>
      <c r="CYH17" s="15"/>
      <c r="CYN17" s="25"/>
      <c r="CYU17" s="21"/>
      <c r="CYV17" s="21"/>
      <c r="CYZ17" s="15"/>
      <c r="CZF17" s="25"/>
      <c r="CZM17" s="21"/>
      <c r="CZN17" s="21"/>
      <c r="CZR17" s="15"/>
      <c r="CZX17" s="25"/>
      <c r="DAE17" s="21"/>
      <c r="DAF17" s="21"/>
      <c r="DAJ17" s="15"/>
      <c r="DAP17" s="25"/>
      <c r="DAW17" s="21"/>
      <c r="DAX17" s="21"/>
      <c r="DBB17" s="15"/>
      <c r="DBH17" s="25"/>
      <c r="DBO17" s="21"/>
      <c r="DBP17" s="21"/>
      <c r="DBT17" s="15"/>
      <c r="DBZ17" s="25"/>
      <c r="DCG17" s="21"/>
      <c r="DCH17" s="21"/>
      <c r="DCL17" s="15"/>
      <c r="DCR17" s="25"/>
      <c r="DCY17" s="21"/>
      <c r="DCZ17" s="21"/>
      <c r="DDD17" s="15"/>
      <c r="DDJ17" s="25"/>
      <c r="DDQ17" s="21"/>
      <c r="DDR17" s="21"/>
      <c r="DDV17" s="15"/>
      <c r="DEB17" s="25"/>
      <c r="DEI17" s="21"/>
      <c r="DEJ17" s="21"/>
      <c r="DEN17" s="15"/>
      <c r="DET17" s="25"/>
      <c r="DFA17" s="21"/>
      <c r="DFB17" s="21"/>
      <c r="DFF17" s="15"/>
      <c r="DFL17" s="25"/>
      <c r="DFS17" s="21"/>
      <c r="DFT17" s="21"/>
      <c r="DFX17" s="15"/>
      <c r="DGD17" s="25"/>
      <c r="DGK17" s="21"/>
      <c r="DGL17" s="21"/>
      <c r="DGP17" s="15"/>
      <c r="DGV17" s="25"/>
      <c r="DHC17" s="21"/>
      <c r="DHD17" s="21"/>
      <c r="DHH17" s="15"/>
      <c r="DHN17" s="25"/>
      <c r="DHU17" s="21"/>
      <c r="DHV17" s="21"/>
      <c r="DHZ17" s="15"/>
      <c r="DIF17" s="25"/>
      <c r="DIM17" s="21"/>
      <c r="DIN17" s="21"/>
      <c r="DIR17" s="15"/>
      <c r="DIX17" s="25"/>
      <c r="DJE17" s="21"/>
      <c r="DJF17" s="21"/>
      <c r="DJJ17" s="15"/>
      <c r="DJP17" s="25"/>
      <c r="DJW17" s="21"/>
      <c r="DJX17" s="21"/>
      <c r="DKB17" s="15"/>
      <c r="DKH17" s="25"/>
      <c r="DKO17" s="21"/>
      <c r="DKP17" s="21"/>
      <c r="DKT17" s="15"/>
      <c r="DKZ17" s="25"/>
      <c r="DLG17" s="21"/>
      <c r="DLH17" s="21"/>
      <c r="DLL17" s="15"/>
      <c r="DLR17" s="25"/>
      <c r="DLY17" s="21"/>
      <c r="DLZ17" s="21"/>
      <c r="DMD17" s="15"/>
      <c r="DMJ17" s="25"/>
      <c r="DMQ17" s="21"/>
      <c r="DMR17" s="21"/>
      <c r="DMV17" s="15"/>
      <c r="DNB17" s="25"/>
      <c r="DNI17" s="21"/>
      <c r="DNJ17" s="21"/>
      <c r="DNN17" s="15"/>
      <c r="DNT17" s="25"/>
      <c r="DOA17" s="21"/>
      <c r="DOB17" s="21"/>
      <c r="DOF17" s="15"/>
      <c r="DOL17" s="25"/>
      <c r="DOS17" s="21"/>
      <c r="DOT17" s="21"/>
      <c r="DOX17" s="15"/>
      <c r="DPD17" s="25"/>
      <c r="DPK17" s="21"/>
      <c r="DPL17" s="21"/>
      <c r="DPP17" s="15"/>
      <c r="DPV17" s="25"/>
      <c r="DQC17" s="21"/>
      <c r="DQD17" s="21"/>
      <c r="DQH17" s="15"/>
      <c r="DQN17" s="25"/>
      <c r="DQU17" s="21"/>
      <c r="DQV17" s="21"/>
      <c r="DQZ17" s="15"/>
      <c r="DRF17" s="25"/>
      <c r="DRM17" s="21"/>
      <c r="DRN17" s="21"/>
      <c r="DRR17" s="15"/>
      <c r="DRX17" s="25"/>
      <c r="DSE17" s="21"/>
      <c r="DSF17" s="21"/>
      <c r="DSJ17" s="15"/>
      <c r="DSP17" s="25"/>
      <c r="DSW17" s="21"/>
      <c r="DSX17" s="21"/>
      <c r="DTB17" s="15"/>
      <c r="DTH17" s="25"/>
      <c r="DTO17" s="21"/>
      <c r="DTP17" s="21"/>
      <c r="DTT17" s="15"/>
      <c r="DTZ17" s="25"/>
      <c r="DUG17" s="21"/>
      <c r="DUH17" s="21"/>
      <c r="DUL17" s="15"/>
      <c r="DUR17" s="25"/>
      <c r="DUY17" s="21"/>
      <c r="DUZ17" s="21"/>
      <c r="DVD17" s="15"/>
      <c r="DVJ17" s="25"/>
      <c r="DVQ17" s="21"/>
      <c r="DVR17" s="21"/>
      <c r="DVV17" s="15"/>
      <c r="DWB17" s="25"/>
      <c r="DWI17" s="21"/>
      <c r="DWJ17" s="21"/>
      <c r="DWN17" s="15"/>
      <c r="DWT17" s="25"/>
      <c r="DXA17" s="21"/>
      <c r="DXB17" s="21"/>
      <c r="DXF17" s="15"/>
      <c r="DXL17" s="25"/>
      <c r="DXS17" s="21"/>
      <c r="DXT17" s="21"/>
      <c r="DXX17" s="15"/>
      <c r="DYD17" s="25"/>
      <c r="DYK17" s="21"/>
      <c r="DYL17" s="21"/>
      <c r="DYP17" s="15"/>
      <c r="DYV17" s="25"/>
      <c r="DZC17" s="21"/>
      <c r="DZD17" s="21"/>
      <c r="DZH17" s="15"/>
      <c r="DZN17" s="25"/>
      <c r="DZU17" s="21"/>
      <c r="DZV17" s="21"/>
      <c r="DZZ17" s="15"/>
      <c r="EAF17" s="25"/>
      <c r="EAM17" s="21"/>
      <c r="EAN17" s="21"/>
      <c r="EAR17" s="15"/>
      <c r="EAX17" s="25"/>
      <c r="EBE17" s="21"/>
      <c r="EBF17" s="21"/>
      <c r="EBJ17" s="15"/>
      <c r="EBP17" s="25"/>
      <c r="EBW17" s="21"/>
      <c r="EBX17" s="21"/>
      <c r="ECB17" s="15"/>
      <c r="ECH17" s="25"/>
      <c r="ECO17" s="21"/>
      <c r="ECP17" s="21"/>
      <c r="ECT17" s="15"/>
      <c r="ECZ17" s="25"/>
      <c r="EDG17" s="21"/>
      <c r="EDH17" s="21"/>
      <c r="EDL17" s="15"/>
      <c r="EDR17" s="25"/>
      <c r="EDY17" s="21"/>
      <c r="EDZ17" s="21"/>
      <c r="EED17" s="15"/>
      <c r="EEJ17" s="25"/>
      <c r="EEQ17" s="21"/>
      <c r="EER17" s="21"/>
      <c r="EEV17" s="15"/>
      <c r="EFB17" s="25"/>
      <c r="EFI17" s="21"/>
      <c r="EFJ17" s="21"/>
      <c r="EFN17" s="15"/>
      <c r="EFT17" s="25"/>
      <c r="EGA17" s="21"/>
      <c r="EGB17" s="21"/>
      <c r="EGF17" s="15"/>
      <c r="EGL17" s="25"/>
      <c r="EGS17" s="21"/>
      <c r="EGT17" s="21"/>
      <c r="EGX17" s="15"/>
      <c r="EHD17" s="25"/>
      <c r="EHK17" s="21"/>
      <c r="EHL17" s="21"/>
      <c r="EHP17" s="15"/>
      <c r="EHV17" s="25"/>
      <c r="EIC17" s="21"/>
      <c r="EID17" s="21"/>
      <c r="EIH17" s="15"/>
      <c r="EIN17" s="25"/>
      <c r="EIU17" s="21"/>
      <c r="EIV17" s="21"/>
      <c r="EIZ17" s="15"/>
      <c r="EJF17" s="25"/>
      <c r="EJM17" s="21"/>
      <c r="EJN17" s="21"/>
      <c r="EJR17" s="15"/>
      <c r="EJX17" s="25"/>
      <c r="EKE17" s="21"/>
      <c r="EKF17" s="21"/>
      <c r="EKJ17" s="15"/>
      <c r="EKP17" s="25"/>
      <c r="EKW17" s="21"/>
      <c r="EKX17" s="21"/>
      <c r="ELB17" s="15"/>
      <c r="ELH17" s="25"/>
      <c r="ELO17" s="21"/>
      <c r="ELP17" s="21"/>
      <c r="ELT17" s="15"/>
      <c r="ELZ17" s="25"/>
      <c r="EMG17" s="21"/>
      <c r="EMH17" s="21"/>
      <c r="EML17" s="15"/>
      <c r="EMR17" s="25"/>
      <c r="EMY17" s="21"/>
      <c r="EMZ17" s="21"/>
      <c r="END17" s="15"/>
      <c r="ENJ17" s="25"/>
      <c r="ENQ17" s="21"/>
      <c r="ENR17" s="21"/>
      <c r="ENV17" s="15"/>
      <c r="EOB17" s="25"/>
      <c r="EOI17" s="21"/>
      <c r="EOJ17" s="21"/>
      <c r="EON17" s="15"/>
      <c r="EOT17" s="25"/>
      <c r="EPA17" s="21"/>
      <c r="EPB17" s="21"/>
      <c r="EPF17" s="15"/>
      <c r="EPL17" s="25"/>
      <c r="EPS17" s="21"/>
      <c r="EPT17" s="21"/>
      <c r="EPX17" s="15"/>
      <c r="EQD17" s="25"/>
      <c r="EQK17" s="21"/>
      <c r="EQL17" s="21"/>
      <c r="EQP17" s="15"/>
      <c r="EQV17" s="25"/>
      <c r="ERC17" s="21"/>
      <c r="ERD17" s="21"/>
      <c r="ERH17" s="15"/>
      <c r="ERN17" s="25"/>
      <c r="ERU17" s="21"/>
      <c r="ERV17" s="21"/>
      <c r="ERZ17" s="15"/>
      <c r="ESF17" s="25"/>
      <c r="ESM17" s="21"/>
      <c r="ESN17" s="21"/>
      <c r="ESR17" s="15"/>
      <c r="ESX17" s="25"/>
      <c r="ETE17" s="21"/>
      <c r="ETF17" s="21"/>
      <c r="ETJ17" s="15"/>
      <c r="ETP17" s="25"/>
      <c r="ETW17" s="21"/>
      <c r="ETX17" s="21"/>
      <c r="EUB17" s="15"/>
      <c r="EUH17" s="25"/>
      <c r="EUO17" s="21"/>
      <c r="EUP17" s="21"/>
      <c r="EUT17" s="15"/>
      <c r="EUZ17" s="25"/>
      <c r="EVG17" s="21"/>
      <c r="EVH17" s="21"/>
      <c r="EVL17" s="15"/>
      <c r="EVR17" s="25"/>
      <c r="EVY17" s="21"/>
      <c r="EVZ17" s="21"/>
      <c r="EWD17" s="15"/>
      <c r="EWJ17" s="25"/>
      <c r="EWQ17" s="21"/>
      <c r="EWR17" s="21"/>
      <c r="EWV17" s="15"/>
      <c r="EXB17" s="25"/>
      <c r="EXI17" s="21"/>
      <c r="EXJ17" s="21"/>
      <c r="EXN17" s="15"/>
      <c r="EXT17" s="25"/>
      <c r="EYA17" s="21"/>
      <c r="EYB17" s="21"/>
      <c r="EYF17" s="15"/>
      <c r="EYL17" s="25"/>
      <c r="EYS17" s="21"/>
      <c r="EYT17" s="21"/>
      <c r="EYX17" s="15"/>
      <c r="EZD17" s="25"/>
      <c r="EZK17" s="21"/>
      <c r="EZL17" s="21"/>
      <c r="EZP17" s="15"/>
      <c r="EZV17" s="25"/>
      <c r="FAC17" s="21"/>
      <c r="FAD17" s="21"/>
      <c r="FAH17" s="15"/>
      <c r="FAN17" s="25"/>
      <c r="FAU17" s="21"/>
      <c r="FAV17" s="21"/>
      <c r="FAZ17" s="15"/>
      <c r="FBF17" s="25"/>
      <c r="FBM17" s="21"/>
      <c r="FBN17" s="21"/>
      <c r="FBR17" s="15"/>
      <c r="FBX17" s="25"/>
      <c r="FCE17" s="21"/>
      <c r="FCF17" s="21"/>
      <c r="FCJ17" s="15"/>
      <c r="FCP17" s="25"/>
      <c r="FCW17" s="21"/>
      <c r="FCX17" s="21"/>
      <c r="FDB17" s="15"/>
      <c r="FDH17" s="25"/>
      <c r="FDO17" s="21"/>
      <c r="FDP17" s="21"/>
      <c r="FDT17" s="15"/>
      <c r="FDZ17" s="25"/>
      <c r="FEG17" s="21"/>
      <c r="FEH17" s="21"/>
      <c r="FEL17" s="15"/>
      <c r="FER17" s="25"/>
      <c r="FEY17" s="21"/>
      <c r="FEZ17" s="21"/>
      <c r="FFD17" s="15"/>
      <c r="FFJ17" s="25"/>
      <c r="FFQ17" s="21"/>
      <c r="FFR17" s="21"/>
      <c r="FFV17" s="15"/>
      <c r="FGB17" s="25"/>
      <c r="FGI17" s="21"/>
      <c r="FGJ17" s="21"/>
      <c r="FGN17" s="15"/>
      <c r="FGT17" s="25"/>
      <c r="FHA17" s="21"/>
      <c r="FHB17" s="21"/>
      <c r="FHF17" s="15"/>
      <c r="FHL17" s="25"/>
      <c r="FHS17" s="21"/>
      <c r="FHT17" s="21"/>
      <c r="FHX17" s="15"/>
      <c r="FID17" s="25"/>
      <c r="FIK17" s="21"/>
      <c r="FIL17" s="21"/>
      <c r="FIP17" s="15"/>
      <c r="FIV17" s="25"/>
      <c r="FJC17" s="21"/>
      <c r="FJD17" s="21"/>
      <c r="FJH17" s="15"/>
      <c r="FJN17" s="25"/>
      <c r="FJU17" s="21"/>
      <c r="FJV17" s="21"/>
      <c r="FJZ17" s="15"/>
      <c r="FKF17" s="25"/>
      <c r="FKM17" s="21"/>
      <c r="FKN17" s="21"/>
      <c r="FKR17" s="15"/>
      <c r="FKX17" s="25"/>
      <c r="FLE17" s="21"/>
      <c r="FLF17" s="21"/>
      <c r="FLJ17" s="15"/>
      <c r="FLP17" s="25"/>
      <c r="FLW17" s="21"/>
      <c r="FLX17" s="21"/>
      <c r="FMB17" s="15"/>
      <c r="FMH17" s="25"/>
      <c r="FMO17" s="21"/>
      <c r="FMP17" s="21"/>
      <c r="FMT17" s="15"/>
      <c r="FMZ17" s="25"/>
      <c r="FNG17" s="21"/>
      <c r="FNH17" s="21"/>
      <c r="FNL17" s="15"/>
      <c r="FNR17" s="25"/>
      <c r="FNY17" s="21"/>
      <c r="FNZ17" s="21"/>
      <c r="FOD17" s="15"/>
      <c r="FOJ17" s="25"/>
      <c r="FOQ17" s="21"/>
      <c r="FOR17" s="21"/>
      <c r="FOV17" s="15"/>
      <c r="FPB17" s="25"/>
      <c r="FPI17" s="21"/>
      <c r="FPJ17" s="21"/>
      <c r="FPN17" s="15"/>
      <c r="FPT17" s="25"/>
      <c r="FQA17" s="21"/>
      <c r="FQB17" s="21"/>
      <c r="FQF17" s="15"/>
      <c r="FQL17" s="25"/>
      <c r="FQS17" s="21"/>
      <c r="FQT17" s="21"/>
      <c r="FQX17" s="15"/>
      <c r="FRD17" s="25"/>
      <c r="FRK17" s="21"/>
      <c r="FRL17" s="21"/>
      <c r="FRP17" s="15"/>
      <c r="FRV17" s="25"/>
      <c r="FSC17" s="21"/>
      <c r="FSD17" s="21"/>
      <c r="FSH17" s="15"/>
      <c r="FSN17" s="25"/>
      <c r="FSU17" s="21"/>
      <c r="FSV17" s="21"/>
      <c r="FSZ17" s="15"/>
      <c r="FTF17" s="25"/>
      <c r="FTM17" s="21"/>
      <c r="FTN17" s="21"/>
      <c r="FTR17" s="15"/>
      <c r="FTX17" s="25"/>
      <c r="FUE17" s="21"/>
      <c r="FUF17" s="21"/>
      <c r="FUJ17" s="15"/>
      <c r="FUP17" s="25"/>
      <c r="FUW17" s="21"/>
      <c r="FUX17" s="21"/>
      <c r="FVB17" s="15"/>
      <c r="FVH17" s="25"/>
      <c r="FVO17" s="21"/>
      <c r="FVP17" s="21"/>
      <c r="FVT17" s="15"/>
      <c r="FVZ17" s="25"/>
      <c r="FWG17" s="21"/>
      <c r="FWH17" s="21"/>
      <c r="FWL17" s="15"/>
      <c r="FWR17" s="25"/>
      <c r="FWY17" s="21"/>
      <c r="FWZ17" s="21"/>
      <c r="FXD17" s="15"/>
      <c r="FXJ17" s="25"/>
      <c r="FXQ17" s="21"/>
      <c r="FXR17" s="21"/>
      <c r="FXV17" s="15"/>
      <c r="FYB17" s="25"/>
      <c r="FYI17" s="21"/>
      <c r="FYJ17" s="21"/>
      <c r="FYN17" s="15"/>
      <c r="FYT17" s="25"/>
      <c r="FZA17" s="21"/>
      <c r="FZB17" s="21"/>
      <c r="FZF17" s="15"/>
      <c r="FZL17" s="25"/>
      <c r="FZS17" s="21"/>
      <c r="FZT17" s="21"/>
      <c r="FZX17" s="15"/>
      <c r="GAD17" s="25"/>
      <c r="GAK17" s="21"/>
      <c r="GAL17" s="21"/>
      <c r="GAP17" s="15"/>
      <c r="GAV17" s="25"/>
      <c r="GBC17" s="21"/>
      <c r="GBD17" s="21"/>
      <c r="GBH17" s="15"/>
      <c r="GBN17" s="25"/>
      <c r="GBU17" s="21"/>
      <c r="GBV17" s="21"/>
      <c r="GBZ17" s="15"/>
      <c r="GCF17" s="25"/>
      <c r="GCM17" s="21"/>
      <c r="GCN17" s="21"/>
      <c r="GCR17" s="15"/>
      <c r="GCX17" s="25"/>
      <c r="GDE17" s="21"/>
      <c r="GDF17" s="21"/>
      <c r="GDJ17" s="15"/>
      <c r="GDP17" s="25"/>
      <c r="GDW17" s="21"/>
      <c r="GDX17" s="21"/>
      <c r="GEB17" s="15"/>
      <c r="GEH17" s="25"/>
      <c r="GEO17" s="21"/>
      <c r="GEP17" s="21"/>
      <c r="GET17" s="15"/>
      <c r="GEZ17" s="25"/>
      <c r="GFG17" s="21"/>
      <c r="GFH17" s="21"/>
      <c r="GFL17" s="15"/>
      <c r="GFR17" s="25"/>
      <c r="GFY17" s="21"/>
      <c r="GFZ17" s="21"/>
      <c r="GGD17" s="15"/>
      <c r="GGJ17" s="25"/>
      <c r="GGQ17" s="21"/>
      <c r="GGR17" s="21"/>
      <c r="GGV17" s="15"/>
      <c r="GHB17" s="25"/>
      <c r="GHI17" s="21"/>
      <c r="GHJ17" s="21"/>
      <c r="GHN17" s="15"/>
      <c r="GHT17" s="25"/>
      <c r="GIA17" s="21"/>
      <c r="GIB17" s="21"/>
      <c r="GIF17" s="15"/>
      <c r="GIL17" s="25"/>
      <c r="GIS17" s="21"/>
      <c r="GIT17" s="21"/>
      <c r="GIX17" s="15"/>
      <c r="GJD17" s="25"/>
      <c r="GJK17" s="21"/>
      <c r="GJL17" s="21"/>
      <c r="GJP17" s="15"/>
      <c r="GJV17" s="25"/>
      <c r="GKC17" s="21"/>
      <c r="GKD17" s="21"/>
      <c r="GKH17" s="15"/>
      <c r="GKN17" s="25"/>
      <c r="GKU17" s="21"/>
      <c r="GKV17" s="21"/>
      <c r="GKZ17" s="15"/>
      <c r="GLF17" s="25"/>
      <c r="GLM17" s="21"/>
      <c r="GLN17" s="21"/>
      <c r="GLR17" s="15"/>
      <c r="GLX17" s="25"/>
      <c r="GME17" s="21"/>
      <c r="GMF17" s="21"/>
      <c r="GMJ17" s="15"/>
      <c r="GMP17" s="25"/>
      <c r="GMW17" s="21"/>
      <c r="GMX17" s="21"/>
      <c r="GNB17" s="15"/>
      <c r="GNH17" s="25"/>
      <c r="GNO17" s="21"/>
      <c r="GNP17" s="21"/>
      <c r="GNT17" s="15"/>
      <c r="GNZ17" s="25"/>
      <c r="GOG17" s="21"/>
      <c r="GOH17" s="21"/>
      <c r="GOL17" s="15"/>
      <c r="GOR17" s="25"/>
      <c r="GOY17" s="21"/>
      <c r="GOZ17" s="21"/>
      <c r="GPD17" s="15"/>
      <c r="GPJ17" s="25"/>
      <c r="GPQ17" s="21"/>
      <c r="GPR17" s="21"/>
      <c r="GPV17" s="15"/>
      <c r="GQB17" s="25"/>
      <c r="GQI17" s="21"/>
      <c r="GQJ17" s="21"/>
      <c r="GQN17" s="15"/>
      <c r="GQT17" s="25"/>
      <c r="GRA17" s="21"/>
      <c r="GRB17" s="21"/>
      <c r="GRF17" s="15"/>
      <c r="GRL17" s="25"/>
      <c r="GRS17" s="21"/>
      <c r="GRT17" s="21"/>
      <c r="GRX17" s="15"/>
      <c r="GSD17" s="25"/>
      <c r="GSK17" s="21"/>
      <c r="GSL17" s="21"/>
      <c r="GSP17" s="15"/>
      <c r="GSV17" s="25"/>
      <c r="GTC17" s="21"/>
      <c r="GTD17" s="21"/>
      <c r="GTH17" s="15"/>
      <c r="GTN17" s="25"/>
      <c r="GTU17" s="21"/>
      <c r="GTV17" s="21"/>
      <c r="GTZ17" s="15"/>
      <c r="GUF17" s="25"/>
      <c r="GUM17" s="21"/>
      <c r="GUN17" s="21"/>
      <c r="GUR17" s="15"/>
      <c r="GUX17" s="25"/>
      <c r="GVE17" s="21"/>
      <c r="GVF17" s="21"/>
      <c r="GVJ17" s="15"/>
      <c r="GVP17" s="25"/>
      <c r="GVW17" s="21"/>
      <c r="GVX17" s="21"/>
      <c r="GWB17" s="15"/>
      <c r="GWH17" s="25"/>
      <c r="GWO17" s="21"/>
      <c r="GWP17" s="21"/>
      <c r="GWT17" s="15"/>
      <c r="GWZ17" s="25"/>
      <c r="GXG17" s="21"/>
      <c r="GXH17" s="21"/>
      <c r="GXL17" s="15"/>
      <c r="GXR17" s="25"/>
      <c r="GXY17" s="21"/>
      <c r="GXZ17" s="21"/>
      <c r="GYD17" s="15"/>
      <c r="GYJ17" s="25"/>
      <c r="GYQ17" s="21"/>
      <c r="GYR17" s="21"/>
      <c r="GYV17" s="15"/>
      <c r="GZB17" s="25"/>
      <c r="GZI17" s="21"/>
      <c r="GZJ17" s="21"/>
      <c r="GZN17" s="15"/>
      <c r="GZT17" s="25"/>
      <c r="HAA17" s="21"/>
      <c r="HAB17" s="21"/>
      <c r="HAF17" s="15"/>
      <c r="HAL17" s="25"/>
      <c r="HAS17" s="21"/>
      <c r="HAT17" s="21"/>
      <c r="HAX17" s="15"/>
      <c r="HBD17" s="25"/>
      <c r="HBK17" s="21"/>
      <c r="HBL17" s="21"/>
      <c r="HBP17" s="15"/>
      <c r="HBV17" s="25"/>
      <c r="HCC17" s="21"/>
      <c r="HCD17" s="21"/>
      <c r="HCH17" s="15"/>
      <c r="HCN17" s="25"/>
      <c r="HCU17" s="21"/>
      <c r="HCV17" s="21"/>
      <c r="HCZ17" s="15"/>
      <c r="HDF17" s="25"/>
      <c r="HDM17" s="21"/>
      <c r="HDN17" s="21"/>
      <c r="HDR17" s="15"/>
      <c r="HDX17" s="25"/>
      <c r="HEE17" s="21"/>
      <c r="HEF17" s="21"/>
      <c r="HEJ17" s="15"/>
      <c r="HEP17" s="25"/>
      <c r="HEW17" s="21"/>
      <c r="HEX17" s="21"/>
      <c r="HFB17" s="15"/>
      <c r="HFH17" s="25"/>
      <c r="HFO17" s="21"/>
      <c r="HFP17" s="21"/>
      <c r="HFT17" s="15"/>
      <c r="HFZ17" s="25"/>
      <c r="HGG17" s="21"/>
      <c r="HGH17" s="21"/>
      <c r="HGL17" s="15"/>
      <c r="HGR17" s="25"/>
      <c r="HGY17" s="21"/>
      <c r="HGZ17" s="21"/>
      <c r="HHD17" s="15"/>
      <c r="HHJ17" s="25"/>
      <c r="HHQ17" s="21"/>
      <c r="HHR17" s="21"/>
      <c r="HHV17" s="15"/>
      <c r="HIB17" s="25"/>
      <c r="HII17" s="21"/>
      <c r="HIJ17" s="21"/>
      <c r="HIN17" s="15"/>
      <c r="HIT17" s="25"/>
      <c r="HJA17" s="21"/>
      <c r="HJB17" s="21"/>
      <c r="HJF17" s="15"/>
      <c r="HJL17" s="25"/>
      <c r="HJS17" s="21"/>
      <c r="HJT17" s="21"/>
      <c r="HJX17" s="15"/>
      <c r="HKD17" s="25"/>
      <c r="HKK17" s="21"/>
      <c r="HKL17" s="21"/>
      <c r="HKP17" s="15"/>
      <c r="HKV17" s="25"/>
      <c r="HLC17" s="21"/>
      <c r="HLD17" s="21"/>
      <c r="HLH17" s="15"/>
      <c r="HLN17" s="25"/>
      <c r="HLU17" s="21"/>
      <c r="HLV17" s="21"/>
      <c r="HLZ17" s="15"/>
      <c r="HMF17" s="25"/>
      <c r="HMM17" s="21"/>
      <c r="HMN17" s="21"/>
      <c r="HMR17" s="15"/>
      <c r="HMX17" s="25"/>
      <c r="HNE17" s="21"/>
      <c r="HNF17" s="21"/>
      <c r="HNJ17" s="15"/>
      <c r="HNP17" s="25"/>
      <c r="HNW17" s="21"/>
      <c r="HNX17" s="21"/>
      <c r="HOB17" s="15"/>
      <c r="HOH17" s="25"/>
      <c r="HOO17" s="21"/>
      <c r="HOP17" s="21"/>
      <c r="HOT17" s="15"/>
      <c r="HOZ17" s="25"/>
      <c r="HPG17" s="21"/>
      <c r="HPH17" s="21"/>
      <c r="HPL17" s="15"/>
      <c r="HPR17" s="25"/>
      <c r="HPY17" s="21"/>
      <c r="HPZ17" s="21"/>
      <c r="HQD17" s="15"/>
      <c r="HQJ17" s="25"/>
      <c r="HQQ17" s="21"/>
      <c r="HQR17" s="21"/>
      <c r="HQV17" s="15"/>
      <c r="HRB17" s="25"/>
      <c r="HRI17" s="21"/>
      <c r="HRJ17" s="21"/>
      <c r="HRN17" s="15"/>
      <c r="HRT17" s="25"/>
      <c r="HSA17" s="21"/>
      <c r="HSB17" s="21"/>
      <c r="HSF17" s="15"/>
      <c r="HSL17" s="25"/>
      <c r="HSS17" s="21"/>
      <c r="HST17" s="21"/>
      <c r="HSX17" s="15"/>
      <c r="HTD17" s="25"/>
      <c r="HTK17" s="21"/>
      <c r="HTL17" s="21"/>
      <c r="HTP17" s="15"/>
      <c r="HTV17" s="25"/>
      <c r="HUC17" s="21"/>
      <c r="HUD17" s="21"/>
      <c r="HUH17" s="15"/>
      <c r="HUN17" s="25"/>
      <c r="HUU17" s="21"/>
      <c r="HUV17" s="21"/>
      <c r="HUZ17" s="15"/>
      <c r="HVF17" s="25"/>
      <c r="HVM17" s="21"/>
      <c r="HVN17" s="21"/>
      <c r="HVR17" s="15"/>
      <c r="HVX17" s="25"/>
      <c r="HWE17" s="21"/>
      <c r="HWF17" s="21"/>
      <c r="HWJ17" s="15"/>
      <c r="HWP17" s="25"/>
      <c r="HWW17" s="21"/>
      <c r="HWX17" s="21"/>
      <c r="HXB17" s="15"/>
      <c r="HXH17" s="25"/>
      <c r="HXO17" s="21"/>
      <c r="HXP17" s="21"/>
      <c r="HXT17" s="15"/>
      <c r="HXZ17" s="25"/>
      <c r="HYG17" s="21"/>
      <c r="HYH17" s="21"/>
      <c r="HYL17" s="15"/>
      <c r="HYR17" s="25"/>
      <c r="HYY17" s="21"/>
      <c r="HYZ17" s="21"/>
      <c r="HZD17" s="15"/>
      <c r="HZJ17" s="25"/>
      <c r="HZQ17" s="21"/>
      <c r="HZR17" s="21"/>
      <c r="HZV17" s="15"/>
      <c r="IAB17" s="25"/>
      <c r="IAI17" s="21"/>
      <c r="IAJ17" s="21"/>
      <c r="IAN17" s="15"/>
      <c r="IAT17" s="25"/>
      <c r="IBA17" s="21"/>
      <c r="IBB17" s="21"/>
      <c r="IBF17" s="15"/>
      <c r="IBL17" s="25"/>
      <c r="IBS17" s="21"/>
      <c r="IBT17" s="21"/>
      <c r="IBX17" s="15"/>
      <c r="ICD17" s="25"/>
      <c r="ICK17" s="21"/>
      <c r="ICL17" s="21"/>
      <c r="ICP17" s="15"/>
      <c r="ICV17" s="25"/>
      <c r="IDC17" s="21"/>
      <c r="IDD17" s="21"/>
      <c r="IDH17" s="15"/>
      <c r="IDN17" s="25"/>
      <c r="IDU17" s="21"/>
      <c r="IDV17" s="21"/>
      <c r="IDZ17" s="15"/>
      <c r="IEF17" s="25"/>
      <c r="IEM17" s="21"/>
      <c r="IEN17" s="21"/>
      <c r="IER17" s="15"/>
      <c r="IEX17" s="25"/>
      <c r="IFE17" s="21"/>
      <c r="IFF17" s="21"/>
      <c r="IFJ17" s="15"/>
      <c r="IFP17" s="25"/>
      <c r="IFW17" s="21"/>
      <c r="IFX17" s="21"/>
      <c r="IGB17" s="15"/>
      <c r="IGH17" s="25"/>
      <c r="IGO17" s="21"/>
      <c r="IGP17" s="21"/>
      <c r="IGT17" s="15"/>
      <c r="IGZ17" s="25"/>
      <c r="IHG17" s="21"/>
      <c r="IHH17" s="21"/>
      <c r="IHL17" s="15"/>
      <c r="IHR17" s="25"/>
      <c r="IHY17" s="21"/>
      <c r="IHZ17" s="21"/>
      <c r="IID17" s="15"/>
      <c r="IIJ17" s="25"/>
      <c r="IIQ17" s="21"/>
      <c r="IIR17" s="21"/>
      <c r="IIV17" s="15"/>
      <c r="IJB17" s="25"/>
      <c r="IJI17" s="21"/>
      <c r="IJJ17" s="21"/>
      <c r="IJN17" s="15"/>
      <c r="IJT17" s="25"/>
      <c r="IKA17" s="21"/>
      <c r="IKB17" s="21"/>
      <c r="IKF17" s="15"/>
      <c r="IKL17" s="25"/>
      <c r="IKS17" s="21"/>
      <c r="IKT17" s="21"/>
      <c r="IKX17" s="15"/>
      <c r="ILD17" s="25"/>
      <c r="ILK17" s="21"/>
      <c r="ILL17" s="21"/>
      <c r="ILP17" s="15"/>
      <c r="ILV17" s="25"/>
      <c r="IMC17" s="21"/>
      <c r="IMD17" s="21"/>
      <c r="IMH17" s="15"/>
      <c r="IMN17" s="25"/>
      <c r="IMU17" s="21"/>
      <c r="IMV17" s="21"/>
      <c r="IMZ17" s="15"/>
      <c r="INF17" s="25"/>
      <c r="INM17" s="21"/>
      <c r="INN17" s="21"/>
      <c r="INR17" s="15"/>
      <c r="INX17" s="25"/>
      <c r="IOE17" s="21"/>
      <c r="IOF17" s="21"/>
      <c r="IOJ17" s="15"/>
      <c r="IOP17" s="25"/>
      <c r="IOW17" s="21"/>
      <c r="IOX17" s="21"/>
      <c r="IPB17" s="15"/>
      <c r="IPH17" s="25"/>
      <c r="IPO17" s="21"/>
      <c r="IPP17" s="21"/>
      <c r="IPT17" s="15"/>
      <c r="IPZ17" s="25"/>
      <c r="IQG17" s="21"/>
      <c r="IQH17" s="21"/>
      <c r="IQL17" s="15"/>
      <c r="IQR17" s="25"/>
      <c r="IQY17" s="21"/>
      <c r="IQZ17" s="21"/>
      <c r="IRD17" s="15"/>
      <c r="IRJ17" s="25"/>
      <c r="IRQ17" s="21"/>
      <c r="IRR17" s="21"/>
      <c r="IRV17" s="15"/>
      <c r="ISB17" s="25"/>
      <c r="ISI17" s="21"/>
      <c r="ISJ17" s="21"/>
      <c r="ISN17" s="15"/>
      <c r="IST17" s="25"/>
      <c r="ITA17" s="21"/>
      <c r="ITB17" s="21"/>
      <c r="ITF17" s="15"/>
      <c r="ITL17" s="25"/>
      <c r="ITS17" s="21"/>
      <c r="ITT17" s="21"/>
      <c r="ITX17" s="15"/>
      <c r="IUD17" s="25"/>
      <c r="IUK17" s="21"/>
      <c r="IUL17" s="21"/>
      <c r="IUP17" s="15"/>
      <c r="IUV17" s="25"/>
      <c r="IVC17" s="21"/>
      <c r="IVD17" s="21"/>
      <c r="IVH17" s="15"/>
      <c r="IVN17" s="25"/>
      <c r="IVU17" s="21"/>
      <c r="IVV17" s="21"/>
      <c r="IVZ17" s="15"/>
      <c r="IWF17" s="25"/>
      <c r="IWM17" s="21"/>
      <c r="IWN17" s="21"/>
      <c r="IWR17" s="15"/>
      <c r="IWX17" s="25"/>
      <c r="IXE17" s="21"/>
      <c r="IXF17" s="21"/>
      <c r="IXJ17" s="15"/>
      <c r="IXP17" s="25"/>
      <c r="IXW17" s="21"/>
      <c r="IXX17" s="21"/>
      <c r="IYB17" s="15"/>
      <c r="IYH17" s="25"/>
      <c r="IYO17" s="21"/>
      <c r="IYP17" s="21"/>
      <c r="IYT17" s="15"/>
      <c r="IYZ17" s="25"/>
      <c r="IZG17" s="21"/>
      <c r="IZH17" s="21"/>
      <c r="IZL17" s="15"/>
      <c r="IZR17" s="25"/>
      <c r="IZY17" s="21"/>
      <c r="IZZ17" s="21"/>
      <c r="JAD17" s="15"/>
      <c r="JAJ17" s="25"/>
      <c r="JAQ17" s="21"/>
      <c r="JAR17" s="21"/>
      <c r="JAV17" s="15"/>
      <c r="JBB17" s="25"/>
      <c r="JBI17" s="21"/>
      <c r="JBJ17" s="21"/>
      <c r="JBN17" s="15"/>
      <c r="JBT17" s="25"/>
      <c r="JCA17" s="21"/>
      <c r="JCB17" s="21"/>
      <c r="JCF17" s="15"/>
      <c r="JCL17" s="25"/>
      <c r="JCS17" s="21"/>
      <c r="JCT17" s="21"/>
      <c r="JCX17" s="15"/>
      <c r="JDD17" s="25"/>
      <c r="JDK17" s="21"/>
      <c r="JDL17" s="21"/>
      <c r="JDP17" s="15"/>
      <c r="JDV17" s="25"/>
      <c r="JEC17" s="21"/>
      <c r="JED17" s="21"/>
      <c r="JEH17" s="15"/>
      <c r="JEN17" s="25"/>
      <c r="JEU17" s="21"/>
      <c r="JEV17" s="21"/>
      <c r="JEZ17" s="15"/>
      <c r="JFF17" s="25"/>
      <c r="JFM17" s="21"/>
      <c r="JFN17" s="21"/>
      <c r="JFR17" s="15"/>
      <c r="JFX17" s="25"/>
      <c r="JGE17" s="21"/>
      <c r="JGF17" s="21"/>
      <c r="JGJ17" s="15"/>
      <c r="JGP17" s="25"/>
      <c r="JGW17" s="21"/>
      <c r="JGX17" s="21"/>
      <c r="JHB17" s="15"/>
      <c r="JHH17" s="25"/>
      <c r="JHO17" s="21"/>
      <c r="JHP17" s="21"/>
      <c r="JHT17" s="15"/>
      <c r="JHZ17" s="25"/>
      <c r="JIG17" s="21"/>
      <c r="JIH17" s="21"/>
      <c r="JIL17" s="15"/>
      <c r="JIR17" s="25"/>
      <c r="JIY17" s="21"/>
      <c r="JIZ17" s="21"/>
      <c r="JJD17" s="15"/>
      <c r="JJJ17" s="25"/>
      <c r="JJQ17" s="21"/>
      <c r="JJR17" s="21"/>
      <c r="JJV17" s="15"/>
      <c r="JKB17" s="25"/>
      <c r="JKI17" s="21"/>
      <c r="JKJ17" s="21"/>
      <c r="JKN17" s="15"/>
      <c r="JKT17" s="25"/>
      <c r="JLA17" s="21"/>
      <c r="JLB17" s="21"/>
      <c r="JLF17" s="15"/>
      <c r="JLL17" s="25"/>
      <c r="JLS17" s="21"/>
      <c r="JLT17" s="21"/>
      <c r="JLX17" s="15"/>
      <c r="JMD17" s="25"/>
      <c r="JMK17" s="21"/>
      <c r="JML17" s="21"/>
      <c r="JMP17" s="15"/>
      <c r="JMV17" s="25"/>
      <c r="JNC17" s="21"/>
      <c r="JND17" s="21"/>
      <c r="JNH17" s="15"/>
      <c r="JNN17" s="25"/>
      <c r="JNU17" s="21"/>
      <c r="JNV17" s="21"/>
      <c r="JNZ17" s="15"/>
      <c r="JOF17" s="25"/>
      <c r="JOM17" s="21"/>
      <c r="JON17" s="21"/>
      <c r="JOR17" s="15"/>
      <c r="JOX17" s="25"/>
      <c r="JPE17" s="21"/>
      <c r="JPF17" s="21"/>
      <c r="JPJ17" s="15"/>
      <c r="JPP17" s="25"/>
      <c r="JPW17" s="21"/>
      <c r="JPX17" s="21"/>
      <c r="JQB17" s="15"/>
      <c r="JQH17" s="25"/>
      <c r="JQO17" s="21"/>
      <c r="JQP17" s="21"/>
      <c r="JQT17" s="15"/>
      <c r="JQZ17" s="25"/>
      <c r="JRG17" s="21"/>
      <c r="JRH17" s="21"/>
      <c r="JRL17" s="15"/>
      <c r="JRR17" s="25"/>
      <c r="JRY17" s="21"/>
      <c r="JRZ17" s="21"/>
      <c r="JSD17" s="15"/>
      <c r="JSJ17" s="25"/>
      <c r="JSQ17" s="21"/>
      <c r="JSR17" s="21"/>
      <c r="JSV17" s="15"/>
      <c r="JTB17" s="25"/>
      <c r="JTI17" s="21"/>
      <c r="JTJ17" s="21"/>
      <c r="JTN17" s="15"/>
      <c r="JTT17" s="25"/>
      <c r="JUA17" s="21"/>
      <c r="JUB17" s="21"/>
      <c r="JUF17" s="15"/>
      <c r="JUL17" s="25"/>
      <c r="JUS17" s="21"/>
      <c r="JUT17" s="21"/>
      <c r="JUX17" s="15"/>
      <c r="JVD17" s="25"/>
      <c r="JVK17" s="21"/>
      <c r="JVL17" s="21"/>
      <c r="JVP17" s="15"/>
      <c r="JVV17" s="25"/>
      <c r="JWC17" s="21"/>
      <c r="JWD17" s="21"/>
      <c r="JWH17" s="15"/>
      <c r="JWN17" s="25"/>
      <c r="JWU17" s="21"/>
      <c r="JWV17" s="21"/>
      <c r="JWZ17" s="15"/>
      <c r="JXF17" s="25"/>
      <c r="JXM17" s="21"/>
      <c r="JXN17" s="21"/>
      <c r="JXR17" s="15"/>
      <c r="JXX17" s="25"/>
      <c r="JYE17" s="21"/>
      <c r="JYF17" s="21"/>
      <c r="JYJ17" s="15"/>
      <c r="JYP17" s="25"/>
      <c r="JYW17" s="21"/>
      <c r="JYX17" s="21"/>
      <c r="JZB17" s="15"/>
      <c r="JZH17" s="25"/>
      <c r="JZO17" s="21"/>
      <c r="JZP17" s="21"/>
      <c r="JZT17" s="15"/>
      <c r="JZZ17" s="25"/>
      <c r="KAG17" s="21"/>
      <c r="KAH17" s="21"/>
      <c r="KAL17" s="15"/>
      <c r="KAR17" s="25"/>
      <c r="KAY17" s="21"/>
      <c r="KAZ17" s="21"/>
      <c r="KBD17" s="15"/>
      <c r="KBJ17" s="25"/>
      <c r="KBQ17" s="21"/>
      <c r="KBR17" s="21"/>
      <c r="KBV17" s="15"/>
      <c r="KCB17" s="25"/>
      <c r="KCI17" s="21"/>
      <c r="KCJ17" s="21"/>
      <c r="KCN17" s="15"/>
      <c r="KCT17" s="25"/>
      <c r="KDA17" s="21"/>
      <c r="KDB17" s="21"/>
      <c r="KDF17" s="15"/>
      <c r="KDL17" s="25"/>
      <c r="KDS17" s="21"/>
      <c r="KDT17" s="21"/>
      <c r="KDX17" s="15"/>
      <c r="KED17" s="25"/>
      <c r="KEK17" s="21"/>
      <c r="KEL17" s="21"/>
      <c r="KEP17" s="15"/>
      <c r="KEV17" s="25"/>
      <c r="KFC17" s="21"/>
      <c r="KFD17" s="21"/>
      <c r="KFH17" s="15"/>
      <c r="KFN17" s="25"/>
      <c r="KFU17" s="21"/>
      <c r="KFV17" s="21"/>
      <c r="KFZ17" s="15"/>
      <c r="KGF17" s="25"/>
      <c r="KGM17" s="21"/>
      <c r="KGN17" s="21"/>
      <c r="KGR17" s="15"/>
      <c r="KGX17" s="25"/>
      <c r="KHE17" s="21"/>
      <c r="KHF17" s="21"/>
      <c r="KHJ17" s="15"/>
      <c r="KHP17" s="25"/>
      <c r="KHW17" s="21"/>
      <c r="KHX17" s="21"/>
      <c r="KIB17" s="15"/>
      <c r="KIH17" s="25"/>
      <c r="KIO17" s="21"/>
      <c r="KIP17" s="21"/>
      <c r="KIT17" s="15"/>
      <c r="KIZ17" s="25"/>
      <c r="KJG17" s="21"/>
      <c r="KJH17" s="21"/>
      <c r="KJL17" s="15"/>
      <c r="KJR17" s="25"/>
      <c r="KJY17" s="21"/>
      <c r="KJZ17" s="21"/>
      <c r="KKD17" s="15"/>
      <c r="KKJ17" s="25"/>
      <c r="KKQ17" s="21"/>
      <c r="KKR17" s="21"/>
      <c r="KKV17" s="15"/>
      <c r="KLB17" s="25"/>
      <c r="KLI17" s="21"/>
      <c r="KLJ17" s="21"/>
      <c r="KLN17" s="15"/>
      <c r="KLT17" s="25"/>
      <c r="KMA17" s="21"/>
      <c r="KMB17" s="21"/>
      <c r="KMF17" s="15"/>
      <c r="KML17" s="25"/>
      <c r="KMS17" s="21"/>
      <c r="KMT17" s="21"/>
      <c r="KMX17" s="15"/>
      <c r="KND17" s="25"/>
      <c r="KNK17" s="21"/>
      <c r="KNL17" s="21"/>
      <c r="KNP17" s="15"/>
      <c r="KNV17" s="25"/>
      <c r="KOC17" s="21"/>
      <c r="KOD17" s="21"/>
      <c r="KOH17" s="15"/>
      <c r="KON17" s="25"/>
      <c r="KOU17" s="21"/>
      <c r="KOV17" s="21"/>
      <c r="KOZ17" s="15"/>
      <c r="KPF17" s="25"/>
      <c r="KPM17" s="21"/>
      <c r="KPN17" s="21"/>
      <c r="KPR17" s="15"/>
      <c r="KPX17" s="25"/>
      <c r="KQE17" s="21"/>
      <c r="KQF17" s="21"/>
      <c r="KQJ17" s="15"/>
      <c r="KQP17" s="25"/>
      <c r="KQW17" s="21"/>
      <c r="KQX17" s="21"/>
      <c r="KRB17" s="15"/>
      <c r="KRH17" s="25"/>
      <c r="KRO17" s="21"/>
      <c r="KRP17" s="21"/>
      <c r="KRT17" s="15"/>
      <c r="KRZ17" s="25"/>
      <c r="KSG17" s="21"/>
      <c r="KSH17" s="21"/>
      <c r="KSL17" s="15"/>
      <c r="KSR17" s="25"/>
      <c r="KSY17" s="21"/>
      <c r="KSZ17" s="21"/>
      <c r="KTD17" s="15"/>
      <c r="KTJ17" s="25"/>
      <c r="KTQ17" s="21"/>
      <c r="KTR17" s="21"/>
      <c r="KTV17" s="15"/>
      <c r="KUB17" s="25"/>
      <c r="KUI17" s="21"/>
      <c r="KUJ17" s="21"/>
      <c r="KUN17" s="15"/>
      <c r="KUT17" s="25"/>
      <c r="KVA17" s="21"/>
      <c r="KVB17" s="21"/>
      <c r="KVF17" s="15"/>
      <c r="KVL17" s="25"/>
      <c r="KVS17" s="21"/>
      <c r="KVT17" s="21"/>
      <c r="KVX17" s="15"/>
      <c r="KWD17" s="25"/>
      <c r="KWK17" s="21"/>
      <c r="KWL17" s="21"/>
      <c r="KWP17" s="15"/>
      <c r="KWV17" s="25"/>
      <c r="KXC17" s="21"/>
      <c r="KXD17" s="21"/>
      <c r="KXH17" s="15"/>
      <c r="KXN17" s="25"/>
      <c r="KXU17" s="21"/>
      <c r="KXV17" s="21"/>
      <c r="KXZ17" s="15"/>
      <c r="KYF17" s="25"/>
      <c r="KYM17" s="21"/>
      <c r="KYN17" s="21"/>
      <c r="KYR17" s="15"/>
      <c r="KYX17" s="25"/>
      <c r="KZE17" s="21"/>
      <c r="KZF17" s="21"/>
      <c r="KZJ17" s="15"/>
      <c r="KZP17" s="25"/>
      <c r="KZW17" s="21"/>
      <c r="KZX17" s="21"/>
      <c r="LAB17" s="15"/>
      <c r="LAH17" s="25"/>
      <c r="LAO17" s="21"/>
      <c r="LAP17" s="21"/>
      <c r="LAT17" s="15"/>
      <c r="LAZ17" s="25"/>
      <c r="LBG17" s="21"/>
      <c r="LBH17" s="21"/>
      <c r="LBL17" s="15"/>
      <c r="LBR17" s="25"/>
      <c r="LBY17" s="21"/>
      <c r="LBZ17" s="21"/>
      <c r="LCD17" s="15"/>
      <c r="LCJ17" s="25"/>
      <c r="LCQ17" s="21"/>
      <c r="LCR17" s="21"/>
      <c r="LCV17" s="15"/>
      <c r="LDB17" s="25"/>
      <c r="LDI17" s="21"/>
      <c r="LDJ17" s="21"/>
      <c r="LDN17" s="15"/>
      <c r="LDT17" s="25"/>
      <c r="LEA17" s="21"/>
      <c r="LEB17" s="21"/>
      <c r="LEF17" s="15"/>
      <c r="LEL17" s="25"/>
      <c r="LES17" s="21"/>
      <c r="LET17" s="21"/>
      <c r="LEX17" s="15"/>
      <c r="LFD17" s="25"/>
      <c r="LFK17" s="21"/>
      <c r="LFL17" s="21"/>
      <c r="LFP17" s="15"/>
      <c r="LFV17" s="25"/>
      <c r="LGC17" s="21"/>
      <c r="LGD17" s="21"/>
      <c r="LGH17" s="15"/>
      <c r="LGN17" s="25"/>
      <c r="LGU17" s="21"/>
      <c r="LGV17" s="21"/>
      <c r="LGZ17" s="15"/>
      <c r="LHF17" s="25"/>
      <c r="LHM17" s="21"/>
      <c r="LHN17" s="21"/>
      <c r="LHR17" s="15"/>
      <c r="LHX17" s="25"/>
      <c r="LIE17" s="21"/>
      <c r="LIF17" s="21"/>
      <c r="LIJ17" s="15"/>
      <c r="LIP17" s="25"/>
      <c r="LIW17" s="21"/>
      <c r="LIX17" s="21"/>
      <c r="LJB17" s="15"/>
      <c r="LJH17" s="25"/>
      <c r="LJO17" s="21"/>
      <c r="LJP17" s="21"/>
      <c r="LJT17" s="15"/>
      <c r="LJZ17" s="25"/>
      <c r="LKG17" s="21"/>
      <c r="LKH17" s="21"/>
      <c r="LKL17" s="15"/>
      <c r="LKR17" s="25"/>
      <c r="LKY17" s="21"/>
      <c r="LKZ17" s="21"/>
      <c r="LLD17" s="15"/>
      <c r="LLJ17" s="25"/>
      <c r="LLQ17" s="21"/>
      <c r="LLR17" s="21"/>
      <c r="LLV17" s="15"/>
      <c r="LMB17" s="25"/>
      <c r="LMI17" s="21"/>
      <c r="LMJ17" s="21"/>
      <c r="LMN17" s="15"/>
      <c r="LMT17" s="25"/>
      <c r="LNA17" s="21"/>
      <c r="LNB17" s="21"/>
      <c r="LNF17" s="15"/>
      <c r="LNL17" s="25"/>
      <c r="LNS17" s="21"/>
      <c r="LNT17" s="21"/>
      <c r="LNX17" s="15"/>
      <c r="LOD17" s="25"/>
      <c r="LOK17" s="21"/>
      <c r="LOL17" s="21"/>
      <c r="LOP17" s="15"/>
      <c r="LOV17" s="25"/>
      <c r="LPC17" s="21"/>
      <c r="LPD17" s="21"/>
      <c r="LPH17" s="15"/>
      <c r="LPN17" s="25"/>
      <c r="LPU17" s="21"/>
      <c r="LPV17" s="21"/>
      <c r="LPZ17" s="15"/>
      <c r="LQF17" s="25"/>
      <c r="LQM17" s="21"/>
      <c r="LQN17" s="21"/>
      <c r="LQR17" s="15"/>
      <c r="LQX17" s="25"/>
      <c r="LRE17" s="21"/>
      <c r="LRF17" s="21"/>
      <c r="LRJ17" s="15"/>
      <c r="LRP17" s="25"/>
      <c r="LRW17" s="21"/>
      <c r="LRX17" s="21"/>
      <c r="LSB17" s="15"/>
      <c r="LSH17" s="25"/>
      <c r="LSO17" s="21"/>
      <c r="LSP17" s="21"/>
      <c r="LST17" s="15"/>
      <c r="LSZ17" s="25"/>
      <c r="LTG17" s="21"/>
      <c r="LTH17" s="21"/>
      <c r="LTL17" s="15"/>
      <c r="LTR17" s="25"/>
      <c r="LTY17" s="21"/>
      <c r="LTZ17" s="21"/>
      <c r="LUD17" s="15"/>
      <c r="LUJ17" s="25"/>
      <c r="LUQ17" s="21"/>
      <c r="LUR17" s="21"/>
      <c r="LUV17" s="15"/>
      <c r="LVB17" s="25"/>
      <c r="LVI17" s="21"/>
      <c r="LVJ17" s="21"/>
      <c r="LVN17" s="15"/>
      <c r="LVT17" s="25"/>
      <c r="LWA17" s="21"/>
      <c r="LWB17" s="21"/>
      <c r="LWF17" s="15"/>
      <c r="LWL17" s="25"/>
      <c r="LWS17" s="21"/>
      <c r="LWT17" s="21"/>
      <c r="LWX17" s="15"/>
      <c r="LXD17" s="25"/>
      <c r="LXK17" s="21"/>
      <c r="LXL17" s="21"/>
      <c r="LXP17" s="15"/>
      <c r="LXV17" s="25"/>
      <c r="LYC17" s="21"/>
      <c r="LYD17" s="21"/>
      <c r="LYH17" s="15"/>
      <c r="LYN17" s="25"/>
      <c r="LYU17" s="21"/>
      <c r="LYV17" s="21"/>
      <c r="LYZ17" s="15"/>
      <c r="LZF17" s="25"/>
      <c r="LZM17" s="21"/>
      <c r="LZN17" s="21"/>
      <c r="LZR17" s="15"/>
      <c r="LZX17" s="25"/>
      <c r="MAE17" s="21"/>
      <c r="MAF17" s="21"/>
      <c r="MAJ17" s="15"/>
      <c r="MAP17" s="25"/>
      <c r="MAW17" s="21"/>
      <c r="MAX17" s="21"/>
      <c r="MBB17" s="15"/>
      <c r="MBH17" s="25"/>
      <c r="MBO17" s="21"/>
      <c r="MBP17" s="21"/>
      <c r="MBT17" s="15"/>
      <c r="MBZ17" s="25"/>
      <c r="MCG17" s="21"/>
      <c r="MCH17" s="21"/>
      <c r="MCL17" s="15"/>
      <c r="MCR17" s="25"/>
      <c r="MCY17" s="21"/>
      <c r="MCZ17" s="21"/>
      <c r="MDD17" s="15"/>
      <c r="MDJ17" s="25"/>
      <c r="MDQ17" s="21"/>
      <c r="MDR17" s="21"/>
      <c r="MDV17" s="15"/>
      <c r="MEB17" s="25"/>
      <c r="MEI17" s="21"/>
      <c r="MEJ17" s="21"/>
      <c r="MEN17" s="15"/>
      <c r="MET17" s="25"/>
      <c r="MFA17" s="21"/>
      <c r="MFB17" s="21"/>
      <c r="MFF17" s="15"/>
      <c r="MFL17" s="25"/>
      <c r="MFS17" s="21"/>
      <c r="MFT17" s="21"/>
      <c r="MFX17" s="15"/>
      <c r="MGD17" s="25"/>
      <c r="MGK17" s="21"/>
      <c r="MGL17" s="21"/>
      <c r="MGP17" s="15"/>
      <c r="MGV17" s="25"/>
      <c r="MHC17" s="21"/>
      <c r="MHD17" s="21"/>
      <c r="MHH17" s="15"/>
      <c r="MHN17" s="25"/>
      <c r="MHU17" s="21"/>
      <c r="MHV17" s="21"/>
      <c r="MHZ17" s="15"/>
      <c r="MIF17" s="25"/>
      <c r="MIM17" s="21"/>
      <c r="MIN17" s="21"/>
      <c r="MIR17" s="15"/>
      <c r="MIX17" s="25"/>
      <c r="MJE17" s="21"/>
      <c r="MJF17" s="21"/>
      <c r="MJJ17" s="15"/>
      <c r="MJP17" s="25"/>
      <c r="MJW17" s="21"/>
      <c r="MJX17" s="21"/>
      <c r="MKB17" s="15"/>
      <c r="MKH17" s="25"/>
      <c r="MKO17" s="21"/>
      <c r="MKP17" s="21"/>
      <c r="MKT17" s="15"/>
      <c r="MKZ17" s="25"/>
      <c r="MLG17" s="21"/>
      <c r="MLH17" s="21"/>
      <c r="MLL17" s="15"/>
      <c r="MLR17" s="25"/>
      <c r="MLY17" s="21"/>
      <c r="MLZ17" s="21"/>
      <c r="MMD17" s="15"/>
      <c r="MMJ17" s="25"/>
      <c r="MMQ17" s="21"/>
      <c r="MMR17" s="21"/>
      <c r="MMV17" s="15"/>
      <c r="MNB17" s="25"/>
      <c r="MNI17" s="21"/>
      <c r="MNJ17" s="21"/>
      <c r="MNN17" s="15"/>
      <c r="MNT17" s="25"/>
      <c r="MOA17" s="21"/>
      <c r="MOB17" s="21"/>
      <c r="MOF17" s="15"/>
      <c r="MOL17" s="25"/>
      <c r="MOS17" s="21"/>
      <c r="MOT17" s="21"/>
      <c r="MOX17" s="15"/>
      <c r="MPD17" s="25"/>
      <c r="MPK17" s="21"/>
      <c r="MPL17" s="21"/>
      <c r="MPP17" s="15"/>
      <c r="MPV17" s="25"/>
      <c r="MQC17" s="21"/>
      <c r="MQD17" s="21"/>
      <c r="MQH17" s="15"/>
      <c r="MQN17" s="25"/>
      <c r="MQU17" s="21"/>
      <c r="MQV17" s="21"/>
      <c r="MQZ17" s="15"/>
      <c r="MRF17" s="25"/>
      <c r="MRM17" s="21"/>
      <c r="MRN17" s="21"/>
      <c r="MRR17" s="15"/>
      <c r="MRX17" s="25"/>
      <c r="MSE17" s="21"/>
      <c r="MSF17" s="21"/>
      <c r="MSJ17" s="15"/>
      <c r="MSP17" s="25"/>
      <c r="MSW17" s="21"/>
      <c r="MSX17" s="21"/>
      <c r="MTB17" s="15"/>
      <c r="MTH17" s="25"/>
      <c r="MTO17" s="21"/>
      <c r="MTP17" s="21"/>
      <c r="MTT17" s="15"/>
      <c r="MTZ17" s="25"/>
      <c r="MUG17" s="21"/>
      <c r="MUH17" s="21"/>
      <c r="MUL17" s="15"/>
      <c r="MUR17" s="25"/>
      <c r="MUY17" s="21"/>
      <c r="MUZ17" s="21"/>
      <c r="MVD17" s="15"/>
      <c r="MVJ17" s="25"/>
      <c r="MVQ17" s="21"/>
      <c r="MVR17" s="21"/>
      <c r="MVV17" s="15"/>
      <c r="MWB17" s="25"/>
      <c r="MWI17" s="21"/>
      <c r="MWJ17" s="21"/>
      <c r="MWN17" s="15"/>
      <c r="MWT17" s="25"/>
      <c r="MXA17" s="21"/>
      <c r="MXB17" s="21"/>
      <c r="MXF17" s="15"/>
      <c r="MXL17" s="25"/>
      <c r="MXS17" s="21"/>
      <c r="MXT17" s="21"/>
      <c r="MXX17" s="15"/>
      <c r="MYD17" s="25"/>
      <c r="MYK17" s="21"/>
      <c r="MYL17" s="21"/>
      <c r="MYP17" s="15"/>
      <c r="MYV17" s="25"/>
      <c r="MZC17" s="21"/>
      <c r="MZD17" s="21"/>
      <c r="MZH17" s="15"/>
      <c r="MZN17" s="25"/>
      <c r="MZU17" s="21"/>
      <c r="MZV17" s="21"/>
      <c r="MZZ17" s="15"/>
      <c r="NAF17" s="25"/>
      <c r="NAM17" s="21"/>
      <c r="NAN17" s="21"/>
      <c r="NAR17" s="15"/>
      <c r="NAX17" s="25"/>
      <c r="NBE17" s="21"/>
      <c r="NBF17" s="21"/>
      <c r="NBJ17" s="15"/>
      <c r="NBP17" s="25"/>
      <c r="NBW17" s="21"/>
      <c r="NBX17" s="21"/>
      <c r="NCB17" s="15"/>
      <c r="NCH17" s="25"/>
      <c r="NCO17" s="21"/>
      <c r="NCP17" s="21"/>
      <c r="NCT17" s="15"/>
      <c r="NCZ17" s="25"/>
      <c r="NDG17" s="21"/>
      <c r="NDH17" s="21"/>
      <c r="NDL17" s="15"/>
      <c r="NDR17" s="25"/>
      <c r="NDY17" s="21"/>
      <c r="NDZ17" s="21"/>
      <c r="NED17" s="15"/>
      <c r="NEJ17" s="25"/>
      <c r="NEQ17" s="21"/>
      <c r="NER17" s="21"/>
      <c r="NEV17" s="15"/>
      <c r="NFB17" s="25"/>
      <c r="NFI17" s="21"/>
      <c r="NFJ17" s="21"/>
      <c r="NFN17" s="15"/>
      <c r="NFT17" s="25"/>
      <c r="NGA17" s="21"/>
      <c r="NGB17" s="21"/>
      <c r="NGF17" s="15"/>
      <c r="NGL17" s="25"/>
      <c r="NGS17" s="21"/>
      <c r="NGT17" s="21"/>
      <c r="NGX17" s="15"/>
      <c r="NHD17" s="25"/>
      <c r="NHK17" s="21"/>
      <c r="NHL17" s="21"/>
      <c r="NHP17" s="15"/>
      <c r="NHV17" s="25"/>
      <c r="NIC17" s="21"/>
      <c r="NID17" s="21"/>
      <c r="NIH17" s="15"/>
      <c r="NIN17" s="25"/>
      <c r="NIU17" s="21"/>
      <c r="NIV17" s="21"/>
      <c r="NIZ17" s="15"/>
      <c r="NJF17" s="25"/>
      <c r="NJM17" s="21"/>
      <c r="NJN17" s="21"/>
      <c r="NJR17" s="15"/>
      <c r="NJX17" s="25"/>
      <c r="NKE17" s="21"/>
      <c r="NKF17" s="21"/>
      <c r="NKJ17" s="15"/>
      <c r="NKP17" s="25"/>
      <c r="NKW17" s="21"/>
      <c r="NKX17" s="21"/>
      <c r="NLB17" s="15"/>
      <c r="NLH17" s="25"/>
      <c r="NLO17" s="21"/>
      <c r="NLP17" s="21"/>
      <c r="NLT17" s="15"/>
      <c r="NLZ17" s="25"/>
      <c r="NMG17" s="21"/>
      <c r="NMH17" s="21"/>
      <c r="NML17" s="15"/>
      <c r="NMR17" s="25"/>
      <c r="NMY17" s="21"/>
      <c r="NMZ17" s="21"/>
      <c r="NND17" s="15"/>
      <c r="NNJ17" s="25"/>
      <c r="NNQ17" s="21"/>
      <c r="NNR17" s="21"/>
      <c r="NNV17" s="15"/>
      <c r="NOB17" s="25"/>
      <c r="NOI17" s="21"/>
      <c r="NOJ17" s="21"/>
      <c r="NON17" s="15"/>
      <c r="NOT17" s="25"/>
      <c r="NPA17" s="21"/>
      <c r="NPB17" s="21"/>
      <c r="NPF17" s="15"/>
      <c r="NPL17" s="25"/>
      <c r="NPS17" s="21"/>
      <c r="NPT17" s="21"/>
      <c r="NPX17" s="15"/>
      <c r="NQD17" s="25"/>
      <c r="NQK17" s="21"/>
      <c r="NQL17" s="21"/>
      <c r="NQP17" s="15"/>
      <c r="NQV17" s="25"/>
      <c r="NRC17" s="21"/>
      <c r="NRD17" s="21"/>
      <c r="NRH17" s="15"/>
      <c r="NRN17" s="25"/>
      <c r="NRU17" s="21"/>
      <c r="NRV17" s="21"/>
      <c r="NRZ17" s="15"/>
      <c r="NSF17" s="25"/>
      <c r="NSM17" s="21"/>
      <c r="NSN17" s="21"/>
      <c r="NSR17" s="15"/>
      <c r="NSX17" s="25"/>
      <c r="NTE17" s="21"/>
      <c r="NTF17" s="21"/>
      <c r="NTJ17" s="15"/>
      <c r="NTP17" s="25"/>
      <c r="NTW17" s="21"/>
      <c r="NTX17" s="21"/>
      <c r="NUB17" s="15"/>
      <c r="NUH17" s="25"/>
      <c r="NUO17" s="21"/>
      <c r="NUP17" s="21"/>
      <c r="NUT17" s="15"/>
      <c r="NUZ17" s="25"/>
      <c r="NVG17" s="21"/>
      <c r="NVH17" s="21"/>
      <c r="NVL17" s="15"/>
      <c r="NVR17" s="25"/>
      <c r="NVY17" s="21"/>
      <c r="NVZ17" s="21"/>
      <c r="NWD17" s="15"/>
      <c r="NWJ17" s="25"/>
      <c r="NWQ17" s="21"/>
      <c r="NWR17" s="21"/>
      <c r="NWV17" s="15"/>
      <c r="NXB17" s="25"/>
      <c r="NXI17" s="21"/>
      <c r="NXJ17" s="21"/>
      <c r="NXN17" s="15"/>
      <c r="NXT17" s="25"/>
      <c r="NYA17" s="21"/>
      <c r="NYB17" s="21"/>
      <c r="NYF17" s="15"/>
      <c r="NYL17" s="25"/>
      <c r="NYS17" s="21"/>
      <c r="NYT17" s="21"/>
      <c r="NYX17" s="15"/>
      <c r="NZD17" s="25"/>
      <c r="NZK17" s="21"/>
      <c r="NZL17" s="21"/>
      <c r="NZP17" s="15"/>
      <c r="NZV17" s="25"/>
      <c r="OAC17" s="21"/>
      <c r="OAD17" s="21"/>
      <c r="OAH17" s="15"/>
      <c r="OAN17" s="25"/>
      <c r="OAU17" s="21"/>
      <c r="OAV17" s="21"/>
      <c r="OAZ17" s="15"/>
      <c r="OBF17" s="25"/>
      <c r="OBM17" s="21"/>
      <c r="OBN17" s="21"/>
      <c r="OBR17" s="15"/>
      <c r="OBX17" s="25"/>
      <c r="OCE17" s="21"/>
      <c r="OCF17" s="21"/>
      <c r="OCJ17" s="15"/>
      <c r="OCP17" s="25"/>
      <c r="OCW17" s="21"/>
      <c r="OCX17" s="21"/>
      <c r="ODB17" s="15"/>
      <c r="ODH17" s="25"/>
      <c r="ODO17" s="21"/>
      <c r="ODP17" s="21"/>
      <c r="ODT17" s="15"/>
      <c r="ODZ17" s="25"/>
      <c r="OEG17" s="21"/>
      <c r="OEH17" s="21"/>
      <c r="OEL17" s="15"/>
      <c r="OER17" s="25"/>
      <c r="OEY17" s="21"/>
      <c r="OEZ17" s="21"/>
      <c r="OFD17" s="15"/>
      <c r="OFJ17" s="25"/>
      <c r="OFQ17" s="21"/>
      <c r="OFR17" s="21"/>
      <c r="OFV17" s="15"/>
      <c r="OGB17" s="25"/>
      <c r="OGI17" s="21"/>
      <c r="OGJ17" s="21"/>
      <c r="OGN17" s="15"/>
      <c r="OGT17" s="25"/>
      <c r="OHA17" s="21"/>
      <c r="OHB17" s="21"/>
      <c r="OHF17" s="15"/>
      <c r="OHL17" s="25"/>
      <c r="OHS17" s="21"/>
      <c r="OHT17" s="21"/>
      <c r="OHX17" s="15"/>
      <c r="OID17" s="25"/>
      <c r="OIK17" s="21"/>
      <c r="OIL17" s="21"/>
      <c r="OIP17" s="15"/>
      <c r="OIV17" s="25"/>
      <c r="OJC17" s="21"/>
      <c r="OJD17" s="21"/>
      <c r="OJH17" s="15"/>
      <c r="OJN17" s="25"/>
      <c r="OJU17" s="21"/>
      <c r="OJV17" s="21"/>
      <c r="OJZ17" s="15"/>
      <c r="OKF17" s="25"/>
      <c r="OKM17" s="21"/>
      <c r="OKN17" s="21"/>
      <c r="OKR17" s="15"/>
      <c r="OKX17" s="25"/>
      <c r="OLE17" s="21"/>
      <c r="OLF17" s="21"/>
      <c r="OLJ17" s="15"/>
      <c r="OLP17" s="25"/>
      <c r="OLW17" s="21"/>
      <c r="OLX17" s="21"/>
      <c r="OMB17" s="15"/>
      <c r="OMH17" s="25"/>
      <c r="OMO17" s="21"/>
      <c r="OMP17" s="21"/>
      <c r="OMT17" s="15"/>
      <c r="OMZ17" s="25"/>
      <c r="ONG17" s="21"/>
      <c r="ONH17" s="21"/>
      <c r="ONL17" s="15"/>
      <c r="ONR17" s="25"/>
      <c r="ONY17" s="21"/>
      <c r="ONZ17" s="21"/>
      <c r="OOD17" s="15"/>
      <c r="OOJ17" s="25"/>
      <c r="OOQ17" s="21"/>
      <c r="OOR17" s="21"/>
      <c r="OOV17" s="15"/>
      <c r="OPB17" s="25"/>
      <c r="OPI17" s="21"/>
      <c r="OPJ17" s="21"/>
      <c r="OPN17" s="15"/>
      <c r="OPT17" s="25"/>
      <c r="OQA17" s="21"/>
      <c r="OQB17" s="21"/>
      <c r="OQF17" s="15"/>
      <c r="OQL17" s="25"/>
      <c r="OQS17" s="21"/>
      <c r="OQT17" s="21"/>
      <c r="OQX17" s="15"/>
      <c r="ORD17" s="25"/>
      <c r="ORK17" s="21"/>
      <c r="ORL17" s="21"/>
      <c r="ORP17" s="15"/>
      <c r="ORV17" s="25"/>
      <c r="OSC17" s="21"/>
      <c r="OSD17" s="21"/>
      <c r="OSH17" s="15"/>
      <c r="OSN17" s="25"/>
      <c r="OSU17" s="21"/>
      <c r="OSV17" s="21"/>
      <c r="OSZ17" s="15"/>
      <c r="OTF17" s="25"/>
      <c r="OTM17" s="21"/>
      <c r="OTN17" s="21"/>
      <c r="OTR17" s="15"/>
      <c r="OTX17" s="25"/>
      <c r="OUE17" s="21"/>
      <c r="OUF17" s="21"/>
      <c r="OUJ17" s="15"/>
      <c r="OUP17" s="25"/>
      <c r="OUW17" s="21"/>
      <c r="OUX17" s="21"/>
      <c r="OVB17" s="15"/>
      <c r="OVH17" s="25"/>
      <c r="OVO17" s="21"/>
      <c r="OVP17" s="21"/>
      <c r="OVT17" s="15"/>
      <c r="OVZ17" s="25"/>
      <c r="OWG17" s="21"/>
      <c r="OWH17" s="21"/>
      <c r="OWL17" s="15"/>
      <c r="OWR17" s="25"/>
      <c r="OWY17" s="21"/>
      <c r="OWZ17" s="21"/>
      <c r="OXD17" s="15"/>
      <c r="OXJ17" s="25"/>
      <c r="OXQ17" s="21"/>
      <c r="OXR17" s="21"/>
      <c r="OXV17" s="15"/>
      <c r="OYB17" s="25"/>
      <c r="OYI17" s="21"/>
      <c r="OYJ17" s="21"/>
      <c r="OYN17" s="15"/>
      <c r="OYT17" s="25"/>
      <c r="OZA17" s="21"/>
      <c r="OZB17" s="21"/>
      <c r="OZF17" s="15"/>
      <c r="OZL17" s="25"/>
      <c r="OZS17" s="21"/>
      <c r="OZT17" s="21"/>
      <c r="OZX17" s="15"/>
      <c r="PAD17" s="25"/>
      <c r="PAK17" s="21"/>
      <c r="PAL17" s="21"/>
      <c r="PAP17" s="15"/>
      <c r="PAV17" s="25"/>
      <c r="PBC17" s="21"/>
      <c r="PBD17" s="21"/>
      <c r="PBH17" s="15"/>
      <c r="PBN17" s="25"/>
      <c r="PBU17" s="21"/>
      <c r="PBV17" s="21"/>
      <c r="PBZ17" s="15"/>
      <c r="PCF17" s="25"/>
      <c r="PCM17" s="21"/>
      <c r="PCN17" s="21"/>
      <c r="PCR17" s="15"/>
      <c r="PCX17" s="25"/>
      <c r="PDE17" s="21"/>
      <c r="PDF17" s="21"/>
      <c r="PDJ17" s="15"/>
      <c r="PDP17" s="25"/>
      <c r="PDW17" s="21"/>
      <c r="PDX17" s="21"/>
      <c r="PEB17" s="15"/>
      <c r="PEH17" s="25"/>
      <c r="PEO17" s="21"/>
      <c r="PEP17" s="21"/>
      <c r="PET17" s="15"/>
      <c r="PEZ17" s="25"/>
      <c r="PFG17" s="21"/>
      <c r="PFH17" s="21"/>
      <c r="PFL17" s="15"/>
      <c r="PFR17" s="25"/>
      <c r="PFY17" s="21"/>
      <c r="PFZ17" s="21"/>
      <c r="PGD17" s="15"/>
      <c r="PGJ17" s="25"/>
      <c r="PGQ17" s="21"/>
      <c r="PGR17" s="21"/>
      <c r="PGV17" s="15"/>
      <c r="PHB17" s="25"/>
      <c r="PHI17" s="21"/>
      <c r="PHJ17" s="21"/>
      <c r="PHN17" s="15"/>
      <c r="PHT17" s="25"/>
      <c r="PIA17" s="21"/>
      <c r="PIB17" s="21"/>
      <c r="PIF17" s="15"/>
      <c r="PIL17" s="25"/>
      <c r="PIS17" s="21"/>
      <c r="PIT17" s="21"/>
      <c r="PIX17" s="15"/>
      <c r="PJD17" s="25"/>
      <c r="PJK17" s="21"/>
      <c r="PJL17" s="21"/>
      <c r="PJP17" s="15"/>
      <c r="PJV17" s="25"/>
      <c r="PKC17" s="21"/>
      <c r="PKD17" s="21"/>
      <c r="PKH17" s="15"/>
      <c r="PKN17" s="25"/>
      <c r="PKU17" s="21"/>
      <c r="PKV17" s="21"/>
      <c r="PKZ17" s="15"/>
      <c r="PLF17" s="25"/>
      <c r="PLM17" s="21"/>
      <c r="PLN17" s="21"/>
      <c r="PLR17" s="15"/>
      <c r="PLX17" s="25"/>
      <c r="PME17" s="21"/>
      <c r="PMF17" s="21"/>
      <c r="PMJ17" s="15"/>
      <c r="PMP17" s="25"/>
      <c r="PMW17" s="21"/>
      <c r="PMX17" s="21"/>
      <c r="PNB17" s="15"/>
      <c r="PNH17" s="25"/>
      <c r="PNO17" s="21"/>
      <c r="PNP17" s="21"/>
      <c r="PNT17" s="15"/>
      <c r="PNZ17" s="25"/>
      <c r="POG17" s="21"/>
      <c r="POH17" s="21"/>
      <c r="POL17" s="15"/>
      <c r="POR17" s="25"/>
      <c r="POY17" s="21"/>
      <c r="POZ17" s="21"/>
      <c r="PPD17" s="15"/>
      <c r="PPJ17" s="25"/>
      <c r="PPQ17" s="21"/>
      <c r="PPR17" s="21"/>
      <c r="PPV17" s="15"/>
      <c r="PQB17" s="25"/>
      <c r="PQI17" s="21"/>
      <c r="PQJ17" s="21"/>
      <c r="PQN17" s="15"/>
      <c r="PQT17" s="25"/>
      <c r="PRA17" s="21"/>
      <c r="PRB17" s="21"/>
      <c r="PRF17" s="15"/>
      <c r="PRL17" s="25"/>
      <c r="PRS17" s="21"/>
      <c r="PRT17" s="21"/>
      <c r="PRX17" s="15"/>
      <c r="PSD17" s="25"/>
      <c r="PSK17" s="21"/>
      <c r="PSL17" s="21"/>
      <c r="PSP17" s="15"/>
      <c r="PSV17" s="25"/>
      <c r="PTC17" s="21"/>
      <c r="PTD17" s="21"/>
      <c r="PTH17" s="15"/>
      <c r="PTN17" s="25"/>
      <c r="PTU17" s="21"/>
      <c r="PTV17" s="21"/>
      <c r="PTZ17" s="15"/>
      <c r="PUF17" s="25"/>
      <c r="PUM17" s="21"/>
      <c r="PUN17" s="21"/>
      <c r="PUR17" s="15"/>
      <c r="PUX17" s="25"/>
      <c r="PVE17" s="21"/>
      <c r="PVF17" s="21"/>
      <c r="PVJ17" s="15"/>
      <c r="PVP17" s="25"/>
      <c r="PVW17" s="21"/>
      <c r="PVX17" s="21"/>
      <c r="PWB17" s="15"/>
      <c r="PWH17" s="25"/>
      <c r="PWO17" s="21"/>
      <c r="PWP17" s="21"/>
      <c r="PWT17" s="15"/>
      <c r="PWZ17" s="25"/>
      <c r="PXG17" s="21"/>
      <c r="PXH17" s="21"/>
      <c r="PXL17" s="15"/>
      <c r="PXR17" s="25"/>
      <c r="PXY17" s="21"/>
      <c r="PXZ17" s="21"/>
      <c r="PYD17" s="15"/>
      <c r="PYJ17" s="25"/>
      <c r="PYQ17" s="21"/>
      <c r="PYR17" s="21"/>
      <c r="PYV17" s="15"/>
      <c r="PZB17" s="25"/>
      <c r="PZI17" s="21"/>
      <c r="PZJ17" s="21"/>
      <c r="PZN17" s="15"/>
      <c r="PZT17" s="25"/>
      <c r="QAA17" s="21"/>
      <c r="QAB17" s="21"/>
      <c r="QAF17" s="15"/>
      <c r="QAL17" s="25"/>
      <c r="QAS17" s="21"/>
      <c r="QAT17" s="21"/>
      <c r="QAX17" s="15"/>
      <c r="QBD17" s="25"/>
      <c r="QBK17" s="21"/>
      <c r="QBL17" s="21"/>
      <c r="QBP17" s="15"/>
      <c r="QBV17" s="25"/>
      <c r="QCC17" s="21"/>
      <c r="QCD17" s="21"/>
      <c r="QCH17" s="15"/>
      <c r="QCN17" s="25"/>
      <c r="QCU17" s="21"/>
      <c r="QCV17" s="21"/>
      <c r="QCZ17" s="15"/>
      <c r="QDF17" s="25"/>
      <c r="QDM17" s="21"/>
      <c r="QDN17" s="21"/>
      <c r="QDR17" s="15"/>
      <c r="QDX17" s="25"/>
      <c r="QEE17" s="21"/>
      <c r="QEF17" s="21"/>
      <c r="QEJ17" s="15"/>
      <c r="QEP17" s="25"/>
      <c r="QEW17" s="21"/>
      <c r="QEX17" s="21"/>
      <c r="QFB17" s="15"/>
      <c r="QFH17" s="25"/>
      <c r="QFO17" s="21"/>
      <c r="QFP17" s="21"/>
      <c r="QFT17" s="15"/>
      <c r="QFZ17" s="25"/>
      <c r="QGG17" s="21"/>
      <c r="QGH17" s="21"/>
      <c r="QGL17" s="15"/>
      <c r="QGR17" s="25"/>
      <c r="QGY17" s="21"/>
      <c r="QGZ17" s="21"/>
      <c r="QHD17" s="15"/>
      <c r="QHJ17" s="25"/>
      <c r="QHQ17" s="21"/>
      <c r="QHR17" s="21"/>
      <c r="QHV17" s="15"/>
      <c r="QIB17" s="25"/>
      <c r="QII17" s="21"/>
      <c r="QIJ17" s="21"/>
      <c r="QIN17" s="15"/>
      <c r="QIT17" s="25"/>
      <c r="QJA17" s="21"/>
      <c r="QJB17" s="21"/>
      <c r="QJF17" s="15"/>
      <c r="QJL17" s="25"/>
      <c r="QJS17" s="21"/>
      <c r="QJT17" s="21"/>
      <c r="QJX17" s="15"/>
      <c r="QKD17" s="25"/>
      <c r="QKK17" s="21"/>
      <c r="QKL17" s="21"/>
      <c r="QKP17" s="15"/>
      <c r="QKV17" s="25"/>
      <c r="QLC17" s="21"/>
      <c r="QLD17" s="21"/>
      <c r="QLH17" s="15"/>
      <c r="QLN17" s="25"/>
      <c r="QLU17" s="21"/>
      <c r="QLV17" s="21"/>
      <c r="QLZ17" s="15"/>
      <c r="QMF17" s="25"/>
      <c r="QMM17" s="21"/>
      <c r="QMN17" s="21"/>
      <c r="QMR17" s="15"/>
      <c r="QMX17" s="25"/>
      <c r="QNE17" s="21"/>
      <c r="QNF17" s="21"/>
      <c r="QNJ17" s="15"/>
      <c r="QNP17" s="25"/>
      <c r="QNW17" s="21"/>
      <c r="QNX17" s="21"/>
      <c r="QOB17" s="15"/>
      <c r="QOH17" s="25"/>
      <c r="QOO17" s="21"/>
      <c r="QOP17" s="21"/>
      <c r="QOT17" s="15"/>
      <c r="QOZ17" s="25"/>
      <c r="QPG17" s="21"/>
      <c r="QPH17" s="21"/>
      <c r="QPL17" s="15"/>
      <c r="QPR17" s="25"/>
      <c r="QPY17" s="21"/>
      <c r="QPZ17" s="21"/>
      <c r="QQD17" s="15"/>
      <c r="QQJ17" s="25"/>
      <c r="QQQ17" s="21"/>
      <c r="QQR17" s="21"/>
      <c r="QQV17" s="15"/>
      <c r="QRB17" s="25"/>
      <c r="QRI17" s="21"/>
      <c r="QRJ17" s="21"/>
      <c r="QRN17" s="15"/>
      <c r="QRT17" s="25"/>
      <c r="QSA17" s="21"/>
      <c r="QSB17" s="21"/>
      <c r="QSF17" s="15"/>
      <c r="QSL17" s="25"/>
      <c r="QSS17" s="21"/>
      <c r="QST17" s="21"/>
      <c r="QSX17" s="15"/>
      <c r="QTD17" s="25"/>
      <c r="QTK17" s="21"/>
      <c r="QTL17" s="21"/>
      <c r="QTP17" s="15"/>
      <c r="QTV17" s="25"/>
      <c r="QUC17" s="21"/>
      <c r="QUD17" s="21"/>
      <c r="QUH17" s="15"/>
      <c r="QUN17" s="25"/>
      <c r="QUU17" s="21"/>
      <c r="QUV17" s="21"/>
      <c r="QUZ17" s="15"/>
      <c r="QVF17" s="25"/>
      <c r="QVM17" s="21"/>
      <c r="QVN17" s="21"/>
      <c r="QVR17" s="15"/>
      <c r="QVX17" s="25"/>
      <c r="QWE17" s="21"/>
      <c r="QWF17" s="21"/>
      <c r="QWJ17" s="15"/>
      <c r="QWP17" s="25"/>
      <c r="QWW17" s="21"/>
      <c r="QWX17" s="21"/>
      <c r="QXB17" s="15"/>
      <c r="QXH17" s="25"/>
      <c r="QXO17" s="21"/>
      <c r="QXP17" s="21"/>
      <c r="QXT17" s="15"/>
      <c r="QXZ17" s="25"/>
      <c r="QYG17" s="21"/>
      <c r="QYH17" s="21"/>
      <c r="QYL17" s="15"/>
      <c r="QYR17" s="25"/>
      <c r="QYY17" s="21"/>
      <c r="QYZ17" s="21"/>
      <c r="QZD17" s="15"/>
      <c r="QZJ17" s="25"/>
      <c r="QZQ17" s="21"/>
      <c r="QZR17" s="21"/>
      <c r="QZV17" s="15"/>
      <c r="RAB17" s="25"/>
      <c r="RAI17" s="21"/>
      <c r="RAJ17" s="21"/>
      <c r="RAN17" s="15"/>
      <c r="RAT17" s="25"/>
      <c r="RBA17" s="21"/>
      <c r="RBB17" s="21"/>
      <c r="RBF17" s="15"/>
      <c r="RBL17" s="25"/>
      <c r="RBS17" s="21"/>
      <c r="RBT17" s="21"/>
      <c r="RBX17" s="15"/>
      <c r="RCD17" s="25"/>
      <c r="RCK17" s="21"/>
      <c r="RCL17" s="21"/>
      <c r="RCP17" s="15"/>
      <c r="RCV17" s="25"/>
      <c r="RDC17" s="21"/>
      <c r="RDD17" s="21"/>
      <c r="RDH17" s="15"/>
      <c r="RDN17" s="25"/>
      <c r="RDU17" s="21"/>
      <c r="RDV17" s="21"/>
      <c r="RDZ17" s="15"/>
      <c r="REF17" s="25"/>
      <c r="REM17" s="21"/>
      <c r="REN17" s="21"/>
      <c r="RER17" s="15"/>
      <c r="REX17" s="25"/>
      <c r="RFE17" s="21"/>
      <c r="RFF17" s="21"/>
      <c r="RFJ17" s="15"/>
      <c r="RFP17" s="25"/>
      <c r="RFW17" s="21"/>
      <c r="RFX17" s="21"/>
      <c r="RGB17" s="15"/>
      <c r="RGH17" s="25"/>
      <c r="RGO17" s="21"/>
      <c r="RGP17" s="21"/>
      <c r="RGT17" s="15"/>
      <c r="RGZ17" s="25"/>
      <c r="RHG17" s="21"/>
      <c r="RHH17" s="21"/>
      <c r="RHL17" s="15"/>
      <c r="RHR17" s="25"/>
      <c r="RHY17" s="21"/>
      <c r="RHZ17" s="21"/>
      <c r="RID17" s="15"/>
      <c r="RIJ17" s="25"/>
      <c r="RIQ17" s="21"/>
      <c r="RIR17" s="21"/>
      <c r="RIV17" s="15"/>
      <c r="RJB17" s="25"/>
      <c r="RJI17" s="21"/>
      <c r="RJJ17" s="21"/>
      <c r="RJN17" s="15"/>
      <c r="RJT17" s="25"/>
      <c r="RKA17" s="21"/>
      <c r="RKB17" s="21"/>
      <c r="RKF17" s="15"/>
      <c r="RKL17" s="25"/>
      <c r="RKS17" s="21"/>
      <c r="RKT17" s="21"/>
      <c r="RKX17" s="15"/>
      <c r="RLD17" s="25"/>
      <c r="RLK17" s="21"/>
      <c r="RLL17" s="21"/>
      <c r="RLP17" s="15"/>
      <c r="RLV17" s="25"/>
      <c r="RMC17" s="21"/>
      <c r="RMD17" s="21"/>
      <c r="RMH17" s="15"/>
      <c r="RMN17" s="25"/>
      <c r="RMU17" s="21"/>
      <c r="RMV17" s="21"/>
      <c r="RMZ17" s="15"/>
      <c r="RNF17" s="25"/>
      <c r="RNM17" s="21"/>
      <c r="RNN17" s="21"/>
      <c r="RNR17" s="15"/>
      <c r="RNX17" s="25"/>
      <c r="ROE17" s="21"/>
      <c r="ROF17" s="21"/>
      <c r="ROJ17" s="15"/>
      <c r="ROP17" s="25"/>
      <c r="ROW17" s="21"/>
      <c r="ROX17" s="21"/>
      <c r="RPB17" s="15"/>
      <c r="RPH17" s="25"/>
      <c r="RPO17" s="21"/>
      <c r="RPP17" s="21"/>
      <c r="RPT17" s="15"/>
      <c r="RPZ17" s="25"/>
      <c r="RQG17" s="21"/>
      <c r="RQH17" s="21"/>
      <c r="RQL17" s="15"/>
      <c r="RQR17" s="25"/>
      <c r="RQY17" s="21"/>
      <c r="RQZ17" s="21"/>
      <c r="RRD17" s="15"/>
      <c r="RRJ17" s="25"/>
      <c r="RRQ17" s="21"/>
      <c r="RRR17" s="21"/>
      <c r="RRV17" s="15"/>
      <c r="RSB17" s="25"/>
      <c r="RSI17" s="21"/>
      <c r="RSJ17" s="21"/>
      <c r="RSN17" s="15"/>
      <c r="RST17" s="25"/>
      <c r="RTA17" s="21"/>
      <c r="RTB17" s="21"/>
      <c r="RTF17" s="15"/>
      <c r="RTL17" s="25"/>
      <c r="RTS17" s="21"/>
      <c r="RTT17" s="21"/>
      <c r="RTX17" s="15"/>
      <c r="RUD17" s="25"/>
      <c r="RUK17" s="21"/>
      <c r="RUL17" s="21"/>
      <c r="RUP17" s="15"/>
      <c r="RUV17" s="25"/>
      <c r="RVC17" s="21"/>
      <c r="RVD17" s="21"/>
      <c r="RVH17" s="15"/>
      <c r="RVN17" s="25"/>
      <c r="RVU17" s="21"/>
      <c r="RVV17" s="21"/>
      <c r="RVZ17" s="15"/>
      <c r="RWF17" s="25"/>
      <c r="RWM17" s="21"/>
      <c r="RWN17" s="21"/>
      <c r="RWR17" s="15"/>
      <c r="RWX17" s="25"/>
      <c r="RXE17" s="21"/>
      <c r="RXF17" s="21"/>
      <c r="RXJ17" s="15"/>
      <c r="RXP17" s="25"/>
      <c r="RXW17" s="21"/>
      <c r="RXX17" s="21"/>
      <c r="RYB17" s="15"/>
      <c r="RYH17" s="25"/>
      <c r="RYO17" s="21"/>
      <c r="RYP17" s="21"/>
      <c r="RYT17" s="15"/>
      <c r="RYZ17" s="25"/>
      <c r="RZG17" s="21"/>
      <c r="RZH17" s="21"/>
      <c r="RZL17" s="15"/>
      <c r="RZR17" s="25"/>
      <c r="RZY17" s="21"/>
      <c r="RZZ17" s="21"/>
      <c r="SAD17" s="15"/>
      <c r="SAJ17" s="25"/>
      <c r="SAQ17" s="21"/>
      <c r="SAR17" s="21"/>
      <c r="SAV17" s="15"/>
      <c r="SBB17" s="25"/>
      <c r="SBI17" s="21"/>
      <c r="SBJ17" s="21"/>
      <c r="SBN17" s="15"/>
      <c r="SBT17" s="25"/>
      <c r="SCA17" s="21"/>
      <c r="SCB17" s="21"/>
      <c r="SCF17" s="15"/>
      <c r="SCL17" s="25"/>
      <c r="SCS17" s="21"/>
      <c r="SCT17" s="21"/>
      <c r="SCX17" s="15"/>
      <c r="SDD17" s="25"/>
      <c r="SDK17" s="21"/>
      <c r="SDL17" s="21"/>
      <c r="SDP17" s="15"/>
      <c r="SDV17" s="25"/>
      <c r="SEC17" s="21"/>
      <c r="SED17" s="21"/>
      <c r="SEH17" s="15"/>
      <c r="SEN17" s="25"/>
      <c r="SEU17" s="21"/>
      <c r="SEV17" s="21"/>
      <c r="SEZ17" s="15"/>
      <c r="SFF17" s="25"/>
      <c r="SFM17" s="21"/>
      <c r="SFN17" s="21"/>
      <c r="SFR17" s="15"/>
      <c r="SFX17" s="25"/>
      <c r="SGE17" s="21"/>
      <c r="SGF17" s="21"/>
      <c r="SGJ17" s="15"/>
      <c r="SGP17" s="25"/>
      <c r="SGW17" s="21"/>
      <c r="SGX17" s="21"/>
      <c r="SHB17" s="15"/>
      <c r="SHH17" s="25"/>
      <c r="SHO17" s="21"/>
      <c r="SHP17" s="21"/>
      <c r="SHT17" s="15"/>
      <c r="SHZ17" s="25"/>
      <c r="SIG17" s="21"/>
      <c r="SIH17" s="21"/>
      <c r="SIL17" s="15"/>
      <c r="SIR17" s="25"/>
      <c r="SIY17" s="21"/>
      <c r="SIZ17" s="21"/>
      <c r="SJD17" s="15"/>
      <c r="SJJ17" s="25"/>
      <c r="SJQ17" s="21"/>
      <c r="SJR17" s="21"/>
      <c r="SJV17" s="15"/>
      <c r="SKB17" s="25"/>
      <c r="SKI17" s="21"/>
      <c r="SKJ17" s="21"/>
      <c r="SKN17" s="15"/>
      <c r="SKT17" s="25"/>
      <c r="SLA17" s="21"/>
      <c r="SLB17" s="21"/>
      <c r="SLF17" s="15"/>
      <c r="SLL17" s="25"/>
      <c r="SLS17" s="21"/>
      <c r="SLT17" s="21"/>
      <c r="SLX17" s="15"/>
      <c r="SMD17" s="25"/>
      <c r="SMK17" s="21"/>
      <c r="SML17" s="21"/>
      <c r="SMP17" s="15"/>
      <c r="SMV17" s="25"/>
      <c r="SNC17" s="21"/>
      <c r="SND17" s="21"/>
      <c r="SNH17" s="15"/>
      <c r="SNN17" s="25"/>
      <c r="SNU17" s="21"/>
      <c r="SNV17" s="21"/>
      <c r="SNZ17" s="15"/>
      <c r="SOF17" s="25"/>
      <c r="SOM17" s="21"/>
      <c r="SON17" s="21"/>
      <c r="SOR17" s="15"/>
      <c r="SOX17" s="25"/>
      <c r="SPE17" s="21"/>
      <c r="SPF17" s="21"/>
      <c r="SPJ17" s="15"/>
      <c r="SPP17" s="25"/>
      <c r="SPW17" s="21"/>
      <c r="SPX17" s="21"/>
      <c r="SQB17" s="15"/>
      <c r="SQH17" s="25"/>
      <c r="SQO17" s="21"/>
      <c r="SQP17" s="21"/>
      <c r="SQT17" s="15"/>
      <c r="SQZ17" s="25"/>
      <c r="SRG17" s="21"/>
      <c r="SRH17" s="21"/>
      <c r="SRL17" s="15"/>
      <c r="SRR17" s="25"/>
      <c r="SRY17" s="21"/>
      <c r="SRZ17" s="21"/>
      <c r="SSD17" s="15"/>
      <c r="SSJ17" s="25"/>
      <c r="SSQ17" s="21"/>
      <c r="SSR17" s="21"/>
      <c r="SSV17" s="15"/>
      <c r="STB17" s="25"/>
      <c r="STI17" s="21"/>
      <c r="STJ17" s="21"/>
      <c r="STN17" s="15"/>
      <c r="STT17" s="25"/>
      <c r="SUA17" s="21"/>
      <c r="SUB17" s="21"/>
      <c r="SUF17" s="15"/>
      <c r="SUL17" s="25"/>
      <c r="SUS17" s="21"/>
      <c r="SUT17" s="21"/>
      <c r="SUX17" s="15"/>
      <c r="SVD17" s="25"/>
      <c r="SVK17" s="21"/>
      <c r="SVL17" s="21"/>
      <c r="SVP17" s="15"/>
      <c r="SVV17" s="25"/>
      <c r="SWC17" s="21"/>
      <c r="SWD17" s="21"/>
      <c r="SWH17" s="15"/>
      <c r="SWN17" s="25"/>
      <c r="SWU17" s="21"/>
      <c r="SWV17" s="21"/>
      <c r="SWZ17" s="15"/>
      <c r="SXF17" s="25"/>
      <c r="SXM17" s="21"/>
      <c r="SXN17" s="21"/>
      <c r="SXR17" s="15"/>
      <c r="SXX17" s="25"/>
      <c r="SYE17" s="21"/>
      <c r="SYF17" s="21"/>
      <c r="SYJ17" s="15"/>
      <c r="SYP17" s="25"/>
      <c r="SYW17" s="21"/>
      <c r="SYX17" s="21"/>
      <c r="SZB17" s="15"/>
      <c r="SZH17" s="25"/>
      <c r="SZO17" s="21"/>
      <c r="SZP17" s="21"/>
      <c r="SZT17" s="15"/>
      <c r="SZZ17" s="25"/>
      <c r="TAG17" s="21"/>
      <c r="TAH17" s="21"/>
      <c r="TAL17" s="15"/>
      <c r="TAR17" s="25"/>
      <c r="TAY17" s="21"/>
      <c r="TAZ17" s="21"/>
      <c r="TBD17" s="15"/>
      <c r="TBJ17" s="25"/>
      <c r="TBQ17" s="21"/>
      <c r="TBR17" s="21"/>
      <c r="TBV17" s="15"/>
      <c r="TCB17" s="25"/>
      <c r="TCI17" s="21"/>
      <c r="TCJ17" s="21"/>
      <c r="TCN17" s="15"/>
      <c r="TCT17" s="25"/>
      <c r="TDA17" s="21"/>
      <c r="TDB17" s="21"/>
      <c r="TDF17" s="15"/>
      <c r="TDL17" s="25"/>
      <c r="TDS17" s="21"/>
      <c r="TDT17" s="21"/>
      <c r="TDX17" s="15"/>
      <c r="TED17" s="25"/>
      <c r="TEK17" s="21"/>
      <c r="TEL17" s="21"/>
      <c r="TEP17" s="15"/>
      <c r="TEV17" s="25"/>
      <c r="TFC17" s="21"/>
      <c r="TFD17" s="21"/>
      <c r="TFH17" s="15"/>
      <c r="TFN17" s="25"/>
      <c r="TFU17" s="21"/>
      <c r="TFV17" s="21"/>
      <c r="TFZ17" s="15"/>
      <c r="TGF17" s="25"/>
      <c r="TGM17" s="21"/>
      <c r="TGN17" s="21"/>
      <c r="TGR17" s="15"/>
      <c r="TGX17" s="25"/>
      <c r="THE17" s="21"/>
      <c r="THF17" s="21"/>
      <c r="THJ17" s="15"/>
      <c r="THP17" s="25"/>
      <c r="THW17" s="21"/>
      <c r="THX17" s="21"/>
      <c r="TIB17" s="15"/>
      <c r="TIH17" s="25"/>
      <c r="TIO17" s="21"/>
      <c r="TIP17" s="21"/>
      <c r="TIT17" s="15"/>
      <c r="TIZ17" s="25"/>
      <c r="TJG17" s="21"/>
      <c r="TJH17" s="21"/>
      <c r="TJL17" s="15"/>
      <c r="TJR17" s="25"/>
      <c r="TJY17" s="21"/>
      <c r="TJZ17" s="21"/>
      <c r="TKD17" s="15"/>
      <c r="TKJ17" s="25"/>
      <c r="TKQ17" s="21"/>
      <c r="TKR17" s="21"/>
      <c r="TKV17" s="15"/>
      <c r="TLB17" s="25"/>
      <c r="TLI17" s="21"/>
      <c r="TLJ17" s="21"/>
      <c r="TLN17" s="15"/>
      <c r="TLT17" s="25"/>
      <c r="TMA17" s="21"/>
      <c r="TMB17" s="21"/>
      <c r="TMF17" s="15"/>
      <c r="TML17" s="25"/>
      <c r="TMS17" s="21"/>
      <c r="TMT17" s="21"/>
      <c r="TMX17" s="15"/>
      <c r="TND17" s="25"/>
      <c r="TNK17" s="21"/>
      <c r="TNL17" s="21"/>
      <c r="TNP17" s="15"/>
      <c r="TNV17" s="25"/>
      <c r="TOC17" s="21"/>
      <c r="TOD17" s="21"/>
      <c r="TOH17" s="15"/>
      <c r="TON17" s="25"/>
      <c r="TOU17" s="21"/>
      <c r="TOV17" s="21"/>
      <c r="TOZ17" s="15"/>
      <c r="TPF17" s="25"/>
      <c r="TPM17" s="21"/>
      <c r="TPN17" s="21"/>
      <c r="TPR17" s="15"/>
      <c r="TPX17" s="25"/>
      <c r="TQE17" s="21"/>
      <c r="TQF17" s="21"/>
      <c r="TQJ17" s="15"/>
      <c r="TQP17" s="25"/>
      <c r="TQW17" s="21"/>
      <c r="TQX17" s="21"/>
      <c r="TRB17" s="15"/>
      <c r="TRH17" s="25"/>
      <c r="TRO17" s="21"/>
      <c r="TRP17" s="21"/>
      <c r="TRT17" s="15"/>
      <c r="TRZ17" s="25"/>
      <c r="TSG17" s="21"/>
      <c r="TSH17" s="21"/>
      <c r="TSL17" s="15"/>
      <c r="TSR17" s="25"/>
      <c r="TSY17" s="21"/>
      <c r="TSZ17" s="21"/>
      <c r="TTD17" s="15"/>
      <c r="TTJ17" s="25"/>
      <c r="TTQ17" s="21"/>
      <c r="TTR17" s="21"/>
      <c r="TTV17" s="15"/>
      <c r="TUB17" s="25"/>
      <c r="TUI17" s="21"/>
      <c r="TUJ17" s="21"/>
      <c r="TUN17" s="15"/>
      <c r="TUT17" s="25"/>
      <c r="TVA17" s="21"/>
      <c r="TVB17" s="21"/>
      <c r="TVF17" s="15"/>
      <c r="TVL17" s="25"/>
      <c r="TVS17" s="21"/>
      <c r="TVT17" s="21"/>
      <c r="TVX17" s="15"/>
      <c r="TWD17" s="25"/>
      <c r="TWK17" s="21"/>
      <c r="TWL17" s="21"/>
      <c r="TWP17" s="15"/>
      <c r="TWV17" s="25"/>
      <c r="TXC17" s="21"/>
      <c r="TXD17" s="21"/>
      <c r="TXH17" s="15"/>
      <c r="TXN17" s="25"/>
      <c r="TXU17" s="21"/>
      <c r="TXV17" s="21"/>
      <c r="TXZ17" s="15"/>
      <c r="TYF17" s="25"/>
      <c r="TYM17" s="21"/>
      <c r="TYN17" s="21"/>
      <c r="TYR17" s="15"/>
      <c r="TYX17" s="25"/>
      <c r="TZE17" s="21"/>
      <c r="TZF17" s="21"/>
      <c r="TZJ17" s="15"/>
      <c r="TZP17" s="25"/>
      <c r="TZW17" s="21"/>
      <c r="TZX17" s="21"/>
      <c r="UAB17" s="15"/>
      <c r="UAH17" s="25"/>
      <c r="UAO17" s="21"/>
      <c r="UAP17" s="21"/>
      <c r="UAT17" s="15"/>
      <c r="UAZ17" s="25"/>
      <c r="UBG17" s="21"/>
      <c r="UBH17" s="21"/>
      <c r="UBL17" s="15"/>
      <c r="UBR17" s="25"/>
      <c r="UBY17" s="21"/>
      <c r="UBZ17" s="21"/>
      <c r="UCD17" s="15"/>
      <c r="UCJ17" s="25"/>
      <c r="UCQ17" s="21"/>
      <c r="UCR17" s="21"/>
      <c r="UCV17" s="15"/>
      <c r="UDB17" s="25"/>
      <c r="UDI17" s="21"/>
      <c r="UDJ17" s="21"/>
      <c r="UDN17" s="15"/>
      <c r="UDT17" s="25"/>
      <c r="UEA17" s="21"/>
      <c r="UEB17" s="21"/>
      <c r="UEF17" s="15"/>
      <c r="UEL17" s="25"/>
      <c r="UES17" s="21"/>
      <c r="UET17" s="21"/>
      <c r="UEX17" s="15"/>
      <c r="UFD17" s="25"/>
      <c r="UFK17" s="21"/>
      <c r="UFL17" s="21"/>
      <c r="UFP17" s="15"/>
      <c r="UFV17" s="25"/>
      <c r="UGC17" s="21"/>
      <c r="UGD17" s="21"/>
      <c r="UGH17" s="15"/>
      <c r="UGN17" s="25"/>
      <c r="UGU17" s="21"/>
      <c r="UGV17" s="21"/>
      <c r="UGZ17" s="15"/>
      <c r="UHF17" s="25"/>
      <c r="UHM17" s="21"/>
      <c r="UHN17" s="21"/>
      <c r="UHR17" s="15"/>
      <c r="UHX17" s="25"/>
      <c r="UIE17" s="21"/>
      <c r="UIF17" s="21"/>
      <c r="UIJ17" s="15"/>
      <c r="UIP17" s="25"/>
      <c r="UIW17" s="21"/>
      <c r="UIX17" s="21"/>
      <c r="UJB17" s="15"/>
      <c r="UJH17" s="25"/>
      <c r="UJO17" s="21"/>
      <c r="UJP17" s="21"/>
      <c r="UJT17" s="15"/>
      <c r="UJZ17" s="25"/>
      <c r="UKG17" s="21"/>
      <c r="UKH17" s="21"/>
      <c r="UKL17" s="15"/>
      <c r="UKR17" s="25"/>
      <c r="UKY17" s="21"/>
      <c r="UKZ17" s="21"/>
      <c r="ULD17" s="15"/>
      <c r="ULJ17" s="25"/>
      <c r="ULQ17" s="21"/>
      <c r="ULR17" s="21"/>
      <c r="ULV17" s="15"/>
      <c r="UMB17" s="25"/>
      <c r="UMI17" s="21"/>
      <c r="UMJ17" s="21"/>
      <c r="UMN17" s="15"/>
      <c r="UMT17" s="25"/>
      <c r="UNA17" s="21"/>
      <c r="UNB17" s="21"/>
      <c r="UNF17" s="15"/>
      <c r="UNL17" s="25"/>
      <c r="UNS17" s="21"/>
      <c r="UNT17" s="21"/>
      <c r="UNX17" s="15"/>
      <c r="UOD17" s="25"/>
      <c r="UOK17" s="21"/>
      <c r="UOL17" s="21"/>
      <c r="UOP17" s="15"/>
      <c r="UOV17" s="25"/>
      <c r="UPC17" s="21"/>
      <c r="UPD17" s="21"/>
      <c r="UPH17" s="15"/>
      <c r="UPN17" s="25"/>
      <c r="UPU17" s="21"/>
      <c r="UPV17" s="21"/>
      <c r="UPZ17" s="15"/>
      <c r="UQF17" s="25"/>
      <c r="UQM17" s="21"/>
      <c r="UQN17" s="21"/>
      <c r="UQR17" s="15"/>
      <c r="UQX17" s="25"/>
      <c r="URE17" s="21"/>
      <c r="URF17" s="21"/>
      <c r="URJ17" s="15"/>
      <c r="URP17" s="25"/>
      <c r="URW17" s="21"/>
      <c r="URX17" s="21"/>
      <c r="USB17" s="15"/>
      <c r="USH17" s="25"/>
      <c r="USO17" s="21"/>
      <c r="USP17" s="21"/>
      <c r="UST17" s="15"/>
      <c r="USZ17" s="25"/>
      <c r="UTG17" s="21"/>
      <c r="UTH17" s="21"/>
      <c r="UTL17" s="15"/>
      <c r="UTR17" s="25"/>
      <c r="UTY17" s="21"/>
      <c r="UTZ17" s="21"/>
      <c r="UUD17" s="15"/>
      <c r="UUJ17" s="25"/>
      <c r="UUQ17" s="21"/>
      <c r="UUR17" s="21"/>
      <c r="UUV17" s="15"/>
      <c r="UVB17" s="25"/>
      <c r="UVI17" s="21"/>
      <c r="UVJ17" s="21"/>
      <c r="UVN17" s="15"/>
      <c r="UVT17" s="25"/>
      <c r="UWA17" s="21"/>
      <c r="UWB17" s="21"/>
      <c r="UWF17" s="15"/>
      <c r="UWL17" s="25"/>
      <c r="UWS17" s="21"/>
      <c r="UWT17" s="21"/>
      <c r="UWX17" s="15"/>
      <c r="UXD17" s="25"/>
      <c r="UXK17" s="21"/>
      <c r="UXL17" s="21"/>
      <c r="UXP17" s="15"/>
      <c r="UXV17" s="25"/>
      <c r="UYC17" s="21"/>
      <c r="UYD17" s="21"/>
      <c r="UYH17" s="15"/>
      <c r="UYN17" s="25"/>
      <c r="UYU17" s="21"/>
      <c r="UYV17" s="21"/>
      <c r="UYZ17" s="15"/>
      <c r="UZF17" s="25"/>
      <c r="UZM17" s="21"/>
      <c r="UZN17" s="21"/>
      <c r="UZR17" s="15"/>
      <c r="UZX17" s="25"/>
      <c r="VAE17" s="21"/>
      <c r="VAF17" s="21"/>
      <c r="VAJ17" s="15"/>
      <c r="VAP17" s="25"/>
      <c r="VAW17" s="21"/>
      <c r="VAX17" s="21"/>
      <c r="VBB17" s="15"/>
      <c r="VBH17" s="25"/>
      <c r="VBO17" s="21"/>
      <c r="VBP17" s="21"/>
      <c r="VBT17" s="15"/>
      <c r="VBZ17" s="25"/>
      <c r="VCG17" s="21"/>
      <c r="VCH17" s="21"/>
      <c r="VCL17" s="15"/>
      <c r="VCR17" s="25"/>
      <c r="VCY17" s="21"/>
      <c r="VCZ17" s="21"/>
      <c r="VDD17" s="15"/>
      <c r="VDJ17" s="25"/>
      <c r="VDQ17" s="21"/>
      <c r="VDR17" s="21"/>
      <c r="VDV17" s="15"/>
      <c r="VEB17" s="25"/>
      <c r="VEI17" s="21"/>
      <c r="VEJ17" s="21"/>
      <c r="VEN17" s="15"/>
      <c r="VET17" s="25"/>
      <c r="VFA17" s="21"/>
      <c r="VFB17" s="21"/>
      <c r="VFF17" s="15"/>
      <c r="VFL17" s="25"/>
      <c r="VFS17" s="21"/>
      <c r="VFT17" s="21"/>
      <c r="VFX17" s="15"/>
      <c r="VGD17" s="25"/>
      <c r="VGK17" s="21"/>
      <c r="VGL17" s="21"/>
      <c r="VGP17" s="15"/>
      <c r="VGV17" s="25"/>
      <c r="VHC17" s="21"/>
      <c r="VHD17" s="21"/>
      <c r="VHH17" s="15"/>
      <c r="VHN17" s="25"/>
      <c r="VHU17" s="21"/>
      <c r="VHV17" s="21"/>
      <c r="VHZ17" s="15"/>
      <c r="VIF17" s="25"/>
      <c r="VIM17" s="21"/>
      <c r="VIN17" s="21"/>
      <c r="VIR17" s="15"/>
      <c r="VIX17" s="25"/>
      <c r="VJE17" s="21"/>
      <c r="VJF17" s="21"/>
      <c r="VJJ17" s="15"/>
      <c r="VJP17" s="25"/>
      <c r="VJW17" s="21"/>
      <c r="VJX17" s="21"/>
      <c r="VKB17" s="15"/>
      <c r="VKH17" s="25"/>
      <c r="VKO17" s="21"/>
      <c r="VKP17" s="21"/>
      <c r="VKT17" s="15"/>
      <c r="VKZ17" s="25"/>
      <c r="VLG17" s="21"/>
      <c r="VLH17" s="21"/>
      <c r="VLL17" s="15"/>
      <c r="VLR17" s="25"/>
      <c r="VLY17" s="21"/>
      <c r="VLZ17" s="21"/>
      <c r="VMD17" s="15"/>
      <c r="VMJ17" s="25"/>
      <c r="VMQ17" s="21"/>
      <c r="VMR17" s="21"/>
      <c r="VMV17" s="15"/>
      <c r="VNB17" s="25"/>
      <c r="VNI17" s="21"/>
      <c r="VNJ17" s="21"/>
      <c r="VNN17" s="15"/>
      <c r="VNT17" s="25"/>
      <c r="VOA17" s="21"/>
      <c r="VOB17" s="21"/>
      <c r="VOF17" s="15"/>
      <c r="VOL17" s="25"/>
      <c r="VOS17" s="21"/>
      <c r="VOT17" s="21"/>
      <c r="VOX17" s="15"/>
      <c r="VPD17" s="25"/>
      <c r="VPK17" s="21"/>
      <c r="VPL17" s="21"/>
      <c r="VPP17" s="15"/>
      <c r="VPV17" s="25"/>
      <c r="VQC17" s="21"/>
      <c r="VQD17" s="21"/>
      <c r="VQH17" s="15"/>
      <c r="VQN17" s="25"/>
      <c r="VQU17" s="21"/>
      <c r="VQV17" s="21"/>
      <c r="VQZ17" s="15"/>
      <c r="VRF17" s="25"/>
      <c r="VRM17" s="21"/>
      <c r="VRN17" s="21"/>
      <c r="VRR17" s="15"/>
      <c r="VRX17" s="25"/>
      <c r="VSE17" s="21"/>
      <c r="VSF17" s="21"/>
      <c r="VSJ17" s="15"/>
      <c r="VSP17" s="25"/>
      <c r="VSW17" s="21"/>
      <c r="VSX17" s="21"/>
      <c r="VTB17" s="15"/>
      <c r="VTH17" s="25"/>
      <c r="VTO17" s="21"/>
      <c r="VTP17" s="21"/>
      <c r="VTT17" s="15"/>
      <c r="VTZ17" s="25"/>
      <c r="VUG17" s="21"/>
      <c r="VUH17" s="21"/>
      <c r="VUL17" s="15"/>
      <c r="VUR17" s="25"/>
      <c r="VUY17" s="21"/>
      <c r="VUZ17" s="21"/>
      <c r="VVD17" s="15"/>
      <c r="VVJ17" s="25"/>
      <c r="VVQ17" s="21"/>
      <c r="VVR17" s="21"/>
      <c r="VVV17" s="15"/>
      <c r="VWB17" s="25"/>
      <c r="VWI17" s="21"/>
      <c r="VWJ17" s="21"/>
      <c r="VWN17" s="15"/>
      <c r="VWT17" s="25"/>
      <c r="VXA17" s="21"/>
      <c r="VXB17" s="21"/>
      <c r="VXF17" s="15"/>
      <c r="VXL17" s="25"/>
      <c r="VXS17" s="21"/>
      <c r="VXT17" s="21"/>
      <c r="VXX17" s="15"/>
      <c r="VYD17" s="25"/>
      <c r="VYK17" s="21"/>
      <c r="VYL17" s="21"/>
      <c r="VYP17" s="15"/>
      <c r="VYV17" s="25"/>
      <c r="VZC17" s="21"/>
      <c r="VZD17" s="21"/>
      <c r="VZH17" s="15"/>
      <c r="VZN17" s="25"/>
      <c r="VZU17" s="21"/>
      <c r="VZV17" s="21"/>
      <c r="VZZ17" s="15"/>
      <c r="WAF17" s="25"/>
      <c r="WAM17" s="21"/>
      <c r="WAN17" s="21"/>
      <c r="WAR17" s="15"/>
      <c r="WAX17" s="25"/>
      <c r="WBE17" s="21"/>
      <c r="WBF17" s="21"/>
      <c r="WBJ17" s="15"/>
      <c r="WBP17" s="25"/>
      <c r="WBW17" s="21"/>
      <c r="WBX17" s="21"/>
      <c r="WCB17" s="15"/>
      <c r="WCH17" s="25"/>
      <c r="WCO17" s="21"/>
      <c r="WCP17" s="21"/>
      <c r="WCT17" s="15"/>
      <c r="WCZ17" s="25"/>
      <c r="WDG17" s="21"/>
      <c r="WDH17" s="21"/>
      <c r="WDL17" s="15"/>
      <c r="WDR17" s="25"/>
      <c r="WDY17" s="21"/>
      <c r="WDZ17" s="21"/>
      <c r="WED17" s="15"/>
      <c r="WEJ17" s="25"/>
      <c r="WEQ17" s="21"/>
      <c r="WER17" s="21"/>
      <c r="WEV17" s="15"/>
      <c r="WFB17" s="25"/>
      <c r="WFI17" s="21"/>
      <c r="WFJ17" s="21"/>
      <c r="WFN17" s="15"/>
      <c r="WFT17" s="25"/>
      <c r="WGA17" s="21"/>
      <c r="WGB17" s="21"/>
      <c r="WGF17" s="15"/>
      <c r="WGL17" s="25"/>
      <c r="WGS17" s="21"/>
      <c r="WGT17" s="21"/>
      <c r="WGX17" s="15"/>
      <c r="WHD17" s="25"/>
      <c r="WHK17" s="21"/>
      <c r="WHL17" s="21"/>
      <c r="WHP17" s="15"/>
      <c r="WHV17" s="25"/>
      <c r="WIC17" s="21"/>
      <c r="WID17" s="21"/>
      <c r="WIH17" s="15"/>
      <c r="WIN17" s="25"/>
      <c r="WIU17" s="21"/>
      <c r="WIV17" s="21"/>
      <c r="WIZ17" s="15"/>
      <c r="WJF17" s="25"/>
      <c r="WJM17" s="21"/>
      <c r="WJN17" s="21"/>
      <c r="WJR17" s="15"/>
      <c r="WJX17" s="25"/>
      <c r="WKE17" s="21"/>
      <c r="WKF17" s="21"/>
      <c r="WKJ17" s="15"/>
      <c r="WKP17" s="25"/>
      <c r="WKW17" s="21"/>
      <c r="WKX17" s="21"/>
      <c r="WLB17" s="15"/>
      <c r="WLH17" s="25"/>
      <c r="WLO17" s="21"/>
      <c r="WLP17" s="21"/>
      <c r="WLT17" s="15"/>
      <c r="WLZ17" s="25"/>
      <c r="WMG17" s="21"/>
      <c r="WMH17" s="21"/>
      <c r="WML17" s="15"/>
      <c r="WMR17" s="25"/>
      <c r="WMY17" s="21"/>
      <c r="WMZ17" s="21"/>
      <c r="WND17" s="15"/>
      <c r="WNJ17" s="25"/>
      <c r="WNQ17" s="21"/>
      <c r="WNR17" s="21"/>
      <c r="WNV17" s="15"/>
      <c r="WOB17" s="25"/>
      <c r="WOI17" s="21"/>
      <c r="WOJ17" s="21"/>
      <c r="WON17" s="15"/>
      <c r="WOT17" s="25"/>
      <c r="WPA17" s="21"/>
      <c r="WPB17" s="21"/>
      <c r="WPF17" s="15"/>
      <c r="WPL17" s="25"/>
      <c r="WPS17" s="21"/>
      <c r="WPT17" s="21"/>
      <c r="WPX17" s="15"/>
      <c r="WQD17" s="25"/>
      <c r="WQK17" s="21"/>
      <c r="WQL17" s="21"/>
      <c r="WQP17" s="15"/>
      <c r="WQV17" s="25"/>
      <c r="WRC17" s="21"/>
      <c r="WRD17" s="21"/>
      <c r="WRH17" s="15"/>
      <c r="WRN17" s="25"/>
      <c r="WRU17" s="21"/>
      <c r="WRV17" s="21"/>
      <c r="WRZ17" s="15"/>
      <c r="WSF17" s="25"/>
      <c r="WSM17" s="21"/>
      <c r="WSN17" s="21"/>
      <c r="WSR17" s="15"/>
      <c r="WSX17" s="25"/>
      <c r="WTE17" s="21"/>
      <c r="WTF17" s="21"/>
      <c r="WTJ17" s="15"/>
      <c r="WTP17" s="25"/>
      <c r="WTW17" s="21"/>
      <c r="WTX17" s="21"/>
      <c r="WUB17" s="15"/>
      <c r="WUH17" s="25"/>
      <c r="WUO17" s="21"/>
      <c r="WUP17" s="21"/>
      <c r="WUT17" s="15"/>
      <c r="WUZ17" s="25"/>
      <c r="WVG17" s="21"/>
      <c r="WVH17" s="21"/>
      <c r="WVL17" s="15"/>
      <c r="WVR17" s="25"/>
      <c r="WVY17" s="21"/>
      <c r="WVZ17" s="21"/>
      <c r="WWD17" s="15"/>
      <c r="WWJ17" s="25"/>
      <c r="WWQ17" s="21"/>
      <c r="WWR17" s="21"/>
      <c r="WWV17" s="15"/>
      <c r="WXB17" s="25"/>
      <c r="WXI17" s="21"/>
      <c r="WXJ17" s="21"/>
      <c r="WXN17" s="15"/>
      <c r="WXT17" s="25"/>
      <c r="WYA17" s="21"/>
      <c r="WYB17" s="21"/>
      <c r="WYF17" s="15"/>
      <c r="WYL17" s="25"/>
      <c r="WYS17" s="21"/>
      <c r="WYT17" s="21"/>
      <c r="WYX17" s="15"/>
      <c r="WZD17" s="25"/>
      <c r="WZK17" s="21"/>
      <c r="WZL17" s="21"/>
      <c r="WZP17" s="15"/>
      <c r="WZV17" s="25"/>
      <c r="XAC17" s="21"/>
      <c r="XAD17" s="21"/>
      <c r="XAH17" s="15"/>
      <c r="XAN17" s="25"/>
      <c r="XAU17" s="21"/>
      <c r="XAV17" s="21"/>
      <c r="XAZ17" s="15"/>
      <c r="XBF17" s="25"/>
      <c r="XBM17" s="21"/>
      <c r="XBN17" s="21"/>
      <c r="XBR17" s="15"/>
      <c r="XBX17" s="25"/>
      <c r="XCE17" s="21"/>
      <c r="XCF17" s="21"/>
      <c r="XCJ17" s="15"/>
      <c r="XCP17" s="25"/>
      <c r="XCW17" s="21"/>
      <c r="XCX17" s="21"/>
      <c r="XDB17" s="15"/>
      <c r="XDH17" s="25"/>
      <c r="XDO17" s="21"/>
      <c r="XDP17" s="21"/>
      <c r="XDT17" s="15"/>
      <c r="XDZ17" s="25"/>
      <c r="XEG17" s="21"/>
      <c r="XEH17" s="21"/>
      <c r="XEL17" s="15"/>
      <c r="XER17" s="25"/>
      <c r="XEY17" s="21"/>
      <c r="XEZ17" s="21"/>
      <c r="XFD17" s="15"/>
    </row>
    <row r="18" spans="1:1018 1025:2044 2051:3070 3077:4096 4103:5116 5122:6142 6148:7168 7174:8190 8194:9216 9220:10234 10241:11260 11267:12286 12293:13312 13319:14332 14338:15358 15364:16384" s="24" customFormat="1">
      <c r="A18" s="21" t="s">
        <v>75</v>
      </c>
      <c r="B18" s="12">
        <v>2010</v>
      </c>
      <c r="C18" s="19" t="s">
        <v>53</v>
      </c>
      <c r="D18" s="22" t="s">
        <v>39</v>
      </c>
      <c r="E18" s="10" t="s">
        <v>76</v>
      </c>
      <c r="F18" s="19" t="s">
        <v>35</v>
      </c>
      <c r="G18" s="31">
        <v>19732689646.414902</v>
      </c>
      <c r="H18" s="31">
        <v>1985246699.8754668</v>
      </c>
      <c r="I18" s="12">
        <v>31</v>
      </c>
      <c r="J18" s="23" t="s">
        <v>77</v>
      </c>
      <c r="K18" s="22"/>
      <c r="L18" s="22"/>
      <c r="M18" s="22" t="s">
        <v>26</v>
      </c>
      <c r="N18" s="12"/>
      <c r="O18" s="22"/>
      <c r="P18" s="12"/>
      <c r="Q18" s="22" t="s">
        <v>27</v>
      </c>
      <c r="R18" s="22" t="s">
        <v>28</v>
      </c>
      <c r="V18" s="15"/>
      <c r="AB18" s="25"/>
      <c r="AI18" s="21"/>
      <c r="AJ18" s="21"/>
      <c r="AN18" s="15"/>
      <c r="AT18" s="25"/>
      <c r="BA18" s="21"/>
      <c r="BB18" s="21"/>
      <c r="BF18" s="15"/>
      <c r="BL18" s="25"/>
      <c r="BS18" s="21"/>
      <c r="BT18" s="21"/>
      <c r="BX18" s="15"/>
      <c r="CD18" s="25"/>
      <c r="CK18" s="21"/>
      <c r="CL18" s="21"/>
      <c r="CP18" s="15"/>
      <c r="CV18" s="25"/>
      <c r="DC18" s="21"/>
      <c r="DD18" s="21"/>
      <c r="DH18" s="15"/>
      <c r="DN18" s="25"/>
      <c r="DU18" s="21"/>
      <c r="DV18" s="21"/>
      <c r="DZ18" s="15"/>
      <c r="EF18" s="25"/>
      <c r="EM18" s="21"/>
      <c r="EN18" s="21"/>
      <c r="ER18" s="15"/>
      <c r="EX18" s="25"/>
      <c r="FE18" s="21"/>
      <c r="FF18" s="21"/>
      <c r="FJ18" s="15"/>
      <c r="FP18" s="25"/>
      <c r="FW18" s="21"/>
      <c r="FX18" s="21"/>
      <c r="GB18" s="15"/>
      <c r="GH18" s="25"/>
      <c r="GO18" s="21"/>
      <c r="GP18" s="21"/>
      <c r="GT18" s="15"/>
      <c r="GZ18" s="25"/>
      <c r="HG18" s="21"/>
      <c r="HH18" s="21"/>
      <c r="HL18" s="15"/>
      <c r="HR18" s="25"/>
      <c r="HY18" s="21"/>
      <c r="HZ18" s="21"/>
      <c r="ID18" s="15"/>
      <c r="IJ18" s="25"/>
      <c r="IQ18" s="21"/>
      <c r="IR18" s="21"/>
      <c r="IV18" s="15"/>
      <c r="JB18" s="25"/>
      <c r="JI18" s="21"/>
      <c r="JJ18" s="21"/>
      <c r="JN18" s="15"/>
      <c r="JT18" s="25"/>
      <c r="KA18" s="21"/>
      <c r="KB18" s="21"/>
      <c r="KF18" s="15"/>
      <c r="KL18" s="25"/>
      <c r="KS18" s="21"/>
      <c r="KT18" s="21"/>
      <c r="KX18" s="15"/>
      <c r="LD18" s="25"/>
      <c r="LK18" s="21"/>
      <c r="LL18" s="21"/>
      <c r="LP18" s="15"/>
      <c r="LV18" s="25"/>
      <c r="MC18" s="21"/>
      <c r="MD18" s="21"/>
      <c r="MH18" s="15"/>
      <c r="MN18" s="25"/>
      <c r="MU18" s="21"/>
      <c r="MV18" s="21"/>
      <c r="MZ18" s="15"/>
      <c r="NF18" s="25"/>
      <c r="NM18" s="21"/>
      <c r="NN18" s="21"/>
      <c r="NR18" s="15"/>
      <c r="NX18" s="25"/>
      <c r="OE18" s="21"/>
      <c r="OF18" s="21"/>
      <c r="OJ18" s="15"/>
      <c r="OP18" s="25"/>
      <c r="OW18" s="21"/>
      <c r="OX18" s="21"/>
      <c r="PB18" s="15"/>
      <c r="PH18" s="25"/>
      <c r="PO18" s="21"/>
      <c r="PP18" s="21"/>
      <c r="PT18" s="15"/>
      <c r="PZ18" s="25"/>
      <c r="QG18" s="21"/>
      <c r="QH18" s="21"/>
      <c r="QL18" s="15"/>
      <c r="QR18" s="25"/>
      <c r="QY18" s="21"/>
      <c r="QZ18" s="21"/>
      <c r="RD18" s="15"/>
      <c r="RJ18" s="25"/>
      <c r="RQ18" s="21"/>
      <c r="RR18" s="21"/>
      <c r="RV18" s="15"/>
      <c r="SB18" s="25"/>
      <c r="SI18" s="21"/>
      <c r="SJ18" s="21"/>
      <c r="SN18" s="15"/>
      <c r="ST18" s="25"/>
      <c r="TA18" s="21"/>
      <c r="TB18" s="21"/>
      <c r="TF18" s="15"/>
      <c r="TL18" s="25"/>
      <c r="TS18" s="21"/>
      <c r="TT18" s="21"/>
      <c r="TX18" s="15"/>
      <c r="UD18" s="25"/>
      <c r="UK18" s="21"/>
      <c r="UL18" s="21"/>
      <c r="UP18" s="15"/>
      <c r="UV18" s="25"/>
      <c r="VC18" s="21"/>
      <c r="VD18" s="21"/>
      <c r="VH18" s="15"/>
      <c r="VN18" s="25"/>
      <c r="VU18" s="21"/>
      <c r="VV18" s="21"/>
      <c r="VZ18" s="15"/>
      <c r="WF18" s="25"/>
      <c r="WM18" s="21"/>
      <c r="WN18" s="21"/>
      <c r="WR18" s="15"/>
      <c r="WX18" s="25"/>
      <c r="XE18" s="21"/>
      <c r="XF18" s="21"/>
      <c r="XJ18" s="15"/>
      <c r="XP18" s="25"/>
      <c r="XW18" s="21"/>
      <c r="XX18" s="21"/>
      <c r="YB18" s="15"/>
      <c r="YH18" s="25"/>
      <c r="YO18" s="21"/>
      <c r="YP18" s="21"/>
      <c r="YT18" s="15"/>
      <c r="YZ18" s="25"/>
      <c r="ZG18" s="21"/>
      <c r="ZH18" s="21"/>
      <c r="ZL18" s="15"/>
      <c r="ZR18" s="25"/>
      <c r="ZY18" s="21"/>
      <c r="ZZ18" s="21"/>
      <c r="AAD18" s="15"/>
      <c r="AAJ18" s="25"/>
      <c r="AAQ18" s="21"/>
      <c r="AAR18" s="21"/>
      <c r="AAV18" s="15"/>
      <c r="ABB18" s="25"/>
      <c r="ABI18" s="21"/>
      <c r="ABJ18" s="21"/>
      <c r="ABN18" s="15"/>
      <c r="ABT18" s="25"/>
      <c r="ACA18" s="21"/>
      <c r="ACB18" s="21"/>
      <c r="ACF18" s="15"/>
      <c r="ACL18" s="25"/>
      <c r="ACS18" s="21"/>
      <c r="ACT18" s="21"/>
      <c r="ACX18" s="15"/>
      <c r="ADD18" s="25"/>
      <c r="ADK18" s="21"/>
      <c r="ADL18" s="21"/>
      <c r="ADP18" s="15"/>
      <c r="ADV18" s="25"/>
      <c r="AEC18" s="21"/>
      <c r="AED18" s="21"/>
      <c r="AEH18" s="15"/>
      <c r="AEN18" s="25"/>
      <c r="AEU18" s="21"/>
      <c r="AEV18" s="21"/>
      <c r="AEZ18" s="15"/>
      <c r="AFF18" s="25"/>
      <c r="AFM18" s="21"/>
      <c r="AFN18" s="21"/>
      <c r="AFR18" s="15"/>
      <c r="AFX18" s="25"/>
      <c r="AGE18" s="21"/>
      <c r="AGF18" s="21"/>
      <c r="AGJ18" s="15"/>
      <c r="AGP18" s="25"/>
      <c r="AGW18" s="21"/>
      <c r="AGX18" s="21"/>
      <c r="AHB18" s="15"/>
      <c r="AHH18" s="25"/>
      <c r="AHO18" s="21"/>
      <c r="AHP18" s="21"/>
      <c r="AHT18" s="15"/>
      <c r="AHZ18" s="25"/>
      <c r="AIG18" s="21"/>
      <c r="AIH18" s="21"/>
      <c r="AIL18" s="15"/>
      <c r="AIR18" s="25"/>
      <c r="AIY18" s="21"/>
      <c r="AIZ18" s="21"/>
      <c r="AJD18" s="15"/>
      <c r="AJJ18" s="25"/>
      <c r="AJQ18" s="21"/>
      <c r="AJR18" s="21"/>
      <c r="AJV18" s="15"/>
      <c r="AKB18" s="25"/>
      <c r="AKI18" s="21"/>
      <c r="AKJ18" s="21"/>
      <c r="AKN18" s="15"/>
      <c r="AKT18" s="25"/>
      <c r="ALA18" s="21"/>
      <c r="ALB18" s="21"/>
      <c r="ALF18" s="15"/>
      <c r="ALL18" s="25"/>
      <c r="ALS18" s="21"/>
      <c r="ALT18" s="21"/>
      <c r="ALX18" s="15"/>
      <c r="AMD18" s="25"/>
      <c r="AMK18" s="21"/>
      <c r="AML18" s="21"/>
      <c r="AMP18" s="15"/>
      <c r="AMV18" s="25"/>
      <c r="ANC18" s="21"/>
      <c r="AND18" s="21"/>
      <c r="ANH18" s="15"/>
      <c r="ANN18" s="25"/>
      <c r="ANU18" s="21"/>
      <c r="ANV18" s="21"/>
      <c r="ANZ18" s="15"/>
      <c r="AOF18" s="25"/>
      <c r="AOM18" s="21"/>
      <c r="AON18" s="21"/>
      <c r="AOR18" s="15"/>
      <c r="AOX18" s="25"/>
      <c r="APE18" s="21"/>
      <c r="APF18" s="21"/>
      <c r="APJ18" s="15"/>
      <c r="APP18" s="25"/>
      <c r="APW18" s="21"/>
      <c r="APX18" s="21"/>
      <c r="AQB18" s="15"/>
      <c r="AQH18" s="25"/>
      <c r="AQO18" s="21"/>
      <c r="AQP18" s="21"/>
      <c r="AQT18" s="15"/>
      <c r="AQZ18" s="25"/>
      <c r="ARG18" s="21"/>
      <c r="ARH18" s="21"/>
      <c r="ARL18" s="15"/>
      <c r="ARR18" s="25"/>
      <c r="ARY18" s="21"/>
      <c r="ARZ18" s="21"/>
      <c r="ASD18" s="15"/>
      <c r="ASJ18" s="25"/>
      <c r="ASQ18" s="21"/>
      <c r="ASR18" s="21"/>
      <c r="ASV18" s="15"/>
      <c r="ATB18" s="25"/>
      <c r="ATI18" s="21"/>
      <c r="ATJ18" s="21"/>
      <c r="ATN18" s="15"/>
      <c r="ATT18" s="25"/>
      <c r="AUA18" s="21"/>
      <c r="AUB18" s="21"/>
      <c r="AUF18" s="15"/>
      <c r="AUL18" s="25"/>
      <c r="AUS18" s="21"/>
      <c r="AUT18" s="21"/>
      <c r="AUX18" s="15"/>
      <c r="AVD18" s="25"/>
      <c r="AVK18" s="21"/>
      <c r="AVL18" s="21"/>
      <c r="AVP18" s="15"/>
      <c r="AVV18" s="25"/>
      <c r="AWC18" s="21"/>
      <c r="AWD18" s="21"/>
      <c r="AWH18" s="15"/>
      <c r="AWN18" s="25"/>
      <c r="AWU18" s="21"/>
      <c r="AWV18" s="21"/>
      <c r="AWZ18" s="15"/>
      <c r="AXF18" s="25"/>
      <c r="AXM18" s="21"/>
      <c r="AXN18" s="21"/>
      <c r="AXR18" s="15"/>
      <c r="AXX18" s="25"/>
      <c r="AYE18" s="21"/>
      <c r="AYF18" s="21"/>
      <c r="AYJ18" s="15"/>
      <c r="AYP18" s="25"/>
      <c r="AYW18" s="21"/>
      <c r="AYX18" s="21"/>
      <c r="AZB18" s="15"/>
      <c r="AZH18" s="25"/>
      <c r="AZO18" s="21"/>
      <c r="AZP18" s="21"/>
      <c r="AZT18" s="15"/>
      <c r="AZZ18" s="25"/>
      <c r="BAG18" s="21"/>
      <c r="BAH18" s="21"/>
      <c r="BAL18" s="15"/>
      <c r="BAR18" s="25"/>
      <c r="BAY18" s="21"/>
      <c r="BAZ18" s="21"/>
      <c r="BBD18" s="15"/>
      <c r="BBJ18" s="25"/>
      <c r="BBQ18" s="21"/>
      <c r="BBR18" s="21"/>
      <c r="BBV18" s="15"/>
      <c r="BCB18" s="25"/>
      <c r="BCI18" s="21"/>
      <c r="BCJ18" s="21"/>
      <c r="BCN18" s="15"/>
      <c r="BCT18" s="25"/>
      <c r="BDA18" s="21"/>
      <c r="BDB18" s="21"/>
      <c r="BDF18" s="15"/>
      <c r="BDL18" s="25"/>
      <c r="BDS18" s="21"/>
      <c r="BDT18" s="21"/>
      <c r="BDX18" s="15"/>
      <c r="BED18" s="25"/>
      <c r="BEK18" s="21"/>
      <c r="BEL18" s="21"/>
      <c r="BEP18" s="15"/>
      <c r="BEV18" s="25"/>
      <c r="BFC18" s="21"/>
      <c r="BFD18" s="21"/>
      <c r="BFH18" s="15"/>
      <c r="BFN18" s="25"/>
      <c r="BFU18" s="21"/>
      <c r="BFV18" s="21"/>
      <c r="BFZ18" s="15"/>
      <c r="BGF18" s="25"/>
      <c r="BGM18" s="21"/>
      <c r="BGN18" s="21"/>
      <c r="BGR18" s="15"/>
      <c r="BGX18" s="25"/>
      <c r="BHE18" s="21"/>
      <c r="BHF18" s="21"/>
      <c r="BHJ18" s="15"/>
      <c r="BHP18" s="25"/>
      <c r="BHW18" s="21"/>
      <c r="BHX18" s="21"/>
      <c r="BIB18" s="15"/>
      <c r="BIH18" s="25"/>
      <c r="BIO18" s="21"/>
      <c r="BIP18" s="21"/>
      <c r="BIT18" s="15"/>
      <c r="BIZ18" s="25"/>
      <c r="BJG18" s="21"/>
      <c r="BJH18" s="21"/>
      <c r="BJL18" s="15"/>
      <c r="BJR18" s="25"/>
      <c r="BJY18" s="21"/>
      <c r="BJZ18" s="21"/>
      <c r="BKD18" s="15"/>
      <c r="BKJ18" s="25"/>
      <c r="BKQ18" s="21"/>
      <c r="BKR18" s="21"/>
      <c r="BKV18" s="15"/>
      <c r="BLB18" s="25"/>
      <c r="BLI18" s="21"/>
      <c r="BLJ18" s="21"/>
      <c r="BLN18" s="15"/>
      <c r="BLT18" s="25"/>
      <c r="BMA18" s="21"/>
      <c r="BMB18" s="21"/>
      <c r="BMF18" s="15"/>
      <c r="BML18" s="25"/>
      <c r="BMS18" s="21"/>
      <c r="BMT18" s="21"/>
      <c r="BMX18" s="15"/>
      <c r="BND18" s="25"/>
      <c r="BNK18" s="21"/>
      <c r="BNL18" s="21"/>
      <c r="BNP18" s="15"/>
      <c r="BNV18" s="25"/>
      <c r="BOC18" s="21"/>
      <c r="BOD18" s="21"/>
      <c r="BOH18" s="15"/>
      <c r="BON18" s="25"/>
      <c r="BOU18" s="21"/>
      <c r="BOV18" s="21"/>
      <c r="BOZ18" s="15"/>
      <c r="BPF18" s="25"/>
      <c r="BPM18" s="21"/>
      <c r="BPN18" s="21"/>
      <c r="BPR18" s="15"/>
      <c r="BPX18" s="25"/>
      <c r="BQE18" s="21"/>
      <c r="BQF18" s="21"/>
      <c r="BQJ18" s="15"/>
      <c r="BQP18" s="25"/>
      <c r="BQW18" s="21"/>
      <c r="BQX18" s="21"/>
      <c r="BRB18" s="15"/>
      <c r="BRH18" s="25"/>
      <c r="BRO18" s="21"/>
      <c r="BRP18" s="21"/>
      <c r="BRT18" s="15"/>
      <c r="BRZ18" s="25"/>
      <c r="BSG18" s="21"/>
      <c r="BSH18" s="21"/>
      <c r="BSL18" s="15"/>
      <c r="BSR18" s="25"/>
      <c r="BSY18" s="21"/>
      <c r="BSZ18" s="21"/>
      <c r="BTD18" s="15"/>
      <c r="BTJ18" s="25"/>
      <c r="BTQ18" s="21"/>
      <c r="BTR18" s="21"/>
      <c r="BTV18" s="15"/>
      <c r="BUB18" s="25"/>
      <c r="BUI18" s="21"/>
      <c r="BUJ18" s="21"/>
      <c r="BUN18" s="15"/>
      <c r="BUT18" s="25"/>
      <c r="BVA18" s="21"/>
      <c r="BVB18" s="21"/>
      <c r="BVF18" s="15"/>
      <c r="BVL18" s="25"/>
      <c r="BVS18" s="21"/>
      <c r="BVT18" s="21"/>
      <c r="BVX18" s="15"/>
      <c r="BWD18" s="25"/>
      <c r="BWK18" s="21"/>
      <c r="BWL18" s="21"/>
      <c r="BWP18" s="15"/>
      <c r="BWV18" s="25"/>
      <c r="BXC18" s="21"/>
      <c r="BXD18" s="21"/>
      <c r="BXH18" s="15"/>
      <c r="BXN18" s="25"/>
      <c r="BXU18" s="21"/>
      <c r="BXV18" s="21"/>
      <c r="BXZ18" s="15"/>
      <c r="BYF18" s="25"/>
      <c r="BYM18" s="21"/>
      <c r="BYN18" s="21"/>
      <c r="BYR18" s="15"/>
      <c r="BYX18" s="25"/>
      <c r="BZE18" s="21"/>
      <c r="BZF18" s="21"/>
      <c r="BZJ18" s="15"/>
      <c r="BZP18" s="25"/>
      <c r="BZW18" s="21"/>
      <c r="BZX18" s="21"/>
      <c r="CAB18" s="15"/>
      <c r="CAH18" s="25"/>
      <c r="CAO18" s="21"/>
      <c r="CAP18" s="21"/>
      <c r="CAT18" s="15"/>
      <c r="CAZ18" s="25"/>
      <c r="CBG18" s="21"/>
      <c r="CBH18" s="21"/>
      <c r="CBL18" s="15"/>
      <c r="CBR18" s="25"/>
      <c r="CBY18" s="21"/>
      <c r="CBZ18" s="21"/>
      <c r="CCD18" s="15"/>
      <c r="CCJ18" s="25"/>
      <c r="CCQ18" s="21"/>
      <c r="CCR18" s="21"/>
      <c r="CCV18" s="15"/>
      <c r="CDB18" s="25"/>
      <c r="CDI18" s="21"/>
      <c r="CDJ18" s="21"/>
      <c r="CDN18" s="15"/>
      <c r="CDT18" s="25"/>
      <c r="CEA18" s="21"/>
      <c r="CEB18" s="21"/>
      <c r="CEF18" s="15"/>
      <c r="CEL18" s="25"/>
      <c r="CES18" s="21"/>
      <c r="CET18" s="21"/>
      <c r="CEX18" s="15"/>
      <c r="CFD18" s="25"/>
      <c r="CFK18" s="21"/>
      <c r="CFL18" s="21"/>
      <c r="CFP18" s="15"/>
      <c r="CFV18" s="25"/>
      <c r="CGC18" s="21"/>
      <c r="CGD18" s="21"/>
      <c r="CGH18" s="15"/>
      <c r="CGN18" s="25"/>
      <c r="CGU18" s="21"/>
      <c r="CGV18" s="21"/>
      <c r="CGZ18" s="15"/>
      <c r="CHF18" s="25"/>
      <c r="CHM18" s="21"/>
      <c r="CHN18" s="21"/>
      <c r="CHR18" s="15"/>
      <c r="CHX18" s="25"/>
      <c r="CIE18" s="21"/>
      <c r="CIF18" s="21"/>
      <c r="CIJ18" s="15"/>
      <c r="CIP18" s="25"/>
      <c r="CIW18" s="21"/>
      <c r="CIX18" s="21"/>
      <c r="CJB18" s="15"/>
      <c r="CJH18" s="25"/>
      <c r="CJO18" s="21"/>
      <c r="CJP18" s="21"/>
      <c r="CJT18" s="15"/>
      <c r="CJZ18" s="25"/>
      <c r="CKG18" s="21"/>
      <c r="CKH18" s="21"/>
      <c r="CKL18" s="15"/>
      <c r="CKR18" s="25"/>
      <c r="CKY18" s="21"/>
      <c r="CKZ18" s="21"/>
      <c r="CLD18" s="15"/>
      <c r="CLJ18" s="25"/>
      <c r="CLQ18" s="21"/>
      <c r="CLR18" s="21"/>
      <c r="CLV18" s="15"/>
      <c r="CMB18" s="25"/>
      <c r="CMI18" s="21"/>
      <c r="CMJ18" s="21"/>
      <c r="CMN18" s="15"/>
      <c r="CMT18" s="25"/>
      <c r="CNA18" s="21"/>
      <c r="CNB18" s="21"/>
      <c r="CNF18" s="15"/>
      <c r="CNL18" s="25"/>
      <c r="CNS18" s="21"/>
      <c r="CNT18" s="21"/>
      <c r="CNX18" s="15"/>
      <c r="COD18" s="25"/>
      <c r="COK18" s="21"/>
      <c r="COL18" s="21"/>
      <c r="COP18" s="15"/>
      <c r="COV18" s="25"/>
      <c r="CPC18" s="21"/>
      <c r="CPD18" s="21"/>
      <c r="CPH18" s="15"/>
      <c r="CPN18" s="25"/>
      <c r="CPU18" s="21"/>
      <c r="CPV18" s="21"/>
      <c r="CPZ18" s="15"/>
      <c r="CQF18" s="25"/>
      <c r="CQM18" s="21"/>
      <c r="CQN18" s="21"/>
      <c r="CQR18" s="15"/>
      <c r="CQX18" s="25"/>
      <c r="CRE18" s="21"/>
      <c r="CRF18" s="21"/>
      <c r="CRJ18" s="15"/>
      <c r="CRP18" s="25"/>
      <c r="CRW18" s="21"/>
      <c r="CRX18" s="21"/>
      <c r="CSB18" s="15"/>
      <c r="CSH18" s="25"/>
      <c r="CSO18" s="21"/>
      <c r="CSP18" s="21"/>
      <c r="CST18" s="15"/>
      <c r="CSZ18" s="25"/>
      <c r="CTG18" s="21"/>
      <c r="CTH18" s="21"/>
      <c r="CTL18" s="15"/>
      <c r="CTR18" s="25"/>
      <c r="CTY18" s="21"/>
      <c r="CTZ18" s="21"/>
      <c r="CUD18" s="15"/>
      <c r="CUJ18" s="25"/>
      <c r="CUQ18" s="21"/>
      <c r="CUR18" s="21"/>
      <c r="CUV18" s="15"/>
      <c r="CVB18" s="25"/>
      <c r="CVI18" s="21"/>
      <c r="CVJ18" s="21"/>
      <c r="CVN18" s="15"/>
      <c r="CVT18" s="25"/>
      <c r="CWA18" s="21"/>
      <c r="CWB18" s="21"/>
      <c r="CWF18" s="15"/>
      <c r="CWL18" s="25"/>
      <c r="CWS18" s="21"/>
      <c r="CWT18" s="21"/>
      <c r="CWX18" s="15"/>
      <c r="CXD18" s="25"/>
      <c r="CXK18" s="21"/>
      <c r="CXL18" s="21"/>
      <c r="CXP18" s="15"/>
      <c r="CXV18" s="25"/>
      <c r="CYC18" s="21"/>
      <c r="CYD18" s="21"/>
      <c r="CYH18" s="15"/>
      <c r="CYN18" s="25"/>
      <c r="CYU18" s="21"/>
      <c r="CYV18" s="21"/>
      <c r="CYZ18" s="15"/>
      <c r="CZF18" s="25"/>
      <c r="CZM18" s="21"/>
      <c r="CZN18" s="21"/>
      <c r="CZR18" s="15"/>
      <c r="CZX18" s="25"/>
      <c r="DAE18" s="21"/>
      <c r="DAF18" s="21"/>
      <c r="DAJ18" s="15"/>
      <c r="DAP18" s="25"/>
      <c r="DAW18" s="21"/>
      <c r="DAX18" s="21"/>
      <c r="DBB18" s="15"/>
      <c r="DBH18" s="25"/>
      <c r="DBO18" s="21"/>
      <c r="DBP18" s="21"/>
      <c r="DBT18" s="15"/>
      <c r="DBZ18" s="25"/>
      <c r="DCG18" s="21"/>
      <c r="DCH18" s="21"/>
      <c r="DCL18" s="15"/>
      <c r="DCR18" s="25"/>
      <c r="DCY18" s="21"/>
      <c r="DCZ18" s="21"/>
      <c r="DDD18" s="15"/>
      <c r="DDJ18" s="25"/>
      <c r="DDQ18" s="21"/>
      <c r="DDR18" s="21"/>
      <c r="DDV18" s="15"/>
      <c r="DEB18" s="25"/>
      <c r="DEI18" s="21"/>
      <c r="DEJ18" s="21"/>
      <c r="DEN18" s="15"/>
      <c r="DET18" s="25"/>
      <c r="DFA18" s="21"/>
      <c r="DFB18" s="21"/>
      <c r="DFF18" s="15"/>
      <c r="DFL18" s="25"/>
      <c r="DFS18" s="21"/>
      <c r="DFT18" s="21"/>
      <c r="DFX18" s="15"/>
      <c r="DGD18" s="25"/>
      <c r="DGK18" s="21"/>
      <c r="DGL18" s="21"/>
      <c r="DGP18" s="15"/>
      <c r="DGV18" s="25"/>
      <c r="DHC18" s="21"/>
      <c r="DHD18" s="21"/>
      <c r="DHH18" s="15"/>
      <c r="DHN18" s="25"/>
      <c r="DHU18" s="21"/>
      <c r="DHV18" s="21"/>
      <c r="DHZ18" s="15"/>
      <c r="DIF18" s="25"/>
      <c r="DIM18" s="21"/>
      <c r="DIN18" s="21"/>
      <c r="DIR18" s="15"/>
      <c r="DIX18" s="25"/>
      <c r="DJE18" s="21"/>
      <c r="DJF18" s="21"/>
      <c r="DJJ18" s="15"/>
      <c r="DJP18" s="25"/>
      <c r="DJW18" s="21"/>
      <c r="DJX18" s="21"/>
      <c r="DKB18" s="15"/>
      <c r="DKH18" s="25"/>
      <c r="DKO18" s="21"/>
      <c r="DKP18" s="21"/>
      <c r="DKT18" s="15"/>
      <c r="DKZ18" s="25"/>
      <c r="DLG18" s="21"/>
      <c r="DLH18" s="21"/>
      <c r="DLL18" s="15"/>
      <c r="DLR18" s="25"/>
      <c r="DLY18" s="21"/>
      <c r="DLZ18" s="21"/>
      <c r="DMD18" s="15"/>
      <c r="DMJ18" s="25"/>
      <c r="DMQ18" s="21"/>
      <c r="DMR18" s="21"/>
      <c r="DMV18" s="15"/>
      <c r="DNB18" s="25"/>
      <c r="DNI18" s="21"/>
      <c r="DNJ18" s="21"/>
      <c r="DNN18" s="15"/>
      <c r="DNT18" s="25"/>
      <c r="DOA18" s="21"/>
      <c r="DOB18" s="21"/>
      <c r="DOF18" s="15"/>
      <c r="DOL18" s="25"/>
      <c r="DOS18" s="21"/>
      <c r="DOT18" s="21"/>
      <c r="DOX18" s="15"/>
      <c r="DPD18" s="25"/>
      <c r="DPK18" s="21"/>
      <c r="DPL18" s="21"/>
      <c r="DPP18" s="15"/>
      <c r="DPV18" s="25"/>
      <c r="DQC18" s="21"/>
      <c r="DQD18" s="21"/>
      <c r="DQH18" s="15"/>
      <c r="DQN18" s="25"/>
      <c r="DQU18" s="21"/>
      <c r="DQV18" s="21"/>
      <c r="DQZ18" s="15"/>
      <c r="DRF18" s="25"/>
      <c r="DRM18" s="21"/>
      <c r="DRN18" s="21"/>
      <c r="DRR18" s="15"/>
      <c r="DRX18" s="25"/>
      <c r="DSE18" s="21"/>
      <c r="DSF18" s="21"/>
      <c r="DSJ18" s="15"/>
      <c r="DSP18" s="25"/>
      <c r="DSW18" s="21"/>
      <c r="DSX18" s="21"/>
      <c r="DTB18" s="15"/>
      <c r="DTH18" s="25"/>
      <c r="DTO18" s="21"/>
      <c r="DTP18" s="21"/>
      <c r="DTT18" s="15"/>
      <c r="DTZ18" s="25"/>
      <c r="DUG18" s="21"/>
      <c r="DUH18" s="21"/>
      <c r="DUL18" s="15"/>
      <c r="DUR18" s="25"/>
      <c r="DUY18" s="21"/>
      <c r="DUZ18" s="21"/>
      <c r="DVD18" s="15"/>
      <c r="DVJ18" s="25"/>
      <c r="DVQ18" s="21"/>
      <c r="DVR18" s="21"/>
      <c r="DVV18" s="15"/>
      <c r="DWB18" s="25"/>
      <c r="DWI18" s="21"/>
      <c r="DWJ18" s="21"/>
      <c r="DWN18" s="15"/>
      <c r="DWT18" s="25"/>
      <c r="DXA18" s="21"/>
      <c r="DXB18" s="21"/>
      <c r="DXF18" s="15"/>
      <c r="DXL18" s="25"/>
      <c r="DXS18" s="21"/>
      <c r="DXT18" s="21"/>
      <c r="DXX18" s="15"/>
      <c r="DYD18" s="25"/>
      <c r="DYK18" s="21"/>
      <c r="DYL18" s="21"/>
      <c r="DYP18" s="15"/>
      <c r="DYV18" s="25"/>
      <c r="DZC18" s="21"/>
      <c r="DZD18" s="21"/>
      <c r="DZH18" s="15"/>
      <c r="DZN18" s="25"/>
      <c r="DZU18" s="21"/>
      <c r="DZV18" s="21"/>
      <c r="DZZ18" s="15"/>
      <c r="EAF18" s="25"/>
      <c r="EAM18" s="21"/>
      <c r="EAN18" s="21"/>
      <c r="EAR18" s="15"/>
      <c r="EAX18" s="25"/>
      <c r="EBE18" s="21"/>
      <c r="EBF18" s="21"/>
      <c r="EBJ18" s="15"/>
      <c r="EBP18" s="25"/>
      <c r="EBW18" s="21"/>
      <c r="EBX18" s="21"/>
      <c r="ECB18" s="15"/>
      <c r="ECH18" s="25"/>
      <c r="ECO18" s="21"/>
      <c r="ECP18" s="21"/>
      <c r="ECT18" s="15"/>
      <c r="ECZ18" s="25"/>
      <c r="EDG18" s="21"/>
      <c r="EDH18" s="21"/>
      <c r="EDL18" s="15"/>
      <c r="EDR18" s="25"/>
      <c r="EDY18" s="21"/>
      <c r="EDZ18" s="21"/>
      <c r="EED18" s="15"/>
      <c r="EEJ18" s="25"/>
      <c r="EEQ18" s="21"/>
      <c r="EER18" s="21"/>
      <c r="EEV18" s="15"/>
      <c r="EFB18" s="25"/>
      <c r="EFI18" s="21"/>
      <c r="EFJ18" s="21"/>
      <c r="EFN18" s="15"/>
      <c r="EFT18" s="25"/>
      <c r="EGA18" s="21"/>
      <c r="EGB18" s="21"/>
      <c r="EGF18" s="15"/>
      <c r="EGL18" s="25"/>
      <c r="EGS18" s="21"/>
      <c r="EGT18" s="21"/>
      <c r="EGX18" s="15"/>
      <c r="EHD18" s="25"/>
      <c r="EHK18" s="21"/>
      <c r="EHL18" s="21"/>
      <c r="EHP18" s="15"/>
      <c r="EHV18" s="25"/>
      <c r="EIC18" s="21"/>
      <c r="EID18" s="21"/>
      <c r="EIH18" s="15"/>
      <c r="EIN18" s="25"/>
      <c r="EIU18" s="21"/>
      <c r="EIV18" s="21"/>
      <c r="EIZ18" s="15"/>
      <c r="EJF18" s="25"/>
      <c r="EJM18" s="21"/>
      <c r="EJN18" s="21"/>
      <c r="EJR18" s="15"/>
      <c r="EJX18" s="25"/>
      <c r="EKE18" s="21"/>
      <c r="EKF18" s="21"/>
      <c r="EKJ18" s="15"/>
      <c r="EKP18" s="25"/>
      <c r="EKW18" s="21"/>
      <c r="EKX18" s="21"/>
      <c r="ELB18" s="15"/>
      <c r="ELH18" s="25"/>
      <c r="ELO18" s="21"/>
      <c r="ELP18" s="21"/>
      <c r="ELT18" s="15"/>
      <c r="ELZ18" s="25"/>
      <c r="EMG18" s="21"/>
      <c r="EMH18" s="21"/>
      <c r="EML18" s="15"/>
      <c r="EMR18" s="25"/>
      <c r="EMY18" s="21"/>
      <c r="EMZ18" s="21"/>
      <c r="END18" s="15"/>
      <c r="ENJ18" s="25"/>
      <c r="ENQ18" s="21"/>
      <c r="ENR18" s="21"/>
      <c r="ENV18" s="15"/>
      <c r="EOB18" s="25"/>
      <c r="EOI18" s="21"/>
      <c r="EOJ18" s="21"/>
      <c r="EON18" s="15"/>
      <c r="EOT18" s="25"/>
      <c r="EPA18" s="21"/>
      <c r="EPB18" s="21"/>
      <c r="EPF18" s="15"/>
      <c r="EPL18" s="25"/>
      <c r="EPS18" s="21"/>
      <c r="EPT18" s="21"/>
      <c r="EPX18" s="15"/>
      <c r="EQD18" s="25"/>
      <c r="EQK18" s="21"/>
      <c r="EQL18" s="21"/>
      <c r="EQP18" s="15"/>
      <c r="EQV18" s="25"/>
      <c r="ERC18" s="21"/>
      <c r="ERD18" s="21"/>
      <c r="ERH18" s="15"/>
      <c r="ERN18" s="25"/>
      <c r="ERU18" s="21"/>
      <c r="ERV18" s="21"/>
      <c r="ERZ18" s="15"/>
      <c r="ESF18" s="25"/>
      <c r="ESM18" s="21"/>
      <c r="ESN18" s="21"/>
      <c r="ESR18" s="15"/>
      <c r="ESX18" s="25"/>
      <c r="ETE18" s="21"/>
      <c r="ETF18" s="21"/>
      <c r="ETJ18" s="15"/>
      <c r="ETP18" s="25"/>
      <c r="ETW18" s="21"/>
      <c r="ETX18" s="21"/>
      <c r="EUB18" s="15"/>
      <c r="EUH18" s="25"/>
      <c r="EUO18" s="21"/>
      <c r="EUP18" s="21"/>
      <c r="EUT18" s="15"/>
      <c r="EUZ18" s="25"/>
      <c r="EVG18" s="21"/>
      <c r="EVH18" s="21"/>
      <c r="EVL18" s="15"/>
      <c r="EVR18" s="25"/>
      <c r="EVY18" s="21"/>
      <c r="EVZ18" s="21"/>
      <c r="EWD18" s="15"/>
      <c r="EWJ18" s="25"/>
      <c r="EWQ18" s="21"/>
      <c r="EWR18" s="21"/>
      <c r="EWV18" s="15"/>
      <c r="EXB18" s="25"/>
      <c r="EXI18" s="21"/>
      <c r="EXJ18" s="21"/>
      <c r="EXN18" s="15"/>
      <c r="EXT18" s="25"/>
      <c r="EYA18" s="21"/>
      <c r="EYB18" s="21"/>
      <c r="EYF18" s="15"/>
      <c r="EYL18" s="25"/>
      <c r="EYS18" s="21"/>
      <c r="EYT18" s="21"/>
      <c r="EYX18" s="15"/>
      <c r="EZD18" s="25"/>
      <c r="EZK18" s="21"/>
      <c r="EZL18" s="21"/>
      <c r="EZP18" s="15"/>
      <c r="EZV18" s="25"/>
      <c r="FAC18" s="21"/>
      <c r="FAD18" s="21"/>
      <c r="FAH18" s="15"/>
      <c r="FAN18" s="25"/>
      <c r="FAU18" s="21"/>
      <c r="FAV18" s="21"/>
      <c r="FAZ18" s="15"/>
      <c r="FBF18" s="25"/>
      <c r="FBM18" s="21"/>
      <c r="FBN18" s="21"/>
      <c r="FBR18" s="15"/>
      <c r="FBX18" s="25"/>
      <c r="FCE18" s="21"/>
      <c r="FCF18" s="21"/>
      <c r="FCJ18" s="15"/>
      <c r="FCP18" s="25"/>
      <c r="FCW18" s="21"/>
      <c r="FCX18" s="21"/>
      <c r="FDB18" s="15"/>
      <c r="FDH18" s="25"/>
      <c r="FDO18" s="21"/>
      <c r="FDP18" s="21"/>
      <c r="FDT18" s="15"/>
      <c r="FDZ18" s="25"/>
      <c r="FEG18" s="21"/>
      <c r="FEH18" s="21"/>
      <c r="FEL18" s="15"/>
      <c r="FER18" s="25"/>
      <c r="FEY18" s="21"/>
      <c r="FEZ18" s="21"/>
      <c r="FFD18" s="15"/>
      <c r="FFJ18" s="25"/>
      <c r="FFQ18" s="21"/>
      <c r="FFR18" s="21"/>
      <c r="FFV18" s="15"/>
      <c r="FGB18" s="25"/>
      <c r="FGI18" s="21"/>
      <c r="FGJ18" s="21"/>
      <c r="FGN18" s="15"/>
      <c r="FGT18" s="25"/>
      <c r="FHA18" s="21"/>
      <c r="FHB18" s="21"/>
      <c r="FHF18" s="15"/>
      <c r="FHL18" s="25"/>
      <c r="FHS18" s="21"/>
      <c r="FHT18" s="21"/>
      <c r="FHX18" s="15"/>
      <c r="FID18" s="25"/>
      <c r="FIK18" s="21"/>
      <c r="FIL18" s="21"/>
      <c r="FIP18" s="15"/>
      <c r="FIV18" s="25"/>
      <c r="FJC18" s="21"/>
      <c r="FJD18" s="21"/>
      <c r="FJH18" s="15"/>
      <c r="FJN18" s="25"/>
      <c r="FJU18" s="21"/>
      <c r="FJV18" s="21"/>
      <c r="FJZ18" s="15"/>
      <c r="FKF18" s="25"/>
      <c r="FKM18" s="21"/>
      <c r="FKN18" s="21"/>
      <c r="FKR18" s="15"/>
      <c r="FKX18" s="25"/>
      <c r="FLE18" s="21"/>
      <c r="FLF18" s="21"/>
      <c r="FLJ18" s="15"/>
      <c r="FLP18" s="25"/>
      <c r="FLW18" s="21"/>
      <c r="FLX18" s="21"/>
      <c r="FMB18" s="15"/>
      <c r="FMH18" s="25"/>
      <c r="FMO18" s="21"/>
      <c r="FMP18" s="21"/>
      <c r="FMT18" s="15"/>
      <c r="FMZ18" s="25"/>
      <c r="FNG18" s="21"/>
      <c r="FNH18" s="21"/>
      <c r="FNL18" s="15"/>
      <c r="FNR18" s="25"/>
      <c r="FNY18" s="21"/>
      <c r="FNZ18" s="21"/>
      <c r="FOD18" s="15"/>
      <c r="FOJ18" s="25"/>
      <c r="FOQ18" s="21"/>
      <c r="FOR18" s="21"/>
      <c r="FOV18" s="15"/>
      <c r="FPB18" s="25"/>
      <c r="FPI18" s="21"/>
      <c r="FPJ18" s="21"/>
      <c r="FPN18" s="15"/>
      <c r="FPT18" s="25"/>
      <c r="FQA18" s="21"/>
      <c r="FQB18" s="21"/>
      <c r="FQF18" s="15"/>
      <c r="FQL18" s="25"/>
      <c r="FQS18" s="21"/>
      <c r="FQT18" s="21"/>
      <c r="FQX18" s="15"/>
      <c r="FRD18" s="25"/>
      <c r="FRK18" s="21"/>
      <c r="FRL18" s="21"/>
      <c r="FRP18" s="15"/>
      <c r="FRV18" s="25"/>
      <c r="FSC18" s="21"/>
      <c r="FSD18" s="21"/>
      <c r="FSH18" s="15"/>
      <c r="FSN18" s="25"/>
      <c r="FSU18" s="21"/>
      <c r="FSV18" s="21"/>
      <c r="FSZ18" s="15"/>
      <c r="FTF18" s="25"/>
      <c r="FTM18" s="21"/>
      <c r="FTN18" s="21"/>
      <c r="FTR18" s="15"/>
      <c r="FTX18" s="25"/>
      <c r="FUE18" s="21"/>
      <c r="FUF18" s="21"/>
      <c r="FUJ18" s="15"/>
      <c r="FUP18" s="25"/>
      <c r="FUW18" s="21"/>
      <c r="FUX18" s="21"/>
      <c r="FVB18" s="15"/>
      <c r="FVH18" s="25"/>
      <c r="FVO18" s="21"/>
      <c r="FVP18" s="21"/>
      <c r="FVT18" s="15"/>
      <c r="FVZ18" s="25"/>
      <c r="FWG18" s="21"/>
      <c r="FWH18" s="21"/>
      <c r="FWL18" s="15"/>
      <c r="FWR18" s="25"/>
      <c r="FWY18" s="21"/>
      <c r="FWZ18" s="21"/>
      <c r="FXD18" s="15"/>
      <c r="FXJ18" s="25"/>
      <c r="FXQ18" s="21"/>
      <c r="FXR18" s="21"/>
      <c r="FXV18" s="15"/>
      <c r="FYB18" s="25"/>
      <c r="FYI18" s="21"/>
      <c r="FYJ18" s="21"/>
      <c r="FYN18" s="15"/>
      <c r="FYT18" s="25"/>
      <c r="FZA18" s="21"/>
      <c r="FZB18" s="21"/>
      <c r="FZF18" s="15"/>
      <c r="FZL18" s="25"/>
      <c r="FZS18" s="21"/>
      <c r="FZT18" s="21"/>
      <c r="FZX18" s="15"/>
      <c r="GAD18" s="25"/>
      <c r="GAK18" s="21"/>
      <c r="GAL18" s="21"/>
      <c r="GAP18" s="15"/>
      <c r="GAV18" s="25"/>
      <c r="GBC18" s="21"/>
      <c r="GBD18" s="21"/>
      <c r="GBH18" s="15"/>
      <c r="GBN18" s="25"/>
      <c r="GBU18" s="21"/>
      <c r="GBV18" s="21"/>
      <c r="GBZ18" s="15"/>
      <c r="GCF18" s="25"/>
      <c r="GCM18" s="21"/>
      <c r="GCN18" s="21"/>
      <c r="GCR18" s="15"/>
      <c r="GCX18" s="25"/>
      <c r="GDE18" s="21"/>
      <c r="GDF18" s="21"/>
      <c r="GDJ18" s="15"/>
      <c r="GDP18" s="25"/>
      <c r="GDW18" s="21"/>
      <c r="GDX18" s="21"/>
      <c r="GEB18" s="15"/>
      <c r="GEH18" s="25"/>
      <c r="GEO18" s="21"/>
      <c r="GEP18" s="21"/>
      <c r="GET18" s="15"/>
      <c r="GEZ18" s="25"/>
      <c r="GFG18" s="21"/>
      <c r="GFH18" s="21"/>
      <c r="GFL18" s="15"/>
      <c r="GFR18" s="25"/>
      <c r="GFY18" s="21"/>
      <c r="GFZ18" s="21"/>
      <c r="GGD18" s="15"/>
      <c r="GGJ18" s="25"/>
      <c r="GGQ18" s="21"/>
      <c r="GGR18" s="21"/>
      <c r="GGV18" s="15"/>
      <c r="GHB18" s="25"/>
      <c r="GHI18" s="21"/>
      <c r="GHJ18" s="21"/>
      <c r="GHN18" s="15"/>
      <c r="GHT18" s="25"/>
      <c r="GIA18" s="21"/>
      <c r="GIB18" s="21"/>
      <c r="GIF18" s="15"/>
      <c r="GIL18" s="25"/>
      <c r="GIS18" s="21"/>
      <c r="GIT18" s="21"/>
      <c r="GIX18" s="15"/>
      <c r="GJD18" s="25"/>
      <c r="GJK18" s="21"/>
      <c r="GJL18" s="21"/>
      <c r="GJP18" s="15"/>
      <c r="GJV18" s="25"/>
      <c r="GKC18" s="21"/>
      <c r="GKD18" s="21"/>
      <c r="GKH18" s="15"/>
      <c r="GKN18" s="25"/>
      <c r="GKU18" s="21"/>
      <c r="GKV18" s="21"/>
      <c r="GKZ18" s="15"/>
      <c r="GLF18" s="25"/>
      <c r="GLM18" s="21"/>
      <c r="GLN18" s="21"/>
      <c r="GLR18" s="15"/>
      <c r="GLX18" s="25"/>
      <c r="GME18" s="21"/>
      <c r="GMF18" s="21"/>
      <c r="GMJ18" s="15"/>
      <c r="GMP18" s="25"/>
      <c r="GMW18" s="21"/>
      <c r="GMX18" s="21"/>
      <c r="GNB18" s="15"/>
      <c r="GNH18" s="25"/>
      <c r="GNO18" s="21"/>
      <c r="GNP18" s="21"/>
      <c r="GNT18" s="15"/>
      <c r="GNZ18" s="25"/>
      <c r="GOG18" s="21"/>
      <c r="GOH18" s="21"/>
      <c r="GOL18" s="15"/>
      <c r="GOR18" s="25"/>
      <c r="GOY18" s="21"/>
      <c r="GOZ18" s="21"/>
      <c r="GPD18" s="15"/>
      <c r="GPJ18" s="25"/>
      <c r="GPQ18" s="21"/>
      <c r="GPR18" s="21"/>
      <c r="GPV18" s="15"/>
      <c r="GQB18" s="25"/>
      <c r="GQI18" s="21"/>
      <c r="GQJ18" s="21"/>
      <c r="GQN18" s="15"/>
      <c r="GQT18" s="25"/>
      <c r="GRA18" s="21"/>
      <c r="GRB18" s="21"/>
      <c r="GRF18" s="15"/>
      <c r="GRL18" s="25"/>
      <c r="GRS18" s="21"/>
      <c r="GRT18" s="21"/>
      <c r="GRX18" s="15"/>
      <c r="GSD18" s="25"/>
      <c r="GSK18" s="21"/>
      <c r="GSL18" s="21"/>
      <c r="GSP18" s="15"/>
      <c r="GSV18" s="25"/>
      <c r="GTC18" s="21"/>
      <c r="GTD18" s="21"/>
      <c r="GTH18" s="15"/>
      <c r="GTN18" s="25"/>
      <c r="GTU18" s="21"/>
      <c r="GTV18" s="21"/>
      <c r="GTZ18" s="15"/>
      <c r="GUF18" s="25"/>
      <c r="GUM18" s="21"/>
      <c r="GUN18" s="21"/>
      <c r="GUR18" s="15"/>
      <c r="GUX18" s="25"/>
      <c r="GVE18" s="21"/>
      <c r="GVF18" s="21"/>
      <c r="GVJ18" s="15"/>
      <c r="GVP18" s="25"/>
      <c r="GVW18" s="21"/>
      <c r="GVX18" s="21"/>
      <c r="GWB18" s="15"/>
      <c r="GWH18" s="25"/>
      <c r="GWO18" s="21"/>
      <c r="GWP18" s="21"/>
      <c r="GWT18" s="15"/>
      <c r="GWZ18" s="25"/>
      <c r="GXG18" s="21"/>
      <c r="GXH18" s="21"/>
      <c r="GXL18" s="15"/>
      <c r="GXR18" s="25"/>
      <c r="GXY18" s="21"/>
      <c r="GXZ18" s="21"/>
      <c r="GYD18" s="15"/>
      <c r="GYJ18" s="25"/>
      <c r="GYQ18" s="21"/>
      <c r="GYR18" s="21"/>
      <c r="GYV18" s="15"/>
      <c r="GZB18" s="25"/>
      <c r="GZI18" s="21"/>
      <c r="GZJ18" s="21"/>
      <c r="GZN18" s="15"/>
      <c r="GZT18" s="25"/>
      <c r="HAA18" s="21"/>
      <c r="HAB18" s="21"/>
      <c r="HAF18" s="15"/>
      <c r="HAL18" s="25"/>
      <c r="HAS18" s="21"/>
      <c r="HAT18" s="21"/>
      <c r="HAX18" s="15"/>
      <c r="HBD18" s="25"/>
      <c r="HBK18" s="21"/>
      <c r="HBL18" s="21"/>
      <c r="HBP18" s="15"/>
      <c r="HBV18" s="25"/>
      <c r="HCC18" s="21"/>
      <c r="HCD18" s="21"/>
      <c r="HCH18" s="15"/>
      <c r="HCN18" s="25"/>
      <c r="HCU18" s="21"/>
      <c r="HCV18" s="21"/>
      <c r="HCZ18" s="15"/>
      <c r="HDF18" s="25"/>
      <c r="HDM18" s="21"/>
      <c r="HDN18" s="21"/>
      <c r="HDR18" s="15"/>
      <c r="HDX18" s="25"/>
      <c r="HEE18" s="21"/>
      <c r="HEF18" s="21"/>
      <c r="HEJ18" s="15"/>
      <c r="HEP18" s="25"/>
      <c r="HEW18" s="21"/>
      <c r="HEX18" s="21"/>
      <c r="HFB18" s="15"/>
      <c r="HFH18" s="25"/>
      <c r="HFO18" s="21"/>
      <c r="HFP18" s="21"/>
      <c r="HFT18" s="15"/>
      <c r="HFZ18" s="25"/>
      <c r="HGG18" s="21"/>
      <c r="HGH18" s="21"/>
      <c r="HGL18" s="15"/>
      <c r="HGR18" s="25"/>
      <c r="HGY18" s="21"/>
      <c r="HGZ18" s="21"/>
      <c r="HHD18" s="15"/>
      <c r="HHJ18" s="25"/>
      <c r="HHQ18" s="21"/>
      <c r="HHR18" s="21"/>
      <c r="HHV18" s="15"/>
      <c r="HIB18" s="25"/>
      <c r="HII18" s="21"/>
      <c r="HIJ18" s="21"/>
      <c r="HIN18" s="15"/>
      <c r="HIT18" s="25"/>
      <c r="HJA18" s="21"/>
      <c r="HJB18" s="21"/>
      <c r="HJF18" s="15"/>
      <c r="HJL18" s="25"/>
      <c r="HJS18" s="21"/>
      <c r="HJT18" s="21"/>
      <c r="HJX18" s="15"/>
      <c r="HKD18" s="25"/>
      <c r="HKK18" s="21"/>
      <c r="HKL18" s="21"/>
      <c r="HKP18" s="15"/>
      <c r="HKV18" s="25"/>
      <c r="HLC18" s="21"/>
      <c r="HLD18" s="21"/>
      <c r="HLH18" s="15"/>
      <c r="HLN18" s="25"/>
      <c r="HLU18" s="21"/>
      <c r="HLV18" s="21"/>
      <c r="HLZ18" s="15"/>
      <c r="HMF18" s="25"/>
      <c r="HMM18" s="21"/>
      <c r="HMN18" s="21"/>
      <c r="HMR18" s="15"/>
      <c r="HMX18" s="25"/>
      <c r="HNE18" s="21"/>
      <c r="HNF18" s="21"/>
      <c r="HNJ18" s="15"/>
      <c r="HNP18" s="25"/>
      <c r="HNW18" s="21"/>
      <c r="HNX18" s="21"/>
      <c r="HOB18" s="15"/>
      <c r="HOH18" s="25"/>
      <c r="HOO18" s="21"/>
      <c r="HOP18" s="21"/>
      <c r="HOT18" s="15"/>
      <c r="HOZ18" s="25"/>
      <c r="HPG18" s="21"/>
      <c r="HPH18" s="21"/>
      <c r="HPL18" s="15"/>
      <c r="HPR18" s="25"/>
      <c r="HPY18" s="21"/>
      <c r="HPZ18" s="21"/>
      <c r="HQD18" s="15"/>
      <c r="HQJ18" s="25"/>
      <c r="HQQ18" s="21"/>
      <c r="HQR18" s="21"/>
      <c r="HQV18" s="15"/>
      <c r="HRB18" s="25"/>
      <c r="HRI18" s="21"/>
      <c r="HRJ18" s="21"/>
      <c r="HRN18" s="15"/>
      <c r="HRT18" s="25"/>
      <c r="HSA18" s="21"/>
      <c r="HSB18" s="21"/>
      <c r="HSF18" s="15"/>
      <c r="HSL18" s="25"/>
      <c r="HSS18" s="21"/>
      <c r="HST18" s="21"/>
      <c r="HSX18" s="15"/>
      <c r="HTD18" s="25"/>
      <c r="HTK18" s="21"/>
      <c r="HTL18" s="21"/>
      <c r="HTP18" s="15"/>
      <c r="HTV18" s="25"/>
      <c r="HUC18" s="21"/>
      <c r="HUD18" s="21"/>
      <c r="HUH18" s="15"/>
      <c r="HUN18" s="25"/>
      <c r="HUU18" s="21"/>
      <c r="HUV18" s="21"/>
      <c r="HUZ18" s="15"/>
      <c r="HVF18" s="25"/>
      <c r="HVM18" s="21"/>
      <c r="HVN18" s="21"/>
      <c r="HVR18" s="15"/>
      <c r="HVX18" s="25"/>
      <c r="HWE18" s="21"/>
      <c r="HWF18" s="21"/>
      <c r="HWJ18" s="15"/>
      <c r="HWP18" s="25"/>
      <c r="HWW18" s="21"/>
      <c r="HWX18" s="21"/>
      <c r="HXB18" s="15"/>
      <c r="HXH18" s="25"/>
      <c r="HXO18" s="21"/>
      <c r="HXP18" s="21"/>
      <c r="HXT18" s="15"/>
      <c r="HXZ18" s="25"/>
      <c r="HYG18" s="21"/>
      <c r="HYH18" s="21"/>
      <c r="HYL18" s="15"/>
      <c r="HYR18" s="25"/>
      <c r="HYY18" s="21"/>
      <c r="HYZ18" s="21"/>
      <c r="HZD18" s="15"/>
      <c r="HZJ18" s="25"/>
      <c r="HZQ18" s="21"/>
      <c r="HZR18" s="21"/>
      <c r="HZV18" s="15"/>
      <c r="IAB18" s="25"/>
      <c r="IAI18" s="21"/>
      <c r="IAJ18" s="21"/>
      <c r="IAN18" s="15"/>
      <c r="IAT18" s="25"/>
      <c r="IBA18" s="21"/>
      <c r="IBB18" s="21"/>
      <c r="IBF18" s="15"/>
      <c r="IBL18" s="25"/>
      <c r="IBS18" s="21"/>
      <c r="IBT18" s="21"/>
      <c r="IBX18" s="15"/>
      <c r="ICD18" s="25"/>
      <c r="ICK18" s="21"/>
      <c r="ICL18" s="21"/>
      <c r="ICP18" s="15"/>
      <c r="ICV18" s="25"/>
      <c r="IDC18" s="21"/>
      <c r="IDD18" s="21"/>
      <c r="IDH18" s="15"/>
      <c r="IDN18" s="25"/>
      <c r="IDU18" s="21"/>
      <c r="IDV18" s="21"/>
      <c r="IDZ18" s="15"/>
      <c r="IEF18" s="25"/>
      <c r="IEM18" s="21"/>
      <c r="IEN18" s="21"/>
      <c r="IER18" s="15"/>
      <c r="IEX18" s="25"/>
      <c r="IFE18" s="21"/>
      <c r="IFF18" s="21"/>
      <c r="IFJ18" s="15"/>
      <c r="IFP18" s="25"/>
      <c r="IFW18" s="21"/>
      <c r="IFX18" s="21"/>
      <c r="IGB18" s="15"/>
      <c r="IGH18" s="25"/>
      <c r="IGO18" s="21"/>
      <c r="IGP18" s="21"/>
      <c r="IGT18" s="15"/>
      <c r="IGZ18" s="25"/>
      <c r="IHG18" s="21"/>
      <c r="IHH18" s="21"/>
      <c r="IHL18" s="15"/>
      <c r="IHR18" s="25"/>
      <c r="IHY18" s="21"/>
      <c r="IHZ18" s="21"/>
      <c r="IID18" s="15"/>
      <c r="IIJ18" s="25"/>
      <c r="IIQ18" s="21"/>
      <c r="IIR18" s="21"/>
      <c r="IIV18" s="15"/>
      <c r="IJB18" s="25"/>
      <c r="IJI18" s="21"/>
      <c r="IJJ18" s="21"/>
      <c r="IJN18" s="15"/>
      <c r="IJT18" s="25"/>
      <c r="IKA18" s="21"/>
      <c r="IKB18" s="21"/>
      <c r="IKF18" s="15"/>
      <c r="IKL18" s="25"/>
      <c r="IKS18" s="21"/>
      <c r="IKT18" s="21"/>
      <c r="IKX18" s="15"/>
      <c r="ILD18" s="25"/>
      <c r="ILK18" s="21"/>
      <c r="ILL18" s="21"/>
      <c r="ILP18" s="15"/>
      <c r="ILV18" s="25"/>
      <c r="IMC18" s="21"/>
      <c r="IMD18" s="21"/>
      <c r="IMH18" s="15"/>
      <c r="IMN18" s="25"/>
      <c r="IMU18" s="21"/>
      <c r="IMV18" s="21"/>
      <c r="IMZ18" s="15"/>
      <c r="INF18" s="25"/>
      <c r="INM18" s="21"/>
      <c r="INN18" s="21"/>
      <c r="INR18" s="15"/>
      <c r="INX18" s="25"/>
      <c r="IOE18" s="21"/>
      <c r="IOF18" s="21"/>
      <c r="IOJ18" s="15"/>
      <c r="IOP18" s="25"/>
      <c r="IOW18" s="21"/>
      <c r="IOX18" s="21"/>
      <c r="IPB18" s="15"/>
      <c r="IPH18" s="25"/>
      <c r="IPO18" s="21"/>
      <c r="IPP18" s="21"/>
      <c r="IPT18" s="15"/>
      <c r="IPZ18" s="25"/>
      <c r="IQG18" s="21"/>
      <c r="IQH18" s="21"/>
      <c r="IQL18" s="15"/>
      <c r="IQR18" s="25"/>
      <c r="IQY18" s="21"/>
      <c r="IQZ18" s="21"/>
      <c r="IRD18" s="15"/>
      <c r="IRJ18" s="25"/>
      <c r="IRQ18" s="21"/>
      <c r="IRR18" s="21"/>
      <c r="IRV18" s="15"/>
      <c r="ISB18" s="25"/>
      <c r="ISI18" s="21"/>
      <c r="ISJ18" s="21"/>
      <c r="ISN18" s="15"/>
      <c r="IST18" s="25"/>
      <c r="ITA18" s="21"/>
      <c r="ITB18" s="21"/>
      <c r="ITF18" s="15"/>
      <c r="ITL18" s="25"/>
      <c r="ITS18" s="21"/>
      <c r="ITT18" s="21"/>
      <c r="ITX18" s="15"/>
      <c r="IUD18" s="25"/>
      <c r="IUK18" s="21"/>
      <c r="IUL18" s="21"/>
      <c r="IUP18" s="15"/>
      <c r="IUV18" s="25"/>
      <c r="IVC18" s="21"/>
      <c r="IVD18" s="21"/>
      <c r="IVH18" s="15"/>
      <c r="IVN18" s="25"/>
      <c r="IVU18" s="21"/>
      <c r="IVV18" s="21"/>
      <c r="IVZ18" s="15"/>
      <c r="IWF18" s="25"/>
      <c r="IWM18" s="21"/>
      <c r="IWN18" s="21"/>
      <c r="IWR18" s="15"/>
      <c r="IWX18" s="25"/>
      <c r="IXE18" s="21"/>
      <c r="IXF18" s="21"/>
      <c r="IXJ18" s="15"/>
      <c r="IXP18" s="25"/>
      <c r="IXW18" s="21"/>
      <c r="IXX18" s="21"/>
      <c r="IYB18" s="15"/>
      <c r="IYH18" s="25"/>
      <c r="IYO18" s="21"/>
      <c r="IYP18" s="21"/>
      <c r="IYT18" s="15"/>
      <c r="IYZ18" s="25"/>
      <c r="IZG18" s="21"/>
      <c r="IZH18" s="21"/>
      <c r="IZL18" s="15"/>
      <c r="IZR18" s="25"/>
      <c r="IZY18" s="21"/>
      <c r="IZZ18" s="21"/>
      <c r="JAD18" s="15"/>
      <c r="JAJ18" s="25"/>
      <c r="JAQ18" s="21"/>
      <c r="JAR18" s="21"/>
      <c r="JAV18" s="15"/>
      <c r="JBB18" s="25"/>
      <c r="JBI18" s="21"/>
      <c r="JBJ18" s="21"/>
      <c r="JBN18" s="15"/>
      <c r="JBT18" s="25"/>
      <c r="JCA18" s="21"/>
      <c r="JCB18" s="21"/>
      <c r="JCF18" s="15"/>
      <c r="JCL18" s="25"/>
      <c r="JCS18" s="21"/>
      <c r="JCT18" s="21"/>
      <c r="JCX18" s="15"/>
      <c r="JDD18" s="25"/>
      <c r="JDK18" s="21"/>
      <c r="JDL18" s="21"/>
      <c r="JDP18" s="15"/>
      <c r="JDV18" s="25"/>
      <c r="JEC18" s="21"/>
      <c r="JED18" s="21"/>
      <c r="JEH18" s="15"/>
      <c r="JEN18" s="25"/>
      <c r="JEU18" s="21"/>
      <c r="JEV18" s="21"/>
      <c r="JEZ18" s="15"/>
      <c r="JFF18" s="25"/>
      <c r="JFM18" s="21"/>
      <c r="JFN18" s="21"/>
      <c r="JFR18" s="15"/>
      <c r="JFX18" s="25"/>
      <c r="JGE18" s="21"/>
      <c r="JGF18" s="21"/>
      <c r="JGJ18" s="15"/>
      <c r="JGP18" s="25"/>
      <c r="JGW18" s="21"/>
      <c r="JGX18" s="21"/>
      <c r="JHB18" s="15"/>
      <c r="JHH18" s="25"/>
      <c r="JHO18" s="21"/>
      <c r="JHP18" s="21"/>
      <c r="JHT18" s="15"/>
      <c r="JHZ18" s="25"/>
      <c r="JIG18" s="21"/>
      <c r="JIH18" s="21"/>
      <c r="JIL18" s="15"/>
      <c r="JIR18" s="25"/>
      <c r="JIY18" s="21"/>
      <c r="JIZ18" s="21"/>
      <c r="JJD18" s="15"/>
      <c r="JJJ18" s="25"/>
      <c r="JJQ18" s="21"/>
      <c r="JJR18" s="21"/>
      <c r="JJV18" s="15"/>
      <c r="JKB18" s="25"/>
      <c r="JKI18" s="21"/>
      <c r="JKJ18" s="21"/>
      <c r="JKN18" s="15"/>
      <c r="JKT18" s="25"/>
      <c r="JLA18" s="21"/>
      <c r="JLB18" s="21"/>
      <c r="JLF18" s="15"/>
      <c r="JLL18" s="25"/>
      <c r="JLS18" s="21"/>
      <c r="JLT18" s="21"/>
      <c r="JLX18" s="15"/>
      <c r="JMD18" s="25"/>
      <c r="JMK18" s="21"/>
      <c r="JML18" s="21"/>
      <c r="JMP18" s="15"/>
      <c r="JMV18" s="25"/>
      <c r="JNC18" s="21"/>
      <c r="JND18" s="21"/>
      <c r="JNH18" s="15"/>
      <c r="JNN18" s="25"/>
      <c r="JNU18" s="21"/>
      <c r="JNV18" s="21"/>
      <c r="JNZ18" s="15"/>
      <c r="JOF18" s="25"/>
      <c r="JOM18" s="21"/>
      <c r="JON18" s="21"/>
      <c r="JOR18" s="15"/>
      <c r="JOX18" s="25"/>
      <c r="JPE18" s="21"/>
      <c r="JPF18" s="21"/>
      <c r="JPJ18" s="15"/>
      <c r="JPP18" s="25"/>
      <c r="JPW18" s="21"/>
      <c r="JPX18" s="21"/>
      <c r="JQB18" s="15"/>
      <c r="JQH18" s="25"/>
      <c r="JQO18" s="21"/>
      <c r="JQP18" s="21"/>
      <c r="JQT18" s="15"/>
      <c r="JQZ18" s="25"/>
      <c r="JRG18" s="21"/>
      <c r="JRH18" s="21"/>
      <c r="JRL18" s="15"/>
      <c r="JRR18" s="25"/>
      <c r="JRY18" s="21"/>
      <c r="JRZ18" s="21"/>
      <c r="JSD18" s="15"/>
      <c r="JSJ18" s="25"/>
      <c r="JSQ18" s="21"/>
      <c r="JSR18" s="21"/>
      <c r="JSV18" s="15"/>
      <c r="JTB18" s="25"/>
      <c r="JTI18" s="21"/>
      <c r="JTJ18" s="21"/>
      <c r="JTN18" s="15"/>
      <c r="JTT18" s="25"/>
      <c r="JUA18" s="21"/>
      <c r="JUB18" s="21"/>
      <c r="JUF18" s="15"/>
      <c r="JUL18" s="25"/>
      <c r="JUS18" s="21"/>
      <c r="JUT18" s="21"/>
      <c r="JUX18" s="15"/>
      <c r="JVD18" s="25"/>
      <c r="JVK18" s="21"/>
      <c r="JVL18" s="21"/>
      <c r="JVP18" s="15"/>
      <c r="JVV18" s="25"/>
      <c r="JWC18" s="21"/>
      <c r="JWD18" s="21"/>
      <c r="JWH18" s="15"/>
      <c r="JWN18" s="25"/>
      <c r="JWU18" s="21"/>
      <c r="JWV18" s="21"/>
      <c r="JWZ18" s="15"/>
      <c r="JXF18" s="25"/>
      <c r="JXM18" s="21"/>
      <c r="JXN18" s="21"/>
      <c r="JXR18" s="15"/>
      <c r="JXX18" s="25"/>
      <c r="JYE18" s="21"/>
      <c r="JYF18" s="21"/>
      <c r="JYJ18" s="15"/>
      <c r="JYP18" s="25"/>
      <c r="JYW18" s="21"/>
      <c r="JYX18" s="21"/>
      <c r="JZB18" s="15"/>
      <c r="JZH18" s="25"/>
      <c r="JZO18" s="21"/>
      <c r="JZP18" s="21"/>
      <c r="JZT18" s="15"/>
      <c r="JZZ18" s="25"/>
      <c r="KAG18" s="21"/>
      <c r="KAH18" s="21"/>
      <c r="KAL18" s="15"/>
      <c r="KAR18" s="25"/>
      <c r="KAY18" s="21"/>
      <c r="KAZ18" s="21"/>
      <c r="KBD18" s="15"/>
      <c r="KBJ18" s="25"/>
      <c r="KBQ18" s="21"/>
      <c r="KBR18" s="21"/>
      <c r="KBV18" s="15"/>
      <c r="KCB18" s="25"/>
      <c r="KCI18" s="21"/>
      <c r="KCJ18" s="21"/>
      <c r="KCN18" s="15"/>
      <c r="KCT18" s="25"/>
      <c r="KDA18" s="21"/>
      <c r="KDB18" s="21"/>
      <c r="KDF18" s="15"/>
      <c r="KDL18" s="25"/>
      <c r="KDS18" s="21"/>
      <c r="KDT18" s="21"/>
      <c r="KDX18" s="15"/>
      <c r="KED18" s="25"/>
      <c r="KEK18" s="21"/>
      <c r="KEL18" s="21"/>
      <c r="KEP18" s="15"/>
      <c r="KEV18" s="25"/>
      <c r="KFC18" s="21"/>
      <c r="KFD18" s="21"/>
      <c r="KFH18" s="15"/>
      <c r="KFN18" s="25"/>
      <c r="KFU18" s="21"/>
      <c r="KFV18" s="21"/>
      <c r="KFZ18" s="15"/>
      <c r="KGF18" s="25"/>
      <c r="KGM18" s="21"/>
      <c r="KGN18" s="21"/>
      <c r="KGR18" s="15"/>
      <c r="KGX18" s="25"/>
      <c r="KHE18" s="21"/>
      <c r="KHF18" s="21"/>
      <c r="KHJ18" s="15"/>
      <c r="KHP18" s="25"/>
      <c r="KHW18" s="21"/>
      <c r="KHX18" s="21"/>
      <c r="KIB18" s="15"/>
      <c r="KIH18" s="25"/>
      <c r="KIO18" s="21"/>
      <c r="KIP18" s="21"/>
      <c r="KIT18" s="15"/>
      <c r="KIZ18" s="25"/>
      <c r="KJG18" s="21"/>
      <c r="KJH18" s="21"/>
      <c r="KJL18" s="15"/>
      <c r="KJR18" s="25"/>
      <c r="KJY18" s="21"/>
      <c r="KJZ18" s="21"/>
      <c r="KKD18" s="15"/>
      <c r="KKJ18" s="25"/>
      <c r="KKQ18" s="21"/>
      <c r="KKR18" s="21"/>
      <c r="KKV18" s="15"/>
      <c r="KLB18" s="25"/>
      <c r="KLI18" s="21"/>
      <c r="KLJ18" s="21"/>
      <c r="KLN18" s="15"/>
      <c r="KLT18" s="25"/>
      <c r="KMA18" s="21"/>
      <c r="KMB18" s="21"/>
      <c r="KMF18" s="15"/>
      <c r="KML18" s="25"/>
      <c r="KMS18" s="21"/>
      <c r="KMT18" s="21"/>
      <c r="KMX18" s="15"/>
      <c r="KND18" s="25"/>
      <c r="KNK18" s="21"/>
      <c r="KNL18" s="21"/>
      <c r="KNP18" s="15"/>
      <c r="KNV18" s="25"/>
      <c r="KOC18" s="21"/>
      <c r="KOD18" s="21"/>
      <c r="KOH18" s="15"/>
      <c r="KON18" s="25"/>
      <c r="KOU18" s="21"/>
      <c r="KOV18" s="21"/>
      <c r="KOZ18" s="15"/>
      <c r="KPF18" s="25"/>
      <c r="KPM18" s="21"/>
      <c r="KPN18" s="21"/>
      <c r="KPR18" s="15"/>
      <c r="KPX18" s="25"/>
      <c r="KQE18" s="21"/>
      <c r="KQF18" s="21"/>
      <c r="KQJ18" s="15"/>
      <c r="KQP18" s="25"/>
      <c r="KQW18" s="21"/>
      <c r="KQX18" s="21"/>
      <c r="KRB18" s="15"/>
      <c r="KRH18" s="25"/>
      <c r="KRO18" s="21"/>
      <c r="KRP18" s="21"/>
      <c r="KRT18" s="15"/>
      <c r="KRZ18" s="25"/>
      <c r="KSG18" s="21"/>
      <c r="KSH18" s="21"/>
      <c r="KSL18" s="15"/>
      <c r="KSR18" s="25"/>
      <c r="KSY18" s="21"/>
      <c r="KSZ18" s="21"/>
      <c r="KTD18" s="15"/>
      <c r="KTJ18" s="25"/>
      <c r="KTQ18" s="21"/>
      <c r="KTR18" s="21"/>
      <c r="KTV18" s="15"/>
      <c r="KUB18" s="25"/>
      <c r="KUI18" s="21"/>
      <c r="KUJ18" s="21"/>
      <c r="KUN18" s="15"/>
      <c r="KUT18" s="25"/>
      <c r="KVA18" s="21"/>
      <c r="KVB18" s="21"/>
      <c r="KVF18" s="15"/>
      <c r="KVL18" s="25"/>
      <c r="KVS18" s="21"/>
      <c r="KVT18" s="21"/>
      <c r="KVX18" s="15"/>
      <c r="KWD18" s="25"/>
      <c r="KWK18" s="21"/>
      <c r="KWL18" s="21"/>
      <c r="KWP18" s="15"/>
      <c r="KWV18" s="25"/>
      <c r="KXC18" s="21"/>
      <c r="KXD18" s="21"/>
      <c r="KXH18" s="15"/>
      <c r="KXN18" s="25"/>
      <c r="KXU18" s="21"/>
      <c r="KXV18" s="21"/>
      <c r="KXZ18" s="15"/>
      <c r="KYF18" s="25"/>
      <c r="KYM18" s="21"/>
      <c r="KYN18" s="21"/>
      <c r="KYR18" s="15"/>
      <c r="KYX18" s="25"/>
      <c r="KZE18" s="21"/>
      <c r="KZF18" s="21"/>
      <c r="KZJ18" s="15"/>
      <c r="KZP18" s="25"/>
      <c r="KZW18" s="21"/>
      <c r="KZX18" s="21"/>
      <c r="LAB18" s="15"/>
      <c r="LAH18" s="25"/>
      <c r="LAO18" s="21"/>
      <c r="LAP18" s="21"/>
      <c r="LAT18" s="15"/>
      <c r="LAZ18" s="25"/>
      <c r="LBG18" s="21"/>
      <c r="LBH18" s="21"/>
      <c r="LBL18" s="15"/>
      <c r="LBR18" s="25"/>
      <c r="LBY18" s="21"/>
      <c r="LBZ18" s="21"/>
      <c r="LCD18" s="15"/>
      <c r="LCJ18" s="25"/>
      <c r="LCQ18" s="21"/>
      <c r="LCR18" s="21"/>
      <c r="LCV18" s="15"/>
      <c r="LDB18" s="25"/>
      <c r="LDI18" s="21"/>
      <c r="LDJ18" s="21"/>
      <c r="LDN18" s="15"/>
      <c r="LDT18" s="25"/>
      <c r="LEA18" s="21"/>
      <c r="LEB18" s="21"/>
      <c r="LEF18" s="15"/>
      <c r="LEL18" s="25"/>
      <c r="LES18" s="21"/>
      <c r="LET18" s="21"/>
      <c r="LEX18" s="15"/>
      <c r="LFD18" s="25"/>
      <c r="LFK18" s="21"/>
      <c r="LFL18" s="21"/>
      <c r="LFP18" s="15"/>
      <c r="LFV18" s="25"/>
      <c r="LGC18" s="21"/>
      <c r="LGD18" s="21"/>
      <c r="LGH18" s="15"/>
      <c r="LGN18" s="25"/>
      <c r="LGU18" s="21"/>
      <c r="LGV18" s="21"/>
      <c r="LGZ18" s="15"/>
      <c r="LHF18" s="25"/>
      <c r="LHM18" s="21"/>
      <c r="LHN18" s="21"/>
      <c r="LHR18" s="15"/>
      <c r="LHX18" s="25"/>
      <c r="LIE18" s="21"/>
      <c r="LIF18" s="21"/>
      <c r="LIJ18" s="15"/>
      <c r="LIP18" s="25"/>
      <c r="LIW18" s="21"/>
      <c r="LIX18" s="21"/>
      <c r="LJB18" s="15"/>
      <c r="LJH18" s="25"/>
      <c r="LJO18" s="21"/>
      <c r="LJP18" s="21"/>
      <c r="LJT18" s="15"/>
      <c r="LJZ18" s="25"/>
      <c r="LKG18" s="21"/>
      <c r="LKH18" s="21"/>
      <c r="LKL18" s="15"/>
      <c r="LKR18" s="25"/>
      <c r="LKY18" s="21"/>
      <c r="LKZ18" s="21"/>
      <c r="LLD18" s="15"/>
      <c r="LLJ18" s="25"/>
      <c r="LLQ18" s="21"/>
      <c r="LLR18" s="21"/>
      <c r="LLV18" s="15"/>
      <c r="LMB18" s="25"/>
      <c r="LMI18" s="21"/>
      <c r="LMJ18" s="21"/>
      <c r="LMN18" s="15"/>
      <c r="LMT18" s="25"/>
      <c r="LNA18" s="21"/>
      <c r="LNB18" s="21"/>
      <c r="LNF18" s="15"/>
      <c r="LNL18" s="25"/>
      <c r="LNS18" s="21"/>
      <c r="LNT18" s="21"/>
      <c r="LNX18" s="15"/>
      <c r="LOD18" s="25"/>
      <c r="LOK18" s="21"/>
      <c r="LOL18" s="21"/>
      <c r="LOP18" s="15"/>
      <c r="LOV18" s="25"/>
      <c r="LPC18" s="21"/>
      <c r="LPD18" s="21"/>
      <c r="LPH18" s="15"/>
      <c r="LPN18" s="25"/>
      <c r="LPU18" s="21"/>
      <c r="LPV18" s="21"/>
      <c r="LPZ18" s="15"/>
      <c r="LQF18" s="25"/>
      <c r="LQM18" s="21"/>
      <c r="LQN18" s="21"/>
      <c r="LQR18" s="15"/>
      <c r="LQX18" s="25"/>
      <c r="LRE18" s="21"/>
      <c r="LRF18" s="21"/>
      <c r="LRJ18" s="15"/>
      <c r="LRP18" s="25"/>
      <c r="LRW18" s="21"/>
      <c r="LRX18" s="21"/>
      <c r="LSB18" s="15"/>
      <c r="LSH18" s="25"/>
      <c r="LSO18" s="21"/>
      <c r="LSP18" s="21"/>
      <c r="LST18" s="15"/>
      <c r="LSZ18" s="25"/>
      <c r="LTG18" s="21"/>
      <c r="LTH18" s="21"/>
      <c r="LTL18" s="15"/>
      <c r="LTR18" s="25"/>
      <c r="LTY18" s="21"/>
      <c r="LTZ18" s="21"/>
      <c r="LUD18" s="15"/>
      <c r="LUJ18" s="25"/>
      <c r="LUQ18" s="21"/>
      <c r="LUR18" s="21"/>
      <c r="LUV18" s="15"/>
      <c r="LVB18" s="25"/>
      <c r="LVI18" s="21"/>
      <c r="LVJ18" s="21"/>
      <c r="LVN18" s="15"/>
      <c r="LVT18" s="25"/>
      <c r="LWA18" s="21"/>
      <c r="LWB18" s="21"/>
      <c r="LWF18" s="15"/>
      <c r="LWL18" s="25"/>
      <c r="LWS18" s="21"/>
      <c r="LWT18" s="21"/>
      <c r="LWX18" s="15"/>
      <c r="LXD18" s="25"/>
      <c r="LXK18" s="21"/>
      <c r="LXL18" s="21"/>
      <c r="LXP18" s="15"/>
      <c r="LXV18" s="25"/>
      <c r="LYC18" s="21"/>
      <c r="LYD18" s="21"/>
      <c r="LYH18" s="15"/>
      <c r="LYN18" s="25"/>
      <c r="LYU18" s="21"/>
      <c r="LYV18" s="21"/>
      <c r="LYZ18" s="15"/>
      <c r="LZF18" s="25"/>
      <c r="LZM18" s="21"/>
      <c r="LZN18" s="21"/>
      <c r="LZR18" s="15"/>
      <c r="LZX18" s="25"/>
      <c r="MAE18" s="21"/>
      <c r="MAF18" s="21"/>
      <c r="MAJ18" s="15"/>
      <c r="MAP18" s="25"/>
      <c r="MAW18" s="21"/>
      <c r="MAX18" s="21"/>
      <c r="MBB18" s="15"/>
      <c r="MBH18" s="25"/>
      <c r="MBO18" s="21"/>
      <c r="MBP18" s="21"/>
      <c r="MBT18" s="15"/>
      <c r="MBZ18" s="25"/>
      <c r="MCG18" s="21"/>
      <c r="MCH18" s="21"/>
      <c r="MCL18" s="15"/>
      <c r="MCR18" s="25"/>
      <c r="MCY18" s="21"/>
      <c r="MCZ18" s="21"/>
      <c r="MDD18" s="15"/>
      <c r="MDJ18" s="25"/>
      <c r="MDQ18" s="21"/>
      <c r="MDR18" s="21"/>
      <c r="MDV18" s="15"/>
      <c r="MEB18" s="25"/>
      <c r="MEI18" s="21"/>
      <c r="MEJ18" s="21"/>
      <c r="MEN18" s="15"/>
      <c r="MET18" s="25"/>
      <c r="MFA18" s="21"/>
      <c r="MFB18" s="21"/>
      <c r="MFF18" s="15"/>
      <c r="MFL18" s="25"/>
      <c r="MFS18" s="21"/>
      <c r="MFT18" s="21"/>
      <c r="MFX18" s="15"/>
      <c r="MGD18" s="25"/>
      <c r="MGK18" s="21"/>
      <c r="MGL18" s="21"/>
      <c r="MGP18" s="15"/>
      <c r="MGV18" s="25"/>
      <c r="MHC18" s="21"/>
      <c r="MHD18" s="21"/>
      <c r="MHH18" s="15"/>
      <c r="MHN18" s="25"/>
      <c r="MHU18" s="21"/>
      <c r="MHV18" s="21"/>
      <c r="MHZ18" s="15"/>
      <c r="MIF18" s="25"/>
      <c r="MIM18" s="21"/>
      <c r="MIN18" s="21"/>
      <c r="MIR18" s="15"/>
      <c r="MIX18" s="25"/>
      <c r="MJE18" s="21"/>
      <c r="MJF18" s="21"/>
      <c r="MJJ18" s="15"/>
      <c r="MJP18" s="25"/>
      <c r="MJW18" s="21"/>
      <c r="MJX18" s="21"/>
      <c r="MKB18" s="15"/>
      <c r="MKH18" s="25"/>
      <c r="MKO18" s="21"/>
      <c r="MKP18" s="21"/>
      <c r="MKT18" s="15"/>
      <c r="MKZ18" s="25"/>
      <c r="MLG18" s="21"/>
      <c r="MLH18" s="21"/>
      <c r="MLL18" s="15"/>
      <c r="MLR18" s="25"/>
      <c r="MLY18" s="21"/>
      <c r="MLZ18" s="21"/>
      <c r="MMD18" s="15"/>
      <c r="MMJ18" s="25"/>
      <c r="MMQ18" s="21"/>
      <c r="MMR18" s="21"/>
      <c r="MMV18" s="15"/>
      <c r="MNB18" s="25"/>
      <c r="MNI18" s="21"/>
      <c r="MNJ18" s="21"/>
      <c r="MNN18" s="15"/>
      <c r="MNT18" s="25"/>
      <c r="MOA18" s="21"/>
      <c r="MOB18" s="21"/>
      <c r="MOF18" s="15"/>
      <c r="MOL18" s="25"/>
      <c r="MOS18" s="21"/>
      <c r="MOT18" s="21"/>
      <c r="MOX18" s="15"/>
      <c r="MPD18" s="25"/>
      <c r="MPK18" s="21"/>
      <c r="MPL18" s="21"/>
      <c r="MPP18" s="15"/>
      <c r="MPV18" s="25"/>
      <c r="MQC18" s="21"/>
      <c r="MQD18" s="21"/>
      <c r="MQH18" s="15"/>
      <c r="MQN18" s="25"/>
      <c r="MQU18" s="21"/>
      <c r="MQV18" s="21"/>
      <c r="MQZ18" s="15"/>
      <c r="MRF18" s="25"/>
      <c r="MRM18" s="21"/>
      <c r="MRN18" s="21"/>
      <c r="MRR18" s="15"/>
      <c r="MRX18" s="25"/>
      <c r="MSE18" s="21"/>
      <c r="MSF18" s="21"/>
      <c r="MSJ18" s="15"/>
      <c r="MSP18" s="25"/>
      <c r="MSW18" s="21"/>
      <c r="MSX18" s="21"/>
      <c r="MTB18" s="15"/>
      <c r="MTH18" s="25"/>
      <c r="MTO18" s="21"/>
      <c r="MTP18" s="21"/>
      <c r="MTT18" s="15"/>
      <c r="MTZ18" s="25"/>
      <c r="MUG18" s="21"/>
      <c r="MUH18" s="21"/>
      <c r="MUL18" s="15"/>
      <c r="MUR18" s="25"/>
      <c r="MUY18" s="21"/>
      <c r="MUZ18" s="21"/>
      <c r="MVD18" s="15"/>
      <c r="MVJ18" s="25"/>
      <c r="MVQ18" s="21"/>
      <c r="MVR18" s="21"/>
      <c r="MVV18" s="15"/>
      <c r="MWB18" s="25"/>
      <c r="MWI18" s="21"/>
      <c r="MWJ18" s="21"/>
      <c r="MWN18" s="15"/>
      <c r="MWT18" s="25"/>
      <c r="MXA18" s="21"/>
      <c r="MXB18" s="21"/>
      <c r="MXF18" s="15"/>
      <c r="MXL18" s="25"/>
      <c r="MXS18" s="21"/>
      <c r="MXT18" s="21"/>
      <c r="MXX18" s="15"/>
      <c r="MYD18" s="25"/>
      <c r="MYK18" s="21"/>
      <c r="MYL18" s="21"/>
      <c r="MYP18" s="15"/>
      <c r="MYV18" s="25"/>
      <c r="MZC18" s="21"/>
      <c r="MZD18" s="21"/>
      <c r="MZH18" s="15"/>
      <c r="MZN18" s="25"/>
      <c r="MZU18" s="21"/>
      <c r="MZV18" s="21"/>
      <c r="MZZ18" s="15"/>
      <c r="NAF18" s="25"/>
      <c r="NAM18" s="21"/>
      <c r="NAN18" s="21"/>
      <c r="NAR18" s="15"/>
      <c r="NAX18" s="25"/>
      <c r="NBE18" s="21"/>
      <c r="NBF18" s="21"/>
      <c r="NBJ18" s="15"/>
      <c r="NBP18" s="25"/>
      <c r="NBW18" s="21"/>
      <c r="NBX18" s="21"/>
      <c r="NCB18" s="15"/>
      <c r="NCH18" s="25"/>
      <c r="NCO18" s="21"/>
      <c r="NCP18" s="21"/>
      <c r="NCT18" s="15"/>
      <c r="NCZ18" s="25"/>
      <c r="NDG18" s="21"/>
      <c r="NDH18" s="21"/>
      <c r="NDL18" s="15"/>
      <c r="NDR18" s="25"/>
      <c r="NDY18" s="21"/>
      <c r="NDZ18" s="21"/>
      <c r="NED18" s="15"/>
      <c r="NEJ18" s="25"/>
      <c r="NEQ18" s="21"/>
      <c r="NER18" s="21"/>
      <c r="NEV18" s="15"/>
      <c r="NFB18" s="25"/>
      <c r="NFI18" s="21"/>
      <c r="NFJ18" s="21"/>
      <c r="NFN18" s="15"/>
      <c r="NFT18" s="25"/>
      <c r="NGA18" s="21"/>
      <c r="NGB18" s="21"/>
      <c r="NGF18" s="15"/>
      <c r="NGL18" s="25"/>
      <c r="NGS18" s="21"/>
      <c r="NGT18" s="21"/>
      <c r="NGX18" s="15"/>
      <c r="NHD18" s="25"/>
      <c r="NHK18" s="21"/>
      <c r="NHL18" s="21"/>
      <c r="NHP18" s="15"/>
      <c r="NHV18" s="25"/>
      <c r="NIC18" s="21"/>
      <c r="NID18" s="21"/>
      <c r="NIH18" s="15"/>
      <c r="NIN18" s="25"/>
      <c r="NIU18" s="21"/>
      <c r="NIV18" s="21"/>
      <c r="NIZ18" s="15"/>
      <c r="NJF18" s="25"/>
      <c r="NJM18" s="21"/>
      <c r="NJN18" s="21"/>
      <c r="NJR18" s="15"/>
      <c r="NJX18" s="25"/>
      <c r="NKE18" s="21"/>
      <c r="NKF18" s="21"/>
      <c r="NKJ18" s="15"/>
      <c r="NKP18" s="25"/>
      <c r="NKW18" s="21"/>
      <c r="NKX18" s="21"/>
      <c r="NLB18" s="15"/>
      <c r="NLH18" s="25"/>
      <c r="NLO18" s="21"/>
      <c r="NLP18" s="21"/>
      <c r="NLT18" s="15"/>
      <c r="NLZ18" s="25"/>
      <c r="NMG18" s="21"/>
      <c r="NMH18" s="21"/>
      <c r="NML18" s="15"/>
      <c r="NMR18" s="25"/>
      <c r="NMY18" s="21"/>
      <c r="NMZ18" s="21"/>
      <c r="NND18" s="15"/>
      <c r="NNJ18" s="25"/>
      <c r="NNQ18" s="21"/>
      <c r="NNR18" s="21"/>
      <c r="NNV18" s="15"/>
      <c r="NOB18" s="25"/>
      <c r="NOI18" s="21"/>
      <c r="NOJ18" s="21"/>
      <c r="NON18" s="15"/>
      <c r="NOT18" s="25"/>
      <c r="NPA18" s="21"/>
      <c r="NPB18" s="21"/>
      <c r="NPF18" s="15"/>
      <c r="NPL18" s="25"/>
      <c r="NPS18" s="21"/>
      <c r="NPT18" s="21"/>
      <c r="NPX18" s="15"/>
      <c r="NQD18" s="25"/>
      <c r="NQK18" s="21"/>
      <c r="NQL18" s="21"/>
      <c r="NQP18" s="15"/>
      <c r="NQV18" s="25"/>
      <c r="NRC18" s="21"/>
      <c r="NRD18" s="21"/>
      <c r="NRH18" s="15"/>
      <c r="NRN18" s="25"/>
      <c r="NRU18" s="21"/>
      <c r="NRV18" s="21"/>
      <c r="NRZ18" s="15"/>
      <c r="NSF18" s="25"/>
      <c r="NSM18" s="21"/>
      <c r="NSN18" s="21"/>
      <c r="NSR18" s="15"/>
      <c r="NSX18" s="25"/>
      <c r="NTE18" s="21"/>
      <c r="NTF18" s="21"/>
      <c r="NTJ18" s="15"/>
      <c r="NTP18" s="25"/>
      <c r="NTW18" s="21"/>
      <c r="NTX18" s="21"/>
      <c r="NUB18" s="15"/>
      <c r="NUH18" s="25"/>
      <c r="NUO18" s="21"/>
      <c r="NUP18" s="21"/>
      <c r="NUT18" s="15"/>
      <c r="NUZ18" s="25"/>
      <c r="NVG18" s="21"/>
      <c r="NVH18" s="21"/>
      <c r="NVL18" s="15"/>
      <c r="NVR18" s="25"/>
      <c r="NVY18" s="21"/>
      <c r="NVZ18" s="21"/>
      <c r="NWD18" s="15"/>
      <c r="NWJ18" s="25"/>
      <c r="NWQ18" s="21"/>
      <c r="NWR18" s="21"/>
      <c r="NWV18" s="15"/>
      <c r="NXB18" s="25"/>
      <c r="NXI18" s="21"/>
      <c r="NXJ18" s="21"/>
      <c r="NXN18" s="15"/>
      <c r="NXT18" s="25"/>
      <c r="NYA18" s="21"/>
      <c r="NYB18" s="21"/>
      <c r="NYF18" s="15"/>
      <c r="NYL18" s="25"/>
      <c r="NYS18" s="21"/>
      <c r="NYT18" s="21"/>
      <c r="NYX18" s="15"/>
      <c r="NZD18" s="25"/>
      <c r="NZK18" s="21"/>
      <c r="NZL18" s="21"/>
      <c r="NZP18" s="15"/>
      <c r="NZV18" s="25"/>
      <c r="OAC18" s="21"/>
      <c r="OAD18" s="21"/>
      <c r="OAH18" s="15"/>
      <c r="OAN18" s="25"/>
      <c r="OAU18" s="21"/>
      <c r="OAV18" s="21"/>
      <c r="OAZ18" s="15"/>
      <c r="OBF18" s="25"/>
      <c r="OBM18" s="21"/>
      <c r="OBN18" s="21"/>
      <c r="OBR18" s="15"/>
      <c r="OBX18" s="25"/>
      <c r="OCE18" s="21"/>
      <c r="OCF18" s="21"/>
      <c r="OCJ18" s="15"/>
      <c r="OCP18" s="25"/>
      <c r="OCW18" s="21"/>
      <c r="OCX18" s="21"/>
      <c r="ODB18" s="15"/>
      <c r="ODH18" s="25"/>
      <c r="ODO18" s="21"/>
      <c r="ODP18" s="21"/>
      <c r="ODT18" s="15"/>
      <c r="ODZ18" s="25"/>
      <c r="OEG18" s="21"/>
      <c r="OEH18" s="21"/>
      <c r="OEL18" s="15"/>
      <c r="OER18" s="25"/>
      <c r="OEY18" s="21"/>
      <c r="OEZ18" s="21"/>
      <c r="OFD18" s="15"/>
      <c r="OFJ18" s="25"/>
      <c r="OFQ18" s="21"/>
      <c r="OFR18" s="21"/>
      <c r="OFV18" s="15"/>
      <c r="OGB18" s="25"/>
      <c r="OGI18" s="21"/>
      <c r="OGJ18" s="21"/>
      <c r="OGN18" s="15"/>
      <c r="OGT18" s="25"/>
      <c r="OHA18" s="21"/>
      <c r="OHB18" s="21"/>
      <c r="OHF18" s="15"/>
      <c r="OHL18" s="25"/>
      <c r="OHS18" s="21"/>
      <c r="OHT18" s="21"/>
      <c r="OHX18" s="15"/>
      <c r="OID18" s="25"/>
      <c r="OIK18" s="21"/>
      <c r="OIL18" s="21"/>
      <c r="OIP18" s="15"/>
      <c r="OIV18" s="25"/>
      <c r="OJC18" s="21"/>
      <c r="OJD18" s="21"/>
      <c r="OJH18" s="15"/>
      <c r="OJN18" s="25"/>
      <c r="OJU18" s="21"/>
      <c r="OJV18" s="21"/>
      <c r="OJZ18" s="15"/>
      <c r="OKF18" s="25"/>
      <c r="OKM18" s="21"/>
      <c r="OKN18" s="21"/>
      <c r="OKR18" s="15"/>
      <c r="OKX18" s="25"/>
      <c r="OLE18" s="21"/>
      <c r="OLF18" s="21"/>
      <c r="OLJ18" s="15"/>
      <c r="OLP18" s="25"/>
      <c r="OLW18" s="21"/>
      <c r="OLX18" s="21"/>
      <c r="OMB18" s="15"/>
      <c r="OMH18" s="25"/>
      <c r="OMO18" s="21"/>
      <c r="OMP18" s="21"/>
      <c r="OMT18" s="15"/>
      <c r="OMZ18" s="25"/>
      <c r="ONG18" s="21"/>
      <c r="ONH18" s="21"/>
      <c r="ONL18" s="15"/>
      <c r="ONR18" s="25"/>
      <c r="ONY18" s="21"/>
      <c r="ONZ18" s="21"/>
      <c r="OOD18" s="15"/>
      <c r="OOJ18" s="25"/>
      <c r="OOQ18" s="21"/>
      <c r="OOR18" s="21"/>
      <c r="OOV18" s="15"/>
      <c r="OPB18" s="25"/>
      <c r="OPI18" s="21"/>
      <c r="OPJ18" s="21"/>
      <c r="OPN18" s="15"/>
      <c r="OPT18" s="25"/>
      <c r="OQA18" s="21"/>
      <c r="OQB18" s="21"/>
      <c r="OQF18" s="15"/>
      <c r="OQL18" s="25"/>
      <c r="OQS18" s="21"/>
      <c r="OQT18" s="21"/>
      <c r="OQX18" s="15"/>
      <c r="ORD18" s="25"/>
      <c r="ORK18" s="21"/>
      <c r="ORL18" s="21"/>
      <c r="ORP18" s="15"/>
      <c r="ORV18" s="25"/>
      <c r="OSC18" s="21"/>
      <c r="OSD18" s="21"/>
      <c r="OSH18" s="15"/>
      <c r="OSN18" s="25"/>
      <c r="OSU18" s="21"/>
      <c r="OSV18" s="21"/>
      <c r="OSZ18" s="15"/>
      <c r="OTF18" s="25"/>
      <c r="OTM18" s="21"/>
      <c r="OTN18" s="21"/>
      <c r="OTR18" s="15"/>
      <c r="OTX18" s="25"/>
      <c r="OUE18" s="21"/>
      <c r="OUF18" s="21"/>
      <c r="OUJ18" s="15"/>
      <c r="OUP18" s="25"/>
      <c r="OUW18" s="21"/>
      <c r="OUX18" s="21"/>
      <c r="OVB18" s="15"/>
      <c r="OVH18" s="25"/>
      <c r="OVO18" s="21"/>
      <c r="OVP18" s="21"/>
      <c r="OVT18" s="15"/>
      <c r="OVZ18" s="25"/>
      <c r="OWG18" s="21"/>
      <c r="OWH18" s="21"/>
      <c r="OWL18" s="15"/>
      <c r="OWR18" s="25"/>
      <c r="OWY18" s="21"/>
      <c r="OWZ18" s="21"/>
      <c r="OXD18" s="15"/>
      <c r="OXJ18" s="25"/>
      <c r="OXQ18" s="21"/>
      <c r="OXR18" s="21"/>
      <c r="OXV18" s="15"/>
      <c r="OYB18" s="25"/>
      <c r="OYI18" s="21"/>
      <c r="OYJ18" s="21"/>
      <c r="OYN18" s="15"/>
      <c r="OYT18" s="25"/>
      <c r="OZA18" s="21"/>
      <c r="OZB18" s="21"/>
      <c r="OZF18" s="15"/>
      <c r="OZL18" s="25"/>
      <c r="OZS18" s="21"/>
      <c r="OZT18" s="21"/>
      <c r="OZX18" s="15"/>
      <c r="PAD18" s="25"/>
      <c r="PAK18" s="21"/>
      <c r="PAL18" s="21"/>
      <c r="PAP18" s="15"/>
      <c r="PAV18" s="25"/>
      <c r="PBC18" s="21"/>
      <c r="PBD18" s="21"/>
      <c r="PBH18" s="15"/>
      <c r="PBN18" s="25"/>
      <c r="PBU18" s="21"/>
      <c r="PBV18" s="21"/>
      <c r="PBZ18" s="15"/>
      <c r="PCF18" s="25"/>
      <c r="PCM18" s="21"/>
      <c r="PCN18" s="21"/>
      <c r="PCR18" s="15"/>
      <c r="PCX18" s="25"/>
      <c r="PDE18" s="21"/>
      <c r="PDF18" s="21"/>
      <c r="PDJ18" s="15"/>
      <c r="PDP18" s="25"/>
      <c r="PDW18" s="21"/>
      <c r="PDX18" s="21"/>
      <c r="PEB18" s="15"/>
      <c r="PEH18" s="25"/>
      <c r="PEO18" s="21"/>
      <c r="PEP18" s="21"/>
      <c r="PET18" s="15"/>
      <c r="PEZ18" s="25"/>
      <c r="PFG18" s="21"/>
      <c r="PFH18" s="21"/>
      <c r="PFL18" s="15"/>
      <c r="PFR18" s="25"/>
      <c r="PFY18" s="21"/>
      <c r="PFZ18" s="21"/>
      <c r="PGD18" s="15"/>
      <c r="PGJ18" s="25"/>
      <c r="PGQ18" s="21"/>
      <c r="PGR18" s="21"/>
      <c r="PGV18" s="15"/>
      <c r="PHB18" s="25"/>
      <c r="PHI18" s="21"/>
      <c r="PHJ18" s="21"/>
      <c r="PHN18" s="15"/>
      <c r="PHT18" s="25"/>
      <c r="PIA18" s="21"/>
      <c r="PIB18" s="21"/>
      <c r="PIF18" s="15"/>
      <c r="PIL18" s="25"/>
      <c r="PIS18" s="21"/>
      <c r="PIT18" s="21"/>
      <c r="PIX18" s="15"/>
      <c r="PJD18" s="25"/>
      <c r="PJK18" s="21"/>
      <c r="PJL18" s="21"/>
      <c r="PJP18" s="15"/>
      <c r="PJV18" s="25"/>
      <c r="PKC18" s="21"/>
      <c r="PKD18" s="21"/>
      <c r="PKH18" s="15"/>
      <c r="PKN18" s="25"/>
      <c r="PKU18" s="21"/>
      <c r="PKV18" s="21"/>
      <c r="PKZ18" s="15"/>
      <c r="PLF18" s="25"/>
      <c r="PLM18" s="21"/>
      <c r="PLN18" s="21"/>
      <c r="PLR18" s="15"/>
      <c r="PLX18" s="25"/>
      <c r="PME18" s="21"/>
      <c r="PMF18" s="21"/>
      <c r="PMJ18" s="15"/>
      <c r="PMP18" s="25"/>
      <c r="PMW18" s="21"/>
      <c r="PMX18" s="21"/>
      <c r="PNB18" s="15"/>
      <c r="PNH18" s="25"/>
      <c r="PNO18" s="21"/>
      <c r="PNP18" s="21"/>
      <c r="PNT18" s="15"/>
      <c r="PNZ18" s="25"/>
      <c r="POG18" s="21"/>
      <c r="POH18" s="21"/>
      <c r="POL18" s="15"/>
      <c r="POR18" s="25"/>
      <c r="POY18" s="21"/>
      <c r="POZ18" s="21"/>
      <c r="PPD18" s="15"/>
      <c r="PPJ18" s="25"/>
      <c r="PPQ18" s="21"/>
      <c r="PPR18" s="21"/>
      <c r="PPV18" s="15"/>
      <c r="PQB18" s="25"/>
      <c r="PQI18" s="21"/>
      <c r="PQJ18" s="21"/>
      <c r="PQN18" s="15"/>
      <c r="PQT18" s="25"/>
      <c r="PRA18" s="21"/>
      <c r="PRB18" s="21"/>
      <c r="PRF18" s="15"/>
      <c r="PRL18" s="25"/>
      <c r="PRS18" s="21"/>
      <c r="PRT18" s="21"/>
      <c r="PRX18" s="15"/>
      <c r="PSD18" s="25"/>
      <c r="PSK18" s="21"/>
      <c r="PSL18" s="21"/>
      <c r="PSP18" s="15"/>
      <c r="PSV18" s="25"/>
      <c r="PTC18" s="21"/>
      <c r="PTD18" s="21"/>
      <c r="PTH18" s="15"/>
      <c r="PTN18" s="25"/>
      <c r="PTU18" s="21"/>
      <c r="PTV18" s="21"/>
      <c r="PTZ18" s="15"/>
      <c r="PUF18" s="25"/>
      <c r="PUM18" s="21"/>
      <c r="PUN18" s="21"/>
      <c r="PUR18" s="15"/>
      <c r="PUX18" s="25"/>
      <c r="PVE18" s="21"/>
      <c r="PVF18" s="21"/>
      <c r="PVJ18" s="15"/>
      <c r="PVP18" s="25"/>
      <c r="PVW18" s="21"/>
      <c r="PVX18" s="21"/>
      <c r="PWB18" s="15"/>
      <c r="PWH18" s="25"/>
      <c r="PWO18" s="21"/>
      <c r="PWP18" s="21"/>
      <c r="PWT18" s="15"/>
      <c r="PWZ18" s="25"/>
      <c r="PXG18" s="21"/>
      <c r="PXH18" s="21"/>
      <c r="PXL18" s="15"/>
      <c r="PXR18" s="25"/>
      <c r="PXY18" s="21"/>
      <c r="PXZ18" s="21"/>
      <c r="PYD18" s="15"/>
      <c r="PYJ18" s="25"/>
      <c r="PYQ18" s="21"/>
      <c r="PYR18" s="21"/>
      <c r="PYV18" s="15"/>
      <c r="PZB18" s="25"/>
      <c r="PZI18" s="21"/>
      <c r="PZJ18" s="21"/>
      <c r="PZN18" s="15"/>
      <c r="PZT18" s="25"/>
      <c r="QAA18" s="21"/>
      <c r="QAB18" s="21"/>
      <c r="QAF18" s="15"/>
      <c r="QAL18" s="25"/>
      <c r="QAS18" s="21"/>
      <c r="QAT18" s="21"/>
      <c r="QAX18" s="15"/>
      <c r="QBD18" s="25"/>
      <c r="QBK18" s="21"/>
      <c r="QBL18" s="21"/>
      <c r="QBP18" s="15"/>
      <c r="QBV18" s="25"/>
      <c r="QCC18" s="21"/>
      <c r="QCD18" s="21"/>
      <c r="QCH18" s="15"/>
      <c r="QCN18" s="25"/>
      <c r="QCU18" s="21"/>
      <c r="QCV18" s="21"/>
      <c r="QCZ18" s="15"/>
      <c r="QDF18" s="25"/>
      <c r="QDM18" s="21"/>
      <c r="QDN18" s="21"/>
      <c r="QDR18" s="15"/>
      <c r="QDX18" s="25"/>
      <c r="QEE18" s="21"/>
      <c r="QEF18" s="21"/>
      <c r="QEJ18" s="15"/>
      <c r="QEP18" s="25"/>
      <c r="QEW18" s="21"/>
      <c r="QEX18" s="21"/>
      <c r="QFB18" s="15"/>
      <c r="QFH18" s="25"/>
      <c r="QFO18" s="21"/>
      <c r="QFP18" s="21"/>
      <c r="QFT18" s="15"/>
      <c r="QFZ18" s="25"/>
      <c r="QGG18" s="21"/>
      <c r="QGH18" s="21"/>
      <c r="QGL18" s="15"/>
      <c r="QGR18" s="25"/>
      <c r="QGY18" s="21"/>
      <c r="QGZ18" s="21"/>
      <c r="QHD18" s="15"/>
      <c r="QHJ18" s="25"/>
      <c r="QHQ18" s="21"/>
      <c r="QHR18" s="21"/>
      <c r="QHV18" s="15"/>
      <c r="QIB18" s="25"/>
      <c r="QII18" s="21"/>
      <c r="QIJ18" s="21"/>
      <c r="QIN18" s="15"/>
      <c r="QIT18" s="25"/>
      <c r="QJA18" s="21"/>
      <c r="QJB18" s="21"/>
      <c r="QJF18" s="15"/>
      <c r="QJL18" s="25"/>
      <c r="QJS18" s="21"/>
      <c r="QJT18" s="21"/>
      <c r="QJX18" s="15"/>
      <c r="QKD18" s="25"/>
      <c r="QKK18" s="21"/>
      <c r="QKL18" s="21"/>
      <c r="QKP18" s="15"/>
      <c r="QKV18" s="25"/>
      <c r="QLC18" s="21"/>
      <c r="QLD18" s="21"/>
      <c r="QLH18" s="15"/>
      <c r="QLN18" s="25"/>
      <c r="QLU18" s="21"/>
      <c r="QLV18" s="21"/>
      <c r="QLZ18" s="15"/>
      <c r="QMF18" s="25"/>
      <c r="QMM18" s="21"/>
      <c r="QMN18" s="21"/>
      <c r="QMR18" s="15"/>
      <c r="QMX18" s="25"/>
      <c r="QNE18" s="21"/>
      <c r="QNF18" s="21"/>
      <c r="QNJ18" s="15"/>
      <c r="QNP18" s="25"/>
      <c r="QNW18" s="21"/>
      <c r="QNX18" s="21"/>
      <c r="QOB18" s="15"/>
      <c r="QOH18" s="25"/>
      <c r="QOO18" s="21"/>
      <c r="QOP18" s="21"/>
      <c r="QOT18" s="15"/>
      <c r="QOZ18" s="25"/>
      <c r="QPG18" s="21"/>
      <c r="QPH18" s="21"/>
      <c r="QPL18" s="15"/>
      <c r="QPR18" s="25"/>
      <c r="QPY18" s="21"/>
      <c r="QPZ18" s="21"/>
      <c r="QQD18" s="15"/>
      <c r="QQJ18" s="25"/>
      <c r="QQQ18" s="21"/>
      <c r="QQR18" s="21"/>
      <c r="QQV18" s="15"/>
      <c r="QRB18" s="25"/>
      <c r="QRI18" s="21"/>
      <c r="QRJ18" s="21"/>
      <c r="QRN18" s="15"/>
      <c r="QRT18" s="25"/>
      <c r="QSA18" s="21"/>
      <c r="QSB18" s="21"/>
      <c r="QSF18" s="15"/>
      <c r="QSL18" s="25"/>
      <c r="QSS18" s="21"/>
      <c r="QST18" s="21"/>
      <c r="QSX18" s="15"/>
      <c r="QTD18" s="25"/>
      <c r="QTK18" s="21"/>
      <c r="QTL18" s="21"/>
      <c r="QTP18" s="15"/>
      <c r="QTV18" s="25"/>
      <c r="QUC18" s="21"/>
      <c r="QUD18" s="21"/>
      <c r="QUH18" s="15"/>
      <c r="QUN18" s="25"/>
      <c r="QUU18" s="21"/>
      <c r="QUV18" s="21"/>
      <c r="QUZ18" s="15"/>
      <c r="QVF18" s="25"/>
      <c r="QVM18" s="21"/>
      <c r="QVN18" s="21"/>
      <c r="QVR18" s="15"/>
      <c r="QVX18" s="25"/>
      <c r="QWE18" s="21"/>
      <c r="QWF18" s="21"/>
      <c r="QWJ18" s="15"/>
      <c r="QWP18" s="25"/>
      <c r="QWW18" s="21"/>
      <c r="QWX18" s="21"/>
      <c r="QXB18" s="15"/>
      <c r="QXH18" s="25"/>
      <c r="QXO18" s="21"/>
      <c r="QXP18" s="21"/>
      <c r="QXT18" s="15"/>
      <c r="QXZ18" s="25"/>
      <c r="QYG18" s="21"/>
      <c r="QYH18" s="21"/>
      <c r="QYL18" s="15"/>
      <c r="QYR18" s="25"/>
      <c r="QYY18" s="21"/>
      <c r="QYZ18" s="21"/>
      <c r="QZD18" s="15"/>
      <c r="QZJ18" s="25"/>
      <c r="QZQ18" s="21"/>
      <c r="QZR18" s="21"/>
      <c r="QZV18" s="15"/>
      <c r="RAB18" s="25"/>
      <c r="RAI18" s="21"/>
      <c r="RAJ18" s="21"/>
      <c r="RAN18" s="15"/>
      <c r="RAT18" s="25"/>
      <c r="RBA18" s="21"/>
      <c r="RBB18" s="21"/>
      <c r="RBF18" s="15"/>
      <c r="RBL18" s="25"/>
      <c r="RBS18" s="21"/>
      <c r="RBT18" s="21"/>
      <c r="RBX18" s="15"/>
      <c r="RCD18" s="25"/>
      <c r="RCK18" s="21"/>
      <c r="RCL18" s="21"/>
      <c r="RCP18" s="15"/>
      <c r="RCV18" s="25"/>
      <c r="RDC18" s="21"/>
      <c r="RDD18" s="21"/>
      <c r="RDH18" s="15"/>
      <c r="RDN18" s="25"/>
      <c r="RDU18" s="21"/>
      <c r="RDV18" s="21"/>
      <c r="RDZ18" s="15"/>
      <c r="REF18" s="25"/>
      <c r="REM18" s="21"/>
      <c r="REN18" s="21"/>
      <c r="RER18" s="15"/>
      <c r="REX18" s="25"/>
      <c r="RFE18" s="21"/>
      <c r="RFF18" s="21"/>
      <c r="RFJ18" s="15"/>
      <c r="RFP18" s="25"/>
      <c r="RFW18" s="21"/>
      <c r="RFX18" s="21"/>
      <c r="RGB18" s="15"/>
      <c r="RGH18" s="25"/>
      <c r="RGO18" s="21"/>
      <c r="RGP18" s="21"/>
      <c r="RGT18" s="15"/>
      <c r="RGZ18" s="25"/>
      <c r="RHG18" s="21"/>
      <c r="RHH18" s="21"/>
      <c r="RHL18" s="15"/>
      <c r="RHR18" s="25"/>
      <c r="RHY18" s="21"/>
      <c r="RHZ18" s="21"/>
      <c r="RID18" s="15"/>
      <c r="RIJ18" s="25"/>
      <c r="RIQ18" s="21"/>
      <c r="RIR18" s="21"/>
      <c r="RIV18" s="15"/>
      <c r="RJB18" s="25"/>
      <c r="RJI18" s="21"/>
      <c r="RJJ18" s="21"/>
      <c r="RJN18" s="15"/>
      <c r="RJT18" s="25"/>
      <c r="RKA18" s="21"/>
      <c r="RKB18" s="21"/>
      <c r="RKF18" s="15"/>
      <c r="RKL18" s="25"/>
      <c r="RKS18" s="21"/>
      <c r="RKT18" s="21"/>
      <c r="RKX18" s="15"/>
      <c r="RLD18" s="25"/>
      <c r="RLK18" s="21"/>
      <c r="RLL18" s="21"/>
      <c r="RLP18" s="15"/>
      <c r="RLV18" s="25"/>
      <c r="RMC18" s="21"/>
      <c r="RMD18" s="21"/>
      <c r="RMH18" s="15"/>
      <c r="RMN18" s="25"/>
      <c r="RMU18" s="21"/>
      <c r="RMV18" s="21"/>
      <c r="RMZ18" s="15"/>
      <c r="RNF18" s="25"/>
      <c r="RNM18" s="21"/>
      <c r="RNN18" s="21"/>
      <c r="RNR18" s="15"/>
      <c r="RNX18" s="25"/>
      <c r="ROE18" s="21"/>
      <c r="ROF18" s="21"/>
      <c r="ROJ18" s="15"/>
      <c r="ROP18" s="25"/>
      <c r="ROW18" s="21"/>
      <c r="ROX18" s="21"/>
      <c r="RPB18" s="15"/>
      <c r="RPH18" s="25"/>
      <c r="RPO18" s="21"/>
      <c r="RPP18" s="21"/>
      <c r="RPT18" s="15"/>
      <c r="RPZ18" s="25"/>
      <c r="RQG18" s="21"/>
      <c r="RQH18" s="21"/>
      <c r="RQL18" s="15"/>
      <c r="RQR18" s="25"/>
      <c r="RQY18" s="21"/>
      <c r="RQZ18" s="21"/>
      <c r="RRD18" s="15"/>
      <c r="RRJ18" s="25"/>
      <c r="RRQ18" s="21"/>
      <c r="RRR18" s="21"/>
      <c r="RRV18" s="15"/>
      <c r="RSB18" s="25"/>
      <c r="RSI18" s="21"/>
      <c r="RSJ18" s="21"/>
      <c r="RSN18" s="15"/>
      <c r="RST18" s="25"/>
      <c r="RTA18" s="21"/>
      <c r="RTB18" s="21"/>
      <c r="RTF18" s="15"/>
      <c r="RTL18" s="25"/>
      <c r="RTS18" s="21"/>
      <c r="RTT18" s="21"/>
      <c r="RTX18" s="15"/>
      <c r="RUD18" s="25"/>
      <c r="RUK18" s="21"/>
      <c r="RUL18" s="21"/>
      <c r="RUP18" s="15"/>
      <c r="RUV18" s="25"/>
      <c r="RVC18" s="21"/>
      <c r="RVD18" s="21"/>
      <c r="RVH18" s="15"/>
      <c r="RVN18" s="25"/>
      <c r="RVU18" s="21"/>
      <c r="RVV18" s="21"/>
      <c r="RVZ18" s="15"/>
      <c r="RWF18" s="25"/>
      <c r="RWM18" s="21"/>
      <c r="RWN18" s="21"/>
      <c r="RWR18" s="15"/>
      <c r="RWX18" s="25"/>
      <c r="RXE18" s="21"/>
      <c r="RXF18" s="21"/>
      <c r="RXJ18" s="15"/>
      <c r="RXP18" s="25"/>
      <c r="RXW18" s="21"/>
      <c r="RXX18" s="21"/>
      <c r="RYB18" s="15"/>
      <c r="RYH18" s="25"/>
      <c r="RYO18" s="21"/>
      <c r="RYP18" s="21"/>
      <c r="RYT18" s="15"/>
      <c r="RYZ18" s="25"/>
      <c r="RZG18" s="21"/>
      <c r="RZH18" s="21"/>
      <c r="RZL18" s="15"/>
      <c r="RZR18" s="25"/>
      <c r="RZY18" s="21"/>
      <c r="RZZ18" s="21"/>
      <c r="SAD18" s="15"/>
      <c r="SAJ18" s="25"/>
      <c r="SAQ18" s="21"/>
      <c r="SAR18" s="21"/>
      <c r="SAV18" s="15"/>
      <c r="SBB18" s="25"/>
      <c r="SBI18" s="21"/>
      <c r="SBJ18" s="21"/>
      <c r="SBN18" s="15"/>
      <c r="SBT18" s="25"/>
      <c r="SCA18" s="21"/>
      <c r="SCB18" s="21"/>
      <c r="SCF18" s="15"/>
      <c r="SCL18" s="25"/>
      <c r="SCS18" s="21"/>
      <c r="SCT18" s="21"/>
      <c r="SCX18" s="15"/>
      <c r="SDD18" s="25"/>
      <c r="SDK18" s="21"/>
      <c r="SDL18" s="21"/>
      <c r="SDP18" s="15"/>
      <c r="SDV18" s="25"/>
      <c r="SEC18" s="21"/>
      <c r="SED18" s="21"/>
      <c r="SEH18" s="15"/>
      <c r="SEN18" s="25"/>
      <c r="SEU18" s="21"/>
      <c r="SEV18" s="21"/>
      <c r="SEZ18" s="15"/>
      <c r="SFF18" s="25"/>
      <c r="SFM18" s="21"/>
      <c r="SFN18" s="21"/>
      <c r="SFR18" s="15"/>
      <c r="SFX18" s="25"/>
      <c r="SGE18" s="21"/>
      <c r="SGF18" s="21"/>
      <c r="SGJ18" s="15"/>
      <c r="SGP18" s="25"/>
      <c r="SGW18" s="21"/>
      <c r="SGX18" s="21"/>
      <c r="SHB18" s="15"/>
      <c r="SHH18" s="25"/>
      <c r="SHO18" s="21"/>
      <c r="SHP18" s="21"/>
      <c r="SHT18" s="15"/>
      <c r="SHZ18" s="25"/>
      <c r="SIG18" s="21"/>
      <c r="SIH18" s="21"/>
      <c r="SIL18" s="15"/>
      <c r="SIR18" s="25"/>
      <c r="SIY18" s="21"/>
      <c r="SIZ18" s="21"/>
      <c r="SJD18" s="15"/>
      <c r="SJJ18" s="25"/>
      <c r="SJQ18" s="21"/>
      <c r="SJR18" s="21"/>
      <c r="SJV18" s="15"/>
      <c r="SKB18" s="25"/>
      <c r="SKI18" s="21"/>
      <c r="SKJ18" s="21"/>
      <c r="SKN18" s="15"/>
      <c r="SKT18" s="25"/>
      <c r="SLA18" s="21"/>
      <c r="SLB18" s="21"/>
      <c r="SLF18" s="15"/>
      <c r="SLL18" s="25"/>
      <c r="SLS18" s="21"/>
      <c r="SLT18" s="21"/>
      <c r="SLX18" s="15"/>
      <c r="SMD18" s="25"/>
      <c r="SMK18" s="21"/>
      <c r="SML18" s="21"/>
      <c r="SMP18" s="15"/>
      <c r="SMV18" s="25"/>
      <c r="SNC18" s="21"/>
      <c r="SND18" s="21"/>
      <c r="SNH18" s="15"/>
      <c r="SNN18" s="25"/>
      <c r="SNU18" s="21"/>
      <c r="SNV18" s="21"/>
      <c r="SNZ18" s="15"/>
      <c r="SOF18" s="25"/>
      <c r="SOM18" s="21"/>
      <c r="SON18" s="21"/>
      <c r="SOR18" s="15"/>
      <c r="SOX18" s="25"/>
      <c r="SPE18" s="21"/>
      <c r="SPF18" s="21"/>
      <c r="SPJ18" s="15"/>
      <c r="SPP18" s="25"/>
      <c r="SPW18" s="21"/>
      <c r="SPX18" s="21"/>
      <c r="SQB18" s="15"/>
      <c r="SQH18" s="25"/>
      <c r="SQO18" s="21"/>
      <c r="SQP18" s="21"/>
      <c r="SQT18" s="15"/>
      <c r="SQZ18" s="25"/>
      <c r="SRG18" s="21"/>
      <c r="SRH18" s="21"/>
      <c r="SRL18" s="15"/>
      <c r="SRR18" s="25"/>
      <c r="SRY18" s="21"/>
      <c r="SRZ18" s="21"/>
      <c r="SSD18" s="15"/>
      <c r="SSJ18" s="25"/>
      <c r="SSQ18" s="21"/>
      <c r="SSR18" s="21"/>
      <c r="SSV18" s="15"/>
      <c r="STB18" s="25"/>
      <c r="STI18" s="21"/>
      <c r="STJ18" s="21"/>
      <c r="STN18" s="15"/>
      <c r="STT18" s="25"/>
      <c r="SUA18" s="21"/>
      <c r="SUB18" s="21"/>
      <c r="SUF18" s="15"/>
      <c r="SUL18" s="25"/>
      <c r="SUS18" s="21"/>
      <c r="SUT18" s="21"/>
      <c r="SUX18" s="15"/>
      <c r="SVD18" s="25"/>
      <c r="SVK18" s="21"/>
      <c r="SVL18" s="21"/>
      <c r="SVP18" s="15"/>
      <c r="SVV18" s="25"/>
      <c r="SWC18" s="21"/>
      <c r="SWD18" s="21"/>
      <c r="SWH18" s="15"/>
      <c r="SWN18" s="25"/>
      <c r="SWU18" s="21"/>
      <c r="SWV18" s="21"/>
      <c r="SWZ18" s="15"/>
      <c r="SXF18" s="25"/>
      <c r="SXM18" s="21"/>
      <c r="SXN18" s="21"/>
      <c r="SXR18" s="15"/>
      <c r="SXX18" s="25"/>
      <c r="SYE18" s="21"/>
      <c r="SYF18" s="21"/>
      <c r="SYJ18" s="15"/>
      <c r="SYP18" s="25"/>
      <c r="SYW18" s="21"/>
      <c r="SYX18" s="21"/>
      <c r="SZB18" s="15"/>
      <c r="SZH18" s="25"/>
      <c r="SZO18" s="21"/>
      <c r="SZP18" s="21"/>
      <c r="SZT18" s="15"/>
      <c r="SZZ18" s="25"/>
      <c r="TAG18" s="21"/>
      <c r="TAH18" s="21"/>
      <c r="TAL18" s="15"/>
      <c r="TAR18" s="25"/>
      <c r="TAY18" s="21"/>
      <c r="TAZ18" s="21"/>
      <c r="TBD18" s="15"/>
      <c r="TBJ18" s="25"/>
      <c r="TBQ18" s="21"/>
      <c r="TBR18" s="21"/>
      <c r="TBV18" s="15"/>
      <c r="TCB18" s="25"/>
      <c r="TCI18" s="21"/>
      <c r="TCJ18" s="21"/>
      <c r="TCN18" s="15"/>
      <c r="TCT18" s="25"/>
      <c r="TDA18" s="21"/>
      <c r="TDB18" s="21"/>
      <c r="TDF18" s="15"/>
      <c r="TDL18" s="25"/>
      <c r="TDS18" s="21"/>
      <c r="TDT18" s="21"/>
      <c r="TDX18" s="15"/>
      <c r="TED18" s="25"/>
      <c r="TEK18" s="21"/>
      <c r="TEL18" s="21"/>
      <c r="TEP18" s="15"/>
      <c r="TEV18" s="25"/>
      <c r="TFC18" s="21"/>
      <c r="TFD18" s="21"/>
      <c r="TFH18" s="15"/>
      <c r="TFN18" s="25"/>
      <c r="TFU18" s="21"/>
      <c r="TFV18" s="21"/>
      <c r="TFZ18" s="15"/>
      <c r="TGF18" s="25"/>
      <c r="TGM18" s="21"/>
      <c r="TGN18" s="21"/>
      <c r="TGR18" s="15"/>
      <c r="TGX18" s="25"/>
      <c r="THE18" s="21"/>
      <c r="THF18" s="21"/>
      <c r="THJ18" s="15"/>
      <c r="THP18" s="25"/>
      <c r="THW18" s="21"/>
      <c r="THX18" s="21"/>
      <c r="TIB18" s="15"/>
      <c r="TIH18" s="25"/>
      <c r="TIO18" s="21"/>
      <c r="TIP18" s="21"/>
      <c r="TIT18" s="15"/>
      <c r="TIZ18" s="25"/>
      <c r="TJG18" s="21"/>
      <c r="TJH18" s="21"/>
      <c r="TJL18" s="15"/>
      <c r="TJR18" s="25"/>
      <c r="TJY18" s="21"/>
      <c r="TJZ18" s="21"/>
      <c r="TKD18" s="15"/>
      <c r="TKJ18" s="25"/>
      <c r="TKQ18" s="21"/>
      <c r="TKR18" s="21"/>
      <c r="TKV18" s="15"/>
      <c r="TLB18" s="25"/>
      <c r="TLI18" s="21"/>
      <c r="TLJ18" s="21"/>
      <c r="TLN18" s="15"/>
      <c r="TLT18" s="25"/>
      <c r="TMA18" s="21"/>
      <c r="TMB18" s="21"/>
      <c r="TMF18" s="15"/>
      <c r="TML18" s="25"/>
      <c r="TMS18" s="21"/>
      <c r="TMT18" s="21"/>
      <c r="TMX18" s="15"/>
      <c r="TND18" s="25"/>
      <c r="TNK18" s="21"/>
      <c r="TNL18" s="21"/>
      <c r="TNP18" s="15"/>
      <c r="TNV18" s="25"/>
      <c r="TOC18" s="21"/>
      <c r="TOD18" s="21"/>
      <c r="TOH18" s="15"/>
      <c r="TON18" s="25"/>
      <c r="TOU18" s="21"/>
      <c r="TOV18" s="21"/>
      <c r="TOZ18" s="15"/>
      <c r="TPF18" s="25"/>
      <c r="TPM18" s="21"/>
      <c r="TPN18" s="21"/>
      <c r="TPR18" s="15"/>
      <c r="TPX18" s="25"/>
      <c r="TQE18" s="21"/>
      <c r="TQF18" s="21"/>
      <c r="TQJ18" s="15"/>
      <c r="TQP18" s="25"/>
      <c r="TQW18" s="21"/>
      <c r="TQX18" s="21"/>
      <c r="TRB18" s="15"/>
      <c r="TRH18" s="25"/>
      <c r="TRO18" s="21"/>
      <c r="TRP18" s="21"/>
      <c r="TRT18" s="15"/>
      <c r="TRZ18" s="25"/>
      <c r="TSG18" s="21"/>
      <c r="TSH18" s="21"/>
      <c r="TSL18" s="15"/>
      <c r="TSR18" s="25"/>
      <c r="TSY18" s="21"/>
      <c r="TSZ18" s="21"/>
      <c r="TTD18" s="15"/>
      <c r="TTJ18" s="25"/>
      <c r="TTQ18" s="21"/>
      <c r="TTR18" s="21"/>
      <c r="TTV18" s="15"/>
      <c r="TUB18" s="25"/>
      <c r="TUI18" s="21"/>
      <c r="TUJ18" s="21"/>
      <c r="TUN18" s="15"/>
      <c r="TUT18" s="25"/>
      <c r="TVA18" s="21"/>
      <c r="TVB18" s="21"/>
      <c r="TVF18" s="15"/>
      <c r="TVL18" s="25"/>
      <c r="TVS18" s="21"/>
      <c r="TVT18" s="21"/>
      <c r="TVX18" s="15"/>
      <c r="TWD18" s="25"/>
      <c r="TWK18" s="21"/>
      <c r="TWL18" s="21"/>
      <c r="TWP18" s="15"/>
      <c r="TWV18" s="25"/>
      <c r="TXC18" s="21"/>
      <c r="TXD18" s="21"/>
      <c r="TXH18" s="15"/>
      <c r="TXN18" s="25"/>
      <c r="TXU18" s="21"/>
      <c r="TXV18" s="21"/>
      <c r="TXZ18" s="15"/>
      <c r="TYF18" s="25"/>
      <c r="TYM18" s="21"/>
      <c r="TYN18" s="21"/>
      <c r="TYR18" s="15"/>
      <c r="TYX18" s="25"/>
      <c r="TZE18" s="21"/>
      <c r="TZF18" s="21"/>
      <c r="TZJ18" s="15"/>
      <c r="TZP18" s="25"/>
      <c r="TZW18" s="21"/>
      <c r="TZX18" s="21"/>
      <c r="UAB18" s="15"/>
      <c r="UAH18" s="25"/>
      <c r="UAO18" s="21"/>
      <c r="UAP18" s="21"/>
      <c r="UAT18" s="15"/>
      <c r="UAZ18" s="25"/>
      <c r="UBG18" s="21"/>
      <c r="UBH18" s="21"/>
      <c r="UBL18" s="15"/>
      <c r="UBR18" s="25"/>
      <c r="UBY18" s="21"/>
      <c r="UBZ18" s="21"/>
      <c r="UCD18" s="15"/>
      <c r="UCJ18" s="25"/>
      <c r="UCQ18" s="21"/>
      <c r="UCR18" s="21"/>
      <c r="UCV18" s="15"/>
      <c r="UDB18" s="25"/>
      <c r="UDI18" s="21"/>
      <c r="UDJ18" s="21"/>
      <c r="UDN18" s="15"/>
      <c r="UDT18" s="25"/>
      <c r="UEA18" s="21"/>
      <c r="UEB18" s="21"/>
      <c r="UEF18" s="15"/>
      <c r="UEL18" s="25"/>
      <c r="UES18" s="21"/>
      <c r="UET18" s="21"/>
      <c r="UEX18" s="15"/>
      <c r="UFD18" s="25"/>
      <c r="UFK18" s="21"/>
      <c r="UFL18" s="21"/>
      <c r="UFP18" s="15"/>
      <c r="UFV18" s="25"/>
      <c r="UGC18" s="21"/>
      <c r="UGD18" s="21"/>
      <c r="UGH18" s="15"/>
      <c r="UGN18" s="25"/>
      <c r="UGU18" s="21"/>
      <c r="UGV18" s="21"/>
      <c r="UGZ18" s="15"/>
      <c r="UHF18" s="25"/>
      <c r="UHM18" s="21"/>
      <c r="UHN18" s="21"/>
      <c r="UHR18" s="15"/>
      <c r="UHX18" s="25"/>
      <c r="UIE18" s="21"/>
      <c r="UIF18" s="21"/>
      <c r="UIJ18" s="15"/>
      <c r="UIP18" s="25"/>
      <c r="UIW18" s="21"/>
      <c r="UIX18" s="21"/>
      <c r="UJB18" s="15"/>
      <c r="UJH18" s="25"/>
      <c r="UJO18" s="21"/>
      <c r="UJP18" s="21"/>
      <c r="UJT18" s="15"/>
      <c r="UJZ18" s="25"/>
      <c r="UKG18" s="21"/>
      <c r="UKH18" s="21"/>
      <c r="UKL18" s="15"/>
      <c r="UKR18" s="25"/>
      <c r="UKY18" s="21"/>
      <c r="UKZ18" s="21"/>
      <c r="ULD18" s="15"/>
      <c r="ULJ18" s="25"/>
      <c r="ULQ18" s="21"/>
      <c r="ULR18" s="21"/>
      <c r="ULV18" s="15"/>
      <c r="UMB18" s="25"/>
      <c r="UMI18" s="21"/>
      <c r="UMJ18" s="21"/>
      <c r="UMN18" s="15"/>
      <c r="UMT18" s="25"/>
      <c r="UNA18" s="21"/>
      <c r="UNB18" s="21"/>
      <c r="UNF18" s="15"/>
      <c r="UNL18" s="25"/>
      <c r="UNS18" s="21"/>
      <c r="UNT18" s="21"/>
      <c r="UNX18" s="15"/>
      <c r="UOD18" s="25"/>
      <c r="UOK18" s="21"/>
      <c r="UOL18" s="21"/>
      <c r="UOP18" s="15"/>
      <c r="UOV18" s="25"/>
      <c r="UPC18" s="21"/>
      <c r="UPD18" s="21"/>
      <c r="UPH18" s="15"/>
      <c r="UPN18" s="25"/>
      <c r="UPU18" s="21"/>
      <c r="UPV18" s="21"/>
      <c r="UPZ18" s="15"/>
      <c r="UQF18" s="25"/>
      <c r="UQM18" s="21"/>
      <c r="UQN18" s="21"/>
      <c r="UQR18" s="15"/>
      <c r="UQX18" s="25"/>
      <c r="URE18" s="21"/>
      <c r="URF18" s="21"/>
      <c r="URJ18" s="15"/>
      <c r="URP18" s="25"/>
      <c r="URW18" s="21"/>
      <c r="URX18" s="21"/>
      <c r="USB18" s="15"/>
      <c r="USH18" s="25"/>
      <c r="USO18" s="21"/>
      <c r="USP18" s="21"/>
      <c r="UST18" s="15"/>
      <c r="USZ18" s="25"/>
      <c r="UTG18" s="21"/>
      <c r="UTH18" s="21"/>
      <c r="UTL18" s="15"/>
      <c r="UTR18" s="25"/>
      <c r="UTY18" s="21"/>
      <c r="UTZ18" s="21"/>
      <c r="UUD18" s="15"/>
      <c r="UUJ18" s="25"/>
      <c r="UUQ18" s="21"/>
      <c r="UUR18" s="21"/>
      <c r="UUV18" s="15"/>
      <c r="UVB18" s="25"/>
      <c r="UVI18" s="21"/>
      <c r="UVJ18" s="21"/>
      <c r="UVN18" s="15"/>
      <c r="UVT18" s="25"/>
      <c r="UWA18" s="21"/>
      <c r="UWB18" s="21"/>
      <c r="UWF18" s="15"/>
      <c r="UWL18" s="25"/>
      <c r="UWS18" s="21"/>
      <c r="UWT18" s="21"/>
      <c r="UWX18" s="15"/>
      <c r="UXD18" s="25"/>
      <c r="UXK18" s="21"/>
      <c r="UXL18" s="21"/>
      <c r="UXP18" s="15"/>
      <c r="UXV18" s="25"/>
      <c r="UYC18" s="21"/>
      <c r="UYD18" s="21"/>
      <c r="UYH18" s="15"/>
      <c r="UYN18" s="25"/>
      <c r="UYU18" s="21"/>
      <c r="UYV18" s="21"/>
      <c r="UYZ18" s="15"/>
      <c r="UZF18" s="25"/>
      <c r="UZM18" s="21"/>
      <c r="UZN18" s="21"/>
      <c r="UZR18" s="15"/>
      <c r="UZX18" s="25"/>
      <c r="VAE18" s="21"/>
      <c r="VAF18" s="21"/>
      <c r="VAJ18" s="15"/>
      <c r="VAP18" s="25"/>
      <c r="VAW18" s="21"/>
      <c r="VAX18" s="21"/>
      <c r="VBB18" s="15"/>
      <c r="VBH18" s="25"/>
      <c r="VBO18" s="21"/>
      <c r="VBP18" s="21"/>
      <c r="VBT18" s="15"/>
      <c r="VBZ18" s="25"/>
      <c r="VCG18" s="21"/>
      <c r="VCH18" s="21"/>
      <c r="VCL18" s="15"/>
      <c r="VCR18" s="25"/>
      <c r="VCY18" s="21"/>
      <c r="VCZ18" s="21"/>
      <c r="VDD18" s="15"/>
      <c r="VDJ18" s="25"/>
      <c r="VDQ18" s="21"/>
      <c r="VDR18" s="21"/>
      <c r="VDV18" s="15"/>
      <c r="VEB18" s="25"/>
      <c r="VEI18" s="21"/>
      <c r="VEJ18" s="21"/>
      <c r="VEN18" s="15"/>
      <c r="VET18" s="25"/>
      <c r="VFA18" s="21"/>
      <c r="VFB18" s="21"/>
      <c r="VFF18" s="15"/>
      <c r="VFL18" s="25"/>
      <c r="VFS18" s="21"/>
      <c r="VFT18" s="21"/>
      <c r="VFX18" s="15"/>
      <c r="VGD18" s="25"/>
      <c r="VGK18" s="21"/>
      <c r="VGL18" s="21"/>
      <c r="VGP18" s="15"/>
      <c r="VGV18" s="25"/>
      <c r="VHC18" s="21"/>
      <c r="VHD18" s="21"/>
      <c r="VHH18" s="15"/>
      <c r="VHN18" s="25"/>
      <c r="VHU18" s="21"/>
      <c r="VHV18" s="21"/>
      <c r="VHZ18" s="15"/>
      <c r="VIF18" s="25"/>
      <c r="VIM18" s="21"/>
      <c r="VIN18" s="21"/>
      <c r="VIR18" s="15"/>
      <c r="VIX18" s="25"/>
      <c r="VJE18" s="21"/>
      <c r="VJF18" s="21"/>
      <c r="VJJ18" s="15"/>
      <c r="VJP18" s="25"/>
      <c r="VJW18" s="21"/>
      <c r="VJX18" s="21"/>
      <c r="VKB18" s="15"/>
      <c r="VKH18" s="25"/>
      <c r="VKO18" s="21"/>
      <c r="VKP18" s="21"/>
      <c r="VKT18" s="15"/>
      <c r="VKZ18" s="25"/>
      <c r="VLG18" s="21"/>
      <c r="VLH18" s="21"/>
      <c r="VLL18" s="15"/>
      <c r="VLR18" s="25"/>
      <c r="VLY18" s="21"/>
      <c r="VLZ18" s="21"/>
      <c r="VMD18" s="15"/>
      <c r="VMJ18" s="25"/>
      <c r="VMQ18" s="21"/>
      <c r="VMR18" s="21"/>
      <c r="VMV18" s="15"/>
      <c r="VNB18" s="25"/>
      <c r="VNI18" s="21"/>
      <c r="VNJ18" s="21"/>
      <c r="VNN18" s="15"/>
      <c r="VNT18" s="25"/>
      <c r="VOA18" s="21"/>
      <c r="VOB18" s="21"/>
      <c r="VOF18" s="15"/>
      <c r="VOL18" s="25"/>
      <c r="VOS18" s="21"/>
      <c r="VOT18" s="21"/>
      <c r="VOX18" s="15"/>
      <c r="VPD18" s="25"/>
      <c r="VPK18" s="21"/>
      <c r="VPL18" s="21"/>
      <c r="VPP18" s="15"/>
      <c r="VPV18" s="25"/>
      <c r="VQC18" s="21"/>
      <c r="VQD18" s="21"/>
      <c r="VQH18" s="15"/>
      <c r="VQN18" s="25"/>
      <c r="VQU18" s="21"/>
      <c r="VQV18" s="21"/>
      <c r="VQZ18" s="15"/>
      <c r="VRF18" s="25"/>
      <c r="VRM18" s="21"/>
      <c r="VRN18" s="21"/>
      <c r="VRR18" s="15"/>
      <c r="VRX18" s="25"/>
      <c r="VSE18" s="21"/>
      <c r="VSF18" s="21"/>
      <c r="VSJ18" s="15"/>
      <c r="VSP18" s="25"/>
      <c r="VSW18" s="21"/>
      <c r="VSX18" s="21"/>
      <c r="VTB18" s="15"/>
      <c r="VTH18" s="25"/>
      <c r="VTO18" s="21"/>
      <c r="VTP18" s="21"/>
      <c r="VTT18" s="15"/>
      <c r="VTZ18" s="25"/>
      <c r="VUG18" s="21"/>
      <c r="VUH18" s="21"/>
      <c r="VUL18" s="15"/>
      <c r="VUR18" s="25"/>
      <c r="VUY18" s="21"/>
      <c r="VUZ18" s="21"/>
      <c r="VVD18" s="15"/>
      <c r="VVJ18" s="25"/>
      <c r="VVQ18" s="21"/>
      <c r="VVR18" s="21"/>
      <c r="VVV18" s="15"/>
      <c r="VWB18" s="25"/>
      <c r="VWI18" s="21"/>
      <c r="VWJ18" s="21"/>
      <c r="VWN18" s="15"/>
      <c r="VWT18" s="25"/>
      <c r="VXA18" s="21"/>
      <c r="VXB18" s="21"/>
      <c r="VXF18" s="15"/>
      <c r="VXL18" s="25"/>
      <c r="VXS18" s="21"/>
      <c r="VXT18" s="21"/>
      <c r="VXX18" s="15"/>
      <c r="VYD18" s="25"/>
      <c r="VYK18" s="21"/>
      <c r="VYL18" s="21"/>
      <c r="VYP18" s="15"/>
      <c r="VYV18" s="25"/>
      <c r="VZC18" s="21"/>
      <c r="VZD18" s="21"/>
      <c r="VZH18" s="15"/>
      <c r="VZN18" s="25"/>
      <c r="VZU18" s="21"/>
      <c r="VZV18" s="21"/>
      <c r="VZZ18" s="15"/>
      <c r="WAF18" s="25"/>
      <c r="WAM18" s="21"/>
      <c r="WAN18" s="21"/>
      <c r="WAR18" s="15"/>
      <c r="WAX18" s="25"/>
      <c r="WBE18" s="21"/>
      <c r="WBF18" s="21"/>
      <c r="WBJ18" s="15"/>
      <c r="WBP18" s="25"/>
      <c r="WBW18" s="21"/>
      <c r="WBX18" s="21"/>
      <c r="WCB18" s="15"/>
      <c r="WCH18" s="25"/>
      <c r="WCO18" s="21"/>
      <c r="WCP18" s="21"/>
      <c r="WCT18" s="15"/>
      <c r="WCZ18" s="25"/>
      <c r="WDG18" s="21"/>
      <c r="WDH18" s="21"/>
      <c r="WDL18" s="15"/>
      <c r="WDR18" s="25"/>
      <c r="WDY18" s="21"/>
      <c r="WDZ18" s="21"/>
      <c r="WED18" s="15"/>
      <c r="WEJ18" s="25"/>
      <c r="WEQ18" s="21"/>
      <c r="WER18" s="21"/>
      <c r="WEV18" s="15"/>
      <c r="WFB18" s="25"/>
      <c r="WFI18" s="21"/>
      <c r="WFJ18" s="21"/>
      <c r="WFN18" s="15"/>
      <c r="WFT18" s="25"/>
      <c r="WGA18" s="21"/>
      <c r="WGB18" s="21"/>
      <c r="WGF18" s="15"/>
      <c r="WGL18" s="25"/>
      <c r="WGS18" s="21"/>
      <c r="WGT18" s="21"/>
      <c r="WGX18" s="15"/>
      <c r="WHD18" s="25"/>
      <c r="WHK18" s="21"/>
      <c r="WHL18" s="21"/>
      <c r="WHP18" s="15"/>
      <c r="WHV18" s="25"/>
      <c r="WIC18" s="21"/>
      <c r="WID18" s="21"/>
      <c r="WIH18" s="15"/>
      <c r="WIN18" s="25"/>
      <c r="WIU18" s="21"/>
      <c r="WIV18" s="21"/>
      <c r="WIZ18" s="15"/>
      <c r="WJF18" s="25"/>
      <c r="WJM18" s="21"/>
      <c r="WJN18" s="21"/>
      <c r="WJR18" s="15"/>
      <c r="WJX18" s="25"/>
      <c r="WKE18" s="21"/>
      <c r="WKF18" s="21"/>
      <c r="WKJ18" s="15"/>
      <c r="WKP18" s="25"/>
      <c r="WKW18" s="21"/>
      <c r="WKX18" s="21"/>
      <c r="WLB18" s="15"/>
      <c r="WLH18" s="25"/>
      <c r="WLO18" s="21"/>
      <c r="WLP18" s="21"/>
      <c r="WLT18" s="15"/>
      <c r="WLZ18" s="25"/>
      <c r="WMG18" s="21"/>
      <c r="WMH18" s="21"/>
      <c r="WML18" s="15"/>
      <c r="WMR18" s="25"/>
      <c r="WMY18" s="21"/>
      <c r="WMZ18" s="21"/>
      <c r="WND18" s="15"/>
      <c r="WNJ18" s="25"/>
      <c r="WNQ18" s="21"/>
      <c r="WNR18" s="21"/>
      <c r="WNV18" s="15"/>
      <c r="WOB18" s="25"/>
      <c r="WOI18" s="21"/>
      <c r="WOJ18" s="21"/>
      <c r="WON18" s="15"/>
      <c r="WOT18" s="25"/>
      <c r="WPA18" s="21"/>
      <c r="WPB18" s="21"/>
      <c r="WPF18" s="15"/>
      <c r="WPL18" s="25"/>
      <c r="WPS18" s="21"/>
      <c r="WPT18" s="21"/>
      <c r="WPX18" s="15"/>
      <c r="WQD18" s="25"/>
      <c r="WQK18" s="21"/>
      <c r="WQL18" s="21"/>
      <c r="WQP18" s="15"/>
      <c r="WQV18" s="25"/>
      <c r="WRC18" s="21"/>
      <c r="WRD18" s="21"/>
      <c r="WRH18" s="15"/>
      <c r="WRN18" s="25"/>
      <c r="WRU18" s="21"/>
      <c r="WRV18" s="21"/>
      <c r="WRZ18" s="15"/>
      <c r="WSF18" s="25"/>
      <c r="WSM18" s="21"/>
      <c r="WSN18" s="21"/>
      <c r="WSR18" s="15"/>
      <c r="WSX18" s="25"/>
      <c r="WTE18" s="21"/>
      <c r="WTF18" s="21"/>
      <c r="WTJ18" s="15"/>
      <c r="WTP18" s="25"/>
      <c r="WTW18" s="21"/>
      <c r="WTX18" s="21"/>
      <c r="WUB18" s="15"/>
      <c r="WUH18" s="25"/>
      <c r="WUO18" s="21"/>
      <c r="WUP18" s="21"/>
      <c r="WUT18" s="15"/>
      <c r="WUZ18" s="25"/>
      <c r="WVG18" s="21"/>
      <c r="WVH18" s="21"/>
      <c r="WVL18" s="15"/>
      <c r="WVR18" s="25"/>
      <c r="WVY18" s="21"/>
      <c r="WVZ18" s="21"/>
      <c r="WWD18" s="15"/>
      <c r="WWJ18" s="25"/>
      <c r="WWQ18" s="21"/>
      <c r="WWR18" s="21"/>
      <c r="WWV18" s="15"/>
      <c r="WXB18" s="25"/>
      <c r="WXI18" s="21"/>
      <c r="WXJ18" s="21"/>
      <c r="WXN18" s="15"/>
      <c r="WXT18" s="25"/>
      <c r="WYA18" s="21"/>
      <c r="WYB18" s="21"/>
      <c r="WYF18" s="15"/>
      <c r="WYL18" s="25"/>
      <c r="WYS18" s="21"/>
      <c r="WYT18" s="21"/>
      <c r="WYX18" s="15"/>
      <c r="WZD18" s="25"/>
      <c r="WZK18" s="21"/>
      <c r="WZL18" s="21"/>
      <c r="WZP18" s="15"/>
      <c r="WZV18" s="25"/>
      <c r="XAC18" s="21"/>
      <c r="XAD18" s="21"/>
      <c r="XAH18" s="15"/>
      <c r="XAN18" s="25"/>
      <c r="XAU18" s="21"/>
      <c r="XAV18" s="21"/>
      <c r="XAZ18" s="15"/>
      <c r="XBF18" s="25"/>
      <c r="XBM18" s="21"/>
      <c r="XBN18" s="21"/>
      <c r="XBR18" s="15"/>
      <c r="XBX18" s="25"/>
      <c r="XCE18" s="21"/>
      <c r="XCF18" s="21"/>
      <c r="XCJ18" s="15"/>
      <c r="XCP18" s="25"/>
      <c r="XCW18" s="21"/>
      <c r="XCX18" s="21"/>
      <c r="XDB18" s="15"/>
      <c r="XDH18" s="25"/>
      <c r="XDO18" s="21"/>
      <c r="XDP18" s="21"/>
      <c r="XDT18" s="15"/>
      <c r="XDZ18" s="25"/>
      <c r="XEG18" s="21"/>
      <c r="XEH18" s="21"/>
      <c r="XEL18" s="15"/>
      <c r="XER18" s="25"/>
      <c r="XEY18" s="21"/>
      <c r="XEZ18" s="21"/>
      <c r="XFD18" s="15"/>
    </row>
    <row r="19" spans="1:1018 1025:2044 2051:3070 3077:4096 4103:5116 5122:6142 6148:7168 7174:8190 8194:9216 9220:10234 10241:11260 11267:12286 12293:13312 13319:14332 14338:15358 15364:16384" s="24" customFormat="1">
      <c r="A19" s="21" t="s">
        <v>78</v>
      </c>
      <c r="B19" s="12">
        <v>2011</v>
      </c>
      <c r="C19" s="19" t="s">
        <v>53</v>
      </c>
      <c r="D19" s="22" t="s">
        <v>39</v>
      </c>
      <c r="E19" s="10" t="s">
        <v>79</v>
      </c>
      <c r="F19" s="19" t="s">
        <v>35</v>
      </c>
      <c r="G19" s="18">
        <v>23901723059.816406</v>
      </c>
      <c r="H19" s="18">
        <v>23789422532</v>
      </c>
      <c r="I19" s="12">
        <v>31</v>
      </c>
      <c r="J19" s="23" t="s">
        <v>80</v>
      </c>
      <c r="K19" s="22"/>
      <c r="L19" s="22"/>
      <c r="M19" s="22" t="s">
        <v>26</v>
      </c>
      <c r="N19" s="12"/>
      <c r="O19" s="22"/>
      <c r="P19" s="12"/>
      <c r="Q19" s="22" t="s">
        <v>27</v>
      </c>
      <c r="R19" s="22" t="s">
        <v>28</v>
      </c>
      <c r="V19" s="15"/>
      <c r="AB19" s="25"/>
      <c r="AI19" s="21"/>
      <c r="AJ19" s="21"/>
      <c r="AN19" s="15"/>
      <c r="AT19" s="25"/>
      <c r="BA19" s="21"/>
      <c r="BB19" s="21"/>
      <c r="BF19" s="15"/>
      <c r="BL19" s="25"/>
      <c r="BS19" s="21"/>
      <c r="BT19" s="21"/>
      <c r="BX19" s="15"/>
      <c r="CD19" s="25"/>
      <c r="CK19" s="21"/>
      <c r="CL19" s="21"/>
      <c r="CP19" s="15"/>
      <c r="CV19" s="25"/>
      <c r="DC19" s="21"/>
      <c r="DD19" s="21"/>
      <c r="DH19" s="15"/>
      <c r="DN19" s="25"/>
      <c r="DU19" s="21"/>
      <c r="DV19" s="21"/>
      <c r="DZ19" s="15"/>
      <c r="EF19" s="25"/>
      <c r="EM19" s="21"/>
      <c r="EN19" s="21"/>
      <c r="ER19" s="15"/>
      <c r="EX19" s="25"/>
      <c r="FE19" s="21"/>
      <c r="FF19" s="21"/>
      <c r="FJ19" s="15"/>
      <c r="FP19" s="25"/>
      <c r="FW19" s="21"/>
      <c r="FX19" s="21"/>
      <c r="GB19" s="15"/>
      <c r="GH19" s="25"/>
      <c r="GO19" s="21"/>
      <c r="GP19" s="21"/>
      <c r="GT19" s="15"/>
      <c r="GZ19" s="25"/>
      <c r="HG19" s="21"/>
      <c r="HH19" s="21"/>
      <c r="HL19" s="15"/>
      <c r="HR19" s="25"/>
      <c r="HY19" s="21"/>
      <c r="HZ19" s="21"/>
      <c r="ID19" s="15"/>
      <c r="IJ19" s="25"/>
      <c r="IQ19" s="21"/>
      <c r="IR19" s="21"/>
      <c r="IV19" s="15"/>
      <c r="JB19" s="25"/>
      <c r="JI19" s="21"/>
      <c r="JJ19" s="21"/>
      <c r="JN19" s="15"/>
      <c r="JT19" s="25"/>
      <c r="KA19" s="21"/>
      <c r="KB19" s="21"/>
      <c r="KF19" s="15"/>
      <c r="KL19" s="25"/>
      <c r="KS19" s="21"/>
      <c r="KT19" s="21"/>
      <c r="KX19" s="15"/>
      <c r="LD19" s="25"/>
      <c r="LK19" s="21"/>
      <c r="LL19" s="21"/>
      <c r="LP19" s="15"/>
      <c r="LV19" s="25"/>
      <c r="MC19" s="21"/>
      <c r="MD19" s="21"/>
      <c r="MH19" s="15"/>
      <c r="MN19" s="25"/>
      <c r="MU19" s="21"/>
      <c r="MV19" s="21"/>
      <c r="MZ19" s="15"/>
      <c r="NF19" s="25"/>
      <c r="NM19" s="21"/>
      <c r="NN19" s="21"/>
      <c r="NR19" s="15"/>
      <c r="NX19" s="25"/>
      <c r="OE19" s="21"/>
      <c r="OF19" s="21"/>
      <c r="OJ19" s="15"/>
      <c r="OP19" s="25"/>
      <c r="OW19" s="21"/>
      <c r="OX19" s="21"/>
      <c r="PB19" s="15"/>
      <c r="PH19" s="25"/>
      <c r="PO19" s="21"/>
      <c r="PP19" s="21"/>
      <c r="PT19" s="15"/>
      <c r="PZ19" s="25"/>
      <c r="QG19" s="21"/>
      <c r="QH19" s="21"/>
      <c r="QL19" s="15"/>
      <c r="QR19" s="25"/>
      <c r="QY19" s="21"/>
      <c r="QZ19" s="21"/>
      <c r="RD19" s="15"/>
      <c r="RJ19" s="25"/>
      <c r="RQ19" s="21"/>
      <c r="RR19" s="21"/>
      <c r="RV19" s="15"/>
      <c r="SB19" s="25"/>
      <c r="SI19" s="21"/>
      <c r="SJ19" s="21"/>
      <c r="SN19" s="15"/>
      <c r="ST19" s="25"/>
      <c r="TA19" s="21"/>
      <c r="TB19" s="21"/>
      <c r="TF19" s="15"/>
      <c r="TL19" s="25"/>
      <c r="TS19" s="21"/>
      <c r="TT19" s="21"/>
      <c r="TX19" s="15"/>
      <c r="UD19" s="25"/>
      <c r="UK19" s="21"/>
      <c r="UL19" s="21"/>
      <c r="UP19" s="15"/>
      <c r="UV19" s="25"/>
      <c r="VC19" s="21"/>
      <c r="VD19" s="21"/>
      <c r="VH19" s="15"/>
      <c r="VN19" s="25"/>
      <c r="VU19" s="21"/>
      <c r="VV19" s="21"/>
      <c r="VZ19" s="15"/>
      <c r="WF19" s="25"/>
      <c r="WM19" s="21"/>
      <c r="WN19" s="21"/>
      <c r="WR19" s="15"/>
      <c r="WX19" s="25"/>
      <c r="XE19" s="21"/>
      <c r="XF19" s="21"/>
      <c r="XJ19" s="15"/>
      <c r="XP19" s="25"/>
      <c r="XW19" s="21"/>
      <c r="XX19" s="21"/>
      <c r="YB19" s="15"/>
      <c r="YH19" s="25"/>
      <c r="YO19" s="21"/>
      <c r="YP19" s="21"/>
      <c r="YT19" s="15"/>
      <c r="YZ19" s="25"/>
      <c r="ZG19" s="21"/>
      <c r="ZH19" s="21"/>
      <c r="ZL19" s="15"/>
      <c r="ZR19" s="25"/>
      <c r="ZY19" s="21"/>
      <c r="ZZ19" s="21"/>
      <c r="AAD19" s="15"/>
      <c r="AAJ19" s="25"/>
      <c r="AAQ19" s="21"/>
      <c r="AAR19" s="21"/>
      <c r="AAV19" s="15"/>
      <c r="ABB19" s="25"/>
      <c r="ABI19" s="21"/>
      <c r="ABJ19" s="21"/>
      <c r="ABN19" s="15"/>
      <c r="ABT19" s="25"/>
      <c r="ACA19" s="21"/>
      <c r="ACB19" s="21"/>
      <c r="ACF19" s="15"/>
      <c r="ACL19" s="25"/>
      <c r="ACS19" s="21"/>
      <c r="ACT19" s="21"/>
      <c r="ACX19" s="15"/>
      <c r="ADD19" s="25"/>
      <c r="ADK19" s="21"/>
      <c r="ADL19" s="21"/>
      <c r="ADP19" s="15"/>
      <c r="ADV19" s="25"/>
      <c r="AEC19" s="21"/>
      <c r="AED19" s="21"/>
      <c r="AEH19" s="15"/>
      <c r="AEN19" s="25"/>
      <c r="AEU19" s="21"/>
      <c r="AEV19" s="21"/>
      <c r="AEZ19" s="15"/>
      <c r="AFF19" s="25"/>
      <c r="AFM19" s="21"/>
      <c r="AFN19" s="21"/>
      <c r="AFR19" s="15"/>
      <c r="AFX19" s="25"/>
      <c r="AGE19" s="21"/>
      <c r="AGF19" s="21"/>
      <c r="AGJ19" s="15"/>
      <c r="AGP19" s="25"/>
      <c r="AGW19" s="21"/>
      <c r="AGX19" s="21"/>
      <c r="AHB19" s="15"/>
      <c r="AHH19" s="25"/>
      <c r="AHO19" s="21"/>
      <c r="AHP19" s="21"/>
      <c r="AHT19" s="15"/>
      <c r="AHZ19" s="25"/>
      <c r="AIG19" s="21"/>
      <c r="AIH19" s="21"/>
      <c r="AIL19" s="15"/>
      <c r="AIR19" s="25"/>
      <c r="AIY19" s="21"/>
      <c r="AIZ19" s="21"/>
      <c r="AJD19" s="15"/>
      <c r="AJJ19" s="25"/>
      <c r="AJQ19" s="21"/>
      <c r="AJR19" s="21"/>
      <c r="AJV19" s="15"/>
      <c r="AKB19" s="25"/>
      <c r="AKI19" s="21"/>
      <c r="AKJ19" s="21"/>
      <c r="AKN19" s="15"/>
      <c r="AKT19" s="25"/>
      <c r="ALA19" s="21"/>
      <c r="ALB19" s="21"/>
      <c r="ALF19" s="15"/>
      <c r="ALL19" s="25"/>
      <c r="ALS19" s="21"/>
      <c r="ALT19" s="21"/>
      <c r="ALX19" s="15"/>
      <c r="AMD19" s="25"/>
      <c r="AMK19" s="21"/>
      <c r="AML19" s="21"/>
      <c r="AMP19" s="15"/>
      <c r="AMV19" s="25"/>
      <c r="ANC19" s="21"/>
      <c r="AND19" s="21"/>
      <c r="ANH19" s="15"/>
      <c r="ANN19" s="25"/>
      <c r="ANU19" s="21"/>
      <c r="ANV19" s="21"/>
      <c r="ANZ19" s="15"/>
      <c r="AOF19" s="25"/>
      <c r="AOM19" s="21"/>
      <c r="AON19" s="21"/>
      <c r="AOR19" s="15"/>
      <c r="AOX19" s="25"/>
      <c r="APE19" s="21"/>
      <c r="APF19" s="21"/>
      <c r="APJ19" s="15"/>
      <c r="APP19" s="25"/>
      <c r="APW19" s="21"/>
      <c r="APX19" s="21"/>
      <c r="AQB19" s="15"/>
      <c r="AQH19" s="25"/>
      <c r="AQO19" s="21"/>
      <c r="AQP19" s="21"/>
      <c r="AQT19" s="15"/>
      <c r="AQZ19" s="25"/>
      <c r="ARG19" s="21"/>
      <c r="ARH19" s="21"/>
      <c r="ARL19" s="15"/>
      <c r="ARR19" s="25"/>
      <c r="ARY19" s="21"/>
      <c r="ARZ19" s="21"/>
      <c r="ASD19" s="15"/>
      <c r="ASJ19" s="25"/>
      <c r="ASQ19" s="21"/>
      <c r="ASR19" s="21"/>
      <c r="ASV19" s="15"/>
      <c r="ATB19" s="25"/>
      <c r="ATI19" s="21"/>
      <c r="ATJ19" s="21"/>
      <c r="ATN19" s="15"/>
      <c r="ATT19" s="25"/>
      <c r="AUA19" s="21"/>
      <c r="AUB19" s="21"/>
      <c r="AUF19" s="15"/>
      <c r="AUL19" s="25"/>
      <c r="AUS19" s="21"/>
      <c r="AUT19" s="21"/>
      <c r="AUX19" s="15"/>
      <c r="AVD19" s="25"/>
      <c r="AVK19" s="21"/>
      <c r="AVL19" s="21"/>
      <c r="AVP19" s="15"/>
      <c r="AVV19" s="25"/>
      <c r="AWC19" s="21"/>
      <c r="AWD19" s="21"/>
      <c r="AWH19" s="15"/>
      <c r="AWN19" s="25"/>
      <c r="AWU19" s="21"/>
      <c r="AWV19" s="21"/>
      <c r="AWZ19" s="15"/>
      <c r="AXF19" s="25"/>
      <c r="AXM19" s="21"/>
      <c r="AXN19" s="21"/>
      <c r="AXR19" s="15"/>
      <c r="AXX19" s="25"/>
      <c r="AYE19" s="21"/>
      <c r="AYF19" s="21"/>
      <c r="AYJ19" s="15"/>
      <c r="AYP19" s="25"/>
      <c r="AYW19" s="21"/>
      <c r="AYX19" s="21"/>
      <c r="AZB19" s="15"/>
      <c r="AZH19" s="25"/>
      <c r="AZO19" s="21"/>
      <c r="AZP19" s="21"/>
      <c r="AZT19" s="15"/>
      <c r="AZZ19" s="25"/>
      <c r="BAG19" s="21"/>
      <c r="BAH19" s="21"/>
      <c r="BAL19" s="15"/>
      <c r="BAR19" s="25"/>
      <c r="BAY19" s="21"/>
      <c r="BAZ19" s="21"/>
      <c r="BBD19" s="15"/>
      <c r="BBJ19" s="25"/>
      <c r="BBQ19" s="21"/>
      <c r="BBR19" s="21"/>
      <c r="BBV19" s="15"/>
      <c r="BCB19" s="25"/>
      <c r="BCI19" s="21"/>
      <c r="BCJ19" s="21"/>
      <c r="BCN19" s="15"/>
      <c r="BCT19" s="25"/>
      <c r="BDA19" s="21"/>
      <c r="BDB19" s="21"/>
      <c r="BDF19" s="15"/>
      <c r="BDL19" s="25"/>
      <c r="BDS19" s="21"/>
      <c r="BDT19" s="21"/>
      <c r="BDX19" s="15"/>
      <c r="BED19" s="25"/>
      <c r="BEK19" s="21"/>
      <c r="BEL19" s="21"/>
      <c r="BEP19" s="15"/>
      <c r="BEV19" s="25"/>
      <c r="BFC19" s="21"/>
      <c r="BFD19" s="21"/>
      <c r="BFH19" s="15"/>
      <c r="BFN19" s="25"/>
      <c r="BFU19" s="21"/>
      <c r="BFV19" s="21"/>
      <c r="BFZ19" s="15"/>
      <c r="BGF19" s="25"/>
      <c r="BGM19" s="21"/>
      <c r="BGN19" s="21"/>
      <c r="BGR19" s="15"/>
      <c r="BGX19" s="25"/>
      <c r="BHE19" s="21"/>
      <c r="BHF19" s="21"/>
      <c r="BHJ19" s="15"/>
      <c r="BHP19" s="25"/>
      <c r="BHW19" s="21"/>
      <c r="BHX19" s="21"/>
      <c r="BIB19" s="15"/>
      <c r="BIH19" s="25"/>
      <c r="BIO19" s="21"/>
      <c r="BIP19" s="21"/>
      <c r="BIT19" s="15"/>
      <c r="BIZ19" s="25"/>
      <c r="BJG19" s="21"/>
      <c r="BJH19" s="21"/>
      <c r="BJL19" s="15"/>
      <c r="BJR19" s="25"/>
      <c r="BJY19" s="21"/>
      <c r="BJZ19" s="21"/>
      <c r="BKD19" s="15"/>
      <c r="BKJ19" s="25"/>
      <c r="BKQ19" s="21"/>
      <c r="BKR19" s="21"/>
      <c r="BKV19" s="15"/>
      <c r="BLB19" s="25"/>
      <c r="BLI19" s="21"/>
      <c r="BLJ19" s="21"/>
      <c r="BLN19" s="15"/>
      <c r="BLT19" s="25"/>
      <c r="BMA19" s="21"/>
      <c r="BMB19" s="21"/>
      <c r="BMF19" s="15"/>
      <c r="BML19" s="25"/>
      <c r="BMS19" s="21"/>
      <c r="BMT19" s="21"/>
      <c r="BMX19" s="15"/>
      <c r="BND19" s="25"/>
      <c r="BNK19" s="21"/>
      <c r="BNL19" s="21"/>
      <c r="BNP19" s="15"/>
      <c r="BNV19" s="25"/>
      <c r="BOC19" s="21"/>
      <c r="BOD19" s="21"/>
      <c r="BOH19" s="15"/>
      <c r="BON19" s="25"/>
      <c r="BOU19" s="21"/>
      <c r="BOV19" s="21"/>
      <c r="BOZ19" s="15"/>
      <c r="BPF19" s="25"/>
      <c r="BPM19" s="21"/>
      <c r="BPN19" s="21"/>
      <c r="BPR19" s="15"/>
      <c r="BPX19" s="25"/>
      <c r="BQE19" s="21"/>
      <c r="BQF19" s="21"/>
      <c r="BQJ19" s="15"/>
      <c r="BQP19" s="25"/>
      <c r="BQW19" s="21"/>
      <c r="BQX19" s="21"/>
      <c r="BRB19" s="15"/>
      <c r="BRH19" s="25"/>
      <c r="BRO19" s="21"/>
      <c r="BRP19" s="21"/>
      <c r="BRT19" s="15"/>
      <c r="BRZ19" s="25"/>
      <c r="BSG19" s="21"/>
      <c r="BSH19" s="21"/>
      <c r="BSL19" s="15"/>
      <c r="BSR19" s="25"/>
      <c r="BSY19" s="21"/>
      <c r="BSZ19" s="21"/>
      <c r="BTD19" s="15"/>
      <c r="BTJ19" s="25"/>
      <c r="BTQ19" s="21"/>
      <c r="BTR19" s="21"/>
      <c r="BTV19" s="15"/>
      <c r="BUB19" s="25"/>
      <c r="BUI19" s="21"/>
      <c r="BUJ19" s="21"/>
      <c r="BUN19" s="15"/>
      <c r="BUT19" s="25"/>
      <c r="BVA19" s="21"/>
      <c r="BVB19" s="21"/>
      <c r="BVF19" s="15"/>
      <c r="BVL19" s="25"/>
      <c r="BVS19" s="21"/>
      <c r="BVT19" s="21"/>
      <c r="BVX19" s="15"/>
      <c r="BWD19" s="25"/>
      <c r="BWK19" s="21"/>
      <c r="BWL19" s="21"/>
      <c r="BWP19" s="15"/>
      <c r="BWV19" s="25"/>
      <c r="BXC19" s="21"/>
      <c r="BXD19" s="21"/>
      <c r="BXH19" s="15"/>
      <c r="BXN19" s="25"/>
      <c r="BXU19" s="21"/>
      <c r="BXV19" s="21"/>
      <c r="BXZ19" s="15"/>
      <c r="BYF19" s="25"/>
      <c r="BYM19" s="21"/>
      <c r="BYN19" s="21"/>
      <c r="BYR19" s="15"/>
      <c r="BYX19" s="25"/>
      <c r="BZE19" s="21"/>
      <c r="BZF19" s="21"/>
      <c r="BZJ19" s="15"/>
      <c r="BZP19" s="25"/>
      <c r="BZW19" s="21"/>
      <c r="BZX19" s="21"/>
      <c r="CAB19" s="15"/>
      <c r="CAH19" s="25"/>
      <c r="CAO19" s="21"/>
      <c r="CAP19" s="21"/>
      <c r="CAT19" s="15"/>
      <c r="CAZ19" s="25"/>
      <c r="CBG19" s="21"/>
      <c r="CBH19" s="21"/>
      <c r="CBL19" s="15"/>
      <c r="CBR19" s="25"/>
      <c r="CBY19" s="21"/>
      <c r="CBZ19" s="21"/>
      <c r="CCD19" s="15"/>
      <c r="CCJ19" s="25"/>
      <c r="CCQ19" s="21"/>
      <c r="CCR19" s="21"/>
      <c r="CCV19" s="15"/>
      <c r="CDB19" s="25"/>
      <c r="CDI19" s="21"/>
      <c r="CDJ19" s="21"/>
      <c r="CDN19" s="15"/>
      <c r="CDT19" s="25"/>
      <c r="CEA19" s="21"/>
      <c r="CEB19" s="21"/>
      <c r="CEF19" s="15"/>
      <c r="CEL19" s="25"/>
      <c r="CES19" s="21"/>
      <c r="CET19" s="21"/>
      <c r="CEX19" s="15"/>
      <c r="CFD19" s="25"/>
      <c r="CFK19" s="21"/>
      <c r="CFL19" s="21"/>
      <c r="CFP19" s="15"/>
      <c r="CFV19" s="25"/>
      <c r="CGC19" s="21"/>
      <c r="CGD19" s="21"/>
      <c r="CGH19" s="15"/>
      <c r="CGN19" s="25"/>
      <c r="CGU19" s="21"/>
      <c r="CGV19" s="21"/>
      <c r="CGZ19" s="15"/>
      <c r="CHF19" s="25"/>
      <c r="CHM19" s="21"/>
      <c r="CHN19" s="21"/>
      <c r="CHR19" s="15"/>
      <c r="CHX19" s="25"/>
      <c r="CIE19" s="21"/>
      <c r="CIF19" s="21"/>
      <c r="CIJ19" s="15"/>
      <c r="CIP19" s="25"/>
      <c r="CIW19" s="21"/>
      <c r="CIX19" s="21"/>
      <c r="CJB19" s="15"/>
      <c r="CJH19" s="25"/>
      <c r="CJO19" s="21"/>
      <c r="CJP19" s="21"/>
      <c r="CJT19" s="15"/>
      <c r="CJZ19" s="25"/>
      <c r="CKG19" s="21"/>
      <c r="CKH19" s="21"/>
      <c r="CKL19" s="15"/>
      <c r="CKR19" s="25"/>
      <c r="CKY19" s="21"/>
      <c r="CKZ19" s="21"/>
      <c r="CLD19" s="15"/>
      <c r="CLJ19" s="25"/>
      <c r="CLQ19" s="21"/>
      <c r="CLR19" s="21"/>
      <c r="CLV19" s="15"/>
      <c r="CMB19" s="25"/>
      <c r="CMI19" s="21"/>
      <c r="CMJ19" s="21"/>
      <c r="CMN19" s="15"/>
      <c r="CMT19" s="25"/>
      <c r="CNA19" s="21"/>
      <c r="CNB19" s="21"/>
      <c r="CNF19" s="15"/>
      <c r="CNL19" s="25"/>
      <c r="CNS19" s="21"/>
      <c r="CNT19" s="21"/>
      <c r="CNX19" s="15"/>
      <c r="COD19" s="25"/>
      <c r="COK19" s="21"/>
      <c r="COL19" s="21"/>
      <c r="COP19" s="15"/>
      <c r="COV19" s="25"/>
      <c r="CPC19" s="21"/>
      <c r="CPD19" s="21"/>
      <c r="CPH19" s="15"/>
      <c r="CPN19" s="25"/>
      <c r="CPU19" s="21"/>
      <c r="CPV19" s="21"/>
      <c r="CPZ19" s="15"/>
      <c r="CQF19" s="25"/>
      <c r="CQM19" s="21"/>
      <c r="CQN19" s="21"/>
      <c r="CQR19" s="15"/>
      <c r="CQX19" s="25"/>
      <c r="CRE19" s="21"/>
      <c r="CRF19" s="21"/>
      <c r="CRJ19" s="15"/>
      <c r="CRP19" s="25"/>
      <c r="CRW19" s="21"/>
      <c r="CRX19" s="21"/>
      <c r="CSB19" s="15"/>
      <c r="CSH19" s="25"/>
      <c r="CSO19" s="21"/>
      <c r="CSP19" s="21"/>
      <c r="CST19" s="15"/>
      <c r="CSZ19" s="25"/>
      <c r="CTG19" s="21"/>
      <c r="CTH19" s="21"/>
      <c r="CTL19" s="15"/>
      <c r="CTR19" s="25"/>
      <c r="CTY19" s="21"/>
      <c r="CTZ19" s="21"/>
      <c r="CUD19" s="15"/>
      <c r="CUJ19" s="25"/>
      <c r="CUQ19" s="21"/>
      <c r="CUR19" s="21"/>
      <c r="CUV19" s="15"/>
      <c r="CVB19" s="25"/>
      <c r="CVI19" s="21"/>
      <c r="CVJ19" s="21"/>
      <c r="CVN19" s="15"/>
      <c r="CVT19" s="25"/>
      <c r="CWA19" s="21"/>
      <c r="CWB19" s="21"/>
      <c r="CWF19" s="15"/>
      <c r="CWL19" s="25"/>
      <c r="CWS19" s="21"/>
      <c r="CWT19" s="21"/>
      <c r="CWX19" s="15"/>
      <c r="CXD19" s="25"/>
      <c r="CXK19" s="21"/>
      <c r="CXL19" s="21"/>
      <c r="CXP19" s="15"/>
      <c r="CXV19" s="25"/>
      <c r="CYC19" s="21"/>
      <c r="CYD19" s="21"/>
      <c r="CYH19" s="15"/>
      <c r="CYN19" s="25"/>
      <c r="CYU19" s="21"/>
      <c r="CYV19" s="21"/>
      <c r="CYZ19" s="15"/>
      <c r="CZF19" s="25"/>
      <c r="CZM19" s="21"/>
      <c r="CZN19" s="21"/>
      <c r="CZR19" s="15"/>
      <c r="CZX19" s="25"/>
      <c r="DAE19" s="21"/>
      <c r="DAF19" s="21"/>
      <c r="DAJ19" s="15"/>
      <c r="DAP19" s="25"/>
      <c r="DAW19" s="21"/>
      <c r="DAX19" s="21"/>
      <c r="DBB19" s="15"/>
      <c r="DBH19" s="25"/>
      <c r="DBO19" s="21"/>
      <c r="DBP19" s="21"/>
      <c r="DBT19" s="15"/>
      <c r="DBZ19" s="25"/>
      <c r="DCG19" s="21"/>
      <c r="DCH19" s="21"/>
      <c r="DCL19" s="15"/>
      <c r="DCR19" s="25"/>
      <c r="DCY19" s="21"/>
      <c r="DCZ19" s="21"/>
      <c r="DDD19" s="15"/>
      <c r="DDJ19" s="25"/>
      <c r="DDQ19" s="21"/>
      <c r="DDR19" s="21"/>
      <c r="DDV19" s="15"/>
      <c r="DEB19" s="25"/>
      <c r="DEI19" s="21"/>
      <c r="DEJ19" s="21"/>
      <c r="DEN19" s="15"/>
      <c r="DET19" s="25"/>
      <c r="DFA19" s="21"/>
      <c r="DFB19" s="21"/>
      <c r="DFF19" s="15"/>
      <c r="DFL19" s="25"/>
      <c r="DFS19" s="21"/>
      <c r="DFT19" s="21"/>
      <c r="DFX19" s="15"/>
      <c r="DGD19" s="25"/>
      <c r="DGK19" s="21"/>
      <c r="DGL19" s="21"/>
      <c r="DGP19" s="15"/>
      <c r="DGV19" s="25"/>
      <c r="DHC19" s="21"/>
      <c r="DHD19" s="21"/>
      <c r="DHH19" s="15"/>
      <c r="DHN19" s="25"/>
      <c r="DHU19" s="21"/>
      <c r="DHV19" s="21"/>
      <c r="DHZ19" s="15"/>
      <c r="DIF19" s="25"/>
      <c r="DIM19" s="21"/>
      <c r="DIN19" s="21"/>
      <c r="DIR19" s="15"/>
      <c r="DIX19" s="25"/>
      <c r="DJE19" s="21"/>
      <c r="DJF19" s="21"/>
      <c r="DJJ19" s="15"/>
      <c r="DJP19" s="25"/>
      <c r="DJW19" s="21"/>
      <c r="DJX19" s="21"/>
      <c r="DKB19" s="15"/>
      <c r="DKH19" s="25"/>
      <c r="DKO19" s="21"/>
      <c r="DKP19" s="21"/>
      <c r="DKT19" s="15"/>
      <c r="DKZ19" s="25"/>
      <c r="DLG19" s="21"/>
      <c r="DLH19" s="21"/>
      <c r="DLL19" s="15"/>
      <c r="DLR19" s="25"/>
      <c r="DLY19" s="21"/>
      <c r="DLZ19" s="21"/>
      <c r="DMD19" s="15"/>
      <c r="DMJ19" s="25"/>
      <c r="DMQ19" s="21"/>
      <c r="DMR19" s="21"/>
      <c r="DMV19" s="15"/>
      <c r="DNB19" s="25"/>
      <c r="DNI19" s="21"/>
      <c r="DNJ19" s="21"/>
      <c r="DNN19" s="15"/>
      <c r="DNT19" s="25"/>
      <c r="DOA19" s="21"/>
      <c r="DOB19" s="21"/>
      <c r="DOF19" s="15"/>
      <c r="DOL19" s="25"/>
      <c r="DOS19" s="21"/>
      <c r="DOT19" s="21"/>
      <c r="DOX19" s="15"/>
      <c r="DPD19" s="25"/>
      <c r="DPK19" s="21"/>
      <c r="DPL19" s="21"/>
      <c r="DPP19" s="15"/>
      <c r="DPV19" s="25"/>
      <c r="DQC19" s="21"/>
      <c r="DQD19" s="21"/>
      <c r="DQH19" s="15"/>
      <c r="DQN19" s="25"/>
      <c r="DQU19" s="21"/>
      <c r="DQV19" s="21"/>
      <c r="DQZ19" s="15"/>
      <c r="DRF19" s="25"/>
      <c r="DRM19" s="21"/>
      <c r="DRN19" s="21"/>
      <c r="DRR19" s="15"/>
      <c r="DRX19" s="25"/>
      <c r="DSE19" s="21"/>
      <c r="DSF19" s="21"/>
      <c r="DSJ19" s="15"/>
      <c r="DSP19" s="25"/>
      <c r="DSW19" s="21"/>
      <c r="DSX19" s="21"/>
      <c r="DTB19" s="15"/>
      <c r="DTH19" s="25"/>
      <c r="DTO19" s="21"/>
      <c r="DTP19" s="21"/>
      <c r="DTT19" s="15"/>
      <c r="DTZ19" s="25"/>
      <c r="DUG19" s="21"/>
      <c r="DUH19" s="21"/>
      <c r="DUL19" s="15"/>
      <c r="DUR19" s="25"/>
      <c r="DUY19" s="21"/>
      <c r="DUZ19" s="21"/>
      <c r="DVD19" s="15"/>
      <c r="DVJ19" s="25"/>
      <c r="DVQ19" s="21"/>
      <c r="DVR19" s="21"/>
      <c r="DVV19" s="15"/>
      <c r="DWB19" s="25"/>
      <c r="DWI19" s="21"/>
      <c r="DWJ19" s="21"/>
      <c r="DWN19" s="15"/>
      <c r="DWT19" s="25"/>
      <c r="DXA19" s="21"/>
      <c r="DXB19" s="21"/>
      <c r="DXF19" s="15"/>
      <c r="DXL19" s="25"/>
      <c r="DXS19" s="21"/>
      <c r="DXT19" s="21"/>
      <c r="DXX19" s="15"/>
      <c r="DYD19" s="25"/>
      <c r="DYK19" s="21"/>
      <c r="DYL19" s="21"/>
      <c r="DYP19" s="15"/>
      <c r="DYV19" s="25"/>
      <c r="DZC19" s="21"/>
      <c r="DZD19" s="21"/>
      <c r="DZH19" s="15"/>
      <c r="DZN19" s="25"/>
      <c r="DZU19" s="21"/>
      <c r="DZV19" s="21"/>
      <c r="DZZ19" s="15"/>
      <c r="EAF19" s="25"/>
      <c r="EAM19" s="21"/>
      <c r="EAN19" s="21"/>
      <c r="EAR19" s="15"/>
      <c r="EAX19" s="25"/>
      <c r="EBE19" s="21"/>
      <c r="EBF19" s="21"/>
      <c r="EBJ19" s="15"/>
      <c r="EBP19" s="25"/>
      <c r="EBW19" s="21"/>
      <c r="EBX19" s="21"/>
      <c r="ECB19" s="15"/>
      <c r="ECH19" s="25"/>
      <c r="ECO19" s="21"/>
      <c r="ECP19" s="21"/>
      <c r="ECT19" s="15"/>
      <c r="ECZ19" s="25"/>
      <c r="EDG19" s="21"/>
      <c r="EDH19" s="21"/>
      <c r="EDL19" s="15"/>
      <c r="EDR19" s="25"/>
      <c r="EDY19" s="21"/>
      <c r="EDZ19" s="21"/>
      <c r="EED19" s="15"/>
      <c r="EEJ19" s="25"/>
      <c r="EEQ19" s="21"/>
      <c r="EER19" s="21"/>
      <c r="EEV19" s="15"/>
      <c r="EFB19" s="25"/>
      <c r="EFI19" s="21"/>
      <c r="EFJ19" s="21"/>
      <c r="EFN19" s="15"/>
      <c r="EFT19" s="25"/>
      <c r="EGA19" s="21"/>
      <c r="EGB19" s="21"/>
      <c r="EGF19" s="15"/>
      <c r="EGL19" s="25"/>
      <c r="EGS19" s="21"/>
      <c r="EGT19" s="21"/>
      <c r="EGX19" s="15"/>
      <c r="EHD19" s="25"/>
      <c r="EHK19" s="21"/>
      <c r="EHL19" s="21"/>
      <c r="EHP19" s="15"/>
      <c r="EHV19" s="25"/>
      <c r="EIC19" s="21"/>
      <c r="EID19" s="21"/>
      <c r="EIH19" s="15"/>
      <c r="EIN19" s="25"/>
      <c r="EIU19" s="21"/>
      <c r="EIV19" s="21"/>
      <c r="EIZ19" s="15"/>
      <c r="EJF19" s="25"/>
      <c r="EJM19" s="21"/>
      <c r="EJN19" s="21"/>
      <c r="EJR19" s="15"/>
      <c r="EJX19" s="25"/>
      <c r="EKE19" s="21"/>
      <c r="EKF19" s="21"/>
      <c r="EKJ19" s="15"/>
      <c r="EKP19" s="25"/>
      <c r="EKW19" s="21"/>
      <c r="EKX19" s="21"/>
      <c r="ELB19" s="15"/>
      <c r="ELH19" s="25"/>
      <c r="ELO19" s="21"/>
      <c r="ELP19" s="21"/>
      <c r="ELT19" s="15"/>
      <c r="ELZ19" s="25"/>
      <c r="EMG19" s="21"/>
      <c r="EMH19" s="21"/>
      <c r="EML19" s="15"/>
      <c r="EMR19" s="25"/>
      <c r="EMY19" s="21"/>
      <c r="EMZ19" s="21"/>
      <c r="END19" s="15"/>
      <c r="ENJ19" s="25"/>
      <c r="ENQ19" s="21"/>
      <c r="ENR19" s="21"/>
      <c r="ENV19" s="15"/>
      <c r="EOB19" s="25"/>
      <c r="EOI19" s="21"/>
      <c r="EOJ19" s="21"/>
      <c r="EON19" s="15"/>
      <c r="EOT19" s="25"/>
      <c r="EPA19" s="21"/>
      <c r="EPB19" s="21"/>
      <c r="EPF19" s="15"/>
      <c r="EPL19" s="25"/>
      <c r="EPS19" s="21"/>
      <c r="EPT19" s="21"/>
      <c r="EPX19" s="15"/>
      <c r="EQD19" s="25"/>
      <c r="EQK19" s="21"/>
      <c r="EQL19" s="21"/>
      <c r="EQP19" s="15"/>
      <c r="EQV19" s="25"/>
      <c r="ERC19" s="21"/>
      <c r="ERD19" s="21"/>
      <c r="ERH19" s="15"/>
      <c r="ERN19" s="25"/>
      <c r="ERU19" s="21"/>
      <c r="ERV19" s="21"/>
      <c r="ERZ19" s="15"/>
      <c r="ESF19" s="25"/>
      <c r="ESM19" s="21"/>
      <c r="ESN19" s="21"/>
      <c r="ESR19" s="15"/>
      <c r="ESX19" s="25"/>
      <c r="ETE19" s="21"/>
      <c r="ETF19" s="21"/>
      <c r="ETJ19" s="15"/>
      <c r="ETP19" s="25"/>
      <c r="ETW19" s="21"/>
      <c r="ETX19" s="21"/>
      <c r="EUB19" s="15"/>
      <c r="EUH19" s="25"/>
      <c r="EUO19" s="21"/>
      <c r="EUP19" s="21"/>
      <c r="EUT19" s="15"/>
      <c r="EUZ19" s="25"/>
      <c r="EVG19" s="21"/>
      <c r="EVH19" s="21"/>
      <c r="EVL19" s="15"/>
      <c r="EVR19" s="25"/>
      <c r="EVY19" s="21"/>
      <c r="EVZ19" s="21"/>
      <c r="EWD19" s="15"/>
      <c r="EWJ19" s="25"/>
      <c r="EWQ19" s="21"/>
      <c r="EWR19" s="21"/>
      <c r="EWV19" s="15"/>
      <c r="EXB19" s="25"/>
      <c r="EXI19" s="21"/>
      <c r="EXJ19" s="21"/>
      <c r="EXN19" s="15"/>
      <c r="EXT19" s="25"/>
      <c r="EYA19" s="21"/>
      <c r="EYB19" s="21"/>
      <c r="EYF19" s="15"/>
      <c r="EYL19" s="25"/>
      <c r="EYS19" s="21"/>
      <c r="EYT19" s="21"/>
      <c r="EYX19" s="15"/>
      <c r="EZD19" s="25"/>
      <c r="EZK19" s="21"/>
      <c r="EZL19" s="21"/>
      <c r="EZP19" s="15"/>
      <c r="EZV19" s="25"/>
      <c r="FAC19" s="21"/>
      <c r="FAD19" s="21"/>
      <c r="FAH19" s="15"/>
      <c r="FAN19" s="25"/>
      <c r="FAU19" s="21"/>
      <c r="FAV19" s="21"/>
      <c r="FAZ19" s="15"/>
      <c r="FBF19" s="25"/>
      <c r="FBM19" s="21"/>
      <c r="FBN19" s="21"/>
      <c r="FBR19" s="15"/>
      <c r="FBX19" s="25"/>
      <c r="FCE19" s="21"/>
      <c r="FCF19" s="21"/>
      <c r="FCJ19" s="15"/>
      <c r="FCP19" s="25"/>
      <c r="FCW19" s="21"/>
      <c r="FCX19" s="21"/>
      <c r="FDB19" s="15"/>
      <c r="FDH19" s="25"/>
      <c r="FDO19" s="21"/>
      <c r="FDP19" s="21"/>
      <c r="FDT19" s="15"/>
      <c r="FDZ19" s="25"/>
      <c r="FEG19" s="21"/>
      <c r="FEH19" s="21"/>
      <c r="FEL19" s="15"/>
      <c r="FER19" s="25"/>
      <c r="FEY19" s="21"/>
      <c r="FEZ19" s="21"/>
      <c r="FFD19" s="15"/>
      <c r="FFJ19" s="25"/>
      <c r="FFQ19" s="21"/>
      <c r="FFR19" s="21"/>
      <c r="FFV19" s="15"/>
      <c r="FGB19" s="25"/>
      <c r="FGI19" s="21"/>
      <c r="FGJ19" s="21"/>
      <c r="FGN19" s="15"/>
      <c r="FGT19" s="25"/>
      <c r="FHA19" s="21"/>
      <c r="FHB19" s="21"/>
      <c r="FHF19" s="15"/>
      <c r="FHL19" s="25"/>
      <c r="FHS19" s="21"/>
      <c r="FHT19" s="21"/>
      <c r="FHX19" s="15"/>
      <c r="FID19" s="25"/>
      <c r="FIK19" s="21"/>
      <c r="FIL19" s="21"/>
      <c r="FIP19" s="15"/>
      <c r="FIV19" s="25"/>
      <c r="FJC19" s="21"/>
      <c r="FJD19" s="21"/>
      <c r="FJH19" s="15"/>
      <c r="FJN19" s="25"/>
      <c r="FJU19" s="21"/>
      <c r="FJV19" s="21"/>
      <c r="FJZ19" s="15"/>
      <c r="FKF19" s="25"/>
      <c r="FKM19" s="21"/>
      <c r="FKN19" s="21"/>
      <c r="FKR19" s="15"/>
      <c r="FKX19" s="25"/>
      <c r="FLE19" s="21"/>
      <c r="FLF19" s="21"/>
      <c r="FLJ19" s="15"/>
      <c r="FLP19" s="25"/>
      <c r="FLW19" s="21"/>
      <c r="FLX19" s="21"/>
      <c r="FMB19" s="15"/>
      <c r="FMH19" s="25"/>
      <c r="FMO19" s="21"/>
      <c r="FMP19" s="21"/>
      <c r="FMT19" s="15"/>
      <c r="FMZ19" s="25"/>
      <c r="FNG19" s="21"/>
      <c r="FNH19" s="21"/>
      <c r="FNL19" s="15"/>
      <c r="FNR19" s="25"/>
      <c r="FNY19" s="21"/>
      <c r="FNZ19" s="21"/>
      <c r="FOD19" s="15"/>
      <c r="FOJ19" s="25"/>
      <c r="FOQ19" s="21"/>
      <c r="FOR19" s="21"/>
      <c r="FOV19" s="15"/>
      <c r="FPB19" s="25"/>
      <c r="FPI19" s="21"/>
      <c r="FPJ19" s="21"/>
      <c r="FPN19" s="15"/>
      <c r="FPT19" s="25"/>
      <c r="FQA19" s="21"/>
      <c r="FQB19" s="21"/>
      <c r="FQF19" s="15"/>
      <c r="FQL19" s="25"/>
      <c r="FQS19" s="21"/>
      <c r="FQT19" s="21"/>
      <c r="FQX19" s="15"/>
      <c r="FRD19" s="25"/>
      <c r="FRK19" s="21"/>
      <c r="FRL19" s="21"/>
      <c r="FRP19" s="15"/>
      <c r="FRV19" s="25"/>
      <c r="FSC19" s="21"/>
      <c r="FSD19" s="21"/>
      <c r="FSH19" s="15"/>
      <c r="FSN19" s="25"/>
      <c r="FSU19" s="21"/>
      <c r="FSV19" s="21"/>
      <c r="FSZ19" s="15"/>
      <c r="FTF19" s="25"/>
      <c r="FTM19" s="21"/>
      <c r="FTN19" s="21"/>
      <c r="FTR19" s="15"/>
      <c r="FTX19" s="25"/>
      <c r="FUE19" s="21"/>
      <c r="FUF19" s="21"/>
      <c r="FUJ19" s="15"/>
      <c r="FUP19" s="25"/>
      <c r="FUW19" s="21"/>
      <c r="FUX19" s="21"/>
      <c r="FVB19" s="15"/>
      <c r="FVH19" s="25"/>
      <c r="FVO19" s="21"/>
      <c r="FVP19" s="21"/>
      <c r="FVT19" s="15"/>
      <c r="FVZ19" s="25"/>
      <c r="FWG19" s="21"/>
      <c r="FWH19" s="21"/>
      <c r="FWL19" s="15"/>
      <c r="FWR19" s="25"/>
      <c r="FWY19" s="21"/>
      <c r="FWZ19" s="21"/>
      <c r="FXD19" s="15"/>
      <c r="FXJ19" s="25"/>
      <c r="FXQ19" s="21"/>
      <c r="FXR19" s="21"/>
      <c r="FXV19" s="15"/>
      <c r="FYB19" s="25"/>
      <c r="FYI19" s="21"/>
      <c r="FYJ19" s="21"/>
      <c r="FYN19" s="15"/>
      <c r="FYT19" s="25"/>
      <c r="FZA19" s="21"/>
      <c r="FZB19" s="21"/>
      <c r="FZF19" s="15"/>
      <c r="FZL19" s="25"/>
      <c r="FZS19" s="21"/>
      <c r="FZT19" s="21"/>
      <c r="FZX19" s="15"/>
      <c r="GAD19" s="25"/>
      <c r="GAK19" s="21"/>
      <c r="GAL19" s="21"/>
      <c r="GAP19" s="15"/>
      <c r="GAV19" s="25"/>
      <c r="GBC19" s="21"/>
      <c r="GBD19" s="21"/>
      <c r="GBH19" s="15"/>
      <c r="GBN19" s="25"/>
      <c r="GBU19" s="21"/>
      <c r="GBV19" s="21"/>
      <c r="GBZ19" s="15"/>
      <c r="GCF19" s="25"/>
      <c r="GCM19" s="21"/>
      <c r="GCN19" s="21"/>
      <c r="GCR19" s="15"/>
      <c r="GCX19" s="25"/>
      <c r="GDE19" s="21"/>
      <c r="GDF19" s="21"/>
      <c r="GDJ19" s="15"/>
      <c r="GDP19" s="25"/>
      <c r="GDW19" s="21"/>
      <c r="GDX19" s="21"/>
      <c r="GEB19" s="15"/>
      <c r="GEH19" s="25"/>
      <c r="GEO19" s="21"/>
      <c r="GEP19" s="21"/>
      <c r="GET19" s="15"/>
      <c r="GEZ19" s="25"/>
      <c r="GFG19" s="21"/>
      <c r="GFH19" s="21"/>
      <c r="GFL19" s="15"/>
      <c r="GFR19" s="25"/>
      <c r="GFY19" s="21"/>
      <c r="GFZ19" s="21"/>
      <c r="GGD19" s="15"/>
      <c r="GGJ19" s="25"/>
      <c r="GGQ19" s="21"/>
      <c r="GGR19" s="21"/>
      <c r="GGV19" s="15"/>
      <c r="GHB19" s="25"/>
      <c r="GHI19" s="21"/>
      <c r="GHJ19" s="21"/>
      <c r="GHN19" s="15"/>
      <c r="GHT19" s="25"/>
      <c r="GIA19" s="21"/>
      <c r="GIB19" s="21"/>
      <c r="GIF19" s="15"/>
      <c r="GIL19" s="25"/>
      <c r="GIS19" s="21"/>
      <c r="GIT19" s="21"/>
      <c r="GIX19" s="15"/>
      <c r="GJD19" s="25"/>
      <c r="GJK19" s="21"/>
      <c r="GJL19" s="21"/>
      <c r="GJP19" s="15"/>
      <c r="GJV19" s="25"/>
      <c r="GKC19" s="21"/>
      <c r="GKD19" s="21"/>
      <c r="GKH19" s="15"/>
      <c r="GKN19" s="25"/>
      <c r="GKU19" s="21"/>
      <c r="GKV19" s="21"/>
      <c r="GKZ19" s="15"/>
      <c r="GLF19" s="25"/>
      <c r="GLM19" s="21"/>
      <c r="GLN19" s="21"/>
      <c r="GLR19" s="15"/>
      <c r="GLX19" s="25"/>
      <c r="GME19" s="21"/>
      <c r="GMF19" s="21"/>
      <c r="GMJ19" s="15"/>
      <c r="GMP19" s="25"/>
      <c r="GMW19" s="21"/>
      <c r="GMX19" s="21"/>
      <c r="GNB19" s="15"/>
      <c r="GNH19" s="25"/>
      <c r="GNO19" s="21"/>
      <c r="GNP19" s="21"/>
      <c r="GNT19" s="15"/>
      <c r="GNZ19" s="25"/>
      <c r="GOG19" s="21"/>
      <c r="GOH19" s="21"/>
      <c r="GOL19" s="15"/>
      <c r="GOR19" s="25"/>
      <c r="GOY19" s="21"/>
      <c r="GOZ19" s="21"/>
      <c r="GPD19" s="15"/>
      <c r="GPJ19" s="25"/>
      <c r="GPQ19" s="21"/>
      <c r="GPR19" s="21"/>
      <c r="GPV19" s="15"/>
      <c r="GQB19" s="25"/>
      <c r="GQI19" s="21"/>
      <c r="GQJ19" s="21"/>
      <c r="GQN19" s="15"/>
      <c r="GQT19" s="25"/>
      <c r="GRA19" s="21"/>
      <c r="GRB19" s="21"/>
      <c r="GRF19" s="15"/>
      <c r="GRL19" s="25"/>
      <c r="GRS19" s="21"/>
      <c r="GRT19" s="21"/>
      <c r="GRX19" s="15"/>
      <c r="GSD19" s="25"/>
      <c r="GSK19" s="21"/>
      <c r="GSL19" s="21"/>
      <c r="GSP19" s="15"/>
      <c r="GSV19" s="25"/>
      <c r="GTC19" s="21"/>
      <c r="GTD19" s="21"/>
      <c r="GTH19" s="15"/>
      <c r="GTN19" s="25"/>
      <c r="GTU19" s="21"/>
      <c r="GTV19" s="21"/>
      <c r="GTZ19" s="15"/>
      <c r="GUF19" s="25"/>
      <c r="GUM19" s="21"/>
      <c r="GUN19" s="21"/>
      <c r="GUR19" s="15"/>
      <c r="GUX19" s="25"/>
      <c r="GVE19" s="21"/>
      <c r="GVF19" s="21"/>
      <c r="GVJ19" s="15"/>
      <c r="GVP19" s="25"/>
      <c r="GVW19" s="21"/>
      <c r="GVX19" s="21"/>
      <c r="GWB19" s="15"/>
      <c r="GWH19" s="25"/>
      <c r="GWO19" s="21"/>
      <c r="GWP19" s="21"/>
      <c r="GWT19" s="15"/>
      <c r="GWZ19" s="25"/>
      <c r="GXG19" s="21"/>
      <c r="GXH19" s="21"/>
      <c r="GXL19" s="15"/>
      <c r="GXR19" s="25"/>
      <c r="GXY19" s="21"/>
      <c r="GXZ19" s="21"/>
      <c r="GYD19" s="15"/>
      <c r="GYJ19" s="25"/>
      <c r="GYQ19" s="21"/>
      <c r="GYR19" s="21"/>
      <c r="GYV19" s="15"/>
      <c r="GZB19" s="25"/>
      <c r="GZI19" s="21"/>
      <c r="GZJ19" s="21"/>
      <c r="GZN19" s="15"/>
      <c r="GZT19" s="25"/>
      <c r="HAA19" s="21"/>
      <c r="HAB19" s="21"/>
      <c r="HAF19" s="15"/>
      <c r="HAL19" s="25"/>
      <c r="HAS19" s="21"/>
      <c r="HAT19" s="21"/>
      <c r="HAX19" s="15"/>
      <c r="HBD19" s="25"/>
      <c r="HBK19" s="21"/>
      <c r="HBL19" s="21"/>
      <c r="HBP19" s="15"/>
      <c r="HBV19" s="25"/>
      <c r="HCC19" s="21"/>
      <c r="HCD19" s="21"/>
      <c r="HCH19" s="15"/>
      <c r="HCN19" s="25"/>
      <c r="HCU19" s="21"/>
      <c r="HCV19" s="21"/>
      <c r="HCZ19" s="15"/>
      <c r="HDF19" s="25"/>
      <c r="HDM19" s="21"/>
      <c r="HDN19" s="21"/>
      <c r="HDR19" s="15"/>
      <c r="HDX19" s="25"/>
      <c r="HEE19" s="21"/>
      <c r="HEF19" s="21"/>
      <c r="HEJ19" s="15"/>
      <c r="HEP19" s="25"/>
      <c r="HEW19" s="21"/>
      <c r="HEX19" s="21"/>
      <c r="HFB19" s="15"/>
      <c r="HFH19" s="25"/>
      <c r="HFO19" s="21"/>
      <c r="HFP19" s="21"/>
      <c r="HFT19" s="15"/>
      <c r="HFZ19" s="25"/>
      <c r="HGG19" s="21"/>
      <c r="HGH19" s="21"/>
      <c r="HGL19" s="15"/>
      <c r="HGR19" s="25"/>
      <c r="HGY19" s="21"/>
      <c r="HGZ19" s="21"/>
      <c r="HHD19" s="15"/>
      <c r="HHJ19" s="25"/>
      <c r="HHQ19" s="21"/>
      <c r="HHR19" s="21"/>
      <c r="HHV19" s="15"/>
      <c r="HIB19" s="25"/>
      <c r="HII19" s="21"/>
      <c r="HIJ19" s="21"/>
      <c r="HIN19" s="15"/>
      <c r="HIT19" s="25"/>
      <c r="HJA19" s="21"/>
      <c r="HJB19" s="21"/>
      <c r="HJF19" s="15"/>
      <c r="HJL19" s="25"/>
      <c r="HJS19" s="21"/>
      <c r="HJT19" s="21"/>
      <c r="HJX19" s="15"/>
      <c r="HKD19" s="25"/>
      <c r="HKK19" s="21"/>
      <c r="HKL19" s="21"/>
      <c r="HKP19" s="15"/>
      <c r="HKV19" s="25"/>
      <c r="HLC19" s="21"/>
      <c r="HLD19" s="21"/>
      <c r="HLH19" s="15"/>
      <c r="HLN19" s="25"/>
      <c r="HLU19" s="21"/>
      <c r="HLV19" s="21"/>
      <c r="HLZ19" s="15"/>
      <c r="HMF19" s="25"/>
      <c r="HMM19" s="21"/>
      <c r="HMN19" s="21"/>
      <c r="HMR19" s="15"/>
      <c r="HMX19" s="25"/>
      <c r="HNE19" s="21"/>
      <c r="HNF19" s="21"/>
      <c r="HNJ19" s="15"/>
      <c r="HNP19" s="25"/>
      <c r="HNW19" s="21"/>
      <c r="HNX19" s="21"/>
      <c r="HOB19" s="15"/>
      <c r="HOH19" s="25"/>
      <c r="HOO19" s="21"/>
      <c r="HOP19" s="21"/>
      <c r="HOT19" s="15"/>
      <c r="HOZ19" s="25"/>
      <c r="HPG19" s="21"/>
      <c r="HPH19" s="21"/>
      <c r="HPL19" s="15"/>
      <c r="HPR19" s="25"/>
      <c r="HPY19" s="21"/>
      <c r="HPZ19" s="21"/>
      <c r="HQD19" s="15"/>
      <c r="HQJ19" s="25"/>
      <c r="HQQ19" s="21"/>
      <c r="HQR19" s="21"/>
      <c r="HQV19" s="15"/>
      <c r="HRB19" s="25"/>
      <c r="HRI19" s="21"/>
      <c r="HRJ19" s="21"/>
      <c r="HRN19" s="15"/>
      <c r="HRT19" s="25"/>
      <c r="HSA19" s="21"/>
      <c r="HSB19" s="21"/>
      <c r="HSF19" s="15"/>
      <c r="HSL19" s="25"/>
      <c r="HSS19" s="21"/>
      <c r="HST19" s="21"/>
      <c r="HSX19" s="15"/>
      <c r="HTD19" s="25"/>
      <c r="HTK19" s="21"/>
      <c r="HTL19" s="21"/>
      <c r="HTP19" s="15"/>
      <c r="HTV19" s="25"/>
      <c r="HUC19" s="21"/>
      <c r="HUD19" s="21"/>
      <c r="HUH19" s="15"/>
      <c r="HUN19" s="25"/>
      <c r="HUU19" s="21"/>
      <c r="HUV19" s="21"/>
      <c r="HUZ19" s="15"/>
      <c r="HVF19" s="25"/>
      <c r="HVM19" s="21"/>
      <c r="HVN19" s="21"/>
      <c r="HVR19" s="15"/>
      <c r="HVX19" s="25"/>
      <c r="HWE19" s="21"/>
      <c r="HWF19" s="21"/>
      <c r="HWJ19" s="15"/>
      <c r="HWP19" s="25"/>
      <c r="HWW19" s="21"/>
      <c r="HWX19" s="21"/>
      <c r="HXB19" s="15"/>
      <c r="HXH19" s="25"/>
      <c r="HXO19" s="21"/>
      <c r="HXP19" s="21"/>
      <c r="HXT19" s="15"/>
      <c r="HXZ19" s="25"/>
      <c r="HYG19" s="21"/>
      <c r="HYH19" s="21"/>
      <c r="HYL19" s="15"/>
      <c r="HYR19" s="25"/>
      <c r="HYY19" s="21"/>
      <c r="HYZ19" s="21"/>
      <c r="HZD19" s="15"/>
      <c r="HZJ19" s="25"/>
      <c r="HZQ19" s="21"/>
      <c r="HZR19" s="21"/>
      <c r="HZV19" s="15"/>
      <c r="IAB19" s="25"/>
      <c r="IAI19" s="21"/>
      <c r="IAJ19" s="21"/>
      <c r="IAN19" s="15"/>
      <c r="IAT19" s="25"/>
      <c r="IBA19" s="21"/>
      <c r="IBB19" s="21"/>
      <c r="IBF19" s="15"/>
      <c r="IBL19" s="25"/>
      <c r="IBS19" s="21"/>
      <c r="IBT19" s="21"/>
      <c r="IBX19" s="15"/>
      <c r="ICD19" s="25"/>
      <c r="ICK19" s="21"/>
      <c r="ICL19" s="21"/>
      <c r="ICP19" s="15"/>
      <c r="ICV19" s="25"/>
      <c r="IDC19" s="21"/>
      <c r="IDD19" s="21"/>
      <c r="IDH19" s="15"/>
      <c r="IDN19" s="25"/>
      <c r="IDU19" s="21"/>
      <c r="IDV19" s="21"/>
      <c r="IDZ19" s="15"/>
      <c r="IEF19" s="25"/>
      <c r="IEM19" s="21"/>
      <c r="IEN19" s="21"/>
      <c r="IER19" s="15"/>
      <c r="IEX19" s="25"/>
      <c r="IFE19" s="21"/>
      <c r="IFF19" s="21"/>
      <c r="IFJ19" s="15"/>
      <c r="IFP19" s="25"/>
      <c r="IFW19" s="21"/>
      <c r="IFX19" s="21"/>
      <c r="IGB19" s="15"/>
      <c r="IGH19" s="25"/>
      <c r="IGO19" s="21"/>
      <c r="IGP19" s="21"/>
      <c r="IGT19" s="15"/>
      <c r="IGZ19" s="25"/>
      <c r="IHG19" s="21"/>
      <c r="IHH19" s="21"/>
      <c r="IHL19" s="15"/>
      <c r="IHR19" s="25"/>
      <c r="IHY19" s="21"/>
      <c r="IHZ19" s="21"/>
      <c r="IID19" s="15"/>
      <c r="IIJ19" s="25"/>
      <c r="IIQ19" s="21"/>
      <c r="IIR19" s="21"/>
      <c r="IIV19" s="15"/>
      <c r="IJB19" s="25"/>
      <c r="IJI19" s="21"/>
      <c r="IJJ19" s="21"/>
      <c r="IJN19" s="15"/>
      <c r="IJT19" s="25"/>
      <c r="IKA19" s="21"/>
      <c r="IKB19" s="21"/>
      <c r="IKF19" s="15"/>
      <c r="IKL19" s="25"/>
      <c r="IKS19" s="21"/>
      <c r="IKT19" s="21"/>
      <c r="IKX19" s="15"/>
      <c r="ILD19" s="25"/>
      <c r="ILK19" s="21"/>
      <c r="ILL19" s="21"/>
      <c r="ILP19" s="15"/>
      <c r="ILV19" s="25"/>
      <c r="IMC19" s="21"/>
      <c r="IMD19" s="21"/>
      <c r="IMH19" s="15"/>
      <c r="IMN19" s="25"/>
      <c r="IMU19" s="21"/>
      <c r="IMV19" s="21"/>
      <c r="IMZ19" s="15"/>
      <c r="INF19" s="25"/>
      <c r="INM19" s="21"/>
      <c r="INN19" s="21"/>
      <c r="INR19" s="15"/>
      <c r="INX19" s="25"/>
      <c r="IOE19" s="21"/>
      <c r="IOF19" s="21"/>
      <c r="IOJ19" s="15"/>
      <c r="IOP19" s="25"/>
      <c r="IOW19" s="21"/>
      <c r="IOX19" s="21"/>
      <c r="IPB19" s="15"/>
      <c r="IPH19" s="25"/>
      <c r="IPO19" s="21"/>
      <c r="IPP19" s="21"/>
      <c r="IPT19" s="15"/>
      <c r="IPZ19" s="25"/>
      <c r="IQG19" s="21"/>
      <c r="IQH19" s="21"/>
      <c r="IQL19" s="15"/>
      <c r="IQR19" s="25"/>
      <c r="IQY19" s="21"/>
      <c r="IQZ19" s="21"/>
      <c r="IRD19" s="15"/>
      <c r="IRJ19" s="25"/>
      <c r="IRQ19" s="21"/>
      <c r="IRR19" s="21"/>
      <c r="IRV19" s="15"/>
      <c r="ISB19" s="25"/>
      <c r="ISI19" s="21"/>
      <c r="ISJ19" s="21"/>
      <c r="ISN19" s="15"/>
      <c r="IST19" s="25"/>
      <c r="ITA19" s="21"/>
      <c r="ITB19" s="21"/>
      <c r="ITF19" s="15"/>
      <c r="ITL19" s="25"/>
      <c r="ITS19" s="21"/>
      <c r="ITT19" s="21"/>
      <c r="ITX19" s="15"/>
      <c r="IUD19" s="25"/>
      <c r="IUK19" s="21"/>
      <c r="IUL19" s="21"/>
      <c r="IUP19" s="15"/>
      <c r="IUV19" s="25"/>
      <c r="IVC19" s="21"/>
      <c r="IVD19" s="21"/>
      <c r="IVH19" s="15"/>
      <c r="IVN19" s="25"/>
      <c r="IVU19" s="21"/>
      <c r="IVV19" s="21"/>
      <c r="IVZ19" s="15"/>
      <c r="IWF19" s="25"/>
      <c r="IWM19" s="21"/>
      <c r="IWN19" s="21"/>
      <c r="IWR19" s="15"/>
      <c r="IWX19" s="25"/>
      <c r="IXE19" s="21"/>
      <c r="IXF19" s="21"/>
      <c r="IXJ19" s="15"/>
      <c r="IXP19" s="25"/>
      <c r="IXW19" s="21"/>
      <c r="IXX19" s="21"/>
      <c r="IYB19" s="15"/>
      <c r="IYH19" s="25"/>
      <c r="IYO19" s="21"/>
      <c r="IYP19" s="21"/>
      <c r="IYT19" s="15"/>
      <c r="IYZ19" s="25"/>
      <c r="IZG19" s="21"/>
      <c r="IZH19" s="21"/>
      <c r="IZL19" s="15"/>
      <c r="IZR19" s="25"/>
      <c r="IZY19" s="21"/>
      <c r="IZZ19" s="21"/>
      <c r="JAD19" s="15"/>
      <c r="JAJ19" s="25"/>
      <c r="JAQ19" s="21"/>
      <c r="JAR19" s="21"/>
      <c r="JAV19" s="15"/>
      <c r="JBB19" s="25"/>
      <c r="JBI19" s="21"/>
      <c r="JBJ19" s="21"/>
      <c r="JBN19" s="15"/>
      <c r="JBT19" s="25"/>
      <c r="JCA19" s="21"/>
      <c r="JCB19" s="21"/>
      <c r="JCF19" s="15"/>
      <c r="JCL19" s="25"/>
      <c r="JCS19" s="21"/>
      <c r="JCT19" s="21"/>
      <c r="JCX19" s="15"/>
      <c r="JDD19" s="25"/>
      <c r="JDK19" s="21"/>
      <c r="JDL19" s="21"/>
      <c r="JDP19" s="15"/>
      <c r="JDV19" s="25"/>
      <c r="JEC19" s="21"/>
      <c r="JED19" s="21"/>
      <c r="JEH19" s="15"/>
      <c r="JEN19" s="25"/>
      <c r="JEU19" s="21"/>
      <c r="JEV19" s="21"/>
      <c r="JEZ19" s="15"/>
      <c r="JFF19" s="25"/>
      <c r="JFM19" s="21"/>
      <c r="JFN19" s="21"/>
      <c r="JFR19" s="15"/>
      <c r="JFX19" s="25"/>
      <c r="JGE19" s="21"/>
      <c r="JGF19" s="21"/>
      <c r="JGJ19" s="15"/>
      <c r="JGP19" s="25"/>
      <c r="JGW19" s="21"/>
      <c r="JGX19" s="21"/>
      <c r="JHB19" s="15"/>
      <c r="JHH19" s="25"/>
      <c r="JHO19" s="21"/>
      <c r="JHP19" s="21"/>
      <c r="JHT19" s="15"/>
      <c r="JHZ19" s="25"/>
      <c r="JIG19" s="21"/>
      <c r="JIH19" s="21"/>
      <c r="JIL19" s="15"/>
      <c r="JIR19" s="25"/>
      <c r="JIY19" s="21"/>
      <c r="JIZ19" s="21"/>
      <c r="JJD19" s="15"/>
      <c r="JJJ19" s="25"/>
      <c r="JJQ19" s="21"/>
      <c r="JJR19" s="21"/>
      <c r="JJV19" s="15"/>
      <c r="JKB19" s="25"/>
      <c r="JKI19" s="21"/>
      <c r="JKJ19" s="21"/>
      <c r="JKN19" s="15"/>
      <c r="JKT19" s="25"/>
      <c r="JLA19" s="21"/>
      <c r="JLB19" s="21"/>
      <c r="JLF19" s="15"/>
      <c r="JLL19" s="25"/>
      <c r="JLS19" s="21"/>
      <c r="JLT19" s="21"/>
      <c r="JLX19" s="15"/>
      <c r="JMD19" s="25"/>
      <c r="JMK19" s="21"/>
      <c r="JML19" s="21"/>
      <c r="JMP19" s="15"/>
      <c r="JMV19" s="25"/>
      <c r="JNC19" s="21"/>
      <c r="JND19" s="21"/>
      <c r="JNH19" s="15"/>
      <c r="JNN19" s="25"/>
      <c r="JNU19" s="21"/>
      <c r="JNV19" s="21"/>
      <c r="JNZ19" s="15"/>
      <c r="JOF19" s="25"/>
      <c r="JOM19" s="21"/>
      <c r="JON19" s="21"/>
      <c r="JOR19" s="15"/>
      <c r="JOX19" s="25"/>
      <c r="JPE19" s="21"/>
      <c r="JPF19" s="21"/>
      <c r="JPJ19" s="15"/>
      <c r="JPP19" s="25"/>
      <c r="JPW19" s="21"/>
      <c r="JPX19" s="21"/>
      <c r="JQB19" s="15"/>
      <c r="JQH19" s="25"/>
      <c r="JQO19" s="21"/>
      <c r="JQP19" s="21"/>
      <c r="JQT19" s="15"/>
      <c r="JQZ19" s="25"/>
      <c r="JRG19" s="21"/>
      <c r="JRH19" s="21"/>
      <c r="JRL19" s="15"/>
      <c r="JRR19" s="25"/>
      <c r="JRY19" s="21"/>
      <c r="JRZ19" s="21"/>
      <c r="JSD19" s="15"/>
      <c r="JSJ19" s="25"/>
      <c r="JSQ19" s="21"/>
      <c r="JSR19" s="21"/>
      <c r="JSV19" s="15"/>
      <c r="JTB19" s="25"/>
      <c r="JTI19" s="21"/>
      <c r="JTJ19" s="21"/>
      <c r="JTN19" s="15"/>
      <c r="JTT19" s="25"/>
      <c r="JUA19" s="21"/>
      <c r="JUB19" s="21"/>
      <c r="JUF19" s="15"/>
      <c r="JUL19" s="25"/>
      <c r="JUS19" s="21"/>
      <c r="JUT19" s="21"/>
      <c r="JUX19" s="15"/>
      <c r="JVD19" s="25"/>
      <c r="JVK19" s="21"/>
      <c r="JVL19" s="21"/>
      <c r="JVP19" s="15"/>
      <c r="JVV19" s="25"/>
      <c r="JWC19" s="21"/>
      <c r="JWD19" s="21"/>
      <c r="JWH19" s="15"/>
      <c r="JWN19" s="25"/>
      <c r="JWU19" s="21"/>
      <c r="JWV19" s="21"/>
      <c r="JWZ19" s="15"/>
      <c r="JXF19" s="25"/>
      <c r="JXM19" s="21"/>
      <c r="JXN19" s="21"/>
      <c r="JXR19" s="15"/>
      <c r="JXX19" s="25"/>
      <c r="JYE19" s="21"/>
      <c r="JYF19" s="21"/>
      <c r="JYJ19" s="15"/>
      <c r="JYP19" s="25"/>
      <c r="JYW19" s="21"/>
      <c r="JYX19" s="21"/>
      <c r="JZB19" s="15"/>
      <c r="JZH19" s="25"/>
      <c r="JZO19" s="21"/>
      <c r="JZP19" s="21"/>
      <c r="JZT19" s="15"/>
      <c r="JZZ19" s="25"/>
      <c r="KAG19" s="21"/>
      <c r="KAH19" s="21"/>
      <c r="KAL19" s="15"/>
      <c r="KAR19" s="25"/>
      <c r="KAY19" s="21"/>
      <c r="KAZ19" s="21"/>
      <c r="KBD19" s="15"/>
      <c r="KBJ19" s="25"/>
      <c r="KBQ19" s="21"/>
      <c r="KBR19" s="21"/>
      <c r="KBV19" s="15"/>
      <c r="KCB19" s="25"/>
      <c r="KCI19" s="21"/>
      <c r="KCJ19" s="21"/>
      <c r="KCN19" s="15"/>
      <c r="KCT19" s="25"/>
      <c r="KDA19" s="21"/>
      <c r="KDB19" s="21"/>
      <c r="KDF19" s="15"/>
      <c r="KDL19" s="25"/>
      <c r="KDS19" s="21"/>
      <c r="KDT19" s="21"/>
      <c r="KDX19" s="15"/>
      <c r="KED19" s="25"/>
      <c r="KEK19" s="21"/>
      <c r="KEL19" s="21"/>
      <c r="KEP19" s="15"/>
      <c r="KEV19" s="25"/>
      <c r="KFC19" s="21"/>
      <c r="KFD19" s="21"/>
      <c r="KFH19" s="15"/>
      <c r="KFN19" s="25"/>
      <c r="KFU19" s="21"/>
      <c r="KFV19" s="21"/>
      <c r="KFZ19" s="15"/>
      <c r="KGF19" s="25"/>
      <c r="KGM19" s="21"/>
      <c r="KGN19" s="21"/>
      <c r="KGR19" s="15"/>
      <c r="KGX19" s="25"/>
      <c r="KHE19" s="21"/>
      <c r="KHF19" s="21"/>
      <c r="KHJ19" s="15"/>
      <c r="KHP19" s="25"/>
      <c r="KHW19" s="21"/>
      <c r="KHX19" s="21"/>
      <c r="KIB19" s="15"/>
      <c r="KIH19" s="25"/>
      <c r="KIO19" s="21"/>
      <c r="KIP19" s="21"/>
      <c r="KIT19" s="15"/>
      <c r="KIZ19" s="25"/>
      <c r="KJG19" s="21"/>
      <c r="KJH19" s="21"/>
      <c r="KJL19" s="15"/>
      <c r="KJR19" s="25"/>
      <c r="KJY19" s="21"/>
      <c r="KJZ19" s="21"/>
      <c r="KKD19" s="15"/>
      <c r="KKJ19" s="25"/>
      <c r="KKQ19" s="21"/>
      <c r="KKR19" s="21"/>
      <c r="KKV19" s="15"/>
      <c r="KLB19" s="25"/>
      <c r="KLI19" s="21"/>
      <c r="KLJ19" s="21"/>
      <c r="KLN19" s="15"/>
      <c r="KLT19" s="25"/>
      <c r="KMA19" s="21"/>
      <c r="KMB19" s="21"/>
      <c r="KMF19" s="15"/>
      <c r="KML19" s="25"/>
      <c r="KMS19" s="21"/>
      <c r="KMT19" s="21"/>
      <c r="KMX19" s="15"/>
      <c r="KND19" s="25"/>
      <c r="KNK19" s="21"/>
      <c r="KNL19" s="21"/>
      <c r="KNP19" s="15"/>
      <c r="KNV19" s="25"/>
      <c r="KOC19" s="21"/>
      <c r="KOD19" s="21"/>
      <c r="KOH19" s="15"/>
      <c r="KON19" s="25"/>
      <c r="KOU19" s="21"/>
      <c r="KOV19" s="21"/>
      <c r="KOZ19" s="15"/>
      <c r="KPF19" s="25"/>
      <c r="KPM19" s="21"/>
      <c r="KPN19" s="21"/>
      <c r="KPR19" s="15"/>
      <c r="KPX19" s="25"/>
      <c r="KQE19" s="21"/>
      <c r="KQF19" s="21"/>
      <c r="KQJ19" s="15"/>
      <c r="KQP19" s="25"/>
      <c r="KQW19" s="21"/>
      <c r="KQX19" s="21"/>
      <c r="KRB19" s="15"/>
      <c r="KRH19" s="25"/>
      <c r="KRO19" s="21"/>
      <c r="KRP19" s="21"/>
      <c r="KRT19" s="15"/>
      <c r="KRZ19" s="25"/>
      <c r="KSG19" s="21"/>
      <c r="KSH19" s="21"/>
      <c r="KSL19" s="15"/>
      <c r="KSR19" s="25"/>
      <c r="KSY19" s="21"/>
      <c r="KSZ19" s="21"/>
      <c r="KTD19" s="15"/>
      <c r="KTJ19" s="25"/>
      <c r="KTQ19" s="21"/>
      <c r="KTR19" s="21"/>
      <c r="KTV19" s="15"/>
      <c r="KUB19" s="25"/>
      <c r="KUI19" s="21"/>
      <c r="KUJ19" s="21"/>
      <c r="KUN19" s="15"/>
      <c r="KUT19" s="25"/>
      <c r="KVA19" s="21"/>
      <c r="KVB19" s="21"/>
      <c r="KVF19" s="15"/>
      <c r="KVL19" s="25"/>
      <c r="KVS19" s="21"/>
      <c r="KVT19" s="21"/>
      <c r="KVX19" s="15"/>
      <c r="KWD19" s="25"/>
      <c r="KWK19" s="21"/>
      <c r="KWL19" s="21"/>
      <c r="KWP19" s="15"/>
      <c r="KWV19" s="25"/>
      <c r="KXC19" s="21"/>
      <c r="KXD19" s="21"/>
      <c r="KXH19" s="15"/>
      <c r="KXN19" s="25"/>
      <c r="KXU19" s="21"/>
      <c r="KXV19" s="21"/>
      <c r="KXZ19" s="15"/>
      <c r="KYF19" s="25"/>
      <c r="KYM19" s="21"/>
      <c r="KYN19" s="21"/>
      <c r="KYR19" s="15"/>
      <c r="KYX19" s="25"/>
      <c r="KZE19" s="21"/>
      <c r="KZF19" s="21"/>
      <c r="KZJ19" s="15"/>
      <c r="KZP19" s="25"/>
      <c r="KZW19" s="21"/>
      <c r="KZX19" s="21"/>
      <c r="LAB19" s="15"/>
      <c r="LAH19" s="25"/>
      <c r="LAO19" s="21"/>
      <c r="LAP19" s="21"/>
      <c r="LAT19" s="15"/>
      <c r="LAZ19" s="25"/>
      <c r="LBG19" s="21"/>
      <c r="LBH19" s="21"/>
      <c r="LBL19" s="15"/>
      <c r="LBR19" s="25"/>
      <c r="LBY19" s="21"/>
      <c r="LBZ19" s="21"/>
      <c r="LCD19" s="15"/>
      <c r="LCJ19" s="25"/>
      <c r="LCQ19" s="21"/>
      <c r="LCR19" s="21"/>
      <c r="LCV19" s="15"/>
      <c r="LDB19" s="25"/>
      <c r="LDI19" s="21"/>
      <c r="LDJ19" s="21"/>
      <c r="LDN19" s="15"/>
      <c r="LDT19" s="25"/>
      <c r="LEA19" s="21"/>
      <c r="LEB19" s="21"/>
      <c r="LEF19" s="15"/>
      <c r="LEL19" s="25"/>
      <c r="LES19" s="21"/>
      <c r="LET19" s="21"/>
      <c r="LEX19" s="15"/>
      <c r="LFD19" s="25"/>
      <c r="LFK19" s="21"/>
      <c r="LFL19" s="21"/>
      <c r="LFP19" s="15"/>
      <c r="LFV19" s="25"/>
      <c r="LGC19" s="21"/>
      <c r="LGD19" s="21"/>
      <c r="LGH19" s="15"/>
      <c r="LGN19" s="25"/>
      <c r="LGU19" s="21"/>
      <c r="LGV19" s="21"/>
      <c r="LGZ19" s="15"/>
      <c r="LHF19" s="25"/>
      <c r="LHM19" s="21"/>
      <c r="LHN19" s="21"/>
      <c r="LHR19" s="15"/>
      <c r="LHX19" s="25"/>
      <c r="LIE19" s="21"/>
      <c r="LIF19" s="21"/>
      <c r="LIJ19" s="15"/>
      <c r="LIP19" s="25"/>
      <c r="LIW19" s="21"/>
      <c r="LIX19" s="21"/>
      <c r="LJB19" s="15"/>
      <c r="LJH19" s="25"/>
      <c r="LJO19" s="21"/>
      <c r="LJP19" s="21"/>
      <c r="LJT19" s="15"/>
      <c r="LJZ19" s="25"/>
      <c r="LKG19" s="21"/>
      <c r="LKH19" s="21"/>
      <c r="LKL19" s="15"/>
      <c r="LKR19" s="25"/>
      <c r="LKY19" s="21"/>
      <c r="LKZ19" s="21"/>
      <c r="LLD19" s="15"/>
      <c r="LLJ19" s="25"/>
      <c r="LLQ19" s="21"/>
      <c r="LLR19" s="21"/>
      <c r="LLV19" s="15"/>
      <c r="LMB19" s="25"/>
      <c r="LMI19" s="21"/>
      <c r="LMJ19" s="21"/>
      <c r="LMN19" s="15"/>
      <c r="LMT19" s="25"/>
      <c r="LNA19" s="21"/>
      <c r="LNB19" s="21"/>
      <c r="LNF19" s="15"/>
      <c r="LNL19" s="25"/>
      <c r="LNS19" s="21"/>
      <c r="LNT19" s="21"/>
      <c r="LNX19" s="15"/>
      <c r="LOD19" s="25"/>
      <c r="LOK19" s="21"/>
      <c r="LOL19" s="21"/>
      <c r="LOP19" s="15"/>
      <c r="LOV19" s="25"/>
      <c r="LPC19" s="21"/>
      <c r="LPD19" s="21"/>
      <c r="LPH19" s="15"/>
      <c r="LPN19" s="25"/>
      <c r="LPU19" s="21"/>
      <c r="LPV19" s="21"/>
      <c r="LPZ19" s="15"/>
      <c r="LQF19" s="25"/>
      <c r="LQM19" s="21"/>
      <c r="LQN19" s="21"/>
      <c r="LQR19" s="15"/>
      <c r="LQX19" s="25"/>
      <c r="LRE19" s="21"/>
      <c r="LRF19" s="21"/>
      <c r="LRJ19" s="15"/>
      <c r="LRP19" s="25"/>
      <c r="LRW19" s="21"/>
      <c r="LRX19" s="21"/>
      <c r="LSB19" s="15"/>
      <c r="LSH19" s="25"/>
      <c r="LSO19" s="21"/>
      <c r="LSP19" s="21"/>
      <c r="LST19" s="15"/>
      <c r="LSZ19" s="25"/>
      <c r="LTG19" s="21"/>
      <c r="LTH19" s="21"/>
      <c r="LTL19" s="15"/>
      <c r="LTR19" s="25"/>
      <c r="LTY19" s="21"/>
      <c r="LTZ19" s="21"/>
      <c r="LUD19" s="15"/>
      <c r="LUJ19" s="25"/>
      <c r="LUQ19" s="21"/>
      <c r="LUR19" s="21"/>
      <c r="LUV19" s="15"/>
      <c r="LVB19" s="25"/>
      <c r="LVI19" s="21"/>
      <c r="LVJ19" s="21"/>
      <c r="LVN19" s="15"/>
      <c r="LVT19" s="25"/>
      <c r="LWA19" s="21"/>
      <c r="LWB19" s="21"/>
      <c r="LWF19" s="15"/>
      <c r="LWL19" s="25"/>
      <c r="LWS19" s="21"/>
      <c r="LWT19" s="21"/>
      <c r="LWX19" s="15"/>
      <c r="LXD19" s="25"/>
      <c r="LXK19" s="21"/>
      <c r="LXL19" s="21"/>
      <c r="LXP19" s="15"/>
      <c r="LXV19" s="25"/>
      <c r="LYC19" s="21"/>
      <c r="LYD19" s="21"/>
      <c r="LYH19" s="15"/>
      <c r="LYN19" s="25"/>
      <c r="LYU19" s="21"/>
      <c r="LYV19" s="21"/>
      <c r="LYZ19" s="15"/>
      <c r="LZF19" s="25"/>
      <c r="LZM19" s="21"/>
      <c r="LZN19" s="21"/>
      <c r="LZR19" s="15"/>
      <c r="LZX19" s="25"/>
      <c r="MAE19" s="21"/>
      <c r="MAF19" s="21"/>
      <c r="MAJ19" s="15"/>
      <c r="MAP19" s="25"/>
      <c r="MAW19" s="21"/>
      <c r="MAX19" s="21"/>
      <c r="MBB19" s="15"/>
      <c r="MBH19" s="25"/>
      <c r="MBO19" s="21"/>
      <c r="MBP19" s="21"/>
      <c r="MBT19" s="15"/>
      <c r="MBZ19" s="25"/>
      <c r="MCG19" s="21"/>
      <c r="MCH19" s="21"/>
      <c r="MCL19" s="15"/>
      <c r="MCR19" s="25"/>
      <c r="MCY19" s="21"/>
      <c r="MCZ19" s="21"/>
      <c r="MDD19" s="15"/>
      <c r="MDJ19" s="25"/>
      <c r="MDQ19" s="21"/>
      <c r="MDR19" s="21"/>
      <c r="MDV19" s="15"/>
      <c r="MEB19" s="25"/>
      <c r="MEI19" s="21"/>
      <c r="MEJ19" s="21"/>
      <c r="MEN19" s="15"/>
      <c r="MET19" s="25"/>
      <c r="MFA19" s="21"/>
      <c r="MFB19" s="21"/>
      <c r="MFF19" s="15"/>
      <c r="MFL19" s="25"/>
      <c r="MFS19" s="21"/>
      <c r="MFT19" s="21"/>
      <c r="MFX19" s="15"/>
      <c r="MGD19" s="25"/>
      <c r="MGK19" s="21"/>
      <c r="MGL19" s="21"/>
      <c r="MGP19" s="15"/>
      <c r="MGV19" s="25"/>
      <c r="MHC19" s="21"/>
      <c r="MHD19" s="21"/>
      <c r="MHH19" s="15"/>
      <c r="MHN19" s="25"/>
      <c r="MHU19" s="21"/>
      <c r="MHV19" s="21"/>
      <c r="MHZ19" s="15"/>
      <c r="MIF19" s="25"/>
      <c r="MIM19" s="21"/>
      <c r="MIN19" s="21"/>
      <c r="MIR19" s="15"/>
      <c r="MIX19" s="25"/>
      <c r="MJE19" s="21"/>
      <c r="MJF19" s="21"/>
      <c r="MJJ19" s="15"/>
      <c r="MJP19" s="25"/>
      <c r="MJW19" s="21"/>
      <c r="MJX19" s="21"/>
      <c r="MKB19" s="15"/>
      <c r="MKH19" s="25"/>
      <c r="MKO19" s="21"/>
      <c r="MKP19" s="21"/>
      <c r="MKT19" s="15"/>
      <c r="MKZ19" s="25"/>
      <c r="MLG19" s="21"/>
      <c r="MLH19" s="21"/>
      <c r="MLL19" s="15"/>
      <c r="MLR19" s="25"/>
      <c r="MLY19" s="21"/>
      <c r="MLZ19" s="21"/>
      <c r="MMD19" s="15"/>
      <c r="MMJ19" s="25"/>
      <c r="MMQ19" s="21"/>
      <c r="MMR19" s="21"/>
      <c r="MMV19" s="15"/>
      <c r="MNB19" s="25"/>
      <c r="MNI19" s="21"/>
      <c r="MNJ19" s="21"/>
      <c r="MNN19" s="15"/>
      <c r="MNT19" s="25"/>
      <c r="MOA19" s="21"/>
      <c r="MOB19" s="21"/>
      <c r="MOF19" s="15"/>
      <c r="MOL19" s="25"/>
      <c r="MOS19" s="21"/>
      <c r="MOT19" s="21"/>
      <c r="MOX19" s="15"/>
      <c r="MPD19" s="25"/>
      <c r="MPK19" s="21"/>
      <c r="MPL19" s="21"/>
      <c r="MPP19" s="15"/>
      <c r="MPV19" s="25"/>
      <c r="MQC19" s="21"/>
      <c r="MQD19" s="21"/>
      <c r="MQH19" s="15"/>
      <c r="MQN19" s="25"/>
      <c r="MQU19" s="21"/>
      <c r="MQV19" s="21"/>
      <c r="MQZ19" s="15"/>
      <c r="MRF19" s="25"/>
      <c r="MRM19" s="21"/>
      <c r="MRN19" s="21"/>
      <c r="MRR19" s="15"/>
      <c r="MRX19" s="25"/>
      <c r="MSE19" s="21"/>
      <c r="MSF19" s="21"/>
      <c r="MSJ19" s="15"/>
      <c r="MSP19" s="25"/>
      <c r="MSW19" s="21"/>
      <c r="MSX19" s="21"/>
      <c r="MTB19" s="15"/>
      <c r="MTH19" s="25"/>
      <c r="MTO19" s="21"/>
      <c r="MTP19" s="21"/>
      <c r="MTT19" s="15"/>
      <c r="MTZ19" s="25"/>
      <c r="MUG19" s="21"/>
      <c r="MUH19" s="21"/>
      <c r="MUL19" s="15"/>
      <c r="MUR19" s="25"/>
      <c r="MUY19" s="21"/>
      <c r="MUZ19" s="21"/>
      <c r="MVD19" s="15"/>
      <c r="MVJ19" s="25"/>
      <c r="MVQ19" s="21"/>
      <c r="MVR19" s="21"/>
      <c r="MVV19" s="15"/>
      <c r="MWB19" s="25"/>
      <c r="MWI19" s="21"/>
      <c r="MWJ19" s="21"/>
      <c r="MWN19" s="15"/>
      <c r="MWT19" s="25"/>
      <c r="MXA19" s="21"/>
      <c r="MXB19" s="21"/>
      <c r="MXF19" s="15"/>
      <c r="MXL19" s="25"/>
      <c r="MXS19" s="21"/>
      <c r="MXT19" s="21"/>
      <c r="MXX19" s="15"/>
      <c r="MYD19" s="25"/>
      <c r="MYK19" s="21"/>
      <c r="MYL19" s="21"/>
      <c r="MYP19" s="15"/>
      <c r="MYV19" s="25"/>
      <c r="MZC19" s="21"/>
      <c r="MZD19" s="21"/>
      <c r="MZH19" s="15"/>
      <c r="MZN19" s="25"/>
      <c r="MZU19" s="21"/>
      <c r="MZV19" s="21"/>
      <c r="MZZ19" s="15"/>
      <c r="NAF19" s="25"/>
      <c r="NAM19" s="21"/>
      <c r="NAN19" s="21"/>
      <c r="NAR19" s="15"/>
      <c r="NAX19" s="25"/>
      <c r="NBE19" s="21"/>
      <c r="NBF19" s="21"/>
      <c r="NBJ19" s="15"/>
      <c r="NBP19" s="25"/>
      <c r="NBW19" s="21"/>
      <c r="NBX19" s="21"/>
      <c r="NCB19" s="15"/>
      <c r="NCH19" s="25"/>
      <c r="NCO19" s="21"/>
      <c r="NCP19" s="21"/>
      <c r="NCT19" s="15"/>
      <c r="NCZ19" s="25"/>
      <c r="NDG19" s="21"/>
      <c r="NDH19" s="21"/>
      <c r="NDL19" s="15"/>
      <c r="NDR19" s="25"/>
      <c r="NDY19" s="21"/>
      <c r="NDZ19" s="21"/>
      <c r="NED19" s="15"/>
      <c r="NEJ19" s="25"/>
      <c r="NEQ19" s="21"/>
      <c r="NER19" s="21"/>
      <c r="NEV19" s="15"/>
      <c r="NFB19" s="25"/>
      <c r="NFI19" s="21"/>
      <c r="NFJ19" s="21"/>
      <c r="NFN19" s="15"/>
      <c r="NFT19" s="25"/>
      <c r="NGA19" s="21"/>
      <c r="NGB19" s="21"/>
      <c r="NGF19" s="15"/>
      <c r="NGL19" s="25"/>
      <c r="NGS19" s="21"/>
      <c r="NGT19" s="21"/>
      <c r="NGX19" s="15"/>
      <c r="NHD19" s="25"/>
      <c r="NHK19" s="21"/>
      <c r="NHL19" s="21"/>
      <c r="NHP19" s="15"/>
      <c r="NHV19" s="25"/>
      <c r="NIC19" s="21"/>
      <c r="NID19" s="21"/>
      <c r="NIH19" s="15"/>
      <c r="NIN19" s="25"/>
      <c r="NIU19" s="21"/>
      <c r="NIV19" s="21"/>
      <c r="NIZ19" s="15"/>
      <c r="NJF19" s="25"/>
      <c r="NJM19" s="21"/>
      <c r="NJN19" s="21"/>
      <c r="NJR19" s="15"/>
      <c r="NJX19" s="25"/>
      <c r="NKE19" s="21"/>
      <c r="NKF19" s="21"/>
      <c r="NKJ19" s="15"/>
      <c r="NKP19" s="25"/>
      <c r="NKW19" s="21"/>
      <c r="NKX19" s="21"/>
      <c r="NLB19" s="15"/>
      <c r="NLH19" s="25"/>
      <c r="NLO19" s="21"/>
      <c r="NLP19" s="21"/>
      <c r="NLT19" s="15"/>
      <c r="NLZ19" s="25"/>
      <c r="NMG19" s="21"/>
      <c r="NMH19" s="21"/>
      <c r="NML19" s="15"/>
      <c r="NMR19" s="25"/>
      <c r="NMY19" s="21"/>
      <c r="NMZ19" s="21"/>
      <c r="NND19" s="15"/>
      <c r="NNJ19" s="25"/>
      <c r="NNQ19" s="21"/>
      <c r="NNR19" s="21"/>
      <c r="NNV19" s="15"/>
      <c r="NOB19" s="25"/>
      <c r="NOI19" s="21"/>
      <c r="NOJ19" s="21"/>
      <c r="NON19" s="15"/>
      <c r="NOT19" s="25"/>
      <c r="NPA19" s="21"/>
      <c r="NPB19" s="21"/>
      <c r="NPF19" s="15"/>
      <c r="NPL19" s="25"/>
      <c r="NPS19" s="21"/>
      <c r="NPT19" s="21"/>
      <c r="NPX19" s="15"/>
      <c r="NQD19" s="25"/>
      <c r="NQK19" s="21"/>
      <c r="NQL19" s="21"/>
      <c r="NQP19" s="15"/>
      <c r="NQV19" s="25"/>
      <c r="NRC19" s="21"/>
      <c r="NRD19" s="21"/>
      <c r="NRH19" s="15"/>
      <c r="NRN19" s="25"/>
      <c r="NRU19" s="21"/>
      <c r="NRV19" s="21"/>
      <c r="NRZ19" s="15"/>
      <c r="NSF19" s="25"/>
      <c r="NSM19" s="21"/>
      <c r="NSN19" s="21"/>
      <c r="NSR19" s="15"/>
      <c r="NSX19" s="25"/>
      <c r="NTE19" s="21"/>
      <c r="NTF19" s="21"/>
      <c r="NTJ19" s="15"/>
      <c r="NTP19" s="25"/>
      <c r="NTW19" s="21"/>
      <c r="NTX19" s="21"/>
      <c r="NUB19" s="15"/>
      <c r="NUH19" s="25"/>
      <c r="NUO19" s="21"/>
      <c r="NUP19" s="21"/>
      <c r="NUT19" s="15"/>
      <c r="NUZ19" s="25"/>
      <c r="NVG19" s="21"/>
      <c r="NVH19" s="21"/>
      <c r="NVL19" s="15"/>
      <c r="NVR19" s="25"/>
      <c r="NVY19" s="21"/>
      <c r="NVZ19" s="21"/>
      <c r="NWD19" s="15"/>
      <c r="NWJ19" s="25"/>
      <c r="NWQ19" s="21"/>
      <c r="NWR19" s="21"/>
      <c r="NWV19" s="15"/>
      <c r="NXB19" s="25"/>
      <c r="NXI19" s="21"/>
      <c r="NXJ19" s="21"/>
      <c r="NXN19" s="15"/>
      <c r="NXT19" s="25"/>
      <c r="NYA19" s="21"/>
      <c r="NYB19" s="21"/>
      <c r="NYF19" s="15"/>
      <c r="NYL19" s="25"/>
      <c r="NYS19" s="21"/>
      <c r="NYT19" s="21"/>
      <c r="NYX19" s="15"/>
      <c r="NZD19" s="25"/>
      <c r="NZK19" s="21"/>
      <c r="NZL19" s="21"/>
      <c r="NZP19" s="15"/>
      <c r="NZV19" s="25"/>
      <c r="OAC19" s="21"/>
      <c r="OAD19" s="21"/>
      <c r="OAH19" s="15"/>
      <c r="OAN19" s="25"/>
      <c r="OAU19" s="21"/>
      <c r="OAV19" s="21"/>
      <c r="OAZ19" s="15"/>
      <c r="OBF19" s="25"/>
      <c r="OBM19" s="21"/>
      <c r="OBN19" s="21"/>
      <c r="OBR19" s="15"/>
      <c r="OBX19" s="25"/>
      <c r="OCE19" s="21"/>
      <c r="OCF19" s="21"/>
      <c r="OCJ19" s="15"/>
      <c r="OCP19" s="25"/>
      <c r="OCW19" s="21"/>
      <c r="OCX19" s="21"/>
      <c r="ODB19" s="15"/>
      <c r="ODH19" s="25"/>
      <c r="ODO19" s="21"/>
      <c r="ODP19" s="21"/>
      <c r="ODT19" s="15"/>
      <c r="ODZ19" s="25"/>
      <c r="OEG19" s="21"/>
      <c r="OEH19" s="21"/>
      <c r="OEL19" s="15"/>
      <c r="OER19" s="25"/>
      <c r="OEY19" s="21"/>
      <c r="OEZ19" s="21"/>
      <c r="OFD19" s="15"/>
      <c r="OFJ19" s="25"/>
      <c r="OFQ19" s="21"/>
      <c r="OFR19" s="21"/>
      <c r="OFV19" s="15"/>
      <c r="OGB19" s="25"/>
      <c r="OGI19" s="21"/>
      <c r="OGJ19" s="21"/>
      <c r="OGN19" s="15"/>
      <c r="OGT19" s="25"/>
      <c r="OHA19" s="21"/>
      <c r="OHB19" s="21"/>
      <c r="OHF19" s="15"/>
      <c r="OHL19" s="25"/>
      <c r="OHS19" s="21"/>
      <c r="OHT19" s="21"/>
      <c r="OHX19" s="15"/>
      <c r="OID19" s="25"/>
      <c r="OIK19" s="21"/>
      <c r="OIL19" s="21"/>
      <c r="OIP19" s="15"/>
      <c r="OIV19" s="25"/>
      <c r="OJC19" s="21"/>
      <c r="OJD19" s="21"/>
      <c r="OJH19" s="15"/>
      <c r="OJN19" s="25"/>
      <c r="OJU19" s="21"/>
      <c r="OJV19" s="21"/>
      <c r="OJZ19" s="15"/>
      <c r="OKF19" s="25"/>
      <c r="OKM19" s="21"/>
      <c r="OKN19" s="21"/>
      <c r="OKR19" s="15"/>
      <c r="OKX19" s="25"/>
      <c r="OLE19" s="21"/>
      <c r="OLF19" s="21"/>
      <c r="OLJ19" s="15"/>
      <c r="OLP19" s="25"/>
      <c r="OLW19" s="21"/>
      <c r="OLX19" s="21"/>
      <c r="OMB19" s="15"/>
      <c r="OMH19" s="25"/>
      <c r="OMO19" s="21"/>
      <c r="OMP19" s="21"/>
      <c r="OMT19" s="15"/>
      <c r="OMZ19" s="25"/>
      <c r="ONG19" s="21"/>
      <c r="ONH19" s="21"/>
      <c r="ONL19" s="15"/>
      <c r="ONR19" s="25"/>
      <c r="ONY19" s="21"/>
      <c r="ONZ19" s="21"/>
      <c r="OOD19" s="15"/>
      <c r="OOJ19" s="25"/>
      <c r="OOQ19" s="21"/>
      <c r="OOR19" s="21"/>
      <c r="OOV19" s="15"/>
      <c r="OPB19" s="25"/>
      <c r="OPI19" s="21"/>
      <c r="OPJ19" s="21"/>
      <c r="OPN19" s="15"/>
      <c r="OPT19" s="25"/>
      <c r="OQA19" s="21"/>
      <c r="OQB19" s="21"/>
      <c r="OQF19" s="15"/>
      <c r="OQL19" s="25"/>
      <c r="OQS19" s="21"/>
      <c r="OQT19" s="21"/>
      <c r="OQX19" s="15"/>
      <c r="ORD19" s="25"/>
      <c r="ORK19" s="21"/>
      <c r="ORL19" s="21"/>
      <c r="ORP19" s="15"/>
      <c r="ORV19" s="25"/>
      <c r="OSC19" s="21"/>
      <c r="OSD19" s="21"/>
      <c r="OSH19" s="15"/>
      <c r="OSN19" s="25"/>
      <c r="OSU19" s="21"/>
      <c r="OSV19" s="21"/>
      <c r="OSZ19" s="15"/>
      <c r="OTF19" s="25"/>
      <c r="OTM19" s="21"/>
      <c r="OTN19" s="21"/>
      <c r="OTR19" s="15"/>
      <c r="OTX19" s="25"/>
      <c r="OUE19" s="21"/>
      <c r="OUF19" s="21"/>
      <c r="OUJ19" s="15"/>
      <c r="OUP19" s="25"/>
      <c r="OUW19" s="21"/>
      <c r="OUX19" s="21"/>
      <c r="OVB19" s="15"/>
      <c r="OVH19" s="25"/>
      <c r="OVO19" s="21"/>
      <c r="OVP19" s="21"/>
      <c r="OVT19" s="15"/>
      <c r="OVZ19" s="25"/>
      <c r="OWG19" s="21"/>
      <c r="OWH19" s="21"/>
      <c r="OWL19" s="15"/>
      <c r="OWR19" s="25"/>
      <c r="OWY19" s="21"/>
      <c r="OWZ19" s="21"/>
      <c r="OXD19" s="15"/>
      <c r="OXJ19" s="25"/>
      <c r="OXQ19" s="21"/>
      <c r="OXR19" s="21"/>
      <c r="OXV19" s="15"/>
      <c r="OYB19" s="25"/>
      <c r="OYI19" s="21"/>
      <c r="OYJ19" s="21"/>
      <c r="OYN19" s="15"/>
      <c r="OYT19" s="25"/>
      <c r="OZA19" s="21"/>
      <c r="OZB19" s="21"/>
      <c r="OZF19" s="15"/>
      <c r="OZL19" s="25"/>
      <c r="OZS19" s="21"/>
      <c r="OZT19" s="21"/>
      <c r="OZX19" s="15"/>
      <c r="PAD19" s="25"/>
      <c r="PAK19" s="21"/>
      <c r="PAL19" s="21"/>
      <c r="PAP19" s="15"/>
      <c r="PAV19" s="25"/>
      <c r="PBC19" s="21"/>
      <c r="PBD19" s="21"/>
      <c r="PBH19" s="15"/>
      <c r="PBN19" s="25"/>
      <c r="PBU19" s="21"/>
      <c r="PBV19" s="21"/>
      <c r="PBZ19" s="15"/>
      <c r="PCF19" s="25"/>
      <c r="PCM19" s="21"/>
      <c r="PCN19" s="21"/>
      <c r="PCR19" s="15"/>
      <c r="PCX19" s="25"/>
      <c r="PDE19" s="21"/>
      <c r="PDF19" s="21"/>
      <c r="PDJ19" s="15"/>
      <c r="PDP19" s="25"/>
      <c r="PDW19" s="21"/>
      <c r="PDX19" s="21"/>
      <c r="PEB19" s="15"/>
      <c r="PEH19" s="25"/>
      <c r="PEO19" s="21"/>
      <c r="PEP19" s="21"/>
      <c r="PET19" s="15"/>
      <c r="PEZ19" s="25"/>
      <c r="PFG19" s="21"/>
      <c r="PFH19" s="21"/>
      <c r="PFL19" s="15"/>
      <c r="PFR19" s="25"/>
      <c r="PFY19" s="21"/>
      <c r="PFZ19" s="21"/>
      <c r="PGD19" s="15"/>
      <c r="PGJ19" s="25"/>
      <c r="PGQ19" s="21"/>
      <c r="PGR19" s="21"/>
      <c r="PGV19" s="15"/>
      <c r="PHB19" s="25"/>
      <c r="PHI19" s="21"/>
      <c r="PHJ19" s="21"/>
      <c r="PHN19" s="15"/>
      <c r="PHT19" s="25"/>
      <c r="PIA19" s="21"/>
      <c r="PIB19" s="21"/>
      <c r="PIF19" s="15"/>
      <c r="PIL19" s="25"/>
      <c r="PIS19" s="21"/>
      <c r="PIT19" s="21"/>
      <c r="PIX19" s="15"/>
      <c r="PJD19" s="25"/>
      <c r="PJK19" s="21"/>
      <c r="PJL19" s="21"/>
      <c r="PJP19" s="15"/>
      <c r="PJV19" s="25"/>
      <c r="PKC19" s="21"/>
      <c r="PKD19" s="21"/>
      <c r="PKH19" s="15"/>
      <c r="PKN19" s="25"/>
      <c r="PKU19" s="21"/>
      <c r="PKV19" s="21"/>
      <c r="PKZ19" s="15"/>
      <c r="PLF19" s="25"/>
      <c r="PLM19" s="21"/>
      <c r="PLN19" s="21"/>
      <c r="PLR19" s="15"/>
      <c r="PLX19" s="25"/>
      <c r="PME19" s="21"/>
      <c r="PMF19" s="21"/>
      <c r="PMJ19" s="15"/>
      <c r="PMP19" s="25"/>
      <c r="PMW19" s="21"/>
      <c r="PMX19" s="21"/>
      <c r="PNB19" s="15"/>
      <c r="PNH19" s="25"/>
      <c r="PNO19" s="21"/>
      <c r="PNP19" s="21"/>
      <c r="PNT19" s="15"/>
      <c r="PNZ19" s="25"/>
      <c r="POG19" s="21"/>
      <c r="POH19" s="21"/>
      <c r="POL19" s="15"/>
      <c r="POR19" s="25"/>
      <c r="POY19" s="21"/>
      <c r="POZ19" s="21"/>
      <c r="PPD19" s="15"/>
      <c r="PPJ19" s="25"/>
      <c r="PPQ19" s="21"/>
      <c r="PPR19" s="21"/>
      <c r="PPV19" s="15"/>
      <c r="PQB19" s="25"/>
      <c r="PQI19" s="21"/>
      <c r="PQJ19" s="21"/>
      <c r="PQN19" s="15"/>
      <c r="PQT19" s="25"/>
      <c r="PRA19" s="21"/>
      <c r="PRB19" s="21"/>
      <c r="PRF19" s="15"/>
      <c r="PRL19" s="25"/>
      <c r="PRS19" s="21"/>
      <c r="PRT19" s="21"/>
      <c r="PRX19" s="15"/>
      <c r="PSD19" s="25"/>
      <c r="PSK19" s="21"/>
      <c r="PSL19" s="21"/>
      <c r="PSP19" s="15"/>
      <c r="PSV19" s="25"/>
      <c r="PTC19" s="21"/>
      <c r="PTD19" s="21"/>
      <c r="PTH19" s="15"/>
      <c r="PTN19" s="25"/>
      <c r="PTU19" s="21"/>
      <c r="PTV19" s="21"/>
      <c r="PTZ19" s="15"/>
      <c r="PUF19" s="25"/>
      <c r="PUM19" s="21"/>
      <c r="PUN19" s="21"/>
      <c r="PUR19" s="15"/>
      <c r="PUX19" s="25"/>
      <c r="PVE19" s="21"/>
      <c r="PVF19" s="21"/>
      <c r="PVJ19" s="15"/>
      <c r="PVP19" s="25"/>
      <c r="PVW19" s="21"/>
      <c r="PVX19" s="21"/>
      <c r="PWB19" s="15"/>
      <c r="PWH19" s="25"/>
      <c r="PWO19" s="21"/>
      <c r="PWP19" s="21"/>
      <c r="PWT19" s="15"/>
      <c r="PWZ19" s="25"/>
      <c r="PXG19" s="21"/>
      <c r="PXH19" s="21"/>
      <c r="PXL19" s="15"/>
      <c r="PXR19" s="25"/>
      <c r="PXY19" s="21"/>
      <c r="PXZ19" s="21"/>
      <c r="PYD19" s="15"/>
      <c r="PYJ19" s="25"/>
      <c r="PYQ19" s="21"/>
      <c r="PYR19" s="21"/>
      <c r="PYV19" s="15"/>
      <c r="PZB19" s="25"/>
      <c r="PZI19" s="21"/>
      <c r="PZJ19" s="21"/>
      <c r="PZN19" s="15"/>
      <c r="PZT19" s="25"/>
      <c r="QAA19" s="21"/>
      <c r="QAB19" s="21"/>
      <c r="QAF19" s="15"/>
      <c r="QAL19" s="25"/>
      <c r="QAS19" s="21"/>
      <c r="QAT19" s="21"/>
      <c r="QAX19" s="15"/>
      <c r="QBD19" s="25"/>
      <c r="QBK19" s="21"/>
      <c r="QBL19" s="21"/>
      <c r="QBP19" s="15"/>
      <c r="QBV19" s="25"/>
      <c r="QCC19" s="21"/>
      <c r="QCD19" s="21"/>
      <c r="QCH19" s="15"/>
      <c r="QCN19" s="25"/>
      <c r="QCU19" s="21"/>
      <c r="QCV19" s="21"/>
      <c r="QCZ19" s="15"/>
      <c r="QDF19" s="25"/>
      <c r="QDM19" s="21"/>
      <c r="QDN19" s="21"/>
      <c r="QDR19" s="15"/>
      <c r="QDX19" s="25"/>
      <c r="QEE19" s="21"/>
      <c r="QEF19" s="21"/>
      <c r="QEJ19" s="15"/>
      <c r="QEP19" s="25"/>
      <c r="QEW19" s="21"/>
      <c r="QEX19" s="21"/>
      <c r="QFB19" s="15"/>
      <c r="QFH19" s="25"/>
      <c r="QFO19" s="21"/>
      <c r="QFP19" s="21"/>
      <c r="QFT19" s="15"/>
      <c r="QFZ19" s="25"/>
      <c r="QGG19" s="21"/>
      <c r="QGH19" s="21"/>
      <c r="QGL19" s="15"/>
      <c r="QGR19" s="25"/>
      <c r="QGY19" s="21"/>
      <c r="QGZ19" s="21"/>
      <c r="QHD19" s="15"/>
      <c r="QHJ19" s="25"/>
      <c r="QHQ19" s="21"/>
      <c r="QHR19" s="21"/>
      <c r="QHV19" s="15"/>
      <c r="QIB19" s="25"/>
      <c r="QII19" s="21"/>
      <c r="QIJ19" s="21"/>
      <c r="QIN19" s="15"/>
      <c r="QIT19" s="25"/>
      <c r="QJA19" s="21"/>
      <c r="QJB19" s="21"/>
      <c r="QJF19" s="15"/>
      <c r="QJL19" s="25"/>
      <c r="QJS19" s="21"/>
      <c r="QJT19" s="21"/>
      <c r="QJX19" s="15"/>
      <c r="QKD19" s="25"/>
      <c r="QKK19" s="21"/>
      <c r="QKL19" s="21"/>
      <c r="QKP19" s="15"/>
      <c r="QKV19" s="25"/>
      <c r="QLC19" s="21"/>
      <c r="QLD19" s="21"/>
      <c r="QLH19" s="15"/>
      <c r="QLN19" s="25"/>
      <c r="QLU19" s="21"/>
      <c r="QLV19" s="21"/>
      <c r="QLZ19" s="15"/>
      <c r="QMF19" s="25"/>
      <c r="QMM19" s="21"/>
      <c r="QMN19" s="21"/>
      <c r="QMR19" s="15"/>
      <c r="QMX19" s="25"/>
      <c r="QNE19" s="21"/>
      <c r="QNF19" s="21"/>
      <c r="QNJ19" s="15"/>
      <c r="QNP19" s="25"/>
      <c r="QNW19" s="21"/>
      <c r="QNX19" s="21"/>
      <c r="QOB19" s="15"/>
      <c r="QOH19" s="25"/>
      <c r="QOO19" s="21"/>
      <c r="QOP19" s="21"/>
      <c r="QOT19" s="15"/>
      <c r="QOZ19" s="25"/>
      <c r="QPG19" s="21"/>
      <c r="QPH19" s="21"/>
      <c r="QPL19" s="15"/>
      <c r="QPR19" s="25"/>
      <c r="QPY19" s="21"/>
      <c r="QPZ19" s="21"/>
      <c r="QQD19" s="15"/>
      <c r="QQJ19" s="25"/>
      <c r="QQQ19" s="21"/>
      <c r="QQR19" s="21"/>
      <c r="QQV19" s="15"/>
      <c r="QRB19" s="25"/>
      <c r="QRI19" s="21"/>
      <c r="QRJ19" s="21"/>
      <c r="QRN19" s="15"/>
      <c r="QRT19" s="25"/>
      <c r="QSA19" s="21"/>
      <c r="QSB19" s="21"/>
      <c r="QSF19" s="15"/>
      <c r="QSL19" s="25"/>
      <c r="QSS19" s="21"/>
      <c r="QST19" s="21"/>
      <c r="QSX19" s="15"/>
      <c r="QTD19" s="25"/>
      <c r="QTK19" s="21"/>
      <c r="QTL19" s="21"/>
      <c r="QTP19" s="15"/>
      <c r="QTV19" s="25"/>
      <c r="QUC19" s="21"/>
      <c r="QUD19" s="21"/>
      <c r="QUH19" s="15"/>
      <c r="QUN19" s="25"/>
      <c r="QUU19" s="21"/>
      <c r="QUV19" s="21"/>
      <c r="QUZ19" s="15"/>
      <c r="QVF19" s="25"/>
      <c r="QVM19" s="21"/>
      <c r="QVN19" s="21"/>
      <c r="QVR19" s="15"/>
      <c r="QVX19" s="25"/>
      <c r="QWE19" s="21"/>
      <c r="QWF19" s="21"/>
      <c r="QWJ19" s="15"/>
      <c r="QWP19" s="25"/>
      <c r="QWW19" s="21"/>
      <c r="QWX19" s="21"/>
      <c r="QXB19" s="15"/>
      <c r="QXH19" s="25"/>
      <c r="QXO19" s="21"/>
      <c r="QXP19" s="21"/>
      <c r="QXT19" s="15"/>
      <c r="QXZ19" s="25"/>
      <c r="QYG19" s="21"/>
      <c r="QYH19" s="21"/>
      <c r="QYL19" s="15"/>
      <c r="QYR19" s="25"/>
      <c r="QYY19" s="21"/>
      <c r="QYZ19" s="21"/>
      <c r="QZD19" s="15"/>
      <c r="QZJ19" s="25"/>
      <c r="QZQ19" s="21"/>
      <c r="QZR19" s="21"/>
      <c r="QZV19" s="15"/>
      <c r="RAB19" s="25"/>
      <c r="RAI19" s="21"/>
      <c r="RAJ19" s="21"/>
      <c r="RAN19" s="15"/>
      <c r="RAT19" s="25"/>
      <c r="RBA19" s="21"/>
      <c r="RBB19" s="21"/>
      <c r="RBF19" s="15"/>
      <c r="RBL19" s="25"/>
      <c r="RBS19" s="21"/>
      <c r="RBT19" s="21"/>
      <c r="RBX19" s="15"/>
      <c r="RCD19" s="25"/>
      <c r="RCK19" s="21"/>
      <c r="RCL19" s="21"/>
      <c r="RCP19" s="15"/>
      <c r="RCV19" s="25"/>
      <c r="RDC19" s="21"/>
      <c r="RDD19" s="21"/>
      <c r="RDH19" s="15"/>
      <c r="RDN19" s="25"/>
      <c r="RDU19" s="21"/>
      <c r="RDV19" s="21"/>
      <c r="RDZ19" s="15"/>
      <c r="REF19" s="25"/>
      <c r="REM19" s="21"/>
      <c r="REN19" s="21"/>
      <c r="RER19" s="15"/>
      <c r="REX19" s="25"/>
      <c r="RFE19" s="21"/>
      <c r="RFF19" s="21"/>
      <c r="RFJ19" s="15"/>
      <c r="RFP19" s="25"/>
      <c r="RFW19" s="21"/>
      <c r="RFX19" s="21"/>
      <c r="RGB19" s="15"/>
      <c r="RGH19" s="25"/>
      <c r="RGO19" s="21"/>
      <c r="RGP19" s="21"/>
      <c r="RGT19" s="15"/>
      <c r="RGZ19" s="25"/>
      <c r="RHG19" s="21"/>
      <c r="RHH19" s="21"/>
      <c r="RHL19" s="15"/>
      <c r="RHR19" s="25"/>
      <c r="RHY19" s="21"/>
      <c r="RHZ19" s="21"/>
      <c r="RID19" s="15"/>
      <c r="RIJ19" s="25"/>
      <c r="RIQ19" s="21"/>
      <c r="RIR19" s="21"/>
      <c r="RIV19" s="15"/>
      <c r="RJB19" s="25"/>
      <c r="RJI19" s="21"/>
      <c r="RJJ19" s="21"/>
      <c r="RJN19" s="15"/>
      <c r="RJT19" s="25"/>
      <c r="RKA19" s="21"/>
      <c r="RKB19" s="21"/>
      <c r="RKF19" s="15"/>
      <c r="RKL19" s="25"/>
      <c r="RKS19" s="21"/>
      <c r="RKT19" s="21"/>
      <c r="RKX19" s="15"/>
      <c r="RLD19" s="25"/>
      <c r="RLK19" s="21"/>
      <c r="RLL19" s="21"/>
      <c r="RLP19" s="15"/>
      <c r="RLV19" s="25"/>
      <c r="RMC19" s="21"/>
      <c r="RMD19" s="21"/>
      <c r="RMH19" s="15"/>
      <c r="RMN19" s="25"/>
      <c r="RMU19" s="21"/>
      <c r="RMV19" s="21"/>
      <c r="RMZ19" s="15"/>
      <c r="RNF19" s="25"/>
      <c r="RNM19" s="21"/>
      <c r="RNN19" s="21"/>
      <c r="RNR19" s="15"/>
      <c r="RNX19" s="25"/>
      <c r="ROE19" s="21"/>
      <c r="ROF19" s="21"/>
      <c r="ROJ19" s="15"/>
      <c r="ROP19" s="25"/>
      <c r="ROW19" s="21"/>
      <c r="ROX19" s="21"/>
      <c r="RPB19" s="15"/>
      <c r="RPH19" s="25"/>
      <c r="RPO19" s="21"/>
      <c r="RPP19" s="21"/>
      <c r="RPT19" s="15"/>
      <c r="RPZ19" s="25"/>
      <c r="RQG19" s="21"/>
      <c r="RQH19" s="21"/>
      <c r="RQL19" s="15"/>
      <c r="RQR19" s="25"/>
      <c r="RQY19" s="21"/>
      <c r="RQZ19" s="21"/>
      <c r="RRD19" s="15"/>
      <c r="RRJ19" s="25"/>
      <c r="RRQ19" s="21"/>
      <c r="RRR19" s="21"/>
      <c r="RRV19" s="15"/>
      <c r="RSB19" s="25"/>
      <c r="RSI19" s="21"/>
      <c r="RSJ19" s="21"/>
      <c r="RSN19" s="15"/>
      <c r="RST19" s="25"/>
      <c r="RTA19" s="21"/>
      <c r="RTB19" s="21"/>
      <c r="RTF19" s="15"/>
      <c r="RTL19" s="25"/>
      <c r="RTS19" s="21"/>
      <c r="RTT19" s="21"/>
      <c r="RTX19" s="15"/>
      <c r="RUD19" s="25"/>
      <c r="RUK19" s="21"/>
      <c r="RUL19" s="21"/>
      <c r="RUP19" s="15"/>
      <c r="RUV19" s="25"/>
      <c r="RVC19" s="21"/>
      <c r="RVD19" s="21"/>
      <c r="RVH19" s="15"/>
      <c r="RVN19" s="25"/>
      <c r="RVU19" s="21"/>
      <c r="RVV19" s="21"/>
      <c r="RVZ19" s="15"/>
      <c r="RWF19" s="25"/>
      <c r="RWM19" s="21"/>
      <c r="RWN19" s="21"/>
      <c r="RWR19" s="15"/>
      <c r="RWX19" s="25"/>
      <c r="RXE19" s="21"/>
      <c r="RXF19" s="21"/>
      <c r="RXJ19" s="15"/>
      <c r="RXP19" s="25"/>
      <c r="RXW19" s="21"/>
      <c r="RXX19" s="21"/>
      <c r="RYB19" s="15"/>
      <c r="RYH19" s="25"/>
      <c r="RYO19" s="21"/>
      <c r="RYP19" s="21"/>
      <c r="RYT19" s="15"/>
      <c r="RYZ19" s="25"/>
      <c r="RZG19" s="21"/>
      <c r="RZH19" s="21"/>
      <c r="RZL19" s="15"/>
      <c r="RZR19" s="25"/>
      <c r="RZY19" s="21"/>
      <c r="RZZ19" s="21"/>
      <c r="SAD19" s="15"/>
      <c r="SAJ19" s="25"/>
      <c r="SAQ19" s="21"/>
      <c r="SAR19" s="21"/>
      <c r="SAV19" s="15"/>
      <c r="SBB19" s="25"/>
      <c r="SBI19" s="21"/>
      <c r="SBJ19" s="21"/>
      <c r="SBN19" s="15"/>
      <c r="SBT19" s="25"/>
      <c r="SCA19" s="21"/>
      <c r="SCB19" s="21"/>
      <c r="SCF19" s="15"/>
      <c r="SCL19" s="25"/>
      <c r="SCS19" s="21"/>
      <c r="SCT19" s="21"/>
      <c r="SCX19" s="15"/>
      <c r="SDD19" s="25"/>
      <c r="SDK19" s="21"/>
      <c r="SDL19" s="21"/>
      <c r="SDP19" s="15"/>
      <c r="SDV19" s="25"/>
      <c r="SEC19" s="21"/>
      <c r="SED19" s="21"/>
      <c r="SEH19" s="15"/>
      <c r="SEN19" s="25"/>
      <c r="SEU19" s="21"/>
      <c r="SEV19" s="21"/>
      <c r="SEZ19" s="15"/>
      <c r="SFF19" s="25"/>
      <c r="SFM19" s="21"/>
      <c r="SFN19" s="21"/>
      <c r="SFR19" s="15"/>
      <c r="SFX19" s="25"/>
      <c r="SGE19" s="21"/>
      <c r="SGF19" s="21"/>
      <c r="SGJ19" s="15"/>
      <c r="SGP19" s="25"/>
      <c r="SGW19" s="21"/>
      <c r="SGX19" s="21"/>
      <c r="SHB19" s="15"/>
      <c r="SHH19" s="25"/>
      <c r="SHO19" s="21"/>
      <c r="SHP19" s="21"/>
      <c r="SHT19" s="15"/>
      <c r="SHZ19" s="25"/>
      <c r="SIG19" s="21"/>
      <c r="SIH19" s="21"/>
      <c r="SIL19" s="15"/>
      <c r="SIR19" s="25"/>
      <c r="SIY19" s="21"/>
      <c r="SIZ19" s="21"/>
      <c r="SJD19" s="15"/>
      <c r="SJJ19" s="25"/>
      <c r="SJQ19" s="21"/>
      <c r="SJR19" s="21"/>
      <c r="SJV19" s="15"/>
      <c r="SKB19" s="25"/>
      <c r="SKI19" s="21"/>
      <c r="SKJ19" s="21"/>
      <c r="SKN19" s="15"/>
      <c r="SKT19" s="25"/>
      <c r="SLA19" s="21"/>
      <c r="SLB19" s="21"/>
      <c r="SLF19" s="15"/>
      <c r="SLL19" s="25"/>
      <c r="SLS19" s="21"/>
      <c r="SLT19" s="21"/>
      <c r="SLX19" s="15"/>
      <c r="SMD19" s="25"/>
      <c r="SMK19" s="21"/>
      <c r="SML19" s="21"/>
      <c r="SMP19" s="15"/>
      <c r="SMV19" s="25"/>
      <c r="SNC19" s="21"/>
      <c r="SND19" s="21"/>
      <c r="SNH19" s="15"/>
      <c r="SNN19" s="25"/>
      <c r="SNU19" s="21"/>
      <c r="SNV19" s="21"/>
      <c r="SNZ19" s="15"/>
      <c r="SOF19" s="25"/>
      <c r="SOM19" s="21"/>
      <c r="SON19" s="21"/>
      <c r="SOR19" s="15"/>
      <c r="SOX19" s="25"/>
      <c r="SPE19" s="21"/>
      <c r="SPF19" s="21"/>
      <c r="SPJ19" s="15"/>
      <c r="SPP19" s="25"/>
      <c r="SPW19" s="21"/>
      <c r="SPX19" s="21"/>
      <c r="SQB19" s="15"/>
      <c r="SQH19" s="25"/>
      <c r="SQO19" s="21"/>
      <c r="SQP19" s="21"/>
      <c r="SQT19" s="15"/>
      <c r="SQZ19" s="25"/>
      <c r="SRG19" s="21"/>
      <c r="SRH19" s="21"/>
      <c r="SRL19" s="15"/>
      <c r="SRR19" s="25"/>
      <c r="SRY19" s="21"/>
      <c r="SRZ19" s="21"/>
      <c r="SSD19" s="15"/>
      <c r="SSJ19" s="25"/>
      <c r="SSQ19" s="21"/>
      <c r="SSR19" s="21"/>
      <c r="SSV19" s="15"/>
      <c r="STB19" s="25"/>
      <c r="STI19" s="21"/>
      <c r="STJ19" s="21"/>
      <c r="STN19" s="15"/>
      <c r="STT19" s="25"/>
      <c r="SUA19" s="21"/>
      <c r="SUB19" s="21"/>
      <c r="SUF19" s="15"/>
      <c r="SUL19" s="25"/>
      <c r="SUS19" s="21"/>
      <c r="SUT19" s="21"/>
      <c r="SUX19" s="15"/>
      <c r="SVD19" s="25"/>
      <c r="SVK19" s="21"/>
      <c r="SVL19" s="21"/>
      <c r="SVP19" s="15"/>
      <c r="SVV19" s="25"/>
      <c r="SWC19" s="21"/>
      <c r="SWD19" s="21"/>
      <c r="SWH19" s="15"/>
      <c r="SWN19" s="25"/>
      <c r="SWU19" s="21"/>
      <c r="SWV19" s="21"/>
      <c r="SWZ19" s="15"/>
      <c r="SXF19" s="25"/>
      <c r="SXM19" s="21"/>
      <c r="SXN19" s="21"/>
      <c r="SXR19" s="15"/>
      <c r="SXX19" s="25"/>
      <c r="SYE19" s="21"/>
      <c r="SYF19" s="21"/>
      <c r="SYJ19" s="15"/>
      <c r="SYP19" s="25"/>
      <c r="SYW19" s="21"/>
      <c r="SYX19" s="21"/>
      <c r="SZB19" s="15"/>
      <c r="SZH19" s="25"/>
      <c r="SZO19" s="21"/>
      <c r="SZP19" s="21"/>
      <c r="SZT19" s="15"/>
      <c r="SZZ19" s="25"/>
      <c r="TAG19" s="21"/>
      <c r="TAH19" s="21"/>
      <c r="TAL19" s="15"/>
      <c r="TAR19" s="25"/>
      <c r="TAY19" s="21"/>
      <c r="TAZ19" s="21"/>
      <c r="TBD19" s="15"/>
      <c r="TBJ19" s="25"/>
      <c r="TBQ19" s="21"/>
      <c r="TBR19" s="21"/>
      <c r="TBV19" s="15"/>
      <c r="TCB19" s="25"/>
      <c r="TCI19" s="21"/>
      <c r="TCJ19" s="21"/>
      <c r="TCN19" s="15"/>
      <c r="TCT19" s="25"/>
      <c r="TDA19" s="21"/>
      <c r="TDB19" s="21"/>
      <c r="TDF19" s="15"/>
      <c r="TDL19" s="25"/>
      <c r="TDS19" s="21"/>
      <c r="TDT19" s="21"/>
      <c r="TDX19" s="15"/>
      <c r="TED19" s="25"/>
      <c r="TEK19" s="21"/>
      <c r="TEL19" s="21"/>
      <c r="TEP19" s="15"/>
      <c r="TEV19" s="25"/>
      <c r="TFC19" s="21"/>
      <c r="TFD19" s="21"/>
      <c r="TFH19" s="15"/>
      <c r="TFN19" s="25"/>
      <c r="TFU19" s="21"/>
      <c r="TFV19" s="21"/>
      <c r="TFZ19" s="15"/>
      <c r="TGF19" s="25"/>
      <c r="TGM19" s="21"/>
      <c r="TGN19" s="21"/>
      <c r="TGR19" s="15"/>
      <c r="TGX19" s="25"/>
      <c r="THE19" s="21"/>
      <c r="THF19" s="21"/>
      <c r="THJ19" s="15"/>
      <c r="THP19" s="25"/>
      <c r="THW19" s="21"/>
      <c r="THX19" s="21"/>
      <c r="TIB19" s="15"/>
      <c r="TIH19" s="25"/>
      <c r="TIO19" s="21"/>
      <c r="TIP19" s="21"/>
      <c r="TIT19" s="15"/>
      <c r="TIZ19" s="25"/>
      <c r="TJG19" s="21"/>
      <c r="TJH19" s="21"/>
      <c r="TJL19" s="15"/>
      <c r="TJR19" s="25"/>
      <c r="TJY19" s="21"/>
      <c r="TJZ19" s="21"/>
      <c r="TKD19" s="15"/>
      <c r="TKJ19" s="25"/>
      <c r="TKQ19" s="21"/>
      <c r="TKR19" s="21"/>
      <c r="TKV19" s="15"/>
      <c r="TLB19" s="25"/>
      <c r="TLI19" s="21"/>
      <c r="TLJ19" s="21"/>
      <c r="TLN19" s="15"/>
      <c r="TLT19" s="25"/>
      <c r="TMA19" s="21"/>
      <c r="TMB19" s="21"/>
      <c r="TMF19" s="15"/>
      <c r="TML19" s="25"/>
      <c r="TMS19" s="21"/>
      <c r="TMT19" s="21"/>
      <c r="TMX19" s="15"/>
      <c r="TND19" s="25"/>
      <c r="TNK19" s="21"/>
      <c r="TNL19" s="21"/>
      <c r="TNP19" s="15"/>
      <c r="TNV19" s="25"/>
      <c r="TOC19" s="21"/>
      <c r="TOD19" s="21"/>
      <c r="TOH19" s="15"/>
      <c r="TON19" s="25"/>
      <c r="TOU19" s="21"/>
      <c r="TOV19" s="21"/>
      <c r="TOZ19" s="15"/>
      <c r="TPF19" s="25"/>
      <c r="TPM19" s="21"/>
      <c r="TPN19" s="21"/>
      <c r="TPR19" s="15"/>
      <c r="TPX19" s="25"/>
      <c r="TQE19" s="21"/>
      <c r="TQF19" s="21"/>
      <c r="TQJ19" s="15"/>
      <c r="TQP19" s="25"/>
      <c r="TQW19" s="21"/>
      <c r="TQX19" s="21"/>
      <c r="TRB19" s="15"/>
      <c r="TRH19" s="25"/>
      <c r="TRO19" s="21"/>
      <c r="TRP19" s="21"/>
      <c r="TRT19" s="15"/>
      <c r="TRZ19" s="25"/>
      <c r="TSG19" s="21"/>
      <c r="TSH19" s="21"/>
      <c r="TSL19" s="15"/>
      <c r="TSR19" s="25"/>
      <c r="TSY19" s="21"/>
      <c r="TSZ19" s="21"/>
      <c r="TTD19" s="15"/>
      <c r="TTJ19" s="25"/>
      <c r="TTQ19" s="21"/>
      <c r="TTR19" s="21"/>
      <c r="TTV19" s="15"/>
      <c r="TUB19" s="25"/>
      <c r="TUI19" s="21"/>
      <c r="TUJ19" s="21"/>
      <c r="TUN19" s="15"/>
      <c r="TUT19" s="25"/>
      <c r="TVA19" s="21"/>
      <c r="TVB19" s="21"/>
      <c r="TVF19" s="15"/>
      <c r="TVL19" s="25"/>
      <c r="TVS19" s="21"/>
      <c r="TVT19" s="21"/>
      <c r="TVX19" s="15"/>
      <c r="TWD19" s="25"/>
      <c r="TWK19" s="21"/>
      <c r="TWL19" s="21"/>
      <c r="TWP19" s="15"/>
      <c r="TWV19" s="25"/>
      <c r="TXC19" s="21"/>
      <c r="TXD19" s="21"/>
      <c r="TXH19" s="15"/>
      <c r="TXN19" s="25"/>
      <c r="TXU19" s="21"/>
      <c r="TXV19" s="21"/>
      <c r="TXZ19" s="15"/>
      <c r="TYF19" s="25"/>
      <c r="TYM19" s="21"/>
      <c r="TYN19" s="21"/>
      <c r="TYR19" s="15"/>
      <c r="TYX19" s="25"/>
      <c r="TZE19" s="21"/>
      <c r="TZF19" s="21"/>
      <c r="TZJ19" s="15"/>
      <c r="TZP19" s="25"/>
      <c r="TZW19" s="21"/>
      <c r="TZX19" s="21"/>
      <c r="UAB19" s="15"/>
      <c r="UAH19" s="25"/>
      <c r="UAO19" s="21"/>
      <c r="UAP19" s="21"/>
      <c r="UAT19" s="15"/>
      <c r="UAZ19" s="25"/>
      <c r="UBG19" s="21"/>
      <c r="UBH19" s="21"/>
      <c r="UBL19" s="15"/>
      <c r="UBR19" s="25"/>
      <c r="UBY19" s="21"/>
      <c r="UBZ19" s="21"/>
      <c r="UCD19" s="15"/>
      <c r="UCJ19" s="25"/>
      <c r="UCQ19" s="21"/>
      <c r="UCR19" s="21"/>
      <c r="UCV19" s="15"/>
      <c r="UDB19" s="25"/>
      <c r="UDI19" s="21"/>
      <c r="UDJ19" s="21"/>
      <c r="UDN19" s="15"/>
      <c r="UDT19" s="25"/>
      <c r="UEA19" s="21"/>
      <c r="UEB19" s="21"/>
      <c r="UEF19" s="15"/>
      <c r="UEL19" s="25"/>
      <c r="UES19" s="21"/>
      <c r="UET19" s="21"/>
      <c r="UEX19" s="15"/>
      <c r="UFD19" s="25"/>
      <c r="UFK19" s="21"/>
      <c r="UFL19" s="21"/>
      <c r="UFP19" s="15"/>
      <c r="UFV19" s="25"/>
      <c r="UGC19" s="21"/>
      <c r="UGD19" s="21"/>
      <c r="UGH19" s="15"/>
      <c r="UGN19" s="25"/>
      <c r="UGU19" s="21"/>
      <c r="UGV19" s="21"/>
      <c r="UGZ19" s="15"/>
      <c r="UHF19" s="25"/>
      <c r="UHM19" s="21"/>
      <c r="UHN19" s="21"/>
      <c r="UHR19" s="15"/>
      <c r="UHX19" s="25"/>
      <c r="UIE19" s="21"/>
      <c r="UIF19" s="21"/>
      <c r="UIJ19" s="15"/>
      <c r="UIP19" s="25"/>
      <c r="UIW19" s="21"/>
      <c r="UIX19" s="21"/>
      <c r="UJB19" s="15"/>
      <c r="UJH19" s="25"/>
      <c r="UJO19" s="21"/>
      <c r="UJP19" s="21"/>
      <c r="UJT19" s="15"/>
      <c r="UJZ19" s="25"/>
      <c r="UKG19" s="21"/>
      <c r="UKH19" s="21"/>
      <c r="UKL19" s="15"/>
      <c r="UKR19" s="25"/>
      <c r="UKY19" s="21"/>
      <c r="UKZ19" s="21"/>
      <c r="ULD19" s="15"/>
      <c r="ULJ19" s="25"/>
      <c r="ULQ19" s="21"/>
      <c r="ULR19" s="21"/>
      <c r="ULV19" s="15"/>
      <c r="UMB19" s="25"/>
      <c r="UMI19" s="21"/>
      <c r="UMJ19" s="21"/>
      <c r="UMN19" s="15"/>
      <c r="UMT19" s="25"/>
      <c r="UNA19" s="21"/>
      <c r="UNB19" s="21"/>
      <c r="UNF19" s="15"/>
      <c r="UNL19" s="25"/>
      <c r="UNS19" s="21"/>
      <c r="UNT19" s="21"/>
      <c r="UNX19" s="15"/>
      <c r="UOD19" s="25"/>
      <c r="UOK19" s="21"/>
      <c r="UOL19" s="21"/>
      <c r="UOP19" s="15"/>
      <c r="UOV19" s="25"/>
      <c r="UPC19" s="21"/>
      <c r="UPD19" s="21"/>
      <c r="UPH19" s="15"/>
      <c r="UPN19" s="25"/>
      <c r="UPU19" s="21"/>
      <c r="UPV19" s="21"/>
      <c r="UPZ19" s="15"/>
      <c r="UQF19" s="25"/>
      <c r="UQM19" s="21"/>
      <c r="UQN19" s="21"/>
      <c r="UQR19" s="15"/>
      <c r="UQX19" s="25"/>
      <c r="URE19" s="21"/>
      <c r="URF19" s="21"/>
      <c r="URJ19" s="15"/>
      <c r="URP19" s="25"/>
      <c r="URW19" s="21"/>
      <c r="URX19" s="21"/>
      <c r="USB19" s="15"/>
      <c r="USH19" s="25"/>
      <c r="USO19" s="21"/>
      <c r="USP19" s="21"/>
      <c r="UST19" s="15"/>
      <c r="USZ19" s="25"/>
      <c r="UTG19" s="21"/>
      <c r="UTH19" s="21"/>
      <c r="UTL19" s="15"/>
      <c r="UTR19" s="25"/>
      <c r="UTY19" s="21"/>
      <c r="UTZ19" s="21"/>
      <c r="UUD19" s="15"/>
      <c r="UUJ19" s="25"/>
      <c r="UUQ19" s="21"/>
      <c r="UUR19" s="21"/>
      <c r="UUV19" s="15"/>
      <c r="UVB19" s="25"/>
      <c r="UVI19" s="21"/>
      <c r="UVJ19" s="21"/>
      <c r="UVN19" s="15"/>
      <c r="UVT19" s="25"/>
      <c r="UWA19" s="21"/>
      <c r="UWB19" s="21"/>
      <c r="UWF19" s="15"/>
      <c r="UWL19" s="25"/>
      <c r="UWS19" s="21"/>
      <c r="UWT19" s="21"/>
      <c r="UWX19" s="15"/>
      <c r="UXD19" s="25"/>
      <c r="UXK19" s="21"/>
      <c r="UXL19" s="21"/>
      <c r="UXP19" s="15"/>
      <c r="UXV19" s="25"/>
      <c r="UYC19" s="21"/>
      <c r="UYD19" s="21"/>
      <c r="UYH19" s="15"/>
      <c r="UYN19" s="25"/>
      <c r="UYU19" s="21"/>
      <c r="UYV19" s="21"/>
      <c r="UYZ19" s="15"/>
      <c r="UZF19" s="25"/>
      <c r="UZM19" s="21"/>
      <c r="UZN19" s="21"/>
      <c r="UZR19" s="15"/>
      <c r="UZX19" s="25"/>
      <c r="VAE19" s="21"/>
      <c r="VAF19" s="21"/>
      <c r="VAJ19" s="15"/>
      <c r="VAP19" s="25"/>
      <c r="VAW19" s="21"/>
      <c r="VAX19" s="21"/>
      <c r="VBB19" s="15"/>
      <c r="VBH19" s="25"/>
      <c r="VBO19" s="21"/>
      <c r="VBP19" s="21"/>
      <c r="VBT19" s="15"/>
      <c r="VBZ19" s="25"/>
      <c r="VCG19" s="21"/>
      <c r="VCH19" s="21"/>
      <c r="VCL19" s="15"/>
      <c r="VCR19" s="25"/>
      <c r="VCY19" s="21"/>
      <c r="VCZ19" s="21"/>
      <c r="VDD19" s="15"/>
      <c r="VDJ19" s="25"/>
      <c r="VDQ19" s="21"/>
      <c r="VDR19" s="21"/>
      <c r="VDV19" s="15"/>
      <c r="VEB19" s="25"/>
      <c r="VEI19" s="21"/>
      <c r="VEJ19" s="21"/>
      <c r="VEN19" s="15"/>
      <c r="VET19" s="25"/>
      <c r="VFA19" s="21"/>
      <c r="VFB19" s="21"/>
      <c r="VFF19" s="15"/>
      <c r="VFL19" s="25"/>
      <c r="VFS19" s="21"/>
      <c r="VFT19" s="21"/>
      <c r="VFX19" s="15"/>
      <c r="VGD19" s="25"/>
      <c r="VGK19" s="21"/>
      <c r="VGL19" s="21"/>
      <c r="VGP19" s="15"/>
      <c r="VGV19" s="25"/>
      <c r="VHC19" s="21"/>
      <c r="VHD19" s="21"/>
      <c r="VHH19" s="15"/>
      <c r="VHN19" s="25"/>
      <c r="VHU19" s="21"/>
      <c r="VHV19" s="21"/>
      <c r="VHZ19" s="15"/>
      <c r="VIF19" s="25"/>
      <c r="VIM19" s="21"/>
      <c r="VIN19" s="21"/>
      <c r="VIR19" s="15"/>
      <c r="VIX19" s="25"/>
      <c r="VJE19" s="21"/>
      <c r="VJF19" s="21"/>
      <c r="VJJ19" s="15"/>
      <c r="VJP19" s="25"/>
      <c r="VJW19" s="21"/>
      <c r="VJX19" s="21"/>
      <c r="VKB19" s="15"/>
      <c r="VKH19" s="25"/>
      <c r="VKO19" s="21"/>
      <c r="VKP19" s="21"/>
      <c r="VKT19" s="15"/>
      <c r="VKZ19" s="25"/>
      <c r="VLG19" s="21"/>
      <c r="VLH19" s="21"/>
      <c r="VLL19" s="15"/>
      <c r="VLR19" s="25"/>
      <c r="VLY19" s="21"/>
      <c r="VLZ19" s="21"/>
      <c r="VMD19" s="15"/>
      <c r="VMJ19" s="25"/>
      <c r="VMQ19" s="21"/>
      <c r="VMR19" s="21"/>
      <c r="VMV19" s="15"/>
      <c r="VNB19" s="25"/>
      <c r="VNI19" s="21"/>
      <c r="VNJ19" s="21"/>
      <c r="VNN19" s="15"/>
      <c r="VNT19" s="25"/>
      <c r="VOA19" s="21"/>
      <c r="VOB19" s="21"/>
      <c r="VOF19" s="15"/>
      <c r="VOL19" s="25"/>
      <c r="VOS19" s="21"/>
      <c r="VOT19" s="21"/>
      <c r="VOX19" s="15"/>
      <c r="VPD19" s="25"/>
      <c r="VPK19" s="21"/>
      <c r="VPL19" s="21"/>
      <c r="VPP19" s="15"/>
      <c r="VPV19" s="25"/>
      <c r="VQC19" s="21"/>
      <c r="VQD19" s="21"/>
      <c r="VQH19" s="15"/>
      <c r="VQN19" s="25"/>
      <c r="VQU19" s="21"/>
      <c r="VQV19" s="21"/>
      <c r="VQZ19" s="15"/>
      <c r="VRF19" s="25"/>
      <c r="VRM19" s="21"/>
      <c r="VRN19" s="21"/>
      <c r="VRR19" s="15"/>
      <c r="VRX19" s="25"/>
      <c r="VSE19" s="21"/>
      <c r="VSF19" s="21"/>
      <c r="VSJ19" s="15"/>
      <c r="VSP19" s="25"/>
      <c r="VSW19" s="21"/>
      <c r="VSX19" s="21"/>
      <c r="VTB19" s="15"/>
      <c r="VTH19" s="25"/>
      <c r="VTO19" s="21"/>
      <c r="VTP19" s="21"/>
      <c r="VTT19" s="15"/>
      <c r="VTZ19" s="25"/>
      <c r="VUG19" s="21"/>
      <c r="VUH19" s="21"/>
      <c r="VUL19" s="15"/>
      <c r="VUR19" s="25"/>
      <c r="VUY19" s="21"/>
      <c r="VUZ19" s="21"/>
      <c r="VVD19" s="15"/>
      <c r="VVJ19" s="25"/>
      <c r="VVQ19" s="21"/>
      <c r="VVR19" s="21"/>
      <c r="VVV19" s="15"/>
      <c r="VWB19" s="25"/>
      <c r="VWI19" s="21"/>
      <c r="VWJ19" s="21"/>
      <c r="VWN19" s="15"/>
      <c r="VWT19" s="25"/>
      <c r="VXA19" s="21"/>
      <c r="VXB19" s="21"/>
      <c r="VXF19" s="15"/>
      <c r="VXL19" s="25"/>
      <c r="VXS19" s="21"/>
      <c r="VXT19" s="21"/>
      <c r="VXX19" s="15"/>
      <c r="VYD19" s="25"/>
      <c r="VYK19" s="21"/>
      <c r="VYL19" s="21"/>
      <c r="VYP19" s="15"/>
      <c r="VYV19" s="25"/>
      <c r="VZC19" s="21"/>
      <c r="VZD19" s="21"/>
      <c r="VZH19" s="15"/>
      <c r="VZN19" s="25"/>
      <c r="VZU19" s="21"/>
      <c r="VZV19" s="21"/>
      <c r="VZZ19" s="15"/>
      <c r="WAF19" s="25"/>
      <c r="WAM19" s="21"/>
      <c r="WAN19" s="21"/>
      <c r="WAR19" s="15"/>
      <c r="WAX19" s="25"/>
      <c r="WBE19" s="21"/>
      <c r="WBF19" s="21"/>
      <c r="WBJ19" s="15"/>
      <c r="WBP19" s="25"/>
      <c r="WBW19" s="21"/>
      <c r="WBX19" s="21"/>
      <c r="WCB19" s="15"/>
      <c r="WCH19" s="25"/>
      <c r="WCO19" s="21"/>
      <c r="WCP19" s="21"/>
      <c r="WCT19" s="15"/>
      <c r="WCZ19" s="25"/>
      <c r="WDG19" s="21"/>
      <c r="WDH19" s="21"/>
      <c r="WDL19" s="15"/>
      <c r="WDR19" s="25"/>
      <c r="WDY19" s="21"/>
      <c r="WDZ19" s="21"/>
      <c r="WED19" s="15"/>
      <c r="WEJ19" s="25"/>
      <c r="WEQ19" s="21"/>
      <c r="WER19" s="21"/>
      <c r="WEV19" s="15"/>
      <c r="WFB19" s="25"/>
      <c r="WFI19" s="21"/>
      <c r="WFJ19" s="21"/>
      <c r="WFN19" s="15"/>
      <c r="WFT19" s="25"/>
      <c r="WGA19" s="21"/>
      <c r="WGB19" s="21"/>
      <c r="WGF19" s="15"/>
      <c r="WGL19" s="25"/>
      <c r="WGS19" s="21"/>
      <c r="WGT19" s="21"/>
      <c r="WGX19" s="15"/>
      <c r="WHD19" s="25"/>
      <c r="WHK19" s="21"/>
      <c r="WHL19" s="21"/>
      <c r="WHP19" s="15"/>
      <c r="WHV19" s="25"/>
      <c r="WIC19" s="21"/>
      <c r="WID19" s="21"/>
      <c r="WIH19" s="15"/>
      <c r="WIN19" s="25"/>
      <c r="WIU19" s="21"/>
      <c r="WIV19" s="21"/>
      <c r="WIZ19" s="15"/>
      <c r="WJF19" s="25"/>
      <c r="WJM19" s="21"/>
      <c r="WJN19" s="21"/>
      <c r="WJR19" s="15"/>
      <c r="WJX19" s="25"/>
      <c r="WKE19" s="21"/>
      <c r="WKF19" s="21"/>
      <c r="WKJ19" s="15"/>
      <c r="WKP19" s="25"/>
      <c r="WKW19" s="21"/>
      <c r="WKX19" s="21"/>
      <c r="WLB19" s="15"/>
      <c r="WLH19" s="25"/>
      <c r="WLO19" s="21"/>
      <c r="WLP19" s="21"/>
      <c r="WLT19" s="15"/>
      <c r="WLZ19" s="25"/>
      <c r="WMG19" s="21"/>
      <c r="WMH19" s="21"/>
      <c r="WML19" s="15"/>
      <c r="WMR19" s="25"/>
      <c r="WMY19" s="21"/>
      <c r="WMZ19" s="21"/>
      <c r="WND19" s="15"/>
      <c r="WNJ19" s="25"/>
      <c r="WNQ19" s="21"/>
      <c r="WNR19" s="21"/>
      <c r="WNV19" s="15"/>
      <c r="WOB19" s="25"/>
      <c r="WOI19" s="21"/>
      <c r="WOJ19" s="21"/>
      <c r="WON19" s="15"/>
      <c r="WOT19" s="25"/>
      <c r="WPA19" s="21"/>
      <c r="WPB19" s="21"/>
      <c r="WPF19" s="15"/>
      <c r="WPL19" s="25"/>
      <c r="WPS19" s="21"/>
      <c r="WPT19" s="21"/>
      <c r="WPX19" s="15"/>
      <c r="WQD19" s="25"/>
      <c r="WQK19" s="21"/>
      <c r="WQL19" s="21"/>
      <c r="WQP19" s="15"/>
      <c r="WQV19" s="25"/>
      <c r="WRC19" s="21"/>
      <c r="WRD19" s="21"/>
      <c r="WRH19" s="15"/>
      <c r="WRN19" s="25"/>
      <c r="WRU19" s="21"/>
      <c r="WRV19" s="21"/>
      <c r="WRZ19" s="15"/>
      <c r="WSF19" s="25"/>
      <c r="WSM19" s="21"/>
      <c r="WSN19" s="21"/>
      <c r="WSR19" s="15"/>
      <c r="WSX19" s="25"/>
      <c r="WTE19" s="21"/>
      <c r="WTF19" s="21"/>
      <c r="WTJ19" s="15"/>
      <c r="WTP19" s="25"/>
      <c r="WTW19" s="21"/>
      <c r="WTX19" s="21"/>
      <c r="WUB19" s="15"/>
      <c r="WUH19" s="25"/>
      <c r="WUO19" s="21"/>
      <c r="WUP19" s="21"/>
      <c r="WUT19" s="15"/>
      <c r="WUZ19" s="25"/>
      <c r="WVG19" s="21"/>
      <c r="WVH19" s="21"/>
      <c r="WVL19" s="15"/>
      <c r="WVR19" s="25"/>
      <c r="WVY19" s="21"/>
      <c r="WVZ19" s="21"/>
      <c r="WWD19" s="15"/>
      <c r="WWJ19" s="25"/>
      <c r="WWQ19" s="21"/>
      <c r="WWR19" s="21"/>
      <c r="WWV19" s="15"/>
      <c r="WXB19" s="25"/>
      <c r="WXI19" s="21"/>
      <c r="WXJ19" s="21"/>
      <c r="WXN19" s="15"/>
      <c r="WXT19" s="25"/>
      <c r="WYA19" s="21"/>
      <c r="WYB19" s="21"/>
      <c r="WYF19" s="15"/>
      <c r="WYL19" s="25"/>
      <c r="WYS19" s="21"/>
      <c r="WYT19" s="21"/>
      <c r="WYX19" s="15"/>
      <c r="WZD19" s="25"/>
      <c r="WZK19" s="21"/>
      <c r="WZL19" s="21"/>
      <c r="WZP19" s="15"/>
      <c r="WZV19" s="25"/>
      <c r="XAC19" s="21"/>
      <c r="XAD19" s="21"/>
      <c r="XAH19" s="15"/>
      <c r="XAN19" s="25"/>
      <c r="XAU19" s="21"/>
      <c r="XAV19" s="21"/>
      <c r="XAZ19" s="15"/>
      <c r="XBF19" s="25"/>
      <c r="XBM19" s="21"/>
      <c r="XBN19" s="21"/>
      <c r="XBR19" s="15"/>
      <c r="XBX19" s="25"/>
      <c r="XCE19" s="21"/>
      <c r="XCF19" s="21"/>
      <c r="XCJ19" s="15"/>
      <c r="XCP19" s="25"/>
      <c r="XCW19" s="21"/>
      <c r="XCX19" s="21"/>
      <c r="XDB19" s="15"/>
      <c r="XDH19" s="25"/>
      <c r="XDO19" s="21"/>
      <c r="XDP19" s="21"/>
      <c r="XDT19" s="15"/>
      <c r="XDZ19" s="25"/>
      <c r="XEG19" s="21"/>
      <c r="XEH19" s="21"/>
      <c r="XEL19" s="15"/>
      <c r="XER19" s="25"/>
      <c r="XEY19" s="21"/>
      <c r="XEZ19" s="21"/>
      <c r="XFD19" s="15"/>
    </row>
    <row r="20" spans="1:1018 1025:2044 2051:3070 3077:4096 4103:5116 5122:6142 6148:7168 7174:8190 8194:9216 9220:10234 10241:11260 11267:12286 12293:13312 13319:14332 14338:15358 15364:16384" s="24" customFormat="1">
      <c r="A20" s="21" t="s">
        <v>81</v>
      </c>
      <c r="B20" s="12">
        <v>2012</v>
      </c>
      <c r="C20" s="19" t="s">
        <v>53</v>
      </c>
      <c r="D20" s="22" t="s">
        <v>39</v>
      </c>
      <c r="E20" s="10" t="s">
        <v>82</v>
      </c>
      <c r="F20" s="19" t="s">
        <v>35</v>
      </c>
      <c r="G20" s="18">
        <v>21826952015.575878</v>
      </c>
      <c r="H20" s="18">
        <v>21810988036.400002</v>
      </c>
      <c r="I20" s="12">
        <v>26</v>
      </c>
      <c r="J20" s="23" t="s">
        <v>83</v>
      </c>
      <c r="K20" s="22"/>
      <c r="L20" s="22"/>
      <c r="M20" s="22" t="s">
        <v>26</v>
      </c>
      <c r="N20" s="12"/>
      <c r="O20" s="22"/>
      <c r="P20" s="12"/>
      <c r="Q20" s="22" t="s">
        <v>27</v>
      </c>
      <c r="R20" s="22" t="s">
        <v>28</v>
      </c>
      <c r="V20" s="15"/>
      <c r="AB20" s="25"/>
      <c r="AI20" s="21"/>
      <c r="AJ20" s="21"/>
      <c r="AN20" s="15"/>
      <c r="AT20" s="25"/>
      <c r="BA20" s="21"/>
      <c r="BB20" s="21"/>
      <c r="BF20" s="15"/>
      <c r="BL20" s="25"/>
      <c r="BS20" s="21"/>
      <c r="BT20" s="21"/>
      <c r="BX20" s="15"/>
      <c r="CD20" s="25"/>
      <c r="CK20" s="21"/>
      <c r="CL20" s="21"/>
      <c r="CP20" s="15"/>
      <c r="CV20" s="25"/>
      <c r="DC20" s="21"/>
      <c r="DD20" s="21"/>
      <c r="DH20" s="15"/>
      <c r="DN20" s="25"/>
      <c r="DU20" s="21"/>
      <c r="DV20" s="21"/>
      <c r="DZ20" s="15"/>
      <c r="EF20" s="25"/>
      <c r="EM20" s="21"/>
      <c r="EN20" s="21"/>
      <c r="ER20" s="15"/>
      <c r="EX20" s="25"/>
      <c r="FE20" s="21"/>
      <c r="FF20" s="21"/>
      <c r="FJ20" s="15"/>
      <c r="FP20" s="25"/>
      <c r="FW20" s="21"/>
      <c r="FX20" s="21"/>
      <c r="GB20" s="15"/>
      <c r="GH20" s="25"/>
      <c r="GO20" s="21"/>
      <c r="GP20" s="21"/>
      <c r="GT20" s="15"/>
      <c r="GZ20" s="25"/>
      <c r="HG20" s="21"/>
      <c r="HH20" s="21"/>
      <c r="HL20" s="15"/>
      <c r="HR20" s="25"/>
      <c r="HY20" s="21"/>
      <c r="HZ20" s="21"/>
      <c r="ID20" s="15"/>
      <c r="IJ20" s="25"/>
      <c r="IQ20" s="21"/>
      <c r="IR20" s="21"/>
      <c r="IV20" s="15"/>
      <c r="JB20" s="25"/>
      <c r="JI20" s="21"/>
      <c r="JJ20" s="21"/>
      <c r="JN20" s="15"/>
      <c r="JT20" s="25"/>
      <c r="KA20" s="21"/>
      <c r="KB20" s="21"/>
      <c r="KF20" s="15"/>
      <c r="KL20" s="25"/>
      <c r="KS20" s="21"/>
      <c r="KT20" s="21"/>
      <c r="KX20" s="15"/>
      <c r="LD20" s="25"/>
      <c r="LK20" s="21"/>
      <c r="LL20" s="21"/>
      <c r="LP20" s="15"/>
      <c r="LV20" s="25"/>
      <c r="MC20" s="21"/>
      <c r="MD20" s="21"/>
      <c r="MH20" s="15"/>
      <c r="MN20" s="25"/>
      <c r="MU20" s="21"/>
      <c r="MV20" s="21"/>
      <c r="MZ20" s="15"/>
      <c r="NF20" s="25"/>
      <c r="NM20" s="21"/>
      <c r="NN20" s="21"/>
      <c r="NR20" s="15"/>
      <c r="NX20" s="25"/>
      <c r="OE20" s="21"/>
      <c r="OF20" s="21"/>
      <c r="OJ20" s="15"/>
      <c r="OP20" s="25"/>
      <c r="OW20" s="21"/>
      <c r="OX20" s="21"/>
      <c r="PB20" s="15"/>
      <c r="PH20" s="25"/>
      <c r="PO20" s="21"/>
      <c r="PP20" s="21"/>
      <c r="PT20" s="15"/>
      <c r="PZ20" s="25"/>
      <c r="QG20" s="21"/>
      <c r="QH20" s="21"/>
      <c r="QL20" s="15"/>
      <c r="QR20" s="25"/>
      <c r="QY20" s="21"/>
      <c r="QZ20" s="21"/>
      <c r="RD20" s="15"/>
      <c r="RJ20" s="25"/>
      <c r="RQ20" s="21"/>
      <c r="RR20" s="21"/>
      <c r="RV20" s="15"/>
      <c r="SB20" s="25"/>
      <c r="SI20" s="21"/>
      <c r="SJ20" s="21"/>
      <c r="SN20" s="15"/>
      <c r="ST20" s="25"/>
      <c r="TA20" s="21"/>
      <c r="TB20" s="21"/>
      <c r="TF20" s="15"/>
      <c r="TL20" s="25"/>
      <c r="TS20" s="21"/>
      <c r="TT20" s="21"/>
      <c r="TX20" s="15"/>
      <c r="UD20" s="25"/>
      <c r="UK20" s="21"/>
      <c r="UL20" s="21"/>
      <c r="UP20" s="15"/>
      <c r="UV20" s="25"/>
      <c r="VC20" s="21"/>
      <c r="VD20" s="21"/>
      <c r="VH20" s="15"/>
      <c r="VN20" s="25"/>
      <c r="VU20" s="21"/>
      <c r="VV20" s="21"/>
      <c r="VZ20" s="15"/>
      <c r="WF20" s="25"/>
      <c r="WM20" s="21"/>
      <c r="WN20" s="21"/>
      <c r="WR20" s="15"/>
      <c r="WX20" s="25"/>
      <c r="XE20" s="21"/>
      <c r="XF20" s="21"/>
      <c r="XJ20" s="15"/>
      <c r="XP20" s="25"/>
      <c r="XW20" s="21"/>
      <c r="XX20" s="21"/>
      <c r="YB20" s="15"/>
      <c r="YH20" s="25"/>
      <c r="YO20" s="21"/>
      <c r="YP20" s="21"/>
      <c r="YT20" s="15"/>
      <c r="YZ20" s="25"/>
      <c r="ZG20" s="21"/>
      <c r="ZH20" s="21"/>
      <c r="ZL20" s="15"/>
      <c r="ZR20" s="25"/>
      <c r="ZY20" s="21"/>
      <c r="ZZ20" s="21"/>
      <c r="AAD20" s="15"/>
      <c r="AAJ20" s="25"/>
      <c r="AAQ20" s="21"/>
      <c r="AAR20" s="21"/>
      <c r="AAV20" s="15"/>
      <c r="ABB20" s="25"/>
      <c r="ABI20" s="21"/>
      <c r="ABJ20" s="21"/>
      <c r="ABN20" s="15"/>
      <c r="ABT20" s="25"/>
      <c r="ACA20" s="21"/>
      <c r="ACB20" s="21"/>
      <c r="ACF20" s="15"/>
      <c r="ACL20" s="25"/>
      <c r="ACS20" s="21"/>
      <c r="ACT20" s="21"/>
      <c r="ACX20" s="15"/>
      <c r="ADD20" s="25"/>
      <c r="ADK20" s="21"/>
      <c r="ADL20" s="21"/>
      <c r="ADP20" s="15"/>
      <c r="ADV20" s="25"/>
      <c r="AEC20" s="21"/>
      <c r="AED20" s="21"/>
      <c r="AEH20" s="15"/>
      <c r="AEN20" s="25"/>
      <c r="AEU20" s="21"/>
      <c r="AEV20" s="21"/>
      <c r="AEZ20" s="15"/>
      <c r="AFF20" s="25"/>
      <c r="AFM20" s="21"/>
      <c r="AFN20" s="21"/>
      <c r="AFR20" s="15"/>
      <c r="AFX20" s="25"/>
      <c r="AGE20" s="21"/>
      <c r="AGF20" s="21"/>
      <c r="AGJ20" s="15"/>
      <c r="AGP20" s="25"/>
      <c r="AGW20" s="21"/>
      <c r="AGX20" s="21"/>
      <c r="AHB20" s="15"/>
      <c r="AHH20" s="25"/>
      <c r="AHO20" s="21"/>
      <c r="AHP20" s="21"/>
      <c r="AHT20" s="15"/>
      <c r="AHZ20" s="25"/>
      <c r="AIG20" s="21"/>
      <c r="AIH20" s="21"/>
      <c r="AIL20" s="15"/>
      <c r="AIR20" s="25"/>
      <c r="AIY20" s="21"/>
      <c r="AIZ20" s="21"/>
      <c r="AJD20" s="15"/>
      <c r="AJJ20" s="25"/>
      <c r="AJQ20" s="21"/>
      <c r="AJR20" s="21"/>
      <c r="AJV20" s="15"/>
      <c r="AKB20" s="25"/>
      <c r="AKI20" s="21"/>
      <c r="AKJ20" s="21"/>
      <c r="AKN20" s="15"/>
      <c r="AKT20" s="25"/>
      <c r="ALA20" s="21"/>
      <c r="ALB20" s="21"/>
      <c r="ALF20" s="15"/>
      <c r="ALL20" s="25"/>
      <c r="ALS20" s="21"/>
      <c r="ALT20" s="21"/>
      <c r="ALX20" s="15"/>
      <c r="AMD20" s="25"/>
      <c r="AMK20" s="21"/>
      <c r="AML20" s="21"/>
      <c r="AMP20" s="15"/>
      <c r="AMV20" s="25"/>
      <c r="ANC20" s="21"/>
      <c r="AND20" s="21"/>
      <c r="ANH20" s="15"/>
      <c r="ANN20" s="25"/>
      <c r="ANU20" s="21"/>
      <c r="ANV20" s="21"/>
      <c r="ANZ20" s="15"/>
      <c r="AOF20" s="25"/>
      <c r="AOM20" s="21"/>
      <c r="AON20" s="21"/>
      <c r="AOR20" s="15"/>
      <c r="AOX20" s="25"/>
      <c r="APE20" s="21"/>
      <c r="APF20" s="21"/>
      <c r="APJ20" s="15"/>
      <c r="APP20" s="25"/>
      <c r="APW20" s="21"/>
      <c r="APX20" s="21"/>
      <c r="AQB20" s="15"/>
      <c r="AQH20" s="25"/>
      <c r="AQO20" s="21"/>
      <c r="AQP20" s="21"/>
      <c r="AQT20" s="15"/>
      <c r="AQZ20" s="25"/>
      <c r="ARG20" s="21"/>
      <c r="ARH20" s="21"/>
      <c r="ARL20" s="15"/>
      <c r="ARR20" s="25"/>
      <c r="ARY20" s="21"/>
      <c r="ARZ20" s="21"/>
      <c r="ASD20" s="15"/>
      <c r="ASJ20" s="25"/>
      <c r="ASQ20" s="21"/>
      <c r="ASR20" s="21"/>
      <c r="ASV20" s="15"/>
      <c r="ATB20" s="25"/>
      <c r="ATI20" s="21"/>
      <c r="ATJ20" s="21"/>
      <c r="ATN20" s="15"/>
      <c r="ATT20" s="25"/>
      <c r="AUA20" s="21"/>
      <c r="AUB20" s="21"/>
      <c r="AUF20" s="15"/>
      <c r="AUL20" s="25"/>
      <c r="AUS20" s="21"/>
      <c r="AUT20" s="21"/>
      <c r="AUX20" s="15"/>
      <c r="AVD20" s="25"/>
      <c r="AVK20" s="21"/>
      <c r="AVL20" s="21"/>
      <c r="AVP20" s="15"/>
      <c r="AVV20" s="25"/>
      <c r="AWC20" s="21"/>
      <c r="AWD20" s="21"/>
      <c r="AWH20" s="15"/>
      <c r="AWN20" s="25"/>
      <c r="AWU20" s="21"/>
      <c r="AWV20" s="21"/>
      <c r="AWZ20" s="15"/>
      <c r="AXF20" s="25"/>
      <c r="AXM20" s="21"/>
      <c r="AXN20" s="21"/>
      <c r="AXR20" s="15"/>
      <c r="AXX20" s="25"/>
      <c r="AYE20" s="21"/>
      <c r="AYF20" s="21"/>
      <c r="AYJ20" s="15"/>
      <c r="AYP20" s="25"/>
      <c r="AYW20" s="21"/>
      <c r="AYX20" s="21"/>
      <c r="AZB20" s="15"/>
      <c r="AZH20" s="25"/>
      <c r="AZO20" s="21"/>
      <c r="AZP20" s="21"/>
      <c r="AZT20" s="15"/>
      <c r="AZZ20" s="25"/>
      <c r="BAG20" s="21"/>
      <c r="BAH20" s="21"/>
      <c r="BAL20" s="15"/>
      <c r="BAR20" s="25"/>
      <c r="BAY20" s="21"/>
      <c r="BAZ20" s="21"/>
      <c r="BBD20" s="15"/>
      <c r="BBJ20" s="25"/>
      <c r="BBQ20" s="21"/>
      <c r="BBR20" s="21"/>
      <c r="BBV20" s="15"/>
      <c r="BCB20" s="25"/>
      <c r="BCI20" s="21"/>
      <c r="BCJ20" s="21"/>
      <c r="BCN20" s="15"/>
      <c r="BCT20" s="25"/>
      <c r="BDA20" s="21"/>
      <c r="BDB20" s="21"/>
      <c r="BDF20" s="15"/>
      <c r="BDL20" s="25"/>
      <c r="BDS20" s="21"/>
      <c r="BDT20" s="21"/>
      <c r="BDX20" s="15"/>
      <c r="BED20" s="25"/>
      <c r="BEK20" s="21"/>
      <c r="BEL20" s="21"/>
      <c r="BEP20" s="15"/>
      <c r="BEV20" s="25"/>
      <c r="BFC20" s="21"/>
      <c r="BFD20" s="21"/>
      <c r="BFH20" s="15"/>
      <c r="BFN20" s="25"/>
      <c r="BFU20" s="21"/>
      <c r="BFV20" s="21"/>
      <c r="BFZ20" s="15"/>
      <c r="BGF20" s="25"/>
      <c r="BGM20" s="21"/>
      <c r="BGN20" s="21"/>
      <c r="BGR20" s="15"/>
      <c r="BGX20" s="25"/>
      <c r="BHE20" s="21"/>
      <c r="BHF20" s="21"/>
      <c r="BHJ20" s="15"/>
      <c r="BHP20" s="25"/>
      <c r="BHW20" s="21"/>
      <c r="BHX20" s="21"/>
      <c r="BIB20" s="15"/>
      <c r="BIH20" s="25"/>
      <c r="BIO20" s="21"/>
      <c r="BIP20" s="21"/>
      <c r="BIT20" s="15"/>
      <c r="BIZ20" s="25"/>
      <c r="BJG20" s="21"/>
      <c r="BJH20" s="21"/>
      <c r="BJL20" s="15"/>
      <c r="BJR20" s="25"/>
      <c r="BJY20" s="21"/>
      <c r="BJZ20" s="21"/>
      <c r="BKD20" s="15"/>
      <c r="BKJ20" s="25"/>
      <c r="BKQ20" s="21"/>
      <c r="BKR20" s="21"/>
      <c r="BKV20" s="15"/>
      <c r="BLB20" s="25"/>
      <c r="BLI20" s="21"/>
      <c r="BLJ20" s="21"/>
      <c r="BLN20" s="15"/>
      <c r="BLT20" s="25"/>
      <c r="BMA20" s="21"/>
      <c r="BMB20" s="21"/>
      <c r="BMF20" s="15"/>
      <c r="BML20" s="25"/>
      <c r="BMS20" s="21"/>
      <c r="BMT20" s="21"/>
      <c r="BMX20" s="15"/>
      <c r="BND20" s="25"/>
      <c r="BNK20" s="21"/>
      <c r="BNL20" s="21"/>
      <c r="BNP20" s="15"/>
      <c r="BNV20" s="25"/>
      <c r="BOC20" s="21"/>
      <c r="BOD20" s="21"/>
      <c r="BOH20" s="15"/>
      <c r="BON20" s="25"/>
      <c r="BOU20" s="21"/>
      <c r="BOV20" s="21"/>
      <c r="BOZ20" s="15"/>
      <c r="BPF20" s="25"/>
      <c r="BPM20" s="21"/>
      <c r="BPN20" s="21"/>
      <c r="BPR20" s="15"/>
      <c r="BPX20" s="25"/>
      <c r="BQE20" s="21"/>
      <c r="BQF20" s="21"/>
      <c r="BQJ20" s="15"/>
      <c r="BQP20" s="25"/>
      <c r="BQW20" s="21"/>
      <c r="BQX20" s="21"/>
      <c r="BRB20" s="15"/>
      <c r="BRH20" s="25"/>
      <c r="BRO20" s="21"/>
      <c r="BRP20" s="21"/>
      <c r="BRT20" s="15"/>
      <c r="BRZ20" s="25"/>
      <c r="BSG20" s="21"/>
      <c r="BSH20" s="21"/>
      <c r="BSL20" s="15"/>
      <c r="BSR20" s="25"/>
      <c r="BSY20" s="21"/>
      <c r="BSZ20" s="21"/>
      <c r="BTD20" s="15"/>
      <c r="BTJ20" s="25"/>
      <c r="BTQ20" s="21"/>
      <c r="BTR20" s="21"/>
      <c r="BTV20" s="15"/>
      <c r="BUB20" s="25"/>
      <c r="BUI20" s="21"/>
      <c r="BUJ20" s="21"/>
      <c r="BUN20" s="15"/>
      <c r="BUT20" s="25"/>
      <c r="BVA20" s="21"/>
      <c r="BVB20" s="21"/>
      <c r="BVF20" s="15"/>
      <c r="BVL20" s="25"/>
      <c r="BVS20" s="21"/>
      <c r="BVT20" s="21"/>
      <c r="BVX20" s="15"/>
      <c r="BWD20" s="25"/>
      <c r="BWK20" s="21"/>
      <c r="BWL20" s="21"/>
      <c r="BWP20" s="15"/>
      <c r="BWV20" s="25"/>
      <c r="BXC20" s="21"/>
      <c r="BXD20" s="21"/>
      <c r="BXH20" s="15"/>
      <c r="BXN20" s="25"/>
      <c r="BXU20" s="21"/>
      <c r="BXV20" s="21"/>
      <c r="BXZ20" s="15"/>
      <c r="BYF20" s="25"/>
      <c r="BYM20" s="21"/>
      <c r="BYN20" s="21"/>
      <c r="BYR20" s="15"/>
      <c r="BYX20" s="25"/>
      <c r="BZE20" s="21"/>
      <c r="BZF20" s="21"/>
      <c r="BZJ20" s="15"/>
      <c r="BZP20" s="25"/>
      <c r="BZW20" s="21"/>
      <c r="BZX20" s="21"/>
      <c r="CAB20" s="15"/>
      <c r="CAH20" s="25"/>
      <c r="CAO20" s="21"/>
      <c r="CAP20" s="21"/>
      <c r="CAT20" s="15"/>
      <c r="CAZ20" s="25"/>
      <c r="CBG20" s="21"/>
      <c r="CBH20" s="21"/>
      <c r="CBL20" s="15"/>
      <c r="CBR20" s="25"/>
      <c r="CBY20" s="21"/>
      <c r="CBZ20" s="21"/>
      <c r="CCD20" s="15"/>
      <c r="CCJ20" s="25"/>
      <c r="CCQ20" s="21"/>
      <c r="CCR20" s="21"/>
      <c r="CCV20" s="15"/>
      <c r="CDB20" s="25"/>
      <c r="CDI20" s="21"/>
      <c r="CDJ20" s="21"/>
      <c r="CDN20" s="15"/>
      <c r="CDT20" s="25"/>
      <c r="CEA20" s="21"/>
      <c r="CEB20" s="21"/>
      <c r="CEF20" s="15"/>
      <c r="CEL20" s="25"/>
      <c r="CES20" s="21"/>
      <c r="CET20" s="21"/>
      <c r="CEX20" s="15"/>
      <c r="CFD20" s="25"/>
      <c r="CFK20" s="21"/>
      <c r="CFL20" s="21"/>
      <c r="CFP20" s="15"/>
      <c r="CFV20" s="25"/>
      <c r="CGC20" s="21"/>
      <c r="CGD20" s="21"/>
      <c r="CGH20" s="15"/>
      <c r="CGN20" s="25"/>
      <c r="CGU20" s="21"/>
      <c r="CGV20" s="21"/>
      <c r="CGZ20" s="15"/>
      <c r="CHF20" s="25"/>
      <c r="CHM20" s="21"/>
      <c r="CHN20" s="21"/>
      <c r="CHR20" s="15"/>
      <c r="CHX20" s="25"/>
      <c r="CIE20" s="21"/>
      <c r="CIF20" s="21"/>
      <c r="CIJ20" s="15"/>
      <c r="CIP20" s="25"/>
      <c r="CIW20" s="21"/>
      <c r="CIX20" s="21"/>
      <c r="CJB20" s="15"/>
      <c r="CJH20" s="25"/>
      <c r="CJO20" s="21"/>
      <c r="CJP20" s="21"/>
      <c r="CJT20" s="15"/>
      <c r="CJZ20" s="25"/>
      <c r="CKG20" s="21"/>
      <c r="CKH20" s="21"/>
      <c r="CKL20" s="15"/>
      <c r="CKR20" s="25"/>
      <c r="CKY20" s="21"/>
      <c r="CKZ20" s="21"/>
      <c r="CLD20" s="15"/>
      <c r="CLJ20" s="25"/>
      <c r="CLQ20" s="21"/>
      <c r="CLR20" s="21"/>
      <c r="CLV20" s="15"/>
      <c r="CMB20" s="25"/>
      <c r="CMI20" s="21"/>
      <c r="CMJ20" s="21"/>
      <c r="CMN20" s="15"/>
      <c r="CMT20" s="25"/>
      <c r="CNA20" s="21"/>
      <c r="CNB20" s="21"/>
      <c r="CNF20" s="15"/>
      <c r="CNL20" s="25"/>
      <c r="CNS20" s="21"/>
      <c r="CNT20" s="21"/>
      <c r="CNX20" s="15"/>
      <c r="COD20" s="25"/>
      <c r="COK20" s="21"/>
      <c r="COL20" s="21"/>
      <c r="COP20" s="15"/>
      <c r="COV20" s="25"/>
      <c r="CPC20" s="21"/>
      <c r="CPD20" s="21"/>
      <c r="CPH20" s="15"/>
      <c r="CPN20" s="25"/>
      <c r="CPU20" s="21"/>
      <c r="CPV20" s="21"/>
      <c r="CPZ20" s="15"/>
      <c r="CQF20" s="25"/>
      <c r="CQM20" s="21"/>
      <c r="CQN20" s="21"/>
      <c r="CQR20" s="15"/>
      <c r="CQX20" s="25"/>
      <c r="CRE20" s="21"/>
      <c r="CRF20" s="21"/>
      <c r="CRJ20" s="15"/>
      <c r="CRP20" s="25"/>
      <c r="CRW20" s="21"/>
      <c r="CRX20" s="21"/>
      <c r="CSB20" s="15"/>
      <c r="CSH20" s="25"/>
      <c r="CSO20" s="21"/>
      <c r="CSP20" s="21"/>
      <c r="CST20" s="15"/>
      <c r="CSZ20" s="25"/>
      <c r="CTG20" s="21"/>
      <c r="CTH20" s="21"/>
      <c r="CTL20" s="15"/>
      <c r="CTR20" s="25"/>
      <c r="CTY20" s="21"/>
      <c r="CTZ20" s="21"/>
      <c r="CUD20" s="15"/>
      <c r="CUJ20" s="25"/>
      <c r="CUQ20" s="21"/>
      <c r="CUR20" s="21"/>
      <c r="CUV20" s="15"/>
      <c r="CVB20" s="25"/>
      <c r="CVI20" s="21"/>
      <c r="CVJ20" s="21"/>
      <c r="CVN20" s="15"/>
      <c r="CVT20" s="25"/>
      <c r="CWA20" s="21"/>
      <c r="CWB20" s="21"/>
      <c r="CWF20" s="15"/>
      <c r="CWL20" s="25"/>
      <c r="CWS20" s="21"/>
      <c r="CWT20" s="21"/>
      <c r="CWX20" s="15"/>
      <c r="CXD20" s="25"/>
      <c r="CXK20" s="21"/>
      <c r="CXL20" s="21"/>
      <c r="CXP20" s="15"/>
      <c r="CXV20" s="25"/>
      <c r="CYC20" s="21"/>
      <c r="CYD20" s="21"/>
      <c r="CYH20" s="15"/>
      <c r="CYN20" s="25"/>
      <c r="CYU20" s="21"/>
      <c r="CYV20" s="21"/>
      <c r="CYZ20" s="15"/>
      <c r="CZF20" s="25"/>
      <c r="CZM20" s="21"/>
      <c r="CZN20" s="21"/>
      <c r="CZR20" s="15"/>
      <c r="CZX20" s="25"/>
      <c r="DAE20" s="21"/>
      <c r="DAF20" s="21"/>
      <c r="DAJ20" s="15"/>
      <c r="DAP20" s="25"/>
      <c r="DAW20" s="21"/>
      <c r="DAX20" s="21"/>
      <c r="DBB20" s="15"/>
      <c r="DBH20" s="25"/>
      <c r="DBO20" s="21"/>
      <c r="DBP20" s="21"/>
      <c r="DBT20" s="15"/>
      <c r="DBZ20" s="25"/>
      <c r="DCG20" s="21"/>
      <c r="DCH20" s="21"/>
      <c r="DCL20" s="15"/>
      <c r="DCR20" s="25"/>
      <c r="DCY20" s="21"/>
      <c r="DCZ20" s="21"/>
      <c r="DDD20" s="15"/>
      <c r="DDJ20" s="25"/>
      <c r="DDQ20" s="21"/>
      <c r="DDR20" s="21"/>
      <c r="DDV20" s="15"/>
      <c r="DEB20" s="25"/>
      <c r="DEI20" s="21"/>
      <c r="DEJ20" s="21"/>
      <c r="DEN20" s="15"/>
      <c r="DET20" s="25"/>
      <c r="DFA20" s="21"/>
      <c r="DFB20" s="21"/>
      <c r="DFF20" s="15"/>
      <c r="DFL20" s="25"/>
      <c r="DFS20" s="21"/>
      <c r="DFT20" s="21"/>
      <c r="DFX20" s="15"/>
      <c r="DGD20" s="25"/>
      <c r="DGK20" s="21"/>
      <c r="DGL20" s="21"/>
      <c r="DGP20" s="15"/>
      <c r="DGV20" s="25"/>
      <c r="DHC20" s="21"/>
      <c r="DHD20" s="21"/>
      <c r="DHH20" s="15"/>
      <c r="DHN20" s="25"/>
      <c r="DHU20" s="21"/>
      <c r="DHV20" s="21"/>
      <c r="DHZ20" s="15"/>
      <c r="DIF20" s="25"/>
      <c r="DIM20" s="21"/>
      <c r="DIN20" s="21"/>
      <c r="DIR20" s="15"/>
      <c r="DIX20" s="25"/>
      <c r="DJE20" s="21"/>
      <c r="DJF20" s="21"/>
      <c r="DJJ20" s="15"/>
      <c r="DJP20" s="25"/>
      <c r="DJW20" s="21"/>
      <c r="DJX20" s="21"/>
      <c r="DKB20" s="15"/>
      <c r="DKH20" s="25"/>
      <c r="DKO20" s="21"/>
      <c r="DKP20" s="21"/>
      <c r="DKT20" s="15"/>
      <c r="DKZ20" s="25"/>
      <c r="DLG20" s="21"/>
      <c r="DLH20" s="21"/>
      <c r="DLL20" s="15"/>
      <c r="DLR20" s="25"/>
      <c r="DLY20" s="21"/>
      <c r="DLZ20" s="21"/>
      <c r="DMD20" s="15"/>
      <c r="DMJ20" s="25"/>
      <c r="DMQ20" s="21"/>
      <c r="DMR20" s="21"/>
      <c r="DMV20" s="15"/>
      <c r="DNB20" s="25"/>
      <c r="DNI20" s="21"/>
      <c r="DNJ20" s="21"/>
      <c r="DNN20" s="15"/>
      <c r="DNT20" s="25"/>
      <c r="DOA20" s="21"/>
      <c r="DOB20" s="21"/>
      <c r="DOF20" s="15"/>
      <c r="DOL20" s="25"/>
      <c r="DOS20" s="21"/>
      <c r="DOT20" s="21"/>
      <c r="DOX20" s="15"/>
      <c r="DPD20" s="25"/>
      <c r="DPK20" s="21"/>
      <c r="DPL20" s="21"/>
      <c r="DPP20" s="15"/>
      <c r="DPV20" s="25"/>
      <c r="DQC20" s="21"/>
      <c r="DQD20" s="21"/>
      <c r="DQH20" s="15"/>
      <c r="DQN20" s="25"/>
      <c r="DQU20" s="21"/>
      <c r="DQV20" s="21"/>
      <c r="DQZ20" s="15"/>
      <c r="DRF20" s="25"/>
      <c r="DRM20" s="21"/>
      <c r="DRN20" s="21"/>
      <c r="DRR20" s="15"/>
      <c r="DRX20" s="25"/>
      <c r="DSE20" s="21"/>
      <c r="DSF20" s="21"/>
      <c r="DSJ20" s="15"/>
      <c r="DSP20" s="25"/>
      <c r="DSW20" s="21"/>
      <c r="DSX20" s="21"/>
      <c r="DTB20" s="15"/>
      <c r="DTH20" s="25"/>
      <c r="DTO20" s="21"/>
      <c r="DTP20" s="21"/>
      <c r="DTT20" s="15"/>
      <c r="DTZ20" s="25"/>
      <c r="DUG20" s="21"/>
      <c r="DUH20" s="21"/>
      <c r="DUL20" s="15"/>
      <c r="DUR20" s="25"/>
      <c r="DUY20" s="21"/>
      <c r="DUZ20" s="21"/>
      <c r="DVD20" s="15"/>
      <c r="DVJ20" s="25"/>
      <c r="DVQ20" s="21"/>
      <c r="DVR20" s="21"/>
      <c r="DVV20" s="15"/>
      <c r="DWB20" s="25"/>
      <c r="DWI20" s="21"/>
      <c r="DWJ20" s="21"/>
      <c r="DWN20" s="15"/>
      <c r="DWT20" s="25"/>
      <c r="DXA20" s="21"/>
      <c r="DXB20" s="21"/>
      <c r="DXF20" s="15"/>
      <c r="DXL20" s="25"/>
      <c r="DXS20" s="21"/>
      <c r="DXT20" s="21"/>
      <c r="DXX20" s="15"/>
      <c r="DYD20" s="25"/>
      <c r="DYK20" s="21"/>
      <c r="DYL20" s="21"/>
      <c r="DYP20" s="15"/>
      <c r="DYV20" s="25"/>
      <c r="DZC20" s="21"/>
      <c r="DZD20" s="21"/>
      <c r="DZH20" s="15"/>
      <c r="DZN20" s="25"/>
      <c r="DZU20" s="21"/>
      <c r="DZV20" s="21"/>
      <c r="DZZ20" s="15"/>
      <c r="EAF20" s="25"/>
      <c r="EAM20" s="21"/>
      <c r="EAN20" s="21"/>
      <c r="EAR20" s="15"/>
      <c r="EAX20" s="25"/>
      <c r="EBE20" s="21"/>
      <c r="EBF20" s="21"/>
      <c r="EBJ20" s="15"/>
      <c r="EBP20" s="25"/>
      <c r="EBW20" s="21"/>
      <c r="EBX20" s="21"/>
      <c r="ECB20" s="15"/>
      <c r="ECH20" s="25"/>
      <c r="ECO20" s="21"/>
      <c r="ECP20" s="21"/>
      <c r="ECT20" s="15"/>
      <c r="ECZ20" s="25"/>
      <c r="EDG20" s="21"/>
      <c r="EDH20" s="21"/>
      <c r="EDL20" s="15"/>
      <c r="EDR20" s="25"/>
      <c r="EDY20" s="21"/>
      <c r="EDZ20" s="21"/>
      <c r="EED20" s="15"/>
      <c r="EEJ20" s="25"/>
      <c r="EEQ20" s="21"/>
      <c r="EER20" s="21"/>
      <c r="EEV20" s="15"/>
      <c r="EFB20" s="25"/>
      <c r="EFI20" s="21"/>
      <c r="EFJ20" s="21"/>
      <c r="EFN20" s="15"/>
      <c r="EFT20" s="25"/>
      <c r="EGA20" s="21"/>
      <c r="EGB20" s="21"/>
      <c r="EGF20" s="15"/>
      <c r="EGL20" s="25"/>
      <c r="EGS20" s="21"/>
      <c r="EGT20" s="21"/>
      <c r="EGX20" s="15"/>
      <c r="EHD20" s="25"/>
      <c r="EHK20" s="21"/>
      <c r="EHL20" s="21"/>
      <c r="EHP20" s="15"/>
      <c r="EHV20" s="25"/>
      <c r="EIC20" s="21"/>
      <c r="EID20" s="21"/>
      <c r="EIH20" s="15"/>
      <c r="EIN20" s="25"/>
      <c r="EIU20" s="21"/>
      <c r="EIV20" s="21"/>
      <c r="EIZ20" s="15"/>
      <c r="EJF20" s="25"/>
      <c r="EJM20" s="21"/>
      <c r="EJN20" s="21"/>
      <c r="EJR20" s="15"/>
      <c r="EJX20" s="25"/>
      <c r="EKE20" s="21"/>
      <c r="EKF20" s="21"/>
      <c r="EKJ20" s="15"/>
      <c r="EKP20" s="25"/>
      <c r="EKW20" s="21"/>
      <c r="EKX20" s="21"/>
      <c r="ELB20" s="15"/>
      <c r="ELH20" s="25"/>
      <c r="ELO20" s="21"/>
      <c r="ELP20" s="21"/>
      <c r="ELT20" s="15"/>
      <c r="ELZ20" s="25"/>
      <c r="EMG20" s="21"/>
      <c r="EMH20" s="21"/>
      <c r="EML20" s="15"/>
      <c r="EMR20" s="25"/>
      <c r="EMY20" s="21"/>
      <c r="EMZ20" s="21"/>
      <c r="END20" s="15"/>
      <c r="ENJ20" s="25"/>
      <c r="ENQ20" s="21"/>
      <c r="ENR20" s="21"/>
      <c r="ENV20" s="15"/>
      <c r="EOB20" s="25"/>
      <c r="EOI20" s="21"/>
      <c r="EOJ20" s="21"/>
      <c r="EON20" s="15"/>
      <c r="EOT20" s="25"/>
      <c r="EPA20" s="21"/>
      <c r="EPB20" s="21"/>
      <c r="EPF20" s="15"/>
      <c r="EPL20" s="25"/>
      <c r="EPS20" s="21"/>
      <c r="EPT20" s="21"/>
      <c r="EPX20" s="15"/>
      <c r="EQD20" s="25"/>
      <c r="EQK20" s="21"/>
      <c r="EQL20" s="21"/>
      <c r="EQP20" s="15"/>
      <c r="EQV20" s="25"/>
      <c r="ERC20" s="21"/>
      <c r="ERD20" s="21"/>
      <c r="ERH20" s="15"/>
      <c r="ERN20" s="25"/>
      <c r="ERU20" s="21"/>
      <c r="ERV20" s="21"/>
      <c r="ERZ20" s="15"/>
      <c r="ESF20" s="25"/>
      <c r="ESM20" s="21"/>
      <c r="ESN20" s="21"/>
      <c r="ESR20" s="15"/>
      <c r="ESX20" s="25"/>
      <c r="ETE20" s="21"/>
      <c r="ETF20" s="21"/>
      <c r="ETJ20" s="15"/>
      <c r="ETP20" s="25"/>
      <c r="ETW20" s="21"/>
      <c r="ETX20" s="21"/>
      <c r="EUB20" s="15"/>
      <c r="EUH20" s="25"/>
      <c r="EUO20" s="21"/>
      <c r="EUP20" s="21"/>
      <c r="EUT20" s="15"/>
      <c r="EUZ20" s="25"/>
      <c r="EVG20" s="21"/>
      <c r="EVH20" s="21"/>
      <c r="EVL20" s="15"/>
      <c r="EVR20" s="25"/>
      <c r="EVY20" s="21"/>
      <c r="EVZ20" s="21"/>
      <c r="EWD20" s="15"/>
      <c r="EWJ20" s="25"/>
      <c r="EWQ20" s="21"/>
      <c r="EWR20" s="21"/>
      <c r="EWV20" s="15"/>
      <c r="EXB20" s="25"/>
      <c r="EXI20" s="21"/>
      <c r="EXJ20" s="21"/>
      <c r="EXN20" s="15"/>
      <c r="EXT20" s="25"/>
      <c r="EYA20" s="21"/>
      <c r="EYB20" s="21"/>
      <c r="EYF20" s="15"/>
      <c r="EYL20" s="25"/>
      <c r="EYS20" s="21"/>
      <c r="EYT20" s="21"/>
      <c r="EYX20" s="15"/>
      <c r="EZD20" s="25"/>
      <c r="EZK20" s="21"/>
      <c r="EZL20" s="21"/>
      <c r="EZP20" s="15"/>
      <c r="EZV20" s="25"/>
      <c r="FAC20" s="21"/>
      <c r="FAD20" s="21"/>
      <c r="FAH20" s="15"/>
      <c r="FAN20" s="25"/>
      <c r="FAU20" s="21"/>
      <c r="FAV20" s="21"/>
      <c r="FAZ20" s="15"/>
      <c r="FBF20" s="25"/>
      <c r="FBM20" s="21"/>
      <c r="FBN20" s="21"/>
      <c r="FBR20" s="15"/>
      <c r="FBX20" s="25"/>
      <c r="FCE20" s="21"/>
      <c r="FCF20" s="21"/>
      <c r="FCJ20" s="15"/>
      <c r="FCP20" s="25"/>
      <c r="FCW20" s="21"/>
      <c r="FCX20" s="21"/>
      <c r="FDB20" s="15"/>
      <c r="FDH20" s="25"/>
      <c r="FDO20" s="21"/>
      <c r="FDP20" s="21"/>
      <c r="FDT20" s="15"/>
      <c r="FDZ20" s="25"/>
      <c r="FEG20" s="21"/>
      <c r="FEH20" s="21"/>
      <c r="FEL20" s="15"/>
      <c r="FER20" s="25"/>
      <c r="FEY20" s="21"/>
      <c r="FEZ20" s="21"/>
      <c r="FFD20" s="15"/>
      <c r="FFJ20" s="25"/>
      <c r="FFQ20" s="21"/>
      <c r="FFR20" s="21"/>
      <c r="FFV20" s="15"/>
      <c r="FGB20" s="25"/>
      <c r="FGI20" s="21"/>
      <c r="FGJ20" s="21"/>
      <c r="FGN20" s="15"/>
      <c r="FGT20" s="25"/>
      <c r="FHA20" s="21"/>
      <c r="FHB20" s="21"/>
      <c r="FHF20" s="15"/>
      <c r="FHL20" s="25"/>
      <c r="FHS20" s="21"/>
      <c r="FHT20" s="21"/>
      <c r="FHX20" s="15"/>
      <c r="FID20" s="25"/>
      <c r="FIK20" s="21"/>
      <c r="FIL20" s="21"/>
      <c r="FIP20" s="15"/>
      <c r="FIV20" s="25"/>
      <c r="FJC20" s="21"/>
      <c r="FJD20" s="21"/>
      <c r="FJH20" s="15"/>
      <c r="FJN20" s="25"/>
      <c r="FJU20" s="21"/>
      <c r="FJV20" s="21"/>
      <c r="FJZ20" s="15"/>
      <c r="FKF20" s="25"/>
      <c r="FKM20" s="21"/>
      <c r="FKN20" s="21"/>
      <c r="FKR20" s="15"/>
      <c r="FKX20" s="25"/>
      <c r="FLE20" s="21"/>
      <c r="FLF20" s="21"/>
      <c r="FLJ20" s="15"/>
      <c r="FLP20" s="25"/>
      <c r="FLW20" s="21"/>
      <c r="FLX20" s="21"/>
      <c r="FMB20" s="15"/>
      <c r="FMH20" s="25"/>
      <c r="FMO20" s="21"/>
      <c r="FMP20" s="21"/>
      <c r="FMT20" s="15"/>
      <c r="FMZ20" s="25"/>
      <c r="FNG20" s="21"/>
      <c r="FNH20" s="21"/>
      <c r="FNL20" s="15"/>
      <c r="FNR20" s="25"/>
      <c r="FNY20" s="21"/>
      <c r="FNZ20" s="21"/>
      <c r="FOD20" s="15"/>
      <c r="FOJ20" s="25"/>
      <c r="FOQ20" s="21"/>
      <c r="FOR20" s="21"/>
      <c r="FOV20" s="15"/>
      <c r="FPB20" s="25"/>
      <c r="FPI20" s="21"/>
      <c r="FPJ20" s="21"/>
      <c r="FPN20" s="15"/>
      <c r="FPT20" s="25"/>
      <c r="FQA20" s="21"/>
      <c r="FQB20" s="21"/>
      <c r="FQF20" s="15"/>
      <c r="FQL20" s="25"/>
      <c r="FQS20" s="21"/>
      <c r="FQT20" s="21"/>
      <c r="FQX20" s="15"/>
      <c r="FRD20" s="25"/>
      <c r="FRK20" s="21"/>
      <c r="FRL20" s="21"/>
      <c r="FRP20" s="15"/>
      <c r="FRV20" s="25"/>
      <c r="FSC20" s="21"/>
      <c r="FSD20" s="21"/>
      <c r="FSH20" s="15"/>
      <c r="FSN20" s="25"/>
      <c r="FSU20" s="21"/>
      <c r="FSV20" s="21"/>
      <c r="FSZ20" s="15"/>
      <c r="FTF20" s="25"/>
      <c r="FTM20" s="21"/>
      <c r="FTN20" s="21"/>
      <c r="FTR20" s="15"/>
      <c r="FTX20" s="25"/>
      <c r="FUE20" s="21"/>
      <c r="FUF20" s="21"/>
      <c r="FUJ20" s="15"/>
      <c r="FUP20" s="25"/>
      <c r="FUW20" s="21"/>
      <c r="FUX20" s="21"/>
      <c r="FVB20" s="15"/>
      <c r="FVH20" s="25"/>
      <c r="FVO20" s="21"/>
      <c r="FVP20" s="21"/>
      <c r="FVT20" s="15"/>
      <c r="FVZ20" s="25"/>
      <c r="FWG20" s="21"/>
      <c r="FWH20" s="21"/>
      <c r="FWL20" s="15"/>
      <c r="FWR20" s="25"/>
      <c r="FWY20" s="21"/>
      <c r="FWZ20" s="21"/>
      <c r="FXD20" s="15"/>
      <c r="FXJ20" s="25"/>
      <c r="FXQ20" s="21"/>
      <c r="FXR20" s="21"/>
      <c r="FXV20" s="15"/>
      <c r="FYB20" s="25"/>
      <c r="FYI20" s="21"/>
      <c r="FYJ20" s="21"/>
      <c r="FYN20" s="15"/>
      <c r="FYT20" s="25"/>
      <c r="FZA20" s="21"/>
      <c r="FZB20" s="21"/>
      <c r="FZF20" s="15"/>
      <c r="FZL20" s="25"/>
      <c r="FZS20" s="21"/>
      <c r="FZT20" s="21"/>
      <c r="FZX20" s="15"/>
      <c r="GAD20" s="25"/>
      <c r="GAK20" s="21"/>
      <c r="GAL20" s="21"/>
      <c r="GAP20" s="15"/>
      <c r="GAV20" s="25"/>
      <c r="GBC20" s="21"/>
      <c r="GBD20" s="21"/>
      <c r="GBH20" s="15"/>
      <c r="GBN20" s="25"/>
      <c r="GBU20" s="21"/>
      <c r="GBV20" s="21"/>
      <c r="GBZ20" s="15"/>
      <c r="GCF20" s="25"/>
      <c r="GCM20" s="21"/>
      <c r="GCN20" s="21"/>
      <c r="GCR20" s="15"/>
      <c r="GCX20" s="25"/>
      <c r="GDE20" s="21"/>
      <c r="GDF20" s="21"/>
      <c r="GDJ20" s="15"/>
      <c r="GDP20" s="25"/>
      <c r="GDW20" s="21"/>
      <c r="GDX20" s="21"/>
      <c r="GEB20" s="15"/>
      <c r="GEH20" s="25"/>
      <c r="GEO20" s="21"/>
      <c r="GEP20" s="21"/>
      <c r="GET20" s="15"/>
      <c r="GEZ20" s="25"/>
      <c r="GFG20" s="21"/>
      <c r="GFH20" s="21"/>
      <c r="GFL20" s="15"/>
      <c r="GFR20" s="25"/>
      <c r="GFY20" s="21"/>
      <c r="GFZ20" s="21"/>
      <c r="GGD20" s="15"/>
      <c r="GGJ20" s="25"/>
      <c r="GGQ20" s="21"/>
      <c r="GGR20" s="21"/>
      <c r="GGV20" s="15"/>
      <c r="GHB20" s="25"/>
      <c r="GHI20" s="21"/>
      <c r="GHJ20" s="21"/>
      <c r="GHN20" s="15"/>
      <c r="GHT20" s="25"/>
      <c r="GIA20" s="21"/>
      <c r="GIB20" s="21"/>
      <c r="GIF20" s="15"/>
      <c r="GIL20" s="25"/>
      <c r="GIS20" s="21"/>
      <c r="GIT20" s="21"/>
      <c r="GIX20" s="15"/>
      <c r="GJD20" s="25"/>
      <c r="GJK20" s="21"/>
      <c r="GJL20" s="21"/>
      <c r="GJP20" s="15"/>
      <c r="GJV20" s="25"/>
      <c r="GKC20" s="21"/>
      <c r="GKD20" s="21"/>
      <c r="GKH20" s="15"/>
      <c r="GKN20" s="25"/>
      <c r="GKU20" s="21"/>
      <c r="GKV20" s="21"/>
      <c r="GKZ20" s="15"/>
      <c r="GLF20" s="25"/>
      <c r="GLM20" s="21"/>
      <c r="GLN20" s="21"/>
      <c r="GLR20" s="15"/>
      <c r="GLX20" s="25"/>
      <c r="GME20" s="21"/>
      <c r="GMF20" s="21"/>
      <c r="GMJ20" s="15"/>
      <c r="GMP20" s="25"/>
      <c r="GMW20" s="21"/>
      <c r="GMX20" s="21"/>
      <c r="GNB20" s="15"/>
      <c r="GNH20" s="25"/>
      <c r="GNO20" s="21"/>
      <c r="GNP20" s="21"/>
      <c r="GNT20" s="15"/>
      <c r="GNZ20" s="25"/>
      <c r="GOG20" s="21"/>
      <c r="GOH20" s="21"/>
      <c r="GOL20" s="15"/>
      <c r="GOR20" s="25"/>
      <c r="GOY20" s="21"/>
      <c r="GOZ20" s="21"/>
      <c r="GPD20" s="15"/>
      <c r="GPJ20" s="25"/>
      <c r="GPQ20" s="21"/>
      <c r="GPR20" s="21"/>
      <c r="GPV20" s="15"/>
      <c r="GQB20" s="25"/>
      <c r="GQI20" s="21"/>
      <c r="GQJ20" s="21"/>
      <c r="GQN20" s="15"/>
      <c r="GQT20" s="25"/>
      <c r="GRA20" s="21"/>
      <c r="GRB20" s="21"/>
      <c r="GRF20" s="15"/>
      <c r="GRL20" s="25"/>
      <c r="GRS20" s="21"/>
      <c r="GRT20" s="21"/>
      <c r="GRX20" s="15"/>
      <c r="GSD20" s="25"/>
      <c r="GSK20" s="21"/>
      <c r="GSL20" s="21"/>
      <c r="GSP20" s="15"/>
      <c r="GSV20" s="25"/>
      <c r="GTC20" s="21"/>
      <c r="GTD20" s="21"/>
      <c r="GTH20" s="15"/>
      <c r="GTN20" s="25"/>
      <c r="GTU20" s="21"/>
      <c r="GTV20" s="21"/>
      <c r="GTZ20" s="15"/>
      <c r="GUF20" s="25"/>
      <c r="GUM20" s="21"/>
      <c r="GUN20" s="21"/>
      <c r="GUR20" s="15"/>
      <c r="GUX20" s="25"/>
      <c r="GVE20" s="21"/>
      <c r="GVF20" s="21"/>
      <c r="GVJ20" s="15"/>
      <c r="GVP20" s="25"/>
      <c r="GVW20" s="21"/>
      <c r="GVX20" s="21"/>
      <c r="GWB20" s="15"/>
      <c r="GWH20" s="25"/>
      <c r="GWO20" s="21"/>
      <c r="GWP20" s="21"/>
      <c r="GWT20" s="15"/>
      <c r="GWZ20" s="25"/>
      <c r="GXG20" s="21"/>
      <c r="GXH20" s="21"/>
      <c r="GXL20" s="15"/>
      <c r="GXR20" s="25"/>
      <c r="GXY20" s="21"/>
      <c r="GXZ20" s="21"/>
      <c r="GYD20" s="15"/>
      <c r="GYJ20" s="25"/>
      <c r="GYQ20" s="21"/>
      <c r="GYR20" s="21"/>
      <c r="GYV20" s="15"/>
      <c r="GZB20" s="25"/>
      <c r="GZI20" s="21"/>
      <c r="GZJ20" s="21"/>
      <c r="GZN20" s="15"/>
      <c r="GZT20" s="25"/>
      <c r="HAA20" s="21"/>
      <c r="HAB20" s="21"/>
      <c r="HAF20" s="15"/>
      <c r="HAL20" s="25"/>
      <c r="HAS20" s="21"/>
      <c r="HAT20" s="21"/>
      <c r="HAX20" s="15"/>
      <c r="HBD20" s="25"/>
      <c r="HBK20" s="21"/>
      <c r="HBL20" s="21"/>
      <c r="HBP20" s="15"/>
      <c r="HBV20" s="25"/>
      <c r="HCC20" s="21"/>
      <c r="HCD20" s="21"/>
      <c r="HCH20" s="15"/>
      <c r="HCN20" s="25"/>
      <c r="HCU20" s="21"/>
      <c r="HCV20" s="21"/>
      <c r="HCZ20" s="15"/>
      <c r="HDF20" s="25"/>
      <c r="HDM20" s="21"/>
      <c r="HDN20" s="21"/>
      <c r="HDR20" s="15"/>
      <c r="HDX20" s="25"/>
      <c r="HEE20" s="21"/>
      <c r="HEF20" s="21"/>
      <c r="HEJ20" s="15"/>
      <c r="HEP20" s="25"/>
      <c r="HEW20" s="21"/>
      <c r="HEX20" s="21"/>
      <c r="HFB20" s="15"/>
      <c r="HFH20" s="25"/>
      <c r="HFO20" s="21"/>
      <c r="HFP20" s="21"/>
      <c r="HFT20" s="15"/>
      <c r="HFZ20" s="25"/>
      <c r="HGG20" s="21"/>
      <c r="HGH20" s="21"/>
      <c r="HGL20" s="15"/>
      <c r="HGR20" s="25"/>
      <c r="HGY20" s="21"/>
      <c r="HGZ20" s="21"/>
      <c r="HHD20" s="15"/>
      <c r="HHJ20" s="25"/>
      <c r="HHQ20" s="21"/>
      <c r="HHR20" s="21"/>
      <c r="HHV20" s="15"/>
      <c r="HIB20" s="25"/>
      <c r="HII20" s="21"/>
      <c r="HIJ20" s="21"/>
      <c r="HIN20" s="15"/>
      <c r="HIT20" s="25"/>
      <c r="HJA20" s="21"/>
      <c r="HJB20" s="21"/>
      <c r="HJF20" s="15"/>
      <c r="HJL20" s="25"/>
      <c r="HJS20" s="21"/>
      <c r="HJT20" s="21"/>
      <c r="HJX20" s="15"/>
      <c r="HKD20" s="25"/>
      <c r="HKK20" s="21"/>
      <c r="HKL20" s="21"/>
      <c r="HKP20" s="15"/>
      <c r="HKV20" s="25"/>
      <c r="HLC20" s="21"/>
      <c r="HLD20" s="21"/>
      <c r="HLH20" s="15"/>
      <c r="HLN20" s="25"/>
      <c r="HLU20" s="21"/>
      <c r="HLV20" s="21"/>
      <c r="HLZ20" s="15"/>
      <c r="HMF20" s="25"/>
      <c r="HMM20" s="21"/>
      <c r="HMN20" s="21"/>
      <c r="HMR20" s="15"/>
      <c r="HMX20" s="25"/>
      <c r="HNE20" s="21"/>
      <c r="HNF20" s="21"/>
      <c r="HNJ20" s="15"/>
      <c r="HNP20" s="25"/>
      <c r="HNW20" s="21"/>
      <c r="HNX20" s="21"/>
      <c r="HOB20" s="15"/>
      <c r="HOH20" s="25"/>
      <c r="HOO20" s="21"/>
      <c r="HOP20" s="21"/>
      <c r="HOT20" s="15"/>
      <c r="HOZ20" s="25"/>
      <c r="HPG20" s="21"/>
      <c r="HPH20" s="21"/>
      <c r="HPL20" s="15"/>
      <c r="HPR20" s="25"/>
      <c r="HPY20" s="21"/>
      <c r="HPZ20" s="21"/>
      <c r="HQD20" s="15"/>
      <c r="HQJ20" s="25"/>
      <c r="HQQ20" s="21"/>
      <c r="HQR20" s="21"/>
      <c r="HQV20" s="15"/>
      <c r="HRB20" s="25"/>
      <c r="HRI20" s="21"/>
      <c r="HRJ20" s="21"/>
      <c r="HRN20" s="15"/>
      <c r="HRT20" s="25"/>
      <c r="HSA20" s="21"/>
      <c r="HSB20" s="21"/>
      <c r="HSF20" s="15"/>
      <c r="HSL20" s="25"/>
      <c r="HSS20" s="21"/>
      <c r="HST20" s="21"/>
      <c r="HSX20" s="15"/>
      <c r="HTD20" s="25"/>
      <c r="HTK20" s="21"/>
      <c r="HTL20" s="21"/>
      <c r="HTP20" s="15"/>
      <c r="HTV20" s="25"/>
      <c r="HUC20" s="21"/>
      <c r="HUD20" s="21"/>
      <c r="HUH20" s="15"/>
      <c r="HUN20" s="25"/>
      <c r="HUU20" s="21"/>
      <c r="HUV20" s="21"/>
      <c r="HUZ20" s="15"/>
      <c r="HVF20" s="25"/>
      <c r="HVM20" s="21"/>
      <c r="HVN20" s="21"/>
      <c r="HVR20" s="15"/>
      <c r="HVX20" s="25"/>
      <c r="HWE20" s="21"/>
      <c r="HWF20" s="21"/>
      <c r="HWJ20" s="15"/>
      <c r="HWP20" s="25"/>
      <c r="HWW20" s="21"/>
      <c r="HWX20" s="21"/>
      <c r="HXB20" s="15"/>
      <c r="HXH20" s="25"/>
      <c r="HXO20" s="21"/>
      <c r="HXP20" s="21"/>
      <c r="HXT20" s="15"/>
      <c r="HXZ20" s="25"/>
      <c r="HYG20" s="21"/>
      <c r="HYH20" s="21"/>
      <c r="HYL20" s="15"/>
      <c r="HYR20" s="25"/>
      <c r="HYY20" s="21"/>
      <c r="HYZ20" s="21"/>
      <c r="HZD20" s="15"/>
      <c r="HZJ20" s="25"/>
      <c r="HZQ20" s="21"/>
      <c r="HZR20" s="21"/>
      <c r="HZV20" s="15"/>
      <c r="IAB20" s="25"/>
      <c r="IAI20" s="21"/>
      <c r="IAJ20" s="21"/>
      <c r="IAN20" s="15"/>
      <c r="IAT20" s="25"/>
      <c r="IBA20" s="21"/>
      <c r="IBB20" s="21"/>
      <c r="IBF20" s="15"/>
      <c r="IBL20" s="25"/>
      <c r="IBS20" s="21"/>
      <c r="IBT20" s="21"/>
      <c r="IBX20" s="15"/>
      <c r="ICD20" s="25"/>
      <c r="ICK20" s="21"/>
      <c r="ICL20" s="21"/>
      <c r="ICP20" s="15"/>
      <c r="ICV20" s="25"/>
      <c r="IDC20" s="21"/>
      <c r="IDD20" s="21"/>
      <c r="IDH20" s="15"/>
      <c r="IDN20" s="25"/>
      <c r="IDU20" s="21"/>
      <c r="IDV20" s="21"/>
      <c r="IDZ20" s="15"/>
      <c r="IEF20" s="25"/>
      <c r="IEM20" s="21"/>
      <c r="IEN20" s="21"/>
      <c r="IER20" s="15"/>
      <c r="IEX20" s="25"/>
      <c r="IFE20" s="21"/>
      <c r="IFF20" s="21"/>
      <c r="IFJ20" s="15"/>
      <c r="IFP20" s="25"/>
      <c r="IFW20" s="21"/>
      <c r="IFX20" s="21"/>
      <c r="IGB20" s="15"/>
      <c r="IGH20" s="25"/>
      <c r="IGO20" s="21"/>
      <c r="IGP20" s="21"/>
      <c r="IGT20" s="15"/>
      <c r="IGZ20" s="25"/>
      <c r="IHG20" s="21"/>
      <c r="IHH20" s="21"/>
      <c r="IHL20" s="15"/>
      <c r="IHR20" s="25"/>
      <c r="IHY20" s="21"/>
      <c r="IHZ20" s="21"/>
      <c r="IID20" s="15"/>
      <c r="IIJ20" s="25"/>
      <c r="IIQ20" s="21"/>
      <c r="IIR20" s="21"/>
      <c r="IIV20" s="15"/>
      <c r="IJB20" s="25"/>
      <c r="IJI20" s="21"/>
      <c r="IJJ20" s="21"/>
      <c r="IJN20" s="15"/>
      <c r="IJT20" s="25"/>
      <c r="IKA20" s="21"/>
      <c r="IKB20" s="21"/>
      <c r="IKF20" s="15"/>
      <c r="IKL20" s="25"/>
      <c r="IKS20" s="21"/>
      <c r="IKT20" s="21"/>
      <c r="IKX20" s="15"/>
      <c r="ILD20" s="25"/>
      <c r="ILK20" s="21"/>
      <c r="ILL20" s="21"/>
      <c r="ILP20" s="15"/>
      <c r="ILV20" s="25"/>
      <c r="IMC20" s="21"/>
      <c r="IMD20" s="21"/>
      <c r="IMH20" s="15"/>
      <c r="IMN20" s="25"/>
      <c r="IMU20" s="21"/>
      <c r="IMV20" s="21"/>
      <c r="IMZ20" s="15"/>
      <c r="INF20" s="25"/>
      <c r="INM20" s="21"/>
      <c r="INN20" s="21"/>
      <c r="INR20" s="15"/>
      <c r="INX20" s="25"/>
      <c r="IOE20" s="21"/>
      <c r="IOF20" s="21"/>
      <c r="IOJ20" s="15"/>
      <c r="IOP20" s="25"/>
      <c r="IOW20" s="21"/>
      <c r="IOX20" s="21"/>
      <c r="IPB20" s="15"/>
      <c r="IPH20" s="25"/>
      <c r="IPO20" s="21"/>
      <c r="IPP20" s="21"/>
      <c r="IPT20" s="15"/>
      <c r="IPZ20" s="25"/>
      <c r="IQG20" s="21"/>
      <c r="IQH20" s="21"/>
      <c r="IQL20" s="15"/>
      <c r="IQR20" s="25"/>
      <c r="IQY20" s="21"/>
      <c r="IQZ20" s="21"/>
      <c r="IRD20" s="15"/>
      <c r="IRJ20" s="25"/>
      <c r="IRQ20" s="21"/>
      <c r="IRR20" s="21"/>
      <c r="IRV20" s="15"/>
      <c r="ISB20" s="25"/>
      <c r="ISI20" s="21"/>
      <c r="ISJ20" s="21"/>
      <c r="ISN20" s="15"/>
      <c r="IST20" s="25"/>
      <c r="ITA20" s="21"/>
      <c r="ITB20" s="21"/>
      <c r="ITF20" s="15"/>
      <c r="ITL20" s="25"/>
      <c r="ITS20" s="21"/>
      <c r="ITT20" s="21"/>
      <c r="ITX20" s="15"/>
      <c r="IUD20" s="25"/>
      <c r="IUK20" s="21"/>
      <c r="IUL20" s="21"/>
      <c r="IUP20" s="15"/>
      <c r="IUV20" s="25"/>
      <c r="IVC20" s="21"/>
      <c r="IVD20" s="21"/>
      <c r="IVH20" s="15"/>
      <c r="IVN20" s="25"/>
      <c r="IVU20" s="21"/>
      <c r="IVV20" s="21"/>
      <c r="IVZ20" s="15"/>
      <c r="IWF20" s="25"/>
      <c r="IWM20" s="21"/>
      <c r="IWN20" s="21"/>
      <c r="IWR20" s="15"/>
      <c r="IWX20" s="25"/>
      <c r="IXE20" s="21"/>
      <c r="IXF20" s="21"/>
      <c r="IXJ20" s="15"/>
      <c r="IXP20" s="25"/>
      <c r="IXW20" s="21"/>
      <c r="IXX20" s="21"/>
      <c r="IYB20" s="15"/>
      <c r="IYH20" s="25"/>
      <c r="IYO20" s="21"/>
      <c r="IYP20" s="21"/>
      <c r="IYT20" s="15"/>
      <c r="IYZ20" s="25"/>
      <c r="IZG20" s="21"/>
      <c r="IZH20" s="21"/>
      <c r="IZL20" s="15"/>
      <c r="IZR20" s="25"/>
      <c r="IZY20" s="21"/>
      <c r="IZZ20" s="21"/>
      <c r="JAD20" s="15"/>
      <c r="JAJ20" s="25"/>
      <c r="JAQ20" s="21"/>
      <c r="JAR20" s="21"/>
      <c r="JAV20" s="15"/>
      <c r="JBB20" s="25"/>
      <c r="JBI20" s="21"/>
      <c r="JBJ20" s="21"/>
      <c r="JBN20" s="15"/>
      <c r="JBT20" s="25"/>
      <c r="JCA20" s="21"/>
      <c r="JCB20" s="21"/>
      <c r="JCF20" s="15"/>
      <c r="JCL20" s="25"/>
      <c r="JCS20" s="21"/>
      <c r="JCT20" s="21"/>
      <c r="JCX20" s="15"/>
      <c r="JDD20" s="25"/>
      <c r="JDK20" s="21"/>
      <c r="JDL20" s="21"/>
      <c r="JDP20" s="15"/>
      <c r="JDV20" s="25"/>
      <c r="JEC20" s="21"/>
      <c r="JED20" s="21"/>
      <c r="JEH20" s="15"/>
      <c r="JEN20" s="25"/>
      <c r="JEU20" s="21"/>
      <c r="JEV20" s="21"/>
      <c r="JEZ20" s="15"/>
      <c r="JFF20" s="25"/>
      <c r="JFM20" s="21"/>
      <c r="JFN20" s="21"/>
      <c r="JFR20" s="15"/>
      <c r="JFX20" s="25"/>
      <c r="JGE20" s="21"/>
      <c r="JGF20" s="21"/>
      <c r="JGJ20" s="15"/>
      <c r="JGP20" s="25"/>
      <c r="JGW20" s="21"/>
      <c r="JGX20" s="21"/>
      <c r="JHB20" s="15"/>
      <c r="JHH20" s="25"/>
      <c r="JHO20" s="21"/>
      <c r="JHP20" s="21"/>
      <c r="JHT20" s="15"/>
      <c r="JHZ20" s="25"/>
      <c r="JIG20" s="21"/>
      <c r="JIH20" s="21"/>
      <c r="JIL20" s="15"/>
      <c r="JIR20" s="25"/>
      <c r="JIY20" s="21"/>
      <c r="JIZ20" s="21"/>
      <c r="JJD20" s="15"/>
      <c r="JJJ20" s="25"/>
      <c r="JJQ20" s="21"/>
      <c r="JJR20" s="21"/>
      <c r="JJV20" s="15"/>
      <c r="JKB20" s="25"/>
      <c r="JKI20" s="21"/>
      <c r="JKJ20" s="21"/>
      <c r="JKN20" s="15"/>
      <c r="JKT20" s="25"/>
      <c r="JLA20" s="21"/>
      <c r="JLB20" s="21"/>
      <c r="JLF20" s="15"/>
      <c r="JLL20" s="25"/>
      <c r="JLS20" s="21"/>
      <c r="JLT20" s="21"/>
      <c r="JLX20" s="15"/>
      <c r="JMD20" s="25"/>
      <c r="JMK20" s="21"/>
      <c r="JML20" s="21"/>
      <c r="JMP20" s="15"/>
      <c r="JMV20" s="25"/>
      <c r="JNC20" s="21"/>
      <c r="JND20" s="21"/>
      <c r="JNH20" s="15"/>
      <c r="JNN20" s="25"/>
      <c r="JNU20" s="21"/>
      <c r="JNV20" s="21"/>
      <c r="JNZ20" s="15"/>
      <c r="JOF20" s="25"/>
      <c r="JOM20" s="21"/>
      <c r="JON20" s="21"/>
      <c r="JOR20" s="15"/>
      <c r="JOX20" s="25"/>
      <c r="JPE20" s="21"/>
      <c r="JPF20" s="21"/>
      <c r="JPJ20" s="15"/>
      <c r="JPP20" s="25"/>
      <c r="JPW20" s="21"/>
      <c r="JPX20" s="21"/>
      <c r="JQB20" s="15"/>
      <c r="JQH20" s="25"/>
      <c r="JQO20" s="21"/>
      <c r="JQP20" s="21"/>
      <c r="JQT20" s="15"/>
      <c r="JQZ20" s="25"/>
      <c r="JRG20" s="21"/>
      <c r="JRH20" s="21"/>
      <c r="JRL20" s="15"/>
      <c r="JRR20" s="25"/>
      <c r="JRY20" s="21"/>
      <c r="JRZ20" s="21"/>
      <c r="JSD20" s="15"/>
      <c r="JSJ20" s="25"/>
      <c r="JSQ20" s="21"/>
      <c r="JSR20" s="21"/>
      <c r="JSV20" s="15"/>
      <c r="JTB20" s="25"/>
      <c r="JTI20" s="21"/>
      <c r="JTJ20" s="21"/>
      <c r="JTN20" s="15"/>
      <c r="JTT20" s="25"/>
      <c r="JUA20" s="21"/>
      <c r="JUB20" s="21"/>
      <c r="JUF20" s="15"/>
      <c r="JUL20" s="25"/>
      <c r="JUS20" s="21"/>
      <c r="JUT20" s="21"/>
      <c r="JUX20" s="15"/>
      <c r="JVD20" s="25"/>
      <c r="JVK20" s="21"/>
      <c r="JVL20" s="21"/>
      <c r="JVP20" s="15"/>
      <c r="JVV20" s="25"/>
      <c r="JWC20" s="21"/>
      <c r="JWD20" s="21"/>
      <c r="JWH20" s="15"/>
      <c r="JWN20" s="25"/>
      <c r="JWU20" s="21"/>
      <c r="JWV20" s="21"/>
      <c r="JWZ20" s="15"/>
      <c r="JXF20" s="25"/>
      <c r="JXM20" s="21"/>
      <c r="JXN20" s="21"/>
      <c r="JXR20" s="15"/>
      <c r="JXX20" s="25"/>
      <c r="JYE20" s="21"/>
      <c r="JYF20" s="21"/>
      <c r="JYJ20" s="15"/>
      <c r="JYP20" s="25"/>
      <c r="JYW20" s="21"/>
      <c r="JYX20" s="21"/>
      <c r="JZB20" s="15"/>
      <c r="JZH20" s="25"/>
      <c r="JZO20" s="21"/>
      <c r="JZP20" s="21"/>
      <c r="JZT20" s="15"/>
      <c r="JZZ20" s="25"/>
      <c r="KAG20" s="21"/>
      <c r="KAH20" s="21"/>
      <c r="KAL20" s="15"/>
      <c r="KAR20" s="25"/>
      <c r="KAY20" s="21"/>
      <c r="KAZ20" s="21"/>
      <c r="KBD20" s="15"/>
      <c r="KBJ20" s="25"/>
      <c r="KBQ20" s="21"/>
      <c r="KBR20" s="21"/>
      <c r="KBV20" s="15"/>
      <c r="KCB20" s="25"/>
      <c r="KCI20" s="21"/>
      <c r="KCJ20" s="21"/>
      <c r="KCN20" s="15"/>
      <c r="KCT20" s="25"/>
      <c r="KDA20" s="21"/>
      <c r="KDB20" s="21"/>
      <c r="KDF20" s="15"/>
      <c r="KDL20" s="25"/>
      <c r="KDS20" s="21"/>
      <c r="KDT20" s="21"/>
      <c r="KDX20" s="15"/>
      <c r="KED20" s="25"/>
      <c r="KEK20" s="21"/>
      <c r="KEL20" s="21"/>
      <c r="KEP20" s="15"/>
      <c r="KEV20" s="25"/>
      <c r="KFC20" s="21"/>
      <c r="KFD20" s="21"/>
      <c r="KFH20" s="15"/>
      <c r="KFN20" s="25"/>
      <c r="KFU20" s="21"/>
      <c r="KFV20" s="21"/>
      <c r="KFZ20" s="15"/>
      <c r="KGF20" s="25"/>
      <c r="KGM20" s="21"/>
      <c r="KGN20" s="21"/>
      <c r="KGR20" s="15"/>
      <c r="KGX20" s="25"/>
      <c r="KHE20" s="21"/>
      <c r="KHF20" s="21"/>
      <c r="KHJ20" s="15"/>
      <c r="KHP20" s="25"/>
      <c r="KHW20" s="21"/>
      <c r="KHX20" s="21"/>
      <c r="KIB20" s="15"/>
      <c r="KIH20" s="25"/>
      <c r="KIO20" s="21"/>
      <c r="KIP20" s="21"/>
      <c r="KIT20" s="15"/>
      <c r="KIZ20" s="25"/>
      <c r="KJG20" s="21"/>
      <c r="KJH20" s="21"/>
      <c r="KJL20" s="15"/>
      <c r="KJR20" s="25"/>
      <c r="KJY20" s="21"/>
      <c r="KJZ20" s="21"/>
      <c r="KKD20" s="15"/>
      <c r="KKJ20" s="25"/>
      <c r="KKQ20" s="21"/>
      <c r="KKR20" s="21"/>
      <c r="KKV20" s="15"/>
      <c r="KLB20" s="25"/>
      <c r="KLI20" s="21"/>
      <c r="KLJ20" s="21"/>
      <c r="KLN20" s="15"/>
      <c r="KLT20" s="25"/>
      <c r="KMA20" s="21"/>
      <c r="KMB20" s="21"/>
      <c r="KMF20" s="15"/>
      <c r="KML20" s="25"/>
      <c r="KMS20" s="21"/>
      <c r="KMT20" s="21"/>
      <c r="KMX20" s="15"/>
      <c r="KND20" s="25"/>
      <c r="KNK20" s="21"/>
      <c r="KNL20" s="21"/>
      <c r="KNP20" s="15"/>
      <c r="KNV20" s="25"/>
      <c r="KOC20" s="21"/>
      <c r="KOD20" s="21"/>
      <c r="KOH20" s="15"/>
      <c r="KON20" s="25"/>
      <c r="KOU20" s="21"/>
      <c r="KOV20" s="21"/>
      <c r="KOZ20" s="15"/>
      <c r="KPF20" s="25"/>
      <c r="KPM20" s="21"/>
      <c r="KPN20" s="21"/>
      <c r="KPR20" s="15"/>
      <c r="KPX20" s="25"/>
      <c r="KQE20" s="21"/>
      <c r="KQF20" s="21"/>
      <c r="KQJ20" s="15"/>
      <c r="KQP20" s="25"/>
      <c r="KQW20" s="21"/>
      <c r="KQX20" s="21"/>
      <c r="KRB20" s="15"/>
      <c r="KRH20" s="25"/>
      <c r="KRO20" s="21"/>
      <c r="KRP20" s="21"/>
      <c r="KRT20" s="15"/>
      <c r="KRZ20" s="25"/>
      <c r="KSG20" s="21"/>
      <c r="KSH20" s="21"/>
      <c r="KSL20" s="15"/>
      <c r="KSR20" s="25"/>
      <c r="KSY20" s="21"/>
      <c r="KSZ20" s="21"/>
      <c r="KTD20" s="15"/>
      <c r="KTJ20" s="25"/>
      <c r="KTQ20" s="21"/>
      <c r="KTR20" s="21"/>
      <c r="KTV20" s="15"/>
      <c r="KUB20" s="25"/>
      <c r="KUI20" s="21"/>
      <c r="KUJ20" s="21"/>
      <c r="KUN20" s="15"/>
      <c r="KUT20" s="25"/>
      <c r="KVA20" s="21"/>
      <c r="KVB20" s="21"/>
      <c r="KVF20" s="15"/>
      <c r="KVL20" s="25"/>
      <c r="KVS20" s="21"/>
      <c r="KVT20" s="21"/>
      <c r="KVX20" s="15"/>
      <c r="KWD20" s="25"/>
      <c r="KWK20" s="21"/>
      <c r="KWL20" s="21"/>
      <c r="KWP20" s="15"/>
      <c r="KWV20" s="25"/>
      <c r="KXC20" s="21"/>
      <c r="KXD20" s="21"/>
      <c r="KXH20" s="15"/>
      <c r="KXN20" s="25"/>
      <c r="KXU20" s="21"/>
      <c r="KXV20" s="21"/>
      <c r="KXZ20" s="15"/>
      <c r="KYF20" s="25"/>
      <c r="KYM20" s="21"/>
      <c r="KYN20" s="21"/>
      <c r="KYR20" s="15"/>
      <c r="KYX20" s="25"/>
      <c r="KZE20" s="21"/>
      <c r="KZF20" s="21"/>
      <c r="KZJ20" s="15"/>
      <c r="KZP20" s="25"/>
      <c r="KZW20" s="21"/>
      <c r="KZX20" s="21"/>
      <c r="LAB20" s="15"/>
      <c r="LAH20" s="25"/>
      <c r="LAO20" s="21"/>
      <c r="LAP20" s="21"/>
      <c r="LAT20" s="15"/>
      <c r="LAZ20" s="25"/>
      <c r="LBG20" s="21"/>
      <c r="LBH20" s="21"/>
      <c r="LBL20" s="15"/>
      <c r="LBR20" s="25"/>
      <c r="LBY20" s="21"/>
      <c r="LBZ20" s="21"/>
      <c r="LCD20" s="15"/>
      <c r="LCJ20" s="25"/>
      <c r="LCQ20" s="21"/>
      <c r="LCR20" s="21"/>
      <c r="LCV20" s="15"/>
      <c r="LDB20" s="25"/>
      <c r="LDI20" s="21"/>
      <c r="LDJ20" s="21"/>
      <c r="LDN20" s="15"/>
      <c r="LDT20" s="25"/>
      <c r="LEA20" s="21"/>
      <c r="LEB20" s="21"/>
      <c r="LEF20" s="15"/>
      <c r="LEL20" s="25"/>
      <c r="LES20" s="21"/>
      <c r="LET20" s="21"/>
      <c r="LEX20" s="15"/>
      <c r="LFD20" s="25"/>
      <c r="LFK20" s="21"/>
      <c r="LFL20" s="21"/>
      <c r="LFP20" s="15"/>
      <c r="LFV20" s="25"/>
      <c r="LGC20" s="21"/>
      <c r="LGD20" s="21"/>
      <c r="LGH20" s="15"/>
      <c r="LGN20" s="25"/>
      <c r="LGU20" s="21"/>
      <c r="LGV20" s="21"/>
      <c r="LGZ20" s="15"/>
      <c r="LHF20" s="25"/>
      <c r="LHM20" s="21"/>
      <c r="LHN20" s="21"/>
      <c r="LHR20" s="15"/>
      <c r="LHX20" s="25"/>
      <c r="LIE20" s="21"/>
      <c r="LIF20" s="21"/>
      <c r="LIJ20" s="15"/>
      <c r="LIP20" s="25"/>
      <c r="LIW20" s="21"/>
      <c r="LIX20" s="21"/>
      <c r="LJB20" s="15"/>
      <c r="LJH20" s="25"/>
      <c r="LJO20" s="21"/>
      <c r="LJP20" s="21"/>
      <c r="LJT20" s="15"/>
      <c r="LJZ20" s="25"/>
      <c r="LKG20" s="21"/>
      <c r="LKH20" s="21"/>
      <c r="LKL20" s="15"/>
      <c r="LKR20" s="25"/>
      <c r="LKY20" s="21"/>
      <c r="LKZ20" s="21"/>
      <c r="LLD20" s="15"/>
      <c r="LLJ20" s="25"/>
      <c r="LLQ20" s="21"/>
      <c r="LLR20" s="21"/>
      <c r="LLV20" s="15"/>
      <c r="LMB20" s="25"/>
      <c r="LMI20" s="21"/>
      <c r="LMJ20" s="21"/>
      <c r="LMN20" s="15"/>
      <c r="LMT20" s="25"/>
      <c r="LNA20" s="21"/>
      <c r="LNB20" s="21"/>
      <c r="LNF20" s="15"/>
      <c r="LNL20" s="25"/>
      <c r="LNS20" s="21"/>
      <c r="LNT20" s="21"/>
      <c r="LNX20" s="15"/>
      <c r="LOD20" s="25"/>
      <c r="LOK20" s="21"/>
      <c r="LOL20" s="21"/>
      <c r="LOP20" s="15"/>
      <c r="LOV20" s="25"/>
      <c r="LPC20" s="21"/>
      <c r="LPD20" s="21"/>
      <c r="LPH20" s="15"/>
      <c r="LPN20" s="25"/>
      <c r="LPU20" s="21"/>
      <c r="LPV20" s="21"/>
      <c r="LPZ20" s="15"/>
      <c r="LQF20" s="25"/>
      <c r="LQM20" s="21"/>
      <c r="LQN20" s="21"/>
      <c r="LQR20" s="15"/>
      <c r="LQX20" s="25"/>
      <c r="LRE20" s="21"/>
      <c r="LRF20" s="21"/>
      <c r="LRJ20" s="15"/>
      <c r="LRP20" s="25"/>
      <c r="LRW20" s="21"/>
      <c r="LRX20" s="21"/>
      <c r="LSB20" s="15"/>
      <c r="LSH20" s="25"/>
      <c r="LSO20" s="21"/>
      <c r="LSP20" s="21"/>
      <c r="LST20" s="15"/>
      <c r="LSZ20" s="25"/>
      <c r="LTG20" s="21"/>
      <c r="LTH20" s="21"/>
      <c r="LTL20" s="15"/>
      <c r="LTR20" s="25"/>
      <c r="LTY20" s="21"/>
      <c r="LTZ20" s="21"/>
      <c r="LUD20" s="15"/>
      <c r="LUJ20" s="25"/>
      <c r="LUQ20" s="21"/>
      <c r="LUR20" s="21"/>
      <c r="LUV20" s="15"/>
      <c r="LVB20" s="25"/>
      <c r="LVI20" s="21"/>
      <c r="LVJ20" s="21"/>
      <c r="LVN20" s="15"/>
      <c r="LVT20" s="25"/>
      <c r="LWA20" s="21"/>
      <c r="LWB20" s="21"/>
      <c r="LWF20" s="15"/>
      <c r="LWL20" s="25"/>
      <c r="LWS20" s="21"/>
      <c r="LWT20" s="21"/>
      <c r="LWX20" s="15"/>
      <c r="LXD20" s="25"/>
      <c r="LXK20" s="21"/>
      <c r="LXL20" s="21"/>
      <c r="LXP20" s="15"/>
      <c r="LXV20" s="25"/>
      <c r="LYC20" s="21"/>
      <c r="LYD20" s="21"/>
      <c r="LYH20" s="15"/>
      <c r="LYN20" s="25"/>
      <c r="LYU20" s="21"/>
      <c r="LYV20" s="21"/>
      <c r="LYZ20" s="15"/>
      <c r="LZF20" s="25"/>
      <c r="LZM20" s="21"/>
      <c r="LZN20" s="21"/>
      <c r="LZR20" s="15"/>
      <c r="LZX20" s="25"/>
      <c r="MAE20" s="21"/>
      <c r="MAF20" s="21"/>
      <c r="MAJ20" s="15"/>
      <c r="MAP20" s="25"/>
      <c r="MAW20" s="21"/>
      <c r="MAX20" s="21"/>
      <c r="MBB20" s="15"/>
      <c r="MBH20" s="25"/>
      <c r="MBO20" s="21"/>
      <c r="MBP20" s="21"/>
      <c r="MBT20" s="15"/>
      <c r="MBZ20" s="25"/>
      <c r="MCG20" s="21"/>
      <c r="MCH20" s="21"/>
      <c r="MCL20" s="15"/>
      <c r="MCR20" s="25"/>
      <c r="MCY20" s="21"/>
      <c r="MCZ20" s="21"/>
      <c r="MDD20" s="15"/>
      <c r="MDJ20" s="25"/>
      <c r="MDQ20" s="21"/>
      <c r="MDR20" s="21"/>
      <c r="MDV20" s="15"/>
      <c r="MEB20" s="25"/>
      <c r="MEI20" s="21"/>
      <c r="MEJ20" s="21"/>
      <c r="MEN20" s="15"/>
      <c r="MET20" s="25"/>
      <c r="MFA20" s="21"/>
      <c r="MFB20" s="21"/>
      <c r="MFF20" s="15"/>
      <c r="MFL20" s="25"/>
      <c r="MFS20" s="21"/>
      <c r="MFT20" s="21"/>
      <c r="MFX20" s="15"/>
      <c r="MGD20" s="25"/>
      <c r="MGK20" s="21"/>
      <c r="MGL20" s="21"/>
      <c r="MGP20" s="15"/>
      <c r="MGV20" s="25"/>
      <c r="MHC20" s="21"/>
      <c r="MHD20" s="21"/>
      <c r="MHH20" s="15"/>
      <c r="MHN20" s="25"/>
      <c r="MHU20" s="21"/>
      <c r="MHV20" s="21"/>
      <c r="MHZ20" s="15"/>
      <c r="MIF20" s="25"/>
      <c r="MIM20" s="21"/>
      <c r="MIN20" s="21"/>
      <c r="MIR20" s="15"/>
      <c r="MIX20" s="25"/>
      <c r="MJE20" s="21"/>
      <c r="MJF20" s="21"/>
      <c r="MJJ20" s="15"/>
      <c r="MJP20" s="25"/>
      <c r="MJW20" s="21"/>
      <c r="MJX20" s="21"/>
      <c r="MKB20" s="15"/>
      <c r="MKH20" s="25"/>
      <c r="MKO20" s="21"/>
      <c r="MKP20" s="21"/>
      <c r="MKT20" s="15"/>
      <c r="MKZ20" s="25"/>
      <c r="MLG20" s="21"/>
      <c r="MLH20" s="21"/>
      <c r="MLL20" s="15"/>
      <c r="MLR20" s="25"/>
      <c r="MLY20" s="21"/>
      <c r="MLZ20" s="21"/>
      <c r="MMD20" s="15"/>
      <c r="MMJ20" s="25"/>
      <c r="MMQ20" s="21"/>
      <c r="MMR20" s="21"/>
      <c r="MMV20" s="15"/>
      <c r="MNB20" s="25"/>
      <c r="MNI20" s="21"/>
      <c r="MNJ20" s="21"/>
      <c r="MNN20" s="15"/>
      <c r="MNT20" s="25"/>
      <c r="MOA20" s="21"/>
      <c r="MOB20" s="21"/>
      <c r="MOF20" s="15"/>
      <c r="MOL20" s="25"/>
      <c r="MOS20" s="21"/>
      <c r="MOT20" s="21"/>
      <c r="MOX20" s="15"/>
      <c r="MPD20" s="25"/>
      <c r="MPK20" s="21"/>
      <c r="MPL20" s="21"/>
      <c r="MPP20" s="15"/>
      <c r="MPV20" s="25"/>
      <c r="MQC20" s="21"/>
      <c r="MQD20" s="21"/>
      <c r="MQH20" s="15"/>
      <c r="MQN20" s="25"/>
      <c r="MQU20" s="21"/>
      <c r="MQV20" s="21"/>
      <c r="MQZ20" s="15"/>
      <c r="MRF20" s="25"/>
      <c r="MRM20" s="21"/>
      <c r="MRN20" s="21"/>
      <c r="MRR20" s="15"/>
      <c r="MRX20" s="25"/>
      <c r="MSE20" s="21"/>
      <c r="MSF20" s="21"/>
      <c r="MSJ20" s="15"/>
      <c r="MSP20" s="25"/>
      <c r="MSW20" s="21"/>
      <c r="MSX20" s="21"/>
      <c r="MTB20" s="15"/>
      <c r="MTH20" s="25"/>
      <c r="MTO20" s="21"/>
      <c r="MTP20" s="21"/>
      <c r="MTT20" s="15"/>
      <c r="MTZ20" s="25"/>
      <c r="MUG20" s="21"/>
      <c r="MUH20" s="21"/>
      <c r="MUL20" s="15"/>
      <c r="MUR20" s="25"/>
      <c r="MUY20" s="21"/>
      <c r="MUZ20" s="21"/>
      <c r="MVD20" s="15"/>
      <c r="MVJ20" s="25"/>
      <c r="MVQ20" s="21"/>
      <c r="MVR20" s="21"/>
      <c r="MVV20" s="15"/>
      <c r="MWB20" s="25"/>
      <c r="MWI20" s="21"/>
      <c r="MWJ20" s="21"/>
      <c r="MWN20" s="15"/>
      <c r="MWT20" s="25"/>
      <c r="MXA20" s="21"/>
      <c r="MXB20" s="21"/>
      <c r="MXF20" s="15"/>
      <c r="MXL20" s="25"/>
      <c r="MXS20" s="21"/>
      <c r="MXT20" s="21"/>
      <c r="MXX20" s="15"/>
      <c r="MYD20" s="25"/>
      <c r="MYK20" s="21"/>
      <c r="MYL20" s="21"/>
      <c r="MYP20" s="15"/>
      <c r="MYV20" s="25"/>
      <c r="MZC20" s="21"/>
      <c r="MZD20" s="21"/>
      <c r="MZH20" s="15"/>
      <c r="MZN20" s="25"/>
      <c r="MZU20" s="21"/>
      <c r="MZV20" s="21"/>
      <c r="MZZ20" s="15"/>
      <c r="NAF20" s="25"/>
      <c r="NAM20" s="21"/>
      <c r="NAN20" s="21"/>
      <c r="NAR20" s="15"/>
      <c r="NAX20" s="25"/>
      <c r="NBE20" s="21"/>
      <c r="NBF20" s="21"/>
      <c r="NBJ20" s="15"/>
      <c r="NBP20" s="25"/>
      <c r="NBW20" s="21"/>
      <c r="NBX20" s="21"/>
      <c r="NCB20" s="15"/>
      <c r="NCH20" s="25"/>
      <c r="NCO20" s="21"/>
      <c r="NCP20" s="21"/>
      <c r="NCT20" s="15"/>
      <c r="NCZ20" s="25"/>
      <c r="NDG20" s="21"/>
      <c r="NDH20" s="21"/>
      <c r="NDL20" s="15"/>
      <c r="NDR20" s="25"/>
      <c r="NDY20" s="21"/>
      <c r="NDZ20" s="21"/>
      <c r="NED20" s="15"/>
      <c r="NEJ20" s="25"/>
      <c r="NEQ20" s="21"/>
      <c r="NER20" s="21"/>
      <c r="NEV20" s="15"/>
      <c r="NFB20" s="25"/>
      <c r="NFI20" s="21"/>
      <c r="NFJ20" s="21"/>
      <c r="NFN20" s="15"/>
      <c r="NFT20" s="25"/>
      <c r="NGA20" s="21"/>
      <c r="NGB20" s="21"/>
      <c r="NGF20" s="15"/>
      <c r="NGL20" s="25"/>
      <c r="NGS20" s="21"/>
      <c r="NGT20" s="21"/>
      <c r="NGX20" s="15"/>
      <c r="NHD20" s="25"/>
      <c r="NHK20" s="21"/>
      <c r="NHL20" s="21"/>
      <c r="NHP20" s="15"/>
      <c r="NHV20" s="25"/>
      <c r="NIC20" s="21"/>
      <c r="NID20" s="21"/>
      <c r="NIH20" s="15"/>
      <c r="NIN20" s="25"/>
      <c r="NIU20" s="21"/>
      <c r="NIV20" s="21"/>
      <c r="NIZ20" s="15"/>
      <c r="NJF20" s="25"/>
      <c r="NJM20" s="21"/>
      <c r="NJN20" s="21"/>
      <c r="NJR20" s="15"/>
      <c r="NJX20" s="25"/>
      <c r="NKE20" s="21"/>
      <c r="NKF20" s="21"/>
      <c r="NKJ20" s="15"/>
      <c r="NKP20" s="25"/>
      <c r="NKW20" s="21"/>
      <c r="NKX20" s="21"/>
      <c r="NLB20" s="15"/>
      <c r="NLH20" s="25"/>
      <c r="NLO20" s="21"/>
      <c r="NLP20" s="21"/>
      <c r="NLT20" s="15"/>
      <c r="NLZ20" s="25"/>
      <c r="NMG20" s="21"/>
      <c r="NMH20" s="21"/>
      <c r="NML20" s="15"/>
      <c r="NMR20" s="25"/>
      <c r="NMY20" s="21"/>
      <c r="NMZ20" s="21"/>
      <c r="NND20" s="15"/>
      <c r="NNJ20" s="25"/>
      <c r="NNQ20" s="21"/>
      <c r="NNR20" s="21"/>
      <c r="NNV20" s="15"/>
      <c r="NOB20" s="25"/>
      <c r="NOI20" s="21"/>
      <c r="NOJ20" s="21"/>
      <c r="NON20" s="15"/>
      <c r="NOT20" s="25"/>
      <c r="NPA20" s="21"/>
      <c r="NPB20" s="21"/>
      <c r="NPF20" s="15"/>
      <c r="NPL20" s="25"/>
      <c r="NPS20" s="21"/>
      <c r="NPT20" s="21"/>
      <c r="NPX20" s="15"/>
      <c r="NQD20" s="25"/>
      <c r="NQK20" s="21"/>
      <c r="NQL20" s="21"/>
      <c r="NQP20" s="15"/>
      <c r="NQV20" s="25"/>
      <c r="NRC20" s="21"/>
      <c r="NRD20" s="21"/>
      <c r="NRH20" s="15"/>
      <c r="NRN20" s="25"/>
      <c r="NRU20" s="21"/>
      <c r="NRV20" s="21"/>
      <c r="NRZ20" s="15"/>
      <c r="NSF20" s="25"/>
      <c r="NSM20" s="21"/>
      <c r="NSN20" s="21"/>
      <c r="NSR20" s="15"/>
      <c r="NSX20" s="25"/>
      <c r="NTE20" s="21"/>
      <c r="NTF20" s="21"/>
      <c r="NTJ20" s="15"/>
      <c r="NTP20" s="25"/>
      <c r="NTW20" s="21"/>
      <c r="NTX20" s="21"/>
      <c r="NUB20" s="15"/>
      <c r="NUH20" s="25"/>
      <c r="NUO20" s="21"/>
      <c r="NUP20" s="21"/>
      <c r="NUT20" s="15"/>
      <c r="NUZ20" s="25"/>
      <c r="NVG20" s="21"/>
      <c r="NVH20" s="21"/>
      <c r="NVL20" s="15"/>
      <c r="NVR20" s="25"/>
      <c r="NVY20" s="21"/>
      <c r="NVZ20" s="21"/>
      <c r="NWD20" s="15"/>
      <c r="NWJ20" s="25"/>
      <c r="NWQ20" s="21"/>
      <c r="NWR20" s="21"/>
      <c r="NWV20" s="15"/>
      <c r="NXB20" s="25"/>
      <c r="NXI20" s="21"/>
      <c r="NXJ20" s="21"/>
      <c r="NXN20" s="15"/>
      <c r="NXT20" s="25"/>
      <c r="NYA20" s="21"/>
      <c r="NYB20" s="21"/>
      <c r="NYF20" s="15"/>
      <c r="NYL20" s="25"/>
      <c r="NYS20" s="21"/>
      <c r="NYT20" s="21"/>
      <c r="NYX20" s="15"/>
      <c r="NZD20" s="25"/>
      <c r="NZK20" s="21"/>
      <c r="NZL20" s="21"/>
      <c r="NZP20" s="15"/>
      <c r="NZV20" s="25"/>
      <c r="OAC20" s="21"/>
      <c r="OAD20" s="21"/>
      <c r="OAH20" s="15"/>
      <c r="OAN20" s="25"/>
      <c r="OAU20" s="21"/>
      <c r="OAV20" s="21"/>
      <c r="OAZ20" s="15"/>
      <c r="OBF20" s="25"/>
      <c r="OBM20" s="21"/>
      <c r="OBN20" s="21"/>
      <c r="OBR20" s="15"/>
      <c r="OBX20" s="25"/>
      <c r="OCE20" s="21"/>
      <c r="OCF20" s="21"/>
      <c r="OCJ20" s="15"/>
      <c r="OCP20" s="25"/>
      <c r="OCW20" s="21"/>
      <c r="OCX20" s="21"/>
      <c r="ODB20" s="15"/>
      <c r="ODH20" s="25"/>
      <c r="ODO20" s="21"/>
      <c r="ODP20" s="21"/>
      <c r="ODT20" s="15"/>
      <c r="ODZ20" s="25"/>
      <c r="OEG20" s="21"/>
      <c r="OEH20" s="21"/>
      <c r="OEL20" s="15"/>
      <c r="OER20" s="25"/>
      <c r="OEY20" s="21"/>
      <c r="OEZ20" s="21"/>
      <c r="OFD20" s="15"/>
      <c r="OFJ20" s="25"/>
      <c r="OFQ20" s="21"/>
      <c r="OFR20" s="21"/>
      <c r="OFV20" s="15"/>
      <c r="OGB20" s="25"/>
      <c r="OGI20" s="21"/>
      <c r="OGJ20" s="21"/>
      <c r="OGN20" s="15"/>
      <c r="OGT20" s="25"/>
      <c r="OHA20" s="21"/>
      <c r="OHB20" s="21"/>
      <c r="OHF20" s="15"/>
      <c r="OHL20" s="25"/>
      <c r="OHS20" s="21"/>
      <c r="OHT20" s="21"/>
      <c r="OHX20" s="15"/>
      <c r="OID20" s="25"/>
      <c r="OIK20" s="21"/>
      <c r="OIL20" s="21"/>
      <c r="OIP20" s="15"/>
      <c r="OIV20" s="25"/>
      <c r="OJC20" s="21"/>
      <c r="OJD20" s="21"/>
      <c r="OJH20" s="15"/>
      <c r="OJN20" s="25"/>
      <c r="OJU20" s="21"/>
      <c r="OJV20" s="21"/>
      <c r="OJZ20" s="15"/>
      <c r="OKF20" s="25"/>
      <c r="OKM20" s="21"/>
      <c r="OKN20" s="21"/>
      <c r="OKR20" s="15"/>
      <c r="OKX20" s="25"/>
      <c r="OLE20" s="21"/>
      <c r="OLF20" s="21"/>
      <c r="OLJ20" s="15"/>
      <c r="OLP20" s="25"/>
      <c r="OLW20" s="21"/>
      <c r="OLX20" s="21"/>
      <c r="OMB20" s="15"/>
      <c r="OMH20" s="25"/>
      <c r="OMO20" s="21"/>
      <c r="OMP20" s="21"/>
      <c r="OMT20" s="15"/>
      <c r="OMZ20" s="25"/>
      <c r="ONG20" s="21"/>
      <c r="ONH20" s="21"/>
      <c r="ONL20" s="15"/>
      <c r="ONR20" s="25"/>
      <c r="ONY20" s="21"/>
      <c r="ONZ20" s="21"/>
      <c r="OOD20" s="15"/>
      <c r="OOJ20" s="25"/>
      <c r="OOQ20" s="21"/>
      <c r="OOR20" s="21"/>
      <c r="OOV20" s="15"/>
      <c r="OPB20" s="25"/>
      <c r="OPI20" s="21"/>
      <c r="OPJ20" s="21"/>
      <c r="OPN20" s="15"/>
      <c r="OPT20" s="25"/>
      <c r="OQA20" s="21"/>
      <c r="OQB20" s="21"/>
      <c r="OQF20" s="15"/>
      <c r="OQL20" s="25"/>
      <c r="OQS20" s="21"/>
      <c r="OQT20" s="21"/>
      <c r="OQX20" s="15"/>
      <c r="ORD20" s="25"/>
      <c r="ORK20" s="21"/>
      <c r="ORL20" s="21"/>
      <c r="ORP20" s="15"/>
      <c r="ORV20" s="25"/>
      <c r="OSC20" s="21"/>
      <c r="OSD20" s="21"/>
      <c r="OSH20" s="15"/>
      <c r="OSN20" s="25"/>
      <c r="OSU20" s="21"/>
      <c r="OSV20" s="21"/>
      <c r="OSZ20" s="15"/>
      <c r="OTF20" s="25"/>
      <c r="OTM20" s="21"/>
      <c r="OTN20" s="21"/>
      <c r="OTR20" s="15"/>
      <c r="OTX20" s="25"/>
      <c r="OUE20" s="21"/>
      <c r="OUF20" s="21"/>
      <c r="OUJ20" s="15"/>
      <c r="OUP20" s="25"/>
      <c r="OUW20" s="21"/>
      <c r="OUX20" s="21"/>
      <c r="OVB20" s="15"/>
      <c r="OVH20" s="25"/>
      <c r="OVO20" s="21"/>
      <c r="OVP20" s="21"/>
      <c r="OVT20" s="15"/>
      <c r="OVZ20" s="25"/>
      <c r="OWG20" s="21"/>
      <c r="OWH20" s="21"/>
      <c r="OWL20" s="15"/>
      <c r="OWR20" s="25"/>
      <c r="OWY20" s="21"/>
      <c r="OWZ20" s="21"/>
      <c r="OXD20" s="15"/>
      <c r="OXJ20" s="25"/>
      <c r="OXQ20" s="21"/>
      <c r="OXR20" s="21"/>
      <c r="OXV20" s="15"/>
      <c r="OYB20" s="25"/>
      <c r="OYI20" s="21"/>
      <c r="OYJ20" s="21"/>
      <c r="OYN20" s="15"/>
      <c r="OYT20" s="25"/>
      <c r="OZA20" s="21"/>
      <c r="OZB20" s="21"/>
      <c r="OZF20" s="15"/>
      <c r="OZL20" s="25"/>
      <c r="OZS20" s="21"/>
      <c r="OZT20" s="21"/>
      <c r="OZX20" s="15"/>
      <c r="PAD20" s="25"/>
      <c r="PAK20" s="21"/>
      <c r="PAL20" s="21"/>
      <c r="PAP20" s="15"/>
      <c r="PAV20" s="25"/>
      <c r="PBC20" s="21"/>
      <c r="PBD20" s="21"/>
      <c r="PBH20" s="15"/>
      <c r="PBN20" s="25"/>
      <c r="PBU20" s="21"/>
      <c r="PBV20" s="21"/>
      <c r="PBZ20" s="15"/>
      <c r="PCF20" s="25"/>
      <c r="PCM20" s="21"/>
      <c r="PCN20" s="21"/>
      <c r="PCR20" s="15"/>
      <c r="PCX20" s="25"/>
      <c r="PDE20" s="21"/>
      <c r="PDF20" s="21"/>
      <c r="PDJ20" s="15"/>
      <c r="PDP20" s="25"/>
      <c r="PDW20" s="21"/>
      <c r="PDX20" s="21"/>
      <c r="PEB20" s="15"/>
      <c r="PEH20" s="25"/>
      <c r="PEO20" s="21"/>
      <c r="PEP20" s="21"/>
      <c r="PET20" s="15"/>
      <c r="PEZ20" s="25"/>
      <c r="PFG20" s="21"/>
      <c r="PFH20" s="21"/>
      <c r="PFL20" s="15"/>
      <c r="PFR20" s="25"/>
      <c r="PFY20" s="21"/>
      <c r="PFZ20" s="21"/>
      <c r="PGD20" s="15"/>
      <c r="PGJ20" s="25"/>
      <c r="PGQ20" s="21"/>
      <c r="PGR20" s="21"/>
      <c r="PGV20" s="15"/>
      <c r="PHB20" s="25"/>
      <c r="PHI20" s="21"/>
      <c r="PHJ20" s="21"/>
      <c r="PHN20" s="15"/>
      <c r="PHT20" s="25"/>
      <c r="PIA20" s="21"/>
      <c r="PIB20" s="21"/>
      <c r="PIF20" s="15"/>
      <c r="PIL20" s="25"/>
      <c r="PIS20" s="21"/>
      <c r="PIT20" s="21"/>
      <c r="PIX20" s="15"/>
      <c r="PJD20" s="25"/>
      <c r="PJK20" s="21"/>
      <c r="PJL20" s="21"/>
      <c r="PJP20" s="15"/>
      <c r="PJV20" s="25"/>
      <c r="PKC20" s="21"/>
      <c r="PKD20" s="21"/>
      <c r="PKH20" s="15"/>
      <c r="PKN20" s="25"/>
      <c r="PKU20" s="21"/>
      <c r="PKV20" s="21"/>
      <c r="PKZ20" s="15"/>
      <c r="PLF20" s="25"/>
      <c r="PLM20" s="21"/>
      <c r="PLN20" s="21"/>
      <c r="PLR20" s="15"/>
      <c r="PLX20" s="25"/>
      <c r="PME20" s="21"/>
      <c r="PMF20" s="21"/>
      <c r="PMJ20" s="15"/>
      <c r="PMP20" s="25"/>
      <c r="PMW20" s="21"/>
      <c r="PMX20" s="21"/>
      <c r="PNB20" s="15"/>
      <c r="PNH20" s="25"/>
      <c r="PNO20" s="21"/>
      <c r="PNP20" s="21"/>
      <c r="PNT20" s="15"/>
      <c r="PNZ20" s="25"/>
      <c r="POG20" s="21"/>
      <c r="POH20" s="21"/>
      <c r="POL20" s="15"/>
      <c r="POR20" s="25"/>
      <c r="POY20" s="21"/>
      <c r="POZ20" s="21"/>
      <c r="PPD20" s="15"/>
      <c r="PPJ20" s="25"/>
      <c r="PPQ20" s="21"/>
      <c r="PPR20" s="21"/>
      <c r="PPV20" s="15"/>
      <c r="PQB20" s="25"/>
      <c r="PQI20" s="21"/>
      <c r="PQJ20" s="21"/>
      <c r="PQN20" s="15"/>
      <c r="PQT20" s="25"/>
      <c r="PRA20" s="21"/>
      <c r="PRB20" s="21"/>
      <c r="PRF20" s="15"/>
      <c r="PRL20" s="25"/>
      <c r="PRS20" s="21"/>
      <c r="PRT20" s="21"/>
      <c r="PRX20" s="15"/>
      <c r="PSD20" s="25"/>
      <c r="PSK20" s="21"/>
      <c r="PSL20" s="21"/>
      <c r="PSP20" s="15"/>
      <c r="PSV20" s="25"/>
      <c r="PTC20" s="21"/>
      <c r="PTD20" s="21"/>
      <c r="PTH20" s="15"/>
      <c r="PTN20" s="25"/>
      <c r="PTU20" s="21"/>
      <c r="PTV20" s="21"/>
      <c r="PTZ20" s="15"/>
      <c r="PUF20" s="25"/>
      <c r="PUM20" s="21"/>
      <c r="PUN20" s="21"/>
      <c r="PUR20" s="15"/>
      <c r="PUX20" s="25"/>
      <c r="PVE20" s="21"/>
      <c r="PVF20" s="21"/>
      <c r="PVJ20" s="15"/>
      <c r="PVP20" s="25"/>
      <c r="PVW20" s="21"/>
      <c r="PVX20" s="21"/>
      <c r="PWB20" s="15"/>
      <c r="PWH20" s="25"/>
      <c r="PWO20" s="21"/>
      <c r="PWP20" s="21"/>
      <c r="PWT20" s="15"/>
      <c r="PWZ20" s="25"/>
      <c r="PXG20" s="21"/>
      <c r="PXH20" s="21"/>
      <c r="PXL20" s="15"/>
      <c r="PXR20" s="25"/>
      <c r="PXY20" s="21"/>
      <c r="PXZ20" s="21"/>
      <c r="PYD20" s="15"/>
      <c r="PYJ20" s="25"/>
      <c r="PYQ20" s="21"/>
      <c r="PYR20" s="21"/>
      <c r="PYV20" s="15"/>
      <c r="PZB20" s="25"/>
      <c r="PZI20" s="21"/>
      <c r="PZJ20" s="21"/>
      <c r="PZN20" s="15"/>
      <c r="PZT20" s="25"/>
      <c r="QAA20" s="21"/>
      <c r="QAB20" s="21"/>
      <c r="QAF20" s="15"/>
      <c r="QAL20" s="25"/>
      <c r="QAS20" s="21"/>
      <c r="QAT20" s="21"/>
      <c r="QAX20" s="15"/>
      <c r="QBD20" s="25"/>
      <c r="QBK20" s="21"/>
      <c r="QBL20" s="21"/>
      <c r="QBP20" s="15"/>
      <c r="QBV20" s="25"/>
      <c r="QCC20" s="21"/>
      <c r="QCD20" s="21"/>
      <c r="QCH20" s="15"/>
      <c r="QCN20" s="25"/>
      <c r="QCU20" s="21"/>
      <c r="QCV20" s="21"/>
      <c r="QCZ20" s="15"/>
      <c r="QDF20" s="25"/>
      <c r="QDM20" s="21"/>
      <c r="QDN20" s="21"/>
      <c r="QDR20" s="15"/>
      <c r="QDX20" s="25"/>
      <c r="QEE20" s="21"/>
      <c r="QEF20" s="21"/>
      <c r="QEJ20" s="15"/>
      <c r="QEP20" s="25"/>
      <c r="QEW20" s="21"/>
      <c r="QEX20" s="21"/>
      <c r="QFB20" s="15"/>
      <c r="QFH20" s="25"/>
      <c r="QFO20" s="21"/>
      <c r="QFP20" s="21"/>
      <c r="QFT20" s="15"/>
      <c r="QFZ20" s="25"/>
      <c r="QGG20" s="21"/>
      <c r="QGH20" s="21"/>
      <c r="QGL20" s="15"/>
      <c r="QGR20" s="25"/>
      <c r="QGY20" s="21"/>
      <c r="QGZ20" s="21"/>
      <c r="QHD20" s="15"/>
      <c r="QHJ20" s="25"/>
      <c r="QHQ20" s="21"/>
      <c r="QHR20" s="21"/>
      <c r="QHV20" s="15"/>
      <c r="QIB20" s="25"/>
      <c r="QII20" s="21"/>
      <c r="QIJ20" s="21"/>
      <c r="QIN20" s="15"/>
      <c r="QIT20" s="25"/>
      <c r="QJA20" s="21"/>
      <c r="QJB20" s="21"/>
      <c r="QJF20" s="15"/>
      <c r="QJL20" s="25"/>
      <c r="QJS20" s="21"/>
      <c r="QJT20" s="21"/>
      <c r="QJX20" s="15"/>
      <c r="QKD20" s="25"/>
      <c r="QKK20" s="21"/>
      <c r="QKL20" s="21"/>
      <c r="QKP20" s="15"/>
      <c r="QKV20" s="25"/>
      <c r="QLC20" s="21"/>
      <c r="QLD20" s="21"/>
      <c r="QLH20" s="15"/>
      <c r="QLN20" s="25"/>
      <c r="QLU20" s="21"/>
      <c r="QLV20" s="21"/>
      <c r="QLZ20" s="15"/>
      <c r="QMF20" s="25"/>
      <c r="QMM20" s="21"/>
      <c r="QMN20" s="21"/>
      <c r="QMR20" s="15"/>
      <c r="QMX20" s="25"/>
      <c r="QNE20" s="21"/>
      <c r="QNF20" s="21"/>
      <c r="QNJ20" s="15"/>
      <c r="QNP20" s="25"/>
      <c r="QNW20" s="21"/>
      <c r="QNX20" s="21"/>
      <c r="QOB20" s="15"/>
      <c r="QOH20" s="25"/>
      <c r="QOO20" s="21"/>
      <c r="QOP20" s="21"/>
      <c r="QOT20" s="15"/>
      <c r="QOZ20" s="25"/>
      <c r="QPG20" s="21"/>
      <c r="QPH20" s="21"/>
      <c r="QPL20" s="15"/>
      <c r="QPR20" s="25"/>
      <c r="QPY20" s="21"/>
      <c r="QPZ20" s="21"/>
      <c r="QQD20" s="15"/>
      <c r="QQJ20" s="25"/>
      <c r="QQQ20" s="21"/>
      <c r="QQR20" s="21"/>
      <c r="QQV20" s="15"/>
      <c r="QRB20" s="25"/>
      <c r="QRI20" s="21"/>
      <c r="QRJ20" s="21"/>
      <c r="QRN20" s="15"/>
      <c r="QRT20" s="25"/>
      <c r="QSA20" s="21"/>
      <c r="QSB20" s="21"/>
      <c r="QSF20" s="15"/>
      <c r="QSL20" s="25"/>
      <c r="QSS20" s="21"/>
      <c r="QST20" s="21"/>
      <c r="QSX20" s="15"/>
      <c r="QTD20" s="25"/>
      <c r="QTK20" s="21"/>
      <c r="QTL20" s="21"/>
      <c r="QTP20" s="15"/>
      <c r="QTV20" s="25"/>
      <c r="QUC20" s="21"/>
      <c r="QUD20" s="21"/>
      <c r="QUH20" s="15"/>
      <c r="QUN20" s="25"/>
      <c r="QUU20" s="21"/>
      <c r="QUV20" s="21"/>
      <c r="QUZ20" s="15"/>
      <c r="QVF20" s="25"/>
      <c r="QVM20" s="21"/>
      <c r="QVN20" s="21"/>
      <c r="QVR20" s="15"/>
      <c r="QVX20" s="25"/>
      <c r="QWE20" s="21"/>
      <c r="QWF20" s="21"/>
      <c r="QWJ20" s="15"/>
      <c r="QWP20" s="25"/>
      <c r="QWW20" s="21"/>
      <c r="QWX20" s="21"/>
      <c r="QXB20" s="15"/>
      <c r="QXH20" s="25"/>
      <c r="QXO20" s="21"/>
      <c r="QXP20" s="21"/>
      <c r="QXT20" s="15"/>
      <c r="QXZ20" s="25"/>
      <c r="QYG20" s="21"/>
      <c r="QYH20" s="21"/>
      <c r="QYL20" s="15"/>
      <c r="QYR20" s="25"/>
      <c r="QYY20" s="21"/>
      <c r="QYZ20" s="21"/>
      <c r="QZD20" s="15"/>
      <c r="QZJ20" s="25"/>
      <c r="QZQ20" s="21"/>
      <c r="QZR20" s="21"/>
      <c r="QZV20" s="15"/>
      <c r="RAB20" s="25"/>
      <c r="RAI20" s="21"/>
      <c r="RAJ20" s="21"/>
      <c r="RAN20" s="15"/>
      <c r="RAT20" s="25"/>
      <c r="RBA20" s="21"/>
      <c r="RBB20" s="21"/>
      <c r="RBF20" s="15"/>
      <c r="RBL20" s="25"/>
      <c r="RBS20" s="21"/>
      <c r="RBT20" s="21"/>
      <c r="RBX20" s="15"/>
      <c r="RCD20" s="25"/>
      <c r="RCK20" s="21"/>
      <c r="RCL20" s="21"/>
      <c r="RCP20" s="15"/>
      <c r="RCV20" s="25"/>
      <c r="RDC20" s="21"/>
      <c r="RDD20" s="21"/>
      <c r="RDH20" s="15"/>
      <c r="RDN20" s="25"/>
      <c r="RDU20" s="21"/>
      <c r="RDV20" s="21"/>
      <c r="RDZ20" s="15"/>
      <c r="REF20" s="25"/>
      <c r="REM20" s="21"/>
      <c r="REN20" s="21"/>
      <c r="RER20" s="15"/>
      <c r="REX20" s="25"/>
      <c r="RFE20" s="21"/>
      <c r="RFF20" s="21"/>
      <c r="RFJ20" s="15"/>
      <c r="RFP20" s="25"/>
      <c r="RFW20" s="21"/>
      <c r="RFX20" s="21"/>
      <c r="RGB20" s="15"/>
      <c r="RGH20" s="25"/>
      <c r="RGO20" s="21"/>
      <c r="RGP20" s="21"/>
      <c r="RGT20" s="15"/>
      <c r="RGZ20" s="25"/>
      <c r="RHG20" s="21"/>
      <c r="RHH20" s="21"/>
      <c r="RHL20" s="15"/>
      <c r="RHR20" s="25"/>
      <c r="RHY20" s="21"/>
      <c r="RHZ20" s="21"/>
      <c r="RID20" s="15"/>
      <c r="RIJ20" s="25"/>
      <c r="RIQ20" s="21"/>
      <c r="RIR20" s="21"/>
      <c r="RIV20" s="15"/>
      <c r="RJB20" s="25"/>
      <c r="RJI20" s="21"/>
      <c r="RJJ20" s="21"/>
      <c r="RJN20" s="15"/>
      <c r="RJT20" s="25"/>
      <c r="RKA20" s="21"/>
      <c r="RKB20" s="21"/>
      <c r="RKF20" s="15"/>
      <c r="RKL20" s="25"/>
      <c r="RKS20" s="21"/>
      <c r="RKT20" s="21"/>
      <c r="RKX20" s="15"/>
      <c r="RLD20" s="25"/>
      <c r="RLK20" s="21"/>
      <c r="RLL20" s="21"/>
      <c r="RLP20" s="15"/>
      <c r="RLV20" s="25"/>
      <c r="RMC20" s="21"/>
      <c r="RMD20" s="21"/>
      <c r="RMH20" s="15"/>
      <c r="RMN20" s="25"/>
      <c r="RMU20" s="21"/>
      <c r="RMV20" s="21"/>
      <c r="RMZ20" s="15"/>
      <c r="RNF20" s="25"/>
      <c r="RNM20" s="21"/>
      <c r="RNN20" s="21"/>
      <c r="RNR20" s="15"/>
      <c r="RNX20" s="25"/>
      <c r="ROE20" s="21"/>
      <c r="ROF20" s="21"/>
      <c r="ROJ20" s="15"/>
      <c r="ROP20" s="25"/>
      <c r="ROW20" s="21"/>
      <c r="ROX20" s="21"/>
      <c r="RPB20" s="15"/>
      <c r="RPH20" s="25"/>
      <c r="RPO20" s="21"/>
      <c r="RPP20" s="21"/>
      <c r="RPT20" s="15"/>
      <c r="RPZ20" s="25"/>
      <c r="RQG20" s="21"/>
      <c r="RQH20" s="21"/>
      <c r="RQL20" s="15"/>
      <c r="RQR20" s="25"/>
      <c r="RQY20" s="21"/>
      <c r="RQZ20" s="21"/>
      <c r="RRD20" s="15"/>
      <c r="RRJ20" s="25"/>
      <c r="RRQ20" s="21"/>
      <c r="RRR20" s="21"/>
      <c r="RRV20" s="15"/>
      <c r="RSB20" s="25"/>
      <c r="RSI20" s="21"/>
      <c r="RSJ20" s="21"/>
      <c r="RSN20" s="15"/>
      <c r="RST20" s="25"/>
      <c r="RTA20" s="21"/>
      <c r="RTB20" s="21"/>
      <c r="RTF20" s="15"/>
      <c r="RTL20" s="25"/>
      <c r="RTS20" s="21"/>
      <c r="RTT20" s="21"/>
      <c r="RTX20" s="15"/>
      <c r="RUD20" s="25"/>
      <c r="RUK20" s="21"/>
      <c r="RUL20" s="21"/>
      <c r="RUP20" s="15"/>
      <c r="RUV20" s="25"/>
      <c r="RVC20" s="21"/>
      <c r="RVD20" s="21"/>
      <c r="RVH20" s="15"/>
      <c r="RVN20" s="25"/>
      <c r="RVU20" s="21"/>
      <c r="RVV20" s="21"/>
      <c r="RVZ20" s="15"/>
      <c r="RWF20" s="25"/>
      <c r="RWM20" s="21"/>
      <c r="RWN20" s="21"/>
      <c r="RWR20" s="15"/>
      <c r="RWX20" s="25"/>
      <c r="RXE20" s="21"/>
      <c r="RXF20" s="21"/>
      <c r="RXJ20" s="15"/>
      <c r="RXP20" s="25"/>
      <c r="RXW20" s="21"/>
      <c r="RXX20" s="21"/>
      <c r="RYB20" s="15"/>
      <c r="RYH20" s="25"/>
      <c r="RYO20" s="21"/>
      <c r="RYP20" s="21"/>
      <c r="RYT20" s="15"/>
      <c r="RYZ20" s="25"/>
      <c r="RZG20" s="21"/>
      <c r="RZH20" s="21"/>
      <c r="RZL20" s="15"/>
      <c r="RZR20" s="25"/>
      <c r="RZY20" s="21"/>
      <c r="RZZ20" s="21"/>
      <c r="SAD20" s="15"/>
      <c r="SAJ20" s="25"/>
      <c r="SAQ20" s="21"/>
      <c r="SAR20" s="21"/>
      <c r="SAV20" s="15"/>
      <c r="SBB20" s="25"/>
      <c r="SBI20" s="21"/>
      <c r="SBJ20" s="21"/>
      <c r="SBN20" s="15"/>
      <c r="SBT20" s="25"/>
      <c r="SCA20" s="21"/>
      <c r="SCB20" s="21"/>
      <c r="SCF20" s="15"/>
      <c r="SCL20" s="25"/>
      <c r="SCS20" s="21"/>
      <c r="SCT20" s="21"/>
      <c r="SCX20" s="15"/>
      <c r="SDD20" s="25"/>
      <c r="SDK20" s="21"/>
      <c r="SDL20" s="21"/>
      <c r="SDP20" s="15"/>
      <c r="SDV20" s="25"/>
      <c r="SEC20" s="21"/>
      <c r="SED20" s="21"/>
      <c r="SEH20" s="15"/>
      <c r="SEN20" s="25"/>
      <c r="SEU20" s="21"/>
      <c r="SEV20" s="21"/>
      <c r="SEZ20" s="15"/>
      <c r="SFF20" s="25"/>
      <c r="SFM20" s="21"/>
      <c r="SFN20" s="21"/>
      <c r="SFR20" s="15"/>
      <c r="SFX20" s="25"/>
      <c r="SGE20" s="21"/>
      <c r="SGF20" s="21"/>
      <c r="SGJ20" s="15"/>
      <c r="SGP20" s="25"/>
      <c r="SGW20" s="21"/>
      <c r="SGX20" s="21"/>
      <c r="SHB20" s="15"/>
      <c r="SHH20" s="25"/>
      <c r="SHO20" s="21"/>
      <c r="SHP20" s="21"/>
      <c r="SHT20" s="15"/>
      <c r="SHZ20" s="25"/>
      <c r="SIG20" s="21"/>
      <c r="SIH20" s="21"/>
      <c r="SIL20" s="15"/>
      <c r="SIR20" s="25"/>
      <c r="SIY20" s="21"/>
      <c r="SIZ20" s="21"/>
      <c r="SJD20" s="15"/>
      <c r="SJJ20" s="25"/>
      <c r="SJQ20" s="21"/>
      <c r="SJR20" s="21"/>
      <c r="SJV20" s="15"/>
      <c r="SKB20" s="25"/>
      <c r="SKI20" s="21"/>
      <c r="SKJ20" s="21"/>
      <c r="SKN20" s="15"/>
      <c r="SKT20" s="25"/>
      <c r="SLA20" s="21"/>
      <c r="SLB20" s="21"/>
      <c r="SLF20" s="15"/>
      <c r="SLL20" s="25"/>
      <c r="SLS20" s="21"/>
      <c r="SLT20" s="21"/>
      <c r="SLX20" s="15"/>
      <c r="SMD20" s="25"/>
      <c r="SMK20" s="21"/>
      <c r="SML20" s="21"/>
      <c r="SMP20" s="15"/>
      <c r="SMV20" s="25"/>
      <c r="SNC20" s="21"/>
      <c r="SND20" s="21"/>
      <c r="SNH20" s="15"/>
      <c r="SNN20" s="25"/>
      <c r="SNU20" s="21"/>
      <c r="SNV20" s="21"/>
      <c r="SNZ20" s="15"/>
      <c r="SOF20" s="25"/>
      <c r="SOM20" s="21"/>
      <c r="SON20" s="21"/>
      <c r="SOR20" s="15"/>
      <c r="SOX20" s="25"/>
      <c r="SPE20" s="21"/>
      <c r="SPF20" s="21"/>
      <c r="SPJ20" s="15"/>
      <c r="SPP20" s="25"/>
      <c r="SPW20" s="21"/>
      <c r="SPX20" s="21"/>
      <c r="SQB20" s="15"/>
      <c r="SQH20" s="25"/>
      <c r="SQO20" s="21"/>
      <c r="SQP20" s="21"/>
      <c r="SQT20" s="15"/>
      <c r="SQZ20" s="25"/>
      <c r="SRG20" s="21"/>
      <c r="SRH20" s="21"/>
      <c r="SRL20" s="15"/>
      <c r="SRR20" s="25"/>
      <c r="SRY20" s="21"/>
      <c r="SRZ20" s="21"/>
      <c r="SSD20" s="15"/>
      <c r="SSJ20" s="25"/>
      <c r="SSQ20" s="21"/>
      <c r="SSR20" s="21"/>
      <c r="SSV20" s="15"/>
      <c r="STB20" s="25"/>
      <c r="STI20" s="21"/>
      <c r="STJ20" s="21"/>
      <c r="STN20" s="15"/>
      <c r="STT20" s="25"/>
      <c r="SUA20" s="21"/>
      <c r="SUB20" s="21"/>
      <c r="SUF20" s="15"/>
      <c r="SUL20" s="25"/>
      <c r="SUS20" s="21"/>
      <c r="SUT20" s="21"/>
      <c r="SUX20" s="15"/>
      <c r="SVD20" s="25"/>
      <c r="SVK20" s="21"/>
      <c r="SVL20" s="21"/>
      <c r="SVP20" s="15"/>
      <c r="SVV20" s="25"/>
      <c r="SWC20" s="21"/>
      <c r="SWD20" s="21"/>
      <c r="SWH20" s="15"/>
      <c r="SWN20" s="25"/>
      <c r="SWU20" s="21"/>
      <c r="SWV20" s="21"/>
      <c r="SWZ20" s="15"/>
      <c r="SXF20" s="25"/>
      <c r="SXM20" s="21"/>
      <c r="SXN20" s="21"/>
      <c r="SXR20" s="15"/>
      <c r="SXX20" s="25"/>
      <c r="SYE20" s="21"/>
      <c r="SYF20" s="21"/>
      <c r="SYJ20" s="15"/>
      <c r="SYP20" s="25"/>
      <c r="SYW20" s="21"/>
      <c r="SYX20" s="21"/>
      <c r="SZB20" s="15"/>
      <c r="SZH20" s="25"/>
      <c r="SZO20" s="21"/>
      <c r="SZP20" s="21"/>
      <c r="SZT20" s="15"/>
      <c r="SZZ20" s="25"/>
      <c r="TAG20" s="21"/>
      <c r="TAH20" s="21"/>
      <c r="TAL20" s="15"/>
      <c r="TAR20" s="25"/>
      <c r="TAY20" s="21"/>
      <c r="TAZ20" s="21"/>
      <c r="TBD20" s="15"/>
      <c r="TBJ20" s="25"/>
      <c r="TBQ20" s="21"/>
      <c r="TBR20" s="21"/>
      <c r="TBV20" s="15"/>
      <c r="TCB20" s="25"/>
      <c r="TCI20" s="21"/>
      <c r="TCJ20" s="21"/>
      <c r="TCN20" s="15"/>
      <c r="TCT20" s="25"/>
      <c r="TDA20" s="21"/>
      <c r="TDB20" s="21"/>
      <c r="TDF20" s="15"/>
      <c r="TDL20" s="25"/>
      <c r="TDS20" s="21"/>
      <c r="TDT20" s="21"/>
      <c r="TDX20" s="15"/>
      <c r="TED20" s="25"/>
      <c r="TEK20" s="21"/>
      <c r="TEL20" s="21"/>
      <c r="TEP20" s="15"/>
      <c r="TEV20" s="25"/>
      <c r="TFC20" s="21"/>
      <c r="TFD20" s="21"/>
      <c r="TFH20" s="15"/>
      <c r="TFN20" s="25"/>
      <c r="TFU20" s="21"/>
      <c r="TFV20" s="21"/>
      <c r="TFZ20" s="15"/>
      <c r="TGF20" s="25"/>
      <c r="TGM20" s="21"/>
      <c r="TGN20" s="21"/>
      <c r="TGR20" s="15"/>
      <c r="TGX20" s="25"/>
      <c r="THE20" s="21"/>
      <c r="THF20" s="21"/>
      <c r="THJ20" s="15"/>
      <c r="THP20" s="25"/>
      <c r="THW20" s="21"/>
      <c r="THX20" s="21"/>
      <c r="TIB20" s="15"/>
      <c r="TIH20" s="25"/>
      <c r="TIO20" s="21"/>
      <c r="TIP20" s="21"/>
      <c r="TIT20" s="15"/>
      <c r="TIZ20" s="25"/>
      <c r="TJG20" s="21"/>
      <c r="TJH20" s="21"/>
      <c r="TJL20" s="15"/>
      <c r="TJR20" s="25"/>
      <c r="TJY20" s="21"/>
      <c r="TJZ20" s="21"/>
      <c r="TKD20" s="15"/>
      <c r="TKJ20" s="25"/>
      <c r="TKQ20" s="21"/>
      <c r="TKR20" s="21"/>
      <c r="TKV20" s="15"/>
      <c r="TLB20" s="25"/>
      <c r="TLI20" s="21"/>
      <c r="TLJ20" s="21"/>
      <c r="TLN20" s="15"/>
      <c r="TLT20" s="25"/>
      <c r="TMA20" s="21"/>
      <c r="TMB20" s="21"/>
      <c r="TMF20" s="15"/>
      <c r="TML20" s="25"/>
      <c r="TMS20" s="21"/>
      <c r="TMT20" s="21"/>
      <c r="TMX20" s="15"/>
      <c r="TND20" s="25"/>
      <c r="TNK20" s="21"/>
      <c r="TNL20" s="21"/>
      <c r="TNP20" s="15"/>
      <c r="TNV20" s="25"/>
      <c r="TOC20" s="21"/>
      <c r="TOD20" s="21"/>
      <c r="TOH20" s="15"/>
      <c r="TON20" s="25"/>
      <c r="TOU20" s="21"/>
      <c r="TOV20" s="21"/>
      <c r="TOZ20" s="15"/>
      <c r="TPF20" s="25"/>
      <c r="TPM20" s="21"/>
      <c r="TPN20" s="21"/>
      <c r="TPR20" s="15"/>
      <c r="TPX20" s="25"/>
      <c r="TQE20" s="21"/>
      <c r="TQF20" s="21"/>
      <c r="TQJ20" s="15"/>
      <c r="TQP20" s="25"/>
      <c r="TQW20" s="21"/>
      <c r="TQX20" s="21"/>
      <c r="TRB20" s="15"/>
      <c r="TRH20" s="25"/>
      <c r="TRO20" s="21"/>
      <c r="TRP20" s="21"/>
      <c r="TRT20" s="15"/>
      <c r="TRZ20" s="25"/>
      <c r="TSG20" s="21"/>
      <c r="TSH20" s="21"/>
      <c r="TSL20" s="15"/>
      <c r="TSR20" s="25"/>
      <c r="TSY20" s="21"/>
      <c r="TSZ20" s="21"/>
      <c r="TTD20" s="15"/>
      <c r="TTJ20" s="25"/>
      <c r="TTQ20" s="21"/>
      <c r="TTR20" s="21"/>
      <c r="TTV20" s="15"/>
      <c r="TUB20" s="25"/>
      <c r="TUI20" s="21"/>
      <c r="TUJ20" s="21"/>
      <c r="TUN20" s="15"/>
      <c r="TUT20" s="25"/>
      <c r="TVA20" s="21"/>
      <c r="TVB20" s="21"/>
      <c r="TVF20" s="15"/>
      <c r="TVL20" s="25"/>
      <c r="TVS20" s="21"/>
      <c r="TVT20" s="21"/>
      <c r="TVX20" s="15"/>
      <c r="TWD20" s="25"/>
      <c r="TWK20" s="21"/>
      <c r="TWL20" s="21"/>
      <c r="TWP20" s="15"/>
      <c r="TWV20" s="25"/>
      <c r="TXC20" s="21"/>
      <c r="TXD20" s="21"/>
      <c r="TXH20" s="15"/>
      <c r="TXN20" s="25"/>
      <c r="TXU20" s="21"/>
      <c r="TXV20" s="21"/>
      <c r="TXZ20" s="15"/>
      <c r="TYF20" s="25"/>
      <c r="TYM20" s="21"/>
      <c r="TYN20" s="21"/>
      <c r="TYR20" s="15"/>
      <c r="TYX20" s="25"/>
      <c r="TZE20" s="21"/>
      <c r="TZF20" s="21"/>
      <c r="TZJ20" s="15"/>
      <c r="TZP20" s="25"/>
      <c r="TZW20" s="21"/>
      <c r="TZX20" s="21"/>
      <c r="UAB20" s="15"/>
      <c r="UAH20" s="25"/>
      <c r="UAO20" s="21"/>
      <c r="UAP20" s="21"/>
      <c r="UAT20" s="15"/>
      <c r="UAZ20" s="25"/>
      <c r="UBG20" s="21"/>
      <c r="UBH20" s="21"/>
      <c r="UBL20" s="15"/>
      <c r="UBR20" s="25"/>
      <c r="UBY20" s="21"/>
      <c r="UBZ20" s="21"/>
      <c r="UCD20" s="15"/>
      <c r="UCJ20" s="25"/>
      <c r="UCQ20" s="21"/>
      <c r="UCR20" s="21"/>
      <c r="UCV20" s="15"/>
      <c r="UDB20" s="25"/>
      <c r="UDI20" s="21"/>
      <c r="UDJ20" s="21"/>
      <c r="UDN20" s="15"/>
      <c r="UDT20" s="25"/>
      <c r="UEA20" s="21"/>
      <c r="UEB20" s="21"/>
      <c r="UEF20" s="15"/>
      <c r="UEL20" s="25"/>
      <c r="UES20" s="21"/>
      <c r="UET20" s="21"/>
      <c r="UEX20" s="15"/>
      <c r="UFD20" s="25"/>
      <c r="UFK20" s="21"/>
      <c r="UFL20" s="21"/>
      <c r="UFP20" s="15"/>
      <c r="UFV20" s="25"/>
      <c r="UGC20" s="21"/>
      <c r="UGD20" s="21"/>
      <c r="UGH20" s="15"/>
      <c r="UGN20" s="25"/>
      <c r="UGU20" s="21"/>
      <c r="UGV20" s="21"/>
      <c r="UGZ20" s="15"/>
      <c r="UHF20" s="25"/>
      <c r="UHM20" s="21"/>
      <c r="UHN20" s="21"/>
      <c r="UHR20" s="15"/>
      <c r="UHX20" s="25"/>
      <c r="UIE20" s="21"/>
      <c r="UIF20" s="21"/>
      <c r="UIJ20" s="15"/>
      <c r="UIP20" s="25"/>
      <c r="UIW20" s="21"/>
      <c r="UIX20" s="21"/>
      <c r="UJB20" s="15"/>
      <c r="UJH20" s="25"/>
      <c r="UJO20" s="21"/>
      <c r="UJP20" s="21"/>
      <c r="UJT20" s="15"/>
      <c r="UJZ20" s="25"/>
      <c r="UKG20" s="21"/>
      <c r="UKH20" s="21"/>
      <c r="UKL20" s="15"/>
      <c r="UKR20" s="25"/>
      <c r="UKY20" s="21"/>
      <c r="UKZ20" s="21"/>
      <c r="ULD20" s="15"/>
      <c r="ULJ20" s="25"/>
      <c r="ULQ20" s="21"/>
      <c r="ULR20" s="21"/>
      <c r="ULV20" s="15"/>
      <c r="UMB20" s="25"/>
      <c r="UMI20" s="21"/>
      <c r="UMJ20" s="21"/>
      <c r="UMN20" s="15"/>
      <c r="UMT20" s="25"/>
      <c r="UNA20" s="21"/>
      <c r="UNB20" s="21"/>
      <c r="UNF20" s="15"/>
      <c r="UNL20" s="25"/>
      <c r="UNS20" s="21"/>
      <c r="UNT20" s="21"/>
      <c r="UNX20" s="15"/>
      <c r="UOD20" s="25"/>
      <c r="UOK20" s="21"/>
      <c r="UOL20" s="21"/>
      <c r="UOP20" s="15"/>
      <c r="UOV20" s="25"/>
      <c r="UPC20" s="21"/>
      <c r="UPD20" s="21"/>
      <c r="UPH20" s="15"/>
      <c r="UPN20" s="25"/>
      <c r="UPU20" s="21"/>
      <c r="UPV20" s="21"/>
      <c r="UPZ20" s="15"/>
      <c r="UQF20" s="25"/>
      <c r="UQM20" s="21"/>
      <c r="UQN20" s="21"/>
      <c r="UQR20" s="15"/>
      <c r="UQX20" s="25"/>
      <c r="URE20" s="21"/>
      <c r="URF20" s="21"/>
      <c r="URJ20" s="15"/>
      <c r="URP20" s="25"/>
      <c r="URW20" s="21"/>
      <c r="URX20" s="21"/>
      <c r="USB20" s="15"/>
      <c r="USH20" s="25"/>
      <c r="USO20" s="21"/>
      <c r="USP20" s="21"/>
      <c r="UST20" s="15"/>
      <c r="USZ20" s="25"/>
      <c r="UTG20" s="21"/>
      <c r="UTH20" s="21"/>
      <c r="UTL20" s="15"/>
      <c r="UTR20" s="25"/>
      <c r="UTY20" s="21"/>
      <c r="UTZ20" s="21"/>
      <c r="UUD20" s="15"/>
      <c r="UUJ20" s="25"/>
      <c r="UUQ20" s="21"/>
      <c r="UUR20" s="21"/>
      <c r="UUV20" s="15"/>
      <c r="UVB20" s="25"/>
      <c r="UVI20" s="21"/>
      <c r="UVJ20" s="21"/>
      <c r="UVN20" s="15"/>
      <c r="UVT20" s="25"/>
      <c r="UWA20" s="21"/>
      <c r="UWB20" s="21"/>
      <c r="UWF20" s="15"/>
      <c r="UWL20" s="25"/>
      <c r="UWS20" s="21"/>
      <c r="UWT20" s="21"/>
      <c r="UWX20" s="15"/>
      <c r="UXD20" s="25"/>
      <c r="UXK20" s="21"/>
      <c r="UXL20" s="21"/>
      <c r="UXP20" s="15"/>
      <c r="UXV20" s="25"/>
      <c r="UYC20" s="21"/>
      <c r="UYD20" s="21"/>
      <c r="UYH20" s="15"/>
      <c r="UYN20" s="25"/>
      <c r="UYU20" s="21"/>
      <c r="UYV20" s="21"/>
      <c r="UYZ20" s="15"/>
      <c r="UZF20" s="25"/>
      <c r="UZM20" s="21"/>
      <c r="UZN20" s="21"/>
      <c r="UZR20" s="15"/>
      <c r="UZX20" s="25"/>
      <c r="VAE20" s="21"/>
      <c r="VAF20" s="21"/>
      <c r="VAJ20" s="15"/>
      <c r="VAP20" s="25"/>
      <c r="VAW20" s="21"/>
      <c r="VAX20" s="21"/>
      <c r="VBB20" s="15"/>
      <c r="VBH20" s="25"/>
      <c r="VBO20" s="21"/>
      <c r="VBP20" s="21"/>
      <c r="VBT20" s="15"/>
      <c r="VBZ20" s="25"/>
      <c r="VCG20" s="21"/>
      <c r="VCH20" s="21"/>
      <c r="VCL20" s="15"/>
      <c r="VCR20" s="25"/>
      <c r="VCY20" s="21"/>
      <c r="VCZ20" s="21"/>
      <c r="VDD20" s="15"/>
      <c r="VDJ20" s="25"/>
      <c r="VDQ20" s="21"/>
      <c r="VDR20" s="21"/>
      <c r="VDV20" s="15"/>
      <c r="VEB20" s="25"/>
      <c r="VEI20" s="21"/>
      <c r="VEJ20" s="21"/>
      <c r="VEN20" s="15"/>
      <c r="VET20" s="25"/>
      <c r="VFA20" s="21"/>
      <c r="VFB20" s="21"/>
      <c r="VFF20" s="15"/>
      <c r="VFL20" s="25"/>
      <c r="VFS20" s="21"/>
      <c r="VFT20" s="21"/>
      <c r="VFX20" s="15"/>
      <c r="VGD20" s="25"/>
      <c r="VGK20" s="21"/>
      <c r="VGL20" s="21"/>
      <c r="VGP20" s="15"/>
      <c r="VGV20" s="25"/>
      <c r="VHC20" s="21"/>
      <c r="VHD20" s="21"/>
      <c r="VHH20" s="15"/>
      <c r="VHN20" s="25"/>
      <c r="VHU20" s="21"/>
      <c r="VHV20" s="21"/>
      <c r="VHZ20" s="15"/>
      <c r="VIF20" s="25"/>
      <c r="VIM20" s="21"/>
      <c r="VIN20" s="21"/>
      <c r="VIR20" s="15"/>
      <c r="VIX20" s="25"/>
      <c r="VJE20" s="21"/>
      <c r="VJF20" s="21"/>
      <c r="VJJ20" s="15"/>
      <c r="VJP20" s="25"/>
      <c r="VJW20" s="21"/>
      <c r="VJX20" s="21"/>
      <c r="VKB20" s="15"/>
      <c r="VKH20" s="25"/>
      <c r="VKO20" s="21"/>
      <c r="VKP20" s="21"/>
      <c r="VKT20" s="15"/>
      <c r="VKZ20" s="25"/>
      <c r="VLG20" s="21"/>
      <c r="VLH20" s="21"/>
      <c r="VLL20" s="15"/>
      <c r="VLR20" s="25"/>
      <c r="VLY20" s="21"/>
      <c r="VLZ20" s="21"/>
      <c r="VMD20" s="15"/>
      <c r="VMJ20" s="25"/>
      <c r="VMQ20" s="21"/>
      <c r="VMR20" s="21"/>
      <c r="VMV20" s="15"/>
      <c r="VNB20" s="25"/>
      <c r="VNI20" s="21"/>
      <c r="VNJ20" s="21"/>
      <c r="VNN20" s="15"/>
      <c r="VNT20" s="25"/>
      <c r="VOA20" s="21"/>
      <c r="VOB20" s="21"/>
      <c r="VOF20" s="15"/>
      <c r="VOL20" s="25"/>
      <c r="VOS20" s="21"/>
      <c r="VOT20" s="21"/>
      <c r="VOX20" s="15"/>
      <c r="VPD20" s="25"/>
      <c r="VPK20" s="21"/>
      <c r="VPL20" s="21"/>
      <c r="VPP20" s="15"/>
      <c r="VPV20" s="25"/>
      <c r="VQC20" s="21"/>
      <c r="VQD20" s="21"/>
      <c r="VQH20" s="15"/>
      <c r="VQN20" s="25"/>
      <c r="VQU20" s="21"/>
      <c r="VQV20" s="21"/>
      <c r="VQZ20" s="15"/>
      <c r="VRF20" s="25"/>
      <c r="VRM20" s="21"/>
      <c r="VRN20" s="21"/>
      <c r="VRR20" s="15"/>
      <c r="VRX20" s="25"/>
      <c r="VSE20" s="21"/>
      <c r="VSF20" s="21"/>
      <c r="VSJ20" s="15"/>
      <c r="VSP20" s="25"/>
      <c r="VSW20" s="21"/>
      <c r="VSX20" s="21"/>
      <c r="VTB20" s="15"/>
      <c r="VTH20" s="25"/>
      <c r="VTO20" s="21"/>
      <c r="VTP20" s="21"/>
      <c r="VTT20" s="15"/>
      <c r="VTZ20" s="25"/>
      <c r="VUG20" s="21"/>
      <c r="VUH20" s="21"/>
      <c r="VUL20" s="15"/>
      <c r="VUR20" s="25"/>
      <c r="VUY20" s="21"/>
      <c r="VUZ20" s="21"/>
      <c r="VVD20" s="15"/>
      <c r="VVJ20" s="25"/>
      <c r="VVQ20" s="21"/>
      <c r="VVR20" s="21"/>
      <c r="VVV20" s="15"/>
      <c r="VWB20" s="25"/>
      <c r="VWI20" s="21"/>
      <c r="VWJ20" s="21"/>
      <c r="VWN20" s="15"/>
      <c r="VWT20" s="25"/>
      <c r="VXA20" s="21"/>
      <c r="VXB20" s="21"/>
      <c r="VXF20" s="15"/>
      <c r="VXL20" s="25"/>
      <c r="VXS20" s="21"/>
      <c r="VXT20" s="21"/>
      <c r="VXX20" s="15"/>
      <c r="VYD20" s="25"/>
      <c r="VYK20" s="21"/>
      <c r="VYL20" s="21"/>
      <c r="VYP20" s="15"/>
      <c r="VYV20" s="25"/>
      <c r="VZC20" s="21"/>
      <c r="VZD20" s="21"/>
      <c r="VZH20" s="15"/>
      <c r="VZN20" s="25"/>
      <c r="VZU20" s="21"/>
      <c r="VZV20" s="21"/>
      <c r="VZZ20" s="15"/>
      <c r="WAF20" s="25"/>
      <c r="WAM20" s="21"/>
      <c r="WAN20" s="21"/>
      <c r="WAR20" s="15"/>
      <c r="WAX20" s="25"/>
      <c r="WBE20" s="21"/>
      <c r="WBF20" s="21"/>
      <c r="WBJ20" s="15"/>
      <c r="WBP20" s="25"/>
      <c r="WBW20" s="21"/>
      <c r="WBX20" s="21"/>
      <c r="WCB20" s="15"/>
      <c r="WCH20" s="25"/>
      <c r="WCO20" s="21"/>
      <c r="WCP20" s="21"/>
      <c r="WCT20" s="15"/>
      <c r="WCZ20" s="25"/>
      <c r="WDG20" s="21"/>
      <c r="WDH20" s="21"/>
      <c r="WDL20" s="15"/>
      <c r="WDR20" s="25"/>
      <c r="WDY20" s="21"/>
      <c r="WDZ20" s="21"/>
      <c r="WED20" s="15"/>
      <c r="WEJ20" s="25"/>
      <c r="WEQ20" s="21"/>
      <c r="WER20" s="21"/>
      <c r="WEV20" s="15"/>
      <c r="WFB20" s="25"/>
      <c r="WFI20" s="21"/>
      <c r="WFJ20" s="21"/>
      <c r="WFN20" s="15"/>
      <c r="WFT20" s="25"/>
      <c r="WGA20" s="21"/>
      <c r="WGB20" s="21"/>
      <c r="WGF20" s="15"/>
      <c r="WGL20" s="25"/>
      <c r="WGS20" s="21"/>
      <c r="WGT20" s="21"/>
      <c r="WGX20" s="15"/>
      <c r="WHD20" s="25"/>
      <c r="WHK20" s="21"/>
      <c r="WHL20" s="21"/>
      <c r="WHP20" s="15"/>
      <c r="WHV20" s="25"/>
      <c r="WIC20" s="21"/>
      <c r="WID20" s="21"/>
      <c r="WIH20" s="15"/>
      <c r="WIN20" s="25"/>
      <c r="WIU20" s="21"/>
      <c r="WIV20" s="21"/>
      <c r="WIZ20" s="15"/>
      <c r="WJF20" s="25"/>
      <c r="WJM20" s="21"/>
      <c r="WJN20" s="21"/>
      <c r="WJR20" s="15"/>
      <c r="WJX20" s="25"/>
      <c r="WKE20" s="21"/>
      <c r="WKF20" s="21"/>
      <c r="WKJ20" s="15"/>
      <c r="WKP20" s="25"/>
      <c r="WKW20" s="21"/>
      <c r="WKX20" s="21"/>
      <c r="WLB20" s="15"/>
      <c r="WLH20" s="25"/>
      <c r="WLO20" s="21"/>
      <c r="WLP20" s="21"/>
      <c r="WLT20" s="15"/>
      <c r="WLZ20" s="25"/>
      <c r="WMG20" s="21"/>
      <c r="WMH20" s="21"/>
      <c r="WML20" s="15"/>
      <c r="WMR20" s="25"/>
      <c r="WMY20" s="21"/>
      <c r="WMZ20" s="21"/>
      <c r="WND20" s="15"/>
      <c r="WNJ20" s="25"/>
      <c r="WNQ20" s="21"/>
      <c r="WNR20" s="21"/>
      <c r="WNV20" s="15"/>
      <c r="WOB20" s="25"/>
      <c r="WOI20" s="21"/>
      <c r="WOJ20" s="21"/>
      <c r="WON20" s="15"/>
      <c r="WOT20" s="25"/>
      <c r="WPA20" s="21"/>
      <c r="WPB20" s="21"/>
      <c r="WPF20" s="15"/>
      <c r="WPL20" s="25"/>
      <c r="WPS20" s="21"/>
      <c r="WPT20" s="21"/>
      <c r="WPX20" s="15"/>
      <c r="WQD20" s="25"/>
      <c r="WQK20" s="21"/>
      <c r="WQL20" s="21"/>
      <c r="WQP20" s="15"/>
      <c r="WQV20" s="25"/>
      <c r="WRC20" s="21"/>
      <c r="WRD20" s="21"/>
      <c r="WRH20" s="15"/>
      <c r="WRN20" s="25"/>
      <c r="WRU20" s="21"/>
      <c r="WRV20" s="21"/>
      <c r="WRZ20" s="15"/>
      <c r="WSF20" s="25"/>
      <c r="WSM20" s="21"/>
      <c r="WSN20" s="21"/>
      <c r="WSR20" s="15"/>
      <c r="WSX20" s="25"/>
      <c r="WTE20" s="21"/>
      <c r="WTF20" s="21"/>
      <c r="WTJ20" s="15"/>
      <c r="WTP20" s="25"/>
      <c r="WTW20" s="21"/>
      <c r="WTX20" s="21"/>
      <c r="WUB20" s="15"/>
      <c r="WUH20" s="25"/>
      <c r="WUO20" s="21"/>
      <c r="WUP20" s="21"/>
      <c r="WUT20" s="15"/>
      <c r="WUZ20" s="25"/>
      <c r="WVG20" s="21"/>
      <c r="WVH20" s="21"/>
      <c r="WVL20" s="15"/>
      <c r="WVR20" s="25"/>
      <c r="WVY20" s="21"/>
      <c r="WVZ20" s="21"/>
      <c r="WWD20" s="15"/>
      <c r="WWJ20" s="25"/>
      <c r="WWQ20" s="21"/>
      <c r="WWR20" s="21"/>
      <c r="WWV20" s="15"/>
      <c r="WXB20" s="25"/>
      <c r="WXI20" s="21"/>
      <c r="WXJ20" s="21"/>
      <c r="WXN20" s="15"/>
      <c r="WXT20" s="25"/>
      <c r="WYA20" s="21"/>
      <c r="WYB20" s="21"/>
      <c r="WYF20" s="15"/>
      <c r="WYL20" s="25"/>
      <c r="WYS20" s="21"/>
      <c r="WYT20" s="21"/>
      <c r="WYX20" s="15"/>
      <c r="WZD20" s="25"/>
      <c r="WZK20" s="21"/>
      <c r="WZL20" s="21"/>
      <c r="WZP20" s="15"/>
      <c r="WZV20" s="25"/>
      <c r="XAC20" s="21"/>
      <c r="XAD20" s="21"/>
      <c r="XAH20" s="15"/>
      <c r="XAN20" s="25"/>
      <c r="XAU20" s="21"/>
      <c r="XAV20" s="21"/>
      <c r="XAZ20" s="15"/>
      <c r="XBF20" s="25"/>
      <c r="XBM20" s="21"/>
      <c r="XBN20" s="21"/>
      <c r="XBR20" s="15"/>
      <c r="XBX20" s="25"/>
      <c r="XCE20" s="21"/>
      <c r="XCF20" s="21"/>
      <c r="XCJ20" s="15"/>
      <c r="XCP20" s="25"/>
      <c r="XCW20" s="21"/>
      <c r="XCX20" s="21"/>
      <c r="XDB20" s="15"/>
      <c r="XDH20" s="25"/>
      <c r="XDO20" s="21"/>
      <c r="XDP20" s="21"/>
      <c r="XDT20" s="15"/>
      <c r="XDZ20" s="25"/>
      <c r="XEG20" s="21"/>
      <c r="XEH20" s="21"/>
      <c r="XEL20" s="15"/>
      <c r="XER20" s="25"/>
      <c r="XEY20" s="21"/>
      <c r="XEZ20" s="21"/>
      <c r="XFD20" s="15"/>
    </row>
    <row r="21" spans="1:1018 1025:2044 2051:3070 3077:4096 4103:5116 5122:6142 6148:7168 7174:8190 8194:9216 9220:10234 10241:11260 11267:12286 12293:13312 13319:14332 14338:15358 15364:16384" s="40" customFormat="1">
      <c r="A21" s="33" t="s">
        <v>84</v>
      </c>
      <c r="B21" s="34">
        <v>2008</v>
      </c>
      <c r="C21" s="35" t="s">
        <v>85</v>
      </c>
      <c r="D21" s="36" t="s">
        <v>86</v>
      </c>
      <c r="E21" s="37" t="s">
        <v>87</v>
      </c>
      <c r="F21" s="35" t="s">
        <v>24</v>
      </c>
      <c r="G21" s="38">
        <v>3746160.96432199</v>
      </c>
      <c r="H21" s="38">
        <v>3466272.59891403</v>
      </c>
      <c r="I21" s="34">
        <v>1</v>
      </c>
      <c r="J21" s="39" t="s">
        <v>88</v>
      </c>
      <c r="K21" s="36" t="s">
        <v>26</v>
      </c>
      <c r="L21" s="36"/>
      <c r="M21" s="36" t="s">
        <v>26</v>
      </c>
      <c r="N21" s="34"/>
      <c r="O21" s="36"/>
      <c r="P21" s="34"/>
      <c r="Q21" s="36"/>
      <c r="R21" s="36"/>
      <c r="V21" s="41"/>
      <c r="AB21" s="42"/>
      <c r="AI21" s="33"/>
      <c r="AJ21" s="33"/>
      <c r="AN21" s="41"/>
      <c r="AT21" s="42"/>
      <c r="BA21" s="33"/>
      <c r="BB21" s="33"/>
      <c r="BF21" s="41"/>
      <c r="BL21" s="42"/>
      <c r="BS21" s="33"/>
      <c r="BT21" s="33"/>
      <c r="BX21" s="41"/>
      <c r="CD21" s="42"/>
      <c r="CK21" s="33"/>
      <c r="CL21" s="33"/>
      <c r="CP21" s="41"/>
      <c r="CV21" s="42"/>
      <c r="DC21" s="33"/>
      <c r="DD21" s="33"/>
      <c r="DH21" s="41"/>
      <c r="DN21" s="42"/>
      <c r="DU21" s="33"/>
      <c r="DV21" s="33"/>
      <c r="DZ21" s="41"/>
      <c r="EF21" s="42"/>
      <c r="EM21" s="33"/>
      <c r="EN21" s="33"/>
      <c r="ER21" s="41"/>
      <c r="EX21" s="42"/>
      <c r="FE21" s="33"/>
      <c r="FF21" s="33"/>
      <c r="FJ21" s="41"/>
      <c r="FP21" s="42"/>
      <c r="FW21" s="33"/>
      <c r="FX21" s="33"/>
      <c r="GB21" s="41"/>
      <c r="GH21" s="42"/>
      <c r="GO21" s="33"/>
      <c r="GP21" s="33"/>
      <c r="GT21" s="41"/>
      <c r="GZ21" s="42"/>
      <c r="HG21" s="33"/>
      <c r="HH21" s="33"/>
      <c r="HL21" s="41"/>
      <c r="HR21" s="42"/>
      <c r="HY21" s="33"/>
      <c r="HZ21" s="33"/>
      <c r="ID21" s="41"/>
      <c r="IJ21" s="42"/>
      <c r="IQ21" s="33"/>
      <c r="IR21" s="33"/>
      <c r="IV21" s="41"/>
      <c r="JB21" s="42"/>
      <c r="JI21" s="33"/>
      <c r="JJ21" s="33"/>
      <c r="JN21" s="41"/>
      <c r="JT21" s="42"/>
      <c r="KA21" s="33"/>
      <c r="KB21" s="33"/>
      <c r="KF21" s="41"/>
      <c r="KL21" s="42"/>
      <c r="KS21" s="33"/>
      <c r="KT21" s="33"/>
      <c r="KX21" s="41"/>
      <c r="LD21" s="42"/>
      <c r="LK21" s="33"/>
      <c r="LL21" s="33"/>
      <c r="LP21" s="41"/>
      <c r="LV21" s="42"/>
      <c r="MC21" s="33"/>
      <c r="MD21" s="33"/>
      <c r="MH21" s="41"/>
      <c r="MN21" s="42"/>
      <c r="MU21" s="33"/>
      <c r="MV21" s="33"/>
      <c r="MZ21" s="41"/>
      <c r="NF21" s="42"/>
      <c r="NM21" s="33"/>
      <c r="NN21" s="33"/>
      <c r="NR21" s="41"/>
      <c r="NX21" s="42"/>
      <c r="OE21" s="33"/>
      <c r="OF21" s="33"/>
      <c r="OJ21" s="41"/>
      <c r="OP21" s="42"/>
      <c r="OW21" s="33"/>
      <c r="OX21" s="33"/>
      <c r="PB21" s="41"/>
      <c r="PH21" s="42"/>
      <c r="PO21" s="33"/>
      <c r="PP21" s="33"/>
      <c r="PT21" s="41"/>
      <c r="PZ21" s="42"/>
      <c r="QG21" s="33"/>
      <c r="QH21" s="33"/>
      <c r="QL21" s="41"/>
      <c r="QR21" s="42"/>
      <c r="QY21" s="33"/>
      <c r="QZ21" s="33"/>
      <c r="RD21" s="41"/>
      <c r="RJ21" s="42"/>
      <c r="RQ21" s="33"/>
      <c r="RR21" s="33"/>
      <c r="RV21" s="41"/>
      <c r="SB21" s="42"/>
      <c r="SI21" s="33"/>
      <c r="SJ21" s="33"/>
      <c r="SN21" s="41"/>
      <c r="ST21" s="42"/>
      <c r="TA21" s="33"/>
      <c r="TB21" s="33"/>
      <c r="TF21" s="41"/>
      <c r="TL21" s="42"/>
      <c r="TS21" s="33"/>
      <c r="TT21" s="33"/>
      <c r="TX21" s="41"/>
      <c r="UD21" s="42"/>
      <c r="UK21" s="33"/>
      <c r="UL21" s="33"/>
      <c r="UP21" s="41"/>
      <c r="UV21" s="42"/>
      <c r="VC21" s="33"/>
      <c r="VD21" s="33"/>
      <c r="VH21" s="41"/>
      <c r="VN21" s="42"/>
      <c r="VU21" s="33"/>
      <c r="VV21" s="33"/>
      <c r="VZ21" s="41"/>
      <c r="WF21" s="42"/>
      <c r="WM21" s="33"/>
      <c r="WN21" s="33"/>
      <c r="WR21" s="41"/>
      <c r="WX21" s="42"/>
      <c r="XE21" s="33"/>
      <c r="XF21" s="33"/>
      <c r="XJ21" s="41"/>
      <c r="XP21" s="42"/>
      <c r="XW21" s="33"/>
      <c r="XX21" s="33"/>
      <c r="YB21" s="41"/>
      <c r="YH21" s="42"/>
      <c r="YO21" s="33"/>
      <c r="YP21" s="33"/>
      <c r="YT21" s="41"/>
      <c r="YZ21" s="42"/>
      <c r="ZG21" s="33"/>
      <c r="ZH21" s="33"/>
      <c r="ZL21" s="41"/>
      <c r="ZR21" s="42"/>
      <c r="ZY21" s="33"/>
      <c r="ZZ21" s="33"/>
      <c r="AAD21" s="41"/>
      <c r="AAJ21" s="42"/>
      <c r="AAQ21" s="33"/>
      <c r="AAR21" s="33"/>
      <c r="AAV21" s="41"/>
      <c r="ABB21" s="42"/>
      <c r="ABI21" s="33"/>
      <c r="ABJ21" s="33"/>
      <c r="ABN21" s="41"/>
      <c r="ABT21" s="42"/>
      <c r="ACA21" s="33"/>
      <c r="ACB21" s="33"/>
      <c r="ACF21" s="41"/>
      <c r="ACL21" s="42"/>
      <c r="ACS21" s="33"/>
      <c r="ACT21" s="33"/>
      <c r="ACX21" s="41"/>
      <c r="ADD21" s="42"/>
      <c r="ADK21" s="33"/>
      <c r="ADL21" s="33"/>
      <c r="ADP21" s="41"/>
      <c r="ADV21" s="42"/>
      <c r="AEC21" s="33"/>
      <c r="AED21" s="33"/>
      <c r="AEH21" s="41"/>
      <c r="AEN21" s="42"/>
      <c r="AEU21" s="33"/>
      <c r="AEV21" s="33"/>
      <c r="AEZ21" s="41"/>
      <c r="AFF21" s="42"/>
      <c r="AFM21" s="33"/>
      <c r="AFN21" s="33"/>
      <c r="AFR21" s="41"/>
      <c r="AFX21" s="42"/>
      <c r="AGE21" s="33"/>
      <c r="AGF21" s="33"/>
      <c r="AGJ21" s="41"/>
      <c r="AGP21" s="42"/>
      <c r="AGW21" s="33"/>
      <c r="AGX21" s="33"/>
      <c r="AHB21" s="41"/>
      <c r="AHH21" s="42"/>
      <c r="AHO21" s="33"/>
      <c r="AHP21" s="33"/>
      <c r="AHT21" s="41"/>
      <c r="AHZ21" s="42"/>
      <c r="AIG21" s="33"/>
      <c r="AIH21" s="33"/>
      <c r="AIL21" s="41"/>
      <c r="AIR21" s="42"/>
      <c r="AIY21" s="33"/>
      <c r="AIZ21" s="33"/>
      <c r="AJD21" s="41"/>
      <c r="AJJ21" s="42"/>
      <c r="AJQ21" s="33"/>
      <c r="AJR21" s="33"/>
      <c r="AJV21" s="41"/>
      <c r="AKB21" s="42"/>
      <c r="AKI21" s="33"/>
      <c r="AKJ21" s="33"/>
      <c r="AKN21" s="41"/>
      <c r="AKT21" s="42"/>
      <c r="ALA21" s="33"/>
      <c r="ALB21" s="33"/>
      <c r="ALF21" s="41"/>
      <c r="ALL21" s="42"/>
      <c r="ALS21" s="33"/>
      <c r="ALT21" s="33"/>
      <c r="ALX21" s="41"/>
      <c r="AMD21" s="42"/>
      <c r="AMK21" s="33"/>
      <c r="AML21" s="33"/>
      <c r="AMP21" s="41"/>
      <c r="AMV21" s="42"/>
      <c r="ANC21" s="33"/>
      <c r="AND21" s="33"/>
      <c r="ANH21" s="41"/>
      <c r="ANN21" s="42"/>
      <c r="ANU21" s="33"/>
      <c r="ANV21" s="33"/>
      <c r="ANZ21" s="41"/>
      <c r="AOF21" s="42"/>
      <c r="AOM21" s="33"/>
      <c r="AON21" s="33"/>
      <c r="AOR21" s="41"/>
      <c r="AOX21" s="42"/>
      <c r="APE21" s="33"/>
      <c r="APF21" s="33"/>
      <c r="APJ21" s="41"/>
      <c r="APP21" s="42"/>
      <c r="APW21" s="33"/>
      <c r="APX21" s="33"/>
      <c r="AQB21" s="41"/>
      <c r="AQH21" s="42"/>
      <c r="AQO21" s="33"/>
      <c r="AQP21" s="33"/>
      <c r="AQT21" s="41"/>
      <c r="AQZ21" s="42"/>
      <c r="ARG21" s="33"/>
      <c r="ARH21" s="33"/>
      <c r="ARL21" s="41"/>
      <c r="ARR21" s="42"/>
      <c r="ARY21" s="33"/>
      <c r="ARZ21" s="33"/>
      <c r="ASD21" s="41"/>
      <c r="ASJ21" s="42"/>
      <c r="ASQ21" s="33"/>
      <c r="ASR21" s="33"/>
      <c r="ASV21" s="41"/>
      <c r="ATB21" s="42"/>
      <c r="ATI21" s="33"/>
      <c r="ATJ21" s="33"/>
      <c r="ATN21" s="41"/>
      <c r="ATT21" s="42"/>
      <c r="AUA21" s="33"/>
      <c r="AUB21" s="33"/>
      <c r="AUF21" s="41"/>
      <c r="AUL21" s="42"/>
      <c r="AUS21" s="33"/>
      <c r="AUT21" s="33"/>
      <c r="AUX21" s="41"/>
      <c r="AVD21" s="42"/>
      <c r="AVK21" s="33"/>
      <c r="AVL21" s="33"/>
      <c r="AVP21" s="41"/>
      <c r="AVV21" s="42"/>
      <c r="AWC21" s="33"/>
      <c r="AWD21" s="33"/>
      <c r="AWH21" s="41"/>
      <c r="AWN21" s="42"/>
      <c r="AWU21" s="33"/>
      <c r="AWV21" s="33"/>
      <c r="AWZ21" s="41"/>
      <c r="AXF21" s="42"/>
      <c r="AXM21" s="33"/>
      <c r="AXN21" s="33"/>
      <c r="AXR21" s="41"/>
      <c r="AXX21" s="42"/>
      <c r="AYE21" s="33"/>
      <c r="AYF21" s="33"/>
      <c r="AYJ21" s="41"/>
      <c r="AYP21" s="42"/>
      <c r="AYW21" s="33"/>
      <c r="AYX21" s="33"/>
      <c r="AZB21" s="41"/>
      <c r="AZH21" s="42"/>
      <c r="AZO21" s="33"/>
      <c r="AZP21" s="33"/>
      <c r="AZT21" s="41"/>
      <c r="AZZ21" s="42"/>
      <c r="BAG21" s="33"/>
      <c r="BAH21" s="33"/>
      <c r="BAL21" s="41"/>
      <c r="BAR21" s="42"/>
      <c r="BAY21" s="33"/>
      <c r="BAZ21" s="33"/>
      <c r="BBD21" s="41"/>
      <c r="BBJ21" s="42"/>
      <c r="BBQ21" s="33"/>
      <c r="BBR21" s="33"/>
      <c r="BBV21" s="41"/>
      <c r="BCB21" s="42"/>
      <c r="BCI21" s="33"/>
      <c r="BCJ21" s="33"/>
      <c r="BCN21" s="41"/>
      <c r="BCT21" s="42"/>
      <c r="BDA21" s="33"/>
      <c r="BDB21" s="33"/>
      <c r="BDF21" s="41"/>
      <c r="BDL21" s="42"/>
      <c r="BDS21" s="33"/>
      <c r="BDT21" s="33"/>
      <c r="BDX21" s="41"/>
      <c r="BED21" s="42"/>
      <c r="BEK21" s="33"/>
      <c r="BEL21" s="33"/>
      <c r="BEP21" s="41"/>
      <c r="BEV21" s="42"/>
      <c r="BFC21" s="33"/>
      <c r="BFD21" s="33"/>
      <c r="BFH21" s="41"/>
      <c r="BFN21" s="42"/>
      <c r="BFU21" s="33"/>
      <c r="BFV21" s="33"/>
      <c r="BFZ21" s="41"/>
      <c r="BGF21" s="42"/>
      <c r="BGM21" s="33"/>
      <c r="BGN21" s="33"/>
      <c r="BGR21" s="41"/>
      <c r="BGX21" s="42"/>
      <c r="BHE21" s="33"/>
      <c r="BHF21" s="33"/>
      <c r="BHJ21" s="41"/>
      <c r="BHP21" s="42"/>
      <c r="BHW21" s="33"/>
      <c r="BHX21" s="33"/>
      <c r="BIB21" s="41"/>
      <c r="BIH21" s="42"/>
      <c r="BIO21" s="33"/>
      <c r="BIP21" s="33"/>
      <c r="BIT21" s="41"/>
      <c r="BIZ21" s="42"/>
      <c r="BJG21" s="33"/>
      <c r="BJH21" s="33"/>
      <c r="BJL21" s="41"/>
      <c r="BJR21" s="42"/>
      <c r="BJY21" s="33"/>
      <c r="BJZ21" s="33"/>
      <c r="BKD21" s="41"/>
      <c r="BKJ21" s="42"/>
      <c r="BKQ21" s="33"/>
      <c r="BKR21" s="33"/>
      <c r="BKV21" s="41"/>
      <c r="BLB21" s="42"/>
      <c r="BLI21" s="33"/>
      <c r="BLJ21" s="33"/>
      <c r="BLN21" s="41"/>
      <c r="BLT21" s="42"/>
      <c r="BMA21" s="33"/>
      <c r="BMB21" s="33"/>
      <c r="BMF21" s="41"/>
      <c r="BML21" s="42"/>
      <c r="BMS21" s="33"/>
      <c r="BMT21" s="33"/>
      <c r="BMX21" s="41"/>
      <c r="BND21" s="42"/>
      <c r="BNK21" s="33"/>
      <c r="BNL21" s="33"/>
      <c r="BNP21" s="41"/>
      <c r="BNV21" s="42"/>
      <c r="BOC21" s="33"/>
      <c r="BOD21" s="33"/>
      <c r="BOH21" s="41"/>
      <c r="BON21" s="42"/>
      <c r="BOU21" s="33"/>
      <c r="BOV21" s="33"/>
      <c r="BOZ21" s="41"/>
      <c r="BPF21" s="42"/>
      <c r="BPM21" s="33"/>
      <c r="BPN21" s="33"/>
      <c r="BPR21" s="41"/>
      <c r="BPX21" s="42"/>
      <c r="BQE21" s="33"/>
      <c r="BQF21" s="33"/>
      <c r="BQJ21" s="41"/>
      <c r="BQP21" s="42"/>
      <c r="BQW21" s="33"/>
      <c r="BQX21" s="33"/>
      <c r="BRB21" s="41"/>
      <c r="BRH21" s="42"/>
      <c r="BRO21" s="33"/>
      <c r="BRP21" s="33"/>
      <c r="BRT21" s="41"/>
      <c r="BRZ21" s="42"/>
      <c r="BSG21" s="33"/>
      <c r="BSH21" s="33"/>
      <c r="BSL21" s="41"/>
      <c r="BSR21" s="42"/>
      <c r="BSY21" s="33"/>
      <c r="BSZ21" s="33"/>
      <c r="BTD21" s="41"/>
      <c r="BTJ21" s="42"/>
      <c r="BTQ21" s="33"/>
      <c r="BTR21" s="33"/>
      <c r="BTV21" s="41"/>
      <c r="BUB21" s="42"/>
      <c r="BUI21" s="33"/>
      <c r="BUJ21" s="33"/>
      <c r="BUN21" s="41"/>
      <c r="BUT21" s="42"/>
      <c r="BVA21" s="33"/>
      <c r="BVB21" s="33"/>
      <c r="BVF21" s="41"/>
      <c r="BVL21" s="42"/>
      <c r="BVS21" s="33"/>
      <c r="BVT21" s="33"/>
      <c r="BVX21" s="41"/>
      <c r="BWD21" s="42"/>
      <c r="BWK21" s="33"/>
      <c r="BWL21" s="33"/>
      <c r="BWP21" s="41"/>
      <c r="BWV21" s="42"/>
      <c r="BXC21" s="33"/>
      <c r="BXD21" s="33"/>
      <c r="BXH21" s="41"/>
      <c r="BXN21" s="42"/>
      <c r="BXU21" s="33"/>
      <c r="BXV21" s="33"/>
      <c r="BXZ21" s="41"/>
      <c r="BYF21" s="42"/>
      <c r="BYM21" s="33"/>
      <c r="BYN21" s="33"/>
      <c r="BYR21" s="41"/>
      <c r="BYX21" s="42"/>
      <c r="BZE21" s="33"/>
      <c r="BZF21" s="33"/>
      <c r="BZJ21" s="41"/>
      <c r="BZP21" s="42"/>
      <c r="BZW21" s="33"/>
      <c r="BZX21" s="33"/>
      <c r="CAB21" s="41"/>
      <c r="CAH21" s="42"/>
      <c r="CAO21" s="33"/>
      <c r="CAP21" s="33"/>
      <c r="CAT21" s="41"/>
      <c r="CAZ21" s="42"/>
      <c r="CBG21" s="33"/>
      <c r="CBH21" s="33"/>
      <c r="CBL21" s="41"/>
      <c r="CBR21" s="42"/>
      <c r="CBY21" s="33"/>
      <c r="CBZ21" s="33"/>
      <c r="CCD21" s="41"/>
      <c r="CCJ21" s="42"/>
      <c r="CCQ21" s="33"/>
      <c r="CCR21" s="33"/>
      <c r="CCV21" s="41"/>
      <c r="CDB21" s="42"/>
      <c r="CDI21" s="33"/>
      <c r="CDJ21" s="33"/>
      <c r="CDN21" s="41"/>
      <c r="CDT21" s="42"/>
      <c r="CEA21" s="33"/>
      <c r="CEB21" s="33"/>
      <c r="CEF21" s="41"/>
      <c r="CEL21" s="42"/>
      <c r="CES21" s="33"/>
      <c r="CET21" s="33"/>
      <c r="CEX21" s="41"/>
      <c r="CFD21" s="42"/>
      <c r="CFK21" s="33"/>
      <c r="CFL21" s="33"/>
      <c r="CFP21" s="41"/>
      <c r="CFV21" s="42"/>
      <c r="CGC21" s="33"/>
      <c r="CGD21" s="33"/>
      <c r="CGH21" s="41"/>
      <c r="CGN21" s="42"/>
      <c r="CGU21" s="33"/>
      <c r="CGV21" s="33"/>
      <c r="CGZ21" s="41"/>
      <c r="CHF21" s="42"/>
      <c r="CHM21" s="33"/>
      <c r="CHN21" s="33"/>
      <c r="CHR21" s="41"/>
      <c r="CHX21" s="42"/>
      <c r="CIE21" s="33"/>
      <c r="CIF21" s="33"/>
      <c r="CIJ21" s="41"/>
      <c r="CIP21" s="42"/>
      <c r="CIW21" s="33"/>
      <c r="CIX21" s="33"/>
      <c r="CJB21" s="41"/>
      <c r="CJH21" s="42"/>
      <c r="CJO21" s="33"/>
      <c r="CJP21" s="33"/>
      <c r="CJT21" s="41"/>
      <c r="CJZ21" s="42"/>
      <c r="CKG21" s="33"/>
      <c r="CKH21" s="33"/>
      <c r="CKL21" s="41"/>
      <c r="CKR21" s="42"/>
      <c r="CKY21" s="33"/>
      <c r="CKZ21" s="33"/>
      <c r="CLD21" s="41"/>
      <c r="CLJ21" s="42"/>
      <c r="CLQ21" s="33"/>
      <c r="CLR21" s="33"/>
      <c r="CLV21" s="41"/>
      <c r="CMB21" s="42"/>
      <c r="CMI21" s="33"/>
      <c r="CMJ21" s="33"/>
      <c r="CMN21" s="41"/>
      <c r="CMT21" s="42"/>
      <c r="CNA21" s="33"/>
      <c r="CNB21" s="33"/>
      <c r="CNF21" s="41"/>
      <c r="CNL21" s="42"/>
      <c r="CNS21" s="33"/>
      <c r="CNT21" s="33"/>
      <c r="CNX21" s="41"/>
      <c r="COD21" s="42"/>
      <c r="COK21" s="33"/>
      <c r="COL21" s="33"/>
      <c r="COP21" s="41"/>
      <c r="COV21" s="42"/>
      <c r="CPC21" s="33"/>
      <c r="CPD21" s="33"/>
      <c r="CPH21" s="41"/>
      <c r="CPN21" s="42"/>
      <c r="CPU21" s="33"/>
      <c r="CPV21" s="33"/>
      <c r="CPZ21" s="41"/>
      <c r="CQF21" s="42"/>
      <c r="CQM21" s="33"/>
      <c r="CQN21" s="33"/>
      <c r="CQR21" s="41"/>
      <c r="CQX21" s="42"/>
      <c r="CRE21" s="33"/>
      <c r="CRF21" s="33"/>
      <c r="CRJ21" s="41"/>
      <c r="CRP21" s="42"/>
      <c r="CRW21" s="33"/>
      <c r="CRX21" s="33"/>
      <c r="CSB21" s="41"/>
      <c r="CSH21" s="42"/>
      <c r="CSO21" s="33"/>
      <c r="CSP21" s="33"/>
      <c r="CST21" s="41"/>
      <c r="CSZ21" s="42"/>
      <c r="CTG21" s="33"/>
      <c r="CTH21" s="33"/>
      <c r="CTL21" s="41"/>
      <c r="CTR21" s="42"/>
      <c r="CTY21" s="33"/>
      <c r="CTZ21" s="33"/>
      <c r="CUD21" s="41"/>
      <c r="CUJ21" s="42"/>
      <c r="CUQ21" s="33"/>
      <c r="CUR21" s="33"/>
      <c r="CUV21" s="41"/>
      <c r="CVB21" s="42"/>
      <c r="CVI21" s="33"/>
      <c r="CVJ21" s="33"/>
      <c r="CVN21" s="41"/>
      <c r="CVT21" s="42"/>
      <c r="CWA21" s="33"/>
      <c r="CWB21" s="33"/>
      <c r="CWF21" s="41"/>
      <c r="CWL21" s="42"/>
      <c r="CWS21" s="33"/>
      <c r="CWT21" s="33"/>
      <c r="CWX21" s="41"/>
      <c r="CXD21" s="42"/>
      <c r="CXK21" s="33"/>
      <c r="CXL21" s="33"/>
      <c r="CXP21" s="41"/>
      <c r="CXV21" s="42"/>
      <c r="CYC21" s="33"/>
      <c r="CYD21" s="33"/>
      <c r="CYH21" s="41"/>
      <c r="CYN21" s="42"/>
      <c r="CYU21" s="33"/>
      <c r="CYV21" s="33"/>
      <c r="CYZ21" s="41"/>
      <c r="CZF21" s="42"/>
      <c r="CZM21" s="33"/>
      <c r="CZN21" s="33"/>
      <c r="CZR21" s="41"/>
      <c r="CZX21" s="42"/>
      <c r="DAE21" s="33"/>
      <c r="DAF21" s="33"/>
      <c r="DAJ21" s="41"/>
      <c r="DAP21" s="42"/>
      <c r="DAW21" s="33"/>
      <c r="DAX21" s="33"/>
      <c r="DBB21" s="41"/>
      <c r="DBH21" s="42"/>
      <c r="DBO21" s="33"/>
      <c r="DBP21" s="33"/>
      <c r="DBT21" s="41"/>
      <c r="DBZ21" s="42"/>
      <c r="DCG21" s="33"/>
      <c r="DCH21" s="33"/>
      <c r="DCL21" s="41"/>
      <c r="DCR21" s="42"/>
      <c r="DCY21" s="33"/>
      <c r="DCZ21" s="33"/>
      <c r="DDD21" s="41"/>
      <c r="DDJ21" s="42"/>
      <c r="DDQ21" s="33"/>
      <c r="DDR21" s="33"/>
      <c r="DDV21" s="41"/>
      <c r="DEB21" s="42"/>
      <c r="DEI21" s="33"/>
      <c r="DEJ21" s="33"/>
      <c r="DEN21" s="41"/>
      <c r="DET21" s="42"/>
      <c r="DFA21" s="33"/>
      <c r="DFB21" s="33"/>
      <c r="DFF21" s="41"/>
      <c r="DFL21" s="42"/>
      <c r="DFS21" s="33"/>
      <c r="DFT21" s="33"/>
      <c r="DFX21" s="41"/>
      <c r="DGD21" s="42"/>
      <c r="DGK21" s="33"/>
      <c r="DGL21" s="33"/>
      <c r="DGP21" s="41"/>
      <c r="DGV21" s="42"/>
      <c r="DHC21" s="33"/>
      <c r="DHD21" s="33"/>
      <c r="DHH21" s="41"/>
      <c r="DHN21" s="42"/>
      <c r="DHU21" s="33"/>
      <c r="DHV21" s="33"/>
      <c r="DHZ21" s="41"/>
      <c r="DIF21" s="42"/>
      <c r="DIM21" s="33"/>
      <c r="DIN21" s="33"/>
      <c r="DIR21" s="41"/>
      <c r="DIX21" s="42"/>
      <c r="DJE21" s="33"/>
      <c r="DJF21" s="33"/>
      <c r="DJJ21" s="41"/>
      <c r="DJP21" s="42"/>
      <c r="DJW21" s="33"/>
      <c r="DJX21" s="33"/>
      <c r="DKB21" s="41"/>
      <c r="DKH21" s="42"/>
      <c r="DKO21" s="33"/>
      <c r="DKP21" s="33"/>
      <c r="DKT21" s="41"/>
      <c r="DKZ21" s="42"/>
      <c r="DLG21" s="33"/>
      <c r="DLH21" s="33"/>
      <c r="DLL21" s="41"/>
      <c r="DLR21" s="42"/>
      <c r="DLY21" s="33"/>
      <c r="DLZ21" s="33"/>
      <c r="DMD21" s="41"/>
      <c r="DMJ21" s="42"/>
      <c r="DMQ21" s="33"/>
      <c r="DMR21" s="33"/>
      <c r="DMV21" s="41"/>
      <c r="DNB21" s="42"/>
      <c r="DNI21" s="33"/>
      <c r="DNJ21" s="33"/>
      <c r="DNN21" s="41"/>
      <c r="DNT21" s="42"/>
      <c r="DOA21" s="33"/>
      <c r="DOB21" s="33"/>
      <c r="DOF21" s="41"/>
      <c r="DOL21" s="42"/>
      <c r="DOS21" s="33"/>
      <c r="DOT21" s="33"/>
      <c r="DOX21" s="41"/>
      <c r="DPD21" s="42"/>
      <c r="DPK21" s="33"/>
      <c r="DPL21" s="33"/>
      <c r="DPP21" s="41"/>
      <c r="DPV21" s="42"/>
      <c r="DQC21" s="33"/>
      <c r="DQD21" s="33"/>
      <c r="DQH21" s="41"/>
      <c r="DQN21" s="42"/>
      <c r="DQU21" s="33"/>
      <c r="DQV21" s="33"/>
      <c r="DQZ21" s="41"/>
      <c r="DRF21" s="42"/>
      <c r="DRM21" s="33"/>
      <c r="DRN21" s="33"/>
      <c r="DRR21" s="41"/>
      <c r="DRX21" s="42"/>
      <c r="DSE21" s="33"/>
      <c r="DSF21" s="33"/>
      <c r="DSJ21" s="41"/>
      <c r="DSP21" s="42"/>
      <c r="DSW21" s="33"/>
      <c r="DSX21" s="33"/>
      <c r="DTB21" s="41"/>
      <c r="DTH21" s="42"/>
      <c r="DTO21" s="33"/>
      <c r="DTP21" s="33"/>
      <c r="DTT21" s="41"/>
      <c r="DTZ21" s="42"/>
      <c r="DUG21" s="33"/>
      <c r="DUH21" s="33"/>
      <c r="DUL21" s="41"/>
      <c r="DUR21" s="42"/>
      <c r="DUY21" s="33"/>
      <c r="DUZ21" s="33"/>
      <c r="DVD21" s="41"/>
      <c r="DVJ21" s="42"/>
      <c r="DVQ21" s="33"/>
      <c r="DVR21" s="33"/>
      <c r="DVV21" s="41"/>
      <c r="DWB21" s="42"/>
      <c r="DWI21" s="33"/>
      <c r="DWJ21" s="33"/>
      <c r="DWN21" s="41"/>
      <c r="DWT21" s="42"/>
      <c r="DXA21" s="33"/>
      <c r="DXB21" s="33"/>
      <c r="DXF21" s="41"/>
      <c r="DXL21" s="42"/>
      <c r="DXS21" s="33"/>
      <c r="DXT21" s="33"/>
      <c r="DXX21" s="41"/>
      <c r="DYD21" s="42"/>
      <c r="DYK21" s="33"/>
      <c r="DYL21" s="33"/>
      <c r="DYP21" s="41"/>
      <c r="DYV21" s="42"/>
      <c r="DZC21" s="33"/>
      <c r="DZD21" s="33"/>
      <c r="DZH21" s="41"/>
      <c r="DZN21" s="42"/>
      <c r="DZU21" s="33"/>
      <c r="DZV21" s="33"/>
      <c r="DZZ21" s="41"/>
      <c r="EAF21" s="42"/>
      <c r="EAM21" s="33"/>
      <c r="EAN21" s="33"/>
      <c r="EAR21" s="41"/>
      <c r="EAX21" s="42"/>
      <c r="EBE21" s="33"/>
      <c r="EBF21" s="33"/>
      <c r="EBJ21" s="41"/>
      <c r="EBP21" s="42"/>
      <c r="EBW21" s="33"/>
      <c r="EBX21" s="33"/>
      <c r="ECB21" s="41"/>
      <c r="ECH21" s="42"/>
      <c r="ECO21" s="33"/>
      <c r="ECP21" s="33"/>
      <c r="ECT21" s="41"/>
      <c r="ECZ21" s="42"/>
      <c r="EDG21" s="33"/>
      <c r="EDH21" s="33"/>
      <c r="EDL21" s="41"/>
      <c r="EDR21" s="42"/>
      <c r="EDY21" s="33"/>
      <c r="EDZ21" s="33"/>
      <c r="EED21" s="41"/>
      <c r="EEJ21" s="42"/>
      <c r="EEQ21" s="33"/>
      <c r="EER21" s="33"/>
      <c r="EEV21" s="41"/>
      <c r="EFB21" s="42"/>
      <c r="EFI21" s="33"/>
      <c r="EFJ21" s="33"/>
      <c r="EFN21" s="41"/>
      <c r="EFT21" s="42"/>
      <c r="EGA21" s="33"/>
      <c r="EGB21" s="33"/>
      <c r="EGF21" s="41"/>
      <c r="EGL21" s="42"/>
      <c r="EGS21" s="33"/>
      <c r="EGT21" s="33"/>
      <c r="EGX21" s="41"/>
      <c r="EHD21" s="42"/>
      <c r="EHK21" s="33"/>
      <c r="EHL21" s="33"/>
      <c r="EHP21" s="41"/>
      <c r="EHV21" s="42"/>
      <c r="EIC21" s="33"/>
      <c r="EID21" s="33"/>
      <c r="EIH21" s="41"/>
      <c r="EIN21" s="42"/>
      <c r="EIU21" s="33"/>
      <c r="EIV21" s="33"/>
      <c r="EIZ21" s="41"/>
      <c r="EJF21" s="42"/>
      <c r="EJM21" s="33"/>
      <c r="EJN21" s="33"/>
      <c r="EJR21" s="41"/>
      <c r="EJX21" s="42"/>
      <c r="EKE21" s="33"/>
      <c r="EKF21" s="33"/>
      <c r="EKJ21" s="41"/>
      <c r="EKP21" s="42"/>
      <c r="EKW21" s="33"/>
      <c r="EKX21" s="33"/>
      <c r="ELB21" s="41"/>
      <c r="ELH21" s="42"/>
      <c r="ELO21" s="33"/>
      <c r="ELP21" s="33"/>
      <c r="ELT21" s="41"/>
      <c r="ELZ21" s="42"/>
      <c r="EMG21" s="33"/>
      <c r="EMH21" s="33"/>
      <c r="EML21" s="41"/>
      <c r="EMR21" s="42"/>
      <c r="EMY21" s="33"/>
      <c r="EMZ21" s="33"/>
      <c r="END21" s="41"/>
      <c r="ENJ21" s="42"/>
      <c r="ENQ21" s="33"/>
      <c r="ENR21" s="33"/>
      <c r="ENV21" s="41"/>
      <c r="EOB21" s="42"/>
      <c r="EOI21" s="33"/>
      <c r="EOJ21" s="33"/>
      <c r="EON21" s="41"/>
      <c r="EOT21" s="42"/>
      <c r="EPA21" s="33"/>
      <c r="EPB21" s="33"/>
      <c r="EPF21" s="41"/>
      <c r="EPL21" s="42"/>
      <c r="EPS21" s="33"/>
      <c r="EPT21" s="33"/>
      <c r="EPX21" s="41"/>
      <c r="EQD21" s="42"/>
      <c r="EQK21" s="33"/>
      <c r="EQL21" s="33"/>
      <c r="EQP21" s="41"/>
      <c r="EQV21" s="42"/>
      <c r="ERC21" s="33"/>
      <c r="ERD21" s="33"/>
      <c r="ERH21" s="41"/>
      <c r="ERN21" s="42"/>
      <c r="ERU21" s="33"/>
      <c r="ERV21" s="33"/>
      <c r="ERZ21" s="41"/>
      <c r="ESF21" s="42"/>
      <c r="ESM21" s="33"/>
      <c r="ESN21" s="33"/>
      <c r="ESR21" s="41"/>
      <c r="ESX21" s="42"/>
      <c r="ETE21" s="33"/>
      <c r="ETF21" s="33"/>
      <c r="ETJ21" s="41"/>
      <c r="ETP21" s="42"/>
      <c r="ETW21" s="33"/>
      <c r="ETX21" s="33"/>
      <c r="EUB21" s="41"/>
      <c r="EUH21" s="42"/>
      <c r="EUO21" s="33"/>
      <c r="EUP21" s="33"/>
      <c r="EUT21" s="41"/>
      <c r="EUZ21" s="42"/>
      <c r="EVG21" s="33"/>
      <c r="EVH21" s="33"/>
      <c r="EVL21" s="41"/>
      <c r="EVR21" s="42"/>
      <c r="EVY21" s="33"/>
      <c r="EVZ21" s="33"/>
      <c r="EWD21" s="41"/>
      <c r="EWJ21" s="42"/>
      <c r="EWQ21" s="33"/>
      <c r="EWR21" s="33"/>
      <c r="EWV21" s="41"/>
      <c r="EXB21" s="42"/>
      <c r="EXI21" s="33"/>
      <c r="EXJ21" s="33"/>
      <c r="EXN21" s="41"/>
      <c r="EXT21" s="42"/>
      <c r="EYA21" s="33"/>
      <c r="EYB21" s="33"/>
      <c r="EYF21" s="41"/>
      <c r="EYL21" s="42"/>
      <c r="EYS21" s="33"/>
      <c r="EYT21" s="33"/>
      <c r="EYX21" s="41"/>
      <c r="EZD21" s="42"/>
      <c r="EZK21" s="33"/>
      <c r="EZL21" s="33"/>
      <c r="EZP21" s="41"/>
      <c r="EZV21" s="42"/>
      <c r="FAC21" s="33"/>
      <c r="FAD21" s="33"/>
      <c r="FAH21" s="41"/>
      <c r="FAN21" s="42"/>
      <c r="FAU21" s="33"/>
      <c r="FAV21" s="33"/>
      <c r="FAZ21" s="41"/>
      <c r="FBF21" s="42"/>
      <c r="FBM21" s="33"/>
      <c r="FBN21" s="33"/>
      <c r="FBR21" s="41"/>
      <c r="FBX21" s="42"/>
      <c r="FCE21" s="33"/>
      <c r="FCF21" s="33"/>
      <c r="FCJ21" s="41"/>
      <c r="FCP21" s="42"/>
      <c r="FCW21" s="33"/>
      <c r="FCX21" s="33"/>
      <c r="FDB21" s="41"/>
      <c r="FDH21" s="42"/>
      <c r="FDO21" s="33"/>
      <c r="FDP21" s="33"/>
      <c r="FDT21" s="41"/>
      <c r="FDZ21" s="42"/>
      <c r="FEG21" s="33"/>
      <c r="FEH21" s="33"/>
      <c r="FEL21" s="41"/>
      <c r="FER21" s="42"/>
      <c r="FEY21" s="33"/>
      <c r="FEZ21" s="33"/>
      <c r="FFD21" s="41"/>
      <c r="FFJ21" s="42"/>
      <c r="FFQ21" s="33"/>
      <c r="FFR21" s="33"/>
      <c r="FFV21" s="41"/>
      <c r="FGB21" s="42"/>
      <c r="FGI21" s="33"/>
      <c r="FGJ21" s="33"/>
      <c r="FGN21" s="41"/>
      <c r="FGT21" s="42"/>
      <c r="FHA21" s="33"/>
      <c r="FHB21" s="33"/>
      <c r="FHF21" s="41"/>
      <c r="FHL21" s="42"/>
      <c r="FHS21" s="33"/>
      <c r="FHT21" s="33"/>
      <c r="FHX21" s="41"/>
      <c r="FID21" s="42"/>
      <c r="FIK21" s="33"/>
      <c r="FIL21" s="33"/>
      <c r="FIP21" s="41"/>
      <c r="FIV21" s="42"/>
      <c r="FJC21" s="33"/>
      <c r="FJD21" s="33"/>
      <c r="FJH21" s="41"/>
      <c r="FJN21" s="42"/>
      <c r="FJU21" s="33"/>
      <c r="FJV21" s="33"/>
      <c r="FJZ21" s="41"/>
      <c r="FKF21" s="42"/>
      <c r="FKM21" s="33"/>
      <c r="FKN21" s="33"/>
      <c r="FKR21" s="41"/>
      <c r="FKX21" s="42"/>
      <c r="FLE21" s="33"/>
      <c r="FLF21" s="33"/>
      <c r="FLJ21" s="41"/>
      <c r="FLP21" s="42"/>
      <c r="FLW21" s="33"/>
      <c r="FLX21" s="33"/>
      <c r="FMB21" s="41"/>
      <c r="FMH21" s="42"/>
      <c r="FMO21" s="33"/>
      <c r="FMP21" s="33"/>
      <c r="FMT21" s="41"/>
      <c r="FMZ21" s="42"/>
      <c r="FNG21" s="33"/>
      <c r="FNH21" s="33"/>
      <c r="FNL21" s="41"/>
      <c r="FNR21" s="42"/>
      <c r="FNY21" s="33"/>
      <c r="FNZ21" s="33"/>
      <c r="FOD21" s="41"/>
      <c r="FOJ21" s="42"/>
      <c r="FOQ21" s="33"/>
      <c r="FOR21" s="33"/>
      <c r="FOV21" s="41"/>
      <c r="FPB21" s="42"/>
      <c r="FPI21" s="33"/>
      <c r="FPJ21" s="33"/>
      <c r="FPN21" s="41"/>
      <c r="FPT21" s="42"/>
      <c r="FQA21" s="33"/>
      <c r="FQB21" s="33"/>
      <c r="FQF21" s="41"/>
      <c r="FQL21" s="42"/>
      <c r="FQS21" s="33"/>
      <c r="FQT21" s="33"/>
      <c r="FQX21" s="41"/>
      <c r="FRD21" s="42"/>
      <c r="FRK21" s="33"/>
      <c r="FRL21" s="33"/>
      <c r="FRP21" s="41"/>
      <c r="FRV21" s="42"/>
      <c r="FSC21" s="33"/>
      <c r="FSD21" s="33"/>
      <c r="FSH21" s="41"/>
      <c r="FSN21" s="42"/>
      <c r="FSU21" s="33"/>
      <c r="FSV21" s="33"/>
      <c r="FSZ21" s="41"/>
      <c r="FTF21" s="42"/>
      <c r="FTM21" s="33"/>
      <c r="FTN21" s="33"/>
      <c r="FTR21" s="41"/>
      <c r="FTX21" s="42"/>
      <c r="FUE21" s="33"/>
      <c r="FUF21" s="33"/>
      <c r="FUJ21" s="41"/>
      <c r="FUP21" s="42"/>
      <c r="FUW21" s="33"/>
      <c r="FUX21" s="33"/>
      <c r="FVB21" s="41"/>
      <c r="FVH21" s="42"/>
      <c r="FVO21" s="33"/>
      <c r="FVP21" s="33"/>
      <c r="FVT21" s="41"/>
      <c r="FVZ21" s="42"/>
      <c r="FWG21" s="33"/>
      <c r="FWH21" s="33"/>
      <c r="FWL21" s="41"/>
      <c r="FWR21" s="42"/>
      <c r="FWY21" s="33"/>
      <c r="FWZ21" s="33"/>
      <c r="FXD21" s="41"/>
      <c r="FXJ21" s="42"/>
      <c r="FXQ21" s="33"/>
      <c r="FXR21" s="33"/>
      <c r="FXV21" s="41"/>
      <c r="FYB21" s="42"/>
      <c r="FYI21" s="33"/>
      <c r="FYJ21" s="33"/>
      <c r="FYN21" s="41"/>
      <c r="FYT21" s="42"/>
      <c r="FZA21" s="33"/>
      <c r="FZB21" s="33"/>
      <c r="FZF21" s="41"/>
      <c r="FZL21" s="42"/>
      <c r="FZS21" s="33"/>
      <c r="FZT21" s="33"/>
      <c r="FZX21" s="41"/>
      <c r="GAD21" s="42"/>
      <c r="GAK21" s="33"/>
      <c r="GAL21" s="33"/>
      <c r="GAP21" s="41"/>
      <c r="GAV21" s="42"/>
      <c r="GBC21" s="33"/>
      <c r="GBD21" s="33"/>
      <c r="GBH21" s="41"/>
      <c r="GBN21" s="42"/>
      <c r="GBU21" s="33"/>
      <c r="GBV21" s="33"/>
      <c r="GBZ21" s="41"/>
      <c r="GCF21" s="42"/>
      <c r="GCM21" s="33"/>
      <c r="GCN21" s="33"/>
      <c r="GCR21" s="41"/>
      <c r="GCX21" s="42"/>
      <c r="GDE21" s="33"/>
      <c r="GDF21" s="33"/>
      <c r="GDJ21" s="41"/>
      <c r="GDP21" s="42"/>
      <c r="GDW21" s="33"/>
      <c r="GDX21" s="33"/>
      <c r="GEB21" s="41"/>
      <c r="GEH21" s="42"/>
      <c r="GEO21" s="33"/>
      <c r="GEP21" s="33"/>
      <c r="GET21" s="41"/>
      <c r="GEZ21" s="42"/>
      <c r="GFG21" s="33"/>
      <c r="GFH21" s="33"/>
      <c r="GFL21" s="41"/>
      <c r="GFR21" s="42"/>
      <c r="GFY21" s="33"/>
      <c r="GFZ21" s="33"/>
      <c r="GGD21" s="41"/>
      <c r="GGJ21" s="42"/>
      <c r="GGQ21" s="33"/>
      <c r="GGR21" s="33"/>
      <c r="GGV21" s="41"/>
      <c r="GHB21" s="42"/>
      <c r="GHI21" s="33"/>
      <c r="GHJ21" s="33"/>
      <c r="GHN21" s="41"/>
      <c r="GHT21" s="42"/>
      <c r="GIA21" s="33"/>
      <c r="GIB21" s="33"/>
      <c r="GIF21" s="41"/>
      <c r="GIL21" s="42"/>
      <c r="GIS21" s="33"/>
      <c r="GIT21" s="33"/>
      <c r="GIX21" s="41"/>
      <c r="GJD21" s="42"/>
      <c r="GJK21" s="33"/>
      <c r="GJL21" s="33"/>
      <c r="GJP21" s="41"/>
      <c r="GJV21" s="42"/>
      <c r="GKC21" s="33"/>
      <c r="GKD21" s="33"/>
      <c r="GKH21" s="41"/>
      <c r="GKN21" s="42"/>
      <c r="GKU21" s="33"/>
      <c r="GKV21" s="33"/>
      <c r="GKZ21" s="41"/>
      <c r="GLF21" s="42"/>
      <c r="GLM21" s="33"/>
      <c r="GLN21" s="33"/>
      <c r="GLR21" s="41"/>
      <c r="GLX21" s="42"/>
      <c r="GME21" s="33"/>
      <c r="GMF21" s="33"/>
      <c r="GMJ21" s="41"/>
      <c r="GMP21" s="42"/>
      <c r="GMW21" s="33"/>
      <c r="GMX21" s="33"/>
      <c r="GNB21" s="41"/>
      <c r="GNH21" s="42"/>
      <c r="GNO21" s="33"/>
      <c r="GNP21" s="33"/>
      <c r="GNT21" s="41"/>
      <c r="GNZ21" s="42"/>
      <c r="GOG21" s="33"/>
      <c r="GOH21" s="33"/>
      <c r="GOL21" s="41"/>
      <c r="GOR21" s="42"/>
      <c r="GOY21" s="33"/>
      <c r="GOZ21" s="33"/>
      <c r="GPD21" s="41"/>
      <c r="GPJ21" s="42"/>
      <c r="GPQ21" s="33"/>
      <c r="GPR21" s="33"/>
      <c r="GPV21" s="41"/>
      <c r="GQB21" s="42"/>
      <c r="GQI21" s="33"/>
      <c r="GQJ21" s="33"/>
      <c r="GQN21" s="41"/>
      <c r="GQT21" s="42"/>
      <c r="GRA21" s="33"/>
      <c r="GRB21" s="33"/>
      <c r="GRF21" s="41"/>
      <c r="GRL21" s="42"/>
      <c r="GRS21" s="33"/>
      <c r="GRT21" s="33"/>
      <c r="GRX21" s="41"/>
      <c r="GSD21" s="42"/>
      <c r="GSK21" s="33"/>
      <c r="GSL21" s="33"/>
      <c r="GSP21" s="41"/>
      <c r="GSV21" s="42"/>
      <c r="GTC21" s="33"/>
      <c r="GTD21" s="33"/>
      <c r="GTH21" s="41"/>
      <c r="GTN21" s="42"/>
      <c r="GTU21" s="33"/>
      <c r="GTV21" s="33"/>
      <c r="GTZ21" s="41"/>
      <c r="GUF21" s="42"/>
      <c r="GUM21" s="33"/>
      <c r="GUN21" s="33"/>
      <c r="GUR21" s="41"/>
      <c r="GUX21" s="42"/>
      <c r="GVE21" s="33"/>
      <c r="GVF21" s="33"/>
      <c r="GVJ21" s="41"/>
      <c r="GVP21" s="42"/>
      <c r="GVW21" s="33"/>
      <c r="GVX21" s="33"/>
      <c r="GWB21" s="41"/>
      <c r="GWH21" s="42"/>
      <c r="GWO21" s="33"/>
      <c r="GWP21" s="33"/>
      <c r="GWT21" s="41"/>
      <c r="GWZ21" s="42"/>
      <c r="GXG21" s="33"/>
      <c r="GXH21" s="33"/>
      <c r="GXL21" s="41"/>
      <c r="GXR21" s="42"/>
      <c r="GXY21" s="33"/>
      <c r="GXZ21" s="33"/>
      <c r="GYD21" s="41"/>
      <c r="GYJ21" s="42"/>
      <c r="GYQ21" s="33"/>
      <c r="GYR21" s="33"/>
      <c r="GYV21" s="41"/>
      <c r="GZB21" s="42"/>
      <c r="GZI21" s="33"/>
      <c r="GZJ21" s="33"/>
      <c r="GZN21" s="41"/>
      <c r="GZT21" s="42"/>
      <c r="HAA21" s="33"/>
      <c r="HAB21" s="33"/>
      <c r="HAF21" s="41"/>
      <c r="HAL21" s="42"/>
      <c r="HAS21" s="33"/>
      <c r="HAT21" s="33"/>
      <c r="HAX21" s="41"/>
      <c r="HBD21" s="42"/>
      <c r="HBK21" s="33"/>
      <c r="HBL21" s="33"/>
      <c r="HBP21" s="41"/>
      <c r="HBV21" s="42"/>
      <c r="HCC21" s="33"/>
      <c r="HCD21" s="33"/>
      <c r="HCH21" s="41"/>
      <c r="HCN21" s="42"/>
      <c r="HCU21" s="33"/>
      <c r="HCV21" s="33"/>
      <c r="HCZ21" s="41"/>
      <c r="HDF21" s="42"/>
      <c r="HDM21" s="33"/>
      <c r="HDN21" s="33"/>
      <c r="HDR21" s="41"/>
      <c r="HDX21" s="42"/>
      <c r="HEE21" s="33"/>
      <c r="HEF21" s="33"/>
      <c r="HEJ21" s="41"/>
      <c r="HEP21" s="42"/>
      <c r="HEW21" s="33"/>
      <c r="HEX21" s="33"/>
      <c r="HFB21" s="41"/>
      <c r="HFH21" s="42"/>
      <c r="HFO21" s="33"/>
      <c r="HFP21" s="33"/>
      <c r="HFT21" s="41"/>
      <c r="HFZ21" s="42"/>
      <c r="HGG21" s="33"/>
      <c r="HGH21" s="33"/>
      <c r="HGL21" s="41"/>
      <c r="HGR21" s="42"/>
      <c r="HGY21" s="33"/>
      <c r="HGZ21" s="33"/>
      <c r="HHD21" s="41"/>
      <c r="HHJ21" s="42"/>
      <c r="HHQ21" s="33"/>
      <c r="HHR21" s="33"/>
      <c r="HHV21" s="41"/>
      <c r="HIB21" s="42"/>
      <c r="HII21" s="33"/>
      <c r="HIJ21" s="33"/>
      <c r="HIN21" s="41"/>
      <c r="HIT21" s="42"/>
      <c r="HJA21" s="33"/>
      <c r="HJB21" s="33"/>
      <c r="HJF21" s="41"/>
      <c r="HJL21" s="42"/>
      <c r="HJS21" s="33"/>
      <c r="HJT21" s="33"/>
      <c r="HJX21" s="41"/>
      <c r="HKD21" s="42"/>
      <c r="HKK21" s="33"/>
      <c r="HKL21" s="33"/>
      <c r="HKP21" s="41"/>
      <c r="HKV21" s="42"/>
      <c r="HLC21" s="33"/>
      <c r="HLD21" s="33"/>
      <c r="HLH21" s="41"/>
      <c r="HLN21" s="42"/>
      <c r="HLU21" s="33"/>
      <c r="HLV21" s="33"/>
      <c r="HLZ21" s="41"/>
      <c r="HMF21" s="42"/>
      <c r="HMM21" s="33"/>
      <c r="HMN21" s="33"/>
      <c r="HMR21" s="41"/>
      <c r="HMX21" s="42"/>
      <c r="HNE21" s="33"/>
      <c r="HNF21" s="33"/>
      <c r="HNJ21" s="41"/>
      <c r="HNP21" s="42"/>
      <c r="HNW21" s="33"/>
      <c r="HNX21" s="33"/>
      <c r="HOB21" s="41"/>
      <c r="HOH21" s="42"/>
      <c r="HOO21" s="33"/>
      <c r="HOP21" s="33"/>
      <c r="HOT21" s="41"/>
      <c r="HOZ21" s="42"/>
      <c r="HPG21" s="33"/>
      <c r="HPH21" s="33"/>
      <c r="HPL21" s="41"/>
      <c r="HPR21" s="42"/>
      <c r="HPY21" s="33"/>
      <c r="HPZ21" s="33"/>
      <c r="HQD21" s="41"/>
      <c r="HQJ21" s="42"/>
      <c r="HQQ21" s="33"/>
      <c r="HQR21" s="33"/>
      <c r="HQV21" s="41"/>
      <c r="HRB21" s="42"/>
      <c r="HRI21" s="33"/>
      <c r="HRJ21" s="33"/>
      <c r="HRN21" s="41"/>
      <c r="HRT21" s="42"/>
      <c r="HSA21" s="33"/>
      <c r="HSB21" s="33"/>
      <c r="HSF21" s="41"/>
      <c r="HSL21" s="42"/>
      <c r="HSS21" s="33"/>
      <c r="HST21" s="33"/>
      <c r="HSX21" s="41"/>
      <c r="HTD21" s="42"/>
      <c r="HTK21" s="33"/>
      <c r="HTL21" s="33"/>
      <c r="HTP21" s="41"/>
      <c r="HTV21" s="42"/>
      <c r="HUC21" s="33"/>
      <c r="HUD21" s="33"/>
      <c r="HUH21" s="41"/>
      <c r="HUN21" s="42"/>
      <c r="HUU21" s="33"/>
      <c r="HUV21" s="33"/>
      <c r="HUZ21" s="41"/>
      <c r="HVF21" s="42"/>
      <c r="HVM21" s="33"/>
      <c r="HVN21" s="33"/>
      <c r="HVR21" s="41"/>
      <c r="HVX21" s="42"/>
      <c r="HWE21" s="33"/>
      <c r="HWF21" s="33"/>
      <c r="HWJ21" s="41"/>
      <c r="HWP21" s="42"/>
      <c r="HWW21" s="33"/>
      <c r="HWX21" s="33"/>
      <c r="HXB21" s="41"/>
      <c r="HXH21" s="42"/>
      <c r="HXO21" s="33"/>
      <c r="HXP21" s="33"/>
      <c r="HXT21" s="41"/>
      <c r="HXZ21" s="42"/>
      <c r="HYG21" s="33"/>
      <c r="HYH21" s="33"/>
      <c r="HYL21" s="41"/>
      <c r="HYR21" s="42"/>
      <c r="HYY21" s="33"/>
      <c r="HYZ21" s="33"/>
      <c r="HZD21" s="41"/>
      <c r="HZJ21" s="42"/>
      <c r="HZQ21" s="33"/>
      <c r="HZR21" s="33"/>
      <c r="HZV21" s="41"/>
      <c r="IAB21" s="42"/>
      <c r="IAI21" s="33"/>
      <c r="IAJ21" s="33"/>
      <c r="IAN21" s="41"/>
      <c r="IAT21" s="42"/>
      <c r="IBA21" s="33"/>
      <c r="IBB21" s="33"/>
      <c r="IBF21" s="41"/>
      <c r="IBL21" s="42"/>
      <c r="IBS21" s="33"/>
      <c r="IBT21" s="33"/>
      <c r="IBX21" s="41"/>
      <c r="ICD21" s="42"/>
      <c r="ICK21" s="33"/>
      <c r="ICL21" s="33"/>
      <c r="ICP21" s="41"/>
      <c r="ICV21" s="42"/>
      <c r="IDC21" s="33"/>
      <c r="IDD21" s="33"/>
      <c r="IDH21" s="41"/>
      <c r="IDN21" s="42"/>
      <c r="IDU21" s="33"/>
      <c r="IDV21" s="33"/>
      <c r="IDZ21" s="41"/>
      <c r="IEF21" s="42"/>
      <c r="IEM21" s="33"/>
      <c r="IEN21" s="33"/>
      <c r="IER21" s="41"/>
      <c r="IEX21" s="42"/>
      <c r="IFE21" s="33"/>
      <c r="IFF21" s="33"/>
      <c r="IFJ21" s="41"/>
      <c r="IFP21" s="42"/>
      <c r="IFW21" s="33"/>
      <c r="IFX21" s="33"/>
      <c r="IGB21" s="41"/>
      <c r="IGH21" s="42"/>
      <c r="IGO21" s="33"/>
      <c r="IGP21" s="33"/>
      <c r="IGT21" s="41"/>
      <c r="IGZ21" s="42"/>
      <c r="IHG21" s="33"/>
      <c r="IHH21" s="33"/>
      <c r="IHL21" s="41"/>
      <c r="IHR21" s="42"/>
      <c r="IHY21" s="33"/>
      <c r="IHZ21" s="33"/>
      <c r="IID21" s="41"/>
      <c r="IIJ21" s="42"/>
      <c r="IIQ21" s="33"/>
      <c r="IIR21" s="33"/>
      <c r="IIV21" s="41"/>
      <c r="IJB21" s="42"/>
      <c r="IJI21" s="33"/>
      <c r="IJJ21" s="33"/>
      <c r="IJN21" s="41"/>
      <c r="IJT21" s="42"/>
      <c r="IKA21" s="33"/>
      <c r="IKB21" s="33"/>
      <c r="IKF21" s="41"/>
      <c r="IKL21" s="42"/>
      <c r="IKS21" s="33"/>
      <c r="IKT21" s="33"/>
      <c r="IKX21" s="41"/>
      <c r="ILD21" s="42"/>
      <c r="ILK21" s="33"/>
      <c r="ILL21" s="33"/>
      <c r="ILP21" s="41"/>
      <c r="ILV21" s="42"/>
      <c r="IMC21" s="33"/>
      <c r="IMD21" s="33"/>
      <c r="IMH21" s="41"/>
      <c r="IMN21" s="42"/>
      <c r="IMU21" s="33"/>
      <c r="IMV21" s="33"/>
      <c r="IMZ21" s="41"/>
      <c r="INF21" s="42"/>
      <c r="INM21" s="33"/>
      <c r="INN21" s="33"/>
      <c r="INR21" s="41"/>
      <c r="INX21" s="42"/>
      <c r="IOE21" s="33"/>
      <c r="IOF21" s="33"/>
      <c r="IOJ21" s="41"/>
      <c r="IOP21" s="42"/>
      <c r="IOW21" s="33"/>
      <c r="IOX21" s="33"/>
      <c r="IPB21" s="41"/>
      <c r="IPH21" s="42"/>
      <c r="IPO21" s="33"/>
      <c r="IPP21" s="33"/>
      <c r="IPT21" s="41"/>
      <c r="IPZ21" s="42"/>
      <c r="IQG21" s="33"/>
      <c r="IQH21" s="33"/>
      <c r="IQL21" s="41"/>
      <c r="IQR21" s="42"/>
      <c r="IQY21" s="33"/>
      <c r="IQZ21" s="33"/>
      <c r="IRD21" s="41"/>
      <c r="IRJ21" s="42"/>
      <c r="IRQ21" s="33"/>
      <c r="IRR21" s="33"/>
      <c r="IRV21" s="41"/>
      <c r="ISB21" s="42"/>
      <c r="ISI21" s="33"/>
      <c r="ISJ21" s="33"/>
      <c r="ISN21" s="41"/>
      <c r="IST21" s="42"/>
      <c r="ITA21" s="33"/>
      <c r="ITB21" s="33"/>
      <c r="ITF21" s="41"/>
      <c r="ITL21" s="42"/>
      <c r="ITS21" s="33"/>
      <c r="ITT21" s="33"/>
      <c r="ITX21" s="41"/>
      <c r="IUD21" s="42"/>
      <c r="IUK21" s="33"/>
      <c r="IUL21" s="33"/>
      <c r="IUP21" s="41"/>
      <c r="IUV21" s="42"/>
      <c r="IVC21" s="33"/>
      <c r="IVD21" s="33"/>
      <c r="IVH21" s="41"/>
      <c r="IVN21" s="42"/>
      <c r="IVU21" s="33"/>
      <c r="IVV21" s="33"/>
      <c r="IVZ21" s="41"/>
      <c r="IWF21" s="42"/>
      <c r="IWM21" s="33"/>
      <c r="IWN21" s="33"/>
      <c r="IWR21" s="41"/>
      <c r="IWX21" s="42"/>
      <c r="IXE21" s="33"/>
      <c r="IXF21" s="33"/>
      <c r="IXJ21" s="41"/>
      <c r="IXP21" s="42"/>
      <c r="IXW21" s="33"/>
      <c r="IXX21" s="33"/>
      <c r="IYB21" s="41"/>
      <c r="IYH21" s="42"/>
      <c r="IYO21" s="33"/>
      <c r="IYP21" s="33"/>
      <c r="IYT21" s="41"/>
      <c r="IYZ21" s="42"/>
      <c r="IZG21" s="33"/>
      <c r="IZH21" s="33"/>
      <c r="IZL21" s="41"/>
      <c r="IZR21" s="42"/>
      <c r="IZY21" s="33"/>
      <c r="IZZ21" s="33"/>
      <c r="JAD21" s="41"/>
      <c r="JAJ21" s="42"/>
      <c r="JAQ21" s="33"/>
      <c r="JAR21" s="33"/>
      <c r="JAV21" s="41"/>
      <c r="JBB21" s="42"/>
      <c r="JBI21" s="33"/>
      <c r="JBJ21" s="33"/>
      <c r="JBN21" s="41"/>
      <c r="JBT21" s="42"/>
      <c r="JCA21" s="33"/>
      <c r="JCB21" s="33"/>
      <c r="JCF21" s="41"/>
      <c r="JCL21" s="42"/>
      <c r="JCS21" s="33"/>
      <c r="JCT21" s="33"/>
      <c r="JCX21" s="41"/>
      <c r="JDD21" s="42"/>
      <c r="JDK21" s="33"/>
      <c r="JDL21" s="33"/>
      <c r="JDP21" s="41"/>
      <c r="JDV21" s="42"/>
      <c r="JEC21" s="33"/>
      <c r="JED21" s="33"/>
      <c r="JEH21" s="41"/>
      <c r="JEN21" s="42"/>
      <c r="JEU21" s="33"/>
      <c r="JEV21" s="33"/>
      <c r="JEZ21" s="41"/>
      <c r="JFF21" s="42"/>
      <c r="JFM21" s="33"/>
      <c r="JFN21" s="33"/>
      <c r="JFR21" s="41"/>
      <c r="JFX21" s="42"/>
      <c r="JGE21" s="33"/>
      <c r="JGF21" s="33"/>
      <c r="JGJ21" s="41"/>
      <c r="JGP21" s="42"/>
      <c r="JGW21" s="33"/>
      <c r="JGX21" s="33"/>
      <c r="JHB21" s="41"/>
      <c r="JHH21" s="42"/>
      <c r="JHO21" s="33"/>
      <c r="JHP21" s="33"/>
      <c r="JHT21" s="41"/>
      <c r="JHZ21" s="42"/>
      <c r="JIG21" s="33"/>
      <c r="JIH21" s="33"/>
      <c r="JIL21" s="41"/>
      <c r="JIR21" s="42"/>
      <c r="JIY21" s="33"/>
      <c r="JIZ21" s="33"/>
      <c r="JJD21" s="41"/>
      <c r="JJJ21" s="42"/>
      <c r="JJQ21" s="33"/>
      <c r="JJR21" s="33"/>
      <c r="JJV21" s="41"/>
      <c r="JKB21" s="42"/>
      <c r="JKI21" s="33"/>
      <c r="JKJ21" s="33"/>
      <c r="JKN21" s="41"/>
      <c r="JKT21" s="42"/>
      <c r="JLA21" s="33"/>
      <c r="JLB21" s="33"/>
      <c r="JLF21" s="41"/>
      <c r="JLL21" s="42"/>
      <c r="JLS21" s="33"/>
      <c r="JLT21" s="33"/>
      <c r="JLX21" s="41"/>
      <c r="JMD21" s="42"/>
      <c r="JMK21" s="33"/>
      <c r="JML21" s="33"/>
      <c r="JMP21" s="41"/>
      <c r="JMV21" s="42"/>
      <c r="JNC21" s="33"/>
      <c r="JND21" s="33"/>
      <c r="JNH21" s="41"/>
      <c r="JNN21" s="42"/>
      <c r="JNU21" s="33"/>
      <c r="JNV21" s="33"/>
      <c r="JNZ21" s="41"/>
      <c r="JOF21" s="42"/>
      <c r="JOM21" s="33"/>
      <c r="JON21" s="33"/>
      <c r="JOR21" s="41"/>
      <c r="JOX21" s="42"/>
      <c r="JPE21" s="33"/>
      <c r="JPF21" s="33"/>
      <c r="JPJ21" s="41"/>
      <c r="JPP21" s="42"/>
      <c r="JPW21" s="33"/>
      <c r="JPX21" s="33"/>
      <c r="JQB21" s="41"/>
      <c r="JQH21" s="42"/>
      <c r="JQO21" s="33"/>
      <c r="JQP21" s="33"/>
      <c r="JQT21" s="41"/>
      <c r="JQZ21" s="42"/>
      <c r="JRG21" s="33"/>
      <c r="JRH21" s="33"/>
      <c r="JRL21" s="41"/>
      <c r="JRR21" s="42"/>
      <c r="JRY21" s="33"/>
      <c r="JRZ21" s="33"/>
      <c r="JSD21" s="41"/>
      <c r="JSJ21" s="42"/>
      <c r="JSQ21" s="33"/>
      <c r="JSR21" s="33"/>
      <c r="JSV21" s="41"/>
      <c r="JTB21" s="42"/>
      <c r="JTI21" s="33"/>
      <c r="JTJ21" s="33"/>
      <c r="JTN21" s="41"/>
      <c r="JTT21" s="42"/>
      <c r="JUA21" s="33"/>
      <c r="JUB21" s="33"/>
      <c r="JUF21" s="41"/>
      <c r="JUL21" s="42"/>
      <c r="JUS21" s="33"/>
      <c r="JUT21" s="33"/>
      <c r="JUX21" s="41"/>
      <c r="JVD21" s="42"/>
      <c r="JVK21" s="33"/>
      <c r="JVL21" s="33"/>
      <c r="JVP21" s="41"/>
      <c r="JVV21" s="42"/>
      <c r="JWC21" s="33"/>
      <c r="JWD21" s="33"/>
      <c r="JWH21" s="41"/>
      <c r="JWN21" s="42"/>
      <c r="JWU21" s="33"/>
      <c r="JWV21" s="33"/>
      <c r="JWZ21" s="41"/>
      <c r="JXF21" s="42"/>
      <c r="JXM21" s="33"/>
      <c r="JXN21" s="33"/>
      <c r="JXR21" s="41"/>
      <c r="JXX21" s="42"/>
      <c r="JYE21" s="33"/>
      <c r="JYF21" s="33"/>
      <c r="JYJ21" s="41"/>
      <c r="JYP21" s="42"/>
      <c r="JYW21" s="33"/>
      <c r="JYX21" s="33"/>
      <c r="JZB21" s="41"/>
      <c r="JZH21" s="42"/>
      <c r="JZO21" s="33"/>
      <c r="JZP21" s="33"/>
      <c r="JZT21" s="41"/>
      <c r="JZZ21" s="42"/>
      <c r="KAG21" s="33"/>
      <c r="KAH21" s="33"/>
      <c r="KAL21" s="41"/>
      <c r="KAR21" s="42"/>
      <c r="KAY21" s="33"/>
      <c r="KAZ21" s="33"/>
      <c r="KBD21" s="41"/>
      <c r="KBJ21" s="42"/>
      <c r="KBQ21" s="33"/>
      <c r="KBR21" s="33"/>
      <c r="KBV21" s="41"/>
      <c r="KCB21" s="42"/>
      <c r="KCI21" s="33"/>
      <c r="KCJ21" s="33"/>
      <c r="KCN21" s="41"/>
      <c r="KCT21" s="42"/>
      <c r="KDA21" s="33"/>
      <c r="KDB21" s="33"/>
      <c r="KDF21" s="41"/>
      <c r="KDL21" s="42"/>
      <c r="KDS21" s="33"/>
      <c r="KDT21" s="33"/>
      <c r="KDX21" s="41"/>
      <c r="KED21" s="42"/>
      <c r="KEK21" s="33"/>
      <c r="KEL21" s="33"/>
      <c r="KEP21" s="41"/>
      <c r="KEV21" s="42"/>
      <c r="KFC21" s="33"/>
      <c r="KFD21" s="33"/>
      <c r="KFH21" s="41"/>
      <c r="KFN21" s="42"/>
      <c r="KFU21" s="33"/>
      <c r="KFV21" s="33"/>
      <c r="KFZ21" s="41"/>
      <c r="KGF21" s="42"/>
      <c r="KGM21" s="33"/>
      <c r="KGN21" s="33"/>
      <c r="KGR21" s="41"/>
      <c r="KGX21" s="42"/>
      <c r="KHE21" s="33"/>
      <c r="KHF21" s="33"/>
      <c r="KHJ21" s="41"/>
      <c r="KHP21" s="42"/>
      <c r="KHW21" s="33"/>
      <c r="KHX21" s="33"/>
      <c r="KIB21" s="41"/>
      <c r="KIH21" s="42"/>
      <c r="KIO21" s="33"/>
      <c r="KIP21" s="33"/>
      <c r="KIT21" s="41"/>
      <c r="KIZ21" s="42"/>
      <c r="KJG21" s="33"/>
      <c r="KJH21" s="33"/>
      <c r="KJL21" s="41"/>
      <c r="KJR21" s="42"/>
      <c r="KJY21" s="33"/>
      <c r="KJZ21" s="33"/>
      <c r="KKD21" s="41"/>
      <c r="KKJ21" s="42"/>
      <c r="KKQ21" s="33"/>
      <c r="KKR21" s="33"/>
      <c r="KKV21" s="41"/>
      <c r="KLB21" s="42"/>
      <c r="KLI21" s="33"/>
      <c r="KLJ21" s="33"/>
      <c r="KLN21" s="41"/>
      <c r="KLT21" s="42"/>
      <c r="KMA21" s="33"/>
      <c r="KMB21" s="33"/>
      <c r="KMF21" s="41"/>
      <c r="KML21" s="42"/>
      <c r="KMS21" s="33"/>
      <c r="KMT21" s="33"/>
      <c r="KMX21" s="41"/>
      <c r="KND21" s="42"/>
      <c r="KNK21" s="33"/>
      <c r="KNL21" s="33"/>
      <c r="KNP21" s="41"/>
      <c r="KNV21" s="42"/>
      <c r="KOC21" s="33"/>
      <c r="KOD21" s="33"/>
      <c r="KOH21" s="41"/>
      <c r="KON21" s="42"/>
      <c r="KOU21" s="33"/>
      <c r="KOV21" s="33"/>
      <c r="KOZ21" s="41"/>
      <c r="KPF21" s="42"/>
      <c r="KPM21" s="33"/>
      <c r="KPN21" s="33"/>
      <c r="KPR21" s="41"/>
      <c r="KPX21" s="42"/>
      <c r="KQE21" s="33"/>
      <c r="KQF21" s="33"/>
      <c r="KQJ21" s="41"/>
      <c r="KQP21" s="42"/>
      <c r="KQW21" s="33"/>
      <c r="KQX21" s="33"/>
      <c r="KRB21" s="41"/>
      <c r="KRH21" s="42"/>
      <c r="KRO21" s="33"/>
      <c r="KRP21" s="33"/>
      <c r="KRT21" s="41"/>
      <c r="KRZ21" s="42"/>
      <c r="KSG21" s="33"/>
      <c r="KSH21" s="33"/>
      <c r="KSL21" s="41"/>
      <c r="KSR21" s="42"/>
      <c r="KSY21" s="33"/>
      <c r="KSZ21" s="33"/>
      <c r="KTD21" s="41"/>
      <c r="KTJ21" s="42"/>
      <c r="KTQ21" s="33"/>
      <c r="KTR21" s="33"/>
      <c r="KTV21" s="41"/>
      <c r="KUB21" s="42"/>
      <c r="KUI21" s="33"/>
      <c r="KUJ21" s="33"/>
      <c r="KUN21" s="41"/>
      <c r="KUT21" s="42"/>
      <c r="KVA21" s="33"/>
      <c r="KVB21" s="33"/>
      <c r="KVF21" s="41"/>
      <c r="KVL21" s="42"/>
      <c r="KVS21" s="33"/>
      <c r="KVT21" s="33"/>
      <c r="KVX21" s="41"/>
      <c r="KWD21" s="42"/>
      <c r="KWK21" s="33"/>
      <c r="KWL21" s="33"/>
      <c r="KWP21" s="41"/>
      <c r="KWV21" s="42"/>
      <c r="KXC21" s="33"/>
      <c r="KXD21" s="33"/>
      <c r="KXH21" s="41"/>
      <c r="KXN21" s="42"/>
      <c r="KXU21" s="33"/>
      <c r="KXV21" s="33"/>
      <c r="KXZ21" s="41"/>
      <c r="KYF21" s="42"/>
      <c r="KYM21" s="33"/>
      <c r="KYN21" s="33"/>
      <c r="KYR21" s="41"/>
      <c r="KYX21" s="42"/>
      <c r="KZE21" s="33"/>
      <c r="KZF21" s="33"/>
      <c r="KZJ21" s="41"/>
      <c r="KZP21" s="42"/>
      <c r="KZW21" s="33"/>
      <c r="KZX21" s="33"/>
      <c r="LAB21" s="41"/>
      <c r="LAH21" s="42"/>
      <c r="LAO21" s="33"/>
      <c r="LAP21" s="33"/>
      <c r="LAT21" s="41"/>
      <c r="LAZ21" s="42"/>
      <c r="LBG21" s="33"/>
      <c r="LBH21" s="33"/>
      <c r="LBL21" s="41"/>
      <c r="LBR21" s="42"/>
      <c r="LBY21" s="33"/>
      <c r="LBZ21" s="33"/>
      <c r="LCD21" s="41"/>
      <c r="LCJ21" s="42"/>
      <c r="LCQ21" s="33"/>
      <c r="LCR21" s="33"/>
      <c r="LCV21" s="41"/>
      <c r="LDB21" s="42"/>
      <c r="LDI21" s="33"/>
      <c r="LDJ21" s="33"/>
      <c r="LDN21" s="41"/>
      <c r="LDT21" s="42"/>
      <c r="LEA21" s="33"/>
      <c r="LEB21" s="33"/>
      <c r="LEF21" s="41"/>
      <c r="LEL21" s="42"/>
      <c r="LES21" s="33"/>
      <c r="LET21" s="33"/>
      <c r="LEX21" s="41"/>
      <c r="LFD21" s="42"/>
      <c r="LFK21" s="33"/>
      <c r="LFL21" s="33"/>
      <c r="LFP21" s="41"/>
      <c r="LFV21" s="42"/>
      <c r="LGC21" s="33"/>
      <c r="LGD21" s="33"/>
      <c r="LGH21" s="41"/>
      <c r="LGN21" s="42"/>
      <c r="LGU21" s="33"/>
      <c r="LGV21" s="33"/>
      <c r="LGZ21" s="41"/>
      <c r="LHF21" s="42"/>
      <c r="LHM21" s="33"/>
      <c r="LHN21" s="33"/>
      <c r="LHR21" s="41"/>
      <c r="LHX21" s="42"/>
      <c r="LIE21" s="33"/>
      <c r="LIF21" s="33"/>
      <c r="LIJ21" s="41"/>
      <c r="LIP21" s="42"/>
      <c r="LIW21" s="33"/>
      <c r="LIX21" s="33"/>
      <c r="LJB21" s="41"/>
      <c r="LJH21" s="42"/>
      <c r="LJO21" s="33"/>
      <c r="LJP21" s="33"/>
      <c r="LJT21" s="41"/>
      <c r="LJZ21" s="42"/>
      <c r="LKG21" s="33"/>
      <c r="LKH21" s="33"/>
      <c r="LKL21" s="41"/>
      <c r="LKR21" s="42"/>
      <c r="LKY21" s="33"/>
      <c r="LKZ21" s="33"/>
      <c r="LLD21" s="41"/>
      <c r="LLJ21" s="42"/>
      <c r="LLQ21" s="33"/>
      <c r="LLR21" s="33"/>
      <c r="LLV21" s="41"/>
      <c r="LMB21" s="42"/>
      <c r="LMI21" s="33"/>
      <c r="LMJ21" s="33"/>
      <c r="LMN21" s="41"/>
      <c r="LMT21" s="42"/>
      <c r="LNA21" s="33"/>
      <c r="LNB21" s="33"/>
      <c r="LNF21" s="41"/>
      <c r="LNL21" s="42"/>
      <c r="LNS21" s="33"/>
      <c r="LNT21" s="33"/>
      <c r="LNX21" s="41"/>
      <c r="LOD21" s="42"/>
      <c r="LOK21" s="33"/>
      <c r="LOL21" s="33"/>
      <c r="LOP21" s="41"/>
      <c r="LOV21" s="42"/>
      <c r="LPC21" s="33"/>
      <c r="LPD21" s="33"/>
      <c r="LPH21" s="41"/>
      <c r="LPN21" s="42"/>
      <c r="LPU21" s="33"/>
      <c r="LPV21" s="33"/>
      <c r="LPZ21" s="41"/>
      <c r="LQF21" s="42"/>
      <c r="LQM21" s="33"/>
      <c r="LQN21" s="33"/>
      <c r="LQR21" s="41"/>
      <c r="LQX21" s="42"/>
      <c r="LRE21" s="33"/>
      <c r="LRF21" s="33"/>
      <c r="LRJ21" s="41"/>
      <c r="LRP21" s="42"/>
      <c r="LRW21" s="33"/>
      <c r="LRX21" s="33"/>
      <c r="LSB21" s="41"/>
      <c r="LSH21" s="42"/>
      <c r="LSO21" s="33"/>
      <c r="LSP21" s="33"/>
      <c r="LST21" s="41"/>
      <c r="LSZ21" s="42"/>
      <c r="LTG21" s="33"/>
      <c r="LTH21" s="33"/>
      <c r="LTL21" s="41"/>
      <c r="LTR21" s="42"/>
      <c r="LTY21" s="33"/>
      <c r="LTZ21" s="33"/>
      <c r="LUD21" s="41"/>
      <c r="LUJ21" s="42"/>
      <c r="LUQ21" s="33"/>
      <c r="LUR21" s="33"/>
      <c r="LUV21" s="41"/>
      <c r="LVB21" s="42"/>
      <c r="LVI21" s="33"/>
      <c r="LVJ21" s="33"/>
      <c r="LVN21" s="41"/>
      <c r="LVT21" s="42"/>
      <c r="LWA21" s="33"/>
      <c r="LWB21" s="33"/>
      <c r="LWF21" s="41"/>
      <c r="LWL21" s="42"/>
      <c r="LWS21" s="33"/>
      <c r="LWT21" s="33"/>
      <c r="LWX21" s="41"/>
      <c r="LXD21" s="42"/>
      <c r="LXK21" s="33"/>
      <c r="LXL21" s="33"/>
      <c r="LXP21" s="41"/>
      <c r="LXV21" s="42"/>
      <c r="LYC21" s="33"/>
      <c r="LYD21" s="33"/>
      <c r="LYH21" s="41"/>
      <c r="LYN21" s="42"/>
      <c r="LYU21" s="33"/>
      <c r="LYV21" s="33"/>
      <c r="LYZ21" s="41"/>
      <c r="LZF21" s="42"/>
      <c r="LZM21" s="33"/>
      <c r="LZN21" s="33"/>
      <c r="LZR21" s="41"/>
      <c r="LZX21" s="42"/>
      <c r="MAE21" s="33"/>
      <c r="MAF21" s="33"/>
      <c r="MAJ21" s="41"/>
      <c r="MAP21" s="42"/>
      <c r="MAW21" s="33"/>
      <c r="MAX21" s="33"/>
      <c r="MBB21" s="41"/>
      <c r="MBH21" s="42"/>
      <c r="MBO21" s="33"/>
      <c r="MBP21" s="33"/>
      <c r="MBT21" s="41"/>
      <c r="MBZ21" s="42"/>
      <c r="MCG21" s="33"/>
      <c r="MCH21" s="33"/>
      <c r="MCL21" s="41"/>
      <c r="MCR21" s="42"/>
      <c r="MCY21" s="33"/>
      <c r="MCZ21" s="33"/>
      <c r="MDD21" s="41"/>
      <c r="MDJ21" s="42"/>
      <c r="MDQ21" s="33"/>
      <c r="MDR21" s="33"/>
      <c r="MDV21" s="41"/>
      <c r="MEB21" s="42"/>
      <c r="MEI21" s="33"/>
      <c r="MEJ21" s="33"/>
      <c r="MEN21" s="41"/>
      <c r="MET21" s="42"/>
      <c r="MFA21" s="33"/>
      <c r="MFB21" s="33"/>
      <c r="MFF21" s="41"/>
      <c r="MFL21" s="42"/>
      <c r="MFS21" s="33"/>
      <c r="MFT21" s="33"/>
      <c r="MFX21" s="41"/>
      <c r="MGD21" s="42"/>
      <c r="MGK21" s="33"/>
      <c r="MGL21" s="33"/>
      <c r="MGP21" s="41"/>
      <c r="MGV21" s="42"/>
      <c r="MHC21" s="33"/>
      <c r="MHD21" s="33"/>
      <c r="MHH21" s="41"/>
      <c r="MHN21" s="42"/>
      <c r="MHU21" s="33"/>
      <c r="MHV21" s="33"/>
      <c r="MHZ21" s="41"/>
      <c r="MIF21" s="42"/>
      <c r="MIM21" s="33"/>
      <c r="MIN21" s="33"/>
      <c r="MIR21" s="41"/>
      <c r="MIX21" s="42"/>
      <c r="MJE21" s="33"/>
      <c r="MJF21" s="33"/>
      <c r="MJJ21" s="41"/>
      <c r="MJP21" s="42"/>
      <c r="MJW21" s="33"/>
      <c r="MJX21" s="33"/>
      <c r="MKB21" s="41"/>
      <c r="MKH21" s="42"/>
      <c r="MKO21" s="33"/>
      <c r="MKP21" s="33"/>
      <c r="MKT21" s="41"/>
      <c r="MKZ21" s="42"/>
      <c r="MLG21" s="33"/>
      <c r="MLH21" s="33"/>
      <c r="MLL21" s="41"/>
      <c r="MLR21" s="42"/>
      <c r="MLY21" s="33"/>
      <c r="MLZ21" s="33"/>
      <c r="MMD21" s="41"/>
      <c r="MMJ21" s="42"/>
      <c r="MMQ21" s="33"/>
      <c r="MMR21" s="33"/>
      <c r="MMV21" s="41"/>
      <c r="MNB21" s="42"/>
      <c r="MNI21" s="33"/>
      <c r="MNJ21" s="33"/>
      <c r="MNN21" s="41"/>
      <c r="MNT21" s="42"/>
      <c r="MOA21" s="33"/>
      <c r="MOB21" s="33"/>
      <c r="MOF21" s="41"/>
      <c r="MOL21" s="42"/>
      <c r="MOS21" s="33"/>
      <c r="MOT21" s="33"/>
      <c r="MOX21" s="41"/>
      <c r="MPD21" s="42"/>
      <c r="MPK21" s="33"/>
      <c r="MPL21" s="33"/>
      <c r="MPP21" s="41"/>
      <c r="MPV21" s="42"/>
      <c r="MQC21" s="33"/>
      <c r="MQD21" s="33"/>
      <c r="MQH21" s="41"/>
      <c r="MQN21" s="42"/>
      <c r="MQU21" s="33"/>
      <c r="MQV21" s="33"/>
      <c r="MQZ21" s="41"/>
      <c r="MRF21" s="42"/>
      <c r="MRM21" s="33"/>
      <c r="MRN21" s="33"/>
      <c r="MRR21" s="41"/>
      <c r="MRX21" s="42"/>
      <c r="MSE21" s="33"/>
      <c r="MSF21" s="33"/>
      <c r="MSJ21" s="41"/>
      <c r="MSP21" s="42"/>
      <c r="MSW21" s="33"/>
      <c r="MSX21" s="33"/>
      <c r="MTB21" s="41"/>
      <c r="MTH21" s="42"/>
      <c r="MTO21" s="33"/>
      <c r="MTP21" s="33"/>
      <c r="MTT21" s="41"/>
      <c r="MTZ21" s="42"/>
      <c r="MUG21" s="33"/>
      <c r="MUH21" s="33"/>
      <c r="MUL21" s="41"/>
      <c r="MUR21" s="42"/>
      <c r="MUY21" s="33"/>
      <c r="MUZ21" s="33"/>
      <c r="MVD21" s="41"/>
      <c r="MVJ21" s="42"/>
      <c r="MVQ21" s="33"/>
      <c r="MVR21" s="33"/>
      <c r="MVV21" s="41"/>
      <c r="MWB21" s="42"/>
      <c r="MWI21" s="33"/>
      <c r="MWJ21" s="33"/>
      <c r="MWN21" s="41"/>
      <c r="MWT21" s="42"/>
      <c r="MXA21" s="33"/>
      <c r="MXB21" s="33"/>
      <c r="MXF21" s="41"/>
      <c r="MXL21" s="42"/>
      <c r="MXS21" s="33"/>
      <c r="MXT21" s="33"/>
      <c r="MXX21" s="41"/>
      <c r="MYD21" s="42"/>
      <c r="MYK21" s="33"/>
      <c r="MYL21" s="33"/>
      <c r="MYP21" s="41"/>
      <c r="MYV21" s="42"/>
      <c r="MZC21" s="33"/>
      <c r="MZD21" s="33"/>
      <c r="MZH21" s="41"/>
      <c r="MZN21" s="42"/>
      <c r="MZU21" s="33"/>
      <c r="MZV21" s="33"/>
      <c r="MZZ21" s="41"/>
      <c r="NAF21" s="42"/>
      <c r="NAM21" s="33"/>
      <c r="NAN21" s="33"/>
      <c r="NAR21" s="41"/>
      <c r="NAX21" s="42"/>
      <c r="NBE21" s="33"/>
      <c r="NBF21" s="33"/>
      <c r="NBJ21" s="41"/>
      <c r="NBP21" s="42"/>
      <c r="NBW21" s="33"/>
      <c r="NBX21" s="33"/>
      <c r="NCB21" s="41"/>
      <c r="NCH21" s="42"/>
      <c r="NCO21" s="33"/>
      <c r="NCP21" s="33"/>
      <c r="NCT21" s="41"/>
      <c r="NCZ21" s="42"/>
      <c r="NDG21" s="33"/>
      <c r="NDH21" s="33"/>
      <c r="NDL21" s="41"/>
      <c r="NDR21" s="42"/>
      <c r="NDY21" s="33"/>
      <c r="NDZ21" s="33"/>
      <c r="NED21" s="41"/>
      <c r="NEJ21" s="42"/>
      <c r="NEQ21" s="33"/>
      <c r="NER21" s="33"/>
      <c r="NEV21" s="41"/>
      <c r="NFB21" s="42"/>
      <c r="NFI21" s="33"/>
      <c r="NFJ21" s="33"/>
      <c r="NFN21" s="41"/>
      <c r="NFT21" s="42"/>
      <c r="NGA21" s="33"/>
      <c r="NGB21" s="33"/>
      <c r="NGF21" s="41"/>
      <c r="NGL21" s="42"/>
      <c r="NGS21" s="33"/>
      <c r="NGT21" s="33"/>
      <c r="NGX21" s="41"/>
      <c r="NHD21" s="42"/>
      <c r="NHK21" s="33"/>
      <c r="NHL21" s="33"/>
      <c r="NHP21" s="41"/>
      <c r="NHV21" s="42"/>
      <c r="NIC21" s="33"/>
      <c r="NID21" s="33"/>
      <c r="NIH21" s="41"/>
      <c r="NIN21" s="42"/>
      <c r="NIU21" s="33"/>
      <c r="NIV21" s="33"/>
      <c r="NIZ21" s="41"/>
      <c r="NJF21" s="42"/>
      <c r="NJM21" s="33"/>
      <c r="NJN21" s="33"/>
      <c r="NJR21" s="41"/>
      <c r="NJX21" s="42"/>
      <c r="NKE21" s="33"/>
      <c r="NKF21" s="33"/>
      <c r="NKJ21" s="41"/>
      <c r="NKP21" s="42"/>
      <c r="NKW21" s="33"/>
      <c r="NKX21" s="33"/>
      <c r="NLB21" s="41"/>
      <c r="NLH21" s="42"/>
      <c r="NLO21" s="33"/>
      <c r="NLP21" s="33"/>
      <c r="NLT21" s="41"/>
      <c r="NLZ21" s="42"/>
      <c r="NMG21" s="33"/>
      <c r="NMH21" s="33"/>
      <c r="NML21" s="41"/>
      <c r="NMR21" s="42"/>
      <c r="NMY21" s="33"/>
      <c r="NMZ21" s="33"/>
      <c r="NND21" s="41"/>
      <c r="NNJ21" s="42"/>
      <c r="NNQ21" s="33"/>
      <c r="NNR21" s="33"/>
      <c r="NNV21" s="41"/>
      <c r="NOB21" s="42"/>
      <c r="NOI21" s="33"/>
      <c r="NOJ21" s="33"/>
      <c r="NON21" s="41"/>
      <c r="NOT21" s="42"/>
      <c r="NPA21" s="33"/>
      <c r="NPB21" s="33"/>
      <c r="NPF21" s="41"/>
      <c r="NPL21" s="42"/>
      <c r="NPS21" s="33"/>
      <c r="NPT21" s="33"/>
      <c r="NPX21" s="41"/>
      <c r="NQD21" s="42"/>
      <c r="NQK21" s="33"/>
      <c r="NQL21" s="33"/>
      <c r="NQP21" s="41"/>
      <c r="NQV21" s="42"/>
      <c r="NRC21" s="33"/>
      <c r="NRD21" s="33"/>
      <c r="NRH21" s="41"/>
      <c r="NRN21" s="42"/>
      <c r="NRU21" s="33"/>
      <c r="NRV21" s="33"/>
      <c r="NRZ21" s="41"/>
      <c r="NSF21" s="42"/>
      <c r="NSM21" s="33"/>
      <c r="NSN21" s="33"/>
      <c r="NSR21" s="41"/>
      <c r="NSX21" s="42"/>
      <c r="NTE21" s="33"/>
      <c r="NTF21" s="33"/>
      <c r="NTJ21" s="41"/>
      <c r="NTP21" s="42"/>
      <c r="NTW21" s="33"/>
      <c r="NTX21" s="33"/>
      <c r="NUB21" s="41"/>
      <c r="NUH21" s="42"/>
      <c r="NUO21" s="33"/>
      <c r="NUP21" s="33"/>
      <c r="NUT21" s="41"/>
      <c r="NUZ21" s="42"/>
      <c r="NVG21" s="33"/>
      <c r="NVH21" s="33"/>
      <c r="NVL21" s="41"/>
      <c r="NVR21" s="42"/>
      <c r="NVY21" s="33"/>
      <c r="NVZ21" s="33"/>
      <c r="NWD21" s="41"/>
      <c r="NWJ21" s="42"/>
      <c r="NWQ21" s="33"/>
      <c r="NWR21" s="33"/>
      <c r="NWV21" s="41"/>
      <c r="NXB21" s="42"/>
      <c r="NXI21" s="33"/>
      <c r="NXJ21" s="33"/>
      <c r="NXN21" s="41"/>
      <c r="NXT21" s="42"/>
      <c r="NYA21" s="33"/>
      <c r="NYB21" s="33"/>
      <c r="NYF21" s="41"/>
      <c r="NYL21" s="42"/>
      <c r="NYS21" s="33"/>
      <c r="NYT21" s="33"/>
      <c r="NYX21" s="41"/>
      <c r="NZD21" s="42"/>
      <c r="NZK21" s="33"/>
      <c r="NZL21" s="33"/>
      <c r="NZP21" s="41"/>
      <c r="NZV21" s="42"/>
      <c r="OAC21" s="33"/>
      <c r="OAD21" s="33"/>
      <c r="OAH21" s="41"/>
      <c r="OAN21" s="42"/>
      <c r="OAU21" s="33"/>
      <c r="OAV21" s="33"/>
      <c r="OAZ21" s="41"/>
      <c r="OBF21" s="42"/>
      <c r="OBM21" s="33"/>
      <c r="OBN21" s="33"/>
      <c r="OBR21" s="41"/>
      <c r="OBX21" s="42"/>
      <c r="OCE21" s="33"/>
      <c r="OCF21" s="33"/>
      <c r="OCJ21" s="41"/>
      <c r="OCP21" s="42"/>
      <c r="OCW21" s="33"/>
      <c r="OCX21" s="33"/>
      <c r="ODB21" s="41"/>
      <c r="ODH21" s="42"/>
      <c r="ODO21" s="33"/>
      <c r="ODP21" s="33"/>
      <c r="ODT21" s="41"/>
      <c r="ODZ21" s="42"/>
      <c r="OEG21" s="33"/>
      <c r="OEH21" s="33"/>
      <c r="OEL21" s="41"/>
      <c r="OER21" s="42"/>
      <c r="OEY21" s="33"/>
      <c r="OEZ21" s="33"/>
      <c r="OFD21" s="41"/>
      <c r="OFJ21" s="42"/>
      <c r="OFQ21" s="33"/>
      <c r="OFR21" s="33"/>
      <c r="OFV21" s="41"/>
      <c r="OGB21" s="42"/>
      <c r="OGI21" s="33"/>
      <c r="OGJ21" s="33"/>
      <c r="OGN21" s="41"/>
      <c r="OGT21" s="42"/>
      <c r="OHA21" s="33"/>
      <c r="OHB21" s="33"/>
      <c r="OHF21" s="41"/>
      <c r="OHL21" s="42"/>
      <c r="OHS21" s="33"/>
      <c r="OHT21" s="33"/>
      <c r="OHX21" s="41"/>
      <c r="OID21" s="42"/>
      <c r="OIK21" s="33"/>
      <c r="OIL21" s="33"/>
      <c r="OIP21" s="41"/>
      <c r="OIV21" s="42"/>
      <c r="OJC21" s="33"/>
      <c r="OJD21" s="33"/>
      <c r="OJH21" s="41"/>
      <c r="OJN21" s="42"/>
      <c r="OJU21" s="33"/>
      <c r="OJV21" s="33"/>
      <c r="OJZ21" s="41"/>
      <c r="OKF21" s="42"/>
      <c r="OKM21" s="33"/>
      <c r="OKN21" s="33"/>
      <c r="OKR21" s="41"/>
      <c r="OKX21" s="42"/>
      <c r="OLE21" s="33"/>
      <c r="OLF21" s="33"/>
      <c r="OLJ21" s="41"/>
      <c r="OLP21" s="42"/>
      <c r="OLW21" s="33"/>
      <c r="OLX21" s="33"/>
      <c r="OMB21" s="41"/>
      <c r="OMH21" s="42"/>
      <c r="OMO21" s="33"/>
      <c r="OMP21" s="33"/>
      <c r="OMT21" s="41"/>
      <c r="OMZ21" s="42"/>
      <c r="ONG21" s="33"/>
      <c r="ONH21" s="33"/>
      <c r="ONL21" s="41"/>
      <c r="ONR21" s="42"/>
      <c r="ONY21" s="33"/>
      <c r="ONZ21" s="33"/>
      <c r="OOD21" s="41"/>
      <c r="OOJ21" s="42"/>
      <c r="OOQ21" s="33"/>
      <c r="OOR21" s="33"/>
      <c r="OOV21" s="41"/>
      <c r="OPB21" s="42"/>
      <c r="OPI21" s="33"/>
      <c r="OPJ21" s="33"/>
      <c r="OPN21" s="41"/>
      <c r="OPT21" s="42"/>
      <c r="OQA21" s="33"/>
      <c r="OQB21" s="33"/>
      <c r="OQF21" s="41"/>
      <c r="OQL21" s="42"/>
      <c r="OQS21" s="33"/>
      <c r="OQT21" s="33"/>
      <c r="OQX21" s="41"/>
      <c r="ORD21" s="42"/>
      <c r="ORK21" s="33"/>
      <c r="ORL21" s="33"/>
      <c r="ORP21" s="41"/>
      <c r="ORV21" s="42"/>
      <c r="OSC21" s="33"/>
      <c r="OSD21" s="33"/>
      <c r="OSH21" s="41"/>
      <c r="OSN21" s="42"/>
      <c r="OSU21" s="33"/>
      <c r="OSV21" s="33"/>
      <c r="OSZ21" s="41"/>
      <c r="OTF21" s="42"/>
      <c r="OTM21" s="33"/>
      <c r="OTN21" s="33"/>
      <c r="OTR21" s="41"/>
      <c r="OTX21" s="42"/>
      <c r="OUE21" s="33"/>
      <c r="OUF21" s="33"/>
      <c r="OUJ21" s="41"/>
      <c r="OUP21" s="42"/>
      <c r="OUW21" s="33"/>
      <c r="OUX21" s="33"/>
      <c r="OVB21" s="41"/>
      <c r="OVH21" s="42"/>
      <c r="OVO21" s="33"/>
      <c r="OVP21" s="33"/>
      <c r="OVT21" s="41"/>
      <c r="OVZ21" s="42"/>
      <c r="OWG21" s="33"/>
      <c r="OWH21" s="33"/>
      <c r="OWL21" s="41"/>
      <c r="OWR21" s="42"/>
      <c r="OWY21" s="33"/>
      <c r="OWZ21" s="33"/>
      <c r="OXD21" s="41"/>
      <c r="OXJ21" s="42"/>
      <c r="OXQ21" s="33"/>
      <c r="OXR21" s="33"/>
      <c r="OXV21" s="41"/>
      <c r="OYB21" s="42"/>
      <c r="OYI21" s="33"/>
      <c r="OYJ21" s="33"/>
      <c r="OYN21" s="41"/>
      <c r="OYT21" s="42"/>
      <c r="OZA21" s="33"/>
      <c r="OZB21" s="33"/>
      <c r="OZF21" s="41"/>
      <c r="OZL21" s="42"/>
      <c r="OZS21" s="33"/>
      <c r="OZT21" s="33"/>
      <c r="OZX21" s="41"/>
      <c r="PAD21" s="42"/>
      <c r="PAK21" s="33"/>
      <c r="PAL21" s="33"/>
      <c r="PAP21" s="41"/>
      <c r="PAV21" s="42"/>
      <c r="PBC21" s="33"/>
      <c r="PBD21" s="33"/>
      <c r="PBH21" s="41"/>
      <c r="PBN21" s="42"/>
      <c r="PBU21" s="33"/>
      <c r="PBV21" s="33"/>
      <c r="PBZ21" s="41"/>
      <c r="PCF21" s="42"/>
      <c r="PCM21" s="33"/>
      <c r="PCN21" s="33"/>
      <c r="PCR21" s="41"/>
      <c r="PCX21" s="42"/>
      <c r="PDE21" s="33"/>
      <c r="PDF21" s="33"/>
      <c r="PDJ21" s="41"/>
      <c r="PDP21" s="42"/>
      <c r="PDW21" s="33"/>
      <c r="PDX21" s="33"/>
      <c r="PEB21" s="41"/>
      <c r="PEH21" s="42"/>
      <c r="PEO21" s="33"/>
      <c r="PEP21" s="33"/>
      <c r="PET21" s="41"/>
      <c r="PEZ21" s="42"/>
      <c r="PFG21" s="33"/>
      <c r="PFH21" s="33"/>
      <c r="PFL21" s="41"/>
      <c r="PFR21" s="42"/>
      <c r="PFY21" s="33"/>
      <c r="PFZ21" s="33"/>
      <c r="PGD21" s="41"/>
      <c r="PGJ21" s="42"/>
      <c r="PGQ21" s="33"/>
      <c r="PGR21" s="33"/>
      <c r="PGV21" s="41"/>
      <c r="PHB21" s="42"/>
      <c r="PHI21" s="33"/>
      <c r="PHJ21" s="33"/>
      <c r="PHN21" s="41"/>
      <c r="PHT21" s="42"/>
      <c r="PIA21" s="33"/>
      <c r="PIB21" s="33"/>
      <c r="PIF21" s="41"/>
      <c r="PIL21" s="42"/>
      <c r="PIS21" s="33"/>
      <c r="PIT21" s="33"/>
      <c r="PIX21" s="41"/>
      <c r="PJD21" s="42"/>
      <c r="PJK21" s="33"/>
      <c r="PJL21" s="33"/>
      <c r="PJP21" s="41"/>
      <c r="PJV21" s="42"/>
      <c r="PKC21" s="33"/>
      <c r="PKD21" s="33"/>
      <c r="PKH21" s="41"/>
      <c r="PKN21" s="42"/>
      <c r="PKU21" s="33"/>
      <c r="PKV21" s="33"/>
      <c r="PKZ21" s="41"/>
      <c r="PLF21" s="42"/>
      <c r="PLM21" s="33"/>
      <c r="PLN21" s="33"/>
      <c r="PLR21" s="41"/>
      <c r="PLX21" s="42"/>
      <c r="PME21" s="33"/>
      <c r="PMF21" s="33"/>
      <c r="PMJ21" s="41"/>
      <c r="PMP21" s="42"/>
      <c r="PMW21" s="33"/>
      <c r="PMX21" s="33"/>
      <c r="PNB21" s="41"/>
      <c r="PNH21" s="42"/>
      <c r="PNO21" s="33"/>
      <c r="PNP21" s="33"/>
      <c r="PNT21" s="41"/>
      <c r="PNZ21" s="42"/>
      <c r="POG21" s="33"/>
      <c r="POH21" s="33"/>
      <c r="POL21" s="41"/>
      <c r="POR21" s="42"/>
      <c r="POY21" s="33"/>
      <c r="POZ21" s="33"/>
      <c r="PPD21" s="41"/>
      <c r="PPJ21" s="42"/>
      <c r="PPQ21" s="33"/>
      <c r="PPR21" s="33"/>
      <c r="PPV21" s="41"/>
      <c r="PQB21" s="42"/>
      <c r="PQI21" s="33"/>
      <c r="PQJ21" s="33"/>
      <c r="PQN21" s="41"/>
      <c r="PQT21" s="42"/>
      <c r="PRA21" s="33"/>
      <c r="PRB21" s="33"/>
      <c r="PRF21" s="41"/>
      <c r="PRL21" s="42"/>
      <c r="PRS21" s="33"/>
      <c r="PRT21" s="33"/>
      <c r="PRX21" s="41"/>
      <c r="PSD21" s="42"/>
      <c r="PSK21" s="33"/>
      <c r="PSL21" s="33"/>
      <c r="PSP21" s="41"/>
      <c r="PSV21" s="42"/>
      <c r="PTC21" s="33"/>
      <c r="PTD21" s="33"/>
      <c r="PTH21" s="41"/>
      <c r="PTN21" s="42"/>
      <c r="PTU21" s="33"/>
      <c r="PTV21" s="33"/>
      <c r="PTZ21" s="41"/>
      <c r="PUF21" s="42"/>
      <c r="PUM21" s="33"/>
      <c r="PUN21" s="33"/>
      <c r="PUR21" s="41"/>
      <c r="PUX21" s="42"/>
      <c r="PVE21" s="33"/>
      <c r="PVF21" s="33"/>
      <c r="PVJ21" s="41"/>
      <c r="PVP21" s="42"/>
      <c r="PVW21" s="33"/>
      <c r="PVX21" s="33"/>
      <c r="PWB21" s="41"/>
      <c r="PWH21" s="42"/>
      <c r="PWO21" s="33"/>
      <c r="PWP21" s="33"/>
      <c r="PWT21" s="41"/>
      <c r="PWZ21" s="42"/>
      <c r="PXG21" s="33"/>
      <c r="PXH21" s="33"/>
      <c r="PXL21" s="41"/>
      <c r="PXR21" s="42"/>
      <c r="PXY21" s="33"/>
      <c r="PXZ21" s="33"/>
      <c r="PYD21" s="41"/>
      <c r="PYJ21" s="42"/>
      <c r="PYQ21" s="33"/>
      <c r="PYR21" s="33"/>
      <c r="PYV21" s="41"/>
      <c r="PZB21" s="42"/>
      <c r="PZI21" s="33"/>
      <c r="PZJ21" s="33"/>
      <c r="PZN21" s="41"/>
      <c r="PZT21" s="42"/>
      <c r="QAA21" s="33"/>
      <c r="QAB21" s="33"/>
      <c r="QAF21" s="41"/>
      <c r="QAL21" s="42"/>
      <c r="QAS21" s="33"/>
      <c r="QAT21" s="33"/>
      <c r="QAX21" s="41"/>
      <c r="QBD21" s="42"/>
      <c r="QBK21" s="33"/>
      <c r="QBL21" s="33"/>
      <c r="QBP21" s="41"/>
      <c r="QBV21" s="42"/>
      <c r="QCC21" s="33"/>
      <c r="QCD21" s="33"/>
      <c r="QCH21" s="41"/>
      <c r="QCN21" s="42"/>
      <c r="QCU21" s="33"/>
      <c r="QCV21" s="33"/>
      <c r="QCZ21" s="41"/>
      <c r="QDF21" s="42"/>
      <c r="QDM21" s="33"/>
      <c r="QDN21" s="33"/>
      <c r="QDR21" s="41"/>
      <c r="QDX21" s="42"/>
      <c r="QEE21" s="33"/>
      <c r="QEF21" s="33"/>
      <c r="QEJ21" s="41"/>
      <c r="QEP21" s="42"/>
      <c r="QEW21" s="33"/>
      <c r="QEX21" s="33"/>
      <c r="QFB21" s="41"/>
      <c r="QFH21" s="42"/>
      <c r="QFO21" s="33"/>
      <c r="QFP21" s="33"/>
      <c r="QFT21" s="41"/>
      <c r="QFZ21" s="42"/>
      <c r="QGG21" s="33"/>
      <c r="QGH21" s="33"/>
      <c r="QGL21" s="41"/>
      <c r="QGR21" s="42"/>
      <c r="QGY21" s="33"/>
      <c r="QGZ21" s="33"/>
      <c r="QHD21" s="41"/>
      <c r="QHJ21" s="42"/>
      <c r="QHQ21" s="33"/>
      <c r="QHR21" s="33"/>
      <c r="QHV21" s="41"/>
      <c r="QIB21" s="42"/>
      <c r="QII21" s="33"/>
      <c r="QIJ21" s="33"/>
      <c r="QIN21" s="41"/>
      <c r="QIT21" s="42"/>
      <c r="QJA21" s="33"/>
      <c r="QJB21" s="33"/>
      <c r="QJF21" s="41"/>
      <c r="QJL21" s="42"/>
      <c r="QJS21" s="33"/>
      <c r="QJT21" s="33"/>
      <c r="QJX21" s="41"/>
      <c r="QKD21" s="42"/>
      <c r="QKK21" s="33"/>
      <c r="QKL21" s="33"/>
      <c r="QKP21" s="41"/>
      <c r="QKV21" s="42"/>
      <c r="QLC21" s="33"/>
      <c r="QLD21" s="33"/>
      <c r="QLH21" s="41"/>
      <c r="QLN21" s="42"/>
      <c r="QLU21" s="33"/>
      <c r="QLV21" s="33"/>
      <c r="QLZ21" s="41"/>
      <c r="QMF21" s="42"/>
      <c r="QMM21" s="33"/>
      <c r="QMN21" s="33"/>
      <c r="QMR21" s="41"/>
      <c r="QMX21" s="42"/>
      <c r="QNE21" s="33"/>
      <c r="QNF21" s="33"/>
      <c r="QNJ21" s="41"/>
      <c r="QNP21" s="42"/>
      <c r="QNW21" s="33"/>
      <c r="QNX21" s="33"/>
      <c r="QOB21" s="41"/>
      <c r="QOH21" s="42"/>
      <c r="QOO21" s="33"/>
      <c r="QOP21" s="33"/>
      <c r="QOT21" s="41"/>
      <c r="QOZ21" s="42"/>
      <c r="QPG21" s="33"/>
      <c r="QPH21" s="33"/>
      <c r="QPL21" s="41"/>
      <c r="QPR21" s="42"/>
      <c r="QPY21" s="33"/>
      <c r="QPZ21" s="33"/>
      <c r="QQD21" s="41"/>
      <c r="QQJ21" s="42"/>
      <c r="QQQ21" s="33"/>
      <c r="QQR21" s="33"/>
      <c r="QQV21" s="41"/>
      <c r="QRB21" s="42"/>
      <c r="QRI21" s="33"/>
      <c r="QRJ21" s="33"/>
      <c r="QRN21" s="41"/>
      <c r="QRT21" s="42"/>
      <c r="QSA21" s="33"/>
      <c r="QSB21" s="33"/>
      <c r="QSF21" s="41"/>
      <c r="QSL21" s="42"/>
      <c r="QSS21" s="33"/>
      <c r="QST21" s="33"/>
      <c r="QSX21" s="41"/>
      <c r="QTD21" s="42"/>
      <c r="QTK21" s="33"/>
      <c r="QTL21" s="33"/>
      <c r="QTP21" s="41"/>
      <c r="QTV21" s="42"/>
      <c r="QUC21" s="33"/>
      <c r="QUD21" s="33"/>
      <c r="QUH21" s="41"/>
      <c r="QUN21" s="42"/>
      <c r="QUU21" s="33"/>
      <c r="QUV21" s="33"/>
      <c r="QUZ21" s="41"/>
      <c r="QVF21" s="42"/>
      <c r="QVM21" s="33"/>
      <c r="QVN21" s="33"/>
      <c r="QVR21" s="41"/>
      <c r="QVX21" s="42"/>
      <c r="QWE21" s="33"/>
      <c r="QWF21" s="33"/>
      <c r="QWJ21" s="41"/>
      <c r="QWP21" s="42"/>
      <c r="QWW21" s="33"/>
      <c r="QWX21" s="33"/>
      <c r="QXB21" s="41"/>
      <c r="QXH21" s="42"/>
      <c r="QXO21" s="33"/>
      <c r="QXP21" s="33"/>
      <c r="QXT21" s="41"/>
      <c r="QXZ21" s="42"/>
      <c r="QYG21" s="33"/>
      <c r="QYH21" s="33"/>
      <c r="QYL21" s="41"/>
      <c r="QYR21" s="42"/>
      <c r="QYY21" s="33"/>
      <c r="QYZ21" s="33"/>
      <c r="QZD21" s="41"/>
      <c r="QZJ21" s="42"/>
      <c r="QZQ21" s="33"/>
      <c r="QZR21" s="33"/>
      <c r="QZV21" s="41"/>
      <c r="RAB21" s="42"/>
      <c r="RAI21" s="33"/>
      <c r="RAJ21" s="33"/>
      <c r="RAN21" s="41"/>
      <c r="RAT21" s="42"/>
      <c r="RBA21" s="33"/>
      <c r="RBB21" s="33"/>
      <c r="RBF21" s="41"/>
      <c r="RBL21" s="42"/>
      <c r="RBS21" s="33"/>
      <c r="RBT21" s="33"/>
      <c r="RBX21" s="41"/>
      <c r="RCD21" s="42"/>
      <c r="RCK21" s="33"/>
      <c r="RCL21" s="33"/>
      <c r="RCP21" s="41"/>
      <c r="RCV21" s="42"/>
      <c r="RDC21" s="33"/>
      <c r="RDD21" s="33"/>
      <c r="RDH21" s="41"/>
      <c r="RDN21" s="42"/>
      <c r="RDU21" s="33"/>
      <c r="RDV21" s="33"/>
      <c r="RDZ21" s="41"/>
      <c r="REF21" s="42"/>
      <c r="REM21" s="33"/>
      <c r="REN21" s="33"/>
      <c r="RER21" s="41"/>
      <c r="REX21" s="42"/>
      <c r="RFE21" s="33"/>
      <c r="RFF21" s="33"/>
      <c r="RFJ21" s="41"/>
      <c r="RFP21" s="42"/>
      <c r="RFW21" s="33"/>
      <c r="RFX21" s="33"/>
      <c r="RGB21" s="41"/>
      <c r="RGH21" s="42"/>
      <c r="RGO21" s="33"/>
      <c r="RGP21" s="33"/>
      <c r="RGT21" s="41"/>
      <c r="RGZ21" s="42"/>
      <c r="RHG21" s="33"/>
      <c r="RHH21" s="33"/>
      <c r="RHL21" s="41"/>
      <c r="RHR21" s="42"/>
      <c r="RHY21" s="33"/>
      <c r="RHZ21" s="33"/>
      <c r="RID21" s="41"/>
      <c r="RIJ21" s="42"/>
      <c r="RIQ21" s="33"/>
      <c r="RIR21" s="33"/>
      <c r="RIV21" s="41"/>
      <c r="RJB21" s="42"/>
      <c r="RJI21" s="33"/>
      <c r="RJJ21" s="33"/>
      <c r="RJN21" s="41"/>
      <c r="RJT21" s="42"/>
      <c r="RKA21" s="33"/>
      <c r="RKB21" s="33"/>
      <c r="RKF21" s="41"/>
      <c r="RKL21" s="42"/>
      <c r="RKS21" s="33"/>
      <c r="RKT21" s="33"/>
      <c r="RKX21" s="41"/>
      <c r="RLD21" s="42"/>
      <c r="RLK21" s="33"/>
      <c r="RLL21" s="33"/>
      <c r="RLP21" s="41"/>
      <c r="RLV21" s="42"/>
      <c r="RMC21" s="33"/>
      <c r="RMD21" s="33"/>
      <c r="RMH21" s="41"/>
      <c r="RMN21" s="42"/>
      <c r="RMU21" s="33"/>
      <c r="RMV21" s="33"/>
      <c r="RMZ21" s="41"/>
      <c r="RNF21" s="42"/>
      <c r="RNM21" s="33"/>
      <c r="RNN21" s="33"/>
      <c r="RNR21" s="41"/>
      <c r="RNX21" s="42"/>
      <c r="ROE21" s="33"/>
      <c r="ROF21" s="33"/>
      <c r="ROJ21" s="41"/>
      <c r="ROP21" s="42"/>
      <c r="ROW21" s="33"/>
      <c r="ROX21" s="33"/>
      <c r="RPB21" s="41"/>
      <c r="RPH21" s="42"/>
      <c r="RPO21" s="33"/>
      <c r="RPP21" s="33"/>
      <c r="RPT21" s="41"/>
      <c r="RPZ21" s="42"/>
      <c r="RQG21" s="33"/>
      <c r="RQH21" s="33"/>
      <c r="RQL21" s="41"/>
      <c r="RQR21" s="42"/>
      <c r="RQY21" s="33"/>
      <c r="RQZ21" s="33"/>
      <c r="RRD21" s="41"/>
      <c r="RRJ21" s="42"/>
      <c r="RRQ21" s="33"/>
      <c r="RRR21" s="33"/>
      <c r="RRV21" s="41"/>
      <c r="RSB21" s="42"/>
      <c r="RSI21" s="33"/>
      <c r="RSJ21" s="33"/>
      <c r="RSN21" s="41"/>
      <c r="RST21" s="42"/>
      <c r="RTA21" s="33"/>
      <c r="RTB21" s="33"/>
      <c r="RTF21" s="41"/>
      <c r="RTL21" s="42"/>
      <c r="RTS21" s="33"/>
      <c r="RTT21" s="33"/>
      <c r="RTX21" s="41"/>
      <c r="RUD21" s="42"/>
      <c r="RUK21" s="33"/>
      <c r="RUL21" s="33"/>
      <c r="RUP21" s="41"/>
      <c r="RUV21" s="42"/>
      <c r="RVC21" s="33"/>
      <c r="RVD21" s="33"/>
      <c r="RVH21" s="41"/>
      <c r="RVN21" s="42"/>
      <c r="RVU21" s="33"/>
      <c r="RVV21" s="33"/>
      <c r="RVZ21" s="41"/>
      <c r="RWF21" s="42"/>
      <c r="RWM21" s="33"/>
      <c r="RWN21" s="33"/>
      <c r="RWR21" s="41"/>
      <c r="RWX21" s="42"/>
      <c r="RXE21" s="33"/>
      <c r="RXF21" s="33"/>
      <c r="RXJ21" s="41"/>
      <c r="RXP21" s="42"/>
      <c r="RXW21" s="33"/>
      <c r="RXX21" s="33"/>
      <c r="RYB21" s="41"/>
      <c r="RYH21" s="42"/>
      <c r="RYO21" s="33"/>
      <c r="RYP21" s="33"/>
      <c r="RYT21" s="41"/>
      <c r="RYZ21" s="42"/>
      <c r="RZG21" s="33"/>
      <c r="RZH21" s="33"/>
      <c r="RZL21" s="41"/>
      <c r="RZR21" s="42"/>
      <c r="RZY21" s="33"/>
      <c r="RZZ21" s="33"/>
      <c r="SAD21" s="41"/>
      <c r="SAJ21" s="42"/>
      <c r="SAQ21" s="33"/>
      <c r="SAR21" s="33"/>
      <c r="SAV21" s="41"/>
      <c r="SBB21" s="42"/>
      <c r="SBI21" s="33"/>
      <c r="SBJ21" s="33"/>
      <c r="SBN21" s="41"/>
      <c r="SBT21" s="42"/>
      <c r="SCA21" s="33"/>
      <c r="SCB21" s="33"/>
      <c r="SCF21" s="41"/>
      <c r="SCL21" s="42"/>
      <c r="SCS21" s="33"/>
      <c r="SCT21" s="33"/>
      <c r="SCX21" s="41"/>
      <c r="SDD21" s="42"/>
      <c r="SDK21" s="33"/>
      <c r="SDL21" s="33"/>
      <c r="SDP21" s="41"/>
      <c r="SDV21" s="42"/>
      <c r="SEC21" s="33"/>
      <c r="SED21" s="33"/>
      <c r="SEH21" s="41"/>
      <c r="SEN21" s="42"/>
      <c r="SEU21" s="33"/>
      <c r="SEV21" s="33"/>
      <c r="SEZ21" s="41"/>
      <c r="SFF21" s="42"/>
      <c r="SFM21" s="33"/>
      <c r="SFN21" s="33"/>
      <c r="SFR21" s="41"/>
      <c r="SFX21" s="42"/>
      <c r="SGE21" s="33"/>
      <c r="SGF21" s="33"/>
      <c r="SGJ21" s="41"/>
      <c r="SGP21" s="42"/>
      <c r="SGW21" s="33"/>
      <c r="SGX21" s="33"/>
      <c r="SHB21" s="41"/>
      <c r="SHH21" s="42"/>
      <c r="SHO21" s="33"/>
      <c r="SHP21" s="33"/>
      <c r="SHT21" s="41"/>
      <c r="SHZ21" s="42"/>
      <c r="SIG21" s="33"/>
      <c r="SIH21" s="33"/>
      <c r="SIL21" s="41"/>
      <c r="SIR21" s="42"/>
      <c r="SIY21" s="33"/>
      <c r="SIZ21" s="33"/>
      <c r="SJD21" s="41"/>
      <c r="SJJ21" s="42"/>
      <c r="SJQ21" s="33"/>
      <c r="SJR21" s="33"/>
      <c r="SJV21" s="41"/>
      <c r="SKB21" s="42"/>
      <c r="SKI21" s="33"/>
      <c r="SKJ21" s="33"/>
      <c r="SKN21" s="41"/>
      <c r="SKT21" s="42"/>
      <c r="SLA21" s="33"/>
      <c r="SLB21" s="33"/>
      <c r="SLF21" s="41"/>
      <c r="SLL21" s="42"/>
      <c r="SLS21" s="33"/>
      <c r="SLT21" s="33"/>
      <c r="SLX21" s="41"/>
      <c r="SMD21" s="42"/>
      <c r="SMK21" s="33"/>
      <c r="SML21" s="33"/>
      <c r="SMP21" s="41"/>
      <c r="SMV21" s="42"/>
      <c r="SNC21" s="33"/>
      <c r="SND21" s="33"/>
      <c r="SNH21" s="41"/>
      <c r="SNN21" s="42"/>
      <c r="SNU21" s="33"/>
      <c r="SNV21" s="33"/>
      <c r="SNZ21" s="41"/>
      <c r="SOF21" s="42"/>
      <c r="SOM21" s="33"/>
      <c r="SON21" s="33"/>
      <c r="SOR21" s="41"/>
      <c r="SOX21" s="42"/>
      <c r="SPE21" s="33"/>
      <c r="SPF21" s="33"/>
      <c r="SPJ21" s="41"/>
      <c r="SPP21" s="42"/>
      <c r="SPW21" s="33"/>
      <c r="SPX21" s="33"/>
      <c r="SQB21" s="41"/>
      <c r="SQH21" s="42"/>
      <c r="SQO21" s="33"/>
      <c r="SQP21" s="33"/>
      <c r="SQT21" s="41"/>
      <c r="SQZ21" s="42"/>
      <c r="SRG21" s="33"/>
      <c r="SRH21" s="33"/>
      <c r="SRL21" s="41"/>
      <c r="SRR21" s="42"/>
      <c r="SRY21" s="33"/>
      <c r="SRZ21" s="33"/>
      <c r="SSD21" s="41"/>
      <c r="SSJ21" s="42"/>
      <c r="SSQ21" s="33"/>
      <c r="SSR21" s="33"/>
      <c r="SSV21" s="41"/>
      <c r="STB21" s="42"/>
      <c r="STI21" s="33"/>
      <c r="STJ21" s="33"/>
      <c r="STN21" s="41"/>
      <c r="STT21" s="42"/>
      <c r="SUA21" s="33"/>
      <c r="SUB21" s="33"/>
      <c r="SUF21" s="41"/>
      <c r="SUL21" s="42"/>
      <c r="SUS21" s="33"/>
      <c r="SUT21" s="33"/>
      <c r="SUX21" s="41"/>
      <c r="SVD21" s="42"/>
      <c r="SVK21" s="33"/>
      <c r="SVL21" s="33"/>
      <c r="SVP21" s="41"/>
      <c r="SVV21" s="42"/>
      <c r="SWC21" s="33"/>
      <c r="SWD21" s="33"/>
      <c r="SWH21" s="41"/>
      <c r="SWN21" s="42"/>
      <c r="SWU21" s="33"/>
      <c r="SWV21" s="33"/>
      <c r="SWZ21" s="41"/>
      <c r="SXF21" s="42"/>
      <c r="SXM21" s="33"/>
      <c r="SXN21" s="33"/>
      <c r="SXR21" s="41"/>
      <c r="SXX21" s="42"/>
      <c r="SYE21" s="33"/>
      <c r="SYF21" s="33"/>
      <c r="SYJ21" s="41"/>
      <c r="SYP21" s="42"/>
      <c r="SYW21" s="33"/>
      <c r="SYX21" s="33"/>
      <c r="SZB21" s="41"/>
      <c r="SZH21" s="42"/>
      <c r="SZO21" s="33"/>
      <c r="SZP21" s="33"/>
      <c r="SZT21" s="41"/>
      <c r="SZZ21" s="42"/>
      <c r="TAG21" s="33"/>
      <c r="TAH21" s="33"/>
      <c r="TAL21" s="41"/>
      <c r="TAR21" s="42"/>
      <c r="TAY21" s="33"/>
      <c r="TAZ21" s="33"/>
      <c r="TBD21" s="41"/>
      <c r="TBJ21" s="42"/>
      <c r="TBQ21" s="33"/>
      <c r="TBR21" s="33"/>
      <c r="TBV21" s="41"/>
      <c r="TCB21" s="42"/>
      <c r="TCI21" s="33"/>
      <c r="TCJ21" s="33"/>
      <c r="TCN21" s="41"/>
      <c r="TCT21" s="42"/>
      <c r="TDA21" s="33"/>
      <c r="TDB21" s="33"/>
      <c r="TDF21" s="41"/>
      <c r="TDL21" s="42"/>
      <c r="TDS21" s="33"/>
      <c r="TDT21" s="33"/>
      <c r="TDX21" s="41"/>
      <c r="TED21" s="42"/>
      <c r="TEK21" s="33"/>
      <c r="TEL21" s="33"/>
      <c r="TEP21" s="41"/>
      <c r="TEV21" s="42"/>
      <c r="TFC21" s="33"/>
      <c r="TFD21" s="33"/>
      <c r="TFH21" s="41"/>
      <c r="TFN21" s="42"/>
      <c r="TFU21" s="33"/>
      <c r="TFV21" s="33"/>
      <c r="TFZ21" s="41"/>
      <c r="TGF21" s="42"/>
      <c r="TGM21" s="33"/>
      <c r="TGN21" s="33"/>
      <c r="TGR21" s="41"/>
      <c r="TGX21" s="42"/>
      <c r="THE21" s="33"/>
      <c r="THF21" s="33"/>
      <c r="THJ21" s="41"/>
      <c r="THP21" s="42"/>
      <c r="THW21" s="33"/>
      <c r="THX21" s="33"/>
      <c r="TIB21" s="41"/>
      <c r="TIH21" s="42"/>
      <c r="TIO21" s="33"/>
      <c r="TIP21" s="33"/>
      <c r="TIT21" s="41"/>
      <c r="TIZ21" s="42"/>
      <c r="TJG21" s="33"/>
      <c r="TJH21" s="33"/>
      <c r="TJL21" s="41"/>
      <c r="TJR21" s="42"/>
      <c r="TJY21" s="33"/>
      <c r="TJZ21" s="33"/>
      <c r="TKD21" s="41"/>
      <c r="TKJ21" s="42"/>
      <c r="TKQ21" s="33"/>
      <c r="TKR21" s="33"/>
      <c r="TKV21" s="41"/>
      <c r="TLB21" s="42"/>
      <c r="TLI21" s="33"/>
      <c r="TLJ21" s="33"/>
      <c r="TLN21" s="41"/>
      <c r="TLT21" s="42"/>
      <c r="TMA21" s="33"/>
      <c r="TMB21" s="33"/>
      <c r="TMF21" s="41"/>
      <c r="TML21" s="42"/>
      <c r="TMS21" s="33"/>
      <c r="TMT21" s="33"/>
      <c r="TMX21" s="41"/>
      <c r="TND21" s="42"/>
      <c r="TNK21" s="33"/>
      <c r="TNL21" s="33"/>
      <c r="TNP21" s="41"/>
      <c r="TNV21" s="42"/>
      <c r="TOC21" s="33"/>
      <c r="TOD21" s="33"/>
      <c r="TOH21" s="41"/>
      <c r="TON21" s="42"/>
      <c r="TOU21" s="33"/>
      <c r="TOV21" s="33"/>
      <c r="TOZ21" s="41"/>
      <c r="TPF21" s="42"/>
      <c r="TPM21" s="33"/>
      <c r="TPN21" s="33"/>
      <c r="TPR21" s="41"/>
      <c r="TPX21" s="42"/>
      <c r="TQE21" s="33"/>
      <c r="TQF21" s="33"/>
      <c r="TQJ21" s="41"/>
      <c r="TQP21" s="42"/>
      <c r="TQW21" s="33"/>
      <c r="TQX21" s="33"/>
      <c r="TRB21" s="41"/>
      <c r="TRH21" s="42"/>
      <c r="TRO21" s="33"/>
      <c r="TRP21" s="33"/>
      <c r="TRT21" s="41"/>
      <c r="TRZ21" s="42"/>
      <c r="TSG21" s="33"/>
      <c r="TSH21" s="33"/>
      <c r="TSL21" s="41"/>
      <c r="TSR21" s="42"/>
      <c r="TSY21" s="33"/>
      <c r="TSZ21" s="33"/>
      <c r="TTD21" s="41"/>
      <c r="TTJ21" s="42"/>
      <c r="TTQ21" s="33"/>
      <c r="TTR21" s="33"/>
      <c r="TTV21" s="41"/>
      <c r="TUB21" s="42"/>
      <c r="TUI21" s="33"/>
      <c r="TUJ21" s="33"/>
      <c r="TUN21" s="41"/>
      <c r="TUT21" s="42"/>
      <c r="TVA21" s="33"/>
      <c r="TVB21" s="33"/>
      <c r="TVF21" s="41"/>
      <c r="TVL21" s="42"/>
      <c r="TVS21" s="33"/>
      <c r="TVT21" s="33"/>
      <c r="TVX21" s="41"/>
      <c r="TWD21" s="42"/>
      <c r="TWK21" s="33"/>
      <c r="TWL21" s="33"/>
      <c r="TWP21" s="41"/>
      <c r="TWV21" s="42"/>
      <c r="TXC21" s="33"/>
      <c r="TXD21" s="33"/>
      <c r="TXH21" s="41"/>
      <c r="TXN21" s="42"/>
      <c r="TXU21" s="33"/>
      <c r="TXV21" s="33"/>
      <c r="TXZ21" s="41"/>
      <c r="TYF21" s="42"/>
      <c r="TYM21" s="33"/>
      <c r="TYN21" s="33"/>
      <c r="TYR21" s="41"/>
      <c r="TYX21" s="42"/>
      <c r="TZE21" s="33"/>
      <c r="TZF21" s="33"/>
      <c r="TZJ21" s="41"/>
      <c r="TZP21" s="42"/>
      <c r="TZW21" s="33"/>
      <c r="TZX21" s="33"/>
      <c r="UAB21" s="41"/>
      <c r="UAH21" s="42"/>
      <c r="UAO21" s="33"/>
      <c r="UAP21" s="33"/>
      <c r="UAT21" s="41"/>
      <c r="UAZ21" s="42"/>
      <c r="UBG21" s="33"/>
      <c r="UBH21" s="33"/>
      <c r="UBL21" s="41"/>
      <c r="UBR21" s="42"/>
      <c r="UBY21" s="33"/>
      <c r="UBZ21" s="33"/>
      <c r="UCD21" s="41"/>
      <c r="UCJ21" s="42"/>
      <c r="UCQ21" s="33"/>
      <c r="UCR21" s="33"/>
      <c r="UCV21" s="41"/>
      <c r="UDB21" s="42"/>
      <c r="UDI21" s="33"/>
      <c r="UDJ21" s="33"/>
      <c r="UDN21" s="41"/>
      <c r="UDT21" s="42"/>
      <c r="UEA21" s="33"/>
      <c r="UEB21" s="33"/>
      <c r="UEF21" s="41"/>
      <c r="UEL21" s="42"/>
      <c r="UES21" s="33"/>
      <c r="UET21" s="33"/>
      <c r="UEX21" s="41"/>
      <c r="UFD21" s="42"/>
      <c r="UFK21" s="33"/>
      <c r="UFL21" s="33"/>
      <c r="UFP21" s="41"/>
      <c r="UFV21" s="42"/>
      <c r="UGC21" s="33"/>
      <c r="UGD21" s="33"/>
      <c r="UGH21" s="41"/>
      <c r="UGN21" s="42"/>
      <c r="UGU21" s="33"/>
      <c r="UGV21" s="33"/>
      <c r="UGZ21" s="41"/>
      <c r="UHF21" s="42"/>
      <c r="UHM21" s="33"/>
      <c r="UHN21" s="33"/>
      <c r="UHR21" s="41"/>
      <c r="UHX21" s="42"/>
      <c r="UIE21" s="33"/>
      <c r="UIF21" s="33"/>
      <c r="UIJ21" s="41"/>
      <c r="UIP21" s="42"/>
      <c r="UIW21" s="33"/>
      <c r="UIX21" s="33"/>
      <c r="UJB21" s="41"/>
      <c r="UJH21" s="42"/>
      <c r="UJO21" s="33"/>
      <c r="UJP21" s="33"/>
      <c r="UJT21" s="41"/>
      <c r="UJZ21" s="42"/>
      <c r="UKG21" s="33"/>
      <c r="UKH21" s="33"/>
      <c r="UKL21" s="41"/>
      <c r="UKR21" s="42"/>
      <c r="UKY21" s="33"/>
      <c r="UKZ21" s="33"/>
      <c r="ULD21" s="41"/>
      <c r="ULJ21" s="42"/>
      <c r="ULQ21" s="33"/>
      <c r="ULR21" s="33"/>
      <c r="ULV21" s="41"/>
      <c r="UMB21" s="42"/>
      <c r="UMI21" s="33"/>
      <c r="UMJ21" s="33"/>
      <c r="UMN21" s="41"/>
      <c r="UMT21" s="42"/>
      <c r="UNA21" s="33"/>
      <c r="UNB21" s="33"/>
      <c r="UNF21" s="41"/>
      <c r="UNL21" s="42"/>
      <c r="UNS21" s="33"/>
      <c r="UNT21" s="33"/>
      <c r="UNX21" s="41"/>
      <c r="UOD21" s="42"/>
      <c r="UOK21" s="33"/>
      <c r="UOL21" s="33"/>
      <c r="UOP21" s="41"/>
      <c r="UOV21" s="42"/>
      <c r="UPC21" s="33"/>
      <c r="UPD21" s="33"/>
      <c r="UPH21" s="41"/>
      <c r="UPN21" s="42"/>
      <c r="UPU21" s="33"/>
      <c r="UPV21" s="33"/>
      <c r="UPZ21" s="41"/>
      <c r="UQF21" s="42"/>
      <c r="UQM21" s="33"/>
      <c r="UQN21" s="33"/>
      <c r="UQR21" s="41"/>
      <c r="UQX21" s="42"/>
      <c r="URE21" s="33"/>
      <c r="URF21" s="33"/>
      <c r="URJ21" s="41"/>
      <c r="URP21" s="42"/>
      <c r="URW21" s="33"/>
      <c r="URX21" s="33"/>
      <c r="USB21" s="41"/>
      <c r="USH21" s="42"/>
      <c r="USO21" s="33"/>
      <c r="USP21" s="33"/>
      <c r="UST21" s="41"/>
      <c r="USZ21" s="42"/>
      <c r="UTG21" s="33"/>
      <c r="UTH21" s="33"/>
      <c r="UTL21" s="41"/>
      <c r="UTR21" s="42"/>
      <c r="UTY21" s="33"/>
      <c r="UTZ21" s="33"/>
      <c r="UUD21" s="41"/>
      <c r="UUJ21" s="42"/>
      <c r="UUQ21" s="33"/>
      <c r="UUR21" s="33"/>
      <c r="UUV21" s="41"/>
      <c r="UVB21" s="42"/>
      <c r="UVI21" s="33"/>
      <c r="UVJ21" s="33"/>
      <c r="UVN21" s="41"/>
      <c r="UVT21" s="42"/>
      <c r="UWA21" s="33"/>
      <c r="UWB21" s="33"/>
      <c r="UWF21" s="41"/>
      <c r="UWL21" s="42"/>
      <c r="UWS21" s="33"/>
      <c r="UWT21" s="33"/>
      <c r="UWX21" s="41"/>
      <c r="UXD21" s="42"/>
      <c r="UXK21" s="33"/>
      <c r="UXL21" s="33"/>
      <c r="UXP21" s="41"/>
      <c r="UXV21" s="42"/>
      <c r="UYC21" s="33"/>
      <c r="UYD21" s="33"/>
      <c r="UYH21" s="41"/>
      <c r="UYN21" s="42"/>
      <c r="UYU21" s="33"/>
      <c r="UYV21" s="33"/>
      <c r="UYZ21" s="41"/>
      <c r="UZF21" s="42"/>
      <c r="UZM21" s="33"/>
      <c r="UZN21" s="33"/>
      <c r="UZR21" s="41"/>
      <c r="UZX21" s="42"/>
      <c r="VAE21" s="33"/>
      <c r="VAF21" s="33"/>
      <c r="VAJ21" s="41"/>
      <c r="VAP21" s="42"/>
      <c r="VAW21" s="33"/>
      <c r="VAX21" s="33"/>
      <c r="VBB21" s="41"/>
      <c r="VBH21" s="42"/>
      <c r="VBO21" s="33"/>
      <c r="VBP21" s="33"/>
      <c r="VBT21" s="41"/>
      <c r="VBZ21" s="42"/>
      <c r="VCG21" s="33"/>
      <c r="VCH21" s="33"/>
      <c r="VCL21" s="41"/>
      <c r="VCR21" s="42"/>
      <c r="VCY21" s="33"/>
      <c r="VCZ21" s="33"/>
      <c r="VDD21" s="41"/>
      <c r="VDJ21" s="42"/>
      <c r="VDQ21" s="33"/>
      <c r="VDR21" s="33"/>
      <c r="VDV21" s="41"/>
      <c r="VEB21" s="42"/>
      <c r="VEI21" s="33"/>
      <c r="VEJ21" s="33"/>
      <c r="VEN21" s="41"/>
      <c r="VET21" s="42"/>
      <c r="VFA21" s="33"/>
      <c r="VFB21" s="33"/>
      <c r="VFF21" s="41"/>
      <c r="VFL21" s="42"/>
      <c r="VFS21" s="33"/>
      <c r="VFT21" s="33"/>
      <c r="VFX21" s="41"/>
      <c r="VGD21" s="42"/>
      <c r="VGK21" s="33"/>
      <c r="VGL21" s="33"/>
      <c r="VGP21" s="41"/>
      <c r="VGV21" s="42"/>
      <c r="VHC21" s="33"/>
      <c r="VHD21" s="33"/>
      <c r="VHH21" s="41"/>
      <c r="VHN21" s="42"/>
      <c r="VHU21" s="33"/>
      <c r="VHV21" s="33"/>
      <c r="VHZ21" s="41"/>
      <c r="VIF21" s="42"/>
      <c r="VIM21" s="33"/>
      <c r="VIN21" s="33"/>
      <c r="VIR21" s="41"/>
      <c r="VIX21" s="42"/>
      <c r="VJE21" s="33"/>
      <c r="VJF21" s="33"/>
      <c r="VJJ21" s="41"/>
      <c r="VJP21" s="42"/>
      <c r="VJW21" s="33"/>
      <c r="VJX21" s="33"/>
      <c r="VKB21" s="41"/>
      <c r="VKH21" s="42"/>
      <c r="VKO21" s="33"/>
      <c r="VKP21" s="33"/>
      <c r="VKT21" s="41"/>
      <c r="VKZ21" s="42"/>
      <c r="VLG21" s="33"/>
      <c r="VLH21" s="33"/>
      <c r="VLL21" s="41"/>
      <c r="VLR21" s="42"/>
      <c r="VLY21" s="33"/>
      <c r="VLZ21" s="33"/>
      <c r="VMD21" s="41"/>
      <c r="VMJ21" s="42"/>
      <c r="VMQ21" s="33"/>
      <c r="VMR21" s="33"/>
      <c r="VMV21" s="41"/>
      <c r="VNB21" s="42"/>
      <c r="VNI21" s="33"/>
      <c r="VNJ21" s="33"/>
      <c r="VNN21" s="41"/>
      <c r="VNT21" s="42"/>
      <c r="VOA21" s="33"/>
      <c r="VOB21" s="33"/>
      <c r="VOF21" s="41"/>
      <c r="VOL21" s="42"/>
      <c r="VOS21" s="33"/>
      <c r="VOT21" s="33"/>
      <c r="VOX21" s="41"/>
      <c r="VPD21" s="42"/>
      <c r="VPK21" s="33"/>
      <c r="VPL21" s="33"/>
      <c r="VPP21" s="41"/>
      <c r="VPV21" s="42"/>
      <c r="VQC21" s="33"/>
      <c r="VQD21" s="33"/>
      <c r="VQH21" s="41"/>
      <c r="VQN21" s="42"/>
      <c r="VQU21" s="33"/>
      <c r="VQV21" s="33"/>
      <c r="VQZ21" s="41"/>
      <c r="VRF21" s="42"/>
      <c r="VRM21" s="33"/>
      <c r="VRN21" s="33"/>
      <c r="VRR21" s="41"/>
      <c r="VRX21" s="42"/>
      <c r="VSE21" s="33"/>
      <c r="VSF21" s="33"/>
      <c r="VSJ21" s="41"/>
      <c r="VSP21" s="42"/>
      <c r="VSW21" s="33"/>
      <c r="VSX21" s="33"/>
      <c r="VTB21" s="41"/>
      <c r="VTH21" s="42"/>
      <c r="VTO21" s="33"/>
      <c r="VTP21" s="33"/>
      <c r="VTT21" s="41"/>
      <c r="VTZ21" s="42"/>
      <c r="VUG21" s="33"/>
      <c r="VUH21" s="33"/>
      <c r="VUL21" s="41"/>
      <c r="VUR21" s="42"/>
      <c r="VUY21" s="33"/>
      <c r="VUZ21" s="33"/>
      <c r="VVD21" s="41"/>
      <c r="VVJ21" s="42"/>
      <c r="VVQ21" s="33"/>
      <c r="VVR21" s="33"/>
      <c r="VVV21" s="41"/>
      <c r="VWB21" s="42"/>
      <c r="VWI21" s="33"/>
      <c r="VWJ21" s="33"/>
      <c r="VWN21" s="41"/>
      <c r="VWT21" s="42"/>
      <c r="VXA21" s="33"/>
      <c r="VXB21" s="33"/>
      <c r="VXF21" s="41"/>
      <c r="VXL21" s="42"/>
      <c r="VXS21" s="33"/>
      <c r="VXT21" s="33"/>
      <c r="VXX21" s="41"/>
      <c r="VYD21" s="42"/>
      <c r="VYK21" s="33"/>
      <c r="VYL21" s="33"/>
      <c r="VYP21" s="41"/>
      <c r="VYV21" s="42"/>
      <c r="VZC21" s="33"/>
      <c r="VZD21" s="33"/>
      <c r="VZH21" s="41"/>
      <c r="VZN21" s="42"/>
      <c r="VZU21" s="33"/>
      <c r="VZV21" s="33"/>
      <c r="VZZ21" s="41"/>
      <c r="WAF21" s="42"/>
      <c r="WAM21" s="33"/>
      <c r="WAN21" s="33"/>
      <c r="WAR21" s="41"/>
      <c r="WAX21" s="42"/>
      <c r="WBE21" s="33"/>
      <c r="WBF21" s="33"/>
      <c r="WBJ21" s="41"/>
      <c r="WBP21" s="42"/>
      <c r="WBW21" s="33"/>
      <c r="WBX21" s="33"/>
      <c r="WCB21" s="41"/>
      <c r="WCH21" s="42"/>
      <c r="WCO21" s="33"/>
      <c r="WCP21" s="33"/>
      <c r="WCT21" s="41"/>
      <c r="WCZ21" s="42"/>
      <c r="WDG21" s="33"/>
      <c r="WDH21" s="33"/>
      <c r="WDL21" s="41"/>
      <c r="WDR21" s="42"/>
      <c r="WDY21" s="33"/>
      <c r="WDZ21" s="33"/>
      <c r="WED21" s="41"/>
      <c r="WEJ21" s="42"/>
      <c r="WEQ21" s="33"/>
      <c r="WER21" s="33"/>
      <c r="WEV21" s="41"/>
      <c r="WFB21" s="42"/>
      <c r="WFI21" s="33"/>
      <c r="WFJ21" s="33"/>
      <c r="WFN21" s="41"/>
      <c r="WFT21" s="42"/>
      <c r="WGA21" s="33"/>
      <c r="WGB21" s="33"/>
      <c r="WGF21" s="41"/>
      <c r="WGL21" s="42"/>
      <c r="WGS21" s="33"/>
      <c r="WGT21" s="33"/>
      <c r="WGX21" s="41"/>
      <c r="WHD21" s="42"/>
      <c r="WHK21" s="33"/>
      <c r="WHL21" s="33"/>
      <c r="WHP21" s="41"/>
      <c r="WHV21" s="42"/>
      <c r="WIC21" s="33"/>
      <c r="WID21" s="33"/>
      <c r="WIH21" s="41"/>
      <c r="WIN21" s="42"/>
      <c r="WIU21" s="33"/>
      <c r="WIV21" s="33"/>
      <c r="WIZ21" s="41"/>
      <c r="WJF21" s="42"/>
      <c r="WJM21" s="33"/>
      <c r="WJN21" s="33"/>
      <c r="WJR21" s="41"/>
      <c r="WJX21" s="42"/>
      <c r="WKE21" s="33"/>
      <c r="WKF21" s="33"/>
      <c r="WKJ21" s="41"/>
      <c r="WKP21" s="42"/>
      <c r="WKW21" s="33"/>
      <c r="WKX21" s="33"/>
      <c r="WLB21" s="41"/>
      <c r="WLH21" s="42"/>
      <c r="WLO21" s="33"/>
      <c r="WLP21" s="33"/>
      <c r="WLT21" s="41"/>
      <c r="WLZ21" s="42"/>
      <c r="WMG21" s="33"/>
      <c r="WMH21" s="33"/>
      <c r="WML21" s="41"/>
      <c r="WMR21" s="42"/>
      <c r="WMY21" s="33"/>
      <c r="WMZ21" s="33"/>
      <c r="WND21" s="41"/>
      <c r="WNJ21" s="42"/>
      <c r="WNQ21" s="33"/>
      <c r="WNR21" s="33"/>
      <c r="WNV21" s="41"/>
      <c r="WOB21" s="42"/>
      <c r="WOI21" s="33"/>
      <c r="WOJ21" s="33"/>
      <c r="WON21" s="41"/>
      <c r="WOT21" s="42"/>
      <c r="WPA21" s="33"/>
      <c r="WPB21" s="33"/>
      <c r="WPF21" s="41"/>
      <c r="WPL21" s="42"/>
      <c r="WPS21" s="33"/>
      <c r="WPT21" s="33"/>
      <c r="WPX21" s="41"/>
      <c r="WQD21" s="42"/>
      <c r="WQK21" s="33"/>
      <c r="WQL21" s="33"/>
      <c r="WQP21" s="41"/>
      <c r="WQV21" s="42"/>
      <c r="WRC21" s="33"/>
      <c r="WRD21" s="33"/>
      <c r="WRH21" s="41"/>
      <c r="WRN21" s="42"/>
      <c r="WRU21" s="33"/>
      <c r="WRV21" s="33"/>
      <c r="WRZ21" s="41"/>
      <c r="WSF21" s="42"/>
      <c r="WSM21" s="33"/>
      <c r="WSN21" s="33"/>
      <c r="WSR21" s="41"/>
      <c r="WSX21" s="42"/>
      <c r="WTE21" s="33"/>
      <c r="WTF21" s="33"/>
      <c r="WTJ21" s="41"/>
      <c r="WTP21" s="42"/>
      <c r="WTW21" s="33"/>
      <c r="WTX21" s="33"/>
      <c r="WUB21" s="41"/>
      <c r="WUH21" s="42"/>
      <c r="WUO21" s="33"/>
      <c r="WUP21" s="33"/>
      <c r="WUT21" s="41"/>
      <c r="WUZ21" s="42"/>
      <c r="WVG21" s="33"/>
      <c r="WVH21" s="33"/>
      <c r="WVL21" s="41"/>
      <c r="WVR21" s="42"/>
      <c r="WVY21" s="33"/>
      <c r="WVZ21" s="33"/>
      <c r="WWD21" s="41"/>
      <c r="WWJ21" s="42"/>
      <c r="WWQ21" s="33"/>
      <c r="WWR21" s="33"/>
      <c r="WWV21" s="41"/>
      <c r="WXB21" s="42"/>
      <c r="WXI21" s="33"/>
      <c r="WXJ21" s="33"/>
      <c r="WXN21" s="41"/>
      <c r="WXT21" s="42"/>
      <c r="WYA21" s="33"/>
      <c r="WYB21" s="33"/>
      <c r="WYF21" s="41"/>
      <c r="WYL21" s="42"/>
      <c r="WYS21" s="33"/>
      <c r="WYT21" s="33"/>
      <c r="WYX21" s="41"/>
      <c r="WZD21" s="42"/>
      <c r="WZK21" s="33"/>
      <c r="WZL21" s="33"/>
      <c r="WZP21" s="41"/>
      <c r="WZV21" s="42"/>
      <c r="XAC21" s="33"/>
      <c r="XAD21" s="33"/>
      <c r="XAH21" s="41"/>
      <c r="XAN21" s="42"/>
      <c r="XAU21" s="33"/>
      <c r="XAV21" s="33"/>
      <c r="XAZ21" s="41"/>
      <c r="XBF21" s="42"/>
      <c r="XBM21" s="33"/>
      <c r="XBN21" s="33"/>
      <c r="XBR21" s="41"/>
      <c r="XBX21" s="42"/>
      <c r="XCE21" s="33"/>
      <c r="XCF21" s="33"/>
      <c r="XCJ21" s="41"/>
      <c r="XCP21" s="42"/>
      <c r="XCW21" s="33"/>
      <c r="XCX21" s="33"/>
      <c r="XDB21" s="41"/>
      <c r="XDH21" s="42"/>
      <c r="XDO21" s="33"/>
      <c r="XDP21" s="33"/>
      <c r="XDT21" s="41"/>
      <c r="XDZ21" s="42"/>
      <c r="XEG21" s="33"/>
      <c r="XEH21" s="33"/>
      <c r="XEL21" s="41"/>
      <c r="XER21" s="42"/>
      <c r="XEY21" s="33"/>
      <c r="XEZ21" s="33"/>
      <c r="XFD21" s="41"/>
    </row>
    <row r="22" spans="1:1018 1025:2044 2051:3070 3077:4096 4103:5116 5122:6142 6148:7168 7174:8190 8194:9216 9220:10234 10241:11260 11267:12286 12293:13312 13319:14332 14338:15358 15364:16384" s="40" customFormat="1">
      <c r="A22" s="33" t="s">
        <v>89</v>
      </c>
      <c r="B22" s="34">
        <v>2009</v>
      </c>
      <c r="C22" s="35" t="s">
        <v>85</v>
      </c>
      <c r="D22" s="36" t="s">
        <v>86</v>
      </c>
      <c r="E22" s="37" t="s">
        <v>87</v>
      </c>
      <c r="F22" s="35" t="s">
        <v>24</v>
      </c>
      <c r="G22" s="38">
        <v>22698094.711444009</v>
      </c>
      <c r="H22" s="38">
        <v>24962866.897629976</v>
      </c>
      <c r="I22" s="34">
        <v>4</v>
      </c>
      <c r="J22" s="39" t="s">
        <v>90</v>
      </c>
      <c r="K22" s="36" t="s">
        <v>26</v>
      </c>
      <c r="L22" s="36"/>
      <c r="M22" s="36" t="s">
        <v>26</v>
      </c>
      <c r="N22" s="34"/>
      <c r="O22" s="36"/>
      <c r="P22" s="34"/>
      <c r="Q22" s="36"/>
      <c r="R22" s="36"/>
      <c r="V22" s="41"/>
      <c r="AB22" s="42"/>
      <c r="AI22" s="33"/>
      <c r="AJ22" s="33"/>
      <c r="AN22" s="41"/>
      <c r="AT22" s="42"/>
      <c r="BA22" s="33"/>
      <c r="BB22" s="33"/>
      <c r="BF22" s="41"/>
      <c r="BL22" s="42"/>
      <c r="BS22" s="33"/>
      <c r="BT22" s="33"/>
      <c r="BX22" s="41"/>
      <c r="CD22" s="42"/>
      <c r="CK22" s="33"/>
      <c r="CL22" s="33"/>
      <c r="CP22" s="41"/>
      <c r="CV22" s="42"/>
      <c r="DC22" s="33"/>
      <c r="DD22" s="33"/>
      <c r="DH22" s="41"/>
      <c r="DN22" s="42"/>
      <c r="DU22" s="33"/>
      <c r="DV22" s="33"/>
      <c r="DZ22" s="41"/>
      <c r="EF22" s="42"/>
      <c r="EM22" s="33"/>
      <c r="EN22" s="33"/>
      <c r="ER22" s="41"/>
      <c r="EX22" s="42"/>
      <c r="FE22" s="33"/>
      <c r="FF22" s="33"/>
      <c r="FJ22" s="41"/>
      <c r="FP22" s="42"/>
      <c r="FW22" s="33"/>
      <c r="FX22" s="33"/>
      <c r="GB22" s="41"/>
      <c r="GH22" s="42"/>
      <c r="GO22" s="33"/>
      <c r="GP22" s="33"/>
      <c r="GT22" s="41"/>
      <c r="GZ22" s="42"/>
      <c r="HG22" s="33"/>
      <c r="HH22" s="33"/>
      <c r="HL22" s="41"/>
      <c r="HR22" s="42"/>
      <c r="HY22" s="33"/>
      <c r="HZ22" s="33"/>
      <c r="ID22" s="41"/>
      <c r="IJ22" s="42"/>
      <c r="IQ22" s="33"/>
      <c r="IR22" s="33"/>
      <c r="IV22" s="41"/>
      <c r="JB22" s="42"/>
      <c r="JI22" s="33"/>
      <c r="JJ22" s="33"/>
      <c r="JN22" s="41"/>
      <c r="JT22" s="42"/>
      <c r="KA22" s="33"/>
      <c r="KB22" s="33"/>
      <c r="KF22" s="41"/>
      <c r="KL22" s="42"/>
      <c r="KS22" s="33"/>
      <c r="KT22" s="33"/>
      <c r="KX22" s="41"/>
      <c r="LD22" s="42"/>
      <c r="LK22" s="33"/>
      <c r="LL22" s="33"/>
      <c r="LP22" s="41"/>
      <c r="LV22" s="42"/>
      <c r="MC22" s="33"/>
      <c r="MD22" s="33"/>
      <c r="MH22" s="41"/>
      <c r="MN22" s="42"/>
      <c r="MU22" s="33"/>
      <c r="MV22" s="33"/>
      <c r="MZ22" s="41"/>
      <c r="NF22" s="42"/>
      <c r="NM22" s="33"/>
      <c r="NN22" s="33"/>
      <c r="NR22" s="41"/>
      <c r="NX22" s="42"/>
      <c r="OE22" s="33"/>
      <c r="OF22" s="33"/>
      <c r="OJ22" s="41"/>
      <c r="OP22" s="42"/>
      <c r="OW22" s="33"/>
      <c r="OX22" s="33"/>
      <c r="PB22" s="41"/>
      <c r="PH22" s="42"/>
      <c r="PO22" s="33"/>
      <c r="PP22" s="33"/>
      <c r="PT22" s="41"/>
      <c r="PZ22" s="42"/>
      <c r="QG22" s="33"/>
      <c r="QH22" s="33"/>
      <c r="QL22" s="41"/>
      <c r="QR22" s="42"/>
      <c r="QY22" s="33"/>
      <c r="QZ22" s="33"/>
      <c r="RD22" s="41"/>
      <c r="RJ22" s="42"/>
      <c r="RQ22" s="33"/>
      <c r="RR22" s="33"/>
      <c r="RV22" s="41"/>
      <c r="SB22" s="42"/>
      <c r="SI22" s="33"/>
      <c r="SJ22" s="33"/>
      <c r="SN22" s="41"/>
      <c r="ST22" s="42"/>
      <c r="TA22" s="33"/>
      <c r="TB22" s="33"/>
      <c r="TF22" s="41"/>
      <c r="TL22" s="42"/>
      <c r="TS22" s="33"/>
      <c r="TT22" s="33"/>
      <c r="TX22" s="41"/>
      <c r="UD22" s="42"/>
      <c r="UK22" s="33"/>
      <c r="UL22" s="33"/>
      <c r="UP22" s="41"/>
      <c r="UV22" s="42"/>
      <c r="VC22" s="33"/>
      <c r="VD22" s="33"/>
      <c r="VH22" s="41"/>
      <c r="VN22" s="42"/>
      <c r="VU22" s="33"/>
      <c r="VV22" s="33"/>
      <c r="VZ22" s="41"/>
      <c r="WF22" s="42"/>
      <c r="WM22" s="33"/>
      <c r="WN22" s="33"/>
      <c r="WR22" s="41"/>
      <c r="WX22" s="42"/>
      <c r="XE22" s="33"/>
      <c r="XF22" s="33"/>
      <c r="XJ22" s="41"/>
      <c r="XP22" s="42"/>
      <c r="XW22" s="33"/>
      <c r="XX22" s="33"/>
      <c r="YB22" s="41"/>
      <c r="YH22" s="42"/>
      <c r="YO22" s="33"/>
      <c r="YP22" s="33"/>
      <c r="YT22" s="41"/>
      <c r="YZ22" s="42"/>
      <c r="ZG22" s="33"/>
      <c r="ZH22" s="33"/>
      <c r="ZL22" s="41"/>
      <c r="ZR22" s="42"/>
      <c r="ZY22" s="33"/>
      <c r="ZZ22" s="33"/>
      <c r="AAD22" s="41"/>
      <c r="AAJ22" s="42"/>
      <c r="AAQ22" s="33"/>
      <c r="AAR22" s="33"/>
      <c r="AAV22" s="41"/>
      <c r="ABB22" s="42"/>
      <c r="ABI22" s="33"/>
      <c r="ABJ22" s="33"/>
      <c r="ABN22" s="41"/>
      <c r="ABT22" s="42"/>
      <c r="ACA22" s="33"/>
      <c r="ACB22" s="33"/>
      <c r="ACF22" s="41"/>
      <c r="ACL22" s="42"/>
      <c r="ACS22" s="33"/>
      <c r="ACT22" s="33"/>
      <c r="ACX22" s="41"/>
      <c r="ADD22" s="42"/>
      <c r="ADK22" s="33"/>
      <c r="ADL22" s="33"/>
      <c r="ADP22" s="41"/>
      <c r="ADV22" s="42"/>
      <c r="AEC22" s="33"/>
      <c r="AED22" s="33"/>
      <c r="AEH22" s="41"/>
      <c r="AEN22" s="42"/>
      <c r="AEU22" s="33"/>
      <c r="AEV22" s="33"/>
      <c r="AEZ22" s="41"/>
      <c r="AFF22" s="42"/>
      <c r="AFM22" s="33"/>
      <c r="AFN22" s="33"/>
      <c r="AFR22" s="41"/>
      <c r="AFX22" s="42"/>
      <c r="AGE22" s="33"/>
      <c r="AGF22" s="33"/>
      <c r="AGJ22" s="41"/>
      <c r="AGP22" s="42"/>
      <c r="AGW22" s="33"/>
      <c r="AGX22" s="33"/>
      <c r="AHB22" s="41"/>
      <c r="AHH22" s="42"/>
      <c r="AHO22" s="33"/>
      <c r="AHP22" s="33"/>
      <c r="AHT22" s="41"/>
      <c r="AHZ22" s="42"/>
      <c r="AIG22" s="33"/>
      <c r="AIH22" s="33"/>
      <c r="AIL22" s="41"/>
      <c r="AIR22" s="42"/>
      <c r="AIY22" s="33"/>
      <c r="AIZ22" s="33"/>
      <c r="AJD22" s="41"/>
      <c r="AJJ22" s="42"/>
      <c r="AJQ22" s="33"/>
      <c r="AJR22" s="33"/>
      <c r="AJV22" s="41"/>
      <c r="AKB22" s="42"/>
      <c r="AKI22" s="33"/>
      <c r="AKJ22" s="33"/>
      <c r="AKN22" s="41"/>
      <c r="AKT22" s="42"/>
      <c r="ALA22" s="33"/>
      <c r="ALB22" s="33"/>
      <c r="ALF22" s="41"/>
      <c r="ALL22" s="42"/>
      <c r="ALS22" s="33"/>
      <c r="ALT22" s="33"/>
      <c r="ALX22" s="41"/>
      <c r="AMD22" s="42"/>
      <c r="AMK22" s="33"/>
      <c r="AML22" s="33"/>
      <c r="AMP22" s="41"/>
      <c r="AMV22" s="42"/>
      <c r="ANC22" s="33"/>
      <c r="AND22" s="33"/>
      <c r="ANH22" s="41"/>
      <c r="ANN22" s="42"/>
      <c r="ANU22" s="33"/>
      <c r="ANV22" s="33"/>
      <c r="ANZ22" s="41"/>
      <c r="AOF22" s="42"/>
      <c r="AOM22" s="33"/>
      <c r="AON22" s="33"/>
      <c r="AOR22" s="41"/>
      <c r="AOX22" s="42"/>
      <c r="APE22" s="33"/>
      <c r="APF22" s="33"/>
      <c r="APJ22" s="41"/>
      <c r="APP22" s="42"/>
      <c r="APW22" s="33"/>
      <c r="APX22" s="33"/>
      <c r="AQB22" s="41"/>
      <c r="AQH22" s="42"/>
      <c r="AQO22" s="33"/>
      <c r="AQP22" s="33"/>
      <c r="AQT22" s="41"/>
      <c r="AQZ22" s="42"/>
      <c r="ARG22" s="33"/>
      <c r="ARH22" s="33"/>
      <c r="ARL22" s="41"/>
      <c r="ARR22" s="42"/>
      <c r="ARY22" s="33"/>
      <c r="ARZ22" s="33"/>
      <c r="ASD22" s="41"/>
      <c r="ASJ22" s="42"/>
      <c r="ASQ22" s="33"/>
      <c r="ASR22" s="33"/>
      <c r="ASV22" s="41"/>
      <c r="ATB22" s="42"/>
      <c r="ATI22" s="33"/>
      <c r="ATJ22" s="33"/>
      <c r="ATN22" s="41"/>
      <c r="ATT22" s="42"/>
      <c r="AUA22" s="33"/>
      <c r="AUB22" s="33"/>
      <c r="AUF22" s="41"/>
      <c r="AUL22" s="42"/>
      <c r="AUS22" s="33"/>
      <c r="AUT22" s="33"/>
      <c r="AUX22" s="41"/>
      <c r="AVD22" s="42"/>
      <c r="AVK22" s="33"/>
      <c r="AVL22" s="33"/>
      <c r="AVP22" s="41"/>
      <c r="AVV22" s="42"/>
      <c r="AWC22" s="33"/>
      <c r="AWD22" s="33"/>
      <c r="AWH22" s="41"/>
      <c r="AWN22" s="42"/>
      <c r="AWU22" s="33"/>
      <c r="AWV22" s="33"/>
      <c r="AWZ22" s="41"/>
      <c r="AXF22" s="42"/>
      <c r="AXM22" s="33"/>
      <c r="AXN22" s="33"/>
      <c r="AXR22" s="41"/>
      <c r="AXX22" s="42"/>
      <c r="AYE22" s="33"/>
      <c r="AYF22" s="33"/>
      <c r="AYJ22" s="41"/>
      <c r="AYP22" s="42"/>
      <c r="AYW22" s="33"/>
      <c r="AYX22" s="33"/>
      <c r="AZB22" s="41"/>
      <c r="AZH22" s="42"/>
      <c r="AZO22" s="33"/>
      <c r="AZP22" s="33"/>
      <c r="AZT22" s="41"/>
      <c r="AZZ22" s="42"/>
      <c r="BAG22" s="33"/>
      <c r="BAH22" s="33"/>
      <c r="BAL22" s="41"/>
      <c r="BAR22" s="42"/>
      <c r="BAY22" s="33"/>
      <c r="BAZ22" s="33"/>
      <c r="BBD22" s="41"/>
      <c r="BBJ22" s="42"/>
      <c r="BBQ22" s="33"/>
      <c r="BBR22" s="33"/>
      <c r="BBV22" s="41"/>
      <c r="BCB22" s="42"/>
      <c r="BCI22" s="33"/>
      <c r="BCJ22" s="33"/>
      <c r="BCN22" s="41"/>
      <c r="BCT22" s="42"/>
      <c r="BDA22" s="33"/>
      <c r="BDB22" s="33"/>
      <c r="BDF22" s="41"/>
      <c r="BDL22" s="42"/>
      <c r="BDS22" s="33"/>
      <c r="BDT22" s="33"/>
      <c r="BDX22" s="41"/>
      <c r="BED22" s="42"/>
      <c r="BEK22" s="33"/>
      <c r="BEL22" s="33"/>
      <c r="BEP22" s="41"/>
      <c r="BEV22" s="42"/>
      <c r="BFC22" s="33"/>
      <c r="BFD22" s="33"/>
      <c r="BFH22" s="41"/>
      <c r="BFN22" s="42"/>
      <c r="BFU22" s="33"/>
      <c r="BFV22" s="33"/>
      <c r="BFZ22" s="41"/>
      <c r="BGF22" s="42"/>
      <c r="BGM22" s="33"/>
      <c r="BGN22" s="33"/>
      <c r="BGR22" s="41"/>
      <c r="BGX22" s="42"/>
      <c r="BHE22" s="33"/>
      <c r="BHF22" s="33"/>
      <c r="BHJ22" s="41"/>
      <c r="BHP22" s="42"/>
      <c r="BHW22" s="33"/>
      <c r="BHX22" s="33"/>
      <c r="BIB22" s="41"/>
      <c r="BIH22" s="42"/>
      <c r="BIO22" s="33"/>
      <c r="BIP22" s="33"/>
      <c r="BIT22" s="41"/>
      <c r="BIZ22" s="42"/>
      <c r="BJG22" s="33"/>
      <c r="BJH22" s="33"/>
      <c r="BJL22" s="41"/>
      <c r="BJR22" s="42"/>
      <c r="BJY22" s="33"/>
      <c r="BJZ22" s="33"/>
      <c r="BKD22" s="41"/>
      <c r="BKJ22" s="42"/>
      <c r="BKQ22" s="33"/>
      <c r="BKR22" s="33"/>
      <c r="BKV22" s="41"/>
      <c r="BLB22" s="42"/>
      <c r="BLI22" s="33"/>
      <c r="BLJ22" s="33"/>
      <c r="BLN22" s="41"/>
      <c r="BLT22" s="42"/>
      <c r="BMA22" s="33"/>
      <c r="BMB22" s="33"/>
      <c r="BMF22" s="41"/>
      <c r="BML22" s="42"/>
      <c r="BMS22" s="33"/>
      <c r="BMT22" s="33"/>
      <c r="BMX22" s="41"/>
      <c r="BND22" s="42"/>
      <c r="BNK22" s="33"/>
      <c r="BNL22" s="33"/>
      <c r="BNP22" s="41"/>
      <c r="BNV22" s="42"/>
      <c r="BOC22" s="33"/>
      <c r="BOD22" s="33"/>
      <c r="BOH22" s="41"/>
      <c r="BON22" s="42"/>
      <c r="BOU22" s="33"/>
      <c r="BOV22" s="33"/>
      <c r="BOZ22" s="41"/>
      <c r="BPF22" s="42"/>
      <c r="BPM22" s="33"/>
      <c r="BPN22" s="33"/>
      <c r="BPR22" s="41"/>
      <c r="BPX22" s="42"/>
      <c r="BQE22" s="33"/>
      <c r="BQF22" s="33"/>
      <c r="BQJ22" s="41"/>
      <c r="BQP22" s="42"/>
      <c r="BQW22" s="33"/>
      <c r="BQX22" s="33"/>
      <c r="BRB22" s="41"/>
      <c r="BRH22" s="42"/>
      <c r="BRO22" s="33"/>
      <c r="BRP22" s="33"/>
      <c r="BRT22" s="41"/>
      <c r="BRZ22" s="42"/>
      <c r="BSG22" s="33"/>
      <c r="BSH22" s="33"/>
      <c r="BSL22" s="41"/>
      <c r="BSR22" s="42"/>
      <c r="BSY22" s="33"/>
      <c r="BSZ22" s="33"/>
      <c r="BTD22" s="41"/>
      <c r="BTJ22" s="42"/>
      <c r="BTQ22" s="33"/>
      <c r="BTR22" s="33"/>
      <c r="BTV22" s="41"/>
      <c r="BUB22" s="42"/>
      <c r="BUI22" s="33"/>
      <c r="BUJ22" s="33"/>
      <c r="BUN22" s="41"/>
      <c r="BUT22" s="42"/>
      <c r="BVA22" s="33"/>
      <c r="BVB22" s="33"/>
      <c r="BVF22" s="41"/>
      <c r="BVL22" s="42"/>
      <c r="BVS22" s="33"/>
      <c r="BVT22" s="33"/>
      <c r="BVX22" s="41"/>
      <c r="BWD22" s="42"/>
      <c r="BWK22" s="33"/>
      <c r="BWL22" s="33"/>
      <c r="BWP22" s="41"/>
      <c r="BWV22" s="42"/>
      <c r="BXC22" s="33"/>
      <c r="BXD22" s="33"/>
      <c r="BXH22" s="41"/>
      <c r="BXN22" s="42"/>
      <c r="BXU22" s="33"/>
      <c r="BXV22" s="33"/>
      <c r="BXZ22" s="41"/>
      <c r="BYF22" s="42"/>
      <c r="BYM22" s="33"/>
      <c r="BYN22" s="33"/>
      <c r="BYR22" s="41"/>
      <c r="BYX22" s="42"/>
      <c r="BZE22" s="33"/>
      <c r="BZF22" s="33"/>
      <c r="BZJ22" s="41"/>
      <c r="BZP22" s="42"/>
      <c r="BZW22" s="33"/>
      <c r="BZX22" s="33"/>
      <c r="CAB22" s="41"/>
      <c r="CAH22" s="42"/>
      <c r="CAO22" s="33"/>
      <c r="CAP22" s="33"/>
      <c r="CAT22" s="41"/>
      <c r="CAZ22" s="42"/>
      <c r="CBG22" s="33"/>
      <c r="CBH22" s="33"/>
      <c r="CBL22" s="41"/>
      <c r="CBR22" s="42"/>
      <c r="CBY22" s="33"/>
      <c r="CBZ22" s="33"/>
      <c r="CCD22" s="41"/>
      <c r="CCJ22" s="42"/>
      <c r="CCQ22" s="33"/>
      <c r="CCR22" s="33"/>
      <c r="CCV22" s="41"/>
      <c r="CDB22" s="42"/>
      <c r="CDI22" s="33"/>
      <c r="CDJ22" s="33"/>
      <c r="CDN22" s="41"/>
      <c r="CDT22" s="42"/>
      <c r="CEA22" s="33"/>
      <c r="CEB22" s="33"/>
      <c r="CEF22" s="41"/>
      <c r="CEL22" s="42"/>
      <c r="CES22" s="33"/>
      <c r="CET22" s="33"/>
      <c r="CEX22" s="41"/>
      <c r="CFD22" s="42"/>
      <c r="CFK22" s="33"/>
      <c r="CFL22" s="33"/>
      <c r="CFP22" s="41"/>
      <c r="CFV22" s="42"/>
      <c r="CGC22" s="33"/>
      <c r="CGD22" s="33"/>
      <c r="CGH22" s="41"/>
      <c r="CGN22" s="42"/>
      <c r="CGU22" s="33"/>
      <c r="CGV22" s="33"/>
      <c r="CGZ22" s="41"/>
      <c r="CHF22" s="42"/>
      <c r="CHM22" s="33"/>
      <c r="CHN22" s="33"/>
      <c r="CHR22" s="41"/>
      <c r="CHX22" s="42"/>
      <c r="CIE22" s="33"/>
      <c r="CIF22" s="33"/>
      <c r="CIJ22" s="41"/>
      <c r="CIP22" s="42"/>
      <c r="CIW22" s="33"/>
      <c r="CIX22" s="33"/>
      <c r="CJB22" s="41"/>
      <c r="CJH22" s="42"/>
      <c r="CJO22" s="33"/>
      <c r="CJP22" s="33"/>
      <c r="CJT22" s="41"/>
      <c r="CJZ22" s="42"/>
      <c r="CKG22" s="33"/>
      <c r="CKH22" s="33"/>
      <c r="CKL22" s="41"/>
      <c r="CKR22" s="42"/>
      <c r="CKY22" s="33"/>
      <c r="CKZ22" s="33"/>
      <c r="CLD22" s="41"/>
      <c r="CLJ22" s="42"/>
      <c r="CLQ22" s="33"/>
      <c r="CLR22" s="33"/>
      <c r="CLV22" s="41"/>
      <c r="CMB22" s="42"/>
      <c r="CMI22" s="33"/>
      <c r="CMJ22" s="33"/>
      <c r="CMN22" s="41"/>
      <c r="CMT22" s="42"/>
      <c r="CNA22" s="33"/>
      <c r="CNB22" s="33"/>
      <c r="CNF22" s="41"/>
      <c r="CNL22" s="42"/>
      <c r="CNS22" s="33"/>
      <c r="CNT22" s="33"/>
      <c r="CNX22" s="41"/>
      <c r="COD22" s="42"/>
      <c r="COK22" s="33"/>
      <c r="COL22" s="33"/>
      <c r="COP22" s="41"/>
      <c r="COV22" s="42"/>
      <c r="CPC22" s="33"/>
      <c r="CPD22" s="33"/>
      <c r="CPH22" s="41"/>
      <c r="CPN22" s="42"/>
      <c r="CPU22" s="33"/>
      <c r="CPV22" s="33"/>
      <c r="CPZ22" s="41"/>
      <c r="CQF22" s="42"/>
      <c r="CQM22" s="33"/>
      <c r="CQN22" s="33"/>
      <c r="CQR22" s="41"/>
      <c r="CQX22" s="42"/>
      <c r="CRE22" s="33"/>
      <c r="CRF22" s="33"/>
      <c r="CRJ22" s="41"/>
      <c r="CRP22" s="42"/>
      <c r="CRW22" s="33"/>
      <c r="CRX22" s="33"/>
      <c r="CSB22" s="41"/>
      <c r="CSH22" s="42"/>
      <c r="CSO22" s="33"/>
      <c r="CSP22" s="33"/>
      <c r="CST22" s="41"/>
      <c r="CSZ22" s="42"/>
      <c r="CTG22" s="33"/>
      <c r="CTH22" s="33"/>
      <c r="CTL22" s="41"/>
      <c r="CTR22" s="42"/>
      <c r="CTY22" s="33"/>
      <c r="CTZ22" s="33"/>
      <c r="CUD22" s="41"/>
      <c r="CUJ22" s="42"/>
      <c r="CUQ22" s="33"/>
      <c r="CUR22" s="33"/>
      <c r="CUV22" s="41"/>
      <c r="CVB22" s="42"/>
      <c r="CVI22" s="33"/>
      <c r="CVJ22" s="33"/>
      <c r="CVN22" s="41"/>
      <c r="CVT22" s="42"/>
      <c r="CWA22" s="33"/>
      <c r="CWB22" s="33"/>
      <c r="CWF22" s="41"/>
      <c r="CWL22" s="42"/>
      <c r="CWS22" s="33"/>
      <c r="CWT22" s="33"/>
      <c r="CWX22" s="41"/>
      <c r="CXD22" s="42"/>
      <c r="CXK22" s="33"/>
      <c r="CXL22" s="33"/>
      <c r="CXP22" s="41"/>
      <c r="CXV22" s="42"/>
      <c r="CYC22" s="33"/>
      <c r="CYD22" s="33"/>
      <c r="CYH22" s="41"/>
      <c r="CYN22" s="42"/>
      <c r="CYU22" s="33"/>
      <c r="CYV22" s="33"/>
      <c r="CYZ22" s="41"/>
      <c r="CZF22" s="42"/>
      <c r="CZM22" s="33"/>
      <c r="CZN22" s="33"/>
      <c r="CZR22" s="41"/>
      <c r="CZX22" s="42"/>
      <c r="DAE22" s="33"/>
      <c r="DAF22" s="33"/>
      <c r="DAJ22" s="41"/>
      <c r="DAP22" s="42"/>
      <c r="DAW22" s="33"/>
      <c r="DAX22" s="33"/>
      <c r="DBB22" s="41"/>
      <c r="DBH22" s="42"/>
      <c r="DBO22" s="33"/>
      <c r="DBP22" s="33"/>
      <c r="DBT22" s="41"/>
      <c r="DBZ22" s="42"/>
      <c r="DCG22" s="33"/>
      <c r="DCH22" s="33"/>
      <c r="DCL22" s="41"/>
      <c r="DCR22" s="42"/>
      <c r="DCY22" s="33"/>
      <c r="DCZ22" s="33"/>
      <c r="DDD22" s="41"/>
      <c r="DDJ22" s="42"/>
      <c r="DDQ22" s="33"/>
      <c r="DDR22" s="33"/>
      <c r="DDV22" s="41"/>
      <c r="DEB22" s="42"/>
      <c r="DEI22" s="33"/>
      <c r="DEJ22" s="33"/>
      <c r="DEN22" s="41"/>
      <c r="DET22" s="42"/>
      <c r="DFA22" s="33"/>
      <c r="DFB22" s="33"/>
      <c r="DFF22" s="41"/>
      <c r="DFL22" s="42"/>
      <c r="DFS22" s="33"/>
      <c r="DFT22" s="33"/>
      <c r="DFX22" s="41"/>
      <c r="DGD22" s="42"/>
      <c r="DGK22" s="33"/>
      <c r="DGL22" s="33"/>
      <c r="DGP22" s="41"/>
      <c r="DGV22" s="42"/>
      <c r="DHC22" s="33"/>
      <c r="DHD22" s="33"/>
      <c r="DHH22" s="41"/>
      <c r="DHN22" s="42"/>
      <c r="DHU22" s="33"/>
      <c r="DHV22" s="33"/>
      <c r="DHZ22" s="41"/>
      <c r="DIF22" s="42"/>
      <c r="DIM22" s="33"/>
      <c r="DIN22" s="33"/>
      <c r="DIR22" s="41"/>
      <c r="DIX22" s="42"/>
      <c r="DJE22" s="33"/>
      <c r="DJF22" s="33"/>
      <c r="DJJ22" s="41"/>
      <c r="DJP22" s="42"/>
      <c r="DJW22" s="33"/>
      <c r="DJX22" s="33"/>
      <c r="DKB22" s="41"/>
      <c r="DKH22" s="42"/>
      <c r="DKO22" s="33"/>
      <c r="DKP22" s="33"/>
      <c r="DKT22" s="41"/>
      <c r="DKZ22" s="42"/>
      <c r="DLG22" s="33"/>
      <c r="DLH22" s="33"/>
      <c r="DLL22" s="41"/>
      <c r="DLR22" s="42"/>
      <c r="DLY22" s="33"/>
      <c r="DLZ22" s="33"/>
      <c r="DMD22" s="41"/>
      <c r="DMJ22" s="42"/>
      <c r="DMQ22" s="33"/>
      <c r="DMR22" s="33"/>
      <c r="DMV22" s="41"/>
      <c r="DNB22" s="42"/>
      <c r="DNI22" s="33"/>
      <c r="DNJ22" s="33"/>
      <c r="DNN22" s="41"/>
      <c r="DNT22" s="42"/>
      <c r="DOA22" s="33"/>
      <c r="DOB22" s="33"/>
      <c r="DOF22" s="41"/>
      <c r="DOL22" s="42"/>
      <c r="DOS22" s="33"/>
      <c r="DOT22" s="33"/>
      <c r="DOX22" s="41"/>
      <c r="DPD22" s="42"/>
      <c r="DPK22" s="33"/>
      <c r="DPL22" s="33"/>
      <c r="DPP22" s="41"/>
      <c r="DPV22" s="42"/>
      <c r="DQC22" s="33"/>
      <c r="DQD22" s="33"/>
      <c r="DQH22" s="41"/>
      <c r="DQN22" s="42"/>
      <c r="DQU22" s="33"/>
      <c r="DQV22" s="33"/>
      <c r="DQZ22" s="41"/>
      <c r="DRF22" s="42"/>
      <c r="DRM22" s="33"/>
      <c r="DRN22" s="33"/>
      <c r="DRR22" s="41"/>
      <c r="DRX22" s="42"/>
      <c r="DSE22" s="33"/>
      <c r="DSF22" s="33"/>
      <c r="DSJ22" s="41"/>
      <c r="DSP22" s="42"/>
      <c r="DSW22" s="33"/>
      <c r="DSX22" s="33"/>
      <c r="DTB22" s="41"/>
      <c r="DTH22" s="42"/>
      <c r="DTO22" s="33"/>
      <c r="DTP22" s="33"/>
      <c r="DTT22" s="41"/>
      <c r="DTZ22" s="42"/>
      <c r="DUG22" s="33"/>
      <c r="DUH22" s="33"/>
      <c r="DUL22" s="41"/>
      <c r="DUR22" s="42"/>
      <c r="DUY22" s="33"/>
      <c r="DUZ22" s="33"/>
      <c r="DVD22" s="41"/>
      <c r="DVJ22" s="42"/>
      <c r="DVQ22" s="33"/>
      <c r="DVR22" s="33"/>
      <c r="DVV22" s="41"/>
      <c r="DWB22" s="42"/>
      <c r="DWI22" s="33"/>
      <c r="DWJ22" s="33"/>
      <c r="DWN22" s="41"/>
      <c r="DWT22" s="42"/>
      <c r="DXA22" s="33"/>
      <c r="DXB22" s="33"/>
      <c r="DXF22" s="41"/>
      <c r="DXL22" s="42"/>
      <c r="DXS22" s="33"/>
      <c r="DXT22" s="33"/>
      <c r="DXX22" s="41"/>
      <c r="DYD22" s="42"/>
      <c r="DYK22" s="33"/>
      <c r="DYL22" s="33"/>
      <c r="DYP22" s="41"/>
      <c r="DYV22" s="42"/>
      <c r="DZC22" s="33"/>
      <c r="DZD22" s="33"/>
      <c r="DZH22" s="41"/>
      <c r="DZN22" s="42"/>
      <c r="DZU22" s="33"/>
      <c r="DZV22" s="33"/>
      <c r="DZZ22" s="41"/>
      <c r="EAF22" s="42"/>
      <c r="EAM22" s="33"/>
      <c r="EAN22" s="33"/>
      <c r="EAR22" s="41"/>
      <c r="EAX22" s="42"/>
      <c r="EBE22" s="33"/>
      <c r="EBF22" s="33"/>
      <c r="EBJ22" s="41"/>
      <c r="EBP22" s="42"/>
      <c r="EBW22" s="33"/>
      <c r="EBX22" s="33"/>
      <c r="ECB22" s="41"/>
      <c r="ECH22" s="42"/>
      <c r="ECO22" s="33"/>
      <c r="ECP22" s="33"/>
      <c r="ECT22" s="41"/>
      <c r="ECZ22" s="42"/>
      <c r="EDG22" s="33"/>
      <c r="EDH22" s="33"/>
      <c r="EDL22" s="41"/>
      <c r="EDR22" s="42"/>
      <c r="EDY22" s="33"/>
      <c r="EDZ22" s="33"/>
      <c r="EED22" s="41"/>
      <c r="EEJ22" s="42"/>
      <c r="EEQ22" s="33"/>
      <c r="EER22" s="33"/>
      <c r="EEV22" s="41"/>
      <c r="EFB22" s="42"/>
      <c r="EFI22" s="33"/>
      <c r="EFJ22" s="33"/>
      <c r="EFN22" s="41"/>
      <c r="EFT22" s="42"/>
      <c r="EGA22" s="33"/>
      <c r="EGB22" s="33"/>
      <c r="EGF22" s="41"/>
      <c r="EGL22" s="42"/>
      <c r="EGS22" s="33"/>
      <c r="EGT22" s="33"/>
      <c r="EGX22" s="41"/>
      <c r="EHD22" s="42"/>
      <c r="EHK22" s="33"/>
      <c r="EHL22" s="33"/>
      <c r="EHP22" s="41"/>
      <c r="EHV22" s="42"/>
      <c r="EIC22" s="33"/>
      <c r="EID22" s="33"/>
      <c r="EIH22" s="41"/>
      <c r="EIN22" s="42"/>
      <c r="EIU22" s="33"/>
      <c r="EIV22" s="33"/>
      <c r="EIZ22" s="41"/>
      <c r="EJF22" s="42"/>
      <c r="EJM22" s="33"/>
      <c r="EJN22" s="33"/>
      <c r="EJR22" s="41"/>
      <c r="EJX22" s="42"/>
      <c r="EKE22" s="33"/>
      <c r="EKF22" s="33"/>
      <c r="EKJ22" s="41"/>
      <c r="EKP22" s="42"/>
      <c r="EKW22" s="33"/>
      <c r="EKX22" s="33"/>
      <c r="ELB22" s="41"/>
      <c r="ELH22" s="42"/>
      <c r="ELO22" s="33"/>
      <c r="ELP22" s="33"/>
      <c r="ELT22" s="41"/>
      <c r="ELZ22" s="42"/>
      <c r="EMG22" s="33"/>
      <c r="EMH22" s="33"/>
      <c r="EML22" s="41"/>
      <c r="EMR22" s="42"/>
      <c r="EMY22" s="33"/>
      <c r="EMZ22" s="33"/>
      <c r="END22" s="41"/>
      <c r="ENJ22" s="42"/>
      <c r="ENQ22" s="33"/>
      <c r="ENR22" s="33"/>
      <c r="ENV22" s="41"/>
      <c r="EOB22" s="42"/>
      <c r="EOI22" s="33"/>
      <c r="EOJ22" s="33"/>
      <c r="EON22" s="41"/>
      <c r="EOT22" s="42"/>
      <c r="EPA22" s="33"/>
      <c r="EPB22" s="33"/>
      <c r="EPF22" s="41"/>
      <c r="EPL22" s="42"/>
      <c r="EPS22" s="33"/>
      <c r="EPT22" s="33"/>
      <c r="EPX22" s="41"/>
      <c r="EQD22" s="42"/>
      <c r="EQK22" s="33"/>
      <c r="EQL22" s="33"/>
      <c r="EQP22" s="41"/>
      <c r="EQV22" s="42"/>
      <c r="ERC22" s="33"/>
      <c r="ERD22" s="33"/>
      <c r="ERH22" s="41"/>
      <c r="ERN22" s="42"/>
      <c r="ERU22" s="33"/>
      <c r="ERV22" s="33"/>
      <c r="ERZ22" s="41"/>
      <c r="ESF22" s="42"/>
      <c r="ESM22" s="33"/>
      <c r="ESN22" s="33"/>
      <c r="ESR22" s="41"/>
      <c r="ESX22" s="42"/>
      <c r="ETE22" s="33"/>
      <c r="ETF22" s="33"/>
      <c r="ETJ22" s="41"/>
      <c r="ETP22" s="42"/>
      <c r="ETW22" s="33"/>
      <c r="ETX22" s="33"/>
      <c r="EUB22" s="41"/>
      <c r="EUH22" s="42"/>
      <c r="EUO22" s="33"/>
      <c r="EUP22" s="33"/>
      <c r="EUT22" s="41"/>
      <c r="EUZ22" s="42"/>
      <c r="EVG22" s="33"/>
      <c r="EVH22" s="33"/>
      <c r="EVL22" s="41"/>
      <c r="EVR22" s="42"/>
      <c r="EVY22" s="33"/>
      <c r="EVZ22" s="33"/>
      <c r="EWD22" s="41"/>
      <c r="EWJ22" s="42"/>
      <c r="EWQ22" s="33"/>
      <c r="EWR22" s="33"/>
      <c r="EWV22" s="41"/>
      <c r="EXB22" s="42"/>
      <c r="EXI22" s="33"/>
      <c r="EXJ22" s="33"/>
      <c r="EXN22" s="41"/>
      <c r="EXT22" s="42"/>
      <c r="EYA22" s="33"/>
      <c r="EYB22" s="33"/>
      <c r="EYF22" s="41"/>
      <c r="EYL22" s="42"/>
      <c r="EYS22" s="33"/>
      <c r="EYT22" s="33"/>
      <c r="EYX22" s="41"/>
      <c r="EZD22" s="42"/>
      <c r="EZK22" s="33"/>
      <c r="EZL22" s="33"/>
      <c r="EZP22" s="41"/>
      <c r="EZV22" s="42"/>
      <c r="FAC22" s="33"/>
      <c r="FAD22" s="33"/>
      <c r="FAH22" s="41"/>
      <c r="FAN22" s="42"/>
      <c r="FAU22" s="33"/>
      <c r="FAV22" s="33"/>
      <c r="FAZ22" s="41"/>
      <c r="FBF22" s="42"/>
      <c r="FBM22" s="33"/>
      <c r="FBN22" s="33"/>
      <c r="FBR22" s="41"/>
      <c r="FBX22" s="42"/>
      <c r="FCE22" s="33"/>
      <c r="FCF22" s="33"/>
      <c r="FCJ22" s="41"/>
      <c r="FCP22" s="42"/>
      <c r="FCW22" s="33"/>
      <c r="FCX22" s="33"/>
      <c r="FDB22" s="41"/>
      <c r="FDH22" s="42"/>
      <c r="FDO22" s="33"/>
      <c r="FDP22" s="33"/>
      <c r="FDT22" s="41"/>
      <c r="FDZ22" s="42"/>
      <c r="FEG22" s="33"/>
      <c r="FEH22" s="33"/>
      <c r="FEL22" s="41"/>
      <c r="FER22" s="42"/>
      <c r="FEY22" s="33"/>
      <c r="FEZ22" s="33"/>
      <c r="FFD22" s="41"/>
      <c r="FFJ22" s="42"/>
      <c r="FFQ22" s="33"/>
      <c r="FFR22" s="33"/>
      <c r="FFV22" s="41"/>
      <c r="FGB22" s="42"/>
      <c r="FGI22" s="33"/>
      <c r="FGJ22" s="33"/>
      <c r="FGN22" s="41"/>
      <c r="FGT22" s="42"/>
      <c r="FHA22" s="33"/>
      <c r="FHB22" s="33"/>
      <c r="FHF22" s="41"/>
      <c r="FHL22" s="42"/>
      <c r="FHS22" s="33"/>
      <c r="FHT22" s="33"/>
      <c r="FHX22" s="41"/>
      <c r="FID22" s="42"/>
      <c r="FIK22" s="33"/>
      <c r="FIL22" s="33"/>
      <c r="FIP22" s="41"/>
      <c r="FIV22" s="42"/>
      <c r="FJC22" s="33"/>
      <c r="FJD22" s="33"/>
      <c r="FJH22" s="41"/>
      <c r="FJN22" s="42"/>
      <c r="FJU22" s="33"/>
      <c r="FJV22" s="33"/>
      <c r="FJZ22" s="41"/>
      <c r="FKF22" s="42"/>
      <c r="FKM22" s="33"/>
      <c r="FKN22" s="33"/>
      <c r="FKR22" s="41"/>
      <c r="FKX22" s="42"/>
      <c r="FLE22" s="33"/>
      <c r="FLF22" s="33"/>
      <c r="FLJ22" s="41"/>
      <c r="FLP22" s="42"/>
      <c r="FLW22" s="33"/>
      <c r="FLX22" s="33"/>
      <c r="FMB22" s="41"/>
      <c r="FMH22" s="42"/>
      <c r="FMO22" s="33"/>
      <c r="FMP22" s="33"/>
      <c r="FMT22" s="41"/>
      <c r="FMZ22" s="42"/>
      <c r="FNG22" s="33"/>
      <c r="FNH22" s="33"/>
      <c r="FNL22" s="41"/>
      <c r="FNR22" s="42"/>
      <c r="FNY22" s="33"/>
      <c r="FNZ22" s="33"/>
      <c r="FOD22" s="41"/>
      <c r="FOJ22" s="42"/>
      <c r="FOQ22" s="33"/>
      <c r="FOR22" s="33"/>
      <c r="FOV22" s="41"/>
      <c r="FPB22" s="42"/>
      <c r="FPI22" s="33"/>
      <c r="FPJ22" s="33"/>
      <c r="FPN22" s="41"/>
      <c r="FPT22" s="42"/>
      <c r="FQA22" s="33"/>
      <c r="FQB22" s="33"/>
      <c r="FQF22" s="41"/>
      <c r="FQL22" s="42"/>
      <c r="FQS22" s="33"/>
      <c r="FQT22" s="33"/>
      <c r="FQX22" s="41"/>
      <c r="FRD22" s="42"/>
      <c r="FRK22" s="33"/>
      <c r="FRL22" s="33"/>
      <c r="FRP22" s="41"/>
      <c r="FRV22" s="42"/>
      <c r="FSC22" s="33"/>
      <c r="FSD22" s="33"/>
      <c r="FSH22" s="41"/>
      <c r="FSN22" s="42"/>
      <c r="FSU22" s="33"/>
      <c r="FSV22" s="33"/>
      <c r="FSZ22" s="41"/>
      <c r="FTF22" s="42"/>
      <c r="FTM22" s="33"/>
      <c r="FTN22" s="33"/>
      <c r="FTR22" s="41"/>
      <c r="FTX22" s="42"/>
      <c r="FUE22" s="33"/>
      <c r="FUF22" s="33"/>
      <c r="FUJ22" s="41"/>
      <c r="FUP22" s="42"/>
      <c r="FUW22" s="33"/>
      <c r="FUX22" s="33"/>
      <c r="FVB22" s="41"/>
      <c r="FVH22" s="42"/>
      <c r="FVO22" s="33"/>
      <c r="FVP22" s="33"/>
      <c r="FVT22" s="41"/>
      <c r="FVZ22" s="42"/>
      <c r="FWG22" s="33"/>
      <c r="FWH22" s="33"/>
      <c r="FWL22" s="41"/>
      <c r="FWR22" s="42"/>
      <c r="FWY22" s="33"/>
      <c r="FWZ22" s="33"/>
      <c r="FXD22" s="41"/>
      <c r="FXJ22" s="42"/>
      <c r="FXQ22" s="33"/>
      <c r="FXR22" s="33"/>
      <c r="FXV22" s="41"/>
      <c r="FYB22" s="42"/>
      <c r="FYI22" s="33"/>
      <c r="FYJ22" s="33"/>
      <c r="FYN22" s="41"/>
      <c r="FYT22" s="42"/>
      <c r="FZA22" s="33"/>
      <c r="FZB22" s="33"/>
      <c r="FZF22" s="41"/>
      <c r="FZL22" s="42"/>
      <c r="FZS22" s="33"/>
      <c r="FZT22" s="33"/>
      <c r="FZX22" s="41"/>
      <c r="GAD22" s="42"/>
      <c r="GAK22" s="33"/>
      <c r="GAL22" s="33"/>
      <c r="GAP22" s="41"/>
      <c r="GAV22" s="42"/>
      <c r="GBC22" s="33"/>
      <c r="GBD22" s="33"/>
      <c r="GBH22" s="41"/>
      <c r="GBN22" s="42"/>
      <c r="GBU22" s="33"/>
      <c r="GBV22" s="33"/>
      <c r="GBZ22" s="41"/>
      <c r="GCF22" s="42"/>
      <c r="GCM22" s="33"/>
      <c r="GCN22" s="33"/>
      <c r="GCR22" s="41"/>
      <c r="GCX22" s="42"/>
      <c r="GDE22" s="33"/>
      <c r="GDF22" s="33"/>
      <c r="GDJ22" s="41"/>
      <c r="GDP22" s="42"/>
      <c r="GDW22" s="33"/>
      <c r="GDX22" s="33"/>
      <c r="GEB22" s="41"/>
      <c r="GEH22" s="42"/>
      <c r="GEO22" s="33"/>
      <c r="GEP22" s="33"/>
      <c r="GET22" s="41"/>
      <c r="GEZ22" s="42"/>
      <c r="GFG22" s="33"/>
      <c r="GFH22" s="33"/>
      <c r="GFL22" s="41"/>
      <c r="GFR22" s="42"/>
      <c r="GFY22" s="33"/>
      <c r="GFZ22" s="33"/>
      <c r="GGD22" s="41"/>
      <c r="GGJ22" s="42"/>
      <c r="GGQ22" s="33"/>
      <c r="GGR22" s="33"/>
      <c r="GGV22" s="41"/>
      <c r="GHB22" s="42"/>
      <c r="GHI22" s="33"/>
      <c r="GHJ22" s="33"/>
      <c r="GHN22" s="41"/>
      <c r="GHT22" s="42"/>
      <c r="GIA22" s="33"/>
      <c r="GIB22" s="33"/>
      <c r="GIF22" s="41"/>
      <c r="GIL22" s="42"/>
      <c r="GIS22" s="33"/>
      <c r="GIT22" s="33"/>
      <c r="GIX22" s="41"/>
      <c r="GJD22" s="42"/>
      <c r="GJK22" s="33"/>
      <c r="GJL22" s="33"/>
      <c r="GJP22" s="41"/>
      <c r="GJV22" s="42"/>
      <c r="GKC22" s="33"/>
      <c r="GKD22" s="33"/>
      <c r="GKH22" s="41"/>
      <c r="GKN22" s="42"/>
      <c r="GKU22" s="33"/>
      <c r="GKV22" s="33"/>
      <c r="GKZ22" s="41"/>
      <c r="GLF22" s="42"/>
      <c r="GLM22" s="33"/>
      <c r="GLN22" s="33"/>
      <c r="GLR22" s="41"/>
      <c r="GLX22" s="42"/>
      <c r="GME22" s="33"/>
      <c r="GMF22" s="33"/>
      <c r="GMJ22" s="41"/>
      <c r="GMP22" s="42"/>
      <c r="GMW22" s="33"/>
      <c r="GMX22" s="33"/>
      <c r="GNB22" s="41"/>
      <c r="GNH22" s="42"/>
      <c r="GNO22" s="33"/>
      <c r="GNP22" s="33"/>
      <c r="GNT22" s="41"/>
      <c r="GNZ22" s="42"/>
      <c r="GOG22" s="33"/>
      <c r="GOH22" s="33"/>
      <c r="GOL22" s="41"/>
      <c r="GOR22" s="42"/>
      <c r="GOY22" s="33"/>
      <c r="GOZ22" s="33"/>
      <c r="GPD22" s="41"/>
      <c r="GPJ22" s="42"/>
      <c r="GPQ22" s="33"/>
      <c r="GPR22" s="33"/>
      <c r="GPV22" s="41"/>
      <c r="GQB22" s="42"/>
      <c r="GQI22" s="33"/>
      <c r="GQJ22" s="33"/>
      <c r="GQN22" s="41"/>
      <c r="GQT22" s="42"/>
      <c r="GRA22" s="33"/>
      <c r="GRB22" s="33"/>
      <c r="GRF22" s="41"/>
      <c r="GRL22" s="42"/>
      <c r="GRS22" s="33"/>
      <c r="GRT22" s="33"/>
      <c r="GRX22" s="41"/>
      <c r="GSD22" s="42"/>
      <c r="GSK22" s="33"/>
      <c r="GSL22" s="33"/>
      <c r="GSP22" s="41"/>
      <c r="GSV22" s="42"/>
      <c r="GTC22" s="33"/>
      <c r="GTD22" s="33"/>
      <c r="GTH22" s="41"/>
      <c r="GTN22" s="42"/>
      <c r="GTU22" s="33"/>
      <c r="GTV22" s="33"/>
      <c r="GTZ22" s="41"/>
      <c r="GUF22" s="42"/>
      <c r="GUM22" s="33"/>
      <c r="GUN22" s="33"/>
      <c r="GUR22" s="41"/>
      <c r="GUX22" s="42"/>
      <c r="GVE22" s="33"/>
      <c r="GVF22" s="33"/>
      <c r="GVJ22" s="41"/>
      <c r="GVP22" s="42"/>
      <c r="GVW22" s="33"/>
      <c r="GVX22" s="33"/>
      <c r="GWB22" s="41"/>
      <c r="GWH22" s="42"/>
      <c r="GWO22" s="33"/>
      <c r="GWP22" s="33"/>
      <c r="GWT22" s="41"/>
      <c r="GWZ22" s="42"/>
      <c r="GXG22" s="33"/>
      <c r="GXH22" s="33"/>
      <c r="GXL22" s="41"/>
      <c r="GXR22" s="42"/>
      <c r="GXY22" s="33"/>
      <c r="GXZ22" s="33"/>
      <c r="GYD22" s="41"/>
      <c r="GYJ22" s="42"/>
      <c r="GYQ22" s="33"/>
      <c r="GYR22" s="33"/>
      <c r="GYV22" s="41"/>
      <c r="GZB22" s="42"/>
      <c r="GZI22" s="33"/>
      <c r="GZJ22" s="33"/>
      <c r="GZN22" s="41"/>
      <c r="GZT22" s="42"/>
      <c r="HAA22" s="33"/>
      <c r="HAB22" s="33"/>
      <c r="HAF22" s="41"/>
      <c r="HAL22" s="42"/>
      <c r="HAS22" s="33"/>
      <c r="HAT22" s="33"/>
      <c r="HAX22" s="41"/>
      <c r="HBD22" s="42"/>
      <c r="HBK22" s="33"/>
      <c r="HBL22" s="33"/>
      <c r="HBP22" s="41"/>
      <c r="HBV22" s="42"/>
      <c r="HCC22" s="33"/>
      <c r="HCD22" s="33"/>
      <c r="HCH22" s="41"/>
      <c r="HCN22" s="42"/>
      <c r="HCU22" s="33"/>
      <c r="HCV22" s="33"/>
      <c r="HCZ22" s="41"/>
      <c r="HDF22" s="42"/>
      <c r="HDM22" s="33"/>
      <c r="HDN22" s="33"/>
      <c r="HDR22" s="41"/>
      <c r="HDX22" s="42"/>
      <c r="HEE22" s="33"/>
      <c r="HEF22" s="33"/>
      <c r="HEJ22" s="41"/>
      <c r="HEP22" s="42"/>
      <c r="HEW22" s="33"/>
      <c r="HEX22" s="33"/>
      <c r="HFB22" s="41"/>
      <c r="HFH22" s="42"/>
      <c r="HFO22" s="33"/>
      <c r="HFP22" s="33"/>
      <c r="HFT22" s="41"/>
      <c r="HFZ22" s="42"/>
      <c r="HGG22" s="33"/>
      <c r="HGH22" s="33"/>
      <c r="HGL22" s="41"/>
      <c r="HGR22" s="42"/>
      <c r="HGY22" s="33"/>
      <c r="HGZ22" s="33"/>
      <c r="HHD22" s="41"/>
      <c r="HHJ22" s="42"/>
      <c r="HHQ22" s="33"/>
      <c r="HHR22" s="33"/>
      <c r="HHV22" s="41"/>
      <c r="HIB22" s="42"/>
      <c r="HII22" s="33"/>
      <c r="HIJ22" s="33"/>
      <c r="HIN22" s="41"/>
      <c r="HIT22" s="42"/>
      <c r="HJA22" s="33"/>
      <c r="HJB22" s="33"/>
      <c r="HJF22" s="41"/>
      <c r="HJL22" s="42"/>
      <c r="HJS22" s="33"/>
      <c r="HJT22" s="33"/>
      <c r="HJX22" s="41"/>
      <c r="HKD22" s="42"/>
      <c r="HKK22" s="33"/>
      <c r="HKL22" s="33"/>
      <c r="HKP22" s="41"/>
      <c r="HKV22" s="42"/>
      <c r="HLC22" s="33"/>
      <c r="HLD22" s="33"/>
      <c r="HLH22" s="41"/>
      <c r="HLN22" s="42"/>
      <c r="HLU22" s="33"/>
      <c r="HLV22" s="33"/>
      <c r="HLZ22" s="41"/>
      <c r="HMF22" s="42"/>
      <c r="HMM22" s="33"/>
      <c r="HMN22" s="33"/>
      <c r="HMR22" s="41"/>
      <c r="HMX22" s="42"/>
      <c r="HNE22" s="33"/>
      <c r="HNF22" s="33"/>
      <c r="HNJ22" s="41"/>
      <c r="HNP22" s="42"/>
      <c r="HNW22" s="33"/>
      <c r="HNX22" s="33"/>
      <c r="HOB22" s="41"/>
      <c r="HOH22" s="42"/>
      <c r="HOO22" s="33"/>
      <c r="HOP22" s="33"/>
      <c r="HOT22" s="41"/>
      <c r="HOZ22" s="42"/>
      <c r="HPG22" s="33"/>
      <c r="HPH22" s="33"/>
      <c r="HPL22" s="41"/>
      <c r="HPR22" s="42"/>
      <c r="HPY22" s="33"/>
      <c r="HPZ22" s="33"/>
      <c r="HQD22" s="41"/>
      <c r="HQJ22" s="42"/>
      <c r="HQQ22" s="33"/>
      <c r="HQR22" s="33"/>
      <c r="HQV22" s="41"/>
      <c r="HRB22" s="42"/>
      <c r="HRI22" s="33"/>
      <c r="HRJ22" s="33"/>
      <c r="HRN22" s="41"/>
      <c r="HRT22" s="42"/>
      <c r="HSA22" s="33"/>
      <c r="HSB22" s="33"/>
      <c r="HSF22" s="41"/>
      <c r="HSL22" s="42"/>
      <c r="HSS22" s="33"/>
      <c r="HST22" s="33"/>
      <c r="HSX22" s="41"/>
      <c r="HTD22" s="42"/>
      <c r="HTK22" s="33"/>
      <c r="HTL22" s="33"/>
      <c r="HTP22" s="41"/>
      <c r="HTV22" s="42"/>
      <c r="HUC22" s="33"/>
      <c r="HUD22" s="33"/>
      <c r="HUH22" s="41"/>
      <c r="HUN22" s="42"/>
      <c r="HUU22" s="33"/>
      <c r="HUV22" s="33"/>
      <c r="HUZ22" s="41"/>
      <c r="HVF22" s="42"/>
      <c r="HVM22" s="33"/>
      <c r="HVN22" s="33"/>
      <c r="HVR22" s="41"/>
      <c r="HVX22" s="42"/>
      <c r="HWE22" s="33"/>
      <c r="HWF22" s="33"/>
      <c r="HWJ22" s="41"/>
      <c r="HWP22" s="42"/>
      <c r="HWW22" s="33"/>
      <c r="HWX22" s="33"/>
      <c r="HXB22" s="41"/>
      <c r="HXH22" s="42"/>
      <c r="HXO22" s="33"/>
      <c r="HXP22" s="33"/>
      <c r="HXT22" s="41"/>
      <c r="HXZ22" s="42"/>
      <c r="HYG22" s="33"/>
      <c r="HYH22" s="33"/>
      <c r="HYL22" s="41"/>
      <c r="HYR22" s="42"/>
      <c r="HYY22" s="33"/>
      <c r="HYZ22" s="33"/>
      <c r="HZD22" s="41"/>
      <c r="HZJ22" s="42"/>
      <c r="HZQ22" s="33"/>
      <c r="HZR22" s="33"/>
      <c r="HZV22" s="41"/>
      <c r="IAB22" s="42"/>
      <c r="IAI22" s="33"/>
      <c r="IAJ22" s="33"/>
      <c r="IAN22" s="41"/>
      <c r="IAT22" s="42"/>
      <c r="IBA22" s="33"/>
      <c r="IBB22" s="33"/>
      <c r="IBF22" s="41"/>
      <c r="IBL22" s="42"/>
      <c r="IBS22" s="33"/>
      <c r="IBT22" s="33"/>
      <c r="IBX22" s="41"/>
      <c r="ICD22" s="42"/>
      <c r="ICK22" s="33"/>
      <c r="ICL22" s="33"/>
      <c r="ICP22" s="41"/>
      <c r="ICV22" s="42"/>
      <c r="IDC22" s="33"/>
      <c r="IDD22" s="33"/>
      <c r="IDH22" s="41"/>
      <c r="IDN22" s="42"/>
      <c r="IDU22" s="33"/>
      <c r="IDV22" s="33"/>
      <c r="IDZ22" s="41"/>
      <c r="IEF22" s="42"/>
      <c r="IEM22" s="33"/>
      <c r="IEN22" s="33"/>
      <c r="IER22" s="41"/>
      <c r="IEX22" s="42"/>
      <c r="IFE22" s="33"/>
      <c r="IFF22" s="33"/>
      <c r="IFJ22" s="41"/>
      <c r="IFP22" s="42"/>
      <c r="IFW22" s="33"/>
      <c r="IFX22" s="33"/>
      <c r="IGB22" s="41"/>
      <c r="IGH22" s="42"/>
      <c r="IGO22" s="33"/>
      <c r="IGP22" s="33"/>
      <c r="IGT22" s="41"/>
      <c r="IGZ22" s="42"/>
      <c r="IHG22" s="33"/>
      <c r="IHH22" s="33"/>
      <c r="IHL22" s="41"/>
      <c r="IHR22" s="42"/>
      <c r="IHY22" s="33"/>
      <c r="IHZ22" s="33"/>
      <c r="IID22" s="41"/>
      <c r="IIJ22" s="42"/>
      <c r="IIQ22" s="33"/>
      <c r="IIR22" s="33"/>
      <c r="IIV22" s="41"/>
      <c r="IJB22" s="42"/>
      <c r="IJI22" s="33"/>
      <c r="IJJ22" s="33"/>
      <c r="IJN22" s="41"/>
      <c r="IJT22" s="42"/>
      <c r="IKA22" s="33"/>
      <c r="IKB22" s="33"/>
      <c r="IKF22" s="41"/>
      <c r="IKL22" s="42"/>
      <c r="IKS22" s="33"/>
      <c r="IKT22" s="33"/>
      <c r="IKX22" s="41"/>
      <c r="ILD22" s="42"/>
      <c r="ILK22" s="33"/>
      <c r="ILL22" s="33"/>
      <c r="ILP22" s="41"/>
      <c r="ILV22" s="42"/>
      <c r="IMC22" s="33"/>
      <c r="IMD22" s="33"/>
      <c r="IMH22" s="41"/>
      <c r="IMN22" s="42"/>
      <c r="IMU22" s="33"/>
      <c r="IMV22" s="33"/>
      <c r="IMZ22" s="41"/>
      <c r="INF22" s="42"/>
      <c r="INM22" s="33"/>
      <c r="INN22" s="33"/>
      <c r="INR22" s="41"/>
      <c r="INX22" s="42"/>
      <c r="IOE22" s="33"/>
      <c r="IOF22" s="33"/>
      <c r="IOJ22" s="41"/>
      <c r="IOP22" s="42"/>
      <c r="IOW22" s="33"/>
      <c r="IOX22" s="33"/>
      <c r="IPB22" s="41"/>
      <c r="IPH22" s="42"/>
      <c r="IPO22" s="33"/>
      <c r="IPP22" s="33"/>
      <c r="IPT22" s="41"/>
      <c r="IPZ22" s="42"/>
      <c r="IQG22" s="33"/>
      <c r="IQH22" s="33"/>
      <c r="IQL22" s="41"/>
      <c r="IQR22" s="42"/>
      <c r="IQY22" s="33"/>
      <c r="IQZ22" s="33"/>
      <c r="IRD22" s="41"/>
      <c r="IRJ22" s="42"/>
      <c r="IRQ22" s="33"/>
      <c r="IRR22" s="33"/>
      <c r="IRV22" s="41"/>
      <c r="ISB22" s="42"/>
      <c r="ISI22" s="33"/>
      <c r="ISJ22" s="33"/>
      <c r="ISN22" s="41"/>
      <c r="IST22" s="42"/>
      <c r="ITA22" s="33"/>
      <c r="ITB22" s="33"/>
      <c r="ITF22" s="41"/>
      <c r="ITL22" s="42"/>
      <c r="ITS22" s="33"/>
      <c r="ITT22" s="33"/>
      <c r="ITX22" s="41"/>
      <c r="IUD22" s="42"/>
      <c r="IUK22" s="33"/>
      <c r="IUL22" s="33"/>
      <c r="IUP22" s="41"/>
      <c r="IUV22" s="42"/>
      <c r="IVC22" s="33"/>
      <c r="IVD22" s="33"/>
      <c r="IVH22" s="41"/>
      <c r="IVN22" s="42"/>
      <c r="IVU22" s="33"/>
      <c r="IVV22" s="33"/>
      <c r="IVZ22" s="41"/>
      <c r="IWF22" s="42"/>
      <c r="IWM22" s="33"/>
      <c r="IWN22" s="33"/>
      <c r="IWR22" s="41"/>
      <c r="IWX22" s="42"/>
      <c r="IXE22" s="33"/>
      <c r="IXF22" s="33"/>
      <c r="IXJ22" s="41"/>
      <c r="IXP22" s="42"/>
      <c r="IXW22" s="33"/>
      <c r="IXX22" s="33"/>
      <c r="IYB22" s="41"/>
      <c r="IYH22" s="42"/>
      <c r="IYO22" s="33"/>
      <c r="IYP22" s="33"/>
      <c r="IYT22" s="41"/>
      <c r="IYZ22" s="42"/>
      <c r="IZG22" s="33"/>
      <c r="IZH22" s="33"/>
      <c r="IZL22" s="41"/>
      <c r="IZR22" s="42"/>
      <c r="IZY22" s="33"/>
      <c r="IZZ22" s="33"/>
      <c r="JAD22" s="41"/>
      <c r="JAJ22" s="42"/>
      <c r="JAQ22" s="33"/>
      <c r="JAR22" s="33"/>
      <c r="JAV22" s="41"/>
      <c r="JBB22" s="42"/>
      <c r="JBI22" s="33"/>
      <c r="JBJ22" s="33"/>
      <c r="JBN22" s="41"/>
      <c r="JBT22" s="42"/>
      <c r="JCA22" s="33"/>
      <c r="JCB22" s="33"/>
      <c r="JCF22" s="41"/>
      <c r="JCL22" s="42"/>
      <c r="JCS22" s="33"/>
      <c r="JCT22" s="33"/>
      <c r="JCX22" s="41"/>
      <c r="JDD22" s="42"/>
      <c r="JDK22" s="33"/>
      <c r="JDL22" s="33"/>
      <c r="JDP22" s="41"/>
      <c r="JDV22" s="42"/>
      <c r="JEC22" s="33"/>
      <c r="JED22" s="33"/>
      <c r="JEH22" s="41"/>
      <c r="JEN22" s="42"/>
      <c r="JEU22" s="33"/>
      <c r="JEV22" s="33"/>
      <c r="JEZ22" s="41"/>
      <c r="JFF22" s="42"/>
      <c r="JFM22" s="33"/>
      <c r="JFN22" s="33"/>
      <c r="JFR22" s="41"/>
      <c r="JFX22" s="42"/>
      <c r="JGE22" s="33"/>
      <c r="JGF22" s="33"/>
      <c r="JGJ22" s="41"/>
      <c r="JGP22" s="42"/>
      <c r="JGW22" s="33"/>
      <c r="JGX22" s="33"/>
      <c r="JHB22" s="41"/>
      <c r="JHH22" s="42"/>
      <c r="JHO22" s="33"/>
      <c r="JHP22" s="33"/>
      <c r="JHT22" s="41"/>
      <c r="JHZ22" s="42"/>
      <c r="JIG22" s="33"/>
      <c r="JIH22" s="33"/>
      <c r="JIL22" s="41"/>
      <c r="JIR22" s="42"/>
      <c r="JIY22" s="33"/>
      <c r="JIZ22" s="33"/>
      <c r="JJD22" s="41"/>
      <c r="JJJ22" s="42"/>
      <c r="JJQ22" s="33"/>
      <c r="JJR22" s="33"/>
      <c r="JJV22" s="41"/>
      <c r="JKB22" s="42"/>
      <c r="JKI22" s="33"/>
      <c r="JKJ22" s="33"/>
      <c r="JKN22" s="41"/>
      <c r="JKT22" s="42"/>
      <c r="JLA22" s="33"/>
      <c r="JLB22" s="33"/>
      <c r="JLF22" s="41"/>
      <c r="JLL22" s="42"/>
      <c r="JLS22" s="33"/>
      <c r="JLT22" s="33"/>
      <c r="JLX22" s="41"/>
      <c r="JMD22" s="42"/>
      <c r="JMK22" s="33"/>
      <c r="JML22" s="33"/>
      <c r="JMP22" s="41"/>
      <c r="JMV22" s="42"/>
      <c r="JNC22" s="33"/>
      <c r="JND22" s="33"/>
      <c r="JNH22" s="41"/>
      <c r="JNN22" s="42"/>
      <c r="JNU22" s="33"/>
      <c r="JNV22" s="33"/>
      <c r="JNZ22" s="41"/>
      <c r="JOF22" s="42"/>
      <c r="JOM22" s="33"/>
      <c r="JON22" s="33"/>
      <c r="JOR22" s="41"/>
      <c r="JOX22" s="42"/>
      <c r="JPE22" s="33"/>
      <c r="JPF22" s="33"/>
      <c r="JPJ22" s="41"/>
      <c r="JPP22" s="42"/>
      <c r="JPW22" s="33"/>
      <c r="JPX22" s="33"/>
      <c r="JQB22" s="41"/>
      <c r="JQH22" s="42"/>
      <c r="JQO22" s="33"/>
      <c r="JQP22" s="33"/>
      <c r="JQT22" s="41"/>
      <c r="JQZ22" s="42"/>
      <c r="JRG22" s="33"/>
      <c r="JRH22" s="33"/>
      <c r="JRL22" s="41"/>
      <c r="JRR22" s="42"/>
      <c r="JRY22" s="33"/>
      <c r="JRZ22" s="33"/>
      <c r="JSD22" s="41"/>
      <c r="JSJ22" s="42"/>
      <c r="JSQ22" s="33"/>
      <c r="JSR22" s="33"/>
      <c r="JSV22" s="41"/>
      <c r="JTB22" s="42"/>
      <c r="JTI22" s="33"/>
      <c r="JTJ22" s="33"/>
      <c r="JTN22" s="41"/>
      <c r="JTT22" s="42"/>
      <c r="JUA22" s="33"/>
      <c r="JUB22" s="33"/>
      <c r="JUF22" s="41"/>
      <c r="JUL22" s="42"/>
      <c r="JUS22" s="33"/>
      <c r="JUT22" s="33"/>
      <c r="JUX22" s="41"/>
      <c r="JVD22" s="42"/>
      <c r="JVK22" s="33"/>
      <c r="JVL22" s="33"/>
      <c r="JVP22" s="41"/>
      <c r="JVV22" s="42"/>
      <c r="JWC22" s="33"/>
      <c r="JWD22" s="33"/>
      <c r="JWH22" s="41"/>
      <c r="JWN22" s="42"/>
      <c r="JWU22" s="33"/>
      <c r="JWV22" s="33"/>
      <c r="JWZ22" s="41"/>
      <c r="JXF22" s="42"/>
      <c r="JXM22" s="33"/>
      <c r="JXN22" s="33"/>
      <c r="JXR22" s="41"/>
      <c r="JXX22" s="42"/>
      <c r="JYE22" s="33"/>
      <c r="JYF22" s="33"/>
      <c r="JYJ22" s="41"/>
      <c r="JYP22" s="42"/>
      <c r="JYW22" s="33"/>
      <c r="JYX22" s="33"/>
      <c r="JZB22" s="41"/>
      <c r="JZH22" s="42"/>
      <c r="JZO22" s="33"/>
      <c r="JZP22" s="33"/>
      <c r="JZT22" s="41"/>
      <c r="JZZ22" s="42"/>
      <c r="KAG22" s="33"/>
      <c r="KAH22" s="33"/>
      <c r="KAL22" s="41"/>
      <c r="KAR22" s="42"/>
      <c r="KAY22" s="33"/>
      <c r="KAZ22" s="33"/>
      <c r="KBD22" s="41"/>
      <c r="KBJ22" s="42"/>
      <c r="KBQ22" s="33"/>
      <c r="KBR22" s="33"/>
      <c r="KBV22" s="41"/>
      <c r="KCB22" s="42"/>
      <c r="KCI22" s="33"/>
      <c r="KCJ22" s="33"/>
      <c r="KCN22" s="41"/>
      <c r="KCT22" s="42"/>
      <c r="KDA22" s="33"/>
      <c r="KDB22" s="33"/>
      <c r="KDF22" s="41"/>
      <c r="KDL22" s="42"/>
      <c r="KDS22" s="33"/>
      <c r="KDT22" s="33"/>
      <c r="KDX22" s="41"/>
      <c r="KED22" s="42"/>
      <c r="KEK22" s="33"/>
      <c r="KEL22" s="33"/>
      <c r="KEP22" s="41"/>
      <c r="KEV22" s="42"/>
      <c r="KFC22" s="33"/>
      <c r="KFD22" s="33"/>
      <c r="KFH22" s="41"/>
      <c r="KFN22" s="42"/>
      <c r="KFU22" s="33"/>
      <c r="KFV22" s="33"/>
      <c r="KFZ22" s="41"/>
      <c r="KGF22" s="42"/>
      <c r="KGM22" s="33"/>
      <c r="KGN22" s="33"/>
      <c r="KGR22" s="41"/>
      <c r="KGX22" s="42"/>
      <c r="KHE22" s="33"/>
      <c r="KHF22" s="33"/>
      <c r="KHJ22" s="41"/>
      <c r="KHP22" s="42"/>
      <c r="KHW22" s="33"/>
      <c r="KHX22" s="33"/>
      <c r="KIB22" s="41"/>
      <c r="KIH22" s="42"/>
      <c r="KIO22" s="33"/>
      <c r="KIP22" s="33"/>
      <c r="KIT22" s="41"/>
      <c r="KIZ22" s="42"/>
      <c r="KJG22" s="33"/>
      <c r="KJH22" s="33"/>
      <c r="KJL22" s="41"/>
      <c r="KJR22" s="42"/>
      <c r="KJY22" s="33"/>
      <c r="KJZ22" s="33"/>
      <c r="KKD22" s="41"/>
      <c r="KKJ22" s="42"/>
      <c r="KKQ22" s="33"/>
      <c r="KKR22" s="33"/>
      <c r="KKV22" s="41"/>
      <c r="KLB22" s="42"/>
      <c r="KLI22" s="33"/>
      <c r="KLJ22" s="33"/>
      <c r="KLN22" s="41"/>
      <c r="KLT22" s="42"/>
      <c r="KMA22" s="33"/>
      <c r="KMB22" s="33"/>
      <c r="KMF22" s="41"/>
      <c r="KML22" s="42"/>
      <c r="KMS22" s="33"/>
      <c r="KMT22" s="33"/>
      <c r="KMX22" s="41"/>
      <c r="KND22" s="42"/>
      <c r="KNK22" s="33"/>
      <c r="KNL22" s="33"/>
      <c r="KNP22" s="41"/>
      <c r="KNV22" s="42"/>
      <c r="KOC22" s="33"/>
      <c r="KOD22" s="33"/>
      <c r="KOH22" s="41"/>
      <c r="KON22" s="42"/>
      <c r="KOU22" s="33"/>
      <c r="KOV22" s="33"/>
      <c r="KOZ22" s="41"/>
      <c r="KPF22" s="42"/>
      <c r="KPM22" s="33"/>
      <c r="KPN22" s="33"/>
      <c r="KPR22" s="41"/>
      <c r="KPX22" s="42"/>
      <c r="KQE22" s="33"/>
      <c r="KQF22" s="33"/>
      <c r="KQJ22" s="41"/>
      <c r="KQP22" s="42"/>
      <c r="KQW22" s="33"/>
      <c r="KQX22" s="33"/>
      <c r="KRB22" s="41"/>
      <c r="KRH22" s="42"/>
      <c r="KRO22" s="33"/>
      <c r="KRP22" s="33"/>
      <c r="KRT22" s="41"/>
      <c r="KRZ22" s="42"/>
      <c r="KSG22" s="33"/>
      <c r="KSH22" s="33"/>
      <c r="KSL22" s="41"/>
      <c r="KSR22" s="42"/>
      <c r="KSY22" s="33"/>
      <c r="KSZ22" s="33"/>
      <c r="KTD22" s="41"/>
      <c r="KTJ22" s="42"/>
      <c r="KTQ22" s="33"/>
      <c r="KTR22" s="33"/>
      <c r="KTV22" s="41"/>
      <c r="KUB22" s="42"/>
      <c r="KUI22" s="33"/>
      <c r="KUJ22" s="33"/>
      <c r="KUN22" s="41"/>
      <c r="KUT22" s="42"/>
      <c r="KVA22" s="33"/>
      <c r="KVB22" s="33"/>
      <c r="KVF22" s="41"/>
      <c r="KVL22" s="42"/>
      <c r="KVS22" s="33"/>
      <c r="KVT22" s="33"/>
      <c r="KVX22" s="41"/>
      <c r="KWD22" s="42"/>
      <c r="KWK22" s="33"/>
      <c r="KWL22" s="33"/>
      <c r="KWP22" s="41"/>
      <c r="KWV22" s="42"/>
      <c r="KXC22" s="33"/>
      <c r="KXD22" s="33"/>
      <c r="KXH22" s="41"/>
      <c r="KXN22" s="42"/>
      <c r="KXU22" s="33"/>
      <c r="KXV22" s="33"/>
      <c r="KXZ22" s="41"/>
      <c r="KYF22" s="42"/>
      <c r="KYM22" s="33"/>
      <c r="KYN22" s="33"/>
      <c r="KYR22" s="41"/>
      <c r="KYX22" s="42"/>
      <c r="KZE22" s="33"/>
      <c r="KZF22" s="33"/>
      <c r="KZJ22" s="41"/>
      <c r="KZP22" s="42"/>
      <c r="KZW22" s="33"/>
      <c r="KZX22" s="33"/>
      <c r="LAB22" s="41"/>
      <c r="LAH22" s="42"/>
      <c r="LAO22" s="33"/>
      <c r="LAP22" s="33"/>
      <c r="LAT22" s="41"/>
      <c r="LAZ22" s="42"/>
      <c r="LBG22" s="33"/>
      <c r="LBH22" s="33"/>
      <c r="LBL22" s="41"/>
      <c r="LBR22" s="42"/>
      <c r="LBY22" s="33"/>
      <c r="LBZ22" s="33"/>
      <c r="LCD22" s="41"/>
      <c r="LCJ22" s="42"/>
      <c r="LCQ22" s="33"/>
      <c r="LCR22" s="33"/>
      <c r="LCV22" s="41"/>
      <c r="LDB22" s="42"/>
      <c r="LDI22" s="33"/>
      <c r="LDJ22" s="33"/>
      <c r="LDN22" s="41"/>
      <c r="LDT22" s="42"/>
      <c r="LEA22" s="33"/>
      <c r="LEB22" s="33"/>
      <c r="LEF22" s="41"/>
      <c r="LEL22" s="42"/>
      <c r="LES22" s="33"/>
      <c r="LET22" s="33"/>
      <c r="LEX22" s="41"/>
      <c r="LFD22" s="42"/>
      <c r="LFK22" s="33"/>
      <c r="LFL22" s="33"/>
      <c r="LFP22" s="41"/>
      <c r="LFV22" s="42"/>
      <c r="LGC22" s="33"/>
      <c r="LGD22" s="33"/>
      <c r="LGH22" s="41"/>
      <c r="LGN22" s="42"/>
      <c r="LGU22" s="33"/>
      <c r="LGV22" s="33"/>
      <c r="LGZ22" s="41"/>
      <c r="LHF22" s="42"/>
      <c r="LHM22" s="33"/>
      <c r="LHN22" s="33"/>
      <c r="LHR22" s="41"/>
      <c r="LHX22" s="42"/>
      <c r="LIE22" s="33"/>
      <c r="LIF22" s="33"/>
      <c r="LIJ22" s="41"/>
      <c r="LIP22" s="42"/>
      <c r="LIW22" s="33"/>
      <c r="LIX22" s="33"/>
      <c r="LJB22" s="41"/>
      <c r="LJH22" s="42"/>
      <c r="LJO22" s="33"/>
      <c r="LJP22" s="33"/>
      <c r="LJT22" s="41"/>
      <c r="LJZ22" s="42"/>
      <c r="LKG22" s="33"/>
      <c r="LKH22" s="33"/>
      <c r="LKL22" s="41"/>
      <c r="LKR22" s="42"/>
      <c r="LKY22" s="33"/>
      <c r="LKZ22" s="33"/>
      <c r="LLD22" s="41"/>
      <c r="LLJ22" s="42"/>
      <c r="LLQ22" s="33"/>
      <c r="LLR22" s="33"/>
      <c r="LLV22" s="41"/>
      <c r="LMB22" s="42"/>
      <c r="LMI22" s="33"/>
      <c r="LMJ22" s="33"/>
      <c r="LMN22" s="41"/>
      <c r="LMT22" s="42"/>
      <c r="LNA22" s="33"/>
      <c r="LNB22" s="33"/>
      <c r="LNF22" s="41"/>
      <c r="LNL22" s="42"/>
      <c r="LNS22" s="33"/>
      <c r="LNT22" s="33"/>
      <c r="LNX22" s="41"/>
      <c r="LOD22" s="42"/>
      <c r="LOK22" s="33"/>
      <c r="LOL22" s="33"/>
      <c r="LOP22" s="41"/>
      <c r="LOV22" s="42"/>
      <c r="LPC22" s="33"/>
      <c r="LPD22" s="33"/>
      <c r="LPH22" s="41"/>
      <c r="LPN22" s="42"/>
      <c r="LPU22" s="33"/>
      <c r="LPV22" s="33"/>
      <c r="LPZ22" s="41"/>
      <c r="LQF22" s="42"/>
      <c r="LQM22" s="33"/>
      <c r="LQN22" s="33"/>
      <c r="LQR22" s="41"/>
      <c r="LQX22" s="42"/>
      <c r="LRE22" s="33"/>
      <c r="LRF22" s="33"/>
      <c r="LRJ22" s="41"/>
      <c r="LRP22" s="42"/>
      <c r="LRW22" s="33"/>
      <c r="LRX22" s="33"/>
      <c r="LSB22" s="41"/>
      <c r="LSH22" s="42"/>
      <c r="LSO22" s="33"/>
      <c r="LSP22" s="33"/>
      <c r="LST22" s="41"/>
      <c r="LSZ22" s="42"/>
      <c r="LTG22" s="33"/>
      <c r="LTH22" s="33"/>
      <c r="LTL22" s="41"/>
      <c r="LTR22" s="42"/>
      <c r="LTY22" s="33"/>
      <c r="LTZ22" s="33"/>
      <c r="LUD22" s="41"/>
      <c r="LUJ22" s="42"/>
      <c r="LUQ22" s="33"/>
      <c r="LUR22" s="33"/>
      <c r="LUV22" s="41"/>
      <c r="LVB22" s="42"/>
      <c r="LVI22" s="33"/>
      <c r="LVJ22" s="33"/>
      <c r="LVN22" s="41"/>
      <c r="LVT22" s="42"/>
      <c r="LWA22" s="33"/>
      <c r="LWB22" s="33"/>
      <c r="LWF22" s="41"/>
      <c r="LWL22" s="42"/>
      <c r="LWS22" s="33"/>
      <c r="LWT22" s="33"/>
      <c r="LWX22" s="41"/>
      <c r="LXD22" s="42"/>
      <c r="LXK22" s="33"/>
      <c r="LXL22" s="33"/>
      <c r="LXP22" s="41"/>
      <c r="LXV22" s="42"/>
      <c r="LYC22" s="33"/>
      <c r="LYD22" s="33"/>
      <c r="LYH22" s="41"/>
      <c r="LYN22" s="42"/>
      <c r="LYU22" s="33"/>
      <c r="LYV22" s="33"/>
      <c r="LYZ22" s="41"/>
      <c r="LZF22" s="42"/>
      <c r="LZM22" s="33"/>
      <c r="LZN22" s="33"/>
      <c r="LZR22" s="41"/>
      <c r="LZX22" s="42"/>
      <c r="MAE22" s="33"/>
      <c r="MAF22" s="33"/>
      <c r="MAJ22" s="41"/>
      <c r="MAP22" s="42"/>
      <c r="MAW22" s="33"/>
      <c r="MAX22" s="33"/>
      <c r="MBB22" s="41"/>
      <c r="MBH22" s="42"/>
      <c r="MBO22" s="33"/>
      <c r="MBP22" s="33"/>
      <c r="MBT22" s="41"/>
      <c r="MBZ22" s="42"/>
      <c r="MCG22" s="33"/>
      <c r="MCH22" s="33"/>
      <c r="MCL22" s="41"/>
      <c r="MCR22" s="42"/>
      <c r="MCY22" s="33"/>
      <c r="MCZ22" s="33"/>
      <c r="MDD22" s="41"/>
      <c r="MDJ22" s="42"/>
      <c r="MDQ22" s="33"/>
      <c r="MDR22" s="33"/>
      <c r="MDV22" s="41"/>
      <c r="MEB22" s="42"/>
      <c r="MEI22" s="33"/>
      <c r="MEJ22" s="33"/>
      <c r="MEN22" s="41"/>
      <c r="MET22" s="42"/>
      <c r="MFA22" s="33"/>
      <c r="MFB22" s="33"/>
      <c r="MFF22" s="41"/>
      <c r="MFL22" s="42"/>
      <c r="MFS22" s="33"/>
      <c r="MFT22" s="33"/>
      <c r="MFX22" s="41"/>
      <c r="MGD22" s="42"/>
      <c r="MGK22" s="33"/>
      <c r="MGL22" s="33"/>
      <c r="MGP22" s="41"/>
      <c r="MGV22" s="42"/>
      <c r="MHC22" s="33"/>
      <c r="MHD22" s="33"/>
      <c r="MHH22" s="41"/>
      <c r="MHN22" s="42"/>
      <c r="MHU22" s="33"/>
      <c r="MHV22" s="33"/>
      <c r="MHZ22" s="41"/>
      <c r="MIF22" s="42"/>
      <c r="MIM22" s="33"/>
      <c r="MIN22" s="33"/>
      <c r="MIR22" s="41"/>
      <c r="MIX22" s="42"/>
      <c r="MJE22" s="33"/>
      <c r="MJF22" s="33"/>
      <c r="MJJ22" s="41"/>
      <c r="MJP22" s="42"/>
      <c r="MJW22" s="33"/>
      <c r="MJX22" s="33"/>
      <c r="MKB22" s="41"/>
      <c r="MKH22" s="42"/>
      <c r="MKO22" s="33"/>
      <c r="MKP22" s="33"/>
      <c r="MKT22" s="41"/>
      <c r="MKZ22" s="42"/>
      <c r="MLG22" s="33"/>
      <c r="MLH22" s="33"/>
      <c r="MLL22" s="41"/>
      <c r="MLR22" s="42"/>
      <c r="MLY22" s="33"/>
      <c r="MLZ22" s="33"/>
      <c r="MMD22" s="41"/>
      <c r="MMJ22" s="42"/>
      <c r="MMQ22" s="33"/>
      <c r="MMR22" s="33"/>
      <c r="MMV22" s="41"/>
      <c r="MNB22" s="42"/>
      <c r="MNI22" s="33"/>
      <c r="MNJ22" s="33"/>
      <c r="MNN22" s="41"/>
      <c r="MNT22" s="42"/>
      <c r="MOA22" s="33"/>
      <c r="MOB22" s="33"/>
      <c r="MOF22" s="41"/>
      <c r="MOL22" s="42"/>
      <c r="MOS22" s="33"/>
      <c r="MOT22" s="33"/>
      <c r="MOX22" s="41"/>
      <c r="MPD22" s="42"/>
      <c r="MPK22" s="33"/>
      <c r="MPL22" s="33"/>
      <c r="MPP22" s="41"/>
      <c r="MPV22" s="42"/>
      <c r="MQC22" s="33"/>
      <c r="MQD22" s="33"/>
      <c r="MQH22" s="41"/>
      <c r="MQN22" s="42"/>
      <c r="MQU22" s="33"/>
      <c r="MQV22" s="33"/>
      <c r="MQZ22" s="41"/>
      <c r="MRF22" s="42"/>
      <c r="MRM22" s="33"/>
      <c r="MRN22" s="33"/>
      <c r="MRR22" s="41"/>
      <c r="MRX22" s="42"/>
      <c r="MSE22" s="33"/>
      <c r="MSF22" s="33"/>
      <c r="MSJ22" s="41"/>
      <c r="MSP22" s="42"/>
      <c r="MSW22" s="33"/>
      <c r="MSX22" s="33"/>
      <c r="MTB22" s="41"/>
      <c r="MTH22" s="42"/>
      <c r="MTO22" s="33"/>
      <c r="MTP22" s="33"/>
      <c r="MTT22" s="41"/>
      <c r="MTZ22" s="42"/>
      <c r="MUG22" s="33"/>
      <c r="MUH22" s="33"/>
      <c r="MUL22" s="41"/>
      <c r="MUR22" s="42"/>
      <c r="MUY22" s="33"/>
      <c r="MUZ22" s="33"/>
      <c r="MVD22" s="41"/>
      <c r="MVJ22" s="42"/>
      <c r="MVQ22" s="33"/>
      <c r="MVR22" s="33"/>
      <c r="MVV22" s="41"/>
      <c r="MWB22" s="42"/>
      <c r="MWI22" s="33"/>
      <c r="MWJ22" s="33"/>
      <c r="MWN22" s="41"/>
      <c r="MWT22" s="42"/>
      <c r="MXA22" s="33"/>
      <c r="MXB22" s="33"/>
      <c r="MXF22" s="41"/>
      <c r="MXL22" s="42"/>
      <c r="MXS22" s="33"/>
      <c r="MXT22" s="33"/>
      <c r="MXX22" s="41"/>
      <c r="MYD22" s="42"/>
      <c r="MYK22" s="33"/>
      <c r="MYL22" s="33"/>
      <c r="MYP22" s="41"/>
      <c r="MYV22" s="42"/>
      <c r="MZC22" s="33"/>
      <c r="MZD22" s="33"/>
      <c r="MZH22" s="41"/>
      <c r="MZN22" s="42"/>
      <c r="MZU22" s="33"/>
      <c r="MZV22" s="33"/>
      <c r="MZZ22" s="41"/>
      <c r="NAF22" s="42"/>
      <c r="NAM22" s="33"/>
      <c r="NAN22" s="33"/>
      <c r="NAR22" s="41"/>
      <c r="NAX22" s="42"/>
      <c r="NBE22" s="33"/>
      <c r="NBF22" s="33"/>
      <c r="NBJ22" s="41"/>
      <c r="NBP22" s="42"/>
      <c r="NBW22" s="33"/>
      <c r="NBX22" s="33"/>
      <c r="NCB22" s="41"/>
      <c r="NCH22" s="42"/>
      <c r="NCO22" s="33"/>
      <c r="NCP22" s="33"/>
      <c r="NCT22" s="41"/>
      <c r="NCZ22" s="42"/>
      <c r="NDG22" s="33"/>
      <c r="NDH22" s="33"/>
      <c r="NDL22" s="41"/>
      <c r="NDR22" s="42"/>
      <c r="NDY22" s="33"/>
      <c r="NDZ22" s="33"/>
      <c r="NED22" s="41"/>
      <c r="NEJ22" s="42"/>
      <c r="NEQ22" s="33"/>
      <c r="NER22" s="33"/>
      <c r="NEV22" s="41"/>
      <c r="NFB22" s="42"/>
      <c r="NFI22" s="33"/>
      <c r="NFJ22" s="33"/>
      <c r="NFN22" s="41"/>
      <c r="NFT22" s="42"/>
      <c r="NGA22" s="33"/>
      <c r="NGB22" s="33"/>
      <c r="NGF22" s="41"/>
      <c r="NGL22" s="42"/>
      <c r="NGS22" s="33"/>
      <c r="NGT22" s="33"/>
      <c r="NGX22" s="41"/>
      <c r="NHD22" s="42"/>
      <c r="NHK22" s="33"/>
      <c r="NHL22" s="33"/>
      <c r="NHP22" s="41"/>
      <c r="NHV22" s="42"/>
      <c r="NIC22" s="33"/>
      <c r="NID22" s="33"/>
      <c r="NIH22" s="41"/>
      <c r="NIN22" s="42"/>
      <c r="NIU22" s="33"/>
      <c r="NIV22" s="33"/>
      <c r="NIZ22" s="41"/>
      <c r="NJF22" s="42"/>
      <c r="NJM22" s="33"/>
      <c r="NJN22" s="33"/>
      <c r="NJR22" s="41"/>
      <c r="NJX22" s="42"/>
      <c r="NKE22" s="33"/>
      <c r="NKF22" s="33"/>
      <c r="NKJ22" s="41"/>
      <c r="NKP22" s="42"/>
      <c r="NKW22" s="33"/>
      <c r="NKX22" s="33"/>
      <c r="NLB22" s="41"/>
      <c r="NLH22" s="42"/>
      <c r="NLO22" s="33"/>
      <c r="NLP22" s="33"/>
      <c r="NLT22" s="41"/>
      <c r="NLZ22" s="42"/>
      <c r="NMG22" s="33"/>
      <c r="NMH22" s="33"/>
      <c r="NML22" s="41"/>
      <c r="NMR22" s="42"/>
      <c r="NMY22" s="33"/>
      <c r="NMZ22" s="33"/>
      <c r="NND22" s="41"/>
      <c r="NNJ22" s="42"/>
      <c r="NNQ22" s="33"/>
      <c r="NNR22" s="33"/>
      <c r="NNV22" s="41"/>
      <c r="NOB22" s="42"/>
      <c r="NOI22" s="33"/>
      <c r="NOJ22" s="33"/>
      <c r="NON22" s="41"/>
      <c r="NOT22" s="42"/>
      <c r="NPA22" s="33"/>
      <c r="NPB22" s="33"/>
      <c r="NPF22" s="41"/>
      <c r="NPL22" s="42"/>
      <c r="NPS22" s="33"/>
      <c r="NPT22" s="33"/>
      <c r="NPX22" s="41"/>
      <c r="NQD22" s="42"/>
      <c r="NQK22" s="33"/>
      <c r="NQL22" s="33"/>
      <c r="NQP22" s="41"/>
      <c r="NQV22" s="42"/>
      <c r="NRC22" s="33"/>
      <c r="NRD22" s="33"/>
      <c r="NRH22" s="41"/>
      <c r="NRN22" s="42"/>
      <c r="NRU22" s="33"/>
      <c r="NRV22" s="33"/>
      <c r="NRZ22" s="41"/>
      <c r="NSF22" s="42"/>
      <c r="NSM22" s="33"/>
      <c r="NSN22" s="33"/>
      <c r="NSR22" s="41"/>
      <c r="NSX22" s="42"/>
      <c r="NTE22" s="33"/>
      <c r="NTF22" s="33"/>
      <c r="NTJ22" s="41"/>
      <c r="NTP22" s="42"/>
      <c r="NTW22" s="33"/>
      <c r="NTX22" s="33"/>
      <c r="NUB22" s="41"/>
      <c r="NUH22" s="42"/>
      <c r="NUO22" s="33"/>
      <c r="NUP22" s="33"/>
      <c r="NUT22" s="41"/>
      <c r="NUZ22" s="42"/>
      <c r="NVG22" s="33"/>
      <c r="NVH22" s="33"/>
      <c r="NVL22" s="41"/>
      <c r="NVR22" s="42"/>
      <c r="NVY22" s="33"/>
      <c r="NVZ22" s="33"/>
      <c r="NWD22" s="41"/>
      <c r="NWJ22" s="42"/>
      <c r="NWQ22" s="33"/>
      <c r="NWR22" s="33"/>
      <c r="NWV22" s="41"/>
      <c r="NXB22" s="42"/>
      <c r="NXI22" s="33"/>
      <c r="NXJ22" s="33"/>
      <c r="NXN22" s="41"/>
      <c r="NXT22" s="42"/>
      <c r="NYA22" s="33"/>
      <c r="NYB22" s="33"/>
      <c r="NYF22" s="41"/>
      <c r="NYL22" s="42"/>
      <c r="NYS22" s="33"/>
      <c r="NYT22" s="33"/>
      <c r="NYX22" s="41"/>
      <c r="NZD22" s="42"/>
      <c r="NZK22" s="33"/>
      <c r="NZL22" s="33"/>
      <c r="NZP22" s="41"/>
      <c r="NZV22" s="42"/>
      <c r="OAC22" s="33"/>
      <c r="OAD22" s="33"/>
      <c r="OAH22" s="41"/>
      <c r="OAN22" s="42"/>
      <c r="OAU22" s="33"/>
      <c r="OAV22" s="33"/>
      <c r="OAZ22" s="41"/>
      <c r="OBF22" s="42"/>
      <c r="OBM22" s="33"/>
      <c r="OBN22" s="33"/>
      <c r="OBR22" s="41"/>
      <c r="OBX22" s="42"/>
      <c r="OCE22" s="33"/>
      <c r="OCF22" s="33"/>
      <c r="OCJ22" s="41"/>
      <c r="OCP22" s="42"/>
      <c r="OCW22" s="33"/>
      <c r="OCX22" s="33"/>
      <c r="ODB22" s="41"/>
      <c r="ODH22" s="42"/>
      <c r="ODO22" s="33"/>
      <c r="ODP22" s="33"/>
      <c r="ODT22" s="41"/>
      <c r="ODZ22" s="42"/>
      <c r="OEG22" s="33"/>
      <c r="OEH22" s="33"/>
      <c r="OEL22" s="41"/>
      <c r="OER22" s="42"/>
      <c r="OEY22" s="33"/>
      <c r="OEZ22" s="33"/>
      <c r="OFD22" s="41"/>
      <c r="OFJ22" s="42"/>
      <c r="OFQ22" s="33"/>
      <c r="OFR22" s="33"/>
      <c r="OFV22" s="41"/>
      <c r="OGB22" s="42"/>
      <c r="OGI22" s="33"/>
      <c r="OGJ22" s="33"/>
      <c r="OGN22" s="41"/>
      <c r="OGT22" s="42"/>
      <c r="OHA22" s="33"/>
      <c r="OHB22" s="33"/>
      <c r="OHF22" s="41"/>
      <c r="OHL22" s="42"/>
      <c r="OHS22" s="33"/>
      <c r="OHT22" s="33"/>
      <c r="OHX22" s="41"/>
      <c r="OID22" s="42"/>
      <c r="OIK22" s="33"/>
      <c r="OIL22" s="33"/>
      <c r="OIP22" s="41"/>
      <c r="OIV22" s="42"/>
      <c r="OJC22" s="33"/>
      <c r="OJD22" s="33"/>
      <c r="OJH22" s="41"/>
      <c r="OJN22" s="42"/>
      <c r="OJU22" s="33"/>
      <c r="OJV22" s="33"/>
      <c r="OJZ22" s="41"/>
      <c r="OKF22" s="42"/>
      <c r="OKM22" s="33"/>
      <c r="OKN22" s="33"/>
      <c r="OKR22" s="41"/>
      <c r="OKX22" s="42"/>
      <c r="OLE22" s="33"/>
      <c r="OLF22" s="33"/>
      <c r="OLJ22" s="41"/>
      <c r="OLP22" s="42"/>
      <c r="OLW22" s="33"/>
      <c r="OLX22" s="33"/>
      <c r="OMB22" s="41"/>
      <c r="OMH22" s="42"/>
      <c r="OMO22" s="33"/>
      <c r="OMP22" s="33"/>
      <c r="OMT22" s="41"/>
      <c r="OMZ22" s="42"/>
      <c r="ONG22" s="33"/>
      <c r="ONH22" s="33"/>
      <c r="ONL22" s="41"/>
      <c r="ONR22" s="42"/>
      <c r="ONY22" s="33"/>
      <c r="ONZ22" s="33"/>
      <c r="OOD22" s="41"/>
      <c r="OOJ22" s="42"/>
      <c r="OOQ22" s="33"/>
      <c r="OOR22" s="33"/>
      <c r="OOV22" s="41"/>
      <c r="OPB22" s="42"/>
      <c r="OPI22" s="33"/>
      <c r="OPJ22" s="33"/>
      <c r="OPN22" s="41"/>
      <c r="OPT22" s="42"/>
      <c r="OQA22" s="33"/>
      <c r="OQB22" s="33"/>
      <c r="OQF22" s="41"/>
      <c r="OQL22" s="42"/>
      <c r="OQS22" s="33"/>
      <c r="OQT22" s="33"/>
      <c r="OQX22" s="41"/>
      <c r="ORD22" s="42"/>
      <c r="ORK22" s="33"/>
      <c r="ORL22" s="33"/>
      <c r="ORP22" s="41"/>
      <c r="ORV22" s="42"/>
      <c r="OSC22" s="33"/>
      <c r="OSD22" s="33"/>
      <c r="OSH22" s="41"/>
      <c r="OSN22" s="42"/>
      <c r="OSU22" s="33"/>
      <c r="OSV22" s="33"/>
      <c r="OSZ22" s="41"/>
      <c r="OTF22" s="42"/>
      <c r="OTM22" s="33"/>
      <c r="OTN22" s="33"/>
      <c r="OTR22" s="41"/>
      <c r="OTX22" s="42"/>
      <c r="OUE22" s="33"/>
      <c r="OUF22" s="33"/>
      <c r="OUJ22" s="41"/>
      <c r="OUP22" s="42"/>
      <c r="OUW22" s="33"/>
      <c r="OUX22" s="33"/>
      <c r="OVB22" s="41"/>
      <c r="OVH22" s="42"/>
      <c r="OVO22" s="33"/>
      <c r="OVP22" s="33"/>
      <c r="OVT22" s="41"/>
      <c r="OVZ22" s="42"/>
      <c r="OWG22" s="33"/>
      <c r="OWH22" s="33"/>
      <c r="OWL22" s="41"/>
      <c r="OWR22" s="42"/>
      <c r="OWY22" s="33"/>
      <c r="OWZ22" s="33"/>
      <c r="OXD22" s="41"/>
      <c r="OXJ22" s="42"/>
      <c r="OXQ22" s="33"/>
      <c r="OXR22" s="33"/>
      <c r="OXV22" s="41"/>
      <c r="OYB22" s="42"/>
      <c r="OYI22" s="33"/>
      <c r="OYJ22" s="33"/>
      <c r="OYN22" s="41"/>
      <c r="OYT22" s="42"/>
      <c r="OZA22" s="33"/>
      <c r="OZB22" s="33"/>
      <c r="OZF22" s="41"/>
      <c r="OZL22" s="42"/>
      <c r="OZS22" s="33"/>
      <c r="OZT22" s="33"/>
      <c r="OZX22" s="41"/>
      <c r="PAD22" s="42"/>
      <c r="PAK22" s="33"/>
      <c r="PAL22" s="33"/>
      <c r="PAP22" s="41"/>
      <c r="PAV22" s="42"/>
      <c r="PBC22" s="33"/>
      <c r="PBD22" s="33"/>
      <c r="PBH22" s="41"/>
      <c r="PBN22" s="42"/>
      <c r="PBU22" s="33"/>
      <c r="PBV22" s="33"/>
      <c r="PBZ22" s="41"/>
      <c r="PCF22" s="42"/>
      <c r="PCM22" s="33"/>
      <c r="PCN22" s="33"/>
      <c r="PCR22" s="41"/>
      <c r="PCX22" s="42"/>
      <c r="PDE22" s="33"/>
      <c r="PDF22" s="33"/>
      <c r="PDJ22" s="41"/>
      <c r="PDP22" s="42"/>
      <c r="PDW22" s="33"/>
      <c r="PDX22" s="33"/>
      <c r="PEB22" s="41"/>
      <c r="PEH22" s="42"/>
      <c r="PEO22" s="33"/>
      <c r="PEP22" s="33"/>
      <c r="PET22" s="41"/>
      <c r="PEZ22" s="42"/>
      <c r="PFG22" s="33"/>
      <c r="PFH22" s="33"/>
      <c r="PFL22" s="41"/>
      <c r="PFR22" s="42"/>
      <c r="PFY22" s="33"/>
      <c r="PFZ22" s="33"/>
      <c r="PGD22" s="41"/>
      <c r="PGJ22" s="42"/>
      <c r="PGQ22" s="33"/>
      <c r="PGR22" s="33"/>
      <c r="PGV22" s="41"/>
      <c r="PHB22" s="42"/>
      <c r="PHI22" s="33"/>
      <c r="PHJ22" s="33"/>
      <c r="PHN22" s="41"/>
      <c r="PHT22" s="42"/>
      <c r="PIA22" s="33"/>
      <c r="PIB22" s="33"/>
      <c r="PIF22" s="41"/>
      <c r="PIL22" s="42"/>
      <c r="PIS22" s="33"/>
      <c r="PIT22" s="33"/>
      <c r="PIX22" s="41"/>
      <c r="PJD22" s="42"/>
      <c r="PJK22" s="33"/>
      <c r="PJL22" s="33"/>
      <c r="PJP22" s="41"/>
      <c r="PJV22" s="42"/>
      <c r="PKC22" s="33"/>
      <c r="PKD22" s="33"/>
      <c r="PKH22" s="41"/>
      <c r="PKN22" s="42"/>
      <c r="PKU22" s="33"/>
      <c r="PKV22" s="33"/>
      <c r="PKZ22" s="41"/>
      <c r="PLF22" s="42"/>
      <c r="PLM22" s="33"/>
      <c r="PLN22" s="33"/>
      <c r="PLR22" s="41"/>
      <c r="PLX22" s="42"/>
      <c r="PME22" s="33"/>
      <c r="PMF22" s="33"/>
      <c r="PMJ22" s="41"/>
      <c r="PMP22" s="42"/>
      <c r="PMW22" s="33"/>
      <c r="PMX22" s="33"/>
      <c r="PNB22" s="41"/>
      <c r="PNH22" s="42"/>
      <c r="PNO22" s="33"/>
      <c r="PNP22" s="33"/>
      <c r="PNT22" s="41"/>
      <c r="PNZ22" s="42"/>
      <c r="POG22" s="33"/>
      <c r="POH22" s="33"/>
      <c r="POL22" s="41"/>
      <c r="POR22" s="42"/>
      <c r="POY22" s="33"/>
      <c r="POZ22" s="33"/>
      <c r="PPD22" s="41"/>
      <c r="PPJ22" s="42"/>
      <c r="PPQ22" s="33"/>
      <c r="PPR22" s="33"/>
      <c r="PPV22" s="41"/>
      <c r="PQB22" s="42"/>
      <c r="PQI22" s="33"/>
      <c r="PQJ22" s="33"/>
      <c r="PQN22" s="41"/>
      <c r="PQT22" s="42"/>
      <c r="PRA22" s="33"/>
      <c r="PRB22" s="33"/>
      <c r="PRF22" s="41"/>
      <c r="PRL22" s="42"/>
      <c r="PRS22" s="33"/>
      <c r="PRT22" s="33"/>
      <c r="PRX22" s="41"/>
      <c r="PSD22" s="42"/>
      <c r="PSK22" s="33"/>
      <c r="PSL22" s="33"/>
      <c r="PSP22" s="41"/>
      <c r="PSV22" s="42"/>
      <c r="PTC22" s="33"/>
      <c r="PTD22" s="33"/>
      <c r="PTH22" s="41"/>
      <c r="PTN22" s="42"/>
      <c r="PTU22" s="33"/>
      <c r="PTV22" s="33"/>
      <c r="PTZ22" s="41"/>
      <c r="PUF22" s="42"/>
      <c r="PUM22" s="33"/>
      <c r="PUN22" s="33"/>
      <c r="PUR22" s="41"/>
      <c r="PUX22" s="42"/>
      <c r="PVE22" s="33"/>
      <c r="PVF22" s="33"/>
      <c r="PVJ22" s="41"/>
      <c r="PVP22" s="42"/>
      <c r="PVW22" s="33"/>
      <c r="PVX22" s="33"/>
      <c r="PWB22" s="41"/>
      <c r="PWH22" s="42"/>
      <c r="PWO22" s="33"/>
      <c r="PWP22" s="33"/>
      <c r="PWT22" s="41"/>
      <c r="PWZ22" s="42"/>
      <c r="PXG22" s="33"/>
      <c r="PXH22" s="33"/>
      <c r="PXL22" s="41"/>
      <c r="PXR22" s="42"/>
      <c r="PXY22" s="33"/>
      <c r="PXZ22" s="33"/>
      <c r="PYD22" s="41"/>
      <c r="PYJ22" s="42"/>
      <c r="PYQ22" s="33"/>
      <c r="PYR22" s="33"/>
      <c r="PYV22" s="41"/>
      <c r="PZB22" s="42"/>
      <c r="PZI22" s="33"/>
      <c r="PZJ22" s="33"/>
      <c r="PZN22" s="41"/>
      <c r="PZT22" s="42"/>
      <c r="QAA22" s="33"/>
      <c r="QAB22" s="33"/>
      <c r="QAF22" s="41"/>
      <c r="QAL22" s="42"/>
      <c r="QAS22" s="33"/>
      <c r="QAT22" s="33"/>
      <c r="QAX22" s="41"/>
      <c r="QBD22" s="42"/>
      <c r="QBK22" s="33"/>
      <c r="QBL22" s="33"/>
      <c r="QBP22" s="41"/>
      <c r="QBV22" s="42"/>
      <c r="QCC22" s="33"/>
      <c r="QCD22" s="33"/>
      <c r="QCH22" s="41"/>
      <c r="QCN22" s="42"/>
      <c r="QCU22" s="33"/>
      <c r="QCV22" s="33"/>
      <c r="QCZ22" s="41"/>
      <c r="QDF22" s="42"/>
      <c r="QDM22" s="33"/>
      <c r="QDN22" s="33"/>
      <c r="QDR22" s="41"/>
      <c r="QDX22" s="42"/>
      <c r="QEE22" s="33"/>
      <c r="QEF22" s="33"/>
      <c r="QEJ22" s="41"/>
      <c r="QEP22" s="42"/>
      <c r="QEW22" s="33"/>
      <c r="QEX22" s="33"/>
      <c r="QFB22" s="41"/>
      <c r="QFH22" s="42"/>
      <c r="QFO22" s="33"/>
      <c r="QFP22" s="33"/>
      <c r="QFT22" s="41"/>
      <c r="QFZ22" s="42"/>
      <c r="QGG22" s="33"/>
      <c r="QGH22" s="33"/>
      <c r="QGL22" s="41"/>
      <c r="QGR22" s="42"/>
      <c r="QGY22" s="33"/>
      <c r="QGZ22" s="33"/>
      <c r="QHD22" s="41"/>
      <c r="QHJ22" s="42"/>
      <c r="QHQ22" s="33"/>
      <c r="QHR22" s="33"/>
      <c r="QHV22" s="41"/>
      <c r="QIB22" s="42"/>
      <c r="QII22" s="33"/>
      <c r="QIJ22" s="33"/>
      <c r="QIN22" s="41"/>
      <c r="QIT22" s="42"/>
      <c r="QJA22" s="33"/>
      <c r="QJB22" s="33"/>
      <c r="QJF22" s="41"/>
      <c r="QJL22" s="42"/>
      <c r="QJS22" s="33"/>
      <c r="QJT22" s="33"/>
      <c r="QJX22" s="41"/>
      <c r="QKD22" s="42"/>
      <c r="QKK22" s="33"/>
      <c r="QKL22" s="33"/>
      <c r="QKP22" s="41"/>
      <c r="QKV22" s="42"/>
      <c r="QLC22" s="33"/>
      <c r="QLD22" s="33"/>
      <c r="QLH22" s="41"/>
      <c r="QLN22" s="42"/>
      <c r="QLU22" s="33"/>
      <c r="QLV22" s="33"/>
      <c r="QLZ22" s="41"/>
      <c r="QMF22" s="42"/>
      <c r="QMM22" s="33"/>
      <c r="QMN22" s="33"/>
      <c r="QMR22" s="41"/>
      <c r="QMX22" s="42"/>
      <c r="QNE22" s="33"/>
      <c r="QNF22" s="33"/>
      <c r="QNJ22" s="41"/>
      <c r="QNP22" s="42"/>
      <c r="QNW22" s="33"/>
      <c r="QNX22" s="33"/>
      <c r="QOB22" s="41"/>
      <c r="QOH22" s="42"/>
      <c r="QOO22" s="33"/>
      <c r="QOP22" s="33"/>
      <c r="QOT22" s="41"/>
      <c r="QOZ22" s="42"/>
      <c r="QPG22" s="33"/>
      <c r="QPH22" s="33"/>
      <c r="QPL22" s="41"/>
      <c r="QPR22" s="42"/>
      <c r="QPY22" s="33"/>
      <c r="QPZ22" s="33"/>
      <c r="QQD22" s="41"/>
      <c r="QQJ22" s="42"/>
      <c r="QQQ22" s="33"/>
      <c r="QQR22" s="33"/>
      <c r="QQV22" s="41"/>
      <c r="QRB22" s="42"/>
      <c r="QRI22" s="33"/>
      <c r="QRJ22" s="33"/>
      <c r="QRN22" s="41"/>
      <c r="QRT22" s="42"/>
      <c r="QSA22" s="33"/>
      <c r="QSB22" s="33"/>
      <c r="QSF22" s="41"/>
      <c r="QSL22" s="42"/>
      <c r="QSS22" s="33"/>
      <c r="QST22" s="33"/>
      <c r="QSX22" s="41"/>
      <c r="QTD22" s="42"/>
      <c r="QTK22" s="33"/>
      <c r="QTL22" s="33"/>
      <c r="QTP22" s="41"/>
      <c r="QTV22" s="42"/>
      <c r="QUC22" s="33"/>
      <c r="QUD22" s="33"/>
      <c r="QUH22" s="41"/>
      <c r="QUN22" s="42"/>
      <c r="QUU22" s="33"/>
      <c r="QUV22" s="33"/>
      <c r="QUZ22" s="41"/>
      <c r="QVF22" s="42"/>
      <c r="QVM22" s="33"/>
      <c r="QVN22" s="33"/>
      <c r="QVR22" s="41"/>
      <c r="QVX22" s="42"/>
      <c r="QWE22" s="33"/>
      <c r="QWF22" s="33"/>
      <c r="QWJ22" s="41"/>
      <c r="QWP22" s="42"/>
      <c r="QWW22" s="33"/>
      <c r="QWX22" s="33"/>
      <c r="QXB22" s="41"/>
      <c r="QXH22" s="42"/>
      <c r="QXO22" s="33"/>
      <c r="QXP22" s="33"/>
      <c r="QXT22" s="41"/>
      <c r="QXZ22" s="42"/>
      <c r="QYG22" s="33"/>
      <c r="QYH22" s="33"/>
      <c r="QYL22" s="41"/>
      <c r="QYR22" s="42"/>
      <c r="QYY22" s="33"/>
      <c r="QYZ22" s="33"/>
      <c r="QZD22" s="41"/>
      <c r="QZJ22" s="42"/>
      <c r="QZQ22" s="33"/>
      <c r="QZR22" s="33"/>
      <c r="QZV22" s="41"/>
      <c r="RAB22" s="42"/>
      <c r="RAI22" s="33"/>
      <c r="RAJ22" s="33"/>
      <c r="RAN22" s="41"/>
      <c r="RAT22" s="42"/>
      <c r="RBA22" s="33"/>
      <c r="RBB22" s="33"/>
      <c r="RBF22" s="41"/>
      <c r="RBL22" s="42"/>
      <c r="RBS22" s="33"/>
      <c r="RBT22" s="33"/>
      <c r="RBX22" s="41"/>
      <c r="RCD22" s="42"/>
      <c r="RCK22" s="33"/>
      <c r="RCL22" s="33"/>
      <c r="RCP22" s="41"/>
      <c r="RCV22" s="42"/>
      <c r="RDC22" s="33"/>
      <c r="RDD22" s="33"/>
      <c r="RDH22" s="41"/>
      <c r="RDN22" s="42"/>
      <c r="RDU22" s="33"/>
      <c r="RDV22" s="33"/>
      <c r="RDZ22" s="41"/>
      <c r="REF22" s="42"/>
      <c r="REM22" s="33"/>
      <c r="REN22" s="33"/>
      <c r="RER22" s="41"/>
      <c r="REX22" s="42"/>
      <c r="RFE22" s="33"/>
      <c r="RFF22" s="33"/>
      <c r="RFJ22" s="41"/>
      <c r="RFP22" s="42"/>
      <c r="RFW22" s="33"/>
      <c r="RFX22" s="33"/>
      <c r="RGB22" s="41"/>
      <c r="RGH22" s="42"/>
      <c r="RGO22" s="33"/>
      <c r="RGP22" s="33"/>
      <c r="RGT22" s="41"/>
      <c r="RGZ22" s="42"/>
      <c r="RHG22" s="33"/>
      <c r="RHH22" s="33"/>
      <c r="RHL22" s="41"/>
      <c r="RHR22" s="42"/>
      <c r="RHY22" s="33"/>
      <c r="RHZ22" s="33"/>
      <c r="RID22" s="41"/>
      <c r="RIJ22" s="42"/>
      <c r="RIQ22" s="33"/>
      <c r="RIR22" s="33"/>
      <c r="RIV22" s="41"/>
      <c r="RJB22" s="42"/>
      <c r="RJI22" s="33"/>
      <c r="RJJ22" s="33"/>
      <c r="RJN22" s="41"/>
      <c r="RJT22" s="42"/>
      <c r="RKA22" s="33"/>
      <c r="RKB22" s="33"/>
      <c r="RKF22" s="41"/>
      <c r="RKL22" s="42"/>
      <c r="RKS22" s="33"/>
      <c r="RKT22" s="33"/>
      <c r="RKX22" s="41"/>
      <c r="RLD22" s="42"/>
      <c r="RLK22" s="33"/>
      <c r="RLL22" s="33"/>
      <c r="RLP22" s="41"/>
      <c r="RLV22" s="42"/>
      <c r="RMC22" s="33"/>
      <c r="RMD22" s="33"/>
      <c r="RMH22" s="41"/>
      <c r="RMN22" s="42"/>
      <c r="RMU22" s="33"/>
      <c r="RMV22" s="33"/>
      <c r="RMZ22" s="41"/>
      <c r="RNF22" s="42"/>
      <c r="RNM22" s="33"/>
      <c r="RNN22" s="33"/>
      <c r="RNR22" s="41"/>
      <c r="RNX22" s="42"/>
      <c r="ROE22" s="33"/>
      <c r="ROF22" s="33"/>
      <c r="ROJ22" s="41"/>
      <c r="ROP22" s="42"/>
      <c r="ROW22" s="33"/>
      <c r="ROX22" s="33"/>
      <c r="RPB22" s="41"/>
      <c r="RPH22" s="42"/>
      <c r="RPO22" s="33"/>
      <c r="RPP22" s="33"/>
      <c r="RPT22" s="41"/>
      <c r="RPZ22" s="42"/>
      <c r="RQG22" s="33"/>
      <c r="RQH22" s="33"/>
      <c r="RQL22" s="41"/>
      <c r="RQR22" s="42"/>
      <c r="RQY22" s="33"/>
      <c r="RQZ22" s="33"/>
      <c r="RRD22" s="41"/>
      <c r="RRJ22" s="42"/>
      <c r="RRQ22" s="33"/>
      <c r="RRR22" s="33"/>
      <c r="RRV22" s="41"/>
      <c r="RSB22" s="42"/>
      <c r="RSI22" s="33"/>
      <c r="RSJ22" s="33"/>
      <c r="RSN22" s="41"/>
      <c r="RST22" s="42"/>
      <c r="RTA22" s="33"/>
      <c r="RTB22" s="33"/>
      <c r="RTF22" s="41"/>
      <c r="RTL22" s="42"/>
      <c r="RTS22" s="33"/>
      <c r="RTT22" s="33"/>
      <c r="RTX22" s="41"/>
      <c r="RUD22" s="42"/>
      <c r="RUK22" s="33"/>
      <c r="RUL22" s="33"/>
      <c r="RUP22" s="41"/>
      <c r="RUV22" s="42"/>
      <c r="RVC22" s="33"/>
      <c r="RVD22" s="33"/>
      <c r="RVH22" s="41"/>
      <c r="RVN22" s="42"/>
      <c r="RVU22" s="33"/>
      <c r="RVV22" s="33"/>
      <c r="RVZ22" s="41"/>
      <c r="RWF22" s="42"/>
      <c r="RWM22" s="33"/>
      <c r="RWN22" s="33"/>
      <c r="RWR22" s="41"/>
      <c r="RWX22" s="42"/>
      <c r="RXE22" s="33"/>
      <c r="RXF22" s="33"/>
      <c r="RXJ22" s="41"/>
      <c r="RXP22" s="42"/>
      <c r="RXW22" s="33"/>
      <c r="RXX22" s="33"/>
      <c r="RYB22" s="41"/>
      <c r="RYH22" s="42"/>
      <c r="RYO22" s="33"/>
      <c r="RYP22" s="33"/>
      <c r="RYT22" s="41"/>
      <c r="RYZ22" s="42"/>
      <c r="RZG22" s="33"/>
      <c r="RZH22" s="33"/>
      <c r="RZL22" s="41"/>
      <c r="RZR22" s="42"/>
      <c r="RZY22" s="33"/>
      <c r="RZZ22" s="33"/>
      <c r="SAD22" s="41"/>
      <c r="SAJ22" s="42"/>
      <c r="SAQ22" s="33"/>
      <c r="SAR22" s="33"/>
      <c r="SAV22" s="41"/>
      <c r="SBB22" s="42"/>
      <c r="SBI22" s="33"/>
      <c r="SBJ22" s="33"/>
      <c r="SBN22" s="41"/>
      <c r="SBT22" s="42"/>
      <c r="SCA22" s="33"/>
      <c r="SCB22" s="33"/>
      <c r="SCF22" s="41"/>
      <c r="SCL22" s="42"/>
      <c r="SCS22" s="33"/>
      <c r="SCT22" s="33"/>
      <c r="SCX22" s="41"/>
      <c r="SDD22" s="42"/>
      <c r="SDK22" s="33"/>
      <c r="SDL22" s="33"/>
      <c r="SDP22" s="41"/>
      <c r="SDV22" s="42"/>
      <c r="SEC22" s="33"/>
      <c r="SED22" s="33"/>
      <c r="SEH22" s="41"/>
      <c r="SEN22" s="42"/>
      <c r="SEU22" s="33"/>
      <c r="SEV22" s="33"/>
      <c r="SEZ22" s="41"/>
      <c r="SFF22" s="42"/>
      <c r="SFM22" s="33"/>
      <c r="SFN22" s="33"/>
      <c r="SFR22" s="41"/>
      <c r="SFX22" s="42"/>
      <c r="SGE22" s="33"/>
      <c r="SGF22" s="33"/>
      <c r="SGJ22" s="41"/>
      <c r="SGP22" s="42"/>
      <c r="SGW22" s="33"/>
      <c r="SGX22" s="33"/>
      <c r="SHB22" s="41"/>
      <c r="SHH22" s="42"/>
      <c r="SHO22" s="33"/>
      <c r="SHP22" s="33"/>
      <c r="SHT22" s="41"/>
      <c r="SHZ22" s="42"/>
      <c r="SIG22" s="33"/>
      <c r="SIH22" s="33"/>
      <c r="SIL22" s="41"/>
      <c r="SIR22" s="42"/>
      <c r="SIY22" s="33"/>
      <c r="SIZ22" s="33"/>
      <c r="SJD22" s="41"/>
      <c r="SJJ22" s="42"/>
      <c r="SJQ22" s="33"/>
      <c r="SJR22" s="33"/>
      <c r="SJV22" s="41"/>
      <c r="SKB22" s="42"/>
      <c r="SKI22" s="33"/>
      <c r="SKJ22" s="33"/>
      <c r="SKN22" s="41"/>
      <c r="SKT22" s="42"/>
      <c r="SLA22" s="33"/>
      <c r="SLB22" s="33"/>
      <c r="SLF22" s="41"/>
      <c r="SLL22" s="42"/>
      <c r="SLS22" s="33"/>
      <c r="SLT22" s="33"/>
      <c r="SLX22" s="41"/>
      <c r="SMD22" s="42"/>
      <c r="SMK22" s="33"/>
      <c r="SML22" s="33"/>
      <c r="SMP22" s="41"/>
      <c r="SMV22" s="42"/>
      <c r="SNC22" s="33"/>
      <c r="SND22" s="33"/>
      <c r="SNH22" s="41"/>
      <c r="SNN22" s="42"/>
      <c r="SNU22" s="33"/>
      <c r="SNV22" s="33"/>
      <c r="SNZ22" s="41"/>
      <c r="SOF22" s="42"/>
      <c r="SOM22" s="33"/>
      <c r="SON22" s="33"/>
      <c r="SOR22" s="41"/>
      <c r="SOX22" s="42"/>
      <c r="SPE22" s="33"/>
      <c r="SPF22" s="33"/>
      <c r="SPJ22" s="41"/>
      <c r="SPP22" s="42"/>
      <c r="SPW22" s="33"/>
      <c r="SPX22" s="33"/>
      <c r="SQB22" s="41"/>
      <c r="SQH22" s="42"/>
      <c r="SQO22" s="33"/>
      <c r="SQP22" s="33"/>
      <c r="SQT22" s="41"/>
      <c r="SQZ22" s="42"/>
      <c r="SRG22" s="33"/>
      <c r="SRH22" s="33"/>
      <c r="SRL22" s="41"/>
      <c r="SRR22" s="42"/>
      <c r="SRY22" s="33"/>
      <c r="SRZ22" s="33"/>
      <c r="SSD22" s="41"/>
      <c r="SSJ22" s="42"/>
      <c r="SSQ22" s="33"/>
      <c r="SSR22" s="33"/>
      <c r="SSV22" s="41"/>
      <c r="STB22" s="42"/>
      <c r="STI22" s="33"/>
      <c r="STJ22" s="33"/>
      <c r="STN22" s="41"/>
      <c r="STT22" s="42"/>
      <c r="SUA22" s="33"/>
      <c r="SUB22" s="33"/>
      <c r="SUF22" s="41"/>
      <c r="SUL22" s="42"/>
      <c r="SUS22" s="33"/>
      <c r="SUT22" s="33"/>
      <c r="SUX22" s="41"/>
      <c r="SVD22" s="42"/>
      <c r="SVK22" s="33"/>
      <c r="SVL22" s="33"/>
      <c r="SVP22" s="41"/>
      <c r="SVV22" s="42"/>
      <c r="SWC22" s="33"/>
      <c r="SWD22" s="33"/>
      <c r="SWH22" s="41"/>
      <c r="SWN22" s="42"/>
      <c r="SWU22" s="33"/>
      <c r="SWV22" s="33"/>
      <c r="SWZ22" s="41"/>
      <c r="SXF22" s="42"/>
      <c r="SXM22" s="33"/>
      <c r="SXN22" s="33"/>
      <c r="SXR22" s="41"/>
      <c r="SXX22" s="42"/>
      <c r="SYE22" s="33"/>
      <c r="SYF22" s="33"/>
      <c r="SYJ22" s="41"/>
      <c r="SYP22" s="42"/>
      <c r="SYW22" s="33"/>
      <c r="SYX22" s="33"/>
      <c r="SZB22" s="41"/>
      <c r="SZH22" s="42"/>
      <c r="SZO22" s="33"/>
      <c r="SZP22" s="33"/>
      <c r="SZT22" s="41"/>
      <c r="SZZ22" s="42"/>
      <c r="TAG22" s="33"/>
      <c r="TAH22" s="33"/>
      <c r="TAL22" s="41"/>
      <c r="TAR22" s="42"/>
      <c r="TAY22" s="33"/>
      <c r="TAZ22" s="33"/>
      <c r="TBD22" s="41"/>
      <c r="TBJ22" s="42"/>
      <c r="TBQ22" s="33"/>
      <c r="TBR22" s="33"/>
      <c r="TBV22" s="41"/>
      <c r="TCB22" s="42"/>
      <c r="TCI22" s="33"/>
      <c r="TCJ22" s="33"/>
      <c r="TCN22" s="41"/>
      <c r="TCT22" s="42"/>
      <c r="TDA22" s="33"/>
      <c r="TDB22" s="33"/>
      <c r="TDF22" s="41"/>
      <c r="TDL22" s="42"/>
      <c r="TDS22" s="33"/>
      <c r="TDT22" s="33"/>
      <c r="TDX22" s="41"/>
      <c r="TED22" s="42"/>
      <c r="TEK22" s="33"/>
      <c r="TEL22" s="33"/>
      <c r="TEP22" s="41"/>
      <c r="TEV22" s="42"/>
      <c r="TFC22" s="33"/>
      <c r="TFD22" s="33"/>
      <c r="TFH22" s="41"/>
      <c r="TFN22" s="42"/>
      <c r="TFU22" s="33"/>
      <c r="TFV22" s="33"/>
      <c r="TFZ22" s="41"/>
      <c r="TGF22" s="42"/>
      <c r="TGM22" s="33"/>
      <c r="TGN22" s="33"/>
      <c r="TGR22" s="41"/>
      <c r="TGX22" s="42"/>
      <c r="THE22" s="33"/>
      <c r="THF22" s="33"/>
      <c r="THJ22" s="41"/>
      <c r="THP22" s="42"/>
      <c r="THW22" s="33"/>
      <c r="THX22" s="33"/>
      <c r="TIB22" s="41"/>
      <c r="TIH22" s="42"/>
      <c r="TIO22" s="33"/>
      <c r="TIP22" s="33"/>
      <c r="TIT22" s="41"/>
      <c r="TIZ22" s="42"/>
      <c r="TJG22" s="33"/>
      <c r="TJH22" s="33"/>
      <c r="TJL22" s="41"/>
      <c r="TJR22" s="42"/>
      <c r="TJY22" s="33"/>
      <c r="TJZ22" s="33"/>
      <c r="TKD22" s="41"/>
      <c r="TKJ22" s="42"/>
      <c r="TKQ22" s="33"/>
      <c r="TKR22" s="33"/>
      <c r="TKV22" s="41"/>
      <c r="TLB22" s="42"/>
      <c r="TLI22" s="33"/>
      <c r="TLJ22" s="33"/>
      <c r="TLN22" s="41"/>
      <c r="TLT22" s="42"/>
      <c r="TMA22" s="33"/>
      <c r="TMB22" s="33"/>
      <c r="TMF22" s="41"/>
      <c r="TML22" s="42"/>
      <c r="TMS22" s="33"/>
      <c r="TMT22" s="33"/>
      <c r="TMX22" s="41"/>
      <c r="TND22" s="42"/>
      <c r="TNK22" s="33"/>
      <c r="TNL22" s="33"/>
      <c r="TNP22" s="41"/>
      <c r="TNV22" s="42"/>
      <c r="TOC22" s="33"/>
      <c r="TOD22" s="33"/>
      <c r="TOH22" s="41"/>
      <c r="TON22" s="42"/>
      <c r="TOU22" s="33"/>
      <c r="TOV22" s="33"/>
      <c r="TOZ22" s="41"/>
      <c r="TPF22" s="42"/>
      <c r="TPM22" s="33"/>
      <c r="TPN22" s="33"/>
      <c r="TPR22" s="41"/>
      <c r="TPX22" s="42"/>
      <c r="TQE22" s="33"/>
      <c r="TQF22" s="33"/>
      <c r="TQJ22" s="41"/>
      <c r="TQP22" s="42"/>
      <c r="TQW22" s="33"/>
      <c r="TQX22" s="33"/>
      <c r="TRB22" s="41"/>
      <c r="TRH22" s="42"/>
      <c r="TRO22" s="33"/>
      <c r="TRP22" s="33"/>
      <c r="TRT22" s="41"/>
      <c r="TRZ22" s="42"/>
      <c r="TSG22" s="33"/>
      <c r="TSH22" s="33"/>
      <c r="TSL22" s="41"/>
      <c r="TSR22" s="42"/>
      <c r="TSY22" s="33"/>
      <c r="TSZ22" s="33"/>
      <c r="TTD22" s="41"/>
      <c r="TTJ22" s="42"/>
      <c r="TTQ22" s="33"/>
      <c r="TTR22" s="33"/>
      <c r="TTV22" s="41"/>
      <c r="TUB22" s="42"/>
      <c r="TUI22" s="33"/>
      <c r="TUJ22" s="33"/>
      <c r="TUN22" s="41"/>
      <c r="TUT22" s="42"/>
      <c r="TVA22" s="33"/>
      <c r="TVB22" s="33"/>
      <c r="TVF22" s="41"/>
      <c r="TVL22" s="42"/>
      <c r="TVS22" s="33"/>
      <c r="TVT22" s="33"/>
      <c r="TVX22" s="41"/>
      <c r="TWD22" s="42"/>
      <c r="TWK22" s="33"/>
      <c r="TWL22" s="33"/>
      <c r="TWP22" s="41"/>
      <c r="TWV22" s="42"/>
      <c r="TXC22" s="33"/>
      <c r="TXD22" s="33"/>
      <c r="TXH22" s="41"/>
      <c r="TXN22" s="42"/>
      <c r="TXU22" s="33"/>
      <c r="TXV22" s="33"/>
      <c r="TXZ22" s="41"/>
      <c r="TYF22" s="42"/>
      <c r="TYM22" s="33"/>
      <c r="TYN22" s="33"/>
      <c r="TYR22" s="41"/>
      <c r="TYX22" s="42"/>
      <c r="TZE22" s="33"/>
      <c r="TZF22" s="33"/>
      <c r="TZJ22" s="41"/>
      <c r="TZP22" s="42"/>
      <c r="TZW22" s="33"/>
      <c r="TZX22" s="33"/>
      <c r="UAB22" s="41"/>
      <c r="UAH22" s="42"/>
      <c r="UAO22" s="33"/>
      <c r="UAP22" s="33"/>
      <c r="UAT22" s="41"/>
      <c r="UAZ22" s="42"/>
      <c r="UBG22" s="33"/>
      <c r="UBH22" s="33"/>
      <c r="UBL22" s="41"/>
      <c r="UBR22" s="42"/>
      <c r="UBY22" s="33"/>
      <c r="UBZ22" s="33"/>
      <c r="UCD22" s="41"/>
      <c r="UCJ22" s="42"/>
      <c r="UCQ22" s="33"/>
      <c r="UCR22" s="33"/>
      <c r="UCV22" s="41"/>
      <c r="UDB22" s="42"/>
      <c r="UDI22" s="33"/>
      <c r="UDJ22" s="33"/>
      <c r="UDN22" s="41"/>
      <c r="UDT22" s="42"/>
      <c r="UEA22" s="33"/>
      <c r="UEB22" s="33"/>
      <c r="UEF22" s="41"/>
      <c r="UEL22" s="42"/>
      <c r="UES22" s="33"/>
      <c r="UET22" s="33"/>
      <c r="UEX22" s="41"/>
      <c r="UFD22" s="42"/>
      <c r="UFK22" s="33"/>
      <c r="UFL22" s="33"/>
      <c r="UFP22" s="41"/>
      <c r="UFV22" s="42"/>
      <c r="UGC22" s="33"/>
      <c r="UGD22" s="33"/>
      <c r="UGH22" s="41"/>
      <c r="UGN22" s="42"/>
      <c r="UGU22" s="33"/>
      <c r="UGV22" s="33"/>
      <c r="UGZ22" s="41"/>
      <c r="UHF22" s="42"/>
      <c r="UHM22" s="33"/>
      <c r="UHN22" s="33"/>
      <c r="UHR22" s="41"/>
      <c r="UHX22" s="42"/>
      <c r="UIE22" s="33"/>
      <c r="UIF22" s="33"/>
      <c r="UIJ22" s="41"/>
      <c r="UIP22" s="42"/>
      <c r="UIW22" s="33"/>
      <c r="UIX22" s="33"/>
      <c r="UJB22" s="41"/>
      <c r="UJH22" s="42"/>
      <c r="UJO22" s="33"/>
      <c r="UJP22" s="33"/>
      <c r="UJT22" s="41"/>
      <c r="UJZ22" s="42"/>
      <c r="UKG22" s="33"/>
      <c r="UKH22" s="33"/>
      <c r="UKL22" s="41"/>
      <c r="UKR22" s="42"/>
      <c r="UKY22" s="33"/>
      <c r="UKZ22" s="33"/>
      <c r="ULD22" s="41"/>
      <c r="ULJ22" s="42"/>
      <c r="ULQ22" s="33"/>
      <c r="ULR22" s="33"/>
      <c r="ULV22" s="41"/>
      <c r="UMB22" s="42"/>
      <c r="UMI22" s="33"/>
      <c r="UMJ22" s="33"/>
      <c r="UMN22" s="41"/>
      <c r="UMT22" s="42"/>
      <c r="UNA22" s="33"/>
      <c r="UNB22" s="33"/>
      <c r="UNF22" s="41"/>
      <c r="UNL22" s="42"/>
      <c r="UNS22" s="33"/>
      <c r="UNT22" s="33"/>
      <c r="UNX22" s="41"/>
      <c r="UOD22" s="42"/>
      <c r="UOK22" s="33"/>
      <c r="UOL22" s="33"/>
      <c r="UOP22" s="41"/>
      <c r="UOV22" s="42"/>
      <c r="UPC22" s="33"/>
      <c r="UPD22" s="33"/>
      <c r="UPH22" s="41"/>
      <c r="UPN22" s="42"/>
      <c r="UPU22" s="33"/>
      <c r="UPV22" s="33"/>
      <c r="UPZ22" s="41"/>
      <c r="UQF22" s="42"/>
      <c r="UQM22" s="33"/>
      <c r="UQN22" s="33"/>
      <c r="UQR22" s="41"/>
      <c r="UQX22" s="42"/>
      <c r="URE22" s="33"/>
      <c r="URF22" s="33"/>
      <c r="URJ22" s="41"/>
      <c r="URP22" s="42"/>
      <c r="URW22" s="33"/>
      <c r="URX22" s="33"/>
      <c r="USB22" s="41"/>
      <c r="USH22" s="42"/>
      <c r="USO22" s="33"/>
      <c r="USP22" s="33"/>
      <c r="UST22" s="41"/>
      <c r="USZ22" s="42"/>
      <c r="UTG22" s="33"/>
      <c r="UTH22" s="33"/>
      <c r="UTL22" s="41"/>
      <c r="UTR22" s="42"/>
      <c r="UTY22" s="33"/>
      <c r="UTZ22" s="33"/>
      <c r="UUD22" s="41"/>
      <c r="UUJ22" s="42"/>
      <c r="UUQ22" s="33"/>
      <c r="UUR22" s="33"/>
      <c r="UUV22" s="41"/>
      <c r="UVB22" s="42"/>
      <c r="UVI22" s="33"/>
      <c r="UVJ22" s="33"/>
      <c r="UVN22" s="41"/>
      <c r="UVT22" s="42"/>
      <c r="UWA22" s="33"/>
      <c r="UWB22" s="33"/>
      <c r="UWF22" s="41"/>
      <c r="UWL22" s="42"/>
      <c r="UWS22" s="33"/>
      <c r="UWT22" s="33"/>
      <c r="UWX22" s="41"/>
      <c r="UXD22" s="42"/>
      <c r="UXK22" s="33"/>
      <c r="UXL22" s="33"/>
      <c r="UXP22" s="41"/>
      <c r="UXV22" s="42"/>
      <c r="UYC22" s="33"/>
      <c r="UYD22" s="33"/>
      <c r="UYH22" s="41"/>
      <c r="UYN22" s="42"/>
      <c r="UYU22" s="33"/>
      <c r="UYV22" s="33"/>
      <c r="UYZ22" s="41"/>
      <c r="UZF22" s="42"/>
      <c r="UZM22" s="33"/>
      <c r="UZN22" s="33"/>
      <c r="UZR22" s="41"/>
      <c r="UZX22" s="42"/>
      <c r="VAE22" s="33"/>
      <c r="VAF22" s="33"/>
      <c r="VAJ22" s="41"/>
      <c r="VAP22" s="42"/>
      <c r="VAW22" s="33"/>
      <c r="VAX22" s="33"/>
      <c r="VBB22" s="41"/>
      <c r="VBH22" s="42"/>
      <c r="VBO22" s="33"/>
      <c r="VBP22" s="33"/>
      <c r="VBT22" s="41"/>
      <c r="VBZ22" s="42"/>
      <c r="VCG22" s="33"/>
      <c r="VCH22" s="33"/>
      <c r="VCL22" s="41"/>
      <c r="VCR22" s="42"/>
      <c r="VCY22" s="33"/>
      <c r="VCZ22" s="33"/>
      <c r="VDD22" s="41"/>
      <c r="VDJ22" s="42"/>
      <c r="VDQ22" s="33"/>
      <c r="VDR22" s="33"/>
      <c r="VDV22" s="41"/>
      <c r="VEB22" s="42"/>
      <c r="VEI22" s="33"/>
      <c r="VEJ22" s="33"/>
      <c r="VEN22" s="41"/>
      <c r="VET22" s="42"/>
      <c r="VFA22" s="33"/>
      <c r="VFB22" s="33"/>
      <c r="VFF22" s="41"/>
      <c r="VFL22" s="42"/>
      <c r="VFS22" s="33"/>
      <c r="VFT22" s="33"/>
      <c r="VFX22" s="41"/>
      <c r="VGD22" s="42"/>
      <c r="VGK22" s="33"/>
      <c r="VGL22" s="33"/>
      <c r="VGP22" s="41"/>
      <c r="VGV22" s="42"/>
      <c r="VHC22" s="33"/>
      <c r="VHD22" s="33"/>
      <c r="VHH22" s="41"/>
      <c r="VHN22" s="42"/>
      <c r="VHU22" s="33"/>
      <c r="VHV22" s="33"/>
      <c r="VHZ22" s="41"/>
      <c r="VIF22" s="42"/>
      <c r="VIM22" s="33"/>
      <c r="VIN22" s="33"/>
      <c r="VIR22" s="41"/>
      <c r="VIX22" s="42"/>
      <c r="VJE22" s="33"/>
      <c r="VJF22" s="33"/>
      <c r="VJJ22" s="41"/>
      <c r="VJP22" s="42"/>
      <c r="VJW22" s="33"/>
      <c r="VJX22" s="33"/>
      <c r="VKB22" s="41"/>
      <c r="VKH22" s="42"/>
      <c r="VKO22" s="33"/>
      <c r="VKP22" s="33"/>
      <c r="VKT22" s="41"/>
      <c r="VKZ22" s="42"/>
      <c r="VLG22" s="33"/>
      <c r="VLH22" s="33"/>
      <c r="VLL22" s="41"/>
      <c r="VLR22" s="42"/>
      <c r="VLY22" s="33"/>
      <c r="VLZ22" s="33"/>
      <c r="VMD22" s="41"/>
      <c r="VMJ22" s="42"/>
      <c r="VMQ22" s="33"/>
      <c r="VMR22" s="33"/>
      <c r="VMV22" s="41"/>
      <c r="VNB22" s="42"/>
      <c r="VNI22" s="33"/>
      <c r="VNJ22" s="33"/>
      <c r="VNN22" s="41"/>
      <c r="VNT22" s="42"/>
      <c r="VOA22" s="33"/>
      <c r="VOB22" s="33"/>
      <c r="VOF22" s="41"/>
      <c r="VOL22" s="42"/>
      <c r="VOS22" s="33"/>
      <c r="VOT22" s="33"/>
      <c r="VOX22" s="41"/>
      <c r="VPD22" s="42"/>
      <c r="VPK22" s="33"/>
      <c r="VPL22" s="33"/>
      <c r="VPP22" s="41"/>
      <c r="VPV22" s="42"/>
      <c r="VQC22" s="33"/>
      <c r="VQD22" s="33"/>
      <c r="VQH22" s="41"/>
      <c r="VQN22" s="42"/>
      <c r="VQU22" s="33"/>
      <c r="VQV22" s="33"/>
      <c r="VQZ22" s="41"/>
      <c r="VRF22" s="42"/>
      <c r="VRM22" s="33"/>
      <c r="VRN22" s="33"/>
      <c r="VRR22" s="41"/>
      <c r="VRX22" s="42"/>
      <c r="VSE22" s="33"/>
      <c r="VSF22" s="33"/>
      <c r="VSJ22" s="41"/>
      <c r="VSP22" s="42"/>
      <c r="VSW22" s="33"/>
      <c r="VSX22" s="33"/>
      <c r="VTB22" s="41"/>
      <c r="VTH22" s="42"/>
      <c r="VTO22" s="33"/>
      <c r="VTP22" s="33"/>
      <c r="VTT22" s="41"/>
      <c r="VTZ22" s="42"/>
      <c r="VUG22" s="33"/>
      <c r="VUH22" s="33"/>
      <c r="VUL22" s="41"/>
      <c r="VUR22" s="42"/>
      <c r="VUY22" s="33"/>
      <c r="VUZ22" s="33"/>
      <c r="VVD22" s="41"/>
      <c r="VVJ22" s="42"/>
      <c r="VVQ22" s="33"/>
      <c r="VVR22" s="33"/>
      <c r="VVV22" s="41"/>
      <c r="VWB22" s="42"/>
      <c r="VWI22" s="33"/>
      <c r="VWJ22" s="33"/>
      <c r="VWN22" s="41"/>
      <c r="VWT22" s="42"/>
      <c r="VXA22" s="33"/>
      <c r="VXB22" s="33"/>
      <c r="VXF22" s="41"/>
      <c r="VXL22" s="42"/>
      <c r="VXS22" s="33"/>
      <c r="VXT22" s="33"/>
      <c r="VXX22" s="41"/>
      <c r="VYD22" s="42"/>
      <c r="VYK22" s="33"/>
      <c r="VYL22" s="33"/>
      <c r="VYP22" s="41"/>
      <c r="VYV22" s="42"/>
      <c r="VZC22" s="33"/>
      <c r="VZD22" s="33"/>
      <c r="VZH22" s="41"/>
      <c r="VZN22" s="42"/>
      <c r="VZU22" s="33"/>
      <c r="VZV22" s="33"/>
      <c r="VZZ22" s="41"/>
      <c r="WAF22" s="42"/>
      <c r="WAM22" s="33"/>
      <c r="WAN22" s="33"/>
      <c r="WAR22" s="41"/>
      <c r="WAX22" s="42"/>
      <c r="WBE22" s="33"/>
      <c r="WBF22" s="33"/>
      <c r="WBJ22" s="41"/>
      <c r="WBP22" s="42"/>
      <c r="WBW22" s="33"/>
      <c r="WBX22" s="33"/>
      <c r="WCB22" s="41"/>
      <c r="WCH22" s="42"/>
      <c r="WCO22" s="33"/>
      <c r="WCP22" s="33"/>
      <c r="WCT22" s="41"/>
      <c r="WCZ22" s="42"/>
      <c r="WDG22" s="33"/>
      <c r="WDH22" s="33"/>
      <c r="WDL22" s="41"/>
      <c r="WDR22" s="42"/>
      <c r="WDY22" s="33"/>
      <c r="WDZ22" s="33"/>
      <c r="WED22" s="41"/>
      <c r="WEJ22" s="42"/>
      <c r="WEQ22" s="33"/>
      <c r="WER22" s="33"/>
      <c r="WEV22" s="41"/>
      <c r="WFB22" s="42"/>
      <c r="WFI22" s="33"/>
      <c r="WFJ22" s="33"/>
      <c r="WFN22" s="41"/>
      <c r="WFT22" s="42"/>
      <c r="WGA22" s="33"/>
      <c r="WGB22" s="33"/>
      <c r="WGF22" s="41"/>
      <c r="WGL22" s="42"/>
      <c r="WGS22" s="33"/>
      <c r="WGT22" s="33"/>
      <c r="WGX22" s="41"/>
      <c r="WHD22" s="42"/>
      <c r="WHK22" s="33"/>
      <c r="WHL22" s="33"/>
      <c r="WHP22" s="41"/>
      <c r="WHV22" s="42"/>
      <c r="WIC22" s="33"/>
      <c r="WID22" s="33"/>
      <c r="WIH22" s="41"/>
      <c r="WIN22" s="42"/>
      <c r="WIU22" s="33"/>
      <c r="WIV22" s="33"/>
      <c r="WIZ22" s="41"/>
      <c r="WJF22" s="42"/>
      <c r="WJM22" s="33"/>
      <c r="WJN22" s="33"/>
      <c r="WJR22" s="41"/>
      <c r="WJX22" s="42"/>
      <c r="WKE22" s="33"/>
      <c r="WKF22" s="33"/>
      <c r="WKJ22" s="41"/>
      <c r="WKP22" s="42"/>
      <c r="WKW22" s="33"/>
      <c r="WKX22" s="33"/>
      <c r="WLB22" s="41"/>
      <c r="WLH22" s="42"/>
      <c r="WLO22" s="33"/>
      <c r="WLP22" s="33"/>
      <c r="WLT22" s="41"/>
      <c r="WLZ22" s="42"/>
      <c r="WMG22" s="33"/>
      <c r="WMH22" s="33"/>
      <c r="WML22" s="41"/>
      <c r="WMR22" s="42"/>
      <c r="WMY22" s="33"/>
      <c r="WMZ22" s="33"/>
      <c r="WND22" s="41"/>
      <c r="WNJ22" s="42"/>
      <c r="WNQ22" s="33"/>
      <c r="WNR22" s="33"/>
      <c r="WNV22" s="41"/>
      <c r="WOB22" s="42"/>
      <c r="WOI22" s="33"/>
      <c r="WOJ22" s="33"/>
      <c r="WON22" s="41"/>
      <c r="WOT22" s="42"/>
      <c r="WPA22" s="33"/>
      <c r="WPB22" s="33"/>
      <c r="WPF22" s="41"/>
      <c r="WPL22" s="42"/>
      <c r="WPS22" s="33"/>
      <c r="WPT22" s="33"/>
      <c r="WPX22" s="41"/>
      <c r="WQD22" s="42"/>
      <c r="WQK22" s="33"/>
      <c r="WQL22" s="33"/>
      <c r="WQP22" s="41"/>
      <c r="WQV22" s="42"/>
      <c r="WRC22" s="33"/>
      <c r="WRD22" s="33"/>
      <c r="WRH22" s="41"/>
      <c r="WRN22" s="42"/>
      <c r="WRU22" s="33"/>
      <c r="WRV22" s="33"/>
      <c r="WRZ22" s="41"/>
      <c r="WSF22" s="42"/>
      <c r="WSM22" s="33"/>
      <c r="WSN22" s="33"/>
      <c r="WSR22" s="41"/>
      <c r="WSX22" s="42"/>
      <c r="WTE22" s="33"/>
      <c r="WTF22" s="33"/>
      <c r="WTJ22" s="41"/>
      <c r="WTP22" s="42"/>
      <c r="WTW22" s="33"/>
      <c r="WTX22" s="33"/>
      <c r="WUB22" s="41"/>
      <c r="WUH22" s="42"/>
      <c r="WUO22" s="33"/>
      <c r="WUP22" s="33"/>
      <c r="WUT22" s="41"/>
      <c r="WUZ22" s="42"/>
      <c r="WVG22" s="33"/>
      <c r="WVH22" s="33"/>
      <c r="WVL22" s="41"/>
      <c r="WVR22" s="42"/>
      <c r="WVY22" s="33"/>
      <c r="WVZ22" s="33"/>
      <c r="WWD22" s="41"/>
      <c r="WWJ22" s="42"/>
      <c r="WWQ22" s="33"/>
      <c r="WWR22" s="33"/>
      <c r="WWV22" s="41"/>
      <c r="WXB22" s="42"/>
      <c r="WXI22" s="33"/>
      <c r="WXJ22" s="33"/>
      <c r="WXN22" s="41"/>
      <c r="WXT22" s="42"/>
      <c r="WYA22" s="33"/>
      <c r="WYB22" s="33"/>
      <c r="WYF22" s="41"/>
      <c r="WYL22" s="42"/>
      <c r="WYS22" s="33"/>
      <c r="WYT22" s="33"/>
      <c r="WYX22" s="41"/>
      <c r="WZD22" s="42"/>
      <c r="WZK22" s="33"/>
      <c r="WZL22" s="33"/>
      <c r="WZP22" s="41"/>
      <c r="WZV22" s="42"/>
      <c r="XAC22" s="33"/>
      <c r="XAD22" s="33"/>
      <c r="XAH22" s="41"/>
      <c r="XAN22" s="42"/>
      <c r="XAU22" s="33"/>
      <c r="XAV22" s="33"/>
      <c r="XAZ22" s="41"/>
      <c r="XBF22" s="42"/>
      <c r="XBM22" s="33"/>
      <c r="XBN22" s="33"/>
      <c r="XBR22" s="41"/>
      <c r="XBX22" s="42"/>
      <c r="XCE22" s="33"/>
      <c r="XCF22" s="33"/>
      <c r="XCJ22" s="41"/>
      <c r="XCP22" s="42"/>
      <c r="XCW22" s="33"/>
      <c r="XCX22" s="33"/>
      <c r="XDB22" s="41"/>
      <c r="XDH22" s="42"/>
      <c r="XDO22" s="33"/>
      <c r="XDP22" s="33"/>
      <c r="XDT22" s="41"/>
      <c r="XDZ22" s="42"/>
      <c r="XEG22" s="33"/>
      <c r="XEH22" s="33"/>
      <c r="XEL22" s="41"/>
      <c r="XER22" s="42"/>
      <c r="XEY22" s="33"/>
      <c r="XEZ22" s="33"/>
      <c r="XFD22" s="41"/>
    </row>
    <row r="23" spans="1:1018 1025:2044 2051:3070 3077:4096 4103:5116 5122:6142 6148:7168 7174:8190 8194:9216 9220:10234 10241:11260 11267:12286 12293:13312 13319:14332 14338:15358 15364:16384" s="24" customFormat="1">
      <c r="A23" s="21" t="s">
        <v>91</v>
      </c>
      <c r="B23" s="12">
        <v>2010</v>
      </c>
      <c r="C23" s="19" t="s">
        <v>85</v>
      </c>
      <c r="D23" s="22" t="s">
        <v>86</v>
      </c>
      <c r="E23" s="43" t="s">
        <v>92</v>
      </c>
      <c r="F23" s="19" t="s">
        <v>24</v>
      </c>
      <c r="G23" s="20">
        <v>47170416</v>
      </c>
      <c r="H23" s="20">
        <v>46949862</v>
      </c>
      <c r="I23" s="12">
        <v>9</v>
      </c>
      <c r="J23" s="23" t="s">
        <v>93</v>
      </c>
      <c r="K23" s="22" t="s">
        <v>26</v>
      </c>
      <c r="L23" s="22"/>
      <c r="M23" s="22" t="s">
        <v>26</v>
      </c>
      <c r="N23" s="12"/>
      <c r="O23" s="22"/>
      <c r="P23" s="12"/>
      <c r="Q23" s="22"/>
      <c r="R23" s="22"/>
      <c r="V23" s="15"/>
      <c r="AB23" s="25"/>
      <c r="AI23" s="21"/>
      <c r="AJ23" s="21"/>
      <c r="AN23" s="15"/>
      <c r="AT23" s="25"/>
      <c r="BA23" s="21"/>
      <c r="BB23" s="21"/>
      <c r="BF23" s="15"/>
      <c r="BL23" s="25"/>
      <c r="BS23" s="21"/>
      <c r="BT23" s="21"/>
      <c r="BX23" s="15"/>
      <c r="CD23" s="25"/>
      <c r="CK23" s="21"/>
      <c r="CL23" s="21"/>
      <c r="CP23" s="15"/>
      <c r="CV23" s="25"/>
      <c r="DC23" s="21"/>
      <c r="DD23" s="21"/>
      <c r="DH23" s="15"/>
      <c r="DN23" s="25"/>
      <c r="DU23" s="21"/>
      <c r="DV23" s="21"/>
      <c r="DZ23" s="15"/>
      <c r="EF23" s="25"/>
      <c r="EM23" s="21"/>
      <c r="EN23" s="21"/>
      <c r="ER23" s="15"/>
      <c r="EX23" s="25"/>
      <c r="FE23" s="21"/>
      <c r="FF23" s="21"/>
      <c r="FJ23" s="15"/>
      <c r="FP23" s="25"/>
      <c r="FW23" s="21"/>
      <c r="FX23" s="21"/>
      <c r="GB23" s="15"/>
      <c r="GH23" s="25"/>
      <c r="GO23" s="21"/>
      <c r="GP23" s="21"/>
      <c r="GT23" s="15"/>
      <c r="GZ23" s="25"/>
      <c r="HG23" s="21"/>
      <c r="HH23" s="21"/>
      <c r="HL23" s="15"/>
      <c r="HR23" s="25"/>
      <c r="HY23" s="21"/>
      <c r="HZ23" s="21"/>
      <c r="ID23" s="15"/>
      <c r="IJ23" s="25"/>
      <c r="IQ23" s="21"/>
      <c r="IR23" s="21"/>
      <c r="IV23" s="15"/>
      <c r="JB23" s="25"/>
      <c r="JI23" s="21"/>
      <c r="JJ23" s="21"/>
      <c r="JN23" s="15"/>
      <c r="JT23" s="25"/>
      <c r="KA23" s="21"/>
      <c r="KB23" s="21"/>
      <c r="KF23" s="15"/>
      <c r="KL23" s="25"/>
      <c r="KS23" s="21"/>
      <c r="KT23" s="21"/>
      <c r="KX23" s="15"/>
      <c r="LD23" s="25"/>
      <c r="LK23" s="21"/>
      <c r="LL23" s="21"/>
      <c r="LP23" s="15"/>
      <c r="LV23" s="25"/>
      <c r="MC23" s="21"/>
      <c r="MD23" s="21"/>
      <c r="MH23" s="15"/>
      <c r="MN23" s="25"/>
      <c r="MU23" s="21"/>
      <c r="MV23" s="21"/>
      <c r="MZ23" s="15"/>
      <c r="NF23" s="25"/>
      <c r="NM23" s="21"/>
      <c r="NN23" s="21"/>
      <c r="NR23" s="15"/>
      <c r="NX23" s="25"/>
      <c r="OE23" s="21"/>
      <c r="OF23" s="21"/>
      <c r="OJ23" s="15"/>
      <c r="OP23" s="25"/>
      <c r="OW23" s="21"/>
      <c r="OX23" s="21"/>
      <c r="PB23" s="15"/>
      <c r="PH23" s="25"/>
      <c r="PO23" s="21"/>
      <c r="PP23" s="21"/>
      <c r="PT23" s="15"/>
      <c r="PZ23" s="25"/>
      <c r="QG23" s="21"/>
      <c r="QH23" s="21"/>
      <c r="QL23" s="15"/>
      <c r="QR23" s="25"/>
      <c r="QY23" s="21"/>
      <c r="QZ23" s="21"/>
      <c r="RD23" s="15"/>
      <c r="RJ23" s="25"/>
      <c r="RQ23" s="21"/>
      <c r="RR23" s="21"/>
      <c r="RV23" s="15"/>
      <c r="SB23" s="25"/>
      <c r="SI23" s="21"/>
      <c r="SJ23" s="21"/>
      <c r="SN23" s="15"/>
      <c r="ST23" s="25"/>
      <c r="TA23" s="21"/>
      <c r="TB23" s="21"/>
      <c r="TF23" s="15"/>
      <c r="TL23" s="25"/>
      <c r="TS23" s="21"/>
      <c r="TT23" s="21"/>
      <c r="TX23" s="15"/>
      <c r="UD23" s="25"/>
      <c r="UK23" s="21"/>
      <c r="UL23" s="21"/>
      <c r="UP23" s="15"/>
      <c r="UV23" s="25"/>
      <c r="VC23" s="21"/>
      <c r="VD23" s="21"/>
      <c r="VH23" s="15"/>
      <c r="VN23" s="25"/>
      <c r="VU23" s="21"/>
      <c r="VV23" s="21"/>
      <c r="VZ23" s="15"/>
      <c r="WF23" s="25"/>
      <c r="WM23" s="21"/>
      <c r="WN23" s="21"/>
      <c r="WR23" s="15"/>
      <c r="WX23" s="25"/>
      <c r="XE23" s="21"/>
      <c r="XF23" s="21"/>
      <c r="XJ23" s="15"/>
      <c r="XP23" s="25"/>
      <c r="XW23" s="21"/>
      <c r="XX23" s="21"/>
      <c r="YB23" s="15"/>
      <c r="YH23" s="25"/>
      <c r="YO23" s="21"/>
      <c r="YP23" s="21"/>
      <c r="YT23" s="15"/>
      <c r="YZ23" s="25"/>
      <c r="ZG23" s="21"/>
      <c r="ZH23" s="21"/>
      <c r="ZL23" s="15"/>
      <c r="ZR23" s="25"/>
      <c r="ZY23" s="21"/>
      <c r="ZZ23" s="21"/>
      <c r="AAD23" s="15"/>
      <c r="AAJ23" s="25"/>
      <c r="AAQ23" s="21"/>
      <c r="AAR23" s="21"/>
      <c r="AAV23" s="15"/>
      <c r="ABB23" s="25"/>
      <c r="ABI23" s="21"/>
      <c r="ABJ23" s="21"/>
      <c r="ABN23" s="15"/>
      <c r="ABT23" s="25"/>
      <c r="ACA23" s="21"/>
      <c r="ACB23" s="21"/>
      <c r="ACF23" s="15"/>
      <c r="ACL23" s="25"/>
      <c r="ACS23" s="21"/>
      <c r="ACT23" s="21"/>
      <c r="ACX23" s="15"/>
      <c r="ADD23" s="25"/>
      <c r="ADK23" s="21"/>
      <c r="ADL23" s="21"/>
      <c r="ADP23" s="15"/>
      <c r="ADV23" s="25"/>
      <c r="AEC23" s="21"/>
      <c r="AED23" s="21"/>
      <c r="AEH23" s="15"/>
      <c r="AEN23" s="25"/>
      <c r="AEU23" s="21"/>
      <c r="AEV23" s="21"/>
      <c r="AEZ23" s="15"/>
      <c r="AFF23" s="25"/>
      <c r="AFM23" s="21"/>
      <c r="AFN23" s="21"/>
      <c r="AFR23" s="15"/>
      <c r="AFX23" s="25"/>
      <c r="AGE23" s="21"/>
      <c r="AGF23" s="21"/>
      <c r="AGJ23" s="15"/>
      <c r="AGP23" s="25"/>
      <c r="AGW23" s="21"/>
      <c r="AGX23" s="21"/>
      <c r="AHB23" s="15"/>
      <c r="AHH23" s="25"/>
      <c r="AHO23" s="21"/>
      <c r="AHP23" s="21"/>
      <c r="AHT23" s="15"/>
      <c r="AHZ23" s="25"/>
      <c r="AIG23" s="21"/>
      <c r="AIH23" s="21"/>
      <c r="AIL23" s="15"/>
      <c r="AIR23" s="25"/>
      <c r="AIY23" s="21"/>
      <c r="AIZ23" s="21"/>
      <c r="AJD23" s="15"/>
      <c r="AJJ23" s="25"/>
      <c r="AJQ23" s="21"/>
      <c r="AJR23" s="21"/>
      <c r="AJV23" s="15"/>
      <c r="AKB23" s="25"/>
      <c r="AKI23" s="21"/>
      <c r="AKJ23" s="21"/>
      <c r="AKN23" s="15"/>
      <c r="AKT23" s="25"/>
      <c r="ALA23" s="21"/>
      <c r="ALB23" s="21"/>
      <c r="ALF23" s="15"/>
      <c r="ALL23" s="25"/>
      <c r="ALS23" s="21"/>
      <c r="ALT23" s="21"/>
      <c r="ALX23" s="15"/>
      <c r="AMD23" s="25"/>
      <c r="AMK23" s="21"/>
      <c r="AML23" s="21"/>
      <c r="AMP23" s="15"/>
      <c r="AMV23" s="25"/>
      <c r="ANC23" s="21"/>
      <c r="AND23" s="21"/>
      <c r="ANH23" s="15"/>
      <c r="ANN23" s="25"/>
      <c r="ANU23" s="21"/>
      <c r="ANV23" s="21"/>
      <c r="ANZ23" s="15"/>
      <c r="AOF23" s="25"/>
      <c r="AOM23" s="21"/>
      <c r="AON23" s="21"/>
      <c r="AOR23" s="15"/>
      <c r="AOX23" s="25"/>
      <c r="APE23" s="21"/>
      <c r="APF23" s="21"/>
      <c r="APJ23" s="15"/>
      <c r="APP23" s="25"/>
      <c r="APW23" s="21"/>
      <c r="APX23" s="21"/>
      <c r="AQB23" s="15"/>
      <c r="AQH23" s="25"/>
      <c r="AQO23" s="21"/>
      <c r="AQP23" s="21"/>
      <c r="AQT23" s="15"/>
      <c r="AQZ23" s="25"/>
      <c r="ARG23" s="21"/>
      <c r="ARH23" s="21"/>
      <c r="ARL23" s="15"/>
      <c r="ARR23" s="25"/>
      <c r="ARY23" s="21"/>
      <c r="ARZ23" s="21"/>
      <c r="ASD23" s="15"/>
      <c r="ASJ23" s="25"/>
      <c r="ASQ23" s="21"/>
      <c r="ASR23" s="21"/>
      <c r="ASV23" s="15"/>
      <c r="ATB23" s="25"/>
      <c r="ATI23" s="21"/>
      <c r="ATJ23" s="21"/>
      <c r="ATN23" s="15"/>
      <c r="ATT23" s="25"/>
      <c r="AUA23" s="21"/>
      <c r="AUB23" s="21"/>
      <c r="AUF23" s="15"/>
      <c r="AUL23" s="25"/>
      <c r="AUS23" s="21"/>
      <c r="AUT23" s="21"/>
      <c r="AUX23" s="15"/>
      <c r="AVD23" s="25"/>
      <c r="AVK23" s="21"/>
      <c r="AVL23" s="21"/>
      <c r="AVP23" s="15"/>
      <c r="AVV23" s="25"/>
      <c r="AWC23" s="21"/>
      <c r="AWD23" s="21"/>
      <c r="AWH23" s="15"/>
      <c r="AWN23" s="25"/>
      <c r="AWU23" s="21"/>
      <c r="AWV23" s="21"/>
      <c r="AWZ23" s="15"/>
      <c r="AXF23" s="25"/>
      <c r="AXM23" s="21"/>
      <c r="AXN23" s="21"/>
      <c r="AXR23" s="15"/>
      <c r="AXX23" s="25"/>
      <c r="AYE23" s="21"/>
      <c r="AYF23" s="21"/>
      <c r="AYJ23" s="15"/>
      <c r="AYP23" s="25"/>
      <c r="AYW23" s="21"/>
      <c r="AYX23" s="21"/>
      <c r="AZB23" s="15"/>
      <c r="AZH23" s="25"/>
      <c r="AZO23" s="21"/>
      <c r="AZP23" s="21"/>
      <c r="AZT23" s="15"/>
      <c r="AZZ23" s="25"/>
      <c r="BAG23" s="21"/>
      <c r="BAH23" s="21"/>
      <c r="BAL23" s="15"/>
      <c r="BAR23" s="25"/>
      <c r="BAY23" s="21"/>
      <c r="BAZ23" s="21"/>
      <c r="BBD23" s="15"/>
      <c r="BBJ23" s="25"/>
      <c r="BBQ23" s="21"/>
      <c r="BBR23" s="21"/>
      <c r="BBV23" s="15"/>
      <c r="BCB23" s="25"/>
      <c r="BCI23" s="21"/>
      <c r="BCJ23" s="21"/>
      <c r="BCN23" s="15"/>
      <c r="BCT23" s="25"/>
      <c r="BDA23" s="21"/>
      <c r="BDB23" s="21"/>
      <c r="BDF23" s="15"/>
      <c r="BDL23" s="25"/>
      <c r="BDS23" s="21"/>
      <c r="BDT23" s="21"/>
      <c r="BDX23" s="15"/>
      <c r="BED23" s="25"/>
      <c r="BEK23" s="21"/>
      <c r="BEL23" s="21"/>
      <c r="BEP23" s="15"/>
      <c r="BEV23" s="25"/>
      <c r="BFC23" s="21"/>
      <c r="BFD23" s="21"/>
      <c r="BFH23" s="15"/>
      <c r="BFN23" s="25"/>
      <c r="BFU23" s="21"/>
      <c r="BFV23" s="21"/>
      <c r="BFZ23" s="15"/>
      <c r="BGF23" s="25"/>
      <c r="BGM23" s="21"/>
      <c r="BGN23" s="21"/>
      <c r="BGR23" s="15"/>
      <c r="BGX23" s="25"/>
      <c r="BHE23" s="21"/>
      <c r="BHF23" s="21"/>
      <c r="BHJ23" s="15"/>
      <c r="BHP23" s="25"/>
      <c r="BHW23" s="21"/>
      <c r="BHX23" s="21"/>
      <c r="BIB23" s="15"/>
      <c r="BIH23" s="25"/>
      <c r="BIO23" s="21"/>
      <c r="BIP23" s="21"/>
      <c r="BIT23" s="15"/>
      <c r="BIZ23" s="25"/>
      <c r="BJG23" s="21"/>
      <c r="BJH23" s="21"/>
      <c r="BJL23" s="15"/>
      <c r="BJR23" s="25"/>
      <c r="BJY23" s="21"/>
      <c r="BJZ23" s="21"/>
      <c r="BKD23" s="15"/>
      <c r="BKJ23" s="25"/>
      <c r="BKQ23" s="21"/>
      <c r="BKR23" s="21"/>
      <c r="BKV23" s="15"/>
      <c r="BLB23" s="25"/>
      <c r="BLI23" s="21"/>
      <c r="BLJ23" s="21"/>
      <c r="BLN23" s="15"/>
      <c r="BLT23" s="25"/>
      <c r="BMA23" s="21"/>
      <c r="BMB23" s="21"/>
      <c r="BMF23" s="15"/>
      <c r="BML23" s="25"/>
      <c r="BMS23" s="21"/>
      <c r="BMT23" s="21"/>
      <c r="BMX23" s="15"/>
      <c r="BND23" s="25"/>
      <c r="BNK23" s="21"/>
      <c r="BNL23" s="21"/>
      <c r="BNP23" s="15"/>
      <c r="BNV23" s="25"/>
      <c r="BOC23" s="21"/>
      <c r="BOD23" s="21"/>
      <c r="BOH23" s="15"/>
      <c r="BON23" s="25"/>
      <c r="BOU23" s="21"/>
      <c r="BOV23" s="21"/>
      <c r="BOZ23" s="15"/>
      <c r="BPF23" s="25"/>
      <c r="BPM23" s="21"/>
      <c r="BPN23" s="21"/>
      <c r="BPR23" s="15"/>
      <c r="BPX23" s="25"/>
      <c r="BQE23" s="21"/>
      <c r="BQF23" s="21"/>
      <c r="BQJ23" s="15"/>
      <c r="BQP23" s="25"/>
      <c r="BQW23" s="21"/>
      <c r="BQX23" s="21"/>
      <c r="BRB23" s="15"/>
      <c r="BRH23" s="25"/>
      <c r="BRO23" s="21"/>
      <c r="BRP23" s="21"/>
      <c r="BRT23" s="15"/>
      <c r="BRZ23" s="25"/>
      <c r="BSG23" s="21"/>
      <c r="BSH23" s="21"/>
      <c r="BSL23" s="15"/>
      <c r="BSR23" s="25"/>
      <c r="BSY23" s="21"/>
      <c r="BSZ23" s="21"/>
      <c r="BTD23" s="15"/>
      <c r="BTJ23" s="25"/>
      <c r="BTQ23" s="21"/>
      <c r="BTR23" s="21"/>
      <c r="BTV23" s="15"/>
      <c r="BUB23" s="25"/>
      <c r="BUI23" s="21"/>
      <c r="BUJ23" s="21"/>
      <c r="BUN23" s="15"/>
      <c r="BUT23" s="25"/>
      <c r="BVA23" s="21"/>
      <c r="BVB23" s="21"/>
      <c r="BVF23" s="15"/>
      <c r="BVL23" s="25"/>
      <c r="BVS23" s="21"/>
      <c r="BVT23" s="21"/>
      <c r="BVX23" s="15"/>
      <c r="BWD23" s="25"/>
      <c r="BWK23" s="21"/>
      <c r="BWL23" s="21"/>
      <c r="BWP23" s="15"/>
      <c r="BWV23" s="25"/>
      <c r="BXC23" s="21"/>
      <c r="BXD23" s="21"/>
      <c r="BXH23" s="15"/>
      <c r="BXN23" s="25"/>
      <c r="BXU23" s="21"/>
      <c r="BXV23" s="21"/>
      <c r="BXZ23" s="15"/>
      <c r="BYF23" s="25"/>
      <c r="BYM23" s="21"/>
      <c r="BYN23" s="21"/>
      <c r="BYR23" s="15"/>
      <c r="BYX23" s="25"/>
      <c r="BZE23" s="21"/>
      <c r="BZF23" s="21"/>
      <c r="BZJ23" s="15"/>
      <c r="BZP23" s="25"/>
      <c r="BZW23" s="21"/>
      <c r="BZX23" s="21"/>
      <c r="CAB23" s="15"/>
      <c r="CAH23" s="25"/>
      <c r="CAO23" s="21"/>
      <c r="CAP23" s="21"/>
      <c r="CAT23" s="15"/>
      <c r="CAZ23" s="25"/>
      <c r="CBG23" s="21"/>
      <c r="CBH23" s="21"/>
      <c r="CBL23" s="15"/>
      <c r="CBR23" s="25"/>
      <c r="CBY23" s="21"/>
      <c r="CBZ23" s="21"/>
      <c r="CCD23" s="15"/>
      <c r="CCJ23" s="25"/>
      <c r="CCQ23" s="21"/>
      <c r="CCR23" s="21"/>
      <c r="CCV23" s="15"/>
      <c r="CDB23" s="25"/>
      <c r="CDI23" s="21"/>
      <c r="CDJ23" s="21"/>
      <c r="CDN23" s="15"/>
      <c r="CDT23" s="25"/>
      <c r="CEA23" s="21"/>
      <c r="CEB23" s="21"/>
      <c r="CEF23" s="15"/>
      <c r="CEL23" s="25"/>
      <c r="CES23" s="21"/>
      <c r="CET23" s="21"/>
      <c r="CEX23" s="15"/>
      <c r="CFD23" s="25"/>
      <c r="CFK23" s="21"/>
      <c r="CFL23" s="21"/>
      <c r="CFP23" s="15"/>
      <c r="CFV23" s="25"/>
      <c r="CGC23" s="21"/>
      <c r="CGD23" s="21"/>
      <c r="CGH23" s="15"/>
      <c r="CGN23" s="25"/>
      <c r="CGU23" s="21"/>
      <c r="CGV23" s="21"/>
      <c r="CGZ23" s="15"/>
      <c r="CHF23" s="25"/>
      <c r="CHM23" s="21"/>
      <c r="CHN23" s="21"/>
      <c r="CHR23" s="15"/>
      <c r="CHX23" s="25"/>
      <c r="CIE23" s="21"/>
      <c r="CIF23" s="21"/>
      <c r="CIJ23" s="15"/>
      <c r="CIP23" s="25"/>
      <c r="CIW23" s="21"/>
      <c r="CIX23" s="21"/>
      <c r="CJB23" s="15"/>
      <c r="CJH23" s="25"/>
      <c r="CJO23" s="21"/>
      <c r="CJP23" s="21"/>
      <c r="CJT23" s="15"/>
      <c r="CJZ23" s="25"/>
      <c r="CKG23" s="21"/>
      <c r="CKH23" s="21"/>
      <c r="CKL23" s="15"/>
      <c r="CKR23" s="25"/>
      <c r="CKY23" s="21"/>
      <c r="CKZ23" s="21"/>
      <c r="CLD23" s="15"/>
      <c r="CLJ23" s="25"/>
      <c r="CLQ23" s="21"/>
      <c r="CLR23" s="21"/>
      <c r="CLV23" s="15"/>
      <c r="CMB23" s="25"/>
      <c r="CMI23" s="21"/>
      <c r="CMJ23" s="21"/>
      <c r="CMN23" s="15"/>
      <c r="CMT23" s="25"/>
      <c r="CNA23" s="21"/>
      <c r="CNB23" s="21"/>
      <c r="CNF23" s="15"/>
      <c r="CNL23" s="25"/>
      <c r="CNS23" s="21"/>
      <c r="CNT23" s="21"/>
      <c r="CNX23" s="15"/>
      <c r="COD23" s="25"/>
      <c r="COK23" s="21"/>
      <c r="COL23" s="21"/>
      <c r="COP23" s="15"/>
      <c r="COV23" s="25"/>
      <c r="CPC23" s="21"/>
      <c r="CPD23" s="21"/>
      <c r="CPH23" s="15"/>
      <c r="CPN23" s="25"/>
      <c r="CPU23" s="21"/>
      <c r="CPV23" s="21"/>
      <c r="CPZ23" s="15"/>
      <c r="CQF23" s="25"/>
      <c r="CQM23" s="21"/>
      <c r="CQN23" s="21"/>
      <c r="CQR23" s="15"/>
      <c r="CQX23" s="25"/>
      <c r="CRE23" s="21"/>
      <c r="CRF23" s="21"/>
      <c r="CRJ23" s="15"/>
      <c r="CRP23" s="25"/>
      <c r="CRW23" s="21"/>
      <c r="CRX23" s="21"/>
      <c r="CSB23" s="15"/>
      <c r="CSH23" s="25"/>
      <c r="CSO23" s="21"/>
      <c r="CSP23" s="21"/>
      <c r="CST23" s="15"/>
      <c r="CSZ23" s="25"/>
      <c r="CTG23" s="21"/>
      <c r="CTH23" s="21"/>
      <c r="CTL23" s="15"/>
      <c r="CTR23" s="25"/>
      <c r="CTY23" s="21"/>
      <c r="CTZ23" s="21"/>
      <c r="CUD23" s="15"/>
      <c r="CUJ23" s="25"/>
      <c r="CUQ23" s="21"/>
      <c r="CUR23" s="21"/>
      <c r="CUV23" s="15"/>
      <c r="CVB23" s="25"/>
      <c r="CVI23" s="21"/>
      <c r="CVJ23" s="21"/>
      <c r="CVN23" s="15"/>
      <c r="CVT23" s="25"/>
      <c r="CWA23" s="21"/>
      <c r="CWB23" s="21"/>
      <c r="CWF23" s="15"/>
      <c r="CWL23" s="25"/>
      <c r="CWS23" s="21"/>
      <c r="CWT23" s="21"/>
      <c r="CWX23" s="15"/>
      <c r="CXD23" s="25"/>
      <c r="CXK23" s="21"/>
      <c r="CXL23" s="21"/>
      <c r="CXP23" s="15"/>
      <c r="CXV23" s="25"/>
      <c r="CYC23" s="21"/>
      <c r="CYD23" s="21"/>
      <c r="CYH23" s="15"/>
      <c r="CYN23" s="25"/>
      <c r="CYU23" s="21"/>
      <c r="CYV23" s="21"/>
      <c r="CYZ23" s="15"/>
      <c r="CZF23" s="25"/>
      <c r="CZM23" s="21"/>
      <c r="CZN23" s="21"/>
      <c r="CZR23" s="15"/>
      <c r="CZX23" s="25"/>
      <c r="DAE23" s="21"/>
      <c r="DAF23" s="21"/>
      <c r="DAJ23" s="15"/>
      <c r="DAP23" s="25"/>
      <c r="DAW23" s="21"/>
      <c r="DAX23" s="21"/>
      <c r="DBB23" s="15"/>
      <c r="DBH23" s="25"/>
      <c r="DBO23" s="21"/>
      <c r="DBP23" s="21"/>
      <c r="DBT23" s="15"/>
      <c r="DBZ23" s="25"/>
      <c r="DCG23" s="21"/>
      <c r="DCH23" s="21"/>
      <c r="DCL23" s="15"/>
      <c r="DCR23" s="25"/>
      <c r="DCY23" s="21"/>
      <c r="DCZ23" s="21"/>
      <c r="DDD23" s="15"/>
      <c r="DDJ23" s="25"/>
      <c r="DDQ23" s="21"/>
      <c r="DDR23" s="21"/>
      <c r="DDV23" s="15"/>
      <c r="DEB23" s="25"/>
      <c r="DEI23" s="21"/>
      <c r="DEJ23" s="21"/>
      <c r="DEN23" s="15"/>
      <c r="DET23" s="25"/>
      <c r="DFA23" s="21"/>
      <c r="DFB23" s="21"/>
      <c r="DFF23" s="15"/>
      <c r="DFL23" s="25"/>
      <c r="DFS23" s="21"/>
      <c r="DFT23" s="21"/>
      <c r="DFX23" s="15"/>
      <c r="DGD23" s="25"/>
      <c r="DGK23" s="21"/>
      <c r="DGL23" s="21"/>
      <c r="DGP23" s="15"/>
      <c r="DGV23" s="25"/>
      <c r="DHC23" s="21"/>
      <c r="DHD23" s="21"/>
      <c r="DHH23" s="15"/>
      <c r="DHN23" s="25"/>
      <c r="DHU23" s="21"/>
      <c r="DHV23" s="21"/>
      <c r="DHZ23" s="15"/>
      <c r="DIF23" s="25"/>
      <c r="DIM23" s="21"/>
      <c r="DIN23" s="21"/>
      <c r="DIR23" s="15"/>
      <c r="DIX23" s="25"/>
      <c r="DJE23" s="21"/>
      <c r="DJF23" s="21"/>
      <c r="DJJ23" s="15"/>
      <c r="DJP23" s="25"/>
      <c r="DJW23" s="21"/>
      <c r="DJX23" s="21"/>
      <c r="DKB23" s="15"/>
      <c r="DKH23" s="25"/>
      <c r="DKO23" s="21"/>
      <c r="DKP23" s="21"/>
      <c r="DKT23" s="15"/>
      <c r="DKZ23" s="25"/>
      <c r="DLG23" s="21"/>
      <c r="DLH23" s="21"/>
      <c r="DLL23" s="15"/>
      <c r="DLR23" s="25"/>
      <c r="DLY23" s="21"/>
      <c r="DLZ23" s="21"/>
      <c r="DMD23" s="15"/>
      <c r="DMJ23" s="25"/>
      <c r="DMQ23" s="21"/>
      <c r="DMR23" s="21"/>
      <c r="DMV23" s="15"/>
      <c r="DNB23" s="25"/>
      <c r="DNI23" s="21"/>
      <c r="DNJ23" s="21"/>
      <c r="DNN23" s="15"/>
      <c r="DNT23" s="25"/>
      <c r="DOA23" s="21"/>
      <c r="DOB23" s="21"/>
      <c r="DOF23" s="15"/>
      <c r="DOL23" s="25"/>
      <c r="DOS23" s="21"/>
      <c r="DOT23" s="21"/>
      <c r="DOX23" s="15"/>
      <c r="DPD23" s="25"/>
      <c r="DPK23" s="21"/>
      <c r="DPL23" s="21"/>
      <c r="DPP23" s="15"/>
      <c r="DPV23" s="25"/>
      <c r="DQC23" s="21"/>
      <c r="DQD23" s="21"/>
      <c r="DQH23" s="15"/>
      <c r="DQN23" s="25"/>
      <c r="DQU23" s="21"/>
      <c r="DQV23" s="21"/>
      <c r="DQZ23" s="15"/>
      <c r="DRF23" s="25"/>
      <c r="DRM23" s="21"/>
      <c r="DRN23" s="21"/>
      <c r="DRR23" s="15"/>
      <c r="DRX23" s="25"/>
      <c r="DSE23" s="21"/>
      <c r="DSF23" s="21"/>
      <c r="DSJ23" s="15"/>
      <c r="DSP23" s="25"/>
      <c r="DSW23" s="21"/>
      <c r="DSX23" s="21"/>
      <c r="DTB23" s="15"/>
      <c r="DTH23" s="25"/>
      <c r="DTO23" s="21"/>
      <c r="DTP23" s="21"/>
      <c r="DTT23" s="15"/>
      <c r="DTZ23" s="25"/>
      <c r="DUG23" s="21"/>
      <c r="DUH23" s="21"/>
      <c r="DUL23" s="15"/>
      <c r="DUR23" s="25"/>
      <c r="DUY23" s="21"/>
      <c r="DUZ23" s="21"/>
      <c r="DVD23" s="15"/>
      <c r="DVJ23" s="25"/>
      <c r="DVQ23" s="21"/>
      <c r="DVR23" s="21"/>
      <c r="DVV23" s="15"/>
      <c r="DWB23" s="25"/>
      <c r="DWI23" s="21"/>
      <c r="DWJ23" s="21"/>
      <c r="DWN23" s="15"/>
      <c r="DWT23" s="25"/>
      <c r="DXA23" s="21"/>
      <c r="DXB23" s="21"/>
      <c r="DXF23" s="15"/>
      <c r="DXL23" s="25"/>
      <c r="DXS23" s="21"/>
      <c r="DXT23" s="21"/>
      <c r="DXX23" s="15"/>
      <c r="DYD23" s="25"/>
      <c r="DYK23" s="21"/>
      <c r="DYL23" s="21"/>
      <c r="DYP23" s="15"/>
      <c r="DYV23" s="25"/>
      <c r="DZC23" s="21"/>
      <c r="DZD23" s="21"/>
      <c r="DZH23" s="15"/>
      <c r="DZN23" s="25"/>
      <c r="DZU23" s="21"/>
      <c r="DZV23" s="21"/>
      <c r="DZZ23" s="15"/>
      <c r="EAF23" s="25"/>
      <c r="EAM23" s="21"/>
      <c r="EAN23" s="21"/>
      <c r="EAR23" s="15"/>
      <c r="EAX23" s="25"/>
      <c r="EBE23" s="21"/>
      <c r="EBF23" s="21"/>
      <c r="EBJ23" s="15"/>
      <c r="EBP23" s="25"/>
      <c r="EBW23" s="21"/>
      <c r="EBX23" s="21"/>
      <c r="ECB23" s="15"/>
      <c r="ECH23" s="25"/>
      <c r="ECO23" s="21"/>
      <c r="ECP23" s="21"/>
      <c r="ECT23" s="15"/>
      <c r="ECZ23" s="25"/>
      <c r="EDG23" s="21"/>
      <c r="EDH23" s="21"/>
      <c r="EDL23" s="15"/>
      <c r="EDR23" s="25"/>
      <c r="EDY23" s="21"/>
      <c r="EDZ23" s="21"/>
      <c r="EED23" s="15"/>
      <c r="EEJ23" s="25"/>
      <c r="EEQ23" s="21"/>
      <c r="EER23" s="21"/>
      <c r="EEV23" s="15"/>
      <c r="EFB23" s="25"/>
      <c r="EFI23" s="21"/>
      <c r="EFJ23" s="21"/>
      <c r="EFN23" s="15"/>
      <c r="EFT23" s="25"/>
      <c r="EGA23" s="21"/>
      <c r="EGB23" s="21"/>
      <c r="EGF23" s="15"/>
      <c r="EGL23" s="25"/>
      <c r="EGS23" s="21"/>
      <c r="EGT23" s="21"/>
      <c r="EGX23" s="15"/>
      <c r="EHD23" s="25"/>
      <c r="EHK23" s="21"/>
      <c r="EHL23" s="21"/>
      <c r="EHP23" s="15"/>
      <c r="EHV23" s="25"/>
      <c r="EIC23" s="21"/>
      <c r="EID23" s="21"/>
      <c r="EIH23" s="15"/>
      <c r="EIN23" s="25"/>
      <c r="EIU23" s="21"/>
      <c r="EIV23" s="21"/>
      <c r="EIZ23" s="15"/>
      <c r="EJF23" s="25"/>
      <c r="EJM23" s="21"/>
      <c r="EJN23" s="21"/>
      <c r="EJR23" s="15"/>
      <c r="EJX23" s="25"/>
      <c r="EKE23" s="21"/>
      <c r="EKF23" s="21"/>
      <c r="EKJ23" s="15"/>
      <c r="EKP23" s="25"/>
      <c r="EKW23" s="21"/>
      <c r="EKX23" s="21"/>
      <c r="ELB23" s="15"/>
      <c r="ELH23" s="25"/>
      <c r="ELO23" s="21"/>
      <c r="ELP23" s="21"/>
      <c r="ELT23" s="15"/>
      <c r="ELZ23" s="25"/>
      <c r="EMG23" s="21"/>
      <c r="EMH23" s="21"/>
      <c r="EML23" s="15"/>
      <c r="EMR23" s="25"/>
      <c r="EMY23" s="21"/>
      <c r="EMZ23" s="21"/>
      <c r="END23" s="15"/>
      <c r="ENJ23" s="25"/>
      <c r="ENQ23" s="21"/>
      <c r="ENR23" s="21"/>
      <c r="ENV23" s="15"/>
      <c r="EOB23" s="25"/>
      <c r="EOI23" s="21"/>
      <c r="EOJ23" s="21"/>
      <c r="EON23" s="15"/>
      <c r="EOT23" s="25"/>
      <c r="EPA23" s="21"/>
      <c r="EPB23" s="21"/>
      <c r="EPF23" s="15"/>
      <c r="EPL23" s="25"/>
      <c r="EPS23" s="21"/>
      <c r="EPT23" s="21"/>
      <c r="EPX23" s="15"/>
      <c r="EQD23" s="25"/>
      <c r="EQK23" s="21"/>
      <c r="EQL23" s="21"/>
      <c r="EQP23" s="15"/>
      <c r="EQV23" s="25"/>
      <c r="ERC23" s="21"/>
      <c r="ERD23" s="21"/>
      <c r="ERH23" s="15"/>
      <c r="ERN23" s="25"/>
      <c r="ERU23" s="21"/>
      <c r="ERV23" s="21"/>
      <c r="ERZ23" s="15"/>
      <c r="ESF23" s="25"/>
      <c r="ESM23" s="21"/>
      <c r="ESN23" s="21"/>
      <c r="ESR23" s="15"/>
      <c r="ESX23" s="25"/>
      <c r="ETE23" s="21"/>
      <c r="ETF23" s="21"/>
      <c r="ETJ23" s="15"/>
      <c r="ETP23" s="25"/>
      <c r="ETW23" s="21"/>
      <c r="ETX23" s="21"/>
      <c r="EUB23" s="15"/>
      <c r="EUH23" s="25"/>
      <c r="EUO23" s="21"/>
      <c r="EUP23" s="21"/>
      <c r="EUT23" s="15"/>
      <c r="EUZ23" s="25"/>
      <c r="EVG23" s="21"/>
      <c r="EVH23" s="21"/>
      <c r="EVL23" s="15"/>
      <c r="EVR23" s="25"/>
      <c r="EVY23" s="21"/>
      <c r="EVZ23" s="21"/>
      <c r="EWD23" s="15"/>
      <c r="EWJ23" s="25"/>
      <c r="EWQ23" s="21"/>
      <c r="EWR23" s="21"/>
      <c r="EWV23" s="15"/>
      <c r="EXB23" s="25"/>
      <c r="EXI23" s="21"/>
      <c r="EXJ23" s="21"/>
      <c r="EXN23" s="15"/>
      <c r="EXT23" s="25"/>
      <c r="EYA23" s="21"/>
      <c r="EYB23" s="21"/>
      <c r="EYF23" s="15"/>
      <c r="EYL23" s="25"/>
      <c r="EYS23" s="21"/>
      <c r="EYT23" s="21"/>
      <c r="EYX23" s="15"/>
      <c r="EZD23" s="25"/>
      <c r="EZK23" s="21"/>
      <c r="EZL23" s="21"/>
      <c r="EZP23" s="15"/>
      <c r="EZV23" s="25"/>
      <c r="FAC23" s="21"/>
      <c r="FAD23" s="21"/>
      <c r="FAH23" s="15"/>
      <c r="FAN23" s="25"/>
      <c r="FAU23" s="21"/>
      <c r="FAV23" s="21"/>
      <c r="FAZ23" s="15"/>
      <c r="FBF23" s="25"/>
      <c r="FBM23" s="21"/>
      <c r="FBN23" s="21"/>
      <c r="FBR23" s="15"/>
      <c r="FBX23" s="25"/>
      <c r="FCE23" s="21"/>
      <c r="FCF23" s="21"/>
      <c r="FCJ23" s="15"/>
      <c r="FCP23" s="25"/>
      <c r="FCW23" s="21"/>
      <c r="FCX23" s="21"/>
      <c r="FDB23" s="15"/>
      <c r="FDH23" s="25"/>
      <c r="FDO23" s="21"/>
      <c r="FDP23" s="21"/>
      <c r="FDT23" s="15"/>
      <c r="FDZ23" s="25"/>
      <c r="FEG23" s="21"/>
      <c r="FEH23" s="21"/>
      <c r="FEL23" s="15"/>
      <c r="FER23" s="25"/>
      <c r="FEY23" s="21"/>
      <c r="FEZ23" s="21"/>
      <c r="FFD23" s="15"/>
      <c r="FFJ23" s="25"/>
      <c r="FFQ23" s="21"/>
      <c r="FFR23" s="21"/>
      <c r="FFV23" s="15"/>
      <c r="FGB23" s="25"/>
      <c r="FGI23" s="21"/>
      <c r="FGJ23" s="21"/>
      <c r="FGN23" s="15"/>
      <c r="FGT23" s="25"/>
      <c r="FHA23" s="21"/>
      <c r="FHB23" s="21"/>
      <c r="FHF23" s="15"/>
      <c r="FHL23" s="25"/>
      <c r="FHS23" s="21"/>
      <c r="FHT23" s="21"/>
      <c r="FHX23" s="15"/>
      <c r="FID23" s="25"/>
      <c r="FIK23" s="21"/>
      <c r="FIL23" s="21"/>
      <c r="FIP23" s="15"/>
      <c r="FIV23" s="25"/>
      <c r="FJC23" s="21"/>
      <c r="FJD23" s="21"/>
      <c r="FJH23" s="15"/>
      <c r="FJN23" s="25"/>
      <c r="FJU23" s="21"/>
      <c r="FJV23" s="21"/>
      <c r="FJZ23" s="15"/>
      <c r="FKF23" s="25"/>
      <c r="FKM23" s="21"/>
      <c r="FKN23" s="21"/>
      <c r="FKR23" s="15"/>
      <c r="FKX23" s="25"/>
      <c r="FLE23" s="21"/>
      <c r="FLF23" s="21"/>
      <c r="FLJ23" s="15"/>
      <c r="FLP23" s="25"/>
      <c r="FLW23" s="21"/>
      <c r="FLX23" s="21"/>
      <c r="FMB23" s="15"/>
      <c r="FMH23" s="25"/>
      <c r="FMO23" s="21"/>
      <c r="FMP23" s="21"/>
      <c r="FMT23" s="15"/>
      <c r="FMZ23" s="25"/>
      <c r="FNG23" s="21"/>
      <c r="FNH23" s="21"/>
      <c r="FNL23" s="15"/>
      <c r="FNR23" s="25"/>
      <c r="FNY23" s="21"/>
      <c r="FNZ23" s="21"/>
      <c r="FOD23" s="15"/>
      <c r="FOJ23" s="25"/>
      <c r="FOQ23" s="21"/>
      <c r="FOR23" s="21"/>
      <c r="FOV23" s="15"/>
      <c r="FPB23" s="25"/>
      <c r="FPI23" s="21"/>
      <c r="FPJ23" s="21"/>
      <c r="FPN23" s="15"/>
      <c r="FPT23" s="25"/>
      <c r="FQA23" s="21"/>
      <c r="FQB23" s="21"/>
      <c r="FQF23" s="15"/>
      <c r="FQL23" s="25"/>
      <c r="FQS23" s="21"/>
      <c r="FQT23" s="21"/>
      <c r="FQX23" s="15"/>
      <c r="FRD23" s="25"/>
      <c r="FRK23" s="21"/>
      <c r="FRL23" s="21"/>
      <c r="FRP23" s="15"/>
      <c r="FRV23" s="25"/>
      <c r="FSC23" s="21"/>
      <c r="FSD23" s="21"/>
      <c r="FSH23" s="15"/>
      <c r="FSN23" s="25"/>
      <c r="FSU23" s="21"/>
      <c r="FSV23" s="21"/>
      <c r="FSZ23" s="15"/>
      <c r="FTF23" s="25"/>
      <c r="FTM23" s="21"/>
      <c r="FTN23" s="21"/>
      <c r="FTR23" s="15"/>
      <c r="FTX23" s="25"/>
      <c r="FUE23" s="21"/>
      <c r="FUF23" s="21"/>
      <c r="FUJ23" s="15"/>
      <c r="FUP23" s="25"/>
      <c r="FUW23" s="21"/>
      <c r="FUX23" s="21"/>
      <c r="FVB23" s="15"/>
      <c r="FVH23" s="25"/>
      <c r="FVO23" s="21"/>
      <c r="FVP23" s="21"/>
      <c r="FVT23" s="15"/>
      <c r="FVZ23" s="25"/>
      <c r="FWG23" s="21"/>
      <c r="FWH23" s="21"/>
      <c r="FWL23" s="15"/>
      <c r="FWR23" s="25"/>
      <c r="FWY23" s="21"/>
      <c r="FWZ23" s="21"/>
      <c r="FXD23" s="15"/>
      <c r="FXJ23" s="25"/>
      <c r="FXQ23" s="21"/>
      <c r="FXR23" s="21"/>
      <c r="FXV23" s="15"/>
      <c r="FYB23" s="25"/>
      <c r="FYI23" s="21"/>
      <c r="FYJ23" s="21"/>
      <c r="FYN23" s="15"/>
      <c r="FYT23" s="25"/>
      <c r="FZA23" s="21"/>
      <c r="FZB23" s="21"/>
      <c r="FZF23" s="15"/>
      <c r="FZL23" s="25"/>
      <c r="FZS23" s="21"/>
      <c r="FZT23" s="21"/>
      <c r="FZX23" s="15"/>
      <c r="GAD23" s="25"/>
      <c r="GAK23" s="21"/>
      <c r="GAL23" s="21"/>
      <c r="GAP23" s="15"/>
      <c r="GAV23" s="25"/>
      <c r="GBC23" s="21"/>
      <c r="GBD23" s="21"/>
      <c r="GBH23" s="15"/>
      <c r="GBN23" s="25"/>
      <c r="GBU23" s="21"/>
      <c r="GBV23" s="21"/>
      <c r="GBZ23" s="15"/>
      <c r="GCF23" s="25"/>
      <c r="GCM23" s="21"/>
      <c r="GCN23" s="21"/>
      <c r="GCR23" s="15"/>
      <c r="GCX23" s="25"/>
      <c r="GDE23" s="21"/>
      <c r="GDF23" s="21"/>
      <c r="GDJ23" s="15"/>
      <c r="GDP23" s="25"/>
      <c r="GDW23" s="21"/>
      <c r="GDX23" s="21"/>
      <c r="GEB23" s="15"/>
      <c r="GEH23" s="25"/>
      <c r="GEO23" s="21"/>
      <c r="GEP23" s="21"/>
      <c r="GET23" s="15"/>
      <c r="GEZ23" s="25"/>
      <c r="GFG23" s="21"/>
      <c r="GFH23" s="21"/>
      <c r="GFL23" s="15"/>
      <c r="GFR23" s="25"/>
      <c r="GFY23" s="21"/>
      <c r="GFZ23" s="21"/>
      <c r="GGD23" s="15"/>
      <c r="GGJ23" s="25"/>
      <c r="GGQ23" s="21"/>
      <c r="GGR23" s="21"/>
      <c r="GGV23" s="15"/>
      <c r="GHB23" s="25"/>
      <c r="GHI23" s="21"/>
      <c r="GHJ23" s="21"/>
      <c r="GHN23" s="15"/>
      <c r="GHT23" s="25"/>
      <c r="GIA23" s="21"/>
      <c r="GIB23" s="21"/>
      <c r="GIF23" s="15"/>
      <c r="GIL23" s="25"/>
      <c r="GIS23" s="21"/>
      <c r="GIT23" s="21"/>
      <c r="GIX23" s="15"/>
      <c r="GJD23" s="25"/>
      <c r="GJK23" s="21"/>
      <c r="GJL23" s="21"/>
      <c r="GJP23" s="15"/>
      <c r="GJV23" s="25"/>
      <c r="GKC23" s="21"/>
      <c r="GKD23" s="21"/>
      <c r="GKH23" s="15"/>
      <c r="GKN23" s="25"/>
      <c r="GKU23" s="21"/>
      <c r="GKV23" s="21"/>
      <c r="GKZ23" s="15"/>
      <c r="GLF23" s="25"/>
      <c r="GLM23" s="21"/>
      <c r="GLN23" s="21"/>
      <c r="GLR23" s="15"/>
      <c r="GLX23" s="25"/>
      <c r="GME23" s="21"/>
      <c r="GMF23" s="21"/>
      <c r="GMJ23" s="15"/>
      <c r="GMP23" s="25"/>
      <c r="GMW23" s="21"/>
      <c r="GMX23" s="21"/>
      <c r="GNB23" s="15"/>
      <c r="GNH23" s="25"/>
      <c r="GNO23" s="21"/>
      <c r="GNP23" s="21"/>
      <c r="GNT23" s="15"/>
      <c r="GNZ23" s="25"/>
      <c r="GOG23" s="21"/>
      <c r="GOH23" s="21"/>
      <c r="GOL23" s="15"/>
      <c r="GOR23" s="25"/>
      <c r="GOY23" s="21"/>
      <c r="GOZ23" s="21"/>
      <c r="GPD23" s="15"/>
      <c r="GPJ23" s="25"/>
      <c r="GPQ23" s="21"/>
      <c r="GPR23" s="21"/>
      <c r="GPV23" s="15"/>
      <c r="GQB23" s="25"/>
      <c r="GQI23" s="21"/>
      <c r="GQJ23" s="21"/>
      <c r="GQN23" s="15"/>
      <c r="GQT23" s="25"/>
      <c r="GRA23" s="21"/>
      <c r="GRB23" s="21"/>
      <c r="GRF23" s="15"/>
      <c r="GRL23" s="25"/>
      <c r="GRS23" s="21"/>
      <c r="GRT23" s="21"/>
      <c r="GRX23" s="15"/>
      <c r="GSD23" s="25"/>
      <c r="GSK23" s="21"/>
      <c r="GSL23" s="21"/>
      <c r="GSP23" s="15"/>
      <c r="GSV23" s="25"/>
      <c r="GTC23" s="21"/>
      <c r="GTD23" s="21"/>
      <c r="GTH23" s="15"/>
      <c r="GTN23" s="25"/>
      <c r="GTU23" s="21"/>
      <c r="GTV23" s="21"/>
      <c r="GTZ23" s="15"/>
      <c r="GUF23" s="25"/>
      <c r="GUM23" s="21"/>
      <c r="GUN23" s="21"/>
      <c r="GUR23" s="15"/>
      <c r="GUX23" s="25"/>
      <c r="GVE23" s="21"/>
      <c r="GVF23" s="21"/>
      <c r="GVJ23" s="15"/>
      <c r="GVP23" s="25"/>
      <c r="GVW23" s="21"/>
      <c r="GVX23" s="21"/>
      <c r="GWB23" s="15"/>
      <c r="GWH23" s="25"/>
      <c r="GWO23" s="21"/>
      <c r="GWP23" s="21"/>
      <c r="GWT23" s="15"/>
      <c r="GWZ23" s="25"/>
      <c r="GXG23" s="21"/>
      <c r="GXH23" s="21"/>
      <c r="GXL23" s="15"/>
      <c r="GXR23" s="25"/>
      <c r="GXY23" s="21"/>
      <c r="GXZ23" s="21"/>
      <c r="GYD23" s="15"/>
      <c r="GYJ23" s="25"/>
      <c r="GYQ23" s="21"/>
      <c r="GYR23" s="21"/>
      <c r="GYV23" s="15"/>
      <c r="GZB23" s="25"/>
      <c r="GZI23" s="21"/>
      <c r="GZJ23" s="21"/>
      <c r="GZN23" s="15"/>
      <c r="GZT23" s="25"/>
      <c r="HAA23" s="21"/>
      <c r="HAB23" s="21"/>
      <c r="HAF23" s="15"/>
      <c r="HAL23" s="25"/>
      <c r="HAS23" s="21"/>
      <c r="HAT23" s="21"/>
      <c r="HAX23" s="15"/>
      <c r="HBD23" s="25"/>
      <c r="HBK23" s="21"/>
      <c r="HBL23" s="21"/>
      <c r="HBP23" s="15"/>
      <c r="HBV23" s="25"/>
      <c r="HCC23" s="21"/>
      <c r="HCD23" s="21"/>
      <c r="HCH23" s="15"/>
      <c r="HCN23" s="25"/>
      <c r="HCU23" s="21"/>
      <c r="HCV23" s="21"/>
      <c r="HCZ23" s="15"/>
      <c r="HDF23" s="25"/>
      <c r="HDM23" s="21"/>
      <c r="HDN23" s="21"/>
      <c r="HDR23" s="15"/>
      <c r="HDX23" s="25"/>
      <c r="HEE23" s="21"/>
      <c r="HEF23" s="21"/>
      <c r="HEJ23" s="15"/>
      <c r="HEP23" s="25"/>
      <c r="HEW23" s="21"/>
      <c r="HEX23" s="21"/>
      <c r="HFB23" s="15"/>
      <c r="HFH23" s="25"/>
      <c r="HFO23" s="21"/>
      <c r="HFP23" s="21"/>
      <c r="HFT23" s="15"/>
      <c r="HFZ23" s="25"/>
      <c r="HGG23" s="21"/>
      <c r="HGH23" s="21"/>
      <c r="HGL23" s="15"/>
      <c r="HGR23" s="25"/>
      <c r="HGY23" s="21"/>
      <c r="HGZ23" s="21"/>
      <c r="HHD23" s="15"/>
      <c r="HHJ23" s="25"/>
      <c r="HHQ23" s="21"/>
      <c r="HHR23" s="21"/>
      <c r="HHV23" s="15"/>
      <c r="HIB23" s="25"/>
      <c r="HII23" s="21"/>
      <c r="HIJ23" s="21"/>
      <c r="HIN23" s="15"/>
      <c r="HIT23" s="25"/>
      <c r="HJA23" s="21"/>
      <c r="HJB23" s="21"/>
      <c r="HJF23" s="15"/>
      <c r="HJL23" s="25"/>
      <c r="HJS23" s="21"/>
      <c r="HJT23" s="21"/>
      <c r="HJX23" s="15"/>
      <c r="HKD23" s="25"/>
      <c r="HKK23" s="21"/>
      <c r="HKL23" s="21"/>
      <c r="HKP23" s="15"/>
      <c r="HKV23" s="25"/>
      <c r="HLC23" s="21"/>
      <c r="HLD23" s="21"/>
      <c r="HLH23" s="15"/>
      <c r="HLN23" s="25"/>
      <c r="HLU23" s="21"/>
      <c r="HLV23" s="21"/>
      <c r="HLZ23" s="15"/>
      <c r="HMF23" s="25"/>
      <c r="HMM23" s="21"/>
      <c r="HMN23" s="21"/>
      <c r="HMR23" s="15"/>
      <c r="HMX23" s="25"/>
      <c r="HNE23" s="21"/>
      <c r="HNF23" s="21"/>
      <c r="HNJ23" s="15"/>
      <c r="HNP23" s="25"/>
      <c r="HNW23" s="21"/>
      <c r="HNX23" s="21"/>
      <c r="HOB23" s="15"/>
      <c r="HOH23" s="25"/>
      <c r="HOO23" s="21"/>
      <c r="HOP23" s="21"/>
      <c r="HOT23" s="15"/>
      <c r="HOZ23" s="25"/>
      <c r="HPG23" s="21"/>
      <c r="HPH23" s="21"/>
      <c r="HPL23" s="15"/>
      <c r="HPR23" s="25"/>
      <c r="HPY23" s="21"/>
      <c r="HPZ23" s="21"/>
      <c r="HQD23" s="15"/>
      <c r="HQJ23" s="25"/>
      <c r="HQQ23" s="21"/>
      <c r="HQR23" s="21"/>
      <c r="HQV23" s="15"/>
      <c r="HRB23" s="25"/>
      <c r="HRI23" s="21"/>
      <c r="HRJ23" s="21"/>
      <c r="HRN23" s="15"/>
      <c r="HRT23" s="25"/>
      <c r="HSA23" s="21"/>
      <c r="HSB23" s="21"/>
      <c r="HSF23" s="15"/>
      <c r="HSL23" s="25"/>
      <c r="HSS23" s="21"/>
      <c r="HST23" s="21"/>
      <c r="HSX23" s="15"/>
      <c r="HTD23" s="25"/>
      <c r="HTK23" s="21"/>
      <c r="HTL23" s="21"/>
      <c r="HTP23" s="15"/>
      <c r="HTV23" s="25"/>
      <c r="HUC23" s="21"/>
      <c r="HUD23" s="21"/>
      <c r="HUH23" s="15"/>
      <c r="HUN23" s="25"/>
      <c r="HUU23" s="21"/>
      <c r="HUV23" s="21"/>
      <c r="HUZ23" s="15"/>
      <c r="HVF23" s="25"/>
      <c r="HVM23" s="21"/>
      <c r="HVN23" s="21"/>
      <c r="HVR23" s="15"/>
      <c r="HVX23" s="25"/>
      <c r="HWE23" s="21"/>
      <c r="HWF23" s="21"/>
      <c r="HWJ23" s="15"/>
      <c r="HWP23" s="25"/>
      <c r="HWW23" s="21"/>
      <c r="HWX23" s="21"/>
      <c r="HXB23" s="15"/>
      <c r="HXH23" s="25"/>
      <c r="HXO23" s="21"/>
      <c r="HXP23" s="21"/>
      <c r="HXT23" s="15"/>
      <c r="HXZ23" s="25"/>
      <c r="HYG23" s="21"/>
      <c r="HYH23" s="21"/>
      <c r="HYL23" s="15"/>
      <c r="HYR23" s="25"/>
      <c r="HYY23" s="21"/>
      <c r="HYZ23" s="21"/>
      <c r="HZD23" s="15"/>
      <c r="HZJ23" s="25"/>
      <c r="HZQ23" s="21"/>
      <c r="HZR23" s="21"/>
      <c r="HZV23" s="15"/>
      <c r="IAB23" s="25"/>
      <c r="IAI23" s="21"/>
      <c r="IAJ23" s="21"/>
      <c r="IAN23" s="15"/>
      <c r="IAT23" s="25"/>
      <c r="IBA23" s="21"/>
      <c r="IBB23" s="21"/>
      <c r="IBF23" s="15"/>
      <c r="IBL23" s="25"/>
      <c r="IBS23" s="21"/>
      <c r="IBT23" s="21"/>
      <c r="IBX23" s="15"/>
      <c r="ICD23" s="25"/>
      <c r="ICK23" s="21"/>
      <c r="ICL23" s="21"/>
      <c r="ICP23" s="15"/>
      <c r="ICV23" s="25"/>
      <c r="IDC23" s="21"/>
      <c r="IDD23" s="21"/>
      <c r="IDH23" s="15"/>
      <c r="IDN23" s="25"/>
      <c r="IDU23" s="21"/>
      <c r="IDV23" s="21"/>
      <c r="IDZ23" s="15"/>
      <c r="IEF23" s="25"/>
      <c r="IEM23" s="21"/>
      <c r="IEN23" s="21"/>
      <c r="IER23" s="15"/>
      <c r="IEX23" s="25"/>
      <c r="IFE23" s="21"/>
      <c r="IFF23" s="21"/>
      <c r="IFJ23" s="15"/>
      <c r="IFP23" s="25"/>
      <c r="IFW23" s="21"/>
      <c r="IFX23" s="21"/>
      <c r="IGB23" s="15"/>
      <c r="IGH23" s="25"/>
      <c r="IGO23" s="21"/>
      <c r="IGP23" s="21"/>
      <c r="IGT23" s="15"/>
      <c r="IGZ23" s="25"/>
      <c r="IHG23" s="21"/>
      <c r="IHH23" s="21"/>
      <c r="IHL23" s="15"/>
      <c r="IHR23" s="25"/>
      <c r="IHY23" s="21"/>
      <c r="IHZ23" s="21"/>
      <c r="IID23" s="15"/>
      <c r="IIJ23" s="25"/>
      <c r="IIQ23" s="21"/>
      <c r="IIR23" s="21"/>
      <c r="IIV23" s="15"/>
      <c r="IJB23" s="25"/>
      <c r="IJI23" s="21"/>
      <c r="IJJ23" s="21"/>
      <c r="IJN23" s="15"/>
      <c r="IJT23" s="25"/>
      <c r="IKA23" s="21"/>
      <c r="IKB23" s="21"/>
      <c r="IKF23" s="15"/>
      <c r="IKL23" s="25"/>
      <c r="IKS23" s="21"/>
      <c r="IKT23" s="21"/>
      <c r="IKX23" s="15"/>
      <c r="ILD23" s="25"/>
      <c r="ILK23" s="21"/>
      <c r="ILL23" s="21"/>
      <c r="ILP23" s="15"/>
      <c r="ILV23" s="25"/>
      <c r="IMC23" s="21"/>
      <c r="IMD23" s="21"/>
      <c r="IMH23" s="15"/>
      <c r="IMN23" s="25"/>
      <c r="IMU23" s="21"/>
      <c r="IMV23" s="21"/>
      <c r="IMZ23" s="15"/>
      <c r="INF23" s="25"/>
      <c r="INM23" s="21"/>
      <c r="INN23" s="21"/>
      <c r="INR23" s="15"/>
      <c r="INX23" s="25"/>
      <c r="IOE23" s="21"/>
      <c r="IOF23" s="21"/>
      <c r="IOJ23" s="15"/>
      <c r="IOP23" s="25"/>
      <c r="IOW23" s="21"/>
      <c r="IOX23" s="21"/>
      <c r="IPB23" s="15"/>
      <c r="IPH23" s="25"/>
      <c r="IPO23" s="21"/>
      <c r="IPP23" s="21"/>
      <c r="IPT23" s="15"/>
      <c r="IPZ23" s="25"/>
      <c r="IQG23" s="21"/>
      <c r="IQH23" s="21"/>
      <c r="IQL23" s="15"/>
      <c r="IQR23" s="25"/>
      <c r="IQY23" s="21"/>
      <c r="IQZ23" s="21"/>
      <c r="IRD23" s="15"/>
      <c r="IRJ23" s="25"/>
      <c r="IRQ23" s="21"/>
      <c r="IRR23" s="21"/>
      <c r="IRV23" s="15"/>
      <c r="ISB23" s="25"/>
      <c r="ISI23" s="21"/>
      <c r="ISJ23" s="21"/>
      <c r="ISN23" s="15"/>
      <c r="IST23" s="25"/>
      <c r="ITA23" s="21"/>
      <c r="ITB23" s="21"/>
      <c r="ITF23" s="15"/>
      <c r="ITL23" s="25"/>
      <c r="ITS23" s="21"/>
      <c r="ITT23" s="21"/>
      <c r="ITX23" s="15"/>
      <c r="IUD23" s="25"/>
      <c r="IUK23" s="21"/>
      <c r="IUL23" s="21"/>
      <c r="IUP23" s="15"/>
      <c r="IUV23" s="25"/>
      <c r="IVC23" s="21"/>
      <c r="IVD23" s="21"/>
      <c r="IVH23" s="15"/>
      <c r="IVN23" s="25"/>
      <c r="IVU23" s="21"/>
      <c r="IVV23" s="21"/>
      <c r="IVZ23" s="15"/>
      <c r="IWF23" s="25"/>
      <c r="IWM23" s="21"/>
      <c r="IWN23" s="21"/>
      <c r="IWR23" s="15"/>
      <c r="IWX23" s="25"/>
      <c r="IXE23" s="21"/>
      <c r="IXF23" s="21"/>
      <c r="IXJ23" s="15"/>
      <c r="IXP23" s="25"/>
      <c r="IXW23" s="21"/>
      <c r="IXX23" s="21"/>
      <c r="IYB23" s="15"/>
      <c r="IYH23" s="25"/>
      <c r="IYO23" s="21"/>
      <c r="IYP23" s="21"/>
      <c r="IYT23" s="15"/>
      <c r="IYZ23" s="25"/>
      <c r="IZG23" s="21"/>
      <c r="IZH23" s="21"/>
      <c r="IZL23" s="15"/>
      <c r="IZR23" s="25"/>
      <c r="IZY23" s="21"/>
      <c r="IZZ23" s="21"/>
      <c r="JAD23" s="15"/>
      <c r="JAJ23" s="25"/>
      <c r="JAQ23" s="21"/>
      <c r="JAR23" s="21"/>
      <c r="JAV23" s="15"/>
      <c r="JBB23" s="25"/>
      <c r="JBI23" s="21"/>
      <c r="JBJ23" s="21"/>
      <c r="JBN23" s="15"/>
      <c r="JBT23" s="25"/>
      <c r="JCA23" s="21"/>
      <c r="JCB23" s="21"/>
      <c r="JCF23" s="15"/>
      <c r="JCL23" s="25"/>
      <c r="JCS23" s="21"/>
      <c r="JCT23" s="21"/>
      <c r="JCX23" s="15"/>
      <c r="JDD23" s="25"/>
      <c r="JDK23" s="21"/>
      <c r="JDL23" s="21"/>
      <c r="JDP23" s="15"/>
      <c r="JDV23" s="25"/>
      <c r="JEC23" s="21"/>
      <c r="JED23" s="21"/>
      <c r="JEH23" s="15"/>
      <c r="JEN23" s="25"/>
      <c r="JEU23" s="21"/>
      <c r="JEV23" s="21"/>
      <c r="JEZ23" s="15"/>
      <c r="JFF23" s="25"/>
      <c r="JFM23" s="21"/>
      <c r="JFN23" s="21"/>
      <c r="JFR23" s="15"/>
      <c r="JFX23" s="25"/>
      <c r="JGE23" s="21"/>
      <c r="JGF23" s="21"/>
      <c r="JGJ23" s="15"/>
      <c r="JGP23" s="25"/>
      <c r="JGW23" s="21"/>
      <c r="JGX23" s="21"/>
      <c r="JHB23" s="15"/>
      <c r="JHH23" s="25"/>
      <c r="JHO23" s="21"/>
      <c r="JHP23" s="21"/>
      <c r="JHT23" s="15"/>
      <c r="JHZ23" s="25"/>
      <c r="JIG23" s="21"/>
      <c r="JIH23" s="21"/>
      <c r="JIL23" s="15"/>
      <c r="JIR23" s="25"/>
      <c r="JIY23" s="21"/>
      <c r="JIZ23" s="21"/>
      <c r="JJD23" s="15"/>
      <c r="JJJ23" s="25"/>
      <c r="JJQ23" s="21"/>
      <c r="JJR23" s="21"/>
      <c r="JJV23" s="15"/>
      <c r="JKB23" s="25"/>
      <c r="JKI23" s="21"/>
      <c r="JKJ23" s="21"/>
      <c r="JKN23" s="15"/>
      <c r="JKT23" s="25"/>
      <c r="JLA23" s="21"/>
      <c r="JLB23" s="21"/>
      <c r="JLF23" s="15"/>
      <c r="JLL23" s="25"/>
      <c r="JLS23" s="21"/>
      <c r="JLT23" s="21"/>
      <c r="JLX23" s="15"/>
      <c r="JMD23" s="25"/>
      <c r="JMK23" s="21"/>
      <c r="JML23" s="21"/>
      <c r="JMP23" s="15"/>
      <c r="JMV23" s="25"/>
      <c r="JNC23" s="21"/>
      <c r="JND23" s="21"/>
      <c r="JNH23" s="15"/>
      <c r="JNN23" s="25"/>
      <c r="JNU23" s="21"/>
      <c r="JNV23" s="21"/>
      <c r="JNZ23" s="15"/>
      <c r="JOF23" s="25"/>
      <c r="JOM23" s="21"/>
      <c r="JON23" s="21"/>
      <c r="JOR23" s="15"/>
      <c r="JOX23" s="25"/>
      <c r="JPE23" s="21"/>
      <c r="JPF23" s="21"/>
      <c r="JPJ23" s="15"/>
      <c r="JPP23" s="25"/>
      <c r="JPW23" s="21"/>
      <c r="JPX23" s="21"/>
      <c r="JQB23" s="15"/>
      <c r="JQH23" s="25"/>
      <c r="JQO23" s="21"/>
      <c r="JQP23" s="21"/>
      <c r="JQT23" s="15"/>
      <c r="JQZ23" s="25"/>
      <c r="JRG23" s="21"/>
      <c r="JRH23" s="21"/>
      <c r="JRL23" s="15"/>
      <c r="JRR23" s="25"/>
      <c r="JRY23" s="21"/>
      <c r="JRZ23" s="21"/>
      <c r="JSD23" s="15"/>
      <c r="JSJ23" s="25"/>
      <c r="JSQ23" s="21"/>
      <c r="JSR23" s="21"/>
      <c r="JSV23" s="15"/>
      <c r="JTB23" s="25"/>
      <c r="JTI23" s="21"/>
      <c r="JTJ23" s="21"/>
      <c r="JTN23" s="15"/>
      <c r="JTT23" s="25"/>
      <c r="JUA23" s="21"/>
      <c r="JUB23" s="21"/>
      <c r="JUF23" s="15"/>
      <c r="JUL23" s="25"/>
      <c r="JUS23" s="21"/>
      <c r="JUT23" s="21"/>
      <c r="JUX23" s="15"/>
      <c r="JVD23" s="25"/>
      <c r="JVK23" s="21"/>
      <c r="JVL23" s="21"/>
      <c r="JVP23" s="15"/>
      <c r="JVV23" s="25"/>
      <c r="JWC23" s="21"/>
      <c r="JWD23" s="21"/>
      <c r="JWH23" s="15"/>
      <c r="JWN23" s="25"/>
      <c r="JWU23" s="21"/>
      <c r="JWV23" s="21"/>
      <c r="JWZ23" s="15"/>
      <c r="JXF23" s="25"/>
      <c r="JXM23" s="21"/>
      <c r="JXN23" s="21"/>
      <c r="JXR23" s="15"/>
      <c r="JXX23" s="25"/>
      <c r="JYE23" s="21"/>
      <c r="JYF23" s="21"/>
      <c r="JYJ23" s="15"/>
      <c r="JYP23" s="25"/>
      <c r="JYW23" s="21"/>
      <c r="JYX23" s="21"/>
      <c r="JZB23" s="15"/>
      <c r="JZH23" s="25"/>
      <c r="JZO23" s="21"/>
      <c r="JZP23" s="21"/>
      <c r="JZT23" s="15"/>
      <c r="JZZ23" s="25"/>
      <c r="KAG23" s="21"/>
      <c r="KAH23" s="21"/>
      <c r="KAL23" s="15"/>
      <c r="KAR23" s="25"/>
      <c r="KAY23" s="21"/>
      <c r="KAZ23" s="21"/>
      <c r="KBD23" s="15"/>
      <c r="KBJ23" s="25"/>
      <c r="KBQ23" s="21"/>
      <c r="KBR23" s="21"/>
      <c r="KBV23" s="15"/>
      <c r="KCB23" s="25"/>
      <c r="KCI23" s="21"/>
      <c r="KCJ23" s="21"/>
      <c r="KCN23" s="15"/>
      <c r="KCT23" s="25"/>
      <c r="KDA23" s="21"/>
      <c r="KDB23" s="21"/>
      <c r="KDF23" s="15"/>
      <c r="KDL23" s="25"/>
      <c r="KDS23" s="21"/>
      <c r="KDT23" s="21"/>
      <c r="KDX23" s="15"/>
      <c r="KED23" s="25"/>
      <c r="KEK23" s="21"/>
      <c r="KEL23" s="21"/>
      <c r="KEP23" s="15"/>
      <c r="KEV23" s="25"/>
      <c r="KFC23" s="21"/>
      <c r="KFD23" s="21"/>
      <c r="KFH23" s="15"/>
      <c r="KFN23" s="25"/>
      <c r="KFU23" s="21"/>
      <c r="KFV23" s="21"/>
      <c r="KFZ23" s="15"/>
      <c r="KGF23" s="25"/>
      <c r="KGM23" s="21"/>
      <c r="KGN23" s="21"/>
      <c r="KGR23" s="15"/>
      <c r="KGX23" s="25"/>
      <c r="KHE23" s="21"/>
      <c r="KHF23" s="21"/>
      <c r="KHJ23" s="15"/>
      <c r="KHP23" s="25"/>
      <c r="KHW23" s="21"/>
      <c r="KHX23" s="21"/>
      <c r="KIB23" s="15"/>
      <c r="KIH23" s="25"/>
      <c r="KIO23" s="21"/>
      <c r="KIP23" s="21"/>
      <c r="KIT23" s="15"/>
      <c r="KIZ23" s="25"/>
      <c r="KJG23" s="21"/>
      <c r="KJH23" s="21"/>
      <c r="KJL23" s="15"/>
      <c r="KJR23" s="25"/>
      <c r="KJY23" s="21"/>
      <c r="KJZ23" s="21"/>
      <c r="KKD23" s="15"/>
      <c r="KKJ23" s="25"/>
      <c r="KKQ23" s="21"/>
      <c r="KKR23" s="21"/>
      <c r="KKV23" s="15"/>
      <c r="KLB23" s="25"/>
      <c r="KLI23" s="21"/>
      <c r="KLJ23" s="21"/>
      <c r="KLN23" s="15"/>
      <c r="KLT23" s="25"/>
      <c r="KMA23" s="21"/>
      <c r="KMB23" s="21"/>
      <c r="KMF23" s="15"/>
      <c r="KML23" s="25"/>
      <c r="KMS23" s="21"/>
      <c r="KMT23" s="21"/>
      <c r="KMX23" s="15"/>
      <c r="KND23" s="25"/>
      <c r="KNK23" s="21"/>
      <c r="KNL23" s="21"/>
      <c r="KNP23" s="15"/>
      <c r="KNV23" s="25"/>
      <c r="KOC23" s="21"/>
      <c r="KOD23" s="21"/>
      <c r="KOH23" s="15"/>
      <c r="KON23" s="25"/>
      <c r="KOU23" s="21"/>
      <c r="KOV23" s="21"/>
      <c r="KOZ23" s="15"/>
      <c r="KPF23" s="25"/>
      <c r="KPM23" s="21"/>
      <c r="KPN23" s="21"/>
      <c r="KPR23" s="15"/>
      <c r="KPX23" s="25"/>
      <c r="KQE23" s="21"/>
      <c r="KQF23" s="21"/>
      <c r="KQJ23" s="15"/>
      <c r="KQP23" s="25"/>
      <c r="KQW23" s="21"/>
      <c r="KQX23" s="21"/>
      <c r="KRB23" s="15"/>
      <c r="KRH23" s="25"/>
      <c r="KRO23" s="21"/>
      <c r="KRP23" s="21"/>
      <c r="KRT23" s="15"/>
      <c r="KRZ23" s="25"/>
      <c r="KSG23" s="21"/>
      <c r="KSH23" s="21"/>
      <c r="KSL23" s="15"/>
      <c r="KSR23" s="25"/>
      <c r="KSY23" s="21"/>
      <c r="KSZ23" s="21"/>
      <c r="KTD23" s="15"/>
      <c r="KTJ23" s="25"/>
      <c r="KTQ23" s="21"/>
      <c r="KTR23" s="21"/>
      <c r="KTV23" s="15"/>
      <c r="KUB23" s="25"/>
      <c r="KUI23" s="21"/>
      <c r="KUJ23" s="21"/>
      <c r="KUN23" s="15"/>
      <c r="KUT23" s="25"/>
      <c r="KVA23" s="21"/>
      <c r="KVB23" s="21"/>
      <c r="KVF23" s="15"/>
      <c r="KVL23" s="25"/>
      <c r="KVS23" s="21"/>
      <c r="KVT23" s="21"/>
      <c r="KVX23" s="15"/>
      <c r="KWD23" s="25"/>
      <c r="KWK23" s="21"/>
      <c r="KWL23" s="21"/>
      <c r="KWP23" s="15"/>
      <c r="KWV23" s="25"/>
      <c r="KXC23" s="21"/>
      <c r="KXD23" s="21"/>
      <c r="KXH23" s="15"/>
      <c r="KXN23" s="25"/>
      <c r="KXU23" s="21"/>
      <c r="KXV23" s="21"/>
      <c r="KXZ23" s="15"/>
      <c r="KYF23" s="25"/>
      <c r="KYM23" s="21"/>
      <c r="KYN23" s="21"/>
      <c r="KYR23" s="15"/>
      <c r="KYX23" s="25"/>
      <c r="KZE23" s="21"/>
      <c r="KZF23" s="21"/>
      <c r="KZJ23" s="15"/>
      <c r="KZP23" s="25"/>
      <c r="KZW23" s="21"/>
      <c r="KZX23" s="21"/>
      <c r="LAB23" s="15"/>
      <c r="LAH23" s="25"/>
      <c r="LAO23" s="21"/>
      <c r="LAP23" s="21"/>
      <c r="LAT23" s="15"/>
      <c r="LAZ23" s="25"/>
      <c r="LBG23" s="21"/>
      <c r="LBH23" s="21"/>
      <c r="LBL23" s="15"/>
      <c r="LBR23" s="25"/>
      <c r="LBY23" s="21"/>
      <c r="LBZ23" s="21"/>
      <c r="LCD23" s="15"/>
      <c r="LCJ23" s="25"/>
      <c r="LCQ23" s="21"/>
      <c r="LCR23" s="21"/>
      <c r="LCV23" s="15"/>
      <c r="LDB23" s="25"/>
      <c r="LDI23" s="21"/>
      <c r="LDJ23" s="21"/>
      <c r="LDN23" s="15"/>
      <c r="LDT23" s="25"/>
      <c r="LEA23" s="21"/>
      <c r="LEB23" s="21"/>
      <c r="LEF23" s="15"/>
      <c r="LEL23" s="25"/>
      <c r="LES23" s="21"/>
      <c r="LET23" s="21"/>
      <c r="LEX23" s="15"/>
      <c r="LFD23" s="25"/>
      <c r="LFK23" s="21"/>
      <c r="LFL23" s="21"/>
      <c r="LFP23" s="15"/>
      <c r="LFV23" s="25"/>
      <c r="LGC23" s="21"/>
      <c r="LGD23" s="21"/>
      <c r="LGH23" s="15"/>
      <c r="LGN23" s="25"/>
      <c r="LGU23" s="21"/>
      <c r="LGV23" s="21"/>
      <c r="LGZ23" s="15"/>
      <c r="LHF23" s="25"/>
      <c r="LHM23" s="21"/>
      <c r="LHN23" s="21"/>
      <c r="LHR23" s="15"/>
      <c r="LHX23" s="25"/>
      <c r="LIE23" s="21"/>
      <c r="LIF23" s="21"/>
      <c r="LIJ23" s="15"/>
      <c r="LIP23" s="25"/>
      <c r="LIW23" s="21"/>
      <c r="LIX23" s="21"/>
      <c r="LJB23" s="15"/>
      <c r="LJH23" s="25"/>
      <c r="LJO23" s="21"/>
      <c r="LJP23" s="21"/>
      <c r="LJT23" s="15"/>
      <c r="LJZ23" s="25"/>
      <c r="LKG23" s="21"/>
      <c r="LKH23" s="21"/>
      <c r="LKL23" s="15"/>
      <c r="LKR23" s="25"/>
      <c r="LKY23" s="21"/>
      <c r="LKZ23" s="21"/>
      <c r="LLD23" s="15"/>
      <c r="LLJ23" s="25"/>
      <c r="LLQ23" s="21"/>
      <c r="LLR23" s="21"/>
      <c r="LLV23" s="15"/>
      <c r="LMB23" s="25"/>
      <c r="LMI23" s="21"/>
      <c r="LMJ23" s="21"/>
      <c r="LMN23" s="15"/>
      <c r="LMT23" s="25"/>
      <c r="LNA23" s="21"/>
      <c r="LNB23" s="21"/>
      <c r="LNF23" s="15"/>
      <c r="LNL23" s="25"/>
      <c r="LNS23" s="21"/>
      <c r="LNT23" s="21"/>
      <c r="LNX23" s="15"/>
      <c r="LOD23" s="25"/>
      <c r="LOK23" s="21"/>
      <c r="LOL23" s="21"/>
      <c r="LOP23" s="15"/>
      <c r="LOV23" s="25"/>
      <c r="LPC23" s="21"/>
      <c r="LPD23" s="21"/>
      <c r="LPH23" s="15"/>
      <c r="LPN23" s="25"/>
      <c r="LPU23" s="21"/>
      <c r="LPV23" s="21"/>
      <c r="LPZ23" s="15"/>
      <c r="LQF23" s="25"/>
      <c r="LQM23" s="21"/>
      <c r="LQN23" s="21"/>
      <c r="LQR23" s="15"/>
      <c r="LQX23" s="25"/>
      <c r="LRE23" s="21"/>
      <c r="LRF23" s="21"/>
      <c r="LRJ23" s="15"/>
      <c r="LRP23" s="25"/>
      <c r="LRW23" s="21"/>
      <c r="LRX23" s="21"/>
      <c r="LSB23" s="15"/>
      <c r="LSH23" s="25"/>
      <c r="LSO23" s="21"/>
      <c r="LSP23" s="21"/>
      <c r="LST23" s="15"/>
      <c r="LSZ23" s="25"/>
      <c r="LTG23" s="21"/>
      <c r="LTH23" s="21"/>
      <c r="LTL23" s="15"/>
      <c r="LTR23" s="25"/>
      <c r="LTY23" s="21"/>
      <c r="LTZ23" s="21"/>
      <c r="LUD23" s="15"/>
      <c r="LUJ23" s="25"/>
      <c r="LUQ23" s="21"/>
      <c r="LUR23" s="21"/>
      <c r="LUV23" s="15"/>
      <c r="LVB23" s="25"/>
      <c r="LVI23" s="21"/>
      <c r="LVJ23" s="21"/>
      <c r="LVN23" s="15"/>
      <c r="LVT23" s="25"/>
      <c r="LWA23" s="21"/>
      <c r="LWB23" s="21"/>
      <c r="LWF23" s="15"/>
      <c r="LWL23" s="25"/>
      <c r="LWS23" s="21"/>
      <c r="LWT23" s="21"/>
      <c r="LWX23" s="15"/>
      <c r="LXD23" s="25"/>
      <c r="LXK23" s="21"/>
      <c r="LXL23" s="21"/>
      <c r="LXP23" s="15"/>
      <c r="LXV23" s="25"/>
      <c r="LYC23" s="21"/>
      <c r="LYD23" s="21"/>
      <c r="LYH23" s="15"/>
      <c r="LYN23" s="25"/>
      <c r="LYU23" s="21"/>
      <c r="LYV23" s="21"/>
      <c r="LYZ23" s="15"/>
      <c r="LZF23" s="25"/>
      <c r="LZM23" s="21"/>
      <c r="LZN23" s="21"/>
      <c r="LZR23" s="15"/>
      <c r="LZX23" s="25"/>
      <c r="MAE23" s="21"/>
      <c r="MAF23" s="21"/>
      <c r="MAJ23" s="15"/>
      <c r="MAP23" s="25"/>
      <c r="MAW23" s="21"/>
      <c r="MAX23" s="21"/>
      <c r="MBB23" s="15"/>
      <c r="MBH23" s="25"/>
      <c r="MBO23" s="21"/>
      <c r="MBP23" s="21"/>
      <c r="MBT23" s="15"/>
      <c r="MBZ23" s="25"/>
      <c r="MCG23" s="21"/>
      <c r="MCH23" s="21"/>
      <c r="MCL23" s="15"/>
      <c r="MCR23" s="25"/>
      <c r="MCY23" s="21"/>
      <c r="MCZ23" s="21"/>
      <c r="MDD23" s="15"/>
      <c r="MDJ23" s="25"/>
      <c r="MDQ23" s="21"/>
      <c r="MDR23" s="21"/>
      <c r="MDV23" s="15"/>
      <c r="MEB23" s="25"/>
      <c r="MEI23" s="21"/>
      <c r="MEJ23" s="21"/>
      <c r="MEN23" s="15"/>
      <c r="MET23" s="25"/>
      <c r="MFA23" s="21"/>
      <c r="MFB23" s="21"/>
      <c r="MFF23" s="15"/>
      <c r="MFL23" s="25"/>
      <c r="MFS23" s="21"/>
      <c r="MFT23" s="21"/>
      <c r="MFX23" s="15"/>
      <c r="MGD23" s="25"/>
      <c r="MGK23" s="21"/>
      <c r="MGL23" s="21"/>
      <c r="MGP23" s="15"/>
      <c r="MGV23" s="25"/>
      <c r="MHC23" s="21"/>
      <c r="MHD23" s="21"/>
      <c r="MHH23" s="15"/>
      <c r="MHN23" s="25"/>
      <c r="MHU23" s="21"/>
      <c r="MHV23" s="21"/>
      <c r="MHZ23" s="15"/>
      <c r="MIF23" s="25"/>
      <c r="MIM23" s="21"/>
      <c r="MIN23" s="21"/>
      <c r="MIR23" s="15"/>
      <c r="MIX23" s="25"/>
      <c r="MJE23" s="21"/>
      <c r="MJF23" s="21"/>
      <c r="MJJ23" s="15"/>
      <c r="MJP23" s="25"/>
      <c r="MJW23" s="21"/>
      <c r="MJX23" s="21"/>
      <c r="MKB23" s="15"/>
      <c r="MKH23" s="25"/>
      <c r="MKO23" s="21"/>
      <c r="MKP23" s="21"/>
      <c r="MKT23" s="15"/>
      <c r="MKZ23" s="25"/>
      <c r="MLG23" s="21"/>
      <c r="MLH23" s="21"/>
      <c r="MLL23" s="15"/>
      <c r="MLR23" s="25"/>
      <c r="MLY23" s="21"/>
      <c r="MLZ23" s="21"/>
      <c r="MMD23" s="15"/>
      <c r="MMJ23" s="25"/>
      <c r="MMQ23" s="21"/>
      <c r="MMR23" s="21"/>
      <c r="MMV23" s="15"/>
      <c r="MNB23" s="25"/>
      <c r="MNI23" s="21"/>
      <c r="MNJ23" s="21"/>
      <c r="MNN23" s="15"/>
      <c r="MNT23" s="25"/>
      <c r="MOA23" s="21"/>
      <c r="MOB23" s="21"/>
      <c r="MOF23" s="15"/>
      <c r="MOL23" s="25"/>
      <c r="MOS23" s="21"/>
      <c r="MOT23" s="21"/>
      <c r="MOX23" s="15"/>
      <c r="MPD23" s="25"/>
      <c r="MPK23" s="21"/>
      <c r="MPL23" s="21"/>
      <c r="MPP23" s="15"/>
      <c r="MPV23" s="25"/>
      <c r="MQC23" s="21"/>
      <c r="MQD23" s="21"/>
      <c r="MQH23" s="15"/>
      <c r="MQN23" s="25"/>
      <c r="MQU23" s="21"/>
      <c r="MQV23" s="21"/>
      <c r="MQZ23" s="15"/>
      <c r="MRF23" s="25"/>
      <c r="MRM23" s="21"/>
      <c r="MRN23" s="21"/>
      <c r="MRR23" s="15"/>
      <c r="MRX23" s="25"/>
      <c r="MSE23" s="21"/>
      <c r="MSF23" s="21"/>
      <c r="MSJ23" s="15"/>
      <c r="MSP23" s="25"/>
      <c r="MSW23" s="21"/>
      <c r="MSX23" s="21"/>
      <c r="MTB23" s="15"/>
      <c r="MTH23" s="25"/>
      <c r="MTO23" s="21"/>
      <c r="MTP23" s="21"/>
      <c r="MTT23" s="15"/>
      <c r="MTZ23" s="25"/>
      <c r="MUG23" s="21"/>
      <c r="MUH23" s="21"/>
      <c r="MUL23" s="15"/>
      <c r="MUR23" s="25"/>
      <c r="MUY23" s="21"/>
      <c r="MUZ23" s="21"/>
      <c r="MVD23" s="15"/>
      <c r="MVJ23" s="25"/>
      <c r="MVQ23" s="21"/>
      <c r="MVR23" s="21"/>
      <c r="MVV23" s="15"/>
      <c r="MWB23" s="25"/>
      <c r="MWI23" s="21"/>
      <c r="MWJ23" s="21"/>
      <c r="MWN23" s="15"/>
      <c r="MWT23" s="25"/>
      <c r="MXA23" s="21"/>
      <c r="MXB23" s="21"/>
      <c r="MXF23" s="15"/>
      <c r="MXL23" s="25"/>
      <c r="MXS23" s="21"/>
      <c r="MXT23" s="21"/>
      <c r="MXX23" s="15"/>
      <c r="MYD23" s="25"/>
      <c r="MYK23" s="21"/>
      <c r="MYL23" s="21"/>
      <c r="MYP23" s="15"/>
      <c r="MYV23" s="25"/>
      <c r="MZC23" s="21"/>
      <c r="MZD23" s="21"/>
      <c r="MZH23" s="15"/>
      <c r="MZN23" s="25"/>
      <c r="MZU23" s="21"/>
      <c r="MZV23" s="21"/>
      <c r="MZZ23" s="15"/>
      <c r="NAF23" s="25"/>
      <c r="NAM23" s="21"/>
      <c r="NAN23" s="21"/>
      <c r="NAR23" s="15"/>
      <c r="NAX23" s="25"/>
      <c r="NBE23" s="21"/>
      <c r="NBF23" s="21"/>
      <c r="NBJ23" s="15"/>
      <c r="NBP23" s="25"/>
      <c r="NBW23" s="21"/>
      <c r="NBX23" s="21"/>
      <c r="NCB23" s="15"/>
      <c r="NCH23" s="25"/>
      <c r="NCO23" s="21"/>
      <c r="NCP23" s="21"/>
      <c r="NCT23" s="15"/>
      <c r="NCZ23" s="25"/>
      <c r="NDG23" s="21"/>
      <c r="NDH23" s="21"/>
      <c r="NDL23" s="15"/>
      <c r="NDR23" s="25"/>
      <c r="NDY23" s="21"/>
      <c r="NDZ23" s="21"/>
      <c r="NED23" s="15"/>
      <c r="NEJ23" s="25"/>
      <c r="NEQ23" s="21"/>
      <c r="NER23" s="21"/>
      <c r="NEV23" s="15"/>
      <c r="NFB23" s="25"/>
      <c r="NFI23" s="21"/>
      <c r="NFJ23" s="21"/>
      <c r="NFN23" s="15"/>
      <c r="NFT23" s="25"/>
      <c r="NGA23" s="21"/>
      <c r="NGB23" s="21"/>
      <c r="NGF23" s="15"/>
      <c r="NGL23" s="25"/>
      <c r="NGS23" s="21"/>
      <c r="NGT23" s="21"/>
      <c r="NGX23" s="15"/>
      <c r="NHD23" s="25"/>
      <c r="NHK23" s="21"/>
      <c r="NHL23" s="21"/>
      <c r="NHP23" s="15"/>
      <c r="NHV23" s="25"/>
      <c r="NIC23" s="21"/>
      <c r="NID23" s="21"/>
      <c r="NIH23" s="15"/>
      <c r="NIN23" s="25"/>
      <c r="NIU23" s="21"/>
      <c r="NIV23" s="21"/>
      <c r="NIZ23" s="15"/>
      <c r="NJF23" s="25"/>
      <c r="NJM23" s="21"/>
      <c r="NJN23" s="21"/>
      <c r="NJR23" s="15"/>
      <c r="NJX23" s="25"/>
      <c r="NKE23" s="21"/>
      <c r="NKF23" s="21"/>
      <c r="NKJ23" s="15"/>
      <c r="NKP23" s="25"/>
      <c r="NKW23" s="21"/>
      <c r="NKX23" s="21"/>
      <c r="NLB23" s="15"/>
      <c r="NLH23" s="25"/>
      <c r="NLO23" s="21"/>
      <c r="NLP23" s="21"/>
      <c r="NLT23" s="15"/>
      <c r="NLZ23" s="25"/>
      <c r="NMG23" s="21"/>
      <c r="NMH23" s="21"/>
      <c r="NML23" s="15"/>
      <c r="NMR23" s="25"/>
      <c r="NMY23" s="21"/>
      <c r="NMZ23" s="21"/>
      <c r="NND23" s="15"/>
      <c r="NNJ23" s="25"/>
      <c r="NNQ23" s="21"/>
      <c r="NNR23" s="21"/>
      <c r="NNV23" s="15"/>
      <c r="NOB23" s="25"/>
      <c r="NOI23" s="21"/>
      <c r="NOJ23" s="21"/>
      <c r="NON23" s="15"/>
      <c r="NOT23" s="25"/>
      <c r="NPA23" s="21"/>
      <c r="NPB23" s="21"/>
      <c r="NPF23" s="15"/>
      <c r="NPL23" s="25"/>
      <c r="NPS23" s="21"/>
      <c r="NPT23" s="21"/>
      <c r="NPX23" s="15"/>
      <c r="NQD23" s="25"/>
      <c r="NQK23" s="21"/>
      <c r="NQL23" s="21"/>
      <c r="NQP23" s="15"/>
      <c r="NQV23" s="25"/>
      <c r="NRC23" s="21"/>
      <c r="NRD23" s="21"/>
      <c r="NRH23" s="15"/>
      <c r="NRN23" s="25"/>
      <c r="NRU23" s="21"/>
      <c r="NRV23" s="21"/>
      <c r="NRZ23" s="15"/>
      <c r="NSF23" s="25"/>
      <c r="NSM23" s="21"/>
      <c r="NSN23" s="21"/>
      <c r="NSR23" s="15"/>
      <c r="NSX23" s="25"/>
      <c r="NTE23" s="21"/>
      <c r="NTF23" s="21"/>
      <c r="NTJ23" s="15"/>
      <c r="NTP23" s="25"/>
      <c r="NTW23" s="21"/>
      <c r="NTX23" s="21"/>
      <c r="NUB23" s="15"/>
      <c r="NUH23" s="25"/>
      <c r="NUO23" s="21"/>
      <c r="NUP23" s="21"/>
      <c r="NUT23" s="15"/>
      <c r="NUZ23" s="25"/>
      <c r="NVG23" s="21"/>
      <c r="NVH23" s="21"/>
      <c r="NVL23" s="15"/>
      <c r="NVR23" s="25"/>
      <c r="NVY23" s="21"/>
      <c r="NVZ23" s="21"/>
      <c r="NWD23" s="15"/>
      <c r="NWJ23" s="25"/>
      <c r="NWQ23" s="21"/>
      <c r="NWR23" s="21"/>
      <c r="NWV23" s="15"/>
      <c r="NXB23" s="25"/>
      <c r="NXI23" s="21"/>
      <c r="NXJ23" s="21"/>
      <c r="NXN23" s="15"/>
      <c r="NXT23" s="25"/>
      <c r="NYA23" s="21"/>
      <c r="NYB23" s="21"/>
      <c r="NYF23" s="15"/>
      <c r="NYL23" s="25"/>
      <c r="NYS23" s="21"/>
      <c r="NYT23" s="21"/>
      <c r="NYX23" s="15"/>
      <c r="NZD23" s="25"/>
      <c r="NZK23" s="21"/>
      <c r="NZL23" s="21"/>
      <c r="NZP23" s="15"/>
      <c r="NZV23" s="25"/>
      <c r="OAC23" s="21"/>
      <c r="OAD23" s="21"/>
      <c r="OAH23" s="15"/>
      <c r="OAN23" s="25"/>
      <c r="OAU23" s="21"/>
      <c r="OAV23" s="21"/>
      <c r="OAZ23" s="15"/>
      <c r="OBF23" s="25"/>
      <c r="OBM23" s="21"/>
      <c r="OBN23" s="21"/>
      <c r="OBR23" s="15"/>
      <c r="OBX23" s="25"/>
      <c r="OCE23" s="21"/>
      <c r="OCF23" s="21"/>
      <c r="OCJ23" s="15"/>
      <c r="OCP23" s="25"/>
      <c r="OCW23" s="21"/>
      <c r="OCX23" s="21"/>
      <c r="ODB23" s="15"/>
      <c r="ODH23" s="25"/>
      <c r="ODO23" s="21"/>
      <c r="ODP23" s="21"/>
      <c r="ODT23" s="15"/>
      <c r="ODZ23" s="25"/>
      <c r="OEG23" s="21"/>
      <c r="OEH23" s="21"/>
      <c r="OEL23" s="15"/>
      <c r="OER23" s="25"/>
      <c r="OEY23" s="21"/>
      <c r="OEZ23" s="21"/>
      <c r="OFD23" s="15"/>
      <c r="OFJ23" s="25"/>
      <c r="OFQ23" s="21"/>
      <c r="OFR23" s="21"/>
      <c r="OFV23" s="15"/>
      <c r="OGB23" s="25"/>
      <c r="OGI23" s="21"/>
      <c r="OGJ23" s="21"/>
      <c r="OGN23" s="15"/>
      <c r="OGT23" s="25"/>
      <c r="OHA23" s="21"/>
      <c r="OHB23" s="21"/>
      <c r="OHF23" s="15"/>
      <c r="OHL23" s="25"/>
      <c r="OHS23" s="21"/>
      <c r="OHT23" s="21"/>
      <c r="OHX23" s="15"/>
      <c r="OID23" s="25"/>
      <c r="OIK23" s="21"/>
      <c r="OIL23" s="21"/>
      <c r="OIP23" s="15"/>
      <c r="OIV23" s="25"/>
      <c r="OJC23" s="21"/>
      <c r="OJD23" s="21"/>
      <c r="OJH23" s="15"/>
      <c r="OJN23" s="25"/>
      <c r="OJU23" s="21"/>
      <c r="OJV23" s="21"/>
      <c r="OJZ23" s="15"/>
      <c r="OKF23" s="25"/>
      <c r="OKM23" s="21"/>
      <c r="OKN23" s="21"/>
      <c r="OKR23" s="15"/>
      <c r="OKX23" s="25"/>
      <c r="OLE23" s="21"/>
      <c r="OLF23" s="21"/>
      <c r="OLJ23" s="15"/>
      <c r="OLP23" s="25"/>
      <c r="OLW23" s="21"/>
      <c r="OLX23" s="21"/>
      <c r="OMB23" s="15"/>
      <c r="OMH23" s="25"/>
      <c r="OMO23" s="21"/>
      <c r="OMP23" s="21"/>
      <c r="OMT23" s="15"/>
      <c r="OMZ23" s="25"/>
      <c r="ONG23" s="21"/>
      <c r="ONH23" s="21"/>
      <c r="ONL23" s="15"/>
      <c r="ONR23" s="25"/>
      <c r="ONY23" s="21"/>
      <c r="ONZ23" s="21"/>
      <c r="OOD23" s="15"/>
      <c r="OOJ23" s="25"/>
      <c r="OOQ23" s="21"/>
      <c r="OOR23" s="21"/>
      <c r="OOV23" s="15"/>
      <c r="OPB23" s="25"/>
      <c r="OPI23" s="21"/>
      <c r="OPJ23" s="21"/>
      <c r="OPN23" s="15"/>
      <c r="OPT23" s="25"/>
      <c r="OQA23" s="21"/>
      <c r="OQB23" s="21"/>
      <c r="OQF23" s="15"/>
      <c r="OQL23" s="25"/>
      <c r="OQS23" s="21"/>
      <c r="OQT23" s="21"/>
      <c r="OQX23" s="15"/>
      <c r="ORD23" s="25"/>
      <c r="ORK23" s="21"/>
      <c r="ORL23" s="21"/>
      <c r="ORP23" s="15"/>
      <c r="ORV23" s="25"/>
      <c r="OSC23" s="21"/>
      <c r="OSD23" s="21"/>
      <c r="OSH23" s="15"/>
      <c r="OSN23" s="25"/>
      <c r="OSU23" s="21"/>
      <c r="OSV23" s="21"/>
      <c r="OSZ23" s="15"/>
      <c r="OTF23" s="25"/>
      <c r="OTM23" s="21"/>
      <c r="OTN23" s="21"/>
      <c r="OTR23" s="15"/>
      <c r="OTX23" s="25"/>
      <c r="OUE23" s="21"/>
      <c r="OUF23" s="21"/>
      <c r="OUJ23" s="15"/>
      <c r="OUP23" s="25"/>
      <c r="OUW23" s="21"/>
      <c r="OUX23" s="21"/>
      <c r="OVB23" s="15"/>
      <c r="OVH23" s="25"/>
      <c r="OVO23" s="21"/>
      <c r="OVP23" s="21"/>
      <c r="OVT23" s="15"/>
      <c r="OVZ23" s="25"/>
      <c r="OWG23" s="21"/>
      <c r="OWH23" s="21"/>
      <c r="OWL23" s="15"/>
      <c r="OWR23" s="25"/>
      <c r="OWY23" s="21"/>
      <c r="OWZ23" s="21"/>
      <c r="OXD23" s="15"/>
      <c r="OXJ23" s="25"/>
      <c r="OXQ23" s="21"/>
      <c r="OXR23" s="21"/>
      <c r="OXV23" s="15"/>
      <c r="OYB23" s="25"/>
      <c r="OYI23" s="21"/>
      <c r="OYJ23" s="21"/>
      <c r="OYN23" s="15"/>
      <c r="OYT23" s="25"/>
      <c r="OZA23" s="21"/>
      <c r="OZB23" s="21"/>
      <c r="OZF23" s="15"/>
      <c r="OZL23" s="25"/>
      <c r="OZS23" s="21"/>
      <c r="OZT23" s="21"/>
      <c r="OZX23" s="15"/>
      <c r="PAD23" s="25"/>
      <c r="PAK23" s="21"/>
      <c r="PAL23" s="21"/>
      <c r="PAP23" s="15"/>
      <c r="PAV23" s="25"/>
      <c r="PBC23" s="21"/>
      <c r="PBD23" s="21"/>
      <c r="PBH23" s="15"/>
      <c r="PBN23" s="25"/>
      <c r="PBU23" s="21"/>
      <c r="PBV23" s="21"/>
      <c r="PBZ23" s="15"/>
      <c r="PCF23" s="25"/>
      <c r="PCM23" s="21"/>
      <c r="PCN23" s="21"/>
      <c r="PCR23" s="15"/>
      <c r="PCX23" s="25"/>
      <c r="PDE23" s="21"/>
      <c r="PDF23" s="21"/>
      <c r="PDJ23" s="15"/>
      <c r="PDP23" s="25"/>
      <c r="PDW23" s="21"/>
      <c r="PDX23" s="21"/>
      <c r="PEB23" s="15"/>
      <c r="PEH23" s="25"/>
      <c r="PEO23" s="21"/>
      <c r="PEP23" s="21"/>
      <c r="PET23" s="15"/>
      <c r="PEZ23" s="25"/>
      <c r="PFG23" s="21"/>
      <c r="PFH23" s="21"/>
      <c r="PFL23" s="15"/>
      <c r="PFR23" s="25"/>
      <c r="PFY23" s="21"/>
      <c r="PFZ23" s="21"/>
      <c r="PGD23" s="15"/>
      <c r="PGJ23" s="25"/>
      <c r="PGQ23" s="21"/>
      <c r="PGR23" s="21"/>
      <c r="PGV23" s="15"/>
      <c r="PHB23" s="25"/>
      <c r="PHI23" s="21"/>
      <c r="PHJ23" s="21"/>
      <c r="PHN23" s="15"/>
      <c r="PHT23" s="25"/>
      <c r="PIA23" s="21"/>
      <c r="PIB23" s="21"/>
      <c r="PIF23" s="15"/>
      <c r="PIL23" s="25"/>
      <c r="PIS23" s="21"/>
      <c r="PIT23" s="21"/>
      <c r="PIX23" s="15"/>
      <c r="PJD23" s="25"/>
      <c r="PJK23" s="21"/>
      <c r="PJL23" s="21"/>
      <c r="PJP23" s="15"/>
      <c r="PJV23" s="25"/>
      <c r="PKC23" s="21"/>
      <c r="PKD23" s="21"/>
      <c r="PKH23" s="15"/>
      <c r="PKN23" s="25"/>
      <c r="PKU23" s="21"/>
      <c r="PKV23" s="21"/>
      <c r="PKZ23" s="15"/>
      <c r="PLF23" s="25"/>
      <c r="PLM23" s="21"/>
      <c r="PLN23" s="21"/>
      <c r="PLR23" s="15"/>
      <c r="PLX23" s="25"/>
      <c r="PME23" s="21"/>
      <c r="PMF23" s="21"/>
      <c r="PMJ23" s="15"/>
      <c r="PMP23" s="25"/>
      <c r="PMW23" s="21"/>
      <c r="PMX23" s="21"/>
      <c r="PNB23" s="15"/>
      <c r="PNH23" s="25"/>
      <c r="PNO23" s="21"/>
      <c r="PNP23" s="21"/>
      <c r="PNT23" s="15"/>
      <c r="PNZ23" s="25"/>
      <c r="POG23" s="21"/>
      <c r="POH23" s="21"/>
      <c r="POL23" s="15"/>
      <c r="POR23" s="25"/>
      <c r="POY23" s="21"/>
      <c r="POZ23" s="21"/>
      <c r="PPD23" s="15"/>
      <c r="PPJ23" s="25"/>
      <c r="PPQ23" s="21"/>
      <c r="PPR23" s="21"/>
      <c r="PPV23" s="15"/>
      <c r="PQB23" s="25"/>
      <c r="PQI23" s="21"/>
      <c r="PQJ23" s="21"/>
      <c r="PQN23" s="15"/>
      <c r="PQT23" s="25"/>
      <c r="PRA23" s="21"/>
      <c r="PRB23" s="21"/>
      <c r="PRF23" s="15"/>
      <c r="PRL23" s="25"/>
      <c r="PRS23" s="21"/>
      <c r="PRT23" s="21"/>
      <c r="PRX23" s="15"/>
      <c r="PSD23" s="25"/>
      <c r="PSK23" s="21"/>
      <c r="PSL23" s="21"/>
      <c r="PSP23" s="15"/>
      <c r="PSV23" s="25"/>
      <c r="PTC23" s="21"/>
      <c r="PTD23" s="21"/>
      <c r="PTH23" s="15"/>
      <c r="PTN23" s="25"/>
      <c r="PTU23" s="21"/>
      <c r="PTV23" s="21"/>
      <c r="PTZ23" s="15"/>
      <c r="PUF23" s="25"/>
      <c r="PUM23" s="21"/>
      <c r="PUN23" s="21"/>
      <c r="PUR23" s="15"/>
      <c r="PUX23" s="25"/>
      <c r="PVE23" s="21"/>
      <c r="PVF23" s="21"/>
      <c r="PVJ23" s="15"/>
      <c r="PVP23" s="25"/>
      <c r="PVW23" s="21"/>
      <c r="PVX23" s="21"/>
      <c r="PWB23" s="15"/>
      <c r="PWH23" s="25"/>
      <c r="PWO23" s="21"/>
      <c r="PWP23" s="21"/>
      <c r="PWT23" s="15"/>
      <c r="PWZ23" s="25"/>
      <c r="PXG23" s="21"/>
      <c r="PXH23" s="21"/>
      <c r="PXL23" s="15"/>
      <c r="PXR23" s="25"/>
      <c r="PXY23" s="21"/>
      <c r="PXZ23" s="21"/>
      <c r="PYD23" s="15"/>
      <c r="PYJ23" s="25"/>
      <c r="PYQ23" s="21"/>
      <c r="PYR23" s="21"/>
      <c r="PYV23" s="15"/>
      <c r="PZB23" s="25"/>
      <c r="PZI23" s="21"/>
      <c r="PZJ23" s="21"/>
      <c r="PZN23" s="15"/>
      <c r="PZT23" s="25"/>
      <c r="QAA23" s="21"/>
      <c r="QAB23" s="21"/>
      <c r="QAF23" s="15"/>
      <c r="QAL23" s="25"/>
      <c r="QAS23" s="21"/>
      <c r="QAT23" s="21"/>
      <c r="QAX23" s="15"/>
      <c r="QBD23" s="25"/>
      <c r="QBK23" s="21"/>
      <c r="QBL23" s="21"/>
      <c r="QBP23" s="15"/>
      <c r="QBV23" s="25"/>
      <c r="QCC23" s="21"/>
      <c r="QCD23" s="21"/>
      <c r="QCH23" s="15"/>
      <c r="QCN23" s="25"/>
      <c r="QCU23" s="21"/>
      <c r="QCV23" s="21"/>
      <c r="QCZ23" s="15"/>
      <c r="QDF23" s="25"/>
      <c r="QDM23" s="21"/>
      <c r="QDN23" s="21"/>
      <c r="QDR23" s="15"/>
      <c r="QDX23" s="25"/>
      <c r="QEE23" s="21"/>
      <c r="QEF23" s="21"/>
      <c r="QEJ23" s="15"/>
      <c r="QEP23" s="25"/>
      <c r="QEW23" s="21"/>
      <c r="QEX23" s="21"/>
      <c r="QFB23" s="15"/>
      <c r="QFH23" s="25"/>
      <c r="QFO23" s="21"/>
      <c r="QFP23" s="21"/>
      <c r="QFT23" s="15"/>
      <c r="QFZ23" s="25"/>
      <c r="QGG23" s="21"/>
      <c r="QGH23" s="21"/>
      <c r="QGL23" s="15"/>
      <c r="QGR23" s="25"/>
      <c r="QGY23" s="21"/>
      <c r="QGZ23" s="21"/>
      <c r="QHD23" s="15"/>
      <c r="QHJ23" s="25"/>
      <c r="QHQ23" s="21"/>
      <c r="QHR23" s="21"/>
      <c r="QHV23" s="15"/>
      <c r="QIB23" s="25"/>
      <c r="QII23" s="21"/>
      <c r="QIJ23" s="21"/>
      <c r="QIN23" s="15"/>
      <c r="QIT23" s="25"/>
      <c r="QJA23" s="21"/>
      <c r="QJB23" s="21"/>
      <c r="QJF23" s="15"/>
      <c r="QJL23" s="25"/>
      <c r="QJS23" s="21"/>
      <c r="QJT23" s="21"/>
      <c r="QJX23" s="15"/>
      <c r="QKD23" s="25"/>
      <c r="QKK23" s="21"/>
      <c r="QKL23" s="21"/>
      <c r="QKP23" s="15"/>
      <c r="QKV23" s="25"/>
      <c r="QLC23" s="21"/>
      <c r="QLD23" s="21"/>
      <c r="QLH23" s="15"/>
      <c r="QLN23" s="25"/>
      <c r="QLU23" s="21"/>
      <c r="QLV23" s="21"/>
      <c r="QLZ23" s="15"/>
      <c r="QMF23" s="25"/>
      <c r="QMM23" s="21"/>
      <c r="QMN23" s="21"/>
      <c r="QMR23" s="15"/>
      <c r="QMX23" s="25"/>
      <c r="QNE23" s="21"/>
      <c r="QNF23" s="21"/>
      <c r="QNJ23" s="15"/>
      <c r="QNP23" s="25"/>
      <c r="QNW23" s="21"/>
      <c r="QNX23" s="21"/>
      <c r="QOB23" s="15"/>
      <c r="QOH23" s="25"/>
      <c r="QOO23" s="21"/>
      <c r="QOP23" s="21"/>
      <c r="QOT23" s="15"/>
      <c r="QOZ23" s="25"/>
      <c r="QPG23" s="21"/>
      <c r="QPH23" s="21"/>
      <c r="QPL23" s="15"/>
      <c r="QPR23" s="25"/>
      <c r="QPY23" s="21"/>
      <c r="QPZ23" s="21"/>
      <c r="QQD23" s="15"/>
      <c r="QQJ23" s="25"/>
      <c r="QQQ23" s="21"/>
      <c r="QQR23" s="21"/>
      <c r="QQV23" s="15"/>
      <c r="QRB23" s="25"/>
      <c r="QRI23" s="21"/>
      <c r="QRJ23" s="21"/>
      <c r="QRN23" s="15"/>
      <c r="QRT23" s="25"/>
      <c r="QSA23" s="21"/>
      <c r="QSB23" s="21"/>
      <c r="QSF23" s="15"/>
      <c r="QSL23" s="25"/>
      <c r="QSS23" s="21"/>
      <c r="QST23" s="21"/>
      <c r="QSX23" s="15"/>
      <c r="QTD23" s="25"/>
      <c r="QTK23" s="21"/>
      <c r="QTL23" s="21"/>
      <c r="QTP23" s="15"/>
      <c r="QTV23" s="25"/>
      <c r="QUC23" s="21"/>
      <c r="QUD23" s="21"/>
      <c r="QUH23" s="15"/>
      <c r="QUN23" s="25"/>
      <c r="QUU23" s="21"/>
      <c r="QUV23" s="21"/>
      <c r="QUZ23" s="15"/>
      <c r="QVF23" s="25"/>
      <c r="QVM23" s="21"/>
      <c r="QVN23" s="21"/>
      <c r="QVR23" s="15"/>
      <c r="QVX23" s="25"/>
      <c r="QWE23" s="21"/>
      <c r="QWF23" s="21"/>
      <c r="QWJ23" s="15"/>
      <c r="QWP23" s="25"/>
      <c r="QWW23" s="21"/>
      <c r="QWX23" s="21"/>
      <c r="QXB23" s="15"/>
      <c r="QXH23" s="25"/>
      <c r="QXO23" s="21"/>
      <c r="QXP23" s="21"/>
      <c r="QXT23" s="15"/>
      <c r="QXZ23" s="25"/>
      <c r="QYG23" s="21"/>
      <c r="QYH23" s="21"/>
      <c r="QYL23" s="15"/>
      <c r="QYR23" s="25"/>
      <c r="QYY23" s="21"/>
      <c r="QYZ23" s="21"/>
      <c r="QZD23" s="15"/>
      <c r="QZJ23" s="25"/>
      <c r="QZQ23" s="21"/>
      <c r="QZR23" s="21"/>
      <c r="QZV23" s="15"/>
      <c r="RAB23" s="25"/>
      <c r="RAI23" s="21"/>
      <c r="RAJ23" s="21"/>
      <c r="RAN23" s="15"/>
      <c r="RAT23" s="25"/>
      <c r="RBA23" s="21"/>
      <c r="RBB23" s="21"/>
      <c r="RBF23" s="15"/>
      <c r="RBL23" s="25"/>
      <c r="RBS23" s="21"/>
      <c r="RBT23" s="21"/>
      <c r="RBX23" s="15"/>
      <c r="RCD23" s="25"/>
      <c r="RCK23" s="21"/>
      <c r="RCL23" s="21"/>
      <c r="RCP23" s="15"/>
      <c r="RCV23" s="25"/>
      <c r="RDC23" s="21"/>
      <c r="RDD23" s="21"/>
      <c r="RDH23" s="15"/>
      <c r="RDN23" s="25"/>
      <c r="RDU23" s="21"/>
      <c r="RDV23" s="21"/>
      <c r="RDZ23" s="15"/>
      <c r="REF23" s="25"/>
      <c r="REM23" s="21"/>
      <c r="REN23" s="21"/>
      <c r="RER23" s="15"/>
      <c r="REX23" s="25"/>
      <c r="RFE23" s="21"/>
      <c r="RFF23" s="21"/>
      <c r="RFJ23" s="15"/>
      <c r="RFP23" s="25"/>
      <c r="RFW23" s="21"/>
      <c r="RFX23" s="21"/>
      <c r="RGB23" s="15"/>
      <c r="RGH23" s="25"/>
      <c r="RGO23" s="21"/>
      <c r="RGP23" s="21"/>
      <c r="RGT23" s="15"/>
      <c r="RGZ23" s="25"/>
      <c r="RHG23" s="21"/>
      <c r="RHH23" s="21"/>
      <c r="RHL23" s="15"/>
      <c r="RHR23" s="25"/>
      <c r="RHY23" s="21"/>
      <c r="RHZ23" s="21"/>
      <c r="RID23" s="15"/>
      <c r="RIJ23" s="25"/>
      <c r="RIQ23" s="21"/>
      <c r="RIR23" s="21"/>
      <c r="RIV23" s="15"/>
      <c r="RJB23" s="25"/>
      <c r="RJI23" s="21"/>
      <c r="RJJ23" s="21"/>
      <c r="RJN23" s="15"/>
      <c r="RJT23" s="25"/>
      <c r="RKA23" s="21"/>
      <c r="RKB23" s="21"/>
      <c r="RKF23" s="15"/>
      <c r="RKL23" s="25"/>
      <c r="RKS23" s="21"/>
      <c r="RKT23" s="21"/>
      <c r="RKX23" s="15"/>
      <c r="RLD23" s="25"/>
      <c r="RLK23" s="21"/>
      <c r="RLL23" s="21"/>
      <c r="RLP23" s="15"/>
      <c r="RLV23" s="25"/>
      <c r="RMC23" s="21"/>
      <c r="RMD23" s="21"/>
      <c r="RMH23" s="15"/>
      <c r="RMN23" s="25"/>
      <c r="RMU23" s="21"/>
      <c r="RMV23" s="21"/>
      <c r="RMZ23" s="15"/>
      <c r="RNF23" s="25"/>
      <c r="RNM23" s="21"/>
      <c r="RNN23" s="21"/>
      <c r="RNR23" s="15"/>
      <c r="RNX23" s="25"/>
      <c r="ROE23" s="21"/>
      <c r="ROF23" s="21"/>
      <c r="ROJ23" s="15"/>
      <c r="ROP23" s="25"/>
      <c r="ROW23" s="21"/>
      <c r="ROX23" s="21"/>
      <c r="RPB23" s="15"/>
      <c r="RPH23" s="25"/>
      <c r="RPO23" s="21"/>
      <c r="RPP23" s="21"/>
      <c r="RPT23" s="15"/>
      <c r="RPZ23" s="25"/>
      <c r="RQG23" s="21"/>
      <c r="RQH23" s="21"/>
      <c r="RQL23" s="15"/>
      <c r="RQR23" s="25"/>
      <c r="RQY23" s="21"/>
      <c r="RQZ23" s="21"/>
      <c r="RRD23" s="15"/>
      <c r="RRJ23" s="25"/>
      <c r="RRQ23" s="21"/>
      <c r="RRR23" s="21"/>
      <c r="RRV23" s="15"/>
      <c r="RSB23" s="25"/>
      <c r="RSI23" s="21"/>
      <c r="RSJ23" s="21"/>
      <c r="RSN23" s="15"/>
      <c r="RST23" s="25"/>
      <c r="RTA23" s="21"/>
      <c r="RTB23" s="21"/>
      <c r="RTF23" s="15"/>
      <c r="RTL23" s="25"/>
      <c r="RTS23" s="21"/>
      <c r="RTT23" s="21"/>
      <c r="RTX23" s="15"/>
      <c r="RUD23" s="25"/>
      <c r="RUK23" s="21"/>
      <c r="RUL23" s="21"/>
      <c r="RUP23" s="15"/>
      <c r="RUV23" s="25"/>
      <c r="RVC23" s="21"/>
      <c r="RVD23" s="21"/>
      <c r="RVH23" s="15"/>
      <c r="RVN23" s="25"/>
      <c r="RVU23" s="21"/>
      <c r="RVV23" s="21"/>
      <c r="RVZ23" s="15"/>
      <c r="RWF23" s="25"/>
      <c r="RWM23" s="21"/>
      <c r="RWN23" s="21"/>
      <c r="RWR23" s="15"/>
      <c r="RWX23" s="25"/>
      <c r="RXE23" s="21"/>
      <c r="RXF23" s="21"/>
      <c r="RXJ23" s="15"/>
      <c r="RXP23" s="25"/>
      <c r="RXW23" s="21"/>
      <c r="RXX23" s="21"/>
      <c r="RYB23" s="15"/>
      <c r="RYH23" s="25"/>
      <c r="RYO23" s="21"/>
      <c r="RYP23" s="21"/>
      <c r="RYT23" s="15"/>
      <c r="RYZ23" s="25"/>
      <c r="RZG23" s="21"/>
      <c r="RZH23" s="21"/>
      <c r="RZL23" s="15"/>
      <c r="RZR23" s="25"/>
      <c r="RZY23" s="21"/>
      <c r="RZZ23" s="21"/>
      <c r="SAD23" s="15"/>
      <c r="SAJ23" s="25"/>
      <c r="SAQ23" s="21"/>
      <c r="SAR23" s="21"/>
      <c r="SAV23" s="15"/>
      <c r="SBB23" s="25"/>
      <c r="SBI23" s="21"/>
      <c r="SBJ23" s="21"/>
      <c r="SBN23" s="15"/>
      <c r="SBT23" s="25"/>
      <c r="SCA23" s="21"/>
      <c r="SCB23" s="21"/>
      <c r="SCF23" s="15"/>
      <c r="SCL23" s="25"/>
      <c r="SCS23" s="21"/>
      <c r="SCT23" s="21"/>
      <c r="SCX23" s="15"/>
      <c r="SDD23" s="25"/>
      <c r="SDK23" s="21"/>
      <c r="SDL23" s="21"/>
      <c r="SDP23" s="15"/>
      <c r="SDV23" s="25"/>
      <c r="SEC23" s="21"/>
      <c r="SED23" s="21"/>
      <c r="SEH23" s="15"/>
      <c r="SEN23" s="25"/>
      <c r="SEU23" s="21"/>
      <c r="SEV23" s="21"/>
      <c r="SEZ23" s="15"/>
      <c r="SFF23" s="25"/>
      <c r="SFM23" s="21"/>
      <c r="SFN23" s="21"/>
      <c r="SFR23" s="15"/>
      <c r="SFX23" s="25"/>
      <c r="SGE23" s="21"/>
      <c r="SGF23" s="21"/>
      <c r="SGJ23" s="15"/>
      <c r="SGP23" s="25"/>
      <c r="SGW23" s="21"/>
      <c r="SGX23" s="21"/>
      <c r="SHB23" s="15"/>
      <c r="SHH23" s="25"/>
      <c r="SHO23" s="21"/>
      <c r="SHP23" s="21"/>
      <c r="SHT23" s="15"/>
      <c r="SHZ23" s="25"/>
      <c r="SIG23" s="21"/>
      <c r="SIH23" s="21"/>
      <c r="SIL23" s="15"/>
      <c r="SIR23" s="25"/>
      <c r="SIY23" s="21"/>
      <c r="SIZ23" s="21"/>
      <c r="SJD23" s="15"/>
      <c r="SJJ23" s="25"/>
      <c r="SJQ23" s="21"/>
      <c r="SJR23" s="21"/>
      <c r="SJV23" s="15"/>
      <c r="SKB23" s="25"/>
      <c r="SKI23" s="21"/>
      <c r="SKJ23" s="21"/>
      <c r="SKN23" s="15"/>
      <c r="SKT23" s="25"/>
      <c r="SLA23" s="21"/>
      <c r="SLB23" s="21"/>
      <c r="SLF23" s="15"/>
      <c r="SLL23" s="25"/>
      <c r="SLS23" s="21"/>
      <c r="SLT23" s="21"/>
      <c r="SLX23" s="15"/>
      <c r="SMD23" s="25"/>
      <c r="SMK23" s="21"/>
      <c r="SML23" s="21"/>
      <c r="SMP23" s="15"/>
      <c r="SMV23" s="25"/>
      <c r="SNC23" s="21"/>
      <c r="SND23" s="21"/>
      <c r="SNH23" s="15"/>
      <c r="SNN23" s="25"/>
      <c r="SNU23" s="21"/>
      <c r="SNV23" s="21"/>
      <c r="SNZ23" s="15"/>
      <c r="SOF23" s="25"/>
      <c r="SOM23" s="21"/>
      <c r="SON23" s="21"/>
      <c r="SOR23" s="15"/>
      <c r="SOX23" s="25"/>
      <c r="SPE23" s="21"/>
      <c r="SPF23" s="21"/>
      <c r="SPJ23" s="15"/>
      <c r="SPP23" s="25"/>
      <c r="SPW23" s="21"/>
      <c r="SPX23" s="21"/>
      <c r="SQB23" s="15"/>
      <c r="SQH23" s="25"/>
      <c r="SQO23" s="21"/>
      <c r="SQP23" s="21"/>
      <c r="SQT23" s="15"/>
      <c r="SQZ23" s="25"/>
      <c r="SRG23" s="21"/>
      <c r="SRH23" s="21"/>
      <c r="SRL23" s="15"/>
      <c r="SRR23" s="25"/>
      <c r="SRY23" s="21"/>
      <c r="SRZ23" s="21"/>
      <c r="SSD23" s="15"/>
      <c r="SSJ23" s="25"/>
      <c r="SSQ23" s="21"/>
      <c r="SSR23" s="21"/>
      <c r="SSV23" s="15"/>
      <c r="STB23" s="25"/>
      <c r="STI23" s="21"/>
      <c r="STJ23" s="21"/>
      <c r="STN23" s="15"/>
      <c r="STT23" s="25"/>
      <c r="SUA23" s="21"/>
      <c r="SUB23" s="21"/>
      <c r="SUF23" s="15"/>
      <c r="SUL23" s="25"/>
      <c r="SUS23" s="21"/>
      <c r="SUT23" s="21"/>
      <c r="SUX23" s="15"/>
      <c r="SVD23" s="25"/>
      <c r="SVK23" s="21"/>
      <c r="SVL23" s="21"/>
      <c r="SVP23" s="15"/>
      <c r="SVV23" s="25"/>
      <c r="SWC23" s="21"/>
      <c r="SWD23" s="21"/>
      <c r="SWH23" s="15"/>
      <c r="SWN23" s="25"/>
      <c r="SWU23" s="21"/>
      <c r="SWV23" s="21"/>
      <c r="SWZ23" s="15"/>
      <c r="SXF23" s="25"/>
      <c r="SXM23" s="21"/>
      <c r="SXN23" s="21"/>
      <c r="SXR23" s="15"/>
      <c r="SXX23" s="25"/>
      <c r="SYE23" s="21"/>
      <c r="SYF23" s="21"/>
      <c r="SYJ23" s="15"/>
      <c r="SYP23" s="25"/>
      <c r="SYW23" s="21"/>
      <c r="SYX23" s="21"/>
      <c r="SZB23" s="15"/>
      <c r="SZH23" s="25"/>
      <c r="SZO23" s="21"/>
      <c r="SZP23" s="21"/>
      <c r="SZT23" s="15"/>
      <c r="SZZ23" s="25"/>
      <c r="TAG23" s="21"/>
      <c r="TAH23" s="21"/>
      <c r="TAL23" s="15"/>
      <c r="TAR23" s="25"/>
      <c r="TAY23" s="21"/>
      <c r="TAZ23" s="21"/>
      <c r="TBD23" s="15"/>
      <c r="TBJ23" s="25"/>
      <c r="TBQ23" s="21"/>
      <c r="TBR23" s="21"/>
      <c r="TBV23" s="15"/>
      <c r="TCB23" s="25"/>
      <c r="TCI23" s="21"/>
      <c r="TCJ23" s="21"/>
      <c r="TCN23" s="15"/>
      <c r="TCT23" s="25"/>
      <c r="TDA23" s="21"/>
      <c r="TDB23" s="21"/>
      <c r="TDF23" s="15"/>
      <c r="TDL23" s="25"/>
      <c r="TDS23" s="21"/>
      <c r="TDT23" s="21"/>
      <c r="TDX23" s="15"/>
      <c r="TED23" s="25"/>
      <c r="TEK23" s="21"/>
      <c r="TEL23" s="21"/>
      <c r="TEP23" s="15"/>
      <c r="TEV23" s="25"/>
      <c r="TFC23" s="21"/>
      <c r="TFD23" s="21"/>
      <c r="TFH23" s="15"/>
      <c r="TFN23" s="25"/>
      <c r="TFU23" s="21"/>
      <c r="TFV23" s="21"/>
      <c r="TFZ23" s="15"/>
      <c r="TGF23" s="25"/>
      <c r="TGM23" s="21"/>
      <c r="TGN23" s="21"/>
      <c r="TGR23" s="15"/>
      <c r="TGX23" s="25"/>
      <c r="THE23" s="21"/>
      <c r="THF23" s="21"/>
      <c r="THJ23" s="15"/>
      <c r="THP23" s="25"/>
      <c r="THW23" s="21"/>
      <c r="THX23" s="21"/>
      <c r="TIB23" s="15"/>
      <c r="TIH23" s="25"/>
      <c r="TIO23" s="21"/>
      <c r="TIP23" s="21"/>
      <c r="TIT23" s="15"/>
      <c r="TIZ23" s="25"/>
      <c r="TJG23" s="21"/>
      <c r="TJH23" s="21"/>
      <c r="TJL23" s="15"/>
      <c r="TJR23" s="25"/>
      <c r="TJY23" s="21"/>
      <c r="TJZ23" s="21"/>
      <c r="TKD23" s="15"/>
      <c r="TKJ23" s="25"/>
      <c r="TKQ23" s="21"/>
      <c r="TKR23" s="21"/>
      <c r="TKV23" s="15"/>
      <c r="TLB23" s="25"/>
      <c r="TLI23" s="21"/>
      <c r="TLJ23" s="21"/>
      <c r="TLN23" s="15"/>
      <c r="TLT23" s="25"/>
      <c r="TMA23" s="21"/>
      <c r="TMB23" s="21"/>
      <c r="TMF23" s="15"/>
      <c r="TML23" s="25"/>
      <c r="TMS23" s="21"/>
      <c r="TMT23" s="21"/>
      <c r="TMX23" s="15"/>
      <c r="TND23" s="25"/>
      <c r="TNK23" s="21"/>
      <c r="TNL23" s="21"/>
      <c r="TNP23" s="15"/>
      <c r="TNV23" s="25"/>
      <c r="TOC23" s="21"/>
      <c r="TOD23" s="21"/>
      <c r="TOH23" s="15"/>
      <c r="TON23" s="25"/>
      <c r="TOU23" s="21"/>
      <c r="TOV23" s="21"/>
      <c r="TOZ23" s="15"/>
      <c r="TPF23" s="25"/>
      <c r="TPM23" s="21"/>
      <c r="TPN23" s="21"/>
      <c r="TPR23" s="15"/>
      <c r="TPX23" s="25"/>
      <c r="TQE23" s="21"/>
      <c r="TQF23" s="21"/>
      <c r="TQJ23" s="15"/>
      <c r="TQP23" s="25"/>
      <c r="TQW23" s="21"/>
      <c r="TQX23" s="21"/>
      <c r="TRB23" s="15"/>
      <c r="TRH23" s="25"/>
      <c r="TRO23" s="21"/>
      <c r="TRP23" s="21"/>
      <c r="TRT23" s="15"/>
      <c r="TRZ23" s="25"/>
      <c r="TSG23" s="21"/>
      <c r="TSH23" s="21"/>
      <c r="TSL23" s="15"/>
      <c r="TSR23" s="25"/>
      <c r="TSY23" s="21"/>
      <c r="TSZ23" s="21"/>
      <c r="TTD23" s="15"/>
      <c r="TTJ23" s="25"/>
      <c r="TTQ23" s="21"/>
      <c r="TTR23" s="21"/>
      <c r="TTV23" s="15"/>
      <c r="TUB23" s="25"/>
      <c r="TUI23" s="21"/>
      <c r="TUJ23" s="21"/>
      <c r="TUN23" s="15"/>
      <c r="TUT23" s="25"/>
      <c r="TVA23" s="21"/>
      <c r="TVB23" s="21"/>
      <c r="TVF23" s="15"/>
      <c r="TVL23" s="25"/>
      <c r="TVS23" s="21"/>
      <c r="TVT23" s="21"/>
      <c r="TVX23" s="15"/>
      <c r="TWD23" s="25"/>
      <c r="TWK23" s="21"/>
      <c r="TWL23" s="21"/>
      <c r="TWP23" s="15"/>
      <c r="TWV23" s="25"/>
      <c r="TXC23" s="21"/>
      <c r="TXD23" s="21"/>
      <c r="TXH23" s="15"/>
      <c r="TXN23" s="25"/>
      <c r="TXU23" s="21"/>
      <c r="TXV23" s="21"/>
      <c r="TXZ23" s="15"/>
      <c r="TYF23" s="25"/>
      <c r="TYM23" s="21"/>
      <c r="TYN23" s="21"/>
      <c r="TYR23" s="15"/>
      <c r="TYX23" s="25"/>
      <c r="TZE23" s="21"/>
      <c r="TZF23" s="21"/>
      <c r="TZJ23" s="15"/>
      <c r="TZP23" s="25"/>
      <c r="TZW23" s="21"/>
      <c r="TZX23" s="21"/>
      <c r="UAB23" s="15"/>
      <c r="UAH23" s="25"/>
      <c r="UAO23" s="21"/>
      <c r="UAP23" s="21"/>
      <c r="UAT23" s="15"/>
      <c r="UAZ23" s="25"/>
      <c r="UBG23" s="21"/>
      <c r="UBH23" s="21"/>
      <c r="UBL23" s="15"/>
      <c r="UBR23" s="25"/>
      <c r="UBY23" s="21"/>
      <c r="UBZ23" s="21"/>
      <c r="UCD23" s="15"/>
      <c r="UCJ23" s="25"/>
      <c r="UCQ23" s="21"/>
      <c r="UCR23" s="21"/>
      <c r="UCV23" s="15"/>
      <c r="UDB23" s="25"/>
      <c r="UDI23" s="21"/>
      <c r="UDJ23" s="21"/>
      <c r="UDN23" s="15"/>
      <c r="UDT23" s="25"/>
      <c r="UEA23" s="21"/>
      <c r="UEB23" s="21"/>
      <c r="UEF23" s="15"/>
      <c r="UEL23" s="25"/>
      <c r="UES23" s="21"/>
      <c r="UET23" s="21"/>
      <c r="UEX23" s="15"/>
      <c r="UFD23" s="25"/>
      <c r="UFK23" s="21"/>
      <c r="UFL23" s="21"/>
      <c r="UFP23" s="15"/>
      <c r="UFV23" s="25"/>
      <c r="UGC23" s="21"/>
      <c r="UGD23" s="21"/>
      <c r="UGH23" s="15"/>
      <c r="UGN23" s="25"/>
      <c r="UGU23" s="21"/>
      <c r="UGV23" s="21"/>
      <c r="UGZ23" s="15"/>
      <c r="UHF23" s="25"/>
      <c r="UHM23" s="21"/>
      <c r="UHN23" s="21"/>
      <c r="UHR23" s="15"/>
      <c r="UHX23" s="25"/>
      <c r="UIE23" s="21"/>
      <c r="UIF23" s="21"/>
      <c r="UIJ23" s="15"/>
      <c r="UIP23" s="25"/>
      <c r="UIW23" s="21"/>
      <c r="UIX23" s="21"/>
      <c r="UJB23" s="15"/>
      <c r="UJH23" s="25"/>
      <c r="UJO23" s="21"/>
      <c r="UJP23" s="21"/>
      <c r="UJT23" s="15"/>
      <c r="UJZ23" s="25"/>
      <c r="UKG23" s="21"/>
      <c r="UKH23" s="21"/>
      <c r="UKL23" s="15"/>
      <c r="UKR23" s="25"/>
      <c r="UKY23" s="21"/>
      <c r="UKZ23" s="21"/>
      <c r="ULD23" s="15"/>
      <c r="ULJ23" s="25"/>
      <c r="ULQ23" s="21"/>
      <c r="ULR23" s="21"/>
      <c r="ULV23" s="15"/>
      <c r="UMB23" s="25"/>
      <c r="UMI23" s="21"/>
      <c r="UMJ23" s="21"/>
      <c r="UMN23" s="15"/>
      <c r="UMT23" s="25"/>
      <c r="UNA23" s="21"/>
      <c r="UNB23" s="21"/>
      <c r="UNF23" s="15"/>
      <c r="UNL23" s="25"/>
      <c r="UNS23" s="21"/>
      <c r="UNT23" s="21"/>
      <c r="UNX23" s="15"/>
      <c r="UOD23" s="25"/>
      <c r="UOK23" s="21"/>
      <c r="UOL23" s="21"/>
      <c r="UOP23" s="15"/>
      <c r="UOV23" s="25"/>
      <c r="UPC23" s="21"/>
      <c r="UPD23" s="21"/>
      <c r="UPH23" s="15"/>
      <c r="UPN23" s="25"/>
      <c r="UPU23" s="21"/>
      <c r="UPV23" s="21"/>
      <c r="UPZ23" s="15"/>
      <c r="UQF23" s="25"/>
      <c r="UQM23" s="21"/>
      <c r="UQN23" s="21"/>
      <c r="UQR23" s="15"/>
      <c r="UQX23" s="25"/>
      <c r="URE23" s="21"/>
      <c r="URF23" s="21"/>
      <c r="URJ23" s="15"/>
      <c r="URP23" s="25"/>
      <c r="URW23" s="21"/>
      <c r="URX23" s="21"/>
      <c r="USB23" s="15"/>
      <c r="USH23" s="25"/>
      <c r="USO23" s="21"/>
      <c r="USP23" s="21"/>
      <c r="UST23" s="15"/>
      <c r="USZ23" s="25"/>
      <c r="UTG23" s="21"/>
      <c r="UTH23" s="21"/>
      <c r="UTL23" s="15"/>
      <c r="UTR23" s="25"/>
      <c r="UTY23" s="21"/>
      <c r="UTZ23" s="21"/>
      <c r="UUD23" s="15"/>
      <c r="UUJ23" s="25"/>
      <c r="UUQ23" s="21"/>
      <c r="UUR23" s="21"/>
      <c r="UUV23" s="15"/>
      <c r="UVB23" s="25"/>
      <c r="UVI23" s="21"/>
      <c r="UVJ23" s="21"/>
      <c r="UVN23" s="15"/>
      <c r="UVT23" s="25"/>
      <c r="UWA23" s="21"/>
      <c r="UWB23" s="21"/>
      <c r="UWF23" s="15"/>
      <c r="UWL23" s="25"/>
      <c r="UWS23" s="21"/>
      <c r="UWT23" s="21"/>
      <c r="UWX23" s="15"/>
      <c r="UXD23" s="25"/>
      <c r="UXK23" s="21"/>
      <c r="UXL23" s="21"/>
      <c r="UXP23" s="15"/>
      <c r="UXV23" s="25"/>
      <c r="UYC23" s="21"/>
      <c r="UYD23" s="21"/>
      <c r="UYH23" s="15"/>
      <c r="UYN23" s="25"/>
      <c r="UYU23" s="21"/>
      <c r="UYV23" s="21"/>
      <c r="UYZ23" s="15"/>
      <c r="UZF23" s="25"/>
      <c r="UZM23" s="21"/>
      <c r="UZN23" s="21"/>
      <c r="UZR23" s="15"/>
      <c r="UZX23" s="25"/>
      <c r="VAE23" s="21"/>
      <c r="VAF23" s="21"/>
      <c r="VAJ23" s="15"/>
      <c r="VAP23" s="25"/>
      <c r="VAW23" s="21"/>
      <c r="VAX23" s="21"/>
      <c r="VBB23" s="15"/>
      <c r="VBH23" s="25"/>
      <c r="VBO23" s="21"/>
      <c r="VBP23" s="21"/>
      <c r="VBT23" s="15"/>
      <c r="VBZ23" s="25"/>
      <c r="VCG23" s="21"/>
      <c r="VCH23" s="21"/>
      <c r="VCL23" s="15"/>
      <c r="VCR23" s="25"/>
      <c r="VCY23" s="21"/>
      <c r="VCZ23" s="21"/>
      <c r="VDD23" s="15"/>
      <c r="VDJ23" s="25"/>
      <c r="VDQ23" s="21"/>
      <c r="VDR23" s="21"/>
      <c r="VDV23" s="15"/>
      <c r="VEB23" s="25"/>
      <c r="VEI23" s="21"/>
      <c r="VEJ23" s="21"/>
      <c r="VEN23" s="15"/>
      <c r="VET23" s="25"/>
      <c r="VFA23" s="21"/>
      <c r="VFB23" s="21"/>
      <c r="VFF23" s="15"/>
      <c r="VFL23" s="25"/>
      <c r="VFS23" s="21"/>
      <c r="VFT23" s="21"/>
      <c r="VFX23" s="15"/>
      <c r="VGD23" s="25"/>
      <c r="VGK23" s="21"/>
      <c r="VGL23" s="21"/>
      <c r="VGP23" s="15"/>
      <c r="VGV23" s="25"/>
      <c r="VHC23" s="21"/>
      <c r="VHD23" s="21"/>
      <c r="VHH23" s="15"/>
      <c r="VHN23" s="25"/>
      <c r="VHU23" s="21"/>
      <c r="VHV23" s="21"/>
      <c r="VHZ23" s="15"/>
      <c r="VIF23" s="25"/>
      <c r="VIM23" s="21"/>
      <c r="VIN23" s="21"/>
      <c r="VIR23" s="15"/>
      <c r="VIX23" s="25"/>
      <c r="VJE23" s="21"/>
      <c r="VJF23" s="21"/>
      <c r="VJJ23" s="15"/>
      <c r="VJP23" s="25"/>
      <c r="VJW23" s="21"/>
      <c r="VJX23" s="21"/>
      <c r="VKB23" s="15"/>
      <c r="VKH23" s="25"/>
      <c r="VKO23" s="21"/>
      <c r="VKP23" s="21"/>
      <c r="VKT23" s="15"/>
      <c r="VKZ23" s="25"/>
      <c r="VLG23" s="21"/>
      <c r="VLH23" s="21"/>
      <c r="VLL23" s="15"/>
      <c r="VLR23" s="25"/>
      <c r="VLY23" s="21"/>
      <c r="VLZ23" s="21"/>
      <c r="VMD23" s="15"/>
      <c r="VMJ23" s="25"/>
      <c r="VMQ23" s="21"/>
      <c r="VMR23" s="21"/>
      <c r="VMV23" s="15"/>
      <c r="VNB23" s="25"/>
      <c r="VNI23" s="21"/>
      <c r="VNJ23" s="21"/>
      <c r="VNN23" s="15"/>
      <c r="VNT23" s="25"/>
      <c r="VOA23" s="21"/>
      <c r="VOB23" s="21"/>
      <c r="VOF23" s="15"/>
      <c r="VOL23" s="25"/>
      <c r="VOS23" s="21"/>
      <c r="VOT23" s="21"/>
      <c r="VOX23" s="15"/>
      <c r="VPD23" s="25"/>
      <c r="VPK23" s="21"/>
      <c r="VPL23" s="21"/>
      <c r="VPP23" s="15"/>
      <c r="VPV23" s="25"/>
      <c r="VQC23" s="21"/>
      <c r="VQD23" s="21"/>
      <c r="VQH23" s="15"/>
      <c r="VQN23" s="25"/>
      <c r="VQU23" s="21"/>
      <c r="VQV23" s="21"/>
      <c r="VQZ23" s="15"/>
      <c r="VRF23" s="25"/>
      <c r="VRM23" s="21"/>
      <c r="VRN23" s="21"/>
      <c r="VRR23" s="15"/>
      <c r="VRX23" s="25"/>
      <c r="VSE23" s="21"/>
      <c r="VSF23" s="21"/>
      <c r="VSJ23" s="15"/>
      <c r="VSP23" s="25"/>
      <c r="VSW23" s="21"/>
      <c r="VSX23" s="21"/>
      <c r="VTB23" s="15"/>
      <c r="VTH23" s="25"/>
      <c r="VTO23" s="21"/>
      <c r="VTP23" s="21"/>
      <c r="VTT23" s="15"/>
      <c r="VTZ23" s="25"/>
      <c r="VUG23" s="21"/>
      <c r="VUH23" s="21"/>
      <c r="VUL23" s="15"/>
      <c r="VUR23" s="25"/>
      <c r="VUY23" s="21"/>
      <c r="VUZ23" s="21"/>
      <c r="VVD23" s="15"/>
      <c r="VVJ23" s="25"/>
      <c r="VVQ23" s="21"/>
      <c r="VVR23" s="21"/>
      <c r="VVV23" s="15"/>
      <c r="VWB23" s="25"/>
      <c r="VWI23" s="21"/>
      <c r="VWJ23" s="21"/>
      <c r="VWN23" s="15"/>
      <c r="VWT23" s="25"/>
      <c r="VXA23" s="21"/>
      <c r="VXB23" s="21"/>
      <c r="VXF23" s="15"/>
      <c r="VXL23" s="25"/>
      <c r="VXS23" s="21"/>
      <c r="VXT23" s="21"/>
      <c r="VXX23" s="15"/>
      <c r="VYD23" s="25"/>
      <c r="VYK23" s="21"/>
      <c r="VYL23" s="21"/>
      <c r="VYP23" s="15"/>
      <c r="VYV23" s="25"/>
      <c r="VZC23" s="21"/>
      <c r="VZD23" s="21"/>
      <c r="VZH23" s="15"/>
      <c r="VZN23" s="25"/>
      <c r="VZU23" s="21"/>
      <c r="VZV23" s="21"/>
      <c r="VZZ23" s="15"/>
      <c r="WAF23" s="25"/>
      <c r="WAM23" s="21"/>
      <c r="WAN23" s="21"/>
      <c r="WAR23" s="15"/>
      <c r="WAX23" s="25"/>
      <c r="WBE23" s="21"/>
      <c r="WBF23" s="21"/>
      <c r="WBJ23" s="15"/>
      <c r="WBP23" s="25"/>
      <c r="WBW23" s="21"/>
      <c r="WBX23" s="21"/>
      <c r="WCB23" s="15"/>
      <c r="WCH23" s="25"/>
      <c r="WCO23" s="21"/>
      <c r="WCP23" s="21"/>
      <c r="WCT23" s="15"/>
      <c r="WCZ23" s="25"/>
      <c r="WDG23" s="21"/>
      <c r="WDH23" s="21"/>
      <c r="WDL23" s="15"/>
      <c r="WDR23" s="25"/>
      <c r="WDY23" s="21"/>
      <c r="WDZ23" s="21"/>
      <c r="WED23" s="15"/>
      <c r="WEJ23" s="25"/>
      <c r="WEQ23" s="21"/>
      <c r="WER23" s="21"/>
      <c r="WEV23" s="15"/>
      <c r="WFB23" s="25"/>
      <c r="WFI23" s="21"/>
      <c r="WFJ23" s="21"/>
      <c r="WFN23" s="15"/>
      <c r="WFT23" s="25"/>
      <c r="WGA23" s="21"/>
      <c r="WGB23" s="21"/>
      <c r="WGF23" s="15"/>
      <c r="WGL23" s="25"/>
      <c r="WGS23" s="21"/>
      <c r="WGT23" s="21"/>
      <c r="WGX23" s="15"/>
      <c r="WHD23" s="25"/>
      <c r="WHK23" s="21"/>
      <c r="WHL23" s="21"/>
      <c r="WHP23" s="15"/>
      <c r="WHV23" s="25"/>
      <c r="WIC23" s="21"/>
      <c r="WID23" s="21"/>
      <c r="WIH23" s="15"/>
      <c r="WIN23" s="25"/>
      <c r="WIU23" s="21"/>
      <c r="WIV23" s="21"/>
      <c r="WIZ23" s="15"/>
      <c r="WJF23" s="25"/>
      <c r="WJM23" s="21"/>
      <c r="WJN23" s="21"/>
      <c r="WJR23" s="15"/>
      <c r="WJX23" s="25"/>
      <c r="WKE23" s="21"/>
      <c r="WKF23" s="21"/>
      <c r="WKJ23" s="15"/>
      <c r="WKP23" s="25"/>
      <c r="WKW23" s="21"/>
      <c r="WKX23" s="21"/>
      <c r="WLB23" s="15"/>
      <c r="WLH23" s="25"/>
      <c r="WLO23" s="21"/>
      <c r="WLP23" s="21"/>
      <c r="WLT23" s="15"/>
      <c r="WLZ23" s="25"/>
      <c r="WMG23" s="21"/>
      <c r="WMH23" s="21"/>
      <c r="WML23" s="15"/>
      <c r="WMR23" s="25"/>
      <c r="WMY23" s="21"/>
      <c r="WMZ23" s="21"/>
      <c r="WND23" s="15"/>
      <c r="WNJ23" s="25"/>
      <c r="WNQ23" s="21"/>
      <c r="WNR23" s="21"/>
      <c r="WNV23" s="15"/>
      <c r="WOB23" s="25"/>
      <c r="WOI23" s="21"/>
      <c r="WOJ23" s="21"/>
      <c r="WON23" s="15"/>
      <c r="WOT23" s="25"/>
      <c r="WPA23" s="21"/>
      <c r="WPB23" s="21"/>
      <c r="WPF23" s="15"/>
      <c r="WPL23" s="25"/>
      <c r="WPS23" s="21"/>
      <c r="WPT23" s="21"/>
      <c r="WPX23" s="15"/>
      <c r="WQD23" s="25"/>
      <c r="WQK23" s="21"/>
      <c r="WQL23" s="21"/>
      <c r="WQP23" s="15"/>
      <c r="WQV23" s="25"/>
      <c r="WRC23" s="21"/>
      <c r="WRD23" s="21"/>
      <c r="WRH23" s="15"/>
      <c r="WRN23" s="25"/>
      <c r="WRU23" s="21"/>
      <c r="WRV23" s="21"/>
      <c r="WRZ23" s="15"/>
      <c r="WSF23" s="25"/>
      <c r="WSM23" s="21"/>
      <c r="WSN23" s="21"/>
      <c r="WSR23" s="15"/>
      <c r="WSX23" s="25"/>
      <c r="WTE23" s="21"/>
      <c r="WTF23" s="21"/>
      <c r="WTJ23" s="15"/>
      <c r="WTP23" s="25"/>
      <c r="WTW23" s="21"/>
      <c r="WTX23" s="21"/>
      <c r="WUB23" s="15"/>
      <c r="WUH23" s="25"/>
      <c r="WUO23" s="21"/>
      <c r="WUP23" s="21"/>
      <c r="WUT23" s="15"/>
      <c r="WUZ23" s="25"/>
      <c r="WVG23" s="21"/>
      <c r="WVH23" s="21"/>
      <c r="WVL23" s="15"/>
      <c r="WVR23" s="25"/>
      <c r="WVY23" s="21"/>
      <c r="WVZ23" s="21"/>
      <c r="WWD23" s="15"/>
      <c r="WWJ23" s="25"/>
      <c r="WWQ23" s="21"/>
      <c r="WWR23" s="21"/>
      <c r="WWV23" s="15"/>
      <c r="WXB23" s="25"/>
      <c r="WXI23" s="21"/>
      <c r="WXJ23" s="21"/>
      <c r="WXN23" s="15"/>
      <c r="WXT23" s="25"/>
      <c r="WYA23" s="21"/>
      <c r="WYB23" s="21"/>
      <c r="WYF23" s="15"/>
      <c r="WYL23" s="25"/>
      <c r="WYS23" s="21"/>
      <c r="WYT23" s="21"/>
      <c r="WYX23" s="15"/>
      <c r="WZD23" s="25"/>
      <c r="WZK23" s="21"/>
      <c r="WZL23" s="21"/>
      <c r="WZP23" s="15"/>
      <c r="WZV23" s="25"/>
      <c r="XAC23" s="21"/>
      <c r="XAD23" s="21"/>
      <c r="XAH23" s="15"/>
      <c r="XAN23" s="25"/>
      <c r="XAU23" s="21"/>
      <c r="XAV23" s="21"/>
      <c r="XAZ23" s="15"/>
      <c r="XBF23" s="25"/>
      <c r="XBM23" s="21"/>
      <c r="XBN23" s="21"/>
      <c r="XBR23" s="15"/>
      <c r="XBX23" s="25"/>
      <c r="XCE23" s="21"/>
      <c r="XCF23" s="21"/>
      <c r="XCJ23" s="15"/>
      <c r="XCP23" s="25"/>
      <c r="XCW23" s="21"/>
      <c r="XCX23" s="21"/>
      <c r="XDB23" s="15"/>
      <c r="XDH23" s="25"/>
      <c r="XDO23" s="21"/>
      <c r="XDP23" s="21"/>
      <c r="XDT23" s="15"/>
      <c r="XDZ23" s="25"/>
      <c r="XEG23" s="21"/>
      <c r="XEH23" s="21"/>
      <c r="XEL23" s="15"/>
      <c r="XER23" s="25"/>
      <c r="XEY23" s="21"/>
      <c r="XEZ23" s="21"/>
      <c r="XFD23" s="15"/>
    </row>
    <row r="24" spans="1:1018 1025:2044 2051:3070 3077:4096 4103:5116 5122:6142 6148:7168 7174:8190 8194:9216 9220:10234 10241:11260 11267:12286 12293:13312 13319:14332 14338:15358 15364:16384" s="24" customFormat="1">
      <c r="A24" s="21" t="s">
        <v>94</v>
      </c>
      <c r="B24" s="12">
        <v>2011</v>
      </c>
      <c r="C24" s="19" t="s">
        <v>85</v>
      </c>
      <c r="D24" s="22" t="s">
        <v>86</v>
      </c>
      <c r="E24" s="43" t="s">
        <v>95</v>
      </c>
      <c r="F24" s="19" t="s">
        <v>24</v>
      </c>
      <c r="G24" s="44">
        <v>236414921.89335009</v>
      </c>
      <c r="H24" s="44">
        <v>238824617.91727158</v>
      </c>
      <c r="I24" s="12">
        <v>18</v>
      </c>
      <c r="J24" s="23" t="s">
        <v>96</v>
      </c>
      <c r="K24" s="22" t="s">
        <v>26</v>
      </c>
      <c r="L24" s="22"/>
      <c r="M24" s="22" t="s">
        <v>26</v>
      </c>
      <c r="N24" s="12"/>
      <c r="O24" s="22"/>
      <c r="P24" s="12"/>
      <c r="Q24" s="22"/>
      <c r="R24" s="22"/>
      <c r="V24" s="15"/>
      <c r="AB24" s="25"/>
      <c r="AI24" s="21"/>
      <c r="AJ24" s="21"/>
      <c r="AN24" s="15"/>
      <c r="AT24" s="25"/>
      <c r="BA24" s="21"/>
      <c r="BB24" s="21"/>
      <c r="BF24" s="15"/>
      <c r="BL24" s="25"/>
      <c r="BS24" s="21"/>
      <c r="BT24" s="21"/>
      <c r="BX24" s="15"/>
      <c r="CD24" s="25"/>
      <c r="CK24" s="21"/>
      <c r="CL24" s="21"/>
      <c r="CP24" s="15"/>
      <c r="CV24" s="25"/>
      <c r="DC24" s="21"/>
      <c r="DD24" s="21"/>
      <c r="DH24" s="15"/>
      <c r="DN24" s="25"/>
      <c r="DU24" s="21"/>
      <c r="DV24" s="21"/>
      <c r="DZ24" s="15"/>
      <c r="EF24" s="25"/>
      <c r="EM24" s="21"/>
      <c r="EN24" s="21"/>
      <c r="ER24" s="15"/>
      <c r="EX24" s="25"/>
      <c r="FE24" s="21"/>
      <c r="FF24" s="21"/>
      <c r="FJ24" s="15"/>
      <c r="FP24" s="25"/>
      <c r="FW24" s="21"/>
      <c r="FX24" s="21"/>
      <c r="GB24" s="15"/>
      <c r="GH24" s="25"/>
      <c r="GO24" s="21"/>
      <c r="GP24" s="21"/>
      <c r="GT24" s="15"/>
      <c r="GZ24" s="25"/>
      <c r="HG24" s="21"/>
      <c r="HH24" s="21"/>
      <c r="HL24" s="15"/>
      <c r="HR24" s="25"/>
      <c r="HY24" s="21"/>
      <c r="HZ24" s="21"/>
      <c r="ID24" s="15"/>
      <c r="IJ24" s="25"/>
      <c r="IQ24" s="21"/>
      <c r="IR24" s="21"/>
      <c r="IV24" s="15"/>
      <c r="JB24" s="25"/>
      <c r="JI24" s="21"/>
      <c r="JJ24" s="21"/>
      <c r="JN24" s="15"/>
      <c r="JT24" s="25"/>
      <c r="KA24" s="21"/>
      <c r="KB24" s="21"/>
      <c r="KF24" s="15"/>
      <c r="KL24" s="25"/>
      <c r="KS24" s="21"/>
      <c r="KT24" s="21"/>
      <c r="KX24" s="15"/>
      <c r="LD24" s="25"/>
      <c r="LK24" s="21"/>
      <c r="LL24" s="21"/>
      <c r="LP24" s="15"/>
      <c r="LV24" s="25"/>
      <c r="MC24" s="21"/>
      <c r="MD24" s="21"/>
      <c r="MH24" s="15"/>
      <c r="MN24" s="25"/>
      <c r="MU24" s="21"/>
      <c r="MV24" s="21"/>
      <c r="MZ24" s="15"/>
      <c r="NF24" s="25"/>
      <c r="NM24" s="21"/>
      <c r="NN24" s="21"/>
      <c r="NR24" s="15"/>
      <c r="NX24" s="25"/>
      <c r="OE24" s="21"/>
      <c r="OF24" s="21"/>
      <c r="OJ24" s="15"/>
      <c r="OP24" s="25"/>
      <c r="OW24" s="21"/>
      <c r="OX24" s="21"/>
      <c r="PB24" s="15"/>
      <c r="PH24" s="25"/>
      <c r="PO24" s="21"/>
      <c r="PP24" s="21"/>
      <c r="PT24" s="15"/>
      <c r="PZ24" s="25"/>
      <c r="QG24" s="21"/>
      <c r="QH24" s="21"/>
      <c r="QL24" s="15"/>
      <c r="QR24" s="25"/>
      <c r="QY24" s="21"/>
      <c r="QZ24" s="21"/>
      <c r="RD24" s="15"/>
      <c r="RJ24" s="25"/>
      <c r="RQ24" s="21"/>
      <c r="RR24" s="21"/>
      <c r="RV24" s="15"/>
      <c r="SB24" s="25"/>
      <c r="SI24" s="21"/>
      <c r="SJ24" s="21"/>
      <c r="SN24" s="15"/>
      <c r="ST24" s="25"/>
      <c r="TA24" s="21"/>
      <c r="TB24" s="21"/>
      <c r="TF24" s="15"/>
      <c r="TL24" s="25"/>
      <c r="TS24" s="21"/>
      <c r="TT24" s="21"/>
      <c r="TX24" s="15"/>
      <c r="UD24" s="25"/>
      <c r="UK24" s="21"/>
      <c r="UL24" s="21"/>
      <c r="UP24" s="15"/>
      <c r="UV24" s="25"/>
      <c r="VC24" s="21"/>
      <c r="VD24" s="21"/>
      <c r="VH24" s="15"/>
      <c r="VN24" s="25"/>
      <c r="VU24" s="21"/>
      <c r="VV24" s="21"/>
      <c r="VZ24" s="15"/>
      <c r="WF24" s="25"/>
      <c r="WM24" s="21"/>
      <c r="WN24" s="21"/>
      <c r="WR24" s="15"/>
      <c r="WX24" s="25"/>
      <c r="XE24" s="21"/>
      <c r="XF24" s="21"/>
      <c r="XJ24" s="15"/>
      <c r="XP24" s="25"/>
      <c r="XW24" s="21"/>
      <c r="XX24" s="21"/>
      <c r="YB24" s="15"/>
      <c r="YH24" s="25"/>
      <c r="YO24" s="21"/>
      <c r="YP24" s="21"/>
      <c r="YT24" s="15"/>
      <c r="YZ24" s="25"/>
      <c r="ZG24" s="21"/>
      <c r="ZH24" s="21"/>
      <c r="ZL24" s="15"/>
      <c r="ZR24" s="25"/>
      <c r="ZY24" s="21"/>
      <c r="ZZ24" s="21"/>
      <c r="AAD24" s="15"/>
      <c r="AAJ24" s="25"/>
      <c r="AAQ24" s="21"/>
      <c r="AAR24" s="21"/>
      <c r="AAV24" s="15"/>
      <c r="ABB24" s="25"/>
      <c r="ABI24" s="21"/>
      <c r="ABJ24" s="21"/>
      <c r="ABN24" s="15"/>
      <c r="ABT24" s="25"/>
      <c r="ACA24" s="21"/>
      <c r="ACB24" s="21"/>
      <c r="ACF24" s="15"/>
      <c r="ACL24" s="25"/>
      <c r="ACS24" s="21"/>
      <c r="ACT24" s="21"/>
      <c r="ACX24" s="15"/>
      <c r="ADD24" s="25"/>
      <c r="ADK24" s="21"/>
      <c r="ADL24" s="21"/>
      <c r="ADP24" s="15"/>
      <c r="ADV24" s="25"/>
      <c r="AEC24" s="21"/>
      <c r="AED24" s="21"/>
      <c r="AEH24" s="15"/>
      <c r="AEN24" s="25"/>
      <c r="AEU24" s="21"/>
      <c r="AEV24" s="21"/>
      <c r="AEZ24" s="15"/>
      <c r="AFF24" s="25"/>
      <c r="AFM24" s="21"/>
      <c r="AFN24" s="21"/>
      <c r="AFR24" s="15"/>
      <c r="AFX24" s="25"/>
      <c r="AGE24" s="21"/>
      <c r="AGF24" s="21"/>
      <c r="AGJ24" s="15"/>
      <c r="AGP24" s="25"/>
      <c r="AGW24" s="21"/>
      <c r="AGX24" s="21"/>
      <c r="AHB24" s="15"/>
      <c r="AHH24" s="25"/>
      <c r="AHO24" s="21"/>
      <c r="AHP24" s="21"/>
      <c r="AHT24" s="15"/>
      <c r="AHZ24" s="25"/>
      <c r="AIG24" s="21"/>
      <c r="AIH24" s="21"/>
      <c r="AIL24" s="15"/>
      <c r="AIR24" s="25"/>
      <c r="AIY24" s="21"/>
      <c r="AIZ24" s="21"/>
      <c r="AJD24" s="15"/>
      <c r="AJJ24" s="25"/>
      <c r="AJQ24" s="21"/>
      <c r="AJR24" s="21"/>
      <c r="AJV24" s="15"/>
      <c r="AKB24" s="25"/>
      <c r="AKI24" s="21"/>
      <c r="AKJ24" s="21"/>
      <c r="AKN24" s="15"/>
      <c r="AKT24" s="25"/>
      <c r="ALA24" s="21"/>
      <c r="ALB24" s="21"/>
      <c r="ALF24" s="15"/>
      <c r="ALL24" s="25"/>
      <c r="ALS24" s="21"/>
      <c r="ALT24" s="21"/>
      <c r="ALX24" s="15"/>
      <c r="AMD24" s="25"/>
      <c r="AMK24" s="21"/>
      <c r="AML24" s="21"/>
      <c r="AMP24" s="15"/>
      <c r="AMV24" s="25"/>
      <c r="ANC24" s="21"/>
      <c r="AND24" s="21"/>
      <c r="ANH24" s="15"/>
      <c r="ANN24" s="25"/>
      <c r="ANU24" s="21"/>
      <c r="ANV24" s="21"/>
      <c r="ANZ24" s="15"/>
      <c r="AOF24" s="25"/>
      <c r="AOM24" s="21"/>
      <c r="AON24" s="21"/>
      <c r="AOR24" s="15"/>
      <c r="AOX24" s="25"/>
      <c r="APE24" s="21"/>
      <c r="APF24" s="21"/>
      <c r="APJ24" s="15"/>
      <c r="APP24" s="25"/>
      <c r="APW24" s="21"/>
      <c r="APX24" s="21"/>
      <c r="AQB24" s="15"/>
      <c r="AQH24" s="25"/>
      <c r="AQO24" s="21"/>
      <c r="AQP24" s="21"/>
      <c r="AQT24" s="15"/>
      <c r="AQZ24" s="25"/>
      <c r="ARG24" s="21"/>
      <c r="ARH24" s="21"/>
      <c r="ARL24" s="15"/>
      <c r="ARR24" s="25"/>
      <c r="ARY24" s="21"/>
      <c r="ARZ24" s="21"/>
      <c r="ASD24" s="15"/>
      <c r="ASJ24" s="25"/>
      <c r="ASQ24" s="21"/>
      <c r="ASR24" s="21"/>
      <c r="ASV24" s="15"/>
      <c r="ATB24" s="25"/>
      <c r="ATI24" s="21"/>
      <c r="ATJ24" s="21"/>
      <c r="ATN24" s="15"/>
      <c r="ATT24" s="25"/>
      <c r="AUA24" s="21"/>
      <c r="AUB24" s="21"/>
      <c r="AUF24" s="15"/>
      <c r="AUL24" s="25"/>
      <c r="AUS24" s="21"/>
      <c r="AUT24" s="21"/>
      <c r="AUX24" s="15"/>
      <c r="AVD24" s="25"/>
      <c r="AVK24" s="21"/>
      <c r="AVL24" s="21"/>
      <c r="AVP24" s="15"/>
      <c r="AVV24" s="25"/>
      <c r="AWC24" s="21"/>
      <c r="AWD24" s="21"/>
      <c r="AWH24" s="15"/>
      <c r="AWN24" s="25"/>
      <c r="AWU24" s="21"/>
      <c r="AWV24" s="21"/>
      <c r="AWZ24" s="15"/>
      <c r="AXF24" s="25"/>
      <c r="AXM24" s="21"/>
      <c r="AXN24" s="21"/>
      <c r="AXR24" s="15"/>
      <c r="AXX24" s="25"/>
      <c r="AYE24" s="21"/>
      <c r="AYF24" s="21"/>
      <c r="AYJ24" s="15"/>
      <c r="AYP24" s="25"/>
      <c r="AYW24" s="21"/>
      <c r="AYX24" s="21"/>
      <c r="AZB24" s="15"/>
      <c r="AZH24" s="25"/>
      <c r="AZO24" s="21"/>
      <c r="AZP24" s="21"/>
      <c r="AZT24" s="15"/>
      <c r="AZZ24" s="25"/>
      <c r="BAG24" s="21"/>
      <c r="BAH24" s="21"/>
      <c r="BAL24" s="15"/>
      <c r="BAR24" s="25"/>
      <c r="BAY24" s="21"/>
      <c r="BAZ24" s="21"/>
      <c r="BBD24" s="15"/>
      <c r="BBJ24" s="25"/>
      <c r="BBQ24" s="21"/>
      <c r="BBR24" s="21"/>
      <c r="BBV24" s="15"/>
      <c r="BCB24" s="25"/>
      <c r="BCI24" s="21"/>
      <c r="BCJ24" s="21"/>
      <c r="BCN24" s="15"/>
      <c r="BCT24" s="25"/>
      <c r="BDA24" s="21"/>
      <c r="BDB24" s="21"/>
      <c r="BDF24" s="15"/>
      <c r="BDL24" s="25"/>
      <c r="BDS24" s="21"/>
      <c r="BDT24" s="21"/>
      <c r="BDX24" s="15"/>
      <c r="BED24" s="25"/>
      <c r="BEK24" s="21"/>
      <c r="BEL24" s="21"/>
      <c r="BEP24" s="15"/>
      <c r="BEV24" s="25"/>
      <c r="BFC24" s="21"/>
      <c r="BFD24" s="21"/>
      <c r="BFH24" s="15"/>
      <c r="BFN24" s="25"/>
      <c r="BFU24" s="21"/>
      <c r="BFV24" s="21"/>
      <c r="BFZ24" s="15"/>
      <c r="BGF24" s="25"/>
      <c r="BGM24" s="21"/>
      <c r="BGN24" s="21"/>
      <c r="BGR24" s="15"/>
      <c r="BGX24" s="25"/>
      <c r="BHE24" s="21"/>
      <c r="BHF24" s="21"/>
      <c r="BHJ24" s="15"/>
      <c r="BHP24" s="25"/>
      <c r="BHW24" s="21"/>
      <c r="BHX24" s="21"/>
      <c r="BIB24" s="15"/>
      <c r="BIH24" s="25"/>
      <c r="BIO24" s="21"/>
      <c r="BIP24" s="21"/>
      <c r="BIT24" s="15"/>
      <c r="BIZ24" s="25"/>
      <c r="BJG24" s="21"/>
      <c r="BJH24" s="21"/>
      <c r="BJL24" s="15"/>
      <c r="BJR24" s="25"/>
      <c r="BJY24" s="21"/>
      <c r="BJZ24" s="21"/>
      <c r="BKD24" s="15"/>
      <c r="BKJ24" s="25"/>
      <c r="BKQ24" s="21"/>
      <c r="BKR24" s="21"/>
      <c r="BKV24" s="15"/>
      <c r="BLB24" s="25"/>
      <c r="BLI24" s="21"/>
      <c r="BLJ24" s="21"/>
      <c r="BLN24" s="15"/>
      <c r="BLT24" s="25"/>
      <c r="BMA24" s="21"/>
      <c r="BMB24" s="21"/>
      <c r="BMF24" s="15"/>
      <c r="BML24" s="25"/>
      <c r="BMS24" s="21"/>
      <c r="BMT24" s="21"/>
      <c r="BMX24" s="15"/>
      <c r="BND24" s="25"/>
      <c r="BNK24" s="21"/>
      <c r="BNL24" s="21"/>
      <c r="BNP24" s="15"/>
      <c r="BNV24" s="25"/>
      <c r="BOC24" s="21"/>
      <c r="BOD24" s="21"/>
      <c r="BOH24" s="15"/>
      <c r="BON24" s="25"/>
      <c r="BOU24" s="21"/>
      <c r="BOV24" s="21"/>
      <c r="BOZ24" s="15"/>
      <c r="BPF24" s="25"/>
      <c r="BPM24" s="21"/>
      <c r="BPN24" s="21"/>
      <c r="BPR24" s="15"/>
      <c r="BPX24" s="25"/>
      <c r="BQE24" s="21"/>
      <c r="BQF24" s="21"/>
      <c r="BQJ24" s="15"/>
      <c r="BQP24" s="25"/>
      <c r="BQW24" s="21"/>
      <c r="BQX24" s="21"/>
      <c r="BRB24" s="15"/>
      <c r="BRH24" s="25"/>
      <c r="BRO24" s="21"/>
      <c r="BRP24" s="21"/>
      <c r="BRT24" s="15"/>
      <c r="BRZ24" s="25"/>
      <c r="BSG24" s="21"/>
      <c r="BSH24" s="21"/>
      <c r="BSL24" s="15"/>
      <c r="BSR24" s="25"/>
      <c r="BSY24" s="21"/>
      <c r="BSZ24" s="21"/>
      <c r="BTD24" s="15"/>
      <c r="BTJ24" s="25"/>
      <c r="BTQ24" s="21"/>
      <c r="BTR24" s="21"/>
      <c r="BTV24" s="15"/>
      <c r="BUB24" s="25"/>
      <c r="BUI24" s="21"/>
      <c r="BUJ24" s="21"/>
      <c r="BUN24" s="15"/>
      <c r="BUT24" s="25"/>
      <c r="BVA24" s="21"/>
      <c r="BVB24" s="21"/>
      <c r="BVF24" s="15"/>
      <c r="BVL24" s="25"/>
      <c r="BVS24" s="21"/>
      <c r="BVT24" s="21"/>
      <c r="BVX24" s="15"/>
      <c r="BWD24" s="25"/>
      <c r="BWK24" s="21"/>
      <c r="BWL24" s="21"/>
      <c r="BWP24" s="15"/>
      <c r="BWV24" s="25"/>
      <c r="BXC24" s="21"/>
      <c r="BXD24" s="21"/>
      <c r="BXH24" s="15"/>
      <c r="BXN24" s="25"/>
      <c r="BXU24" s="21"/>
      <c r="BXV24" s="21"/>
      <c r="BXZ24" s="15"/>
      <c r="BYF24" s="25"/>
      <c r="BYM24" s="21"/>
      <c r="BYN24" s="21"/>
      <c r="BYR24" s="15"/>
      <c r="BYX24" s="25"/>
      <c r="BZE24" s="21"/>
      <c r="BZF24" s="21"/>
      <c r="BZJ24" s="15"/>
      <c r="BZP24" s="25"/>
      <c r="BZW24" s="21"/>
      <c r="BZX24" s="21"/>
      <c r="CAB24" s="15"/>
      <c r="CAH24" s="25"/>
      <c r="CAO24" s="21"/>
      <c r="CAP24" s="21"/>
      <c r="CAT24" s="15"/>
      <c r="CAZ24" s="25"/>
      <c r="CBG24" s="21"/>
      <c r="CBH24" s="21"/>
      <c r="CBL24" s="15"/>
      <c r="CBR24" s="25"/>
      <c r="CBY24" s="21"/>
      <c r="CBZ24" s="21"/>
      <c r="CCD24" s="15"/>
      <c r="CCJ24" s="25"/>
      <c r="CCQ24" s="21"/>
      <c r="CCR24" s="21"/>
      <c r="CCV24" s="15"/>
      <c r="CDB24" s="25"/>
      <c r="CDI24" s="21"/>
      <c r="CDJ24" s="21"/>
      <c r="CDN24" s="15"/>
      <c r="CDT24" s="25"/>
      <c r="CEA24" s="21"/>
      <c r="CEB24" s="21"/>
      <c r="CEF24" s="15"/>
      <c r="CEL24" s="25"/>
      <c r="CES24" s="21"/>
      <c r="CET24" s="21"/>
      <c r="CEX24" s="15"/>
      <c r="CFD24" s="25"/>
      <c r="CFK24" s="21"/>
      <c r="CFL24" s="21"/>
      <c r="CFP24" s="15"/>
      <c r="CFV24" s="25"/>
      <c r="CGC24" s="21"/>
      <c r="CGD24" s="21"/>
      <c r="CGH24" s="15"/>
      <c r="CGN24" s="25"/>
      <c r="CGU24" s="21"/>
      <c r="CGV24" s="21"/>
      <c r="CGZ24" s="15"/>
      <c r="CHF24" s="25"/>
      <c r="CHM24" s="21"/>
      <c r="CHN24" s="21"/>
      <c r="CHR24" s="15"/>
      <c r="CHX24" s="25"/>
      <c r="CIE24" s="21"/>
      <c r="CIF24" s="21"/>
      <c r="CIJ24" s="15"/>
      <c r="CIP24" s="25"/>
      <c r="CIW24" s="21"/>
      <c r="CIX24" s="21"/>
      <c r="CJB24" s="15"/>
      <c r="CJH24" s="25"/>
      <c r="CJO24" s="21"/>
      <c r="CJP24" s="21"/>
      <c r="CJT24" s="15"/>
      <c r="CJZ24" s="25"/>
      <c r="CKG24" s="21"/>
      <c r="CKH24" s="21"/>
      <c r="CKL24" s="15"/>
      <c r="CKR24" s="25"/>
      <c r="CKY24" s="21"/>
      <c r="CKZ24" s="21"/>
      <c r="CLD24" s="15"/>
      <c r="CLJ24" s="25"/>
      <c r="CLQ24" s="21"/>
      <c r="CLR24" s="21"/>
      <c r="CLV24" s="15"/>
      <c r="CMB24" s="25"/>
      <c r="CMI24" s="21"/>
      <c r="CMJ24" s="21"/>
      <c r="CMN24" s="15"/>
      <c r="CMT24" s="25"/>
      <c r="CNA24" s="21"/>
      <c r="CNB24" s="21"/>
      <c r="CNF24" s="15"/>
      <c r="CNL24" s="25"/>
      <c r="CNS24" s="21"/>
      <c r="CNT24" s="21"/>
      <c r="CNX24" s="15"/>
      <c r="COD24" s="25"/>
      <c r="COK24" s="21"/>
      <c r="COL24" s="21"/>
      <c r="COP24" s="15"/>
      <c r="COV24" s="25"/>
      <c r="CPC24" s="21"/>
      <c r="CPD24" s="21"/>
      <c r="CPH24" s="15"/>
      <c r="CPN24" s="25"/>
      <c r="CPU24" s="21"/>
      <c r="CPV24" s="21"/>
      <c r="CPZ24" s="15"/>
      <c r="CQF24" s="25"/>
      <c r="CQM24" s="21"/>
      <c r="CQN24" s="21"/>
      <c r="CQR24" s="15"/>
      <c r="CQX24" s="25"/>
      <c r="CRE24" s="21"/>
      <c r="CRF24" s="21"/>
      <c r="CRJ24" s="15"/>
      <c r="CRP24" s="25"/>
      <c r="CRW24" s="21"/>
      <c r="CRX24" s="21"/>
      <c r="CSB24" s="15"/>
      <c r="CSH24" s="25"/>
      <c r="CSO24" s="21"/>
      <c r="CSP24" s="21"/>
      <c r="CST24" s="15"/>
      <c r="CSZ24" s="25"/>
      <c r="CTG24" s="21"/>
      <c r="CTH24" s="21"/>
      <c r="CTL24" s="15"/>
      <c r="CTR24" s="25"/>
      <c r="CTY24" s="21"/>
      <c r="CTZ24" s="21"/>
      <c r="CUD24" s="15"/>
      <c r="CUJ24" s="25"/>
      <c r="CUQ24" s="21"/>
      <c r="CUR24" s="21"/>
      <c r="CUV24" s="15"/>
      <c r="CVB24" s="25"/>
      <c r="CVI24" s="21"/>
      <c r="CVJ24" s="21"/>
      <c r="CVN24" s="15"/>
      <c r="CVT24" s="25"/>
      <c r="CWA24" s="21"/>
      <c r="CWB24" s="21"/>
      <c r="CWF24" s="15"/>
      <c r="CWL24" s="25"/>
      <c r="CWS24" s="21"/>
      <c r="CWT24" s="21"/>
      <c r="CWX24" s="15"/>
      <c r="CXD24" s="25"/>
      <c r="CXK24" s="21"/>
      <c r="CXL24" s="21"/>
      <c r="CXP24" s="15"/>
      <c r="CXV24" s="25"/>
      <c r="CYC24" s="21"/>
      <c r="CYD24" s="21"/>
      <c r="CYH24" s="15"/>
      <c r="CYN24" s="25"/>
      <c r="CYU24" s="21"/>
      <c r="CYV24" s="21"/>
      <c r="CYZ24" s="15"/>
      <c r="CZF24" s="25"/>
      <c r="CZM24" s="21"/>
      <c r="CZN24" s="21"/>
      <c r="CZR24" s="15"/>
      <c r="CZX24" s="25"/>
      <c r="DAE24" s="21"/>
      <c r="DAF24" s="21"/>
      <c r="DAJ24" s="15"/>
      <c r="DAP24" s="25"/>
      <c r="DAW24" s="21"/>
      <c r="DAX24" s="21"/>
      <c r="DBB24" s="15"/>
      <c r="DBH24" s="25"/>
      <c r="DBO24" s="21"/>
      <c r="DBP24" s="21"/>
      <c r="DBT24" s="15"/>
      <c r="DBZ24" s="25"/>
      <c r="DCG24" s="21"/>
      <c r="DCH24" s="21"/>
      <c r="DCL24" s="15"/>
      <c r="DCR24" s="25"/>
      <c r="DCY24" s="21"/>
      <c r="DCZ24" s="21"/>
      <c r="DDD24" s="15"/>
      <c r="DDJ24" s="25"/>
      <c r="DDQ24" s="21"/>
      <c r="DDR24" s="21"/>
      <c r="DDV24" s="15"/>
      <c r="DEB24" s="25"/>
      <c r="DEI24" s="21"/>
      <c r="DEJ24" s="21"/>
      <c r="DEN24" s="15"/>
      <c r="DET24" s="25"/>
      <c r="DFA24" s="21"/>
      <c r="DFB24" s="21"/>
      <c r="DFF24" s="15"/>
      <c r="DFL24" s="25"/>
      <c r="DFS24" s="21"/>
      <c r="DFT24" s="21"/>
      <c r="DFX24" s="15"/>
      <c r="DGD24" s="25"/>
      <c r="DGK24" s="21"/>
      <c r="DGL24" s="21"/>
      <c r="DGP24" s="15"/>
      <c r="DGV24" s="25"/>
      <c r="DHC24" s="21"/>
      <c r="DHD24" s="21"/>
      <c r="DHH24" s="15"/>
      <c r="DHN24" s="25"/>
      <c r="DHU24" s="21"/>
      <c r="DHV24" s="21"/>
      <c r="DHZ24" s="15"/>
      <c r="DIF24" s="25"/>
      <c r="DIM24" s="21"/>
      <c r="DIN24" s="21"/>
      <c r="DIR24" s="15"/>
      <c r="DIX24" s="25"/>
      <c r="DJE24" s="21"/>
      <c r="DJF24" s="21"/>
      <c r="DJJ24" s="15"/>
      <c r="DJP24" s="25"/>
      <c r="DJW24" s="21"/>
      <c r="DJX24" s="21"/>
      <c r="DKB24" s="15"/>
      <c r="DKH24" s="25"/>
      <c r="DKO24" s="21"/>
      <c r="DKP24" s="21"/>
      <c r="DKT24" s="15"/>
      <c r="DKZ24" s="25"/>
      <c r="DLG24" s="21"/>
      <c r="DLH24" s="21"/>
      <c r="DLL24" s="15"/>
      <c r="DLR24" s="25"/>
      <c r="DLY24" s="21"/>
      <c r="DLZ24" s="21"/>
      <c r="DMD24" s="15"/>
      <c r="DMJ24" s="25"/>
      <c r="DMQ24" s="21"/>
      <c r="DMR24" s="21"/>
      <c r="DMV24" s="15"/>
      <c r="DNB24" s="25"/>
      <c r="DNI24" s="21"/>
      <c r="DNJ24" s="21"/>
      <c r="DNN24" s="15"/>
      <c r="DNT24" s="25"/>
      <c r="DOA24" s="21"/>
      <c r="DOB24" s="21"/>
      <c r="DOF24" s="15"/>
      <c r="DOL24" s="25"/>
      <c r="DOS24" s="21"/>
      <c r="DOT24" s="21"/>
      <c r="DOX24" s="15"/>
      <c r="DPD24" s="25"/>
      <c r="DPK24" s="21"/>
      <c r="DPL24" s="21"/>
      <c r="DPP24" s="15"/>
      <c r="DPV24" s="25"/>
      <c r="DQC24" s="21"/>
      <c r="DQD24" s="21"/>
      <c r="DQH24" s="15"/>
      <c r="DQN24" s="25"/>
      <c r="DQU24" s="21"/>
      <c r="DQV24" s="21"/>
      <c r="DQZ24" s="15"/>
      <c r="DRF24" s="25"/>
      <c r="DRM24" s="21"/>
      <c r="DRN24" s="21"/>
      <c r="DRR24" s="15"/>
      <c r="DRX24" s="25"/>
      <c r="DSE24" s="21"/>
      <c r="DSF24" s="21"/>
      <c r="DSJ24" s="15"/>
      <c r="DSP24" s="25"/>
      <c r="DSW24" s="21"/>
      <c r="DSX24" s="21"/>
      <c r="DTB24" s="15"/>
      <c r="DTH24" s="25"/>
      <c r="DTO24" s="21"/>
      <c r="DTP24" s="21"/>
      <c r="DTT24" s="15"/>
      <c r="DTZ24" s="25"/>
      <c r="DUG24" s="21"/>
      <c r="DUH24" s="21"/>
      <c r="DUL24" s="15"/>
      <c r="DUR24" s="25"/>
      <c r="DUY24" s="21"/>
      <c r="DUZ24" s="21"/>
      <c r="DVD24" s="15"/>
      <c r="DVJ24" s="25"/>
      <c r="DVQ24" s="21"/>
      <c r="DVR24" s="21"/>
      <c r="DVV24" s="15"/>
      <c r="DWB24" s="25"/>
      <c r="DWI24" s="21"/>
      <c r="DWJ24" s="21"/>
      <c r="DWN24" s="15"/>
      <c r="DWT24" s="25"/>
      <c r="DXA24" s="21"/>
      <c r="DXB24" s="21"/>
      <c r="DXF24" s="15"/>
      <c r="DXL24" s="25"/>
      <c r="DXS24" s="21"/>
      <c r="DXT24" s="21"/>
      <c r="DXX24" s="15"/>
      <c r="DYD24" s="25"/>
      <c r="DYK24" s="21"/>
      <c r="DYL24" s="21"/>
      <c r="DYP24" s="15"/>
      <c r="DYV24" s="25"/>
      <c r="DZC24" s="21"/>
      <c r="DZD24" s="21"/>
      <c r="DZH24" s="15"/>
      <c r="DZN24" s="25"/>
      <c r="DZU24" s="21"/>
      <c r="DZV24" s="21"/>
      <c r="DZZ24" s="15"/>
      <c r="EAF24" s="25"/>
      <c r="EAM24" s="21"/>
      <c r="EAN24" s="21"/>
      <c r="EAR24" s="15"/>
      <c r="EAX24" s="25"/>
      <c r="EBE24" s="21"/>
      <c r="EBF24" s="21"/>
      <c r="EBJ24" s="15"/>
      <c r="EBP24" s="25"/>
      <c r="EBW24" s="21"/>
      <c r="EBX24" s="21"/>
      <c r="ECB24" s="15"/>
      <c r="ECH24" s="25"/>
      <c r="ECO24" s="21"/>
      <c r="ECP24" s="21"/>
      <c r="ECT24" s="15"/>
      <c r="ECZ24" s="25"/>
      <c r="EDG24" s="21"/>
      <c r="EDH24" s="21"/>
      <c r="EDL24" s="15"/>
      <c r="EDR24" s="25"/>
      <c r="EDY24" s="21"/>
      <c r="EDZ24" s="21"/>
      <c r="EED24" s="15"/>
      <c r="EEJ24" s="25"/>
      <c r="EEQ24" s="21"/>
      <c r="EER24" s="21"/>
      <c r="EEV24" s="15"/>
      <c r="EFB24" s="25"/>
      <c r="EFI24" s="21"/>
      <c r="EFJ24" s="21"/>
      <c r="EFN24" s="15"/>
      <c r="EFT24" s="25"/>
      <c r="EGA24" s="21"/>
      <c r="EGB24" s="21"/>
      <c r="EGF24" s="15"/>
      <c r="EGL24" s="25"/>
      <c r="EGS24" s="21"/>
      <c r="EGT24" s="21"/>
      <c r="EGX24" s="15"/>
      <c r="EHD24" s="25"/>
      <c r="EHK24" s="21"/>
      <c r="EHL24" s="21"/>
      <c r="EHP24" s="15"/>
      <c r="EHV24" s="25"/>
      <c r="EIC24" s="21"/>
      <c r="EID24" s="21"/>
      <c r="EIH24" s="15"/>
      <c r="EIN24" s="25"/>
      <c r="EIU24" s="21"/>
      <c r="EIV24" s="21"/>
      <c r="EIZ24" s="15"/>
      <c r="EJF24" s="25"/>
      <c r="EJM24" s="21"/>
      <c r="EJN24" s="21"/>
      <c r="EJR24" s="15"/>
      <c r="EJX24" s="25"/>
      <c r="EKE24" s="21"/>
      <c r="EKF24" s="21"/>
      <c r="EKJ24" s="15"/>
      <c r="EKP24" s="25"/>
      <c r="EKW24" s="21"/>
      <c r="EKX24" s="21"/>
      <c r="ELB24" s="15"/>
      <c r="ELH24" s="25"/>
      <c r="ELO24" s="21"/>
      <c r="ELP24" s="21"/>
      <c r="ELT24" s="15"/>
      <c r="ELZ24" s="25"/>
      <c r="EMG24" s="21"/>
      <c r="EMH24" s="21"/>
      <c r="EML24" s="15"/>
      <c r="EMR24" s="25"/>
      <c r="EMY24" s="21"/>
      <c r="EMZ24" s="21"/>
      <c r="END24" s="15"/>
      <c r="ENJ24" s="25"/>
      <c r="ENQ24" s="21"/>
      <c r="ENR24" s="21"/>
      <c r="ENV24" s="15"/>
      <c r="EOB24" s="25"/>
      <c r="EOI24" s="21"/>
      <c r="EOJ24" s="21"/>
      <c r="EON24" s="15"/>
      <c r="EOT24" s="25"/>
      <c r="EPA24" s="21"/>
      <c r="EPB24" s="21"/>
      <c r="EPF24" s="15"/>
      <c r="EPL24" s="25"/>
      <c r="EPS24" s="21"/>
      <c r="EPT24" s="21"/>
      <c r="EPX24" s="15"/>
      <c r="EQD24" s="25"/>
      <c r="EQK24" s="21"/>
      <c r="EQL24" s="21"/>
      <c r="EQP24" s="15"/>
      <c r="EQV24" s="25"/>
      <c r="ERC24" s="21"/>
      <c r="ERD24" s="21"/>
      <c r="ERH24" s="15"/>
      <c r="ERN24" s="25"/>
      <c r="ERU24" s="21"/>
      <c r="ERV24" s="21"/>
      <c r="ERZ24" s="15"/>
      <c r="ESF24" s="25"/>
      <c r="ESM24" s="21"/>
      <c r="ESN24" s="21"/>
      <c r="ESR24" s="15"/>
      <c r="ESX24" s="25"/>
      <c r="ETE24" s="21"/>
      <c r="ETF24" s="21"/>
      <c r="ETJ24" s="15"/>
      <c r="ETP24" s="25"/>
      <c r="ETW24" s="21"/>
      <c r="ETX24" s="21"/>
      <c r="EUB24" s="15"/>
      <c r="EUH24" s="25"/>
      <c r="EUO24" s="21"/>
      <c r="EUP24" s="21"/>
      <c r="EUT24" s="15"/>
      <c r="EUZ24" s="25"/>
      <c r="EVG24" s="21"/>
      <c r="EVH24" s="21"/>
      <c r="EVL24" s="15"/>
      <c r="EVR24" s="25"/>
      <c r="EVY24" s="21"/>
      <c r="EVZ24" s="21"/>
      <c r="EWD24" s="15"/>
      <c r="EWJ24" s="25"/>
      <c r="EWQ24" s="21"/>
      <c r="EWR24" s="21"/>
      <c r="EWV24" s="15"/>
      <c r="EXB24" s="25"/>
      <c r="EXI24" s="21"/>
      <c r="EXJ24" s="21"/>
      <c r="EXN24" s="15"/>
      <c r="EXT24" s="25"/>
      <c r="EYA24" s="21"/>
      <c r="EYB24" s="21"/>
      <c r="EYF24" s="15"/>
      <c r="EYL24" s="25"/>
      <c r="EYS24" s="21"/>
      <c r="EYT24" s="21"/>
      <c r="EYX24" s="15"/>
      <c r="EZD24" s="25"/>
      <c r="EZK24" s="21"/>
      <c r="EZL24" s="21"/>
      <c r="EZP24" s="15"/>
      <c r="EZV24" s="25"/>
      <c r="FAC24" s="21"/>
      <c r="FAD24" s="21"/>
      <c r="FAH24" s="15"/>
      <c r="FAN24" s="25"/>
      <c r="FAU24" s="21"/>
      <c r="FAV24" s="21"/>
      <c r="FAZ24" s="15"/>
      <c r="FBF24" s="25"/>
      <c r="FBM24" s="21"/>
      <c r="FBN24" s="21"/>
      <c r="FBR24" s="15"/>
      <c r="FBX24" s="25"/>
      <c r="FCE24" s="21"/>
      <c r="FCF24" s="21"/>
      <c r="FCJ24" s="15"/>
      <c r="FCP24" s="25"/>
      <c r="FCW24" s="21"/>
      <c r="FCX24" s="21"/>
      <c r="FDB24" s="15"/>
      <c r="FDH24" s="25"/>
      <c r="FDO24" s="21"/>
      <c r="FDP24" s="21"/>
      <c r="FDT24" s="15"/>
      <c r="FDZ24" s="25"/>
      <c r="FEG24" s="21"/>
      <c r="FEH24" s="21"/>
      <c r="FEL24" s="15"/>
      <c r="FER24" s="25"/>
      <c r="FEY24" s="21"/>
      <c r="FEZ24" s="21"/>
      <c r="FFD24" s="15"/>
      <c r="FFJ24" s="25"/>
      <c r="FFQ24" s="21"/>
      <c r="FFR24" s="21"/>
      <c r="FFV24" s="15"/>
      <c r="FGB24" s="25"/>
      <c r="FGI24" s="21"/>
      <c r="FGJ24" s="21"/>
      <c r="FGN24" s="15"/>
      <c r="FGT24" s="25"/>
      <c r="FHA24" s="21"/>
      <c r="FHB24" s="21"/>
      <c r="FHF24" s="15"/>
      <c r="FHL24" s="25"/>
      <c r="FHS24" s="21"/>
      <c r="FHT24" s="21"/>
      <c r="FHX24" s="15"/>
      <c r="FID24" s="25"/>
      <c r="FIK24" s="21"/>
      <c r="FIL24" s="21"/>
      <c r="FIP24" s="15"/>
      <c r="FIV24" s="25"/>
      <c r="FJC24" s="21"/>
      <c r="FJD24" s="21"/>
      <c r="FJH24" s="15"/>
      <c r="FJN24" s="25"/>
      <c r="FJU24" s="21"/>
      <c r="FJV24" s="21"/>
      <c r="FJZ24" s="15"/>
      <c r="FKF24" s="25"/>
      <c r="FKM24" s="21"/>
      <c r="FKN24" s="21"/>
      <c r="FKR24" s="15"/>
      <c r="FKX24" s="25"/>
      <c r="FLE24" s="21"/>
      <c r="FLF24" s="21"/>
      <c r="FLJ24" s="15"/>
      <c r="FLP24" s="25"/>
      <c r="FLW24" s="21"/>
      <c r="FLX24" s="21"/>
      <c r="FMB24" s="15"/>
      <c r="FMH24" s="25"/>
      <c r="FMO24" s="21"/>
      <c r="FMP24" s="21"/>
      <c r="FMT24" s="15"/>
      <c r="FMZ24" s="25"/>
      <c r="FNG24" s="21"/>
      <c r="FNH24" s="21"/>
      <c r="FNL24" s="15"/>
      <c r="FNR24" s="25"/>
      <c r="FNY24" s="21"/>
      <c r="FNZ24" s="21"/>
      <c r="FOD24" s="15"/>
      <c r="FOJ24" s="25"/>
      <c r="FOQ24" s="21"/>
      <c r="FOR24" s="21"/>
      <c r="FOV24" s="15"/>
      <c r="FPB24" s="25"/>
      <c r="FPI24" s="21"/>
      <c r="FPJ24" s="21"/>
      <c r="FPN24" s="15"/>
      <c r="FPT24" s="25"/>
      <c r="FQA24" s="21"/>
      <c r="FQB24" s="21"/>
      <c r="FQF24" s="15"/>
      <c r="FQL24" s="25"/>
      <c r="FQS24" s="21"/>
      <c r="FQT24" s="21"/>
      <c r="FQX24" s="15"/>
      <c r="FRD24" s="25"/>
      <c r="FRK24" s="21"/>
      <c r="FRL24" s="21"/>
      <c r="FRP24" s="15"/>
      <c r="FRV24" s="25"/>
      <c r="FSC24" s="21"/>
      <c r="FSD24" s="21"/>
      <c r="FSH24" s="15"/>
      <c r="FSN24" s="25"/>
      <c r="FSU24" s="21"/>
      <c r="FSV24" s="21"/>
      <c r="FSZ24" s="15"/>
      <c r="FTF24" s="25"/>
      <c r="FTM24" s="21"/>
      <c r="FTN24" s="21"/>
      <c r="FTR24" s="15"/>
      <c r="FTX24" s="25"/>
      <c r="FUE24" s="21"/>
      <c r="FUF24" s="21"/>
      <c r="FUJ24" s="15"/>
      <c r="FUP24" s="25"/>
      <c r="FUW24" s="21"/>
      <c r="FUX24" s="21"/>
      <c r="FVB24" s="15"/>
      <c r="FVH24" s="25"/>
      <c r="FVO24" s="21"/>
      <c r="FVP24" s="21"/>
      <c r="FVT24" s="15"/>
      <c r="FVZ24" s="25"/>
      <c r="FWG24" s="21"/>
      <c r="FWH24" s="21"/>
      <c r="FWL24" s="15"/>
      <c r="FWR24" s="25"/>
      <c r="FWY24" s="21"/>
      <c r="FWZ24" s="21"/>
      <c r="FXD24" s="15"/>
      <c r="FXJ24" s="25"/>
      <c r="FXQ24" s="21"/>
      <c r="FXR24" s="21"/>
      <c r="FXV24" s="15"/>
      <c r="FYB24" s="25"/>
      <c r="FYI24" s="21"/>
      <c r="FYJ24" s="21"/>
      <c r="FYN24" s="15"/>
      <c r="FYT24" s="25"/>
      <c r="FZA24" s="21"/>
      <c r="FZB24" s="21"/>
      <c r="FZF24" s="15"/>
      <c r="FZL24" s="25"/>
      <c r="FZS24" s="21"/>
      <c r="FZT24" s="21"/>
      <c r="FZX24" s="15"/>
      <c r="GAD24" s="25"/>
      <c r="GAK24" s="21"/>
      <c r="GAL24" s="21"/>
      <c r="GAP24" s="15"/>
      <c r="GAV24" s="25"/>
      <c r="GBC24" s="21"/>
      <c r="GBD24" s="21"/>
      <c r="GBH24" s="15"/>
      <c r="GBN24" s="25"/>
      <c r="GBU24" s="21"/>
      <c r="GBV24" s="21"/>
      <c r="GBZ24" s="15"/>
      <c r="GCF24" s="25"/>
      <c r="GCM24" s="21"/>
      <c r="GCN24" s="21"/>
      <c r="GCR24" s="15"/>
      <c r="GCX24" s="25"/>
      <c r="GDE24" s="21"/>
      <c r="GDF24" s="21"/>
      <c r="GDJ24" s="15"/>
      <c r="GDP24" s="25"/>
      <c r="GDW24" s="21"/>
      <c r="GDX24" s="21"/>
      <c r="GEB24" s="15"/>
      <c r="GEH24" s="25"/>
      <c r="GEO24" s="21"/>
      <c r="GEP24" s="21"/>
      <c r="GET24" s="15"/>
      <c r="GEZ24" s="25"/>
      <c r="GFG24" s="21"/>
      <c r="GFH24" s="21"/>
      <c r="GFL24" s="15"/>
      <c r="GFR24" s="25"/>
      <c r="GFY24" s="21"/>
      <c r="GFZ24" s="21"/>
      <c r="GGD24" s="15"/>
      <c r="GGJ24" s="25"/>
      <c r="GGQ24" s="21"/>
      <c r="GGR24" s="21"/>
      <c r="GGV24" s="15"/>
      <c r="GHB24" s="25"/>
      <c r="GHI24" s="21"/>
      <c r="GHJ24" s="21"/>
      <c r="GHN24" s="15"/>
      <c r="GHT24" s="25"/>
      <c r="GIA24" s="21"/>
      <c r="GIB24" s="21"/>
      <c r="GIF24" s="15"/>
      <c r="GIL24" s="25"/>
      <c r="GIS24" s="21"/>
      <c r="GIT24" s="21"/>
      <c r="GIX24" s="15"/>
      <c r="GJD24" s="25"/>
      <c r="GJK24" s="21"/>
      <c r="GJL24" s="21"/>
      <c r="GJP24" s="15"/>
      <c r="GJV24" s="25"/>
      <c r="GKC24" s="21"/>
      <c r="GKD24" s="21"/>
      <c r="GKH24" s="15"/>
      <c r="GKN24" s="25"/>
      <c r="GKU24" s="21"/>
      <c r="GKV24" s="21"/>
      <c r="GKZ24" s="15"/>
      <c r="GLF24" s="25"/>
      <c r="GLM24" s="21"/>
      <c r="GLN24" s="21"/>
      <c r="GLR24" s="15"/>
      <c r="GLX24" s="25"/>
      <c r="GME24" s="21"/>
      <c r="GMF24" s="21"/>
      <c r="GMJ24" s="15"/>
      <c r="GMP24" s="25"/>
      <c r="GMW24" s="21"/>
      <c r="GMX24" s="21"/>
      <c r="GNB24" s="15"/>
      <c r="GNH24" s="25"/>
      <c r="GNO24" s="21"/>
      <c r="GNP24" s="21"/>
      <c r="GNT24" s="15"/>
      <c r="GNZ24" s="25"/>
      <c r="GOG24" s="21"/>
      <c r="GOH24" s="21"/>
      <c r="GOL24" s="15"/>
      <c r="GOR24" s="25"/>
      <c r="GOY24" s="21"/>
      <c r="GOZ24" s="21"/>
      <c r="GPD24" s="15"/>
      <c r="GPJ24" s="25"/>
      <c r="GPQ24" s="21"/>
      <c r="GPR24" s="21"/>
      <c r="GPV24" s="15"/>
      <c r="GQB24" s="25"/>
      <c r="GQI24" s="21"/>
      <c r="GQJ24" s="21"/>
      <c r="GQN24" s="15"/>
      <c r="GQT24" s="25"/>
      <c r="GRA24" s="21"/>
      <c r="GRB24" s="21"/>
      <c r="GRF24" s="15"/>
      <c r="GRL24" s="25"/>
      <c r="GRS24" s="21"/>
      <c r="GRT24" s="21"/>
      <c r="GRX24" s="15"/>
      <c r="GSD24" s="25"/>
      <c r="GSK24" s="21"/>
      <c r="GSL24" s="21"/>
      <c r="GSP24" s="15"/>
      <c r="GSV24" s="25"/>
      <c r="GTC24" s="21"/>
      <c r="GTD24" s="21"/>
      <c r="GTH24" s="15"/>
      <c r="GTN24" s="25"/>
      <c r="GTU24" s="21"/>
      <c r="GTV24" s="21"/>
      <c r="GTZ24" s="15"/>
      <c r="GUF24" s="25"/>
      <c r="GUM24" s="21"/>
      <c r="GUN24" s="21"/>
      <c r="GUR24" s="15"/>
      <c r="GUX24" s="25"/>
      <c r="GVE24" s="21"/>
      <c r="GVF24" s="21"/>
      <c r="GVJ24" s="15"/>
      <c r="GVP24" s="25"/>
      <c r="GVW24" s="21"/>
      <c r="GVX24" s="21"/>
      <c r="GWB24" s="15"/>
      <c r="GWH24" s="25"/>
      <c r="GWO24" s="21"/>
      <c r="GWP24" s="21"/>
      <c r="GWT24" s="15"/>
      <c r="GWZ24" s="25"/>
      <c r="GXG24" s="21"/>
      <c r="GXH24" s="21"/>
      <c r="GXL24" s="15"/>
      <c r="GXR24" s="25"/>
      <c r="GXY24" s="21"/>
      <c r="GXZ24" s="21"/>
      <c r="GYD24" s="15"/>
      <c r="GYJ24" s="25"/>
      <c r="GYQ24" s="21"/>
      <c r="GYR24" s="21"/>
      <c r="GYV24" s="15"/>
      <c r="GZB24" s="25"/>
      <c r="GZI24" s="21"/>
      <c r="GZJ24" s="21"/>
      <c r="GZN24" s="15"/>
      <c r="GZT24" s="25"/>
      <c r="HAA24" s="21"/>
      <c r="HAB24" s="21"/>
      <c r="HAF24" s="15"/>
      <c r="HAL24" s="25"/>
      <c r="HAS24" s="21"/>
      <c r="HAT24" s="21"/>
      <c r="HAX24" s="15"/>
      <c r="HBD24" s="25"/>
      <c r="HBK24" s="21"/>
      <c r="HBL24" s="21"/>
      <c r="HBP24" s="15"/>
      <c r="HBV24" s="25"/>
      <c r="HCC24" s="21"/>
      <c r="HCD24" s="21"/>
      <c r="HCH24" s="15"/>
      <c r="HCN24" s="25"/>
      <c r="HCU24" s="21"/>
      <c r="HCV24" s="21"/>
      <c r="HCZ24" s="15"/>
      <c r="HDF24" s="25"/>
      <c r="HDM24" s="21"/>
      <c r="HDN24" s="21"/>
      <c r="HDR24" s="15"/>
      <c r="HDX24" s="25"/>
      <c r="HEE24" s="21"/>
      <c r="HEF24" s="21"/>
      <c r="HEJ24" s="15"/>
      <c r="HEP24" s="25"/>
      <c r="HEW24" s="21"/>
      <c r="HEX24" s="21"/>
      <c r="HFB24" s="15"/>
      <c r="HFH24" s="25"/>
      <c r="HFO24" s="21"/>
      <c r="HFP24" s="21"/>
      <c r="HFT24" s="15"/>
      <c r="HFZ24" s="25"/>
      <c r="HGG24" s="21"/>
      <c r="HGH24" s="21"/>
      <c r="HGL24" s="15"/>
      <c r="HGR24" s="25"/>
      <c r="HGY24" s="21"/>
      <c r="HGZ24" s="21"/>
      <c r="HHD24" s="15"/>
      <c r="HHJ24" s="25"/>
      <c r="HHQ24" s="21"/>
      <c r="HHR24" s="21"/>
      <c r="HHV24" s="15"/>
      <c r="HIB24" s="25"/>
      <c r="HII24" s="21"/>
      <c r="HIJ24" s="21"/>
      <c r="HIN24" s="15"/>
      <c r="HIT24" s="25"/>
      <c r="HJA24" s="21"/>
      <c r="HJB24" s="21"/>
      <c r="HJF24" s="15"/>
      <c r="HJL24" s="25"/>
      <c r="HJS24" s="21"/>
      <c r="HJT24" s="21"/>
      <c r="HJX24" s="15"/>
      <c r="HKD24" s="25"/>
      <c r="HKK24" s="21"/>
      <c r="HKL24" s="21"/>
      <c r="HKP24" s="15"/>
      <c r="HKV24" s="25"/>
      <c r="HLC24" s="21"/>
      <c r="HLD24" s="21"/>
      <c r="HLH24" s="15"/>
      <c r="HLN24" s="25"/>
      <c r="HLU24" s="21"/>
      <c r="HLV24" s="21"/>
      <c r="HLZ24" s="15"/>
      <c r="HMF24" s="25"/>
      <c r="HMM24" s="21"/>
      <c r="HMN24" s="21"/>
      <c r="HMR24" s="15"/>
      <c r="HMX24" s="25"/>
      <c r="HNE24" s="21"/>
      <c r="HNF24" s="21"/>
      <c r="HNJ24" s="15"/>
      <c r="HNP24" s="25"/>
      <c r="HNW24" s="21"/>
      <c r="HNX24" s="21"/>
      <c r="HOB24" s="15"/>
      <c r="HOH24" s="25"/>
      <c r="HOO24" s="21"/>
      <c r="HOP24" s="21"/>
      <c r="HOT24" s="15"/>
      <c r="HOZ24" s="25"/>
      <c r="HPG24" s="21"/>
      <c r="HPH24" s="21"/>
      <c r="HPL24" s="15"/>
      <c r="HPR24" s="25"/>
      <c r="HPY24" s="21"/>
      <c r="HPZ24" s="21"/>
      <c r="HQD24" s="15"/>
      <c r="HQJ24" s="25"/>
      <c r="HQQ24" s="21"/>
      <c r="HQR24" s="21"/>
      <c r="HQV24" s="15"/>
      <c r="HRB24" s="25"/>
      <c r="HRI24" s="21"/>
      <c r="HRJ24" s="21"/>
      <c r="HRN24" s="15"/>
      <c r="HRT24" s="25"/>
      <c r="HSA24" s="21"/>
      <c r="HSB24" s="21"/>
      <c r="HSF24" s="15"/>
      <c r="HSL24" s="25"/>
      <c r="HSS24" s="21"/>
      <c r="HST24" s="21"/>
      <c r="HSX24" s="15"/>
      <c r="HTD24" s="25"/>
      <c r="HTK24" s="21"/>
      <c r="HTL24" s="21"/>
      <c r="HTP24" s="15"/>
      <c r="HTV24" s="25"/>
      <c r="HUC24" s="21"/>
      <c r="HUD24" s="21"/>
      <c r="HUH24" s="15"/>
      <c r="HUN24" s="25"/>
      <c r="HUU24" s="21"/>
      <c r="HUV24" s="21"/>
      <c r="HUZ24" s="15"/>
      <c r="HVF24" s="25"/>
      <c r="HVM24" s="21"/>
      <c r="HVN24" s="21"/>
      <c r="HVR24" s="15"/>
      <c r="HVX24" s="25"/>
      <c r="HWE24" s="21"/>
      <c r="HWF24" s="21"/>
      <c r="HWJ24" s="15"/>
      <c r="HWP24" s="25"/>
      <c r="HWW24" s="21"/>
      <c r="HWX24" s="21"/>
      <c r="HXB24" s="15"/>
      <c r="HXH24" s="25"/>
      <c r="HXO24" s="21"/>
      <c r="HXP24" s="21"/>
      <c r="HXT24" s="15"/>
      <c r="HXZ24" s="25"/>
      <c r="HYG24" s="21"/>
      <c r="HYH24" s="21"/>
      <c r="HYL24" s="15"/>
      <c r="HYR24" s="25"/>
      <c r="HYY24" s="21"/>
      <c r="HYZ24" s="21"/>
      <c r="HZD24" s="15"/>
      <c r="HZJ24" s="25"/>
      <c r="HZQ24" s="21"/>
      <c r="HZR24" s="21"/>
      <c r="HZV24" s="15"/>
      <c r="IAB24" s="25"/>
      <c r="IAI24" s="21"/>
      <c r="IAJ24" s="21"/>
      <c r="IAN24" s="15"/>
      <c r="IAT24" s="25"/>
      <c r="IBA24" s="21"/>
      <c r="IBB24" s="21"/>
      <c r="IBF24" s="15"/>
      <c r="IBL24" s="25"/>
      <c r="IBS24" s="21"/>
      <c r="IBT24" s="21"/>
      <c r="IBX24" s="15"/>
      <c r="ICD24" s="25"/>
      <c r="ICK24" s="21"/>
      <c r="ICL24" s="21"/>
      <c r="ICP24" s="15"/>
      <c r="ICV24" s="25"/>
      <c r="IDC24" s="21"/>
      <c r="IDD24" s="21"/>
      <c r="IDH24" s="15"/>
      <c r="IDN24" s="25"/>
      <c r="IDU24" s="21"/>
      <c r="IDV24" s="21"/>
      <c r="IDZ24" s="15"/>
      <c r="IEF24" s="25"/>
      <c r="IEM24" s="21"/>
      <c r="IEN24" s="21"/>
      <c r="IER24" s="15"/>
      <c r="IEX24" s="25"/>
      <c r="IFE24" s="21"/>
      <c r="IFF24" s="21"/>
      <c r="IFJ24" s="15"/>
      <c r="IFP24" s="25"/>
      <c r="IFW24" s="21"/>
      <c r="IFX24" s="21"/>
      <c r="IGB24" s="15"/>
      <c r="IGH24" s="25"/>
      <c r="IGO24" s="21"/>
      <c r="IGP24" s="21"/>
      <c r="IGT24" s="15"/>
      <c r="IGZ24" s="25"/>
      <c r="IHG24" s="21"/>
      <c r="IHH24" s="21"/>
      <c r="IHL24" s="15"/>
      <c r="IHR24" s="25"/>
      <c r="IHY24" s="21"/>
      <c r="IHZ24" s="21"/>
      <c r="IID24" s="15"/>
      <c r="IIJ24" s="25"/>
      <c r="IIQ24" s="21"/>
      <c r="IIR24" s="21"/>
      <c r="IIV24" s="15"/>
      <c r="IJB24" s="25"/>
      <c r="IJI24" s="21"/>
      <c r="IJJ24" s="21"/>
      <c r="IJN24" s="15"/>
      <c r="IJT24" s="25"/>
      <c r="IKA24" s="21"/>
      <c r="IKB24" s="21"/>
      <c r="IKF24" s="15"/>
      <c r="IKL24" s="25"/>
      <c r="IKS24" s="21"/>
      <c r="IKT24" s="21"/>
      <c r="IKX24" s="15"/>
      <c r="ILD24" s="25"/>
      <c r="ILK24" s="21"/>
      <c r="ILL24" s="21"/>
      <c r="ILP24" s="15"/>
      <c r="ILV24" s="25"/>
      <c r="IMC24" s="21"/>
      <c r="IMD24" s="21"/>
      <c r="IMH24" s="15"/>
      <c r="IMN24" s="25"/>
      <c r="IMU24" s="21"/>
      <c r="IMV24" s="21"/>
      <c r="IMZ24" s="15"/>
      <c r="INF24" s="25"/>
      <c r="INM24" s="21"/>
      <c r="INN24" s="21"/>
      <c r="INR24" s="15"/>
      <c r="INX24" s="25"/>
      <c r="IOE24" s="21"/>
      <c r="IOF24" s="21"/>
      <c r="IOJ24" s="15"/>
      <c r="IOP24" s="25"/>
      <c r="IOW24" s="21"/>
      <c r="IOX24" s="21"/>
      <c r="IPB24" s="15"/>
      <c r="IPH24" s="25"/>
      <c r="IPO24" s="21"/>
      <c r="IPP24" s="21"/>
      <c r="IPT24" s="15"/>
      <c r="IPZ24" s="25"/>
      <c r="IQG24" s="21"/>
      <c r="IQH24" s="21"/>
      <c r="IQL24" s="15"/>
      <c r="IQR24" s="25"/>
      <c r="IQY24" s="21"/>
      <c r="IQZ24" s="21"/>
      <c r="IRD24" s="15"/>
      <c r="IRJ24" s="25"/>
      <c r="IRQ24" s="21"/>
      <c r="IRR24" s="21"/>
      <c r="IRV24" s="15"/>
      <c r="ISB24" s="25"/>
      <c r="ISI24" s="21"/>
      <c r="ISJ24" s="21"/>
      <c r="ISN24" s="15"/>
      <c r="IST24" s="25"/>
      <c r="ITA24" s="21"/>
      <c r="ITB24" s="21"/>
      <c r="ITF24" s="15"/>
      <c r="ITL24" s="25"/>
      <c r="ITS24" s="21"/>
      <c r="ITT24" s="21"/>
      <c r="ITX24" s="15"/>
      <c r="IUD24" s="25"/>
      <c r="IUK24" s="21"/>
      <c r="IUL24" s="21"/>
      <c r="IUP24" s="15"/>
      <c r="IUV24" s="25"/>
      <c r="IVC24" s="21"/>
      <c r="IVD24" s="21"/>
      <c r="IVH24" s="15"/>
      <c r="IVN24" s="25"/>
      <c r="IVU24" s="21"/>
      <c r="IVV24" s="21"/>
      <c r="IVZ24" s="15"/>
      <c r="IWF24" s="25"/>
      <c r="IWM24" s="21"/>
      <c r="IWN24" s="21"/>
      <c r="IWR24" s="15"/>
      <c r="IWX24" s="25"/>
      <c r="IXE24" s="21"/>
      <c r="IXF24" s="21"/>
      <c r="IXJ24" s="15"/>
      <c r="IXP24" s="25"/>
      <c r="IXW24" s="21"/>
      <c r="IXX24" s="21"/>
      <c r="IYB24" s="15"/>
      <c r="IYH24" s="25"/>
      <c r="IYO24" s="21"/>
      <c r="IYP24" s="21"/>
      <c r="IYT24" s="15"/>
      <c r="IYZ24" s="25"/>
      <c r="IZG24" s="21"/>
      <c r="IZH24" s="21"/>
      <c r="IZL24" s="15"/>
      <c r="IZR24" s="25"/>
      <c r="IZY24" s="21"/>
      <c r="IZZ24" s="21"/>
      <c r="JAD24" s="15"/>
      <c r="JAJ24" s="25"/>
      <c r="JAQ24" s="21"/>
      <c r="JAR24" s="21"/>
      <c r="JAV24" s="15"/>
      <c r="JBB24" s="25"/>
      <c r="JBI24" s="21"/>
      <c r="JBJ24" s="21"/>
      <c r="JBN24" s="15"/>
      <c r="JBT24" s="25"/>
      <c r="JCA24" s="21"/>
      <c r="JCB24" s="21"/>
      <c r="JCF24" s="15"/>
      <c r="JCL24" s="25"/>
      <c r="JCS24" s="21"/>
      <c r="JCT24" s="21"/>
      <c r="JCX24" s="15"/>
      <c r="JDD24" s="25"/>
      <c r="JDK24" s="21"/>
      <c r="JDL24" s="21"/>
      <c r="JDP24" s="15"/>
      <c r="JDV24" s="25"/>
      <c r="JEC24" s="21"/>
      <c r="JED24" s="21"/>
      <c r="JEH24" s="15"/>
      <c r="JEN24" s="25"/>
      <c r="JEU24" s="21"/>
      <c r="JEV24" s="21"/>
      <c r="JEZ24" s="15"/>
      <c r="JFF24" s="25"/>
      <c r="JFM24" s="21"/>
      <c r="JFN24" s="21"/>
      <c r="JFR24" s="15"/>
      <c r="JFX24" s="25"/>
      <c r="JGE24" s="21"/>
      <c r="JGF24" s="21"/>
      <c r="JGJ24" s="15"/>
      <c r="JGP24" s="25"/>
      <c r="JGW24" s="21"/>
      <c r="JGX24" s="21"/>
      <c r="JHB24" s="15"/>
      <c r="JHH24" s="25"/>
      <c r="JHO24" s="21"/>
      <c r="JHP24" s="21"/>
      <c r="JHT24" s="15"/>
      <c r="JHZ24" s="25"/>
      <c r="JIG24" s="21"/>
      <c r="JIH24" s="21"/>
      <c r="JIL24" s="15"/>
      <c r="JIR24" s="25"/>
      <c r="JIY24" s="21"/>
      <c r="JIZ24" s="21"/>
      <c r="JJD24" s="15"/>
      <c r="JJJ24" s="25"/>
      <c r="JJQ24" s="21"/>
      <c r="JJR24" s="21"/>
      <c r="JJV24" s="15"/>
      <c r="JKB24" s="25"/>
      <c r="JKI24" s="21"/>
      <c r="JKJ24" s="21"/>
      <c r="JKN24" s="15"/>
      <c r="JKT24" s="25"/>
      <c r="JLA24" s="21"/>
      <c r="JLB24" s="21"/>
      <c r="JLF24" s="15"/>
      <c r="JLL24" s="25"/>
      <c r="JLS24" s="21"/>
      <c r="JLT24" s="21"/>
      <c r="JLX24" s="15"/>
      <c r="JMD24" s="25"/>
      <c r="JMK24" s="21"/>
      <c r="JML24" s="21"/>
      <c r="JMP24" s="15"/>
      <c r="JMV24" s="25"/>
      <c r="JNC24" s="21"/>
      <c r="JND24" s="21"/>
      <c r="JNH24" s="15"/>
      <c r="JNN24" s="25"/>
      <c r="JNU24" s="21"/>
      <c r="JNV24" s="21"/>
      <c r="JNZ24" s="15"/>
      <c r="JOF24" s="25"/>
      <c r="JOM24" s="21"/>
      <c r="JON24" s="21"/>
      <c r="JOR24" s="15"/>
      <c r="JOX24" s="25"/>
      <c r="JPE24" s="21"/>
      <c r="JPF24" s="21"/>
      <c r="JPJ24" s="15"/>
      <c r="JPP24" s="25"/>
      <c r="JPW24" s="21"/>
      <c r="JPX24" s="21"/>
      <c r="JQB24" s="15"/>
      <c r="JQH24" s="25"/>
      <c r="JQO24" s="21"/>
      <c r="JQP24" s="21"/>
      <c r="JQT24" s="15"/>
      <c r="JQZ24" s="25"/>
      <c r="JRG24" s="21"/>
      <c r="JRH24" s="21"/>
      <c r="JRL24" s="15"/>
      <c r="JRR24" s="25"/>
      <c r="JRY24" s="21"/>
      <c r="JRZ24" s="21"/>
      <c r="JSD24" s="15"/>
      <c r="JSJ24" s="25"/>
      <c r="JSQ24" s="21"/>
      <c r="JSR24" s="21"/>
      <c r="JSV24" s="15"/>
      <c r="JTB24" s="25"/>
      <c r="JTI24" s="21"/>
      <c r="JTJ24" s="21"/>
      <c r="JTN24" s="15"/>
      <c r="JTT24" s="25"/>
      <c r="JUA24" s="21"/>
      <c r="JUB24" s="21"/>
      <c r="JUF24" s="15"/>
      <c r="JUL24" s="25"/>
      <c r="JUS24" s="21"/>
      <c r="JUT24" s="21"/>
      <c r="JUX24" s="15"/>
      <c r="JVD24" s="25"/>
      <c r="JVK24" s="21"/>
      <c r="JVL24" s="21"/>
      <c r="JVP24" s="15"/>
      <c r="JVV24" s="25"/>
      <c r="JWC24" s="21"/>
      <c r="JWD24" s="21"/>
      <c r="JWH24" s="15"/>
      <c r="JWN24" s="25"/>
      <c r="JWU24" s="21"/>
      <c r="JWV24" s="21"/>
      <c r="JWZ24" s="15"/>
      <c r="JXF24" s="25"/>
      <c r="JXM24" s="21"/>
      <c r="JXN24" s="21"/>
      <c r="JXR24" s="15"/>
      <c r="JXX24" s="25"/>
      <c r="JYE24" s="21"/>
      <c r="JYF24" s="21"/>
      <c r="JYJ24" s="15"/>
      <c r="JYP24" s="25"/>
      <c r="JYW24" s="21"/>
      <c r="JYX24" s="21"/>
      <c r="JZB24" s="15"/>
      <c r="JZH24" s="25"/>
      <c r="JZO24" s="21"/>
      <c r="JZP24" s="21"/>
      <c r="JZT24" s="15"/>
      <c r="JZZ24" s="25"/>
      <c r="KAG24" s="21"/>
      <c r="KAH24" s="21"/>
      <c r="KAL24" s="15"/>
      <c r="KAR24" s="25"/>
      <c r="KAY24" s="21"/>
      <c r="KAZ24" s="21"/>
      <c r="KBD24" s="15"/>
      <c r="KBJ24" s="25"/>
      <c r="KBQ24" s="21"/>
      <c r="KBR24" s="21"/>
      <c r="KBV24" s="15"/>
      <c r="KCB24" s="25"/>
      <c r="KCI24" s="21"/>
      <c r="KCJ24" s="21"/>
      <c r="KCN24" s="15"/>
      <c r="KCT24" s="25"/>
      <c r="KDA24" s="21"/>
      <c r="KDB24" s="21"/>
      <c r="KDF24" s="15"/>
      <c r="KDL24" s="25"/>
      <c r="KDS24" s="21"/>
      <c r="KDT24" s="21"/>
      <c r="KDX24" s="15"/>
      <c r="KED24" s="25"/>
      <c r="KEK24" s="21"/>
      <c r="KEL24" s="21"/>
      <c r="KEP24" s="15"/>
      <c r="KEV24" s="25"/>
      <c r="KFC24" s="21"/>
      <c r="KFD24" s="21"/>
      <c r="KFH24" s="15"/>
      <c r="KFN24" s="25"/>
      <c r="KFU24" s="21"/>
      <c r="KFV24" s="21"/>
      <c r="KFZ24" s="15"/>
      <c r="KGF24" s="25"/>
      <c r="KGM24" s="21"/>
      <c r="KGN24" s="21"/>
      <c r="KGR24" s="15"/>
      <c r="KGX24" s="25"/>
      <c r="KHE24" s="21"/>
      <c r="KHF24" s="21"/>
      <c r="KHJ24" s="15"/>
      <c r="KHP24" s="25"/>
      <c r="KHW24" s="21"/>
      <c r="KHX24" s="21"/>
      <c r="KIB24" s="15"/>
      <c r="KIH24" s="25"/>
      <c r="KIO24" s="21"/>
      <c r="KIP24" s="21"/>
      <c r="KIT24" s="15"/>
      <c r="KIZ24" s="25"/>
      <c r="KJG24" s="21"/>
      <c r="KJH24" s="21"/>
      <c r="KJL24" s="15"/>
      <c r="KJR24" s="25"/>
      <c r="KJY24" s="21"/>
      <c r="KJZ24" s="21"/>
      <c r="KKD24" s="15"/>
      <c r="KKJ24" s="25"/>
      <c r="KKQ24" s="21"/>
      <c r="KKR24" s="21"/>
      <c r="KKV24" s="15"/>
      <c r="KLB24" s="25"/>
      <c r="KLI24" s="21"/>
      <c r="KLJ24" s="21"/>
      <c r="KLN24" s="15"/>
      <c r="KLT24" s="25"/>
      <c r="KMA24" s="21"/>
      <c r="KMB24" s="21"/>
      <c r="KMF24" s="15"/>
      <c r="KML24" s="25"/>
      <c r="KMS24" s="21"/>
      <c r="KMT24" s="21"/>
      <c r="KMX24" s="15"/>
      <c r="KND24" s="25"/>
      <c r="KNK24" s="21"/>
      <c r="KNL24" s="21"/>
      <c r="KNP24" s="15"/>
      <c r="KNV24" s="25"/>
      <c r="KOC24" s="21"/>
      <c r="KOD24" s="21"/>
      <c r="KOH24" s="15"/>
      <c r="KON24" s="25"/>
      <c r="KOU24" s="21"/>
      <c r="KOV24" s="21"/>
      <c r="KOZ24" s="15"/>
      <c r="KPF24" s="25"/>
      <c r="KPM24" s="21"/>
      <c r="KPN24" s="21"/>
      <c r="KPR24" s="15"/>
      <c r="KPX24" s="25"/>
      <c r="KQE24" s="21"/>
      <c r="KQF24" s="21"/>
      <c r="KQJ24" s="15"/>
      <c r="KQP24" s="25"/>
      <c r="KQW24" s="21"/>
      <c r="KQX24" s="21"/>
      <c r="KRB24" s="15"/>
      <c r="KRH24" s="25"/>
      <c r="KRO24" s="21"/>
      <c r="KRP24" s="21"/>
      <c r="KRT24" s="15"/>
      <c r="KRZ24" s="25"/>
      <c r="KSG24" s="21"/>
      <c r="KSH24" s="21"/>
      <c r="KSL24" s="15"/>
      <c r="KSR24" s="25"/>
      <c r="KSY24" s="21"/>
      <c r="KSZ24" s="21"/>
      <c r="KTD24" s="15"/>
      <c r="KTJ24" s="25"/>
      <c r="KTQ24" s="21"/>
      <c r="KTR24" s="21"/>
      <c r="KTV24" s="15"/>
      <c r="KUB24" s="25"/>
      <c r="KUI24" s="21"/>
      <c r="KUJ24" s="21"/>
      <c r="KUN24" s="15"/>
      <c r="KUT24" s="25"/>
      <c r="KVA24" s="21"/>
      <c r="KVB24" s="21"/>
      <c r="KVF24" s="15"/>
      <c r="KVL24" s="25"/>
      <c r="KVS24" s="21"/>
      <c r="KVT24" s="21"/>
      <c r="KVX24" s="15"/>
      <c r="KWD24" s="25"/>
      <c r="KWK24" s="21"/>
      <c r="KWL24" s="21"/>
      <c r="KWP24" s="15"/>
      <c r="KWV24" s="25"/>
      <c r="KXC24" s="21"/>
      <c r="KXD24" s="21"/>
      <c r="KXH24" s="15"/>
      <c r="KXN24" s="25"/>
      <c r="KXU24" s="21"/>
      <c r="KXV24" s="21"/>
      <c r="KXZ24" s="15"/>
      <c r="KYF24" s="25"/>
      <c r="KYM24" s="21"/>
      <c r="KYN24" s="21"/>
      <c r="KYR24" s="15"/>
      <c r="KYX24" s="25"/>
      <c r="KZE24" s="21"/>
      <c r="KZF24" s="21"/>
      <c r="KZJ24" s="15"/>
      <c r="KZP24" s="25"/>
      <c r="KZW24" s="21"/>
      <c r="KZX24" s="21"/>
      <c r="LAB24" s="15"/>
      <c r="LAH24" s="25"/>
      <c r="LAO24" s="21"/>
      <c r="LAP24" s="21"/>
      <c r="LAT24" s="15"/>
      <c r="LAZ24" s="25"/>
      <c r="LBG24" s="21"/>
      <c r="LBH24" s="21"/>
      <c r="LBL24" s="15"/>
      <c r="LBR24" s="25"/>
      <c r="LBY24" s="21"/>
      <c r="LBZ24" s="21"/>
      <c r="LCD24" s="15"/>
      <c r="LCJ24" s="25"/>
      <c r="LCQ24" s="21"/>
      <c r="LCR24" s="21"/>
      <c r="LCV24" s="15"/>
      <c r="LDB24" s="25"/>
      <c r="LDI24" s="21"/>
      <c r="LDJ24" s="21"/>
      <c r="LDN24" s="15"/>
      <c r="LDT24" s="25"/>
      <c r="LEA24" s="21"/>
      <c r="LEB24" s="21"/>
      <c r="LEF24" s="15"/>
      <c r="LEL24" s="25"/>
      <c r="LES24" s="21"/>
      <c r="LET24" s="21"/>
      <c r="LEX24" s="15"/>
      <c r="LFD24" s="25"/>
      <c r="LFK24" s="21"/>
      <c r="LFL24" s="21"/>
      <c r="LFP24" s="15"/>
      <c r="LFV24" s="25"/>
      <c r="LGC24" s="21"/>
      <c r="LGD24" s="21"/>
      <c r="LGH24" s="15"/>
      <c r="LGN24" s="25"/>
      <c r="LGU24" s="21"/>
      <c r="LGV24" s="21"/>
      <c r="LGZ24" s="15"/>
      <c r="LHF24" s="25"/>
      <c r="LHM24" s="21"/>
      <c r="LHN24" s="21"/>
      <c r="LHR24" s="15"/>
      <c r="LHX24" s="25"/>
      <c r="LIE24" s="21"/>
      <c r="LIF24" s="21"/>
      <c r="LIJ24" s="15"/>
      <c r="LIP24" s="25"/>
      <c r="LIW24" s="21"/>
      <c r="LIX24" s="21"/>
      <c r="LJB24" s="15"/>
      <c r="LJH24" s="25"/>
      <c r="LJO24" s="21"/>
      <c r="LJP24" s="21"/>
      <c r="LJT24" s="15"/>
      <c r="LJZ24" s="25"/>
      <c r="LKG24" s="21"/>
      <c r="LKH24" s="21"/>
      <c r="LKL24" s="15"/>
      <c r="LKR24" s="25"/>
      <c r="LKY24" s="21"/>
      <c r="LKZ24" s="21"/>
      <c r="LLD24" s="15"/>
      <c r="LLJ24" s="25"/>
      <c r="LLQ24" s="21"/>
      <c r="LLR24" s="21"/>
      <c r="LLV24" s="15"/>
      <c r="LMB24" s="25"/>
      <c r="LMI24" s="21"/>
      <c r="LMJ24" s="21"/>
      <c r="LMN24" s="15"/>
      <c r="LMT24" s="25"/>
      <c r="LNA24" s="21"/>
      <c r="LNB24" s="21"/>
      <c r="LNF24" s="15"/>
      <c r="LNL24" s="25"/>
      <c r="LNS24" s="21"/>
      <c r="LNT24" s="21"/>
      <c r="LNX24" s="15"/>
      <c r="LOD24" s="25"/>
      <c r="LOK24" s="21"/>
      <c r="LOL24" s="21"/>
      <c r="LOP24" s="15"/>
      <c r="LOV24" s="25"/>
      <c r="LPC24" s="21"/>
      <c r="LPD24" s="21"/>
      <c r="LPH24" s="15"/>
      <c r="LPN24" s="25"/>
      <c r="LPU24" s="21"/>
      <c r="LPV24" s="21"/>
      <c r="LPZ24" s="15"/>
      <c r="LQF24" s="25"/>
      <c r="LQM24" s="21"/>
      <c r="LQN24" s="21"/>
      <c r="LQR24" s="15"/>
      <c r="LQX24" s="25"/>
      <c r="LRE24" s="21"/>
      <c r="LRF24" s="21"/>
      <c r="LRJ24" s="15"/>
      <c r="LRP24" s="25"/>
      <c r="LRW24" s="21"/>
      <c r="LRX24" s="21"/>
      <c r="LSB24" s="15"/>
      <c r="LSH24" s="25"/>
      <c r="LSO24" s="21"/>
      <c r="LSP24" s="21"/>
      <c r="LST24" s="15"/>
      <c r="LSZ24" s="25"/>
      <c r="LTG24" s="21"/>
      <c r="LTH24" s="21"/>
      <c r="LTL24" s="15"/>
      <c r="LTR24" s="25"/>
      <c r="LTY24" s="21"/>
      <c r="LTZ24" s="21"/>
      <c r="LUD24" s="15"/>
      <c r="LUJ24" s="25"/>
      <c r="LUQ24" s="21"/>
      <c r="LUR24" s="21"/>
      <c r="LUV24" s="15"/>
      <c r="LVB24" s="25"/>
      <c r="LVI24" s="21"/>
      <c r="LVJ24" s="21"/>
      <c r="LVN24" s="15"/>
      <c r="LVT24" s="25"/>
      <c r="LWA24" s="21"/>
      <c r="LWB24" s="21"/>
      <c r="LWF24" s="15"/>
      <c r="LWL24" s="25"/>
      <c r="LWS24" s="21"/>
      <c r="LWT24" s="21"/>
      <c r="LWX24" s="15"/>
      <c r="LXD24" s="25"/>
      <c r="LXK24" s="21"/>
      <c r="LXL24" s="21"/>
      <c r="LXP24" s="15"/>
      <c r="LXV24" s="25"/>
      <c r="LYC24" s="21"/>
      <c r="LYD24" s="21"/>
      <c r="LYH24" s="15"/>
      <c r="LYN24" s="25"/>
      <c r="LYU24" s="21"/>
      <c r="LYV24" s="21"/>
      <c r="LYZ24" s="15"/>
      <c r="LZF24" s="25"/>
      <c r="LZM24" s="21"/>
      <c r="LZN24" s="21"/>
      <c r="LZR24" s="15"/>
      <c r="LZX24" s="25"/>
      <c r="MAE24" s="21"/>
      <c r="MAF24" s="21"/>
      <c r="MAJ24" s="15"/>
      <c r="MAP24" s="25"/>
      <c r="MAW24" s="21"/>
      <c r="MAX24" s="21"/>
      <c r="MBB24" s="15"/>
      <c r="MBH24" s="25"/>
      <c r="MBO24" s="21"/>
      <c r="MBP24" s="21"/>
      <c r="MBT24" s="15"/>
      <c r="MBZ24" s="25"/>
      <c r="MCG24" s="21"/>
      <c r="MCH24" s="21"/>
      <c r="MCL24" s="15"/>
      <c r="MCR24" s="25"/>
      <c r="MCY24" s="21"/>
      <c r="MCZ24" s="21"/>
      <c r="MDD24" s="15"/>
      <c r="MDJ24" s="25"/>
      <c r="MDQ24" s="21"/>
      <c r="MDR24" s="21"/>
      <c r="MDV24" s="15"/>
      <c r="MEB24" s="25"/>
      <c r="MEI24" s="21"/>
      <c r="MEJ24" s="21"/>
      <c r="MEN24" s="15"/>
      <c r="MET24" s="25"/>
      <c r="MFA24" s="21"/>
      <c r="MFB24" s="21"/>
      <c r="MFF24" s="15"/>
      <c r="MFL24" s="25"/>
      <c r="MFS24" s="21"/>
      <c r="MFT24" s="21"/>
      <c r="MFX24" s="15"/>
      <c r="MGD24" s="25"/>
      <c r="MGK24" s="21"/>
      <c r="MGL24" s="21"/>
      <c r="MGP24" s="15"/>
      <c r="MGV24" s="25"/>
      <c r="MHC24" s="21"/>
      <c r="MHD24" s="21"/>
      <c r="MHH24" s="15"/>
      <c r="MHN24" s="25"/>
      <c r="MHU24" s="21"/>
      <c r="MHV24" s="21"/>
      <c r="MHZ24" s="15"/>
      <c r="MIF24" s="25"/>
      <c r="MIM24" s="21"/>
      <c r="MIN24" s="21"/>
      <c r="MIR24" s="15"/>
      <c r="MIX24" s="25"/>
      <c r="MJE24" s="21"/>
      <c r="MJF24" s="21"/>
      <c r="MJJ24" s="15"/>
      <c r="MJP24" s="25"/>
      <c r="MJW24" s="21"/>
      <c r="MJX24" s="21"/>
      <c r="MKB24" s="15"/>
      <c r="MKH24" s="25"/>
      <c r="MKO24" s="21"/>
      <c r="MKP24" s="21"/>
      <c r="MKT24" s="15"/>
      <c r="MKZ24" s="25"/>
      <c r="MLG24" s="21"/>
      <c r="MLH24" s="21"/>
      <c r="MLL24" s="15"/>
      <c r="MLR24" s="25"/>
      <c r="MLY24" s="21"/>
      <c r="MLZ24" s="21"/>
      <c r="MMD24" s="15"/>
      <c r="MMJ24" s="25"/>
      <c r="MMQ24" s="21"/>
      <c r="MMR24" s="21"/>
      <c r="MMV24" s="15"/>
      <c r="MNB24" s="25"/>
      <c r="MNI24" s="21"/>
      <c r="MNJ24" s="21"/>
      <c r="MNN24" s="15"/>
      <c r="MNT24" s="25"/>
      <c r="MOA24" s="21"/>
      <c r="MOB24" s="21"/>
      <c r="MOF24" s="15"/>
      <c r="MOL24" s="25"/>
      <c r="MOS24" s="21"/>
      <c r="MOT24" s="21"/>
      <c r="MOX24" s="15"/>
      <c r="MPD24" s="25"/>
      <c r="MPK24" s="21"/>
      <c r="MPL24" s="21"/>
      <c r="MPP24" s="15"/>
      <c r="MPV24" s="25"/>
      <c r="MQC24" s="21"/>
      <c r="MQD24" s="21"/>
      <c r="MQH24" s="15"/>
      <c r="MQN24" s="25"/>
      <c r="MQU24" s="21"/>
      <c r="MQV24" s="21"/>
      <c r="MQZ24" s="15"/>
      <c r="MRF24" s="25"/>
      <c r="MRM24" s="21"/>
      <c r="MRN24" s="21"/>
      <c r="MRR24" s="15"/>
      <c r="MRX24" s="25"/>
      <c r="MSE24" s="21"/>
      <c r="MSF24" s="21"/>
      <c r="MSJ24" s="15"/>
      <c r="MSP24" s="25"/>
      <c r="MSW24" s="21"/>
      <c r="MSX24" s="21"/>
      <c r="MTB24" s="15"/>
      <c r="MTH24" s="25"/>
      <c r="MTO24" s="21"/>
      <c r="MTP24" s="21"/>
      <c r="MTT24" s="15"/>
      <c r="MTZ24" s="25"/>
      <c r="MUG24" s="21"/>
      <c r="MUH24" s="21"/>
      <c r="MUL24" s="15"/>
      <c r="MUR24" s="25"/>
      <c r="MUY24" s="21"/>
      <c r="MUZ24" s="21"/>
      <c r="MVD24" s="15"/>
      <c r="MVJ24" s="25"/>
      <c r="MVQ24" s="21"/>
      <c r="MVR24" s="21"/>
      <c r="MVV24" s="15"/>
      <c r="MWB24" s="25"/>
      <c r="MWI24" s="21"/>
      <c r="MWJ24" s="21"/>
      <c r="MWN24" s="15"/>
      <c r="MWT24" s="25"/>
      <c r="MXA24" s="21"/>
      <c r="MXB24" s="21"/>
      <c r="MXF24" s="15"/>
      <c r="MXL24" s="25"/>
      <c r="MXS24" s="21"/>
      <c r="MXT24" s="21"/>
      <c r="MXX24" s="15"/>
      <c r="MYD24" s="25"/>
      <c r="MYK24" s="21"/>
      <c r="MYL24" s="21"/>
      <c r="MYP24" s="15"/>
      <c r="MYV24" s="25"/>
      <c r="MZC24" s="21"/>
      <c r="MZD24" s="21"/>
      <c r="MZH24" s="15"/>
      <c r="MZN24" s="25"/>
      <c r="MZU24" s="21"/>
      <c r="MZV24" s="21"/>
      <c r="MZZ24" s="15"/>
      <c r="NAF24" s="25"/>
      <c r="NAM24" s="21"/>
      <c r="NAN24" s="21"/>
      <c r="NAR24" s="15"/>
      <c r="NAX24" s="25"/>
      <c r="NBE24" s="21"/>
      <c r="NBF24" s="21"/>
      <c r="NBJ24" s="15"/>
      <c r="NBP24" s="25"/>
      <c r="NBW24" s="21"/>
      <c r="NBX24" s="21"/>
      <c r="NCB24" s="15"/>
      <c r="NCH24" s="25"/>
      <c r="NCO24" s="21"/>
      <c r="NCP24" s="21"/>
      <c r="NCT24" s="15"/>
      <c r="NCZ24" s="25"/>
      <c r="NDG24" s="21"/>
      <c r="NDH24" s="21"/>
      <c r="NDL24" s="15"/>
      <c r="NDR24" s="25"/>
      <c r="NDY24" s="21"/>
      <c r="NDZ24" s="21"/>
      <c r="NED24" s="15"/>
      <c r="NEJ24" s="25"/>
      <c r="NEQ24" s="21"/>
      <c r="NER24" s="21"/>
      <c r="NEV24" s="15"/>
      <c r="NFB24" s="25"/>
      <c r="NFI24" s="21"/>
      <c r="NFJ24" s="21"/>
      <c r="NFN24" s="15"/>
      <c r="NFT24" s="25"/>
      <c r="NGA24" s="21"/>
      <c r="NGB24" s="21"/>
      <c r="NGF24" s="15"/>
      <c r="NGL24" s="25"/>
      <c r="NGS24" s="21"/>
      <c r="NGT24" s="21"/>
      <c r="NGX24" s="15"/>
      <c r="NHD24" s="25"/>
      <c r="NHK24" s="21"/>
      <c r="NHL24" s="21"/>
      <c r="NHP24" s="15"/>
      <c r="NHV24" s="25"/>
      <c r="NIC24" s="21"/>
      <c r="NID24" s="21"/>
      <c r="NIH24" s="15"/>
      <c r="NIN24" s="25"/>
      <c r="NIU24" s="21"/>
      <c r="NIV24" s="21"/>
      <c r="NIZ24" s="15"/>
      <c r="NJF24" s="25"/>
      <c r="NJM24" s="21"/>
      <c r="NJN24" s="21"/>
      <c r="NJR24" s="15"/>
      <c r="NJX24" s="25"/>
      <c r="NKE24" s="21"/>
      <c r="NKF24" s="21"/>
      <c r="NKJ24" s="15"/>
      <c r="NKP24" s="25"/>
      <c r="NKW24" s="21"/>
      <c r="NKX24" s="21"/>
      <c r="NLB24" s="15"/>
      <c r="NLH24" s="25"/>
      <c r="NLO24" s="21"/>
      <c r="NLP24" s="21"/>
      <c r="NLT24" s="15"/>
      <c r="NLZ24" s="25"/>
      <c r="NMG24" s="21"/>
      <c r="NMH24" s="21"/>
      <c r="NML24" s="15"/>
      <c r="NMR24" s="25"/>
      <c r="NMY24" s="21"/>
      <c r="NMZ24" s="21"/>
      <c r="NND24" s="15"/>
      <c r="NNJ24" s="25"/>
      <c r="NNQ24" s="21"/>
      <c r="NNR24" s="21"/>
      <c r="NNV24" s="15"/>
      <c r="NOB24" s="25"/>
      <c r="NOI24" s="21"/>
      <c r="NOJ24" s="21"/>
      <c r="NON24" s="15"/>
      <c r="NOT24" s="25"/>
      <c r="NPA24" s="21"/>
      <c r="NPB24" s="21"/>
      <c r="NPF24" s="15"/>
      <c r="NPL24" s="25"/>
      <c r="NPS24" s="21"/>
      <c r="NPT24" s="21"/>
      <c r="NPX24" s="15"/>
      <c r="NQD24" s="25"/>
      <c r="NQK24" s="21"/>
      <c r="NQL24" s="21"/>
      <c r="NQP24" s="15"/>
      <c r="NQV24" s="25"/>
      <c r="NRC24" s="21"/>
      <c r="NRD24" s="21"/>
      <c r="NRH24" s="15"/>
      <c r="NRN24" s="25"/>
      <c r="NRU24" s="21"/>
      <c r="NRV24" s="21"/>
      <c r="NRZ24" s="15"/>
      <c r="NSF24" s="25"/>
      <c r="NSM24" s="21"/>
      <c r="NSN24" s="21"/>
      <c r="NSR24" s="15"/>
      <c r="NSX24" s="25"/>
      <c r="NTE24" s="21"/>
      <c r="NTF24" s="21"/>
      <c r="NTJ24" s="15"/>
      <c r="NTP24" s="25"/>
      <c r="NTW24" s="21"/>
      <c r="NTX24" s="21"/>
      <c r="NUB24" s="15"/>
      <c r="NUH24" s="25"/>
      <c r="NUO24" s="21"/>
      <c r="NUP24" s="21"/>
      <c r="NUT24" s="15"/>
      <c r="NUZ24" s="25"/>
      <c r="NVG24" s="21"/>
      <c r="NVH24" s="21"/>
      <c r="NVL24" s="15"/>
      <c r="NVR24" s="25"/>
      <c r="NVY24" s="21"/>
      <c r="NVZ24" s="21"/>
      <c r="NWD24" s="15"/>
      <c r="NWJ24" s="25"/>
      <c r="NWQ24" s="21"/>
      <c r="NWR24" s="21"/>
      <c r="NWV24" s="15"/>
      <c r="NXB24" s="25"/>
      <c r="NXI24" s="21"/>
      <c r="NXJ24" s="21"/>
      <c r="NXN24" s="15"/>
      <c r="NXT24" s="25"/>
      <c r="NYA24" s="21"/>
      <c r="NYB24" s="21"/>
      <c r="NYF24" s="15"/>
      <c r="NYL24" s="25"/>
      <c r="NYS24" s="21"/>
      <c r="NYT24" s="21"/>
      <c r="NYX24" s="15"/>
      <c r="NZD24" s="25"/>
      <c r="NZK24" s="21"/>
      <c r="NZL24" s="21"/>
      <c r="NZP24" s="15"/>
      <c r="NZV24" s="25"/>
      <c r="OAC24" s="21"/>
      <c r="OAD24" s="21"/>
      <c r="OAH24" s="15"/>
      <c r="OAN24" s="25"/>
      <c r="OAU24" s="21"/>
      <c r="OAV24" s="21"/>
      <c r="OAZ24" s="15"/>
      <c r="OBF24" s="25"/>
      <c r="OBM24" s="21"/>
      <c r="OBN24" s="21"/>
      <c r="OBR24" s="15"/>
      <c r="OBX24" s="25"/>
      <c r="OCE24" s="21"/>
      <c r="OCF24" s="21"/>
      <c r="OCJ24" s="15"/>
      <c r="OCP24" s="25"/>
      <c r="OCW24" s="21"/>
      <c r="OCX24" s="21"/>
      <c r="ODB24" s="15"/>
      <c r="ODH24" s="25"/>
      <c r="ODO24" s="21"/>
      <c r="ODP24" s="21"/>
      <c r="ODT24" s="15"/>
      <c r="ODZ24" s="25"/>
      <c r="OEG24" s="21"/>
      <c r="OEH24" s="21"/>
      <c r="OEL24" s="15"/>
      <c r="OER24" s="25"/>
      <c r="OEY24" s="21"/>
      <c r="OEZ24" s="21"/>
      <c r="OFD24" s="15"/>
      <c r="OFJ24" s="25"/>
      <c r="OFQ24" s="21"/>
      <c r="OFR24" s="21"/>
      <c r="OFV24" s="15"/>
      <c r="OGB24" s="25"/>
      <c r="OGI24" s="21"/>
      <c r="OGJ24" s="21"/>
      <c r="OGN24" s="15"/>
      <c r="OGT24" s="25"/>
      <c r="OHA24" s="21"/>
      <c r="OHB24" s="21"/>
      <c r="OHF24" s="15"/>
      <c r="OHL24" s="25"/>
      <c r="OHS24" s="21"/>
      <c r="OHT24" s="21"/>
      <c r="OHX24" s="15"/>
      <c r="OID24" s="25"/>
      <c r="OIK24" s="21"/>
      <c r="OIL24" s="21"/>
      <c r="OIP24" s="15"/>
      <c r="OIV24" s="25"/>
      <c r="OJC24" s="21"/>
      <c r="OJD24" s="21"/>
      <c r="OJH24" s="15"/>
      <c r="OJN24" s="25"/>
      <c r="OJU24" s="21"/>
      <c r="OJV24" s="21"/>
      <c r="OJZ24" s="15"/>
      <c r="OKF24" s="25"/>
      <c r="OKM24" s="21"/>
      <c r="OKN24" s="21"/>
      <c r="OKR24" s="15"/>
      <c r="OKX24" s="25"/>
      <c r="OLE24" s="21"/>
      <c r="OLF24" s="21"/>
      <c r="OLJ24" s="15"/>
      <c r="OLP24" s="25"/>
      <c r="OLW24" s="21"/>
      <c r="OLX24" s="21"/>
      <c r="OMB24" s="15"/>
      <c r="OMH24" s="25"/>
      <c r="OMO24" s="21"/>
      <c r="OMP24" s="21"/>
      <c r="OMT24" s="15"/>
      <c r="OMZ24" s="25"/>
      <c r="ONG24" s="21"/>
      <c r="ONH24" s="21"/>
      <c r="ONL24" s="15"/>
      <c r="ONR24" s="25"/>
      <c r="ONY24" s="21"/>
      <c r="ONZ24" s="21"/>
      <c r="OOD24" s="15"/>
      <c r="OOJ24" s="25"/>
      <c r="OOQ24" s="21"/>
      <c r="OOR24" s="21"/>
      <c r="OOV24" s="15"/>
      <c r="OPB24" s="25"/>
      <c r="OPI24" s="21"/>
      <c r="OPJ24" s="21"/>
      <c r="OPN24" s="15"/>
      <c r="OPT24" s="25"/>
      <c r="OQA24" s="21"/>
      <c r="OQB24" s="21"/>
      <c r="OQF24" s="15"/>
      <c r="OQL24" s="25"/>
      <c r="OQS24" s="21"/>
      <c r="OQT24" s="21"/>
      <c r="OQX24" s="15"/>
      <c r="ORD24" s="25"/>
      <c r="ORK24" s="21"/>
      <c r="ORL24" s="21"/>
      <c r="ORP24" s="15"/>
      <c r="ORV24" s="25"/>
      <c r="OSC24" s="21"/>
      <c r="OSD24" s="21"/>
      <c r="OSH24" s="15"/>
      <c r="OSN24" s="25"/>
      <c r="OSU24" s="21"/>
      <c r="OSV24" s="21"/>
      <c r="OSZ24" s="15"/>
      <c r="OTF24" s="25"/>
      <c r="OTM24" s="21"/>
      <c r="OTN24" s="21"/>
      <c r="OTR24" s="15"/>
      <c r="OTX24" s="25"/>
      <c r="OUE24" s="21"/>
      <c r="OUF24" s="21"/>
      <c r="OUJ24" s="15"/>
      <c r="OUP24" s="25"/>
      <c r="OUW24" s="21"/>
      <c r="OUX24" s="21"/>
      <c r="OVB24" s="15"/>
      <c r="OVH24" s="25"/>
      <c r="OVO24" s="21"/>
      <c r="OVP24" s="21"/>
      <c r="OVT24" s="15"/>
      <c r="OVZ24" s="25"/>
      <c r="OWG24" s="21"/>
      <c r="OWH24" s="21"/>
      <c r="OWL24" s="15"/>
      <c r="OWR24" s="25"/>
      <c r="OWY24" s="21"/>
      <c r="OWZ24" s="21"/>
      <c r="OXD24" s="15"/>
      <c r="OXJ24" s="25"/>
      <c r="OXQ24" s="21"/>
      <c r="OXR24" s="21"/>
      <c r="OXV24" s="15"/>
      <c r="OYB24" s="25"/>
      <c r="OYI24" s="21"/>
      <c r="OYJ24" s="21"/>
      <c r="OYN24" s="15"/>
      <c r="OYT24" s="25"/>
      <c r="OZA24" s="21"/>
      <c r="OZB24" s="21"/>
      <c r="OZF24" s="15"/>
      <c r="OZL24" s="25"/>
      <c r="OZS24" s="21"/>
      <c r="OZT24" s="21"/>
      <c r="OZX24" s="15"/>
      <c r="PAD24" s="25"/>
      <c r="PAK24" s="21"/>
      <c r="PAL24" s="21"/>
      <c r="PAP24" s="15"/>
      <c r="PAV24" s="25"/>
      <c r="PBC24" s="21"/>
      <c r="PBD24" s="21"/>
      <c r="PBH24" s="15"/>
      <c r="PBN24" s="25"/>
      <c r="PBU24" s="21"/>
      <c r="PBV24" s="21"/>
      <c r="PBZ24" s="15"/>
      <c r="PCF24" s="25"/>
      <c r="PCM24" s="21"/>
      <c r="PCN24" s="21"/>
      <c r="PCR24" s="15"/>
      <c r="PCX24" s="25"/>
      <c r="PDE24" s="21"/>
      <c r="PDF24" s="21"/>
      <c r="PDJ24" s="15"/>
      <c r="PDP24" s="25"/>
      <c r="PDW24" s="21"/>
      <c r="PDX24" s="21"/>
      <c r="PEB24" s="15"/>
      <c r="PEH24" s="25"/>
      <c r="PEO24" s="21"/>
      <c r="PEP24" s="21"/>
      <c r="PET24" s="15"/>
      <c r="PEZ24" s="25"/>
      <c r="PFG24" s="21"/>
      <c r="PFH24" s="21"/>
      <c r="PFL24" s="15"/>
      <c r="PFR24" s="25"/>
      <c r="PFY24" s="21"/>
      <c r="PFZ24" s="21"/>
      <c r="PGD24" s="15"/>
      <c r="PGJ24" s="25"/>
      <c r="PGQ24" s="21"/>
      <c r="PGR24" s="21"/>
      <c r="PGV24" s="15"/>
      <c r="PHB24" s="25"/>
      <c r="PHI24" s="21"/>
      <c r="PHJ24" s="21"/>
      <c r="PHN24" s="15"/>
      <c r="PHT24" s="25"/>
      <c r="PIA24" s="21"/>
      <c r="PIB24" s="21"/>
      <c r="PIF24" s="15"/>
      <c r="PIL24" s="25"/>
      <c r="PIS24" s="21"/>
      <c r="PIT24" s="21"/>
      <c r="PIX24" s="15"/>
      <c r="PJD24" s="25"/>
      <c r="PJK24" s="21"/>
      <c r="PJL24" s="21"/>
      <c r="PJP24" s="15"/>
      <c r="PJV24" s="25"/>
      <c r="PKC24" s="21"/>
      <c r="PKD24" s="21"/>
      <c r="PKH24" s="15"/>
      <c r="PKN24" s="25"/>
      <c r="PKU24" s="21"/>
      <c r="PKV24" s="21"/>
      <c r="PKZ24" s="15"/>
      <c r="PLF24" s="25"/>
      <c r="PLM24" s="21"/>
      <c r="PLN24" s="21"/>
      <c r="PLR24" s="15"/>
      <c r="PLX24" s="25"/>
      <c r="PME24" s="21"/>
      <c r="PMF24" s="21"/>
      <c r="PMJ24" s="15"/>
      <c r="PMP24" s="25"/>
      <c r="PMW24" s="21"/>
      <c r="PMX24" s="21"/>
      <c r="PNB24" s="15"/>
      <c r="PNH24" s="25"/>
      <c r="PNO24" s="21"/>
      <c r="PNP24" s="21"/>
      <c r="PNT24" s="15"/>
      <c r="PNZ24" s="25"/>
      <c r="POG24" s="21"/>
      <c r="POH24" s="21"/>
      <c r="POL24" s="15"/>
      <c r="POR24" s="25"/>
      <c r="POY24" s="21"/>
      <c r="POZ24" s="21"/>
      <c r="PPD24" s="15"/>
      <c r="PPJ24" s="25"/>
      <c r="PPQ24" s="21"/>
      <c r="PPR24" s="21"/>
      <c r="PPV24" s="15"/>
      <c r="PQB24" s="25"/>
      <c r="PQI24" s="21"/>
      <c r="PQJ24" s="21"/>
      <c r="PQN24" s="15"/>
      <c r="PQT24" s="25"/>
      <c r="PRA24" s="21"/>
      <c r="PRB24" s="21"/>
      <c r="PRF24" s="15"/>
      <c r="PRL24" s="25"/>
      <c r="PRS24" s="21"/>
      <c r="PRT24" s="21"/>
      <c r="PRX24" s="15"/>
      <c r="PSD24" s="25"/>
      <c r="PSK24" s="21"/>
      <c r="PSL24" s="21"/>
      <c r="PSP24" s="15"/>
      <c r="PSV24" s="25"/>
      <c r="PTC24" s="21"/>
      <c r="PTD24" s="21"/>
      <c r="PTH24" s="15"/>
      <c r="PTN24" s="25"/>
      <c r="PTU24" s="21"/>
      <c r="PTV24" s="21"/>
      <c r="PTZ24" s="15"/>
      <c r="PUF24" s="25"/>
      <c r="PUM24" s="21"/>
      <c r="PUN24" s="21"/>
      <c r="PUR24" s="15"/>
      <c r="PUX24" s="25"/>
      <c r="PVE24" s="21"/>
      <c r="PVF24" s="21"/>
      <c r="PVJ24" s="15"/>
      <c r="PVP24" s="25"/>
      <c r="PVW24" s="21"/>
      <c r="PVX24" s="21"/>
      <c r="PWB24" s="15"/>
      <c r="PWH24" s="25"/>
      <c r="PWO24" s="21"/>
      <c r="PWP24" s="21"/>
      <c r="PWT24" s="15"/>
      <c r="PWZ24" s="25"/>
      <c r="PXG24" s="21"/>
      <c r="PXH24" s="21"/>
      <c r="PXL24" s="15"/>
      <c r="PXR24" s="25"/>
      <c r="PXY24" s="21"/>
      <c r="PXZ24" s="21"/>
      <c r="PYD24" s="15"/>
      <c r="PYJ24" s="25"/>
      <c r="PYQ24" s="21"/>
      <c r="PYR24" s="21"/>
      <c r="PYV24" s="15"/>
      <c r="PZB24" s="25"/>
      <c r="PZI24" s="21"/>
      <c r="PZJ24" s="21"/>
      <c r="PZN24" s="15"/>
      <c r="PZT24" s="25"/>
      <c r="QAA24" s="21"/>
      <c r="QAB24" s="21"/>
      <c r="QAF24" s="15"/>
      <c r="QAL24" s="25"/>
      <c r="QAS24" s="21"/>
      <c r="QAT24" s="21"/>
      <c r="QAX24" s="15"/>
      <c r="QBD24" s="25"/>
      <c r="QBK24" s="21"/>
      <c r="QBL24" s="21"/>
      <c r="QBP24" s="15"/>
      <c r="QBV24" s="25"/>
      <c r="QCC24" s="21"/>
      <c r="QCD24" s="21"/>
      <c r="QCH24" s="15"/>
      <c r="QCN24" s="25"/>
      <c r="QCU24" s="21"/>
      <c r="QCV24" s="21"/>
      <c r="QCZ24" s="15"/>
      <c r="QDF24" s="25"/>
      <c r="QDM24" s="21"/>
      <c r="QDN24" s="21"/>
      <c r="QDR24" s="15"/>
      <c r="QDX24" s="25"/>
      <c r="QEE24" s="21"/>
      <c r="QEF24" s="21"/>
      <c r="QEJ24" s="15"/>
      <c r="QEP24" s="25"/>
      <c r="QEW24" s="21"/>
      <c r="QEX24" s="21"/>
      <c r="QFB24" s="15"/>
      <c r="QFH24" s="25"/>
      <c r="QFO24" s="21"/>
      <c r="QFP24" s="21"/>
      <c r="QFT24" s="15"/>
      <c r="QFZ24" s="25"/>
      <c r="QGG24" s="21"/>
      <c r="QGH24" s="21"/>
      <c r="QGL24" s="15"/>
      <c r="QGR24" s="25"/>
      <c r="QGY24" s="21"/>
      <c r="QGZ24" s="21"/>
      <c r="QHD24" s="15"/>
      <c r="QHJ24" s="25"/>
      <c r="QHQ24" s="21"/>
      <c r="QHR24" s="21"/>
      <c r="QHV24" s="15"/>
      <c r="QIB24" s="25"/>
      <c r="QII24" s="21"/>
      <c r="QIJ24" s="21"/>
      <c r="QIN24" s="15"/>
      <c r="QIT24" s="25"/>
      <c r="QJA24" s="21"/>
      <c r="QJB24" s="21"/>
      <c r="QJF24" s="15"/>
      <c r="QJL24" s="25"/>
      <c r="QJS24" s="21"/>
      <c r="QJT24" s="21"/>
      <c r="QJX24" s="15"/>
      <c r="QKD24" s="25"/>
      <c r="QKK24" s="21"/>
      <c r="QKL24" s="21"/>
      <c r="QKP24" s="15"/>
      <c r="QKV24" s="25"/>
      <c r="QLC24" s="21"/>
      <c r="QLD24" s="21"/>
      <c r="QLH24" s="15"/>
      <c r="QLN24" s="25"/>
      <c r="QLU24" s="21"/>
      <c r="QLV24" s="21"/>
      <c r="QLZ24" s="15"/>
      <c r="QMF24" s="25"/>
      <c r="QMM24" s="21"/>
      <c r="QMN24" s="21"/>
      <c r="QMR24" s="15"/>
      <c r="QMX24" s="25"/>
      <c r="QNE24" s="21"/>
      <c r="QNF24" s="21"/>
      <c r="QNJ24" s="15"/>
      <c r="QNP24" s="25"/>
      <c r="QNW24" s="21"/>
      <c r="QNX24" s="21"/>
      <c r="QOB24" s="15"/>
      <c r="QOH24" s="25"/>
      <c r="QOO24" s="21"/>
      <c r="QOP24" s="21"/>
      <c r="QOT24" s="15"/>
      <c r="QOZ24" s="25"/>
      <c r="QPG24" s="21"/>
      <c r="QPH24" s="21"/>
      <c r="QPL24" s="15"/>
      <c r="QPR24" s="25"/>
      <c r="QPY24" s="21"/>
      <c r="QPZ24" s="21"/>
      <c r="QQD24" s="15"/>
      <c r="QQJ24" s="25"/>
      <c r="QQQ24" s="21"/>
      <c r="QQR24" s="21"/>
      <c r="QQV24" s="15"/>
      <c r="QRB24" s="25"/>
      <c r="QRI24" s="21"/>
      <c r="QRJ24" s="21"/>
      <c r="QRN24" s="15"/>
      <c r="QRT24" s="25"/>
      <c r="QSA24" s="21"/>
      <c r="QSB24" s="21"/>
      <c r="QSF24" s="15"/>
      <c r="QSL24" s="25"/>
      <c r="QSS24" s="21"/>
      <c r="QST24" s="21"/>
      <c r="QSX24" s="15"/>
      <c r="QTD24" s="25"/>
      <c r="QTK24" s="21"/>
      <c r="QTL24" s="21"/>
      <c r="QTP24" s="15"/>
      <c r="QTV24" s="25"/>
      <c r="QUC24" s="21"/>
      <c r="QUD24" s="21"/>
      <c r="QUH24" s="15"/>
      <c r="QUN24" s="25"/>
      <c r="QUU24" s="21"/>
      <c r="QUV24" s="21"/>
      <c r="QUZ24" s="15"/>
      <c r="QVF24" s="25"/>
      <c r="QVM24" s="21"/>
      <c r="QVN24" s="21"/>
      <c r="QVR24" s="15"/>
      <c r="QVX24" s="25"/>
      <c r="QWE24" s="21"/>
      <c r="QWF24" s="21"/>
      <c r="QWJ24" s="15"/>
      <c r="QWP24" s="25"/>
      <c r="QWW24" s="21"/>
      <c r="QWX24" s="21"/>
      <c r="QXB24" s="15"/>
      <c r="QXH24" s="25"/>
      <c r="QXO24" s="21"/>
      <c r="QXP24" s="21"/>
      <c r="QXT24" s="15"/>
      <c r="QXZ24" s="25"/>
      <c r="QYG24" s="21"/>
      <c r="QYH24" s="21"/>
      <c r="QYL24" s="15"/>
      <c r="QYR24" s="25"/>
      <c r="QYY24" s="21"/>
      <c r="QYZ24" s="21"/>
      <c r="QZD24" s="15"/>
      <c r="QZJ24" s="25"/>
      <c r="QZQ24" s="21"/>
      <c r="QZR24" s="21"/>
      <c r="QZV24" s="15"/>
      <c r="RAB24" s="25"/>
      <c r="RAI24" s="21"/>
      <c r="RAJ24" s="21"/>
      <c r="RAN24" s="15"/>
      <c r="RAT24" s="25"/>
      <c r="RBA24" s="21"/>
      <c r="RBB24" s="21"/>
      <c r="RBF24" s="15"/>
      <c r="RBL24" s="25"/>
      <c r="RBS24" s="21"/>
      <c r="RBT24" s="21"/>
      <c r="RBX24" s="15"/>
      <c r="RCD24" s="25"/>
      <c r="RCK24" s="21"/>
      <c r="RCL24" s="21"/>
      <c r="RCP24" s="15"/>
      <c r="RCV24" s="25"/>
      <c r="RDC24" s="21"/>
      <c r="RDD24" s="21"/>
      <c r="RDH24" s="15"/>
      <c r="RDN24" s="25"/>
      <c r="RDU24" s="21"/>
      <c r="RDV24" s="21"/>
      <c r="RDZ24" s="15"/>
      <c r="REF24" s="25"/>
      <c r="REM24" s="21"/>
      <c r="REN24" s="21"/>
      <c r="RER24" s="15"/>
      <c r="REX24" s="25"/>
      <c r="RFE24" s="21"/>
      <c r="RFF24" s="21"/>
      <c r="RFJ24" s="15"/>
      <c r="RFP24" s="25"/>
      <c r="RFW24" s="21"/>
      <c r="RFX24" s="21"/>
      <c r="RGB24" s="15"/>
      <c r="RGH24" s="25"/>
      <c r="RGO24" s="21"/>
      <c r="RGP24" s="21"/>
      <c r="RGT24" s="15"/>
      <c r="RGZ24" s="25"/>
      <c r="RHG24" s="21"/>
      <c r="RHH24" s="21"/>
      <c r="RHL24" s="15"/>
      <c r="RHR24" s="25"/>
      <c r="RHY24" s="21"/>
      <c r="RHZ24" s="21"/>
      <c r="RID24" s="15"/>
      <c r="RIJ24" s="25"/>
      <c r="RIQ24" s="21"/>
      <c r="RIR24" s="21"/>
      <c r="RIV24" s="15"/>
      <c r="RJB24" s="25"/>
      <c r="RJI24" s="21"/>
      <c r="RJJ24" s="21"/>
      <c r="RJN24" s="15"/>
      <c r="RJT24" s="25"/>
      <c r="RKA24" s="21"/>
      <c r="RKB24" s="21"/>
      <c r="RKF24" s="15"/>
      <c r="RKL24" s="25"/>
      <c r="RKS24" s="21"/>
      <c r="RKT24" s="21"/>
      <c r="RKX24" s="15"/>
      <c r="RLD24" s="25"/>
      <c r="RLK24" s="21"/>
      <c r="RLL24" s="21"/>
      <c r="RLP24" s="15"/>
      <c r="RLV24" s="25"/>
      <c r="RMC24" s="21"/>
      <c r="RMD24" s="21"/>
      <c r="RMH24" s="15"/>
      <c r="RMN24" s="25"/>
      <c r="RMU24" s="21"/>
      <c r="RMV24" s="21"/>
      <c r="RMZ24" s="15"/>
      <c r="RNF24" s="25"/>
      <c r="RNM24" s="21"/>
      <c r="RNN24" s="21"/>
      <c r="RNR24" s="15"/>
      <c r="RNX24" s="25"/>
      <c r="ROE24" s="21"/>
      <c r="ROF24" s="21"/>
      <c r="ROJ24" s="15"/>
      <c r="ROP24" s="25"/>
      <c r="ROW24" s="21"/>
      <c r="ROX24" s="21"/>
      <c r="RPB24" s="15"/>
      <c r="RPH24" s="25"/>
      <c r="RPO24" s="21"/>
      <c r="RPP24" s="21"/>
      <c r="RPT24" s="15"/>
      <c r="RPZ24" s="25"/>
      <c r="RQG24" s="21"/>
      <c r="RQH24" s="21"/>
      <c r="RQL24" s="15"/>
      <c r="RQR24" s="25"/>
      <c r="RQY24" s="21"/>
      <c r="RQZ24" s="21"/>
      <c r="RRD24" s="15"/>
      <c r="RRJ24" s="25"/>
      <c r="RRQ24" s="21"/>
      <c r="RRR24" s="21"/>
      <c r="RRV24" s="15"/>
      <c r="RSB24" s="25"/>
      <c r="RSI24" s="21"/>
      <c r="RSJ24" s="21"/>
      <c r="RSN24" s="15"/>
      <c r="RST24" s="25"/>
      <c r="RTA24" s="21"/>
      <c r="RTB24" s="21"/>
      <c r="RTF24" s="15"/>
      <c r="RTL24" s="25"/>
      <c r="RTS24" s="21"/>
      <c r="RTT24" s="21"/>
      <c r="RTX24" s="15"/>
      <c r="RUD24" s="25"/>
      <c r="RUK24" s="21"/>
      <c r="RUL24" s="21"/>
      <c r="RUP24" s="15"/>
      <c r="RUV24" s="25"/>
      <c r="RVC24" s="21"/>
      <c r="RVD24" s="21"/>
      <c r="RVH24" s="15"/>
      <c r="RVN24" s="25"/>
      <c r="RVU24" s="21"/>
      <c r="RVV24" s="21"/>
      <c r="RVZ24" s="15"/>
      <c r="RWF24" s="25"/>
      <c r="RWM24" s="21"/>
      <c r="RWN24" s="21"/>
      <c r="RWR24" s="15"/>
      <c r="RWX24" s="25"/>
      <c r="RXE24" s="21"/>
      <c r="RXF24" s="21"/>
      <c r="RXJ24" s="15"/>
      <c r="RXP24" s="25"/>
      <c r="RXW24" s="21"/>
      <c r="RXX24" s="21"/>
      <c r="RYB24" s="15"/>
      <c r="RYH24" s="25"/>
      <c r="RYO24" s="21"/>
      <c r="RYP24" s="21"/>
      <c r="RYT24" s="15"/>
      <c r="RYZ24" s="25"/>
      <c r="RZG24" s="21"/>
      <c r="RZH24" s="21"/>
      <c r="RZL24" s="15"/>
      <c r="RZR24" s="25"/>
      <c r="RZY24" s="21"/>
      <c r="RZZ24" s="21"/>
      <c r="SAD24" s="15"/>
      <c r="SAJ24" s="25"/>
      <c r="SAQ24" s="21"/>
      <c r="SAR24" s="21"/>
      <c r="SAV24" s="15"/>
      <c r="SBB24" s="25"/>
      <c r="SBI24" s="21"/>
      <c r="SBJ24" s="21"/>
      <c r="SBN24" s="15"/>
      <c r="SBT24" s="25"/>
      <c r="SCA24" s="21"/>
      <c r="SCB24" s="21"/>
      <c r="SCF24" s="15"/>
      <c r="SCL24" s="25"/>
      <c r="SCS24" s="21"/>
      <c r="SCT24" s="21"/>
      <c r="SCX24" s="15"/>
      <c r="SDD24" s="25"/>
      <c r="SDK24" s="21"/>
      <c r="SDL24" s="21"/>
      <c r="SDP24" s="15"/>
      <c r="SDV24" s="25"/>
      <c r="SEC24" s="21"/>
      <c r="SED24" s="21"/>
      <c r="SEH24" s="15"/>
      <c r="SEN24" s="25"/>
      <c r="SEU24" s="21"/>
      <c r="SEV24" s="21"/>
      <c r="SEZ24" s="15"/>
      <c r="SFF24" s="25"/>
      <c r="SFM24" s="21"/>
      <c r="SFN24" s="21"/>
      <c r="SFR24" s="15"/>
      <c r="SFX24" s="25"/>
      <c r="SGE24" s="21"/>
      <c r="SGF24" s="21"/>
      <c r="SGJ24" s="15"/>
      <c r="SGP24" s="25"/>
      <c r="SGW24" s="21"/>
      <c r="SGX24" s="21"/>
      <c r="SHB24" s="15"/>
      <c r="SHH24" s="25"/>
      <c r="SHO24" s="21"/>
      <c r="SHP24" s="21"/>
      <c r="SHT24" s="15"/>
      <c r="SHZ24" s="25"/>
      <c r="SIG24" s="21"/>
      <c r="SIH24" s="21"/>
      <c r="SIL24" s="15"/>
      <c r="SIR24" s="25"/>
      <c r="SIY24" s="21"/>
      <c r="SIZ24" s="21"/>
      <c r="SJD24" s="15"/>
      <c r="SJJ24" s="25"/>
      <c r="SJQ24" s="21"/>
      <c r="SJR24" s="21"/>
      <c r="SJV24" s="15"/>
      <c r="SKB24" s="25"/>
      <c r="SKI24" s="21"/>
      <c r="SKJ24" s="21"/>
      <c r="SKN24" s="15"/>
      <c r="SKT24" s="25"/>
      <c r="SLA24" s="21"/>
      <c r="SLB24" s="21"/>
      <c r="SLF24" s="15"/>
      <c r="SLL24" s="25"/>
      <c r="SLS24" s="21"/>
      <c r="SLT24" s="21"/>
      <c r="SLX24" s="15"/>
      <c r="SMD24" s="25"/>
      <c r="SMK24" s="21"/>
      <c r="SML24" s="21"/>
      <c r="SMP24" s="15"/>
      <c r="SMV24" s="25"/>
      <c r="SNC24" s="21"/>
      <c r="SND24" s="21"/>
      <c r="SNH24" s="15"/>
      <c r="SNN24" s="25"/>
      <c r="SNU24" s="21"/>
      <c r="SNV24" s="21"/>
      <c r="SNZ24" s="15"/>
      <c r="SOF24" s="25"/>
      <c r="SOM24" s="21"/>
      <c r="SON24" s="21"/>
      <c r="SOR24" s="15"/>
      <c r="SOX24" s="25"/>
      <c r="SPE24" s="21"/>
      <c r="SPF24" s="21"/>
      <c r="SPJ24" s="15"/>
      <c r="SPP24" s="25"/>
      <c r="SPW24" s="21"/>
      <c r="SPX24" s="21"/>
      <c r="SQB24" s="15"/>
      <c r="SQH24" s="25"/>
      <c r="SQO24" s="21"/>
      <c r="SQP24" s="21"/>
      <c r="SQT24" s="15"/>
      <c r="SQZ24" s="25"/>
      <c r="SRG24" s="21"/>
      <c r="SRH24" s="21"/>
      <c r="SRL24" s="15"/>
      <c r="SRR24" s="25"/>
      <c r="SRY24" s="21"/>
      <c r="SRZ24" s="21"/>
      <c r="SSD24" s="15"/>
      <c r="SSJ24" s="25"/>
      <c r="SSQ24" s="21"/>
      <c r="SSR24" s="21"/>
      <c r="SSV24" s="15"/>
      <c r="STB24" s="25"/>
      <c r="STI24" s="21"/>
      <c r="STJ24" s="21"/>
      <c r="STN24" s="15"/>
      <c r="STT24" s="25"/>
      <c r="SUA24" s="21"/>
      <c r="SUB24" s="21"/>
      <c r="SUF24" s="15"/>
      <c r="SUL24" s="25"/>
      <c r="SUS24" s="21"/>
      <c r="SUT24" s="21"/>
      <c r="SUX24" s="15"/>
      <c r="SVD24" s="25"/>
      <c r="SVK24" s="21"/>
      <c r="SVL24" s="21"/>
      <c r="SVP24" s="15"/>
      <c r="SVV24" s="25"/>
      <c r="SWC24" s="21"/>
      <c r="SWD24" s="21"/>
      <c r="SWH24" s="15"/>
      <c r="SWN24" s="25"/>
      <c r="SWU24" s="21"/>
      <c r="SWV24" s="21"/>
      <c r="SWZ24" s="15"/>
      <c r="SXF24" s="25"/>
      <c r="SXM24" s="21"/>
      <c r="SXN24" s="21"/>
      <c r="SXR24" s="15"/>
      <c r="SXX24" s="25"/>
      <c r="SYE24" s="21"/>
      <c r="SYF24" s="21"/>
      <c r="SYJ24" s="15"/>
      <c r="SYP24" s="25"/>
      <c r="SYW24" s="21"/>
      <c r="SYX24" s="21"/>
      <c r="SZB24" s="15"/>
      <c r="SZH24" s="25"/>
      <c r="SZO24" s="21"/>
      <c r="SZP24" s="21"/>
      <c r="SZT24" s="15"/>
      <c r="SZZ24" s="25"/>
      <c r="TAG24" s="21"/>
      <c r="TAH24" s="21"/>
      <c r="TAL24" s="15"/>
      <c r="TAR24" s="25"/>
      <c r="TAY24" s="21"/>
      <c r="TAZ24" s="21"/>
      <c r="TBD24" s="15"/>
      <c r="TBJ24" s="25"/>
      <c r="TBQ24" s="21"/>
      <c r="TBR24" s="21"/>
      <c r="TBV24" s="15"/>
      <c r="TCB24" s="25"/>
      <c r="TCI24" s="21"/>
      <c r="TCJ24" s="21"/>
      <c r="TCN24" s="15"/>
      <c r="TCT24" s="25"/>
      <c r="TDA24" s="21"/>
      <c r="TDB24" s="21"/>
      <c r="TDF24" s="15"/>
      <c r="TDL24" s="25"/>
      <c r="TDS24" s="21"/>
      <c r="TDT24" s="21"/>
      <c r="TDX24" s="15"/>
      <c r="TED24" s="25"/>
      <c r="TEK24" s="21"/>
      <c r="TEL24" s="21"/>
      <c r="TEP24" s="15"/>
      <c r="TEV24" s="25"/>
      <c r="TFC24" s="21"/>
      <c r="TFD24" s="21"/>
      <c r="TFH24" s="15"/>
      <c r="TFN24" s="25"/>
      <c r="TFU24" s="21"/>
      <c r="TFV24" s="21"/>
      <c r="TFZ24" s="15"/>
      <c r="TGF24" s="25"/>
      <c r="TGM24" s="21"/>
      <c r="TGN24" s="21"/>
      <c r="TGR24" s="15"/>
      <c r="TGX24" s="25"/>
      <c r="THE24" s="21"/>
      <c r="THF24" s="21"/>
      <c r="THJ24" s="15"/>
      <c r="THP24" s="25"/>
      <c r="THW24" s="21"/>
      <c r="THX24" s="21"/>
      <c r="TIB24" s="15"/>
      <c r="TIH24" s="25"/>
      <c r="TIO24" s="21"/>
      <c r="TIP24" s="21"/>
      <c r="TIT24" s="15"/>
      <c r="TIZ24" s="25"/>
      <c r="TJG24" s="21"/>
      <c r="TJH24" s="21"/>
      <c r="TJL24" s="15"/>
      <c r="TJR24" s="25"/>
      <c r="TJY24" s="21"/>
      <c r="TJZ24" s="21"/>
      <c r="TKD24" s="15"/>
      <c r="TKJ24" s="25"/>
      <c r="TKQ24" s="21"/>
      <c r="TKR24" s="21"/>
      <c r="TKV24" s="15"/>
      <c r="TLB24" s="25"/>
      <c r="TLI24" s="21"/>
      <c r="TLJ24" s="21"/>
      <c r="TLN24" s="15"/>
      <c r="TLT24" s="25"/>
      <c r="TMA24" s="21"/>
      <c r="TMB24" s="21"/>
      <c r="TMF24" s="15"/>
      <c r="TML24" s="25"/>
      <c r="TMS24" s="21"/>
      <c r="TMT24" s="21"/>
      <c r="TMX24" s="15"/>
      <c r="TND24" s="25"/>
      <c r="TNK24" s="21"/>
      <c r="TNL24" s="21"/>
      <c r="TNP24" s="15"/>
      <c r="TNV24" s="25"/>
      <c r="TOC24" s="21"/>
      <c r="TOD24" s="21"/>
      <c r="TOH24" s="15"/>
      <c r="TON24" s="25"/>
      <c r="TOU24" s="21"/>
      <c r="TOV24" s="21"/>
      <c r="TOZ24" s="15"/>
      <c r="TPF24" s="25"/>
      <c r="TPM24" s="21"/>
      <c r="TPN24" s="21"/>
      <c r="TPR24" s="15"/>
      <c r="TPX24" s="25"/>
      <c r="TQE24" s="21"/>
      <c r="TQF24" s="21"/>
      <c r="TQJ24" s="15"/>
      <c r="TQP24" s="25"/>
      <c r="TQW24" s="21"/>
      <c r="TQX24" s="21"/>
      <c r="TRB24" s="15"/>
      <c r="TRH24" s="25"/>
      <c r="TRO24" s="21"/>
      <c r="TRP24" s="21"/>
      <c r="TRT24" s="15"/>
      <c r="TRZ24" s="25"/>
      <c r="TSG24" s="21"/>
      <c r="TSH24" s="21"/>
      <c r="TSL24" s="15"/>
      <c r="TSR24" s="25"/>
      <c r="TSY24" s="21"/>
      <c r="TSZ24" s="21"/>
      <c r="TTD24" s="15"/>
      <c r="TTJ24" s="25"/>
      <c r="TTQ24" s="21"/>
      <c r="TTR24" s="21"/>
      <c r="TTV24" s="15"/>
      <c r="TUB24" s="25"/>
      <c r="TUI24" s="21"/>
      <c r="TUJ24" s="21"/>
      <c r="TUN24" s="15"/>
      <c r="TUT24" s="25"/>
      <c r="TVA24" s="21"/>
      <c r="TVB24" s="21"/>
      <c r="TVF24" s="15"/>
      <c r="TVL24" s="25"/>
      <c r="TVS24" s="21"/>
      <c r="TVT24" s="21"/>
      <c r="TVX24" s="15"/>
      <c r="TWD24" s="25"/>
      <c r="TWK24" s="21"/>
      <c r="TWL24" s="21"/>
      <c r="TWP24" s="15"/>
      <c r="TWV24" s="25"/>
      <c r="TXC24" s="21"/>
      <c r="TXD24" s="21"/>
      <c r="TXH24" s="15"/>
      <c r="TXN24" s="25"/>
      <c r="TXU24" s="21"/>
      <c r="TXV24" s="21"/>
      <c r="TXZ24" s="15"/>
      <c r="TYF24" s="25"/>
      <c r="TYM24" s="21"/>
      <c r="TYN24" s="21"/>
      <c r="TYR24" s="15"/>
      <c r="TYX24" s="25"/>
      <c r="TZE24" s="21"/>
      <c r="TZF24" s="21"/>
      <c r="TZJ24" s="15"/>
      <c r="TZP24" s="25"/>
      <c r="TZW24" s="21"/>
      <c r="TZX24" s="21"/>
      <c r="UAB24" s="15"/>
      <c r="UAH24" s="25"/>
      <c r="UAO24" s="21"/>
      <c r="UAP24" s="21"/>
      <c r="UAT24" s="15"/>
      <c r="UAZ24" s="25"/>
      <c r="UBG24" s="21"/>
      <c r="UBH24" s="21"/>
      <c r="UBL24" s="15"/>
      <c r="UBR24" s="25"/>
      <c r="UBY24" s="21"/>
      <c r="UBZ24" s="21"/>
      <c r="UCD24" s="15"/>
      <c r="UCJ24" s="25"/>
      <c r="UCQ24" s="21"/>
      <c r="UCR24" s="21"/>
      <c r="UCV24" s="15"/>
      <c r="UDB24" s="25"/>
      <c r="UDI24" s="21"/>
      <c r="UDJ24" s="21"/>
      <c r="UDN24" s="15"/>
      <c r="UDT24" s="25"/>
      <c r="UEA24" s="21"/>
      <c r="UEB24" s="21"/>
      <c r="UEF24" s="15"/>
      <c r="UEL24" s="25"/>
      <c r="UES24" s="21"/>
      <c r="UET24" s="21"/>
      <c r="UEX24" s="15"/>
      <c r="UFD24" s="25"/>
      <c r="UFK24" s="21"/>
      <c r="UFL24" s="21"/>
      <c r="UFP24" s="15"/>
      <c r="UFV24" s="25"/>
      <c r="UGC24" s="21"/>
      <c r="UGD24" s="21"/>
      <c r="UGH24" s="15"/>
      <c r="UGN24" s="25"/>
      <c r="UGU24" s="21"/>
      <c r="UGV24" s="21"/>
      <c r="UGZ24" s="15"/>
      <c r="UHF24" s="25"/>
      <c r="UHM24" s="21"/>
      <c r="UHN24" s="21"/>
      <c r="UHR24" s="15"/>
      <c r="UHX24" s="25"/>
      <c r="UIE24" s="21"/>
      <c r="UIF24" s="21"/>
      <c r="UIJ24" s="15"/>
      <c r="UIP24" s="25"/>
      <c r="UIW24" s="21"/>
      <c r="UIX24" s="21"/>
      <c r="UJB24" s="15"/>
      <c r="UJH24" s="25"/>
      <c r="UJO24" s="21"/>
      <c r="UJP24" s="21"/>
      <c r="UJT24" s="15"/>
      <c r="UJZ24" s="25"/>
      <c r="UKG24" s="21"/>
      <c r="UKH24" s="21"/>
      <c r="UKL24" s="15"/>
      <c r="UKR24" s="25"/>
      <c r="UKY24" s="21"/>
      <c r="UKZ24" s="21"/>
      <c r="ULD24" s="15"/>
      <c r="ULJ24" s="25"/>
      <c r="ULQ24" s="21"/>
      <c r="ULR24" s="21"/>
      <c r="ULV24" s="15"/>
      <c r="UMB24" s="25"/>
      <c r="UMI24" s="21"/>
      <c r="UMJ24" s="21"/>
      <c r="UMN24" s="15"/>
      <c r="UMT24" s="25"/>
      <c r="UNA24" s="21"/>
      <c r="UNB24" s="21"/>
      <c r="UNF24" s="15"/>
      <c r="UNL24" s="25"/>
      <c r="UNS24" s="21"/>
      <c r="UNT24" s="21"/>
      <c r="UNX24" s="15"/>
      <c r="UOD24" s="25"/>
      <c r="UOK24" s="21"/>
      <c r="UOL24" s="21"/>
      <c r="UOP24" s="15"/>
      <c r="UOV24" s="25"/>
      <c r="UPC24" s="21"/>
      <c r="UPD24" s="21"/>
      <c r="UPH24" s="15"/>
      <c r="UPN24" s="25"/>
      <c r="UPU24" s="21"/>
      <c r="UPV24" s="21"/>
      <c r="UPZ24" s="15"/>
      <c r="UQF24" s="25"/>
      <c r="UQM24" s="21"/>
      <c r="UQN24" s="21"/>
      <c r="UQR24" s="15"/>
      <c r="UQX24" s="25"/>
      <c r="URE24" s="21"/>
      <c r="URF24" s="21"/>
      <c r="URJ24" s="15"/>
      <c r="URP24" s="25"/>
      <c r="URW24" s="21"/>
      <c r="URX24" s="21"/>
      <c r="USB24" s="15"/>
      <c r="USH24" s="25"/>
      <c r="USO24" s="21"/>
      <c r="USP24" s="21"/>
      <c r="UST24" s="15"/>
      <c r="USZ24" s="25"/>
      <c r="UTG24" s="21"/>
      <c r="UTH24" s="21"/>
      <c r="UTL24" s="15"/>
      <c r="UTR24" s="25"/>
      <c r="UTY24" s="21"/>
      <c r="UTZ24" s="21"/>
      <c r="UUD24" s="15"/>
      <c r="UUJ24" s="25"/>
      <c r="UUQ24" s="21"/>
      <c r="UUR24" s="21"/>
      <c r="UUV24" s="15"/>
      <c r="UVB24" s="25"/>
      <c r="UVI24" s="21"/>
      <c r="UVJ24" s="21"/>
      <c r="UVN24" s="15"/>
      <c r="UVT24" s="25"/>
      <c r="UWA24" s="21"/>
      <c r="UWB24" s="21"/>
      <c r="UWF24" s="15"/>
      <c r="UWL24" s="25"/>
      <c r="UWS24" s="21"/>
      <c r="UWT24" s="21"/>
      <c r="UWX24" s="15"/>
      <c r="UXD24" s="25"/>
      <c r="UXK24" s="21"/>
      <c r="UXL24" s="21"/>
      <c r="UXP24" s="15"/>
      <c r="UXV24" s="25"/>
      <c r="UYC24" s="21"/>
      <c r="UYD24" s="21"/>
      <c r="UYH24" s="15"/>
      <c r="UYN24" s="25"/>
      <c r="UYU24" s="21"/>
      <c r="UYV24" s="21"/>
      <c r="UYZ24" s="15"/>
      <c r="UZF24" s="25"/>
      <c r="UZM24" s="21"/>
      <c r="UZN24" s="21"/>
      <c r="UZR24" s="15"/>
      <c r="UZX24" s="25"/>
      <c r="VAE24" s="21"/>
      <c r="VAF24" s="21"/>
      <c r="VAJ24" s="15"/>
      <c r="VAP24" s="25"/>
      <c r="VAW24" s="21"/>
      <c r="VAX24" s="21"/>
      <c r="VBB24" s="15"/>
      <c r="VBH24" s="25"/>
      <c r="VBO24" s="21"/>
      <c r="VBP24" s="21"/>
      <c r="VBT24" s="15"/>
      <c r="VBZ24" s="25"/>
      <c r="VCG24" s="21"/>
      <c r="VCH24" s="21"/>
      <c r="VCL24" s="15"/>
      <c r="VCR24" s="25"/>
      <c r="VCY24" s="21"/>
      <c r="VCZ24" s="21"/>
      <c r="VDD24" s="15"/>
      <c r="VDJ24" s="25"/>
      <c r="VDQ24" s="21"/>
      <c r="VDR24" s="21"/>
      <c r="VDV24" s="15"/>
      <c r="VEB24" s="25"/>
      <c r="VEI24" s="21"/>
      <c r="VEJ24" s="21"/>
      <c r="VEN24" s="15"/>
      <c r="VET24" s="25"/>
      <c r="VFA24" s="21"/>
      <c r="VFB24" s="21"/>
      <c r="VFF24" s="15"/>
      <c r="VFL24" s="25"/>
      <c r="VFS24" s="21"/>
      <c r="VFT24" s="21"/>
      <c r="VFX24" s="15"/>
      <c r="VGD24" s="25"/>
      <c r="VGK24" s="21"/>
      <c r="VGL24" s="21"/>
      <c r="VGP24" s="15"/>
      <c r="VGV24" s="25"/>
      <c r="VHC24" s="21"/>
      <c r="VHD24" s="21"/>
      <c r="VHH24" s="15"/>
      <c r="VHN24" s="25"/>
      <c r="VHU24" s="21"/>
      <c r="VHV24" s="21"/>
      <c r="VHZ24" s="15"/>
      <c r="VIF24" s="25"/>
      <c r="VIM24" s="21"/>
      <c r="VIN24" s="21"/>
      <c r="VIR24" s="15"/>
      <c r="VIX24" s="25"/>
      <c r="VJE24" s="21"/>
      <c r="VJF24" s="21"/>
      <c r="VJJ24" s="15"/>
      <c r="VJP24" s="25"/>
      <c r="VJW24" s="21"/>
      <c r="VJX24" s="21"/>
      <c r="VKB24" s="15"/>
      <c r="VKH24" s="25"/>
      <c r="VKO24" s="21"/>
      <c r="VKP24" s="21"/>
      <c r="VKT24" s="15"/>
      <c r="VKZ24" s="25"/>
      <c r="VLG24" s="21"/>
      <c r="VLH24" s="21"/>
      <c r="VLL24" s="15"/>
      <c r="VLR24" s="25"/>
      <c r="VLY24" s="21"/>
      <c r="VLZ24" s="21"/>
      <c r="VMD24" s="15"/>
      <c r="VMJ24" s="25"/>
      <c r="VMQ24" s="21"/>
      <c r="VMR24" s="21"/>
      <c r="VMV24" s="15"/>
      <c r="VNB24" s="25"/>
      <c r="VNI24" s="21"/>
      <c r="VNJ24" s="21"/>
      <c r="VNN24" s="15"/>
      <c r="VNT24" s="25"/>
      <c r="VOA24" s="21"/>
      <c r="VOB24" s="21"/>
      <c r="VOF24" s="15"/>
      <c r="VOL24" s="25"/>
      <c r="VOS24" s="21"/>
      <c r="VOT24" s="21"/>
      <c r="VOX24" s="15"/>
      <c r="VPD24" s="25"/>
      <c r="VPK24" s="21"/>
      <c r="VPL24" s="21"/>
      <c r="VPP24" s="15"/>
      <c r="VPV24" s="25"/>
      <c r="VQC24" s="21"/>
      <c r="VQD24" s="21"/>
      <c r="VQH24" s="15"/>
      <c r="VQN24" s="25"/>
      <c r="VQU24" s="21"/>
      <c r="VQV24" s="21"/>
      <c r="VQZ24" s="15"/>
      <c r="VRF24" s="25"/>
      <c r="VRM24" s="21"/>
      <c r="VRN24" s="21"/>
      <c r="VRR24" s="15"/>
      <c r="VRX24" s="25"/>
      <c r="VSE24" s="21"/>
      <c r="VSF24" s="21"/>
      <c r="VSJ24" s="15"/>
      <c r="VSP24" s="25"/>
      <c r="VSW24" s="21"/>
      <c r="VSX24" s="21"/>
      <c r="VTB24" s="15"/>
      <c r="VTH24" s="25"/>
      <c r="VTO24" s="21"/>
      <c r="VTP24" s="21"/>
      <c r="VTT24" s="15"/>
      <c r="VTZ24" s="25"/>
      <c r="VUG24" s="21"/>
      <c r="VUH24" s="21"/>
      <c r="VUL24" s="15"/>
      <c r="VUR24" s="25"/>
      <c r="VUY24" s="21"/>
      <c r="VUZ24" s="21"/>
      <c r="VVD24" s="15"/>
      <c r="VVJ24" s="25"/>
      <c r="VVQ24" s="21"/>
      <c r="VVR24" s="21"/>
      <c r="VVV24" s="15"/>
      <c r="VWB24" s="25"/>
      <c r="VWI24" s="21"/>
      <c r="VWJ24" s="21"/>
      <c r="VWN24" s="15"/>
      <c r="VWT24" s="25"/>
      <c r="VXA24" s="21"/>
      <c r="VXB24" s="21"/>
      <c r="VXF24" s="15"/>
      <c r="VXL24" s="25"/>
      <c r="VXS24" s="21"/>
      <c r="VXT24" s="21"/>
      <c r="VXX24" s="15"/>
      <c r="VYD24" s="25"/>
      <c r="VYK24" s="21"/>
      <c r="VYL24" s="21"/>
      <c r="VYP24" s="15"/>
      <c r="VYV24" s="25"/>
      <c r="VZC24" s="21"/>
      <c r="VZD24" s="21"/>
      <c r="VZH24" s="15"/>
      <c r="VZN24" s="25"/>
      <c r="VZU24" s="21"/>
      <c r="VZV24" s="21"/>
      <c r="VZZ24" s="15"/>
      <c r="WAF24" s="25"/>
      <c r="WAM24" s="21"/>
      <c r="WAN24" s="21"/>
      <c r="WAR24" s="15"/>
      <c r="WAX24" s="25"/>
      <c r="WBE24" s="21"/>
      <c r="WBF24" s="21"/>
      <c r="WBJ24" s="15"/>
      <c r="WBP24" s="25"/>
      <c r="WBW24" s="21"/>
      <c r="WBX24" s="21"/>
      <c r="WCB24" s="15"/>
      <c r="WCH24" s="25"/>
      <c r="WCO24" s="21"/>
      <c r="WCP24" s="21"/>
      <c r="WCT24" s="15"/>
      <c r="WCZ24" s="25"/>
      <c r="WDG24" s="21"/>
      <c r="WDH24" s="21"/>
      <c r="WDL24" s="15"/>
      <c r="WDR24" s="25"/>
      <c r="WDY24" s="21"/>
      <c r="WDZ24" s="21"/>
      <c r="WED24" s="15"/>
      <c r="WEJ24" s="25"/>
      <c r="WEQ24" s="21"/>
      <c r="WER24" s="21"/>
      <c r="WEV24" s="15"/>
      <c r="WFB24" s="25"/>
      <c r="WFI24" s="21"/>
      <c r="WFJ24" s="21"/>
      <c r="WFN24" s="15"/>
      <c r="WFT24" s="25"/>
      <c r="WGA24" s="21"/>
      <c r="WGB24" s="21"/>
      <c r="WGF24" s="15"/>
      <c r="WGL24" s="25"/>
      <c r="WGS24" s="21"/>
      <c r="WGT24" s="21"/>
      <c r="WGX24" s="15"/>
      <c r="WHD24" s="25"/>
      <c r="WHK24" s="21"/>
      <c r="WHL24" s="21"/>
      <c r="WHP24" s="15"/>
      <c r="WHV24" s="25"/>
      <c r="WIC24" s="21"/>
      <c r="WID24" s="21"/>
      <c r="WIH24" s="15"/>
      <c r="WIN24" s="25"/>
      <c r="WIU24" s="21"/>
      <c r="WIV24" s="21"/>
      <c r="WIZ24" s="15"/>
      <c r="WJF24" s="25"/>
      <c r="WJM24" s="21"/>
      <c r="WJN24" s="21"/>
      <c r="WJR24" s="15"/>
      <c r="WJX24" s="25"/>
      <c r="WKE24" s="21"/>
      <c r="WKF24" s="21"/>
      <c r="WKJ24" s="15"/>
      <c r="WKP24" s="25"/>
      <c r="WKW24" s="21"/>
      <c r="WKX24" s="21"/>
      <c r="WLB24" s="15"/>
      <c r="WLH24" s="25"/>
      <c r="WLO24" s="21"/>
      <c r="WLP24" s="21"/>
      <c r="WLT24" s="15"/>
      <c r="WLZ24" s="25"/>
      <c r="WMG24" s="21"/>
      <c r="WMH24" s="21"/>
      <c r="WML24" s="15"/>
      <c r="WMR24" s="25"/>
      <c r="WMY24" s="21"/>
      <c r="WMZ24" s="21"/>
      <c r="WND24" s="15"/>
      <c r="WNJ24" s="25"/>
      <c r="WNQ24" s="21"/>
      <c r="WNR24" s="21"/>
      <c r="WNV24" s="15"/>
      <c r="WOB24" s="25"/>
      <c r="WOI24" s="21"/>
      <c r="WOJ24" s="21"/>
      <c r="WON24" s="15"/>
      <c r="WOT24" s="25"/>
      <c r="WPA24" s="21"/>
      <c r="WPB24" s="21"/>
      <c r="WPF24" s="15"/>
      <c r="WPL24" s="25"/>
      <c r="WPS24" s="21"/>
      <c r="WPT24" s="21"/>
      <c r="WPX24" s="15"/>
      <c r="WQD24" s="25"/>
      <c r="WQK24" s="21"/>
      <c r="WQL24" s="21"/>
      <c r="WQP24" s="15"/>
      <c r="WQV24" s="25"/>
      <c r="WRC24" s="21"/>
      <c r="WRD24" s="21"/>
      <c r="WRH24" s="15"/>
      <c r="WRN24" s="25"/>
      <c r="WRU24" s="21"/>
      <c r="WRV24" s="21"/>
      <c r="WRZ24" s="15"/>
      <c r="WSF24" s="25"/>
      <c r="WSM24" s="21"/>
      <c r="WSN24" s="21"/>
      <c r="WSR24" s="15"/>
      <c r="WSX24" s="25"/>
      <c r="WTE24" s="21"/>
      <c r="WTF24" s="21"/>
      <c r="WTJ24" s="15"/>
      <c r="WTP24" s="25"/>
      <c r="WTW24" s="21"/>
      <c r="WTX24" s="21"/>
      <c r="WUB24" s="15"/>
      <c r="WUH24" s="25"/>
      <c r="WUO24" s="21"/>
      <c r="WUP24" s="21"/>
      <c r="WUT24" s="15"/>
      <c r="WUZ24" s="25"/>
      <c r="WVG24" s="21"/>
      <c r="WVH24" s="21"/>
      <c r="WVL24" s="15"/>
      <c r="WVR24" s="25"/>
      <c r="WVY24" s="21"/>
      <c r="WVZ24" s="21"/>
      <c r="WWD24" s="15"/>
      <c r="WWJ24" s="25"/>
      <c r="WWQ24" s="21"/>
      <c r="WWR24" s="21"/>
      <c r="WWV24" s="15"/>
      <c r="WXB24" s="25"/>
      <c r="WXI24" s="21"/>
      <c r="WXJ24" s="21"/>
      <c r="WXN24" s="15"/>
      <c r="WXT24" s="25"/>
      <c r="WYA24" s="21"/>
      <c r="WYB24" s="21"/>
      <c r="WYF24" s="15"/>
      <c r="WYL24" s="25"/>
      <c r="WYS24" s="21"/>
      <c r="WYT24" s="21"/>
      <c r="WYX24" s="15"/>
      <c r="WZD24" s="25"/>
      <c r="WZK24" s="21"/>
      <c r="WZL24" s="21"/>
      <c r="WZP24" s="15"/>
      <c r="WZV24" s="25"/>
      <c r="XAC24" s="21"/>
      <c r="XAD24" s="21"/>
      <c r="XAH24" s="15"/>
      <c r="XAN24" s="25"/>
      <c r="XAU24" s="21"/>
      <c r="XAV24" s="21"/>
      <c r="XAZ24" s="15"/>
      <c r="XBF24" s="25"/>
      <c r="XBM24" s="21"/>
      <c r="XBN24" s="21"/>
      <c r="XBR24" s="15"/>
      <c r="XBX24" s="25"/>
      <c r="XCE24" s="21"/>
      <c r="XCF24" s="21"/>
      <c r="XCJ24" s="15"/>
      <c r="XCP24" s="25"/>
      <c r="XCW24" s="21"/>
      <c r="XCX24" s="21"/>
      <c r="XDB24" s="15"/>
      <c r="XDH24" s="25"/>
      <c r="XDO24" s="21"/>
      <c r="XDP24" s="21"/>
      <c r="XDT24" s="15"/>
      <c r="XDZ24" s="25"/>
      <c r="XEG24" s="21"/>
      <c r="XEH24" s="21"/>
      <c r="XEL24" s="15"/>
      <c r="XER24" s="25"/>
      <c r="XEY24" s="21"/>
      <c r="XEZ24" s="21"/>
      <c r="XFD24" s="15"/>
    </row>
    <row r="25" spans="1:1018 1025:2044 2051:3070 3077:4096 4103:5116 5122:6142 6148:7168 7174:8190 8194:9216 9220:10234 10241:11260 11267:12286 12293:13312 13319:14332 14338:15358 15364:16384">
      <c r="A25" s="45" t="s">
        <v>97</v>
      </c>
      <c r="B25" s="46">
        <v>2012</v>
      </c>
      <c r="C25" s="45" t="s">
        <v>98</v>
      </c>
      <c r="D25" s="45" t="s">
        <v>86</v>
      </c>
      <c r="E25" s="10" t="s">
        <v>50</v>
      </c>
      <c r="F25" s="45" t="s">
        <v>24</v>
      </c>
      <c r="G25" s="47">
        <v>366304044.26999998</v>
      </c>
      <c r="H25" s="47">
        <v>371460985.86000001</v>
      </c>
      <c r="I25" s="29">
        <v>26</v>
      </c>
      <c r="J25" s="30" t="s">
        <v>99</v>
      </c>
      <c r="K25" t="s">
        <v>26</v>
      </c>
      <c r="L25"/>
      <c r="M25" t="s">
        <v>26</v>
      </c>
      <c r="N25"/>
      <c r="O25"/>
      <c r="P25"/>
      <c r="Q25"/>
      <c r="R25" t="s">
        <v>28</v>
      </c>
    </row>
    <row r="26" spans="1:1018 1025:2044 2051:3070 3077:4096 4103:5116 5122:6142 6148:7168 7174:8190 8194:9216 9220:10234 10241:11260 11267:12286 12293:13312 13319:14332 14338:15358 15364:16384" s="24" customFormat="1">
      <c r="A26" s="21" t="s">
        <v>100</v>
      </c>
      <c r="B26" s="12">
        <v>2001</v>
      </c>
      <c r="C26" s="19" t="s">
        <v>101</v>
      </c>
      <c r="D26" s="22" t="s">
        <v>86</v>
      </c>
      <c r="E26" s="43" t="s">
        <v>102</v>
      </c>
      <c r="F26" s="19" t="s">
        <v>103</v>
      </c>
      <c r="G26" s="44">
        <v>731900794.85081637</v>
      </c>
      <c r="H26" s="20">
        <v>143175130</v>
      </c>
      <c r="I26" s="12">
        <v>4</v>
      </c>
      <c r="J26" s="23" t="s">
        <v>104</v>
      </c>
      <c r="K26" s="22"/>
      <c r="L26" s="22"/>
      <c r="M26" s="22" t="s">
        <v>26</v>
      </c>
      <c r="N26" s="12"/>
      <c r="O26" s="22"/>
      <c r="P26" s="12"/>
      <c r="Q26" s="22" t="s">
        <v>27</v>
      </c>
      <c r="R26" s="22" t="s">
        <v>28</v>
      </c>
      <c r="V26" s="15"/>
      <c r="AB26" s="25"/>
      <c r="AI26" s="21"/>
      <c r="AJ26" s="21"/>
      <c r="AN26" s="15"/>
      <c r="AT26" s="25"/>
      <c r="BA26" s="21"/>
      <c r="BB26" s="21"/>
      <c r="BF26" s="15"/>
      <c r="BL26" s="25"/>
      <c r="BS26" s="21"/>
      <c r="BT26" s="21"/>
      <c r="BX26" s="15"/>
      <c r="CD26" s="25"/>
      <c r="CK26" s="21"/>
      <c r="CL26" s="21"/>
      <c r="CP26" s="15"/>
      <c r="CV26" s="25"/>
      <c r="DC26" s="21"/>
      <c r="DD26" s="21"/>
      <c r="DH26" s="15"/>
      <c r="DN26" s="25"/>
      <c r="DU26" s="21"/>
      <c r="DV26" s="21"/>
      <c r="DZ26" s="15"/>
      <c r="EF26" s="25"/>
      <c r="EM26" s="21"/>
      <c r="EN26" s="21"/>
      <c r="ER26" s="15"/>
      <c r="EX26" s="25"/>
      <c r="FE26" s="21"/>
      <c r="FF26" s="21"/>
      <c r="FJ26" s="15"/>
      <c r="FP26" s="25"/>
      <c r="FW26" s="21"/>
      <c r="FX26" s="21"/>
      <c r="GB26" s="15"/>
      <c r="GH26" s="25"/>
      <c r="GO26" s="21"/>
      <c r="GP26" s="21"/>
      <c r="GT26" s="15"/>
      <c r="GZ26" s="25"/>
      <c r="HG26" s="21"/>
      <c r="HH26" s="21"/>
      <c r="HL26" s="15"/>
      <c r="HR26" s="25"/>
      <c r="HY26" s="21"/>
      <c r="HZ26" s="21"/>
      <c r="ID26" s="15"/>
      <c r="IJ26" s="25"/>
      <c r="IQ26" s="21"/>
      <c r="IR26" s="21"/>
      <c r="IV26" s="15"/>
      <c r="JB26" s="25"/>
      <c r="JI26" s="21"/>
      <c r="JJ26" s="21"/>
      <c r="JN26" s="15"/>
      <c r="JT26" s="25"/>
      <c r="KA26" s="21"/>
      <c r="KB26" s="21"/>
      <c r="KF26" s="15"/>
      <c r="KL26" s="25"/>
      <c r="KS26" s="21"/>
      <c r="KT26" s="21"/>
      <c r="KX26" s="15"/>
      <c r="LD26" s="25"/>
      <c r="LK26" s="21"/>
      <c r="LL26" s="21"/>
      <c r="LP26" s="15"/>
      <c r="LV26" s="25"/>
      <c r="MC26" s="21"/>
      <c r="MD26" s="21"/>
      <c r="MH26" s="15"/>
      <c r="MN26" s="25"/>
      <c r="MU26" s="21"/>
      <c r="MV26" s="21"/>
      <c r="MZ26" s="15"/>
      <c r="NF26" s="25"/>
      <c r="NM26" s="21"/>
      <c r="NN26" s="21"/>
      <c r="NR26" s="15"/>
      <c r="NX26" s="25"/>
      <c r="OE26" s="21"/>
      <c r="OF26" s="21"/>
      <c r="OJ26" s="15"/>
      <c r="OP26" s="25"/>
      <c r="OW26" s="21"/>
      <c r="OX26" s="21"/>
      <c r="PB26" s="15"/>
      <c r="PH26" s="25"/>
      <c r="PO26" s="21"/>
      <c r="PP26" s="21"/>
      <c r="PT26" s="15"/>
      <c r="PZ26" s="25"/>
      <c r="QG26" s="21"/>
      <c r="QH26" s="21"/>
      <c r="QL26" s="15"/>
      <c r="QR26" s="25"/>
      <c r="QY26" s="21"/>
      <c r="QZ26" s="21"/>
      <c r="RD26" s="15"/>
      <c r="RJ26" s="25"/>
      <c r="RQ26" s="21"/>
      <c r="RR26" s="21"/>
      <c r="RV26" s="15"/>
      <c r="SB26" s="25"/>
      <c r="SI26" s="21"/>
      <c r="SJ26" s="21"/>
      <c r="SN26" s="15"/>
      <c r="ST26" s="25"/>
      <c r="TA26" s="21"/>
      <c r="TB26" s="21"/>
      <c r="TF26" s="15"/>
      <c r="TL26" s="25"/>
      <c r="TS26" s="21"/>
      <c r="TT26" s="21"/>
      <c r="TX26" s="15"/>
      <c r="UD26" s="25"/>
      <c r="UK26" s="21"/>
      <c r="UL26" s="21"/>
      <c r="UP26" s="15"/>
      <c r="UV26" s="25"/>
      <c r="VC26" s="21"/>
      <c r="VD26" s="21"/>
      <c r="VH26" s="15"/>
      <c r="VN26" s="25"/>
      <c r="VU26" s="21"/>
      <c r="VV26" s="21"/>
      <c r="VZ26" s="15"/>
      <c r="WF26" s="25"/>
      <c r="WM26" s="21"/>
      <c r="WN26" s="21"/>
      <c r="WR26" s="15"/>
      <c r="WX26" s="25"/>
      <c r="XE26" s="21"/>
      <c r="XF26" s="21"/>
      <c r="XJ26" s="15"/>
      <c r="XP26" s="25"/>
      <c r="XW26" s="21"/>
      <c r="XX26" s="21"/>
      <c r="YB26" s="15"/>
      <c r="YH26" s="25"/>
      <c r="YO26" s="21"/>
      <c r="YP26" s="21"/>
      <c r="YT26" s="15"/>
      <c r="YZ26" s="25"/>
      <c r="ZG26" s="21"/>
      <c r="ZH26" s="21"/>
      <c r="ZL26" s="15"/>
      <c r="ZR26" s="25"/>
      <c r="ZY26" s="21"/>
      <c r="ZZ26" s="21"/>
      <c r="AAD26" s="15"/>
      <c r="AAJ26" s="25"/>
      <c r="AAQ26" s="21"/>
      <c r="AAR26" s="21"/>
      <c r="AAV26" s="15"/>
      <c r="ABB26" s="25"/>
      <c r="ABI26" s="21"/>
      <c r="ABJ26" s="21"/>
      <c r="ABN26" s="15"/>
      <c r="ABT26" s="25"/>
      <c r="ACA26" s="21"/>
      <c r="ACB26" s="21"/>
      <c r="ACF26" s="15"/>
      <c r="ACL26" s="25"/>
      <c r="ACS26" s="21"/>
      <c r="ACT26" s="21"/>
      <c r="ACX26" s="15"/>
      <c r="ADD26" s="25"/>
      <c r="ADK26" s="21"/>
      <c r="ADL26" s="21"/>
      <c r="ADP26" s="15"/>
      <c r="ADV26" s="25"/>
      <c r="AEC26" s="21"/>
      <c r="AED26" s="21"/>
      <c r="AEH26" s="15"/>
      <c r="AEN26" s="25"/>
      <c r="AEU26" s="21"/>
      <c r="AEV26" s="21"/>
      <c r="AEZ26" s="15"/>
      <c r="AFF26" s="25"/>
      <c r="AFM26" s="21"/>
      <c r="AFN26" s="21"/>
      <c r="AFR26" s="15"/>
      <c r="AFX26" s="25"/>
      <c r="AGE26" s="21"/>
      <c r="AGF26" s="21"/>
      <c r="AGJ26" s="15"/>
      <c r="AGP26" s="25"/>
      <c r="AGW26" s="21"/>
      <c r="AGX26" s="21"/>
      <c r="AHB26" s="15"/>
      <c r="AHH26" s="25"/>
      <c r="AHO26" s="21"/>
      <c r="AHP26" s="21"/>
      <c r="AHT26" s="15"/>
      <c r="AHZ26" s="25"/>
      <c r="AIG26" s="21"/>
      <c r="AIH26" s="21"/>
      <c r="AIL26" s="15"/>
      <c r="AIR26" s="25"/>
      <c r="AIY26" s="21"/>
      <c r="AIZ26" s="21"/>
      <c r="AJD26" s="15"/>
      <c r="AJJ26" s="25"/>
      <c r="AJQ26" s="21"/>
      <c r="AJR26" s="21"/>
      <c r="AJV26" s="15"/>
      <c r="AKB26" s="25"/>
      <c r="AKI26" s="21"/>
      <c r="AKJ26" s="21"/>
      <c r="AKN26" s="15"/>
      <c r="AKT26" s="25"/>
      <c r="ALA26" s="21"/>
      <c r="ALB26" s="21"/>
      <c r="ALF26" s="15"/>
      <c r="ALL26" s="25"/>
      <c r="ALS26" s="21"/>
      <c r="ALT26" s="21"/>
      <c r="ALX26" s="15"/>
      <c r="AMD26" s="25"/>
      <c r="AMK26" s="21"/>
      <c r="AML26" s="21"/>
      <c r="AMP26" s="15"/>
      <c r="AMV26" s="25"/>
      <c r="ANC26" s="21"/>
      <c r="AND26" s="21"/>
      <c r="ANH26" s="15"/>
      <c r="ANN26" s="25"/>
      <c r="ANU26" s="21"/>
      <c r="ANV26" s="21"/>
      <c r="ANZ26" s="15"/>
      <c r="AOF26" s="25"/>
      <c r="AOM26" s="21"/>
      <c r="AON26" s="21"/>
      <c r="AOR26" s="15"/>
      <c r="AOX26" s="25"/>
      <c r="APE26" s="21"/>
      <c r="APF26" s="21"/>
      <c r="APJ26" s="15"/>
      <c r="APP26" s="25"/>
      <c r="APW26" s="21"/>
      <c r="APX26" s="21"/>
      <c r="AQB26" s="15"/>
      <c r="AQH26" s="25"/>
      <c r="AQO26" s="21"/>
      <c r="AQP26" s="21"/>
      <c r="AQT26" s="15"/>
      <c r="AQZ26" s="25"/>
      <c r="ARG26" s="21"/>
      <c r="ARH26" s="21"/>
      <c r="ARL26" s="15"/>
      <c r="ARR26" s="25"/>
      <c r="ARY26" s="21"/>
      <c r="ARZ26" s="21"/>
      <c r="ASD26" s="15"/>
      <c r="ASJ26" s="25"/>
      <c r="ASQ26" s="21"/>
      <c r="ASR26" s="21"/>
      <c r="ASV26" s="15"/>
      <c r="ATB26" s="25"/>
      <c r="ATI26" s="21"/>
      <c r="ATJ26" s="21"/>
      <c r="ATN26" s="15"/>
      <c r="ATT26" s="25"/>
      <c r="AUA26" s="21"/>
      <c r="AUB26" s="21"/>
      <c r="AUF26" s="15"/>
      <c r="AUL26" s="25"/>
      <c r="AUS26" s="21"/>
      <c r="AUT26" s="21"/>
      <c r="AUX26" s="15"/>
      <c r="AVD26" s="25"/>
      <c r="AVK26" s="21"/>
      <c r="AVL26" s="21"/>
      <c r="AVP26" s="15"/>
      <c r="AVV26" s="25"/>
      <c r="AWC26" s="21"/>
      <c r="AWD26" s="21"/>
      <c r="AWH26" s="15"/>
      <c r="AWN26" s="25"/>
      <c r="AWU26" s="21"/>
      <c r="AWV26" s="21"/>
      <c r="AWZ26" s="15"/>
      <c r="AXF26" s="25"/>
      <c r="AXM26" s="21"/>
      <c r="AXN26" s="21"/>
      <c r="AXR26" s="15"/>
      <c r="AXX26" s="25"/>
      <c r="AYE26" s="21"/>
      <c r="AYF26" s="21"/>
      <c r="AYJ26" s="15"/>
      <c r="AYP26" s="25"/>
      <c r="AYW26" s="21"/>
      <c r="AYX26" s="21"/>
      <c r="AZB26" s="15"/>
      <c r="AZH26" s="25"/>
      <c r="AZO26" s="21"/>
      <c r="AZP26" s="21"/>
      <c r="AZT26" s="15"/>
      <c r="AZZ26" s="25"/>
      <c r="BAG26" s="21"/>
      <c r="BAH26" s="21"/>
      <c r="BAL26" s="15"/>
      <c r="BAR26" s="25"/>
      <c r="BAY26" s="21"/>
      <c r="BAZ26" s="21"/>
      <c r="BBD26" s="15"/>
      <c r="BBJ26" s="25"/>
      <c r="BBQ26" s="21"/>
      <c r="BBR26" s="21"/>
      <c r="BBV26" s="15"/>
      <c r="BCB26" s="25"/>
      <c r="BCI26" s="21"/>
      <c r="BCJ26" s="21"/>
      <c r="BCN26" s="15"/>
      <c r="BCT26" s="25"/>
      <c r="BDA26" s="21"/>
      <c r="BDB26" s="21"/>
      <c r="BDF26" s="15"/>
      <c r="BDL26" s="25"/>
      <c r="BDS26" s="21"/>
      <c r="BDT26" s="21"/>
      <c r="BDX26" s="15"/>
      <c r="BED26" s="25"/>
      <c r="BEK26" s="21"/>
      <c r="BEL26" s="21"/>
      <c r="BEP26" s="15"/>
      <c r="BEV26" s="25"/>
      <c r="BFC26" s="21"/>
      <c r="BFD26" s="21"/>
      <c r="BFH26" s="15"/>
      <c r="BFN26" s="25"/>
      <c r="BFU26" s="21"/>
      <c r="BFV26" s="21"/>
      <c r="BFZ26" s="15"/>
      <c r="BGF26" s="25"/>
      <c r="BGM26" s="21"/>
      <c r="BGN26" s="21"/>
      <c r="BGR26" s="15"/>
      <c r="BGX26" s="25"/>
      <c r="BHE26" s="21"/>
      <c r="BHF26" s="21"/>
      <c r="BHJ26" s="15"/>
      <c r="BHP26" s="25"/>
      <c r="BHW26" s="21"/>
      <c r="BHX26" s="21"/>
      <c r="BIB26" s="15"/>
      <c r="BIH26" s="25"/>
      <c r="BIO26" s="21"/>
      <c r="BIP26" s="21"/>
      <c r="BIT26" s="15"/>
      <c r="BIZ26" s="25"/>
      <c r="BJG26" s="21"/>
      <c r="BJH26" s="21"/>
      <c r="BJL26" s="15"/>
      <c r="BJR26" s="25"/>
      <c r="BJY26" s="21"/>
      <c r="BJZ26" s="21"/>
      <c r="BKD26" s="15"/>
      <c r="BKJ26" s="25"/>
      <c r="BKQ26" s="21"/>
      <c r="BKR26" s="21"/>
      <c r="BKV26" s="15"/>
      <c r="BLB26" s="25"/>
      <c r="BLI26" s="21"/>
      <c r="BLJ26" s="21"/>
      <c r="BLN26" s="15"/>
      <c r="BLT26" s="25"/>
      <c r="BMA26" s="21"/>
      <c r="BMB26" s="21"/>
      <c r="BMF26" s="15"/>
      <c r="BML26" s="25"/>
      <c r="BMS26" s="21"/>
      <c r="BMT26" s="21"/>
      <c r="BMX26" s="15"/>
      <c r="BND26" s="25"/>
      <c r="BNK26" s="21"/>
      <c r="BNL26" s="21"/>
      <c r="BNP26" s="15"/>
      <c r="BNV26" s="25"/>
      <c r="BOC26" s="21"/>
      <c r="BOD26" s="21"/>
      <c r="BOH26" s="15"/>
      <c r="BON26" s="25"/>
      <c r="BOU26" s="21"/>
      <c r="BOV26" s="21"/>
      <c r="BOZ26" s="15"/>
      <c r="BPF26" s="25"/>
      <c r="BPM26" s="21"/>
      <c r="BPN26" s="21"/>
      <c r="BPR26" s="15"/>
      <c r="BPX26" s="25"/>
      <c r="BQE26" s="21"/>
      <c r="BQF26" s="21"/>
      <c r="BQJ26" s="15"/>
      <c r="BQP26" s="25"/>
      <c r="BQW26" s="21"/>
      <c r="BQX26" s="21"/>
      <c r="BRB26" s="15"/>
      <c r="BRH26" s="25"/>
      <c r="BRO26" s="21"/>
      <c r="BRP26" s="21"/>
      <c r="BRT26" s="15"/>
      <c r="BRZ26" s="25"/>
      <c r="BSG26" s="21"/>
      <c r="BSH26" s="21"/>
      <c r="BSL26" s="15"/>
      <c r="BSR26" s="25"/>
      <c r="BSY26" s="21"/>
      <c r="BSZ26" s="21"/>
      <c r="BTD26" s="15"/>
      <c r="BTJ26" s="25"/>
      <c r="BTQ26" s="21"/>
      <c r="BTR26" s="21"/>
      <c r="BTV26" s="15"/>
      <c r="BUB26" s="25"/>
      <c r="BUI26" s="21"/>
      <c r="BUJ26" s="21"/>
      <c r="BUN26" s="15"/>
      <c r="BUT26" s="25"/>
      <c r="BVA26" s="21"/>
      <c r="BVB26" s="21"/>
      <c r="BVF26" s="15"/>
      <c r="BVL26" s="25"/>
      <c r="BVS26" s="21"/>
      <c r="BVT26" s="21"/>
      <c r="BVX26" s="15"/>
      <c r="BWD26" s="25"/>
      <c r="BWK26" s="21"/>
      <c r="BWL26" s="21"/>
      <c r="BWP26" s="15"/>
      <c r="BWV26" s="25"/>
      <c r="BXC26" s="21"/>
      <c r="BXD26" s="21"/>
      <c r="BXH26" s="15"/>
      <c r="BXN26" s="25"/>
      <c r="BXU26" s="21"/>
      <c r="BXV26" s="21"/>
      <c r="BXZ26" s="15"/>
      <c r="BYF26" s="25"/>
      <c r="BYM26" s="21"/>
      <c r="BYN26" s="21"/>
      <c r="BYR26" s="15"/>
      <c r="BYX26" s="25"/>
      <c r="BZE26" s="21"/>
      <c r="BZF26" s="21"/>
      <c r="BZJ26" s="15"/>
      <c r="BZP26" s="25"/>
      <c r="BZW26" s="21"/>
      <c r="BZX26" s="21"/>
      <c r="CAB26" s="15"/>
      <c r="CAH26" s="25"/>
      <c r="CAO26" s="21"/>
      <c r="CAP26" s="21"/>
      <c r="CAT26" s="15"/>
      <c r="CAZ26" s="25"/>
      <c r="CBG26" s="21"/>
      <c r="CBH26" s="21"/>
      <c r="CBL26" s="15"/>
      <c r="CBR26" s="25"/>
      <c r="CBY26" s="21"/>
      <c r="CBZ26" s="21"/>
      <c r="CCD26" s="15"/>
      <c r="CCJ26" s="25"/>
      <c r="CCQ26" s="21"/>
      <c r="CCR26" s="21"/>
      <c r="CCV26" s="15"/>
      <c r="CDB26" s="25"/>
      <c r="CDI26" s="21"/>
      <c r="CDJ26" s="21"/>
      <c r="CDN26" s="15"/>
      <c r="CDT26" s="25"/>
      <c r="CEA26" s="21"/>
      <c r="CEB26" s="21"/>
      <c r="CEF26" s="15"/>
      <c r="CEL26" s="25"/>
      <c r="CES26" s="21"/>
      <c r="CET26" s="21"/>
      <c r="CEX26" s="15"/>
      <c r="CFD26" s="25"/>
      <c r="CFK26" s="21"/>
      <c r="CFL26" s="21"/>
      <c r="CFP26" s="15"/>
      <c r="CFV26" s="25"/>
      <c r="CGC26" s="21"/>
      <c r="CGD26" s="21"/>
      <c r="CGH26" s="15"/>
      <c r="CGN26" s="25"/>
      <c r="CGU26" s="21"/>
      <c r="CGV26" s="21"/>
      <c r="CGZ26" s="15"/>
      <c r="CHF26" s="25"/>
      <c r="CHM26" s="21"/>
      <c r="CHN26" s="21"/>
      <c r="CHR26" s="15"/>
      <c r="CHX26" s="25"/>
      <c r="CIE26" s="21"/>
      <c r="CIF26" s="21"/>
      <c r="CIJ26" s="15"/>
      <c r="CIP26" s="25"/>
      <c r="CIW26" s="21"/>
      <c r="CIX26" s="21"/>
      <c r="CJB26" s="15"/>
      <c r="CJH26" s="25"/>
      <c r="CJO26" s="21"/>
      <c r="CJP26" s="21"/>
      <c r="CJT26" s="15"/>
      <c r="CJZ26" s="25"/>
      <c r="CKG26" s="21"/>
      <c r="CKH26" s="21"/>
      <c r="CKL26" s="15"/>
      <c r="CKR26" s="25"/>
      <c r="CKY26" s="21"/>
      <c r="CKZ26" s="21"/>
      <c r="CLD26" s="15"/>
      <c r="CLJ26" s="25"/>
      <c r="CLQ26" s="21"/>
      <c r="CLR26" s="21"/>
      <c r="CLV26" s="15"/>
      <c r="CMB26" s="25"/>
      <c r="CMI26" s="21"/>
      <c r="CMJ26" s="21"/>
      <c r="CMN26" s="15"/>
      <c r="CMT26" s="25"/>
      <c r="CNA26" s="21"/>
      <c r="CNB26" s="21"/>
      <c r="CNF26" s="15"/>
      <c r="CNL26" s="25"/>
      <c r="CNS26" s="21"/>
      <c r="CNT26" s="21"/>
      <c r="CNX26" s="15"/>
      <c r="COD26" s="25"/>
      <c r="COK26" s="21"/>
      <c r="COL26" s="21"/>
      <c r="COP26" s="15"/>
      <c r="COV26" s="25"/>
      <c r="CPC26" s="21"/>
      <c r="CPD26" s="21"/>
      <c r="CPH26" s="15"/>
      <c r="CPN26" s="25"/>
      <c r="CPU26" s="21"/>
      <c r="CPV26" s="21"/>
      <c r="CPZ26" s="15"/>
      <c r="CQF26" s="25"/>
      <c r="CQM26" s="21"/>
      <c r="CQN26" s="21"/>
      <c r="CQR26" s="15"/>
      <c r="CQX26" s="25"/>
      <c r="CRE26" s="21"/>
      <c r="CRF26" s="21"/>
      <c r="CRJ26" s="15"/>
      <c r="CRP26" s="25"/>
      <c r="CRW26" s="21"/>
      <c r="CRX26" s="21"/>
      <c r="CSB26" s="15"/>
      <c r="CSH26" s="25"/>
      <c r="CSO26" s="21"/>
      <c r="CSP26" s="21"/>
      <c r="CST26" s="15"/>
      <c r="CSZ26" s="25"/>
      <c r="CTG26" s="21"/>
      <c r="CTH26" s="21"/>
      <c r="CTL26" s="15"/>
      <c r="CTR26" s="25"/>
      <c r="CTY26" s="21"/>
      <c r="CTZ26" s="21"/>
      <c r="CUD26" s="15"/>
      <c r="CUJ26" s="25"/>
      <c r="CUQ26" s="21"/>
      <c r="CUR26" s="21"/>
      <c r="CUV26" s="15"/>
      <c r="CVB26" s="25"/>
      <c r="CVI26" s="21"/>
      <c r="CVJ26" s="21"/>
      <c r="CVN26" s="15"/>
      <c r="CVT26" s="25"/>
      <c r="CWA26" s="21"/>
      <c r="CWB26" s="21"/>
      <c r="CWF26" s="15"/>
      <c r="CWL26" s="25"/>
      <c r="CWS26" s="21"/>
      <c r="CWT26" s="21"/>
      <c r="CWX26" s="15"/>
      <c r="CXD26" s="25"/>
      <c r="CXK26" s="21"/>
      <c r="CXL26" s="21"/>
      <c r="CXP26" s="15"/>
      <c r="CXV26" s="25"/>
      <c r="CYC26" s="21"/>
      <c r="CYD26" s="21"/>
      <c r="CYH26" s="15"/>
      <c r="CYN26" s="25"/>
      <c r="CYU26" s="21"/>
      <c r="CYV26" s="21"/>
      <c r="CYZ26" s="15"/>
      <c r="CZF26" s="25"/>
      <c r="CZM26" s="21"/>
      <c r="CZN26" s="21"/>
      <c r="CZR26" s="15"/>
      <c r="CZX26" s="25"/>
      <c r="DAE26" s="21"/>
      <c r="DAF26" s="21"/>
      <c r="DAJ26" s="15"/>
      <c r="DAP26" s="25"/>
      <c r="DAW26" s="21"/>
      <c r="DAX26" s="21"/>
      <c r="DBB26" s="15"/>
      <c r="DBH26" s="25"/>
      <c r="DBO26" s="21"/>
      <c r="DBP26" s="21"/>
      <c r="DBT26" s="15"/>
      <c r="DBZ26" s="25"/>
      <c r="DCG26" s="21"/>
      <c r="DCH26" s="21"/>
      <c r="DCL26" s="15"/>
      <c r="DCR26" s="25"/>
      <c r="DCY26" s="21"/>
      <c r="DCZ26" s="21"/>
      <c r="DDD26" s="15"/>
      <c r="DDJ26" s="25"/>
      <c r="DDQ26" s="21"/>
      <c r="DDR26" s="21"/>
      <c r="DDV26" s="15"/>
      <c r="DEB26" s="25"/>
      <c r="DEI26" s="21"/>
      <c r="DEJ26" s="21"/>
      <c r="DEN26" s="15"/>
      <c r="DET26" s="25"/>
      <c r="DFA26" s="21"/>
      <c r="DFB26" s="21"/>
      <c r="DFF26" s="15"/>
      <c r="DFL26" s="25"/>
      <c r="DFS26" s="21"/>
      <c r="DFT26" s="21"/>
      <c r="DFX26" s="15"/>
      <c r="DGD26" s="25"/>
      <c r="DGK26" s="21"/>
      <c r="DGL26" s="21"/>
      <c r="DGP26" s="15"/>
      <c r="DGV26" s="25"/>
      <c r="DHC26" s="21"/>
      <c r="DHD26" s="21"/>
      <c r="DHH26" s="15"/>
      <c r="DHN26" s="25"/>
      <c r="DHU26" s="21"/>
      <c r="DHV26" s="21"/>
      <c r="DHZ26" s="15"/>
      <c r="DIF26" s="25"/>
      <c r="DIM26" s="21"/>
      <c r="DIN26" s="21"/>
      <c r="DIR26" s="15"/>
      <c r="DIX26" s="25"/>
      <c r="DJE26" s="21"/>
      <c r="DJF26" s="21"/>
      <c r="DJJ26" s="15"/>
      <c r="DJP26" s="25"/>
      <c r="DJW26" s="21"/>
      <c r="DJX26" s="21"/>
      <c r="DKB26" s="15"/>
      <c r="DKH26" s="25"/>
      <c r="DKO26" s="21"/>
      <c r="DKP26" s="21"/>
      <c r="DKT26" s="15"/>
      <c r="DKZ26" s="25"/>
      <c r="DLG26" s="21"/>
      <c r="DLH26" s="21"/>
      <c r="DLL26" s="15"/>
      <c r="DLR26" s="25"/>
      <c r="DLY26" s="21"/>
      <c r="DLZ26" s="21"/>
      <c r="DMD26" s="15"/>
      <c r="DMJ26" s="25"/>
      <c r="DMQ26" s="21"/>
      <c r="DMR26" s="21"/>
      <c r="DMV26" s="15"/>
      <c r="DNB26" s="25"/>
      <c r="DNI26" s="21"/>
      <c r="DNJ26" s="21"/>
      <c r="DNN26" s="15"/>
      <c r="DNT26" s="25"/>
      <c r="DOA26" s="21"/>
      <c r="DOB26" s="21"/>
      <c r="DOF26" s="15"/>
      <c r="DOL26" s="25"/>
      <c r="DOS26" s="21"/>
      <c r="DOT26" s="21"/>
      <c r="DOX26" s="15"/>
      <c r="DPD26" s="25"/>
      <c r="DPK26" s="21"/>
      <c r="DPL26" s="21"/>
      <c r="DPP26" s="15"/>
      <c r="DPV26" s="25"/>
      <c r="DQC26" s="21"/>
      <c r="DQD26" s="21"/>
      <c r="DQH26" s="15"/>
      <c r="DQN26" s="25"/>
      <c r="DQU26" s="21"/>
      <c r="DQV26" s="21"/>
      <c r="DQZ26" s="15"/>
      <c r="DRF26" s="25"/>
      <c r="DRM26" s="21"/>
      <c r="DRN26" s="21"/>
      <c r="DRR26" s="15"/>
      <c r="DRX26" s="25"/>
      <c r="DSE26" s="21"/>
      <c r="DSF26" s="21"/>
      <c r="DSJ26" s="15"/>
      <c r="DSP26" s="25"/>
      <c r="DSW26" s="21"/>
      <c r="DSX26" s="21"/>
      <c r="DTB26" s="15"/>
      <c r="DTH26" s="25"/>
      <c r="DTO26" s="21"/>
      <c r="DTP26" s="21"/>
      <c r="DTT26" s="15"/>
      <c r="DTZ26" s="25"/>
      <c r="DUG26" s="21"/>
      <c r="DUH26" s="21"/>
      <c r="DUL26" s="15"/>
      <c r="DUR26" s="25"/>
      <c r="DUY26" s="21"/>
      <c r="DUZ26" s="21"/>
      <c r="DVD26" s="15"/>
      <c r="DVJ26" s="25"/>
      <c r="DVQ26" s="21"/>
      <c r="DVR26" s="21"/>
      <c r="DVV26" s="15"/>
      <c r="DWB26" s="25"/>
      <c r="DWI26" s="21"/>
      <c r="DWJ26" s="21"/>
      <c r="DWN26" s="15"/>
      <c r="DWT26" s="25"/>
      <c r="DXA26" s="21"/>
      <c r="DXB26" s="21"/>
      <c r="DXF26" s="15"/>
      <c r="DXL26" s="25"/>
      <c r="DXS26" s="21"/>
      <c r="DXT26" s="21"/>
      <c r="DXX26" s="15"/>
      <c r="DYD26" s="25"/>
      <c r="DYK26" s="21"/>
      <c r="DYL26" s="21"/>
      <c r="DYP26" s="15"/>
      <c r="DYV26" s="25"/>
      <c r="DZC26" s="21"/>
      <c r="DZD26" s="21"/>
      <c r="DZH26" s="15"/>
      <c r="DZN26" s="25"/>
      <c r="DZU26" s="21"/>
      <c r="DZV26" s="21"/>
      <c r="DZZ26" s="15"/>
      <c r="EAF26" s="25"/>
      <c r="EAM26" s="21"/>
      <c r="EAN26" s="21"/>
      <c r="EAR26" s="15"/>
      <c r="EAX26" s="25"/>
      <c r="EBE26" s="21"/>
      <c r="EBF26" s="21"/>
      <c r="EBJ26" s="15"/>
      <c r="EBP26" s="25"/>
      <c r="EBW26" s="21"/>
      <c r="EBX26" s="21"/>
      <c r="ECB26" s="15"/>
      <c r="ECH26" s="25"/>
      <c r="ECO26" s="21"/>
      <c r="ECP26" s="21"/>
      <c r="ECT26" s="15"/>
      <c r="ECZ26" s="25"/>
      <c r="EDG26" s="21"/>
      <c r="EDH26" s="21"/>
      <c r="EDL26" s="15"/>
      <c r="EDR26" s="25"/>
      <c r="EDY26" s="21"/>
      <c r="EDZ26" s="21"/>
      <c r="EED26" s="15"/>
      <c r="EEJ26" s="25"/>
      <c r="EEQ26" s="21"/>
      <c r="EER26" s="21"/>
      <c r="EEV26" s="15"/>
      <c r="EFB26" s="25"/>
      <c r="EFI26" s="21"/>
      <c r="EFJ26" s="21"/>
      <c r="EFN26" s="15"/>
      <c r="EFT26" s="25"/>
      <c r="EGA26" s="21"/>
      <c r="EGB26" s="21"/>
      <c r="EGF26" s="15"/>
      <c r="EGL26" s="25"/>
      <c r="EGS26" s="21"/>
      <c r="EGT26" s="21"/>
      <c r="EGX26" s="15"/>
      <c r="EHD26" s="25"/>
      <c r="EHK26" s="21"/>
      <c r="EHL26" s="21"/>
      <c r="EHP26" s="15"/>
      <c r="EHV26" s="25"/>
      <c r="EIC26" s="21"/>
      <c r="EID26" s="21"/>
      <c r="EIH26" s="15"/>
      <c r="EIN26" s="25"/>
      <c r="EIU26" s="21"/>
      <c r="EIV26" s="21"/>
      <c r="EIZ26" s="15"/>
      <c r="EJF26" s="25"/>
      <c r="EJM26" s="21"/>
      <c r="EJN26" s="21"/>
      <c r="EJR26" s="15"/>
      <c r="EJX26" s="25"/>
      <c r="EKE26" s="21"/>
      <c r="EKF26" s="21"/>
      <c r="EKJ26" s="15"/>
      <c r="EKP26" s="25"/>
      <c r="EKW26" s="21"/>
      <c r="EKX26" s="21"/>
      <c r="ELB26" s="15"/>
      <c r="ELH26" s="25"/>
      <c r="ELO26" s="21"/>
      <c r="ELP26" s="21"/>
      <c r="ELT26" s="15"/>
      <c r="ELZ26" s="25"/>
      <c r="EMG26" s="21"/>
      <c r="EMH26" s="21"/>
      <c r="EML26" s="15"/>
      <c r="EMR26" s="25"/>
      <c r="EMY26" s="21"/>
      <c r="EMZ26" s="21"/>
      <c r="END26" s="15"/>
      <c r="ENJ26" s="25"/>
      <c r="ENQ26" s="21"/>
      <c r="ENR26" s="21"/>
      <c r="ENV26" s="15"/>
      <c r="EOB26" s="25"/>
      <c r="EOI26" s="21"/>
      <c r="EOJ26" s="21"/>
      <c r="EON26" s="15"/>
      <c r="EOT26" s="25"/>
      <c r="EPA26" s="21"/>
      <c r="EPB26" s="21"/>
      <c r="EPF26" s="15"/>
      <c r="EPL26" s="25"/>
      <c r="EPS26" s="21"/>
      <c r="EPT26" s="21"/>
      <c r="EPX26" s="15"/>
      <c r="EQD26" s="25"/>
      <c r="EQK26" s="21"/>
      <c r="EQL26" s="21"/>
      <c r="EQP26" s="15"/>
      <c r="EQV26" s="25"/>
      <c r="ERC26" s="21"/>
      <c r="ERD26" s="21"/>
      <c r="ERH26" s="15"/>
      <c r="ERN26" s="25"/>
      <c r="ERU26" s="21"/>
      <c r="ERV26" s="21"/>
      <c r="ERZ26" s="15"/>
      <c r="ESF26" s="25"/>
      <c r="ESM26" s="21"/>
      <c r="ESN26" s="21"/>
      <c r="ESR26" s="15"/>
      <c r="ESX26" s="25"/>
      <c r="ETE26" s="21"/>
      <c r="ETF26" s="21"/>
      <c r="ETJ26" s="15"/>
      <c r="ETP26" s="25"/>
      <c r="ETW26" s="21"/>
      <c r="ETX26" s="21"/>
      <c r="EUB26" s="15"/>
      <c r="EUH26" s="25"/>
      <c r="EUO26" s="21"/>
      <c r="EUP26" s="21"/>
      <c r="EUT26" s="15"/>
      <c r="EUZ26" s="25"/>
      <c r="EVG26" s="21"/>
      <c r="EVH26" s="21"/>
      <c r="EVL26" s="15"/>
      <c r="EVR26" s="25"/>
      <c r="EVY26" s="21"/>
      <c r="EVZ26" s="21"/>
      <c r="EWD26" s="15"/>
      <c r="EWJ26" s="25"/>
      <c r="EWQ26" s="21"/>
      <c r="EWR26" s="21"/>
      <c r="EWV26" s="15"/>
      <c r="EXB26" s="25"/>
      <c r="EXI26" s="21"/>
      <c r="EXJ26" s="21"/>
      <c r="EXN26" s="15"/>
      <c r="EXT26" s="25"/>
      <c r="EYA26" s="21"/>
      <c r="EYB26" s="21"/>
      <c r="EYF26" s="15"/>
      <c r="EYL26" s="25"/>
      <c r="EYS26" s="21"/>
      <c r="EYT26" s="21"/>
      <c r="EYX26" s="15"/>
      <c r="EZD26" s="25"/>
      <c r="EZK26" s="21"/>
      <c r="EZL26" s="21"/>
      <c r="EZP26" s="15"/>
      <c r="EZV26" s="25"/>
      <c r="FAC26" s="21"/>
      <c r="FAD26" s="21"/>
      <c r="FAH26" s="15"/>
      <c r="FAN26" s="25"/>
      <c r="FAU26" s="21"/>
      <c r="FAV26" s="21"/>
      <c r="FAZ26" s="15"/>
      <c r="FBF26" s="25"/>
      <c r="FBM26" s="21"/>
      <c r="FBN26" s="21"/>
      <c r="FBR26" s="15"/>
      <c r="FBX26" s="25"/>
      <c r="FCE26" s="21"/>
      <c r="FCF26" s="21"/>
      <c r="FCJ26" s="15"/>
      <c r="FCP26" s="25"/>
      <c r="FCW26" s="21"/>
      <c r="FCX26" s="21"/>
      <c r="FDB26" s="15"/>
      <c r="FDH26" s="25"/>
      <c r="FDO26" s="21"/>
      <c r="FDP26" s="21"/>
      <c r="FDT26" s="15"/>
      <c r="FDZ26" s="25"/>
      <c r="FEG26" s="21"/>
      <c r="FEH26" s="21"/>
      <c r="FEL26" s="15"/>
      <c r="FER26" s="25"/>
      <c r="FEY26" s="21"/>
      <c r="FEZ26" s="21"/>
      <c r="FFD26" s="15"/>
      <c r="FFJ26" s="25"/>
      <c r="FFQ26" s="21"/>
      <c r="FFR26" s="21"/>
      <c r="FFV26" s="15"/>
      <c r="FGB26" s="25"/>
      <c r="FGI26" s="21"/>
      <c r="FGJ26" s="21"/>
      <c r="FGN26" s="15"/>
      <c r="FGT26" s="25"/>
      <c r="FHA26" s="21"/>
      <c r="FHB26" s="21"/>
      <c r="FHF26" s="15"/>
      <c r="FHL26" s="25"/>
      <c r="FHS26" s="21"/>
      <c r="FHT26" s="21"/>
      <c r="FHX26" s="15"/>
      <c r="FID26" s="25"/>
      <c r="FIK26" s="21"/>
      <c r="FIL26" s="21"/>
      <c r="FIP26" s="15"/>
      <c r="FIV26" s="25"/>
      <c r="FJC26" s="21"/>
      <c r="FJD26" s="21"/>
      <c r="FJH26" s="15"/>
      <c r="FJN26" s="25"/>
      <c r="FJU26" s="21"/>
      <c r="FJV26" s="21"/>
      <c r="FJZ26" s="15"/>
      <c r="FKF26" s="25"/>
      <c r="FKM26" s="21"/>
      <c r="FKN26" s="21"/>
      <c r="FKR26" s="15"/>
      <c r="FKX26" s="25"/>
      <c r="FLE26" s="21"/>
      <c r="FLF26" s="21"/>
      <c r="FLJ26" s="15"/>
      <c r="FLP26" s="25"/>
      <c r="FLW26" s="21"/>
      <c r="FLX26" s="21"/>
      <c r="FMB26" s="15"/>
      <c r="FMH26" s="25"/>
      <c r="FMO26" s="21"/>
      <c r="FMP26" s="21"/>
      <c r="FMT26" s="15"/>
      <c r="FMZ26" s="25"/>
      <c r="FNG26" s="21"/>
      <c r="FNH26" s="21"/>
      <c r="FNL26" s="15"/>
      <c r="FNR26" s="25"/>
      <c r="FNY26" s="21"/>
      <c r="FNZ26" s="21"/>
      <c r="FOD26" s="15"/>
      <c r="FOJ26" s="25"/>
      <c r="FOQ26" s="21"/>
      <c r="FOR26" s="21"/>
      <c r="FOV26" s="15"/>
      <c r="FPB26" s="25"/>
      <c r="FPI26" s="21"/>
      <c r="FPJ26" s="21"/>
      <c r="FPN26" s="15"/>
      <c r="FPT26" s="25"/>
      <c r="FQA26" s="21"/>
      <c r="FQB26" s="21"/>
      <c r="FQF26" s="15"/>
      <c r="FQL26" s="25"/>
      <c r="FQS26" s="21"/>
      <c r="FQT26" s="21"/>
      <c r="FQX26" s="15"/>
      <c r="FRD26" s="25"/>
      <c r="FRK26" s="21"/>
      <c r="FRL26" s="21"/>
      <c r="FRP26" s="15"/>
      <c r="FRV26" s="25"/>
      <c r="FSC26" s="21"/>
      <c r="FSD26" s="21"/>
      <c r="FSH26" s="15"/>
      <c r="FSN26" s="25"/>
      <c r="FSU26" s="21"/>
      <c r="FSV26" s="21"/>
      <c r="FSZ26" s="15"/>
      <c r="FTF26" s="25"/>
      <c r="FTM26" s="21"/>
      <c r="FTN26" s="21"/>
      <c r="FTR26" s="15"/>
      <c r="FTX26" s="25"/>
      <c r="FUE26" s="21"/>
      <c r="FUF26" s="21"/>
      <c r="FUJ26" s="15"/>
      <c r="FUP26" s="25"/>
      <c r="FUW26" s="21"/>
      <c r="FUX26" s="21"/>
      <c r="FVB26" s="15"/>
      <c r="FVH26" s="25"/>
      <c r="FVO26" s="21"/>
      <c r="FVP26" s="21"/>
      <c r="FVT26" s="15"/>
      <c r="FVZ26" s="25"/>
      <c r="FWG26" s="21"/>
      <c r="FWH26" s="21"/>
      <c r="FWL26" s="15"/>
      <c r="FWR26" s="25"/>
      <c r="FWY26" s="21"/>
      <c r="FWZ26" s="21"/>
      <c r="FXD26" s="15"/>
      <c r="FXJ26" s="25"/>
      <c r="FXQ26" s="21"/>
      <c r="FXR26" s="21"/>
      <c r="FXV26" s="15"/>
      <c r="FYB26" s="25"/>
      <c r="FYI26" s="21"/>
      <c r="FYJ26" s="21"/>
      <c r="FYN26" s="15"/>
      <c r="FYT26" s="25"/>
      <c r="FZA26" s="21"/>
      <c r="FZB26" s="21"/>
      <c r="FZF26" s="15"/>
      <c r="FZL26" s="25"/>
      <c r="FZS26" s="21"/>
      <c r="FZT26" s="21"/>
      <c r="FZX26" s="15"/>
      <c r="GAD26" s="25"/>
      <c r="GAK26" s="21"/>
      <c r="GAL26" s="21"/>
      <c r="GAP26" s="15"/>
      <c r="GAV26" s="25"/>
      <c r="GBC26" s="21"/>
      <c r="GBD26" s="21"/>
      <c r="GBH26" s="15"/>
      <c r="GBN26" s="25"/>
      <c r="GBU26" s="21"/>
      <c r="GBV26" s="21"/>
      <c r="GBZ26" s="15"/>
      <c r="GCF26" s="25"/>
      <c r="GCM26" s="21"/>
      <c r="GCN26" s="21"/>
      <c r="GCR26" s="15"/>
      <c r="GCX26" s="25"/>
      <c r="GDE26" s="21"/>
      <c r="GDF26" s="21"/>
      <c r="GDJ26" s="15"/>
      <c r="GDP26" s="25"/>
      <c r="GDW26" s="21"/>
      <c r="GDX26" s="21"/>
      <c r="GEB26" s="15"/>
      <c r="GEH26" s="25"/>
      <c r="GEO26" s="21"/>
      <c r="GEP26" s="21"/>
      <c r="GET26" s="15"/>
      <c r="GEZ26" s="25"/>
      <c r="GFG26" s="21"/>
      <c r="GFH26" s="21"/>
      <c r="GFL26" s="15"/>
      <c r="GFR26" s="25"/>
      <c r="GFY26" s="21"/>
      <c r="GFZ26" s="21"/>
      <c r="GGD26" s="15"/>
      <c r="GGJ26" s="25"/>
      <c r="GGQ26" s="21"/>
      <c r="GGR26" s="21"/>
      <c r="GGV26" s="15"/>
      <c r="GHB26" s="25"/>
      <c r="GHI26" s="21"/>
      <c r="GHJ26" s="21"/>
      <c r="GHN26" s="15"/>
      <c r="GHT26" s="25"/>
      <c r="GIA26" s="21"/>
      <c r="GIB26" s="21"/>
      <c r="GIF26" s="15"/>
      <c r="GIL26" s="25"/>
      <c r="GIS26" s="21"/>
      <c r="GIT26" s="21"/>
      <c r="GIX26" s="15"/>
      <c r="GJD26" s="25"/>
      <c r="GJK26" s="21"/>
      <c r="GJL26" s="21"/>
      <c r="GJP26" s="15"/>
      <c r="GJV26" s="25"/>
      <c r="GKC26" s="21"/>
      <c r="GKD26" s="21"/>
      <c r="GKH26" s="15"/>
      <c r="GKN26" s="25"/>
      <c r="GKU26" s="21"/>
      <c r="GKV26" s="21"/>
      <c r="GKZ26" s="15"/>
      <c r="GLF26" s="25"/>
      <c r="GLM26" s="21"/>
      <c r="GLN26" s="21"/>
      <c r="GLR26" s="15"/>
      <c r="GLX26" s="25"/>
      <c r="GME26" s="21"/>
      <c r="GMF26" s="21"/>
      <c r="GMJ26" s="15"/>
      <c r="GMP26" s="25"/>
      <c r="GMW26" s="21"/>
      <c r="GMX26" s="21"/>
      <c r="GNB26" s="15"/>
      <c r="GNH26" s="25"/>
      <c r="GNO26" s="21"/>
      <c r="GNP26" s="21"/>
      <c r="GNT26" s="15"/>
      <c r="GNZ26" s="25"/>
      <c r="GOG26" s="21"/>
      <c r="GOH26" s="21"/>
      <c r="GOL26" s="15"/>
      <c r="GOR26" s="25"/>
      <c r="GOY26" s="21"/>
      <c r="GOZ26" s="21"/>
      <c r="GPD26" s="15"/>
      <c r="GPJ26" s="25"/>
      <c r="GPQ26" s="21"/>
      <c r="GPR26" s="21"/>
      <c r="GPV26" s="15"/>
      <c r="GQB26" s="25"/>
      <c r="GQI26" s="21"/>
      <c r="GQJ26" s="21"/>
      <c r="GQN26" s="15"/>
      <c r="GQT26" s="25"/>
      <c r="GRA26" s="21"/>
      <c r="GRB26" s="21"/>
      <c r="GRF26" s="15"/>
      <c r="GRL26" s="25"/>
      <c r="GRS26" s="21"/>
      <c r="GRT26" s="21"/>
      <c r="GRX26" s="15"/>
      <c r="GSD26" s="25"/>
      <c r="GSK26" s="21"/>
      <c r="GSL26" s="21"/>
      <c r="GSP26" s="15"/>
      <c r="GSV26" s="25"/>
      <c r="GTC26" s="21"/>
      <c r="GTD26" s="21"/>
      <c r="GTH26" s="15"/>
      <c r="GTN26" s="25"/>
      <c r="GTU26" s="21"/>
      <c r="GTV26" s="21"/>
      <c r="GTZ26" s="15"/>
      <c r="GUF26" s="25"/>
      <c r="GUM26" s="21"/>
      <c r="GUN26" s="21"/>
      <c r="GUR26" s="15"/>
      <c r="GUX26" s="25"/>
      <c r="GVE26" s="21"/>
      <c r="GVF26" s="21"/>
      <c r="GVJ26" s="15"/>
      <c r="GVP26" s="25"/>
      <c r="GVW26" s="21"/>
      <c r="GVX26" s="21"/>
      <c r="GWB26" s="15"/>
      <c r="GWH26" s="25"/>
      <c r="GWO26" s="21"/>
      <c r="GWP26" s="21"/>
      <c r="GWT26" s="15"/>
      <c r="GWZ26" s="25"/>
      <c r="GXG26" s="21"/>
      <c r="GXH26" s="21"/>
      <c r="GXL26" s="15"/>
      <c r="GXR26" s="25"/>
      <c r="GXY26" s="21"/>
      <c r="GXZ26" s="21"/>
      <c r="GYD26" s="15"/>
      <c r="GYJ26" s="25"/>
      <c r="GYQ26" s="21"/>
      <c r="GYR26" s="21"/>
      <c r="GYV26" s="15"/>
      <c r="GZB26" s="25"/>
      <c r="GZI26" s="21"/>
      <c r="GZJ26" s="21"/>
      <c r="GZN26" s="15"/>
      <c r="GZT26" s="25"/>
      <c r="HAA26" s="21"/>
      <c r="HAB26" s="21"/>
      <c r="HAF26" s="15"/>
      <c r="HAL26" s="25"/>
      <c r="HAS26" s="21"/>
      <c r="HAT26" s="21"/>
      <c r="HAX26" s="15"/>
      <c r="HBD26" s="25"/>
      <c r="HBK26" s="21"/>
      <c r="HBL26" s="21"/>
      <c r="HBP26" s="15"/>
      <c r="HBV26" s="25"/>
      <c r="HCC26" s="21"/>
      <c r="HCD26" s="21"/>
      <c r="HCH26" s="15"/>
      <c r="HCN26" s="25"/>
      <c r="HCU26" s="21"/>
      <c r="HCV26" s="21"/>
      <c r="HCZ26" s="15"/>
      <c r="HDF26" s="25"/>
      <c r="HDM26" s="21"/>
      <c r="HDN26" s="21"/>
      <c r="HDR26" s="15"/>
      <c r="HDX26" s="25"/>
      <c r="HEE26" s="21"/>
      <c r="HEF26" s="21"/>
      <c r="HEJ26" s="15"/>
      <c r="HEP26" s="25"/>
      <c r="HEW26" s="21"/>
      <c r="HEX26" s="21"/>
      <c r="HFB26" s="15"/>
      <c r="HFH26" s="25"/>
      <c r="HFO26" s="21"/>
      <c r="HFP26" s="21"/>
      <c r="HFT26" s="15"/>
      <c r="HFZ26" s="25"/>
      <c r="HGG26" s="21"/>
      <c r="HGH26" s="21"/>
      <c r="HGL26" s="15"/>
      <c r="HGR26" s="25"/>
      <c r="HGY26" s="21"/>
      <c r="HGZ26" s="21"/>
      <c r="HHD26" s="15"/>
      <c r="HHJ26" s="25"/>
      <c r="HHQ26" s="21"/>
      <c r="HHR26" s="21"/>
      <c r="HHV26" s="15"/>
      <c r="HIB26" s="25"/>
      <c r="HII26" s="21"/>
      <c r="HIJ26" s="21"/>
      <c r="HIN26" s="15"/>
      <c r="HIT26" s="25"/>
      <c r="HJA26" s="21"/>
      <c r="HJB26" s="21"/>
      <c r="HJF26" s="15"/>
      <c r="HJL26" s="25"/>
      <c r="HJS26" s="21"/>
      <c r="HJT26" s="21"/>
      <c r="HJX26" s="15"/>
      <c r="HKD26" s="25"/>
      <c r="HKK26" s="21"/>
      <c r="HKL26" s="21"/>
      <c r="HKP26" s="15"/>
      <c r="HKV26" s="25"/>
      <c r="HLC26" s="21"/>
      <c r="HLD26" s="21"/>
      <c r="HLH26" s="15"/>
      <c r="HLN26" s="25"/>
      <c r="HLU26" s="21"/>
      <c r="HLV26" s="21"/>
      <c r="HLZ26" s="15"/>
      <c r="HMF26" s="25"/>
      <c r="HMM26" s="21"/>
      <c r="HMN26" s="21"/>
      <c r="HMR26" s="15"/>
      <c r="HMX26" s="25"/>
      <c r="HNE26" s="21"/>
      <c r="HNF26" s="21"/>
      <c r="HNJ26" s="15"/>
      <c r="HNP26" s="25"/>
      <c r="HNW26" s="21"/>
      <c r="HNX26" s="21"/>
      <c r="HOB26" s="15"/>
      <c r="HOH26" s="25"/>
      <c r="HOO26" s="21"/>
      <c r="HOP26" s="21"/>
      <c r="HOT26" s="15"/>
      <c r="HOZ26" s="25"/>
      <c r="HPG26" s="21"/>
      <c r="HPH26" s="21"/>
      <c r="HPL26" s="15"/>
      <c r="HPR26" s="25"/>
      <c r="HPY26" s="21"/>
      <c r="HPZ26" s="21"/>
      <c r="HQD26" s="15"/>
      <c r="HQJ26" s="25"/>
      <c r="HQQ26" s="21"/>
      <c r="HQR26" s="21"/>
      <c r="HQV26" s="15"/>
      <c r="HRB26" s="25"/>
      <c r="HRI26" s="21"/>
      <c r="HRJ26" s="21"/>
      <c r="HRN26" s="15"/>
      <c r="HRT26" s="25"/>
      <c r="HSA26" s="21"/>
      <c r="HSB26" s="21"/>
      <c r="HSF26" s="15"/>
      <c r="HSL26" s="25"/>
      <c r="HSS26" s="21"/>
      <c r="HST26" s="21"/>
      <c r="HSX26" s="15"/>
      <c r="HTD26" s="25"/>
      <c r="HTK26" s="21"/>
      <c r="HTL26" s="21"/>
      <c r="HTP26" s="15"/>
      <c r="HTV26" s="25"/>
      <c r="HUC26" s="21"/>
      <c r="HUD26" s="21"/>
      <c r="HUH26" s="15"/>
      <c r="HUN26" s="25"/>
      <c r="HUU26" s="21"/>
      <c r="HUV26" s="21"/>
      <c r="HUZ26" s="15"/>
      <c r="HVF26" s="25"/>
      <c r="HVM26" s="21"/>
      <c r="HVN26" s="21"/>
      <c r="HVR26" s="15"/>
      <c r="HVX26" s="25"/>
      <c r="HWE26" s="21"/>
      <c r="HWF26" s="21"/>
      <c r="HWJ26" s="15"/>
      <c r="HWP26" s="25"/>
      <c r="HWW26" s="21"/>
      <c r="HWX26" s="21"/>
      <c r="HXB26" s="15"/>
      <c r="HXH26" s="25"/>
      <c r="HXO26" s="21"/>
      <c r="HXP26" s="21"/>
      <c r="HXT26" s="15"/>
      <c r="HXZ26" s="25"/>
      <c r="HYG26" s="21"/>
      <c r="HYH26" s="21"/>
      <c r="HYL26" s="15"/>
      <c r="HYR26" s="25"/>
      <c r="HYY26" s="21"/>
      <c r="HYZ26" s="21"/>
      <c r="HZD26" s="15"/>
      <c r="HZJ26" s="25"/>
      <c r="HZQ26" s="21"/>
      <c r="HZR26" s="21"/>
      <c r="HZV26" s="15"/>
      <c r="IAB26" s="25"/>
      <c r="IAI26" s="21"/>
      <c r="IAJ26" s="21"/>
      <c r="IAN26" s="15"/>
      <c r="IAT26" s="25"/>
      <c r="IBA26" s="21"/>
      <c r="IBB26" s="21"/>
      <c r="IBF26" s="15"/>
      <c r="IBL26" s="25"/>
      <c r="IBS26" s="21"/>
      <c r="IBT26" s="21"/>
      <c r="IBX26" s="15"/>
      <c r="ICD26" s="25"/>
      <c r="ICK26" s="21"/>
      <c r="ICL26" s="21"/>
      <c r="ICP26" s="15"/>
      <c r="ICV26" s="25"/>
      <c r="IDC26" s="21"/>
      <c r="IDD26" s="21"/>
      <c r="IDH26" s="15"/>
      <c r="IDN26" s="25"/>
      <c r="IDU26" s="21"/>
      <c r="IDV26" s="21"/>
      <c r="IDZ26" s="15"/>
      <c r="IEF26" s="25"/>
      <c r="IEM26" s="21"/>
      <c r="IEN26" s="21"/>
      <c r="IER26" s="15"/>
      <c r="IEX26" s="25"/>
      <c r="IFE26" s="21"/>
      <c r="IFF26" s="21"/>
      <c r="IFJ26" s="15"/>
      <c r="IFP26" s="25"/>
      <c r="IFW26" s="21"/>
      <c r="IFX26" s="21"/>
      <c r="IGB26" s="15"/>
      <c r="IGH26" s="25"/>
      <c r="IGO26" s="21"/>
      <c r="IGP26" s="21"/>
      <c r="IGT26" s="15"/>
      <c r="IGZ26" s="25"/>
      <c r="IHG26" s="21"/>
      <c r="IHH26" s="21"/>
      <c r="IHL26" s="15"/>
      <c r="IHR26" s="25"/>
      <c r="IHY26" s="21"/>
      <c r="IHZ26" s="21"/>
      <c r="IID26" s="15"/>
      <c r="IIJ26" s="25"/>
      <c r="IIQ26" s="21"/>
      <c r="IIR26" s="21"/>
      <c r="IIV26" s="15"/>
      <c r="IJB26" s="25"/>
      <c r="IJI26" s="21"/>
      <c r="IJJ26" s="21"/>
      <c r="IJN26" s="15"/>
      <c r="IJT26" s="25"/>
      <c r="IKA26" s="21"/>
      <c r="IKB26" s="21"/>
      <c r="IKF26" s="15"/>
      <c r="IKL26" s="25"/>
      <c r="IKS26" s="21"/>
      <c r="IKT26" s="21"/>
      <c r="IKX26" s="15"/>
      <c r="ILD26" s="25"/>
      <c r="ILK26" s="21"/>
      <c r="ILL26" s="21"/>
      <c r="ILP26" s="15"/>
      <c r="ILV26" s="25"/>
      <c r="IMC26" s="21"/>
      <c r="IMD26" s="21"/>
      <c r="IMH26" s="15"/>
      <c r="IMN26" s="25"/>
      <c r="IMU26" s="21"/>
      <c r="IMV26" s="21"/>
      <c r="IMZ26" s="15"/>
      <c r="INF26" s="25"/>
      <c r="INM26" s="21"/>
      <c r="INN26" s="21"/>
      <c r="INR26" s="15"/>
      <c r="INX26" s="25"/>
      <c r="IOE26" s="21"/>
      <c r="IOF26" s="21"/>
      <c r="IOJ26" s="15"/>
      <c r="IOP26" s="25"/>
      <c r="IOW26" s="21"/>
      <c r="IOX26" s="21"/>
      <c r="IPB26" s="15"/>
      <c r="IPH26" s="25"/>
      <c r="IPO26" s="21"/>
      <c r="IPP26" s="21"/>
      <c r="IPT26" s="15"/>
      <c r="IPZ26" s="25"/>
      <c r="IQG26" s="21"/>
      <c r="IQH26" s="21"/>
      <c r="IQL26" s="15"/>
      <c r="IQR26" s="25"/>
      <c r="IQY26" s="21"/>
      <c r="IQZ26" s="21"/>
      <c r="IRD26" s="15"/>
      <c r="IRJ26" s="25"/>
      <c r="IRQ26" s="21"/>
      <c r="IRR26" s="21"/>
      <c r="IRV26" s="15"/>
      <c r="ISB26" s="25"/>
      <c r="ISI26" s="21"/>
      <c r="ISJ26" s="21"/>
      <c r="ISN26" s="15"/>
      <c r="IST26" s="25"/>
      <c r="ITA26" s="21"/>
      <c r="ITB26" s="21"/>
      <c r="ITF26" s="15"/>
      <c r="ITL26" s="25"/>
      <c r="ITS26" s="21"/>
      <c r="ITT26" s="21"/>
      <c r="ITX26" s="15"/>
      <c r="IUD26" s="25"/>
      <c r="IUK26" s="21"/>
      <c r="IUL26" s="21"/>
      <c r="IUP26" s="15"/>
      <c r="IUV26" s="25"/>
      <c r="IVC26" s="21"/>
      <c r="IVD26" s="21"/>
      <c r="IVH26" s="15"/>
      <c r="IVN26" s="25"/>
      <c r="IVU26" s="21"/>
      <c r="IVV26" s="21"/>
      <c r="IVZ26" s="15"/>
      <c r="IWF26" s="25"/>
      <c r="IWM26" s="21"/>
      <c r="IWN26" s="21"/>
      <c r="IWR26" s="15"/>
      <c r="IWX26" s="25"/>
      <c r="IXE26" s="21"/>
      <c r="IXF26" s="21"/>
      <c r="IXJ26" s="15"/>
      <c r="IXP26" s="25"/>
      <c r="IXW26" s="21"/>
      <c r="IXX26" s="21"/>
      <c r="IYB26" s="15"/>
      <c r="IYH26" s="25"/>
      <c r="IYO26" s="21"/>
      <c r="IYP26" s="21"/>
      <c r="IYT26" s="15"/>
      <c r="IYZ26" s="25"/>
      <c r="IZG26" s="21"/>
      <c r="IZH26" s="21"/>
      <c r="IZL26" s="15"/>
      <c r="IZR26" s="25"/>
      <c r="IZY26" s="21"/>
      <c r="IZZ26" s="21"/>
      <c r="JAD26" s="15"/>
      <c r="JAJ26" s="25"/>
      <c r="JAQ26" s="21"/>
      <c r="JAR26" s="21"/>
      <c r="JAV26" s="15"/>
      <c r="JBB26" s="25"/>
      <c r="JBI26" s="21"/>
      <c r="JBJ26" s="21"/>
      <c r="JBN26" s="15"/>
      <c r="JBT26" s="25"/>
      <c r="JCA26" s="21"/>
      <c r="JCB26" s="21"/>
      <c r="JCF26" s="15"/>
      <c r="JCL26" s="25"/>
      <c r="JCS26" s="21"/>
      <c r="JCT26" s="21"/>
      <c r="JCX26" s="15"/>
      <c r="JDD26" s="25"/>
      <c r="JDK26" s="21"/>
      <c r="JDL26" s="21"/>
      <c r="JDP26" s="15"/>
      <c r="JDV26" s="25"/>
      <c r="JEC26" s="21"/>
      <c r="JED26" s="21"/>
      <c r="JEH26" s="15"/>
      <c r="JEN26" s="25"/>
      <c r="JEU26" s="21"/>
      <c r="JEV26" s="21"/>
      <c r="JEZ26" s="15"/>
      <c r="JFF26" s="25"/>
      <c r="JFM26" s="21"/>
      <c r="JFN26" s="21"/>
      <c r="JFR26" s="15"/>
      <c r="JFX26" s="25"/>
      <c r="JGE26" s="21"/>
      <c r="JGF26" s="21"/>
      <c r="JGJ26" s="15"/>
      <c r="JGP26" s="25"/>
      <c r="JGW26" s="21"/>
      <c r="JGX26" s="21"/>
      <c r="JHB26" s="15"/>
      <c r="JHH26" s="25"/>
      <c r="JHO26" s="21"/>
      <c r="JHP26" s="21"/>
      <c r="JHT26" s="15"/>
      <c r="JHZ26" s="25"/>
      <c r="JIG26" s="21"/>
      <c r="JIH26" s="21"/>
      <c r="JIL26" s="15"/>
      <c r="JIR26" s="25"/>
      <c r="JIY26" s="21"/>
      <c r="JIZ26" s="21"/>
      <c r="JJD26" s="15"/>
      <c r="JJJ26" s="25"/>
      <c r="JJQ26" s="21"/>
      <c r="JJR26" s="21"/>
      <c r="JJV26" s="15"/>
      <c r="JKB26" s="25"/>
      <c r="JKI26" s="21"/>
      <c r="JKJ26" s="21"/>
      <c r="JKN26" s="15"/>
      <c r="JKT26" s="25"/>
      <c r="JLA26" s="21"/>
      <c r="JLB26" s="21"/>
      <c r="JLF26" s="15"/>
      <c r="JLL26" s="25"/>
      <c r="JLS26" s="21"/>
      <c r="JLT26" s="21"/>
      <c r="JLX26" s="15"/>
      <c r="JMD26" s="25"/>
      <c r="JMK26" s="21"/>
      <c r="JML26" s="21"/>
      <c r="JMP26" s="15"/>
      <c r="JMV26" s="25"/>
      <c r="JNC26" s="21"/>
      <c r="JND26" s="21"/>
      <c r="JNH26" s="15"/>
      <c r="JNN26" s="25"/>
      <c r="JNU26" s="21"/>
      <c r="JNV26" s="21"/>
      <c r="JNZ26" s="15"/>
      <c r="JOF26" s="25"/>
      <c r="JOM26" s="21"/>
      <c r="JON26" s="21"/>
      <c r="JOR26" s="15"/>
      <c r="JOX26" s="25"/>
      <c r="JPE26" s="21"/>
      <c r="JPF26" s="21"/>
      <c r="JPJ26" s="15"/>
      <c r="JPP26" s="25"/>
      <c r="JPW26" s="21"/>
      <c r="JPX26" s="21"/>
      <c r="JQB26" s="15"/>
      <c r="JQH26" s="25"/>
      <c r="JQO26" s="21"/>
      <c r="JQP26" s="21"/>
      <c r="JQT26" s="15"/>
      <c r="JQZ26" s="25"/>
      <c r="JRG26" s="21"/>
      <c r="JRH26" s="21"/>
      <c r="JRL26" s="15"/>
      <c r="JRR26" s="25"/>
      <c r="JRY26" s="21"/>
      <c r="JRZ26" s="21"/>
      <c r="JSD26" s="15"/>
      <c r="JSJ26" s="25"/>
      <c r="JSQ26" s="21"/>
      <c r="JSR26" s="21"/>
      <c r="JSV26" s="15"/>
      <c r="JTB26" s="25"/>
      <c r="JTI26" s="21"/>
      <c r="JTJ26" s="21"/>
      <c r="JTN26" s="15"/>
      <c r="JTT26" s="25"/>
      <c r="JUA26" s="21"/>
      <c r="JUB26" s="21"/>
      <c r="JUF26" s="15"/>
      <c r="JUL26" s="25"/>
      <c r="JUS26" s="21"/>
      <c r="JUT26" s="21"/>
      <c r="JUX26" s="15"/>
      <c r="JVD26" s="25"/>
      <c r="JVK26" s="21"/>
      <c r="JVL26" s="21"/>
      <c r="JVP26" s="15"/>
      <c r="JVV26" s="25"/>
      <c r="JWC26" s="21"/>
      <c r="JWD26" s="21"/>
      <c r="JWH26" s="15"/>
      <c r="JWN26" s="25"/>
      <c r="JWU26" s="21"/>
      <c r="JWV26" s="21"/>
      <c r="JWZ26" s="15"/>
      <c r="JXF26" s="25"/>
      <c r="JXM26" s="21"/>
      <c r="JXN26" s="21"/>
      <c r="JXR26" s="15"/>
      <c r="JXX26" s="25"/>
      <c r="JYE26" s="21"/>
      <c r="JYF26" s="21"/>
      <c r="JYJ26" s="15"/>
      <c r="JYP26" s="25"/>
      <c r="JYW26" s="21"/>
      <c r="JYX26" s="21"/>
      <c r="JZB26" s="15"/>
      <c r="JZH26" s="25"/>
      <c r="JZO26" s="21"/>
      <c r="JZP26" s="21"/>
      <c r="JZT26" s="15"/>
      <c r="JZZ26" s="25"/>
      <c r="KAG26" s="21"/>
      <c r="KAH26" s="21"/>
      <c r="KAL26" s="15"/>
      <c r="KAR26" s="25"/>
      <c r="KAY26" s="21"/>
      <c r="KAZ26" s="21"/>
      <c r="KBD26" s="15"/>
      <c r="KBJ26" s="25"/>
      <c r="KBQ26" s="21"/>
      <c r="KBR26" s="21"/>
      <c r="KBV26" s="15"/>
      <c r="KCB26" s="25"/>
      <c r="KCI26" s="21"/>
      <c r="KCJ26" s="21"/>
      <c r="KCN26" s="15"/>
      <c r="KCT26" s="25"/>
      <c r="KDA26" s="21"/>
      <c r="KDB26" s="21"/>
      <c r="KDF26" s="15"/>
      <c r="KDL26" s="25"/>
      <c r="KDS26" s="21"/>
      <c r="KDT26" s="21"/>
      <c r="KDX26" s="15"/>
      <c r="KED26" s="25"/>
      <c r="KEK26" s="21"/>
      <c r="KEL26" s="21"/>
      <c r="KEP26" s="15"/>
      <c r="KEV26" s="25"/>
      <c r="KFC26" s="21"/>
      <c r="KFD26" s="21"/>
      <c r="KFH26" s="15"/>
      <c r="KFN26" s="25"/>
      <c r="KFU26" s="21"/>
      <c r="KFV26" s="21"/>
      <c r="KFZ26" s="15"/>
      <c r="KGF26" s="25"/>
      <c r="KGM26" s="21"/>
      <c r="KGN26" s="21"/>
      <c r="KGR26" s="15"/>
      <c r="KGX26" s="25"/>
      <c r="KHE26" s="21"/>
      <c r="KHF26" s="21"/>
      <c r="KHJ26" s="15"/>
      <c r="KHP26" s="25"/>
      <c r="KHW26" s="21"/>
      <c r="KHX26" s="21"/>
      <c r="KIB26" s="15"/>
      <c r="KIH26" s="25"/>
      <c r="KIO26" s="21"/>
      <c r="KIP26" s="21"/>
      <c r="KIT26" s="15"/>
      <c r="KIZ26" s="25"/>
      <c r="KJG26" s="21"/>
      <c r="KJH26" s="21"/>
      <c r="KJL26" s="15"/>
      <c r="KJR26" s="25"/>
      <c r="KJY26" s="21"/>
      <c r="KJZ26" s="21"/>
      <c r="KKD26" s="15"/>
      <c r="KKJ26" s="25"/>
      <c r="KKQ26" s="21"/>
      <c r="KKR26" s="21"/>
      <c r="KKV26" s="15"/>
      <c r="KLB26" s="25"/>
      <c r="KLI26" s="21"/>
      <c r="KLJ26" s="21"/>
      <c r="KLN26" s="15"/>
      <c r="KLT26" s="25"/>
      <c r="KMA26" s="21"/>
      <c r="KMB26" s="21"/>
      <c r="KMF26" s="15"/>
      <c r="KML26" s="25"/>
      <c r="KMS26" s="21"/>
      <c r="KMT26" s="21"/>
      <c r="KMX26" s="15"/>
      <c r="KND26" s="25"/>
      <c r="KNK26" s="21"/>
      <c r="KNL26" s="21"/>
      <c r="KNP26" s="15"/>
      <c r="KNV26" s="25"/>
      <c r="KOC26" s="21"/>
      <c r="KOD26" s="21"/>
      <c r="KOH26" s="15"/>
      <c r="KON26" s="25"/>
      <c r="KOU26" s="21"/>
      <c r="KOV26" s="21"/>
      <c r="KOZ26" s="15"/>
      <c r="KPF26" s="25"/>
      <c r="KPM26" s="21"/>
      <c r="KPN26" s="21"/>
      <c r="KPR26" s="15"/>
      <c r="KPX26" s="25"/>
      <c r="KQE26" s="21"/>
      <c r="KQF26" s="21"/>
      <c r="KQJ26" s="15"/>
      <c r="KQP26" s="25"/>
      <c r="KQW26" s="21"/>
      <c r="KQX26" s="21"/>
      <c r="KRB26" s="15"/>
      <c r="KRH26" s="25"/>
      <c r="KRO26" s="21"/>
      <c r="KRP26" s="21"/>
      <c r="KRT26" s="15"/>
      <c r="KRZ26" s="25"/>
      <c r="KSG26" s="21"/>
      <c r="KSH26" s="21"/>
      <c r="KSL26" s="15"/>
      <c r="KSR26" s="25"/>
      <c r="KSY26" s="21"/>
      <c r="KSZ26" s="21"/>
      <c r="KTD26" s="15"/>
      <c r="KTJ26" s="25"/>
      <c r="KTQ26" s="21"/>
      <c r="KTR26" s="21"/>
      <c r="KTV26" s="15"/>
      <c r="KUB26" s="25"/>
      <c r="KUI26" s="21"/>
      <c r="KUJ26" s="21"/>
      <c r="KUN26" s="15"/>
      <c r="KUT26" s="25"/>
      <c r="KVA26" s="21"/>
      <c r="KVB26" s="21"/>
      <c r="KVF26" s="15"/>
      <c r="KVL26" s="25"/>
      <c r="KVS26" s="21"/>
      <c r="KVT26" s="21"/>
      <c r="KVX26" s="15"/>
      <c r="KWD26" s="25"/>
      <c r="KWK26" s="21"/>
      <c r="KWL26" s="21"/>
      <c r="KWP26" s="15"/>
      <c r="KWV26" s="25"/>
      <c r="KXC26" s="21"/>
      <c r="KXD26" s="21"/>
      <c r="KXH26" s="15"/>
      <c r="KXN26" s="25"/>
      <c r="KXU26" s="21"/>
      <c r="KXV26" s="21"/>
      <c r="KXZ26" s="15"/>
      <c r="KYF26" s="25"/>
      <c r="KYM26" s="21"/>
      <c r="KYN26" s="21"/>
      <c r="KYR26" s="15"/>
      <c r="KYX26" s="25"/>
      <c r="KZE26" s="21"/>
      <c r="KZF26" s="21"/>
      <c r="KZJ26" s="15"/>
      <c r="KZP26" s="25"/>
      <c r="KZW26" s="21"/>
      <c r="KZX26" s="21"/>
      <c r="LAB26" s="15"/>
      <c r="LAH26" s="25"/>
      <c r="LAO26" s="21"/>
      <c r="LAP26" s="21"/>
      <c r="LAT26" s="15"/>
      <c r="LAZ26" s="25"/>
      <c r="LBG26" s="21"/>
      <c r="LBH26" s="21"/>
      <c r="LBL26" s="15"/>
      <c r="LBR26" s="25"/>
      <c r="LBY26" s="21"/>
      <c r="LBZ26" s="21"/>
      <c r="LCD26" s="15"/>
      <c r="LCJ26" s="25"/>
      <c r="LCQ26" s="21"/>
      <c r="LCR26" s="21"/>
      <c r="LCV26" s="15"/>
      <c r="LDB26" s="25"/>
      <c r="LDI26" s="21"/>
      <c r="LDJ26" s="21"/>
      <c r="LDN26" s="15"/>
      <c r="LDT26" s="25"/>
      <c r="LEA26" s="21"/>
      <c r="LEB26" s="21"/>
      <c r="LEF26" s="15"/>
      <c r="LEL26" s="25"/>
      <c r="LES26" s="21"/>
      <c r="LET26" s="21"/>
      <c r="LEX26" s="15"/>
      <c r="LFD26" s="25"/>
      <c r="LFK26" s="21"/>
      <c r="LFL26" s="21"/>
      <c r="LFP26" s="15"/>
      <c r="LFV26" s="25"/>
      <c r="LGC26" s="21"/>
      <c r="LGD26" s="21"/>
      <c r="LGH26" s="15"/>
      <c r="LGN26" s="25"/>
      <c r="LGU26" s="21"/>
      <c r="LGV26" s="21"/>
      <c r="LGZ26" s="15"/>
      <c r="LHF26" s="25"/>
      <c r="LHM26" s="21"/>
      <c r="LHN26" s="21"/>
      <c r="LHR26" s="15"/>
      <c r="LHX26" s="25"/>
      <c r="LIE26" s="21"/>
      <c r="LIF26" s="21"/>
      <c r="LIJ26" s="15"/>
      <c r="LIP26" s="25"/>
      <c r="LIW26" s="21"/>
      <c r="LIX26" s="21"/>
      <c r="LJB26" s="15"/>
      <c r="LJH26" s="25"/>
      <c r="LJO26" s="21"/>
      <c r="LJP26" s="21"/>
      <c r="LJT26" s="15"/>
      <c r="LJZ26" s="25"/>
      <c r="LKG26" s="21"/>
      <c r="LKH26" s="21"/>
      <c r="LKL26" s="15"/>
      <c r="LKR26" s="25"/>
      <c r="LKY26" s="21"/>
      <c r="LKZ26" s="21"/>
      <c r="LLD26" s="15"/>
      <c r="LLJ26" s="25"/>
      <c r="LLQ26" s="21"/>
      <c r="LLR26" s="21"/>
      <c r="LLV26" s="15"/>
      <c r="LMB26" s="25"/>
      <c r="LMI26" s="21"/>
      <c r="LMJ26" s="21"/>
      <c r="LMN26" s="15"/>
      <c r="LMT26" s="25"/>
      <c r="LNA26" s="21"/>
      <c r="LNB26" s="21"/>
      <c r="LNF26" s="15"/>
      <c r="LNL26" s="25"/>
      <c r="LNS26" s="21"/>
      <c r="LNT26" s="21"/>
      <c r="LNX26" s="15"/>
      <c r="LOD26" s="25"/>
      <c r="LOK26" s="21"/>
      <c r="LOL26" s="21"/>
      <c r="LOP26" s="15"/>
      <c r="LOV26" s="25"/>
      <c r="LPC26" s="21"/>
      <c r="LPD26" s="21"/>
      <c r="LPH26" s="15"/>
      <c r="LPN26" s="25"/>
      <c r="LPU26" s="21"/>
      <c r="LPV26" s="21"/>
      <c r="LPZ26" s="15"/>
      <c r="LQF26" s="25"/>
      <c r="LQM26" s="21"/>
      <c r="LQN26" s="21"/>
      <c r="LQR26" s="15"/>
      <c r="LQX26" s="25"/>
      <c r="LRE26" s="21"/>
      <c r="LRF26" s="21"/>
      <c r="LRJ26" s="15"/>
      <c r="LRP26" s="25"/>
      <c r="LRW26" s="21"/>
      <c r="LRX26" s="21"/>
      <c r="LSB26" s="15"/>
      <c r="LSH26" s="25"/>
      <c r="LSO26" s="21"/>
      <c r="LSP26" s="21"/>
      <c r="LST26" s="15"/>
      <c r="LSZ26" s="25"/>
      <c r="LTG26" s="21"/>
      <c r="LTH26" s="21"/>
      <c r="LTL26" s="15"/>
      <c r="LTR26" s="25"/>
      <c r="LTY26" s="21"/>
      <c r="LTZ26" s="21"/>
      <c r="LUD26" s="15"/>
      <c r="LUJ26" s="25"/>
      <c r="LUQ26" s="21"/>
      <c r="LUR26" s="21"/>
      <c r="LUV26" s="15"/>
      <c r="LVB26" s="25"/>
      <c r="LVI26" s="21"/>
      <c r="LVJ26" s="21"/>
      <c r="LVN26" s="15"/>
      <c r="LVT26" s="25"/>
      <c r="LWA26" s="21"/>
      <c r="LWB26" s="21"/>
      <c r="LWF26" s="15"/>
      <c r="LWL26" s="25"/>
      <c r="LWS26" s="21"/>
      <c r="LWT26" s="21"/>
      <c r="LWX26" s="15"/>
      <c r="LXD26" s="25"/>
      <c r="LXK26" s="21"/>
      <c r="LXL26" s="21"/>
      <c r="LXP26" s="15"/>
      <c r="LXV26" s="25"/>
      <c r="LYC26" s="21"/>
      <c r="LYD26" s="21"/>
      <c r="LYH26" s="15"/>
      <c r="LYN26" s="25"/>
      <c r="LYU26" s="21"/>
      <c r="LYV26" s="21"/>
      <c r="LYZ26" s="15"/>
      <c r="LZF26" s="25"/>
      <c r="LZM26" s="21"/>
      <c r="LZN26" s="21"/>
      <c r="LZR26" s="15"/>
      <c r="LZX26" s="25"/>
      <c r="MAE26" s="21"/>
      <c r="MAF26" s="21"/>
      <c r="MAJ26" s="15"/>
      <c r="MAP26" s="25"/>
      <c r="MAW26" s="21"/>
      <c r="MAX26" s="21"/>
      <c r="MBB26" s="15"/>
      <c r="MBH26" s="25"/>
      <c r="MBO26" s="21"/>
      <c r="MBP26" s="21"/>
      <c r="MBT26" s="15"/>
      <c r="MBZ26" s="25"/>
      <c r="MCG26" s="21"/>
      <c r="MCH26" s="21"/>
      <c r="MCL26" s="15"/>
      <c r="MCR26" s="25"/>
      <c r="MCY26" s="21"/>
      <c r="MCZ26" s="21"/>
      <c r="MDD26" s="15"/>
      <c r="MDJ26" s="25"/>
      <c r="MDQ26" s="21"/>
      <c r="MDR26" s="21"/>
      <c r="MDV26" s="15"/>
      <c r="MEB26" s="25"/>
      <c r="MEI26" s="21"/>
      <c r="MEJ26" s="21"/>
      <c r="MEN26" s="15"/>
      <c r="MET26" s="25"/>
      <c r="MFA26" s="21"/>
      <c r="MFB26" s="21"/>
      <c r="MFF26" s="15"/>
      <c r="MFL26" s="25"/>
      <c r="MFS26" s="21"/>
      <c r="MFT26" s="21"/>
      <c r="MFX26" s="15"/>
      <c r="MGD26" s="25"/>
      <c r="MGK26" s="21"/>
      <c r="MGL26" s="21"/>
      <c r="MGP26" s="15"/>
      <c r="MGV26" s="25"/>
      <c r="MHC26" s="21"/>
      <c r="MHD26" s="21"/>
      <c r="MHH26" s="15"/>
      <c r="MHN26" s="25"/>
      <c r="MHU26" s="21"/>
      <c r="MHV26" s="21"/>
      <c r="MHZ26" s="15"/>
      <c r="MIF26" s="25"/>
      <c r="MIM26" s="21"/>
      <c r="MIN26" s="21"/>
      <c r="MIR26" s="15"/>
      <c r="MIX26" s="25"/>
      <c r="MJE26" s="21"/>
      <c r="MJF26" s="21"/>
      <c r="MJJ26" s="15"/>
      <c r="MJP26" s="25"/>
      <c r="MJW26" s="21"/>
      <c r="MJX26" s="21"/>
      <c r="MKB26" s="15"/>
      <c r="MKH26" s="25"/>
      <c r="MKO26" s="21"/>
      <c r="MKP26" s="21"/>
      <c r="MKT26" s="15"/>
      <c r="MKZ26" s="25"/>
      <c r="MLG26" s="21"/>
      <c r="MLH26" s="21"/>
      <c r="MLL26" s="15"/>
      <c r="MLR26" s="25"/>
      <c r="MLY26" s="21"/>
      <c r="MLZ26" s="21"/>
      <c r="MMD26" s="15"/>
      <c r="MMJ26" s="25"/>
      <c r="MMQ26" s="21"/>
      <c r="MMR26" s="21"/>
      <c r="MMV26" s="15"/>
      <c r="MNB26" s="25"/>
      <c r="MNI26" s="21"/>
      <c r="MNJ26" s="21"/>
      <c r="MNN26" s="15"/>
      <c r="MNT26" s="25"/>
      <c r="MOA26" s="21"/>
      <c r="MOB26" s="21"/>
      <c r="MOF26" s="15"/>
      <c r="MOL26" s="25"/>
      <c r="MOS26" s="21"/>
      <c r="MOT26" s="21"/>
      <c r="MOX26" s="15"/>
      <c r="MPD26" s="25"/>
      <c r="MPK26" s="21"/>
      <c r="MPL26" s="21"/>
      <c r="MPP26" s="15"/>
      <c r="MPV26" s="25"/>
      <c r="MQC26" s="21"/>
      <c r="MQD26" s="21"/>
      <c r="MQH26" s="15"/>
      <c r="MQN26" s="25"/>
      <c r="MQU26" s="21"/>
      <c r="MQV26" s="21"/>
      <c r="MQZ26" s="15"/>
      <c r="MRF26" s="25"/>
      <c r="MRM26" s="21"/>
      <c r="MRN26" s="21"/>
      <c r="MRR26" s="15"/>
      <c r="MRX26" s="25"/>
      <c r="MSE26" s="21"/>
      <c r="MSF26" s="21"/>
      <c r="MSJ26" s="15"/>
      <c r="MSP26" s="25"/>
      <c r="MSW26" s="21"/>
      <c r="MSX26" s="21"/>
      <c r="MTB26" s="15"/>
      <c r="MTH26" s="25"/>
      <c r="MTO26" s="21"/>
      <c r="MTP26" s="21"/>
      <c r="MTT26" s="15"/>
      <c r="MTZ26" s="25"/>
      <c r="MUG26" s="21"/>
      <c r="MUH26" s="21"/>
      <c r="MUL26" s="15"/>
      <c r="MUR26" s="25"/>
      <c r="MUY26" s="21"/>
      <c r="MUZ26" s="21"/>
      <c r="MVD26" s="15"/>
      <c r="MVJ26" s="25"/>
      <c r="MVQ26" s="21"/>
      <c r="MVR26" s="21"/>
      <c r="MVV26" s="15"/>
      <c r="MWB26" s="25"/>
      <c r="MWI26" s="21"/>
      <c r="MWJ26" s="21"/>
      <c r="MWN26" s="15"/>
      <c r="MWT26" s="25"/>
      <c r="MXA26" s="21"/>
      <c r="MXB26" s="21"/>
      <c r="MXF26" s="15"/>
      <c r="MXL26" s="25"/>
      <c r="MXS26" s="21"/>
      <c r="MXT26" s="21"/>
      <c r="MXX26" s="15"/>
      <c r="MYD26" s="25"/>
      <c r="MYK26" s="21"/>
      <c r="MYL26" s="21"/>
      <c r="MYP26" s="15"/>
      <c r="MYV26" s="25"/>
      <c r="MZC26" s="21"/>
      <c r="MZD26" s="21"/>
      <c r="MZH26" s="15"/>
      <c r="MZN26" s="25"/>
      <c r="MZU26" s="21"/>
      <c r="MZV26" s="21"/>
      <c r="MZZ26" s="15"/>
      <c r="NAF26" s="25"/>
      <c r="NAM26" s="21"/>
      <c r="NAN26" s="21"/>
      <c r="NAR26" s="15"/>
      <c r="NAX26" s="25"/>
      <c r="NBE26" s="21"/>
      <c r="NBF26" s="21"/>
      <c r="NBJ26" s="15"/>
      <c r="NBP26" s="25"/>
      <c r="NBW26" s="21"/>
      <c r="NBX26" s="21"/>
      <c r="NCB26" s="15"/>
      <c r="NCH26" s="25"/>
      <c r="NCO26" s="21"/>
      <c r="NCP26" s="21"/>
      <c r="NCT26" s="15"/>
      <c r="NCZ26" s="25"/>
      <c r="NDG26" s="21"/>
      <c r="NDH26" s="21"/>
      <c r="NDL26" s="15"/>
      <c r="NDR26" s="25"/>
      <c r="NDY26" s="21"/>
      <c r="NDZ26" s="21"/>
      <c r="NED26" s="15"/>
      <c r="NEJ26" s="25"/>
      <c r="NEQ26" s="21"/>
      <c r="NER26" s="21"/>
      <c r="NEV26" s="15"/>
      <c r="NFB26" s="25"/>
      <c r="NFI26" s="21"/>
      <c r="NFJ26" s="21"/>
      <c r="NFN26" s="15"/>
      <c r="NFT26" s="25"/>
      <c r="NGA26" s="21"/>
      <c r="NGB26" s="21"/>
      <c r="NGF26" s="15"/>
      <c r="NGL26" s="25"/>
      <c r="NGS26" s="21"/>
      <c r="NGT26" s="21"/>
      <c r="NGX26" s="15"/>
      <c r="NHD26" s="25"/>
      <c r="NHK26" s="21"/>
      <c r="NHL26" s="21"/>
      <c r="NHP26" s="15"/>
      <c r="NHV26" s="25"/>
      <c r="NIC26" s="21"/>
      <c r="NID26" s="21"/>
      <c r="NIH26" s="15"/>
      <c r="NIN26" s="25"/>
      <c r="NIU26" s="21"/>
      <c r="NIV26" s="21"/>
      <c r="NIZ26" s="15"/>
      <c r="NJF26" s="25"/>
      <c r="NJM26" s="21"/>
      <c r="NJN26" s="21"/>
      <c r="NJR26" s="15"/>
      <c r="NJX26" s="25"/>
      <c r="NKE26" s="21"/>
      <c r="NKF26" s="21"/>
      <c r="NKJ26" s="15"/>
      <c r="NKP26" s="25"/>
      <c r="NKW26" s="21"/>
      <c r="NKX26" s="21"/>
      <c r="NLB26" s="15"/>
      <c r="NLH26" s="25"/>
      <c r="NLO26" s="21"/>
      <c r="NLP26" s="21"/>
      <c r="NLT26" s="15"/>
      <c r="NLZ26" s="25"/>
      <c r="NMG26" s="21"/>
      <c r="NMH26" s="21"/>
      <c r="NML26" s="15"/>
      <c r="NMR26" s="25"/>
      <c r="NMY26" s="21"/>
      <c r="NMZ26" s="21"/>
      <c r="NND26" s="15"/>
      <c r="NNJ26" s="25"/>
      <c r="NNQ26" s="21"/>
      <c r="NNR26" s="21"/>
      <c r="NNV26" s="15"/>
      <c r="NOB26" s="25"/>
      <c r="NOI26" s="21"/>
      <c r="NOJ26" s="21"/>
      <c r="NON26" s="15"/>
      <c r="NOT26" s="25"/>
      <c r="NPA26" s="21"/>
      <c r="NPB26" s="21"/>
      <c r="NPF26" s="15"/>
      <c r="NPL26" s="25"/>
      <c r="NPS26" s="21"/>
      <c r="NPT26" s="21"/>
      <c r="NPX26" s="15"/>
      <c r="NQD26" s="25"/>
      <c r="NQK26" s="21"/>
      <c r="NQL26" s="21"/>
      <c r="NQP26" s="15"/>
      <c r="NQV26" s="25"/>
      <c r="NRC26" s="21"/>
      <c r="NRD26" s="21"/>
      <c r="NRH26" s="15"/>
      <c r="NRN26" s="25"/>
      <c r="NRU26" s="21"/>
      <c r="NRV26" s="21"/>
      <c r="NRZ26" s="15"/>
      <c r="NSF26" s="25"/>
      <c r="NSM26" s="21"/>
      <c r="NSN26" s="21"/>
      <c r="NSR26" s="15"/>
      <c r="NSX26" s="25"/>
      <c r="NTE26" s="21"/>
      <c r="NTF26" s="21"/>
      <c r="NTJ26" s="15"/>
      <c r="NTP26" s="25"/>
      <c r="NTW26" s="21"/>
      <c r="NTX26" s="21"/>
      <c r="NUB26" s="15"/>
      <c r="NUH26" s="25"/>
      <c r="NUO26" s="21"/>
      <c r="NUP26" s="21"/>
      <c r="NUT26" s="15"/>
      <c r="NUZ26" s="25"/>
      <c r="NVG26" s="21"/>
      <c r="NVH26" s="21"/>
      <c r="NVL26" s="15"/>
      <c r="NVR26" s="25"/>
      <c r="NVY26" s="21"/>
      <c r="NVZ26" s="21"/>
      <c r="NWD26" s="15"/>
      <c r="NWJ26" s="25"/>
      <c r="NWQ26" s="21"/>
      <c r="NWR26" s="21"/>
      <c r="NWV26" s="15"/>
      <c r="NXB26" s="25"/>
      <c r="NXI26" s="21"/>
      <c r="NXJ26" s="21"/>
      <c r="NXN26" s="15"/>
      <c r="NXT26" s="25"/>
      <c r="NYA26" s="21"/>
      <c r="NYB26" s="21"/>
      <c r="NYF26" s="15"/>
      <c r="NYL26" s="25"/>
      <c r="NYS26" s="21"/>
      <c r="NYT26" s="21"/>
      <c r="NYX26" s="15"/>
      <c r="NZD26" s="25"/>
      <c r="NZK26" s="21"/>
      <c r="NZL26" s="21"/>
      <c r="NZP26" s="15"/>
      <c r="NZV26" s="25"/>
      <c r="OAC26" s="21"/>
      <c r="OAD26" s="21"/>
      <c r="OAH26" s="15"/>
      <c r="OAN26" s="25"/>
      <c r="OAU26" s="21"/>
      <c r="OAV26" s="21"/>
      <c r="OAZ26" s="15"/>
      <c r="OBF26" s="25"/>
      <c r="OBM26" s="21"/>
      <c r="OBN26" s="21"/>
      <c r="OBR26" s="15"/>
      <c r="OBX26" s="25"/>
      <c r="OCE26" s="21"/>
      <c r="OCF26" s="21"/>
      <c r="OCJ26" s="15"/>
      <c r="OCP26" s="25"/>
      <c r="OCW26" s="21"/>
      <c r="OCX26" s="21"/>
      <c r="ODB26" s="15"/>
      <c r="ODH26" s="25"/>
      <c r="ODO26" s="21"/>
      <c r="ODP26" s="21"/>
      <c r="ODT26" s="15"/>
      <c r="ODZ26" s="25"/>
      <c r="OEG26" s="21"/>
      <c r="OEH26" s="21"/>
      <c r="OEL26" s="15"/>
      <c r="OER26" s="25"/>
      <c r="OEY26" s="21"/>
      <c r="OEZ26" s="21"/>
      <c r="OFD26" s="15"/>
      <c r="OFJ26" s="25"/>
      <c r="OFQ26" s="21"/>
      <c r="OFR26" s="21"/>
      <c r="OFV26" s="15"/>
      <c r="OGB26" s="25"/>
      <c r="OGI26" s="21"/>
      <c r="OGJ26" s="21"/>
      <c r="OGN26" s="15"/>
      <c r="OGT26" s="25"/>
      <c r="OHA26" s="21"/>
      <c r="OHB26" s="21"/>
      <c r="OHF26" s="15"/>
      <c r="OHL26" s="25"/>
      <c r="OHS26" s="21"/>
      <c r="OHT26" s="21"/>
      <c r="OHX26" s="15"/>
      <c r="OID26" s="25"/>
      <c r="OIK26" s="21"/>
      <c r="OIL26" s="21"/>
      <c r="OIP26" s="15"/>
      <c r="OIV26" s="25"/>
      <c r="OJC26" s="21"/>
      <c r="OJD26" s="21"/>
      <c r="OJH26" s="15"/>
      <c r="OJN26" s="25"/>
      <c r="OJU26" s="21"/>
      <c r="OJV26" s="21"/>
      <c r="OJZ26" s="15"/>
      <c r="OKF26" s="25"/>
      <c r="OKM26" s="21"/>
      <c r="OKN26" s="21"/>
      <c r="OKR26" s="15"/>
      <c r="OKX26" s="25"/>
      <c r="OLE26" s="21"/>
      <c r="OLF26" s="21"/>
      <c r="OLJ26" s="15"/>
      <c r="OLP26" s="25"/>
      <c r="OLW26" s="21"/>
      <c r="OLX26" s="21"/>
      <c r="OMB26" s="15"/>
      <c r="OMH26" s="25"/>
      <c r="OMO26" s="21"/>
      <c r="OMP26" s="21"/>
      <c r="OMT26" s="15"/>
      <c r="OMZ26" s="25"/>
      <c r="ONG26" s="21"/>
      <c r="ONH26" s="21"/>
      <c r="ONL26" s="15"/>
      <c r="ONR26" s="25"/>
      <c r="ONY26" s="21"/>
      <c r="ONZ26" s="21"/>
      <c r="OOD26" s="15"/>
      <c r="OOJ26" s="25"/>
      <c r="OOQ26" s="21"/>
      <c r="OOR26" s="21"/>
      <c r="OOV26" s="15"/>
      <c r="OPB26" s="25"/>
      <c r="OPI26" s="21"/>
      <c r="OPJ26" s="21"/>
      <c r="OPN26" s="15"/>
      <c r="OPT26" s="25"/>
      <c r="OQA26" s="21"/>
      <c r="OQB26" s="21"/>
      <c r="OQF26" s="15"/>
      <c r="OQL26" s="25"/>
      <c r="OQS26" s="21"/>
      <c r="OQT26" s="21"/>
      <c r="OQX26" s="15"/>
      <c r="ORD26" s="25"/>
      <c r="ORK26" s="21"/>
      <c r="ORL26" s="21"/>
      <c r="ORP26" s="15"/>
      <c r="ORV26" s="25"/>
      <c r="OSC26" s="21"/>
      <c r="OSD26" s="21"/>
      <c r="OSH26" s="15"/>
      <c r="OSN26" s="25"/>
      <c r="OSU26" s="21"/>
      <c r="OSV26" s="21"/>
      <c r="OSZ26" s="15"/>
      <c r="OTF26" s="25"/>
      <c r="OTM26" s="21"/>
      <c r="OTN26" s="21"/>
      <c r="OTR26" s="15"/>
      <c r="OTX26" s="25"/>
      <c r="OUE26" s="21"/>
      <c r="OUF26" s="21"/>
      <c r="OUJ26" s="15"/>
      <c r="OUP26" s="25"/>
      <c r="OUW26" s="21"/>
      <c r="OUX26" s="21"/>
      <c r="OVB26" s="15"/>
      <c r="OVH26" s="25"/>
      <c r="OVO26" s="21"/>
      <c r="OVP26" s="21"/>
      <c r="OVT26" s="15"/>
      <c r="OVZ26" s="25"/>
      <c r="OWG26" s="21"/>
      <c r="OWH26" s="21"/>
      <c r="OWL26" s="15"/>
      <c r="OWR26" s="25"/>
      <c r="OWY26" s="21"/>
      <c r="OWZ26" s="21"/>
      <c r="OXD26" s="15"/>
      <c r="OXJ26" s="25"/>
      <c r="OXQ26" s="21"/>
      <c r="OXR26" s="21"/>
      <c r="OXV26" s="15"/>
      <c r="OYB26" s="25"/>
      <c r="OYI26" s="21"/>
      <c r="OYJ26" s="21"/>
      <c r="OYN26" s="15"/>
      <c r="OYT26" s="25"/>
      <c r="OZA26" s="21"/>
      <c r="OZB26" s="21"/>
      <c r="OZF26" s="15"/>
      <c r="OZL26" s="25"/>
      <c r="OZS26" s="21"/>
      <c r="OZT26" s="21"/>
      <c r="OZX26" s="15"/>
      <c r="PAD26" s="25"/>
      <c r="PAK26" s="21"/>
      <c r="PAL26" s="21"/>
      <c r="PAP26" s="15"/>
      <c r="PAV26" s="25"/>
      <c r="PBC26" s="21"/>
      <c r="PBD26" s="21"/>
      <c r="PBH26" s="15"/>
      <c r="PBN26" s="25"/>
      <c r="PBU26" s="21"/>
      <c r="PBV26" s="21"/>
      <c r="PBZ26" s="15"/>
      <c r="PCF26" s="25"/>
      <c r="PCM26" s="21"/>
      <c r="PCN26" s="21"/>
      <c r="PCR26" s="15"/>
      <c r="PCX26" s="25"/>
      <c r="PDE26" s="21"/>
      <c r="PDF26" s="21"/>
      <c r="PDJ26" s="15"/>
      <c r="PDP26" s="25"/>
      <c r="PDW26" s="21"/>
      <c r="PDX26" s="21"/>
      <c r="PEB26" s="15"/>
      <c r="PEH26" s="25"/>
      <c r="PEO26" s="21"/>
      <c r="PEP26" s="21"/>
      <c r="PET26" s="15"/>
      <c r="PEZ26" s="25"/>
      <c r="PFG26" s="21"/>
      <c r="PFH26" s="21"/>
      <c r="PFL26" s="15"/>
      <c r="PFR26" s="25"/>
      <c r="PFY26" s="21"/>
      <c r="PFZ26" s="21"/>
      <c r="PGD26" s="15"/>
      <c r="PGJ26" s="25"/>
      <c r="PGQ26" s="21"/>
      <c r="PGR26" s="21"/>
      <c r="PGV26" s="15"/>
      <c r="PHB26" s="25"/>
      <c r="PHI26" s="21"/>
      <c r="PHJ26" s="21"/>
      <c r="PHN26" s="15"/>
      <c r="PHT26" s="25"/>
      <c r="PIA26" s="21"/>
      <c r="PIB26" s="21"/>
      <c r="PIF26" s="15"/>
      <c r="PIL26" s="25"/>
      <c r="PIS26" s="21"/>
      <c r="PIT26" s="21"/>
      <c r="PIX26" s="15"/>
      <c r="PJD26" s="25"/>
      <c r="PJK26" s="21"/>
      <c r="PJL26" s="21"/>
      <c r="PJP26" s="15"/>
      <c r="PJV26" s="25"/>
      <c r="PKC26" s="21"/>
      <c r="PKD26" s="21"/>
      <c r="PKH26" s="15"/>
      <c r="PKN26" s="25"/>
      <c r="PKU26" s="21"/>
      <c r="PKV26" s="21"/>
      <c r="PKZ26" s="15"/>
      <c r="PLF26" s="25"/>
      <c r="PLM26" s="21"/>
      <c r="PLN26" s="21"/>
      <c r="PLR26" s="15"/>
      <c r="PLX26" s="25"/>
      <c r="PME26" s="21"/>
      <c r="PMF26" s="21"/>
      <c r="PMJ26" s="15"/>
      <c r="PMP26" s="25"/>
      <c r="PMW26" s="21"/>
      <c r="PMX26" s="21"/>
      <c r="PNB26" s="15"/>
      <c r="PNH26" s="25"/>
      <c r="PNO26" s="21"/>
      <c r="PNP26" s="21"/>
      <c r="PNT26" s="15"/>
      <c r="PNZ26" s="25"/>
      <c r="POG26" s="21"/>
      <c r="POH26" s="21"/>
      <c r="POL26" s="15"/>
      <c r="POR26" s="25"/>
      <c r="POY26" s="21"/>
      <c r="POZ26" s="21"/>
      <c r="PPD26" s="15"/>
      <c r="PPJ26" s="25"/>
      <c r="PPQ26" s="21"/>
      <c r="PPR26" s="21"/>
      <c r="PPV26" s="15"/>
      <c r="PQB26" s="25"/>
      <c r="PQI26" s="21"/>
      <c r="PQJ26" s="21"/>
      <c r="PQN26" s="15"/>
      <c r="PQT26" s="25"/>
      <c r="PRA26" s="21"/>
      <c r="PRB26" s="21"/>
      <c r="PRF26" s="15"/>
      <c r="PRL26" s="25"/>
      <c r="PRS26" s="21"/>
      <c r="PRT26" s="21"/>
      <c r="PRX26" s="15"/>
      <c r="PSD26" s="25"/>
      <c r="PSK26" s="21"/>
      <c r="PSL26" s="21"/>
      <c r="PSP26" s="15"/>
      <c r="PSV26" s="25"/>
      <c r="PTC26" s="21"/>
      <c r="PTD26" s="21"/>
      <c r="PTH26" s="15"/>
      <c r="PTN26" s="25"/>
      <c r="PTU26" s="21"/>
      <c r="PTV26" s="21"/>
      <c r="PTZ26" s="15"/>
      <c r="PUF26" s="25"/>
      <c r="PUM26" s="21"/>
      <c r="PUN26" s="21"/>
      <c r="PUR26" s="15"/>
      <c r="PUX26" s="25"/>
      <c r="PVE26" s="21"/>
      <c r="PVF26" s="21"/>
      <c r="PVJ26" s="15"/>
      <c r="PVP26" s="25"/>
      <c r="PVW26" s="21"/>
      <c r="PVX26" s="21"/>
      <c r="PWB26" s="15"/>
      <c r="PWH26" s="25"/>
      <c r="PWO26" s="21"/>
      <c r="PWP26" s="21"/>
      <c r="PWT26" s="15"/>
      <c r="PWZ26" s="25"/>
      <c r="PXG26" s="21"/>
      <c r="PXH26" s="21"/>
      <c r="PXL26" s="15"/>
      <c r="PXR26" s="25"/>
      <c r="PXY26" s="21"/>
      <c r="PXZ26" s="21"/>
      <c r="PYD26" s="15"/>
      <c r="PYJ26" s="25"/>
      <c r="PYQ26" s="21"/>
      <c r="PYR26" s="21"/>
      <c r="PYV26" s="15"/>
      <c r="PZB26" s="25"/>
      <c r="PZI26" s="21"/>
      <c r="PZJ26" s="21"/>
      <c r="PZN26" s="15"/>
      <c r="PZT26" s="25"/>
      <c r="QAA26" s="21"/>
      <c r="QAB26" s="21"/>
      <c r="QAF26" s="15"/>
      <c r="QAL26" s="25"/>
      <c r="QAS26" s="21"/>
      <c r="QAT26" s="21"/>
      <c r="QAX26" s="15"/>
      <c r="QBD26" s="25"/>
      <c r="QBK26" s="21"/>
      <c r="QBL26" s="21"/>
      <c r="QBP26" s="15"/>
      <c r="QBV26" s="25"/>
      <c r="QCC26" s="21"/>
      <c r="QCD26" s="21"/>
      <c r="QCH26" s="15"/>
      <c r="QCN26" s="25"/>
      <c r="QCU26" s="21"/>
      <c r="QCV26" s="21"/>
      <c r="QCZ26" s="15"/>
      <c r="QDF26" s="25"/>
      <c r="QDM26" s="21"/>
      <c r="QDN26" s="21"/>
      <c r="QDR26" s="15"/>
      <c r="QDX26" s="25"/>
      <c r="QEE26" s="21"/>
      <c r="QEF26" s="21"/>
      <c r="QEJ26" s="15"/>
      <c r="QEP26" s="25"/>
      <c r="QEW26" s="21"/>
      <c r="QEX26" s="21"/>
      <c r="QFB26" s="15"/>
      <c r="QFH26" s="25"/>
      <c r="QFO26" s="21"/>
      <c r="QFP26" s="21"/>
      <c r="QFT26" s="15"/>
      <c r="QFZ26" s="25"/>
      <c r="QGG26" s="21"/>
      <c r="QGH26" s="21"/>
      <c r="QGL26" s="15"/>
      <c r="QGR26" s="25"/>
      <c r="QGY26" s="21"/>
      <c r="QGZ26" s="21"/>
      <c r="QHD26" s="15"/>
      <c r="QHJ26" s="25"/>
      <c r="QHQ26" s="21"/>
      <c r="QHR26" s="21"/>
      <c r="QHV26" s="15"/>
      <c r="QIB26" s="25"/>
      <c r="QII26" s="21"/>
      <c r="QIJ26" s="21"/>
      <c r="QIN26" s="15"/>
      <c r="QIT26" s="25"/>
      <c r="QJA26" s="21"/>
      <c r="QJB26" s="21"/>
      <c r="QJF26" s="15"/>
      <c r="QJL26" s="25"/>
      <c r="QJS26" s="21"/>
      <c r="QJT26" s="21"/>
      <c r="QJX26" s="15"/>
      <c r="QKD26" s="25"/>
      <c r="QKK26" s="21"/>
      <c r="QKL26" s="21"/>
      <c r="QKP26" s="15"/>
      <c r="QKV26" s="25"/>
      <c r="QLC26" s="21"/>
      <c r="QLD26" s="21"/>
      <c r="QLH26" s="15"/>
      <c r="QLN26" s="25"/>
      <c r="QLU26" s="21"/>
      <c r="QLV26" s="21"/>
      <c r="QLZ26" s="15"/>
      <c r="QMF26" s="25"/>
      <c r="QMM26" s="21"/>
      <c r="QMN26" s="21"/>
      <c r="QMR26" s="15"/>
      <c r="QMX26" s="25"/>
      <c r="QNE26" s="21"/>
      <c r="QNF26" s="21"/>
      <c r="QNJ26" s="15"/>
      <c r="QNP26" s="25"/>
      <c r="QNW26" s="21"/>
      <c r="QNX26" s="21"/>
      <c r="QOB26" s="15"/>
      <c r="QOH26" s="25"/>
      <c r="QOO26" s="21"/>
      <c r="QOP26" s="21"/>
      <c r="QOT26" s="15"/>
      <c r="QOZ26" s="25"/>
      <c r="QPG26" s="21"/>
      <c r="QPH26" s="21"/>
      <c r="QPL26" s="15"/>
      <c r="QPR26" s="25"/>
      <c r="QPY26" s="21"/>
      <c r="QPZ26" s="21"/>
      <c r="QQD26" s="15"/>
      <c r="QQJ26" s="25"/>
      <c r="QQQ26" s="21"/>
      <c r="QQR26" s="21"/>
      <c r="QQV26" s="15"/>
      <c r="QRB26" s="25"/>
      <c r="QRI26" s="21"/>
      <c r="QRJ26" s="21"/>
      <c r="QRN26" s="15"/>
      <c r="QRT26" s="25"/>
      <c r="QSA26" s="21"/>
      <c r="QSB26" s="21"/>
      <c r="QSF26" s="15"/>
      <c r="QSL26" s="25"/>
      <c r="QSS26" s="21"/>
      <c r="QST26" s="21"/>
      <c r="QSX26" s="15"/>
      <c r="QTD26" s="25"/>
      <c r="QTK26" s="21"/>
      <c r="QTL26" s="21"/>
      <c r="QTP26" s="15"/>
      <c r="QTV26" s="25"/>
      <c r="QUC26" s="21"/>
      <c r="QUD26" s="21"/>
      <c r="QUH26" s="15"/>
      <c r="QUN26" s="25"/>
      <c r="QUU26" s="21"/>
      <c r="QUV26" s="21"/>
      <c r="QUZ26" s="15"/>
      <c r="QVF26" s="25"/>
      <c r="QVM26" s="21"/>
      <c r="QVN26" s="21"/>
      <c r="QVR26" s="15"/>
      <c r="QVX26" s="25"/>
      <c r="QWE26" s="21"/>
      <c r="QWF26" s="21"/>
      <c r="QWJ26" s="15"/>
      <c r="QWP26" s="25"/>
      <c r="QWW26" s="21"/>
      <c r="QWX26" s="21"/>
      <c r="QXB26" s="15"/>
      <c r="QXH26" s="25"/>
      <c r="QXO26" s="21"/>
      <c r="QXP26" s="21"/>
      <c r="QXT26" s="15"/>
      <c r="QXZ26" s="25"/>
      <c r="QYG26" s="21"/>
      <c r="QYH26" s="21"/>
      <c r="QYL26" s="15"/>
      <c r="QYR26" s="25"/>
      <c r="QYY26" s="21"/>
      <c r="QYZ26" s="21"/>
      <c r="QZD26" s="15"/>
      <c r="QZJ26" s="25"/>
      <c r="QZQ26" s="21"/>
      <c r="QZR26" s="21"/>
      <c r="QZV26" s="15"/>
      <c r="RAB26" s="25"/>
      <c r="RAI26" s="21"/>
      <c r="RAJ26" s="21"/>
      <c r="RAN26" s="15"/>
      <c r="RAT26" s="25"/>
      <c r="RBA26" s="21"/>
      <c r="RBB26" s="21"/>
      <c r="RBF26" s="15"/>
      <c r="RBL26" s="25"/>
      <c r="RBS26" s="21"/>
      <c r="RBT26" s="21"/>
      <c r="RBX26" s="15"/>
      <c r="RCD26" s="25"/>
      <c r="RCK26" s="21"/>
      <c r="RCL26" s="21"/>
      <c r="RCP26" s="15"/>
      <c r="RCV26" s="25"/>
      <c r="RDC26" s="21"/>
      <c r="RDD26" s="21"/>
      <c r="RDH26" s="15"/>
      <c r="RDN26" s="25"/>
      <c r="RDU26" s="21"/>
      <c r="RDV26" s="21"/>
      <c r="RDZ26" s="15"/>
      <c r="REF26" s="25"/>
      <c r="REM26" s="21"/>
      <c r="REN26" s="21"/>
      <c r="RER26" s="15"/>
      <c r="REX26" s="25"/>
      <c r="RFE26" s="21"/>
      <c r="RFF26" s="21"/>
      <c r="RFJ26" s="15"/>
      <c r="RFP26" s="25"/>
      <c r="RFW26" s="21"/>
      <c r="RFX26" s="21"/>
      <c r="RGB26" s="15"/>
      <c r="RGH26" s="25"/>
      <c r="RGO26" s="21"/>
      <c r="RGP26" s="21"/>
      <c r="RGT26" s="15"/>
      <c r="RGZ26" s="25"/>
      <c r="RHG26" s="21"/>
      <c r="RHH26" s="21"/>
      <c r="RHL26" s="15"/>
      <c r="RHR26" s="25"/>
      <c r="RHY26" s="21"/>
      <c r="RHZ26" s="21"/>
      <c r="RID26" s="15"/>
      <c r="RIJ26" s="25"/>
      <c r="RIQ26" s="21"/>
      <c r="RIR26" s="21"/>
      <c r="RIV26" s="15"/>
      <c r="RJB26" s="25"/>
      <c r="RJI26" s="21"/>
      <c r="RJJ26" s="21"/>
      <c r="RJN26" s="15"/>
      <c r="RJT26" s="25"/>
      <c r="RKA26" s="21"/>
      <c r="RKB26" s="21"/>
      <c r="RKF26" s="15"/>
      <c r="RKL26" s="25"/>
      <c r="RKS26" s="21"/>
      <c r="RKT26" s="21"/>
      <c r="RKX26" s="15"/>
      <c r="RLD26" s="25"/>
      <c r="RLK26" s="21"/>
      <c r="RLL26" s="21"/>
      <c r="RLP26" s="15"/>
      <c r="RLV26" s="25"/>
      <c r="RMC26" s="21"/>
      <c r="RMD26" s="21"/>
      <c r="RMH26" s="15"/>
      <c r="RMN26" s="25"/>
      <c r="RMU26" s="21"/>
      <c r="RMV26" s="21"/>
      <c r="RMZ26" s="15"/>
      <c r="RNF26" s="25"/>
      <c r="RNM26" s="21"/>
      <c r="RNN26" s="21"/>
      <c r="RNR26" s="15"/>
      <c r="RNX26" s="25"/>
      <c r="ROE26" s="21"/>
      <c r="ROF26" s="21"/>
      <c r="ROJ26" s="15"/>
      <c r="ROP26" s="25"/>
      <c r="ROW26" s="21"/>
      <c r="ROX26" s="21"/>
      <c r="RPB26" s="15"/>
      <c r="RPH26" s="25"/>
      <c r="RPO26" s="21"/>
      <c r="RPP26" s="21"/>
      <c r="RPT26" s="15"/>
      <c r="RPZ26" s="25"/>
      <c r="RQG26" s="21"/>
      <c r="RQH26" s="21"/>
      <c r="RQL26" s="15"/>
      <c r="RQR26" s="25"/>
      <c r="RQY26" s="21"/>
      <c r="RQZ26" s="21"/>
      <c r="RRD26" s="15"/>
      <c r="RRJ26" s="25"/>
      <c r="RRQ26" s="21"/>
      <c r="RRR26" s="21"/>
      <c r="RRV26" s="15"/>
      <c r="RSB26" s="25"/>
      <c r="RSI26" s="21"/>
      <c r="RSJ26" s="21"/>
      <c r="RSN26" s="15"/>
      <c r="RST26" s="25"/>
      <c r="RTA26" s="21"/>
      <c r="RTB26" s="21"/>
      <c r="RTF26" s="15"/>
      <c r="RTL26" s="25"/>
      <c r="RTS26" s="21"/>
      <c r="RTT26" s="21"/>
      <c r="RTX26" s="15"/>
      <c r="RUD26" s="25"/>
      <c r="RUK26" s="21"/>
      <c r="RUL26" s="21"/>
      <c r="RUP26" s="15"/>
      <c r="RUV26" s="25"/>
      <c r="RVC26" s="21"/>
      <c r="RVD26" s="21"/>
      <c r="RVH26" s="15"/>
      <c r="RVN26" s="25"/>
      <c r="RVU26" s="21"/>
      <c r="RVV26" s="21"/>
      <c r="RVZ26" s="15"/>
      <c r="RWF26" s="25"/>
      <c r="RWM26" s="21"/>
      <c r="RWN26" s="21"/>
      <c r="RWR26" s="15"/>
      <c r="RWX26" s="25"/>
      <c r="RXE26" s="21"/>
      <c r="RXF26" s="21"/>
      <c r="RXJ26" s="15"/>
      <c r="RXP26" s="25"/>
      <c r="RXW26" s="21"/>
      <c r="RXX26" s="21"/>
      <c r="RYB26" s="15"/>
      <c r="RYH26" s="25"/>
      <c r="RYO26" s="21"/>
      <c r="RYP26" s="21"/>
      <c r="RYT26" s="15"/>
      <c r="RYZ26" s="25"/>
      <c r="RZG26" s="21"/>
      <c r="RZH26" s="21"/>
      <c r="RZL26" s="15"/>
      <c r="RZR26" s="25"/>
      <c r="RZY26" s="21"/>
      <c r="RZZ26" s="21"/>
      <c r="SAD26" s="15"/>
      <c r="SAJ26" s="25"/>
      <c r="SAQ26" s="21"/>
      <c r="SAR26" s="21"/>
      <c r="SAV26" s="15"/>
      <c r="SBB26" s="25"/>
      <c r="SBI26" s="21"/>
      <c r="SBJ26" s="21"/>
      <c r="SBN26" s="15"/>
      <c r="SBT26" s="25"/>
      <c r="SCA26" s="21"/>
      <c r="SCB26" s="21"/>
      <c r="SCF26" s="15"/>
      <c r="SCL26" s="25"/>
      <c r="SCS26" s="21"/>
      <c r="SCT26" s="21"/>
      <c r="SCX26" s="15"/>
      <c r="SDD26" s="25"/>
      <c r="SDK26" s="21"/>
      <c r="SDL26" s="21"/>
      <c r="SDP26" s="15"/>
      <c r="SDV26" s="25"/>
      <c r="SEC26" s="21"/>
      <c r="SED26" s="21"/>
      <c r="SEH26" s="15"/>
      <c r="SEN26" s="25"/>
      <c r="SEU26" s="21"/>
      <c r="SEV26" s="21"/>
      <c r="SEZ26" s="15"/>
      <c r="SFF26" s="25"/>
      <c r="SFM26" s="21"/>
      <c r="SFN26" s="21"/>
      <c r="SFR26" s="15"/>
      <c r="SFX26" s="25"/>
      <c r="SGE26" s="21"/>
      <c r="SGF26" s="21"/>
      <c r="SGJ26" s="15"/>
      <c r="SGP26" s="25"/>
      <c r="SGW26" s="21"/>
      <c r="SGX26" s="21"/>
      <c r="SHB26" s="15"/>
      <c r="SHH26" s="25"/>
      <c r="SHO26" s="21"/>
      <c r="SHP26" s="21"/>
      <c r="SHT26" s="15"/>
      <c r="SHZ26" s="25"/>
      <c r="SIG26" s="21"/>
      <c r="SIH26" s="21"/>
      <c r="SIL26" s="15"/>
      <c r="SIR26" s="25"/>
      <c r="SIY26" s="21"/>
      <c r="SIZ26" s="21"/>
      <c r="SJD26" s="15"/>
      <c r="SJJ26" s="25"/>
      <c r="SJQ26" s="21"/>
      <c r="SJR26" s="21"/>
      <c r="SJV26" s="15"/>
      <c r="SKB26" s="25"/>
      <c r="SKI26" s="21"/>
      <c r="SKJ26" s="21"/>
      <c r="SKN26" s="15"/>
      <c r="SKT26" s="25"/>
      <c r="SLA26" s="21"/>
      <c r="SLB26" s="21"/>
      <c r="SLF26" s="15"/>
      <c r="SLL26" s="25"/>
      <c r="SLS26" s="21"/>
      <c r="SLT26" s="21"/>
      <c r="SLX26" s="15"/>
      <c r="SMD26" s="25"/>
      <c r="SMK26" s="21"/>
      <c r="SML26" s="21"/>
      <c r="SMP26" s="15"/>
      <c r="SMV26" s="25"/>
      <c r="SNC26" s="21"/>
      <c r="SND26" s="21"/>
      <c r="SNH26" s="15"/>
      <c r="SNN26" s="25"/>
      <c r="SNU26" s="21"/>
      <c r="SNV26" s="21"/>
      <c r="SNZ26" s="15"/>
      <c r="SOF26" s="25"/>
      <c r="SOM26" s="21"/>
      <c r="SON26" s="21"/>
      <c r="SOR26" s="15"/>
      <c r="SOX26" s="25"/>
      <c r="SPE26" s="21"/>
      <c r="SPF26" s="21"/>
      <c r="SPJ26" s="15"/>
      <c r="SPP26" s="25"/>
      <c r="SPW26" s="21"/>
      <c r="SPX26" s="21"/>
      <c r="SQB26" s="15"/>
      <c r="SQH26" s="25"/>
      <c r="SQO26" s="21"/>
      <c r="SQP26" s="21"/>
      <c r="SQT26" s="15"/>
      <c r="SQZ26" s="25"/>
      <c r="SRG26" s="21"/>
      <c r="SRH26" s="21"/>
      <c r="SRL26" s="15"/>
      <c r="SRR26" s="25"/>
      <c r="SRY26" s="21"/>
      <c r="SRZ26" s="21"/>
      <c r="SSD26" s="15"/>
      <c r="SSJ26" s="25"/>
      <c r="SSQ26" s="21"/>
      <c r="SSR26" s="21"/>
      <c r="SSV26" s="15"/>
      <c r="STB26" s="25"/>
      <c r="STI26" s="21"/>
      <c r="STJ26" s="21"/>
      <c r="STN26" s="15"/>
      <c r="STT26" s="25"/>
      <c r="SUA26" s="21"/>
      <c r="SUB26" s="21"/>
      <c r="SUF26" s="15"/>
      <c r="SUL26" s="25"/>
      <c r="SUS26" s="21"/>
      <c r="SUT26" s="21"/>
      <c r="SUX26" s="15"/>
      <c r="SVD26" s="25"/>
      <c r="SVK26" s="21"/>
      <c r="SVL26" s="21"/>
      <c r="SVP26" s="15"/>
      <c r="SVV26" s="25"/>
      <c r="SWC26" s="21"/>
      <c r="SWD26" s="21"/>
      <c r="SWH26" s="15"/>
      <c r="SWN26" s="25"/>
      <c r="SWU26" s="21"/>
      <c r="SWV26" s="21"/>
      <c r="SWZ26" s="15"/>
      <c r="SXF26" s="25"/>
      <c r="SXM26" s="21"/>
      <c r="SXN26" s="21"/>
      <c r="SXR26" s="15"/>
      <c r="SXX26" s="25"/>
      <c r="SYE26" s="21"/>
      <c r="SYF26" s="21"/>
      <c r="SYJ26" s="15"/>
      <c r="SYP26" s="25"/>
      <c r="SYW26" s="21"/>
      <c r="SYX26" s="21"/>
      <c r="SZB26" s="15"/>
      <c r="SZH26" s="25"/>
      <c r="SZO26" s="21"/>
      <c r="SZP26" s="21"/>
      <c r="SZT26" s="15"/>
      <c r="SZZ26" s="25"/>
      <c r="TAG26" s="21"/>
      <c r="TAH26" s="21"/>
      <c r="TAL26" s="15"/>
      <c r="TAR26" s="25"/>
      <c r="TAY26" s="21"/>
      <c r="TAZ26" s="21"/>
      <c r="TBD26" s="15"/>
      <c r="TBJ26" s="25"/>
      <c r="TBQ26" s="21"/>
      <c r="TBR26" s="21"/>
      <c r="TBV26" s="15"/>
      <c r="TCB26" s="25"/>
      <c r="TCI26" s="21"/>
      <c r="TCJ26" s="21"/>
      <c r="TCN26" s="15"/>
      <c r="TCT26" s="25"/>
      <c r="TDA26" s="21"/>
      <c r="TDB26" s="21"/>
      <c r="TDF26" s="15"/>
      <c r="TDL26" s="25"/>
      <c r="TDS26" s="21"/>
      <c r="TDT26" s="21"/>
      <c r="TDX26" s="15"/>
      <c r="TED26" s="25"/>
      <c r="TEK26" s="21"/>
      <c r="TEL26" s="21"/>
      <c r="TEP26" s="15"/>
      <c r="TEV26" s="25"/>
      <c r="TFC26" s="21"/>
      <c r="TFD26" s="21"/>
      <c r="TFH26" s="15"/>
      <c r="TFN26" s="25"/>
      <c r="TFU26" s="21"/>
      <c r="TFV26" s="21"/>
      <c r="TFZ26" s="15"/>
      <c r="TGF26" s="25"/>
      <c r="TGM26" s="21"/>
      <c r="TGN26" s="21"/>
      <c r="TGR26" s="15"/>
      <c r="TGX26" s="25"/>
      <c r="THE26" s="21"/>
      <c r="THF26" s="21"/>
      <c r="THJ26" s="15"/>
      <c r="THP26" s="25"/>
      <c r="THW26" s="21"/>
      <c r="THX26" s="21"/>
      <c r="TIB26" s="15"/>
      <c r="TIH26" s="25"/>
      <c r="TIO26" s="21"/>
      <c r="TIP26" s="21"/>
      <c r="TIT26" s="15"/>
      <c r="TIZ26" s="25"/>
      <c r="TJG26" s="21"/>
      <c r="TJH26" s="21"/>
      <c r="TJL26" s="15"/>
      <c r="TJR26" s="25"/>
      <c r="TJY26" s="21"/>
      <c r="TJZ26" s="21"/>
      <c r="TKD26" s="15"/>
      <c r="TKJ26" s="25"/>
      <c r="TKQ26" s="21"/>
      <c r="TKR26" s="21"/>
      <c r="TKV26" s="15"/>
      <c r="TLB26" s="25"/>
      <c r="TLI26" s="21"/>
      <c r="TLJ26" s="21"/>
      <c r="TLN26" s="15"/>
      <c r="TLT26" s="25"/>
      <c r="TMA26" s="21"/>
      <c r="TMB26" s="21"/>
      <c r="TMF26" s="15"/>
      <c r="TML26" s="25"/>
      <c r="TMS26" s="21"/>
      <c r="TMT26" s="21"/>
      <c r="TMX26" s="15"/>
      <c r="TND26" s="25"/>
      <c r="TNK26" s="21"/>
      <c r="TNL26" s="21"/>
      <c r="TNP26" s="15"/>
      <c r="TNV26" s="25"/>
      <c r="TOC26" s="21"/>
      <c r="TOD26" s="21"/>
      <c r="TOH26" s="15"/>
      <c r="TON26" s="25"/>
      <c r="TOU26" s="21"/>
      <c r="TOV26" s="21"/>
      <c r="TOZ26" s="15"/>
      <c r="TPF26" s="25"/>
      <c r="TPM26" s="21"/>
      <c r="TPN26" s="21"/>
      <c r="TPR26" s="15"/>
      <c r="TPX26" s="25"/>
      <c r="TQE26" s="21"/>
      <c r="TQF26" s="21"/>
      <c r="TQJ26" s="15"/>
      <c r="TQP26" s="25"/>
      <c r="TQW26" s="21"/>
      <c r="TQX26" s="21"/>
      <c r="TRB26" s="15"/>
      <c r="TRH26" s="25"/>
      <c r="TRO26" s="21"/>
      <c r="TRP26" s="21"/>
      <c r="TRT26" s="15"/>
      <c r="TRZ26" s="25"/>
      <c r="TSG26" s="21"/>
      <c r="TSH26" s="21"/>
      <c r="TSL26" s="15"/>
      <c r="TSR26" s="25"/>
      <c r="TSY26" s="21"/>
      <c r="TSZ26" s="21"/>
      <c r="TTD26" s="15"/>
      <c r="TTJ26" s="25"/>
      <c r="TTQ26" s="21"/>
      <c r="TTR26" s="21"/>
      <c r="TTV26" s="15"/>
      <c r="TUB26" s="25"/>
      <c r="TUI26" s="21"/>
      <c r="TUJ26" s="21"/>
      <c r="TUN26" s="15"/>
      <c r="TUT26" s="25"/>
      <c r="TVA26" s="21"/>
      <c r="TVB26" s="21"/>
      <c r="TVF26" s="15"/>
      <c r="TVL26" s="25"/>
      <c r="TVS26" s="21"/>
      <c r="TVT26" s="21"/>
      <c r="TVX26" s="15"/>
      <c r="TWD26" s="25"/>
      <c r="TWK26" s="21"/>
      <c r="TWL26" s="21"/>
      <c r="TWP26" s="15"/>
      <c r="TWV26" s="25"/>
      <c r="TXC26" s="21"/>
      <c r="TXD26" s="21"/>
      <c r="TXH26" s="15"/>
      <c r="TXN26" s="25"/>
      <c r="TXU26" s="21"/>
      <c r="TXV26" s="21"/>
      <c r="TXZ26" s="15"/>
      <c r="TYF26" s="25"/>
      <c r="TYM26" s="21"/>
      <c r="TYN26" s="21"/>
      <c r="TYR26" s="15"/>
      <c r="TYX26" s="25"/>
      <c r="TZE26" s="21"/>
      <c r="TZF26" s="21"/>
      <c r="TZJ26" s="15"/>
      <c r="TZP26" s="25"/>
      <c r="TZW26" s="21"/>
      <c r="TZX26" s="21"/>
      <c r="UAB26" s="15"/>
      <c r="UAH26" s="25"/>
      <c r="UAO26" s="21"/>
      <c r="UAP26" s="21"/>
      <c r="UAT26" s="15"/>
      <c r="UAZ26" s="25"/>
      <c r="UBG26" s="21"/>
      <c r="UBH26" s="21"/>
      <c r="UBL26" s="15"/>
      <c r="UBR26" s="25"/>
      <c r="UBY26" s="21"/>
      <c r="UBZ26" s="21"/>
      <c r="UCD26" s="15"/>
      <c r="UCJ26" s="25"/>
      <c r="UCQ26" s="21"/>
      <c r="UCR26" s="21"/>
      <c r="UCV26" s="15"/>
      <c r="UDB26" s="25"/>
      <c r="UDI26" s="21"/>
      <c r="UDJ26" s="21"/>
      <c r="UDN26" s="15"/>
      <c r="UDT26" s="25"/>
      <c r="UEA26" s="21"/>
      <c r="UEB26" s="21"/>
      <c r="UEF26" s="15"/>
      <c r="UEL26" s="25"/>
      <c r="UES26" s="21"/>
      <c r="UET26" s="21"/>
      <c r="UEX26" s="15"/>
      <c r="UFD26" s="25"/>
      <c r="UFK26" s="21"/>
      <c r="UFL26" s="21"/>
      <c r="UFP26" s="15"/>
      <c r="UFV26" s="25"/>
      <c r="UGC26" s="21"/>
      <c r="UGD26" s="21"/>
      <c r="UGH26" s="15"/>
      <c r="UGN26" s="25"/>
      <c r="UGU26" s="21"/>
      <c r="UGV26" s="21"/>
      <c r="UGZ26" s="15"/>
      <c r="UHF26" s="25"/>
      <c r="UHM26" s="21"/>
      <c r="UHN26" s="21"/>
      <c r="UHR26" s="15"/>
      <c r="UHX26" s="25"/>
      <c r="UIE26" s="21"/>
      <c r="UIF26" s="21"/>
      <c r="UIJ26" s="15"/>
      <c r="UIP26" s="25"/>
      <c r="UIW26" s="21"/>
      <c r="UIX26" s="21"/>
      <c r="UJB26" s="15"/>
      <c r="UJH26" s="25"/>
      <c r="UJO26" s="21"/>
      <c r="UJP26" s="21"/>
      <c r="UJT26" s="15"/>
      <c r="UJZ26" s="25"/>
      <c r="UKG26" s="21"/>
      <c r="UKH26" s="21"/>
      <c r="UKL26" s="15"/>
      <c r="UKR26" s="25"/>
      <c r="UKY26" s="21"/>
      <c r="UKZ26" s="21"/>
      <c r="ULD26" s="15"/>
      <c r="ULJ26" s="25"/>
      <c r="ULQ26" s="21"/>
      <c r="ULR26" s="21"/>
      <c r="ULV26" s="15"/>
      <c r="UMB26" s="25"/>
      <c r="UMI26" s="21"/>
      <c r="UMJ26" s="21"/>
      <c r="UMN26" s="15"/>
      <c r="UMT26" s="25"/>
      <c r="UNA26" s="21"/>
      <c r="UNB26" s="21"/>
      <c r="UNF26" s="15"/>
      <c r="UNL26" s="25"/>
      <c r="UNS26" s="21"/>
      <c r="UNT26" s="21"/>
      <c r="UNX26" s="15"/>
      <c r="UOD26" s="25"/>
      <c r="UOK26" s="21"/>
      <c r="UOL26" s="21"/>
      <c r="UOP26" s="15"/>
      <c r="UOV26" s="25"/>
      <c r="UPC26" s="21"/>
      <c r="UPD26" s="21"/>
      <c r="UPH26" s="15"/>
      <c r="UPN26" s="25"/>
      <c r="UPU26" s="21"/>
      <c r="UPV26" s="21"/>
      <c r="UPZ26" s="15"/>
      <c r="UQF26" s="25"/>
      <c r="UQM26" s="21"/>
      <c r="UQN26" s="21"/>
      <c r="UQR26" s="15"/>
      <c r="UQX26" s="25"/>
      <c r="URE26" s="21"/>
      <c r="URF26" s="21"/>
      <c r="URJ26" s="15"/>
      <c r="URP26" s="25"/>
      <c r="URW26" s="21"/>
      <c r="URX26" s="21"/>
      <c r="USB26" s="15"/>
      <c r="USH26" s="25"/>
      <c r="USO26" s="21"/>
      <c r="USP26" s="21"/>
      <c r="UST26" s="15"/>
      <c r="USZ26" s="25"/>
      <c r="UTG26" s="21"/>
      <c r="UTH26" s="21"/>
      <c r="UTL26" s="15"/>
      <c r="UTR26" s="25"/>
      <c r="UTY26" s="21"/>
      <c r="UTZ26" s="21"/>
      <c r="UUD26" s="15"/>
      <c r="UUJ26" s="25"/>
      <c r="UUQ26" s="21"/>
      <c r="UUR26" s="21"/>
      <c r="UUV26" s="15"/>
      <c r="UVB26" s="25"/>
      <c r="UVI26" s="21"/>
      <c r="UVJ26" s="21"/>
      <c r="UVN26" s="15"/>
      <c r="UVT26" s="25"/>
      <c r="UWA26" s="21"/>
      <c r="UWB26" s="21"/>
      <c r="UWF26" s="15"/>
      <c r="UWL26" s="25"/>
      <c r="UWS26" s="21"/>
      <c r="UWT26" s="21"/>
      <c r="UWX26" s="15"/>
      <c r="UXD26" s="25"/>
      <c r="UXK26" s="21"/>
      <c r="UXL26" s="21"/>
      <c r="UXP26" s="15"/>
      <c r="UXV26" s="25"/>
      <c r="UYC26" s="21"/>
      <c r="UYD26" s="21"/>
      <c r="UYH26" s="15"/>
      <c r="UYN26" s="25"/>
      <c r="UYU26" s="21"/>
      <c r="UYV26" s="21"/>
      <c r="UYZ26" s="15"/>
      <c r="UZF26" s="25"/>
      <c r="UZM26" s="21"/>
      <c r="UZN26" s="21"/>
      <c r="UZR26" s="15"/>
      <c r="UZX26" s="25"/>
      <c r="VAE26" s="21"/>
      <c r="VAF26" s="21"/>
      <c r="VAJ26" s="15"/>
      <c r="VAP26" s="25"/>
      <c r="VAW26" s="21"/>
      <c r="VAX26" s="21"/>
      <c r="VBB26" s="15"/>
      <c r="VBH26" s="25"/>
      <c r="VBO26" s="21"/>
      <c r="VBP26" s="21"/>
      <c r="VBT26" s="15"/>
      <c r="VBZ26" s="25"/>
      <c r="VCG26" s="21"/>
      <c r="VCH26" s="21"/>
      <c r="VCL26" s="15"/>
      <c r="VCR26" s="25"/>
      <c r="VCY26" s="21"/>
      <c r="VCZ26" s="21"/>
      <c r="VDD26" s="15"/>
      <c r="VDJ26" s="25"/>
      <c r="VDQ26" s="21"/>
      <c r="VDR26" s="21"/>
      <c r="VDV26" s="15"/>
      <c r="VEB26" s="25"/>
      <c r="VEI26" s="21"/>
      <c r="VEJ26" s="21"/>
      <c r="VEN26" s="15"/>
      <c r="VET26" s="25"/>
      <c r="VFA26" s="21"/>
      <c r="VFB26" s="21"/>
      <c r="VFF26" s="15"/>
      <c r="VFL26" s="25"/>
      <c r="VFS26" s="21"/>
      <c r="VFT26" s="21"/>
      <c r="VFX26" s="15"/>
      <c r="VGD26" s="25"/>
      <c r="VGK26" s="21"/>
      <c r="VGL26" s="21"/>
      <c r="VGP26" s="15"/>
      <c r="VGV26" s="25"/>
      <c r="VHC26" s="21"/>
      <c r="VHD26" s="21"/>
      <c r="VHH26" s="15"/>
      <c r="VHN26" s="25"/>
      <c r="VHU26" s="21"/>
      <c r="VHV26" s="21"/>
      <c r="VHZ26" s="15"/>
      <c r="VIF26" s="25"/>
      <c r="VIM26" s="21"/>
      <c r="VIN26" s="21"/>
      <c r="VIR26" s="15"/>
      <c r="VIX26" s="25"/>
      <c r="VJE26" s="21"/>
      <c r="VJF26" s="21"/>
      <c r="VJJ26" s="15"/>
      <c r="VJP26" s="25"/>
      <c r="VJW26" s="21"/>
      <c r="VJX26" s="21"/>
      <c r="VKB26" s="15"/>
      <c r="VKH26" s="25"/>
      <c r="VKO26" s="21"/>
      <c r="VKP26" s="21"/>
      <c r="VKT26" s="15"/>
      <c r="VKZ26" s="25"/>
      <c r="VLG26" s="21"/>
      <c r="VLH26" s="21"/>
      <c r="VLL26" s="15"/>
      <c r="VLR26" s="25"/>
      <c r="VLY26" s="21"/>
      <c r="VLZ26" s="21"/>
      <c r="VMD26" s="15"/>
      <c r="VMJ26" s="25"/>
      <c r="VMQ26" s="21"/>
      <c r="VMR26" s="21"/>
      <c r="VMV26" s="15"/>
      <c r="VNB26" s="25"/>
      <c r="VNI26" s="21"/>
      <c r="VNJ26" s="21"/>
      <c r="VNN26" s="15"/>
      <c r="VNT26" s="25"/>
      <c r="VOA26" s="21"/>
      <c r="VOB26" s="21"/>
      <c r="VOF26" s="15"/>
      <c r="VOL26" s="25"/>
      <c r="VOS26" s="21"/>
      <c r="VOT26" s="21"/>
      <c r="VOX26" s="15"/>
      <c r="VPD26" s="25"/>
      <c r="VPK26" s="21"/>
      <c r="VPL26" s="21"/>
      <c r="VPP26" s="15"/>
      <c r="VPV26" s="25"/>
      <c r="VQC26" s="21"/>
      <c r="VQD26" s="21"/>
      <c r="VQH26" s="15"/>
      <c r="VQN26" s="25"/>
      <c r="VQU26" s="21"/>
      <c r="VQV26" s="21"/>
      <c r="VQZ26" s="15"/>
      <c r="VRF26" s="25"/>
      <c r="VRM26" s="21"/>
      <c r="VRN26" s="21"/>
      <c r="VRR26" s="15"/>
      <c r="VRX26" s="25"/>
      <c r="VSE26" s="21"/>
      <c r="VSF26" s="21"/>
      <c r="VSJ26" s="15"/>
      <c r="VSP26" s="25"/>
      <c r="VSW26" s="21"/>
      <c r="VSX26" s="21"/>
      <c r="VTB26" s="15"/>
      <c r="VTH26" s="25"/>
      <c r="VTO26" s="21"/>
      <c r="VTP26" s="21"/>
      <c r="VTT26" s="15"/>
      <c r="VTZ26" s="25"/>
      <c r="VUG26" s="21"/>
      <c r="VUH26" s="21"/>
      <c r="VUL26" s="15"/>
      <c r="VUR26" s="25"/>
      <c r="VUY26" s="21"/>
      <c r="VUZ26" s="21"/>
      <c r="VVD26" s="15"/>
      <c r="VVJ26" s="25"/>
      <c r="VVQ26" s="21"/>
      <c r="VVR26" s="21"/>
      <c r="VVV26" s="15"/>
      <c r="VWB26" s="25"/>
      <c r="VWI26" s="21"/>
      <c r="VWJ26" s="21"/>
      <c r="VWN26" s="15"/>
      <c r="VWT26" s="25"/>
      <c r="VXA26" s="21"/>
      <c r="VXB26" s="21"/>
      <c r="VXF26" s="15"/>
      <c r="VXL26" s="25"/>
      <c r="VXS26" s="21"/>
      <c r="VXT26" s="21"/>
      <c r="VXX26" s="15"/>
      <c r="VYD26" s="25"/>
      <c r="VYK26" s="21"/>
      <c r="VYL26" s="21"/>
      <c r="VYP26" s="15"/>
      <c r="VYV26" s="25"/>
      <c r="VZC26" s="21"/>
      <c r="VZD26" s="21"/>
      <c r="VZH26" s="15"/>
      <c r="VZN26" s="25"/>
      <c r="VZU26" s="21"/>
      <c r="VZV26" s="21"/>
      <c r="VZZ26" s="15"/>
      <c r="WAF26" s="25"/>
      <c r="WAM26" s="21"/>
      <c r="WAN26" s="21"/>
      <c r="WAR26" s="15"/>
      <c r="WAX26" s="25"/>
      <c r="WBE26" s="21"/>
      <c r="WBF26" s="21"/>
      <c r="WBJ26" s="15"/>
      <c r="WBP26" s="25"/>
      <c r="WBW26" s="21"/>
      <c r="WBX26" s="21"/>
      <c r="WCB26" s="15"/>
      <c r="WCH26" s="25"/>
      <c r="WCO26" s="21"/>
      <c r="WCP26" s="21"/>
      <c r="WCT26" s="15"/>
      <c r="WCZ26" s="25"/>
      <c r="WDG26" s="21"/>
      <c r="WDH26" s="21"/>
      <c r="WDL26" s="15"/>
      <c r="WDR26" s="25"/>
      <c r="WDY26" s="21"/>
      <c r="WDZ26" s="21"/>
      <c r="WED26" s="15"/>
      <c r="WEJ26" s="25"/>
      <c r="WEQ26" s="21"/>
      <c r="WER26" s="21"/>
      <c r="WEV26" s="15"/>
      <c r="WFB26" s="25"/>
      <c r="WFI26" s="21"/>
      <c r="WFJ26" s="21"/>
      <c r="WFN26" s="15"/>
      <c r="WFT26" s="25"/>
      <c r="WGA26" s="21"/>
      <c r="WGB26" s="21"/>
      <c r="WGF26" s="15"/>
      <c r="WGL26" s="25"/>
      <c r="WGS26" s="21"/>
      <c r="WGT26" s="21"/>
      <c r="WGX26" s="15"/>
      <c r="WHD26" s="25"/>
      <c r="WHK26" s="21"/>
      <c r="WHL26" s="21"/>
      <c r="WHP26" s="15"/>
      <c r="WHV26" s="25"/>
      <c r="WIC26" s="21"/>
      <c r="WID26" s="21"/>
      <c r="WIH26" s="15"/>
      <c r="WIN26" s="25"/>
      <c r="WIU26" s="21"/>
      <c r="WIV26" s="21"/>
      <c r="WIZ26" s="15"/>
      <c r="WJF26" s="25"/>
      <c r="WJM26" s="21"/>
      <c r="WJN26" s="21"/>
      <c r="WJR26" s="15"/>
      <c r="WJX26" s="25"/>
      <c r="WKE26" s="21"/>
      <c r="WKF26" s="21"/>
      <c r="WKJ26" s="15"/>
      <c r="WKP26" s="25"/>
      <c r="WKW26" s="21"/>
      <c r="WKX26" s="21"/>
      <c r="WLB26" s="15"/>
      <c r="WLH26" s="25"/>
      <c r="WLO26" s="21"/>
      <c r="WLP26" s="21"/>
      <c r="WLT26" s="15"/>
      <c r="WLZ26" s="25"/>
      <c r="WMG26" s="21"/>
      <c r="WMH26" s="21"/>
      <c r="WML26" s="15"/>
      <c r="WMR26" s="25"/>
      <c r="WMY26" s="21"/>
      <c r="WMZ26" s="21"/>
      <c r="WND26" s="15"/>
      <c r="WNJ26" s="25"/>
      <c r="WNQ26" s="21"/>
      <c r="WNR26" s="21"/>
      <c r="WNV26" s="15"/>
      <c r="WOB26" s="25"/>
      <c r="WOI26" s="21"/>
      <c r="WOJ26" s="21"/>
      <c r="WON26" s="15"/>
      <c r="WOT26" s="25"/>
      <c r="WPA26" s="21"/>
      <c r="WPB26" s="21"/>
      <c r="WPF26" s="15"/>
      <c r="WPL26" s="25"/>
      <c r="WPS26" s="21"/>
      <c r="WPT26" s="21"/>
      <c r="WPX26" s="15"/>
      <c r="WQD26" s="25"/>
      <c r="WQK26" s="21"/>
      <c r="WQL26" s="21"/>
      <c r="WQP26" s="15"/>
      <c r="WQV26" s="25"/>
      <c r="WRC26" s="21"/>
      <c r="WRD26" s="21"/>
      <c r="WRH26" s="15"/>
      <c r="WRN26" s="25"/>
      <c r="WRU26" s="21"/>
      <c r="WRV26" s="21"/>
      <c r="WRZ26" s="15"/>
      <c r="WSF26" s="25"/>
      <c r="WSM26" s="21"/>
      <c r="WSN26" s="21"/>
      <c r="WSR26" s="15"/>
      <c r="WSX26" s="25"/>
      <c r="WTE26" s="21"/>
      <c r="WTF26" s="21"/>
      <c r="WTJ26" s="15"/>
      <c r="WTP26" s="25"/>
      <c r="WTW26" s="21"/>
      <c r="WTX26" s="21"/>
      <c r="WUB26" s="15"/>
      <c r="WUH26" s="25"/>
      <c r="WUO26" s="21"/>
      <c r="WUP26" s="21"/>
      <c r="WUT26" s="15"/>
      <c r="WUZ26" s="25"/>
      <c r="WVG26" s="21"/>
      <c r="WVH26" s="21"/>
      <c r="WVL26" s="15"/>
      <c r="WVR26" s="25"/>
      <c r="WVY26" s="21"/>
      <c r="WVZ26" s="21"/>
      <c r="WWD26" s="15"/>
      <c r="WWJ26" s="25"/>
      <c r="WWQ26" s="21"/>
      <c r="WWR26" s="21"/>
      <c r="WWV26" s="15"/>
      <c r="WXB26" s="25"/>
      <c r="WXI26" s="21"/>
      <c r="WXJ26" s="21"/>
      <c r="WXN26" s="15"/>
      <c r="WXT26" s="25"/>
      <c r="WYA26" s="21"/>
      <c r="WYB26" s="21"/>
      <c r="WYF26" s="15"/>
      <c r="WYL26" s="25"/>
      <c r="WYS26" s="21"/>
      <c r="WYT26" s="21"/>
      <c r="WYX26" s="15"/>
      <c r="WZD26" s="25"/>
      <c r="WZK26" s="21"/>
      <c r="WZL26" s="21"/>
      <c r="WZP26" s="15"/>
      <c r="WZV26" s="25"/>
      <c r="XAC26" s="21"/>
      <c r="XAD26" s="21"/>
      <c r="XAH26" s="15"/>
      <c r="XAN26" s="25"/>
      <c r="XAU26" s="21"/>
      <c r="XAV26" s="21"/>
      <c r="XAZ26" s="15"/>
      <c r="XBF26" s="25"/>
      <c r="XBM26" s="21"/>
      <c r="XBN26" s="21"/>
      <c r="XBR26" s="15"/>
      <c r="XBX26" s="25"/>
      <c r="XCE26" s="21"/>
      <c r="XCF26" s="21"/>
      <c r="XCJ26" s="15"/>
      <c r="XCP26" s="25"/>
      <c r="XCW26" s="21"/>
      <c r="XCX26" s="21"/>
      <c r="XDB26" s="15"/>
      <c r="XDH26" s="25"/>
      <c r="XDO26" s="21"/>
      <c r="XDP26" s="21"/>
      <c r="XDT26" s="15"/>
      <c r="XDZ26" s="25"/>
      <c r="XEG26" s="21"/>
      <c r="XEH26" s="21"/>
      <c r="XEL26" s="15"/>
      <c r="XER26" s="25"/>
      <c r="XEY26" s="21"/>
      <c r="XEZ26" s="21"/>
      <c r="XFD26" s="15"/>
    </row>
    <row r="27" spans="1:1018 1025:2044 2051:3070 3077:4096 4103:5116 5122:6142 6148:7168 7174:8190 8194:9216 9220:10234 10241:11260 11267:12286 12293:13312 13319:14332 14338:15358 15364:16384" s="24" customFormat="1">
      <c r="A27" s="21" t="s">
        <v>105</v>
      </c>
      <c r="B27" s="12">
        <v>2002</v>
      </c>
      <c r="C27" s="19" t="s">
        <v>101</v>
      </c>
      <c r="D27" s="22" t="s">
        <v>86</v>
      </c>
      <c r="E27" s="43" t="s">
        <v>102</v>
      </c>
      <c r="F27" s="19" t="s">
        <v>103</v>
      </c>
      <c r="G27" s="44">
        <v>338323283.56164378</v>
      </c>
      <c r="H27" s="20">
        <v>49056250</v>
      </c>
      <c r="I27" s="12">
        <v>4</v>
      </c>
      <c r="J27" s="23" t="s">
        <v>104</v>
      </c>
      <c r="K27" s="22"/>
      <c r="L27" s="22"/>
      <c r="M27" s="22" t="s">
        <v>26</v>
      </c>
      <c r="N27" s="12"/>
      <c r="O27" s="22"/>
      <c r="P27" s="12"/>
      <c r="Q27" s="22" t="s">
        <v>27</v>
      </c>
      <c r="R27" s="22" t="s">
        <v>28</v>
      </c>
      <c r="V27" s="15"/>
      <c r="AB27" s="25"/>
      <c r="AI27" s="21"/>
      <c r="AJ27" s="21"/>
      <c r="AN27" s="15"/>
      <c r="AT27" s="25"/>
      <c r="BA27" s="21"/>
      <c r="BB27" s="21"/>
      <c r="BF27" s="15"/>
      <c r="BL27" s="25"/>
      <c r="BS27" s="21"/>
      <c r="BT27" s="21"/>
      <c r="BX27" s="15"/>
      <c r="CD27" s="25"/>
      <c r="CK27" s="21"/>
      <c r="CL27" s="21"/>
      <c r="CP27" s="15"/>
      <c r="CV27" s="25"/>
      <c r="DC27" s="21"/>
      <c r="DD27" s="21"/>
      <c r="DH27" s="15"/>
      <c r="DN27" s="25"/>
      <c r="DU27" s="21"/>
      <c r="DV27" s="21"/>
      <c r="DZ27" s="15"/>
      <c r="EF27" s="25"/>
      <c r="EM27" s="21"/>
      <c r="EN27" s="21"/>
      <c r="ER27" s="15"/>
      <c r="EX27" s="25"/>
      <c r="FE27" s="21"/>
      <c r="FF27" s="21"/>
      <c r="FJ27" s="15"/>
      <c r="FP27" s="25"/>
      <c r="FW27" s="21"/>
      <c r="FX27" s="21"/>
      <c r="GB27" s="15"/>
      <c r="GH27" s="25"/>
      <c r="GO27" s="21"/>
      <c r="GP27" s="21"/>
      <c r="GT27" s="15"/>
      <c r="GZ27" s="25"/>
      <c r="HG27" s="21"/>
      <c r="HH27" s="21"/>
      <c r="HL27" s="15"/>
      <c r="HR27" s="25"/>
      <c r="HY27" s="21"/>
      <c r="HZ27" s="21"/>
      <c r="ID27" s="15"/>
      <c r="IJ27" s="25"/>
      <c r="IQ27" s="21"/>
      <c r="IR27" s="21"/>
      <c r="IV27" s="15"/>
      <c r="JB27" s="25"/>
      <c r="JI27" s="21"/>
      <c r="JJ27" s="21"/>
      <c r="JN27" s="15"/>
      <c r="JT27" s="25"/>
      <c r="KA27" s="21"/>
      <c r="KB27" s="21"/>
      <c r="KF27" s="15"/>
      <c r="KL27" s="25"/>
      <c r="KS27" s="21"/>
      <c r="KT27" s="21"/>
      <c r="KX27" s="15"/>
      <c r="LD27" s="25"/>
      <c r="LK27" s="21"/>
      <c r="LL27" s="21"/>
      <c r="LP27" s="15"/>
      <c r="LV27" s="25"/>
      <c r="MC27" s="21"/>
      <c r="MD27" s="21"/>
      <c r="MH27" s="15"/>
      <c r="MN27" s="25"/>
      <c r="MU27" s="21"/>
      <c r="MV27" s="21"/>
      <c r="MZ27" s="15"/>
      <c r="NF27" s="25"/>
      <c r="NM27" s="21"/>
      <c r="NN27" s="21"/>
      <c r="NR27" s="15"/>
      <c r="NX27" s="25"/>
      <c r="OE27" s="21"/>
      <c r="OF27" s="21"/>
      <c r="OJ27" s="15"/>
      <c r="OP27" s="25"/>
      <c r="OW27" s="21"/>
      <c r="OX27" s="21"/>
      <c r="PB27" s="15"/>
      <c r="PH27" s="25"/>
      <c r="PO27" s="21"/>
      <c r="PP27" s="21"/>
      <c r="PT27" s="15"/>
      <c r="PZ27" s="25"/>
      <c r="QG27" s="21"/>
      <c r="QH27" s="21"/>
      <c r="QL27" s="15"/>
      <c r="QR27" s="25"/>
      <c r="QY27" s="21"/>
      <c r="QZ27" s="21"/>
      <c r="RD27" s="15"/>
      <c r="RJ27" s="25"/>
      <c r="RQ27" s="21"/>
      <c r="RR27" s="21"/>
      <c r="RV27" s="15"/>
      <c r="SB27" s="25"/>
      <c r="SI27" s="21"/>
      <c r="SJ27" s="21"/>
      <c r="SN27" s="15"/>
      <c r="ST27" s="25"/>
      <c r="TA27" s="21"/>
      <c r="TB27" s="21"/>
      <c r="TF27" s="15"/>
      <c r="TL27" s="25"/>
      <c r="TS27" s="21"/>
      <c r="TT27" s="21"/>
      <c r="TX27" s="15"/>
      <c r="UD27" s="25"/>
      <c r="UK27" s="21"/>
      <c r="UL27" s="21"/>
      <c r="UP27" s="15"/>
      <c r="UV27" s="25"/>
      <c r="VC27" s="21"/>
      <c r="VD27" s="21"/>
      <c r="VH27" s="15"/>
      <c r="VN27" s="25"/>
      <c r="VU27" s="21"/>
      <c r="VV27" s="21"/>
      <c r="VZ27" s="15"/>
      <c r="WF27" s="25"/>
      <c r="WM27" s="21"/>
      <c r="WN27" s="21"/>
      <c r="WR27" s="15"/>
      <c r="WX27" s="25"/>
      <c r="XE27" s="21"/>
      <c r="XF27" s="21"/>
      <c r="XJ27" s="15"/>
      <c r="XP27" s="25"/>
      <c r="XW27" s="21"/>
      <c r="XX27" s="21"/>
      <c r="YB27" s="15"/>
      <c r="YH27" s="25"/>
      <c r="YO27" s="21"/>
      <c r="YP27" s="21"/>
      <c r="YT27" s="15"/>
      <c r="YZ27" s="25"/>
      <c r="ZG27" s="21"/>
      <c r="ZH27" s="21"/>
      <c r="ZL27" s="15"/>
      <c r="ZR27" s="25"/>
      <c r="ZY27" s="21"/>
      <c r="ZZ27" s="21"/>
      <c r="AAD27" s="15"/>
      <c r="AAJ27" s="25"/>
      <c r="AAQ27" s="21"/>
      <c r="AAR27" s="21"/>
      <c r="AAV27" s="15"/>
      <c r="ABB27" s="25"/>
      <c r="ABI27" s="21"/>
      <c r="ABJ27" s="21"/>
      <c r="ABN27" s="15"/>
      <c r="ABT27" s="25"/>
      <c r="ACA27" s="21"/>
      <c r="ACB27" s="21"/>
      <c r="ACF27" s="15"/>
      <c r="ACL27" s="25"/>
      <c r="ACS27" s="21"/>
      <c r="ACT27" s="21"/>
      <c r="ACX27" s="15"/>
      <c r="ADD27" s="25"/>
      <c r="ADK27" s="21"/>
      <c r="ADL27" s="21"/>
      <c r="ADP27" s="15"/>
      <c r="ADV27" s="25"/>
      <c r="AEC27" s="21"/>
      <c r="AED27" s="21"/>
      <c r="AEH27" s="15"/>
      <c r="AEN27" s="25"/>
      <c r="AEU27" s="21"/>
      <c r="AEV27" s="21"/>
      <c r="AEZ27" s="15"/>
      <c r="AFF27" s="25"/>
      <c r="AFM27" s="21"/>
      <c r="AFN27" s="21"/>
      <c r="AFR27" s="15"/>
      <c r="AFX27" s="25"/>
      <c r="AGE27" s="21"/>
      <c r="AGF27" s="21"/>
      <c r="AGJ27" s="15"/>
      <c r="AGP27" s="25"/>
      <c r="AGW27" s="21"/>
      <c r="AGX27" s="21"/>
      <c r="AHB27" s="15"/>
      <c r="AHH27" s="25"/>
      <c r="AHO27" s="21"/>
      <c r="AHP27" s="21"/>
      <c r="AHT27" s="15"/>
      <c r="AHZ27" s="25"/>
      <c r="AIG27" s="21"/>
      <c r="AIH27" s="21"/>
      <c r="AIL27" s="15"/>
      <c r="AIR27" s="25"/>
      <c r="AIY27" s="21"/>
      <c r="AIZ27" s="21"/>
      <c r="AJD27" s="15"/>
      <c r="AJJ27" s="25"/>
      <c r="AJQ27" s="21"/>
      <c r="AJR27" s="21"/>
      <c r="AJV27" s="15"/>
      <c r="AKB27" s="25"/>
      <c r="AKI27" s="21"/>
      <c r="AKJ27" s="21"/>
      <c r="AKN27" s="15"/>
      <c r="AKT27" s="25"/>
      <c r="ALA27" s="21"/>
      <c r="ALB27" s="21"/>
      <c r="ALF27" s="15"/>
      <c r="ALL27" s="25"/>
      <c r="ALS27" s="21"/>
      <c r="ALT27" s="21"/>
      <c r="ALX27" s="15"/>
      <c r="AMD27" s="25"/>
      <c r="AMK27" s="21"/>
      <c r="AML27" s="21"/>
      <c r="AMP27" s="15"/>
      <c r="AMV27" s="25"/>
      <c r="ANC27" s="21"/>
      <c r="AND27" s="21"/>
      <c r="ANH27" s="15"/>
      <c r="ANN27" s="25"/>
      <c r="ANU27" s="21"/>
      <c r="ANV27" s="21"/>
      <c r="ANZ27" s="15"/>
      <c r="AOF27" s="25"/>
      <c r="AOM27" s="21"/>
      <c r="AON27" s="21"/>
      <c r="AOR27" s="15"/>
      <c r="AOX27" s="25"/>
      <c r="APE27" s="21"/>
      <c r="APF27" s="21"/>
      <c r="APJ27" s="15"/>
      <c r="APP27" s="25"/>
      <c r="APW27" s="21"/>
      <c r="APX27" s="21"/>
      <c r="AQB27" s="15"/>
      <c r="AQH27" s="25"/>
      <c r="AQO27" s="21"/>
      <c r="AQP27" s="21"/>
      <c r="AQT27" s="15"/>
      <c r="AQZ27" s="25"/>
      <c r="ARG27" s="21"/>
      <c r="ARH27" s="21"/>
      <c r="ARL27" s="15"/>
      <c r="ARR27" s="25"/>
      <c r="ARY27" s="21"/>
      <c r="ARZ27" s="21"/>
      <c r="ASD27" s="15"/>
      <c r="ASJ27" s="25"/>
      <c r="ASQ27" s="21"/>
      <c r="ASR27" s="21"/>
      <c r="ASV27" s="15"/>
      <c r="ATB27" s="25"/>
      <c r="ATI27" s="21"/>
      <c r="ATJ27" s="21"/>
      <c r="ATN27" s="15"/>
      <c r="ATT27" s="25"/>
      <c r="AUA27" s="21"/>
      <c r="AUB27" s="21"/>
      <c r="AUF27" s="15"/>
      <c r="AUL27" s="25"/>
      <c r="AUS27" s="21"/>
      <c r="AUT27" s="21"/>
      <c r="AUX27" s="15"/>
      <c r="AVD27" s="25"/>
      <c r="AVK27" s="21"/>
      <c r="AVL27" s="21"/>
      <c r="AVP27" s="15"/>
      <c r="AVV27" s="25"/>
      <c r="AWC27" s="21"/>
      <c r="AWD27" s="21"/>
      <c r="AWH27" s="15"/>
      <c r="AWN27" s="25"/>
      <c r="AWU27" s="21"/>
      <c r="AWV27" s="21"/>
      <c r="AWZ27" s="15"/>
      <c r="AXF27" s="25"/>
      <c r="AXM27" s="21"/>
      <c r="AXN27" s="21"/>
      <c r="AXR27" s="15"/>
      <c r="AXX27" s="25"/>
      <c r="AYE27" s="21"/>
      <c r="AYF27" s="21"/>
      <c r="AYJ27" s="15"/>
      <c r="AYP27" s="25"/>
      <c r="AYW27" s="21"/>
      <c r="AYX27" s="21"/>
      <c r="AZB27" s="15"/>
      <c r="AZH27" s="25"/>
      <c r="AZO27" s="21"/>
      <c r="AZP27" s="21"/>
      <c r="AZT27" s="15"/>
      <c r="AZZ27" s="25"/>
      <c r="BAG27" s="21"/>
      <c r="BAH27" s="21"/>
      <c r="BAL27" s="15"/>
      <c r="BAR27" s="25"/>
      <c r="BAY27" s="21"/>
      <c r="BAZ27" s="21"/>
      <c r="BBD27" s="15"/>
      <c r="BBJ27" s="25"/>
      <c r="BBQ27" s="21"/>
      <c r="BBR27" s="21"/>
      <c r="BBV27" s="15"/>
      <c r="BCB27" s="25"/>
      <c r="BCI27" s="21"/>
      <c r="BCJ27" s="21"/>
      <c r="BCN27" s="15"/>
      <c r="BCT27" s="25"/>
      <c r="BDA27" s="21"/>
      <c r="BDB27" s="21"/>
      <c r="BDF27" s="15"/>
      <c r="BDL27" s="25"/>
      <c r="BDS27" s="21"/>
      <c r="BDT27" s="21"/>
      <c r="BDX27" s="15"/>
      <c r="BED27" s="25"/>
      <c r="BEK27" s="21"/>
      <c r="BEL27" s="21"/>
      <c r="BEP27" s="15"/>
      <c r="BEV27" s="25"/>
      <c r="BFC27" s="21"/>
      <c r="BFD27" s="21"/>
      <c r="BFH27" s="15"/>
      <c r="BFN27" s="25"/>
      <c r="BFU27" s="21"/>
      <c r="BFV27" s="21"/>
      <c r="BFZ27" s="15"/>
      <c r="BGF27" s="25"/>
      <c r="BGM27" s="21"/>
      <c r="BGN27" s="21"/>
      <c r="BGR27" s="15"/>
      <c r="BGX27" s="25"/>
      <c r="BHE27" s="21"/>
      <c r="BHF27" s="21"/>
      <c r="BHJ27" s="15"/>
      <c r="BHP27" s="25"/>
      <c r="BHW27" s="21"/>
      <c r="BHX27" s="21"/>
      <c r="BIB27" s="15"/>
      <c r="BIH27" s="25"/>
      <c r="BIO27" s="21"/>
      <c r="BIP27" s="21"/>
      <c r="BIT27" s="15"/>
      <c r="BIZ27" s="25"/>
      <c r="BJG27" s="21"/>
      <c r="BJH27" s="21"/>
      <c r="BJL27" s="15"/>
      <c r="BJR27" s="25"/>
      <c r="BJY27" s="21"/>
      <c r="BJZ27" s="21"/>
      <c r="BKD27" s="15"/>
      <c r="BKJ27" s="25"/>
      <c r="BKQ27" s="21"/>
      <c r="BKR27" s="21"/>
      <c r="BKV27" s="15"/>
      <c r="BLB27" s="25"/>
      <c r="BLI27" s="21"/>
      <c r="BLJ27" s="21"/>
      <c r="BLN27" s="15"/>
      <c r="BLT27" s="25"/>
      <c r="BMA27" s="21"/>
      <c r="BMB27" s="21"/>
      <c r="BMF27" s="15"/>
      <c r="BML27" s="25"/>
      <c r="BMS27" s="21"/>
      <c r="BMT27" s="21"/>
      <c r="BMX27" s="15"/>
      <c r="BND27" s="25"/>
      <c r="BNK27" s="21"/>
      <c r="BNL27" s="21"/>
      <c r="BNP27" s="15"/>
      <c r="BNV27" s="25"/>
      <c r="BOC27" s="21"/>
      <c r="BOD27" s="21"/>
      <c r="BOH27" s="15"/>
      <c r="BON27" s="25"/>
      <c r="BOU27" s="21"/>
      <c r="BOV27" s="21"/>
      <c r="BOZ27" s="15"/>
      <c r="BPF27" s="25"/>
      <c r="BPM27" s="21"/>
      <c r="BPN27" s="21"/>
      <c r="BPR27" s="15"/>
      <c r="BPX27" s="25"/>
      <c r="BQE27" s="21"/>
      <c r="BQF27" s="21"/>
      <c r="BQJ27" s="15"/>
      <c r="BQP27" s="25"/>
      <c r="BQW27" s="21"/>
      <c r="BQX27" s="21"/>
      <c r="BRB27" s="15"/>
      <c r="BRH27" s="25"/>
      <c r="BRO27" s="21"/>
      <c r="BRP27" s="21"/>
      <c r="BRT27" s="15"/>
      <c r="BRZ27" s="25"/>
      <c r="BSG27" s="21"/>
      <c r="BSH27" s="21"/>
      <c r="BSL27" s="15"/>
      <c r="BSR27" s="25"/>
      <c r="BSY27" s="21"/>
      <c r="BSZ27" s="21"/>
      <c r="BTD27" s="15"/>
      <c r="BTJ27" s="25"/>
      <c r="BTQ27" s="21"/>
      <c r="BTR27" s="21"/>
      <c r="BTV27" s="15"/>
      <c r="BUB27" s="25"/>
      <c r="BUI27" s="21"/>
      <c r="BUJ27" s="21"/>
      <c r="BUN27" s="15"/>
      <c r="BUT27" s="25"/>
      <c r="BVA27" s="21"/>
      <c r="BVB27" s="21"/>
      <c r="BVF27" s="15"/>
      <c r="BVL27" s="25"/>
      <c r="BVS27" s="21"/>
      <c r="BVT27" s="21"/>
      <c r="BVX27" s="15"/>
      <c r="BWD27" s="25"/>
      <c r="BWK27" s="21"/>
      <c r="BWL27" s="21"/>
      <c r="BWP27" s="15"/>
      <c r="BWV27" s="25"/>
      <c r="BXC27" s="21"/>
      <c r="BXD27" s="21"/>
      <c r="BXH27" s="15"/>
      <c r="BXN27" s="25"/>
      <c r="BXU27" s="21"/>
      <c r="BXV27" s="21"/>
      <c r="BXZ27" s="15"/>
      <c r="BYF27" s="25"/>
      <c r="BYM27" s="21"/>
      <c r="BYN27" s="21"/>
      <c r="BYR27" s="15"/>
      <c r="BYX27" s="25"/>
      <c r="BZE27" s="21"/>
      <c r="BZF27" s="21"/>
      <c r="BZJ27" s="15"/>
      <c r="BZP27" s="25"/>
      <c r="BZW27" s="21"/>
      <c r="BZX27" s="21"/>
      <c r="CAB27" s="15"/>
      <c r="CAH27" s="25"/>
      <c r="CAO27" s="21"/>
      <c r="CAP27" s="21"/>
      <c r="CAT27" s="15"/>
      <c r="CAZ27" s="25"/>
      <c r="CBG27" s="21"/>
      <c r="CBH27" s="21"/>
      <c r="CBL27" s="15"/>
      <c r="CBR27" s="25"/>
      <c r="CBY27" s="21"/>
      <c r="CBZ27" s="21"/>
      <c r="CCD27" s="15"/>
      <c r="CCJ27" s="25"/>
      <c r="CCQ27" s="21"/>
      <c r="CCR27" s="21"/>
      <c r="CCV27" s="15"/>
      <c r="CDB27" s="25"/>
      <c r="CDI27" s="21"/>
      <c r="CDJ27" s="21"/>
      <c r="CDN27" s="15"/>
      <c r="CDT27" s="25"/>
      <c r="CEA27" s="21"/>
      <c r="CEB27" s="21"/>
      <c r="CEF27" s="15"/>
      <c r="CEL27" s="25"/>
      <c r="CES27" s="21"/>
      <c r="CET27" s="21"/>
      <c r="CEX27" s="15"/>
      <c r="CFD27" s="25"/>
      <c r="CFK27" s="21"/>
      <c r="CFL27" s="21"/>
      <c r="CFP27" s="15"/>
      <c r="CFV27" s="25"/>
      <c r="CGC27" s="21"/>
      <c r="CGD27" s="21"/>
      <c r="CGH27" s="15"/>
      <c r="CGN27" s="25"/>
      <c r="CGU27" s="21"/>
      <c r="CGV27" s="21"/>
      <c r="CGZ27" s="15"/>
      <c r="CHF27" s="25"/>
      <c r="CHM27" s="21"/>
      <c r="CHN27" s="21"/>
      <c r="CHR27" s="15"/>
      <c r="CHX27" s="25"/>
      <c r="CIE27" s="21"/>
      <c r="CIF27" s="21"/>
      <c r="CIJ27" s="15"/>
      <c r="CIP27" s="25"/>
      <c r="CIW27" s="21"/>
      <c r="CIX27" s="21"/>
      <c r="CJB27" s="15"/>
      <c r="CJH27" s="25"/>
      <c r="CJO27" s="21"/>
      <c r="CJP27" s="21"/>
      <c r="CJT27" s="15"/>
      <c r="CJZ27" s="25"/>
      <c r="CKG27" s="21"/>
      <c r="CKH27" s="21"/>
      <c r="CKL27" s="15"/>
      <c r="CKR27" s="25"/>
      <c r="CKY27" s="21"/>
      <c r="CKZ27" s="21"/>
      <c r="CLD27" s="15"/>
      <c r="CLJ27" s="25"/>
      <c r="CLQ27" s="21"/>
      <c r="CLR27" s="21"/>
      <c r="CLV27" s="15"/>
      <c r="CMB27" s="25"/>
      <c r="CMI27" s="21"/>
      <c r="CMJ27" s="21"/>
      <c r="CMN27" s="15"/>
      <c r="CMT27" s="25"/>
      <c r="CNA27" s="21"/>
      <c r="CNB27" s="21"/>
      <c r="CNF27" s="15"/>
      <c r="CNL27" s="25"/>
      <c r="CNS27" s="21"/>
      <c r="CNT27" s="21"/>
      <c r="CNX27" s="15"/>
      <c r="COD27" s="25"/>
      <c r="COK27" s="21"/>
      <c r="COL27" s="21"/>
      <c r="COP27" s="15"/>
      <c r="COV27" s="25"/>
      <c r="CPC27" s="21"/>
      <c r="CPD27" s="21"/>
      <c r="CPH27" s="15"/>
      <c r="CPN27" s="25"/>
      <c r="CPU27" s="21"/>
      <c r="CPV27" s="21"/>
      <c r="CPZ27" s="15"/>
      <c r="CQF27" s="25"/>
      <c r="CQM27" s="21"/>
      <c r="CQN27" s="21"/>
      <c r="CQR27" s="15"/>
      <c r="CQX27" s="25"/>
      <c r="CRE27" s="21"/>
      <c r="CRF27" s="21"/>
      <c r="CRJ27" s="15"/>
      <c r="CRP27" s="25"/>
      <c r="CRW27" s="21"/>
      <c r="CRX27" s="21"/>
      <c r="CSB27" s="15"/>
      <c r="CSH27" s="25"/>
      <c r="CSO27" s="21"/>
      <c r="CSP27" s="21"/>
      <c r="CST27" s="15"/>
      <c r="CSZ27" s="25"/>
      <c r="CTG27" s="21"/>
      <c r="CTH27" s="21"/>
      <c r="CTL27" s="15"/>
      <c r="CTR27" s="25"/>
      <c r="CTY27" s="21"/>
      <c r="CTZ27" s="21"/>
      <c r="CUD27" s="15"/>
      <c r="CUJ27" s="25"/>
      <c r="CUQ27" s="21"/>
      <c r="CUR27" s="21"/>
      <c r="CUV27" s="15"/>
      <c r="CVB27" s="25"/>
      <c r="CVI27" s="21"/>
      <c r="CVJ27" s="21"/>
      <c r="CVN27" s="15"/>
      <c r="CVT27" s="25"/>
      <c r="CWA27" s="21"/>
      <c r="CWB27" s="21"/>
      <c r="CWF27" s="15"/>
      <c r="CWL27" s="25"/>
      <c r="CWS27" s="21"/>
      <c r="CWT27" s="21"/>
      <c r="CWX27" s="15"/>
      <c r="CXD27" s="25"/>
      <c r="CXK27" s="21"/>
      <c r="CXL27" s="21"/>
      <c r="CXP27" s="15"/>
      <c r="CXV27" s="25"/>
      <c r="CYC27" s="21"/>
      <c r="CYD27" s="21"/>
      <c r="CYH27" s="15"/>
      <c r="CYN27" s="25"/>
      <c r="CYU27" s="21"/>
      <c r="CYV27" s="21"/>
      <c r="CYZ27" s="15"/>
      <c r="CZF27" s="25"/>
      <c r="CZM27" s="21"/>
      <c r="CZN27" s="21"/>
      <c r="CZR27" s="15"/>
      <c r="CZX27" s="25"/>
      <c r="DAE27" s="21"/>
      <c r="DAF27" s="21"/>
      <c r="DAJ27" s="15"/>
      <c r="DAP27" s="25"/>
      <c r="DAW27" s="21"/>
      <c r="DAX27" s="21"/>
      <c r="DBB27" s="15"/>
      <c r="DBH27" s="25"/>
      <c r="DBO27" s="21"/>
      <c r="DBP27" s="21"/>
      <c r="DBT27" s="15"/>
      <c r="DBZ27" s="25"/>
      <c r="DCG27" s="21"/>
      <c r="DCH27" s="21"/>
      <c r="DCL27" s="15"/>
      <c r="DCR27" s="25"/>
      <c r="DCY27" s="21"/>
      <c r="DCZ27" s="21"/>
      <c r="DDD27" s="15"/>
      <c r="DDJ27" s="25"/>
      <c r="DDQ27" s="21"/>
      <c r="DDR27" s="21"/>
      <c r="DDV27" s="15"/>
      <c r="DEB27" s="25"/>
      <c r="DEI27" s="21"/>
      <c r="DEJ27" s="21"/>
      <c r="DEN27" s="15"/>
      <c r="DET27" s="25"/>
      <c r="DFA27" s="21"/>
      <c r="DFB27" s="21"/>
      <c r="DFF27" s="15"/>
      <c r="DFL27" s="25"/>
      <c r="DFS27" s="21"/>
      <c r="DFT27" s="21"/>
      <c r="DFX27" s="15"/>
      <c r="DGD27" s="25"/>
      <c r="DGK27" s="21"/>
      <c r="DGL27" s="21"/>
      <c r="DGP27" s="15"/>
      <c r="DGV27" s="25"/>
      <c r="DHC27" s="21"/>
      <c r="DHD27" s="21"/>
      <c r="DHH27" s="15"/>
      <c r="DHN27" s="25"/>
      <c r="DHU27" s="21"/>
      <c r="DHV27" s="21"/>
      <c r="DHZ27" s="15"/>
      <c r="DIF27" s="25"/>
      <c r="DIM27" s="21"/>
      <c r="DIN27" s="21"/>
      <c r="DIR27" s="15"/>
      <c r="DIX27" s="25"/>
      <c r="DJE27" s="21"/>
      <c r="DJF27" s="21"/>
      <c r="DJJ27" s="15"/>
      <c r="DJP27" s="25"/>
      <c r="DJW27" s="21"/>
      <c r="DJX27" s="21"/>
      <c r="DKB27" s="15"/>
      <c r="DKH27" s="25"/>
      <c r="DKO27" s="21"/>
      <c r="DKP27" s="21"/>
      <c r="DKT27" s="15"/>
      <c r="DKZ27" s="25"/>
      <c r="DLG27" s="21"/>
      <c r="DLH27" s="21"/>
      <c r="DLL27" s="15"/>
      <c r="DLR27" s="25"/>
      <c r="DLY27" s="21"/>
      <c r="DLZ27" s="21"/>
      <c r="DMD27" s="15"/>
      <c r="DMJ27" s="25"/>
      <c r="DMQ27" s="21"/>
      <c r="DMR27" s="21"/>
      <c r="DMV27" s="15"/>
      <c r="DNB27" s="25"/>
      <c r="DNI27" s="21"/>
      <c r="DNJ27" s="21"/>
      <c r="DNN27" s="15"/>
      <c r="DNT27" s="25"/>
      <c r="DOA27" s="21"/>
      <c r="DOB27" s="21"/>
      <c r="DOF27" s="15"/>
      <c r="DOL27" s="25"/>
      <c r="DOS27" s="21"/>
      <c r="DOT27" s="21"/>
      <c r="DOX27" s="15"/>
      <c r="DPD27" s="25"/>
      <c r="DPK27" s="21"/>
      <c r="DPL27" s="21"/>
      <c r="DPP27" s="15"/>
      <c r="DPV27" s="25"/>
      <c r="DQC27" s="21"/>
      <c r="DQD27" s="21"/>
      <c r="DQH27" s="15"/>
      <c r="DQN27" s="25"/>
      <c r="DQU27" s="21"/>
      <c r="DQV27" s="21"/>
      <c r="DQZ27" s="15"/>
      <c r="DRF27" s="25"/>
      <c r="DRM27" s="21"/>
      <c r="DRN27" s="21"/>
      <c r="DRR27" s="15"/>
      <c r="DRX27" s="25"/>
      <c r="DSE27" s="21"/>
      <c r="DSF27" s="21"/>
      <c r="DSJ27" s="15"/>
      <c r="DSP27" s="25"/>
      <c r="DSW27" s="21"/>
      <c r="DSX27" s="21"/>
      <c r="DTB27" s="15"/>
      <c r="DTH27" s="25"/>
      <c r="DTO27" s="21"/>
      <c r="DTP27" s="21"/>
      <c r="DTT27" s="15"/>
      <c r="DTZ27" s="25"/>
      <c r="DUG27" s="21"/>
      <c r="DUH27" s="21"/>
      <c r="DUL27" s="15"/>
      <c r="DUR27" s="25"/>
      <c r="DUY27" s="21"/>
      <c r="DUZ27" s="21"/>
      <c r="DVD27" s="15"/>
      <c r="DVJ27" s="25"/>
      <c r="DVQ27" s="21"/>
      <c r="DVR27" s="21"/>
      <c r="DVV27" s="15"/>
      <c r="DWB27" s="25"/>
      <c r="DWI27" s="21"/>
      <c r="DWJ27" s="21"/>
      <c r="DWN27" s="15"/>
      <c r="DWT27" s="25"/>
      <c r="DXA27" s="21"/>
      <c r="DXB27" s="21"/>
      <c r="DXF27" s="15"/>
      <c r="DXL27" s="25"/>
      <c r="DXS27" s="21"/>
      <c r="DXT27" s="21"/>
      <c r="DXX27" s="15"/>
      <c r="DYD27" s="25"/>
      <c r="DYK27" s="21"/>
      <c r="DYL27" s="21"/>
      <c r="DYP27" s="15"/>
      <c r="DYV27" s="25"/>
      <c r="DZC27" s="21"/>
      <c r="DZD27" s="21"/>
      <c r="DZH27" s="15"/>
      <c r="DZN27" s="25"/>
      <c r="DZU27" s="21"/>
      <c r="DZV27" s="21"/>
      <c r="DZZ27" s="15"/>
      <c r="EAF27" s="25"/>
      <c r="EAM27" s="21"/>
      <c r="EAN27" s="21"/>
      <c r="EAR27" s="15"/>
      <c r="EAX27" s="25"/>
      <c r="EBE27" s="21"/>
      <c r="EBF27" s="21"/>
      <c r="EBJ27" s="15"/>
      <c r="EBP27" s="25"/>
      <c r="EBW27" s="21"/>
      <c r="EBX27" s="21"/>
      <c r="ECB27" s="15"/>
      <c r="ECH27" s="25"/>
      <c r="ECO27" s="21"/>
      <c r="ECP27" s="21"/>
      <c r="ECT27" s="15"/>
      <c r="ECZ27" s="25"/>
      <c r="EDG27" s="21"/>
      <c r="EDH27" s="21"/>
      <c r="EDL27" s="15"/>
      <c r="EDR27" s="25"/>
      <c r="EDY27" s="21"/>
      <c r="EDZ27" s="21"/>
      <c r="EED27" s="15"/>
      <c r="EEJ27" s="25"/>
      <c r="EEQ27" s="21"/>
      <c r="EER27" s="21"/>
      <c r="EEV27" s="15"/>
      <c r="EFB27" s="25"/>
      <c r="EFI27" s="21"/>
      <c r="EFJ27" s="21"/>
      <c r="EFN27" s="15"/>
      <c r="EFT27" s="25"/>
      <c r="EGA27" s="21"/>
      <c r="EGB27" s="21"/>
      <c r="EGF27" s="15"/>
      <c r="EGL27" s="25"/>
      <c r="EGS27" s="21"/>
      <c r="EGT27" s="21"/>
      <c r="EGX27" s="15"/>
      <c r="EHD27" s="25"/>
      <c r="EHK27" s="21"/>
      <c r="EHL27" s="21"/>
      <c r="EHP27" s="15"/>
      <c r="EHV27" s="25"/>
      <c r="EIC27" s="21"/>
      <c r="EID27" s="21"/>
      <c r="EIH27" s="15"/>
      <c r="EIN27" s="25"/>
      <c r="EIU27" s="21"/>
      <c r="EIV27" s="21"/>
      <c r="EIZ27" s="15"/>
      <c r="EJF27" s="25"/>
      <c r="EJM27" s="21"/>
      <c r="EJN27" s="21"/>
      <c r="EJR27" s="15"/>
      <c r="EJX27" s="25"/>
      <c r="EKE27" s="21"/>
      <c r="EKF27" s="21"/>
      <c r="EKJ27" s="15"/>
      <c r="EKP27" s="25"/>
      <c r="EKW27" s="21"/>
      <c r="EKX27" s="21"/>
      <c r="ELB27" s="15"/>
      <c r="ELH27" s="25"/>
      <c r="ELO27" s="21"/>
      <c r="ELP27" s="21"/>
      <c r="ELT27" s="15"/>
      <c r="ELZ27" s="25"/>
      <c r="EMG27" s="21"/>
      <c r="EMH27" s="21"/>
      <c r="EML27" s="15"/>
      <c r="EMR27" s="25"/>
      <c r="EMY27" s="21"/>
      <c r="EMZ27" s="21"/>
      <c r="END27" s="15"/>
      <c r="ENJ27" s="25"/>
      <c r="ENQ27" s="21"/>
      <c r="ENR27" s="21"/>
      <c r="ENV27" s="15"/>
      <c r="EOB27" s="25"/>
      <c r="EOI27" s="21"/>
      <c r="EOJ27" s="21"/>
      <c r="EON27" s="15"/>
      <c r="EOT27" s="25"/>
      <c r="EPA27" s="21"/>
      <c r="EPB27" s="21"/>
      <c r="EPF27" s="15"/>
      <c r="EPL27" s="25"/>
      <c r="EPS27" s="21"/>
      <c r="EPT27" s="21"/>
      <c r="EPX27" s="15"/>
      <c r="EQD27" s="25"/>
      <c r="EQK27" s="21"/>
      <c r="EQL27" s="21"/>
      <c r="EQP27" s="15"/>
      <c r="EQV27" s="25"/>
      <c r="ERC27" s="21"/>
      <c r="ERD27" s="21"/>
      <c r="ERH27" s="15"/>
      <c r="ERN27" s="25"/>
      <c r="ERU27" s="21"/>
      <c r="ERV27" s="21"/>
      <c r="ERZ27" s="15"/>
      <c r="ESF27" s="25"/>
      <c r="ESM27" s="21"/>
      <c r="ESN27" s="21"/>
      <c r="ESR27" s="15"/>
      <c r="ESX27" s="25"/>
      <c r="ETE27" s="21"/>
      <c r="ETF27" s="21"/>
      <c r="ETJ27" s="15"/>
      <c r="ETP27" s="25"/>
      <c r="ETW27" s="21"/>
      <c r="ETX27" s="21"/>
      <c r="EUB27" s="15"/>
      <c r="EUH27" s="25"/>
      <c r="EUO27" s="21"/>
      <c r="EUP27" s="21"/>
      <c r="EUT27" s="15"/>
      <c r="EUZ27" s="25"/>
      <c r="EVG27" s="21"/>
      <c r="EVH27" s="21"/>
      <c r="EVL27" s="15"/>
      <c r="EVR27" s="25"/>
      <c r="EVY27" s="21"/>
      <c r="EVZ27" s="21"/>
      <c r="EWD27" s="15"/>
      <c r="EWJ27" s="25"/>
      <c r="EWQ27" s="21"/>
      <c r="EWR27" s="21"/>
      <c r="EWV27" s="15"/>
      <c r="EXB27" s="25"/>
      <c r="EXI27" s="21"/>
      <c r="EXJ27" s="21"/>
      <c r="EXN27" s="15"/>
      <c r="EXT27" s="25"/>
      <c r="EYA27" s="21"/>
      <c r="EYB27" s="21"/>
      <c r="EYF27" s="15"/>
      <c r="EYL27" s="25"/>
      <c r="EYS27" s="21"/>
      <c r="EYT27" s="21"/>
      <c r="EYX27" s="15"/>
      <c r="EZD27" s="25"/>
      <c r="EZK27" s="21"/>
      <c r="EZL27" s="21"/>
      <c r="EZP27" s="15"/>
      <c r="EZV27" s="25"/>
      <c r="FAC27" s="21"/>
      <c r="FAD27" s="21"/>
      <c r="FAH27" s="15"/>
      <c r="FAN27" s="25"/>
      <c r="FAU27" s="21"/>
      <c r="FAV27" s="21"/>
      <c r="FAZ27" s="15"/>
      <c r="FBF27" s="25"/>
      <c r="FBM27" s="21"/>
      <c r="FBN27" s="21"/>
      <c r="FBR27" s="15"/>
      <c r="FBX27" s="25"/>
      <c r="FCE27" s="21"/>
      <c r="FCF27" s="21"/>
      <c r="FCJ27" s="15"/>
      <c r="FCP27" s="25"/>
      <c r="FCW27" s="21"/>
      <c r="FCX27" s="21"/>
      <c r="FDB27" s="15"/>
      <c r="FDH27" s="25"/>
      <c r="FDO27" s="21"/>
      <c r="FDP27" s="21"/>
      <c r="FDT27" s="15"/>
      <c r="FDZ27" s="25"/>
      <c r="FEG27" s="21"/>
      <c r="FEH27" s="21"/>
      <c r="FEL27" s="15"/>
      <c r="FER27" s="25"/>
      <c r="FEY27" s="21"/>
      <c r="FEZ27" s="21"/>
      <c r="FFD27" s="15"/>
      <c r="FFJ27" s="25"/>
      <c r="FFQ27" s="21"/>
      <c r="FFR27" s="21"/>
      <c r="FFV27" s="15"/>
      <c r="FGB27" s="25"/>
      <c r="FGI27" s="21"/>
      <c r="FGJ27" s="21"/>
      <c r="FGN27" s="15"/>
      <c r="FGT27" s="25"/>
      <c r="FHA27" s="21"/>
      <c r="FHB27" s="21"/>
      <c r="FHF27" s="15"/>
      <c r="FHL27" s="25"/>
      <c r="FHS27" s="21"/>
      <c r="FHT27" s="21"/>
      <c r="FHX27" s="15"/>
      <c r="FID27" s="25"/>
      <c r="FIK27" s="21"/>
      <c r="FIL27" s="21"/>
      <c r="FIP27" s="15"/>
      <c r="FIV27" s="25"/>
      <c r="FJC27" s="21"/>
      <c r="FJD27" s="21"/>
      <c r="FJH27" s="15"/>
      <c r="FJN27" s="25"/>
      <c r="FJU27" s="21"/>
      <c r="FJV27" s="21"/>
      <c r="FJZ27" s="15"/>
      <c r="FKF27" s="25"/>
      <c r="FKM27" s="21"/>
      <c r="FKN27" s="21"/>
      <c r="FKR27" s="15"/>
      <c r="FKX27" s="25"/>
      <c r="FLE27" s="21"/>
      <c r="FLF27" s="21"/>
      <c r="FLJ27" s="15"/>
      <c r="FLP27" s="25"/>
      <c r="FLW27" s="21"/>
      <c r="FLX27" s="21"/>
      <c r="FMB27" s="15"/>
      <c r="FMH27" s="25"/>
      <c r="FMO27" s="21"/>
      <c r="FMP27" s="21"/>
      <c r="FMT27" s="15"/>
      <c r="FMZ27" s="25"/>
      <c r="FNG27" s="21"/>
      <c r="FNH27" s="21"/>
      <c r="FNL27" s="15"/>
      <c r="FNR27" s="25"/>
      <c r="FNY27" s="21"/>
      <c r="FNZ27" s="21"/>
      <c r="FOD27" s="15"/>
      <c r="FOJ27" s="25"/>
      <c r="FOQ27" s="21"/>
      <c r="FOR27" s="21"/>
      <c r="FOV27" s="15"/>
      <c r="FPB27" s="25"/>
      <c r="FPI27" s="21"/>
      <c r="FPJ27" s="21"/>
      <c r="FPN27" s="15"/>
      <c r="FPT27" s="25"/>
      <c r="FQA27" s="21"/>
      <c r="FQB27" s="21"/>
      <c r="FQF27" s="15"/>
      <c r="FQL27" s="25"/>
      <c r="FQS27" s="21"/>
      <c r="FQT27" s="21"/>
      <c r="FQX27" s="15"/>
      <c r="FRD27" s="25"/>
      <c r="FRK27" s="21"/>
      <c r="FRL27" s="21"/>
      <c r="FRP27" s="15"/>
      <c r="FRV27" s="25"/>
      <c r="FSC27" s="21"/>
      <c r="FSD27" s="21"/>
      <c r="FSH27" s="15"/>
      <c r="FSN27" s="25"/>
      <c r="FSU27" s="21"/>
      <c r="FSV27" s="21"/>
      <c r="FSZ27" s="15"/>
      <c r="FTF27" s="25"/>
      <c r="FTM27" s="21"/>
      <c r="FTN27" s="21"/>
      <c r="FTR27" s="15"/>
      <c r="FTX27" s="25"/>
      <c r="FUE27" s="21"/>
      <c r="FUF27" s="21"/>
      <c r="FUJ27" s="15"/>
      <c r="FUP27" s="25"/>
      <c r="FUW27" s="21"/>
      <c r="FUX27" s="21"/>
      <c r="FVB27" s="15"/>
      <c r="FVH27" s="25"/>
      <c r="FVO27" s="21"/>
      <c r="FVP27" s="21"/>
      <c r="FVT27" s="15"/>
      <c r="FVZ27" s="25"/>
      <c r="FWG27" s="21"/>
      <c r="FWH27" s="21"/>
      <c r="FWL27" s="15"/>
      <c r="FWR27" s="25"/>
      <c r="FWY27" s="21"/>
      <c r="FWZ27" s="21"/>
      <c r="FXD27" s="15"/>
      <c r="FXJ27" s="25"/>
      <c r="FXQ27" s="21"/>
      <c r="FXR27" s="21"/>
      <c r="FXV27" s="15"/>
      <c r="FYB27" s="25"/>
      <c r="FYI27" s="21"/>
      <c r="FYJ27" s="21"/>
      <c r="FYN27" s="15"/>
      <c r="FYT27" s="25"/>
      <c r="FZA27" s="21"/>
      <c r="FZB27" s="21"/>
      <c r="FZF27" s="15"/>
      <c r="FZL27" s="25"/>
      <c r="FZS27" s="21"/>
      <c r="FZT27" s="21"/>
      <c r="FZX27" s="15"/>
      <c r="GAD27" s="25"/>
      <c r="GAK27" s="21"/>
      <c r="GAL27" s="21"/>
      <c r="GAP27" s="15"/>
      <c r="GAV27" s="25"/>
      <c r="GBC27" s="21"/>
      <c r="GBD27" s="21"/>
      <c r="GBH27" s="15"/>
      <c r="GBN27" s="25"/>
      <c r="GBU27" s="21"/>
      <c r="GBV27" s="21"/>
      <c r="GBZ27" s="15"/>
      <c r="GCF27" s="25"/>
      <c r="GCM27" s="21"/>
      <c r="GCN27" s="21"/>
      <c r="GCR27" s="15"/>
      <c r="GCX27" s="25"/>
      <c r="GDE27" s="21"/>
      <c r="GDF27" s="21"/>
      <c r="GDJ27" s="15"/>
      <c r="GDP27" s="25"/>
      <c r="GDW27" s="21"/>
      <c r="GDX27" s="21"/>
      <c r="GEB27" s="15"/>
      <c r="GEH27" s="25"/>
      <c r="GEO27" s="21"/>
      <c r="GEP27" s="21"/>
      <c r="GET27" s="15"/>
      <c r="GEZ27" s="25"/>
      <c r="GFG27" s="21"/>
      <c r="GFH27" s="21"/>
      <c r="GFL27" s="15"/>
      <c r="GFR27" s="25"/>
      <c r="GFY27" s="21"/>
      <c r="GFZ27" s="21"/>
      <c r="GGD27" s="15"/>
      <c r="GGJ27" s="25"/>
      <c r="GGQ27" s="21"/>
      <c r="GGR27" s="21"/>
      <c r="GGV27" s="15"/>
      <c r="GHB27" s="25"/>
      <c r="GHI27" s="21"/>
      <c r="GHJ27" s="21"/>
      <c r="GHN27" s="15"/>
      <c r="GHT27" s="25"/>
      <c r="GIA27" s="21"/>
      <c r="GIB27" s="21"/>
      <c r="GIF27" s="15"/>
      <c r="GIL27" s="25"/>
      <c r="GIS27" s="21"/>
      <c r="GIT27" s="21"/>
      <c r="GIX27" s="15"/>
      <c r="GJD27" s="25"/>
      <c r="GJK27" s="21"/>
      <c r="GJL27" s="21"/>
      <c r="GJP27" s="15"/>
      <c r="GJV27" s="25"/>
      <c r="GKC27" s="21"/>
      <c r="GKD27" s="21"/>
      <c r="GKH27" s="15"/>
      <c r="GKN27" s="25"/>
      <c r="GKU27" s="21"/>
      <c r="GKV27" s="21"/>
      <c r="GKZ27" s="15"/>
      <c r="GLF27" s="25"/>
      <c r="GLM27" s="21"/>
      <c r="GLN27" s="21"/>
      <c r="GLR27" s="15"/>
      <c r="GLX27" s="25"/>
      <c r="GME27" s="21"/>
      <c r="GMF27" s="21"/>
      <c r="GMJ27" s="15"/>
      <c r="GMP27" s="25"/>
      <c r="GMW27" s="21"/>
      <c r="GMX27" s="21"/>
      <c r="GNB27" s="15"/>
      <c r="GNH27" s="25"/>
      <c r="GNO27" s="21"/>
      <c r="GNP27" s="21"/>
      <c r="GNT27" s="15"/>
      <c r="GNZ27" s="25"/>
      <c r="GOG27" s="21"/>
      <c r="GOH27" s="21"/>
      <c r="GOL27" s="15"/>
      <c r="GOR27" s="25"/>
      <c r="GOY27" s="21"/>
      <c r="GOZ27" s="21"/>
      <c r="GPD27" s="15"/>
      <c r="GPJ27" s="25"/>
      <c r="GPQ27" s="21"/>
      <c r="GPR27" s="21"/>
      <c r="GPV27" s="15"/>
      <c r="GQB27" s="25"/>
      <c r="GQI27" s="21"/>
      <c r="GQJ27" s="21"/>
      <c r="GQN27" s="15"/>
      <c r="GQT27" s="25"/>
      <c r="GRA27" s="21"/>
      <c r="GRB27" s="21"/>
      <c r="GRF27" s="15"/>
      <c r="GRL27" s="25"/>
      <c r="GRS27" s="21"/>
      <c r="GRT27" s="21"/>
      <c r="GRX27" s="15"/>
      <c r="GSD27" s="25"/>
      <c r="GSK27" s="21"/>
      <c r="GSL27" s="21"/>
      <c r="GSP27" s="15"/>
      <c r="GSV27" s="25"/>
      <c r="GTC27" s="21"/>
      <c r="GTD27" s="21"/>
      <c r="GTH27" s="15"/>
      <c r="GTN27" s="25"/>
      <c r="GTU27" s="21"/>
      <c r="GTV27" s="21"/>
      <c r="GTZ27" s="15"/>
      <c r="GUF27" s="25"/>
      <c r="GUM27" s="21"/>
      <c r="GUN27" s="21"/>
      <c r="GUR27" s="15"/>
      <c r="GUX27" s="25"/>
      <c r="GVE27" s="21"/>
      <c r="GVF27" s="21"/>
      <c r="GVJ27" s="15"/>
      <c r="GVP27" s="25"/>
      <c r="GVW27" s="21"/>
      <c r="GVX27" s="21"/>
      <c r="GWB27" s="15"/>
      <c r="GWH27" s="25"/>
      <c r="GWO27" s="21"/>
      <c r="GWP27" s="21"/>
      <c r="GWT27" s="15"/>
      <c r="GWZ27" s="25"/>
      <c r="GXG27" s="21"/>
      <c r="GXH27" s="21"/>
      <c r="GXL27" s="15"/>
      <c r="GXR27" s="25"/>
      <c r="GXY27" s="21"/>
      <c r="GXZ27" s="21"/>
      <c r="GYD27" s="15"/>
      <c r="GYJ27" s="25"/>
      <c r="GYQ27" s="21"/>
      <c r="GYR27" s="21"/>
      <c r="GYV27" s="15"/>
      <c r="GZB27" s="25"/>
      <c r="GZI27" s="21"/>
      <c r="GZJ27" s="21"/>
      <c r="GZN27" s="15"/>
      <c r="GZT27" s="25"/>
      <c r="HAA27" s="21"/>
      <c r="HAB27" s="21"/>
      <c r="HAF27" s="15"/>
      <c r="HAL27" s="25"/>
      <c r="HAS27" s="21"/>
      <c r="HAT27" s="21"/>
      <c r="HAX27" s="15"/>
      <c r="HBD27" s="25"/>
      <c r="HBK27" s="21"/>
      <c r="HBL27" s="21"/>
      <c r="HBP27" s="15"/>
      <c r="HBV27" s="25"/>
      <c r="HCC27" s="21"/>
      <c r="HCD27" s="21"/>
      <c r="HCH27" s="15"/>
      <c r="HCN27" s="25"/>
      <c r="HCU27" s="21"/>
      <c r="HCV27" s="21"/>
      <c r="HCZ27" s="15"/>
      <c r="HDF27" s="25"/>
      <c r="HDM27" s="21"/>
      <c r="HDN27" s="21"/>
      <c r="HDR27" s="15"/>
      <c r="HDX27" s="25"/>
      <c r="HEE27" s="21"/>
      <c r="HEF27" s="21"/>
      <c r="HEJ27" s="15"/>
      <c r="HEP27" s="25"/>
      <c r="HEW27" s="21"/>
      <c r="HEX27" s="21"/>
      <c r="HFB27" s="15"/>
      <c r="HFH27" s="25"/>
      <c r="HFO27" s="21"/>
      <c r="HFP27" s="21"/>
      <c r="HFT27" s="15"/>
      <c r="HFZ27" s="25"/>
      <c r="HGG27" s="21"/>
      <c r="HGH27" s="21"/>
      <c r="HGL27" s="15"/>
      <c r="HGR27" s="25"/>
      <c r="HGY27" s="21"/>
      <c r="HGZ27" s="21"/>
      <c r="HHD27" s="15"/>
      <c r="HHJ27" s="25"/>
      <c r="HHQ27" s="21"/>
      <c r="HHR27" s="21"/>
      <c r="HHV27" s="15"/>
      <c r="HIB27" s="25"/>
      <c r="HII27" s="21"/>
      <c r="HIJ27" s="21"/>
      <c r="HIN27" s="15"/>
      <c r="HIT27" s="25"/>
      <c r="HJA27" s="21"/>
      <c r="HJB27" s="21"/>
      <c r="HJF27" s="15"/>
      <c r="HJL27" s="25"/>
      <c r="HJS27" s="21"/>
      <c r="HJT27" s="21"/>
      <c r="HJX27" s="15"/>
      <c r="HKD27" s="25"/>
      <c r="HKK27" s="21"/>
      <c r="HKL27" s="21"/>
      <c r="HKP27" s="15"/>
      <c r="HKV27" s="25"/>
      <c r="HLC27" s="21"/>
      <c r="HLD27" s="21"/>
      <c r="HLH27" s="15"/>
      <c r="HLN27" s="25"/>
      <c r="HLU27" s="21"/>
      <c r="HLV27" s="21"/>
      <c r="HLZ27" s="15"/>
      <c r="HMF27" s="25"/>
      <c r="HMM27" s="21"/>
      <c r="HMN27" s="21"/>
      <c r="HMR27" s="15"/>
      <c r="HMX27" s="25"/>
      <c r="HNE27" s="21"/>
      <c r="HNF27" s="21"/>
      <c r="HNJ27" s="15"/>
      <c r="HNP27" s="25"/>
      <c r="HNW27" s="21"/>
      <c r="HNX27" s="21"/>
      <c r="HOB27" s="15"/>
      <c r="HOH27" s="25"/>
      <c r="HOO27" s="21"/>
      <c r="HOP27" s="21"/>
      <c r="HOT27" s="15"/>
      <c r="HOZ27" s="25"/>
      <c r="HPG27" s="21"/>
      <c r="HPH27" s="21"/>
      <c r="HPL27" s="15"/>
      <c r="HPR27" s="25"/>
      <c r="HPY27" s="21"/>
      <c r="HPZ27" s="21"/>
      <c r="HQD27" s="15"/>
      <c r="HQJ27" s="25"/>
      <c r="HQQ27" s="21"/>
      <c r="HQR27" s="21"/>
      <c r="HQV27" s="15"/>
      <c r="HRB27" s="25"/>
      <c r="HRI27" s="21"/>
      <c r="HRJ27" s="21"/>
      <c r="HRN27" s="15"/>
      <c r="HRT27" s="25"/>
      <c r="HSA27" s="21"/>
      <c r="HSB27" s="21"/>
      <c r="HSF27" s="15"/>
      <c r="HSL27" s="25"/>
      <c r="HSS27" s="21"/>
      <c r="HST27" s="21"/>
      <c r="HSX27" s="15"/>
      <c r="HTD27" s="25"/>
      <c r="HTK27" s="21"/>
      <c r="HTL27" s="21"/>
      <c r="HTP27" s="15"/>
      <c r="HTV27" s="25"/>
      <c r="HUC27" s="21"/>
      <c r="HUD27" s="21"/>
      <c r="HUH27" s="15"/>
      <c r="HUN27" s="25"/>
      <c r="HUU27" s="21"/>
      <c r="HUV27" s="21"/>
      <c r="HUZ27" s="15"/>
      <c r="HVF27" s="25"/>
      <c r="HVM27" s="21"/>
      <c r="HVN27" s="21"/>
      <c r="HVR27" s="15"/>
      <c r="HVX27" s="25"/>
      <c r="HWE27" s="21"/>
      <c r="HWF27" s="21"/>
      <c r="HWJ27" s="15"/>
      <c r="HWP27" s="25"/>
      <c r="HWW27" s="21"/>
      <c r="HWX27" s="21"/>
      <c r="HXB27" s="15"/>
      <c r="HXH27" s="25"/>
      <c r="HXO27" s="21"/>
      <c r="HXP27" s="21"/>
      <c r="HXT27" s="15"/>
      <c r="HXZ27" s="25"/>
      <c r="HYG27" s="21"/>
      <c r="HYH27" s="21"/>
      <c r="HYL27" s="15"/>
      <c r="HYR27" s="25"/>
      <c r="HYY27" s="21"/>
      <c r="HYZ27" s="21"/>
      <c r="HZD27" s="15"/>
      <c r="HZJ27" s="25"/>
      <c r="HZQ27" s="21"/>
      <c r="HZR27" s="21"/>
      <c r="HZV27" s="15"/>
      <c r="IAB27" s="25"/>
      <c r="IAI27" s="21"/>
      <c r="IAJ27" s="21"/>
      <c r="IAN27" s="15"/>
      <c r="IAT27" s="25"/>
      <c r="IBA27" s="21"/>
      <c r="IBB27" s="21"/>
      <c r="IBF27" s="15"/>
      <c r="IBL27" s="25"/>
      <c r="IBS27" s="21"/>
      <c r="IBT27" s="21"/>
      <c r="IBX27" s="15"/>
      <c r="ICD27" s="25"/>
      <c r="ICK27" s="21"/>
      <c r="ICL27" s="21"/>
      <c r="ICP27" s="15"/>
      <c r="ICV27" s="25"/>
      <c r="IDC27" s="21"/>
      <c r="IDD27" s="21"/>
      <c r="IDH27" s="15"/>
      <c r="IDN27" s="25"/>
      <c r="IDU27" s="21"/>
      <c r="IDV27" s="21"/>
      <c r="IDZ27" s="15"/>
      <c r="IEF27" s="25"/>
      <c r="IEM27" s="21"/>
      <c r="IEN27" s="21"/>
      <c r="IER27" s="15"/>
      <c r="IEX27" s="25"/>
      <c r="IFE27" s="21"/>
      <c r="IFF27" s="21"/>
      <c r="IFJ27" s="15"/>
      <c r="IFP27" s="25"/>
      <c r="IFW27" s="21"/>
      <c r="IFX27" s="21"/>
      <c r="IGB27" s="15"/>
      <c r="IGH27" s="25"/>
      <c r="IGO27" s="21"/>
      <c r="IGP27" s="21"/>
      <c r="IGT27" s="15"/>
      <c r="IGZ27" s="25"/>
      <c r="IHG27" s="21"/>
      <c r="IHH27" s="21"/>
      <c r="IHL27" s="15"/>
      <c r="IHR27" s="25"/>
      <c r="IHY27" s="21"/>
      <c r="IHZ27" s="21"/>
      <c r="IID27" s="15"/>
      <c r="IIJ27" s="25"/>
      <c r="IIQ27" s="21"/>
      <c r="IIR27" s="21"/>
      <c r="IIV27" s="15"/>
      <c r="IJB27" s="25"/>
      <c r="IJI27" s="21"/>
      <c r="IJJ27" s="21"/>
      <c r="IJN27" s="15"/>
      <c r="IJT27" s="25"/>
      <c r="IKA27" s="21"/>
      <c r="IKB27" s="21"/>
      <c r="IKF27" s="15"/>
      <c r="IKL27" s="25"/>
      <c r="IKS27" s="21"/>
      <c r="IKT27" s="21"/>
      <c r="IKX27" s="15"/>
      <c r="ILD27" s="25"/>
      <c r="ILK27" s="21"/>
      <c r="ILL27" s="21"/>
      <c r="ILP27" s="15"/>
      <c r="ILV27" s="25"/>
      <c r="IMC27" s="21"/>
      <c r="IMD27" s="21"/>
      <c r="IMH27" s="15"/>
      <c r="IMN27" s="25"/>
      <c r="IMU27" s="21"/>
      <c r="IMV27" s="21"/>
      <c r="IMZ27" s="15"/>
      <c r="INF27" s="25"/>
      <c r="INM27" s="21"/>
      <c r="INN27" s="21"/>
      <c r="INR27" s="15"/>
      <c r="INX27" s="25"/>
      <c r="IOE27" s="21"/>
      <c r="IOF27" s="21"/>
      <c r="IOJ27" s="15"/>
      <c r="IOP27" s="25"/>
      <c r="IOW27" s="21"/>
      <c r="IOX27" s="21"/>
      <c r="IPB27" s="15"/>
      <c r="IPH27" s="25"/>
      <c r="IPO27" s="21"/>
      <c r="IPP27" s="21"/>
      <c r="IPT27" s="15"/>
      <c r="IPZ27" s="25"/>
      <c r="IQG27" s="21"/>
      <c r="IQH27" s="21"/>
      <c r="IQL27" s="15"/>
      <c r="IQR27" s="25"/>
      <c r="IQY27" s="21"/>
      <c r="IQZ27" s="21"/>
      <c r="IRD27" s="15"/>
      <c r="IRJ27" s="25"/>
      <c r="IRQ27" s="21"/>
      <c r="IRR27" s="21"/>
      <c r="IRV27" s="15"/>
      <c r="ISB27" s="25"/>
      <c r="ISI27" s="21"/>
      <c r="ISJ27" s="21"/>
      <c r="ISN27" s="15"/>
      <c r="IST27" s="25"/>
      <c r="ITA27" s="21"/>
      <c r="ITB27" s="21"/>
      <c r="ITF27" s="15"/>
      <c r="ITL27" s="25"/>
      <c r="ITS27" s="21"/>
      <c r="ITT27" s="21"/>
      <c r="ITX27" s="15"/>
      <c r="IUD27" s="25"/>
      <c r="IUK27" s="21"/>
      <c r="IUL27" s="21"/>
      <c r="IUP27" s="15"/>
      <c r="IUV27" s="25"/>
      <c r="IVC27" s="21"/>
      <c r="IVD27" s="21"/>
      <c r="IVH27" s="15"/>
      <c r="IVN27" s="25"/>
      <c r="IVU27" s="21"/>
      <c r="IVV27" s="21"/>
      <c r="IVZ27" s="15"/>
      <c r="IWF27" s="25"/>
      <c r="IWM27" s="21"/>
      <c r="IWN27" s="21"/>
      <c r="IWR27" s="15"/>
      <c r="IWX27" s="25"/>
      <c r="IXE27" s="21"/>
      <c r="IXF27" s="21"/>
      <c r="IXJ27" s="15"/>
      <c r="IXP27" s="25"/>
      <c r="IXW27" s="21"/>
      <c r="IXX27" s="21"/>
      <c r="IYB27" s="15"/>
      <c r="IYH27" s="25"/>
      <c r="IYO27" s="21"/>
      <c r="IYP27" s="21"/>
      <c r="IYT27" s="15"/>
      <c r="IYZ27" s="25"/>
      <c r="IZG27" s="21"/>
      <c r="IZH27" s="21"/>
      <c r="IZL27" s="15"/>
      <c r="IZR27" s="25"/>
      <c r="IZY27" s="21"/>
      <c r="IZZ27" s="21"/>
      <c r="JAD27" s="15"/>
      <c r="JAJ27" s="25"/>
      <c r="JAQ27" s="21"/>
      <c r="JAR27" s="21"/>
      <c r="JAV27" s="15"/>
      <c r="JBB27" s="25"/>
      <c r="JBI27" s="21"/>
      <c r="JBJ27" s="21"/>
      <c r="JBN27" s="15"/>
      <c r="JBT27" s="25"/>
      <c r="JCA27" s="21"/>
      <c r="JCB27" s="21"/>
      <c r="JCF27" s="15"/>
      <c r="JCL27" s="25"/>
      <c r="JCS27" s="21"/>
      <c r="JCT27" s="21"/>
      <c r="JCX27" s="15"/>
      <c r="JDD27" s="25"/>
      <c r="JDK27" s="21"/>
      <c r="JDL27" s="21"/>
      <c r="JDP27" s="15"/>
      <c r="JDV27" s="25"/>
      <c r="JEC27" s="21"/>
      <c r="JED27" s="21"/>
      <c r="JEH27" s="15"/>
      <c r="JEN27" s="25"/>
      <c r="JEU27" s="21"/>
      <c r="JEV27" s="21"/>
      <c r="JEZ27" s="15"/>
      <c r="JFF27" s="25"/>
      <c r="JFM27" s="21"/>
      <c r="JFN27" s="21"/>
      <c r="JFR27" s="15"/>
      <c r="JFX27" s="25"/>
      <c r="JGE27" s="21"/>
      <c r="JGF27" s="21"/>
      <c r="JGJ27" s="15"/>
      <c r="JGP27" s="25"/>
      <c r="JGW27" s="21"/>
      <c r="JGX27" s="21"/>
      <c r="JHB27" s="15"/>
      <c r="JHH27" s="25"/>
      <c r="JHO27" s="21"/>
      <c r="JHP27" s="21"/>
      <c r="JHT27" s="15"/>
      <c r="JHZ27" s="25"/>
      <c r="JIG27" s="21"/>
      <c r="JIH27" s="21"/>
      <c r="JIL27" s="15"/>
      <c r="JIR27" s="25"/>
      <c r="JIY27" s="21"/>
      <c r="JIZ27" s="21"/>
      <c r="JJD27" s="15"/>
      <c r="JJJ27" s="25"/>
      <c r="JJQ27" s="21"/>
      <c r="JJR27" s="21"/>
      <c r="JJV27" s="15"/>
      <c r="JKB27" s="25"/>
      <c r="JKI27" s="21"/>
      <c r="JKJ27" s="21"/>
      <c r="JKN27" s="15"/>
      <c r="JKT27" s="25"/>
      <c r="JLA27" s="21"/>
      <c r="JLB27" s="21"/>
      <c r="JLF27" s="15"/>
      <c r="JLL27" s="25"/>
      <c r="JLS27" s="21"/>
      <c r="JLT27" s="21"/>
      <c r="JLX27" s="15"/>
      <c r="JMD27" s="25"/>
      <c r="JMK27" s="21"/>
      <c r="JML27" s="21"/>
      <c r="JMP27" s="15"/>
      <c r="JMV27" s="25"/>
      <c r="JNC27" s="21"/>
      <c r="JND27" s="21"/>
      <c r="JNH27" s="15"/>
      <c r="JNN27" s="25"/>
      <c r="JNU27" s="21"/>
      <c r="JNV27" s="21"/>
      <c r="JNZ27" s="15"/>
      <c r="JOF27" s="25"/>
      <c r="JOM27" s="21"/>
      <c r="JON27" s="21"/>
      <c r="JOR27" s="15"/>
      <c r="JOX27" s="25"/>
      <c r="JPE27" s="21"/>
      <c r="JPF27" s="21"/>
      <c r="JPJ27" s="15"/>
      <c r="JPP27" s="25"/>
      <c r="JPW27" s="21"/>
      <c r="JPX27" s="21"/>
      <c r="JQB27" s="15"/>
      <c r="JQH27" s="25"/>
      <c r="JQO27" s="21"/>
      <c r="JQP27" s="21"/>
      <c r="JQT27" s="15"/>
      <c r="JQZ27" s="25"/>
      <c r="JRG27" s="21"/>
      <c r="JRH27" s="21"/>
      <c r="JRL27" s="15"/>
      <c r="JRR27" s="25"/>
      <c r="JRY27" s="21"/>
      <c r="JRZ27" s="21"/>
      <c r="JSD27" s="15"/>
      <c r="JSJ27" s="25"/>
      <c r="JSQ27" s="21"/>
      <c r="JSR27" s="21"/>
      <c r="JSV27" s="15"/>
      <c r="JTB27" s="25"/>
      <c r="JTI27" s="21"/>
      <c r="JTJ27" s="21"/>
      <c r="JTN27" s="15"/>
      <c r="JTT27" s="25"/>
      <c r="JUA27" s="21"/>
      <c r="JUB27" s="21"/>
      <c r="JUF27" s="15"/>
      <c r="JUL27" s="25"/>
      <c r="JUS27" s="21"/>
      <c r="JUT27" s="21"/>
      <c r="JUX27" s="15"/>
      <c r="JVD27" s="25"/>
      <c r="JVK27" s="21"/>
      <c r="JVL27" s="21"/>
      <c r="JVP27" s="15"/>
      <c r="JVV27" s="25"/>
      <c r="JWC27" s="21"/>
      <c r="JWD27" s="21"/>
      <c r="JWH27" s="15"/>
      <c r="JWN27" s="25"/>
      <c r="JWU27" s="21"/>
      <c r="JWV27" s="21"/>
      <c r="JWZ27" s="15"/>
      <c r="JXF27" s="25"/>
      <c r="JXM27" s="21"/>
      <c r="JXN27" s="21"/>
      <c r="JXR27" s="15"/>
      <c r="JXX27" s="25"/>
      <c r="JYE27" s="21"/>
      <c r="JYF27" s="21"/>
      <c r="JYJ27" s="15"/>
      <c r="JYP27" s="25"/>
      <c r="JYW27" s="21"/>
      <c r="JYX27" s="21"/>
      <c r="JZB27" s="15"/>
      <c r="JZH27" s="25"/>
      <c r="JZO27" s="21"/>
      <c r="JZP27" s="21"/>
      <c r="JZT27" s="15"/>
      <c r="JZZ27" s="25"/>
      <c r="KAG27" s="21"/>
      <c r="KAH27" s="21"/>
      <c r="KAL27" s="15"/>
      <c r="KAR27" s="25"/>
      <c r="KAY27" s="21"/>
      <c r="KAZ27" s="21"/>
      <c r="KBD27" s="15"/>
      <c r="KBJ27" s="25"/>
      <c r="KBQ27" s="21"/>
      <c r="KBR27" s="21"/>
      <c r="KBV27" s="15"/>
      <c r="KCB27" s="25"/>
      <c r="KCI27" s="21"/>
      <c r="KCJ27" s="21"/>
      <c r="KCN27" s="15"/>
      <c r="KCT27" s="25"/>
      <c r="KDA27" s="21"/>
      <c r="KDB27" s="21"/>
      <c r="KDF27" s="15"/>
      <c r="KDL27" s="25"/>
      <c r="KDS27" s="21"/>
      <c r="KDT27" s="21"/>
      <c r="KDX27" s="15"/>
      <c r="KED27" s="25"/>
      <c r="KEK27" s="21"/>
      <c r="KEL27" s="21"/>
      <c r="KEP27" s="15"/>
      <c r="KEV27" s="25"/>
      <c r="KFC27" s="21"/>
      <c r="KFD27" s="21"/>
      <c r="KFH27" s="15"/>
      <c r="KFN27" s="25"/>
      <c r="KFU27" s="21"/>
      <c r="KFV27" s="21"/>
      <c r="KFZ27" s="15"/>
      <c r="KGF27" s="25"/>
      <c r="KGM27" s="21"/>
      <c r="KGN27" s="21"/>
      <c r="KGR27" s="15"/>
      <c r="KGX27" s="25"/>
      <c r="KHE27" s="21"/>
      <c r="KHF27" s="21"/>
      <c r="KHJ27" s="15"/>
      <c r="KHP27" s="25"/>
      <c r="KHW27" s="21"/>
      <c r="KHX27" s="21"/>
      <c r="KIB27" s="15"/>
      <c r="KIH27" s="25"/>
      <c r="KIO27" s="21"/>
      <c r="KIP27" s="21"/>
      <c r="KIT27" s="15"/>
      <c r="KIZ27" s="25"/>
      <c r="KJG27" s="21"/>
      <c r="KJH27" s="21"/>
      <c r="KJL27" s="15"/>
      <c r="KJR27" s="25"/>
      <c r="KJY27" s="21"/>
      <c r="KJZ27" s="21"/>
      <c r="KKD27" s="15"/>
      <c r="KKJ27" s="25"/>
      <c r="KKQ27" s="21"/>
      <c r="KKR27" s="21"/>
      <c r="KKV27" s="15"/>
      <c r="KLB27" s="25"/>
      <c r="KLI27" s="21"/>
      <c r="KLJ27" s="21"/>
      <c r="KLN27" s="15"/>
      <c r="KLT27" s="25"/>
      <c r="KMA27" s="21"/>
      <c r="KMB27" s="21"/>
      <c r="KMF27" s="15"/>
      <c r="KML27" s="25"/>
      <c r="KMS27" s="21"/>
      <c r="KMT27" s="21"/>
      <c r="KMX27" s="15"/>
      <c r="KND27" s="25"/>
      <c r="KNK27" s="21"/>
      <c r="KNL27" s="21"/>
      <c r="KNP27" s="15"/>
      <c r="KNV27" s="25"/>
      <c r="KOC27" s="21"/>
      <c r="KOD27" s="21"/>
      <c r="KOH27" s="15"/>
      <c r="KON27" s="25"/>
      <c r="KOU27" s="21"/>
      <c r="KOV27" s="21"/>
      <c r="KOZ27" s="15"/>
      <c r="KPF27" s="25"/>
      <c r="KPM27" s="21"/>
      <c r="KPN27" s="21"/>
      <c r="KPR27" s="15"/>
      <c r="KPX27" s="25"/>
      <c r="KQE27" s="21"/>
      <c r="KQF27" s="21"/>
      <c r="KQJ27" s="15"/>
      <c r="KQP27" s="25"/>
      <c r="KQW27" s="21"/>
      <c r="KQX27" s="21"/>
      <c r="KRB27" s="15"/>
      <c r="KRH27" s="25"/>
      <c r="KRO27" s="21"/>
      <c r="KRP27" s="21"/>
      <c r="KRT27" s="15"/>
      <c r="KRZ27" s="25"/>
      <c r="KSG27" s="21"/>
      <c r="KSH27" s="21"/>
      <c r="KSL27" s="15"/>
      <c r="KSR27" s="25"/>
      <c r="KSY27" s="21"/>
      <c r="KSZ27" s="21"/>
      <c r="KTD27" s="15"/>
      <c r="KTJ27" s="25"/>
      <c r="KTQ27" s="21"/>
      <c r="KTR27" s="21"/>
      <c r="KTV27" s="15"/>
      <c r="KUB27" s="25"/>
      <c r="KUI27" s="21"/>
      <c r="KUJ27" s="21"/>
      <c r="KUN27" s="15"/>
      <c r="KUT27" s="25"/>
      <c r="KVA27" s="21"/>
      <c r="KVB27" s="21"/>
      <c r="KVF27" s="15"/>
      <c r="KVL27" s="25"/>
      <c r="KVS27" s="21"/>
      <c r="KVT27" s="21"/>
      <c r="KVX27" s="15"/>
      <c r="KWD27" s="25"/>
      <c r="KWK27" s="21"/>
      <c r="KWL27" s="21"/>
      <c r="KWP27" s="15"/>
      <c r="KWV27" s="25"/>
      <c r="KXC27" s="21"/>
      <c r="KXD27" s="21"/>
      <c r="KXH27" s="15"/>
      <c r="KXN27" s="25"/>
      <c r="KXU27" s="21"/>
      <c r="KXV27" s="21"/>
      <c r="KXZ27" s="15"/>
      <c r="KYF27" s="25"/>
      <c r="KYM27" s="21"/>
      <c r="KYN27" s="21"/>
      <c r="KYR27" s="15"/>
      <c r="KYX27" s="25"/>
      <c r="KZE27" s="21"/>
      <c r="KZF27" s="21"/>
      <c r="KZJ27" s="15"/>
      <c r="KZP27" s="25"/>
      <c r="KZW27" s="21"/>
      <c r="KZX27" s="21"/>
      <c r="LAB27" s="15"/>
      <c r="LAH27" s="25"/>
      <c r="LAO27" s="21"/>
      <c r="LAP27" s="21"/>
      <c r="LAT27" s="15"/>
      <c r="LAZ27" s="25"/>
      <c r="LBG27" s="21"/>
      <c r="LBH27" s="21"/>
      <c r="LBL27" s="15"/>
      <c r="LBR27" s="25"/>
      <c r="LBY27" s="21"/>
      <c r="LBZ27" s="21"/>
      <c r="LCD27" s="15"/>
      <c r="LCJ27" s="25"/>
      <c r="LCQ27" s="21"/>
      <c r="LCR27" s="21"/>
      <c r="LCV27" s="15"/>
      <c r="LDB27" s="25"/>
      <c r="LDI27" s="21"/>
      <c r="LDJ27" s="21"/>
      <c r="LDN27" s="15"/>
      <c r="LDT27" s="25"/>
      <c r="LEA27" s="21"/>
      <c r="LEB27" s="21"/>
      <c r="LEF27" s="15"/>
      <c r="LEL27" s="25"/>
      <c r="LES27" s="21"/>
      <c r="LET27" s="21"/>
      <c r="LEX27" s="15"/>
      <c r="LFD27" s="25"/>
      <c r="LFK27" s="21"/>
      <c r="LFL27" s="21"/>
      <c r="LFP27" s="15"/>
      <c r="LFV27" s="25"/>
      <c r="LGC27" s="21"/>
      <c r="LGD27" s="21"/>
      <c r="LGH27" s="15"/>
      <c r="LGN27" s="25"/>
      <c r="LGU27" s="21"/>
      <c r="LGV27" s="21"/>
      <c r="LGZ27" s="15"/>
      <c r="LHF27" s="25"/>
      <c r="LHM27" s="21"/>
      <c r="LHN27" s="21"/>
      <c r="LHR27" s="15"/>
      <c r="LHX27" s="25"/>
      <c r="LIE27" s="21"/>
      <c r="LIF27" s="21"/>
      <c r="LIJ27" s="15"/>
      <c r="LIP27" s="25"/>
      <c r="LIW27" s="21"/>
      <c r="LIX27" s="21"/>
      <c r="LJB27" s="15"/>
      <c r="LJH27" s="25"/>
      <c r="LJO27" s="21"/>
      <c r="LJP27" s="21"/>
      <c r="LJT27" s="15"/>
      <c r="LJZ27" s="25"/>
      <c r="LKG27" s="21"/>
      <c r="LKH27" s="21"/>
      <c r="LKL27" s="15"/>
      <c r="LKR27" s="25"/>
      <c r="LKY27" s="21"/>
      <c r="LKZ27" s="21"/>
      <c r="LLD27" s="15"/>
      <c r="LLJ27" s="25"/>
      <c r="LLQ27" s="21"/>
      <c r="LLR27" s="21"/>
      <c r="LLV27" s="15"/>
      <c r="LMB27" s="25"/>
      <c r="LMI27" s="21"/>
      <c r="LMJ27" s="21"/>
      <c r="LMN27" s="15"/>
      <c r="LMT27" s="25"/>
      <c r="LNA27" s="21"/>
      <c r="LNB27" s="21"/>
      <c r="LNF27" s="15"/>
      <c r="LNL27" s="25"/>
      <c r="LNS27" s="21"/>
      <c r="LNT27" s="21"/>
      <c r="LNX27" s="15"/>
      <c r="LOD27" s="25"/>
      <c r="LOK27" s="21"/>
      <c r="LOL27" s="21"/>
      <c r="LOP27" s="15"/>
      <c r="LOV27" s="25"/>
      <c r="LPC27" s="21"/>
      <c r="LPD27" s="21"/>
      <c r="LPH27" s="15"/>
      <c r="LPN27" s="25"/>
      <c r="LPU27" s="21"/>
      <c r="LPV27" s="21"/>
      <c r="LPZ27" s="15"/>
      <c r="LQF27" s="25"/>
      <c r="LQM27" s="21"/>
      <c r="LQN27" s="21"/>
      <c r="LQR27" s="15"/>
      <c r="LQX27" s="25"/>
      <c r="LRE27" s="21"/>
      <c r="LRF27" s="21"/>
      <c r="LRJ27" s="15"/>
      <c r="LRP27" s="25"/>
      <c r="LRW27" s="21"/>
      <c r="LRX27" s="21"/>
      <c r="LSB27" s="15"/>
      <c r="LSH27" s="25"/>
      <c r="LSO27" s="21"/>
      <c r="LSP27" s="21"/>
      <c r="LST27" s="15"/>
      <c r="LSZ27" s="25"/>
      <c r="LTG27" s="21"/>
      <c r="LTH27" s="21"/>
      <c r="LTL27" s="15"/>
      <c r="LTR27" s="25"/>
      <c r="LTY27" s="21"/>
      <c r="LTZ27" s="21"/>
      <c r="LUD27" s="15"/>
      <c r="LUJ27" s="25"/>
      <c r="LUQ27" s="21"/>
      <c r="LUR27" s="21"/>
      <c r="LUV27" s="15"/>
      <c r="LVB27" s="25"/>
      <c r="LVI27" s="21"/>
      <c r="LVJ27" s="21"/>
      <c r="LVN27" s="15"/>
      <c r="LVT27" s="25"/>
      <c r="LWA27" s="21"/>
      <c r="LWB27" s="21"/>
      <c r="LWF27" s="15"/>
      <c r="LWL27" s="25"/>
      <c r="LWS27" s="21"/>
      <c r="LWT27" s="21"/>
      <c r="LWX27" s="15"/>
      <c r="LXD27" s="25"/>
      <c r="LXK27" s="21"/>
      <c r="LXL27" s="21"/>
      <c r="LXP27" s="15"/>
      <c r="LXV27" s="25"/>
      <c r="LYC27" s="21"/>
      <c r="LYD27" s="21"/>
      <c r="LYH27" s="15"/>
      <c r="LYN27" s="25"/>
      <c r="LYU27" s="21"/>
      <c r="LYV27" s="21"/>
      <c r="LYZ27" s="15"/>
      <c r="LZF27" s="25"/>
      <c r="LZM27" s="21"/>
      <c r="LZN27" s="21"/>
      <c r="LZR27" s="15"/>
      <c r="LZX27" s="25"/>
      <c r="MAE27" s="21"/>
      <c r="MAF27" s="21"/>
      <c r="MAJ27" s="15"/>
      <c r="MAP27" s="25"/>
      <c r="MAW27" s="21"/>
      <c r="MAX27" s="21"/>
      <c r="MBB27" s="15"/>
      <c r="MBH27" s="25"/>
      <c r="MBO27" s="21"/>
      <c r="MBP27" s="21"/>
      <c r="MBT27" s="15"/>
      <c r="MBZ27" s="25"/>
      <c r="MCG27" s="21"/>
      <c r="MCH27" s="21"/>
      <c r="MCL27" s="15"/>
      <c r="MCR27" s="25"/>
      <c r="MCY27" s="21"/>
      <c r="MCZ27" s="21"/>
      <c r="MDD27" s="15"/>
      <c r="MDJ27" s="25"/>
      <c r="MDQ27" s="21"/>
      <c r="MDR27" s="21"/>
      <c r="MDV27" s="15"/>
      <c r="MEB27" s="25"/>
      <c r="MEI27" s="21"/>
      <c r="MEJ27" s="21"/>
      <c r="MEN27" s="15"/>
      <c r="MET27" s="25"/>
      <c r="MFA27" s="21"/>
      <c r="MFB27" s="21"/>
      <c r="MFF27" s="15"/>
      <c r="MFL27" s="25"/>
      <c r="MFS27" s="21"/>
      <c r="MFT27" s="21"/>
      <c r="MFX27" s="15"/>
      <c r="MGD27" s="25"/>
      <c r="MGK27" s="21"/>
      <c r="MGL27" s="21"/>
      <c r="MGP27" s="15"/>
      <c r="MGV27" s="25"/>
      <c r="MHC27" s="21"/>
      <c r="MHD27" s="21"/>
      <c r="MHH27" s="15"/>
      <c r="MHN27" s="25"/>
      <c r="MHU27" s="21"/>
      <c r="MHV27" s="21"/>
      <c r="MHZ27" s="15"/>
      <c r="MIF27" s="25"/>
      <c r="MIM27" s="21"/>
      <c r="MIN27" s="21"/>
      <c r="MIR27" s="15"/>
      <c r="MIX27" s="25"/>
      <c r="MJE27" s="21"/>
      <c r="MJF27" s="21"/>
      <c r="MJJ27" s="15"/>
      <c r="MJP27" s="25"/>
      <c r="MJW27" s="21"/>
      <c r="MJX27" s="21"/>
      <c r="MKB27" s="15"/>
      <c r="MKH27" s="25"/>
      <c r="MKO27" s="21"/>
      <c r="MKP27" s="21"/>
      <c r="MKT27" s="15"/>
      <c r="MKZ27" s="25"/>
      <c r="MLG27" s="21"/>
      <c r="MLH27" s="21"/>
      <c r="MLL27" s="15"/>
      <c r="MLR27" s="25"/>
      <c r="MLY27" s="21"/>
      <c r="MLZ27" s="21"/>
      <c r="MMD27" s="15"/>
      <c r="MMJ27" s="25"/>
      <c r="MMQ27" s="21"/>
      <c r="MMR27" s="21"/>
      <c r="MMV27" s="15"/>
      <c r="MNB27" s="25"/>
      <c r="MNI27" s="21"/>
      <c r="MNJ27" s="21"/>
      <c r="MNN27" s="15"/>
      <c r="MNT27" s="25"/>
      <c r="MOA27" s="21"/>
      <c r="MOB27" s="21"/>
      <c r="MOF27" s="15"/>
      <c r="MOL27" s="25"/>
      <c r="MOS27" s="21"/>
      <c r="MOT27" s="21"/>
      <c r="MOX27" s="15"/>
      <c r="MPD27" s="25"/>
      <c r="MPK27" s="21"/>
      <c r="MPL27" s="21"/>
      <c r="MPP27" s="15"/>
      <c r="MPV27" s="25"/>
      <c r="MQC27" s="21"/>
      <c r="MQD27" s="21"/>
      <c r="MQH27" s="15"/>
      <c r="MQN27" s="25"/>
      <c r="MQU27" s="21"/>
      <c r="MQV27" s="21"/>
      <c r="MQZ27" s="15"/>
      <c r="MRF27" s="25"/>
      <c r="MRM27" s="21"/>
      <c r="MRN27" s="21"/>
      <c r="MRR27" s="15"/>
      <c r="MRX27" s="25"/>
      <c r="MSE27" s="21"/>
      <c r="MSF27" s="21"/>
      <c r="MSJ27" s="15"/>
      <c r="MSP27" s="25"/>
      <c r="MSW27" s="21"/>
      <c r="MSX27" s="21"/>
      <c r="MTB27" s="15"/>
      <c r="MTH27" s="25"/>
      <c r="MTO27" s="21"/>
      <c r="MTP27" s="21"/>
      <c r="MTT27" s="15"/>
      <c r="MTZ27" s="25"/>
      <c r="MUG27" s="21"/>
      <c r="MUH27" s="21"/>
      <c r="MUL27" s="15"/>
      <c r="MUR27" s="25"/>
      <c r="MUY27" s="21"/>
      <c r="MUZ27" s="21"/>
      <c r="MVD27" s="15"/>
      <c r="MVJ27" s="25"/>
      <c r="MVQ27" s="21"/>
      <c r="MVR27" s="21"/>
      <c r="MVV27" s="15"/>
      <c r="MWB27" s="25"/>
      <c r="MWI27" s="21"/>
      <c r="MWJ27" s="21"/>
      <c r="MWN27" s="15"/>
      <c r="MWT27" s="25"/>
      <c r="MXA27" s="21"/>
      <c r="MXB27" s="21"/>
      <c r="MXF27" s="15"/>
      <c r="MXL27" s="25"/>
      <c r="MXS27" s="21"/>
      <c r="MXT27" s="21"/>
      <c r="MXX27" s="15"/>
      <c r="MYD27" s="25"/>
      <c r="MYK27" s="21"/>
      <c r="MYL27" s="21"/>
      <c r="MYP27" s="15"/>
      <c r="MYV27" s="25"/>
      <c r="MZC27" s="21"/>
      <c r="MZD27" s="21"/>
      <c r="MZH27" s="15"/>
      <c r="MZN27" s="25"/>
      <c r="MZU27" s="21"/>
      <c r="MZV27" s="21"/>
      <c r="MZZ27" s="15"/>
      <c r="NAF27" s="25"/>
      <c r="NAM27" s="21"/>
      <c r="NAN27" s="21"/>
      <c r="NAR27" s="15"/>
      <c r="NAX27" s="25"/>
      <c r="NBE27" s="21"/>
      <c r="NBF27" s="21"/>
      <c r="NBJ27" s="15"/>
      <c r="NBP27" s="25"/>
      <c r="NBW27" s="21"/>
      <c r="NBX27" s="21"/>
      <c r="NCB27" s="15"/>
      <c r="NCH27" s="25"/>
      <c r="NCO27" s="21"/>
      <c r="NCP27" s="21"/>
      <c r="NCT27" s="15"/>
      <c r="NCZ27" s="25"/>
      <c r="NDG27" s="21"/>
      <c r="NDH27" s="21"/>
      <c r="NDL27" s="15"/>
      <c r="NDR27" s="25"/>
      <c r="NDY27" s="21"/>
      <c r="NDZ27" s="21"/>
      <c r="NED27" s="15"/>
      <c r="NEJ27" s="25"/>
      <c r="NEQ27" s="21"/>
      <c r="NER27" s="21"/>
      <c r="NEV27" s="15"/>
      <c r="NFB27" s="25"/>
      <c r="NFI27" s="21"/>
      <c r="NFJ27" s="21"/>
      <c r="NFN27" s="15"/>
      <c r="NFT27" s="25"/>
      <c r="NGA27" s="21"/>
      <c r="NGB27" s="21"/>
      <c r="NGF27" s="15"/>
      <c r="NGL27" s="25"/>
      <c r="NGS27" s="21"/>
      <c r="NGT27" s="21"/>
      <c r="NGX27" s="15"/>
      <c r="NHD27" s="25"/>
      <c r="NHK27" s="21"/>
      <c r="NHL27" s="21"/>
      <c r="NHP27" s="15"/>
      <c r="NHV27" s="25"/>
      <c r="NIC27" s="21"/>
      <c r="NID27" s="21"/>
      <c r="NIH27" s="15"/>
      <c r="NIN27" s="25"/>
      <c r="NIU27" s="21"/>
      <c r="NIV27" s="21"/>
      <c r="NIZ27" s="15"/>
      <c r="NJF27" s="25"/>
      <c r="NJM27" s="21"/>
      <c r="NJN27" s="21"/>
      <c r="NJR27" s="15"/>
      <c r="NJX27" s="25"/>
      <c r="NKE27" s="21"/>
      <c r="NKF27" s="21"/>
      <c r="NKJ27" s="15"/>
      <c r="NKP27" s="25"/>
      <c r="NKW27" s="21"/>
      <c r="NKX27" s="21"/>
      <c r="NLB27" s="15"/>
      <c r="NLH27" s="25"/>
      <c r="NLO27" s="21"/>
      <c r="NLP27" s="21"/>
      <c r="NLT27" s="15"/>
      <c r="NLZ27" s="25"/>
      <c r="NMG27" s="21"/>
      <c r="NMH27" s="21"/>
      <c r="NML27" s="15"/>
      <c r="NMR27" s="25"/>
      <c r="NMY27" s="21"/>
      <c r="NMZ27" s="21"/>
      <c r="NND27" s="15"/>
      <c r="NNJ27" s="25"/>
      <c r="NNQ27" s="21"/>
      <c r="NNR27" s="21"/>
      <c r="NNV27" s="15"/>
      <c r="NOB27" s="25"/>
      <c r="NOI27" s="21"/>
      <c r="NOJ27" s="21"/>
      <c r="NON27" s="15"/>
      <c r="NOT27" s="25"/>
      <c r="NPA27" s="21"/>
      <c r="NPB27" s="21"/>
      <c r="NPF27" s="15"/>
      <c r="NPL27" s="25"/>
      <c r="NPS27" s="21"/>
      <c r="NPT27" s="21"/>
      <c r="NPX27" s="15"/>
      <c r="NQD27" s="25"/>
      <c r="NQK27" s="21"/>
      <c r="NQL27" s="21"/>
      <c r="NQP27" s="15"/>
      <c r="NQV27" s="25"/>
      <c r="NRC27" s="21"/>
      <c r="NRD27" s="21"/>
      <c r="NRH27" s="15"/>
      <c r="NRN27" s="25"/>
      <c r="NRU27" s="21"/>
      <c r="NRV27" s="21"/>
      <c r="NRZ27" s="15"/>
      <c r="NSF27" s="25"/>
      <c r="NSM27" s="21"/>
      <c r="NSN27" s="21"/>
      <c r="NSR27" s="15"/>
      <c r="NSX27" s="25"/>
      <c r="NTE27" s="21"/>
      <c r="NTF27" s="21"/>
      <c r="NTJ27" s="15"/>
      <c r="NTP27" s="25"/>
      <c r="NTW27" s="21"/>
      <c r="NTX27" s="21"/>
      <c r="NUB27" s="15"/>
      <c r="NUH27" s="25"/>
      <c r="NUO27" s="21"/>
      <c r="NUP27" s="21"/>
      <c r="NUT27" s="15"/>
      <c r="NUZ27" s="25"/>
      <c r="NVG27" s="21"/>
      <c r="NVH27" s="21"/>
      <c r="NVL27" s="15"/>
      <c r="NVR27" s="25"/>
      <c r="NVY27" s="21"/>
      <c r="NVZ27" s="21"/>
      <c r="NWD27" s="15"/>
      <c r="NWJ27" s="25"/>
      <c r="NWQ27" s="21"/>
      <c r="NWR27" s="21"/>
      <c r="NWV27" s="15"/>
      <c r="NXB27" s="25"/>
      <c r="NXI27" s="21"/>
      <c r="NXJ27" s="21"/>
      <c r="NXN27" s="15"/>
      <c r="NXT27" s="25"/>
      <c r="NYA27" s="21"/>
      <c r="NYB27" s="21"/>
      <c r="NYF27" s="15"/>
      <c r="NYL27" s="25"/>
      <c r="NYS27" s="21"/>
      <c r="NYT27" s="21"/>
      <c r="NYX27" s="15"/>
      <c r="NZD27" s="25"/>
      <c r="NZK27" s="21"/>
      <c r="NZL27" s="21"/>
      <c r="NZP27" s="15"/>
      <c r="NZV27" s="25"/>
      <c r="OAC27" s="21"/>
      <c r="OAD27" s="21"/>
      <c r="OAH27" s="15"/>
      <c r="OAN27" s="25"/>
      <c r="OAU27" s="21"/>
      <c r="OAV27" s="21"/>
      <c r="OAZ27" s="15"/>
      <c r="OBF27" s="25"/>
      <c r="OBM27" s="21"/>
      <c r="OBN27" s="21"/>
      <c r="OBR27" s="15"/>
      <c r="OBX27" s="25"/>
      <c r="OCE27" s="21"/>
      <c r="OCF27" s="21"/>
      <c r="OCJ27" s="15"/>
      <c r="OCP27" s="25"/>
      <c r="OCW27" s="21"/>
      <c r="OCX27" s="21"/>
      <c r="ODB27" s="15"/>
      <c r="ODH27" s="25"/>
      <c r="ODO27" s="21"/>
      <c r="ODP27" s="21"/>
      <c r="ODT27" s="15"/>
      <c r="ODZ27" s="25"/>
      <c r="OEG27" s="21"/>
      <c r="OEH27" s="21"/>
      <c r="OEL27" s="15"/>
      <c r="OER27" s="25"/>
      <c r="OEY27" s="21"/>
      <c r="OEZ27" s="21"/>
      <c r="OFD27" s="15"/>
      <c r="OFJ27" s="25"/>
      <c r="OFQ27" s="21"/>
      <c r="OFR27" s="21"/>
      <c r="OFV27" s="15"/>
      <c r="OGB27" s="25"/>
      <c r="OGI27" s="21"/>
      <c r="OGJ27" s="21"/>
      <c r="OGN27" s="15"/>
      <c r="OGT27" s="25"/>
      <c r="OHA27" s="21"/>
      <c r="OHB27" s="21"/>
      <c r="OHF27" s="15"/>
      <c r="OHL27" s="25"/>
      <c r="OHS27" s="21"/>
      <c r="OHT27" s="21"/>
      <c r="OHX27" s="15"/>
      <c r="OID27" s="25"/>
      <c r="OIK27" s="21"/>
      <c r="OIL27" s="21"/>
      <c r="OIP27" s="15"/>
      <c r="OIV27" s="25"/>
      <c r="OJC27" s="21"/>
      <c r="OJD27" s="21"/>
      <c r="OJH27" s="15"/>
      <c r="OJN27" s="25"/>
      <c r="OJU27" s="21"/>
      <c r="OJV27" s="21"/>
      <c r="OJZ27" s="15"/>
      <c r="OKF27" s="25"/>
      <c r="OKM27" s="21"/>
      <c r="OKN27" s="21"/>
      <c r="OKR27" s="15"/>
      <c r="OKX27" s="25"/>
      <c r="OLE27" s="21"/>
      <c r="OLF27" s="21"/>
      <c r="OLJ27" s="15"/>
      <c r="OLP27" s="25"/>
      <c r="OLW27" s="21"/>
      <c r="OLX27" s="21"/>
      <c r="OMB27" s="15"/>
      <c r="OMH27" s="25"/>
      <c r="OMO27" s="21"/>
      <c r="OMP27" s="21"/>
      <c r="OMT27" s="15"/>
      <c r="OMZ27" s="25"/>
      <c r="ONG27" s="21"/>
      <c r="ONH27" s="21"/>
      <c r="ONL27" s="15"/>
      <c r="ONR27" s="25"/>
      <c r="ONY27" s="21"/>
      <c r="ONZ27" s="21"/>
      <c r="OOD27" s="15"/>
      <c r="OOJ27" s="25"/>
      <c r="OOQ27" s="21"/>
      <c r="OOR27" s="21"/>
      <c r="OOV27" s="15"/>
      <c r="OPB27" s="25"/>
      <c r="OPI27" s="21"/>
      <c r="OPJ27" s="21"/>
      <c r="OPN27" s="15"/>
      <c r="OPT27" s="25"/>
      <c r="OQA27" s="21"/>
      <c r="OQB27" s="21"/>
      <c r="OQF27" s="15"/>
      <c r="OQL27" s="25"/>
      <c r="OQS27" s="21"/>
      <c r="OQT27" s="21"/>
      <c r="OQX27" s="15"/>
      <c r="ORD27" s="25"/>
      <c r="ORK27" s="21"/>
      <c r="ORL27" s="21"/>
      <c r="ORP27" s="15"/>
      <c r="ORV27" s="25"/>
      <c r="OSC27" s="21"/>
      <c r="OSD27" s="21"/>
      <c r="OSH27" s="15"/>
      <c r="OSN27" s="25"/>
      <c r="OSU27" s="21"/>
      <c r="OSV27" s="21"/>
      <c r="OSZ27" s="15"/>
      <c r="OTF27" s="25"/>
      <c r="OTM27" s="21"/>
      <c r="OTN27" s="21"/>
      <c r="OTR27" s="15"/>
      <c r="OTX27" s="25"/>
      <c r="OUE27" s="21"/>
      <c r="OUF27" s="21"/>
      <c r="OUJ27" s="15"/>
      <c r="OUP27" s="25"/>
      <c r="OUW27" s="21"/>
      <c r="OUX27" s="21"/>
      <c r="OVB27" s="15"/>
      <c r="OVH27" s="25"/>
      <c r="OVO27" s="21"/>
      <c r="OVP27" s="21"/>
      <c r="OVT27" s="15"/>
      <c r="OVZ27" s="25"/>
      <c r="OWG27" s="21"/>
      <c r="OWH27" s="21"/>
      <c r="OWL27" s="15"/>
      <c r="OWR27" s="25"/>
      <c r="OWY27" s="21"/>
      <c r="OWZ27" s="21"/>
      <c r="OXD27" s="15"/>
      <c r="OXJ27" s="25"/>
      <c r="OXQ27" s="21"/>
      <c r="OXR27" s="21"/>
      <c r="OXV27" s="15"/>
      <c r="OYB27" s="25"/>
      <c r="OYI27" s="21"/>
      <c r="OYJ27" s="21"/>
      <c r="OYN27" s="15"/>
      <c r="OYT27" s="25"/>
      <c r="OZA27" s="21"/>
      <c r="OZB27" s="21"/>
      <c r="OZF27" s="15"/>
      <c r="OZL27" s="25"/>
      <c r="OZS27" s="21"/>
      <c r="OZT27" s="21"/>
      <c r="OZX27" s="15"/>
      <c r="PAD27" s="25"/>
      <c r="PAK27" s="21"/>
      <c r="PAL27" s="21"/>
      <c r="PAP27" s="15"/>
      <c r="PAV27" s="25"/>
      <c r="PBC27" s="21"/>
      <c r="PBD27" s="21"/>
      <c r="PBH27" s="15"/>
      <c r="PBN27" s="25"/>
      <c r="PBU27" s="21"/>
      <c r="PBV27" s="21"/>
      <c r="PBZ27" s="15"/>
      <c r="PCF27" s="25"/>
      <c r="PCM27" s="21"/>
      <c r="PCN27" s="21"/>
      <c r="PCR27" s="15"/>
      <c r="PCX27" s="25"/>
      <c r="PDE27" s="21"/>
      <c r="PDF27" s="21"/>
      <c r="PDJ27" s="15"/>
      <c r="PDP27" s="25"/>
      <c r="PDW27" s="21"/>
      <c r="PDX27" s="21"/>
      <c r="PEB27" s="15"/>
      <c r="PEH27" s="25"/>
      <c r="PEO27" s="21"/>
      <c r="PEP27" s="21"/>
      <c r="PET27" s="15"/>
      <c r="PEZ27" s="25"/>
      <c r="PFG27" s="21"/>
      <c r="PFH27" s="21"/>
      <c r="PFL27" s="15"/>
      <c r="PFR27" s="25"/>
      <c r="PFY27" s="21"/>
      <c r="PFZ27" s="21"/>
      <c r="PGD27" s="15"/>
      <c r="PGJ27" s="25"/>
      <c r="PGQ27" s="21"/>
      <c r="PGR27" s="21"/>
      <c r="PGV27" s="15"/>
      <c r="PHB27" s="25"/>
      <c r="PHI27" s="21"/>
      <c r="PHJ27" s="21"/>
      <c r="PHN27" s="15"/>
      <c r="PHT27" s="25"/>
      <c r="PIA27" s="21"/>
      <c r="PIB27" s="21"/>
      <c r="PIF27" s="15"/>
      <c r="PIL27" s="25"/>
      <c r="PIS27" s="21"/>
      <c r="PIT27" s="21"/>
      <c r="PIX27" s="15"/>
      <c r="PJD27" s="25"/>
      <c r="PJK27" s="21"/>
      <c r="PJL27" s="21"/>
      <c r="PJP27" s="15"/>
      <c r="PJV27" s="25"/>
      <c r="PKC27" s="21"/>
      <c r="PKD27" s="21"/>
      <c r="PKH27" s="15"/>
      <c r="PKN27" s="25"/>
      <c r="PKU27" s="21"/>
      <c r="PKV27" s="21"/>
      <c r="PKZ27" s="15"/>
      <c r="PLF27" s="25"/>
      <c r="PLM27" s="21"/>
      <c r="PLN27" s="21"/>
      <c r="PLR27" s="15"/>
      <c r="PLX27" s="25"/>
      <c r="PME27" s="21"/>
      <c r="PMF27" s="21"/>
      <c r="PMJ27" s="15"/>
      <c r="PMP27" s="25"/>
      <c r="PMW27" s="21"/>
      <c r="PMX27" s="21"/>
      <c r="PNB27" s="15"/>
      <c r="PNH27" s="25"/>
      <c r="PNO27" s="21"/>
      <c r="PNP27" s="21"/>
      <c r="PNT27" s="15"/>
      <c r="PNZ27" s="25"/>
      <c r="POG27" s="21"/>
      <c r="POH27" s="21"/>
      <c r="POL27" s="15"/>
      <c r="POR27" s="25"/>
      <c r="POY27" s="21"/>
      <c r="POZ27" s="21"/>
      <c r="PPD27" s="15"/>
      <c r="PPJ27" s="25"/>
      <c r="PPQ27" s="21"/>
      <c r="PPR27" s="21"/>
      <c r="PPV27" s="15"/>
      <c r="PQB27" s="25"/>
      <c r="PQI27" s="21"/>
      <c r="PQJ27" s="21"/>
      <c r="PQN27" s="15"/>
      <c r="PQT27" s="25"/>
      <c r="PRA27" s="21"/>
      <c r="PRB27" s="21"/>
      <c r="PRF27" s="15"/>
      <c r="PRL27" s="25"/>
      <c r="PRS27" s="21"/>
      <c r="PRT27" s="21"/>
      <c r="PRX27" s="15"/>
      <c r="PSD27" s="25"/>
      <c r="PSK27" s="21"/>
      <c r="PSL27" s="21"/>
      <c r="PSP27" s="15"/>
      <c r="PSV27" s="25"/>
      <c r="PTC27" s="21"/>
      <c r="PTD27" s="21"/>
      <c r="PTH27" s="15"/>
      <c r="PTN27" s="25"/>
      <c r="PTU27" s="21"/>
      <c r="PTV27" s="21"/>
      <c r="PTZ27" s="15"/>
      <c r="PUF27" s="25"/>
      <c r="PUM27" s="21"/>
      <c r="PUN27" s="21"/>
      <c r="PUR27" s="15"/>
      <c r="PUX27" s="25"/>
      <c r="PVE27" s="21"/>
      <c r="PVF27" s="21"/>
      <c r="PVJ27" s="15"/>
      <c r="PVP27" s="25"/>
      <c r="PVW27" s="21"/>
      <c r="PVX27" s="21"/>
      <c r="PWB27" s="15"/>
      <c r="PWH27" s="25"/>
      <c r="PWO27" s="21"/>
      <c r="PWP27" s="21"/>
      <c r="PWT27" s="15"/>
      <c r="PWZ27" s="25"/>
      <c r="PXG27" s="21"/>
      <c r="PXH27" s="21"/>
      <c r="PXL27" s="15"/>
      <c r="PXR27" s="25"/>
      <c r="PXY27" s="21"/>
      <c r="PXZ27" s="21"/>
      <c r="PYD27" s="15"/>
      <c r="PYJ27" s="25"/>
      <c r="PYQ27" s="21"/>
      <c r="PYR27" s="21"/>
      <c r="PYV27" s="15"/>
      <c r="PZB27" s="25"/>
      <c r="PZI27" s="21"/>
      <c r="PZJ27" s="21"/>
      <c r="PZN27" s="15"/>
      <c r="PZT27" s="25"/>
      <c r="QAA27" s="21"/>
      <c r="QAB27" s="21"/>
      <c r="QAF27" s="15"/>
      <c r="QAL27" s="25"/>
      <c r="QAS27" s="21"/>
      <c r="QAT27" s="21"/>
      <c r="QAX27" s="15"/>
      <c r="QBD27" s="25"/>
      <c r="QBK27" s="21"/>
      <c r="QBL27" s="21"/>
      <c r="QBP27" s="15"/>
      <c r="QBV27" s="25"/>
      <c r="QCC27" s="21"/>
      <c r="QCD27" s="21"/>
      <c r="QCH27" s="15"/>
      <c r="QCN27" s="25"/>
      <c r="QCU27" s="21"/>
      <c r="QCV27" s="21"/>
      <c r="QCZ27" s="15"/>
      <c r="QDF27" s="25"/>
      <c r="QDM27" s="21"/>
      <c r="QDN27" s="21"/>
      <c r="QDR27" s="15"/>
      <c r="QDX27" s="25"/>
      <c r="QEE27" s="21"/>
      <c r="QEF27" s="21"/>
      <c r="QEJ27" s="15"/>
      <c r="QEP27" s="25"/>
      <c r="QEW27" s="21"/>
      <c r="QEX27" s="21"/>
      <c r="QFB27" s="15"/>
      <c r="QFH27" s="25"/>
      <c r="QFO27" s="21"/>
      <c r="QFP27" s="21"/>
      <c r="QFT27" s="15"/>
      <c r="QFZ27" s="25"/>
      <c r="QGG27" s="21"/>
      <c r="QGH27" s="21"/>
      <c r="QGL27" s="15"/>
      <c r="QGR27" s="25"/>
      <c r="QGY27" s="21"/>
      <c r="QGZ27" s="21"/>
      <c r="QHD27" s="15"/>
      <c r="QHJ27" s="25"/>
      <c r="QHQ27" s="21"/>
      <c r="QHR27" s="21"/>
      <c r="QHV27" s="15"/>
      <c r="QIB27" s="25"/>
      <c r="QII27" s="21"/>
      <c r="QIJ27" s="21"/>
      <c r="QIN27" s="15"/>
      <c r="QIT27" s="25"/>
      <c r="QJA27" s="21"/>
      <c r="QJB27" s="21"/>
      <c r="QJF27" s="15"/>
      <c r="QJL27" s="25"/>
      <c r="QJS27" s="21"/>
      <c r="QJT27" s="21"/>
      <c r="QJX27" s="15"/>
      <c r="QKD27" s="25"/>
      <c r="QKK27" s="21"/>
      <c r="QKL27" s="21"/>
      <c r="QKP27" s="15"/>
      <c r="QKV27" s="25"/>
      <c r="QLC27" s="21"/>
      <c r="QLD27" s="21"/>
      <c r="QLH27" s="15"/>
      <c r="QLN27" s="25"/>
      <c r="QLU27" s="21"/>
      <c r="QLV27" s="21"/>
      <c r="QLZ27" s="15"/>
      <c r="QMF27" s="25"/>
      <c r="QMM27" s="21"/>
      <c r="QMN27" s="21"/>
      <c r="QMR27" s="15"/>
      <c r="QMX27" s="25"/>
      <c r="QNE27" s="21"/>
      <c r="QNF27" s="21"/>
      <c r="QNJ27" s="15"/>
      <c r="QNP27" s="25"/>
      <c r="QNW27" s="21"/>
      <c r="QNX27" s="21"/>
      <c r="QOB27" s="15"/>
      <c r="QOH27" s="25"/>
      <c r="QOO27" s="21"/>
      <c r="QOP27" s="21"/>
      <c r="QOT27" s="15"/>
      <c r="QOZ27" s="25"/>
      <c r="QPG27" s="21"/>
      <c r="QPH27" s="21"/>
      <c r="QPL27" s="15"/>
      <c r="QPR27" s="25"/>
      <c r="QPY27" s="21"/>
      <c r="QPZ27" s="21"/>
      <c r="QQD27" s="15"/>
      <c r="QQJ27" s="25"/>
      <c r="QQQ27" s="21"/>
      <c r="QQR27" s="21"/>
      <c r="QQV27" s="15"/>
      <c r="QRB27" s="25"/>
      <c r="QRI27" s="21"/>
      <c r="QRJ27" s="21"/>
      <c r="QRN27" s="15"/>
      <c r="QRT27" s="25"/>
      <c r="QSA27" s="21"/>
      <c r="QSB27" s="21"/>
      <c r="QSF27" s="15"/>
      <c r="QSL27" s="25"/>
      <c r="QSS27" s="21"/>
      <c r="QST27" s="21"/>
      <c r="QSX27" s="15"/>
      <c r="QTD27" s="25"/>
      <c r="QTK27" s="21"/>
      <c r="QTL27" s="21"/>
      <c r="QTP27" s="15"/>
      <c r="QTV27" s="25"/>
      <c r="QUC27" s="21"/>
      <c r="QUD27" s="21"/>
      <c r="QUH27" s="15"/>
      <c r="QUN27" s="25"/>
      <c r="QUU27" s="21"/>
      <c r="QUV27" s="21"/>
      <c r="QUZ27" s="15"/>
      <c r="QVF27" s="25"/>
      <c r="QVM27" s="21"/>
      <c r="QVN27" s="21"/>
      <c r="QVR27" s="15"/>
      <c r="QVX27" s="25"/>
      <c r="QWE27" s="21"/>
      <c r="QWF27" s="21"/>
      <c r="QWJ27" s="15"/>
      <c r="QWP27" s="25"/>
      <c r="QWW27" s="21"/>
      <c r="QWX27" s="21"/>
      <c r="QXB27" s="15"/>
      <c r="QXH27" s="25"/>
      <c r="QXO27" s="21"/>
      <c r="QXP27" s="21"/>
      <c r="QXT27" s="15"/>
      <c r="QXZ27" s="25"/>
      <c r="QYG27" s="21"/>
      <c r="QYH27" s="21"/>
      <c r="QYL27" s="15"/>
      <c r="QYR27" s="25"/>
      <c r="QYY27" s="21"/>
      <c r="QYZ27" s="21"/>
      <c r="QZD27" s="15"/>
      <c r="QZJ27" s="25"/>
      <c r="QZQ27" s="21"/>
      <c r="QZR27" s="21"/>
      <c r="QZV27" s="15"/>
      <c r="RAB27" s="25"/>
      <c r="RAI27" s="21"/>
      <c r="RAJ27" s="21"/>
      <c r="RAN27" s="15"/>
      <c r="RAT27" s="25"/>
      <c r="RBA27" s="21"/>
      <c r="RBB27" s="21"/>
      <c r="RBF27" s="15"/>
      <c r="RBL27" s="25"/>
      <c r="RBS27" s="21"/>
      <c r="RBT27" s="21"/>
      <c r="RBX27" s="15"/>
      <c r="RCD27" s="25"/>
      <c r="RCK27" s="21"/>
      <c r="RCL27" s="21"/>
      <c r="RCP27" s="15"/>
      <c r="RCV27" s="25"/>
      <c r="RDC27" s="21"/>
      <c r="RDD27" s="21"/>
      <c r="RDH27" s="15"/>
      <c r="RDN27" s="25"/>
      <c r="RDU27" s="21"/>
      <c r="RDV27" s="21"/>
      <c r="RDZ27" s="15"/>
      <c r="REF27" s="25"/>
      <c r="REM27" s="21"/>
      <c r="REN27" s="21"/>
      <c r="RER27" s="15"/>
      <c r="REX27" s="25"/>
      <c r="RFE27" s="21"/>
      <c r="RFF27" s="21"/>
      <c r="RFJ27" s="15"/>
      <c r="RFP27" s="25"/>
      <c r="RFW27" s="21"/>
      <c r="RFX27" s="21"/>
      <c r="RGB27" s="15"/>
      <c r="RGH27" s="25"/>
      <c r="RGO27" s="21"/>
      <c r="RGP27" s="21"/>
      <c r="RGT27" s="15"/>
      <c r="RGZ27" s="25"/>
      <c r="RHG27" s="21"/>
      <c r="RHH27" s="21"/>
      <c r="RHL27" s="15"/>
      <c r="RHR27" s="25"/>
      <c r="RHY27" s="21"/>
      <c r="RHZ27" s="21"/>
      <c r="RID27" s="15"/>
      <c r="RIJ27" s="25"/>
      <c r="RIQ27" s="21"/>
      <c r="RIR27" s="21"/>
      <c r="RIV27" s="15"/>
      <c r="RJB27" s="25"/>
      <c r="RJI27" s="21"/>
      <c r="RJJ27" s="21"/>
      <c r="RJN27" s="15"/>
      <c r="RJT27" s="25"/>
      <c r="RKA27" s="21"/>
      <c r="RKB27" s="21"/>
      <c r="RKF27" s="15"/>
      <c r="RKL27" s="25"/>
      <c r="RKS27" s="21"/>
      <c r="RKT27" s="21"/>
      <c r="RKX27" s="15"/>
      <c r="RLD27" s="25"/>
      <c r="RLK27" s="21"/>
      <c r="RLL27" s="21"/>
      <c r="RLP27" s="15"/>
      <c r="RLV27" s="25"/>
      <c r="RMC27" s="21"/>
      <c r="RMD27" s="21"/>
      <c r="RMH27" s="15"/>
      <c r="RMN27" s="25"/>
      <c r="RMU27" s="21"/>
      <c r="RMV27" s="21"/>
      <c r="RMZ27" s="15"/>
      <c r="RNF27" s="25"/>
      <c r="RNM27" s="21"/>
      <c r="RNN27" s="21"/>
      <c r="RNR27" s="15"/>
      <c r="RNX27" s="25"/>
      <c r="ROE27" s="21"/>
      <c r="ROF27" s="21"/>
      <c r="ROJ27" s="15"/>
      <c r="ROP27" s="25"/>
      <c r="ROW27" s="21"/>
      <c r="ROX27" s="21"/>
      <c r="RPB27" s="15"/>
      <c r="RPH27" s="25"/>
      <c r="RPO27" s="21"/>
      <c r="RPP27" s="21"/>
      <c r="RPT27" s="15"/>
      <c r="RPZ27" s="25"/>
      <c r="RQG27" s="21"/>
      <c r="RQH27" s="21"/>
      <c r="RQL27" s="15"/>
      <c r="RQR27" s="25"/>
      <c r="RQY27" s="21"/>
      <c r="RQZ27" s="21"/>
      <c r="RRD27" s="15"/>
      <c r="RRJ27" s="25"/>
      <c r="RRQ27" s="21"/>
      <c r="RRR27" s="21"/>
      <c r="RRV27" s="15"/>
      <c r="RSB27" s="25"/>
      <c r="RSI27" s="21"/>
      <c r="RSJ27" s="21"/>
      <c r="RSN27" s="15"/>
      <c r="RST27" s="25"/>
      <c r="RTA27" s="21"/>
      <c r="RTB27" s="21"/>
      <c r="RTF27" s="15"/>
      <c r="RTL27" s="25"/>
      <c r="RTS27" s="21"/>
      <c r="RTT27" s="21"/>
      <c r="RTX27" s="15"/>
      <c r="RUD27" s="25"/>
      <c r="RUK27" s="21"/>
      <c r="RUL27" s="21"/>
      <c r="RUP27" s="15"/>
      <c r="RUV27" s="25"/>
      <c r="RVC27" s="21"/>
      <c r="RVD27" s="21"/>
      <c r="RVH27" s="15"/>
      <c r="RVN27" s="25"/>
      <c r="RVU27" s="21"/>
      <c r="RVV27" s="21"/>
      <c r="RVZ27" s="15"/>
      <c r="RWF27" s="25"/>
      <c r="RWM27" s="21"/>
      <c r="RWN27" s="21"/>
      <c r="RWR27" s="15"/>
      <c r="RWX27" s="25"/>
      <c r="RXE27" s="21"/>
      <c r="RXF27" s="21"/>
      <c r="RXJ27" s="15"/>
      <c r="RXP27" s="25"/>
      <c r="RXW27" s="21"/>
      <c r="RXX27" s="21"/>
      <c r="RYB27" s="15"/>
      <c r="RYH27" s="25"/>
      <c r="RYO27" s="21"/>
      <c r="RYP27" s="21"/>
      <c r="RYT27" s="15"/>
      <c r="RYZ27" s="25"/>
      <c r="RZG27" s="21"/>
      <c r="RZH27" s="21"/>
      <c r="RZL27" s="15"/>
      <c r="RZR27" s="25"/>
      <c r="RZY27" s="21"/>
      <c r="RZZ27" s="21"/>
      <c r="SAD27" s="15"/>
      <c r="SAJ27" s="25"/>
      <c r="SAQ27" s="21"/>
      <c r="SAR27" s="21"/>
      <c r="SAV27" s="15"/>
      <c r="SBB27" s="25"/>
      <c r="SBI27" s="21"/>
      <c r="SBJ27" s="21"/>
      <c r="SBN27" s="15"/>
      <c r="SBT27" s="25"/>
      <c r="SCA27" s="21"/>
      <c r="SCB27" s="21"/>
      <c r="SCF27" s="15"/>
      <c r="SCL27" s="25"/>
      <c r="SCS27" s="21"/>
      <c r="SCT27" s="21"/>
      <c r="SCX27" s="15"/>
      <c r="SDD27" s="25"/>
      <c r="SDK27" s="21"/>
      <c r="SDL27" s="21"/>
      <c r="SDP27" s="15"/>
      <c r="SDV27" s="25"/>
      <c r="SEC27" s="21"/>
      <c r="SED27" s="21"/>
      <c r="SEH27" s="15"/>
      <c r="SEN27" s="25"/>
      <c r="SEU27" s="21"/>
      <c r="SEV27" s="21"/>
      <c r="SEZ27" s="15"/>
      <c r="SFF27" s="25"/>
      <c r="SFM27" s="21"/>
      <c r="SFN27" s="21"/>
      <c r="SFR27" s="15"/>
      <c r="SFX27" s="25"/>
      <c r="SGE27" s="21"/>
      <c r="SGF27" s="21"/>
      <c r="SGJ27" s="15"/>
      <c r="SGP27" s="25"/>
      <c r="SGW27" s="21"/>
      <c r="SGX27" s="21"/>
      <c r="SHB27" s="15"/>
      <c r="SHH27" s="25"/>
      <c r="SHO27" s="21"/>
      <c r="SHP27" s="21"/>
      <c r="SHT27" s="15"/>
      <c r="SHZ27" s="25"/>
      <c r="SIG27" s="21"/>
      <c r="SIH27" s="21"/>
      <c r="SIL27" s="15"/>
      <c r="SIR27" s="25"/>
      <c r="SIY27" s="21"/>
      <c r="SIZ27" s="21"/>
      <c r="SJD27" s="15"/>
      <c r="SJJ27" s="25"/>
      <c r="SJQ27" s="21"/>
      <c r="SJR27" s="21"/>
      <c r="SJV27" s="15"/>
      <c r="SKB27" s="25"/>
      <c r="SKI27" s="21"/>
      <c r="SKJ27" s="21"/>
      <c r="SKN27" s="15"/>
      <c r="SKT27" s="25"/>
      <c r="SLA27" s="21"/>
      <c r="SLB27" s="21"/>
      <c r="SLF27" s="15"/>
      <c r="SLL27" s="25"/>
      <c r="SLS27" s="21"/>
      <c r="SLT27" s="21"/>
      <c r="SLX27" s="15"/>
      <c r="SMD27" s="25"/>
      <c r="SMK27" s="21"/>
      <c r="SML27" s="21"/>
      <c r="SMP27" s="15"/>
      <c r="SMV27" s="25"/>
      <c r="SNC27" s="21"/>
      <c r="SND27" s="21"/>
      <c r="SNH27" s="15"/>
      <c r="SNN27" s="25"/>
      <c r="SNU27" s="21"/>
      <c r="SNV27" s="21"/>
      <c r="SNZ27" s="15"/>
      <c r="SOF27" s="25"/>
      <c r="SOM27" s="21"/>
      <c r="SON27" s="21"/>
      <c r="SOR27" s="15"/>
      <c r="SOX27" s="25"/>
      <c r="SPE27" s="21"/>
      <c r="SPF27" s="21"/>
      <c r="SPJ27" s="15"/>
      <c r="SPP27" s="25"/>
      <c r="SPW27" s="21"/>
      <c r="SPX27" s="21"/>
      <c r="SQB27" s="15"/>
      <c r="SQH27" s="25"/>
      <c r="SQO27" s="21"/>
      <c r="SQP27" s="21"/>
      <c r="SQT27" s="15"/>
      <c r="SQZ27" s="25"/>
      <c r="SRG27" s="21"/>
      <c r="SRH27" s="21"/>
      <c r="SRL27" s="15"/>
      <c r="SRR27" s="25"/>
      <c r="SRY27" s="21"/>
      <c r="SRZ27" s="21"/>
      <c r="SSD27" s="15"/>
      <c r="SSJ27" s="25"/>
      <c r="SSQ27" s="21"/>
      <c r="SSR27" s="21"/>
      <c r="SSV27" s="15"/>
      <c r="STB27" s="25"/>
      <c r="STI27" s="21"/>
      <c r="STJ27" s="21"/>
      <c r="STN27" s="15"/>
      <c r="STT27" s="25"/>
      <c r="SUA27" s="21"/>
      <c r="SUB27" s="21"/>
      <c r="SUF27" s="15"/>
      <c r="SUL27" s="25"/>
      <c r="SUS27" s="21"/>
      <c r="SUT27" s="21"/>
      <c r="SUX27" s="15"/>
      <c r="SVD27" s="25"/>
      <c r="SVK27" s="21"/>
      <c r="SVL27" s="21"/>
      <c r="SVP27" s="15"/>
      <c r="SVV27" s="25"/>
      <c r="SWC27" s="21"/>
      <c r="SWD27" s="21"/>
      <c r="SWH27" s="15"/>
      <c r="SWN27" s="25"/>
      <c r="SWU27" s="21"/>
      <c r="SWV27" s="21"/>
      <c r="SWZ27" s="15"/>
      <c r="SXF27" s="25"/>
      <c r="SXM27" s="21"/>
      <c r="SXN27" s="21"/>
      <c r="SXR27" s="15"/>
      <c r="SXX27" s="25"/>
      <c r="SYE27" s="21"/>
      <c r="SYF27" s="21"/>
      <c r="SYJ27" s="15"/>
      <c r="SYP27" s="25"/>
      <c r="SYW27" s="21"/>
      <c r="SYX27" s="21"/>
      <c r="SZB27" s="15"/>
      <c r="SZH27" s="25"/>
      <c r="SZO27" s="21"/>
      <c r="SZP27" s="21"/>
      <c r="SZT27" s="15"/>
      <c r="SZZ27" s="25"/>
      <c r="TAG27" s="21"/>
      <c r="TAH27" s="21"/>
      <c r="TAL27" s="15"/>
      <c r="TAR27" s="25"/>
      <c r="TAY27" s="21"/>
      <c r="TAZ27" s="21"/>
      <c r="TBD27" s="15"/>
      <c r="TBJ27" s="25"/>
      <c r="TBQ27" s="21"/>
      <c r="TBR27" s="21"/>
      <c r="TBV27" s="15"/>
      <c r="TCB27" s="25"/>
      <c r="TCI27" s="21"/>
      <c r="TCJ27" s="21"/>
      <c r="TCN27" s="15"/>
      <c r="TCT27" s="25"/>
      <c r="TDA27" s="21"/>
      <c r="TDB27" s="21"/>
      <c r="TDF27" s="15"/>
      <c r="TDL27" s="25"/>
      <c r="TDS27" s="21"/>
      <c r="TDT27" s="21"/>
      <c r="TDX27" s="15"/>
      <c r="TED27" s="25"/>
      <c r="TEK27" s="21"/>
      <c r="TEL27" s="21"/>
      <c r="TEP27" s="15"/>
      <c r="TEV27" s="25"/>
      <c r="TFC27" s="21"/>
      <c r="TFD27" s="21"/>
      <c r="TFH27" s="15"/>
      <c r="TFN27" s="25"/>
      <c r="TFU27" s="21"/>
      <c r="TFV27" s="21"/>
      <c r="TFZ27" s="15"/>
      <c r="TGF27" s="25"/>
      <c r="TGM27" s="21"/>
      <c r="TGN27" s="21"/>
      <c r="TGR27" s="15"/>
      <c r="TGX27" s="25"/>
      <c r="THE27" s="21"/>
      <c r="THF27" s="21"/>
      <c r="THJ27" s="15"/>
      <c r="THP27" s="25"/>
      <c r="THW27" s="21"/>
      <c r="THX27" s="21"/>
      <c r="TIB27" s="15"/>
      <c r="TIH27" s="25"/>
      <c r="TIO27" s="21"/>
      <c r="TIP27" s="21"/>
      <c r="TIT27" s="15"/>
      <c r="TIZ27" s="25"/>
      <c r="TJG27" s="21"/>
      <c r="TJH27" s="21"/>
      <c r="TJL27" s="15"/>
      <c r="TJR27" s="25"/>
      <c r="TJY27" s="21"/>
      <c r="TJZ27" s="21"/>
      <c r="TKD27" s="15"/>
      <c r="TKJ27" s="25"/>
      <c r="TKQ27" s="21"/>
      <c r="TKR27" s="21"/>
      <c r="TKV27" s="15"/>
      <c r="TLB27" s="25"/>
      <c r="TLI27" s="21"/>
      <c r="TLJ27" s="21"/>
      <c r="TLN27" s="15"/>
      <c r="TLT27" s="25"/>
      <c r="TMA27" s="21"/>
      <c r="TMB27" s="21"/>
      <c r="TMF27" s="15"/>
      <c r="TML27" s="25"/>
      <c r="TMS27" s="21"/>
      <c r="TMT27" s="21"/>
      <c r="TMX27" s="15"/>
      <c r="TND27" s="25"/>
      <c r="TNK27" s="21"/>
      <c r="TNL27" s="21"/>
      <c r="TNP27" s="15"/>
      <c r="TNV27" s="25"/>
      <c r="TOC27" s="21"/>
      <c r="TOD27" s="21"/>
      <c r="TOH27" s="15"/>
      <c r="TON27" s="25"/>
      <c r="TOU27" s="21"/>
      <c r="TOV27" s="21"/>
      <c r="TOZ27" s="15"/>
      <c r="TPF27" s="25"/>
      <c r="TPM27" s="21"/>
      <c r="TPN27" s="21"/>
      <c r="TPR27" s="15"/>
      <c r="TPX27" s="25"/>
      <c r="TQE27" s="21"/>
      <c r="TQF27" s="21"/>
      <c r="TQJ27" s="15"/>
      <c r="TQP27" s="25"/>
      <c r="TQW27" s="21"/>
      <c r="TQX27" s="21"/>
      <c r="TRB27" s="15"/>
      <c r="TRH27" s="25"/>
      <c r="TRO27" s="21"/>
      <c r="TRP27" s="21"/>
      <c r="TRT27" s="15"/>
      <c r="TRZ27" s="25"/>
      <c r="TSG27" s="21"/>
      <c r="TSH27" s="21"/>
      <c r="TSL27" s="15"/>
      <c r="TSR27" s="25"/>
      <c r="TSY27" s="21"/>
      <c r="TSZ27" s="21"/>
      <c r="TTD27" s="15"/>
      <c r="TTJ27" s="25"/>
      <c r="TTQ27" s="21"/>
      <c r="TTR27" s="21"/>
      <c r="TTV27" s="15"/>
      <c r="TUB27" s="25"/>
      <c r="TUI27" s="21"/>
      <c r="TUJ27" s="21"/>
      <c r="TUN27" s="15"/>
      <c r="TUT27" s="25"/>
      <c r="TVA27" s="21"/>
      <c r="TVB27" s="21"/>
      <c r="TVF27" s="15"/>
      <c r="TVL27" s="25"/>
      <c r="TVS27" s="21"/>
      <c r="TVT27" s="21"/>
      <c r="TVX27" s="15"/>
      <c r="TWD27" s="25"/>
      <c r="TWK27" s="21"/>
      <c r="TWL27" s="21"/>
      <c r="TWP27" s="15"/>
      <c r="TWV27" s="25"/>
      <c r="TXC27" s="21"/>
      <c r="TXD27" s="21"/>
      <c r="TXH27" s="15"/>
      <c r="TXN27" s="25"/>
      <c r="TXU27" s="21"/>
      <c r="TXV27" s="21"/>
      <c r="TXZ27" s="15"/>
      <c r="TYF27" s="25"/>
      <c r="TYM27" s="21"/>
      <c r="TYN27" s="21"/>
      <c r="TYR27" s="15"/>
      <c r="TYX27" s="25"/>
      <c r="TZE27" s="21"/>
      <c r="TZF27" s="21"/>
      <c r="TZJ27" s="15"/>
      <c r="TZP27" s="25"/>
      <c r="TZW27" s="21"/>
      <c r="TZX27" s="21"/>
      <c r="UAB27" s="15"/>
      <c r="UAH27" s="25"/>
      <c r="UAO27" s="21"/>
      <c r="UAP27" s="21"/>
      <c r="UAT27" s="15"/>
      <c r="UAZ27" s="25"/>
      <c r="UBG27" s="21"/>
      <c r="UBH27" s="21"/>
      <c r="UBL27" s="15"/>
      <c r="UBR27" s="25"/>
      <c r="UBY27" s="21"/>
      <c r="UBZ27" s="21"/>
      <c r="UCD27" s="15"/>
      <c r="UCJ27" s="25"/>
      <c r="UCQ27" s="21"/>
      <c r="UCR27" s="21"/>
      <c r="UCV27" s="15"/>
      <c r="UDB27" s="25"/>
      <c r="UDI27" s="21"/>
      <c r="UDJ27" s="21"/>
      <c r="UDN27" s="15"/>
      <c r="UDT27" s="25"/>
      <c r="UEA27" s="21"/>
      <c r="UEB27" s="21"/>
      <c r="UEF27" s="15"/>
      <c r="UEL27" s="25"/>
      <c r="UES27" s="21"/>
      <c r="UET27" s="21"/>
      <c r="UEX27" s="15"/>
      <c r="UFD27" s="25"/>
      <c r="UFK27" s="21"/>
      <c r="UFL27" s="21"/>
      <c r="UFP27" s="15"/>
      <c r="UFV27" s="25"/>
      <c r="UGC27" s="21"/>
      <c r="UGD27" s="21"/>
      <c r="UGH27" s="15"/>
      <c r="UGN27" s="25"/>
      <c r="UGU27" s="21"/>
      <c r="UGV27" s="21"/>
      <c r="UGZ27" s="15"/>
      <c r="UHF27" s="25"/>
      <c r="UHM27" s="21"/>
      <c r="UHN27" s="21"/>
      <c r="UHR27" s="15"/>
      <c r="UHX27" s="25"/>
      <c r="UIE27" s="21"/>
      <c r="UIF27" s="21"/>
      <c r="UIJ27" s="15"/>
      <c r="UIP27" s="25"/>
      <c r="UIW27" s="21"/>
      <c r="UIX27" s="21"/>
      <c r="UJB27" s="15"/>
      <c r="UJH27" s="25"/>
      <c r="UJO27" s="21"/>
      <c r="UJP27" s="21"/>
      <c r="UJT27" s="15"/>
      <c r="UJZ27" s="25"/>
      <c r="UKG27" s="21"/>
      <c r="UKH27" s="21"/>
      <c r="UKL27" s="15"/>
      <c r="UKR27" s="25"/>
      <c r="UKY27" s="21"/>
      <c r="UKZ27" s="21"/>
      <c r="ULD27" s="15"/>
      <c r="ULJ27" s="25"/>
      <c r="ULQ27" s="21"/>
      <c r="ULR27" s="21"/>
      <c r="ULV27" s="15"/>
      <c r="UMB27" s="25"/>
      <c r="UMI27" s="21"/>
      <c r="UMJ27" s="21"/>
      <c r="UMN27" s="15"/>
      <c r="UMT27" s="25"/>
      <c r="UNA27" s="21"/>
      <c r="UNB27" s="21"/>
      <c r="UNF27" s="15"/>
      <c r="UNL27" s="25"/>
      <c r="UNS27" s="21"/>
      <c r="UNT27" s="21"/>
      <c r="UNX27" s="15"/>
      <c r="UOD27" s="25"/>
      <c r="UOK27" s="21"/>
      <c r="UOL27" s="21"/>
      <c r="UOP27" s="15"/>
      <c r="UOV27" s="25"/>
      <c r="UPC27" s="21"/>
      <c r="UPD27" s="21"/>
      <c r="UPH27" s="15"/>
      <c r="UPN27" s="25"/>
      <c r="UPU27" s="21"/>
      <c r="UPV27" s="21"/>
      <c r="UPZ27" s="15"/>
      <c r="UQF27" s="25"/>
      <c r="UQM27" s="21"/>
      <c r="UQN27" s="21"/>
      <c r="UQR27" s="15"/>
      <c r="UQX27" s="25"/>
      <c r="URE27" s="21"/>
      <c r="URF27" s="21"/>
      <c r="URJ27" s="15"/>
      <c r="URP27" s="25"/>
      <c r="URW27" s="21"/>
      <c r="URX27" s="21"/>
      <c r="USB27" s="15"/>
      <c r="USH27" s="25"/>
      <c r="USO27" s="21"/>
      <c r="USP27" s="21"/>
      <c r="UST27" s="15"/>
      <c r="USZ27" s="25"/>
      <c r="UTG27" s="21"/>
      <c r="UTH27" s="21"/>
      <c r="UTL27" s="15"/>
      <c r="UTR27" s="25"/>
      <c r="UTY27" s="21"/>
      <c r="UTZ27" s="21"/>
      <c r="UUD27" s="15"/>
      <c r="UUJ27" s="25"/>
      <c r="UUQ27" s="21"/>
      <c r="UUR27" s="21"/>
      <c r="UUV27" s="15"/>
      <c r="UVB27" s="25"/>
      <c r="UVI27" s="21"/>
      <c r="UVJ27" s="21"/>
      <c r="UVN27" s="15"/>
      <c r="UVT27" s="25"/>
      <c r="UWA27" s="21"/>
      <c r="UWB27" s="21"/>
      <c r="UWF27" s="15"/>
      <c r="UWL27" s="25"/>
      <c r="UWS27" s="21"/>
      <c r="UWT27" s="21"/>
      <c r="UWX27" s="15"/>
      <c r="UXD27" s="25"/>
      <c r="UXK27" s="21"/>
      <c r="UXL27" s="21"/>
      <c r="UXP27" s="15"/>
      <c r="UXV27" s="25"/>
      <c r="UYC27" s="21"/>
      <c r="UYD27" s="21"/>
      <c r="UYH27" s="15"/>
      <c r="UYN27" s="25"/>
      <c r="UYU27" s="21"/>
      <c r="UYV27" s="21"/>
      <c r="UYZ27" s="15"/>
      <c r="UZF27" s="25"/>
      <c r="UZM27" s="21"/>
      <c r="UZN27" s="21"/>
      <c r="UZR27" s="15"/>
      <c r="UZX27" s="25"/>
      <c r="VAE27" s="21"/>
      <c r="VAF27" s="21"/>
      <c r="VAJ27" s="15"/>
      <c r="VAP27" s="25"/>
      <c r="VAW27" s="21"/>
      <c r="VAX27" s="21"/>
      <c r="VBB27" s="15"/>
      <c r="VBH27" s="25"/>
      <c r="VBO27" s="21"/>
      <c r="VBP27" s="21"/>
      <c r="VBT27" s="15"/>
      <c r="VBZ27" s="25"/>
      <c r="VCG27" s="21"/>
      <c r="VCH27" s="21"/>
      <c r="VCL27" s="15"/>
      <c r="VCR27" s="25"/>
      <c r="VCY27" s="21"/>
      <c r="VCZ27" s="21"/>
      <c r="VDD27" s="15"/>
      <c r="VDJ27" s="25"/>
      <c r="VDQ27" s="21"/>
      <c r="VDR27" s="21"/>
      <c r="VDV27" s="15"/>
      <c r="VEB27" s="25"/>
      <c r="VEI27" s="21"/>
      <c r="VEJ27" s="21"/>
      <c r="VEN27" s="15"/>
      <c r="VET27" s="25"/>
      <c r="VFA27" s="21"/>
      <c r="VFB27" s="21"/>
      <c r="VFF27" s="15"/>
      <c r="VFL27" s="25"/>
      <c r="VFS27" s="21"/>
      <c r="VFT27" s="21"/>
      <c r="VFX27" s="15"/>
      <c r="VGD27" s="25"/>
      <c r="VGK27" s="21"/>
      <c r="VGL27" s="21"/>
      <c r="VGP27" s="15"/>
      <c r="VGV27" s="25"/>
      <c r="VHC27" s="21"/>
      <c r="VHD27" s="21"/>
      <c r="VHH27" s="15"/>
      <c r="VHN27" s="25"/>
      <c r="VHU27" s="21"/>
      <c r="VHV27" s="21"/>
      <c r="VHZ27" s="15"/>
      <c r="VIF27" s="25"/>
      <c r="VIM27" s="21"/>
      <c r="VIN27" s="21"/>
      <c r="VIR27" s="15"/>
      <c r="VIX27" s="25"/>
      <c r="VJE27" s="21"/>
      <c r="VJF27" s="21"/>
      <c r="VJJ27" s="15"/>
      <c r="VJP27" s="25"/>
      <c r="VJW27" s="21"/>
      <c r="VJX27" s="21"/>
      <c r="VKB27" s="15"/>
      <c r="VKH27" s="25"/>
      <c r="VKO27" s="21"/>
      <c r="VKP27" s="21"/>
      <c r="VKT27" s="15"/>
      <c r="VKZ27" s="25"/>
      <c r="VLG27" s="21"/>
      <c r="VLH27" s="21"/>
      <c r="VLL27" s="15"/>
      <c r="VLR27" s="25"/>
      <c r="VLY27" s="21"/>
      <c r="VLZ27" s="21"/>
      <c r="VMD27" s="15"/>
      <c r="VMJ27" s="25"/>
      <c r="VMQ27" s="21"/>
      <c r="VMR27" s="21"/>
      <c r="VMV27" s="15"/>
      <c r="VNB27" s="25"/>
      <c r="VNI27" s="21"/>
      <c r="VNJ27" s="21"/>
      <c r="VNN27" s="15"/>
      <c r="VNT27" s="25"/>
      <c r="VOA27" s="21"/>
      <c r="VOB27" s="21"/>
      <c r="VOF27" s="15"/>
      <c r="VOL27" s="25"/>
      <c r="VOS27" s="21"/>
      <c r="VOT27" s="21"/>
      <c r="VOX27" s="15"/>
      <c r="VPD27" s="25"/>
      <c r="VPK27" s="21"/>
      <c r="VPL27" s="21"/>
      <c r="VPP27" s="15"/>
      <c r="VPV27" s="25"/>
      <c r="VQC27" s="21"/>
      <c r="VQD27" s="21"/>
      <c r="VQH27" s="15"/>
      <c r="VQN27" s="25"/>
      <c r="VQU27" s="21"/>
      <c r="VQV27" s="21"/>
      <c r="VQZ27" s="15"/>
      <c r="VRF27" s="25"/>
      <c r="VRM27" s="21"/>
      <c r="VRN27" s="21"/>
      <c r="VRR27" s="15"/>
      <c r="VRX27" s="25"/>
      <c r="VSE27" s="21"/>
      <c r="VSF27" s="21"/>
      <c r="VSJ27" s="15"/>
      <c r="VSP27" s="25"/>
      <c r="VSW27" s="21"/>
      <c r="VSX27" s="21"/>
      <c r="VTB27" s="15"/>
      <c r="VTH27" s="25"/>
      <c r="VTO27" s="21"/>
      <c r="VTP27" s="21"/>
      <c r="VTT27" s="15"/>
      <c r="VTZ27" s="25"/>
      <c r="VUG27" s="21"/>
      <c r="VUH27" s="21"/>
      <c r="VUL27" s="15"/>
      <c r="VUR27" s="25"/>
      <c r="VUY27" s="21"/>
      <c r="VUZ27" s="21"/>
      <c r="VVD27" s="15"/>
      <c r="VVJ27" s="25"/>
      <c r="VVQ27" s="21"/>
      <c r="VVR27" s="21"/>
      <c r="VVV27" s="15"/>
      <c r="VWB27" s="25"/>
      <c r="VWI27" s="21"/>
      <c r="VWJ27" s="21"/>
      <c r="VWN27" s="15"/>
      <c r="VWT27" s="25"/>
      <c r="VXA27" s="21"/>
      <c r="VXB27" s="21"/>
      <c r="VXF27" s="15"/>
      <c r="VXL27" s="25"/>
      <c r="VXS27" s="21"/>
      <c r="VXT27" s="21"/>
      <c r="VXX27" s="15"/>
      <c r="VYD27" s="25"/>
      <c r="VYK27" s="21"/>
      <c r="VYL27" s="21"/>
      <c r="VYP27" s="15"/>
      <c r="VYV27" s="25"/>
      <c r="VZC27" s="21"/>
      <c r="VZD27" s="21"/>
      <c r="VZH27" s="15"/>
      <c r="VZN27" s="25"/>
      <c r="VZU27" s="21"/>
      <c r="VZV27" s="21"/>
      <c r="VZZ27" s="15"/>
      <c r="WAF27" s="25"/>
      <c r="WAM27" s="21"/>
      <c r="WAN27" s="21"/>
      <c r="WAR27" s="15"/>
      <c r="WAX27" s="25"/>
      <c r="WBE27" s="21"/>
      <c r="WBF27" s="21"/>
      <c r="WBJ27" s="15"/>
      <c r="WBP27" s="25"/>
      <c r="WBW27" s="21"/>
      <c r="WBX27" s="21"/>
      <c r="WCB27" s="15"/>
      <c r="WCH27" s="25"/>
      <c r="WCO27" s="21"/>
      <c r="WCP27" s="21"/>
      <c r="WCT27" s="15"/>
      <c r="WCZ27" s="25"/>
      <c r="WDG27" s="21"/>
      <c r="WDH27" s="21"/>
      <c r="WDL27" s="15"/>
      <c r="WDR27" s="25"/>
      <c r="WDY27" s="21"/>
      <c r="WDZ27" s="21"/>
      <c r="WED27" s="15"/>
      <c r="WEJ27" s="25"/>
      <c r="WEQ27" s="21"/>
      <c r="WER27" s="21"/>
      <c r="WEV27" s="15"/>
      <c r="WFB27" s="25"/>
      <c r="WFI27" s="21"/>
      <c r="WFJ27" s="21"/>
      <c r="WFN27" s="15"/>
      <c r="WFT27" s="25"/>
      <c r="WGA27" s="21"/>
      <c r="WGB27" s="21"/>
      <c r="WGF27" s="15"/>
      <c r="WGL27" s="25"/>
      <c r="WGS27" s="21"/>
      <c r="WGT27" s="21"/>
      <c r="WGX27" s="15"/>
      <c r="WHD27" s="25"/>
      <c r="WHK27" s="21"/>
      <c r="WHL27" s="21"/>
      <c r="WHP27" s="15"/>
      <c r="WHV27" s="25"/>
      <c r="WIC27" s="21"/>
      <c r="WID27" s="21"/>
      <c r="WIH27" s="15"/>
      <c r="WIN27" s="25"/>
      <c r="WIU27" s="21"/>
      <c r="WIV27" s="21"/>
      <c r="WIZ27" s="15"/>
      <c r="WJF27" s="25"/>
      <c r="WJM27" s="21"/>
      <c r="WJN27" s="21"/>
      <c r="WJR27" s="15"/>
      <c r="WJX27" s="25"/>
      <c r="WKE27" s="21"/>
      <c r="WKF27" s="21"/>
      <c r="WKJ27" s="15"/>
      <c r="WKP27" s="25"/>
      <c r="WKW27" s="21"/>
      <c r="WKX27" s="21"/>
      <c r="WLB27" s="15"/>
      <c r="WLH27" s="25"/>
      <c r="WLO27" s="21"/>
      <c r="WLP27" s="21"/>
      <c r="WLT27" s="15"/>
      <c r="WLZ27" s="25"/>
      <c r="WMG27" s="21"/>
      <c r="WMH27" s="21"/>
      <c r="WML27" s="15"/>
      <c r="WMR27" s="25"/>
      <c r="WMY27" s="21"/>
      <c r="WMZ27" s="21"/>
      <c r="WND27" s="15"/>
      <c r="WNJ27" s="25"/>
      <c r="WNQ27" s="21"/>
      <c r="WNR27" s="21"/>
      <c r="WNV27" s="15"/>
      <c r="WOB27" s="25"/>
      <c r="WOI27" s="21"/>
      <c r="WOJ27" s="21"/>
      <c r="WON27" s="15"/>
      <c r="WOT27" s="25"/>
      <c r="WPA27" s="21"/>
      <c r="WPB27" s="21"/>
      <c r="WPF27" s="15"/>
      <c r="WPL27" s="25"/>
      <c r="WPS27" s="21"/>
      <c r="WPT27" s="21"/>
      <c r="WPX27" s="15"/>
      <c r="WQD27" s="25"/>
      <c r="WQK27" s="21"/>
      <c r="WQL27" s="21"/>
      <c r="WQP27" s="15"/>
      <c r="WQV27" s="25"/>
      <c r="WRC27" s="21"/>
      <c r="WRD27" s="21"/>
      <c r="WRH27" s="15"/>
      <c r="WRN27" s="25"/>
      <c r="WRU27" s="21"/>
      <c r="WRV27" s="21"/>
      <c r="WRZ27" s="15"/>
      <c r="WSF27" s="25"/>
      <c r="WSM27" s="21"/>
      <c r="WSN27" s="21"/>
      <c r="WSR27" s="15"/>
      <c r="WSX27" s="25"/>
      <c r="WTE27" s="21"/>
      <c r="WTF27" s="21"/>
      <c r="WTJ27" s="15"/>
      <c r="WTP27" s="25"/>
      <c r="WTW27" s="21"/>
      <c r="WTX27" s="21"/>
      <c r="WUB27" s="15"/>
      <c r="WUH27" s="25"/>
      <c r="WUO27" s="21"/>
      <c r="WUP27" s="21"/>
      <c r="WUT27" s="15"/>
      <c r="WUZ27" s="25"/>
      <c r="WVG27" s="21"/>
      <c r="WVH27" s="21"/>
      <c r="WVL27" s="15"/>
      <c r="WVR27" s="25"/>
      <c r="WVY27" s="21"/>
      <c r="WVZ27" s="21"/>
      <c r="WWD27" s="15"/>
      <c r="WWJ27" s="25"/>
      <c r="WWQ27" s="21"/>
      <c r="WWR27" s="21"/>
      <c r="WWV27" s="15"/>
      <c r="WXB27" s="25"/>
      <c r="WXI27" s="21"/>
      <c r="WXJ27" s="21"/>
      <c r="WXN27" s="15"/>
      <c r="WXT27" s="25"/>
      <c r="WYA27" s="21"/>
      <c r="WYB27" s="21"/>
      <c r="WYF27" s="15"/>
      <c r="WYL27" s="25"/>
      <c r="WYS27" s="21"/>
      <c r="WYT27" s="21"/>
      <c r="WYX27" s="15"/>
      <c r="WZD27" s="25"/>
      <c r="WZK27" s="21"/>
      <c r="WZL27" s="21"/>
      <c r="WZP27" s="15"/>
      <c r="WZV27" s="25"/>
      <c r="XAC27" s="21"/>
      <c r="XAD27" s="21"/>
      <c r="XAH27" s="15"/>
      <c r="XAN27" s="25"/>
      <c r="XAU27" s="21"/>
      <c r="XAV27" s="21"/>
      <c r="XAZ27" s="15"/>
      <c r="XBF27" s="25"/>
      <c r="XBM27" s="21"/>
      <c r="XBN27" s="21"/>
      <c r="XBR27" s="15"/>
      <c r="XBX27" s="25"/>
      <c r="XCE27" s="21"/>
      <c r="XCF27" s="21"/>
      <c r="XCJ27" s="15"/>
      <c r="XCP27" s="25"/>
      <c r="XCW27" s="21"/>
      <c r="XCX27" s="21"/>
      <c r="XDB27" s="15"/>
      <c r="XDH27" s="25"/>
      <c r="XDO27" s="21"/>
      <c r="XDP27" s="21"/>
      <c r="XDT27" s="15"/>
      <c r="XDZ27" s="25"/>
      <c r="XEG27" s="21"/>
      <c r="XEH27" s="21"/>
      <c r="XEL27" s="15"/>
      <c r="XER27" s="25"/>
      <c r="XEY27" s="21"/>
      <c r="XEZ27" s="21"/>
      <c r="XFD27" s="15"/>
    </row>
    <row r="28" spans="1:1018 1025:2044 2051:3070 3077:4096 4103:5116 5122:6142 6148:7168 7174:8190 8194:9216 9220:10234 10241:11260 11267:12286 12293:13312 13319:14332 14338:15358 15364:16384" s="24" customFormat="1">
      <c r="A28" s="21" t="s">
        <v>106</v>
      </c>
      <c r="B28" s="12">
        <v>2003</v>
      </c>
      <c r="C28" s="19" t="s">
        <v>101</v>
      </c>
      <c r="D28" s="22" t="s">
        <v>86</v>
      </c>
      <c r="E28" s="43" t="s">
        <v>102</v>
      </c>
      <c r="F28" s="19" t="s">
        <v>103</v>
      </c>
      <c r="G28" s="44">
        <v>753768010</v>
      </c>
      <c r="H28" s="20">
        <v>120983440</v>
      </c>
      <c r="I28" s="12">
        <v>4</v>
      </c>
      <c r="J28" s="23" t="s">
        <v>104</v>
      </c>
      <c r="K28" s="22"/>
      <c r="L28" s="22"/>
      <c r="M28" s="22" t="s">
        <v>26</v>
      </c>
      <c r="N28" s="12"/>
      <c r="O28" s="22"/>
      <c r="P28" s="12"/>
      <c r="Q28" s="22" t="s">
        <v>27</v>
      </c>
      <c r="R28" s="22" t="s">
        <v>28</v>
      </c>
      <c r="V28" s="15"/>
      <c r="AB28" s="25"/>
      <c r="AI28" s="21"/>
      <c r="AJ28" s="21"/>
      <c r="AN28" s="15"/>
      <c r="AT28" s="25"/>
      <c r="BA28" s="21"/>
      <c r="BB28" s="21"/>
      <c r="BF28" s="15"/>
      <c r="BL28" s="25"/>
      <c r="BS28" s="21"/>
      <c r="BT28" s="21"/>
      <c r="BX28" s="15"/>
      <c r="CD28" s="25"/>
      <c r="CK28" s="21"/>
      <c r="CL28" s="21"/>
      <c r="CP28" s="15"/>
      <c r="CV28" s="25"/>
      <c r="DC28" s="21"/>
      <c r="DD28" s="21"/>
      <c r="DH28" s="15"/>
      <c r="DN28" s="25"/>
      <c r="DU28" s="21"/>
      <c r="DV28" s="21"/>
      <c r="DZ28" s="15"/>
      <c r="EF28" s="25"/>
      <c r="EM28" s="21"/>
      <c r="EN28" s="21"/>
      <c r="ER28" s="15"/>
      <c r="EX28" s="25"/>
      <c r="FE28" s="21"/>
      <c r="FF28" s="21"/>
      <c r="FJ28" s="15"/>
      <c r="FP28" s="25"/>
      <c r="FW28" s="21"/>
      <c r="FX28" s="21"/>
      <c r="GB28" s="15"/>
      <c r="GH28" s="25"/>
      <c r="GO28" s="21"/>
      <c r="GP28" s="21"/>
      <c r="GT28" s="15"/>
      <c r="GZ28" s="25"/>
      <c r="HG28" s="21"/>
      <c r="HH28" s="21"/>
      <c r="HL28" s="15"/>
      <c r="HR28" s="25"/>
      <c r="HY28" s="21"/>
      <c r="HZ28" s="21"/>
      <c r="ID28" s="15"/>
      <c r="IJ28" s="25"/>
      <c r="IQ28" s="21"/>
      <c r="IR28" s="21"/>
      <c r="IV28" s="15"/>
      <c r="JB28" s="25"/>
      <c r="JI28" s="21"/>
      <c r="JJ28" s="21"/>
      <c r="JN28" s="15"/>
      <c r="JT28" s="25"/>
      <c r="KA28" s="21"/>
      <c r="KB28" s="21"/>
      <c r="KF28" s="15"/>
      <c r="KL28" s="25"/>
      <c r="KS28" s="21"/>
      <c r="KT28" s="21"/>
      <c r="KX28" s="15"/>
      <c r="LD28" s="25"/>
      <c r="LK28" s="21"/>
      <c r="LL28" s="21"/>
      <c r="LP28" s="15"/>
      <c r="LV28" s="25"/>
      <c r="MC28" s="21"/>
      <c r="MD28" s="21"/>
      <c r="MH28" s="15"/>
      <c r="MN28" s="25"/>
      <c r="MU28" s="21"/>
      <c r="MV28" s="21"/>
      <c r="MZ28" s="15"/>
      <c r="NF28" s="25"/>
      <c r="NM28" s="21"/>
      <c r="NN28" s="21"/>
      <c r="NR28" s="15"/>
      <c r="NX28" s="25"/>
      <c r="OE28" s="21"/>
      <c r="OF28" s="21"/>
      <c r="OJ28" s="15"/>
      <c r="OP28" s="25"/>
      <c r="OW28" s="21"/>
      <c r="OX28" s="21"/>
      <c r="PB28" s="15"/>
      <c r="PH28" s="25"/>
      <c r="PO28" s="21"/>
      <c r="PP28" s="21"/>
      <c r="PT28" s="15"/>
      <c r="PZ28" s="25"/>
      <c r="QG28" s="21"/>
      <c r="QH28" s="21"/>
      <c r="QL28" s="15"/>
      <c r="QR28" s="25"/>
      <c r="QY28" s="21"/>
      <c r="QZ28" s="21"/>
      <c r="RD28" s="15"/>
      <c r="RJ28" s="25"/>
      <c r="RQ28" s="21"/>
      <c r="RR28" s="21"/>
      <c r="RV28" s="15"/>
      <c r="SB28" s="25"/>
      <c r="SI28" s="21"/>
      <c r="SJ28" s="21"/>
      <c r="SN28" s="15"/>
      <c r="ST28" s="25"/>
      <c r="TA28" s="21"/>
      <c r="TB28" s="21"/>
      <c r="TF28" s="15"/>
      <c r="TL28" s="25"/>
      <c r="TS28" s="21"/>
      <c r="TT28" s="21"/>
      <c r="TX28" s="15"/>
      <c r="UD28" s="25"/>
      <c r="UK28" s="21"/>
      <c r="UL28" s="21"/>
      <c r="UP28" s="15"/>
      <c r="UV28" s="25"/>
      <c r="VC28" s="21"/>
      <c r="VD28" s="21"/>
      <c r="VH28" s="15"/>
      <c r="VN28" s="25"/>
      <c r="VU28" s="21"/>
      <c r="VV28" s="21"/>
      <c r="VZ28" s="15"/>
      <c r="WF28" s="25"/>
      <c r="WM28" s="21"/>
      <c r="WN28" s="21"/>
      <c r="WR28" s="15"/>
      <c r="WX28" s="25"/>
      <c r="XE28" s="21"/>
      <c r="XF28" s="21"/>
      <c r="XJ28" s="15"/>
      <c r="XP28" s="25"/>
      <c r="XW28" s="21"/>
      <c r="XX28" s="21"/>
      <c r="YB28" s="15"/>
      <c r="YH28" s="25"/>
      <c r="YO28" s="21"/>
      <c r="YP28" s="21"/>
      <c r="YT28" s="15"/>
      <c r="YZ28" s="25"/>
      <c r="ZG28" s="21"/>
      <c r="ZH28" s="21"/>
      <c r="ZL28" s="15"/>
      <c r="ZR28" s="25"/>
      <c r="ZY28" s="21"/>
      <c r="ZZ28" s="21"/>
      <c r="AAD28" s="15"/>
      <c r="AAJ28" s="25"/>
      <c r="AAQ28" s="21"/>
      <c r="AAR28" s="21"/>
      <c r="AAV28" s="15"/>
      <c r="ABB28" s="25"/>
      <c r="ABI28" s="21"/>
      <c r="ABJ28" s="21"/>
      <c r="ABN28" s="15"/>
      <c r="ABT28" s="25"/>
      <c r="ACA28" s="21"/>
      <c r="ACB28" s="21"/>
      <c r="ACF28" s="15"/>
      <c r="ACL28" s="25"/>
      <c r="ACS28" s="21"/>
      <c r="ACT28" s="21"/>
      <c r="ACX28" s="15"/>
      <c r="ADD28" s="25"/>
      <c r="ADK28" s="21"/>
      <c r="ADL28" s="21"/>
      <c r="ADP28" s="15"/>
      <c r="ADV28" s="25"/>
      <c r="AEC28" s="21"/>
      <c r="AED28" s="21"/>
      <c r="AEH28" s="15"/>
      <c r="AEN28" s="25"/>
      <c r="AEU28" s="21"/>
      <c r="AEV28" s="21"/>
      <c r="AEZ28" s="15"/>
      <c r="AFF28" s="25"/>
      <c r="AFM28" s="21"/>
      <c r="AFN28" s="21"/>
      <c r="AFR28" s="15"/>
      <c r="AFX28" s="25"/>
      <c r="AGE28" s="21"/>
      <c r="AGF28" s="21"/>
      <c r="AGJ28" s="15"/>
      <c r="AGP28" s="25"/>
      <c r="AGW28" s="21"/>
      <c r="AGX28" s="21"/>
      <c r="AHB28" s="15"/>
      <c r="AHH28" s="25"/>
      <c r="AHO28" s="21"/>
      <c r="AHP28" s="21"/>
      <c r="AHT28" s="15"/>
      <c r="AHZ28" s="25"/>
      <c r="AIG28" s="21"/>
      <c r="AIH28" s="21"/>
      <c r="AIL28" s="15"/>
      <c r="AIR28" s="25"/>
      <c r="AIY28" s="21"/>
      <c r="AIZ28" s="21"/>
      <c r="AJD28" s="15"/>
      <c r="AJJ28" s="25"/>
      <c r="AJQ28" s="21"/>
      <c r="AJR28" s="21"/>
      <c r="AJV28" s="15"/>
      <c r="AKB28" s="25"/>
      <c r="AKI28" s="21"/>
      <c r="AKJ28" s="21"/>
      <c r="AKN28" s="15"/>
      <c r="AKT28" s="25"/>
      <c r="ALA28" s="21"/>
      <c r="ALB28" s="21"/>
      <c r="ALF28" s="15"/>
      <c r="ALL28" s="25"/>
      <c r="ALS28" s="21"/>
      <c r="ALT28" s="21"/>
      <c r="ALX28" s="15"/>
      <c r="AMD28" s="25"/>
      <c r="AMK28" s="21"/>
      <c r="AML28" s="21"/>
      <c r="AMP28" s="15"/>
      <c r="AMV28" s="25"/>
      <c r="ANC28" s="21"/>
      <c r="AND28" s="21"/>
      <c r="ANH28" s="15"/>
      <c r="ANN28" s="25"/>
      <c r="ANU28" s="21"/>
      <c r="ANV28" s="21"/>
      <c r="ANZ28" s="15"/>
      <c r="AOF28" s="25"/>
      <c r="AOM28" s="21"/>
      <c r="AON28" s="21"/>
      <c r="AOR28" s="15"/>
      <c r="AOX28" s="25"/>
      <c r="APE28" s="21"/>
      <c r="APF28" s="21"/>
      <c r="APJ28" s="15"/>
      <c r="APP28" s="25"/>
      <c r="APW28" s="21"/>
      <c r="APX28" s="21"/>
      <c r="AQB28" s="15"/>
      <c r="AQH28" s="25"/>
      <c r="AQO28" s="21"/>
      <c r="AQP28" s="21"/>
      <c r="AQT28" s="15"/>
      <c r="AQZ28" s="25"/>
      <c r="ARG28" s="21"/>
      <c r="ARH28" s="21"/>
      <c r="ARL28" s="15"/>
      <c r="ARR28" s="25"/>
      <c r="ARY28" s="21"/>
      <c r="ARZ28" s="21"/>
      <c r="ASD28" s="15"/>
      <c r="ASJ28" s="25"/>
      <c r="ASQ28" s="21"/>
      <c r="ASR28" s="21"/>
      <c r="ASV28" s="15"/>
      <c r="ATB28" s="25"/>
      <c r="ATI28" s="21"/>
      <c r="ATJ28" s="21"/>
      <c r="ATN28" s="15"/>
      <c r="ATT28" s="25"/>
      <c r="AUA28" s="21"/>
      <c r="AUB28" s="21"/>
      <c r="AUF28" s="15"/>
      <c r="AUL28" s="25"/>
      <c r="AUS28" s="21"/>
      <c r="AUT28" s="21"/>
      <c r="AUX28" s="15"/>
      <c r="AVD28" s="25"/>
      <c r="AVK28" s="21"/>
      <c r="AVL28" s="21"/>
      <c r="AVP28" s="15"/>
      <c r="AVV28" s="25"/>
      <c r="AWC28" s="21"/>
      <c r="AWD28" s="21"/>
      <c r="AWH28" s="15"/>
      <c r="AWN28" s="25"/>
      <c r="AWU28" s="21"/>
      <c r="AWV28" s="21"/>
      <c r="AWZ28" s="15"/>
      <c r="AXF28" s="25"/>
      <c r="AXM28" s="21"/>
      <c r="AXN28" s="21"/>
      <c r="AXR28" s="15"/>
      <c r="AXX28" s="25"/>
      <c r="AYE28" s="21"/>
      <c r="AYF28" s="21"/>
      <c r="AYJ28" s="15"/>
      <c r="AYP28" s="25"/>
      <c r="AYW28" s="21"/>
      <c r="AYX28" s="21"/>
      <c r="AZB28" s="15"/>
      <c r="AZH28" s="25"/>
      <c r="AZO28" s="21"/>
      <c r="AZP28" s="21"/>
      <c r="AZT28" s="15"/>
      <c r="AZZ28" s="25"/>
      <c r="BAG28" s="21"/>
      <c r="BAH28" s="21"/>
      <c r="BAL28" s="15"/>
      <c r="BAR28" s="25"/>
      <c r="BAY28" s="21"/>
      <c r="BAZ28" s="21"/>
      <c r="BBD28" s="15"/>
      <c r="BBJ28" s="25"/>
      <c r="BBQ28" s="21"/>
      <c r="BBR28" s="21"/>
      <c r="BBV28" s="15"/>
      <c r="BCB28" s="25"/>
      <c r="BCI28" s="21"/>
      <c r="BCJ28" s="21"/>
      <c r="BCN28" s="15"/>
      <c r="BCT28" s="25"/>
      <c r="BDA28" s="21"/>
      <c r="BDB28" s="21"/>
      <c r="BDF28" s="15"/>
      <c r="BDL28" s="25"/>
      <c r="BDS28" s="21"/>
      <c r="BDT28" s="21"/>
      <c r="BDX28" s="15"/>
      <c r="BED28" s="25"/>
      <c r="BEK28" s="21"/>
      <c r="BEL28" s="21"/>
      <c r="BEP28" s="15"/>
      <c r="BEV28" s="25"/>
      <c r="BFC28" s="21"/>
      <c r="BFD28" s="21"/>
      <c r="BFH28" s="15"/>
      <c r="BFN28" s="25"/>
      <c r="BFU28" s="21"/>
      <c r="BFV28" s="21"/>
      <c r="BFZ28" s="15"/>
      <c r="BGF28" s="25"/>
      <c r="BGM28" s="21"/>
      <c r="BGN28" s="21"/>
      <c r="BGR28" s="15"/>
      <c r="BGX28" s="25"/>
      <c r="BHE28" s="21"/>
      <c r="BHF28" s="21"/>
      <c r="BHJ28" s="15"/>
      <c r="BHP28" s="25"/>
      <c r="BHW28" s="21"/>
      <c r="BHX28" s="21"/>
      <c r="BIB28" s="15"/>
      <c r="BIH28" s="25"/>
      <c r="BIO28" s="21"/>
      <c r="BIP28" s="21"/>
      <c r="BIT28" s="15"/>
      <c r="BIZ28" s="25"/>
      <c r="BJG28" s="21"/>
      <c r="BJH28" s="21"/>
      <c r="BJL28" s="15"/>
      <c r="BJR28" s="25"/>
      <c r="BJY28" s="21"/>
      <c r="BJZ28" s="21"/>
      <c r="BKD28" s="15"/>
      <c r="BKJ28" s="25"/>
      <c r="BKQ28" s="21"/>
      <c r="BKR28" s="21"/>
      <c r="BKV28" s="15"/>
      <c r="BLB28" s="25"/>
      <c r="BLI28" s="21"/>
      <c r="BLJ28" s="21"/>
      <c r="BLN28" s="15"/>
      <c r="BLT28" s="25"/>
      <c r="BMA28" s="21"/>
      <c r="BMB28" s="21"/>
      <c r="BMF28" s="15"/>
      <c r="BML28" s="25"/>
      <c r="BMS28" s="21"/>
      <c r="BMT28" s="21"/>
      <c r="BMX28" s="15"/>
      <c r="BND28" s="25"/>
      <c r="BNK28" s="21"/>
      <c r="BNL28" s="21"/>
      <c r="BNP28" s="15"/>
      <c r="BNV28" s="25"/>
      <c r="BOC28" s="21"/>
      <c r="BOD28" s="21"/>
      <c r="BOH28" s="15"/>
      <c r="BON28" s="25"/>
      <c r="BOU28" s="21"/>
      <c r="BOV28" s="21"/>
      <c r="BOZ28" s="15"/>
      <c r="BPF28" s="25"/>
      <c r="BPM28" s="21"/>
      <c r="BPN28" s="21"/>
      <c r="BPR28" s="15"/>
      <c r="BPX28" s="25"/>
      <c r="BQE28" s="21"/>
      <c r="BQF28" s="21"/>
      <c r="BQJ28" s="15"/>
      <c r="BQP28" s="25"/>
      <c r="BQW28" s="21"/>
      <c r="BQX28" s="21"/>
      <c r="BRB28" s="15"/>
      <c r="BRH28" s="25"/>
      <c r="BRO28" s="21"/>
      <c r="BRP28" s="21"/>
      <c r="BRT28" s="15"/>
      <c r="BRZ28" s="25"/>
      <c r="BSG28" s="21"/>
      <c r="BSH28" s="21"/>
      <c r="BSL28" s="15"/>
      <c r="BSR28" s="25"/>
      <c r="BSY28" s="21"/>
      <c r="BSZ28" s="21"/>
      <c r="BTD28" s="15"/>
      <c r="BTJ28" s="25"/>
      <c r="BTQ28" s="21"/>
      <c r="BTR28" s="21"/>
      <c r="BTV28" s="15"/>
      <c r="BUB28" s="25"/>
      <c r="BUI28" s="21"/>
      <c r="BUJ28" s="21"/>
      <c r="BUN28" s="15"/>
      <c r="BUT28" s="25"/>
      <c r="BVA28" s="21"/>
      <c r="BVB28" s="21"/>
      <c r="BVF28" s="15"/>
      <c r="BVL28" s="25"/>
      <c r="BVS28" s="21"/>
      <c r="BVT28" s="21"/>
      <c r="BVX28" s="15"/>
      <c r="BWD28" s="25"/>
      <c r="BWK28" s="21"/>
      <c r="BWL28" s="21"/>
      <c r="BWP28" s="15"/>
      <c r="BWV28" s="25"/>
      <c r="BXC28" s="21"/>
      <c r="BXD28" s="21"/>
      <c r="BXH28" s="15"/>
      <c r="BXN28" s="25"/>
      <c r="BXU28" s="21"/>
      <c r="BXV28" s="21"/>
      <c r="BXZ28" s="15"/>
      <c r="BYF28" s="25"/>
      <c r="BYM28" s="21"/>
      <c r="BYN28" s="21"/>
      <c r="BYR28" s="15"/>
      <c r="BYX28" s="25"/>
      <c r="BZE28" s="21"/>
      <c r="BZF28" s="21"/>
      <c r="BZJ28" s="15"/>
      <c r="BZP28" s="25"/>
      <c r="BZW28" s="21"/>
      <c r="BZX28" s="21"/>
      <c r="CAB28" s="15"/>
      <c r="CAH28" s="25"/>
      <c r="CAO28" s="21"/>
      <c r="CAP28" s="21"/>
      <c r="CAT28" s="15"/>
      <c r="CAZ28" s="25"/>
      <c r="CBG28" s="21"/>
      <c r="CBH28" s="21"/>
      <c r="CBL28" s="15"/>
      <c r="CBR28" s="25"/>
      <c r="CBY28" s="21"/>
      <c r="CBZ28" s="21"/>
      <c r="CCD28" s="15"/>
      <c r="CCJ28" s="25"/>
      <c r="CCQ28" s="21"/>
      <c r="CCR28" s="21"/>
      <c r="CCV28" s="15"/>
      <c r="CDB28" s="25"/>
      <c r="CDI28" s="21"/>
      <c r="CDJ28" s="21"/>
      <c r="CDN28" s="15"/>
      <c r="CDT28" s="25"/>
      <c r="CEA28" s="21"/>
      <c r="CEB28" s="21"/>
      <c r="CEF28" s="15"/>
      <c r="CEL28" s="25"/>
      <c r="CES28" s="21"/>
      <c r="CET28" s="21"/>
      <c r="CEX28" s="15"/>
      <c r="CFD28" s="25"/>
      <c r="CFK28" s="21"/>
      <c r="CFL28" s="21"/>
      <c r="CFP28" s="15"/>
      <c r="CFV28" s="25"/>
      <c r="CGC28" s="21"/>
      <c r="CGD28" s="21"/>
      <c r="CGH28" s="15"/>
      <c r="CGN28" s="25"/>
      <c r="CGU28" s="21"/>
      <c r="CGV28" s="21"/>
      <c r="CGZ28" s="15"/>
      <c r="CHF28" s="25"/>
      <c r="CHM28" s="21"/>
      <c r="CHN28" s="21"/>
      <c r="CHR28" s="15"/>
      <c r="CHX28" s="25"/>
      <c r="CIE28" s="21"/>
      <c r="CIF28" s="21"/>
      <c r="CIJ28" s="15"/>
      <c r="CIP28" s="25"/>
      <c r="CIW28" s="21"/>
      <c r="CIX28" s="21"/>
      <c r="CJB28" s="15"/>
      <c r="CJH28" s="25"/>
      <c r="CJO28" s="21"/>
      <c r="CJP28" s="21"/>
      <c r="CJT28" s="15"/>
      <c r="CJZ28" s="25"/>
      <c r="CKG28" s="21"/>
      <c r="CKH28" s="21"/>
      <c r="CKL28" s="15"/>
      <c r="CKR28" s="25"/>
      <c r="CKY28" s="21"/>
      <c r="CKZ28" s="21"/>
      <c r="CLD28" s="15"/>
      <c r="CLJ28" s="25"/>
      <c r="CLQ28" s="21"/>
      <c r="CLR28" s="21"/>
      <c r="CLV28" s="15"/>
      <c r="CMB28" s="25"/>
      <c r="CMI28" s="21"/>
      <c r="CMJ28" s="21"/>
      <c r="CMN28" s="15"/>
      <c r="CMT28" s="25"/>
      <c r="CNA28" s="21"/>
      <c r="CNB28" s="21"/>
      <c r="CNF28" s="15"/>
      <c r="CNL28" s="25"/>
      <c r="CNS28" s="21"/>
      <c r="CNT28" s="21"/>
      <c r="CNX28" s="15"/>
      <c r="COD28" s="25"/>
      <c r="COK28" s="21"/>
      <c r="COL28" s="21"/>
      <c r="COP28" s="15"/>
      <c r="COV28" s="25"/>
      <c r="CPC28" s="21"/>
      <c r="CPD28" s="21"/>
      <c r="CPH28" s="15"/>
      <c r="CPN28" s="25"/>
      <c r="CPU28" s="21"/>
      <c r="CPV28" s="21"/>
      <c r="CPZ28" s="15"/>
      <c r="CQF28" s="25"/>
      <c r="CQM28" s="21"/>
      <c r="CQN28" s="21"/>
      <c r="CQR28" s="15"/>
      <c r="CQX28" s="25"/>
      <c r="CRE28" s="21"/>
      <c r="CRF28" s="21"/>
      <c r="CRJ28" s="15"/>
      <c r="CRP28" s="25"/>
      <c r="CRW28" s="21"/>
      <c r="CRX28" s="21"/>
      <c r="CSB28" s="15"/>
      <c r="CSH28" s="25"/>
      <c r="CSO28" s="21"/>
      <c r="CSP28" s="21"/>
      <c r="CST28" s="15"/>
      <c r="CSZ28" s="25"/>
      <c r="CTG28" s="21"/>
      <c r="CTH28" s="21"/>
      <c r="CTL28" s="15"/>
      <c r="CTR28" s="25"/>
      <c r="CTY28" s="21"/>
      <c r="CTZ28" s="21"/>
      <c r="CUD28" s="15"/>
      <c r="CUJ28" s="25"/>
      <c r="CUQ28" s="21"/>
      <c r="CUR28" s="21"/>
      <c r="CUV28" s="15"/>
      <c r="CVB28" s="25"/>
      <c r="CVI28" s="21"/>
      <c r="CVJ28" s="21"/>
      <c r="CVN28" s="15"/>
      <c r="CVT28" s="25"/>
      <c r="CWA28" s="21"/>
      <c r="CWB28" s="21"/>
      <c r="CWF28" s="15"/>
      <c r="CWL28" s="25"/>
      <c r="CWS28" s="21"/>
      <c r="CWT28" s="21"/>
      <c r="CWX28" s="15"/>
      <c r="CXD28" s="25"/>
      <c r="CXK28" s="21"/>
      <c r="CXL28" s="21"/>
      <c r="CXP28" s="15"/>
      <c r="CXV28" s="25"/>
      <c r="CYC28" s="21"/>
      <c r="CYD28" s="21"/>
      <c r="CYH28" s="15"/>
      <c r="CYN28" s="25"/>
      <c r="CYU28" s="21"/>
      <c r="CYV28" s="21"/>
      <c r="CYZ28" s="15"/>
      <c r="CZF28" s="25"/>
      <c r="CZM28" s="21"/>
      <c r="CZN28" s="21"/>
      <c r="CZR28" s="15"/>
      <c r="CZX28" s="25"/>
      <c r="DAE28" s="21"/>
      <c r="DAF28" s="21"/>
      <c r="DAJ28" s="15"/>
      <c r="DAP28" s="25"/>
      <c r="DAW28" s="21"/>
      <c r="DAX28" s="21"/>
      <c r="DBB28" s="15"/>
      <c r="DBH28" s="25"/>
      <c r="DBO28" s="21"/>
      <c r="DBP28" s="21"/>
      <c r="DBT28" s="15"/>
      <c r="DBZ28" s="25"/>
      <c r="DCG28" s="21"/>
      <c r="DCH28" s="21"/>
      <c r="DCL28" s="15"/>
      <c r="DCR28" s="25"/>
      <c r="DCY28" s="21"/>
      <c r="DCZ28" s="21"/>
      <c r="DDD28" s="15"/>
      <c r="DDJ28" s="25"/>
      <c r="DDQ28" s="21"/>
      <c r="DDR28" s="21"/>
      <c r="DDV28" s="15"/>
      <c r="DEB28" s="25"/>
      <c r="DEI28" s="21"/>
      <c r="DEJ28" s="21"/>
      <c r="DEN28" s="15"/>
      <c r="DET28" s="25"/>
      <c r="DFA28" s="21"/>
      <c r="DFB28" s="21"/>
      <c r="DFF28" s="15"/>
      <c r="DFL28" s="25"/>
      <c r="DFS28" s="21"/>
      <c r="DFT28" s="21"/>
      <c r="DFX28" s="15"/>
      <c r="DGD28" s="25"/>
      <c r="DGK28" s="21"/>
      <c r="DGL28" s="21"/>
      <c r="DGP28" s="15"/>
      <c r="DGV28" s="25"/>
      <c r="DHC28" s="21"/>
      <c r="DHD28" s="21"/>
      <c r="DHH28" s="15"/>
      <c r="DHN28" s="25"/>
      <c r="DHU28" s="21"/>
      <c r="DHV28" s="21"/>
      <c r="DHZ28" s="15"/>
      <c r="DIF28" s="25"/>
      <c r="DIM28" s="21"/>
      <c r="DIN28" s="21"/>
      <c r="DIR28" s="15"/>
      <c r="DIX28" s="25"/>
      <c r="DJE28" s="21"/>
      <c r="DJF28" s="21"/>
      <c r="DJJ28" s="15"/>
      <c r="DJP28" s="25"/>
      <c r="DJW28" s="21"/>
      <c r="DJX28" s="21"/>
      <c r="DKB28" s="15"/>
      <c r="DKH28" s="25"/>
      <c r="DKO28" s="21"/>
      <c r="DKP28" s="21"/>
      <c r="DKT28" s="15"/>
      <c r="DKZ28" s="25"/>
      <c r="DLG28" s="21"/>
      <c r="DLH28" s="21"/>
      <c r="DLL28" s="15"/>
      <c r="DLR28" s="25"/>
      <c r="DLY28" s="21"/>
      <c r="DLZ28" s="21"/>
      <c r="DMD28" s="15"/>
      <c r="DMJ28" s="25"/>
      <c r="DMQ28" s="21"/>
      <c r="DMR28" s="21"/>
      <c r="DMV28" s="15"/>
      <c r="DNB28" s="25"/>
      <c r="DNI28" s="21"/>
      <c r="DNJ28" s="21"/>
      <c r="DNN28" s="15"/>
      <c r="DNT28" s="25"/>
      <c r="DOA28" s="21"/>
      <c r="DOB28" s="21"/>
      <c r="DOF28" s="15"/>
      <c r="DOL28" s="25"/>
      <c r="DOS28" s="21"/>
      <c r="DOT28" s="21"/>
      <c r="DOX28" s="15"/>
      <c r="DPD28" s="25"/>
      <c r="DPK28" s="21"/>
      <c r="DPL28" s="21"/>
      <c r="DPP28" s="15"/>
      <c r="DPV28" s="25"/>
      <c r="DQC28" s="21"/>
      <c r="DQD28" s="21"/>
      <c r="DQH28" s="15"/>
      <c r="DQN28" s="25"/>
      <c r="DQU28" s="21"/>
      <c r="DQV28" s="21"/>
      <c r="DQZ28" s="15"/>
      <c r="DRF28" s="25"/>
      <c r="DRM28" s="21"/>
      <c r="DRN28" s="21"/>
      <c r="DRR28" s="15"/>
      <c r="DRX28" s="25"/>
      <c r="DSE28" s="21"/>
      <c r="DSF28" s="21"/>
      <c r="DSJ28" s="15"/>
      <c r="DSP28" s="25"/>
      <c r="DSW28" s="21"/>
      <c r="DSX28" s="21"/>
      <c r="DTB28" s="15"/>
      <c r="DTH28" s="25"/>
      <c r="DTO28" s="21"/>
      <c r="DTP28" s="21"/>
      <c r="DTT28" s="15"/>
      <c r="DTZ28" s="25"/>
      <c r="DUG28" s="21"/>
      <c r="DUH28" s="21"/>
      <c r="DUL28" s="15"/>
      <c r="DUR28" s="25"/>
      <c r="DUY28" s="21"/>
      <c r="DUZ28" s="21"/>
      <c r="DVD28" s="15"/>
      <c r="DVJ28" s="25"/>
      <c r="DVQ28" s="21"/>
      <c r="DVR28" s="21"/>
      <c r="DVV28" s="15"/>
      <c r="DWB28" s="25"/>
      <c r="DWI28" s="21"/>
      <c r="DWJ28" s="21"/>
      <c r="DWN28" s="15"/>
      <c r="DWT28" s="25"/>
      <c r="DXA28" s="21"/>
      <c r="DXB28" s="21"/>
      <c r="DXF28" s="15"/>
      <c r="DXL28" s="25"/>
      <c r="DXS28" s="21"/>
      <c r="DXT28" s="21"/>
      <c r="DXX28" s="15"/>
      <c r="DYD28" s="25"/>
      <c r="DYK28" s="21"/>
      <c r="DYL28" s="21"/>
      <c r="DYP28" s="15"/>
      <c r="DYV28" s="25"/>
      <c r="DZC28" s="21"/>
      <c r="DZD28" s="21"/>
      <c r="DZH28" s="15"/>
      <c r="DZN28" s="25"/>
      <c r="DZU28" s="21"/>
      <c r="DZV28" s="21"/>
      <c r="DZZ28" s="15"/>
      <c r="EAF28" s="25"/>
      <c r="EAM28" s="21"/>
      <c r="EAN28" s="21"/>
      <c r="EAR28" s="15"/>
      <c r="EAX28" s="25"/>
      <c r="EBE28" s="21"/>
      <c r="EBF28" s="21"/>
      <c r="EBJ28" s="15"/>
      <c r="EBP28" s="25"/>
      <c r="EBW28" s="21"/>
      <c r="EBX28" s="21"/>
      <c r="ECB28" s="15"/>
      <c r="ECH28" s="25"/>
      <c r="ECO28" s="21"/>
      <c r="ECP28" s="21"/>
      <c r="ECT28" s="15"/>
      <c r="ECZ28" s="25"/>
      <c r="EDG28" s="21"/>
      <c r="EDH28" s="21"/>
      <c r="EDL28" s="15"/>
      <c r="EDR28" s="25"/>
      <c r="EDY28" s="21"/>
      <c r="EDZ28" s="21"/>
      <c r="EED28" s="15"/>
      <c r="EEJ28" s="25"/>
      <c r="EEQ28" s="21"/>
      <c r="EER28" s="21"/>
      <c r="EEV28" s="15"/>
      <c r="EFB28" s="25"/>
      <c r="EFI28" s="21"/>
      <c r="EFJ28" s="21"/>
      <c r="EFN28" s="15"/>
      <c r="EFT28" s="25"/>
      <c r="EGA28" s="21"/>
      <c r="EGB28" s="21"/>
      <c r="EGF28" s="15"/>
      <c r="EGL28" s="25"/>
      <c r="EGS28" s="21"/>
      <c r="EGT28" s="21"/>
      <c r="EGX28" s="15"/>
      <c r="EHD28" s="25"/>
      <c r="EHK28" s="21"/>
      <c r="EHL28" s="21"/>
      <c r="EHP28" s="15"/>
      <c r="EHV28" s="25"/>
      <c r="EIC28" s="21"/>
      <c r="EID28" s="21"/>
      <c r="EIH28" s="15"/>
      <c r="EIN28" s="25"/>
      <c r="EIU28" s="21"/>
      <c r="EIV28" s="21"/>
      <c r="EIZ28" s="15"/>
      <c r="EJF28" s="25"/>
      <c r="EJM28" s="21"/>
      <c r="EJN28" s="21"/>
      <c r="EJR28" s="15"/>
      <c r="EJX28" s="25"/>
      <c r="EKE28" s="21"/>
      <c r="EKF28" s="21"/>
      <c r="EKJ28" s="15"/>
      <c r="EKP28" s="25"/>
      <c r="EKW28" s="21"/>
      <c r="EKX28" s="21"/>
      <c r="ELB28" s="15"/>
      <c r="ELH28" s="25"/>
      <c r="ELO28" s="21"/>
      <c r="ELP28" s="21"/>
      <c r="ELT28" s="15"/>
      <c r="ELZ28" s="25"/>
      <c r="EMG28" s="21"/>
      <c r="EMH28" s="21"/>
      <c r="EML28" s="15"/>
      <c r="EMR28" s="25"/>
      <c r="EMY28" s="21"/>
      <c r="EMZ28" s="21"/>
      <c r="END28" s="15"/>
      <c r="ENJ28" s="25"/>
      <c r="ENQ28" s="21"/>
      <c r="ENR28" s="21"/>
      <c r="ENV28" s="15"/>
      <c r="EOB28" s="25"/>
      <c r="EOI28" s="21"/>
      <c r="EOJ28" s="21"/>
      <c r="EON28" s="15"/>
      <c r="EOT28" s="25"/>
      <c r="EPA28" s="21"/>
      <c r="EPB28" s="21"/>
      <c r="EPF28" s="15"/>
      <c r="EPL28" s="25"/>
      <c r="EPS28" s="21"/>
      <c r="EPT28" s="21"/>
      <c r="EPX28" s="15"/>
      <c r="EQD28" s="25"/>
      <c r="EQK28" s="21"/>
      <c r="EQL28" s="21"/>
      <c r="EQP28" s="15"/>
      <c r="EQV28" s="25"/>
      <c r="ERC28" s="21"/>
      <c r="ERD28" s="21"/>
      <c r="ERH28" s="15"/>
      <c r="ERN28" s="25"/>
      <c r="ERU28" s="21"/>
      <c r="ERV28" s="21"/>
      <c r="ERZ28" s="15"/>
      <c r="ESF28" s="25"/>
      <c r="ESM28" s="21"/>
      <c r="ESN28" s="21"/>
      <c r="ESR28" s="15"/>
      <c r="ESX28" s="25"/>
      <c r="ETE28" s="21"/>
      <c r="ETF28" s="21"/>
      <c r="ETJ28" s="15"/>
      <c r="ETP28" s="25"/>
      <c r="ETW28" s="21"/>
      <c r="ETX28" s="21"/>
      <c r="EUB28" s="15"/>
      <c r="EUH28" s="25"/>
      <c r="EUO28" s="21"/>
      <c r="EUP28" s="21"/>
      <c r="EUT28" s="15"/>
      <c r="EUZ28" s="25"/>
      <c r="EVG28" s="21"/>
      <c r="EVH28" s="21"/>
      <c r="EVL28" s="15"/>
      <c r="EVR28" s="25"/>
      <c r="EVY28" s="21"/>
      <c r="EVZ28" s="21"/>
      <c r="EWD28" s="15"/>
      <c r="EWJ28" s="25"/>
      <c r="EWQ28" s="21"/>
      <c r="EWR28" s="21"/>
      <c r="EWV28" s="15"/>
      <c r="EXB28" s="25"/>
      <c r="EXI28" s="21"/>
      <c r="EXJ28" s="21"/>
      <c r="EXN28" s="15"/>
      <c r="EXT28" s="25"/>
      <c r="EYA28" s="21"/>
      <c r="EYB28" s="21"/>
      <c r="EYF28" s="15"/>
      <c r="EYL28" s="25"/>
      <c r="EYS28" s="21"/>
      <c r="EYT28" s="21"/>
      <c r="EYX28" s="15"/>
      <c r="EZD28" s="25"/>
      <c r="EZK28" s="21"/>
      <c r="EZL28" s="21"/>
      <c r="EZP28" s="15"/>
      <c r="EZV28" s="25"/>
      <c r="FAC28" s="21"/>
      <c r="FAD28" s="21"/>
      <c r="FAH28" s="15"/>
      <c r="FAN28" s="25"/>
      <c r="FAU28" s="21"/>
      <c r="FAV28" s="21"/>
      <c r="FAZ28" s="15"/>
      <c r="FBF28" s="25"/>
      <c r="FBM28" s="21"/>
      <c r="FBN28" s="21"/>
      <c r="FBR28" s="15"/>
      <c r="FBX28" s="25"/>
      <c r="FCE28" s="21"/>
      <c r="FCF28" s="21"/>
      <c r="FCJ28" s="15"/>
      <c r="FCP28" s="25"/>
      <c r="FCW28" s="21"/>
      <c r="FCX28" s="21"/>
      <c r="FDB28" s="15"/>
      <c r="FDH28" s="25"/>
      <c r="FDO28" s="21"/>
      <c r="FDP28" s="21"/>
      <c r="FDT28" s="15"/>
      <c r="FDZ28" s="25"/>
      <c r="FEG28" s="21"/>
      <c r="FEH28" s="21"/>
      <c r="FEL28" s="15"/>
      <c r="FER28" s="25"/>
      <c r="FEY28" s="21"/>
      <c r="FEZ28" s="21"/>
      <c r="FFD28" s="15"/>
      <c r="FFJ28" s="25"/>
      <c r="FFQ28" s="21"/>
      <c r="FFR28" s="21"/>
      <c r="FFV28" s="15"/>
      <c r="FGB28" s="25"/>
      <c r="FGI28" s="21"/>
      <c r="FGJ28" s="21"/>
      <c r="FGN28" s="15"/>
      <c r="FGT28" s="25"/>
      <c r="FHA28" s="21"/>
      <c r="FHB28" s="21"/>
      <c r="FHF28" s="15"/>
      <c r="FHL28" s="25"/>
      <c r="FHS28" s="21"/>
      <c r="FHT28" s="21"/>
      <c r="FHX28" s="15"/>
      <c r="FID28" s="25"/>
      <c r="FIK28" s="21"/>
      <c r="FIL28" s="21"/>
      <c r="FIP28" s="15"/>
      <c r="FIV28" s="25"/>
      <c r="FJC28" s="21"/>
      <c r="FJD28" s="21"/>
      <c r="FJH28" s="15"/>
      <c r="FJN28" s="25"/>
      <c r="FJU28" s="21"/>
      <c r="FJV28" s="21"/>
      <c r="FJZ28" s="15"/>
      <c r="FKF28" s="25"/>
      <c r="FKM28" s="21"/>
      <c r="FKN28" s="21"/>
      <c r="FKR28" s="15"/>
      <c r="FKX28" s="25"/>
      <c r="FLE28" s="21"/>
      <c r="FLF28" s="21"/>
      <c r="FLJ28" s="15"/>
      <c r="FLP28" s="25"/>
      <c r="FLW28" s="21"/>
      <c r="FLX28" s="21"/>
      <c r="FMB28" s="15"/>
      <c r="FMH28" s="25"/>
      <c r="FMO28" s="21"/>
      <c r="FMP28" s="21"/>
      <c r="FMT28" s="15"/>
      <c r="FMZ28" s="25"/>
      <c r="FNG28" s="21"/>
      <c r="FNH28" s="21"/>
      <c r="FNL28" s="15"/>
      <c r="FNR28" s="25"/>
      <c r="FNY28" s="21"/>
      <c r="FNZ28" s="21"/>
      <c r="FOD28" s="15"/>
      <c r="FOJ28" s="25"/>
      <c r="FOQ28" s="21"/>
      <c r="FOR28" s="21"/>
      <c r="FOV28" s="15"/>
      <c r="FPB28" s="25"/>
      <c r="FPI28" s="21"/>
      <c r="FPJ28" s="21"/>
      <c r="FPN28" s="15"/>
      <c r="FPT28" s="25"/>
      <c r="FQA28" s="21"/>
      <c r="FQB28" s="21"/>
      <c r="FQF28" s="15"/>
      <c r="FQL28" s="25"/>
      <c r="FQS28" s="21"/>
      <c r="FQT28" s="21"/>
      <c r="FQX28" s="15"/>
      <c r="FRD28" s="25"/>
      <c r="FRK28" s="21"/>
      <c r="FRL28" s="21"/>
      <c r="FRP28" s="15"/>
      <c r="FRV28" s="25"/>
      <c r="FSC28" s="21"/>
      <c r="FSD28" s="21"/>
      <c r="FSH28" s="15"/>
      <c r="FSN28" s="25"/>
      <c r="FSU28" s="21"/>
      <c r="FSV28" s="21"/>
      <c r="FSZ28" s="15"/>
      <c r="FTF28" s="25"/>
      <c r="FTM28" s="21"/>
      <c r="FTN28" s="21"/>
      <c r="FTR28" s="15"/>
      <c r="FTX28" s="25"/>
      <c r="FUE28" s="21"/>
      <c r="FUF28" s="21"/>
      <c r="FUJ28" s="15"/>
      <c r="FUP28" s="25"/>
      <c r="FUW28" s="21"/>
      <c r="FUX28" s="21"/>
      <c r="FVB28" s="15"/>
      <c r="FVH28" s="25"/>
      <c r="FVO28" s="21"/>
      <c r="FVP28" s="21"/>
      <c r="FVT28" s="15"/>
      <c r="FVZ28" s="25"/>
      <c r="FWG28" s="21"/>
      <c r="FWH28" s="21"/>
      <c r="FWL28" s="15"/>
      <c r="FWR28" s="25"/>
      <c r="FWY28" s="21"/>
      <c r="FWZ28" s="21"/>
      <c r="FXD28" s="15"/>
      <c r="FXJ28" s="25"/>
      <c r="FXQ28" s="21"/>
      <c r="FXR28" s="21"/>
      <c r="FXV28" s="15"/>
      <c r="FYB28" s="25"/>
      <c r="FYI28" s="21"/>
      <c r="FYJ28" s="21"/>
      <c r="FYN28" s="15"/>
      <c r="FYT28" s="25"/>
      <c r="FZA28" s="21"/>
      <c r="FZB28" s="21"/>
      <c r="FZF28" s="15"/>
      <c r="FZL28" s="25"/>
      <c r="FZS28" s="21"/>
      <c r="FZT28" s="21"/>
      <c r="FZX28" s="15"/>
      <c r="GAD28" s="25"/>
      <c r="GAK28" s="21"/>
      <c r="GAL28" s="21"/>
      <c r="GAP28" s="15"/>
      <c r="GAV28" s="25"/>
      <c r="GBC28" s="21"/>
      <c r="GBD28" s="21"/>
      <c r="GBH28" s="15"/>
      <c r="GBN28" s="25"/>
      <c r="GBU28" s="21"/>
      <c r="GBV28" s="21"/>
      <c r="GBZ28" s="15"/>
      <c r="GCF28" s="25"/>
      <c r="GCM28" s="21"/>
      <c r="GCN28" s="21"/>
      <c r="GCR28" s="15"/>
      <c r="GCX28" s="25"/>
      <c r="GDE28" s="21"/>
      <c r="GDF28" s="21"/>
      <c r="GDJ28" s="15"/>
      <c r="GDP28" s="25"/>
      <c r="GDW28" s="21"/>
      <c r="GDX28" s="21"/>
      <c r="GEB28" s="15"/>
      <c r="GEH28" s="25"/>
      <c r="GEO28" s="21"/>
      <c r="GEP28" s="21"/>
      <c r="GET28" s="15"/>
      <c r="GEZ28" s="25"/>
      <c r="GFG28" s="21"/>
      <c r="GFH28" s="21"/>
      <c r="GFL28" s="15"/>
      <c r="GFR28" s="25"/>
      <c r="GFY28" s="21"/>
      <c r="GFZ28" s="21"/>
      <c r="GGD28" s="15"/>
      <c r="GGJ28" s="25"/>
      <c r="GGQ28" s="21"/>
      <c r="GGR28" s="21"/>
      <c r="GGV28" s="15"/>
      <c r="GHB28" s="25"/>
      <c r="GHI28" s="21"/>
      <c r="GHJ28" s="21"/>
      <c r="GHN28" s="15"/>
      <c r="GHT28" s="25"/>
      <c r="GIA28" s="21"/>
      <c r="GIB28" s="21"/>
      <c r="GIF28" s="15"/>
      <c r="GIL28" s="25"/>
      <c r="GIS28" s="21"/>
      <c r="GIT28" s="21"/>
      <c r="GIX28" s="15"/>
      <c r="GJD28" s="25"/>
      <c r="GJK28" s="21"/>
      <c r="GJL28" s="21"/>
      <c r="GJP28" s="15"/>
      <c r="GJV28" s="25"/>
      <c r="GKC28" s="21"/>
      <c r="GKD28" s="21"/>
      <c r="GKH28" s="15"/>
      <c r="GKN28" s="25"/>
      <c r="GKU28" s="21"/>
      <c r="GKV28" s="21"/>
      <c r="GKZ28" s="15"/>
      <c r="GLF28" s="25"/>
      <c r="GLM28" s="21"/>
      <c r="GLN28" s="21"/>
      <c r="GLR28" s="15"/>
      <c r="GLX28" s="25"/>
      <c r="GME28" s="21"/>
      <c r="GMF28" s="21"/>
      <c r="GMJ28" s="15"/>
      <c r="GMP28" s="25"/>
      <c r="GMW28" s="21"/>
      <c r="GMX28" s="21"/>
      <c r="GNB28" s="15"/>
      <c r="GNH28" s="25"/>
      <c r="GNO28" s="21"/>
      <c r="GNP28" s="21"/>
      <c r="GNT28" s="15"/>
      <c r="GNZ28" s="25"/>
      <c r="GOG28" s="21"/>
      <c r="GOH28" s="21"/>
      <c r="GOL28" s="15"/>
      <c r="GOR28" s="25"/>
      <c r="GOY28" s="21"/>
      <c r="GOZ28" s="21"/>
      <c r="GPD28" s="15"/>
      <c r="GPJ28" s="25"/>
      <c r="GPQ28" s="21"/>
      <c r="GPR28" s="21"/>
      <c r="GPV28" s="15"/>
      <c r="GQB28" s="25"/>
      <c r="GQI28" s="21"/>
      <c r="GQJ28" s="21"/>
      <c r="GQN28" s="15"/>
      <c r="GQT28" s="25"/>
      <c r="GRA28" s="21"/>
      <c r="GRB28" s="21"/>
      <c r="GRF28" s="15"/>
      <c r="GRL28" s="25"/>
      <c r="GRS28" s="21"/>
      <c r="GRT28" s="21"/>
      <c r="GRX28" s="15"/>
      <c r="GSD28" s="25"/>
      <c r="GSK28" s="21"/>
      <c r="GSL28" s="21"/>
      <c r="GSP28" s="15"/>
      <c r="GSV28" s="25"/>
      <c r="GTC28" s="21"/>
      <c r="GTD28" s="21"/>
      <c r="GTH28" s="15"/>
      <c r="GTN28" s="25"/>
      <c r="GTU28" s="21"/>
      <c r="GTV28" s="21"/>
      <c r="GTZ28" s="15"/>
      <c r="GUF28" s="25"/>
      <c r="GUM28" s="21"/>
      <c r="GUN28" s="21"/>
      <c r="GUR28" s="15"/>
      <c r="GUX28" s="25"/>
      <c r="GVE28" s="21"/>
      <c r="GVF28" s="21"/>
      <c r="GVJ28" s="15"/>
      <c r="GVP28" s="25"/>
      <c r="GVW28" s="21"/>
      <c r="GVX28" s="21"/>
      <c r="GWB28" s="15"/>
      <c r="GWH28" s="25"/>
      <c r="GWO28" s="21"/>
      <c r="GWP28" s="21"/>
      <c r="GWT28" s="15"/>
      <c r="GWZ28" s="25"/>
      <c r="GXG28" s="21"/>
      <c r="GXH28" s="21"/>
      <c r="GXL28" s="15"/>
      <c r="GXR28" s="25"/>
      <c r="GXY28" s="21"/>
      <c r="GXZ28" s="21"/>
      <c r="GYD28" s="15"/>
      <c r="GYJ28" s="25"/>
      <c r="GYQ28" s="21"/>
      <c r="GYR28" s="21"/>
      <c r="GYV28" s="15"/>
      <c r="GZB28" s="25"/>
      <c r="GZI28" s="21"/>
      <c r="GZJ28" s="21"/>
      <c r="GZN28" s="15"/>
      <c r="GZT28" s="25"/>
      <c r="HAA28" s="21"/>
      <c r="HAB28" s="21"/>
      <c r="HAF28" s="15"/>
      <c r="HAL28" s="25"/>
      <c r="HAS28" s="21"/>
      <c r="HAT28" s="21"/>
      <c r="HAX28" s="15"/>
      <c r="HBD28" s="25"/>
      <c r="HBK28" s="21"/>
      <c r="HBL28" s="21"/>
      <c r="HBP28" s="15"/>
      <c r="HBV28" s="25"/>
      <c r="HCC28" s="21"/>
      <c r="HCD28" s="21"/>
      <c r="HCH28" s="15"/>
      <c r="HCN28" s="25"/>
      <c r="HCU28" s="21"/>
      <c r="HCV28" s="21"/>
      <c r="HCZ28" s="15"/>
      <c r="HDF28" s="25"/>
      <c r="HDM28" s="21"/>
      <c r="HDN28" s="21"/>
      <c r="HDR28" s="15"/>
      <c r="HDX28" s="25"/>
      <c r="HEE28" s="21"/>
      <c r="HEF28" s="21"/>
      <c r="HEJ28" s="15"/>
      <c r="HEP28" s="25"/>
      <c r="HEW28" s="21"/>
      <c r="HEX28" s="21"/>
      <c r="HFB28" s="15"/>
      <c r="HFH28" s="25"/>
      <c r="HFO28" s="21"/>
      <c r="HFP28" s="21"/>
      <c r="HFT28" s="15"/>
      <c r="HFZ28" s="25"/>
      <c r="HGG28" s="21"/>
      <c r="HGH28" s="21"/>
      <c r="HGL28" s="15"/>
      <c r="HGR28" s="25"/>
      <c r="HGY28" s="21"/>
      <c r="HGZ28" s="21"/>
      <c r="HHD28" s="15"/>
      <c r="HHJ28" s="25"/>
      <c r="HHQ28" s="21"/>
      <c r="HHR28" s="21"/>
      <c r="HHV28" s="15"/>
      <c r="HIB28" s="25"/>
      <c r="HII28" s="21"/>
      <c r="HIJ28" s="21"/>
      <c r="HIN28" s="15"/>
      <c r="HIT28" s="25"/>
      <c r="HJA28" s="21"/>
      <c r="HJB28" s="21"/>
      <c r="HJF28" s="15"/>
      <c r="HJL28" s="25"/>
      <c r="HJS28" s="21"/>
      <c r="HJT28" s="21"/>
      <c r="HJX28" s="15"/>
      <c r="HKD28" s="25"/>
      <c r="HKK28" s="21"/>
      <c r="HKL28" s="21"/>
      <c r="HKP28" s="15"/>
      <c r="HKV28" s="25"/>
      <c r="HLC28" s="21"/>
      <c r="HLD28" s="21"/>
      <c r="HLH28" s="15"/>
      <c r="HLN28" s="25"/>
      <c r="HLU28" s="21"/>
      <c r="HLV28" s="21"/>
      <c r="HLZ28" s="15"/>
      <c r="HMF28" s="25"/>
      <c r="HMM28" s="21"/>
      <c r="HMN28" s="21"/>
      <c r="HMR28" s="15"/>
      <c r="HMX28" s="25"/>
      <c r="HNE28" s="21"/>
      <c r="HNF28" s="21"/>
      <c r="HNJ28" s="15"/>
      <c r="HNP28" s="25"/>
      <c r="HNW28" s="21"/>
      <c r="HNX28" s="21"/>
      <c r="HOB28" s="15"/>
      <c r="HOH28" s="25"/>
      <c r="HOO28" s="21"/>
      <c r="HOP28" s="21"/>
      <c r="HOT28" s="15"/>
      <c r="HOZ28" s="25"/>
      <c r="HPG28" s="21"/>
      <c r="HPH28" s="21"/>
      <c r="HPL28" s="15"/>
      <c r="HPR28" s="25"/>
      <c r="HPY28" s="21"/>
      <c r="HPZ28" s="21"/>
      <c r="HQD28" s="15"/>
      <c r="HQJ28" s="25"/>
      <c r="HQQ28" s="21"/>
      <c r="HQR28" s="21"/>
      <c r="HQV28" s="15"/>
      <c r="HRB28" s="25"/>
      <c r="HRI28" s="21"/>
      <c r="HRJ28" s="21"/>
      <c r="HRN28" s="15"/>
      <c r="HRT28" s="25"/>
      <c r="HSA28" s="21"/>
      <c r="HSB28" s="21"/>
      <c r="HSF28" s="15"/>
      <c r="HSL28" s="25"/>
      <c r="HSS28" s="21"/>
      <c r="HST28" s="21"/>
      <c r="HSX28" s="15"/>
      <c r="HTD28" s="25"/>
      <c r="HTK28" s="21"/>
      <c r="HTL28" s="21"/>
      <c r="HTP28" s="15"/>
      <c r="HTV28" s="25"/>
      <c r="HUC28" s="21"/>
      <c r="HUD28" s="21"/>
      <c r="HUH28" s="15"/>
      <c r="HUN28" s="25"/>
      <c r="HUU28" s="21"/>
      <c r="HUV28" s="21"/>
      <c r="HUZ28" s="15"/>
      <c r="HVF28" s="25"/>
      <c r="HVM28" s="21"/>
      <c r="HVN28" s="21"/>
      <c r="HVR28" s="15"/>
      <c r="HVX28" s="25"/>
      <c r="HWE28" s="21"/>
      <c r="HWF28" s="21"/>
      <c r="HWJ28" s="15"/>
      <c r="HWP28" s="25"/>
      <c r="HWW28" s="21"/>
      <c r="HWX28" s="21"/>
      <c r="HXB28" s="15"/>
      <c r="HXH28" s="25"/>
      <c r="HXO28" s="21"/>
      <c r="HXP28" s="21"/>
      <c r="HXT28" s="15"/>
      <c r="HXZ28" s="25"/>
      <c r="HYG28" s="21"/>
      <c r="HYH28" s="21"/>
      <c r="HYL28" s="15"/>
      <c r="HYR28" s="25"/>
      <c r="HYY28" s="21"/>
      <c r="HYZ28" s="21"/>
      <c r="HZD28" s="15"/>
      <c r="HZJ28" s="25"/>
      <c r="HZQ28" s="21"/>
      <c r="HZR28" s="21"/>
      <c r="HZV28" s="15"/>
      <c r="IAB28" s="25"/>
      <c r="IAI28" s="21"/>
      <c r="IAJ28" s="21"/>
      <c r="IAN28" s="15"/>
      <c r="IAT28" s="25"/>
      <c r="IBA28" s="21"/>
      <c r="IBB28" s="21"/>
      <c r="IBF28" s="15"/>
      <c r="IBL28" s="25"/>
      <c r="IBS28" s="21"/>
      <c r="IBT28" s="21"/>
      <c r="IBX28" s="15"/>
      <c r="ICD28" s="25"/>
      <c r="ICK28" s="21"/>
      <c r="ICL28" s="21"/>
      <c r="ICP28" s="15"/>
      <c r="ICV28" s="25"/>
      <c r="IDC28" s="21"/>
      <c r="IDD28" s="21"/>
      <c r="IDH28" s="15"/>
      <c r="IDN28" s="25"/>
      <c r="IDU28" s="21"/>
      <c r="IDV28" s="21"/>
      <c r="IDZ28" s="15"/>
      <c r="IEF28" s="25"/>
      <c r="IEM28" s="21"/>
      <c r="IEN28" s="21"/>
      <c r="IER28" s="15"/>
      <c r="IEX28" s="25"/>
      <c r="IFE28" s="21"/>
      <c r="IFF28" s="21"/>
      <c r="IFJ28" s="15"/>
      <c r="IFP28" s="25"/>
      <c r="IFW28" s="21"/>
      <c r="IFX28" s="21"/>
      <c r="IGB28" s="15"/>
      <c r="IGH28" s="25"/>
      <c r="IGO28" s="21"/>
      <c r="IGP28" s="21"/>
      <c r="IGT28" s="15"/>
      <c r="IGZ28" s="25"/>
      <c r="IHG28" s="21"/>
      <c r="IHH28" s="21"/>
      <c r="IHL28" s="15"/>
      <c r="IHR28" s="25"/>
      <c r="IHY28" s="21"/>
      <c r="IHZ28" s="21"/>
      <c r="IID28" s="15"/>
      <c r="IIJ28" s="25"/>
      <c r="IIQ28" s="21"/>
      <c r="IIR28" s="21"/>
      <c r="IIV28" s="15"/>
      <c r="IJB28" s="25"/>
      <c r="IJI28" s="21"/>
      <c r="IJJ28" s="21"/>
      <c r="IJN28" s="15"/>
      <c r="IJT28" s="25"/>
      <c r="IKA28" s="21"/>
      <c r="IKB28" s="21"/>
      <c r="IKF28" s="15"/>
      <c r="IKL28" s="25"/>
      <c r="IKS28" s="21"/>
      <c r="IKT28" s="21"/>
      <c r="IKX28" s="15"/>
      <c r="ILD28" s="25"/>
      <c r="ILK28" s="21"/>
      <c r="ILL28" s="21"/>
      <c r="ILP28" s="15"/>
      <c r="ILV28" s="25"/>
      <c r="IMC28" s="21"/>
      <c r="IMD28" s="21"/>
      <c r="IMH28" s="15"/>
      <c r="IMN28" s="25"/>
      <c r="IMU28" s="21"/>
      <c r="IMV28" s="21"/>
      <c r="IMZ28" s="15"/>
      <c r="INF28" s="25"/>
      <c r="INM28" s="21"/>
      <c r="INN28" s="21"/>
      <c r="INR28" s="15"/>
      <c r="INX28" s="25"/>
      <c r="IOE28" s="21"/>
      <c r="IOF28" s="21"/>
      <c r="IOJ28" s="15"/>
      <c r="IOP28" s="25"/>
      <c r="IOW28" s="21"/>
      <c r="IOX28" s="21"/>
      <c r="IPB28" s="15"/>
      <c r="IPH28" s="25"/>
      <c r="IPO28" s="21"/>
      <c r="IPP28" s="21"/>
      <c r="IPT28" s="15"/>
      <c r="IPZ28" s="25"/>
      <c r="IQG28" s="21"/>
      <c r="IQH28" s="21"/>
      <c r="IQL28" s="15"/>
      <c r="IQR28" s="25"/>
      <c r="IQY28" s="21"/>
      <c r="IQZ28" s="21"/>
      <c r="IRD28" s="15"/>
      <c r="IRJ28" s="25"/>
      <c r="IRQ28" s="21"/>
      <c r="IRR28" s="21"/>
      <c r="IRV28" s="15"/>
      <c r="ISB28" s="25"/>
      <c r="ISI28" s="21"/>
      <c r="ISJ28" s="21"/>
      <c r="ISN28" s="15"/>
      <c r="IST28" s="25"/>
      <c r="ITA28" s="21"/>
      <c r="ITB28" s="21"/>
      <c r="ITF28" s="15"/>
      <c r="ITL28" s="25"/>
      <c r="ITS28" s="21"/>
      <c r="ITT28" s="21"/>
      <c r="ITX28" s="15"/>
      <c r="IUD28" s="25"/>
      <c r="IUK28" s="21"/>
      <c r="IUL28" s="21"/>
      <c r="IUP28" s="15"/>
      <c r="IUV28" s="25"/>
      <c r="IVC28" s="21"/>
      <c r="IVD28" s="21"/>
      <c r="IVH28" s="15"/>
      <c r="IVN28" s="25"/>
      <c r="IVU28" s="21"/>
      <c r="IVV28" s="21"/>
      <c r="IVZ28" s="15"/>
      <c r="IWF28" s="25"/>
      <c r="IWM28" s="21"/>
      <c r="IWN28" s="21"/>
      <c r="IWR28" s="15"/>
      <c r="IWX28" s="25"/>
      <c r="IXE28" s="21"/>
      <c r="IXF28" s="21"/>
      <c r="IXJ28" s="15"/>
      <c r="IXP28" s="25"/>
      <c r="IXW28" s="21"/>
      <c r="IXX28" s="21"/>
      <c r="IYB28" s="15"/>
      <c r="IYH28" s="25"/>
      <c r="IYO28" s="21"/>
      <c r="IYP28" s="21"/>
      <c r="IYT28" s="15"/>
      <c r="IYZ28" s="25"/>
      <c r="IZG28" s="21"/>
      <c r="IZH28" s="21"/>
      <c r="IZL28" s="15"/>
      <c r="IZR28" s="25"/>
      <c r="IZY28" s="21"/>
      <c r="IZZ28" s="21"/>
      <c r="JAD28" s="15"/>
      <c r="JAJ28" s="25"/>
      <c r="JAQ28" s="21"/>
      <c r="JAR28" s="21"/>
      <c r="JAV28" s="15"/>
      <c r="JBB28" s="25"/>
      <c r="JBI28" s="21"/>
      <c r="JBJ28" s="21"/>
      <c r="JBN28" s="15"/>
      <c r="JBT28" s="25"/>
      <c r="JCA28" s="21"/>
      <c r="JCB28" s="21"/>
      <c r="JCF28" s="15"/>
      <c r="JCL28" s="25"/>
      <c r="JCS28" s="21"/>
      <c r="JCT28" s="21"/>
      <c r="JCX28" s="15"/>
      <c r="JDD28" s="25"/>
      <c r="JDK28" s="21"/>
      <c r="JDL28" s="21"/>
      <c r="JDP28" s="15"/>
      <c r="JDV28" s="25"/>
      <c r="JEC28" s="21"/>
      <c r="JED28" s="21"/>
      <c r="JEH28" s="15"/>
      <c r="JEN28" s="25"/>
      <c r="JEU28" s="21"/>
      <c r="JEV28" s="21"/>
      <c r="JEZ28" s="15"/>
      <c r="JFF28" s="25"/>
      <c r="JFM28" s="21"/>
      <c r="JFN28" s="21"/>
      <c r="JFR28" s="15"/>
      <c r="JFX28" s="25"/>
      <c r="JGE28" s="21"/>
      <c r="JGF28" s="21"/>
      <c r="JGJ28" s="15"/>
      <c r="JGP28" s="25"/>
      <c r="JGW28" s="21"/>
      <c r="JGX28" s="21"/>
      <c r="JHB28" s="15"/>
      <c r="JHH28" s="25"/>
      <c r="JHO28" s="21"/>
      <c r="JHP28" s="21"/>
      <c r="JHT28" s="15"/>
      <c r="JHZ28" s="25"/>
      <c r="JIG28" s="21"/>
      <c r="JIH28" s="21"/>
      <c r="JIL28" s="15"/>
      <c r="JIR28" s="25"/>
      <c r="JIY28" s="21"/>
      <c r="JIZ28" s="21"/>
      <c r="JJD28" s="15"/>
      <c r="JJJ28" s="25"/>
      <c r="JJQ28" s="21"/>
      <c r="JJR28" s="21"/>
      <c r="JJV28" s="15"/>
      <c r="JKB28" s="25"/>
      <c r="JKI28" s="21"/>
      <c r="JKJ28" s="21"/>
      <c r="JKN28" s="15"/>
      <c r="JKT28" s="25"/>
      <c r="JLA28" s="21"/>
      <c r="JLB28" s="21"/>
      <c r="JLF28" s="15"/>
      <c r="JLL28" s="25"/>
      <c r="JLS28" s="21"/>
      <c r="JLT28" s="21"/>
      <c r="JLX28" s="15"/>
      <c r="JMD28" s="25"/>
      <c r="JMK28" s="21"/>
      <c r="JML28" s="21"/>
      <c r="JMP28" s="15"/>
      <c r="JMV28" s="25"/>
      <c r="JNC28" s="21"/>
      <c r="JND28" s="21"/>
      <c r="JNH28" s="15"/>
      <c r="JNN28" s="25"/>
      <c r="JNU28" s="21"/>
      <c r="JNV28" s="21"/>
      <c r="JNZ28" s="15"/>
      <c r="JOF28" s="25"/>
      <c r="JOM28" s="21"/>
      <c r="JON28" s="21"/>
      <c r="JOR28" s="15"/>
      <c r="JOX28" s="25"/>
      <c r="JPE28" s="21"/>
      <c r="JPF28" s="21"/>
      <c r="JPJ28" s="15"/>
      <c r="JPP28" s="25"/>
      <c r="JPW28" s="21"/>
      <c r="JPX28" s="21"/>
      <c r="JQB28" s="15"/>
      <c r="JQH28" s="25"/>
      <c r="JQO28" s="21"/>
      <c r="JQP28" s="21"/>
      <c r="JQT28" s="15"/>
      <c r="JQZ28" s="25"/>
      <c r="JRG28" s="21"/>
      <c r="JRH28" s="21"/>
      <c r="JRL28" s="15"/>
      <c r="JRR28" s="25"/>
      <c r="JRY28" s="21"/>
      <c r="JRZ28" s="21"/>
      <c r="JSD28" s="15"/>
      <c r="JSJ28" s="25"/>
      <c r="JSQ28" s="21"/>
      <c r="JSR28" s="21"/>
      <c r="JSV28" s="15"/>
      <c r="JTB28" s="25"/>
      <c r="JTI28" s="21"/>
      <c r="JTJ28" s="21"/>
      <c r="JTN28" s="15"/>
      <c r="JTT28" s="25"/>
      <c r="JUA28" s="21"/>
      <c r="JUB28" s="21"/>
      <c r="JUF28" s="15"/>
      <c r="JUL28" s="25"/>
      <c r="JUS28" s="21"/>
      <c r="JUT28" s="21"/>
      <c r="JUX28" s="15"/>
      <c r="JVD28" s="25"/>
      <c r="JVK28" s="21"/>
      <c r="JVL28" s="21"/>
      <c r="JVP28" s="15"/>
      <c r="JVV28" s="25"/>
      <c r="JWC28" s="21"/>
      <c r="JWD28" s="21"/>
      <c r="JWH28" s="15"/>
      <c r="JWN28" s="25"/>
      <c r="JWU28" s="21"/>
      <c r="JWV28" s="21"/>
      <c r="JWZ28" s="15"/>
      <c r="JXF28" s="25"/>
      <c r="JXM28" s="21"/>
      <c r="JXN28" s="21"/>
      <c r="JXR28" s="15"/>
      <c r="JXX28" s="25"/>
      <c r="JYE28" s="21"/>
      <c r="JYF28" s="21"/>
      <c r="JYJ28" s="15"/>
      <c r="JYP28" s="25"/>
      <c r="JYW28" s="21"/>
      <c r="JYX28" s="21"/>
      <c r="JZB28" s="15"/>
      <c r="JZH28" s="25"/>
      <c r="JZO28" s="21"/>
      <c r="JZP28" s="21"/>
      <c r="JZT28" s="15"/>
      <c r="JZZ28" s="25"/>
      <c r="KAG28" s="21"/>
      <c r="KAH28" s="21"/>
      <c r="KAL28" s="15"/>
      <c r="KAR28" s="25"/>
      <c r="KAY28" s="21"/>
      <c r="KAZ28" s="21"/>
      <c r="KBD28" s="15"/>
      <c r="KBJ28" s="25"/>
      <c r="KBQ28" s="21"/>
      <c r="KBR28" s="21"/>
      <c r="KBV28" s="15"/>
      <c r="KCB28" s="25"/>
      <c r="KCI28" s="21"/>
      <c r="KCJ28" s="21"/>
      <c r="KCN28" s="15"/>
      <c r="KCT28" s="25"/>
      <c r="KDA28" s="21"/>
      <c r="KDB28" s="21"/>
      <c r="KDF28" s="15"/>
      <c r="KDL28" s="25"/>
      <c r="KDS28" s="21"/>
      <c r="KDT28" s="21"/>
      <c r="KDX28" s="15"/>
      <c r="KED28" s="25"/>
      <c r="KEK28" s="21"/>
      <c r="KEL28" s="21"/>
      <c r="KEP28" s="15"/>
      <c r="KEV28" s="25"/>
      <c r="KFC28" s="21"/>
      <c r="KFD28" s="21"/>
      <c r="KFH28" s="15"/>
      <c r="KFN28" s="25"/>
      <c r="KFU28" s="21"/>
      <c r="KFV28" s="21"/>
      <c r="KFZ28" s="15"/>
      <c r="KGF28" s="25"/>
      <c r="KGM28" s="21"/>
      <c r="KGN28" s="21"/>
      <c r="KGR28" s="15"/>
      <c r="KGX28" s="25"/>
      <c r="KHE28" s="21"/>
      <c r="KHF28" s="21"/>
      <c r="KHJ28" s="15"/>
      <c r="KHP28" s="25"/>
      <c r="KHW28" s="21"/>
      <c r="KHX28" s="21"/>
      <c r="KIB28" s="15"/>
      <c r="KIH28" s="25"/>
      <c r="KIO28" s="21"/>
      <c r="KIP28" s="21"/>
      <c r="KIT28" s="15"/>
      <c r="KIZ28" s="25"/>
      <c r="KJG28" s="21"/>
      <c r="KJH28" s="21"/>
      <c r="KJL28" s="15"/>
      <c r="KJR28" s="25"/>
      <c r="KJY28" s="21"/>
      <c r="KJZ28" s="21"/>
      <c r="KKD28" s="15"/>
      <c r="KKJ28" s="25"/>
      <c r="KKQ28" s="21"/>
      <c r="KKR28" s="21"/>
      <c r="KKV28" s="15"/>
      <c r="KLB28" s="25"/>
      <c r="KLI28" s="21"/>
      <c r="KLJ28" s="21"/>
      <c r="KLN28" s="15"/>
      <c r="KLT28" s="25"/>
      <c r="KMA28" s="21"/>
      <c r="KMB28" s="21"/>
      <c r="KMF28" s="15"/>
      <c r="KML28" s="25"/>
      <c r="KMS28" s="21"/>
      <c r="KMT28" s="21"/>
      <c r="KMX28" s="15"/>
      <c r="KND28" s="25"/>
      <c r="KNK28" s="21"/>
      <c r="KNL28" s="21"/>
      <c r="KNP28" s="15"/>
      <c r="KNV28" s="25"/>
      <c r="KOC28" s="21"/>
      <c r="KOD28" s="21"/>
      <c r="KOH28" s="15"/>
      <c r="KON28" s="25"/>
      <c r="KOU28" s="21"/>
      <c r="KOV28" s="21"/>
      <c r="KOZ28" s="15"/>
      <c r="KPF28" s="25"/>
      <c r="KPM28" s="21"/>
      <c r="KPN28" s="21"/>
      <c r="KPR28" s="15"/>
      <c r="KPX28" s="25"/>
      <c r="KQE28" s="21"/>
      <c r="KQF28" s="21"/>
      <c r="KQJ28" s="15"/>
      <c r="KQP28" s="25"/>
      <c r="KQW28" s="21"/>
      <c r="KQX28" s="21"/>
      <c r="KRB28" s="15"/>
      <c r="KRH28" s="25"/>
      <c r="KRO28" s="21"/>
      <c r="KRP28" s="21"/>
      <c r="KRT28" s="15"/>
      <c r="KRZ28" s="25"/>
      <c r="KSG28" s="21"/>
      <c r="KSH28" s="21"/>
      <c r="KSL28" s="15"/>
      <c r="KSR28" s="25"/>
      <c r="KSY28" s="21"/>
      <c r="KSZ28" s="21"/>
      <c r="KTD28" s="15"/>
      <c r="KTJ28" s="25"/>
      <c r="KTQ28" s="21"/>
      <c r="KTR28" s="21"/>
      <c r="KTV28" s="15"/>
      <c r="KUB28" s="25"/>
      <c r="KUI28" s="21"/>
      <c r="KUJ28" s="21"/>
      <c r="KUN28" s="15"/>
      <c r="KUT28" s="25"/>
      <c r="KVA28" s="21"/>
      <c r="KVB28" s="21"/>
      <c r="KVF28" s="15"/>
      <c r="KVL28" s="25"/>
      <c r="KVS28" s="21"/>
      <c r="KVT28" s="21"/>
      <c r="KVX28" s="15"/>
      <c r="KWD28" s="25"/>
      <c r="KWK28" s="21"/>
      <c r="KWL28" s="21"/>
      <c r="KWP28" s="15"/>
      <c r="KWV28" s="25"/>
      <c r="KXC28" s="21"/>
      <c r="KXD28" s="21"/>
      <c r="KXH28" s="15"/>
      <c r="KXN28" s="25"/>
      <c r="KXU28" s="21"/>
      <c r="KXV28" s="21"/>
      <c r="KXZ28" s="15"/>
      <c r="KYF28" s="25"/>
      <c r="KYM28" s="21"/>
      <c r="KYN28" s="21"/>
      <c r="KYR28" s="15"/>
      <c r="KYX28" s="25"/>
      <c r="KZE28" s="21"/>
      <c r="KZF28" s="21"/>
      <c r="KZJ28" s="15"/>
      <c r="KZP28" s="25"/>
      <c r="KZW28" s="21"/>
      <c r="KZX28" s="21"/>
      <c r="LAB28" s="15"/>
      <c r="LAH28" s="25"/>
      <c r="LAO28" s="21"/>
      <c r="LAP28" s="21"/>
      <c r="LAT28" s="15"/>
      <c r="LAZ28" s="25"/>
      <c r="LBG28" s="21"/>
      <c r="LBH28" s="21"/>
      <c r="LBL28" s="15"/>
      <c r="LBR28" s="25"/>
      <c r="LBY28" s="21"/>
      <c r="LBZ28" s="21"/>
      <c r="LCD28" s="15"/>
      <c r="LCJ28" s="25"/>
      <c r="LCQ28" s="21"/>
      <c r="LCR28" s="21"/>
      <c r="LCV28" s="15"/>
      <c r="LDB28" s="25"/>
      <c r="LDI28" s="21"/>
      <c r="LDJ28" s="21"/>
      <c r="LDN28" s="15"/>
      <c r="LDT28" s="25"/>
      <c r="LEA28" s="21"/>
      <c r="LEB28" s="21"/>
      <c r="LEF28" s="15"/>
      <c r="LEL28" s="25"/>
      <c r="LES28" s="21"/>
      <c r="LET28" s="21"/>
      <c r="LEX28" s="15"/>
      <c r="LFD28" s="25"/>
      <c r="LFK28" s="21"/>
      <c r="LFL28" s="21"/>
      <c r="LFP28" s="15"/>
      <c r="LFV28" s="25"/>
      <c r="LGC28" s="21"/>
      <c r="LGD28" s="21"/>
      <c r="LGH28" s="15"/>
      <c r="LGN28" s="25"/>
      <c r="LGU28" s="21"/>
      <c r="LGV28" s="21"/>
      <c r="LGZ28" s="15"/>
      <c r="LHF28" s="25"/>
      <c r="LHM28" s="21"/>
      <c r="LHN28" s="21"/>
      <c r="LHR28" s="15"/>
      <c r="LHX28" s="25"/>
      <c r="LIE28" s="21"/>
      <c r="LIF28" s="21"/>
      <c r="LIJ28" s="15"/>
      <c r="LIP28" s="25"/>
      <c r="LIW28" s="21"/>
      <c r="LIX28" s="21"/>
      <c r="LJB28" s="15"/>
      <c r="LJH28" s="25"/>
      <c r="LJO28" s="21"/>
      <c r="LJP28" s="21"/>
      <c r="LJT28" s="15"/>
      <c r="LJZ28" s="25"/>
      <c r="LKG28" s="21"/>
      <c r="LKH28" s="21"/>
      <c r="LKL28" s="15"/>
      <c r="LKR28" s="25"/>
      <c r="LKY28" s="21"/>
      <c r="LKZ28" s="21"/>
      <c r="LLD28" s="15"/>
      <c r="LLJ28" s="25"/>
      <c r="LLQ28" s="21"/>
      <c r="LLR28" s="21"/>
      <c r="LLV28" s="15"/>
      <c r="LMB28" s="25"/>
      <c r="LMI28" s="21"/>
      <c r="LMJ28" s="21"/>
      <c r="LMN28" s="15"/>
      <c r="LMT28" s="25"/>
      <c r="LNA28" s="21"/>
      <c r="LNB28" s="21"/>
      <c r="LNF28" s="15"/>
      <c r="LNL28" s="25"/>
      <c r="LNS28" s="21"/>
      <c r="LNT28" s="21"/>
      <c r="LNX28" s="15"/>
      <c r="LOD28" s="25"/>
      <c r="LOK28" s="21"/>
      <c r="LOL28" s="21"/>
      <c r="LOP28" s="15"/>
      <c r="LOV28" s="25"/>
      <c r="LPC28" s="21"/>
      <c r="LPD28" s="21"/>
      <c r="LPH28" s="15"/>
      <c r="LPN28" s="25"/>
      <c r="LPU28" s="21"/>
      <c r="LPV28" s="21"/>
      <c r="LPZ28" s="15"/>
      <c r="LQF28" s="25"/>
      <c r="LQM28" s="21"/>
      <c r="LQN28" s="21"/>
      <c r="LQR28" s="15"/>
      <c r="LQX28" s="25"/>
      <c r="LRE28" s="21"/>
      <c r="LRF28" s="21"/>
      <c r="LRJ28" s="15"/>
      <c r="LRP28" s="25"/>
      <c r="LRW28" s="21"/>
      <c r="LRX28" s="21"/>
      <c r="LSB28" s="15"/>
      <c r="LSH28" s="25"/>
      <c r="LSO28" s="21"/>
      <c r="LSP28" s="21"/>
      <c r="LST28" s="15"/>
      <c r="LSZ28" s="25"/>
      <c r="LTG28" s="21"/>
      <c r="LTH28" s="21"/>
      <c r="LTL28" s="15"/>
      <c r="LTR28" s="25"/>
      <c r="LTY28" s="21"/>
      <c r="LTZ28" s="21"/>
      <c r="LUD28" s="15"/>
      <c r="LUJ28" s="25"/>
      <c r="LUQ28" s="21"/>
      <c r="LUR28" s="21"/>
      <c r="LUV28" s="15"/>
      <c r="LVB28" s="25"/>
      <c r="LVI28" s="21"/>
      <c r="LVJ28" s="21"/>
      <c r="LVN28" s="15"/>
      <c r="LVT28" s="25"/>
      <c r="LWA28" s="21"/>
      <c r="LWB28" s="21"/>
      <c r="LWF28" s="15"/>
      <c r="LWL28" s="25"/>
      <c r="LWS28" s="21"/>
      <c r="LWT28" s="21"/>
      <c r="LWX28" s="15"/>
      <c r="LXD28" s="25"/>
      <c r="LXK28" s="21"/>
      <c r="LXL28" s="21"/>
      <c r="LXP28" s="15"/>
      <c r="LXV28" s="25"/>
      <c r="LYC28" s="21"/>
      <c r="LYD28" s="21"/>
      <c r="LYH28" s="15"/>
      <c r="LYN28" s="25"/>
      <c r="LYU28" s="21"/>
      <c r="LYV28" s="21"/>
      <c r="LYZ28" s="15"/>
      <c r="LZF28" s="25"/>
      <c r="LZM28" s="21"/>
      <c r="LZN28" s="21"/>
      <c r="LZR28" s="15"/>
      <c r="LZX28" s="25"/>
      <c r="MAE28" s="21"/>
      <c r="MAF28" s="21"/>
      <c r="MAJ28" s="15"/>
      <c r="MAP28" s="25"/>
      <c r="MAW28" s="21"/>
      <c r="MAX28" s="21"/>
      <c r="MBB28" s="15"/>
      <c r="MBH28" s="25"/>
      <c r="MBO28" s="21"/>
      <c r="MBP28" s="21"/>
      <c r="MBT28" s="15"/>
      <c r="MBZ28" s="25"/>
      <c r="MCG28" s="21"/>
      <c r="MCH28" s="21"/>
      <c r="MCL28" s="15"/>
      <c r="MCR28" s="25"/>
      <c r="MCY28" s="21"/>
      <c r="MCZ28" s="21"/>
      <c r="MDD28" s="15"/>
      <c r="MDJ28" s="25"/>
      <c r="MDQ28" s="21"/>
      <c r="MDR28" s="21"/>
      <c r="MDV28" s="15"/>
      <c r="MEB28" s="25"/>
      <c r="MEI28" s="21"/>
      <c r="MEJ28" s="21"/>
      <c r="MEN28" s="15"/>
      <c r="MET28" s="25"/>
      <c r="MFA28" s="21"/>
      <c r="MFB28" s="21"/>
      <c r="MFF28" s="15"/>
      <c r="MFL28" s="25"/>
      <c r="MFS28" s="21"/>
      <c r="MFT28" s="21"/>
      <c r="MFX28" s="15"/>
      <c r="MGD28" s="25"/>
      <c r="MGK28" s="21"/>
      <c r="MGL28" s="21"/>
      <c r="MGP28" s="15"/>
      <c r="MGV28" s="25"/>
      <c r="MHC28" s="21"/>
      <c r="MHD28" s="21"/>
      <c r="MHH28" s="15"/>
      <c r="MHN28" s="25"/>
      <c r="MHU28" s="21"/>
      <c r="MHV28" s="21"/>
      <c r="MHZ28" s="15"/>
      <c r="MIF28" s="25"/>
      <c r="MIM28" s="21"/>
      <c r="MIN28" s="21"/>
      <c r="MIR28" s="15"/>
      <c r="MIX28" s="25"/>
      <c r="MJE28" s="21"/>
      <c r="MJF28" s="21"/>
      <c r="MJJ28" s="15"/>
      <c r="MJP28" s="25"/>
      <c r="MJW28" s="21"/>
      <c r="MJX28" s="21"/>
      <c r="MKB28" s="15"/>
      <c r="MKH28" s="25"/>
      <c r="MKO28" s="21"/>
      <c r="MKP28" s="21"/>
      <c r="MKT28" s="15"/>
      <c r="MKZ28" s="25"/>
      <c r="MLG28" s="21"/>
      <c r="MLH28" s="21"/>
      <c r="MLL28" s="15"/>
      <c r="MLR28" s="25"/>
      <c r="MLY28" s="21"/>
      <c r="MLZ28" s="21"/>
      <c r="MMD28" s="15"/>
      <c r="MMJ28" s="25"/>
      <c r="MMQ28" s="21"/>
      <c r="MMR28" s="21"/>
      <c r="MMV28" s="15"/>
      <c r="MNB28" s="25"/>
      <c r="MNI28" s="21"/>
      <c r="MNJ28" s="21"/>
      <c r="MNN28" s="15"/>
      <c r="MNT28" s="25"/>
      <c r="MOA28" s="21"/>
      <c r="MOB28" s="21"/>
      <c r="MOF28" s="15"/>
      <c r="MOL28" s="25"/>
      <c r="MOS28" s="21"/>
      <c r="MOT28" s="21"/>
      <c r="MOX28" s="15"/>
      <c r="MPD28" s="25"/>
      <c r="MPK28" s="21"/>
      <c r="MPL28" s="21"/>
      <c r="MPP28" s="15"/>
      <c r="MPV28" s="25"/>
      <c r="MQC28" s="21"/>
      <c r="MQD28" s="21"/>
      <c r="MQH28" s="15"/>
      <c r="MQN28" s="25"/>
      <c r="MQU28" s="21"/>
      <c r="MQV28" s="21"/>
      <c r="MQZ28" s="15"/>
      <c r="MRF28" s="25"/>
      <c r="MRM28" s="21"/>
      <c r="MRN28" s="21"/>
      <c r="MRR28" s="15"/>
      <c r="MRX28" s="25"/>
      <c r="MSE28" s="21"/>
      <c r="MSF28" s="21"/>
      <c r="MSJ28" s="15"/>
      <c r="MSP28" s="25"/>
      <c r="MSW28" s="21"/>
      <c r="MSX28" s="21"/>
      <c r="MTB28" s="15"/>
      <c r="MTH28" s="25"/>
      <c r="MTO28" s="21"/>
      <c r="MTP28" s="21"/>
      <c r="MTT28" s="15"/>
      <c r="MTZ28" s="25"/>
      <c r="MUG28" s="21"/>
      <c r="MUH28" s="21"/>
      <c r="MUL28" s="15"/>
      <c r="MUR28" s="25"/>
      <c r="MUY28" s="21"/>
      <c r="MUZ28" s="21"/>
      <c r="MVD28" s="15"/>
      <c r="MVJ28" s="25"/>
      <c r="MVQ28" s="21"/>
      <c r="MVR28" s="21"/>
      <c r="MVV28" s="15"/>
      <c r="MWB28" s="25"/>
      <c r="MWI28" s="21"/>
      <c r="MWJ28" s="21"/>
      <c r="MWN28" s="15"/>
      <c r="MWT28" s="25"/>
      <c r="MXA28" s="21"/>
      <c r="MXB28" s="21"/>
      <c r="MXF28" s="15"/>
      <c r="MXL28" s="25"/>
      <c r="MXS28" s="21"/>
      <c r="MXT28" s="21"/>
      <c r="MXX28" s="15"/>
      <c r="MYD28" s="25"/>
      <c r="MYK28" s="21"/>
      <c r="MYL28" s="21"/>
      <c r="MYP28" s="15"/>
      <c r="MYV28" s="25"/>
      <c r="MZC28" s="21"/>
      <c r="MZD28" s="21"/>
      <c r="MZH28" s="15"/>
      <c r="MZN28" s="25"/>
      <c r="MZU28" s="21"/>
      <c r="MZV28" s="21"/>
      <c r="MZZ28" s="15"/>
      <c r="NAF28" s="25"/>
      <c r="NAM28" s="21"/>
      <c r="NAN28" s="21"/>
      <c r="NAR28" s="15"/>
      <c r="NAX28" s="25"/>
      <c r="NBE28" s="21"/>
      <c r="NBF28" s="21"/>
      <c r="NBJ28" s="15"/>
      <c r="NBP28" s="25"/>
      <c r="NBW28" s="21"/>
      <c r="NBX28" s="21"/>
      <c r="NCB28" s="15"/>
      <c r="NCH28" s="25"/>
      <c r="NCO28" s="21"/>
      <c r="NCP28" s="21"/>
      <c r="NCT28" s="15"/>
      <c r="NCZ28" s="25"/>
      <c r="NDG28" s="21"/>
      <c r="NDH28" s="21"/>
      <c r="NDL28" s="15"/>
      <c r="NDR28" s="25"/>
      <c r="NDY28" s="21"/>
      <c r="NDZ28" s="21"/>
      <c r="NED28" s="15"/>
      <c r="NEJ28" s="25"/>
      <c r="NEQ28" s="21"/>
      <c r="NER28" s="21"/>
      <c r="NEV28" s="15"/>
      <c r="NFB28" s="25"/>
      <c r="NFI28" s="21"/>
      <c r="NFJ28" s="21"/>
      <c r="NFN28" s="15"/>
      <c r="NFT28" s="25"/>
      <c r="NGA28" s="21"/>
      <c r="NGB28" s="21"/>
      <c r="NGF28" s="15"/>
      <c r="NGL28" s="25"/>
      <c r="NGS28" s="21"/>
      <c r="NGT28" s="21"/>
      <c r="NGX28" s="15"/>
      <c r="NHD28" s="25"/>
      <c r="NHK28" s="21"/>
      <c r="NHL28" s="21"/>
      <c r="NHP28" s="15"/>
      <c r="NHV28" s="25"/>
      <c r="NIC28" s="21"/>
      <c r="NID28" s="21"/>
      <c r="NIH28" s="15"/>
      <c r="NIN28" s="25"/>
      <c r="NIU28" s="21"/>
      <c r="NIV28" s="21"/>
      <c r="NIZ28" s="15"/>
      <c r="NJF28" s="25"/>
      <c r="NJM28" s="21"/>
      <c r="NJN28" s="21"/>
      <c r="NJR28" s="15"/>
      <c r="NJX28" s="25"/>
      <c r="NKE28" s="21"/>
      <c r="NKF28" s="21"/>
      <c r="NKJ28" s="15"/>
      <c r="NKP28" s="25"/>
      <c r="NKW28" s="21"/>
      <c r="NKX28" s="21"/>
      <c r="NLB28" s="15"/>
      <c r="NLH28" s="25"/>
      <c r="NLO28" s="21"/>
      <c r="NLP28" s="21"/>
      <c r="NLT28" s="15"/>
      <c r="NLZ28" s="25"/>
      <c r="NMG28" s="21"/>
      <c r="NMH28" s="21"/>
      <c r="NML28" s="15"/>
      <c r="NMR28" s="25"/>
      <c r="NMY28" s="21"/>
      <c r="NMZ28" s="21"/>
      <c r="NND28" s="15"/>
      <c r="NNJ28" s="25"/>
      <c r="NNQ28" s="21"/>
      <c r="NNR28" s="21"/>
      <c r="NNV28" s="15"/>
      <c r="NOB28" s="25"/>
      <c r="NOI28" s="21"/>
      <c r="NOJ28" s="21"/>
      <c r="NON28" s="15"/>
      <c r="NOT28" s="25"/>
      <c r="NPA28" s="21"/>
      <c r="NPB28" s="21"/>
      <c r="NPF28" s="15"/>
      <c r="NPL28" s="25"/>
      <c r="NPS28" s="21"/>
      <c r="NPT28" s="21"/>
      <c r="NPX28" s="15"/>
      <c r="NQD28" s="25"/>
      <c r="NQK28" s="21"/>
      <c r="NQL28" s="21"/>
      <c r="NQP28" s="15"/>
      <c r="NQV28" s="25"/>
      <c r="NRC28" s="21"/>
      <c r="NRD28" s="21"/>
      <c r="NRH28" s="15"/>
      <c r="NRN28" s="25"/>
      <c r="NRU28" s="21"/>
      <c r="NRV28" s="21"/>
      <c r="NRZ28" s="15"/>
      <c r="NSF28" s="25"/>
      <c r="NSM28" s="21"/>
      <c r="NSN28" s="21"/>
      <c r="NSR28" s="15"/>
      <c r="NSX28" s="25"/>
      <c r="NTE28" s="21"/>
      <c r="NTF28" s="21"/>
      <c r="NTJ28" s="15"/>
      <c r="NTP28" s="25"/>
      <c r="NTW28" s="21"/>
      <c r="NTX28" s="21"/>
      <c r="NUB28" s="15"/>
      <c r="NUH28" s="25"/>
      <c r="NUO28" s="21"/>
      <c r="NUP28" s="21"/>
      <c r="NUT28" s="15"/>
      <c r="NUZ28" s="25"/>
      <c r="NVG28" s="21"/>
      <c r="NVH28" s="21"/>
      <c r="NVL28" s="15"/>
      <c r="NVR28" s="25"/>
      <c r="NVY28" s="21"/>
      <c r="NVZ28" s="21"/>
      <c r="NWD28" s="15"/>
      <c r="NWJ28" s="25"/>
      <c r="NWQ28" s="21"/>
      <c r="NWR28" s="21"/>
      <c r="NWV28" s="15"/>
      <c r="NXB28" s="25"/>
      <c r="NXI28" s="21"/>
      <c r="NXJ28" s="21"/>
      <c r="NXN28" s="15"/>
      <c r="NXT28" s="25"/>
      <c r="NYA28" s="21"/>
      <c r="NYB28" s="21"/>
      <c r="NYF28" s="15"/>
      <c r="NYL28" s="25"/>
      <c r="NYS28" s="21"/>
      <c r="NYT28" s="21"/>
      <c r="NYX28" s="15"/>
      <c r="NZD28" s="25"/>
      <c r="NZK28" s="21"/>
      <c r="NZL28" s="21"/>
      <c r="NZP28" s="15"/>
      <c r="NZV28" s="25"/>
      <c r="OAC28" s="21"/>
      <c r="OAD28" s="21"/>
      <c r="OAH28" s="15"/>
      <c r="OAN28" s="25"/>
      <c r="OAU28" s="21"/>
      <c r="OAV28" s="21"/>
      <c r="OAZ28" s="15"/>
      <c r="OBF28" s="25"/>
      <c r="OBM28" s="21"/>
      <c r="OBN28" s="21"/>
      <c r="OBR28" s="15"/>
      <c r="OBX28" s="25"/>
      <c r="OCE28" s="21"/>
      <c r="OCF28" s="21"/>
      <c r="OCJ28" s="15"/>
      <c r="OCP28" s="25"/>
      <c r="OCW28" s="21"/>
      <c r="OCX28" s="21"/>
      <c r="ODB28" s="15"/>
      <c r="ODH28" s="25"/>
      <c r="ODO28" s="21"/>
      <c r="ODP28" s="21"/>
      <c r="ODT28" s="15"/>
      <c r="ODZ28" s="25"/>
      <c r="OEG28" s="21"/>
      <c r="OEH28" s="21"/>
      <c r="OEL28" s="15"/>
      <c r="OER28" s="25"/>
      <c r="OEY28" s="21"/>
      <c r="OEZ28" s="21"/>
      <c r="OFD28" s="15"/>
      <c r="OFJ28" s="25"/>
      <c r="OFQ28" s="21"/>
      <c r="OFR28" s="21"/>
      <c r="OFV28" s="15"/>
      <c r="OGB28" s="25"/>
      <c r="OGI28" s="21"/>
      <c r="OGJ28" s="21"/>
      <c r="OGN28" s="15"/>
      <c r="OGT28" s="25"/>
      <c r="OHA28" s="21"/>
      <c r="OHB28" s="21"/>
      <c r="OHF28" s="15"/>
      <c r="OHL28" s="25"/>
      <c r="OHS28" s="21"/>
      <c r="OHT28" s="21"/>
      <c r="OHX28" s="15"/>
      <c r="OID28" s="25"/>
      <c r="OIK28" s="21"/>
      <c r="OIL28" s="21"/>
      <c r="OIP28" s="15"/>
      <c r="OIV28" s="25"/>
      <c r="OJC28" s="21"/>
      <c r="OJD28" s="21"/>
      <c r="OJH28" s="15"/>
      <c r="OJN28" s="25"/>
      <c r="OJU28" s="21"/>
      <c r="OJV28" s="21"/>
      <c r="OJZ28" s="15"/>
      <c r="OKF28" s="25"/>
      <c r="OKM28" s="21"/>
      <c r="OKN28" s="21"/>
      <c r="OKR28" s="15"/>
      <c r="OKX28" s="25"/>
      <c r="OLE28" s="21"/>
      <c r="OLF28" s="21"/>
      <c r="OLJ28" s="15"/>
      <c r="OLP28" s="25"/>
      <c r="OLW28" s="21"/>
      <c r="OLX28" s="21"/>
      <c r="OMB28" s="15"/>
      <c r="OMH28" s="25"/>
      <c r="OMO28" s="21"/>
      <c r="OMP28" s="21"/>
      <c r="OMT28" s="15"/>
      <c r="OMZ28" s="25"/>
      <c r="ONG28" s="21"/>
      <c r="ONH28" s="21"/>
      <c r="ONL28" s="15"/>
      <c r="ONR28" s="25"/>
      <c r="ONY28" s="21"/>
      <c r="ONZ28" s="21"/>
      <c r="OOD28" s="15"/>
      <c r="OOJ28" s="25"/>
      <c r="OOQ28" s="21"/>
      <c r="OOR28" s="21"/>
      <c r="OOV28" s="15"/>
      <c r="OPB28" s="25"/>
      <c r="OPI28" s="21"/>
      <c r="OPJ28" s="21"/>
      <c r="OPN28" s="15"/>
      <c r="OPT28" s="25"/>
      <c r="OQA28" s="21"/>
      <c r="OQB28" s="21"/>
      <c r="OQF28" s="15"/>
      <c r="OQL28" s="25"/>
      <c r="OQS28" s="21"/>
      <c r="OQT28" s="21"/>
      <c r="OQX28" s="15"/>
      <c r="ORD28" s="25"/>
      <c r="ORK28" s="21"/>
      <c r="ORL28" s="21"/>
      <c r="ORP28" s="15"/>
      <c r="ORV28" s="25"/>
      <c r="OSC28" s="21"/>
      <c r="OSD28" s="21"/>
      <c r="OSH28" s="15"/>
      <c r="OSN28" s="25"/>
      <c r="OSU28" s="21"/>
      <c r="OSV28" s="21"/>
      <c r="OSZ28" s="15"/>
      <c r="OTF28" s="25"/>
      <c r="OTM28" s="21"/>
      <c r="OTN28" s="21"/>
      <c r="OTR28" s="15"/>
      <c r="OTX28" s="25"/>
      <c r="OUE28" s="21"/>
      <c r="OUF28" s="21"/>
      <c r="OUJ28" s="15"/>
      <c r="OUP28" s="25"/>
      <c r="OUW28" s="21"/>
      <c r="OUX28" s="21"/>
      <c r="OVB28" s="15"/>
      <c r="OVH28" s="25"/>
      <c r="OVO28" s="21"/>
      <c r="OVP28" s="21"/>
      <c r="OVT28" s="15"/>
      <c r="OVZ28" s="25"/>
      <c r="OWG28" s="21"/>
      <c r="OWH28" s="21"/>
      <c r="OWL28" s="15"/>
      <c r="OWR28" s="25"/>
      <c r="OWY28" s="21"/>
      <c r="OWZ28" s="21"/>
      <c r="OXD28" s="15"/>
      <c r="OXJ28" s="25"/>
      <c r="OXQ28" s="21"/>
      <c r="OXR28" s="21"/>
      <c r="OXV28" s="15"/>
      <c r="OYB28" s="25"/>
      <c r="OYI28" s="21"/>
      <c r="OYJ28" s="21"/>
      <c r="OYN28" s="15"/>
      <c r="OYT28" s="25"/>
      <c r="OZA28" s="21"/>
      <c r="OZB28" s="21"/>
      <c r="OZF28" s="15"/>
      <c r="OZL28" s="25"/>
      <c r="OZS28" s="21"/>
      <c r="OZT28" s="21"/>
      <c r="OZX28" s="15"/>
      <c r="PAD28" s="25"/>
      <c r="PAK28" s="21"/>
      <c r="PAL28" s="21"/>
      <c r="PAP28" s="15"/>
      <c r="PAV28" s="25"/>
      <c r="PBC28" s="21"/>
      <c r="PBD28" s="21"/>
      <c r="PBH28" s="15"/>
      <c r="PBN28" s="25"/>
      <c r="PBU28" s="21"/>
      <c r="PBV28" s="21"/>
      <c r="PBZ28" s="15"/>
      <c r="PCF28" s="25"/>
      <c r="PCM28" s="21"/>
      <c r="PCN28" s="21"/>
      <c r="PCR28" s="15"/>
      <c r="PCX28" s="25"/>
      <c r="PDE28" s="21"/>
      <c r="PDF28" s="21"/>
      <c r="PDJ28" s="15"/>
      <c r="PDP28" s="25"/>
      <c r="PDW28" s="21"/>
      <c r="PDX28" s="21"/>
      <c r="PEB28" s="15"/>
      <c r="PEH28" s="25"/>
      <c r="PEO28" s="21"/>
      <c r="PEP28" s="21"/>
      <c r="PET28" s="15"/>
      <c r="PEZ28" s="25"/>
      <c r="PFG28" s="21"/>
      <c r="PFH28" s="21"/>
      <c r="PFL28" s="15"/>
      <c r="PFR28" s="25"/>
      <c r="PFY28" s="21"/>
      <c r="PFZ28" s="21"/>
      <c r="PGD28" s="15"/>
      <c r="PGJ28" s="25"/>
      <c r="PGQ28" s="21"/>
      <c r="PGR28" s="21"/>
      <c r="PGV28" s="15"/>
      <c r="PHB28" s="25"/>
      <c r="PHI28" s="21"/>
      <c r="PHJ28" s="21"/>
      <c r="PHN28" s="15"/>
      <c r="PHT28" s="25"/>
      <c r="PIA28" s="21"/>
      <c r="PIB28" s="21"/>
      <c r="PIF28" s="15"/>
      <c r="PIL28" s="25"/>
      <c r="PIS28" s="21"/>
      <c r="PIT28" s="21"/>
      <c r="PIX28" s="15"/>
      <c r="PJD28" s="25"/>
      <c r="PJK28" s="21"/>
      <c r="PJL28" s="21"/>
      <c r="PJP28" s="15"/>
      <c r="PJV28" s="25"/>
      <c r="PKC28" s="21"/>
      <c r="PKD28" s="21"/>
      <c r="PKH28" s="15"/>
      <c r="PKN28" s="25"/>
      <c r="PKU28" s="21"/>
      <c r="PKV28" s="21"/>
      <c r="PKZ28" s="15"/>
      <c r="PLF28" s="25"/>
      <c r="PLM28" s="21"/>
      <c r="PLN28" s="21"/>
      <c r="PLR28" s="15"/>
      <c r="PLX28" s="25"/>
      <c r="PME28" s="21"/>
      <c r="PMF28" s="21"/>
      <c r="PMJ28" s="15"/>
      <c r="PMP28" s="25"/>
      <c r="PMW28" s="21"/>
      <c r="PMX28" s="21"/>
      <c r="PNB28" s="15"/>
      <c r="PNH28" s="25"/>
      <c r="PNO28" s="21"/>
      <c r="PNP28" s="21"/>
      <c r="PNT28" s="15"/>
      <c r="PNZ28" s="25"/>
      <c r="POG28" s="21"/>
      <c r="POH28" s="21"/>
      <c r="POL28" s="15"/>
      <c r="POR28" s="25"/>
      <c r="POY28" s="21"/>
      <c r="POZ28" s="21"/>
      <c r="PPD28" s="15"/>
      <c r="PPJ28" s="25"/>
      <c r="PPQ28" s="21"/>
      <c r="PPR28" s="21"/>
      <c r="PPV28" s="15"/>
      <c r="PQB28" s="25"/>
      <c r="PQI28" s="21"/>
      <c r="PQJ28" s="21"/>
      <c r="PQN28" s="15"/>
      <c r="PQT28" s="25"/>
      <c r="PRA28" s="21"/>
      <c r="PRB28" s="21"/>
      <c r="PRF28" s="15"/>
      <c r="PRL28" s="25"/>
      <c r="PRS28" s="21"/>
      <c r="PRT28" s="21"/>
      <c r="PRX28" s="15"/>
      <c r="PSD28" s="25"/>
      <c r="PSK28" s="21"/>
      <c r="PSL28" s="21"/>
      <c r="PSP28" s="15"/>
      <c r="PSV28" s="25"/>
      <c r="PTC28" s="21"/>
      <c r="PTD28" s="21"/>
      <c r="PTH28" s="15"/>
      <c r="PTN28" s="25"/>
      <c r="PTU28" s="21"/>
      <c r="PTV28" s="21"/>
      <c r="PTZ28" s="15"/>
      <c r="PUF28" s="25"/>
      <c r="PUM28" s="21"/>
      <c r="PUN28" s="21"/>
      <c r="PUR28" s="15"/>
      <c r="PUX28" s="25"/>
      <c r="PVE28" s="21"/>
      <c r="PVF28" s="21"/>
      <c r="PVJ28" s="15"/>
      <c r="PVP28" s="25"/>
      <c r="PVW28" s="21"/>
      <c r="PVX28" s="21"/>
      <c r="PWB28" s="15"/>
      <c r="PWH28" s="25"/>
      <c r="PWO28" s="21"/>
      <c r="PWP28" s="21"/>
      <c r="PWT28" s="15"/>
      <c r="PWZ28" s="25"/>
      <c r="PXG28" s="21"/>
      <c r="PXH28" s="21"/>
      <c r="PXL28" s="15"/>
      <c r="PXR28" s="25"/>
      <c r="PXY28" s="21"/>
      <c r="PXZ28" s="21"/>
      <c r="PYD28" s="15"/>
      <c r="PYJ28" s="25"/>
      <c r="PYQ28" s="21"/>
      <c r="PYR28" s="21"/>
      <c r="PYV28" s="15"/>
      <c r="PZB28" s="25"/>
      <c r="PZI28" s="21"/>
      <c r="PZJ28" s="21"/>
      <c r="PZN28" s="15"/>
      <c r="PZT28" s="25"/>
      <c r="QAA28" s="21"/>
      <c r="QAB28" s="21"/>
      <c r="QAF28" s="15"/>
      <c r="QAL28" s="25"/>
      <c r="QAS28" s="21"/>
      <c r="QAT28" s="21"/>
      <c r="QAX28" s="15"/>
      <c r="QBD28" s="25"/>
      <c r="QBK28" s="21"/>
      <c r="QBL28" s="21"/>
      <c r="QBP28" s="15"/>
      <c r="QBV28" s="25"/>
      <c r="QCC28" s="21"/>
      <c r="QCD28" s="21"/>
      <c r="QCH28" s="15"/>
      <c r="QCN28" s="25"/>
      <c r="QCU28" s="21"/>
      <c r="QCV28" s="21"/>
      <c r="QCZ28" s="15"/>
      <c r="QDF28" s="25"/>
      <c r="QDM28" s="21"/>
      <c r="QDN28" s="21"/>
      <c r="QDR28" s="15"/>
      <c r="QDX28" s="25"/>
      <c r="QEE28" s="21"/>
      <c r="QEF28" s="21"/>
      <c r="QEJ28" s="15"/>
      <c r="QEP28" s="25"/>
      <c r="QEW28" s="21"/>
      <c r="QEX28" s="21"/>
      <c r="QFB28" s="15"/>
      <c r="QFH28" s="25"/>
      <c r="QFO28" s="21"/>
      <c r="QFP28" s="21"/>
      <c r="QFT28" s="15"/>
      <c r="QFZ28" s="25"/>
      <c r="QGG28" s="21"/>
      <c r="QGH28" s="21"/>
      <c r="QGL28" s="15"/>
      <c r="QGR28" s="25"/>
      <c r="QGY28" s="21"/>
      <c r="QGZ28" s="21"/>
      <c r="QHD28" s="15"/>
      <c r="QHJ28" s="25"/>
      <c r="QHQ28" s="21"/>
      <c r="QHR28" s="21"/>
      <c r="QHV28" s="15"/>
      <c r="QIB28" s="25"/>
      <c r="QII28" s="21"/>
      <c r="QIJ28" s="21"/>
      <c r="QIN28" s="15"/>
      <c r="QIT28" s="25"/>
      <c r="QJA28" s="21"/>
      <c r="QJB28" s="21"/>
      <c r="QJF28" s="15"/>
      <c r="QJL28" s="25"/>
      <c r="QJS28" s="21"/>
      <c r="QJT28" s="21"/>
      <c r="QJX28" s="15"/>
      <c r="QKD28" s="25"/>
      <c r="QKK28" s="21"/>
      <c r="QKL28" s="21"/>
      <c r="QKP28" s="15"/>
      <c r="QKV28" s="25"/>
      <c r="QLC28" s="21"/>
      <c r="QLD28" s="21"/>
      <c r="QLH28" s="15"/>
      <c r="QLN28" s="25"/>
      <c r="QLU28" s="21"/>
      <c r="QLV28" s="21"/>
      <c r="QLZ28" s="15"/>
      <c r="QMF28" s="25"/>
      <c r="QMM28" s="21"/>
      <c r="QMN28" s="21"/>
      <c r="QMR28" s="15"/>
      <c r="QMX28" s="25"/>
      <c r="QNE28" s="21"/>
      <c r="QNF28" s="21"/>
      <c r="QNJ28" s="15"/>
      <c r="QNP28" s="25"/>
      <c r="QNW28" s="21"/>
      <c r="QNX28" s="21"/>
      <c r="QOB28" s="15"/>
      <c r="QOH28" s="25"/>
      <c r="QOO28" s="21"/>
      <c r="QOP28" s="21"/>
      <c r="QOT28" s="15"/>
      <c r="QOZ28" s="25"/>
      <c r="QPG28" s="21"/>
      <c r="QPH28" s="21"/>
      <c r="QPL28" s="15"/>
      <c r="QPR28" s="25"/>
      <c r="QPY28" s="21"/>
      <c r="QPZ28" s="21"/>
      <c r="QQD28" s="15"/>
      <c r="QQJ28" s="25"/>
      <c r="QQQ28" s="21"/>
      <c r="QQR28" s="21"/>
      <c r="QQV28" s="15"/>
      <c r="QRB28" s="25"/>
      <c r="QRI28" s="21"/>
      <c r="QRJ28" s="21"/>
      <c r="QRN28" s="15"/>
      <c r="QRT28" s="25"/>
      <c r="QSA28" s="21"/>
      <c r="QSB28" s="21"/>
      <c r="QSF28" s="15"/>
      <c r="QSL28" s="25"/>
      <c r="QSS28" s="21"/>
      <c r="QST28" s="21"/>
      <c r="QSX28" s="15"/>
      <c r="QTD28" s="25"/>
      <c r="QTK28" s="21"/>
      <c r="QTL28" s="21"/>
      <c r="QTP28" s="15"/>
      <c r="QTV28" s="25"/>
      <c r="QUC28" s="21"/>
      <c r="QUD28" s="21"/>
      <c r="QUH28" s="15"/>
      <c r="QUN28" s="25"/>
      <c r="QUU28" s="21"/>
      <c r="QUV28" s="21"/>
      <c r="QUZ28" s="15"/>
      <c r="QVF28" s="25"/>
      <c r="QVM28" s="21"/>
      <c r="QVN28" s="21"/>
      <c r="QVR28" s="15"/>
      <c r="QVX28" s="25"/>
      <c r="QWE28" s="21"/>
      <c r="QWF28" s="21"/>
      <c r="QWJ28" s="15"/>
      <c r="QWP28" s="25"/>
      <c r="QWW28" s="21"/>
      <c r="QWX28" s="21"/>
      <c r="QXB28" s="15"/>
      <c r="QXH28" s="25"/>
      <c r="QXO28" s="21"/>
      <c r="QXP28" s="21"/>
      <c r="QXT28" s="15"/>
      <c r="QXZ28" s="25"/>
      <c r="QYG28" s="21"/>
      <c r="QYH28" s="21"/>
      <c r="QYL28" s="15"/>
      <c r="QYR28" s="25"/>
      <c r="QYY28" s="21"/>
      <c r="QYZ28" s="21"/>
      <c r="QZD28" s="15"/>
      <c r="QZJ28" s="25"/>
      <c r="QZQ28" s="21"/>
      <c r="QZR28" s="21"/>
      <c r="QZV28" s="15"/>
      <c r="RAB28" s="25"/>
      <c r="RAI28" s="21"/>
      <c r="RAJ28" s="21"/>
      <c r="RAN28" s="15"/>
      <c r="RAT28" s="25"/>
      <c r="RBA28" s="21"/>
      <c r="RBB28" s="21"/>
      <c r="RBF28" s="15"/>
      <c r="RBL28" s="25"/>
      <c r="RBS28" s="21"/>
      <c r="RBT28" s="21"/>
      <c r="RBX28" s="15"/>
      <c r="RCD28" s="25"/>
      <c r="RCK28" s="21"/>
      <c r="RCL28" s="21"/>
      <c r="RCP28" s="15"/>
      <c r="RCV28" s="25"/>
      <c r="RDC28" s="21"/>
      <c r="RDD28" s="21"/>
      <c r="RDH28" s="15"/>
      <c r="RDN28" s="25"/>
      <c r="RDU28" s="21"/>
      <c r="RDV28" s="21"/>
      <c r="RDZ28" s="15"/>
      <c r="REF28" s="25"/>
      <c r="REM28" s="21"/>
      <c r="REN28" s="21"/>
      <c r="RER28" s="15"/>
      <c r="REX28" s="25"/>
      <c r="RFE28" s="21"/>
      <c r="RFF28" s="21"/>
      <c r="RFJ28" s="15"/>
      <c r="RFP28" s="25"/>
      <c r="RFW28" s="21"/>
      <c r="RFX28" s="21"/>
      <c r="RGB28" s="15"/>
      <c r="RGH28" s="25"/>
      <c r="RGO28" s="21"/>
      <c r="RGP28" s="21"/>
      <c r="RGT28" s="15"/>
      <c r="RGZ28" s="25"/>
      <c r="RHG28" s="21"/>
      <c r="RHH28" s="21"/>
      <c r="RHL28" s="15"/>
      <c r="RHR28" s="25"/>
      <c r="RHY28" s="21"/>
      <c r="RHZ28" s="21"/>
      <c r="RID28" s="15"/>
      <c r="RIJ28" s="25"/>
      <c r="RIQ28" s="21"/>
      <c r="RIR28" s="21"/>
      <c r="RIV28" s="15"/>
      <c r="RJB28" s="25"/>
      <c r="RJI28" s="21"/>
      <c r="RJJ28" s="21"/>
      <c r="RJN28" s="15"/>
      <c r="RJT28" s="25"/>
      <c r="RKA28" s="21"/>
      <c r="RKB28" s="21"/>
      <c r="RKF28" s="15"/>
      <c r="RKL28" s="25"/>
      <c r="RKS28" s="21"/>
      <c r="RKT28" s="21"/>
      <c r="RKX28" s="15"/>
      <c r="RLD28" s="25"/>
      <c r="RLK28" s="21"/>
      <c r="RLL28" s="21"/>
      <c r="RLP28" s="15"/>
      <c r="RLV28" s="25"/>
      <c r="RMC28" s="21"/>
      <c r="RMD28" s="21"/>
      <c r="RMH28" s="15"/>
      <c r="RMN28" s="25"/>
      <c r="RMU28" s="21"/>
      <c r="RMV28" s="21"/>
      <c r="RMZ28" s="15"/>
      <c r="RNF28" s="25"/>
      <c r="RNM28" s="21"/>
      <c r="RNN28" s="21"/>
      <c r="RNR28" s="15"/>
      <c r="RNX28" s="25"/>
      <c r="ROE28" s="21"/>
      <c r="ROF28" s="21"/>
      <c r="ROJ28" s="15"/>
      <c r="ROP28" s="25"/>
      <c r="ROW28" s="21"/>
      <c r="ROX28" s="21"/>
      <c r="RPB28" s="15"/>
      <c r="RPH28" s="25"/>
      <c r="RPO28" s="21"/>
      <c r="RPP28" s="21"/>
      <c r="RPT28" s="15"/>
      <c r="RPZ28" s="25"/>
      <c r="RQG28" s="21"/>
      <c r="RQH28" s="21"/>
      <c r="RQL28" s="15"/>
      <c r="RQR28" s="25"/>
      <c r="RQY28" s="21"/>
      <c r="RQZ28" s="21"/>
      <c r="RRD28" s="15"/>
      <c r="RRJ28" s="25"/>
      <c r="RRQ28" s="21"/>
      <c r="RRR28" s="21"/>
      <c r="RRV28" s="15"/>
      <c r="RSB28" s="25"/>
      <c r="RSI28" s="21"/>
      <c r="RSJ28" s="21"/>
      <c r="RSN28" s="15"/>
      <c r="RST28" s="25"/>
      <c r="RTA28" s="21"/>
      <c r="RTB28" s="21"/>
      <c r="RTF28" s="15"/>
      <c r="RTL28" s="25"/>
      <c r="RTS28" s="21"/>
      <c r="RTT28" s="21"/>
      <c r="RTX28" s="15"/>
      <c r="RUD28" s="25"/>
      <c r="RUK28" s="21"/>
      <c r="RUL28" s="21"/>
      <c r="RUP28" s="15"/>
      <c r="RUV28" s="25"/>
      <c r="RVC28" s="21"/>
      <c r="RVD28" s="21"/>
      <c r="RVH28" s="15"/>
      <c r="RVN28" s="25"/>
      <c r="RVU28" s="21"/>
      <c r="RVV28" s="21"/>
      <c r="RVZ28" s="15"/>
      <c r="RWF28" s="25"/>
      <c r="RWM28" s="21"/>
      <c r="RWN28" s="21"/>
      <c r="RWR28" s="15"/>
      <c r="RWX28" s="25"/>
      <c r="RXE28" s="21"/>
      <c r="RXF28" s="21"/>
      <c r="RXJ28" s="15"/>
      <c r="RXP28" s="25"/>
      <c r="RXW28" s="21"/>
      <c r="RXX28" s="21"/>
      <c r="RYB28" s="15"/>
      <c r="RYH28" s="25"/>
      <c r="RYO28" s="21"/>
      <c r="RYP28" s="21"/>
      <c r="RYT28" s="15"/>
      <c r="RYZ28" s="25"/>
      <c r="RZG28" s="21"/>
      <c r="RZH28" s="21"/>
      <c r="RZL28" s="15"/>
      <c r="RZR28" s="25"/>
      <c r="RZY28" s="21"/>
      <c r="RZZ28" s="21"/>
      <c r="SAD28" s="15"/>
      <c r="SAJ28" s="25"/>
      <c r="SAQ28" s="21"/>
      <c r="SAR28" s="21"/>
      <c r="SAV28" s="15"/>
      <c r="SBB28" s="25"/>
      <c r="SBI28" s="21"/>
      <c r="SBJ28" s="21"/>
      <c r="SBN28" s="15"/>
      <c r="SBT28" s="25"/>
      <c r="SCA28" s="21"/>
      <c r="SCB28" s="21"/>
      <c r="SCF28" s="15"/>
      <c r="SCL28" s="25"/>
      <c r="SCS28" s="21"/>
      <c r="SCT28" s="21"/>
      <c r="SCX28" s="15"/>
      <c r="SDD28" s="25"/>
      <c r="SDK28" s="21"/>
      <c r="SDL28" s="21"/>
      <c r="SDP28" s="15"/>
      <c r="SDV28" s="25"/>
      <c r="SEC28" s="21"/>
      <c r="SED28" s="21"/>
      <c r="SEH28" s="15"/>
      <c r="SEN28" s="25"/>
      <c r="SEU28" s="21"/>
      <c r="SEV28" s="21"/>
      <c r="SEZ28" s="15"/>
      <c r="SFF28" s="25"/>
      <c r="SFM28" s="21"/>
      <c r="SFN28" s="21"/>
      <c r="SFR28" s="15"/>
      <c r="SFX28" s="25"/>
      <c r="SGE28" s="21"/>
      <c r="SGF28" s="21"/>
      <c r="SGJ28" s="15"/>
      <c r="SGP28" s="25"/>
      <c r="SGW28" s="21"/>
      <c r="SGX28" s="21"/>
      <c r="SHB28" s="15"/>
      <c r="SHH28" s="25"/>
      <c r="SHO28" s="21"/>
      <c r="SHP28" s="21"/>
      <c r="SHT28" s="15"/>
      <c r="SHZ28" s="25"/>
      <c r="SIG28" s="21"/>
      <c r="SIH28" s="21"/>
      <c r="SIL28" s="15"/>
      <c r="SIR28" s="25"/>
      <c r="SIY28" s="21"/>
      <c r="SIZ28" s="21"/>
      <c r="SJD28" s="15"/>
      <c r="SJJ28" s="25"/>
      <c r="SJQ28" s="21"/>
      <c r="SJR28" s="21"/>
      <c r="SJV28" s="15"/>
      <c r="SKB28" s="25"/>
      <c r="SKI28" s="21"/>
      <c r="SKJ28" s="21"/>
      <c r="SKN28" s="15"/>
      <c r="SKT28" s="25"/>
      <c r="SLA28" s="21"/>
      <c r="SLB28" s="21"/>
      <c r="SLF28" s="15"/>
      <c r="SLL28" s="25"/>
      <c r="SLS28" s="21"/>
      <c r="SLT28" s="21"/>
      <c r="SLX28" s="15"/>
      <c r="SMD28" s="25"/>
      <c r="SMK28" s="21"/>
      <c r="SML28" s="21"/>
      <c r="SMP28" s="15"/>
      <c r="SMV28" s="25"/>
      <c r="SNC28" s="21"/>
      <c r="SND28" s="21"/>
      <c r="SNH28" s="15"/>
      <c r="SNN28" s="25"/>
      <c r="SNU28" s="21"/>
      <c r="SNV28" s="21"/>
      <c r="SNZ28" s="15"/>
      <c r="SOF28" s="25"/>
      <c r="SOM28" s="21"/>
      <c r="SON28" s="21"/>
      <c r="SOR28" s="15"/>
      <c r="SOX28" s="25"/>
      <c r="SPE28" s="21"/>
      <c r="SPF28" s="21"/>
      <c r="SPJ28" s="15"/>
      <c r="SPP28" s="25"/>
      <c r="SPW28" s="21"/>
      <c r="SPX28" s="21"/>
      <c r="SQB28" s="15"/>
      <c r="SQH28" s="25"/>
      <c r="SQO28" s="21"/>
      <c r="SQP28" s="21"/>
      <c r="SQT28" s="15"/>
      <c r="SQZ28" s="25"/>
      <c r="SRG28" s="21"/>
      <c r="SRH28" s="21"/>
      <c r="SRL28" s="15"/>
      <c r="SRR28" s="25"/>
      <c r="SRY28" s="21"/>
      <c r="SRZ28" s="21"/>
      <c r="SSD28" s="15"/>
      <c r="SSJ28" s="25"/>
      <c r="SSQ28" s="21"/>
      <c r="SSR28" s="21"/>
      <c r="SSV28" s="15"/>
      <c r="STB28" s="25"/>
      <c r="STI28" s="21"/>
      <c r="STJ28" s="21"/>
      <c r="STN28" s="15"/>
      <c r="STT28" s="25"/>
      <c r="SUA28" s="21"/>
      <c r="SUB28" s="21"/>
      <c r="SUF28" s="15"/>
      <c r="SUL28" s="25"/>
      <c r="SUS28" s="21"/>
      <c r="SUT28" s="21"/>
      <c r="SUX28" s="15"/>
      <c r="SVD28" s="25"/>
      <c r="SVK28" s="21"/>
      <c r="SVL28" s="21"/>
      <c r="SVP28" s="15"/>
      <c r="SVV28" s="25"/>
      <c r="SWC28" s="21"/>
      <c r="SWD28" s="21"/>
      <c r="SWH28" s="15"/>
      <c r="SWN28" s="25"/>
      <c r="SWU28" s="21"/>
      <c r="SWV28" s="21"/>
      <c r="SWZ28" s="15"/>
      <c r="SXF28" s="25"/>
      <c r="SXM28" s="21"/>
      <c r="SXN28" s="21"/>
      <c r="SXR28" s="15"/>
      <c r="SXX28" s="25"/>
      <c r="SYE28" s="21"/>
      <c r="SYF28" s="21"/>
      <c r="SYJ28" s="15"/>
      <c r="SYP28" s="25"/>
      <c r="SYW28" s="21"/>
      <c r="SYX28" s="21"/>
      <c r="SZB28" s="15"/>
      <c r="SZH28" s="25"/>
      <c r="SZO28" s="21"/>
      <c r="SZP28" s="21"/>
      <c r="SZT28" s="15"/>
      <c r="SZZ28" s="25"/>
      <c r="TAG28" s="21"/>
      <c r="TAH28" s="21"/>
      <c r="TAL28" s="15"/>
      <c r="TAR28" s="25"/>
      <c r="TAY28" s="21"/>
      <c r="TAZ28" s="21"/>
      <c r="TBD28" s="15"/>
      <c r="TBJ28" s="25"/>
      <c r="TBQ28" s="21"/>
      <c r="TBR28" s="21"/>
      <c r="TBV28" s="15"/>
      <c r="TCB28" s="25"/>
      <c r="TCI28" s="21"/>
      <c r="TCJ28" s="21"/>
      <c r="TCN28" s="15"/>
      <c r="TCT28" s="25"/>
      <c r="TDA28" s="21"/>
      <c r="TDB28" s="21"/>
      <c r="TDF28" s="15"/>
      <c r="TDL28" s="25"/>
      <c r="TDS28" s="21"/>
      <c r="TDT28" s="21"/>
      <c r="TDX28" s="15"/>
      <c r="TED28" s="25"/>
      <c r="TEK28" s="21"/>
      <c r="TEL28" s="21"/>
      <c r="TEP28" s="15"/>
      <c r="TEV28" s="25"/>
      <c r="TFC28" s="21"/>
      <c r="TFD28" s="21"/>
      <c r="TFH28" s="15"/>
      <c r="TFN28" s="25"/>
      <c r="TFU28" s="21"/>
      <c r="TFV28" s="21"/>
      <c r="TFZ28" s="15"/>
      <c r="TGF28" s="25"/>
      <c r="TGM28" s="21"/>
      <c r="TGN28" s="21"/>
      <c r="TGR28" s="15"/>
      <c r="TGX28" s="25"/>
      <c r="THE28" s="21"/>
      <c r="THF28" s="21"/>
      <c r="THJ28" s="15"/>
      <c r="THP28" s="25"/>
      <c r="THW28" s="21"/>
      <c r="THX28" s="21"/>
      <c r="TIB28" s="15"/>
      <c r="TIH28" s="25"/>
      <c r="TIO28" s="21"/>
      <c r="TIP28" s="21"/>
      <c r="TIT28" s="15"/>
      <c r="TIZ28" s="25"/>
      <c r="TJG28" s="21"/>
      <c r="TJH28" s="21"/>
      <c r="TJL28" s="15"/>
      <c r="TJR28" s="25"/>
      <c r="TJY28" s="21"/>
      <c r="TJZ28" s="21"/>
      <c r="TKD28" s="15"/>
      <c r="TKJ28" s="25"/>
      <c r="TKQ28" s="21"/>
      <c r="TKR28" s="21"/>
      <c r="TKV28" s="15"/>
      <c r="TLB28" s="25"/>
      <c r="TLI28" s="21"/>
      <c r="TLJ28" s="21"/>
      <c r="TLN28" s="15"/>
      <c r="TLT28" s="25"/>
      <c r="TMA28" s="21"/>
      <c r="TMB28" s="21"/>
      <c r="TMF28" s="15"/>
      <c r="TML28" s="25"/>
      <c r="TMS28" s="21"/>
      <c r="TMT28" s="21"/>
      <c r="TMX28" s="15"/>
      <c r="TND28" s="25"/>
      <c r="TNK28" s="21"/>
      <c r="TNL28" s="21"/>
      <c r="TNP28" s="15"/>
      <c r="TNV28" s="25"/>
      <c r="TOC28" s="21"/>
      <c r="TOD28" s="21"/>
      <c r="TOH28" s="15"/>
      <c r="TON28" s="25"/>
      <c r="TOU28" s="21"/>
      <c r="TOV28" s="21"/>
      <c r="TOZ28" s="15"/>
      <c r="TPF28" s="25"/>
      <c r="TPM28" s="21"/>
      <c r="TPN28" s="21"/>
      <c r="TPR28" s="15"/>
      <c r="TPX28" s="25"/>
      <c r="TQE28" s="21"/>
      <c r="TQF28" s="21"/>
      <c r="TQJ28" s="15"/>
      <c r="TQP28" s="25"/>
      <c r="TQW28" s="21"/>
      <c r="TQX28" s="21"/>
      <c r="TRB28" s="15"/>
      <c r="TRH28" s="25"/>
      <c r="TRO28" s="21"/>
      <c r="TRP28" s="21"/>
      <c r="TRT28" s="15"/>
      <c r="TRZ28" s="25"/>
      <c r="TSG28" s="21"/>
      <c r="TSH28" s="21"/>
      <c r="TSL28" s="15"/>
      <c r="TSR28" s="25"/>
      <c r="TSY28" s="21"/>
      <c r="TSZ28" s="21"/>
      <c r="TTD28" s="15"/>
      <c r="TTJ28" s="25"/>
      <c r="TTQ28" s="21"/>
      <c r="TTR28" s="21"/>
      <c r="TTV28" s="15"/>
      <c r="TUB28" s="25"/>
      <c r="TUI28" s="21"/>
      <c r="TUJ28" s="21"/>
      <c r="TUN28" s="15"/>
      <c r="TUT28" s="25"/>
      <c r="TVA28" s="21"/>
      <c r="TVB28" s="21"/>
      <c r="TVF28" s="15"/>
      <c r="TVL28" s="25"/>
      <c r="TVS28" s="21"/>
      <c r="TVT28" s="21"/>
      <c r="TVX28" s="15"/>
      <c r="TWD28" s="25"/>
      <c r="TWK28" s="21"/>
      <c r="TWL28" s="21"/>
      <c r="TWP28" s="15"/>
      <c r="TWV28" s="25"/>
      <c r="TXC28" s="21"/>
      <c r="TXD28" s="21"/>
      <c r="TXH28" s="15"/>
      <c r="TXN28" s="25"/>
      <c r="TXU28" s="21"/>
      <c r="TXV28" s="21"/>
      <c r="TXZ28" s="15"/>
      <c r="TYF28" s="25"/>
      <c r="TYM28" s="21"/>
      <c r="TYN28" s="21"/>
      <c r="TYR28" s="15"/>
      <c r="TYX28" s="25"/>
      <c r="TZE28" s="21"/>
      <c r="TZF28" s="21"/>
      <c r="TZJ28" s="15"/>
      <c r="TZP28" s="25"/>
      <c r="TZW28" s="21"/>
      <c r="TZX28" s="21"/>
      <c r="UAB28" s="15"/>
      <c r="UAH28" s="25"/>
      <c r="UAO28" s="21"/>
      <c r="UAP28" s="21"/>
      <c r="UAT28" s="15"/>
      <c r="UAZ28" s="25"/>
      <c r="UBG28" s="21"/>
      <c r="UBH28" s="21"/>
      <c r="UBL28" s="15"/>
      <c r="UBR28" s="25"/>
      <c r="UBY28" s="21"/>
      <c r="UBZ28" s="21"/>
      <c r="UCD28" s="15"/>
      <c r="UCJ28" s="25"/>
      <c r="UCQ28" s="21"/>
      <c r="UCR28" s="21"/>
      <c r="UCV28" s="15"/>
      <c r="UDB28" s="25"/>
      <c r="UDI28" s="21"/>
      <c r="UDJ28" s="21"/>
      <c r="UDN28" s="15"/>
      <c r="UDT28" s="25"/>
      <c r="UEA28" s="21"/>
      <c r="UEB28" s="21"/>
      <c r="UEF28" s="15"/>
      <c r="UEL28" s="25"/>
      <c r="UES28" s="21"/>
      <c r="UET28" s="21"/>
      <c r="UEX28" s="15"/>
      <c r="UFD28" s="25"/>
      <c r="UFK28" s="21"/>
      <c r="UFL28" s="21"/>
      <c r="UFP28" s="15"/>
      <c r="UFV28" s="25"/>
      <c r="UGC28" s="21"/>
      <c r="UGD28" s="21"/>
      <c r="UGH28" s="15"/>
      <c r="UGN28" s="25"/>
      <c r="UGU28" s="21"/>
      <c r="UGV28" s="21"/>
      <c r="UGZ28" s="15"/>
      <c r="UHF28" s="25"/>
      <c r="UHM28" s="21"/>
      <c r="UHN28" s="21"/>
      <c r="UHR28" s="15"/>
      <c r="UHX28" s="25"/>
      <c r="UIE28" s="21"/>
      <c r="UIF28" s="21"/>
      <c r="UIJ28" s="15"/>
      <c r="UIP28" s="25"/>
      <c r="UIW28" s="21"/>
      <c r="UIX28" s="21"/>
      <c r="UJB28" s="15"/>
      <c r="UJH28" s="25"/>
      <c r="UJO28" s="21"/>
      <c r="UJP28" s="21"/>
      <c r="UJT28" s="15"/>
      <c r="UJZ28" s="25"/>
      <c r="UKG28" s="21"/>
      <c r="UKH28" s="21"/>
      <c r="UKL28" s="15"/>
      <c r="UKR28" s="25"/>
      <c r="UKY28" s="21"/>
      <c r="UKZ28" s="21"/>
      <c r="ULD28" s="15"/>
      <c r="ULJ28" s="25"/>
      <c r="ULQ28" s="21"/>
      <c r="ULR28" s="21"/>
      <c r="ULV28" s="15"/>
      <c r="UMB28" s="25"/>
      <c r="UMI28" s="21"/>
      <c r="UMJ28" s="21"/>
      <c r="UMN28" s="15"/>
      <c r="UMT28" s="25"/>
      <c r="UNA28" s="21"/>
      <c r="UNB28" s="21"/>
      <c r="UNF28" s="15"/>
      <c r="UNL28" s="25"/>
      <c r="UNS28" s="21"/>
      <c r="UNT28" s="21"/>
      <c r="UNX28" s="15"/>
      <c r="UOD28" s="25"/>
      <c r="UOK28" s="21"/>
      <c r="UOL28" s="21"/>
      <c r="UOP28" s="15"/>
      <c r="UOV28" s="25"/>
      <c r="UPC28" s="21"/>
      <c r="UPD28" s="21"/>
      <c r="UPH28" s="15"/>
      <c r="UPN28" s="25"/>
      <c r="UPU28" s="21"/>
      <c r="UPV28" s="21"/>
      <c r="UPZ28" s="15"/>
      <c r="UQF28" s="25"/>
      <c r="UQM28" s="21"/>
      <c r="UQN28" s="21"/>
      <c r="UQR28" s="15"/>
      <c r="UQX28" s="25"/>
      <c r="URE28" s="21"/>
      <c r="URF28" s="21"/>
      <c r="URJ28" s="15"/>
      <c r="URP28" s="25"/>
      <c r="URW28" s="21"/>
      <c r="URX28" s="21"/>
      <c r="USB28" s="15"/>
      <c r="USH28" s="25"/>
      <c r="USO28" s="21"/>
      <c r="USP28" s="21"/>
      <c r="UST28" s="15"/>
      <c r="USZ28" s="25"/>
      <c r="UTG28" s="21"/>
      <c r="UTH28" s="21"/>
      <c r="UTL28" s="15"/>
      <c r="UTR28" s="25"/>
      <c r="UTY28" s="21"/>
      <c r="UTZ28" s="21"/>
      <c r="UUD28" s="15"/>
      <c r="UUJ28" s="25"/>
      <c r="UUQ28" s="21"/>
      <c r="UUR28" s="21"/>
      <c r="UUV28" s="15"/>
      <c r="UVB28" s="25"/>
      <c r="UVI28" s="21"/>
      <c r="UVJ28" s="21"/>
      <c r="UVN28" s="15"/>
      <c r="UVT28" s="25"/>
      <c r="UWA28" s="21"/>
      <c r="UWB28" s="21"/>
      <c r="UWF28" s="15"/>
      <c r="UWL28" s="25"/>
      <c r="UWS28" s="21"/>
      <c r="UWT28" s="21"/>
      <c r="UWX28" s="15"/>
      <c r="UXD28" s="25"/>
      <c r="UXK28" s="21"/>
      <c r="UXL28" s="21"/>
      <c r="UXP28" s="15"/>
      <c r="UXV28" s="25"/>
      <c r="UYC28" s="21"/>
      <c r="UYD28" s="21"/>
      <c r="UYH28" s="15"/>
      <c r="UYN28" s="25"/>
      <c r="UYU28" s="21"/>
      <c r="UYV28" s="21"/>
      <c r="UYZ28" s="15"/>
      <c r="UZF28" s="25"/>
      <c r="UZM28" s="21"/>
      <c r="UZN28" s="21"/>
      <c r="UZR28" s="15"/>
      <c r="UZX28" s="25"/>
      <c r="VAE28" s="21"/>
      <c r="VAF28" s="21"/>
      <c r="VAJ28" s="15"/>
      <c r="VAP28" s="25"/>
      <c r="VAW28" s="21"/>
      <c r="VAX28" s="21"/>
      <c r="VBB28" s="15"/>
      <c r="VBH28" s="25"/>
      <c r="VBO28" s="21"/>
      <c r="VBP28" s="21"/>
      <c r="VBT28" s="15"/>
      <c r="VBZ28" s="25"/>
      <c r="VCG28" s="21"/>
      <c r="VCH28" s="21"/>
      <c r="VCL28" s="15"/>
      <c r="VCR28" s="25"/>
      <c r="VCY28" s="21"/>
      <c r="VCZ28" s="21"/>
      <c r="VDD28" s="15"/>
      <c r="VDJ28" s="25"/>
      <c r="VDQ28" s="21"/>
      <c r="VDR28" s="21"/>
      <c r="VDV28" s="15"/>
      <c r="VEB28" s="25"/>
      <c r="VEI28" s="21"/>
      <c r="VEJ28" s="21"/>
      <c r="VEN28" s="15"/>
      <c r="VET28" s="25"/>
      <c r="VFA28" s="21"/>
      <c r="VFB28" s="21"/>
      <c r="VFF28" s="15"/>
      <c r="VFL28" s="25"/>
      <c r="VFS28" s="21"/>
      <c r="VFT28" s="21"/>
      <c r="VFX28" s="15"/>
      <c r="VGD28" s="25"/>
      <c r="VGK28" s="21"/>
      <c r="VGL28" s="21"/>
      <c r="VGP28" s="15"/>
      <c r="VGV28" s="25"/>
      <c r="VHC28" s="21"/>
      <c r="VHD28" s="21"/>
      <c r="VHH28" s="15"/>
      <c r="VHN28" s="25"/>
      <c r="VHU28" s="21"/>
      <c r="VHV28" s="21"/>
      <c r="VHZ28" s="15"/>
      <c r="VIF28" s="25"/>
      <c r="VIM28" s="21"/>
      <c r="VIN28" s="21"/>
      <c r="VIR28" s="15"/>
      <c r="VIX28" s="25"/>
      <c r="VJE28" s="21"/>
      <c r="VJF28" s="21"/>
      <c r="VJJ28" s="15"/>
      <c r="VJP28" s="25"/>
      <c r="VJW28" s="21"/>
      <c r="VJX28" s="21"/>
      <c r="VKB28" s="15"/>
      <c r="VKH28" s="25"/>
      <c r="VKO28" s="21"/>
      <c r="VKP28" s="21"/>
      <c r="VKT28" s="15"/>
      <c r="VKZ28" s="25"/>
      <c r="VLG28" s="21"/>
      <c r="VLH28" s="21"/>
      <c r="VLL28" s="15"/>
      <c r="VLR28" s="25"/>
      <c r="VLY28" s="21"/>
      <c r="VLZ28" s="21"/>
      <c r="VMD28" s="15"/>
      <c r="VMJ28" s="25"/>
      <c r="VMQ28" s="21"/>
      <c r="VMR28" s="21"/>
      <c r="VMV28" s="15"/>
      <c r="VNB28" s="25"/>
      <c r="VNI28" s="21"/>
      <c r="VNJ28" s="21"/>
      <c r="VNN28" s="15"/>
      <c r="VNT28" s="25"/>
      <c r="VOA28" s="21"/>
      <c r="VOB28" s="21"/>
      <c r="VOF28" s="15"/>
      <c r="VOL28" s="25"/>
      <c r="VOS28" s="21"/>
      <c r="VOT28" s="21"/>
      <c r="VOX28" s="15"/>
      <c r="VPD28" s="25"/>
      <c r="VPK28" s="21"/>
      <c r="VPL28" s="21"/>
      <c r="VPP28" s="15"/>
      <c r="VPV28" s="25"/>
      <c r="VQC28" s="21"/>
      <c r="VQD28" s="21"/>
      <c r="VQH28" s="15"/>
      <c r="VQN28" s="25"/>
      <c r="VQU28" s="21"/>
      <c r="VQV28" s="21"/>
      <c r="VQZ28" s="15"/>
      <c r="VRF28" s="25"/>
      <c r="VRM28" s="21"/>
      <c r="VRN28" s="21"/>
      <c r="VRR28" s="15"/>
      <c r="VRX28" s="25"/>
      <c r="VSE28" s="21"/>
      <c r="VSF28" s="21"/>
      <c r="VSJ28" s="15"/>
      <c r="VSP28" s="25"/>
      <c r="VSW28" s="21"/>
      <c r="VSX28" s="21"/>
      <c r="VTB28" s="15"/>
      <c r="VTH28" s="25"/>
      <c r="VTO28" s="21"/>
      <c r="VTP28" s="21"/>
      <c r="VTT28" s="15"/>
      <c r="VTZ28" s="25"/>
      <c r="VUG28" s="21"/>
      <c r="VUH28" s="21"/>
      <c r="VUL28" s="15"/>
      <c r="VUR28" s="25"/>
      <c r="VUY28" s="21"/>
      <c r="VUZ28" s="21"/>
      <c r="VVD28" s="15"/>
      <c r="VVJ28" s="25"/>
      <c r="VVQ28" s="21"/>
      <c r="VVR28" s="21"/>
      <c r="VVV28" s="15"/>
      <c r="VWB28" s="25"/>
      <c r="VWI28" s="21"/>
      <c r="VWJ28" s="21"/>
      <c r="VWN28" s="15"/>
      <c r="VWT28" s="25"/>
      <c r="VXA28" s="21"/>
      <c r="VXB28" s="21"/>
      <c r="VXF28" s="15"/>
      <c r="VXL28" s="25"/>
      <c r="VXS28" s="21"/>
      <c r="VXT28" s="21"/>
      <c r="VXX28" s="15"/>
      <c r="VYD28" s="25"/>
      <c r="VYK28" s="21"/>
      <c r="VYL28" s="21"/>
      <c r="VYP28" s="15"/>
      <c r="VYV28" s="25"/>
      <c r="VZC28" s="21"/>
      <c r="VZD28" s="21"/>
      <c r="VZH28" s="15"/>
      <c r="VZN28" s="25"/>
      <c r="VZU28" s="21"/>
      <c r="VZV28" s="21"/>
      <c r="VZZ28" s="15"/>
      <c r="WAF28" s="25"/>
      <c r="WAM28" s="21"/>
      <c r="WAN28" s="21"/>
      <c r="WAR28" s="15"/>
      <c r="WAX28" s="25"/>
      <c r="WBE28" s="21"/>
      <c r="WBF28" s="21"/>
      <c r="WBJ28" s="15"/>
      <c r="WBP28" s="25"/>
      <c r="WBW28" s="21"/>
      <c r="WBX28" s="21"/>
      <c r="WCB28" s="15"/>
      <c r="WCH28" s="25"/>
      <c r="WCO28" s="21"/>
      <c r="WCP28" s="21"/>
      <c r="WCT28" s="15"/>
      <c r="WCZ28" s="25"/>
      <c r="WDG28" s="21"/>
      <c r="WDH28" s="21"/>
      <c r="WDL28" s="15"/>
      <c r="WDR28" s="25"/>
      <c r="WDY28" s="21"/>
      <c r="WDZ28" s="21"/>
      <c r="WED28" s="15"/>
      <c r="WEJ28" s="25"/>
      <c r="WEQ28" s="21"/>
      <c r="WER28" s="21"/>
      <c r="WEV28" s="15"/>
      <c r="WFB28" s="25"/>
      <c r="WFI28" s="21"/>
      <c r="WFJ28" s="21"/>
      <c r="WFN28" s="15"/>
      <c r="WFT28" s="25"/>
      <c r="WGA28" s="21"/>
      <c r="WGB28" s="21"/>
      <c r="WGF28" s="15"/>
      <c r="WGL28" s="25"/>
      <c r="WGS28" s="21"/>
      <c r="WGT28" s="21"/>
      <c r="WGX28" s="15"/>
      <c r="WHD28" s="25"/>
      <c r="WHK28" s="21"/>
      <c r="WHL28" s="21"/>
      <c r="WHP28" s="15"/>
      <c r="WHV28" s="25"/>
      <c r="WIC28" s="21"/>
      <c r="WID28" s="21"/>
      <c r="WIH28" s="15"/>
      <c r="WIN28" s="25"/>
      <c r="WIU28" s="21"/>
      <c r="WIV28" s="21"/>
      <c r="WIZ28" s="15"/>
      <c r="WJF28" s="25"/>
      <c r="WJM28" s="21"/>
      <c r="WJN28" s="21"/>
      <c r="WJR28" s="15"/>
      <c r="WJX28" s="25"/>
      <c r="WKE28" s="21"/>
      <c r="WKF28" s="21"/>
      <c r="WKJ28" s="15"/>
      <c r="WKP28" s="25"/>
      <c r="WKW28" s="21"/>
      <c r="WKX28" s="21"/>
      <c r="WLB28" s="15"/>
      <c r="WLH28" s="25"/>
      <c r="WLO28" s="21"/>
      <c r="WLP28" s="21"/>
      <c r="WLT28" s="15"/>
      <c r="WLZ28" s="25"/>
      <c r="WMG28" s="21"/>
      <c r="WMH28" s="21"/>
      <c r="WML28" s="15"/>
      <c r="WMR28" s="25"/>
      <c r="WMY28" s="21"/>
      <c r="WMZ28" s="21"/>
      <c r="WND28" s="15"/>
      <c r="WNJ28" s="25"/>
      <c r="WNQ28" s="21"/>
      <c r="WNR28" s="21"/>
      <c r="WNV28" s="15"/>
      <c r="WOB28" s="25"/>
      <c r="WOI28" s="21"/>
      <c r="WOJ28" s="21"/>
      <c r="WON28" s="15"/>
      <c r="WOT28" s="25"/>
      <c r="WPA28" s="21"/>
      <c r="WPB28" s="21"/>
      <c r="WPF28" s="15"/>
      <c r="WPL28" s="25"/>
      <c r="WPS28" s="21"/>
      <c r="WPT28" s="21"/>
      <c r="WPX28" s="15"/>
      <c r="WQD28" s="25"/>
      <c r="WQK28" s="21"/>
      <c r="WQL28" s="21"/>
      <c r="WQP28" s="15"/>
      <c r="WQV28" s="25"/>
      <c r="WRC28" s="21"/>
      <c r="WRD28" s="21"/>
      <c r="WRH28" s="15"/>
      <c r="WRN28" s="25"/>
      <c r="WRU28" s="21"/>
      <c r="WRV28" s="21"/>
      <c r="WRZ28" s="15"/>
      <c r="WSF28" s="25"/>
      <c r="WSM28" s="21"/>
      <c r="WSN28" s="21"/>
      <c r="WSR28" s="15"/>
      <c r="WSX28" s="25"/>
      <c r="WTE28" s="21"/>
      <c r="WTF28" s="21"/>
      <c r="WTJ28" s="15"/>
      <c r="WTP28" s="25"/>
      <c r="WTW28" s="21"/>
      <c r="WTX28" s="21"/>
      <c r="WUB28" s="15"/>
      <c r="WUH28" s="25"/>
      <c r="WUO28" s="21"/>
      <c r="WUP28" s="21"/>
      <c r="WUT28" s="15"/>
      <c r="WUZ28" s="25"/>
      <c r="WVG28" s="21"/>
      <c r="WVH28" s="21"/>
      <c r="WVL28" s="15"/>
      <c r="WVR28" s="25"/>
      <c r="WVY28" s="21"/>
      <c r="WVZ28" s="21"/>
      <c r="WWD28" s="15"/>
      <c r="WWJ28" s="25"/>
      <c r="WWQ28" s="21"/>
      <c r="WWR28" s="21"/>
      <c r="WWV28" s="15"/>
      <c r="WXB28" s="25"/>
      <c r="WXI28" s="21"/>
      <c r="WXJ28" s="21"/>
      <c r="WXN28" s="15"/>
      <c r="WXT28" s="25"/>
      <c r="WYA28" s="21"/>
      <c r="WYB28" s="21"/>
      <c r="WYF28" s="15"/>
      <c r="WYL28" s="25"/>
      <c r="WYS28" s="21"/>
      <c r="WYT28" s="21"/>
      <c r="WYX28" s="15"/>
      <c r="WZD28" s="25"/>
      <c r="WZK28" s="21"/>
      <c r="WZL28" s="21"/>
      <c r="WZP28" s="15"/>
      <c r="WZV28" s="25"/>
      <c r="XAC28" s="21"/>
      <c r="XAD28" s="21"/>
      <c r="XAH28" s="15"/>
      <c r="XAN28" s="25"/>
      <c r="XAU28" s="21"/>
      <c r="XAV28" s="21"/>
      <c r="XAZ28" s="15"/>
      <c r="XBF28" s="25"/>
      <c r="XBM28" s="21"/>
      <c r="XBN28" s="21"/>
      <c r="XBR28" s="15"/>
      <c r="XBX28" s="25"/>
      <c r="XCE28" s="21"/>
      <c r="XCF28" s="21"/>
      <c r="XCJ28" s="15"/>
      <c r="XCP28" s="25"/>
      <c r="XCW28" s="21"/>
      <c r="XCX28" s="21"/>
      <c r="XDB28" s="15"/>
      <c r="XDH28" s="25"/>
      <c r="XDO28" s="21"/>
      <c r="XDP28" s="21"/>
      <c r="XDT28" s="15"/>
      <c r="XDZ28" s="25"/>
      <c r="XEG28" s="21"/>
      <c r="XEH28" s="21"/>
      <c r="XEL28" s="15"/>
      <c r="XER28" s="25"/>
      <c r="XEY28" s="21"/>
      <c r="XEZ28" s="21"/>
      <c r="XFD28" s="15"/>
    </row>
    <row r="29" spans="1:1018 1025:2044 2051:3070 3077:4096 4103:5116 5122:6142 6148:7168 7174:8190 8194:9216 9220:10234 10241:11260 11267:12286 12293:13312 13319:14332 14338:15358 15364:16384" s="24" customFormat="1">
      <c r="A29" s="21" t="s">
        <v>107</v>
      </c>
      <c r="B29" s="12">
        <v>2004</v>
      </c>
      <c r="C29" s="19" t="s">
        <v>101</v>
      </c>
      <c r="D29" s="22" t="s">
        <v>86</v>
      </c>
      <c r="E29" s="43" t="s">
        <v>102</v>
      </c>
      <c r="F29" s="19" t="s">
        <v>103</v>
      </c>
      <c r="G29" s="44">
        <v>954798250</v>
      </c>
      <c r="H29" s="20">
        <v>172493250</v>
      </c>
      <c r="I29" s="12">
        <v>4</v>
      </c>
      <c r="J29" s="23" t="s">
        <v>104</v>
      </c>
      <c r="K29" s="22"/>
      <c r="L29" s="22"/>
      <c r="M29" s="22" t="s">
        <v>26</v>
      </c>
      <c r="N29" s="12"/>
      <c r="O29" s="22"/>
      <c r="P29" s="12"/>
      <c r="Q29" s="22" t="s">
        <v>27</v>
      </c>
      <c r="R29" s="22" t="s">
        <v>28</v>
      </c>
      <c r="V29" s="15"/>
      <c r="AB29" s="25"/>
      <c r="AI29" s="21"/>
      <c r="AJ29" s="21"/>
      <c r="AN29" s="15"/>
      <c r="AT29" s="25"/>
      <c r="BA29" s="21"/>
      <c r="BB29" s="21"/>
      <c r="BF29" s="15"/>
      <c r="BL29" s="25"/>
      <c r="BS29" s="21"/>
      <c r="BT29" s="21"/>
      <c r="BX29" s="15"/>
      <c r="CD29" s="25"/>
      <c r="CK29" s="21"/>
      <c r="CL29" s="21"/>
      <c r="CP29" s="15"/>
      <c r="CV29" s="25"/>
      <c r="DC29" s="21"/>
      <c r="DD29" s="21"/>
      <c r="DH29" s="15"/>
      <c r="DN29" s="25"/>
      <c r="DU29" s="21"/>
      <c r="DV29" s="21"/>
      <c r="DZ29" s="15"/>
      <c r="EF29" s="25"/>
      <c r="EM29" s="21"/>
      <c r="EN29" s="21"/>
      <c r="ER29" s="15"/>
      <c r="EX29" s="25"/>
      <c r="FE29" s="21"/>
      <c r="FF29" s="21"/>
      <c r="FJ29" s="15"/>
      <c r="FP29" s="25"/>
      <c r="FW29" s="21"/>
      <c r="FX29" s="21"/>
      <c r="GB29" s="15"/>
      <c r="GH29" s="25"/>
      <c r="GO29" s="21"/>
      <c r="GP29" s="21"/>
      <c r="GT29" s="15"/>
      <c r="GZ29" s="25"/>
      <c r="HG29" s="21"/>
      <c r="HH29" s="21"/>
      <c r="HL29" s="15"/>
      <c r="HR29" s="25"/>
      <c r="HY29" s="21"/>
      <c r="HZ29" s="21"/>
      <c r="ID29" s="15"/>
      <c r="IJ29" s="25"/>
      <c r="IQ29" s="21"/>
      <c r="IR29" s="21"/>
      <c r="IV29" s="15"/>
      <c r="JB29" s="25"/>
      <c r="JI29" s="21"/>
      <c r="JJ29" s="21"/>
      <c r="JN29" s="15"/>
      <c r="JT29" s="25"/>
      <c r="KA29" s="21"/>
      <c r="KB29" s="21"/>
      <c r="KF29" s="15"/>
      <c r="KL29" s="25"/>
      <c r="KS29" s="21"/>
      <c r="KT29" s="21"/>
      <c r="KX29" s="15"/>
      <c r="LD29" s="25"/>
      <c r="LK29" s="21"/>
      <c r="LL29" s="21"/>
      <c r="LP29" s="15"/>
      <c r="LV29" s="25"/>
      <c r="MC29" s="21"/>
      <c r="MD29" s="21"/>
      <c r="MH29" s="15"/>
      <c r="MN29" s="25"/>
      <c r="MU29" s="21"/>
      <c r="MV29" s="21"/>
      <c r="MZ29" s="15"/>
      <c r="NF29" s="25"/>
      <c r="NM29" s="21"/>
      <c r="NN29" s="21"/>
      <c r="NR29" s="15"/>
      <c r="NX29" s="25"/>
      <c r="OE29" s="21"/>
      <c r="OF29" s="21"/>
      <c r="OJ29" s="15"/>
      <c r="OP29" s="25"/>
      <c r="OW29" s="21"/>
      <c r="OX29" s="21"/>
      <c r="PB29" s="15"/>
      <c r="PH29" s="25"/>
      <c r="PO29" s="21"/>
      <c r="PP29" s="21"/>
      <c r="PT29" s="15"/>
      <c r="PZ29" s="25"/>
      <c r="QG29" s="21"/>
      <c r="QH29" s="21"/>
      <c r="QL29" s="15"/>
      <c r="QR29" s="25"/>
      <c r="QY29" s="21"/>
      <c r="QZ29" s="21"/>
      <c r="RD29" s="15"/>
      <c r="RJ29" s="25"/>
      <c r="RQ29" s="21"/>
      <c r="RR29" s="21"/>
      <c r="RV29" s="15"/>
      <c r="SB29" s="25"/>
      <c r="SI29" s="21"/>
      <c r="SJ29" s="21"/>
      <c r="SN29" s="15"/>
      <c r="ST29" s="25"/>
      <c r="TA29" s="21"/>
      <c r="TB29" s="21"/>
      <c r="TF29" s="15"/>
      <c r="TL29" s="25"/>
      <c r="TS29" s="21"/>
      <c r="TT29" s="21"/>
      <c r="TX29" s="15"/>
      <c r="UD29" s="25"/>
      <c r="UK29" s="21"/>
      <c r="UL29" s="21"/>
      <c r="UP29" s="15"/>
      <c r="UV29" s="25"/>
      <c r="VC29" s="21"/>
      <c r="VD29" s="21"/>
      <c r="VH29" s="15"/>
      <c r="VN29" s="25"/>
      <c r="VU29" s="21"/>
      <c r="VV29" s="21"/>
      <c r="VZ29" s="15"/>
      <c r="WF29" s="25"/>
      <c r="WM29" s="21"/>
      <c r="WN29" s="21"/>
      <c r="WR29" s="15"/>
      <c r="WX29" s="25"/>
      <c r="XE29" s="21"/>
      <c r="XF29" s="21"/>
      <c r="XJ29" s="15"/>
      <c r="XP29" s="25"/>
      <c r="XW29" s="21"/>
      <c r="XX29" s="21"/>
      <c r="YB29" s="15"/>
      <c r="YH29" s="25"/>
      <c r="YO29" s="21"/>
      <c r="YP29" s="21"/>
      <c r="YT29" s="15"/>
      <c r="YZ29" s="25"/>
      <c r="ZG29" s="21"/>
      <c r="ZH29" s="21"/>
      <c r="ZL29" s="15"/>
      <c r="ZR29" s="25"/>
      <c r="ZY29" s="21"/>
      <c r="ZZ29" s="21"/>
      <c r="AAD29" s="15"/>
      <c r="AAJ29" s="25"/>
      <c r="AAQ29" s="21"/>
      <c r="AAR29" s="21"/>
      <c r="AAV29" s="15"/>
      <c r="ABB29" s="25"/>
      <c r="ABI29" s="21"/>
      <c r="ABJ29" s="21"/>
      <c r="ABN29" s="15"/>
      <c r="ABT29" s="25"/>
      <c r="ACA29" s="21"/>
      <c r="ACB29" s="21"/>
      <c r="ACF29" s="15"/>
      <c r="ACL29" s="25"/>
      <c r="ACS29" s="21"/>
      <c r="ACT29" s="21"/>
      <c r="ACX29" s="15"/>
      <c r="ADD29" s="25"/>
      <c r="ADK29" s="21"/>
      <c r="ADL29" s="21"/>
      <c r="ADP29" s="15"/>
      <c r="ADV29" s="25"/>
      <c r="AEC29" s="21"/>
      <c r="AED29" s="21"/>
      <c r="AEH29" s="15"/>
      <c r="AEN29" s="25"/>
      <c r="AEU29" s="21"/>
      <c r="AEV29" s="21"/>
      <c r="AEZ29" s="15"/>
      <c r="AFF29" s="25"/>
      <c r="AFM29" s="21"/>
      <c r="AFN29" s="21"/>
      <c r="AFR29" s="15"/>
      <c r="AFX29" s="25"/>
      <c r="AGE29" s="21"/>
      <c r="AGF29" s="21"/>
      <c r="AGJ29" s="15"/>
      <c r="AGP29" s="25"/>
      <c r="AGW29" s="21"/>
      <c r="AGX29" s="21"/>
      <c r="AHB29" s="15"/>
      <c r="AHH29" s="25"/>
      <c r="AHO29" s="21"/>
      <c r="AHP29" s="21"/>
      <c r="AHT29" s="15"/>
      <c r="AHZ29" s="25"/>
      <c r="AIG29" s="21"/>
      <c r="AIH29" s="21"/>
      <c r="AIL29" s="15"/>
      <c r="AIR29" s="25"/>
      <c r="AIY29" s="21"/>
      <c r="AIZ29" s="21"/>
      <c r="AJD29" s="15"/>
      <c r="AJJ29" s="25"/>
      <c r="AJQ29" s="21"/>
      <c r="AJR29" s="21"/>
      <c r="AJV29" s="15"/>
      <c r="AKB29" s="25"/>
      <c r="AKI29" s="21"/>
      <c r="AKJ29" s="21"/>
      <c r="AKN29" s="15"/>
      <c r="AKT29" s="25"/>
      <c r="ALA29" s="21"/>
      <c r="ALB29" s="21"/>
      <c r="ALF29" s="15"/>
      <c r="ALL29" s="25"/>
      <c r="ALS29" s="21"/>
      <c r="ALT29" s="21"/>
      <c r="ALX29" s="15"/>
      <c r="AMD29" s="25"/>
      <c r="AMK29" s="21"/>
      <c r="AML29" s="21"/>
      <c r="AMP29" s="15"/>
      <c r="AMV29" s="25"/>
      <c r="ANC29" s="21"/>
      <c r="AND29" s="21"/>
      <c r="ANH29" s="15"/>
      <c r="ANN29" s="25"/>
      <c r="ANU29" s="21"/>
      <c r="ANV29" s="21"/>
      <c r="ANZ29" s="15"/>
      <c r="AOF29" s="25"/>
      <c r="AOM29" s="21"/>
      <c r="AON29" s="21"/>
      <c r="AOR29" s="15"/>
      <c r="AOX29" s="25"/>
      <c r="APE29" s="21"/>
      <c r="APF29" s="21"/>
      <c r="APJ29" s="15"/>
      <c r="APP29" s="25"/>
      <c r="APW29" s="21"/>
      <c r="APX29" s="21"/>
      <c r="AQB29" s="15"/>
      <c r="AQH29" s="25"/>
      <c r="AQO29" s="21"/>
      <c r="AQP29" s="21"/>
      <c r="AQT29" s="15"/>
      <c r="AQZ29" s="25"/>
      <c r="ARG29" s="21"/>
      <c r="ARH29" s="21"/>
      <c r="ARL29" s="15"/>
      <c r="ARR29" s="25"/>
      <c r="ARY29" s="21"/>
      <c r="ARZ29" s="21"/>
      <c r="ASD29" s="15"/>
      <c r="ASJ29" s="25"/>
      <c r="ASQ29" s="21"/>
      <c r="ASR29" s="21"/>
      <c r="ASV29" s="15"/>
      <c r="ATB29" s="25"/>
      <c r="ATI29" s="21"/>
      <c r="ATJ29" s="21"/>
      <c r="ATN29" s="15"/>
      <c r="ATT29" s="25"/>
      <c r="AUA29" s="21"/>
      <c r="AUB29" s="21"/>
      <c r="AUF29" s="15"/>
      <c r="AUL29" s="25"/>
      <c r="AUS29" s="21"/>
      <c r="AUT29" s="21"/>
      <c r="AUX29" s="15"/>
      <c r="AVD29" s="25"/>
      <c r="AVK29" s="21"/>
      <c r="AVL29" s="21"/>
      <c r="AVP29" s="15"/>
      <c r="AVV29" s="25"/>
      <c r="AWC29" s="21"/>
      <c r="AWD29" s="21"/>
      <c r="AWH29" s="15"/>
      <c r="AWN29" s="25"/>
      <c r="AWU29" s="21"/>
      <c r="AWV29" s="21"/>
      <c r="AWZ29" s="15"/>
      <c r="AXF29" s="25"/>
      <c r="AXM29" s="21"/>
      <c r="AXN29" s="21"/>
      <c r="AXR29" s="15"/>
      <c r="AXX29" s="25"/>
      <c r="AYE29" s="21"/>
      <c r="AYF29" s="21"/>
      <c r="AYJ29" s="15"/>
      <c r="AYP29" s="25"/>
      <c r="AYW29" s="21"/>
      <c r="AYX29" s="21"/>
      <c r="AZB29" s="15"/>
      <c r="AZH29" s="25"/>
      <c r="AZO29" s="21"/>
      <c r="AZP29" s="21"/>
      <c r="AZT29" s="15"/>
      <c r="AZZ29" s="25"/>
      <c r="BAG29" s="21"/>
      <c r="BAH29" s="21"/>
      <c r="BAL29" s="15"/>
      <c r="BAR29" s="25"/>
      <c r="BAY29" s="21"/>
      <c r="BAZ29" s="21"/>
      <c r="BBD29" s="15"/>
      <c r="BBJ29" s="25"/>
      <c r="BBQ29" s="21"/>
      <c r="BBR29" s="21"/>
      <c r="BBV29" s="15"/>
      <c r="BCB29" s="25"/>
      <c r="BCI29" s="21"/>
      <c r="BCJ29" s="21"/>
      <c r="BCN29" s="15"/>
      <c r="BCT29" s="25"/>
      <c r="BDA29" s="21"/>
      <c r="BDB29" s="21"/>
      <c r="BDF29" s="15"/>
      <c r="BDL29" s="25"/>
      <c r="BDS29" s="21"/>
      <c r="BDT29" s="21"/>
      <c r="BDX29" s="15"/>
      <c r="BED29" s="25"/>
      <c r="BEK29" s="21"/>
      <c r="BEL29" s="21"/>
      <c r="BEP29" s="15"/>
      <c r="BEV29" s="25"/>
      <c r="BFC29" s="21"/>
      <c r="BFD29" s="21"/>
      <c r="BFH29" s="15"/>
      <c r="BFN29" s="25"/>
      <c r="BFU29" s="21"/>
      <c r="BFV29" s="21"/>
      <c r="BFZ29" s="15"/>
      <c r="BGF29" s="25"/>
      <c r="BGM29" s="21"/>
      <c r="BGN29" s="21"/>
      <c r="BGR29" s="15"/>
      <c r="BGX29" s="25"/>
      <c r="BHE29" s="21"/>
      <c r="BHF29" s="21"/>
      <c r="BHJ29" s="15"/>
      <c r="BHP29" s="25"/>
      <c r="BHW29" s="21"/>
      <c r="BHX29" s="21"/>
      <c r="BIB29" s="15"/>
      <c r="BIH29" s="25"/>
      <c r="BIO29" s="21"/>
      <c r="BIP29" s="21"/>
      <c r="BIT29" s="15"/>
      <c r="BIZ29" s="25"/>
      <c r="BJG29" s="21"/>
      <c r="BJH29" s="21"/>
      <c r="BJL29" s="15"/>
      <c r="BJR29" s="25"/>
      <c r="BJY29" s="21"/>
      <c r="BJZ29" s="21"/>
      <c r="BKD29" s="15"/>
      <c r="BKJ29" s="25"/>
      <c r="BKQ29" s="21"/>
      <c r="BKR29" s="21"/>
      <c r="BKV29" s="15"/>
      <c r="BLB29" s="25"/>
      <c r="BLI29" s="21"/>
      <c r="BLJ29" s="21"/>
      <c r="BLN29" s="15"/>
      <c r="BLT29" s="25"/>
      <c r="BMA29" s="21"/>
      <c r="BMB29" s="21"/>
      <c r="BMF29" s="15"/>
      <c r="BML29" s="25"/>
      <c r="BMS29" s="21"/>
      <c r="BMT29" s="21"/>
      <c r="BMX29" s="15"/>
      <c r="BND29" s="25"/>
      <c r="BNK29" s="21"/>
      <c r="BNL29" s="21"/>
      <c r="BNP29" s="15"/>
      <c r="BNV29" s="25"/>
      <c r="BOC29" s="21"/>
      <c r="BOD29" s="21"/>
      <c r="BOH29" s="15"/>
      <c r="BON29" s="25"/>
      <c r="BOU29" s="21"/>
      <c r="BOV29" s="21"/>
      <c r="BOZ29" s="15"/>
      <c r="BPF29" s="25"/>
      <c r="BPM29" s="21"/>
      <c r="BPN29" s="21"/>
      <c r="BPR29" s="15"/>
      <c r="BPX29" s="25"/>
      <c r="BQE29" s="21"/>
      <c r="BQF29" s="21"/>
      <c r="BQJ29" s="15"/>
      <c r="BQP29" s="25"/>
      <c r="BQW29" s="21"/>
      <c r="BQX29" s="21"/>
      <c r="BRB29" s="15"/>
      <c r="BRH29" s="25"/>
      <c r="BRO29" s="21"/>
      <c r="BRP29" s="21"/>
      <c r="BRT29" s="15"/>
      <c r="BRZ29" s="25"/>
      <c r="BSG29" s="21"/>
      <c r="BSH29" s="21"/>
      <c r="BSL29" s="15"/>
      <c r="BSR29" s="25"/>
      <c r="BSY29" s="21"/>
      <c r="BSZ29" s="21"/>
      <c r="BTD29" s="15"/>
      <c r="BTJ29" s="25"/>
      <c r="BTQ29" s="21"/>
      <c r="BTR29" s="21"/>
      <c r="BTV29" s="15"/>
      <c r="BUB29" s="25"/>
      <c r="BUI29" s="21"/>
      <c r="BUJ29" s="21"/>
      <c r="BUN29" s="15"/>
      <c r="BUT29" s="25"/>
      <c r="BVA29" s="21"/>
      <c r="BVB29" s="21"/>
      <c r="BVF29" s="15"/>
      <c r="BVL29" s="25"/>
      <c r="BVS29" s="21"/>
      <c r="BVT29" s="21"/>
      <c r="BVX29" s="15"/>
      <c r="BWD29" s="25"/>
      <c r="BWK29" s="21"/>
      <c r="BWL29" s="21"/>
      <c r="BWP29" s="15"/>
      <c r="BWV29" s="25"/>
      <c r="BXC29" s="21"/>
      <c r="BXD29" s="21"/>
      <c r="BXH29" s="15"/>
      <c r="BXN29" s="25"/>
      <c r="BXU29" s="21"/>
      <c r="BXV29" s="21"/>
      <c r="BXZ29" s="15"/>
      <c r="BYF29" s="25"/>
      <c r="BYM29" s="21"/>
      <c r="BYN29" s="21"/>
      <c r="BYR29" s="15"/>
      <c r="BYX29" s="25"/>
      <c r="BZE29" s="21"/>
      <c r="BZF29" s="21"/>
      <c r="BZJ29" s="15"/>
      <c r="BZP29" s="25"/>
      <c r="BZW29" s="21"/>
      <c r="BZX29" s="21"/>
      <c r="CAB29" s="15"/>
      <c r="CAH29" s="25"/>
      <c r="CAO29" s="21"/>
      <c r="CAP29" s="21"/>
      <c r="CAT29" s="15"/>
      <c r="CAZ29" s="25"/>
      <c r="CBG29" s="21"/>
      <c r="CBH29" s="21"/>
      <c r="CBL29" s="15"/>
      <c r="CBR29" s="25"/>
      <c r="CBY29" s="21"/>
      <c r="CBZ29" s="21"/>
      <c r="CCD29" s="15"/>
      <c r="CCJ29" s="25"/>
      <c r="CCQ29" s="21"/>
      <c r="CCR29" s="21"/>
      <c r="CCV29" s="15"/>
      <c r="CDB29" s="25"/>
      <c r="CDI29" s="21"/>
      <c r="CDJ29" s="21"/>
      <c r="CDN29" s="15"/>
      <c r="CDT29" s="25"/>
      <c r="CEA29" s="21"/>
      <c r="CEB29" s="21"/>
      <c r="CEF29" s="15"/>
      <c r="CEL29" s="25"/>
      <c r="CES29" s="21"/>
      <c r="CET29" s="21"/>
      <c r="CEX29" s="15"/>
      <c r="CFD29" s="25"/>
      <c r="CFK29" s="21"/>
      <c r="CFL29" s="21"/>
      <c r="CFP29" s="15"/>
      <c r="CFV29" s="25"/>
      <c r="CGC29" s="21"/>
      <c r="CGD29" s="21"/>
      <c r="CGH29" s="15"/>
      <c r="CGN29" s="25"/>
      <c r="CGU29" s="21"/>
      <c r="CGV29" s="21"/>
      <c r="CGZ29" s="15"/>
      <c r="CHF29" s="25"/>
      <c r="CHM29" s="21"/>
      <c r="CHN29" s="21"/>
      <c r="CHR29" s="15"/>
      <c r="CHX29" s="25"/>
      <c r="CIE29" s="21"/>
      <c r="CIF29" s="21"/>
      <c r="CIJ29" s="15"/>
      <c r="CIP29" s="25"/>
      <c r="CIW29" s="21"/>
      <c r="CIX29" s="21"/>
      <c r="CJB29" s="15"/>
      <c r="CJH29" s="25"/>
      <c r="CJO29" s="21"/>
      <c r="CJP29" s="21"/>
      <c r="CJT29" s="15"/>
      <c r="CJZ29" s="25"/>
      <c r="CKG29" s="21"/>
      <c r="CKH29" s="21"/>
      <c r="CKL29" s="15"/>
      <c r="CKR29" s="25"/>
      <c r="CKY29" s="21"/>
      <c r="CKZ29" s="21"/>
      <c r="CLD29" s="15"/>
      <c r="CLJ29" s="25"/>
      <c r="CLQ29" s="21"/>
      <c r="CLR29" s="21"/>
      <c r="CLV29" s="15"/>
      <c r="CMB29" s="25"/>
      <c r="CMI29" s="21"/>
      <c r="CMJ29" s="21"/>
      <c r="CMN29" s="15"/>
      <c r="CMT29" s="25"/>
      <c r="CNA29" s="21"/>
      <c r="CNB29" s="21"/>
      <c r="CNF29" s="15"/>
      <c r="CNL29" s="25"/>
      <c r="CNS29" s="21"/>
      <c r="CNT29" s="21"/>
      <c r="CNX29" s="15"/>
      <c r="COD29" s="25"/>
      <c r="COK29" s="21"/>
      <c r="COL29" s="21"/>
      <c r="COP29" s="15"/>
      <c r="COV29" s="25"/>
      <c r="CPC29" s="21"/>
      <c r="CPD29" s="21"/>
      <c r="CPH29" s="15"/>
      <c r="CPN29" s="25"/>
      <c r="CPU29" s="21"/>
      <c r="CPV29" s="21"/>
      <c r="CPZ29" s="15"/>
      <c r="CQF29" s="25"/>
      <c r="CQM29" s="21"/>
      <c r="CQN29" s="21"/>
      <c r="CQR29" s="15"/>
      <c r="CQX29" s="25"/>
      <c r="CRE29" s="21"/>
      <c r="CRF29" s="21"/>
      <c r="CRJ29" s="15"/>
      <c r="CRP29" s="25"/>
      <c r="CRW29" s="21"/>
      <c r="CRX29" s="21"/>
      <c r="CSB29" s="15"/>
      <c r="CSH29" s="25"/>
      <c r="CSO29" s="21"/>
      <c r="CSP29" s="21"/>
      <c r="CST29" s="15"/>
      <c r="CSZ29" s="25"/>
      <c r="CTG29" s="21"/>
      <c r="CTH29" s="21"/>
      <c r="CTL29" s="15"/>
      <c r="CTR29" s="25"/>
      <c r="CTY29" s="21"/>
      <c r="CTZ29" s="21"/>
      <c r="CUD29" s="15"/>
      <c r="CUJ29" s="25"/>
      <c r="CUQ29" s="21"/>
      <c r="CUR29" s="21"/>
      <c r="CUV29" s="15"/>
      <c r="CVB29" s="25"/>
      <c r="CVI29" s="21"/>
      <c r="CVJ29" s="21"/>
      <c r="CVN29" s="15"/>
      <c r="CVT29" s="25"/>
      <c r="CWA29" s="21"/>
      <c r="CWB29" s="21"/>
      <c r="CWF29" s="15"/>
      <c r="CWL29" s="25"/>
      <c r="CWS29" s="21"/>
      <c r="CWT29" s="21"/>
      <c r="CWX29" s="15"/>
      <c r="CXD29" s="25"/>
      <c r="CXK29" s="21"/>
      <c r="CXL29" s="21"/>
      <c r="CXP29" s="15"/>
      <c r="CXV29" s="25"/>
      <c r="CYC29" s="21"/>
      <c r="CYD29" s="21"/>
      <c r="CYH29" s="15"/>
      <c r="CYN29" s="25"/>
      <c r="CYU29" s="21"/>
      <c r="CYV29" s="21"/>
      <c r="CYZ29" s="15"/>
      <c r="CZF29" s="25"/>
      <c r="CZM29" s="21"/>
      <c r="CZN29" s="21"/>
      <c r="CZR29" s="15"/>
      <c r="CZX29" s="25"/>
      <c r="DAE29" s="21"/>
      <c r="DAF29" s="21"/>
      <c r="DAJ29" s="15"/>
      <c r="DAP29" s="25"/>
      <c r="DAW29" s="21"/>
      <c r="DAX29" s="21"/>
      <c r="DBB29" s="15"/>
      <c r="DBH29" s="25"/>
      <c r="DBO29" s="21"/>
      <c r="DBP29" s="21"/>
      <c r="DBT29" s="15"/>
      <c r="DBZ29" s="25"/>
      <c r="DCG29" s="21"/>
      <c r="DCH29" s="21"/>
      <c r="DCL29" s="15"/>
      <c r="DCR29" s="25"/>
      <c r="DCY29" s="21"/>
      <c r="DCZ29" s="21"/>
      <c r="DDD29" s="15"/>
      <c r="DDJ29" s="25"/>
      <c r="DDQ29" s="21"/>
      <c r="DDR29" s="21"/>
      <c r="DDV29" s="15"/>
      <c r="DEB29" s="25"/>
      <c r="DEI29" s="21"/>
      <c r="DEJ29" s="21"/>
      <c r="DEN29" s="15"/>
      <c r="DET29" s="25"/>
      <c r="DFA29" s="21"/>
      <c r="DFB29" s="21"/>
      <c r="DFF29" s="15"/>
      <c r="DFL29" s="25"/>
      <c r="DFS29" s="21"/>
      <c r="DFT29" s="21"/>
      <c r="DFX29" s="15"/>
      <c r="DGD29" s="25"/>
      <c r="DGK29" s="21"/>
      <c r="DGL29" s="21"/>
      <c r="DGP29" s="15"/>
      <c r="DGV29" s="25"/>
      <c r="DHC29" s="21"/>
      <c r="DHD29" s="21"/>
      <c r="DHH29" s="15"/>
      <c r="DHN29" s="25"/>
      <c r="DHU29" s="21"/>
      <c r="DHV29" s="21"/>
      <c r="DHZ29" s="15"/>
      <c r="DIF29" s="25"/>
      <c r="DIM29" s="21"/>
      <c r="DIN29" s="21"/>
      <c r="DIR29" s="15"/>
      <c r="DIX29" s="25"/>
      <c r="DJE29" s="21"/>
      <c r="DJF29" s="21"/>
      <c r="DJJ29" s="15"/>
      <c r="DJP29" s="25"/>
      <c r="DJW29" s="21"/>
      <c r="DJX29" s="21"/>
      <c r="DKB29" s="15"/>
      <c r="DKH29" s="25"/>
      <c r="DKO29" s="21"/>
      <c r="DKP29" s="21"/>
      <c r="DKT29" s="15"/>
      <c r="DKZ29" s="25"/>
      <c r="DLG29" s="21"/>
      <c r="DLH29" s="21"/>
      <c r="DLL29" s="15"/>
      <c r="DLR29" s="25"/>
      <c r="DLY29" s="21"/>
      <c r="DLZ29" s="21"/>
      <c r="DMD29" s="15"/>
      <c r="DMJ29" s="25"/>
      <c r="DMQ29" s="21"/>
      <c r="DMR29" s="21"/>
      <c r="DMV29" s="15"/>
      <c r="DNB29" s="25"/>
      <c r="DNI29" s="21"/>
      <c r="DNJ29" s="21"/>
      <c r="DNN29" s="15"/>
      <c r="DNT29" s="25"/>
      <c r="DOA29" s="21"/>
      <c r="DOB29" s="21"/>
      <c r="DOF29" s="15"/>
      <c r="DOL29" s="25"/>
      <c r="DOS29" s="21"/>
      <c r="DOT29" s="21"/>
      <c r="DOX29" s="15"/>
      <c r="DPD29" s="25"/>
      <c r="DPK29" s="21"/>
      <c r="DPL29" s="21"/>
      <c r="DPP29" s="15"/>
      <c r="DPV29" s="25"/>
      <c r="DQC29" s="21"/>
      <c r="DQD29" s="21"/>
      <c r="DQH29" s="15"/>
      <c r="DQN29" s="25"/>
      <c r="DQU29" s="21"/>
      <c r="DQV29" s="21"/>
      <c r="DQZ29" s="15"/>
      <c r="DRF29" s="25"/>
      <c r="DRM29" s="21"/>
      <c r="DRN29" s="21"/>
      <c r="DRR29" s="15"/>
      <c r="DRX29" s="25"/>
      <c r="DSE29" s="21"/>
      <c r="DSF29" s="21"/>
      <c r="DSJ29" s="15"/>
      <c r="DSP29" s="25"/>
      <c r="DSW29" s="21"/>
      <c r="DSX29" s="21"/>
      <c r="DTB29" s="15"/>
      <c r="DTH29" s="25"/>
      <c r="DTO29" s="21"/>
      <c r="DTP29" s="21"/>
      <c r="DTT29" s="15"/>
      <c r="DTZ29" s="25"/>
      <c r="DUG29" s="21"/>
      <c r="DUH29" s="21"/>
      <c r="DUL29" s="15"/>
      <c r="DUR29" s="25"/>
      <c r="DUY29" s="21"/>
      <c r="DUZ29" s="21"/>
      <c r="DVD29" s="15"/>
      <c r="DVJ29" s="25"/>
      <c r="DVQ29" s="21"/>
      <c r="DVR29" s="21"/>
      <c r="DVV29" s="15"/>
      <c r="DWB29" s="25"/>
      <c r="DWI29" s="21"/>
      <c r="DWJ29" s="21"/>
      <c r="DWN29" s="15"/>
      <c r="DWT29" s="25"/>
      <c r="DXA29" s="21"/>
      <c r="DXB29" s="21"/>
      <c r="DXF29" s="15"/>
      <c r="DXL29" s="25"/>
      <c r="DXS29" s="21"/>
      <c r="DXT29" s="21"/>
      <c r="DXX29" s="15"/>
      <c r="DYD29" s="25"/>
      <c r="DYK29" s="21"/>
      <c r="DYL29" s="21"/>
      <c r="DYP29" s="15"/>
      <c r="DYV29" s="25"/>
      <c r="DZC29" s="21"/>
      <c r="DZD29" s="21"/>
      <c r="DZH29" s="15"/>
      <c r="DZN29" s="25"/>
      <c r="DZU29" s="21"/>
      <c r="DZV29" s="21"/>
      <c r="DZZ29" s="15"/>
      <c r="EAF29" s="25"/>
      <c r="EAM29" s="21"/>
      <c r="EAN29" s="21"/>
      <c r="EAR29" s="15"/>
      <c r="EAX29" s="25"/>
      <c r="EBE29" s="21"/>
      <c r="EBF29" s="21"/>
      <c r="EBJ29" s="15"/>
      <c r="EBP29" s="25"/>
      <c r="EBW29" s="21"/>
      <c r="EBX29" s="21"/>
      <c r="ECB29" s="15"/>
      <c r="ECH29" s="25"/>
      <c r="ECO29" s="21"/>
      <c r="ECP29" s="21"/>
      <c r="ECT29" s="15"/>
      <c r="ECZ29" s="25"/>
      <c r="EDG29" s="21"/>
      <c r="EDH29" s="21"/>
      <c r="EDL29" s="15"/>
      <c r="EDR29" s="25"/>
      <c r="EDY29" s="21"/>
      <c r="EDZ29" s="21"/>
      <c r="EED29" s="15"/>
      <c r="EEJ29" s="25"/>
      <c r="EEQ29" s="21"/>
      <c r="EER29" s="21"/>
      <c r="EEV29" s="15"/>
      <c r="EFB29" s="25"/>
      <c r="EFI29" s="21"/>
      <c r="EFJ29" s="21"/>
      <c r="EFN29" s="15"/>
      <c r="EFT29" s="25"/>
      <c r="EGA29" s="21"/>
      <c r="EGB29" s="21"/>
      <c r="EGF29" s="15"/>
      <c r="EGL29" s="25"/>
      <c r="EGS29" s="21"/>
      <c r="EGT29" s="21"/>
      <c r="EGX29" s="15"/>
      <c r="EHD29" s="25"/>
      <c r="EHK29" s="21"/>
      <c r="EHL29" s="21"/>
      <c r="EHP29" s="15"/>
      <c r="EHV29" s="25"/>
      <c r="EIC29" s="21"/>
      <c r="EID29" s="21"/>
      <c r="EIH29" s="15"/>
      <c r="EIN29" s="25"/>
      <c r="EIU29" s="21"/>
      <c r="EIV29" s="21"/>
      <c r="EIZ29" s="15"/>
      <c r="EJF29" s="25"/>
      <c r="EJM29" s="21"/>
      <c r="EJN29" s="21"/>
      <c r="EJR29" s="15"/>
      <c r="EJX29" s="25"/>
      <c r="EKE29" s="21"/>
      <c r="EKF29" s="21"/>
      <c r="EKJ29" s="15"/>
      <c r="EKP29" s="25"/>
      <c r="EKW29" s="21"/>
      <c r="EKX29" s="21"/>
      <c r="ELB29" s="15"/>
      <c r="ELH29" s="25"/>
      <c r="ELO29" s="21"/>
      <c r="ELP29" s="21"/>
      <c r="ELT29" s="15"/>
      <c r="ELZ29" s="25"/>
      <c r="EMG29" s="21"/>
      <c r="EMH29" s="21"/>
      <c r="EML29" s="15"/>
      <c r="EMR29" s="25"/>
      <c r="EMY29" s="21"/>
      <c r="EMZ29" s="21"/>
      <c r="END29" s="15"/>
      <c r="ENJ29" s="25"/>
      <c r="ENQ29" s="21"/>
      <c r="ENR29" s="21"/>
      <c r="ENV29" s="15"/>
      <c r="EOB29" s="25"/>
      <c r="EOI29" s="21"/>
      <c r="EOJ29" s="21"/>
      <c r="EON29" s="15"/>
      <c r="EOT29" s="25"/>
      <c r="EPA29" s="21"/>
      <c r="EPB29" s="21"/>
      <c r="EPF29" s="15"/>
      <c r="EPL29" s="25"/>
      <c r="EPS29" s="21"/>
      <c r="EPT29" s="21"/>
      <c r="EPX29" s="15"/>
      <c r="EQD29" s="25"/>
      <c r="EQK29" s="21"/>
      <c r="EQL29" s="21"/>
      <c r="EQP29" s="15"/>
      <c r="EQV29" s="25"/>
      <c r="ERC29" s="21"/>
      <c r="ERD29" s="21"/>
      <c r="ERH29" s="15"/>
      <c r="ERN29" s="25"/>
      <c r="ERU29" s="21"/>
      <c r="ERV29" s="21"/>
      <c r="ERZ29" s="15"/>
      <c r="ESF29" s="25"/>
      <c r="ESM29" s="21"/>
      <c r="ESN29" s="21"/>
      <c r="ESR29" s="15"/>
      <c r="ESX29" s="25"/>
      <c r="ETE29" s="21"/>
      <c r="ETF29" s="21"/>
      <c r="ETJ29" s="15"/>
      <c r="ETP29" s="25"/>
      <c r="ETW29" s="21"/>
      <c r="ETX29" s="21"/>
      <c r="EUB29" s="15"/>
      <c r="EUH29" s="25"/>
      <c r="EUO29" s="21"/>
      <c r="EUP29" s="21"/>
      <c r="EUT29" s="15"/>
      <c r="EUZ29" s="25"/>
      <c r="EVG29" s="21"/>
      <c r="EVH29" s="21"/>
      <c r="EVL29" s="15"/>
      <c r="EVR29" s="25"/>
      <c r="EVY29" s="21"/>
      <c r="EVZ29" s="21"/>
      <c r="EWD29" s="15"/>
      <c r="EWJ29" s="25"/>
      <c r="EWQ29" s="21"/>
      <c r="EWR29" s="21"/>
      <c r="EWV29" s="15"/>
      <c r="EXB29" s="25"/>
      <c r="EXI29" s="21"/>
      <c r="EXJ29" s="21"/>
      <c r="EXN29" s="15"/>
      <c r="EXT29" s="25"/>
      <c r="EYA29" s="21"/>
      <c r="EYB29" s="21"/>
      <c r="EYF29" s="15"/>
      <c r="EYL29" s="25"/>
      <c r="EYS29" s="21"/>
      <c r="EYT29" s="21"/>
      <c r="EYX29" s="15"/>
      <c r="EZD29" s="25"/>
      <c r="EZK29" s="21"/>
      <c r="EZL29" s="21"/>
      <c r="EZP29" s="15"/>
      <c r="EZV29" s="25"/>
      <c r="FAC29" s="21"/>
      <c r="FAD29" s="21"/>
      <c r="FAH29" s="15"/>
      <c r="FAN29" s="25"/>
      <c r="FAU29" s="21"/>
      <c r="FAV29" s="21"/>
      <c r="FAZ29" s="15"/>
      <c r="FBF29" s="25"/>
      <c r="FBM29" s="21"/>
      <c r="FBN29" s="21"/>
      <c r="FBR29" s="15"/>
      <c r="FBX29" s="25"/>
      <c r="FCE29" s="21"/>
      <c r="FCF29" s="21"/>
      <c r="FCJ29" s="15"/>
      <c r="FCP29" s="25"/>
      <c r="FCW29" s="21"/>
      <c r="FCX29" s="21"/>
      <c r="FDB29" s="15"/>
      <c r="FDH29" s="25"/>
      <c r="FDO29" s="21"/>
      <c r="FDP29" s="21"/>
      <c r="FDT29" s="15"/>
      <c r="FDZ29" s="25"/>
      <c r="FEG29" s="21"/>
      <c r="FEH29" s="21"/>
      <c r="FEL29" s="15"/>
      <c r="FER29" s="25"/>
      <c r="FEY29" s="21"/>
      <c r="FEZ29" s="21"/>
      <c r="FFD29" s="15"/>
      <c r="FFJ29" s="25"/>
      <c r="FFQ29" s="21"/>
      <c r="FFR29" s="21"/>
      <c r="FFV29" s="15"/>
      <c r="FGB29" s="25"/>
      <c r="FGI29" s="21"/>
      <c r="FGJ29" s="21"/>
      <c r="FGN29" s="15"/>
      <c r="FGT29" s="25"/>
      <c r="FHA29" s="21"/>
      <c r="FHB29" s="21"/>
      <c r="FHF29" s="15"/>
      <c r="FHL29" s="25"/>
      <c r="FHS29" s="21"/>
      <c r="FHT29" s="21"/>
      <c r="FHX29" s="15"/>
      <c r="FID29" s="25"/>
      <c r="FIK29" s="21"/>
      <c r="FIL29" s="21"/>
      <c r="FIP29" s="15"/>
      <c r="FIV29" s="25"/>
      <c r="FJC29" s="21"/>
      <c r="FJD29" s="21"/>
      <c r="FJH29" s="15"/>
      <c r="FJN29" s="25"/>
      <c r="FJU29" s="21"/>
      <c r="FJV29" s="21"/>
      <c r="FJZ29" s="15"/>
      <c r="FKF29" s="25"/>
      <c r="FKM29" s="21"/>
      <c r="FKN29" s="21"/>
      <c r="FKR29" s="15"/>
      <c r="FKX29" s="25"/>
      <c r="FLE29" s="21"/>
      <c r="FLF29" s="21"/>
      <c r="FLJ29" s="15"/>
      <c r="FLP29" s="25"/>
      <c r="FLW29" s="21"/>
      <c r="FLX29" s="21"/>
      <c r="FMB29" s="15"/>
      <c r="FMH29" s="25"/>
      <c r="FMO29" s="21"/>
      <c r="FMP29" s="21"/>
      <c r="FMT29" s="15"/>
      <c r="FMZ29" s="25"/>
      <c r="FNG29" s="21"/>
      <c r="FNH29" s="21"/>
      <c r="FNL29" s="15"/>
      <c r="FNR29" s="25"/>
      <c r="FNY29" s="21"/>
      <c r="FNZ29" s="21"/>
      <c r="FOD29" s="15"/>
      <c r="FOJ29" s="25"/>
      <c r="FOQ29" s="21"/>
      <c r="FOR29" s="21"/>
      <c r="FOV29" s="15"/>
      <c r="FPB29" s="25"/>
      <c r="FPI29" s="21"/>
      <c r="FPJ29" s="21"/>
      <c r="FPN29" s="15"/>
      <c r="FPT29" s="25"/>
      <c r="FQA29" s="21"/>
      <c r="FQB29" s="21"/>
      <c r="FQF29" s="15"/>
      <c r="FQL29" s="25"/>
      <c r="FQS29" s="21"/>
      <c r="FQT29" s="21"/>
      <c r="FQX29" s="15"/>
      <c r="FRD29" s="25"/>
      <c r="FRK29" s="21"/>
      <c r="FRL29" s="21"/>
      <c r="FRP29" s="15"/>
      <c r="FRV29" s="25"/>
      <c r="FSC29" s="21"/>
      <c r="FSD29" s="21"/>
      <c r="FSH29" s="15"/>
      <c r="FSN29" s="25"/>
      <c r="FSU29" s="21"/>
      <c r="FSV29" s="21"/>
      <c r="FSZ29" s="15"/>
      <c r="FTF29" s="25"/>
      <c r="FTM29" s="21"/>
      <c r="FTN29" s="21"/>
      <c r="FTR29" s="15"/>
      <c r="FTX29" s="25"/>
      <c r="FUE29" s="21"/>
      <c r="FUF29" s="21"/>
      <c r="FUJ29" s="15"/>
      <c r="FUP29" s="25"/>
      <c r="FUW29" s="21"/>
      <c r="FUX29" s="21"/>
      <c r="FVB29" s="15"/>
      <c r="FVH29" s="25"/>
      <c r="FVO29" s="21"/>
      <c r="FVP29" s="21"/>
      <c r="FVT29" s="15"/>
      <c r="FVZ29" s="25"/>
      <c r="FWG29" s="21"/>
      <c r="FWH29" s="21"/>
      <c r="FWL29" s="15"/>
      <c r="FWR29" s="25"/>
      <c r="FWY29" s="21"/>
      <c r="FWZ29" s="21"/>
      <c r="FXD29" s="15"/>
      <c r="FXJ29" s="25"/>
      <c r="FXQ29" s="21"/>
      <c r="FXR29" s="21"/>
      <c r="FXV29" s="15"/>
      <c r="FYB29" s="25"/>
      <c r="FYI29" s="21"/>
      <c r="FYJ29" s="21"/>
      <c r="FYN29" s="15"/>
      <c r="FYT29" s="25"/>
      <c r="FZA29" s="21"/>
      <c r="FZB29" s="21"/>
      <c r="FZF29" s="15"/>
      <c r="FZL29" s="25"/>
      <c r="FZS29" s="21"/>
      <c r="FZT29" s="21"/>
      <c r="FZX29" s="15"/>
      <c r="GAD29" s="25"/>
      <c r="GAK29" s="21"/>
      <c r="GAL29" s="21"/>
      <c r="GAP29" s="15"/>
      <c r="GAV29" s="25"/>
      <c r="GBC29" s="21"/>
      <c r="GBD29" s="21"/>
      <c r="GBH29" s="15"/>
      <c r="GBN29" s="25"/>
      <c r="GBU29" s="21"/>
      <c r="GBV29" s="21"/>
      <c r="GBZ29" s="15"/>
      <c r="GCF29" s="25"/>
      <c r="GCM29" s="21"/>
      <c r="GCN29" s="21"/>
      <c r="GCR29" s="15"/>
      <c r="GCX29" s="25"/>
      <c r="GDE29" s="21"/>
      <c r="GDF29" s="21"/>
      <c r="GDJ29" s="15"/>
      <c r="GDP29" s="25"/>
      <c r="GDW29" s="21"/>
      <c r="GDX29" s="21"/>
      <c r="GEB29" s="15"/>
      <c r="GEH29" s="25"/>
      <c r="GEO29" s="21"/>
      <c r="GEP29" s="21"/>
      <c r="GET29" s="15"/>
      <c r="GEZ29" s="25"/>
      <c r="GFG29" s="21"/>
      <c r="GFH29" s="21"/>
      <c r="GFL29" s="15"/>
      <c r="GFR29" s="25"/>
      <c r="GFY29" s="21"/>
      <c r="GFZ29" s="21"/>
      <c r="GGD29" s="15"/>
      <c r="GGJ29" s="25"/>
      <c r="GGQ29" s="21"/>
      <c r="GGR29" s="21"/>
      <c r="GGV29" s="15"/>
      <c r="GHB29" s="25"/>
      <c r="GHI29" s="21"/>
      <c r="GHJ29" s="21"/>
      <c r="GHN29" s="15"/>
      <c r="GHT29" s="25"/>
      <c r="GIA29" s="21"/>
      <c r="GIB29" s="21"/>
      <c r="GIF29" s="15"/>
      <c r="GIL29" s="25"/>
      <c r="GIS29" s="21"/>
      <c r="GIT29" s="21"/>
      <c r="GIX29" s="15"/>
      <c r="GJD29" s="25"/>
      <c r="GJK29" s="21"/>
      <c r="GJL29" s="21"/>
      <c r="GJP29" s="15"/>
      <c r="GJV29" s="25"/>
      <c r="GKC29" s="21"/>
      <c r="GKD29" s="21"/>
      <c r="GKH29" s="15"/>
      <c r="GKN29" s="25"/>
      <c r="GKU29" s="21"/>
      <c r="GKV29" s="21"/>
      <c r="GKZ29" s="15"/>
      <c r="GLF29" s="25"/>
      <c r="GLM29" s="21"/>
      <c r="GLN29" s="21"/>
      <c r="GLR29" s="15"/>
      <c r="GLX29" s="25"/>
      <c r="GME29" s="21"/>
      <c r="GMF29" s="21"/>
      <c r="GMJ29" s="15"/>
      <c r="GMP29" s="25"/>
      <c r="GMW29" s="21"/>
      <c r="GMX29" s="21"/>
      <c r="GNB29" s="15"/>
      <c r="GNH29" s="25"/>
      <c r="GNO29" s="21"/>
      <c r="GNP29" s="21"/>
      <c r="GNT29" s="15"/>
      <c r="GNZ29" s="25"/>
      <c r="GOG29" s="21"/>
      <c r="GOH29" s="21"/>
      <c r="GOL29" s="15"/>
      <c r="GOR29" s="25"/>
      <c r="GOY29" s="21"/>
      <c r="GOZ29" s="21"/>
      <c r="GPD29" s="15"/>
      <c r="GPJ29" s="25"/>
      <c r="GPQ29" s="21"/>
      <c r="GPR29" s="21"/>
      <c r="GPV29" s="15"/>
      <c r="GQB29" s="25"/>
      <c r="GQI29" s="21"/>
      <c r="GQJ29" s="21"/>
      <c r="GQN29" s="15"/>
      <c r="GQT29" s="25"/>
      <c r="GRA29" s="21"/>
      <c r="GRB29" s="21"/>
      <c r="GRF29" s="15"/>
      <c r="GRL29" s="25"/>
      <c r="GRS29" s="21"/>
      <c r="GRT29" s="21"/>
      <c r="GRX29" s="15"/>
      <c r="GSD29" s="25"/>
      <c r="GSK29" s="21"/>
      <c r="GSL29" s="21"/>
      <c r="GSP29" s="15"/>
      <c r="GSV29" s="25"/>
      <c r="GTC29" s="21"/>
      <c r="GTD29" s="21"/>
      <c r="GTH29" s="15"/>
      <c r="GTN29" s="25"/>
      <c r="GTU29" s="21"/>
      <c r="GTV29" s="21"/>
      <c r="GTZ29" s="15"/>
      <c r="GUF29" s="25"/>
      <c r="GUM29" s="21"/>
      <c r="GUN29" s="21"/>
      <c r="GUR29" s="15"/>
      <c r="GUX29" s="25"/>
      <c r="GVE29" s="21"/>
      <c r="GVF29" s="21"/>
      <c r="GVJ29" s="15"/>
      <c r="GVP29" s="25"/>
      <c r="GVW29" s="21"/>
      <c r="GVX29" s="21"/>
      <c r="GWB29" s="15"/>
      <c r="GWH29" s="25"/>
      <c r="GWO29" s="21"/>
      <c r="GWP29" s="21"/>
      <c r="GWT29" s="15"/>
      <c r="GWZ29" s="25"/>
      <c r="GXG29" s="21"/>
      <c r="GXH29" s="21"/>
      <c r="GXL29" s="15"/>
      <c r="GXR29" s="25"/>
      <c r="GXY29" s="21"/>
      <c r="GXZ29" s="21"/>
      <c r="GYD29" s="15"/>
      <c r="GYJ29" s="25"/>
      <c r="GYQ29" s="21"/>
      <c r="GYR29" s="21"/>
      <c r="GYV29" s="15"/>
      <c r="GZB29" s="25"/>
      <c r="GZI29" s="21"/>
      <c r="GZJ29" s="21"/>
      <c r="GZN29" s="15"/>
      <c r="GZT29" s="25"/>
      <c r="HAA29" s="21"/>
      <c r="HAB29" s="21"/>
      <c r="HAF29" s="15"/>
      <c r="HAL29" s="25"/>
      <c r="HAS29" s="21"/>
      <c r="HAT29" s="21"/>
      <c r="HAX29" s="15"/>
      <c r="HBD29" s="25"/>
      <c r="HBK29" s="21"/>
      <c r="HBL29" s="21"/>
      <c r="HBP29" s="15"/>
      <c r="HBV29" s="25"/>
      <c r="HCC29" s="21"/>
      <c r="HCD29" s="21"/>
      <c r="HCH29" s="15"/>
      <c r="HCN29" s="25"/>
      <c r="HCU29" s="21"/>
      <c r="HCV29" s="21"/>
      <c r="HCZ29" s="15"/>
      <c r="HDF29" s="25"/>
      <c r="HDM29" s="21"/>
      <c r="HDN29" s="21"/>
      <c r="HDR29" s="15"/>
      <c r="HDX29" s="25"/>
      <c r="HEE29" s="21"/>
      <c r="HEF29" s="21"/>
      <c r="HEJ29" s="15"/>
      <c r="HEP29" s="25"/>
      <c r="HEW29" s="21"/>
      <c r="HEX29" s="21"/>
      <c r="HFB29" s="15"/>
      <c r="HFH29" s="25"/>
      <c r="HFO29" s="21"/>
      <c r="HFP29" s="21"/>
      <c r="HFT29" s="15"/>
      <c r="HFZ29" s="25"/>
      <c r="HGG29" s="21"/>
      <c r="HGH29" s="21"/>
      <c r="HGL29" s="15"/>
      <c r="HGR29" s="25"/>
      <c r="HGY29" s="21"/>
      <c r="HGZ29" s="21"/>
      <c r="HHD29" s="15"/>
      <c r="HHJ29" s="25"/>
      <c r="HHQ29" s="21"/>
      <c r="HHR29" s="21"/>
      <c r="HHV29" s="15"/>
      <c r="HIB29" s="25"/>
      <c r="HII29" s="21"/>
      <c r="HIJ29" s="21"/>
      <c r="HIN29" s="15"/>
      <c r="HIT29" s="25"/>
      <c r="HJA29" s="21"/>
      <c r="HJB29" s="21"/>
      <c r="HJF29" s="15"/>
      <c r="HJL29" s="25"/>
      <c r="HJS29" s="21"/>
      <c r="HJT29" s="21"/>
      <c r="HJX29" s="15"/>
      <c r="HKD29" s="25"/>
      <c r="HKK29" s="21"/>
      <c r="HKL29" s="21"/>
      <c r="HKP29" s="15"/>
      <c r="HKV29" s="25"/>
      <c r="HLC29" s="21"/>
      <c r="HLD29" s="21"/>
      <c r="HLH29" s="15"/>
      <c r="HLN29" s="25"/>
      <c r="HLU29" s="21"/>
      <c r="HLV29" s="21"/>
      <c r="HLZ29" s="15"/>
      <c r="HMF29" s="25"/>
      <c r="HMM29" s="21"/>
      <c r="HMN29" s="21"/>
      <c r="HMR29" s="15"/>
      <c r="HMX29" s="25"/>
      <c r="HNE29" s="21"/>
      <c r="HNF29" s="21"/>
      <c r="HNJ29" s="15"/>
      <c r="HNP29" s="25"/>
      <c r="HNW29" s="21"/>
      <c r="HNX29" s="21"/>
      <c r="HOB29" s="15"/>
      <c r="HOH29" s="25"/>
      <c r="HOO29" s="21"/>
      <c r="HOP29" s="21"/>
      <c r="HOT29" s="15"/>
      <c r="HOZ29" s="25"/>
      <c r="HPG29" s="21"/>
      <c r="HPH29" s="21"/>
      <c r="HPL29" s="15"/>
      <c r="HPR29" s="25"/>
      <c r="HPY29" s="21"/>
      <c r="HPZ29" s="21"/>
      <c r="HQD29" s="15"/>
      <c r="HQJ29" s="25"/>
      <c r="HQQ29" s="21"/>
      <c r="HQR29" s="21"/>
      <c r="HQV29" s="15"/>
      <c r="HRB29" s="25"/>
      <c r="HRI29" s="21"/>
      <c r="HRJ29" s="21"/>
      <c r="HRN29" s="15"/>
      <c r="HRT29" s="25"/>
      <c r="HSA29" s="21"/>
      <c r="HSB29" s="21"/>
      <c r="HSF29" s="15"/>
      <c r="HSL29" s="25"/>
      <c r="HSS29" s="21"/>
      <c r="HST29" s="21"/>
      <c r="HSX29" s="15"/>
      <c r="HTD29" s="25"/>
      <c r="HTK29" s="21"/>
      <c r="HTL29" s="21"/>
      <c r="HTP29" s="15"/>
      <c r="HTV29" s="25"/>
      <c r="HUC29" s="21"/>
      <c r="HUD29" s="21"/>
      <c r="HUH29" s="15"/>
      <c r="HUN29" s="25"/>
      <c r="HUU29" s="21"/>
      <c r="HUV29" s="21"/>
      <c r="HUZ29" s="15"/>
      <c r="HVF29" s="25"/>
      <c r="HVM29" s="21"/>
      <c r="HVN29" s="21"/>
      <c r="HVR29" s="15"/>
      <c r="HVX29" s="25"/>
      <c r="HWE29" s="21"/>
      <c r="HWF29" s="21"/>
      <c r="HWJ29" s="15"/>
      <c r="HWP29" s="25"/>
      <c r="HWW29" s="21"/>
      <c r="HWX29" s="21"/>
      <c r="HXB29" s="15"/>
      <c r="HXH29" s="25"/>
      <c r="HXO29" s="21"/>
      <c r="HXP29" s="21"/>
      <c r="HXT29" s="15"/>
      <c r="HXZ29" s="25"/>
      <c r="HYG29" s="21"/>
      <c r="HYH29" s="21"/>
      <c r="HYL29" s="15"/>
      <c r="HYR29" s="25"/>
      <c r="HYY29" s="21"/>
      <c r="HYZ29" s="21"/>
      <c r="HZD29" s="15"/>
      <c r="HZJ29" s="25"/>
      <c r="HZQ29" s="21"/>
      <c r="HZR29" s="21"/>
      <c r="HZV29" s="15"/>
      <c r="IAB29" s="25"/>
      <c r="IAI29" s="21"/>
      <c r="IAJ29" s="21"/>
      <c r="IAN29" s="15"/>
      <c r="IAT29" s="25"/>
      <c r="IBA29" s="21"/>
      <c r="IBB29" s="21"/>
      <c r="IBF29" s="15"/>
      <c r="IBL29" s="25"/>
      <c r="IBS29" s="21"/>
      <c r="IBT29" s="21"/>
      <c r="IBX29" s="15"/>
      <c r="ICD29" s="25"/>
      <c r="ICK29" s="21"/>
      <c r="ICL29" s="21"/>
      <c r="ICP29" s="15"/>
      <c r="ICV29" s="25"/>
      <c r="IDC29" s="21"/>
      <c r="IDD29" s="21"/>
      <c r="IDH29" s="15"/>
      <c r="IDN29" s="25"/>
      <c r="IDU29" s="21"/>
      <c r="IDV29" s="21"/>
      <c r="IDZ29" s="15"/>
      <c r="IEF29" s="25"/>
      <c r="IEM29" s="21"/>
      <c r="IEN29" s="21"/>
      <c r="IER29" s="15"/>
      <c r="IEX29" s="25"/>
      <c r="IFE29" s="21"/>
      <c r="IFF29" s="21"/>
      <c r="IFJ29" s="15"/>
      <c r="IFP29" s="25"/>
      <c r="IFW29" s="21"/>
      <c r="IFX29" s="21"/>
      <c r="IGB29" s="15"/>
      <c r="IGH29" s="25"/>
      <c r="IGO29" s="21"/>
      <c r="IGP29" s="21"/>
      <c r="IGT29" s="15"/>
      <c r="IGZ29" s="25"/>
      <c r="IHG29" s="21"/>
      <c r="IHH29" s="21"/>
      <c r="IHL29" s="15"/>
      <c r="IHR29" s="25"/>
      <c r="IHY29" s="21"/>
      <c r="IHZ29" s="21"/>
      <c r="IID29" s="15"/>
      <c r="IIJ29" s="25"/>
      <c r="IIQ29" s="21"/>
      <c r="IIR29" s="21"/>
      <c r="IIV29" s="15"/>
      <c r="IJB29" s="25"/>
      <c r="IJI29" s="21"/>
      <c r="IJJ29" s="21"/>
      <c r="IJN29" s="15"/>
      <c r="IJT29" s="25"/>
      <c r="IKA29" s="21"/>
      <c r="IKB29" s="21"/>
      <c r="IKF29" s="15"/>
      <c r="IKL29" s="25"/>
      <c r="IKS29" s="21"/>
      <c r="IKT29" s="21"/>
      <c r="IKX29" s="15"/>
      <c r="ILD29" s="25"/>
      <c r="ILK29" s="21"/>
      <c r="ILL29" s="21"/>
      <c r="ILP29" s="15"/>
      <c r="ILV29" s="25"/>
      <c r="IMC29" s="21"/>
      <c r="IMD29" s="21"/>
      <c r="IMH29" s="15"/>
      <c r="IMN29" s="25"/>
      <c r="IMU29" s="21"/>
      <c r="IMV29" s="21"/>
      <c r="IMZ29" s="15"/>
      <c r="INF29" s="25"/>
      <c r="INM29" s="21"/>
      <c r="INN29" s="21"/>
      <c r="INR29" s="15"/>
      <c r="INX29" s="25"/>
      <c r="IOE29" s="21"/>
      <c r="IOF29" s="21"/>
      <c r="IOJ29" s="15"/>
      <c r="IOP29" s="25"/>
      <c r="IOW29" s="21"/>
      <c r="IOX29" s="21"/>
      <c r="IPB29" s="15"/>
      <c r="IPH29" s="25"/>
      <c r="IPO29" s="21"/>
      <c r="IPP29" s="21"/>
      <c r="IPT29" s="15"/>
      <c r="IPZ29" s="25"/>
      <c r="IQG29" s="21"/>
      <c r="IQH29" s="21"/>
      <c r="IQL29" s="15"/>
      <c r="IQR29" s="25"/>
      <c r="IQY29" s="21"/>
      <c r="IQZ29" s="21"/>
      <c r="IRD29" s="15"/>
      <c r="IRJ29" s="25"/>
      <c r="IRQ29" s="21"/>
      <c r="IRR29" s="21"/>
      <c r="IRV29" s="15"/>
      <c r="ISB29" s="25"/>
      <c r="ISI29" s="21"/>
      <c r="ISJ29" s="21"/>
      <c r="ISN29" s="15"/>
      <c r="IST29" s="25"/>
      <c r="ITA29" s="21"/>
      <c r="ITB29" s="21"/>
      <c r="ITF29" s="15"/>
      <c r="ITL29" s="25"/>
      <c r="ITS29" s="21"/>
      <c r="ITT29" s="21"/>
      <c r="ITX29" s="15"/>
      <c r="IUD29" s="25"/>
      <c r="IUK29" s="21"/>
      <c r="IUL29" s="21"/>
      <c r="IUP29" s="15"/>
      <c r="IUV29" s="25"/>
      <c r="IVC29" s="21"/>
      <c r="IVD29" s="21"/>
      <c r="IVH29" s="15"/>
      <c r="IVN29" s="25"/>
      <c r="IVU29" s="21"/>
      <c r="IVV29" s="21"/>
      <c r="IVZ29" s="15"/>
      <c r="IWF29" s="25"/>
      <c r="IWM29" s="21"/>
      <c r="IWN29" s="21"/>
      <c r="IWR29" s="15"/>
      <c r="IWX29" s="25"/>
      <c r="IXE29" s="21"/>
      <c r="IXF29" s="21"/>
      <c r="IXJ29" s="15"/>
      <c r="IXP29" s="25"/>
      <c r="IXW29" s="21"/>
      <c r="IXX29" s="21"/>
      <c r="IYB29" s="15"/>
      <c r="IYH29" s="25"/>
      <c r="IYO29" s="21"/>
      <c r="IYP29" s="21"/>
      <c r="IYT29" s="15"/>
      <c r="IYZ29" s="25"/>
      <c r="IZG29" s="21"/>
      <c r="IZH29" s="21"/>
      <c r="IZL29" s="15"/>
      <c r="IZR29" s="25"/>
      <c r="IZY29" s="21"/>
      <c r="IZZ29" s="21"/>
      <c r="JAD29" s="15"/>
      <c r="JAJ29" s="25"/>
      <c r="JAQ29" s="21"/>
      <c r="JAR29" s="21"/>
      <c r="JAV29" s="15"/>
      <c r="JBB29" s="25"/>
      <c r="JBI29" s="21"/>
      <c r="JBJ29" s="21"/>
      <c r="JBN29" s="15"/>
      <c r="JBT29" s="25"/>
      <c r="JCA29" s="21"/>
      <c r="JCB29" s="21"/>
      <c r="JCF29" s="15"/>
      <c r="JCL29" s="25"/>
      <c r="JCS29" s="21"/>
      <c r="JCT29" s="21"/>
      <c r="JCX29" s="15"/>
      <c r="JDD29" s="25"/>
      <c r="JDK29" s="21"/>
      <c r="JDL29" s="21"/>
      <c r="JDP29" s="15"/>
      <c r="JDV29" s="25"/>
      <c r="JEC29" s="21"/>
      <c r="JED29" s="21"/>
      <c r="JEH29" s="15"/>
      <c r="JEN29" s="25"/>
      <c r="JEU29" s="21"/>
      <c r="JEV29" s="21"/>
      <c r="JEZ29" s="15"/>
      <c r="JFF29" s="25"/>
      <c r="JFM29" s="21"/>
      <c r="JFN29" s="21"/>
      <c r="JFR29" s="15"/>
      <c r="JFX29" s="25"/>
      <c r="JGE29" s="21"/>
      <c r="JGF29" s="21"/>
      <c r="JGJ29" s="15"/>
      <c r="JGP29" s="25"/>
      <c r="JGW29" s="21"/>
      <c r="JGX29" s="21"/>
      <c r="JHB29" s="15"/>
      <c r="JHH29" s="25"/>
      <c r="JHO29" s="21"/>
      <c r="JHP29" s="21"/>
      <c r="JHT29" s="15"/>
      <c r="JHZ29" s="25"/>
      <c r="JIG29" s="21"/>
      <c r="JIH29" s="21"/>
      <c r="JIL29" s="15"/>
      <c r="JIR29" s="25"/>
      <c r="JIY29" s="21"/>
      <c r="JIZ29" s="21"/>
      <c r="JJD29" s="15"/>
      <c r="JJJ29" s="25"/>
      <c r="JJQ29" s="21"/>
      <c r="JJR29" s="21"/>
      <c r="JJV29" s="15"/>
      <c r="JKB29" s="25"/>
      <c r="JKI29" s="21"/>
      <c r="JKJ29" s="21"/>
      <c r="JKN29" s="15"/>
      <c r="JKT29" s="25"/>
      <c r="JLA29" s="21"/>
      <c r="JLB29" s="21"/>
      <c r="JLF29" s="15"/>
      <c r="JLL29" s="25"/>
      <c r="JLS29" s="21"/>
      <c r="JLT29" s="21"/>
      <c r="JLX29" s="15"/>
      <c r="JMD29" s="25"/>
      <c r="JMK29" s="21"/>
      <c r="JML29" s="21"/>
      <c r="JMP29" s="15"/>
      <c r="JMV29" s="25"/>
      <c r="JNC29" s="21"/>
      <c r="JND29" s="21"/>
      <c r="JNH29" s="15"/>
      <c r="JNN29" s="25"/>
      <c r="JNU29" s="21"/>
      <c r="JNV29" s="21"/>
      <c r="JNZ29" s="15"/>
      <c r="JOF29" s="25"/>
      <c r="JOM29" s="21"/>
      <c r="JON29" s="21"/>
      <c r="JOR29" s="15"/>
      <c r="JOX29" s="25"/>
      <c r="JPE29" s="21"/>
      <c r="JPF29" s="21"/>
      <c r="JPJ29" s="15"/>
      <c r="JPP29" s="25"/>
      <c r="JPW29" s="21"/>
      <c r="JPX29" s="21"/>
      <c r="JQB29" s="15"/>
      <c r="JQH29" s="25"/>
      <c r="JQO29" s="21"/>
      <c r="JQP29" s="21"/>
      <c r="JQT29" s="15"/>
      <c r="JQZ29" s="25"/>
      <c r="JRG29" s="21"/>
      <c r="JRH29" s="21"/>
      <c r="JRL29" s="15"/>
      <c r="JRR29" s="25"/>
      <c r="JRY29" s="21"/>
      <c r="JRZ29" s="21"/>
      <c r="JSD29" s="15"/>
      <c r="JSJ29" s="25"/>
      <c r="JSQ29" s="21"/>
      <c r="JSR29" s="21"/>
      <c r="JSV29" s="15"/>
      <c r="JTB29" s="25"/>
      <c r="JTI29" s="21"/>
      <c r="JTJ29" s="21"/>
      <c r="JTN29" s="15"/>
      <c r="JTT29" s="25"/>
      <c r="JUA29" s="21"/>
      <c r="JUB29" s="21"/>
      <c r="JUF29" s="15"/>
      <c r="JUL29" s="25"/>
      <c r="JUS29" s="21"/>
      <c r="JUT29" s="21"/>
      <c r="JUX29" s="15"/>
      <c r="JVD29" s="25"/>
      <c r="JVK29" s="21"/>
      <c r="JVL29" s="21"/>
      <c r="JVP29" s="15"/>
      <c r="JVV29" s="25"/>
      <c r="JWC29" s="21"/>
      <c r="JWD29" s="21"/>
      <c r="JWH29" s="15"/>
      <c r="JWN29" s="25"/>
      <c r="JWU29" s="21"/>
      <c r="JWV29" s="21"/>
      <c r="JWZ29" s="15"/>
      <c r="JXF29" s="25"/>
      <c r="JXM29" s="21"/>
      <c r="JXN29" s="21"/>
      <c r="JXR29" s="15"/>
      <c r="JXX29" s="25"/>
      <c r="JYE29" s="21"/>
      <c r="JYF29" s="21"/>
      <c r="JYJ29" s="15"/>
      <c r="JYP29" s="25"/>
      <c r="JYW29" s="21"/>
      <c r="JYX29" s="21"/>
      <c r="JZB29" s="15"/>
      <c r="JZH29" s="25"/>
      <c r="JZO29" s="21"/>
      <c r="JZP29" s="21"/>
      <c r="JZT29" s="15"/>
      <c r="JZZ29" s="25"/>
      <c r="KAG29" s="21"/>
      <c r="KAH29" s="21"/>
      <c r="KAL29" s="15"/>
      <c r="KAR29" s="25"/>
      <c r="KAY29" s="21"/>
      <c r="KAZ29" s="21"/>
      <c r="KBD29" s="15"/>
      <c r="KBJ29" s="25"/>
      <c r="KBQ29" s="21"/>
      <c r="KBR29" s="21"/>
      <c r="KBV29" s="15"/>
      <c r="KCB29" s="25"/>
      <c r="KCI29" s="21"/>
      <c r="KCJ29" s="21"/>
      <c r="KCN29" s="15"/>
      <c r="KCT29" s="25"/>
      <c r="KDA29" s="21"/>
      <c r="KDB29" s="21"/>
      <c r="KDF29" s="15"/>
      <c r="KDL29" s="25"/>
      <c r="KDS29" s="21"/>
      <c r="KDT29" s="21"/>
      <c r="KDX29" s="15"/>
      <c r="KED29" s="25"/>
      <c r="KEK29" s="21"/>
      <c r="KEL29" s="21"/>
      <c r="KEP29" s="15"/>
      <c r="KEV29" s="25"/>
      <c r="KFC29" s="21"/>
      <c r="KFD29" s="21"/>
      <c r="KFH29" s="15"/>
      <c r="KFN29" s="25"/>
      <c r="KFU29" s="21"/>
      <c r="KFV29" s="21"/>
      <c r="KFZ29" s="15"/>
      <c r="KGF29" s="25"/>
      <c r="KGM29" s="21"/>
      <c r="KGN29" s="21"/>
      <c r="KGR29" s="15"/>
      <c r="KGX29" s="25"/>
      <c r="KHE29" s="21"/>
      <c r="KHF29" s="21"/>
      <c r="KHJ29" s="15"/>
      <c r="KHP29" s="25"/>
      <c r="KHW29" s="21"/>
      <c r="KHX29" s="21"/>
      <c r="KIB29" s="15"/>
      <c r="KIH29" s="25"/>
      <c r="KIO29" s="21"/>
      <c r="KIP29" s="21"/>
      <c r="KIT29" s="15"/>
      <c r="KIZ29" s="25"/>
      <c r="KJG29" s="21"/>
      <c r="KJH29" s="21"/>
      <c r="KJL29" s="15"/>
      <c r="KJR29" s="25"/>
      <c r="KJY29" s="21"/>
      <c r="KJZ29" s="21"/>
      <c r="KKD29" s="15"/>
      <c r="KKJ29" s="25"/>
      <c r="KKQ29" s="21"/>
      <c r="KKR29" s="21"/>
      <c r="KKV29" s="15"/>
      <c r="KLB29" s="25"/>
      <c r="KLI29" s="21"/>
      <c r="KLJ29" s="21"/>
      <c r="KLN29" s="15"/>
      <c r="KLT29" s="25"/>
      <c r="KMA29" s="21"/>
      <c r="KMB29" s="21"/>
      <c r="KMF29" s="15"/>
      <c r="KML29" s="25"/>
      <c r="KMS29" s="21"/>
      <c r="KMT29" s="21"/>
      <c r="KMX29" s="15"/>
      <c r="KND29" s="25"/>
      <c r="KNK29" s="21"/>
      <c r="KNL29" s="21"/>
      <c r="KNP29" s="15"/>
      <c r="KNV29" s="25"/>
      <c r="KOC29" s="21"/>
      <c r="KOD29" s="21"/>
      <c r="KOH29" s="15"/>
      <c r="KON29" s="25"/>
      <c r="KOU29" s="21"/>
      <c r="KOV29" s="21"/>
      <c r="KOZ29" s="15"/>
      <c r="KPF29" s="25"/>
      <c r="KPM29" s="21"/>
      <c r="KPN29" s="21"/>
      <c r="KPR29" s="15"/>
      <c r="KPX29" s="25"/>
      <c r="KQE29" s="21"/>
      <c r="KQF29" s="21"/>
      <c r="KQJ29" s="15"/>
      <c r="KQP29" s="25"/>
      <c r="KQW29" s="21"/>
      <c r="KQX29" s="21"/>
      <c r="KRB29" s="15"/>
      <c r="KRH29" s="25"/>
      <c r="KRO29" s="21"/>
      <c r="KRP29" s="21"/>
      <c r="KRT29" s="15"/>
      <c r="KRZ29" s="25"/>
      <c r="KSG29" s="21"/>
      <c r="KSH29" s="21"/>
      <c r="KSL29" s="15"/>
      <c r="KSR29" s="25"/>
      <c r="KSY29" s="21"/>
      <c r="KSZ29" s="21"/>
      <c r="KTD29" s="15"/>
      <c r="KTJ29" s="25"/>
      <c r="KTQ29" s="21"/>
      <c r="KTR29" s="21"/>
      <c r="KTV29" s="15"/>
      <c r="KUB29" s="25"/>
      <c r="KUI29" s="21"/>
      <c r="KUJ29" s="21"/>
      <c r="KUN29" s="15"/>
      <c r="KUT29" s="25"/>
      <c r="KVA29" s="21"/>
      <c r="KVB29" s="21"/>
      <c r="KVF29" s="15"/>
      <c r="KVL29" s="25"/>
      <c r="KVS29" s="21"/>
      <c r="KVT29" s="21"/>
      <c r="KVX29" s="15"/>
      <c r="KWD29" s="25"/>
      <c r="KWK29" s="21"/>
      <c r="KWL29" s="21"/>
      <c r="KWP29" s="15"/>
      <c r="KWV29" s="25"/>
      <c r="KXC29" s="21"/>
      <c r="KXD29" s="21"/>
      <c r="KXH29" s="15"/>
      <c r="KXN29" s="25"/>
      <c r="KXU29" s="21"/>
      <c r="KXV29" s="21"/>
      <c r="KXZ29" s="15"/>
      <c r="KYF29" s="25"/>
      <c r="KYM29" s="21"/>
      <c r="KYN29" s="21"/>
      <c r="KYR29" s="15"/>
      <c r="KYX29" s="25"/>
      <c r="KZE29" s="21"/>
      <c r="KZF29" s="21"/>
      <c r="KZJ29" s="15"/>
      <c r="KZP29" s="25"/>
      <c r="KZW29" s="21"/>
      <c r="KZX29" s="21"/>
      <c r="LAB29" s="15"/>
      <c r="LAH29" s="25"/>
      <c r="LAO29" s="21"/>
      <c r="LAP29" s="21"/>
      <c r="LAT29" s="15"/>
      <c r="LAZ29" s="25"/>
      <c r="LBG29" s="21"/>
      <c r="LBH29" s="21"/>
      <c r="LBL29" s="15"/>
      <c r="LBR29" s="25"/>
      <c r="LBY29" s="21"/>
      <c r="LBZ29" s="21"/>
      <c r="LCD29" s="15"/>
      <c r="LCJ29" s="25"/>
      <c r="LCQ29" s="21"/>
      <c r="LCR29" s="21"/>
      <c r="LCV29" s="15"/>
      <c r="LDB29" s="25"/>
      <c r="LDI29" s="21"/>
      <c r="LDJ29" s="21"/>
      <c r="LDN29" s="15"/>
      <c r="LDT29" s="25"/>
      <c r="LEA29" s="21"/>
      <c r="LEB29" s="21"/>
      <c r="LEF29" s="15"/>
      <c r="LEL29" s="25"/>
      <c r="LES29" s="21"/>
      <c r="LET29" s="21"/>
      <c r="LEX29" s="15"/>
      <c r="LFD29" s="25"/>
      <c r="LFK29" s="21"/>
      <c r="LFL29" s="21"/>
      <c r="LFP29" s="15"/>
      <c r="LFV29" s="25"/>
      <c r="LGC29" s="21"/>
      <c r="LGD29" s="21"/>
      <c r="LGH29" s="15"/>
      <c r="LGN29" s="25"/>
      <c r="LGU29" s="21"/>
      <c r="LGV29" s="21"/>
      <c r="LGZ29" s="15"/>
      <c r="LHF29" s="25"/>
      <c r="LHM29" s="21"/>
      <c r="LHN29" s="21"/>
      <c r="LHR29" s="15"/>
      <c r="LHX29" s="25"/>
      <c r="LIE29" s="21"/>
      <c r="LIF29" s="21"/>
      <c r="LIJ29" s="15"/>
      <c r="LIP29" s="25"/>
      <c r="LIW29" s="21"/>
      <c r="LIX29" s="21"/>
      <c r="LJB29" s="15"/>
      <c r="LJH29" s="25"/>
      <c r="LJO29" s="21"/>
      <c r="LJP29" s="21"/>
      <c r="LJT29" s="15"/>
      <c r="LJZ29" s="25"/>
      <c r="LKG29" s="21"/>
      <c r="LKH29" s="21"/>
      <c r="LKL29" s="15"/>
      <c r="LKR29" s="25"/>
      <c r="LKY29" s="21"/>
      <c r="LKZ29" s="21"/>
      <c r="LLD29" s="15"/>
      <c r="LLJ29" s="25"/>
      <c r="LLQ29" s="21"/>
      <c r="LLR29" s="21"/>
      <c r="LLV29" s="15"/>
      <c r="LMB29" s="25"/>
      <c r="LMI29" s="21"/>
      <c r="LMJ29" s="21"/>
      <c r="LMN29" s="15"/>
      <c r="LMT29" s="25"/>
      <c r="LNA29" s="21"/>
      <c r="LNB29" s="21"/>
      <c r="LNF29" s="15"/>
      <c r="LNL29" s="25"/>
      <c r="LNS29" s="21"/>
      <c r="LNT29" s="21"/>
      <c r="LNX29" s="15"/>
      <c r="LOD29" s="25"/>
      <c r="LOK29" s="21"/>
      <c r="LOL29" s="21"/>
      <c r="LOP29" s="15"/>
      <c r="LOV29" s="25"/>
      <c r="LPC29" s="21"/>
      <c r="LPD29" s="21"/>
      <c r="LPH29" s="15"/>
      <c r="LPN29" s="25"/>
      <c r="LPU29" s="21"/>
      <c r="LPV29" s="21"/>
      <c r="LPZ29" s="15"/>
      <c r="LQF29" s="25"/>
      <c r="LQM29" s="21"/>
      <c r="LQN29" s="21"/>
      <c r="LQR29" s="15"/>
      <c r="LQX29" s="25"/>
      <c r="LRE29" s="21"/>
      <c r="LRF29" s="21"/>
      <c r="LRJ29" s="15"/>
      <c r="LRP29" s="25"/>
      <c r="LRW29" s="21"/>
      <c r="LRX29" s="21"/>
      <c r="LSB29" s="15"/>
      <c r="LSH29" s="25"/>
      <c r="LSO29" s="21"/>
      <c r="LSP29" s="21"/>
      <c r="LST29" s="15"/>
      <c r="LSZ29" s="25"/>
      <c r="LTG29" s="21"/>
      <c r="LTH29" s="21"/>
      <c r="LTL29" s="15"/>
      <c r="LTR29" s="25"/>
      <c r="LTY29" s="21"/>
      <c r="LTZ29" s="21"/>
      <c r="LUD29" s="15"/>
      <c r="LUJ29" s="25"/>
      <c r="LUQ29" s="21"/>
      <c r="LUR29" s="21"/>
      <c r="LUV29" s="15"/>
      <c r="LVB29" s="25"/>
      <c r="LVI29" s="21"/>
      <c r="LVJ29" s="21"/>
      <c r="LVN29" s="15"/>
      <c r="LVT29" s="25"/>
      <c r="LWA29" s="21"/>
      <c r="LWB29" s="21"/>
      <c r="LWF29" s="15"/>
      <c r="LWL29" s="25"/>
      <c r="LWS29" s="21"/>
      <c r="LWT29" s="21"/>
      <c r="LWX29" s="15"/>
      <c r="LXD29" s="25"/>
      <c r="LXK29" s="21"/>
      <c r="LXL29" s="21"/>
      <c r="LXP29" s="15"/>
      <c r="LXV29" s="25"/>
      <c r="LYC29" s="21"/>
      <c r="LYD29" s="21"/>
      <c r="LYH29" s="15"/>
      <c r="LYN29" s="25"/>
      <c r="LYU29" s="21"/>
      <c r="LYV29" s="21"/>
      <c r="LYZ29" s="15"/>
      <c r="LZF29" s="25"/>
      <c r="LZM29" s="21"/>
      <c r="LZN29" s="21"/>
      <c r="LZR29" s="15"/>
      <c r="LZX29" s="25"/>
      <c r="MAE29" s="21"/>
      <c r="MAF29" s="21"/>
      <c r="MAJ29" s="15"/>
      <c r="MAP29" s="25"/>
      <c r="MAW29" s="21"/>
      <c r="MAX29" s="21"/>
      <c r="MBB29" s="15"/>
      <c r="MBH29" s="25"/>
      <c r="MBO29" s="21"/>
      <c r="MBP29" s="21"/>
      <c r="MBT29" s="15"/>
      <c r="MBZ29" s="25"/>
      <c r="MCG29" s="21"/>
      <c r="MCH29" s="21"/>
      <c r="MCL29" s="15"/>
      <c r="MCR29" s="25"/>
      <c r="MCY29" s="21"/>
      <c r="MCZ29" s="21"/>
      <c r="MDD29" s="15"/>
      <c r="MDJ29" s="25"/>
      <c r="MDQ29" s="21"/>
      <c r="MDR29" s="21"/>
      <c r="MDV29" s="15"/>
      <c r="MEB29" s="25"/>
      <c r="MEI29" s="21"/>
      <c r="MEJ29" s="21"/>
      <c r="MEN29" s="15"/>
      <c r="MET29" s="25"/>
      <c r="MFA29" s="21"/>
      <c r="MFB29" s="21"/>
      <c r="MFF29" s="15"/>
      <c r="MFL29" s="25"/>
      <c r="MFS29" s="21"/>
      <c r="MFT29" s="21"/>
      <c r="MFX29" s="15"/>
      <c r="MGD29" s="25"/>
      <c r="MGK29" s="21"/>
      <c r="MGL29" s="21"/>
      <c r="MGP29" s="15"/>
      <c r="MGV29" s="25"/>
      <c r="MHC29" s="21"/>
      <c r="MHD29" s="21"/>
      <c r="MHH29" s="15"/>
      <c r="MHN29" s="25"/>
      <c r="MHU29" s="21"/>
      <c r="MHV29" s="21"/>
      <c r="MHZ29" s="15"/>
      <c r="MIF29" s="25"/>
      <c r="MIM29" s="21"/>
      <c r="MIN29" s="21"/>
      <c r="MIR29" s="15"/>
      <c r="MIX29" s="25"/>
      <c r="MJE29" s="21"/>
      <c r="MJF29" s="21"/>
      <c r="MJJ29" s="15"/>
      <c r="MJP29" s="25"/>
      <c r="MJW29" s="21"/>
      <c r="MJX29" s="21"/>
      <c r="MKB29" s="15"/>
      <c r="MKH29" s="25"/>
      <c r="MKO29" s="21"/>
      <c r="MKP29" s="21"/>
      <c r="MKT29" s="15"/>
      <c r="MKZ29" s="25"/>
      <c r="MLG29" s="21"/>
      <c r="MLH29" s="21"/>
      <c r="MLL29" s="15"/>
      <c r="MLR29" s="25"/>
      <c r="MLY29" s="21"/>
      <c r="MLZ29" s="21"/>
      <c r="MMD29" s="15"/>
      <c r="MMJ29" s="25"/>
      <c r="MMQ29" s="21"/>
      <c r="MMR29" s="21"/>
      <c r="MMV29" s="15"/>
      <c r="MNB29" s="25"/>
      <c r="MNI29" s="21"/>
      <c r="MNJ29" s="21"/>
      <c r="MNN29" s="15"/>
      <c r="MNT29" s="25"/>
      <c r="MOA29" s="21"/>
      <c r="MOB29" s="21"/>
      <c r="MOF29" s="15"/>
      <c r="MOL29" s="25"/>
      <c r="MOS29" s="21"/>
      <c r="MOT29" s="21"/>
      <c r="MOX29" s="15"/>
      <c r="MPD29" s="25"/>
      <c r="MPK29" s="21"/>
      <c r="MPL29" s="21"/>
      <c r="MPP29" s="15"/>
      <c r="MPV29" s="25"/>
      <c r="MQC29" s="21"/>
      <c r="MQD29" s="21"/>
      <c r="MQH29" s="15"/>
      <c r="MQN29" s="25"/>
      <c r="MQU29" s="21"/>
      <c r="MQV29" s="21"/>
      <c r="MQZ29" s="15"/>
      <c r="MRF29" s="25"/>
      <c r="MRM29" s="21"/>
      <c r="MRN29" s="21"/>
      <c r="MRR29" s="15"/>
      <c r="MRX29" s="25"/>
      <c r="MSE29" s="21"/>
      <c r="MSF29" s="21"/>
      <c r="MSJ29" s="15"/>
      <c r="MSP29" s="25"/>
      <c r="MSW29" s="21"/>
      <c r="MSX29" s="21"/>
      <c r="MTB29" s="15"/>
      <c r="MTH29" s="25"/>
      <c r="MTO29" s="21"/>
      <c r="MTP29" s="21"/>
      <c r="MTT29" s="15"/>
      <c r="MTZ29" s="25"/>
      <c r="MUG29" s="21"/>
      <c r="MUH29" s="21"/>
      <c r="MUL29" s="15"/>
      <c r="MUR29" s="25"/>
      <c r="MUY29" s="21"/>
      <c r="MUZ29" s="21"/>
      <c r="MVD29" s="15"/>
      <c r="MVJ29" s="25"/>
      <c r="MVQ29" s="21"/>
      <c r="MVR29" s="21"/>
      <c r="MVV29" s="15"/>
      <c r="MWB29" s="25"/>
      <c r="MWI29" s="21"/>
      <c r="MWJ29" s="21"/>
      <c r="MWN29" s="15"/>
      <c r="MWT29" s="25"/>
      <c r="MXA29" s="21"/>
      <c r="MXB29" s="21"/>
      <c r="MXF29" s="15"/>
      <c r="MXL29" s="25"/>
      <c r="MXS29" s="21"/>
      <c r="MXT29" s="21"/>
      <c r="MXX29" s="15"/>
      <c r="MYD29" s="25"/>
      <c r="MYK29" s="21"/>
      <c r="MYL29" s="21"/>
      <c r="MYP29" s="15"/>
      <c r="MYV29" s="25"/>
      <c r="MZC29" s="21"/>
      <c r="MZD29" s="21"/>
      <c r="MZH29" s="15"/>
      <c r="MZN29" s="25"/>
      <c r="MZU29" s="21"/>
      <c r="MZV29" s="21"/>
      <c r="MZZ29" s="15"/>
      <c r="NAF29" s="25"/>
      <c r="NAM29" s="21"/>
      <c r="NAN29" s="21"/>
      <c r="NAR29" s="15"/>
      <c r="NAX29" s="25"/>
      <c r="NBE29" s="21"/>
      <c r="NBF29" s="21"/>
      <c r="NBJ29" s="15"/>
      <c r="NBP29" s="25"/>
      <c r="NBW29" s="21"/>
      <c r="NBX29" s="21"/>
      <c r="NCB29" s="15"/>
      <c r="NCH29" s="25"/>
      <c r="NCO29" s="21"/>
      <c r="NCP29" s="21"/>
      <c r="NCT29" s="15"/>
      <c r="NCZ29" s="25"/>
      <c r="NDG29" s="21"/>
      <c r="NDH29" s="21"/>
      <c r="NDL29" s="15"/>
      <c r="NDR29" s="25"/>
      <c r="NDY29" s="21"/>
      <c r="NDZ29" s="21"/>
      <c r="NED29" s="15"/>
      <c r="NEJ29" s="25"/>
      <c r="NEQ29" s="21"/>
      <c r="NER29" s="21"/>
      <c r="NEV29" s="15"/>
      <c r="NFB29" s="25"/>
      <c r="NFI29" s="21"/>
      <c r="NFJ29" s="21"/>
      <c r="NFN29" s="15"/>
      <c r="NFT29" s="25"/>
      <c r="NGA29" s="21"/>
      <c r="NGB29" s="21"/>
      <c r="NGF29" s="15"/>
      <c r="NGL29" s="25"/>
      <c r="NGS29" s="21"/>
      <c r="NGT29" s="21"/>
      <c r="NGX29" s="15"/>
      <c r="NHD29" s="25"/>
      <c r="NHK29" s="21"/>
      <c r="NHL29" s="21"/>
      <c r="NHP29" s="15"/>
      <c r="NHV29" s="25"/>
      <c r="NIC29" s="21"/>
      <c r="NID29" s="21"/>
      <c r="NIH29" s="15"/>
      <c r="NIN29" s="25"/>
      <c r="NIU29" s="21"/>
      <c r="NIV29" s="21"/>
      <c r="NIZ29" s="15"/>
      <c r="NJF29" s="25"/>
      <c r="NJM29" s="21"/>
      <c r="NJN29" s="21"/>
      <c r="NJR29" s="15"/>
      <c r="NJX29" s="25"/>
      <c r="NKE29" s="21"/>
      <c r="NKF29" s="21"/>
      <c r="NKJ29" s="15"/>
      <c r="NKP29" s="25"/>
      <c r="NKW29" s="21"/>
      <c r="NKX29" s="21"/>
      <c r="NLB29" s="15"/>
      <c r="NLH29" s="25"/>
      <c r="NLO29" s="21"/>
      <c r="NLP29" s="21"/>
      <c r="NLT29" s="15"/>
      <c r="NLZ29" s="25"/>
      <c r="NMG29" s="21"/>
      <c r="NMH29" s="21"/>
      <c r="NML29" s="15"/>
      <c r="NMR29" s="25"/>
      <c r="NMY29" s="21"/>
      <c r="NMZ29" s="21"/>
      <c r="NND29" s="15"/>
      <c r="NNJ29" s="25"/>
      <c r="NNQ29" s="21"/>
      <c r="NNR29" s="21"/>
      <c r="NNV29" s="15"/>
      <c r="NOB29" s="25"/>
      <c r="NOI29" s="21"/>
      <c r="NOJ29" s="21"/>
      <c r="NON29" s="15"/>
      <c r="NOT29" s="25"/>
      <c r="NPA29" s="21"/>
      <c r="NPB29" s="21"/>
      <c r="NPF29" s="15"/>
      <c r="NPL29" s="25"/>
      <c r="NPS29" s="21"/>
      <c r="NPT29" s="21"/>
      <c r="NPX29" s="15"/>
      <c r="NQD29" s="25"/>
      <c r="NQK29" s="21"/>
      <c r="NQL29" s="21"/>
      <c r="NQP29" s="15"/>
      <c r="NQV29" s="25"/>
      <c r="NRC29" s="21"/>
      <c r="NRD29" s="21"/>
      <c r="NRH29" s="15"/>
      <c r="NRN29" s="25"/>
      <c r="NRU29" s="21"/>
      <c r="NRV29" s="21"/>
      <c r="NRZ29" s="15"/>
      <c r="NSF29" s="25"/>
      <c r="NSM29" s="21"/>
      <c r="NSN29" s="21"/>
      <c r="NSR29" s="15"/>
      <c r="NSX29" s="25"/>
      <c r="NTE29" s="21"/>
      <c r="NTF29" s="21"/>
      <c r="NTJ29" s="15"/>
      <c r="NTP29" s="25"/>
      <c r="NTW29" s="21"/>
      <c r="NTX29" s="21"/>
      <c r="NUB29" s="15"/>
      <c r="NUH29" s="25"/>
      <c r="NUO29" s="21"/>
      <c r="NUP29" s="21"/>
      <c r="NUT29" s="15"/>
      <c r="NUZ29" s="25"/>
      <c r="NVG29" s="21"/>
      <c r="NVH29" s="21"/>
      <c r="NVL29" s="15"/>
      <c r="NVR29" s="25"/>
      <c r="NVY29" s="21"/>
      <c r="NVZ29" s="21"/>
      <c r="NWD29" s="15"/>
      <c r="NWJ29" s="25"/>
      <c r="NWQ29" s="21"/>
      <c r="NWR29" s="21"/>
      <c r="NWV29" s="15"/>
      <c r="NXB29" s="25"/>
      <c r="NXI29" s="21"/>
      <c r="NXJ29" s="21"/>
      <c r="NXN29" s="15"/>
      <c r="NXT29" s="25"/>
      <c r="NYA29" s="21"/>
      <c r="NYB29" s="21"/>
      <c r="NYF29" s="15"/>
      <c r="NYL29" s="25"/>
      <c r="NYS29" s="21"/>
      <c r="NYT29" s="21"/>
      <c r="NYX29" s="15"/>
      <c r="NZD29" s="25"/>
      <c r="NZK29" s="21"/>
      <c r="NZL29" s="21"/>
      <c r="NZP29" s="15"/>
      <c r="NZV29" s="25"/>
      <c r="OAC29" s="21"/>
      <c r="OAD29" s="21"/>
      <c r="OAH29" s="15"/>
      <c r="OAN29" s="25"/>
      <c r="OAU29" s="21"/>
      <c r="OAV29" s="21"/>
      <c r="OAZ29" s="15"/>
      <c r="OBF29" s="25"/>
      <c r="OBM29" s="21"/>
      <c r="OBN29" s="21"/>
      <c r="OBR29" s="15"/>
      <c r="OBX29" s="25"/>
      <c r="OCE29" s="21"/>
      <c r="OCF29" s="21"/>
      <c r="OCJ29" s="15"/>
      <c r="OCP29" s="25"/>
      <c r="OCW29" s="21"/>
      <c r="OCX29" s="21"/>
      <c r="ODB29" s="15"/>
      <c r="ODH29" s="25"/>
      <c r="ODO29" s="21"/>
      <c r="ODP29" s="21"/>
      <c r="ODT29" s="15"/>
      <c r="ODZ29" s="25"/>
      <c r="OEG29" s="21"/>
      <c r="OEH29" s="21"/>
      <c r="OEL29" s="15"/>
      <c r="OER29" s="25"/>
      <c r="OEY29" s="21"/>
      <c r="OEZ29" s="21"/>
      <c r="OFD29" s="15"/>
      <c r="OFJ29" s="25"/>
      <c r="OFQ29" s="21"/>
      <c r="OFR29" s="21"/>
      <c r="OFV29" s="15"/>
      <c r="OGB29" s="25"/>
      <c r="OGI29" s="21"/>
      <c r="OGJ29" s="21"/>
      <c r="OGN29" s="15"/>
      <c r="OGT29" s="25"/>
      <c r="OHA29" s="21"/>
      <c r="OHB29" s="21"/>
      <c r="OHF29" s="15"/>
      <c r="OHL29" s="25"/>
      <c r="OHS29" s="21"/>
      <c r="OHT29" s="21"/>
      <c r="OHX29" s="15"/>
      <c r="OID29" s="25"/>
      <c r="OIK29" s="21"/>
      <c r="OIL29" s="21"/>
      <c r="OIP29" s="15"/>
      <c r="OIV29" s="25"/>
      <c r="OJC29" s="21"/>
      <c r="OJD29" s="21"/>
      <c r="OJH29" s="15"/>
      <c r="OJN29" s="25"/>
      <c r="OJU29" s="21"/>
      <c r="OJV29" s="21"/>
      <c r="OJZ29" s="15"/>
      <c r="OKF29" s="25"/>
      <c r="OKM29" s="21"/>
      <c r="OKN29" s="21"/>
      <c r="OKR29" s="15"/>
      <c r="OKX29" s="25"/>
      <c r="OLE29" s="21"/>
      <c r="OLF29" s="21"/>
      <c r="OLJ29" s="15"/>
      <c r="OLP29" s="25"/>
      <c r="OLW29" s="21"/>
      <c r="OLX29" s="21"/>
      <c r="OMB29" s="15"/>
      <c r="OMH29" s="25"/>
      <c r="OMO29" s="21"/>
      <c r="OMP29" s="21"/>
      <c r="OMT29" s="15"/>
      <c r="OMZ29" s="25"/>
      <c r="ONG29" s="21"/>
      <c r="ONH29" s="21"/>
      <c r="ONL29" s="15"/>
      <c r="ONR29" s="25"/>
      <c r="ONY29" s="21"/>
      <c r="ONZ29" s="21"/>
      <c r="OOD29" s="15"/>
      <c r="OOJ29" s="25"/>
      <c r="OOQ29" s="21"/>
      <c r="OOR29" s="21"/>
      <c r="OOV29" s="15"/>
      <c r="OPB29" s="25"/>
      <c r="OPI29" s="21"/>
      <c r="OPJ29" s="21"/>
      <c r="OPN29" s="15"/>
      <c r="OPT29" s="25"/>
      <c r="OQA29" s="21"/>
      <c r="OQB29" s="21"/>
      <c r="OQF29" s="15"/>
      <c r="OQL29" s="25"/>
      <c r="OQS29" s="21"/>
      <c r="OQT29" s="21"/>
      <c r="OQX29" s="15"/>
      <c r="ORD29" s="25"/>
      <c r="ORK29" s="21"/>
      <c r="ORL29" s="21"/>
      <c r="ORP29" s="15"/>
      <c r="ORV29" s="25"/>
      <c r="OSC29" s="21"/>
      <c r="OSD29" s="21"/>
      <c r="OSH29" s="15"/>
      <c r="OSN29" s="25"/>
      <c r="OSU29" s="21"/>
      <c r="OSV29" s="21"/>
      <c r="OSZ29" s="15"/>
      <c r="OTF29" s="25"/>
      <c r="OTM29" s="21"/>
      <c r="OTN29" s="21"/>
      <c r="OTR29" s="15"/>
      <c r="OTX29" s="25"/>
      <c r="OUE29" s="21"/>
      <c r="OUF29" s="21"/>
      <c r="OUJ29" s="15"/>
      <c r="OUP29" s="25"/>
      <c r="OUW29" s="21"/>
      <c r="OUX29" s="21"/>
      <c r="OVB29" s="15"/>
      <c r="OVH29" s="25"/>
      <c r="OVO29" s="21"/>
      <c r="OVP29" s="21"/>
      <c r="OVT29" s="15"/>
      <c r="OVZ29" s="25"/>
      <c r="OWG29" s="21"/>
      <c r="OWH29" s="21"/>
      <c r="OWL29" s="15"/>
      <c r="OWR29" s="25"/>
      <c r="OWY29" s="21"/>
      <c r="OWZ29" s="21"/>
      <c r="OXD29" s="15"/>
      <c r="OXJ29" s="25"/>
      <c r="OXQ29" s="21"/>
      <c r="OXR29" s="21"/>
      <c r="OXV29" s="15"/>
      <c r="OYB29" s="25"/>
      <c r="OYI29" s="21"/>
      <c r="OYJ29" s="21"/>
      <c r="OYN29" s="15"/>
      <c r="OYT29" s="25"/>
      <c r="OZA29" s="21"/>
      <c r="OZB29" s="21"/>
      <c r="OZF29" s="15"/>
      <c r="OZL29" s="25"/>
      <c r="OZS29" s="21"/>
      <c r="OZT29" s="21"/>
      <c r="OZX29" s="15"/>
      <c r="PAD29" s="25"/>
      <c r="PAK29" s="21"/>
      <c r="PAL29" s="21"/>
      <c r="PAP29" s="15"/>
      <c r="PAV29" s="25"/>
      <c r="PBC29" s="21"/>
      <c r="PBD29" s="21"/>
      <c r="PBH29" s="15"/>
      <c r="PBN29" s="25"/>
      <c r="PBU29" s="21"/>
      <c r="PBV29" s="21"/>
      <c r="PBZ29" s="15"/>
      <c r="PCF29" s="25"/>
      <c r="PCM29" s="21"/>
      <c r="PCN29" s="21"/>
      <c r="PCR29" s="15"/>
      <c r="PCX29" s="25"/>
      <c r="PDE29" s="21"/>
      <c r="PDF29" s="21"/>
      <c r="PDJ29" s="15"/>
      <c r="PDP29" s="25"/>
      <c r="PDW29" s="21"/>
      <c r="PDX29" s="21"/>
      <c r="PEB29" s="15"/>
      <c r="PEH29" s="25"/>
      <c r="PEO29" s="21"/>
      <c r="PEP29" s="21"/>
      <c r="PET29" s="15"/>
      <c r="PEZ29" s="25"/>
      <c r="PFG29" s="21"/>
      <c r="PFH29" s="21"/>
      <c r="PFL29" s="15"/>
      <c r="PFR29" s="25"/>
      <c r="PFY29" s="21"/>
      <c r="PFZ29" s="21"/>
      <c r="PGD29" s="15"/>
      <c r="PGJ29" s="25"/>
      <c r="PGQ29" s="21"/>
      <c r="PGR29" s="21"/>
      <c r="PGV29" s="15"/>
      <c r="PHB29" s="25"/>
      <c r="PHI29" s="21"/>
      <c r="PHJ29" s="21"/>
      <c r="PHN29" s="15"/>
      <c r="PHT29" s="25"/>
      <c r="PIA29" s="21"/>
      <c r="PIB29" s="21"/>
      <c r="PIF29" s="15"/>
      <c r="PIL29" s="25"/>
      <c r="PIS29" s="21"/>
      <c r="PIT29" s="21"/>
      <c r="PIX29" s="15"/>
      <c r="PJD29" s="25"/>
      <c r="PJK29" s="21"/>
      <c r="PJL29" s="21"/>
      <c r="PJP29" s="15"/>
      <c r="PJV29" s="25"/>
      <c r="PKC29" s="21"/>
      <c r="PKD29" s="21"/>
      <c r="PKH29" s="15"/>
      <c r="PKN29" s="25"/>
      <c r="PKU29" s="21"/>
      <c r="PKV29" s="21"/>
      <c r="PKZ29" s="15"/>
      <c r="PLF29" s="25"/>
      <c r="PLM29" s="21"/>
      <c r="PLN29" s="21"/>
      <c r="PLR29" s="15"/>
      <c r="PLX29" s="25"/>
      <c r="PME29" s="21"/>
      <c r="PMF29" s="21"/>
      <c r="PMJ29" s="15"/>
      <c r="PMP29" s="25"/>
      <c r="PMW29" s="21"/>
      <c r="PMX29" s="21"/>
      <c r="PNB29" s="15"/>
      <c r="PNH29" s="25"/>
      <c r="PNO29" s="21"/>
      <c r="PNP29" s="21"/>
      <c r="PNT29" s="15"/>
      <c r="PNZ29" s="25"/>
      <c r="POG29" s="21"/>
      <c r="POH29" s="21"/>
      <c r="POL29" s="15"/>
      <c r="POR29" s="25"/>
      <c r="POY29" s="21"/>
      <c r="POZ29" s="21"/>
      <c r="PPD29" s="15"/>
      <c r="PPJ29" s="25"/>
      <c r="PPQ29" s="21"/>
      <c r="PPR29" s="21"/>
      <c r="PPV29" s="15"/>
      <c r="PQB29" s="25"/>
      <c r="PQI29" s="21"/>
      <c r="PQJ29" s="21"/>
      <c r="PQN29" s="15"/>
      <c r="PQT29" s="25"/>
      <c r="PRA29" s="21"/>
      <c r="PRB29" s="21"/>
      <c r="PRF29" s="15"/>
      <c r="PRL29" s="25"/>
      <c r="PRS29" s="21"/>
      <c r="PRT29" s="21"/>
      <c r="PRX29" s="15"/>
      <c r="PSD29" s="25"/>
      <c r="PSK29" s="21"/>
      <c r="PSL29" s="21"/>
      <c r="PSP29" s="15"/>
      <c r="PSV29" s="25"/>
      <c r="PTC29" s="21"/>
      <c r="PTD29" s="21"/>
      <c r="PTH29" s="15"/>
      <c r="PTN29" s="25"/>
      <c r="PTU29" s="21"/>
      <c r="PTV29" s="21"/>
      <c r="PTZ29" s="15"/>
      <c r="PUF29" s="25"/>
      <c r="PUM29" s="21"/>
      <c r="PUN29" s="21"/>
      <c r="PUR29" s="15"/>
      <c r="PUX29" s="25"/>
      <c r="PVE29" s="21"/>
      <c r="PVF29" s="21"/>
      <c r="PVJ29" s="15"/>
      <c r="PVP29" s="25"/>
      <c r="PVW29" s="21"/>
      <c r="PVX29" s="21"/>
      <c r="PWB29" s="15"/>
      <c r="PWH29" s="25"/>
      <c r="PWO29" s="21"/>
      <c r="PWP29" s="21"/>
      <c r="PWT29" s="15"/>
      <c r="PWZ29" s="25"/>
      <c r="PXG29" s="21"/>
      <c r="PXH29" s="21"/>
      <c r="PXL29" s="15"/>
      <c r="PXR29" s="25"/>
      <c r="PXY29" s="21"/>
      <c r="PXZ29" s="21"/>
      <c r="PYD29" s="15"/>
      <c r="PYJ29" s="25"/>
      <c r="PYQ29" s="21"/>
      <c r="PYR29" s="21"/>
      <c r="PYV29" s="15"/>
      <c r="PZB29" s="25"/>
      <c r="PZI29" s="21"/>
      <c r="PZJ29" s="21"/>
      <c r="PZN29" s="15"/>
      <c r="PZT29" s="25"/>
      <c r="QAA29" s="21"/>
      <c r="QAB29" s="21"/>
      <c r="QAF29" s="15"/>
      <c r="QAL29" s="25"/>
      <c r="QAS29" s="21"/>
      <c r="QAT29" s="21"/>
      <c r="QAX29" s="15"/>
      <c r="QBD29" s="25"/>
      <c r="QBK29" s="21"/>
      <c r="QBL29" s="21"/>
      <c r="QBP29" s="15"/>
      <c r="QBV29" s="25"/>
      <c r="QCC29" s="21"/>
      <c r="QCD29" s="21"/>
      <c r="QCH29" s="15"/>
      <c r="QCN29" s="25"/>
      <c r="QCU29" s="21"/>
      <c r="QCV29" s="21"/>
      <c r="QCZ29" s="15"/>
      <c r="QDF29" s="25"/>
      <c r="QDM29" s="21"/>
      <c r="QDN29" s="21"/>
      <c r="QDR29" s="15"/>
      <c r="QDX29" s="25"/>
      <c r="QEE29" s="21"/>
      <c r="QEF29" s="21"/>
      <c r="QEJ29" s="15"/>
      <c r="QEP29" s="25"/>
      <c r="QEW29" s="21"/>
      <c r="QEX29" s="21"/>
      <c r="QFB29" s="15"/>
      <c r="QFH29" s="25"/>
      <c r="QFO29" s="21"/>
      <c r="QFP29" s="21"/>
      <c r="QFT29" s="15"/>
      <c r="QFZ29" s="25"/>
      <c r="QGG29" s="21"/>
      <c r="QGH29" s="21"/>
      <c r="QGL29" s="15"/>
      <c r="QGR29" s="25"/>
      <c r="QGY29" s="21"/>
      <c r="QGZ29" s="21"/>
      <c r="QHD29" s="15"/>
      <c r="QHJ29" s="25"/>
      <c r="QHQ29" s="21"/>
      <c r="QHR29" s="21"/>
      <c r="QHV29" s="15"/>
      <c r="QIB29" s="25"/>
      <c r="QII29" s="21"/>
      <c r="QIJ29" s="21"/>
      <c r="QIN29" s="15"/>
      <c r="QIT29" s="25"/>
      <c r="QJA29" s="21"/>
      <c r="QJB29" s="21"/>
      <c r="QJF29" s="15"/>
      <c r="QJL29" s="25"/>
      <c r="QJS29" s="21"/>
      <c r="QJT29" s="21"/>
      <c r="QJX29" s="15"/>
      <c r="QKD29" s="25"/>
      <c r="QKK29" s="21"/>
      <c r="QKL29" s="21"/>
      <c r="QKP29" s="15"/>
      <c r="QKV29" s="25"/>
      <c r="QLC29" s="21"/>
      <c r="QLD29" s="21"/>
      <c r="QLH29" s="15"/>
      <c r="QLN29" s="25"/>
      <c r="QLU29" s="21"/>
      <c r="QLV29" s="21"/>
      <c r="QLZ29" s="15"/>
      <c r="QMF29" s="25"/>
      <c r="QMM29" s="21"/>
      <c r="QMN29" s="21"/>
      <c r="QMR29" s="15"/>
      <c r="QMX29" s="25"/>
      <c r="QNE29" s="21"/>
      <c r="QNF29" s="21"/>
      <c r="QNJ29" s="15"/>
      <c r="QNP29" s="25"/>
      <c r="QNW29" s="21"/>
      <c r="QNX29" s="21"/>
      <c r="QOB29" s="15"/>
      <c r="QOH29" s="25"/>
      <c r="QOO29" s="21"/>
      <c r="QOP29" s="21"/>
      <c r="QOT29" s="15"/>
      <c r="QOZ29" s="25"/>
      <c r="QPG29" s="21"/>
      <c r="QPH29" s="21"/>
      <c r="QPL29" s="15"/>
      <c r="QPR29" s="25"/>
      <c r="QPY29" s="21"/>
      <c r="QPZ29" s="21"/>
      <c r="QQD29" s="15"/>
      <c r="QQJ29" s="25"/>
      <c r="QQQ29" s="21"/>
      <c r="QQR29" s="21"/>
      <c r="QQV29" s="15"/>
      <c r="QRB29" s="25"/>
      <c r="QRI29" s="21"/>
      <c r="QRJ29" s="21"/>
      <c r="QRN29" s="15"/>
      <c r="QRT29" s="25"/>
      <c r="QSA29" s="21"/>
      <c r="QSB29" s="21"/>
      <c r="QSF29" s="15"/>
      <c r="QSL29" s="25"/>
      <c r="QSS29" s="21"/>
      <c r="QST29" s="21"/>
      <c r="QSX29" s="15"/>
      <c r="QTD29" s="25"/>
      <c r="QTK29" s="21"/>
      <c r="QTL29" s="21"/>
      <c r="QTP29" s="15"/>
      <c r="QTV29" s="25"/>
      <c r="QUC29" s="21"/>
      <c r="QUD29" s="21"/>
      <c r="QUH29" s="15"/>
      <c r="QUN29" s="25"/>
      <c r="QUU29" s="21"/>
      <c r="QUV29" s="21"/>
      <c r="QUZ29" s="15"/>
      <c r="QVF29" s="25"/>
      <c r="QVM29" s="21"/>
      <c r="QVN29" s="21"/>
      <c r="QVR29" s="15"/>
      <c r="QVX29" s="25"/>
      <c r="QWE29" s="21"/>
      <c r="QWF29" s="21"/>
      <c r="QWJ29" s="15"/>
      <c r="QWP29" s="25"/>
      <c r="QWW29" s="21"/>
      <c r="QWX29" s="21"/>
      <c r="QXB29" s="15"/>
      <c r="QXH29" s="25"/>
      <c r="QXO29" s="21"/>
      <c r="QXP29" s="21"/>
      <c r="QXT29" s="15"/>
      <c r="QXZ29" s="25"/>
      <c r="QYG29" s="21"/>
      <c r="QYH29" s="21"/>
      <c r="QYL29" s="15"/>
      <c r="QYR29" s="25"/>
      <c r="QYY29" s="21"/>
      <c r="QYZ29" s="21"/>
      <c r="QZD29" s="15"/>
      <c r="QZJ29" s="25"/>
      <c r="QZQ29" s="21"/>
      <c r="QZR29" s="21"/>
      <c r="QZV29" s="15"/>
      <c r="RAB29" s="25"/>
      <c r="RAI29" s="21"/>
      <c r="RAJ29" s="21"/>
      <c r="RAN29" s="15"/>
      <c r="RAT29" s="25"/>
      <c r="RBA29" s="21"/>
      <c r="RBB29" s="21"/>
      <c r="RBF29" s="15"/>
      <c r="RBL29" s="25"/>
      <c r="RBS29" s="21"/>
      <c r="RBT29" s="21"/>
      <c r="RBX29" s="15"/>
      <c r="RCD29" s="25"/>
      <c r="RCK29" s="21"/>
      <c r="RCL29" s="21"/>
      <c r="RCP29" s="15"/>
      <c r="RCV29" s="25"/>
      <c r="RDC29" s="21"/>
      <c r="RDD29" s="21"/>
      <c r="RDH29" s="15"/>
      <c r="RDN29" s="25"/>
      <c r="RDU29" s="21"/>
      <c r="RDV29" s="21"/>
      <c r="RDZ29" s="15"/>
      <c r="REF29" s="25"/>
      <c r="REM29" s="21"/>
      <c r="REN29" s="21"/>
      <c r="RER29" s="15"/>
      <c r="REX29" s="25"/>
      <c r="RFE29" s="21"/>
      <c r="RFF29" s="21"/>
      <c r="RFJ29" s="15"/>
      <c r="RFP29" s="25"/>
      <c r="RFW29" s="21"/>
      <c r="RFX29" s="21"/>
      <c r="RGB29" s="15"/>
      <c r="RGH29" s="25"/>
      <c r="RGO29" s="21"/>
      <c r="RGP29" s="21"/>
      <c r="RGT29" s="15"/>
      <c r="RGZ29" s="25"/>
      <c r="RHG29" s="21"/>
      <c r="RHH29" s="21"/>
      <c r="RHL29" s="15"/>
      <c r="RHR29" s="25"/>
      <c r="RHY29" s="21"/>
      <c r="RHZ29" s="21"/>
      <c r="RID29" s="15"/>
      <c r="RIJ29" s="25"/>
      <c r="RIQ29" s="21"/>
      <c r="RIR29" s="21"/>
      <c r="RIV29" s="15"/>
      <c r="RJB29" s="25"/>
      <c r="RJI29" s="21"/>
      <c r="RJJ29" s="21"/>
      <c r="RJN29" s="15"/>
      <c r="RJT29" s="25"/>
      <c r="RKA29" s="21"/>
      <c r="RKB29" s="21"/>
      <c r="RKF29" s="15"/>
      <c r="RKL29" s="25"/>
      <c r="RKS29" s="21"/>
      <c r="RKT29" s="21"/>
      <c r="RKX29" s="15"/>
      <c r="RLD29" s="25"/>
      <c r="RLK29" s="21"/>
      <c r="RLL29" s="21"/>
      <c r="RLP29" s="15"/>
      <c r="RLV29" s="25"/>
      <c r="RMC29" s="21"/>
      <c r="RMD29" s="21"/>
      <c r="RMH29" s="15"/>
      <c r="RMN29" s="25"/>
      <c r="RMU29" s="21"/>
      <c r="RMV29" s="21"/>
      <c r="RMZ29" s="15"/>
      <c r="RNF29" s="25"/>
      <c r="RNM29" s="21"/>
      <c r="RNN29" s="21"/>
      <c r="RNR29" s="15"/>
      <c r="RNX29" s="25"/>
      <c r="ROE29" s="21"/>
      <c r="ROF29" s="21"/>
      <c r="ROJ29" s="15"/>
      <c r="ROP29" s="25"/>
      <c r="ROW29" s="21"/>
      <c r="ROX29" s="21"/>
      <c r="RPB29" s="15"/>
      <c r="RPH29" s="25"/>
      <c r="RPO29" s="21"/>
      <c r="RPP29" s="21"/>
      <c r="RPT29" s="15"/>
      <c r="RPZ29" s="25"/>
      <c r="RQG29" s="21"/>
      <c r="RQH29" s="21"/>
      <c r="RQL29" s="15"/>
      <c r="RQR29" s="25"/>
      <c r="RQY29" s="21"/>
      <c r="RQZ29" s="21"/>
      <c r="RRD29" s="15"/>
      <c r="RRJ29" s="25"/>
      <c r="RRQ29" s="21"/>
      <c r="RRR29" s="21"/>
      <c r="RRV29" s="15"/>
      <c r="RSB29" s="25"/>
      <c r="RSI29" s="21"/>
      <c r="RSJ29" s="21"/>
      <c r="RSN29" s="15"/>
      <c r="RST29" s="25"/>
      <c r="RTA29" s="21"/>
      <c r="RTB29" s="21"/>
      <c r="RTF29" s="15"/>
      <c r="RTL29" s="25"/>
      <c r="RTS29" s="21"/>
      <c r="RTT29" s="21"/>
      <c r="RTX29" s="15"/>
      <c r="RUD29" s="25"/>
      <c r="RUK29" s="21"/>
      <c r="RUL29" s="21"/>
      <c r="RUP29" s="15"/>
      <c r="RUV29" s="25"/>
      <c r="RVC29" s="21"/>
      <c r="RVD29" s="21"/>
      <c r="RVH29" s="15"/>
      <c r="RVN29" s="25"/>
      <c r="RVU29" s="21"/>
      <c r="RVV29" s="21"/>
      <c r="RVZ29" s="15"/>
      <c r="RWF29" s="25"/>
      <c r="RWM29" s="21"/>
      <c r="RWN29" s="21"/>
      <c r="RWR29" s="15"/>
      <c r="RWX29" s="25"/>
      <c r="RXE29" s="21"/>
      <c r="RXF29" s="21"/>
      <c r="RXJ29" s="15"/>
      <c r="RXP29" s="25"/>
      <c r="RXW29" s="21"/>
      <c r="RXX29" s="21"/>
      <c r="RYB29" s="15"/>
      <c r="RYH29" s="25"/>
      <c r="RYO29" s="21"/>
      <c r="RYP29" s="21"/>
      <c r="RYT29" s="15"/>
      <c r="RYZ29" s="25"/>
      <c r="RZG29" s="21"/>
      <c r="RZH29" s="21"/>
      <c r="RZL29" s="15"/>
      <c r="RZR29" s="25"/>
      <c r="RZY29" s="21"/>
      <c r="RZZ29" s="21"/>
      <c r="SAD29" s="15"/>
      <c r="SAJ29" s="25"/>
      <c r="SAQ29" s="21"/>
      <c r="SAR29" s="21"/>
      <c r="SAV29" s="15"/>
      <c r="SBB29" s="25"/>
      <c r="SBI29" s="21"/>
      <c r="SBJ29" s="21"/>
      <c r="SBN29" s="15"/>
      <c r="SBT29" s="25"/>
      <c r="SCA29" s="21"/>
      <c r="SCB29" s="21"/>
      <c r="SCF29" s="15"/>
      <c r="SCL29" s="25"/>
      <c r="SCS29" s="21"/>
      <c r="SCT29" s="21"/>
      <c r="SCX29" s="15"/>
      <c r="SDD29" s="25"/>
      <c r="SDK29" s="21"/>
      <c r="SDL29" s="21"/>
      <c r="SDP29" s="15"/>
      <c r="SDV29" s="25"/>
      <c r="SEC29" s="21"/>
      <c r="SED29" s="21"/>
      <c r="SEH29" s="15"/>
      <c r="SEN29" s="25"/>
      <c r="SEU29" s="21"/>
      <c r="SEV29" s="21"/>
      <c r="SEZ29" s="15"/>
      <c r="SFF29" s="25"/>
      <c r="SFM29" s="21"/>
      <c r="SFN29" s="21"/>
      <c r="SFR29" s="15"/>
      <c r="SFX29" s="25"/>
      <c r="SGE29" s="21"/>
      <c r="SGF29" s="21"/>
      <c r="SGJ29" s="15"/>
      <c r="SGP29" s="25"/>
      <c r="SGW29" s="21"/>
      <c r="SGX29" s="21"/>
      <c r="SHB29" s="15"/>
      <c r="SHH29" s="25"/>
      <c r="SHO29" s="21"/>
      <c r="SHP29" s="21"/>
      <c r="SHT29" s="15"/>
      <c r="SHZ29" s="25"/>
      <c r="SIG29" s="21"/>
      <c r="SIH29" s="21"/>
      <c r="SIL29" s="15"/>
      <c r="SIR29" s="25"/>
      <c r="SIY29" s="21"/>
      <c r="SIZ29" s="21"/>
      <c r="SJD29" s="15"/>
      <c r="SJJ29" s="25"/>
      <c r="SJQ29" s="21"/>
      <c r="SJR29" s="21"/>
      <c r="SJV29" s="15"/>
      <c r="SKB29" s="25"/>
      <c r="SKI29" s="21"/>
      <c r="SKJ29" s="21"/>
      <c r="SKN29" s="15"/>
      <c r="SKT29" s="25"/>
      <c r="SLA29" s="21"/>
      <c r="SLB29" s="21"/>
      <c r="SLF29" s="15"/>
      <c r="SLL29" s="25"/>
      <c r="SLS29" s="21"/>
      <c r="SLT29" s="21"/>
      <c r="SLX29" s="15"/>
      <c r="SMD29" s="25"/>
      <c r="SMK29" s="21"/>
      <c r="SML29" s="21"/>
      <c r="SMP29" s="15"/>
      <c r="SMV29" s="25"/>
      <c r="SNC29" s="21"/>
      <c r="SND29" s="21"/>
      <c r="SNH29" s="15"/>
      <c r="SNN29" s="25"/>
      <c r="SNU29" s="21"/>
      <c r="SNV29" s="21"/>
      <c r="SNZ29" s="15"/>
      <c r="SOF29" s="25"/>
      <c r="SOM29" s="21"/>
      <c r="SON29" s="21"/>
      <c r="SOR29" s="15"/>
      <c r="SOX29" s="25"/>
      <c r="SPE29" s="21"/>
      <c r="SPF29" s="21"/>
      <c r="SPJ29" s="15"/>
      <c r="SPP29" s="25"/>
      <c r="SPW29" s="21"/>
      <c r="SPX29" s="21"/>
      <c r="SQB29" s="15"/>
      <c r="SQH29" s="25"/>
      <c r="SQO29" s="21"/>
      <c r="SQP29" s="21"/>
      <c r="SQT29" s="15"/>
      <c r="SQZ29" s="25"/>
      <c r="SRG29" s="21"/>
      <c r="SRH29" s="21"/>
      <c r="SRL29" s="15"/>
      <c r="SRR29" s="25"/>
      <c r="SRY29" s="21"/>
      <c r="SRZ29" s="21"/>
      <c r="SSD29" s="15"/>
      <c r="SSJ29" s="25"/>
      <c r="SSQ29" s="21"/>
      <c r="SSR29" s="21"/>
      <c r="SSV29" s="15"/>
      <c r="STB29" s="25"/>
      <c r="STI29" s="21"/>
      <c r="STJ29" s="21"/>
      <c r="STN29" s="15"/>
      <c r="STT29" s="25"/>
      <c r="SUA29" s="21"/>
      <c r="SUB29" s="21"/>
      <c r="SUF29" s="15"/>
      <c r="SUL29" s="25"/>
      <c r="SUS29" s="21"/>
      <c r="SUT29" s="21"/>
      <c r="SUX29" s="15"/>
      <c r="SVD29" s="25"/>
      <c r="SVK29" s="21"/>
      <c r="SVL29" s="21"/>
      <c r="SVP29" s="15"/>
      <c r="SVV29" s="25"/>
      <c r="SWC29" s="21"/>
      <c r="SWD29" s="21"/>
      <c r="SWH29" s="15"/>
      <c r="SWN29" s="25"/>
      <c r="SWU29" s="21"/>
      <c r="SWV29" s="21"/>
      <c r="SWZ29" s="15"/>
      <c r="SXF29" s="25"/>
      <c r="SXM29" s="21"/>
      <c r="SXN29" s="21"/>
      <c r="SXR29" s="15"/>
      <c r="SXX29" s="25"/>
      <c r="SYE29" s="21"/>
      <c r="SYF29" s="21"/>
      <c r="SYJ29" s="15"/>
      <c r="SYP29" s="25"/>
      <c r="SYW29" s="21"/>
      <c r="SYX29" s="21"/>
      <c r="SZB29" s="15"/>
      <c r="SZH29" s="25"/>
      <c r="SZO29" s="21"/>
      <c r="SZP29" s="21"/>
      <c r="SZT29" s="15"/>
      <c r="SZZ29" s="25"/>
      <c r="TAG29" s="21"/>
      <c r="TAH29" s="21"/>
      <c r="TAL29" s="15"/>
      <c r="TAR29" s="25"/>
      <c r="TAY29" s="21"/>
      <c r="TAZ29" s="21"/>
      <c r="TBD29" s="15"/>
      <c r="TBJ29" s="25"/>
      <c r="TBQ29" s="21"/>
      <c r="TBR29" s="21"/>
      <c r="TBV29" s="15"/>
      <c r="TCB29" s="25"/>
      <c r="TCI29" s="21"/>
      <c r="TCJ29" s="21"/>
      <c r="TCN29" s="15"/>
      <c r="TCT29" s="25"/>
      <c r="TDA29" s="21"/>
      <c r="TDB29" s="21"/>
      <c r="TDF29" s="15"/>
      <c r="TDL29" s="25"/>
      <c r="TDS29" s="21"/>
      <c r="TDT29" s="21"/>
      <c r="TDX29" s="15"/>
      <c r="TED29" s="25"/>
      <c r="TEK29" s="21"/>
      <c r="TEL29" s="21"/>
      <c r="TEP29" s="15"/>
      <c r="TEV29" s="25"/>
      <c r="TFC29" s="21"/>
      <c r="TFD29" s="21"/>
      <c r="TFH29" s="15"/>
      <c r="TFN29" s="25"/>
      <c r="TFU29" s="21"/>
      <c r="TFV29" s="21"/>
      <c r="TFZ29" s="15"/>
      <c r="TGF29" s="25"/>
      <c r="TGM29" s="21"/>
      <c r="TGN29" s="21"/>
      <c r="TGR29" s="15"/>
      <c r="TGX29" s="25"/>
      <c r="THE29" s="21"/>
      <c r="THF29" s="21"/>
      <c r="THJ29" s="15"/>
      <c r="THP29" s="25"/>
      <c r="THW29" s="21"/>
      <c r="THX29" s="21"/>
      <c r="TIB29" s="15"/>
      <c r="TIH29" s="25"/>
      <c r="TIO29" s="21"/>
      <c r="TIP29" s="21"/>
      <c r="TIT29" s="15"/>
      <c r="TIZ29" s="25"/>
      <c r="TJG29" s="21"/>
      <c r="TJH29" s="21"/>
      <c r="TJL29" s="15"/>
      <c r="TJR29" s="25"/>
      <c r="TJY29" s="21"/>
      <c r="TJZ29" s="21"/>
      <c r="TKD29" s="15"/>
      <c r="TKJ29" s="25"/>
      <c r="TKQ29" s="21"/>
      <c r="TKR29" s="21"/>
      <c r="TKV29" s="15"/>
      <c r="TLB29" s="25"/>
      <c r="TLI29" s="21"/>
      <c r="TLJ29" s="21"/>
      <c r="TLN29" s="15"/>
      <c r="TLT29" s="25"/>
      <c r="TMA29" s="21"/>
      <c r="TMB29" s="21"/>
      <c r="TMF29" s="15"/>
      <c r="TML29" s="25"/>
      <c r="TMS29" s="21"/>
      <c r="TMT29" s="21"/>
      <c r="TMX29" s="15"/>
      <c r="TND29" s="25"/>
      <c r="TNK29" s="21"/>
      <c r="TNL29" s="21"/>
      <c r="TNP29" s="15"/>
      <c r="TNV29" s="25"/>
      <c r="TOC29" s="21"/>
      <c r="TOD29" s="21"/>
      <c r="TOH29" s="15"/>
      <c r="TON29" s="25"/>
      <c r="TOU29" s="21"/>
      <c r="TOV29" s="21"/>
      <c r="TOZ29" s="15"/>
      <c r="TPF29" s="25"/>
      <c r="TPM29" s="21"/>
      <c r="TPN29" s="21"/>
      <c r="TPR29" s="15"/>
      <c r="TPX29" s="25"/>
      <c r="TQE29" s="21"/>
      <c r="TQF29" s="21"/>
      <c r="TQJ29" s="15"/>
      <c r="TQP29" s="25"/>
      <c r="TQW29" s="21"/>
      <c r="TQX29" s="21"/>
      <c r="TRB29" s="15"/>
      <c r="TRH29" s="25"/>
      <c r="TRO29" s="21"/>
      <c r="TRP29" s="21"/>
      <c r="TRT29" s="15"/>
      <c r="TRZ29" s="25"/>
      <c r="TSG29" s="21"/>
      <c r="TSH29" s="21"/>
      <c r="TSL29" s="15"/>
      <c r="TSR29" s="25"/>
      <c r="TSY29" s="21"/>
      <c r="TSZ29" s="21"/>
      <c r="TTD29" s="15"/>
      <c r="TTJ29" s="25"/>
      <c r="TTQ29" s="21"/>
      <c r="TTR29" s="21"/>
      <c r="TTV29" s="15"/>
      <c r="TUB29" s="25"/>
      <c r="TUI29" s="21"/>
      <c r="TUJ29" s="21"/>
      <c r="TUN29" s="15"/>
      <c r="TUT29" s="25"/>
      <c r="TVA29" s="21"/>
      <c r="TVB29" s="21"/>
      <c r="TVF29" s="15"/>
      <c r="TVL29" s="25"/>
      <c r="TVS29" s="21"/>
      <c r="TVT29" s="21"/>
      <c r="TVX29" s="15"/>
      <c r="TWD29" s="25"/>
      <c r="TWK29" s="21"/>
      <c r="TWL29" s="21"/>
      <c r="TWP29" s="15"/>
      <c r="TWV29" s="25"/>
      <c r="TXC29" s="21"/>
      <c r="TXD29" s="21"/>
      <c r="TXH29" s="15"/>
      <c r="TXN29" s="25"/>
      <c r="TXU29" s="21"/>
      <c r="TXV29" s="21"/>
      <c r="TXZ29" s="15"/>
      <c r="TYF29" s="25"/>
      <c r="TYM29" s="21"/>
      <c r="TYN29" s="21"/>
      <c r="TYR29" s="15"/>
      <c r="TYX29" s="25"/>
      <c r="TZE29" s="21"/>
      <c r="TZF29" s="21"/>
      <c r="TZJ29" s="15"/>
      <c r="TZP29" s="25"/>
      <c r="TZW29" s="21"/>
      <c r="TZX29" s="21"/>
      <c r="UAB29" s="15"/>
      <c r="UAH29" s="25"/>
      <c r="UAO29" s="21"/>
      <c r="UAP29" s="21"/>
      <c r="UAT29" s="15"/>
      <c r="UAZ29" s="25"/>
      <c r="UBG29" s="21"/>
      <c r="UBH29" s="21"/>
      <c r="UBL29" s="15"/>
      <c r="UBR29" s="25"/>
      <c r="UBY29" s="21"/>
      <c r="UBZ29" s="21"/>
      <c r="UCD29" s="15"/>
      <c r="UCJ29" s="25"/>
      <c r="UCQ29" s="21"/>
      <c r="UCR29" s="21"/>
      <c r="UCV29" s="15"/>
      <c r="UDB29" s="25"/>
      <c r="UDI29" s="21"/>
      <c r="UDJ29" s="21"/>
      <c r="UDN29" s="15"/>
      <c r="UDT29" s="25"/>
      <c r="UEA29" s="21"/>
      <c r="UEB29" s="21"/>
      <c r="UEF29" s="15"/>
      <c r="UEL29" s="25"/>
      <c r="UES29" s="21"/>
      <c r="UET29" s="21"/>
      <c r="UEX29" s="15"/>
      <c r="UFD29" s="25"/>
      <c r="UFK29" s="21"/>
      <c r="UFL29" s="21"/>
      <c r="UFP29" s="15"/>
      <c r="UFV29" s="25"/>
      <c r="UGC29" s="21"/>
      <c r="UGD29" s="21"/>
      <c r="UGH29" s="15"/>
      <c r="UGN29" s="25"/>
      <c r="UGU29" s="21"/>
      <c r="UGV29" s="21"/>
      <c r="UGZ29" s="15"/>
      <c r="UHF29" s="25"/>
      <c r="UHM29" s="21"/>
      <c r="UHN29" s="21"/>
      <c r="UHR29" s="15"/>
      <c r="UHX29" s="25"/>
      <c r="UIE29" s="21"/>
      <c r="UIF29" s="21"/>
      <c r="UIJ29" s="15"/>
      <c r="UIP29" s="25"/>
      <c r="UIW29" s="21"/>
      <c r="UIX29" s="21"/>
      <c r="UJB29" s="15"/>
      <c r="UJH29" s="25"/>
      <c r="UJO29" s="21"/>
      <c r="UJP29" s="21"/>
      <c r="UJT29" s="15"/>
      <c r="UJZ29" s="25"/>
      <c r="UKG29" s="21"/>
      <c r="UKH29" s="21"/>
      <c r="UKL29" s="15"/>
      <c r="UKR29" s="25"/>
      <c r="UKY29" s="21"/>
      <c r="UKZ29" s="21"/>
      <c r="ULD29" s="15"/>
      <c r="ULJ29" s="25"/>
      <c r="ULQ29" s="21"/>
      <c r="ULR29" s="21"/>
      <c r="ULV29" s="15"/>
      <c r="UMB29" s="25"/>
      <c r="UMI29" s="21"/>
      <c r="UMJ29" s="21"/>
      <c r="UMN29" s="15"/>
      <c r="UMT29" s="25"/>
      <c r="UNA29" s="21"/>
      <c r="UNB29" s="21"/>
      <c r="UNF29" s="15"/>
      <c r="UNL29" s="25"/>
      <c r="UNS29" s="21"/>
      <c r="UNT29" s="21"/>
      <c r="UNX29" s="15"/>
      <c r="UOD29" s="25"/>
      <c r="UOK29" s="21"/>
      <c r="UOL29" s="21"/>
      <c r="UOP29" s="15"/>
      <c r="UOV29" s="25"/>
      <c r="UPC29" s="21"/>
      <c r="UPD29" s="21"/>
      <c r="UPH29" s="15"/>
      <c r="UPN29" s="25"/>
      <c r="UPU29" s="21"/>
      <c r="UPV29" s="21"/>
      <c r="UPZ29" s="15"/>
      <c r="UQF29" s="25"/>
      <c r="UQM29" s="21"/>
      <c r="UQN29" s="21"/>
      <c r="UQR29" s="15"/>
      <c r="UQX29" s="25"/>
      <c r="URE29" s="21"/>
      <c r="URF29" s="21"/>
      <c r="URJ29" s="15"/>
      <c r="URP29" s="25"/>
      <c r="URW29" s="21"/>
      <c r="URX29" s="21"/>
      <c r="USB29" s="15"/>
      <c r="USH29" s="25"/>
      <c r="USO29" s="21"/>
      <c r="USP29" s="21"/>
      <c r="UST29" s="15"/>
      <c r="USZ29" s="25"/>
      <c r="UTG29" s="21"/>
      <c r="UTH29" s="21"/>
      <c r="UTL29" s="15"/>
      <c r="UTR29" s="25"/>
      <c r="UTY29" s="21"/>
      <c r="UTZ29" s="21"/>
      <c r="UUD29" s="15"/>
      <c r="UUJ29" s="25"/>
      <c r="UUQ29" s="21"/>
      <c r="UUR29" s="21"/>
      <c r="UUV29" s="15"/>
      <c r="UVB29" s="25"/>
      <c r="UVI29" s="21"/>
      <c r="UVJ29" s="21"/>
      <c r="UVN29" s="15"/>
      <c r="UVT29" s="25"/>
      <c r="UWA29" s="21"/>
      <c r="UWB29" s="21"/>
      <c r="UWF29" s="15"/>
      <c r="UWL29" s="25"/>
      <c r="UWS29" s="21"/>
      <c r="UWT29" s="21"/>
      <c r="UWX29" s="15"/>
      <c r="UXD29" s="25"/>
      <c r="UXK29" s="21"/>
      <c r="UXL29" s="21"/>
      <c r="UXP29" s="15"/>
      <c r="UXV29" s="25"/>
      <c r="UYC29" s="21"/>
      <c r="UYD29" s="21"/>
      <c r="UYH29" s="15"/>
      <c r="UYN29" s="25"/>
      <c r="UYU29" s="21"/>
      <c r="UYV29" s="21"/>
      <c r="UYZ29" s="15"/>
      <c r="UZF29" s="25"/>
      <c r="UZM29" s="21"/>
      <c r="UZN29" s="21"/>
      <c r="UZR29" s="15"/>
      <c r="UZX29" s="25"/>
      <c r="VAE29" s="21"/>
      <c r="VAF29" s="21"/>
      <c r="VAJ29" s="15"/>
      <c r="VAP29" s="25"/>
      <c r="VAW29" s="21"/>
      <c r="VAX29" s="21"/>
      <c r="VBB29" s="15"/>
      <c r="VBH29" s="25"/>
      <c r="VBO29" s="21"/>
      <c r="VBP29" s="21"/>
      <c r="VBT29" s="15"/>
      <c r="VBZ29" s="25"/>
      <c r="VCG29" s="21"/>
      <c r="VCH29" s="21"/>
      <c r="VCL29" s="15"/>
      <c r="VCR29" s="25"/>
      <c r="VCY29" s="21"/>
      <c r="VCZ29" s="21"/>
      <c r="VDD29" s="15"/>
      <c r="VDJ29" s="25"/>
      <c r="VDQ29" s="21"/>
      <c r="VDR29" s="21"/>
      <c r="VDV29" s="15"/>
      <c r="VEB29" s="25"/>
      <c r="VEI29" s="21"/>
      <c r="VEJ29" s="21"/>
      <c r="VEN29" s="15"/>
      <c r="VET29" s="25"/>
      <c r="VFA29" s="21"/>
      <c r="VFB29" s="21"/>
      <c r="VFF29" s="15"/>
      <c r="VFL29" s="25"/>
      <c r="VFS29" s="21"/>
      <c r="VFT29" s="21"/>
      <c r="VFX29" s="15"/>
      <c r="VGD29" s="25"/>
      <c r="VGK29" s="21"/>
      <c r="VGL29" s="21"/>
      <c r="VGP29" s="15"/>
      <c r="VGV29" s="25"/>
      <c r="VHC29" s="21"/>
      <c r="VHD29" s="21"/>
      <c r="VHH29" s="15"/>
      <c r="VHN29" s="25"/>
      <c r="VHU29" s="21"/>
      <c r="VHV29" s="21"/>
      <c r="VHZ29" s="15"/>
      <c r="VIF29" s="25"/>
      <c r="VIM29" s="21"/>
      <c r="VIN29" s="21"/>
      <c r="VIR29" s="15"/>
      <c r="VIX29" s="25"/>
      <c r="VJE29" s="21"/>
      <c r="VJF29" s="21"/>
      <c r="VJJ29" s="15"/>
      <c r="VJP29" s="25"/>
      <c r="VJW29" s="21"/>
      <c r="VJX29" s="21"/>
      <c r="VKB29" s="15"/>
      <c r="VKH29" s="25"/>
      <c r="VKO29" s="21"/>
      <c r="VKP29" s="21"/>
      <c r="VKT29" s="15"/>
      <c r="VKZ29" s="25"/>
      <c r="VLG29" s="21"/>
      <c r="VLH29" s="21"/>
      <c r="VLL29" s="15"/>
      <c r="VLR29" s="25"/>
      <c r="VLY29" s="21"/>
      <c r="VLZ29" s="21"/>
      <c r="VMD29" s="15"/>
      <c r="VMJ29" s="25"/>
      <c r="VMQ29" s="21"/>
      <c r="VMR29" s="21"/>
      <c r="VMV29" s="15"/>
      <c r="VNB29" s="25"/>
      <c r="VNI29" s="21"/>
      <c r="VNJ29" s="21"/>
      <c r="VNN29" s="15"/>
      <c r="VNT29" s="25"/>
      <c r="VOA29" s="21"/>
      <c r="VOB29" s="21"/>
      <c r="VOF29" s="15"/>
      <c r="VOL29" s="25"/>
      <c r="VOS29" s="21"/>
      <c r="VOT29" s="21"/>
      <c r="VOX29" s="15"/>
      <c r="VPD29" s="25"/>
      <c r="VPK29" s="21"/>
      <c r="VPL29" s="21"/>
      <c r="VPP29" s="15"/>
      <c r="VPV29" s="25"/>
      <c r="VQC29" s="21"/>
      <c r="VQD29" s="21"/>
      <c r="VQH29" s="15"/>
      <c r="VQN29" s="25"/>
      <c r="VQU29" s="21"/>
      <c r="VQV29" s="21"/>
      <c r="VQZ29" s="15"/>
      <c r="VRF29" s="25"/>
      <c r="VRM29" s="21"/>
      <c r="VRN29" s="21"/>
      <c r="VRR29" s="15"/>
      <c r="VRX29" s="25"/>
      <c r="VSE29" s="21"/>
      <c r="VSF29" s="21"/>
      <c r="VSJ29" s="15"/>
      <c r="VSP29" s="25"/>
      <c r="VSW29" s="21"/>
      <c r="VSX29" s="21"/>
      <c r="VTB29" s="15"/>
      <c r="VTH29" s="25"/>
      <c r="VTO29" s="21"/>
      <c r="VTP29" s="21"/>
      <c r="VTT29" s="15"/>
      <c r="VTZ29" s="25"/>
      <c r="VUG29" s="21"/>
      <c r="VUH29" s="21"/>
      <c r="VUL29" s="15"/>
      <c r="VUR29" s="25"/>
      <c r="VUY29" s="21"/>
      <c r="VUZ29" s="21"/>
      <c r="VVD29" s="15"/>
      <c r="VVJ29" s="25"/>
      <c r="VVQ29" s="21"/>
      <c r="VVR29" s="21"/>
      <c r="VVV29" s="15"/>
      <c r="VWB29" s="25"/>
      <c r="VWI29" s="21"/>
      <c r="VWJ29" s="21"/>
      <c r="VWN29" s="15"/>
      <c r="VWT29" s="25"/>
      <c r="VXA29" s="21"/>
      <c r="VXB29" s="21"/>
      <c r="VXF29" s="15"/>
      <c r="VXL29" s="25"/>
      <c r="VXS29" s="21"/>
      <c r="VXT29" s="21"/>
      <c r="VXX29" s="15"/>
      <c r="VYD29" s="25"/>
      <c r="VYK29" s="21"/>
      <c r="VYL29" s="21"/>
      <c r="VYP29" s="15"/>
      <c r="VYV29" s="25"/>
      <c r="VZC29" s="21"/>
      <c r="VZD29" s="21"/>
      <c r="VZH29" s="15"/>
      <c r="VZN29" s="25"/>
      <c r="VZU29" s="21"/>
      <c r="VZV29" s="21"/>
      <c r="VZZ29" s="15"/>
      <c r="WAF29" s="25"/>
      <c r="WAM29" s="21"/>
      <c r="WAN29" s="21"/>
      <c r="WAR29" s="15"/>
      <c r="WAX29" s="25"/>
      <c r="WBE29" s="21"/>
      <c r="WBF29" s="21"/>
      <c r="WBJ29" s="15"/>
      <c r="WBP29" s="25"/>
      <c r="WBW29" s="21"/>
      <c r="WBX29" s="21"/>
      <c r="WCB29" s="15"/>
      <c r="WCH29" s="25"/>
      <c r="WCO29" s="21"/>
      <c r="WCP29" s="21"/>
      <c r="WCT29" s="15"/>
      <c r="WCZ29" s="25"/>
      <c r="WDG29" s="21"/>
      <c r="WDH29" s="21"/>
      <c r="WDL29" s="15"/>
      <c r="WDR29" s="25"/>
      <c r="WDY29" s="21"/>
      <c r="WDZ29" s="21"/>
      <c r="WED29" s="15"/>
      <c r="WEJ29" s="25"/>
      <c r="WEQ29" s="21"/>
      <c r="WER29" s="21"/>
      <c r="WEV29" s="15"/>
      <c r="WFB29" s="25"/>
      <c r="WFI29" s="21"/>
      <c r="WFJ29" s="21"/>
      <c r="WFN29" s="15"/>
      <c r="WFT29" s="25"/>
      <c r="WGA29" s="21"/>
      <c r="WGB29" s="21"/>
      <c r="WGF29" s="15"/>
      <c r="WGL29" s="25"/>
      <c r="WGS29" s="21"/>
      <c r="WGT29" s="21"/>
      <c r="WGX29" s="15"/>
      <c r="WHD29" s="25"/>
      <c r="WHK29" s="21"/>
      <c r="WHL29" s="21"/>
      <c r="WHP29" s="15"/>
      <c r="WHV29" s="25"/>
      <c r="WIC29" s="21"/>
      <c r="WID29" s="21"/>
      <c r="WIH29" s="15"/>
      <c r="WIN29" s="25"/>
      <c r="WIU29" s="21"/>
      <c r="WIV29" s="21"/>
      <c r="WIZ29" s="15"/>
      <c r="WJF29" s="25"/>
      <c r="WJM29" s="21"/>
      <c r="WJN29" s="21"/>
      <c r="WJR29" s="15"/>
      <c r="WJX29" s="25"/>
      <c r="WKE29" s="21"/>
      <c r="WKF29" s="21"/>
      <c r="WKJ29" s="15"/>
      <c r="WKP29" s="25"/>
      <c r="WKW29" s="21"/>
      <c r="WKX29" s="21"/>
      <c r="WLB29" s="15"/>
      <c r="WLH29" s="25"/>
      <c r="WLO29" s="21"/>
      <c r="WLP29" s="21"/>
      <c r="WLT29" s="15"/>
      <c r="WLZ29" s="25"/>
      <c r="WMG29" s="21"/>
      <c r="WMH29" s="21"/>
      <c r="WML29" s="15"/>
      <c r="WMR29" s="25"/>
      <c r="WMY29" s="21"/>
      <c r="WMZ29" s="21"/>
      <c r="WND29" s="15"/>
      <c r="WNJ29" s="25"/>
      <c r="WNQ29" s="21"/>
      <c r="WNR29" s="21"/>
      <c r="WNV29" s="15"/>
      <c r="WOB29" s="25"/>
      <c r="WOI29" s="21"/>
      <c r="WOJ29" s="21"/>
      <c r="WON29" s="15"/>
      <c r="WOT29" s="25"/>
      <c r="WPA29" s="21"/>
      <c r="WPB29" s="21"/>
      <c r="WPF29" s="15"/>
      <c r="WPL29" s="25"/>
      <c r="WPS29" s="21"/>
      <c r="WPT29" s="21"/>
      <c r="WPX29" s="15"/>
      <c r="WQD29" s="25"/>
      <c r="WQK29" s="21"/>
      <c r="WQL29" s="21"/>
      <c r="WQP29" s="15"/>
      <c r="WQV29" s="25"/>
      <c r="WRC29" s="21"/>
      <c r="WRD29" s="21"/>
      <c r="WRH29" s="15"/>
      <c r="WRN29" s="25"/>
      <c r="WRU29" s="21"/>
      <c r="WRV29" s="21"/>
      <c r="WRZ29" s="15"/>
      <c r="WSF29" s="25"/>
      <c r="WSM29" s="21"/>
      <c r="WSN29" s="21"/>
      <c r="WSR29" s="15"/>
      <c r="WSX29" s="25"/>
      <c r="WTE29" s="21"/>
      <c r="WTF29" s="21"/>
      <c r="WTJ29" s="15"/>
      <c r="WTP29" s="25"/>
      <c r="WTW29" s="21"/>
      <c r="WTX29" s="21"/>
      <c r="WUB29" s="15"/>
      <c r="WUH29" s="25"/>
      <c r="WUO29" s="21"/>
      <c r="WUP29" s="21"/>
      <c r="WUT29" s="15"/>
      <c r="WUZ29" s="25"/>
      <c r="WVG29" s="21"/>
      <c r="WVH29" s="21"/>
      <c r="WVL29" s="15"/>
      <c r="WVR29" s="25"/>
      <c r="WVY29" s="21"/>
      <c r="WVZ29" s="21"/>
      <c r="WWD29" s="15"/>
      <c r="WWJ29" s="25"/>
      <c r="WWQ29" s="21"/>
      <c r="WWR29" s="21"/>
      <c r="WWV29" s="15"/>
      <c r="WXB29" s="25"/>
      <c r="WXI29" s="21"/>
      <c r="WXJ29" s="21"/>
      <c r="WXN29" s="15"/>
      <c r="WXT29" s="25"/>
      <c r="WYA29" s="21"/>
      <c r="WYB29" s="21"/>
      <c r="WYF29" s="15"/>
      <c r="WYL29" s="25"/>
      <c r="WYS29" s="21"/>
      <c r="WYT29" s="21"/>
      <c r="WYX29" s="15"/>
      <c r="WZD29" s="25"/>
      <c r="WZK29" s="21"/>
      <c r="WZL29" s="21"/>
      <c r="WZP29" s="15"/>
      <c r="WZV29" s="25"/>
      <c r="XAC29" s="21"/>
      <c r="XAD29" s="21"/>
      <c r="XAH29" s="15"/>
      <c r="XAN29" s="25"/>
      <c r="XAU29" s="21"/>
      <c r="XAV29" s="21"/>
      <c r="XAZ29" s="15"/>
      <c r="XBF29" s="25"/>
      <c r="XBM29" s="21"/>
      <c r="XBN29" s="21"/>
      <c r="XBR29" s="15"/>
      <c r="XBX29" s="25"/>
      <c r="XCE29" s="21"/>
      <c r="XCF29" s="21"/>
      <c r="XCJ29" s="15"/>
      <c r="XCP29" s="25"/>
      <c r="XCW29" s="21"/>
      <c r="XCX29" s="21"/>
      <c r="XDB29" s="15"/>
      <c r="XDH29" s="25"/>
      <c r="XDO29" s="21"/>
      <c r="XDP29" s="21"/>
      <c r="XDT29" s="15"/>
      <c r="XDZ29" s="25"/>
      <c r="XEG29" s="21"/>
      <c r="XEH29" s="21"/>
      <c r="XEL29" s="15"/>
      <c r="XER29" s="25"/>
      <c r="XEY29" s="21"/>
      <c r="XEZ29" s="21"/>
      <c r="XFD29" s="15"/>
    </row>
    <row r="30" spans="1:1018 1025:2044 2051:3070 3077:4096 4103:5116 5122:6142 6148:7168 7174:8190 8194:9216 9220:10234 10241:11260 11267:12286 12293:13312 13319:14332 14338:15358 15364:16384" s="24" customFormat="1">
      <c r="A30" s="21" t="s">
        <v>108</v>
      </c>
      <c r="B30" s="12">
        <v>2005</v>
      </c>
      <c r="C30" s="19" t="s">
        <v>101</v>
      </c>
      <c r="D30" s="22" t="s">
        <v>86</v>
      </c>
      <c r="E30" s="43" t="s">
        <v>109</v>
      </c>
      <c r="F30" s="19" t="s">
        <v>103</v>
      </c>
      <c r="G30" s="44">
        <v>1188024922.5</v>
      </c>
      <c r="H30" s="20">
        <v>204854380</v>
      </c>
      <c r="I30" s="12">
        <v>10</v>
      </c>
      <c r="J30" s="23" t="s">
        <v>110</v>
      </c>
      <c r="K30" s="22"/>
      <c r="L30" s="22"/>
      <c r="M30" s="22" t="s">
        <v>26</v>
      </c>
      <c r="N30" s="12"/>
      <c r="O30" s="22"/>
      <c r="P30" s="12"/>
      <c r="Q30" s="22" t="s">
        <v>27</v>
      </c>
      <c r="R30" s="22" t="s">
        <v>28</v>
      </c>
      <c r="V30" s="15"/>
      <c r="AB30" s="25"/>
      <c r="AI30" s="21"/>
      <c r="AJ30" s="21"/>
      <c r="AN30" s="15"/>
      <c r="AT30" s="25"/>
      <c r="BA30" s="21"/>
      <c r="BB30" s="21"/>
      <c r="BF30" s="15"/>
      <c r="BL30" s="25"/>
      <c r="BS30" s="21"/>
      <c r="BT30" s="21"/>
      <c r="BX30" s="15"/>
      <c r="CD30" s="25"/>
      <c r="CK30" s="21"/>
      <c r="CL30" s="21"/>
      <c r="CP30" s="15"/>
      <c r="CV30" s="25"/>
      <c r="DC30" s="21"/>
      <c r="DD30" s="21"/>
      <c r="DH30" s="15"/>
      <c r="DN30" s="25"/>
      <c r="DU30" s="21"/>
      <c r="DV30" s="21"/>
      <c r="DZ30" s="15"/>
      <c r="EF30" s="25"/>
      <c r="EM30" s="21"/>
      <c r="EN30" s="21"/>
      <c r="ER30" s="15"/>
      <c r="EX30" s="25"/>
      <c r="FE30" s="21"/>
      <c r="FF30" s="21"/>
      <c r="FJ30" s="15"/>
      <c r="FP30" s="25"/>
      <c r="FW30" s="21"/>
      <c r="FX30" s="21"/>
      <c r="GB30" s="15"/>
      <c r="GH30" s="25"/>
      <c r="GO30" s="21"/>
      <c r="GP30" s="21"/>
      <c r="GT30" s="15"/>
      <c r="GZ30" s="25"/>
      <c r="HG30" s="21"/>
      <c r="HH30" s="21"/>
      <c r="HL30" s="15"/>
      <c r="HR30" s="25"/>
      <c r="HY30" s="21"/>
      <c r="HZ30" s="21"/>
      <c r="ID30" s="15"/>
      <c r="IJ30" s="25"/>
      <c r="IQ30" s="21"/>
      <c r="IR30" s="21"/>
      <c r="IV30" s="15"/>
      <c r="JB30" s="25"/>
      <c r="JI30" s="21"/>
      <c r="JJ30" s="21"/>
      <c r="JN30" s="15"/>
      <c r="JT30" s="25"/>
      <c r="KA30" s="21"/>
      <c r="KB30" s="21"/>
      <c r="KF30" s="15"/>
      <c r="KL30" s="25"/>
      <c r="KS30" s="21"/>
      <c r="KT30" s="21"/>
      <c r="KX30" s="15"/>
      <c r="LD30" s="25"/>
      <c r="LK30" s="21"/>
      <c r="LL30" s="21"/>
      <c r="LP30" s="15"/>
      <c r="LV30" s="25"/>
      <c r="MC30" s="21"/>
      <c r="MD30" s="21"/>
      <c r="MH30" s="15"/>
      <c r="MN30" s="25"/>
      <c r="MU30" s="21"/>
      <c r="MV30" s="21"/>
      <c r="MZ30" s="15"/>
      <c r="NF30" s="25"/>
      <c r="NM30" s="21"/>
      <c r="NN30" s="21"/>
      <c r="NR30" s="15"/>
      <c r="NX30" s="25"/>
      <c r="OE30" s="21"/>
      <c r="OF30" s="21"/>
      <c r="OJ30" s="15"/>
      <c r="OP30" s="25"/>
      <c r="OW30" s="21"/>
      <c r="OX30" s="21"/>
      <c r="PB30" s="15"/>
      <c r="PH30" s="25"/>
      <c r="PO30" s="21"/>
      <c r="PP30" s="21"/>
      <c r="PT30" s="15"/>
      <c r="PZ30" s="25"/>
      <c r="QG30" s="21"/>
      <c r="QH30" s="21"/>
      <c r="QL30" s="15"/>
      <c r="QR30" s="25"/>
      <c r="QY30" s="21"/>
      <c r="QZ30" s="21"/>
      <c r="RD30" s="15"/>
      <c r="RJ30" s="25"/>
      <c r="RQ30" s="21"/>
      <c r="RR30" s="21"/>
      <c r="RV30" s="15"/>
      <c r="SB30" s="25"/>
      <c r="SI30" s="21"/>
      <c r="SJ30" s="21"/>
      <c r="SN30" s="15"/>
      <c r="ST30" s="25"/>
      <c r="TA30" s="21"/>
      <c r="TB30" s="21"/>
      <c r="TF30" s="15"/>
      <c r="TL30" s="25"/>
      <c r="TS30" s="21"/>
      <c r="TT30" s="21"/>
      <c r="TX30" s="15"/>
      <c r="UD30" s="25"/>
      <c r="UK30" s="21"/>
      <c r="UL30" s="21"/>
      <c r="UP30" s="15"/>
      <c r="UV30" s="25"/>
      <c r="VC30" s="21"/>
      <c r="VD30" s="21"/>
      <c r="VH30" s="15"/>
      <c r="VN30" s="25"/>
      <c r="VU30" s="21"/>
      <c r="VV30" s="21"/>
      <c r="VZ30" s="15"/>
      <c r="WF30" s="25"/>
      <c r="WM30" s="21"/>
      <c r="WN30" s="21"/>
      <c r="WR30" s="15"/>
      <c r="WX30" s="25"/>
      <c r="XE30" s="21"/>
      <c r="XF30" s="21"/>
      <c r="XJ30" s="15"/>
      <c r="XP30" s="25"/>
      <c r="XW30" s="21"/>
      <c r="XX30" s="21"/>
      <c r="YB30" s="15"/>
      <c r="YH30" s="25"/>
      <c r="YO30" s="21"/>
      <c r="YP30" s="21"/>
      <c r="YT30" s="15"/>
      <c r="YZ30" s="25"/>
      <c r="ZG30" s="21"/>
      <c r="ZH30" s="21"/>
      <c r="ZL30" s="15"/>
      <c r="ZR30" s="25"/>
      <c r="ZY30" s="21"/>
      <c r="ZZ30" s="21"/>
      <c r="AAD30" s="15"/>
      <c r="AAJ30" s="25"/>
      <c r="AAQ30" s="21"/>
      <c r="AAR30" s="21"/>
      <c r="AAV30" s="15"/>
      <c r="ABB30" s="25"/>
      <c r="ABI30" s="21"/>
      <c r="ABJ30" s="21"/>
      <c r="ABN30" s="15"/>
      <c r="ABT30" s="25"/>
      <c r="ACA30" s="21"/>
      <c r="ACB30" s="21"/>
      <c r="ACF30" s="15"/>
      <c r="ACL30" s="25"/>
      <c r="ACS30" s="21"/>
      <c r="ACT30" s="21"/>
      <c r="ACX30" s="15"/>
      <c r="ADD30" s="25"/>
      <c r="ADK30" s="21"/>
      <c r="ADL30" s="21"/>
      <c r="ADP30" s="15"/>
      <c r="ADV30" s="25"/>
      <c r="AEC30" s="21"/>
      <c r="AED30" s="21"/>
      <c r="AEH30" s="15"/>
      <c r="AEN30" s="25"/>
      <c r="AEU30" s="21"/>
      <c r="AEV30" s="21"/>
      <c r="AEZ30" s="15"/>
      <c r="AFF30" s="25"/>
      <c r="AFM30" s="21"/>
      <c r="AFN30" s="21"/>
      <c r="AFR30" s="15"/>
      <c r="AFX30" s="25"/>
      <c r="AGE30" s="21"/>
      <c r="AGF30" s="21"/>
      <c r="AGJ30" s="15"/>
      <c r="AGP30" s="25"/>
      <c r="AGW30" s="21"/>
      <c r="AGX30" s="21"/>
      <c r="AHB30" s="15"/>
      <c r="AHH30" s="25"/>
      <c r="AHO30" s="21"/>
      <c r="AHP30" s="21"/>
      <c r="AHT30" s="15"/>
      <c r="AHZ30" s="25"/>
      <c r="AIG30" s="21"/>
      <c r="AIH30" s="21"/>
      <c r="AIL30" s="15"/>
      <c r="AIR30" s="25"/>
      <c r="AIY30" s="21"/>
      <c r="AIZ30" s="21"/>
      <c r="AJD30" s="15"/>
      <c r="AJJ30" s="25"/>
      <c r="AJQ30" s="21"/>
      <c r="AJR30" s="21"/>
      <c r="AJV30" s="15"/>
      <c r="AKB30" s="25"/>
      <c r="AKI30" s="21"/>
      <c r="AKJ30" s="21"/>
      <c r="AKN30" s="15"/>
      <c r="AKT30" s="25"/>
      <c r="ALA30" s="21"/>
      <c r="ALB30" s="21"/>
      <c r="ALF30" s="15"/>
      <c r="ALL30" s="25"/>
      <c r="ALS30" s="21"/>
      <c r="ALT30" s="21"/>
      <c r="ALX30" s="15"/>
      <c r="AMD30" s="25"/>
      <c r="AMK30" s="21"/>
      <c r="AML30" s="21"/>
      <c r="AMP30" s="15"/>
      <c r="AMV30" s="25"/>
      <c r="ANC30" s="21"/>
      <c r="AND30" s="21"/>
      <c r="ANH30" s="15"/>
      <c r="ANN30" s="25"/>
      <c r="ANU30" s="21"/>
      <c r="ANV30" s="21"/>
      <c r="ANZ30" s="15"/>
      <c r="AOF30" s="25"/>
      <c r="AOM30" s="21"/>
      <c r="AON30" s="21"/>
      <c r="AOR30" s="15"/>
      <c r="AOX30" s="25"/>
      <c r="APE30" s="21"/>
      <c r="APF30" s="21"/>
      <c r="APJ30" s="15"/>
      <c r="APP30" s="25"/>
      <c r="APW30" s="21"/>
      <c r="APX30" s="21"/>
      <c r="AQB30" s="15"/>
      <c r="AQH30" s="25"/>
      <c r="AQO30" s="21"/>
      <c r="AQP30" s="21"/>
      <c r="AQT30" s="15"/>
      <c r="AQZ30" s="25"/>
      <c r="ARG30" s="21"/>
      <c r="ARH30" s="21"/>
      <c r="ARL30" s="15"/>
      <c r="ARR30" s="25"/>
      <c r="ARY30" s="21"/>
      <c r="ARZ30" s="21"/>
      <c r="ASD30" s="15"/>
      <c r="ASJ30" s="25"/>
      <c r="ASQ30" s="21"/>
      <c r="ASR30" s="21"/>
      <c r="ASV30" s="15"/>
      <c r="ATB30" s="25"/>
      <c r="ATI30" s="21"/>
      <c r="ATJ30" s="21"/>
      <c r="ATN30" s="15"/>
      <c r="ATT30" s="25"/>
      <c r="AUA30" s="21"/>
      <c r="AUB30" s="21"/>
      <c r="AUF30" s="15"/>
      <c r="AUL30" s="25"/>
      <c r="AUS30" s="21"/>
      <c r="AUT30" s="21"/>
      <c r="AUX30" s="15"/>
      <c r="AVD30" s="25"/>
      <c r="AVK30" s="21"/>
      <c r="AVL30" s="21"/>
      <c r="AVP30" s="15"/>
      <c r="AVV30" s="25"/>
      <c r="AWC30" s="21"/>
      <c r="AWD30" s="21"/>
      <c r="AWH30" s="15"/>
      <c r="AWN30" s="25"/>
      <c r="AWU30" s="21"/>
      <c r="AWV30" s="21"/>
      <c r="AWZ30" s="15"/>
      <c r="AXF30" s="25"/>
      <c r="AXM30" s="21"/>
      <c r="AXN30" s="21"/>
      <c r="AXR30" s="15"/>
      <c r="AXX30" s="25"/>
      <c r="AYE30" s="21"/>
      <c r="AYF30" s="21"/>
      <c r="AYJ30" s="15"/>
      <c r="AYP30" s="25"/>
      <c r="AYW30" s="21"/>
      <c r="AYX30" s="21"/>
      <c r="AZB30" s="15"/>
      <c r="AZH30" s="25"/>
      <c r="AZO30" s="21"/>
      <c r="AZP30" s="21"/>
      <c r="AZT30" s="15"/>
      <c r="AZZ30" s="25"/>
      <c r="BAG30" s="21"/>
      <c r="BAH30" s="21"/>
      <c r="BAL30" s="15"/>
      <c r="BAR30" s="25"/>
      <c r="BAY30" s="21"/>
      <c r="BAZ30" s="21"/>
      <c r="BBD30" s="15"/>
      <c r="BBJ30" s="25"/>
      <c r="BBQ30" s="21"/>
      <c r="BBR30" s="21"/>
      <c r="BBV30" s="15"/>
      <c r="BCB30" s="25"/>
      <c r="BCI30" s="21"/>
      <c r="BCJ30" s="21"/>
      <c r="BCN30" s="15"/>
      <c r="BCT30" s="25"/>
      <c r="BDA30" s="21"/>
      <c r="BDB30" s="21"/>
      <c r="BDF30" s="15"/>
      <c r="BDL30" s="25"/>
      <c r="BDS30" s="21"/>
      <c r="BDT30" s="21"/>
      <c r="BDX30" s="15"/>
      <c r="BED30" s="25"/>
      <c r="BEK30" s="21"/>
      <c r="BEL30" s="21"/>
      <c r="BEP30" s="15"/>
      <c r="BEV30" s="25"/>
      <c r="BFC30" s="21"/>
      <c r="BFD30" s="21"/>
      <c r="BFH30" s="15"/>
      <c r="BFN30" s="25"/>
      <c r="BFU30" s="21"/>
      <c r="BFV30" s="21"/>
      <c r="BFZ30" s="15"/>
      <c r="BGF30" s="25"/>
      <c r="BGM30" s="21"/>
      <c r="BGN30" s="21"/>
      <c r="BGR30" s="15"/>
      <c r="BGX30" s="25"/>
      <c r="BHE30" s="21"/>
      <c r="BHF30" s="21"/>
      <c r="BHJ30" s="15"/>
      <c r="BHP30" s="25"/>
      <c r="BHW30" s="21"/>
      <c r="BHX30" s="21"/>
      <c r="BIB30" s="15"/>
      <c r="BIH30" s="25"/>
      <c r="BIO30" s="21"/>
      <c r="BIP30" s="21"/>
      <c r="BIT30" s="15"/>
      <c r="BIZ30" s="25"/>
      <c r="BJG30" s="21"/>
      <c r="BJH30" s="21"/>
      <c r="BJL30" s="15"/>
      <c r="BJR30" s="25"/>
      <c r="BJY30" s="21"/>
      <c r="BJZ30" s="21"/>
      <c r="BKD30" s="15"/>
      <c r="BKJ30" s="25"/>
      <c r="BKQ30" s="21"/>
      <c r="BKR30" s="21"/>
      <c r="BKV30" s="15"/>
      <c r="BLB30" s="25"/>
      <c r="BLI30" s="21"/>
      <c r="BLJ30" s="21"/>
      <c r="BLN30" s="15"/>
      <c r="BLT30" s="25"/>
      <c r="BMA30" s="21"/>
      <c r="BMB30" s="21"/>
      <c r="BMF30" s="15"/>
      <c r="BML30" s="25"/>
      <c r="BMS30" s="21"/>
      <c r="BMT30" s="21"/>
      <c r="BMX30" s="15"/>
      <c r="BND30" s="25"/>
      <c r="BNK30" s="21"/>
      <c r="BNL30" s="21"/>
      <c r="BNP30" s="15"/>
      <c r="BNV30" s="25"/>
      <c r="BOC30" s="21"/>
      <c r="BOD30" s="21"/>
      <c r="BOH30" s="15"/>
      <c r="BON30" s="25"/>
      <c r="BOU30" s="21"/>
      <c r="BOV30" s="21"/>
      <c r="BOZ30" s="15"/>
      <c r="BPF30" s="25"/>
      <c r="BPM30" s="21"/>
      <c r="BPN30" s="21"/>
      <c r="BPR30" s="15"/>
      <c r="BPX30" s="25"/>
      <c r="BQE30" s="21"/>
      <c r="BQF30" s="21"/>
      <c r="BQJ30" s="15"/>
      <c r="BQP30" s="25"/>
      <c r="BQW30" s="21"/>
      <c r="BQX30" s="21"/>
      <c r="BRB30" s="15"/>
      <c r="BRH30" s="25"/>
      <c r="BRO30" s="21"/>
      <c r="BRP30" s="21"/>
      <c r="BRT30" s="15"/>
      <c r="BRZ30" s="25"/>
      <c r="BSG30" s="21"/>
      <c r="BSH30" s="21"/>
      <c r="BSL30" s="15"/>
      <c r="BSR30" s="25"/>
      <c r="BSY30" s="21"/>
      <c r="BSZ30" s="21"/>
      <c r="BTD30" s="15"/>
      <c r="BTJ30" s="25"/>
      <c r="BTQ30" s="21"/>
      <c r="BTR30" s="21"/>
      <c r="BTV30" s="15"/>
      <c r="BUB30" s="25"/>
      <c r="BUI30" s="21"/>
      <c r="BUJ30" s="21"/>
      <c r="BUN30" s="15"/>
      <c r="BUT30" s="25"/>
      <c r="BVA30" s="21"/>
      <c r="BVB30" s="21"/>
      <c r="BVF30" s="15"/>
      <c r="BVL30" s="25"/>
      <c r="BVS30" s="21"/>
      <c r="BVT30" s="21"/>
      <c r="BVX30" s="15"/>
      <c r="BWD30" s="25"/>
      <c r="BWK30" s="21"/>
      <c r="BWL30" s="21"/>
      <c r="BWP30" s="15"/>
      <c r="BWV30" s="25"/>
      <c r="BXC30" s="21"/>
      <c r="BXD30" s="21"/>
      <c r="BXH30" s="15"/>
      <c r="BXN30" s="25"/>
      <c r="BXU30" s="21"/>
      <c r="BXV30" s="21"/>
      <c r="BXZ30" s="15"/>
      <c r="BYF30" s="25"/>
      <c r="BYM30" s="21"/>
      <c r="BYN30" s="21"/>
      <c r="BYR30" s="15"/>
      <c r="BYX30" s="25"/>
      <c r="BZE30" s="21"/>
      <c r="BZF30" s="21"/>
      <c r="BZJ30" s="15"/>
      <c r="BZP30" s="25"/>
      <c r="BZW30" s="21"/>
      <c r="BZX30" s="21"/>
      <c r="CAB30" s="15"/>
      <c r="CAH30" s="25"/>
      <c r="CAO30" s="21"/>
      <c r="CAP30" s="21"/>
      <c r="CAT30" s="15"/>
      <c r="CAZ30" s="25"/>
      <c r="CBG30" s="21"/>
      <c r="CBH30" s="21"/>
      <c r="CBL30" s="15"/>
      <c r="CBR30" s="25"/>
      <c r="CBY30" s="21"/>
      <c r="CBZ30" s="21"/>
      <c r="CCD30" s="15"/>
      <c r="CCJ30" s="25"/>
      <c r="CCQ30" s="21"/>
      <c r="CCR30" s="21"/>
      <c r="CCV30" s="15"/>
      <c r="CDB30" s="25"/>
      <c r="CDI30" s="21"/>
      <c r="CDJ30" s="21"/>
      <c r="CDN30" s="15"/>
      <c r="CDT30" s="25"/>
      <c r="CEA30" s="21"/>
      <c r="CEB30" s="21"/>
      <c r="CEF30" s="15"/>
      <c r="CEL30" s="25"/>
      <c r="CES30" s="21"/>
      <c r="CET30" s="21"/>
      <c r="CEX30" s="15"/>
      <c r="CFD30" s="25"/>
      <c r="CFK30" s="21"/>
      <c r="CFL30" s="21"/>
      <c r="CFP30" s="15"/>
      <c r="CFV30" s="25"/>
      <c r="CGC30" s="21"/>
      <c r="CGD30" s="21"/>
      <c r="CGH30" s="15"/>
      <c r="CGN30" s="25"/>
      <c r="CGU30" s="21"/>
      <c r="CGV30" s="21"/>
      <c r="CGZ30" s="15"/>
      <c r="CHF30" s="25"/>
      <c r="CHM30" s="21"/>
      <c r="CHN30" s="21"/>
      <c r="CHR30" s="15"/>
      <c r="CHX30" s="25"/>
      <c r="CIE30" s="21"/>
      <c r="CIF30" s="21"/>
      <c r="CIJ30" s="15"/>
      <c r="CIP30" s="25"/>
      <c r="CIW30" s="21"/>
      <c r="CIX30" s="21"/>
      <c r="CJB30" s="15"/>
      <c r="CJH30" s="25"/>
      <c r="CJO30" s="21"/>
      <c r="CJP30" s="21"/>
      <c r="CJT30" s="15"/>
      <c r="CJZ30" s="25"/>
      <c r="CKG30" s="21"/>
      <c r="CKH30" s="21"/>
      <c r="CKL30" s="15"/>
      <c r="CKR30" s="25"/>
      <c r="CKY30" s="21"/>
      <c r="CKZ30" s="21"/>
      <c r="CLD30" s="15"/>
      <c r="CLJ30" s="25"/>
      <c r="CLQ30" s="21"/>
      <c r="CLR30" s="21"/>
      <c r="CLV30" s="15"/>
      <c r="CMB30" s="25"/>
      <c r="CMI30" s="21"/>
      <c r="CMJ30" s="21"/>
      <c r="CMN30" s="15"/>
      <c r="CMT30" s="25"/>
      <c r="CNA30" s="21"/>
      <c r="CNB30" s="21"/>
      <c r="CNF30" s="15"/>
      <c r="CNL30" s="25"/>
      <c r="CNS30" s="21"/>
      <c r="CNT30" s="21"/>
      <c r="CNX30" s="15"/>
      <c r="COD30" s="25"/>
      <c r="COK30" s="21"/>
      <c r="COL30" s="21"/>
      <c r="COP30" s="15"/>
      <c r="COV30" s="25"/>
      <c r="CPC30" s="21"/>
      <c r="CPD30" s="21"/>
      <c r="CPH30" s="15"/>
      <c r="CPN30" s="25"/>
      <c r="CPU30" s="21"/>
      <c r="CPV30" s="21"/>
      <c r="CPZ30" s="15"/>
      <c r="CQF30" s="25"/>
      <c r="CQM30" s="21"/>
      <c r="CQN30" s="21"/>
      <c r="CQR30" s="15"/>
      <c r="CQX30" s="25"/>
      <c r="CRE30" s="21"/>
      <c r="CRF30" s="21"/>
      <c r="CRJ30" s="15"/>
      <c r="CRP30" s="25"/>
      <c r="CRW30" s="21"/>
      <c r="CRX30" s="21"/>
      <c r="CSB30" s="15"/>
      <c r="CSH30" s="25"/>
      <c r="CSO30" s="21"/>
      <c r="CSP30" s="21"/>
      <c r="CST30" s="15"/>
      <c r="CSZ30" s="25"/>
      <c r="CTG30" s="21"/>
      <c r="CTH30" s="21"/>
      <c r="CTL30" s="15"/>
      <c r="CTR30" s="25"/>
      <c r="CTY30" s="21"/>
      <c r="CTZ30" s="21"/>
      <c r="CUD30" s="15"/>
      <c r="CUJ30" s="25"/>
      <c r="CUQ30" s="21"/>
      <c r="CUR30" s="21"/>
      <c r="CUV30" s="15"/>
      <c r="CVB30" s="25"/>
      <c r="CVI30" s="21"/>
      <c r="CVJ30" s="21"/>
      <c r="CVN30" s="15"/>
      <c r="CVT30" s="25"/>
      <c r="CWA30" s="21"/>
      <c r="CWB30" s="21"/>
      <c r="CWF30" s="15"/>
      <c r="CWL30" s="25"/>
      <c r="CWS30" s="21"/>
      <c r="CWT30" s="21"/>
      <c r="CWX30" s="15"/>
      <c r="CXD30" s="25"/>
      <c r="CXK30" s="21"/>
      <c r="CXL30" s="21"/>
      <c r="CXP30" s="15"/>
      <c r="CXV30" s="25"/>
      <c r="CYC30" s="21"/>
      <c r="CYD30" s="21"/>
      <c r="CYH30" s="15"/>
      <c r="CYN30" s="25"/>
      <c r="CYU30" s="21"/>
      <c r="CYV30" s="21"/>
      <c r="CYZ30" s="15"/>
      <c r="CZF30" s="25"/>
      <c r="CZM30" s="21"/>
      <c r="CZN30" s="21"/>
      <c r="CZR30" s="15"/>
      <c r="CZX30" s="25"/>
      <c r="DAE30" s="21"/>
      <c r="DAF30" s="21"/>
      <c r="DAJ30" s="15"/>
      <c r="DAP30" s="25"/>
      <c r="DAW30" s="21"/>
      <c r="DAX30" s="21"/>
      <c r="DBB30" s="15"/>
      <c r="DBH30" s="25"/>
      <c r="DBO30" s="21"/>
      <c r="DBP30" s="21"/>
      <c r="DBT30" s="15"/>
      <c r="DBZ30" s="25"/>
      <c r="DCG30" s="21"/>
      <c r="DCH30" s="21"/>
      <c r="DCL30" s="15"/>
      <c r="DCR30" s="25"/>
      <c r="DCY30" s="21"/>
      <c r="DCZ30" s="21"/>
      <c r="DDD30" s="15"/>
      <c r="DDJ30" s="25"/>
      <c r="DDQ30" s="21"/>
      <c r="DDR30" s="21"/>
      <c r="DDV30" s="15"/>
      <c r="DEB30" s="25"/>
      <c r="DEI30" s="21"/>
      <c r="DEJ30" s="21"/>
      <c r="DEN30" s="15"/>
      <c r="DET30" s="25"/>
      <c r="DFA30" s="21"/>
      <c r="DFB30" s="21"/>
      <c r="DFF30" s="15"/>
      <c r="DFL30" s="25"/>
      <c r="DFS30" s="21"/>
      <c r="DFT30" s="21"/>
      <c r="DFX30" s="15"/>
      <c r="DGD30" s="25"/>
      <c r="DGK30" s="21"/>
      <c r="DGL30" s="21"/>
      <c r="DGP30" s="15"/>
      <c r="DGV30" s="25"/>
      <c r="DHC30" s="21"/>
      <c r="DHD30" s="21"/>
      <c r="DHH30" s="15"/>
      <c r="DHN30" s="25"/>
      <c r="DHU30" s="21"/>
      <c r="DHV30" s="21"/>
      <c r="DHZ30" s="15"/>
      <c r="DIF30" s="25"/>
      <c r="DIM30" s="21"/>
      <c r="DIN30" s="21"/>
      <c r="DIR30" s="15"/>
      <c r="DIX30" s="25"/>
      <c r="DJE30" s="21"/>
      <c r="DJF30" s="21"/>
      <c r="DJJ30" s="15"/>
      <c r="DJP30" s="25"/>
      <c r="DJW30" s="21"/>
      <c r="DJX30" s="21"/>
      <c r="DKB30" s="15"/>
      <c r="DKH30" s="25"/>
      <c r="DKO30" s="21"/>
      <c r="DKP30" s="21"/>
      <c r="DKT30" s="15"/>
      <c r="DKZ30" s="25"/>
      <c r="DLG30" s="21"/>
      <c r="DLH30" s="21"/>
      <c r="DLL30" s="15"/>
      <c r="DLR30" s="25"/>
      <c r="DLY30" s="21"/>
      <c r="DLZ30" s="21"/>
      <c r="DMD30" s="15"/>
      <c r="DMJ30" s="25"/>
      <c r="DMQ30" s="21"/>
      <c r="DMR30" s="21"/>
      <c r="DMV30" s="15"/>
      <c r="DNB30" s="25"/>
      <c r="DNI30" s="21"/>
      <c r="DNJ30" s="21"/>
      <c r="DNN30" s="15"/>
      <c r="DNT30" s="25"/>
      <c r="DOA30" s="21"/>
      <c r="DOB30" s="21"/>
      <c r="DOF30" s="15"/>
      <c r="DOL30" s="25"/>
      <c r="DOS30" s="21"/>
      <c r="DOT30" s="21"/>
      <c r="DOX30" s="15"/>
      <c r="DPD30" s="25"/>
      <c r="DPK30" s="21"/>
      <c r="DPL30" s="21"/>
      <c r="DPP30" s="15"/>
      <c r="DPV30" s="25"/>
      <c r="DQC30" s="21"/>
      <c r="DQD30" s="21"/>
      <c r="DQH30" s="15"/>
      <c r="DQN30" s="25"/>
      <c r="DQU30" s="21"/>
      <c r="DQV30" s="21"/>
      <c r="DQZ30" s="15"/>
      <c r="DRF30" s="25"/>
      <c r="DRM30" s="21"/>
      <c r="DRN30" s="21"/>
      <c r="DRR30" s="15"/>
      <c r="DRX30" s="25"/>
      <c r="DSE30" s="21"/>
      <c r="DSF30" s="21"/>
      <c r="DSJ30" s="15"/>
      <c r="DSP30" s="25"/>
      <c r="DSW30" s="21"/>
      <c r="DSX30" s="21"/>
      <c r="DTB30" s="15"/>
      <c r="DTH30" s="25"/>
      <c r="DTO30" s="21"/>
      <c r="DTP30" s="21"/>
      <c r="DTT30" s="15"/>
      <c r="DTZ30" s="25"/>
      <c r="DUG30" s="21"/>
      <c r="DUH30" s="21"/>
      <c r="DUL30" s="15"/>
      <c r="DUR30" s="25"/>
      <c r="DUY30" s="21"/>
      <c r="DUZ30" s="21"/>
      <c r="DVD30" s="15"/>
      <c r="DVJ30" s="25"/>
      <c r="DVQ30" s="21"/>
      <c r="DVR30" s="21"/>
      <c r="DVV30" s="15"/>
      <c r="DWB30" s="25"/>
      <c r="DWI30" s="21"/>
      <c r="DWJ30" s="21"/>
      <c r="DWN30" s="15"/>
      <c r="DWT30" s="25"/>
      <c r="DXA30" s="21"/>
      <c r="DXB30" s="21"/>
      <c r="DXF30" s="15"/>
      <c r="DXL30" s="25"/>
      <c r="DXS30" s="21"/>
      <c r="DXT30" s="21"/>
      <c r="DXX30" s="15"/>
      <c r="DYD30" s="25"/>
      <c r="DYK30" s="21"/>
      <c r="DYL30" s="21"/>
      <c r="DYP30" s="15"/>
      <c r="DYV30" s="25"/>
      <c r="DZC30" s="21"/>
      <c r="DZD30" s="21"/>
      <c r="DZH30" s="15"/>
      <c r="DZN30" s="25"/>
      <c r="DZU30" s="21"/>
      <c r="DZV30" s="21"/>
      <c r="DZZ30" s="15"/>
      <c r="EAF30" s="25"/>
      <c r="EAM30" s="21"/>
      <c r="EAN30" s="21"/>
      <c r="EAR30" s="15"/>
      <c r="EAX30" s="25"/>
      <c r="EBE30" s="21"/>
      <c r="EBF30" s="21"/>
      <c r="EBJ30" s="15"/>
      <c r="EBP30" s="25"/>
      <c r="EBW30" s="21"/>
      <c r="EBX30" s="21"/>
      <c r="ECB30" s="15"/>
      <c r="ECH30" s="25"/>
      <c r="ECO30" s="21"/>
      <c r="ECP30" s="21"/>
      <c r="ECT30" s="15"/>
      <c r="ECZ30" s="25"/>
      <c r="EDG30" s="21"/>
      <c r="EDH30" s="21"/>
      <c r="EDL30" s="15"/>
      <c r="EDR30" s="25"/>
      <c r="EDY30" s="21"/>
      <c r="EDZ30" s="21"/>
      <c r="EED30" s="15"/>
      <c r="EEJ30" s="25"/>
      <c r="EEQ30" s="21"/>
      <c r="EER30" s="21"/>
      <c r="EEV30" s="15"/>
      <c r="EFB30" s="25"/>
      <c r="EFI30" s="21"/>
      <c r="EFJ30" s="21"/>
      <c r="EFN30" s="15"/>
      <c r="EFT30" s="25"/>
      <c r="EGA30" s="21"/>
      <c r="EGB30" s="21"/>
      <c r="EGF30" s="15"/>
      <c r="EGL30" s="25"/>
      <c r="EGS30" s="21"/>
      <c r="EGT30" s="21"/>
      <c r="EGX30" s="15"/>
      <c r="EHD30" s="25"/>
      <c r="EHK30" s="21"/>
      <c r="EHL30" s="21"/>
      <c r="EHP30" s="15"/>
      <c r="EHV30" s="25"/>
      <c r="EIC30" s="21"/>
      <c r="EID30" s="21"/>
      <c r="EIH30" s="15"/>
      <c r="EIN30" s="25"/>
      <c r="EIU30" s="21"/>
      <c r="EIV30" s="21"/>
      <c r="EIZ30" s="15"/>
      <c r="EJF30" s="25"/>
      <c r="EJM30" s="21"/>
      <c r="EJN30" s="21"/>
      <c r="EJR30" s="15"/>
      <c r="EJX30" s="25"/>
      <c r="EKE30" s="21"/>
      <c r="EKF30" s="21"/>
      <c r="EKJ30" s="15"/>
      <c r="EKP30" s="25"/>
      <c r="EKW30" s="21"/>
      <c r="EKX30" s="21"/>
      <c r="ELB30" s="15"/>
      <c r="ELH30" s="25"/>
      <c r="ELO30" s="21"/>
      <c r="ELP30" s="21"/>
      <c r="ELT30" s="15"/>
      <c r="ELZ30" s="25"/>
      <c r="EMG30" s="21"/>
      <c r="EMH30" s="21"/>
      <c r="EML30" s="15"/>
      <c r="EMR30" s="25"/>
      <c r="EMY30" s="21"/>
      <c r="EMZ30" s="21"/>
      <c r="END30" s="15"/>
      <c r="ENJ30" s="25"/>
      <c r="ENQ30" s="21"/>
      <c r="ENR30" s="21"/>
      <c r="ENV30" s="15"/>
      <c r="EOB30" s="25"/>
      <c r="EOI30" s="21"/>
      <c r="EOJ30" s="21"/>
      <c r="EON30" s="15"/>
      <c r="EOT30" s="25"/>
      <c r="EPA30" s="21"/>
      <c r="EPB30" s="21"/>
      <c r="EPF30" s="15"/>
      <c r="EPL30" s="25"/>
      <c r="EPS30" s="21"/>
      <c r="EPT30" s="21"/>
      <c r="EPX30" s="15"/>
      <c r="EQD30" s="25"/>
      <c r="EQK30" s="21"/>
      <c r="EQL30" s="21"/>
      <c r="EQP30" s="15"/>
      <c r="EQV30" s="25"/>
      <c r="ERC30" s="21"/>
      <c r="ERD30" s="21"/>
      <c r="ERH30" s="15"/>
      <c r="ERN30" s="25"/>
      <c r="ERU30" s="21"/>
      <c r="ERV30" s="21"/>
      <c r="ERZ30" s="15"/>
      <c r="ESF30" s="25"/>
      <c r="ESM30" s="21"/>
      <c r="ESN30" s="21"/>
      <c r="ESR30" s="15"/>
      <c r="ESX30" s="25"/>
      <c r="ETE30" s="21"/>
      <c r="ETF30" s="21"/>
      <c r="ETJ30" s="15"/>
      <c r="ETP30" s="25"/>
      <c r="ETW30" s="21"/>
      <c r="ETX30" s="21"/>
      <c r="EUB30" s="15"/>
      <c r="EUH30" s="25"/>
      <c r="EUO30" s="21"/>
      <c r="EUP30" s="21"/>
      <c r="EUT30" s="15"/>
      <c r="EUZ30" s="25"/>
      <c r="EVG30" s="21"/>
      <c r="EVH30" s="21"/>
      <c r="EVL30" s="15"/>
      <c r="EVR30" s="25"/>
      <c r="EVY30" s="21"/>
      <c r="EVZ30" s="21"/>
      <c r="EWD30" s="15"/>
      <c r="EWJ30" s="25"/>
      <c r="EWQ30" s="21"/>
      <c r="EWR30" s="21"/>
      <c r="EWV30" s="15"/>
      <c r="EXB30" s="25"/>
      <c r="EXI30" s="21"/>
      <c r="EXJ30" s="21"/>
      <c r="EXN30" s="15"/>
      <c r="EXT30" s="25"/>
      <c r="EYA30" s="21"/>
      <c r="EYB30" s="21"/>
      <c r="EYF30" s="15"/>
      <c r="EYL30" s="25"/>
      <c r="EYS30" s="21"/>
      <c r="EYT30" s="21"/>
      <c r="EYX30" s="15"/>
      <c r="EZD30" s="25"/>
      <c r="EZK30" s="21"/>
      <c r="EZL30" s="21"/>
      <c r="EZP30" s="15"/>
      <c r="EZV30" s="25"/>
      <c r="FAC30" s="21"/>
      <c r="FAD30" s="21"/>
      <c r="FAH30" s="15"/>
      <c r="FAN30" s="25"/>
      <c r="FAU30" s="21"/>
      <c r="FAV30" s="21"/>
      <c r="FAZ30" s="15"/>
      <c r="FBF30" s="25"/>
      <c r="FBM30" s="21"/>
      <c r="FBN30" s="21"/>
      <c r="FBR30" s="15"/>
      <c r="FBX30" s="25"/>
      <c r="FCE30" s="21"/>
      <c r="FCF30" s="21"/>
      <c r="FCJ30" s="15"/>
      <c r="FCP30" s="25"/>
      <c r="FCW30" s="21"/>
      <c r="FCX30" s="21"/>
      <c r="FDB30" s="15"/>
      <c r="FDH30" s="25"/>
      <c r="FDO30" s="21"/>
      <c r="FDP30" s="21"/>
      <c r="FDT30" s="15"/>
      <c r="FDZ30" s="25"/>
      <c r="FEG30" s="21"/>
      <c r="FEH30" s="21"/>
      <c r="FEL30" s="15"/>
      <c r="FER30" s="25"/>
      <c r="FEY30" s="21"/>
      <c r="FEZ30" s="21"/>
      <c r="FFD30" s="15"/>
      <c r="FFJ30" s="25"/>
      <c r="FFQ30" s="21"/>
      <c r="FFR30" s="21"/>
      <c r="FFV30" s="15"/>
      <c r="FGB30" s="25"/>
      <c r="FGI30" s="21"/>
      <c r="FGJ30" s="21"/>
      <c r="FGN30" s="15"/>
      <c r="FGT30" s="25"/>
      <c r="FHA30" s="21"/>
      <c r="FHB30" s="21"/>
      <c r="FHF30" s="15"/>
      <c r="FHL30" s="25"/>
      <c r="FHS30" s="21"/>
      <c r="FHT30" s="21"/>
      <c r="FHX30" s="15"/>
      <c r="FID30" s="25"/>
      <c r="FIK30" s="21"/>
      <c r="FIL30" s="21"/>
      <c r="FIP30" s="15"/>
      <c r="FIV30" s="25"/>
      <c r="FJC30" s="21"/>
      <c r="FJD30" s="21"/>
      <c r="FJH30" s="15"/>
      <c r="FJN30" s="25"/>
      <c r="FJU30" s="21"/>
      <c r="FJV30" s="21"/>
      <c r="FJZ30" s="15"/>
      <c r="FKF30" s="25"/>
      <c r="FKM30" s="21"/>
      <c r="FKN30" s="21"/>
      <c r="FKR30" s="15"/>
      <c r="FKX30" s="25"/>
      <c r="FLE30" s="21"/>
      <c r="FLF30" s="21"/>
      <c r="FLJ30" s="15"/>
      <c r="FLP30" s="25"/>
      <c r="FLW30" s="21"/>
      <c r="FLX30" s="21"/>
      <c r="FMB30" s="15"/>
      <c r="FMH30" s="25"/>
      <c r="FMO30" s="21"/>
      <c r="FMP30" s="21"/>
      <c r="FMT30" s="15"/>
      <c r="FMZ30" s="25"/>
      <c r="FNG30" s="21"/>
      <c r="FNH30" s="21"/>
      <c r="FNL30" s="15"/>
      <c r="FNR30" s="25"/>
      <c r="FNY30" s="21"/>
      <c r="FNZ30" s="21"/>
      <c r="FOD30" s="15"/>
      <c r="FOJ30" s="25"/>
      <c r="FOQ30" s="21"/>
      <c r="FOR30" s="21"/>
      <c r="FOV30" s="15"/>
      <c r="FPB30" s="25"/>
      <c r="FPI30" s="21"/>
      <c r="FPJ30" s="21"/>
      <c r="FPN30" s="15"/>
      <c r="FPT30" s="25"/>
      <c r="FQA30" s="21"/>
      <c r="FQB30" s="21"/>
      <c r="FQF30" s="15"/>
      <c r="FQL30" s="25"/>
      <c r="FQS30" s="21"/>
      <c r="FQT30" s="21"/>
      <c r="FQX30" s="15"/>
      <c r="FRD30" s="25"/>
      <c r="FRK30" s="21"/>
      <c r="FRL30" s="21"/>
      <c r="FRP30" s="15"/>
      <c r="FRV30" s="25"/>
      <c r="FSC30" s="21"/>
      <c r="FSD30" s="21"/>
      <c r="FSH30" s="15"/>
      <c r="FSN30" s="25"/>
      <c r="FSU30" s="21"/>
      <c r="FSV30" s="21"/>
      <c r="FSZ30" s="15"/>
      <c r="FTF30" s="25"/>
      <c r="FTM30" s="21"/>
      <c r="FTN30" s="21"/>
      <c r="FTR30" s="15"/>
      <c r="FTX30" s="25"/>
      <c r="FUE30" s="21"/>
      <c r="FUF30" s="21"/>
      <c r="FUJ30" s="15"/>
      <c r="FUP30" s="25"/>
      <c r="FUW30" s="21"/>
      <c r="FUX30" s="21"/>
      <c r="FVB30" s="15"/>
      <c r="FVH30" s="25"/>
      <c r="FVO30" s="21"/>
      <c r="FVP30" s="21"/>
      <c r="FVT30" s="15"/>
      <c r="FVZ30" s="25"/>
      <c r="FWG30" s="21"/>
      <c r="FWH30" s="21"/>
      <c r="FWL30" s="15"/>
      <c r="FWR30" s="25"/>
      <c r="FWY30" s="21"/>
      <c r="FWZ30" s="21"/>
      <c r="FXD30" s="15"/>
      <c r="FXJ30" s="25"/>
      <c r="FXQ30" s="21"/>
      <c r="FXR30" s="21"/>
      <c r="FXV30" s="15"/>
      <c r="FYB30" s="25"/>
      <c r="FYI30" s="21"/>
      <c r="FYJ30" s="21"/>
      <c r="FYN30" s="15"/>
      <c r="FYT30" s="25"/>
      <c r="FZA30" s="21"/>
      <c r="FZB30" s="21"/>
      <c r="FZF30" s="15"/>
      <c r="FZL30" s="25"/>
      <c r="FZS30" s="21"/>
      <c r="FZT30" s="21"/>
      <c r="FZX30" s="15"/>
      <c r="GAD30" s="25"/>
      <c r="GAK30" s="21"/>
      <c r="GAL30" s="21"/>
      <c r="GAP30" s="15"/>
      <c r="GAV30" s="25"/>
      <c r="GBC30" s="21"/>
      <c r="GBD30" s="21"/>
      <c r="GBH30" s="15"/>
      <c r="GBN30" s="25"/>
      <c r="GBU30" s="21"/>
      <c r="GBV30" s="21"/>
      <c r="GBZ30" s="15"/>
      <c r="GCF30" s="25"/>
      <c r="GCM30" s="21"/>
      <c r="GCN30" s="21"/>
      <c r="GCR30" s="15"/>
      <c r="GCX30" s="25"/>
      <c r="GDE30" s="21"/>
      <c r="GDF30" s="21"/>
      <c r="GDJ30" s="15"/>
      <c r="GDP30" s="25"/>
      <c r="GDW30" s="21"/>
      <c r="GDX30" s="21"/>
      <c r="GEB30" s="15"/>
      <c r="GEH30" s="25"/>
      <c r="GEO30" s="21"/>
      <c r="GEP30" s="21"/>
      <c r="GET30" s="15"/>
      <c r="GEZ30" s="25"/>
      <c r="GFG30" s="21"/>
      <c r="GFH30" s="21"/>
      <c r="GFL30" s="15"/>
      <c r="GFR30" s="25"/>
      <c r="GFY30" s="21"/>
      <c r="GFZ30" s="21"/>
      <c r="GGD30" s="15"/>
      <c r="GGJ30" s="25"/>
      <c r="GGQ30" s="21"/>
      <c r="GGR30" s="21"/>
      <c r="GGV30" s="15"/>
      <c r="GHB30" s="25"/>
      <c r="GHI30" s="21"/>
      <c r="GHJ30" s="21"/>
      <c r="GHN30" s="15"/>
      <c r="GHT30" s="25"/>
      <c r="GIA30" s="21"/>
      <c r="GIB30" s="21"/>
      <c r="GIF30" s="15"/>
      <c r="GIL30" s="25"/>
      <c r="GIS30" s="21"/>
      <c r="GIT30" s="21"/>
      <c r="GIX30" s="15"/>
      <c r="GJD30" s="25"/>
      <c r="GJK30" s="21"/>
      <c r="GJL30" s="21"/>
      <c r="GJP30" s="15"/>
      <c r="GJV30" s="25"/>
      <c r="GKC30" s="21"/>
      <c r="GKD30" s="21"/>
      <c r="GKH30" s="15"/>
      <c r="GKN30" s="25"/>
      <c r="GKU30" s="21"/>
      <c r="GKV30" s="21"/>
      <c r="GKZ30" s="15"/>
      <c r="GLF30" s="25"/>
      <c r="GLM30" s="21"/>
      <c r="GLN30" s="21"/>
      <c r="GLR30" s="15"/>
      <c r="GLX30" s="25"/>
      <c r="GME30" s="21"/>
      <c r="GMF30" s="21"/>
      <c r="GMJ30" s="15"/>
      <c r="GMP30" s="25"/>
      <c r="GMW30" s="21"/>
      <c r="GMX30" s="21"/>
      <c r="GNB30" s="15"/>
      <c r="GNH30" s="25"/>
      <c r="GNO30" s="21"/>
      <c r="GNP30" s="21"/>
      <c r="GNT30" s="15"/>
      <c r="GNZ30" s="25"/>
      <c r="GOG30" s="21"/>
      <c r="GOH30" s="21"/>
      <c r="GOL30" s="15"/>
      <c r="GOR30" s="25"/>
      <c r="GOY30" s="21"/>
      <c r="GOZ30" s="21"/>
      <c r="GPD30" s="15"/>
      <c r="GPJ30" s="25"/>
      <c r="GPQ30" s="21"/>
      <c r="GPR30" s="21"/>
      <c r="GPV30" s="15"/>
      <c r="GQB30" s="25"/>
      <c r="GQI30" s="21"/>
      <c r="GQJ30" s="21"/>
      <c r="GQN30" s="15"/>
      <c r="GQT30" s="25"/>
      <c r="GRA30" s="21"/>
      <c r="GRB30" s="21"/>
      <c r="GRF30" s="15"/>
      <c r="GRL30" s="25"/>
      <c r="GRS30" s="21"/>
      <c r="GRT30" s="21"/>
      <c r="GRX30" s="15"/>
      <c r="GSD30" s="25"/>
      <c r="GSK30" s="21"/>
      <c r="GSL30" s="21"/>
      <c r="GSP30" s="15"/>
      <c r="GSV30" s="25"/>
      <c r="GTC30" s="21"/>
      <c r="GTD30" s="21"/>
      <c r="GTH30" s="15"/>
      <c r="GTN30" s="25"/>
      <c r="GTU30" s="21"/>
      <c r="GTV30" s="21"/>
      <c r="GTZ30" s="15"/>
      <c r="GUF30" s="25"/>
      <c r="GUM30" s="21"/>
      <c r="GUN30" s="21"/>
      <c r="GUR30" s="15"/>
      <c r="GUX30" s="25"/>
      <c r="GVE30" s="21"/>
      <c r="GVF30" s="21"/>
      <c r="GVJ30" s="15"/>
      <c r="GVP30" s="25"/>
      <c r="GVW30" s="21"/>
      <c r="GVX30" s="21"/>
      <c r="GWB30" s="15"/>
      <c r="GWH30" s="25"/>
      <c r="GWO30" s="21"/>
      <c r="GWP30" s="21"/>
      <c r="GWT30" s="15"/>
      <c r="GWZ30" s="25"/>
      <c r="GXG30" s="21"/>
      <c r="GXH30" s="21"/>
      <c r="GXL30" s="15"/>
      <c r="GXR30" s="25"/>
      <c r="GXY30" s="21"/>
      <c r="GXZ30" s="21"/>
      <c r="GYD30" s="15"/>
      <c r="GYJ30" s="25"/>
      <c r="GYQ30" s="21"/>
      <c r="GYR30" s="21"/>
      <c r="GYV30" s="15"/>
      <c r="GZB30" s="25"/>
      <c r="GZI30" s="21"/>
      <c r="GZJ30" s="21"/>
      <c r="GZN30" s="15"/>
      <c r="GZT30" s="25"/>
      <c r="HAA30" s="21"/>
      <c r="HAB30" s="21"/>
      <c r="HAF30" s="15"/>
      <c r="HAL30" s="25"/>
      <c r="HAS30" s="21"/>
      <c r="HAT30" s="21"/>
      <c r="HAX30" s="15"/>
      <c r="HBD30" s="25"/>
      <c r="HBK30" s="21"/>
      <c r="HBL30" s="21"/>
      <c r="HBP30" s="15"/>
      <c r="HBV30" s="25"/>
      <c r="HCC30" s="21"/>
      <c r="HCD30" s="21"/>
      <c r="HCH30" s="15"/>
      <c r="HCN30" s="25"/>
      <c r="HCU30" s="21"/>
      <c r="HCV30" s="21"/>
      <c r="HCZ30" s="15"/>
      <c r="HDF30" s="25"/>
      <c r="HDM30" s="21"/>
      <c r="HDN30" s="21"/>
      <c r="HDR30" s="15"/>
      <c r="HDX30" s="25"/>
      <c r="HEE30" s="21"/>
      <c r="HEF30" s="21"/>
      <c r="HEJ30" s="15"/>
      <c r="HEP30" s="25"/>
      <c r="HEW30" s="21"/>
      <c r="HEX30" s="21"/>
      <c r="HFB30" s="15"/>
      <c r="HFH30" s="25"/>
      <c r="HFO30" s="21"/>
      <c r="HFP30" s="21"/>
      <c r="HFT30" s="15"/>
      <c r="HFZ30" s="25"/>
      <c r="HGG30" s="21"/>
      <c r="HGH30" s="21"/>
      <c r="HGL30" s="15"/>
      <c r="HGR30" s="25"/>
      <c r="HGY30" s="21"/>
      <c r="HGZ30" s="21"/>
      <c r="HHD30" s="15"/>
      <c r="HHJ30" s="25"/>
      <c r="HHQ30" s="21"/>
      <c r="HHR30" s="21"/>
      <c r="HHV30" s="15"/>
      <c r="HIB30" s="25"/>
      <c r="HII30" s="21"/>
      <c r="HIJ30" s="21"/>
      <c r="HIN30" s="15"/>
      <c r="HIT30" s="25"/>
      <c r="HJA30" s="21"/>
      <c r="HJB30" s="21"/>
      <c r="HJF30" s="15"/>
      <c r="HJL30" s="25"/>
      <c r="HJS30" s="21"/>
      <c r="HJT30" s="21"/>
      <c r="HJX30" s="15"/>
      <c r="HKD30" s="25"/>
      <c r="HKK30" s="21"/>
      <c r="HKL30" s="21"/>
      <c r="HKP30" s="15"/>
      <c r="HKV30" s="25"/>
      <c r="HLC30" s="21"/>
      <c r="HLD30" s="21"/>
      <c r="HLH30" s="15"/>
      <c r="HLN30" s="25"/>
      <c r="HLU30" s="21"/>
      <c r="HLV30" s="21"/>
      <c r="HLZ30" s="15"/>
      <c r="HMF30" s="25"/>
      <c r="HMM30" s="21"/>
      <c r="HMN30" s="21"/>
      <c r="HMR30" s="15"/>
      <c r="HMX30" s="25"/>
      <c r="HNE30" s="21"/>
      <c r="HNF30" s="21"/>
      <c r="HNJ30" s="15"/>
      <c r="HNP30" s="25"/>
      <c r="HNW30" s="21"/>
      <c r="HNX30" s="21"/>
      <c r="HOB30" s="15"/>
      <c r="HOH30" s="25"/>
      <c r="HOO30" s="21"/>
      <c r="HOP30" s="21"/>
      <c r="HOT30" s="15"/>
      <c r="HOZ30" s="25"/>
      <c r="HPG30" s="21"/>
      <c r="HPH30" s="21"/>
      <c r="HPL30" s="15"/>
      <c r="HPR30" s="25"/>
      <c r="HPY30" s="21"/>
      <c r="HPZ30" s="21"/>
      <c r="HQD30" s="15"/>
      <c r="HQJ30" s="25"/>
      <c r="HQQ30" s="21"/>
      <c r="HQR30" s="21"/>
      <c r="HQV30" s="15"/>
      <c r="HRB30" s="25"/>
      <c r="HRI30" s="21"/>
      <c r="HRJ30" s="21"/>
      <c r="HRN30" s="15"/>
      <c r="HRT30" s="25"/>
      <c r="HSA30" s="21"/>
      <c r="HSB30" s="21"/>
      <c r="HSF30" s="15"/>
      <c r="HSL30" s="25"/>
      <c r="HSS30" s="21"/>
      <c r="HST30" s="21"/>
      <c r="HSX30" s="15"/>
      <c r="HTD30" s="25"/>
      <c r="HTK30" s="21"/>
      <c r="HTL30" s="21"/>
      <c r="HTP30" s="15"/>
      <c r="HTV30" s="25"/>
      <c r="HUC30" s="21"/>
      <c r="HUD30" s="21"/>
      <c r="HUH30" s="15"/>
      <c r="HUN30" s="25"/>
      <c r="HUU30" s="21"/>
      <c r="HUV30" s="21"/>
      <c r="HUZ30" s="15"/>
      <c r="HVF30" s="25"/>
      <c r="HVM30" s="21"/>
      <c r="HVN30" s="21"/>
      <c r="HVR30" s="15"/>
      <c r="HVX30" s="25"/>
      <c r="HWE30" s="21"/>
      <c r="HWF30" s="21"/>
      <c r="HWJ30" s="15"/>
      <c r="HWP30" s="25"/>
      <c r="HWW30" s="21"/>
      <c r="HWX30" s="21"/>
      <c r="HXB30" s="15"/>
      <c r="HXH30" s="25"/>
      <c r="HXO30" s="21"/>
      <c r="HXP30" s="21"/>
      <c r="HXT30" s="15"/>
      <c r="HXZ30" s="25"/>
      <c r="HYG30" s="21"/>
      <c r="HYH30" s="21"/>
      <c r="HYL30" s="15"/>
      <c r="HYR30" s="25"/>
      <c r="HYY30" s="21"/>
      <c r="HYZ30" s="21"/>
      <c r="HZD30" s="15"/>
      <c r="HZJ30" s="25"/>
      <c r="HZQ30" s="21"/>
      <c r="HZR30" s="21"/>
      <c r="HZV30" s="15"/>
      <c r="IAB30" s="25"/>
      <c r="IAI30" s="21"/>
      <c r="IAJ30" s="21"/>
      <c r="IAN30" s="15"/>
      <c r="IAT30" s="25"/>
      <c r="IBA30" s="21"/>
      <c r="IBB30" s="21"/>
      <c r="IBF30" s="15"/>
      <c r="IBL30" s="25"/>
      <c r="IBS30" s="21"/>
      <c r="IBT30" s="21"/>
      <c r="IBX30" s="15"/>
      <c r="ICD30" s="25"/>
      <c r="ICK30" s="21"/>
      <c r="ICL30" s="21"/>
      <c r="ICP30" s="15"/>
      <c r="ICV30" s="25"/>
      <c r="IDC30" s="21"/>
      <c r="IDD30" s="21"/>
      <c r="IDH30" s="15"/>
      <c r="IDN30" s="25"/>
      <c r="IDU30" s="21"/>
      <c r="IDV30" s="21"/>
      <c r="IDZ30" s="15"/>
      <c r="IEF30" s="25"/>
      <c r="IEM30" s="21"/>
      <c r="IEN30" s="21"/>
      <c r="IER30" s="15"/>
      <c r="IEX30" s="25"/>
      <c r="IFE30" s="21"/>
      <c r="IFF30" s="21"/>
      <c r="IFJ30" s="15"/>
      <c r="IFP30" s="25"/>
      <c r="IFW30" s="21"/>
      <c r="IFX30" s="21"/>
      <c r="IGB30" s="15"/>
      <c r="IGH30" s="25"/>
      <c r="IGO30" s="21"/>
      <c r="IGP30" s="21"/>
      <c r="IGT30" s="15"/>
      <c r="IGZ30" s="25"/>
      <c r="IHG30" s="21"/>
      <c r="IHH30" s="21"/>
      <c r="IHL30" s="15"/>
      <c r="IHR30" s="25"/>
      <c r="IHY30" s="21"/>
      <c r="IHZ30" s="21"/>
      <c r="IID30" s="15"/>
      <c r="IIJ30" s="25"/>
      <c r="IIQ30" s="21"/>
      <c r="IIR30" s="21"/>
      <c r="IIV30" s="15"/>
      <c r="IJB30" s="25"/>
      <c r="IJI30" s="21"/>
      <c r="IJJ30" s="21"/>
      <c r="IJN30" s="15"/>
      <c r="IJT30" s="25"/>
      <c r="IKA30" s="21"/>
      <c r="IKB30" s="21"/>
      <c r="IKF30" s="15"/>
      <c r="IKL30" s="25"/>
      <c r="IKS30" s="21"/>
      <c r="IKT30" s="21"/>
      <c r="IKX30" s="15"/>
      <c r="ILD30" s="25"/>
      <c r="ILK30" s="21"/>
      <c r="ILL30" s="21"/>
      <c r="ILP30" s="15"/>
      <c r="ILV30" s="25"/>
      <c r="IMC30" s="21"/>
      <c r="IMD30" s="21"/>
      <c r="IMH30" s="15"/>
      <c r="IMN30" s="25"/>
      <c r="IMU30" s="21"/>
      <c r="IMV30" s="21"/>
      <c r="IMZ30" s="15"/>
      <c r="INF30" s="25"/>
      <c r="INM30" s="21"/>
      <c r="INN30" s="21"/>
      <c r="INR30" s="15"/>
      <c r="INX30" s="25"/>
      <c r="IOE30" s="21"/>
      <c r="IOF30" s="21"/>
      <c r="IOJ30" s="15"/>
      <c r="IOP30" s="25"/>
      <c r="IOW30" s="21"/>
      <c r="IOX30" s="21"/>
      <c r="IPB30" s="15"/>
      <c r="IPH30" s="25"/>
      <c r="IPO30" s="21"/>
      <c r="IPP30" s="21"/>
      <c r="IPT30" s="15"/>
      <c r="IPZ30" s="25"/>
      <c r="IQG30" s="21"/>
      <c r="IQH30" s="21"/>
      <c r="IQL30" s="15"/>
      <c r="IQR30" s="25"/>
      <c r="IQY30" s="21"/>
      <c r="IQZ30" s="21"/>
      <c r="IRD30" s="15"/>
      <c r="IRJ30" s="25"/>
      <c r="IRQ30" s="21"/>
      <c r="IRR30" s="21"/>
      <c r="IRV30" s="15"/>
      <c r="ISB30" s="25"/>
      <c r="ISI30" s="21"/>
      <c r="ISJ30" s="21"/>
      <c r="ISN30" s="15"/>
      <c r="IST30" s="25"/>
      <c r="ITA30" s="21"/>
      <c r="ITB30" s="21"/>
      <c r="ITF30" s="15"/>
      <c r="ITL30" s="25"/>
      <c r="ITS30" s="21"/>
      <c r="ITT30" s="21"/>
      <c r="ITX30" s="15"/>
      <c r="IUD30" s="25"/>
      <c r="IUK30" s="21"/>
      <c r="IUL30" s="21"/>
      <c r="IUP30" s="15"/>
      <c r="IUV30" s="25"/>
      <c r="IVC30" s="21"/>
      <c r="IVD30" s="21"/>
      <c r="IVH30" s="15"/>
      <c r="IVN30" s="25"/>
      <c r="IVU30" s="21"/>
      <c r="IVV30" s="21"/>
      <c r="IVZ30" s="15"/>
      <c r="IWF30" s="25"/>
      <c r="IWM30" s="21"/>
      <c r="IWN30" s="21"/>
      <c r="IWR30" s="15"/>
      <c r="IWX30" s="25"/>
      <c r="IXE30" s="21"/>
      <c r="IXF30" s="21"/>
      <c r="IXJ30" s="15"/>
      <c r="IXP30" s="25"/>
      <c r="IXW30" s="21"/>
      <c r="IXX30" s="21"/>
      <c r="IYB30" s="15"/>
      <c r="IYH30" s="25"/>
      <c r="IYO30" s="21"/>
      <c r="IYP30" s="21"/>
      <c r="IYT30" s="15"/>
      <c r="IYZ30" s="25"/>
      <c r="IZG30" s="21"/>
      <c r="IZH30" s="21"/>
      <c r="IZL30" s="15"/>
      <c r="IZR30" s="25"/>
      <c r="IZY30" s="21"/>
      <c r="IZZ30" s="21"/>
      <c r="JAD30" s="15"/>
      <c r="JAJ30" s="25"/>
      <c r="JAQ30" s="21"/>
      <c r="JAR30" s="21"/>
      <c r="JAV30" s="15"/>
      <c r="JBB30" s="25"/>
      <c r="JBI30" s="21"/>
      <c r="JBJ30" s="21"/>
      <c r="JBN30" s="15"/>
      <c r="JBT30" s="25"/>
      <c r="JCA30" s="21"/>
      <c r="JCB30" s="21"/>
      <c r="JCF30" s="15"/>
      <c r="JCL30" s="25"/>
      <c r="JCS30" s="21"/>
      <c r="JCT30" s="21"/>
      <c r="JCX30" s="15"/>
      <c r="JDD30" s="25"/>
      <c r="JDK30" s="21"/>
      <c r="JDL30" s="21"/>
      <c r="JDP30" s="15"/>
      <c r="JDV30" s="25"/>
      <c r="JEC30" s="21"/>
      <c r="JED30" s="21"/>
      <c r="JEH30" s="15"/>
      <c r="JEN30" s="25"/>
      <c r="JEU30" s="21"/>
      <c r="JEV30" s="21"/>
      <c r="JEZ30" s="15"/>
      <c r="JFF30" s="25"/>
      <c r="JFM30" s="21"/>
      <c r="JFN30" s="21"/>
      <c r="JFR30" s="15"/>
      <c r="JFX30" s="25"/>
      <c r="JGE30" s="21"/>
      <c r="JGF30" s="21"/>
      <c r="JGJ30" s="15"/>
      <c r="JGP30" s="25"/>
      <c r="JGW30" s="21"/>
      <c r="JGX30" s="21"/>
      <c r="JHB30" s="15"/>
      <c r="JHH30" s="25"/>
      <c r="JHO30" s="21"/>
      <c r="JHP30" s="21"/>
      <c r="JHT30" s="15"/>
      <c r="JHZ30" s="25"/>
      <c r="JIG30" s="21"/>
      <c r="JIH30" s="21"/>
      <c r="JIL30" s="15"/>
      <c r="JIR30" s="25"/>
      <c r="JIY30" s="21"/>
      <c r="JIZ30" s="21"/>
      <c r="JJD30" s="15"/>
      <c r="JJJ30" s="25"/>
      <c r="JJQ30" s="21"/>
      <c r="JJR30" s="21"/>
      <c r="JJV30" s="15"/>
      <c r="JKB30" s="25"/>
      <c r="JKI30" s="21"/>
      <c r="JKJ30" s="21"/>
      <c r="JKN30" s="15"/>
      <c r="JKT30" s="25"/>
      <c r="JLA30" s="21"/>
      <c r="JLB30" s="21"/>
      <c r="JLF30" s="15"/>
      <c r="JLL30" s="25"/>
      <c r="JLS30" s="21"/>
      <c r="JLT30" s="21"/>
      <c r="JLX30" s="15"/>
      <c r="JMD30" s="25"/>
      <c r="JMK30" s="21"/>
      <c r="JML30" s="21"/>
      <c r="JMP30" s="15"/>
      <c r="JMV30" s="25"/>
      <c r="JNC30" s="21"/>
      <c r="JND30" s="21"/>
      <c r="JNH30" s="15"/>
      <c r="JNN30" s="25"/>
      <c r="JNU30" s="21"/>
      <c r="JNV30" s="21"/>
      <c r="JNZ30" s="15"/>
      <c r="JOF30" s="25"/>
      <c r="JOM30" s="21"/>
      <c r="JON30" s="21"/>
      <c r="JOR30" s="15"/>
      <c r="JOX30" s="25"/>
      <c r="JPE30" s="21"/>
      <c r="JPF30" s="21"/>
      <c r="JPJ30" s="15"/>
      <c r="JPP30" s="25"/>
      <c r="JPW30" s="21"/>
      <c r="JPX30" s="21"/>
      <c r="JQB30" s="15"/>
      <c r="JQH30" s="25"/>
      <c r="JQO30" s="21"/>
      <c r="JQP30" s="21"/>
      <c r="JQT30" s="15"/>
      <c r="JQZ30" s="25"/>
      <c r="JRG30" s="21"/>
      <c r="JRH30" s="21"/>
      <c r="JRL30" s="15"/>
      <c r="JRR30" s="25"/>
      <c r="JRY30" s="21"/>
      <c r="JRZ30" s="21"/>
      <c r="JSD30" s="15"/>
      <c r="JSJ30" s="25"/>
      <c r="JSQ30" s="21"/>
      <c r="JSR30" s="21"/>
      <c r="JSV30" s="15"/>
      <c r="JTB30" s="25"/>
      <c r="JTI30" s="21"/>
      <c r="JTJ30" s="21"/>
      <c r="JTN30" s="15"/>
      <c r="JTT30" s="25"/>
      <c r="JUA30" s="21"/>
      <c r="JUB30" s="21"/>
      <c r="JUF30" s="15"/>
      <c r="JUL30" s="25"/>
      <c r="JUS30" s="21"/>
      <c r="JUT30" s="21"/>
      <c r="JUX30" s="15"/>
      <c r="JVD30" s="25"/>
      <c r="JVK30" s="21"/>
      <c r="JVL30" s="21"/>
      <c r="JVP30" s="15"/>
      <c r="JVV30" s="25"/>
      <c r="JWC30" s="21"/>
      <c r="JWD30" s="21"/>
      <c r="JWH30" s="15"/>
      <c r="JWN30" s="25"/>
      <c r="JWU30" s="21"/>
      <c r="JWV30" s="21"/>
      <c r="JWZ30" s="15"/>
      <c r="JXF30" s="25"/>
      <c r="JXM30" s="21"/>
      <c r="JXN30" s="21"/>
      <c r="JXR30" s="15"/>
      <c r="JXX30" s="25"/>
      <c r="JYE30" s="21"/>
      <c r="JYF30" s="21"/>
      <c r="JYJ30" s="15"/>
      <c r="JYP30" s="25"/>
      <c r="JYW30" s="21"/>
      <c r="JYX30" s="21"/>
      <c r="JZB30" s="15"/>
      <c r="JZH30" s="25"/>
      <c r="JZO30" s="21"/>
      <c r="JZP30" s="21"/>
      <c r="JZT30" s="15"/>
      <c r="JZZ30" s="25"/>
      <c r="KAG30" s="21"/>
      <c r="KAH30" s="21"/>
      <c r="KAL30" s="15"/>
      <c r="KAR30" s="25"/>
      <c r="KAY30" s="21"/>
      <c r="KAZ30" s="21"/>
      <c r="KBD30" s="15"/>
      <c r="KBJ30" s="25"/>
      <c r="KBQ30" s="21"/>
      <c r="KBR30" s="21"/>
      <c r="KBV30" s="15"/>
      <c r="KCB30" s="25"/>
      <c r="KCI30" s="21"/>
      <c r="KCJ30" s="21"/>
      <c r="KCN30" s="15"/>
      <c r="KCT30" s="25"/>
      <c r="KDA30" s="21"/>
      <c r="KDB30" s="21"/>
      <c r="KDF30" s="15"/>
      <c r="KDL30" s="25"/>
      <c r="KDS30" s="21"/>
      <c r="KDT30" s="21"/>
      <c r="KDX30" s="15"/>
      <c r="KED30" s="25"/>
      <c r="KEK30" s="21"/>
      <c r="KEL30" s="21"/>
      <c r="KEP30" s="15"/>
      <c r="KEV30" s="25"/>
      <c r="KFC30" s="21"/>
      <c r="KFD30" s="21"/>
      <c r="KFH30" s="15"/>
      <c r="KFN30" s="25"/>
      <c r="KFU30" s="21"/>
      <c r="KFV30" s="21"/>
      <c r="KFZ30" s="15"/>
      <c r="KGF30" s="25"/>
      <c r="KGM30" s="21"/>
      <c r="KGN30" s="21"/>
      <c r="KGR30" s="15"/>
      <c r="KGX30" s="25"/>
      <c r="KHE30" s="21"/>
      <c r="KHF30" s="21"/>
      <c r="KHJ30" s="15"/>
      <c r="KHP30" s="25"/>
      <c r="KHW30" s="21"/>
      <c r="KHX30" s="21"/>
      <c r="KIB30" s="15"/>
      <c r="KIH30" s="25"/>
      <c r="KIO30" s="21"/>
      <c r="KIP30" s="21"/>
      <c r="KIT30" s="15"/>
      <c r="KIZ30" s="25"/>
      <c r="KJG30" s="21"/>
      <c r="KJH30" s="21"/>
      <c r="KJL30" s="15"/>
      <c r="KJR30" s="25"/>
      <c r="KJY30" s="21"/>
      <c r="KJZ30" s="21"/>
      <c r="KKD30" s="15"/>
      <c r="KKJ30" s="25"/>
      <c r="KKQ30" s="21"/>
      <c r="KKR30" s="21"/>
      <c r="KKV30" s="15"/>
      <c r="KLB30" s="25"/>
      <c r="KLI30" s="21"/>
      <c r="KLJ30" s="21"/>
      <c r="KLN30" s="15"/>
      <c r="KLT30" s="25"/>
      <c r="KMA30" s="21"/>
      <c r="KMB30" s="21"/>
      <c r="KMF30" s="15"/>
      <c r="KML30" s="25"/>
      <c r="KMS30" s="21"/>
      <c r="KMT30" s="21"/>
      <c r="KMX30" s="15"/>
      <c r="KND30" s="25"/>
      <c r="KNK30" s="21"/>
      <c r="KNL30" s="21"/>
      <c r="KNP30" s="15"/>
      <c r="KNV30" s="25"/>
      <c r="KOC30" s="21"/>
      <c r="KOD30" s="21"/>
      <c r="KOH30" s="15"/>
      <c r="KON30" s="25"/>
      <c r="KOU30" s="21"/>
      <c r="KOV30" s="21"/>
      <c r="KOZ30" s="15"/>
      <c r="KPF30" s="25"/>
      <c r="KPM30" s="21"/>
      <c r="KPN30" s="21"/>
      <c r="KPR30" s="15"/>
      <c r="KPX30" s="25"/>
      <c r="KQE30" s="21"/>
      <c r="KQF30" s="21"/>
      <c r="KQJ30" s="15"/>
      <c r="KQP30" s="25"/>
      <c r="KQW30" s="21"/>
      <c r="KQX30" s="21"/>
      <c r="KRB30" s="15"/>
      <c r="KRH30" s="25"/>
      <c r="KRO30" s="21"/>
      <c r="KRP30" s="21"/>
      <c r="KRT30" s="15"/>
      <c r="KRZ30" s="25"/>
      <c r="KSG30" s="21"/>
      <c r="KSH30" s="21"/>
      <c r="KSL30" s="15"/>
      <c r="KSR30" s="25"/>
      <c r="KSY30" s="21"/>
      <c r="KSZ30" s="21"/>
      <c r="KTD30" s="15"/>
      <c r="KTJ30" s="25"/>
      <c r="KTQ30" s="21"/>
      <c r="KTR30" s="21"/>
      <c r="KTV30" s="15"/>
      <c r="KUB30" s="25"/>
      <c r="KUI30" s="21"/>
      <c r="KUJ30" s="21"/>
      <c r="KUN30" s="15"/>
      <c r="KUT30" s="25"/>
      <c r="KVA30" s="21"/>
      <c r="KVB30" s="21"/>
      <c r="KVF30" s="15"/>
      <c r="KVL30" s="25"/>
      <c r="KVS30" s="21"/>
      <c r="KVT30" s="21"/>
      <c r="KVX30" s="15"/>
      <c r="KWD30" s="25"/>
      <c r="KWK30" s="21"/>
      <c r="KWL30" s="21"/>
      <c r="KWP30" s="15"/>
      <c r="KWV30" s="25"/>
      <c r="KXC30" s="21"/>
      <c r="KXD30" s="21"/>
      <c r="KXH30" s="15"/>
      <c r="KXN30" s="25"/>
      <c r="KXU30" s="21"/>
      <c r="KXV30" s="21"/>
      <c r="KXZ30" s="15"/>
      <c r="KYF30" s="25"/>
      <c r="KYM30" s="21"/>
      <c r="KYN30" s="21"/>
      <c r="KYR30" s="15"/>
      <c r="KYX30" s="25"/>
      <c r="KZE30" s="21"/>
      <c r="KZF30" s="21"/>
      <c r="KZJ30" s="15"/>
      <c r="KZP30" s="25"/>
      <c r="KZW30" s="21"/>
      <c r="KZX30" s="21"/>
      <c r="LAB30" s="15"/>
      <c r="LAH30" s="25"/>
      <c r="LAO30" s="21"/>
      <c r="LAP30" s="21"/>
      <c r="LAT30" s="15"/>
      <c r="LAZ30" s="25"/>
      <c r="LBG30" s="21"/>
      <c r="LBH30" s="21"/>
      <c r="LBL30" s="15"/>
      <c r="LBR30" s="25"/>
      <c r="LBY30" s="21"/>
      <c r="LBZ30" s="21"/>
      <c r="LCD30" s="15"/>
      <c r="LCJ30" s="25"/>
      <c r="LCQ30" s="21"/>
      <c r="LCR30" s="21"/>
      <c r="LCV30" s="15"/>
      <c r="LDB30" s="25"/>
      <c r="LDI30" s="21"/>
      <c r="LDJ30" s="21"/>
      <c r="LDN30" s="15"/>
      <c r="LDT30" s="25"/>
      <c r="LEA30" s="21"/>
      <c r="LEB30" s="21"/>
      <c r="LEF30" s="15"/>
      <c r="LEL30" s="25"/>
      <c r="LES30" s="21"/>
      <c r="LET30" s="21"/>
      <c r="LEX30" s="15"/>
      <c r="LFD30" s="25"/>
      <c r="LFK30" s="21"/>
      <c r="LFL30" s="21"/>
      <c r="LFP30" s="15"/>
      <c r="LFV30" s="25"/>
      <c r="LGC30" s="21"/>
      <c r="LGD30" s="21"/>
      <c r="LGH30" s="15"/>
      <c r="LGN30" s="25"/>
      <c r="LGU30" s="21"/>
      <c r="LGV30" s="21"/>
      <c r="LGZ30" s="15"/>
      <c r="LHF30" s="25"/>
      <c r="LHM30" s="21"/>
      <c r="LHN30" s="21"/>
      <c r="LHR30" s="15"/>
      <c r="LHX30" s="25"/>
      <c r="LIE30" s="21"/>
      <c r="LIF30" s="21"/>
      <c r="LIJ30" s="15"/>
      <c r="LIP30" s="25"/>
      <c r="LIW30" s="21"/>
      <c r="LIX30" s="21"/>
      <c r="LJB30" s="15"/>
      <c r="LJH30" s="25"/>
      <c r="LJO30" s="21"/>
      <c r="LJP30" s="21"/>
      <c r="LJT30" s="15"/>
      <c r="LJZ30" s="25"/>
      <c r="LKG30" s="21"/>
      <c r="LKH30" s="21"/>
      <c r="LKL30" s="15"/>
      <c r="LKR30" s="25"/>
      <c r="LKY30" s="21"/>
      <c r="LKZ30" s="21"/>
      <c r="LLD30" s="15"/>
      <c r="LLJ30" s="25"/>
      <c r="LLQ30" s="21"/>
      <c r="LLR30" s="21"/>
      <c r="LLV30" s="15"/>
      <c r="LMB30" s="25"/>
      <c r="LMI30" s="21"/>
      <c r="LMJ30" s="21"/>
      <c r="LMN30" s="15"/>
      <c r="LMT30" s="25"/>
      <c r="LNA30" s="21"/>
      <c r="LNB30" s="21"/>
      <c r="LNF30" s="15"/>
      <c r="LNL30" s="25"/>
      <c r="LNS30" s="21"/>
      <c r="LNT30" s="21"/>
      <c r="LNX30" s="15"/>
      <c r="LOD30" s="25"/>
      <c r="LOK30" s="21"/>
      <c r="LOL30" s="21"/>
      <c r="LOP30" s="15"/>
      <c r="LOV30" s="25"/>
      <c r="LPC30" s="21"/>
      <c r="LPD30" s="21"/>
      <c r="LPH30" s="15"/>
      <c r="LPN30" s="25"/>
      <c r="LPU30" s="21"/>
      <c r="LPV30" s="21"/>
      <c r="LPZ30" s="15"/>
      <c r="LQF30" s="25"/>
      <c r="LQM30" s="21"/>
      <c r="LQN30" s="21"/>
      <c r="LQR30" s="15"/>
      <c r="LQX30" s="25"/>
      <c r="LRE30" s="21"/>
      <c r="LRF30" s="21"/>
      <c r="LRJ30" s="15"/>
      <c r="LRP30" s="25"/>
      <c r="LRW30" s="21"/>
      <c r="LRX30" s="21"/>
      <c r="LSB30" s="15"/>
      <c r="LSH30" s="25"/>
      <c r="LSO30" s="21"/>
      <c r="LSP30" s="21"/>
      <c r="LST30" s="15"/>
      <c r="LSZ30" s="25"/>
      <c r="LTG30" s="21"/>
      <c r="LTH30" s="21"/>
      <c r="LTL30" s="15"/>
      <c r="LTR30" s="25"/>
      <c r="LTY30" s="21"/>
      <c r="LTZ30" s="21"/>
      <c r="LUD30" s="15"/>
      <c r="LUJ30" s="25"/>
      <c r="LUQ30" s="21"/>
      <c r="LUR30" s="21"/>
      <c r="LUV30" s="15"/>
      <c r="LVB30" s="25"/>
      <c r="LVI30" s="21"/>
      <c r="LVJ30" s="21"/>
      <c r="LVN30" s="15"/>
      <c r="LVT30" s="25"/>
      <c r="LWA30" s="21"/>
      <c r="LWB30" s="21"/>
      <c r="LWF30" s="15"/>
      <c r="LWL30" s="25"/>
      <c r="LWS30" s="21"/>
      <c r="LWT30" s="21"/>
      <c r="LWX30" s="15"/>
      <c r="LXD30" s="25"/>
      <c r="LXK30" s="21"/>
      <c r="LXL30" s="21"/>
      <c r="LXP30" s="15"/>
      <c r="LXV30" s="25"/>
      <c r="LYC30" s="21"/>
      <c r="LYD30" s="21"/>
      <c r="LYH30" s="15"/>
      <c r="LYN30" s="25"/>
      <c r="LYU30" s="21"/>
      <c r="LYV30" s="21"/>
      <c r="LYZ30" s="15"/>
      <c r="LZF30" s="25"/>
      <c r="LZM30" s="21"/>
      <c r="LZN30" s="21"/>
      <c r="LZR30" s="15"/>
      <c r="LZX30" s="25"/>
      <c r="MAE30" s="21"/>
      <c r="MAF30" s="21"/>
      <c r="MAJ30" s="15"/>
      <c r="MAP30" s="25"/>
      <c r="MAW30" s="21"/>
      <c r="MAX30" s="21"/>
      <c r="MBB30" s="15"/>
      <c r="MBH30" s="25"/>
      <c r="MBO30" s="21"/>
      <c r="MBP30" s="21"/>
      <c r="MBT30" s="15"/>
      <c r="MBZ30" s="25"/>
      <c r="MCG30" s="21"/>
      <c r="MCH30" s="21"/>
      <c r="MCL30" s="15"/>
      <c r="MCR30" s="25"/>
      <c r="MCY30" s="21"/>
      <c r="MCZ30" s="21"/>
      <c r="MDD30" s="15"/>
      <c r="MDJ30" s="25"/>
      <c r="MDQ30" s="21"/>
      <c r="MDR30" s="21"/>
      <c r="MDV30" s="15"/>
      <c r="MEB30" s="25"/>
      <c r="MEI30" s="21"/>
      <c r="MEJ30" s="21"/>
      <c r="MEN30" s="15"/>
      <c r="MET30" s="25"/>
      <c r="MFA30" s="21"/>
      <c r="MFB30" s="21"/>
      <c r="MFF30" s="15"/>
      <c r="MFL30" s="25"/>
      <c r="MFS30" s="21"/>
      <c r="MFT30" s="21"/>
      <c r="MFX30" s="15"/>
      <c r="MGD30" s="25"/>
      <c r="MGK30" s="21"/>
      <c r="MGL30" s="21"/>
      <c r="MGP30" s="15"/>
      <c r="MGV30" s="25"/>
      <c r="MHC30" s="21"/>
      <c r="MHD30" s="21"/>
      <c r="MHH30" s="15"/>
      <c r="MHN30" s="25"/>
      <c r="MHU30" s="21"/>
      <c r="MHV30" s="21"/>
      <c r="MHZ30" s="15"/>
      <c r="MIF30" s="25"/>
      <c r="MIM30" s="21"/>
      <c r="MIN30" s="21"/>
      <c r="MIR30" s="15"/>
      <c r="MIX30" s="25"/>
      <c r="MJE30" s="21"/>
      <c r="MJF30" s="21"/>
      <c r="MJJ30" s="15"/>
      <c r="MJP30" s="25"/>
      <c r="MJW30" s="21"/>
      <c r="MJX30" s="21"/>
      <c r="MKB30" s="15"/>
      <c r="MKH30" s="25"/>
      <c r="MKO30" s="21"/>
      <c r="MKP30" s="21"/>
      <c r="MKT30" s="15"/>
      <c r="MKZ30" s="25"/>
      <c r="MLG30" s="21"/>
      <c r="MLH30" s="21"/>
      <c r="MLL30" s="15"/>
      <c r="MLR30" s="25"/>
      <c r="MLY30" s="21"/>
      <c r="MLZ30" s="21"/>
      <c r="MMD30" s="15"/>
      <c r="MMJ30" s="25"/>
      <c r="MMQ30" s="21"/>
      <c r="MMR30" s="21"/>
      <c r="MMV30" s="15"/>
      <c r="MNB30" s="25"/>
      <c r="MNI30" s="21"/>
      <c r="MNJ30" s="21"/>
      <c r="MNN30" s="15"/>
      <c r="MNT30" s="25"/>
      <c r="MOA30" s="21"/>
      <c r="MOB30" s="21"/>
      <c r="MOF30" s="15"/>
      <c r="MOL30" s="25"/>
      <c r="MOS30" s="21"/>
      <c r="MOT30" s="21"/>
      <c r="MOX30" s="15"/>
      <c r="MPD30" s="25"/>
      <c r="MPK30" s="21"/>
      <c r="MPL30" s="21"/>
      <c r="MPP30" s="15"/>
      <c r="MPV30" s="25"/>
      <c r="MQC30" s="21"/>
      <c r="MQD30" s="21"/>
      <c r="MQH30" s="15"/>
      <c r="MQN30" s="25"/>
      <c r="MQU30" s="21"/>
      <c r="MQV30" s="21"/>
      <c r="MQZ30" s="15"/>
      <c r="MRF30" s="25"/>
      <c r="MRM30" s="21"/>
      <c r="MRN30" s="21"/>
      <c r="MRR30" s="15"/>
      <c r="MRX30" s="25"/>
      <c r="MSE30" s="21"/>
      <c r="MSF30" s="21"/>
      <c r="MSJ30" s="15"/>
      <c r="MSP30" s="25"/>
      <c r="MSW30" s="21"/>
      <c r="MSX30" s="21"/>
      <c r="MTB30" s="15"/>
      <c r="MTH30" s="25"/>
      <c r="MTO30" s="21"/>
      <c r="MTP30" s="21"/>
      <c r="MTT30" s="15"/>
      <c r="MTZ30" s="25"/>
      <c r="MUG30" s="21"/>
      <c r="MUH30" s="21"/>
      <c r="MUL30" s="15"/>
      <c r="MUR30" s="25"/>
      <c r="MUY30" s="21"/>
      <c r="MUZ30" s="21"/>
      <c r="MVD30" s="15"/>
      <c r="MVJ30" s="25"/>
      <c r="MVQ30" s="21"/>
      <c r="MVR30" s="21"/>
      <c r="MVV30" s="15"/>
      <c r="MWB30" s="25"/>
      <c r="MWI30" s="21"/>
      <c r="MWJ30" s="21"/>
      <c r="MWN30" s="15"/>
      <c r="MWT30" s="25"/>
      <c r="MXA30" s="21"/>
      <c r="MXB30" s="21"/>
      <c r="MXF30" s="15"/>
      <c r="MXL30" s="25"/>
      <c r="MXS30" s="21"/>
      <c r="MXT30" s="21"/>
      <c r="MXX30" s="15"/>
      <c r="MYD30" s="25"/>
      <c r="MYK30" s="21"/>
      <c r="MYL30" s="21"/>
      <c r="MYP30" s="15"/>
      <c r="MYV30" s="25"/>
      <c r="MZC30" s="21"/>
      <c r="MZD30" s="21"/>
      <c r="MZH30" s="15"/>
      <c r="MZN30" s="25"/>
      <c r="MZU30" s="21"/>
      <c r="MZV30" s="21"/>
      <c r="MZZ30" s="15"/>
      <c r="NAF30" s="25"/>
      <c r="NAM30" s="21"/>
      <c r="NAN30" s="21"/>
      <c r="NAR30" s="15"/>
      <c r="NAX30" s="25"/>
      <c r="NBE30" s="21"/>
      <c r="NBF30" s="21"/>
      <c r="NBJ30" s="15"/>
      <c r="NBP30" s="25"/>
      <c r="NBW30" s="21"/>
      <c r="NBX30" s="21"/>
      <c r="NCB30" s="15"/>
      <c r="NCH30" s="25"/>
      <c r="NCO30" s="21"/>
      <c r="NCP30" s="21"/>
      <c r="NCT30" s="15"/>
      <c r="NCZ30" s="25"/>
      <c r="NDG30" s="21"/>
      <c r="NDH30" s="21"/>
      <c r="NDL30" s="15"/>
      <c r="NDR30" s="25"/>
      <c r="NDY30" s="21"/>
      <c r="NDZ30" s="21"/>
      <c r="NED30" s="15"/>
      <c r="NEJ30" s="25"/>
      <c r="NEQ30" s="21"/>
      <c r="NER30" s="21"/>
      <c r="NEV30" s="15"/>
      <c r="NFB30" s="25"/>
      <c r="NFI30" s="21"/>
      <c r="NFJ30" s="21"/>
      <c r="NFN30" s="15"/>
      <c r="NFT30" s="25"/>
      <c r="NGA30" s="21"/>
      <c r="NGB30" s="21"/>
      <c r="NGF30" s="15"/>
      <c r="NGL30" s="25"/>
      <c r="NGS30" s="21"/>
      <c r="NGT30" s="21"/>
      <c r="NGX30" s="15"/>
      <c r="NHD30" s="25"/>
      <c r="NHK30" s="21"/>
      <c r="NHL30" s="21"/>
      <c r="NHP30" s="15"/>
      <c r="NHV30" s="25"/>
      <c r="NIC30" s="21"/>
      <c r="NID30" s="21"/>
      <c r="NIH30" s="15"/>
      <c r="NIN30" s="25"/>
      <c r="NIU30" s="21"/>
      <c r="NIV30" s="21"/>
      <c r="NIZ30" s="15"/>
      <c r="NJF30" s="25"/>
      <c r="NJM30" s="21"/>
      <c r="NJN30" s="21"/>
      <c r="NJR30" s="15"/>
      <c r="NJX30" s="25"/>
      <c r="NKE30" s="21"/>
      <c r="NKF30" s="21"/>
      <c r="NKJ30" s="15"/>
      <c r="NKP30" s="25"/>
      <c r="NKW30" s="21"/>
      <c r="NKX30" s="21"/>
      <c r="NLB30" s="15"/>
      <c r="NLH30" s="25"/>
      <c r="NLO30" s="21"/>
      <c r="NLP30" s="21"/>
      <c r="NLT30" s="15"/>
      <c r="NLZ30" s="25"/>
      <c r="NMG30" s="21"/>
      <c r="NMH30" s="21"/>
      <c r="NML30" s="15"/>
      <c r="NMR30" s="25"/>
      <c r="NMY30" s="21"/>
      <c r="NMZ30" s="21"/>
      <c r="NND30" s="15"/>
      <c r="NNJ30" s="25"/>
      <c r="NNQ30" s="21"/>
      <c r="NNR30" s="21"/>
      <c r="NNV30" s="15"/>
      <c r="NOB30" s="25"/>
      <c r="NOI30" s="21"/>
      <c r="NOJ30" s="21"/>
      <c r="NON30" s="15"/>
      <c r="NOT30" s="25"/>
      <c r="NPA30" s="21"/>
      <c r="NPB30" s="21"/>
      <c r="NPF30" s="15"/>
      <c r="NPL30" s="25"/>
      <c r="NPS30" s="21"/>
      <c r="NPT30" s="21"/>
      <c r="NPX30" s="15"/>
      <c r="NQD30" s="25"/>
      <c r="NQK30" s="21"/>
      <c r="NQL30" s="21"/>
      <c r="NQP30" s="15"/>
      <c r="NQV30" s="25"/>
      <c r="NRC30" s="21"/>
      <c r="NRD30" s="21"/>
      <c r="NRH30" s="15"/>
      <c r="NRN30" s="25"/>
      <c r="NRU30" s="21"/>
      <c r="NRV30" s="21"/>
      <c r="NRZ30" s="15"/>
      <c r="NSF30" s="25"/>
      <c r="NSM30" s="21"/>
      <c r="NSN30" s="21"/>
      <c r="NSR30" s="15"/>
      <c r="NSX30" s="25"/>
      <c r="NTE30" s="21"/>
      <c r="NTF30" s="21"/>
      <c r="NTJ30" s="15"/>
      <c r="NTP30" s="25"/>
      <c r="NTW30" s="21"/>
      <c r="NTX30" s="21"/>
      <c r="NUB30" s="15"/>
      <c r="NUH30" s="25"/>
      <c r="NUO30" s="21"/>
      <c r="NUP30" s="21"/>
      <c r="NUT30" s="15"/>
      <c r="NUZ30" s="25"/>
      <c r="NVG30" s="21"/>
      <c r="NVH30" s="21"/>
      <c r="NVL30" s="15"/>
      <c r="NVR30" s="25"/>
      <c r="NVY30" s="21"/>
      <c r="NVZ30" s="21"/>
      <c r="NWD30" s="15"/>
      <c r="NWJ30" s="25"/>
      <c r="NWQ30" s="21"/>
      <c r="NWR30" s="21"/>
      <c r="NWV30" s="15"/>
      <c r="NXB30" s="25"/>
      <c r="NXI30" s="21"/>
      <c r="NXJ30" s="21"/>
      <c r="NXN30" s="15"/>
      <c r="NXT30" s="25"/>
      <c r="NYA30" s="21"/>
      <c r="NYB30" s="21"/>
      <c r="NYF30" s="15"/>
      <c r="NYL30" s="25"/>
      <c r="NYS30" s="21"/>
      <c r="NYT30" s="21"/>
      <c r="NYX30" s="15"/>
      <c r="NZD30" s="25"/>
      <c r="NZK30" s="21"/>
      <c r="NZL30" s="21"/>
      <c r="NZP30" s="15"/>
      <c r="NZV30" s="25"/>
      <c r="OAC30" s="21"/>
      <c r="OAD30" s="21"/>
      <c r="OAH30" s="15"/>
      <c r="OAN30" s="25"/>
      <c r="OAU30" s="21"/>
      <c r="OAV30" s="21"/>
      <c r="OAZ30" s="15"/>
      <c r="OBF30" s="25"/>
      <c r="OBM30" s="21"/>
      <c r="OBN30" s="21"/>
      <c r="OBR30" s="15"/>
      <c r="OBX30" s="25"/>
      <c r="OCE30" s="21"/>
      <c r="OCF30" s="21"/>
      <c r="OCJ30" s="15"/>
      <c r="OCP30" s="25"/>
      <c r="OCW30" s="21"/>
      <c r="OCX30" s="21"/>
      <c r="ODB30" s="15"/>
      <c r="ODH30" s="25"/>
      <c r="ODO30" s="21"/>
      <c r="ODP30" s="21"/>
      <c r="ODT30" s="15"/>
      <c r="ODZ30" s="25"/>
      <c r="OEG30" s="21"/>
      <c r="OEH30" s="21"/>
      <c r="OEL30" s="15"/>
      <c r="OER30" s="25"/>
      <c r="OEY30" s="21"/>
      <c r="OEZ30" s="21"/>
      <c r="OFD30" s="15"/>
      <c r="OFJ30" s="25"/>
      <c r="OFQ30" s="21"/>
      <c r="OFR30" s="21"/>
      <c r="OFV30" s="15"/>
      <c r="OGB30" s="25"/>
      <c r="OGI30" s="21"/>
      <c r="OGJ30" s="21"/>
      <c r="OGN30" s="15"/>
      <c r="OGT30" s="25"/>
      <c r="OHA30" s="21"/>
      <c r="OHB30" s="21"/>
      <c r="OHF30" s="15"/>
      <c r="OHL30" s="25"/>
      <c r="OHS30" s="21"/>
      <c r="OHT30" s="21"/>
      <c r="OHX30" s="15"/>
      <c r="OID30" s="25"/>
      <c r="OIK30" s="21"/>
      <c r="OIL30" s="21"/>
      <c r="OIP30" s="15"/>
      <c r="OIV30" s="25"/>
      <c r="OJC30" s="21"/>
      <c r="OJD30" s="21"/>
      <c r="OJH30" s="15"/>
      <c r="OJN30" s="25"/>
      <c r="OJU30" s="21"/>
      <c r="OJV30" s="21"/>
      <c r="OJZ30" s="15"/>
      <c r="OKF30" s="25"/>
      <c r="OKM30" s="21"/>
      <c r="OKN30" s="21"/>
      <c r="OKR30" s="15"/>
      <c r="OKX30" s="25"/>
      <c r="OLE30" s="21"/>
      <c r="OLF30" s="21"/>
      <c r="OLJ30" s="15"/>
      <c r="OLP30" s="25"/>
      <c r="OLW30" s="21"/>
      <c r="OLX30" s="21"/>
      <c r="OMB30" s="15"/>
      <c r="OMH30" s="25"/>
      <c r="OMO30" s="21"/>
      <c r="OMP30" s="21"/>
      <c r="OMT30" s="15"/>
      <c r="OMZ30" s="25"/>
      <c r="ONG30" s="21"/>
      <c r="ONH30" s="21"/>
      <c r="ONL30" s="15"/>
      <c r="ONR30" s="25"/>
      <c r="ONY30" s="21"/>
      <c r="ONZ30" s="21"/>
      <c r="OOD30" s="15"/>
      <c r="OOJ30" s="25"/>
      <c r="OOQ30" s="21"/>
      <c r="OOR30" s="21"/>
      <c r="OOV30" s="15"/>
      <c r="OPB30" s="25"/>
      <c r="OPI30" s="21"/>
      <c r="OPJ30" s="21"/>
      <c r="OPN30" s="15"/>
      <c r="OPT30" s="25"/>
      <c r="OQA30" s="21"/>
      <c r="OQB30" s="21"/>
      <c r="OQF30" s="15"/>
      <c r="OQL30" s="25"/>
      <c r="OQS30" s="21"/>
      <c r="OQT30" s="21"/>
      <c r="OQX30" s="15"/>
      <c r="ORD30" s="25"/>
      <c r="ORK30" s="21"/>
      <c r="ORL30" s="21"/>
      <c r="ORP30" s="15"/>
      <c r="ORV30" s="25"/>
      <c r="OSC30" s="21"/>
      <c r="OSD30" s="21"/>
      <c r="OSH30" s="15"/>
      <c r="OSN30" s="25"/>
      <c r="OSU30" s="21"/>
      <c r="OSV30" s="21"/>
      <c r="OSZ30" s="15"/>
      <c r="OTF30" s="25"/>
      <c r="OTM30" s="21"/>
      <c r="OTN30" s="21"/>
      <c r="OTR30" s="15"/>
      <c r="OTX30" s="25"/>
      <c r="OUE30" s="21"/>
      <c r="OUF30" s="21"/>
      <c r="OUJ30" s="15"/>
      <c r="OUP30" s="25"/>
      <c r="OUW30" s="21"/>
      <c r="OUX30" s="21"/>
      <c r="OVB30" s="15"/>
      <c r="OVH30" s="25"/>
      <c r="OVO30" s="21"/>
      <c r="OVP30" s="21"/>
      <c r="OVT30" s="15"/>
      <c r="OVZ30" s="25"/>
      <c r="OWG30" s="21"/>
      <c r="OWH30" s="21"/>
      <c r="OWL30" s="15"/>
      <c r="OWR30" s="25"/>
      <c r="OWY30" s="21"/>
      <c r="OWZ30" s="21"/>
      <c r="OXD30" s="15"/>
      <c r="OXJ30" s="25"/>
      <c r="OXQ30" s="21"/>
      <c r="OXR30" s="21"/>
      <c r="OXV30" s="15"/>
      <c r="OYB30" s="25"/>
      <c r="OYI30" s="21"/>
      <c r="OYJ30" s="21"/>
      <c r="OYN30" s="15"/>
      <c r="OYT30" s="25"/>
      <c r="OZA30" s="21"/>
      <c r="OZB30" s="21"/>
      <c r="OZF30" s="15"/>
      <c r="OZL30" s="25"/>
      <c r="OZS30" s="21"/>
      <c r="OZT30" s="21"/>
      <c r="OZX30" s="15"/>
      <c r="PAD30" s="25"/>
      <c r="PAK30" s="21"/>
      <c r="PAL30" s="21"/>
      <c r="PAP30" s="15"/>
      <c r="PAV30" s="25"/>
      <c r="PBC30" s="21"/>
      <c r="PBD30" s="21"/>
      <c r="PBH30" s="15"/>
      <c r="PBN30" s="25"/>
      <c r="PBU30" s="21"/>
      <c r="PBV30" s="21"/>
      <c r="PBZ30" s="15"/>
      <c r="PCF30" s="25"/>
      <c r="PCM30" s="21"/>
      <c r="PCN30" s="21"/>
      <c r="PCR30" s="15"/>
      <c r="PCX30" s="25"/>
      <c r="PDE30" s="21"/>
      <c r="PDF30" s="21"/>
      <c r="PDJ30" s="15"/>
      <c r="PDP30" s="25"/>
      <c r="PDW30" s="21"/>
      <c r="PDX30" s="21"/>
      <c r="PEB30" s="15"/>
      <c r="PEH30" s="25"/>
      <c r="PEO30" s="21"/>
      <c r="PEP30" s="21"/>
      <c r="PET30" s="15"/>
      <c r="PEZ30" s="25"/>
      <c r="PFG30" s="21"/>
      <c r="PFH30" s="21"/>
      <c r="PFL30" s="15"/>
      <c r="PFR30" s="25"/>
      <c r="PFY30" s="21"/>
      <c r="PFZ30" s="21"/>
      <c r="PGD30" s="15"/>
      <c r="PGJ30" s="25"/>
      <c r="PGQ30" s="21"/>
      <c r="PGR30" s="21"/>
      <c r="PGV30" s="15"/>
      <c r="PHB30" s="25"/>
      <c r="PHI30" s="21"/>
      <c r="PHJ30" s="21"/>
      <c r="PHN30" s="15"/>
      <c r="PHT30" s="25"/>
      <c r="PIA30" s="21"/>
      <c r="PIB30" s="21"/>
      <c r="PIF30" s="15"/>
      <c r="PIL30" s="25"/>
      <c r="PIS30" s="21"/>
      <c r="PIT30" s="21"/>
      <c r="PIX30" s="15"/>
      <c r="PJD30" s="25"/>
      <c r="PJK30" s="21"/>
      <c r="PJL30" s="21"/>
      <c r="PJP30" s="15"/>
      <c r="PJV30" s="25"/>
      <c r="PKC30" s="21"/>
      <c r="PKD30" s="21"/>
      <c r="PKH30" s="15"/>
      <c r="PKN30" s="25"/>
      <c r="PKU30" s="21"/>
      <c r="PKV30" s="21"/>
      <c r="PKZ30" s="15"/>
      <c r="PLF30" s="25"/>
      <c r="PLM30" s="21"/>
      <c r="PLN30" s="21"/>
      <c r="PLR30" s="15"/>
      <c r="PLX30" s="25"/>
      <c r="PME30" s="21"/>
      <c r="PMF30" s="21"/>
      <c r="PMJ30" s="15"/>
      <c r="PMP30" s="25"/>
      <c r="PMW30" s="21"/>
      <c r="PMX30" s="21"/>
      <c r="PNB30" s="15"/>
      <c r="PNH30" s="25"/>
      <c r="PNO30" s="21"/>
      <c r="PNP30" s="21"/>
      <c r="PNT30" s="15"/>
      <c r="PNZ30" s="25"/>
      <c r="POG30" s="21"/>
      <c r="POH30" s="21"/>
      <c r="POL30" s="15"/>
      <c r="POR30" s="25"/>
      <c r="POY30" s="21"/>
      <c r="POZ30" s="21"/>
      <c r="PPD30" s="15"/>
      <c r="PPJ30" s="25"/>
      <c r="PPQ30" s="21"/>
      <c r="PPR30" s="21"/>
      <c r="PPV30" s="15"/>
      <c r="PQB30" s="25"/>
      <c r="PQI30" s="21"/>
      <c r="PQJ30" s="21"/>
      <c r="PQN30" s="15"/>
      <c r="PQT30" s="25"/>
      <c r="PRA30" s="21"/>
      <c r="PRB30" s="21"/>
      <c r="PRF30" s="15"/>
      <c r="PRL30" s="25"/>
      <c r="PRS30" s="21"/>
      <c r="PRT30" s="21"/>
      <c r="PRX30" s="15"/>
      <c r="PSD30" s="25"/>
      <c r="PSK30" s="21"/>
      <c r="PSL30" s="21"/>
      <c r="PSP30" s="15"/>
      <c r="PSV30" s="25"/>
      <c r="PTC30" s="21"/>
      <c r="PTD30" s="21"/>
      <c r="PTH30" s="15"/>
      <c r="PTN30" s="25"/>
      <c r="PTU30" s="21"/>
      <c r="PTV30" s="21"/>
      <c r="PTZ30" s="15"/>
      <c r="PUF30" s="25"/>
      <c r="PUM30" s="21"/>
      <c r="PUN30" s="21"/>
      <c r="PUR30" s="15"/>
      <c r="PUX30" s="25"/>
      <c r="PVE30" s="21"/>
      <c r="PVF30" s="21"/>
      <c r="PVJ30" s="15"/>
      <c r="PVP30" s="25"/>
      <c r="PVW30" s="21"/>
      <c r="PVX30" s="21"/>
      <c r="PWB30" s="15"/>
      <c r="PWH30" s="25"/>
      <c r="PWO30" s="21"/>
      <c r="PWP30" s="21"/>
      <c r="PWT30" s="15"/>
      <c r="PWZ30" s="25"/>
      <c r="PXG30" s="21"/>
      <c r="PXH30" s="21"/>
      <c r="PXL30" s="15"/>
      <c r="PXR30" s="25"/>
      <c r="PXY30" s="21"/>
      <c r="PXZ30" s="21"/>
      <c r="PYD30" s="15"/>
      <c r="PYJ30" s="25"/>
      <c r="PYQ30" s="21"/>
      <c r="PYR30" s="21"/>
      <c r="PYV30" s="15"/>
      <c r="PZB30" s="25"/>
      <c r="PZI30" s="21"/>
      <c r="PZJ30" s="21"/>
      <c r="PZN30" s="15"/>
      <c r="PZT30" s="25"/>
      <c r="QAA30" s="21"/>
      <c r="QAB30" s="21"/>
      <c r="QAF30" s="15"/>
      <c r="QAL30" s="25"/>
      <c r="QAS30" s="21"/>
      <c r="QAT30" s="21"/>
      <c r="QAX30" s="15"/>
      <c r="QBD30" s="25"/>
      <c r="QBK30" s="21"/>
      <c r="QBL30" s="21"/>
      <c r="QBP30" s="15"/>
      <c r="QBV30" s="25"/>
      <c r="QCC30" s="21"/>
      <c r="QCD30" s="21"/>
      <c r="QCH30" s="15"/>
      <c r="QCN30" s="25"/>
      <c r="QCU30" s="21"/>
      <c r="QCV30" s="21"/>
      <c r="QCZ30" s="15"/>
      <c r="QDF30" s="25"/>
      <c r="QDM30" s="21"/>
      <c r="QDN30" s="21"/>
      <c r="QDR30" s="15"/>
      <c r="QDX30" s="25"/>
      <c r="QEE30" s="21"/>
      <c r="QEF30" s="21"/>
      <c r="QEJ30" s="15"/>
      <c r="QEP30" s="25"/>
      <c r="QEW30" s="21"/>
      <c r="QEX30" s="21"/>
      <c r="QFB30" s="15"/>
      <c r="QFH30" s="25"/>
      <c r="QFO30" s="21"/>
      <c r="QFP30" s="21"/>
      <c r="QFT30" s="15"/>
      <c r="QFZ30" s="25"/>
      <c r="QGG30" s="21"/>
      <c r="QGH30" s="21"/>
      <c r="QGL30" s="15"/>
      <c r="QGR30" s="25"/>
      <c r="QGY30" s="21"/>
      <c r="QGZ30" s="21"/>
      <c r="QHD30" s="15"/>
      <c r="QHJ30" s="25"/>
      <c r="QHQ30" s="21"/>
      <c r="QHR30" s="21"/>
      <c r="QHV30" s="15"/>
      <c r="QIB30" s="25"/>
      <c r="QII30" s="21"/>
      <c r="QIJ30" s="21"/>
      <c r="QIN30" s="15"/>
      <c r="QIT30" s="25"/>
      <c r="QJA30" s="21"/>
      <c r="QJB30" s="21"/>
      <c r="QJF30" s="15"/>
      <c r="QJL30" s="25"/>
      <c r="QJS30" s="21"/>
      <c r="QJT30" s="21"/>
      <c r="QJX30" s="15"/>
      <c r="QKD30" s="25"/>
      <c r="QKK30" s="21"/>
      <c r="QKL30" s="21"/>
      <c r="QKP30" s="15"/>
      <c r="QKV30" s="25"/>
      <c r="QLC30" s="21"/>
      <c r="QLD30" s="21"/>
      <c r="QLH30" s="15"/>
      <c r="QLN30" s="25"/>
      <c r="QLU30" s="21"/>
      <c r="QLV30" s="21"/>
      <c r="QLZ30" s="15"/>
      <c r="QMF30" s="25"/>
      <c r="QMM30" s="21"/>
      <c r="QMN30" s="21"/>
      <c r="QMR30" s="15"/>
      <c r="QMX30" s="25"/>
      <c r="QNE30" s="21"/>
      <c r="QNF30" s="21"/>
      <c r="QNJ30" s="15"/>
      <c r="QNP30" s="25"/>
      <c r="QNW30" s="21"/>
      <c r="QNX30" s="21"/>
      <c r="QOB30" s="15"/>
      <c r="QOH30" s="25"/>
      <c r="QOO30" s="21"/>
      <c r="QOP30" s="21"/>
      <c r="QOT30" s="15"/>
      <c r="QOZ30" s="25"/>
      <c r="QPG30" s="21"/>
      <c r="QPH30" s="21"/>
      <c r="QPL30" s="15"/>
      <c r="QPR30" s="25"/>
      <c r="QPY30" s="21"/>
      <c r="QPZ30" s="21"/>
      <c r="QQD30" s="15"/>
      <c r="QQJ30" s="25"/>
      <c r="QQQ30" s="21"/>
      <c r="QQR30" s="21"/>
      <c r="QQV30" s="15"/>
      <c r="QRB30" s="25"/>
      <c r="QRI30" s="21"/>
      <c r="QRJ30" s="21"/>
      <c r="QRN30" s="15"/>
      <c r="QRT30" s="25"/>
      <c r="QSA30" s="21"/>
      <c r="QSB30" s="21"/>
      <c r="QSF30" s="15"/>
      <c r="QSL30" s="25"/>
      <c r="QSS30" s="21"/>
      <c r="QST30" s="21"/>
      <c r="QSX30" s="15"/>
      <c r="QTD30" s="25"/>
      <c r="QTK30" s="21"/>
      <c r="QTL30" s="21"/>
      <c r="QTP30" s="15"/>
      <c r="QTV30" s="25"/>
      <c r="QUC30" s="21"/>
      <c r="QUD30" s="21"/>
      <c r="QUH30" s="15"/>
      <c r="QUN30" s="25"/>
      <c r="QUU30" s="21"/>
      <c r="QUV30" s="21"/>
      <c r="QUZ30" s="15"/>
      <c r="QVF30" s="25"/>
      <c r="QVM30" s="21"/>
      <c r="QVN30" s="21"/>
      <c r="QVR30" s="15"/>
      <c r="QVX30" s="25"/>
      <c r="QWE30" s="21"/>
      <c r="QWF30" s="21"/>
      <c r="QWJ30" s="15"/>
      <c r="QWP30" s="25"/>
      <c r="QWW30" s="21"/>
      <c r="QWX30" s="21"/>
      <c r="QXB30" s="15"/>
      <c r="QXH30" s="25"/>
      <c r="QXO30" s="21"/>
      <c r="QXP30" s="21"/>
      <c r="QXT30" s="15"/>
      <c r="QXZ30" s="25"/>
      <c r="QYG30" s="21"/>
      <c r="QYH30" s="21"/>
      <c r="QYL30" s="15"/>
      <c r="QYR30" s="25"/>
      <c r="QYY30" s="21"/>
      <c r="QYZ30" s="21"/>
      <c r="QZD30" s="15"/>
      <c r="QZJ30" s="25"/>
      <c r="QZQ30" s="21"/>
      <c r="QZR30" s="21"/>
      <c r="QZV30" s="15"/>
      <c r="RAB30" s="25"/>
      <c r="RAI30" s="21"/>
      <c r="RAJ30" s="21"/>
      <c r="RAN30" s="15"/>
      <c r="RAT30" s="25"/>
      <c r="RBA30" s="21"/>
      <c r="RBB30" s="21"/>
      <c r="RBF30" s="15"/>
      <c r="RBL30" s="25"/>
      <c r="RBS30" s="21"/>
      <c r="RBT30" s="21"/>
      <c r="RBX30" s="15"/>
      <c r="RCD30" s="25"/>
      <c r="RCK30" s="21"/>
      <c r="RCL30" s="21"/>
      <c r="RCP30" s="15"/>
      <c r="RCV30" s="25"/>
      <c r="RDC30" s="21"/>
      <c r="RDD30" s="21"/>
      <c r="RDH30" s="15"/>
      <c r="RDN30" s="25"/>
      <c r="RDU30" s="21"/>
      <c r="RDV30" s="21"/>
      <c r="RDZ30" s="15"/>
      <c r="REF30" s="25"/>
      <c r="REM30" s="21"/>
      <c r="REN30" s="21"/>
      <c r="RER30" s="15"/>
      <c r="REX30" s="25"/>
      <c r="RFE30" s="21"/>
      <c r="RFF30" s="21"/>
      <c r="RFJ30" s="15"/>
      <c r="RFP30" s="25"/>
      <c r="RFW30" s="21"/>
      <c r="RFX30" s="21"/>
      <c r="RGB30" s="15"/>
      <c r="RGH30" s="25"/>
      <c r="RGO30" s="21"/>
      <c r="RGP30" s="21"/>
      <c r="RGT30" s="15"/>
      <c r="RGZ30" s="25"/>
      <c r="RHG30" s="21"/>
      <c r="RHH30" s="21"/>
      <c r="RHL30" s="15"/>
      <c r="RHR30" s="25"/>
      <c r="RHY30" s="21"/>
      <c r="RHZ30" s="21"/>
      <c r="RID30" s="15"/>
      <c r="RIJ30" s="25"/>
      <c r="RIQ30" s="21"/>
      <c r="RIR30" s="21"/>
      <c r="RIV30" s="15"/>
      <c r="RJB30" s="25"/>
      <c r="RJI30" s="21"/>
      <c r="RJJ30" s="21"/>
      <c r="RJN30" s="15"/>
      <c r="RJT30" s="25"/>
      <c r="RKA30" s="21"/>
      <c r="RKB30" s="21"/>
      <c r="RKF30" s="15"/>
      <c r="RKL30" s="25"/>
      <c r="RKS30" s="21"/>
      <c r="RKT30" s="21"/>
      <c r="RKX30" s="15"/>
      <c r="RLD30" s="25"/>
      <c r="RLK30" s="21"/>
      <c r="RLL30" s="21"/>
      <c r="RLP30" s="15"/>
      <c r="RLV30" s="25"/>
      <c r="RMC30" s="21"/>
      <c r="RMD30" s="21"/>
      <c r="RMH30" s="15"/>
      <c r="RMN30" s="25"/>
      <c r="RMU30" s="21"/>
      <c r="RMV30" s="21"/>
      <c r="RMZ30" s="15"/>
      <c r="RNF30" s="25"/>
      <c r="RNM30" s="21"/>
      <c r="RNN30" s="21"/>
      <c r="RNR30" s="15"/>
      <c r="RNX30" s="25"/>
      <c r="ROE30" s="21"/>
      <c r="ROF30" s="21"/>
      <c r="ROJ30" s="15"/>
      <c r="ROP30" s="25"/>
      <c r="ROW30" s="21"/>
      <c r="ROX30" s="21"/>
      <c r="RPB30" s="15"/>
      <c r="RPH30" s="25"/>
      <c r="RPO30" s="21"/>
      <c r="RPP30" s="21"/>
      <c r="RPT30" s="15"/>
      <c r="RPZ30" s="25"/>
      <c r="RQG30" s="21"/>
      <c r="RQH30" s="21"/>
      <c r="RQL30" s="15"/>
      <c r="RQR30" s="25"/>
      <c r="RQY30" s="21"/>
      <c r="RQZ30" s="21"/>
      <c r="RRD30" s="15"/>
      <c r="RRJ30" s="25"/>
      <c r="RRQ30" s="21"/>
      <c r="RRR30" s="21"/>
      <c r="RRV30" s="15"/>
      <c r="RSB30" s="25"/>
      <c r="RSI30" s="21"/>
      <c r="RSJ30" s="21"/>
      <c r="RSN30" s="15"/>
      <c r="RST30" s="25"/>
      <c r="RTA30" s="21"/>
      <c r="RTB30" s="21"/>
      <c r="RTF30" s="15"/>
      <c r="RTL30" s="25"/>
      <c r="RTS30" s="21"/>
      <c r="RTT30" s="21"/>
      <c r="RTX30" s="15"/>
      <c r="RUD30" s="25"/>
      <c r="RUK30" s="21"/>
      <c r="RUL30" s="21"/>
      <c r="RUP30" s="15"/>
      <c r="RUV30" s="25"/>
      <c r="RVC30" s="21"/>
      <c r="RVD30" s="21"/>
      <c r="RVH30" s="15"/>
      <c r="RVN30" s="25"/>
      <c r="RVU30" s="21"/>
      <c r="RVV30" s="21"/>
      <c r="RVZ30" s="15"/>
      <c r="RWF30" s="25"/>
      <c r="RWM30" s="21"/>
      <c r="RWN30" s="21"/>
      <c r="RWR30" s="15"/>
      <c r="RWX30" s="25"/>
      <c r="RXE30" s="21"/>
      <c r="RXF30" s="21"/>
      <c r="RXJ30" s="15"/>
      <c r="RXP30" s="25"/>
      <c r="RXW30" s="21"/>
      <c r="RXX30" s="21"/>
      <c r="RYB30" s="15"/>
      <c r="RYH30" s="25"/>
      <c r="RYO30" s="21"/>
      <c r="RYP30" s="21"/>
      <c r="RYT30" s="15"/>
      <c r="RYZ30" s="25"/>
      <c r="RZG30" s="21"/>
      <c r="RZH30" s="21"/>
      <c r="RZL30" s="15"/>
      <c r="RZR30" s="25"/>
      <c r="RZY30" s="21"/>
      <c r="RZZ30" s="21"/>
      <c r="SAD30" s="15"/>
      <c r="SAJ30" s="25"/>
      <c r="SAQ30" s="21"/>
      <c r="SAR30" s="21"/>
      <c r="SAV30" s="15"/>
      <c r="SBB30" s="25"/>
      <c r="SBI30" s="21"/>
      <c r="SBJ30" s="21"/>
      <c r="SBN30" s="15"/>
      <c r="SBT30" s="25"/>
      <c r="SCA30" s="21"/>
      <c r="SCB30" s="21"/>
      <c r="SCF30" s="15"/>
      <c r="SCL30" s="25"/>
      <c r="SCS30" s="21"/>
      <c r="SCT30" s="21"/>
      <c r="SCX30" s="15"/>
      <c r="SDD30" s="25"/>
      <c r="SDK30" s="21"/>
      <c r="SDL30" s="21"/>
      <c r="SDP30" s="15"/>
      <c r="SDV30" s="25"/>
      <c r="SEC30" s="21"/>
      <c r="SED30" s="21"/>
      <c r="SEH30" s="15"/>
      <c r="SEN30" s="25"/>
      <c r="SEU30" s="21"/>
      <c r="SEV30" s="21"/>
      <c r="SEZ30" s="15"/>
      <c r="SFF30" s="25"/>
      <c r="SFM30" s="21"/>
      <c r="SFN30" s="21"/>
      <c r="SFR30" s="15"/>
      <c r="SFX30" s="25"/>
      <c r="SGE30" s="21"/>
      <c r="SGF30" s="21"/>
      <c r="SGJ30" s="15"/>
      <c r="SGP30" s="25"/>
      <c r="SGW30" s="21"/>
      <c r="SGX30" s="21"/>
      <c r="SHB30" s="15"/>
      <c r="SHH30" s="25"/>
      <c r="SHO30" s="21"/>
      <c r="SHP30" s="21"/>
      <c r="SHT30" s="15"/>
      <c r="SHZ30" s="25"/>
      <c r="SIG30" s="21"/>
      <c r="SIH30" s="21"/>
      <c r="SIL30" s="15"/>
      <c r="SIR30" s="25"/>
      <c r="SIY30" s="21"/>
      <c r="SIZ30" s="21"/>
      <c r="SJD30" s="15"/>
      <c r="SJJ30" s="25"/>
      <c r="SJQ30" s="21"/>
      <c r="SJR30" s="21"/>
      <c r="SJV30" s="15"/>
      <c r="SKB30" s="25"/>
      <c r="SKI30" s="21"/>
      <c r="SKJ30" s="21"/>
      <c r="SKN30" s="15"/>
      <c r="SKT30" s="25"/>
      <c r="SLA30" s="21"/>
      <c r="SLB30" s="21"/>
      <c r="SLF30" s="15"/>
      <c r="SLL30" s="25"/>
      <c r="SLS30" s="21"/>
      <c r="SLT30" s="21"/>
      <c r="SLX30" s="15"/>
      <c r="SMD30" s="25"/>
      <c r="SMK30" s="21"/>
      <c r="SML30" s="21"/>
      <c r="SMP30" s="15"/>
      <c r="SMV30" s="25"/>
      <c r="SNC30" s="21"/>
      <c r="SND30" s="21"/>
      <c r="SNH30" s="15"/>
      <c r="SNN30" s="25"/>
      <c r="SNU30" s="21"/>
      <c r="SNV30" s="21"/>
      <c r="SNZ30" s="15"/>
      <c r="SOF30" s="25"/>
      <c r="SOM30" s="21"/>
      <c r="SON30" s="21"/>
      <c r="SOR30" s="15"/>
      <c r="SOX30" s="25"/>
      <c r="SPE30" s="21"/>
      <c r="SPF30" s="21"/>
      <c r="SPJ30" s="15"/>
      <c r="SPP30" s="25"/>
      <c r="SPW30" s="21"/>
      <c r="SPX30" s="21"/>
      <c r="SQB30" s="15"/>
      <c r="SQH30" s="25"/>
      <c r="SQO30" s="21"/>
      <c r="SQP30" s="21"/>
      <c r="SQT30" s="15"/>
      <c r="SQZ30" s="25"/>
      <c r="SRG30" s="21"/>
      <c r="SRH30" s="21"/>
      <c r="SRL30" s="15"/>
      <c r="SRR30" s="25"/>
      <c r="SRY30" s="21"/>
      <c r="SRZ30" s="21"/>
      <c r="SSD30" s="15"/>
      <c r="SSJ30" s="25"/>
      <c r="SSQ30" s="21"/>
      <c r="SSR30" s="21"/>
      <c r="SSV30" s="15"/>
      <c r="STB30" s="25"/>
      <c r="STI30" s="21"/>
      <c r="STJ30" s="21"/>
      <c r="STN30" s="15"/>
      <c r="STT30" s="25"/>
      <c r="SUA30" s="21"/>
      <c r="SUB30" s="21"/>
      <c r="SUF30" s="15"/>
      <c r="SUL30" s="25"/>
      <c r="SUS30" s="21"/>
      <c r="SUT30" s="21"/>
      <c r="SUX30" s="15"/>
      <c r="SVD30" s="25"/>
      <c r="SVK30" s="21"/>
      <c r="SVL30" s="21"/>
      <c r="SVP30" s="15"/>
      <c r="SVV30" s="25"/>
      <c r="SWC30" s="21"/>
      <c r="SWD30" s="21"/>
      <c r="SWH30" s="15"/>
      <c r="SWN30" s="25"/>
      <c r="SWU30" s="21"/>
      <c r="SWV30" s="21"/>
      <c r="SWZ30" s="15"/>
      <c r="SXF30" s="25"/>
      <c r="SXM30" s="21"/>
      <c r="SXN30" s="21"/>
      <c r="SXR30" s="15"/>
      <c r="SXX30" s="25"/>
      <c r="SYE30" s="21"/>
      <c r="SYF30" s="21"/>
      <c r="SYJ30" s="15"/>
      <c r="SYP30" s="25"/>
      <c r="SYW30" s="21"/>
      <c r="SYX30" s="21"/>
      <c r="SZB30" s="15"/>
      <c r="SZH30" s="25"/>
      <c r="SZO30" s="21"/>
      <c r="SZP30" s="21"/>
      <c r="SZT30" s="15"/>
      <c r="SZZ30" s="25"/>
      <c r="TAG30" s="21"/>
      <c r="TAH30" s="21"/>
      <c r="TAL30" s="15"/>
      <c r="TAR30" s="25"/>
      <c r="TAY30" s="21"/>
      <c r="TAZ30" s="21"/>
      <c r="TBD30" s="15"/>
      <c r="TBJ30" s="25"/>
      <c r="TBQ30" s="21"/>
      <c r="TBR30" s="21"/>
      <c r="TBV30" s="15"/>
      <c r="TCB30" s="25"/>
      <c r="TCI30" s="21"/>
      <c r="TCJ30" s="21"/>
      <c r="TCN30" s="15"/>
      <c r="TCT30" s="25"/>
      <c r="TDA30" s="21"/>
      <c r="TDB30" s="21"/>
      <c r="TDF30" s="15"/>
      <c r="TDL30" s="25"/>
      <c r="TDS30" s="21"/>
      <c r="TDT30" s="21"/>
      <c r="TDX30" s="15"/>
      <c r="TED30" s="25"/>
      <c r="TEK30" s="21"/>
      <c r="TEL30" s="21"/>
      <c r="TEP30" s="15"/>
      <c r="TEV30" s="25"/>
      <c r="TFC30" s="21"/>
      <c r="TFD30" s="21"/>
      <c r="TFH30" s="15"/>
      <c r="TFN30" s="25"/>
      <c r="TFU30" s="21"/>
      <c r="TFV30" s="21"/>
      <c r="TFZ30" s="15"/>
      <c r="TGF30" s="25"/>
      <c r="TGM30" s="21"/>
      <c r="TGN30" s="21"/>
      <c r="TGR30" s="15"/>
      <c r="TGX30" s="25"/>
      <c r="THE30" s="21"/>
      <c r="THF30" s="21"/>
      <c r="THJ30" s="15"/>
      <c r="THP30" s="25"/>
      <c r="THW30" s="21"/>
      <c r="THX30" s="21"/>
      <c r="TIB30" s="15"/>
      <c r="TIH30" s="25"/>
      <c r="TIO30" s="21"/>
      <c r="TIP30" s="21"/>
      <c r="TIT30" s="15"/>
      <c r="TIZ30" s="25"/>
      <c r="TJG30" s="21"/>
      <c r="TJH30" s="21"/>
      <c r="TJL30" s="15"/>
      <c r="TJR30" s="25"/>
      <c r="TJY30" s="21"/>
      <c r="TJZ30" s="21"/>
      <c r="TKD30" s="15"/>
      <c r="TKJ30" s="25"/>
      <c r="TKQ30" s="21"/>
      <c r="TKR30" s="21"/>
      <c r="TKV30" s="15"/>
      <c r="TLB30" s="25"/>
      <c r="TLI30" s="21"/>
      <c r="TLJ30" s="21"/>
      <c r="TLN30" s="15"/>
      <c r="TLT30" s="25"/>
      <c r="TMA30" s="21"/>
      <c r="TMB30" s="21"/>
      <c r="TMF30" s="15"/>
      <c r="TML30" s="25"/>
      <c r="TMS30" s="21"/>
      <c r="TMT30" s="21"/>
      <c r="TMX30" s="15"/>
      <c r="TND30" s="25"/>
      <c r="TNK30" s="21"/>
      <c r="TNL30" s="21"/>
      <c r="TNP30" s="15"/>
      <c r="TNV30" s="25"/>
      <c r="TOC30" s="21"/>
      <c r="TOD30" s="21"/>
      <c r="TOH30" s="15"/>
      <c r="TON30" s="25"/>
      <c r="TOU30" s="21"/>
      <c r="TOV30" s="21"/>
      <c r="TOZ30" s="15"/>
      <c r="TPF30" s="25"/>
      <c r="TPM30" s="21"/>
      <c r="TPN30" s="21"/>
      <c r="TPR30" s="15"/>
      <c r="TPX30" s="25"/>
      <c r="TQE30" s="21"/>
      <c r="TQF30" s="21"/>
      <c r="TQJ30" s="15"/>
      <c r="TQP30" s="25"/>
      <c r="TQW30" s="21"/>
      <c r="TQX30" s="21"/>
      <c r="TRB30" s="15"/>
      <c r="TRH30" s="25"/>
      <c r="TRO30" s="21"/>
      <c r="TRP30" s="21"/>
      <c r="TRT30" s="15"/>
      <c r="TRZ30" s="25"/>
      <c r="TSG30" s="21"/>
      <c r="TSH30" s="21"/>
      <c r="TSL30" s="15"/>
      <c r="TSR30" s="25"/>
      <c r="TSY30" s="21"/>
      <c r="TSZ30" s="21"/>
      <c r="TTD30" s="15"/>
      <c r="TTJ30" s="25"/>
      <c r="TTQ30" s="21"/>
      <c r="TTR30" s="21"/>
      <c r="TTV30" s="15"/>
      <c r="TUB30" s="25"/>
      <c r="TUI30" s="21"/>
      <c r="TUJ30" s="21"/>
      <c r="TUN30" s="15"/>
      <c r="TUT30" s="25"/>
      <c r="TVA30" s="21"/>
      <c r="TVB30" s="21"/>
      <c r="TVF30" s="15"/>
      <c r="TVL30" s="25"/>
      <c r="TVS30" s="21"/>
      <c r="TVT30" s="21"/>
      <c r="TVX30" s="15"/>
      <c r="TWD30" s="25"/>
      <c r="TWK30" s="21"/>
      <c r="TWL30" s="21"/>
      <c r="TWP30" s="15"/>
      <c r="TWV30" s="25"/>
      <c r="TXC30" s="21"/>
      <c r="TXD30" s="21"/>
      <c r="TXH30" s="15"/>
      <c r="TXN30" s="25"/>
      <c r="TXU30" s="21"/>
      <c r="TXV30" s="21"/>
      <c r="TXZ30" s="15"/>
      <c r="TYF30" s="25"/>
      <c r="TYM30" s="21"/>
      <c r="TYN30" s="21"/>
      <c r="TYR30" s="15"/>
      <c r="TYX30" s="25"/>
      <c r="TZE30" s="21"/>
      <c r="TZF30" s="21"/>
      <c r="TZJ30" s="15"/>
      <c r="TZP30" s="25"/>
      <c r="TZW30" s="21"/>
      <c r="TZX30" s="21"/>
      <c r="UAB30" s="15"/>
      <c r="UAH30" s="25"/>
      <c r="UAO30" s="21"/>
      <c r="UAP30" s="21"/>
      <c r="UAT30" s="15"/>
      <c r="UAZ30" s="25"/>
      <c r="UBG30" s="21"/>
      <c r="UBH30" s="21"/>
      <c r="UBL30" s="15"/>
      <c r="UBR30" s="25"/>
      <c r="UBY30" s="21"/>
      <c r="UBZ30" s="21"/>
      <c r="UCD30" s="15"/>
      <c r="UCJ30" s="25"/>
      <c r="UCQ30" s="21"/>
      <c r="UCR30" s="21"/>
      <c r="UCV30" s="15"/>
      <c r="UDB30" s="25"/>
      <c r="UDI30" s="21"/>
      <c r="UDJ30" s="21"/>
      <c r="UDN30" s="15"/>
      <c r="UDT30" s="25"/>
      <c r="UEA30" s="21"/>
      <c r="UEB30" s="21"/>
      <c r="UEF30" s="15"/>
      <c r="UEL30" s="25"/>
      <c r="UES30" s="21"/>
      <c r="UET30" s="21"/>
      <c r="UEX30" s="15"/>
      <c r="UFD30" s="25"/>
      <c r="UFK30" s="21"/>
      <c r="UFL30" s="21"/>
      <c r="UFP30" s="15"/>
      <c r="UFV30" s="25"/>
      <c r="UGC30" s="21"/>
      <c r="UGD30" s="21"/>
      <c r="UGH30" s="15"/>
      <c r="UGN30" s="25"/>
      <c r="UGU30" s="21"/>
      <c r="UGV30" s="21"/>
      <c r="UGZ30" s="15"/>
      <c r="UHF30" s="25"/>
      <c r="UHM30" s="21"/>
      <c r="UHN30" s="21"/>
      <c r="UHR30" s="15"/>
      <c r="UHX30" s="25"/>
      <c r="UIE30" s="21"/>
      <c r="UIF30" s="21"/>
      <c r="UIJ30" s="15"/>
      <c r="UIP30" s="25"/>
      <c r="UIW30" s="21"/>
      <c r="UIX30" s="21"/>
      <c r="UJB30" s="15"/>
      <c r="UJH30" s="25"/>
      <c r="UJO30" s="21"/>
      <c r="UJP30" s="21"/>
      <c r="UJT30" s="15"/>
      <c r="UJZ30" s="25"/>
      <c r="UKG30" s="21"/>
      <c r="UKH30" s="21"/>
      <c r="UKL30" s="15"/>
      <c r="UKR30" s="25"/>
      <c r="UKY30" s="21"/>
      <c r="UKZ30" s="21"/>
      <c r="ULD30" s="15"/>
      <c r="ULJ30" s="25"/>
      <c r="ULQ30" s="21"/>
      <c r="ULR30" s="21"/>
      <c r="ULV30" s="15"/>
      <c r="UMB30" s="25"/>
      <c r="UMI30" s="21"/>
      <c r="UMJ30" s="21"/>
      <c r="UMN30" s="15"/>
      <c r="UMT30" s="25"/>
      <c r="UNA30" s="21"/>
      <c r="UNB30" s="21"/>
      <c r="UNF30" s="15"/>
      <c r="UNL30" s="25"/>
      <c r="UNS30" s="21"/>
      <c r="UNT30" s="21"/>
      <c r="UNX30" s="15"/>
      <c r="UOD30" s="25"/>
      <c r="UOK30" s="21"/>
      <c r="UOL30" s="21"/>
      <c r="UOP30" s="15"/>
      <c r="UOV30" s="25"/>
      <c r="UPC30" s="21"/>
      <c r="UPD30" s="21"/>
      <c r="UPH30" s="15"/>
      <c r="UPN30" s="25"/>
      <c r="UPU30" s="21"/>
      <c r="UPV30" s="21"/>
      <c r="UPZ30" s="15"/>
      <c r="UQF30" s="25"/>
      <c r="UQM30" s="21"/>
      <c r="UQN30" s="21"/>
      <c r="UQR30" s="15"/>
      <c r="UQX30" s="25"/>
      <c r="URE30" s="21"/>
      <c r="URF30" s="21"/>
      <c r="URJ30" s="15"/>
      <c r="URP30" s="25"/>
      <c r="URW30" s="21"/>
      <c r="URX30" s="21"/>
      <c r="USB30" s="15"/>
      <c r="USH30" s="25"/>
      <c r="USO30" s="21"/>
      <c r="USP30" s="21"/>
      <c r="UST30" s="15"/>
      <c r="USZ30" s="25"/>
      <c r="UTG30" s="21"/>
      <c r="UTH30" s="21"/>
      <c r="UTL30" s="15"/>
      <c r="UTR30" s="25"/>
      <c r="UTY30" s="21"/>
      <c r="UTZ30" s="21"/>
      <c r="UUD30" s="15"/>
      <c r="UUJ30" s="25"/>
      <c r="UUQ30" s="21"/>
      <c r="UUR30" s="21"/>
      <c r="UUV30" s="15"/>
      <c r="UVB30" s="25"/>
      <c r="UVI30" s="21"/>
      <c r="UVJ30" s="21"/>
      <c r="UVN30" s="15"/>
      <c r="UVT30" s="25"/>
      <c r="UWA30" s="21"/>
      <c r="UWB30" s="21"/>
      <c r="UWF30" s="15"/>
      <c r="UWL30" s="25"/>
      <c r="UWS30" s="21"/>
      <c r="UWT30" s="21"/>
      <c r="UWX30" s="15"/>
      <c r="UXD30" s="25"/>
      <c r="UXK30" s="21"/>
      <c r="UXL30" s="21"/>
      <c r="UXP30" s="15"/>
      <c r="UXV30" s="25"/>
      <c r="UYC30" s="21"/>
      <c r="UYD30" s="21"/>
      <c r="UYH30" s="15"/>
      <c r="UYN30" s="25"/>
      <c r="UYU30" s="21"/>
      <c r="UYV30" s="21"/>
      <c r="UYZ30" s="15"/>
      <c r="UZF30" s="25"/>
      <c r="UZM30" s="21"/>
      <c r="UZN30" s="21"/>
      <c r="UZR30" s="15"/>
      <c r="UZX30" s="25"/>
      <c r="VAE30" s="21"/>
      <c r="VAF30" s="21"/>
      <c r="VAJ30" s="15"/>
      <c r="VAP30" s="25"/>
      <c r="VAW30" s="21"/>
      <c r="VAX30" s="21"/>
      <c r="VBB30" s="15"/>
      <c r="VBH30" s="25"/>
      <c r="VBO30" s="21"/>
      <c r="VBP30" s="21"/>
      <c r="VBT30" s="15"/>
      <c r="VBZ30" s="25"/>
      <c r="VCG30" s="21"/>
      <c r="VCH30" s="21"/>
      <c r="VCL30" s="15"/>
      <c r="VCR30" s="25"/>
      <c r="VCY30" s="21"/>
      <c r="VCZ30" s="21"/>
      <c r="VDD30" s="15"/>
      <c r="VDJ30" s="25"/>
      <c r="VDQ30" s="21"/>
      <c r="VDR30" s="21"/>
      <c r="VDV30" s="15"/>
      <c r="VEB30" s="25"/>
      <c r="VEI30" s="21"/>
      <c r="VEJ30" s="21"/>
      <c r="VEN30" s="15"/>
      <c r="VET30" s="25"/>
      <c r="VFA30" s="21"/>
      <c r="VFB30" s="21"/>
      <c r="VFF30" s="15"/>
      <c r="VFL30" s="25"/>
      <c r="VFS30" s="21"/>
      <c r="VFT30" s="21"/>
      <c r="VFX30" s="15"/>
      <c r="VGD30" s="25"/>
      <c r="VGK30" s="21"/>
      <c r="VGL30" s="21"/>
      <c r="VGP30" s="15"/>
      <c r="VGV30" s="25"/>
      <c r="VHC30" s="21"/>
      <c r="VHD30" s="21"/>
      <c r="VHH30" s="15"/>
      <c r="VHN30" s="25"/>
      <c r="VHU30" s="21"/>
      <c r="VHV30" s="21"/>
      <c r="VHZ30" s="15"/>
      <c r="VIF30" s="25"/>
      <c r="VIM30" s="21"/>
      <c r="VIN30" s="21"/>
      <c r="VIR30" s="15"/>
      <c r="VIX30" s="25"/>
      <c r="VJE30" s="21"/>
      <c r="VJF30" s="21"/>
      <c r="VJJ30" s="15"/>
      <c r="VJP30" s="25"/>
      <c r="VJW30" s="21"/>
      <c r="VJX30" s="21"/>
      <c r="VKB30" s="15"/>
      <c r="VKH30" s="25"/>
      <c r="VKO30" s="21"/>
      <c r="VKP30" s="21"/>
      <c r="VKT30" s="15"/>
      <c r="VKZ30" s="25"/>
      <c r="VLG30" s="21"/>
      <c r="VLH30" s="21"/>
      <c r="VLL30" s="15"/>
      <c r="VLR30" s="25"/>
      <c r="VLY30" s="21"/>
      <c r="VLZ30" s="21"/>
      <c r="VMD30" s="15"/>
      <c r="VMJ30" s="25"/>
      <c r="VMQ30" s="21"/>
      <c r="VMR30" s="21"/>
      <c r="VMV30" s="15"/>
      <c r="VNB30" s="25"/>
      <c r="VNI30" s="21"/>
      <c r="VNJ30" s="21"/>
      <c r="VNN30" s="15"/>
      <c r="VNT30" s="25"/>
      <c r="VOA30" s="21"/>
      <c r="VOB30" s="21"/>
      <c r="VOF30" s="15"/>
      <c r="VOL30" s="25"/>
      <c r="VOS30" s="21"/>
      <c r="VOT30" s="21"/>
      <c r="VOX30" s="15"/>
      <c r="VPD30" s="25"/>
      <c r="VPK30" s="21"/>
      <c r="VPL30" s="21"/>
      <c r="VPP30" s="15"/>
      <c r="VPV30" s="25"/>
      <c r="VQC30" s="21"/>
      <c r="VQD30" s="21"/>
      <c r="VQH30" s="15"/>
      <c r="VQN30" s="25"/>
      <c r="VQU30" s="21"/>
      <c r="VQV30" s="21"/>
      <c r="VQZ30" s="15"/>
      <c r="VRF30" s="25"/>
      <c r="VRM30" s="21"/>
      <c r="VRN30" s="21"/>
      <c r="VRR30" s="15"/>
      <c r="VRX30" s="25"/>
      <c r="VSE30" s="21"/>
      <c r="VSF30" s="21"/>
      <c r="VSJ30" s="15"/>
      <c r="VSP30" s="25"/>
      <c r="VSW30" s="21"/>
      <c r="VSX30" s="21"/>
      <c r="VTB30" s="15"/>
      <c r="VTH30" s="25"/>
      <c r="VTO30" s="21"/>
      <c r="VTP30" s="21"/>
      <c r="VTT30" s="15"/>
      <c r="VTZ30" s="25"/>
      <c r="VUG30" s="21"/>
      <c r="VUH30" s="21"/>
      <c r="VUL30" s="15"/>
      <c r="VUR30" s="25"/>
      <c r="VUY30" s="21"/>
      <c r="VUZ30" s="21"/>
      <c r="VVD30" s="15"/>
      <c r="VVJ30" s="25"/>
      <c r="VVQ30" s="21"/>
      <c r="VVR30" s="21"/>
      <c r="VVV30" s="15"/>
      <c r="VWB30" s="25"/>
      <c r="VWI30" s="21"/>
      <c r="VWJ30" s="21"/>
      <c r="VWN30" s="15"/>
      <c r="VWT30" s="25"/>
      <c r="VXA30" s="21"/>
      <c r="VXB30" s="21"/>
      <c r="VXF30" s="15"/>
      <c r="VXL30" s="25"/>
      <c r="VXS30" s="21"/>
      <c r="VXT30" s="21"/>
      <c r="VXX30" s="15"/>
      <c r="VYD30" s="25"/>
      <c r="VYK30" s="21"/>
      <c r="VYL30" s="21"/>
      <c r="VYP30" s="15"/>
      <c r="VYV30" s="25"/>
      <c r="VZC30" s="21"/>
      <c r="VZD30" s="21"/>
      <c r="VZH30" s="15"/>
      <c r="VZN30" s="25"/>
      <c r="VZU30" s="21"/>
      <c r="VZV30" s="21"/>
      <c r="VZZ30" s="15"/>
      <c r="WAF30" s="25"/>
      <c r="WAM30" s="21"/>
      <c r="WAN30" s="21"/>
      <c r="WAR30" s="15"/>
      <c r="WAX30" s="25"/>
      <c r="WBE30" s="21"/>
      <c r="WBF30" s="21"/>
      <c r="WBJ30" s="15"/>
      <c r="WBP30" s="25"/>
      <c r="WBW30" s="21"/>
      <c r="WBX30" s="21"/>
      <c r="WCB30" s="15"/>
      <c r="WCH30" s="25"/>
      <c r="WCO30" s="21"/>
      <c r="WCP30" s="21"/>
      <c r="WCT30" s="15"/>
      <c r="WCZ30" s="25"/>
      <c r="WDG30" s="21"/>
      <c r="WDH30" s="21"/>
      <c r="WDL30" s="15"/>
      <c r="WDR30" s="25"/>
      <c r="WDY30" s="21"/>
      <c r="WDZ30" s="21"/>
      <c r="WED30" s="15"/>
      <c r="WEJ30" s="25"/>
      <c r="WEQ30" s="21"/>
      <c r="WER30" s="21"/>
      <c r="WEV30" s="15"/>
      <c r="WFB30" s="25"/>
      <c r="WFI30" s="21"/>
      <c r="WFJ30" s="21"/>
      <c r="WFN30" s="15"/>
      <c r="WFT30" s="25"/>
      <c r="WGA30" s="21"/>
      <c r="WGB30" s="21"/>
      <c r="WGF30" s="15"/>
      <c r="WGL30" s="25"/>
      <c r="WGS30" s="21"/>
      <c r="WGT30" s="21"/>
      <c r="WGX30" s="15"/>
      <c r="WHD30" s="25"/>
      <c r="WHK30" s="21"/>
      <c r="WHL30" s="21"/>
      <c r="WHP30" s="15"/>
      <c r="WHV30" s="25"/>
      <c r="WIC30" s="21"/>
      <c r="WID30" s="21"/>
      <c r="WIH30" s="15"/>
      <c r="WIN30" s="25"/>
      <c r="WIU30" s="21"/>
      <c r="WIV30" s="21"/>
      <c r="WIZ30" s="15"/>
      <c r="WJF30" s="25"/>
      <c r="WJM30" s="21"/>
      <c r="WJN30" s="21"/>
      <c r="WJR30" s="15"/>
      <c r="WJX30" s="25"/>
      <c r="WKE30" s="21"/>
      <c r="WKF30" s="21"/>
      <c r="WKJ30" s="15"/>
      <c r="WKP30" s="25"/>
      <c r="WKW30" s="21"/>
      <c r="WKX30" s="21"/>
      <c r="WLB30" s="15"/>
      <c r="WLH30" s="25"/>
      <c r="WLO30" s="21"/>
      <c r="WLP30" s="21"/>
      <c r="WLT30" s="15"/>
      <c r="WLZ30" s="25"/>
      <c r="WMG30" s="21"/>
      <c r="WMH30" s="21"/>
      <c r="WML30" s="15"/>
      <c r="WMR30" s="25"/>
      <c r="WMY30" s="21"/>
      <c r="WMZ30" s="21"/>
      <c r="WND30" s="15"/>
      <c r="WNJ30" s="25"/>
      <c r="WNQ30" s="21"/>
      <c r="WNR30" s="21"/>
      <c r="WNV30" s="15"/>
      <c r="WOB30" s="25"/>
      <c r="WOI30" s="21"/>
      <c r="WOJ30" s="21"/>
      <c r="WON30" s="15"/>
      <c r="WOT30" s="25"/>
      <c r="WPA30" s="21"/>
      <c r="WPB30" s="21"/>
      <c r="WPF30" s="15"/>
      <c r="WPL30" s="25"/>
      <c r="WPS30" s="21"/>
      <c r="WPT30" s="21"/>
      <c r="WPX30" s="15"/>
      <c r="WQD30" s="25"/>
      <c r="WQK30" s="21"/>
      <c r="WQL30" s="21"/>
      <c r="WQP30" s="15"/>
      <c r="WQV30" s="25"/>
      <c r="WRC30" s="21"/>
      <c r="WRD30" s="21"/>
      <c r="WRH30" s="15"/>
      <c r="WRN30" s="25"/>
      <c r="WRU30" s="21"/>
      <c r="WRV30" s="21"/>
      <c r="WRZ30" s="15"/>
      <c r="WSF30" s="25"/>
      <c r="WSM30" s="21"/>
      <c r="WSN30" s="21"/>
      <c r="WSR30" s="15"/>
      <c r="WSX30" s="25"/>
      <c r="WTE30" s="21"/>
      <c r="WTF30" s="21"/>
      <c r="WTJ30" s="15"/>
      <c r="WTP30" s="25"/>
      <c r="WTW30" s="21"/>
      <c r="WTX30" s="21"/>
      <c r="WUB30" s="15"/>
      <c r="WUH30" s="25"/>
      <c r="WUO30" s="21"/>
      <c r="WUP30" s="21"/>
      <c r="WUT30" s="15"/>
      <c r="WUZ30" s="25"/>
      <c r="WVG30" s="21"/>
      <c r="WVH30" s="21"/>
      <c r="WVL30" s="15"/>
      <c r="WVR30" s="25"/>
      <c r="WVY30" s="21"/>
      <c r="WVZ30" s="21"/>
      <c r="WWD30" s="15"/>
      <c r="WWJ30" s="25"/>
      <c r="WWQ30" s="21"/>
      <c r="WWR30" s="21"/>
      <c r="WWV30" s="15"/>
      <c r="WXB30" s="25"/>
      <c r="WXI30" s="21"/>
      <c r="WXJ30" s="21"/>
      <c r="WXN30" s="15"/>
      <c r="WXT30" s="25"/>
      <c r="WYA30" s="21"/>
      <c r="WYB30" s="21"/>
      <c r="WYF30" s="15"/>
      <c r="WYL30" s="25"/>
      <c r="WYS30" s="21"/>
      <c r="WYT30" s="21"/>
      <c r="WYX30" s="15"/>
      <c r="WZD30" s="25"/>
      <c r="WZK30" s="21"/>
      <c r="WZL30" s="21"/>
      <c r="WZP30" s="15"/>
      <c r="WZV30" s="25"/>
      <c r="XAC30" s="21"/>
      <c r="XAD30" s="21"/>
      <c r="XAH30" s="15"/>
      <c r="XAN30" s="25"/>
      <c r="XAU30" s="21"/>
      <c r="XAV30" s="21"/>
      <c r="XAZ30" s="15"/>
      <c r="XBF30" s="25"/>
      <c r="XBM30" s="21"/>
      <c r="XBN30" s="21"/>
      <c r="XBR30" s="15"/>
      <c r="XBX30" s="25"/>
      <c r="XCE30" s="21"/>
      <c r="XCF30" s="21"/>
      <c r="XCJ30" s="15"/>
      <c r="XCP30" s="25"/>
      <c r="XCW30" s="21"/>
      <c r="XCX30" s="21"/>
      <c r="XDB30" s="15"/>
      <c r="XDH30" s="25"/>
      <c r="XDO30" s="21"/>
      <c r="XDP30" s="21"/>
      <c r="XDT30" s="15"/>
      <c r="XDZ30" s="25"/>
      <c r="XEG30" s="21"/>
      <c r="XEH30" s="21"/>
      <c r="XEL30" s="15"/>
      <c r="XER30" s="25"/>
      <c r="XEY30" s="21"/>
      <c r="XEZ30" s="21"/>
      <c r="XFD30" s="15"/>
    </row>
    <row r="31" spans="1:1018 1025:2044 2051:3070 3077:4096 4103:5116 5122:6142 6148:7168 7174:8190 8194:9216 9220:10234 10241:11260 11267:12286 12293:13312 13319:14332 14338:15358 15364:16384" s="24" customFormat="1">
      <c r="A31" s="21" t="s">
        <v>111</v>
      </c>
      <c r="B31" s="12">
        <v>2006</v>
      </c>
      <c r="C31" s="19" t="s">
        <v>101</v>
      </c>
      <c r="D31" s="22" t="s">
        <v>86</v>
      </c>
      <c r="E31" s="43" t="s">
        <v>112</v>
      </c>
      <c r="F31" s="19" t="s">
        <v>41</v>
      </c>
      <c r="G31" s="44">
        <v>1599006845.6187501</v>
      </c>
      <c r="H31" s="44">
        <v>238822368</v>
      </c>
      <c r="I31" s="12">
        <v>10</v>
      </c>
      <c r="J31" s="23" t="s">
        <v>113</v>
      </c>
      <c r="K31" s="22"/>
      <c r="L31" s="22"/>
      <c r="M31" s="22" t="s">
        <v>26</v>
      </c>
      <c r="N31" s="12"/>
      <c r="O31" s="22"/>
      <c r="P31" s="12"/>
      <c r="Q31" s="22" t="s">
        <v>27</v>
      </c>
      <c r="R31" s="22" t="s">
        <v>28</v>
      </c>
      <c r="V31" s="15"/>
      <c r="AB31" s="25"/>
      <c r="AI31" s="21"/>
      <c r="AJ31" s="21"/>
      <c r="AN31" s="15"/>
      <c r="AT31" s="25"/>
      <c r="BA31" s="21"/>
      <c r="BB31" s="21"/>
      <c r="BF31" s="15"/>
      <c r="BL31" s="25"/>
      <c r="BS31" s="21"/>
      <c r="BT31" s="21"/>
      <c r="BX31" s="15"/>
      <c r="CD31" s="25"/>
      <c r="CK31" s="21"/>
      <c r="CL31" s="21"/>
      <c r="CP31" s="15"/>
      <c r="CV31" s="25"/>
      <c r="DC31" s="21"/>
      <c r="DD31" s="21"/>
      <c r="DH31" s="15"/>
      <c r="DN31" s="25"/>
      <c r="DU31" s="21"/>
      <c r="DV31" s="21"/>
      <c r="DZ31" s="15"/>
      <c r="EF31" s="25"/>
      <c r="EM31" s="21"/>
      <c r="EN31" s="21"/>
      <c r="ER31" s="15"/>
      <c r="EX31" s="25"/>
      <c r="FE31" s="21"/>
      <c r="FF31" s="21"/>
      <c r="FJ31" s="15"/>
      <c r="FP31" s="25"/>
      <c r="FW31" s="21"/>
      <c r="FX31" s="21"/>
      <c r="GB31" s="15"/>
      <c r="GH31" s="25"/>
      <c r="GO31" s="21"/>
      <c r="GP31" s="21"/>
      <c r="GT31" s="15"/>
      <c r="GZ31" s="25"/>
      <c r="HG31" s="21"/>
      <c r="HH31" s="21"/>
      <c r="HL31" s="15"/>
      <c r="HR31" s="25"/>
      <c r="HY31" s="21"/>
      <c r="HZ31" s="21"/>
      <c r="ID31" s="15"/>
      <c r="IJ31" s="25"/>
      <c r="IQ31" s="21"/>
      <c r="IR31" s="21"/>
      <c r="IV31" s="15"/>
      <c r="JB31" s="25"/>
      <c r="JI31" s="21"/>
      <c r="JJ31" s="21"/>
      <c r="JN31" s="15"/>
      <c r="JT31" s="25"/>
      <c r="KA31" s="21"/>
      <c r="KB31" s="21"/>
      <c r="KF31" s="15"/>
      <c r="KL31" s="25"/>
      <c r="KS31" s="21"/>
      <c r="KT31" s="21"/>
      <c r="KX31" s="15"/>
      <c r="LD31" s="25"/>
      <c r="LK31" s="21"/>
      <c r="LL31" s="21"/>
      <c r="LP31" s="15"/>
      <c r="LV31" s="25"/>
      <c r="MC31" s="21"/>
      <c r="MD31" s="21"/>
      <c r="MH31" s="15"/>
      <c r="MN31" s="25"/>
      <c r="MU31" s="21"/>
      <c r="MV31" s="21"/>
      <c r="MZ31" s="15"/>
      <c r="NF31" s="25"/>
      <c r="NM31" s="21"/>
      <c r="NN31" s="21"/>
      <c r="NR31" s="15"/>
      <c r="NX31" s="25"/>
      <c r="OE31" s="21"/>
      <c r="OF31" s="21"/>
      <c r="OJ31" s="15"/>
      <c r="OP31" s="25"/>
      <c r="OW31" s="21"/>
      <c r="OX31" s="21"/>
      <c r="PB31" s="15"/>
      <c r="PH31" s="25"/>
      <c r="PO31" s="21"/>
      <c r="PP31" s="21"/>
      <c r="PT31" s="15"/>
      <c r="PZ31" s="25"/>
      <c r="QG31" s="21"/>
      <c r="QH31" s="21"/>
      <c r="QL31" s="15"/>
      <c r="QR31" s="25"/>
      <c r="QY31" s="21"/>
      <c r="QZ31" s="21"/>
      <c r="RD31" s="15"/>
      <c r="RJ31" s="25"/>
      <c r="RQ31" s="21"/>
      <c r="RR31" s="21"/>
      <c r="RV31" s="15"/>
      <c r="SB31" s="25"/>
      <c r="SI31" s="21"/>
      <c r="SJ31" s="21"/>
      <c r="SN31" s="15"/>
      <c r="ST31" s="25"/>
      <c r="TA31" s="21"/>
      <c r="TB31" s="21"/>
      <c r="TF31" s="15"/>
      <c r="TL31" s="25"/>
      <c r="TS31" s="21"/>
      <c r="TT31" s="21"/>
      <c r="TX31" s="15"/>
      <c r="UD31" s="25"/>
      <c r="UK31" s="21"/>
      <c r="UL31" s="21"/>
      <c r="UP31" s="15"/>
      <c r="UV31" s="25"/>
      <c r="VC31" s="21"/>
      <c r="VD31" s="21"/>
      <c r="VH31" s="15"/>
      <c r="VN31" s="25"/>
      <c r="VU31" s="21"/>
      <c r="VV31" s="21"/>
      <c r="VZ31" s="15"/>
      <c r="WF31" s="25"/>
      <c r="WM31" s="21"/>
      <c r="WN31" s="21"/>
      <c r="WR31" s="15"/>
      <c r="WX31" s="25"/>
      <c r="XE31" s="21"/>
      <c r="XF31" s="21"/>
      <c r="XJ31" s="15"/>
      <c r="XP31" s="25"/>
      <c r="XW31" s="21"/>
      <c r="XX31" s="21"/>
      <c r="YB31" s="15"/>
      <c r="YH31" s="25"/>
      <c r="YO31" s="21"/>
      <c r="YP31" s="21"/>
      <c r="YT31" s="15"/>
      <c r="YZ31" s="25"/>
      <c r="ZG31" s="21"/>
      <c r="ZH31" s="21"/>
      <c r="ZL31" s="15"/>
      <c r="ZR31" s="25"/>
      <c r="ZY31" s="21"/>
      <c r="ZZ31" s="21"/>
      <c r="AAD31" s="15"/>
      <c r="AAJ31" s="25"/>
      <c r="AAQ31" s="21"/>
      <c r="AAR31" s="21"/>
      <c r="AAV31" s="15"/>
      <c r="ABB31" s="25"/>
      <c r="ABI31" s="21"/>
      <c r="ABJ31" s="21"/>
      <c r="ABN31" s="15"/>
      <c r="ABT31" s="25"/>
      <c r="ACA31" s="21"/>
      <c r="ACB31" s="21"/>
      <c r="ACF31" s="15"/>
      <c r="ACL31" s="25"/>
      <c r="ACS31" s="21"/>
      <c r="ACT31" s="21"/>
      <c r="ACX31" s="15"/>
      <c r="ADD31" s="25"/>
      <c r="ADK31" s="21"/>
      <c r="ADL31" s="21"/>
      <c r="ADP31" s="15"/>
      <c r="ADV31" s="25"/>
      <c r="AEC31" s="21"/>
      <c r="AED31" s="21"/>
      <c r="AEH31" s="15"/>
      <c r="AEN31" s="25"/>
      <c r="AEU31" s="21"/>
      <c r="AEV31" s="21"/>
      <c r="AEZ31" s="15"/>
      <c r="AFF31" s="25"/>
      <c r="AFM31" s="21"/>
      <c r="AFN31" s="21"/>
      <c r="AFR31" s="15"/>
      <c r="AFX31" s="25"/>
      <c r="AGE31" s="21"/>
      <c r="AGF31" s="21"/>
      <c r="AGJ31" s="15"/>
      <c r="AGP31" s="25"/>
      <c r="AGW31" s="21"/>
      <c r="AGX31" s="21"/>
      <c r="AHB31" s="15"/>
      <c r="AHH31" s="25"/>
      <c r="AHO31" s="21"/>
      <c r="AHP31" s="21"/>
      <c r="AHT31" s="15"/>
      <c r="AHZ31" s="25"/>
      <c r="AIG31" s="21"/>
      <c r="AIH31" s="21"/>
      <c r="AIL31" s="15"/>
      <c r="AIR31" s="25"/>
      <c r="AIY31" s="21"/>
      <c r="AIZ31" s="21"/>
      <c r="AJD31" s="15"/>
      <c r="AJJ31" s="25"/>
      <c r="AJQ31" s="21"/>
      <c r="AJR31" s="21"/>
      <c r="AJV31" s="15"/>
      <c r="AKB31" s="25"/>
      <c r="AKI31" s="21"/>
      <c r="AKJ31" s="21"/>
      <c r="AKN31" s="15"/>
      <c r="AKT31" s="25"/>
      <c r="ALA31" s="21"/>
      <c r="ALB31" s="21"/>
      <c r="ALF31" s="15"/>
      <c r="ALL31" s="25"/>
      <c r="ALS31" s="21"/>
      <c r="ALT31" s="21"/>
      <c r="ALX31" s="15"/>
      <c r="AMD31" s="25"/>
      <c r="AMK31" s="21"/>
      <c r="AML31" s="21"/>
      <c r="AMP31" s="15"/>
      <c r="AMV31" s="25"/>
      <c r="ANC31" s="21"/>
      <c r="AND31" s="21"/>
      <c r="ANH31" s="15"/>
      <c r="ANN31" s="25"/>
      <c r="ANU31" s="21"/>
      <c r="ANV31" s="21"/>
      <c r="ANZ31" s="15"/>
      <c r="AOF31" s="25"/>
      <c r="AOM31" s="21"/>
      <c r="AON31" s="21"/>
      <c r="AOR31" s="15"/>
      <c r="AOX31" s="25"/>
      <c r="APE31" s="21"/>
      <c r="APF31" s="21"/>
      <c r="APJ31" s="15"/>
      <c r="APP31" s="25"/>
      <c r="APW31" s="21"/>
      <c r="APX31" s="21"/>
      <c r="AQB31" s="15"/>
      <c r="AQH31" s="25"/>
      <c r="AQO31" s="21"/>
      <c r="AQP31" s="21"/>
      <c r="AQT31" s="15"/>
      <c r="AQZ31" s="25"/>
      <c r="ARG31" s="21"/>
      <c r="ARH31" s="21"/>
      <c r="ARL31" s="15"/>
      <c r="ARR31" s="25"/>
      <c r="ARY31" s="21"/>
      <c r="ARZ31" s="21"/>
      <c r="ASD31" s="15"/>
      <c r="ASJ31" s="25"/>
      <c r="ASQ31" s="21"/>
      <c r="ASR31" s="21"/>
      <c r="ASV31" s="15"/>
      <c r="ATB31" s="25"/>
      <c r="ATI31" s="21"/>
      <c r="ATJ31" s="21"/>
      <c r="ATN31" s="15"/>
      <c r="ATT31" s="25"/>
      <c r="AUA31" s="21"/>
      <c r="AUB31" s="21"/>
      <c r="AUF31" s="15"/>
      <c r="AUL31" s="25"/>
      <c r="AUS31" s="21"/>
      <c r="AUT31" s="21"/>
      <c r="AUX31" s="15"/>
      <c r="AVD31" s="25"/>
      <c r="AVK31" s="21"/>
      <c r="AVL31" s="21"/>
      <c r="AVP31" s="15"/>
      <c r="AVV31" s="25"/>
      <c r="AWC31" s="21"/>
      <c r="AWD31" s="21"/>
      <c r="AWH31" s="15"/>
      <c r="AWN31" s="25"/>
      <c r="AWU31" s="21"/>
      <c r="AWV31" s="21"/>
      <c r="AWZ31" s="15"/>
      <c r="AXF31" s="25"/>
      <c r="AXM31" s="21"/>
      <c r="AXN31" s="21"/>
      <c r="AXR31" s="15"/>
      <c r="AXX31" s="25"/>
      <c r="AYE31" s="21"/>
      <c r="AYF31" s="21"/>
      <c r="AYJ31" s="15"/>
      <c r="AYP31" s="25"/>
      <c r="AYW31" s="21"/>
      <c r="AYX31" s="21"/>
      <c r="AZB31" s="15"/>
      <c r="AZH31" s="25"/>
      <c r="AZO31" s="21"/>
      <c r="AZP31" s="21"/>
      <c r="AZT31" s="15"/>
      <c r="AZZ31" s="25"/>
      <c r="BAG31" s="21"/>
      <c r="BAH31" s="21"/>
      <c r="BAL31" s="15"/>
      <c r="BAR31" s="25"/>
      <c r="BAY31" s="21"/>
      <c r="BAZ31" s="21"/>
      <c r="BBD31" s="15"/>
      <c r="BBJ31" s="25"/>
      <c r="BBQ31" s="21"/>
      <c r="BBR31" s="21"/>
      <c r="BBV31" s="15"/>
      <c r="BCB31" s="25"/>
      <c r="BCI31" s="21"/>
      <c r="BCJ31" s="21"/>
      <c r="BCN31" s="15"/>
      <c r="BCT31" s="25"/>
      <c r="BDA31" s="21"/>
      <c r="BDB31" s="21"/>
      <c r="BDF31" s="15"/>
      <c r="BDL31" s="25"/>
      <c r="BDS31" s="21"/>
      <c r="BDT31" s="21"/>
      <c r="BDX31" s="15"/>
      <c r="BED31" s="25"/>
      <c r="BEK31" s="21"/>
      <c r="BEL31" s="21"/>
      <c r="BEP31" s="15"/>
      <c r="BEV31" s="25"/>
      <c r="BFC31" s="21"/>
      <c r="BFD31" s="21"/>
      <c r="BFH31" s="15"/>
      <c r="BFN31" s="25"/>
      <c r="BFU31" s="21"/>
      <c r="BFV31" s="21"/>
      <c r="BFZ31" s="15"/>
      <c r="BGF31" s="25"/>
      <c r="BGM31" s="21"/>
      <c r="BGN31" s="21"/>
      <c r="BGR31" s="15"/>
      <c r="BGX31" s="25"/>
      <c r="BHE31" s="21"/>
      <c r="BHF31" s="21"/>
      <c r="BHJ31" s="15"/>
      <c r="BHP31" s="25"/>
      <c r="BHW31" s="21"/>
      <c r="BHX31" s="21"/>
      <c r="BIB31" s="15"/>
      <c r="BIH31" s="25"/>
      <c r="BIO31" s="21"/>
      <c r="BIP31" s="21"/>
      <c r="BIT31" s="15"/>
      <c r="BIZ31" s="25"/>
      <c r="BJG31" s="21"/>
      <c r="BJH31" s="21"/>
      <c r="BJL31" s="15"/>
      <c r="BJR31" s="25"/>
      <c r="BJY31" s="21"/>
      <c r="BJZ31" s="21"/>
      <c r="BKD31" s="15"/>
      <c r="BKJ31" s="25"/>
      <c r="BKQ31" s="21"/>
      <c r="BKR31" s="21"/>
      <c r="BKV31" s="15"/>
      <c r="BLB31" s="25"/>
      <c r="BLI31" s="21"/>
      <c r="BLJ31" s="21"/>
      <c r="BLN31" s="15"/>
      <c r="BLT31" s="25"/>
      <c r="BMA31" s="21"/>
      <c r="BMB31" s="21"/>
      <c r="BMF31" s="15"/>
      <c r="BML31" s="25"/>
      <c r="BMS31" s="21"/>
      <c r="BMT31" s="21"/>
      <c r="BMX31" s="15"/>
      <c r="BND31" s="25"/>
      <c r="BNK31" s="21"/>
      <c r="BNL31" s="21"/>
      <c r="BNP31" s="15"/>
      <c r="BNV31" s="25"/>
      <c r="BOC31" s="21"/>
      <c r="BOD31" s="21"/>
      <c r="BOH31" s="15"/>
      <c r="BON31" s="25"/>
      <c r="BOU31" s="21"/>
      <c r="BOV31" s="21"/>
      <c r="BOZ31" s="15"/>
      <c r="BPF31" s="25"/>
      <c r="BPM31" s="21"/>
      <c r="BPN31" s="21"/>
      <c r="BPR31" s="15"/>
      <c r="BPX31" s="25"/>
      <c r="BQE31" s="21"/>
      <c r="BQF31" s="21"/>
      <c r="BQJ31" s="15"/>
      <c r="BQP31" s="25"/>
      <c r="BQW31" s="21"/>
      <c r="BQX31" s="21"/>
      <c r="BRB31" s="15"/>
      <c r="BRH31" s="25"/>
      <c r="BRO31" s="21"/>
      <c r="BRP31" s="21"/>
      <c r="BRT31" s="15"/>
      <c r="BRZ31" s="25"/>
      <c r="BSG31" s="21"/>
      <c r="BSH31" s="21"/>
      <c r="BSL31" s="15"/>
      <c r="BSR31" s="25"/>
      <c r="BSY31" s="21"/>
      <c r="BSZ31" s="21"/>
      <c r="BTD31" s="15"/>
      <c r="BTJ31" s="25"/>
      <c r="BTQ31" s="21"/>
      <c r="BTR31" s="21"/>
      <c r="BTV31" s="15"/>
      <c r="BUB31" s="25"/>
      <c r="BUI31" s="21"/>
      <c r="BUJ31" s="21"/>
      <c r="BUN31" s="15"/>
      <c r="BUT31" s="25"/>
      <c r="BVA31" s="21"/>
      <c r="BVB31" s="21"/>
      <c r="BVF31" s="15"/>
      <c r="BVL31" s="25"/>
      <c r="BVS31" s="21"/>
      <c r="BVT31" s="21"/>
      <c r="BVX31" s="15"/>
      <c r="BWD31" s="25"/>
      <c r="BWK31" s="21"/>
      <c r="BWL31" s="21"/>
      <c r="BWP31" s="15"/>
      <c r="BWV31" s="25"/>
      <c r="BXC31" s="21"/>
      <c r="BXD31" s="21"/>
      <c r="BXH31" s="15"/>
      <c r="BXN31" s="25"/>
      <c r="BXU31" s="21"/>
      <c r="BXV31" s="21"/>
      <c r="BXZ31" s="15"/>
      <c r="BYF31" s="25"/>
      <c r="BYM31" s="21"/>
      <c r="BYN31" s="21"/>
      <c r="BYR31" s="15"/>
      <c r="BYX31" s="25"/>
      <c r="BZE31" s="21"/>
      <c r="BZF31" s="21"/>
      <c r="BZJ31" s="15"/>
      <c r="BZP31" s="25"/>
      <c r="BZW31" s="21"/>
      <c r="BZX31" s="21"/>
      <c r="CAB31" s="15"/>
      <c r="CAH31" s="25"/>
      <c r="CAO31" s="21"/>
      <c r="CAP31" s="21"/>
      <c r="CAT31" s="15"/>
      <c r="CAZ31" s="25"/>
      <c r="CBG31" s="21"/>
      <c r="CBH31" s="21"/>
      <c r="CBL31" s="15"/>
      <c r="CBR31" s="25"/>
      <c r="CBY31" s="21"/>
      <c r="CBZ31" s="21"/>
      <c r="CCD31" s="15"/>
      <c r="CCJ31" s="25"/>
      <c r="CCQ31" s="21"/>
      <c r="CCR31" s="21"/>
      <c r="CCV31" s="15"/>
      <c r="CDB31" s="25"/>
      <c r="CDI31" s="21"/>
      <c r="CDJ31" s="21"/>
      <c r="CDN31" s="15"/>
      <c r="CDT31" s="25"/>
      <c r="CEA31" s="21"/>
      <c r="CEB31" s="21"/>
      <c r="CEF31" s="15"/>
      <c r="CEL31" s="25"/>
      <c r="CES31" s="21"/>
      <c r="CET31" s="21"/>
      <c r="CEX31" s="15"/>
      <c r="CFD31" s="25"/>
      <c r="CFK31" s="21"/>
      <c r="CFL31" s="21"/>
      <c r="CFP31" s="15"/>
      <c r="CFV31" s="25"/>
      <c r="CGC31" s="21"/>
      <c r="CGD31" s="21"/>
      <c r="CGH31" s="15"/>
      <c r="CGN31" s="25"/>
      <c r="CGU31" s="21"/>
      <c r="CGV31" s="21"/>
      <c r="CGZ31" s="15"/>
      <c r="CHF31" s="25"/>
      <c r="CHM31" s="21"/>
      <c r="CHN31" s="21"/>
      <c r="CHR31" s="15"/>
      <c r="CHX31" s="25"/>
      <c r="CIE31" s="21"/>
      <c r="CIF31" s="21"/>
      <c r="CIJ31" s="15"/>
      <c r="CIP31" s="25"/>
      <c r="CIW31" s="21"/>
      <c r="CIX31" s="21"/>
      <c r="CJB31" s="15"/>
      <c r="CJH31" s="25"/>
      <c r="CJO31" s="21"/>
      <c r="CJP31" s="21"/>
      <c r="CJT31" s="15"/>
      <c r="CJZ31" s="25"/>
      <c r="CKG31" s="21"/>
      <c r="CKH31" s="21"/>
      <c r="CKL31" s="15"/>
      <c r="CKR31" s="25"/>
      <c r="CKY31" s="21"/>
      <c r="CKZ31" s="21"/>
      <c r="CLD31" s="15"/>
      <c r="CLJ31" s="25"/>
      <c r="CLQ31" s="21"/>
      <c r="CLR31" s="21"/>
      <c r="CLV31" s="15"/>
      <c r="CMB31" s="25"/>
      <c r="CMI31" s="21"/>
      <c r="CMJ31" s="21"/>
      <c r="CMN31" s="15"/>
      <c r="CMT31" s="25"/>
      <c r="CNA31" s="21"/>
      <c r="CNB31" s="21"/>
      <c r="CNF31" s="15"/>
      <c r="CNL31" s="25"/>
      <c r="CNS31" s="21"/>
      <c r="CNT31" s="21"/>
      <c r="CNX31" s="15"/>
      <c r="COD31" s="25"/>
      <c r="COK31" s="21"/>
      <c r="COL31" s="21"/>
      <c r="COP31" s="15"/>
      <c r="COV31" s="25"/>
      <c r="CPC31" s="21"/>
      <c r="CPD31" s="21"/>
      <c r="CPH31" s="15"/>
      <c r="CPN31" s="25"/>
      <c r="CPU31" s="21"/>
      <c r="CPV31" s="21"/>
      <c r="CPZ31" s="15"/>
      <c r="CQF31" s="25"/>
      <c r="CQM31" s="21"/>
      <c r="CQN31" s="21"/>
      <c r="CQR31" s="15"/>
      <c r="CQX31" s="25"/>
      <c r="CRE31" s="21"/>
      <c r="CRF31" s="21"/>
      <c r="CRJ31" s="15"/>
      <c r="CRP31" s="25"/>
      <c r="CRW31" s="21"/>
      <c r="CRX31" s="21"/>
      <c r="CSB31" s="15"/>
      <c r="CSH31" s="25"/>
      <c r="CSO31" s="21"/>
      <c r="CSP31" s="21"/>
      <c r="CST31" s="15"/>
      <c r="CSZ31" s="25"/>
      <c r="CTG31" s="21"/>
      <c r="CTH31" s="21"/>
      <c r="CTL31" s="15"/>
      <c r="CTR31" s="25"/>
      <c r="CTY31" s="21"/>
      <c r="CTZ31" s="21"/>
      <c r="CUD31" s="15"/>
      <c r="CUJ31" s="25"/>
      <c r="CUQ31" s="21"/>
      <c r="CUR31" s="21"/>
      <c r="CUV31" s="15"/>
      <c r="CVB31" s="25"/>
      <c r="CVI31" s="21"/>
      <c r="CVJ31" s="21"/>
      <c r="CVN31" s="15"/>
      <c r="CVT31" s="25"/>
      <c r="CWA31" s="21"/>
      <c r="CWB31" s="21"/>
      <c r="CWF31" s="15"/>
      <c r="CWL31" s="25"/>
      <c r="CWS31" s="21"/>
      <c r="CWT31" s="21"/>
      <c r="CWX31" s="15"/>
      <c r="CXD31" s="25"/>
      <c r="CXK31" s="21"/>
      <c r="CXL31" s="21"/>
      <c r="CXP31" s="15"/>
      <c r="CXV31" s="25"/>
      <c r="CYC31" s="21"/>
      <c r="CYD31" s="21"/>
      <c r="CYH31" s="15"/>
      <c r="CYN31" s="25"/>
      <c r="CYU31" s="21"/>
      <c r="CYV31" s="21"/>
      <c r="CYZ31" s="15"/>
      <c r="CZF31" s="25"/>
      <c r="CZM31" s="21"/>
      <c r="CZN31" s="21"/>
      <c r="CZR31" s="15"/>
      <c r="CZX31" s="25"/>
      <c r="DAE31" s="21"/>
      <c r="DAF31" s="21"/>
      <c r="DAJ31" s="15"/>
      <c r="DAP31" s="25"/>
      <c r="DAW31" s="21"/>
      <c r="DAX31" s="21"/>
      <c r="DBB31" s="15"/>
      <c r="DBH31" s="25"/>
      <c r="DBO31" s="21"/>
      <c r="DBP31" s="21"/>
      <c r="DBT31" s="15"/>
      <c r="DBZ31" s="25"/>
      <c r="DCG31" s="21"/>
      <c r="DCH31" s="21"/>
      <c r="DCL31" s="15"/>
      <c r="DCR31" s="25"/>
      <c r="DCY31" s="21"/>
      <c r="DCZ31" s="21"/>
      <c r="DDD31" s="15"/>
      <c r="DDJ31" s="25"/>
      <c r="DDQ31" s="21"/>
      <c r="DDR31" s="21"/>
      <c r="DDV31" s="15"/>
      <c r="DEB31" s="25"/>
      <c r="DEI31" s="21"/>
      <c r="DEJ31" s="21"/>
      <c r="DEN31" s="15"/>
      <c r="DET31" s="25"/>
      <c r="DFA31" s="21"/>
      <c r="DFB31" s="21"/>
      <c r="DFF31" s="15"/>
      <c r="DFL31" s="25"/>
      <c r="DFS31" s="21"/>
      <c r="DFT31" s="21"/>
      <c r="DFX31" s="15"/>
      <c r="DGD31" s="25"/>
      <c r="DGK31" s="21"/>
      <c r="DGL31" s="21"/>
      <c r="DGP31" s="15"/>
      <c r="DGV31" s="25"/>
      <c r="DHC31" s="21"/>
      <c r="DHD31" s="21"/>
      <c r="DHH31" s="15"/>
      <c r="DHN31" s="25"/>
      <c r="DHU31" s="21"/>
      <c r="DHV31" s="21"/>
      <c r="DHZ31" s="15"/>
      <c r="DIF31" s="25"/>
      <c r="DIM31" s="21"/>
      <c r="DIN31" s="21"/>
      <c r="DIR31" s="15"/>
      <c r="DIX31" s="25"/>
      <c r="DJE31" s="21"/>
      <c r="DJF31" s="21"/>
      <c r="DJJ31" s="15"/>
      <c r="DJP31" s="25"/>
      <c r="DJW31" s="21"/>
      <c r="DJX31" s="21"/>
      <c r="DKB31" s="15"/>
      <c r="DKH31" s="25"/>
      <c r="DKO31" s="21"/>
      <c r="DKP31" s="21"/>
      <c r="DKT31" s="15"/>
      <c r="DKZ31" s="25"/>
      <c r="DLG31" s="21"/>
      <c r="DLH31" s="21"/>
      <c r="DLL31" s="15"/>
      <c r="DLR31" s="25"/>
      <c r="DLY31" s="21"/>
      <c r="DLZ31" s="21"/>
      <c r="DMD31" s="15"/>
      <c r="DMJ31" s="25"/>
      <c r="DMQ31" s="21"/>
      <c r="DMR31" s="21"/>
      <c r="DMV31" s="15"/>
      <c r="DNB31" s="25"/>
      <c r="DNI31" s="21"/>
      <c r="DNJ31" s="21"/>
      <c r="DNN31" s="15"/>
      <c r="DNT31" s="25"/>
      <c r="DOA31" s="21"/>
      <c r="DOB31" s="21"/>
      <c r="DOF31" s="15"/>
      <c r="DOL31" s="25"/>
      <c r="DOS31" s="21"/>
      <c r="DOT31" s="21"/>
      <c r="DOX31" s="15"/>
      <c r="DPD31" s="25"/>
      <c r="DPK31" s="21"/>
      <c r="DPL31" s="21"/>
      <c r="DPP31" s="15"/>
      <c r="DPV31" s="25"/>
      <c r="DQC31" s="21"/>
      <c r="DQD31" s="21"/>
      <c r="DQH31" s="15"/>
      <c r="DQN31" s="25"/>
      <c r="DQU31" s="21"/>
      <c r="DQV31" s="21"/>
      <c r="DQZ31" s="15"/>
      <c r="DRF31" s="25"/>
      <c r="DRM31" s="21"/>
      <c r="DRN31" s="21"/>
      <c r="DRR31" s="15"/>
      <c r="DRX31" s="25"/>
      <c r="DSE31" s="21"/>
      <c r="DSF31" s="21"/>
      <c r="DSJ31" s="15"/>
      <c r="DSP31" s="25"/>
      <c r="DSW31" s="21"/>
      <c r="DSX31" s="21"/>
      <c r="DTB31" s="15"/>
      <c r="DTH31" s="25"/>
      <c r="DTO31" s="21"/>
      <c r="DTP31" s="21"/>
      <c r="DTT31" s="15"/>
      <c r="DTZ31" s="25"/>
      <c r="DUG31" s="21"/>
      <c r="DUH31" s="21"/>
      <c r="DUL31" s="15"/>
      <c r="DUR31" s="25"/>
      <c r="DUY31" s="21"/>
      <c r="DUZ31" s="21"/>
      <c r="DVD31" s="15"/>
      <c r="DVJ31" s="25"/>
      <c r="DVQ31" s="21"/>
      <c r="DVR31" s="21"/>
      <c r="DVV31" s="15"/>
      <c r="DWB31" s="25"/>
      <c r="DWI31" s="21"/>
      <c r="DWJ31" s="21"/>
      <c r="DWN31" s="15"/>
      <c r="DWT31" s="25"/>
      <c r="DXA31" s="21"/>
      <c r="DXB31" s="21"/>
      <c r="DXF31" s="15"/>
      <c r="DXL31" s="25"/>
      <c r="DXS31" s="21"/>
      <c r="DXT31" s="21"/>
      <c r="DXX31" s="15"/>
      <c r="DYD31" s="25"/>
      <c r="DYK31" s="21"/>
      <c r="DYL31" s="21"/>
      <c r="DYP31" s="15"/>
      <c r="DYV31" s="25"/>
      <c r="DZC31" s="21"/>
      <c r="DZD31" s="21"/>
      <c r="DZH31" s="15"/>
      <c r="DZN31" s="25"/>
      <c r="DZU31" s="21"/>
      <c r="DZV31" s="21"/>
      <c r="DZZ31" s="15"/>
      <c r="EAF31" s="25"/>
      <c r="EAM31" s="21"/>
      <c r="EAN31" s="21"/>
      <c r="EAR31" s="15"/>
      <c r="EAX31" s="25"/>
      <c r="EBE31" s="21"/>
      <c r="EBF31" s="21"/>
      <c r="EBJ31" s="15"/>
      <c r="EBP31" s="25"/>
      <c r="EBW31" s="21"/>
      <c r="EBX31" s="21"/>
      <c r="ECB31" s="15"/>
      <c r="ECH31" s="25"/>
      <c r="ECO31" s="21"/>
      <c r="ECP31" s="21"/>
      <c r="ECT31" s="15"/>
      <c r="ECZ31" s="25"/>
      <c r="EDG31" s="21"/>
      <c r="EDH31" s="21"/>
      <c r="EDL31" s="15"/>
      <c r="EDR31" s="25"/>
      <c r="EDY31" s="21"/>
      <c r="EDZ31" s="21"/>
      <c r="EED31" s="15"/>
      <c r="EEJ31" s="25"/>
      <c r="EEQ31" s="21"/>
      <c r="EER31" s="21"/>
      <c r="EEV31" s="15"/>
      <c r="EFB31" s="25"/>
      <c r="EFI31" s="21"/>
      <c r="EFJ31" s="21"/>
      <c r="EFN31" s="15"/>
      <c r="EFT31" s="25"/>
      <c r="EGA31" s="21"/>
      <c r="EGB31" s="21"/>
      <c r="EGF31" s="15"/>
      <c r="EGL31" s="25"/>
      <c r="EGS31" s="21"/>
      <c r="EGT31" s="21"/>
      <c r="EGX31" s="15"/>
      <c r="EHD31" s="25"/>
      <c r="EHK31" s="21"/>
      <c r="EHL31" s="21"/>
      <c r="EHP31" s="15"/>
      <c r="EHV31" s="25"/>
      <c r="EIC31" s="21"/>
      <c r="EID31" s="21"/>
      <c r="EIH31" s="15"/>
      <c r="EIN31" s="25"/>
      <c r="EIU31" s="21"/>
      <c r="EIV31" s="21"/>
      <c r="EIZ31" s="15"/>
      <c r="EJF31" s="25"/>
      <c r="EJM31" s="21"/>
      <c r="EJN31" s="21"/>
      <c r="EJR31" s="15"/>
      <c r="EJX31" s="25"/>
      <c r="EKE31" s="21"/>
      <c r="EKF31" s="21"/>
      <c r="EKJ31" s="15"/>
      <c r="EKP31" s="25"/>
      <c r="EKW31" s="21"/>
      <c r="EKX31" s="21"/>
      <c r="ELB31" s="15"/>
      <c r="ELH31" s="25"/>
      <c r="ELO31" s="21"/>
      <c r="ELP31" s="21"/>
      <c r="ELT31" s="15"/>
      <c r="ELZ31" s="25"/>
      <c r="EMG31" s="21"/>
      <c r="EMH31" s="21"/>
      <c r="EML31" s="15"/>
      <c r="EMR31" s="25"/>
      <c r="EMY31" s="21"/>
      <c r="EMZ31" s="21"/>
      <c r="END31" s="15"/>
      <c r="ENJ31" s="25"/>
      <c r="ENQ31" s="21"/>
      <c r="ENR31" s="21"/>
      <c r="ENV31" s="15"/>
      <c r="EOB31" s="25"/>
      <c r="EOI31" s="21"/>
      <c r="EOJ31" s="21"/>
      <c r="EON31" s="15"/>
      <c r="EOT31" s="25"/>
      <c r="EPA31" s="21"/>
      <c r="EPB31" s="21"/>
      <c r="EPF31" s="15"/>
      <c r="EPL31" s="25"/>
      <c r="EPS31" s="21"/>
      <c r="EPT31" s="21"/>
      <c r="EPX31" s="15"/>
      <c r="EQD31" s="25"/>
      <c r="EQK31" s="21"/>
      <c r="EQL31" s="21"/>
      <c r="EQP31" s="15"/>
      <c r="EQV31" s="25"/>
      <c r="ERC31" s="21"/>
      <c r="ERD31" s="21"/>
      <c r="ERH31" s="15"/>
      <c r="ERN31" s="25"/>
      <c r="ERU31" s="21"/>
      <c r="ERV31" s="21"/>
      <c r="ERZ31" s="15"/>
      <c r="ESF31" s="25"/>
      <c r="ESM31" s="21"/>
      <c r="ESN31" s="21"/>
      <c r="ESR31" s="15"/>
      <c r="ESX31" s="25"/>
      <c r="ETE31" s="21"/>
      <c r="ETF31" s="21"/>
      <c r="ETJ31" s="15"/>
      <c r="ETP31" s="25"/>
      <c r="ETW31" s="21"/>
      <c r="ETX31" s="21"/>
      <c r="EUB31" s="15"/>
      <c r="EUH31" s="25"/>
      <c r="EUO31" s="21"/>
      <c r="EUP31" s="21"/>
      <c r="EUT31" s="15"/>
      <c r="EUZ31" s="25"/>
      <c r="EVG31" s="21"/>
      <c r="EVH31" s="21"/>
      <c r="EVL31" s="15"/>
      <c r="EVR31" s="25"/>
      <c r="EVY31" s="21"/>
      <c r="EVZ31" s="21"/>
      <c r="EWD31" s="15"/>
      <c r="EWJ31" s="25"/>
      <c r="EWQ31" s="21"/>
      <c r="EWR31" s="21"/>
      <c r="EWV31" s="15"/>
      <c r="EXB31" s="25"/>
      <c r="EXI31" s="21"/>
      <c r="EXJ31" s="21"/>
      <c r="EXN31" s="15"/>
      <c r="EXT31" s="25"/>
      <c r="EYA31" s="21"/>
      <c r="EYB31" s="21"/>
      <c r="EYF31" s="15"/>
      <c r="EYL31" s="25"/>
      <c r="EYS31" s="21"/>
      <c r="EYT31" s="21"/>
      <c r="EYX31" s="15"/>
      <c r="EZD31" s="25"/>
      <c r="EZK31" s="21"/>
      <c r="EZL31" s="21"/>
      <c r="EZP31" s="15"/>
      <c r="EZV31" s="25"/>
      <c r="FAC31" s="21"/>
      <c r="FAD31" s="21"/>
      <c r="FAH31" s="15"/>
      <c r="FAN31" s="25"/>
      <c r="FAU31" s="21"/>
      <c r="FAV31" s="21"/>
      <c r="FAZ31" s="15"/>
      <c r="FBF31" s="25"/>
      <c r="FBM31" s="21"/>
      <c r="FBN31" s="21"/>
      <c r="FBR31" s="15"/>
      <c r="FBX31" s="25"/>
      <c r="FCE31" s="21"/>
      <c r="FCF31" s="21"/>
      <c r="FCJ31" s="15"/>
      <c r="FCP31" s="25"/>
      <c r="FCW31" s="21"/>
      <c r="FCX31" s="21"/>
      <c r="FDB31" s="15"/>
      <c r="FDH31" s="25"/>
      <c r="FDO31" s="21"/>
      <c r="FDP31" s="21"/>
      <c r="FDT31" s="15"/>
      <c r="FDZ31" s="25"/>
      <c r="FEG31" s="21"/>
      <c r="FEH31" s="21"/>
      <c r="FEL31" s="15"/>
      <c r="FER31" s="25"/>
      <c r="FEY31" s="21"/>
      <c r="FEZ31" s="21"/>
      <c r="FFD31" s="15"/>
      <c r="FFJ31" s="25"/>
      <c r="FFQ31" s="21"/>
      <c r="FFR31" s="21"/>
      <c r="FFV31" s="15"/>
      <c r="FGB31" s="25"/>
      <c r="FGI31" s="21"/>
      <c r="FGJ31" s="21"/>
      <c r="FGN31" s="15"/>
      <c r="FGT31" s="25"/>
      <c r="FHA31" s="21"/>
      <c r="FHB31" s="21"/>
      <c r="FHF31" s="15"/>
      <c r="FHL31" s="25"/>
      <c r="FHS31" s="21"/>
      <c r="FHT31" s="21"/>
      <c r="FHX31" s="15"/>
      <c r="FID31" s="25"/>
      <c r="FIK31" s="21"/>
      <c r="FIL31" s="21"/>
      <c r="FIP31" s="15"/>
      <c r="FIV31" s="25"/>
      <c r="FJC31" s="21"/>
      <c r="FJD31" s="21"/>
      <c r="FJH31" s="15"/>
      <c r="FJN31" s="25"/>
      <c r="FJU31" s="21"/>
      <c r="FJV31" s="21"/>
      <c r="FJZ31" s="15"/>
      <c r="FKF31" s="25"/>
      <c r="FKM31" s="21"/>
      <c r="FKN31" s="21"/>
      <c r="FKR31" s="15"/>
      <c r="FKX31" s="25"/>
      <c r="FLE31" s="21"/>
      <c r="FLF31" s="21"/>
      <c r="FLJ31" s="15"/>
      <c r="FLP31" s="25"/>
      <c r="FLW31" s="21"/>
      <c r="FLX31" s="21"/>
      <c r="FMB31" s="15"/>
      <c r="FMH31" s="25"/>
      <c r="FMO31" s="21"/>
      <c r="FMP31" s="21"/>
      <c r="FMT31" s="15"/>
      <c r="FMZ31" s="25"/>
      <c r="FNG31" s="21"/>
      <c r="FNH31" s="21"/>
      <c r="FNL31" s="15"/>
      <c r="FNR31" s="25"/>
      <c r="FNY31" s="21"/>
      <c r="FNZ31" s="21"/>
      <c r="FOD31" s="15"/>
      <c r="FOJ31" s="25"/>
      <c r="FOQ31" s="21"/>
      <c r="FOR31" s="21"/>
      <c r="FOV31" s="15"/>
      <c r="FPB31" s="25"/>
      <c r="FPI31" s="21"/>
      <c r="FPJ31" s="21"/>
      <c r="FPN31" s="15"/>
      <c r="FPT31" s="25"/>
      <c r="FQA31" s="21"/>
      <c r="FQB31" s="21"/>
      <c r="FQF31" s="15"/>
      <c r="FQL31" s="25"/>
      <c r="FQS31" s="21"/>
      <c r="FQT31" s="21"/>
      <c r="FQX31" s="15"/>
      <c r="FRD31" s="25"/>
      <c r="FRK31" s="21"/>
      <c r="FRL31" s="21"/>
      <c r="FRP31" s="15"/>
      <c r="FRV31" s="25"/>
      <c r="FSC31" s="21"/>
      <c r="FSD31" s="21"/>
      <c r="FSH31" s="15"/>
      <c r="FSN31" s="25"/>
      <c r="FSU31" s="21"/>
      <c r="FSV31" s="21"/>
      <c r="FSZ31" s="15"/>
      <c r="FTF31" s="25"/>
      <c r="FTM31" s="21"/>
      <c r="FTN31" s="21"/>
      <c r="FTR31" s="15"/>
      <c r="FTX31" s="25"/>
      <c r="FUE31" s="21"/>
      <c r="FUF31" s="21"/>
      <c r="FUJ31" s="15"/>
      <c r="FUP31" s="25"/>
      <c r="FUW31" s="21"/>
      <c r="FUX31" s="21"/>
      <c r="FVB31" s="15"/>
      <c r="FVH31" s="25"/>
      <c r="FVO31" s="21"/>
      <c r="FVP31" s="21"/>
      <c r="FVT31" s="15"/>
      <c r="FVZ31" s="25"/>
      <c r="FWG31" s="21"/>
      <c r="FWH31" s="21"/>
      <c r="FWL31" s="15"/>
      <c r="FWR31" s="25"/>
      <c r="FWY31" s="21"/>
      <c r="FWZ31" s="21"/>
      <c r="FXD31" s="15"/>
      <c r="FXJ31" s="25"/>
      <c r="FXQ31" s="21"/>
      <c r="FXR31" s="21"/>
      <c r="FXV31" s="15"/>
      <c r="FYB31" s="25"/>
      <c r="FYI31" s="21"/>
      <c r="FYJ31" s="21"/>
      <c r="FYN31" s="15"/>
      <c r="FYT31" s="25"/>
      <c r="FZA31" s="21"/>
      <c r="FZB31" s="21"/>
      <c r="FZF31" s="15"/>
      <c r="FZL31" s="25"/>
      <c r="FZS31" s="21"/>
      <c r="FZT31" s="21"/>
      <c r="FZX31" s="15"/>
      <c r="GAD31" s="25"/>
      <c r="GAK31" s="21"/>
      <c r="GAL31" s="21"/>
      <c r="GAP31" s="15"/>
      <c r="GAV31" s="25"/>
      <c r="GBC31" s="21"/>
      <c r="GBD31" s="21"/>
      <c r="GBH31" s="15"/>
      <c r="GBN31" s="25"/>
      <c r="GBU31" s="21"/>
      <c r="GBV31" s="21"/>
      <c r="GBZ31" s="15"/>
      <c r="GCF31" s="25"/>
      <c r="GCM31" s="21"/>
      <c r="GCN31" s="21"/>
      <c r="GCR31" s="15"/>
      <c r="GCX31" s="25"/>
      <c r="GDE31" s="21"/>
      <c r="GDF31" s="21"/>
      <c r="GDJ31" s="15"/>
      <c r="GDP31" s="25"/>
      <c r="GDW31" s="21"/>
      <c r="GDX31" s="21"/>
      <c r="GEB31" s="15"/>
      <c r="GEH31" s="25"/>
      <c r="GEO31" s="21"/>
      <c r="GEP31" s="21"/>
      <c r="GET31" s="15"/>
      <c r="GEZ31" s="25"/>
      <c r="GFG31" s="21"/>
      <c r="GFH31" s="21"/>
      <c r="GFL31" s="15"/>
      <c r="GFR31" s="25"/>
      <c r="GFY31" s="21"/>
      <c r="GFZ31" s="21"/>
      <c r="GGD31" s="15"/>
      <c r="GGJ31" s="25"/>
      <c r="GGQ31" s="21"/>
      <c r="GGR31" s="21"/>
      <c r="GGV31" s="15"/>
      <c r="GHB31" s="25"/>
      <c r="GHI31" s="21"/>
      <c r="GHJ31" s="21"/>
      <c r="GHN31" s="15"/>
      <c r="GHT31" s="25"/>
      <c r="GIA31" s="21"/>
      <c r="GIB31" s="21"/>
      <c r="GIF31" s="15"/>
      <c r="GIL31" s="25"/>
      <c r="GIS31" s="21"/>
      <c r="GIT31" s="21"/>
      <c r="GIX31" s="15"/>
      <c r="GJD31" s="25"/>
      <c r="GJK31" s="21"/>
      <c r="GJL31" s="21"/>
      <c r="GJP31" s="15"/>
      <c r="GJV31" s="25"/>
      <c r="GKC31" s="21"/>
      <c r="GKD31" s="21"/>
      <c r="GKH31" s="15"/>
      <c r="GKN31" s="25"/>
      <c r="GKU31" s="21"/>
      <c r="GKV31" s="21"/>
      <c r="GKZ31" s="15"/>
      <c r="GLF31" s="25"/>
      <c r="GLM31" s="21"/>
      <c r="GLN31" s="21"/>
      <c r="GLR31" s="15"/>
      <c r="GLX31" s="25"/>
      <c r="GME31" s="21"/>
      <c r="GMF31" s="21"/>
      <c r="GMJ31" s="15"/>
      <c r="GMP31" s="25"/>
      <c r="GMW31" s="21"/>
      <c r="GMX31" s="21"/>
      <c r="GNB31" s="15"/>
      <c r="GNH31" s="25"/>
      <c r="GNO31" s="21"/>
      <c r="GNP31" s="21"/>
      <c r="GNT31" s="15"/>
      <c r="GNZ31" s="25"/>
      <c r="GOG31" s="21"/>
      <c r="GOH31" s="21"/>
      <c r="GOL31" s="15"/>
      <c r="GOR31" s="25"/>
      <c r="GOY31" s="21"/>
      <c r="GOZ31" s="21"/>
      <c r="GPD31" s="15"/>
      <c r="GPJ31" s="25"/>
      <c r="GPQ31" s="21"/>
      <c r="GPR31" s="21"/>
      <c r="GPV31" s="15"/>
      <c r="GQB31" s="25"/>
      <c r="GQI31" s="21"/>
      <c r="GQJ31" s="21"/>
      <c r="GQN31" s="15"/>
      <c r="GQT31" s="25"/>
      <c r="GRA31" s="21"/>
      <c r="GRB31" s="21"/>
      <c r="GRF31" s="15"/>
      <c r="GRL31" s="25"/>
      <c r="GRS31" s="21"/>
      <c r="GRT31" s="21"/>
      <c r="GRX31" s="15"/>
      <c r="GSD31" s="25"/>
      <c r="GSK31" s="21"/>
      <c r="GSL31" s="21"/>
      <c r="GSP31" s="15"/>
      <c r="GSV31" s="25"/>
      <c r="GTC31" s="21"/>
      <c r="GTD31" s="21"/>
      <c r="GTH31" s="15"/>
      <c r="GTN31" s="25"/>
      <c r="GTU31" s="21"/>
      <c r="GTV31" s="21"/>
      <c r="GTZ31" s="15"/>
      <c r="GUF31" s="25"/>
      <c r="GUM31" s="21"/>
      <c r="GUN31" s="21"/>
      <c r="GUR31" s="15"/>
      <c r="GUX31" s="25"/>
      <c r="GVE31" s="21"/>
      <c r="GVF31" s="21"/>
      <c r="GVJ31" s="15"/>
      <c r="GVP31" s="25"/>
      <c r="GVW31" s="21"/>
      <c r="GVX31" s="21"/>
      <c r="GWB31" s="15"/>
      <c r="GWH31" s="25"/>
      <c r="GWO31" s="21"/>
      <c r="GWP31" s="21"/>
      <c r="GWT31" s="15"/>
      <c r="GWZ31" s="25"/>
      <c r="GXG31" s="21"/>
      <c r="GXH31" s="21"/>
      <c r="GXL31" s="15"/>
      <c r="GXR31" s="25"/>
      <c r="GXY31" s="21"/>
      <c r="GXZ31" s="21"/>
      <c r="GYD31" s="15"/>
      <c r="GYJ31" s="25"/>
      <c r="GYQ31" s="21"/>
      <c r="GYR31" s="21"/>
      <c r="GYV31" s="15"/>
      <c r="GZB31" s="25"/>
      <c r="GZI31" s="21"/>
      <c r="GZJ31" s="21"/>
      <c r="GZN31" s="15"/>
      <c r="GZT31" s="25"/>
      <c r="HAA31" s="21"/>
      <c r="HAB31" s="21"/>
      <c r="HAF31" s="15"/>
      <c r="HAL31" s="25"/>
      <c r="HAS31" s="21"/>
      <c r="HAT31" s="21"/>
      <c r="HAX31" s="15"/>
      <c r="HBD31" s="25"/>
      <c r="HBK31" s="21"/>
      <c r="HBL31" s="21"/>
      <c r="HBP31" s="15"/>
      <c r="HBV31" s="25"/>
      <c r="HCC31" s="21"/>
      <c r="HCD31" s="21"/>
      <c r="HCH31" s="15"/>
      <c r="HCN31" s="25"/>
      <c r="HCU31" s="21"/>
      <c r="HCV31" s="21"/>
      <c r="HCZ31" s="15"/>
      <c r="HDF31" s="25"/>
      <c r="HDM31" s="21"/>
      <c r="HDN31" s="21"/>
      <c r="HDR31" s="15"/>
      <c r="HDX31" s="25"/>
      <c r="HEE31" s="21"/>
      <c r="HEF31" s="21"/>
      <c r="HEJ31" s="15"/>
      <c r="HEP31" s="25"/>
      <c r="HEW31" s="21"/>
      <c r="HEX31" s="21"/>
      <c r="HFB31" s="15"/>
      <c r="HFH31" s="25"/>
      <c r="HFO31" s="21"/>
      <c r="HFP31" s="21"/>
      <c r="HFT31" s="15"/>
      <c r="HFZ31" s="25"/>
      <c r="HGG31" s="21"/>
      <c r="HGH31" s="21"/>
      <c r="HGL31" s="15"/>
      <c r="HGR31" s="25"/>
      <c r="HGY31" s="21"/>
      <c r="HGZ31" s="21"/>
      <c r="HHD31" s="15"/>
      <c r="HHJ31" s="25"/>
      <c r="HHQ31" s="21"/>
      <c r="HHR31" s="21"/>
      <c r="HHV31" s="15"/>
      <c r="HIB31" s="25"/>
      <c r="HII31" s="21"/>
      <c r="HIJ31" s="21"/>
      <c r="HIN31" s="15"/>
      <c r="HIT31" s="25"/>
      <c r="HJA31" s="21"/>
      <c r="HJB31" s="21"/>
      <c r="HJF31" s="15"/>
      <c r="HJL31" s="25"/>
      <c r="HJS31" s="21"/>
      <c r="HJT31" s="21"/>
      <c r="HJX31" s="15"/>
      <c r="HKD31" s="25"/>
      <c r="HKK31" s="21"/>
      <c r="HKL31" s="21"/>
      <c r="HKP31" s="15"/>
      <c r="HKV31" s="25"/>
      <c r="HLC31" s="21"/>
      <c r="HLD31" s="21"/>
      <c r="HLH31" s="15"/>
      <c r="HLN31" s="25"/>
      <c r="HLU31" s="21"/>
      <c r="HLV31" s="21"/>
      <c r="HLZ31" s="15"/>
      <c r="HMF31" s="25"/>
      <c r="HMM31" s="21"/>
      <c r="HMN31" s="21"/>
      <c r="HMR31" s="15"/>
      <c r="HMX31" s="25"/>
      <c r="HNE31" s="21"/>
      <c r="HNF31" s="21"/>
      <c r="HNJ31" s="15"/>
      <c r="HNP31" s="25"/>
      <c r="HNW31" s="21"/>
      <c r="HNX31" s="21"/>
      <c r="HOB31" s="15"/>
      <c r="HOH31" s="25"/>
      <c r="HOO31" s="21"/>
      <c r="HOP31" s="21"/>
      <c r="HOT31" s="15"/>
      <c r="HOZ31" s="25"/>
      <c r="HPG31" s="21"/>
      <c r="HPH31" s="21"/>
      <c r="HPL31" s="15"/>
      <c r="HPR31" s="25"/>
      <c r="HPY31" s="21"/>
      <c r="HPZ31" s="21"/>
      <c r="HQD31" s="15"/>
      <c r="HQJ31" s="25"/>
      <c r="HQQ31" s="21"/>
      <c r="HQR31" s="21"/>
      <c r="HQV31" s="15"/>
      <c r="HRB31" s="25"/>
      <c r="HRI31" s="21"/>
      <c r="HRJ31" s="21"/>
      <c r="HRN31" s="15"/>
      <c r="HRT31" s="25"/>
      <c r="HSA31" s="21"/>
      <c r="HSB31" s="21"/>
      <c r="HSF31" s="15"/>
      <c r="HSL31" s="25"/>
      <c r="HSS31" s="21"/>
      <c r="HST31" s="21"/>
      <c r="HSX31" s="15"/>
      <c r="HTD31" s="25"/>
      <c r="HTK31" s="21"/>
      <c r="HTL31" s="21"/>
      <c r="HTP31" s="15"/>
      <c r="HTV31" s="25"/>
      <c r="HUC31" s="21"/>
      <c r="HUD31" s="21"/>
      <c r="HUH31" s="15"/>
      <c r="HUN31" s="25"/>
      <c r="HUU31" s="21"/>
      <c r="HUV31" s="21"/>
      <c r="HUZ31" s="15"/>
      <c r="HVF31" s="25"/>
      <c r="HVM31" s="21"/>
      <c r="HVN31" s="21"/>
      <c r="HVR31" s="15"/>
      <c r="HVX31" s="25"/>
      <c r="HWE31" s="21"/>
      <c r="HWF31" s="21"/>
      <c r="HWJ31" s="15"/>
      <c r="HWP31" s="25"/>
      <c r="HWW31" s="21"/>
      <c r="HWX31" s="21"/>
      <c r="HXB31" s="15"/>
      <c r="HXH31" s="25"/>
      <c r="HXO31" s="21"/>
      <c r="HXP31" s="21"/>
      <c r="HXT31" s="15"/>
      <c r="HXZ31" s="25"/>
      <c r="HYG31" s="21"/>
      <c r="HYH31" s="21"/>
      <c r="HYL31" s="15"/>
      <c r="HYR31" s="25"/>
      <c r="HYY31" s="21"/>
      <c r="HYZ31" s="21"/>
      <c r="HZD31" s="15"/>
      <c r="HZJ31" s="25"/>
      <c r="HZQ31" s="21"/>
      <c r="HZR31" s="21"/>
      <c r="HZV31" s="15"/>
      <c r="IAB31" s="25"/>
      <c r="IAI31" s="21"/>
      <c r="IAJ31" s="21"/>
      <c r="IAN31" s="15"/>
      <c r="IAT31" s="25"/>
      <c r="IBA31" s="21"/>
      <c r="IBB31" s="21"/>
      <c r="IBF31" s="15"/>
      <c r="IBL31" s="25"/>
      <c r="IBS31" s="21"/>
      <c r="IBT31" s="21"/>
      <c r="IBX31" s="15"/>
      <c r="ICD31" s="25"/>
      <c r="ICK31" s="21"/>
      <c r="ICL31" s="21"/>
      <c r="ICP31" s="15"/>
      <c r="ICV31" s="25"/>
      <c r="IDC31" s="21"/>
      <c r="IDD31" s="21"/>
      <c r="IDH31" s="15"/>
      <c r="IDN31" s="25"/>
      <c r="IDU31" s="21"/>
      <c r="IDV31" s="21"/>
      <c r="IDZ31" s="15"/>
      <c r="IEF31" s="25"/>
      <c r="IEM31" s="21"/>
      <c r="IEN31" s="21"/>
      <c r="IER31" s="15"/>
      <c r="IEX31" s="25"/>
      <c r="IFE31" s="21"/>
      <c r="IFF31" s="21"/>
      <c r="IFJ31" s="15"/>
      <c r="IFP31" s="25"/>
      <c r="IFW31" s="21"/>
      <c r="IFX31" s="21"/>
      <c r="IGB31" s="15"/>
      <c r="IGH31" s="25"/>
      <c r="IGO31" s="21"/>
      <c r="IGP31" s="21"/>
      <c r="IGT31" s="15"/>
      <c r="IGZ31" s="25"/>
      <c r="IHG31" s="21"/>
      <c r="IHH31" s="21"/>
      <c r="IHL31" s="15"/>
      <c r="IHR31" s="25"/>
      <c r="IHY31" s="21"/>
      <c r="IHZ31" s="21"/>
      <c r="IID31" s="15"/>
      <c r="IIJ31" s="25"/>
      <c r="IIQ31" s="21"/>
      <c r="IIR31" s="21"/>
      <c r="IIV31" s="15"/>
      <c r="IJB31" s="25"/>
      <c r="IJI31" s="21"/>
      <c r="IJJ31" s="21"/>
      <c r="IJN31" s="15"/>
      <c r="IJT31" s="25"/>
      <c r="IKA31" s="21"/>
      <c r="IKB31" s="21"/>
      <c r="IKF31" s="15"/>
      <c r="IKL31" s="25"/>
      <c r="IKS31" s="21"/>
      <c r="IKT31" s="21"/>
      <c r="IKX31" s="15"/>
      <c r="ILD31" s="25"/>
      <c r="ILK31" s="21"/>
      <c r="ILL31" s="21"/>
      <c r="ILP31" s="15"/>
      <c r="ILV31" s="25"/>
      <c r="IMC31" s="21"/>
      <c r="IMD31" s="21"/>
      <c r="IMH31" s="15"/>
      <c r="IMN31" s="25"/>
      <c r="IMU31" s="21"/>
      <c r="IMV31" s="21"/>
      <c r="IMZ31" s="15"/>
      <c r="INF31" s="25"/>
      <c r="INM31" s="21"/>
      <c r="INN31" s="21"/>
      <c r="INR31" s="15"/>
      <c r="INX31" s="25"/>
      <c r="IOE31" s="21"/>
      <c r="IOF31" s="21"/>
      <c r="IOJ31" s="15"/>
      <c r="IOP31" s="25"/>
      <c r="IOW31" s="21"/>
      <c r="IOX31" s="21"/>
      <c r="IPB31" s="15"/>
      <c r="IPH31" s="25"/>
      <c r="IPO31" s="21"/>
      <c r="IPP31" s="21"/>
      <c r="IPT31" s="15"/>
      <c r="IPZ31" s="25"/>
      <c r="IQG31" s="21"/>
      <c r="IQH31" s="21"/>
      <c r="IQL31" s="15"/>
      <c r="IQR31" s="25"/>
      <c r="IQY31" s="21"/>
      <c r="IQZ31" s="21"/>
      <c r="IRD31" s="15"/>
      <c r="IRJ31" s="25"/>
      <c r="IRQ31" s="21"/>
      <c r="IRR31" s="21"/>
      <c r="IRV31" s="15"/>
      <c r="ISB31" s="25"/>
      <c r="ISI31" s="21"/>
      <c r="ISJ31" s="21"/>
      <c r="ISN31" s="15"/>
      <c r="IST31" s="25"/>
      <c r="ITA31" s="21"/>
      <c r="ITB31" s="21"/>
      <c r="ITF31" s="15"/>
      <c r="ITL31" s="25"/>
      <c r="ITS31" s="21"/>
      <c r="ITT31" s="21"/>
      <c r="ITX31" s="15"/>
      <c r="IUD31" s="25"/>
      <c r="IUK31" s="21"/>
      <c r="IUL31" s="21"/>
      <c r="IUP31" s="15"/>
      <c r="IUV31" s="25"/>
      <c r="IVC31" s="21"/>
      <c r="IVD31" s="21"/>
      <c r="IVH31" s="15"/>
      <c r="IVN31" s="25"/>
      <c r="IVU31" s="21"/>
      <c r="IVV31" s="21"/>
      <c r="IVZ31" s="15"/>
      <c r="IWF31" s="25"/>
      <c r="IWM31" s="21"/>
      <c r="IWN31" s="21"/>
      <c r="IWR31" s="15"/>
      <c r="IWX31" s="25"/>
      <c r="IXE31" s="21"/>
      <c r="IXF31" s="21"/>
      <c r="IXJ31" s="15"/>
      <c r="IXP31" s="25"/>
      <c r="IXW31" s="21"/>
      <c r="IXX31" s="21"/>
      <c r="IYB31" s="15"/>
      <c r="IYH31" s="25"/>
      <c r="IYO31" s="21"/>
      <c r="IYP31" s="21"/>
      <c r="IYT31" s="15"/>
      <c r="IYZ31" s="25"/>
      <c r="IZG31" s="21"/>
      <c r="IZH31" s="21"/>
      <c r="IZL31" s="15"/>
      <c r="IZR31" s="25"/>
      <c r="IZY31" s="21"/>
      <c r="IZZ31" s="21"/>
      <c r="JAD31" s="15"/>
      <c r="JAJ31" s="25"/>
      <c r="JAQ31" s="21"/>
      <c r="JAR31" s="21"/>
      <c r="JAV31" s="15"/>
      <c r="JBB31" s="25"/>
      <c r="JBI31" s="21"/>
      <c r="JBJ31" s="21"/>
      <c r="JBN31" s="15"/>
      <c r="JBT31" s="25"/>
      <c r="JCA31" s="21"/>
      <c r="JCB31" s="21"/>
      <c r="JCF31" s="15"/>
      <c r="JCL31" s="25"/>
      <c r="JCS31" s="21"/>
      <c r="JCT31" s="21"/>
      <c r="JCX31" s="15"/>
      <c r="JDD31" s="25"/>
      <c r="JDK31" s="21"/>
      <c r="JDL31" s="21"/>
      <c r="JDP31" s="15"/>
      <c r="JDV31" s="25"/>
      <c r="JEC31" s="21"/>
      <c r="JED31" s="21"/>
      <c r="JEH31" s="15"/>
      <c r="JEN31" s="25"/>
      <c r="JEU31" s="21"/>
      <c r="JEV31" s="21"/>
      <c r="JEZ31" s="15"/>
      <c r="JFF31" s="25"/>
      <c r="JFM31" s="21"/>
      <c r="JFN31" s="21"/>
      <c r="JFR31" s="15"/>
      <c r="JFX31" s="25"/>
      <c r="JGE31" s="21"/>
      <c r="JGF31" s="21"/>
      <c r="JGJ31" s="15"/>
      <c r="JGP31" s="25"/>
      <c r="JGW31" s="21"/>
      <c r="JGX31" s="21"/>
      <c r="JHB31" s="15"/>
      <c r="JHH31" s="25"/>
      <c r="JHO31" s="21"/>
      <c r="JHP31" s="21"/>
      <c r="JHT31" s="15"/>
      <c r="JHZ31" s="25"/>
      <c r="JIG31" s="21"/>
      <c r="JIH31" s="21"/>
      <c r="JIL31" s="15"/>
      <c r="JIR31" s="25"/>
      <c r="JIY31" s="21"/>
      <c r="JIZ31" s="21"/>
      <c r="JJD31" s="15"/>
      <c r="JJJ31" s="25"/>
      <c r="JJQ31" s="21"/>
      <c r="JJR31" s="21"/>
      <c r="JJV31" s="15"/>
      <c r="JKB31" s="25"/>
      <c r="JKI31" s="21"/>
      <c r="JKJ31" s="21"/>
      <c r="JKN31" s="15"/>
      <c r="JKT31" s="25"/>
      <c r="JLA31" s="21"/>
      <c r="JLB31" s="21"/>
      <c r="JLF31" s="15"/>
      <c r="JLL31" s="25"/>
      <c r="JLS31" s="21"/>
      <c r="JLT31" s="21"/>
      <c r="JLX31" s="15"/>
      <c r="JMD31" s="25"/>
      <c r="JMK31" s="21"/>
      <c r="JML31" s="21"/>
      <c r="JMP31" s="15"/>
      <c r="JMV31" s="25"/>
      <c r="JNC31" s="21"/>
      <c r="JND31" s="21"/>
      <c r="JNH31" s="15"/>
      <c r="JNN31" s="25"/>
      <c r="JNU31" s="21"/>
      <c r="JNV31" s="21"/>
      <c r="JNZ31" s="15"/>
      <c r="JOF31" s="25"/>
      <c r="JOM31" s="21"/>
      <c r="JON31" s="21"/>
      <c r="JOR31" s="15"/>
      <c r="JOX31" s="25"/>
      <c r="JPE31" s="21"/>
      <c r="JPF31" s="21"/>
      <c r="JPJ31" s="15"/>
      <c r="JPP31" s="25"/>
      <c r="JPW31" s="21"/>
      <c r="JPX31" s="21"/>
      <c r="JQB31" s="15"/>
      <c r="JQH31" s="25"/>
      <c r="JQO31" s="21"/>
      <c r="JQP31" s="21"/>
      <c r="JQT31" s="15"/>
      <c r="JQZ31" s="25"/>
      <c r="JRG31" s="21"/>
      <c r="JRH31" s="21"/>
      <c r="JRL31" s="15"/>
      <c r="JRR31" s="25"/>
      <c r="JRY31" s="21"/>
      <c r="JRZ31" s="21"/>
      <c r="JSD31" s="15"/>
      <c r="JSJ31" s="25"/>
      <c r="JSQ31" s="21"/>
      <c r="JSR31" s="21"/>
      <c r="JSV31" s="15"/>
      <c r="JTB31" s="25"/>
      <c r="JTI31" s="21"/>
      <c r="JTJ31" s="21"/>
      <c r="JTN31" s="15"/>
      <c r="JTT31" s="25"/>
      <c r="JUA31" s="21"/>
      <c r="JUB31" s="21"/>
      <c r="JUF31" s="15"/>
      <c r="JUL31" s="25"/>
      <c r="JUS31" s="21"/>
      <c r="JUT31" s="21"/>
      <c r="JUX31" s="15"/>
      <c r="JVD31" s="25"/>
      <c r="JVK31" s="21"/>
      <c r="JVL31" s="21"/>
      <c r="JVP31" s="15"/>
      <c r="JVV31" s="25"/>
      <c r="JWC31" s="21"/>
      <c r="JWD31" s="21"/>
      <c r="JWH31" s="15"/>
      <c r="JWN31" s="25"/>
      <c r="JWU31" s="21"/>
      <c r="JWV31" s="21"/>
      <c r="JWZ31" s="15"/>
      <c r="JXF31" s="25"/>
      <c r="JXM31" s="21"/>
      <c r="JXN31" s="21"/>
      <c r="JXR31" s="15"/>
      <c r="JXX31" s="25"/>
      <c r="JYE31" s="21"/>
      <c r="JYF31" s="21"/>
      <c r="JYJ31" s="15"/>
      <c r="JYP31" s="25"/>
      <c r="JYW31" s="21"/>
      <c r="JYX31" s="21"/>
      <c r="JZB31" s="15"/>
      <c r="JZH31" s="25"/>
      <c r="JZO31" s="21"/>
      <c r="JZP31" s="21"/>
      <c r="JZT31" s="15"/>
      <c r="JZZ31" s="25"/>
      <c r="KAG31" s="21"/>
      <c r="KAH31" s="21"/>
      <c r="KAL31" s="15"/>
      <c r="KAR31" s="25"/>
      <c r="KAY31" s="21"/>
      <c r="KAZ31" s="21"/>
      <c r="KBD31" s="15"/>
      <c r="KBJ31" s="25"/>
      <c r="KBQ31" s="21"/>
      <c r="KBR31" s="21"/>
      <c r="KBV31" s="15"/>
      <c r="KCB31" s="25"/>
      <c r="KCI31" s="21"/>
      <c r="KCJ31" s="21"/>
      <c r="KCN31" s="15"/>
      <c r="KCT31" s="25"/>
      <c r="KDA31" s="21"/>
      <c r="KDB31" s="21"/>
      <c r="KDF31" s="15"/>
      <c r="KDL31" s="25"/>
      <c r="KDS31" s="21"/>
      <c r="KDT31" s="21"/>
      <c r="KDX31" s="15"/>
      <c r="KED31" s="25"/>
      <c r="KEK31" s="21"/>
      <c r="KEL31" s="21"/>
      <c r="KEP31" s="15"/>
      <c r="KEV31" s="25"/>
      <c r="KFC31" s="21"/>
      <c r="KFD31" s="21"/>
      <c r="KFH31" s="15"/>
      <c r="KFN31" s="25"/>
      <c r="KFU31" s="21"/>
      <c r="KFV31" s="21"/>
      <c r="KFZ31" s="15"/>
      <c r="KGF31" s="25"/>
      <c r="KGM31" s="21"/>
      <c r="KGN31" s="21"/>
      <c r="KGR31" s="15"/>
      <c r="KGX31" s="25"/>
      <c r="KHE31" s="21"/>
      <c r="KHF31" s="21"/>
      <c r="KHJ31" s="15"/>
      <c r="KHP31" s="25"/>
      <c r="KHW31" s="21"/>
      <c r="KHX31" s="21"/>
      <c r="KIB31" s="15"/>
      <c r="KIH31" s="25"/>
      <c r="KIO31" s="21"/>
      <c r="KIP31" s="21"/>
      <c r="KIT31" s="15"/>
      <c r="KIZ31" s="25"/>
      <c r="KJG31" s="21"/>
      <c r="KJH31" s="21"/>
      <c r="KJL31" s="15"/>
      <c r="KJR31" s="25"/>
      <c r="KJY31" s="21"/>
      <c r="KJZ31" s="21"/>
      <c r="KKD31" s="15"/>
      <c r="KKJ31" s="25"/>
      <c r="KKQ31" s="21"/>
      <c r="KKR31" s="21"/>
      <c r="KKV31" s="15"/>
      <c r="KLB31" s="25"/>
      <c r="KLI31" s="21"/>
      <c r="KLJ31" s="21"/>
      <c r="KLN31" s="15"/>
      <c r="KLT31" s="25"/>
      <c r="KMA31" s="21"/>
      <c r="KMB31" s="21"/>
      <c r="KMF31" s="15"/>
      <c r="KML31" s="25"/>
      <c r="KMS31" s="21"/>
      <c r="KMT31" s="21"/>
      <c r="KMX31" s="15"/>
      <c r="KND31" s="25"/>
      <c r="KNK31" s="21"/>
      <c r="KNL31" s="21"/>
      <c r="KNP31" s="15"/>
      <c r="KNV31" s="25"/>
      <c r="KOC31" s="21"/>
      <c r="KOD31" s="21"/>
      <c r="KOH31" s="15"/>
      <c r="KON31" s="25"/>
      <c r="KOU31" s="21"/>
      <c r="KOV31" s="21"/>
      <c r="KOZ31" s="15"/>
      <c r="KPF31" s="25"/>
      <c r="KPM31" s="21"/>
      <c r="KPN31" s="21"/>
      <c r="KPR31" s="15"/>
      <c r="KPX31" s="25"/>
      <c r="KQE31" s="21"/>
      <c r="KQF31" s="21"/>
      <c r="KQJ31" s="15"/>
      <c r="KQP31" s="25"/>
      <c r="KQW31" s="21"/>
      <c r="KQX31" s="21"/>
      <c r="KRB31" s="15"/>
      <c r="KRH31" s="25"/>
      <c r="KRO31" s="21"/>
      <c r="KRP31" s="21"/>
      <c r="KRT31" s="15"/>
      <c r="KRZ31" s="25"/>
      <c r="KSG31" s="21"/>
      <c r="KSH31" s="21"/>
      <c r="KSL31" s="15"/>
      <c r="KSR31" s="25"/>
      <c r="KSY31" s="21"/>
      <c r="KSZ31" s="21"/>
      <c r="KTD31" s="15"/>
      <c r="KTJ31" s="25"/>
      <c r="KTQ31" s="21"/>
      <c r="KTR31" s="21"/>
      <c r="KTV31" s="15"/>
      <c r="KUB31" s="25"/>
      <c r="KUI31" s="21"/>
      <c r="KUJ31" s="21"/>
      <c r="KUN31" s="15"/>
      <c r="KUT31" s="25"/>
      <c r="KVA31" s="21"/>
      <c r="KVB31" s="21"/>
      <c r="KVF31" s="15"/>
      <c r="KVL31" s="25"/>
      <c r="KVS31" s="21"/>
      <c r="KVT31" s="21"/>
      <c r="KVX31" s="15"/>
      <c r="KWD31" s="25"/>
      <c r="KWK31" s="21"/>
      <c r="KWL31" s="21"/>
      <c r="KWP31" s="15"/>
      <c r="KWV31" s="25"/>
      <c r="KXC31" s="21"/>
      <c r="KXD31" s="21"/>
      <c r="KXH31" s="15"/>
      <c r="KXN31" s="25"/>
      <c r="KXU31" s="21"/>
      <c r="KXV31" s="21"/>
      <c r="KXZ31" s="15"/>
      <c r="KYF31" s="25"/>
      <c r="KYM31" s="21"/>
      <c r="KYN31" s="21"/>
      <c r="KYR31" s="15"/>
      <c r="KYX31" s="25"/>
      <c r="KZE31" s="21"/>
      <c r="KZF31" s="21"/>
      <c r="KZJ31" s="15"/>
      <c r="KZP31" s="25"/>
      <c r="KZW31" s="21"/>
      <c r="KZX31" s="21"/>
      <c r="LAB31" s="15"/>
      <c r="LAH31" s="25"/>
      <c r="LAO31" s="21"/>
      <c r="LAP31" s="21"/>
      <c r="LAT31" s="15"/>
      <c r="LAZ31" s="25"/>
      <c r="LBG31" s="21"/>
      <c r="LBH31" s="21"/>
      <c r="LBL31" s="15"/>
      <c r="LBR31" s="25"/>
      <c r="LBY31" s="21"/>
      <c r="LBZ31" s="21"/>
      <c r="LCD31" s="15"/>
      <c r="LCJ31" s="25"/>
      <c r="LCQ31" s="21"/>
      <c r="LCR31" s="21"/>
      <c r="LCV31" s="15"/>
      <c r="LDB31" s="25"/>
      <c r="LDI31" s="21"/>
      <c r="LDJ31" s="21"/>
      <c r="LDN31" s="15"/>
      <c r="LDT31" s="25"/>
      <c r="LEA31" s="21"/>
      <c r="LEB31" s="21"/>
      <c r="LEF31" s="15"/>
      <c r="LEL31" s="25"/>
      <c r="LES31" s="21"/>
      <c r="LET31" s="21"/>
      <c r="LEX31" s="15"/>
      <c r="LFD31" s="25"/>
      <c r="LFK31" s="21"/>
      <c r="LFL31" s="21"/>
      <c r="LFP31" s="15"/>
      <c r="LFV31" s="25"/>
      <c r="LGC31" s="21"/>
      <c r="LGD31" s="21"/>
      <c r="LGH31" s="15"/>
      <c r="LGN31" s="25"/>
      <c r="LGU31" s="21"/>
      <c r="LGV31" s="21"/>
      <c r="LGZ31" s="15"/>
      <c r="LHF31" s="25"/>
      <c r="LHM31" s="21"/>
      <c r="LHN31" s="21"/>
      <c r="LHR31" s="15"/>
      <c r="LHX31" s="25"/>
      <c r="LIE31" s="21"/>
      <c r="LIF31" s="21"/>
      <c r="LIJ31" s="15"/>
      <c r="LIP31" s="25"/>
      <c r="LIW31" s="21"/>
      <c r="LIX31" s="21"/>
      <c r="LJB31" s="15"/>
      <c r="LJH31" s="25"/>
      <c r="LJO31" s="21"/>
      <c r="LJP31" s="21"/>
      <c r="LJT31" s="15"/>
      <c r="LJZ31" s="25"/>
      <c r="LKG31" s="21"/>
      <c r="LKH31" s="21"/>
      <c r="LKL31" s="15"/>
      <c r="LKR31" s="25"/>
      <c r="LKY31" s="21"/>
      <c r="LKZ31" s="21"/>
      <c r="LLD31" s="15"/>
      <c r="LLJ31" s="25"/>
      <c r="LLQ31" s="21"/>
      <c r="LLR31" s="21"/>
      <c r="LLV31" s="15"/>
      <c r="LMB31" s="25"/>
      <c r="LMI31" s="21"/>
      <c r="LMJ31" s="21"/>
      <c r="LMN31" s="15"/>
      <c r="LMT31" s="25"/>
      <c r="LNA31" s="21"/>
      <c r="LNB31" s="21"/>
      <c r="LNF31" s="15"/>
      <c r="LNL31" s="25"/>
      <c r="LNS31" s="21"/>
      <c r="LNT31" s="21"/>
      <c r="LNX31" s="15"/>
      <c r="LOD31" s="25"/>
      <c r="LOK31" s="21"/>
      <c r="LOL31" s="21"/>
      <c r="LOP31" s="15"/>
      <c r="LOV31" s="25"/>
      <c r="LPC31" s="21"/>
      <c r="LPD31" s="21"/>
      <c r="LPH31" s="15"/>
      <c r="LPN31" s="25"/>
      <c r="LPU31" s="21"/>
      <c r="LPV31" s="21"/>
      <c r="LPZ31" s="15"/>
      <c r="LQF31" s="25"/>
      <c r="LQM31" s="21"/>
      <c r="LQN31" s="21"/>
      <c r="LQR31" s="15"/>
      <c r="LQX31" s="25"/>
      <c r="LRE31" s="21"/>
      <c r="LRF31" s="21"/>
      <c r="LRJ31" s="15"/>
      <c r="LRP31" s="25"/>
      <c r="LRW31" s="21"/>
      <c r="LRX31" s="21"/>
      <c r="LSB31" s="15"/>
      <c r="LSH31" s="25"/>
      <c r="LSO31" s="21"/>
      <c r="LSP31" s="21"/>
      <c r="LST31" s="15"/>
      <c r="LSZ31" s="25"/>
      <c r="LTG31" s="21"/>
      <c r="LTH31" s="21"/>
      <c r="LTL31" s="15"/>
      <c r="LTR31" s="25"/>
      <c r="LTY31" s="21"/>
      <c r="LTZ31" s="21"/>
      <c r="LUD31" s="15"/>
      <c r="LUJ31" s="25"/>
      <c r="LUQ31" s="21"/>
      <c r="LUR31" s="21"/>
      <c r="LUV31" s="15"/>
      <c r="LVB31" s="25"/>
      <c r="LVI31" s="21"/>
      <c r="LVJ31" s="21"/>
      <c r="LVN31" s="15"/>
      <c r="LVT31" s="25"/>
      <c r="LWA31" s="21"/>
      <c r="LWB31" s="21"/>
      <c r="LWF31" s="15"/>
      <c r="LWL31" s="25"/>
      <c r="LWS31" s="21"/>
      <c r="LWT31" s="21"/>
      <c r="LWX31" s="15"/>
      <c r="LXD31" s="25"/>
      <c r="LXK31" s="21"/>
      <c r="LXL31" s="21"/>
      <c r="LXP31" s="15"/>
      <c r="LXV31" s="25"/>
      <c r="LYC31" s="21"/>
      <c r="LYD31" s="21"/>
      <c r="LYH31" s="15"/>
      <c r="LYN31" s="25"/>
      <c r="LYU31" s="21"/>
      <c r="LYV31" s="21"/>
      <c r="LYZ31" s="15"/>
      <c r="LZF31" s="25"/>
      <c r="LZM31" s="21"/>
      <c r="LZN31" s="21"/>
      <c r="LZR31" s="15"/>
      <c r="LZX31" s="25"/>
      <c r="MAE31" s="21"/>
      <c r="MAF31" s="21"/>
      <c r="MAJ31" s="15"/>
      <c r="MAP31" s="25"/>
      <c r="MAW31" s="21"/>
      <c r="MAX31" s="21"/>
      <c r="MBB31" s="15"/>
      <c r="MBH31" s="25"/>
      <c r="MBO31" s="21"/>
      <c r="MBP31" s="21"/>
      <c r="MBT31" s="15"/>
      <c r="MBZ31" s="25"/>
      <c r="MCG31" s="21"/>
      <c r="MCH31" s="21"/>
      <c r="MCL31" s="15"/>
      <c r="MCR31" s="25"/>
      <c r="MCY31" s="21"/>
      <c r="MCZ31" s="21"/>
      <c r="MDD31" s="15"/>
      <c r="MDJ31" s="25"/>
      <c r="MDQ31" s="21"/>
      <c r="MDR31" s="21"/>
      <c r="MDV31" s="15"/>
      <c r="MEB31" s="25"/>
      <c r="MEI31" s="21"/>
      <c r="MEJ31" s="21"/>
      <c r="MEN31" s="15"/>
      <c r="MET31" s="25"/>
      <c r="MFA31" s="21"/>
      <c r="MFB31" s="21"/>
      <c r="MFF31" s="15"/>
      <c r="MFL31" s="25"/>
      <c r="MFS31" s="21"/>
      <c r="MFT31" s="21"/>
      <c r="MFX31" s="15"/>
      <c r="MGD31" s="25"/>
      <c r="MGK31" s="21"/>
      <c r="MGL31" s="21"/>
      <c r="MGP31" s="15"/>
      <c r="MGV31" s="25"/>
      <c r="MHC31" s="21"/>
      <c r="MHD31" s="21"/>
      <c r="MHH31" s="15"/>
      <c r="MHN31" s="25"/>
      <c r="MHU31" s="21"/>
      <c r="MHV31" s="21"/>
      <c r="MHZ31" s="15"/>
      <c r="MIF31" s="25"/>
      <c r="MIM31" s="21"/>
      <c r="MIN31" s="21"/>
      <c r="MIR31" s="15"/>
      <c r="MIX31" s="25"/>
      <c r="MJE31" s="21"/>
      <c r="MJF31" s="21"/>
      <c r="MJJ31" s="15"/>
      <c r="MJP31" s="25"/>
      <c r="MJW31" s="21"/>
      <c r="MJX31" s="21"/>
      <c r="MKB31" s="15"/>
      <c r="MKH31" s="25"/>
      <c r="MKO31" s="21"/>
      <c r="MKP31" s="21"/>
      <c r="MKT31" s="15"/>
      <c r="MKZ31" s="25"/>
      <c r="MLG31" s="21"/>
      <c r="MLH31" s="21"/>
      <c r="MLL31" s="15"/>
      <c r="MLR31" s="25"/>
      <c r="MLY31" s="21"/>
      <c r="MLZ31" s="21"/>
      <c r="MMD31" s="15"/>
      <c r="MMJ31" s="25"/>
      <c r="MMQ31" s="21"/>
      <c r="MMR31" s="21"/>
      <c r="MMV31" s="15"/>
      <c r="MNB31" s="25"/>
      <c r="MNI31" s="21"/>
      <c r="MNJ31" s="21"/>
      <c r="MNN31" s="15"/>
      <c r="MNT31" s="25"/>
      <c r="MOA31" s="21"/>
      <c r="MOB31" s="21"/>
      <c r="MOF31" s="15"/>
      <c r="MOL31" s="25"/>
      <c r="MOS31" s="21"/>
      <c r="MOT31" s="21"/>
      <c r="MOX31" s="15"/>
      <c r="MPD31" s="25"/>
      <c r="MPK31" s="21"/>
      <c r="MPL31" s="21"/>
      <c r="MPP31" s="15"/>
      <c r="MPV31" s="25"/>
      <c r="MQC31" s="21"/>
      <c r="MQD31" s="21"/>
      <c r="MQH31" s="15"/>
      <c r="MQN31" s="25"/>
      <c r="MQU31" s="21"/>
      <c r="MQV31" s="21"/>
      <c r="MQZ31" s="15"/>
      <c r="MRF31" s="25"/>
      <c r="MRM31" s="21"/>
      <c r="MRN31" s="21"/>
      <c r="MRR31" s="15"/>
      <c r="MRX31" s="25"/>
      <c r="MSE31" s="21"/>
      <c r="MSF31" s="21"/>
      <c r="MSJ31" s="15"/>
      <c r="MSP31" s="25"/>
      <c r="MSW31" s="21"/>
      <c r="MSX31" s="21"/>
      <c r="MTB31" s="15"/>
      <c r="MTH31" s="25"/>
      <c r="MTO31" s="21"/>
      <c r="MTP31" s="21"/>
      <c r="MTT31" s="15"/>
      <c r="MTZ31" s="25"/>
      <c r="MUG31" s="21"/>
      <c r="MUH31" s="21"/>
      <c r="MUL31" s="15"/>
      <c r="MUR31" s="25"/>
      <c r="MUY31" s="21"/>
      <c r="MUZ31" s="21"/>
      <c r="MVD31" s="15"/>
      <c r="MVJ31" s="25"/>
      <c r="MVQ31" s="21"/>
      <c r="MVR31" s="21"/>
      <c r="MVV31" s="15"/>
      <c r="MWB31" s="25"/>
      <c r="MWI31" s="21"/>
      <c r="MWJ31" s="21"/>
      <c r="MWN31" s="15"/>
      <c r="MWT31" s="25"/>
      <c r="MXA31" s="21"/>
      <c r="MXB31" s="21"/>
      <c r="MXF31" s="15"/>
      <c r="MXL31" s="25"/>
      <c r="MXS31" s="21"/>
      <c r="MXT31" s="21"/>
      <c r="MXX31" s="15"/>
      <c r="MYD31" s="25"/>
      <c r="MYK31" s="21"/>
      <c r="MYL31" s="21"/>
      <c r="MYP31" s="15"/>
      <c r="MYV31" s="25"/>
      <c r="MZC31" s="21"/>
      <c r="MZD31" s="21"/>
      <c r="MZH31" s="15"/>
      <c r="MZN31" s="25"/>
      <c r="MZU31" s="21"/>
      <c r="MZV31" s="21"/>
      <c r="MZZ31" s="15"/>
      <c r="NAF31" s="25"/>
      <c r="NAM31" s="21"/>
      <c r="NAN31" s="21"/>
      <c r="NAR31" s="15"/>
      <c r="NAX31" s="25"/>
      <c r="NBE31" s="21"/>
      <c r="NBF31" s="21"/>
      <c r="NBJ31" s="15"/>
      <c r="NBP31" s="25"/>
      <c r="NBW31" s="21"/>
      <c r="NBX31" s="21"/>
      <c r="NCB31" s="15"/>
      <c r="NCH31" s="25"/>
      <c r="NCO31" s="21"/>
      <c r="NCP31" s="21"/>
      <c r="NCT31" s="15"/>
      <c r="NCZ31" s="25"/>
      <c r="NDG31" s="21"/>
      <c r="NDH31" s="21"/>
      <c r="NDL31" s="15"/>
      <c r="NDR31" s="25"/>
      <c r="NDY31" s="21"/>
      <c r="NDZ31" s="21"/>
      <c r="NED31" s="15"/>
      <c r="NEJ31" s="25"/>
      <c r="NEQ31" s="21"/>
      <c r="NER31" s="21"/>
      <c r="NEV31" s="15"/>
      <c r="NFB31" s="25"/>
      <c r="NFI31" s="21"/>
      <c r="NFJ31" s="21"/>
      <c r="NFN31" s="15"/>
      <c r="NFT31" s="25"/>
      <c r="NGA31" s="21"/>
      <c r="NGB31" s="21"/>
      <c r="NGF31" s="15"/>
      <c r="NGL31" s="25"/>
      <c r="NGS31" s="21"/>
      <c r="NGT31" s="21"/>
      <c r="NGX31" s="15"/>
      <c r="NHD31" s="25"/>
      <c r="NHK31" s="21"/>
      <c r="NHL31" s="21"/>
      <c r="NHP31" s="15"/>
      <c r="NHV31" s="25"/>
      <c r="NIC31" s="21"/>
      <c r="NID31" s="21"/>
      <c r="NIH31" s="15"/>
      <c r="NIN31" s="25"/>
      <c r="NIU31" s="21"/>
      <c r="NIV31" s="21"/>
      <c r="NIZ31" s="15"/>
      <c r="NJF31" s="25"/>
      <c r="NJM31" s="21"/>
      <c r="NJN31" s="21"/>
      <c r="NJR31" s="15"/>
      <c r="NJX31" s="25"/>
      <c r="NKE31" s="21"/>
      <c r="NKF31" s="21"/>
      <c r="NKJ31" s="15"/>
      <c r="NKP31" s="25"/>
      <c r="NKW31" s="21"/>
      <c r="NKX31" s="21"/>
      <c r="NLB31" s="15"/>
      <c r="NLH31" s="25"/>
      <c r="NLO31" s="21"/>
      <c r="NLP31" s="21"/>
      <c r="NLT31" s="15"/>
      <c r="NLZ31" s="25"/>
      <c r="NMG31" s="21"/>
      <c r="NMH31" s="21"/>
      <c r="NML31" s="15"/>
      <c r="NMR31" s="25"/>
      <c r="NMY31" s="21"/>
      <c r="NMZ31" s="21"/>
      <c r="NND31" s="15"/>
      <c r="NNJ31" s="25"/>
      <c r="NNQ31" s="21"/>
      <c r="NNR31" s="21"/>
      <c r="NNV31" s="15"/>
      <c r="NOB31" s="25"/>
      <c r="NOI31" s="21"/>
      <c r="NOJ31" s="21"/>
      <c r="NON31" s="15"/>
      <c r="NOT31" s="25"/>
      <c r="NPA31" s="21"/>
      <c r="NPB31" s="21"/>
      <c r="NPF31" s="15"/>
      <c r="NPL31" s="25"/>
      <c r="NPS31" s="21"/>
      <c r="NPT31" s="21"/>
      <c r="NPX31" s="15"/>
      <c r="NQD31" s="25"/>
      <c r="NQK31" s="21"/>
      <c r="NQL31" s="21"/>
      <c r="NQP31" s="15"/>
      <c r="NQV31" s="25"/>
      <c r="NRC31" s="21"/>
      <c r="NRD31" s="21"/>
      <c r="NRH31" s="15"/>
      <c r="NRN31" s="25"/>
      <c r="NRU31" s="21"/>
      <c r="NRV31" s="21"/>
      <c r="NRZ31" s="15"/>
      <c r="NSF31" s="25"/>
      <c r="NSM31" s="21"/>
      <c r="NSN31" s="21"/>
      <c r="NSR31" s="15"/>
      <c r="NSX31" s="25"/>
      <c r="NTE31" s="21"/>
      <c r="NTF31" s="21"/>
      <c r="NTJ31" s="15"/>
      <c r="NTP31" s="25"/>
      <c r="NTW31" s="21"/>
      <c r="NTX31" s="21"/>
      <c r="NUB31" s="15"/>
      <c r="NUH31" s="25"/>
      <c r="NUO31" s="21"/>
      <c r="NUP31" s="21"/>
      <c r="NUT31" s="15"/>
      <c r="NUZ31" s="25"/>
      <c r="NVG31" s="21"/>
      <c r="NVH31" s="21"/>
      <c r="NVL31" s="15"/>
      <c r="NVR31" s="25"/>
      <c r="NVY31" s="21"/>
      <c r="NVZ31" s="21"/>
      <c r="NWD31" s="15"/>
      <c r="NWJ31" s="25"/>
      <c r="NWQ31" s="21"/>
      <c r="NWR31" s="21"/>
      <c r="NWV31" s="15"/>
      <c r="NXB31" s="25"/>
      <c r="NXI31" s="21"/>
      <c r="NXJ31" s="21"/>
      <c r="NXN31" s="15"/>
      <c r="NXT31" s="25"/>
      <c r="NYA31" s="21"/>
      <c r="NYB31" s="21"/>
      <c r="NYF31" s="15"/>
      <c r="NYL31" s="25"/>
      <c r="NYS31" s="21"/>
      <c r="NYT31" s="21"/>
      <c r="NYX31" s="15"/>
      <c r="NZD31" s="25"/>
      <c r="NZK31" s="21"/>
      <c r="NZL31" s="21"/>
      <c r="NZP31" s="15"/>
      <c r="NZV31" s="25"/>
      <c r="OAC31" s="21"/>
      <c r="OAD31" s="21"/>
      <c r="OAH31" s="15"/>
      <c r="OAN31" s="25"/>
      <c r="OAU31" s="21"/>
      <c r="OAV31" s="21"/>
      <c r="OAZ31" s="15"/>
      <c r="OBF31" s="25"/>
      <c r="OBM31" s="21"/>
      <c r="OBN31" s="21"/>
      <c r="OBR31" s="15"/>
      <c r="OBX31" s="25"/>
      <c r="OCE31" s="21"/>
      <c r="OCF31" s="21"/>
      <c r="OCJ31" s="15"/>
      <c r="OCP31" s="25"/>
      <c r="OCW31" s="21"/>
      <c r="OCX31" s="21"/>
      <c r="ODB31" s="15"/>
      <c r="ODH31" s="25"/>
      <c r="ODO31" s="21"/>
      <c r="ODP31" s="21"/>
      <c r="ODT31" s="15"/>
      <c r="ODZ31" s="25"/>
      <c r="OEG31" s="21"/>
      <c r="OEH31" s="21"/>
      <c r="OEL31" s="15"/>
      <c r="OER31" s="25"/>
      <c r="OEY31" s="21"/>
      <c r="OEZ31" s="21"/>
      <c r="OFD31" s="15"/>
      <c r="OFJ31" s="25"/>
      <c r="OFQ31" s="21"/>
      <c r="OFR31" s="21"/>
      <c r="OFV31" s="15"/>
      <c r="OGB31" s="25"/>
      <c r="OGI31" s="21"/>
      <c r="OGJ31" s="21"/>
      <c r="OGN31" s="15"/>
      <c r="OGT31" s="25"/>
      <c r="OHA31" s="21"/>
      <c r="OHB31" s="21"/>
      <c r="OHF31" s="15"/>
      <c r="OHL31" s="25"/>
      <c r="OHS31" s="21"/>
      <c r="OHT31" s="21"/>
      <c r="OHX31" s="15"/>
      <c r="OID31" s="25"/>
      <c r="OIK31" s="21"/>
      <c r="OIL31" s="21"/>
      <c r="OIP31" s="15"/>
      <c r="OIV31" s="25"/>
      <c r="OJC31" s="21"/>
      <c r="OJD31" s="21"/>
      <c r="OJH31" s="15"/>
      <c r="OJN31" s="25"/>
      <c r="OJU31" s="21"/>
      <c r="OJV31" s="21"/>
      <c r="OJZ31" s="15"/>
      <c r="OKF31" s="25"/>
      <c r="OKM31" s="21"/>
      <c r="OKN31" s="21"/>
      <c r="OKR31" s="15"/>
      <c r="OKX31" s="25"/>
      <c r="OLE31" s="21"/>
      <c r="OLF31" s="21"/>
      <c r="OLJ31" s="15"/>
      <c r="OLP31" s="25"/>
      <c r="OLW31" s="21"/>
      <c r="OLX31" s="21"/>
      <c r="OMB31" s="15"/>
      <c r="OMH31" s="25"/>
      <c r="OMO31" s="21"/>
      <c r="OMP31" s="21"/>
      <c r="OMT31" s="15"/>
      <c r="OMZ31" s="25"/>
      <c r="ONG31" s="21"/>
      <c r="ONH31" s="21"/>
      <c r="ONL31" s="15"/>
      <c r="ONR31" s="25"/>
      <c r="ONY31" s="21"/>
      <c r="ONZ31" s="21"/>
      <c r="OOD31" s="15"/>
      <c r="OOJ31" s="25"/>
      <c r="OOQ31" s="21"/>
      <c r="OOR31" s="21"/>
      <c r="OOV31" s="15"/>
      <c r="OPB31" s="25"/>
      <c r="OPI31" s="21"/>
      <c r="OPJ31" s="21"/>
      <c r="OPN31" s="15"/>
      <c r="OPT31" s="25"/>
      <c r="OQA31" s="21"/>
      <c r="OQB31" s="21"/>
      <c r="OQF31" s="15"/>
      <c r="OQL31" s="25"/>
      <c r="OQS31" s="21"/>
      <c r="OQT31" s="21"/>
      <c r="OQX31" s="15"/>
      <c r="ORD31" s="25"/>
      <c r="ORK31" s="21"/>
      <c r="ORL31" s="21"/>
      <c r="ORP31" s="15"/>
      <c r="ORV31" s="25"/>
      <c r="OSC31" s="21"/>
      <c r="OSD31" s="21"/>
      <c r="OSH31" s="15"/>
      <c r="OSN31" s="25"/>
      <c r="OSU31" s="21"/>
      <c r="OSV31" s="21"/>
      <c r="OSZ31" s="15"/>
      <c r="OTF31" s="25"/>
      <c r="OTM31" s="21"/>
      <c r="OTN31" s="21"/>
      <c r="OTR31" s="15"/>
      <c r="OTX31" s="25"/>
      <c r="OUE31" s="21"/>
      <c r="OUF31" s="21"/>
      <c r="OUJ31" s="15"/>
      <c r="OUP31" s="25"/>
      <c r="OUW31" s="21"/>
      <c r="OUX31" s="21"/>
      <c r="OVB31" s="15"/>
      <c r="OVH31" s="25"/>
      <c r="OVO31" s="21"/>
      <c r="OVP31" s="21"/>
      <c r="OVT31" s="15"/>
      <c r="OVZ31" s="25"/>
      <c r="OWG31" s="21"/>
      <c r="OWH31" s="21"/>
      <c r="OWL31" s="15"/>
      <c r="OWR31" s="25"/>
      <c r="OWY31" s="21"/>
      <c r="OWZ31" s="21"/>
      <c r="OXD31" s="15"/>
      <c r="OXJ31" s="25"/>
      <c r="OXQ31" s="21"/>
      <c r="OXR31" s="21"/>
      <c r="OXV31" s="15"/>
      <c r="OYB31" s="25"/>
      <c r="OYI31" s="21"/>
      <c r="OYJ31" s="21"/>
      <c r="OYN31" s="15"/>
      <c r="OYT31" s="25"/>
      <c r="OZA31" s="21"/>
      <c r="OZB31" s="21"/>
      <c r="OZF31" s="15"/>
      <c r="OZL31" s="25"/>
      <c r="OZS31" s="21"/>
      <c r="OZT31" s="21"/>
      <c r="OZX31" s="15"/>
      <c r="PAD31" s="25"/>
      <c r="PAK31" s="21"/>
      <c r="PAL31" s="21"/>
      <c r="PAP31" s="15"/>
      <c r="PAV31" s="25"/>
      <c r="PBC31" s="21"/>
      <c r="PBD31" s="21"/>
      <c r="PBH31" s="15"/>
      <c r="PBN31" s="25"/>
      <c r="PBU31" s="21"/>
      <c r="PBV31" s="21"/>
      <c r="PBZ31" s="15"/>
      <c r="PCF31" s="25"/>
      <c r="PCM31" s="21"/>
      <c r="PCN31" s="21"/>
      <c r="PCR31" s="15"/>
      <c r="PCX31" s="25"/>
      <c r="PDE31" s="21"/>
      <c r="PDF31" s="21"/>
      <c r="PDJ31" s="15"/>
      <c r="PDP31" s="25"/>
      <c r="PDW31" s="21"/>
      <c r="PDX31" s="21"/>
      <c r="PEB31" s="15"/>
      <c r="PEH31" s="25"/>
      <c r="PEO31" s="21"/>
      <c r="PEP31" s="21"/>
      <c r="PET31" s="15"/>
      <c r="PEZ31" s="25"/>
      <c r="PFG31" s="21"/>
      <c r="PFH31" s="21"/>
      <c r="PFL31" s="15"/>
      <c r="PFR31" s="25"/>
      <c r="PFY31" s="21"/>
      <c r="PFZ31" s="21"/>
      <c r="PGD31" s="15"/>
      <c r="PGJ31" s="25"/>
      <c r="PGQ31" s="21"/>
      <c r="PGR31" s="21"/>
      <c r="PGV31" s="15"/>
      <c r="PHB31" s="25"/>
      <c r="PHI31" s="21"/>
      <c r="PHJ31" s="21"/>
      <c r="PHN31" s="15"/>
      <c r="PHT31" s="25"/>
      <c r="PIA31" s="21"/>
      <c r="PIB31" s="21"/>
      <c r="PIF31" s="15"/>
      <c r="PIL31" s="25"/>
      <c r="PIS31" s="21"/>
      <c r="PIT31" s="21"/>
      <c r="PIX31" s="15"/>
      <c r="PJD31" s="25"/>
      <c r="PJK31" s="21"/>
      <c r="PJL31" s="21"/>
      <c r="PJP31" s="15"/>
      <c r="PJV31" s="25"/>
      <c r="PKC31" s="21"/>
      <c r="PKD31" s="21"/>
      <c r="PKH31" s="15"/>
      <c r="PKN31" s="25"/>
      <c r="PKU31" s="21"/>
      <c r="PKV31" s="21"/>
      <c r="PKZ31" s="15"/>
      <c r="PLF31" s="25"/>
      <c r="PLM31" s="21"/>
      <c r="PLN31" s="21"/>
      <c r="PLR31" s="15"/>
      <c r="PLX31" s="25"/>
      <c r="PME31" s="21"/>
      <c r="PMF31" s="21"/>
      <c r="PMJ31" s="15"/>
      <c r="PMP31" s="25"/>
      <c r="PMW31" s="21"/>
      <c r="PMX31" s="21"/>
      <c r="PNB31" s="15"/>
      <c r="PNH31" s="25"/>
      <c r="PNO31" s="21"/>
      <c r="PNP31" s="21"/>
      <c r="PNT31" s="15"/>
      <c r="PNZ31" s="25"/>
      <c r="POG31" s="21"/>
      <c r="POH31" s="21"/>
      <c r="POL31" s="15"/>
      <c r="POR31" s="25"/>
      <c r="POY31" s="21"/>
      <c r="POZ31" s="21"/>
      <c r="PPD31" s="15"/>
      <c r="PPJ31" s="25"/>
      <c r="PPQ31" s="21"/>
      <c r="PPR31" s="21"/>
      <c r="PPV31" s="15"/>
      <c r="PQB31" s="25"/>
      <c r="PQI31" s="21"/>
      <c r="PQJ31" s="21"/>
      <c r="PQN31" s="15"/>
      <c r="PQT31" s="25"/>
      <c r="PRA31" s="21"/>
      <c r="PRB31" s="21"/>
      <c r="PRF31" s="15"/>
      <c r="PRL31" s="25"/>
      <c r="PRS31" s="21"/>
      <c r="PRT31" s="21"/>
      <c r="PRX31" s="15"/>
      <c r="PSD31" s="25"/>
      <c r="PSK31" s="21"/>
      <c r="PSL31" s="21"/>
      <c r="PSP31" s="15"/>
      <c r="PSV31" s="25"/>
      <c r="PTC31" s="21"/>
      <c r="PTD31" s="21"/>
      <c r="PTH31" s="15"/>
      <c r="PTN31" s="25"/>
      <c r="PTU31" s="21"/>
      <c r="PTV31" s="21"/>
      <c r="PTZ31" s="15"/>
      <c r="PUF31" s="25"/>
      <c r="PUM31" s="21"/>
      <c r="PUN31" s="21"/>
      <c r="PUR31" s="15"/>
      <c r="PUX31" s="25"/>
      <c r="PVE31" s="21"/>
      <c r="PVF31" s="21"/>
      <c r="PVJ31" s="15"/>
      <c r="PVP31" s="25"/>
      <c r="PVW31" s="21"/>
      <c r="PVX31" s="21"/>
      <c r="PWB31" s="15"/>
      <c r="PWH31" s="25"/>
      <c r="PWO31" s="21"/>
      <c r="PWP31" s="21"/>
      <c r="PWT31" s="15"/>
      <c r="PWZ31" s="25"/>
      <c r="PXG31" s="21"/>
      <c r="PXH31" s="21"/>
      <c r="PXL31" s="15"/>
      <c r="PXR31" s="25"/>
      <c r="PXY31" s="21"/>
      <c r="PXZ31" s="21"/>
      <c r="PYD31" s="15"/>
      <c r="PYJ31" s="25"/>
      <c r="PYQ31" s="21"/>
      <c r="PYR31" s="21"/>
      <c r="PYV31" s="15"/>
      <c r="PZB31" s="25"/>
      <c r="PZI31" s="21"/>
      <c r="PZJ31" s="21"/>
      <c r="PZN31" s="15"/>
      <c r="PZT31" s="25"/>
      <c r="QAA31" s="21"/>
      <c r="QAB31" s="21"/>
      <c r="QAF31" s="15"/>
      <c r="QAL31" s="25"/>
      <c r="QAS31" s="21"/>
      <c r="QAT31" s="21"/>
      <c r="QAX31" s="15"/>
      <c r="QBD31" s="25"/>
      <c r="QBK31" s="21"/>
      <c r="QBL31" s="21"/>
      <c r="QBP31" s="15"/>
      <c r="QBV31" s="25"/>
      <c r="QCC31" s="21"/>
      <c r="QCD31" s="21"/>
      <c r="QCH31" s="15"/>
      <c r="QCN31" s="25"/>
      <c r="QCU31" s="21"/>
      <c r="QCV31" s="21"/>
      <c r="QCZ31" s="15"/>
      <c r="QDF31" s="25"/>
      <c r="QDM31" s="21"/>
      <c r="QDN31" s="21"/>
      <c r="QDR31" s="15"/>
      <c r="QDX31" s="25"/>
      <c r="QEE31" s="21"/>
      <c r="QEF31" s="21"/>
      <c r="QEJ31" s="15"/>
      <c r="QEP31" s="25"/>
      <c r="QEW31" s="21"/>
      <c r="QEX31" s="21"/>
      <c r="QFB31" s="15"/>
      <c r="QFH31" s="25"/>
      <c r="QFO31" s="21"/>
      <c r="QFP31" s="21"/>
      <c r="QFT31" s="15"/>
      <c r="QFZ31" s="25"/>
      <c r="QGG31" s="21"/>
      <c r="QGH31" s="21"/>
      <c r="QGL31" s="15"/>
      <c r="QGR31" s="25"/>
      <c r="QGY31" s="21"/>
      <c r="QGZ31" s="21"/>
      <c r="QHD31" s="15"/>
      <c r="QHJ31" s="25"/>
      <c r="QHQ31" s="21"/>
      <c r="QHR31" s="21"/>
      <c r="QHV31" s="15"/>
      <c r="QIB31" s="25"/>
      <c r="QII31" s="21"/>
      <c r="QIJ31" s="21"/>
      <c r="QIN31" s="15"/>
      <c r="QIT31" s="25"/>
      <c r="QJA31" s="21"/>
      <c r="QJB31" s="21"/>
      <c r="QJF31" s="15"/>
      <c r="QJL31" s="25"/>
      <c r="QJS31" s="21"/>
      <c r="QJT31" s="21"/>
      <c r="QJX31" s="15"/>
      <c r="QKD31" s="25"/>
      <c r="QKK31" s="21"/>
      <c r="QKL31" s="21"/>
      <c r="QKP31" s="15"/>
      <c r="QKV31" s="25"/>
      <c r="QLC31" s="21"/>
      <c r="QLD31" s="21"/>
      <c r="QLH31" s="15"/>
      <c r="QLN31" s="25"/>
      <c r="QLU31" s="21"/>
      <c r="QLV31" s="21"/>
      <c r="QLZ31" s="15"/>
      <c r="QMF31" s="25"/>
      <c r="QMM31" s="21"/>
      <c r="QMN31" s="21"/>
      <c r="QMR31" s="15"/>
      <c r="QMX31" s="25"/>
      <c r="QNE31" s="21"/>
      <c r="QNF31" s="21"/>
      <c r="QNJ31" s="15"/>
      <c r="QNP31" s="25"/>
      <c r="QNW31" s="21"/>
      <c r="QNX31" s="21"/>
      <c r="QOB31" s="15"/>
      <c r="QOH31" s="25"/>
      <c r="QOO31" s="21"/>
      <c r="QOP31" s="21"/>
      <c r="QOT31" s="15"/>
      <c r="QOZ31" s="25"/>
      <c r="QPG31" s="21"/>
      <c r="QPH31" s="21"/>
      <c r="QPL31" s="15"/>
      <c r="QPR31" s="25"/>
      <c r="QPY31" s="21"/>
      <c r="QPZ31" s="21"/>
      <c r="QQD31" s="15"/>
      <c r="QQJ31" s="25"/>
      <c r="QQQ31" s="21"/>
      <c r="QQR31" s="21"/>
      <c r="QQV31" s="15"/>
      <c r="QRB31" s="25"/>
      <c r="QRI31" s="21"/>
      <c r="QRJ31" s="21"/>
      <c r="QRN31" s="15"/>
      <c r="QRT31" s="25"/>
      <c r="QSA31" s="21"/>
      <c r="QSB31" s="21"/>
      <c r="QSF31" s="15"/>
      <c r="QSL31" s="25"/>
      <c r="QSS31" s="21"/>
      <c r="QST31" s="21"/>
      <c r="QSX31" s="15"/>
      <c r="QTD31" s="25"/>
      <c r="QTK31" s="21"/>
      <c r="QTL31" s="21"/>
      <c r="QTP31" s="15"/>
      <c r="QTV31" s="25"/>
      <c r="QUC31" s="21"/>
      <c r="QUD31" s="21"/>
      <c r="QUH31" s="15"/>
      <c r="QUN31" s="25"/>
      <c r="QUU31" s="21"/>
      <c r="QUV31" s="21"/>
      <c r="QUZ31" s="15"/>
      <c r="QVF31" s="25"/>
      <c r="QVM31" s="21"/>
      <c r="QVN31" s="21"/>
      <c r="QVR31" s="15"/>
      <c r="QVX31" s="25"/>
      <c r="QWE31" s="21"/>
      <c r="QWF31" s="21"/>
      <c r="QWJ31" s="15"/>
      <c r="QWP31" s="25"/>
      <c r="QWW31" s="21"/>
      <c r="QWX31" s="21"/>
      <c r="QXB31" s="15"/>
      <c r="QXH31" s="25"/>
      <c r="QXO31" s="21"/>
      <c r="QXP31" s="21"/>
      <c r="QXT31" s="15"/>
      <c r="QXZ31" s="25"/>
      <c r="QYG31" s="21"/>
      <c r="QYH31" s="21"/>
      <c r="QYL31" s="15"/>
      <c r="QYR31" s="25"/>
      <c r="QYY31" s="21"/>
      <c r="QYZ31" s="21"/>
      <c r="QZD31" s="15"/>
      <c r="QZJ31" s="25"/>
      <c r="QZQ31" s="21"/>
      <c r="QZR31" s="21"/>
      <c r="QZV31" s="15"/>
      <c r="RAB31" s="25"/>
      <c r="RAI31" s="21"/>
      <c r="RAJ31" s="21"/>
      <c r="RAN31" s="15"/>
      <c r="RAT31" s="25"/>
      <c r="RBA31" s="21"/>
      <c r="RBB31" s="21"/>
      <c r="RBF31" s="15"/>
      <c r="RBL31" s="25"/>
      <c r="RBS31" s="21"/>
      <c r="RBT31" s="21"/>
      <c r="RBX31" s="15"/>
      <c r="RCD31" s="25"/>
      <c r="RCK31" s="21"/>
      <c r="RCL31" s="21"/>
      <c r="RCP31" s="15"/>
      <c r="RCV31" s="25"/>
      <c r="RDC31" s="21"/>
      <c r="RDD31" s="21"/>
      <c r="RDH31" s="15"/>
      <c r="RDN31" s="25"/>
      <c r="RDU31" s="21"/>
      <c r="RDV31" s="21"/>
      <c r="RDZ31" s="15"/>
      <c r="REF31" s="25"/>
      <c r="REM31" s="21"/>
      <c r="REN31" s="21"/>
      <c r="RER31" s="15"/>
      <c r="REX31" s="25"/>
      <c r="RFE31" s="21"/>
      <c r="RFF31" s="21"/>
      <c r="RFJ31" s="15"/>
      <c r="RFP31" s="25"/>
      <c r="RFW31" s="21"/>
      <c r="RFX31" s="21"/>
      <c r="RGB31" s="15"/>
      <c r="RGH31" s="25"/>
      <c r="RGO31" s="21"/>
      <c r="RGP31" s="21"/>
      <c r="RGT31" s="15"/>
      <c r="RGZ31" s="25"/>
      <c r="RHG31" s="21"/>
      <c r="RHH31" s="21"/>
      <c r="RHL31" s="15"/>
      <c r="RHR31" s="25"/>
      <c r="RHY31" s="21"/>
      <c r="RHZ31" s="21"/>
      <c r="RID31" s="15"/>
      <c r="RIJ31" s="25"/>
      <c r="RIQ31" s="21"/>
      <c r="RIR31" s="21"/>
      <c r="RIV31" s="15"/>
      <c r="RJB31" s="25"/>
      <c r="RJI31" s="21"/>
      <c r="RJJ31" s="21"/>
      <c r="RJN31" s="15"/>
      <c r="RJT31" s="25"/>
      <c r="RKA31" s="21"/>
      <c r="RKB31" s="21"/>
      <c r="RKF31" s="15"/>
      <c r="RKL31" s="25"/>
      <c r="RKS31" s="21"/>
      <c r="RKT31" s="21"/>
      <c r="RKX31" s="15"/>
      <c r="RLD31" s="25"/>
      <c r="RLK31" s="21"/>
      <c r="RLL31" s="21"/>
      <c r="RLP31" s="15"/>
      <c r="RLV31" s="25"/>
      <c r="RMC31" s="21"/>
      <c r="RMD31" s="21"/>
      <c r="RMH31" s="15"/>
      <c r="RMN31" s="25"/>
      <c r="RMU31" s="21"/>
      <c r="RMV31" s="21"/>
      <c r="RMZ31" s="15"/>
      <c r="RNF31" s="25"/>
      <c r="RNM31" s="21"/>
      <c r="RNN31" s="21"/>
      <c r="RNR31" s="15"/>
      <c r="RNX31" s="25"/>
      <c r="ROE31" s="21"/>
      <c r="ROF31" s="21"/>
      <c r="ROJ31" s="15"/>
      <c r="ROP31" s="25"/>
      <c r="ROW31" s="21"/>
      <c r="ROX31" s="21"/>
      <c r="RPB31" s="15"/>
      <c r="RPH31" s="25"/>
      <c r="RPO31" s="21"/>
      <c r="RPP31" s="21"/>
      <c r="RPT31" s="15"/>
      <c r="RPZ31" s="25"/>
      <c r="RQG31" s="21"/>
      <c r="RQH31" s="21"/>
      <c r="RQL31" s="15"/>
      <c r="RQR31" s="25"/>
      <c r="RQY31" s="21"/>
      <c r="RQZ31" s="21"/>
      <c r="RRD31" s="15"/>
      <c r="RRJ31" s="25"/>
      <c r="RRQ31" s="21"/>
      <c r="RRR31" s="21"/>
      <c r="RRV31" s="15"/>
      <c r="RSB31" s="25"/>
      <c r="RSI31" s="21"/>
      <c r="RSJ31" s="21"/>
      <c r="RSN31" s="15"/>
      <c r="RST31" s="25"/>
      <c r="RTA31" s="21"/>
      <c r="RTB31" s="21"/>
      <c r="RTF31" s="15"/>
      <c r="RTL31" s="25"/>
      <c r="RTS31" s="21"/>
      <c r="RTT31" s="21"/>
      <c r="RTX31" s="15"/>
      <c r="RUD31" s="25"/>
      <c r="RUK31" s="21"/>
      <c r="RUL31" s="21"/>
      <c r="RUP31" s="15"/>
      <c r="RUV31" s="25"/>
      <c r="RVC31" s="21"/>
      <c r="RVD31" s="21"/>
      <c r="RVH31" s="15"/>
      <c r="RVN31" s="25"/>
      <c r="RVU31" s="21"/>
      <c r="RVV31" s="21"/>
      <c r="RVZ31" s="15"/>
      <c r="RWF31" s="25"/>
      <c r="RWM31" s="21"/>
      <c r="RWN31" s="21"/>
      <c r="RWR31" s="15"/>
      <c r="RWX31" s="25"/>
      <c r="RXE31" s="21"/>
      <c r="RXF31" s="21"/>
      <c r="RXJ31" s="15"/>
      <c r="RXP31" s="25"/>
      <c r="RXW31" s="21"/>
      <c r="RXX31" s="21"/>
      <c r="RYB31" s="15"/>
      <c r="RYH31" s="25"/>
      <c r="RYO31" s="21"/>
      <c r="RYP31" s="21"/>
      <c r="RYT31" s="15"/>
      <c r="RYZ31" s="25"/>
      <c r="RZG31" s="21"/>
      <c r="RZH31" s="21"/>
      <c r="RZL31" s="15"/>
      <c r="RZR31" s="25"/>
      <c r="RZY31" s="21"/>
      <c r="RZZ31" s="21"/>
      <c r="SAD31" s="15"/>
      <c r="SAJ31" s="25"/>
      <c r="SAQ31" s="21"/>
      <c r="SAR31" s="21"/>
      <c r="SAV31" s="15"/>
      <c r="SBB31" s="25"/>
      <c r="SBI31" s="21"/>
      <c r="SBJ31" s="21"/>
      <c r="SBN31" s="15"/>
      <c r="SBT31" s="25"/>
      <c r="SCA31" s="21"/>
      <c r="SCB31" s="21"/>
      <c r="SCF31" s="15"/>
      <c r="SCL31" s="25"/>
      <c r="SCS31" s="21"/>
      <c r="SCT31" s="21"/>
      <c r="SCX31" s="15"/>
      <c r="SDD31" s="25"/>
      <c r="SDK31" s="21"/>
      <c r="SDL31" s="21"/>
      <c r="SDP31" s="15"/>
      <c r="SDV31" s="25"/>
      <c r="SEC31" s="21"/>
      <c r="SED31" s="21"/>
      <c r="SEH31" s="15"/>
      <c r="SEN31" s="25"/>
      <c r="SEU31" s="21"/>
      <c r="SEV31" s="21"/>
      <c r="SEZ31" s="15"/>
      <c r="SFF31" s="25"/>
      <c r="SFM31" s="21"/>
      <c r="SFN31" s="21"/>
      <c r="SFR31" s="15"/>
      <c r="SFX31" s="25"/>
      <c r="SGE31" s="21"/>
      <c r="SGF31" s="21"/>
      <c r="SGJ31" s="15"/>
      <c r="SGP31" s="25"/>
      <c r="SGW31" s="21"/>
      <c r="SGX31" s="21"/>
      <c r="SHB31" s="15"/>
      <c r="SHH31" s="25"/>
      <c r="SHO31" s="21"/>
      <c r="SHP31" s="21"/>
      <c r="SHT31" s="15"/>
      <c r="SHZ31" s="25"/>
      <c r="SIG31" s="21"/>
      <c r="SIH31" s="21"/>
      <c r="SIL31" s="15"/>
      <c r="SIR31" s="25"/>
      <c r="SIY31" s="21"/>
      <c r="SIZ31" s="21"/>
      <c r="SJD31" s="15"/>
      <c r="SJJ31" s="25"/>
      <c r="SJQ31" s="21"/>
      <c r="SJR31" s="21"/>
      <c r="SJV31" s="15"/>
      <c r="SKB31" s="25"/>
      <c r="SKI31" s="21"/>
      <c r="SKJ31" s="21"/>
      <c r="SKN31" s="15"/>
      <c r="SKT31" s="25"/>
      <c r="SLA31" s="21"/>
      <c r="SLB31" s="21"/>
      <c r="SLF31" s="15"/>
      <c r="SLL31" s="25"/>
      <c r="SLS31" s="21"/>
      <c r="SLT31" s="21"/>
      <c r="SLX31" s="15"/>
      <c r="SMD31" s="25"/>
      <c r="SMK31" s="21"/>
      <c r="SML31" s="21"/>
      <c r="SMP31" s="15"/>
      <c r="SMV31" s="25"/>
      <c r="SNC31" s="21"/>
      <c r="SND31" s="21"/>
      <c r="SNH31" s="15"/>
      <c r="SNN31" s="25"/>
      <c r="SNU31" s="21"/>
      <c r="SNV31" s="21"/>
      <c r="SNZ31" s="15"/>
      <c r="SOF31" s="25"/>
      <c r="SOM31" s="21"/>
      <c r="SON31" s="21"/>
      <c r="SOR31" s="15"/>
      <c r="SOX31" s="25"/>
      <c r="SPE31" s="21"/>
      <c r="SPF31" s="21"/>
      <c r="SPJ31" s="15"/>
      <c r="SPP31" s="25"/>
      <c r="SPW31" s="21"/>
      <c r="SPX31" s="21"/>
      <c r="SQB31" s="15"/>
      <c r="SQH31" s="25"/>
      <c r="SQO31" s="21"/>
      <c r="SQP31" s="21"/>
      <c r="SQT31" s="15"/>
      <c r="SQZ31" s="25"/>
      <c r="SRG31" s="21"/>
      <c r="SRH31" s="21"/>
      <c r="SRL31" s="15"/>
      <c r="SRR31" s="25"/>
      <c r="SRY31" s="21"/>
      <c r="SRZ31" s="21"/>
      <c r="SSD31" s="15"/>
      <c r="SSJ31" s="25"/>
      <c r="SSQ31" s="21"/>
      <c r="SSR31" s="21"/>
      <c r="SSV31" s="15"/>
      <c r="STB31" s="25"/>
      <c r="STI31" s="21"/>
      <c r="STJ31" s="21"/>
      <c r="STN31" s="15"/>
      <c r="STT31" s="25"/>
      <c r="SUA31" s="21"/>
      <c r="SUB31" s="21"/>
      <c r="SUF31" s="15"/>
      <c r="SUL31" s="25"/>
      <c r="SUS31" s="21"/>
      <c r="SUT31" s="21"/>
      <c r="SUX31" s="15"/>
      <c r="SVD31" s="25"/>
      <c r="SVK31" s="21"/>
      <c r="SVL31" s="21"/>
      <c r="SVP31" s="15"/>
      <c r="SVV31" s="25"/>
      <c r="SWC31" s="21"/>
      <c r="SWD31" s="21"/>
      <c r="SWH31" s="15"/>
      <c r="SWN31" s="25"/>
      <c r="SWU31" s="21"/>
      <c r="SWV31" s="21"/>
      <c r="SWZ31" s="15"/>
      <c r="SXF31" s="25"/>
      <c r="SXM31" s="21"/>
      <c r="SXN31" s="21"/>
      <c r="SXR31" s="15"/>
      <c r="SXX31" s="25"/>
      <c r="SYE31" s="21"/>
      <c r="SYF31" s="21"/>
      <c r="SYJ31" s="15"/>
      <c r="SYP31" s="25"/>
      <c r="SYW31" s="21"/>
      <c r="SYX31" s="21"/>
      <c r="SZB31" s="15"/>
      <c r="SZH31" s="25"/>
      <c r="SZO31" s="21"/>
      <c r="SZP31" s="21"/>
      <c r="SZT31" s="15"/>
      <c r="SZZ31" s="25"/>
      <c r="TAG31" s="21"/>
      <c r="TAH31" s="21"/>
      <c r="TAL31" s="15"/>
      <c r="TAR31" s="25"/>
      <c r="TAY31" s="21"/>
      <c r="TAZ31" s="21"/>
      <c r="TBD31" s="15"/>
      <c r="TBJ31" s="25"/>
      <c r="TBQ31" s="21"/>
      <c r="TBR31" s="21"/>
      <c r="TBV31" s="15"/>
      <c r="TCB31" s="25"/>
      <c r="TCI31" s="21"/>
      <c r="TCJ31" s="21"/>
      <c r="TCN31" s="15"/>
      <c r="TCT31" s="25"/>
      <c r="TDA31" s="21"/>
      <c r="TDB31" s="21"/>
      <c r="TDF31" s="15"/>
      <c r="TDL31" s="25"/>
      <c r="TDS31" s="21"/>
      <c r="TDT31" s="21"/>
      <c r="TDX31" s="15"/>
      <c r="TED31" s="25"/>
      <c r="TEK31" s="21"/>
      <c r="TEL31" s="21"/>
      <c r="TEP31" s="15"/>
      <c r="TEV31" s="25"/>
      <c r="TFC31" s="21"/>
      <c r="TFD31" s="21"/>
      <c r="TFH31" s="15"/>
      <c r="TFN31" s="25"/>
      <c r="TFU31" s="21"/>
      <c r="TFV31" s="21"/>
      <c r="TFZ31" s="15"/>
      <c r="TGF31" s="25"/>
      <c r="TGM31" s="21"/>
      <c r="TGN31" s="21"/>
      <c r="TGR31" s="15"/>
      <c r="TGX31" s="25"/>
      <c r="THE31" s="21"/>
      <c r="THF31" s="21"/>
      <c r="THJ31" s="15"/>
      <c r="THP31" s="25"/>
      <c r="THW31" s="21"/>
      <c r="THX31" s="21"/>
      <c r="TIB31" s="15"/>
      <c r="TIH31" s="25"/>
      <c r="TIO31" s="21"/>
      <c r="TIP31" s="21"/>
      <c r="TIT31" s="15"/>
      <c r="TIZ31" s="25"/>
      <c r="TJG31" s="21"/>
      <c r="TJH31" s="21"/>
      <c r="TJL31" s="15"/>
      <c r="TJR31" s="25"/>
      <c r="TJY31" s="21"/>
      <c r="TJZ31" s="21"/>
      <c r="TKD31" s="15"/>
      <c r="TKJ31" s="25"/>
      <c r="TKQ31" s="21"/>
      <c r="TKR31" s="21"/>
      <c r="TKV31" s="15"/>
      <c r="TLB31" s="25"/>
      <c r="TLI31" s="21"/>
      <c r="TLJ31" s="21"/>
      <c r="TLN31" s="15"/>
      <c r="TLT31" s="25"/>
      <c r="TMA31" s="21"/>
      <c r="TMB31" s="21"/>
      <c r="TMF31" s="15"/>
      <c r="TML31" s="25"/>
      <c r="TMS31" s="21"/>
      <c r="TMT31" s="21"/>
      <c r="TMX31" s="15"/>
      <c r="TND31" s="25"/>
      <c r="TNK31" s="21"/>
      <c r="TNL31" s="21"/>
      <c r="TNP31" s="15"/>
      <c r="TNV31" s="25"/>
      <c r="TOC31" s="21"/>
      <c r="TOD31" s="21"/>
      <c r="TOH31" s="15"/>
      <c r="TON31" s="25"/>
      <c r="TOU31" s="21"/>
      <c r="TOV31" s="21"/>
      <c r="TOZ31" s="15"/>
      <c r="TPF31" s="25"/>
      <c r="TPM31" s="21"/>
      <c r="TPN31" s="21"/>
      <c r="TPR31" s="15"/>
      <c r="TPX31" s="25"/>
      <c r="TQE31" s="21"/>
      <c r="TQF31" s="21"/>
      <c r="TQJ31" s="15"/>
      <c r="TQP31" s="25"/>
      <c r="TQW31" s="21"/>
      <c r="TQX31" s="21"/>
      <c r="TRB31" s="15"/>
      <c r="TRH31" s="25"/>
      <c r="TRO31" s="21"/>
      <c r="TRP31" s="21"/>
      <c r="TRT31" s="15"/>
      <c r="TRZ31" s="25"/>
      <c r="TSG31" s="21"/>
      <c r="TSH31" s="21"/>
      <c r="TSL31" s="15"/>
      <c r="TSR31" s="25"/>
      <c r="TSY31" s="21"/>
      <c r="TSZ31" s="21"/>
      <c r="TTD31" s="15"/>
      <c r="TTJ31" s="25"/>
      <c r="TTQ31" s="21"/>
      <c r="TTR31" s="21"/>
      <c r="TTV31" s="15"/>
      <c r="TUB31" s="25"/>
      <c r="TUI31" s="21"/>
      <c r="TUJ31" s="21"/>
      <c r="TUN31" s="15"/>
      <c r="TUT31" s="25"/>
      <c r="TVA31" s="21"/>
      <c r="TVB31" s="21"/>
      <c r="TVF31" s="15"/>
      <c r="TVL31" s="25"/>
      <c r="TVS31" s="21"/>
      <c r="TVT31" s="21"/>
      <c r="TVX31" s="15"/>
      <c r="TWD31" s="25"/>
      <c r="TWK31" s="21"/>
      <c r="TWL31" s="21"/>
      <c r="TWP31" s="15"/>
      <c r="TWV31" s="25"/>
      <c r="TXC31" s="21"/>
      <c r="TXD31" s="21"/>
      <c r="TXH31" s="15"/>
      <c r="TXN31" s="25"/>
      <c r="TXU31" s="21"/>
      <c r="TXV31" s="21"/>
      <c r="TXZ31" s="15"/>
      <c r="TYF31" s="25"/>
      <c r="TYM31" s="21"/>
      <c r="TYN31" s="21"/>
      <c r="TYR31" s="15"/>
      <c r="TYX31" s="25"/>
      <c r="TZE31" s="21"/>
      <c r="TZF31" s="21"/>
      <c r="TZJ31" s="15"/>
      <c r="TZP31" s="25"/>
      <c r="TZW31" s="21"/>
      <c r="TZX31" s="21"/>
      <c r="UAB31" s="15"/>
      <c r="UAH31" s="25"/>
      <c r="UAO31" s="21"/>
      <c r="UAP31" s="21"/>
      <c r="UAT31" s="15"/>
      <c r="UAZ31" s="25"/>
      <c r="UBG31" s="21"/>
      <c r="UBH31" s="21"/>
      <c r="UBL31" s="15"/>
      <c r="UBR31" s="25"/>
      <c r="UBY31" s="21"/>
      <c r="UBZ31" s="21"/>
      <c r="UCD31" s="15"/>
      <c r="UCJ31" s="25"/>
      <c r="UCQ31" s="21"/>
      <c r="UCR31" s="21"/>
      <c r="UCV31" s="15"/>
      <c r="UDB31" s="25"/>
      <c r="UDI31" s="21"/>
      <c r="UDJ31" s="21"/>
      <c r="UDN31" s="15"/>
      <c r="UDT31" s="25"/>
      <c r="UEA31" s="21"/>
      <c r="UEB31" s="21"/>
      <c r="UEF31" s="15"/>
      <c r="UEL31" s="25"/>
      <c r="UES31" s="21"/>
      <c r="UET31" s="21"/>
      <c r="UEX31" s="15"/>
      <c r="UFD31" s="25"/>
      <c r="UFK31" s="21"/>
      <c r="UFL31" s="21"/>
      <c r="UFP31" s="15"/>
      <c r="UFV31" s="25"/>
      <c r="UGC31" s="21"/>
      <c r="UGD31" s="21"/>
      <c r="UGH31" s="15"/>
      <c r="UGN31" s="25"/>
      <c r="UGU31" s="21"/>
      <c r="UGV31" s="21"/>
      <c r="UGZ31" s="15"/>
      <c r="UHF31" s="25"/>
      <c r="UHM31" s="21"/>
      <c r="UHN31" s="21"/>
      <c r="UHR31" s="15"/>
      <c r="UHX31" s="25"/>
      <c r="UIE31" s="21"/>
      <c r="UIF31" s="21"/>
      <c r="UIJ31" s="15"/>
      <c r="UIP31" s="25"/>
      <c r="UIW31" s="21"/>
      <c r="UIX31" s="21"/>
      <c r="UJB31" s="15"/>
      <c r="UJH31" s="25"/>
      <c r="UJO31" s="21"/>
      <c r="UJP31" s="21"/>
      <c r="UJT31" s="15"/>
      <c r="UJZ31" s="25"/>
      <c r="UKG31" s="21"/>
      <c r="UKH31" s="21"/>
      <c r="UKL31" s="15"/>
      <c r="UKR31" s="25"/>
      <c r="UKY31" s="21"/>
      <c r="UKZ31" s="21"/>
      <c r="ULD31" s="15"/>
      <c r="ULJ31" s="25"/>
      <c r="ULQ31" s="21"/>
      <c r="ULR31" s="21"/>
      <c r="ULV31" s="15"/>
      <c r="UMB31" s="25"/>
      <c r="UMI31" s="21"/>
      <c r="UMJ31" s="21"/>
      <c r="UMN31" s="15"/>
      <c r="UMT31" s="25"/>
      <c r="UNA31" s="21"/>
      <c r="UNB31" s="21"/>
      <c r="UNF31" s="15"/>
      <c r="UNL31" s="25"/>
      <c r="UNS31" s="21"/>
      <c r="UNT31" s="21"/>
      <c r="UNX31" s="15"/>
      <c r="UOD31" s="25"/>
      <c r="UOK31" s="21"/>
      <c r="UOL31" s="21"/>
      <c r="UOP31" s="15"/>
      <c r="UOV31" s="25"/>
      <c r="UPC31" s="21"/>
      <c r="UPD31" s="21"/>
      <c r="UPH31" s="15"/>
      <c r="UPN31" s="25"/>
      <c r="UPU31" s="21"/>
      <c r="UPV31" s="21"/>
      <c r="UPZ31" s="15"/>
      <c r="UQF31" s="25"/>
      <c r="UQM31" s="21"/>
      <c r="UQN31" s="21"/>
      <c r="UQR31" s="15"/>
      <c r="UQX31" s="25"/>
      <c r="URE31" s="21"/>
      <c r="URF31" s="21"/>
      <c r="URJ31" s="15"/>
      <c r="URP31" s="25"/>
      <c r="URW31" s="21"/>
      <c r="URX31" s="21"/>
      <c r="USB31" s="15"/>
      <c r="USH31" s="25"/>
      <c r="USO31" s="21"/>
      <c r="USP31" s="21"/>
      <c r="UST31" s="15"/>
      <c r="USZ31" s="25"/>
      <c r="UTG31" s="21"/>
      <c r="UTH31" s="21"/>
      <c r="UTL31" s="15"/>
      <c r="UTR31" s="25"/>
      <c r="UTY31" s="21"/>
      <c r="UTZ31" s="21"/>
      <c r="UUD31" s="15"/>
      <c r="UUJ31" s="25"/>
      <c r="UUQ31" s="21"/>
      <c r="UUR31" s="21"/>
      <c r="UUV31" s="15"/>
      <c r="UVB31" s="25"/>
      <c r="UVI31" s="21"/>
      <c r="UVJ31" s="21"/>
      <c r="UVN31" s="15"/>
      <c r="UVT31" s="25"/>
      <c r="UWA31" s="21"/>
      <c r="UWB31" s="21"/>
      <c r="UWF31" s="15"/>
      <c r="UWL31" s="25"/>
      <c r="UWS31" s="21"/>
      <c r="UWT31" s="21"/>
      <c r="UWX31" s="15"/>
      <c r="UXD31" s="25"/>
      <c r="UXK31" s="21"/>
      <c r="UXL31" s="21"/>
      <c r="UXP31" s="15"/>
      <c r="UXV31" s="25"/>
      <c r="UYC31" s="21"/>
      <c r="UYD31" s="21"/>
      <c r="UYH31" s="15"/>
      <c r="UYN31" s="25"/>
      <c r="UYU31" s="21"/>
      <c r="UYV31" s="21"/>
      <c r="UYZ31" s="15"/>
      <c r="UZF31" s="25"/>
      <c r="UZM31" s="21"/>
      <c r="UZN31" s="21"/>
      <c r="UZR31" s="15"/>
      <c r="UZX31" s="25"/>
      <c r="VAE31" s="21"/>
      <c r="VAF31" s="21"/>
      <c r="VAJ31" s="15"/>
      <c r="VAP31" s="25"/>
      <c r="VAW31" s="21"/>
      <c r="VAX31" s="21"/>
      <c r="VBB31" s="15"/>
      <c r="VBH31" s="25"/>
      <c r="VBO31" s="21"/>
      <c r="VBP31" s="21"/>
      <c r="VBT31" s="15"/>
      <c r="VBZ31" s="25"/>
      <c r="VCG31" s="21"/>
      <c r="VCH31" s="21"/>
      <c r="VCL31" s="15"/>
      <c r="VCR31" s="25"/>
      <c r="VCY31" s="21"/>
      <c r="VCZ31" s="21"/>
      <c r="VDD31" s="15"/>
      <c r="VDJ31" s="25"/>
      <c r="VDQ31" s="21"/>
      <c r="VDR31" s="21"/>
      <c r="VDV31" s="15"/>
      <c r="VEB31" s="25"/>
      <c r="VEI31" s="21"/>
      <c r="VEJ31" s="21"/>
      <c r="VEN31" s="15"/>
      <c r="VET31" s="25"/>
      <c r="VFA31" s="21"/>
      <c r="VFB31" s="21"/>
      <c r="VFF31" s="15"/>
      <c r="VFL31" s="25"/>
      <c r="VFS31" s="21"/>
      <c r="VFT31" s="21"/>
      <c r="VFX31" s="15"/>
      <c r="VGD31" s="25"/>
      <c r="VGK31" s="21"/>
      <c r="VGL31" s="21"/>
      <c r="VGP31" s="15"/>
      <c r="VGV31" s="25"/>
      <c r="VHC31" s="21"/>
      <c r="VHD31" s="21"/>
      <c r="VHH31" s="15"/>
      <c r="VHN31" s="25"/>
      <c r="VHU31" s="21"/>
      <c r="VHV31" s="21"/>
      <c r="VHZ31" s="15"/>
      <c r="VIF31" s="25"/>
      <c r="VIM31" s="21"/>
      <c r="VIN31" s="21"/>
      <c r="VIR31" s="15"/>
      <c r="VIX31" s="25"/>
      <c r="VJE31" s="21"/>
      <c r="VJF31" s="21"/>
      <c r="VJJ31" s="15"/>
      <c r="VJP31" s="25"/>
      <c r="VJW31" s="21"/>
      <c r="VJX31" s="21"/>
      <c r="VKB31" s="15"/>
      <c r="VKH31" s="25"/>
      <c r="VKO31" s="21"/>
      <c r="VKP31" s="21"/>
      <c r="VKT31" s="15"/>
      <c r="VKZ31" s="25"/>
      <c r="VLG31" s="21"/>
      <c r="VLH31" s="21"/>
      <c r="VLL31" s="15"/>
      <c r="VLR31" s="25"/>
      <c r="VLY31" s="21"/>
      <c r="VLZ31" s="21"/>
      <c r="VMD31" s="15"/>
      <c r="VMJ31" s="25"/>
      <c r="VMQ31" s="21"/>
      <c r="VMR31" s="21"/>
      <c r="VMV31" s="15"/>
      <c r="VNB31" s="25"/>
      <c r="VNI31" s="21"/>
      <c r="VNJ31" s="21"/>
      <c r="VNN31" s="15"/>
      <c r="VNT31" s="25"/>
      <c r="VOA31" s="21"/>
      <c r="VOB31" s="21"/>
      <c r="VOF31" s="15"/>
      <c r="VOL31" s="25"/>
      <c r="VOS31" s="21"/>
      <c r="VOT31" s="21"/>
      <c r="VOX31" s="15"/>
      <c r="VPD31" s="25"/>
      <c r="VPK31" s="21"/>
      <c r="VPL31" s="21"/>
      <c r="VPP31" s="15"/>
      <c r="VPV31" s="25"/>
      <c r="VQC31" s="21"/>
      <c r="VQD31" s="21"/>
      <c r="VQH31" s="15"/>
      <c r="VQN31" s="25"/>
      <c r="VQU31" s="21"/>
      <c r="VQV31" s="21"/>
      <c r="VQZ31" s="15"/>
      <c r="VRF31" s="25"/>
      <c r="VRM31" s="21"/>
      <c r="VRN31" s="21"/>
      <c r="VRR31" s="15"/>
      <c r="VRX31" s="25"/>
      <c r="VSE31" s="21"/>
      <c r="VSF31" s="21"/>
      <c r="VSJ31" s="15"/>
      <c r="VSP31" s="25"/>
      <c r="VSW31" s="21"/>
      <c r="VSX31" s="21"/>
      <c r="VTB31" s="15"/>
      <c r="VTH31" s="25"/>
      <c r="VTO31" s="21"/>
      <c r="VTP31" s="21"/>
      <c r="VTT31" s="15"/>
      <c r="VTZ31" s="25"/>
      <c r="VUG31" s="21"/>
      <c r="VUH31" s="21"/>
      <c r="VUL31" s="15"/>
      <c r="VUR31" s="25"/>
      <c r="VUY31" s="21"/>
      <c r="VUZ31" s="21"/>
      <c r="VVD31" s="15"/>
      <c r="VVJ31" s="25"/>
      <c r="VVQ31" s="21"/>
      <c r="VVR31" s="21"/>
      <c r="VVV31" s="15"/>
      <c r="VWB31" s="25"/>
      <c r="VWI31" s="21"/>
      <c r="VWJ31" s="21"/>
      <c r="VWN31" s="15"/>
      <c r="VWT31" s="25"/>
      <c r="VXA31" s="21"/>
      <c r="VXB31" s="21"/>
      <c r="VXF31" s="15"/>
      <c r="VXL31" s="25"/>
      <c r="VXS31" s="21"/>
      <c r="VXT31" s="21"/>
      <c r="VXX31" s="15"/>
      <c r="VYD31" s="25"/>
      <c r="VYK31" s="21"/>
      <c r="VYL31" s="21"/>
      <c r="VYP31" s="15"/>
      <c r="VYV31" s="25"/>
      <c r="VZC31" s="21"/>
      <c r="VZD31" s="21"/>
      <c r="VZH31" s="15"/>
      <c r="VZN31" s="25"/>
      <c r="VZU31" s="21"/>
      <c r="VZV31" s="21"/>
      <c r="VZZ31" s="15"/>
      <c r="WAF31" s="25"/>
      <c r="WAM31" s="21"/>
      <c r="WAN31" s="21"/>
      <c r="WAR31" s="15"/>
      <c r="WAX31" s="25"/>
      <c r="WBE31" s="21"/>
      <c r="WBF31" s="21"/>
      <c r="WBJ31" s="15"/>
      <c r="WBP31" s="25"/>
      <c r="WBW31" s="21"/>
      <c r="WBX31" s="21"/>
      <c r="WCB31" s="15"/>
      <c r="WCH31" s="25"/>
      <c r="WCO31" s="21"/>
      <c r="WCP31" s="21"/>
      <c r="WCT31" s="15"/>
      <c r="WCZ31" s="25"/>
      <c r="WDG31" s="21"/>
      <c r="WDH31" s="21"/>
      <c r="WDL31" s="15"/>
      <c r="WDR31" s="25"/>
      <c r="WDY31" s="21"/>
      <c r="WDZ31" s="21"/>
      <c r="WED31" s="15"/>
      <c r="WEJ31" s="25"/>
      <c r="WEQ31" s="21"/>
      <c r="WER31" s="21"/>
      <c r="WEV31" s="15"/>
      <c r="WFB31" s="25"/>
      <c r="WFI31" s="21"/>
      <c r="WFJ31" s="21"/>
      <c r="WFN31" s="15"/>
      <c r="WFT31" s="25"/>
      <c r="WGA31" s="21"/>
      <c r="WGB31" s="21"/>
      <c r="WGF31" s="15"/>
      <c r="WGL31" s="25"/>
      <c r="WGS31" s="21"/>
      <c r="WGT31" s="21"/>
      <c r="WGX31" s="15"/>
      <c r="WHD31" s="25"/>
      <c r="WHK31" s="21"/>
      <c r="WHL31" s="21"/>
      <c r="WHP31" s="15"/>
      <c r="WHV31" s="25"/>
      <c r="WIC31" s="21"/>
      <c r="WID31" s="21"/>
      <c r="WIH31" s="15"/>
      <c r="WIN31" s="25"/>
      <c r="WIU31" s="21"/>
      <c r="WIV31" s="21"/>
      <c r="WIZ31" s="15"/>
      <c r="WJF31" s="25"/>
      <c r="WJM31" s="21"/>
      <c r="WJN31" s="21"/>
      <c r="WJR31" s="15"/>
      <c r="WJX31" s="25"/>
      <c r="WKE31" s="21"/>
      <c r="WKF31" s="21"/>
      <c r="WKJ31" s="15"/>
      <c r="WKP31" s="25"/>
      <c r="WKW31" s="21"/>
      <c r="WKX31" s="21"/>
      <c r="WLB31" s="15"/>
      <c r="WLH31" s="25"/>
      <c r="WLO31" s="21"/>
      <c r="WLP31" s="21"/>
      <c r="WLT31" s="15"/>
      <c r="WLZ31" s="25"/>
      <c r="WMG31" s="21"/>
      <c r="WMH31" s="21"/>
      <c r="WML31" s="15"/>
      <c r="WMR31" s="25"/>
      <c r="WMY31" s="21"/>
      <c r="WMZ31" s="21"/>
      <c r="WND31" s="15"/>
      <c r="WNJ31" s="25"/>
      <c r="WNQ31" s="21"/>
      <c r="WNR31" s="21"/>
      <c r="WNV31" s="15"/>
      <c r="WOB31" s="25"/>
      <c r="WOI31" s="21"/>
      <c r="WOJ31" s="21"/>
      <c r="WON31" s="15"/>
      <c r="WOT31" s="25"/>
      <c r="WPA31" s="21"/>
      <c r="WPB31" s="21"/>
      <c r="WPF31" s="15"/>
      <c r="WPL31" s="25"/>
      <c r="WPS31" s="21"/>
      <c r="WPT31" s="21"/>
      <c r="WPX31" s="15"/>
      <c r="WQD31" s="25"/>
      <c r="WQK31" s="21"/>
      <c r="WQL31" s="21"/>
      <c r="WQP31" s="15"/>
      <c r="WQV31" s="25"/>
      <c r="WRC31" s="21"/>
      <c r="WRD31" s="21"/>
      <c r="WRH31" s="15"/>
      <c r="WRN31" s="25"/>
      <c r="WRU31" s="21"/>
      <c r="WRV31" s="21"/>
      <c r="WRZ31" s="15"/>
      <c r="WSF31" s="25"/>
      <c r="WSM31" s="21"/>
      <c r="WSN31" s="21"/>
      <c r="WSR31" s="15"/>
      <c r="WSX31" s="25"/>
      <c r="WTE31" s="21"/>
      <c r="WTF31" s="21"/>
      <c r="WTJ31" s="15"/>
      <c r="WTP31" s="25"/>
      <c r="WTW31" s="21"/>
      <c r="WTX31" s="21"/>
      <c r="WUB31" s="15"/>
      <c r="WUH31" s="25"/>
      <c r="WUO31" s="21"/>
      <c r="WUP31" s="21"/>
      <c r="WUT31" s="15"/>
      <c r="WUZ31" s="25"/>
      <c r="WVG31" s="21"/>
      <c r="WVH31" s="21"/>
      <c r="WVL31" s="15"/>
      <c r="WVR31" s="25"/>
      <c r="WVY31" s="21"/>
      <c r="WVZ31" s="21"/>
      <c r="WWD31" s="15"/>
      <c r="WWJ31" s="25"/>
      <c r="WWQ31" s="21"/>
      <c r="WWR31" s="21"/>
      <c r="WWV31" s="15"/>
      <c r="WXB31" s="25"/>
      <c r="WXI31" s="21"/>
      <c r="WXJ31" s="21"/>
      <c r="WXN31" s="15"/>
      <c r="WXT31" s="25"/>
      <c r="WYA31" s="21"/>
      <c r="WYB31" s="21"/>
      <c r="WYF31" s="15"/>
      <c r="WYL31" s="25"/>
      <c r="WYS31" s="21"/>
      <c r="WYT31" s="21"/>
      <c r="WYX31" s="15"/>
      <c r="WZD31" s="25"/>
      <c r="WZK31" s="21"/>
      <c r="WZL31" s="21"/>
      <c r="WZP31" s="15"/>
      <c r="WZV31" s="25"/>
      <c r="XAC31" s="21"/>
      <c r="XAD31" s="21"/>
      <c r="XAH31" s="15"/>
      <c r="XAN31" s="25"/>
      <c r="XAU31" s="21"/>
      <c r="XAV31" s="21"/>
      <c r="XAZ31" s="15"/>
      <c r="XBF31" s="25"/>
      <c r="XBM31" s="21"/>
      <c r="XBN31" s="21"/>
      <c r="XBR31" s="15"/>
      <c r="XBX31" s="25"/>
      <c r="XCE31" s="21"/>
      <c r="XCF31" s="21"/>
      <c r="XCJ31" s="15"/>
      <c r="XCP31" s="25"/>
      <c r="XCW31" s="21"/>
      <c r="XCX31" s="21"/>
      <c r="XDB31" s="15"/>
      <c r="XDH31" s="25"/>
      <c r="XDO31" s="21"/>
      <c r="XDP31" s="21"/>
      <c r="XDT31" s="15"/>
      <c r="XDZ31" s="25"/>
      <c r="XEG31" s="21"/>
      <c r="XEH31" s="21"/>
      <c r="XEL31" s="15"/>
      <c r="XER31" s="25"/>
      <c r="XEY31" s="21"/>
      <c r="XEZ31" s="21"/>
      <c r="XFD31" s="15"/>
    </row>
    <row r="32" spans="1:1018 1025:2044 2051:3070 3077:4096 4103:5116 5122:6142 6148:7168 7174:8190 8194:9216 9220:10234 10241:11260 11267:12286 12293:13312 13319:14332 14338:15358 15364:16384" s="24" customFormat="1">
      <c r="A32" s="21" t="s">
        <v>114</v>
      </c>
      <c r="B32" s="12">
        <v>2007</v>
      </c>
      <c r="C32" s="19" t="s">
        <v>101</v>
      </c>
      <c r="D32" s="22" t="s">
        <v>86</v>
      </c>
      <c r="E32" s="43" t="s">
        <v>112</v>
      </c>
      <c r="F32" s="19" t="s">
        <v>41</v>
      </c>
      <c r="G32" s="44">
        <v>1803241787.7304473</v>
      </c>
      <c r="H32" s="44">
        <v>302485747.04919499</v>
      </c>
      <c r="I32" s="12">
        <v>10</v>
      </c>
      <c r="J32" s="23" t="s">
        <v>113</v>
      </c>
      <c r="K32" s="22"/>
      <c r="L32" s="22"/>
      <c r="M32" s="22" t="s">
        <v>26</v>
      </c>
      <c r="N32" s="12"/>
      <c r="O32" s="22"/>
      <c r="P32" s="12"/>
      <c r="Q32" s="22" t="s">
        <v>27</v>
      </c>
      <c r="R32" s="22" t="s">
        <v>28</v>
      </c>
      <c r="V32" s="15"/>
      <c r="AB32" s="25"/>
      <c r="AI32" s="21"/>
      <c r="AJ32" s="21"/>
      <c r="AN32" s="15"/>
      <c r="AT32" s="25"/>
      <c r="BA32" s="21"/>
      <c r="BB32" s="21"/>
      <c r="BF32" s="15"/>
      <c r="BL32" s="25"/>
      <c r="BS32" s="21"/>
      <c r="BT32" s="21"/>
      <c r="BX32" s="15"/>
      <c r="CD32" s="25"/>
      <c r="CK32" s="21"/>
      <c r="CL32" s="21"/>
      <c r="CP32" s="15"/>
      <c r="CV32" s="25"/>
      <c r="DC32" s="21"/>
      <c r="DD32" s="21"/>
      <c r="DH32" s="15"/>
      <c r="DN32" s="25"/>
      <c r="DU32" s="21"/>
      <c r="DV32" s="21"/>
      <c r="DZ32" s="15"/>
      <c r="EF32" s="25"/>
      <c r="EM32" s="21"/>
      <c r="EN32" s="21"/>
      <c r="ER32" s="15"/>
      <c r="EX32" s="25"/>
      <c r="FE32" s="21"/>
      <c r="FF32" s="21"/>
      <c r="FJ32" s="15"/>
      <c r="FP32" s="25"/>
      <c r="FW32" s="21"/>
      <c r="FX32" s="21"/>
      <c r="GB32" s="15"/>
      <c r="GH32" s="25"/>
      <c r="GO32" s="21"/>
      <c r="GP32" s="21"/>
      <c r="GT32" s="15"/>
      <c r="GZ32" s="25"/>
      <c r="HG32" s="21"/>
      <c r="HH32" s="21"/>
      <c r="HL32" s="15"/>
      <c r="HR32" s="25"/>
      <c r="HY32" s="21"/>
      <c r="HZ32" s="21"/>
      <c r="ID32" s="15"/>
      <c r="IJ32" s="25"/>
      <c r="IQ32" s="21"/>
      <c r="IR32" s="21"/>
      <c r="IV32" s="15"/>
      <c r="JB32" s="25"/>
      <c r="JI32" s="21"/>
      <c r="JJ32" s="21"/>
      <c r="JN32" s="15"/>
      <c r="JT32" s="25"/>
      <c r="KA32" s="21"/>
      <c r="KB32" s="21"/>
      <c r="KF32" s="15"/>
      <c r="KL32" s="25"/>
      <c r="KS32" s="21"/>
      <c r="KT32" s="21"/>
      <c r="KX32" s="15"/>
      <c r="LD32" s="25"/>
      <c r="LK32" s="21"/>
      <c r="LL32" s="21"/>
      <c r="LP32" s="15"/>
      <c r="LV32" s="25"/>
      <c r="MC32" s="21"/>
      <c r="MD32" s="21"/>
      <c r="MH32" s="15"/>
      <c r="MN32" s="25"/>
      <c r="MU32" s="21"/>
      <c r="MV32" s="21"/>
      <c r="MZ32" s="15"/>
      <c r="NF32" s="25"/>
      <c r="NM32" s="21"/>
      <c r="NN32" s="21"/>
      <c r="NR32" s="15"/>
      <c r="NX32" s="25"/>
      <c r="OE32" s="21"/>
      <c r="OF32" s="21"/>
      <c r="OJ32" s="15"/>
      <c r="OP32" s="25"/>
      <c r="OW32" s="21"/>
      <c r="OX32" s="21"/>
      <c r="PB32" s="15"/>
      <c r="PH32" s="25"/>
      <c r="PO32" s="21"/>
      <c r="PP32" s="21"/>
      <c r="PT32" s="15"/>
      <c r="PZ32" s="25"/>
      <c r="QG32" s="21"/>
      <c r="QH32" s="21"/>
      <c r="QL32" s="15"/>
      <c r="QR32" s="25"/>
      <c r="QY32" s="21"/>
      <c r="QZ32" s="21"/>
      <c r="RD32" s="15"/>
      <c r="RJ32" s="25"/>
      <c r="RQ32" s="21"/>
      <c r="RR32" s="21"/>
      <c r="RV32" s="15"/>
      <c r="SB32" s="25"/>
      <c r="SI32" s="21"/>
      <c r="SJ32" s="21"/>
      <c r="SN32" s="15"/>
      <c r="ST32" s="25"/>
      <c r="TA32" s="21"/>
      <c r="TB32" s="21"/>
      <c r="TF32" s="15"/>
      <c r="TL32" s="25"/>
      <c r="TS32" s="21"/>
      <c r="TT32" s="21"/>
      <c r="TX32" s="15"/>
      <c r="UD32" s="25"/>
      <c r="UK32" s="21"/>
      <c r="UL32" s="21"/>
      <c r="UP32" s="15"/>
      <c r="UV32" s="25"/>
      <c r="VC32" s="21"/>
      <c r="VD32" s="21"/>
      <c r="VH32" s="15"/>
      <c r="VN32" s="25"/>
      <c r="VU32" s="21"/>
      <c r="VV32" s="21"/>
      <c r="VZ32" s="15"/>
      <c r="WF32" s="25"/>
      <c r="WM32" s="21"/>
      <c r="WN32" s="21"/>
      <c r="WR32" s="15"/>
      <c r="WX32" s="25"/>
      <c r="XE32" s="21"/>
      <c r="XF32" s="21"/>
      <c r="XJ32" s="15"/>
      <c r="XP32" s="25"/>
      <c r="XW32" s="21"/>
      <c r="XX32" s="21"/>
      <c r="YB32" s="15"/>
      <c r="YH32" s="25"/>
      <c r="YO32" s="21"/>
      <c r="YP32" s="21"/>
      <c r="YT32" s="15"/>
      <c r="YZ32" s="25"/>
      <c r="ZG32" s="21"/>
      <c r="ZH32" s="21"/>
      <c r="ZL32" s="15"/>
      <c r="ZR32" s="25"/>
      <c r="ZY32" s="21"/>
      <c r="ZZ32" s="21"/>
      <c r="AAD32" s="15"/>
      <c r="AAJ32" s="25"/>
      <c r="AAQ32" s="21"/>
      <c r="AAR32" s="21"/>
      <c r="AAV32" s="15"/>
      <c r="ABB32" s="25"/>
      <c r="ABI32" s="21"/>
      <c r="ABJ32" s="21"/>
      <c r="ABN32" s="15"/>
      <c r="ABT32" s="25"/>
      <c r="ACA32" s="21"/>
      <c r="ACB32" s="21"/>
      <c r="ACF32" s="15"/>
      <c r="ACL32" s="25"/>
      <c r="ACS32" s="21"/>
      <c r="ACT32" s="21"/>
      <c r="ACX32" s="15"/>
      <c r="ADD32" s="25"/>
      <c r="ADK32" s="21"/>
      <c r="ADL32" s="21"/>
      <c r="ADP32" s="15"/>
      <c r="ADV32" s="25"/>
      <c r="AEC32" s="21"/>
      <c r="AED32" s="21"/>
      <c r="AEH32" s="15"/>
      <c r="AEN32" s="25"/>
      <c r="AEU32" s="21"/>
      <c r="AEV32" s="21"/>
      <c r="AEZ32" s="15"/>
      <c r="AFF32" s="25"/>
      <c r="AFM32" s="21"/>
      <c r="AFN32" s="21"/>
      <c r="AFR32" s="15"/>
      <c r="AFX32" s="25"/>
      <c r="AGE32" s="21"/>
      <c r="AGF32" s="21"/>
      <c r="AGJ32" s="15"/>
      <c r="AGP32" s="25"/>
      <c r="AGW32" s="21"/>
      <c r="AGX32" s="21"/>
      <c r="AHB32" s="15"/>
      <c r="AHH32" s="25"/>
      <c r="AHO32" s="21"/>
      <c r="AHP32" s="21"/>
      <c r="AHT32" s="15"/>
      <c r="AHZ32" s="25"/>
      <c r="AIG32" s="21"/>
      <c r="AIH32" s="21"/>
      <c r="AIL32" s="15"/>
      <c r="AIR32" s="25"/>
      <c r="AIY32" s="21"/>
      <c r="AIZ32" s="21"/>
      <c r="AJD32" s="15"/>
      <c r="AJJ32" s="25"/>
      <c r="AJQ32" s="21"/>
      <c r="AJR32" s="21"/>
      <c r="AJV32" s="15"/>
      <c r="AKB32" s="25"/>
      <c r="AKI32" s="21"/>
      <c r="AKJ32" s="21"/>
      <c r="AKN32" s="15"/>
      <c r="AKT32" s="25"/>
      <c r="ALA32" s="21"/>
      <c r="ALB32" s="21"/>
      <c r="ALF32" s="15"/>
      <c r="ALL32" s="25"/>
      <c r="ALS32" s="21"/>
      <c r="ALT32" s="21"/>
      <c r="ALX32" s="15"/>
      <c r="AMD32" s="25"/>
      <c r="AMK32" s="21"/>
      <c r="AML32" s="21"/>
      <c r="AMP32" s="15"/>
      <c r="AMV32" s="25"/>
      <c r="ANC32" s="21"/>
      <c r="AND32" s="21"/>
      <c r="ANH32" s="15"/>
      <c r="ANN32" s="25"/>
      <c r="ANU32" s="21"/>
      <c r="ANV32" s="21"/>
      <c r="ANZ32" s="15"/>
      <c r="AOF32" s="25"/>
      <c r="AOM32" s="21"/>
      <c r="AON32" s="21"/>
      <c r="AOR32" s="15"/>
      <c r="AOX32" s="25"/>
      <c r="APE32" s="21"/>
      <c r="APF32" s="21"/>
      <c r="APJ32" s="15"/>
      <c r="APP32" s="25"/>
      <c r="APW32" s="21"/>
      <c r="APX32" s="21"/>
      <c r="AQB32" s="15"/>
      <c r="AQH32" s="25"/>
      <c r="AQO32" s="21"/>
      <c r="AQP32" s="21"/>
      <c r="AQT32" s="15"/>
      <c r="AQZ32" s="25"/>
      <c r="ARG32" s="21"/>
      <c r="ARH32" s="21"/>
      <c r="ARL32" s="15"/>
      <c r="ARR32" s="25"/>
      <c r="ARY32" s="21"/>
      <c r="ARZ32" s="21"/>
      <c r="ASD32" s="15"/>
      <c r="ASJ32" s="25"/>
      <c r="ASQ32" s="21"/>
      <c r="ASR32" s="21"/>
      <c r="ASV32" s="15"/>
      <c r="ATB32" s="25"/>
      <c r="ATI32" s="21"/>
      <c r="ATJ32" s="21"/>
      <c r="ATN32" s="15"/>
      <c r="ATT32" s="25"/>
      <c r="AUA32" s="21"/>
      <c r="AUB32" s="21"/>
      <c r="AUF32" s="15"/>
      <c r="AUL32" s="25"/>
      <c r="AUS32" s="21"/>
      <c r="AUT32" s="21"/>
      <c r="AUX32" s="15"/>
      <c r="AVD32" s="25"/>
      <c r="AVK32" s="21"/>
      <c r="AVL32" s="21"/>
      <c r="AVP32" s="15"/>
      <c r="AVV32" s="25"/>
      <c r="AWC32" s="21"/>
      <c r="AWD32" s="21"/>
      <c r="AWH32" s="15"/>
      <c r="AWN32" s="25"/>
      <c r="AWU32" s="21"/>
      <c r="AWV32" s="21"/>
      <c r="AWZ32" s="15"/>
      <c r="AXF32" s="25"/>
      <c r="AXM32" s="21"/>
      <c r="AXN32" s="21"/>
      <c r="AXR32" s="15"/>
      <c r="AXX32" s="25"/>
      <c r="AYE32" s="21"/>
      <c r="AYF32" s="21"/>
      <c r="AYJ32" s="15"/>
      <c r="AYP32" s="25"/>
      <c r="AYW32" s="21"/>
      <c r="AYX32" s="21"/>
      <c r="AZB32" s="15"/>
      <c r="AZH32" s="25"/>
      <c r="AZO32" s="21"/>
      <c r="AZP32" s="21"/>
      <c r="AZT32" s="15"/>
      <c r="AZZ32" s="25"/>
      <c r="BAG32" s="21"/>
      <c r="BAH32" s="21"/>
      <c r="BAL32" s="15"/>
      <c r="BAR32" s="25"/>
      <c r="BAY32" s="21"/>
      <c r="BAZ32" s="21"/>
      <c r="BBD32" s="15"/>
      <c r="BBJ32" s="25"/>
      <c r="BBQ32" s="21"/>
      <c r="BBR32" s="21"/>
      <c r="BBV32" s="15"/>
      <c r="BCB32" s="25"/>
      <c r="BCI32" s="21"/>
      <c r="BCJ32" s="21"/>
      <c r="BCN32" s="15"/>
      <c r="BCT32" s="25"/>
      <c r="BDA32" s="21"/>
      <c r="BDB32" s="21"/>
      <c r="BDF32" s="15"/>
      <c r="BDL32" s="25"/>
      <c r="BDS32" s="21"/>
      <c r="BDT32" s="21"/>
      <c r="BDX32" s="15"/>
      <c r="BED32" s="25"/>
      <c r="BEK32" s="21"/>
      <c r="BEL32" s="21"/>
      <c r="BEP32" s="15"/>
      <c r="BEV32" s="25"/>
      <c r="BFC32" s="21"/>
      <c r="BFD32" s="21"/>
      <c r="BFH32" s="15"/>
      <c r="BFN32" s="25"/>
      <c r="BFU32" s="21"/>
      <c r="BFV32" s="21"/>
      <c r="BFZ32" s="15"/>
      <c r="BGF32" s="25"/>
      <c r="BGM32" s="21"/>
      <c r="BGN32" s="21"/>
      <c r="BGR32" s="15"/>
      <c r="BGX32" s="25"/>
      <c r="BHE32" s="21"/>
      <c r="BHF32" s="21"/>
      <c r="BHJ32" s="15"/>
      <c r="BHP32" s="25"/>
      <c r="BHW32" s="21"/>
      <c r="BHX32" s="21"/>
      <c r="BIB32" s="15"/>
      <c r="BIH32" s="25"/>
      <c r="BIO32" s="21"/>
      <c r="BIP32" s="21"/>
      <c r="BIT32" s="15"/>
      <c r="BIZ32" s="25"/>
      <c r="BJG32" s="21"/>
      <c r="BJH32" s="21"/>
      <c r="BJL32" s="15"/>
      <c r="BJR32" s="25"/>
      <c r="BJY32" s="21"/>
      <c r="BJZ32" s="21"/>
      <c r="BKD32" s="15"/>
      <c r="BKJ32" s="25"/>
      <c r="BKQ32" s="21"/>
      <c r="BKR32" s="21"/>
      <c r="BKV32" s="15"/>
      <c r="BLB32" s="25"/>
      <c r="BLI32" s="21"/>
      <c r="BLJ32" s="21"/>
      <c r="BLN32" s="15"/>
      <c r="BLT32" s="25"/>
      <c r="BMA32" s="21"/>
      <c r="BMB32" s="21"/>
      <c r="BMF32" s="15"/>
      <c r="BML32" s="25"/>
      <c r="BMS32" s="21"/>
      <c r="BMT32" s="21"/>
      <c r="BMX32" s="15"/>
      <c r="BND32" s="25"/>
      <c r="BNK32" s="21"/>
      <c r="BNL32" s="21"/>
      <c r="BNP32" s="15"/>
      <c r="BNV32" s="25"/>
      <c r="BOC32" s="21"/>
      <c r="BOD32" s="21"/>
      <c r="BOH32" s="15"/>
      <c r="BON32" s="25"/>
      <c r="BOU32" s="21"/>
      <c r="BOV32" s="21"/>
      <c r="BOZ32" s="15"/>
      <c r="BPF32" s="25"/>
      <c r="BPM32" s="21"/>
      <c r="BPN32" s="21"/>
      <c r="BPR32" s="15"/>
      <c r="BPX32" s="25"/>
      <c r="BQE32" s="21"/>
      <c r="BQF32" s="21"/>
      <c r="BQJ32" s="15"/>
      <c r="BQP32" s="25"/>
      <c r="BQW32" s="21"/>
      <c r="BQX32" s="21"/>
      <c r="BRB32" s="15"/>
      <c r="BRH32" s="25"/>
      <c r="BRO32" s="21"/>
      <c r="BRP32" s="21"/>
      <c r="BRT32" s="15"/>
      <c r="BRZ32" s="25"/>
      <c r="BSG32" s="21"/>
      <c r="BSH32" s="21"/>
      <c r="BSL32" s="15"/>
      <c r="BSR32" s="25"/>
      <c r="BSY32" s="21"/>
      <c r="BSZ32" s="21"/>
      <c r="BTD32" s="15"/>
      <c r="BTJ32" s="25"/>
      <c r="BTQ32" s="21"/>
      <c r="BTR32" s="21"/>
      <c r="BTV32" s="15"/>
      <c r="BUB32" s="25"/>
      <c r="BUI32" s="21"/>
      <c r="BUJ32" s="21"/>
      <c r="BUN32" s="15"/>
      <c r="BUT32" s="25"/>
      <c r="BVA32" s="21"/>
      <c r="BVB32" s="21"/>
      <c r="BVF32" s="15"/>
      <c r="BVL32" s="25"/>
      <c r="BVS32" s="21"/>
      <c r="BVT32" s="21"/>
      <c r="BVX32" s="15"/>
      <c r="BWD32" s="25"/>
      <c r="BWK32" s="21"/>
      <c r="BWL32" s="21"/>
      <c r="BWP32" s="15"/>
      <c r="BWV32" s="25"/>
      <c r="BXC32" s="21"/>
      <c r="BXD32" s="21"/>
      <c r="BXH32" s="15"/>
      <c r="BXN32" s="25"/>
      <c r="BXU32" s="21"/>
      <c r="BXV32" s="21"/>
      <c r="BXZ32" s="15"/>
      <c r="BYF32" s="25"/>
      <c r="BYM32" s="21"/>
      <c r="BYN32" s="21"/>
      <c r="BYR32" s="15"/>
      <c r="BYX32" s="25"/>
      <c r="BZE32" s="21"/>
      <c r="BZF32" s="21"/>
      <c r="BZJ32" s="15"/>
      <c r="BZP32" s="25"/>
      <c r="BZW32" s="21"/>
      <c r="BZX32" s="21"/>
      <c r="CAB32" s="15"/>
      <c r="CAH32" s="25"/>
      <c r="CAO32" s="21"/>
      <c r="CAP32" s="21"/>
      <c r="CAT32" s="15"/>
      <c r="CAZ32" s="25"/>
      <c r="CBG32" s="21"/>
      <c r="CBH32" s="21"/>
      <c r="CBL32" s="15"/>
      <c r="CBR32" s="25"/>
      <c r="CBY32" s="21"/>
      <c r="CBZ32" s="21"/>
      <c r="CCD32" s="15"/>
      <c r="CCJ32" s="25"/>
      <c r="CCQ32" s="21"/>
      <c r="CCR32" s="21"/>
      <c r="CCV32" s="15"/>
      <c r="CDB32" s="25"/>
      <c r="CDI32" s="21"/>
      <c r="CDJ32" s="21"/>
      <c r="CDN32" s="15"/>
      <c r="CDT32" s="25"/>
      <c r="CEA32" s="21"/>
      <c r="CEB32" s="21"/>
      <c r="CEF32" s="15"/>
      <c r="CEL32" s="25"/>
      <c r="CES32" s="21"/>
      <c r="CET32" s="21"/>
      <c r="CEX32" s="15"/>
      <c r="CFD32" s="25"/>
      <c r="CFK32" s="21"/>
      <c r="CFL32" s="21"/>
      <c r="CFP32" s="15"/>
      <c r="CFV32" s="25"/>
      <c r="CGC32" s="21"/>
      <c r="CGD32" s="21"/>
      <c r="CGH32" s="15"/>
      <c r="CGN32" s="25"/>
      <c r="CGU32" s="21"/>
      <c r="CGV32" s="21"/>
      <c r="CGZ32" s="15"/>
      <c r="CHF32" s="25"/>
      <c r="CHM32" s="21"/>
      <c r="CHN32" s="21"/>
      <c r="CHR32" s="15"/>
      <c r="CHX32" s="25"/>
      <c r="CIE32" s="21"/>
      <c r="CIF32" s="21"/>
      <c r="CIJ32" s="15"/>
      <c r="CIP32" s="25"/>
      <c r="CIW32" s="21"/>
      <c r="CIX32" s="21"/>
      <c r="CJB32" s="15"/>
      <c r="CJH32" s="25"/>
      <c r="CJO32" s="21"/>
      <c r="CJP32" s="21"/>
      <c r="CJT32" s="15"/>
      <c r="CJZ32" s="25"/>
      <c r="CKG32" s="21"/>
      <c r="CKH32" s="21"/>
      <c r="CKL32" s="15"/>
      <c r="CKR32" s="25"/>
      <c r="CKY32" s="21"/>
      <c r="CKZ32" s="21"/>
      <c r="CLD32" s="15"/>
      <c r="CLJ32" s="25"/>
      <c r="CLQ32" s="21"/>
      <c r="CLR32" s="21"/>
      <c r="CLV32" s="15"/>
      <c r="CMB32" s="25"/>
      <c r="CMI32" s="21"/>
      <c r="CMJ32" s="21"/>
      <c r="CMN32" s="15"/>
      <c r="CMT32" s="25"/>
      <c r="CNA32" s="21"/>
      <c r="CNB32" s="21"/>
      <c r="CNF32" s="15"/>
      <c r="CNL32" s="25"/>
      <c r="CNS32" s="21"/>
      <c r="CNT32" s="21"/>
      <c r="CNX32" s="15"/>
      <c r="COD32" s="25"/>
      <c r="COK32" s="21"/>
      <c r="COL32" s="21"/>
      <c r="COP32" s="15"/>
      <c r="COV32" s="25"/>
      <c r="CPC32" s="21"/>
      <c r="CPD32" s="21"/>
      <c r="CPH32" s="15"/>
      <c r="CPN32" s="25"/>
      <c r="CPU32" s="21"/>
      <c r="CPV32" s="21"/>
      <c r="CPZ32" s="15"/>
      <c r="CQF32" s="25"/>
      <c r="CQM32" s="21"/>
      <c r="CQN32" s="21"/>
      <c r="CQR32" s="15"/>
      <c r="CQX32" s="25"/>
      <c r="CRE32" s="21"/>
      <c r="CRF32" s="21"/>
      <c r="CRJ32" s="15"/>
      <c r="CRP32" s="25"/>
      <c r="CRW32" s="21"/>
      <c r="CRX32" s="21"/>
      <c r="CSB32" s="15"/>
      <c r="CSH32" s="25"/>
      <c r="CSO32" s="21"/>
      <c r="CSP32" s="21"/>
      <c r="CST32" s="15"/>
      <c r="CSZ32" s="25"/>
      <c r="CTG32" s="21"/>
      <c r="CTH32" s="21"/>
      <c r="CTL32" s="15"/>
      <c r="CTR32" s="25"/>
      <c r="CTY32" s="21"/>
      <c r="CTZ32" s="21"/>
      <c r="CUD32" s="15"/>
      <c r="CUJ32" s="25"/>
      <c r="CUQ32" s="21"/>
      <c r="CUR32" s="21"/>
      <c r="CUV32" s="15"/>
      <c r="CVB32" s="25"/>
      <c r="CVI32" s="21"/>
      <c r="CVJ32" s="21"/>
      <c r="CVN32" s="15"/>
      <c r="CVT32" s="25"/>
      <c r="CWA32" s="21"/>
      <c r="CWB32" s="21"/>
      <c r="CWF32" s="15"/>
      <c r="CWL32" s="25"/>
      <c r="CWS32" s="21"/>
      <c r="CWT32" s="21"/>
      <c r="CWX32" s="15"/>
      <c r="CXD32" s="25"/>
      <c r="CXK32" s="21"/>
      <c r="CXL32" s="21"/>
      <c r="CXP32" s="15"/>
      <c r="CXV32" s="25"/>
      <c r="CYC32" s="21"/>
      <c r="CYD32" s="21"/>
      <c r="CYH32" s="15"/>
      <c r="CYN32" s="25"/>
      <c r="CYU32" s="21"/>
      <c r="CYV32" s="21"/>
      <c r="CYZ32" s="15"/>
      <c r="CZF32" s="25"/>
      <c r="CZM32" s="21"/>
      <c r="CZN32" s="21"/>
      <c r="CZR32" s="15"/>
      <c r="CZX32" s="25"/>
      <c r="DAE32" s="21"/>
      <c r="DAF32" s="21"/>
      <c r="DAJ32" s="15"/>
      <c r="DAP32" s="25"/>
      <c r="DAW32" s="21"/>
      <c r="DAX32" s="21"/>
      <c r="DBB32" s="15"/>
      <c r="DBH32" s="25"/>
      <c r="DBO32" s="21"/>
      <c r="DBP32" s="21"/>
      <c r="DBT32" s="15"/>
      <c r="DBZ32" s="25"/>
      <c r="DCG32" s="21"/>
      <c r="DCH32" s="21"/>
      <c r="DCL32" s="15"/>
      <c r="DCR32" s="25"/>
      <c r="DCY32" s="21"/>
      <c r="DCZ32" s="21"/>
      <c r="DDD32" s="15"/>
      <c r="DDJ32" s="25"/>
      <c r="DDQ32" s="21"/>
      <c r="DDR32" s="21"/>
      <c r="DDV32" s="15"/>
      <c r="DEB32" s="25"/>
      <c r="DEI32" s="21"/>
      <c r="DEJ32" s="21"/>
      <c r="DEN32" s="15"/>
      <c r="DET32" s="25"/>
      <c r="DFA32" s="21"/>
      <c r="DFB32" s="21"/>
      <c r="DFF32" s="15"/>
      <c r="DFL32" s="25"/>
      <c r="DFS32" s="21"/>
      <c r="DFT32" s="21"/>
      <c r="DFX32" s="15"/>
      <c r="DGD32" s="25"/>
      <c r="DGK32" s="21"/>
      <c r="DGL32" s="21"/>
      <c r="DGP32" s="15"/>
      <c r="DGV32" s="25"/>
      <c r="DHC32" s="21"/>
      <c r="DHD32" s="21"/>
      <c r="DHH32" s="15"/>
      <c r="DHN32" s="25"/>
      <c r="DHU32" s="21"/>
      <c r="DHV32" s="21"/>
      <c r="DHZ32" s="15"/>
      <c r="DIF32" s="25"/>
      <c r="DIM32" s="21"/>
      <c r="DIN32" s="21"/>
      <c r="DIR32" s="15"/>
      <c r="DIX32" s="25"/>
      <c r="DJE32" s="21"/>
      <c r="DJF32" s="21"/>
      <c r="DJJ32" s="15"/>
      <c r="DJP32" s="25"/>
      <c r="DJW32" s="21"/>
      <c r="DJX32" s="21"/>
      <c r="DKB32" s="15"/>
      <c r="DKH32" s="25"/>
      <c r="DKO32" s="21"/>
      <c r="DKP32" s="21"/>
      <c r="DKT32" s="15"/>
      <c r="DKZ32" s="25"/>
      <c r="DLG32" s="21"/>
      <c r="DLH32" s="21"/>
      <c r="DLL32" s="15"/>
      <c r="DLR32" s="25"/>
      <c r="DLY32" s="21"/>
      <c r="DLZ32" s="21"/>
      <c r="DMD32" s="15"/>
      <c r="DMJ32" s="25"/>
      <c r="DMQ32" s="21"/>
      <c r="DMR32" s="21"/>
      <c r="DMV32" s="15"/>
      <c r="DNB32" s="25"/>
      <c r="DNI32" s="21"/>
      <c r="DNJ32" s="21"/>
      <c r="DNN32" s="15"/>
      <c r="DNT32" s="25"/>
      <c r="DOA32" s="21"/>
      <c r="DOB32" s="21"/>
      <c r="DOF32" s="15"/>
      <c r="DOL32" s="25"/>
      <c r="DOS32" s="21"/>
      <c r="DOT32" s="21"/>
      <c r="DOX32" s="15"/>
      <c r="DPD32" s="25"/>
      <c r="DPK32" s="21"/>
      <c r="DPL32" s="21"/>
      <c r="DPP32" s="15"/>
      <c r="DPV32" s="25"/>
      <c r="DQC32" s="21"/>
      <c r="DQD32" s="21"/>
      <c r="DQH32" s="15"/>
      <c r="DQN32" s="25"/>
      <c r="DQU32" s="21"/>
      <c r="DQV32" s="21"/>
      <c r="DQZ32" s="15"/>
      <c r="DRF32" s="25"/>
      <c r="DRM32" s="21"/>
      <c r="DRN32" s="21"/>
      <c r="DRR32" s="15"/>
      <c r="DRX32" s="25"/>
      <c r="DSE32" s="21"/>
      <c r="DSF32" s="21"/>
      <c r="DSJ32" s="15"/>
      <c r="DSP32" s="25"/>
      <c r="DSW32" s="21"/>
      <c r="DSX32" s="21"/>
      <c r="DTB32" s="15"/>
      <c r="DTH32" s="25"/>
      <c r="DTO32" s="21"/>
      <c r="DTP32" s="21"/>
      <c r="DTT32" s="15"/>
      <c r="DTZ32" s="25"/>
      <c r="DUG32" s="21"/>
      <c r="DUH32" s="21"/>
      <c r="DUL32" s="15"/>
      <c r="DUR32" s="25"/>
      <c r="DUY32" s="21"/>
      <c r="DUZ32" s="21"/>
      <c r="DVD32" s="15"/>
      <c r="DVJ32" s="25"/>
      <c r="DVQ32" s="21"/>
      <c r="DVR32" s="21"/>
      <c r="DVV32" s="15"/>
      <c r="DWB32" s="25"/>
      <c r="DWI32" s="21"/>
      <c r="DWJ32" s="21"/>
      <c r="DWN32" s="15"/>
      <c r="DWT32" s="25"/>
      <c r="DXA32" s="21"/>
      <c r="DXB32" s="21"/>
      <c r="DXF32" s="15"/>
      <c r="DXL32" s="25"/>
      <c r="DXS32" s="21"/>
      <c r="DXT32" s="21"/>
      <c r="DXX32" s="15"/>
      <c r="DYD32" s="25"/>
      <c r="DYK32" s="21"/>
      <c r="DYL32" s="21"/>
      <c r="DYP32" s="15"/>
      <c r="DYV32" s="25"/>
      <c r="DZC32" s="21"/>
      <c r="DZD32" s="21"/>
      <c r="DZH32" s="15"/>
      <c r="DZN32" s="25"/>
      <c r="DZU32" s="21"/>
      <c r="DZV32" s="21"/>
      <c r="DZZ32" s="15"/>
      <c r="EAF32" s="25"/>
      <c r="EAM32" s="21"/>
      <c r="EAN32" s="21"/>
      <c r="EAR32" s="15"/>
      <c r="EAX32" s="25"/>
      <c r="EBE32" s="21"/>
      <c r="EBF32" s="21"/>
      <c r="EBJ32" s="15"/>
      <c r="EBP32" s="25"/>
      <c r="EBW32" s="21"/>
      <c r="EBX32" s="21"/>
      <c r="ECB32" s="15"/>
      <c r="ECH32" s="25"/>
      <c r="ECO32" s="21"/>
      <c r="ECP32" s="21"/>
      <c r="ECT32" s="15"/>
      <c r="ECZ32" s="25"/>
      <c r="EDG32" s="21"/>
      <c r="EDH32" s="21"/>
      <c r="EDL32" s="15"/>
      <c r="EDR32" s="25"/>
      <c r="EDY32" s="21"/>
      <c r="EDZ32" s="21"/>
      <c r="EED32" s="15"/>
      <c r="EEJ32" s="25"/>
      <c r="EEQ32" s="21"/>
      <c r="EER32" s="21"/>
      <c r="EEV32" s="15"/>
      <c r="EFB32" s="25"/>
      <c r="EFI32" s="21"/>
      <c r="EFJ32" s="21"/>
      <c r="EFN32" s="15"/>
      <c r="EFT32" s="25"/>
      <c r="EGA32" s="21"/>
      <c r="EGB32" s="21"/>
      <c r="EGF32" s="15"/>
      <c r="EGL32" s="25"/>
      <c r="EGS32" s="21"/>
      <c r="EGT32" s="21"/>
      <c r="EGX32" s="15"/>
      <c r="EHD32" s="25"/>
      <c r="EHK32" s="21"/>
      <c r="EHL32" s="21"/>
      <c r="EHP32" s="15"/>
      <c r="EHV32" s="25"/>
      <c r="EIC32" s="21"/>
      <c r="EID32" s="21"/>
      <c r="EIH32" s="15"/>
      <c r="EIN32" s="25"/>
      <c r="EIU32" s="21"/>
      <c r="EIV32" s="21"/>
      <c r="EIZ32" s="15"/>
      <c r="EJF32" s="25"/>
      <c r="EJM32" s="21"/>
      <c r="EJN32" s="21"/>
      <c r="EJR32" s="15"/>
      <c r="EJX32" s="25"/>
      <c r="EKE32" s="21"/>
      <c r="EKF32" s="21"/>
      <c r="EKJ32" s="15"/>
      <c r="EKP32" s="25"/>
      <c r="EKW32" s="21"/>
      <c r="EKX32" s="21"/>
      <c r="ELB32" s="15"/>
      <c r="ELH32" s="25"/>
      <c r="ELO32" s="21"/>
      <c r="ELP32" s="21"/>
      <c r="ELT32" s="15"/>
      <c r="ELZ32" s="25"/>
      <c r="EMG32" s="21"/>
      <c r="EMH32" s="21"/>
      <c r="EML32" s="15"/>
      <c r="EMR32" s="25"/>
      <c r="EMY32" s="21"/>
      <c r="EMZ32" s="21"/>
      <c r="END32" s="15"/>
      <c r="ENJ32" s="25"/>
      <c r="ENQ32" s="21"/>
      <c r="ENR32" s="21"/>
      <c r="ENV32" s="15"/>
      <c r="EOB32" s="25"/>
      <c r="EOI32" s="21"/>
      <c r="EOJ32" s="21"/>
      <c r="EON32" s="15"/>
      <c r="EOT32" s="25"/>
      <c r="EPA32" s="21"/>
      <c r="EPB32" s="21"/>
      <c r="EPF32" s="15"/>
      <c r="EPL32" s="25"/>
      <c r="EPS32" s="21"/>
      <c r="EPT32" s="21"/>
      <c r="EPX32" s="15"/>
      <c r="EQD32" s="25"/>
      <c r="EQK32" s="21"/>
      <c r="EQL32" s="21"/>
      <c r="EQP32" s="15"/>
      <c r="EQV32" s="25"/>
      <c r="ERC32" s="21"/>
      <c r="ERD32" s="21"/>
      <c r="ERH32" s="15"/>
      <c r="ERN32" s="25"/>
      <c r="ERU32" s="21"/>
      <c r="ERV32" s="21"/>
      <c r="ERZ32" s="15"/>
      <c r="ESF32" s="25"/>
      <c r="ESM32" s="21"/>
      <c r="ESN32" s="21"/>
      <c r="ESR32" s="15"/>
      <c r="ESX32" s="25"/>
      <c r="ETE32" s="21"/>
      <c r="ETF32" s="21"/>
      <c r="ETJ32" s="15"/>
      <c r="ETP32" s="25"/>
      <c r="ETW32" s="21"/>
      <c r="ETX32" s="21"/>
      <c r="EUB32" s="15"/>
      <c r="EUH32" s="25"/>
      <c r="EUO32" s="21"/>
      <c r="EUP32" s="21"/>
      <c r="EUT32" s="15"/>
      <c r="EUZ32" s="25"/>
      <c r="EVG32" s="21"/>
      <c r="EVH32" s="21"/>
      <c r="EVL32" s="15"/>
      <c r="EVR32" s="25"/>
      <c r="EVY32" s="21"/>
      <c r="EVZ32" s="21"/>
      <c r="EWD32" s="15"/>
      <c r="EWJ32" s="25"/>
      <c r="EWQ32" s="21"/>
      <c r="EWR32" s="21"/>
      <c r="EWV32" s="15"/>
      <c r="EXB32" s="25"/>
      <c r="EXI32" s="21"/>
      <c r="EXJ32" s="21"/>
      <c r="EXN32" s="15"/>
      <c r="EXT32" s="25"/>
      <c r="EYA32" s="21"/>
      <c r="EYB32" s="21"/>
      <c r="EYF32" s="15"/>
      <c r="EYL32" s="25"/>
      <c r="EYS32" s="21"/>
      <c r="EYT32" s="21"/>
      <c r="EYX32" s="15"/>
      <c r="EZD32" s="25"/>
      <c r="EZK32" s="21"/>
      <c r="EZL32" s="21"/>
      <c r="EZP32" s="15"/>
      <c r="EZV32" s="25"/>
      <c r="FAC32" s="21"/>
      <c r="FAD32" s="21"/>
      <c r="FAH32" s="15"/>
      <c r="FAN32" s="25"/>
      <c r="FAU32" s="21"/>
      <c r="FAV32" s="21"/>
      <c r="FAZ32" s="15"/>
      <c r="FBF32" s="25"/>
      <c r="FBM32" s="21"/>
      <c r="FBN32" s="21"/>
      <c r="FBR32" s="15"/>
      <c r="FBX32" s="25"/>
      <c r="FCE32" s="21"/>
      <c r="FCF32" s="21"/>
      <c r="FCJ32" s="15"/>
      <c r="FCP32" s="25"/>
      <c r="FCW32" s="21"/>
      <c r="FCX32" s="21"/>
      <c r="FDB32" s="15"/>
      <c r="FDH32" s="25"/>
      <c r="FDO32" s="21"/>
      <c r="FDP32" s="21"/>
      <c r="FDT32" s="15"/>
      <c r="FDZ32" s="25"/>
      <c r="FEG32" s="21"/>
      <c r="FEH32" s="21"/>
      <c r="FEL32" s="15"/>
      <c r="FER32" s="25"/>
      <c r="FEY32" s="21"/>
      <c r="FEZ32" s="21"/>
      <c r="FFD32" s="15"/>
      <c r="FFJ32" s="25"/>
      <c r="FFQ32" s="21"/>
      <c r="FFR32" s="21"/>
      <c r="FFV32" s="15"/>
      <c r="FGB32" s="25"/>
      <c r="FGI32" s="21"/>
      <c r="FGJ32" s="21"/>
      <c r="FGN32" s="15"/>
      <c r="FGT32" s="25"/>
      <c r="FHA32" s="21"/>
      <c r="FHB32" s="21"/>
      <c r="FHF32" s="15"/>
      <c r="FHL32" s="25"/>
      <c r="FHS32" s="21"/>
      <c r="FHT32" s="21"/>
      <c r="FHX32" s="15"/>
      <c r="FID32" s="25"/>
      <c r="FIK32" s="21"/>
      <c r="FIL32" s="21"/>
      <c r="FIP32" s="15"/>
      <c r="FIV32" s="25"/>
      <c r="FJC32" s="21"/>
      <c r="FJD32" s="21"/>
      <c r="FJH32" s="15"/>
      <c r="FJN32" s="25"/>
      <c r="FJU32" s="21"/>
      <c r="FJV32" s="21"/>
      <c r="FJZ32" s="15"/>
      <c r="FKF32" s="25"/>
      <c r="FKM32" s="21"/>
      <c r="FKN32" s="21"/>
      <c r="FKR32" s="15"/>
      <c r="FKX32" s="25"/>
      <c r="FLE32" s="21"/>
      <c r="FLF32" s="21"/>
      <c r="FLJ32" s="15"/>
      <c r="FLP32" s="25"/>
      <c r="FLW32" s="21"/>
      <c r="FLX32" s="21"/>
      <c r="FMB32" s="15"/>
      <c r="FMH32" s="25"/>
      <c r="FMO32" s="21"/>
      <c r="FMP32" s="21"/>
      <c r="FMT32" s="15"/>
      <c r="FMZ32" s="25"/>
      <c r="FNG32" s="21"/>
      <c r="FNH32" s="21"/>
      <c r="FNL32" s="15"/>
      <c r="FNR32" s="25"/>
      <c r="FNY32" s="21"/>
      <c r="FNZ32" s="21"/>
      <c r="FOD32" s="15"/>
      <c r="FOJ32" s="25"/>
      <c r="FOQ32" s="21"/>
      <c r="FOR32" s="21"/>
      <c r="FOV32" s="15"/>
      <c r="FPB32" s="25"/>
      <c r="FPI32" s="21"/>
      <c r="FPJ32" s="21"/>
      <c r="FPN32" s="15"/>
      <c r="FPT32" s="25"/>
      <c r="FQA32" s="21"/>
      <c r="FQB32" s="21"/>
      <c r="FQF32" s="15"/>
      <c r="FQL32" s="25"/>
      <c r="FQS32" s="21"/>
      <c r="FQT32" s="21"/>
      <c r="FQX32" s="15"/>
      <c r="FRD32" s="25"/>
      <c r="FRK32" s="21"/>
      <c r="FRL32" s="21"/>
      <c r="FRP32" s="15"/>
      <c r="FRV32" s="25"/>
      <c r="FSC32" s="21"/>
      <c r="FSD32" s="21"/>
      <c r="FSH32" s="15"/>
      <c r="FSN32" s="25"/>
      <c r="FSU32" s="21"/>
      <c r="FSV32" s="21"/>
      <c r="FSZ32" s="15"/>
      <c r="FTF32" s="25"/>
      <c r="FTM32" s="21"/>
      <c r="FTN32" s="21"/>
      <c r="FTR32" s="15"/>
      <c r="FTX32" s="25"/>
      <c r="FUE32" s="21"/>
      <c r="FUF32" s="21"/>
      <c r="FUJ32" s="15"/>
      <c r="FUP32" s="25"/>
      <c r="FUW32" s="21"/>
      <c r="FUX32" s="21"/>
      <c r="FVB32" s="15"/>
      <c r="FVH32" s="25"/>
      <c r="FVO32" s="21"/>
      <c r="FVP32" s="21"/>
      <c r="FVT32" s="15"/>
      <c r="FVZ32" s="25"/>
      <c r="FWG32" s="21"/>
      <c r="FWH32" s="21"/>
      <c r="FWL32" s="15"/>
      <c r="FWR32" s="25"/>
      <c r="FWY32" s="21"/>
      <c r="FWZ32" s="21"/>
      <c r="FXD32" s="15"/>
      <c r="FXJ32" s="25"/>
      <c r="FXQ32" s="21"/>
      <c r="FXR32" s="21"/>
      <c r="FXV32" s="15"/>
      <c r="FYB32" s="25"/>
      <c r="FYI32" s="21"/>
      <c r="FYJ32" s="21"/>
      <c r="FYN32" s="15"/>
      <c r="FYT32" s="25"/>
      <c r="FZA32" s="21"/>
      <c r="FZB32" s="21"/>
      <c r="FZF32" s="15"/>
      <c r="FZL32" s="25"/>
      <c r="FZS32" s="21"/>
      <c r="FZT32" s="21"/>
      <c r="FZX32" s="15"/>
      <c r="GAD32" s="25"/>
      <c r="GAK32" s="21"/>
      <c r="GAL32" s="21"/>
      <c r="GAP32" s="15"/>
      <c r="GAV32" s="25"/>
      <c r="GBC32" s="21"/>
      <c r="GBD32" s="21"/>
      <c r="GBH32" s="15"/>
      <c r="GBN32" s="25"/>
      <c r="GBU32" s="21"/>
      <c r="GBV32" s="21"/>
      <c r="GBZ32" s="15"/>
      <c r="GCF32" s="25"/>
      <c r="GCM32" s="21"/>
      <c r="GCN32" s="21"/>
      <c r="GCR32" s="15"/>
      <c r="GCX32" s="25"/>
      <c r="GDE32" s="21"/>
      <c r="GDF32" s="21"/>
      <c r="GDJ32" s="15"/>
      <c r="GDP32" s="25"/>
      <c r="GDW32" s="21"/>
      <c r="GDX32" s="21"/>
      <c r="GEB32" s="15"/>
      <c r="GEH32" s="25"/>
      <c r="GEO32" s="21"/>
      <c r="GEP32" s="21"/>
      <c r="GET32" s="15"/>
      <c r="GEZ32" s="25"/>
      <c r="GFG32" s="21"/>
      <c r="GFH32" s="21"/>
      <c r="GFL32" s="15"/>
      <c r="GFR32" s="25"/>
      <c r="GFY32" s="21"/>
      <c r="GFZ32" s="21"/>
      <c r="GGD32" s="15"/>
      <c r="GGJ32" s="25"/>
      <c r="GGQ32" s="21"/>
      <c r="GGR32" s="21"/>
      <c r="GGV32" s="15"/>
      <c r="GHB32" s="25"/>
      <c r="GHI32" s="21"/>
      <c r="GHJ32" s="21"/>
      <c r="GHN32" s="15"/>
      <c r="GHT32" s="25"/>
      <c r="GIA32" s="21"/>
      <c r="GIB32" s="21"/>
      <c r="GIF32" s="15"/>
      <c r="GIL32" s="25"/>
      <c r="GIS32" s="21"/>
      <c r="GIT32" s="21"/>
      <c r="GIX32" s="15"/>
      <c r="GJD32" s="25"/>
      <c r="GJK32" s="21"/>
      <c r="GJL32" s="21"/>
      <c r="GJP32" s="15"/>
      <c r="GJV32" s="25"/>
      <c r="GKC32" s="21"/>
      <c r="GKD32" s="21"/>
      <c r="GKH32" s="15"/>
      <c r="GKN32" s="25"/>
      <c r="GKU32" s="21"/>
      <c r="GKV32" s="21"/>
      <c r="GKZ32" s="15"/>
      <c r="GLF32" s="25"/>
      <c r="GLM32" s="21"/>
      <c r="GLN32" s="21"/>
      <c r="GLR32" s="15"/>
      <c r="GLX32" s="25"/>
      <c r="GME32" s="21"/>
      <c r="GMF32" s="21"/>
      <c r="GMJ32" s="15"/>
      <c r="GMP32" s="25"/>
      <c r="GMW32" s="21"/>
      <c r="GMX32" s="21"/>
      <c r="GNB32" s="15"/>
      <c r="GNH32" s="25"/>
      <c r="GNO32" s="21"/>
      <c r="GNP32" s="21"/>
      <c r="GNT32" s="15"/>
      <c r="GNZ32" s="25"/>
      <c r="GOG32" s="21"/>
      <c r="GOH32" s="21"/>
      <c r="GOL32" s="15"/>
      <c r="GOR32" s="25"/>
      <c r="GOY32" s="21"/>
      <c r="GOZ32" s="21"/>
      <c r="GPD32" s="15"/>
      <c r="GPJ32" s="25"/>
      <c r="GPQ32" s="21"/>
      <c r="GPR32" s="21"/>
      <c r="GPV32" s="15"/>
      <c r="GQB32" s="25"/>
      <c r="GQI32" s="21"/>
      <c r="GQJ32" s="21"/>
      <c r="GQN32" s="15"/>
      <c r="GQT32" s="25"/>
      <c r="GRA32" s="21"/>
      <c r="GRB32" s="21"/>
      <c r="GRF32" s="15"/>
      <c r="GRL32" s="25"/>
      <c r="GRS32" s="21"/>
      <c r="GRT32" s="21"/>
      <c r="GRX32" s="15"/>
      <c r="GSD32" s="25"/>
      <c r="GSK32" s="21"/>
      <c r="GSL32" s="21"/>
      <c r="GSP32" s="15"/>
      <c r="GSV32" s="25"/>
      <c r="GTC32" s="21"/>
      <c r="GTD32" s="21"/>
      <c r="GTH32" s="15"/>
      <c r="GTN32" s="25"/>
      <c r="GTU32" s="21"/>
      <c r="GTV32" s="21"/>
      <c r="GTZ32" s="15"/>
      <c r="GUF32" s="25"/>
      <c r="GUM32" s="21"/>
      <c r="GUN32" s="21"/>
      <c r="GUR32" s="15"/>
      <c r="GUX32" s="25"/>
      <c r="GVE32" s="21"/>
      <c r="GVF32" s="21"/>
      <c r="GVJ32" s="15"/>
      <c r="GVP32" s="25"/>
      <c r="GVW32" s="21"/>
      <c r="GVX32" s="21"/>
      <c r="GWB32" s="15"/>
      <c r="GWH32" s="25"/>
      <c r="GWO32" s="21"/>
      <c r="GWP32" s="21"/>
      <c r="GWT32" s="15"/>
      <c r="GWZ32" s="25"/>
      <c r="GXG32" s="21"/>
      <c r="GXH32" s="21"/>
      <c r="GXL32" s="15"/>
      <c r="GXR32" s="25"/>
      <c r="GXY32" s="21"/>
      <c r="GXZ32" s="21"/>
      <c r="GYD32" s="15"/>
      <c r="GYJ32" s="25"/>
      <c r="GYQ32" s="21"/>
      <c r="GYR32" s="21"/>
      <c r="GYV32" s="15"/>
      <c r="GZB32" s="25"/>
      <c r="GZI32" s="21"/>
      <c r="GZJ32" s="21"/>
      <c r="GZN32" s="15"/>
      <c r="GZT32" s="25"/>
      <c r="HAA32" s="21"/>
      <c r="HAB32" s="21"/>
      <c r="HAF32" s="15"/>
      <c r="HAL32" s="25"/>
      <c r="HAS32" s="21"/>
      <c r="HAT32" s="21"/>
      <c r="HAX32" s="15"/>
      <c r="HBD32" s="25"/>
      <c r="HBK32" s="21"/>
      <c r="HBL32" s="21"/>
      <c r="HBP32" s="15"/>
      <c r="HBV32" s="25"/>
      <c r="HCC32" s="21"/>
      <c r="HCD32" s="21"/>
      <c r="HCH32" s="15"/>
      <c r="HCN32" s="25"/>
      <c r="HCU32" s="21"/>
      <c r="HCV32" s="21"/>
      <c r="HCZ32" s="15"/>
      <c r="HDF32" s="25"/>
      <c r="HDM32" s="21"/>
      <c r="HDN32" s="21"/>
      <c r="HDR32" s="15"/>
      <c r="HDX32" s="25"/>
      <c r="HEE32" s="21"/>
      <c r="HEF32" s="21"/>
      <c r="HEJ32" s="15"/>
      <c r="HEP32" s="25"/>
      <c r="HEW32" s="21"/>
      <c r="HEX32" s="21"/>
      <c r="HFB32" s="15"/>
      <c r="HFH32" s="25"/>
      <c r="HFO32" s="21"/>
      <c r="HFP32" s="21"/>
      <c r="HFT32" s="15"/>
      <c r="HFZ32" s="25"/>
      <c r="HGG32" s="21"/>
      <c r="HGH32" s="21"/>
      <c r="HGL32" s="15"/>
      <c r="HGR32" s="25"/>
      <c r="HGY32" s="21"/>
      <c r="HGZ32" s="21"/>
      <c r="HHD32" s="15"/>
      <c r="HHJ32" s="25"/>
      <c r="HHQ32" s="21"/>
      <c r="HHR32" s="21"/>
      <c r="HHV32" s="15"/>
      <c r="HIB32" s="25"/>
      <c r="HII32" s="21"/>
      <c r="HIJ32" s="21"/>
      <c r="HIN32" s="15"/>
      <c r="HIT32" s="25"/>
      <c r="HJA32" s="21"/>
      <c r="HJB32" s="21"/>
      <c r="HJF32" s="15"/>
      <c r="HJL32" s="25"/>
      <c r="HJS32" s="21"/>
      <c r="HJT32" s="21"/>
      <c r="HJX32" s="15"/>
      <c r="HKD32" s="25"/>
      <c r="HKK32" s="21"/>
      <c r="HKL32" s="21"/>
      <c r="HKP32" s="15"/>
      <c r="HKV32" s="25"/>
      <c r="HLC32" s="21"/>
      <c r="HLD32" s="21"/>
      <c r="HLH32" s="15"/>
      <c r="HLN32" s="25"/>
      <c r="HLU32" s="21"/>
      <c r="HLV32" s="21"/>
      <c r="HLZ32" s="15"/>
      <c r="HMF32" s="25"/>
      <c r="HMM32" s="21"/>
      <c r="HMN32" s="21"/>
      <c r="HMR32" s="15"/>
      <c r="HMX32" s="25"/>
      <c r="HNE32" s="21"/>
      <c r="HNF32" s="21"/>
      <c r="HNJ32" s="15"/>
      <c r="HNP32" s="25"/>
      <c r="HNW32" s="21"/>
      <c r="HNX32" s="21"/>
      <c r="HOB32" s="15"/>
      <c r="HOH32" s="25"/>
      <c r="HOO32" s="21"/>
      <c r="HOP32" s="21"/>
      <c r="HOT32" s="15"/>
      <c r="HOZ32" s="25"/>
      <c r="HPG32" s="21"/>
      <c r="HPH32" s="21"/>
      <c r="HPL32" s="15"/>
      <c r="HPR32" s="25"/>
      <c r="HPY32" s="21"/>
      <c r="HPZ32" s="21"/>
      <c r="HQD32" s="15"/>
      <c r="HQJ32" s="25"/>
      <c r="HQQ32" s="21"/>
      <c r="HQR32" s="21"/>
      <c r="HQV32" s="15"/>
      <c r="HRB32" s="25"/>
      <c r="HRI32" s="21"/>
      <c r="HRJ32" s="21"/>
      <c r="HRN32" s="15"/>
      <c r="HRT32" s="25"/>
      <c r="HSA32" s="21"/>
      <c r="HSB32" s="21"/>
      <c r="HSF32" s="15"/>
      <c r="HSL32" s="25"/>
      <c r="HSS32" s="21"/>
      <c r="HST32" s="21"/>
      <c r="HSX32" s="15"/>
      <c r="HTD32" s="25"/>
      <c r="HTK32" s="21"/>
      <c r="HTL32" s="21"/>
      <c r="HTP32" s="15"/>
      <c r="HTV32" s="25"/>
      <c r="HUC32" s="21"/>
      <c r="HUD32" s="21"/>
      <c r="HUH32" s="15"/>
      <c r="HUN32" s="25"/>
      <c r="HUU32" s="21"/>
      <c r="HUV32" s="21"/>
      <c r="HUZ32" s="15"/>
      <c r="HVF32" s="25"/>
      <c r="HVM32" s="21"/>
      <c r="HVN32" s="21"/>
      <c r="HVR32" s="15"/>
      <c r="HVX32" s="25"/>
      <c r="HWE32" s="21"/>
      <c r="HWF32" s="21"/>
      <c r="HWJ32" s="15"/>
      <c r="HWP32" s="25"/>
      <c r="HWW32" s="21"/>
      <c r="HWX32" s="21"/>
      <c r="HXB32" s="15"/>
      <c r="HXH32" s="25"/>
      <c r="HXO32" s="21"/>
      <c r="HXP32" s="21"/>
      <c r="HXT32" s="15"/>
      <c r="HXZ32" s="25"/>
      <c r="HYG32" s="21"/>
      <c r="HYH32" s="21"/>
      <c r="HYL32" s="15"/>
      <c r="HYR32" s="25"/>
      <c r="HYY32" s="21"/>
      <c r="HYZ32" s="21"/>
      <c r="HZD32" s="15"/>
      <c r="HZJ32" s="25"/>
      <c r="HZQ32" s="21"/>
      <c r="HZR32" s="21"/>
      <c r="HZV32" s="15"/>
      <c r="IAB32" s="25"/>
      <c r="IAI32" s="21"/>
      <c r="IAJ32" s="21"/>
      <c r="IAN32" s="15"/>
      <c r="IAT32" s="25"/>
      <c r="IBA32" s="21"/>
      <c r="IBB32" s="21"/>
      <c r="IBF32" s="15"/>
      <c r="IBL32" s="25"/>
      <c r="IBS32" s="21"/>
      <c r="IBT32" s="21"/>
      <c r="IBX32" s="15"/>
      <c r="ICD32" s="25"/>
      <c r="ICK32" s="21"/>
      <c r="ICL32" s="21"/>
      <c r="ICP32" s="15"/>
      <c r="ICV32" s="25"/>
      <c r="IDC32" s="21"/>
      <c r="IDD32" s="21"/>
      <c r="IDH32" s="15"/>
      <c r="IDN32" s="25"/>
      <c r="IDU32" s="21"/>
      <c r="IDV32" s="21"/>
      <c r="IDZ32" s="15"/>
      <c r="IEF32" s="25"/>
      <c r="IEM32" s="21"/>
      <c r="IEN32" s="21"/>
      <c r="IER32" s="15"/>
      <c r="IEX32" s="25"/>
      <c r="IFE32" s="21"/>
      <c r="IFF32" s="21"/>
      <c r="IFJ32" s="15"/>
      <c r="IFP32" s="25"/>
      <c r="IFW32" s="21"/>
      <c r="IFX32" s="21"/>
      <c r="IGB32" s="15"/>
      <c r="IGH32" s="25"/>
      <c r="IGO32" s="21"/>
      <c r="IGP32" s="21"/>
      <c r="IGT32" s="15"/>
      <c r="IGZ32" s="25"/>
      <c r="IHG32" s="21"/>
      <c r="IHH32" s="21"/>
      <c r="IHL32" s="15"/>
      <c r="IHR32" s="25"/>
      <c r="IHY32" s="21"/>
      <c r="IHZ32" s="21"/>
      <c r="IID32" s="15"/>
      <c r="IIJ32" s="25"/>
      <c r="IIQ32" s="21"/>
      <c r="IIR32" s="21"/>
      <c r="IIV32" s="15"/>
      <c r="IJB32" s="25"/>
      <c r="IJI32" s="21"/>
      <c r="IJJ32" s="21"/>
      <c r="IJN32" s="15"/>
      <c r="IJT32" s="25"/>
      <c r="IKA32" s="21"/>
      <c r="IKB32" s="21"/>
      <c r="IKF32" s="15"/>
      <c r="IKL32" s="25"/>
      <c r="IKS32" s="21"/>
      <c r="IKT32" s="21"/>
      <c r="IKX32" s="15"/>
      <c r="ILD32" s="25"/>
      <c r="ILK32" s="21"/>
      <c r="ILL32" s="21"/>
      <c r="ILP32" s="15"/>
      <c r="ILV32" s="25"/>
      <c r="IMC32" s="21"/>
      <c r="IMD32" s="21"/>
      <c r="IMH32" s="15"/>
      <c r="IMN32" s="25"/>
      <c r="IMU32" s="21"/>
      <c r="IMV32" s="21"/>
      <c r="IMZ32" s="15"/>
      <c r="INF32" s="25"/>
      <c r="INM32" s="21"/>
      <c r="INN32" s="21"/>
      <c r="INR32" s="15"/>
      <c r="INX32" s="25"/>
      <c r="IOE32" s="21"/>
      <c r="IOF32" s="21"/>
      <c r="IOJ32" s="15"/>
      <c r="IOP32" s="25"/>
      <c r="IOW32" s="21"/>
      <c r="IOX32" s="21"/>
      <c r="IPB32" s="15"/>
      <c r="IPH32" s="25"/>
      <c r="IPO32" s="21"/>
      <c r="IPP32" s="21"/>
      <c r="IPT32" s="15"/>
      <c r="IPZ32" s="25"/>
      <c r="IQG32" s="21"/>
      <c r="IQH32" s="21"/>
      <c r="IQL32" s="15"/>
      <c r="IQR32" s="25"/>
      <c r="IQY32" s="21"/>
      <c r="IQZ32" s="21"/>
      <c r="IRD32" s="15"/>
      <c r="IRJ32" s="25"/>
      <c r="IRQ32" s="21"/>
      <c r="IRR32" s="21"/>
      <c r="IRV32" s="15"/>
      <c r="ISB32" s="25"/>
      <c r="ISI32" s="21"/>
      <c r="ISJ32" s="21"/>
      <c r="ISN32" s="15"/>
      <c r="IST32" s="25"/>
      <c r="ITA32" s="21"/>
      <c r="ITB32" s="21"/>
      <c r="ITF32" s="15"/>
      <c r="ITL32" s="25"/>
      <c r="ITS32" s="21"/>
      <c r="ITT32" s="21"/>
      <c r="ITX32" s="15"/>
      <c r="IUD32" s="25"/>
      <c r="IUK32" s="21"/>
      <c r="IUL32" s="21"/>
      <c r="IUP32" s="15"/>
      <c r="IUV32" s="25"/>
      <c r="IVC32" s="21"/>
      <c r="IVD32" s="21"/>
      <c r="IVH32" s="15"/>
      <c r="IVN32" s="25"/>
      <c r="IVU32" s="21"/>
      <c r="IVV32" s="21"/>
      <c r="IVZ32" s="15"/>
      <c r="IWF32" s="25"/>
      <c r="IWM32" s="21"/>
      <c r="IWN32" s="21"/>
      <c r="IWR32" s="15"/>
      <c r="IWX32" s="25"/>
      <c r="IXE32" s="21"/>
      <c r="IXF32" s="21"/>
      <c r="IXJ32" s="15"/>
      <c r="IXP32" s="25"/>
      <c r="IXW32" s="21"/>
      <c r="IXX32" s="21"/>
      <c r="IYB32" s="15"/>
      <c r="IYH32" s="25"/>
      <c r="IYO32" s="21"/>
      <c r="IYP32" s="21"/>
      <c r="IYT32" s="15"/>
      <c r="IYZ32" s="25"/>
      <c r="IZG32" s="21"/>
      <c r="IZH32" s="21"/>
      <c r="IZL32" s="15"/>
      <c r="IZR32" s="25"/>
      <c r="IZY32" s="21"/>
      <c r="IZZ32" s="21"/>
      <c r="JAD32" s="15"/>
      <c r="JAJ32" s="25"/>
      <c r="JAQ32" s="21"/>
      <c r="JAR32" s="21"/>
      <c r="JAV32" s="15"/>
      <c r="JBB32" s="25"/>
      <c r="JBI32" s="21"/>
      <c r="JBJ32" s="21"/>
      <c r="JBN32" s="15"/>
      <c r="JBT32" s="25"/>
      <c r="JCA32" s="21"/>
      <c r="JCB32" s="21"/>
      <c r="JCF32" s="15"/>
      <c r="JCL32" s="25"/>
      <c r="JCS32" s="21"/>
      <c r="JCT32" s="21"/>
      <c r="JCX32" s="15"/>
      <c r="JDD32" s="25"/>
      <c r="JDK32" s="21"/>
      <c r="JDL32" s="21"/>
      <c r="JDP32" s="15"/>
      <c r="JDV32" s="25"/>
      <c r="JEC32" s="21"/>
      <c r="JED32" s="21"/>
      <c r="JEH32" s="15"/>
      <c r="JEN32" s="25"/>
      <c r="JEU32" s="21"/>
      <c r="JEV32" s="21"/>
      <c r="JEZ32" s="15"/>
      <c r="JFF32" s="25"/>
      <c r="JFM32" s="21"/>
      <c r="JFN32" s="21"/>
      <c r="JFR32" s="15"/>
      <c r="JFX32" s="25"/>
      <c r="JGE32" s="21"/>
      <c r="JGF32" s="21"/>
      <c r="JGJ32" s="15"/>
      <c r="JGP32" s="25"/>
      <c r="JGW32" s="21"/>
      <c r="JGX32" s="21"/>
      <c r="JHB32" s="15"/>
      <c r="JHH32" s="25"/>
      <c r="JHO32" s="21"/>
      <c r="JHP32" s="21"/>
      <c r="JHT32" s="15"/>
      <c r="JHZ32" s="25"/>
      <c r="JIG32" s="21"/>
      <c r="JIH32" s="21"/>
      <c r="JIL32" s="15"/>
      <c r="JIR32" s="25"/>
      <c r="JIY32" s="21"/>
      <c r="JIZ32" s="21"/>
      <c r="JJD32" s="15"/>
      <c r="JJJ32" s="25"/>
      <c r="JJQ32" s="21"/>
      <c r="JJR32" s="21"/>
      <c r="JJV32" s="15"/>
      <c r="JKB32" s="25"/>
      <c r="JKI32" s="21"/>
      <c r="JKJ32" s="21"/>
      <c r="JKN32" s="15"/>
      <c r="JKT32" s="25"/>
      <c r="JLA32" s="21"/>
      <c r="JLB32" s="21"/>
      <c r="JLF32" s="15"/>
      <c r="JLL32" s="25"/>
      <c r="JLS32" s="21"/>
      <c r="JLT32" s="21"/>
      <c r="JLX32" s="15"/>
      <c r="JMD32" s="25"/>
      <c r="JMK32" s="21"/>
      <c r="JML32" s="21"/>
      <c r="JMP32" s="15"/>
      <c r="JMV32" s="25"/>
      <c r="JNC32" s="21"/>
      <c r="JND32" s="21"/>
      <c r="JNH32" s="15"/>
      <c r="JNN32" s="25"/>
      <c r="JNU32" s="21"/>
      <c r="JNV32" s="21"/>
      <c r="JNZ32" s="15"/>
      <c r="JOF32" s="25"/>
      <c r="JOM32" s="21"/>
      <c r="JON32" s="21"/>
      <c r="JOR32" s="15"/>
      <c r="JOX32" s="25"/>
      <c r="JPE32" s="21"/>
      <c r="JPF32" s="21"/>
      <c r="JPJ32" s="15"/>
      <c r="JPP32" s="25"/>
      <c r="JPW32" s="21"/>
      <c r="JPX32" s="21"/>
      <c r="JQB32" s="15"/>
      <c r="JQH32" s="25"/>
      <c r="JQO32" s="21"/>
      <c r="JQP32" s="21"/>
      <c r="JQT32" s="15"/>
      <c r="JQZ32" s="25"/>
      <c r="JRG32" s="21"/>
      <c r="JRH32" s="21"/>
      <c r="JRL32" s="15"/>
      <c r="JRR32" s="25"/>
      <c r="JRY32" s="21"/>
      <c r="JRZ32" s="21"/>
      <c r="JSD32" s="15"/>
      <c r="JSJ32" s="25"/>
      <c r="JSQ32" s="21"/>
      <c r="JSR32" s="21"/>
      <c r="JSV32" s="15"/>
      <c r="JTB32" s="25"/>
      <c r="JTI32" s="21"/>
      <c r="JTJ32" s="21"/>
      <c r="JTN32" s="15"/>
      <c r="JTT32" s="25"/>
      <c r="JUA32" s="21"/>
      <c r="JUB32" s="21"/>
      <c r="JUF32" s="15"/>
      <c r="JUL32" s="25"/>
      <c r="JUS32" s="21"/>
      <c r="JUT32" s="21"/>
      <c r="JUX32" s="15"/>
      <c r="JVD32" s="25"/>
      <c r="JVK32" s="21"/>
      <c r="JVL32" s="21"/>
      <c r="JVP32" s="15"/>
      <c r="JVV32" s="25"/>
      <c r="JWC32" s="21"/>
      <c r="JWD32" s="21"/>
      <c r="JWH32" s="15"/>
      <c r="JWN32" s="25"/>
      <c r="JWU32" s="21"/>
      <c r="JWV32" s="21"/>
      <c r="JWZ32" s="15"/>
      <c r="JXF32" s="25"/>
      <c r="JXM32" s="21"/>
      <c r="JXN32" s="21"/>
      <c r="JXR32" s="15"/>
      <c r="JXX32" s="25"/>
      <c r="JYE32" s="21"/>
      <c r="JYF32" s="21"/>
      <c r="JYJ32" s="15"/>
      <c r="JYP32" s="25"/>
      <c r="JYW32" s="21"/>
      <c r="JYX32" s="21"/>
      <c r="JZB32" s="15"/>
      <c r="JZH32" s="25"/>
      <c r="JZO32" s="21"/>
      <c r="JZP32" s="21"/>
      <c r="JZT32" s="15"/>
      <c r="JZZ32" s="25"/>
      <c r="KAG32" s="21"/>
      <c r="KAH32" s="21"/>
      <c r="KAL32" s="15"/>
      <c r="KAR32" s="25"/>
      <c r="KAY32" s="21"/>
      <c r="KAZ32" s="21"/>
      <c r="KBD32" s="15"/>
      <c r="KBJ32" s="25"/>
      <c r="KBQ32" s="21"/>
      <c r="KBR32" s="21"/>
      <c r="KBV32" s="15"/>
      <c r="KCB32" s="25"/>
      <c r="KCI32" s="21"/>
      <c r="KCJ32" s="21"/>
      <c r="KCN32" s="15"/>
      <c r="KCT32" s="25"/>
      <c r="KDA32" s="21"/>
      <c r="KDB32" s="21"/>
      <c r="KDF32" s="15"/>
      <c r="KDL32" s="25"/>
      <c r="KDS32" s="21"/>
      <c r="KDT32" s="21"/>
      <c r="KDX32" s="15"/>
      <c r="KED32" s="25"/>
      <c r="KEK32" s="21"/>
      <c r="KEL32" s="21"/>
      <c r="KEP32" s="15"/>
      <c r="KEV32" s="25"/>
      <c r="KFC32" s="21"/>
      <c r="KFD32" s="21"/>
      <c r="KFH32" s="15"/>
      <c r="KFN32" s="25"/>
      <c r="KFU32" s="21"/>
      <c r="KFV32" s="21"/>
      <c r="KFZ32" s="15"/>
      <c r="KGF32" s="25"/>
      <c r="KGM32" s="21"/>
      <c r="KGN32" s="21"/>
      <c r="KGR32" s="15"/>
      <c r="KGX32" s="25"/>
      <c r="KHE32" s="21"/>
      <c r="KHF32" s="21"/>
      <c r="KHJ32" s="15"/>
      <c r="KHP32" s="25"/>
      <c r="KHW32" s="21"/>
      <c r="KHX32" s="21"/>
      <c r="KIB32" s="15"/>
      <c r="KIH32" s="25"/>
      <c r="KIO32" s="21"/>
      <c r="KIP32" s="21"/>
      <c r="KIT32" s="15"/>
      <c r="KIZ32" s="25"/>
      <c r="KJG32" s="21"/>
      <c r="KJH32" s="21"/>
      <c r="KJL32" s="15"/>
      <c r="KJR32" s="25"/>
      <c r="KJY32" s="21"/>
      <c r="KJZ32" s="21"/>
      <c r="KKD32" s="15"/>
      <c r="KKJ32" s="25"/>
      <c r="KKQ32" s="21"/>
      <c r="KKR32" s="21"/>
      <c r="KKV32" s="15"/>
      <c r="KLB32" s="25"/>
      <c r="KLI32" s="21"/>
      <c r="KLJ32" s="21"/>
      <c r="KLN32" s="15"/>
      <c r="KLT32" s="25"/>
      <c r="KMA32" s="21"/>
      <c r="KMB32" s="21"/>
      <c r="KMF32" s="15"/>
      <c r="KML32" s="25"/>
      <c r="KMS32" s="21"/>
      <c r="KMT32" s="21"/>
      <c r="KMX32" s="15"/>
      <c r="KND32" s="25"/>
      <c r="KNK32" s="21"/>
      <c r="KNL32" s="21"/>
      <c r="KNP32" s="15"/>
      <c r="KNV32" s="25"/>
      <c r="KOC32" s="21"/>
      <c r="KOD32" s="21"/>
      <c r="KOH32" s="15"/>
      <c r="KON32" s="25"/>
      <c r="KOU32" s="21"/>
      <c r="KOV32" s="21"/>
      <c r="KOZ32" s="15"/>
      <c r="KPF32" s="25"/>
      <c r="KPM32" s="21"/>
      <c r="KPN32" s="21"/>
      <c r="KPR32" s="15"/>
      <c r="KPX32" s="25"/>
      <c r="KQE32" s="21"/>
      <c r="KQF32" s="21"/>
      <c r="KQJ32" s="15"/>
      <c r="KQP32" s="25"/>
      <c r="KQW32" s="21"/>
      <c r="KQX32" s="21"/>
      <c r="KRB32" s="15"/>
      <c r="KRH32" s="25"/>
      <c r="KRO32" s="21"/>
      <c r="KRP32" s="21"/>
      <c r="KRT32" s="15"/>
      <c r="KRZ32" s="25"/>
      <c r="KSG32" s="21"/>
      <c r="KSH32" s="21"/>
      <c r="KSL32" s="15"/>
      <c r="KSR32" s="25"/>
      <c r="KSY32" s="21"/>
      <c r="KSZ32" s="21"/>
      <c r="KTD32" s="15"/>
      <c r="KTJ32" s="25"/>
      <c r="KTQ32" s="21"/>
      <c r="KTR32" s="21"/>
      <c r="KTV32" s="15"/>
      <c r="KUB32" s="25"/>
      <c r="KUI32" s="21"/>
      <c r="KUJ32" s="21"/>
      <c r="KUN32" s="15"/>
      <c r="KUT32" s="25"/>
      <c r="KVA32" s="21"/>
      <c r="KVB32" s="21"/>
      <c r="KVF32" s="15"/>
      <c r="KVL32" s="25"/>
      <c r="KVS32" s="21"/>
      <c r="KVT32" s="21"/>
      <c r="KVX32" s="15"/>
      <c r="KWD32" s="25"/>
      <c r="KWK32" s="21"/>
      <c r="KWL32" s="21"/>
      <c r="KWP32" s="15"/>
      <c r="KWV32" s="25"/>
      <c r="KXC32" s="21"/>
      <c r="KXD32" s="21"/>
      <c r="KXH32" s="15"/>
      <c r="KXN32" s="25"/>
      <c r="KXU32" s="21"/>
      <c r="KXV32" s="21"/>
      <c r="KXZ32" s="15"/>
      <c r="KYF32" s="25"/>
      <c r="KYM32" s="21"/>
      <c r="KYN32" s="21"/>
      <c r="KYR32" s="15"/>
      <c r="KYX32" s="25"/>
      <c r="KZE32" s="21"/>
      <c r="KZF32" s="21"/>
      <c r="KZJ32" s="15"/>
      <c r="KZP32" s="25"/>
      <c r="KZW32" s="21"/>
      <c r="KZX32" s="21"/>
      <c r="LAB32" s="15"/>
      <c r="LAH32" s="25"/>
      <c r="LAO32" s="21"/>
      <c r="LAP32" s="21"/>
      <c r="LAT32" s="15"/>
      <c r="LAZ32" s="25"/>
      <c r="LBG32" s="21"/>
      <c r="LBH32" s="21"/>
      <c r="LBL32" s="15"/>
      <c r="LBR32" s="25"/>
      <c r="LBY32" s="21"/>
      <c r="LBZ32" s="21"/>
      <c r="LCD32" s="15"/>
      <c r="LCJ32" s="25"/>
      <c r="LCQ32" s="21"/>
      <c r="LCR32" s="21"/>
      <c r="LCV32" s="15"/>
      <c r="LDB32" s="25"/>
      <c r="LDI32" s="21"/>
      <c r="LDJ32" s="21"/>
      <c r="LDN32" s="15"/>
      <c r="LDT32" s="25"/>
      <c r="LEA32" s="21"/>
      <c r="LEB32" s="21"/>
      <c r="LEF32" s="15"/>
      <c r="LEL32" s="25"/>
      <c r="LES32" s="21"/>
      <c r="LET32" s="21"/>
      <c r="LEX32" s="15"/>
      <c r="LFD32" s="25"/>
      <c r="LFK32" s="21"/>
      <c r="LFL32" s="21"/>
      <c r="LFP32" s="15"/>
      <c r="LFV32" s="25"/>
      <c r="LGC32" s="21"/>
      <c r="LGD32" s="21"/>
      <c r="LGH32" s="15"/>
      <c r="LGN32" s="25"/>
      <c r="LGU32" s="21"/>
      <c r="LGV32" s="21"/>
      <c r="LGZ32" s="15"/>
      <c r="LHF32" s="25"/>
      <c r="LHM32" s="21"/>
      <c r="LHN32" s="21"/>
      <c r="LHR32" s="15"/>
      <c r="LHX32" s="25"/>
      <c r="LIE32" s="21"/>
      <c r="LIF32" s="21"/>
      <c r="LIJ32" s="15"/>
      <c r="LIP32" s="25"/>
      <c r="LIW32" s="21"/>
      <c r="LIX32" s="21"/>
      <c r="LJB32" s="15"/>
      <c r="LJH32" s="25"/>
      <c r="LJO32" s="21"/>
      <c r="LJP32" s="21"/>
      <c r="LJT32" s="15"/>
      <c r="LJZ32" s="25"/>
      <c r="LKG32" s="21"/>
      <c r="LKH32" s="21"/>
      <c r="LKL32" s="15"/>
      <c r="LKR32" s="25"/>
      <c r="LKY32" s="21"/>
      <c r="LKZ32" s="21"/>
      <c r="LLD32" s="15"/>
      <c r="LLJ32" s="25"/>
      <c r="LLQ32" s="21"/>
      <c r="LLR32" s="21"/>
      <c r="LLV32" s="15"/>
      <c r="LMB32" s="25"/>
      <c r="LMI32" s="21"/>
      <c r="LMJ32" s="21"/>
      <c r="LMN32" s="15"/>
      <c r="LMT32" s="25"/>
      <c r="LNA32" s="21"/>
      <c r="LNB32" s="21"/>
      <c r="LNF32" s="15"/>
      <c r="LNL32" s="25"/>
      <c r="LNS32" s="21"/>
      <c r="LNT32" s="21"/>
      <c r="LNX32" s="15"/>
      <c r="LOD32" s="25"/>
      <c r="LOK32" s="21"/>
      <c r="LOL32" s="21"/>
      <c r="LOP32" s="15"/>
      <c r="LOV32" s="25"/>
      <c r="LPC32" s="21"/>
      <c r="LPD32" s="21"/>
      <c r="LPH32" s="15"/>
      <c r="LPN32" s="25"/>
      <c r="LPU32" s="21"/>
      <c r="LPV32" s="21"/>
      <c r="LPZ32" s="15"/>
      <c r="LQF32" s="25"/>
      <c r="LQM32" s="21"/>
      <c r="LQN32" s="21"/>
      <c r="LQR32" s="15"/>
      <c r="LQX32" s="25"/>
      <c r="LRE32" s="21"/>
      <c r="LRF32" s="21"/>
      <c r="LRJ32" s="15"/>
      <c r="LRP32" s="25"/>
      <c r="LRW32" s="21"/>
      <c r="LRX32" s="21"/>
      <c r="LSB32" s="15"/>
      <c r="LSH32" s="25"/>
      <c r="LSO32" s="21"/>
      <c r="LSP32" s="21"/>
      <c r="LST32" s="15"/>
      <c r="LSZ32" s="25"/>
      <c r="LTG32" s="21"/>
      <c r="LTH32" s="21"/>
      <c r="LTL32" s="15"/>
      <c r="LTR32" s="25"/>
      <c r="LTY32" s="21"/>
      <c r="LTZ32" s="21"/>
      <c r="LUD32" s="15"/>
      <c r="LUJ32" s="25"/>
      <c r="LUQ32" s="21"/>
      <c r="LUR32" s="21"/>
      <c r="LUV32" s="15"/>
      <c r="LVB32" s="25"/>
      <c r="LVI32" s="21"/>
      <c r="LVJ32" s="21"/>
      <c r="LVN32" s="15"/>
      <c r="LVT32" s="25"/>
      <c r="LWA32" s="21"/>
      <c r="LWB32" s="21"/>
      <c r="LWF32" s="15"/>
      <c r="LWL32" s="25"/>
      <c r="LWS32" s="21"/>
      <c r="LWT32" s="21"/>
      <c r="LWX32" s="15"/>
      <c r="LXD32" s="25"/>
      <c r="LXK32" s="21"/>
      <c r="LXL32" s="21"/>
      <c r="LXP32" s="15"/>
      <c r="LXV32" s="25"/>
      <c r="LYC32" s="21"/>
      <c r="LYD32" s="21"/>
      <c r="LYH32" s="15"/>
      <c r="LYN32" s="25"/>
      <c r="LYU32" s="21"/>
      <c r="LYV32" s="21"/>
      <c r="LYZ32" s="15"/>
      <c r="LZF32" s="25"/>
      <c r="LZM32" s="21"/>
      <c r="LZN32" s="21"/>
      <c r="LZR32" s="15"/>
      <c r="LZX32" s="25"/>
      <c r="MAE32" s="21"/>
      <c r="MAF32" s="21"/>
      <c r="MAJ32" s="15"/>
      <c r="MAP32" s="25"/>
      <c r="MAW32" s="21"/>
      <c r="MAX32" s="21"/>
      <c r="MBB32" s="15"/>
      <c r="MBH32" s="25"/>
      <c r="MBO32" s="21"/>
      <c r="MBP32" s="21"/>
      <c r="MBT32" s="15"/>
      <c r="MBZ32" s="25"/>
      <c r="MCG32" s="21"/>
      <c r="MCH32" s="21"/>
      <c r="MCL32" s="15"/>
      <c r="MCR32" s="25"/>
      <c r="MCY32" s="21"/>
      <c r="MCZ32" s="21"/>
      <c r="MDD32" s="15"/>
      <c r="MDJ32" s="25"/>
      <c r="MDQ32" s="21"/>
      <c r="MDR32" s="21"/>
      <c r="MDV32" s="15"/>
      <c r="MEB32" s="25"/>
      <c r="MEI32" s="21"/>
      <c r="MEJ32" s="21"/>
      <c r="MEN32" s="15"/>
      <c r="MET32" s="25"/>
      <c r="MFA32" s="21"/>
      <c r="MFB32" s="21"/>
      <c r="MFF32" s="15"/>
      <c r="MFL32" s="25"/>
      <c r="MFS32" s="21"/>
      <c r="MFT32" s="21"/>
      <c r="MFX32" s="15"/>
      <c r="MGD32" s="25"/>
      <c r="MGK32" s="21"/>
      <c r="MGL32" s="21"/>
      <c r="MGP32" s="15"/>
      <c r="MGV32" s="25"/>
      <c r="MHC32" s="21"/>
      <c r="MHD32" s="21"/>
      <c r="MHH32" s="15"/>
      <c r="MHN32" s="25"/>
      <c r="MHU32" s="21"/>
      <c r="MHV32" s="21"/>
      <c r="MHZ32" s="15"/>
      <c r="MIF32" s="25"/>
      <c r="MIM32" s="21"/>
      <c r="MIN32" s="21"/>
      <c r="MIR32" s="15"/>
      <c r="MIX32" s="25"/>
      <c r="MJE32" s="21"/>
      <c r="MJF32" s="21"/>
      <c r="MJJ32" s="15"/>
      <c r="MJP32" s="25"/>
      <c r="MJW32" s="21"/>
      <c r="MJX32" s="21"/>
      <c r="MKB32" s="15"/>
      <c r="MKH32" s="25"/>
      <c r="MKO32" s="21"/>
      <c r="MKP32" s="21"/>
      <c r="MKT32" s="15"/>
      <c r="MKZ32" s="25"/>
      <c r="MLG32" s="21"/>
      <c r="MLH32" s="21"/>
      <c r="MLL32" s="15"/>
      <c r="MLR32" s="25"/>
      <c r="MLY32" s="21"/>
      <c r="MLZ32" s="21"/>
      <c r="MMD32" s="15"/>
      <c r="MMJ32" s="25"/>
      <c r="MMQ32" s="21"/>
      <c r="MMR32" s="21"/>
      <c r="MMV32" s="15"/>
      <c r="MNB32" s="25"/>
      <c r="MNI32" s="21"/>
      <c r="MNJ32" s="21"/>
      <c r="MNN32" s="15"/>
      <c r="MNT32" s="25"/>
      <c r="MOA32" s="21"/>
      <c r="MOB32" s="21"/>
      <c r="MOF32" s="15"/>
      <c r="MOL32" s="25"/>
      <c r="MOS32" s="21"/>
      <c r="MOT32" s="21"/>
      <c r="MOX32" s="15"/>
      <c r="MPD32" s="25"/>
      <c r="MPK32" s="21"/>
      <c r="MPL32" s="21"/>
      <c r="MPP32" s="15"/>
      <c r="MPV32" s="25"/>
      <c r="MQC32" s="21"/>
      <c r="MQD32" s="21"/>
      <c r="MQH32" s="15"/>
      <c r="MQN32" s="25"/>
      <c r="MQU32" s="21"/>
      <c r="MQV32" s="21"/>
      <c r="MQZ32" s="15"/>
      <c r="MRF32" s="25"/>
      <c r="MRM32" s="21"/>
      <c r="MRN32" s="21"/>
      <c r="MRR32" s="15"/>
      <c r="MRX32" s="25"/>
      <c r="MSE32" s="21"/>
      <c r="MSF32" s="21"/>
      <c r="MSJ32" s="15"/>
      <c r="MSP32" s="25"/>
      <c r="MSW32" s="21"/>
      <c r="MSX32" s="21"/>
      <c r="MTB32" s="15"/>
      <c r="MTH32" s="25"/>
      <c r="MTO32" s="21"/>
      <c r="MTP32" s="21"/>
      <c r="MTT32" s="15"/>
      <c r="MTZ32" s="25"/>
      <c r="MUG32" s="21"/>
      <c r="MUH32" s="21"/>
      <c r="MUL32" s="15"/>
      <c r="MUR32" s="25"/>
      <c r="MUY32" s="21"/>
      <c r="MUZ32" s="21"/>
      <c r="MVD32" s="15"/>
      <c r="MVJ32" s="25"/>
      <c r="MVQ32" s="21"/>
      <c r="MVR32" s="21"/>
      <c r="MVV32" s="15"/>
      <c r="MWB32" s="25"/>
      <c r="MWI32" s="21"/>
      <c r="MWJ32" s="21"/>
      <c r="MWN32" s="15"/>
      <c r="MWT32" s="25"/>
      <c r="MXA32" s="21"/>
      <c r="MXB32" s="21"/>
      <c r="MXF32" s="15"/>
      <c r="MXL32" s="25"/>
      <c r="MXS32" s="21"/>
      <c r="MXT32" s="21"/>
      <c r="MXX32" s="15"/>
      <c r="MYD32" s="25"/>
      <c r="MYK32" s="21"/>
      <c r="MYL32" s="21"/>
      <c r="MYP32" s="15"/>
      <c r="MYV32" s="25"/>
      <c r="MZC32" s="21"/>
      <c r="MZD32" s="21"/>
      <c r="MZH32" s="15"/>
      <c r="MZN32" s="25"/>
      <c r="MZU32" s="21"/>
      <c r="MZV32" s="21"/>
      <c r="MZZ32" s="15"/>
      <c r="NAF32" s="25"/>
      <c r="NAM32" s="21"/>
      <c r="NAN32" s="21"/>
      <c r="NAR32" s="15"/>
      <c r="NAX32" s="25"/>
      <c r="NBE32" s="21"/>
      <c r="NBF32" s="21"/>
      <c r="NBJ32" s="15"/>
      <c r="NBP32" s="25"/>
      <c r="NBW32" s="21"/>
      <c r="NBX32" s="21"/>
      <c r="NCB32" s="15"/>
      <c r="NCH32" s="25"/>
      <c r="NCO32" s="21"/>
      <c r="NCP32" s="21"/>
      <c r="NCT32" s="15"/>
      <c r="NCZ32" s="25"/>
      <c r="NDG32" s="21"/>
      <c r="NDH32" s="21"/>
      <c r="NDL32" s="15"/>
      <c r="NDR32" s="25"/>
      <c r="NDY32" s="21"/>
      <c r="NDZ32" s="21"/>
      <c r="NED32" s="15"/>
      <c r="NEJ32" s="25"/>
      <c r="NEQ32" s="21"/>
      <c r="NER32" s="21"/>
      <c r="NEV32" s="15"/>
      <c r="NFB32" s="25"/>
      <c r="NFI32" s="21"/>
      <c r="NFJ32" s="21"/>
      <c r="NFN32" s="15"/>
      <c r="NFT32" s="25"/>
      <c r="NGA32" s="21"/>
      <c r="NGB32" s="21"/>
      <c r="NGF32" s="15"/>
      <c r="NGL32" s="25"/>
      <c r="NGS32" s="21"/>
      <c r="NGT32" s="21"/>
      <c r="NGX32" s="15"/>
      <c r="NHD32" s="25"/>
      <c r="NHK32" s="21"/>
      <c r="NHL32" s="21"/>
      <c r="NHP32" s="15"/>
      <c r="NHV32" s="25"/>
      <c r="NIC32" s="21"/>
      <c r="NID32" s="21"/>
      <c r="NIH32" s="15"/>
      <c r="NIN32" s="25"/>
      <c r="NIU32" s="21"/>
      <c r="NIV32" s="21"/>
      <c r="NIZ32" s="15"/>
      <c r="NJF32" s="25"/>
      <c r="NJM32" s="21"/>
      <c r="NJN32" s="21"/>
      <c r="NJR32" s="15"/>
      <c r="NJX32" s="25"/>
      <c r="NKE32" s="21"/>
      <c r="NKF32" s="21"/>
      <c r="NKJ32" s="15"/>
      <c r="NKP32" s="25"/>
      <c r="NKW32" s="21"/>
      <c r="NKX32" s="21"/>
      <c r="NLB32" s="15"/>
      <c r="NLH32" s="25"/>
      <c r="NLO32" s="21"/>
      <c r="NLP32" s="21"/>
      <c r="NLT32" s="15"/>
      <c r="NLZ32" s="25"/>
      <c r="NMG32" s="21"/>
      <c r="NMH32" s="21"/>
      <c r="NML32" s="15"/>
      <c r="NMR32" s="25"/>
      <c r="NMY32" s="21"/>
      <c r="NMZ32" s="21"/>
      <c r="NND32" s="15"/>
      <c r="NNJ32" s="25"/>
      <c r="NNQ32" s="21"/>
      <c r="NNR32" s="21"/>
      <c r="NNV32" s="15"/>
      <c r="NOB32" s="25"/>
      <c r="NOI32" s="21"/>
      <c r="NOJ32" s="21"/>
      <c r="NON32" s="15"/>
      <c r="NOT32" s="25"/>
      <c r="NPA32" s="21"/>
      <c r="NPB32" s="21"/>
      <c r="NPF32" s="15"/>
      <c r="NPL32" s="25"/>
      <c r="NPS32" s="21"/>
      <c r="NPT32" s="21"/>
      <c r="NPX32" s="15"/>
      <c r="NQD32" s="25"/>
      <c r="NQK32" s="21"/>
      <c r="NQL32" s="21"/>
      <c r="NQP32" s="15"/>
      <c r="NQV32" s="25"/>
      <c r="NRC32" s="21"/>
      <c r="NRD32" s="21"/>
      <c r="NRH32" s="15"/>
      <c r="NRN32" s="25"/>
      <c r="NRU32" s="21"/>
      <c r="NRV32" s="21"/>
      <c r="NRZ32" s="15"/>
      <c r="NSF32" s="25"/>
      <c r="NSM32" s="21"/>
      <c r="NSN32" s="21"/>
      <c r="NSR32" s="15"/>
      <c r="NSX32" s="25"/>
      <c r="NTE32" s="21"/>
      <c r="NTF32" s="21"/>
      <c r="NTJ32" s="15"/>
      <c r="NTP32" s="25"/>
      <c r="NTW32" s="21"/>
      <c r="NTX32" s="21"/>
      <c r="NUB32" s="15"/>
      <c r="NUH32" s="25"/>
      <c r="NUO32" s="21"/>
      <c r="NUP32" s="21"/>
      <c r="NUT32" s="15"/>
      <c r="NUZ32" s="25"/>
      <c r="NVG32" s="21"/>
      <c r="NVH32" s="21"/>
      <c r="NVL32" s="15"/>
      <c r="NVR32" s="25"/>
      <c r="NVY32" s="21"/>
      <c r="NVZ32" s="21"/>
      <c r="NWD32" s="15"/>
      <c r="NWJ32" s="25"/>
      <c r="NWQ32" s="21"/>
      <c r="NWR32" s="21"/>
      <c r="NWV32" s="15"/>
      <c r="NXB32" s="25"/>
      <c r="NXI32" s="21"/>
      <c r="NXJ32" s="21"/>
      <c r="NXN32" s="15"/>
      <c r="NXT32" s="25"/>
      <c r="NYA32" s="21"/>
      <c r="NYB32" s="21"/>
      <c r="NYF32" s="15"/>
      <c r="NYL32" s="25"/>
      <c r="NYS32" s="21"/>
      <c r="NYT32" s="21"/>
      <c r="NYX32" s="15"/>
      <c r="NZD32" s="25"/>
      <c r="NZK32" s="21"/>
      <c r="NZL32" s="21"/>
      <c r="NZP32" s="15"/>
      <c r="NZV32" s="25"/>
      <c r="OAC32" s="21"/>
      <c r="OAD32" s="21"/>
      <c r="OAH32" s="15"/>
      <c r="OAN32" s="25"/>
      <c r="OAU32" s="21"/>
      <c r="OAV32" s="21"/>
      <c r="OAZ32" s="15"/>
      <c r="OBF32" s="25"/>
      <c r="OBM32" s="21"/>
      <c r="OBN32" s="21"/>
      <c r="OBR32" s="15"/>
      <c r="OBX32" s="25"/>
      <c r="OCE32" s="21"/>
      <c r="OCF32" s="21"/>
      <c r="OCJ32" s="15"/>
      <c r="OCP32" s="25"/>
      <c r="OCW32" s="21"/>
      <c r="OCX32" s="21"/>
      <c r="ODB32" s="15"/>
      <c r="ODH32" s="25"/>
      <c r="ODO32" s="21"/>
      <c r="ODP32" s="21"/>
      <c r="ODT32" s="15"/>
      <c r="ODZ32" s="25"/>
      <c r="OEG32" s="21"/>
      <c r="OEH32" s="21"/>
      <c r="OEL32" s="15"/>
      <c r="OER32" s="25"/>
      <c r="OEY32" s="21"/>
      <c r="OEZ32" s="21"/>
      <c r="OFD32" s="15"/>
      <c r="OFJ32" s="25"/>
      <c r="OFQ32" s="21"/>
      <c r="OFR32" s="21"/>
      <c r="OFV32" s="15"/>
      <c r="OGB32" s="25"/>
      <c r="OGI32" s="21"/>
      <c r="OGJ32" s="21"/>
      <c r="OGN32" s="15"/>
      <c r="OGT32" s="25"/>
      <c r="OHA32" s="21"/>
      <c r="OHB32" s="21"/>
      <c r="OHF32" s="15"/>
      <c r="OHL32" s="25"/>
      <c r="OHS32" s="21"/>
      <c r="OHT32" s="21"/>
      <c r="OHX32" s="15"/>
      <c r="OID32" s="25"/>
      <c r="OIK32" s="21"/>
      <c r="OIL32" s="21"/>
      <c r="OIP32" s="15"/>
      <c r="OIV32" s="25"/>
      <c r="OJC32" s="21"/>
      <c r="OJD32" s="21"/>
      <c r="OJH32" s="15"/>
      <c r="OJN32" s="25"/>
      <c r="OJU32" s="21"/>
      <c r="OJV32" s="21"/>
      <c r="OJZ32" s="15"/>
      <c r="OKF32" s="25"/>
      <c r="OKM32" s="21"/>
      <c r="OKN32" s="21"/>
      <c r="OKR32" s="15"/>
      <c r="OKX32" s="25"/>
      <c r="OLE32" s="21"/>
      <c r="OLF32" s="21"/>
      <c r="OLJ32" s="15"/>
      <c r="OLP32" s="25"/>
      <c r="OLW32" s="21"/>
      <c r="OLX32" s="21"/>
      <c r="OMB32" s="15"/>
      <c r="OMH32" s="25"/>
      <c r="OMO32" s="21"/>
      <c r="OMP32" s="21"/>
      <c r="OMT32" s="15"/>
      <c r="OMZ32" s="25"/>
      <c r="ONG32" s="21"/>
      <c r="ONH32" s="21"/>
      <c r="ONL32" s="15"/>
      <c r="ONR32" s="25"/>
      <c r="ONY32" s="21"/>
      <c r="ONZ32" s="21"/>
      <c r="OOD32" s="15"/>
      <c r="OOJ32" s="25"/>
      <c r="OOQ32" s="21"/>
      <c r="OOR32" s="21"/>
      <c r="OOV32" s="15"/>
      <c r="OPB32" s="25"/>
      <c r="OPI32" s="21"/>
      <c r="OPJ32" s="21"/>
      <c r="OPN32" s="15"/>
      <c r="OPT32" s="25"/>
      <c r="OQA32" s="21"/>
      <c r="OQB32" s="21"/>
      <c r="OQF32" s="15"/>
      <c r="OQL32" s="25"/>
      <c r="OQS32" s="21"/>
      <c r="OQT32" s="21"/>
      <c r="OQX32" s="15"/>
      <c r="ORD32" s="25"/>
      <c r="ORK32" s="21"/>
      <c r="ORL32" s="21"/>
      <c r="ORP32" s="15"/>
      <c r="ORV32" s="25"/>
      <c r="OSC32" s="21"/>
      <c r="OSD32" s="21"/>
      <c r="OSH32" s="15"/>
      <c r="OSN32" s="25"/>
      <c r="OSU32" s="21"/>
      <c r="OSV32" s="21"/>
      <c r="OSZ32" s="15"/>
      <c r="OTF32" s="25"/>
      <c r="OTM32" s="21"/>
      <c r="OTN32" s="21"/>
      <c r="OTR32" s="15"/>
      <c r="OTX32" s="25"/>
      <c r="OUE32" s="21"/>
      <c r="OUF32" s="21"/>
      <c r="OUJ32" s="15"/>
      <c r="OUP32" s="25"/>
      <c r="OUW32" s="21"/>
      <c r="OUX32" s="21"/>
      <c r="OVB32" s="15"/>
      <c r="OVH32" s="25"/>
      <c r="OVO32" s="21"/>
      <c r="OVP32" s="21"/>
      <c r="OVT32" s="15"/>
      <c r="OVZ32" s="25"/>
      <c r="OWG32" s="21"/>
      <c r="OWH32" s="21"/>
      <c r="OWL32" s="15"/>
      <c r="OWR32" s="25"/>
      <c r="OWY32" s="21"/>
      <c r="OWZ32" s="21"/>
      <c r="OXD32" s="15"/>
      <c r="OXJ32" s="25"/>
      <c r="OXQ32" s="21"/>
      <c r="OXR32" s="21"/>
      <c r="OXV32" s="15"/>
      <c r="OYB32" s="25"/>
      <c r="OYI32" s="21"/>
      <c r="OYJ32" s="21"/>
      <c r="OYN32" s="15"/>
      <c r="OYT32" s="25"/>
      <c r="OZA32" s="21"/>
      <c r="OZB32" s="21"/>
      <c r="OZF32" s="15"/>
      <c r="OZL32" s="25"/>
      <c r="OZS32" s="21"/>
      <c r="OZT32" s="21"/>
      <c r="OZX32" s="15"/>
      <c r="PAD32" s="25"/>
      <c r="PAK32" s="21"/>
      <c r="PAL32" s="21"/>
      <c r="PAP32" s="15"/>
      <c r="PAV32" s="25"/>
      <c r="PBC32" s="21"/>
      <c r="PBD32" s="21"/>
      <c r="PBH32" s="15"/>
      <c r="PBN32" s="25"/>
      <c r="PBU32" s="21"/>
      <c r="PBV32" s="21"/>
      <c r="PBZ32" s="15"/>
      <c r="PCF32" s="25"/>
      <c r="PCM32" s="21"/>
      <c r="PCN32" s="21"/>
      <c r="PCR32" s="15"/>
      <c r="PCX32" s="25"/>
      <c r="PDE32" s="21"/>
      <c r="PDF32" s="21"/>
      <c r="PDJ32" s="15"/>
      <c r="PDP32" s="25"/>
      <c r="PDW32" s="21"/>
      <c r="PDX32" s="21"/>
      <c r="PEB32" s="15"/>
      <c r="PEH32" s="25"/>
      <c r="PEO32" s="21"/>
      <c r="PEP32" s="21"/>
      <c r="PET32" s="15"/>
      <c r="PEZ32" s="25"/>
      <c r="PFG32" s="21"/>
      <c r="PFH32" s="21"/>
      <c r="PFL32" s="15"/>
      <c r="PFR32" s="25"/>
      <c r="PFY32" s="21"/>
      <c r="PFZ32" s="21"/>
      <c r="PGD32" s="15"/>
      <c r="PGJ32" s="25"/>
      <c r="PGQ32" s="21"/>
      <c r="PGR32" s="21"/>
      <c r="PGV32" s="15"/>
      <c r="PHB32" s="25"/>
      <c r="PHI32" s="21"/>
      <c r="PHJ32" s="21"/>
      <c r="PHN32" s="15"/>
      <c r="PHT32" s="25"/>
      <c r="PIA32" s="21"/>
      <c r="PIB32" s="21"/>
      <c r="PIF32" s="15"/>
      <c r="PIL32" s="25"/>
      <c r="PIS32" s="21"/>
      <c r="PIT32" s="21"/>
      <c r="PIX32" s="15"/>
      <c r="PJD32" s="25"/>
      <c r="PJK32" s="21"/>
      <c r="PJL32" s="21"/>
      <c r="PJP32" s="15"/>
      <c r="PJV32" s="25"/>
      <c r="PKC32" s="21"/>
      <c r="PKD32" s="21"/>
      <c r="PKH32" s="15"/>
      <c r="PKN32" s="25"/>
      <c r="PKU32" s="21"/>
      <c r="PKV32" s="21"/>
      <c r="PKZ32" s="15"/>
      <c r="PLF32" s="25"/>
      <c r="PLM32" s="21"/>
      <c r="PLN32" s="21"/>
      <c r="PLR32" s="15"/>
      <c r="PLX32" s="25"/>
      <c r="PME32" s="21"/>
      <c r="PMF32" s="21"/>
      <c r="PMJ32" s="15"/>
      <c r="PMP32" s="25"/>
      <c r="PMW32" s="21"/>
      <c r="PMX32" s="21"/>
      <c r="PNB32" s="15"/>
      <c r="PNH32" s="25"/>
      <c r="PNO32" s="21"/>
      <c r="PNP32" s="21"/>
      <c r="PNT32" s="15"/>
      <c r="PNZ32" s="25"/>
      <c r="POG32" s="21"/>
      <c r="POH32" s="21"/>
      <c r="POL32" s="15"/>
      <c r="POR32" s="25"/>
      <c r="POY32" s="21"/>
      <c r="POZ32" s="21"/>
      <c r="PPD32" s="15"/>
      <c r="PPJ32" s="25"/>
      <c r="PPQ32" s="21"/>
      <c r="PPR32" s="21"/>
      <c r="PPV32" s="15"/>
      <c r="PQB32" s="25"/>
      <c r="PQI32" s="21"/>
      <c r="PQJ32" s="21"/>
      <c r="PQN32" s="15"/>
      <c r="PQT32" s="25"/>
      <c r="PRA32" s="21"/>
      <c r="PRB32" s="21"/>
      <c r="PRF32" s="15"/>
      <c r="PRL32" s="25"/>
      <c r="PRS32" s="21"/>
      <c r="PRT32" s="21"/>
      <c r="PRX32" s="15"/>
      <c r="PSD32" s="25"/>
      <c r="PSK32" s="21"/>
      <c r="PSL32" s="21"/>
      <c r="PSP32" s="15"/>
      <c r="PSV32" s="25"/>
      <c r="PTC32" s="21"/>
      <c r="PTD32" s="21"/>
      <c r="PTH32" s="15"/>
      <c r="PTN32" s="25"/>
      <c r="PTU32" s="21"/>
      <c r="PTV32" s="21"/>
      <c r="PTZ32" s="15"/>
      <c r="PUF32" s="25"/>
      <c r="PUM32" s="21"/>
      <c r="PUN32" s="21"/>
      <c r="PUR32" s="15"/>
      <c r="PUX32" s="25"/>
      <c r="PVE32" s="21"/>
      <c r="PVF32" s="21"/>
      <c r="PVJ32" s="15"/>
      <c r="PVP32" s="25"/>
      <c r="PVW32" s="21"/>
      <c r="PVX32" s="21"/>
      <c r="PWB32" s="15"/>
      <c r="PWH32" s="25"/>
      <c r="PWO32" s="21"/>
      <c r="PWP32" s="21"/>
      <c r="PWT32" s="15"/>
      <c r="PWZ32" s="25"/>
      <c r="PXG32" s="21"/>
      <c r="PXH32" s="21"/>
      <c r="PXL32" s="15"/>
      <c r="PXR32" s="25"/>
      <c r="PXY32" s="21"/>
      <c r="PXZ32" s="21"/>
      <c r="PYD32" s="15"/>
      <c r="PYJ32" s="25"/>
      <c r="PYQ32" s="21"/>
      <c r="PYR32" s="21"/>
      <c r="PYV32" s="15"/>
      <c r="PZB32" s="25"/>
      <c r="PZI32" s="21"/>
      <c r="PZJ32" s="21"/>
      <c r="PZN32" s="15"/>
      <c r="PZT32" s="25"/>
      <c r="QAA32" s="21"/>
      <c r="QAB32" s="21"/>
      <c r="QAF32" s="15"/>
      <c r="QAL32" s="25"/>
      <c r="QAS32" s="21"/>
      <c r="QAT32" s="21"/>
      <c r="QAX32" s="15"/>
      <c r="QBD32" s="25"/>
      <c r="QBK32" s="21"/>
      <c r="QBL32" s="21"/>
      <c r="QBP32" s="15"/>
      <c r="QBV32" s="25"/>
      <c r="QCC32" s="21"/>
      <c r="QCD32" s="21"/>
      <c r="QCH32" s="15"/>
      <c r="QCN32" s="25"/>
      <c r="QCU32" s="21"/>
      <c r="QCV32" s="21"/>
      <c r="QCZ32" s="15"/>
      <c r="QDF32" s="25"/>
      <c r="QDM32" s="21"/>
      <c r="QDN32" s="21"/>
      <c r="QDR32" s="15"/>
      <c r="QDX32" s="25"/>
      <c r="QEE32" s="21"/>
      <c r="QEF32" s="21"/>
      <c r="QEJ32" s="15"/>
      <c r="QEP32" s="25"/>
      <c r="QEW32" s="21"/>
      <c r="QEX32" s="21"/>
      <c r="QFB32" s="15"/>
      <c r="QFH32" s="25"/>
      <c r="QFO32" s="21"/>
      <c r="QFP32" s="21"/>
      <c r="QFT32" s="15"/>
      <c r="QFZ32" s="25"/>
      <c r="QGG32" s="21"/>
      <c r="QGH32" s="21"/>
      <c r="QGL32" s="15"/>
      <c r="QGR32" s="25"/>
      <c r="QGY32" s="21"/>
      <c r="QGZ32" s="21"/>
      <c r="QHD32" s="15"/>
      <c r="QHJ32" s="25"/>
      <c r="QHQ32" s="21"/>
      <c r="QHR32" s="21"/>
      <c r="QHV32" s="15"/>
      <c r="QIB32" s="25"/>
      <c r="QII32" s="21"/>
      <c r="QIJ32" s="21"/>
      <c r="QIN32" s="15"/>
      <c r="QIT32" s="25"/>
      <c r="QJA32" s="21"/>
      <c r="QJB32" s="21"/>
      <c r="QJF32" s="15"/>
      <c r="QJL32" s="25"/>
      <c r="QJS32" s="21"/>
      <c r="QJT32" s="21"/>
      <c r="QJX32" s="15"/>
      <c r="QKD32" s="25"/>
      <c r="QKK32" s="21"/>
      <c r="QKL32" s="21"/>
      <c r="QKP32" s="15"/>
      <c r="QKV32" s="25"/>
      <c r="QLC32" s="21"/>
      <c r="QLD32" s="21"/>
      <c r="QLH32" s="15"/>
      <c r="QLN32" s="25"/>
      <c r="QLU32" s="21"/>
      <c r="QLV32" s="21"/>
      <c r="QLZ32" s="15"/>
      <c r="QMF32" s="25"/>
      <c r="QMM32" s="21"/>
      <c r="QMN32" s="21"/>
      <c r="QMR32" s="15"/>
      <c r="QMX32" s="25"/>
      <c r="QNE32" s="21"/>
      <c r="QNF32" s="21"/>
      <c r="QNJ32" s="15"/>
      <c r="QNP32" s="25"/>
      <c r="QNW32" s="21"/>
      <c r="QNX32" s="21"/>
      <c r="QOB32" s="15"/>
      <c r="QOH32" s="25"/>
      <c r="QOO32" s="21"/>
      <c r="QOP32" s="21"/>
      <c r="QOT32" s="15"/>
      <c r="QOZ32" s="25"/>
      <c r="QPG32" s="21"/>
      <c r="QPH32" s="21"/>
      <c r="QPL32" s="15"/>
      <c r="QPR32" s="25"/>
      <c r="QPY32" s="21"/>
      <c r="QPZ32" s="21"/>
      <c r="QQD32" s="15"/>
      <c r="QQJ32" s="25"/>
      <c r="QQQ32" s="21"/>
      <c r="QQR32" s="21"/>
      <c r="QQV32" s="15"/>
      <c r="QRB32" s="25"/>
      <c r="QRI32" s="21"/>
      <c r="QRJ32" s="21"/>
      <c r="QRN32" s="15"/>
      <c r="QRT32" s="25"/>
      <c r="QSA32" s="21"/>
      <c r="QSB32" s="21"/>
      <c r="QSF32" s="15"/>
      <c r="QSL32" s="25"/>
      <c r="QSS32" s="21"/>
      <c r="QST32" s="21"/>
      <c r="QSX32" s="15"/>
      <c r="QTD32" s="25"/>
      <c r="QTK32" s="21"/>
      <c r="QTL32" s="21"/>
      <c r="QTP32" s="15"/>
      <c r="QTV32" s="25"/>
      <c r="QUC32" s="21"/>
      <c r="QUD32" s="21"/>
      <c r="QUH32" s="15"/>
      <c r="QUN32" s="25"/>
      <c r="QUU32" s="21"/>
      <c r="QUV32" s="21"/>
      <c r="QUZ32" s="15"/>
      <c r="QVF32" s="25"/>
      <c r="QVM32" s="21"/>
      <c r="QVN32" s="21"/>
      <c r="QVR32" s="15"/>
      <c r="QVX32" s="25"/>
      <c r="QWE32" s="21"/>
      <c r="QWF32" s="21"/>
      <c r="QWJ32" s="15"/>
      <c r="QWP32" s="25"/>
      <c r="QWW32" s="21"/>
      <c r="QWX32" s="21"/>
      <c r="QXB32" s="15"/>
      <c r="QXH32" s="25"/>
      <c r="QXO32" s="21"/>
      <c r="QXP32" s="21"/>
      <c r="QXT32" s="15"/>
      <c r="QXZ32" s="25"/>
      <c r="QYG32" s="21"/>
      <c r="QYH32" s="21"/>
      <c r="QYL32" s="15"/>
      <c r="QYR32" s="25"/>
      <c r="QYY32" s="21"/>
      <c r="QYZ32" s="21"/>
      <c r="QZD32" s="15"/>
      <c r="QZJ32" s="25"/>
      <c r="QZQ32" s="21"/>
      <c r="QZR32" s="21"/>
      <c r="QZV32" s="15"/>
      <c r="RAB32" s="25"/>
      <c r="RAI32" s="21"/>
      <c r="RAJ32" s="21"/>
      <c r="RAN32" s="15"/>
      <c r="RAT32" s="25"/>
      <c r="RBA32" s="21"/>
      <c r="RBB32" s="21"/>
      <c r="RBF32" s="15"/>
      <c r="RBL32" s="25"/>
      <c r="RBS32" s="21"/>
      <c r="RBT32" s="21"/>
      <c r="RBX32" s="15"/>
      <c r="RCD32" s="25"/>
      <c r="RCK32" s="21"/>
      <c r="RCL32" s="21"/>
      <c r="RCP32" s="15"/>
      <c r="RCV32" s="25"/>
      <c r="RDC32" s="21"/>
      <c r="RDD32" s="21"/>
      <c r="RDH32" s="15"/>
      <c r="RDN32" s="25"/>
      <c r="RDU32" s="21"/>
      <c r="RDV32" s="21"/>
      <c r="RDZ32" s="15"/>
      <c r="REF32" s="25"/>
      <c r="REM32" s="21"/>
      <c r="REN32" s="21"/>
      <c r="RER32" s="15"/>
      <c r="REX32" s="25"/>
      <c r="RFE32" s="21"/>
      <c r="RFF32" s="21"/>
      <c r="RFJ32" s="15"/>
      <c r="RFP32" s="25"/>
      <c r="RFW32" s="21"/>
      <c r="RFX32" s="21"/>
      <c r="RGB32" s="15"/>
      <c r="RGH32" s="25"/>
      <c r="RGO32" s="21"/>
      <c r="RGP32" s="21"/>
      <c r="RGT32" s="15"/>
      <c r="RGZ32" s="25"/>
      <c r="RHG32" s="21"/>
      <c r="RHH32" s="21"/>
      <c r="RHL32" s="15"/>
      <c r="RHR32" s="25"/>
      <c r="RHY32" s="21"/>
      <c r="RHZ32" s="21"/>
      <c r="RID32" s="15"/>
      <c r="RIJ32" s="25"/>
      <c r="RIQ32" s="21"/>
      <c r="RIR32" s="21"/>
      <c r="RIV32" s="15"/>
      <c r="RJB32" s="25"/>
      <c r="RJI32" s="21"/>
      <c r="RJJ32" s="21"/>
      <c r="RJN32" s="15"/>
      <c r="RJT32" s="25"/>
      <c r="RKA32" s="21"/>
      <c r="RKB32" s="21"/>
      <c r="RKF32" s="15"/>
      <c r="RKL32" s="25"/>
      <c r="RKS32" s="21"/>
      <c r="RKT32" s="21"/>
      <c r="RKX32" s="15"/>
      <c r="RLD32" s="25"/>
      <c r="RLK32" s="21"/>
      <c r="RLL32" s="21"/>
      <c r="RLP32" s="15"/>
      <c r="RLV32" s="25"/>
      <c r="RMC32" s="21"/>
      <c r="RMD32" s="21"/>
      <c r="RMH32" s="15"/>
      <c r="RMN32" s="25"/>
      <c r="RMU32" s="21"/>
      <c r="RMV32" s="21"/>
      <c r="RMZ32" s="15"/>
      <c r="RNF32" s="25"/>
      <c r="RNM32" s="21"/>
      <c r="RNN32" s="21"/>
      <c r="RNR32" s="15"/>
      <c r="RNX32" s="25"/>
      <c r="ROE32" s="21"/>
      <c r="ROF32" s="21"/>
      <c r="ROJ32" s="15"/>
      <c r="ROP32" s="25"/>
      <c r="ROW32" s="21"/>
      <c r="ROX32" s="21"/>
      <c r="RPB32" s="15"/>
      <c r="RPH32" s="25"/>
      <c r="RPO32" s="21"/>
      <c r="RPP32" s="21"/>
      <c r="RPT32" s="15"/>
      <c r="RPZ32" s="25"/>
      <c r="RQG32" s="21"/>
      <c r="RQH32" s="21"/>
      <c r="RQL32" s="15"/>
      <c r="RQR32" s="25"/>
      <c r="RQY32" s="21"/>
      <c r="RQZ32" s="21"/>
      <c r="RRD32" s="15"/>
      <c r="RRJ32" s="25"/>
      <c r="RRQ32" s="21"/>
      <c r="RRR32" s="21"/>
      <c r="RRV32" s="15"/>
      <c r="RSB32" s="25"/>
      <c r="RSI32" s="21"/>
      <c r="RSJ32" s="21"/>
      <c r="RSN32" s="15"/>
      <c r="RST32" s="25"/>
      <c r="RTA32" s="21"/>
      <c r="RTB32" s="21"/>
      <c r="RTF32" s="15"/>
      <c r="RTL32" s="25"/>
      <c r="RTS32" s="21"/>
      <c r="RTT32" s="21"/>
      <c r="RTX32" s="15"/>
      <c r="RUD32" s="25"/>
      <c r="RUK32" s="21"/>
      <c r="RUL32" s="21"/>
      <c r="RUP32" s="15"/>
      <c r="RUV32" s="25"/>
      <c r="RVC32" s="21"/>
      <c r="RVD32" s="21"/>
      <c r="RVH32" s="15"/>
      <c r="RVN32" s="25"/>
      <c r="RVU32" s="21"/>
      <c r="RVV32" s="21"/>
      <c r="RVZ32" s="15"/>
      <c r="RWF32" s="25"/>
      <c r="RWM32" s="21"/>
      <c r="RWN32" s="21"/>
      <c r="RWR32" s="15"/>
      <c r="RWX32" s="25"/>
      <c r="RXE32" s="21"/>
      <c r="RXF32" s="21"/>
      <c r="RXJ32" s="15"/>
      <c r="RXP32" s="25"/>
      <c r="RXW32" s="21"/>
      <c r="RXX32" s="21"/>
      <c r="RYB32" s="15"/>
      <c r="RYH32" s="25"/>
      <c r="RYO32" s="21"/>
      <c r="RYP32" s="21"/>
      <c r="RYT32" s="15"/>
      <c r="RYZ32" s="25"/>
      <c r="RZG32" s="21"/>
      <c r="RZH32" s="21"/>
      <c r="RZL32" s="15"/>
      <c r="RZR32" s="25"/>
      <c r="RZY32" s="21"/>
      <c r="RZZ32" s="21"/>
      <c r="SAD32" s="15"/>
      <c r="SAJ32" s="25"/>
      <c r="SAQ32" s="21"/>
      <c r="SAR32" s="21"/>
      <c r="SAV32" s="15"/>
      <c r="SBB32" s="25"/>
      <c r="SBI32" s="21"/>
      <c r="SBJ32" s="21"/>
      <c r="SBN32" s="15"/>
      <c r="SBT32" s="25"/>
      <c r="SCA32" s="21"/>
      <c r="SCB32" s="21"/>
      <c r="SCF32" s="15"/>
      <c r="SCL32" s="25"/>
      <c r="SCS32" s="21"/>
      <c r="SCT32" s="21"/>
      <c r="SCX32" s="15"/>
      <c r="SDD32" s="25"/>
      <c r="SDK32" s="21"/>
      <c r="SDL32" s="21"/>
      <c r="SDP32" s="15"/>
      <c r="SDV32" s="25"/>
      <c r="SEC32" s="21"/>
      <c r="SED32" s="21"/>
      <c r="SEH32" s="15"/>
      <c r="SEN32" s="25"/>
      <c r="SEU32" s="21"/>
      <c r="SEV32" s="21"/>
      <c r="SEZ32" s="15"/>
      <c r="SFF32" s="25"/>
      <c r="SFM32" s="21"/>
      <c r="SFN32" s="21"/>
      <c r="SFR32" s="15"/>
      <c r="SFX32" s="25"/>
      <c r="SGE32" s="21"/>
      <c r="SGF32" s="21"/>
      <c r="SGJ32" s="15"/>
      <c r="SGP32" s="25"/>
      <c r="SGW32" s="21"/>
      <c r="SGX32" s="21"/>
      <c r="SHB32" s="15"/>
      <c r="SHH32" s="25"/>
      <c r="SHO32" s="21"/>
      <c r="SHP32" s="21"/>
      <c r="SHT32" s="15"/>
      <c r="SHZ32" s="25"/>
      <c r="SIG32" s="21"/>
      <c r="SIH32" s="21"/>
      <c r="SIL32" s="15"/>
      <c r="SIR32" s="25"/>
      <c r="SIY32" s="21"/>
      <c r="SIZ32" s="21"/>
      <c r="SJD32" s="15"/>
      <c r="SJJ32" s="25"/>
      <c r="SJQ32" s="21"/>
      <c r="SJR32" s="21"/>
      <c r="SJV32" s="15"/>
      <c r="SKB32" s="25"/>
      <c r="SKI32" s="21"/>
      <c r="SKJ32" s="21"/>
      <c r="SKN32" s="15"/>
      <c r="SKT32" s="25"/>
      <c r="SLA32" s="21"/>
      <c r="SLB32" s="21"/>
      <c r="SLF32" s="15"/>
      <c r="SLL32" s="25"/>
      <c r="SLS32" s="21"/>
      <c r="SLT32" s="21"/>
      <c r="SLX32" s="15"/>
      <c r="SMD32" s="25"/>
      <c r="SMK32" s="21"/>
      <c r="SML32" s="21"/>
      <c r="SMP32" s="15"/>
      <c r="SMV32" s="25"/>
      <c r="SNC32" s="21"/>
      <c r="SND32" s="21"/>
      <c r="SNH32" s="15"/>
      <c r="SNN32" s="25"/>
      <c r="SNU32" s="21"/>
      <c r="SNV32" s="21"/>
      <c r="SNZ32" s="15"/>
      <c r="SOF32" s="25"/>
      <c r="SOM32" s="21"/>
      <c r="SON32" s="21"/>
      <c r="SOR32" s="15"/>
      <c r="SOX32" s="25"/>
      <c r="SPE32" s="21"/>
      <c r="SPF32" s="21"/>
      <c r="SPJ32" s="15"/>
      <c r="SPP32" s="25"/>
      <c r="SPW32" s="21"/>
      <c r="SPX32" s="21"/>
      <c r="SQB32" s="15"/>
      <c r="SQH32" s="25"/>
      <c r="SQO32" s="21"/>
      <c r="SQP32" s="21"/>
      <c r="SQT32" s="15"/>
      <c r="SQZ32" s="25"/>
      <c r="SRG32" s="21"/>
      <c r="SRH32" s="21"/>
      <c r="SRL32" s="15"/>
      <c r="SRR32" s="25"/>
      <c r="SRY32" s="21"/>
      <c r="SRZ32" s="21"/>
      <c r="SSD32" s="15"/>
      <c r="SSJ32" s="25"/>
      <c r="SSQ32" s="21"/>
      <c r="SSR32" s="21"/>
      <c r="SSV32" s="15"/>
      <c r="STB32" s="25"/>
      <c r="STI32" s="21"/>
      <c r="STJ32" s="21"/>
      <c r="STN32" s="15"/>
      <c r="STT32" s="25"/>
      <c r="SUA32" s="21"/>
      <c r="SUB32" s="21"/>
      <c r="SUF32" s="15"/>
      <c r="SUL32" s="25"/>
      <c r="SUS32" s="21"/>
      <c r="SUT32" s="21"/>
      <c r="SUX32" s="15"/>
      <c r="SVD32" s="25"/>
      <c r="SVK32" s="21"/>
      <c r="SVL32" s="21"/>
      <c r="SVP32" s="15"/>
      <c r="SVV32" s="25"/>
      <c r="SWC32" s="21"/>
      <c r="SWD32" s="21"/>
      <c r="SWH32" s="15"/>
      <c r="SWN32" s="25"/>
      <c r="SWU32" s="21"/>
      <c r="SWV32" s="21"/>
      <c r="SWZ32" s="15"/>
      <c r="SXF32" s="25"/>
      <c r="SXM32" s="21"/>
      <c r="SXN32" s="21"/>
      <c r="SXR32" s="15"/>
      <c r="SXX32" s="25"/>
      <c r="SYE32" s="21"/>
      <c r="SYF32" s="21"/>
      <c r="SYJ32" s="15"/>
      <c r="SYP32" s="25"/>
      <c r="SYW32" s="21"/>
      <c r="SYX32" s="21"/>
      <c r="SZB32" s="15"/>
      <c r="SZH32" s="25"/>
      <c r="SZO32" s="21"/>
      <c r="SZP32" s="21"/>
      <c r="SZT32" s="15"/>
      <c r="SZZ32" s="25"/>
      <c r="TAG32" s="21"/>
      <c r="TAH32" s="21"/>
      <c r="TAL32" s="15"/>
      <c r="TAR32" s="25"/>
      <c r="TAY32" s="21"/>
      <c r="TAZ32" s="21"/>
      <c r="TBD32" s="15"/>
      <c r="TBJ32" s="25"/>
      <c r="TBQ32" s="21"/>
      <c r="TBR32" s="21"/>
      <c r="TBV32" s="15"/>
      <c r="TCB32" s="25"/>
      <c r="TCI32" s="21"/>
      <c r="TCJ32" s="21"/>
      <c r="TCN32" s="15"/>
      <c r="TCT32" s="25"/>
      <c r="TDA32" s="21"/>
      <c r="TDB32" s="21"/>
      <c r="TDF32" s="15"/>
      <c r="TDL32" s="25"/>
      <c r="TDS32" s="21"/>
      <c r="TDT32" s="21"/>
      <c r="TDX32" s="15"/>
      <c r="TED32" s="25"/>
      <c r="TEK32" s="21"/>
      <c r="TEL32" s="21"/>
      <c r="TEP32" s="15"/>
      <c r="TEV32" s="25"/>
      <c r="TFC32" s="21"/>
      <c r="TFD32" s="21"/>
      <c r="TFH32" s="15"/>
      <c r="TFN32" s="25"/>
      <c r="TFU32" s="21"/>
      <c r="TFV32" s="21"/>
      <c r="TFZ32" s="15"/>
      <c r="TGF32" s="25"/>
      <c r="TGM32" s="21"/>
      <c r="TGN32" s="21"/>
      <c r="TGR32" s="15"/>
      <c r="TGX32" s="25"/>
      <c r="THE32" s="21"/>
      <c r="THF32" s="21"/>
      <c r="THJ32" s="15"/>
      <c r="THP32" s="25"/>
      <c r="THW32" s="21"/>
      <c r="THX32" s="21"/>
      <c r="TIB32" s="15"/>
      <c r="TIH32" s="25"/>
      <c r="TIO32" s="21"/>
      <c r="TIP32" s="21"/>
      <c r="TIT32" s="15"/>
      <c r="TIZ32" s="25"/>
      <c r="TJG32" s="21"/>
      <c r="TJH32" s="21"/>
      <c r="TJL32" s="15"/>
      <c r="TJR32" s="25"/>
      <c r="TJY32" s="21"/>
      <c r="TJZ32" s="21"/>
      <c r="TKD32" s="15"/>
      <c r="TKJ32" s="25"/>
      <c r="TKQ32" s="21"/>
      <c r="TKR32" s="21"/>
      <c r="TKV32" s="15"/>
      <c r="TLB32" s="25"/>
      <c r="TLI32" s="21"/>
      <c r="TLJ32" s="21"/>
      <c r="TLN32" s="15"/>
      <c r="TLT32" s="25"/>
      <c r="TMA32" s="21"/>
      <c r="TMB32" s="21"/>
      <c r="TMF32" s="15"/>
      <c r="TML32" s="25"/>
      <c r="TMS32" s="21"/>
      <c r="TMT32" s="21"/>
      <c r="TMX32" s="15"/>
      <c r="TND32" s="25"/>
      <c r="TNK32" s="21"/>
      <c r="TNL32" s="21"/>
      <c r="TNP32" s="15"/>
      <c r="TNV32" s="25"/>
      <c r="TOC32" s="21"/>
      <c r="TOD32" s="21"/>
      <c r="TOH32" s="15"/>
      <c r="TON32" s="25"/>
      <c r="TOU32" s="21"/>
      <c r="TOV32" s="21"/>
      <c r="TOZ32" s="15"/>
      <c r="TPF32" s="25"/>
      <c r="TPM32" s="21"/>
      <c r="TPN32" s="21"/>
      <c r="TPR32" s="15"/>
      <c r="TPX32" s="25"/>
      <c r="TQE32" s="21"/>
      <c r="TQF32" s="21"/>
      <c r="TQJ32" s="15"/>
      <c r="TQP32" s="25"/>
      <c r="TQW32" s="21"/>
      <c r="TQX32" s="21"/>
      <c r="TRB32" s="15"/>
      <c r="TRH32" s="25"/>
      <c r="TRO32" s="21"/>
      <c r="TRP32" s="21"/>
      <c r="TRT32" s="15"/>
      <c r="TRZ32" s="25"/>
      <c r="TSG32" s="21"/>
      <c r="TSH32" s="21"/>
      <c r="TSL32" s="15"/>
      <c r="TSR32" s="25"/>
      <c r="TSY32" s="21"/>
      <c r="TSZ32" s="21"/>
      <c r="TTD32" s="15"/>
      <c r="TTJ32" s="25"/>
      <c r="TTQ32" s="21"/>
      <c r="TTR32" s="21"/>
      <c r="TTV32" s="15"/>
      <c r="TUB32" s="25"/>
      <c r="TUI32" s="21"/>
      <c r="TUJ32" s="21"/>
      <c r="TUN32" s="15"/>
      <c r="TUT32" s="25"/>
      <c r="TVA32" s="21"/>
      <c r="TVB32" s="21"/>
      <c r="TVF32" s="15"/>
      <c r="TVL32" s="25"/>
      <c r="TVS32" s="21"/>
      <c r="TVT32" s="21"/>
      <c r="TVX32" s="15"/>
      <c r="TWD32" s="25"/>
      <c r="TWK32" s="21"/>
      <c r="TWL32" s="21"/>
      <c r="TWP32" s="15"/>
      <c r="TWV32" s="25"/>
      <c r="TXC32" s="21"/>
      <c r="TXD32" s="21"/>
      <c r="TXH32" s="15"/>
      <c r="TXN32" s="25"/>
      <c r="TXU32" s="21"/>
      <c r="TXV32" s="21"/>
      <c r="TXZ32" s="15"/>
      <c r="TYF32" s="25"/>
      <c r="TYM32" s="21"/>
      <c r="TYN32" s="21"/>
      <c r="TYR32" s="15"/>
      <c r="TYX32" s="25"/>
      <c r="TZE32" s="21"/>
      <c r="TZF32" s="21"/>
      <c r="TZJ32" s="15"/>
      <c r="TZP32" s="25"/>
      <c r="TZW32" s="21"/>
      <c r="TZX32" s="21"/>
      <c r="UAB32" s="15"/>
      <c r="UAH32" s="25"/>
      <c r="UAO32" s="21"/>
      <c r="UAP32" s="21"/>
      <c r="UAT32" s="15"/>
      <c r="UAZ32" s="25"/>
      <c r="UBG32" s="21"/>
      <c r="UBH32" s="21"/>
      <c r="UBL32" s="15"/>
      <c r="UBR32" s="25"/>
      <c r="UBY32" s="21"/>
      <c r="UBZ32" s="21"/>
      <c r="UCD32" s="15"/>
      <c r="UCJ32" s="25"/>
      <c r="UCQ32" s="21"/>
      <c r="UCR32" s="21"/>
      <c r="UCV32" s="15"/>
      <c r="UDB32" s="25"/>
      <c r="UDI32" s="21"/>
      <c r="UDJ32" s="21"/>
      <c r="UDN32" s="15"/>
      <c r="UDT32" s="25"/>
      <c r="UEA32" s="21"/>
      <c r="UEB32" s="21"/>
      <c r="UEF32" s="15"/>
      <c r="UEL32" s="25"/>
      <c r="UES32" s="21"/>
      <c r="UET32" s="21"/>
      <c r="UEX32" s="15"/>
      <c r="UFD32" s="25"/>
      <c r="UFK32" s="21"/>
      <c r="UFL32" s="21"/>
      <c r="UFP32" s="15"/>
      <c r="UFV32" s="25"/>
      <c r="UGC32" s="21"/>
      <c r="UGD32" s="21"/>
      <c r="UGH32" s="15"/>
      <c r="UGN32" s="25"/>
      <c r="UGU32" s="21"/>
      <c r="UGV32" s="21"/>
      <c r="UGZ32" s="15"/>
      <c r="UHF32" s="25"/>
      <c r="UHM32" s="21"/>
      <c r="UHN32" s="21"/>
      <c r="UHR32" s="15"/>
      <c r="UHX32" s="25"/>
      <c r="UIE32" s="21"/>
      <c r="UIF32" s="21"/>
      <c r="UIJ32" s="15"/>
      <c r="UIP32" s="25"/>
      <c r="UIW32" s="21"/>
      <c r="UIX32" s="21"/>
      <c r="UJB32" s="15"/>
      <c r="UJH32" s="25"/>
      <c r="UJO32" s="21"/>
      <c r="UJP32" s="21"/>
      <c r="UJT32" s="15"/>
      <c r="UJZ32" s="25"/>
      <c r="UKG32" s="21"/>
      <c r="UKH32" s="21"/>
      <c r="UKL32" s="15"/>
      <c r="UKR32" s="25"/>
      <c r="UKY32" s="21"/>
      <c r="UKZ32" s="21"/>
      <c r="ULD32" s="15"/>
      <c r="ULJ32" s="25"/>
      <c r="ULQ32" s="21"/>
      <c r="ULR32" s="21"/>
      <c r="ULV32" s="15"/>
      <c r="UMB32" s="25"/>
      <c r="UMI32" s="21"/>
      <c r="UMJ32" s="21"/>
      <c r="UMN32" s="15"/>
      <c r="UMT32" s="25"/>
      <c r="UNA32" s="21"/>
      <c r="UNB32" s="21"/>
      <c r="UNF32" s="15"/>
      <c r="UNL32" s="25"/>
      <c r="UNS32" s="21"/>
      <c r="UNT32" s="21"/>
      <c r="UNX32" s="15"/>
      <c r="UOD32" s="25"/>
      <c r="UOK32" s="21"/>
      <c r="UOL32" s="21"/>
      <c r="UOP32" s="15"/>
      <c r="UOV32" s="25"/>
      <c r="UPC32" s="21"/>
      <c r="UPD32" s="21"/>
      <c r="UPH32" s="15"/>
      <c r="UPN32" s="25"/>
      <c r="UPU32" s="21"/>
      <c r="UPV32" s="21"/>
      <c r="UPZ32" s="15"/>
      <c r="UQF32" s="25"/>
      <c r="UQM32" s="21"/>
      <c r="UQN32" s="21"/>
      <c r="UQR32" s="15"/>
      <c r="UQX32" s="25"/>
      <c r="URE32" s="21"/>
      <c r="URF32" s="21"/>
      <c r="URJ32" s="15"/>
      <c r="URP32" s="25"/>
      <c r="URW32" s="21"/>
      <c r="URX32" s="21"/>
      <c r="USB32" s="15"/>
      <c r="USH32" s="25"/>
      <c r="USO32" s="21"/>
      <c r="USP32" s="21"/>
      <c r="UST32" s="15"/>
      <c r="USZ32" s="25"/>
      <c r="UTG32" s="21"/>
      <c r="UTH32" s="21"/>
      <c r="UTL32" s="15"/>
      <c r="UTR32" s="25"/>
      <c r="UTY32" s="21"/>
      <c r="UTZ32" s="21"/>
      <c r="UUD32" s="15"/>
      <c r="UUJ32" s="25"/>
      <c r="UUQ32" s="21"/>
      <c r="UUR32" s="21"/>
      <c r="UUV32" s="15"/>
      <c r="UVB32" s="25"/>
      <c r="UVI32" s="21"/>
      <c r="UVJ32" s="21"/>
      <c r="UVN32" s="15"/>
      <c r="UVT32" s="25"/>
      <c r="UWA32" s="21"/>
      <c r="UWB32" s="21"/>
      <c r="UWF32" s="15"/>
      <c r="UWL32" s="25"/>
      <c r="UWS32" s="21"/>
      <c r="UWT32" s="21"/>
      <c r="UWX32" s="15"/>
      <c r="UXD32" s="25"/>
      <c r="UXK32" s="21"/>
      <c r="UXL32" s="21"/>
      <c r="UXP32" s="15"/>
      <c r="UXV32" s="25"/>
      <c r="UYC32" s="21"/>
      <c r="UYD32" s="21"/>
      <c r="UYH32" s="15"/>
      <c r="UYN32" s="25"/>
      <c r="UYU32" s="21"/>
      <c r="UYV32" s="21"/>
      <c r="UYZ32" s="15"/>
      <c r="UZF32" s="25"/>
      <c r="UZM32" s="21"/>
      <c r="UZN32" s="21"/>
      <c r="UZR32" s="15"/>
      <c r="UZX32" s="25"/>
      <c r="VAE32" s="21"/>
      <c r="VAF32" s="21"/>
      <c r="VAJ32" s="15"/>
      <c r="VAP32" s="25"/>
      <c r="VAW32" s="21"/>
      <c r="VAX32" s="21"/>
      <c r="VBB32" s="15"/>
      <c r="VBH32" s="25"/>
      <c r="VBO32" s="21"/>
      <c r="VBP32" s="21"/>
      <c r="VBT32" s="15"/>
      <c r="VBZ32" s="25"/>
      <c r="VCG32" s="21"/>
      <c r="VCH32" s="21"/>
      <c r="VCL32" s="15"/>
      <c r="VCR32" s="25"/>
      <c r="VCY32" s="21"/>
      <c r="VCZ32" s="21"/>
      <c r="VDD32" s="15"/>
      <c r="VDJ32" s="25"/>
      <c r="VDQ32" s="21"/>
      <c r="VDR32" s="21"/>
      <c r="VDV32" s="15"/>
      <c r="VEB32" s="25"/>
      <c r="VEI32" s="21"/>
      <c r="VEJ32" s="21"/>
      <c r="VEN32" s="15"/>
      <c r="VET32" s="25"/>
      <c r="VFA32" s="21"/>
      <c r="VFB32" s="21"/>
      <c r="VFF32" s="15"/>
      <c r="VFL32" s="25"/>
      <c r="VFS32" s="21"/>
      <c r="VFT32" s="21"/>
      <c r="VFX32" s="15"/>
      <c r="VGD32" s="25"/>
      <c r="VGK32" s="21"/>
      <c r="VGL32" s="21"/>
      <c r="VGP32" s="15"/>
      <c r="VGV32" s="25"/>
      <c r="VHC32" s="21"/>
      <c r="VHD32" s="21"/>
      <c r="VHH32" s="15"/>
      <c r="VHN32" s="25"/>
      <c r="VHU32" s="21"/>
      <c r="VHV32" s="21"/>
      <c r="VHZ32" s="15"/>
      <c r="VIF32" s="25"/>
      <c r="VIM32" s="21"/>
      <c r="VIN32" s="21"/>
      <c r="VIR32" s="15"/>
      <c r="VIX32" s="25"/>
      <c r="VJE32" s="21"/>
      <c r="VJF32" s="21"/>
      <c r="VJJ32" s="15"/>
      <c r="VJP32" s="25"/>
      <c r="VJW32" s="21"/>
      <c r="VJX32" s="21"/>
      <c r="VKB32" s="15"/>
      <c r="VKH32" s="25"/>
      <c r="VKO32" s="21"/>
      <c r="VKP32" s="21"/>
      <c r="VKT32" s="15"/>
      <c r="VKZ32" s="25"/>
      <c r="VLG32" s="21"/>
      <c r="VLH32" s="21"/>
      <c r="VLL32" s="15"/>
      <c r="VLR32" s="25"/>
      <c r="VLY32" s="21"/>
      <c r="VLZ32" s="21"/>
      <c r="VMD32" s="15"/>
      <c r="VMJ32" s="25"/>
      <c r="VMQ32" s="21"/>
      <c r="VMR32" s="21"/>
      <c r="VMV32" s="15"/>
      <c r="VNB32" s="25"/>
      <c r="VNI32" s="21"/>
      <c r="VNJ32" s="21"/>
      <c r="VNN32" s="15"/>
      <c r="VNT32" s="25"/>
      <c r="VOA32" s="21"/>
      <c r="VOB32" s="21"/>
      <c r="VOF32" s="15"/>
      <c r="VOL32" s="25"/>
      <c r="VOS32" s="21"/>
      <c r="VOT32" s="21"/>
      <c r="VOX32" s="15"/>
      <c r="VPD32" s="25"/>
      <c r="VPK32" s="21"/>
      <c r="VPL32" s="21"/>
      <c r="VPP32" s="15"/>
      <c r="VPV32" s="25"/>
      <c r="VQC32" s="21"/>
      <c r="VQD32" s="21"/>
      <c r="VQH32" s="15"/>
      <c r="VQN32" s="25"/>
      <c r="VQU32" s="21"/>
      <c r="VQV32" s="21"/>
      <c r="VQZ32" s="15"/>
      <c r="VRF32" s="25"/>
      <c r="VRM32" s="21"/>
      <c r="VRN32" s="21"/>
      <c r="VRR32" s="15"/>
      <c r="VRX32" s="25"/>
      <c r="VSE32" s="21"/>
      <c r="VSF32" s="21"/>
      <c r="VSJ32" s="15"/>
      <c r="VSP32" s="25"/>
      <c r="VSW32" s="21"/>
      <c r="VSX32" s="21"/>
      <c r="VTB32" s="15"/>
      <c r="VTH32" s="25"/>
      <c r="VTO32" s="21"/>
      <c r="VTP32" s="21"/>
      <c r="VTT32" s="15"/>
      <c r="VTZ32" s="25"/>
      <c r="VUG32" s="21"/>
      <c r="VUH32" s="21"/>
      <c r="VUL32" s="15"/>
      <c r="VUR32" s="25"/>
      <c r="VUY32" s="21"/>
      <c r="VUZ32" s="21"/>
      <c r="VVD32" s="15"/>
      <c r="VVJ32" s="25"/>
      <c r="VVQ32" s="21"/>
      <c r="VVR32" s="21"/>
      <c r="VVV32" s="15"/>
      <c r="VWB32" s="25"/>
      <c r="VWI32" s="21"/>
      <c r="VWJ32" s="21"/>
      <c r="VWN32" s="15"/>
      <c r="VWT32" s="25"/>
      <c r="VXA32" s="21"/>
      <c r="VXB32" s="21"/>
      <c r="VXF32" s="15"/>
      <c r="VXL32" s="25"/>
      <c r="VXS32" s="21"/>
      <c r="VXT32" s="21"/>
      <c r="VXX32" s="15"/>
      <c r="VYD32" s="25"/>
      <c r="VYK32" s="21"/>
      <c r="VYL32" s="21"/>
      <c r="VYP32" s="15"/>
      <c r="VYV32" s="25"/>
      <c r="VZC32" s="21"/>
      <c r="VZD32" s="21"/>
      <c r="VZH32" s="15"/>
      <c r="VZN32" s="25"/>
      <c r="VZU32" s="21"/>
      <c r="VZV32" s="21"/>
      <c r="VZZ32" s="15"/>
      <c r="WAF32" s="25"/>
      <c r="WAM32" s="21"/>
      <c r="WAN32" s="21"/>
      <c r="WAR32" s="15"/>
      <c r="WAX32" s="25"/>
      <c r="WBE32" s="21"/>
      <c r="WBF32" s="21"/>
      <c r="WBJ32" s="15"/>
      <c r="WBP32" s="25"/>
      <c r="WBW32" s="21"/>
      <c r="WBX32" s="21"/>
      <c r="WCB32" s="15"/>
      <c r="WCH32" s="25"/>
      <c r="WCO32" s="21"/>
      <c r="WCP32" s="21"/>
      <c r="WCT32" s="15"/>
      <c r="WCZ32" s="25"/>
      <c r="WDG32" s="21"/>
      <c r="WDH32" s="21"/>
      <c r="WDL32" s="15"/>
      <c r="WDR32" s="25"/>
      <c r="WDY32" s="21"/>
      <c r="WDZ32" s="21"/>
      <c r="WED32" s="15"/>
      <c r="WEJ32" s="25"/>
      <c r="WEQ32" s="21"/>
      <c r="WER32" s="21"/>
      <c r="WEV32" s="15"/>
      <c r="WFB32" s="25"/>
      <c r="WFI32" s="21"/>
      <c r="WFJ32" s="21"/>
      <c r="WFN32" s="15"/>
      <c r="WFT32" s="25"/>
      <c r="WGA32" s="21"/>
      <c r="WGB32" s="21"/>
      <c r="WGF32" s="15"/>
      <c r="WGL32" s="25"/>
      <c r="WGS32" s="21"/>
      <c r="WGT32" s="21"/>
      <c r="WGX32" s="15"/>
      <c r="WHD32" s="25"/>
      <c r="WHK32" s="21"/>
      <c r="WHL32" s="21"/>
      <c r="WHP32" s="15"/>
      <c r="WHV32" s="25"/>
      <c r="WIC32" s="21"/>
      <c r="WID32" s="21"/>
      <c r="WIH32" s="15"/>
      <c r="WIN32" s="25"/>
      <c r="WIU32" s="21"/>
      <c r="WIV32" s="21"/>
      <c r="WIZ32" s="15"/>
      <c r="WJF32" s="25"/>
      <c r="WJM32" s="21"/>
      <c r="WJN32" s="21"/>
      <c r="WJR32" s="15"/>
      <c r="WJX32" s="25"/>
      <c r="WKE32" s="21"/>
      <c r="WKF32" s="21"/>
      <c r="WKJ32" s="15"/>
      <c r="WKP32" s="25"/>
      <c r="WKW32" s="21"/>
      <c r="WKX32" s="21"/>
      <c r="WLB32" s="15"/>
      <c r="WLH32" s="25"/>
      <c r="WLO32" s="21"/>
      <c r="WLP32" s="21"/>
      <c r="WLT32" s="15"/>
      <c r="WLZ32" s="25"/>
      <c r="WMG32" s="21"/>
      <c r="WMH32" s="21"/>
      <c r="WML32" s="15"/>
      <c r="WMR32" s="25"/>
      <c r="WMY32" s="21"/>
      <c r="WMZ32" s="21"/>
      <c r="WND32" s="15"/>
      <c r="WNJ32" s="25"/>
      <c r="WNQ32" s="21"/>
      <c r="WNR32" s="21"/>
      <c r="WNV32" s="15"/>
      <c r="WOB32" s="25"/>
      <c r="WOI32" s="21"/>
      <c r="WOJ32" s="21"/>
      <c r="WON32" s="15"/>
      <c r="WOT32" s="25"/>
      <c r="WPA32" s="21"/>
      <c r="WPB32" s="21"/>
      <c r="WPF32" s="15"/>
      <c r="WPL32" s="25"/>
      <c r="WPS32" s="21"/>
      <c r="WPT32" s="21"/>
      <c r="WPX32" s="15"/>
      <c r="WQD32" s="25"/>
      <c r="WQK32" s="21"/>
      <c r="WQL32" s="21"/>
      <c r="WQP32" s="15"/>
      <c r="WQV32" s="25"/>
      <c r="WRC32" s="21"/>
      <c r="WRD32" s="21"/>
      <c r="WRH32" s="15"/>
      <c r="WRN32" s="25"/>
      <c r="WRU32" s="21"/>
      <c r="WRV32" s="21"/>
      <c r="WRZ32" s="15"/>
      <c r="WSF32" s="25"/>
      <c r="WSM32" s="21"/>
      <c r="WSN32" s="21"/>
      <c r="WSR32" s="15"/>
      <c r="WSX32" s="25"/>
      <c r="WTE32" s="21"/>
      <c r="WTF32" s="21"/>
      <c r="WTJ32" s="15"/>
      <c r="WTP32" s="25"/>
      <c r="WTW32" s="21"/>
      <c r="WTX32" s="21"/>
      <c r="WUB32" s="15"/>
      <c r="WUH32" s="25"/>
      <c r="WUO32" s="21"/>
      <c r="WUP32" s="21"/>
      <c r="WUT32" s="15"/>
      <c r="WUZ32" s="25"/>
      <c r="WVG32" s="21"/>
      <c r="WVH32" s="21"/>
      <c r="WVL32" s="15"/>
      <c r="WVR32" s="25"/>
      <c r="WVY32" s="21"/>
      <c r="WVZ32" s="21"/>
      <c r="WWD32" s="15"/>
      <c r="WWJ32" s="25"/>
      <c r="WWQ32" s="21"/>
      <c r="WWR32" s="21"/>
      <c r="WWV32" s="15"/>
      <c r="WXB32" s="25"/>
      <c r="WXI32" s="21"/>
      <c r="WXJ32" s="21"/>
      <c r="WXN32" s="15"/>
      <c r="WXT32" s="25"/>
      <c r="WYA32" s="21"/>
      <c r="WYB32" s="21"/>
      <c r="WYF32" s="15"/>
      <c r="WYL32" s="25"/>
      <c r="WYS32" s="21"/>
      <c r="WYT32" s="21"/>
      <c r="WYX32" s="15"/>
      <c r="WZD32" s="25"/>
      <c r="WZK32" s="21"/>
      <c r="WZL32" s="21"/>
      <c r="WZP32" s="15"/>
      <c r="WZV32" s="25"/>
      <c r="XAC32" s="21"/>
      <c r="XAD32" s="21"/>
      <c r="XAH32" s="15"/>
      <c r="XAN32" s="25"/>
      <c r="XAU32" s="21"/>
      <c r="XAV32" s="21"/>
      <c r="XAZ32" s="15"/>
      <c r="XBF32" s="25"/>
      <c r="XBM32" s="21"/>
      <c r="XBN32" s="21"/>
      <c r="XBR32" s="15"/>
      <c r="XBX32" s="25"/>
      <c r="XCE32" s="21"/>
      <c r="XCF32" s="21"/>
      <c r="XCJ32" s="15"/>
      <c r="XCP32" s="25"/>
      <c r="XCW32" s="21"/>
      <c r="XCX32" s="21"/>
      <c r="XDB32" s="15"/>
      <c r="XDH32" s="25"/>
      <c r="XDO32" s="21"/>
      <c r="XDP32" s="21"/>
      <c r="XDT32" s="15"/>
      <c r="XDZ32" s="25"/>
      <c r="XEG32" s="21"/>
      <c r="XEH32" s="21"/>
      <c r="XEL32" s="15"/>
      <c r="XER32" s="25"/>
      <c r="XEY32" s="21"/>
      <c r="XEZ32" s="21"/>
      <c r="XFD32" s="15"/>
    </row>
    <row r="33" spans="1:1018 1025:2044 2051:3070 3077:4096 4103:5116 5122:6142 6148:7168 7174:8190 8194:9216 9220:10234 10241:11260 11267:12286 12293:13312 13319:14332 14338:15358 15364:16384" s="24" customFormat="1">
      <c r="A33" s="21" t="s">
        <v>115</v>
      </c>
      <c r="B33" s="12">
        <v>2008</v>
      </c>
      <c r="C33" s="19" t="s">
        <v>101</v>
      </c>
      <c r="D33" s="22" t="s">
        <v>86</v>
      </c>
      <c r="E33" s="43" t="s">
        <v>112</v>
      </c>
      <c r="F33" s="19" t="s">
        <v>41</v>
      </c>
      <c r="G33" s="44">
        <v>2362223467.224865</v>
      </c>
      <c r="H33" s="44">
        <v>370036064.80442196</v>
      </c>
      <c r="I33" s="12">
        <v>10</v>
      </c>
      <c r="J33" s="23" t="s">
        <v>113</v>
      </c>
      <c r="K33" s="22"/>
      <c r="L33" s="22"/>
      <c r="M33" s="22" t="s">
        <v>26</v>
      </c>
      <c r="N33" s="12"/>
      <c r="O33" s="22"/>
      <c r="P33" s="12"/>
      <c r="Q33" s="22" t="s">
        <v>27</v>
      </c>
      <c r="R33" s="22" t="s">
        <v>28</v>
      </c>
      <c r="V33" s="15"/>
      <c r="AB33" s="25"/>
      <c r="AI33" s="21"/>
      <c r="AJ33" s="21"/>
      <c r="AN33" s="15"/>
      <c r="AT33" s="25"/>
      <c r="BA33" s="21"/>
      <c r="BB33" s="21"/>
      <c r="BF33" s="15"/>
      <c r="BL33" s="25"/>
      <c r="BS33" s="21"/>
      <c r="BT33" s="21"/>
      <c r="BX33" s="15"/>
      <c r="CD33" s="25"/>
      <c r="CK33" s="21"/>
      <c r="CL33" s="21"/>
      <c r="CP33" s="15"/>
      <c r="CV33" s="25"/>
      <c r="DC33" s="21"/>
      <c r="DD33" s="21"/>
      <c r="DH33" s="15"/>
      <c r="DN33" s="25"/>
      <c r="DU33" s="21"/>
      <c r="DV33" s="21"/>
      <c r="DZ33" s="15"/>
      <c r="EF33" s="25"/>
      <c r="EM33" s="21"/>
      <c r="EN33" s="21"/>
      <c r="ER33" s="15"/>
      <c r="EX33" s="25"/>
      <c r="FE33" s="21"/>
      <c r="FF33" s="21"/>
      <c r="FJ33" s="15"/>
      <c r="FP33" s="25"/>
      <c r="FW33" s="21"/>
      <c r="FX33" s="21"/>
      <c r="GB33" s="15"/>
      <c r="GH33" s="25"/>
      <c r="GO33" s="21"/>
      <c r="GP33" s="21"/>
      <c r="GT33" s="15"/>
      <c r="GZ33" s="25"/>
      <c r="HG33" s="21"/>
      <c r="HH33" s="21"/>
      <c r="HL33" s="15"/>
      <c r="HR33" s="25"/>
      <c r="HY33" s="21"/>
      <c r="HZ33" s="21"/>
      <c r="ID33" s="15"/>
      <c r="IJ33" s="25"/>
      <c r="IQ33" s="21"/>
      <c r="IR33" s="21"/>
      <c r="IV33" s="15"/>
      <c r="JB33" s="25"/>
      <c r="JI33" s="21"/>
      <c r="JJ33" s="21"/>
      <c r="JN33" s="15"/>
      <c r="JT33" s="25"/>
      <c r="KA33" s="21"/>
      <c r="KB33" s="21"/>
      <c r="KF33" s="15"/>
      <c r="KL33" s="25"/>
      <c r="KS33" s="21"/>
      <c r="KT33" s="21"/>
      <c r="KX33" s="15"/>
      <c r="LD33" s="25"/>
      <c r="LK33" s="21"/>
      <c r="LL33" s="21"/>
      <c r="LP33" s="15"/>
      <c r="LV33" s="25"/>
      <c r="MC33" s="21"/>
      <c r="MD33" s="21"/>
      <c r="MH33" s="15"/>
      <c r="MN33" s="25"/>
      <c r="MU33" s="21"/>
      <c r="MV33" s="21"/>
      <c r="MZ33" s="15"/>
      <c r="NF33" s="25"/>
      <c r="NM33" s="21"/>
      <c r="NN33" s="21"/>
      <c r="NR33" s="15"/>
      <c r="NX33" s="25"/>
      <c r="OE33" s="21"/>
      <c r="OF33" s="21"/>
      <c r="OJ33" s="15"/>
      <c r="OP33" s="25"/>
      <c r="OW33" s="21"/>
      <c r="OX33" s="21"/>
      <c r="PB33" s="15"/>
      <c r="PH33" s="25"/>
      <c r="PO33" s="21"/>
      <c r="PP33" s="21"/>
      <c r="PT33" s="15"/>
      <c r="PZ33" s="25"/>
      <c r="QG33" s="21"/>
      <c r="QH33" s="21"/>
      <c r="QL33" s="15"/>
      <c r="QR33" s="25"/>
      <c r="QY33" s="21"/>
      <c r="QZ33" s="21"/>
      <c r="RD33" s="15"/>
      <c r="RJ33" s="25"/>
      <c r="RQ33" s="21"/>
      <c r="RR33" s="21"/>
      <c r="RV33" s="15"/>
      <c r="SB33" s="25"/>
      <c r="SI33" s="21"/>
      <c r="SJ33" s="21"/>
      <c r="SN33" s="15"/>
      <c r="ST33" s="25"/>
      <c r="TA33" s="21"/>
      <c r="TB33" s="21"/>
      <c r="TF33" s="15"/>
      <c r="TL33" s="25"/>
      <c r="TS33" s="21"/>
      <c r="TT33" s="21"/>
      <c r="TX33" s="15"/>
      <c r="UD33" s="25"/>
      <c r="UK33" s="21"/>
      <c r="UL33" s="21"/>
      <c r="UP33" s="15"/>
      <c r="UV33" s="25"/>
      <c r="VC33" s="21"/>
      <c r="VD33" s="21"/>
      <c r="VH33" s="15"/>
      <c r="VN33" s="25"/>
      <c r="VU33" s="21"/>
      <c r="VV33" s="21"/>
      <c r="VZ33" s="15"/>
      <c r="WF33" s="25"/>
      <c r="WM33" s="21"/>
      <c r="WN33" s="21"/>
      <c r="WR33" s="15"/>
      <c r="WX33" s="25"/>
      <c r="XE33" s="21"/>
      <c r="XF33" s="21"/>
      <c r="XJ33" s="15"/>
      <c r="XP33" s="25"/>
      <c r="XW33" s="21"/>
      <c r="XX33" s="21"/>
      <c r="YB33" s="15"/>
      <c r="YH33" s="25"/>
      <c r="YO33" s="21"/>
      <c r="YP33" s="21"/>
      <c r="YT33" s="15"/>
      <c r="YZ33" s="25"/>
      <c r="ZG33" s="21"/>
      <c r="ZH33" s="21"/>
      <c r="ZL33" s="15"/>
      <c r="ZR33" s="25"/>
      <c r="ZY33" s="21"/>
      <c r="ZZ33" s="21"/>
      <c r="AAD33" s="15"/>
      <c r="AAJ33" s="25"/>
      <c r="AAQ33" s="21"/>
      <c r="AAR33" s="21"/>
      <c r="AAV33" s="15"/>
      <c r="ABB33" s="25"/>
      <c r="ABI33" s="21"/>
      <c r="ABJ33" s="21"/>
      <c r="ABN33" s="15"/>
      <c r="ABT33" s="25"/>
      <c r="ACA33" s="21"/>
      <c r="ACB33" s="21"/>
      <c r="ACF33" s="15"/>
      <c r="ACL33" s="25"/>
      <c r="ACS33" s="21"/>
      <c r="ACT33" s="21"/>
      <c r="ACX33" s="15"/>
      <c r="ADD33" s="25"/>
      <c r="ADK33" s="21"/>
      <c r="ADL33" s="21"/>
      <c r="ADP33" s="15"/>
      <c r="ADV33" s="25"/>
      <c r="AEC33" s="21"/>
      <c r="AED33" s="21"/>
      <c r="AEH33" s="15"/>
      <c r="AEN33" s="25"/>
      <c r="AEU33" s="21"/>
      <c r="AEV33" s="21"/>
      <c r="AEZ33" s="15"/>
      <c r="AFF33" s="25"/>
      <c r="AFM33" s="21"/>
      <c r="AFN33" s="21"/>
      <c r="AFR33" s="15"/>
      <c r="AFX33" s="25"/>
      <c r="AGE33" s="21"/>
      <c r="AGF33" s="21"/>
      <c r="AGJ33" s="15"/>
      <c r="AGP33" s="25"/>
      <c r="AGW33" s="21"/>
      <c r="AGX33" s="21"/>
      <c r="AHB33" s="15"/>
      <c r="AHH33" s="25"/>
      <c r="AHO33" s="21"/>
      <c r="AHP33" s="21"/>
      <c r="AHT33" s="15"/>
      <c r="AHZ33" s="25"/>
      <c r="AIG33" s="21"/>
      <c r="AIH33" s="21"/>
      <c r="AIL33" s="15"/>
      <c r="AIR33" s="25"/>
      <c r="AIY33" s="21"/>
      <c r="AIZ33" s="21"/>
      <c r="AJD33" s="15"/>
      <c r="AJJ33" s="25"/>
      <c r="AJQ33" s="21"/>
      <c r="AJR33" s="21"/>
      <c r="AJV33" s="15"/>
      <c r="AKB33" s="25"/>
      <c r="AKI33" s="21"/>
      <c r="AKJ33" s="21"/>
      <c r="AKN33" s="15"/>
      <c r="AKT33" s="25"/>
      <c r="ALA33" s="21"/>
      <c r="ALB33" s="21"/>
      <c r="ALF33" s="15"/>
      <c r="ALL33" s="25"/>
      <c r="ALS33" s="21"/>
      <c r="ALT33" s="21"/>
      <c r="ALX33" s="15"/>
      <c r="AMD33" s="25"/>
      <c r="AMK33" s="21"/>
      <c r="AML33" s="21"/>
      <c r="AMP33" s="15"/>
      <c r="AMV33" s="25"/>
      <c r="ANC33" s="21"/>
      <c r="AND33" s="21"/>
      <c r="ANH33" s="15"/>
      <c r="ANN33" s="25"/>
      <c r="ANU33" s="21"/>
      <c r="ANV33" s="21"/>
      <c r="ANZ33" s="15"/>
      <c r="AOF33" s="25"/>
      <c r="AOM33" s="21"/>
      <c r="AON33" s="21"/>
      <c r="AOR33" s="15"/>
      <c r="AOX33" s="25"/>
      <c r="APE33" s="21"/>
      <c r="APF33" s="21"/>
      <c r="APJ33" s="15"/>
      <c r="APP33" s="25"/>
      <c r="APW33" s="21"/>
      <c r="APX33" s="21"/>
      <c r="AQB33" s="15"/>
      <c r="AQH33" s="25"/>
      <c r="AQO33" s="21"/>
      <c r="AQP33" s="21"/>
      <c r="AQT33" s="15"/>
      <c r="AQZ33" s="25"/>
      <c r="ARG33" s="21"/>
      <c r="ARH33" s="21"/>
      <c r="ARL33" s="15"/>
      <c r="ARR33" s="25"/>
      <c r="ARY33" s="21"/>
      <c r="ARZ33" s="21"/>
      <c r="ASD33" s="15"/>
      <c r="ASJ33" s="25"/>
      <c r="ASQ33" s="21"/>
      <c r="ASR33" s="21"/>
      <c r="ASV33" s="15"/>
      <c r="ATB33" s="25"/>
      <c r="ATI33" s="21"/>
      <c r="ATJ33" s="21"/>
      <c r="ATN33" s="15"/>
      <c r="ATT33" s="25"/>
      <c r="AUA33" s="21"/>
      <c r="AUB33" s="21"/>
      <c r="AUF33" s="15"/>
      <c r="AUL33" s="25"/>
      <c r="AUS33" s="21"/>
      <c r="AUT33" s="21"/>
      <c r="AUX33" s="15"/>
      <c r="AVD33" s="25"/>
      <c r="AVK33" s="21"/>
      <c r="AVL33" s="21"/>
      <c r="AVP33" s="15"/>
      <c r="AVV33" s="25"/>
      <c r="AWC33" s="21"/>
      <c r="AWD33" s="21"/>
      <c r="AWH33" s="15"/>
      <c r="AWN33" s="25"/>
      <c r="AWU33" s="21"/>
      <c r="AWV33" s="21"/>
      <c r="AWZ33" s="15"/>
      <c r="AXF33" s="25"/>
      <c r="AXM33" s="21"/>
      <c r="AXN33" s="21"/>
      <c r="AXR33" s="15"/>
      <c r="AXX33" s="25"/>
      <c r="AYE33" s="21"/>
      <c r="AYF33" s="21"/>
      <c r="AYJ33" s="15"/>
      <c r="AYP33" s="25"/>
      <c r="AYW33" s="21"/>
      <c r="AYX33" s="21"/>
      <c r="AZB33" s="15"/>
      <c r="AZH33" s="25"/>
      <c r="AZO33" s="21"/>
      <c r="AZP33" s="21"/>
      <c r="AZT33" s="15"/>
      <c r="AZZ33" s="25"/>
      <c r="BAG33" s="21"/>
      <c r="BAH33" s="21"/>
      <c r="BAL33" s="15"/>
      <c r="BAR33" s="25"/>
      <c r="BAY33" s="21"/>
      <c r="BAZ33" s="21"/>
      <c r="BBD33" s="15"/>
      <c r="BBJ33" s="25"/>
      <c r="BBQ33" s="21"/>
      <c r="BBR33" s="21"/>
      <c r="BBV33" s="15"/>
      <c r="BCB33" s="25"/>
      <c r="BCI33" s="21"/>
      <c r="BCJ33" s="21"/>
      <c r="BCN33" s="15"/>
      <c r="BCT33" s="25"/>
      <c r="BDA33" s="21"/>
      <c r="BDB33" s="21"/>
      <c r="BDF33" s="15"/>
      <c r="BDL33" s="25"/>
      <c r="BDS33" s="21"/>
      <c r="BDT33" s="21"/>
      <c r="BDX33" s="15"/>
      <c r="BED33" s="25"/>
      <c r="BEK33" s="21"/>
      <c r="BEL33" s="21"/>
      <c r="BEP33" s="15"/>
      <c r="BEV33" s="25"/>
      <c r="BFC33" s="21"/>
      <c r="BFD33" s="21"/>
      <c r="BFH33" s="15"/>
      <c r="BFN33" s="25"/>
      <c r="BFU33" s="21"/>
      <c r="BFV33" s="21"/>
      <c r="BFZ33" s="15"/>
      <c r="BGF33" s="25"/>
      <c r="BGM33" s="21"/>
      <c r="BGN33" s="21"/>
      <c r="BGR33" s="15"/>
      <c r="BGX33" s="25"/>
      <c r="BHE33" s="21"/>
      <c r="BHF33" s="21"/>
      <c r="BHJ33" s="15"/>
      <c r="BHP33" s="25"/>
      <c r="BHW33" s="21"/>
      <c r="BHX33" s="21"/>
      <c r="BIB33" s="15"/>
      <c r="BIH33" s="25"/>
      <c r="BIO33" s="21"/>
      <c r="BIP33" s="21"/>
      <c r="BIT33" s="15"/>
      <c r="BIZ33" s="25"/>
      <c r="BJG33" s="21"/>
      <c r="BJH33" s="21"/>
      <c r="BJL33" s="15"/>
      <c r="BJR33" s="25"/>
      <c r="BJY33" s="21"/>
      <c r="BJZ33" s="21"/>
      <c r="BKD33" s="15"/>
      <c r="BKJ33" s="25"/>
      <c r="BKQ33" s="21"/>
      <c r="BKR33" s="21"/>
      <c r="BKV33" s="15"/>
      <c r="BLB33" s="25"/>
      <c r="BLI33" s="21"/>
      <c r="BLJ33" s="21"/>
      <c r="BLN33" s="15"/>
      <c r="BLT33" s="25"/>
      <c r="BMA33" s="21"/>
      <c r="BMB33" s="21"/>
      <c r="BMF33" s="15"/>
      <c r="BML33" s="25"/>
      <c r="BMS33" s="21"/>
      <c r="BMT33" s="21"/>
      <c r="BMX33" s="15"/>
      <c r="BND33" s="25"/>
      <c r="BNK33" s="21"/>
      <c r="BNL33" s="21"/>
      <c r="BNP33" s="15"/>
      <c r="BNV33" s="25"/>
      <c r="BOC33" s="21"/>
      <c r="BOD33" s="21"/>
      <c r="BOH33" s="15"/>
      <c r="BON33" s="25"/>
      <c r="BOU33" s="21"/>
      <c r="BOV33" s="21"/>
      <c r="BOZ33" s="15"/>
      <c r="BPF33" s="25"/>
      <c r="BPM33" s="21"/>
      <c r="BPN33" s="21"/>
      <c r="BPR33" s="15"/>
      <c r="BPX33" s="25"/>
      <c r="BQE33" s="21"/>
      <c r="BQF33" s="21"/>
      <c r="BQJ33" s="15"/>
      <c r="BQP33" s="25"/>
      <c r="BQW33" s="21"/>
      <c r="BQX33" s="21"/>
      <c r="BRB33" s="15"/>
      <c r="BRH33" s="25"/>
      <c r="BRO33" s="21"/>
      <c r="BRP33" s="21"/>
      <c r="BRT33" s="15"/>
      <c r="BRZ33" s="25"/>
      <c r="BSG33" s="21"/>
      <c r="BSH33" s="21"/>
      <c r="BSL33" s="15"/>
      <c r="BSR33" s="25"/>
      <c r="BSY33" s="21"/>
      <c r="BSZ33" s="21"/>
      <c r="BTD33" s="15"/>
      <c r="BTJ33" s="25"/>
      <c r="BTQ33" s="21"/>
      <c r="BTR33" s="21"/>
      <c r="BTV33" s="15"/>
      <c r="BUB33" s="25"/>
      <c r="BUI33" s="21"/>
      <c r="BUJ33" s="21"/>
      <c r="BUN33" s="15"/>
      <c r="BUT33" s="25"/>
      <c r="BVA33" s="21"/>
      <c r="BVB33" s="21"/>
      <c r="BVF33" s="15"/>
      <c r="BVL33" s="25"/>
      <c r="BVS33" s="21"/>
      <c r="BVT33" s="21"/>
      <c r="BVX33" s="15"/>
      <c r="BWD33" s="25"/>
      <c r="BWK33" s="21"/>
      <c r="BWL33" s="21"/>
      <c r="BWP33" s="15"/>
      <c r="BWV33" s="25"/>
      <c r="BXC33" s="21"/>
      <c r="BXD33" s="21"/>
      <c r="BXH33" s="15"/>
      <c r="BXN33" s="25"/>
      <c r="BXU33" s="21"/>
      <c r="BXV33" s="21"/>
      <c r="BXZ33" s="15"/>
      <c r="BYF33" s="25"/>
      <c r="BYM33" s="21"/>
      <c r="BYN33" s="21"/>
      <c r="BYR33" s="15"/>
      <c r="BYX33" s="25"/>
      <c r="BZE33" s="21"/>
      <c r="BZF33" s="21"/>
      <c r="BZJ33" s="15"/>
      <c r="BZP33" s="25"/>
      <c r="BZW33" s="21"/>
      <c r="BZX33" s="21"/>
      <c r="CAB33" s="15"/>
      <c r="CAH33" s="25"/>
      <c r="CAO33" s="21"/>
      <c r="CAP33" s="21"/>
      <c r="CAT33" s="15"/>
      <c r="CAZ33" s="25"/>
      <c r="CBG33" s="21"/>
      <c r="CBH33" s="21"/>
      <c r="CBL33" s="15"/>
      <c r="CBR33" s="25"/>
      <c r="CBY33" s="21"/>
      <c r="CBZ33" s="21"/>
      <c r="CCD33" s="15"/>
      <c r="CCJ33" s="25"/>
      <c r="CCQ33" s="21"/>
      <c r="CCR33" s="21"/>
      <c r="CCV33" s="15"/>
      <c r="CDB33" s="25"/>
      <c r="CDI33" s="21"/>
      <c r="CDJ33" s="21"/>
      <c r="CDN33" s="15"/>
      <c r="CDT33" s="25"/>
      <c r="CEA33" s="21"/>
      <c r="CEB33" s="21"/>
      <c r="CEF33" s="15"/>
      <c r="CEL33" s="25"/>
      <c r="CES33" s="21"/>
      <c r="CET33" s="21"/>
      <c r="CEX33" s="15"/>
      <c r="CFD33" s="25"/>
      <c r="CFK33" s="21"/>
      <c r="CFL33" s="21"/>
      <c r="CFP33" s="15"/>
      <c r="CFV33" s="25"/>
      <c r="CGC33" s="21"/>
      <c r="CGD33" s="21"/>
      <c r="CGH33" s="15"/>
      <c r="CGN33" s="25"/>
      <c r="CGU33" s="21"/>
      <c r="CGV33" s="21"/>
      <c r="CGZ33" s="15"/>
      <c r="CHF33" s="25"/>
      <c r="CHM33" s="21"/>
      <c r="CHN33" s="21"/>
      <c r="CHR33" s="15"/>
      <c r="CHX33" s="25"/>
      <c r="CIE33" s="21"/>
      <c r="CIF33" s="21"/>
      <c r="CIJ33" s="15"/>
      <c r="CIP33" s="25"/>
      <c r="CIW33" s="21"/>
      <c r="CIX33" s="21"/>
      <c r="CJB33" s="15"/>
      <c r="CJH33" s="25"/>
      <c r="CJO33" s="21"/>
      <c r="CJP33" s="21"/>
      <c r="CJT33" s="15"/>
      <c r="CJZ33" s="25"/>
      <c r="CKG33" s="21"/>
      <c r="CKH33" s="21"/>
      <c r="CKL33" s="15"/>
      <c r="CKR33" s="25"/>
      <c r="CKY33" s="21"/>
      <c r="CKZ33" s="21"/>
      <c r="CLD33" s="15"/>
      <c r="CLJ33" s="25"/>
      <c r="CLQ33" s="21"/>
      <c r="CLR33" s="21"/>
      <c r="CLV33" s="15"/>
      <c r="CMB33" s="25"/>
      <c r="CMI33" s="21"/>
      <c r="CMJ33" s="21"/>
      <c r="CMN33" s="15"/>
      <c r="CMT33" s="25"/>
      <c r="CNA33" s="21"/>
      <c r="CNB33" s="21"/>
      <c r="CNF33" s="15"/>
      <c r="CNL33" s="25"/>
      <c r="CNS33" s="21"/>
      <c r="CNT33" s="21"/>
      <c r="CNX33" s="15"/>
      <c r="COD33" s="25"/>
      <c r="COK33" s="21"/>
      <c r="COL33" s="21"/>
      <c r="COP33" s="15"/>
      <c r="COV33" s="25"/>
      <c r="CPC33" s="21"/>
      <c r="CPD33" s="21"/>
      <c r="CPH33" s="15"/>
      <c r="CPN33" s="25"/>
      <c r="CPU33" s="21"/>
      <c r="CPV33" s="21"/>
      <c r="CPZ33" s="15"/>
      <c r="CQF33" s="25"/>
      <c r="CQM33" s="21"/>
      <c r="CQN33" s="21"/>
      <c r="CQR33" s="15"/>
      <c r="CQX33" s="25"/>
      <c r="CRE33" s="21"/>
      <c r="CRF33" s="21"/>
      <c r="CRJ33" s="15"/>
      <c r="CRP33" s="25"/>
      <c r="CRW33" s="21"/>
      <c r="CRX33" s="21"/>
      <c r="CSB33" s="15"/>
      <c r="CSH33" s="25"/>
      <c r="CSO33" s="21"/>
      <c r="CSP33" s="21"/>
      <c r="CST33" s="15"/>
      <c r="CSZ33" s="25"/>
      <c r="CTG33" s="21"/>
      <c r="CTH33" s="21"/>
      <c r="CTL33" s="15"/>
      <c r="CTR33" s="25"/>
      <c r="CTY33" s="21"/>
      <c r="CTZ33" s="21"/>
      <c r="CUD33" s="15"/>
      <c r="CUJ33" s="25"/>
      <c r="CUQ33" s="21"/>
      <c r="CUR33" s="21"/>
      <c r="CUV33" s="15"/>
      <c r="CVB33" s="25"/>
      <c r="CVI33" s="21"/>
      <c r="CVJ33" s="21"/>
      <c r="CVN33" s="15"/>
      <c r="CVT33" s="25"/>
      <c r="CWA33" s="21"/>
      <c r="CWB33" s="21"/>
      <c r="CWF33" s="15"/>
      <c r="CWL33" s="25"/>
      <c r="CWS33" s="21"/>
      <c r="CWT33" s="21"/>
      <c r="CWX33" s="15"/>
      <c r="CXD33" s="25"/>
      <c r="CXK33" s="21"/>
      <c r="CXL33" s="21"/>
      <c r="CXP33" s="15"/>
      <c r="CXV33" s="25"/>
      <c r="CYC33" s="21"/>
      <c r="CYD33" s="21"/>
      <c r="CYH33" s="15"/>
      <c r="CYN33" s="25"/>
      <c r="CYU33" s="21"/>
      <c r="CYV33" s="21"/>
      <c r="CYZ33" s="15"/>
      <c r="CZF33" s="25"/>
      <c r="CZM33" s="21"/>
      <c r="CZN33" s="21"/>
      <c r="CZR33" s="15"/>
      <c r="CZX33" s="25"/>
      <c r="DAE33" s="21"/>
      <c r="DAF33" s="21"/>
      <c r="DAJ33" s="15"/>
      <c r="DAP33" s="25"/>
      <c r="DAW33" s="21"/>
      <c r="DAX33" s="21"/>
      <c r="DBB33" s="15"/>
      <c r="DBH33" s="25"/>
      <c r="DBO33" s="21"/>
      <c r="DBP33" s="21"/>
      <c r="DBT33" s="15"/>
      <c r="DBZ33" s="25"/>
      <c r="DCG33" s="21"/>
      <c r="DCH33" s="21"/>
      <c r="DCL33" s="15"/>
      <c r="DCR33" s="25"/>
      <c r="DCY33" s="21"/>
      <c r="DCZ33" s="21"/>
      <c r="DDD33" s="15"/>
      <c r="DDJ33" s="25"/>
      <c r="DDQ33" s="21"/>
      <c r="DDR33" s="21"/>
      <c r="DDV33" s="15"/>
      <c r="DEB33" s="25"/>
      <c r="DEI33" s="21"/>
      <c r="DEJ33" s="21"/>
      <c r="DEN33" s="15"/>
      <c r="DET33" s="25"/>
      <c r="DFA33" s="21"/>
      <c r="DFB33" s="21"/>
      <c r="DFF33" s="15"/>
      <c r="DFL33" s="25"/>
      <c r="DFS33" s="21"/>
      <c r="DFT33" s="21"/>
      <c r="DFX33" s="15"/>
      <c r="DGD33" s="25"/>
      <c r="DGK33" s="21"/>
      <c r="DGL33" s="21"/>
      <c r="DGP33" s="15"/>
      <c r="DGV33" s="25"/>
      <c r="DHC33" s="21"/>
      <c r="DHD33" s="21"/>
      <c r="DHH33" s="15"/>
      <c r="DHN33" s="25"/>
      <c r="DHU33" s="21"/>
      <c r="DHV33" s="21"/>
      <c r="DHZ33" s="15"/>
      <c r="DIF33" s="25"/>
      <c r="DIM33" s="21"/>
      <c r="DIN33" s="21"/>
      <c r="DIR33" s="15"/>
      <c r="DIX33" s="25"/>
      <c r="DJE33" s="21"/>
      <c r="DJF33" s="21"/>
      <c r="DJJ33" s="15"/>
      <c r="DJP33" s="25"/>
      <c r="DJW33" s="21"/>
      <c r="DJX33" s="21"/>
      <c r="DKB33" s="15"/>
      <c r="DKH33" s="25"/>
      <c r="DKO33" s="21"/>
      <c r="DKP33" s="21"/>
      <c r="DKT33" s="15"/>
      <c r="DKZ33" s="25"/>
      <c r="DLG33" s="21"/>
      <c r="DLH33" s="21"/>
      <c r="DLL33" s="15"/>
      <c r="DLR33" s="25"/>
      <c r="DLY33" s="21"/>
      <c r="DLZ33" s="21"/>
      <c r="DMD33" s="15"/>
      <c r="DMJ33" s="25"/>
      <c r="DMQ33" s="21"/>
      <c r="DMR33" s="21"/>
      <c r="DMV33" s="15"/>
      <c r="DNB33" s="25"/>
      <c r="DNI33" s="21"/>
      <c r="DNJ33" s="21"/>
      <c r="DNN33" s="15"/>
      <c r="DNT33" s="25"/>
      <c r="DOA33" s="21"/>
      <c r="DOB33" s="21"/>
      <c r="DOF33" s="15"/>
      <c r="DOL33" s="25"/>
      <c r="DOS33" s="21"/>
      <c r="DOT33" s="21"/>
      <c r="DOX33" s="15"/>
      <c r="DPD33" s="25"/>
      <c r="DPK33" s="21"/>
      <c r="DPL33" s="21"/>
      <c r="DPP33" s="15"/>
      <c r="DPV33" s="25"/>
      <c r="DQC33" s="21"/>
      <c r="DQD33" s="21"/>
      <c r="DQH33" s="15"/>
      <c r="DQN33" s="25"/>
      <c r="DQU33" s="21"/>
      <c r="DQV33" s="21"/>
      <c r="DQZ33" s="15"/>
      <c r="DRF33" s="25"/>
      <c r="DRM33" s="21"/>
      <c r="DRN33" s="21"/>
      <c r="DRR33" s="15"/>
      <c r="DRX33" s="25"/>
      <c r="DSE33" s="21"/>
      <c r="DSF33" s="21"/>
      <c r="DSJ33" s="15"/>
      <c r="DSP33" s="25"/>
      <c r="DSW33" s="21"/>
      <c r="DSX33" s="21"/>
      <c r="DTB33" s="15"/>
      <c r="DTH33" s="25"/>
      <c r="DTO33" s="21"/>
      <c r="DTP33" s="21"/>
      <c r="DTT33" s="15"/>
      <c r="DTZ33" s="25"/>
      <c r="DUG33" s="21"/>
      <c r="DUH33" s="21"/>
      <c r="DUL33" s="15"/>
      <c r="DUR33" s="25"/>
      <c r="DUY33" s="21"/>
      <c r="DUZ33" s="21"/>
      <c r="DVD33" s="15"/>
      <c r="DVJ33" s="25"/>
      <c r="DVQ33" s="21"/>
      <c r="DVR33" s="21"/>
      <c r="DVV33" s="15"/>
      <c r="DWB33" s="25"/>
      <c r="DWI33" s="21"/>
      <c r="DWJ33" s="21"/>
      <c r="DWN33" s="15"/>
      <c r="DWT33" s="25"/>
      <c r="DXA33" s="21"/>
      <c r="DXB33" s="21"/>
      <c r="DXF33" s="15"/>
      <c r="DXL33" s="25"/>
      <c r="DXS33" s="21"/>
      <c r="DXT33" s="21"/>
      <c r="DXX33" s="15"/>
      <c r="DYD33" s="25"/>
      <c r="DYK33" s="21"/>
      <c r="DYL33" s="21"/>
      <c r="DYP33" s="15"/>
      <c r="DYV33" s="25"/>
      <c r="DZC33" s="21"/>
      <c r="DZD33" s="21"/>
      <c r="DZH33" s="15"/>
      <c r="DZN33" s="25"/>
      <c r="DZU33" s="21"/>
      <c r="DZV33" s="21"/>
      <c r="DZZ33" s="15"/>
      <c r="EAF33" s="25"/>
      <c r="EAM33" s="21"/>
      <c r="EAN33" s="21"/>
      <c r="EAR33" s="15"/>
      <c r="EAX33" s="25"/>
      <c r="EBE33" s="21"/>
      <c r="EBF33" s="21"/>
      <c r="EBJ33" s="15"/>
      <c r="EBP33" s="25"/>
      <c r="EBW33" s="21"/>
      <c r="EBX33" s="21"/>
      <c r="ECB33" s="15"/>
      <c r="ECH33" s="25"/>
      <c r="ECO33" s="21"/>
      <c r="ECP33" s="21"/>
      <c r="ECT33" s="15"/>
      <c r="ECZ33" s="25"/>
      <c r="EDG33" s="21"/>
      <c r="EDH33" s="21"/>
      <c r="EDL33" s="15"/>
      <c r="EDR33" s="25"/>
      <c r="EDY33" s="21"/>
      <c r="EDZ33" s="21"/>
      <c r="EED33" s="15"/>
      <c r="EEJ33" s="25"/>
      <c r="EEQ33" s="21"/>
      <c r="EER33" s="21"/>
      <c r="EEV33" s="15"/>
      <c r="EFB33" s="25"/>
      <c r="EFI33" s="21"/>
      <c r="EFJ33" s="21"/>
      <c r="EFN33" s="15"/>
      <c r="EFT33" s="25"/>
      <c r="EGA33" s="21"/>
      <c r="EGB33" s="21"/>
      <c r="EGF33" s="15"/>
      <c r="EGL33" s="25"/>
      <c r="EGS33" s="21"/>
      <c r="EGT33" s="21"/>
      <c r="EGX33" s="15"/>
      <c r="EHD33" s="25"/>
      <c r="EHK33" s="21"/>
      <c r="EHL33" s="21"/>
      <c r="EHP33" s="15"/>
      <c r="EHV33" s="25"/>
      <c r="EIC33" s="21"/>
      <c r="EID33" s="21"/>
      <c r="EIH33" s="15"/>
      <c r="EIN33" s="25"/>
      <c r="EIU33" s="21"/>
      <c r="EIV33" s="21"/>
      <c r="EIZ33" s="15"/>
      <c r="EJF33" s="25"/>
      <c r="EJM33" s="21"/>
      <c r="EJN33" s="21"/>
      <c r="EJR33" s="15"/>
      <c r="EJX33" s="25"/>
      <c r="EKE33" s="21"/>
      <c r="EKF33" s="21"/>
      <c r="EKJ33" s="15"/>
      <c r="EKP33" s="25"/>
      <c r="EKW33" s="21"/>
      <c r="EKX33" s="21"/>
      <c r="ELB33" s="15"/>
      <c r="ELH33" s="25"/>
      <c r="ELO33" s="21"/>
      <c r="ELP33" s="21"/>
      <c r="ELT33" s="15"/>
      <c r="ELZ33" s="25"/>
      <c r="EMG33" s="21"/>
      <c r="EMH33" s="21"/>
      <c r="EML33" s="15"/>
      <c r="EMR33" s="25"/>
      <c r="EMY33" s="21"/>
      <c r="EMZ33" s="21"/>
      <c r="END33" s="15"/>
      <c r="ENJ33" s="25"/>
      <c r="ENQ33" s="21"/>
      <c r="ENR33" s="21"/>
      <c r="ENV33" s="15"/>
      <c r="EOB33" s="25"/>
      <c r="EOI33" s="21"/>
      <c r="EOJ33" s="21"/>
      <c r="EON33" s="15"/>
      <c r="EOT33" s="25"/>
      <c r="EPA33" s="21"/>
      <c r="EPB33" s="21"/>
      <c r="EPF33" s="15"/>
      <c r="EPL33" s="25"/>
      <c r="EPS33" s="21"/>
      <c r="EPT33" s="21"/>
      <c r="EPX33" s="15"/>
      <c r="EQD33" s="25"/>
      <c r="EQK33" s="21"/>
      <c r="EQL33" s="21"/>
      <c r="EQP33" s="15"/>
      <c r="EQV33" s="25"/>
      <c r="ERC33" s="21"/>
      <c r="ERD33" s="21"/>
      <c r="ERH33" s="15"/>
      <c r="ERN33" s="25"/>
      <c r="ERU33" s="21"/>
      <c r="ERV33" s="21"/>
      <c r="ERZ33" s="15"/>
      <c r="ESF33" s="25"/>
      <c r="ESM33" s="21"/>
      <c r="ESN33" s="21"/>
      <c r="ESR33" s="15"/>
      <c r="ESX33" s="25"/>
      <c r="ETE33" s="21"/>
      <c r="ETF33" s="21"/>
      <c r="ETJ33" s="15"/>
      <c r="ETP33" s="25"/>
      <c r="ETW33" s="21"/>
      <c r="ETX33" s="21"/>
      <c r="EUB33" s="15"/>
      <c r="EUH33" s="25"/>
      <c r="EUO33" s="21"/>
      <c r="EUP33" s="21"/>
      <c r="EUT33" s="15"/>
      <c r="EUZ33" s="25"/>
      <c r="EVG33" s="21"/>
      <c r="EVH33" s="21"/>
      <c r="EVL33" s="15"/>
      <c r="EVR33" s="25"/>
      <c r="EVY33" s="21"/>
      <c r="EVZ33" s="21"/>
      <c r="EWD33" s="15"/>
      <c r="EWJ33" s="25"/>
      <c r="EWQ33" s="21"/>
      <c r="EWR33" s="21"/>
      <c r="EWV33" s="15"/>
      <c r="EXB33" s="25"/>
      <c r="EXI33" s="21"/>
      <c r="EXJ33" s="21"/>
      <c r="EXN33" s="15"/>
      <c r="EXT33" s="25"/>
      <c r="EYA33" s="21"/>
      <c r="EYB33" s="21"/>
      <c r="EYF33" s="15"/>
      <c r="EYL33" s="25"/>
      <c r="EYS33" s="21"/>
      <c r="EYT33" s="21"/>
      <c r="EYX33" s="15"/>
      <c r="EZD33" s="25"/>
      <c r="EZK33" s="21"/>
      <c r="EZL33" s="21"/>
      <c r="EZP33" s="15"/>
      <c r="EZV33" s="25"/>
      <c r="FAC33" s="21"/>
      <c r="FAD33" s="21"/>
      <c r="FAH33" s="15"/>
      <c r="FAN33" s="25"/>
      <c r="FAU33" s="21"/>
      <c r="FAV33" s="21"/>
      <c r="FAZ33" s="15"/>
      <c r="FBF33" s="25"/>
      <c r="FBM33" s="21"/>
      <c r="FBN33" s="21"/>
      <c r="FBR33" s="15"/>
      <c r="FBX33" s="25"/>
      <c r="FCE33" s="21"/>
      <c r="FCF33" s="21"/>
      <c r="FCJ33" s="15"/>
      <c r="FCP33" s="25"/>
      <c r="FCW33" s="21"/>
      <c r="FCX33" s="21"/>
      <c r="FDB33" s="15"/>
      <c r="FDH33" s="25"/>
      <c r="FDO33" s="21"/>
      <c r="FDP33" s="21"/>
      <c r="FDT33" s="15"/>
      <c r="FDZ33" s="25"/>
      <c r="FEG33" s="21"/>
      <c r="FEH33" s="21"/>
      <c r="FEL33" s="15"/>
      <c r="FER33" s="25"/>
      <c r="FEY33" s="21"/>
      <c r="FEZ33" s="21"/>
      <c r="FFD33" s="15"/>
      <c r="FFJ33" s="25"/>
      <c r="FFQ33" s="21"/>
      <c r="FFR33" s="21"/>
      <c r="FFV33" s="15"/>
      <c r="FGB33" s="25"/>
      <c r="FGI33" s="21"/>
      <c r="FGJ33" s="21"/>
      <c r="FGN33" s="15"/>
      <c r="FGT33" s="25"/>
      <c r="FHA33" s="21"/>
      <c r="FHB33" s="21"/>
      <c r="FHF33" s="15"/>
      <c r="FHL33" s="25"/>
      <c r="FHS33" s="21"/>
      <c r="FHT33" s="21"/>
      <c r="FHX33" s="15"/>
      <c r="FID33" s="25"/>
      <c r="FIK33" s="21"/>
      <c r="FIL33" s="21"/>
      <c r="FIP33" s="15"/>
      <c r="FIV33" s="25"/>
      <c r="FJC33" s="21"/>
      <c r="FJD33" s="21"/>
      <c r="FJH33" s="15"/>
      <c r="FJN33" s="25"/>
      <c r="FJU33" s="21"/>
      <c r="FJV33" s="21"/>
      <c r="FJZ33" s="15"/>
      <c r="FKF33" s="25"/>
      <c r="FKM33" s="21"/>
      <c r="FKN33" s="21"/>
      <c r="FKR33" s="15"/>
      <c r="FKX33" s="25"/>
      <c r="FLE33" s="21"/>
      <c r="FLF33" s="21"/>
      <c r="FLJ33" s="15"/>
      <c r="FLP33" s="25"/>
      <c r="FLW33" s="21"/>
      <c r="FLX33" s="21"/>
      <c r="FMB33" s="15"/>
      <c r="FMH33" s="25"/>
      <c r="FMO33" s="21"/>
      <c r="FMP33" s="21"/>
      <c r="FMT33" s="15"/>
      <c r="FMZ33" s="25"/>
      <c r="FNG33" s="21"/>
      <c r="FNH33" s="21"/>
      <c r="FNL33" s="15"/>
      <c r="FNR33" s="25"/>
      <c r="FNY33" s="21"/>
      <c r="FNZ33" s="21"/>
      <c r="FOD33" s="15"/>
      <c r="FOJ33" s="25"/>
      <c r="FOQ33" s="21"/>
      <c r="FOR33" s="21"/>
      <c r="FOV33" s="15"/>
      <c r="FPB33" s="25"/>
      <c r="FPI33" s="21"/>
      <c r="FPJ33" s="21"/>
      <c r="FPN33" s="15"/>
      <c r="FPT33" s="25"/>
      <c r="FQA33" s="21"/>
      <c r="FQB33" s="21"/>
      <c r="FQF33" s="15"/>
      <c r="FQL33" s="25"/>
      <c r="FQS33" s="21"/>
      <c r="FQT33" s="21"/>
      <c r="FQX33" s="15"/>
      <c r="FRD33" s="25"/>
      <c r="FRK33" s="21"/>
      <c r="FRL33" s="21"/>
      <c r="FRP33" s="15"/>
      <c r="FRV33" s="25"/>
      <c r="FSC33" s="21"/>
      <c r="FSD33" s="21"/>
      <c r="FSH33" s="15"/>
      <c r="FSN33" s="25"/>
      <c r="FSU33" s="21"/>
      <c r="FSV33" s="21"/>
      <c r="FSZ33" s="15"/>
      <c r="FTF33" s="25"/>
      <c r="FTM33" s="21"/>
      <c r="FTN33" s="21"/>
      <c r="FTR33" s="15"/>
      <c r="FTX33" s="25"/>
      <c r="FUE33" s="21"/>
      <c r="FUF33" s="21"/>
      <c r="FUJ33" s="15"/>
      <c r="FUP33" s="25"/>
      <c r="FUW33" s="21"/>
      <c r="FUX33" s="21"/>
      <c r="FVB33" s="15"/>
      <c r="FVH33" s="25"/>
      <c r="FVO33" s="21"/>
      <c r="FVP33" s="21"/>
      <c r="FVT33" s="15"/>
      <c r="FVZ33" s="25"/>
      <c r="FWG33" s="21"/>
      <c r="FWH33" s="21"/>
      <c r="FWL33" s="15"/>
      <c r="FWR33" s="25"/>
      <c r="FWY33" s="21"/>
      <c r="FWZ33" s="21"/>
      <c r="FXD33" s="15"/>
      <c r="FXJ33" s="25"/>
      <c r="FXQ33" s="21"/>
      <c r="FXR33" s="21"/>
      <c r="FXV33" s="15"/>
      <c r="FYB33" s="25"/>
      <c r="FYI33" s="21"/>
      <c r="FYJ33" s="21"/>
      <c r="FYN33" s="15"/>
      <c r="FYT33" s="25"/>
      <c r="FZA33" s="21"/>
      <c r="FZB33" s="21"/>
      <c r="FZF33" s="15"/>
      <c r="FZL33" s="25"/>
      <c r="FZS33" s="21"/>
      <c r="FZT33" s="21"/>
      <c r="FZX33" s="15"/>
      <c r="GAD33" s="25"/>
      <c r="GAK33" s="21"/>
      <c r="GAL33" s="21"/>
      <c r="GAP33" s="15"/>
      <c r="GAV33" s="25"/>
      <c r="GBC33" s="21"/>
      <c r="GBD33" s="21"/>
      <c r="GBH33" s="15"/>
      <c r="GBN33" s="25"/>
      <c r="GBU33" s="21"/>
      <c r="GBV33" s="21"/>
      <c r="GBZ33" s="15"/>
      <c r="GCF33" s="25"/>
      <c r="GCM33" s="21"/>
      <c r="GCN33" s="21"/>
      <c r="GCR33" s="15"/>
      <c r="GCX33" s="25"/>
      <c r="GDE33" s="21"/>
      <c r="GDF33" s="21"/>
      <c r="GDJ33" s="15"/>
      <c r="GDP33" s="25"/>
      <c r="GDW33" s="21"/>
      <c r="GDX33" s="21"/>
      <c r="GEB33" s="15"/>
      <c r="GEH33" s="25"/>
      <c r="GEO33" s="21"/>
      <c r="GEP33" s="21"/>
      <c r="GET33" s="15"/>
      <c r="GEZ33" s="25"/>
      <c r="GFG33" s="21"/>
      <c r="GFH33" s="21"/>
      <c r="GFL33" s="15"/>
      <c r="GFR33" s="25"/>
      <c r="GFY33" s="21"/>
      <c r="GFZ33" s="21"/>
      <c r="GGD33" s="15"/>
      <c r="GGJ33" s="25"/>
      <c r="GGQ33" s="21"/>
      <c r="GGR33" s="21"/>
      <c r="GGV33" s="15"/>
      <c r="GHB33" s="25"/>
      <c r="GHI33" s="21"/>
      <c r="GHJ33" s="21"/>
      <c r="GHN33" s="15"/>
      <c r="GHT33" s="25"/>
      <c r="GIA33" s="21"/>
      <c r="GIB33" s="21"/>
      <c r="GIF33" s="15"/>
      <c r="GIL33" s="25"/>
      <c r="GIS33" s="21"/>
      <c r="GIT33" s="21"/>
      <c r="GIX33" s="15"/>
      <c r="GJD33" s="25"/>
      <c r="GJK33" s="21"/>
      <c r="GJL33" s="21"/>
      <c r="GJP33" s="15"/>
      <c r="GJV33" s="25"/>
      <c r="GKC33" s="21"/>
      <c r="GKD33" s="21"/>
      <c r="GKH33" s="15"/>
      <c r="GKN33" s="25"/>
      <c r="GKU33" s="21"/>
      <c r="GKV33" s="21"/>
      <c r="GKZ33" s="15"/>
      <c r="GLF33" s="25"/>
      <c r="GLM33" s="21"/>
      <c r="GLN33" s="21"/>
      <c r="GLR33" s="15"/>
      <c r="GLX33" s="25"/>
      <c r="GME33" s="21"/>
      <c r="GMF33" s="21"/>
      <c r="GMJ33" s="15"/>
      <c r="GMP33" s="25"/>
      <c r="GMW33" s="21"/>
      <c r="GMX33" s="21"/>
      <c r="GNB33" s="15"/>
      <c r="GNH33" s="25"/>
      <c r="GNO33" s="21"/>
      <c r="GNP33" s="21"/>
      <c r="GNT33" s="15"/>
      <c r="GNZ33" s="25"/>
      <c r="GOG33" s="21"/>
      <c r="GOH33" s="21"/>
      <c r="GOL33" s="15"/>
      <c r="GOR33" s="25"/>
      <c r="GOY33" s="21"/>
      <c r="GOZ33" s="21"/>
      <c r="GPD33" s="15"/>
      <c r="GPJ33" s="25"/>
      <c r="GPQ33" s="21"/>
      <c r="GPR33" s="21"/>
      <c r="GPV33" s="15"/>
      <c r="GQB33" s="25"/>
      <c r="GQI33" s="21"/>
      <c r="GQJ33" s="21"/>
      <c r="GQN33" s="15"/>
      <c r="GQT33" s="25"/>
      <c r="GRA33" s="21"/>
      <c r="GRB33" s="21"/>
      <c r="GRF33" s="15"/>
      <c r="GRL33" s="25"/>
      <c r="GRS33" s="21"/>
      <c r="GRT33" s="21"/>
      <c r="GRX33" s="15"/>
      <c r="GSD33" s="25"/>
      <c r="GSK33" s="21"/>
      <c r="GSL33" s="21"/>
      <c r="GSP33" s="15"/>
      <c r="GSV33" s="25"/>
      <c r="GTC33" s="21"/>
      <c r="GTD33" s="21"/>
      <c r="GTH33" s="15"/>
      <c r="GTN33" s="25"/>
      <c r="GTU33" s="21"/>
      <c r="GTV33" s="21"/>
      <c r="GTZ33" s="15"/>
      <c r="GUF33" s="25"/>
      <c r="GUM33" s="21"/>
      <c r="GUN33" s="21"/>
      <c r="GUR33" s="15"/>
      <c r="GUX33" s="25"/>
      <c r="GVE33" s="21"/>
      <c r="GVF33" s="21"/>
      <c r="GVJ33" s="15"/>
      <c r="GVP33" s="25"/>
      <c r="GVW33" s="21"/>
      <c r="GVX33" s="21"/>
      <c r="GWB33" s="15"/>
      <c r="GWH33" s="25"/>
      <c r="GWO33" s="21"/>
      <c r="GWP33" s="21"/>
      <c r="GWT33" s="15"/>
      <c r="GWZ33" s="25"/>
      <c r="GXG33" s="21"/>
      <c r="GXH33" s="21"/>
      <c r="GXL33" s="15"/>
      <c r="GXR33" s="25"/>
      <c r="GXY33" s="21"/>
      <c r="GXZ33" s="21"/>
      <c r="GYD33" s="15"/>
      <c r="GYJ33" s="25"/>
      <c r="GYQ33" s="21"/>
      <c r="GYR33" s="21"/>
      <c r="GYV33" s="15"/>
      <c r="GZB33" s="25"/>
      <c r="GZI33" s="21"/>
      <c r="GZJ33" s="21"/>
      <c r="GZN33" s="15"/>
      <c r="GZT33" s="25"/>
      <c r="HAA33" s="21"/>
      <c r="HAB33" s="21"/>
      <c r="HAF33" s="15"/>
      <c r="HAL33" s="25"/>
      <c r="HAS33" s="21"/>
      <c r="HAT33" s="21"/>
      <c r="HAX33" s="15"/>
      <c r="HBD33" s="25"/>
      <c r="HBK33" s="21"/>
      <c r="HBL33" s="21"/>
      <c r="HBP33" s="15"/>
      <c r="HBV33" s="25"/>
      <c r="HCC33" s="21"/>
      <c r="HCD33" s="21"/>
      <c r="HCH33" s="15"/>
      <c r="HCN33" s="25"/>
      <c r="HCU33" s="21"/>
      <c r="HCV33" s="21"/>
      <c r="HCZ33" s="15"/>
      <c r="HDF33" s="25"/>
      <c r="HDM33" s="21"/>
      <c r="HDN33" s="21"/>
      <c r="HDR33" s="15"/>
      <c r="HDX33" s="25"/>
      <c r="HEE33" s="21"/>
      <c r="HEF33" s="21"/>
      <c r="HEJ33" s="15"/>
      <c r="HEP33" s="25"/>
      <c r="HEW33" s="21"/>
      <c r="HEX33" s="21"/>
      <c r="HFB33" s="15"/>
      <c r="HFH33" s="25"/>
      <c r="HFO33" s="21"/>
      <c r="HFP33" s="21"/>
      <c r="HFT33" s="15"/>
      <c r="HFZ33" s="25"/>
      <c r="HGG33" s="21"/>
      <c r="HGH33" s="21"/>
      <c r="HGL33" s="15"/>
      <c r="HGR33" s="25"/>
      <c r="HGY33" s="21"/>
      <c r="HGZ33" s="21"/>
      <c r="HHD33" s="15"/>
      <c r="HHJ33" s="25"/>
      <c r="HHQ33" s="21"/>
      <c r="HHR33" s="21"/>
      <c r="HHV33" s="15"/>
      <c r="HIB33" s="25"/>
      <c r="HII33" s="21"/>
      <c r="HIJ33" s="21"/>
      <c r="HIN33" s="15"/>
      <c r="HIT33" s="25"/>
      <c r="HJA33" s="21"/>
      <c r="HJB33" s="21"/>
      <c r="HJF33" s="15"/>
      <c r="HJL33" s="25"/>
      <c r="HJS33" s="21"/>
      <c r="HJT33" s="21"/>
      <c r="HJX33" s="15"/>
      <c r="HKD33" s="25"/>
      <c r="HKK33" s="21"/>
      <c r="HKL33" s="21"/>
      <c r="HKP33" s="15"/>
      <c r="HKV33" s="25"/>
      <c r="HLC33" s="21"/>
      <c r="HLD33" s="21"/>
      <c r="HLH33" s="15"/>
      <c r="HLN33" s="25"/>
      <c r="HLU33" s="21"/>
      <c r="HLV33" s="21"/>
      <c r="HLZ33" s="15"/>
      <c r="HMF33" s="25"/>
      <c r="HMM33" s="21"/>
      <c r="HMN33" s="21"/>
      <c r="HMR33" s="15"/>
      <c r="HMX33" s="25"/>
      <c r="HNE33" s="21"/>
      <c r="HNF33" s="21"/>
      <c r="HNJ33" s="15"/>
      <c r="HNP33" s="25"/>
      <c r="HNW33" s="21"/>
      <c r="HNX33" s="21"/>
      <c r="HOB33" s="15"/>
      <c r="HOH33" s="25"/>
      <c r="HOO33" s="21"/>
      <c r="HOP33" s="21"/>
      <c r="HOT33" s="15"/>
      <c r="HOZ33" s="25"/>
      <c r="HPG33" s="21"/>
      <c r="HPH33" s="21"/>
      <c r="HPL33" s="15"/>
      <c r="HPR33" s="25"/>
      <c r="HPY33" s="21"/>
      <c r="HPZ33" s="21"/>
      <c r="HQD33" s="15"/>
      <c r="HQJ33" s="25"/>
      <c r="HQQ33" s="21"/>
      <c r="HQR33" s="21"/>
      <c r="HQV33" s="15"/>
      <c r="HRB33" s="25"/>
      <c r="HRI33" s="21"/>
      <c r="HRJ33" s="21"/>
      <c r="HRN33" s="15"/>
      <c r="HRT33" s="25"/>
      <c r="HSA33" s="21"/>
      <c r="HSB33" s="21"/>
      <c r="HSF33" s="15"/>
      <c r="HSL33" s="25"/>
      <c r="HSS33" s="21"/>
      <c r="HST33" s="21"/>
      <c r="HSX33" s="15"/>
      <c r="HTD33" s="25"/>
      <c r="HTK33" s="21"/>
      <c r="HTL33" s="21"/>
      <c r="HTP33" s="15"/>
      <c r="HTV33" s="25"/>
      <c r="HUC33" s="21"/>
      <c r="HUD33" s="21"/>
      <c r="HUH33" s="15"/>
      <c r="HUN33" s="25"/>
      <c r="HUU33" s="21"/>
      <c r="HUV33" s="21"/>
      <c r="HUZ33" s="15"/>
      <c r="HVF33" s="25"/>
      <c r="HVM33" s="21"/>
      <c r="HVN33" s="21"/>
      <c r="HVR33" s="15"/>
      <c r="HVX33" s="25"/>
      <c r="HWE33" s="21"/>
      <c r="HWF33" s="21"/>
      <c r="HWJ33" s="15"/>
      <c r="HWP33" s="25"/>
      <c r="HWW33" s="21"/>
      <c r="HWX33" s="21"/>
      <c r="HXB33" s="15"/>
      <c r="HXH33" s="25"/>
      <c r="HXO33" s="21"/>
      <c r="HXP33" s="21"/>
      <c r="HXT33" s="15"/>
      <c r="HXZ33" s="25"/>
      <c r="HYG33" s="21"/>
      <c r="HYH33" s="21"/>
      <c r="HYL33" s="15"/>
      <c r="HYR33" s="25"/>
      <c r="HYY33" s="21"/>
      <c r="HYZ33" s="21"/>
      <c r="HZD33" s="15"/>
      <c r="HZJ33" s="25"/>
      <c r="HZQ33" s="21"/>
      <c r="HZR33" s="21"/>
      <c r="HZV33" s="15"/>
      <c r="IAB33" s="25"/>
      <c r="IAI33" s="21"/>
      <c r="IAJ33" s="21"/>
      <c r="IAN33" s="15"/>
      <c r="IAT33" s="25"/>
      <c r="IBA33" s="21"/>
      <c r="IBB33" s="21"/>
      <c r="IBF33" s="15"/>
      <c r="IBL33" s="25"/>
      <c r="IBS33" s="21"/>
      <c r="IBT33" s="21"/>
      <c r="IBX33" s="15"/>
      <c r="ICD33" s="25"/>
      <c r="ICK33" s="21"/>
      <c r="ICL33" s="21"/>
      <c r="ICP33" s="15"/>
      <c r="ICV33" s="25"/>
      <c r="IDC33" s="21"/>
      <c r="IDD33" s="21"/>
      <c r="IDH33" s="15"/>
      <c r="IDN33" s="25"/>
      <c r="IDU33" s="21"/>
      <c r="IDV33" s="21"/>
      <c r="IDZ33" s="15"/>
      <c r="IEF33" s="25"/>
      <c r="IEM33" s="21"/>
      <c r="IEN33" s="21"/>
      <c r="IER33" s="15"/>
      <c r="IEX33" s="25"/>
      <c r="IFE33" s="21"/>
      <c r="IFF33" s="21"/>
      <c r="IFJ33" s="15"/>
      <c r="IFP33" s="25"/>
      <c r="IFW33" s="21"/>
      <c r="IFX33" s="21"/>
      <c r="IGB33" s="15"/>
      <c r="IGH33" s="25"/>
      <c r="IGO33" s="21"/>
      <c r="IGP33" s="21"/>
      <c r="IGT33" s="15"/>
      <c r="IGZ33" s="25"/>
      <c r="IHG33" s="21"/>
      <c r="IHH33" s="21"/>
      <c r="IHL33" s="15"/>
      <c r="IHR33" s="25"/>
      <c r="IHY33" s="21"/>
      <c r="IHZ33" s="21"/>
      <c r="IID33" s="15"/>
      <c r="IIJ33" s="25"/>
      <c r="IIQ33" s="21"/>
      <c r="IIR33" s="21"/>
      <c r="IIV33" s="15"/>
      <c r="IJB33" s="25"/>
      <c r="IJI33" s="21"/>
      <c r="IJJ33" s="21"/>
      <c r="IJN33" s="15"/>
      <c r="IJT33" s="25"/>
      <c r="IKA33" s="21"/>
      <c r="IKB33" s="21"/>
      <c r="IKF33" s="15"/>
      <c r="IKL33" s="25"/>
      <c r="IKS33" s="21"/>
      <c r="IKT33" s="21"/>
      <c r="IKX33" s="15"/>
      <c r="ILD33" s="25"/>
      <c r="ILK33" s="21"/>
      <c r="ILL33" s="21"/>
      <c r="ILP33" s="15"/>
      <c r="ILV33" s="25"/>
      <c r="IMC33" s="21"/>
      <c r="IMD33" s="21"/>
      <c r="IMH33" s="15"/>
      <c r="IMN33" s="25"/>
      <c r="IMU33" s="21"/>
      <c r="IMV33" s="21"/>
      <c r="IMZ33" s="15"/>
      <c r="INF33" s="25"/>
      <c r="INM33" s="21"/>
      <c r="INN33" s="21"/>
      <c r="INR33" s="15"/>
      <c r="INX33" s="25"/>
      <c r="IOE33" s="21"/>
      <c r="IOF33" s="21"/>
      <c r="IOJ33" s="15"/>
      <c r="IOP33" s="25"/>
      <c r="IOW33" s="21"/>
      <c r="IOX33" s="21"/>
      <c r="IPB33" s="15"/>
      <c r="IPH33" s="25"/>
      <c r="IPO33" s="21"/>
      <c r="IPP33" s="21"/>
      <c r="IPT33" s="15"/>
      <c r="IPZ33" s="25"/>
      <c r="IQG33" s="21"/>
      <c r="IQH33" s="21"/>
      <c r="IQL33" s="15"/>
      <c r="IQR33" s="25"/>
      <c r="IQY33" s="21"/>
      <c r="IQZ33" s="21"/>
      <c r="IRD33" s="15"/>
      <c r="IRJ33" s="25"/>
      <c r="IRQ33" s="21"/>
      <c r="IRR33" s="21"/>
      <c r="IRV33" s="15"/>
      <c r="ISB33" s="25"/>
      <c r="ISI33" s="21"/>
      <c r="ISJ33" s="21"/>
      <c r="ISN33" s="15"/>
      <c r="IST33" s="25"/>
      <c r="ITA33" s="21"/>
      <c r="ITB33" s="21"/>
      <c r="ITF33" s="15"/>
      <c r="ITL33" s="25"/>
      <c r="ITS33" s="21"/>
      <c r="ITT33" s="21"/>
      <c r="ITX33" s="15"/>
      <c r="IUD33" s="25"/>
      <c r="IUK33" s="21"/>
      <c r="IUL33" s="21"/>
      <c r="IUP33" s="15"/>
      <c r="IUV33" s="25"/>
      <c r="IVC33" s="21"/>
      <c r="IVD33" s="21"/>
      <c r="IVH33" s="15"/>
      <c r="IVN33" s="25"/>
      <c r="IVU33" s="21"/>
      <c r="IVV33" s="21"/>
      <c r="IVZ33" s="15"/>
      <c r="IWF33" s="25"/>
      <c r="IWM33" s="21"/>
      <c r="IWN33" s="21"/>
      <c r="IWR33" s="15"/>
      <c r="IWX33" s="25"/>
      <c r="IXE33" s="21"/>
      <c r="IXF33" s="21"/>
      <c r="IXJ33" s="15"/>
      <c r="IXP33" s="25"/>
      <c r="IXW33" s="21"/>
      <c r="IXX33" s="21"/>
      <c r="IYB33" s="15"/>
      <c r="IYH33" s="25"/>
      <c r="IYO33" s="21"/>
      <c r="IYP33" s="21"/>
      <c r="IYT33" s="15"/>
      <c r="IYZ33" s="25"/>
      <c r="IZG33" s="21"/>
      <c r="IZH33" s="21"/>
      <c r="IZL33" s="15"/>
      <c r="IZR33" s="25"/>
      <c r="IZY33" s="21"/>
      <c r="IZZ33" s="21"/>
      <c r="JAD33" s="15"/>
      <c r="JAJ33" s="25"/>
      <c r="JAQ33" s="21"/>
      <c r="JAR33" s="21"/>
      <c r="JAV33" s="15"/>
      <c r="JBB33" s="25"/>
      <c r="JBI33" s="21"/>
      <c r="JBJ33" s="21"/>
      <c r="JBN33" s="15"/>
      <c r="JBT33" s="25"/>
      <c r="JCA33" s="21"/>
      <c r="JCB33" s="21"/>
      <c r="JCF33" s="15"/>
      <c r="JCL33" s="25"/>
      <c r="JCS33" s="21"/>
      <c r="JCT33" s="21"/>
      <c r="JCX33" s="15"/>
      <c r="JDD33" s="25"/>
      <c r="JDK33" s="21"/>
      <c r="JDL33" s="21"/>
      <c r="JDP33" s="15"/>
      <c r="JDV33" s="25"/>
      <c r="JEC33" s="21"/>
      <c r="JED33" s="21"/>
      <c r="JEH33" s="15"/>
      <c r="JEN33" s="25"/>
      <c r="JEU33" s="21"/>
      <c r="JEV33" s="21"/>
      <c r="JEZ33" s="15"/>
      <c r="JFF33" s="25"/>
      <c r="JFM33" s="21"/>
      <c r="JFN33" s="21"/>
      <c r="JFR33" s="15"/>
      <c r="JFX33" s="25"/>
      <c r="JGE33" s="21"/>
      <c r="JGF33" s="21"/>
      <c r="JGJ33" s="15"/>
      <c r="JGP33" s="25"/>
      <c r="JGW33" s="21"/>
      <c r="JGX33" s="21"/>
      <c r="JHB33" s="15"/>
      <c r="JHH33" s="25"/>
      <c r="JHO33" s="21"/>
      <c r="JHP33" s="21"/>
      <c r="JHT33" s="15"/>
      <c r="JHZ33" s="25"/>
      <c r="JIG33" s="21"/>
      <c r="JIH33" s="21"/>
      <c r="JIL33" s="15"/>
      <c r="JIR33" s="25"/>
      <c r="JIY33" s="21"/>
      <c r="JIZ33" s="21"/>
      <c r="JJD33" s="15"/>
      <c r="JJJ33" s="25"/>
      <c r="JJQ33" s="21"/>
      <c r="JJR33" s="21"/>
      <c r="JJV33" s="15"/>
      <c r="JKB33" s="25"/>
      <c r="JKI33" s="21"/>
      <c r="JKJ33" s="21"/>
      <c r="JKN33" s="15"/>
      <c r="JKT33" s="25"/>
      <c r="JLA33" s="21"/>
      <c r="JLB33" s="21"/>
      <c r="JLF33" s="15"/>
      <c r="JLL33" s="25"/>
      <c r="JLS33" s="21"/>
      <c r="JLT33" s="21"/>
      <c r="JLX33" s="15"/>
      <c r="JMD33" s="25"/>
      <c r="JMK33" s="21"/>
      <c r="JML33" s="21"/>
      <c r="JMP33" s="15"/>
      <c r="JMV33" s="25"/>
      <c r="JNC33" s="21"/>
      <c r="JND33" s="21"/>
      <c r="JNH33" s="15"/>
      <c r="JNN33" s="25"/>
      <c r="JNU33" s="21"/>
      <c r="JNV33" s="21"/>
      <c r="JNZ33" s="15"/>
      <c r="JOF33" s="25"/>
      <c r="JOM33" s="21"/>
      <c r="JON33" s="21"/>
      <c r="JOR33" s="15"/>
      <c r="JOX33" s="25"/>
      <c r="JPE33" s="21"/>
      <c r="JPF33" s="21"/>
      <c r="JPJ33" s="15"/>
      <c r="JPP33" s="25"/>
      <c r="JPW33" s="21"/>
      <c r="JPX33" s="21"/>
      <c r="JQB33" s="15"/>
      <c r="JQH33" s="25"/>
      <c r="JQO33" s="21"/>
      <c r="JQP33" s="21"/>
      <c r="JQT33" s="15"/>
      <c r="JQZ33" s="25"/>
      <c r="JRG33" s="21"/>
      <c r="JRH33" s="21"/>
      <c r="JRL33" s="15"/>
      <c r="JRR33" s="25"/>
      <c r="JRY33" s="21"/>
      <c r="JRZ33" s="21"/>
      <c r="JSD33" s="15"/>
      <c r="JSJ33" s="25"/>
      <c r="JSQ33" s="21"/>
      <c r="JSR33" s="21"/>
      <c r="JSV33" s="15"/>
      <c r="JTB33" s="25"/>
      <c r="JTI33" s="21"/>
      <c r="JTJ33" s="21"/>
      <c r="JTN33" s="15"/>
      <c r="JTT33" s="25"/>
      <c r="JUA33" s="21"/>
      <c r="JUB33" s="21"/>
      <c r="JUF33" s="15"/>
      <c r="JUL33" s="25"/>
      <c r="JUS33" s="21"/>
      <c r="JUT33" s="21"/>
      <c r="JUX33" s="15"/>
      <c r="JVD33" s="25"/>
      <c r="JVK33" s="21"/>
      <c r="JVL33" s="21"/>
      <c r="JVP33" s="15"/>
      <c r="JVV33" s="25"/>
      <c r="JWC33" s="21"/>
      <c r="JWD33" s="21"/>
      <c r="JWH33" s="15"/>
      <c r="JWN33" s="25"/>
      <c r="JWU33" s="21"/>
      <c r="JWV33" s="21"/>
      <c r="JWZ33" s="15"/>
      <c r="JXF33" s="25"/>
      <c r="JXM33" s="21"/>
      <c r="JXN33" s="21"/>
      <c r="JXR33" s="15"/>
      <c r="JXX33" s="25"/>
      <c r="JYE33" s="21"/>
      <c r="JYF33" s="21"/>
      <c r="JYJ33" s="15"/>
      <c r="JYP33" s="25"/>
      <c r="JYW33" s="21"/>
      <c r="JYX33" s="21"/>
      <c r="JZB33" s="15"/>
      <c r="JZH33" s="25"/>
      <c r="JZO33" s="21"/>
      <c r="JZP33" s="21"/>
      <c r="JZT33" s="15"/>
      <c r="JZZ33" s="25"/>
      <c r="KAG33" s="21"/>
      <c r="KAH33" s="21"/>
      <c r="KAL33" s="15"/>
      <c r="KAR33" s="25"/>
      <c r="KAY33" s="21"/>
      <c r="KAZ33" s="21"/>
      <c r="KBD33" s="15"/>
      <c r="KBJ33" s="25"/>
      <c r="KBQ33" s="21"/>
      <c r="KBR33" s="21"/>
      <c r="KBV33" s="15"/>
      <c r="KCB33" s="25"/>
      <c r="KCI33" s="21"/>
      <c r="KCJ33" s="21"/>
      <c r="KCN33" s="15"/>
      <c r="KCT33" s="25"/>
      <c r="KDA33" s="21"/>
      <c r="KDB33" s="21"/>
      <c r="KDF33" s="15"/>
      <c r="KDL33" s="25"/>
      <c r="KDS33" s="21"/>
      <c r="KDT33" s="21"/>
      <c r="KDX33" s="15"/>
      <c r="KED33" s="25"/>
      <c r="KEK33" s="21"/>
      <c r="KEL33" s="21"/>
      <c r="KEP33" s="15"/>
      <c r="KEV33" s="25"/>
      <c r="KFC33" s="21"/>
      <c r="KFD33" s="21"/>
      <c r="KFH33" s="15"/>
      <c r="KFN33" s="25"/>
      <c r="KFU33" s="21"/>
      <c r="KFV33" s="21"/>
      <c r="KFZ33" s="15"/>
      <c r="KGF33" s="25"/>
      <c r="KGM33" s="21"/>
      <c r="KGN33" s="21"/>
      <c r="KGR33" s="15"/>
      <c r="KGX33" s="25"/>
      <c r="KHE33" s="21"/>
      <c r="KHF33" s="21"/>
      <c r="KHJ33" s="15"/>
      <c r="KHP33" s="25"/>
      <c r="KHW33" s="21"/>
      <c r="KHX33" s="21"/>
      <c r="KIB33" s="15"/>
      <c r="KIH33" s="25"/>
      <c r="KIO33" s="21"/>
      <c r="KIP33" s="21"/>
      <c r="KIT33" s="15"/>
      <c r="KIZ33" s="25"/>
      <c r="KJG33" s="21"/>
      <c r="KJH33" s="21"/>
      <c r="KJL33" s="15"/>
      <c r="KJR33" s="25"/>
      <c r="KJY33" s="21"/>
      <c r="KJZ33" s="21"/>
      <c r="KKD33" s="15"/>
      <c r="KKJ33" s="25"/>
      <c r="KKQ33" s="21"/>
      <c r="KKR33" s="21"/>
      <c r="KKV33" s="15"/>
      <c r="KLB33" s="25"/>
      <c r="KLI33" s="21"/>
      <c r="KLJ33" s="21"/>
      <c r="KLN33" s="15"/>
      <c r="KLT33" s="25"/>
      <c r="KMA33" s="21"/>
      <c r="KMB33" s="21"/>
      <c r="KMF33" s="15"/>
      <c r="KML33" s="25"/>
      <c r="KMS33" s="21"/>
      <c r="KMT33" s="21"/>
      <c r="KMX33" s="15"/>
      <c r="KND33" s="25"/>
      <c r="KNK33" s="21"/>
      <c r="KNL33" s="21"/>
      <c r="KNP33" s="15"/>
      <c r="KNV33" s="25"/>
      <c r="KOC33" s="21"/>
      <c r="KOD33" s="21"/>
      <c r="KOH33" s="15"/>
      <c r="KON33" s="25"/>
      <c r="KOU33" s="21"/>
      <c r="KOV33" s="21"/>
      <c r="KOZ33" s="15"/>
      <c r="KPF33" s="25"/>
      <c r="KPM33" s="21"/>
      <c r="KPN33" s="21"/>
      <c r="KPR33" s="15"/>
      <c r="KPX33" s="25"/>
      <c r="KQE33" s="21"/>
      <c r="KQF33" s="21"/>
      <c r="KQJ33" s="15"/>
      <c r="KQP33" s="25"/>
      <c r="KQW33" s="21"/>
      <c r="KQX33" s="21"/>
      <c r="KRB33" s="15"/>
      <c r="KRH33" s="25"/>
      <c r="KRO33" s="21"/>
      <c r="KRP33" s="21"/>
      <c r="KRT33" s="15"/>
      <c r="KRZ33" s="25"/>
      <c r="KSG33" s="21"/>
      <c r="KSH33" s="21"/>
      <c r="KSL33" s="15"/>
      <c r="KSR33" s="25"/>
      <c r="KSY33" s="21"/>
      <c r="KSZ33" s="21"/>
      <c r="KTD33" s="15"/>
      <c r="KTJ33" s="25"/>
      <c r="KTQ33" s="21"/>
      <c r="KTR33" s="21"/>
      <c r="KTV33" s="15"/>
      <c r="KUB33" s="25"/>
      <c r="KUI33" s="21"/>
      <c r="KUJ33" s="21"/>
      <c r="KUN33" s="15"/>
      <c r="KUT33" s="25"/>
      <c r="KVA33" s="21"/>
      <c r="KVB33" s="21"/>
      <c r="KVF33" s="15"/>
      <c r="KVL33" s="25"/>
      <c r="KVS33" s="21"/>
      <c r="KVT33" s="21"/>
      <c r="KVX33" s="15"/>
      <c r="KWD33" s="25"/>
      <c r="KWK33" s="21"/>
      <c r="KWL33" s="21"/>
      <c r="KWP33" s="15"/>
      <c r="KWV33" s="25"/>
      <c r="KXC33" s="21"/>
      <c r="KXD33" s="21"/>
      <c r="KXH33" s="15"/>
      <c r="KXN33" s="25"/>
      <c r="KXU33" s="21"/>
      <c r="KXV33" s="21"/>
      <c r="KXZ33" s="15"/>
      <c r="KYF33" s="25"/>
      <c r="KYM33" s="21"/>
      <c r="KYN33" s="21"/>
      <c r="KYR33" s="15"/>
      <c r="KYX33" s="25"/>
      <c r="KZE33" s="21"/>
      <c r="KZF33" s="21"/>
      <c r="KZJ33" s="15"/>
      <c r="KZP33" s="25"/>
      <c r="KZW33" s="21"/>
      <c r="KZX33" s="21"/>
      <c r="LAB33" s="15"/>
      <c r="LAH33" s="25"/>
      <c r="LAO33" s="21"/>
      <c r="LAP33" s="21"/>
      <c r="LAT33" s="15"/>
      <c r="LAZ33" s="25"/>
      <c r="LBG33" s="21"/>
      <c r="LBH33" s="21"/>
      <c r="LBL33" s="15"/>
      <c r="LBR33" s="25"/>
      <c r="LBY33" s="21"/>
      <c r="LBZ33" s="21"/>
      <c r="LCD33" s="15"/>
      <c r="LCJ33" s="25"/>
      <c r="LCQ33" s="21"/>
      <c r="LCR33" s="21"/>
      <c r="LCV33" s="15"/>
      <c r="LDB33" s="25"/>
      <c r="LDI33" s="21"/>
      <c r="LDJ33" s="21"/>
      <c r="LDN33" s="15"/>
      <c r="LDT33" s="25"/>
      <c r="LEA33" s="21"/>
      <c r="LEB33" s="21"/>
      <c r="LEF33" s="15"/>
      <c r="LEL33" s="25"/>
      <c r="LES33" s="21"/>
      <c r="LET33" s="21"/>
      <c r="LEX33" s="15"/>
      <c r="LFD33" s="25"/>
      <c r="LFK33" s="21"/>
      <c r="LFL33" s="21"/>
      <c r="LFP33" s="15"/>
      <c r="LFV33" s="25"/>
      <c r="LGC33" s="21"/>
      <c r="LGD33" s="21"/>
      <c r="LGH33" s="15"/>
      <c r="LGN33" s="25"/>
      <c r="LGU33" s="21"/>
      <c r="LGV33" s="21"/>
      <c r="LGZ33" s="15"/>
      <c r="LHF33" s="25"/>
      <c r="LHM33" s="21"/>
      <c r="LHN33" s="21"/>
      <c r="LHR33" s="15"/>
      <c r="LHX33" s="25"/>
      <c r="LIE33" s="21"/>
      <c r="LIF33" s="21"/>
      <c r="LIJ33" s="15"/>
      <c r="LIP33" s="25"/>
      <c r="LIW33" s="21"/>
      <c r="LIX33" s="21"/>
      <c r="LJB33" s="15"/>
      <c r="LJH33" s="25"/>
      <c r="LJO33" s="21"/>
      <c r="LJP33" s="21"/>
      <c r="LJT33" s="15"/>
      <c r="LJZ33" s="25"/>
      <c r="LKG33" s="21"/>
      <c r="LKH33" s="21"/>
      <c r="LKL33" s="15"/>
      <c r="LKR33" s="25"/>
      <c r="LKY33" s="21"/>
      <c r="LKZ33" s="21"/>
      <c r="LLD33" s="15"/>
      <c r="LLJ33" s="25"/>
      <c r="LLQ33" s="21"/>
      <c r="LLR33" s="21"/>
      <c r="LLV33" s="15"/>
      <c r="LMB33" s="25"/>
      <c r="LMI33" s="21"/>
      <c r="LMJ33" s="21"/>
      <c r="LMN33" s="15"/>
      <c r="LMT33" s="25"/>
      <c r="LNA33" s="21"/>
      <c r="LNB33" s="21"/>
      <c r="LNF33" s="15"/>
      <c r="LNL33" s="25"/>
      <c r="LNS33" s="21"/>
      <c r="LNT33" s="21"/>
      <c r="LNX33" s="15"/>
      <c r="LOD33" s="25"/>
      <c r="LOK33" s="21"/>
      <c r="LOL33" s="21"/>
      <c r="LOP33" s="15"/>
      <c r="LOV33" s="25"/>
      <c r="LPC33" s="21"/>
      <c r="LPD33" s="21"/>
      <c r="LPH33" s="15"/>
      <c r="LPN33" s="25"/>
      <c r="LPU33" s="21"/>
      <c r="LPV33" s="21"/>
      <c r="LPZ33" s="15"/>
      <c r="LQF33" s="25"/>
      <c r="LQM33" s="21"/>
      <c r="LQN33" s="21"/>
      <c r="LQR33" s="15"/>
      <c r="LQX33" s="25"/>
      <c r="LRE33" s="21"/>
      <c r="LRF33" s="21"/>
      <c r="LRJ33" s="15"/>
      <c r="LRP33" s="25"/>
      <c r="LRW33" s="21"/>
      <c r="LRX33" s="21"/>
      <c r="LSB33" s="15"/>
      <c r="LSH33" s="25"/>
      <c r="LSO33" s="21"/>
      <c r="LSP33" s="21"/>
      <c r="LST33" s="15"/>
      <c r="LSZ33" s="25"/>
      <c r="LTG33" s="21"/>
      <c r="LTH33" s="21"/>
      <c r="LTL33" s="15"/>
      <c r="LTR33" s="25"/>
      <c r="LTY33" s="21"/>
      <c r="LTZ33" s="21"/>
      <c r="LUD33" s="15"/>
      <c r="LUJ33" s="25"/>
      <c r="LUQ33" s="21"/>
      <c r="LUR33" s="21"/>
      <c r="LUV33" s="15"/>
      <c r="LVB33" s="25"/>
      <c r="LVI33" s="21"/>
      <c r="LVJ33" s="21"/>
      <c r="LVN33" s="15"/>
      <c r="LVT33" s="25"/>
      <c r="LWA33" s="21"/>
      <c r="LWB33" s="21"/>
      <c r="LWF33" s="15"/>
      <c r="LWL33" s="25"/>
      <c r="LWS33" s="21"/>
      <c r="LWT33" s="21"/>
      <c r="LWX33" s="15"/>
      <c r="LXD33" s="25"/>
      <c r="LXK33" s="21"/>
      <c r="LXL33" s="21"/>
      <c r="LXP33" s="15"/>
      <c r="LXV33" s="25"/>
      <c r="LYC33" s="21"/>
      <c r="LYD33" s="21"/>
      <c r="LYH33" s="15"/>
      <c r="LYN33" s="25"/>
      <c r="LYU33" s="21"/>
      <c r="LYV33" s="21"/>
      <c r="LYZ33" s="15"/>
      <c r="LZF33" s="25"/>
      <c r="LZM33" s="21"/>
      <c r="LZN33" s="21"/>
      <c r="LZR33" s="15"/>
      <c r="LZX33" s="25"/>
      <c r="MAE33" s="21"/>
      <c r="MAF33" s="21"/>
      <c r="MAJ33" s="15"/>
      <c r="MAP33" s="25"/>
      <c r="MAW33" s="21"/>
      <c r="MAX33" s="21"/>
      <c r="MBB33" s="15"/>
      <c r="MBH33" s="25"/>
      <c r="MBO33" s="21"/>
      <c r="MBP33" s="21"/>
      <c r="MBT33" s="15"/>
      <c r="MBZ33" s="25"/>
      <c r="MCG33" s="21"/>
      <c r="MCH33" s="21"/>
      <c r="MCL33" s="15"/>
      <c r="MCR33" s="25"/>
      <c r="MCY33" s="21"/>
      <c r="MCZ33" s="21"/>
      <c r="MDD33" s="15"/>
      <c r="MDJ33" s="25"/>
      <c r="MDQ33" s="21"/>
      <c r="MDR33" s="21"/>
      <c r="MDV33" s="15"/>
      <c r="MEB33" s="25"/>
      <c r="MEI33" s="21"/>
      <c r="MEJ33" s="21"/>
      <c r="MEN33" s="15"/>
      <c r="MET33" s="25"/>
      <c r="MFA33" s="21"/>
      <c r="MFB33" s="21"/>
      <c r="MFF33" s="15"/>
      <c r="MFL33" s="25"/>
      <c r="MFS33" s="21"/>
      <c r="MFT33" s="21"/>
      <c r="MFX33" s="15"/>
      <c r="MGD33" s="25"/>
      <c r="MGK33" s="21"/>
      <c r="MGL33" s="21"/>
      <c r="MGP33" s="15"/>
      <c r="MGV33" s="25"/>
      <c r="MHC33" s="21"/>
      <c r="MHD33" s="21"/>
      <c r="MHH33" s="15"/>
      <c r="MHN33" s="25"/>
      <c r="MHU33" s="21"/>
      <c r="MHV33" s="21"/>
      <c r="MHZ33" s="15"/>
      <c r="MIF33" s="25"/>
      <c r="MIM33" s="21"/>
      <c r="MIN33" s="21"/>
      <c r="MIR33" s="15"/>
      <c r="MIX33" s="25"/>
      <c r="MJE33" s="21"/>
      <c r="MJF33" s="21"/>
      <c r="MJJ33" s="15"/>
      <c r="MJP33" s="25"/>
      <c r="MJW33" s="21"/>
      <c r="MJX33" s="21"/>
      <c r="MKB33" s="15"/>
      <c r="MKH33" s="25"/>
      <c r="MKO33" s="21"/>
      <c r="MKP33" s="21"/>
      <c r="MKT33" s="15"/>
      <c r="MKZ33" s="25"/>
      <c r="MLG33" s="21"/>
      <c r="MLH33" s="21"/>
      <c r="MLL33" s="15"/>
      <c r="MLR33" s="25"/>
      <c r="MLY33" s="21"/>
      <c r="MLZ33" s="21"/>
      <c r="MMD33" s="15"/>
      <c r="MMJ33" s="25"/>
      <c r="MMQ33" s="21"/>
      <c r="MMR33" s="21"/>
      <c r="MMV33" s="15"/>
      <c r="MNB33" s="25"/>
      <c r="MNI33" s="21"/>
      <c r="MNJ33" s="21"/>
      <c r="MNN33" s="15"/>
      <c r="MNT33" s="25"/>
      <c r="MOA33" s="21"/>
      <c r="MOB33" s="21"/>
      <c r="MOF33" s="15"/>
      <c r="MOL33" s="25"/>
      <c r="MOS33" s="21"/>
      <c r="MOT33" s="21"/>
      <c r="MOX33" s="15"/>
      <c r="MPD33" s="25"/>
      <c r="MPK33" s="21"/>
      <c r="MPL33" s="21"/>
      <c r="MPP33" s="15"/>
      <c r="MPV33" s="25"/>
      <c r="MQC33" s="21"/>
      <c r="MQD33" s="21"/>
      <c r="MQH33" s="15"/>
      <c r="MQN33" s="25"/>
      <c r="MQU33" s="21"/>
      <c r="MQV33" s="21"/>
      <c r="MQZ33" s="15"/>
      <c r="MRF33" s="25"/>
      <c r="MRM33" s="21"/>
      <c r="MRN33" s="21"/>
      <c r="MRR33" s="15"/>
      <c r="MRX33" s="25"/>
      <c r="MSE33" s="21"/>
      <c r="MSF33" s="21"/>
      <c r="MSJ33" s="15"/>
      <c r="MSP33" s="25"/>
      <c r="MSW33" s="21"/>
      <c r="MSX33" s="21"/>
      <c r="MTB33" s="15"/>
      <c r="MTH33" s="25"/>
      <c r="MTO33" s="21"/>
      <c r="MTP33" s="21"/>
      <c r="MTT33" s="15"/>
      <c r="MTZ33" s="25"/>
      <c r="MUG33" s="21"/>
      <c r="MUH33" s="21"/>
      <c r="MUL33" s="15"/>
      <c r="MUR33" s="25"/>
      <c r="MUY33" s="21"/>
      <c r="MUZ33" s="21"/>
      <c r="MVD33" s="15"/>
      <c r="MVJ33" s="25"/>
      <c r="MVQ33" s="21"/>
      <c r="MVR33" s="21"/>
      <c r="MVV33" s="15"/>
      <c r="MWB33" s="25"/>
      <c r="MWI33" s="21"/>
      <c r="MWJ33" s="21"/>
      <c r="MWN33" s="15"/>
      <c r="MWT33" s="25"/>
      <c r="MXA33" s="21"/>
      <c r="MXB33" s="21"/>
      <c r="MXF33" s="15"/>
      <c r="MXL33" s="25"/>
      <c r="MXS33" s="21"/>
      <c r="MXT33" s="21"/>
      <c r="MXX33" s="15"/>
      <c r="MYD33" s="25"/>
      <c r="MYK33" s="21"/>
      <c r="MYL33" s="21"/>
      <c r="MYP33" s="15"/>
      <c r="MYV33" s="25"/>
      <c r="MZC33" s="21"/>
      <c r="MZD33" s="21"/>
      <c r="MZH33" s="15"/>
      <c r="MZN33" s="25"/>
      <c r="MZU33" s="21"/>
      <c r="MZV33" s="21"/>
      <c r="MZZ33" s="15"/>
      <c r="NAF33" s="25"/>
      <c r="NAM33" s="21"/>
      <c r="NAN33" s="21"/>
      <c r="NAR33" s="15"/>
      <c r="NAX33" s="25"/>
      <c r="NBE33" s="21"/>
      <c r="NBF33" s="21"/>
      <c r="NBJ33" s="15"/>
      <c r="NBP33" s="25"/>
      <c r="NBW33" s="21"/>
      <c r="NBX33" s="21"/>
      <c r="NCB33" s="15"/>
      <c r="NCH33" s="25"/>
      <c r="NCO33" s="21"/>
      <c r="NCP33" s="21"/>
      <c r="NCT33" s="15"/>
      <c r="NCZ33" s="25"/>
      <c r="NDG33" s="21"/>
      <c r="NDH33" s="21"/>
      <c r="NDL33" s="15"/>
      <c r="NDR33" s="25"/>
      <c r="NDY33" s="21"/>
      <c r="NDZ33" s="21"/>
      <c r="NED33" s="15"/>
      <c r="NEJ33" s="25"/>
      <c r="NEQ33" s="21"/>
      <c r="NER33" s="21"/>
      <c r="NEV33" s="15"/>
      <c r="NFB33" s="25"/>
      <c r="NFI33" s="21"/>
      <c r="NFJ33" s="21"/>
      <c r="NFN33" s="15"/>
      <c r="NFT33" s="25"/>
      <c r="NGA33" s="21"/>
      <c r="NGB33" s="21"/>
      <c r="NGF33" s="15"/>
      <c r="NGL33" s="25"/>
      <c r="NGS33" s="21"/>
      <c r="NGT33" s="21"/>
      <c r="NGX33" s="15"/>
      <c r="NHD33" s="25"/>
      <c r="NHK33" s="21"/>
      <c r="NHL33" s="21"/>
      <c r="NHP33" s="15"/>
      <c r="NHV33" s="25"/>
      <c r="NIC33" s="21"/>
      <c r="NID33" s="21"/>
      <c r="NIH33" s="15"/>
      <c r="NIN33" s="25"/>
      <c r="NIU33" s="21"/>
      <c r="NIV33" s="21"/>
      <c r="NIZ33" s="15"/>
      <c r="NJF33" s="25"/>
      <c r="NJM33" s="21"/>
      <c r="NJN33" s="21"/>
      <c r="NJR33" s="15"/>
      <c r="NJX33" s="25"/>
      <c r="NKE33" s="21"/>
      <c r="NKF33" s="21"/>
      <c r="NKJ33" s="15"/>
      <c r="NKP33" s="25"/>
      <c r="NKW33" s="21"/>
      <c r="NKX33" s="21"/>
      <c r="NLB33" s="15"/>
      <c r="NLH33" s="25"/>
      <c r="NLO33" s="21"/>
      <c r="NLP33" s="21"/>
      <c r="NLT33" s="15"/>
      <c r="NLZ33" s="25"/>
      <c r="NMG33" s="21"/>
      <c r="NMH33" s="21"/>
      <c r="NML33" s="15"/>
      <c r="NMR33" s="25"/>
      <c r="NMY33" s="21"/>
      <c r="NMZ33" s="21"/>
      <c r="NND33" s="15"/>
      <c r="NNJ33" s="25"/>
      <c r="NNQ33" s="21"/>
      <c r="NNR33" s="21"/>
      <c r="NNV33" s="15"/>
      <c r="NOB33" s="25"/>
      <c r="NOI33" s="21"/>
      <c r="NOJ33" s="21"/>
      <c r="NON33" s="15"/>
      <c r="NOT33" s="25"/>
      <c r="NPA33" s="21"/>
      <c r="NPB33" s="21"/>
      <c r="NPF33" s="15"/>
      <c r="NPL33" s="25"/>
      <c r="NPS33" s="21"/>
      <c r="NPT33" s="21"/>
      <c r="NPX33" s="15"/>
      <c r="NQD33" s="25"/>
      <c r="NQK33" s="21"/>
      <c r="NQL33" s="21"/>
      <c r="NQP33" s="15"/>
      <c r="NQV33" s="25"/>
      <c r="NRC33" s="21"/>
      <c r="NRD33" s="21"/>
      <c r="NRH33" s="15"/>
      <c r="NRN33" s="25"/>
      <c r="NRU33" s="21"/>
      <c r="NRV33" s="21"/>
      <c r="NRZ33" s="15"/>
      <c r="NSF33" s="25"/>
      <c r="NSM33" s="21"/>
      <c r="NSN33" s="21"/>
      <c r="NSR33" s="15"/>
      <c r="NSX33" s="25"/>
      <c r="NTE33" s="21"/>
      <c r="NTF33" s="21"/>
      <c r="NTJ33" s="15"/>
      <c r="NTP33" s="25"/>
      <c r="NTW33" s="21"/>
      <c r="NTX33" s="21"/>
      <c r="NUB33" s="15"/>
      <c r="NUH33" s="25"/>
      <c r="NUO33" s="21"/>
      <c r="NUP33" s="21"/>
      <c r="NUT33" s="15"/>
      <c r="NUZ33" s="25"/>
      <c r="NVG33" s="21"/>
      <c r="NVH33" s="21"/>
      <c r="NVL33" s="15"/>
      <c r="NVR33" s="25"/>
      <c r="NVY33" s="21"/>
      <c r="NVZ33" s="21"/>
      <c r="NWD33" s="15"/>
      <c r="NWJ33" s="25"/>
      <c r="NWQ33" s="21"/>
      <c r="NWR33" s="21"/>
      <c r="NWV33" s="15"/>
      <c r="NXB33" s="25"/>
      <c r="NXI33" s="21"/>
      <c r="NXJ33" s="21"/>
      <c r="NXN33" s="15"/>
      <c r="NXT33" s="25"/>
      <c r="NYA33" s="21"/>
      <c r="NYB33" s="21"/>
      <c r="NYF33" s="15"/>
      <c r="NYL33" s="25"/>
      <c r="NYS33" s="21"/>
      <c r="NYT33" s="21"/>
      <c r="NYX33" s="15"/>
      <c r="NZD33" s="25"/>
      <c r="NZK33" s="21"/>
      <c r="NZL33" s="21"/>
      <c r="NZP33" s="15"/>
      <c r="NZV33" s="25"/>
      <c r="OAC33" s="21"/>
      <c r="OAD33" s="21"/>
      <c r="OAH33" s="15"/>
      <c r="OAN33" s="25"/>
      <c r="OAU33" s="21"/>
      <c r="OAV33" s="21"/>
      <c r="OAZ33" s="15"/>
      <c r="OBF33" s="25"/>
      <c r="OBM33" s="21"/>
      <c r="OBN33" s="21"/>
      <c r="OBR33" s="15"/>
      <c r="OBX33" s="25"/>
      <c r="OCE33" s="21"/>
      <c r="OCF33" s="21"/>
      <c r="OCJ33" s="15"/>
      <c r="OCP33" s="25"/>
      <c r="OCW33" s="21"/>
      <c r="OCX33" s="21"/>
      <c r="ODB33" s="15"/>
      <c r="ODH33" s="25"/>
      <c r="ODO33" s="21"/>
      <c r="ODP33" s="21"/>
      <c r="ODT33" s="15"/>
      <c r="ODZ33" s="25"/>
      <c r="OEG33" s="21"/>
      <c r="OEH33" s="21"/>
      <c r="OEL33" s="15"/>
      <c r="OER33" s="25"/>
      <c r="OEY33" s="21"/>
      <c r="OEZ33" s="21"/>
      <c r="OFD33" s="15"/>
      <c r="OFJ33" s="25"/>
      <c r="OFQ33" s="21"/>
      <c r="OFR33" s="21"/>
      <c r="OFV33" s="15"/>
      <c r="OGB33" s="25"/>
      <c r="OGI33" s="21"/>
      <c r="OGJ33" s="21"/>
      <c r="OGN33" s="15"/>
      <c r="OGT33" s="25"/>
      <c r="OHA33" s="21"/>
      <c r="OHB33" s="21"/>
      <c r="OHF33" s="15"/>
      <c r="OHL33" s="25"/>
      <c r="OHS33" s="21"/>
      <c r="OHT33" s="21"/>
      <c r="OHX33" s="15"/>
      <c r="OID33" s="25"/>
      <c r="OIK33" s="21"/>
      <c r="OIL33" s="21"/>
      <c r="OIP33" s="15"/>
      <c r="OIV33" s="25"/>
      <c r="OJC33" s="21"/>
      <c r="OJD33" s="21"/>
      <c r="OJH33" s="15"/>
      <c r="OJN33" s="25"/>
      <c r="OJU33" s="21"/>
      <c r="OJV33" s="21"/>
      <c r="OJZ33" s="15"/>
      <c r="OKF33" s="25"/>
      <c r="OKM33" s="21"/>
      <c r="OKN33" s="21"/>
      <c r="OKR33" s="15"/>
      <c r="OKX33" s="25"/>
      <c r="OLE33" s="21"/>
      <c r="OLF33" s="21"/>
      <c r="OLJ33" s="15"/>
      <c r="OLP33" s="25"/>
      <c r="OLW33" s="21"/>
      <c r="OLX33" s="21"/>
      <c r="OMB33" s="15"/>
      <c r="OMH33" s="25"/>
      <c r="OMO33" s="21"/>
      <c r="OMP33" s="21"/>
      <c r="OMT33" s="15"/>
      <c r="OMZ33" s="25"/>
      <c r="ONG33" s="21"/>
      <c r="ONH33" s="21"/>
      <c r="ONL33" s="15"/>
      <c r="ONR33" s="25"/>
      <c r="ONY33" s="21"/>
      <c r="ONZ33" s="21"/>
      <c r="OOD33" s="15"/>
      <c r="OOJ33" s="25"/>
      <c r="OOQ33" s="21"/>
      <c r="OOR33" s="21"/>
      <c r="OOV33" s="15"/>
      <c r="OPB33" s="25"/>
      <c r="OPI33" s="21"/>
      <c r="OPJ33" s="21"/>
      <c r="OPN33" s="15"/>
      <c r="OPT33" s="25"/>
      <c r="OQA33" s="21"/>
      <c r="OQB33" s="21"/>
      <c r="OQF33" s="15"/>
      <c r="OQL33" s="25"/>
      <c r="OQS33" s="21"/>
      <c r="OQT33" s="21"/>
      <c r="OQX33" s="15"/>
      <c r="ORD33" s="25"/>
      <c r="ORK33" s="21"/>
      <c r="ORL33" s="21"/>
      <c r="ORP33" s="15"/>
      <c r="ORV33" s="25"/>
      <c r="OSC33" s="21"/>
      <c r="OSD33" s="21"/>
      <c r="OSH33" s="15"/>
      <c r="OSN33" s="25"/>
      <c r="OSU33" s="21"/>
      <c r="OSV33" s="21"/>
      <c r="OSZ33" s="15"/>
      <c r="OTF33" s="25"/>
      <c r="OTM33" s="21"/>
      <c r="OTN33" s="21"/>
      <c r="OTR33" s="15"/>
      <c r="OTX33" s="25"/>
      <c r="OUE33" s="21"/>
      <c r="OUF33" s="21"/>
      <c r="OUJ33" s="15"/>
      <c r="OUP33" s="25"/>
      <c r="OUW33" s="21"/>
      <c r="OUX33" s="21"/>
      <c r="OVB33" s="15"/>
      <c r="OVH33" s="25"/>
      <c r="OVO33" s="21"/>
      <c r="OVP33" s="21"/>
      <c r="OVT33" s="15"/>
      <c r="OVZ33" s="25"/>
      <c r="OWG33" s="21"/>
      <c r="OWH33" s="21"/>
      <c r="OWL33" s="15"/>
      <c r="OWR33" s="25"/>
      <c r="OWY33" s="21"/>
      <c r="OWZ33" s="21"/>
      <c r="OXD33" s="15"/>
      <c r="OXJ33" s="25"/>
      <c r="OXQ33" s="21"/>
      <c r="OXR33" s="21"/>
      <c r="OXV33" s="15"/>
      <c r="OYB33" s="25"/>
      <c r="OYI33" s="21"/>
      <c r="OYJ33" s="21"/>
      <c r="OYN33" s="15"/>
      <c r="OYT33" s="25"/>
      <c r="OZA33" s="21"/>
      <c r="OZB33" s="21"/>
      <c r="OZF33" s="15"/>
      <c r="OZL33" s="25"/>
      <c r="OZS33" s="21"/>
      <c r="OZT33" s="21"/>
      <c r="OZX33" s="15"/>
      <c r="PAD33" s="25"/>
      <c r="PAK33" s="21"/>
      <c r="PAL33" s="21"/>
      <c r="PAP33" s="15"/>
      <c r="PAV33" s="25"/>
      <c r="PBC33" s="21"/>
      <c r="PBD33" s="21"/>
      <c r="PBH33" s="15"/>
      <c r="PBN33" s="25"/>
      <c r="PBU33" s="21"/>
      <c r="PBV33" s="21"/>
      <c r="PBZ33" s="15"/>
      <c r="PCF33" s="25"/>
      <c r="PCM33" s="21"/>
      <c r="PCN33" s="21"/>
      <c r="PCR33" s="15"/>
      <c r="PCX33" s="25"/>
      <c r="PDE33" s="21"/>
      <c r="PDF33" s="21"/>
      <c r="PDJ33" s="15"/>
      <c r="PDP33" s="25"/>
      <c r="PDW33" s="21"/>
      <c r="PDX33" s="21"/>
      <c r="PEB33" s="15"/>
      <c r="PEH33" s="25"/>
      <c r="PEO33" s="21"/>
      <c r="PEP33" s="21"/>
      <c r="PET33" s="15"/>
      <c r="PEZ33" s="25"/>
      <c r="PFG33" s="21"/>
      <c r="PFH33" s="21"/>
      <c r="PFL33" s="15"/>
      <c r="PFR33" s="25"/>
      <c r="PFY33" s="21"/>
      <c r="PFZ33" s="21"/>
      <c r="PGD33" s="15"/>
      <c r="PGJ33" s="25"/>
      <c r="PGQ33" s="21"/>
      <c r="PGR33" s="21"/>
      <c r="PGV33" s="15"/>
      <c r="PHB33" s="25"/>
      <c r="PHI33" s="21"/>
      <c r="PHJ33" s="21"/>
      <c r="PHN33" s="15"/>
      <c r="PHT33" s="25"/>
      <c r="PIA33" s="21"/>
      <c r="PIB33" s="21"/>
      <c r="PIF33" s="15"/>
      <c r="PIL33" s="25"/>
      <c r="PIS33" s="21"/>
      <c r="PIT33" s="21"/>
      <c r="PIX33" s="15"/>
      <c r="PJD33" s="25"/>
      <c r="PJK33" s="21"/>
      <c r="PJL33" s="21"/>
      <c r="PJP33" s="15"/>
      <c r="PJV33" s="25"/>
      <c r="PKC33" s="21"/>
      <c r="PKD33" s="21"/>
      <c r="PKH33" s="15"/>
      <c r="PKN33" s="25"/>
      <c r="PKU33" s="21"/>
      <c r="PKV33" s="21"/>
      <c r="PKZ33" s="15"/>
      <c r="PLF33" s="25"/>
      <c r="PLM33" s="21"/>
      <c r="PLN33" s="21"/>
      <c r="PLR33" s="15"/>
      <c r="PLX33" s="25"/>
      <c r="PME33" s="21"/>
      <c r="PMF33" s="21"/>
      <c r="PMJ33" s="15"/>
      <c r="PMP33" s="25"/>
      <c r="PMW33" s="21"/>
      <c r="PMX33" s="21"/>
      <c r="PNB33" s="15"/>
      <c r="PNH33" s="25"/>
      <c r="PNO33" s="21"/>
      <c r="PNP33" s="21"/>
      <c r="PNT33" s="15"/>
      <c r="PNZ33" s="25"/>
      <c r="POG33" s="21"/>
      <c r="POH33" s="21"/>
      <c r="POL33" s="15"/>
      <c r="POR33" s="25"/>
      <c r="POY33" s="21"/>
      <c r="POZ33" s="21"/>
      <c r="PPD33" s="15"/>
      <c r="PPJ33" s="25"/>
      <c r="PPQ33" s="21"/>
      <c r="PPR33" s="21"/>
      <c r="PPV33" s="15"/>
      <c r="PQB33" s="25"/>
      <c r="PQI33" s="21"/>
      <c r="PQJ33" s="21"/>
      <c r="PQN33" s="15"/>
      <c r="PQT33" s="25"/>
      <c r="PRA33" s="21"/>
      <c r="PRB33" s="21"/>
      <c r="PRF33" s="15"/>
      <c r="PRL33" s="25"/>
      <c r="PRS33" s="21"/>
      <c r="PRT33" s="21"/>
      <c r="PRX33" s="15"/>
      <c r="PSD33" s="25"/>
      <c r="PSK33" s="21"/>
      <c r="PSL33" s="21"/>
      <c r="PSP33" s="15"/>
      <c r="PSV33" s="25"/>
      <c r="PTC33" s="21"/>
      <c r="PTD33" s="21"/>
      <c r="PTH33" s="15"/>
      <c r="PTN33" s="25"/>
      <c r="PTU33" s="21"/>
      <c r="PTV33" s="21"/>
      <c r="PTZ33" s="15"/>
      <c r="PUF33" s="25"/>
      <c r="PUM33" s="21"/>
      <c r="PUN33" s="21"/>
      <c r="PUR33" s="15"/>
      <c r="PUX33" s="25"/>
      <c r="PVE33" s="21"/>
      <c r="PVF33" s="21"/>
      <c r="PVJ33" s="15"/>
      <c r="PVP33" s="25"/>
      <c r="PVW33" s="21"/>
      <c r="PVX33" s="21"/>
      <c r="PWB33" s="15"/>
      <c r="PWH33" s="25"/>
      <c r="PWO33" s="21"/>
      <c r="PWP33" s="21"/>
      <c r="PWT33" s="15"/>
      <c r="PWZ33" s="25"/>
      <c r="PXG33" s="21"/>
      <c r="PXH33" s="21"/>
      <c r="PXL33" s="15"/>
      <c r="PXR33" s="25"/>
      <c r="PXY33" s="21"/>
      <c r="PXZ33" s="21"/>
      <c r="PYD33" s="15"/>
      <c r="PYJ33" s="25"/>
      <c r="PYQ33" s="21"/>
      <c r="PYR33" s="21"/>
      <c r="PYV33" s="15"/>
      <c r="PZB33" s="25"/>
      <c r="PZI33" s="21"/>
      <c r="PZJ33" s="21"/>
      <c r="PZN33" s="15"/>
      <c r="PZT33" s="25"/>
      <c r="QAA33" s="21"/>
      <c r="QAB33" s="21"/>
      <c r="QAF33" s="15"/>
      <c r="QAL33" s="25"/>
      <c r="QAS33" s="21"/>
      <c r="QAT33" s="21"/>
      <c r="QAX33" s="15"/>
      <c r="QBD33" s="25"/>
      <c r="QBK33" s="21"/>
      <c r="QBL33" s="21"/>
      <c r="QBP33" s="15"/>
      <c r="QBV33" s="25"/>
      <c r="QCC33" s="21"/>
      <c r="QCD33" s="21"/>
      <c r="QCH33" s="15"/>
      <c r="QCN33" s="25"/>
      <c r="QCU33" s="21"/>
      <c r="QCV33" s="21"/>
      <c r="QCZ33" s="15"/>
      <c r="QDF33" s="25"/>
      <c r="QDM33" s="21"/>
      <c r="QDN33" s="21"/>
      <c r="QDR33" s="15"/>
      <c r="QDX33" s="25"/>
      <c r="QEE33" s="21"/>
      <c r="QEF33" s="21"/>
      <c r="QEJ33" s="15"/>
      <c r="QEP33" s="25"/>
      <c r="QEW33" s="21"/>
      <c r="QEX33" s="21"/>
      <c r="QFB33" s="15"/>
      <c r="QFH33" s="25"/>
      <c r="QFO33" s="21"/>
      <c r="QFP33" s="21"/>
      <c r="QFT33" s="15"/>
      <c r="QFZ33" s="25"/>
      <c r="QGG33" s="21"/>
      <c r="QGH33" s="21"/>
      <c r="QGL33" s="15"/>
      <c r="QGR33" s="25"/>
      <c r="QGY33" s="21"/>
      <c r="QGZ33" s="21"/>
      <c r="QHD33" s="15"/>
      <c r="QHJ33" s="25"/>
      <c r="QHQ33" s="21"/>
      <c r="QHR33" s="21"/>
      <c r="QHV33" s="15"/>
      <c r="QIB33" s="25"/>
      <c r="QII33" s="21"/>
      <c r="QIJ33" s="21"/>
      <c r="QIN33" s="15"/>
      <c r="QIT33" s="25"/>
      <c r="QJA33" s="21"/>
      <c r="QJB33" s="21"/>
      <c r="QJF33" s="15"/>
      <c r="QJL33" s="25"/>
      <c r="QJS33" s="21"/>
      <c r="QJT33" s="21"/>
      <c r="QJX33" s="15"/>
      <c r="QKD33" s="25"/>
      <c r="QKK33" s="21"/>
      <c r="QKL33" s="21"/>
      <c r="QKP33" s="15"/>
      <c r="QKV33" s="25"/>
      <c r="QLC33" s="21"/>
      <c r="QLD33" s="21"/>
      <c r="QLH33" s="15"/>
      <c r="QLN33" s="25"/>
      <c r="QLU33" s="21"/>
      <c r="QLV33" s="21"/>
      <c r="QLZ33" s="15"/>
      <c r="QMF33" s="25"/>
      <c r="QMM33" s="21"/>
      <c r="QMN33" s="21"/>
      <c r="QMR33" s="15"/>
      <c r="QMX33" s="25"/>
      <c r="QNE33" s="21"/>
      <c r="QNF33" s="21"/>
      <c r="QNJ33" s="15"/>
      <c r="QNP33" s="25"/>
      <c r="QNW33" s="21"/>
      <c r="QNX33" s="21"/>
      <c r="QOB33" s="15"/>
      <c r="QOH33" s="25"/>
      <c r="QOO33" s="21"/>
      <c r="QOP33" s="21"/>
      <c r="QOT33" s="15"/>
      <c r="QOZ33" s="25"/>
      <c r="QPG33" s="21"/>
      <c r="QPH33" s="21"/>
      <c r="QPL33" s="15"/>
      <c r="QPR33" s="25"/>
      <c r="QPY33" s="21"/>
      <c r="QPZ33" s="21"/>
      <c r="QQD33" s="15"/>
      <c r="QQJ33" s="25"/>
      <c r="QQQ33" s="21"/>
      <c r="QQR33" s="21"/>
      <c r="QQV33" s="15"/>
      <c r="QRB33" s="25"/>
      <c r="QRI33" s="21"/>
      <c r="QRJ33" s="21"/>
      <c r="QRN33" s="15"/>
      <c r="QRT33" s="25"/>
      <c r="QSA33" s="21"/>
      <c r="QSB33" s="21"/>
      <c r="QSF33" s="15"/>
      <c r="QSL33" s="25"/>
      <c r="QSS33" s="21"/>
      <c r="QST33" s="21"/>
      <c r="QSX33" s="15"/>
      <c r="QTD33" s="25"/>
      <c r="QTK33" s="21"/>
      <c r="QTL33" s="21"/>
      <c r="QTP33" s="15"/>
      <c r="QTV33" s="25"/>
      <c r="QUC33" s="21"/>
      <c r="QUD33" s="21"/>
      <c r="QUH33" s="15"/>
      <c r="QUN33" s="25"/>
      <c r="QUU33" s="21"/>
      <c r="QUV33" s="21"/>
      <c r="QUZ33" s="15"/>
      <c r="QVF33" s="25"/>
      <c r="QVM33" s="21"/>
      <c r="QVN33" s="21"/>
      <c r="QVR33" s="15"/>
      <c r="QVX33" s="25"/>
      <c r="QWE33" s="21"/>
      <c r="QWF33" s="21"/>
      <c r="QWJ33" s="15"/>
      <c r="QWP33" s="25"/>
      <c r="QWW33" s="21"/>
      <c r="QWX33" s="21"/>
      <c r="QXB33" s="15"/>
      <c r="QXH33" s="25"/>
      <c r="QXO33" s="21"/>
      <c r="QXP33" s="21"/>
      <c r="QXT33" s="15"/>
      <c r="QXZ33" s="25"/>
      <c r="QYG33" s="21"/>
      <c r="QYH33" s="21"/>
      <c r="QYL33" s="15"/>
      <c r="QYR33" s="25"/>
      <c r="QYY33" s="21"/>
      <c r="QYZ33" s="21"/>
      <c r="QZD33" s="15"/>
      <c r="QZJ33" s="25"/>
      <c r="QZQ33" s="21"/>
      <c r="QZR33" s="21"/>
      <c r="QZV33" s="15"/>
      <c r="RAB33" s="25"/>
      <c r="RAI33" s="21"/>
      <c r="RAJ33" s="21"/>
      <c r="RAN33" s="15"/>
      <c r="RAT33" s="25"/>
      <c r="RBA33" s="21"/>
      <c r="RBB33" s="21"/>
      <c r="RBF33" s="15"/>
      <c r="RBL33" s="25"/>
      <c r="RBS33" s="21"/>
      <c r="RBT33" s="21"/>
      <c r="RBX33" s="15"/>
      <c r="RCD33" s="25"/>
      <c r="RCK33" s="21"/>
      <c r="RCL33" s="21"/>
      <c r="RCP33" s="15"/>
      <c r="RCV33" s="25"/>
      <c r="RDC33" s="21"/>
      <c r="RDD33" s="21"/>
      <c r="RDH33" s="15"/>
      <c r="RDN33" s="25"/>
      <c r="RDU33" s="21"/>
      <c r="RDV33" s="21"/>
      <c r="RDZ33" s="15"/>
      <c r="REF33" s="25"/>
      <c r="REM33" s="21"/>
      <c r="REN33" s="21"/>
      <c r="RER33" s="15"/>
      <c r="REX33" s="25"/>
      <c r="RFE33" s="21"/>
      <c r="RFF33" s="21"/>
      <c r="RFJ33" s="15"/>
      <c r="RFP33" s="25"/>
      <c r="RFW33" s="21"/>
      <c r="RFX33" s="21"/>
      <c r="RGB33" s="15"/>
      <c r="RGH33" s="25"/>
      <c r="RGO33" s="21"/>
      <c r="RGP33" s="21"/>
      <c r="RGT33" s="15"/>
      <c r="RGZ33" s="25"/>
      <c r="RHG33" s="21"/>
      <c r="RHH33" s="21"/>
      <c r="RHL33" s="15"/>
      <c r="RHR33" s="25"/>
      <c r="RHY33" s="21"/>
      <c r="RHZ33" s="21"/>
      <c r="RID33" s="15"/>
      <c r="RIJ33" s="25"/>
      <c r="RIQ33" s="21"/>
      <c r="RIR33" s="21"/>
      <c r="RIV33" s="15"/>
      <c r="RJB33" s="25"/>
      <c r="RJI33" s="21"/>
      <c r="RJJ33" s="21"/>
      <c r="RJN33" s="15"/>
      <c r="RJT33" s="25"/>
      <c r="RKA33" s="21"/>
      <c r="RKB33" s="21"/>
      <c r="RKF33" s="15"/>
      <c r="RKL33" s="25"/>
      <c r="RKS33" s="21"/>
      <c r="RKT33" s="21"/>
      <c r="RKX33" s="15"/>
      <c r="RLD33" s="25"/>
      <c r="RLK33" s="21"/>
      <c r="RLL33" s="21"/>
      <c r="RLP33" s="15"/>
      <c r="RLV33" s="25"/>
      <c r="RMC33" s="21"/>
      <c r="RMD33" s="21"/>
      <c r="RMH33" s="15"/>
      <c r="RMN33" s="25"/>
      <c r="RMU33" s="21"/>
      <c r="RMV33" s="21"/>
      <c r="RMZ33" s="15"/>
      <c r="RNF33" s="25"/>
      <c r="RNM33" s="21"/>
      <c r="RNN33" s="21"/>
      <c r="RNR33" s="15"/>
      <c r="RNX33" s="25"/>
      <c r="ROE33" s="21"/>
      <c r="ROF33" s="21"/>
      <c r="ROJ33" s="15"/>
      <c r="ROP33" s="25"/>
      <c r="ROW33" s="21"/>
      <c r="ROX33" s="21"/>
      <c r="RPB33" s="15"/>
      <c r="RPH33" s="25"/>
      <c r="RPO33" s="21"/>
      <c r="RPP33" s="21"/>
      <c r="RPT33" s="15"/>
      <c r="RPZ33" s="25"/>
      <c r="RQG33" s="21"/>
      <c r="RQH33" s="21"/>
      <c r="RQL33" s="15"/>
      <c r="RQR33" s="25"/>
      <c r="RQY33" s="21"/>
      <c r="RQZ33" s="21"/>
      <c r="RRD33" s="15"/>
      <c r="RRJ33" s="25"/>
      <c r="RRQ33" s="21"/>
      <c r="RRR33" s="21"/>
      <c r="RRV33" s="15"/>
      <c r="RSB33" s="25"/>
      <c r="RSI33" s="21"/>
      <c r="RSJ33" s="21"/>
      <c r="RSN33" s="15"/>
      <c r="RST33" s="25"/>
      <c r="RTA33" s="21"/>
      <c r="RTB33" s="21"/>
      <c r="RTF33" s="15"/>
      <c r="RTL33" s="25"/>
      <c r="RTS33" s="21"/>
      <c r="RTT33" s="21"/>
      <c r="RTX33" s="15"/>
      <c r="RUD33" s="25"/>
      <c r="RUK33" s="21"/>
      <c r="RUL33" s="21"/>
      <c r="RUP33" s="15"/>
      <c r="RUV33" s="25"/>
      <c r="RVC33" s="21"/>
      <c r="RVD33" s="21"/>
      <c r="RVH33" s="15"/>
      <c r="RVN33" s="25"/>
      <c r="RVU33" s="21"/>
      <c r="RVV33" s="21"/>
      <c r="RVZ33" s="15"/>
      <c r="RWF33" s="25"/>
      <c r="RWM33" s="21"/>
      <c r="RWN33" s="21"/>
      <c r="RWR33" s="15"/>
      <c r="RWX33" s="25"/>
      <c r="RXE33" s="21"/>
      <c r="RXF33" s="21"/>
      <c r="RXJ33" s="15"/>
      <c r="RXP33" s="25"/>
      <c r="RXW33" s="21"/>
      <c r="RXX33" s="21"/>
      <c r="RYB33" s="15"/>
      <c r="RYH33" s="25"/>
      <c r="RYO33" s="21"/>
      <c r="RYP33" s="21"/>
      <c r="RYT33" s="15"/>
      <c r="RYZ33" s="25"/>
      <c r="RZG33" s="21"/>
      <c r="RZH33" s="21"/>
      <c r="RZL33" s="15"/>
      <c r="RZR33" s="25"/>
      <c r="RZY33" s="21"/>
      <c r="RZZ33" s="21"/>
      <c r="SAD33" s="15"/>
      <c r="SAJ33" s="25"/>
      <c r="SAQ33" s="21"/>
      <c r="SAR33" s="21"/>
      <c r="SAV33" s="15"/>
      <c r="SBB33" s="25"/>
      <c r="SBI33" s="21"/>
      <c r="SBJ33" s="21"/>
      <c r="SBN33" s="15"/>
      <c r="SBT33" s="25"/>
      <c r="SCA33" s="21"/>
      <c r="SCB33" s="21"/>
      <c r="SCF33" s="15"/>
      <c r="SCL33" s="25"/>
      <c r="SCS33" s="21"/>
      <c r="SCT33" s="21"/>
      <c r="SCX33" s="15"/>
      <c r="SDD33" s="25"/>
      <c r="SDK33" s="21"/>
      <c r="SDL33" s="21"/>
      <c r="SDP33" s="15"/>
      <c r="SDV33" s="25"/>
      <c r="SEC33" s="21"/>
      <c r="SED33" s="21"/>
      <c r="SEH33" s="15"/>
      <c r="SEN33" s="25"/>
      <c r="SEU33" s="21"/>
      <c r="SEV33" s="21"/>
      <c r="SEZ33" s="15"/>
      <c r="SFF33" s="25"/>
      <c r="SFM33" s="21"/>
      <c r="SFN33" s="21"/>
      <c r="SFR33" s="15"/>
      <c r="SFX33" s="25"/>
      <c r="SGE33" s="21"/>
      <c r="SGF33" s="21"/>
      <c r="SGJ33" s="15"/>
      <c r="SGP33" s="25"/>
      <c r="SGW33" s="21"/>
      <c r="SGX33" s="21"/>
      <c r="SHB33" s="15"/>
      <c r="SHH33" s="25"/>
      <c r="SHO33" s="21"/>
      <c r="SHP33" s="21"/>
      <c r="SHT33" s="15"/>
      <c r="SHZ33" s="25"/>
      <c r="SIG33" s="21"/>
      <c r="SIH33" s="21"/>
      <c r="SIL33" s="15"/>
      <c r="SIR33" s="25"/>
      <c r="SIY33" s="21"/>
      <c r="SIZ33" s="21"/>
      <c r="SJD33" s="15"/>
      <c r="SJJ33" s="25"/>
      <c r="SJQ33" s="21"/>
      <c r="SJR33" s="21"/>
      <c r="SJV33" s="15"/>
      <c r="SKB33" s="25"/>
      <c r="SKI33" s="21"/>
      <c r="SKJ33" s="21"/>
      <c r="SKN33" s="15"/>
      <c r="SKT33" s="25"/>
      <c r="SLA33" s="21"/>
      <c r="SLB33" s="21"/>
      <c r="SLF33" s="15"/>
      <c r="SLL33" s="25"/>
      <c r="SLS33" s="21"/>
      <c r="SLT33" s="21"/>
      <c r="SLX33" s="15"/>
      <c r="SMD33" s="25"/>
      <c r="SMK33" s="21"/>
      <c r="SML33" s="21"/>
      <c r="SMP33" s="15"/>
      <c r="SMV33" s="25"/>
      <c r="SNC33" s="21"/>
      <c r="SND33" s="21"/>
      <c r="SNH33" s="15"/>
      <c r="SNN33" s="25"/>
      <c r="SNU33" s="21"/>
      <c r="SNV33" s="21"/>
      <c r="SNZ33" s="15"/>
      <c r="SOF33" s="25"/>
      <c r="SOM33" s="21"/>
      <c r="SON33" s="21"/>
      <c r="SOR33" s="15"/>
      <c r="SOX33" s="25"/>
      <c r="SPE33" s="21"/>
      <c r="SPF33" s="21"/>
      <c r="SPJ33" s="15"/>
      <c r="SPP33" s="25"/>
      <c r="SPW33" s="21"/>
      <c r="SPX33" s="21"/>
      <c r="SQB33" s="15"/>
      <c r="SQH33" s="25"/>
      <c r="SQO33" s="21"/>
      <c r="SQP33" s="21"/>
      <c r="SQT33" s="15"/>
      <c r="SQZ33" s="25"/>
      <c r="SRG33" s="21"/>
      <c r="SRH33" s="21"/>
      <c r="SRL33" s="15"/>
      <c r="SRR33" s="25"/>
      <c r="SRY33" s="21"/>
      <c r="SRZ33" s="21"/>
      <c r="SSD33" s="15"/>
      <c r="SSJ33" s="25"/>
      <c r="SSQ33" s="21"/>
      <c r="SSR33" s="21"/>
      <c r="SSV33" s="15"/>
      <c r="STB33" s="25"/>
      <c r="STI33" s="21"/>
      <c r="STJ33" s="21"/>
      <c r="STN33" s="15"/>
      <c r="STT33" s="25"/>
      <c r="SUA33" s="21"/>
      <c r="SUB33" s="21"/>
      <c r="SUF33" s="15"/>
      <c r="SUL33" s="25"/>
      <c r="SUS33" s="21"/>
      <c r="SUT33" s="21"/>
      <c r="SUX33" s="15"/>
      <c r="SVD33" s="25"/>
      <c r="SVK33" s="21"/>
      <c r="SVL33" s="21"/>
      <c r="SVP33" s="15"/>
      <c r="SVV33" s="25"/>
      <c r="SWC33" s="21"/>
      <c r="SWD33" s="21"/>
      <c r="SWH33" s="15"/>
      <c r="SWN33" s="25"/>
      <c r="SWU33" s="21"/>
      <c r="SWV33" s="21"/>
      <c r="SWZ33" s="15"/>
      <c r="SXF33" s="25"/>
      <c r="SXM33" s="21"/>
      <c r="SXN33" s="21"/>
      <c r="SXR33" s="15"/>
      <c r="SXX33" s="25"/>
      <c r="SYE33" s="21"/>
      <c r="SYF33" s="21"/>
      <c r="SYJ33" s="15"/>
      <c r="SYP33" s="25"/>
      <c r="SYW33" s="21"/>
      <c r="SYX33" s="21"/>
      <c r="SZB33" s="15"/>
      <c r="SZH33" s="25"/>
      <c r="SZO33" s="21"/>
      <c r="SZP33" s="21"/>
      <c r="SZT33" s="15"/>
      <c r="SZZ33" s="25"/>
      <c r="TAG33" s="21"/>
      <c r="TAH33" s="21"/>
      <c r="TAL33" s="15"/>
      <c r="TAR33" s="25"/>
      <c r="TAY33" s="21"/>
      <c r="TAZ33" s="21"/>
      <c r="TBD33" s="15"/>
      <c r="TBJ33" s="25"/>
      <c r="TBQ33" s="21"/>
      <c r="TBR33" s="21"/>
      <c r="TBV33" s="15"/>
      <c r="TCB33" s="25"/>
      <c r="TCI33" s="21"/>
      <c r="TCJ33" s="21"/>
      <c r="TCN33" s="15"/>
      <c r="TCT33" s="25"/>
      <c r="TDA33" s="21"/>
      <c r="TDB33" s="21"/>
      <c r="TDF33" s="15"/>
      <c r="TDL33" s="25"/>
      <c r="TDS33" s="21"/>
      <c r="TDT33" s="21"/>
      <c r="TDX33" s="15"/>
      <c r="TED33" s="25"/>
      <c r="TEK33" s="21"/>
      <c r="TEL33" s="21"/>
      <c r="TEP33" s="15"/>
      <c r="TEV33" s="25"/>
      <c r="TFC33" s="21"/>
      <c r="TFD33" s="21"/>
      <c r="TFH33" s="15"/>
      <c r="TFN33" s="25"/>
      <c r="TFU33" s="21"/>
      <c r="TFV33" s="21"/>
      <c r="TFZ33" s="15"/>
      <c r="TGF33" s="25"/>
      <c r="TGM33" s="21"/>
      <c r="TGN33" s="21"/>
      <c r="TGR33" s="15"/>
      <c r="TGX33" s="25"/>
      <c r="THE33" s="21"/>
      <c r="THF33" s="21"/>
      <c r="THJ33" s="15"/>
      <c r="THP33" s="25"/>
      <c r="THW33" s="21"/>
      <c r="THX33" s="21"/>
      <c r="TIB33" s="15"/>
      <c r="TIH33" s="25"/>
      <c r="TIO33" s="21"/>
      <c r="TIP33" s="21"/>
      <c r="TIT33" s="15"/>
      <c r="TIZ33" s="25"/>
      <c r="TJG33" s="21"/>
      <c r="TJH33" s="21"/>
      <c r="TJL33" s="15"/>
      <c r="TJR33" s="25"/>
      <c r="TJY33" s="21"/>
      <c r="TJZ33" s="21"/>
      <c r="TKD33" s="15"/>
      <c r="TKJ33" s="25"/>
      <c r="TKQ33" s="21"/>
      <c r="TKR33" s="21"/>
      <c r="TKV33" s="15"/>
      <c r="TLB33" s="25"/>
      <c r="TLI33" s="21"/>
      <c r="TLJ33" s="21"/>
      <c r="TLN33" s="15"/>
      <c r="TLT33" s="25"/>
      <c r="TMA33" s="21"/>
      <c r="TMB33" s="21"/>
      <c r="TMF33" s="15"/>
      <c r="TML33" s="25"/>
      <c r="TMS33" s="21"/>
      <c r="TMT33" s="21"/>
      <c r="TMX33" s="15"/>
      <c r="TND33" s="25"/>
      <c r="TNK33" s="21"/>
      <c r="TNL33" s="21"/>
      <c r="TNP33" s="15"/>
      <c r="TNV33" s="25"/>
      <c r="TOC33" s="21"/>
      <c r="TOD33" s="21"/>
      <c r="TOH33" s="15"/>
      <c r="TON33" s="25"/>
      <c r="TOU33" s="21"/>
      <c r="TOV33" s="21"/>
      <c r="TOZ33" s="15"/>
      <c r="TPF33" s="25"/>
      <c r="TPM33" s="21"/>
      <c r="TPN33" s="21"/>
      <c r="TPR33" s="15"/>
      <c r="TPX33" s="25"/>
      <c r="TQE33" s="21"/>
      <c r="TQF33" s="21"/>
      <c r="TQJ33" s="15"/>
      <c r="TQP33" s="25"/>
      <c r="TQW33" s="21"/>
      <c r="TQX33" s="21"/>
      <c r="TRB33" s="15"/>
      <c r="TRH33" s="25"/>
      <c r="TRO33" s="21"/>
      <c r="TRP33" s="21"/>
      <c r="TRT33" s="15"/>
      <c r="TRZ33" s="25"/>
      <c r="TSG33" s="21"/>
      <c r="TSH33" s="21"/>
      <c r="TSL33" s="15"/>
      <c r="TSR33" s="25"/>
      <c r="TSY33" s="21"/>
      <c r="TSZ33" s="21"/>
      <c r="TTD33" s="15"/>
      <c r="TTJ33" s="25"/>
      <c r="TTQ33" s="21"/>
      <c r="TTR33" s="21"/>
      <c r="TTV33" s="15"/>
      <c r="TUB33" s="25"/>
      <c r="TUI33" s="21"/>
      <c r="TUJ33" s="21"/>
      <c r="TUN33" s="15"/>
      <c r="TUT33" s="25"/>
      <c r="TVA33" s="21"/>
      <c r="TVB33" s="21"/>
      <c r="TVF33" s="15"/>
      <c r="TVL33" s="25"/>
      <c r="TVS33" s="21"/>
      <c r="TVT33" s="21"/>
      <c r="TVX33" s="15"/>
      <c r="TWD33" s="25"/>
      <c r="TWK33" s="21"/>
      <c r="TWL33" s="21"/>
      <c r="TWP33" s="15"/>
      <c r="TWV33" s="25"/>
      <c r="TXC33" s="21"/>
      <c r="TXD33" s="21"/>
      <c r="TXH33" s="15"/>
      <c r="TXN33" s="25"/>
      <c r="TXU33" s="21"/>
      <c r="TXV33" s="21"/>
      <c r="TXZ33" s="15"/>
      <c r="TYF33" s="25"/>
      <c r="TYM33" s="21"/>
      <c r="TYN33" s="21"/>
      <c r="TYR33" s="15"/>
      <c r="TYX33" s="25"/>
      <c r="TZE33" s="21"/>
      <c r="TZF33" s="21"/>
      <c r="TZJ33" s="15"/>
      <c r="TZP33" s="25"/>
      <c r="TZW33" s="21"/>
      <c r="TZX33" s="21"/>
      <c r="UAB33" s="15"/>
      <c r="UAH33" s="25"/>
      <c r="UAO33" s="21"/>
      <c r="UAP33" s="21"/>
      <c r="UAT33" s="15"/>
      <c r="UAZ33" s="25"/>
      <c r="UBG33" s="21"/>
      <c r="UBH33" s="21"/>
      <c r="UBL33" s="15"/>
      <c r="UBR33" s="25"/>
      <c r="UBY33" s="21"/>
      <c r="UBZ33" s="21"/>
      <c r="UCD33" s="15"/>
      <c r="UCJ33" s="25"/>
      <c r="UCQ33" s="21"/>
      <c r="UCR33" s="21"/>
      <c r="UCV33" s="15"/>
      <c r="UDB33" s="25"/>
      <c r="UDI33" s="21"/>
      <c r="UDJ33" s="21"/>
      <c r="UDN33" s="15"/>
      <c r="UDT33" s="25"/>
      <c r="UEA33" s="21"/>
      <c r="UEB33" s="21"/>
      <c r="UEF33" s="15"/>
      <c r="UEL33" s="25"/>
      <c r="UES33" s="21"/>
      <c r="UET33" s="21"/>
      <c r="UEX33" s="15"/>
      <c r="UFD33" s="25"/>
      <c r="UFK33" s="21"/>
      <c r="UFL33" s="21"/>
      <c r="UFP33" s="15"/>
      <c r="UFV33" s="25"/>
      <c r="UGC33" s="21"/>
      <c r="UGD33" s="21"/>
      <c r="UGH33" s="15"/>
      <c r="UGN33" s="25"/>
      <c r="UGU33" s="21"/>
      <c r="UGV33" s="21"/>
      <c r="UGZ33" s="15"/>
      <c r="UHF33" s="25"/>
      <c r="UHM33" s="21"/>
      <c r="UHN33" s="21"/>
      <c r="UHR33" s="15"/>
      <c r="UHX33" s="25"/>
      <c r="UIE33" s="21"/>
      <c r="UIF33" s="21"/>
      <c r="UIJ33" s="15"/>
      <c r="UIP33" s="25"/>
      <c r="UIW33" s="21"/>
      <c r="UIX33" s="21"/>
      <c r="UJB33" s="15"/>
      <c r="UJH33" s="25"/>
      <c r="UJO33" s="21"/>
      <c r="UJP33" s="21"/>
      <c r="UJT33" s="15"/>
      <c r="UJZ33" s="25"/>
      <c r="UKG33" s="21"/>
      <c r="UKH33" s="21"/>
      <c r="UKL33" s="15"/>
      <c r="UKR33" s="25"/>
      <c r="UKY33" s="21"/>
      <c r="UKZ33" s="21"/>
      <c r="ULD33" s="15"/>
      <c r="ULJ33" s="25"/>
      <c r="ULQ33" s="21"/>
      <c r="ULR33" s="21"/>
      <c r="ULV33" s="15"/>
      <c r="UMB33" s="25"/>
      <c r="UMI33" s="21"/>
      <c r="UMJ33" s="21"/>
      <c r="UMN33" s="15"/>
      <c r="UMT33" s="25"/>
      <c r="UNA33" s="21"/>
      <c r="UNB33" s="21"/>
      <c r="UNF33" s="15"/>
      <c r="UNL33" s="25"/>
      <c r="UNS33" s="21"/>
      <c r="UNT33" s="21"/>
      <c r="UNX33" s="15"/>
      <c r="UOD33" s="25"/>
      <c r="UOK33" s="21"/>
      <c r="UOL33" s="21"/>
      <c r="UOP33" s="15"/>
      <c r="UOV33" s="25"/>
      <c r="UPC33" s="21"/>
      <c r="UPD33" s="21"/>
      <c r="UPH33" s="15"/>
      <c r="UPN33" s="25"/>
      <c r="UPU33" s="21"/>
      <c r="UPV33" s="21"/>
      <c r="UPZ33" s="15"/>
      <c r="UQF33" s="25"/>
      <c r="UQM33" s="21"/>
      <c r="UQN33" s="21"/>
      <c r="UQR33" s="15"/>
      <c r="UQX33" s="25"/>
      <c r="URE33" s="21"/>
      <c r="URF33" s="21"/>
      <c r="URJ33" s="15"/>
      <c r="URP33" s="25"/>
      <c r="URW33" s="21"/>
      <c r="URX33" s="21"/>
      <c r="USB33" s="15"/>
      <c r="USH33" s="25"/>
      <c r="USO33" s="21"/>
      <c r="USP33" s="21"/>
      <c r="UST33" s="15"/>
      <c r="USZ33" s="25"/>
      <c r="UTG33" s="21"/>
      <c r="UTH33" s="21"/>
      <c r="UTL33" s="15"/>
      <c r="UTR33" s="25"/>
      <c r="UTY33" s="21"/>
      <c r="UTZ33" s="21"/>
      <c r="UUD33" s="15"/>
      <c r="UUJ33" s="25"/>
      <c r="UUQ33" s="21"/>
      <c r="UUR33" s="21"/>
      <c r="UUV33" s="15"/>
      <c r="UVB33" s="25"/>
      <c r="UVI33" s="21"/>
      <c r="UVJ33" s="21"/>
      <c r="UVN33" s="15"/>
      <c r="UVT33" s="25"/>
      <c r="UWA33" s="21"/>
      <c r="UWB33" s="21"/>
      <c r="UWF33" s="15"/>
      <c r="UWL33" s="25"/>
      <c r="UWS33" s="21"/>
      <c r="UWT33" s="21"/>
      <c r="UWX33" s="15"/>
      <c r="UXD33" s="25"/>
      <c r="UXK33" s="21"/>
      <c r="UXL33" s="21"/>
      <c r="UXP33" s="15"/>
      <c r="UXV33" s="25"/>
      <c r="UYC33" s="21"/>
      <c r="UYD33" s="21"/>
      <c r="UYH33" s="15"/>
      <c r="UYN33" s="25"/>
      <c r="UYU33" s="21"/>
      <c r="UYV33" s="21"/>
      <c r="UYZ33" s="15"/>
      <c r="UZF33" s="25"/>
      <c r="UZM33" s="21"/>
      <c r="UZN33" s="21"/>
      <c r="UZR33" s="15"/>
      <c r="UZX33" s="25"/>
      <c r="VAE33" s="21"/>
      <c r="VAF33" s="21"/>
      <c r="VAJ33" s="15"/>
      <c r="VAP33" s="25"/>
      <c r="VAW33" s="21"/>
      <c r="VAX33" s="21"/>
      <c r="VBB33" s="15"/>
      <c r="VBH33" s="25"/>
      <c r="VBO33" s="21"/>
      <c r="VBP33" s="21"/>
      <c r="VBT33" s="15"/>
      <c r="VBZ33" s="25"/>
      <c r="VCG33" s="21"/>
      <c r="VCH33" s="21"/>
      <c r="VCL33" s="15"/>
      <c r="VCR33" s="25"/>
      <c r="VCY33" s="21"/>
      <c r="VCZ33" s="21"/>
      <c r="VDD33" s="15"/>
      <c r="VDJ33" s="25"/>
      <c r="VDQ33" s="21"/>
      <c r="VDR33" s="21"/>
      <c r="VDV33" s="15"/>
      <c r="VEB33" s="25"/>
      <c r="VEI33" s="21"/>
      <c r="VEJ33" s="21"/>
      <c r="VEN33" s="15"/>
      <c r="VET33" s="25"/>
      <c r="VFA33" s="21"/>
      <c r="VFB33" s="21"/>
      <c r="VFF33" s="15"/>
      <c r="VFL33" s="25"/>
      <c r="VFS33" s="21"/>
      <c r="VFT33" s="21"/>
      <c r="VFX33" s="15"/>
      <c r="VGD33" s="25"/>
      <c r="VGK33" s="21"/>
      <c r="VGL33" s="21"/>
      <c r="VGP33" s="15"/>
      <c r="VGV33" s="25"/>
      <c r="VHC33" s="21"/>
      <c r="VHD33" s="21"/>
      <c r="VHH33" s="15"/>
      <c r="VHN33" s="25"/>
      <c r="VHU33" s="21"/>
      <c r="VHV33" s="21"/>
      <c r="VHZ33" s="15"/>
      <c r="VIF33" s="25"/>
      <c r="VIM33" s="21"/>
      <c r="VIN33" s="21"/>
      <c r="VIR33" s="15"/>
      <c r="VIX33" s="25"/>
      <c r="VJE33" s="21"/>
      <c r="VJF33" s="21"/>
      <c r="VJJ33" s="15"/>
      <c r="VJP33" s="25"/>
      <c r="VJW33" s="21"/>
      <c r="VJX33" s="21"/>
      <c r="VKB33" s="15"/>
      <c r="VKH33" s="25"/>
      <c r="VKO33" s="21"/>
      <c r="VKP33" s="21"/>
      <c r="VKT33" s="15"/>
      <c r="VKZ33" s="25"/>
      <c r="VLG33" s="21"/>
      <c r="VLH33" s="21"/>
      <c r="VLL33" s="15"/>
      <c r="VLR33" s="25"/>
      <c r="VLY33" s="21"/>
      <c r="VLZ33" s="21"/>
      <c r="VMD33" s="15"/>
      <c r="VMJ33" s="25"/>
      <c r="VMQ33" s="21"/>
      <c r="VMR33" s="21"/>
      <c r="VMV33" s="15"/>
      <c r="VNB33" s="25"/>
      <c r="VNI33" s="21"/>
      <c r="VNJ33" s="21"/>
      <c r="VNN33" s="15"/>
      <c r="VNT33" s="25"/>
      <c r="VOA33" s="21"/>
      <c r="VOB33" s="21"/>
      <c r="VOF33" s="15"/>
      <c r="VOL33" s="25"/>
      <c r="VOS33" s="21"/>
      <c r="VOT33" s="21"/>
      <c r="VOX33" s="15"/>
      <c r="VPD33" s="25"/>
      <c r="VPK33" s="21"/>
      <c r="VPL33" s="21"/>
      <c r="VPP33" s="15"/>
      <c r="VPV33" s="25"/>
      <c r="VQC33" s="21"/>
      <c r="VQD33" s="21"/>
      <c r="VQH33" s="15"/>
      <c r="VQN33" s="25"/>
      <c r="VQU33" s="21"/>
      <c r="VQV33" s="21"/>
      <c r="VQZ33" s="15"/>
      <c r="VRF33" s="25"/>
      <c r="VRM33" s="21"/>
      <c r="VRN33" s="21"/>
      <c r="VRR33" s="15"/>
      <c r="VRX33" s="25"/>
      <c r="VSE33" s="21"/>
      <c r="VSF33" s="21"/>
      <c r="VSJ33" s="15"/>
      <c r="VSP33" s="25"/>
      <c r="VSW33" s="21"/>
      <c r="VSX33" s="21"/>
      <c r="VTB33" s="15"/>
      <c r="VTH33" s="25"/>
      <c r="VTO33" s="21"/>
      <c r="VTP33" s="21"/>
      <c r="VTT33" s="15"/>
      <c r="VTZ33" s="25"/>
      <c r="VUG33" s="21"/>
      <c r="VUH33" s="21"/>
      <c r="VUL33" s="15"/>
      <c r="VUR33" s="25"/>
      <c r="VUY33" s="21"/>
      <c r="VUZ33" s="21"/>
      <c r="VVD33" s="15"/>
      <c r="VVJ33" s="25"/>
      <c r="VVQ33" s="21"/>
      <c r="VVR33" s="21"/>
      <c r="VVV33" s="15"/>
      <c r="VWB33" s="25"/>
      <c r="VWI33" s="21"/>
      <c r="VWJ33" s="21"/>
      <c r="VWN33" s="15"/>
      <c r="VWT33" s="25"/>
      <c r="VXA33" s="21"/>
      <c r="VXB33" s="21"/>
      <c r="VXF33" s="15"/>
      <c r="VXL33" s="25"/>
      <c r="VXS33" s="21"/>
      <c r="VXT33" s="21"/>
      <c r="VXX33" s="15"/>
      <c r="VYD33" s="25"/>
      <c r="VYK33" s="21"/>
      <c r="VYL33" s="21"/>
      <c r="VYP33" s="15"/>
      <c r="VYV33" s="25"/>
      <c r="VZC33" s="21"/>
      <c r="VZD33" s="21"/>
      <c r="VZH33" s="15"/>
      <c r="VZN33" s="25"/>
      <c r="VZU33" s="21"/>
      <c r="VZV33" s="21"/>
      <c r="VZZ33" s="15"/>
      <c r="WAF33" s="25"/>
      <c r="WAM33" s="21"/>
      <c r="WAN33" s="21"/>
      <c r="WAR33" s="15"/>
      <c r="WAX33" s="25"/>
      <c r="WBE33" s="21"/>
      <c r="WBF33" s="21"/>
      <c r="WBJ33" s="15"/>
      <c r="WBP33" s="25"/>
      <c r="WBW33" s="21"/>
      <c r="WBX33" s="21"/>
      <c r="WCB33" s="15"/>
      <c r="WCH33" s="25"/>
      <c r="WCO33" s="21"/>
      <c r="WCP33" s="21"/>
      <c r="WCT33" s="15"/>
      <c r="WCZ33" s="25"/>
      <c r="WDG33" s="21"/>
      <c r="WDH33" s="21"/>
      <c r="WDL33" s="15"/>
      <c r="WDR33" s="25"/>
      <c r="WDY33" s="21"/>
      <c r="WDZ33" s="21"/>
      <c r="WED33" s="15"/>
      <c r="WEJ33" s="25"/>
      <c r="WEQ33" s="21"/>
      <c r="WER33" s="21"/>
      <c r="WEV33" s="15"/>
      <c r="WFB33" s="25"/>
      <c r="WFI33" s="21"/>
      <c r="WFJ33" s="21"/>
      <c r="WFN33" s="15"/>
      <c r="WFT33" s="25"/>
      <c r="WGA33" s="21"/>
      <c r="WGB33" s="21"/>
      <c r="WGF33" s="15"/>
      <c r="WGL33" s="25"/>
      <c r="WGS33" s="21"/>
      <c r="WGT33" s="21"/>
      <c r="WGX33" s="15"/>
      <c r="WHD33" s="25"/>
      <c r="WHK33" s="21"/>
      <c r="WHL33" s="21"/>
      <c r="WHP33" s="15"/>
      <c r="WHV33" s="25"/>
      <c r="WIC33" s="21"/>
      <c r="WID33" s="21"/>
      <c r="WIH33" s="15"/>
      <c r="WIN33" s="25"/>
      <c r="WIU33" s="21"/>
      <c r="WIV33" s="21"/>
      <c r="WIZ33" s="15"/>
      <c r="WJF33" s="25"/>
      <c r="WJM33" s="21"/>
      <c r="WJN33" s="21"/>
      <c r="WJR33" s="15"/>
      <c r="WJX33" s="25"/>
      <c r="WKE33" s="21"/>
      <c r="WKF33" s="21"/>
      <c r="WKJ33" s="15"/>
      <c r="WKP33" s="25"/>
      <c r="WKW33" s="21"/>
      <c r="WKX33" s="21"/>
      <c r="WLB33" s="15"/>
      <c r="WLH33" s="25"/>
      <c r="WLO33" s="21"/>
      <c r="WLP33" s="21"/>
      <c r="WLT33" s="15"/>
      <c r="WLZ33" s="25"/>
      <c r="WMG33" s="21"/>
      <c r="WMH33" s="21"/>
      <c r="WML33" s="15"/>
      <c r="WMR33" s="25"/>
      <c r="WMY33" s="21"/>
      <c r="WMZ33" s="21"/>
      <c r="WND33" s="15"/>
      <c r="WNJ33" s="25"/>
      <c r="WNQ33" s="21"/>
      <c r="WNR33" s="21"/>
      <c r="WNV33" s="15"/>
      <c r="WOB33" s="25"/>
      <c r="WOI33" s="21"/>
      <c r="WOJ33" s="21"/>
      <c r="WON33" s="15"/>
      <c r="WOT33" s="25"/>
      <c r="WPA33" s="21"/>
      <c r="WPB33" s="21"/>
      <c r="WPF33" s="15"/>
      <c r="WPL33" s="25"/>
      <c r="WPS33" s="21"/>
      <c r="WPT33" s="21"/>
      <c r="WPX33" s="15"/>
      <c r="WQD33" s="25"/>
      <c r="WQK33" s="21"/>
      <c r="WQL33" s="21"/>
      <c r="WQP33" s="15"/>
      <c r="WQV33" s="25"/>
      <c r="WRC33" s="21"/>
      <c r="WRD33" s="21"/>
      <c r="WRH33" s="15"/>
      <c r="WRN33" s="25"/>
      <c r="WRU33" s="21"/>
      <c r="WRV33" s="21"/>
      <c r="WRZ33" s="15"/>
      <c r="WSF33" s="25"/>
      <c r="WSM33" s="21"/>
      <c r="WSN33" s="21"/>
      <c r="WSR33" s="15"/>
      <c r="WSX33" s="25"/>
      <c r="WTE33" s="21"/>
      <c r="WTF33" s="21"/>
      <c r="WTJ33" s="15"/>
      <c r="WTP33" s="25"/>
      <c r="WTW33" s="21"/>
      <c r="WTX33" s="21"/>
      <c r="WUB33" s="15"/>
      <c r="WUH33" s="25"/>
      <c r="WUO33" s="21"/>
      <c r="WUP33" s="21"/>
      <c r="WUT33" s="15"/>
      <c r="WUZ33" s="25"/>
      <c r="WVG33" s="21"/>
      <c r="WVH33" s="21"/>
      <c r="WVL33" s="15"/>
      <c r="WVR33" s="25"/>
      <c r="WVY33" s="21"/>
      <c r="WVZ33" s="21"/>
      <c r="WWD33" s="15"/>
      <c r="WWJ33" s="25"/>
      <c r="WWQ33" s="21"/>
      <c r="WWR33" s="21"/>
      <c r="WWV33" s="15"/>
      <c r="WXB33" s="25"/>
      <c r="WXI33" s="21"/>
      <c r="WXJ33" s="21"/>
      <c r="WXN33" s="15"/>
      <c r="WXT33" s="25"/>
      <c r="WYA33" s="21"/>
      <c r="WYB33" s="21"/>
      <c r="WYF33" s="15"/>
      <c r="WYL33" s="25"/>
      <c r="WYS33" s="21"/>
      <c r="WYT33" s="21"/>
      <c r="WYX33" s="15"/>
      <c r="WZD33" s="25"/>
      <c r="WZK33" s="21"/>
      <c r="WZL33" s="21"/>
      <c r="WZP33" s="15"/>
      <c r="WZV33" s="25"/>
      <c r="XAC33" s="21"/>
      <c r="XAD33" s="21"/>
      <c r="XAH33" s="15"/>
      <c r="XAN33" s="25"/>
      <c r="XAU33" s="21"/>
      <c r="XAV33" s="21"/>
      <c r="XAZ33" s="15"/>
      <c r="XBF33" s="25"/>
      <c r="XBM33" s="21"/>
      <c r="XBN33" s="21"/>
      <c r="XBR33" s="15"/>
      <c r="XBX33" s="25"/>
      <c r="XCE33" s="21"/>
      <c r="XCF33" s="21"/>
      <c r="XCJ33" s="15"/>
      <c r="XCP33" s="25"/>
      <c r="XCW33" s="21"/>
      <c r="XCX33" s="21"/>
      <c r="XDB33" s="15"/>
      <c r="XDH33" s="25"/>
      <c r="XDO33" s="21"/>
      <c r="XDP33" s="21"/>
      <c r="XDT33" s="15"/>
      <c r="XDZ33" s="25"/>
      <c r="XEG33" s="21"/>
      <c r="XEH33" s="21"/>
      <c r="XEL33" s="15"/>
      <c r="XER33" s="25"/>
      <c r="XEY33" s="21"/>
      <c r="XEZ33" s="21"/>
      <c r="XFD33" s="15"/>
    </row>
    <row r="34" spans="1:1018 1025:2044 2051:3070 3077:4096 4103:5116 5122:6142 6148:7168 7174:8190 8194:9216 9220:10234 10241:11260 11267:12286 12293:13312 13319:14332 14338:15358 15364:16384" s="24" customFormat="1">
      <c r="A34" s="21" t="s">
        <v>116</v>
      </c>
      <c r="B34" s="12">
        <v>2009</v>
      </c>
      <c r="C34" s="19" t="s">
        <v>101</v>
      </c>
      <c r="D34" s="22" t="s">
        <v>86</v>
      </c>
      <c r="E34" s="43" t="s">
        <v>117</v>
      </c>
      <c r="F34" s="19" t="s">
        <v>41</v>
      </c>
      <c r="G34" s="44">
        <v>3501213151.7658243</v>
      </c>
      <c r="H34" s="44">
        <v>1237959455.9556208</v>
      </c>
      <c r="I34" s="12">
        <v>20</v>
      </c>
      <c r="J34" s="23" t="s">
        <v>118</v>
      </c>
      <c r="K34" s="22"/>
      <c r="L34" s="22"/>
      <c r="M34" s="22"/>
      <c r="N34" s="12"/>
      <c r="O34" s="22"/>
      <c r="P34" s="12"/>
      <c r="Q34" s="22"/>
      <c r="R34" s="22"/>
      <c r="V34" s="15"/>
      <c r="AB34" s="25"/>
      <c r="AI34" s="21"/>
      <c r="AJ34" s="21"/>
      <c r="AN34" s="15"/>
      <c r="AT34" s="25"/>
      <c r="BA34" s="21"/>
      <c r="BB34" s="21"/>
      <c r="BF34" s="15"/>
      <c r="BL34" s="25"/>
      <c r="BS34" s="21"/>
      <c r="BT34" s="21"/>
      <c r="BX34" s="15"/>
      <c r="CD34" s="25"/>
      <c r="CK34" s="21"/>
      <c r="CL34" s="21"/>
      <c r="CP34" s="15"/>
      <c r="CV34" s="25"/>
      <c r="DC34" s="21"/>
      <c r="DD34" s="21"/>
      <c r="DH34" s="15"/>
      <c r="DN34" s="25"/>
      <c r="DU34" s="21"/>
      <c r="DV34" s="21"/>
      <c r="DZ34" s="15"/>
      <c r="EF34" s="25"/>
      <c r="EM34" s="21"/>
      <c r="EN34" s="21"/>
      <c r="ER34" s="15"/>
      <c r="EX34" s="25"/>
      <c r="FE34" s="21"/>
      <c r="FF34" s="21"/>
      <c r="FJ34" s="15"/>
      <c r="FP34" s="25"/>
      <c r="FW34" s="21"/>
      <c r="FX34" s="21"/>
      <c r="GB34" s="15"/>
      <c r="GH34" s="25"/>
      <c r="GO34" s="21"/>
      <c r="GP34" s="21"/>
      <c r="GT34" s="15"/>
      <c r="GZ34" s="25"/>
      <c r="HG34" s="21"/>
      <c r="HH34" s="21"/>
      <c r="HL34" s="15"/>
      <c r="HR34" s="25"/>
      <c r="HY34" s="21"/>
      <c r="HZ34" s="21"/>
      <c r="ID34" s="15"/>
      <c r="IJ34" s="25"/>
      <c r="IQ34" s="21"/>
      <c r="IR34" s="21"/>
      <c r="IV34" s="15"/>
      <c r="JB34" s="25"/>
      <c r="JI34" s="21"/>
      <c r="JJ34" s="21"/>
      <c r="JN34" s="15"/>
      <c r="JT34" s="25"/>
      <c r="KA34" s="21"/>
      <c r="KB34" s="21"/>
      <c r="KF34" s="15"/>
      <c r="KL34" s="25"/>
      <c r="KS34" s="21"/>
      <c r="KT34" s="21"/>
      <c r="KX34" s="15"/>
      <c r="LD34" s="25"/>
      <c r="LK34" s="21"/>
      <c r="LL34" s="21"/>
      <c r="LP34" s="15"/>
      <c r="LV34" s="25"/>
      <c r="MC34" s="21"/>
      <c r="MD34" s="21"/>
      <c r="MH34" s="15"/>
      <c r="MN34" s="25"/>
      <c r="MU34" s="21"/>
      <c r="MV34" s="21"/>
      <c r="MZ34" s="15"/>
      <c r="NF34" s="25"/>
      <c r="NM34" s="21"/>
      <c r="NN34" s="21"/>
      <c r="NR34" s="15"/>
      <c r="NX34" s="25"/>
      <c r="OE34" s="21"/>
      <c r="OF34" s="21"/>
      <c r="OJ34" s="15"/>
      <c r="OP34" s="25"/>
      <c r="OW34" s="21"/>
      <c r="OX34" s="21"/>
      <c r="PB34" s="15"/>
      <c r="PH34" s="25"/>
      <c r="PO34" s="21"/>
      <c r="PP34" s="21"/>
      <c r="PT34" s="15"/>
      <c r="PZ34" s="25"/>
      <c r="QG34" s="21"/>
      <c r="QH34" s="21"/>
      <c r="QL34" s="15"/>
      <c r="QR34" s="25"/>
      <c r="QY34" s="21"/>
      <c r="QZ34" s="21"/>
      <c r="RD34" s="15"/>
      <c r="RJ34" s="25"/>
      <c r="RQ34" s="21"/>
      <c r="RR34" s="21"/>
      <c r="RV34" s="15"/>
      <c r="SB34" s="25"/>
      <c r="SI34" s="21"/>
      <c r="SJ34" s="21"/>
      <c r="SN34" s="15"/>
      <c r="ST34" s="25"/>
      <c r="TA34" s="21"/>
      <c r="TB34" s="21"/>
      <c r="TF34" s="15"/>
      <c r="TL34" s="25"/>
      <c r="TS34" s="21"/>
      <c r="TT34" s="21"/>
      <c r="TX34" s="15"/>
      <c r="UD34" s="25"/>
      <c r="UK34" s="21"/>
      <c r="UL34" s="21"/>
      <c r="UP34" s="15"/>
      <c r="UV34" s="25"/>
      <c r="VC34" s="21"/>
      <c r="VD34" s="21"/>
      <c r="VH34" s="15"/>
      <c r="VN34" s="25"/>
      <c r="VU34" s="21"/>
      <c r="VV34" s="21"/>
      <c r="VZ34" s="15"/>
      <c r="WF34" s="25"/>
      <c r="WM34" s="21"/>
      <c r="WN34" s="21"/>
      <c r="WR34" s="15"/>
      <c r="WX34" s="25"/>
      <c r="XE34" s="21"/>
      <c r="XF34" s="21"/>
      <c r="XJ34" s="15"/>
      <c r="XP34" s="25"/>
      <c r="XW34" s="21"/>
      <c r="XX34" s="21"/>
      <c r="YB34" s="15"/>
      <c r="YH34" s="25"/>
      <c r="YO34" s="21"/>
      <c r="YP34" s="21"/>
      <c r="YT34" s="15"/>
      <c r="YZ34" s="25"/>
      <c r="ZG34" s="21"/>
      <c r="ZH34" s="21"/>
      <c r="ZL34" s="15"/>
      <c r="ZR34" s="25"/>
      <c r="ZY34" s="21"/>
      <c r="ZZ34" s="21"/>
      <c r="AAD34" s="15"/>
      <c r="AAJ34" s="25"/>
      <c r="AAQ34" s="21"/>
      <c r="AAR34" s="21"/>
      <c r="AAV34" s="15"/>
      <c r="ABB34" s="25"/>
      <c r="ABI34" s="21"/>
      <c r="ABJ34" s="21"/>
      <c r="ABN34" s="15"/>
      <c r="ABT34" s="25"/>
      <c r="ACA34" s="21"/>
      <c r="ACB34" s="21"/>
      <c r="ACF34" s="15"/>
      <c r="ACL34" s="25"/>
      <c r="ACS34" s="21"/>
      <c r="ACT34" s="21"/>
      <c r="ACX34" s="15"/>
      <c r="ADD34" s="25"/>
      <c r="ADK34" s="21"/>
      <c r="ADL34" s="21"/>
      <c r="ADP34" s="15"/>
      <c r="ADV34" s="25"/>
      <c r="AEC34" s="21"/>
      <c r="AED34" s="21"/>
      <c r="AEH34" s="15"/>
      <c r="AEN34" s="25"/>
      <c r="AEU34" s="21"/>
      <c r="AEV34" s="21"/>
      <c r="AEZ34" s="15"/>
      <c r="AFF34" s="25"/>
      <c r="AFM34" s="21"/>
      <c r="AFN34" s="21"/>
      <c r="AFR34" s="15"/>
      <c r="AFX34" s="25"/>
      <c r="AGE34" s="21"/>
      <c r="AGF34" s="21"/>
      <c r="AGJ34" s="15"/>
      <c r="AGP34" s="25"/>
      <c r="AGW34" s="21"/>
      <c r="AGX34" s="21"/>
      <c r="AHB34" s="15"/>
      <c r="AHH34" s="25"/>
      <c r="AHO34" s="21"/>
      <c r="AHP34" s="21"/>
      <c r="AHT34" s="15"/>
      <c r="AHZ34" s="25"/>
      <c r="AIG34" s="21"/>
      <c r="AIH34" s="21"/>
      <c r="AIL34" s="15"/>
      <c r="AIR34" s="25"/>
      <c r="AIY34" s="21"/>
      <c r="AIZ34" s="21"/>
      <c r="AJD34" s="15"/>
      <c r="AJJ34" s="25"/>
      <c r="AJQ34" s="21"/>
      <c r="AJR34" s="21"/>
      <c r="AJV34" s="15"/>
      <c r="AKB34" s="25"/>
      <c r="AKI34" s="21"/>
      <c r="AKJ34" s="21"/>
      <c r="AKN34" s="15"/>
      <c r="AKT34" s="25"/>
      <c r="ALA34" s="21"/>
      <c r="ALB34" s="21"/>
      <c r="ALF34" s="15"/>
      <c r="ALL34" s="25"/>
      <c r="ALS34" s="21"/>
      <c r="ALT34" s="21"/>
      <c r="ALX34" s="15"/>
      <c r="AMD34" s="25"/>
      <c r="AMK34" s="21"/>
      <c r="AML34" s="21"/>
      <c r="AMP34" s="15"/>
      <c r="AMV34" s="25"/>
      <c r="ANC34" s="21"/>
      <c r="AND34" s="21"/>
      <c r="ANH34" s="15"/>
      <c r="ANN34" s="25"/>
      <c r="ANU34" s="21"/>
      <c r="ANV34" s="21"/>
      <c r="ANZ34" s="15"/>
      <c r="AOF34" s="25"/>
      <c r="AOM34" s="21"/>
      <c r="AON34" s="21"/>
      <c r="AOR34" s="15"/>
      <c r="AOX34" s="25"/>
      <c r="APE34" s="21"/>
      <c r="APF34" s="21"/>
      <c r="APJ34" s="15"/>
      <c r="APP34" s="25"/>
      <c r="APW34" s="21"/>
      <c r="APX34" s="21"/>
      <c r="AQB34" s="15"/>
      <c r="AQH34" s="25"/>
      <c r="AQO34" s="21"/>
      <c r="AQP34" s="21"/>
      <c r="AQT34" s="15"/>
      <c r="AQZ34" s="25"/>
      <c r="ARG34" s="21"/>
      <c r="ARH34" s="21"/>
      <c r="ARL34" s="15"/>
      <c r="ARR34" s="25"/>
      <c r="ARY34" s="21"/>
      <c r="ARZ34" s="21"/>
      <c r="ASD34" s="15"/>
      <c r="ASJ34" s="25"/>
      <c r="ASQ34" s="21"/>
      <c r="ASR34" s="21"/>
      <c r="ASV34" s="15"/>
      <c r="ATB34" s="25"/>
      <c r="ATI34" s="21"/>
      <c r="ATJ34" s="21"/>
      <c r="ATN34" s="15"/>
      <c r="ATT34" s="25"/>
      <c r="AUA34" s="21"/>
      <c r="AUB34" s="21"/>
      <c r="AUF34" s="15"/>
      <c r="AUL34" s="25"/>
      <c r="AUS34" s="21"/>
      <c r="AUT34" s="21"/>
      <c r="AUX34" s="15"/>
      <c r="AVD34" s="25"/>
      <c r="AVK34" s="21"/>
      <c r="AVL34" s="21"/>
      <c r="AVP34" s="15"/>
      <c r="AVV34" s="25"/>
      <c r="AWC34" s="21"/>
      <c r="AWD34" s="21"/>
      <c r="AWH34" s="15"/>
      <c r="AWN34" s="25"/>
      <c r="AWU34" s="21"/>
      <c r="AWV34" s="21"/>
      <c r="AWZ34" s="15"/>
      <c r="AXF34" s="25"/>
      <c r="AXM34" s="21"/>
      <c r="AXN34" s="21"/>
      <c r="AXR34" s="15"/>
      <c r="AXX34" s="25"/>
      <c r="AYE34" s="21"/>
      <c r="AYF34" s="21"/>
      <c r="AYJ34" s="15"/>
      <c r="AYP34" s="25"/>
      <c r="AYW34" s="21"/>
      <c r="AYX34" s="21"/>
      <c r="AZB34" s="15"/>
      <c r="AZH34" s="25"/>
      <c r="AZO34" s="21"/>
      <c r="AZP34" s="21"/>
      <c r="AZT34" s="15"/>
      <c r="AZZ34" s="25"/>
      <c r="BAG34" s="21"/>
      <c r="BAH34" s="21"/>
      <c r="BAL34" s="15"/>
      <c r="BAR34" s="25"/>
      <c r="BAY34" s="21"/>
      <c r="BAZ34" s="21"/>
      <c r="BBD34" s="15"/>
      <c r="BBJ34" s="25"/>
      <c r="BBQ34" s="21"/>
      <c r="BBR34" s="21"/>
      <c r="BBV34" s="15"/>
      <c r="BCB34" s="25"/>
      <c r="BCI34" s="21"/>
      <c r="BCJ34" s="21"/>
      <c r="BCN34" s="15"/>
      <c r="BCT34" s="25"/>
      <c r="BDA34" s="21"/>
      <c r="BDB34" s="21"/>
      <c r="BDF34" s="15"/>
      <c r="BDL34" s="25"/>
      <c r="BDS34" s="21"/>
      <c r="BDT34" s="21"/>
      <c r="BDX34" s="15"/>
      <c r="BED34" s="25"/>
      <c r="BEK34" s="21"/>
      <c r="BEL34" s="21"/>
      <c r="BEP34" s="15"/>
      <c r="BEV34" s="25"/>
      <c r="BFC34" s="21"/>
      <c r="BFD34" s="21"/>
      <c r="BFH34" s="15"/>
      <c r="BFN34" s="25"/>
      <c r="BFU34" s="21"/>
      <c r="BFV34" s="21"/>
      <c r="BFZ34" s="15"/>
      <c r="BGF34" s="25"/>
      <c r="BGM34" s="21"/>
      <c r="BGN34" s="21"/>
      <c r="BGR34" s="15"/>
      <c r="BGX34" s="25"/>
      <c r="BHE34" s="21"/>
      <c r="BHF34" s="21"/>
      <c r="BHJ34" s="15"/>
      <c r="BHP34" s="25"/>
      <c r="BHW34" s="21"/>
      <c r="BHX34" s="21"/>
      <c r="BIB34" s="15"/>
      <c r="BIH34" s="25"/>
      <c r="BIO34" s="21"/>
      <c r="BIP34" s="21"/>
      <c r="BIT34" s="15"/>
      <c r="BIZ34" s="25"/>
      <c r="BJG34" s="21"/>
      <c r="BJH34" s="21"/>
      <c r="BJL34" s="15"/>
      <c r="BJR34" s="25"/>
      <c r="BJY34" s="21"/>
      <c r="BJZ34" s="21"/>
      <c r="BKD34" s="15"/>
      <c r="BKJ34" s="25"/>
      <c r="BKQ34" s="21"/>
      <c r="BKR34" s="21"/>
      <c r="BKV34" s="15"/>
      <c r="BLB34" s="25"/>
      <c r="BLI34" s="21"/>
      <c r="BLJ34" s="21"/>
      <c r="BLN34" s="15"/>
      <c r="BLT34" s="25"/>
      <c r="BMA34" s="21"/>
      <c r="BMB34" s="21"/>
      <c r="BMF34" s="15"/>
      <c r="BML34" s="25"/>
      <c r="BMS34" s="21"/>
      <c r="BMT34" s="21"/>
      <c r="BMX34" s="15"/>
      <c r="BND34" s="25"/>
      <c r="BNK34" s="21"/>
      <c r="BNL34" s="21"/>
      <c r="BNP34" s="15"/>
      <c r="BNV34" s="25"/>
      <c r="BOC34" s="21"/>
      <c r="BOD34" s="21"/>
      <c r="BOH34" s="15"/>
      <c r="BON34" s="25"/>
      <c r="BOU34" s="21"/>
      <c r="BOV34" s="21"/>
      <c r="BOZ34" s="15"/>
      <c r="BPF34" s="25"/>
      <c r="BPM34" s="21"/>
      <c r="BPN34" s="21"/>
      <c r="BPR34" s="15"/>
      <c r="BPX34" s="25"/>
      <c r="BQE34" s="21"/>
      <c r="BQF34" s="21"/>
      <c r="BQJ34" s="15"/>
      <c r="BQP34" s="25"/>
      <c r="BQW34" s="21"/>
      <c r="BQX34" s="21"/>
      <c r="BRB34" s="15"/>
      <c r="BRH34" s="25"/>
      <c r="BRO34" s="21"/>
      <c r="BRP34" s="21"/>
      <c r="BRT34" s="15"/>
      <c r="BRZ34" s="25"/>
      <c r="BSG34" s="21"/>
      <c r="BSH34" s="21"/>
      <c r="BSL34" s="15"/>
      <c r="BSR34" s="25"/>
      <c r="BSY34" s="21"/>
      <c r="BSZ34" s="21"/>
      <c r="BTD34" s="15"/>
      <c r="BTJ34" s="25"/>
      <c r="BTQ34" s="21"/>
      <c r="BTR34" s="21"/>
      <c r="BTV34" s="15"/>
      <c r="BUB34" s="25"/>
      <c r="BUI34" s="21"/>
      <c r="BUJ34" s="21"/>
      <c r="BUN34" s="15"/>
      <c r="BUT34" s="25"/>
      <c r="BVA34" s="21"/>
      <c r="BVB34" s="21"/>
      <c r="BVF34" s="15"/>
      <c r="BVL34" s="25"/>
      <c r="BVS34" s="21"/>
      <c r="BVT34" s="21"/>
      <c r="BVX34" s="15"/>
      <c r="BWD34" s="25"/>
      <c r="BWK34" s="21"/>
      <c r="BWL34" s="21"/>
      <c r="BWP34" s="15"/>
      <c r="BWV34" s="25"/>
      <c r="BXC34" s="21"/>
      <c r="BXD34" s="21"/>
      <c r="BXH34" s="15"/>
      <c r="BXN34" s="25"/>
      <c r="BXU34" s="21"/>
      <c r="BXV34" s="21"/>
      <c r="BXZ34" s="15"/>
      <c r="BYF34" s="25"/>
      <c r="BYM34" s="21"/>
      <c r="BYN34" s="21"/>
      <c r="BYR34" s="15"/>
      <c r="BYX34" s="25"/>
      <c r="BZE34" s="21"/>
      <c r="BZF34" s="21"/>
      <c r="BZJ34" s="15"/>
      <c r="BZP34" s="25"/>
      <c r="BZW34" s="21"/>
      <c r="BZX34" s="21"/>
      <c r="CAB34" s="15"/>
      <c r="CAH34" s="25"/>
      <c r="CAO34" s="21"/>
      <c r="CAP34" s="21"/>
      <c r="CAT34" s="15"/>
      <c r="CAZ34" s="25"/>
      <c r="CBG34" s="21"/>
      <c r="CBH34" s="21"/>
      <c r="CBL34" s="15"/>
      <c r="CBR34" s="25"/>
      <c r="CBY34" s="21"/>
      <c r="CBZ34" s="21"/>
      <c r="CCD34" s="15"/>
      <c r="CCJ34" s="25"/>
      <c r="CCQ34" s="21"/>
      <c r="CCR34" s="21"/>
      <c r="CCV34" s="15"/>
      <c r="CDB34" s="25"/>
      <c r="CDI34" s="21"/>
      <c r="CDJ34" s="21"/>
      <c r="CDN34" s="15"/>
      <c r="CDT34" s="25"/>
      <c r="CEA34" s="21"/>
      <c r="CEB34" s="21"/>
      <c r="CEF34" s="15"/>
      <c r="CEL34" s="25"/>
      <c r="CES34" s="21"/>
      <c r="CET34" s="21"/>
      <c r="CEX34" s="15"/>
      <c r="CFD34" s="25"/>
      <c r="CFK34" s="21"/>
      <c r="CFL34" s="21"/>
      <c r="CFP34" s="15"/>
      <c r="CFV34" s="25"/>
      <c r="CGC34" s="21"/>
      <c r="CGD34" s="21"/>
      <c r="CGH34" s="15"/>
      <c r="CGN34" s="25"/>
      <c r="CGU34" s="21"/>
      <c r="CGV34" s="21"/>
      <c r="CGZ34" s="15"/>
      <c r="CHF34" s="25"/>
      <c r="CHM34" s="21"/>
      <c r="CHN34" s="21"/>
      <c r="CHR34" s="15"/>
      <c r="CHX34" s="25"/>
      <c r="CIE34" s="21"/>
      <c r="CIF34" s="21"/>
      <c r="CIJ34" s="15"/>
      <c r="CIP34" s="25"/>
      <c r="CIW34" s="21"/>
      <c r="CIX34" s="21"/>
      <c r="CJB34" s="15"/>
      <c r="CJH34" s="25"/>
      <c r="CJO34" s="21"/>
      <c r="CJP34" s="21"/>
      <c r="CJT34" s="15"/>
      <c r="CJZ34" s="25"/>
      <c r="CKG34" s="21"/>
      <c r="CKH34" s="21"/>
      <c r="CKL34" s="15"/>
      <c r="CKR34" s="25"/>
      <c r="CKY34" s="21"/>
      <c r="CKZ34" s="21"/>
      <c r="CLD34" s="15"/>
      <c r="CLJ34" s="25"/>
      <c r="CLQ34" s="21"/>
      <c r="CLR34" s="21"/>
      <c r="CLV34" s="15"/>
      <c r="CMB34" s="25"/>
      <c r="CMI34" s="21"/>
      <c r="CMJ34" s="21"/>
      <c r="CMN34" s="15"/>
      <c r="CMT34" s="25"/>
      <c r="CNA34" s="21"/>
      <c r="CNB34" s="21"/>
      <c r="CNF34" s="15"/>
      <c r="CNL34" s="25"/>
      <c r="CNS34" s="21"/>
      <c r="CNT34" s="21"/>
      <c r="CNX34" s="15"/>
      <c r="COD34" s="25"/>
      <c r="COK34" s="21"/>
      <c r="COL34" s="21"/>
      <c r="COP34" s="15"/>
      <c r="COV34" s="25"/>
      <c r="CPC34" s="21"/>
      <c r="CPD34" s="21"/>
      <c r="CPH34" s="15"/>
      <c r="CPN34" s="25"/>
      <c r="CPU34" s="21"/>
      <c r="CPV34" s="21"/>
      <c r="CPZ34" s="15"/>
      <c r="CQF34" s="25"/>
      <c r="CQM34" s="21"/>
      <c r="CQN34" s="21"/>
      <c r="CQR34" s="15"/>
      <c r="CQX34" s="25"/>
      <c r="CRE34" s="21"/>
      <c r="CRF34" s="21"/>
      <c r="CRJ34" s="15"/>
      <c r="CRP34" s="25"/>
      <c r="CRW34" s="21"/>
      <c r="CRX34" s="21"/>
      <c r="CSB34" s="15"/>
      <c r="CSH34" s="25"/>
      <c r="CSO34" s="21"/>
      <c r="CSP34" s="21"/>
      <c r="CST34" s="15"/>
      <c r="CSZ34" s="25"/>
      <c r="CTG34" s="21"/>
      <c r="CTH34" s="21"/>
      <c r="CTL34" s="15"/>
      <c r="CTR34" s="25"/>
      <c r="CTY34" s="21"/>
      <c r="CTZ34" s="21"/>
      <c r="CUD34" s="15"/>
      <c r="CUJ34" s="25"/>
      <c r="CUQ34" s="21"/>
      <c r="CUR34" s="21"/>
      <c r="CUV34" s="15"/>
      <c r="CVB34" s="25"/>
      <c r="CVI34" s="21"/>
      <c r="CVJ34" s="21"/>
      <c r="CVN34" s="15"/>
      <c r="CVT34" s="25"/>
      <c r="CWA34" s="21"/>
      <c r="CWB34" s="21"/>
      <c r="CWF34" s="15"/>
      <c r="CWL34" s="25"/>
      <c r="CWS34" s="21"/>
      <c r="CWT34" s="21"/>
      <c r="CWX34" s="15"/>
      <c r="CXD34" s="25"/>
      <c r="CXK34" s="21"/>
      <c r="CXL34" s="21"/>
      <c r="CXP34" s="15"/>
      <c r="CXV34" s="25"/>
      <c r="CYC34" s="21"/>
      <c r="CYD34" s="21"/>
      <c r="CYH34" s="15"/>
      <c r="CYN34" s="25"/>
      <c r="CYU34" s="21"/>
      <c r="CYV34" s="21"/>
      <c r="CYZ34" s="15"/>
      <c r="CZF34" s="25"/>
      <c r="CZM34" s="21"/>
      <c r="CZN34" s="21"/>
      <c r="CZR34" s="15"/>
      <c r="CZX34" s="25"/>
      <c r="DAE34" s="21"/>
      <c r="DAF34" s="21"/>
      <c r="DAJ34" s="15"/>
      <c r="DAP34" s="25"/>
      <c r="DAW34" s="21"/>
      <c r="DAX34" s="21"/>
      <c r="DBB34" s="15"/>
      <c r="DBH34" s="25"/>
      <c r="DBO34" s="21"/>
      <c r="DBP34" s="21"/>
      <c r="DBT34" s="15"/>
      <c r="DBZ34" s="25"/>
      <c r="DCG34" s="21"/>
      <c r="DCH34" s="21"/>
      <c r="DCL34" s="15"/>
      <c r="DCR34" s="25"/>
      <c r="DCY34" s="21"/>
      <c r="DCZ34" s="21"/>
      <c r="DDD34" s="15"/>
      <c r="DDJ34" s="25"/>
      <c r="DDQ34" s="21"/>
      <c r="DDR34" s="21"/>
      <c r="DDV34" s="15"/>
      <c r="DEB34" s="25"/>
      <c r="DEI34" s="21"/>
      <c r="DEJ34" s="21"/>
      <c r="DEN34" s="15"/>
      <c r="DET34" s="25"/>
      <c r="DFA34" s="21"/>
      <c r="DFB34" s="21"/>
      <c r="DFF34" s="15"/>
      <c r="DFL34" s="25"/>
      <c r="DFS34" s="21"/>
      <c r="DFT34" s="21"/>
      <c r="DFX34" s="15"/>
      <c r="DGD34" s="25"/>
      <c r="DGK34" s="21"/>
      <c r="DGL34" s="21"/>
      <c r="DGP34" s="15"/>
      <c r="DGV34" s="25"/>
      <c r="DHC34" s="21"/>
      <c r="DHD34" s="21"/>
      <c r="DHH34" s="15"/>
      <c r="DHN34" s="25"/>
      <c r="DHU34" s="21"/>
      <c r="DHV34" s="21"/>
      <c r="DHZ34" s="15"/>
      <c r="DIF34" s="25"/>
      <c r="DIM34" s="21"/>
      <c r="DIN34" s="21"/>
      <c r="DIR34" s="15"/>
      <c r="DIX34" s="25"/>
      <c r="DJE34" s="21"/>
      <c r="DJF34" s="21"/>
      <c r="DJJ34" s="15"/>
      <c r="DJP34" s="25"/>
      <c r="DJW34" s="21"/>
      <c r="DJX34" s="21"/>
      <c r="DKB34" s="15"/>
      <c r="DKH34" s="25"/>
      <c r="DKO34" s="21"/>
      <c r="DKP34" s="21"/>
      <c r="DKT34" s="15"/>
      <c r="DKZ34" s="25"/>
      <c r="DLG34" s="21"/>
      <c r="DLH34" s="21"/>
      <c r="DLL34" s="15"/>
      <c r="DLR34" s="25"/>
      <c r="DLY34" s="21"/>
      <c r="DLZ34" s="21"/>
      <c r="DMD34" s="15"/>
      <c r="DMJ34" s="25"/>
      <c r="DMQ34" s="21"/>
      <c r="DMR34" s="21"/>
      <c r="DMV34" s="15"/>
      <c r="DNB34" s="25"/>
      <c r="DNI34" s="21"/>
      <c r="DNJ34" s="21"/>
      <c r="DNN34" s="15"/>
      <c r="DNT34" s="25"/>
      <c r="DOA34" s="21"/>
      <c r="DOB34" s="21"/>
      <c r="DOF34" s="15"/>
      <c r="DOL34" s="25"/>
      <c r="DOS34" s="21"/>
      <c r="DOT34" s="21"/>
      <c r="DOX34" s="15"/>
      <c r="DPD34" s="25"/>
      <c r="DPK34" s="21"/>
      <c r="DPL34" s="21"/>
      <c r="DPP34" s="15"/>
      <c r="DPV34" s="25"/>
      <c r="DQC34" s="21"/>
      <c r="DQD34" s="21"/>
      <c r="DQH34" s="15"/>
      <c r="DQN34" s="25"/>
      <c r="DQU34" s="21"/>
      <c r="DQV34" s="21"/>
      <c r="DQZ34" s="15"/>
      <c r="DRF34" s="25"/>
      <c r="DRM34" s="21"/>
      <c r="DRN34" s="21"/>
      <c r="DRR34" s="15"/>
      <c r="DRX34" s="25"/>
      <c r="DSE34" s="21"/>
      <c r="DSF34" s="21"/>
      <c r="DSJ34" s="15"/>
      <c r="DSP34" s="25"/>
      <c r="DSW34" s="21"/>
      <c r="DSX34" s="21"/>
      <c r="DTB34" s="15"/>
      <c r="DTH34" s="25"/>
      <c r="DTO34" s="21"/>
      <c r="DTP34" s="21"/>
      <c r="DTT34" s="15"/>
      <c r="DTZ34" s="25"/>
      <c r="DUG34" s="21"/>
      <c r="DUH34" s="21"/>
      <c r="DUL34" s="15"/>
      <c r="DUR34" s="25"/>
      <c r="DUY34" s="21"/>
      <c r="DUZ34" s="21"/>
      <c r="DVD34" s="15"/>
      <c r="DVJ34" s="25"/>
      <c r="DVQ34" s="21"/>
      <c r="DVR34" s="21"/>
      <c r="DVV34" s="15"/>
      <c r="DWB34" s="25"/>
      <c r="DWI34" s="21"/>
      <c r="DWJ34" s="21"/>
      <c r="DWN34" s="15"/>
      <c r="DWT34" s="25"/>
      <c r="DXA34" s="21"/>
      <c r="DXB34" s="21"/>
      <c r="DXF34" s="15"/>
      <c r="DXL34" s="25"/>
      <c r="DXS34" s="21"/>
      <c r="DXT34" s="21"/>
      <c r="DXX34" s="15"/>
      <c r="DYD34" s="25"/>
      <c r="DYK34" s="21"/>
      <c r="DYL34" s="21"/>
      <c r="DYP34" s="15"/>
      <c r="DYV34" s="25"/>
      <c r="DZC34" s="21"/>
      <c r="DZD34" s="21"/>
      <c r="DZH34" s="15"/>
      <c r="DZN34" s="25"/>
      <c r="DZU34" s="21"/>
      <c r="DZV34" s="21"/>
      <c r="DZZ34" s="15"/>
      <c r="EAF34" s="25"/>
      <c r="EAM34" s="21"/>
      <c r="EAN34" s="21"/>
      <c r="EAR34" s="15"/>
      <c r="EAX34" s="25"/>
      <c r="EBE34" s="21"/>
      <c r="EBF34" s="21"/>
      <c r="EBJ34" s="15"/>
      <c r="EBP34" s="25"/>
      <c r="EBW34" s="21"/>
      <c r="EBX34" s="21"/>
      <c r="ECB34" s="15"/>
      <c r="ECH34" s="25"/>
      <c r="ECO34" s="21"/>
      <c r="ECP34" s="21"/>
      <c r="ECT34" s="15"/>
      <c r="ECZ34" s="25"/>
      <c r="EDG34" s="21"/>
      <c r="EDH34" s="21"/>
      <c r="EDL34" s="15"/>
      <c r="EDR34" s="25"/>
      <c r="EDY34" s="21"/>
      <c r="EDZ34" s="21"/>
      <c r="EED34" s="15"/>
      <c r="EEJ34" s="25"/>
      <c r="EEQ34" s="21"/>
      <c r="EER34" s="21"/>
      <c r="EEV34" s="15"/>
      <c r="EFB34" s="25"/>
      <c r="EFI34" s="21"/>
      <c r="EFJ34" s="21"/>
      <c r="EFN34" s="15"/>
      <c r="EFT34" s="25"/>
      <c r="EGA34" s="21"/>
      <c r="EGB34" s="21"/>
      <c r="EGF34" s="15"/>
      <c r="EGL34" s="25"/>
      <c r="EGS34" s="21"/>
      <c r="EGT34" s="21"/>
      <c r="EGX34" s="15"/>
      <c r="EHD34" s="25"/>
      <c r="EHK34" s="21"/>
      <c r="EHL34" s="21"/>
      <c r="EHP34" s="15"/>
      <c r="EHV34" s="25"/>
      <c r="EIC34" s="21"/>
      <c r="EID34" s="21"/>
      <c r="EIH34" s="15"/>
      <c r="EIN34" s="25"/>
      <c r="EIU34" s="21"/>
      <c r="EIV34" s="21"/>
      <c r="EIZ34" s="15"/>
      <c r="EJF34" s="25"/>
      <c r="EJM34" s="21"/>
      <c r="EJN34" s="21"/>
      <c r="EJR34" s="15"/>
      <c r="EJX34" s="25"/>
      <c r="EKE34" s="21"/>
      <c r="EKF34" s="21"/>
      <c r="EKJ34" s="15"/>
      <c r="EKP34" s="25"/>
      <c r="EKW34" s="21"/>
      <c r="EKX34" s="21"/>
      <c r="ELB34" s="15"/>
      <c r="ELH34" s="25"/>
      <c r="ELO34" s="21"/>
      <c r="ELP34" s="21"/>
      <c r="ELT34" s="15"/>
      <c r="ELZ34" s="25"/>
      <c r="EMG34" s="21"/>
      <c r="EMH34" s="21"/>
      <c r="EML34" s="15"/>
      <c r="EMR34" s="25"/>
      <c r="EMY34" s="21"/>
      <c r="EMZ34" s="21"/>
      <c r="END34" s="15"/>
      <c r="ENJ34" s="25"/>
      <c r="ENQ34" s="21"/>
      <c r="ENR34" s="21"/>
      <c r="ENV34" s="15"/>
      <c r="EOB34" s="25"/>
      <c r="EOI34" s="21"/>
      <c r="EOJ34" s="21"/>
      <c r="EON34" s="15"/>
      <c r="EOT34" s="25"/>
      <c r="EPA34" s="21"/>
      <c r="EPB34" s="21"/>
      <c r="EPF34" s="15"/>
      <c r="EPL34" s="25"/>
      <c r="EPS34" s="21"/>
      <c r="EPT34" s="21"/>
      <c r="EPX34" s="15"/>
      <c r="EQD34" s="25"/>
      <c r="EQK34" s="21"/>
      <c r="EQL34" s="21"/>
      <c r="EQP34" s="15"/>
      <c r="EQV34" s="25"/>
      <c r="ERC34" s="21"/>
      <c r="ERD34" s="21"/>
      <c r="ERH34" s="15"/>
      <c r="ERN34" s="25"/>
      <c r="ERU34" s="21"/>
      <c r="ERV34" s="21"/>
      <c r="ERZ34" s="15"/>
      <c r="ESF34" s="25"/>
      <c r="ESM34" s="21"/>
      <c r="ESN34" s="21"/>
      <c r="ESR34" s="15"/>
      <c r="ESX34" s="25"/>
      <c r="ETE34" s="21"/>
      <c r="ETF34" s="21"/>
      <c r="ETJ34" s="15"/>
      <c r="ETP34" s="25"/>
      <c r="ETW34" s="21"/>
      <c r="ETX34" s="21"/>
      <c r="EUB34" s="15"/>
      <c r="EUH34" s="25"/>
      <c r="EUO34" s="21"/>
      <c r="EUP34" s="21"/>
      <c r="EUT34" s="15"/>
      <c r="EUZ34" s="25"/>
      <c r="EVG34" s="21"/>
      <c r="EVH34" s="21"/>
      <c r="EVL34" s="15"/>
      <c r="EVR34" s="25"/>
      <c r="EVY34" s="21"/>
      <c r="EVZ34" s="21"/>
      <c r="EWD34" s="15"/>
      <c r="EWJ34" s="25"/>
      <c r="EWQ34" s="21"/>
      <c r="EWR34" s="21"/>
      <c r="EWV34" s="15"/>
      <c r="EXB34" s="25"/>
      <c r="EXI34" s="21"/>
      <c r="EXJ34" s="21"/>
      <c r="EXN34" s="15"/>
      <c r="EXT34" s="25"/>
      <c r="EYA34" s="21"/>
      <c r="EYB34" s="21"/>
      <c r="EYF34" s="15"/>
      <c r="EYL34" s="25"/>
      <c r="EYS34" s="21"/>
      <c r="EYT34" s="21"/>
      <c r="EYX34" s="15"/>
      <c r="EZD34" s="25"/>
      <c r="EZK34" s="21"/>
      <c r="EZL34" s="21"/>
      <c r="EZP34" s="15"/>
      <c r="EZV34" s="25"/>
      <c r="FAC34" s="21"/>
      <c r="FAD34" s="21"/>
      <c r="FAH34" s="15"/>
      <c r="FAN34" s="25"/>
      <c r="FAU34" s="21"/>
      <c r="FAV34" s="21"/>
      <c r="FAZ34" s="15"/>
      <c r="FBF34" s="25"/>
      <c r="FBM34" s="21"/>
      <c r="FBN34" s="21"/>
      <c r="FBR34" s="15"/>
      <c r="FBX34" s="25"/>
      <c r="FCE34" s="21"/>
      <c r="FCF34" s="21"/>
      <c r="FCJ34" s="15"/>
      <c r="FCP34" s="25"/>
      <c r="FCW34" s="21"/>
      <c r="FCX34" s="21"/>
      <c r="FDB34" s="15"/>
      <c r="FDH34" s="25"/>
      <c r="FDO34" s="21"/>
      <c r="FDP34" s="21"/>
      <c r="FDT34" s="15"/>
      <c r="FDZ34" s="25"/>
      <c r="FEG34" s="21"/>
      <c r="FEH34" s="21"/>
      <c r="FEL34" s="15"/>
      <c r="FER34" s="25"/>
      <c r="FEY34" s="21"/>
      <c r="FEZ34" s="21"/>
      <c r="FFD34" s="15"/>
      <c r="FFJ34" s="25"/>
      <c r="FFQ34" s="21"/>
      <c r="FFR34" s="21"/>
      <c r="FFV34" s="15"/>
      <c r="FGB34" s="25"/>
      <c r="FGI34" s="21"/>
      <c r="FGJ34" s="21"/>
      <c r="FGN34" s="15"/>
      <c r="FGT34" s="25"/>
      <c r="FHA34" s="21"/>
      <c r="FHB34" s="21"/>
      <c r="FHF34" s="15"/>
      <c r="FHL34" s="25"/>
      <c r="FHS34" s="21"/>
      <c r="FHT34" s="21"/>
      <c r="FHX34" s="15"/>
      <c r="FID34" s="25"/>
      <c r="FIK34" s="21"/>
      <c r="FIL34" s="21"/>
      <c r="FIP34" s="15"/>
      <c r="FIV34" s="25"/>
      <c r="FJC34" s="21"/>
      <c r="FJD34" s="21"/>
      <c r="FJH34" s="15"/>
      <c r="FJN34" s="25"/>
      <c r="FJU34" s="21"/>
      <c r="FJV34" s="21"/>
      <c r="FJZ34" s="15"/>
      <c r="FKF34" s="25"/>
      <c r="FKM34" s="21"/>
      <c r="FKN34" s="21"/>
      <c r="FKR34" s="15"/>
      <c r="FKX34" s="25"/>
      <c r="FLE34" s="21"/>
      <c r="FLF34" s="21"/>
      <c r="FLJ34" s="15"/>
      <c r="FLP34" s="25"/>
      <c r="FLW34" s="21"/>
      <c r="FLX34" s="21"/>
      <c r="FMB34" s="15"/>
      <c r="FMH34" s="25"/>
      <c r="FMO34" s="21"/>
      <c r="FMP34" s="21"/>
      <c r="FMT34" s="15"/>
      <c r="FMZ34" s="25"/>
      <c r="FNG34" s="21"/>
      <c r="FNH34" s="21"/>
      <c r="FNL34" s="15"/>
      <c r="FNR34" s="25"/>
      <c r="FNY34" s="21"/>
      <c r="FNZ34" s="21"/>
      <c r="FOD34" s="15"/>
      <c r="FOJ34" s="25"/>
      <c r="FOQ34" s="21"/>
      <c r="FOR34" s="21"/>
      <c r="FOV34" s="15"/>
      <c r="FPB34" s="25"/>
      <c r="FPI34" s="21"/>
      <c r="FPJ34" s="21"/>
      <c r="FPN34" s="15"/>
      <c r="FPT34" s="25"/>
      <c r="FQA34" s="21"/>
      <c r="FQB34" s="21"/>
      <c r="FQF34" s="15"/>
      <c r="FQL34" s="25"/>
      <c r="FQS34" s="21"/>
      <c r="FQT34" s="21"/>
      <c r="FQX34" s="15"/>
      <c r="FRD34" s="25"/>
      <c r="FRK34" s="21"/>
      <c r="FRL34" s="21"/>
      <c r="FRP34" s="15"/>
      <c r="FRV34" s="25"/>
      <c r="FSC34" s="21"/>
      <c r="FSD34" s="21"/>
      <c r="FSH34" s="15"/>
      <c r="FSN34" s="25"/>
      <c r="FSU34" s="21"/>
      <c r="FSV34" s="21"/>
      <c r="FSZ34" s="15"/>
      <c r="FTF34" s="25"/>
      <c r="FTM34" s="21"/>
      <c r="FTN34" s="21"/>
      <c r="FTR34" s="15"/>
      <c r="FTX34" s="25"/>
      <c r="FUE34" s="21"/>
      <c r="FUF34" s="21"/>
      <c r="FUJ34" s="15"/>
      <c r="FUP34" s="25"/>
      <c r="FUW34" s="21"/>
      <c r="FUX34" s="21"/>
      <c r="FVB34" s="15"/>
      <c r="FVH34" s="25"/>
      <c r="FVO34" s="21"/>
      <c r="FVP34" s="21"/>
      <c r="FVT34" s="15"/>
      <c r="FVZ34" s="25"/>
      <c r="FWG34" s="21"/>
      <c r="FWH34" s="21"/>
      <c r="FWL34" s="15"/>
      <c r="FWR34" s="25"/>
      <c r="FWY34" s="21"/>
      <c r="FWZ34" s="21"/>
      <c r="FXD34" s="15"/>
      <c r="FXJ34" s="25"/>
      <c r="FXQ34" s="21"/>
      <c r="FXR34" s="21"/>
      <c r="FXV34" s="15"/>
      <c r="FYB34" s="25"/>
      <c r="FYI34" s="21"/>
      <c r="FYJ34" s="21"/>
      <c r="FYN34" s="15"/>
      <c r="FYT34" s="25"/>
      <c r="FZA34" s="21"/>
      <c r="FZB34" s="21"/>
      <c r="FZF34" s="15"/>
      <c r="FZL34" s="25"/>
      <c r="FZS34" s="21"/>
      <c r="FZT34" s="21"/>
      <c r="FZX34" s="15"/>
      <c r="GAD34" s="25"/>
      <c r="GAK34" s="21"/>
      <c r="GAL34" s="21"/>
      <c r="GAP34" s="15"/>
      <c r="GAV34" s="25"/>
      <c r="GBC34" s="21"/>
      <c r="GBD34" s="21"/>
      <c r="GBH34" s="15"/>
      <c r="GBN34" s="25"/>
      <c r="GBU34" s="21"/>
      <c r="GBV34" s="21"/>
      <c r="GBZ34" s="15"/>
      <c r="GCF34" s="25"/>
      <c r="GCM34" s="21"/>
      <c r="GCN34" s="21"/>
      <c r="GCR34" s="15"/>
      <c r="GCX34" s="25"/>
      <c r="GDE34" s="21"/>
      <c r="GDF34" s="21"/>
      <c r="GDJ34" s="15"/>
      <c r="GDP34" s="25"/>
      <c r="GDW34" s="21"/>
      <c r="GDX34" s="21"/>
      <c r="GEB34" s="15"/>
      <c r="GEH34" s="25"/>
      <c r="GEO34" s="21"/>
      <c r="GEP34" s="21"/>
      <c r="GET34" s="15"/>
      <c r="GEZ34" s="25"/>
      <c r="GFG34" s="21"/>
      <c r="GFH34" s="21"/>
      <c r="GFL34" s="15"/>
      <c r="GFR34" s="25"/>
      <c r="GFY34" s="21"/>
      <c r="GFZ34" s="21"/>
      <c r="GGD34" s="15"/>
      <c r="GGJ34" s="25"/>
      <c r="GGQ34" s="21"/>
      <c r="GGR34" s="21"/>
      <c r="GGV34" s="15"/>
      <c r="GHB34" s="25"/>
      <c r="GHI34" s="21"/>
      <c r="GHJ34" s="21"/>
      <c r="GHN34" s="15"/>
      <c r="GHT34" s="25"/>
      <c r="GIA34" s="21"/>
      <c r="GIB34" s="21"/>
      <c r="GIF34" s="15"/>
      <c r="GIL34" s="25"/>
      <c r="GIS34" s="21"/>
      <c r="GIT34" s="21"/>
      <c r="GIX34" s="15"/>
      <c r="GJD34" s="25"/>
      <c r="GJK34" s="21"/>
      <c r="GJL34" s="21"/>
      <c r="GJP34" s="15"/>
      <c r="GJV34" s="25"/>
      <c r="GKC34" s="21"/>
      <c r="GKD34" s="21"/>
      <c r="GKH34" s="15"/>
      <c r="GKN34" s="25"/>
      <c r="GKU34" s="21"/>
      <c r="GKV34" s="21"/>
      <c r="GKZ34" s="15"/>
      <c r="GLF34" s="25"/>
      <c r="GLM34" s="21"/>
      <c r="GLN34" s="21"/>
      <c r="GLR34" s="15"/>
      <c r="GLX34" s="25"/>
      <c r="GME34" s="21"/>
      <c r="GMF34" s="21"/>
      <c r="GMJ34" s="15"/>
      <c r="GMP34" s="25"/>
      <c r="GMW34" s="21"/>
      <c r="GMX34" s="21"/>
      <c r="GNB34" s="15"/>
      <c r="GNH34" s="25"/>
      <c r="GNO34" s="21"/>
      <c r="GNP34" s="21"/>
      <c r="GNT34" s="15"/>
      <c r="GNZ34" s="25"/>
      <c r="GOG34" s="21"/>
      <c r="GOH34" s="21"/>
      <c r="GOL34" s="15"/>
      <c r="GOR34" s="25"/>
      <c r="GOY34" s="21"/>
      <c r="GOZ34" s="21"/>
      <c r="GPD34" s="15"/>
      <c r="GPJ34" s="25"/>
      <c r="GPQ34" s="21"/>
      <c r="GPR34" s="21"/>
      <c r="GPV34" s="15"/>
      <c r="GQB34" s="25"/>
      <c r="GQI34" s="21"/>
      <c r="GQJ34" s="21"/>
      <c r="GQN34" s="15"/>
      <c r="GQT34" s="25"/>
      <c r="GRA34" s="21"/>
      <c r="GRB34" s="21"/>
      <c r="GRF34" s="15"/>
      <c r="GRL34" s="25"/>
      <c r="GRS34" s="21"/>
      <c r="GRT34" s="21"/>
      <c r="GRX34" s="15"/>
      <c r="GSD34" s="25"/>
      <c r="GSK34" s="21"/>
      <c r="GSL34" s="21"/>
      <c r="GSP34" s="15"/>
      <c r="GSV34" s="25"/>
      <c r="GTC34" s="21"/>
      <c r="GTD34" s="21"/>
      <c r="GTH34" s="15"/>
      <c r="GTN34" s="25"/>
      <c r="GTU34" s="21"/>
      <c r="GTV34" s="21"/>
      <c r="GTZ34" s="15"/>
      <c r="GUF34" s="25"/>
      <c r="GUM34" s="21"/>
      <c r="GUN34" s="21"/>
      <c r="GUR34" s="15"/>
      <c r="GUX34" s="25"/>
      <c r="GVE34" s="21"/>
      <c r="GVF34" s="21"/>
      <c r="GVJ34" s="15"/>
      <c r="GVP34" s="25"/>
      <c r="GVW34" s="21"/>
      <c r="GVX34" s="21"/>
      <c r="GWB34" s="15"/>
      <c r="GWH34" s="25"/>
      <c r="GWO34" s="21"/>
      <c r="GWP34" s="21"/>
      <c r="GWT34" s="15"/>
      <c r="GWZ34" s="25"/>
      <c r="GXG34" s="21"/>
      <c r="GXH34" s="21"/>
      <c r="GXL34" s="15"/>
      <c r="GXR34" s="25"/>
      <c r="GXY34" s="21"/>
      <c r="GXZ34" s="21"/>
      <c r="GYD34" s="15"/>
      <c r="GYJ34" s="25"/>
      <c r="GYQ34" s="21"/>
      <c r="GYR34" s="21"/>
      <c r="GYV34" s="15"/>
      <c r="GZB34" s="25"/>
      <c r="GZI34" s="21"/>
      <c r="GZJ34" s="21"/>
      <c r="GZN34" s="15"/>
      <c r="GZT34" s="25"/>
      <c r="HAA34" s="21"/>
      <c r="HAB34" s="21"/>
      <c r="HAF34" s="15"/>
      <c r="HAL34" s="25"/>
      <c r="HAS34" s="21"/>
      <c r="HAT34" s="21"/>
      <c r="HAX34" s="15"/>
      <c r="HBD34" s="25"/>
      <c r="HBK34" s="21"/>
      <c r="HBL34" s="21"/>
      <c r="HBP34" s="15"/>
      <c r="HBV34" s="25"/>
      <c r="HCC34" s="21"/>
      <c r="HCD34" s="21"/>
      <c r="HCH34" s="15"/>
      <c r="HCN34" s="25"/>
      <c r="HCU34" s="21"/>
      <c r="HCV34" s="21"/>
      <c r="HCZ34" s="15"/>
      <c r="HDF34" s="25"/>
      <c r="HDM34" s="21"/>
      <c r="HDN34" s="21"/>
      <c r="HDR34" s="15"/>
      <c r="HDX34" s="25"/>
      <c r="HEE34" s="21"/>
      <c r="HEF34" s="21"/>
      <c r="HEJ34" s="15"/>
      <c r="HEP34" s="25"/>
      <c r="HEW34" s="21"/>
      <c r="HEX34" s="21"/>
      <c r="HFB34" s="15"/>
      <c r="HFH34" s="25"/>
      <c r="HFO34" s="21"/>
      <c r="HFP34" s="21"/>
      <c r="HFT34" s="15"/>
      <c r="HFZ34" s="25"/>
      <c r="HGG34" s="21"/>
      <c r="HGH34" s="21"/>
      <c r="HGL34" s="15"/>
      <c r="HGR34" s="25"/>
      <c r="HGY34" s="21"/>
      <c r="HGZ34" s="21"/>
      <c r="HHD34" s="15"/>
      <c r="HHJ34" s="25"/>
      <c r="HHQ34" s="21"/>
      <c r="HHR34" s="21"/>
      <c r="HHV34" s="15"/>
      <c r="HIB34" s="25"/>
      <c r="HII34" s="21"/>
      <c r="HIJ34" s="21"/>
      <c r="HIN34" s="15"/>
      <c r="HIT34" s="25"/>
      <c r="HJA34" s="21"/>
      <c r="HJB34" s="21"/>
      <c r="HJF34" s="15"/>
      <c r="HJL34" s="25"/>
      <c r="HJS34" s="21"/>
      <c r="HJT34" s="21"/>
      <c r="HJX34" s="15"/>
      <c r="HKD34" s="25"/>
      <c r="HKK34" s="21"/>
      <c r="HKL34" s="21"/>
      <c r="HKP34" s="15"/>
      <c r="HKV34" s="25"/>
      <c r="HLC34" s="21"/>
      <c r="HLD34" s="21"/>
      <c r="HLH34" s="15"/>
      <c r="HLN34" s="25"/>
      <c r="HLU34" s="21"/>
      <c r="HLV34" s="21"/>
      <c r="HLZ34" s="15"/>
      <c r="HMF34" s="25"/>
      <c r="HMM34" s="21"/>
      <c r="HMN34" s="21"/>
      <c r="HMR34" s="15"/>
      <c r="HMX34" s="25"/>
      <c r="HNE34" s="21"/>
      <c r="HNF34" s="21"/>
      <c r="HNJ34" s="15"/>
      <c r="HNP34" s="25"/>
      <c r="HNW34" s="21"/>
      <c r="HNX34" s="21"/>
      <c r="HOB34" s="15"/>
      <c r="HOH34" s="25"/>
      <c r="HOO34" s="21"/>
      <c r="HOP34" s="21"/>
      <c r="HOT34" s="15"/>
      <c r="HOZ34" s="25"/>
      <c r="HPG34" s="21"/>
      <c r="HPH34" s="21"/>
      <c r="HPL34" s="15"/>
      <c r="HPR34" s="25"/>
      <c r="HPY34" s="21"/>
      <c r="HPZ34" s="21"/>
      <c r="HQD34" s="15"/>
      <c r="HQJ34" s="25"/>
      <c r="HQQ34" s="21"/>
      <c r="HQR34" s="21"/>
      <c r="HQV34" s="15"/>
      <c r="HRB34" s="25"/>
      <c r="HRI34" s="21"/>
      <c r="HRJ34" s="21"/>
      <c r="HRN34" s="15"/>
      <c r="HRT34" s="25"/>
      <c r="HSA34" s="21"/>
      <c r="HSB34" s="21"/>
      <c r="HSF34" s="15"/>
      <c r="HSL34" s="25"/>
      <c r="HSS34" s="21"/>
      <c r="HST34" s="21"/>
      <c r="HSX34" s="15"/>
      <c r="HTD34" s="25"/>
      <c r="HTK34" s="21"/>
      <c r="HTL34" s="21"/>
      <c r="HTP34" s="15"/>
      <c r="HTV34" s="25"/>
      <c r="HUC34" s="21"/>
      <c r="HUD34" s="21"/>
      <c r="HUH34" s="15"/>
      <c r="HUN34" s="25"/>
      <c r="HUU34" s="21"/>
      <c r="HUV34" s="21"/>
      <c r="HUZ34" s="15"/>
      <c r="HVF34" s="25"/>
      <c r="HVM34" s="21"/>
      <c r="HVN34" s="21"/>
      <c r="HVR34" s="15"/>
      <c r="HVX34" s="25"/>
      <c r="HWE34" s="21"/>
      <c r="HWF34" s="21"/>
      <c r="HWJ34" s="15"/>
      <c r="HWP34" s="25"/>
      <c r="HWW34" s="21"/>
      <c r="HWX34" s="21"/>
      <c r="HXB34" s="15"/>
      <c r="HXH34" s="25"/>
      <c r="HXO34" s="21"/>
      <c r="HXP34" s="21"/>
      <c r="HXT34" s="15"/>
      <c r="HXZ34" s="25"/>
      <c r="HYG34" s="21"/>
      <c r="HYH34" s="21"/>
      <c r="HYL34" s="15"/>
      <c r="HYR34" s="25"/>
      <c r="HYY34" s="21"/>
      <c r="HYZ34" s="21"/>
      <c r="HZD34" s="15"/>
      <c r="HZJ34" s="25"/>
      <c r="HZQ34" s="21"/>
      <c r="HZR34" s="21"/>
      <c r="HZV34" s="15"/>
      <c r="IAB34" s="25"/>
      <c r="IAI34" s="21"/>
      <c r="IAJ34" s="21"/>
      <c r="IAN34" s="15"/>
      <c r="IAT34" s="25"/>
      <c r="IBA34" s="21"/>
      <c r="IBB34" s="21"/>
      <c r="IBF34" s="15"/>
      <c r="IBL34" s="25"/>
      <c r="IBS34" s="21"/>
      <c r="IBT34" s="21"/>
      <c r="IBX34" s="15"/>
      <c r="ICD34" s="25"/>
      <c r="ICK34" s="21"/>
      <c r="ICL34" s="21"/>
      <c r="ICP34" s="15"/>
      <c r="ICV34" s="25"/>
      <c r="IDC34" s="21"/>
      <c r="IDD34" s="21"/>
      <c r="IDH34" s="15"/>
      <c r="IDN34" s="25"/>
      <c r="IDU34" s="21"/>
      <c r="IDV34" s="21"/>
      <c r="IDZ34" s="15"/>
      <c r="IEF34" s="25"/>
      <c r="IEM34" s="21"/>
      <c r="IEN34" s="21"/>
      <c r="IER34" s="15"/>
      <c r="IEX34" s="25"/>
      <c r="IFE34" s="21"/>
      <c r="IFF34" s="21"/>
      <c r="IFJ34" s="15"/>
      <c r="IFP34" s="25"/>
      <c r="IFW34" s="21"/>
      <c r="IFX34" s="21"/>
      <c r="IGB34" s="15"/>
      <c r="IGH34" s="25"/>
      <c r="IGO34" s="21"/>
      <c r="IGP34" s="21"/>
      <c r="IGT34" s="15"/>
      <c r="IGZ34" s="25"/>
      <c r="IHG34" s="21"/>
      <c r="IHH34" s="21"/>
      <c r="IHL34" s="15"/>
      <c r="IHR34" s="25"/>
      <c r="IHY34" s="21"/>
      <c r="IHZ34" s="21"/>
      <c r="IID34" s="15"/>
      <c r="IIJ34" s="25"/>
      <c r="IIQ34" s="21"/>
      <c r="IIR34" s="21"/>
      <c r="IIV34" s="15"/>
      <c r="IJB34" s="25"/>
      <c r="IJI34" s="21"/>
      <c r="IJJ34" s="21"/>
      <c r="IJN34" s="15"/>
      <c r="IJT34" s="25"/>
      <c r="IKA34" s="21"/>
      <c r="IKB34" s="21"/>
      <c r="IKF34" s="15"/>
      <c r="IKL34" s="25"/>
      <c r="IKS34" s="21"/>
      <c r="IKT34" s="21"/>
      <c r="IKX34" s="15"/>
      <c r="ILD34" s="25"/>
      <c r="ILK34" s="21"/>
      <c r="ILL34" s="21"/>
      <c r="ILP34" s="15"/>
      <c r="ILV34" s="25"/>
      <c r="IMC34" s="21"/>
      <c r="IMD34" s="21"/>
      <c r="IMH34" s="15"/>
      <c r="IMN34" s="25"/>
      <c r="IMU34" s="21"/>
      <c r="IMV34" s="21"/>
      <c r="IMZ34" s="15"/>
      <c r="INF34" s="25"/>
      <c r="INM34" s="21"/>
      <c r="INN34" s="21"/>
      <c r="INR34" s="15"/>
      <c r="INX34" s="25"/>
      <c r="IOE34" s="21"/>
      <c r="IOF34" s="21"/>
      <c r="IOJ34" s="15"/>
      <c r="IOP34" s="25"/>
      <c r="IOW34" s="21"/>
      <c r="IOX34" s="21"/>
      <c r="IPB34" s="15"/>
      <c r="IPH34" s="25"/>
      <c r="IPO34" s="21"/>
      <c r="IPP34" s="21"/>
      <c r="IPT34" s="15"/>
      <c r="IPZ34" s="25"/>
      <c r="IQG34" s="21"/>
      <c r="IQH34" s="21"/>
      <c r="IQL34" s="15"/>
      <c r="IQR34" s="25"/>
      <c r="IQY34" s="21"/>
      <c r="IQZ34" s="21"/>
      <c r="IRD34" s="15"/>
      <c r="IRJ34" s="25"/>
      <c r="IRQ34" s="21"/>
      <c r="IRR34" s="21"/>
      <c r="IRV34" s="15"/>
      <c r="ISB34" s="25"/>
      <c r="ISI34" s="21"/>
      <c r="ISJ34" s="21"/>
      <c r="ISN34" s="15"/>
      <c r="IST34" s="25"/>
      <c r="ITA34" s="21"/>
      <c r="ITB34" s="21"/>
      <c r="ITF34" s="15"/>
      <c r="ITL34" s="25"/>
      <c r="ITS34" s="21"/>
      <c r="ITT34" s="21"/>
      <c r="ITX34" s="15"/>
      <c r="IUD34" s="25"/>
      <c r="IUK34" s="21"/>
      <c r="IUL34" s="21"/>
      <c r="IUP34" s="15"/>
      <c r="IUV34" s="25"/>
      <c r="IVC34" s="21"/>
      <c r="IVD34" s="21"/>
      <c r="IVH34" s="15"/>
      <c r="IVN34" s="25"/>
      <c r="IVU34" s="21"/>
      <c r="IVV34" s="21"/>
      <c r="IVZ34" s="15"/>
      <c r="IWF34" s="25"/>
      <c r="IWM34" s="21"/>
      <c r="IWN34" s="21"/>
      <c r="IWR34" s="15"/>
      <c r="IWX34" s="25"/>
      <c r="IXE34" s="21"/>
      <c r="IXF34" s="21"/>
      <c r="IXJ34" s="15"/>
      <c r="IXP34" s="25"/>
      <c r="IXW34" s="21"/>
      <c r="IXX34" s="21"/>
      <c r="IYB34" s="15"/>
      <c r="IYH34" s="25"/>
      <c r="IYO34" s="21"/>
      <c r="IYP34" s="21"/>
      <c r="IYT34" s="15"/>
      <c r="IYZ34" s="25"/>
      <c r="IZG34" s="21"/>
      <c r="IZH34" s="21"/>
      <c r="IZL34" s="15"/>
      <c r="IZR34" s="25"/>
      <c r="IZY34" s="21"/>
      <c r="IZZ34" s="21"/>
      <c r="JAD34" s="15"/>
      <c r="JAJ34" s="25"/>
      <c r="JAQ34" s="21"/>
      <c r="JAR34" s="21"/>
      <c r="JAV34" s="15"/>
      <c r="JBB34" s="25"/>
      <c r="JBI34" s="21"/>
      <c r="JBJ34" s="21"/>
      <c r="JBN34" s="15"/>
      <c r="JBT34" s="25"/>
      <c r="JCA34" s="21"/>
      <c r="JCB34" s="21"/>
      <c r="JCF34" s="15"/>
      <c r="JCL34" s="25"/>
      <c r="JCS34" s="21"/>
      <c r="JCT34" s="21"/>
      <c r="JCX34" s="15"/>
      <c r="JDD34" s="25"/>
      <c r="JDK34" s="21"/>
      <c r="JDL34" s="21"/>
      <c r="JDP34" s="15"/>
      <c r="JDV34" s="25"/>
      <c r="JEC34" s="21"/>
      <c r="JED34" s="21"/>
      <c r="JEH34" s="15"/>
      <c r="JEN34" s="25"/>
      <c r="JEU34" s="21"/>
      <c r="JEV34" s="21"/>
      <c r="JEZ34" s="15"/>
      <c r="JFF34" s="25"/>
      <c r="JFM34" s="21"/>
      <c r="JFN34" s="21"/>
      <c r="JFR34" s="15"/>
      <c r="JFX34" s="25"/>
      <c r="JGE34" s="21"/>
      <c r="JGF34" s="21"/>
      <c r="JGJ34" s="15"/>
      <c r="JGP34" s="25"/>
      <c r="JGW34" s="21"/>
      <c r="JGX34" s="21"/>
      <c r="JHB34" s="15"/>
      <c r="JHH34" s="25"/>
      <c r="JHO34" s="21"/>
      <c r="JHP34" s="21"/>
      <c r="JHT34" s="15"/>
      <c r="JHZ34" s="25"/>
      <c r="JIG34" s="21"/>
      <c r="JIH34" s="21"/>
      <c r="JIL34" s="15"/>
      <c r="JIR34" s="25"/>
      <c r="JIY34" s="21"/>
      <c r="JIZ34" s="21"/>
      <c r="JJD34" s="15"/>
      <c r="JJJ34" s="25"/>
      <c r="JJQ34" s="21"/>
      <c r="JJR34" s="21"/>
      <c r="JJV34" s="15"/>
      <c r="JKB34" s="25"/>
      <c r="JKI34" s="21"/>
      <c r="JKJ34" s="21"/>
      <c r="JKN34" s="15"/>
      <c r="JKT34" s="25"/>
      <c r="JLA34" s="21"/>
      <c r="JLB34" s="21"/>
      <c r="JLF34" s="15"/>
      <c r="JLL34" s="25"/>
      <c r="JLS34" s="21"/>
      <c r="JLT34" s="21"/>
      <c r="JLX34" s="15"/>
      <c r="JMD34" s="25"/>
      <c r="JMK34" s="21"/>
      <c r="JML34" s="21"/>
      <c r="JMP34" s="15"/>
      <c r="JMV34" s="25"/>
      <c r="JNC34" s="21"/>
      <c r="JND34" s="21"/>
      <c r="JNH34" s="15"/>
      <c r="JNN34" s="25"/>
      <c r="JNU34" s="21"/>
      <c r="JNV34" s="21"/>
      <c r="JNZ34" s="15"/>
      <c r="JOF34" s="25"/>
      <c r="JOM34" s="21"/>
      <c r="JON34" s="21"/>
      <c r="JOR34" s="15"/>
      <c r="JOX34" s="25"/>
      <c r="JPE34" s="21"/>
      <c r="JPF34" s="21"/>
      <c r="JPJ34" s="15"/>
      <c r="JPP34" s="25"/>
      <c r="JPW34" s="21"/>
      <c r="JPX34" s="21"/>
      <c r="JQB34" s="15"/>
      <c r="JQH34" s="25"/>
      <c r="JQO34" s="21"/>
      <c r="JQP34" s="21"/>
      <c r="JQT34" s="15"/>
      <c r="JQZ34" s="25"/>
      <c r="JRG34" s="21"/>
      <c r="JRH34" s="21"/>
      <c r="JRL34" s="15"/>
      <c r="JRR34" s="25"/>
      <c r="JRY34" s="21"/>
      <c r="JRZ34" s="21"/>
      <c r="JSD34" s="15"/>
      <c r="JSJ34" s="25"/>
      <c r="JSQ34" s="21"/>
      <c r="JSR34" s="21"/>
      <c r="JSV34" s="15"/>
      <c r="JTB34" s="25"/>
      <c r="JTI34" s="21"/>
      <c r="JTJ34" s="21"/>
      <c r="JTN34" s="15"/>
      <c r="JTT34" s="25"/>
      <c r="JUA34" s="21"/>
      <c r="JUB34" s="21"/>
      <c r="JUF34" s="15"/>
      <c r="JUL34" s="25"/>
      <c r="JUS34" s="21"/>
      <c r="JUT34" s="21"/>
      <c r="JUX34" s="15"/>
      <c r="JVD34" s="25"/>
      <c r="JVK34" s="21"/>
      <c r="JVL34" s="21"/>
      <c r="JVP34" s="15"/>
      <c r="JVV34" s="25"/>
      <c r="JWC34" s="21"/>
      <c r="JWD34" s="21"/>
      <c r="JWH34" s="15"/>
      <c r="JWN34" s="25"/>
      <c r="JWU34" s="21"/>
      <c r="JWV34" s="21"/>
      <c r="JWZ34" s="15"/>
      <c r="JXF34" s="25"/>
      <c r="JXM34" s="21"/>
      <c r="JXN34" s="21"/>
      <c r="JXR34" s="15"/>
      <c r="JXX34" s="25"/>
      <c r="JYE34" s="21"/>
      <c r="JYF34" s="21"/>
      <c r="JYJ34" s="15"/>
      <c r="JYP34" s="25"/>
      <c r="JYW34" s="21"/>
      <c r="JYX34" s="21"/>
      <c r="JZB34" s="15"/>
      <c r="JZH34" s="25"/>
      <c r="JZO34" s="21"/>
      <c r="JZP34" s="21"/>
      <c r="JZT34" s="15"/>
      <c r="JZZ34" s="25"/>
      <c r="KAG34" s="21"/>
      <c r="KAH34" s="21"/>
      <c r="KAL34" s="15"/>
      <c r="KAR34" s="25"/>
      <c r="KAY34" s="21"/>
      <c r="KAZ34" s="21"/>
      <c r="KBD34" s="15"/>
      <c r="KBJ34" s="25"/>
      <c r="KBQ34" s="21"/>
      <c r="KBR34" s="21"/>
      <c r="KBV34" s="15"/>
      <c r="KCB34" s="25"/>
      <c r="KCI34" s="21"/>
      <c r="KCJ34" s="21"/>
      <c r="KCN34" s="15"/>
      <c r="KCT34" s="25"/>
      <c r="KDA34" s="21"/>
      <c r="KDB34" s="21"/>
      <c r="KDF34" s="15"/>
      <c r="KDL34" s="25"/>
      <c r="KDS34" s="21"/>
      <c r="KDT34" s="21"/>
      <c r="KDX34" s="15"/>
      <c r="KED34" s="25"/>
      <c r="KEK34" s="21"/>
      <c r="KEL34" s="21"/>
      <c r="KEP34" s="15"/>
      <c r="KEV34" s="25"/>
      <c r="KFC34" s="21"/>
      <c r="KFD34" s="21"/>
      <c r="KFH34" s="15"/>
      <c r="KFN34" s="25"/>
      <c r="KFU34" s="21"/>
      <c r="KFV34" s="21"/>
      <c r="KFZ34" s="15"/>
      <c r="KGF34" s="25"/>
      <c r="KGM34" s="21"/>
      <c r="KGN34" s="21"/>
      <c r="KGR34" s="15"/>
      <c r="KGX34" s="25"/>
      <c r="KHE34" s="21"/>
      <c r="KHF34" s="21"/>
      <c r="KHJ34" s="15"/>
      <c r="KHP34" s="25"/>
      <c r="KHW34" s="21"/>
      <c r="KHX34" s="21"/>
      <c r="KIB34" s="15"/>
      <c r="KIH34" s="25"/>
      <c r="KIO34" s="21"/>
      <c r="KIP34" s="21"/>
      <c r="KIT34" s="15"/>
      <c r="KIZ34" s="25"/>
      <c r="KJG34" s="21"/>
      <c r="KJH34" s="21"/>
      <c r="KJL34" s="15"/>
      <c r="KJR34" s="25"/>
      <c r="KJY34" s="21"/>
      <c r="KJZ34" s="21"/>
      <c r="KKD34" s="15"/>
      <c r="KKJ34" s="25"/>
      <c r="KKQ34" s="21"/>
      <c r="KKR34" s="21"/>
      <c r="KKV34" s="15"/>
      <c r="KLB34" s="25"/>
      <c r="KLI34" s="21"/>
      <c r="KLJ34" s="21"/>
      <c r="KLN34" s="15"/>
      <c r="KLT34" s="25"/>
      <c r="KMA34" s="21"/>
      <c r="KMB34" s="21"/>
      <c r="KMF34" s="15"/>
      <c r="KML34" s="25"/>
      <c r="KMS34" s="21"/>
      <c r="KMT34" s="21"/>
      <c r="KMX34" s="15"/>
      <c r="KND34" s="25"/>
      <c r="KNK34" s="21"/>
      <c r="KNL34" s="21"/>
      <c r="KNP34" s="15"/>
      <c r="KNV34" s="25"/>
      <c r="KOC34" s="21"/>
      <c r="KOD34" s="21"/>
      <c r="KOH34" s="15"/>
      <c r="KON34" s="25"/>
      <c r="KOU34" s="21"/>
      <c r="KOV34" s="21"/>
      <c r="KOZ34" s="15"/>
      <c r="KPF34" s="25"/>
      <c r="KPM34" s="21"/>
      <c r="KPN34" s="21"/>
      <c r="KPR34" s="15"/>
      <c r="KPX34" s="25"/>
      <c r="KQE34" s="21"/>
      <c r="KQF34" s="21"/>
      <c r="KQJ34" s="15"/>
      <c r="KQP34" s="25"/>
      <c r="KQW34" s="21"/>
      <c r="KQX34" s="21"/>
      <c r="KRB34" s="15"/>
      <c r="KRH34" s="25"/>
      <c r="KRO34" s="21"/>
      <c r="KRP34" s="21"/>
      <c r="KRT34" s="15"/>
      <c r="KRZ34" s="25"/>
      <c r="KSG34" s="21"/>
      <c r="KSH34" s="21"/>
      <c r="KSL34" s="15"/>
      <c r="KSR34" s="25"/>
      <c r="KSY34" s="21"/>
      <c r="KSZ34" s="21"/>
      <c r="KTD34" s="15"/>
      <c r="KTJ34" s="25"/>
      <c r="KTQ34" s="21"/>
      <c r="KTR34" s="21"/>
      <c r="KTV34" s="15"/>
      <c r="KUB34" s="25"/>
      <c r="KUI34" s="21"/>
      <c r="KUJ34" s="21"/>
      <c r="KUN34" s="15"/>
      <c r="KUT34" s="25"/>
      <c r="KVA34" s="21"/>
      <c r="KVB34" s="21"/>
      <c r="KVF34" s="15"/>
      <c r="KVL34" s="25"/>
      <c r="KVS34" s="21"/>
      <c r="KVT34" s="21"/>
      <c r="KVX34" s="15"/>
      <c r="KWD34" s="25"/>
      <c r="KWK34" s="21"/>
      <c r="KWL34" s="21"/>
      <c r="KWP34" s="15"/>
      <c r="KWV34" s="25"/>
      <c r="KXC34" s="21"/>
      <c r="KXD34" s="21"/>
      <c r="KXH34" s="15"/>
      <c r="KXN34" s="25"/>
      <c r="KXU34" s="21"/>
      <c r="KXV34" s="21"/>
      <c r="KXZ34" s="15"/>
      <c r="KYF34" s="25"/>
      <c r="KYM34" s="21"/>
      <c r="KYN34" s="21"/>
      <c r="KYR34" s="15"/>
      <c r="KYX34" s="25"/>
      <c r="KZE34" s="21"/>
      <c r="KZF34" s="21"/>
      <c r="KZJ34" s="15"/>
      <c r="KZP34" s="25"/>
      <c r="KZW34" s="21"/>
      <c r="KZX34" s="21"/>
      <c r="LAB34" s="15"/>
      <c r="LAH34" s="25"/>
      <c r="LAO34" s="21"/>
      <c r="LAP34" s="21"/>
      <c r="LAT34" s="15"/>
      <c r="LAZ34" s="25"/>
      <c r="LBG34" s="21"/>
      <c r="LBH34" s="21"/>
      <c r="LBL34" s="15"/>
      <c r="LBR34" s="25"/>
      <c r="LBY34" s="21"/>
      <c r="LBZ34" s="21"/>
      <c r="LCD34" s="15"/>
      <c r="LCJ34" s="25"/>
      <c r="LCQ34" s="21"/>
      <c r="LCR34" s="21"/>
      <c r="LCV34" s="15"/>
      <c r="LDB34" s="25"/>
      <c r="LDI34" s="21"/>
      <c r="LDJ34" s="21"/>
      <c r="LDN34" s="15"/>
      <c r="LDT34" s="25"/>
      <c r="LEA34" s="21"/>
      <c r="LEB34" s="21"/>
      <c r="LEF34" s="15"/>
      <c r="LEL34" s="25"/>
      <c r="LES34" s="21"/>
      <c r="LET34" s="21"/>
      <c r="LEX34" s="15"/>
      <c r="LFD34" s="25"/>
      <c r="LFK34" s="21"/>
      <c r="LFL34" s="21"/>
      <c r="LFP34" s="15"/>
      <c r="LFV34" s="25"/>
      <c r="LGC34" s="21"/>
      <c r="LGD34" s="21"/>
      <c r="LGH34" s="15"/>
      <c r="LGN34" s="25"/>
      <c r="LGU34" s="21"/>
      <c r="LGV34" s="21"/>
      <c r="LGZ34" s="15"/>
      <c r="LHF34" s="25"/>
      <c r="LHM34" s="21"/>
      <c r="LHN34" s="21"/>
      <c r="LHR34" s="15"/>
      <c r="LHX34" s="25"/>
      <c r="LIE34" s="21"/>
      <c r="LIF34" s="21"/>
      <c r="LIJ34" s="15"/>
      <c r="LIP34" s="25"/>
      <c r="LIW34" s="21"/>
      <c r="LIX34" s="21"/>
      <c r="LJB34" s="15"/>
      <c r="LJH34" s="25"/>
      <c r="LJO34" s="21"/>
      <c r="LJP34" s="21"/>
      <c r="LJT34" s="15"/>
      <c r="LJZ34" s="25"/>
      <c r="LKG34" s="21"/>
      <c r="LKH34" s="21"/>
      <c r="LKL34" s="15"/>
      <c r="LKR34" s="25"/>
      <c r="LKY34" s="21"/>
      <c r="LKZ34" s="21"/>
      <c r="LLD34" s="15"/>
      <c r="LLJ34" s="25"/>
      <c r="LLQ34" s="21"/>
      <c r="LLR34" s="21"/>
      <c r="LLV34" s="15"/>
      <c r="LMB34" s="25"/>
      <c r="LMI34" s="21"/>
      <c r="LMJ34" s="21"/>
      <c r="LMN34" s="15"/>
      <c r="LMT34" s="25"/>
      <c r="LNA34" s="21"/>
      <c r="LNB34" s="21"/>
      <c r="LNF34" s="15"/>
      <c r="LNL34" s="25"/>
      <c r="LNS34" s="21"/>
      <c r="LNT34" s="21"/>
      <c r="LNX34" s="15"/>
      <c r="LOD34" s="25"/>
      <c r="LOK34" s="21"/>
      <c r="LOL34" s="21"/>
      <c r="LOP34" s="15"/>
      <c r="LOV34" s="25"/>
      <c r="LPC34" s="21"/>
      <c r="LPD34" s="21"/>
      <c r="LPH34" s="15"/>
      <c r="LPN34" s="25"/>
      <c r="LPU34" s="21"/>
      <c r="LPV34" s="21"/>
      <c r="LPZ34" s="15"/>
      <c r="LQF34" s="25"/>
      <c r="LQM34" s="21"/>
      <c r="LQN34" s="21"/>
      <c r="LQR34" s="15"/>
      <c r="LQX34" s="25"/>
      <c r="LRE34" s="21"/>
      <c r="LRF34" s="21"/>
      <c r="LRJ34" s="15"/>
      <c r="LRP34" s="25"/>
      <c r="LRW34" s="21"/>
      <c r="LRX34" s="21"/>
      <c r="LSB34" s="15"/>
      <c r="LSH34" s="25"/>
      <c r="LSO34" s="21"/>
      <c r="LSP34" s="21"/>
      <c r="LST34" s="15"/>
      <c r="LSZ34" s="25"/>
      <c r="LTG34" s="21"/>
      <c r="LTH34" s="21"/>
      <c r="LTL34" s="15"/>
      <c r="LTR34" s="25"/>
      <c r="LTY34" s="21"/>
      <c r="LTZ34" s="21"/>
      <c r="LUD34" s="15"/>
      <c r="LUJ34" s="25"/>
      <c r="LUQ34" s="21"/>
      <c r="LUR34" s="21"/>
      <c r="LUV34" s="15"/>
      <c r="LVB34" s="25"/>
      <c r="LVI34" s="21"/>
      <c r="LVJ34" s="21"/>
      <c r="LVN34" s="15"/>
      <c r="LVT34" s="25"/>
      <c r="LWA34" s="21"/>
      <c r="LWB34" s="21"/>
      <c r="LWF34" s="15"/>
      <c r="LWL34" s="25"/>
      <c r="LWS34" s="21"/>
      <c r="LWT34" s="21"/>
      <c r="LWX34" s="15"/>
      <c r="LXD34" s="25"/>
      <c r="LXK34" s="21"/>
      <c r="LXL34" s="21"/>
      <c r="LXP34" s="15"/>
      <c r="LXV34" s="25"/>
      <c r="LYC34" s="21"/>
      <c r="LYD34" s="21"/>
      <c r="LYH34" s="15"/>
      <c r="LYN34" s="25"/>
      <c r="LYU34" s="21"/>
      <c r="LYV34" s="21"/>
      <c r="LYZ34" s="15"/>
      <c r="LZF34" s="25"/>
      <c r="LZM34" s="21"/>
      <c r="LZN34" s="21"/>
      <c r="LZR34" s="15"/>
      <c r="LZX34" s="25"/>
      <c r="MAE34" s="21"/>
      <c r="MAF34" s="21"/>
      <c r="MAJ34" s="15"/>
      <c r="MAP34" s="25"/>
      <c r="MAW34" s="21"/>
      <c r="MAX34" s="21"/>
      <c r="MBB34" s="15"/>
      <c r="MBH34" s="25"/>
      <c r="MBO34" s="21"/>
      <c r="MBP34" s="21"/>
      <c r="MBT34" s="15"/>
      <c r="MBZ34" s="25"/>
      <c r="MCG34" s="21"/>
      <c r="MCH34" s="21"/>
      <c r="MCL34" s="15"/>
      <c r="MCR34" s="25"/>
      <c r="MCY34" s="21"/>
      <c r="MCZ34" s="21"/>
      <c r="MDD34" s="15"/>
      <c r="MDJ34" s="25"/>
      <c r="MDQ34" s="21"/>
      <c r="MDR34" s="21"/>
      <c r="MDV34" s="15"/>
      <c r="MEB34" s="25"/>
      <c r="MEI34" s="21"/>
      <c r="MEJ34" s="21"/>
      <c r="MEN34" s="15"/>
      <c r="MET34" s="25"/>
      <c r="MFA34" s="21"/>
      <c r="MFB34" s="21"/>
      <c r="MFF34" s="15"/>
      <c r="MFL34" s="25"/>
      <c r="MFS34" s="21"/>
      <c r="MFT34" s="21"/>
      <c r="MFX34" s="15"/>
      <c r="MGD34" s="25"/>
      <c r="MGK34" s="21"/>
      <c r="MGL34" s="21"/>
      <c r="MGP34" s="15"/>
      <c r="MGV34" s="25"/>
      <c r="MHC34" s="21"/>
      <c r="MHD34" s="21"/>
      <c r="MHH34" s="15"/>
      <c r="MHN34" s="25"/>
      <c r="MHU34" s="21"/>
      <c r="MHV34" s="21"/>
      <c r="MHZ34" s="15"/>
      <c r="MIF34" s="25"/>
      <c r="MIM34" s="21"/>
      <c r="MIN34" s="21"/>
      <c r="MIR34" s="15"/>
      <c r="MIX34" s="25"/>
      <c r="MJE34" s="21"/>
      <c r="MJF34" s="21"/>
      <c r="MJJ34" s="15"/>
      <c r="MJP34" s="25"/>
      <c r="MJW34" s="21"/>
      <c r="MJX34" s="21"/>
      <c r="MKB34" s="15"/>
      <c r="MKH34" s="25"/>
      <c r="MKO34" s="21"/>
      <c r="MKP34" s="21"/>
      <c r="MKT34" s="15"/>
      <c r="MKZ34" s="25"/>
      <c r="MLG34" s="21"/>
      <c r="MLH34" s="21"/>
      <c r="MLL34" s="15"/>
      <c r="MLR34" s="25"/>
      <c r="MLY34" s="21"/>
      <c r="MLZ34" s="21"/>
      <c r="MMD34" s="15"/>
      <c r="MMJ34" s="25"/>
      <c r="MMQ34" s="21"/>
      <c r="MMR34" s="21"/>
      <c r="MMV34" s="15"/>
      <c r="MNB34" s="25"/>
      <c r="MNI34" s="21"/>
      <c r="MNJ34" s="21"/>
      <c r="MNN34" s="15"/>
      <c r="MNT34" s="25"/>
      <c r="MOA34" s="21"/>
      <c r="MOB34" s="21"/>
      <c r="MOF34" s="15"/>
      <c r="MOL34" s="25"/>
      <c r="MOS34" s="21"/>
      <c r="MOT34" s="21"/>
      <c r="MOX34" s="15"/>
      <c r="MPD34" s="25"/>
      <c r="MPK34" s="21"/>
      <c r="MPL34" s="21"/>
      <c r="MPP34" s="15"/>
      <c r="MPV34" s="25"/>
      <c r="MQC34" s="21"/>
      <c r="MQD34" s="21"/>
      <c r="MQH34" s="15"/>
      <c r="MQN34" s="25"/>
      <c r="MQU34" s="21"/>
      <c r="MQV34" s="21"/>
      <c r="MQZ34" s="15"/>
      <c r="MRF34" s="25"/>
      <c r="MRM34" s="21"/>
      <c r="MRN34" s="21"/>
      <c r="MRR34" s="15"/>
      <c r="MRX34" s="25"/>
      <c r="MSE34" s="21"/>
      <c r="MSF34" s="21"/>
      <c r="MSJ34" s="15"/>
      <c r="MSP34" s="25"/>
      <c r="MSW34" s="21"/>
      <c r="MSX34" s="21"/>
      <c r="MTB34" s="15"/>
      <c r="MTH34" s="25"/>
      <c r="MTO34" s="21"/>
      <c r="MTP34" s="21"/>
      <c r="MTT34" s="15"/>
      <c r="MTZ34" s="25"/>
      <c r="MUG34" s="21"/>
      <c r="MUH34" s="21"/>
      <c r="MUL34" s="15"/>
      <c r="MUR34" s="25"/>
      <c r="MUY34" s="21"/>
      <c r="MUZ34" s="21"/>
      <c r="MVD34" s="15"/>
      <c r="MVJ34" s="25"/>
      <c r="MVQ34" s="21"/>
      <c r="MVR34" s="21"/>
      <c r="MVV34" s="15"/>
      <c r="MWB34" s="25"/>
      <c r="MWI34" s="21"/>
      <c r="MWJ34" s="21"/>
      <c r="MWN34" s="15"/>
      <c r="MWT34" s="25"/>
      <c r="MXA34" s="21"/>
      <c r="MXB34" s="21"/>
      <c r="MXF34" s="15"/>
      <c r="MXL34" s="25"/>
      <c r="MXS34" s="21"/>
      <c r="MXT34" s="21"/>
      <c r="MXX34" s="15"/>
      <c r="MYD34" s="25"/>
      <c r="MYK34" s="21"/>
      <c r="MYL34" s="21"/>
      <c r="MYP34" s="15"/>
      <c r="MYV34" s="25"/>
      <c r="MZC34" s="21"/>
      <c r="MZD34" s="21"/>
      <c r="MZH34" s="15"/>
      <c r="MZN34" s="25"/>
      <c r="MZU34" s="21"/>
      <c r="MZV34" s="21"/>
      <c r="MZZ34" s="15"/>
      <c r="NAF34" s="25"/>
      <c r="NAM34" s="21"/>
      <c r="NAN34" s="21"/>
      <c r="NAR34" s="15"/>
      <c r="NAX34" s="25"/>
      <c r="NBE34" s="21"/>
      <c r="NBF34" s="21"/>
      <c r="NBJ34" s="15"/>
      <c r="NBP34" s="25"/>
      <c r="NBW34" s="21"/>
      <c r="NBX34" s="21"/>
      <c r="NCB34" s="15"/>
      <c r="NCH34" s="25"/>
      <c r="NCO34" s="21"/>
      <c r="NCP34" s="21"/>
      <c r="NCT34" s="15"/>
      <c r="NCZ34" s="25"/>
      <c r="NDG34" s="21"/>
      <c r="NDH34" s="21"/>
      <c r="NDL34" s="15"/>
      <c r="NDR34" s="25"/>
      <c r="NDY34" s="21"/>
      <c r="NDZ34" s="21"/>
      <c r="NED34" s="15"/>
      <c r="NEJ34" s="25"/>
      <c r="NEQ34" s="21"/>
      <c r="NER34" s="21"/>
      <c r="NEV34" s="15"/>
      <c r="NFB34" s="25"/>
      <c r="NFI34" s="21"/>
      <c r="NFJ34" s="21"/>
      <c r="NFN34" s="15"/>
      <c r="NFT34" s="25"/>
      <c r="NGA34" s="21"/>
      <c r="NGB34" s="21"/>
      <c r="NGF34" s="15"/>
      <c r="NGL34" s="25"/>
      <c r="NGS34" s="21"/>
      <c r="NGT34" s="21"/>
      <c r="NGX34" s="15"/>
      <c r="NHD34" s="25"/>
      <c r="NHK34" s="21"/>
      <c r="NHL34" s="21"/>
      <c r="NHP34" s="15"/>
      <c r="NHV34" s="25"/>
      <c r="NIC34" s="21"/>
      <c r="NID34" s="21"/>
      <c r="NIH34" s="15"/>
      <c r="NIN34" s="25"/>
      <c r="NIU34" s="21"/>
      <c r="NIV34" s="21"/>
      <c r="NIZ34" s="15"/>
      <c r="NJF34" s="25"/>
      <c r="NJM34" s="21"/>
      <c r="NJN34" s="21"/>
      <c r="NJR34" s="15"/>
      <c r="NJX34" s="25"/>
      <c r="NKE34" s="21"/>
      <c r="NKF34" s="21"/>
      <c r="NKJ34" s="15"/>
      <c r="NKP34" s="25"/>
      <c r="NKW34" s="21"/>
      <c r="NKX34" s="21"/>
      <c r="NLB34" s="15"/>
      <c r="NLH34" s="25"/>
      <c r="NLO34" s="21"/>
      <c r="NLP34" s="21"/>
      <c r="NLT34" s="15"/>
      <c r="NLZ34" s="25"/>
      <c r="NMG34" s="21"/>
      <c r="NMH34" s="21"/>
      <c r="NML34" s="15"/>
      <c r="NMR34" s="25"/>
      <c r="NMY34" s="21"/>
      <c r="NMZ34" s="21"/>
      <c r="NND34" s="15"/>
      <c r="NNJ34" s="25"/>
      <c r="NNQ34" s="21"/>
      <c r="NNR34" s="21"/>
      <c r="NNV34" s="15"/>
      <c r="NOB34" s="25"/>
      <c r="NOI34" s="21"/>
      <c r="NOJ34" s="21"/>
      <c r="NON34" s="15"/>
      <c r="NOT34" s="25"/>
      <c r="NPA34" s="21"/>
      <c r="NPB34" s="21"/>
      <c r="NPF34" s="15"/>
      <c r="NPL34" s="25"/>
      <c r="NPS34" s="21"/>
      <c r="NPT34" s="21"/>
      <c r="NPX34" s="15"/>
      <c r="NQD34" s="25"/>
      <c r="NQK34" s="21"/>
      <c r="NQL34" s="21"/>
      <c r="NQP34" s="15"/>
      <c r="NQV34" s="25"/>
      <c r="NRC34" s="21"/>
      <c r="NRD34" s="21"/>
      <c r="NRH34" s="15"/>
      <c r="NRN34" s="25"/>
      <c r="NRU34" s="21"/>
      <c r="NRV34" s="21"/>
      <c r="NRZ34" s="15"/>
      <c r="NSF34" s="25"/>
      <c r="NSM34" s="21"/>
      <c r="NSN34" s="21"/>
      <c r="NSR34" s="15"/>
      <c r="NSX34" s="25"/>
      <c r="NTE34" s="21"/>
      <c r="NTF34" s="21"/>
      <c r="NTJ34" s="15"/>
      <c r="NTP34" s="25"/>
      <c r="NTW34" s="21"/>
      <c r="NTX34" s="21"/>
      <c r="NUB34" s="15"/>
      <c r="NUH34" s="25"/>
      <c r="NUO34" s="21"/>
      <c r="NUP34" s="21"/>
      <c r="NUT34" s="15"/>
      <c r="NUZ34" s="25"/>
      <c r="NVG34" s="21"/>
      <c r="NVH34" s="21"/>
      <c r="NVL34" s="15"/>
      <c r="NVR34" s="25"/>
      <c r="NVY34" s="21"/>
      <c r="NVZ34" s="21"/>
      <c r="NWD34" s="15"/>
      <c r="NWJ34" s="25"/>
      <c r="NWQ34" s="21"/>
      <c r="NWR34" s="21"/>
      <c r="NWV34" s="15"/>
      <c r="NXB34" s="25"/>
      <c r="NXI34" s="21"/>
      <c r="NXJ34" s="21"/>
      <c r="NXN34" s="15"/>
      <c r="NXT34" s="25"/>
      <c r="NYA34" s="21"/>
      <c r="NYB34" s="21"/>
      <c r="NYF34" s="15"/>
      <c r="NYL34" s="25"/>
      <c r="NYS34" s="21"/>
      <c r="NYT34" s="21"/>
      <c r="NYX34" s="15"/>
      <c r="NZD34" s="25"/>
      <c r="NZK34" s="21"/>
      <c r="NZL34" s="21"/>
      <c r="NZP34" s="15"/>
      <c r="NZV34" s="25"/>
      <c r="OAC34" s="21"/>
      <c r="OAD34" s="21"/>
      <c r="OAH34" s="15"/>
      <c r="OAN34" s="25"/>
      <c r="OAU34" s="21"/>
      <c r="OAV34" s="21"/>
      <c r="OAZ34" s="15"/>
      <c r="OBF34" s="25"/>
      <c r="OBM34" s="21"/>
      <c r="OBN34" s="21"/>
      <c r="OBR34" s="15"/>
      <c r="OBX34" s="25"/>
      <c r="OCE34" s="21"/>
      <c r="OCF34" s="21"/>
      <c r="OCJ34" s="15"/>
      <c r="OCP34" s="25"/>
      <c r="OCW34" s="21"/>
      <c r="OCX34" s="21"/>
      <c r="ODB34" s="15"/>
      <c r="ODH34" s="25"/>
      <c r="ODO34" s="21"/>
      <c r="ODP34" s="21"/>
      <c r="ODT34" s="15"/>
      <c r="ODZ34" s="25"/>
      <c r="OEG34" s="21"/>
      <c r="OEH34" s="21"/>
      <c r="OEL34" s="15"/>
      <c r="OER34" s="25"/>
      <c r="OEY34" s="21"/>
      <c r="OEZ34" s="21"/>
      <c r="OFD34" s="15"/>
      <c r="OFJ34" s="25"/>
      <c r="OFQ34" s="21"/>
      <c r="OFR34" s="21"/>
      <c r="OFV34" s="15"/>
      <c r="OGB34" s="25"/>
      <c r="OGI34" s="21"/>
      <c r="OGJ34" s="21"/>
      <c r="OGN34" s="15"/>
      <c r="OGT34" s="25"/>
      <c r="OHA34" s="21"/>
      <c r="OHB34" s="21"/>
      <c r="OHF34" s="15"/>
      <c r="OHL34" s="25"/>
      <c r="OHS34" s="21"/>
      <c r="OHT34" s="21"/>
      <c r="OHX34" s="15"/>
      <c r="OID34" s="25"/>
      <c r="OIK34" s="21"/>
      <c r="OIL34" s="21"/>
      <c r="OIP34" s="15"/>
      <c r="OIV34" s="25"/>
      <c r="OJC34" s="21"/>
      <c r="OJD34" s="21"/>
      <c r="OJH34" s="15"/>
      <c r="OJN34" s="25"/>
      <c r="OJU34" s="21"/>
      <c r="OJV34" s="21"/>
      <c r="OJZ34" s="15"/>
      <c r="OKF34" s="25"/>
      <c r="OKM34" s="21"/>
      <c r="OKN34" s="21"/>
      <c r="OKR34" s="15"/>
      <c r="OKX34" s="25"/>
      <c r="OLE34" s="21"/>
      <c r="OLF34" s="21"/>
      <c r="OLJ34" s="15"/>
      <c r="OLP34" s="25"/>
      <c r="OLW34" s="21"/>
      <c r="OLX34" s="21"/>
      <c r="OMB34" s="15"/>
      <c r="OMH34" s="25"/>
      <c r="OMO34" s="21"/>
      <c r="OMP34" s="21"/>
      <c r="OMT34" s="15"/>
      <c r="OMZ34" s="25"/>
      <c r="ONG34" s="21"/>
      <c r="ONH34" s="21"/>
      <c r="ONL34" s="15"/>
      <c r="ONR34" s="25"/>
      <c r="ONY34" s="21"/>
      <c r="ONZ34" s="21"/>
      <c r="OOD34" s="15"/>
      <c r="OOJ34" s="25"/>
      <c r="OOQ34" s="21"/>
      <c r="OOR34" s="21"/>
      <c r="OOV34" s="15"/>
      <c r="OPB34" s="25"/>
      <c r="OPI34" s="21"/>
      <c r="OPJ34" s="21"/>
      <c r="OPN34" s="15"/>
      <c r="OPT34" s="25"/>
      <c r="OQA34" s="21"/>
      <c r="OQB34" s="21"/>
      <c r="OQF34" s="15"/>
      <c r="OQL34" s="25"/>
      <c r="OQS34" s="21"/>
      <c r="OQT34" s="21"/>
      <c r="OQX34" s="15"/>
      <c r="ORD34" s="25"/>
      <c r="ORK34" s="21"/>
      <c r="ORL34" s="21"/>
      <c r="ORP34" s="15"/>
      <c r="ORV34" s="25"/>
      <c r="OSC34" s="21"/>
      <c r="OSD34" s="21"/>
      <c r="OSH34" s="15"/>
      <c r="OSN34" s="25"/>
      <c r="OSU34" s="21"/>
      <c r="OSV34" s="21"/>
      <c r="OSZ34" s="15"/>
      <c r="OTF34" s="25"/>
      <c r="OTM34" s="21"/>
      <c r="OTN34" s="21"/>
      <c r="OTR34" s="15"/>
      <c r="OTX34" s="25"/>
      <c r="OUE34" s="21"/>
      <c r="OUF34" s="21"/>
      <c r="OUJ34" s="15"/>
      <c r="OUP34" s="25"/>
      <c r="OUW34" s="21"/>
      <c r="OUX34" s="21"/>
      <c r="OVB34" s="15"/>
      <c r="OVH34" s="25"/>
      <c r="OVO34" s="21"/>
      <c r="OVP34" s="21"/>
      <c r="OVT34" s="15"/>
      <c r="OVZ34" s="25"/>
      <c r="OWG34" s="21"/>
      <c r="OWH34" s="21"/>
      <c r="OWL34" s="15"/>
      <c r="OWR34" s="25"/>
      <c r="OWY34" s="21"/>
      <c r="OWZ34" s="21"/>
      <c r="OXD34" s="15"/>
      <c r="OXJ34" s="25"/>
      <c r="OXQ34" s="21"/>
      <c r="OXR34" s="21"/>
      <c r="OXV34" s="15"/>
      <c r="OYB34" s="25"/>
      <c r="OYI34" s="21"/>
      <c r="OYJ34" s="21"/>
      <c r="OYN34" s="15"/>
      <c r="OYT34" s="25"/>
      <c r="OZA34" s="21"/>
      <c r="OZB34" s="21"/>
      <c r="OZF34" s="15"/>
      <c r="OZL34" s="25"/>
      <c r="OZS34" s="21"/>
      <c r="OZT34" s="21"/>
      <c r="OZX34" s="15"/>
      <c r="PAD34" s="25"/>
      <c r="PAK34" s="21"/>
      <c r="PAL34" s="21"/>
      <c r="PAP34" s="15"/>
      <c r="PAV34" s="25"/>
      <c r="PBC34" s="21"/>
      <c r="PBD34" s="21"/>
      <c r="PBH34" s="15"/>
      <c r="PBN34" s="25"/>
      <c r="PBU34" s="21"/>
      <c r="PBV34" s="21"/>
      <c r="PBZ34" s="15"/>
      <c r="PCF34" s="25"/>
      <c r="PCM34" s="21"/>
      <c r="PCN34" s="21"/>
      <c r="PCR34" s="15"/>
      <c r="PCX34" s="25"/>
      <c r="PDE34" s="21"/>
      <c r="PDF34" s="21"/>
      <c r="PDJ34" s="15"/>
      <c r="PDP34" s="25"/>
      <c r="PDW34" s="21"/>
      <c r="PDX34" s="21"/>
      <c r="PEB34" s="15"/>
      <c r="PEH34" s="25"/>
      <c r="PEO34" s="21"/>
      <c r="PEP34" s="21"/>
      <c r="PET34" s="15"/>
      <c r="PEZ34" s="25"/>
      <c r="PFG34" s="21"/>
      <c r="PFH34" s="21"/>
      <c r="PFL34" s="15"/>
      <c r="PFR34" s="25"/>
      <c r="PFY34" s="21"/>
      <c r="PFZ34" s="21"/>
      <c r="PGD34" s="15"/>
      <c r="PGJ34" s="25"/>
      <c r="PGQ34" s="21"/>
      <c r="PGR34" s="21"/>
      <c r="PGV34" s="15"/>
      <c r="PHB34" s="25"/>
      <c r="PHI34" s="21"/>
      <c r="PHJ34" s="21"/>
      <c r="PHN34" s="15"/>
      <c r="PHT34" s="25"/>
      <c r="PIA34" s="21"/>
      <c r="PIB34" s="21"/>
      <c r="PIF34" s="15"/>
      <c r="PIL34" s="25"/>
      <c r="PIS34" s="21"/>
      <c r="PIT34" s="21"/>
      <c r="PIX34" s="15"/>
      <c r="PJD34" s="25"/>
      <c r="PJK34" s="21"/>
      <c r="PJL34" s="21"/>
      <c r="PJP34" s="15"/>
      <c r="PJV34" s="25"/>
      <c r="PKC34" s="21"/>
      <c r="PKD34" s="21"/>
      <c r="PKH34" s="15"/>
      <c r="PKN34" s="25"/>
      <c r="PKU34" s="21"/>
      <c r="PKV34" s="21"/>
      <c r="PKZ34" s="15"/>
      <c r="PLF34" s="25"/>
      <c r="PLM34" s="21"/>
      <c r="PLN34" s="21"/>
      <c r="PLR34" s="15"/>
      <c r="PLX34" s="25"/>
      <c r="PME34" s="21"/>
      <c r="PMF34" s="21"/>
      <c r="PMJ34" s="15"/>
      <c r="PMP34" s="25"/>
      <c r="PMW34" s="21"/>
      <c r="PMX34" s="21"/>
      <c r="PNB34" s="15"/>
      <c r="PNH34" s="25"/>
      <c r="PNO34" s="21"/>
      <c r="PNP34" s="21"/>
      <c r="PNT34" s="15"/>
      <c r="PNZ34" s="25"/>
      <c r="POG34" s="21"/>
      <c r="POH34" s="21"/>
      <c r="POL34" s="15"/>
      <c r="POR34" s="25"/>
      <c r="POY34" s="21"/>
      <c r="POZ34" s="21"/>
      <c r="PPD34" s="15"/>
      <c r="PPJ34" s="25"/>
      <c r="PPQ34" s="21"/>
      <c r="PPR34" s="21"/>
      <c r="PPV34" s="15"/>
      <c r="PQB34" s="25"/>
      <c r="PQI34" s="21"/>
      <c r="PQJ34" s="21"/>
      <c r="PQN34" s="15"/>
      <c r="PQT34" s="25"/>
      <c r="PRA34" s="21"/>
      <c r="PRB34" s="21"/>
      <c r="PRF34" s="15"/>
      <c r="PRL34" s="25"/>
      <c r="PRS34" s="21"/>
      <c r="PRT34" s="21"/>
      <c r="PRX34" s="15"/>
      <c r="PSD34" s="25"/>
      <c r="PSK34" s="21"/>
      <c r="PSL34" s="21"/>
      <c r="PSP34" s="15"/>
      <c r="PSV34" s="25"/>
      <c r="PTC34" s="21"/>
      <c r="PTD34" s="21"/>
      <c r="PTH34" s="15"/>
      <c r="PTN34" s="25"/>
      <c r="PTU34" s="21"/>
      <c r="PTV34" s="21"/>
      <c r="PTZ34" s="15"/>
      <c r="PUF34" s="25"/>
      <c r="PUM34" s="21"/>
      <c r="PUN34" s="21"/>
      <c r="PUR34" s="15"/>
      <c r="PUX34" s="25"/>
      <c r="PVE34" s="21"/>
      <c r="PVF34" s="21"/>
      <c r="PVJ34" s="15"/>
      <c r="PVP34" s="25"/>
      <c r="PVW34" s="21"/>
      <c r="PVX34" s="21"/>
      <c r="PWB34" s="15"/>
      <c r="PWH34" s="25"/>
      <c r="PWO34" s="21"/>
      <c r="PWP34" s="21"/>
      <c r="PWT34" s="15"/>
      <c r="PWZ34" s="25"/>
      <c r="PXG34" s="21"/>
      <c r="PXH34" s="21"/>
      <c r="PXL34" s="15"/>
      <c r="PXR34" s="25"/>
      <c r="PXY34" s="21"/>
      <c r="PXZ34" s="21"/>
      <c r="PYD34" s="15"/>
      <c r="PYJ34" s="25"/>
      <c r="PYQ34" s="21"/>
      <c r="PYR34" s="21"/>
      <c r="PYV34" s="15"/>
      <c r="PZB34" s="25"/>
      <c r="PZI34" s="21"/>
      <c r="PZJ34" s="21"/>
      <c r="PZN34" s="15"/>
      <c r="PZT34" s="25"/>
      <c r="QAA34" s="21"/>
      <c r="QAB34" s="21"/>
      <c r="QAF34" s="15"/>
      <c r="QAL34" s="25"/>
      <c r="QAS34" s="21"/>
      <c r="QAT34" s="21"/>
      <c r="QAX34" s="15"/>
      <c r="QBD34" s="25"/>
      <c r="QBK34" s="21"/>
      <c r="QBL34" s="21"/>
      <c r="QBP34" s="15"/>
      <c r="QBV34" s="25"/>
      <c r="QCC34" s="21"/>
      <c r="QCD34" s="21"/>
      <c r="QCH34" s="15"/>
      <c r="QCN34" s="25"/>
      <c r="QCU34" s="21"/>
      <c r="QCV34" s="21"/>
      <c r="QCZ34" s="15"/>
      <c r="QDF34" s="25"/>
      <c r="QDM34" s="21"/>
      <c r="QDN34" s="21"/>
      <c r="QDR34" s="15"/>
      <c r="QDX34" s="25"/>
      <c r="QEE34" s="21"/>
      <c r="QEF34" s="21"/>
      <c r="QEJ34" s="15"/>
      <c r="QEP34" s="25"/>
      <c r="QEW34" s="21"/>
      <c r="QEX34" s="21"/>
      <c r="QFB34" s="15"/>
      <c r="QFH34" s="25"/>
      <c r="QFO34" s="21"/>
      <c r="QFP34" s="21"/>
      <c r="QFT34" s="15"/>
      <c r="QFZ34" s="25"/>
      <c r="QGG34" s="21"/>
      <c r="QGH34" s="21"/>
      <c r="QGL34" s="15"/>
      <c r="QGR34" s="25"/>
      <c r="QGY34" s="21"/>
      <c r="QGZ34" s="21"/>
      <c r="QHD34" s="15"/>
      <c r="QHJ34" s="25"/>
      <c r="QHQ34" s="21"/>
      <c r="QHR34" s="21"/>
      <c r="QHV34" s="15"/>
      <c r="QIB34" s="25"/>
      <c r="QII34" s="21"/>
      <c r="QIJ34" s="21"/>
      <c r="QIN34" s="15"/>
      <c r="QIT34" s="25"/>
      <c r="QJA34" s="21"/>
      <c r="QJB34" s="21"/>
      <c r="QJF34" s="15"/>
      <c r="QJL34" s="25"/>
      <c r="QJS34" s="21"/>
      <c r="QJT34" s="21"/>
      <c r="QJX34" s="15"/>
      <c r="QKD34" s="25"/>
      <c r="QKK34" s="21"/>
      <c r="QKL34" s="21"/>
      <c r="QKP34" s="15"/>
      <c r="QKV34" s="25"/>
      <c r="QLC34" s="21"/>
      <c r="QLD34" s="21"/>
      <c r="QLH34" s="15"/>
      <c r="QLN34" s="25"/>
      <c r="QLU34" s="21"/>
      <c r="QLV34" s="21"/>
      <c r="QLZ34" s="15"/>
      <c r="QMF34" s="25"/>
      <c r="QMM34" s="21"/>
      <c r="QMN34" s="21"/>
      <c r="QMR34" s="15"/>
      <c r="QMX34" s="25"/>
      <c r="QNE34" s="21"/>
      <c r="QNF34" s="21"/>
      <c r="QNJ34" s="15"/>
      <c r="QNP34" s="25"/>
      <c r="QNW34" s="21"/>
      <c r="QNX34" s="21"/>
      <c r="QOB34" s="15"/>
      <c r="QOH34" s="25"/>
      <c r="QOO34" s="21"/>
      <c r="QOP34" s="21"/>
      <c r="QOT34" s="15"/>
      <c r="QOZ34" s="25"/>
      <c r="QPG34" s="21"/>
      <c r="QPH34" s="21"/>
      <c r="QPL34" s="15"/>
      <c r="QPR34" s="25"/>
      <c r="QPY34" s="21"/>
      <c r="QPZ34" s="21"/>
      <c r="QQD34" s="15"/>
      <c r="QQJ34" s="25"/>
      <c r="QQQ34" s="21"/>
      <c r="QQR34" s="21"/>
      <c r="QQV34" s="15"/>
      <c r="QRB34" s="25"/>
      <c r="QRI34" s="21"/>
      <c r="QRJ34" s="21"/>
      <c r="QRN34" s="15"/>
      <c r="QRT34" s="25"/>
      <c r="QSA34" s="21"/>
      <c r="QSB34" s="21"/>
      <c r="QSF34" s="15"/>
      <c r="QSL34" s="25"/>
      <c r="QSS34" s="21"/>
      <c r="QST34" s="21"/>
      <c r="QSX34" s="15"/>
      <c r="QTD34" s="25"/>
      <c r="QTK34" s="21"/>
      <c r="QTL34" s="21"/>
      <c r="QTP34" s="15"/>
      <c r="QTV34" s="25"/>
      <c r="QUC34" s="21"/>
      <c r="QUD34" s="21"/>
      <c r="QUH34" s="15"/>
      <c r="QUN34" s="25"/>
      <c r="QUU34" s="21"/>
      <c r="QUV34" s="21"/>
      <c r="QUZ34" s="15"/>
      <c r="QVF34" s="25"/>
      <c r="QVM34" s="21"/>
      <c r="QVN34" s="21"/>
      <c r="QVR34" s="15"/>
      <c r="QVX34" s="25"/>
      <c r="QWE34" s="21"/>
      <c r="QWF34" s="21"/>
      <c r="QWJ34" s="15"/>
      <c r="QWP34" s="25"/>
      <c r="QWW34" s="21"/>
      <c r="QWX34" s="21"/>
      <c r="QXB34" s="15"/>
      <c r="QXH34" s="25"/>
      <c r="QXO34" s="21"/>
      <c r="QXP34" s="21"/>
      <c r="QXT34" s="15"/>
      <c r="QXZ34" s="25"/>
      <c r="QYG34" s="21"/>
      <c r="QYH34" s="21"/>
      <c r="QYL34" s="15"/>
      <c r="QYR34" s="25"/>
      <c r="QYY34" s="21"/>
      <c r="QYZ34" s="21"/>
      <c r="QZD34" s="15"/>
      <c r="QZJ34" s="25"/>
      <c r="QZQ34" s="21"/>
      <c r="QZR34" s="21"/>
      <c r="QZV34" s="15"/>
      <c r="RAB34" s="25"/>
      <c r="RAI34" s="21"/>
      <c r="RAJ34" s="21"/>
      <c r="RAN34" s="15"/>
      <c r="RAT34" s="25"/>
      <c r="RBA34" s="21"/>
      <c r="RBB34" s="21"/>
      <c r="RBF34" s="15"/>
      <c r="RBL34" s="25"/>
      <c r="RBS34" s="21"/>
      <c r="RBT34" s="21"/>
      <c r="RBX34" s="15"/>
      <c r="RCD34" s="25"/>
      <c r="RCK34" s="21"/>
      <c r="RCL34" s="21"/>
      <c r="RCP34" s="15"/>
      <c r="RCV34" s="25"/>
      <c r="RDC34" s="21"/>
      <c r="RDD34" s="21"/>
      <c r="RDH34" s="15"/>
      <c r="RDN34" s="25"/>
      <c r="RDU34" s="21"/>
      <c r="RDV34" s="21"/>
      <c r="RDZ34" s="15"/>
      <c r="REF34" s="25"/>
      <c r="REM34" s="21"/>
      <c r="REN34" s="21"/>
      <c r="RER34" s="15"/>
      <c r="REX34" s="25"/>
      <c r="RFE34" s="21"/>
      <c r="RFF34" s="21"/>
      <c r="RFJ34" s="15"/>
      <c r="RFP34" s="25"/>
      <c r="RFW34" s="21"/>
      <c r="RFX34" s="21"/>
      <c r="RGB34" s="15"/>
      <c r="RGH34" s="25"/>
      <c r="RGO34" s="21"/>
      <c r="RGP34" s="21"/>
      <c r="RGT34" s="15"/>
      <c r="RGZ34" s="25"/>
      <c r="RHG34" s="21"/>
      <c r="RHH34" s="21"/>
      <c r="RHL34" s="15"/>
      <c r="RHR34" s="25"/>
      <c r="RHY34" s="21"/>
      <c r="RHZ34" s="21"/>
      <c r="RID34" s="15"/>
      <c r="RIJ34" s="25"/>
      <c r="RIQ34" s="21"/>
      <c r="RIR34" s="21"/>
      <c r="RIV34" s="15"/>
      <c r="RJB34" s="25"/>
      <c r="RJI34" s="21"/>
      <c r="RJJ34" s="21"/>
      <c r="RJN34" s="15"/>
      <c r="RJT34" s="25"/>
      <c r="RKA34" s="21"/>
      <c r="RKB34" s="21"/>
      <c r="RKF34" s="15"/>
      <c r="RKL34" s="25"/>
      <c r="RKS34" s="21"/>
      <c r="RKT34" s="21"/>
      <c r="RKX34" s="15"/>
      <c r="RLD34" s="25"/>
      <c r="RLK34" s="21"/>
      <c r="RLL34" s="21"/>
      <c r="RLP34" s="15"/>
      <c r="RLV34" s="25"/>
      <c r="RMC34" s="21"/>
      <c r="RMD34" s="21"/>
      <c r="RMH34" s="15"/>
      <c r="RMN34" s="25"/>
      <c r="RMU34" s="21"/>
      <c r="RMV34" s="21"/>
      <c r="RMZ34" s="15"/>
      <c r="RNF34" s="25"/>
      <c r="RNM34" s="21"/>
      <c r="RNN34" s="21"/>
      <c r="RNR34" s="15"/>
      <c r="RNX34" s="25"/>
      <c r="ROE34" s="21"/>
      <c r="ROF34" s="21"/>
      <c r="ROJ34" s="15"/>
      <c r="ROP34" s="25"/>
      <c r="ROW34" s="21"/>
      <c r="ROX34" s="21"/>
      <c r="RPB34" s="15"/>
      <c r="RPH34" s="25"/>
      <c r="RPO34" s="21"/>
      <c r="RPP34" s="21"/>
      <c r="RPT34" s="15"/>
      <c r="RPZ34" s="25"/>
      <c r="RQG34" s="21"/>
      <c r="RQH34" s="21"/>
      <c r="RQL34" s="15"/>
      <c r="RQR34" s="25"/>
      <c r="RQY34" s="21"/>
      <c r="RQZ34" s="21"/>
      <c r="RRD34" s="15"/>
      <c r="RRJ34" s="25"/>
      <c r="RRQ34" s="21"/>
      <c r="RRR34" s="21"/>
      <c r="RRV34" s="15"/>
      <c r="RSB34" s="25"/>
      <c r="RSI34" s="21"/>
      <c r="RSJ34" s="21"/>
      <c r="RSN34" s="15"/>
      <c r="RST34" s="25"/>
      <c r="RTA34" s="21"/>
      <c r="RTB34" s="21"/>
      <c r="RTF34" s="15"/>
      <c r="RTL34" s="25"/>
      <c r="RTS34" s="21"/>
      <c r="RTT34" s="21"/>
      <c r="RTX34" s="15"/>
      <c r="RUD34" s="25"/>
      <c r="RUK34" s="21"/>
      <c r="RUL34" s="21"/>
      <c r="RUP34" s="15"/>
      <c r="RUV34" s="25"/>
      <c r="RVC34" s="21"/>
      <c r="RVD34" s="21"/>
      <c r="RVH34" s="15"/>
      <c r="RVN34" s="25"/>
      <c r="RVU34" s="21"/>
      <c r="RVV34" s="21"/>
      <c r="RVZ34" s="15"/>
      <c r="RWF34" s="25"/>
      <c r="RWM34" s="21"/>
      <c r="RWN34" s="21"/>
      <c r="RWR34" s="15"/>
      <c r="RWX34" s="25"/>
      <c r="RXE34" s="21"/>
      <c r="RXF34" s="21"/>
      <c r="RXJ34" s="15"/>
      <c r="RXP34" s="25"/>
      <c r="RXW34" s="21"/>
      <c r="RXX34" s="21"/>
      <c r="RYB34" s="15"/>
      <c r="RYH34" s="25"/>
      <c r="RYO34" s="21"/>
      <c r="RYP34" s="21"/>
      <c r="RYT34" s="15"/>
      <c r="RYZ34" s="25"/>
      <c r="RZG34" s="21"/>
      <c r="RZH34" s="21"/>
      <c r="RZL34" s="15"/>
      <c r="RZR34" s="25"/>
      <c r="RZY34" s="21"/>
      <c r="RZZ34" s="21"/>
      <c r="SAD34" s="15"/>
      <c r="SAJ34" s="25"/>
      <c r="SAQ34" s="21"/>
      <c r="SAR34" s="21"/>
      <c r="SAV34" s="15"/>
      <c r="SBB34" s="25"/>
      <c r="SBI34" s="21"/>
      <c r="SBJ34" s="21"/>
      <c r="SBN34" s="15"/>
      <c r="SBT34" s="25"/>
      <c r="SCA34" s="21"/>
      <c r="SCB34" s="21"/>
      <c r="SCF34" s="15"/>
      <c r="SCL34" s="25"/>
      <c r="SCS34" s="21"/>
      <c r="SCT34" s="21"/>
      <c r="SCX34" s="15"/>
      <c r="SDD34" s="25"/>
      <c r="SDK34" s="21"/>
      <c r="SDL34" s="21"/>
      <c r="SDP34" s="15"/>
      <c r="SDV34" s="25"/>
      <c r="SEC34" s="21"/>
      <c r="SED34" s="21"/>
      <c r="SEH34" s="15"/>
      <c r="SEN34" s="25"/>
      <c r="SEU34" s="21"/>
      <c r="SEV34" s="21"/>
      <c r="SEZ34" s="15"/>
      <c r="SFF34" s="25"/>
      <c r="SFM34" s="21"/>
      <c r="SFN34" s="21"/>
      <c r="SFR34" s="15"/>
      <c r="SFX34" s="25"/>
      <c r="SGE34" s="21"/>
      <c r="SGF34" s="21"/>
      <c r="SGJ34" s="15"/>
      <c r="SGP34" s="25"/>
      <c r="SGW34" s="21"/>
      <c r="SGX34" s="21"/>
      <c r="SHB34" s="15"/>
      <c r="SHH34" s="25"/>
      <c r="SHO34" s="21"/>
      <c r="SHP34" s="21"/>
      <c r="SHT34" s="15"/>
      <c r="SHZ34" s="25"/>
      <c r="SIG34" s="21"/>
      <c r="SIH34" s="21"/>
      <c r="SIL34" s="15"/>
      <c r="SIR34" s="25"/>
      <c r="SIY34" s="21"/>
      <c r="SIZ34" s="21"/>
      <c r="SJD34" s="15"/>
      <c r="SJJ34" s="25"/>
      <c r="SJQ34" s="21"/>
      <c r="SJR34" s="21"/>
      <c r="SJV34" s="15"/>
      <c r="SKB34" s="25"/>
      <c r="SKI34" s="21"/>
      <c r="SKJ34" s="21"/>
      <c r="SKN34" s="15"/>
      <c r="SKT34" s="25"/>
      <c r="SLA34" s="21"/>
      <c r="SLB34" s="21"/>
      <c r="SLF34" s="15"/>
      <c r="SLL34" s="25"/>
      <c r="SLS34" s="21"/>
      <c r="SLT34" s="21"/>
      <c r="SLX34" s="15"/>
      <c r="SMD34" s="25"/>
      <c r="SMK34" s="21"/>
      <c r="SML34" s="21"/>
      <c r="SMP34" s="15"/>
      <c r="SMV34" s="25"/>
      <c r="SNC34" s="21"/>
      <c r="SND34" s="21"/>
      <c r="SNH34" s="15"/>
      <c r="SNN34" s="25"/>
      <c r="SNU34" s="21"/>
      <c r="SNV34" s="21"/>
      <c r="SNZ34" s="15"/>
      <c r="SOF34" s="25"/>
      <c r="SOM34" s="21"/>
      <c r="SON34" s="21"/>
      <c r="SOR34" s="15"/>
      <c r="SOX34" s="25"/>
      <c r="SPE34" s="21"/>
      <c r="SPF34" s="21"/>
      <c r="SPJ34" s="15"/>
      <c r="SPP34" s="25"/>
      <c r="SPW34" s="21"/>
      <c r="SPX34" s="21"/>
      <c r="SQB34" s="15"/>
      <c r="SQH34" s="25"/>
      <c r="SQO34" s="21"/>
      <c r="SQP34" s="21"/>
      <c r="SQT34" s="15"/>
      <c r="SQZ34" s="25"/>
      <c r="SRG34" s="21"/>
      <c r="SRH34" s="21"/>
      <c r="SRL34" s="15"/>
      <c r="SRR34" s="25"/>
      <c r="SRY34" s="21"/>
      <c r="SRZ34" s="21"/>
      <c r="SSD34" s="15"/>
      <c r="SSJ34" s="25"/>
      <c r="SSQ34" s="21"/>
      <c r="SSR34" s="21"/>
      <c r="SSV34" s="15"/>
      <c r="STB34" s="25"/>
      <c r="STI34" s="21"/>
      <c r="STJ34" s="21"/>
      <c r="STN34" s="15"/>
      <c r="STT34" s="25"/>
      <c r="SUA34" s="21"/>
      <c r="SUB34" s="21"/>
      <c r="SUF34" s="15"/>
      <c r="SUL34" s="25"/>
      <c r="SUS34" s="21"/>
      <c r="SUT34" s="21"/>
      <c r="SUX34" s="15"/>
      <c r="SVD34" s="25"/>
      <c r="SVK34" s="21"/>
      <c r="SVL34" s="21"/>
      <c r="SVP34" s="15"/>
      <c r="SVV34" s="25"/>
      <c r="SWC34" s="21"/>
      <c r="SWD34" s="21"/>
      <c r="SWH34" s="15"/>
      <c r="SWN34" s="25"/>
      <c r="SWU34" s="21"/>
      <c r="SWV34" s="21"/>
      <c r="SWZ34" s="15"/>
      <c r="SXF34" s="25"/>
      <c r="SXM34" s="21"/>
      <c r="SXN34" s="21"/>
      <c r="SXR34" s="15"/>
      <c r="SXX34" s="25"/>
      <c r="SYE34" s="21"/>
      <c r="SYF34" s="21"/>
      <c r="SYJ34" s="15"/>
      <c r="SYP34" s="25"/>
      <c r="SYW34" s="21"/>
      <c r="SYX34" s="21"/>
      <c r="SZB34" s="15"/>
      <c r="SZH34" s="25"/>
      <c r="SZO34" s="21"/>
      <c r="SZP34" s="21"/>
      <c r="SZT34" s="15"/>
      <c r="SZZ34" s="25"/>
      <c r="TAG34" s="21"/>
      <c r="TAH34" s="21"/>
      <c r="TAL34" s="15"/>
      <c r="TAR34" s="25"/>
      <c r="TAY34" s="21"/>
      <c r="TAZ34" s="21"/>
      <c r="TBD34" s="15"/>
      <c r="TBJ34" s="25"/>
      <c r="TBQ34" s="21"/>
      <c r="TBR34" s="21"/>
      <c r="TBV34" s="15"/>
      <c r="TCB34" s="25"/>
      <c r="TCI34" s="21"/>
      <c r="TCJ34" s="21"/>
      <c r="TCN34" s="15"/>
      <c r="TCT34" s="25"/>
      <c r="TDA34" s="21"/>
      <c r="TDB34" s="21"/>
      <c r="TDF34" s="15"/>
      <c r="TDL34" s="25"/>
      <c r="TDS34" s="21"/>
      <c r="TDT34" s="21"/>
      <c r="TDX34" s="15"/>
      <c r="TED34" s="25"/>
      <c r="TEK34" s="21"/>
      <c r="TEL34" s="21"/>
      <c r="TEP34" s="15"/>
      <c r="TEV34" s="25"/>
      <c r="TFC34" s="21"/>
      <c r="TFD34" s="21"/>
      <c r="TFH34" s="15"/>
      <c r="TFN34" s="25"/>
      <c r="TFU34" s="21"/>
      <c r="TFV34" s="21"/>
      <c r="TFZ34" s="15"/>
      <c r="TGF34" s="25"/>
      <c r="TGM34" s="21"/>
      <c r="TGN34" s="21"/>
      <c r="TGR34" s="15"/>
      <c r="TGX34" s="25"/>
      <c r="THE34" s="21"/>
      <c r="THF34" s="21"/>
      <c r="THJ34" s="15"/>
      <c r="THP34" s="25"/>
      <c r="THW34" s="21"/>
      <c r="THX34" s="21"/>
      <c r="TIB34" s="15"/>
      <c r="TIH34" s="25"/>
      <c r="TIO34" s="21"/>
      <c r="TIP34" s="21"/>
      <c r="TIT34" s="15"/>
      <c r="TIZ34" s="25"/>
      <c r="TJG34" s="21"/>
      <c r="TJH34" s="21"/>
      <c r="TJL34" s="15"/>
      <c r="TJR34" s="25"/>
      <c r="TJY34" s="21"/>
      <c r="TJZ34" s="21"/>
      <c r="TKD34" s="15"/>
      <c r="TKJ34" s="25"/>
      <c r="TKQ34" s="21"/>
      <c r="TKR34" s="21"/>
      <c r="TKV34" s="15"/>
      <c r="TLB34" s="25"/>
      <c r="TLI34" s="21"/>
      <c r="TLJ34" s="21"/>
      <c r="TLN34" s="15"/>
      <c r="TLT34" s="25"/>
      <c r="TMA34" s="21"/>
      <c r="TMB34" s="21"/>
      <c r="TMF34" s="15"/>
      <c r="TML34" s="25"/>
      <c r="TMS34" s="21"/>
      <c r="TMT34" s="21"/>
      <c r="TMX34" s="15"/>
      <c r="TND34" s="25"/>
      <c r="TNK34" s="21"/>
      <c r="TNL34" s="21"/>
      <c r="TNP34" s="15"/>
      <c r="TNV34" s="25"/>
      <c r="TOC34" s="21"/>
      <c r="TOD34" s="21"/>
      <c r="TOH34" s="15"/>
      <c r="TON34" s="25"/>
      <c r="TOU34" s="21"/>
      <c r="TOV34" s="21"/>
      <c r="TOZ34" s="15"/>
      <c r="TPF34" s="25"/>
      <c r="TPM34" s="21"/>
      <c r="TPN34" s="21"/>
      <c r="TPR34" s="15"/>
      <c r="TPX34" s="25"/>
      <c r="TQE34" s="21"/>
      <c r="TQF34" s="21"/>
      <c r="TQJ34" s="15"/>
      <c r="TQP34" s="25"/>
      <c r="TQW34" s="21"/>
      <c r="TQX34" s="21"/>
      <c r="TRB34" s="15"/>
      <c r="TRH34" s="25"/>
      <c r="TRO34" s="21"/>
      <c r="TRP34" s="21"/>
      <c r="TRT34" s="15"/>
      <c r="TRZ34" s="25"/>
      <c r="TSG34" s="21"/>
      <c r="TSH34" s="21"/>
      <c r="TSL34" s="15"/>
      <c r="TSR34" s="25"/>
      <c r="TSY34" s="21"/>
      <c r="TSZ34" s="21"/>
      <c r="TTD34" s="15"/>
      <c r="TTJ34" s="25"/>
      <c r="TTQ34" s="21"/>
      <c r="TTR34" s="21"/>
      <c r="TTV34" s="15"/>
      <c r="TUB34" s="25"/>
      <c r="TUI34" s="21"/>
      <c r="TUJ34" s="21"/>
      <c r="TUN34" s="15"/>
      <c r="TUT34" s="25"/>
      <c r="TVA34" s="21"/>
      <c r="TVB34" s="21"/>
      <c r="TVF34" s="15"/>
      <c r="TVL34" s="25"/>
      <c r="TVS34" s="21"/>
      <c r="TVT34" s="21"/>
      <c r="TVX34" s="15"/>
      <c r="TWD34" s="25"/>
      <c r="TWK34" s="21"/>
      <c r="TWL34" s="21"/>
      <c r="TWP34" s="15"/>
      <c r="TWV34" s="25"/>
      <c r="TXC34" s="21"/>
      <c r="TXD34" s="21"/>
      <c r="TXH34" s="15"/>
      <c r="TXN34" s="25"/>
      <c r="TXU34" s="21"/>
      <c r="TXV34" s="21"/>
      <c r="TXZ34" s="15"/>
      <c r="TYF34" s="25"/>
      <c r="TYM34" s="21"/>
      <c r="TYN34" s="21"/>
      <c r="TYR34" s="15"/>
      <c r="TYX34" s="25"/>
      <c r="TZE34" s="21"/>
      <c r="TZF34" s="21"/>
      <c r="TZJ34" s="15"/>
      <c r="TZP34" s="25"/>
      <c r="TZW34" s="21"/>
      <c r="TZX34" s="21"/>
      <c r="UAB34" s="15"/>
      <c r="UAH34" s="25"/>
      <c r="UAO34" s="21"/>
      <c r="UAP34" s="21"/>
      <c r="UAT34" s="15"/>
      <c r="UAZ34" s="25"/>
      <c r="UBG34" s="21"/>
      <c r="UBH34" s="21"/>
      <c r="UBL34" s="15"/>
      <c r="UBR34" s="25"/>
      <c r="UBY34" s="21"/>
      <c r="UBZ34" s="21"/>
      <c r="UCD34" s="15"/>
      <c r="UCJ34" s="25"/>
      <c r="UCQ34" s="21"/>
      <c r="UCR34" s="21"/>
      <c r="UCV34" s="15"/>
      <c r="UDB34" s="25"/>
      <c r="UDI34" s="21"/>
      <c r="UDJ34" s="21"/>
      <c r="UDN34" s="15"/>
      <c r="UDT34" s="25"/>
      <c r="UEA34" s="21"/>
      <c r="UEB34" s="21"/>
      <c r="UEF34" s="15"/>
      <c r="UEL34" s="25"/>
      <c r="UES34" s="21"/>
      <c r="UET34" s="21"/>
      <c r="UEX34" s="15"/>
      <c r="UFD34" s="25"/>
      <c r="UFK34" s="21"/>
      <c r="UFL34" s="21"/>
      <c r="UFP34" s="15"/>
      <c r="UFV34" s="25"/>
      <c r="UGC34" s="21"/>
      <c r="UGD34" s="21"/>
      <c r="UGH34" s="15"/>
      <c r="UGN34" s="25"/>
      <c r="UGU34" s="21"/>
      <c r="UGV34" s="21"/>
      <c r="UGZ34" s="15"/>
      <c r="UHF34" s="25"/>
      <c r="UHM34" s="21"/>
      <c r="UHN34" s="21"/>
      <c r="UHR34" s="15"/>
      <c r="UHX34" s="25"/>
      <c r="UIE34" s="21"/>
      <c r="UIF34" s="21"/>
      <c r="UIJ34" s="15"/>
      <c r="UIP34" s="25"/>
      <c r="UIW34" s="21"/>
      <c r="UIX34" s="21"/>
      <c r="UJB34" s="15"/>
      <c r="UJH34" s="25"/>
      <c r="UJO34" s="21"/>
      <c r="UJP34" s="21"/>
      <c r="UJT34" s="15"/>
      <c r="UJZ34" s="25"/>
      <c r="UKG34" s="21"/>
      <c r="UKH34" s="21"/>
      <c r="UKL34" s="15"/>
      <c r="UKR34" s="25"/>
      <c r="UKY34" s="21"/>
      <c r="UKZ34" s="21"/>
      <c r="ULD34" s="15"/>
      <c r="ULJ34" s="25"/>
      <c r="ULQ34" s="21"/>
      <c r="ULR34" s="21"/>
      <c r="ULV34" s="15"/>
      <c r="UMB34" s="25"/>
      <c r="UMI34" s="21"/>
      <c r="UMJ34" s="21"/>
      <c r="UMN34" s="15"/>
      <c r="UMT34" s="25"/>
      <c r="UNA34" s="21"/>
      <c r="UNB34" s="21"/>
      <c r="UNF34" s="15"/>
      <c r="UNL34" s="25"/>
      <c r="UNS34" s="21"/>
      <c r="UNT34" s="21"/>
      <c r="UNX34" s="15"/>
      <c r="UOD34" s="25"/>
      <c r="UOK34" s="21"/>
      <c r="UOL34" s="21"/>
      <c r="UOP34" s="15"/>
      <c r="UOV34" s="25"/>
      <c r="UPC34" s="21"/>
      <c r="UPD34" s="21"/>
      <c r="UPH34" s="15"/>
      <c r="UPN34" s="25"/>
      <c r="UPU34" s="21"/>
      <c r="UPV34" s="21"/>
      <c r="UPZ34" s="15"/>
      <c r="UQF34" s="25"/>
      <c r="UQM34" s="21"/>
      <c r="UQN34" s="21"/>
      <c r="UQR34" s="15"/>
      <c r="UQX34" s="25"/>
      <c r="URE34" s="21"/>
      <c r="URF34" s="21"/>
      <c r="URJ34" s="15"/>
      <c r="URP34" s="25"/>
      <c r="URW34" s="21"/>
      <c r="URX34" s="21"/>
      <c r="USB34" s="15"/>
      <c r="USH34" s="25"/>
      <c r="USO34" s="21"/>
      <c r="USP34" s="21"/>
      <c r="UST34" s="15"/>
      <c r="USZ34" s="25"/>
      <c r="UTG34" s="21"/>
      <c r="UTH34" s="21"/>
      <c r="UTL34" s="15"/>
      <c r="UTR34" s="25"/>
      <c r="UTY34" s="21"/>
      <c r="UTZ34" s="21"/>
      <c r="UUD34" s="15"/>
      <c r="UUJ34" s="25"/>
      <c r="UUQ34" s="21"/>
      <c r="UUR34" s="21"/>
      <c r="UUV34" s="15"/>
      <c r="UVB34" s="25"/>
      <c r="UVI34" s="21"/>
      <c r="UVJ34" s="21"/>
      <c r="UVN34" s="15"/>
      <c r="UVT34" s="25"/>
      <c r="UWA34" s="21"/>
      <c r="UWB34" s="21"/>
      <c r="UWF34" s="15"/>
      <c r="UWL34" s="25"/>
      <c r="UWS34" s="21"/>
      <c r="UWT34" s="21"/>
      <c r="UWX34" s="15"/>
      <c r="UXD34" s="25"/>
      <c r="UXK34" s="21"/>
      <c r="UXL34" s="21"/>
      <c r="UXP34" s="15"/>
      <c r="UXV34" s="25"/>
      <c r="UYC34" s="21"/>
      <c r="UYD34" s="21"/>
      <c r="UYH34" s="15"/>
      <c r="UYN34" s="25"/>
      <c r="UYU34" s="21"/>
      <c r="UYV34" s="21"/>
      <c r="UYZ34" s="15"/>
      <c r="UZF34" s="25"/>
      <c r="UZM34" s="21"/>
      <c r="UZN34" s="21"/>
      <c r="UZR34" s="15"/>
      <c r="UZX34" s="25"/>
      <c r="VAE34" s="21"/>
      <c r="VAF34" s="21"/>
      <c r="VAJ34" s="15"/>
      <c r="VAP34" s="25"/>
      <c r="VAW34" s="21"/>
      <c r="VAX34" s="21"/>
      <c r="VBB34" s="15"/>
      <c r="VBH34" s="25"/>
      <c r="VBO34" s="21"/>
      <c r="VBP34" s="21"/>
      <c r="VBT34" s="15"/>
      <c r="VBZ34" s="25"/>
      <c r="VCG34" s="21"/>
      <c r="VCH34" s="21"/>
      <c r="VCL34" s="15"/>
      <c r="VCR34" s="25"/>
      <c r="VCY34" s="21"/>
      <c r="VCZ34" s="21"/>
      <c r="VDD34" s="15"/>
      <c r="VDJ34" s="25"/>
      <c r="VDQ34" s="21"/>
      <c r="VDR34" s="21"/>
      <c r="VDV34" s="15"/>
      <c r="VEB34" s="25"/>
      <c r="VEI34" s="21"/>
      <c r="VEJ34" s="21"/>
      <c r="VEN34" s="15"/>
      <c r="VET34" s="25"/>
      <c r="VFA34" s="21"/>
      <c r="VFB34" s="21"/>
      <c r="VFF34" s="15"/>
      <c r="VFL34" s="25"/>
      <c r="VFS34" s="21"/>
      <c r="VFT34" s="21"/>
      <c r="VFX34" s="15"/>
      <c r="VGD34" s="25"/>
      <c r="VGK34" s="21"/>
      <c r="VGL34" s="21"/>
      <c r="VGP34" s="15"/>
      <c r="VGV34" s="25"/>
      <c r="VHC34" s="21"/>
      <c r="VHD34" s="21"/>
      <c r="VHH34" s="15"/>
      <c r="VHN34" s="25"/>
      <c r="VHU34" s="21"/>
      <c r="VHV34" s="21"/>
      <c r="VHZ34" s="15"/>
      <c r="VIF34" s="25"/>
      <c r="VIM34" s="21"/>
      <c r="VIN34" s="21"/>
      <c r="VIR34" s="15"/>
      <c r="VIX34" s="25"/>
      <c r="VJE34" s="21"/>
      <c r="VJF34" s="21"/>
      <c r="VJJ34" s="15"/>
      <c r="VJP34" s="25"/>
      <c r="VJW34" s="21"/>
      <c r="VJX34" s="21"/>
      <c r="VKB34" s="15"/>
      <c r="VKH34" s="25"/>
      <c r="VKO34" s="21"/>
      <c r="VKP34" s="21"/>
      <c r="VKT34" s="15"/>
      <c r="VKZ34" s="25"/>
      <c r="VLG34" s="21"/>
      <c r="VLH34" s="21"/>
      <c r="VLL34" s="15"/>
      <c r="VLR34" s="25"/>
      <c r="VLY34" s="21"/>
      <c r="VLZ34" s="21"/>
      <c r="VMD34" s="15"/>
      <c r="VMJ34" s="25"/>
      <c r="VMQ34" s="21"/>
      <c r="VMR34" s="21"/>
      <c r="VMV34" s="15"/>
      <c r="VNB34" s="25"/>
      <c r="VNI34" s="21"/>
      <c r="VNJ34" s="21"/>
      <c r="VNN34" s="15"/>
      <c r="VNT34" s="25"/>
      <c r="VOA34" s="21"/>
      <c r="VOB34" s="21"/>
      <c r="VOF34" s="15"/>
      <c r="VOL34" s="25"/>
      <c r="VOS34" s="21"/>
      <c r="VOT34" s="21"/>
      <c r="VOX34" s="15"/>
      <c r="VPD34" s="25"/>
      <c r="VPK34" s="21"/>
      <c r="VPL34" s="21"/>
      <c r="VPP34" s="15"/>
      <c r="VPV34" s="25"/>
      <c r="VQC34" s="21"/>
      <c r="VQD34" s="21"/>
      <c r="VQH34" s="15"/>
      <c r="VQN34" s="25"/>
      <c r="VQU34" s="21"/>
      <c r="VQV34" s="21"/>
      <c r="VQZ34" s="15"/>
      <c r="VRF34" s="25"/>
      <c r="VRM34" s="21"/>
      <c r="VRN34" s="21"/>
      <c r="VRR34" s="15"/>
      <c r="VRX34" s="25"/>
      <c r="VSE34" s="21"/>
      <c r="VSF34" s="21"/>
      <c r="VSJ34" s="15"/>
      <c r="VSP34" s="25"/>
      <c r="VSW34" s="21"/>
      <c r="VSX34" s="21"/>
      <c r="VTB34" s="15"/>
      <c r="VTH34" s="25"/>
      <c r="VTO34" s="21"/>
      <c r="VTP34" s="21"/>
      <c r="VTT34" s="15"/>
      <c r="VTZ34" s="25"/>
      <c r="VUG34" s="21"/>
      <c r="VUH34" s="21"/>
      <c r="VUL34" s="15"/>
      <c r="VUR34" s="25"/>
      <c r="VUY34" s="21"/>
      <c r="VUZ34" s="21"/>
      <c r="VVD34" s="15"/>
      <c r="VVJ34" s="25"/>
      <c r="VVQ34" s="21"/>
      <c r="VVR34" s="21"/>
      <c r="VVV34" s="15"/>
      <c r="VWB34" s="25"/>
      <c r="VWI34" s="21"/>
      <c r="VWJ34" s="21"/>
      <c r="VWN34" s="15"/>
      <c r="VWT34" s="25"/>
      <c r="VXA34" s="21"/>
      <c r="VXB34" s="21"/>
      <c r="VXF34" s="15"/>
      <c r="VXL34" s="25"/>
      <c r="VXS34" s="21"/>
      <c r="VXT34" s="21"/>
      <c r="VXX34" s="15"/>
      <c r="VYD34" s="25"/>
      <c r="VYK34" s="21"/>
      <c r="VYL34" s="21"/>
      <c r="VYP34" s="15"/>
      <c r="VYV34" s="25"/>
      <c r="VZC34" s="21"/>
      <c r="VZD34" s="21"/>
      <c r="VZH34" s="15"/>
      <c r="VZN34" s="25"/>
      <c r="VZU34" s="21"/>
      <c r="VZV34" s="21"/>
      <c r="VZZ34" s="15"/>
      <c r="WAF34" s="25"/>
      <c r="WAM34" s="21"/>
      <c r="WAN34" s="21"/>
      <c r="WAR34" s="15"/>
      <c r="WAX34" s="25"/>
      <c r="WBE34" s="21"/>
      <c r="WBF34" s="21"/>
      <c r="WBJ34" s="15"/>
      <c r="WBP34" s="25"/>
      <c r="WBW34" s="21"/>
      <c r="WBX34" s="21"/>
      <c r="WCB34" s="15"/>
      <c r="WCH34" s="25"/>
      <c r="WCO34" s="21"/>
      <c r="WCP34" s="21"/>
      <c r="WCT34" s="15"/>
      <c r="WCZ34" s="25"/>
      <c r="WDG34" s="21"/>
      <c r="WDH34" s="21"/>
      <c r="WDL34" s="15"/>
      <c r="WDR34" s="25"/>
      <c r="WDY34" s="21"/>
      <c r="WDZ34" s="21"/>
      <c r="WED34" s="15"/>
      <c r="WEJ34" s="25"/>
      <c r="WEQ34" s="21"/>
      <c r="WER34" s="21"/>
      <c r="WEV34" s="15"/>
      <c r="WFB34" s="25"/>
      <c r="WFI34" s="21"/>
      <c r="WFJ34" s="21"/>
      <c r="WFN34" s="15"/>
      <c r="WFT34" s="25"/>
      <c r="WGA34" s="21"/>
      <c r="WGB34" s="21"/>
      <c r="WGF34" s="15"/>
      <c r="WGL34" s="25"/>
      <c r="WGS34" s="21"/>
      <c r="WGT34" s="21"/>
      <c r="WGX34" s="15"/>
      <c r="WHD34" s="25"/>
      <c r="WHK34" s="21"/>
      <c r="WHL34" s="21"/>
      <c r="WHP34" s="15"/>
      <c r="WHV34" s="25"/>
      <c r="WIC34" s="21"/>
      <c r="WID34" s="21"/>
      <c r="WIH34" s="15"/>
      <c r="WIN34" s="25"/>
      <c r="WIU34" s="21"/>
      <c r="WIV34" s="21"/>
      <c r="WIZ34" s="15"/>
      <c r="WJF34" s="25"/>
      <c r="WJM34" s="21"/>
      <c r="WJN34" s="21"/>
      <c r="WJR34" s="15"/>
      <c r="WJX34" s="25"/>
      <c r="WKE34" s="21"/>
      <c r="WKF34" s="21"/>
      <c r="WKJ34" s="15"/>
      <c r="WKP34" s="25"/>
      <c r="WKW34" s="21"/>
      <c r="WKX34" s="21"/>
      <c r="WLB34" s="15"/>
      <c r="WLH34" s="25"/>
      <c r="WLO34" s="21"/>
      <c r="WLP34" s="21"/>
      <c r="WLT34" s="15"/>
      <c r="WLZ34" s="25"/>
      <c r="WMG34" s="21"/>
      <c r="WMH34" s="21"/>
      <c r="WML34" s="15"/>
      <c r="WMR34" s="25"/>
      <c r="WMY34" s="21"/>
      <c r="WMZ34" s="21"/>
      <c r="WND34" s="15"/>
      <c r="WNJ34" s="25"/>
      <c r="WNQ34" s="21"/>
      <c r="WNR34" s="21"/>
      <c r="WNV34" s="15"/>
      <c r="WOB34" s="25"/>
      <c r="WOI34" s="21"/>
      <c r="WOJ34" s="21"/>
      <c r="WON34" s="15"/>
      <c r="WOT34" s="25"/>
      <c r="WPA34" s="21"/>
      <c r="WPB34" s="21"/>
      <c r="WPF34" s="15"/>
      <c r="WPL34" s="25"/>
      <c r="WPS34" s="21"/>
      <c r="WPT34" s="21"/>
      <c r="WPX34" s="15"/>
      <c r="WQD34" s="25"/>
      <c r="WQK34" s="21"/>
      <c r="WQL34" s="21"/>
      <c r="WQP34" s="15"/>
      <c r="WQV34" s="25"/>
      <c r="WRC34" s="21"/>
      <c r="WRD34" s="21"/>
      <c r="WRH34" s="15"/>
      <c r="WRN34" s="25"/>
      <c r="WRU34" s="21"/>
      <c r="WRV34" s="21"/>
      <c r="WRZ34" s="15"/>
      <c r="WSF34" s="25"/>
      <c r="WSM34" s="21"/>
      <c r="WSN34" s="21"/>
      <c r="WSR34" s="15"/>
      <c r="WSX34" s="25"/>
      <c r="WTE34" s="21"/>
      <c r="WTF34" s="21"/>
      <c r="WTJ34" s="15"/>
      <c r="WTP34" s="25"/>
      <c r="WTW34" s="21"/>
      <c r="WTX34" s="21"/>
      <c r="WUB34" s="15"/>
      <c r="WUH34" s="25"/>
      <c r="WUO34" s="21"/>
      <c r="WUP34" s="21"/>
      <c r="WUT34" s="15"/>
      <c r="WUZ34" s="25"/>
      <c r="WVG34" s="21"/>
      <c r="WVH34" s="21"/>
      <c r="WVL34" s="15"/>
      <c r="WVR34" s="25"/>
      <c r="WVY34" s="21"/>
      <c r="WVZ34" s="21"/>
      <c r="WWD34" s="15"/>
      <c r="WWJ34" s="25"/>
      <c r="WWQ34" s="21"/>
      <c r="WWR34" s="21"/>
      <c r="WWV34" s="15"/>
      <c r="WXB34" s="25"/>
      <c r="WXI34" s="21"/>
      <c r="WXJ34" s="21"/>
      <c r="WXN34" s="15"/>
      <c r="WXT34" s="25"/>
      <c r="WYA34" s="21"/>
      <c r="WYB34" s="21"/>
      <c r="WYF34" s="15"/>
      <c r="WYL34" s="25"/>
      <c r="WYS34" s="21"/>
      <c r="WYT34" s="21"/>
      <c r="WYX34" s="15"/>
      <c r="WZD34" s="25"/>
      <c r="WZK34" s="21"/>
      <c r="WZL34" s="21"/>
      <c r="WZP34" s="15"/>
      <c r="WZV34" s="25"/>
      <c r="XAC34" s="21"/>
      <c r="XAD34" s="21"/>
      <c r="XAH34" s="15"/>
      <c r="XAN34" s="25"/>
      <c r="XAU34" s="21"/>
      <c r="XAV34" s="21"/>
      <c r="XAZ34" s="15"/>
      <c r="XBF34" s="25"/>
      <c r="XBM34" s="21"/>
      <c r="XBN34" s="21"/>
      <c r="XBR34" s="15"/>
      <c r="XBX34" s="25"/>
      <c r="XCE34" s="21"/>
      <c r="XCF34" s="21"/>
      <c r="XCJ34" s="15"/>
      <c r="XCP34" s="25"/>
      <c r="XCW34" s="21"/>
      <c r="XCX34" s="21"/>
      <c r="XDB34" s="15"/>
      <c r="XDH34" s="25"/>
      <c r="XDO34" s="21"/>
      <c r="XDP34" s="21"/>
      <c r="XDT34" s="15"/>
      <c r="XDZ34" s="25"/>
      <c r="XEG34" s="21"/>
      <c r="XEH34" s="21"/>
      <c r="XEL34" s="15"/>
      <c r="XER34" s="25"/>
      <c r="XEY34" s="21"/>
      <c r="XEZ34" s="21"/>
      <c r="XFD34" s="15"/>
    </row>
    <row r="35" spans="1:1018 1025:2044 2051:3070 3077:4096 4103:5116 5122:6142 6148:7168 7174:8190 8194:9216 9220:10234 10241:11260 11267:12286 12293:13312 13319:14332 14338:15358 15364:16384" s="24" customFormat="1">
      <c r="A35" s="21" t="s">
        <v>119</v>
      </c>
      <c r="B35" s="12">
        <v>2010</v>
      </c>
      <c r="C35" s="19" t="s">
        <v>101</v>
      </c>
      <c r="D35" s="22" t="s">
        <v>86</v>
      </c>
      <c r="E35" s="43" t="s">
        <v>117</v>
      </c>
      <c r="F35" s="19" t="s">
        <v>41</v>
      </c>
      <c r="G35" s="44">
        <v>3676246858.7772026</v>
      </c>
      <c r="H35" s="44">
        <v>1056689895.4541755</v>
      </c>
      <c r="I35" s="12">
        <v>20</v>
      </c>
      <c r="J35" s="23" t="s">
        <v>120</v>
      </c>
      <c r="K35" s="22"/>
      <c r="L35" s="22"/>
      <c r="M35" s="22"/>
      <c r="N35" s="12"/>
      <c r="O35" s="22"/>
      <c r="P35" s="12"/>
      <c r="Q35" s="22"/>
      <c r="R35" s="22"/>
      <c r="V35" s="15"/>
      <c r="AB35" s="25"/>
      <c r="AI35" s="21"/>
      <c r="AJ35" s="21"/>
      <c r="AN35" s="15"/>
      <c r="AT35" s="25"/>
      <c r="BA35" s="21"/>
      <c r="BB35" s="21"/>
      <c r="BF35" s="15"/>
      <c r="BL35" s="25"/>
      <c r="BS35" s="21"/>
      <c r="BT35" s="21"/>
      <c r="BX35" s="15"/>
      <c r="CD35" s="25"/>
      <c r="CK35" s="21"/>
      <c r="CL35" s="21"/>
      <c r="CP35" s="15"/>
      <c r="CV35" s="25"/>
      <c r="DC35" s="21"/>
      <c r="DD35" s="21"/>
      <c r="DH35" s="15"/>
      <c r="DN35" s="25"/>
      <c r="DU35" s="21"/>
      <c r="DV35" s="21"/>
      <c r="DZ35" s="15"/>
      <c r="EF35" s="25"/>
      <c r="EM35" s="21"/>
      <c r="EN35" s="21"/>
      <c r="ER35" s="15"/>
      <c r="EX35" s="25"/>
      <c r="FE35" s="21"/>
      <c r="FF35" s="21"/>
      <c r="FJ35" s="15"/>
      <c r="FP35" s="25"/>
      <c r="FW35" s="21"/>
      <c r="FX35" s="21"/>
      <c r="GB35" s="15"/>
      <c r="GH35" s="25"/>
      <c r="GO35" s="21"/>
      <c r="GP35" s="21"/>
      <c r="GT35" s="15"/>
      <c r="GZ35" s="25"/>
      <c r="HG35" s="21"/>
      <c r="HH35" s="21"/>
      <c r="HL35" s="15"/>
      <c r="HR35" s="25"/>
      <c r="HY35" s="21"/>
      <c r="HZ35" s="21"/>
      <c r="ID35" s="15"/>
      <c r="IJ35" s="25"/>
      <c r="IQ35" s="21"/>
      <c r="IR35" s="21"/>
      <c r="IV35" s="15"/>
      <c r="JB35" s="25"/>
      <c r="JI35" s="21"/>
      <c r="JJ35" s="21"/>
      <c r="JN35" s="15"/>
      <c r="JT35" s="25"/>
      <c r="KA35" s="21"/>
      <c r="KB35" s="21"/>
      <c r="KF35" s="15"/>
      <c r="KL35" s="25"/>
      <c r="KS35" s="21"/>
      <c r="KT35" s="21"/>
      <c r="KX35" s="15"/>
      <c r="LD35" s="25"/>
      <c r="LK35" s="21"/>
      <c r="LL35" s="21"/>
      <c r="LP35" s="15"/>
      <c r="LV35" s="25"/>
      <c r="MC35" s="21"/>
      <c r="MD35" s="21"/>
      <c r="MH35" s="15"/>
      <c r="MN35" s="25"/>
      <c r="MU35" s="21"/>
      <c r="MV35" s="21"/>
      <c r="MZ35" s="15"/>
      <c r="NF35" s="25"/>
      <c r="NM35" s="21"/>
      <c r="NN35" s="21"/>
      <c r="NR35" s="15"/>
      <c r="NX35" s="25"/>
      <c r="OE35" s="21"/>
      <c r="OF35" s="21"/>
      <c r="OJ35" s="15"/>
      <c r="OP35" s="25"/>
      <c r="OW35" s="21"/>
      <c r="OX35" s="21"/>
      <c r="PB35" s="15"/>
      <c r="PH35" s="25"/>
      <c r="PO35" s="21"/>
      <c r="PP35" s="21"/>
      <c r="PT35" s="15"/>
      <c r="PZ35" s="25"/>
      <c r="QG35" s="21"/>
      <c r="QH35" s="21"/>
      <c r="QL35" s="15"/>
      <c r="QR35" s="25"/>
      <c r="QY35" s="21"/>
      <c r="QZ35" s="21"/>
      <c r="RD35" s="15"/>
      <c r="RJ35" s="25"/>
      <c r="RQ35" s="21"/>
      <c r="RR35" s="21"/>
      <c r="RV35" s="15"/>
      <c r="SB35" s="25"/>
      <c r="SI35" s="21"/>
      <c r="SJ35" s="21"/>
      <c r="SN35" s="15"/>
      <c r="ST35" s="25"/>
      <c r="TA35" s="21"/>
      <c r="TB35" s="21"/>
      <c r="TF35" s="15"/>
      <c r="TL35" s="25"/>
      <c r="TS35" s="21"/>
      <c r="TT35" s="21"/>
      <c r="TX35" s="15"/>
      <c r="UD35" s="25"/>
      <c r="UK35" s="21"/>
      <c r="UL35" s="21"/>
      <c r="UP35" s="15"/>
      <c r="UV35" s="25"/>
      <c r="VC35" s="21"/>
      <c r="VD35" s="21"/>
      <c r="VH35" s="15"/>
      <c r="VN35" s="25"/>
      <c r="VU35" s="21"/>
      <c r="VV35" s="21"/>
      <c r="VZ35" s="15"/>
      <c r="WF35" s="25"/>
      <c r="WM35" s="21"/>
      <c r="WN35" s="21"/>
      <c r="WR35" s="15"/>
      <c r="WX35" s="25"/>
      <c r="XE35" s="21"/>
      <c r="XF35" s="21"/>
      <c r="XJ35" s="15"/>
      <c r="XP35" s="25"/>
      <c r="XW35" s="21"/>
      <c r="XX35" s="21"/>
      <c r="YB35" s="15"/>
      <c r="YH35" s="25"/>
      <c r="YO35" s="21"/>
      <c r="YP35" s="21"/>
      <c r="YT35" s="15"/>
      <c r="YZ35" s="25"/>
      <c r="ZG35" s="21"/>
      <c r="ZH35" s="21"/>
      <c r="ZL35" s="15"/>
      <c r="ZR35" s="25"/>
      <c r="ZY35" s="21"/>
      <c r="ZZ35" s="21"/>
      <c r="AAD35" s="15"/>
      <c r="AAJ35" s="25"/>
      <c r="AAQ35" s="21"/>
      <c r="AAR35" s="21"/>
      <c r="AAV35" s="15"/>
      <c r="ABB35" s="25"/>
      <c r="ABI35" s="21"/>
      <c r="ABJ35" s="21"/>
      <c r="ABN35" s="15"/>
      <c r="ABT35" s="25"/>
      <c r="ACA35" s="21"/>
      <c r="ACB35" s="21"/>
      <c r="ACF35" s="15"/>
      <c r="ACL35" s="25"/>
      <c r="ACS35" s="21"/>
      <c r="ACT35" s="21"/>
      <c r="ACX35" s="15"/>
      <c r="ADD35" s="25"/>
      <c r="ADK35" s="21"/>
      <c r="ADL35" s="21"/>
      <c r="ADP35" s="15"/>
      <c r="ADV35" s="25"/>
      <c r="AEC35" s="21"/>
      <c r="AED35" s="21"/>
      <c r="AEH35" s="15"/>
      <c r="AEN35" s="25"/>
      <c r="AEU35" s="21"/>
      <c r="AEV35" s="21"/>
      <c r="AEZ35" s="15"/>
      <c r="AFF35" s="25"/>
      <c r="AFM35" s="21"/>
      <c r="AFN35" s="21"/>
      <c r="AFR35" s="15"/>
      <c r="AFX35" s="25"/>
      <c r="AGE35" s="21"/>
      <c r="AGF35" s="21"/>
      <c r="AGJ35" s="15"/>
      <c r="AGP35" s="25"/>
      <c r="AGW35" s="21"/>
      <c r="AGX35" s="21"/>
      <c r="AHB35" s="15"/>
      <c r="AHH35" s="25"/>
      <c r="AHO35" s="21"/>
      <c r="AHP35" s="21"/>
      <c r="AHT35" s="15"/>
      <c r="AHZ35" s="25"/>
      <c r="AIG35" s="21"/>
      <c r="AIH35" s="21"/>
      <c r="AIL35" s="15"/>
      <c r="AIR35" s="25"/>
      <c r="AIY35" s="21"/>
      <c r="AIZ35" s="21"/>
      <c r="AJD35" s="15"/>
      <c r="AJJ35" s="25"/>
      <c r="AJQ35" s="21"/>
      <c r="AJR35" s="21"/>
      <c r="AJV35" s="15"/>
      <c r="AKB35" s="25"/>
      <c r="AKI35" s="21"/>
      <c r="AKJ35" s="21"/>
      <c r="AKN35" s="15"/>
      <c r="AKT35" s="25"/>
      <c r="ALA35" s="21"/>
      <c r="ALB35" s="21"/>
      <c r="ALF35" s="15"/>
      <c r="ALL35" s="25"/>
      <c r="ALS35" s="21"/>
      <c r="ALT35" s="21"/>
      <c r="ALX35" s="15"/>
      <c r="AMD35" s="25"/>
      <c r="AMK35" s="21"/>
      <c r="AML35" s="21"/>
      <c r="AMP35" s="15"/>
      <c r="AMV35" s="25"/>
      <c r="ANC35" s="21"/>
      <c r="AND35" s="21"/>
      <c r="ANH35" s="15"/>
      <c r="ANN35" s="25"/>
      <c r="ANU35" s="21"/>
      <c r="ANV35" s="21"/>
      <c r="ANZ35" s="15"/>
      <c r="AOF35" s="25"/>
      <c r="AOM35" s="21"/>
      <c r="AON35" s="21"/>
      <c r="AOR35" s="15"/>
      <c r="AOX35" s="25"/>
      <c r="APE35" s="21"/>
      <c r="APF35" s="21"/>
      <c r="APJ35" s="15"/>
      <c r="APP35" s="25"/>
      <c r="APW35" s="21"/>
      <c r="APX35" s="21"/>
      <c r="AQB35" s="15"/>
      <c r="AQH35" s="25"/>
      <c r="AQO35" s="21"/>
      <c r="AQP35" s="21"/>
      <c r="AQT35" s="15"/>
      <c r="AQZ35" s="25"/>
      <c r="ARG35" s="21"/>
      <c r="ARH35" s="21"/>
      <c r="ARL35" s="15"/>
      <c r="ARR35" s="25"/>
      <c r="ARY35" s="21"/>
      <c r="ARZ35" s="21"/>
      <c r="ASD35" s="15"/>
      <c r="ASJ35" s="25"/>
      <c r="ASQ35" s="21"/>
      <c r="ASR35" s="21"/>
      <c r="ASV35" s="15"/>
      <c r="ATB35" s="25"/>
      <c r="ATI35" s="21"/>
      <c r="ATJ35" s="21"/>
      <c r="ATN35" s="15"/>
      <c r="ATT35" s="25"/>
      <c r="AUA35" s="21"/>
      <c r="AUB35" s="21"/>
      <c r="AUF35" s="15"/>
      <c r="AUL35" s="25"/>
      <c r="AUS35" s="21"/>
      <c r="AUT35" s="21"/>
      <c r="AUX35" s="15"/>
      <c r="AVD35" s="25"/>
      <c r="AVK35" s="21"/>
      <c r="AVL35" s="21"/>
      <c r="AVP35" s="15"/>
      <c r="AVV35" s="25"/>
      <c r="AWC35" s="21"/>
      <c r="AWD35" s="21"/>
      <c r="AWH35" s="15"/>
      <c r="AWN35" s="25"/>
      <c r="AWU35" s="21"/>
      <c r="AWV35" s="21"/>
      <c r="AWZ35" s="15"/>
      <c r="AXF35" s="25"/>
      <c r="AXM35" s="21"/>
      <c r="AXN35" s="21"/>
      <c r="AXR35" s="15"/>
      <c r="AXX35" s="25"/>
      <c r="AYE35" s="21"/>
      <c r="AYF35" s="21"/>
      <c r="AYJ35" s="15"/>
      <c r="AYP35" s="25"/>
      <c r="AYW35" s="21"/>
      <c r="AYX35" s="21"/>
      <c r="AZB35" s="15"/>
      <c r="AZH35" s="25"/>
      <c r="AZO35" s="21"/>
      <c r="AZP35" s="21"/>
      <c r="AZT35" s="15"/>
      <c r="AZZ35" s="25"/>
      <c r="BAG35" s="21"/>
      <c r="BAH35" s="21"/>
      <c r="BAL35" s="15"/>
      <c r="BAR35" s="25"/>
      <c r="BAY35" s="21"/>
      <c r="BAZ35" s="21"/>
      <c r="BBD35" s="15"/>
      <c r="BBJ35" s="25"/>
      <c r="BBQ35" s="21"/>
      <c r="BBR35" s="21"/>
      <c r="BBV35" s="15"/>
      <c r="BCB35" s="25"/>
      <c r="BCI35" s="21"/>
      <c r="BCJ35" s="21"/>
      <c r="BCN35" s="15"/>
      <c r="BCT35" s="25"/>
      <c r="BDA35" s="21"/>
      <c r="BDB35" s="21"/>
      <c r="BDF35" s="15"/>
      <c r="BDL35" s="25"/>
      <c r="BDS35" s="21"/>
      <c r="BDT35" s="21"/>
      <c r="BDX35" s="15"/>
      <c r="BED35" s="25"/>
      <c r="BEK35" s="21"/>
      <c r="BEL35" s="21"/>
      <c r="BEP35" s="15"/>
      <c r="BEV35" s="25"/>
      <c r="BFC35" s="21"/>
      <c r="BFD35" s="21"/>
      <c r="BFH35" s="15"/>
      <c r="BFN35" s="25"/>
      <c r="BFU35" s="21"/>
      <c r="BFV35" s="21"/>
      <c r="BFZ35" s="15"/>
      <c r="BGF35" s="25"/>
      <c r="BGM35" s="21"/>
      <c r="BGN35" s="21"/>
      <c r="BGR35" s="15"/>
      <c r="BGX35" s="25"/>
      <c r="BHE35" s="21"/>
      <c r="BHF35" s="21"/>
      <c r="BHJ35" s="15"/>
      <c r="BHP35" s="25"/>
      <c r="BHW35" s="21"/>
      <c r="BHX35" s="21"/>
      <c r="BIB35" s="15"/>
      <c r="BIH35" s="25"/>
      <c r="BIO35" s="21"/>
      <c r="BIP35" s="21"/>
      <c r="BIT35" s="15"/>
      <c r="BIZ35" s="25"/>
      <c r="BJG35" s="21"/>
      <c r="BJH35" s="21"/>
      <c r="BJL35" s="15"/>
      <c r="BJR35" s="25"/>
      <c r="BJY35" s="21"/>
      <c r="BJZ35" s="21"/>
      <c r="BKD35" s="15"/>
      <c r="BKJ35" s="25"/>
      <c r="BKQ35" s="21"/>
      <c r="BKR35" s="21"/>
      <c r="BKV35" s="15"/>
      <c r="BLB35" s="25"/>
      <c r="BLI35" s="21"/>
      <c r="BLJ35" s="21"/>
      <c r="BLN35" s="15"/>
      <c r="BLT35" s="25"/>
      <c r="BMA35" s="21"/>
      <c r="BMB35" s="21"/>
      <c r="BMF35" s="15"/>
      <c r="BML35" s="25"/>
      <c r="BMS35" s="21"/>
      <c r="BMT35" s="21"/>
      <c r="BMX35" s="15"/>
      <c r="BND35" s="25"/>
      <c r="BNK35" s="21"/>
      <c r="BNL35" s="21"/>
      <c r="BNP35" s="15"/>
      <c r="BNV35" s="25"/>
      <c r="BOC35" s="21"/>
      <c r="BOD35" s="21"/>
      <c r="BOH35" s="15"/>
      <c r="BON35" s="25"/>
      <c r="BOU35" s="21"/>
      <c r="BOV35" s="21"/>
      <c r="BOZ35" s="15"/>
      <c r="BPF35" s="25"/>
      <c r="BPM35" s="21"/>
      <c r="BPN35" s="21"/>
      <c r="BPR35" s="15"/>
      <c r="BPX35" s="25"/>
      <c r="BQE35" s="21"/>
      <c r="BQF35" s="21"/>
      <c r="BQJ35" s="15"/>
      <c r="BQP35" s="25"/>
      <c r="BQW35" s="21"/>
      <c r="BQX35" s="21"/>
      <c r="BRB35" s="15"/>
      <c r="BRH35" s="25"/>
      <c r="BRO35" s="21"/>
      <c r="BRP35" s="21"/>
      <c r="BRT35" s="15"/>
      <c r="BRZ35" s="25"/>
      <c r="BSG35" s="21"/>
      <c r="BSH35" s="21"/>
      <c r="BSL35" s="15"/>
      <c r="BSR35" s="25"/>
      <c r="BSY35" s="21"/>
      <c r="BSZ35" s="21"/>
      <c r="BTD35" s="15"/>
      <c r="BTJ35" s="25"/>
      <c r="BTQ35" s="21"/>
      <c r="BTR35" s="21"/>
      <c r="BTV35" s="15"/>
      <c r="BUB35" s="25"/>
      <c r="BUI35" s="21"/>
      <c r="BUJ35" s="21"/>
      <c r="BUN35" s="15"/>
      <c r="BUT35" s="25"/>
      <c r="BVA35" s="21"/>
      <c r="BVB35" s="21"/>
      <c r="BVF35" s="15"/>
      <c r="BVL35" s="25"/>
      <c r="BVS35" s="21"/>
      <c r="BVT35" s="21"/>
      <c r="BVX35" s="15"/>
      <c r="BWD35" s="25"/>
      <c r="BWK35" s="21"/>
      <c r="BWL35" s="21"/>
      <c r="BWP35" s="15"/>
      <c r="BWV35" s="25"/>
      <c r="BXC35" s="21"/>
      <c r="BXD35" s="21"/>
      <c r="BXH35" s="15"/>
      <c r="BXN35" s="25"/>
      <c r="BXU35" s="21"/>
      <c r="BXV35" s="21"/>
      <c r="BXZ35" s="15"/>
      <c r="BYF35" s="25"/>
      <c r="BYM35" s="21"/>
      <c r="BYN35" s="21"/>
      <c r="BYR35" s="15"/>
      <c r="BYX35" s="25"/>
      <c r="BZE35" s="21"/>
      <c r="BZF35" s="21"/>
      <c r="BZJ35" s="15"/>
      <c r="BZP35" s="25"/>
      <c r="BZW35" s="21"/>
      <c r="BZX35" s="21"/>
      <c r="CAB35" s="15"/>
      <c r="CAH35" s="25"/>
      <c r="CAO35" s="21"/>
      <c r="CAP35" s="21"/>
      <c r="CAT35" s="15"/>
      <c r="CAZ35" s="25"/>
      <c r="CBG35" s="21"/>
      <c r="CBH35" s="21"/>
      <c r="CBL35" s="15"/>
      <c r="CBR35" s="25"/>
      <c r="CBY35" s="21"/>
      <c r="CBZ35" s="21"/>
      <c r="CCD35" s="15"/>
      <c r="CCJ35" s="25"/>
      <c r="CCQ35" s="21"/>
      <c r="CCR35" s="21"/>
      <c r="CCV35" s="15"/>
      <c r="CDB35" s="25"/>
      <c r="CDI35" s="21"/>
      <c r="CDJ35" s="21"/>
      <c r="CDN35" s="15"/>
      <c r="CDT35" s="25"/>
      <c r="CEA35" s="21"/>
      <c r="CEB35" s="21"/>
      <c r="CEF35" s="15"/>
      <c r="CEL35" s="25"/>
      <c r="CES35" s="21"/>
      <c r="CET35" s="21"/>
      <c r="CEX35" s="15"/>
      <c r="CFD35" s="25"/>
      <c r="CFK35" s="21"/>
      <c r="CFL35" s="21"/>
      <c r="CFP35" s="15"/>
      <c r="CFV35" s="25"/>
      <c r="CGC35" s="21"/>
      <c r="CGD35" s="21"/>
      <c r="CGH35" s="15"/>
      <c r="CGN35" s="25"/>
      <c r="CGU35" s="21"/>
      <c r="CGV35" s="21"/>
      <c r="CGZ35" s="15"/>
      <c r="CHF35" s="25"/>
      <c r="CHM35" s="21"/>
      <c r="CHN35" s="21"/>
      <c r="CHR35" s="15"/>
      <c r="CHX35" s="25"/>
      <c r="CIE35" s="21"/>
      <c r="CIF35" s="21"/>
      <c r="CIJ35" s="15"/>
      <c r="CIP35" s="25"/>
      <c r="CIW35" s="21"/>
      <c r="CIX35" s="21"/>
      <c r="CJB35" s="15"/>
      <c r="CJH35" s="25"/>
      <c r="CJO35" s="21"/>
      <c r="CJP35" s="21"/>
      <c r="CJT35" s="15"/>
      <c r="CJZ35" s="25"/>
      <c r="CKG35" s="21"/>
      <c r="CKH35" s="21"/>
      <c r="CKL35" s="15"/>
      <c r="CKR35" s="25"/>
      <c r="CKY35" s="21"/>
      <c r="CKZ35" s="21"/>
      <c r="CLD35" s="15"/>
      <c r="CLJ35" s="25"/>
      <c r="CLQ35" s="21"/>
      <c r="CLR35" s="21"/>
      <c r="CLV35" s="15"/>
      <c r="CMB35" s="25"/>
      <c r="CMI35" s="21"/>
      <c r="CMJ35" s="21"/>
      <c r="CMN35" s="15"/>
      <c r="CMT35" s="25"/>
      <c r="CNA35" s="21"/>
      <c r="CNB35" s="21"/>
      <c r="CNF35" s="15"/>
      <c r="CNL35" s="25"/>
      <c r="CNS35" s="21"/>
      <c r="CNT35" s="21"/>
      <c r="CNX35" s="15"/>
      <c r="COD35" s="25"/>
      <c r="COK35" s="21"/>
      <c r="COL35" s="21"/>
      <c r="COP35" s="15"/>
      <c r="COV35" s="25"/>
      <c r="CPC35" s="21"/>
      <c r="CPD35" s="21"/>
      <c r="CPH35" s="15"/>
      <c r="CPN35" s="25"/>
      <c r="CPU35" s="21"/>
      <c r="CPV35" s="21"/>
      <c r="CPZ35" s="15"/>
      <c r="CQF35" s="25"/>
      <c r="CQM35" s="21"/>
      <c r="CQN35" s="21"/>
      <c r="CQR35" s="15"/>
      <c r="CQX35" s="25"/>
      <c r="CRE35" s="21"/>
      <c r="CRF35" s="21"/>
      <c r="CRJ35" s="15"/>
      <c r="CRP35" s="25"/>
      <c r="CRW35" s="21"/>
      <c r="CRX35" s="21"/>
      <c r="CSB35" s="15"/>
      <c r="CSH35" s="25"/>
      <c r="CSO35" s="21"/>
      <c r="CSP35" s="21"/>
      <c r="CST35" s="15"/>
      <c r="CSZ35" s="25"/>
      <c r="CTG35" s="21"/>
      <c r="CTH35" s="21"/>
      <c r="CTL35" s="15"/>
      <c r="CTR35" s="25"/>
      <c r="CTY35" s="21"/>
      <c r="CTZ35" s="21"/>
      <c r="CUD35" s="15"/>
      <c r="CUJ35" s="25"/>
      <c r="CUQ35" s="21"/>
      <c r="CUR35" s="21"/>
      <c r="CUV35" s="15"/>
      <c r="CVB35" s="25"/>
      <c r="CVI35" s="21"/>
      <c r="CVJ35" s="21"/>
      <c r="CVN35" s="15"/>
      <c r="CVT35" s="25"/>
      <c r="CWA35" s="21"/>
      <c r="CWB35" s="21"/>
      <c r="CWF35" s="15"/>
      <c r="CWL35" s="25"/>
      <c r="CWS35" s="21"/>
      <c r="CWT35" s="21"/>
      <c r="CWX35" s="15"/>
      <c r="CXD35" s="25"/>
      <c r="CXK35" s="21"/>
      <c r="CXL35" s="21"/>
      <c r="CXP35" s="15"/>
      <c r="CXV35" s="25"/>
      <c r="CYC35" s="21"/>
      <c r="CYD35" s="21"/>
      <c r="CYH35" s="15"/>
      <c r="CYN35" s="25"/>
      <c r="CYU35" s="21"/>
      <c r="CYV35" s="21"/>
      <c r="CYZ35" s="15"/>
      <c r="CZF35" s="25"/>
      <c r="CZM35" s="21"/>
      <c r="CZN35" s="21"/>
      <c r="CZR35" s="15"/>
      <c r="CZX35" s="25"/>
      <c r="DAE35" s="21"/>
      <c r="DAF35" s="21"/>
      <c r="DAJ35" s="15"/>
      <c r="DAP35" s="25"/>
      <c r="DAW35" s="21"/>
      <c r="DAX35" s="21"/>
      <c r="DBB35" s="15"/>
      <c r="DBH35" s="25"/>
      <c r="DBO35" s="21"/>
      <c r="DBP35" s="21"/>
      <c r="DBT35" s="15"/>
      <c r="DBZ35" s="25"/>
      <c r="DCG35" s="21"/>
      <c r="DCH35" s="21"/>
      <c r="DCL35" s="15"/>
      <c r="DCR35" s="25"/>
      <c r="DCY35" s="21"/>
      <c r="DCZ35" s="21"/>
      <c r="DDD35" s="15"/>
      <c r="DDJ35" s="25"/>
      <c r="DDQ35" s="21"/>
      <c r="DDR35" s="21"/>
      <c r="DDV35" s="15"/>
      <c r="DEB35" s="25"/>
      <c r="DEI35" s="21"/>
      <c r="DEJ35" s="21"/>
      <c r="DEN35" s="15"/>
      <c r="DET35" s="25"/>
      <c r="DFA35" s="21"/>
      <c r="DFB35" s="21"/>
      <c r="DFF35" s="15"/>
      <c r="DFL35" s="25"/>
      <c r="DFS35" s="21"/>
      <c r="DFT35" s="21"/>
      <c r="DFX35" s="15"/>
      <c r="DGD35" s="25"/>
      <c r="DGK35" s="21"/>
      <c r="DGL35" s="21"/>
      <c r="DGP35" s="15"/>
      <c r="DGV35" s="25"/>
      <c r="DHC35" s="21"/>
      <c r="DHD35" s="21"/>
      <c r="DHH35" s="15"/>
      <c r="DHN35" s="25"/>
      <c r="DHU35" s="21"/>
      <c r="DHV35" s="21"/>
      <c r="DHZ35" s="15"/>
      <c r="DIF35" s="25"/>
      <c r="DIM35" s="21"/>
      <c r="DIN35" s="21"/>
      <c r="DIR35" s="15"/>
      <c r="DIX35" s="25"/>
      <c r="DJE35" s="21"/>
      <c r="DJF35" s="21"/>
      <c r="DJJ35" s="15"/>
      <c r="DJP35" s="25"/>
      <c r="DJW35" s="21"/>
      <c r="DJX35" s="21"/>
      <c r="DKB35" s="15"/>
      <c r="DKH35" s="25"/>
      <c r="DKO35" s="21"/>
      <c r="DKP35" s="21"/>
      <c r="DKT35" s="15"/>
      <c r="DKZ35" s="25"/>
      <c r="DLG35" s="21"/>
      <c r="DLH35" s="21"/>
      <c r="DLL35" s="15"/>
      <c r="DLR35" s="25"/>
      <c r="DLY35" s="21"/>
      <c r="DLZ35" s="21"/>
      <c r="DMD35" s="15"/>
      <c r="DMJ35" s="25"/>
      <c r="DMQ35" s="21"/>
      <c r="DMR35" s="21"/>
      <c r="DMV35" s="15"/>
      <c r="DNB35" s="25"/>
      <c r="DNI35" s="21"/>
      <c r="DNJ35" s="21"/>
      <c r="DNN35" s="15"/>
      <c r="DNT35" s="25"/>
      <c r="DOA35" s="21"/>
      <c r="DOB35" s="21"/>
      <c r="DOF35" s="15"/>
      <c r="DOL35" s="25"/>
      <c r="DOS35" s="21"/>
      <c r="DOT35" s="21"/>
      <c r="DOX35" s="15"/>
      <c r="DPD35" s="25"/>
      <c r="DPK35" s="21"/>
      <c r="DPL35" s="21"/>
      <c r="DPP35" s="15"/>
      <c r="DPV35" s="25"/>
      <c r="DQC35" s="21"/>
      <c r="DQD35" s="21"/>
      <c r="DQH35" s="15"/>
      <c r="DQN35" s="25"/>
      <c r="DQU35" s="21"/>
      <c r="DQV35" s="21"/>
      <c r="DQZ35" s="15"/>
      <c r="DRF35" s="25"/>
      <c r="DRM35" s="21"/>
      <c r="DRN35" s="21"/>
      <c r="DRR35" s="15"/>
      <c r="DRX35" s="25"/>
      <c r="DSE35" s="21"/>
      <c r="DSF35" s="21"/>
      <c r="DSJ35" s="15"/>
      <c r="DSP35" s="25"/>
      <c r="DSW35" s="21"/>
      <c r="DSX35" s="21"/>
      <c r="DTB35" s="15"/>
      <c r="DTH35" s="25"/>
      <c r="DTO35" s="21"/>
      <c r="DTP35" s="21"/>
      <c r="DTT35" s="15"/>
      <c r="DTZ35" s="25"/>
      <c r="DUG35" s="21"/>
      <c r="DUH35" s="21"/>
      <c r="DUL35" s="15"/>
      <c r="DUR35" s="25"/>
      <c r="DUY35" s="21"/>
      <c r="DUZ35" s="21"/>
      <c r="DVD35" s="15"/>
      <c r="DVJ35" s="25"/>
      <c r="DVQ35" s="21"/>
      <c r="DVR35" s="21"/>
      <c r="DVV35" s="15"/>
      <c r="DWB35" s="25"/>
      <c r="DWI35" s="21"/>
      <c r="DWJ35" s="21"/>
      <c r="DWN35" s="15"/>
      <c r="DWT35" s="25"/>
      <c r="DXA35" s="21"/>
      <c r="DXB35" s="21"/>
      <c r="DXF35" s="15"/>
      <c r="DXL35" s="25"/>
      <c r="DXS35" s="21"/>
      <c r="DXT35" s="21"/>
      <c r="DXX35" s="15"/>
      <c r="DYD35" s="25"/>
      <c r="DYK35" s="21"/>
      <c r="DYL35" s="21"/>
      <c r="DYP35" s="15"/>
      <c r="DYV35" s="25"/>
      <c r="DZC35" s="21"/>
      <c r="DZD35" s="21"/>
      <c r="DZH35" s="15"/>
      <c r="DZN35" s="25"/>
      <c r="DZU35" s="21"/>
      <c r="DZV35" s="21"/>
      <c r="DZZ35" s="15"/>
      <c r="EAF35" s="25"/>
      <c r="EAM35" s="21"/>
      <c r="EAN35" s="21"/>
      <c r="EAR35" s="15"/>
      <c r="EAX35" s="25"/>
      <c r="EBE35" s="21"/>
      <c r="EBF35" s="21"/>
      <c r="EBJ35" s="15"/>
      <c r="EBP35" s="25"/>
      <c r="EBW35" s="21"/>
      <c r="EBX35" s="21"/>
      <c r="ECB35" s="15"/>
      <c r="ECH35" s="25"/>
      <c r="ECO35" s="21"/>
      <c r="ECP35" s="21"/>
      <c r="ECT35" s="15"/>
      <c r="ECZ35" s="25"/>
      <c r="EDG35" s="21"/>
      <c r="EDH35" s="21"/>
      <c r="EDL35" s="15"/>
      <c r="EDR35" s="25"/>
      <c r="EDY35" s="21"/>
      <c r="EDZ35" s="21"/>
      <c r="EED35" s="15"/>
      <c r="EEJ35" s="25"/>
      <c r="EEQ35" s="21"/>
      <c r="EER35" s="21"/>
      <c r="EEV35" s="15"/>
      <c r="EFB35" s="25"/>
      <c r="EFI35" s="21"/>
      <c r="EFJ35" s="21"/>
      <c r="EFN35" s="15"/>
      <c r="EFT35" s="25"/>
      <c r="EGA35" s="21"/>
      <c r="EGB35" s="21"/>
      <c r="EGF35" s="15"/>
      <c r="EGL35" s="25"/>
      <c r="EGS35" s="21"/>
      <c r="EGT35" s="21"/>
      <c r="EGX35" s="15"/>
      <c r="EHD35" s="25"/>
      <c r="EHK35" s="21"/>
      <c r="EHL35" s="21"/>
      <c r="EHP35" s="15"/>
      <c r="EHV35" s="25"/>
      <c r="EIC35" s="21"/>
      <c r="EID35" s="21"/>
      <c r="EIH35" s="15"/>
      <c r="EIN35" s="25"/>
      <c r="EIU35" s="21"/>
      <c r="EIV35" s="21"/>
      <c r="EIZ35" s="15"/>
      <c r="EJF35" s="25"/>
      <c r="EJM35" s="21"/>
      <c r="EJN35" s="21"/>
      <c r="EJR35" s="15"/>
      <c r="EJX35" s="25"/>
      <c r="EKE35" s="21"/>
      <c r="EKF35" s="21"/>
      <c r="EKJ35" s="15"/>
      <c r="EKP35" s="25"/>
      <c r="EKW35" s="21"/>
      <c r="EKX35" s="21"/>
      <c r="ELB35" s="15"/>
      <c r="ELH35" s="25"/>
      <c r="ELO35" s="21"/>
      <c r="ELP35" s="21"/>
      <c r="ELT35" s="15"/>
      <c r="ELZ35" s="25"/>
      <c r="EMG35" s="21"/>
      <c r="EMH35" s="21"/>
      <c r="EML35" s="15"/>
      <c r="EMR35" s="25"/>
      <c r="EMY35" s="21"/>
      <c r="EMZ35" s="21"/>
      <c r="END35" s="15"/>
      <c r="ENJ35" s="25"/>
      <c r="ENQ35" s="21"/>
      <c r="ENR35" s="21"/>
      <c r="ENV35" s="15"/>
      <c r="EOB35" s="25"/>
      <c r="EOI35" s="21"/>
      <c r="EOJ35" s="21"/>
      <c r="EON35" s="15"/>
      <c r="EOT35" s="25"/>
      <c r="EPA35" s="21"/>
      <c r="EPB35" s="21"/>
      <c r="EPF35" s="15"/>
      <c r="EPL35" s="25"/>
      <c r="EPS35" s="21"/>
      <c r="EPT35" s="21"/>
      <c r="EPX35" s="15"/>
      <c r="EQD35" s="25"/>
      <c r="EQK35" s="21"/>
      <c r="EQL35" s="21"/>
      <c r="EQP35" s="15"/>
      <c r="EQV35" s="25"/>
      <c r="ERC35" s="21"/>
      <c r="ERD35" s="21"/>
      <c r="ERH35" s="15"/>
      <c r="ERN35" s="25"/>
      <c r="ERU35" s="21"/>
      <c r="ERV35" s="21"/>
      <c r="ERZ35" s="15"/>
      <c r="ESF35" s="25"/>
      <c r="ESM35" s="21"/>
      <c r="ESN35" s="21"/>
      <c r="ESR35" s="15"/>
      <c r="ESX35" s="25"/>
      <c r="ETE35" s="21"/>
      <c r="ETF35" s="21"/>
      <c r="ETJ35" s="15"/>
      <c r="ETP35" s="25"/>
      <c r="ETW35" s="21"/>
      <c r="ETX35" s="21"/>
      <c r="EUB35" s="15"/>
      <c r="EUH35" s="25"/>
      <c r="EUO35" s="21"/>
      <c r="EUP35" s="21"/>
      <c r="EUT35" s="15"/>
      <c r="EUZ35" s="25"/>
      <c r="EVG35" s="21"/>
      <c r="EVH35" s="21"/>
      <c r="EVL35" s="15"/>
      <c r="EVR35" s="25"/>
      <c r="EVY35" s="21"/>
      <c r="EVZ35" s="21"/>
      <c r="EWD35" s="15"/>
      <c r="EWJ35" s="25"/>
      <c r="EWQ35" s="21"/>
      <c r="EWR35" s="21"/>
      <c r="EWV35" s="15"/>
      <c r="EXB35" s="25"/>
      <c r="EXI35" s="21"/>
      <c r="EXJ35" s="21"/>
      <c r="EXN35" s="15"/>
      <c r="EXT35" s="25"/>
      <c r="EYA35" s="21"/>
      <c r="EYB35" s="21"/>
      <c r="EYF35" s="15"/>
      <c r="EYL35" s="25"/>
      <c r="EYS35" s="21"/>
      <c r="EYT35" s="21"/>
      <c r="EYX35" s="15"/>
      <c r="EZD35" s="25"/>
      <c r="EZK35" s="21"/>
      <c r="EZL35" s="21"/>
      <c r="EZP35" s="15"/>
      <c r="EZV35" s="25"/>
      <c r="FAC35" s="21"/>
      <c r="FAD35" s="21"/>
      <c r="FAH35" s="15"/>
      <c r="FAN35" s="25"/>
      <c r="FAU35" s="21"/>
      <c r="FAV35" s="21"/>
      <c r="FAZ35" s="15"/>
      <c r="FBF35" s="25"/>
      <c r="FBM35" s="21"/>
      <c r="FBN35" s="21"/>
      <c r="FBR35" s="15"/>
      <c r="FBX35" s="25"/>
      <c r="FCE35" s="21"/>
      <c r="FCF35" s="21"/>
      <c r="FCJ35" s="15"/>
      <c r="FCP35" s="25"/>
      <c r="FCW35" s="21"/>
      <c r="FCX35" s="21"/>
      <c r="FDB35" s="15"/>
      <c r="FDH35" s="25"/>
      <c r="FDO35" s="21"/>
      <c r="FDP35" s="21"/>
      <c r="FDT35" s="15"/>
      <c r="FDZ35" s="25"/>
      <c r="FEG35" s="21"/>
      <c r="FEH35" s="21"/>
      <c r="FEL35" s="15"/>
      <c r="FER35" s="25"/>
      <c r="FEY35" s="21"/>
      <c r="FEZ35" s="21"/>
      <c r="FFD35" s="15"/>
      <c r="FFJ35" s="25"/>
      <c r="FFQ35" s="21"/>
      <c r="FFR35" s="21"/>
      <c r="FFV35" s="15"/>
      <c r="FGB35" s="25"/>
      <c r="FGI35" s="21"/>
      <c r="FGJ35" s="21"/>
      <c r="FGN35" s="15"/>
      <c r="FGT35" s="25"/>
      <c r="FHA35" s="21"/>
      <c r="FHB35" s="21"/>
      <c r="FHF35" s="15"/>
      <c r="FHL35" s="25"/>
      <c r="FHS35" s="21"/>
      <c r="FHT35" s="21"/>
      <c r="FHX35" s="15"/>
      <c r="FID35" s="25"/>
      <c r="FIK35" s="21"/>
      <c r="FIL35" s="21"/>
      <c r="FIP35" s="15"/>
      <c r="FIV35" s="25"/>
      <c r="FJC35" s="21"/>
      <c r="FJD35" s="21"/>
      <c r="FJH35" s="15"/>
      <c r="FJN35" s="25"/>
      <c r="FJU35" s="21"/>
      <c r="FJV35" s="21"/>
      <c r="FJZ35" s="15"/>
      <c r="FKF35" s="25"/>
      <c r="FKM35" s="21"/>
      <c r="FKN35" s="21"/>
      <c r="FKR35" s="15"/>
      <c r="FKX35" s="25"/>
      <c r="FLE35" s="21"/>
      <c r="FLF35" s="21"/>
      <c r="FLJ35" s="15"/>
      <c r="FLP35" s="25"/>
      <c r="FLW35" s="21"/>
      <c r="FLX35" s="21"/>
      <c r="FMB35" s="15"/>
      <c r="FMH35" s="25"/>
      <c r="FMO35" s="21"/>
      <c r="FMP35" s="21"/>
      <c r="FMT35" s="15"/>
      <c r="FMZ35" s="25"/>
      <c r="FNG35" s="21"/>
      <c r="FNH35" s="21"/>
      <c r="FNL35" s="15"/>
      <c r="FNR35" s="25"/>
      <c r="FNY35" s="21"/>
      <c r="FNZ35" s="21"/>
      <c r="FOD35" s="15"/>
      <c r="FOJ35" s="25"/>
      <c r="FOQ35" s="21"/>
      <c r="FOR35" s="21"/>
      <c r="FOV35" s="15"/>
      <c r="FPB35" s="25"/>
      <c r="FPI35" s="21"/>
      <c r="FPJ35" s="21"/>
      <c r="FPN35" s="15"/>
      <c r="FPT35" s="25"/>
      <c r="FQA35" s="21"/>
      <c r="FQB35" s="21"/>
      <c r="FQF35" s="15"/>
      <c r="FQL35" s="25"/>
      <c r="FQS35" s="21"/>
      <c r="FQT35" s="21"/>
      <c r="FQX35" s="15"/>
      <c r="FRD35" s="25"/>
      <c r="FRK35" s="21"/>
      <c r="FRL35" s="21"/>
      <c r="FRP35" s="15"/>
      <c r="FRV35" s="25"/>
      <c r="FSC35" s="21"/>
      <c r="FSD35" s="21"/>
      <c r="FSH35" s="15"/>
      <c r="FSN35" s="25"/>
      <c r="FSU35" s="21"/>
      <c r="FSV35" s="21"/>
      <c r="FSZ35" s="15"/>
      <c r="FTF35" s="25"/>
      <c r="FTM35" s="21"/>
      <c r="FTN35" s="21"/>
      <c r="FTR35" s="15"/>
      <c r="FTX35" s="25"/>
      <c r="FUE35" s="21"/>
      <c r="FUF35" s="21"/>
      <c r="FUJ35" s="15"/>
      <c r="FUP35" s="25"/>
      <c r="FUW35" s="21"/>
      <c r="FUX35" s="21"/>
      <c r="FVB35" s="15"/>
      <c r="FVH35" s="25"/>
      <c r="FVO35" s="21"/>
      <c r="FVP35" s="21"/>
      <c r="FVT35" s="15"/>
      <c r="FVZ35" s="25"/>
      <c r="FWG35" s="21"/>
      <c r="FWH35" s="21"/>
      <c r="FWL35" s="15"/>
      <c r="FWR35" s="25"/>
      <c r="FWY35" s="21"/>
      <c r="FWZ35" s="21"/>
      <c r="FXD35" s="15"/>
      <c r="FXJ35" s="25"/>
      <c r="FXQ35" s="21"/>
      <c r="FXR35" s="21"/>
      <c r="FXV35" s="15"/>
      <c r="FYB35" s="25"/>
      <c r="FYI35" s="21"/>
      <c r="FYJ35" s="21"/>
      <c r="FYN35" s="15"/>
      <c r="FYT35" s="25"/>
      <c r="FZA35" s="21"/>
      <c r="FZB35" s="21"/>
      <c r="FZF35" s="15"/>
      <c r="FZL35" s="25"/>
      <c r="FZS35" s="21"/>
      <c r="FZT35" s="21"/>
      <c r="FZX35" s="15"/>
      <c r="GAD35" s="25"/>
      <c r="GAK35" s="21"/>
      <c r="GAL35" s="21"/>
      <c r="GAP35" s="15"/>
      <c r="GAV35" s="25"/>
      <c r="GBC35" s="21"/>
      <c r="GBD35" s="21"/>
      <c r="GBH35" s="15"/>
      <c r="GBN35" s="25"/>
      <c r="GBU35" s="21"/>
      <c r="GBV35" s="21"/>
      <c r="GBZ35" s="15"/>
      <c r="GCF35" s="25"/>
      <c r="GCM35" s="21"/>
      <c r="GCN35" s="21"/>
      <c r="GCR35" s="15"/>
      <c r="GCX35" s="25"/>
      <c r="GDE35" s="21"/>
      <c r="GDF35" s="21"/>
      <c r="GDJ35" s="15"/>
      <c r="GDP35" s="25"/>
      <c r="GDW35" s="21"/>
      <c r="GDX35" s="21"/>
      <c r="GEB35" s="15"/>
      <c r="GEH35" s="25"/>
      <c r="GEO35" s="21"/>
      <c r="GEP35" s="21"/>
      <c r="GET35" s="15"/>
      <c r="GEZ35" s="25"/>
      <c r="GFG35" s="21"/>
      <c r="GFH35" s="21"/>
      <c r="GFL35" s="15"/>
      <c r="GFR35" s="25"/>
      <c r="GFY35" s="21"/>
      <c r="GFZ35" s="21"/>
      <c r="GGD35" s="15"/>
      <c r="GGJ35" s="25"/>
      <c r="GGQ35" s="21"/>
      <c r="GGR35" s="21"/>
      <c r="GGV35" s="15"/>
      <c r="GHB35" s="25"/>
      <c r="GHI35" s="21"/>
      <c r="GHJ35" s="21"/>
      <c r="GHN35" s="15"/>
      <c r="GHT35" s="25"/>
      <c r="GIA35" s="21"/>
      <c r="GIB35" s="21"/>
      <c r="GIF35" s="15"/>
      <c r="GIL35" s="25"/>
      <c r="GIS35" s="21"/>
      <c r="GIT35" s="21"/>
      <c r="GIX35" s="15"/>
      <c r="GJD35" s="25"/>
      <c r="GJK35" s="21"/>
      <c r="GJL35" s="21"/>
      <c r="GJP35" s="15"/>
      <c r="GJV35" s="25"/>
      <c r="GKC35" s="21"/>
      <c r="GKD35" s="21"/>
      <c r="GKH35" s="15"/>
      <c r="GKN35" s="25"/>
      <c r="GKU35" s="21"/>
      <c r="GKV35" s="21"/>
      <c r="GKZ35" s="15"/>
      <c r="GLF35" s="25"/>
      <c r="GLM35" s="21"/>
      <c r="GLN35" s="21"/>
      <c r="GLR35" s="15"/>
      <c r="GLX35" s="25"/>
      <c r="GME35" s="21"/>
      <c r="GMF35" s="21"/>
      <c r="GMJ35" s="15"/>
      <c r="GMP35" s="25"/>
      <c r="GMW35" s="21"/>
      <c r="GMX35" s="21"/>
      <c r="GNB35" s="15"/>
      <c r="GNH35" s="25"/>
      <c r="GNO35" s="21"/>
      <c r="GNP35" s="21"/>
      <c r="GNT35" s="15"/>
      <c r="GNZ35" s="25"/>
      <c r="GOG35" s="21"/>
      <c r="GOH35" s="21"/>
      <c r="GOL35" s="15"/>
      <c r="GOR35" s="25"/>
      <c r="GOY35" s="21"/>
      <c r="GOZ35" s="21"/>
      <c r="GPD35" s="15"/>
      <c r="GPJ35" s="25"/>
      <c r="GPQ35" s="21"/>
      <c r="GPR35" s="21"/>
      <c r="GPV35" s="15"/>
      <c r="GQB35" s="25"/>
      <c r="GQI35" s="21"/>
      <c r="GQJ35" s="21"/>
      <c r="GQN35" s="15"/>
      <c r="GQT35" s="25"/>
      <c r="GRA35" s="21"/>
      <c r="GRB35" s="21"/>
      <c r="GRF35" s="15"/>
      <c r="GRL35" s="25"/>
      <c r="GRS35" s="21"/>
      <c r="GRT35" s="21"/>
      <c r="GRX35" s="15"/>
      <c r="GSD35" s="25"/>
      <c r="GSK35" s="21"/>
      <c r="GSL35" s="21"/>
      <c r="GSP35" s="15"/>
      <c r="GSV35" s="25"/>
      <c r="GTC35" s="21"/>
      <c r="GTD35" s="21"/>
      <c r="GTH35" s="15"/>
      <c r="GTN35" s="25"/>
      <c r="GTU35" s="21"/>
      <c r="GTV35" s="21"/>
      <c r="GTZ35" s="15"/>
      <c r="GUF35" s="25"/>
      <c r="GUM35" s="21"/>
      <c r="GUN35" s="21"/>
      <c r="GUR35" s="15"/>
      <c r="GUX35" s="25"/>
      <c r="GVE35" s="21"/>
      <c r="GVF35" s="21"/>
      <c r="GVJ35" s="15"/>
      <c r="GVP35" s="25"/>
      <c r="GVW35" s="21"/>
      <c r="GVX35" s="21"/>
      <c r="GWB35" s="15"/>
      <c r="GWH35" s="25"/>
      <c r="GWO35" s="21"/>
      <c r="GWP35" s="21"/>
      <c r="GWT35" s="15"/>
      <c r="GWZ35" s="25"/>
      <c r="GXG35" s="21"/>
      <c r="GXH35" s="21"/>
      <c r="GXL35" s="15"/>
      <c r="GXR35" s="25"/>
      <c r="GXY35" s="21"/>
      <c r="GXZ35" s="21"/>
      <c r="GYD35" s="15"/>
      <c r="GYJ35" s="25"/>
      <c r="GYQ35" s="21"/>
      <c r="GYR35" s="21"/>
      <c r="GYV35" s="15"/>
      <c r="GZB35" s="25"/>
      <c r="GZI35" s="21"/>
      <c r="GZJ35" s="21"/>
      <c r="GZN35" s="15"/>
      <c r="GZT35" s="25"/>
      <c r="HAA35" s="21"/>
      <c r="HAB35" s="21"/>
      <c r="HAF35" s="15"/>
      <c r="HAL35" s="25"/>
      <c r="HAS35" s="21"/>
      <c r="HAT35" s="21"/>
      <c r="HAX35" s="15"/>
      <c r="HBD35" s="25"/>
      <c r="HBK35" s="21"/>
      <c r="HBL35" s="21"/>
      <c r="HBP35" s="15"/>
      <c r="HBV35" s="25"/>
      <c r="HCC35" s="21"/>
      <c r="HCD35" s="21"/>
      <c r="HCH35" s="15"/>
      <c r="HCN35" s="25"/>
      <c r="HCU35" s="21"/>
      <c r="HCV35" s="21"/>
      <c r="HCZ35" s="15"/>
      <c r="HDF35" s="25"/>
      <c r="HDM35" s="21"/>
      <c r="HDN35" s="21"/>
      <c r="HDR35" s="15"/>
      <c r="HDX35" s="25"/>
      <c r="HEE35" s="21"/>
      <c r="HEF35" s="21"/>
      <c r="HEJ35" s="15"/>
      <c r="HEP35" s="25"/>
      <c r="HEW35" s="21"/>
      <c r="HEX35" s="21"/>
      <c r="HFB35" s="15"/>
      <c r="HFH35" s="25"/>
      <c r="HFO35" s="21"/>
      <c r="HFP35" s="21"/>
      <c r="HFT35" s="15"/>
      <c r="HFZ35" s="25"/>
      <c r="HGG35" s="21"/>
      <c r="HGH35" s="21"/>
      <c r="HGL35" s="15"/>
      <c r="HGR35" s="25"/>
      <c r="HGY35" s="21"/>
      <c r="HGZ35" s="21"/>
      <c r="HHD35" s="15"/>
      <c r="HHJ35" s="25"/>
      <c r="HHQ35" s="21"/>
      <c r="HHR35" s="21"/>
      <c r="HHV35" s="15"/>
      <c r="HIB35" s="25"/>
      <c r="HII35" s="21"/>
      <c r="HIJ35" s="21"/>
      <c r="HIN35" s="15"/>
      <c r="HIT35" s="25"/>
      <c r="HJA35" s="21"/>
      <c r="HJB35" s="21"/>
      <c r="HJF35" s="15"/>
      <c r="HJL35" s="25"/>
      <c r="HJS35" s="21"/>
      <c r="HJT35" s="21"/>
      <c r="HJX35" s="15"/>
      <c r="HKD35" s="25"/>
      <c r="HKK35" s="21"/>
      <c r="HKL35" s="21"/>
      <c r="HKP35" s="15"/>
      <c r="HKV35" s="25"/>
      <c r="HLC35" s="21"/>
      <c r="HLD35" s="21"/>
      <c r="HLH35" s="15"/>
      <c r="HLN35" s="25"/>
      <c r="HLU35" s="21"/>
      <c r="HLV35" s="21"/>
      <c r="HLZ35" s="15"/>
      <c r="HMF35" s="25"/>
      <c r="HMM35" s="21"/>
      <c r="HMN35" s="21"/>
      <c r="HMR35" s="15"/>
      <c r="HMX35" s="25"/>
      <c r="HNE35" s="21"/>
      <c r="HNF35" s="21"/>
      <c r="HNJ35" s="15"/>
      <c r="HNP35" s="25"/>
      <c r="HNW35" s="21"/>
      <c r="HNX35" s="21"/>
      <c r="HOB35" s="15"/>
      <c r="HOH35" s="25"/>
      <c r="HOO35" s="21"/>
      <c r="HOP35" s="21"/>
      <c r="HOT35" s="15"/>
      <c r="HOZ35" s="25"/>
      <c r="HPG35" s="21"/>
      <c r="HPH35" s="21"/>
      <c r="HPL35" s="15"/>
      <c r="HPR35" s="25"/>
      <c r="HPY35" s="21"/>
      <c r="HPZ35" s="21"/>
      <c r="HQD35" s="15"/>
      <c r="HQJ35" s="25"/>
      <c r="HQQ35" s="21"/>
      <c r="HQR35" s="21"/>
      <c r="HQV35" s="15"/>
      <c r="HRB35" s="25"/>
      <c r="HRI35" s="21"/>
      <c r="HRJ35" s="21"/>
      <c r="HRN35" s="15"/>
      <c r="HRT35" s="25"/>
      <c r="HSA35" s="21"/>
      <c r="HSB35" s="21"/>
      <c r="HSF35" s="15"/>
      <c r="HSL35" s="25"/>
      <c r="HSS35" s="21"/>
      <c r="HST35" s="21"/>
      <c r="HSX35" s="15"/>
      <c r="HTD35" s="25"/>
      <c r="HTK35" s="21"/>
      <c r="HTL35" s="21"/>
      <c r="HTP35" s="15"/>
      <c r="HTV35" s="25"/>
      <c r="HUC35" s="21"/>
      <c r="HUD35" s="21"/>
      <c r="HUH35" s="15"/>
      <c r="HUN35" s="25"/>
      <c r="HUU35" s="21"/>
      <c r="HUV35" s="21"/>
      <c r="HUZ35" s="15"/>
      <c r="HVF35" s="25"/>
      <c r="HVM35" s="21"/>
      <c r="HVN35" s="21"/>
      <c r="HVR35" s="15"/>
      <c r="HVX35" s="25"/>
      <c r="HWE35" s="21"/>
      <c r="HWF35" s="21"/>
      <c r="HWJ35" s="15"/>
      <c r="HWP35" s="25"/>
      <c r="HWW35" s="21"/>
      <c r="HWX35" s="21"/>
      <c r="HXB35" s="15"/>
      <c r="HXH35" s="25"/>
      <c r="HXO35" s="21"/>
      <c r="HXP35" s="21"/>
      <c r="HXT35" s="15"/>
      <c r="HXZ35" s="25"/>
      <c r="HYG35" s="21"/>
      <c r="HYH35" s="21"/>
      <c r="HYL35" s="15"/>
      <c r="HYR35" s="25"/>
      <c r="HYY35" s="21"/>
      <c r="HYZ35" s="21"/>
      <c r="HZD35" s="15"/>
      <c r="HZJ35" s="25"/>
      <c r="HZQ35" s="21"/>
      <c r="HZR35" s="21"/>
      <c r="HZV35" s="15"/>
      <c r="IAB35" s="25"/>
      <c r="IAI35" s="21"/>
      <c r="IAJ35" s="21"/>
      <c r="IAN35" s="15"/>
      <c r="IAT35" s="25"/>
      <c r="IBA35" s="21"/>
      <c r="IBB35" s="21"/>
      <c r="IBF35" s="15"/>
      <c r="IBL35" s="25"/>
      <c r="IBS35" s="21"/>
      <c r="IBT35" s="21"/>
      <c r="IBX35" s="15"/>
      <c r="ICD35" s="25"/>
      <c r="ICK35" s="21"/>
      <c r="ICL35" s="21"/>
      <c r="ICP35" s="15"/>
      <c r="ICV35" s="25"/>
      <c r="IDC35" s="21"/>
      <c r="IDD35" s="21"/>
      <c r="IDH35" s="15"/>
      <c r="IDN35" s="25"/>
      <c r="IDU35" s="21"/>
      <c r="IDV35" s="21"/>
      <c r="IDZ35" s="15"/>
      <c r="IEF35" s="25"/>
      <c r="IEM35" s="21"/>
      <c r="IEN35" s="21"/>
      <c r="IER35" s="15"/>
      <c r="IEX35" s="25"/>
      <c r="IFE35" s="21"/>
      <c r="IFF35" s="21"/>
      <c r="IFJ35" s="15"/>
      <c r="IFP35" s="25"/>
      <c r="IFW35" s="21"/>
      <c r="IFX35" s="21"/>
      <c r="IGB35" s="15"/>
      <c r="IGH35" s="25"/>
      <c r="IGO35" s="21"/>
      <c r="IGP35" s="21"/>
      <c r="IGT35" s="15"/>
      <c r="IGZ35" s="25"/>
      <c r="IHG35" s="21"/>
      <c r="IHH35" s="21"/>
      <c r="IHL35" s="15"/>
      <c r="IHR35" s="25"/>
      <c r="IHY35" s="21"/>
      <c r="IHZ35" s="21"/>
      <c r="IID35" s="15"/>
      <c r="IIJ35" s="25"/>
      <c r="IIQ35" s="21"/>
      <c r="IIR35" s="21"/>
      <c r="IIV35" s="15"/>
      <c r="IJB35" s="25"/>
      <c r="IJI35" s="21"/>
      <c r="IJJ35" s="21"/>
      <c r="IJN35" s="15"/>
      <c r="IJT35" s="25"/>
      <c r="IKA35" s="21"/>
      <c r="IKB35" s="21"/>
      <c r="IKF35" s="15"/>
      <c r="IKL35" s="25"/>
      <c r="IKS35" s="21"/>
      <c r="IKT35" s="21"/>
      <c r="IKX35" s="15"/>
      <c r="ILD35" s="25"/>
      <c r="ILK35" s="21"/>
      <c r="ILL35" s="21"/>
      <c r="ILP35" s="15"/>
      <c r="ILV35" s="25"/>
      <c r="IMC35" s="21"/>
      <c r="IMD35" s="21"/>
      <c r="IMH35" s="15"/>
      <c r="IMN35" s="25"/>
      <c r="IMU35" s="21"/>
      <c r="IMV35" s="21"/>
      <c r="IMZ35" s="15"/>
      <c r="INF35" s="25"/>
      <c r="INM35" s="21"/>
      <c r="INN35" s="21"/>
      <c r="INR35" s="15"/>
      <c r="INX35" s="25"/>
      <c r="IOE35" s="21"/>
      <c r="IOF35" s="21"/>
      <c r="IOJ35" s="15"/>
      <c r="IOP35" s="25"/>
      <c r="IOW35" s="21"/>
      <c r="IOX35" s="21"/>
      <c r="IPB35" s="15"/>
      <c r="IPH35" s="25"/>
      <c r="IPO35" s="21"/>
      <c r="IPP35" s="21"/>
      <c r="IPT35" s="15"/>
      <c r="IPZ35" s="25"/>
      <c r="IQG35" s="21"/>
      <c r="IQH35" s="21"/>
      <c r="IQL35" s="15"/>
      <c r="IQR35" s="25"/>
      <c r="IQY35" s="21"/>
      <c r="IQZ35" s="21"/>
      <c r="IRD35" s="15"/>
      <c r="IRJ35" s="25"/>
      <c r="IRQ35" s="21"/>
      <c r="IRR35" s="21"/>
      <c r="IRV35" s="15"/>
      <c r="ISB35" s="25"/>
      <c r="ISI35" s="21"/>
      <c r="ISJ35" s="21"/>
      <c r="ISN35" s="15"/>
      <c r="IST35" s="25"/>
      <c r="ITA35" s="21"/>
      <c r="ITB35" s="21"/>
      <c r="ITF35" s="15"/>
      <c r="ITL35" s="25"/>
      <c r="ITS35" s="21"/>
      <c r="ITT35" s="21"/>
      <c r="ITX35" s="15"/>
      <c r="IUD35" s="25"/>
      <c r="IUK35" s="21"/>
      <c r="IUL35" s="21"/>
      <c r="IUP35" s="15"/>
      <c r="IUV35" s="25"/>
      <c r="IVC35" s="21"/>
      <c r="IVD35" s="21"/>
      <c r="IVH35" s="15"/>
      <c r="IVN35" s="25"/>
      <c r="IVU35" s="21"/>
      <c r="IVV35" s="21"/>
      <c r="IVZ35" s="15"/>
      <c r="IWF35" s="25"/>
      <c r="IWM35" s="21"/>
      <c r="IWN35" s="21"/>
      <c r="IWR35" s="15"/>
      <c r="IWX35" s="25"/>
      <c r="IXE35" s="21"/>
      <c r="IXF35" s="21"/>
      <c r="IXJ35" s="15"/>
      <c r="IXP35" s="25"/>
      <c r="IXW35" s="21"/>
      <c r="IXX35" s="21"/>
      <c r="IYB35" s="15"/>
      <c r="IYH35" s="25"/>
      <c r="IYO35" s="21"/>
      <c r="IYP35" s="21"/>
      <c r="IYT35" s="15"/>
      <c r="IYZ35" s="25"/>
      <c r="IZG35" s="21"/>
      <c r="IZH35" s="21"/>
      <c r="IZL35" s="15"/>
      <c r="IZR35" s="25"/>
      <c r="IZY35" s="21"/>
      <c r="IZZ35" s="21"/>
      <c r="JAD35" s="15"/>
      <c r="JAJ35" s="25"/>
      <c r="JAQ35" s="21"/>
      <c r="JAR35" s="21"/>
      <c r="JAV35" s="15"/>
      <c r="JBB35" s="25"/>
      <c r="JBI35" s="21"/>
      <c r="JBJ35" s="21"/>
      <c r="JBN35" s="15"/>
      <c r="JBT35" s="25"/>
      <c r="JCA35" s="21"/>
      <c r="JCB35" s="21"/>
      <c r="JCF35" s="15"/>
      <c r="JCL35" s="25"/>
      <c r="JCS35" s="21"/>
      <c r="JCT35" s="21"/>
      <c r="JCX35" s="15"/>
      <c r="JDD35" s="25"/>
      <c r="JDK35" s="21"/>
      <c r="JDL35" s="21"/>
      <c r="JDP35" s="15"/>
      <c r="JDV35" s="25"/>
      <c r="JEC35" s="21"/>
      <c r="JED35" s="21"/>
      <c r="JEH35" s="15"/>
      <c r="JEN35" s="25"/>
      <c r="JEU35" s="21"/>
      <c r="JEV35" s="21"/>
      <c r="JEZ35" s="15"/>
      <c r="JFF35" s="25"/>
      <c r="JFM35" s="21"/>
      <c r="JFN35" s="21"/>
      <c r="JFR35" s="15"/>
      <c r="JFX35" s="25"/>
      <c r="JGE35" s="21"/>
      <c r="JGF35" s="21"/>
      <c r="JGJ35" s="15"/>
      <c r="JGP35" s="25"/>
      <c r="JGW35" s="21"/>
      <c r="JGX35" s="21"/>
      <c r="JHB35" s="15"/>
      <c r="JHH35" s="25"/>
      <c r="JHO35" s="21"/>
      <c r="JHP35" s="21"/>
      <c r="JHT35" s="15"/>
      <c r="JHZ35" s="25"/>
      <c r="JIG35" s="21"/>
      <c r="JIH35" s="21"/>
      <c r="JIL35" s="15"/>
      <c r="JIR35" s="25"/>
      <c r="JIY35" s="21"/>
      <c r="JIZ35" s="21"/>
      <c r="JJD35" s="15"/>
      <c r="JJJ35" s="25"/>
      <c r="JJQ35" s="21"/>
      <c r="JJR35" s="21"/>
      <c r="JJV35" s="15"/>
      <c r="JKB35" s="25"/>
      <c r="JKI35" s="21"/>
      <c r="JKJ35" s="21"/>
      <c r="JKN35" s="15"/>
      <c r="JKT35" s="25"/>
      <c r="JLA35" s="21"/>
      <c r="JLB35" s="21"/>
      <c r="JLF35" s="15"/>
      <c r="JLL35" s="25"/>
      <c r="JLS35" s="21"/>
      <c r="JLT35" s="21"/>
      <c r="JLX35" s="15"/>
      <c r="JMD35" s="25"/>
      <c r="JMK35" s="21"/>
      <c r="JML35" s="21"/>
      <c r="JMP35" s="15"/>
      <c r="JMV35" s="25"/>
      <c r="JNC35" s="21"/>
      <c r="JND35" s="21"/>
      <c r="JNH35" s="15"/>
      <c r="JNN35" s="25"/>
      <c r="JNU35" s="21"/>
      <c r="JNV35" s="21"/>
      <c r="JNZ35" s="15"/>
      <c r="JOF35" s="25"/>
      <c r="JOM35" s="21"/>
      <c r="JON35" s="21"/>
      <c r="JOR35" s="15"/>
      <c r="JOX35" s="25"/>
      <c r="JPE35" s="21"/>
      <c r="JPF35" s="21"/>
      <c r="JPJ35" s="15"/>
      <c r="JPP35" s="25"/>
      <c r="JPW35" s="21"/>
      <c r="JPX35" s="21"/>
      <c r="JQB35" s="15"/>
      <c r="JQH35" s="25"/>
      <c r="JQO35" s="21"/>
      <c r="JQP35" s="21"/>
      <c r="JQT35" s="15"/>
      <c r="JQZ35" s="25"/>
      <c r="JRG35" s="21"/>
      <c r="JRH35" s="21"/>
      <c r="JRL35" s="15"/>
      <c r="JRR35" s="25"/>
      <c r="JRY35" s="21"/>
      <c r="JRZ35" s="21"/>
      <c r="JSD35" s="15"/>
      <c r="JSJ35" s="25"/>
      <c r="JSQ35" s="21"/>
      <c r="JSR35" s="21"/>
      <c r="JSV35" s="15"/>
      <c r="JTB35" s="25"/>
      <c r="JTI35" s="21"/>
      <c r="JTJ35" s="21"/>
      <c r="JTN35" s="15"/>
      <c r="JTT35" s="25"/>
      <c r="JUA35" s="21"/>
      <c r="JUB35" s="21"/>
      <c r="JUF35" s="15"/>
      <c r="JUL35" s="25"/>
      <c r="JUS35" s="21"/>
      <c r="JUT35" s="21"/>
      <c r="JUX35" s="15"/>
      <c r="JVD35" s="25"/>
      <c r="JVK35" s="21"/>
      <c r="JVL35" s="21"/>
      <c r="JVP35" s="15"/>
      <c r="JVV35" s="25"/>
      <c r="JWC35" s="21"/>
      <c r="JWD35" s="21"/>
      <c r="JWH35" s="15"/>
      <c r="JWN35" s="25"/>
      <c r="JWU35" s="21"/>
      <c r="JWV35" s="21"/>
      <c r="JWZ35" s="15"/>
      <c r="JXF35" s="25"/>
      <c r="JXM35" s="21"/>
      <c r="JXN35" s="21"/>
      <c r="JXR35" s="15"/>
      <c r="JXX35" s="25"/>
      <c r="JYE35" s="21"/>
      <c r="JYF35" s="21"/>
      <c r="JYJ35" s="15"/>
      <c r="JYP35" s="25"/>
      <c r="JYW35" s="21"/>
      <c r="JYX35" s="21"/>
      <c r="JZB35" s="15"/>
      <c r="JZH35" s="25"/>
      <c r="JZO35" s="21"/>
      <c r="JZP35" s="21"/>
      <c r="JZT35" s="15"/>
      <c r="JZZ35" s="25"/>
      <c r="KAG35" s="21"/>
      <c r="KAH35" s="21"/>
      <c r="KAL35" s="15"/>
      <c r="KAR35" s="25"/>
      <c r="KAY35" s="21"/>
      <c r="KAZ35" s="21"/>
      <c r="KBD35" s="15"/>
      <c r="KBJ35" s="25"/>
      <c r="KBQ35" s="21"/>
      <c r="KBR35" s="21"/>
      <c r="KBV35" s="15"/>
      <c r="KCB35" s="25"/>
      <c r="KCI35" s="21"/>
      <c r="KCJ35" s="21"/>
      <c r="KCN35" s="15"/>
      <c r="KCT35" s="25"/>
      <c r="KDA35" s="21"/>
      <c r="KDB35" s="21"/>
      <c r="KDF35" s="15"/>
      <c r="KDL35" s="25"/>
      <c r="KDS35" s="21"/>
      <c r="KDT35" s="21"/>
      <c r="KDX35" s="15"/>
      <c r="KED35" s="25"/>
      <c r="KEK35" s="21"/>
      <c r="KEL35" s="21"/>
      <c r="KEP35" s="15"/>
      <c r="KEV35" s="25"/>
      <c r="KFC35" s="21"/>
      <c r="KFD35" s="21"/>
      <c r="KFH35" s="15"/>
      <c r="KFN35" s="25"/>
      <c r="KFU35" s="21"/>
      <c r="KFV35" s="21"/>
      <c r="KFZ35" s="15"/>
      <c r="KGF35" s="25"/>
      <c r="KGM35" s="21"/>
      <c r="KGN35" s="21"/>
      <c r="KGR35" s="15"/>
      <c r="KGX35" s="25"/>
      <c r="KHE35" s="21"/>
      <c r="KHF35" s="21"/>
      <c r="KHJ35" s="15"/>
      <c r="KHP35" s="25"/>
      <c r="KHW35" s="21"/>
      <c r="KHX35" s="21"/>
      <c r="KIB35" s="15"/>
      <c r="KIH35" s="25"/>
      <c r="KIO35" s="21"/>
      <c r="KIP35" s="21"/>
      <c r="KIT35" s="15"/>
      <c r="KIZ35" s="25"/>
      <c r="KJG35" s="21"/>
      <c r="KJH35" s="21"/>
      <c r="KJL35" s="15"/>
      <c r="KJR35" s="25"/>
      <c r="KJY35" s="21"/>
      <c r="KJZ35" s="21"/>
      <c r="KKD35" s="15"/>
      <c r="KKJ35" s="25"/>
      <c r="KKQ35" s="21"/>
      <c r="KKR35" s="21"/>
      <c r="KKV35" s="15"/>
      <c r="KLB35" s="25"/>
      <c r="KLI35" s="21"/>
      <c r="KLJ35" s="21"/>
      <c r="KLN35" s="15"/>
      <c r="KLT35" s="25"/>
      <c r="KMA35" s="21"/>
      <c r="KMB35" s="21"/>
      <c r="KMF35" s="15"/>
      <c r="KML35" s="25"/>
      <c r="KMS35" s="21"/>
      <c r="KMT35" s="21"/>
      <c r="KMX35" s="15"/>
      <c r="KND35" s="25"/>
      <c r="KNK35" s="21"/>
      <c r="KNL35" s="21"/>
      <c r="KNP35" s="15"/>
      <c r="KNV35" s="25"/>
      <c r="KOC35" s="21"/>
      <c r="KOD35" s="21"/>
      <c r="KOH35" s="15"/>
      <c r="KON35" s="25"/>
      <c r="KOU35" s="21"/>
      <c r="KOV35" s="21"/>
      <c r="KOZ35" s="15"/>
      <c r="KPF35" s="25"/>
      <c r="KPM35" s="21"/>
      <c r="KPN35" s="21"/>
      <c r="KPR35" s="15"/>
      <c r="KPX35" s="25"/>
      <c r="KQE35" s="21"/>
      <c r="KQF35" s="21"/>
      <c r="KQJ35" s="15"/>
      <c r="KQP35" s="25"/>
      <c r="KQW35" s="21"/>
      <c r="KQX35" s="21"/>
      <c r="KRB35" s="15"/>
      <c r="KRH35" s="25"/>
      <c r="KRO35" s="21"/>
      <c r="KRP35" s="21"/>
      <c r="KRT35" s="15"/>
      <c r="KRZ35" s="25"/>
      <c r="KSG35" s="21"/>
      <c r="KSH35" s="21"/>
      <c r="KSL35" s="15"/>
      <c r="KSR35" s="25"/>
      <c r="KSY35" s="21"/>
      <c r="KSZ35" s="21"/>
      <c r="KTD35" s="15"/>
      <c r="KTJ35" s="25"/>
      <c r="KTQ35" s="21"/>
      <c r="KTR35" s="21"/>
      <c r="KTV35" s="15"/>
      <c r="KUB35" s="25"/>
      <c r="KUI35" s="21"/>
      <c r="KUJ35" s="21"/>
      <c r="KUN35" s="15"/>
      <c r="KUT35" s="25"/>
      <c r="KVA35" s="21"/>
      <c r="KVB35" s="21"/>
      <c r="KVF35" s="15"/>
      <c r="KVL35" s="25"/>
      <c r="KVS35" s="21"/>
      <c r="KVT35" s="21"/>
      <c r="KVX35" s="15"/>
      <c r="KWD35" s="25"/>
      <c r="KWK35" s="21"/>
      <c r="KWL35" s="21"/>
      <c r="KWP35" s="15"/>
      <c r="KWV35" s="25"/>
      <c r="KXC35" s="21"/>
      <c r="KXD35" s="21"/>
      <c r="KXH35" s="15"/>
      <c r="KXN35" s="25"/>
      <c r="KXU35" s="21"/>
      <c r="KXV35" s="21"/>
      <c r="KXZ35" s="15"/>
      <c r="KYF35" s="25"/>
      <c r="KYM35" s="21"/>
      <c r="KYN35" s="21"/>
      <c r="KYR35" s="15"/>
      <c r="KYX35" s="25"/>
      <c r="KZE35" s="21"/>
      <c r="KZF35" s="21"/>
      <c r="KZJ35" s="15"/>
      <c r="KZP35" s="25"/>
      <c r="KZW35" s="21"/>
      <c r="KZX35" s="21"/>
      <c r="LAB35" s="15"/>
      <c r="LAH35" s="25"/>
      <c r="LAO35" s="21"/>
      <c r="LAP35" s="21"/>
      <c r="LAT35" s="15"/>
      <c r="LAZ35" s="25"/>
      <c r="LBG35" s="21"/>
      <c r="LBH35" s="21"/>
      <c r="LBL35" s="15"/>
      <c r="LBR35" s="25"/>
      <c r="LBY35" s="21"/>
      <c r="LBZ35" s="21"/>
      <c r="LCD35" s="15"/>
      <c r="LCJ35" s="25"/>
      <c r="LCQ35" s="21"/>
      <c r="LCR35" s="21"/>
      <c r="LCV35" s="15"/>
      <c r="LDB35" s="25"/>
      <c r="LDI35" s="21"/>
      <c r="LDJ35" s="21"/>
      <c r="LDN35" s="15"/>
      <c r="LDT35" s="25"/>
      <c r="LEA35" s="21"/>
      <c r="LEB35" s="21"/>
      <c r="LEF35" s="15"/>
      <c r="LEL35" s="25"/>
      <c r="LES35" s="21"/>
      <c r="LET35" s="21"/>
      <c r="LEX35" s="15"/>
      <c r="LFD35" s="25"/>
      <c r="LFK35" s="21"/>
      <c r="LFL35" s="21"/>
      <c r="LFP35" s="15"/>
      <c r="LFV35" s="25"/>
      <c r="LGC35" s="21"/>
      <c r="LGD35" s="21"/>
      <c r="LGH35" s="15"/>
      <c r="LGN35" s="25"/>
      <c r="LGU35" s="21"/>
      <c r="LGV35" s="21"/>
      <c r="LGZ35" s="15"/>
      <c r="LHF35" s="25"/>
      <c r="LHM35" s="21"/>
      <c r="LHN35" s="21"/>
      <c r="LHR35" s="15"/>
      <c r="LHX35" s="25"/>
      <c r="LIE35" s="21"/>
      <c r="LIF35" s="21"/>
      <c r="LIJ35" s="15"/>
      <c r="LIP35" s="25"/>
      <c r="LIW35" s="21"/>
      <c r="LIX35" s="21"/>
      <c r="LJB35" s="15"/>
      <c r="LJH35" s="25"/>
      <c r="LJO35" s="21"/>
      <c r="LJP35" s="21"/>
      <c r="LJT35" s="15"/>
      <c r="LJZ35" s="25"/>
      <c r="LKG35" s="21"/>
      <c r="LKH35" s="21"/>
      <c r="LKL35" s="15"/>
      <c r="LKR35" s="25"/>
      <c r="LKY35" s="21"/>
      <c r="LKZ35" s="21"/>
      <c r="LLD35" s="15"/>
      <c r="LLJ35" s="25"/>
      <c r="LLQ35" s="21"/>
      <c r="LLR35" s="21"/>
      <c r="LLV35" s="15"/>
      <c r="LMB35" s="25"/>
      <c r="LMI35" s="21"/>
      <c r="LMJ35" s="21"/>
      <c r="LMN35" s="15"/>
      <c r="LMT35" s="25"/>
      <c r="LNA35" s="21"/>
      <c r="LNB35" s="21"/>
      <c r="LNF35" s="15"/>
      <c r="LNL35" s="25"/>
      <c r="LNS35" s="21"/>
      <c r="LNT35" s="21"/>
      <c r="LNX35" s="15"/>
      <c r="LOD35" s="25"/>
      <c r="LOK35" s="21"/>
      <c r="LOL35" s="21"/>
      <c r="LOP35" s="15"/>
      <c r="LOV35" s="25"/>
      <c r="LPC35" s="21"/>
      <c r="LPD35" s="21"/>
      <c r="LPH35" s="15"/>
      <c r="LPN35" s="25"/>
      <c r="LPU35" s="21"/>
      <c r="LPV35" s="21"/>
      <c r="LPZ35" s="15"/>
      <c r="LQF35" s="25"/>
      <c r="LQM35" s="21"/>
      <c r="LQN35" s="21"/>
      <c r="LQR35" s="15"/>
      <c r="LQX35" s="25"/>
      <c r="LRE35" s="21"/>
      <c r="LRF35" s="21"/>
      <c r="LRJ35" s="15"/>
      <c r="LRP35" s="25"/>
      <c r="LRW35" s="21"/>
      <c r="LRX35" s="21"/>
      <c r="LSB35" s="15"/>
      <c r="LSH35" s="25"/>
      <c r="LSO35" s="21"/>
      <c r="LSP35" s="21"/>
      <c r="LST35" s="15"/>
      <c r="LSZ35" s="25"/>
      <c r="LTG35" s="21"/>
      <c r="LTH35" s="21"/>
      <c r="LTL35" s="15"/>
      <c r="LTR35" s="25"/>
      <c r="LTY35" s="21"/>
      <c r="LTZ35" s="21"/>
      <c r="LUD35" s="15"/>
      <c r="LUJ35" s="25"/>
      <c r="LUQ35" s="21"/>
      <c r="LUR35" s="21"/>
      <c r="LUV35" s="15"/>
      <c r="LVB35" s="25"/>
      <c r="LVI35" s="21"/>
      <c r="LVJ35" s="21"/>
      <c r="LVN35" s="15"/>
      <c r="LVT35" s="25"/>
      <c r="LWA35" s="21"/>
      <c r="LWB35" s="21"/>
      <c r="LWF35" s="15"/>
      <c r="LWL35" s="25"/>
      <c r="LWS35" s="21"/>
      <c r="LWT35" s="21"/>
      <c r="LWX35" s="15"/>
      <c r="LXD35" s="25"/>
      <c r="LXK35" s="21"/>
      <c r="LXL35" s="21"/>
      <c r="LXP35" s="15"/>
      <c r="LXV35" s="25"/>
      <c r="LYC35" s="21"/>
      <c r="LYD35" s="21"/>
      <c r="LYH35" s="15"/>
      <c r="LYN35" s="25"/>
      <c r="LYU35" s="21"/>
      <c r="LYV35" s="21"/>
      <c r="LYZ35" s="15"/>
      <c r="LZF35" s="25"/>
      <c r="LZM35" s="21"/>
      <c r="LZN35" s="21"/>
      <c r="LZR35" s="15"/>
      <c r="LZX35" s="25"/>
      <c r="MAE35" s="21"/>
      <c r="MAF35" s="21"/>
      <c r="MAJ35" s="15"/>
      <c r="MAP35" s="25"/>
      <c r="MAW35" s="21"/>
      <c r="MAX35" s="21"/>
      <c r="MBB35" s="15"/>
      <c r="MBH35" s="25"/>
      <c r="MBO35" s="21"/>
      <c r="MBP35" s="21"/>
      <c r="MBT35" s="15"/>
      <c r="MBZ35" s="25"/>
      <c r="MCG35" s="21"/>
      <c r="MCH35" s="21"/>
      <c r="MCL35" s="15"/>
      <c r="MCR35" s="25"/>
      <c r="MCY35" s="21"/>
      <c r="MCZ35" s="21"/>
      <c r="MDD35" s="15"/>
      <c r="MDJ35" s="25"/>
      <c r="MDQ35" s="21"/>
      <c r="MDR35" s="21"/>
      <c r="MDV35" s="15"/>
      <c r="MEB35" s="25"/>
      <c r="MEI35" s="21"/>
      <c r="MEJ35" s="21"/>
      <c r="MEN35" s="15"/>
      <c r="MET35" s="25"/>
      <c r="MFA35" s="21"/>
      <c r="MFB35" s="21"/>
      <c r="MFF35" s="15"/>
      <c r="MFL35" s="25"/>
      <c r="MFS35" s="21"/>
      <c r="MFT35" s="21"/>
      <c r="MFX35" s="15"/>
      <c r="MGD35" s="25"/>
      <c r="MGK35" s="21"/>
      <c r="MGL35" s="21"/>
      <c r="MGP35" s="15"/>
      <c r="MGV35" s="25"/>
      <c r="MHC35" s="21"/>
      <c r="MHD35" s="21"/>
      <c r="MHH35" s="15"/>
      <c r="MHN35" s="25"/>
      <c r="MHU35" s="21"/>
      <c r="MHV35" s="21"/>
      <c r="MHZ35" s="15"/>
      <c r="MIF35" s="25"/>
      <c r="MIM35" s="21"/>
      <c r="MIN35" s="21"/>
      <c r="MIR35" s="15"/>
      <c r="MIX35" s="25"/>
      <c r="MJE35" s="21"/>
      <c r="MJF35" s="21"/>
      <c r="MJJ35" s="15"/>
      <c r="MJP35" s="25"/>
      <c r="MJW35" s="21"/>
      <c r="MJX35" s="21"/>
      <c r="MKB35" s="15"/>
      <c r="MKH35" s="25"/>
      <c r="MKO35" s="21"/>
      <c r="MKP35" s="21"/>
      <c r="MKT35" s="15"/>
      <c r="MKZ35" s="25"/>
      <c r="MLG35" s="21"/>
      <c r="MLH35" s="21"/>
      <c r="MLL35" s="15"/>
      <c r="MLR35" s="25"/>
      <c r="MLY35" s="21"/>
      <c r="MLZ35" s="21"/>
      <c r="MMD35" s="15"/>
      <c r="MMJ35" s="25"/>
      <c r="MMQ35" s="21"/>
      <c r="MMR35" s="21"/>
      <c r="MMV35" s="15"/>
      <c r="MNB35" s="25"/>
      <c r="MNI35" s="21"/>
      <c r="MNJ35" s="21"/>
      <c r="MNN35" s="15"/>
      <c r="MNT35" s="25"/>
      <c r="MOA35" s="21"/>
      <c r="MOB35" s="21"/>
      <c r="MOF35" s="15"/>
      <c r="MOL35" s="25"/>
      <c r="MOS35" s="21"/>
      <c r="MOT35" s="21"/>
      <c r="MOX35" s="15"/>
      <c r="MPD35" s="25"/>
      <c r="MPK35" s="21"/>
      <c r="MPL35" s="21"/>
      <c r="MPP35" s="15"/>
      <c r="MPV35" s="25"/>
      <c r="MQC35" s="21"/>
      <c r="MQD35" s="21"/>
      <c r="MQH35" s="15"/>
      <c r="MQN35" s="25"/>
      <c r="MQU35" s="21"/>
      <c r="MQV35" s="21"/>
      <c r="MQZ35" s="15"/>
      <c r="MRF35" s="25"/>
      <c r="MRM35" s="21"/>
      <c r="MRN35" s="21"/>
      <c r="MRR35" s="15"/>
      <c r="MRX35" s="25"/>
      <c r="MSE35" s="21"/>
      <c r="MSF35" s="21"/>
      <c r="MSJ35" s="15"/>
      <c r="MSP35" s="25"/>
      <c r="MSW35" s="21"/>
      <c r="MSX35" s="21"/>
      <c r="MTB35" s="15"/>
      <c r="MTH35" s="25"/>
      <c r="MTO35" s="21"/>
      <c r="MTP35" s="21"/>
      <c r="MTT35" s="15"/>
      <c r="MTZ35" s="25"/>
      <c r="MUG35" s="21"/>
      <c r="MUH35" s="21"/>
      <c r="MUL35" s="15"/>
      <c r="MUR35" s="25"/>
      <c r="MUY35" s="21"/>
      <c r="MUZ35" s="21"/>
      <c r="MVD35" s="15"/>
      <c r="MVJ35" s="25"/>
      <c r="MVQ35" s="21"/>
      <c r="MVR35" s="21"/>
      <c r="MVV35" s="15"/>
      <c r="MWB35" s="25"/>
      <c r="MWI35" s="21"/>
      <c r="MWJ35" s="21"/>
      <c r="MWN35" s="15"/>
      <c r="MWT35" s="25"/>
      <c r="MXA35" s="21"/>
      <c r="MXB35" s="21"/>
      <c r="MXF35" s="15"/>
      <c r="MXL35" s="25"/>
      <c r="MXS35" s="21"/>
      <c r="MXT35" s="21"/>
      <c r="MXX35" s="15"/>
      <c r="MYD35" s="25"/>
      <c r="MYK35" s="21"/>
      <c r="MYL35" s="21"/>
      <c r="MYP35" s="15"/>
      <c r="MYV35" s="25"/>
      <c r="MZC35" s="21"/>
      <c r="MZD35" s="21"/>
      <c r="MZH35" s="15"/>
      <c r="MZN35" s="25"/>
      <c r="MZU35" s="21"/>
      <c r="MZV35" s="21"/>
      <c r="MZZ35" s="15"/>
      <c r="NAF35" s="25"/>
      <c r="NAM35" s="21"/>
      <c r="NAN35" s="21"/>
      <c r="NAR35" s="15"/>
      <c r="NAX35" s="25"/>
      <c r="NBE35" s="21"/>
      <c r="NBF35" s="21"/>
      <c r="NBJ35" s="15"/>
      <c r="NBP35" s="25"/>
      <c r="NBW35" s="21"/>
      <c r="NBX35" s="21"/>
      <c r="NCB35" s="15"/>
      <c r="NCH35" s="25"/>
      <c r="NCO35" s="21"/>
      <c r="NCP35" s="21"/>
      <c r="NCT35" s="15"/>
      <c r="NCZ35" s="25"/>
      <c r="NDG35" s="21"/>
      <c r="NDH35" s="21"/>
      <c r="NDL35" s="15"/>
      <c r="NDR35" s="25"/>
      <c r="NDY35" s="21"/>
      <c r="NDZ35" s="21"/>
      <c r="NED35" s="15"/>
      <c r="NEJ35" s="25"/>
      <c r="NEQ35" s="21"/>
      <c r="NER35" s="21"/>
      <c r="NEV35" s="15"/>
      <c r="NFB35" s="25"/>
      <c r="NFI35" s="21"/>
      <c r="NFJ35" s="21"/>
      <c r="NFN35" s="15"/>
      <c r="NFT35" s="25"/>
      <c r="NGA35" s="21"/>
      <c r="NGB35" s="21"/>
      <c r="NGF35" s="15"/>
      <c r="NGL35" s="25"/>
      <c r="NGS35" s="21"/>
      <c r="NGT35" s="21"/>
      <c r="NGX35" s="15"/>
      <c r="NHD35" s="25"/>
      <c r="NHK35" s="21"/>
      <c r="NHL35" s="21"/>
      <c r="NHP35" s="15"/>
      <c r="NHV35" s="25"/>
      <c r="NIC35" s="21"/>
      <c r="NID35" s="21"/>
      <c r="NIH35" s="15"/>
      <c r="NIN35" s="25"/>
      <c r="NIU35" s="21"/>
      <c r="NIV35" s="21"/>
      <c r="NIZ35" s="15"/>
      <c r="NJF35" s="25"/>
      <c r="NJM35" s="21"/>
      <c r="NJN35" s="21"/>
      <c r="NJR35" s="15"/>
      <c r="NJX35" s="25"/>
      <c r="NKE35" s="21"/>
      <c r="NKF35" s="21"/>
      <c r="NKJ35" s="15"/>
      <c r="NKP35" s="25"/>
      <c r="NKW35" s="21"/>
      <c r="NKX35" s="21"/>
      <c r="NLB35" s="15"/>
      <c r="NLH35" s="25"/>
      <c r="NLO35" s="21"/>
      <c r="NLP35" s="21"/>
      <c r="NLT35" s="15"/>
      <c r="NLZ35" s="25"/>
      <c r="NMG35" s="21"/>
      <c r="NMH35" s="21"/>
      <c r="NML35" s="15"/>
      <c r="NMR35" s="25"/>
      <c r="NMY35" s="21"/>
      <c r="NMZ35" s="21"/>
      <c r="NND35" s="15"/>
      <c r="NNJ35" s="25"/>
      <c r="NNQ35" s="21"/>
      <c r="NNR35" s="21"/>
      <c r="NNV35" s="15"/>
      <c r="NOB35" s="25"/>
      <c r="NOI35" s="21"/>
      <c r="NOJ35" s="21"/>
      <c r="NON35" s="15"/>
      <c r="NOT35" s="25"/>
      <c r="NPA35" s="21"/>
      <c r="NPB35" s="21"/>
      <c r="NPF35" s="15"/>
      <c r="NPL35" s="25"/>
      <c r="NPS35" s="21"/>
      <c r="NPT35" s="21"/>
      <c r="NPX35" s="15"/>
      <c r="NQD35" s="25"/>
      <c r="NQK35" s="21"/>
      <c r="NQL35" s="21"/>
      <c r="NQP35" s="15"/>
      <c r="NQV35" s="25"/>
      <c r="NRC35" s="21"/>
      <c r="NRD35" s="21"/>
      <c r="NRH35" s="15"/>
      <c r="NRN35" s="25"/>
      <c r="NRU35" s="21"/>
      <c r="NRV35" s="21"/>
      <c r="NRZ35" s="15"/>
      <c r="NSF35" s="25"/>
      <c r="NSM35" s="21"/>
      <c r="NSN35" s="21"/>
      <c r="NSR35" s="15"/>
      <c r="NSX35" s="25"/>
      <c r="NTE35" s="21"/>
      <c r="NTF35" s="21"/>
      <c r="NTJ35" s="15"/>
      <c r="NTP35" s="25"/>
      <c r="NTW35" s="21"/>
      <c r="NTX35" s="21"/>
      <c r="NUB35" s="15"/>
      <c r="NUH35" s="25"/>
      <c r="NUO35" s="21"/>
      <c r="NUP35" s="21"/>
      <c r="NUT35" s="15"/>
      <c r="NUZ35" s="25"/>
      <c r="NVG35" s="21"/>
      <c r="NVH35" s="21"/>
      <c r="NVL35" s="15"/>
      <c r="NVR35" s="25"/>
      <c r="NVY35" s="21"/>
      <c r="NVZ35" s="21"/>
      <c r="NWD35" s="15"/>
      <c r="NWJ35" s="25"/>
      <c r="NWQ35" s="21"/>
      <c r="NWR35" s="21"/>
      <c r="NWV35" s="15"/>
      <c r="NXB35" s="25"/>
      <c r="NXI35" s="21"/>
      <c r="NXJ35" s="21"/>
      <c r="NXN35" s="15"/>
      <c r="NXT35" s="25"/>
      <c r="NYA35" s="21"/>
      <c r="NYB35" s="21"/>
      <c r="NYF35" s="15"/>
      <c r="NYL35" s="25"/>
      <c r="NYS35" s="21"/>
      <c r="NYT35" s="21"/>
      <c r="NYX35" s="15"/>
      <c r="NZD35" s="25"/>
      <c r="NZK35" s="21"/>
      <c r="NZL35" s="21"/>
      <c r="NZP35" s="15"/>
      <c r="NZV35" s="25"/>
      <c r="OAC35" s="21"/>
      <c r="OAD35" s="21"/>
      <c r="OAH35" s="15"/>
      <c r="OAN35" s="25"/>
      <c r="OAU35" s="21"/>
      <c r="OAV35" s="21"/>
      <c r="OAZ35" s="15"/>
      <c r="OBF35" s="25"/>
      <c r="OBM35" s="21"/>
      <c r="OBN35" s="21"/>
      <c r="OBR35" s="15"/>
      <c r="OBX35" s="25"/>
      <c r="OCE35" s="21"/>
      <c r="OCF35" s="21"/>
      <c r="OCJ35" s="15"/>
      <c r="OCP35" s="25"/>
      <c r="OCW35" s="21"/>
      <c r="OCX35" s="21"/>
      <c r="ODB35" s="15"/>
      <c r="ODH35" s="25"/>
      <c r="ODO35" s="21"/>
      <c r="ODP35" s="21"/>
      <c r="ODT35" s="15"/>
      <c r="ODZ35" s="25"/>
      <c r="OEG35" s="21"/>
      <c r="OEH35" s="21"/>
      <c r="OEL35" s="15"/>
      <c r="OER35" s="25"/>
      <c r="OEY35" s="21"/>
      <c r="OEZ35" s="21"/>
      <c r="OFD35" s="15"/>
      <c r="OFJ35" s="25"/>
      <c r="OFQ35" s="21"/>
      <c r="OFR35" s="21"/>
      <c r="OFV35" s="15"/>
      <c r="OGB35" s="25"/>
      <c r="OGI35" s="21"/>
      <c r="OGJ35" s="21"/>
      <c r="OGN35" s="15"/>
      <c r="OGT35" s="25"/>
      <c r="OHA35" s="21"/>
      <c r="OHB35" s="21"/>
      <c r="OHF35" s="15"/>
      <c r="OHL35" s="25"/>
      <c r="OHS35" s="21"/>
      <c r="OHT35" s="21"/>
      <c r="OHX35" s="15"/>
      <c r="OID35" s="25"/>
      <c r="OIK35" s="21"/>
      <c r="OIL35" s="21"/>
      <c r="OIP35" s="15"/>
      <c r="OIV35" s="25"/>
      <c r="OJC35" s="21"/>
      <c r="OJD35" s="21"/>
      <c r="OJH35" s="15"/>
      <c r="OJN35" s="25"/>
      <c r="OJU35" s="21"/>
      <c r="OJV35" s="21"/>
      <c r="OJZ35" s="15"/>
      <c r="OKF35" s="25"/>
      <c r="OKM35" s="21"/>
      <c r="OKN35" s="21"/>
      <c r="OKR35" s="15"/>
      <c r="OKX35" s="25"/>
      <c r="OLE35" s="21"/>
      <c r="OLF35" s="21"/>
      <c r="OLJ35" s="15"/>
      <c r="OLP35" s="25"/>
      <c r="OLW35" s="21"/>
      <c r="OLX35" s="21"/>
      <c r="OMB35" s="15"/>
      <c r="OMH35" s="25"/>
      <c r="OMO35" s="21"/>
      <c r="OMP35" s="21"/>
      <c r="OMT35" s="15"/>
      <c r="OMZ35" s="25"/>
      <c r="ONG35" s="21"/>
      <c r="ONH35" s="21"/>
      <c r="ONL35" s="15"/>
      <c r="ONR35" s="25"/>
      <c r="ONY35" s="21"/>
      <c r="ONZ35" s="21"/>
      <c r="OOD35" s="15"/>
      <c r="OOJ35" s="25"/>
      <c r="OOQ35" s="21"/>
      <c r="OOR35" s="21"/>
      <c r="OOV35" s="15"/>
      <c r="OPB35" s="25"/>
      <c r="OPI35" s="21"/>
      <c r="OPJ35" s="21"/>
      <c r="OPN35" s="15"/>
      <c r="OPT35" s="25"/>
      <c r="OQA35" s="21"/>
      <c r="OQB35" s="21"/>
      <c r="OQF35" s="15"/>
      <c r="OQL35" s="25"/>
      <c r="OQS35" s="21"/>
      <c r="OQT35" s="21"/>
      <c r="OQX35" s="15"/>
      <c r="ORD35" s="25"/>
      <c r="ORK35" s="21"/>
      <c r="ORL35" s="21"/>
      <c r="ORP35" s="15"/>
      <c r="ORV35" s="25"/>
      <c r="OSC35" s="21"/>
      <c r="OSD35" s="21"/>
      <c r="OSH35" s="15"/>
      <c r="OSN35" s="25"/>
      <c r="OSU35" s="21"/>
      <c r="OSV35" s="21"/>
      <c r="OSZ35" s="15"/>
      <c r="OTF35" s="25"/>
      <c r="OTM35" s="21"/>
      <c r="OTN35" s="21"/>
      <c r="OTR35" s="15"/>
      <c r="OTX35" s="25"/>
      <c r="OUE35" s="21"/>
      <c r="OUF35" s="21"/>
      <c r="OUJ35" s="15"/>
      <c r="OUP35" s="25"/>
      <c r="OUW35" s="21"/>
      <c r="OUX35" s="21"/>
      <c r="OVB35" s="15"/>
      <c r="OVH35" s="25"/>
      <c r="OVO35" s="21"/>
      <c r="OVP35" s="21"/>
      <c r="OVT35" s="15"/>
      <c r="OVZ35" s="25"/>
      <c r="OWG35" s="21"/>
      <c r="OWH35" s="21"/>
      <c r="OWL35" s="15"/>
      <c r="OWR35" s="25"/>
      <c r="OWY35" s="21"/>
      <c r="OWZ35" s="21"/>
      <c r="OXD35" s="15"/>
      <c r="OXJ35" s="25"/>
      <c r="OXQ35" s="21"/>
      <c r="OXR35" s="21"/>
      <c r="OXV35" s="15"/>
      <c r="OYB35" s="25"/>
      <c r="OYI35" s="21"/>
      <c r="OYJ35" s="21"/>
      <c r="OYN35" s="15"/>
      <c r="OYT35" s="25"/>
      <c r="OZA35" s="21"/>
      <c r="OZB35" s="21"/>
      <c r="OZF35" s="15"/>
      <c r="OZL35" s="25"/>
      <c r="OZS35" s="21"/>
      <c r="OZT35" s="21"/>
      <c r="OZX35" s="15"/>
      <c r="PAD35" s="25"/>
      <c r="PAK35" s="21"/>
      <c r="PAL35" s="21"/>
      <c r="PAP35" s="15"/>
      <c r="PAV35" s="25"/>
      <c r="PBC35" s="21"/>
      <c r="PBD35" s="21"/>
      <c r="PBH35" s="15"/>
      <c r="PBN35" s="25"/>
      <c r="PBU35" s="21"/>
      <c r="PBV35" s="21"/>
      <c r="PBZ35" s="15"/>
      <c r="PCF35" s="25"/>
      <c r="PCM35" s="21"/>
      <c r="PCN35" s="21"/>
      <c r="PCR35" s="15"/>
      <c r="PCX35" s="25"/>
      <c r="PDE35" s="21"/>
      <c r="PDF35" s="21"/>
      <c r="PDJ35" s="15"/>
      <c r="PDP35" s="25"/>
      <c r="PDW35" s="21"/>
      <c r="PDX35" s="21"/>
      <c r="PEB35" s="15"/>
      <c r="PEH35" s="25"/>
      <c r="PEO35" s="21"/>
      <c r="PEP35" s="21"/>
      <c r="PET35" s="15"/>
      <c r="PEZ35" s="25"/>
      <c r="PFG35" s="21"/>
      <c r="PFH35" s="21"/>
      <c r="PFL35" s="15"/>
      <c r="PFR35" s="25"/>
      <c r="PFY35" s="21"/>
      <c r="PFZ35" s="21"/>
      <c r="PGD35" s="15"/>
      <c r="PGJ35" s="25"/>
      <c r="PGQ35" s="21"/>
      <c r="PGR35" s="21"/>
      <c r="PGV35" s="15"/>
      <c r="PHB35" s="25"/>
      <c r="PHI35" s="21"/>
      <c r="PHJ35" s="21"/>
      <c r="PHN35" s="15"/>
      <c r="PHT35" s="25"/>
      <c r="PIA35" s="21"/>
      <c r="PIB35" s="21"/>
      <c r="PIF35" s="15"/>
      <c r="PIL35" s="25"/>
      <c r="PIS35" s="21"/>
      <c r="PIT35" s="21"/>
      <c r="PIX35" s="15"/>
      <c r="PJD35" s="25"/>
      <c r="PJK35" s="21"/>
      <c r="PJL35" s="21"/>
      <c r="PJP35" s="15"/>
      <c r="PJV35" s="25"/>
      <c r="PKC35" s="21"/>
      <c r="PKD35" s="21"/>
      <c r="PKH35" s="15"/>
      <c r="PKN35" s="25"/>
      <c r="PKU35" s="21"/>
      <c r="PKV35" s="21"/>
      <c r="PKZ35" s="15"/>
      <c r="PLF35" s="25"/>
      <c r="PLM35" s="21"/>
      <c r="PLN35" s="21"/>
      <c r="PLR35" s="15"/>
      <c r="PLX35" s="25"/>
      <c r="PME35" s="21"/>
      <c r="PMF35" s="21"/>
      <c r="PMJ35" s="15"/>
      <c r="PMP35" s="25"/>
      <c r="PMW35" s="21"/>
      <c r="PMX35" s="21"/>
      <c r="PNB35" s="15"/>
      <c r="PNH35" s="25"/>
      <c r="PNO35" s="21"/>
      <c r="PNP35" s="21"/>
      <c r="PNT35" s="15"/>
      <c r="PNZ35" s="25"/>
      <c r="POG35" s="21"/>
      <c r="POH35" s="21"/>
      <c r="POL35" s="15"/>
      <c r="POR35" s="25"/>
      <c r="POY35" s="21"/>
      <c r="POZ35" s="21"/>
      <c r="PPD35" s="15"/>
      <c r="PPJ35" s="25"/>
      <c r="PPQ35" s="21"/>
      <c r="PPR35" s="21"/>
      <c r="PPV35" s="15"/>
      <c r="PQB35" s="25"/>
      <c r="PQI35" s="21"/>
      <c r="PQJ35" s="21"/>
      <c r="PQN35" s="15"/>
      <c r="PQT35" s="25"/>
      <c r="PRA35" s="21"/>
      <c r="PRB35" s="21"/>
      <c r="PRF35" s="15"/>
      <c r="PRL35" s="25"/>
      <c r="PRS35" s="21"/>
      <c r="PRT35" s="21"/>
      <c r="PRX35" s="15"/>
      <c r="PSD35" s="25"/>
      <c r="PSK35" s="21"/>
      <c r="PSL35" s="21"/>
      <c r="PSP35" s="15"/>
      <c r="PSV35" s="25"/>
      <c r="PTC35" s="21"/>
      <c r="PTD35" s="21"/>
      <c r="PTH35" s="15"/>
      <c r="PTN35" s="25"/>
      <c r="PTU35" s="21"/>
      <c r="PTV35" s="21"/>
      <c r="PTZ35" s="15"/>
      <c r="PUF35" s="25"/>
      <c r="PUM35" s="21"/>
      <c r="PUN35" s="21"/>
      <c r="PUR35" s="15"/>
      <c r="PUX35" s="25"/>
      <c r="PVE35" s="21"/>
      <c r="PVF35" s="21"/>
      <c r="PVJ35" s="15"/>
      <c r="PVP35" s="25"/>
      <c r="PVW35" s="21"/>
      <c r="PVX35" s="21"/>
      <c r="PWB35" s="15"/>
      <c r="PWH35" s="25"/>
      <c r="PWO35" s="21"/>
      <c r="PWP35" s="21"/>
      <c r="PWT35" s="15"/>
      <c r="PWZ35" s="25"/>
      <c r="PXG35" s="21"/>
      <c r="PXH35" s="21"/>
      <c r="PXL35" s="15"/>
      <c r="PXR35" s="25"/>
      <c r="PXY35" s="21"/>
      <c r="PXZ35" s="21"/>
      <c r="PYD35" s="15"/>
      <c r="PYJ35" s="25"/>
      <c r="PYQ35" s="21"/>
      <c r="PYR35" s="21"/>
      <c r="PYV35" s="15"/>
      <c r="PZB35" s="25"/>
      <c r="PZI35" s="21"/>
      <c r="PZJ35" s="21"/>
      <c r="PZN35" s="15"/>
      <c r="PZT35" s="25"/>
      <c r="QAA35" s="21"/>
      <c r="QAB35" s="21"/>
      <c r="QAF35" s="15"/>
      <c r="QAL35" s="25"/>
      <c r="QAS35" s="21"/>
      <c r="QAT35" s="21"/>
      <c r="QAX35" s="15"/>
      <c r="QBD35" s="25"/>
      <c r="QBK35" s="21"/>
      <c r="QBL35" s="21"/>
      <c r="QBP35" s="15"/>
      <c r="QBV35" s="25"/>
      <c r="QCC35" s="21"/>
      <c r="QCD35" s="21"/>
      <c r="QCH35" s="15"/>
      <c r="QCN35" s="25"/>
      <c r="QCU35" s="21"/>
      <c r="QCV35" s="21"/>
      <c r="QCZ35" s="15"/>
      <c r="QDF35" s="25"/>
      <c r="QDM35" s="21"/>
      <c r="QDN35" s="21"/>
      <c r="QDR35" s="15"/>
      <c r="QDX35" s="25"/>
      <c r="QEE35" s="21"/>
      <c r="QEF35" s="21"/>
      <c r="QEJ35" s="15"/>
      <c r="QEP35" s="25"/>
      <c r="QEW35" s="21"/>
      <c r="QEX35" s="21"/>
      <c r="QFB35" s="15"/>
      <c r="QFH35" s="25"/>
      <c r="QFO35" s="21"/>
      <c r="QFP35" s="21"/>
      <c r="QFT35" s="15"/>
      <c r="QFZ35" s="25"/>
      <c r="QGG35" s="21"/>
      <c r="QGH35" s="21"/>
      <c r="QGL35" s="15"/>
      <c r="QGR35" s="25"/>
      <c r="QGY35" s="21"/>
      <c r="QGZ35" s="21"/>
      <c r="QHD35" s="15"/>
      <c r="QHJ35" s="25"/>
      <c r="QHQ35" s="21"/>
      <c r="QHR35" s="21"/>
      <c r="QHV35" s="15"/>
      <c r="QIB35" s="25"/>
      <c r="QII35" s="21"/>
      <c r="QIJ35" s="21"/>
      <c r="QIN35" s="15"/>
      <c r="QIT35" s="25"/>
      <c r="QJA35" s="21"/>
      <c r="QJB35" s="21"/>
      <c r="QJF35" s="15"/>
      <c r="QJL35" s="25"/>
      <c r="QJS35" s="21"/>
      <c r="QJT35" s="21"/>
      <c r="QJX35" s="15"/>
      <c r="QKD35" s="25"/>
      <c r="QKK35" s="21"/>
      <c r="QKL35" s="21"/>
      <c r="QKP35" s="15"/>
      <c r="QKV35" s="25"/>
      <c r="QLC35" s="21"/>
      <c r="QLD35" s="21"/>
      <c r="QLH35" s="15"/>
      <c r="QLN35" s="25"/>
      <c r="QLU35" s="21"/>
      <c r="QLV35" s="21"/>
      <c r="QLZ35" s="15"/>
      <c r="QMF35" s="25"/>
      <c r="QMM35" s="21"/>
      <c r="QMN35" s="21"/>
      <c r="QMR35" s="15"/>
      <c r="QMX35" s="25"/>
      <c r="QNE35" s="21"/>
      <c r="QNF35" s="21"/>
      <c r="QNJ35" s="15"/>
      <c r="QNP35" s="25"/>
      <c r="QNW35" s="21"/>
      <c r="QNX35" s="21"/>
      <c r="QOB35" s="15"/>
      <c r="QOH35" s="25"/>
      <c r="QOO35" s="21"/>
      <c r="QOP35" s="21"/>
      <c r="QOT35" s="15"/>
      <c r="QOZ35" s="25"/>
      <c r="QPG35" s="21"/>
      <c r="QPH35" s="21"/>
      <c r="QPL35" s="15"/>
      <c r="QPR35" s="25"/>
      <c r="QPY35" s="21"/>
      <c r="QPZ35" s="21"/>
      <c r="QQD35" s="15"/>
      <c r="QQJ35" s="25"/>
      <c r="QQQ35" s="21"/>
      <c r="QQR35" s="21"/>
      <c r="QQV35" s="15"/>
      <c r="QRB35" s="25"/>
      <c r="QRI35" s="21"/>
      <c r="QRJ35" s="21"/>
      <c r="QRN35" s="15"/>
      <c r="QRT35" s="25"/>
      <c r="QSA35" s="21"/>
      <c r="QSB35" s="21"/>
      <c r="QSF35" s="15"/>
      <c r="QSL35" s="25"/>
      <c r="QSS35" s="21"/>
      <c r="QST35" s="21"/>
      <c r="QSX35" s="15"/>
      <c r="QTD35" s="25"/>
      <c r="QTK35" s="21"/>
      <c r="QTL35" s="21"/>
      <c r="QTP35" s="15"/>
      <c r="QTV35" s="25"/>
      <c r="QUC35" s="21"/>
      <c r="QUD35" s="21"/>
      <c r="QUH35" s="15"/>
      <c r="QUN35" s="25"/>
      <c r="QUU35" s="21"/>
      <c r="QUV35" s="21"/>
      <c r="QUZ35" s="15"/>
      <c r="QVF35" s="25"/>
      <c r="QVM35" s="21"/>
      <c r="QVN35" s="21"/>
      <c r="QVR35" s="15"/>
      <c r="QVX35" s="25"/>
      <c r="QWE35" s="21"/>
      <c r="QWF35" s="21"/>
      <c r="QWJ35" s="15"/>
      <c r="QWP35" s="25"/>
      <c r="QWW35" s="21"/>
      <c r="QWX35" s="21"/>
      <c r="QXB35" s="15"/>
      <c r="QXH35" s="25"/>
      <c r="QXO35" s="21"/>
      <c r="QXP35" s="21"/>
      <c r="QXT35" s="15"/>
      <c r="QXZ35" s="25"/>
      <c r="QYG35" s="21"/>
      <c r="QYH35" s="21"/>
      <c r="QYL35" s="15"/>
      <c r="QYR35" s="25"/>
      <c r="QYY35" s="21"/>
      <c r="QYZ35" s="21"/>
      <c r="QZD35" s="15"/>
      <c r="QZJ35" s="25"/>
      <c r="QZQ35" s="21"/>
      <c r="QZR35" s="21"/>
      <c r="QZV35" s="15"/>
      <c r="RAB35" s="25"/>
      <c r="RAI35" s="21"/>
      <c r="RAJ35" s="21"/>
      <c r="RAN35" s="15"/>
      <c r="RAT35" s="25"/>
      <c r="RBA35" s="21"/>
      <c r="RBB35" s="21"/>
      <c r="RBF35" s="15"/>
      <c r="RBL35" s="25"/>
      <c r="RBS35" s="21"/>
      <c r="RBT35" s="21"/>
      <c r="RBX35" s="15"/>
      <c r="RCD35" s="25"/>
      <c r="RCK35" s="21"/>
      <c r="RCL35" s="21"/>
      <c r="RCP35" s="15"/>
      <c r="RCV35" s="25"/>
      <c r="RDC35" s="21"/>
      <c r="RDD35" s="21"/>
      <c r="RDH35" s="15"/>
      <c r="RDN35" s="25"/>
      <c r="RDU35" s="21"/>
      <c r="RDV35" s="21"/>
      <c r="RDZ35" s="15"/>
      <c r="REF35" s="25"/>
      <c r="REM35" s="21"/>
      <c r="REN35" s="21"/>
      <c r="RER35" s="15"/>
      <c r="REX35" s="25"/>
      <c r="RFE35" s="21"/>
      <c r="RFF35" s="21"/>
      <c r="RFJ35" s="15"/>
      <c r="RFP35" s="25"/>
      <c r="RFW35" s="21"/>
      <c r="RFX35" s="21"/>
      <c r="RGB35" s="15"/>
      <c r="RGH35" s="25"/>
      <c r="RGO35" s="21"/>
      <c r="RGP35" s="21"/>
      <c r="RGT35" s="15"/>
      <c r="RGZ35" s="25"/>
      <c r="RHG35" s="21"/>
      <c r="RHH35" s="21"/>
      <c r="RHL35" s="15"/>
      <c r="RHR35" s="25"/>
      <c r="RHY35" s="21"/>
      <c r="RHZ35" s="21"/>
      <c r="RID35" s="15"/>
      <c r="RIJ35" s="25"/>
      <c r="RIQ35" s="21"/>
      <c r="RIR35" s="21"/>
      <c r="RIV35" s="15"/>
      <c r="RJB35" s="25"/>
      <c r="RJI35" s="21"/>
      <c r="RJJ35" s="21"/>
      <c r="RJN35" s="15"/>
      <c r="RJT35" s="25"/>
      <c r="RKA35" s="21"/>
      <c r="RKB35" s="21"/>
      <c r="RKF35" s="15"/>
      <c r="RKL35" s="25"/>
      <c r="RKS35" s="21"/>
      <c r="RKT35" s="21"/>
      <c r="RKX35" s="15"/>
      <c r="RLD35" s="25"/>
      <c r="RLK35" s="21"/>
      <c r="RLL35" s="21"/>
      <c r="RLP35" s="15"/>
      <c r="RLV35" s="25"/>
      <c r="RMC35" s="21"/>
      <c r="RMD35" s="21"/>
      <c r="RMH35" s="15"/>
      <c r="RMN35" s="25"/>
      <c r="RMU35" s="21"/>
      <c r="RMV35" s="21"/>
      <c r="RMZ35" s="15"/>
      <c r="RNF35" s="25"/>
      <c r="RNM35" s="21"/>
      <c r="RNN35" s="21"/>
      <c r="RNR35" s="15"/>
      <c r="RNX35" s="25"/>
      <c r="ROE35" s="21"/>
      <c r="ROF35" s="21"/>
      <c r="ROJ35" s="15"/>
      <c r="ROP35" s="25"/>
      <c r="ROW35" s="21"/>
      <c r="ROX35" s="21"/>
      <c r="RPB35" s="15"/>
      <c r="RPH35" s="25"/>
      <c r="RPO35" s="21"/>
      <c r="RPP35" s="21"/>
      <c r="RPT35" s="15"/>
      <c r="RPZ35" s="25"/>
      <c r="RQG35" s="21"/>
      <c r="RQH35" s="21"/>
      <c r="RQL35" s="15"/>
      <c r="RQR35" s="25"/>
      <c r="RQY35" s="21"/>
      <c r="RQZ35" s="21"/>
      <c r="RRD35" s="15"/>
      <c r="RRJ35" s="25"/>
      <c r="RRQ35" s="21"/>
      <c r="RRR35" s="21"/>
      <c r="RRV35" s="15"/>
      <c r="RSB35" s="25"/>
      <c r="RSI35" s="21"/>
      <c r="RSJ35" s="21"/>
      <c r="RSN35" s="15"/>
      <c r="RST35" s="25"/>
      <c r="RTA35" s="21"/>
      <c r="RTB35" s="21"/>
      <c r="RTF35" s="15"/>
      <c r="RTL35" s="25"/>
      <c r="RTS35" s="21"/>
      <c r="RTT35" s="21"/>
      <c r="RTX35" s="15"/>
      <c r="RUD35" s="25"/>
      <c r="RUK35" s="21"/>
      <c r="RUL35" s="21"/>
      <c r="RUP35" s="15"/>
      <c r="RUV35" s="25"/>
      <c r="RVC35" s="21"/>
      <c r="RVD35" s="21"/>
      <c r="RVH35" s="15"/>
      <c r="RVN35" s="25"/>
      <c r="RVU35" s="21"/>
      <c r="RVV35" s="21"/>
      <c r="RVZ35" s="15"/>
      <c r="RWF35" s="25"/>
      <c r="RWM35" s="21"/>
      <c r="RWN35" s="21"/>
      <c r="RWR35" s="15"/>
      <c r="RWX35" s="25"/>
      <c r="RXE35" s="21"/>
      <c r="RXF35" s="21"/>
      <c r="RXJ35" s="15"/>
      <c r="RXP35" s="25"/>
      <c r="RXW35" s="21"/>
      <c r="RXX35" s="21"/>
      <c r="RYB35" s="15"/>
      <c r="RYH35" s="25"/>
      <c r="RYO35" s="21"/>
      <c r="RYP35" s="21"/>
      <c r="RYT35" s="15"/>
      <c r="RYZ35" s="25"/>
      <c r="RZG35" s="21"/>
      <c r="RZH35" s="21"/>
      <c r="RZL35" s="15"/>
      <c r="RZR35" s="25"/>
      <c r="RZY35" s="21"/>
      <c r="RZZ35" s="21"/>
      <c r="SAD35" s="15"/>
      <c r="SAJ35" s="25"/>
      <c r="SAQ35" s="21"/>
      <c r="SAR35" s="21"/>
      <c r="SAV35" s="15"/>
      <c r="SBB35" s="25"/>
      <c r="SBI35" s="21"/>
      <c r="SBJ35" s="21"/>
      <c r="SBN35" s="15"/>
      <c r="SBT35" s="25"/>
      <c r="SCA35" s="21"/>
      <c r="SCB35" s="21"/>
      <c r="SCF35" s="15"/>
      <c r="SCL35" s="25"/>
      <c r="SCS35" s="21"/>
      <c r="SCT35" s="21"/>
      <c r="SCX35" s="15"/>
      <c r="SDD35" s="25"/>
      <c r="SDK35" s="21"/>
      <c r="SDL35" s="21"/>
      <c r="SDP35" s="15"/>
      <c r="SDV35" s="25"/>
      <c r="SEC35" s="21"/>
      <c r="SED35" s="21"/>
      <c r="SEH35" s="15"/>
      <c r="SEN35" s="25"/>
      <c r="SEU35" s="21"/>
      <c r="SEV35" s="21"/>
      <c r="SEZ35" s="15"/>
      <c r="SFF35" s="25"/>
      <c r="SFM35" s="21"/>
      <c r="SFN35" s="21"/>
      <c r="SFR35" s="15"/>
      <c r="SFX35" s="25"/>
      <c r="SGE35" s="21"/>
      <c r="SGF35" s="21"/>
      <c r="SGJ35" s="15"/>
      <c r="SGP35" s="25"/>
      <c r="SGW35" s="21"/>
      <c r="SGX35" s="21"/>
      <c r="SHB35" s="15"/>
      <c r="SHH35" s="25"/>
      <c r="SHO35" s="21"/>
      <c r="SHP35" s="21"/>
      <c r="SHT35" s="15"/>
      <c r="SHZ35" s="25"/>
      <c r="SIG35" s="21"/>
      <c r="SIH35" s="21"/>
      <c r="SIL35" s="15"/>
      <c r="SIR35" s="25"/>
      <c r="SIY35" s="21"/>
      <c r="SIZ35" s="21"/>
      <c r="SJD35" s="15"/>
      <c r="SJJ35" s="25"/>
      <c r="SJQ35" s="21"/>
      <c r="SJR35" s="21"/>
      <c r="SJV35" s="15"/>
      <c r="SKB35" s="25"/>
      <c r="SKI35" s="21"/>
      <c r="SKJ35" s="21"/>
      <c r="SKN35" s="15"/>
      <c r="SKT35" s="25"/>
      <c r="SLA35" s="21"/>
      <c r="SLB35" s="21"/>
      <c r="SLF35" s="15"/>
      <c r="SLL35" s="25"/>
      <c r="SLS35" s="21"/>
      <c r="SLT35" s="21"/>
      <c r="SLX35" s="15"/>
      <c r="SMD35" s="25"/>
      <c r="SMK35" s="21"/>
      <c r="SML35" s="21"/>
      <c r="SMP35" s="15"/>
      <c r="SMV35" s="25"/>
      <c r="SNC35" s="21"/>
      <c r="SND35" s="21"/>
      <c r="SNH35" s="15"/>
      <c r="SNN35" s="25"/>
      <c r="SNU35" s="21"/>
      <c r="SNV35" s="21"/>
      <c r="SNZ35" s="15"/>
      <c r="SOF35" s="25"/>
      <c r="SOM35" s="21"/>
      <c r="SON35" s="21"/>
      <c r="SOR35" s="15"/>
      <c r="SOX35" s="25"/>
      <c r="SPE35" s="21"/>
      <c r="SPF35" s="21"/>
      <c r="SPJ35" s="15"/>
      <c r="SPP35" s="25"/>
      <c r="SPW35" s="21"/>
      <c r="SPX35" s="21"/>
      <c r="SQB35" s="15"/>
      <c r="SQH35" s="25"/>
      <c r="SQO35" s="21"/>
      <c r="SQP35" s="21"/>
      <c r="SQT35" s="15"/>
      <c r="SQZ35" s="25"/>
      <c r="SRG35" s="21"/>
      <c r="SRH35" s="21"/>
      <c r="SRL35" s="15"/>
      <c r="SRR35" s="25"/>
      <c r="SRY35" s="21"/>
      <c r="SRZ35" s="21"/>
      <c r="SSD35" s="15"/>
      <c r="SSJ35" s="25"/>
      <c r="SSQ35" s="21"/>
      <c r="SSR35" s="21"/>
      <c r="SSV35" s="15"/>
      <c r="STB35" s="25"/>
      <c r="STI35" s="21"/>
      <c r="STJ35" s="21"/>
      <c r="STN35" s="15"/>
      <c r="STT35" s="25"/>
      <c r="SUA35" s="21"/>
      <c r="SUB35" s="21"/>
      <c r="SUF35" s="15"/>
      <c r="SUL35" s="25"/>
      <c r="SUS35" s="21"/>
      <c r="SUT35" s="21"/>
      <c r="SUX35" s="15"/>
      <c r="SVD35" s="25"/>
      <c r="SVK35" s="21"/>
      <c r="SVL35" s="21"/>
      <c r="SVP35" s="15"/>
      <c r="SVV35" s="25"/>
      <c r="SWC35" s="21"/>
      <c r="SWD35" s="21"/>
      <c r="SWH35" s="15"/>
      <c r="SWN35" s="25"/>
      <c r="SWU35" s="21"/>
      <c r="SWV35" s="21"/>
      <c r="SWZ35" s="15"/>
      <c r="SXF35" s="25"/>
      <c r="SXM35" s="21"/>
      <c r="SXN35" s="21"/>
      <c r="SXR35" s="15"/>
      <c r="SXX35" s="25"/>
      <c r="SYE35" s="21"/>
      <c r="SYF35" s="21"/>
      <c r="SYJ35" s="15"/>
      <c r="SYP35" s="25"/>
      <c r="SYW35" s="21"/>
      <c r="SYX35" s="21"/>
      <c r="SZB35" s="15"/>
      <c r="SZH35" s="25"/>
      <c r="SZO35" s="21"/>
      <c r="SZP35" s="21"/>
      <c r="SZT35" s="15"/>
      <c r="SZZ35" s="25"/>
      <c r="TAG35" s="21"/>
      <c r="TAH35" s="21"/>
      <c r="TAL35" s="15"/>
      <c r="TAR35" s="25"/>
      <c r="TAY35" s="21"/>
      <c r="TAZ35" s="21"/>
      <c r="TBD35" s="15"/>
      <c r="TBJ35" s="25"/>
      <c r="TBQ35" s="21"/>
      <c r="TBR35" s="21"/>
      <c r="TBV35" s="15"/>
      <c r="TCB35" s="25"/>
      <c r="TCI35" s="21"/>
      <c r="TCJ35" s="21"/>
      <c r="TCN35" s="15"/>
      <c r="TCT35" s="25"/>
      <c r="TDA35" s="21"/>
      <c r="TDB35" s="21"/>
      <c r="TDF35" s="15"/>
      <c r="TDL35" s="25"/>
      <c r="TDS35" s="21"/>
      <c r="TDT35" s="21"/>
      <c r="TDX35" s="15"/>
      <c r="TED35" s="25"/>
      <c r="TEK35" s="21"/>
      <c r="TEL35" s="21"/>
      <c r="TEP35" s="15"/>
      <c r="TEV35" s="25"/>
      <c r="TFC35" s="21"/>
      <c r="TFD35" s="21"/>
      <c r="TFH35" s="15"/>
      <c r="TFN35" s="25"/>
      <c r="TFU35" s="21"/>
      <c r="TFV35" s="21"/>
      <c r="TFZ35" s="15"/>
      <c r="TGF35" s="25"/>
      <c r="TGM35" s="21"/>
      <c r="TGN35" s="21"/>
      <c r="TGR35" s="15"/>
      <c r="TGX35" s="25"/>
      <c r="THE35" s="21"/>
      <c r="THF35" s="21"/>
      <c r="THJ35" s="15"/>
      <c r="THP35" s="25"/>
      <c r="THW35" s="21"/>
      <c r="THX35" s="21"/>
      <c r="TIB35" s="15"/>
      <c r="TIH35" s="25"/>
      <c r="TIO35" s="21"/>
      <c r="TIP35" s="21"/>
      <c r="TIT35" s="15"/>
      <c r="TIZ35" s="25"/>
      <c r="TJG35" s="21"/>
      <c r="TJH35" s="21"/>
      <c r="TJL35" s="15"/>
      <c r="TJR35" s="25"/>
      <c r="TJY35" s="21"/>
      <c r="TJZ35" s="21"/>
      <c r="TKD35" s="15"/>
      <c r="TKJ35" s="25"/>
      <c r="TKQ35" s="21"/>
      <c r="TKR35" s="21"/>
      <c r="TKV35" s="15"/>
      <c r="TLB35" s="25"/>
      <c r="TLI35" s="21"/>
      <c r="TLJ35" s="21"/>
      <c r="TLN35" s="15"/>
      <c r="TLT35" s="25"/>
      <c r="TMA35" s="21"/>
      <c r="TMB35" s="21"/>
      <c r="TMF35" s="15"/>
      <c r="TML35" s="25"/>
      <c r="TMS35" s="21"/>
      <c r="TMT35" s="21"/>
      <c r="TMX35" s="15"/>
      <c r="TND35" s="25"/>
      <c r="TNK35" s="21"/>
      <c r="TNL35" s="21"/>
      <c r="TNP35" s="15"/>
      <c r="TNV35" s="25"/>
      <c r="TOC35" s="21"/>
      <c r="TOD35" s="21"/>
      <c r="TOH35" s="15"/>
      <c r="TON35" s="25"/>
      <c r="TOU35" s="21"/>
      <c r="TOV35" s="21"/>
      <c r="TOZ35" s="15"/>
      <c r="TPF35" s="25"/>
      <c r="TPM35" s="21"/>
      <c r="TPN35" s="21"/>
      <c r="TPR35" s="15"/>
      <c r="TPX35" s="25"/>
      <c r="TQE35" s="21"/>
      <c r="TQF35" s="21"/>
      <c r="TQJ35" s="15"/>
      <c r="TQP35" s="25"/>
      <c r="TQW35" s="21"/>
      <c r="TQX35" s="21"/>
      <c r="TRB35" s="15"/>
      <c r="TRH35" s="25"/>
      <c r="TRO35" s="21"/>
      <c r="TRP35" s="21"/>
      <c r="TRT35" s="15"/>
      <c r="TRZ35" s="25"/>
      <c r="TSG35" s="21"/>
      <c r="TSH35" s="21"/>
      <c r="TSL35" s="15"/>
      <c r="TSR35" s="25"/>
      <c r="TSY35" s="21"/>
      <c r="TSZ35" s="21"/>
      <c r="TTD35" s="15"/>
      <c r="TTJ35" s="25"/>
      <c r="TTQ35" s="21"/>
      <c r="TTR35" s="21"/>
      <c r="TTV35" s="15"/>
      <c r="TUB35" s="25"/>
      <c r="TUI35" s="21"/>
      <c r="TUJ35" s="21"/>
      <c r="TUN35" s="15"/>
      <c r="TUT35" s="25"/>
      <c r="TVA35" s="21"/>
      <c r="TVB35" s="21"/>
      <c r="TVF35" s="15"/>
      <c r="TVL35" s="25"/>
      <c r="TVS35" s="21"/>
      <c r="TVT35" s="21"/>
      <c r="TVX35" s="15"/>
      <c r="TWD35" s="25"/>
      <c r="TWK35" s="21"/>
      <c r="TWL35" s="21"/>
      <c r="TWP35" s="15"/>
      <c r="TWV35" s="25"/>
      <c r="TXC35" s="21"/>
      <c r="TXD35" s="21"/>
      <c r="TXH35" s="15"/>
      <c r="TXN35" s="25"/>
      <c r="TXU35" s="21"/>
      <c r="TXV35" s="21"/>
      <c r="TXZ35" s="15"/>
      <c r="TYF35" s="25"/>
      <c r="TYM35" s="21"/>
      <c r="TYN35" s="21"/>
      <c r="TYR35" s="15"/>
      <c r="TYX35" s="25"/>
      <c r="TZE35" s="21"/>
      <c r="TZF35" s="21"/>
      <c r="TZJ35" s="15"/>
      <c r="TZP35" s="25"/>
      <c r="TZW35" s="21"/>
      <c r="TZX35" s="21"/>
      <c r="UAB35" s="15"/>
      <c r="UAH35" s="25"/>
      <c r="UAO35" s="21"/>
      <c r="UAP35" s="21"/>
      <c r="UAT35" s="15"/>
      <c r="UAZ35" s="25"/>
      <c r="UBG35" s="21"/>
      <c r="UBH35" s="21"/>
      <c r="UBL35" s="15"/>
      <c r="UBR35" s="25"/>
      <c r="UBY35" s="21"/>
      <c r="UBZ35" s="21"/>
      <c r="UCD35" s="15"/>
      <c r="UCJ35" s="25"/>
      <c r="UCQ35" s="21"/>
      <c r="UCR35" s="21"/>
      <c r="UCV35" s="15"/>
      <c r="UDB35" s="25"/>
      <c r="UDI35" s="21"/>
      <c r="UDJ35" s="21"/>
      <c r="UDN35" s="15"/>
      <c r="UDT35" s="25"/>
      <c r="UEA35" s="21"/>
      <c r="UEB35" s="21"/>
      <c r="UEF35" s="15"/>
      <c r="UEL35" s="25"/>
      <c r="UES35" s="21"/>
      <c r="UET35" s="21"/>
      <c r="UEX35" s="15"/>
      <c r="UFD35" s="25"/>
      <c r="UFK35" s="21"/>
      <c r="UFL35" s="21"/>
      <c r="UFP35" s="15"/>
      <c r="UFV35" s="25"/>
      <c r="UGC35" s="21"/>
      <c r="UGD35" s="21"/>
      <c r="UGH35" s="15"/>
      <c r="UGN35" s="25"/>
      <c r="UGU35" s="21"/>
      <c r="UGV35" s="21"/>
      <c r="UGZ35" s="15"/>
      <c r="UHF35" s="25"/>
      <c r="UHM35" s="21"/>
      <c r="UHN35" s="21"/>
      <c r="UHR35" s="15"/>
      <c r="UHX35" s="25"/>
      <c r="UIE35" s="21"/>
      <c r="UIF35" s="21"/>
      <c r="UIJ35" s="15"/>
      <c r="UIP35" s="25"/>
      <c r="UIW35" s="21"/>
      <c r="UIX35" s="21"/>
      <c r="UJB35" s="15"/>
      <c r="UJH35" s="25"/>
      <c r="UJO35" s="21"/>
      <c r="UJP35" s="21"/>
      <c r="UJT35" s="15"/>
      <c r="UJZ35" s="25"/>
      <c r="UKG35" s="21"/>
      <c r="UKH35" s="21"/>
      <c r="UKL35" s="15"/>
      <c r="UKR35" s="25"/>
      <c r="UKY35" s="21"/>
      <c r="UKZ35" s="21"/>
      <c r="ULD35" s="15"/>
      <c r="ULJ35" s="25"/>
      <c r="ULQ35" s="21"/>
      <c r="ULR35" s="21"/>
      <c r="ULV35" s="15"/>
      <c r="UMB35" s="25"/>
      <c r="UMI35" s="21"/>
      <c r="UMJ35" s="21"/>
      <c r="UMN35" s="15"/>
      <c r="UMT35" s="25"/>
      <c r="UNA35" s="21"/>
      <c r="UNB35" s="21"/>
      <c r="UNF35" s="15"/>
      <c r="UNL35" s="25"/>
      <c r="UNS35" s="21"/>
      <c r="UNT35" s="21"/>
      <c r="UNX35" s="15"/>
      <c r="UOD35" s="25"/>
      <c r="UOK35" s="21"/>
      <c r="UOL35" s="21"/>
      <c r="UOP35" s="15"/>
      <c r="UOV35" s="25"/>
      <c r="UPC35" s="21"/>
      <c r="UPD35" s="21"/>
      <c r="UPH35" s="15"/>
      <c r="UPN35" s="25"/>
      <c r="UPU35" s="21"/>
      <c r="UPV35" s="21"/>
      <c r="UPZ35" s="15"/>
      <c r="UQF35" s="25"/>
      <c r="UQM35" s="21"/>
      <c r="UQN35" s="21"/>
      <c r="UQR35" s="15"/>
      <c r="UQX35" s="25"/>
      <c r="URE35" s="21"/>
      <c r="URF35" s="21"/>
      <c r="URJ35" s="15"/>
      <c r="URP35" s="25"/>
      <c r="URW35" s="21"/>
      <c r="URX35" s="21"/>
      <c r="USB35" s="15"/>
      <c r="USH35" s="25"/>
      <c r="USO35" s="21"/>
      <c r="USP35" s="21"/>
      <c r="UST35" s="15"/>
      <c r="USZ35" s="25"/>
      <c r="UTG35" s="21"/>
      <c r="UTH35" s="21"/>
      <c r="UTL35" s="15"/>
      <c r="UTR35" s="25"/>
      <c r="UTY35" s="21"/>
      <c r="UTZ35" s="21"/>
      <c r="UUD35" s="15"/>
      <c r="UUJ35" s="25"/>
      <c r="UUQ35" s="21"/>
      <c r="UUR35" s="21"/>
      <c r="UUV35" s="15"/>
      <c r="UVB35" s="25"/>
      <c r="UVI35" s="21"/>
      <c r="UVJ35" s="21"/>
      <c r="UVN35" s="15"/>
      <c r="UVT35" s="25"/>
      <c r="UWA35" s="21"/>
      <c r="UWB35" s="21"/>
      <c r="UWF35" s="15"/>
      <c r="UWL35" s="25"/>
      <c r="UWS35" s="21"/>
      <c r="UWT35" s="21"/>
      <c r="UWX35" s="15"/>
      <c r="UXD35" s="25"/>
      <c r="UXK35" s="21"/>
      <c r="UXL35" s="21"/>
      <c r="UXP35" s="15"/>
      <c r="UXV35" s="25"/>
      <c r="UYC35" s="21"/>
      <c r="UYD35" s="21"/>
      <c r="UYH35" s="15"/>
      <c r="UYN35" s="25"/>
      <c r="UYU35" s="21"/>
      <c r="UYV35" s="21"/>
      <c r="UYZ35" s="15"/>
      <c r="UZF35" s="25"/>
      <c r="UZM35" s="21"/>
      <c r="UZN35" s="21"/>
      <c r="UZR35" s="15"/>
      <c r="UZX35" s="25"/>
      <c r="VAE35" s="21"/>
      <c r="VAF35" s="21"/>
      <c r="VAJ35" s="15"/>
      <c r="VAP35" s="25"/>
      <c r="VAW35" s="21"/>
      <c r="VAX35" s="21"/>
      <c r="VBB35" s="15"/>
      <c r="VBH35" s="25"/>
      <c r="VBO35" s="21"/>
      <c r="VBP35" s="21"/>
      <c r="VBT35" s="15"/>
      <c r="VBZ35" s="25"/>
      <c r="VCG35" s="21"/>
      <c r="VCH35" s="21"/>
      <c r="VCL35" s="15"/>
      <c r="VCR35" s="25"/>
      <c r="VCY35" s="21"/>
      <c r="VCZ35" s="21"/>
      <c r="VDD35" s="15"/>
      <c r="VDJ35" s="25"/>
      <c r="VDQ35" s="21"/>
      <c r="VDR35" s="21"/>
      <c r="VDV35" s="15"/>
      <c r="VEB35" s="25"/>
      <c r="VEI35" s="21"/>
      <c r="VEJ35" s="21"/>
      <c r="VEN35" s="15"/>
      <c r="VET35" s="25"/>
      <c r="VFA35" s="21"/>
      <c r="VFB35" s="21"/>
      <c r="VFF35" s="15"/>
      <c r="VFL35" s="25"/>
      <c r="VFS35" s="21"/>
      <c r="VFT35" s="21"/>
      <c r="VFX35" s="15"/>
      <c r="VGD35" s="25"/>
      <c r="VGK35" s="21"/>
      <c r="VGL35" s="21"/>
      <c r="VGP35" s="15"/>
      <c r="VGV35" s="25"/>
      <c r="VHC35" s="21"/>
      <c r="VHD35" s="21"/>
      <c r="VHH35" s="15"/>
      <c r="VHN35" s="25"/>
      <c r="VHU35" s="21"/>
      <c r="VHV35" s="21"/>
      <c r="VHZ35" s="15"/>
      <c r="VIF35" s="25"/>
      <c r="VIM35" s="21"/>
      <c r="VIN35" s="21"/>
      <c r="VIR35" s="15"/>
      <c r="VIX35" s="25"/>
      <c r="VJE35" s="21"/>
      <c r="VJF35" s="21"/>
      <c r="VJJ35" s="15"/>
      <c r="VJP35" s="25"/>
      <c r="VJW35" s="21"/>
      <c r="VJX35" s="21"/>
      <c r="VKB35" s="15"/>
      <c r="VKH35" s="25"/>
      <c r="VKO35" s="21"/>
      <c r="VKP35" s="21"/>
      <c r="VKT35" s="15"/>
      <c r="VKZ35" s="25"/>
      <c r="VLG35" s="21"/>
      <c r="VLH35" s="21"/>
      <c r="VLL35" s="15"/>
      <c r="VLR35" s="25"/>
      <c r="VLY35" s="21"/>
      <c r="VLZ35" s="21"/>
      <c r="VMD35" s="15"/>
      <c r="VMJ35" s="25"/>
      <c r="VMQ35" s="21"/>
      <c r="VMR35" s="21"/>
      <c r="VMV35" s="15"/>
      <c r="VNB35" s="25"/>
      <c r="VNI35" s="21"/>
      <c r="VNJ35" s="21"/>
      <c r="VNN35" s="15"/>
      <c r="VNT35" s="25"/>
      <c r="VOA35" s="21"/>
      <c r="VOB35" s="21"/>
      <c r="VOF35" s="15"/>
      <c r="VOL35" s="25"/>
      <c r="VOS35" s="21"/>
      <c r="VOT35" s="21"/>
      <c r="VOX35" s="15"/>
      <c r="VPD35" s="25"/>
      <c r="VPK35" s="21"/>
      <c r="VPL35" s="21"/>
      <c r="VPP35" s="15"/>
      <c r="VPV35" s="25"/>
      <c r="VQC35" s="21"/>
      <c r="VQD35" s="21"/>
      <c r="VQH35" s="15"/>
      <c r="VQN35" s="25"/>
      <c r="VQU35" s="21"/>
      <c r="VQV35" s="21"/>
      <c r="VQZ35" s="15"/>
      <c r="VRF35" s="25"/>
      <c r="VRM35" s="21"/>
      <c r="VRN35" s="21"/>
      <c r="VRR35" s="15"/>
      <c r="VRX35" s="25"/>
      <c r="VSE35" s="21"/>
      <c r="VSF35" s="21"/>
      <c r="VSJ35" s="15"/>
      <c r="VSP35" s="25"/>
      <c r="VSW35" s="21"/>
      <c r="VSX35" s="21"/>
      <c r="VTB35" s="15"/>
      <c r="VTH35" s="25"/>
      <c r="VTO35" s="21"/>
      <c r="VTP35" s="21"/>
      <c r="VTT35" s="15"/>
      <c r="VTZ35" s="25"/>
      <c r="VUG35" s="21"/>
      <c r="VUH35" s="21"/>
      <c r="VUL35" s="15"/>
      <c r="VUR35" s="25"/>
      <c r="VUY35" s="21"/>
      <c r="VUZ35" s="21"/>
      <c r="VVD35" s="15"/>
      <c r="VVJ35" s="25"/>
      <c r="VVQ35" s="21"/>
      <c r="VVR35" s="21"/>
      <c r="VVV35" s="15"/>
      <c r="VWB35" s="25"/>
      <c r="VWI35" s="21"/>
      <c r="VWJ35" s="21"/>
      <c r="VWN35" s="15"/>
      <c r="VWT35" s="25"/>
      <c r="VXA35" s="21"/>
      <c r="VXB35" s="21"/>
      <c r="VXF35" s="15"/>
      <c r="VXL35" s="25"/>
      <c r="VXS35" s="21"/>
      <c r="VXT35" s="21"/>
      <c r="VXX35" s="15"/>
      <c r="VYD35" s="25"/>
      <c r="VYK35" s="21"/>
      <c r="VYL35" s="21"/>
      <c r="VYP35" s="15"/>
      <c r="VYV35" s="25"/>
      <c r="VZC35" s="21"/>
      <c r="VZD35" s="21"/>
      <c r="VZH35" s="15"/>
      <c r="VZN35" s="25"/>
      <c r="VZU35" s="21"/>
      <c r="VZV35" s="21"/>
      <c r="VZZ35" s="15"/>
      <c r="WAF35" s="25"/>
      <c r="WAM35" s="21"/>
      <c r="WAN35" s="21"/>
      <c r="WAR35" s="15"/>
      <c r="WAX35" s="25"/>
      <c r="WBE35" s="21"/>
      <c r="WBF35" s="21"/>
      <c r="WBJ35" s="15"/>
      <c r="WBP35" s="25"/>
      <c r="WBW35" s="21"/>
      <c r="WBX35" s="21"/>
      <c r="WCB35" s="15"/>
      <c r="WCH35" s="25"/>
      <c r="WCO35" s="21"/>
      <c r="WCP35" s="21"/>
      <c r="WCT35" s="15"/>
      <c r="WCZ35" s="25"/>
      <c r="WDG35" s="21"/>
      <c r="WDH35" s="21"/>
      <c r="WDL35" s="15"/>
      <c r="WDR35" s="25"/>
      <c r="WDY35" s="21"/>
      <c r="WDZ35" s="21"/>
      <c r="WED35" s="15"/>
      <c r="WEJ35" s="25"/>
      <c r="WEQ35" s="21"/>
      <c r="WER35" s="21"/>
      <c r="WEV35" s="15"/>
      <c r="WFB35" s="25"/>
      <c r="WFI35" s="21"/>
      <c r="WFJ35" s="21"/>
      <c r="WFN35" s="15"/>
      <c r="WFT35" s="25"/>
      <c r="WGA35" s="21"/>
      <c r="WGB35" s="21"/>
      <c r="WGF35" s="15"/>
      <c r="WGL35" s="25"/>
      <c r="WGS35" s="21"/>
      <c r="WGT35" s="21"/>
      <c r="WGX35" s="15"/>
      <c r="WHD35" s="25"/>
      <c r="WHK35" s="21"/>
      <c r="WHL35" s="21"/>
      <c r="WHP35" s="15"/>
      <c r="WHV35" s="25"/>
      <c r="WIC35" s="21"/>
      <c r="WID35" s="21"/>
      <c r="WIH35" s="15"/>
      <c r="WIN35" s="25"/>
      <c r="WIU35" s="21"/>
      <c r="WIV35" s="21"/>
      <c r="WIZ35" s="15"/>
      <c r="WJF35" s="25"/>
      <c r="WJM35" s="21"/>
      <c r="WJN35" s="21"/>
      <c r="WJR35" s="15"/>
      <c r="WJX35" s="25"/>
      <c r="WKE35" s="21"/>
      <c r="WKF35" s="21"/>
      <c r="WKJ35" s="15"/>
      <c r="WKP35" s="25"/>
      <c r="WKW35" s="21"/>
      <c r="WKX35" s="21"/>
      <c r="WLB35" s="15"/>
      <c r="WLH35" s="25"/>
      <c r="WLO35" s="21"/>
      <c r="WLP35" s="21"/>
      <c r="WLT35" s="15"/>
      <c r="WLZ35" s="25"/>
      <c r="WMG35" s="21"/>
      <c r="WMH35" s="21"/>
      <c r="WML35" s="15"/>
      <c r="WMR35" s="25"/>
      <c r="WMY35" s="21"/>
      <c r="WMZ35" s="21"/>
      <c r="WND35" s="15"/>
      <c r="WNJ35" s="25"/>
      <c r="WNQ35" s="21"/>
      <c r="WNR35" s="21"/>
      <c r="WNV35" s="15"/>
      <c r="WOB35" s="25"/>
      <c r="WOI35" s="21"/>
      <c r="WOJ35" s="21"/>
      <c r="WON35" s="15"/>
      <c r="WOT35" s="25"/>
      <c r="WPA35" s="21"/>
      <c r="WPB35" s="21"/>
      <c r="WPF35" s="15"/>
      <c r="WPL35" s="25"/>
      <c r="WPS35" s="21"/>
      <c r="WPT35" s="21"/>
      <c r="WPX35" s="15"/>
      <c r="WQD35" s="25"/>
      <c r="WQK35" s="21"/>
      <c r="WQL35" s="21"/>
      <c r="WQP35" s="15"/>
      <c r="WQV35" s="25"/>
      <c r="WRC35" s="21"/>
      <c r="WRD35" s="21"/>
      <c r="WRH35" s="15"/>
      <c r="WRN35" s="25"/>
      <c r="WRU35" s="21"/>
      <c r="WRV35" s="21"/>
      <c r="WRZ35" s="15"/>
      <c r="WSF35" s="25"/>
      <c r="WSM35" s="21"/>
      <c r="WSN35" s="21"/>
      <c r="WSR35" s="15"/>
      <c r="WSX35" s="25"/>
      <c r="WTE35" s="21"/>
      <c r="WTF35" s="21"/>
      <c r="WTJ35" s="15"/>
      <c r="WTP35" s="25"/>
      <c r="WTW35" s="21"/>
      <c r="WTX35" s="21"/>
      <c r="WUB35" s="15"/>
      <c r="WUH35" s="25"/>
      <c r="WUO35" s="21"/>
      <c r="WUP35" s="21"/>
      <c r="WUT35" s="15"/>
      <c r="WUZ35" s="25"/>
      <c r="WVG35" s="21"/>
      <c r="WVH35" s="21"/>
      <c r="WVL35" s="15"/>
      <c r="WVR35" s="25"/>
      <c r="WVY35" s="21"/>
      <c r="WVZ35" s="21"/>
      <c r="WWD35" s="15"/>
      <c r="WWJ35" s="25"/>
      <c r="WWQ35" s="21"/>
      <c r="WWR35" s="21"/>
      <c r="WWV35" s="15"/>
      <c r="WXB35" s="25"/>
      <c r="WXI35" s="21"/>
      <c r="WXJ35" s="21"/>
      <c r="WXN35" s="15"/>
      <c r="WXT35" s="25"/>
      <c r="WYA35" s="21"/>
      <c r="WYB35" s="21"/>
      <c r="WYF35" s="15"/>
      <c r="WYL35" s="25"/>
      <c r="WYS35" s="21"/>
      <c r="WYT35" s="21"/>
      <c r="WYX35" s="15"/>
      <c r="WZD35" s="25"/>
      <c r="WZK35" s="21"/>
      <c r="WZL35" s="21"/>
      <c r="WZP35" s="15"/>
      <c r="WZV35" s="25"/>
      <c r="XAC35" s="21"/>
      <c r="XAD35" s="21"/>
      <c r="XAH35" s="15"/>
      <c r="XAN35" s="25"/>
      <c r="XAU35" s="21"/>
      <c r="XAV35" s="21"/>
      <c r="XAZ35" s="15"/>
      <c r="XBF35" s="25"/>
      <c r="XBM35" s="21"/>
      <c r="XBN35" s="21"/>
      <c r="XBR35" s="15"/>
      <c r="XBX35" s="25"/>
      <c r="XCE35" s="21"/>
      <c r="XCF35" s="21"/>
      <c r="XCJ35" s="15"/>
      <c r="XCP35" s="25"/>
      <c r="XCW35" s="21"/>
      <c r="XCX35" s="21"/>
      <c r="XDB35" s="15"/>
      <c r="XDH35" s="25"/>
      <c r="XDO35" s="21"/>
      <c r="XDP35" s="21"/>
      <c r="XDT35" s="15"/>
      <c r="XDZ35" s="25"/>
      <c r="XEG35" s="21"/>
      <c r="XEH35" s="21"/>
      <c r="XEL35" s="15"/>
      <c r="XER35" s="25"/>
      <c r="XEY35" s="21"/>
      <c r="XEZ35" s="21"/>
      <c r="XFD35" s="15"/>
    </row>
    <row r="36" spans="1:1018 1025:2044 2051:3070 3077:4096 4103:5116 5122:6142 6148:7168 7174:8190 8194:9216 9220:10234 10241:11260 11267:12286 12293:13312 13319:14332 14338:15358 15364:16384" s="24" customFormat="1">
      <c r="A36" s="21" t="s">
        <v>121</v>
      </c>
      <c r="B36" s="12">
        <v>2011</v>
      </c>
      <c r="C36" s="19" t="s">
        <v>101</v>
      </c>
      <c r="D36" s="22" t="s">
        <v>86</v>
      </c>
      <c r="E36" s="43" t="s">
        <v>122</v>
      </c>
      <c r="F36" s="19" t="s">
        <v>35</v>
      </c>
      <c r="G36" s="48">
        <v>1566015122</v>
      </c>
      <c r="H36" s="48">
        <v>1565907028</v>
      </c>
      <c r="I36" s="12">
        <v>22</v>
      </c>
      <c r="J36" s="23" t="s">
        <v>123</v>
      </c>
      <c r="K36" s="22" t="s">
        <v>26</v>
      </c>
      <c r="L36" s="22"/>
      <c r="M36" s="22" t="s">
        <v>26</v>
      </c>
      <c r="N36" s="12"/>
      <c r="O36" s="22" t="s">
        <v>26</v>
      </c>
      <c r="P36" s="12"/>
      <c r="Q36" s="22" t="s">
        <v>27</v>
      </c>
      <c r="R36" s="22" t="s">
        <v>28</v>
      </c>
      <c r="V36" s="15"/>
      <c r="AB36" s="25"/>
      <c r="AI36" s="21"/>
      <c r="AJ36" s="21"/>
      <c r="AN36" s="15"/>
      <c r="AT36" s="25"/>
      <c r="BA36" s="21"/>
      <c r="BB36" s="21"/>
      <c r="BF36" s="15"/>
      <c r="BL36" s="25"/>
      <c r="BS36" s="21"/>
      <c r="BT36" s="21"/>
      <c r="BX36" s="15"/>
      <c r="CD36" s="25"/>
      <c r="CK36" s="21"/>
      <c r="CL36" s="21"/>
      <c r="CP36" s="15"/>
      <c r="CV36" s="25"/>
      <c r="DC36" s="21"/>
      <c r="DD36" s="21"/>
      <c r="DH36" s="15"/>
      <c r="DN36" s="25"/>
      <c r="DU36" s="21"/>
      <c r="DV36" s="21"/>
      <c r="DZ36" s="15"/>
      <c r="EF36" s="25"/>
      <c r="EM36" s="21"/>
      <c r="EN36" s="21"/>
      <c r="ER36" s="15"/>
      <c r="EX36" s="25"/>
      <c r="FE36" s="21"/>
      <c r="FF36" s="21"/>
      <c r="FJ36" s="15"/>
      <c r="FP36" s="25"/>
      <c r="FW36" s="21"/>
      <c r="FX36" s="21"/>
      <c r="GB36" s="15"/>
      <c r="GH36" s="25"/>
      <c r="GO36" s="21"/>
      <c r="GP36" s="21"/>
      <c r="GT36" s="15"/>
      <c r="GZ36" s="25"/>
      <c r="HG36" s="21"/>
      <c r="HH36" s="21"/>
      <c r="HL36" s="15"/>
      <c r="HR36" s="25"/>
      <c r="HY36" s="21"/>
      <c r="HZ36" s="21"/>
      <c r="ID36" s="15"/>
      <c r="IJ36" s="25"/>
      <c r="IQ36" s="21"/>
      <c r="IR36" s="21"/>
      <c r="IV36" s="15"/>
      <c r="JB36" s="25"/>
      <c r="JI36" s="21"/>
      <c r="JJ36" s="21"/>
      <c r="JN36" s="15"/>
      <c r="JT36" s="25"/>
      <c r="KA36" s="21"/>
      <c r="KB36" s="21"/>
      <c r="KF36" s="15"/>
      <c r="KL36" s="25"/>
      <c r="KS36" s="21"/>
      <c r="KT36" s="21"/>
      <c r="KX36" s="15"/>
      <c r="LD36" s="25"/>
      <c r="LK36" s="21"/>
      <c r="LL36" s="21"/>
      <c r="LP36" s="15"/>
      <c r="LV36" s="25"/>
      <c r="MC36" s="21"/>
      <c r="MD36" s="21"/>
      <c r="MH36" s="15"/>
      <c r="MN36" s="25"/>
      <c r="MU36" s="21"/>
      <c r="MV36" s="21"/>
      <c r="MZ36" s="15"/>
      <c r="NF36" s="25"/>
      <c r="NM36" s="21"/>
      <c r="NN36" s="21"/>
      <c r="NR36" s="15"/>
      <c r="NX36" s="25"/>
      <c r="OE36" s="21"/>
      <c r="OF36" s="21"/>
      <c r="OJ36" s="15"/>
      <c r="OP36" s="25"/>
      <c r="OW36" s="21"/>
      <c r="OX36" s="21"/>
      <c r="PB36" s="15"/>
      <c r="PH36" s="25"/>
      <c r="PO36" s="21"/>
      <c r="PP36" s="21"/>
      <c r="PT36" s="15"/>
      <c r="PZ36" s="25"/>
      <c r="QG36" s="21"/>
      <c r="QH36" s="21"/>
      <c r="QL36" s="15"/>
      <c r="QR36" s="25"/>
      <c r="QY36" s="21"/>
      <c r="QZ36" s="21"/>
      <c r="RD36" s="15"/>
      <c r="RJ36" s="25"/>
      <c r="RQ36" s="21"/>
      <c r="RR36" s="21"/>
      <c r="RV36" s="15"/>
      <c r="SB36" s="25"/>
      <c r="SI36" s="21"/>
      <c r="SJ36" s="21"/>
      <c r="SN36" s="15"/>
      <c r="ST36" s="25"/>
      <c r="TA36" s="21"/>
      <c r="TB36" s="21"/>
      <c r="TF36" s="15"/>
      <c r="TL36" s="25"/>
      <c r="TS36" s="21"/>
      <c r="TT36" s="21"/>
      <c r="TX36" s="15"/>
      <c r="UD36" s="25"/>
      <c r="UK36" s="21"/>
      <c r="UL36" s="21"/>
      <c r="UP36" s="15"/>
      <c r="UV36" s="25"/>
      <c r="VC36" s="21"/>
      <c r="VD36" s="21"/>
      <c r="VH36" s="15"/>
      <c r="VN36" s="25"/>
      <c r="VU36" s="21"/>
      <c r="VV36" s="21"/>
      <c r="VZ36" s="15"/>
      <c r="WF36" s="25"/>
      <c r="WM36" s="21"/>
      <c r="WN36" s="21"/>
      <c r="WR36" s="15"/>
      <c r="WX36" s="25"/>
      <c r="XE36" s="21"/>
      <c r="XF36" s="21"/>
      <c r="XJ36" s="15"/>
      <c r="XP36" s="25"/>
      <c r="XW36" s="21"/>
      <c r="XX36" s="21"/>
      <c r="YB36" s="15"/>
      <c r="YH36" s="25"/>
      <c r="YO36" s="21"/>
      <c r="YP36" s="21"/>
      <c r="YT36" s="15"/>
      <c r="YZ36" s="25"/>
      <c r="ZG36" s="21"/>
      <c r="ZH36" s="21"/>
      <c r="ZL36" s="15"/>
      <c r="ZR36" s="25"/>
      <c r="ZY36" s="21"/>
      <c r="ZZ36" s="21"/>
      <c r="AAD36" s="15"/>
      <c r="AAJ36" s="25"/>
      <c r="AAQ36" s="21"/>
      <c r="AAR36" s="21"/>
      <c r="AAV36" s="15"/>
      <c r="ABB36" s="25"/>
      <c r="ABI36" s="21"/>
      <c r="ABJ36" s="21"/>
      <c r="ABN36" s="15"/>
      <c r="ABT36" s="25"/>
      <c r="ACA36" s="21"/>
      <c r="ACB36" s="21"/>
      <c r="ACF36" s="15"/>
      <c r="ACL36" s="25"/>
      <c r="ACS36" s="21"/>
      <c r="ACT36" s="21"/>
      <c r="ACX36" s="15"/>
      <c r="ADD36" s="25"/>
      <c r="ADK36" s="21"/>
      <c r="ADL36" s="21"/>
      <c r="ADP36" s="15"/>
      <c r="ADV36" s="25"/>
      <c r="AEC36" s="21"/>
      <c r="AED36" s="21"/>
      <c r="AEH36" s="15"/>
      <c r="AEN36" s="25"/>
      <c r="AEU36" s="21"/>
      <c r="AEV36" s="21"/>
      <c r="AEZ36" s="15"/>
      <c r="AFF36" s="25"/>
      <c r="AFM36" s="21"/>
      <c r="AFN36" s="21"/>
      <c r="AFR36" s="15"/>
      <c r="AFX36" s="25"/>
      <c r="AGE36" s="21"/>
      <c r="AGF36" s="21"/>
      <c r="AGJ36" s="15"/>
      <c r="AGP36" s="25"/>
      <c r="AGW36" s="21"/>
      <c r="AGX36" s="21"/>
      <c r="AHB36" s="15"/>
      <c r="AHH36" s="25"/>
      <c r="AHO36" s="21"/>
      <c r="AHP36" s="21"/>
      <c r="AHT36" s="15"/>
      <c r="AHZ36" s="25"/>
      <c r="AIG36" s="21"/>
      <c r="AIH36" s="21"/>
      <c r="AIL36" s="15"/>
      <c r="AIR36" s="25"/>
      <c r="AIY36" s="21"/>
      <c r="AIZ36" s="21"/>
      <c r="AJD36" s="15"/>
      <c r="AJJ36" s="25"/>
      <c r="AJQ36" s="21"/>
      <c r="AJR36" s="21"/>
      <c r="AJV36" s="15"/>
      <c r="AKB36" s="25"/>
      <c r="AKI36" s="21"/>
      <c r="AKJ36" s="21"/>
      <c r="AKN36" s="15"/>
      <c r="AKT36" s="25"/>
      <c r="ALA36" s="21"/>
      <c r="ALB36" s="21"/>
      <c r="ALF36" s="15"/>
      <c r="ALL36" s="25"/>
      <c r="ALS36" s="21"/>
      <c r="ALT36" s="21"/>
      <c r="ALX36" s="15"/>
      <c r="AMD36" s="25"/>
      <c r="AMK36" s="21"/>
      <c r="AML36" s="21"/>
      <c r="AMP36" s="15"/>
      <c r="AMV36" s="25"/>
      <c r="ANC36" s="21"/>
      <c r="AND36" s="21"/>
      <c r="ANH36" s="15"/>
      <c r="ANN36" s="25"/>
      <c r="ANU36" s="21"/>
      <c r="ANV36" s="21"/>
      <c r="ANZ36" s="15"/>
      <c r="AOF36" s="25"/>
      <c r="AOM36" s="21"/>
      <c r="AON36" s="21"/>
      <c r="AOR36" s="15"/>
      <c r="AOX36" s="25"/>
      <c r="APE36" s="21"/>
      <c r="APF36" s="21"/>
      <c r="APJ36" s="15"/>
      <c r="APP36" s="25"/>
      <c r="APW36" s="21"/>
      <c r="APX36" s="21"/>
      <c r="AQB36" s="15"/>
      <c r="AQH36" s="25"/>
      <c r="AQO36" s="21"/>
      <c r="AQP36" s="21"/>
      <c r="AQT36" s="15"/>
      <c r="AQZ36" s="25"/>
      <c r="ARG36" s="21"/>
      <c r="ARH36" s="21"/>
      <c r="ARL36" s="15"/>
      <c r="ARR36" s="25"/>
      <c r="ARY36" s="21"/>
      <c r="ARZ36" s="21"/>
      <c r="ASD36" s="15"/>
      <c r="ASJ36" s="25"/>
      <c r="ASQ36" s="21"/>
      <c r="ASR36" s="21"/>
      <c r="ASV36" s="15"/>
      <c r="ATB36" s="25"/>
      <c r="ATI36" s="21"/>
      <c r="ATJ36" s="21"/>
      <c r="ATN36" s="15"/>
      <c r="ATT36" s="25"/>
      <c r="AUA36" s="21"/>
      <c r="AUB36" s="21"/>
      <c r="AUF36" s="15"/>
      <c r="AUL36" s="25"/>
      <c r="AUS36" s="21"/>
      <c r="AUT36" s="21"/>
      <c r="AUX36" s="15"/>
      <c r="AVD36" s="25"/>
      <c r="AVK36" s="21"/>
      <c r="AVL36" s="21"/>
      <c r="AVP36" s="15"/>
      <c r="AVV36" s="25"/>
      <c r="AWC36" s="21"/>
      <c r="AWD36" s="21"/>
      <c r="AWH36" s="15"/>
      <c r="AWN36" s="25"/>
      <c r="AWU36" s="21"/>
      <c r="AWV36" s="21"/>
      <c r="AWZ36" s="15"/>
      <c r="AXF36" s="25"/>
      <c r="AXM36" s="21"/>
      <c r="AXN36" s="21"/>
      <c r="AXR36" s="15"/>
      <c r="AXX36" s="25"/>
      <c r="AYE36" s="21"/>
      <c r="AYF36" s="21"/>
      <c r="AYJ36" s="15"/>
      <c r="AYP36" s="25"/>
      <c r="AYW36" s="21"/>
      <c r="AYX36" s="21"/>
      <c r="AZB36" s="15"/>
      <c r="AZH36" s="25"/>
      <c r="AZO36" s="21"/>
      <c r="AZP36" s="21"/>
      <c r="AZT36" s="15"/>
      <c r="AZZ36" s="25"/>
      <c r="BAG36" s="21"/>
      <c r="BAH36" s="21"/>
      <c r="BAL36" s="15"/>
      <c r="BAR36" s="25"/>
      <c r="BAY36" s="21"/>
      <c r="BAZ36" s="21"/>
      <c r="BBD36" s="15"/>
      <c r="BBJ36" s="25"/>
      <c r="BBQ36" s="21"/>
      <c r="BBR36" s="21"/>
      <c r="BBV36" s="15"/>
      <c r="BCB36" s="25"/>
      <c r="BCI36" s="21"/>
      <c r="BCJ36" s="21"/>
      <c r="BCN36" s="15"/>
      <c r="BCT36" s="25"/>
      <c r="BDA36" s="21"/>
      <c r="BDB36" s="21"/>
      <c r="BDF36" s="15"/>
      <c r="BDL36" s="25"/>
      <c r="BDS36" s="21"/>
      <c r="BDT36" s="21"/>
      <c r="BDX36" s="15"/>
      <c r="BED36" s="25"/>
      <c r="BEK36" s="21"/>
      <c r="BEL36" s="21"/>
      <c r="BEP36" s="15"/>
      <c r="BEV36" s="25"/>
      <c r="BFC36" s="21"/>
      <c r="BFD36" s="21"/>
      <c r="BFH36" s="15"/>
      <c r="BFN36" s="25"/>
      <c r="BFU36" s="21"/>
      <c r="BFV36" s="21"/>
      <c r="BFZ36" s="15"/>
      <c r="BGF36" s="25"/>
      <c r="BGM36" s="21"/>
      <c r="BGN36" s="21"/>
      <c r="BGR36" s="15"/>
      <c r="BGX36" s="25"/>
      <c r="BHE36" s="21"/>
      <c r="BHF36" s="21"/>
      <c r="BHJ36" s="15"/>
      <c r="BHP36" s="25"/>
      <c r="BHW36" s="21"/>
      <c r="BHX36" s="21"/>
      <c r="BIB36" s="15"/>
      <c r="BIH36" s="25"/>
      <c r="BIO36" s="21"/>
      <c r="BIP36" s="21"/>
      <c r="BIT36" s="15"/>
      <c r="BIZ36" s="25"/>
      <c r="BJG36" s="21"/>
      <c r="BJH36" s="21"/>
      <c r="BJL36" s="15"/>
      <c r="BJR36" s="25"/>
      <c r="BJY36" s="21"/>
      <c r="BJZ36" s="21"/>
      <c r="BKD36" s="15"/>
      <c r="BKJ36" s="25"/>
      <c r="BKQ36" s="21"/>
      <c r="BKR36" s="21"/>
      <c r="BKV36" s="15"/>
      <c r="BLB36" s="25"/>
      <c r="BLI36" s="21"/>
      <c r="BLJ36" s="21"/>
      <c r="BLN36" s="15"/>
      <c r="BLT36" s="25"/>
      <c r="BMA36" s="21"/>
      <c r="BMB36" s="21"/>
      <c r="BMF36" s="15"/>
      <c r="BML36" s="25"/>
      <c r="BMS36" s="21"/>
      <c r="BMT36" s="21"/>
      <c r="BMX36" s="15"/>
      <c r="BND36" s="25"/>
      <c r="BNK36" s="21"/>
      <c r="BNL36" s="21"/>
      <c r="BNP36" s="15"/>
      <c r="BNV36" s="25"/>
      <c r="BOC36" s="21"/>
      <c r="BOD36" s="21"/>
      <c r="BOH36" s="15"/>
      <c r="BON36" s="25"/>
      <c r="BOU36" s="21"/>
      <c r="BOV36" s="21"/>
      <c r="BOZ36" s="15"/>
      <c r="BPF36" s="25"/>
      <c r="BPM36" s="21"/>
      <c r="BPN36" s="21"/>
      <c r="BPR36" s="15"/>
      <c r="BPX36" s="25"/>
      <c r="BQE36" s="21"/>
      <c r="BQF36" s="21"/>
      <c r="BQJ36" s="15"/>
      <c r="BQP36" s="25"/>
      <c r="BQW36" s="21"/>
      <c r="BQX36" s="21"/>
      <c r="BRB36" s="15"/>
      <c r="BRH36" s="25"/>
      <c r="BRO36" s="21"/>
      <c r="BRP36" s="21"/>
      <c r="BRT36" s="15"/>
      <c r="BRZ36" s="25"/>
      <c r="BSG36" s="21"/>
      <c r="BSH36" s="21"/>
      <c r="BSL36" s="15"/>
      <c r="BSR36" s="25"/>
      <c r="BSY36" s="21"/>
      <c r="BSZ36" s="21"/>
      <c r="BTD36" s="15"/>
      <c r="BTJ36" s="25"/>
      <c r="BTQ36" s="21"/>
      <c r="BTR36" s="21"/>
      <c r="BTV36" s="15"/>
      <c r="BUB36" s="25"/>
      <c r="BUI36" s="21"/>
      <c r="BUJ36" s="21"/>
      <c r="BUN36" s="15"/>
      <c r="BUT36" s="25"/>
      <c r="BVA36" s="21"/>
      <c r="BVB36" s="21"/>
      <c r="BVF36" s="15"/>
      <c r="BVL36" s="25"/>
      <c r="BVS36" s="21"/>
      <c r="BVT36" s="21"/>
      <c r="BVX36" s="15"/>
      <c r="BWD36" s="25"/>
      <c r="BWK36" s="21"/>
      <c r="BWL36" s="21"/>
      <c r="BWP36" s="15"/>
      <c r="BWV36" s="25"/>
      <c r="BXC36" s="21"/>
      <c r="BXD36" s="21"/>
      <c r="BXH36" s="15"/>
      <c r="BXN36" s="25"/>
      <c r="BXU36" s="21"/>
      <c r="BXV36" s="21"/>
      <c r="BXZ36" s="15"/>
      <c r="BYF36" s="25"/>
      <c r="BYM36" s="21"/>
      <c r="BYN36" s="21"/>
      <c r="BYR36" s="15"/>
      <c r="BYX36" s="25"/>
      <c r="BZE36" s="21"/>
      <c r="BZF36" s="21"/>
      <c r="BZJ36" s="15"/>
      <c r="BZP36" s="25"/>
      <c r="BZW36" s="21"/>
      <c r="BZX36" s="21"/>
      <c r="CAB36" s="15"/>
      <c r="CAH36" s="25"/>
      <c r="CAO36" s="21"/>
      <c r="CAP36" s="21"/>
      <c r="CAT36" s="15"/>
      <c r="CAZ36" s="25"/>
      <c r="CBG36" s="21"/>
      <c r="CBH36" s="21"/>
      <c r="CBL36" s="15"/>
      <c r="CBR36" s="25"/>
      <c r="CBY36" s="21"/>
      <c r="CBZ36" s="21"/>
      <c r="CCD36" s="15"/>
      <c r="CCJ36" s="25"/>
      <c r="CCQ36" s="21"/>
      <c r="CCR36" s="21"/>
      <c r="CCV36" s="15"/>
      <c r="CDB36" s="25"/>
      <c r="CDI36" s="21"/>
      <c r="CDJ36" s="21"/>
      <c r="CDN36" s="15"/>
      <c r="CDT36" s="25"/>
      <c r="CEA36" s="21"/>
      <c r="CEB36" s="21"/>
      <c r="CEF36" s="15"/>
      <c r="CEL36" s="25"/>
      <c r="CES36" s="21"/>
      <c r="CET36" s="21"/>
      <c r="CEX36" s="15"/>
      <c r="CFD36" s="25"/>
      <c r="CFK36" s="21"/>
      <c r="CFL36" s="21"/>
      <c r="CFP36" s="15"/>
      <c r="CFV36" s="25"/>
      <c r="CGC36" s="21"/>
      <c r="CGD36" s="21"/>
      <c r="CGH36" s="15"/>
      <c r="CGN36" s="25"/>
      <c r="CGU36" s="21"/>
      <c r="CGV36" s="21"/>
      <c r="CGZ36" s="15"/>
      <c r="CHF36" s="25"/>
      <c r="CHM36" s="21"/>
      <c r="CHN36" s="21"/>
      <c r="CHR36" s="15"/>
      <c r="CHX36" s="25"/>
      <c r="CIE36" s="21"/>
      <c r="CIF36" s="21"/>
      <c r="CIJ36" s="15"/>
      <c r="CIP36" s="25"/>
      <c r="CIW36" s="21"/>
      <c r="CIX36" s="21"/>
      <c r="CJB36" s="15"/>
      <c r="CJH36" s="25"/>
      <c r="CJO36" s="21"/>
      <c r="CJP36" s="21"/>
      <c r="CJT36" s="15"/>
      <c r="CJZ36" s="25"/>
      <c r="CKG36" s="21"/>
      <c r="CKH36" s="21"/>
      <c r="CKL36" s="15"/>
      <c r="CKR36" s="25"/>
      <c r="CKY36" s="21"/>
      <c r="CKZ36" s="21"/>
      <c r="CLD36" s="15"/>
      <c r="CLJ36" s="25"/>
      <c r="CLQ36" s="21"/>
      <c r="CLR36" s="21"/>
      <c r="CLV36" s="15"/>
      <c r="CMB36" s="25"/>
      <c r="CMI36" s="21"/>
      <c r="CMJ36" s="21"/>
      <c r="CMN36" s="15"/>
      <c r="CMT36" s="25"/>
      <c r="CNA36" s="21"/>
      <c r="CNB36" s="21"/>
      <c r="CNF36" s="15"/>
      <c r="CNL36" s="25"/>
      <c r="CNS36" s="21"/>
      <c r="CNT36" s="21"/>
      <c r="CNX36" s="15"/>
      <c r="COD36" s="25"/>
      <c r="COK36" s="21"/>
      <c r="COL36" s="21"/>
      <c r="COP36" s="15"/>
      <c r="COV36" s="25"/>
      <c r="CPC36" s="21"/>
      <c r="CPD36" s="21"/>
      <c r="CPH36" s="15"/>
      <c r="CPN36" s="25"/>
      <c r="CPU36" s="21"/>
      <c r="CPV36" s="21"/>
      <c r="CPZ36" s="15"/>
      <c r="CQF36" s="25"/>
      <c r="CQM36" s="21"/>
      <c r="CQN36" s="21"/>
      <c r="CQR36" s="15"/>
      <c r="CQX36" s="25"/>
      <c r="CRE36" s="21"/>
      <c r="CRF36" s="21"/>
      <c r="CRJ36" s="15"/>
      <c r="CRP36" s="25"/>
      <c r="CRW36" s="21"/>
      <c r="CRX36" s="21"/>
      <c r="CSB36" s="15"/>
      <c r="CSH36" s="25"/>
      <c r="CSO36" s="21"/>
      <c r="CSP36" s="21"/>
      <c r="CST36" s="15"/>
      <c r="CSZ36" s="25"/>
      <c r="CTG36" s="21"/>
      <c r="CTH36" s="21"/>
      <c r="CTL36" s="15"/>
      <c r="CTR36" s="25"/>
      <c r="CTY36" s="21"/>
      <c r="CTZ36" s="21"/>
      <c r="CUD36" s="15"/>
      <c r="CUJ36" s="25"/>
      <c r="CUQ36" s="21"/>
      <c r="CUR36" s="21"/>
      <c r="CUV36" s="15"/>
      <c r="CVB36" s="25"/>
      <c r="CVI36" s="21"/>
      <c r="CVJ36" s="21"/>
      <c r="CVN36" s="15"/>
      <c r="CVT36" s="25"/>
      <c r="CWA36" s="21"/>
      <c r="CWB36" s="21"/>
      <c r="CWF36" s="15"/>
      <c r="CWL36" s="25"/>
      <c r="CWS36" s="21"/>
      <c r="CWT36" s="21"/>
      <c r="CWX36" s="15"/>
      <c r="CXD36" s="25"/>
      <c r="CXK36" s="21"/>
      <c r="CXL36" s="21"/>
      <c r="CXP36" s="15"/>
      <c r="CXV36" s="25"/>
      <c r="CYC36" s="21"/>
      <c r="CYD36" s="21"/>
      <c r="CYH36" s="15"/>
      <c r="CYN36" s="25"/>
      <c r="CYU36" s="21"/>
      <c r="CYV36" s="21"/>
      <c r="CYZ36" s="15"/>
      <c r="CZF36" s="25"/>
      <c r="CZM36" s="21"/>
      <c r="CZN36" s="21"/>
      <c r="CZR36" s="15"/>
      <c r="CZX36" s="25"/>
      <c r="DAE36" s="21"/>
      <c r="DAF36" s="21"/>
      <c r="DAJ36" s="15"/>
      <c r="DAP36" s="25"/>
      <c r="DAW36" s="21"/>
      <c r="DAX36" s="21"/>
      <c r="DBB36" s="15"/>
      <c r="DBH36" s="25"/>
      <c r="DBO36" s="21"/>
      <c r="DBP36" s="21"/>
      <c r="DBT36" s="15"/>
      <c r="DBZ36" s="25"/>
      <c r="DCG36" s="21"/>
      <c r="DCH36" s="21"/>
      <c r="DCL36" s="15"/>
      <c r="DCR36" s="25"/>
      <c r="DCY36" s="21"/>
      <c r="DCZ36" s="21"/>
      <c r="DDD36" s="15"/>
      <c r="DDJ36" s="25"/>
      <c r="DDQ36" s="21"/>
      <c r="DDR36" s="21"/>
      <c r="DDV36" s="15"/>
      <c r="DEB36" s="25"/>
      <c r="DEI36" s="21"/>
      <c r="DEJ36" s="21"/>
      <c r="DEN36" s="15"/>
      <c r="DET36" s="25"/>
      <c r="DFA36" s="21"/>
      <c r="DFB36" s="21"/>
      <c r="DFF36" s="15"/>
      <c r="DFL36" s="25"/>
      <c r="DFS36" s="21"/>
      <c r="DFT36" s="21"/>
      <c r="DFX36" s="15"/>
      <c r="DGD36" s="25"/>
      <c r="DGK36" s="21"/>
      <c r="DGL36" s="21"/>
      <c r="DGP36" s="15"/>
      <c r="DGV36" s="25"/>
      <c r="DHC36" s="21"/>
      <c r="DHD36" s="21"/>
      <c r="DHH36" s="15"/>
      <c r="DHN36" s="25"/>
      <c r="DHU36" s="21"/>
      <c r="DHV36" s="21"/>
      <c r="DHZ36" s="15"/>
      <c r="DIF36" s="25"/>
      <c r="DIM36" s="21"/>
      <c r="DIN36" s="21"/>
      <c r="DIR36" s="15"/>
      <c r="DIX36" s="25"/>
      <c r="DJE36" s="21"/>
      <c r="DJF36" s="21"/>
      <c r="DJJ36" s="15"/>
      <c r="DJP36" s="25"/>
      <c r="DJW36" s="21"/>
      <c r="DJX36" s="21"/>
      <c r="DKB36" s="15"/>
      <c r="DKH36" s="25"/>
      <c r="DKO36" s="21"/>
      <c r="DKP36" s="21"/>
      <c r="DKT36" s="15"/>
      <c r="DKZ36" s="25"/>
      <c r="DLG36" s="21"/>
      <c r="DLH36" s="21"/>
      <c r="DLL36" s="15"/>
      <c r="DLR36" s="25"/>
      <c r="DLY36" s="21"/>
      <c r="DLZ36" s="21"/>
      <c r="DMD36" s="15"/>
      <c r="DMJ36" s="25"/>
      <c r="DMQ36" s="21"/>
      <c r="DMR36" s="21"/>
      <c r="DMV36" s="15"/>
      <c r="DNB36" s="25"/>
      <c r="DNI36" s="21"/>
      <c r="DNJ36" s="21"/>
      <c r="DNN36" s="15"/>
      <c r="DNT36" s="25"/>
      <c r="DOA36" s="21"/>
      <c r="DOB36" s="21"/>
      <c r="DOF36" s="15"/>
      <c r="DOL36" s="25"/>
      <c r="DOS36" s="21"/>
      <c r="DOT36" s="21"/>
      <c r="DOX36" s="15"/>
      <c r="DPD36" s="25"/>
      <c r="DPK36" s="21"/>
      <c r="DPL36" s="21"/>
      <c r="DPP36" s="15"/>
      <c r="DPV36" s="25"/>
      <c r="DQC36" s="21"/>
      <c r="DQD36" s="21"/>
      <c r="DQH36" s="15"/>
      <c r="DQN36" s="25"/>
      <c r="DQU36" s="21"/>
      <c r="DQV36" s="21"/>
      <c r="DQZ36" s="15"/>
      <c r="DRF36" s="25"/>
      <c r="DRM36" s="21"/>
      <c r="DRN36" s="21"/>
      <c r="DRR36" s="15"/>
      <c r="DRX36" s="25"/>
      <c r="DSE36" s="21"/>
      <c r="DSF36" s="21"/>
      <c r="DSJ36" s="15"/>
      <c r="DSP36" s="25"/>
      <c r="DSW36" s="21"/>
      <c r="DSX36" s="21"/>
      <c r="DTB36" s="15"/>
      <c r="DTH36" s="25"/>
      <c r="DTO36" s="21"/>
      <c r="DTP36" s="21"/>
      <c r="DTT36" s="15"/>
      <c r="DTZ36" s="25"/>
      <c r="DUG36" s="21"/>
      <c r="DUH36" s="21"/>
      <c r="DUL36" s="15"/>
      <c r="DUR36" s="25"/>
      <c r="DUY36" s="21"/>
      <c r="DUZ36" s="21"/>
      <c r="DVD36" s="15"/>
      <c r="DVJ36" s="25"/>
      <c r="DVQ36" s="21"/>
      <c r="DVR36" s="21"/>
      <c r="DVV36" s="15"/>
      <c r="DWB36" s="25"/>
      <c r="DWI36" s="21"/>
      <c r="DWJ36" s="21"/>
      <c r="DWN36" s="15"/>
      <c r="DWT36" s="25"/>
      <c r="DXA36" s="21"/>
      <c r="DXB36" s="21"/>
      <c r="DXF36" s="15"/>
      <c r="DXL36" s="25"/>
      <c r="DXS36" s="21"/>
      <c r="DXT36" s="21"/>
      <c r="DXX36" s="15"/>
      <c r="DYD36" s="25"/>
      <c r="DYK36" s="21"/>
      <c r="DYL36" s="21"/>
      <c r="DYP36" s="15"/>
      <c r="DYV36" s="25"/>
      <c r="DZC36" s="21"/>
      <c r="DZD36" s="21"/>
      <c r="DZH36" s="15"/>
      <c r="DZN36" s="25"/>
      <c r="DZU36" s="21"/>
      <c r="DZV36" s="21"/>
      <c r="DZZ36" s="15"/>
      <c r="EAF36" s="25"/>
      <c r="EAM36" s="21"/>
      <c r="EAN36" s="21"/>
      <c r="EAR36" s="15"/>
      <c r="EAX36" s="25"/>
      <c r="EBE36" s="21"/>
      <c r="EBF36" s="21"/>
      <c r="EBJ36" s="15"/>
      <c r="EBP36" s="25"/>
      <c r="EBW36" s="21"/>
      <c r="EBX36" s="21"/>
      <c r="ECB36" s="15"/>
      <c r="ECH36" s="25"/>
      <c r="ECO36" s="21"/>
      <c r="ECP36" s="21"/>
      <c r="ECT36" s="15"/>
      <c r="ECZ36" s="25"/>
      <c r="EDG36" s="21"/>
      <c r="EDH36" s="21"/>
      <c r="EDL36" s="15"/>
      <c r="EDR36" s="25"/>
      <c r="EDY36" s="21"/>
      <c r="EDZ36" s="21"/>
      <c r="EED36" s="15"/>
      <c r="EEJ36" s="25"/>
      <c r="EEQ36" s="21"/>
      <c r="EER36" s="21"/>
      <c r="EEV36" s="15"/>
      <c r="EFB36" s="25"/>
      <c r="EFI36" s="21"/>
      <c r="EFJ36" s="21"/>
      <c r="EFN36" s="15"/>
      <c r="EFT36" s="25"/>
      <c r="EGA36" s="21"/>
      <c r="EGB36" s="21"/>
      <c r="EGF36" s="15"/>
      <c r="EGL36" s="25"/>
      <c r="EGS36" s="21"/>
      <c r="EGT36" s="21"/>
      <c r="EGX36" s="15"/>
      <c r="EHD36" s="25"/>
      <c r="EHK36" s="21"/>
      <c r="EHL36" s="21"/>
      <c r="EHP36" s="15"/>
      <c r="EHV36" s="25"/>
      <c r="EIC36" s="21"/>
      <c r="EID36" s="21"/>
      <c r="EIH36" s="15"/>
      <c r="EIN36" s="25"/>
      <c r="EIU36" s="21"/>
      <c r="EIV36" s="21"/>
      <c r="EIZ36" s="15"/>
      <c r="EJF36" s="25"/>
      <c r="EJM36" s="21"/>
      <c r="EJN36" s="21"/>
      <c r="EJR36" s="15"/>
      <c r="EJX36" s="25"/>
      <c r="EKE36" s="21"/>
      <c r="EKF36" s="21"/>
      <c r="EKJ36" s="15"/>
      <c r="EKP36" s="25"/>
      <c r="EKW36" s="21"/>
      <c r="EKX36" s="21"/>
      <c r="ELB36" s="15"/>
      <c r="ELH36" s="25"/>
      <c r="ELO36" s="21"/>
      <c r="ELP36" s="21"/>
      <c r="ELT36" s="15"/>
      <c r="ELZ36" s="25"/>
      <c r="EMG36" s="21"/>
      <c r="EMH36" s="21"/>
      <c r="EML36" s="15"/>
      <c r="EMR36" s="25"/>
      <c r="EMY36" s="21"/>
      <c r="EMZ36" s="21"/>
      <c r="END36" s="15"/>
      <c r="ENJ36" s="25"/>
      <c r="ENQ36" s="21"/>
      <c r="ENR36" s="21"/>
      <c r="ENV36" s="15"/>
      <c r="EOB36" s="25"/>
      <c r="EOI36" s="21"/>
      <c r="EOJ36" s="21"/>
      <c r="EON36" s="15"/>
      <c r="EOT36" s="25"/>
      <c r="EPA36" s="21"/>
      <c r="EPB36" s="21"/>
      <c r="EPF36" s="15"/>
      <c r="EPL36" s="25"/>
      <c r="EPS36" s="21"/>
      <c r="EPT36" s="21"/>
      <c r="EPX36" s="15"/>
      <c r="EQD36" s="25"/>
      <c r="EQK36" s="21"/>
      <c r="EQL36" s="21"/>
      <c r="EQP36" s="15"/>
      <c r="EQV36" s="25"/>
      <c r="ERC36" s="21"/>
      <c r="ERD36" s="21"/>
      <c r="ERH36" s="15"/>
      <c r="ERN36" s="25"/>
      <c r="ERU36" s="21"/>
      <c r="ERV36" s="21"/>
      <c r="ERZ36" s="15"/>
      <c r="ESF36" s="25"/>
      <c r="ESM36" s="21"/>
      <c r="ESN36" s="21"/>
      <c r="ESR36" s="15"/>
      <c r="ESX36" s="25"/>
      <c r="ETE36" s="21"/>
      <c r="ETF36" s="21"/>
      <c r="ETJ36" s="15"/>
      <c r="ETP36" s="25"/>
      <c r="ETW36" s="21"/>
      <c r="ETX36" s="21"/>
      <c r="EUB36" s="15"/>
      <c r="EUH36" s="25"/>
      <c r="EUO36" s="21"/>
      <c r="EUP36" s="21"/>
      <c r="EUT36" s="15"/>
      <c r="EUZ36" s="25"/>
      <c r="EVG36" s="21"/>
      <c r="EVH36" s="21"/>
      <c r="EVL36" s="15"/>
      <c r="EVR36" s="25"/>
      <c r="EVY36" s="21"/>
      <c r="EVZ36" s="21"/>
      <c r="EWD36" s="15"/>
      <c r="EWJ36" s="25"/>
      <c r="EWQ36" s="21"/>
      <c r="EWR36" s="21"/>
      <c r="EWV36" s="15"/>
      <c r="EXB36" s="25"/>
      <c r="EXI36" s="21"/>
      <c r="EXJ36" s="21"/>
      <c r="EXN36" s="15"/>
      <c r="EXT36" s="25"/>
      <c r="EYA36" s="21"/>
      <c r="EYB36" s="21"/>
      <c r="EYF36" s="15"/>
      <c r="EYL36" s="25"/>
      <c r="EYS36" s="21"/>
      <c r="EYT36" s="21"/>
      <c r="EYX36" s="15"/>
      <c r="EZD36" s="25"/>
      <c r="EZK36" s="21"/>
      <c r="EZL36" s="21"/>
      <c r="EZP36" s="15"/>
      <c r="EZV36" s="25"/>
      <c r="FAC36" s="21"/>
      <c r="FAD36" s="21"/>
      <c r="FAH36" s="15"/>
      <c r="FAN36" s="25"/>
      <c r="FAU36" s="21"/>
      <c r="FAV36" s="21"/>
      <c r="FAZ36" s="15"/>
      <c r="FBF36" s="25"/>
      <c r="FBM36" s="21"/>
      <c r="FBN36" s="21"/>
      <c r="FBR36" s="15"/>
      <c r="FBX36" s="25"/>
      <c r="FCE36" s="21"/>
      <c r="FCF36" s="21"/>
      <c r="FCJ36" s="15"/>
      <c r="FCP36" s="25"/>
      <c r="FCW36" s="21"/>
      <c r="FCX36" s="21"/>
      <c r="FDB36" s="15"/>
      <c r="FDH36" s="25"/>
      <c r="FDO36" s="21"/>
      <c r="FDP36" s="21"/>
      <c r="FDT36" s="15"/>
      <c r="FDZ36" s="25"/>
      <c r="FEG36" s="21"/>
      <c r="FEH36" s="21"/>
      <c r="FEL36" s="15"/>
      <c r="FER36" s="25"/>
      <c r="FEY36" s="21"/>
      <c r="FEZ36" s="21"/>
      <c r="FFD36" s="15"/>
      <c r="FFJ36" s="25"/>
      <c r="FFQ36" s="21"/>
      <c r="FFR36" s="21"/>
      <c r="FFV36" s="15"/>
      <c r="FGB36" s="25"/>
      <c r="FGI36" s="21"/>
      <c r="FGJ36" s="21"/>
      <c r="FGN36" s="15"/>
      <c r="FGT36" s="25"/>
      <c r="FHA36" s="21"/>
      <c r="FHB36" s="21"/>
      <c r="FHF36" s="15"/>
      <c r="FHL36" s="25"/>
      <c r="FHS36" s="21"/>
      <c r="FHT36" s="21"/>
      <c r="FHX36" s="15"/>
      <c r="FID36" s="25"/>
      <c r="FIK36" s="21"/>
      <c r="FIL36" s="21"/>
      <c r="FIP36" s="15"/>
      <c r="FIV36" s="25"/>
      <c r="FJC36" s="21"/>
      <c r="FJD36" s="21"/>
      <c r="FJH36" s="15"/>
      <c r="FJN36" s="25"/>
      <c r="FJU36" s="21"/>
      <c r="FJV36" s="21"/>
      <c r="FJZ36" s="15"/>
      <c r="FKF36" s="25"/>
      <c r="FKM36" s="21"/>
      <c r="FKN36" s="21"/>
      <c r="FKR36" s="15"/>
      <c r="FKX36" s="25"/>
      <c r="FLE36" s="21"/>
      <c r="FLF36" s="21"/>
      <c r="FLJ36" s="15"/>
      <c r="FLP36" s="25"/>
      <c r="FLW36" s="21"/>
      <c r="FLX36" s="21"/>
      <c r="FMB36" s="15"/>
      <c r="FMH36" s="25"/>
      <c r="FMO36" s="21"/>
      <c r="FMP36" s="21"/>
      <c r="FMT36" s="15"/>
      <c r="FMZ36" s="25"/>
      <c r="FNG36" s="21"/>
      <c r="FNH36" s="21"/>
      <c r="FNL36" s="15"/>
      <c r="FNR36" s="25"/>
      <c r="FNY36" s="21"/>
      <c r="FNZ36" s="21"/>
      <c r="FOD36" s="15"/>
      <c r="FOJ36" s="25"/>
      <c r="FOQ36" s="21"/>
      <c r="FOR36" s="21"/>
      <c r="FOV36" s="15"/>
      <c r="FPB36" s="25"/>
      <c r="FPI36" s="21"/>
      <c r="FPJ36" s="21"/>
      <c r="FPN36" s="15"/>
      <c r="FPT36" s="25"/>
      <c r="FQA36" s="21"/>
      <c r="FQB36" s="21"/>
      <c r="FQF36" s="15"/>
      <c r="FQL36" s="25"/>
      <c r="FQS36" s="21"/>
      <c r="FQT36" s="21"/>
      <c r="FQX36" s="15"/>
      <c r="FRD36" s="25"/>
      <c r="FRK36" s="21"/>
      <c r="FRL36" s="21"/>
      <c r="FRP36" s="15"/>
      <c r="FRV36" s="25"/>
      <c r="FSC36" s="21"/>
      <c r="FSD36" s="21"/>
      <c r="FSH36" s="15"/>
      <c r="FSN36" s="25"/>
      <c r="FSU36" s="21"/>
      <c r="FSV36" s="21"/>
      <c r="FSZ36" s="15"/>
      <c r="FTF36" s="25"/>
      <c r="FTM36" s="21"/>
      <c r="FTN36" s="21"/>
      <c r="FTR36" s="15"/>
      <c r="FTX36" s="25"/>
      <c r="FUE36" s="21"/>
      <c r="FUF36" s="21"/>
      <c r="FUJ36" s="15"/>
      <c r="FUP36" s="25"/>
      <c r="FUW36" s="21"/>
      <c r="FUX36" s="21"/>
      <c r="FVB36" s="15"/>
      <c r="FVH36" s="25"/>
      <c r="FVO36" s="21"/>
      <c r="FVP36" s="21"/>
      <c r="FVT36" s="15"/>
      <c r="FVZ36" s="25"/>
      <c r="FWG36" s="21"/>
      <c r="FWH36" s="21"/>
      <c r="FWL36" s="15"/>
      <c r="FWR36" s="25"/>
      <c r="FWY36" s="21"/>
      <c r="FWZ36" s="21"/>
      <c r="FXD36" s="15"/>
      <c r="FXJ36" s="25"/>
      <c r="FXQ36" s="21"/>
      <c r="FXR36" s="21"/>
      <c r="FXV36" s="15"/>
      <c r="FYB36" s="25"/>
      <c r="FYI36" s="21"/>
      <c r="FYJ36" s="21"/>
      <c r="FYN36" s="15"/>
      <c r="FYT36" s="25"/>
      <c r="FZA36" s="21"/>
      <c r="FZB36" s="21"/>
      <c r="FZF36" s="15"/>
      <c r="FZL36" s="25"/>
      <c r="FZS36" s="21"/>
      <c r="FZT36" s="21"/>
      <c r="FZX36" s="15"/>
      <c r="GAD36" s="25"/>
      <c r="GAK36" s="21"/>
      <c r="GAL36" s="21"/>
      <c r="GAP36" s="15"/>
      <c r="GAV36" s="25"/>
      <c r="GBC36" s="21"/>
      <c r="GBD36" s="21"/>
      <c r="GBH36" s="15"/>
      <c r="GBN36" s="25"/>
      <c r="GBU36" s="21"/>
      <c r="GBV36" s="21"/>
      <c r="GBZ36" s="15"/>
      <c r="GCF36" s="25"/>
      <c r="GCM36" s="21"/>
      <c r="GCN36" s="21"/>
      <c r="GCR36" s="15"/>
      <c r="GCX36" s="25"/>
      <c r="GDE36" s="21"/>
      <c r="GDF36" s="21"/>
      <c r="GDJ36" s="15"/>
      <c r="GDP36" s="25"/>
      <c r="GDW36" s="21"/>
      <c r="GDX36" s="21"/>
      <c r="GEB36" s="15"/>
      <c r="GEH36" s="25"/>
      <c r="GEO36" s="21"/>
      <c r="GEP36" s="21"/>
      <c r="GET36" s="15"/>
      <c r="GEZ36" s="25"/>
      <c r="GFG36" s="21"/>
      <c r="GFH36" s="21"/>
      <c r="GFL36" s="15"/>
      <c r="GFR36" s="25"/>
      <c r="GFY36" s="21"/>
      <c r="GFZ36" s="21"/>
      <c r="GGD36" s="15"/>
      <c r="GGJ36" s="25"/>
      <c r="GGQ36" s="21"/>
      <c r="GGR36" s="21"/>
      <c r="GGV36" s="15"/>
      <c r="GHB36" s="25"/>
      <c r="GHI36" s="21"/>
      <c r="GHJ36" s="21"/>
      <c r="GHN36" s="15"/>
      <c r="GHT36" s="25"/>
      <c r="GIA36" s="21"/>
      <c r="GIB36" s="21"/>
      <c r="GIF36" s="15"/>
      <c r="GIL36" s="25"/>
      <c r="GIS36" s="21"/>
      <c r="GIT36" s="21"/>
      <c r="GIX36" s="15"/>
      <c r="GJD36" s="25"/>
      <c r="GJK36" s="21"/>
      <c r="GJL36" s="21"/>
      <c r="GJP36" s="15"/>
      <c r="GJV36" s="25"/>
      <c r="GKC36" s="21"/>
      <c r="GKD36" s="21"/>
      <c r="GKH36" s="15"/>
      <c r="GKN36" s="25"/>
      <c r="GKU36" s="21"/>
      <c r="GKV36" s="21"/>
      <c r="GKZ36" s="15"/>
      <c r="GLF36" s="25"/>
      <c r="GLM36" s="21"/>
      <c r="GLN36" s="21"/>
      <c r="GLR36" s="15"/>
      <c r="GLX36" s="25"/>
      <c r="GME36" s="21"/>
      <c r="GMF36" s="21"/>
      <c r="GMJ36" s="15"/>
      <c r="GMP36" s="25"/>
      <c r="GMW36" s="21"/>
      <c r="GMX36" s="21"/>
      <c r="GNB36" s="15"/>
      <c r="GNH36" s="25"/>
      <c r="GNO36" s="21"/>
      <c r="GNP36" s="21"/>
      <c r="GNT36" s="15"/>
      <c r="GNZ36" s="25"/>
      <c r="GOG36" s="21"/>
      <c r="GOH36" s="21"/>
      <c r="GOL36" s="15"/>
      <c r="GOR36" s="25"/>
      <c r="GOY36" s="21"/>
      <c r="GOZ36" s="21"/>
      <c r="GPD36" s="15"/>
      <c r="GPJ36" s="25"/>
      <c r="GPQ36" s="21"/>
      <c r="GPR36" s="21"/>
      <c r="GPV36" s="15"/>
      <c r="GQB36" s="25"/>
      <c r="GQI36" s="21"/>
      <c r="GQJ36" s="21"/>
      <c r="GQN36" s="15"/>
      <c r="GQT36" s="25"/>
      <c r="GRA36" s="21"/>
      <c r="GRB36" s="21"/>
      <c r="GRF36" s="15"/>
      <c r="GRL36" s="25"/>
      <c r="GRS36" s="21"/>
      <c r="GRT36" s="21"/>
      <c r="GRX36" s="15"/>
      <c r="GSD36" s="25"/>
      <c r="GSK36" s="21"/>
      <c r="GSL36" s="21"/>
      <c r="GSP36" s="15"/>
      <c r="GSV36" s="25"/>
      <c r="GTC36" s="21"/>
      <c r="GTD36" s="21"/>
      <c r="GTH36" s="15"/>
      <c r="GTN36" s="25"/>
      <c r="GTU36" s="21"/>
      <c r="GTV36" s="21"/>
      <c r="GTZ36" s="15"/>
      <c r="GUF36" s="25"/>
      <c r="GUM36" s="21"/>
      <c r="GUN36" s="21"/>
      <c r="GUR36" s="15"/>
      <c r="GUX36" s="25"/>
      <c r="GVE36" s="21"/>
      <c r="GVF36" s="21"/>
      <c r="GVJ36" s="15"/>
      <c r="GVP36" s="25"/>
      <c r="GVW36" s="21"/>
      <c r="GVX36" s="21"/>
      <c r="GWB36" s="15"/>
      <c r="GWH36" s="25"/>
      <c r="GWO36" s="21"/>
      <c r="GWP36" s="21"/>
      <c r="GWT36" s="15"/>
      <c r="GWZ36" s="25"/>
      <c r="GXG36" s="21"/>
      <c r="GXH36" s="21"/>
      <c r="GXL36" s="15"/>
      <c r="GXR36" s="25"/>
      <c r="GXY36" s="21"/>
      <c r="GXZ36" s="21"/>
      <c r="GYD36" s="15"/>
      <c r="GYJ36" s="25"/>
      <c r="GYQ36" s="21"/>
      <c r="GYR36" s="21"/>
      <c r="GYV36" s="15"/>
      <c r="GZB36" s="25"/>
      <c r="GZI36" s="21"/>
      <c r="GZJ36" s="21"/>
      <c r="GZN36" s="15"/>
      <c r="GZT36" s="25"/>
      <c r="HAA36" s="21"/>
      <c r="HAB36" s="21"/>
      <c r="HAF36" s="15"/>
      <c r="HAL36" s="25"/>
      <c r="HAS36" s="21"/>
      <c r="HAT36" s="21"/>
      <c r="HAX36" s="15"/>
      <c r="HBD36" s="25"/>
      <c r="HBK36" s="21"/>
      <c r="HBL36" s="21"/>
      <c r="HBP36" s="15"/>
      <c r="HBV36" s="25"/>
      <c r="HCC36" s="21"/>
      <c r="HCD36" s="21"/>
      <c r="HCH36" s="15"/>
      <c r="HCN36" s="25"/>
      <c r="HCU36" s="21"/>
      <c r="HCV36" s="21"/>
      <c r="HCZ36" s="15"/>
      <c r="HDF36" s="25"/>
      <c r="HDM36" s="21"/>
      <c r="HDN36" s="21"/>
      <c r="HDR36" s="15"/>
      <c r="HDX36" s="25"/>
      <c r="HEE36" s="21"/>
      <c r="HEF36" s="21"/>
      <c r="HEJ36" s="15"/>
      <c r="HEP36" s="25"/>
      <c r="HEW36" s="21"/>
      <c r="HEX36" s="21"/>
      <c r="HFB36" s="15"/>
      <c r="HFH36" s="25"/>
      <c r="HFO36" s="21"/>
      <c r="HFP36" s="21"/>
      <c r="HFT36" s="15"/>
      <c r="HFZ36" s="25"/>
      <c r="HGG36" s="21"/>
      <c r="HGH36" s="21"/>
      <c r="HGL36" s="15"/>
      <c r="HGR36" s="25"/>
      <c r="HGY36" s="21"/>
      <c r="HGZ36" s="21"/>
      <c r="HHD36" s="15"/>
      <c r="HHJ36" s="25"/>
      <c r="HHQ36" s="21"/>
      <c r="HHR36" s="21"/>
      <c r="HHV36" s="15"/>
      <c r="HIB36" s="25"/>
      <c r="HII36" s="21"/>
      <c r="HIJ36" s="21"/>
      <c r="HIN36" s="15"/>
      <c r="HIT36" s="25"/>
      <c r="HJA36" s="21"/>
      <c r="HJB36" s="21"/>
      <c r="HJF36" s="15"/>
      <c r="HJL36" s="25"/>
      <c r="HJS36" s="21"/>
      <c r="HJT36" s="21"/>
      <c r="HJX36" s="15"/>
      <c r="HKD36" s="25"/>
      <c r="HKK36" s="21"/>
      <c r="HKL36" s="21"/>
      <c r="HKP36" s="15"/>
      <c r="HKV36" s="25"/>
      <c r="HLC36" s="21"/>
      <c r="HLD36" s="21"/>
      <c r="HLH36" s="15"/>
      <c r="HLN36" s="25"/>
      <c r="HLU36" s="21"/>
      <c r="HLV36" s="21"/>
      <c r="HLZ36" s="15"/>
      <c r="HMF36" s="25"/>
      <c r="HMM36" s="21"/>
      <c r="HMN36" s="21"/>
      <c r="HMR36" s="15"/>
      <c r="HMX36" s="25"/>
      <c r="HNE36" s="21"/>
      <c r="HNF36" s="21"/>
      <c r="HNJ36" s="15"/>
      <c r="HNP36" s="25"/>
      <c r="HNW36" s="21"/>
      <c r="HNX36" s="21"/>
      <c r="HOB36" s="15"/>
      <c r="HOH36" s="25"/>
      <c r="HOO36" s="21"/>
      <c r="HOP36" s="21"/>
      <c r="HOT36" s="15"/>
      <c r="HOZ36" s="25"/>
      <c r="HPG36" s="21"/>
      <c r="HPH36" s="21"/>
      <c r="HPL36" s="15"/>
      <c r="HPR36" s="25"/>
      <c r="HPY36" s="21"/>
      <c r="HPZ36" s="21"/>
      <c r="HQD36" s="15"/>
      <c r="HQJ36" s="25"/>
      <c r="HQQ36" s="21"/>
      <c r="HQR36" s="21"/>
      <c r="HQV36" s="15"/>
      <c r="HRB36" s="25"/>
      <c r="HRI36" s="21"/>
      <c r="HRJ36" s="21"/>
      <c r="HRN36" s="15"/>
      <c r="HRT36" s="25"/>
      <c r="HSA36" s="21"/>
      <c r="HSB36" s="21"/>
      <c r="HSF36" s="15"/>
      <c r="HSL36" s="25"/>
      <c r="HSS36" s="21"/>
      <c r="HST36" s="21"/>
      <c r="HSX36" s="15"/>
      <c r="HTD36" s="25"/>
      <c r="HTK36" s="21"/>
      <c r="HTL36" s="21"/>
      <c r="HTP36" s="15"/>
      <c r="HTV36" s="25"/>
      <c r="HUC36" s="21"/>
      <c r="HUD36" s="21"/>
      <c r="HUH36" s="15"/>
      <c r="HUN36" s="25"/>
      <c r="HUU36" s="21"/>
      <c r="HUV36" s="21"/>
      <c r="HUZ36" s="15"/>
      <c r="HVF36" s="25"/>
      <c r="HVM36" s="21"/>
      <c r="HVN36" s="21"/>
      <c r="HVR36" s="15"/>
      <c r="HVX36" s="25"/>
      <c r="HWE36" s="21"/>
      <c r="HWF36" s="21"/>
      <c r="HWJ36" s="15"/>
      <c r="HWP36" s="25"/>
      <c r="HWW36" s="21"/>
      <c r="HWX36" s="21"/>
      <c r="HXB36" s="15"/>
      <c r="HXH36" s="25"/>
      <c r="HXO36" s="21"/>
      <c r="HXP36" s="21"/>
      <c r="HXT36" s="15"/>
      <c r="HXZ36" s="25"/>
      <c r="HYG36" s="21"/>
      <c r="HYH36" s="21"/>
      <c r="HYL36" s="15"/>
      <c r="HYR36" s="25"/>
      <c r="HYY36" s="21"/>
      <c r="HYZ36" s="21"/>
      <c r="HZD36" s="15"/>
      <c r="HZJ36" s="25"/>
      <c r="HZQ36" s="21"/>
      <c r="HZR36" s="21"/>
      <c r="HZV36" s="15"/>
      <c r="IAB36" s="25"/>
      <c r="IAI36" s="21"/>
      <c r="IAJ36" s="21"/>
      <c r="IAN36" s="15"/>
      <c r="IAT36" s="25"/>
      <c r="IBA36" s="21"/>
      <c r="IBB36" s="21"/>
      <c r="IBF36" s="15"/>
      <c r="IBL36" s="25"/>
      <c r="IBS36" s="21"/>
      <c r="IBT36" s="21"/>
      <c r="IBX36" s="15"/>
      <c r="ICD36" s="25"/>
      <c r="ICK36" s="21"/>
      <c r="ICL36" s="21"/>
      <c r="ICP36" s="15"/>
      <c r="ICV36" s="25"/>
      <c r="IDC36" s="21"/>
      <c r="IDD36" s="21"/>
      <c r="IDH36" s="15"/>
      <c r="IDN36" s="25"/>
      <c r="IDU36" s="21"/>
      <c r="IDV36" s="21"/>
      <c r="IDZ36" s="15"/>
      <c r="IEF36" s="25"/>
      <c r="IEM36" s="21"/>
      <c r="IEN36" s="21"/>
      <c r="IER36" s="15"/>
      <c r="IEX36" s="25"/>
      <c r="IFE36" s="21"/>
      <c r="IFF36" s="21"/>
      <c r="IFJ36" s="15"/>
      <c r="IFP36" s="25"/>
      <c r="IFW36" s="21"/>
      <c r="IFX36" s="21"/>
      <c r="IGB36" s="15"/>
      <c r="IGH36" s="25"/>
      <c r="IGO36" s="21"/>
      <c r="IGP36" s="21"/>
      <c r="IGT36" s="15"/>
      <c r="IGZ36" s="25"/>
      <c r="IHG36" s="21"/>
      <c r="IHH36" s="21"/>
      <c r="IHL36" s="15"/>
      <c r="IHR36" s="25"/>
      <c r="IHY36" s="21"/>
      <c r="IHZ36" s="21"/>
      <c r="IID36" s="15"/>
      <c r="IIJ36" s="25"/>
      <c r="IIQ36" s="21"/>
      <c r="IIR36" s="21"/>
      <c r="IIV36" s="15"/>
      <c r="IJB36" s="25"/>
      <c r="IJI36" s="21"/>
      <c r="IJJ36" s="21"/>
      <c r="IJN36" s="15"/>
      <c r="IJT36" s="25"/>
      <c r="IKA36" s="21"/>
      <c r="IKB36" s="21"/>
      <c r="IKF36" s="15"/>
      <c r="IKL36" s="25"/>
      <c r="IKS36" s="21"/>
      <c r="IKT36" s="21"/>
      <c r="IKX36" s="15"/>
      <c r="ILD36" s="25"/>
      <c r="ILK36" s="21"/>
      <c r="ILL36" s="21"/>
      <c r="ILP36" s="15"/>
      <c r="ILV36" s="25"/>
      <c r="IMC36" s="21"/>
      <c r="IMD36" s="21"/>
      <c r="IMH36" s="15"/>
      <c r="IMN36" s="25"/>
      <c r="IMU36" s="21"/>
      <c r="IMV36" s="21"/>
      <c r="IMZ36" s="15"/>
      <c r="INF36" s="25"/>
      <c r="INM36" s="21"/>
      <c r="INN36" s="21"/>
      <c r="INR36" s="15"/>
      <c r="INX36" s="25"/>
      <c r="IOE36" s="21"/>
      <c r="IOF36" s="21"/>
      <c r="IOJ36" s="15"/>
      <c r="IOP36" s="25"/>
      <c r="IOW36" s="21"/>
      <c r="IOX36" s="21"/>
      <c r="IPB36" s="15"/>
      <c r="IPH36" s="25"/>
      <c r="IPO36" s="21"/>
      <c r="IPP36" s="21"/>
      <c r="IPT36" s="15"/>
      <c r="IPZ36" s="25"/>
      <c r="IQG36" s="21"/>
      <c r="IQH36" s="21"/>
      <c r="IQL36" s="15"/>
      <c r="IQR36" s="25"/>
      <c r="IQY36" s="21"/>
      <c r="IQZ36" s="21"/>
      <c r="IRD36" s="15"/>
      <c r="IRJ36" s="25"/>
      <c r="IRQ36" s="21"/>
      <c r="IRR36" s="21"/>
      <c r="IRV36" s="15"/>
      <c r="ISB36" s="25"/>
      <c r="ISI36" s="21"/>
      <c r="ISJ36" s="21"/>
      <c r="ISN36" s="15"/>
      <c r="IST36" s="25"/>
      <c r="ITA36" s="21"/>
      <c r="ITB36" s="21"/>
      <c r="ITF36" s="15"/>
      <c r="ITL36" s="25"/>
      <c r="ITS36" s="21"/>
      <c r="ITT36" s="21"/>
      <c r="ITX36" s="15"/>
      <c r="IUD36" s="25"/>
      <c r="IUK36" s="21"/>
      <c r="IUL36" s="21"/>
      <c r="IUP36" s="15"/>
      <c r="IUV36" s="25"/>
      <c r="IVC36" s="21"/>
      <c r="IVD36" s="21"/>
      <c r="IVH36" s="15"/>
      <c r="IVN36" s="25"/>
      <c r="IVU36" s="21"/>
      <c r="IVV36" s="21"/>
      <c r="IVZ36" s="15"/>
      <c r="IWF36" s="25"/>
      <c r="IWM36" s="21"/>
      <c r="IWN36" s="21"/>
      <c r="IWR36" s="15"/>
      <c r="IWX36" s="25"/>
      <c r="IXE36" s="21"/>
      <c r="IXF36" s="21"/>
      <c r="IXJ36" s="15"/>
      <c r="IXP36" s="25"/>
      <c r="IXW36" s="21"/>
      <c r="IXX36" s="21"/>
      <c r="IYB36" s="15"/>
      <c r="IYH36" s="25"/>
      <c r="IYO36" s="21"/>
      <c r="IYP36" s="21"/>
      <c r="IYT36" s="15"/>
      <c r="IYZ36" s="25"/>
      <c r="IZG36" s="21"/>
      <c r="IZH36" s="21"/>
      <c r="IZL36" s="15"/>
      <c r="IZR36" s="25"/>
      <c r="IZY36" s="21"/>
      <c r="IZZ36" s="21"/>
      <c r="JAD36" s="15"/>
      <c r="JAJ36" s="25"/>
      <c r="JAQ36" s="21"/>
      <c r="JAR36" s="21"/>
      <c r="JAV36" s="15"/>
      <c r="JBB36" s="25"/>
      <c r="JBI36" s="21"/>
      <c r="JBJ36" s="21"/>
      <c r="JBN36" s="15"/>
      <c r="JBT36" s="25"/>
      <c r="JCA36" s="21"/>
      <c r="JCB36" s="21"/>
      <c r="JCF36" s="15"/>
      <c r="JCL36" s="25"/>
      <c r="JCS36" s="21"/>
      <c r="JCT36" s="21"/>
      <c r="JCX36" s="15"/>
      <c r="JDD36" s="25"/>
      <c r="JDK36" s="21"/>
      <c r="JDL36" s="21"/>
      <c r="JDP36" s="15"/>
      <c r="JDV36" s="25"/>
      <c r="JEC36" s="21"/>
      <c r="JED36" s="21"/>
      <c r="JEH36" s="15"/>
      <c r="JEN36" s="25"/>
      <c r="JEU36" s="21"/>
      <c r="JEV36" s="21"/>
      <c r="JEZ36" s="15"/>
      <c r="JFF36" s="25"/>
      <c r="JFM36" s="21"/>
      <c r="JFN36" s="21"/>
      <c r="JFR36" s="15"/>
      <c r="JFX36" s="25"/>
      <c r="JGE36" s="21"/>
      <c r="JGF36" s="21"/>
      <c r="JGJ36" s="15"/>
      <c r="JGP36" s="25"/>
      <c r="JGW36" s="21"/>
      <c r="JGX36" s="21"/>
      <c r="JHB36" s="15"/>
      <c r="JHH36" s="25"/>
      <c r="JHO36" s="21"/>
      <c r="JHP36" s="21"/>
      <c r="JHT36" s="15"/>
      <c r="JHZ36" s="25"/>
      <c r="JIG36" s="21"/>
      <c r="JIH36" s="21"/>
      <c r="JIL36" s="15"/>
      <c r="JIR36" s="25"/>
      <c r="JIY36" s="21"/>
      <c r="JIZ36" s="21"/>
      <c r="JJD36" s="15"/>
      <c r="JJJ36" s="25"/>
      <c r="JJQ36" s="21"/>
      <c r="JJR36" s="21"/>
      <c r="JJV36" s="15"/>
      <c r="JKB36" s="25"/>
      <c r="JKI36" s="21"/>
      <c r="JKJ36" s="21"/>
      <c r="JKN36" s="15"/>
      <c r="JKT36" s="25"/>
      <c r="JLA36" s="21"/>
      <c r="JLB36" s="21"/>
      <c r="JLF36" s="15"/>
      <c r="JLL36" s="25"/>
      <c r="JLS36" s="21"/>
      <c r="JLT36" s="21"/>
      <c r="JLX36" s="15"/>
      <c r="JMD36" s="25"/>
      <c r="JMK36" s="21"/>
      <c r="JML36" s="21"/>
      <c r="JMP36" s="15"/>
      <c r="JMV36" s="25"/>
      <c r="JNC36" s="21"/>
      <c r="JND36" s="21"/>
      <c r="JNH36" s="15"/>
      <c r="JNN36" s="25"/>
      <c r="JNU36" s="21"/>
      <c r="JNV36" s="21"/>
      <c r="JNZ36" s="15"/>
      <c r="JOF36" s="25"/>
      <c r="JOM36" s="21"/>
      <c r="JON36" s="21"/>
      <c r="JOR36" s="15"/>
      <c r="JOX36" s="25"/>
      <c r="JPE36" s="21"/>
      <c r="JPF36" s="21"/>
      <c r="JPJ36" s="15"/>
      <c r="JPP36" s="25"/>
      <c r="JPW36" s="21"/>
      <c r="JPX36" s="21"/>
      <c r="JQB36" s="15"/>
      <c r="JQH36" s="25"/>
      <c r="JQO36" s="21"/>
      <c r="JQP36" s="21"/>
      <c r="JQT36" s="15"/>
      <c r="JQZ36" s="25"/>
      <c r="JRG36" s="21"/>
      <c r="JRH36" s="21"/>
      <c r="JRL36" s="15"/>
      <c r="JRR36" s="25"/>
      <c r="JRY36" s="21"/>
      <c r="JRZ36" s="21"/>
      <c r="JSD36" s="15"/>
      <c r="JSJ36" s="25"/>
      <c r="JSQ36" s="21"/>
      <c r="JSR36" s="21"/>
      <c r="JSV36" s="15"/>
      <c r="JTB36" s="25"/>
      <c r="JTI36" s="21"/>
      <c r="JTJ36" s="21"/>
      <c r="JTN36" s="15"/>
      <c r="JTT36" s="25"/>
      <c r="JUA36" s="21"/>
      <c r="JUB36" s="21"/>
      <c r="JUF36" s="15"/>
      <c r="JUL36" s="25"/>
      <c r="JUS36" s="21"/>
      <c r="JUT36" s="21"/>
      <c r="JUX36" s="15"/>
      <c r="JVD36" s="25"/>
      <c r="JVK36" s="21"/>
      <c r="JVL36" s="21"/>
      <c r="JVP36" s="15"/>
      <c r="JVV36" s="25"/>
      <c r="JWC36" s="21"/>
      <c r="JWD36" s="21"/>
      <c r="JWH36" s="15"/>
      <c r="JWN36" s="25"/>
      <c r="JWU36" s="21"/>
      <c r="JWV36" s="21"/>
      <c r="JWZ36" s="15"/>
      <c r="JXF36" s="25"/>
      <c r="JXM36" s="21"/>
      <c r="JXN36" s="21"/>
      <c r="JXR36" s="15"/>
      <c r="JXX36" s="25"/>
      <c r="JYE36" s="21"/>
      <c r="JYF36" s="21"/>
      <c r="JYJ36" s="15"/>
      <c r="JYP36" s="25"/>
      <c r="JYW36" s="21"/>
      <c r="JYX36" s="21"/>
      <c r="JZB36" s="15"/>
      <c r="JZH36" s="25"/>
      <c r="JZO36" s="21"/>
      <c r="JZP36" s="21"/>
      <c r="JZT36" s="15"/>
      <c r="JZZ36" s="25"/>
      <c r="KAG36" s="21"/>
      <c r="KAH36" s="21"/>
      <c r="KAL36" s="15"/>
      <c r="KAR36" s="25"/>
      <c r="KAY36" s="21"/>
      <c r="KAZ36" s="21"/>
      <c r="KBD36" s="15"/>
      <c r="KBJ36" s="25"/>
      <c r="KBQ36" s="21"/>
      <c r="KBR36" s="21"/>
      <c r="KBV36" s="15"/>
      <c r="KCB36" s="25"/>
      <c r="KCI36" s="21"/>
      <c r="KCJ36" s="21"/>
      <c r="KCN36" s="15"/>
      <c r="KCT36" s="25"/>
      <c r="KDA36" s="21"/>
      <c r="KDB36" s="21"/>
      <c r="KDF36" s="15"/>
      <c r="KDL36" s="25"/>
      <c r="KDS36" s="21"/>
      <c r="KDT36" s="21"/>
      <c r="KDX36" s="15"/>
      <c r="KED36" s="25"/>
      <c r="KEK36" s="21"/>
      <c r="KEL36" s="21"/>
      <c r="KEP36" s="15"/>
      <c r="KEV36" s="25"/>
      <c r="KFC36" s="21"/>
      <c r="KFD36" s="21"/>
      <c r="KFH36" s="15"/>
      <c r="KFN36" s="25"/>
      <c r="KFU36" s="21"/>
      <c r="KFV36" s="21"/>
      <c r="KFZ36" s="15"/>
      <c r="KGF36" s="25"/>
      <c r="KGM36" s="21"/>
      <c r="KGN36" s="21"/>
      <c r="KGR36" s="15"/>
      <c r="KGX36" s="25"/>
      <c r="KHE36" s="21"/>
      <c r="KHF36" s="21"/>
      <c r="KHJ36" s="15"/>
      <c r="KHP36" s="25"/>
      <c r="KHW36" s="21"/>
      <c r="KHX36" s="21"/>
      <c r="KIB36" s="15"/>
      <c r="KIH36" s="25"/>
      <c r="KIO36" s="21"/>
      <c r="KIP36" s="21"/>
      <c r="KIT36" s="15"/>
      <c r="KIZ36" s="25"/>
      <c r="KJG36" s="21"/>
      <c r="KJH36" s="21"/>
      <c r="KJL36" s="15"/>
      <c r="KJR36" s="25"/>
      <c r="KJY36" s="21"/>
      <c r="KJZ36" s="21"/>
      <c r="KKD36" s="15"/>
      <c r="KKJ36" s="25"/>
      <c r="KKQ36" s="21"/>
      <c r="KKR36" s="21"/>
      <c r="KKV36" s="15"/>
      <c r="KLB36" s="25"/>
      <c r="KLI36" s="21"/>
      <c r="KLJ36" s="21"/>
      <c r="KLN36" s="15"/>
      <c r="KLT36" s="25"/>
      <c r="KMA36" s="21"/>
      <c r="KMB36" s="21"/>
      <c r="KMF36" s="15"/>
      <c r="KML36" s="25"/>
      <c r="KMS36" s="21"/>
      <c r="KMT36" s="21"/>
      <c r="KMX36" s="15"/>
      <c r="KND36" s="25"/>
      <c r="KNK36" s="21"/>
      <c r="KNL36" s="21"/>
      <c r="KNP36" s="15"/>
      <c r="KNV36" s="25"/>
      <c r="KOC36" s="21"/>
      <c r="KOD36" s="21"/>
      <c r="KOH36" s="15"/>
      <c r="KON36" s="25"/>
      <c r="KOU36" s="21"/>
      <c r="KOV36" s="21"/>
      <c r="KOZ36" s="15"/>
      <c r="KPF36" s="25"/>
      <c r="KPM36" s="21"/>
      <c r="KPN36" s="21"/>
      <c r="KPR36" s="15"/>
      <c r="KPX36" s="25"/>
      <c r="KQE36" s="21"/>
      <c r="KQF36" s="21"/>
      <c r="KQJ36" s="15"/>
      <c r="KQP36" s="25"/>
      <c r="KQW36" s="21"/>
      <c r="KQX36" s="21"/>
      <c r="KRB36" s="15"/>
      <c r="KRH36" s="25"/>
      <c r="KRO36" s="21"/>
      <c r="KRP36" s="21"/>
      <c r="KRT36" s="15"/>
      <c r="KRZ36" s="25"/>
      <c r="KSG36" s="21"/>
      <c r="KSH36" s="21"/>
      <c r="KSL36" s="15"/>
      <c r="KSR36" s="25"/>
      <c r="KSY36" s="21"/>
      <c r="KSZ36" s="21"/>
      <c r="KTD36" s="15"/>
      <c r="KTJ36" s="25"/>
      <c r="KTQ36" s="21"/>
      <c r="KTR36" s="21"/>
      <c r="KTV36" s="15"/>
      <c r="KUB36" s="25"/>
      <c r="KUI36" s="21"/>
      <c r="KUJ36" s="21"/>
      <c r="KUN36" s="15"/>
      <c r="KUT36" s="25"/>
      <c r="KVA36" s="21"/>
      <c r="KVB36" s="21"/>
      <c r="KVF36" s="15"/>
      <c r="KVL36" s="25"/>
      <c r="KVS36" s="21"/>
      <c r="KVT36" s="21"/>
      <c r="KVX36" s="15"/>
      <c r="KWD36" s="25"/>
      <c r="KWK36" s="21"/>
      <c r="KWL36" s="21"/>
      <c r="KWP36" s="15"/>
      <c r="KWV36" s="25"/>
      <c r="KXC36" s="21"/>
      <c r="KXD36" s="21"/>
      <c r="KXH36" s="15"/>
      <c r="KXN36" s="25"/>
      <c r="KXU36" s="21"/>
      <c r="KXV36" s="21"/>
      <c r="KXZ36" s="15"/>
      <c r="KYF36" s="25"/>
      <c r="KYM36" s="21"/>
      <c r="KYN36" s="21"/>
      <c r="KYR36" s="15"/>
      <c r="KYX36" s="25"/>
      <c r="KZE36" s="21"/>
      <c r="KZF36" s="21"/>
      <c r="KZJ36" s="15"/>
      <c r="KZP36" s="25"/>
      <c r="KZW36" s="21"/>
      <c r="KZX36" s="21"/>
      <c r="LAB36" s="15"/>
      <c r="LAH36" s="25"/>
      <c r="LAO36" s="21"/>
      <c r="LAP36" s="21"/>
      <c r="LAT36" s="15"/>
      <c r="LAZ36" s="25"/>
      <c r="LBG36" s="21"/>
      <c r="LBH36" s="21"/>
      <c r="LBL36" s="15"/>
      <c r="LBR36" s="25"/>
      <c r="LBY36" s="21"/>
      <c r="LBZ36" s="21"/>
      <c r="LCD36" s="15"/>
      <c r="LCJ36" s="25"/>
      <c r="LCQ36" s="21"/>
      <c r="LCR36" s="21"/>
      <c r="LCV36" s="15"/>
      <c r="LDB36" s="25"/>
      <c r="LDI36" s="21"/>
      <c r="LDJ36" s="21"/>
      <c r="LDN36" s="15"/>
      <c r="LDT36" s="25"/>
      <c r="LEA36" s="21"/>
      <c r="LEB36" s="21"/>
      <c r="LEF36" s="15"/>
      <c r="LEL36" s="25"/>
      <c r="LES36" s="21"/>
      <c r="LET36" s="21"/>
      <c r="LEX36" s="15"/>
      <c r="LFD36" s="25"/>
      <c r="LFK36" s="21"/>
      <c r="LFL36" s="21"/>
      <c r="LFP36" s="15"/>
      <c r="LFV36" s="25"/>
      <c r="LGC36" s="21"/>
      <c r="LGD36" s="21"/>
      <c r="LGH36" s="15"/>
      <c r="LGN36" s="25"/>
      <c r="LGU36" s="21"/>
      <c r="LGV36" s="21"/>
      <c r="LGZ36" s="15"/>
      <c r="LHF36" s="25"/>
      <c r="LHM36" s="21"/>
      <c r="LHN36" s="21"/>
      <c r="LHR36" s="15"/>
      <c r="LHX36" s="25"/>
      <c r="LIE36" s="21"/>
      <c r="LIF36" s="21"/>
      <c r="LIJ36" s="15"/>
      <c r="LIP36" s="25"/>
      <c r="LIW36" s="21"/>
      <c r="LIX36" s="21"/>
      <c r="LJB36" s="15"/>
      <c r="LJH36" s="25"/>
      <c r="LJO36" s="21"/>
      <c r="LJP36" s="21"/>
      <c r="LJT36" s="15"/>
      <c r="LJZ36" s="25"/>
      <c r="LKG36" s="21"/>
      <c r="LKH36" s="21"/>
      <c r="LKL36" s="15"/>
      <c r="LKR36" s="25"/>
      <c r="LKY36" s="21"/>
      <c r="LKZ36" s="21"/>
      <c r="LLD36" s="15"/>
      <c r="LLJ36" s="25"/>
      <c r="LLQ36" s="21"/>
      <c r="LLR36" s="21"/>
      <c r="LLV36" s="15"/>
      <c r="LMB36" s="25"/>
      <c r="LMI36" s="21"/>
      <c r="LMJ36" s="21"/>
      <c r="LMN36" s="15"/>
      <c r="LMT36" s="25"/>
      <c r="LNA36" s="21"/>
      <c r="LNB36" s="21"/>
      <c r="LNF36" s="15"/>
      <c r="LNL36" s="25"/>
      <c r="LNS36" s="21"/>
      <c r="LNT36" s="21"/>
      <c r="LNX36" s="15"/>
      <c r="LOD36" s="25"/>
      <c r="LOK36" s="21"/>
      <c r="LOL36" s="21"/>
      <c r="LOP36" s="15"/>
      <c r="LOV36" s="25"/>
      <c r="LPC36" s="21"/>
      <c r="LPD36" s="21"/>
      <c r="LPH36" s="15"/>
      <c r="LPN36" s="25"/>
      <c r="LPU36" s="21"/>
      <c r="LPV36" s="21"/>
      <c r="LPZ36" s="15"/>
      <c r="LQF36" s="25"/>
      <c r="LQM36" s="21"/>
      <c r="LQN36" s="21"/>
      <c r="LQR36" s="15"/>
      <c r="LQX36" s="25"/>
      <c r="LRE36" s="21"/>
      <c r="LRF36" s="21"/>
      <c r="LRJ36" s="15"/>
      <c r="LRP36" s="25"/>
      <c r="LRW36" s="21"/>
      <c r="LRX36" s="21"/>
      <c r="LSB36" s="15"/>
      <c r="LSH36" s="25"/>
      <c r="LSO36" s="21"/>
      <c r="LSP36" s="21"/>
      <c r="LST36" s="15"/>
      <c r="LSZ36" s="25"/>
      <c r="LTG36" s="21"/>
      <c r="LTH36" s="21"/>
      <c r="LTL36" s="15"/>
      <c r="LTR36" s="25"/>
      <c r="LTY36" s="21"/>
      <c r="LTZ36" s="21"/>
      <c r="LUD36" s="15"/>
      <c r="LUJ36" s="25"/>
      <c r="LUQ36" s="21"/>
      <c r="LUR36" s="21"/>
      <c r="LUV36" s="15"/>
      <c r="LVB36" s="25"/>
      <c r="LVI36" s="21"/>
      <c r="LVJ36" s="21"/>
      <c r="LVN36" s="15"/>
      <c r="LVT36" s="25"/>
      <c r="LWA36" s="21"/>
      <c r="LWB36" s="21"/>
      <c r="LWF36" s="15"/>
      <c r="LWL36" s="25"/>
      <c r="LWS36" s="21"/>
      <c r="LWT36" s="21"/>
      <c r="LWX36" s="15"/>
      <c r="LXD36" s="25"/>
      <c r="LXK36" s="21"/>
      <c r="LXL36" s="21"/>
      <c r="LXP36" s="15"/>
      <c r="LXV36" s="25"/>
      <c r="LYC36" s="21"/>
      <c r="LYD36" s="21"/>
      <c r="LYH36" s="15"/>
      <c r="LYN36" s="25"/>
      <c r="LYU36" s="21"/>
      <c r="LYV36" s="21"/>
      <c r="LYZ36" s="15"/>
      <c r="LZF36" s="25"/>
      <c r="LZM36" s="21"/>
      <c r="LZN36" s="21"/>
      <c r="LZR36" s="15"/>
      <c r="LZX36" s="25"/>
      <c r="MAE36" s="21"/>
      <c r="MAF36" s="21"/>
      <c r="MAJ36" s="15"/>
      <c r="MAP36" s="25"/>
      <c r="MAW36" s="21"/>
      <c r="MAX36" s="21"/>
      <c r="MBB36" s="15"/>
      <c r="MBH36" s="25"/>
      <c r="MBO36" s="21"/>
      <c r="MBP36" s="21"/>
      <c r="MBT36" s="15"/>
      <c r="MBZ36" s="25"/>
      <c r="MCG36" s="21"/>
      <c r="MCH36" s="21"/>
      <c r="MCL36" s="15"/>
      <c r="MCR36" s="25"/>
      <c r="MCY36" s="21"/>
      <c r="MCZ36" s="21"/>
      <c r="MDD36" s="15"/>
      <c r="MDJ36" s="25"/>
      <c r="MDQ36" s="21"/>
      <c r="MDR36" s="21"/>
      <c r="MDV36" s="15"/>
      <c r="MEB36" s="25"/>
      <c r="MEI36" s="21"/>
      <c r="MEJ36" s="21"/>
      <c r="MEN36" s="15"/>
      <c r="MET36" s="25"/>
      <c r="MFA36" s="21"/>
      <c r="MFB36" s="21"/>
      <c r="MFF36" s="15"/>
      <c r="MFL36" s="25"/>
      <c r="MFS36" s="21"/>
      <c r="MFT36" s="21"/>
      <c r="MFX36" s="15"/>
      <c r="MGD36" s="25"/>
      <c r="MGK36" s="21"/>
      <c r="MGL36" s="21"/>
      <c r="MGP36" s="15"/>
      <c r="MGV36" s="25"/>
      <c r="MHC36" s="21"/>
      <c r="MHD36" s="21"/>
      <c r="MHH36" s="15"/>
      <c r="MHN36" s="25"/>
      <c r="MHU36" s="21"/>
      <c r="MHV36" s="21"/>
      <c r="MHZ36" s="15"/>
      <c r="MIF36" s="25"/>
      <c r="MIM36" s="21"/>
      <c r="MIN36" s="21"/>
      <c r="MIR36" s="15"/>
      <c r="MIX36" s="25"/>
      <c r="MJE36" s="21"/>
      <c r="MJF36" s="21"/>
      <c r="MJJ36" s="15"/>
      <c r="MJP36" s="25"/>
      <c r="MJW36" s="21"/>
      <c r="MJX36" s="21"/>
      <c r="MKB36" s="15"/>
      <c r="MKH36" s="25"/>
      <c r="MKO36" s="21"/>
      <c r="MKP36" s="21"/>
      <c r="MKT36" s="15"/>
      <c r="MKZ36" s="25"/>
      <c r="MLG36" s="21"/>
      <c r="MLH36" s="21"/>
      <c r="MLL36" s="15"/>
      <c r="MLR36" s="25"/>
      <c r="MLY36" s="21"/>
      <c r="MLZ36" s="21"/>
      <c r="MMD36" s="15"/>
      <c r="MMJ36" s="25"/>
      <c r="MMQ36" s="21"/>
      <c r="MMR36" s="21"/>
      <c r="MMV36" s="15"/>
      <c r="MNB36" s="25"/>
      <c r="MNI36" s="21"/>
      <c r="MNJ36" s="21"/>
      <c r="MNN36" s="15"/>
      <c r="MNT36" s="25"/>
      <c r="MOA36" s="21"/>
      <c r="MOB36" s="21"/>
      <c r="MOF36" s="15"/>
      <c r="MOL36" s="25"/>
      <c r="MOS36" s="21"/>
      <c r="MOT36" s="21"/>
      <c r="MOX36" s="15"/>
      <c r="MPD36" s="25"/>
      <c r="MPK36" s="21"/>
      <c r="MPL36" s="21"/>
      <c r="MPP36" s="15"/>
      <c r="MPV36" s="25"/>
      <c r="MQC36" s="21"/>
      <c r="MQD36" s="21"/>
      <c r="MQH36" s="15"/>
      <c r="MQN36" s="25"/>
      <c r="MQU36" s="21"/>
      <c r="MQV36" s="21"/>
      <c r="MQZ36" s="15"/>
      <c r="MRF36" s="25"/>
      <c r="MRM36" s="21"/>
      <c r="MRN36" s="21"/>
      <c r="MRR36" s="15"/>
      <c r="MRX36" s="25"/>
      <c r="MSE36" s="21"/>
      <c r="MSF36" s="21"/>
      <c r="MSJ36" s="15"/>
      <c r="MSP36" s="25"/>
      <c r="MSW36" s="21"/>
      <c r="MSX36" s="21"/>
      <c r="MTB36" s="15"/>
      <c r="MTH36" s="25"/>
      <c r="MTO36" s="21"/>
      <c r="MTP36" s="21"/>
      <c r="MTT36" s="15"/>
      <c r="MTZ36" s="25"/>
      <c r="MUG36" s="21"/>
      <c r="MUH36" s="21"/>
      <c r="MUL36" s="15"/>
      <c r="MUR36" s="25"/>
      <c r="MUY36" s="21"/>
      <c r="MUZ36" s="21"/>
      <c r="MVD36" s="15"/>
      <c r="MVJ36" s="25"/>
      <c r="MVQ36" s="21"/>
      <c r="MVR36" s="21"/>
      <c r="MVV36" s="15"/>
      <c r="MWB36" s="25"/>
      <c r="MWI36" s="21"/>
      <c r="MWJ36" s="21"/>
      <c r="MWN36" s="15"/>
      <c r="MWT36" s="25"/>
      <c r="MXA36" s="21"/>
      <c r="MXB36" s="21"/>
      <c r="MXF36" s="15"/>
      <c r="MXL36" s="25"/>
      <c r="MXS36" s="21"/>
      <c r="MXT36" s="21"/>
      <c r="MXX36" s="15"/>
      <c r="MYD36" s="25"/>
      <c r="MYK36" s="21"/>
      <c r="MYL36" s="21"/>
      <c r="MYP36" s="15"/>
      <c r="MYV36" s="25"/>
      <c r="MZC36" s="21"/>
      <c r="MZD36" s="21"/>
      <c r="MZH36" s="15"/>
      <c r="MZN36" s="25"/>
      <c r="MZU36" s="21"/>
      <c r="MZV36" s="21"/>
      <c r="MZZ36" s="15"/>
      <c r="NAF36" s="25"/>
      <c r="NAM36" s="21"/>
      <c r="NAN36" s="21"/>
      <c r="NAR36" s="15"/>
      <c r="NAX36" s="25"/>
      <c r="NBE36" s="21"/>
      <c r="NBF36" s="21"/>
      <c r="NBJ36" s="15"/>
      <c r="NBP36" s="25"/>
      <c r="NBW36" s="21"/>
      <c r="NBX36" s="21"/>
      <c r="NCB36" s="15"/>
      <c r="NCH36" s="25"/>
      <c r="NCO36" s="21"/>
      <c r="NCP36" s="21"/>
      <c r="NCT36" s="15"/>
      <c r="NCZ36" s="25"/>
      <c r="NDG36" s="21"/>
      <c r="NDH36" s="21"/>
      <c r="NDL36" s="15"/>
      <c r="NDR36" s="25"/>
      <c r="NDY36" s="21"/>
      <c r="NDZ36" s="21"/>
      <c r="NED36" s="15"/>
      <c r="NEJ36" s="25"/>
      <c r="NEQ36" s="21"/>
      <c r="NER36" s="21"/>
      <c r="NEV36" s="15"/>
      <c r="NFB36" s="25"/>
      <c r="NFI36" s="21"/>
      <c r="NFJ36" s="21"/>
      <c r="NFN36" s="15"/>
      <c r="NFT36" s="25"/>
      <c r="NGA36" s="21"/>
      <c r="NGB36" s="21"/>
      <c r="NGF36" s="15"/>
      <c r="NGL36" s="25"/>
      <c r="NGS36" s="21"/>
      <c r="NGT36" s="21"/>
      <c r="NGX36" s="15"/>
      <c r="NHD36" s="25"/>
      <c r="NHK36" s="21"/>
      <c r="NHL36" s="21"/>
      <c r="NHP36" s="15"/>
      <c r="NHV36" s="25"/>
      <c r="NIC36" s="21"/>
      <c r="NID36" s="21"/>
      <c r="NIH36" s="15"/>
      <c r="NIN36" s="25"/>
      <c r="NIU36" s="21"/>
      <c r="NIV36" s="21"/>
      <c r="NIZ36" s="15"/>
      <c r="NJF36" s="25"/>
      <c r="NJM36" s="21"/>
      <c r="NJN36" s="21"/>
      <c r="NJR36" s="15"/>
      <c r="NJX36" s="25"/>
      <c r="NKE36" s="21"/>
      <c r="NKF36" s="21"/>
      <c r="NKJ36" s="15"/>
      <c r="NKP36" s="25"/>
      <c r="NKW36" s="21"/>
      <c r="NKX36" s="21"/>
      <c r="NLB36" s="15"/>
      <c r="NLH36" s="25"/>
      <c r="NLO36" s="21"/>
      <c r="NLP36" s="21"/>
      <c r="NLT36" s="15"/>
      <c r="NLZ36" s="25"/>
      <c r="NMG36" s="21"/>
      <c r="NMH36" s="21"/>
      <c r="NML36" s="15"/>
      <c r="NMR36" s="25"/>
      <c r="NMY36" s="21"/>
      <c r="NMZ36" s="21"/>
      <c r="NND36" s="15"/>
      <c r="NNJ36" s="25"/>
      <c r="NNQ36" s="21"/>
      <c r="NNR36" s="21"/>
      <c r="NNV36" s="15"/>
      <c r="NOB36" s="25"/>
      <c r="NOI36" s="21"/>
      <c r="NOJ36" s="21"/>
      <c r="NON36" s="15"/>
      <c r="NOT36" s="25"/>
      <c r="NPA36" s="21"/>
      <c r="NPB36" s="21"/>
      <c r="NPF36" s="15"/>
      <c r="NPL36" s="25"/>
      <c r="NPS36" s="21"/>
      <c r="NPT36" s="21"/>
      <c r="NPX36" s="15"/>
      <c r="NQD36" s="25"/>
      <c r="NQK36" s="21"/>
      <c r="NQL36" s="21"/>
      <c r="NQP36" s="15"/>
      <c r="NQV36" s="25"/>
      <c r="NRC36" s="21"/>
      <c r="NRD36" s="21"/>
      <c r="NRH36" s="15"/>
      <c r="NRN36" s="25"/>
      <c r="NRU36" s="21"/>
      <c r="NRV36" s="21"/>
      <c r="NRZ36" s="15"/>
      <c r="NSF36" s="25"/>
      <c r="NSM36" s="21"/>
      <c r="NSN36" s="21"/>
      <c r="NSR36" s="15"/>
      <c r="NSX36" s="25"/>
      <c r="NTE36" s="21"/>
      <c r="NTF36" s="21"/>
      <c r="NTJ36" s="15"/>
      <c r="NTP36" s="25"/>
      <c r="NTW36" s="21"/>
      <c r="NTX36" s="21"/>
      <c r="NUB36" s="15"/>
      <c r="NUH36" s="25"/>
      <c r="NUO36" s="21"/>
      <c r="NUP36" s="21"/>
      <c r="NUT36" s="15"/>
      <c r="NUZ36" s="25"/>
      <c r="NVG36" s="21"/>
      <c r="NVH36" s="21"/>
      <c r="NVL36" s="15"/>
      <c r="NVR36" s="25"/>
      <c r="NVY36" s="21"/>
      <c r="NVZ36" s="21"/>
      <c r="NWD36" s="15"/>
      <c r="NWJ36" s="25"/>
      <c r="NWQ36" s="21"/>
      <c r="NWR36" s="21"/>
      <c r="NWV36" s="15"/>
      <c r="NXB36" s="25"/>
      <c r="NXI36" s="21"/>
      <c r="NXJ36" s="21"/>
      <c r="NXN36" s="15"/>
      <c r="NXT36" s="25"/>
      <c r="NYA36" s="21"/>
      <c r="NYB36" s="21"/>
      <c r="NYF36" s="15"/>
      <c r="NYL36" s="25"/>
      <c r="NYS36" s="21"/>
      <c r="NYT36" s="21"/>
      <c r="NYX36" s="15"/>
      <c r="NZD36" s="25"/>
      <c r="NZK36" s="21"/>
      <c r="NZL36" s="21"/>
      <c r="NZP36" s="15"/>
      <c r="NZV36" s="25"/>
      <c r="OAC36" s="21"/>
      <c r="OAD36" s="21"/>
      <c r="OAH36" s="15"/>
      <c r="OAN36" s="25"/>
      <c r="OAU36" s="21"/>
      <c r="OAV36" s="21"/>
      <c r="OAZ36" s="15"/>
      <c r="OBF36" s="25"/>
      <c r="OBM36" s="21"/>
      <c r="OBN36" s="21"/>
      <c r="OBR36" s="15"/>
      <c r="OBX36" s="25"/>
      <c r="OCE36" s="21"/>
      <c r="OCF36" s="21"/>
      <c r="OCJ36" s="15"/>
      <c r="OCP36" s="25"/>
      <c r="OCW36" s="21"/>
      <c r="OCX36" s="21"/>
      <c r="ODB36" s="15"/>
      <c r="ODH36" s="25"/>
      <c r="ODO36" s="21"/>
      <c r="ODP36" s="21"/>
      <c r="ODT36" s="15"/>
      <c r="ODZ36" s="25"/>
      <c r="OEG36" s="21"/>
      <c r="OEH36" s="21"/>
      <c r="OEL36" s="15"/>
      <c r="OER36" s="25"/>
      <c r="OEY36" s="21"/>
      <c r="OEZ36" s="21"/>
      <c r="OFD36" s="15"/>
      <c r="OFJ36" s="25"/>
      <c r="OFQ36" s="21"/>
      <c r="OFR36" s="21"/>
      <c r="OFV36" s="15"/>
      <c r="OGB36" s="25"/>
      <c r="OGI36" s="21"/>
      <c r="OGJ36" s="21"/>
      <c r="OGN36" s="15"/>
      <c r="OGT36" s="25"/>
      <c r="OHA36" s="21"/>
      <c r="OHB36" s="21"/>
      <c r="OHF36" s="15"/>
      <c r="OHL36" s="25"/>
      <c r="OHS36" s="21"/>
      <c r="OHT36" s="21"/>
      <c r="OHX36" s="15"/>
      <c r="OID36" s="25"/>
      <c r="OIK36" s="21"/>
      <c r="OIL36" s="21"/>
      <c r="OIP36" s="15"/>
      <c r="OIV36" s="25"/>
      <c r="OJC36" s="21"/>
      <c r="OJD36" s="21"/>
      <c r="OJH36" s="15"/>
      <c r="OJN36" s="25"/>
      <c r="OJU36" s="21"/>
      <c r="OJV36" s="21"/>
      <c r="OJZ36" s="15"/>
      <c r="OKF36" s="25"/>
      <c r="OKM36" s="21"/>
      <c r="OKN36" s="21"/>
      <c r="OKR36" s="15"/>
      <c r="OKX36" s="25"/>
      <c r="OLE36" s="21"/>
      <c r="OLF36" s="21"/>
      <c r="OLJ36" s="15"/>
      <c r="OLP36" s="25"/>
      <c r="OLW36" s="21"/>
      <c r="OLX36" s="21"/>
      <c r="OMB36" s="15"/>
      <c r="OMH36" s="25"/>
      <c r="OMO36" s="21"/>
      <c r="OMP36" s="21"/>
      <c r="OMT36" s="15"/>
      <c r="OMZ36" s="25"/>
      <c r="ONG36" s="21"/>
      <c r="ONH36" s="21"/>
      <c r="ONL36" s="15"/>
      <c r="ONR36" s="25"/>
      <c r="ONY36" s="21"/>
      <c r="ONZ36" s="21"/>
      <c r="OOD36" s="15"/>
      <c r="OOJ36" s="25"/>
      <c r="OOQ36" s="21"/>
      <c r="OOR36" s="21"/>
      <c r="OOV36" s="15"/>
      <c r="OPB36" s="25"/>
      <c r="OPI36" s="21"/>
      <c r="OPJ36" s="21"/>
      <c r="OPN36" s="15"/>
      <c r="OPT36" s="25"/>
      <c r="OQA36" s="21"/>
      <c r="OQB36" s="21"/>
      <c r="OQF36" s="15"/>
      <c r="OQL36" s="25"/>
      <c r="OQS36" s="21"/>
      <c r="OQT36" s="21"/>
      <c r="OQX36" s="15"/>
      <c r="ORD36" s="25"/>
      <c r="ORK36" s="21"/>
      <c r="ORL36" s="21"/>
      <c r="ORP36" s="15"/>
      <c r="ORV36" s="25"/>
      <c r="OSC36" s="21"/>
      <c r="OSD36" s="21"/>
      <c r="OSH36" s="15"/>
      <c r="OSN36" s="25"/>
      <c r="OSU36" s="21"/>
      <c r="OSV36" s="21"/>
      <c r="OSZ36" s="15"/>
      <c r="OTF36" s="25"/>
      <c r="OTM36" s="21"/>
      <c r="OTN36" s="21"/>
      <c r="OTR36" s="15"/>
      <c r="OTX36" s="25"/>
      <c r="OUE36" s="21"/>
      <c r="OUF36" s="21"/>
      <c r="OUJ36" s="15"/>
      <c r="OUP36" s="25"/>
      <c r="OUW36" s="21"/>
      <c r="OUX36" s="21"/>
      <c r="OVB36" s="15"/>
      <c r="OVH36" s="25"/>
      <c r="OVO36" s="21"/>
      <c r="OVP36" s="21"/>
      <c r="OVT36" s="15"/>
      <c r="OVZ36" s="25"/>
      <c r="OWG36" s="21"/>
      <c r="OWH36" s="21"/>
      <c r="OWL36" s="15"/>
      <c r="OWR36" s="25"/>
      <c r="OWY36" s="21"/>
      <c r="OWZ36" s="21"/>
      <c r="OXD36" s="15"/>
      <c r="OXJ36" s="25"/>
      <c r="OXQ36" s="21"/>
      <c r="OXR36" s="21"/>
      <c r="OXV36" s="15"/>
      <c r="OYB36" s="25"/>
      <c r="OYI36" s="21"/>
      <c r="OYJ36" s="21"/>
      <c r="OYN36" s="15"/>
      <c r="OYT36" s="25"/>
      <c r="OZA36" s="21"/>
      <c r="OZB36" s="21"/>
      <c r="OZF36" s="15"/>
      <c r="OZL36" s="25"/>
      <c r="OZS36" s="21"/>
      <c r="OZT36" s="21"/>
      <c r="OZX36" s="15"/>
      <c r="PAD36" s="25"/>
      <c r="PAK36" s="21"/>
      <c r="PAL36" s="21"/>
      <c r="PAP36" s="15"/>
      <c r="PAV36" s="25"/>
      <c r="PBC36" s="21"/>
      <c r="PBD36" s="21"/>
      <c r="PBH36" s="15"/>
      <c r="PBN36" s="25"/>
      <c r="PBU36" s="21"/>
      <c r="PBV36" s="21"/>
      <c r="PBZ36" s="15"/>
      <c r="PCF36" s="25"/>
      <c r="PCM36" s="21"/>
      <c r="PCN36" s="21"/>
      <c r="PCR36" s="15"/>
      <c r="PCX36" s="25"/>
      <c r="PDE36" s="21"/>
      <c r="PDF36" s="21"/>
      <c r="PDJ36" s="15"/>
      <c r="PDP36" s="25"/>
      <c r="PDW36" s="21"/>
      <c r="PDX36" s="21"/>
      <c r="PEB36" s="15"/>
      <c r="PEH36" s="25"/>
      <c r="PEO36" s="21"/>
      <c r="PEP36" s="21"/>
      <c r="PET36" s="15"/>
      <c r="PEZ36" s="25"/>
      <c r="PFG36" s="21"/>
      <c r="PFH36" s="21"/>
      <c r="PFL36" s="15"/>
      <c r="PFR36" s="25"/>
      <c r="PFY36" s="21"/>
      <c r="PFZ36" s="21"/>
      <c r="PGD36" s="15"/>
      <c r="PGJ36" s="25"/>
      <c r="PGQ36" s="21"/>
      <c r="PGR36" s="21"/>
      <c r="PGV36" s="15"/>
      <c r="PHB36" s="25"/>
      <c r="PHI36" s="21"/>
      <c r="PHJ36" s="21"/>
      <c r="PHN36" s="15"/>
      <c r="PHT36" s="25"/>
      <c r="PIA36" s="21"/>
      <c r="PIB36" s="21"/>
      <c r="PIF36" s="15"/>
      <c r="PIL36" s="25"/>
      <c r="PIS36" s="21"/>
      <c r="PIT36" s="21"/>
      <c r="PIX36" s="15"/>
      <c r="PJD36" s="25"/>
      <c r="PJK36" s="21"/>
      <c r="PJL36" s="21"/>
      <c r="PJP36" s="15"/>
      <c r="PJV36" s="25"/>
      <c r="PKC36" s="21"/>
      <c r="PKD36" s="21"/>
      <c r="PKH36" s="15"/>
      <c r="PKN36" s="25"/>
      <c r="PKU36" s="21"/>
      <c r="PKV36" s="21"/>
      <c r="PKZ36" s="15"/>
      <c r="PLF36" s="25"/>
      <c r="PLM36" s="21"/>
      <c r="PLN36" s="21"/>
      <c r="PLR36" s="15"/>
      <c r="PLX36" s="25"/>
      <c r="PME36" s="21"/>
      <c r="PMF36" s="21"/>
      <c r="PMJ36" s="15"/>
      <c r="PMP36" s="25"/>
      <c r="PMW36" s="21"/>
      <c r="PMX36" s="21"/>
      <c r="PNB36" s="15"/>
      <c r="PNH36" s="25"/>
      <c r="PNO36" s="21"/>
      <c r="PNP36" s="21"/>
      <c r="PNT36" s="15"/>
      <c r="PNZ36" s="25"/>
      <c r="POG36" s="21"/>
      <c r="POH36" s="21"/>
      <c r="POL36" s="15"/>
      <c r="POR36" s="25"/>
      <c r="POY36" s="21"/>
      <c r="POZ36" s="21"/>
      <c r="PPD36" s="15"/>
      <c r="PPJ36" s="25"/>
      <c r="PPQ36" s="21"/>
      <c r="PPR36" s="21"/>
      <c r="PPV36" s="15"/>
      <c r="PQB36" s="25"/>
      <c r="PQI36" s="21"/>
      <c r="PQJ36" s="21"/>
      <c r="PQN36" s="15"/>
      <c r="PQT36" s="25"/>
      <c r="PRA36" s="21"/>
      <c r="PRB36" s="21"/>
      <c r="PRF36" s="15"/>
      <c r="PRL36" s="25"/>
      <c r="PRS36" s="21"/>
      <c r="PRT36" s="21"/>
      <c r="PRX36" s="15"/>
      <c r="PSD36" s="25"/>
      <c r="PSK36" s="21"/>
      <c r="PSL36" s="21"/>
      <c r="PSP36" s="15"/>
      <c r="PSV36" s="25"/>
      <c r="PTC36" s="21"/>
      <c r="PTD36" s="21"/>
      <c r="PTH36" s="15"/>
      <c r="PTN36" s="25"/>
      <c r="PTU36" s="21"/>
      <c r="PTV36" s="21"/>
      <c r="PTZ36" s="15"/>
      <c r="PUF36" s="25"/>
      <c r="PUM36" s="21"/>
      <c r="PUN36" s="21"/>
      <c r="PUR36" s="15"/>
      <c r="PUX36" s="25"/>
      <c r="PVE36" s="21"/>
      <c r="PVF36" s="21"/>
      <c r="PVJ36" s="15"/>
      <c r="PVP36" s="25"/>
      <c r="PVW36" s="21"/>
      <c r="PVX36" s="21"/>
      <c r="PWB36" s="15"/>
      <c r="PWH36" s="25"/>
      <c r="PWO36" s="21"/>
      <c r="PWP36" s="21"/>
      <c r="PWT36" s="15"/>
      <c r="PWZ36" s="25"/>
      <c r="PXG36" s="21"/>
      <c r="PXH36" s="21"/>
      <c r="PXL36" s="15"/>
      <c r="PXR36" s="25"/>
      <c r="PXY36" s="21"/>
      <c r="PXZ36" s="21"/>
      <c r="PYD36" s="15"/>
      <c r="PYJ36" s="25"/>
      <c r="PYQ36" s="21"/>
      <c r="PYR36" s="21"/>
      <c r="PYV36" s="15"/>
      <c r="PZB36" s="25"/>
      <c r="PZI36" s="21"/>
      <c r="PZJ36" s="21"/>
      <c r="PZN36" s="15"/>
      <c r="PZT36" s="25"/>
      <c r="QAA36" s="21"/>
      <c r="QAB36" s="21"/>
      <c r="QAF36" s="15"/>
      <c r="QAL36" s="25"/>
      <c r="QAS36" s="21"/>
      <c r="QAT36" s="21"/>
      <c r="QAX36" s="15"/>
      <c r="QBD36" s="25"/>
      <c r="QBK36" s="21"/>
      <c r="QBL36" s="21"/>
      <c r="QBP36" s="15"/>
      <c r="QBV36" s="25"/>
      <c r="QCC36" s="21"/>
      <c r="QCD36" s="21"/>
      <c r="QCH36" s="15"/>
      <c r="QCN36" s="25"/>
      <c r="QCU36" s="21"/>
      <c r="QCV36" s="21"/>
      <c r="QCZ36" s="15"/>
      <c r="QDF36" s="25"/>
      <c r="QDM36" s="21"/>
      <c r="QDN36" s="21"/>
      <c r="QDR36" s="15"/>
      <c r="QDX36" s="25"/>
      <c r="QEE36" s="21"/>
      <c r="QEF36" s="21"/>
      <c r="QEJ36" s="15"/>
      <c r="QEP36" s="25"/>
      <c r="QEW36" s="21"/>
      <c r="QEX36" s="21"/>
      <c r="QFB36" s="15"/>
      <c r="QFH36" s="25"/>
      <c r="QFO36" s="21"/>
      <c r="QFP36" s="21"/>
      <c r="QFT36" s="15"/>
      <c r="QFZ36" s="25"/>
      <c r="QGG36" s="21"/>
      <c r="QGH36" s="21"/>
      <c r="QGL36" s="15"/>
      <c r="QGR36" s="25"/>
      <c r="QGY36" s="21"/>
      <c r="QGZ36" s="21"/>
      <c r="QHD36" s="15"/>
      <c r="QHJ36" s="25"/>
      <c r="QHQ36" s="21"/>
      <c r="QHR36" s="21"/>
      <c r="QHV36" s="15"/>
      <c r="QIB36" s="25"/>
      <c r="QII36" s="21"/>
      <c r="QIJ36" s="21"/>
      <c r="QIN36" s="15"/>
      <c r="QIT36" s="25"/>
      <c r="QJA36" s="21"/>
      <c r="QJB36" s="21"/>
      <c r="QJF36" s="15"/>
      <c r="QJL36" s="25"/>
      <c r="QJS36" s="21"/>
      <c r="QJT36" s="21"/>
      <c r="QJX36" s="15"/>
      <c r="QKD36" s="25"/>
      <c r="QKK36" s="21"/>
      <c r="QKL36" s="21"/>
      <c r="QKP36" s="15"/>
      <c r="QKV36" s="25"/>
      <c r="QLC36" s="21"/>
      <c r="QLD36" s="21"/>
      <c r="QLH36" s="15"/>
      <c r="QLN36" s="25"/>
      <c r="QLU36" s="21"/>
      <c r="QLV36" s="21"/>
      <c r="QLZ36" s="15"/>
      <c r="QMF36" s="25"/>
      <c r="QMM36" s="21"/>
      <c r="QMN36" s="21"/>
      <c r="QMR36" s="15"/>
      <c r="QMX36" s="25"/>
      <c r="QNE36" s="21"/>
      <c r="QNF36" s="21"/>
      <c r="QNJ36" s="15"/>
      <c r="QNP36" s="25"/>
      <c r="QNW36" s="21"/>
      <c r="QNX36" s="21"/>
      <c r="QOB36" s="15"/>
      <c r="QOH36" s="25"/>
      <c r="QOO36" s="21"/>
      <c r="QOP36" s="21"/>
      <c r="QOT36" s="15"/>
      <c r="QOZ36" s="25"/>
      <c r="QPG36" s="21"/>
      <c r="QPH36" s="21"/>
      <c r="QPL36" s="15"/>
      <c r="QPR36" s="25"/>
      <c r="QPY36" s="21"/>
      <c r="QPZ36" s="21"/>
      <c r="QQD36" s="15"/>
      <c r="QQJ36" s="25"/>
      <c r="QQQ36" s="21"/>
      <c r="QQR36" s="21"/>
      <c r="QQV36" s="15"/>
      <c r="QRB36" s="25"/>
      <c r="QRI36" s="21"/>
      <c r="QRJ36" s="21"/>
      <c r="QRN36" s="15"/>
      <c r="QRT36" s="25"/>
      <c r="QSA36" s="21"/>
      <c r="QSB36" s="21"/>
      <c r="QSF36" s="15"/>
      <c r="QSL36" s="25"/>
      <c r="QSS36" s="21"/>
      <c r="QST36" s="21"/>
      <c r="QSX36" s="15"/>
      <c r="QTD36" s="25"/>
      <c r="QTK36" s="21"/>
      <c r="QTL36" s="21"/>
      <c r="QTP36" s="15"/>
      <c r="QTV36" s="25"/>
      <c r="QUC36" s="21"/>
      <c r="QUD36" s="21"/>
      <c r="QUH36" s="15"/>
      <c r="QUN36" s="25"/>
      <c r="QUU36" s="21"/>
      <c r="QUV36" s="21"/>
      <c r="QUZ36" s="15"/>
      <c r="QVF36" s="25"/>
      <c r="QVM36" s="21"/>
      <c r="QVN36" s="21"/>
      <c r="QVR36" s="15"/>
      <c r="QVX36" s="25"/>
      <c r="QWE36" s="21"/>
      <c r="QWF36" s="21"/>
      <c r="QWJ36" s="15"/>
      <c r="QWP36" s="25"/>
      <c r="QWW36" s="21"/>
      <c r="QWX36" s="21"/>
      <c r="QXB36" s="15"/>
      <c r="QXH36" s="25"/>
      <c r="QXO36" s="21"/>
      <c r="QXP36" s="21"/>
      <c r="QXT36" s="15"/>
      <c r="QXZ36" s="25"/>
      <c r="QYG36" s="21"/>
      <c r="QYH36" s="21"/>
      <c r="QYL36" s="15"/>
      <c r="QYR36" s="25"/>
      <c r="QYY36" s="21"/>
      <c r="QYZ36" s="21"/>
      <c r="QZD36" s="15"/>
      <c r="QZJ36" s="25"/>
      <c r="QZQ36" s="21"/>
      <c r="QZR36" s="21"/>
      <c r="QZV36" s="15"/>
      <c r="RAB36" s="25"/>
      <c r="RAI36" s="21"/>
      <c r="RAJ36" s="21"/>
      <c r="RAN36" s="15"/>
      <c r="RAT36" s="25"/>
      <c r="RBA36" s="21"/>
      <c r="RBB36" s="21"/>
      <c r="RBF36" s="15"/>
      <c r="RBL36" s="25"/>
      <c r="RBS36" s="21"/>
      <c r="RBT36" s="21"/>
      <c r="RBX36" s="15"/>
      <c r="RCD36" s="25"/>
      <c r="RCK36" s="21"/>
      <c r="RCL36" s="21"/>
      <c r="RCP36" s="15"/>
      <c r="RCV36" s="25"/>
      <c r="RDC36" s="21"/>
      <c r="RDD36" s="21"/>
      <c r="RDH36" s="15"/>
      <c r="RDN36" s="25"/>
      <c r="RDU36" s="21"/>
      <c r="RDV36" s="21"/>
      <c r="RDZ36" s="15"/>
      <c r="REF36" s="25"/>
      <c r="REM36" s="21"/>
      <c r="REN36" s="21"/>
      <c r="RER36" s="15"/>
      <c r="REX36" s="25"/>
      <c r="RFE36" s="21"/>
      <c r="RFF36" s="21"/>
      <c r="RFJ36" s="15"/>
      <c r="RFP36" s="25"/>
      <c r="RFW36" s="21"/>
      <c r="RFX36" s="21"/>
      <c r="RGB36" s="15"/>
      <c r="RGH36" s="25"/>
      <c r="RGO36" s="21"/>
      <c r="RGP36" s="21"/>
      <c r="RGT36" s="15"/>
      <c r="RGZ36" s="25"/>
      <c r="RHG36" s="21"/>
      <c r="RHH36" s="21"/>
      <c r="RHL36" s="15"/>
      <c r="RHR36" s="25"/>
      <c r="RHY36" s="21"/>
      <c r="RHZ36" s="21"/>
      <c r="RID36" s="15"/>
      <c r="RIJ36" s="25"/>
      <c r="RIQ36" s="21"/>
      <c r="RIR36" s="21"/>
      <c r="RIV36" s="15"/>
      <c r="RJB36" s="25"/>
      <c r="RJI36" s="21"/>
      <c r="RJJ36" s="21"/>
      <c r="RJN36" s="15"/>
      <c r="RJT36" s="25"/>
      <c r="RKA36" s="21"/>
      <c r="RKB36" s="21"/>
      <c r="RKF36" s="15"/>
      <c r="RKL36" s="25"/>
      <c r="RKS36" s="21"/>
      <c r="RKT36" s="21"/>
      <c r="RKX36" s="15"/>
      <c r="RLD36" s="25"/>
      <c r="RLK36" s="21"/>
      <c r="RLL36" s="21"/>
      <c r="RLP36" s="15"/>
      <c r="RLV36" s="25"/>
      <c r="RMC36" s="21"/>
      <c r="RMD36" s="21"/>
      <c r="RMH36" s="15"/>
      <c r="RMN36" s="25"/>
      <c r="RMU36" s="21"/>
      <c r="RMV36" s="21"/>
      <c r="RMZ36" s="15"/>
      <c r="RNF36" s="25"/>
      <c r="RNM36" s="21"/>
      <c r="RNN36" s="21"/>
      <c r="RNR36" s="15"/>
      <c r="RNX36" s="25"/>
      <c r="ROE36" s="21"/>
      <c r="ROF36" s="21"/>
      <c r="ROJ36" s="15"/>
      <c r="ROP36" s="25"/>
      <c r="ROW36" s="21"/>
      <c r="ROX36" s="21"/>
      <c r="RPB36" s="15"/>
      <c r="RPH36" s="25"/>
      <c r="RPO36" s="21"/>
      <c r="RPP36" s="21"/>
      <c r="RPT36" s="15"/>
      <c r="RPZ36" s="25"/>
      <c r="RQG36" s="21"/>
      <c r="RQH36" s="21"/>
      <c r="RQL36" s="15"/>
      <c r="RQR36" s="25"/>
      <c r="RQY36" s="21"/>
      <c r="RQZ36" s="21"/>
      <c r="RRD36" s="15"/>
      <c r="RRJ36" s="25"/>
      <c r="RRQ36" s="21"/>
      <c r="RRR36" s="21"/>
      <c r="RRV36" s="15"/>
      <c r="RSB36" s="25"/>
      <c r="RSI36" s="21"/>
      <c r="RSJ36" s="21"/>
      <c r="RSN36" s="15"/>
      <c r="RST36" s="25"/>
      <c r="RTA36" s="21"/>
      <c r="RTB36" s="21"/>
      <c r="RTF36" s="15"/>
      <c r="RTL36" s="25"/>
      <c r="RTS36" s="21"/>
      <c r="RTT36" s="21"/>
      <c r="RTX36" s="15"/>
      <c r="RUD36" s="25"/>
      <c r="RUK36" s="21"/>
      <c r="RUL36" s="21"/>
      <c r="RUP36" s="15"/>
      <c r="RUV36" s="25"/>
      <c r="RVC36" s="21"/>
      <c r="RVD36" s="21"/>
      <c r="RVH36" s="15"/>
      <c r="RVN36" s="25"/>
      <c r="RVU36" s="21"/>
      <c r="RVV36" s="21"/>
      <c r="RVZ36" s="15"/>
      <c r="RWF36" s="25"/>
      <c r="RWM36" s="21"/>
      <c r="RWN36" s="21"/>
      <c r="RWR36" s="15"/>
      <c r="RWX36" s="25"/>
      <c r="RXE36" s="21"/>
      <c r="RXF36" s="21"/>
      <c r="RXJ36" s="15"/>
      <c r="RXP36" s="25"/>
      <c r="RXW36" s="21"/>
      <c r="RXX36" s="21"/>
      <c r="RYB36" s="15"/>
      <c r="RYH36" s="25"/>
      <c r="RYO36" s="21"/>
      <c r="RYP36" s="21"/>
      <c r="RYT36" s="15"/>
      <c r="RYZ36" s="25"/>
      <c r="RZG36" s="21"/>
      <c r="RZH36" s="21"/>
      <c r="RZL36" s="15"/>
      <c r="RZR36" s="25"/>
      <c r="RZY36" s="21"/>
      <c r="RZZ36" s="21"/>
      <c r="SAD36" s="15"/>
      <c r="SAJ36" s="25"/>
      <c r="SAQ36" s="21"/>
      <c r="SAR36" s="21"/>
      <c r="SAV36" s="15"/>
      <c r="SBB36" s="25"/>
      <c r="SBI36" s="21"/>
      <c r="SBJ36" s="21"/>
      <c r="SBN36" s="15"/>
      <c r="SBT36" s="25"/>
      <c r="SCA36" s="21"/>
      <c r="SCB36" s="21"/>
      <c r="SCF36" s="15"/>
      <c r="SCL36" s="25"/>
      <c r="SCS36" s="21"/>
      <c r="SCT36" s="21"/>
      <c r="SCX36" s="15"/>
      <c r="SDD36" s="25"/>
      <c r="SDK36" s="21"/>
      <c r="SDL36" s="21"/>
      <c r="SDP36" s="15"/>
      <c r="SDV36" s="25"/>
      <c r="SEC36" s="21"/>
      <c r="SED36" s="21"/>
      <c r="SEH36" s="15"/>
      <c r="SEN36" s="25"/>
      <c r="SEU36" s="21"/>
      <c r="SEV36" s="21"/>
      <c r="SEZ36" s="15"/>
      <c r="SFF36" s="25"/>
      <c r="SFM36" s="21"/>
      <c r="SFN36" s="21"/>
      <c r="SFR36" s="15"/>
      <c r="SFX36" s="25"/>
      <c r="SGE36" s="21"/>
      <c r="SGF36" s="21"/>
      <c r="SGJ36" s="15"/>
      <c r="SGP36" s="25"/>
      <c r="SGW36" s="21"/>
      <c r="SGX36" s="21"/>
      <c r="SHB36" s="15"/>
      <c r="SHH36" s="25"/>
      <c r="SHO36" s="21"/>
      <c r="SHP36" s="21"/>
      <c r="SHT36" s="15"/>
      <c r="SHZ36" s="25"/>
      <c r="SIG36" s="21"/>
      <c r="SIH36" s="21"/>
      <c r="SIL36" s="15"/>
      <c r="SIR36" s="25"/>
      <c r="SIY36" s="21"/>
      <c r="SIZ36" s="21"/>
      <c r="SJD36" s="15"/>
      <c r="SJJ36" s="25"/>
      <c r="SJQ36" s="21"/>
      <c r="SJR36" s="21"/>
      <c r="SJV36" s="15"/>
      <c r="SKB36" s="25"/>
      <c r="SKI36" s="21"/>
      <c r="SKJ36" s="21"/>
      <c r="SKN36" s="15"/>
      <c r="SKT36" s="25"/>
      <c r="SLA36" s="21"/>
      <c r="SLB36" s="21"/>
      <c r="SLF36" s="15"/>
      <c r="SLL36" s="25"/>
      <c r="SLS36" s="21"/>
      <c r="SLT36" s="21"/>
      <c r="SLX36" s="15"/>
      <c r="SMD36" s="25"/>
      <c r="SMK36" s="21"/>
      <c r="SML36" s="21"/>
      <c r="SMP36" s="15"/>
      <c r="SMV36" s="25"/>
      <c r="SNC36" s="21"/>
      <c r="SND36" s="21"/>
      <c r="SNH36" s="15"/>
      <c r="SNN36" s="25"/>
      <c r="SNU36" s="21"/>
      <c r="SNV36" s="21"/>
      <c r="SNZ36" s="15"/>
      <c r="SOF36" s="25"/>
      <c r="SOM36" s="21"/>
      <c r="SON36" s="21"/>
      <c r="SOR36" s="15"/>
      <c r="SOX36" s="25"/>
      <c r="SPE36" s="21"/>
      <c r="SPF36" s="21"/>
      <c r="SPJ36" s="15"/>
      <c r="SPP36" s="25"/>
      <c r="SPW36" s="21"/>
      <c r="SPX36" s="21"/>
      <c r="SQB36" s="15"/>
      <c r="SQH36" s="25"/>
      <c r="SQO36" s="21"/>
      <c r="SQP36" s="21"/>
      <c r="SQT36" s="15"/>
      <c r="SQZ36" s="25"/>
      <c r="SRG36" s="21"/>
      <c r="SRH36" s="21"/>
      <c r="SRL36" s="15"/>
      <c r="SRR36" s="25"/>
      <c r="SRY36" s="21"/>
      <c r="SRZ36" s="21"/>
      <c r="SSD36" s="15"/>
      <c r="SSJ36" s="25"/>
      <c r="SSQ36" s="21"/>
      <c r="SSR36" s="21"/>
      <c r="SSV36" s="15"/>
      <c r="STB36" s="25"/>
      <c r="STI36" s="21"/>
      <c r="STJ36" s="21"/>
      <c r="STN36" s="15"/>
      <c r="STT36" s="25"/>
      <c r="SUA36" s="21"/>
      <c r="SUB36" s="21"/>
      <c r="SUF36" s="15"/>
      <c r="SUL36" s="25"/>
      <c r="SUS36" s="21"/>
      <c r="SUT36" s="21"/>
      <c r="SUX36" s="15"/>
      <c r="SVD36" s="25"/>
      <c r="SVK36" s="21"/>
      <c r="SVL36" s="21"/>
      <c r="SVP36" s="15"/>
      <c r="SVV36" s="25"/>
      <c r="SWC36" s="21"/>
      <c r="SWD36" s="21"/>
      <c r="SWH36" s="15"/>
      <c r="SWN36" s="25"/>
      <c r="SWU36" s="21"/>
      <c r="SWV36" s="21"/>
      <c r="SWZ36" s="15"/>
      <c r="SXF36" s="25"/>
      <c r="SXM36" s="21"/>
      <c r="SXN36" s="21"/>
      <c r="SXR36" s="15"/>
      <c r="SXX36" s="25"/>
      <c r="SYE36" s="21"/>
      <c r="SYF36" s="21"/>
      <c r="SYJ36" s="15"/>
      <c r="SYP36" s="25"/>
      <c r="SYW36" s="21"/>
      <c r="SYX36" s="21"/>
      <c r="SZB36" s="15"/>
      <c r="SZH36" s="25"/>
      <c r="SZO36" s="21"/>
      <c r="SZP36" s="21"/>
      <c r="SZT36" s="15"/>
      <c r="SZZ36" s="25"/>
      <c r="TAG36" s="21"/>
      <c r="TAH36" s="21"/>
      <c r="TAL36" s="15"/>
      <c r="TAR36" s="25"/>
      <c r="TAY36" s="21"/>
      <c r="TAZ36" s="21"/>
      <c r="TBD36" s="15"/>
      <c r="TBJ36" s="25"/>
      <c r="TBQ36" s="21"/>
      <c r="TBR36" s="21"/>
      <c r="TBV36" s="15"/>
      <c r="TCB36" s="25"/>
      <c r="TCI36" s="21"/>
      <c r="TCJ36" s="21"/>
      <c r="TCN36" s="15"/>
      <c r="TCT36" s="25"/>
      <c r="TDA36" s="21"/>
      <c r="TDB36" s="21"/>
      <c r="TDF36" s="15"/>
      <c r="TDL36" s="25"/>
      <c r="TDS36" s="21"/>
      <c r="TDT36" s="21"/>
      <c r="TDX36" s="15"/>
      <c r="TED36" s="25"/>
      <c r="TEK36" s="21"/>
      <c r="TEL36" s="21"/>
      <c r="TEP36" s="15"/>
      <c r="TEV36" s="25"/>
      <c r="TFC36" s="21"/>
      <c r="TFD36" s="21"/>
      <c r="TFH36" s="15"/>
      <c r="TFN36" s="25"/>
      <c r="TFU36" s="21"/>
      <c r="TFV36" s="21"/>
      <c r="TFZ36" s="15"/>
      <c r="TGF36" s="25"/>
      <c r="TGM36" s="21"/>
      <c r="TGN36" s="21"/>
      <c r="TGR36" s="15"/>
      <c r="TGX36" s="25"/>
      <c r="THE36" s="21"/>
      <c r="THF36" s="21"/>
      <c r="THJ36" s="15"/>
      <c r="THP36" s="25"/>
      <c r="THW36" s="21"/>
      <c r="THX36" s="21"/>
      <c r="TIB36" s="15"/>
      <c r="TIH36" s="25"/>
      <c r="TIO36" s="21"/>
      <c r="TIP36" s="21"/>
      <c r="TIT36" s="15"/>
      <c r="TIZ36" s="25"/>
      <c r="TJG36" s="21"/>
      <c r="TJH36" s="21"/>
      <c r="TJL36" s="15"/>
      <c r="TJR36" s="25"/>
      <c r="TJY36" s="21"/>
      <c r="TJZ36" s="21"/>
      <c r="TKD36" s="15"/>
      <c r="TKJ36" s="25"/>
      <c r="TKQ36" s="21"/>
      <c r="TKR36" s="21"/>
      <c r="TKV36" s="15"/>
      <c r="TLB36" s="25"/>
      <c r="TLI36" s="21"/>
      <c r="TLJ36" s="21"/>
      <c r="TLN36" s="15"/>
      <c r="TLT36" s="25"/>
      <c r="TMA36" s="21"/>
      <c r="TMB36" s="21"/>
      <c r="TMF36" s="15"/>
      <c r="TML36" s="25"/>
      <c r="TMS36" s="21"/>
      <c r="TMT36" s="21"/>
      <c r="TMX36" s="15"/>
      <c r="TND36" s="25"/>
      <c r="TNK36" s="21"/>
      <c r="TNL36" s="21"/>
      <c r="TNP36" s="15"/>
      <c r="TNV36" s="25"/>
      <c r="TOC36" s="21"/>
      <c r="TOD36" s="21"/>
      <c r="TOH36" s="15"/>
      <c r="TON36" s="25"/>
      <c r="TOU36" s="21"/>
      <c r="TOV36" s="21"/>
      <c r="TOZ36" s="15"/>
      <c r="TPF36" s="25"/>
      <c r="TPM36" s="21"/>
      <c r="TPN36" s="21"/>
      <c r="TPR36" s="15"/>
      <c r="TPX36" s="25"/>
      <c r="TQE36" s="21"/>
      <c r="TQF36" s="21"/>
      <c r="TQJ36" s="15"/>
      <c r="TQP36" s="25"/>
      <c r="TQW36" s="21"/>
      <c r="TQX36" s="21"/>
      <c r="TRB36" s="15"/>
      <c r="TRH36" s="25"/>
      <c r="TRO36" s="21"/>
      <c r="TRP36" s="21"/>
      <c r="TRT36" s="15"/>
      <c r="TRZ36" s="25"/>
      <c r="TSG36" s="21"/>
      <c r="TSH36" s="21"/>
      <c r="TSL36" s="15"/>
      <c r="TSR36" s="25"/>
      <c r="TSY36" s="21"/>
      <c r="TSZ36" s="21"/>
      <c r="TTD36" s="15"/>
      <c r="TTJ36" s="25"/>
      <c r="TTQ36" s="21"/>
      <c r="TTR36" s="21"/>
      <c r="TTV36" s="15"/>
      <c r="TUB36" s="25"/>
      <c r="TUI36" s="21"/>
      <c r="TUJ36" s="21"/>
      <c r="TUN36" s="15"/>
      <c r="TUT36" s="25"/>
      <c r="TVA36" s="21"/>
      <c r="TVB36" s="21"/>
      <c r="TVF36" s="15"/>
      <c r="TVL36" s="25"/>
      <c r="TVS36" s="21"/>
      <c r="TVT36" s="21"/>
      <c r="TVX36" s="15"/>
      <c r="TWD36" s="25"/>
      <c r="TWK36" s="21"/>
      <c r="TWL36" s="21"/>
      <c r="TWP36" s="15"/>
      <c r="TWV36" s="25"/>
      <c r="TXC36" s="21"/>
      <c r="TXD36" s="21"/>
      <c r="TXH36" s="15"/>
      <c r="TXN36" s="25"/>
      <c r="TXU36" s="21"/>
      <c r="TXV36" s="21"/>
      <c r="TXZ36" s="15"/>
      <c r="TYF36" s="25"/>
      <c r="TYM36" s="21"/>
      <c r="TYN36" s="21"/>
      <c r="TYR36" s="15"/>
      <c r="TYX36" s="25"/>
      <c r="TZE36" s="21"/>
      <c r="TZF36" s="21"/>
      <c r="TZJ36" s="15"/>
      <c r="TZP36" s="25"/>
      <c r="TZW36" s="21"/>
      <c r="TZX36" s="21"/>
      <c r="UAB36" s="15"/>
      <c r="UAH36" s="25"/>
      <c r="UAO36" s="21"/>
      <c r="UAP36" s="21"/>
      <c r="UAT36" s="15"/>
      <c r="UAZ36" s="25"/>
      <c r="UBG36" s="21"/>
      <c r="UBH36" s="21"/>
      <c r="UBL36" s="15"/>
      <c r="UBR36" s="25"/>
      <c r="UBY36" s="21"/>
      <c r="UBZ36" s="21"/>
      <c r="UCD36" s="15"/>
      <c r="UCJ36" s="25"/>
      <c r="UCQ36" s="21"/>
      <c r="UCR36" s="21"/>
      <c r="UCV36" s="15"/>
      <c r="UDB36" s="25"/>
      <c r="UDI36" s="21"/>
      <c r="UDJ36" s="21"/>
      <c r="UDN36" s="15"/>
      <c r="UDT36" s="25"/>
      <c r="UEA36" s="21"/>
      <c r="UEB36" s="21"/>
      <c r="UEF36" s="15"/>
      <c r="UEL36" s="25"/>
      <c r="UES36" s="21"/>
      <c r="UET36" s="21"/>
      <c r="UEX36" s="15"/>
      <c r="UFD36" s="25"/>
      <c r="UFK36" s="21"/>
      <c r="UFL36" s="21"/>
      <c r="UFP36" s="15"/>
      <c r="UFV36" s="25"/>
      <c r="UGC36" s="21"/>
      <c r="UGD36" s="21"/>
      <c r="UGH36" s="15"/>
      <c r="UGN36" s="25"/>
      <c r="UGU36" s="21"/>
      <c r="UGV36" s="21"/>
      <c r="UGZ36" s="15"/>
      <c r="UHF36" s="25"/>
      <c r="UHM36" s="21"/>
      <c r="UHN36" s="21"/>
      <c r="UHR36" s="15"/>
      <c r="UHX36" s="25"/>
      <c r="UIE36" s="21"/>
      <c r="UIF36" s="21"/>
      <c r="UIJ36" s="15"/>
      <c r="UIP36" s="25"/>
      <c r="UIW36" s="21"/>
      <c r="UIX36" s="21"/>
      <c r="UJB36" s="15"/>
      <c r="UJH36" s="25"/>
      <c r="UJO36" s="21"/>
      <c r="UJP36" s="21"/>
      <c r="UJT36" s="15"/>
      <c r="UJZ36" s="25"/>
      <c r="UKG36" s="21"/>
      <c r="UKH36" s="21"/>
      <c r="UKL36" s="15"/>
      <c r="UKR36" s="25"/>
      <c r="UKY36" s="21"/>
      <c r="UKZ36" s="21"/>
      <c r="ULD36" s="15"/>
      <c r="ULJ36" s="25"/>
      <c r="ULQ36" s="21"/>
      <c r="ULR36" s="21"/>
      <c r="ULV36" s="15"/>
      <c r="UMB36" s="25"/>
      <c r="UMI36" s="21"/>
      <c r="UMJ36" s="21"/>
      <c r="UMN36" s="15"/>
      <c r="UMT36" s="25"/>
      <c r="UNA36" s="21"/>
      <c r="UNB36" s="21"/>
      <c r="UNF36" s="15"/>
      <c r="UNL36" s="25"/>
      <c r="UNS36" s="21"/>
      <c r="UNT36" s="21"/>
      <c r="UNX36" s="15"/>
      <c r="UOD36" s="25"/>
      <c r="UOK36" s="21"/>
      <c r="UOL36" s="21"/>
      <c r="UOP36" s="15"/>
      <c r="UOV36" s="25"/>
      <c r="UPC36" s="21"/>
      <c r="UPD36" s="21"/>
      <c r="UPH36" s="15"/>
      <c r="UPN36" s="25"/>
      <c r="UPU36" s="21"/>
      <c r="UPV36" s="21"/>
      <c r="UPZ36" s="15"/>
      <c r="UQF36" s="25"/>
      <c r="UQM36" s="21"/>
      <c r="UQN36" s="21"/>
      <c r="UQR36" s="15"/>
      <c r="UQX36" s="25"/>
      <c r="URE36" s="21"/>
      <c r="URF36" s="21"/>
      <c r="URJ36" s="15"/>
      <c r="URP36" s="25"/>
      <c r="URW36" s="21"/>
      <c r="URX36" s="21"/>
      <c r="USB36" s="15"/>
      <c r="USH36" s="25"/>
      <c r="USO36" s="21"/>
      <c r="USP36" s="21"/>
      <c r="UST36" s="15"/>
      <c r="USZ36" s="25"/>
      <c r="UTG36" s="21"/>
      <c r="UTH36" s="21"/>
      <c r="UTL36" s="15"/>
      <c r="UTR36" s="25"/>
      <c r="UTY36" s="21"/>
      <c r="UTZ36" s="21"/>
      <c r="UUD36" s="15"/>
      <c r="UUJ36" s="25"/>
      <c r="UUQ36" s="21"/>
      <c r="UUR36" s="21"/>
      <c r="UUV36" s="15"/>
      <c r="UVB36" s="25"/>
      <c r="UVI36" s="21"/>
      <c r="UVJ36" s="21"/>
      <c r="UVN36" s="15"/>
      <c r="UVT36" s="25"/>
      <c r="UWA36" s="21"/>
      <c r="UWB36" s="21"/>
      <c r="UWF36" s="15"/>
      <c r="UWL36" s="25"/>
      <c r="UWS36" s="21"/>
      <c r="UWT36" s="21"/>
      <c r="UWX36" s="15"/>
      <c r="UXD36" s="25"/>
      <c r="UXK36" s="21"/>
      <c r="UXL36" s="21"/>
      <c r="UXP36" s="15"/>
      <c r="UXV36" s="25"/>
      <c r="UYC36" s="21"/>
      <c r="UYD36" s="21"/>
      <c r="UYH36" s="15"/>
      <c r="UYN36" s="25"/>
      <c r="UYU36" s="21"/>
      <c r="UYV36" s="21"/>
      <c r="UYZ36" s="15"/>
      <c r="UZF36" s="25"/>
      <c r="UZM36" s="21"/>
      <c r="UZN36" s="21"/>
      <c r="UZR36" s="15"/>
      <c r="UZX36" s="25"/>
      <c r="VAE36" s="21"/>
      <c r="VAF36" s="21"/>
      <c r="VAJ36" s="15"/>
      <c r="VAP36" s="25"/>
      <c r="VAW36" s="21"/>
      <c r="VAX36" s="21"/>
      <c r="VBB36" s="15"/>
      <c r="VBH36" s="25"/>
      <c r="VBO36" s="21"/>
      <c r="VBP36" s="21"/>
      <c r="VBT36" s="15"/>
      <c r="VBZ36" s="25"/>
      <c r="VCG36" s="21"/>
      <c r="VCH36" s="21"/>
      <c r="VCL36" s="15"/>
      <c r="VCR36" s="25"/>
      <c r="VCY36" s="21"/>
      <c r="VCZ36" s="21"/>
      <c r="VDD36" s="15"/>
      <c r="VDJ36" s="25"/>
      <c r="VDQ36" s="21"/>
      <c r="VDR36" s="21"/>
      <c r="VDV36" s="15"/>
      <c r="VEB36" s="25"/>
      <c r="VEI36" s="21"/>
      <c r="VEJ36" s="21"/>
      <c r="VEN36" s="15"/>
      <c r="VET36" s="25"/>
      <c r="VFA36" s="21"/>
      <c r="VFB36" s="21"/>
      <c r="VFF36" s="15"/>
      <c r="VFL36" s="25"/>
      <c r="VFS36" s="21"/>
      <c r="VFT36" s="21"/>
      <c r="VFX36" s="15"/>
      <c r="VGD36" s="25"/>
      <c r="VGK36" s="21"/>
      <c r="VGL36" s="21"/>
      <c r="VGP36" s="15"/>
      <c r="VGV36" s="25"/>
      <c r="VHC36" s="21"/>
      <c r="VHD36" s="21"/>
      <c r="VHH36" s="15"/>
      <c r="VHN36" s="25"/>
      <c r="VHU36" s="21"/>
      <c r="VHV36" s="21"/>
      <c r="VHZ36" s="15"/>
      <c r="VIF36" s="25"/>
      <c r="VIM36" s="21"/>
      <c r="VIN36" s="21"/>
      <c r="VIR36" s="15"/>
      <c r="VIX36" s="25"/>
      <c r="VJE36" s="21"/>
      <c r="VJF36" s="21"/>
      <c r="VJJ36" s="15"/>
      <c r="VJP36" s="25"/>
      <c r="VJW36" s="21"/>
      <c r="VJX36" s="21"/>
      <c r="VKB36" s="15"/>
      <c r="VKH36" s="25"/>
      <c r="VKO36" s="21"/>
      <c r="VKP36" s="21"/>
      <c r="VKT36" s="15"/>
      <c r="VKZ36" s="25"/>
      <c r="VLG36" s="21"/>
      <c r="VLH36" s="21"/>
      <c r="VLL36" s="15"/>
      <c r="VLR36" s="25"/>
      <c r="VLY36" s="21"/>
      <c r="VLZ36" s="21"/>
      <c r="VMD36" s="15"/>
      <c r="VMJ36" s="25"/>
      <c r="VMQ36" s="21"/>
      <c r="VMR36" s="21"/>
      <c r="VMV36" s="15"/>
      <c r="VNB36" s="25"/>
      <c r="VNI36" s="21"/>
      <c r="VNJ36" s="21"/>
      <c r="VNN36" s="15"/>
      <c r="VNT36" s="25"/>
      <c r="VOA36" s="21"/>
      <c r="VOB36" s="21"/>
      <c r="VOF36" s="15"/>
      <c r="VOL36" s="25"/>
      <c r="VOS36" s="21"/>
      <c r="VOT36" s="21"/>
      <c r="VOX36" s="15"/>
      <c r="VPD36" s="25"/>
      <c r="VPK36" s="21"/>
      <c r="VPL36" s="21"/>
      <c r="VPP36" s="15"/>
      <c r="VPV36" s="25"/>
      <c r="VQC36" s="21"/>
      <c r="VQD36" s="21"/>
      <c r="VQH36" s="15"/>
      <c r="VQN36" s="25"/>
      <c r="VQU36" s="21"/>
      <c r="VQV36" s="21"/>
      <c r="VQZ36" s="15"/>
      <c r="VRF36" s="25"/>
      <c r="VRM36" s="21"/>
      <c r="VRN36" s="21"/>
      <c r="VRR36" s="15"/>
      <c r="VRX36" s="25"/>
      <c r="VSE36" s="21"/>
      <c r="VSF36" s="21"/>
      <c r="VSJ36" s="15"/>
      <c r="VSP36" s="25"/>
      <c r="VSW36" s="21"/>
      <c r="VSX36" s="21"/>
      <c r="VTB36" s="15"/>
      <c r="VTH36" s="25"/>
      <c r="VTO36" s="21"/>
      <c r="VTP36" s="21"/>
      <c r="VTT36" s="15"/>
      <c r="VTZ36" s="25"/>
      <c r="VUG36" s="21"/>
      <c r="VUH36" s="21"/>
      <c r="VUL36" s="15"/>
      <c r="VUR36" s="25"/>
      <c r="VUY36" s="21"/>
      <c r="VUZ36" s="21"/>
      <c r="VVD36" s="15"/>
      <c r="VVJ36" s="25"/>
      <c r="VVQ36" s="21"/>
      <c r="VVR36" s="21"/>
      <c r="VVV36" s="15"/>
      <c r="VWB36" s="25"/>
      <c r="VWI36" s="21"/>
      <c r="VWJ36" s="21"/>
      <c r="VWN36" s="15"/>
      <c r="VWT36" s="25"/>
      <c r="VXA36" s="21"/>
      <c r="VXB36" s="21"/>
      <c r="VXF36" s="15"/>
      <c r="VXL36" s="25"/>
      <c r="VXS36" s="21"/>
      <c r="VXT36" s="21"/>
      <c r="VXX36" s="15"/>
      <c r="VYD36" s="25"/>
      <c r="VYK36" s="21"/>
      <c r="VYL36" s="21"/>
      <c r="VYP36" s="15"/>
      <c r="VYV36" s="25"/>
      <c r="VZC36" s="21"/>
      <c r="VZD36" s="21"/>
      <c r="VZH36" s="15"/>
      <c r="VZN36" s="25"/>
      <c r="VZU36" s="21"/>
      <c r="VZV36" s="21"/>
      <c r="VZZ36" s="15"/>
      <c r="WAF36" s="25"/>
      <c r="WAM36" s="21"/>
      <c r="WAN36" s="21"/>
      <c r="WAR36" s="15"/>
      <c r="WAX36" s="25"/>
      <c r="WBE36" s="21"/>
      <c r="WBF36" s="21"/>
      <c r="WBJ36" s="15"/>
      <c r="WBP36" s="25"/>
      <c r="WBW36" s="21"/>
      <c r="WBX36" s="21"/>
      <c r="WCB36" s="15"/>
      <c r="WCH36" s="25"/>
      <c r="WCO36" s="21"/>
      <c r="WCP36" s="21"/>
      <c r="WCT36" s="15"/>
      <c r="WCZ36" s="25"/>
      <c r="WDG36" s="21"/>
      <c r="WDH36" s="21"/>
      <c r="WDL36" s="15"/>
      <c r="WDR36" s="25"/>
      <c r="WDY36" s="21"/>
      <c r="WDZ36" s="21"/>
      <c r="WED36" s="15"/>
      <c r="WEJ36" s="25"/>
      <c r="WEQ36" s="21"/>
      <c r="WER36" s="21"/>
      <c r="WEV36" s="15"/>
      <c r="WFB36" s="25"/>
      <c r="WFI36" s="21"/>
      <c r="WFJ36" s="21"/>
      <c r="WFN36" s="15"/>
      <c r="WFT36" s="25"/>
      <c r="WGA36" s="21"/>
      <c r="WGB36" s="21"/>
      <c r="WGF36" s="15"/>
      <c r="WGL36" s="25"/>
      <c r="WGS36" s="21"/>
      <c r="WGT36" s="21"/>
      <c r="WGX36" s="15"/>
      <c r="WHD36" s="25"/>
      <c r="WHK36" s="21"/>
      <c r="WHL36" s="21"/>
      <c r="WHP36" s="15"/>
      <c r="WHV36" s="25"/>
      <c r="WIC36" s="21"/>
      <c r="WID36" s="21"/>
      <c r="WIH36" s="15"/>
      <c r="WIN36" s="25"/>
      <c r="WIU36" s="21"/>
      <c r="WIV36" s="21"/>
      <c r="WIZ36" s="15"/>
      <c r="WJF36" s="25"/>
      <c r="WJM36" s="21"/>
      <c r="WJN36" s="21"/>
      <c r="WJR36" s="15"/>
      <c r="WJX36" s="25"/>
      <c r="WKE36" s="21"/>
      <c r="WKF36" s="21"/>
      <c r="WKJ36" s="15"/>
      <c r="WKP36" s="25"/>
      <c r="WKW36" s="21"/>
      <c r="WKX36" s="21"/>
      <c r="WLB36" s="15"/>
      <c r="WLH36" s="25"/>
      <c r="WLO36" s="21"/>
      <c r="WLP36" s="21"/>
      <c r="WLT36" s="15"/>
      <c r="WLZ36" s="25"/>
      <c r="WMG36" s="21"/>
      <c r="WMH36" s="21"/>
      <c r="WML36" s="15"/>
      <c r="WMR36" s="25"/>
      <c r="WMY36" s="21"/>
      <c r="WMZ36" s="21"/>
      <c r="WND36" s="15"/>
      <c r="WNJ36" s="25"/>
      <c r="WNQ36" s="21"/>
      <c r="WNR36" s="21"/>
      <c r="WNV36" s="15"/>
      <c r="WOB36" s="25"/>
      <c r="WOI36" s="21"/>
      <c r="WOJ36" s="21"/>
      <c r="WON36" s="15"/>
      <c r="WOT36" s="25"/>
      <c r="WPA36" s="21"/>
      <c r="WPB36" s="21"/>
      <c r="WPF36" s="15"/>
      <c r="WPL36" s="25"/>
      <c r="WPS36" s="21"/>
      <c r="WPT36" s="21"/>
      <c r="WPX36" s="15"/>
      <c r="WQD36" s="25"/>
      <c r="WQK36" s="21"/>
      <c r="WQL36" s="21"/>
      <c r="WQP36" s="15"/>
      <c r="WQV36" s="25"/>
      <c r="WRC36" s="21"/>
      <c r="WRD36" s="21"/>
      <c r="WRH36" s="15"/>
      <c r="WRN36" s="25"/>
      <c r="WRU36" s="21"/>
      <c r="WRV36" s="21"/>
      <c r="WRZ36" s="15"/>
      <c r="WSF36" s="25"/>
      <c r="WSM36" s="21"/>
      <c r="WSN36" s="21"/>
      <c r="WSR36" s="15"/>
      <c r="WSX36" s="25"/>
      <c r="WTE36" s="21"/>
      <c r="WTF36" s="21"/>
      <c r="WTJ36" s="15"/>
      <c r="WTP36" s="25"/>
      <c r="WTW36" s="21"/>
      <c r="WTX36" s="21"/>
      <c r="WUB36" s="15"/>
      <c r="WUH36" s="25"/>
      <c r="WUO36" s="21"/>
      <c r="WUP36" s="21"/>
      <c r="WUT36" s="15"/>
      <c r="WUZ36" s="25"/>
      <c r="WVG36" s="21"/>
      <c r="WVH36" s="21"/>
      <c r="WVL36" s="15"/>
      <c r="WVR36" s="25"/>
      <c r="WVY36" s="21"/>
      <c r="WVZ36" s="21"/>
      <c r="WWD36" s="15"/>
      <c r="WWJ36" s="25"/>
      <c r="WWQ36" s="21"/>
      <c r="WWR36" s="21"/>
      <c r="WWV36" s="15"/>
      <c r="WXB36" s="25"/>
      <c r="WXI36" s="21"/>
      <c r="WXJ36" s="21"/>
      <c r="WXN36" s="15"/>
      <c r="WXT36" s="25"/>
      <c r="WYA36" s="21"/>
      <c r="WYB36" s="21"/>
      <c r="WYF36" s="15"/>
      <c r="WYL36" s="25"/>
      <c r="WYS36" s="21"/>
      <c r="WYT36" s="21"/>
      <c r="WYX36" s="15"/>
      <c r="WZD36" s="25"/>
      <c r="WZK36" s="21"/>
      <c r="WZL36" s="21"/>
      <c r="WZP36" s="15"/>
      <c r="WZV36" s="25"/>
      <c r="XAC36" s="21"/>
      <c r="XAD36" s="21"/>
      <c r="XAH36" s="15"/>
      <c r="XAN36" s="25"/>
      <c r="XAU36" s="21"/>
      <c r="XAV36" s="21"/>
      <c r="XAZ36" s="15"/>
      <c r="XBF36" s="25"/>
      <c r="XBM36" s="21"/>
      <c r="XBN36" s="21"/>
      <c r="XBR36" s="15"/>
      <c r="XBX36" s="25"/>
      <c r="XCE36" s="21"/>
      <c r="XCF36" s="21"/>
      <c r="XCJ36" s="15"/>
      <c r="XCP36" s="25"/>
      <c r="XCW36" s="21"/>
      <c r="XCX36" s="21"/>
      <c r="XDB36" s="15"/>
      <c r="XDH36" s="25"/>
      <c r="XDO36" s="21"/>
      <c r="XDP36" s="21"/>
      <c r="XDT36" s="15"/>
      <c r="XDZ36" s="25"/>
      <c r="XEG36" s="21"/>
      <c r="XEH36" s="21"/>
      <c r="XEL36" s="15"/>
      <c r="XER36" s="25"/>
      <c r="XEY36" s="21"/>
      <c r="XEZ36" s="21"/>
      <c r="XFD36" s="15"/>
    </row>
    <row r="37" spans="1:1018 1025:2044 2051:3070 3077:4096 4103:5116 5122:6142 6148:7168 7174:8190 8194:9216 9220:10234 10241:11260 11267:12286 12293:13312 13319:14332 14338:15358 15364:16384">
      <c r="A37" s="49" t="s">
        <v>124</v>
      </c>
      <c r="B37" s="27">
        <v>2012</v>
      </c>
      <c r="C37" s="27" t="s">
        <v>101</v>
      </c>
      <c r="D37" s="27" t="s">
        <v>86</v>
      </c>
      <c r="E37" s="10" t="s">
        <v>50</v>
      </c>
      <c r="F37" s="27" t="s">
        <v>35</v>
      </c>
      <c r="G37" s="50">
        <v>1529320794.4000001</v>
      </c>
      <c r="H37" s="50">
        <v>1527058697.25</v>
      </c>
      <c r="I37" s="29">
        <v>22</v>
      </c>
      <c r="J37" s="30" t="s">
        <v>125</v>
      </c>
      <c r="K37" t="s">
        <v>26</v>
      </c>
      <c r="L37"/>
      <c r="M37" t="s">
        <v>26</v>
      </c>
      <c r="N37"/>
      <c r="O37"/>
      <c r="P37"/>
      <c r="Q37"/>
      <c r="R37" t="s">
        <v>28</v>
      </c>
    </row>
    <row r="38" spans="1:1018 1025:2044 2051:3070 3077:4096 4103:5116 5122:6142 6148:7168 7174:8190 8194:9216 9220:10234 10241:11260 11267:12286 12293:13312 13319:14332 14338:15358 15364:16384" s="40" customFormat="1">
      <c r="A38" s="33" t="s">
        <v>126</v>
      </c>
      <c r="B38" s="34">
        <v>2006</v>
      </c>
      <c r="C38" s="35" t="s">
        <v>127</v>
      </c>
      <c r="D38" s="36" t="s">
        <v>86</v>
      </c>
      <c r="E38" s="37" t="s">
        <v>128</v>
      </c>
      <c r="F38" s="35" t="s">
        <v>24</v>
      </c>
      <c r="G38" s="51">
        <v>10973706.76241657</v>
      </c>
      <c r="H38" s="51">
        <v>10087128.761307349</v>
      </c>
      <c r="I38" s="34">
        <v>17</v>
      </c>
      <c r="J38" s="39" t="s">
        <v>129</v>
      </c>
      <c r="K38" s="36" t="s">
        <v>26</v>
      </c>
      <c r="L38" s="36"/>
      <c r="M38" s="36" t="s">
        <v>26</v>
      </c>
      <c r="N38" s="34"/>
      <c r="O38" s="36"/>
      <c r="P38" s="34"/>
      <c r="Q38" s="36"/>
      <c r="R38" s="36"/>
      <c r="V38" s="41"/>
      <c r="AB38" s="42"/>
      <c r="AI38" s="33"/>
      <c r="AJ38" s="33"/>
      <c r="AN38" s="41"/>
      <c r="AT38" s="42"/>
      <c r="BA38" s="33"/>
      <c r="BB38" s="33"/>
      <c r="BF38" s="41"/>
      <c r="BL38" s="42"/>
      <c r="BS38" s="33"/>
      <c r="BT38" s="33"/>
      <c r="BX38" s="41"/>
      <c r="CD38" s="42"/>
      <c r="CK38" s="33"/>
      <c r="CL38" s="33"/>
      <c r="CP38" s="41"/>
      <c r="CV38" s="42"/>
      <c r="DC38" s="33"/>
      <c r="DD38" s="33"/>
      <c r="DH38" s="41"/>
      <c r="DN38" s="42"/>
      <c r="DU38" s="33"/>
      <c r="DV38" s="33"/>
      <c r="DZ38" s="41"/>
      <c r="EF38" s="42"/>
      <c r="EM38" s="33"/>
      <c r="EN38" s="33"/>
      <c r="ER38" s="41"/>
      <c r="EX38" s="42"/>
      <c r="FE38" s="33"/>
      <c r="FF38" s="33"/>
      <c r="FJ38" s="41"/>
      <c r="FP38" s="42"/>
      <c r="FW38" s="33"/>
      <c r="FX38" s="33"/>
      <c r="GB38" s="41"/>
      <c r="GH38" s="42"/>
      <c r="GO38" s="33"/>
      <c r="GP38" s="33"/>
      <c r="GT38" s="41"/>
      <c r="GZ38" s="42"/>
      <c r="HG38" s="33"/>
      <c r="HH38" s="33"/>
      <c r="HL38" s="41"/>
      <c r="HR38" s="42"/>
      <c r="HY38" s="33"/>
      <c r="HZ38" s="33"/>
      <c r="ID38" s="41"/>
      <c r="IJ38" s="42"/>
      <c r="IQ38" s="33"/>
      <c r="IR38" s="33"/>
      <c r="IV38" s="41"/>
      <c r="JB38" s="42"/>
      <c r="JI38" s="33"/>
      <c r="JJ38" s="33"/>
      <c r="JN38" s="41"/>
      <c r="JT38" s="42"/>
      <c r="KA38" s="33"/>
      <c r="KB38" s="33"/>
      <c r="KF38" s="41"/>
      <c r="KL38" s="42"/>
      <c r="KS38" s="33"/>
      <c r="KT38" s="33"/>
      <c r="KX38" s="41"/>
      <c r="LD38" s="42"/>
      <c r="LK38" s="33"/>
      <c r="LL38" s="33"/>
      <c r="LP38" s="41"/>
      <c r="LV38" s="42"/>
      <c r="MC38" s="33"/>
      <c r="MD38" s="33"/>
      <c r="MH38" s="41"/>
      <c r="MN38" s="42"/>
      <c r="MU38" s="33"/>
      <c r="MV38" s="33"/>
      <c r="MZ38" s="41"/>
      <c r="NF38" s="42"/>
      <c r="NM38" s="33"/>
      <c r="NN38" s="33"/>
      <c r="NR38" s="41"/>
      <c r="NX38" s="42"/>
      <c r="OE38" s="33"/>
      <c r="OF38" s="33"/>
      <c r="OJ38" s="41"/>
      <c r="OP38" s="42"/>
      <c r="OW38" s="33"/>
      <c r="OX38" s="33"/>
      <c r="PB38" s="41"/>
      <c r="PH38" s="42"/>
      <c r="PO38" s="33"/>
      <c r="PP38" s="33"/>
      <c r="PT38" s="41"/>
      <c r="PZ38" s="42"/>
      <c r="QG38" s="33"/>
      <c r="QH38" s="33"/>
      <c r="QL38" s="41"/>
      <c r="QR38" s="42"/>
      <c r="QY38" s="33"/>
      <c r="QZ38" s="33"/>
      <c r="RD38" s="41"/>
      <c r="RJ38" s="42"/>
      <c r="RQ38" s="33"/>
      <c r="RR38" s="33"/>
      <c r="RV38" s="41"/>
      <c r="SB38" s="42"/>
      <c r="SI38" s="33"/>
      <c r="SJ38" s="33"/>
      <c r="SN38" s="41"/>
      <c r="ST38" s="42"/>
      <c r="TA38" s="33"/>
      <c r="TB38" s="33"/>
      <c r="TF38" s="41"/>
      <c r="TL38" s="42"/>
      <c r="TS38" s="33"/>
      <c r="TT38" s="33"/>
      <c r="TX38" s="41"/>
      <c r="UD38" s="42"/>
      <c r="UK38" s="33"/>
      <c r="UL38" s="33"/>
      <c r="UP38" s="41"/>
      <c r="UV38" s="42"/>
      <c r="VC38" s="33"/>
      <c r="VD38" s="33"/>
      <c r="VH38" s="41"/>
      <c r="VN38" s="42"/>
      <c r="VU38" s="33"/>
      <c r="VV38" s="33"/>
      <c r="VZ38" s="41"/>
      <c r="WF38" s="42"/>
      <c r="WM38" s="33"/>
      <c r="WN38" s="33"/>
      <c r="WR38" s="41"/>
      <c r="WX38" s="42"/>
      <c r="XE38" s="33"/>
      <c r="XF38" s="33"/>
      <c r="XJ38" s="41"/>
      <c r="XP38" s="42"/>
      <c r="XW38" s="33"/>
      <c r="XX38" s="33"/>
      <c r="YB38" s="41"/>
      <c r="YH38" s="42"/>
      <c r="YO38" s="33"/>
      <c r="YP38" s="33"/>
      <c r="YT38" s="41"/>
      <c r="YZ38" s="42"/>
      <c r="ZG38" s="33"/>
      <c r="ZH38" s="33"/>
      <c r="ZL38" s="41"/>
      <c r="ZR38" s="42"/>
      <c r="ZY38" s="33"/>
      <c r="ZZ38" s="33"/>
      <c r="AAD38" s="41"/>
      <c r="AAJ38" s="42"/>
      <c r="AAQ38" s="33"/>
      <c r="AAR38" s="33"/>
      <c r="AAV38" s="41"/>
      <c r="ABB38" s="42"/>
      <c r="ABI38" s="33"/>
      <c r="ABJ38" s="33"/>
      <c r="ABN38" s="41"/>
      <c r="ABT38" s="42"/>
      <c r="ACA38" s="33"/>
      <c r="ACB38" s="33"/>
      <c r="ACF38" s="41"/>
      <c r="ACL38" s="42"/>
      <c r="ACS38" s="33"/>
      <c r="ACT38" s="33"/>
      <c r="ACX38" s="41"/>
      <c r="ADD38" s="42"/>
      <c r="ADK38" s="33"/>
      <c r="ADL38" s="33"/>
      <c r="ADP38" s="41"/>
      <c r="ADV38" s="42"/>
      <c r="AEC38" s="33"/>
      <c r="AED38" s="33"/>
      <c r="AEH38" s="41"/>
      <c r="AEN38" s="42"/>
      <c r="AEU38" s="33"/>
      <c r="AEV38" s="33"/>
      <c r="AEZ38" s="41"/>
      <c r="AFF38" s="42"/>
      <c r="AFM38" s="33"/>
      <c r="AFN38" s="33"/>
      <c r="AFR38" s="41"/>
      <c r="AFX38" s="42"/>
      <c r="AGE38" s="33"/>
      <c r="AGF38" s="33"/>
      <c r="AGJ38" s="41"/>
      <c r="AGP38" s="42"/>
      <c r="AGW38" s="33"/>
      <c r="AGX38" s="33"/>
      <c r="AHB38" s="41"/>
      <c r="AHH38" s="42"/>
      <c r="AHO38" s="33"/>
      <c r="AHP38" s="33"/>
      <c r="AHT38" s="41"/>
      <c r="AHZ38" s="42"/>
      <c r="AIG38" s="33"/>
      <c r="AIH38" s="33"/>
      <c r="AIL38" s="41"/>
      <c r="AIR38" s="42"/>
      <c r="AIY38" s="33"/>
      <c r="AIZ38" s="33"/>
      <c r="AJD38" s="41"/>
      <c r="AJJ38" s="42"/>
      <c r="AJQ38" s="33"/>
      <c r="AJR38" s="33"/>
      <c r="AJV38" s="41"/>
      <c r="AKB38" s="42"/>
      <c r="AKI38" s="33"/>
      <c r="AKJ38" s="33"/>
      <c r="AKN38" s="41"/>
      <c r="AKT38" s="42"/>
      <c r="ALA38" s="33"/>
      <c r="ALB38" s="33"/>
      <c r="ALF38" s="41"/>
      <c r="ALL38" s="42"/>
      <c r="ALS38" s="33"/>
      <c r="ALT38" s="33"/>
      <c r="ALX38" s="41"/>
      <c r="AMD38" s="42"/>
      <c r="AMK38" s="33"/>
      <c r="AML38" s="33"/>
      <c r="AMP38" s="41"/>
      <c r="AMV38" s="42"/>
      <c r="ANC38" s="33"/>
      <c r="AND38" s="33"/>
      <c r="ANH38" s="41"/>
      <c r="ANN38" s="42"/>
      <c r="ANU38" s="33"/>
      <c r="ANV38" s="33"/>
      <c r="ANZ38" s="41"/>
      <c r="AOF38" s="42"/>
      <c r="AOM38" s="33"/>
      <c r="AON38" s="33"/>
      <c r="AOR38" s="41"/>
      <c r="AOX38" s="42"/>
      <c r="APE38" s="33"/>
      <c r="APF38" s="33"/>
      <c r="APJ38" s="41"/>
      <c r="APP38" s="42"/>
      <c r="APW38" s="33"/>
      <c r="APX38" s="33"/>
      <c r="AQB38" s="41"/>
      <c r="AQH38" s="42"/>
      <c r="AQO38" s="33"/>
      <c r="AQP38" s="33"/>
      <c r="AQT38" s="41"/>
      <c r="AQZ38" s="42"/>
      <c r="ARG38" s="33"/>
      <c r="ARH38" s="33"/>
      <c r="ARL38" s="41"/>
      <c r="ARR38" s="42"/>
      <c r="ARY38" s="33"/>
      <c r="ARZ38" s="33"/>
      <c r="ASD38" s="41"/>
      <c r="ASJ38" s="42"/>
      <c r="ASQ38" s="33"/>
      <c r="ASR38" s="33"/>
      <c r="ASV38" s="41"/>
      <c r="ATB38" s="42"/>
      <c r="ATI38" s="33"/>
      <c r="ATJ38" s="33"/>
      <c r="ATN38" s="41"/>
      <c r="ATT38" s="42"/>
      <c r="AUA38" s="33"/>
      <c r="AUB38" s="33"/>
      <c r="AUF38" s="41"/>
      <c r="AUL38" s="42"/>
      <c r="AUS38" s="33"/>
      <c r="AUT38" s="33"/>
      <c r="AUX38" s="41"/>
      <c r="AVD38" s="42"/>
      <c r="AVK38" s="33"/>
      <c r="AVL38" s="33"/>
      <c r="AVP38" s="41"/>
      <c r="AVV38" s="42"/>
      <c r="AWC38" s="33"/>
      <c r="AWD38" s="33"/>
      <c r="AWH38" s="41"/>
      <c r="AWN38" s="42"/>
      <c r="AWU38" s="33"/>
      <c r="AWV38" s="33"/>
      <c r="AWZ38" s="41"/>
      <c r="AXF38" s="42"/>
      <c r="AXM38" s="33"/>
      <c r="AXN38" s="33"/>
      <c r="AXR38" s="41"/>
      <c r="AXX38" s="42"/>
      <c r="AYE38" s="33"/>
      <c r="AYF38" s="33"/>
      <c r="AYJ38" s="41"/>
      <c r="AYP38" s="42"/>
      <c r="AYW38" s="33"/>
      <c r="AYX38" s="33"/>
      <c r="AZB38" s="41"/>
      <c r="AZH38" s="42"/>
      <c r="AZO38" s="33"/>
      <c r="AZP38" s="33"/>
      <c r="AZT38" s="41"/>
      <c r="AZZ38" s="42"/>
      <c r="BAG38" s="33"/>
      <c r="BAH38" s="33"/>
      <c r="BAL38" s="41"/>
      <c r="BAR38" s="42"/>
      <c r="BAY38" s="33"/>
      <c r="BAZ38" s="33"/>
      <c r="BBD38" s="41"/>
      <c r="BBJ38" s="42"/>
      <c r="BBQ38" s="33"/>
      <c r="BBR38" s="33"/>
      <c r="BBV38" s="41"/>
      <c r="BCB38" s="42"/>
      <c r="BCI38" s="33"/>
      <c r="BCJ38" s="33"/>
      <c r="BCN38" s="41"/>
      <c r="BCT38" s="42"/>
      <c r="BDA38" s="33"/>
      <c r="BDB38" s="33"/>
      <c r="BDF38" s="41"/>
      <c r="BDL38" s="42"/>
      <c r="BDS38" s="33"/>
      <c r="BDT38" s="33"/>
      <c r="BDX38" s="41"/>
      <c r="BED38" s="42"/>
      <c r="BEK38" s="33"/>
      <c r="BEL38" s="33"/>
      <c r="BEP38" s="41"/>
      <c r="BEV38" s="42"/>
      <c r="BFC38" s="33"/>
      <c r="BFD38" s="33"/>
      <c r="BFH38" s="41"/>
      <c r="BFN38" s="42"/>
      <c r="BFU38" s="33"/>
      <c r="BFV38" s="33"/>
      <c r="BFZ38" s="41"/>
      <c r="BGF38" s="42"/>
      <c r="BGM38" s="33"/>
      <c r="BGN38" s="33"/>
      <c r="BGR38" s="41"/>
      <c r="BGX38" s="42"/>
      <c r="BHE38" s="33"/>
      <c r="BHF38" s="33"/>
      <c r="BHJ38" s="41"/>
      <c r="BHP38" s="42"/>
      <c r="BHW38" s="33"/>
      <c r="BHX38" s="33"/>
      <c r="BIB38" s="41"/>
      <c r="BIH38" s="42"/>
      <c r="BIO38" s="33"/>
      <c r="BIP38" s="33"/>
      <c r="BIT38" s="41"/>
      <c r="BIZ38" s="42"/>
      <c r="BJG38" s="33"/>
      <c r="BJH38" s="33"/>
      <c r="BJL38" s="41"/>
      <c r="BJR38" s="42"/>
      <c r="BJY38" s="33"/>
      <c r="BJZ38" s="33"/>
      <c r="BKD38" s="41"/>
      <c r="BKJ38" s="42"/>
      <c r="BKQ38" s="33"/>
      <c r="BKR38" s="33"/>
      <c r="BKV38" s="41"/>
      <c r="BLB38" s="42"/>
      <c r="BLI38" s="33"/>
      <c r="BLJ38" s="33"/>
      <c r="BLN38" s="41"/>
      <c r="BLT38" s="42"/>
      <c r="BMA38" s="33"/>
      <c r="BMB38" s="33"/>
      <c r="BMF38" s="41"/>
      <c r="BML38" s="42"/>
      <c r="BMS38" s="33"/>
      <c r="BMT38" s="33"/>
      <c r="BMX38" s="41"/>
      <c r="BND38" s="42"/>
      <c r="BNK38" s="33"/>
      <c r="BNL38" s="33"/>
      <c r="BNP38" s="41"/>
      <c r="BNV38" s="42"/>
      <c r="BOC38" s="33"/>
      <c r="BOD38" s="33"/>
      <c r="BOH38" s="41"/>
      <c r="BON38" s="42"/>
      <c r="BOU38" s="33"/>
      <c r="BOV38" s="33"/>
      <c r="BOZ38" s="41"/>
      <c r="BPF38" s="42"/>
      <c r="BPM38" s="33"/>
      <c r="BPN38" s="33"/>
      <c r="BPR38" s="41"/>
      <c r="BPX38" s="42"/>
      <c r="BQE38" s="33"/>
      <c r="BQF38" s="33"/>
      <c r="BQJ38" s="41"/>
      <c r="BQP38" s="42"/>
      <c r="BQW38" s="33"/>
      <c r="BQX38" s="33"/>
      <c r="BRB38" s="41"/>
      <c r="BRH38" s="42"/>
      <c r="BRO38" s="33"/>
      <c r="BRP38" s="33"/>
      <c r="BRT38" s="41"/>
      <c r="BRZ38" s="42"/>
      <c r="BSG38" s="33"/>
      <c r="BSH38" s="33"/>
      <c r="BSL38" s="41"/>
      <c r="BSR38" s="42"/>
      <c r="BSY38" s="33"/>
      <c r="BSZ38" s="33"/>
      <c r="BTD38" s="41"/>
      <c r="BTJ38" s="42"/>
      <c r="BTQ38" s="33"/>
      <c r="BTR38" s="33"/>
      <c r="BTV38" s="41"/>
      <c r="BUB38" s="42"/>
      <c r="BUI38" s="33"/>
      <c r="BUJ38" s="33"/>
      <c r="BUN38" s="41"/>
      <c r="BUT38" s="42"/>
      <c r="BVA38" s="33"/>
      <c r="BVB38" s="33"/>
      <c r="BVF38" s="41"/>
      <c r="BVL38" s="42"/>
      <c r="BVS38" s="33"/>
      <c r="BVT38" s="33"/>
      <c r="BVX38" s="41"/>
      <c r="BWD38" s="42"/>
      <c r="BWK38" s="33"/>
      <c r="BWL38" s="33"/>
      <c r="BWP38" s="41"/>
      <c r="BWV38" s="42"/>
      <c r="BXC38" s="33"/>
      <c r="BXD38" s="33"/>
      <c r="BXH38" s="41"/>
      <c r="BXN38" s="42"/>
      <c r="BXU38" s="33"/>
      <c r="BXV38" s="33"/>
      <c r="BXZ38" s="41"/>
      <c r="BYF38" s="42"/>
      <c r="BYM38" s="33"/>
      <c r="BYN38" s="33"/>
      <c r="BYR38" s="41"/>
      <c r="BYX38" s="42"/>
      <c r="BZE38" s="33"/>
      <c r="BZF38" s="33"/>
      <c r="BZJ38" s="41"/>
      <c r="BZP38" s="42"/>
      <c r="BZW38" s="33"/>
      <c r="BZX38" s="33"/>
      <c r="CAB38" s="41"/>
      <c r="CAH38" s="42"/>
      <c r="CAO38" s="33"/>
      <c r="CAP38" s="33"/>
      <c r="CAT38" s="41"/>
      <c r="CAZ38" s="42"/>
      <c r="CBG38" s="33"/>
      <c r="CBH38" s="33"/>
      <c r="CBL38" s="41"/>
      <c r="CBR38" s="42"/>
      <c r="CBY38" s="33"/>
      <c r="CBZ38" s="33"/>
      <c r="CCD38" s="41"/>
      <c r="CCJ38" s="42"/>
      <c r="CCQ38" s="33"/>
      <c r="CCR38" s="33"/>
      <c r="CCV38" s="41"/>
      <c r="CDB38" s="42"/>
      <c r="CDI38" s="33"/>
      <c r="CDJ38" s="33"/>
      <c r="CDN38" s="41"/>
      <c r="CDT38" s="42"/>
      <c r="CEA38" s="33"/>
      <c r="CEB38" s="33"/>
      <c r="CEF38" s="41"/>
      <c r="CEL38" s="42"/>
      <c r="CES38" s="33"/>
      <c r="CET38" s="33"/>
      <c r="CEX38" s="41"/>
      <c r="CFD38" s="42"/>
      <c r="CFK38" s="33"/>
      <c r="CFL38" s="33"/>
      <c r="CFP38" s="41"/>
      <c r="CFV38" s="42"/>
      <c r="CGC38" s="33"/>
      <c r="CGD38" s="33"/>
      <c r="CGH38" s="41"/>
      <c r="CGN38" s="42"/>
      <c r="CGU38" s="33"/>
      <c r="CGV38" s="33"/>
      <c r="CGZ38" s="41"/>
      <c r="CHF38" s="42"/>
      <c r="CHM38" s="33"/>
      <c r="CHN38" s="33"/>
      <c r="CHR38" s="41"/>
      <c r="CHX38" s="42"/>
      <c r="CIE38" s="33"/>
      <c r="CIF38" s="33"/>
      <c r="CIJ38" s="41"/>
      <c r="CIP38" s="42"/>
      <c r="CIW38" s="33"/>
      <c r="CIX38" s="33"/>
      <c r="CJB38" s="41"/>
      <c r="CJH38" s="42"/>
      <c r="CJO38" s="33"/>
      <c r="CJP38" s="33"/>
      <c r="CJT38" s="41"/>
      <c r="CJZ38" s="42"/>
      <c r="CKG38" s="33"/>
      <c r="CKH38" s="33"/>
      <c r="CKL38" s="41"/>
      <c r="CKR38" s="42"/>
      <c r="CKY38" s="33"/>
      <c r="CKZ38" s="33"/>
      <c r="CLD38" s="41"/>
      <c r="CLJ38" s="42"/>
      <c r="CLQ38" s="33"/>
      <c r="CLR38" s="33"/>
      <c r="CLV38" s="41"/>
      <c r="CMB38" s="42"/>
      <c r="CMI38" s="33"/>
      <c r="CMJ38" s="33"/>
      <c r="CMN38" s="41"/>
      <c r="CMT38" s="42"/>
      <c r="CNA38" s="33"/>
      <c r="CNB38" s="33"/>
      <c r="CNF38" s="41"/>
      <c r="CNL38" s="42"/>
      <c r="CNS38" s="33"/>
      <c r="CNT38" s="33"/>
      <c r="CNX38" s="41"/>
      <c r="COD38" s="42"/>
      <c r="COK38" s="33"/>
      <c r="COL38" s="33"/>
      <c r="COP38" s="41"/>
      <c r="COV38" s="42"/>
      <c r="CPC38" s="33"/>
      <c r="CPD38" s="33"/>
      <c r="CPH38" s="41"/>
      <c r="CPN38" s="42"/>
      <c r="CPU38" s="33"/>
      <c r="CPV38" s="33"/>
      <c r="CPZ38" s="41"/>
      <c r="CQF38" s="42"/>
      <c r="CQM38" s="33"/>
      <c r="CQN38" s="33"/>
      <c r="CQR38" s="41"/>
      <c r="CQX38" s="42"/>
      <c r="CRE38" s="33"/>
      <c r="CRF38" s="33"/>
      <c r="CRJ38" s="41"/>
      <c r="CRP38" s="42"/>
      <c r="CRW38" s="33"/>
      <c r="CRX38" s="33"/>
      <c r="CSB38" s="41"/>
      <c r="CSH38" s="42"/>
      <c r="CSO38" s="33"/>
      <c r="CSP38" s="33"/>
      <c r="CST38" s="41"/>
      <c r="CSZ38" s="42"/>
      <c r="CTG38" s="33"/>
      <c r="CTH38" s="33"/>
      <c r="CTL38" s="41"/>
      <c r="CTR38" s="42"/>
      <c r="CTY38" s="33"/>
      <c r="CTZ38" s="33"/>
      <c r="CUD38" s="41"/>
      <c r="CUJ38" s="42"/>
      <c r="CUQ38" s="33"/>
      <c r="CUR38" s="33"/>
      <c r="CUV38" s="41"/>
      <c r="CVB38" s="42"/>
      <c r="CVI38" s="33"/>
      <c r="CVJ38" s="33"/>
      <c r="CVN38" s="41"/>
      <c r="CVT38" s="42"/>
      <c r="CWA38" s="33"/>
      <c r="CWB38" s="33"/>
      <c r="CWF38" s="41"/>
      <c r="CWL38" s="42"/>
      <c r="CWS38" s="33"/>
      <c r="CWT38" s="33"/>
      <c r="CWX38" s="41"/>
      <c r="CXD38" s="42"/>
      <c r="CXK38" s="33"/>
      <c r="CXL38" s="33"/>
      <c r="CXP38" s="41"/>
      <c r="CXV38" s="42"/>
      <c r="CYC38" s="33"/>
      <c r="CYD38" s="33"/>
      <c r="CYH38" s="41"/>
      <c r="CYN38" s="42"/>
      <c r="CYU38" s="33"/>
      <c r="CYV38" s="33"/>
      <c r="CYZ38" s="41"/>
      <c r="CZF38" s="42"/>
      <c r="CZM38" s="33"/>
      <c r="CZN38" s="33"/>
      <c r="CZR38" s="41"/>
      <c r="CZX38" s="42"/>
      <c r="DAE38" s="33"/>
      <c r="DAF38" s="33"/>
      <c r="DAJ38" s="41"/>
      <c r="DAP38" s="42"/>
      <c r="DAW38" s="33"/>
      <c r="DAX38" s="33"/>
      <c r="DBB38" s="41"/>
      <c r="DBH38" s="42"/>
      <c r="DBO38" s="33"/>
      <c r="DBP38" s="33"/>
      <c r="DBT38" s="41"/>
      <c r="DBZ38" s="42"/>
      <c r="DCG38" s="33"/>
      <c r="DCH38" s="33"/>
      <c r="DCL38" s="41"/>
      <c r="DCR38" s="42"/>
      <c r="DCY38" s="33"/>
      <c r="DCZ38" s="33"/>
      <c r="DDD38" s="41"/>
      <c r="DDJ38" s="42"/>
      <c r="DDQ38" s="33"/>
      <c r="DDR38" s="33"/>
      <c r="DDV38" s="41"/>
      <c r="DEB38" s="42"/>
      <c r="DEI38" s="33"/>
      <c r="DEJ38" s="33"/>
      <c r="DEN38" s="41"/>
      <c r="DET38" s="42"/>
      <c r="DFA38" s="33"/>
      <c r="DFB38" s="33"/>
      <c r="DFF38" s="41"/>
      <c r="DFL38" s="42"/>
      <c r="DFS38" s="33"/>
      <c r="DFT38" s="33"/>
      <c r="DFX38" s="41"/>
      <c r="DGD38" s="42"/>
      <c r="DGK38" s="33"/>
      <c r="DGL38" s="33"/>
      <c r="DGP38" s="41"/>
      <c r="DGV38" s="42"/>
      <c r="DHC38" s="33"/>
      <c r="DHD38" s="33"/>
      <c r="DHH38" s="41"/>
      <c r="DHN38" s="42"/>
      <c r="DHU38" s="33"/>
      <c r="DHV38" s="33"/>
      <c r="DHZ38" s="41"/>
      <c r="DIF38" s="42"/>
      <c r="DIM38" s="33"/>
      <c r="DIN38" s="33"/>
      <c r="DIR38" s="41"/>
      <c r="DIX38" s="42"/>
      <c r="DJE38" s="33"/>
      <c r="DJF38" s="33"/>
      <c r="DJJ38" s="41"/>
      <c r="DJP38" s="42"/>
      <c r="DJW38" s="33"/>
      <c r="DJX38" s="33"/>
      <c r="DKB38" s="41"/>
      <c r="DKH38" s="42"/>
      <c r="DKO38" s="33"/>
      <c r="DKP38" s="33"/>
      <c r="DKT38" s="41"/>
      <c r="DKZ38" s="42"/>
      <c r="DLG38" s="33"/>
      <c r="DLH38" s="33"/>
      <c r="DLL38" s="41"/>
      <c r="DLR38" s="42"/>
      <c r="DLY38" s="33"/>
      <c r="DLZ38" s="33"/>
      <c r="DMD38" s="41"/>
      <c r="DMJ38" s="42"/>
      <c r="DMQ38" s="33"/>
      <c r="DMR38" s="33"/>
      <c r="DMV38" s="41"/>
      <c r="DNB38" s="42"/>
      <c r="DNI38" s="33"/>
      <c r="DNJ38" s="33"/>
      <c r="DNN38" s="41"/>
      <c r="DNT38" s="42"/>
      <c r="DOA38" s="33"/>
      <c r="DOB38" s="33"/>
      <c r="DOF38" s="41"/>
      <c r="DOL38" s="42"/>
      <c r="DOS38" s="33"/>
      <c r="DOT38" s="33"/>
      <c r="DOX38" s="41"/>
      <c r="DPD38" s="42"/>
      <c r="DPK38" s="33"/>
      <c r="DPL38" s="33"/>
      <c r="DPP38" s="41"/>
      <c r="DPV38" s="42"/>
      <c r="DQC38" s="33"/>
      <c r="DQD38" s="33"/>
      <c r="DQH38" s="41"/>
      <c r="DQN38" s="42"/>
      <c r="DQU38" s="33"/>
      <c r="DQV38" s="33"/>
      <c r="DQZ38" s="41"/>
      <c r="DRF38" s="42"/>
      <c r="DRM38" s="33"/>
      <c r="DRN38" s="33"/>
      <c r="DRR38" s="41"/>
      <c r="DRX38" s="42"/>
      <c r="DSE38" s="33"/>
      <c r="DSF38" s="33"/>
      <c r="DSJ38" s="41"/>
      <c r="DSP38" s="42"/>
      <c r="DSW38" s="33"/>
      <c r="DSX38" s="33"/>
      <c r="DTB38" s="41"/>
      <c r="DTH38" s="42"/>
      <c r="DTO38" s="33"/>
      <c r="DTP38" s="33"/>
      <c r="DTT38" s="41"/>
      <c r="DTZ38" s="42"/>
      <c r="DUG38" s="33"/>
      <c r="DUH38" s="33"/>
      <c r="DUL38" s="41"/>
      <c r="DUR38" s="42"/>
      <c r="DUY38" s="33"/>
      <c r="DUZ38" s="33"/>
      <c r="DVD38" s="41"/>
      <c r="DVJ38" s="42"/>
      <c r="DVQ38" s="33"/>
      <c r="DVR38" s="33"/>
      <c r="DVV38" s="41"/>
      <c r="DWB38" s="42"/>
      <c r="DWI38" s="33"/>
      <c r="DWJ38" s="33"/>
      <c r="DWN38" s="41"/>
      <c r="DWT38" s="42"/>
      <c r="DXA38" s="33"/>
      <c r="DXB38" s="33"/>
      <c r="DXF38" s="41"/>
      <c r="DXL38" s="42"/>
      <c r="DXS38" s="33"/>
      <c r="DXT38" s="33"/>
      <c r="DXX38" s="41"/>
      <c r="DYD38" s="42"/>
      <c r="DYK38" s="33"/>
      <c r="DYL38" s="33"/>
      <c r="DYP38" s="41"/>
      <c r="DYV38" s="42"/>
      <c r="DZC38" s="33"/>
      <c r="DZD38" s="33"/>
      <c r="DZH38" s="41"/>
      <c r="DZN38" s="42"/>
      <c r="DZU38" s="33"/>
      <c r="DZV38" s="33"/>
      <c r="DZZ38" s="41"/>
      <c r="EAF38" s="42"/>
      <c r="EAM38" s="33"/>
      <c r="EAN38" s="33"/>
      <c r="EAR38" s="41"/>
      <c r="EAX38" s="42"/>
      <c r="EBE38" s="33"/>
      <c r="EBF38" s="33"/>
      <c r="EBJ38" s="41"/>
      <c r="EBP38" s="42"/>
      <c r="EBW38" s="33"/>
      <c r="EBX38" s="33"/>
      <c r="ECB38" s="41"/>
      <c r="ECH38" s="42"/>
      <c r="ECO38" s="33"/>
      <c r="ECP38" s="33"/>
      <c r="ECT38" s="41"/>
      <c r="ECZ38" s="42"/>
      <c r="EDG38" s="33"/>
      <c r="EDH38" s="33"/>
      <c r="EDL38" s="41"/>
      <c r="EDR38" s="42"/>
      <c r="EDY38" s="33"/>
      <c r="EDZ38" s="33"/>
      <c r="EED38" s="41"/>
      <c r="EEJ38" s="42"/>
      <c r="EEQ38" s="33"/>
      <c r="EER38" s="33"/>
      <c r="EEV38" s="41"/>
      <c r="EFB38" s="42"/>
      <c r="EFI38" s="33"/>
      <c r="EFJ38" s="33"/>
      <c r="EFN38" s="41"/>
      <c r="EFT38" s="42"/>
      <c r="EGA38" s="33"/>
      <c r="EGB38" s="33"/>
      <c r="EGF38" s="41"/>
      <c r="EGL38" s="42"/>
      <c r="EGS38" s="33"/>
      <c r="EGT38" s="33"/>
      <c r="EGX38" s="41"/>
      <c r="EHD38" s="42"/>
      <c r="EHK38" s="33"/>
      <c r="EHL38" s="33"/>
      <c r="EHP38" s="41"/>
      <c r="EHV38" s="42"/>
      <c r="EIC38" s="33"/>
      <c r="EID38" s="33"/>
      <c r="EIH38" s="41"/>
      <c r="EIN38" s="42"/>
      <c r="EIU38" s="33"/>
      <c r="EIV38" s="33"/>
      <c r="EIZ38" s="41"/>
      <c r="EJF38" s="42"/>
      <c r="EJM38" s="33"/>
      <c r="EJN38" s="33"/>
      <c r="EJR38" s="41"/>
      <c r="EJX38" s="42"/>
      <c r="EKE38" s="33"/>
      <c r="EKF38" s="33"/>
      <c r="EKJ38" s="41"/>
      <c r="EKP38" s="42"/>
      <c r="EKW38" s="33"/>
      <c r="EKX38" s="33"/>
      <c r="ELB38" s="41"/>
      <c r="ELH38" s="42"/>
      <c r="ELO38" s="33"/>
      <c r="ELP38" s="33"/>
      <c r="ELT38" s="41"/>
      <c r="ELZ38" s="42"/>
      <c r="EMG38" s="33"/>
      <c r="EMH38" s="33"/>
      <c r="EML38" s="41"/>
      <c r="EMR38" s="42"/>
      <c r="EMY38" s="33"/>
      <c r="EMZ38" s="33"/>
      <c r="END38" s="41"/>
      <c r="ENJ38" s="42"/>
      <c r="ENQ38" s="33"/>
      <c r="ENR38" s="33"/>
      <c r="ENV38" s="41"/>
      <c r="EOB38" s="42"/>
      <c r="EOI38" s="33"/>
      <c r="EOJ38" s="33"/>
      <c r="EON38" s="41"/>
      <c r="EOT38" s="42"/>
      <c r="EPA38" s="33"/>
      <c r="EPB38" s="33"/>
      <c r="EPF38" s="41"/>
      <c r="EPL38" s="42"/>
      <c r="EPS38" s="33"/>
      <c r="EPT38" s="33"/>
      <c r="EPX38" s="41"/>
      <c r="EQD38" s="42"/>
      <c r="EQK38" s="33"/>
      <c r="EQL38" s="33"/>
      <c r="EQP38" s="41"/>
      <c r="EQV38" s="42"/>
      <c r="ERC38" s="33"/>
      <c r="ERD38" s="33"/>
      <c r="ERH38" s="41"/>
      <c r="ERN38" s="42"/>
      <c r="ERU38" s="33"/>
      <c r="ERV38" s="33"/>
      <c r="ERZ38" s="41"/>
      <c r="ESF38" s="42"/>
      <c r="ESM38" s="33"/>
      <c r="ESN38" s="33"/>
      <c r="ESR38" s="41"/>
      <c r="ESX38" s="42"/>
      <c r="ETE38" s="33"/>
      <c r="ETF38" s="33"/>
      <c r="ETJ38" s="41"/>
      <c r="ETP38" s="42"/>
      <c r="ETW38" s="33"/>
      <c r="ETX38" s="33"/>
      <c r="EUB38" s="41"/>
      <c r="EUH38" s="42"/>
      <c r="EUO38" s="33"/>
      <c r="EUP38" s="33"/>
      <c r="EUT38" s="41"/>
      <c r="EUZ38" s="42"/>
      <c r="EVG38" s="33"/>
      <c r="EVH38" s="33"/>
      <c r="EVL38" s="41"/>
      <c r="EVR38" s="42"/>
      <c r="EVY38" s="33"/>
      <c r="EVZ38" s="33"/>
      <c r="EWD38" s="41"/>
      <c r="EWJ38" s="42"/>
      <c r="EWQ38" s="33"/>
      <c r="EWR38" s="33"/>
      <c r="EWV38" s="41"/>
      <c r="EXB38" s="42"/>
      <c r="EXI38" s="33"/>
      <c r="EXJ38" s="33"/>
      <c r="EXN38" s="41"/>
      <c r="EXT38" s="42"/>
      <c r="EYA38" s="33"/>
      <c r="EYB38" s="33"/>
      <c r="EYF38" s="41"/>
      <c r="EYL38" s="42"/>
      <c r="EYS38" s="33"/>
      <c r="EYT38" s="33"/>
      <c r="EYX38" s="41"/>
      <c r="EZD38" s="42"/>
      <c r="EZK38" s="33"/>
      <c r="EZL38" s="33"/>
      <c r="EZP38" s="41"/>
      <c r="EZV38" s="42"/>
      <c r="FAC38" s="33"/>
      <c r="FAD38" s="33"/>
      <c r="FAH38" s="41"/>
      <c r="FAN38" s="42"/>
      <c r="FAU38" s="33"/>
      <c r="FAV38" s="33"/>
      <c r="FAZ38" s="41"/>
      <c r="FBF38" s="42"/>
      <c r="FBM38" s="33"/>
      <c r="FBN38" s="33"/>
      <c r="FBR38" s="41"/>
      <c r="FBX38" s="42"/>
      <c r="FCE38" s="33"/>
      <c r="FCF38" s="33"/>
      <c r="FCJ38" s="41"/>
      <c r="FCP38" s="42"/>
      <c r="FCW38" s="33"/>
      <c r="FCX38" s="33"/>
      <c r="FDB38" s="41"/>
      <c r="FDH38" s="42"/>
      <c r="FDO38" s="33"/>
      <c r="FDP38" s="33"/>
      <c r="FDT38" s="41"/>
      <c r="FDZ38" s="42"/>
      <c r="FEG38" s="33"/>
      <c r="FEH38" s="33"/>
      <c r="FEL38" s="41"/>
      <c r="FER38" s="42"/>
      <c r="FEY38" s="33"/>
      <c r="FEZ38" s="33"/>
      <c r="FFD38" s="41"/>
      <c r="FFJ38" s="42"/>
      <c r="FFQ38" s="33"/>
      <c r="FFR38" s="33"/>
      <c r="FFV38" s="41"/>
      <c r="FGB38" s="42"/>
      <c r="FGI38" s="33"/>
      <c r="FGJ38" s="33"/>
      <c r="FGN38" s="41"/>
      <c r="FGT38" s="42"/>
      <c r="FHA38" s="33"/>
      <c r="FHB38" s="33"/>
      <c r="FHF38" s="41"/>
      <c r="FHL38" s="42"/>
      <c r="FHS38" s="33"/>
      <c r="FHT38" s="33"/>
      <c r="FHX38" s="41"/>
      <c r="FID38" s="42"/>
      <c r="FIK38" s="33"/>
      <c r="FIL38" s="33"/>
      <c r="FIP38" s="41"/>
      <c r="FIV38" s="42"/>
      <c r="FJC38" s="33"/>
      <c r="FJD38" s="33"/>
      <c r="FJH38" s="41"/>
      <c r="FJN38" s="42"/>
      <c r="FJU38" s="33"/>
      <c r="FJV38" s="33"/>
      <c r="FJZ38" s="41"/>
      <c r="FKF38" s="42"/>
      <c r="FKM38" s="33"/>
      <c r="FKN38" s="33"/>
      <c r="FKR38" s="41"/>
      <c r="FKX38" s="42"/>
      <c r="FLE38" s="33"/>
      <c r="FLF38" s="33"/>
      <c r="FLJ38" s="41"/>
      <c r="FLP38" s="42"/>
      <c r="FLW38" s="33"/>
      <c r="FLX38" s="33"/>
      <c r="FMB38" s="41"/>
      <c r="FMH38" s="42"/>
      <c r="FMO38" s="33"/>
      <c r="FMP38" s="33"/>
      <c r="FMT38" s="41"/>
      <c r="FMZ38" s="42"/>
      <c r="FNG38" s="33"/>
      <c r="FNH38" s="33"/>
      <c r="FNL38" s="41"/>
      <c r="FNR38" s="42"/>
      <c r="FNY38" s="33"/>
      <c r="FNZ38" s="33"/>
      <c r="FOD38" s="41"/>
      <c r="FOJ38" s="42"/>
      <c r="FOQ38" s="33"/>
      <c r="FOR38" s="33"/>
      <c r="FOV38" s="41"/>
      <c r="FPB38" s="42"/>
      <c r="FPI38" s="33"/>
      <c r="FPJ38" s="33"/>
      <c r="FPN38" s="41"/>
      <c r="FPT38" s="42"/>
      <c r="FQA38" s="33"/>
      <c r="FQB38" s="33"/>
      <c r="FQF38" s="41"/>
      <c r="FQL38" s="42"/>
      <c r="FQS38" s="33"/>
      <c r="FQT38" s="33"/>
      <c r="FQX38" s="41"/>
      <c r="FRD38" s="42"/>
      <c r="FRK38" s="33"/>
      <c r="FRL38" s="33"/>
      <c r="FRP38" s="41"/>
      <c r="FRV38" s="42"/>
      <c r="FSC38" s="33"/>
      <c r="FSD38" s="33"/>
      <c r="FSH38" s="41"/>
      <c r="FSN38" s="42"/>
      <c r="FSU38" s="33"/>
      <c r="FSV38" s="33"/>
      <c r="FSZ38" s="41"/>
      <c r="FTF38" s="42"/>
      <c r="FTM38" s="33"/>
      <c r="FTN38" s="33"/>
      <c r="FTR38" s="41"/>
      <c r="FTX38" s="42"/>
      <c r="FUE38" s="33"/>
      <c r="FUF38" s="33"/>
      <c r="FUJ38" s="41"/>
      <c r="FUP38" s="42"/>
      <c r="FUW38" s="33"/>
      <c r="FUX38" s="33"/>
      <c r="FVB38" s="41"/>
      <c r="FVH38" s="42"/>
      <c r="FVO38" s="33"/>
      <c r="FVP38" s="33"/>
      <c r="FVT38" s="41"/>
      <c r="FVZ38" s="42"/>
      <c r="FWG38" s="33"/>
      <c r="FWH38" s="33"/>
      <c r="FWL38" s="41"/>
      <c r="FWR38" s="42"/>
      <c r="FWY38" s="33"/>
      <c r="FWZ38" s="33"/>
      <c r="FXD38" s="41"/>
      <c r="FXJ38" s="42"/>
      <c r="FXQ38" s="33"/>
      <c r="FXR38" s="33"/>
      <c r="FXV38" s="41"/>
      <c r="FYB38" s="42"/>
      <c r="FYI38" s="33"/>
      <c r="FYJ38" s="33"/>
      <c r="FYN38" s="41"/>
      <c r="FYT38" s="42"/>
      <c r="FZA38" s="33"/>
      <c r="FZB38" s="33"/>
      <c r="FZF38" s="41"/>
      <c r="FZL38" s="42"/>
      <c r="FZS38" s="33"/>
      <c r="FZT38" s="33"/>
      <c r="FZX38" s="41"/>
      <c r="GAD38" s="42"/>
      <c r="GAK38" s="33"/>
      <c r="GAL38" s="33"/>
      <c r="GAP38" s="41"/>
      <c r="GAV38" s="42"/>
      <c r="GBC38" s="33"/>
      <c r="GBD38" s="33"/>
      <c r="GBH38" s="41"/>
      <c r="GBN38" s="42"/>
      <c r="GBU38" s="33"/>
      <c r="GBV38" s="33"/>
      <c r="GBZ38" s="41"/>
      <c r="GCF38" s="42"/>
      <c r="GCM38" s="33"/>
      <c r="GCN38" s="33"/>
      <c r="GCR38" s="41"/>
      <c r="GCX38" s="42"/>
      <c r="GDE38" s="33"/>
      <c r="GDF38" s="33"/>
      <c r="GDJ38" s="41"/>
      <c r="GDP38" s="42"/>
      <c r="GDW38" s="33"/>
      <c r="GDX38" s="33"/>
      <c r="GEB38" s="41"/>
      <c r="GEH38" s="42"/>
      <c r="GEO38" s="33"/>
      <c r="GEP38" s="33"/>
      <c r="GET38" s="41"/>
      <c r="GEZ38" s="42"/>
      <c r="GFG38" s="33"/>
      <c r="GFH38" s="33"/>
      <c r="GFL38" s="41"/>
      <c r="GFR38" s="42"/>
      <c r="GFY38" s="33"/>
      <c r="GFZ38" s="33"/>
      <c r="GGD38" s="41"/>
      <c r="GGJ38" s="42"/>
      <c r="GGQ38" s="33"/>
      <c r="GGR38" s="33"/>
      <c r="GGV38" s="41"/>
      <c r="GHB38" s="42"/>
      <c r="GHI38" s="33"/>
      <c r="GHJ38" s="33"/>
      <c r="GHN38" s="41"/>
      <c r="GHT38" s="42"/>
      <c r="GIA38" s="33"/>
      <c r="GIB38" s="33"/>
      <c r="GIF38" s="41"/>
      <c r="GIL38" s="42"/>
      <c r="GIS38" s="33"/>
      <c r="GIT38" s="33"/>
      <c r="GIX38" s="41"/>
      <c r="GJD38" s="42"/>
      <c r="GJK38" s="33"/>
      <c r="GJL38" s="33"/>
      <c r="GJP38" s="41"/>
      <c r="GJV38" s="42"/>
      <c r="GKC38" s="33"/>
      <c r="GKD38" s="33"/>
      <c r="GKH38" s="41"/>
      <c r="GKN38" s="42"/>
      <c r="GKU38" s="33"/>
      <c r="GKV38" s="33"/>
      <c r="GKZ38" s="41"/>
      <c r="GLF38" s="42"/>
      <c r="GLM38" s="33"/>
      <c r="GLN38" s="33"/>
      <c r="GLR38" s="41"/>
      <c r="GLX38" s="42"/>
      <c r="GME38" s="33"/>
      <c r="GMF38" s="33"/>
      <c r="GMJ38" s="41"/>
      <c r="GMP38" s="42"/>
      <c r="GMW38" s="33"/>
      <c r="GMX38" s="33"/>
      <c r="GNB38" s="41"/>
      <c r="GNH38" s="42"/>
      <c r="GNO38" s="33"/>
      <c r="GNP38" s="33"/>
      <c r="GNT38" s="41"/>
      <c r="GNZ38" s="42"/>
      <c r="GOG38" s="33"/>
      <c r="GOH38" s="33"/>
      <c r="GOL38" s="41"/>
      <c r="GOR38" s="42"/>
      <c r="GOY38" s="33"/>
      <c r="GOZ38" s="33"/>
      <c r="GPD38" s="41"/>
      <c r="GPJ38" s="42"/>
      <c r="GPQ38" s="33"/>
      <c r="GPR38" s="33"/>
      <c r="GPV38" s="41"/>
      <c r="GQB38" s="42"/>
      <c r="GQI38" s="33"/>
      <c r="GQJ38" s="33"/>
      <c r="GQN38" s="41"/>
      <c r="GQT38" s="42"/>
      <c r="GRA38" s="33"/>
      <c r="GRB38" s="33"/>
      <c r="GRF38" s="41"/>
      <c r="GRL38" s="42"/>
      <c r="GRS38" s="33"/>
      <c r="GRT38" s="33"/>
      <c r="GRX38" s="41"/>
      <c r="GSD38" s="42"/>
      <c r="GSK38" s="33"/>
      <c r="GSL38" s="33"/>
      <c r="GSP38" s="41"/>
      <c r="GSV38" s="42"/>
      <c r="GTC38" s="33"/>
      <c r="GTD38" s="33"/>
      <c r="GTH38" s="41"/>
      <c r="GTN38" s="42"/>
      <c r="GTU38" s="33"/>
      <c r="GTV38" s="33"/>
      <c r="GTZ38" s="41"/>
      <c r="GUF38" s="42"/>
      <c r="GUM38" s="33"/>
      <c r="GUN38" s="33"/>
      <c r="GUR38" s="41"/>
      <c r="GUX38" s="42"/>
      <c r="GVE38" s="33"/>
      <c r="GVF38" s="33"/>
      <c r="GVJ38" s="41"/>
      <c r="GVP38" s="42"/>
      <c r="GVW38" s="33"/>
      <c r="GVX38" s="33"/>
      <c r="GWB38" s="41"/>
      <c r="GWH38" s="42"/>
      <c r="GWO38" s="33"/>
      <c r="GWP38" s="33"/>
      <c r="GWT38" s="41"/>
      <c r="GWZ38" s="42"/>
      <c r="GXG38" s="33"/>
      <c r="GXH38" s="33"/>
      <c r="GXL38" s="41"/>
      <c r="GXR38" s="42"/>
      <c r="GXY38" s="33"/>
      <c r="GXZ38" s="33"/>
      <c r="GYD38" s="41"/>
      <c r="GYJ38" s="42"/>
      <c r="GYQ38" s="33"/>
      <c r="GYR38" s="33"/>
      <c r="GYV38" s="41"/>
      <c r="GZB38" s="42"/>
      <c r="GZI38" s="33"/>
      <c r="GZJ38" s="33"/>
      <c r="GZN38" s="41"/>
      <c r="GZT38" s="42"/>
      <c r="HAA38" s="33"/>
      <c r="HAB38" s="33"/>
      <c r="HAF38" s="41"/>
      <c r="HAL38" s="42"/>
      <c r="HAS38" s="33"/>
      <c r="HAT38" s="33"/>
      <c r="HAX38" s="41"/>
      <c r="HBD38" s="42"/>
      <c r="HBK38" s="33"/>
      <c r="HBL38" s="33"/>
      <c r="HBP38" s="41"/>
      <c r="HBV38" s="42"/>
      <c r="HCC38" s="33"/>
      <c r="HCD38" s="33"/>
      <c r="HCH38" s="41"/>
      <c r="HCN38" s="42"/>
      <c r="HCU38" s="33"/>
      <c r="HCV38" s="33"/>
      <c r="HCZ38" s="41"/>
      <c r="HDF38" s="42"/>
      <c r="HDM38" s="33"/>
      <c r="HDN38" s="33"/>
      <c r="HDR38" s="41"/>
      <c r="HDX38" s="42"/>
      <c r="HEE38" s="33"/>
      <c r="HEF38" s="33"/>
      <c r="HEJ38" s="41"/>
      <c r="HEP38" s="42"/>
      <c r="HEW38" s="33"/>
      <c r="HEX38" s="33"/>
      <c r="HFB38" s="41"/>
      <c r="HFH38" s="42"/>
      <c r="HFO38" s="33"/>
      <c r="HFP38" s="33"/>
      <c r="HFT38" s="41"/>
      <c r="HFZ38" s="42"/>
      <c r="HGG38" s="33"/>
      <c r="HGH38" s="33"/>
      <c r="HGL38" s="41"/>
      <c r="HGR38" s="42"/>
      <c r="HGY38" s="33"/>
      <c r="HGZ38" s="33"/>
      <c r="HHD38" s="41"/>
      <c r="HHJ38" s="42"/>
      <c r="HHQ38" s="33"/>
      <c r="HHR38" s="33"/>
      <c r="HHV38" s="41"/>
      <c r="HIB38" s="42"/>
      <c r="HII38" s="33"/>
      <c r="HIJ38" s="33"/>
      <c r="HIN38" s="41"/>
      <c r="HIT38" s="42"/>
      <c r="HJA38" s="33"/>
      <c r="HJB38" s="33"/>
      <c r="HJF38" s="41"/>
      <c r="HJL38" s="42"/>
      <c r="HJS38" s="33"/>
      <c r="HJT38" s="33"/>
      <c r="HJX38" s="41"/>
      <c r="HKD38" s="42"/>
      <c r="HKK38" s="33"/>
      <c r="HKL38" s="33"/>
      <c r="HKP38" s="41"/>
      <c r="HKV38" s="42"/>
      <c r="HLC38" s="33"/>
      <c r="HLD38" s="33"/>
      <c r="HLH38" s="41"/>
      <c r="HLN38" s="42"/>
      <c r="HLU38" s="33"/>
      <c r="HLV38" s="33"/>
      <c r="HLZ38" s="41"/>
      <c r="HMF38" s="42"/>
      <c r="HMM38" s="33"/>
      <c r="HMN38" s="33"/>
      <c r="HMR38" s="41"/>
      <c r="HMX38" s="42"/>
      <c r="HNE38" s="33"/>
      <c r="HNF38" s="33"/>
      <c r="HNJ38" s="41"/>
      <c r="HNP38" s="42"/>
      <c r="HNW38" s="33"/>
      <c r="HNX38" s="33"/>
      <c r="HOB38" s="41"/>
      <c r="HOH38" s="42"/>
      <c r="HOO38" s="33"/>
      <c r="HOP38" s="33"/>
      <c r="HOT38" s="41"/>
      <c r="HOZ38" s="42"/>
      <c r="HPG38" s="33"/>
      <c r="HPH38" s="33"/>
      <c r="HPL38" s="41"/>
      <c r="HPR38" s="42"/>
      <c r="HPY38" s="33"/>
      <c r="HPZ38" s="33"/>
      <c r="HQD38" s="41"/>
      <c r="HQJ38" s="42"/>
      <c r="HQQ38" s="33"/>
      <c r="HQR38" s="33"/>
      <c r="HQV38" s="41"/>
      <c r="HRB38" s="42"/>
      <c r="HRI38" s="33"/>
      <c r="HRJ38" s="33"/>
      <c r="HRN38" s="41"/>
      <c r="HRT38" s="42"/>
      <c r="HSA38" s="33"/>
      <c r="HSB38" s="33"/>
      <c r="HSF38" s="41"/>
      <c r="HSL38" s="42"/>
      <c r="HSS38" s="33"/>
      <c r="HST38" s="33"/>
      <c r="HSX38" s="41"/>
      <c r="HTD38" s="42"/>
      <c r="HTK38" s="33"/>
      <c r="HTL38" s="33"/>
      <c r="HTP38" s="41"/>
      <c r="HTV38" s="42"/>
      <c r="HUC38" s="33"/>
      <c r="HUD38" s="33"/>
      <c r="HUH38" s="41"/>
      <c r="HUN38" s="42"/>
      <c r="HUU38" s="33"/>
      <c r="HUV38" s="33"/>
      <c r="HUZ38" s="41"/>
      <c r="HVF38" s="42"/>
      <c r="HVM38" s="33"/>
      <c r="HVN38" s="33"/>
      <c r="HVR38" s="41"/>
      <c r="HVX38" s="42"/>
      <c r="HWE38" s="33"/>
      <c r="HWF38" s="33"/>
      <c r="HWJ38" s="41"/>
      <c r="HWP38" s="42"/>
      <c r="HWW38" s="33"/>
      <c r="HWX38" s="33"/>
      <c r="HXB38" s="41"/>
      <c r="HXH38" s="42"/>
      <c r="HXO38" s="33"/>
      <c r="HXP38" s="33"/>
      <c r="HXT38" s="41"/>
      <c r="HXZ38" s="42"/>
      <c r="HYG38" s="33"/>
      <c r="HYH38" s="33"/>
      <c r="HYL38" s="41"/>
      <c r="HYR38" s="42"/>
      <c r="HYY38" s="33"/>
      <c r="HYZ38" s="33"/>
      <c r="HZD38" s="41"/>
      <c r="HZJ38" s="42"/>
      <c r="HZQ38" s="33"/>
      <c r="HZR38" s="33"/>
      <c r="HZV38" s="41"/>
      <c r="IAB38" s="42"/>
      <c r="IAI38" s="33"/>
      <c r="IAJ38" s="33"/>
      <c r="IAN38" s="41"/>
      <c r="IAT38" s="42"/>
      <c r="IBA38" s="33"/>
      <c r="IBB38" s="33"/>
      <c r="IBF38" s="41"/>
      <c r="IBL38" s="42"/>
      <c r="IBS38" s="33"/>
      <c r="IBT38" s="33"/>
      <c r="IBX38" s="41"/>
      <c r="ICD38" s="42"/>
      <c r="ICK38" s="33"/>
      <c r="ICL38" s="33"/>
      <c r="ICP38" s="41"/>
      <c r="ICV38" s="42"/>
      <c r="IDC38" s="33"/>
      <c r="IDD38" s="33"/>
      <c r="IDH38" s="41"/>
      <c r="IDN38" s="42"/>
      <c r="IDU38" s="33"/>
      <c r="IDV38" s="33"/>
      <c r="IDZ38" s="41"/>
      <c r="IEF38" s="42"/>
      <c r="IEM38" s="33"/>
      <c r="IEN38" s="33"/>
      <c r="IER38" s="41"/>
      <c r="IEX38" s="42"/>
      <c r="IFE38" s="33"/>
      <c r="IFF38" s="33"/>
      <c r="IFJ38" s="41"/>
      <c r="IFP38" s="42"/>
      <c r="IFW38" s="33"/>
      <c r="IFX38" s="33"/>
      <c r="IGB38" s="41"/>
      <c r="IGH38" s="42"/>
      <c r="IGO38" s="33"/>
      <c r="IGP38" s="33"/>
      <c r="IGT38" s="41"/>
      <c r="IGZ38" s="42"/>
      <c r="IHG38" s="33"/>
      <c r="IHH38" s="33"/>
      <c r="IHL38" s="41"/>
      <c r="IHR38" s="42"/>
      <c r="IHY38" s="33"/>
      <c r="IHZ38" s="33"/>
      <c r="IID38" s="41"/>
      <c r="IIJ38" s="42"/>
      <c r="IIQ38" s="33"/>
      <c r="IIR38" s="33"/>
      <c r="IIV38" s="41"/>
      <c r="IJB38" s="42"/>
      <c r="IJI38" s="33"/>
      <c r="IJJ38" s="33"/>
      <c r="IJN38" s="41"/>
      <c r="IJT38" s="42"/>
      <c r="IKA38" s="33"/>
      <c r="IKB38" s="33"/>
      <c r="IKF38" s="41"/>
      <c r="IKL38" s="42"/>
      <c r="IKS38" s="33"/>
      <c r="IKT38" s="33"/>
      <c r="IKX38" s="41"/>
      <c r="ILD38" s="42"/>
      <c r="ILK38" s="33"/>
      <c r="ILL38" s="33"/>
      <c r="ILP38" s="41"/>
      <c r="ILV38" s="42"/>
      <c r="IMC38" s="33"/>
      <c r="IMD38" s="33"/>
      <c r="IMH38" s="41"/>
      <c r="IMN38" s="42"/>
      <c r="IMU38" s="33"/>
      <c r="IMV38" s="33"/>
      <c r="IMZ38" s="41"/>
      <c r="INF38" s="42"/>
      <c r="INM38" s="33"/>
      <c r="INN38" s="33"/>
      <c r="INR38" s="41"/>
      <c r="INX38" s="42"/>
      <c r="IOE38" s="33"/>
      <c r="IOF38" s="33"/>
      <c r="IOJ38" s="41"/>
      <c r="IOP38" s="42"/>
      <c r="IOW38" s="33"/>
      <c r="IOX38" s="33"/>
      <c r="IPB38" s="41"/>
      <c r="IPH38" s="42"/>
      <c r="IPO38" s="33"/>
      <c r="IPP38" s="33"/>
      <c r="IPT38" s="41"/>
      <c r="IPZ38" s="42"/>
      <c r="IQG38" s="33"/>
      <c r="IQH38" s="33"/>
      <c r="IQL38" s="41"/>
      <c r="IQR38" s="42"/>
      <c r="IQY38" s="33"/>
      <c r="IQZ38" s="33"/>
      <c r="IRD38" s="41"/>
      <c r="IRJ38" s="42"/>
      <c r="IRQ38" s="33"/>
      <c r="IRR38" s="33"/>
      <c r="IRV38" s="41"/>
      <c r="ISB38" s="42"/>
      <c r="ISI38" s="33"/>
      <c r="ISJ38" s="33"/>
      <c r="ISN38" s="41"/>
      <c r="IST38" s="42"/>
      <c r="ITA38" s="33"/>
      <c r="ITB38" s="33"/>
      <c r="ITF38" s="41"/>
      <c r="ITL38" s="42"/>
      <c r="ITS38" s="33"/>
      <c r="ITT38" s="33"/>
      <c r="ITX38" s="41"/>
      <c r="IUD38" s="42"/>
      <c r="IUK38" s="33"/>
      <c r="IUL38" s="33"/>
      <c r="IUP38" s="41"/>
      <c r="IUV38" s="42"/>
      <c r="IVC38" s="33"/>
      <c r="IVD38" s="33"/>
      <c r="IVH38" s="41"/>
      <c r="IVN38" s="42"/>
      <c r="IVU38" s="33"/>
      <c r="IVV38" s="33"/>
      <c r="IVZ38" s="41"/>
      <c r="IWF38" s="42"/>
      <c r="IWM38" s="33"/>
      <c r="IWN38" s="33"/>
      <c r="IWR38" s="41"/>
      <c r="IWX38" s="42"/>
      <c r="IXE38" s="33"/>
      <c r="IXF38" s="33"/>
      <c r="IXJ38" s="41"/>
      <c r="IXP38" s="42"/>
      <c r="IXW38" s="33"/>
      <c r="IXX38" s="33"/>
      <c r="IYB38" s="41"/>
      <c r="IYH38" s="42"/>
      <c r="IYO38" s="33"/>
      <c r="IYP38" s="33"/>
      <c r="IYT38" s="41"/>
      <c r="IYZ38" s="42"/>
      <c r="IZG38" s="33"/>
      <c r="IZH38" s="33"/>
      <c r="IZL38" s="41"/>
      <c r="IZR38" s="42"/>
      <c r="IZY38" s="33"/>
      <c r="IZZ38" s="33"/>
      <c r="JAD38" s="41"/>
      <c r="JAJ38" s="42"/>
      <c r="JAQ38" s="33"/>
      <c r="JAR38" s="33"/>
      <c r="JAV38" s="41"/>
      <c r="JBB38" s="42"/>
      <c r="JBI38" s="33"/>
      <c r="JBJ38" s="33"/>
      <c r="JBN38" s="41"/>
      <c r="JBT38" s="42"/>
      <c r="JCA38" s="33"/>
      <c r="JCB38" s="33"/>
      <c r="JCF38" s="41"/>
      <c r="JCL38" s="42"/>
      <c r="JCS38" s="33"/>
      <c r="JCT38" s="33"/>
      <c r="JCX38" s="41"/>
      <c r="JDD38" s="42"/>
      <c r="JDK38" s="33"/>
      <c r="JDL38" s="33"/>
      <c r="JDP38" s="41"/>
      <c r="JDV38" s="42"/>
      <c r="JEC38" s="33"/>
      <c r="JED38" s="33"/>
      <c r="JEH38" s="41"/>
      <c r="JEN38" s="42"/>
      <c r="JEU38" s="33"/>
      <c r="JEV38" s="33"/>
      <c r="JEZ38" s="41"/>
      <c r="JFF38" s="42"/>
      <c r="JFM38" s="33"/>
      <c r="JFN38" s="33"/>
      <c r="JFR38" s="41"/>
      <c r="JFX38" s="42"/>
      <c r="JGE38" s="33"/>
      <c r="JGF38" s="33"/>
      <c r="JGJ38" s="41"/>
      <c r="JGP38" s="42"/>
      <c r="JGW38" s="33"/>
      <c r="JGX38" s="33"/>
      <c r="JHB38" s="41"/>
      <c r="JHH38" s="42"/>
      <c r="JHO38" s="33"/>
      <c r="JHP38" s="33"/>
      <c r="JHT38" s="41"/>
      <c r="JHZ38" s="42"/>
      <c r="JIG38" s="33"/>
      <c r="JIH38" s="33"/>
      <c r="JIL38" s="41"/>
      <c r="JIR38" s="42"/>
      <c r="JIY38" s="33"/>
      <c r="JIZ38" s="33"/>
      <c r="JJD38" s="41"/>
      <c r="JJJ38" s="42"/>
      <c r="JJQ38" s="33"/>
      <c r="JJR38" s="33"/>
      <c r="JJV38" s="41"/>
      <c r="JKB38" s="42"/>
      <c r="JKI38" s="33"/>
      <c r="JKJ38" s="33"/>
      <c r="JKN38" s="41"/>
      <c r="JKT38" s="42"/>
      <c r="JLA38" s="33"/>
      <c r="JLB38" s="33"/>
      <c r="JLF38" s="41"/>
      <c r="JLL38" s="42"/>
      <c r="JLS38" s="33"/>
      <c r="JLT38" s="33"/>
      <c r="JLX38" s="41"/>
      <c r="JMD38" s="42"/>
      <c r="JMK38" s="33"/>
      <c r="JML38" s="33"/>
      <c r="JMP38" s="41"/>
      <c r="JMV38" s="42"/>
      <c r="JNC38" s="33"/>
      <c r="JND38" s="33"/>
      <c r="JNH38" s="41"/>
      <c r="JNN38" s="42"/>
      <c r="JNU38" s="33"/>
      <c r="JNV38" s="33"/>
      <c r="JNZ38" s="41"/>
      <c r="JOF38" s="42"/>
      <c r="JOM38" s="33"/>
      <c r="JON38" s="33"/>
      <c r="JOR38" s="41"/>
      <c r="JOX38" s="42"/>
      <c r="JPE38" s="33"/>
      <c r="JPF38" s="33"/>
      <c r="JPJ38" s="41"/>
      <c r="JPP38" s="42"/>
      <c r="JPW38" s="33"/>
      <c r="JPX38" s="33"/>
      <c r="JQB38" s="41"/>
      <c r="JQH38" s="42"/>
      <c r="JQO38" s="33"/>
      <c r="JQP38" s="33"/>
      <c r="JQT38" s="41"/>
      <c r="JQZ38" s="42"/>
      <c r="JRG38" s="33"/>
      <c r="JRH38" s="33"/>
      <c r="JRL38" s="41"/>
      <c r="JRR38" s="42"/>
      <c r="JRY38" s="33"/>
      <c r="JRZ38" s="33"/>
      <c r="JSD38" s="41"/>
      <c r="JSJ38" s="42"/>
      <c r="JSQ38" s="33"/>
      <c r="JSR38" s="33"/>
      <c r="JSV38" s="41"/>
      <c r="JTB38" s="42"/>
      <c r="JTI38" s="33"/>
      <c r="JTJ38" s="33"/>
      <c r="JTN38" s="41"/>
      <c r="JTT38" s="42"/>
      <c r="JUA38" s="33"/>
      <c r="JUB38" s="33"/>
      <c r="JUF38" s="41"/>
      <c r="JUL38" s="42"/>
      <c r="JUS38" s="33"/>
      <c r="JUT38" s="33"/>
      <c r="JUX38" s="41"/>
      <c r="JVD38" s="42"/>
      <c r="JVK38" s="33"/>
      <c r="JVL38" s="33"/>
      <c r="JVP38" s="41"/>
      <c r="JVV38" s="42"/>
      <c r="JWC38" s="33"/>
      <c r="JWD38" s="33"/>
      <c r="JWH38" s="41"/>
      <c r="JWN38" s="42"/>
      <c r="JWU38" s="33"/>
      <c r="JWV38" s="33"/>
      <c r="JWZ38" s="41"/>
      <c r="JXF38" s="42"/>
      <c r="JXM38" s="33"/>
      <c r="JXN38" s="33"/>
      <c r="JXR38" s="41"/>
      <c r="JXX38" s="42"/>
      <c r="JYE38" s="33"/>
      <c r="JYF38" s="33"/>
      <c r="JYJ38" s="41"/>
      <c r="JYP38" s="42"/>
      <c r="JYW38" s="33"/>
      <c r="JYX38" s="33"/>
      <c r="JZB38" s="41"/>
      <c r="JZH38" s="42"/>
      <c r="JZO38" s="33"/>
      <c r="JZP38" s="33"/>
      <c r="JZT38" s="41"/>
      <c r="JZZ38" s="42"/>
      <c r="KAG38" s="33"/>
      <c r="KAH38" s="33"/>
      <c r="KAL38" s="41"/>
      <c r="KAR38" s="42"/>
      <c r="KAY38" s="33"/>
      <c r="KAZ38" s="33"/>
      <c r="KBD38" s="41"/>
      <c r="KBJ38" s="42"/>
      <c r="KBQ38" s="33"/>
      <c r="KBR38" s="33"/>
      <c r="KBV38" s="41"/>
      <c r="KCB38" s="42"/>
      <c r="KCI38" s="33"/>
      <c r="KCJ38" s="33"/>
      <c r="KCN38" s="41"/>
      <c r="KCT38" s="42"/>
      <c r="KDA38" s="33"/>
      <c r="KDB38" s="33"/>
      <c r="KDF38" s="41"/>
      <c r="KDL38" s="42"/>
      <c r="KDS38" s="33"/>
      <c r="KDT38" s="33"/>
      <c r="KDX38" s="41"/>
      <c r="KED38" s="42"/>
      <c r="KEK38" s="33"/>
      <c r="KEL38" s="33"/>
      <c r="KEP38" s="41"/>
      <c r="KEV38" s="42"/>
      <c r="KFC38" s="33"/>
      <c r="KFD38" s="33"/>
      <c r="KFH38" s="41"/>
      <c r="KFN38" s="42"/>
      <c r="KFU38" s="33"/>
      <c r="KFV38" s="33"/>
      <c r="KFZ38" s="41"/>
      <c r="KGF38" s="42"/>
      <c r="KGM38" s="33"/>
      <c r="KGN38" s="33"/>
      <c r="KGR38" s="41"/>
      <c r="KGX38" s="42"/>
      <c r="KHE38" s="33"/>
      <c r="KHF38" s="33"/>
      <c r="KHJ38" s="41"/>
      <c r="KHP38" s="42"/>
      <c r="KHW38" s="33"/>
      <c r="KHX38" s="33"/>
      <c r="KIB38" s="41"/>
      <c r="KIH38" s="42"/>
      <c r="KIO38" s="33"/>
      <c r="KIP38" s="33"/>
      <c r="KIT38" s="41"/>
      <c r="KIZ38" s="42"/>
      <c r="KJG38" s="33"/>
      <c r="KJH38" s="33"/>
      <c r="KJL38" s="41"/>
      <c r="KJR38" s="42"/>
      <c r="KJY38" s="33"/>
      <c r="KJZ38" s="33"/>
      <c r="KKD38" s="41"/>
      <c r="KKJ38" s="42"/>
      <c r="KKQ38" s="33"/>
      <c r="KKR38" s="33"/>
      <c r="KKV38" s="41"/>
      <c r="KLB38" s="42"/>
      <c r="KLI38" s="33"/>
      <c r="KLJ38" s="33"/>
      <c r="KLN38" s="41"/>
      <c r="KLT38" s="42"/>
      <c r="KMA38" s="33"/>
      <c r="KMB38" s="33"/>
      <c r="KMF38" s="41"/>
      <c r="KML38" s="42"/>
      <c r="KMS38" s="33"/>
      <c r="KMT38" s="33"/>
      <c r="KMX38" s="41"/>
      <c r="KND38" s="42"/>
      <c r="KNK38" s="33"/>
      <c r="KNL38" s="33"/>
      <c r="KNP38" s="41"/>
      <c r="KNV38" s="42"/>
      <c r="KOC38" s="33"/>
      <c r="KOD38" s="33"/>
      <c r="KOH38" s="41"/>
      <c r="KON38" s="42"/>
      <c r="KOU38" s="33"/>
      <c r="KOV38" s="33"/>
      <c r="KOZ38" s="41"/>
      <c r="KPF38" s="42"/>
      <c r="KPM38" s="33"/>
      <c r="KPN38" s="33"/>
      <c r="KPR38" s="41"/>
      <c r="KPX38" s="42"/>
      <c r="KQE38" s="33"/>
      <c r="KQF38" s="33"/>
      <c r="KQJ38" s="41"/>
      <c r="KQP38" s="42"/>
      <c r="KQW38" s="33"/>
      <c r="KQX38" s="33"/>
      <c r="KRB38" s="41"/>
      <c r="KRH38" s="42"/>
      <c r="KRO38" s="33"/>
      <c r="KRP38" s="33"/>
      <c r="KRT38" s="41"/>
      <c r="KRZ38" s="42"/>
      <c r="KSG38" s="33"/>
      <c r="KSH38" s="33"/>
      <c r="KSL38" s="41"/>
      <c r="KSR38" s="42"/>
      <c r="KSY38" s="33"/>
      <c r="KSZ38" s="33"/>
      <c r="KTD38" s="41"/>
      <c r="KTJ38" s="42"/>
      <c r="KTQ38" s="33"/>
      <c r="KTR38" s="33"/>
      <c r="KTV38" s="41"/>
      <c r="KUB38" s="42"/>
      <c r="KUI38" s="33"/>
      <c r="KUJ38" s="33"/>
      <c r="KUN38" s="41"/>
      <c r="KUT38" s="42"/>
      <c r="KVA38" s="33"/>
      <c r="KVB38" s="33"/>
      <c r="KVF38" s="41"/>
      <c r="KVL38" s="42"/>
      <c r="KVS38" s="33"/>
      <c r="KVT38" s="33"/>
      <c r="KVX38" s="41"/>
      <c r="KWD38" s="42"/>
      <c r="KWK38" s="33"/>
      <c r="KWL38" s="33"/>
      <c r="KWP38" s="41"/>
      <c r="KWV38" s="42"/>
      <c r="KXC38" s="33"/>
      <c r="KXD38" s="33"/>
      <c r="KXH38" s="41"/>
      <c r="KXN38" s="42"/>
      <c r="KXU38" s="33"/>
      <c r="KXV38" s="33"/>
      <c r="KXZ38" s="41"/>
      <c r="KYF38" s="42"/>
      <c r="KYM38" s="33"/>
      <c r="KYN38" s="33"/>
      <c r="KYR38" s="41"/>
      <c r="KYX38" s="42"/>
      <c r="KZE38" s="33"/>
      <c r="KZF38" s="33"/>
      <c r="KZJ38" s="41"/>
      <c r="KZP38" s="42"/>
      <c r="KZW38" s="33"/>
      <c r="KZX38" s="33"/>
      <c r="LAB38" s="41"/>
      <c r="LAH38" s="42"/>
      <c r="LAO38" s="33"/>
      <c r="LAP38" s="33"/>
      <c r="LAT38" s="41"/>
      <c r="LAZ38" s="42"/>
      <c r="LBG38" s="33"/>
      <c r="LBH38" s="33"/>
      <c r="LBL38" s="41"/>
      <c r="LBR38" s="42"/>
      <c r="LBY38" s="33"/>
      <c r="LBZ38" s="33"/>
      <c r="LCD38" s="41"/>
      <c r="LCJ38" s="42"/>
      <c r="LCQ38" s="33"/>
      <c r="LCR38" s="33"/>
      <c r="LCV38" s="41"/>
      <c r="LDB38" s="42"/>
      <c r="LDI38" s="33"/>
      <c r="LDJ38" s="33"/>
      <c r="LDN38" s="41"/>
      <c r="LDT38" s="42"/>
      <c r="LEA38" s="33"/>
      <c r="LEB38" s="33"/>
      <c r="LEF38" s="41"/>
      <c r="LEL38" s="42"/>
      <c r="LES38" s="33"/>
      <c r="LET38" s="33"/>
      <c r="LEX38" s="41"/>
      <c r="LFD38" s="42"/>
      <c r="LFK38" s="33"/>
      <c r="LFL38" s="33"/>
      <c r="LFP38" s="41"/>
      <c r="LFV38" s="42"/>
      <c r="LGC38" s="33"/>
      <c r="LGD38" s="33"/>
      <c r="LGH38" s="41"/>
      <c r="LGN38" s="42"/>
      <c r="LGU38" s="33"/>
      <c r="LGV38" s="33"/>
      <c r="LGZ38" s="41"/>
      <c r="LHF38" s="42"/>
      <c r="LHM38" s="33"/>
      <c r="LHN38" s="33"/>
      <c r="LHR38" s="41"/>
      <c r="LHX38" s="42"/>
      <c r="LIE38" s="33"/>
      <c r="LIF38" s="33"/>
      <c r="LIJ38" s="41"/>
      <c r="LIP38" s="42"/>
      <c r="LIW38" s="33"/>
      <c r="LIX38" s="33"/>
      <c r="LJB38" s="41"/>
      <c r="LJH38" s="42"/>
      <c r="LJO38" s="33"/>
      <c r="LJP38" s="33"/>
      <c r="LJT38" s="41"/>
      <c r="LJZ38" s="42"/>
      <c r="LKG38" s="33"/>
      <c r="LKH38" s="33"/>
      <c r="LKL38" s="41"/>
      <c r="LKR38" s="42"/>
      <c r="LKY38" s="33"/>
      <c r="LKZ38" s="33"/>
      <c r="LLD38" s="41"/>
      <c r="LLJ38" s="42"/>
      <c r="LLQ38" s="33"/>
      <c r="LLR38" s="33"/>
      <c r="LLV38" s="41"/>
      <c r="LMB38" s="42"/>
      <c r="LMI38" s="33"/>
      <c r="LMJ38" s="33"/>
      <c r="LMN38" s="41"/>
      <c r="LMT38" s="42"/>
      <c r="LNA38" s="33"/>
      <c r="LNB38" s="33"/>
      <c r="LNF38" s="41"/>
      <c r="LNL38" s="42"/>
      <c r="LNS38" s="33"/>
      <c r="LNT38" s="33"/>
      <c r="LNX38" s="41"/>
      <c r="LOD38" s="42"/>
      <c r="LOK38" s="33"/>
      <c r="LOL38" s="33"/>
      <c r="LOP38" s="41"/>
      <c r="LOV38" s="42"/>
      <c r="LPC38" s="33"/>
      <c r="LPD38" s="33"/>
      <c r="LPH38" s="41"/>
      <c r="LPN38" s="42"/>
      <c r="LPU38" s="33"/>
      <c r="LPV38" s="33"/>
      <c r="LPZ38" s="41"/>
      <c r="LQF38" s="42"/>
      <c r="LQM38" s="33"/>
      <c r="LQN38" s="33"/>
      <c r="LQR38" s="41"/>
      <c r="LQX38" s="42"/>
      <c r="LRE38" s="33"/>
      <c r="LRF38" s="33"/>
      <c r="LRJ38" s="41"/>
      <c r="LRP38" s="42"/>
      <c r="LRW38" s="33"/>
      <c r="LRX38" s="33"/>
      <c r="LSB38" s="41"/>
      <c r="LSH38" s="42"/>
      <c r="LSO38" s="33"/>
      <c r="LSP38" s="33"/>
      <c r="LST38" s="41"/>
      <c r="LSZ38" s="42"/>
      <c r="LTG38" s="33"/>
      <c r="LTH38" s="33"/>
      <c r="LTL38" s="41"/>
      <c r="LTR38" s="42"/>
      <c r="LTY38" s="33"/>
      <c r="LTZ38" s="33"/>
      <c r="LUD38" s="41"/>
      <c r="LUJ38" s="42"/>
      <c r="LUQ38" s="33"/>
      <c r="LUR38" s="33"/>
      <c r="LUV38" s="41"/>
      <c r="LVB38" s="42"/>
      <c r="LVI38" s="33"/>
      <c r="LVJ38" s="33"/>
      <c r="LVN38" s="41"/>
      <c r="LVT38" s="42"/>
      <c r="LWA38" s="33"/>
      <c r="LWB38" s="33"/>
      <c r="LWF38" s="41"/>
      <c r="LWL38" s="42"/>
      <c r="LWS38" s="33"/>
      <c r="LWT38" s="33"/>
      <c r="LWX38" s="41"/>
      <c r="LXD38" s="42"/>
      <c r="LXK38" s="33"/>
      <c r="LXL38" s="33"/>
      <c r="LXP38" s="41"/>
      <c r="LXV38" s="42"/>
      <c r="LYC38" s="33"/>
      <c r="LYD38" s="33"/>
      <c r="LYH38" s="41"/>
      <c r="LYN38" s="42"/>
      <c r="LYU38" s="33"/>
      <c r="LYV38" s="33"/>
      <c r="LYZ38" s="41"/>
      <c r="LZF38" s="42"/>
      <c r="LZM38" s="33"/>
      <c r="LZN38" s="33"/>
      <c r="LZR38" s="41"/>
      <c r="LZX38" s="42"/>
      <c r="MAE38" s="33"/>
      <c r="MAF38" s="33"/>
      <c r="MAJ38" s="41"/>
      <c r="MAP38" s="42"/>
      <c r="MAW38" s="33"/>
      <c r="MAX38" s="33"/>
      <c r="MBB38" s="41"/>
      <c r="MBH38" s="42"/>
      <c r="MBO38" s="33"/>
      <c r="MBP38" s="33"/>
      <c r="MBT38" s="41"/>
      <c r="MBZ38" s="42"/>
      <c r="MCG38" s="33"/>
      <c r="MCH38" s="33"/>
      <c r="MCL38" s="41"/>
      <c r="MCR38" s="42"/>
      <c r="MCY38" s="33"/>
      <c r="MCZ38" s="33"/>
      <c r="MDD38" s="41"/>
      <c r="MDJ38" s="42"/>
      <c r="MDQ38" s="33"/>
      <c r="MDR38" s="33"/>
      <c r="MDV38" s="41"/>
      <c r="MEB38" s="42"/>
      <c r="MEI38" s="33"/>
      <c r="MEJ38" s="33"/>
      <c r="MEN38" s="41"/>
      <c r="MET38" s="42"/>
      <c r="MFA38" s="33"/>
      <c r="MFB38" s="33"/>
      <c r="MFF38" s="41"/>
      <c r="MFL38" s="42"/>
      <c r="MFS38" s="33"/>
      <c r="MFT38" s="33"/>
      <c r="MFX38" s="41"/>
      <c r="MGD38" s="42"/>
      <c r="MGK38" s="33"/>
      <c r="MGL38" s="33"/>
      <c r="MGP38" s="41"/>
      <c r="MGV38" s="42"/>
      <c r="MHC38" s="33"/>
      <c r="MHD38" s="33"/>
      <c r="MHH38" s="41"/>
      <c r="MHN38" s="42"/>
      <c r="MHU38" s="33"/>
      <c r="MHV38" s="33"/>
      <c r="MHZ38" s="41"/>
      <c r="MIF38" s="42"/>
      <c r="MIM38" s="33"/>
      <c r="MIN38" s="33"/>
      <c r="MIR38" s="41"/>
      <c r="MIX38" s="42"/>
      <c r="MJE38" s="33"/>
      <c r="MJF38" s="33"/>
      <c r="MJJ38" s="41"/>
      <c r="MJP38" s="42"/>
      <c r="MJW38" s="33"/>
      <c r="MJX38" s="33"/>
      <c r="MKB38" s="41"/>
      <c r="MKH38" s="42"/>
      <c r="MKO38" s="33"/>
      <c r="MKP38" s="33"/>
      <c r="MKT38" s="41"/>
      <c r="MKZ38" s="42"/>
      <c r="MLG38" s="33"/>
      <c r="MLH38" s="33"/>
      <c r="MLL38" s="41"/>
      <c r="MLR38" s="42"/>
      <c r="MLY38" s="33"/>
      <c r="MLZ38" s="33"/>
      <c r="MMD38" s="41"/>
      <c r="MMJ38" s="42"/>
      <c r="MMQ38" s="33"/>
      <c r="MMR38" s="33"/>
      <c r="MMV38" s="41"/>
      <c r="MNB38" s="42"/>
      <c r="MNI38" s="33"/>
      <c r="MNJ38" s="33"/>
      <c r="MNN38" s="41"/>
      <c r="MNT38" s="42"/>
      <c r="MOA38" s="33"/>
      <c r="MOB38" s="33"/>
      <c r="MOF38" s="41"/>
      <c r="MOL38" s="42"/>
      <c r="MOS38" s="33"/>
      <c r="MOT38" s="33"/>
      <c r="MOX38" s="41"/>
      <c r="MPD38" s="42"/>
      <c r="MPK38" s="33"/>
      <c r="MPL38" s="33"/>
      <c r="MPP38" s="41"/>
      <c r="MPV38" s="42"/>
      <c r="MQC38" s="33"/>
      <c r="MQD38" s="33"/>
      <c r="MQH38" s="41"/>
      <c r="MQN38" s="42"/>
      <c r="MQU38" s="33"/>
      <c r="MQV38" s="33"/>
      <c r="MQZ38" s="41"/>
      <c r="MRF38" s="42"/>
      <c r="MRM38" s="33"/>
      <c r="MRN38" s="33"/>
      <c r="MRR38" s="41"/>
      <c r="MRX38" s="42"/>
      <c r="MSE38" s="33"/>
      <c r="MSF38" s="33"/>
      <c r="MSJ38" s="41"/>
      <c r="MSP38" s="42"/>
      <c r="MSW38" s="33"/>
      <c r="MSX38" s="33"/>
      <c r="MTB38" s="41"/>
      <c r="MTH38" s="42"/>
      <c r="MTO38" s="33"/>
      <c r="MTP38" s="33"/>
      <c r="MTT38" s="41"/>
      <c r="MTZ38" s="42"/>
      <c r="MUG38" s="33"/>
      <c r="MUH38" s="33"/>
      <c r="MUL38" s="41"/>
      <c r="MUR38" s="42"/>
      <c r="MUY38" s="33"/>
      <c r="MUZ38" s="33"/>
      <c r="MVD38" s="41"/>
      <c r="MVJ38" s="42"/>
      <c r="MVQ38" s="33"/>
      <c r="MVR38" s="33"/>
      <c r="MVV38" s="41"/>
      <c r="MWB38" s="42"/>
      <c r="MWI38" s="33"/>
      <c r="MWJ38" s="33"/>
      <c r="MWN38" s="41"/>
      <c r="MWT38" s="42"/>
      <c r="MXA38" s="33"/>
      <c r="MXB38" s="33"/>
      <c r="MXF38" s="41"/>
      <c r="MXL38" s="42"/>
      <c r="MXS38" s="33"/>
      <c r="MXT38" s="33"/>
      <c r="MXX38" s="41"/>
      <c r="MYD38" s="42"/>
      <c r="MYK38" s="33"/>
      <c r="MYL38" s="33"/>
      <c r="MYP38" s="41"/>
      <c r="MYV38" s="42"/>
      <c r="MZC38" s="33"/>
      <c r="MZD38" s="33"/>
      <c r="MZH38" s="41"/>
      <c r="MZN38" s="42"/>
      <c r="MZU38" s="33"/>
      <c r="MZV38" s="33"/>
      <c r="MZZ38" s="41"/>
      <c r="NAF38" s="42"/>
      <c r="NAM38" s="33"/>
      <c r="NAN38" s="33"/>
      <c r="NAR38" s="41"/>
      <c r="NAX38" s="42"/>
      <c r="NBE38" s="33"/>
      <c r="NBF38" s="33"/>
      <c r="NBJ38" s="41"/>
      <c r="NBP38" s="42"/>
      <c r="NBW38" s="33"/>
      <c r="NBX38" s="33"/>
      <c r="NCB38" s="41"/>
      <c r="NCH38" s="42"/>
      <c r="NCO38" s="33"/>
      <c r="NCP38" s="33"/>
      <c r="NCT38" s="41"/>
      <c r="NCZ38" s="42"/>
      <c r="NDG38" s="33"/>
      <c r="NDH38" s="33"/>
      <c r="NDL38" s="41"/>
      <c r="NDR38" s="42"/>
      <c r="NDY38" s="33"/>
      <c r="NDZ38" s="33"/>
      <c r="NED38" s="41"/>
      <c r="NEJ38" s="42"/>
      <c r="NEQ38" s="33"/>
      <c r="NER38" s="33"/>
      <c r="NEV38" s="41"/>
      <c r="NFB38" s="42"/>
      <c r="NFI38" s="33"/>
      <c r="NFJ38" s="33"/>
      <c r="NFN38" s="41"/>
      <c r="NFT38" s="42"/>
      <c r="NGA38" s="33"/>
      <c r="NGB38" s="33"/>
      <c r="NGF38" s="41"/>
      <c r="NGL38" s="42"/>
      <c r="NGS38" s="33"/>
      <c r="NGT38" s="33"/>
      <c r="NGX38" s="41"/>
      <c r="NHD38" s="42"/>
      <c r="NHK38" s="33"/>
      <c r="NHL38" s="33"/>
      <c r="NHP38" s="41"/>
      <c r="NHV38" s="42"/>
      <c r="NIC38" s="33"/>
      <c r="NID38" s="33"/>
      <c r="NIH38" s="41"/>
      <c r="NIN38" s="42"/>
      <c r="NIU38" s="33"/>
      <c r="NIV38" s="33"/>
      <c r="NIZ38" s="41"/>
      <c r="NJF38" s="42"/>
      <c r="NJM38" s="33"/>
      <c r="NJN38" s="33"/>
      <c r="NJR38" s="41"/>
      <c r="NJX38" s="42"/>
      <c r="NKE38" s="33"/>
      <c r="NKF38" s="33"/>
      <c r="NKJ38" s="41"/>
      <c r="NKP38" s="42"/>
      <c r="NKW38" s="33"/>
      <c r="NKX38" s="33"/>
      <c r="NLB38" s="41"/>
      <c r="NLH38" s="42"/>
      <c r="NLO38" s="33"/>
      <c r="NLP38" s="33"/>
      <c r="NLT38" s="41"/>
      <c r="NLZ38" s="42"/>
      <c r="NMG38" s="33"/>
      <c r="NMH38" s="33"/>
      <c r="NML38" s="41"/>
      <c r="NMR38" s="42"/>
      <c r="NMY38" s="33"/>
      <c r="NMZ38" s="33"/>
      <c r="NND38" s="41"/>
      <c r="NNJ38" s="42"/>
      <c r="NNQ38" s="33"/>
      <c r="NNR38" s="33"/>
      <c r="NNV38" s="41"/>
      <c r="NOB38" s="42"/>
      <c r="NOI38" s="33"/>
      <c r="NOJ38" s="33"/>
      <c r="NON38" s="41"/>
      <c r="NOT38" s="42"/>
      <c r="NPA38" s="33"/>
      <c r="NPB38" s="33"/>
      <c r="NPF38" s="41"/>
      <c r="NPL38" s="42"/>
      <c r="NPS38" s="33"/>
      <c r="NPT38" s="33"/>
      <c r="NPX38" s="41"/>
      <c r="NQD38" s="42"/>
      <c r="NQK38" s="33"/>
      <c r="NQL38" s="33"/>
      <c r="NQP38" s="41"/>
      <c r="NQV38" s="42"/>
      <c r="NRC38" s="33"/>
      <c r="NRD38" s="33"/>
      <c r="NRH38" s="41"/>
      <c r="NRN38" s="42"/>
      <c r="NRU38" s="33"/>
      <c r="NRV38" s="33"/>
      <c r="NRZ38" s="41"/>
      <c r="NSF38" s="42"/>
      <c r="NSM38" s="33"/>
      <c r="NSN38" s="33"/>
      <c r="NSR38" s="41"/>
      <c r="NSX38" s="42"/>
      <c r="NTE38" s="33"/>
      <c r="NTF38" s="33"/>
      <c r="NTJ38" s="41"/>
      <c r="NTP38" s="42"/>
      <c r="NTW38" s="33"/>
      <c r="NTX38" s="33"/>
      <c r="NUB38" s="41"/>
      <c r="NUH38" s="42"/>
      <c r="NUO38" s="33"/>
      <c r="NUP38" s="33"/>
      <c r="NUT38" s="41"/>
      <c r="NUZ38" s="42"/>
      <c r="NVG38" s="33"/>
      <c r="NVH38" s="33"/>
      <c r="NVL38" s="41"/>
      <c r="NVR38" s="42"/>
      <c r="NVY38" s="33"/>
      <c r="NVZ38" s="33"/>
      <c r="NWD38" s="41"/>
      <c r="NWJ38" s="42"/>
      <c r="NWQ38" s="33"/>
      <c r="NWR38" s="33"/>
      <c r="NWV38" s="41"/>
      <c r="NXB38" s="42"/>
      <c r="NXI38" s="33"/>
      <c r="NXJ38" s="33"/>
      <c r="NXN38" s="41"/>
      <c r="NXT38" s="42"/>
      <c r="NYA38" s="33"/>
      <c r="NYB38" s="33"/>
      <c r="NYF38" s="41"/>
      <c r="NYL38" s="42"/>
      <c r="NYS38" s="33"/>
      <c r="NYT38" s="33"/>
      <c r="NYX38" s="41"/>
      <c r="NZD38" s="42"/>
      <c r="NZK38" s="33"/>
      <c r="NZL38" s="33"/>
      <c r="NZP38" s="41"/>
      <c r="NZV38" s="42"/>
      <c r="OAC38" s="33"/>
      <c r="OAD38" s="33"/>
      <c r="OAH38" s="41"/>
      <c r="OAN38" s="42"/>
      <c r="OAU38" s="33"/>
      <c r="OAV38" s="33"/>
      <c r="OAZ38" s="41"/>
      <c r="OBF38" s="42"/>
      <c r="OBM38" s="33"/>
      <c r="OBN38" s="33"/>
      <c r="OBR38" s="41"/>
      <c r="OBX38" s="42"/>
      <c r="OCE38" s="33"/>
      <c r="OCF38" s="33"/>
      <c r="OCJ38" s="41"/>
      <c r="OCP38" s="42"/>
      <c r="OCW38" s="33"/>
      <c r="OCX38" s="33"/>
      <c r="ODB38" s="41"/>
      <c r="ODH38" s="42"/>
      <c r="ODO38" s="33"/>
      <c r="ODP38" s="33"/>
      <c r="ODT38" s="41"/>
      <c r="ODZ38" s="42"/>
      <c r="OEG38" s="33"/>
      <c r="OEH38" s="33"/>
      <c r="OEL38" s="41"/>
      <c r="OER38" s="42"/>
      <c r="OEY38" s="33"/>
      <c r="OEZ38" s="33"/>
      <c r="OFD38" s="41"/>
      <c r="OFJ38" s="42"/>
      <c r="OFQ38" s="33"/>
      <c r="OFR38" s="33"/>
      <c r="OFV38" s="41"/>
      <c r="OGB38" s="42"/>
      <c r="OGI38" s="33"/>
      <c r="OGJ38" s="33"/>
      <c r="OGN38" s="41"/>
      <c r="OGT38" s="42"/>
      <c r="OHA38" s="33"/>
      <c r="OHB38" s="33"/>
      <c r="OHF38" s="41"/>
      <c r="OHL38" s="42"/>
      <c r="OHS38" s="33"/>
      <c r="OHT38" s="33"/>
      <c r="OHX38" s="41"/>
      <c r="OID38" s="42"/>
      <c r="OIK38" s="33"/>
      <c r="OIL38" s="33"/>
      <c r="OIP38" s="41"/>
      <c r="OIV38" s="42"/>
      <c r="OJC38" s="33"/>
      <c r="OJD38" s="33"/>
      <c r="OJH38" s="41"/>
      <c r="OJN38" s="42"/>
      <c r="OJU38" s="33"/>
      <c r="OJV38" s="33"/>
      <c r="OJZ38" s="41"/>
      <c r="OKF38" s="42"/>
      <c r="OKM38" s="33"/>
      <c r="OKN38" s="33"/>
      <c r="OKR38" s="41"/>
      <c r="OKX38" s="42"/>
      <c r="OLE38" s="33"/>
      <c r="OLF38" s="33"/>
      <c r="OLJ38" s="41"/>
      <c r="OLP38" s="42"/>
      <c r="OLW38" s="33"/>
      <c r="OLX38" s="33"/>
      <c r="OMB38" s="41"/>
      <c r="OMH38" s="42"/>
      <c r="OMO38" s="33"/>
      <c r="OMP38" s="33"/>
      <c r="OMT38" s="41"/>
      <c r="OMZ38" s="42"/>
      <c r="ONG38" s="33"/>
      <c r="ONH38" s="33"/>
      <c r="ONL38" s="41"/>
      <c r="ONR38" s="42"/>
      <c r="ONY38" s="33"/>
      <c r="ONZ38" s="33"/>
      <c r="OOD38" s="41"/>
      <c r="OOJ38" s="42"/>
      <c r="OOQ38" s="33"/>
      <c r="OOR38" s="33"/>
      <c r="OOV38" s="41"/>
      <c r="OPB38" s="42"/>
      <c r="OPI38" s="33"/>
      <c r="OPJ38" s="33"/>
      <c r="OPN38" s="41"/>
      <c r="OPT38" s="42"/>
      <c r="OQA38" s="33"/>
      <c r="OQB38" s="33"/>
      <c r="OQF38" s="41"/>
      <c r="OQL38" s="42"/>
      <c r="OQS38" s="33"/>
      <c r="OQT38" s="33"/>
      <c r="OQX38" s="41"/>
      <c r="ORD38" s="42"/>
      <c r="ORK38" s="33"/>
      <c r="ORL38" s="33"/>
      <c r="ORP38" s="41"/>
      <c r="ORV38" s="42"/>
      <c r="OSC38" s="33"/>
      <c r="OSD38" s="33"/>
      <c r="OSH38" s="41"/>
      <c r="OSN38" s="42"/>
      <c r="OSU38" s="33"/>
      <c r="OSV38" s="33"/>
      <c r="OSZ38" s="41"/>
      <c r="OTF38" s="42"/>
      <c r="OTM38" s="33"/>
      <c r="OTN38" s="33"/>
      <c r="OTR38" s="41"/>
      <c r="OTX38" s="42"/>
      <c r="OUE38" s="33"/>
      <c r="OUF38" s="33"/>
      <c r="OUJ38" s="41"/>
      <c r="OUP38" s="42"/>
      <c r="OUW38" s="33"/>
      <c r="OUX38" s="33"/>
      <c r="OVB38" s="41"/>
      <c r="OVH38" s="42"/>
      <c r="OVO38" s="33"/>
      <c r="OVP38" s="33"/>
      <c r="OVT38" s="41"/>
      <c r="OVZ38" s="42"/>
      <c r="OWG38" s="33"/>
      <c r="OWH38" s="33"/>
      <c r="OWL38" s="41"/>
      <c r="OWR38" s="42"/>
      <c r="OWY38" s="33"/>
      <c r="OWZ38" s="33"/>
      <c r="OXD38" s="41"/>
      <c r="OXJ38" s="42"/>
      <c r="OXQ38" s="33"/>
      <c r="OXR38" s="33"/>
      <c r="OXV38" s="41"/>
      <c r="OYB38" s="42"/>
      <c r="OYI38" s="33"/>
      <c r="OYJ38" s="33"/>
      <c r="OYN38" s="41"/>
      <c r="OYT38" s="42"/>
      <c r="OZA38" s="33"/>
      <c r="OZB38" s="33"/>
      <c r="OZF38" s="41"/>
      <c r="OZL38" s="42"/>
      <c r="OZS38" s="33"/>
      <c r="OZT38" s="33"/>
      <c r="OZX38" s="41"/>
      <c r="PAD38" s="42"/>
      <c r="PAK38" s="33"/>
      <c r="PAL38" s="33"/>
      <c r="PAP38" s="41"/>
      <c r="PAV38" s="42"/>
      <c r="PBC38" s="33"/>
      <c r="PBD38" s="33"/>
      <c r="PBH38" s="41"/>
      <c r="PBN38" s="42"/>
      <c r="PBU38" s="33"/>
      <c r="PBV38" s="33"/>
      <c r="PBZ38" s="41"/>
      <c r="PCF38" s="42"/>
      <c r="PCM38" s="33"/>
      <c r="PCN38" s="33"/>
      <c r="PCR38" s="41"/>
      <c r="PCX38" s="42"/>
      <c r="PDE38" s="33"/>
      <c r="PDF38" s="33"/>
      <c r="PDJ38" s="41"/>
      <c r="PDP38" s="42"/>
      <c r="PDW38" s="33"/>
      <c r="PDX38" s="33"/>
      <c r="PEB38" s="41"/>
      <c r="PEH38" s="42"/>
      <c r="PEO38" s="33"/>
      <c r="PEP38" s="33"/>
      <c r="PET38" s="41"/>
      <c r="PEZ38" s="42"/>
      <c r="PFG38" s="33"/>
      <c r="PFH38" s="33"/>
      <c r="PFL38" s="41"/>
      <c r="PFR38" s="42"/>
      <c r="PFY38" s="33"/>
      <c r="PFZ38" s="33"/>
      <c r="PGD38" s="41"/>
      <c r="PGJ38" s="42"/>
      <c r="PGQ38" s="33"/>
      <c r="PGR38" s="33"/>
      <c r="PGV38" s="41"/>
      <c r="PHB38" s="42"/>
      <c r="PHI38" s="33"/>
      <c r="PHJ38" s="33"/>
      <c r="PHN38" s="41"/>
      <c r="PHT38" s="42"/>
      <c r="PIA38" s="33"/>
      <c r="PIB38" s="33"/>
      <c r="PIF38" s="41"/>
      <c r="PIL38" s="42"/>
      <c r="PIS38" s="33"/>
      <c r="PIT38" s="33"/>
      <c r="PIX38" s="41"/>
      <c r="PJD38" s="42"/>
      <c r="PJK38" s="33"/>
      <c r="PJL38" s="33"/>
      <c r="PJP38" s="41"/>
      <c r="PJV38" s="42"/>
      <c r="PKC38" s="33"/>
      <c r="PKD38" s="33"/>
      <c r="PKH38" s="41"/>
      <c r="PKN38" s="42"/>
      <c r="PKU38" s="33"/>
      <c r="PKV38" s="33"/>
      <c r="PKZ38" s="41"/>
      <c r="PLF38" s="42"/>
      <c r="PLM38" s="33"/>
      <c r="PLN38" s="33"/>
      <c r="PLR38" s="41"/>
      <c r="PLX38" s="42"/>
      <c r="PME38" s="33"/>
      <c r="PMF38" s="33"/>
      <c r="PMJ38" s="41"/>
      <c r="PMP38" s="42"/>
      <c r="PMW38" s="33"/>
      <c r="PMX38" s="33"/>
      <c r="PNB38" s="41"/>
      <c r="PNH38" s="42"/>
      <c r="PNO38" s="33"/>
      <c r="PNP38" s="33"/>
      <c r="PNT38" s="41"/>
      <c r="PNZ38" s="42"/>
      <c r="POG38" s="33"/>
      <c r="POH38" s="33"/>
      <c r="POL38" s="41"/>
      <c r="POR38" s="42"/>
      <c r="POY38" s="33"/>
      <c r="POZ38" s="33"/>
      <c r="PPD38" s="41"/>
      <c r="PPJ38" s="42"/>
      <c r="PPQ38" s="33"/>
      <c r="PPR38" s="33"/>
      <c r="PPV38" s="41"/>
      <c r="PQB38" s="42"/>
      <c r="PQI38" s="33"/>
      <c r="PQJ38" s="33"/>
      <c r="PQN38" s="41"/>
      <c r="PQT38" s="42"/>
      <c r="PRA38" s="33"/>
      <c r="PRB38" s="33"/>
      <c r="PRF38" s="41"/>
      <c r="PRL38" s="42"/>
      <c r="PRS38" s="33"/>
      <c r="PRT38" s="33"/>
      <c r="PRX38" s="41"/>
      <c r="PSD38" s="42"/>
      <c r="PSK38" s="33"/>
      <c r="PSL38" s="33"/>
      <c r="PSP38" s="41"/>
      <c r="PSV38" s="42"/>
      <c r="PTC38" s="33"/>
      <c r="PTD38" s="33"/>
      <c r="PTH38" s="41"/>
      <c r="PTN38" s="42"/>
      <c r="PTU38" s="33"/>
      <c r="PTV38" s="33"/>
      <c r="PTZ38" s="41"/>
      <c r="PUF38" s="42"/>
      <c r="PUM38" s="33"/>
      <c r="PUN38" s="33"/>
      <c r="PUR38" s="41"/>
      <c r="PUX38" s="42"/>
      <c r="PVE38" s="33"/>
      <c r="PVF38" s="33"/>
      <c r="PVJ38" s="41"/>
      <c r="PVP38" s="42"/>
      <c r="PVW38" s="33"/>
      <c r="PVX38" s="33"/>
      <c r="PWB38" s="41"/>
      <c r="PWH38" s="42"/>
      <c r="PWO38" s="33"/>
      <c r="PWP38" s="33"/>
      <c r="PWT38" s="41"/>
      <c r="PWZ38" s="42"/>
      <c r="PXG38" s="33"/>
      <c r="PXH38" s="33"/>
      <c r="PXL38" s="41"/>
      <c r="PXR38" s="42"/>
      <c r="PXY38" s="33"/>
      <c r="PXZ38" s="33"/>
      <c r="PYD38" s="41"/>
      <c r="PYJ38" s="42"/>
      <c r="PYQ38" s="33"/>
      <c r="PYR38" s="33"/>
      <c r="PYV38" s="41"/>
      <c r="PZB38" s="42"/>
      <c r="PZI38" s="33"/>
      <c r="PZJ38" s="33"/>
      <c r="PZN38" s="41"/>
      <c r="PZT38" s="42"/>
      <c r="QAA38" s="33"/>
      <c r="QAB38" s="33"/>
      <c r="QAF38" s="41"/>
      <c r="QAL38" s="42"/>
      <c r="QAS38" s="33"/>
      <c r="QAT38" s="33"/>
      <c r="QAX38" s="41"/>
      <c r="QBD38" s="42"/>
      <c r="QBK38" s="33"/>
      <c r="QBL38" s="33"/>
      <c r="QBP38" s="41"/>
      <c r="QBV38" s="42"/>
      <c r="QCC38" s="33"/>
      <c r="QCD38" s="33"/>
      <c r="QCH38" s="41"/>
      <c r="QCN38" s="42"/>
      <c r="QCU38" s="33"/>
      <c r="QCV38" s="33"/>
      <c r="QCZ38" s="41"/>
      <c r="QDF38" s="42"/>
      <c r="QDM38" s="33"/>
      <c r="QDN38" s="33"/>
      <c r="QDR38" s="41"/>
      <c r="QDX38" s="42"/>
      <c r="QEE38" s="33"/>
      <c r="QEF38" s="33"/>
      <c r="QEJ38" s="41"/>
      <c r="QEP38" s="42"/>
      <c r="QEW38" s="33"/>
      <c r="QEX38" s="33"/>
      <c r="QFB38" s="41"/>
      <c r="QFH38" s="42"/>
      <c r="QFO38" s="33"/>
      <c r="QFP38" s="33"/>
      <c r="QFT38" s="41"/>
      <c r="QFZ38" s="42"/>
      <c r="QGG38" s="33"/>
      <c r="QGH38" s="33"/>
      <c r="QGL38" s="41"/>
      <c r="QGR38" s="42"/>
      <c r="QGY38" s="33"/>
      <c r="QGZ38" s="33"/>
      <c r="QHD38" s="41"/>
      <c r="QHJ38" s="42"/>
      <c r="QHQ38" s="33"/>
      <c r="QHR38" s="33"/>
      <c r="QHV38" s="41"/>
      <c r="QIB38" s="42"/>
      <c r="QII38" s="33"/>
      <c r="QIJ38" s="33"/>
      <c r="QIN38" s="41"/>
      <c r="QIT38" s="42"/>
      <c r="QJA38" s="33"/>
      <c r="QJB38" s="33"/>
      <c r="QJF38" s="41"/>
      <c r="QJL38" s="42"/>
      <c r="QJS38" s="33"/>
      <c r="QJT38" s="33"/>
      <c r="QJX38" s="41"/>
      <c r="QKD38" s="42"/>
      <c r="QKK38" s="33"/>
      <c r="QKL38" s="33"/>
      <c r="QKP38" s="41"/>
      <c r="QKV38" s="42"/>
      <c r="QLC38" s="33"/>
      <c r="QLD38" s="33"/>
      <c r="QLH38" s="41"/>
      <c r="QLN38" s="42"/>
      <c r="QLU38" s="33"/>
      <c r="QLV38" s="33"/>
      <c r="QLZ38" s="41"/>
      <c r="QMF38" s="42"/>
      <c r="QMM38" s="33"/>
      <c r="QMN38" s="33"/>
      <c r="QMR38" s="41"/>
      <c r="QMX38" s="42"/>
      <c r="QNE38" s="33"/>
      <c r="QNF38" s="33"/>
      <c r="QNJ38" s="41"/>
      <c r="QNP38" s="42"/>
      <c r="QNW38" s="33"/>
      <c r="QNX38" s="33"/>
      <c r="QOB38" s="41"/>
      <c r="QOH38" s="42"/>
      <c r="QOO38" s="33"/>
      <c r="QOP38" s="33"/>
      <c r="QOT38" s="41"/>
      <c r="QOZ38" s="42"/>
      <c r="QPG38" s="33"/>
      <c r="QPH38" s="33"/>
      <c r="QPL38" s="41"/>
      <c r="QPR38" s="42"/>
      <c r="QPY38" s="33"/>
      <c r="QPZ38" s="33"/>
      <c r="QQD38" s="41"/>
      <c r="QQJ38" s="42"/>
      <c r="QQQ38" s="33"/>
      <c r="QQR38" s="33"/>
      <c r="QQV38" s="41"/>
      <c r="QRB38" s="42"/>
      <c r="QRI38" s="33"/>
      <c r="QRJ38" s="33"/>
      <c r="QRN38" s="41"/>
      <c r="QRT38" s="42"/>
      <c r="QSA38" s="33"/>
      <c r="QSB38" s="33"/>
      <c r="QSF38" s="41"/>
      <c r="QSL38" s="42"/>
      <c r="QSS38" s="33"/>
      <c r="QST38" s="33"/>
      <c r="QSX38" s="41"/>
      <c r="QTD38" s="42"/>
      <c r="QTK38" s="33"/>
      <c r="QTL38" s="33"/>
      <c r="QTP38" s="41"/>
      <c r="QTV38" s="42"/>
      <c r="QUC38" s="33"/>
      <c r="QUD38" s="33"/>
      <c r="QUH38" s="41"/>
      <c r="QUN38" s="42"/>
      <c r="QUU38" s="33"/>
      <c r="QUV38" s="33"/>
      <c r="QUZ38" s="41"/>
      <c r="QVF38" s="42"/>
      <c r="QVM38" s="33"/>
      <c r="QVN38" s="33"/>
      <c r="QVR38" s="41"/>
      <c r="QVX38" s="42"/>
      <c r="QWE38" s="33"/>
      <c r="QWF38" s="33"/>
      <c r="QWJ38" s="41"/>
      <c r="QWP38" s="42"/>
      <c r="QWW38" s="33"/>
      <c r="QWX38" s="33"/>
      <c r="QXB38" s="41"/>
      <c r="QXH38" s="42"/>
      <c r="QXO38" s="33"/>
      <c r="QXP38" s="33"/>
      <c r="QXT38" s="41"/>
      <c r="QXZ38" s="42"/>
      <c r="QYG38" s="33"/>
      <c r="QYH38" s="33"/>
      <c r="QYL38" s="41"/>
      <c r="QYR38" s="42"/>
      <c r="QYY38" s="33"/>
      <c r="QYZ38" s="33"/>
      <c r="QZD38" s="41"/>
      <c r="QZJ38" s="42"/>
      <c r="QZQ38" s="33"/>
      <c r="QZR38" s="33"/>
      <c r="QZV38" s="41"/>
      <c r="RAB38" s="42"/>
      <c r="RAI38" s="33"/>
      <c r="RAJ38" s="33"/>
      <c r="RAN38" s="41"/>
      <c r="RAT38" s="42"/>
      <c r="RBA38" s="33"/>
      <c r="RBB38" s="33"/>
      <c r="RBF38" s="41"/>
      <c r="RBL38" s="42"/>
      <c r="RBS38" s="33"/>
      <c r="RBT38" s="33"/>
      <c r="RBX38" s="41"/>
      <c r="RCD38" s="42"/>
      <c r="RCK38" s="33"/>
      <c r="RCL38" s="33"/>
      <c r="RCP38" s="41"/>
      <c r="RCV38" s="42"/>
      <c r="RDC38" s="33"/>
      <c r="RDD38" s="33"/>
      <c r="RDH38" s="41"/>
      <c r="RDN38" s="42"/>
      <c r="RDU38" s="33"/>
      <c r="RDV38" s="33"/>
      <c r="RDZ38" s="41"/>
      <c r="REF38" s="42"/>
      <c r="REM38" s="33"/>
      <c r="REN38" s="33"/>
      <c r="RER38" s="41"/>
      <c r="REX38" s="42"/>
      <c r="RFE38" s="33"/>
      <c r="RFF38" s="33"/>
      <c r="RFJ38" s="41"/>
      <c r="RFP38" s="42"/>
      <c r="RFW38" s="33"/>
      <c r="RFX38" s="33"/>
      <c r="RGB38" s="41"/>
      <c r="RGH38" s="42"/>
      <c r="RGO38" s="33"/>
      <c r="RGP38" s="33"/>
      <c r="RGT38" s="41"/>
      <c r="RGZ38" s="42"/>
      <c r="RHG38" s="33"/>
      <c r="RHH38" s="33"/>
      <c r="RHL38" s="41"/>
      <c r="RHR38" s="42"/>
      <c r="RHY38" s="33"/>
      <c r="RHZ38" s="33"/>
      <c r="RID38" s="41"/>
      <c r="RIJ38" s="42"/>
      <c r="RIQ38" s="33"/>
      <c r="RIR38" s="33"/>
      <c r="RIV38" s="41"/>
      <c r="RJB38" s="42"/>
      <c r="RJI38" s="33"/>
      <c r="RJJ38" s="33"/>
      <c r="RJN38" s="41"/>
      <c r="RJT38" s="42"/>
      <c r="RKA38" s="33"/>
      <c r="RKB38" s="33"/>
      <c r="RKF38" s="41"/>
      <c r="RKL38" s="42"/>
      <c r="RKS38" s="33"/>
      <c r="RKT38" s="33"/>
      <c r="RKX38" s="41"/>
      <c r="RLD38" s="42"/>
      <c r="RLK38" s="33"/>
      <c r="RLL38" s="33"/>
      <c r="RLP38" s="41"/>
      <c r="RLV38" s="42"/>
      <c r="RMC38" s="33"/>
      <c r="RMD38" s="33"/>
      <c r="RMH38" s="41"/>
      <c r="RMN38" s="42"/>
      <c r="RMU38" s="33"/>
      <c r="RMV38" s="33"/>
      <c r="RMZ38" s="41"/>
      <c r="RNF38" s="42"/>
      <c r="RNM38" s="33"/>
      <c r="RNN38" s="33"/>
      <c r="RNR38" s="41"/>
      <c r="RNX38" s="42"/>
      <c r="ROE38" s="33"/>
      <c r="ROF38" s="33"/>
      <c r="ROJ38" s="41"/>
      <c r="ROP38" s="42"/>
      <c r="ROW38" s="33"/>
      <c r="ROX38" s="33"/>
      <c r="RPB38" s="41"/>
      <c r="RPH38" s="42"/>
      <c r="RPO38" s="33"/>
      <c r="RPP38" s="33"/>
      <c r="RPT38" s="41"/>
      <c r="RPZ38" s="42"/>
      <c r="RQG38" s="33"/>
      <c r="RQH38" s="33"/>
      <c r="RQL38" s="41"/>
      <c r="RQR38" s="42"/>
      <c r="RQY38" s="33"/>
      <c r="RQZ38" s="33"/>
      <c r="RRD38" s="41"/>
      <c r="RRJ38" s="42"/>
      <c r="RRQ38" s="33"/>
      <c r="RRR38" s="33"/>
      <c r="RRV38" s="41"/>
      <c r="RSB38" s="42"/>
      <c r="RSI38" s="33"/>
      <c r="RSJ38" s="33"/>
      <c r="RSN38" s="41"/>
      <c r="RST38" s="42"/>
      <c r="RTA38" s="33"/>
      <c r="RTB38" s="33"/>
      <c r="RTF38" s="41"/>
      <c r="RTL38" s="42"/>
      <c r="RTS38" s="33"/>
      <c r="RTT38" s="33"/>
      <c r="RTX38" s="41"/>
      <c r="RUD38" s="42"/>
      <c r="RUK38" s="33"/>
      <c r="RUL38" s="33"/>
      <c r="RUP38" s="41"/>
      <c r="RUV38" s="42"/>
      <c r="RVC38" s="33"/>
      <c r="RVD38" s="33"/>
      <c r="RVH38" s="41"/>
      <c r="RVN38" s="42"/>
      <c r="RVU38" s="33"/>
      <c r="RVV38" s="33"/>
      <c r="RVZ38" s="41"/>
      <c r="RWF38" s="42"/>
      <c r="RWM38" s="33"/>
      <c r="RWN38" s="33"/>
      <c r="RWR38" s="41"/>
      <c r="RWX38" s="42"/>
      <c r="RXE38" s="33"/>
      <c r="RXF38" s="33"/>
      <c r="RXJ38" s="41"/>
      <c r="RXP38" s="42"/>
      <c r="RXW38" s="33"/>
      <c r="RXX38" s="33"/>
      <c r="RYB38" s="41"/>
      <c r="RYH38" s="42"/>
      <c r="RYO38" s="33"/>
      <c r="RYP38" s="33"/>
      <c r="RYT38" s="41"/>
      <c r="RYZ38" s="42"/>
      <c r="RZG38" s="33"/>
      <c r="RZH38" s="33"/>
      <c r="RZL38" s="41"/>
      <c r="RZR38" s="42"/>
      <c r="RZY38" s="33"/>
      <c r="RZZ38" s="33"/>
      <c r="SAD38" s="41"/>
      <c r="SAJ38" s="42"/>
      <c r="SAQ38" s="33"/>
      <c r="SAR38" s="33"/>
      <c r="SAV38" s="41"/>
      <c r="SBB38" s="42"/>
      <c r="SBI38" s="33"/>
      <c r="SBJ38" s="33"/>
      <c r="SBN38" s="41"/>
      <c r="SBT38" s="42"/>
      <c r="SCA38" s="33"/>
      <c r="SCB38" s="33"/>
      <c r="SCF38" s="41"/>
      <c r="SCL38" s="42"/>
      <c r="SCS38" s="33"/>
      <c r="SCT38" s="33"/>
      <c r="SCX38" s="41"/>
      <c r="SDD38" s="42"/>
      <c r="SDK38" s="33"/>
      <c r="SDL38" s="33"/>
      <c r="SDP38" s="41"/>
      <c r="SDV38" s="42"/>
      <c r="SEC38" s="33"/>
      <c r="SED38" s="33"/>
      <c r="SEH38" s="41"/>
      <c r="SEN38" s="42"/>
      <c r="SEU38" s="33"/>
      <c r="SEV38" s="33"/>
      <c r="SEZ38" s="41"/>
      <c r="SFF38" s="42"/>
      <c r="SFM38" s="33"/>
      <c r="SFN38" s="33"/>
      <c r="SFR38" s="41"/>
      <c r="SFX38" s="42"/>
      <c r="SGE38" s="33"/>
      <c r="SGF38" s="33"/>
      <c r="SGJ38" s="41"/>
      <c r="SGP38" s="42"/>
      <c r="SGW38" s="33"/>
      <c r="SGX38" s="33"/>
      <c r="SHB38" s="41"/>
      <c r="SHH38" s="42"/>
      <c r="SHO38" s="33"/>
      <c r="SHP38" s="33"/>
      <c r="SHT38" s="41"/>
      <c r="SHZ38" s="42"/>
      <c r="SIG38" s="33"/>
      <c r="SIH38" s="33"/>
      <c r="SIL38" s="41"/>
      <c r="SIR38" s="42"/>
      <c r="SIY38" s="33"/>
      <c r="SIZ38" s="33"/>
      <c r="SJD38" s="41"/>
      <c r="SJJ38" s="42"/>
      <c r="SJQ38" s="33"/>
      <c r="SJR38" s="33"/>
      <c r="SJV38" s="41"/>
      <c r="SKB38" s="42"/>
      <c r="SKI38" s="33"/>
      <c r="SKJ38" s="33"/>
      <c r="SKN38" s="41"/>
      <c r="SKT38" s="42"/>
      <c r="SLA38" s="33"/>
      <c r="SLB38" s="33"/>
      <c r="SLF38" s="41"/>
      <c r="SLL38" s="42"/>
      <c r="SLS38" s="33"/>
      <c r="SLT38" s="33"/>
      <c r="SLX38" s="41"/>
      <c r="SMD38" s="42"/>
      <c r="SMK38" s="33"/>
      <c r="SML38" s="33"/>
      <c r="SMP38" s="41"/>
      <c r="SMV38" s="42"/>
      <c r="SNC38" s="33"/>
      <c r="SND38" s="33"/>
      <c r="SNH38" s="41"/>
      <c r="SNN38" s="42"/>
      <c r="SNU38" s="33"/>
      <c r="SNV38" s="33"/>
      <c r="SNZ38" s="41"/>
      <c r="SOF38" s="42"/>
      <c r="SOM38" s="33"/>
      <c r="SON38" s="33"/>
      <c r="SOR38" s="41"/>
      <c r="SOX38" s="42"/>
      <c r="SPE38" s="33"/>
      <c r="SPF38" s="33"/>
      <c r="SPJ38" s="41"/>
      <c r="SPP38" s="42"/>
      <c r="SPW38" s="33"/>
      <c r="SPX38" s="33"/>
      <c r="SQB38" s="41"/>
      <c r="SQH38" s="42"/>
      <c r="SQO38" s="33"/>
      <c r="SQP38" s="33"/>
      <c r="SQT38" s="41"/>
      <c r="SQZ38" s="42"/>
      <c r="SRG38" s="33"/>
      <c r="SRH38" s="33"/>
      <c r="SRL38" s="41"/>
      <c r="SRR38" s="42"/>
      <c r="SRY38" s="33"/>
      <c r="SRZ38" s="33"/>
      <c r="SSD38" s="41"/>
      <c r="SSJ38" s="42"/>
      <c r="SSQ38" s="33"/>
      <c r="SSR38" s="33"/>
      <c r="SSV38" s="41"/>
      <c r="STB38" s="42"/>
      <c r="STI38" s="33"/>
      <c r="STJ38" s="33"/>
      <c r="STN38" s="41"/>
      <c r="STT38" s="42"/>
      <c r="SUA38" s="33"/>
      <c r="SUB38" s="33"/>
      <c r="SUF38" s="41"/>
      <c r="SUL38" s="42"/>
      <c r="SUS38" s="33"/>
      <c r="SUT38" s="33"/>
      <c r="SUX38" s="41"/>
      <c r="SVD38" s="42"/>
      <c r="SVK38" s="33"/>
      <c r="SVL38" s="33"/>
      <c r="SVP38" s="41"/>
      <c r="SVV38" s="42"/>
      <c r="SWC38" s="33"/>
      <c r="SWD38" s="33"/>
      <c r="SWH38" s="41"/>
      <c r="SWN38" s="42"/>
      <c r="SWU38" s="33"/>
      <c r="SWV38" s="33"/>
      <c r="SWZ38" s="41"/>
      <c r="SXF38" s="42"/>
      <c r="SXM38" s="33"/>
      <c r="SXN38" s="33"/>
      <c r="SXR38" s="41"/>
      <c r="SXX38" s="42"/>
      <c r="SYE38" s="33"/>
      <c r="SYF38" s="33"/>
      <c r="SYJ38" s="41"/>
      <c r="SYP38" s="42"/>
      <c r="SYW38" s="33"/>
      <c r="SYX38" s="33"/>
      <c r="SZB38" s="41"/>
      <c r="SZH38" s="42"/>
      <c r="SZO38" s="33"/>
      <c r="SZP38" s="33"/>
      <c r="SZT38" s="41"/>
      <c r="SZZ38" s="42"/>
      <c r="TAG38" s="33"/>
      <c r="TAH38" s="33"/>
      <c r="TAL38" s="41"/>
      <c r="TAR38" s="42"/>
      <c r="TAY38" s="33"/>
      <c r="TAZ38" s="33"/>
      <c r="TBD38" s="41"/>
      <c r="TBJ38" s="42"/>
      <c r="TBQ38" s="33"/>
      <c r="TBR38" s="33"/>
      <c r="TBV38" s="41"/>
      <c r="TCB38" s="42"/>
      <c r="TCI38" s="33"/>
      <c r="TCJ38" s="33"/>
      <c r="TCN38" s="41"/>
      <c r="TCT38" s="42"/>
      <c r="TDA38" s="33"/>
      <c r="TDB38" s="33"/>
      <c r="TDF38" s="41"/>
      <c r="TDL38" s="42"/>
      <c r="TDS38" s="33"/>
      <c r="TDT38" s="33"/>
      <c r="TDX38" s="41"/>
      <c r="TED38" s="42"/>
      <c r="TEK38" s="33"/>
      <c r="TEL38" s="33"/>
      <c r="TEP38" s="41"/>
      <c r="TEV38" s="42"/>
      <c r="TFC38" s="33"/>
      <c r="TFD38" s="33"/>
      <c r="TFH38" s="41"/>
      <c r="TFN38" s="42"/>
      <c r="TFU38" s="33"/>
      <c r="TFV38" s="33"/>
      <c r="TFZ38" s="41"/>
      <c r="TGF38" s="42"/>
      <c r="TGM38" s="33"/>
      <c r="TGN38" s="33"/>
      <c r="TGR38" s="41"/>
      <c r="TGX38" s="42"/>
      <c r="THE38" s="33"/>
      <c r="THF38" s="33"/>
      <c r="THJ38" s="41"/>
      <c r="THP38" s="42"/>
      <c r="THW38" s="33"/>
      <c r="THX38" s="33"/>
      <c r="TIB38" s="41"/>
      <c r="TIH38" s="42"/>
      <c r="TIO38" s="33"/>
      <c r="TIP38" s="33"/>
      <c r="TIT38" s="41"/>
      <c r="TIZ38" s="42"/>
      <c r="TJG38" s="33"/>
      <c r="TJH38" s="33"/>
      <c r="TJL38" s="41"/>
      <c r="TJR38" s="42"/>
      <c r="TJY38" s="33"/>
      <c r="TJZ38" s="33"/>
      <c r="TKD38" s="41"/>
      <c r="TKJ38" s="42"/>
      <c r="TKQ38" s="33"/>
      <c r="TKR38" s="33"/>
      <c r="TKV38" s="41"/>
      <c r="TLB38" s="42"/>
      <c r="TLI38" s="33"/>
      <c r="TLJ38" s="33"/>
      <c r="TLN38" s="41"/>
      <c r="TLT38" s="42"/>
      <c r="TMA38" s="33"/>
      <c r="TMB38" s="33"/>
      <c r="TMF38" s="41"/>
      <c r="TML38" s="42"/>
      <c r="TMS38" s="33"/>
      <c r="TMT38" s="33"/>
      <c r="TMX38" s="41"/>
      <c r="TND38" s="42"/>
      <c r="TNK38" s="33"/>
      <c r="TNL38" s="33"/>
      <c r="TNP38" s="41"/>
      <c r="TNV38" s="42"/>
      <c r="TOC38" s="33"/>
      <c r="TOD38" s="33"/>
      <c r="TOH38" s="41"/>
      <c r="TON38" s="42"/>
      <c r="TOU38" s="33"/>
      <c r="TOV38" s="33"/>
      <c r="TOZ38" s="41"/>
      <c r="TPF38" s="42"/>
      <c r="TPM38" s="33"/>
      <c r="TPN38" s="33"/>
      <c r="TPR38" s="41"/>
      <c r="TPX38" s="42"/>
      <c r="TQE38" s="33"/>
      <c r="TQF38" s="33"/>
      <c r="TQJ38" s="41"/>
      <c r="TQP38" s="42"/>
      <c r="TQW38" s="33"/>
      <c r="TQX38" s="33"/>
      <c r="TRB38" s="41"/>
      <c r="TRH38" s="42"/>
      <c r="TRO38" s="33"/>
      <c r="TRP38" s="33"/>
      <c r="TRT38" s="41"/>
      <c r="TRZ38" s="42"/>
      <c r="TSG38" s="33"/>
      <c r="TSH38" s="33"/>
      <c r="TSL38" s="41"/>
      <c r="TSR38" s="42"/>
      <c r="TSY38" s="33"/>
      <c r="TSZ38" s="33"/>
      <c r="TTD38" s="41"/>
      <c r="TTJ38" s="42"/>
      <c r="TTQ38" s="33"/>
      <c r="TTR38" s="33"/>
      <c r="TTV38" s="41"/>
      <c r="TUB38" s="42"/>
      <c r="TUI38" s="33"/>
      <c r="TUJ38" s="33"/>
      <c r="TUN38" s="41"/>
      <c r="TUT38" s="42"/>
      <c r="TVA38" s="33"/>
      <c r="TVB38" s="33"/>
      <c r="TVF38" s="41"/>
      <c r="TVL38" s="42"/>
      <c r="TVS38" s="33"/>
      <c r="TVT38" s="33"/>
      <c r="TVX38" s="41"/>
      <c r="TWD38" s="42"/>
      <c r="TWK38" s="33"/>
      <c r="TWL38" s="33"/>
      <c r="TWP38" s="41"/>
      <c r="TWV38" s="42"/>
      <c r="TXC38" s="33"/>
      <c r="TXD38" s="33"/>
      <c r="TXH38" s="41"/>
      <c r="TXN38" s="42"/>
      <c r="TXU38" s="33"/>
      <c r="TXV38" s="33"/>
      <c r="TXZ38" s="41"/>
      <c r="TYF38" s="42"/>
      <c r="TYM38" s="33"/>
      <c r="TYN38" s="33"/>
      <c r="TYR38" s="41"/>
      <c r="TYX38" s="42"/>
      <c r="TZE38" s="33"/>
      <c r="TZF38" s="33"/>
      <c r="TZJ38" s="41"/>
      <c r="TZP38" s="42"/>
      <c r="TZW38" s="33"/>
      <c r="TZX38" s="33"/>
      <c r="UAB38" s="41"/>
      <c r="UAH38" s="42"/>
      <c r="UAO38" s="33"/>
      <c r="UAP38" s="33"/>
      <c r="UAT38" s="41"/>
      <c r="UAZ38" s="42"/>
      <c r="UBG38" s="33"/>
      <c r="UBH38" s="33"/>
      <c r="UBL38" s="41"/>
      <c r="UBR38" s="42"/>
      <c r="UBY38" s="33"/>
      <c r="UBZ38" s="33"/>
      <c r="UCD38" s="41"/>
      <c r="UCJ38" s="42"/>
      <c r="UCQ38" s="33"/>
      <c r="UCR38" s="33"/>
      <c r="UCV38" s="41"/>
      <c r="UDB38" s="42"/>
      <c r="UDI38" s="33"/>
      <c r="UDJ38" s="33"/>
      <c r="UDN38" s="41"/>
      <c r="UDT38" s="42"/>
      <c r="UEA38" s="33"/>
      <c r="UEB38" s="33"/>
      <c r="UEF38" s="41"/>
      <c r="UEL38" s="42"/>
      <c r="UES38" s="33"/>
      <c r="UET38" s="33"/>
      <c r="UEX38" s="41"/>
      <c r="UFD38" s="42"/>
      <c r="UFK38" s="33"/>
      <c r="UFL38" s="33"/>
      <c r="UFP38" s="41"/>
      <c r="UFV38" s="42"/>
      <c r="UGC38" s="33"/>
      <c r="UGD38" s="33"/>
      <c r="UGH38" s="41"/>
      <c r="UGN38" s="42"/>
      <c r="UGU38" s="33"/>
      <c r="UGV38" s="33"/>
      <c r="UGZ38" s="41"/>
      <c r="UHF38" s="42"/>
      <c r="UHM38" s="33"/>
      <c r="UHN38" s="33"/>
      <c r="UHR38" s="41"/>
      <c r="UHX38" s="42"/>
      <c r="UIE38" s="33"/>
      <c r="UIF38" s="33"/>
      <c r="UIJ38" s="41"/>
      <c r="UIP38" s="42"/>
      <c r="UIW38" s="33"/>
      <c r="UIX38" s="33"/>
      <c r="UJB38" s="41"/>
      <c r="UJH38" s="42"/>
      <c r="UJO38" s="33"/>
      <c r="UJP38" s="33"/>
      <c r="UJT38" s="41"/>
      <c r="UJZ38" s="42"/>
      <c r="UKG38" s="33"/>
      <c r="UKH38" s="33"/>
      <c r="UKL38" s="41"/>
      <c r="UKR38" s="42"/>
      <c r="UKY38" s="33"/>
      <c r="UKZ38" s="33"/>
      <c r="ULD38" s="41"/>
      <c r="ULJ38" s="42"/>
      <c r="ULQ38" s="33"/>
      <c r="ULR38" s="33"/>
      <c r="ULV38" s="41"/>
      <c r="UMB38" s="42"/>
      <c r="UMI38" s="33"/>
      <c r="UMJ38" s="33"/>
      <c r="UMN38" s="41"/>
      <c r="UMT38" s="42"/>
      <c r="UNA38" s="33"/>
      <c r="UNB38" s="33"/>
      <c r="UNF38" s="41"/>
      <c r="UNL38" s="42"/>
      <c r="UNS38" s="33"/>
      <c r="UNT38" s="33"/>
      <c r="UNX38" s="41"/>
      <c r="UOD38" s="42"/>
      <c r="UOK38" s="33"/>
      <c r="UOL38" s="33"/>
      <c r="UOP38" s="41"/>
      <c r="UOV38" s="42"/>
      <c r="UPC38" s="33"/>
      <c r="UPD38" s="33"/>
      <c r="UPH38" s="41"/>
      <c r="UPN38" s="42"/>
      <c r="UPU38" s="33"/>
      <c r="UPV38" s="33"/>
      <c r="UPZ38" s="41"/>
      <c r="UQF38" s="42"/>
      <c r="UQM38" s="33"/>
      <c r="UQN38" s="33"/>
      <c r="UQR38" s="41"/>
      <c r="UQX38" s="42"/>
      <c r="URE38" s="33"/>
      <c r="URF38" s="33"/>
      <c r="URJ38" s="41"/>
      <c r="URP38" s="42"/>
      <c r="URW38" s="33"/>
      <c r="URX38" s="33"/>
      <c r="USB38" s="41"/>
      <c r="USH38" s="42"/>
      <c r="USO38" s="33"/>
      <c r="USP38" s="33"/>
      <c r="UST38" s="41"/>
      <c r="USZ38" s="42"/>
      <c r="UTG38" s="33"/>
      <c r="UTH38" s="33"/>
      <c r="UTL38" s="41"/>
      <c r="UTR38" s="42"/>
      <c r="UTY38" s="33"/>
      <c r="UTZ38" s="33"/>
      <c r="UUD38" s="41"/>
      <c r="UUJ38" s="42"/>
      <c r="UUQ38" s="33"/>
      <c r="UUR38" s="33"/>
      <c r="UUV38" s="41"/>
      <c r="UVB38" s="42"/>
      <c r="UVI38" s="33"/>
      <c r="UVJ38" s="33"/>
      <c r="UVN38" s="41"/>
      <c r="UVT38" s="42"/>
      <c r="UWA38" s="33"/>
      <c r="UWB38" s="33"/>
      <c r="UWF38" s="41"/>
      <c r="UWL38" s="42"/>
      <c r="UWS38" s="33"/>
      <c r="UWT38" s="33"/>
      <c r="UWX38" s="41"/>
      <c r="UXD38" s="42"/>
      <c r="UXK38" s="33"/>
      <c r="UXL38" s="33"/>
      <c r="UXP38" s="41"/>
      <c r="UXV38" s="42"/>
      <c r="UYC38" s="33"/>
      <c r="UYD38" s="33"/>
      <c r="UYH38" s="41"/>
      <c r="UYN38" s="42"/>
      <c r="UYU38" s="33"/>
      <c r="UYV38" s="33"/>
      <c r="UYZ38" s="41"/>
      <c r="UZF38" s="42"/>
      <c r="UZM38" s="33"/>
      <c r="UZN38" s="33"/>
      <c r="UZR38" s="41"/>
      <c r="UZX38" s="42"/>
      <c r="VAE38" s="33"/>
      <c r="VAF38" s="33"/>
      <c r="VAJ38" s="41"/>
      <c r="VAP38" s="42"/>
      <c r="VAW38" s="33"/>
      <c r="VAX38" s="33"/>
      <c r="VBB38" s="41"/>
      <c r="VBH38" s="42"/>
      <c r="VBO38" s="33"/>
      <c r="VBP38" s="33"/>
      <c r="VBT38" s="41"/>
      <c r="VBZ38" s="42"/>
      <c r="VCG38" s="33"/>
      <c r="VCH38" s="33"/>
      <c r="VCL38" s="41"/>
      <c r="VCR38" s="42"/>
      <c r="VCY38" s="33"/>
      <c r="VCZ38" s="33"/>
      <c r="VDD38" s="41"/>
      <c r="VDJ38" s="42"/>
      <c r="VDQ38" s="33"/>
      <c r="VDR38" s="33"/>
      <c r="VDV38" s="41"/>
      <c r="VEB38" s="42"/>
      <c r="VEI38" s="33"/>
      <c r="VEJ38" s="33"/>
      <c r="VEN38" s="41"/>
      <c r="VET38" s="42"/>
      <c r="VFA38" s="33"/>
      <c r="VFB38" s="33"/>
      <c r="VFF38" s="41"/>
      <c r="VFL38" s="42"/>
      <c r="VFS38" s="33"/>
      <c r="VFT38" s="33"/>
      <c r="VFX38" s="41"/>
      <c r="VGD38" s="42"/>
      <c r="VGK38" s="33"/>
      <c r="VGL38" s="33"/>
      <c r="VGP38" s="41"/>
      <c r="VGV38" s="42"/>
      <c r="VHC38" s="33"/>
      <c r="VHD38" s="33"/>
      <c r="VHH38" s="41"/>
      <c r="VHN38" s="42"/>
      <c r="VHU38" s="33"/>
      <c r="VHV38" s="33"/>
      <c r="VHZ38" s="41"/>
      <c r="VIF38" s="42"/>
      <c r="VIM38" s="33"/>
      <c r="VIN38" s="33"/>
      <c r="VIR38" s="41"/>
      <c r="VIX38" s="42"/>
      <c r="VJE38" s="33"/>
      <c r="VJF38" s="33"/>
      <c r="VJJ38" s="41"/>
      <c r="VJP38" s="42"/>
      <c r="VJW38" s="33"/>
      <c r="VJX38" s="33"/>
      <c r="VKB38" s="41"/>
      <c r="VKH38" s="42"/>
      <c r="VKO38" s="33"/>
      <c r="VKP38" s="33"/>
      <c r="VKT38" s="41"/>
      <c r="VKZ38" s="42"/>
      <c r="VLG38" s="33"/>
      <c r="VLH38" s="33"/>
      <c r="VLL38" s="41"/>
      <c r="VLR38" s="42"/>
      <c r="VLY38" s="33"/>
      <c r="VLZ38" s="33"/>
      <c r="VMD38" s="41"/>
      <c r="VMJ38" s="42"/>
      <c r="VMQ38" s="33"/>
      <c r="VMR38" s="33"/>
      <c r="VMV38" s="41"/>
      <c r="VNB38" s="42"/>
      <c r="VNI38" s="33"/>
      <c r="VNJ38" s="33"/>
      <c r="VNN38" s="41"/>
      <c r="VNT38" s="42"/>
      <c r="VOA38" s="33"/>
      <c r="VOB38" s="33"/>
      <c r="VOF38" s="41"/>
      <c r="VOL38" s="42"/>
      <c r="VOS38" s="33"/>
      <c r="VOT38" s="33"/>
      <c r="VOX38" s="41"/>
      <c r="VPD38" s="42"/>
      <c r="VPK38" s="33"/>
      <c r="VPL38" s="33"/>
      <c r="VPP38" s="41"/>
      <c r="VPV38" s="42"/>
      <c r="VQC38" s="33"/>
      <c r="VQD38" s="33"/>
      <c r="VQH38" s="41"/>
      <c r="VQN38" s="42"/>
      <c r="VQU38" s="33"/>
      <c r="VQV38" s="33"/>
      <c r="VQZ38" s="41"/>
      <c r="VRF38" s="42"/>
      <c r="VRM38" s="33"/>
      <c r="VRN38" s="33"/>
      <c r="VRR38" s="41"/>
      <c r="VRX38" s="42"/>
      <c r="VSE38" s="33"/>
      <c r="VSF38" s="33"/>
      <c r="VSJ38" s="41"/>
      <c r="VSP38" s="42"/>
      <c r="VSW38" s="33"/>
      <c r="VSX38" s="33"/>
      <c r="VTB38" s="41"/>
      <c r="VTH38" s="42"/>
      <c r="VTO38" s="33"/>
      <c r="VTP38" s="33"/>
      <c r="VTT38" s="41"/>
      <c r="VTZ38" s="42"/>
      <c r="VUG38" s="33"/>
      <c r="VUH38" s="33"/>
      <c r="VUL38" s="41"/>
      <c r="VUR38" s="42"/>
      <c r="VUY38" s="33"/>
      <c r="VUZ38" s="33"/>
      <c r="VVD38" s="41"/>
      <c r="VVJ38" s="42"/>
      <c r="VVQ38" s="33"/>
      <c r="VVR38" s="33"/>
      <c r="VVV38" s="41"/>
      <c r="VWB38" s="42"/>
      <c r="VWI38" s="33"/>
      <c r="VWJ38" s="33"/>
      <c r="VWN38" s="41"/>
      <c r="VWT38" s="42"/>
      <c r="VXA38" s="33"/>
      <c r="VXB38" s="33"/>
      <c r="VXF38" s="41"/>
      <c r="VXL38" s="42"/>
      <c r="VXS38" s="33"/>
      <c r="VXT38" s="33"/>
      <c r="VXX38" s="41"/>
      <c r="VYD38" s="42"/>
      <c r="VYK38" s="33"/>
      <c r="VYL38" s="33"/>
      <c r="VYP38" s="41"/>
      <c r="VYV38" s="42"/>
      <c r="VZC38" s="33"/>
      <c r="VZD38" s="33"/>
      <c r="VZH38" s="41"/>
      <c r="VZN38" s="42"/>
      <c r="VZU38" s="33"/>
      <c r="VZV38" s="33"/>
      <c r="VZZ38" s="41"/>
      <c r="WAF38" s="42"/>
      <c r="WAM38" s="33"/>
      <c r="WAN38" s="33"/>
      <c r="WAR38" s="41"/>
      <c r="WAX38" s="42"/>
      <c r="WBE38" s="33"/>
      <c r="WBF38" s="33"/>
      <c r="WBJ38" s="41"/>
      <c r="WBP38" s="42"/>
      <c r="WBW38" s="33"/>
      <c r="WBX38" s="33"/>
      <c r="WCB38" s="41"/>
      <c r="WCH38" s="42"/>
      <c r="WCO38" s="33"/>
      <c r="WCP38" s="33"/>
      <c r="WCT38" s="41"/>
      <c r="WCZ38" s="42"/>
      <c r="WDG38" s="33"/>
      <c r="WDH38" s="33"/>
      <c r="WDL38" s="41"/>
      <c r="WDR38" s="42"/>
      <c r="WDY38" s="33"/>
      <c r="WDZ38" s="33"/>
      <c r="WED38" s="41"/>
      <c r="WEJ38" s="42"/>
      <c r="WEQ38" s="33"/>
      <c r="WER38" s="33"/>
      <c r="WEV38" s="41"/>
      <c r="WFB38" s="42"/>
      <c r="WFI38" s="33"/>
      <c r="WFJ38" s="33"/>
      <c r="WFN38" s="41"/>
      <c r="WFT38" s="42"/>
      <c r="WGA38" s="33"/>
      <c r="WGB38" s="33"/>
      <c r="WGF38" s="41"/>
      <c r="WGL38" s="42"/>
      <c r="WGS38" s="33"/>
      <c r="WGT38" s="33"/>
      <c r="WGX38" s="41"/>
      <c r="WHD38" s="42"/>
      <c r="WHK38" s="33"/>
      <c r="WHL38" s="33"/>
      <c r="WHP38" s="41"/>
      <c r="WHV38" s="42"/>
      <c r="WIC38" s="33"/>
      <c r="WID38" s="33"/>
      <c r="WIH38" s="41"/>
      <c r="WIN38" s="42"/>
      <c r="WIU38" s="33"/>
      <c r="WIV38" s="33"/>
      <c r="WIZ38" s="41"/>
      <c r="WJF38" s="42"/>
      <c r="WJM38" s="33"/>
      <c r="WJN38" s="33"/>
      <c r="WJR38" s="41"/>
      <c r="WJX38" s="42"/>
      <c r="WKE38" s="33"/>
      <c r="WKF38" s="33"/>
      <c r="WKJ38" s="41"/>
      <c r="WKP38" s="42"/>
      <c r="WKW38" s="33"/>
      <c r="WKX38" s="33"/>
      <c r="WLB38" s="41"/>
      <c r="WLH38" s="42"/>
      <c r="WLO38" s="33"/>
      <c r="WLP38" s="33"/>
      <c r="WLT38" s="41"/>
      <c r="WLZ38" s="42"/>
      <c r="WMG38" s="33"/>
      <c r="WMH38" s="33"/>
      <c r="WML38" s="41"/>
      <c r="WMR38" s="42"/>
      <c r="WMY38" s="33"/>
      <c r="WMZ38" s="33"/>
      <c r="WND38" s="41"/>
      <c r="WNJ38" s="42"/>
      <c r="WNQ38" s="33"/>
      <c r="WNR38" s="33"/>
      <c r="WNV38" s="41"/>
      <c r="WOB38" s="42"/>
      <c r="WOI38" s="33"/>
      <c r="WOJ38" s="33"/>
      <c r="WON38" s="41"/>
      <c r="WOT38" s="42"/>
      <c r="WPA38" s="33"/>
      <c r="WPB38" s="33"/>
      <c r="WPF38" s="41"/>
      <c r="WPL38" s="42"/>
      <c r="WPS38" s="33"/>
      <c r="WPT38" s="33"/>
      <c r="WPX38" s="41"/>
      <c r="WQD38" s="42"/>
      <c r="WQK38" s="33"/>
      <c r="WQL38" s="33"/>
      <c r="WQP38" s="41"/>
      <c r="WQV38" s="42"/>
      <c r="WRC38" s="33"/>
      <c r="WRD38" s="33"/>
      <c r="WRH38" s="41"/>
      <c r="WRN38" s="42"/>
      <c r="WRU38" s="33"/>
      <c r="WRV38" s="33"/>
      <c r="WRZ38" s="41"/>
      <c r="WSF38" s="42"/>
      <c r="WSM38" s="33"/>
      <c r="WSN38" s="33"/>
      <c r="WSR38" s="41"/>
      <c r="WSX38" s="42"/>
      <c r="WTE38" s="33"/>
      <c r="WTF38" s="33"/>
      <c r="WTJ38" s="41"/>
      <c r="WTP38" s="42"/>
      <c r="WTW38" s="33"/>
      <c r="WTX38" s="33"/>
      <c r="WUB38" s="41"/>
      <c r="WUH38" s="42"/>
      <c r="WUO38" s="33"/>
      <c r="WUP38" s="33"/>
      <c r="WUT38" s="41"/>
      <c r="WUZ38" s="42"/>
      <c r="WVG38" s="33"/>
      <c r="WVH38" s="33"/>
      <c r="WVL38" s="41"/>
      <c r="WVR38" s="42"/>
      <c r="WVY38" s="33"/>
      <c r="WVZ38" s="33"/>
      <c r="WWD38" s="41"/>
      <c r="WWJ38" s="42"/>
      <c r="WWQ38" s="33"/>
      <c r="WWR38" s="33"/>
      <c r="WWV38" s="41"/>
      <c r="WXB38" s="42"/>
      <c r="WXI38" s="33"/>
      <c r="WXJ38" s="33"/>
      <c r="WXN38" s="41"/>
      <c r="WXT38" s="42"/>
      <c r="WYA38" s="33"/>
      <c r="WYB38" s="33"/>
      <c r="WYF38" s="41"/>
      <c r="WYL38" s="42"/>
      <c r="WYS38" s="33"/>
      <c r="WYT38" s="33"/>
      <c r="WYX38" s="41"/>
      <c r="WZD38" s="42"/>
      <c r="WZK38" s="33"/>
      <c r="WZL38" s="33"/>
      <c r="WZP38" s="41"/>
      <c r="WZV38" s="42"/>
      <c r="XAC38" s="33"/>
      <c r="XAD38" s="33"/>
      <c r="XAH38" s="41"/>
      <c r="XAN38" s="42"/>
      <c r="XAU38" s="33"/>
      <c r="XAV38" s="33"/>
      <c r="XAZ38" s="41"/>
      <c r="XBF38" s="42"/>
      <c r="XBM38" s="33"/>
      <c r="XBN38" s="33"/>
      <c r="XBR38" s="41"/>
      <c r="XBX38" s="42"/>
      <c r="XCE38" s="33"/>
      <c r="XCF38" s="33"/>
      <c r="XCJ38" s="41"/>
      <c r="XCP38" s="42"/>
      <c r="XCW38" s="33"/>
      <c r="XCX38" s="33"/>
      <c r="XDB38" s="41"/>
      <c r="XDH38" s="42"/>
      <c r="XDO38" s="33"/>
      <c r="XDP38" s="33"/>
      <c r="XDT38" s="41"/>
      <c r="XDZ38" s="42"/>
      <c r="XEG38" s="33"/>
      <c r="XEH38" s="33"/>
      <c r="XEL38" s="41"/>
      <c r="XER38" s="42"/>
      <c r="XEY38" s="33"/>
      <c r="XEZ38" s="33"/>
      <c r="XFD38" s="41"/>
    </row>
    <row r="39" spans="1:1018 1025:2044 2051:3070 3077:4096 4103:5116 5122:6142 6148:7168 7174:8190 8194:9216 9220:10234 10241:11260 11267:12286 12293:13312 13319:14332 14338:15358 15364:16384" s="40" customFormat="1">
      <c r="A39" s="33" t="s">
        <v>130</v>
      </c>
      <c r="B39" s="34">
        <v>2007</v>
      </c>
      <c r="C39" s="35" t="s">
        <v>127</v>
      </c>
      <c r="D39" s="36" t="s">
        <v>86</v>
      </c>
      <c r="E39" s="37" t="s">
        <v>131</v>
      </c>
      <c r="F39" s="35" t="s">
        <v>24</v>
      </c>
      <c r="G39" s="18">
        <v>3520131.5240083509</v>
      </c>
      <c r="H39" s="38">
        <v>3732496.8684759918</v>
      </c>
      <c r="I39" s="34">
        <v>9</v>
      </c>
      <c r="J39" s="39" t="s">
        <v>132</v>
      </c>
      <c r="K39" s="36" t="s">
        <v>26</v>
      </c>
      <c r="L39" s="36"/>
      <c r="M39" s="36" t="s">
        <v>26</v>
      </c>
      <c r="N39" s="34"/>
      <c r="O39" s="36"/>
      <c r="P39" s="34"/>
      <c r="Q39" s="36"/>
      <c r="R39" s="36"/>
      <c r="V39" s="41"/>
      <c r="AB39" s="42"/>
      <c r="AI39" s="33"/>
      <c r="AJ39" s="33"/>
      <c r="AN39" s="41"/>
      <c r="AT39" s="42"/>
      <c r="BA39" s="33"/>
      <c r="BB39" s="33"/>
      <c r="BF39" s="41"/>
      <c r="BL39" s="42"/>
      <c r="BS39" s="33"/>
      <c r="BT39" s="33"/>
      <c r="BX39" s="41"/>
      <c r="CD39" s="42"/>
      <c r="CK39" s="33"/>
      <c r="CL39" s="33"/>
      <c r="CP39" s="41"/>
      <c r="CV39" s="42"/>
      <c r="DC39" s="33"/>
      <c r="DD39" s="33"/>
      <c r="DH39" s="41"/>
      <c r="DN39" s="42"/>
      <c r="DU39" s="33"/>
      <c r="DV39" s="33"/>
      <c r="DZ39" s="41"/>
      <c r="EF39" s="42"/>
      <c r="EM39" s="33"/>
      <c r="EN39" s="33"/>
      <c r="ER39" s="41"/>
      <c r="EX39" s="42"/>
      <c r="FE39" s="33"/>
      <c r="FF39" s="33"/>
      <c r="FJ39" s="41"/>
      <c r="FP39" s="42"/>
      <c r="FW39" s="33"/>
      <c r="FX39" s="33"/>
      <c r="GB39" s="41"/>
      <c r="GH39" s="42"/>
      <c r="GO39" s="33"/>
      <c r="GP39" s="33"/>
      <c r="GT39" s="41"/>
      <c r="GZ39" s="42"/>
      <c r="HG39" s="33"/>
      <c r="HH39" s="33"/>
      <c r="HL39" s="41"/>
      <c r="HR39" s="42"/>
      <c r="HY39" s="33"/>
      <c r="HZ39" s="33"/>
      <c r="ID39" s="41"/>
      <c r="IJ39" s="42"/>
      <c r="IQ39" s="33"/>
      <c r="IR39" s="33"/>
      <c r="IV39" s="41"/>
      <c r="JB39" s="42"/>
      <c r="JI39" s="33"/>
      <c r="JJ39" s="33"/>
      <c r="JN39" s="41"/>
      <c r="JT39" s="42"/>
      <c r="KA39" s="33"/>
      <c r="KB39" s="33"/>
      <c r="KF39" s="41"/>
      <c r="KL39" s="42"/>
      <c r="KS39" s="33"/>
      <c r="KT39" s="33"/>
      <c r="KX39" s="41"/>
      <c r="LD39" s="42"/>
      <c r="LK39" s="33"/>
      <c r="LL39" s="33"/>
      <c r="LP39" s="41"/>
      <c r="LV39" s="42"/>
      <c r="MC39" s="33"/>
      <c r="MD39" s="33"/>
      <c r="MH39" s="41"/>
      <c r="MN39" s="42"/>
      <c r="MU39" s="33"/>
      <c r="MV39" s="33"/>
      <c r="MZ39" s="41"/>
      <c r="NF39" s="42"/>
      <c r="NM39" s="33"/>
      <c r="NN39" s="33"/>
      <c r="NR39" s="41"/>
      <c r="NX39" s="42"/>
      <c r="OE39" s="33"/>
      <c r="OF39" s="33"/>
      <c r="OJ39" s="41"/>
      <c r="OP39" s="42"/>
      <c r="OW39" s="33"/>
      <c r="OX39" s="33"/>
      <c r="PB39" s="41"/>
      <c r="PH39" s="42"/>
      <c r="PO39" s="33"/>
      <c r="PP39" s="33"/>
      <c r="PT39" s="41"/>
      <c r="PZ39" s="42"/>
      <c r="QG39" s="33"/>
      <c r="QH39" s="33"/>
      <c r="QL39" s="41"/>
      <c r="QR39" s="42"/>
      <c r="QY39" s="33"/>
      <c r="QZ39" s="33"/>
      <c r="RD39" s="41"/>
      <c r="RJ39" s="42"/>
      <c r="RQ39" s="33"/>
      <c r="RR39" s="33"/>
      <c r="RV39" s="41"/>
      <c r="SB39" s="42"/>
      <c r="SI39" s="33"/>
      <c r="SJ39" s="33"/>
      <c r="SN39" s="41"/>
      <c r="ST39" s="42"/>
      <c r="TA39" s="33"/>
      <c r="TB39" s="33"/>
      <c r="TF39" s="41"/>
      <c r="TL39" s="42"/>
      <c r="TS39" s="33"/>
      <c r="TT39" s="33"/>
      <c r="TX39" s="41"/>
      <c r="UD39" s="42"/>
      <c r="UK39" s="33"/>
      <c r="UL39" s="33"/>
      <c r="UP39" s="41"/>
      <c r="UV39" s="42"/>
      <c r="VC39" s="33"/>
      <c r="VD39" s="33"/>
      <c r="VH39" s="41"/>
      <c r="VN39" s="42"/>
      <c r="VU39" s="33"/>
      <c r="VV39" s="33"/>
      <c r="VZ39" s="41"/>
      <c r="WF39" s="42"/>
      <c r="WM39" s="33"/>
      <c r="WN39" s="33"/>
      <c r="WR39" s="41"/>
      <c r="WX39" s="42"/>
      <c r="XE39" s="33"/>
      <c r="XF39" s="33"/>
      <c r="XJ39" s="41"/>
      <c r="XP39" s="42"/>
      <c r="XW39" s="33"/>
      <c r="XX39" s="33"/>
      <c r="YB39" s="41"/>
      <c r="YH39" s="42"/>
      <c r="YO39" s="33"/>
      <c r="YP39" s="33"/>
      <c r="YT39" s="41"/>
      <c r="YZ39" s="42"/>
      <c r="ZG39" s="33"/>
      <c r="ZH39" s="33"/>
      <c r="ZL39" s="41"/>
      <c r="ZR39" s="42"/>
      <c r="ZY39" s="33"/>
      <c r="ZZ39" s="33"/>
      <c r="AAD39" s="41"/>
      <c r="AAJ39" s="42"/>
      <c r="AAQ39" s="33"/>
      <c r="AAR39" s="33"/>
      <c r="AAV39" s="41"/>
      <c r="ABB39" s="42"/>
      <c r="ABI39" s="33"/>
      <c r="ABJ39" s="33"/>
      <c r="ABN39" s="41"/>
      <c r="ABT39" s="42"/>
      <c r="ACA39" s="33"/>
      <c r="ACB39" s="33"/>
      <c r="ACF39" s="41"/>
      <c r="ACL39" s="42"/>
      <c r="ACS39" s="33"/>
      <c r="ACT39" s="33"/>
      <c r="ACX39" s="41"/>
      <c r="ADD39" s="42"/>
      <c r="ADK39" s="33"/>
      <c r="ADL39" s="33"/>
      <c r="ADP39" s="41"/>
      <c r="ADV39" s="42"/>
      <c r="AEC39" s="33"/>
      <c r="AED39" s="33"/>
      <c r="AEH39" s="41"/>
      <c r="AEN39" s="42"/>
      <c r="AEU39" s="33"/>
      <c r="AEV39" s="33"/>
      <c r="AEZ39" s="41"/>
      <c r="AFF39" s="42"/>
      <c r="AFM39" s="33"/>
      <c r="AFN39" s="33"/>
      <c r="AFR39" s="41"/>
      <c r="AFX39" s="42"/>
      <c r="AGE39" s="33"/>
      <c r="AGF39" s="33"/>
      <c r="AGJ39" s="41"/>
      <c r="AGP39" s="42"/>
      <c r="AGW39" s="33"/>
      <c r="AGX39" s="33"/>
      <c r="AHB39" s="41"/>
      <c r="AHH39" s="42"/>
      <c r="AHO39" s="33"/>
      <c r="AHP39" s="33"/>
      <c r="AHT39" s="41"/>
      <c r="AHZ39" s="42"/>
      <c r="AIG39" s="33"/>
      <c r="AIH39" s="33"/>
      <c r="AIL39" s="41"/>
      <c r="AIR39" s="42"/>
      <c r="AIY39" s="33"/>
      <c r="AIZ39" s="33"/>
      <c r="AJD39" s="41"/>
      <c r="AJJ39" s="42"/>
      <c r="AJQ39" s="33"/>
      <c r="AJR39" s="33"/>
      <c r="AJV39" s="41"/>
      <c r="AKB39" s="42"/>
      <c r="AKI39" s="33"/>
      <c r="AKJ39" s="33"/>
      <c r="AKN39" s="41"/>
      <c r="AKT39" s="42"/>
      <c r="ALA39" s="33"/>
      <c r="ALB39" s="33"/>
      <c r="ALF39" s="41"/>
      <c r="ALL39" s="42"/>
      <c r="ALS39" s="33"/>
      <c r="ALT39" s="33"/>
      <c r="ALX39" s="41"/>
      <c r="AMD39" s="42"/>
      <c r="AMK39" s="33"/>
      <c r="AML39" s="33"/>
      <c r="AMP39" s="41"/>
      <c r="AMV39" s="42"/>
      <c r="ANC39" s="33"/>
      <c r="AND39" s="33"/>
      <c r="ANH39" s="41"/>
      <c r="ANN39" s="42"/>
      <c r="ANU39" s="33"/>
      <c r="ANV39" s="33"/>
      <c r="ANZ39" s="41"/>
      <c r="AOF39" s="42"/>
      <c r="AOM39" s="33"/>
      <c r="AON39" s="33"/>
      <c r="AOR39" s="41"/>
      <c r="AOX39" s="42"/>
      <c r="APE39" s="33"/>
      <c r="APF39" s="33"/>
      <c r="APJ39" s="41"/>
      <c r="APP39" s="42"/>
      <c r="APW39" s="33"/>
      <c r="APX39" s="33"/>
      <c r="AQB39" s="41"/>
      <c r="AQH39" s="42"/>
      <c r="AQO39" s="33"/>
      <c r="AQP39" s="33"/>
      <c r="AQT39" s="41"/>
      <c r="AQZ39" s="42"/>
      <c r="ARG39" s="33"/>
      <c r="ARH39" s="33"/>
      <c r="ARL39" s="41"/>
      <c r="ARR39" s="42"/>
      <c r="ARY39" s="33"/>
      <c r="ARZ39" s="33"/>
      <c r="ASD39" s="41"/>
      <c r="ASJ39" s="42"/>
      <c r="ASQ39" s="33"/>
      <c r="ASR39" s="33"/>
      <c r="ASV39" s="41"/>
      <c r="ATB39" s="42"/>
      <c r="ATI39" s="33"/>
      <c r="ATJ39" s="33"/>
      <c r="ATN39" s="41"/>
      <c r="ATT39" s="42"/>
      <c r="AUA39" s="33"/>
      <c r="AUB39" s="33"/>
      <c r="AUF39" s="41"/>
      <c r="AUL39" s="42"/>
      <c r="AUS39" s="33"/>
      <c r="AUT39" s="33"/>
      <c r="AUX39" s="41"/>
      <c r="AVD39" s="42"/>
      <c r="AVK39" s="33"/>
      <c r="AVL39" s="33"/>
      <c r="AVP39" s="41"/>
      <c r="AVV39" s="42"/>
      <c r="AWC39" s="33"/>
      <c r="AWD39" s="33"/>
      <c r="AWH39" s="41"/>
      <c r="AWN39" s="42"/>
      <c r="AWU39" s="33"/>
      <c r="AWV39" s="33"/>
      <c r="AWZ39" s="41"/>
      <c r="AXF39" s="42"/>
      <c r="AXM39" s="33"/>
      <c r="AXN39" s="33"/>
      <c r="AXR39" s="41"/>
      <c r="AXX39" s="42"/>
      <c r="AYE39" s="33"/>
      <c r="AYF39" s="33"/>
      <c r="AYJ39" s="41"/>
      <c r="AYP39" s="42"/>
      <c r="AYW39" s="33"/>
      <c r="AYX39" s="33"/>
      <c r="AZB39" s="41"/>
      <c r="AZH39" s="42"/>
      <c r="AZO39" s="33"/>
      <c r="AZP39" s="33"/>
      <c r="AZT39" s="41"/>
      <c r="AZZ39" s="42"/>
      <c r="BAG39" s="33"/>
      <c r="BAH39" s="33"/>
      <c r="BAL39" s="41"/>
      <c r="BAR39" s="42"/>
      <c r="BAY39" s="33"/>
      <c r="BAZ39" s="33"/>
      <c r="BBD39" s="41"/>
      <c r="BBJ39" s="42"/>
      <c r="BBQ39" s="33"/>
      <c r="BBR39" s="33"/>
      <c r="BBV39" s="41"/>
      <c r="BCB39" s="42"/>
      <c r="BCI39" s="33"/>
      <c r="BCJ39" s="33"/>
      <c r="BCN39" s="41"/>
      <c r="BCT39" s="42"/>
      <c r="BDA39" s="33"/>
      <c r="BDB39" s="33"/>
      <c r="BDF39" s="41"/>
      <c r="BDL39" s="42"/>
      <c r="BDS39" s="33"/>
      <c r="BDT39" s="33"/>
      <c r="BDX39" s="41"/>
      <c r="BED39" s="42"/>
      <c r="BEK39" s="33"/>
      <c r="BEL39" s="33"/>
      <c r="BEP39" s="41"/>
      <c r="BEV39" s="42"/>
      <c r="BFC39" s="33"/>
      <c r="BFD39" s="33"/>
      <c r="BFH39" s="41"/>
      <c r="BFN39" s="42"/>
      <c r="BFU39" s="33"/>
      <c r="BFV39" s="33"/>
      <c r="BFZ39" s="41"/>
      <c r="BGF39" s="42"/>
      <c r="BGM39" s="33"/>
      <c r="BGN39" s="33"/>
      <c r="BGR39" s="41"/>
      <c r="BGX39" s="42"/>
      <c r="BHE39" s="33"/>
      <c r="BHF39" s="33"/>
      <c r="BHJ39" s="41"/>
      <c r="BHP39" s="42"/>
      <c r="BHW39" s="33"/>
      <c r="BHX39" s="33"/>
      <c r="BIB39" s="41"/>
      <c r="BIH39" s="42"/>
      <c r="BIO39" s="33"/>
      <c r="BIP39" s="33"/>
      <c r="BIT39" s="41"/>
      <c r="BIZ39" s="42"/>
      <c r="BJG39" s="33"/>
      <c r="BJH39" s="33"/>
      <c r="BJL39" s="41"/>
      <c r="BJR39" s="42"/>
      <c r="BJY39" s="33"/>
      <c r="BJZ39" s="33"/>
      <c r="BKD39" s="41"/>
      <c r="BKJ39" s="42"/>
      <c r="BKQ39" s="33"/>
      <c r="BKR39" s="33"/>
      <c r="BKV39" s="41"/>
      <c r="BLB39" s="42"/>
      <c r="BLI39" s="33"/>
      <c r="BLJ39" s="33"/>
      <c r="BLN39" s="41"/>
      <c r="BLT39" s="42"/>
      <c r="BMA39" s="33"/>
      <c r="BMB39" s="33"/>
      <c r="BMF39" s="41"/>
      <c r="BML39" s="42"/>
      <c r="BMS39" s="33"/>
      <c r="BMT39" s="33"/>
      <c r="BMX39" s="41"/>
      <c r="BND39" s="42"/>
      <c r="BNK39" s="33"/>
      <c r="BNL39" s="33"/>
      <c r="BNP39" s="41"/>
      <c r="BNV39" s="42"/>
      <c r="BOC39" s="33"/>
      <c r="BOD39" s="33"/>
      <c r="BOH39" s="41"/>
      <c r="BON39" s="42"/>
      <c r="BOU39" s="33"/>
      <c r="BOV39" s="33"/>
      <c r="BOZ39" s="41"/>
      <c r="BPF39" s="42"/>
      <c r="BPM39" s="33"/>
      <c r="BPN39" s="33"/>
      <c r="BPR39" s="41"/>
      <c r="BPX39" s="42"/>
      <c r="BQE39" s="33"/>
      <c r="BQF39" s="33"/>
      <c r="BQJ39" s="41"/>
      <c r="BQP39" s="42"/>
      <c r="BQW39" s="33"/>
      <c r="BQX39" s="33"/>
      <c r="BRB39" s="41"/>
      <c r="BRH39" s="42"/>
      <c r="BRO39" s="33"/>
      <c r="BRP39" s="33"/>
      <c r="BRT39" s="41"/>
      <c r="BRZ39" s="42"/>
      <c r="BSG39" s="33"/>
      <c r="BSH39" s="33"/>
      <c r="BSL39" s="41"/>
      <c r="BSR39" s="42"/>
      <c r="BSY39" s="33"/>
      <c r="BSZ39" s="33"/>
      <c r="BTD39" s="41"/>
      <c r="BTJ39" s="42"/>
      <c r="BTQ39" s="33"/>
      <c r="BTR39" s="33"/>
      <c r="BTV39" s="41"/>
      <c r="BUB39" s="42"/>
      <c r="BUI39" s="33"/>
      <c r="BUJ39" s="33"/>
      <c r="BUN39" s="41"/>
      <c r="BUT39" s="42"/>
      <c r="BVA39" s="33"/>
      <c r="BVB39" s="33"/>
      <c r="BVF39" s="41"/>
      <c r="BVL39" s="42"/>
      <c r="BVS39" s="33"/>
      <c r="BVT39" s="33"/>
      <c r="BVX39" s="41"/>
      <c r="BWD39" s="42"/>
      <c r="BWK39" s="33"/>
      <c r="BWL39" s="33"/>
      <c r="BWP39" s="41"/>
      <c r="BWV39" s="42"/>
      <c r="BXC39" s="33"/>
      <c r="BXD39" s="33"/>
      <c r="BXH39" s="41"/>
      <c r="BXN39" s="42"/>
      <c r="BXU39" s="33"/>
      <c r="BXV39" s="33"/>
      <c r="BXZ39" s="41"/>
      <c r="BYF39" s="42"/>
      <c r="BYM39" s="33"/>
      <c r="BYN39" s="33"/>
      <c r="BYR39" s="41"/>
      <c r="BYX39" s="42"/>
      <c r="BZE39" s="33"/>
      <c r="BZF39" s="33"/>
      <c r="BZJ39" s="41"/>
      <c r="BZP39" s="42"/>
      <c r="BZW39" s="33"/>
      <c r="BZX39" s="33"/>
      <c r="CAB39" s="41"/>
      <c r="CAH39" s="42"/>
      <c r="CAO39" s="33"/>
      <c r="CAP39" s="33"/>
      <c r="CAT39" s="41"/>
      <c r="CAZ39" s="42"/>
      <c r="CBG39" s="33"/>
      <c r="CBH39" s="33"/>
      <c r="CBL39" s="41"/>
      <c r="CBR39" s="42"/>
      <c r="CBY39" s="33"/>
      <c r="CBZ39" s="33"/>
      <c r="CCD39" s="41"/>
      <c r="CCJ39" s="42"/>
      <c r="CCQ39" s="33"/>
      <c r="CCR39" s="33"/>
      <c r="CCV39" s="41"/>
      <c r="CDB39" s="42"/>
      <c r="CDI39" s="33"/>
      <c r="CDJ39" s="33"/>
      <c r="CDN39" s="41"/>
      <c r="CDT39" s="42"/>
      <c r="CEA39" s="33"/>
      <c r="CEB39" s="33"/>
      <c r="CEF39" s="41"/>
      <c r="CEL39" s="42"/>
      <c r="CES39" s="33"/>
      <c r="CET39" s="33"/>
      <c r="CEX39" s="41"/>
      <c r="CFD39" s="42"/>
      <c r="CFK39" s="33"/>
      <c r="CFL39" s="33"/>
      <c r="CFP39" s="41"/>
      <c r="CFV39" s="42"/>
      <c r="CGC39" s="33"/>
      <c r="CGD39" s="33"/>
      <c r="CGH39" s="41"/>
      <c r="CGN39" s="42"/>
      <c r="CGU39" s="33"/>
      <c r="CGV39" s="33"/>
      <c r="CGZ39" s="41"/>
      <c r="CHF39" s="42"/>
      <c r="CHM39" s="33"/>
      <c r="CHN39" s="33"/>
      <c r="CHR39" s="41"/>
      <c r="CHX39" s="42"/>
      <c r="CIE39" s="33"/>
      <c r="CIF39" s="33"/>
      <c r="CIJ39" s="41"/>
      <c r="CIP39" s="42"/>
      <c r="CIW39" s="33"/>
      <c r="CIX39" s="33"/>
      <c r="CJB39" s="41"/>
      <c r="CJH39" s="42"/>
      <c r="CJO39" s="33"/>
      <c r="CJP39" s="33"/>
      <c r="CJT39" s="41"/>
      <c r="CJZ39" s="42"/>
      <c r="CKG39" s="33"/>
      <c r="CKH39" s="33"/>
      <c r="CKL39" s="41"/>
      <c r="CKR39" s="42"/>
      <c r="CKY39" s="33"/>
      <c r="CKZ39" s="33"/>
      <c r="CLD39" s="41"/>
      <c r="CLJ39" s="42"/>
      <c r="CLQ39" s="33"/>
      <c r="CLR39" s="33"/>
      <c r="CLV39" s="41"/>
      <c r="CMB39" s="42"/>
      <c r="CMI39" s="33"/>
      <c r="CMJ39" s="33"/>
      <c r="CMN39" s="41"/>
      <c r="CMT39" s="42"/>
      <c r="CNA39" s="33"/>
      <c r="CNB39" s="33"/>
      <c r="CNF39" s="41"/>
      <c r="CNL39" s="42"/>
      <c r="CNS39" s="33"/>
      <c r="CNT39" s="33"/>
      <c r="CNX39" s="41"/>
      <c r="COD39" s="42"/>
      <c r="COK39" s="33"/>
      <c r="COL39" s="33"/>
      <c r="COP39" s="41"/>
      <c r="COV39" s="42"/>
      <c r="CPC39" s="33"/>
      <c r="CPD39" s="33"/>
      <c r="CPH39" s="41"/>
      <c r="CPN39" s="42"/>
      <c r="CPU39" s="33"/>
      <c r="CPV39" s="33"/>
      <c r="CPZ39" s="41"/>
      <c r="CQF39" s="42"/>
      <c r="CQM39" s="33"/>
      <c r="CQN39" s="33"/>
      <c r="CQR39" s="41"/>
      <c r="CQX39" s="42"/>
      <c r="CRE39" s="33"/>
      <c r="CRF39" s="33"/>
      <c r="CRJ39" s="41"/>
      <c r="CRP39" s="42"/>
      <c r="CRW39" s="33"/>
      <c r="CRX39" s="33"/>
      <c r="CSB39" s="41"/>
      <c r="CSH39" s="42"/>
      <c r="CSO39" s="33"/>
      <c r="CSP39" s="33"/>
      <c r="CST39" s="41"/>
      <c r="CSZ39" s="42"/>
      <c r="CTG39" s="33"/>
      <c r="CTH39" s="33"/>
      <c r="CTL39" s="41"/>
      <c r="CTR39" s="42"/>
      <c r="CTY39" s="33"/>
      <c r="CTZ39" s="33"/>
      <c r="CUD39" s="41"/>
      <c r="CUJ39" s="42"/>
      <c r="CUQ39" s="33"/>
      <c r="CUR39" s="33"/>
      <c r="CUV39" s="41"/>
      <c r="CVB39" s="42"/>
      <c r="CVI39" s="33"/>
      <c r="CVJ39" s="33"/>
      <c r="CVN39" s="41"/>
      <c r="CVT39" s="42"/>
      <c r="CWA39" s="33"/>
      <c r="CWB39" s="33"/>
      <c r="CWF39" s="41"/>
      <c r="CWL39" s="42"/>
      <c r="CWS39" s="33"/>
      <c r="CWT39" s="33"/>
      <c r="CWX39" s="41"/>
      <c r="CXD39" s="42"/>
      <c r="CXK39" s="33"/>
      <c r="CXL39" s="33"/>
      <c r="CXP39" s="41"/>
      <c r="CXV39" s="42"/>
      <c r="CYC39" s="33"/>
      <c r="CYD39" s="33"/>
      <c r="CYH39" s="41"/>
      <c r="CYN39" s="42"/>
      <c r="CYU39" s="33"/>
      <c r="CYV39" s="33"/>
      <c r="CYZ39" s="41"/>
      <c r="CZF39" s="42"/>
      <c r="CZM39" s="33"/>
      <c r="CZN39" s="33"/>
      <c r="CZR39" s="41"/>
      <c r="CZX39" s="42"/>
      <c r="DAE39" s="33"/>
      <c r="DAF39" s="33"/>
      <c r="DAJ39" s="41"/>
      <c r="DAP39" s="42"/>
      <c r="DAW39" s="33"/>
      <c r="DAX39" s="33"/>
      <c r="DBB39" s="41"/>
      <c r="DBH39" s="42"/>
      <c r="DBO39" s="33"/>
      <c r="DBP39" s="33"/>
      <c r="DBT39" s="41"/>
      <c r="DBZ39" s="42"/>
      <c r="DCG39" s="33"/>
      <c r="DCH39" s="33"/>
      <c r="DCL39" s="41"/>
      <c r="DCR39" s="42"/>
      <c r="DCY39" s="33"/>
      <c r="DCZ39" s="33"/>
      <c r="DDD39" s="41"/>
      <c r="DDJ39" s="42"/>
      <c r="DDQ39" s="33"/>
      <c r="DDR39" s="33"/>
      <c r="DDV39" s="41"/>
      <c r="DEB39" s="42"/>
      <c r="DEI39" s="33"/>
      <c r="DEJ39" s="33"/>
      <c r="DEN39" s="41"/>
      <c r="DET39" s="42"/>
      <c r="DFA39" s="33"/>
      <c r="DFB39" s="33"/>
      <c r="DFF39" s="41"/>
      <c r="DFL39" s="42"/>
      <c r="DFS39" s="33"/>
      <c r="DFT39" s="33"/>
      <c r="DFX39" s="41"/>
      <c r="DGD39" s="42"/>
      <c r="DGK39" s="33"/>
      <c r="DGL39" s="33"/>
      <c r="DGP39" s="41"/>
      <c r="DGV39" s="42"/>
      <c r="DHC39" s="33"/>
      <c r="DHD39" s="33"/>
      <c r="DHH39" s="41"/>
      <c r="DHN39" s="42"/>
      <c r="DHU39" s="33"/>
      <c r="DHV39" s="33"/>
      <c r="DHZ39" s="41"/>
      <c r="DIF39" s="42"/>
      <c r="DIM39" s="33"/>
      <c r="DIN39" s="33"/>
      <c r="DIR39" s="41"/>
      <c r="DIX39" s="42"/>
      <c r="DJE39" s="33"/>
      <c r="DJF39" s="33"/>
      <c r="DJJ39" s="41"/>
      <c r="DJP39" s="42"/>
      <c r="DJW39" s="33"/>
      <c r="DJX39" s="33"/>
      <c r="DKB39" s="41"/>
      <c r="DKH39" s="42"/>
      <c r="DKO39" s="33"/>
      <c r="DKP39" s="33"/>
      <c r="DKT39" s="41"/>
      <c r="DKZ39" s="42"/>
      <c r="DLG39" s="33"/>
      <c r="DLH39" s="33"/>
      <c r="DLL39" s="41"/>
      <c r="DLR39" s="42"/>
      <c r="DLY39" s="33"/>
      <c r="DLZ39" s="33"/>
      <c r="DMD39" s="41"/>
      <c r="DMJ39" s="42"/>
      <c r="DMQ39" s="33"/>
      <c r="DMR39" s="33"/>
      <c r="DMV39" s="41"/>
      <c r="DNB39" s="42"/>
      <c r="DNI39" s="33"/>
      <c r="DNJ39" s="33"/>
      <c r="DNN39" s="41"/>
      <c r="DNT39" s="42"/>
      <c r="DOA39" s="33"/>
      <c r="DOB39" s="33"/>
      <c r="DOF39" s="41"/>
      <c r="DOL39" s="42"/>
      <c r="DOS39" s="33"/>
      <c r="DOT39" s="33"/>
      <c r="DOX39" s="41"/>
      <c r="DPD39" s="42"/>
      <c r="DPK39" s="33"/>
      <c r="DPL39" s="33"/>
      <c r="DPP39" s="41"/>
      <c r="DPV39" s="42"/>
      <c r="DQC39" s="33"/>
      <c r="DQD39" s="33"/>
      <c r="DQH39" s="41"/>
      <c r="DQN39" s="42"/>
      <c r="DQU39" s="33"/>
      <c r="DQV39" s="33"/>
      <c r="DQZ39" s="41"/>
      <c r="DRF39" s="42"/>
      <c r="DRM39" s="33"/>
      <c r="DRN39" s="33"/>
      <c r="DRR39" s="41"/>
      <c r="DRX39" s="42"/>
      <c r="DSE39" s="33"/>
      <c r="DSF39" s="33"/>
      <c r="DSJ39" s="41"/>
      <c r="DSP39" s="42"/>
      <c r="DSW39" s="33"/>
      <c r="DSX39" s="33"/>
      <c r="DTB39" s="41"/>
      <c r="DTH39" s="42"/>
      <c r="DTO39" s="33"/>
      <c r="DTP39" s="33"/>
      <c r="DTT39" s="41"/>
      <c r="DTZ39" s="42"/>
      <c r="DUG39" s="33"/>
      <c r="DUH39" s="33"/>
      <c r="DUL39" s="41"/>
      <c r="DUR39" s="42"/>
      <c r="DUY39" s="33"/>
      <c r="DUZ39" s="33"/>
      <c r="DVD39" s="41"/>
      <c r="DVJ39" s="42"/>
      <c r="DVQ39" s="33"/>
      <c r="DVR39" s="33"/>
      <c r="DVV39" s="41"/>
      <c r="DWB39" s="42"/>
      <c r="DWI39" s="33"/>
      <c r="DWJ39" s="33"/>
      <c r="DWN39" s="41"/>
      <c r="DWT39" s="42"/>
      <c r="DXA39" s="33"/>
      <c r="DXB39" s="33"/>
      <c r="DXF39" s="41"/>
      <c r="DXL39" s="42"/>
      <c r="DXS39" s="33"/>
      <c r="DXT39" s="33"/>
      <c r="DXX39" s="41"/>
      <c r="DYD39" s="42"/>
      <c r="DYK39" s="33"/>
      <c r="DYL39" s="33"/>
      <c r="DYP39" s="41"/>
      <c r="DYV39" s="42"/>
      <c r="DZC39" s="33"/>
      <c r="DZD39" s="33"/>
      <c r="DZH39" s="41"/>
      <c r="DZN39" s="42"/>
      <c r="DZU39" s="33"/>
      <c r="DZV39" s="33"/>
      <c r="DZZ39" s="41"/>
      <c r="EAF39" s="42"/>
      <c r="EAM39" s="33"/>
      <c r="EAN39" s="33"/>
      <c r="EAR39" s="41"/>
      <c r="EAX39" s="42"/>
      <c r="EBE39" s="33"/>
      <c r="EBF39" s="33"/>
      <c r="EBJ39" s="41"/>
      <c r="EBP39" s="42"/>
      <c r="EBW39" s="33"/>
      <c r="EBX39" s="33"/>
      <c r="ECB39" s="41"/>
      <c r="ECH39" s="42"/>
      <c r="ECO39" s="33"/>
      <c r="ECP39" s="33"/>
      <c r="ECT39" s="41"/>
      <c r="ECZ39" s="42"/>
      <c r="EDG39" s="33"/>
      <c r="EDH39" s="33"/>
      <c r="EDL39" s="41"/>
      <c r="EDR39" s="42"/>
      <c r="EDY39" s="33"/>
      <c r="EDZ39" s="33"/>
      <c r="EED39" s="41"/>
      <c r="EEJ39" s="42"/>
      <c r="EEQ39" s="33"/>
      <c r="EER39" s="33"/>
      <c r="EEV39" s="41"/>
      <c r="EFB39" s="42"/>
      <c r="EFI39" s="33"/>
      <c r="EFJ39" s="33"/>
      <c r="EFN39" s="41"/>
      <c r="EFT39" s="42"/>
      <c r="EGA39" s="33"/>
      <c r="EGB39" s="33"/>
      <c r="EGF39" s="41"/>
      <c r="EGL39" s="42"/>
      <c r="EGS39" s="33"/>
      <c r="EGT39" s="33"/>
      <c r="EGX39" s="41"/>
      <c r="EHD39" s="42"/>
      <c r="EHK39" s="33"/>
      <c r="EHL39" s="33"/>
      <c r="EHP39" s="41"/>
      <c r="EHV39" s="42"/>
      <c r="EIC39" s="33"/>
      <c r="EID39" s="33"/>
      <c r="EIH39" s="41"/>
      <c r="EIN39" s="42"/>
      <c r="EIU39" s="33"/>
      <c r="EIV39" s="33"/>
      <c r="EIZ39" s="41"/>
      <c r="EJF39" s="42"/>
      <c r="EJM39" s="33"/>
      <c r="EJN39" s="33"/>
      <c r="EJR39" s="41"/>
      <c r="EJX39" s="42"/>
      <c r="EKE39" s="33"/>
      <c r="EKF39" s="33"/>
      <c r="EKJ39" s="41"/>
      <c r="EKP39" s="42"/>
      <c r="EKW39" s="33"/>
      <c r="EKX39" s="33"/>
      <c r="ELB39" s="41"/>
      <c r="ELH39" s="42"/>
      <c r="ELO39" s="33"/>
      <c r="ELP39" s="33"/>
      <c r="ELT39" s="41"/>
      <c r="ELZ39" s="42"/>
      <c r="EMG39" s="33"/>
      <c r="EMH39" s="33"/>
      <c r="EML39" s="41"/>
      <c r="EMR39" s="42"/>
      <c r="EMY39" s="33"/>
      <c r="EMZ39" s="33"/>
      <c r="END39" s="41"/>
      <c r="ENJ39" s="42"/>
      <c r="ENQ39" s="33"/>
      <c r="ENR39" s="33"/>
      <c r="ENV39" s="41"/>
      <c r="EOB39" s="42"/>
      <c r="EOI39" s="33"/>
      <c r="EOJ39" s="33"/>
      <c r="EON39" s="41"/>
      <c r="EOT39" s="42"/>
      <c r="EPA39" s="33"/>
      <c r="EPB39" s="33"/>
      <c r="EPF39" s="41"/>
      <c r="EPL39" s="42"/>
      <c r="EPS39" s="33"/>
      <c r="EPT39" s="33"/>
      <c r="EPX39" s="41"/>
      <c r="EQD39" s="42"/>
      <c r="EQK39" s="33"/>
      <c r="EQL39" s="33"/>
      <c r="EQP39" s="41"/>
      <c r="EQV39" s="42"/>
      <c r="ERC39" s="33"/>
      <c r="ERD39" s="33"/>
      <c r="ERH39" s="41"/>
      <c r="ERN39" s="42"/>
      <c r="ERU39" s="33"/>
      <c r="ERV39" s="33"/>
      <c r="ERZ39" s="41"/>
      <c r="ESF39" s="42"/>
      <c r="ESM39" s="33"/>
      <c r="ESN39" s="33"/>
      <c r="ESR39" s="41"/>
      <c r="ESX39" s="42"/>
      <c r="ETE39" s="33"/>
      <c r="ETF39" s="33"/>
      <c r="ETJ39" s="41"/>
      <c r="ETP39" s="42"/>
      <c r="ETW39" s="33"/>
      <c r="ETX39" s="33"/>
      <c r="EUB39" s="41"/>
      <c r="EUH39" s="42"/>
      <c r="EUO39" s="33"/>
      <c r="EUP39" s="33"/>
      <c r="EUT39" s="41"/>
      <c r="EUZ39" s="42"/>
      <c r="EVG39" s="33"/>
      <c r="EVH39" s="33"/>
      <c r="EVL39" s="41"/>
      <c r="EVR39" s="42"/>
      <c r="EVY39" s="33"/>
      <c r="EVZ39" s="33"/>
      <c r="EWD39" s="41"/>
      <c r="EWJ39" s="42"/>
      <c r="EWQ39" s="33"/>
      <c r="EWR39" s="33"/>
      <c r="EWV39" s="41"/>
      <c r="EXB39" s="42"/>
      <c r="EXI39" s="33"/>
      <c r="EXJ39" s="33"/>
      <c r="EXN39" s="41"/>
      <c r="EXT39" s="42"/>
      <c r="EYA39" s="33"/>
      <c r="EYB39" s="33"/>
      <c r="EYF39" s="41"/>
      <c r="EYL39" s="42"/>
      <c r="EYS39" s="33"/>
      <c r="EYT39" s="33"/>
      <c r="EYX39" s="41"/>
      <c r="EZD39" s="42"/>
      <c r="EZK39" s="33"/>
      <c r="EZL39" s="33"/>
      <c r="EZP39" s="41"/>
      <c r="EZV39" s="42"/>
      <c r="FAC39" s="33"/>
      <c r="FAD39" s="33"/>
      <c r="FAH39" s="41"/>
      <c r="FAN39" s="42"/>
      <c r="FAU39" s="33"/>
      <c r="FAV39" s="33"/>
      <c r="FAZ39" s="41"/>
      <c r="FBF39" s="42"/>
      <c r="FBM39" s="33"/>
      <c r="FBN39" s="33"/>
      <c r="FBR39" s="41"/>
      <c r="FBX39" s="42"/>
      <c r="FCE39" s="33"/>
      <c r="FCF39" s="33"/>
      <c r="FCJ39" s="41"/>
      <c r="FCP39" s="42"/>
      <c r="FCW39" s="33"/>
      <c r="FCX39" s="33"/>
      <c r="FDB39" s="41"/>
      <c r="FDH39" s="42"/>
      <c r="FDO39" s="33"/>
      <c r="FDP39" s="33"/>
      <c r="FDT39" s="41"/>
      <c r="FDZ39" s="42"/>
      <c r="FEG39" s="33"/>
      <c r="FEH39" s="33"/>
      <c r="FEL39" s="41"/>
      <c r="FER39" s="42"/>
      <c r="FEY39" s="33"/>
      <c r="FEZ39" s="33"/>
      <c r="FFD39" s="41"/>
      <c r="FFJ39" s="42"/>
      <c r="FFQ39" s="33"/>
      <c r="FFR39" s="33"/>
      <c r="FFV39" s="41"/>
      <c r="FGB39" s="42"/>
      <c r="FGI39" s="33"/>
      <c r="FGJ39" s="33"/>
      <c r="FGN39" s="41"/>
      <c r="FGT39" s="42"/>
      <c r="FHA39" s="33"/>
      <c r="FHB39" s="33"/>
      <c r="FHF39" s="41"/>
      <c r="FHL39" s="42"/>
      <c r="FHS39" s="33"/>
      <c r="FHT39" s="33"/>
      <c r="FHX39" s="41"/>
      <c r="FID39" s="42"/>
      <c r="FIK39" s="33"/>
      <c r="FIL39" s="33"/>
      <c r="FIP39" s="41"/>
      <c r="FIV39" s="42"/>
      <c r="FJC39" s="33"/>
      <c r="FJD39" s="33"/>
      <c r="FJH39" s="41"/>
      <c r="FJN39" s="42"/>
      <c r="FJU39" s="33"/>
      <c r="FJV39" s="33"/>
      <c r="FJZ39" s="41"/>
      <c r="FKF39" s="42"/>
      <c r="FKM39" s="33"/>
      <c r="FKN39" s="33"/>
      <c r="FKR39" s="41"/>
      <c r="FKX39" s="42"/>
      <c r="FLE39" s="33"/>
      <c r="FLF39" s="33"/>
      <c r="FLJ39" s="41"/>
      <c r="FLP39" s="42"/>
      <c r="FLW39" s="33"/>
      <c r="FLX39" s="33"/>
      <c r="FMB39" s="41"/>
      <c r="FMH39" s="42"/>
      <c r="FMO39" s="33"/>
      <c r="FMP39" s="33"/>
      <c r="FMT39" s="41"/>
      <c r="FMZ39" s="42"/>
      <c r="FNG39" s="33"/>
      <c r="FNH39" s="33"/>
      <c r="FNL39" s="41"/>
      <c r="FNR39" s="42"/>
      <c r="FNY39" s="33"/>
      <c r="FNZ39" s="33"/>
      <c r="FOD39" s="41"/>
      <c r="FOJ39" s="42"/>
      <c r="FOQ39" s="33"/>
      <c r="FOR39" s="33"/>
      <c r="FOV39" s="41"/>
      <c r="FPB39" s="42"/>
      <c r="FPI39" s="33"/>
      <c r="FPJ39" s="33"/>
      <c r="FPN39" s="41"/>
      <c r="FPT39" s="42"/>
      <c r="FQA39" s="33"/>
      <c r="FQB39" s="33"/>
      <c r="FQF39" s="41"/>
      <c r="FQL39" s="42"/>
      <c r="FQS39" s="33"/>
      <c r="FQT39" s="33"/>
      <c r="FQX39" s="41"/>
      <c r="FRD39" s="42"/>
      <c r="FRK39" s="33"/>
      <c r="FRL39" s="33"/>
      <c r="FRP39" s="41"/>
      <c r="FRV39" s="42"/>
      <c r="FSC39" s="33"/>
      <c r="FSD39" s="33"/>
      <c r="FSH39" s="41"/>
      <c r="FSN39" s="42"/>
      <c r="FSU39" s="33"/>
      <c r="FSV39" s="33"/>
      <c r="FSZ39" s="41"/>
      <c r="FTF39" s="42"/>
      <c r="FTM39" s="33"/>
      <c r="FTN39" s="33"/>
      <c r="FTR39" s="41"/>
      <c r="FTX39" s="42"/>
      <c r="FUE39" s="33"/>
      <c r="FUF39" s="33"/>
      <c r="FUJ39" s="41"/>
      <c r="FUP39" s="42"/>
      <c r="FUW39" s="33"/>
      <c r="FUX39" s="33"/>
      <c r="FVB39" s="41"/>
      <c r="FVH39" s="42"/>
      <c r="FVO39" s="33"/>
      <c r="FVP39" s="33"/>
      <c r="FVT39" s="41"/>
      <c r="FVZ39" s="42"/>
      <c r="FWG39" s="33"/>
      <c r="FWH39" s="33"/>
      <c r="FWL39" s="41"/>
      <c r="FWR39" s="42"/>
      <c r="FWY39" s="33"/>
      <c r="FWZ39" s="33"/>
      <c r="FXD39" s="41"/>
      <c r="FXJ39" s="42"/>
      <c r="FXQ39" s="33"/>
      <c r="FXR39" s="33"/>
      <c r="FXV39" s="41"/>
      <c r="FYB39" s="42"/>
      <c r="FYI39" s="33"/>
      <c r="FYJ39" s="33"/>
      <c r="FYN39" s="41"/>
      <c r="FYT39" s="42"/>
      <c r="FZA39" s="33"/>
      <c r="FZB39" s="33"/>
      <c r="FZF39" s="41"/>
      <c r="FZL39" s="42"/>
      <c r="FZS39" s="33"/>
      <c r="FZT39" s="33"/>
      <c r="FZX39" s="41"/>
      <c r="GAD39" s="42"/>
      <c r="GAK39" s="33"/>
      <c r="GAL39" s="33"/>
      <c r="GAP39" s="41"/>
      <c r="GAV39" s="42"/>
      <c r="GBC39" s="33"/>
      <c r="GBD39" s="33"/>
      <c r="GBH39" s="41"/>
      <c r="GBN39" s="42"/>
      <c r="GBU39" s="33"/>
      <c r="GBV39" s="33"/>
      <c r="GBZ39" s="41"/>
      <c r="GCF39" s="42"/>
      <c r="GCM39" s="33"/>
      <c r="GCN39" s="33"/>
      <c r="GCR39" s="41"/>
      <c r="GCX39" s="42"/>
      <c r="GDE39" s="33"/>
      <c r="GDF39" s="33"/>
      <c r="GDJ39" s="41"/>
      <c r="GDP39" s="42"/>
      <c r="GDW39" s="33"/>
      <c r="GDX39" s="33"/>
      <c r="GEB39" s="41"/>
      <c r="GEH39" s="42"/>
      <c r="GEO39" s="33"/>
      <c r="GEP39" s="33"/>
      <c r="GET39" s="41"/>
      <c r="GEZ39" s="42"/>
      <c r="GFG39" s="33"/>
      <c r="GFH39" s="33"/>
      <c r="GFL39" s="41"/>
      <c r="GFR39" s="42"/>
      <c r="GFY39" s="33"/>
      <c r="GFZ39" s="33"/>
      <c r="GGD39" s="41"/>
      <c r="GGJ39" s="42"/>
      <c r="GGQ39" s="33"/>
      <c r="GGR39" s="33"/>
      <c r="GGV39" s="41"/>
      <c r="GHB39" s="42"/>
      <c r="GHI39" s="33"/>
      <c r="GHJ39" s="33"/>
      <c r="GHN39" s="41"/>
      <c r="GHT39" s="42"/>
      <c r="GIA39" s="33"/>
      <c r="GIB39" s="33"/>
      <c r="GIF39" s="41"/>
      <c r="GIL39" s="42"/>
      <c r="GIS39" s="33"/>
      <c r="GIT39" s="33"/>
      <c r="GIX39" s="41"/>
      <c r="GJD39" s="42"/>
      <c r="GJK39" s="33"/>
      <c r="GJL39" s="33"/>
      <c r="GJP39" s="41"/>
      <c r="GJV39" s="42"/>
      <c r="GKC39" s="33"/>
      <c r="GKD39" s="33"/>
      <c r="GKH39" s="41"/>
      <c r="GKN39" s="42"/>
      <c r="GKU39" s="33"/>
      <c r="GKV39" s="33"/>
      <c r="GKZ39" s="41"/>
      <c r="GLF39" s="42"/>
      <c r="GLM39" s="33"/>
      <c r="GLN39" s="33"/>
      <c r="GLR39" s="41"/>
      <c r="GLX39" s="42"/>
      <c r="GME39" s="33"/>
      <c r="GMF39" s="33"/>
      <c r="GMJ39" s="41"/>
      <c r="GMP39" s="42"/>
      <c r="GMW39" s="33"/>
      <c r="GMX39" s="33"/>
      <c r="GNB39" s="41"/>
      <c r="GNH39" s="42"/>
      <c r="GNO39" s="33"/>
      <c r="GNP39" s="33"/>
      <c r="GNT39" s="41"/>
      <c r="GNZ39" s="42"/>
      <c r="GOG39" s="33"/>
      <c r="GOH39" s="33"/>
      <c r="GOL39" s="41"/>
      <c r="GOR39" s="42"/>
      <c r="GOY39" s="33"/>
      <c r="GOZ39" s="33"/>
      <c r="GPD39" s="41"/>
      <c r="GPJ39" s="42"/>
      <c r="GPQ39" s="33"/>
      <c r="GPR39" s="33"/>
      <c r="GPV39" s="41"/>
      <c r="GQB39" s="42"/>
      <c r="GQI39" s="33"/>
      <c r="GQJ39" s="33"/>
      <c r="GQN39" s="41"/>
      <c r="GQT39" s="42"/>
      <c r="GRA39" s="33"/>
      <c r="GRB39" s="33"/>
      <c r="GRF39" s="41"/>
      <c r="GRL39" s="42"/>
      <c r="GRS39" s="33"/>
      <c r="GRT39" s="33"/>
      <c r="GRX39" s="41"/>
      <c r="GSD39" s="42"/>
      <c r="GSK39" s="33"/>
      <c r="GSL39" s="33"/>
      <c r="GSP39" s="41"/>
      <c r="GSV39" s="42"/>
      <c r="GTC39" s="33"/>
      <c r="GTD39" s="33"/>
      <c r="GTH39" s="41"/>
      <c r="GTN39" s="42"/>
      <c r="GTU39" s="33"/>
      <c r="GTV39" s="33"/>
      <c r="GTZ39" s="41"/>
      <c r="GUF39" s="42"/>
      <c r="GUM39" s="33"/>
      <c r="GUN39" s="33"/>
      <c r="GUR39" s="41"/>
      <c r="GUX39" s="42"/>
      <c r="GVE39" s="33"/>
      <c r="GVF39" s="33"/>
      <c r="GVJ39" s="41"/>
      <c r="GVP39" s="42"/>
      <c r="GVW39" s="33"/>
      <c r="GVX39" s="33"/>
      <c r="GWB39" s="41"/>
      <c r="GWH39" s="42"/>
      <c r="GWO39" s="33"/>
      <c r="GWP39" s="33"/>
      <c r="GWT39" s="41"/>
      <c r="GWZ39" s="42"/>
      <c r="GXG39" s="33"/>
      <c r="GXH39" s="33"/>
      <c r="GXL39" s="41"/>
      <c r="GXR39" s="42"/>
      <c r="GXY39" s="33"/>
      <c r="GXZ39" s="33"/>
      <c r="GYD39" s="41"/>
      <c r="GYJ39" s="42"/>
      <c r="GYQ39" s="33"/>
      <c r="GYR39" s="33"/>
      <c r="GYV39" s="41"/>
      <c r="GZB39" s="42"/>
      <c r="GZI39" s="33"/>
      <c r="GZJ39" s="33"/>
      <c r="GZN39" s="41"/>
      <c r="GZT39" s="42"/>
      <c r="HAA39" s="33"/>
      <c r="HAB39" s="33"/>
      <c r="HAF39" s="41"/>
      <c r="HAL39" s="42"/>
      <c r="HAS39" s="33"/>
      <c r="HAT39" s="33"/>
      <c r="HAX39" s="41"/>
      <c r="HBD39" s="42"/>
      <c r="HBK39" s="33"/>
      <c r="HBL39" s="33"/>
      <c r="HBP39" s="41"/>
      <c r="HBV39" s="42"/>
      <c r="HCC39" s="33"/>
      <c r="HCD39" s="33"/>
      <c r="HCH39" s="41"/>
      <c r="HCN39" s="42"/>
      <c r="HCU39" s="33"/>
      <c r="HCV39" s="33"/>
      <c r="HCZ39" s="41"/>
      <c r="HDF39" s="42"/>
      <c r="HDM39" s="33"/>
      <c r="HDN39" s="33"/>
      <c r="HDR39" s="41"/>
      <c r="HDX39" s="42"/>
      <c r="HEE39" s="33"/>
      <c r="HEF39" s="33"/>
      <c r="HEJ39" s="41"/>
      <c r="HEP39" s="42"/>
      <c r="HEW39" s="33"/>
      <c r="HEX39" s="33"/>
      <c r="HFB39" s="41"/>
      <c r="HFH39" s="42"/>
      <c r="HFO39" s="33"/>
      <c r="HFP39" s="33"/>
      <c r="HFT39" s="41"/>
      <c r="HFZ39" s="42"/>
      <c r="HGG39" s="33"/>
      <c r="HGH39" s="33"/>
      <c r="HGL39" s="41"/>
      <c r="HGR39" s="42"/>
      <c r="HGY39" s="33"/>
      <c r="HGZ39" s="33"/>
      <c r="HHD39" s="41"/>
      <c r="HHJ39" s="42"/>
      <c r="HHQ39" s="33"/>
      <c r="HHR39" s="33"/>
      <c r="HHV39" s="41"/>
      <c r="HIB39" s="42"/>
      <c r="HII39" s="33"/>
      <c r="HIJ39" s="33"/>
      <c r="HIN39" s="41"/>
      <c r="HIT39" s="42"/>
      <c r="HJA39" s="33"/>
      <c r="HJB39" s="33"/>
      <c r="HJF39" s="41"/>
      <c r="HJL39" s="42"/>
      <c r="HJS39" s="33"/>
      <c r="HJT39" s="33"/>
      <c r="HJX39" s="41"/>
      <c r="HKD39" s="42"/>
      <c r="HKK39" s="33"/>
      <c r="HKL39" s="33"/>
      <c r="HKP39" s="41"/>
      <c r="HKV39" s="42"/>
      <c r="HLC39" s="33"/>
      <c r="HLD39" s="33"/>
      <c r="HLH39" s="41"/>
      <c r="HLN39" s="42"/>
      <c r="HLU39" s="33"/>
      <c r="HLV39" s="33"/>
      <c r="HLZ39" s="41"/>
      <c r="HMF39" s="42"/>
      <c r="HMM39" s="33"/>
      <c r="HMN39" s="33"/>
      <c r="HMR39" s="41"/>
      <c r="HMX39" s="42"/>
      <c r="HNE39" s="33"/>
      <c r="HNF39" s="33"/>
      <c r="HNJ39" s="41"/>
      <c r="HNP39" s="42"/>
      <c r="HNW39" s="33"/>
      <c r="HNX39" s="33"/>
      <c r="HOB39" s="41"/>
      <c r="HOH39" s="42"/>
      <c r="HOO39" s="33"/>
      <c r="HOP39" s="33"/>
      <c r="HOT39" s="41"/>
      <c r="HOZ39" s="42"/>
      <c r="HPG39" s="33"/>
      <c r="HPH39" s="33"/>
      <c r="HPL39" s="41"/>
      <c r="HPR39" s="42"/>
      <c r="HPY39" s="33"/>
      <c r="HPZ39" s="33"/>
      <c r="HQD39" s="41"/>
      <c r="HQJ39" s="42"/>
      <c r="HQQ39" s="33"/>
      <c r="HQR39" s="33"/>
      <c r="HQV39" s="41"/>
      <c r="HRB39" s="42"/>
      <c r="HRI39" s="33"/>
      <c r="HRJ39" s="33"/>
      <c r="HRN39" s="41"/>
      <c r="HRT39" s="42"/>
      <c r="HSA39" s="33"/>
      <c r="HSB39" s="33"/>
      <c r="HSF39" s="41"/>
      <c r="HSL39" s="42"/>
      <c r="HSS39" s="33"/>
      <c r="HST39" s="33"/>
      <c r="HSX39" s="41"/>
      <c r="HTD39" s="42"/>
      <c r="HTK39" s="33"/>
      <c r="HTL39" s="33"/>
      <c r="HTP39" s="41"/>
      <c r="HTV39" s="42"/>
      <c r="HUC39" s="33"/>
      <c r="HUD39" s="33"/>
      <c r="HUH39" s="41"/>
      <c r="HUN39" s="42"/>
      <c r="HUU39" s="33"/>
      <c r="HUV39" s="33"/>
      <c r="HUZ39" s="41"/>
      <c r="HVF39" s="42"/>
      <c r="HVM39" s="33"/>
      <c r="HVN39" s="33"/>
      <c r="HVR39" s="41"/>
      <c r="HVX39" s="42"/>
      <c r="HWE39" s="33"/>
      <c r="HWF39" s="33"/>
      <c r="HWJ39" s="41"/>
      <c r="HWP39" s="42"/>
      <c r="HWW39" s="33"/>
      <c r="HWX39" s="33"/>
      <c r="HXB39" s="41"/>
      <c r="HXH39" s="42"/>
      <c r="HXO39" s="33"/>
      <c r="HXP39" s="33"/>
      <c r="HXT39" s="41"/>
      <c r="HXZ39" s="42"/>
      <c r="HYG39" s="33"/>
      <c r="HYH39" s="33"/>
      <c r="HYL39" s="41"/>
      <c r="HYR39" s="42"/>
      <c r="HYY39" s="33"/>
      <c r="HYZ39" s="33"/>
      <c r="HZD39" s="41"/>
      <c r="HZJ39" s="42"/>
      <c r="HZQ39" s="33"/>
      <c r="HZR39" s="33"/>
      <c r="HZV39" s="41"/>
      <c r="IAB39" s="42"/>
      <c r="IAI39" s="33"/>
      <c r="IAJ39" s="33"/>
      <c r="IAN39" s="41"/>
      <c r="IAT39" s="42"/>
      <c r="IBA39" s="33"/>
      <c r="IBB39" s="33"/>
      <c r="IBF39" s="41"/>
      <c r="IBL39" s="42"/>
      <c r="IBS39" s="33"/>
      <c r="IBT39" s="33"/>
      <c r="IBX39" s="41"/>
      <c r="ICD39" s="42"/>
      <c r="ICK39" s="33"/>
      <c r="ICL39" s="33"/>
      <c r="ICP39" s="41"/>
      <c r="ICV39" s="42"/>
      <c r="IDC39" s="33"/>
      <c r="IDD39" s="33"/>
      <c r="IDH39" s="41"/>
      <c r="IDN39" s="42"/>
      <c r="IDU39" s="33"/>
      <c r="IDV39" s="33"/>
      <c r="IDZ39" s="41"/>
      <c r="IEF39" s="42"/>
      <c r="IEM39" s="33"/>
      <c r="IEN39" s="33"/>
      <c r="IER39" s="41"/>
      <c r="IEX39" s="42"/>
      <c r="IFE39" s="33"/>
      <c r="IFF39" s="33"/>
      <c r="IFJ39" s="41"/>
      <c r="IFP39" s="42"/>
      <c r="IFW39" s="33"/>
      <c r="IFX39" s="33"/>
      <c r="IGB39" s="41"/>
      <c r="IGH39" s="42"/>
      <c r="IGO39" s="33"/>
      <c r="IGP39" s="33"/>
      <c r="IGT39" s="41"/>
      <c r="IGZ39" s="42"/>
      <c r="IHG39" s="33"/>
      <c r="IHH39" s="33"/>
      <c r="IHL39" s="41"/>
      <c r="IHR39" s="42"/>
      <c r="IHY39" s="33"/>
      <c r="IHZ39" s="33"/>
      <c r="IID39" s="41"/>
      <c r="IIJ39" s="42"/>
      <c r="IIQ39" s="33"/>
      <c r="IIR39" s="33"/>
      <c r="IIV39" s="41"/>
      <c r="IJB39" s="42"/>
      <c r="IJI39" s="33"/>
      <c r="IJJ39" s="33"/>
      <c r="IJN39" s="41"/>
      <c r="IJT39" s="42"/>
      <c r="IKA39" s="33"/>
      <c r="IKB39" s="33"/>
      <c r="IKF39" s="41"/>
      <c r="IKL39" s="42"/>
      <c r="IKS39" s="33"/>
      <c r="IKT39" s="33"/>
      <c r="IKX39" s="41"/>
      <c r="ILD39" s="42"/>
      <c r="ILK39" s="33"/>
      <c r="ILL39" s="33"/>
      <c r="ILP39" s="41"/>
      <c r="ILV39" s="42"/>
      <c r="IMC39" s="33"/>
      <c r="IMD39" s="33"/>
      <c r="IMH39" s="41"/>
      <c r="IMN39" s="42"/>
      <c r="IMU39" s="33"/>
      <c r="IMV39" s="33"/>
      <c r="IMZ39" s="41"/>
      <c r="INF39" s="42"/>
      <c r="INM39" s="33"/>
      <c r="INN39" s="33"/>
      <c r="INR39" s="41"/>
      <c r="INX39" s="42"/>
      <c r="IOE39" s="33"/>
      <c r="IOF39" s="33"/>
      <c r="IOJ39" s="41"/>
      <c r="IOP39" s="42"/>
      <c r="IOW39" s="33"/>
      <c r="IOX39" s="33"/>
      <c r="IPB39" s="41"/>
      <c r="IPH39" s="42"/>
      <c r="IPO39" s="33"/>
      <c r="IPP39" s="33"/>
      <c r="IPT39" s="41"/>
      <c r="IPZ39" s="42"/>
      <c r="IQG39" s="33"/>
      <c r="IQH39" s="33"/>
      <c r="IQL39" s="41"/>
      <c r="IQR39" s="42"/>
      <c r="IQY39" s="33"/>
      <c r="IQZ39" s="33"/>
      <c r="IRD39" s="41"/>
      <c r="IRJ39" s="42"/>
      <c r="IRQ39" s="33"/>
      <c r="IRR39" s="33"/>
      <c r="IRV39" s="41"/>
      <c r="ISB39" s="42"/>
      <c r="ISI39" s="33"/>
      <c r="ISJ39" s="33"/>
      <c r="ISN39" s="41"/>
      <c r="IST39" s="42"/>
      <c r="ITA39" s="33"/>
      <c r="ITB39" s="33"/>
      <c r="ITF39" s="41"/>
      <c r="ITL39" s="42"/>
      <c r="ITS39" s="33"/>
      <c r="ITT39" s="33"/>
      <c r="ITX39" s="41"/>
      <c r="IUD39" s="42"/>
      <c r="IUK39" s="33"/>
      <c r="IUL39" s="33"/>
      <c r="IUP39" s="41"/>
      <c r="IUV39" s="42"/>
      <c r="IVC39" s="33"/>
      <c r="IVD39" s="33"/>
      <c r="IVH39" s="41"/>
      <c r="IVN39" s="42"/>
      <c r="IVU39" s="33"/>
      <c r="IVV39" s="33"/>
      <c r="IVZ39" s="41"/>
      <c r="IWF39" s="42"/>
      <c r="IWM39" s="33"/>
      <c r="IWN39" s="33"/>
      <c r="IWR39" s="41"/>
      <c r="IWX39" s="42"/>
      <c r="IXE39" s="33"/>
      <c r="IXF39" s="33"/>
      <c r="IXJ39" s="41"/>
      <c r="IXP39" s="42"/>
      <c r="IXW39" s="33"/>
      <c r="IXX39" s="33"/>
      <c r="IYB39" s="41"/>
      <c r="IYH39" s="42"/>
      <c r="IYO39" s="33"/>
      <c r="IYP39" s="33"/>
      <c r="IYT39" s="41"/>
      <c r="IYZ39" s="42"/>
      <c r="IZG39" s="33"/>
      <c r="IZH39" s="33"/>
      <c r="IZL39" s="41"/>
      <c r="IZR39" s="42"/>
      <c r="IZY39" s="33"/>
      <c r="IZZ39" s="33"/>
      <c r="JAD39" s="41"/>
      <c r="JAJ39" s="42"/>
      <c r="JAQ39" s="33"/>
      <c r="JAR39" s="33"/>
      <c r="JAV39" s="41"/>
      <c r="JBB39" s="42"/>
      <c r="JBI39" s="33"/>
      <c r="JBJ39" s="33"/>
      <c r="JBN39" s="41"/>
      <c r="JBT39" s="42"/>
      <c r="JCA39" s="33"/>
      <c r="JCB39" s="33"/>
      <c r="JCF39" s="41"/>
      <c r="JCL39" s="42"/>
      <c r="JCS39" s="33"/>
      <c r="JCT39" s="33"/>
      <c r="JCX39" s="41"/>
      <c r="JDD39" s="42"/>
      <c r="JDK39" s="33"/>
      <c r="JDL39" s="33"/>
      <c r="JDP39" s="41"/>
      <c r="JDV39" s="42"/>
      <c r="JEC39" s="33"/>
      <c r="JED39" s="33"/>
      <c r="JEH39" s="41"/>
      <c r="JEN39" s="42"/>
      <c r="JEU39" s="33"/>
      <c r="JEV39" s="33"/>
      <c r="JEZ39" s="41"/>
      <c r="JFF39" s="42"/>
      <c r="JFM39" s="33"/>
      <c r="JFN39" s="33"/>
      <c r="JFR39" s="41"/>
      <c r="JFX39" s="42"/>
      <c r="JGE39" s="33"/>
      <c r="JGF39" s="33"/>
      <c r="JGJ39" s="41"/>
      <c r="JGP39" s="42"/>
      <c r="JGW39" s="33"/>
      <c r="JGX39" s="33"/>
      <c r="JHB39" s="41"/>
      <c r="JHH39" s="42"/>
      <c r="JHO39" s="33"/>
      <c r="JHP39" s="33"/>
      <c r="JHT39" s="41"/>
      <c r="JHZ39" s="42"/>
      <c r="JIG39" s="33"/>
      <c r="JIH39" s="33"/>
      <c r="JIL39" s="41"/>
      <c r="JIR39" s="42"/>
      <c r="JIY39" s="33"/>
      <c r="JIZ39" s="33"/>
      <c r="JJD39" s="41"/>
      <c r="JJJ39" s="42"/>
      <c r="JJQ39" s="33"/>
      <c r="JJR39" s="33"/>
      <c r="JJV39" s="41"/>
      <c r="JKB39" s="42"/>
      <c r="JKI39" s="33"/>
      <c r="JKJ39" s="33"/>
      <c r="JKN39" s="41"/>
      <c r="JKT39" s="42"/>
      <c r="JLA39" s="33"/>
      <c r="JLB39" s="33"/>
      <c r="JLF39" s="41"/>
      <c r="JLL39" s="42"/>
      <c r="JLS39" s="33"/>
      <c r="JLT39" s="33"/>
      <c r="JLX39" s="41"/>
      <c r="JMD39" s="42"/>
      <c r="JMK39" s="33"/>
      <c r="JML39" s="33"/>
      <c r="JMP39" s="41"/>
      <c r="JMV39" s="42"/>
      <c r="JNC39" s="33"/>
      <c r="JND39" s="33"/>
      <c r="JNH39" s="41"/>
      <c r="JNN39" s="42"/>
      <c r="JNU39" s="33"/>
      <c r="JNV39" s="33"/>
      <c r="JNZ39" s="41"/>
      <c r="JOF39" s="42"/>
      <c r="JOM39" s="33"/>
      <c r="JON39" s="33"/>
      <c r="JOR39" s="41"/>
      <c r="JOX39" s="42"/>
      <c r="JPE39" s="33"/>
      <c r="JPF39" s="33"/>
      <c r="JPJ39" s="41"/>
      <c r="JPP39" s="42"/>
      <c r="JPW39" s="33"/>
      <c r="JPX39" s="33"/>
      <c r="JQB39" s="41"/>
      <c r="JQH39" s="42"/>
      <c r="JQO39" s="33"/>
      <c r="JQP39" s="33"/>
      <c r="JQT39" s="41"/>
      <c r="JQZ39" s="42"/>
      <c r="JRG39" s="33"/>
      <c r="JRH39" s="33"/>
      <c r="JRL39" s="41"/>
      <c r="JRR39" s="42"/>
      <c r="JRY39" s="33"/>
      <c r="JRZ39" s="33"/>
      <c r="JSD39" s="41"/>
      <c r="JSJ39" s="42"/>
      <c r="JSQ39" s="33"/>
      <c r="JSR39" s="33"/>
      <c r="JSV39" s="41"/>
      <c r="JTB39" s="42"/>
      <c r="JTI39" s="33"/>
      <c r="JTJ39" s="33"/>
      <c r="JTN39" s="41"/>
      <c r="JTT39" s="42"/>
      <c r="JUA39" s="33"/>
      <c r="JUB39" s="33"/>
      <c r="JUF39" s="41"/>
      <c r="JUL39" s="42"/>
      <c r="JUS39" s="33"/>
      <c r="JUT39" s="33"/>
      <c r="JUX39" s="41"/>
      <c r="JVD39" s="42"/>
      <c r="JVK39" s="33"/>
      <c r="JVL39" s="33"/>
      <c r="JVP39" s="41"/>
      <c r="JVV39" s="42"/>
      <c r="JWC39" s="33"/>
      <c r="JWD39" s="33"/>
      <c r="JWH39" s="41"/>
      <c r="JWN39" s="42"/>
      <c r="JWU39" s="33"/>
      <c r="JWV39" s="33"/>
      <c r="JWZ39" s="41"/>
      <c r="JXF39" s="42"/>
      <c r="JXM39" s="33"/>
      <c r="JXN39" s="33"/>
      <c r="JXR39" s="41"/>
      <c r="JXX39" s="42"/>
      <c r="JYE39" s="33"/>
      <c r="JYF39" s="33"/>
      <c r="JYJ39" s="41"/>
      <c r="JYP39" s="42"/>
      <c r="JYW39" s="33"/>
      <c r="JYX39" s="33"/>
      <c r="JZB39" s="41"/>
      <c r="JZH39" s="42"/>
      <c r="JZO39" s="33"/>
      <c r="JZP39" s="33"/>
      <c r="JZT39" s="41"/>
      <c r="JZZ39" s="42"/>
      <c r="KAG39" s="33"/>
      <c r="KAH39" s="33"/>
      <c r="KAL39" s="41"/>
      <c r="KAR39" s="42"/>
      <c r="KAY39" s="33"/>
      <c r="KAZ39" s="33"/>
      <c r="KBD39" s="41"/>
      <c r="KBJ39" s="42"/>
      <c r="KBQ39" s="33"/>
      <c r="KBR39" s="33"/>
      <c r="KBV39" s="41"/>
      <c r="KCB39" s="42"/>
      <c r="KCI39" s="33"/>
      <c r="KCJ39" s="33"/>
      <c r="KCN39" s="41"/>
      <c r="KCT39" s="42"/>
      <c r="KDA39" s="33"/>
      <c r="KDB39" s="33"/>
      <c r="KDF39" s="41"/>
      <c r="KDL39" s="42"/>
      <c r="KDS39" s="33"/>
      <c r="KDT39" s="33"/>
      <c r="KDX39" s="41"/>
      <c r="KED39" s="42"/>
      <c r="KEK39" s="33"/>
      <c r="KEL39" s="33"/>
      <c r="KEP39" s="41"/>
      <c r="KEV39" s="42"/>
      <c r="KFC39" s="33"/>
      <c r="KFD39" s="33"/>
      <c r="KFH39" s="41"/>
      <c r="KFN39" s="42"/>
      <c r="KFU39" s="33"/>
      <c r="KFV39" s="33"/>
      <c r="KFZ39" s="41"/>
      <c r="KGF39" s="42"/>
      <c r="KGM39" s="33"/>
      <c r="KGN39" s="33"/>
      <c r="KGR39" s="41"/>
      <c r="KGX39" s="42"/>
      <c r="KHE39" s="33"/>
      <c r="KHF39" s="33"/>
      <c r="KHJ39" s="41"/>
      <c r="KHP39" s="42"/>
      <c r="KHW39" s="33"/>
      <c r="KHX39" s="33"/>
      <c r="KIB39" s="41"/>
      <c r="KIH39" s="42"/>
      <c r="KIO39" s="33"/>
      <c r="KIP39" s="33"/>
      <c r="KIT39" s="41"/>
      <c r="KIZ39" s="42"/>
      <c r="KJG39" s="33"/>
      <c r="KJH39" s="33"/>
      <c r="KJL39" s="41"/>
      <c r="KJR39" s="42"/>
      <c r="KJY39" s="33"/>
      <c r="KJZ39" s="33"/>
      <c r="KKD39" s="41"/>
      <c r="KKJ39" s="42"/>
      <c r="KKQ39" s="33"/>
      <c r="KKR39" s="33"/>
      <c r="KKV39" s="41"/>
      <c r="KLB39" s="42"/>
      <c r="KLI39" s="33"/>
      <c r="KLJ39" s="33"/>
      <c r="KLN39" s="41"/>
      <c r="KLT39" s="42"/>
      <c r="KMA39" s="33"/>
      <c r="KMB39" s="33"/>
      <c r="KMF39" s="41"/>
      <c r="KML39" s="42"/>
      <c r="KMS39" s="33"/>
      <c r="KMT39" s="33"/>
      <c r="KMX39" s="41"/>
      <c r="KND39" s="42"/>
      <c r="KNK39" s="33"/>
      <c r="KNL39" s="33"/>
      <c r="KNP39" s="41"/>
      <c r="KNV39" s="42"/>
      <c r="KOC39" s="33"/>
      <c r="KOD39" s="33"/>
      <c r="KOH39" s="41"/>
      <c r="KON39" s="42"/>
      <c r="KOU39" s="33"/>
      <c r="KOV39" s="33"/>
      <c r="KOZ39" s="41"/>
      <c r="KPF39" s="42"/>
      <c r="KPM39" s="33"/>
      <c r="KPN39" s="33"/>
      <c r="KPR39" s="41"/>
      <c r="KPX39" s="42"/>
      <c r="KQE39" s="33"/>
      <c r="KQF39" s="33"/>
      <c r="KQJ39" s="41"/>
      <c r="KQP39" s="42"/>
      <c r="KQW39" s="33"/>
      <c r="KQX39" s="33"/>
      <c r="KRB39" s="41"/>
      <c r="KRH39" s="42"/>
      <c r="KRO39" s="33"/>
      <c r="KRP39" s="33"/>
      <c r="KRT39" s="41"/>
      <c r="KRZ39" s="42"/>
      <c r="KSG39" s="33"/>
      <c r="KSH39" s="33"/>
      <c r="KSL39" s="41"/>
      <c r="KSR39" s="42"/>
      <c r="KSY39" s="33"/>
      <c r="KSZ39" s="33"/>
      <c r="KTD39" s="41"/>
      <c r="KTJ39" s="42"/>
      <c r="KTQ39" s="33"/>
      <c r="KTR39" s="33"/>
      <c r="KTV39" s="41"/>
      <c r="KUB39" s="42"/>
      <c r="KUI39" s="33"/>
      <c r="KUJ39" s="33"/>
      <c r="KUN39" s="41"/>
      <c r="KUT39" s="42"/>
      <c r="KVA39" s="33"/>
      <c r="KVB39" s="33"/>
      <c r="KVF39" s="41"/>
      <c r="KVL39" s="42"/>
      <c r="KVS39" s="33"/>
      <c r="KVT39" s="33"/>
      <c r="KVX39" s="41"/>
      <c r="KWD39" s="42"/>
      <c r="KWK39" s="33"/>
      <c r="KWL39" s="33"/>
      <c r="KWP39" s="41"/>
      <c r="KWV39" s="42"/>
      <c r="KXC39" s="33"/>
      <c r="KXD39" s="33"/>
      <c r="KXH39" s="41"/>
      <c r="KXN39" s="42"/>
      <c r="KXU39" s="33"/>
      <c r="KXV39" s="33"/>
      <c r="KXZ39" s="41"/>
      <c r="KYF39" s="42"/>
      <c r="KYM39" s="33"/>
      <c r="KYN39" s="33"/>
      <c r="KYR39" s="41"/>
      <c r="KYX39" s="42"/>
      <c r="KZE39" s="33"/>
      <c r="KZF39" s="33"/>
      <c r="KZJ39" s="41"/>
      <c r="KZP39" s="42"/>
      <c r="KZW39" s="33"/>
      <c r="KZX39" s="33"/>
      <c r="LAB39" s="41"/>
      <c r="LAH39" s="42"/>
      <c r="LAO39" s="33"/>
      <c r="LAP39" s="33"/>
      <c r="LAT39" s="41"/>
      <c r="LAZ39" s="42"/>
      <c r="LBG39" s="33"/>
      <c r="LBH39" s="33"/>
      <c r="LBL39" s="41"/>
      <c r="LBR39" s="42"/>
      <c r="LBY39" s="33"/>
      <c r="LBZ39" s="33"/>
      <c r="LCD39" s="41"/>
      <c r="LCJ39" s="42"/>
      <c r="LCQ39" s="33"/>
      <c r="LCR39" s="33"/>
      <c r="LCV39" s="41"/>
      <c r="LDB39" s="42"/>
      <c r="LDI39" s="33"/>
      <c r="LDJ39" s="33"/>
      <c r="LDN39" s="41"/>
      <c r="LDT39" s="42"/>
      <c r="LEA39" s="33"/>
      <c r="LEB39" s="33"/>
      <c r="LEF39" s="41"/>
      <c r="LEL39" s="42"/>
      <c r="LES39" s="33"/>
      <c r="LET39" s="33"/>
      <c r="LEX39" s="41"/>
      <c r="LFD39" s="42"/>
      <c r="LFK39" s="33"/>
      <c r="LFL39" s="33"/>
      <c r="LFP39" s="41"/>
      <c r="LFV39" s="42"/>
      <c r="LGC39" s="33"/>
      <c r="LGD39" s="33"/>
      <c r="LGH39" s="41"/>
      <c r="LGN39" s="42"/>
      <c r="LGU39" s="33"/>
      <c r="LGV39" s="33"/>
      <c r="LGZ39" s="41"/>
      <c r="LHF39" s="42"/>
      <c r="LHM39" s="33"/>
      <c r="LHN39" s="33"/>
      <c r="LHR39" s="41"/>
      <c r="LHX39" s="42"/>
      <c r="LIE39" s="33"/>
      <c r="LIF39" s="33"/>
      <c r="LIJ39" s="41"/>
      <c r="LIP39" s="42"/>
      <c r="LIW39" s="33"/>
      <c r="LIX39" s="33"/>
      <c r="LJB39" s="41"/>
      <c r="LJH39" s="42"/>
      <c r="LJO39" s="33"/>
      <c r="LJP39" s="33"/>
      <c r="LJT39" s="41"/>
      <c r="LJZ39" s="42"/>
      <c r="LKG39" s="33"/>
      <c r="LKH39" s="33"/>
      <c r="LKL39" s="41"/>
      <c r="LKR39" s="42"/>
      <c r="LKY39" s="33"/>
      <c r="LKZ39" s="33"/>
      <c r="LLD39" s="41"/>
      <c r="LLJ39" s="42"/>
      <c r="LLQ39" s="33"/>
      <c r="LLR39" s="33"/>
      <c r="LLV39" s="41"/>
      <c r="LMB39" s="42"/>
      <c r="LMI39" s="33"/>
      <c r="LMJ39" s="33"/>
      <c r="LMN39" s="41"/>
      <c r="LMT39" s="42"/>
      <c r="LNA39" s="33"/>
      <c r="LNB39" s="33"/>
      <c r="LNF39" s="41"/>
      <c r="LNL39" s="42"/>
      <c r="LNS39" s="33"/>
      <c r="LNT39" s="33"/>
      <c r="LNX39" s="41"/>
      <c r="LOD39" s="42"/>
      <c r="LOK39" s="33"/>
      <c r="LOL39" s="33"/>
      <c r="LOP39" s="41"/>
      <c r="LOV39" s="42"/>
      <c r="LPC39" s="33"/>
      <c r="LPD39" s="33"/>
      <c r="LPH39" s="41"/>
      <c r="LPN39" s="42"/>
      <c r="LPU39" s="33"/>
      <c r="LPV39" s="33"/>
      <c r="LPZ39" s="41"/>
      <c r="LQF39" s="42"/>
      <c r="LQM39" s="33"/>
      <c r="LQN39" s="33"/>
      <c r="LQR39" s="41"/>
      <c r="LQX39" s="42"/>
      <c r="LRE39" s="33"/>
      <c r="LRF39" s="33"/>
      <c r="LRJ39" s="41"/>
      <c r="LRP39" s="42"/>
      <c r="LRW39" s="33"/>
      <c r="LRX39" s="33"/>
      <c r="LSB39" s="41"/>
      <c r="LSH39" s="42"/>
      <c r="LSO39" s="33"/>
      <c r="LSP39" s="33"/>
      <c r="LST39" s="41"/>
      <c r="LSZ39" s="42"/>
      <c r="LTG39" s="33"/>
      <c r="LTH39" s="33"/>
      <c r="LTL39" s="41"/>
      <c r="LTR39" s="42"/>
      <c r="LTY39" s="33"/>
      <c r="LTZ39" s="33"/>
      <c r="LUD39" s="41"/>
      <c r="LUJ39" s="42"/>
      <c r="LUQ39" s="33"/>
      <c r="LUR39" s="33"/>
      <c r="LUV39" s="41"/>
      <c r="LVB39" s="42"/>
      <c r="LVI39" s="33"/>
      <c r="LVJ39" s="33"/>
      <c r="LVN39" s="41"/>
      <c r="LVT39" s="42"/>
      <c r="LWA39" s="33"/>
      <c r="LWB39" s="33"/>
      <c r="LWF39" s="41"/>
      <c r="LWL39" s="42"/>
      <c r="LWS39" s="33"/>
      <c r="LWT39" s="33"/>
      <c r="LWX39" s="41"/>
      <c r="LXD39" s="42"/>
      <c r="LXK39" s="33"/>
      <c r="LXL39" s="33"/>
      <c r="LXP39" s="41"/>
      <c r="LXV39" s="42"/>
      <c r="LYC39" s="33"/>
      <c r="LYD39" s="33"/>
      <c r="LYH39" s="41"/>
      <c r="LYN39" s="42"/>
      <c r="LYU39" s="33"/>
      <c r="LYV39" s="33"/>
      <c r="LYZ39" s="41"/>
      <c r="LZF39" s="42"/>
      <c r="LZM39" s="33"/>
      <c r="LZN39" s="33"/>
      <c r="LZR39" s="41"/>
      <c r="LZX39" s="42"/>
      <c r="MAE39" s="33"/>
      <c r="MAF39" s="33"/>
      <c r="MAJ39" s="41"/>
      <c r="MAP39" s="42"/>
      <c r="MAW39" s="33"/>
      <c r="MAX39" s="33"/>
      <c r="MBB39" s="41"/>
      <c r="MBH39" s="42"/>
      <c r="MBO39" s="33"/>
      <c r="MBP39" s="33"/>
      <c r="MBT39" s="41"/>
      <c r="MBZ39" s="42"/>
      <c r="MCG39" s="33"/>
      <c r="MCH39" s="33"/>
      <c r="MCL39" s="41"/>
      <c r="MCR39" s="42"/>
      <c r="MCY39" s="33"/>
      <c r="MCZ39" s="33"/>
      <c r="MDD39" s="41"/>
      <c r="MDJ39" s="42"/>
      <c r="MDQ39" s="33"/>
      <c r="MDR39" s="33"/>
      <c r="MDV39" s="41"/>
      <c r="MEB39" s="42"/>
      <c r="MEI39" s="33"/>
      <c r="MEJ39" s="33"/>
      <c r="MEN39" s="41"/>
      <c r="MET39" s="42"/>
      <c r="MFA39" s="33"/>
      <c r="MFB39" s="33"/>
      <c r="MFF39" s="41"/>
      <c r="MFL39" s="42"/>
      <c r="MFS39" s="33"/>
      <c r="MFT39" s="33"/>
      <c r="MFX39" s="41"/>
      <c r="MGD39" s="42"/>
      <c r="MGK39" s="33"/>
      <c r="MGL39" s="33"/>
      <c r="MGP39" s="41"/>
      <c r="MGV39" s="42"/>
      <c r="MHC39" s="33"/>
      <c r="MHD39" s="33"/>
      <c r="MHH39" s="41"/>
      <c r="MHN39" s="42"/>
      <c r="MHU39" s="33"/>
      <c r="MHV39" s="33"/>
      <c r="MHZ39" s="41"/>
      <c r="MIF39" s="42"/>
      <c r="MIM39" s="33"/>
      <c r="MIN39" s="33"/>
      <c r="MIR39" s="41"/>
      <c r="MIX39" s="42"/>
      <c r="MJE39" s="33"/>
      <c r="MJF39" s="33"/>
      <c r="MJJ39" s="41"/>
      <c r="MJP39" s="42"/>
      <c r="MJW39" s="33"/>
      <c r="MJX39" s="33"/>
      <c r="MKB39" s="41"/>
      <c r="MKH39" s="42"/>
      <c r="MKO39" s="33"/>
      <c r="MKP39" s="33"/>
      <c r="MKT39" s="41"/>
      <c r="MKZ39" s="42"/>
      <c r="MLG39" s="33"/>
      <c r="MLH39" s="33"/>
      <c r="MLL39" s="41"/>
      <c r="MLR39" s="42"/>
      <c r="MLY39" s="33"/>
      <c r="MLZ39" s="33"/>
      <c r="MMD39" s="41"/>
      <c r="MMJ39" s="42"/>
      <c r="MMQ39" s="33"/>
      <c r="MMR39" s="33"/>
      <c r="MMV39" s="41"/>
      <c r="MNB39" s="42"/>
      <c r="MNI39" s="33"/>
      <c r="MNJ39" s="33"/>
      <c r="MNN39" s="41"/>
      <c r="MNT39" s="42"/>
      <c r="MOA39" s="33"/>
      <c r="MOB39" s="33"/>
      <c r="MOF39" s="41"/>
      <c r="MOL39" s="42"/>
      <c r="MOS39" s="33"/>
      <c r="MOT39" s="33"/>
      <c r="MOX39" s="41"/>
      <c r="MPD39" s="42"/>
      <c r="MPK39" s="33"/>
      <c r="MPL39" s="33"/>
      <c r="MPP39" s="41"/>
      <c r="MPV39" s="42"/>
      <c r="MQC39" s="33"/>
      <c r="MQD39" s="33"/>
      <c r="MQH39" s="41"/>
      <c r="MQN39" s="42"/>
      <c r="MQU39" s="33"/>
      <c r="MQV39" s="33"/>
      <c r="MQZ39" s="41"/>
      <c r="MRF39" s="42"/>
      <c r="MRM39" s="33"/>
      <c r="MRN39" s="33"/>
      <c r="MRR39" s="41"/>
      <c r="MRX39" s="42"/>
      <c r="MSE39" s="33"/>
      <c r="MSF39" s="33"/>
      <c r="MSJ39" s="41"/>
      <c r="MSP39" s="42"/>
      <c r="MSW39" s="33"/>
      <c r="MSX39" s="33"/>
      <c r="MTB39" s="41"/>
      <c r="MTH39" s="42"/>
      <c r="MTO39" s="33"/>
      <c r="MTP39" s="33"/>
      <c r="MTT39" s="41"/>
      <c r="MTZ39" s="42"/>
      <c r="MUG39" s="33"/>
      <c r="MUH39" s="33"/>
      <c r="MUL39" s="41"/>
      <c r="MUR39" s="42"/>
      <c r="MUY39" s="33"/>
      <c r="MUZ39" s="33"/>
      <c r="MVD39" s="41"/>
      <c r="MVJ39" s="42"/>
      <c r="MVQ39" s="33"/>
      <c r="MVR39" s="33"/>
      <c r="MVV39" s="41"/>
      <c r="MWB39" s="42"/>
      <c r="MWI39" s="33"/>
      <c r="MWJ39" s="33"/>
      <c r="MWN39" s="41"/>
      <c r="MWT39" s="42"/>
      <c r="MXA39" s="33"/>
      <c r="MXB39" s="33"/>
      <c r="MXF39" s="41"/>
      <c r="MXL39" s="42"/>
      <c r="MXS39" s="33"/>
      <c r="MXT39" s="33"/>
      <c r="MXX39" s="41"/>
      <c r="MYD39" s="42"/>
      <c r="MYK39" s="33"/>
      <c r="MYL39" s="33"/>
      <c r="MYP39" s="41"/>
      <c r="MYV39" s="42"/>
      <c r="MZC39" s="33"/>
      <c r="MZD39" s="33"/>
      <c r="MZH39" s="41"/>
      <c r="MZN39" s="42"/>
      <c r="MZU39" s="33"/>
      <c r="MZV39" s="33"/>
      <c r="MZZ39" s="41"/>
      <c r="NAF39" s="42"/>
      <c r="NAM39" s="33"/>
      <c r="NAN39" s="33"/>
      <c r="NAR39" s="41"/>
      <c r="NAX39" s="42"/>
      <c r="NBE39" s="33"/>
      <c r="NBF39" s="33"/>
      <c r="NBJ39" s="41"/>
      <c r="NBP39" s="42"/>
      <c r="NBW39" s="33"/>
      <c r="NBX39" s="33"/>
      <c r="NCB39" s="41"/>
      <c r="NCH39" s="42"/>
      <c r="NCO39" s="33"/>
      <c r="NCP39" s="33"/>
      <c r="NCT39" s="41"/>
      <c r="NCZ39" s="42"/>
      <c r="NDG39" s="33"/>
      <c r="NDH39" s="33"/>
      <c r="NDL39" s="41"/>
      <c r="NDR39" s="42"/>
      <c r="NDY39" s="33"/>
      <c r="NDZ39" s="33"/>
      <c r="NED39" s="41"/>
      <c r="NEJ39" s="42"/>
      <c r="NEQ39" s="33"/>
      <c r="NER39" s="33"/>
      <c r="NEV39" s="41"/>
      <c r="NFB39" s="42"/>
      <c r="NFI39" s="33"/>
      <c r="NFJ39" s="33"/>
      <c r="NFN39" s="41"/>
      <c r="NFT39" s="42"/>
      <c r="NGA39" s="33"/>
      <c r="NGB39" s="33"/>
      <c r="NGF39" s="41"/>
      <c r="NGL39" s="42"/>
      <c r="NGS39" s="33"/>
      <c r="NGT39" s="33"/>
      <c r="NGX39" s="41"/>
      <c r="NHD39" s="42"/>
      <c r="NHK39" s="33"/>
      <c r="NHL39" s="33"/>
      <c r="NHP39" s="41"/>
      <c r="NHV39" s="42"/>
      <c r="NIC39" s="33"/>
      <c r="NID39" s="33"/>
      <c r="NIH39" s="41"/>
      <c r="NIN39" s="42"/>
      <c r="NIU39" s="33"/>
      <c r="NIV39" s="33"/>
      <c r="NIZ39" s="41"/>
      <c r="NJF39" s="42"/>
      <c r="NJM39" s="33"/>
      <c r="NJN39" s="33"/>
      <c r="NJR39" s="41"/>
      <c r="NJX39" s="42"/>
      <c r="NKE39" s="33"/>
      <c r="NKF39" s="33"/>
      <c r="NKJ39" s="41"/>
      <c r="NKP39" s="42"/>
      <c r="NKW39" s="33"/>
      <c r="NKX39" s="33"/>
      <c r="NLB39" s="41"/>
      <c r="NLH39" s="42"/>
      <c r="NLO39" s="33"/>
      <c r="NLP39" s="33"/>
      <c r="NLT39" s="41"/>
      <c r="NLZ39" s="42"/>
      <c r="NMG39" s="33"/>
      <c r="NMH39" s="33"/>
      <c r="NML39" s="41"/>
      <c r="NMR39" s="42"/>
      <c r="NMY39" s="33"/>
      <c r="NMZ39" s="33"/>
      <c r="NND39" s="41"/>
      <c r="NNJ39" s="42"/>
      <c r="NNQ39" s="33"/>
      <c r="NNR39" s="33"/>
      <c r="NNV39" s="41"/>
      <c r="NOB39" s="42"/>
      <c r="NOI39" s="33"/>
      <c r="NOJ39" s="33"/>
      <c r="NON39" s="41"/>
      <c r="NOT39" s="42"/>
      <c r="NPA39" s="33"/>
      <c r="NPB39" s="33"/>
      <c r="NPF39" s="41"/>
      <c r="NPL39" s="42"/>
      <c r="NPS39" s="33"/>
      <c r="NPT39" s="33"/>
      <c r="NPX39" s="41"/>
      <c r="NQD39" s="42"/>
      <c r="NQK39" s="33"/>
      <c r="NQL39" s="33"/>
      <c r="NQP39" s="41"/>
      <c r="NQV39" s="42"/>
      <c r="NRC39" s="33"/>
      <c r="NRD39" s="33"/>
      <c r="NRH39" s="41"/>
      <c r="NRN39" s="42"/>
      <c r="NRU39" s="33"/>
      <c r="NRV39" s="33"/>
      <c r="NRZ39" s="41"/>
      <c r="NSF39" s="42"/>
      <c r="NSM39" s="33"/>
      <c r="NSN39" s="33"/>
      <c r="NSR39" s="41"/>
      <c r="NSX39" s="42"/>
      <c r="NTE39" s="33"/>
      <c r="NTF39" s="33"/>
      <c r="NTJ39" s="41"/>
      <c r="NTP39" s="42"/>
      <c r="NTW39" s="33"/>
      <c r="NTX39" s="33"/>
      <c r="NUB39" s="41"/>
      <c r="NUH39" s="42"/>
      <c r="NUO39" s="33"/>
      <c r="NUP39" s="33"/>
      <c r="NUT39" s="41"/>
      <c r="NUZ39" s="42"/>
      <c r="NVG39" s="33"/>
      <c r="NVH39" s="33"/>
      <c r="NVL39" s="41"/>
      <c r="NVR39" s="42"/>
      <c r="NVY39" s="33"/>
      <c r="NVZ39" s="33"/>
      <c r="NWD39" s="41"/>
      <c r="NWJ39" s="42"/>
      <c r="NWQ39" s="33"/>
      <c r="NWR39" s="33"/>
      <c r="NWV39" s="41"/>
      <c r="NXB39" s="42"/>
      <c r="NXI39" s="33"/>
      <c r="NXJ39" s="33"/>
      <c r="NXN39" s="41"/>
      <c r="NXT39" s="42"/>
      <c r="NYA39" s="33"/>
      <c r="NYB39" s="33"/>
      <c r="NYF39" s="41"/>
      <c r="NYL39" s="42"/>
      <c r="NYS39" s="33"/>
      <c r="NYT39" s="33"/>
      <c r="NYX39" s="41"/>
      <c r="NZD39" s="42"/>
      <c r="NZK39" s="33"/>
      <c r="NZL39" s="33"/>
      <c r="NZP39" s="41"/>
      <c r="NZV39" s="42"/>
      <c r="OAC39" s="33"/>
      <c r="OAD39" s="33"/>
      <c r="OAH39" s="41"/>
      <c r="OAN39" s="42"/>
      <c r="OAU39" s="33"/>
      <c r="OAV39" s="33"/>
      <c r="OAZ39" s="41"/>
      <c r="OBF39" s="42"/>
      <c r="OBM39" s="33"/>
      <c r="OBN39" s="33"/>
      <c r="OBR39" s="41"/>
      <c r="OBX39" s="42"/>
      <c r="OCE39" s="33"/>
      <c r="OCF39" s="33"/>
      <c r="OCJ39" s="41"/>
      <c r="OCP39" s="42"/>
      <c r="OCW39" s="33"/>
      <c r="OCX39" s="33"/>
      <c r="ODB39" s="41"/>
      <c r="ODH39" s="42"/>
      <c r="ODO39" s="33"/>
      <c r="ODP39" s="33"/>
      <c r="ODT39" s="41"/>
      <c r="ODZ39" s="42"/>
      <c r="OEG39" s="33"/>
      <c r="OEH39" s="33"/>
      <c r="OEL39" s="41"/>
      <c r="OER39" s="42"/>
      <c r="OEY39" s="33"/>
      <c r="OEZ39" s="33"/>
      <c r="OFD39" s="41"/>
      <c r="OFJ39" s="42"/>
      <c r="OFQ39" s="33"/>
      <c r="OFR39" s="33"/>
      <c r="OFV39" s="41"/>
      <c r="OGB39" s="42"/>
      <c r="OGI39" s="33"/>
      <c r="OGJ39" s="33"/>
      <c r="OGN39" s="41"/>
      <c r="OGT39" s="42"/>
      <c r="OHA39" s="33"/>
      <c r="OHB39" s="33"/>
      <c r="OHF39" s="41"/>
      <c r="OHL39" s="42"/>
      <c r="OHS39" s="33"/>
      <c r="OHT39" s="33"/>
      <c r="OHX39" s="41"/>
      <c r="OID39" s="42"/>
      <c r="OIK39" s="33"/>
      <c r="OIL39" s="33"/>
      <c r="OIP39" s="41"/>
      <c r="OIV39" s="42"/>
      <c r="OJC39" s="33"/>
      <c r="OJD39" s="33"/>
      <c r="OJH39" s="41"/>
      <c r="OJN39" s="42"/>
      <c r="OJU39" s="33"/>
      <c r="OJV39" s="33"/>
      <c r="OJZ39" s="41"/>
      <c r="OKF39" s="42"/>
      <c r="OKM39" s="33"/>
      <c r="OKN39" s="33"/>
      <c r="OKR39" s="41"/>
      <c r="OKX39" s="42"/>
      <c r="OLE39" s="33"/>
      <c r="OLF39" s="33"/>
      <c r="OLJ39" s="41"/>
      <c r="OLP39" s="42"/>
      <c r="OLW39" s="33"/>
      <c r="OLX39" s="33"/>
      <c r="OMB39" s="41"/>
      <c r="OMH39" s="42"/>
      <c r="OMO39" s="33"/>
      <c r="OMP39" s="33"/>
      <c r="OMT39" s="41"/>
      <c r="OMZ39" s="42"/>
      <c r="ONG39" s="33"/>
      <c r="ONH39" s="33"/>
      <c r="ONL39" s="41"/>
      <c r="ONR39" s="42"/>
      <c r="ONY39" s="33"/>
      <c r="ONZ39" s="33"/>
      <c r="OOD39" s="41"/>
      <c r="OOJ39" s="42"/>
      <c r="OOQ39" s="33"/>
      <c r="OOR39" s="33"/>
      <c r="OOV39" s="41"/>
      <c r="OPB39" s="42"/>
      <c r="OPI39" s="33"/>
      <c r="OPJ39" s="33"/>
      <c r="OPN39" s="41"/>
      <c r="OPT39" s="42"/>
      <c r="OQA39" s="33"/>
      <c r="OQB39" s="33"/>
      <c r="OQF39" s="41"/>
      <c r="OQL39" s="42"/>
      <c r="OQS39" s="33"/>
      <c r="OQT39" s="33"/>
      <c r="OQX39" s="41"/>
      <c r="ORD39" s="42"/>
      <c r="ORK39" s="33"/>
      <c r="ORL39" s="33"/>
      <c r="ORP39" s="41"/>
      <c r="ORV39" s="42"/>
      <c r="OSC39" s="33"/>
      <c r="OSD39" s="33"/>
      <c r="OSH39" s="41"/>
      <c r="OSN39" s="42"/>
      <c r="OSU39" s="33"/>
      <c r="OSV39" s="33"/>
      <c r="OSZ39" s="41"/>
      <c r="OTF39" s="42"/>
      <c r="OTM39" s="33"/>
      <c r="OTN39" s="33"/>
      <c r="OTR39" s="41"/>
      <c r="OTX39" s="42"/>
      <c r="OUE39" s="33"/>
      <c r="OUF39" s="33"/>
      <c r="OUJ39" s="41"/>
      <c r="OUP39" s="42"/>
      <c r="OUW39" s="33"/>
      <c r="OUX39" s="33"/>
      <c r="OVB39" s="41"/>
      <c r="OVH39" s="42"/>
      <c r="OVO39" s="33"/>
      <c r="OVP39" s="33"/>
      <c r="OVT39" s="41"/>
      <c r="OVZ39" s="42"/>
      <c r="OWG39" s="33"/>
      <c r="OWH39" s="33"/>
      <c r="OWL39" s="41"/>
      <c r="OWR39" s="42"/>
      <c r="OWY39" s="33"/>
      <c r="OWZ39" s="33"/>
      <c r="OXD39" s="41"/>
      <c r="OXJ39" s="42"/>
      <c r="OXQ39" s="33"/>
      <c r="OXR39" s="33"/>
      <c r="OXV39" s="41"/>
      <c r="OYB39" s="42"/>
      <c r="OYI39" s="33"/>
      <c r="OYJ39" s="33"/>
      <c r="OYN39" s="41"/>
      <c r="OYT39" s="42"/>
      <c r="OZA39" s="33"/>
      <c r="OZB39" s="33"/>
      <c r="OZF39" s="41"/>
      <c r="OZL39" s="42"/>
      <c r="OZS39" s="33"/>
      <c r="OZT39" s="33"/>
      <c r="OZX39" s="41"/>
      <c r="PAD39" s="42"/>
      <c r="PAK39" s="33"/>
      <c r="PAL39" s="33"/>
      <c r="PAP39" s="41"/>
      <c r="PAV39" s="42"/>
      <c r="PBC39" s="33"/>
      <c r="PBD39" s="33"/>
      <c r="PBH39" s="41"/>
      <c r="PBN39" s="42"/>
      <c r="PBU39" s="33"/>
      <c r="PBV39" s="33"/>
      <c r="PBZ39" s="41"/>
      <c r="PCF39" s="42"/>
      <c r="PCM39" s="33"/>
      <c r="PCN39" s="33"/>
      <c r="PCR39" s="41"/>
      <c r="PCX39" s="42"/>
      <c r="PDE39" s="33"/>
      <c r="PDF39" s="33"/>
      <c r="PDJ39" s="41"/>
      <c r="PDP39" s="42"/>
      <c r="PDW39" s="33"/>
      <c r="PDX39" s="33"/>
      <c r="PEB39" s="41"/>
      <c r="PEH39" s="42"/>
      <c r="PEO39" s="33"/>
      <c r="PEP39" s="33"/>
      <c r="PET39" s="41"/>
      <c r="PEZ39" s="42"/>
      <c r="PFG39" s="33"/>
      <c r="PFH39" s="33"/>
      <c r="PFL39" s="41"/>
      <c r="PFR39" s="42"/>
      <c r="PFY39" s="33"/>
      <c r="PFZ39" s="33"/>
      <c r="PGD39" s="41"/>
      <c r="PGJ39" s="42"/>
      <c r="PGQ39" s="33"/>
      <c r="PGR39" s="33"/>
      <c r="PGV39" s="41"/>
      <c r="PHB39" s="42"/>
      <c r="PHI39" s="33"/>
      <c r="PHJ39" s="33"/>
      <c r="PHN39" s="41"/>
      <c r="PHT39" s="42"/>
      <c r="PIA39" s="33"/>
      <c r="PIB39" s="33"/>
      <c r="PIF39" s="41"/>
      <c r="PIL39" s="42"/>
      <c r="PIS39" s="33"/>
      <c r="PIT39" s="33"/>
      <c r="PIX39" s="41"/>
      <c r="PJD39" s="42"/>
      <c r="PJK39" s="33"/>
      <c r="PJL39" s="33"/>
      <c r="PJP39" s="41"/>
      <c r="PJV39" s="42"/>
      <c r="PKC39" s="33"/>
      <c r="PKD39" s="33"/>
      <c r="PKH39" s="41"/>
      <c r="PKN39" s="42"/>
      <c r="PKU39" s="33"/>
      <c r="PKV39" s="33"/>
      <c r="PKZ39" s="41"/>
      <c r="PLF39" s="42"/>
      <c r="PLM39" s="33"/>
      <c r="PLN39" s="33"/>
      <c r="PLR39" s="41"/>
      <c r="PLX39" s="42"/>
      <c r="PME39" s="33"/>
      <c r="PMF39" s="33"/>
      <c r="PMJ39" s="41"/>
      <c r="PMP39" s="42"/>
      <c r="PMW39" s="33"/>
      <c r="PMX39" s="33"/>
      <c r="PNB39" s="41"/>
      <c r="PNH39" s="42"/>
      <c r="PNO39" s="33"/>
      <c r="PNP39" s="33"/>
      <c r="PNT39" s="41"/>
      <c r="PNZ39" s="42"/>
      <c r="POG39" s="33"/>
      <c r="POH39" s="33"/>
      <c r="POL39" s="41"/>
      <c r="POR39" s="42"/>
      <c r="POY39" s="33"/>
      <c r="POZ39" s="33"/>
      <c r="PPD39" s="41"/>
      <c r="PPJ39" s="42"/>
      <c r="PPQ39" s="33"/>
      <c r="PPR39" s="33"/>
      <c r="PPV39" s="41"/>
      <c r="PQB39" s="42"/>
      <c r="PQI39" s="33"/>
      <c r="PQJ39" s="33"/>
      <c r="PQN39" s="41"/>
      <c r="PQT39" s="42"/>
      <c r="PRA39" s="33"/>
      <c r="PRB39" s="33"/>
      <c r="PRF39" s="41"/>
      <c r="PRL39" s="42"/>
      <c r="PRS39" s="33"/>
      <c r="PRT39" s="33"/>
      <c r="PRX39" s="41"/>
      <c r="PSD39" s="42"/>
      <c r="PSK39" s="33"/>
      <c r="PSL39" s="33"/>
      <c r="PSP39" s="41"/>
      <c r="PSV39" s="42"/>
      <c r="PTC39" s="33"/>
      <c r="PTD39" s="33"/>
      <c r="PTH39" s="41"/>
      <c r="PTN39" s="42"/>
      <c r="PTU39" s="33"/>
      <c r="PTV39" s="33"/>
      <c r="PTZ39" s="41"/>
      <c r="PUF39" s="42"/>
      <c r="PUM39" s="33"/>
      <c r="PUN39" s="33"/>
      <c r="PUR39" s="41"/>
      <c r="PUX39" s="42"/>
      <c r="PVE39" s="33"/>
      <c r="PVF39" s="33"/>
      <c r="PVJ39" s="41"/>
      <c r="PVP39" s="42"/>
      <c r="PVW39" s="33"/>
      <c r="PVX39" s="33"/>
      <c r="PWB39" s="41"/>
      <c r="PWH39" s="42"/>
      <c r="PWO39" s="33"/>
      <c r="PWP39" s="33"/>
      <c r="PWT39" s="41"/>
      <c r="PWZ39" s="42"/>
      <c r="PXG39" s="33"/>
      <c r="PXH39" s="33"/>
      <c r="PXL39" s="41"/>
      <c r="PXR39" s="42"/>
      <c r="PXY39" s="33"/>
      <c r="PXZ39" s="33"/>
      <c r="PYD39" s="41"/>
      <c r="PYJ39" s="42"/>
      <c r="PYQ39" s="33"/>
      <c r="PYR39" s="33"/>
      <c r="PYV39" s="41"/>
      <c r="PZB39" s="42"/>
      <c r="PZI39" s="33"/>
      <c r="PZJ39" s="33"/>
      <c r="PZN39" s="41"/>
      <c r="PZT39" s="42"/>
      <c r="QAA39" s="33"/>
      <c r="QAB39" s="33"/>
      <c r="QAF39" s="41"/>
      <c r="QAL39" s="42"/>
      <c r="QAS39" s="33"/>
      <c r="QAT39" s="33"/>
      <c r="QAX39" s="41"/>
      <c r="QBD39" s="42"/>
      <c r="QBK39" s="33"/>
      <c r="QBL39" s="33"/>
      <c r="QBP39" s="41"/>
      <c r="QBV39" s="42"/>
      <c r="QCC39" s="33"/>
      <c r="QCD39" s="33"/>
      <c r="QCH39" s="41"/>
      <c r="QCN39" s="42"/>
      <c r="QCU39" s="33"/>
      <c r="QCV39" s="33"/>
      <c r="QCZ39" s="41"/>
      <c r="QDF39" s="42"/>
      <c r="QDM39" s="33"/>
      <c r="QDN39" s="33"/>
      <c r="QDR39" s="41"/>
      <c r="QDX39" s="42"/>
      <c r="QEE39" s="33"/>
      <c r="QEF39" s="33"/>
      <c r="QEJ39" s="41"/>
      <c r="QEP39" s="42"/>
      <c r="QEW39" s="33"/>
      <c r="QEX39" s="33"/>
      <c r="QFB39" s="41"/>
      <c r="QFH39" s="42"/>
      <c r="QFO39" s="33"/>
      <c r="QFP39" s="33"/>
      <c r="QFT39" s="41"/>
      <c r="QFZ39" s="42"/>
      <c r="QGG39" s="33"/>
      <c r="QGH39" s="33"/>
      <c r="QGL39" s="41"/>
      <c r="QGR39" s="42"/>
      <c r="QGY39" s="33"/>
      <c r="QGZ39" s="33"/>
      <c r="QHD39" s="41"/>
      <c r="QHJ39" s="42"/>
      <c r="QHQ39" s="33"/>
      <c r="QHR39" s="33"/>
      <c r="QHV39" s="41"/>
      <c r="QIB39" s="42"/>
      <c r="QII39" s="33"/>
      <c r="QIJ39" s="33"/>
      <c r="QIN39" s="41"/>
      <c r="QIT39" s="42"/>
      <c r="QJA39" s="33"/>
      <c r="QJB39" s="33"/>
      <c r="QJF39" s="41"/>
      <c r="QJL39" s="42"/>
      <c r="QJS39" s="33"/>
      <c r="QJT39" s="33"/>
      <c r="QJX39" s="41"/>
      <c r="QKD39" s="42"/>
      <c r="QKK39" s="33"/>
      <c r="QKL39" s="33"/>
      <c r="QKP39" s="41"/>
      <c r="QKV39" s="42"/>
      <c r="QLC39" s="33"/>
      <c r="QLD39" s="33"/>
      <c r="QLH39" s="41"/>
      <c r="QLN39" s="42"/>
      <c r="QLU39" s="33"/>
      <c r="QLV39" s="33"/>
      <c r="QLZ39" s="41"/>
      <c r="QMF39" s="42"/>
      <c r="QMM39" s="33"/>
      <c r="QMN39" s="33"/>
      <c r="QMR39" s="41"/>
      <c r="QMX39" s="42"/>
      <c r="QNE39" s="33"/>
      <c r="QNF39" s="33"/>
      <c r="QNJ39" s="41"/>
      <c r="QNP39" s="42"/>
      <c r="QNW39" s="33"/>
      <c r="QNX39" s="33"/>
      <c r="QOB39" s="41"/>
      <c r="QOH39" s="42"/>
      <c r="QOO39" s="33"/>
      <c r="QOP39" s="33"/>
      <c r="QOT39" s="41"/>
      <c r="QOZ39" s="42"/>
      <c r="QPG39" s="33"/>
      <c r="QPH39" s="33"/>
      <c r="QPL39" s="41"/>
      <c r="QPR39" s="42"/>
      <c r="QPY39" s="33"/>
      <c r="QPZ39" s="33"/>
      <c r="QQD39" s="41"/>
      <c r="QQJ39" s="42"/>
      <c r="QQQ39" s="33"/>
      <c r="QQR39" s="33"/>
      <c r="QQV39" s="41"/>
      <c r="QRB39" s="42"/>
      <c r="QRI39" s="33"/>
      <c r="QRJ39" s="33"/>
      <c r="QRN39" s="41"/>
      <c r="QRT39" s="42"/>
      <c r="QSA39" s="33"/>
      <c r="QSB39" s="33"/>
      <c r="QSF39" s="41"/>
      <c r="QSL39" s="42"/>
      <c r="QSS39" s="33"/>
      <c r="QST39" s="33"/>
      <c r="QSX39" s="41"/>
      <c r="QTD39" s="42"/>
      <c r="QTK39" s="33"/>
      <c r="QTL39" s="33"/>
      <c r="QTP39" s="41"/>
      <c r="QTV39" s="42"/>
      <c r="QUC39" s="33"/>
      <c r="QUD39" s="33"/>
      <c r="QUH39" s="41"/>
      <c r="QUN39" s="42"/>
      <c r="QUU39" s="33"/>
      <c r="QUV39" s="33"/>
      <c r="QUZ39" s="41"/>
      <c r="QVF39" s="42"/>
      <c r="QVM39" s="33"/>
      <c r="QVN39" s="33"/>
      <c r="QVR39" s="41"/>
      <c r="QVX39" s="42"/>
      <c r="QWE39" s="33"/>
      <c r="QWF39" s="33"/>
      <c r="QWJ39" s="41"/>
      <c r="QWP39" s="42"/>
      <c r="QWW39" s="33"/>
      <c r="QWX39" s="33"/>
      <c r="QXB39" s="41"/>
      <c r="QXH39" s="42"/>
      <c r="QXO39" s="33"/>
      <c r="QXP39" s="33"/>
      <c r="QXT39" s="41"/>
      <c r="QXZ39" s="42"/>
      <c r="QYG39" s="33"/>
      <c r="QYH39" s="33"/>
      <c r="QYL39" s="41"/>
      <c r="QYR39" s="42"/>
      <c r="QYY39" s="33"/>
      <c r="QYZ39" s="33"/>
      <c r="QZD39" s="41"/>
      <c r="QZJ39" s="42"/>
      <c r="QZQ39" s="33"/>
      <c r="QZR39" s="33"/>
      <c r="QZV39" s="41"/>
      <c r="RAB39" s="42"/>
      <c r="RAI39" s="33"/>
      <c r="RAJ39" s="33"/>
      <c r="RAN39" s="41"/>
      <c r="RAT39" s="42"/>
      <c r="RBA39" s="33"/>
      <c r="RBB39" s="33"/>
      <c r="RBF39" s="41"/>
      <c r="RBL39" s="42"/>
      <c r="RBS39" s="33"/>
      <c r="RBT39" s="33"/>
      <c r="RBX39" s="41"/>
      <c r="RCD39" s="42"/>
      <c r="RCK39" s="33"/>
      <c r="RCL39" s="33"/>
      <c r="RCP39" s="41"/>
      <c r="RCV39" s="42"/>
      <c r="RDC39" s="33"/>
      <c r="RDD39" s="33"/>
      <c r="RDH39" s="41"/>
      <c r="RDN39" s="42"/>
      <c r="RDU39" s="33"/>
      <c r="RDV39" s="33"/>
      <c r="RDZ39" s="41"/>
      <c r="REF39" s="42"/>
      <c r="REM39" s="33"/>
      <c r="REN39" s="33"/>
      <c r="RER39" s="41"/>
      <c r="REX39" s="42"/>
      <c r="RFE39" s="33"/>
      <c r="RFF39" s="33"/>
      <c r="RFJ39" s="41"/>
      <c r="RFP39" s="42"/>
      <c r="RFW39" s="33"/>
      <c r="RFX39" s="33"/>
      <c r="RGB39" s="41"/>
      <c r="RGH39" s="42"/>
      <c r="RGO39" s="33"/>
      <c r="RGP39" s="33"/>
      <c r="RGT39" s="41"/>
      <c r="RGZ39" s="42"/>
      <c r="RHG39" s="33"/>
      <c r="RHH39" s="33"/>
      <c r="RHL39" s="41"/>
      <c r="RHR39" s="42"/>
      <c r="RHY39" s="33"/>
      <c r="RHZ39" s="33"/>
      <c r="RID39" s="41"/>
      <c r="RIJ39" s="42"/>
      <c r="RIQ39" s="33"/>
      <c r="RIR39" s="33"/>
      <c r="RIV39" s="41"/>
      <c r="RJB39" s="42"/>
      <c r="RJI39" s="33"/>
      <c r="RJJ39" s="33"/>
      <c r="RJN39" s="41"/>
      <c r="RJT39" s="42"/>
      <c r="RKA39" s="33"/>
      <c r="RKB39" s="33"/>
      <c r="RKF39" s="41"/>
      <c r="RKL39" s="42"/>
      <c r="RKS39" s="33"/>
      <c r="RKT39" s="33"/>
      <c r="RKX39" s="41"/>
      <c r="RLD39" s="42"/>
      <c r="RLK39" s="33"/>
      <c r="RLL39" s="33"/>
      <c r="RLP39" s="41"/>
      <c r="RLV39" s="42"/>
      <c r="RMC39" s="33"/>
      <c r="RMD39" s="33"/>
      <c r="RMH39" s="41"/>
      <c r="RMN39" s="42"/>
      <c r="RMU39" s="33"/>
      <c r="RMV39" s="33"/>
      <c r="RMZ39" s="41"/>
      <c r="RNF39" s="42"/>
      <c r="RNM39" s="33"/>
      <c r="RNN39" s="33"/>
      <c r="RNR39" s="41"/>
      <c r="RNX39" s="42"/>
      <c r="ROE39" s="33"/>
      <c r="ROF39" s="33"/>
      <c r="ROJ39" s="41"/>
      <c r="ROP39" s="42"/>
      <c r="ROW39" s="33"/>
      <c r="ROX39" s="33"/>
      <c r="RPB39" s="41"/>
      <c r="RPH39" s="42"/>
      <c r="RPO39" s="33"/>
      <c r="RPP39" s="33"/>
      <c r="RPT39" s="41"/>
      <c r="RPZ39" s="42"/>
      <c r="RQG39" s="33"/>
      <c r="RQH39" s="33"/>
      <c r="RQL39" s="41"/>
      <c r="RQR39" s="42"/>
      <c r="RQY39" s="33"/>
      <c r="RQZ39" s="33"/>
      <c r="RRD39" s="41"/>
      <c r="RRJ39" s="42"/>
      <c r="RRQ39" s="33"/>
      <c r="RRR39" s="33"/>
      <c r="RRV39" s="41"/>
      <c r="RSB39" s="42"/>
      <c r="RSI39" s="33"/>
      <c r="RSJ39" s="33"/>
      <c r="RSN39" s="41"/>
      <c r="RST39" s="42"/>
      <c r="RTA39" s="33"/>
      <c r="RTB39" s="33"/>
      <c r="RTF39" s="41"/>
      <c r="RTL39" s="42"/>
      <c r="RTS39" s="33"/>
      <c r="RTT39" s="33"/>
      <c r="RTX39" s="41"/>
      <c r="RUD39" s="42"/>
      <c r="RUK39" s="33"/>
      <c r="RUL39" s="33"/>
      <c r="RUP39" s="41"/>
      <c r="RUV39" s="42"/>
      <c r="RVC39" s="33"/>
      <c r="RVD39" s="33"/>
      <c r="RVH39" s="41"/>
      <c r="RVN39" s="42"/>
      <c r="RVU39" s="33"/>
      <c r="RVV39" s="33"/>
      <c r="RVZ39" s="41"/>
      <c r="RWF39" s="42"/>
      <c r="RWM39" s="33"/>
      <c r="RWN39" s="33"/>
      <c r="RWR39" s="41"/>
      <c r="RWX39" s="42"/>
      <c r="RXE39" s="33"/>
      <c r="RXF39" s="33"/>
      <c r="RXJ39" s="41"/>
      <c r="RXP39" s="42"/>
      <c r="RXW39" s="33"/>
      <c r="RXX39" s="33"/>
      <c r="RYB39" s="41"/>
      <c r="RYH39" s="42"/>
      <c r="RYO39" s="33"/>
      <c r="RYP39" s="33"/>
      <c r="RYT39" s="41"/>
      <c r="RYZ39" s="42"/>
      <c r="RZG39" s="33"/>
      <c r="RZH39" s="33"/>
      <c r="RZL39" s="41"/>
      <c r="RZR39" s="42"/>
      <c r="RZY39" s="33"/>
      <c r="RZZ39" s="33"/>
      <c r="SAD39" s="41"/>
      <c r="SAJ39" s="42"/>
      <c r="SAQ39" s="33"/>
      <c r="SAR39" s="33"/>
      <c r="SAV39" s="41"/>
      <c r="SBB39" s="42"/>
      <c r="SBI39" s="33"/>
      <c r="SBJ39" s="33"/>
      <c r="SBN39" s="41"/>
      <c r="SBT39" s="42"/>
      <c r="SCA39" s="33"/>
      <c r="SCB39" s="33"/>
      <c r="SCF39" s="41"/>
      <c r="SCL39" s="42"/>
      <c r="SCS39" s="33"/>
      <c r="SCT39" s="33"/>
      <c r="SCX39" s="41"/>
      <c r="SDD39" s="42"/>
      <c r="SDK39" s="33"/>
      <c r="SDL39" s="33"/>
      <c r="SDP39" s="41"/>
      <c r="SDV39" s="42"/>
      <c r="SEC39" s="33"/>
      <c r="SED39" s="33"/>
      <c r="SEH39" s="41"/>
      <c r="SEN39" s="42"/>
      <c r="SEU39" s="33"/>
      <c r="SEV39" s="33"/>
      <c r="SEZ39" s="41"/>
      <c r="SFF39" s="42"/>
      <c r="SFM39" s="33"/>
      <c r="SFN39" s="33"/>
      <c r="SFR39" s="41"/>
      <c r="SFX39" s="42"/>
      <c r="SGE39" s="33"/>
      <c r="SGF39" s="33"/>
      <c r="SGJ39" s="41"/>
      <c r="SGP39" s="42"/>
      <c r="SGW39" s="33"/>
      <c r="SGX39" s="33"/>
      <c r="SHB39" s="41"/>
      <c r="SHH39" s="42"/>
      <c r="SHO39" s="33"/>
      <c r="SHP39" s="33"/>
      <c r="SHT39" s="41"/>
      <c r="SHZ39" s="42"/>
      <c r="SIG39" s="33"/>
      <c r="SIH39" s="33"/>
      <c r="SIL39" s="41"/>
      <c r="SIR39" s="42"/>
      <c r="SIY39" s="33"/>
      <c r="SIZ39" s="33"/>
      <c r="SJD39" s="41"/>
      <c r="SJJ39" s="42"/>
      <c r="SJQ39" s="33"/>
      <c r="SJR39" s="33"/>
      <c r="SJV39" s="41"/>
      <c r="SKB39" s="42"/>
      <c r="SKI39" s="33"/>
      <c r="SKJ39" s="33"/>
      <c r="SKN39" s="41"/>
      <c r="SKT39" s="42"/>
      <c r="SLA39" s="33"/>
      <c r="SLB39" s="33"/>
      <c r="SLF39" s="41"/>
      <c r="SLL39" s="42"/>
      <c r="SLS39" s="33"/>
      <c r="SLT39" s="33"/>
      <c r="SLX39" s="41"/>
      <c r="SMD39" s="42"/>
      <c r="SMK39" s="33"/>
      <c r="SML39" s="33"/>
      <c r="SMP39" s="41"/>
      <c r="SMV39" s="42"/>
      <c r="SNC39" s="33"/>
      <c r="SND39" s="33"/>
      <c r="SNH39" s="41"/>
      <c r="SNN39" s="42"/>
      <c r="SNU39" s="33"/>
      <c r="SNV39" s="33"/>
      <c r="SNZ39" s="41"/>
      <c r="SOF39" s="42"/>
      <c r="SOM39" s="33"/>
      <c r="SON39" s="33"/>
      <c r="SOR39" s="41"/>
      <c r="SOX39" s="42"/>
      <c r="SPE39" s="33"/>
      <c r="SPF39" s="33"/>
      <c r="SPJ39" s="41"/>
      <c r="SPP39" s="42"/>
      <c r="SPW39" s="33"/>
      <c r="SPX39" s="33"/>
      <c r="SQB39" s="41"/>
      <c r="SQH39" s="42"/>
      <c r="SQO39" s="33"/>
      <c r="SQP39" s="33"/>
      <c r="SQT39" s="41"/>
      <c r="SQZ39" s="42"/>
      <c r="SRG39" s="33"/>
      <c r="SRH39" s="33"/>
      <c r="SRL39" s="41"/>
      <c r="SRR39" s="42"/>
      <c r="SRY39" s="33"/>
      <c r="SRZ39" s="33"/>
      <c r="SSD39" s="41"/>
      <c r="SSJ39" s="42"/>
      <c r="SSQ39" s="33"/>
      <c r="SSR39" s="33"/>
      <c r="SSV39" s="41"/>
      <c r="STB39" s="42"/>
      <c r="STI39" s="33"/>
      <c r="STJ39" s="33"/>
      <c r="STN39" s="41"/>
      <c r="STT39" s="42"/>
      <c r="SUA39" s="33"/>
      <c r="SUB39" s="33"/>
      <c r="SUF39" s="41"/>
      <c r="SUL39" s="42"/>
      <c r="SUS39" s="33"/>
      <c r="SUT39" s="33"/>
      <c r="SUX39" s="41"/>
      <c r="SVD39" s="42"/>
      <c r="SVK39" s="33"/>
      <c r="SVL39" s="33"/>
      <c r="SVP39" s="41"/>
      <c r="SVV39" s="42"/>
      <c r="SWC39" s="33"/>
      <c r="SWD39" s="33"/>
      <c r="SWH39" s="41"/>
      <c r="SWN39" s="42"/>
      <c r="SWU39" s="33"/>
      <c r="SWV39" s="33"/>
      <c r="SWZ39" s="41"/>
      <c r="SXF39" s="42"/>
      <c r="SXM39" s="33"/>
      <c r="SXN39" s="33"/>
      <c r="SXR39" s="41"/>
      <c r="SXX39" s="42"/>
      <c r="SYE39" s="33"/>
      <c r="SYF39" s="33"/>
      <c r="SYJ39" s="41"/>
      <c r="SYP39" s="42"/>
      <c r="SYW39" s="33"/>
      <c r="SYX39" s="33"/>
      <c r="SZB39" s="41"/>
      <c r="SZH39" s="42"/>
      <c r="SZO39" s="33"/>
      <c r="SZP39" s="33"/>
      <c r="SZT39" s="41"/>
      <c r="SZZ39" s="42"/>
      <c r="TAG39" s="33"/>
      <c r="TAH39" s="33"/>
      <c r="TAL39" s="41"/>
      <c r="TAR39" s="42"/>
      <c r="TAY39" s="33"/>
      <c r="TAZ39" s="33"/>
      <c r="TBD39" s="41"/>
      <c r="TBJ39" s="42"/>
      <c r="TBQ39" s="33"/>
      <c r="TBR39" s="33"/>
      <c r="TBV39" s="41"/>
      <c r="TCB39" s="42"/>
      <c r="TCI39" s="33"/>
      <c r="TCJ39" s="33"/>
      <c r="TCN39" s="41"/>
      <c r="TCT39" s="42"/>
      <c r="TDA39" s="33"/>
      <c r="TDB39" s="33"/>
      <c r="TDF39" s="41"/>
      <c r="TDL39" s="42"/>
      <c r="TDS39" s="33"/>
      <c r="TDT39" s="33"/>
      <c r="TDX39" s="41"/>
      <c r="TED39" s="42"/>
      <c r="TEK39" s="33"/>
      <c r="TEL39" s="33"/>
      <c r="TEP39" s="41"/>
      <c r="TEV39" s="42"/>
      <c r="TFC39" s="33"/>
      <c r="TFD39" s="33"/>
      <c r="TFH39" s="41"/>
      <c r="TFN39" s="42"/>
      <c r="TFU39" s="33"/>
      <c r="TFV39" s="33"/>
      <c r="TFZ39" s="41"/>
      <c r="TGF39" s="42"/>
      <c r="TGM39" s="33"/>
      <c r="TGN39" s="33"/>
      <c r="TGR39" s="41"/>
      <c r="TGX39" s="42"/>
      <c r="THE39" s="33"/>
      <c r="THF39" s="33"/>
      <c r="THJ39" s="41"/>
      <c r="THP39" s="42"/>
      <c r="THW39" s="33"/>
      <c r="THX39" s="33"/>
      <c r="TIB39" s="41"/>
      <c r="TIH39" s="42"/>
      <c r="TIO39" s="33"/>
      <c r="TIP39" s="33"/>
      <c r="TIT39" s="41"/>
      <c r="TIZ39" s="42"/>
      <c r="TJG39" s="33"/>
      <c r="TJH39" s="33"/>
      <c r="TJL39" s="41"/>
      <c r="TJR39" s="42"/>
      <c r="TJY39" s="33"/>
      <c r="TJZ39" s="33"/>
      <c r="TKD39" s="41"/>
      <c r="TKJ39" s="42"/>
      <c r="TKQ39" s="33"/>
      <c r="TKR39" s="33"/>
      <c r="TKV39" s="41"/>
      <c r="TLB39" s="42"/>
      <c r="TLI39" s="33"/>
      <c r="TLJ39" s="33"/>
      <c r="TLN39" s="41"/>
      <c r="TLT39" s="42"/>
      <c r="TMA39" s="33"/>
      <c r="TMB39" s="33"/>
      <c r="TMF39" s="41"/>
      <c r="TML39" s="42"/>
      <c r="TMS39" s="33"/>
      <c r="TMT39" s="33"/>
      <c r="TMX39" s="41"/>
      <c r="TND39" s="42"/>
      <c r="TNK39" s="33"/>
      <c r="TNL39" s="33"/>
      <c r="TNP39" s="41"/>
      <c r="TNV39" s="42"/>
      <c r="TOC39" s="33"/>
      <c r="TOD39" s="33"/>
      <c r="TOH39" s="41"/>
      <c r="TON39" s="42"/>
      <c r="TOU39" s="33"/>
      <c r="TOV39" s="33"/>
      <c r="TOZ39" s="41"/>
      <c r="TPF39" s="42"/>
      <c r="TPM39" s="33"/>
      <c r="TPN39" s="33"/>
      <c r="TPR39" s="41"/>
      <c r="TPX39" s="42"/>
      <c r="TQE39" s="33"/>
      <c r="TQF39" s="33"/>
      <c r="TQJ39" s="41"/>
      <c r="TQP39" s="42"/>
      <c r="TQW39" s="33"/>
      <c r="TQX39" s="33"/>
      <c r="TRB39" s="41"/>
      <c r="TRH39" s="42"/>
      <c r="TRO39" s="33"/>
      <c r="TRP39" s="33"/>
      <c r="TRT39" s="41"/>
      <c r="TRZ39" s="42"/>
      <c r="TSG39" s="33"/>
      <c r="TSH39" s="33"/>
      <c r="TSL39" s="41"/>
      <c r="TSR39" s="42"/>
      <c r="TSY39" s="33"/>
      <c r="TSZ39" s="33"/>
      <c r="TTD39" s="41"/>
      <c r="TTJ39" s="42"/>
      <c r="TTQ39" s="33"/>
      <c r="TTR39" s="33"/>
      <c r="TTV39" s="41"/>
      <c r="TUB39" s="42"/>
      <c r="TUI39" s="33"/>
      <c r="TUJ39" s="33"/>
      <c r="TUN39" s="41"/>
      <c r="TUT39" s="42"/>
      <c r="TVA39" s="33"/>
      <c r="TVB39" s="33"/>
      <c r="TVF39" s="41"/>
      <c r="TVL39" s="42"/>
      <c r="TVS39" s="33"/>
      <c r="TVT39" s="33"/>
      <c r="TVX39" s="41"/>
      <c r="TWD39" s="42"/>
      <c r="TWK39" s="33"/>
      <c r="TWL39" s="33"/>
      <c r="TWP39" s="41"/>
      <c r="TWV39" s="42"/>
      <c r="TXC39" s="33"/>
      <c r="TXD39" s="33"/>
      <c r="TXH39" s="41"/>
      <c r="TXN39" s="42"/>
      <c r="TXU39" s="33"/>
      <c r="TXV39" s="33"/>
      <c r="TXZ39" s="41"/>
      <c r="TYF39" s="42"/>
      <c r="TYM39" s="33"/>
      <c r="TYN39" s="33"/>
      <c r="TYR39" s="41"/>
      <c r="TYX39" s="42"/>
      <c r="TZE39" s="33"/>
      <c r="TZF39" s="33"/>
      <c r="TZJ39" s="41"/>
      <c r="TZP39" s="42"/>
      <c r="TZW39" s="33"/>
      <c r="TZX39" s="33"/>
      <c r="UAB39" s="41"/>
      <c r="UAH39" s="42"/>
      <c r="UAO39" s="33"/>
      <c r="UAP39" s="33"/>
      <c r="UAT39" s="41"/>
      <c r="UAZ39" s="42"/>
      <c r="UBG39" s="33"/>
      <c r="UBH39" s="33"/>
      <c r="UBL39" s="41"/>
      <c r="UBR39" s="42"/>
      <c r="UBY39" s="33"/>
      <c r="UBZ39" s="33"/>
      <c r="UCD39" s="41"/>
      <c r="UCJ39" s="42"/>
      <c r="UCQ39" s="33"/>
      <c r="UCR39" s="33"/>
      <c r="UCV39" s="41"/>
      <c r="UDB39" s="42"/>
      <c r="UDI39" s="33"/>
      <c r="UDJ39" s="33"/>
      <c r="UDN39" s="41"/>
      <c r="UDT39" s="42"/>
      <c r="UEA39" s="33"/>
      <c r="UEB39" s="33"/>
      <c r="UEF39" s="41"/>
      <c r="UEL39" s="42"/>
      <c r="UES39" s="33"/>
      <c r="UET39" s="33"/>
      <c r="UEX39" s="41"/>
      <c r="UFD39" s="42"/>
      <c r="UFK39" s="33"/>
      <c r="UFL39" s="33"/>
      <c r="UFP39" s="41"/>
      <c r="UFV39" s="42"/>
      <c r="UGC39" s="33"/>
      <c r="UGD39" s="33"/>
      <c r="UGH39" s="41"/>
      <c r="UGN39" s="42"/>
      <c r="UGU39" s="33"/>
      <c r="UGV39" s="33"/>
      <c r="UGZ39" s="41"/>
      <c r="UHF39" s="42"/>
      <c r="UHM39" s="33"/>
      <c r="UHN39" s="33"/>
      <c r="UHR39" s="41"/>
      <c r="UHX39" s="42"/>
      <c r="UIE39" s="33"/>
      <c r="UIF39" s="33"/>
      <c r="UIJ39" s="41"/>
      <c r="UIP39" s="42"/>
      <c r="UIW39" s="33"/>
      <c r="UIX39" s="33"/>
      <c r="UJB39" s="41"/>
      <c r="UJH39" s="42"/>
      <c r="UJO39" s="33"/>
      <c r="UJP39" s="33"/>
      <c r="UJT39" s="41"/>
      <c r="UJZ39" s="42"/>
      <c r="UKG39" s="33"/>
      <c r="UKH39" s="33"/>
      <c r="UKL39" s="41"/>
      <c r="UKR39" s="42"/>
      <c r="UKY39" s="33"/>
      <c r="UKZ39" s="33"/>
      <c r="ULD39" s="41"/>
      <c r="ULJ39" s="42"/>
      <c r="ULQ39" s="33"/>
      <c r="ULR39" s="33"/>
      <c r="ULV39" s="41"/>
      <c r="UMB39" s="42"/>
      <c r="UMI39" s="33"/>
      <c r="UMJ39" s="33"/>
      <c r="UMN39" s="41"/>
      <c r="UMT39" s="42"/>
      <c r="UNA39" s="33"/>
      <c r="UNB39" s="33"/>
      <c r="UNF39" s="41"/>
      <c r="UNL39" s="42"/>
      <c r="UNS39" s="33"/>
      <c r="UNT39" s="33"/>
      <c r="UNX39" s="41"/>
      <c r="UOD39" s="42"/>
      <c r="UOK39" s="33"/>
      <c r="UOL39" s="33"/>
      <c r="UOP39" s="41"/>
      <c r="UOV39" s="42"/>
      <c r="UPC39" s="33"/>
      <c r="UPD39" s="33"/>
      <c r="UPH39" s="41"/>
      <c r="UPN39" s="42"/>
      <c r="UPU39" s="33"/>
      <c r="UPV39" s="33"/>
      <c r="UPZ39" s="41"/>
      <c r="UQF39" s="42"/>
      <c r="UQM39" s="33"/>
      <c r="UQN39" s="33"/>
      <c r="UQR39" s="41"/>
      <c r="UQX39" s="42"/>
      <c r="URE39" s="33"/>
      <c r="URF39" s="33"/>
      <c r="URJ39" s="41"/>
      <c r="URP39" s="42"/>
      <c r="URW39" s="33"/>
      <c r="URX39" s="33"/>
      <c r="USB39" s="41"/>
      <c r="USH39" s="42"/>
      <c r="USO39" s="33"/>
      <c r="USP39" s="33"/>
      <c r="UST39" s="41"/>
      <c r="USZ39" s="42"/>
      <c r="UTG39" s="33"/>
      <c r="UTH39" s="33"/>
      <c r="UTL39" s="41"/>
      <c r="UTR39" s="42"/>
      <c r="UTY39" s="33"/>
      <c r="UTZ39" s="33"/>
      <c r="UUD39" s="41"/>
      <c r="UUJ39" s="42"/>
      <c r="UUQ39" s="33"/>
      <c r="UUR39" s="33"/>
      <c r="UUV39" s="41"/>
      <c r="UVB39" s="42"/>
      <c r="UVI39" s="33"/>
      <c r="UVJ39" s="33"/>
      <c r="UVN39" s="41"/>
      <c r="UVT39" s="42"/>
      <c r="UWA39" s="33"/>
      <c r="UWB39" s="33"/>
      <c r="UWF39" s="41"/>
      <c r="UWL39" s="42"/>
      <c r="UWS39" s="33"/>
      <c r="UWT39" s="33"/>
      <c r="UWX39" s="41"/>
      <c r="UXD39" s="42"/>
      <c r="UXK39" s="33"/>
      <c r="UXL39" s="33"/>
      <c r="UXP39" s="41"/>
      <c r="UXV39" s="42"/>
      <c r="UYC39" s="33"/>
      <c r="UYD39" s="33"/>
      <c r="UYH39" s="41"/>
      <c r="UYN39" s="42"/>
      <c r="UYU39" s="33"/>
      <c r="UYV39" s="33"/>
      <c r="UYZ39" s="41"/>
      <c r="UZF39" s="42"/>
      <c r="UZM39" s="33"/>
      <c r="UZN39" s="33"/>
      <c r="UZR39" s="41"/>
      <c r="UZX39" s="42"/>
      <c r="VAE39" s="33"/>
      <c r="VAF39" s="33"/>
      <c r="VAJ39" s="41"/>
      <c r="VAP39" s="42"/>
      <c r="VAW39" s="33"/>
      <c r="VAX39" s="33"/>
      <c r="VBB39" s="41"/>
      <c r="VBH39" s="42"/>
      <c r="VBO39" s="33"/>
      <c r="VBP39" s="33"/>
      <c r="VBT39" s="41"/>
      <c r="VBZ39" s="42"/>
      <c r="VCG39" s="33"/>
      <c r="VCH39" s="33"/>
      <c r="VCL39" s="41"/>
      <c r="VCR39" s="42"/>
      <c r="VCY39" s="33"/>
      <c r="VCZ39" s="33"/>
      <c r="VDD39" s="41"/>
      <c r="VDJ39" s="42"/>
      <c r="VDQ39" s="33"/>
      <c r="VDR39" s="33"/>
      <c r="VDV39" s="41"/>
      <c r="VEB39" s="42"/>
      <c r="VEI39" s="33"/>
      <c r="VEJ39" s="33"/>
      <c r="VEN39" s="41"/>
      <c r="VET39" s="42"/>
      <c r="VFA39" s="33"/>
      <c r="VFB39" s="33"/>
      <c r="VFF39" s="41"/>
      <c r="VFL39" s="42"/>
      <c r="VFS39" s="33"/>
      <c r="VFT39" s="33"/>
      <c r="VFX39" s="41"/>
      <c r="VGD39" s="42"/>
      <c r="VGK39" s="33"/>
      <c r="VGL39" s="33"/>
      <c r="VGP39" s="41"/>
      <c r="VGV39" s="42"/>
      <c r="VHC39" s="33"/>
      <c r="VHD39" s="33"/>
      <c r="VHH39" s="41"/>
      <c r="VHN39" s="42"/>
      <c r="VHU39" s="33"/>
      <c r="VHV39" s="33"/>
      <c r="VHZ39" s="41"/>
      <c r="VIF39" s="42"/>
      <c r="VIM39" s="33"/>
      <c r="VIN39" s="33"/>
      <c r="VIR39" s="41"/>
      <c r="VIX39" s="42"/>
      <c r="VJE39" s="33"/>
      <c r="VJF39" s="33"/>
      <c r="VJJ39" s="41"/>
      <c r="VJP39" s="42"/>
      <c r="VJW39" s="33"/>
      <c r="VJX39" s="33"/>
      <c r="VKB39" s="41"/>
      <c r="VKH39" s="42"/>
      <c r="VKO39" s="33"/>
      <c r="VKP39" s="33"/>
      <c r="VKT39" s="41"/>
      <c r="VKZ39" s="42"/>
      <c r="VLG39" s="33"/>
      <c r="VLH39" s="33"/>
      <c r="VLL39" s="41"/>
      <c r="VLR39" s="42"/>
      <c r="VLY39" s="33"/>
      <c r="VLZ39" s="33"/>
      <c r="VMD39" s="41"/>
      <c r="VMJ39" s="42"/>
      <c r="VMQ39" s="33"/>
      <c r="VMR39" s="33"/>
      <c r="VMV39" s="41"/>
      <c r="VNB39" s="42"/>
      <c r="VNI39" s="33"/>
      <c r="VNJ39" s="33"/>
      <c r="VNN39" s="41"/>
      <c r="VNT39" s="42"/>
      <c r="VOA39" s="33"/>
      <c r="VOB39" s="33"/>
      <c r="VOF39" s="41"/>
      <c r="VOL39" s="42"/>
      <c r="VOS39" s="33"/>
      <c r="VOT39" s="33"/>
      <c r="VOX39" s="41"/>
      <c r="VPD39" s="42"/>
      <c r="VPK39" s="33"/>
      <c r="VPL39" s="33"/>
      <c r="VPP39" s="41"/>
      <c r="VPV39" s="42"/>
      <c r="VQC39" s="33"/>
      <c r="VQD39" s="33"/>
      <c r="VQH39" s="41"/>
      <c r="VQN39" s="42"/>
      <c r="VQU39" s="33"/>
      <c r="VQV39" s="33"/>
      <c r="VQZ39" s="41"/>
      <c r="VRF39" s="42"/>
      <c r="VRM39" s="33"/>
      <c r="VRN39" s="33"/>
      <c r="VRR39" s="41"/>
      <c r="VRX39" s="42"/>
      <c r="VSE39" s="33"/>
      <c r="VSF39" s="33"/>
      <c r="VSJ39" s="41"/>
      <c r="VSP39" s="42"/>
      <c r="VSW39" s="33"/>
      <c r="VSX39" s="33"/>
      <c r="VTB39" s="41"/>
      <c r="VTH39" s="42"/>
      <c r="VTO39" s="33"/>
      <c r="VTP39" s="33"/>
      <c r="VTT39" s="41"/>
      <c r="VTZ39" s="42"/>
      <c r="VUG39" s="33"/>
      <c r="VUH39" s="33"/>
      <c r="VUL39" s="41"/>
      <c r="VUR39" s="42"/>
      <c r="VUY39" s="33"/>
      <c r="VUZ39" s="33"/>
      <c r="VVD39" s="41"/>
      <c r="VVJ39" s="42"/>
      <c r="VVQ39" s="33"/>
      <c r="VVR39" s="33"/>
      <c r="VVV39" s="41"/>
      <c r="VWB39" s="42"/>
      <c r="VWI39" s="33"/>
      <c r="VWJ39" s="33"/>
      <c r="VWN39" s="41"/>
      <c r="VWT39" s="42"/>
      <c r="VXA39" s="33"/>
      <c r="VXB39" s="33"/>
      <c r="VXF39" s="41"/>
      <c r="VXL39" s="42"/>
      <c r="VXS39" s="33"/>
      <c r="VXT39" s="33"/>
      <c r="VXX39" s="41"/>
      <c r="VYD39" s="42"/>
      <c r="VYK39" s="33"/>
      <c r="VYL39" s="33"/>
      <c r="VYP39" s="41"/>
      <c r="VYV39" s="42"/>
      <c r="VZC39" s="33"/>
      <c r="VZD39" s="33"/>
      <c r="VZH39" s="41"/>
      <c r="VZN39" s="42"/>
      <c r="VZU39" s="33"/>
      <c r="VZV39" s="33"/>
      <c r="VZZ39" s="41"/>
      <c r="WAF39" s="42"/>
      <c r="WAM39" s="33"/>
      <c r="WAN39" s="33"/>
      <c r="WAR39" s="41"/>
      <c r="WAX39" s="42"/>
      <c r="WBE39" s="33"/>
      <c r="WBF39" s="33"/>
      <c r="WBJ39" s="41"/>
      <c r="WBP39" s="42"/>
      <c r="WBW39" s="33"/>
      <c r="WBX39" s="33"/>
      <c r="WCB39" s="41"/>
      <c r="WCH39" s="42"/>
      <c r="WCO39" s="33"/>
      <c r="WCP39" s="33"/>
      <c r="WCT39" s="41"/>
      <c r="WCZ39" s="42"/>
      <c r="WDG39" s="33"/>
      <c r="WDH39" s="33"/>
      <c r="WDL39" s="41"/>
      <c r="WDR39" s="42"/>
      <c r="WDY39" s="33"/>
      <c r="WDZ39" s="33"/>
      <c r="WED39" s="41"/>
      <c r="WEJ39" s="42"/>
      <c r="WEQ39" s="33"/>
      <c r="WER39" s="33"/>
      <c r="WEV39" s="41"/>
      <c r="WFB39" s="42"/>
      <c r="WFI39" s="33"/>
      <c r="WFJ39" s="33"/>
      <c r="WFN39" s="41"/>
      <c r="WFT39" s="42"/>
      <c r="WGA39" s="33"/>
      <c r="WGB39" s="33"/>
      <c r="WGF39" s="41"/>
      <c r="WGL39" s="42"/>
      <c r="WGS39" s="33"/>
      <c r="WGT39" s="33"/>
      <c r="WGX39" s="41"/>
      <c r="WHD39" s="42"/>
      <c r="WHK39" s="33"/>
      <c r="WHL39" s="33"/>
      <c r="WHP39" s="41"/>
      <c r="WHV39" s="42"/>
      <c r="WIC39" s="33"/>
      <c r="WID39" s="33"/>
      <c r="WIH39" s="41"/>
      <c r="WIN39" s="42"/>
      <c r="WIU39" s="33"/>
      <c r="WIV39" s="33"/>
      <c r="WIZ39" s="41"/>
      <c r="WJF39" s="42"/>
      <c r="WJM39" s="33"/>
      <c r="WJN39" s="33"/>
      <c r="WJR39" s="41"/>
      <c r="WJX39" s="42"/>
      <c r="WKE39" s="33"/>
      <c r="WKF39" s="33"/>
      <c r="WKJ39" s="41"/>
      <c r="WKP39" s="42"/>
      <c r="WKW39" s="33"/>
      <c r="WKX39" s="33"/>
      <c r="WLB39" s="41"/>
      <c r="WLH39" s="42"/>
      <c r="WLO39" s="33"/>
      <c r="WLP39" s="33"/>
      <c r="WLT39" s="41"/>
      <c r="WLZ39" s="42"/>
      <c r="WMG39" s="33"/>
      <c r="WMH39" s="33"/>
      <c r="WML39" s="41"/>
      <c r="WMR39" s="42"/>
      <c r="WMY39" s="33"/>
      <c r="WMZ39" s="33"/>
      <c r="WND39" s="41"/>
      <c r="WNJ39" s="42"/>
      <c r="WNQ39" s="33"/>
      <c r="WNR39" s="33"/>
      <c r="WNV39" s="41"/>
      <c r="WOB39" s="42"/>
      <c r="WOI39" s="33"/>
      <c r="WOJ39" s="33"/>
      <c r="WON39" s="41"/>
      <c r="WOT39" s="42"/>
      <c r="WPA39" s="33"/>
      <c r="WPB39" s="33"/>
      <c r="WPF39" s="41"/>
      <c r="WPL39" s="42"/>
      <c r="WPS39" s="33"/>
      <c r="WPT39" s="33"/>
      <c r="WPX39" s="41"/>
      <c r="WQD39" s="42"/>
      <c r="WQK39" s="33"/>
      <c r="WQL39" s="33"/>
      <c r="WQP39" s="41"/>
      <c r="WQV39" s="42"/>
      <c r="WRC39" s="33"/>
      <c r="WRD39" s="33"/>
      <c r="WRH39" s="41"/>
      <c r="WRN39" s="42"/>
      <c r="WRU39" s="33"/>
      <c r="WRV39" s="33"/>
      <c r="WRZ39" s="41"/>
      <c r="WSF39" s="42"/>
      <c r="WSM39" s="33"/>
      <c r="WSN39" s="33"/>
      <c r="WSR39" s="41"/>
      <c r="WSX39" s="42"/>
      <c r="WTE39" s="33"/>
      <c r="WTF39" s="33"/>
      <c r="WTJ39" s="41"/>
      <c r="WTP39" s="42"/>
      <c r="WTW39" s="33"/>
      <c r="WTX39" s="33"/>
      <c r="WUB39" s="41"/>
      <c r="WUH39" s="42"/>
      <c r="WUO39" s="33"/>
      <c r="WUP39" s="33"/>
      <c r="WUT39" s="41"/>
      <c r="WUZ39" s="42"/>
      <c r="WVG39" s="33"/>
      <c r="WVH39" s="33"/>
      <c r="WVL39" s="41"/>
      <c r="WVR39" s="42"/>
      <c r="WVY39" s="33"/>
      <c r="WVZ39" s="33"/>
      <c r="WWD39" s="41"/>
      <c r="WWJ39" s="42"/>
      <c r="WWQ39" s="33"/>
      <c r="WWR39" s="33"/>
      <c r="WWV39" s="41"/>
      <c r="WXB39" s="42"/>
      <c r="WXI39" s="33"/>
      <c r="WXJ39" s="33"/>
      <c r="WXN39" s="41"/>
      <c r="WXT39" s="42"/>
      <c r="WYA39" s="33"/>
      <c r="WYB39" s="33"/>
      <c r="WYF39" s="41"/>
      <c r="WYL39" s="42"/>
      <c r="WYS39" s="33"/>
      <c r="WYT39" s="33"/>
      <c r="WYX39" s="41"/>
      <c r="WZD39" s="42"/>
      <c r="WZK39" s="33"/>
      <c r="WZL39" s="33"/>
      <c r="WZP39" s="41"/>
      <c r="WZV39" s="42"/>
      <c r="XAC39" s="33"/>
      <c r="XAD39" s="33"/>
      <c r="XAH39" s="41"/>
      <c r="XAN39" s="42"/>
      <c r="XAU39" s="33"/>
      <c r="XAV39" s="33"/>
      <c r="XAZ39" s="41"/>
      <c r="XBF39" s="42"/>
      <c r="XBM39" s="33"/>
      <c r="XBN39" s="33"/>
      <c r="XBR39" s="41"/>
      <c r="XBX39" s="42"/>
      <c r="XCE39" s="33"/>
      <c r="XCF39" s="33"/>
      <c r="XCJ39" s="41"/>
      <c r="XCP39" s="42"/>
      <c r="XCW39" s="33"/>
      <c r="XCX39" s="33"/>
      <c r="XDB39" s="41"/>
      <c r="XDH39" s="42"/>
      <c r="XDO39" s="33"/>
      <c r="XDP39" s="33"/>
      <c r="XDT39" s="41"/>
      <c r="XDZ39" s="42"/>
      <c r="XEG39" s="33"/>
      <c r="XEH39" s="33"/>
      <c r="XEL39" s="41"/>
      <c r="XER39" s="42"/>
      <c r="XEY39" s="33"/>
      <c r="XEZ39" s="33"/>
      <c r="XFD39" s="41"/>
    </row>
    <row r="40" spans="1:1018 1025:2044 2051:3070 3077:4096 4103:5116 5122:6142 6148:7168 7174:8190 8194:9216 9220:10234 10241:11260 11267:12286 12293:13312 13319:14332 14338:15358 15364:16384" s="40" customFormat="1">
      <c r="A40" s="33" t="s">
        <v>133</v>
      </c>
      <c r="B40" s="34">
        <v>2008</v>
      </c>
      <c r="C40" s="35" t="s">
        <v>127</v>
      </c>
      <c r="D40" s="36" t="s">
        <v>86</v>
      </c>
      <c r="E40" s="37" t="s">
        <v>131</v>
      </c>
      <c r="F40" s="35" t="s">
        <v>24</v>
      </c>
      <c r="G40" s="38">
        <v>4042178.5714285714</v>
      </c>
      <c r="H40" s="38">
        <v>4091267.8571428573</v>
      </c>
      <c r="I40" s="34">
        <v>9</v>
      </c>
      <c r="J40" s="39" t="s">
        <v>132</v>
      </c>
      <c r="K40" s="36" t="s">
        <v>26</v>
      </c>
      <c r="L40" s="36"/>
      <c r="M40" s="36" t="s">
        <v>26</v>
      </c>
      <c r="N40" s="34"/>
      <c r="O40" s="36"/>
      <c r="P40" s="34"/>
      <c r="Q40" s="36"/>
      <c r="R40" s="36"/>
      <c r="V40" s="41"/>
      <c r="AB40" s="42"/>
      <c r="AI40" s="33"/>
      <c r="AJ40" s="33"/>
      <c r="AN40" s="41"/>
      <c r="AT40" s="42"/>
      <c r="BA40" s="33"/>
      <c r="BB40" s="33"/>
      <c r="BF40" s="41"/>
      <c r="BL40" s="42"/>
      <c r="BS40" s="33"/>
      <c r="BT40" s="33"/>
      <c r="BX40" s="41"/>
      <c r="CD40" s="42"/>
      <c r="CK40" s="33"/>
      <c r="CL40" s="33"/>
      <c r="CP40" s="41"/>
      <c r="CV40" s="42"/>
      <c r="DC40" s="33"/>
      <c r="DD40" s="33"/>
      <c r="DH40" s="41"/>
      <c r="DN40" s="42"/>
      <c r="DU40" s="33"/>
      <c r="DV40" s="33"/>
      <c r="DZ40" s="41"/>
      <c r="EF40" s="42"/>
      <c r="EM40" s="33"/>
      <c r="EN40" s="33"/>
      <c r="ER40" s="41"/>
      <c r="EX40" s="42"/>
      <c r="FE40" s="33"/>
      <c r="FF40" s="33"/>
      <c r="FJ40" s="41"/>
      <c r="FP40" s="42"/>
      <c r="FW40" s="33"/>
      <c r="FX40" s="33"/>
      <c r="GB40" s="41"/>
      <c r="GH40" s="42"/>
      <c r="GO40" s="33"/>
      <c r="GP40" s="33"/>
      <c r="GT40" s="41"/>
      <c r="GZ40" s="42"/>
      <c r="HG40" s="33"/>
      <c r="HH40" s="33"/>
      <c r="HL40" s="41"/>
      <c r="HR40" s="42"/>
      <c r="HY40" s="33"/>
      <c r="HZ40" s="33"/>
      <c r="ID40" s="41"/>
      <c r="IJ40" s="42"/>
      <c r="IQ40" s="33"/>
      <c r="IR40" s="33"/>
      <c r="IV40" s="41"/>
      <c r="JB40" s="42"/>
      <c r="JI40" s="33"/>
      <c r="JJ40" s="33"/>
      <c r="JN40" s="41"/>
      <c r="JT40" s="42"/>
      <c r="KA40" s="33"/>
      <c r="KB40" s="33"/>
      <c r="KF40" s="41"/>
      <c r="KL40" s="42"/>
      <c r="KS40" s="33"/>
      <c r="KT40" s="33"/>
      <c r="KX40" s="41"/>
      <c r="LD40" s="42"/>
      <c r="LK40" s="33"/>
      <c r="LL40" s="33"/>
      <c r="LP40" s="41"/>
      <c r="LV40" s="42"/>
      <c r="MC40" s="33"/>
      <c r="MD40" s="33"/>
      <c r="MH40" s="41"/>
      <c r="MN40" s="42"/>
      <c r="MU40" s="33"/>
      <c r="MV40" s="33"/>
      <c r="MZ40" s="41"/>
      <c r="NF40" s="42"/>
      <c r="NM40" s="33"/>
      <c r="NN40" s="33"/>
      <c r="NR40" s="41"/>
      <c r="NX40" s="42"/>
      <c r="OE40" s="33"/>
      <c r="OF40" s="33"/>
      <c r="OJ40" s="41"/>
      <c r="OP40" s="42"/>
      <c r="OW40" s="33"/>
      <c r="OX40" s="33"/>
      <c r="PB40" s="41"/>
      <c r="PH40" s="42"/>
      <c r="PO40" s="33"/>
      <c r="PP40" s="33"/>
      <c r="PT40" s="41"/>
      <c r="PZ40" s="42"/>
      <c r="QG40" s="33"/>
      <c r="QH40" s="33"/>
      <c r="QL40" s="41"/>
      <c r="QR40" s="42"/>
      <c r="QY40" s="33"/>
      <c r="QZ40" s="33"/>
      <c r="RD40" s="41"/>
      <c r="RJ40" s="42"/>
      <c r="RQ40" s="33"/>
      <c r="RR40" s="33"/>
      <c r="RV40" s="41"/>
      <c r="SB40" s="42"/>
      <c r="SI40" s="33"/>
      <c r="SJ40" s="33"/>
      <c r="SN40" s="41"/>
      <c r="ST40" s="42"/>
      <c r="TA40" s="33"/>
      <c r="TB40" s="33"/>
      <c r="TF40" s="41"/>
      <c r="TL40" s="42"/>
      <c r="TS40" s="33"/>
      <c r="TT40" s="33"/>
      <c r="TX40" s="41"/>
      <c r="UD40" s="42"/>
      <c r="UK40" s="33"/>
      <c r="UL40" s="33"/>
      <c r="UP40" s="41"/>
      <c r="UV40" s="42"/>
      <c r="VC40" s="33"/>
      <c r="VD40" s="33"/>
      <c r="VH40" s="41"/>
      <c r="VN40" s="42"/>
      <c r="VU40" s="33"/>
      <c r="VV40" s="33"/>
      <c r="VZ40" s="41"/>
      <c r="WF40" s="42"/>
      <c r="WM40" s="33"/>
      <c r="WN40" s="33"/>
      <c r="WR40" s="41"/>
      <c r="WX40" s="42"/>
      <c r="XE40" s="33"/>
      <c r="XF40" s="33"/>
      <c r="XJ40" s="41"/>
      <c r="XP40" s="42"/>
      <c r="XW40" s="33"/>
      <c r="XX40" s="33"/>
      <c r="YB40" s="41"/>
      <c r="YH40" s="42"/>
      <c r="YO40" s="33"/>
      <c r="YP40" s="33"/>
      <c r="YT40" s="41"/>
      <c r="YZ40" s="42"/>
      <c r="ZG40" s="33"/>
      <c r="ZH40" s="33"/>
      <c r="ZL40" s="41"/>
      <c r="ZR40" s="42"/>
      <c r="ZY40" s="33"/>
      <c r="ZZ40" s="33"/>
      <c r="AAD40" s="41"/>
      <c r="AAJ40" s="42"/>
      <c r="AAQ40" s="33"/>
      <c r="AAR40" s="33"/>
      <c r="AAV40" s="41"/>
      <c r="ABB40" s="42"/>
      <c r="ABI40" s="33"/>
      <c r="ABJ40" s="33"/>
      <c r="ABN40" s="41"/>
      <c r="ABT40" s="42"/>
      <c r="ACA40" s="33"/>
      <c r="ACB40" s="33"/>
      <c r="ACF40" s="41"/>
      <c r="ACL40" s="42"/>
      <c r="ACS40" s="33"/>
      <c r="ACT40" s="33"/>
      <c r="ACX40" s="41"/>
      <c r="ADD40" s="42"/>
      <c r="ADK40" s="33"/>
      <c r="ADL40" s="33"/>
      <c r="ADP40" s="41"/>
      <c r="ADV40" s="42"/>
      <c r="AEC40" s="33"/>
      <c r="AED40" s="33"/>
      <c r="AEH40" s="41"/>
      <c r="AEN40" s="42"/>
      <c r="AEU40" s="33"/>
      <c r="AEV40" s="33"/>
      <c r="AEZ40" s="41"/>
      <c r="AFF40" s="42"/>
      <c r="AFM40" s="33"/>
      <c r="AFN40" s="33"/>
      <c r="AFR40" s="41"/>
      <c r="AFX40" s="42"/>
      <c r="AGE40" s="33"/>
      <c r="AGF40" s="33"/>
      <c r="AGJ40" s="41"/>
      <c r="AGP40" s="42"/>
      <c r="AGW40" s="33"/>
      <c r="AGX40" s="33"/>
      <c r="AHB40" s="41"/>
      <c r="AHH40" s="42"/>
      <c r="AHO40" s="33"/>
      <c r="AHP40" s="33"/>
      <c r="AHT40" s="41"/>
      <c r="AHZ40" s="42"/>
      <c r="AIG40" s="33"/>
      <c r="AIH40" s="33"/>
      <c r="AIL40" s="41"/>
      <c r="AIR40" s="42"/>
      <c r="AIY40" s="33"/>
      <c r="AIZ40" s="33"/>
      <c r="AJD40" s="41"/>
      <c r="AJJ40" s="42"/>
      <c r="AJQ40" s="33"/>
      <c r="AJR40" s="33"/>
      <c r="AJV40" s="41"/>
      <c r="AKB40" s="42"/>
      <c r="AKI40" s="33"/>
      <c r="AKJ40" s="33"/>
      <c r="AKN40" s="41"/>
      <c r="AKT40" s="42"/>
      <c r="ALA40" s="33"/>
      <c r="ALB40" s="33"/>
      <c r="ALF40" s="41"/>
      <c r="ALL40" s="42"/>
      <c r="ALS40" s="33"/>
      <c r="ALT40" s="33"/>
      <c r="ALX40" s="41"/>
      <c r="AMD40" s="42"/>
      <c r="AMK40" s="33"/>
      <c r="AML40" s="33"/>
      <c r="AMP40" s="41"/>
      <c r="AMV40" s="42"/>
      <c r="ANC40" s="33"/>
      <c r="AND40" s="33"/>
      <c r="ANH40" s="41"/>
      <c r="ANN40" s="42"/>
      <c r="ANU40" s="33"/>
      <c r="ANV40" s="33"/>
      <c r="ANZ40" s="41"/>
      <c r="AOF40" s="42"/>
      <c r="AOM40" s="33"/>
      <c r="AON40" s="33"/>
      <c r="AOR40" s="41"/>
      <c r="AOX40" s="42"/>
      <c r="APE40" s="33"/>
      <c r="APF40" s="33"/>
      <c r="APJ40" s="41"/>
      <c r="APP40" s="42"/>
      <c r="APW40" s="33"/>
      <c r="APX40" s="33"/>
      <c r="AQB40" s="41"/>
      <c r="AQH40" s="42"/>
      <c r="AQO40" s="33"/>
      <c r="AQP40" s="33"/>
      <c r="AQT40" s="41"/>
      <c r="AQZ40" s="42"/>
      <c r="ARG40" s="33"/>
      <c r="ARH40" s="33"/>
      <c r="ARL40" s="41"/>
      <c r="ARR40" s="42"/>
      <c r="ARY40" s="33"/>
      <c r="ARZ40" s="33"/>
      <c r="ASD40" s="41"/>
      <c r="ASJ40" s="42"/>
      <c r="ASQ40" s="33"/>
      <c r="ASR40" s="33"/>
      <c r="ASV40" s="41"/>
      <c r="ATB40" s="42"/>
      <c r="ATI40" s="33"/>
      <c r="ATJ40" s="33"/>
      <c r="ATN40" s="41"/>
      <c r="ATT40" s="42"/>
      <c r="AUA40" s="33"/>
      <c r="AUB40" s="33"/>
      <c r="AUF40" s="41"/>
      <c r="AUL40" s="42"/>
      <c r="AUS40" s="33"/>
      <c r="AUT40" s="33"/>
      <c r="AUX40" s="41"/>
      <c r="AVD40" s="42"/>
      <c r="AVK40" s="33"/>
      <c r="AVL40" s="33"/>
      <c r="AVP40" s="41"/>
      <c r="AVV40" s="42"/>
      <c r="AWC40" s="33"/>
      <c r="AWD40" s="33"/>
      <c r="AWH40" s="41"/>
      <c r="AWN40" s="42"/>
      <c r="AWU40" s="33"/>
      <c r="AWV40" s="33"/>
      <c r="AWZ40" s="41"/>
      <c r="AXF40" s="42"/>
      <c r="AXM40" s="33"/>
      <c r="AXN40" s="33"/>
      <c r="AXR40" s="41"/>
      <c r="AXX40" s="42"/>
      <c r="AYE40" s="33"/>
      <c r="AYF40" s="33"/>
      <c r="AYJ40" s="41"/>
      <c r="AYP40" s="42"/>
      <c r="AYW40" s="33"/>
      <c r="AYX40" s="33"/>
      <c r="AZB40" s="41"/>
      <c r="AZH40" s="42"/>
      <c r="AZO40" s="33"/>
      <c r="AZP40" s="33"/>
      <c r="AZT40" s="41"/>
      <c r="AZZ40" s="42"/>
      <c r="BAG40" s="33"/>
      <c r="BAH40" s="33"/>
      <c r="BAL40" s="41"/>
      <c r="BAR40" s="42"/>
      <c r="BAY40" s="33"/>
      <c r="BAZ40" s="33"/>
      <c r="BBD40" s="41"/>
      <c r="BBJ40" s="42"/>
      <c r="BBQ40" s="33"/>
      <c r="BBR40" s="33"/>
      <c r="BBV40" s="41"/>
      <c r="BCB40" s="42"/>
      <c r="BCI40" s="33"/>
      <c r="BCJ40" s="33"/>
      <c r="BCN40" s="41"/>
      <c r="BCT40" s="42"/>
      <c r="BDA40" s="33"/>
      <c r="BDB40" s="33"/>
      <c r="BDF40" s="41"/>
      <c r="BDL40" s="42"/>
      <c r="BDS40" s="33"/>
      <c r="BDT40" s="33"/>
      <c r="BDX40" s="41"/>
      <c r="BED40" s="42"/>
      <c r="BEK40" s="33"/>
      <c r="BEL40" s="33"/>
      <c r="BEP40" s="41"/>
      <c r="BEV40" s="42"/>
      <c r="BFC40" s="33"/>
      <c r="BFD40" s="33"/>
      <c r="BFH40" s="41"/>
      <c r="BFN40" s="42"/>
      <c r="BFU40" s="33"/>
      <c r="BFV40" s="33"/>
      <c r="BFZ40" s="41"/>
      <c r="BGF40" s="42"/>
      <c r="BGM40" s="33"/>
      <c r="BGN40" s="33"/>
      <c r="BGR40" s="41"/>
      <c r="BGX40" s="42"/>
      <c r="BHE40" s="33"/>
      <c r="BHF40" s="33"/>
      <c r="BHJ40" s="41"/>
      <c r="BHP40" s="42"/>
      <c r="BHW40" s="33"/>
      <c r="BHX40" s="33"/>
      <c r="BIB40" s="41"/>
      <c r="BIH40" s="42"/>
      <c r="BIO40" s="33"/>
      <c r="BIP40" s="33"/>
      <c r="BIT40" s="41"/>
      <c r="BIZ40" s="42"/>
      <c r="BJG40" s="33"/>
      <c r="BJH40" s="33"/>
      <c r="BJL40" s="41"/>
      <c r="BJR40" s="42"/>
      <c r="BJY40" s="33"/>
      <c r="BJZ40" s="33"/>
      <c r="BKD40" s="41"/>
      <c r="BKJ40" s="42"/>
      <c r="BKQ40" s="33"/>
      <c r="BKR40" s="33"/>
      <c r="BKV40" s="41"/>
      <c r="BLB40" s="42"/>
      <c r="BLI40" s="33"/>
      <c r="BLJ40" s="33"/>
      <c r="BLN40" s="41"/>
      <c r="BLT40" s="42"/>
      <c r="BMA40" s="33"/>
      <c r="BMB40" s="33"/>
      <c r="BMF40" s="41"/>
      <c r="BML40" s="42"/>
      <c r="BMS40" s="33"/>
      <c r="BMT40" s="33"/>
      <c r="BMX40" s="41"/>
      <c r="BND40" s="42"/>
      <c r="BNK40" s="33"/>
      <c r="BNL40" s="33"/>
      <c r="BNP40" s="41"/>
      <c r="BNV40" s="42"/>
      <c r="BOC40" s="33"/>
      <c r="BOD40" s="33"/>
      <c r="BOH40" s="41"/>
      <c r="BON40" s="42"/>
      <c r="BOU40" s="33"/>
      <c r="BOV40" s="33"/>
      <c r="BOZ40" s="41"/>
      <c r="BPF40" s="42"/>
      <c r="BPM40" s="33"/>
      <c r="BPN40" s="33"/>
      <c r="BPR40" s="41"/>
      <c r="BPX40" s="42"/>
      <c r="BQE40" s="33"/>
      <c r="BQF40" s="33"/>
      <c r="BQJ40" s="41"/>
      <c r="BQP40" s="42"/>
      <c r="BQW40" s="33"/>
      <c r="BQX40" s="33"/>
      <c r="BRB40" s="41"/>
      <c r="BRH40" s="42"/>
      <c r="BRO40" s="33"/>
      <c r="BRP40" s="33"/>
      <c r="BRT40" s="41"/>
      <c r="BRZ40" s="42"/>
      <c r="BSG40" s="33"/>
      <c r="BSH40" s="33"/>
      <c r="BSL40" s="41"/>
      <c r="BSR40" s="42"/>
      <c r="BSY40" s="33"/>
      <c r="BSZ40" s="33"/>
      <c r="BTD40" s="41"/>
      <c r="BTJ40" s="42"/>
      <c r="BTQ40" s="33"/>
      <c r="BTR40" s="33"/>
      <c r="BTV40" s="41"/>
      <c r="BUB40" s="42"/>
      <c r="BUI40" s="33"/>
      <c r="BUJ40" s="33"/>
      <c r="BUN40" s="41"/>
      <c r="BUT40" s="42"/>
      <c r="BVA40" s="33"/>
      <c r="BVB40" s="33"/>
      <c r="BVF40" s="41"/>
      <c r="BVL40" s="42"/>
      <c r="BVS40" s="33"/>
      <c r="BVT40" s="33"/>
      <c r="BVX40" s="41"/>
      <c r="BWD40" s="42"/>
      <c r="BWK40" s="33"/>
      <c r="BWL40" s="33"/>
      <c r="BWP40" s="41"/>
      <c r="BWV40" s="42"/>
      <c r="BXC40" s="33"/>
      <c r="BXD40" s="33"/>
      <c r="BXH40" s="41"/>
      <c r="BXN40" s="42"/>
      <c r="BXU40" s="33"/>
      <c r="BXV40" s="33"/>
      <c r="BXZ40" s="41"/>
      <c r="BYF40" s="42"/>
      <c r="BYM40" s="33"/>
      <c r="BYN40" s="33"/>
      <c r="BYR40" s="41"/>
      <c r="BYX40" s="42"/>
      <c r="BZE40" s="33"/>
      <c r="BZF40" s="33"/>
      <c r="BZJ40" s="41"/>
      <c r="BZP40" s="42"/>
      <c r="BZW40" s="33"/>
      <c r="BZX40" s="33"/>
      <c r="CAB40" s="41"/>
      <c r="CAH40" s="42"/>
      <c r="CAO40" s="33"/>
      <c r="CAP40" s="33"/>
      <c r="CAT40" s="41"/>
      <c r="CAZ40" s="42"/>
      <c r="CBG40" s="33"/>
      <c r="CBH40" s="33"/>
      <c r="CBL40" s="41"/>
      <c r="CBR40" s="42"/>
      <c r="CBY40" s="33"/>
      <c r="CBZ40" s="33"/>
      <c r="CCD40" s="41"/>
      <c r="CCJ40" s="42"/>
      <c r="CCQ40" s="33"/>
      <c r="CCR40" s="33"/>
      <c r="CCV40" s="41"/>
      <c r="CDB40" s="42"/>
      <c r="CDI40" s="33"/>
      <c r="CDJ40" s="33"/>
      <c r="CDN40" s="41"/>
      <c r="CDT40" s="42"/>
      <c r="CEA40" s="33"/>
      <c r="CEB40" s="33"/>
      <c r="CEF40" s="41"/>
      <c r="CEL40" s="42"/>
      <c r="CES40" s="33"/>
      <c r="CET40" s="33"/>
      <c r="CEX40" s="41"/>
      <c r="CFD40" s="42"/>
      <c r="CFK40" s="33"/>
      <c r="CFL40" s="33"/>
      <c r="CFP40" s="41"/>
      <c r="CFV40" s="42"/>
      <c r="CGC40" s="33"/>
      <c r="CGD40" s="33"/>
      <c r="CGH40" s="41"/>
      <c r="CGN40" s="42"/>
      <c r="CGU40" s="33"/>
      <c r="CGV40" s="33"/>
      <c r="CGZ40" s="41"/>
      <c r="CHF40" s="42"/>
      <c r="CHM40" s="33"/>
      <c r="CHN40" s="33"/>
      <c r="CHR40" s="41"/>
      <c r="CHX40" s="42"/>
      <c r="CIE40" s="33"/>
      <c r="CIF40" s="33"/>
      <c r="CIJ40" s="41"/>
      <c r="CIP40" s="42"/>
      <c r="CIW40" s="33"/>
      <c r="CIX40" s="33"/>
      <c r="CJB40" s="41"/>
      <c r="CJH40" s="42"/>
      <c r="CJO40" s="33"/>
      <c r="CJP40" s="33"/>
      <c r="CJT40" s="41"/>
      <c r="CJZ40" s="42"/>
      <c r="CKG40" s="33"/>
      <c r="CKH40" s="33"/>
      <c r="CKL40" s="41"/>
      <c r="CKR40" s="42"/>
      <c r="CKY40" s="33"/>
      <c r="CKZ40" s="33"/>
      <c r="CLD40" s="41"/>
      <c r="CLJ40" s="42"/>
      <c r="CLQ40" s="33"/>
      <c r="CLR40" s="33"/>
      <c r="CLV40" s="41"/>
      <c r="CMB40" s="42"/>
      <c r="CMI40" s="33"/>
      <c r="CMJ40" s="33"/>
      <c r="CMN40" s="41"/>
      <c r="CMT40" s="42"/>
      <c r="CNA40" s="33"/>
      <c r="CNB40" s="33"/>
      <c r="CNF40" s="41"/>
      <c r="CNL40" s="42"/>
      <c r="CNS40" s="33"/>
      <c r="CNT40" s="33"/>
      <c r="CNX40" s="41"/>
      <c r="COD40" s="42"/>
      <c r="COK40" s="33"/>
      <c r="COL40" s="33"/>
      <c r="COP40" s="41"/>
      <c r="COV40" s="42"/>
      <c r="CPC40" s="33"/>
      <c r="CPD40" s="33"/>
      <c r="CPH40" s="41"/>
      <c r="CPN40" s="42"/>
      <c r="CPU40" s="33"/>
      <c r="CPV40" s="33"/>
      <c r="CPZ40" s="41"/>
      <c r="CQF40" s="42"/>
      <c r="CQM40" s="33"/>
      <c r="CQN40" s="33"/>
      <c r="CQR40" s="41"/>
      <c r="CQX40" s="42"/>
      <c r="CRE40" s="33"/>
      <c r="CRF40" s="33"/>
      <c r="CRJ40" s="41"/>
      <c r="CRP40" s="42"/>
      <c r="CRW40" s="33"/>
      <c r="CRX40" s="33"/>
      <c r="CSB40" s="41"/>
      <c r="CSH40" s="42"/>
      <c r="CSO40" s="33"/>
      <c r="CSP40" s="33"/>
      <c r="CST40" s="41"/>
      <c r="CSZ40" s="42"/>
      <c r="CTG40" s="33"/>
      <c r="CTH40" s="33"/>
      <c r="CTL40" s="41"/>
      <c r="CTR40" s="42"/>
      <c r="CTY40" s="33"/>
      <c r="CTZ40" s="33"/>
      <c r="CUD40" s="41"/>
      <c r="CUJ40" s="42"/>
      <c r="CUQ40" s="33"/>
      <c r="CUR40" s="33"/>
      <c r="CUV40" s="41"/>
      <c r="CVB40" s="42"/>
      <c r="CVI40" s="33"/>
      <c r="CVJ40" s="33"/>
      <c r="CVN40" s="41"/>
      <c r="CVT40" s="42"/>
      <c r="CWA40" s="33"/>
      <c r="CWB40" s="33"/>
      <c r="CWF40" s="41"/>
      <c r="CWL40" s="42"/>
      <c r="CWS40" s="33"/>
      <c r="CWT40" s="33"/>
      <c r="CWX40" s="41"/>
      <c r="CXD40" s="42"/>
      <c r="CXK40" s="33"/>
      <c r="CXL40" s="33"/>
      <c r="CXP40" s="41"/>
      <c r="CXV40" s="42"/>
      <c r="CYC40" s="33"/>
      <c r="CYD40" s="33"/>
      <c r="CYH40" s="41"/>
      <c r="CYN40" s="42"/>
      <c r="CYU40" s="33"/>
      <c r="CYV40" s="33"/>
      <c r="CYZ40" s="41"/>
      <c r="CZF40" s="42"/>
      <c r="CZM40" s="33"/>
      <c r="CZN40" s="33"/>
      <c r="CZR40" s="41"/>
      <c r="CZX40" s="42"/>
      <c r="DAE40" s="33"/>
      <c r="DAF40" s="33"/>
      <c r="DAJ40" s="41"/>
      <c r="DAP40" s="42"/>
      <c r="DAW40" s="33"/>
      <c r="DAX40" s="33"/>
      <c r="DBB40" s="41"/>
      <c r="DBH40" s="42"/>
      <c r="DBO40" s="33"/>
      <c r="DBP40" s="33"/>
      <c r="DBT40" s="41"/>
      <c r="DBZ40" s="42"/>
      <c r="DCG40" s="33"/>
      <c r="DCH40" s="33"/>
      <c r="DCL40" s="41"/>
      <c r="DCR40" s="42"/>
      <c r="DCY40" s="33"/>
      <c r="DCZ40" s="33"/>
      <c r="DDD40" s="41"/>
      <c r="DDJ40" s="42"/>
      <c r="DDQ40" s="33"/>
      <c r="DDR40" s="33"/>
      <c r="DDV40" s="41"/>
      <c r="DEB40" s="42"/>
      <c r="DEI40" s="33"/>
      <c r="DEJ40" s="33"/>
      <c r="DEN40" s="41"/>
      <c r="DET40" s="42"/>
      <c r="DFA40" s="33"/>
      <c r="DFB40" s="33"/>
      <c r="DFF40" s="41"/>
      <c r="DFL40" s="42"/>
      <c r="DFS40" s="33"/>
      <c r="DFT40" s="33"/>
      <c r="DFX40" s="41"/>
      <c r="DGD40" s="42"/>
      <c r="DGK40" s="33"/>
      <c r="DGL40" s="33"/>
      <c r="DGP40" s="41"/>
      <c r="DGV40" s="42"/>
      <c r="DHC40" s="33"/>
      <c r="DHD40" s="33"/>
      <c r="DHH40" s="41"/>
      <c r="DHN40" s="42"/>
      <c r="DHU40" s="33"/>
      <c r="DHV40" s="33"/>
      <c r="DHZ40" s="41"/>
      <c r="DIF40" s="42"/>
      <c r="DIM40" s="33"/>
      <c r="DIN40" s="33"/>
      <c r="DIR40" s="41"/>
      <c r="DIX40" s="42"/>
      <c r="DJE40" s="33"/>
      <c r="DJF40" s="33"/>
      <c r="DJJ40" s="41"/>
      <c r="DJP40" s="42"/>
      <c r="DJW40" s="33"/>
      <c r="DJX40" s="33"/>
      <c r="DKB40" s="41"/>
      <c r="DKH40" s="42"/>
      <c r="DKO40" s="33"/>
      <c r="DKP40" s="33"/>
      <c r="DKT40" s="41"/>
      <c r="DKZ40" s="42"/>
      <c r="DLG40" s="33"/>
      <c r="DLH40" s="33"/>
      <c r="DLL40" s="41"/>
      <c r="DLR40" s="42"/>
      <c r="DLY40" s="33"/>
      <c r="DLZ40" s="33"/>
      <c r="DMD40" s="41"/>
      <c r="DMJ40" s="42"/>
      <c r="DMQ40" s="33"/>
      <c r="DMR40" s="33"/>
      <c r="DMV40" s="41"/>
      <c r="DNB40" s="42"/>
      <c r="DNI40" s="33"/>
      <c r="DNJ40" s="33"/>
      <c r="DNN40" s="41"/>
      <c r="DNT40" s="42"/>
      <c r="DOA40" s="33"/>
      <c r="DOB40" s="33"/>
      <c r="DOF40" s="41"/>
      <c r="DOL40" s="42"/>
      <c r="DOS40" s="33"/>
      <c r="DOT40" s="33"/>
      <c r="DOX40" s="41"/>
      <c r="DPD40" s="42"/>
      <c r="DPK40" s="33"/>
      <c r="DPL40" s="33"/>
      <c r="DPP40" s="41"/>
      <c r="DPV40" s="42"/>
      <c r="DQC40" s="33"/>
      <c r="DQD40" s="33"/>
      <c r="DQH40" s="41"/>
      <c r="DQN40" s="42"/>
      <c r="DQU40" s="33"/>
      <c r="DQV40" s="33"/>
      <c r="DQZ40" s="41"/>
      <c r="DRF40" s="42"/>
      <c r="DRM40" s="33"/>
      <c r="DRN40" s="33"/>
      <c r="DRR40" s="41"/>
      <c r="DRX40" s="42"/>
      <c r="DSE40" s="33"/>
      <c r="DSF40" s="33"/>
      <c r="DSJ40" s="41"/>
      <c r="DSP40" s="42"/>
      <c r="DSW40" s="33"/>
      <c r="DSX40" s="33"/>
      <c r="DTB40" s="41"/>
      <c r="DTH40" s="42"/>
      <c r="DTO40" s="33"/>
      <c r="DTP40" s="33"/>
      <c r="DTT40" s="41"/>
      <c r="DTZ40" s="42"/>
      <c r="DUG40" s="33"/>
      <c r="DUH40" s="33"/>
      <c r="DUL40" s="41"/>
      <c r="DUR40" s="42"/>
      <c r="DUY40" s="33"/>
      <c r="DUZ40" s="33"/>
      <c r="DVD40" s="41"/>
      <c r="DVJ40" s="42"/>
      <c r="DVQ40" s="33"/>
      <c r="DVR40" s="33"/>
      <c r="DVV40" s="41"/>
      <c r="DWB40" s="42"/>
      <c r="DWI40" s="33"/>
      <c r="DWJ40" s="33"/>
      <c r="DWN40" s="41"/>
      <c r="DWT40" s="42"/>
      <c r="DXA40" s="33"/>
      <c r="DXB40" s="33"/>
      <c r="DXF40" s="41"/>
      <c r="DXL40" s="42"/>
      <c r="DXS40" s="33"/>
      <c r="DXT40" s="33"/>
      <c r="DXX40" s="41"/>
      <c r="DYD40" s="42"/>
      <c r="DYK40" s="33"/>
      <c r="DYL40" s="33"/>
      <c r="DYP40" s="41"/>
      <c r="DYV40" s="42"/>
      <c r="DZC40" s="33"/>
      <c r="DZD40" s="33"/>
      <c r="DZH40" s="41"/>
      <c r="DZN40" s="42"/>
      <c r="DZU40" s="33"/>
      <c r="DZV40" s="33"/>
      <c r="DZZ40" s="41"/>
      <c r="EAF40" s="42"/>
      <c r="EAM40" s="33"/>
      <c r="EAN40" s="33"/>
      <c r="EAR40" s="41"/>
      <c r="EAX40" s="42"/>
      <c r="EBE40" s="33"/>
      <c r="EBF40" s="33"/>
      <c r="EBJ40" s="41"/>
      <c r="EBP40" s="42"/>
      <c r="EBW40" s="33"/>
      <c r="EBX40" s="33"/>
      <c r="ECB40" s="41"/>
      <c r="ECH40" s="42"/>
      <c r="ECO40" s="33"/>
      <c r="ECP40" s="33"/>
      <c r="ECT40" s="41"/>
      <c r="ECZ40" s="42"/>
      <c r="EDG40" s="33"/>
      <c r="EDH40" s="33"/>
      <c r="EDL40" s="41"/>
      <c r="EDR40" s="42"/>
      <c r="EDY40" s="33"/>
      <c r="EDZ40" s="33"/>
      <c r="EED40" s="41"/>
      <c r="EEJ40" s="42"/>
      <c r="EEQ40" s="33"/>
      <c r="EER40" s="33"/>
      <c r="EEV40" s="41"/>
      <c r="EFB40" s="42"/>
      <c r="EFI40" s="33"/>
      <c r="EFJ40" s="33"/>
      <c r="EFN40" s="41"/>
      <c r="EFT40" s="42"/>
      <c r="EGA40" s="33"/>
      <c r="EGB40" s="33"/>
      <c r="EGF40" s="41"/>
      <c r="EGL40" s="42"/>
      <c r="EGS40" s="33"/>
      <c r="EGT40" s="33"/>
      <c r="EGX40" s="41"/>
      <c r="EHD40" s="42"/>
      <c r="EHK40" s="33"/>
      <c r="EHL40" s="33"/>
      <c r="EHP40" s="41"/>
      <c r="EHV40" s="42"/>
      <c r="EIC40" s="33"/>
      <c r="EID40" s="33"/>
      <c r="EIH40" s="41"/>
      <c r="EIN40" s="42"/>
      <c r="EIU40" s="33"/>
      <c r="EIV40" s="33"/>
      <c r="EIZ40" s="41"/>
      <c r="EJF40" s="42"/>
      <c r="EJM40" s="33"/>
      <c r="EJN40" s="33"/>
      <c r="EJR40" s="41"/>
      <c r="EJX40" s="42"/>
      <c r="EKE40" s="33"/>
      <c r="EKF40" s="33"/>
      <c r="EKJ40" s="41"/>
      <c r="EKP40" s="42"/>
      <c r="EKW40" s="33"/>
      <c r="EKX40" s="33"/>
      <c r="ELB40" s="41"/>
      <c r="ELH40" s="42"/>
      <c r="ELO40" s="33"/>
      <c r="ELP40" s="33"/>
      <c r="ELT40" s="41"/>
      <c r="ELZ40" s="42"/>
      <c r="EMG40" s="33"/>
      <c r="EMH40" s="33"/>
      <c r="EML40" s="41"/>
      <c r="EMR40" s="42"/>
      <c r="EMY40" s="33"/>
      <c r="EMZ40" s="33"/>
      <c r="END40" s="41"/>
      <c r="ENJ40" s="42"/>
      <c r="ENQ40" s="33"/>
      <c r="ENR40" s="33"/>
      <c r="ENV40" s="41"/>
      <c r="EOB40" s="42"/>
      <c r="EOI40" s="33"/>
      <c r="EOJ40" s="33"/>
      <c r="EON40" s="41"/>
      <c r="EOT40" s="42"/>
      <c r="EPA40" s="33"/>
      <c r="EPB40" s="33"/>
      <c r="EPF40" s="41"/>
      <c r="EPL40" s="42"/>
      <c r="EPS40" s="33"/>
      <c r="EPT40" s="33"/>
      <c r="EPX40" s="41"/>
      <c r="EQD40" s="42"/>
      <c r="EQK40" s="33"/>
      <c r="EQL40" s="33"/>
      <c r="EQP40" s="41"/>
      <c r="EQV40" s="42"/>
      <c r="ERC40" s="33"/>
      <c r="ERD40" s="33"/>
      <c r="ERH40" s="41"/>
      <c r="ERN40" s="42"/>
      <c r="ERU40" s="33"/>
      <c r="ERV40" s="33"/>
      <c r="ERZ40" s="41"/>
      <c r="ESF40" s="42"/>
      <c r="ESM40" s="33"/>
      <c r="ESN40" s="33"/>
      <c r="ESR40" s="41"/>
      <c r="ESX40" s="42"/>
      <c r="ETE40" s="33"/>
      <c r="ETF40" s="33"/>
      <c r="ETJ40" s="41"/>
      <c r="ETP40" s="42"/>
      <c r="ETW40" s="33"/>
      <c r="ETX40" s="33"/>
      <c r="EUB40" s="41"/>
      <c r="EUH40" s="42"/>
      <c r="EUO40" s="33"/>
      <c r="EUP40" s="33"/>
      <c r="EUT40" s="41"/>
      <c r="EUZ40" s="42"/>
      <c r="EVG40" s="33"/>
      <c r="EVH40" s="33"/>
      <c r="EVL40" s="41"/>
      <c r="EVR40" s="42"/>
      <c r="EVY40" s="33"/>
      <c r="EVZ40" s="33"/>
      <c r="EWD40" s="41"/>
      <c r="EWJ40" s="42"/>
      <c r="EWQ40" s="33"/>
      <c r="EWR40" s="33"/>
      <c r="EWV40" s="41"/>
      <c r="EXB40" s="42"/>
      <c r="EXI40" s="33"/>
      <c r="EXJ40" s="33"/>
      <c r="EXN40" s="41"/>
      <c r="EXT40" s="42"/>
      <c r="EYA40" s="33"/>
      <c r="EYB40" s="33"/>
      <c r="EYF40" s="41"/>
      <c r="EYL40" s="42"/>
      <c r="EYS40" s="33"/>
      <c r="EYT40" s="33"/>
      <c r="EYX40" s="41"/>
      <c r="EZD40" s="42"/>
      <c r="EZK40" s="33"/>
      <c r="EZL40" s="33"/>
      <c r="EZP40" s="41"/>
      <c r="EZV40" s="42"/>
      <c r="FAC40" s="33"/>
      <c r="FAD40" s="33"/>
      <c r="FAH40" s="41"/>
      <c r="FAN40" s="42"/>
      <c r="FAU40" s="33"/>
      <c r="FAV40" s="33"/>
      <c r="FAZ40" s="41"/>
      <c r="FBF40" s="42"/>
      <c r="FBM40" s="33"/>
      <c r="FBN40" s="33"/>
      <c r="FBR40" s="41"/>
      <c r="FBX40" s="42"/>
      <c r="FCE40" s="33"/>
      <c r="FCF40" s="33"/>
      <c r="FCJ40" s="41"/>
      <c r="FCP40" s="42"/>
      <c r="FCW40" s="33"/>
      <c r="FCX40" s="33"/>
      <c r="FDB40" s="41"/>
      <c r="FDH40" s="42"/>
      <c r="FDO40" s="33"/>
      <c r="FDP40" s="33"/>
      <c r="FDT40" s="41"/>
      <c r="FDZ40" s="42"/>
      <c r="FEG40" s="33"/>
      <c r="FEH40" s="33"/>
      <c r="FEL40" s="41"/>
      <c r="FER40" s="42"/>
      <c r="FEY40" s="33"/>
      <c r="FEZ40" s="33"/>
      <c r="FFD40" s="41"/>
      <c r="FFJ40" s="42"/>
      <c r="FFQ40" s="33"/>
      <c r="FFR40" s="33"/>
      <c r="FFV40" s="41"/>
      <c r="FGB40" s="42"/>
      <c r="FGI40" s="33"/>
      <c r="FGJ40" s="33"/>
      <c r="FGN40" s="41"/>
      <c r="FGT40" s="42"/>
      <c r="FHA40" s="33"/>
      <c r="FHB40" s="33"/>
      <c r="FHF40" s="41"/>
      <c r="FHL40" s="42"/>
      <c r="FHS40" s="33"/>
      <c r="FHT40" s="33"/>
      <c r="FHX40" s="41"/>
      <c r="FID40" s="42"/>
      <c r="FIK40" s="33"/>
      <c r="FIL40" s="33"/>
      <c r="FIP40" s="41"/>
      <c r="FIV40" s="42"/>
      <c r="FJC40" s="33"/>
      <c r="FJD40" s="33"/>
      <c r="FJH40" s="41"/>
      <c r="FJN40" s="42"/>
      <c r="FJU40" s="33"/>
      <c r="FJV40" s="33"/>
      <c r="FJZ40" s="41"/>
      <c r="FKF40" s="42"/>
      <c r="FKM40" s="33"/>
      <c r="FKN40" s="33"/>
      <c r="FKR40" s="41"/>
      <c r="FKX40" s="42"/>
      <c r="FLE40" s="33"/>
      <c r="FLF40" s="33"/>
      <c r="FLJ40" s="41"/>
      <c r="FLP40" s="42"/>
      <c r="FLW40" s="33"/>
      <c r="FLX40" s="33"/>
      <c r="FMB40" s="41"/>
      <c r="FMH40" s="42"/>
      <c r="FMO40" s="33"/>
      <c r="FMP40" s="33"/>
      <c r="FMT40" s="41"/>
      <c r="FMZ40" s="42"/>
      <c r="FNG40" s="33"/>
      <c r="FNH40" s="33"/>
      <c r="FNL40" s="41"/>
      <c r="FNR40" s="42"/>
      <c r="FNY40" s="33"/>
      <c r="FNZ40" s="33"/>
      <c r="FOD40" s="41"/>
      <c r="FOJ40" s="42"/>
      <c r="FOQ40" s="33"/>
      <c r="FOR40" s="33"/>
      <c r="FOV40" s="41"/>
      <c r="FPB40" s="42"/>
      <c r="FPI40" s="33"/>
      <c r="FPJ40" s="33"/>
      <c r="FPN40" s="41"/>
      <c r="FPT40" s="42"/>
      <c r="FQA40" s="33"/>
      <c r="FQB40" s="33"/>
      <c r="FQF40" s="41"/>
      <c r="FQL40" s="42"/>
      <c r="FQS40" s="33"/>
      <c r="FQT40" s="33"/>
      <c r="FQX40" s="41"/>
      <c r="FRD40" s="42"/>
      <c r="FRK40" s="33"/>
      <c r="FRL40" s="33"/>
      <c r="FRP40" s="41"/>
      <c r="FRV40" s="42"/>
      <c r="FSC40" s="33"/>
      <c r="FSD40" s="33"/>
      <c r="FSH40" s="41"/>
      <c r="FSN40" s="42"/>
      <c r="FSU40" s="33"/>
      <c r="FSV40" s="33"/>
      <c r="FSZ40" s="41"/>
      <c r="FTF40" s="42"/>
      <c r="FTM40" s="33"/>
      <c r="FTN40" s="33"/>
      <c r="FTR40" s="41"/>
      <c r="FTX40" s="42"/>
      <c r="FUE40" s="33"/>
      <c r="FUF40" s="33"/>
      <c r="FUJ40" s="41"/>
      <c r="FUP40" s="42"/>
      <c r="FUW40" s="33"/>
      <c r="FUX40" s="33"/>
      <c r="FVB40" s="41"/>
      <c r="FVH40" s="42"/>
      <c r="FVO40" s="33"/>
      <c r="FVP40" s="33"/>
      <c r="FVT40" s="41"/>
      <c r="FVZ40" s="42"/>
      <c r="FWG40" s="33"/>
      <c r="FWH40" s="33"/>
      <c r="FWL40" s="41"/>
      <c r="FWR40" s="42"/>
      <c r="FWY40" s="33"/>
      <c r="FWZ40" s="33"/>
      <c r="FXD40" s="41"/>
      <c r="FXJ40" s="42"/>
      <c r="FXQ40" s="33"/>
      <c r="FXR40" s="33"/>
      <c r="FXV40" s="41"/>
      <c r="FYB40" s="42"/>
      <c r="FYI40" s="33"/>
      <c r="FYJ40" s="33"/>
      <c r="FYN40" s="41"/>
      <c r="FYT40" s="42"/>
      <c r="FZA40" s="33"/>
      <c r="FZB40" s="33"/>
      <c r="FZF40" s="41"/>
      <c r="FZL40" s="42"/>
      <c r="FZS40" s="33"/>
      <c r="FZT40" s="33"/>
      <c r="FZX40" s="41"/>
      <c r="GAD40" s="42"/>
      <c r="GAK40" s="33"/>
      <c r="GAL40" s="33"/>
      <c r="GAP40" s="41"/>
      <c r="GAV40" s="42"/>
      <c r="GBC40" s="33"/>
      <c r="GBD40" s="33"/>
      <c r="GBH40" s="41"/>
      <c r="GBN40" s="42"/>
      <c r="GBU40" s="33"/>
      <c r="GBV40" s="33"/>
      <c r="GBZ40" s="41"/>
      <c r="GCF40" s="42"/>
      <c r="GCM40" s="33"/>
      <c r="GCN40" s="33"/>
      <c r="GCR40" s="41"/>
      <c r="GCX40" s="42"/>
      <c r="GDE40" s="33"/>
      <c r="GDF40" s="33"/>
      <c r="GDJ40" s="41"/>
      <c r="GDP40" s="42"/>
      <c r="GDW40" s="33"/>
      <c r="GDX40" s="33"/>
      <c r="GEB40" s="41"/>
      <c r="GEH40" s="42"/>
      <c r="GEO40" s="33"/>
      <c r="GEP40" s="33"/>
      <c r="GET40" s="41"/>
      <c r="GEZ40" s="42"/>
      <c r="GFG40" s="33"/>
      <c r="GFH40" s="33"/>
      <c r="GFL40" s="41"/>
      <c r="GFR40" s="42"/>
      <c r="GFY40" s="33"/>
      <c r="GFZ40" s="33"/>
      <c r="GGD40" s="41"/>
      <c r="GGJ40" s="42"/>
      <c r="GGQ40" s="33"/>
      <c r="GGR40" s="33"/>
      <c r="GGV40" s="41"/>
      <c r="GHB40" s="42"/>
      <c r="GHI40" s="33"/>
      <c r="GHJ40" s="33"/>
      <c r="GHN40" s="41"/>
      <c r="GHT40" s="42"/>
      <c r="GIA40" s="33"/>
      <c r="GIB40" s="33"/>
      <c r="GIF40" s="41"/>
      <c r="GIL40" s="42"/>
      <c r="GIS40" s="33"/>
      <c r="GIT40" s="33"/>
      <c r="GIX40" s="41"/>
      <c r="GJD40" s="42"/>
      <c r="GJK40" s="33"/>
      <c r="GJL40" s="33"/>
      <c r="GJP40" s="41"/>
      <c r="GJV40" s="42"/>
      <c r="GKC40" s="33"/>
      <c r="GKD40" s="33"/>
      <c r="GKH40" s="41"/>
      <c r="GKN40" s="42"/>
      <c r="GKU40" s="33"/>
      <c r="GKV40" s="33"/>
      <c r="GKZ40" s="41"/>
      <c r="GLF40" s="42"/>
      <c r="GLM40" s="33"/>
      <c r="GLN40" s="33"/>
      <c r="GLR40" s="41"/>
      <c r="GLX40" s="42"/>
      <c r="GME40" s="33"/>
      <c r="GMF40" s="33"/>
      <c r="GMJ40" s="41"/>
      <c r="GMP40" s="42"/>
      <c r="GMW40" s="33"/>
      <c r="GMX40" s="33"/>
      <c r="GNB40" s="41"/>
      <c r="GNH40" s="42"/>
      <c r="GNO40" s="33"/>
      <c r="GNP40" s="33"/>
      <c r="GNT40" s="41"/>
      <c r="GNZ40" s="42"/>
      <c r="GOG40" s="33"/>
      <c r="GOH40" s="33"/>
      <c r="GOL40" s="41"/>
      <c r="GOR40" s="42"/>
      <c r="GOY40" s="33"/>
      <c r="GOZ40" s="33"/>
      <c r="GPD40" s="41"/>
      <c r="GPJ40" s="42"/>
      <c r="GPQ40" s="33"/>
      <c r="GPR40" s="33"/>
      <c r="GPV40" s="41"/>
      <c r="GQB40" s="42"/>
      <c r="GQI40" s="33"/>
      <c r="GQJ40" s="33"/>
      <c r="GQN40" s="41"/>
      <c r="GQT40" s="42"/>
      <c r="GRA40" s="33"/>
      <c r="GRB40" s="33"/>
      <c r="GRF40" s="41"/>
      <c r="GRL40" s="42"/>
      <c r="GRS40" s="33"/>
      <c r="GRT40" s="33"/>
      <c r="GRX40" s="41"/>
      <c r="GSD40" s="42"/>
      <c r="GSK40" s="33"/>
      <c r="GSL40" s="33"/>
      <c r="GSP40" s="41"/>
      <c r="GSV40" s="42"/>
      <c r="GTC40" s="33"/>
      <c r="GTD40" s="33"/>
      <c r="GTH40" s="41"/>
      <c r="GTN40" s="42"/>
      <c r="GTU40" s="33"/>
      <c r="GTV40" s="33"/>
      <c r="GTZ40" s="41"/>
      <c r="GUF40" s="42"/>
      <c r="GUM40" s="33"/>
      <c r="GUN40" s="33"/>
      <c r="GUR40" s="41"/>
      <c r="GUX40" s="42"/>
      <c r="GVE40" s="33"/>
      <c r="GVF40" s="33"/>
      <c r="GVJ40" s="41"/>
      <c r="GVP40" s="42"/>
      <c r="GVW40" s="33"/>
      <c r="GVX40" s="33"/>
      <c r="GWB40" s="41"/>
      <c r="GWH40" s="42"/>
      <c r="GWO40" s="33"/>
      <c r="GWP40" s="33"/>
      <c r="GWT40" s="41"/>
      <c r="GWZ40" s="42"/>
      <c r="GXG40" s="33"/>
      <c r="GXH40" s="33"/>
      <c r="GXL40" s="41"/>
      <c r="GXR40" s="42"/>
      <c r="GXY40" s="33"/>
      <c r="GXZ40" s="33"/>
      <c r="GYD40" s="41"/>
      <c r="GYJ40" s="42"/>
      <c r="GYQ40" s="33"/>
      <c r="GYR40" s="33"/>
      <c r="GYV40" s="41"/>
      <c r="GZB40" s="42"/>
      <c r="GZI40" s="33"/>
      <c r="GZJ40" s="33"/>
      <c r="GZN40" s="41"/>
      <c r="GZT40" s="42"/>
      <c r="HAA40" s="33"/>
      <c r="HAB40" s="33"/>
      <c r="HAF40" s="41"/>
      <c r="HAL40" s="42"/>
      <c r="HAS40" s="33"/>
      <c r="HAT40" s="33"/>
      <c r="HAX40" s="41"/>
      <c r="HBD40" s="42"/>
      <c r="HBK40" s="33"/>
      <c r="HBL40" s="33"/>
      <c r="HBP40" s="41"/>
      <c r="HBV40" s="42"/>
      <c r="HCC40" s="33"/>
      <c r="HCD40" s="33"/>
      <c r="HCH40" s="41"/>
      <c r="HCN40" s="42"/>
      <c r="HCU40" s="33"/>
      <c r="HCV40" s="33"/>
      <c r="HCZ40" s="41"/>
      <c r="HDF40" s="42"/>
      <c r="HDM40" s="33"/>
      <c r="HDN40" s="33"/>
      <c r="HDR40" s="41"/>
      <c r="HDX40" s="42"/>
      <c r="HEE40" s="33"/>
      <c r="HEF40" s="33"/>
      <c r="HEJ40" s="41"/>
      <c r="HEP40" s="42"/>
      <c r="HEW40" s="33"/>
      <c r="HEX40" s="33"/>
      <c r="HFB40" s="41"/>
      <c r="HFH40" s="42"/>
      <c r="HFO40" s="33"/>
      <c r="HFP40" s="33"/>
      <c r="HFT40" s="41"/>
      <c r="HFZ40" s="42"/>
      <c r="HGG40" s="33"/>
      <c r="HGH40" s="33"/>
      <c r="HGL40" s="41"/>
      <c r="HGR40" s="42"/>
      <c r="HGY40" s="33"/>
      <c r="HGZ40" s="33"/>
      <c r="HHD40" s="41"/>
      <c r="HHJ40" s="42"/>
      <c r="HHQ40" s="33"/>
      <c r="HHR40" s="33"/>
      <c r="HHV40" s="41"/>
      <c r="HIB40" s="42"/>
      <c r="HII40" s="33"/>
      <c r="HIJ40" s="33"/>
      <c r="HIN40" s="41"/>
      <c r="HIT40" s="42"/>
      <c r="HJA40" s="33"/>
      <c r="HJB40" s="33"/>
      <c r="HJF40" s="41"/>
      <c r="HJL40" s="42"/>
      <c r="HJS40" s="33"/>
      <c r="HJT40" s="33"/>
      <c r="HJX40" s="41"/>
      <c r="HKD40" s="42"/>
      <c r="HKK40" s="33"/>
      <c r="HKL40" s="33"/>
      <c r="HKP40" s="41"/>
      <c r="HKV40" s="42"/>
      <c r="HLC40" s="33"/>
      <c r="HLD40" s="33"/>
      <c r="HLH40" s="41"/>
      <c r="HLN40" s="42"/>
      <c r="HLU40" s="33"/>
      <c r="HLV40" s="33"/>
      <c r="HLZ40" s="41"/>
      <c r="HMF40" s="42"/>
      <c r="HMM40" s="33"/>
      <c r="HMN40" s="33"/>
      <c r="HMR40" s="41"/>
      <c r="HMX40" s="42"/>
      <c r="HNE40" s="33"/>
      <c r="HNF40" s="33"/>
      <c r="HNJ40" s="41"/>
      <c r="HNP40" s="42"/>
      <c r="HNW40" s="33"/>
      <c r="HNX40" s="33"/>
      <c r="HOB40" s="41"/>
      <c r="HOH40" s="42"/>
      <c r="HOO40" s="33"/>
      <c r="HOP40" s="33"/>
      <c r="HOT40" s="41"/>
      <c r="HOZ40" s="42"/>
      <c r="HPG40" s="33"/>
      <c r="HPH40" s="33"/>
      <c r="HPL40" s="41"/>
      <c r="HPR40" s="42"/>
      <c r="HPY40" s="33"/>
      <c r="HPZ40" s="33"/>
      <c r="HQD40" s="41"/>
      <c r="HQJ40" s="42"/>
      <c r="HQQ40" s="33"/>
      <c r="HQR40" s="33"/>
      <c r="HQV40" s="41"/>
      <c r="HRB40" s="42"/>
      <c r="HRI40" s="33"/>
      <c r="HRJ40" s="33"/>
      <c r="HRN40" s="41"/>
      <c r="HRT40" s="42"/>
      <c r="HSA40" s="33"/>
      <c r="HSB40" s="33"/>
      <c r="HSF40" s="41"/>
      <c r="HSL40" s="42"/>
      <c r="HSS40" s="33"/>
      <c r="HST40" s="33"/>
      <c r="HSX40" s="41"/>
      <c r="HTD40" s="42"/>
      <c r="HTK40" s="33"/>
      <c r="HTL40" s="33"/>
      <c r="HTP40" s="41"/>
      <c r="HTV40" s="42"/>
      <c r="HUC40" s="33"/>
      <c r="HUD40" s="33"/>
      <c r="HUH40" s="41"/>
      <c r="HUN40" s="42"/>
      <c r="HUU40" s="33"/>
      <c r="HUV40" s="33"/>
      <c r="HUZ40" s="41"/>
      <c r="HVF40" s="42"/>
      <c r="HVM40" s="33"/>
      <c r="HVN40" s="33"/>
      <c r="HVR40" s="41"/>
      <c r="HVX40" s="42"/>
      <c r="HWE40" s="33"/>
      <c r="HWF40" s="33"/>
      <c r="HWJ40" s="41"/>
      <c r="HWP40" s="42"/>
      <c r="HWW40" s="33"/>
      <c r="HWX40" s="33"/>
      <c r="HXB40" s="41"/>
      <c r="HXH40" s="42"/>
      <c r="HXO40" s="33"/>
      <c r="HXP40" s="33"/>
      <c r="HXT40" s="41"/>
      <c r="HXZ40" s="42"/>
      <c r="HYG40" s="33"/>
      <c r="HYH40" s="33"/>
      <c r="HYL40" s="41"/>
      <c r="HYR40" s="42"/>
      <c r="HYY40" s="33"/>
      <c r="HYZ40" s="33"/>
      <c r="HZD40" s="41"/>
      <c r="HZJ40" s="42"/>
      <c r="HZQ40" s="33"/>
      <c r="HZR40" s="33"/>
      <c r="HZV40" s="41"/>
      <c r="IAB40" s="42"/>
      <c r="IAI40" s="33"/>
      <c r="IAJ40" s="33"/>
      <c r="IAN40" s="41"/>
      <c r="IAT40" s="42"/>
      <c r="IBA40" s="33"/>
      <c r="IBB40" s="33"/>
      <c r="IBF40" s="41"/>
      <c r="IBL40" s="42"/>
      <c r="IBS40" s="33"/>
      <c r="IBT40" s="33"/>
      <c r="IBX40" s="41"/>
      <c r="ICD40" s="42"/>
      <c r="ICK40" s="33"/>
      <c r="ICL40" s="33"/>
      <c r="ICP40" s="41"/>
      <c r="ICV40" s="42"/>
      <c r="IDC40" s="33"/>
      <c r="IDD40" s="33"/>
      <c r="IDH40" s="41"/>
      <c r="IDN40" s="42"/>
      <c r="IDU40" s="33"/>
      <c r="IDV40" s="33"/>
      <c r="IDZ40" s="41"/>
      <c r="IEF40" s="42"/>
      <c r="IEM40" s="33"/>
      <c r="IEN40" s="33"/>
      <c r="IER40" s="41"/>
      <c r="IEX40" s="42"/>
      <c r="IFE40" s="33"/>
      <c r="IFF40" s="33"/>
      <c r="IFJ40" s="41"/>
      <c r="IFP40" s="42"/>
      <c r="IFW40" s="33"/>
      <c r="IFX40" s="33"/>
      <c r="IGB40" s="41"/>
      <c r="IGH40" s="42"/>
      <c r="IGO40" s="33"/>
      <c r="IGP40" s="33"/>
      <c r="IGT40" s="41"/>
      <c r="IGZ40" s="42"/>
      <c r="IHG40" s="33"/>
      <c r="IHH40" s="33"/>
      <c r="IHL40" s="41"/>
      <c r="IHR40" s="42"/>
      <c r="IHY40" s="33"/>
      <c r="IHZ40" s="33"/>
      <c r="IID40" s="41"/>
      <c r="IIJ40" s="42"/>
      <c r="IIQ40" s="33"/>
      <c r="IIR40" s="33"/>
      <c r="IIV40" s="41"/>
      <c r="IJB40" s="42"/>
      <c r="IJI40" s="33"/>
      <c r="IJJ40" s="33"/>
      <c r="IJN40" s="41"/>
      <c r="IJT40" s="42"/>
      <c r="IKA40" s="33"/>
      <c r="IKB40" s="33"/>
      <c r="IKF40" s="41"/>
      <c r="IKL40" s="42"/>
      <c r="IKS40" s="33"/>
      <c r="IKT40" s="33"/>
      <c r="IKX40" s="41"/>
      <c r="ILD40" s="42"/>
      <c r="ILK40" s="33"/>
      <c r="ILL40" s="33"/>
      <c r="ILP40" s="41"/>
      <c r="ILV40" s="42"/>
      <c r="IMC40" s="33"/>
      <c r="IMD40" s="33"/>
      <c r="IMH40" s="41"/>
      <c r="IMN40" s="42"/>
      <c r="IMU40" s="33"/>
      <c r="IMV40" s="33"/>
      <c r="IMZ40" s="41"/>
      <c r="INF40" s="42"/>
      <c r="INM40" s="33"/>
      <c r="INN40" s="33"/>
      <c r="INR40" s="41"/>
      <c r="INX40" s="42"/>
      <c r="IOE40" s="33"/>
      <c r="IOF40" s="33"/>
      <c r="IOJ40" s="41"/>
      <c r="IOP40" s="42"/>
      <c r="IOW40" s="33"/>
      <c r="IOX40" s="33"/>
      <c r="IPB40" s="41"/>
      <c r="IPH40" s="42"/>
      <c r="IPO40" s="33"/>
      <c r="IPP40" s="33"/>
      <c r="IPT40" s="41"/>
      <c r="IPZ40" s="42"/>
      <c r="IQG40" s="33"/>
      <c r="IQH40" s="33"/>
      <c r="IQL40" s="41"/>
      <c r="IQR40" s="42"/>
      <c r="IQY40" s="33"/>
      <c r="IQZ40" s="33"/>
      <c r="IRD40" s="41"/>
      <c r="IRJ40" s="42"/>
      <c r="IRQ40" s="33"/>
      <c r="IRR40" s="33"/>
      <c r="IRV40" s="41"/>
      <c r="ISB40" s="42"/>
      <c r="ISI40" s="33"/>
      <c r="ISJ40" s="33"/>
      <c r="ISN40" s="41"/>
      <c r="IST40" s="42"/>
      <c r="ITA40" s="33"/>
      <c r="ITB40" s="33"/>
      <c r="ITF40" s="41"/>
      <c r="ITL40" s="42"/>
      <c r="ITS40" s="33"/>
      <c r="ITT40" s="33"/>
      <c r="ITX40" s="41"/>
      <c r="IUD40" s="42"/>
      <c r="IUK40" s="33"/>
      <c r="IUL40" s="33"/>
      <c r="IUP40" s="41"/>
      <c r="IUV40" s="42"/>
      <c r="IVC40" s="33"/>
      <c r="IVD40" s="33"/>
      <c r="IVH40" s="41"/>
      <c r="IVN40" s="42"/>
      <c r="IVU40" s="33"/>
      <c r="IVV40" s="33"/>
      <c r="IVZ40" s="41"/>
      <c r="IWF40" s="42"/>
      <c r="IWM40" s="33"/>
      <c r="IWN40" s="33"/>
      <c r="IWR40" s="41"/>
      <c r="IWX40" s="42"/>
      <c r="IXE40" s="33"/>
      <c r="IXF40" s="33"/>
      <c r="IXJ40" s="41"/>
      <c r="IXP40" s="42"/>
      <c r="IXW40" s="33"/>
      <c r="IXX40" s="33"/>
      <c r="IYB40" s="41"/>
      <c r="IYH40" s="42"/>
      <c r="IYO40" s="33"/>
      <c r="IYP40" s="33"/>
      <c r="IYT40" s="41"/>
      <c r="IYZ40" s="42"/>
      <c r="IZG40" s="33"/>
      <c r="IZH40" s="33"/>
      <c r="IZL40" s="41"/>
      <c r="IZR40" s="42"/>
      <c r="IZY40" s="33"/>
      <c r="IZZ40" s="33"/>
      <c r="JAD40" s="41"/>
      <c r="JAJ40" s="42"/>
      <c r="JAQ40" s="33"/>
      <c r="JAR40" s="33"/>
      <c r="JAV40" s="41"/>
      <c r="JBB40" s="42"/>
      <c r="JBI40" s="33"/>
      <c r="JBJ40" s="33"/>
      <c r="JBN40" s="41"/>
      <c r="JBT40" s="42"/>
      <c r="JCA40" s="33"/>
      <c r="JCB40" s="33"/>
      <c r="JCF40" s="41"/>
      <c r="JCL40" s="42"/>
      <c r="JCS40" s="33"/>
      <c r="JCT40" s="33"/>
      <c r="JCX40" s="41"/>
      <c r="JDD40" s="42"/>
      <c r="JDK40" s="33"/>
      <c r="JDL40" s="33"/>
      <c r="JDP40" s="41"/>
      <c r="JDV40" s="42"/>
      <c r="JEC40" s="33"/>
      <c r="JED40" s="33"/>
      <c r="JEH40" s="41"/>
      <c r="JEN40" s="42"/>
      <c r="JEU40" s="33"/>
      <c r="JEV40" s="33"/>
      <c r="JEZ40" s="41"/>
      <c r="JFF40" s="42"/>
      <c r="JFM40" s="33"/>
      <c r="JFN40" s="33"/>
      <c r="JFR40" s="41"/>
      <c r="JFX40" s="42"/>
      <c r="JGE40" s="33"/>
      <c r="JGF40" s="33"/>
      <c r="JGJ40" s="41"/>
      <c r="JGP40" s="42"/>
      <c r="JGW40" s="33"/>
      <c r="JGX40" s="33"/>
      <c r="JHB40" s="41"/>
      <c r="JHH40" s="42"/>
      <c r="JHO40" s="33"/>
      <c r="JHP40" s="33"/>
      <c r="JHT40" s="41"/>
      <c r="JHZ40" s="42"/>
      <c r="JIG40" s="33"/>
      <c r="JIH40" s="33"/>
      <c r="JIL40" s="41"/>
      <c r="JIR40" s="42"/>
      <c r="JIY40" s="33"/>
      <c r="JIZ40" s="33"/>
      <c r="JJD40" s="41"/>
      <c r="JJJ40" s="42"/>
      <c r="JJQ40" s="33"/>
      <c r="JJR40" s="33"/>
      <c r="JJV40" s="41"/>
      <c r="JKB40" s="42"/>
      <c r="JKI40" s="33"/>
      <c r="JKJ40" s="33"/>
      <c r="JKN40" s="41"/>
      <c r="JKT40" s="42"/>
      <c r="JLA40" s="33"/>
      <c r="JLB40" s="33"/>
      <c r="JLF40" s="41"/>
      <c r="JLL40" s="42"/>
      <c r="JLS40" s="33"/>
      <c r="JLT40" s="33"/>
      <c r="JLX40" s="41"/>
      <c r="JMD40" s="42"/>
      <c r="JMK40" s="33"/>
      <c r="JML40" s="33"/>
      <c r="JMP40" s="41"/>
      <c r="JMV40" s="42"/>
      <c r="JNC40" s="33"/>
      <c r="JND40" s="33"/>
      <c r="JNH40" s="41"/>
      <c r="JNN40" s="42"/>
      <c r="JNU40" s="33"/>
      <c r="JNV40" s="33"/>
      <c r="JNZ40" s="41"/>
      <c r="JOF40" s="42"/>
      <c r="JOM40" s="33"/>
      <c r="JON40" s="33"/>
      <c r="JOR40" s="41"/>
      <c r="JOX40" s="42"/>
      <c r="JPE40" s="33"/>
      <c r="JPF40" s="33"/>
      <c r="JPJ40" s="41"/>
      <c r="JPP40" s="42"/>
      <c r="JPW40" s="33"/>
      <c r="JPX40" s="33"/>
      <c r="JQB40" s="41"/>
      <c r="JQH40" s="42"/>
      <c r="JQO40" s="33"/>
      <c r="JQP40" s="33"/>
      <c r="JQT40" s="41"/>
      <c r="JQZ40" s="42"/>
      <c r="JRG40" s="33"/>
      <c r="JRH40" s="33"/>
      <c r="JRL40" s="41"/>
      <c r="JRR40" s="42"/>
      <c r="JRY40" s="33"/>
      <c r="JRZ40" s="33"/>
      <c r="JSD40" s="41"/>
      <c r="JSJ40" s="42"/>
      <c r="JSQ40" s="33"/>
      <c r="JSR40" s="33"/>
      <c r="JSV40" s="41"/>
      <c r="JTB40" s="42"/>
      <c r="JTI40" s="33"/>
      <c r="JTJ40" s="33"/>
      <c r="JTN40" s="41"/>
      <c r="JTT40" s="42"/>
      <c r="JUA40" s="33"/>
      <c r="JUB40" s="33"/>
      <c r="JUF40" s="41"/>
      <c r="JUL40" s="42"/>
      <c r="JUS40" s="33"/>
      <c r="JUT40" s="33"/>
      <c r="JUX40" s="41"/>
      <c r="JVD40" s="42"/>
      <c r="JVK40" s="33"/>
      <c r="JVL40" s="33"/>
      <c r="JVP40" s="41"/>
      <c r="JVV40" s="42"/>
      <c r="JWC40" s="33"/>
      <c r="JWD40" s="33"/>
      <c r="JWH40" s="41"/>
      <c r="JWN40" s="42"/>
      <c r="JWU40" s="33"/>
      <c r="JWV40" s="33"/>
      <c r="JWZ40" s="41"/>
      <c r="JXF40" s="42"/>
      <c r="JXM40" s="33"/>
      <c r="JXN40" s="33"/>
      <c r="JXR40" s="41"/>
      <c r="JXX40" s="42"/>
      <c r="JYE40" s="33"/>
      <c r="JYF40" s="33"/>
      <c r="JYJ40" s="41"/>
      <c r="JYP40" s="42"/>
      <c r="JYW40" s="33"/>
      <c r="JYX40" s="33"/>
      <c r="JZB40" s="41"/>
      <c r="JZH40" s="42"/>
      <c r="JZO40" s="33"/>
      <c r="JZP40" s="33"/>
      <c r="JZT40" s="41"/>
      <c r="JZZ40" s="42"/>
      <c r="KAG40" s="33"/>
      <c r="KAH40" s="33"/>
      <c r="KAL40" s="41"/>
      <c r="KAR40" s="42"/>
      <c r="KAY40" s="33"/>
      <c r="KAZ40" s="33"/>
      <c r="KBD40" s="41"/>
      <c r="KBJ40" s="42"/>
      <c r="KBQ40" s="33"/>
      <c r="KBR40" s="33"/>
      <c r="KBV40" s="41"/>
      <c r="KCB40" s="42"/>
      <c r="KCI40" s="33"/>
      <c r="KCJ40" s="33"/>
      <c r="KCN40" s="41"/>
      <c r="KCT40" s="42"/>
      <c r="KDA40" s="33"/>
      <c r="KDB40" s="33"/>
      <c r="KDF40" s="41"/>
      <c r="KDL40" s="42"/>
      <c r="KDS40" s="33"/>
      <c r="KDT40" s="33"/>
      <c r="KDX40" s="41"/>
      <c r="KED40" s="42"/>
      <c r="KEK40" s="33"/>
      <c r="KEL40" s="33"/>
      <c r="KEP40" s="41"/>
      <c r="KEV40" s="42"/>
      <c r="KFC40" s="33"/>
      <c r="KFD40" s="33"/>
      <c r="KFH40" s="41"/>
      <c r="KFN40" s="42"/>
      <c r="KFU40" s="33"/>
      <c r="KFV40" s="33"/>
      <c r="KFZ40" s="41"/>
      <c r="KGF40" s="42"/>
      <c r="KGM40" s="33"/>
      <c r="KGN40" s="33"/>
      <c r="KGR40" s="41"/>
      <c r="KGX40" s="42"/>
      <c r="KHE40" s="33"/>
      <c r="KHF40" s="33"/>
      <c r="KHJ40" s="41"/>
      <c r="KHP40" s="42"/>
      <c r="KHW40" s="33"/>
      <c r="KHX40" s="33"/>
      <c r="KIB40" s="41"/>
      <c r="KIH40" s="42"/>
      <c r="KIO40" s="33"/>
      <c r="KIP40" s="33"/>
      <c r="KIT40" s="41"/>
      <c r="KIZ40" s="42"/>
      <c r="KJG40" s="33"/>
      <c r="KJH40" s="33"/>
      <c r="KJL40" s="41"/>
      <c r="KJR40" s="42"/>
      <c r="KJY40" s="33"/>
      <c r="KJZ40" s="33"/>
      <c r="KKD40" s="41"/>
      <c r="KKJ40" s="42"/>
      <c r="KKQ40" s="33"/>
      <c r="KKR40" s="33"/>
      <c r="KKV40" s="41"/>
      <c r="KLB40" s="42"/>
      <c r="KLI40" s="33"/>
      <c r="KLJ40" s="33"/>
      <c r="KLN40" s="41"/>
      <c r="KLT40" s="42"/>
      <c r="KMA40" s="33"/>
      <c r="KMB40" s="33"/>
      <c r="KMF40" s="41"/>
      <c r="KML40" s="42"/>
      <c r="KMS40" s="33"/>
      <c r="KMT40" s="33"/>
      <c r="KMX40" s="41"/>
      <c r="KND40" s="42"/>
      <c r="KNK40" s="33"/>
      <c r="KNL40" s="33"/>
      <c r="KNP40" s="41"/>
      <c r="KNV40" s="42"/>
      <c r="KOC40" s="33"/>
      <c r="KOD40" s="33"/>
      <c r="KOH40" s="41"/>
      <c r="KON40" s="42"/>
      <c r="KOU40" s="33"/>
      <c r="KOV40" s="33"/>
      <c r="KOZ40" s="41"/>
      <c r="KPF40" s="42"/>
      <c r="KPM40" s="33"/>
      <c r="KPN40" s="33"/>
      <c r="KPR40" s="41"/>
      <c r="KPX40" s="42"/>
      <c r="KQE40" s="33"/>
      <c r="KQF40" s="33"/>
      <c r="KQJ40" s="41"/>
      <c r="KQP40" s="42"/>
      <c r="KQW40" s="33"/>
      <c r="KQX40" s="33"/>
      <c r="KRB40" s="41"/>
      <c r="KRH40" s="42"/>
      <c r="KRO40" s="33"/>
      <c r="KRP40" s="33"/>
      <c r="KRT40" s="41"/>
      <c r="KRZ40" s="42"/>
      <c r="KSG40" s="33"/>
      <c r="KSH40" s="33"/>
      <c r="KSL40" s="41"/>
      <c r="KSR40" s="42"/>
      <c r="KSY40" s="33"/>
      <c r="KSZ40" s="33"/>
      <c r="KTD40" s="41"/>
      <c r="KTJ40" s="42"/>
      <c r="KTQ40" s="33"/>
      <c r="KTR40" s="33"/>
      <c r="KTV40" s="41"/>
      <c r="KUB40" s="42"/>
      <c r="KUI40" s="33"/>
      <c r="KUJ40" s="33"/>
      <c r="KUN40" s="41"/>
      <c r="KUT40" s="42"/>
      <c r="KVA40" s="33"/>
      <c r="KVB40" s="33"/>
      <c r="KVF40" s="41"/>
      <c r="KVL40" s="42"/>
      <c r="KVS40" s="33"/>
      <c r="KVT40" s="33"/>
      <c r="KVX40" s="41"/>
      <c r="KWD40" s="42"/>
      <c r="KWK40" s="33"/>
      <c r="KWL40" s="33"/>
      <c r="KWP40" s="41"/>
      <c r="KWV40" s="42"/>
      <c r="KXC40" s="33"/>
      <c r="KXD40" s="33"/>
      <c r="KXH40" s="41"/>
      <c r="KXN40" s="42"/>
      <c r="KXU40" s="33"/>
      <c r="KXV40" s="33"/>
      <c r="KXZ40" s="41"/>
      <c r="KYF40" s="42"/>
      <c r="KYM40" s="33"/>
      <c r="KYN40" s="33"/>
      <c r="KYR40" s="41"/>
      <c r="KYX40" s="42"/>
      <c r="KZE40" s="33"/>
      <c r="KZF40" s="33"/>
      <c r="KZJ40" s="41"/>
      <c r="KZP40" s="42"/>
      <c r="KZW40" s="33"/>
      <c r="KZX40" s="33"/>
      <c r="LAB40" s="41"/>
      <c r="LAH40" s="42"/>
      <c r="LAO40" s="33"/>
      <c r="LAP40" s="33"/>
      <c r="LAT40" s="41"/>
      <c r="LAZ40" s="42"/>
      <c r="LBG40" s="33"/>
      <c r="LBH40" s="33"/>
      <c r="LBL40" s="41"/>
      <c r="LBR40" s="42"/>
      <c r="LBY40" s="33"/>
      <c r="LBZ40" s="33"/>
      <c r="LCD40" s="41"/>
      <c r="LCJ40" s="42"/>
      <c r="LCQ40" s="33"/>
      <c r="LCR40" s="33"/>
      <c r="LCV40" s="41"/>
      <c r="LDB40" s="42"/>
      <c r="LDI40" s="33"/>
      <c r="LDJ40" s="33"/>
      <c r="LDN40" s="41"/>
      <c r="LDT40" s="42"/>
      <c r="LEA40" s="33"/>
      <c r="LEB40" s="33"/>
      <c r="LEF40" s="41"/>
      <c r="LEL40" s="42"/>
      <c r="LES40" s="33"/>
      <c r="LET40" s="33"/>
      <c r="LEX40" s="41"/>
      <c r="LFD40" s="42"/>
      <c r="LFK40" s="33"/>
      <c r="LFL40" s="33"/>
      <c r="LFP40" s="41"/>
      <c r="LFV40" s="42"/>
      <c r="LGC40" s="33"/>
      <c r="LGD40" s="33"/>
      <c r="LGH40" s="41"/>
      <c r="LGN40" s="42"/>
      <c r="LGU40" s="33"/>
      <c r="LGV40" s="33"/>
      <c r="LGZ40" s="41"/>
      <c r="LHF40" s="42"/>
      <c r="LHM40" s="33"/>
      <c r="LHN40" s="33"/>
      <c r="LHR40" s="41"/>
      <c r="LHX40" s="42"/>
      <c r="LIE40" s="33"/>
      <c r="LIF40" s="33"/>
      <c r="LIJ40" s="41"/>
      <c r="LIP40" s="42"/>
      <c r="LIW40" s="33"/>
      <c r="LIX40" s="33"/>
      <c r="LJB40" s="41"/>
      <c r="LJH40" s="42"/>
      <c r="LJO40" s="33"/>
      <c r="LJP40" s="33"/>
      <c r="LJT40" s="41"/>
      <c r="LJZ40" s="42"/>
      <c r="LKG40" s="33"/>
      <c r="LKH40" s="33"/>
      <c r="LKL40" s="41"/>
      <c r="LKR40" s="42"/>
      <c r="LKY40" s="33"/>
      <c r="LKZ40" s="33"/>
      <c r="LLD40" s="41"/>
      <c r="LLJ40" s="42"/>
      <c r="LLQ40" s="33"/>
      <c r="LLR40" s="33"/>
      <c r="LLV40" s="41"/>
      <c r="LMB40" s="42"/>
      <c r="LMI40" s="33"/>
      <c r="LMJ40" s="33"/>
      <c r="LMN40" s="41"/>
      <c r="LMT40" s="42"/>
      <c r="LNA40" s="33"/>
      <c r="LNB40" s="33"/>
      <c r="LNF40" s="41"/>
      <c r="LNL40" s="42"/>
      <c r="LNS40" s="33"/>
      <c r="LNT40" s="33"/>
      <c r="LNX40" s="41"/>
      <c r="LOD40" s="42"/>
      <c r="LOK40" s="33"/>
      <c r="LOL40" s="33"/>
      <c r="LOP40" s="41"/>
      <c r="LOV40" s="42"/>
      <c r="LPC40" s="33"/>
      <c r="LPD40" s="33"/>
      <c r="LPH40" s="41"/>
      <c r="LPN40" s="42"/>
      <c r="LPU40" s="33"/>
      <c r="LPV40" s="33"/>
      <c r="LPZ40" s="41"/>
      <c r="LQF40" s="42"/>
      <c r="LQM40" s="33"/>
      <c r="LQN40" s="33"/>
      <c r="LQR40" s="41"/>
      <c r="LQX40" s="42"/>
      <c r="LRE40" s="33"/>
      <c r="LRF40" s="33"/>
      <c r="LRJ40" s="41"/>
      <c r="LRP40" s="42"/>
      <c r="LRW40" s="33"/>
      <c r="LRX40" s="33"/>
      <c r="LSB40" s="41"/>
      <c r="LSH40" s="42"/>
      <c r="LSO40" s="33"/>
      <c r="LSP40" s="33"/>
      <c r="LST40" s="41"/>
      <c r="LSZ40" s="42"/>
      <c r="LTG40" s="33"/>
      <c r="LTH40" s="33"/>
      <c r="LTL40" s="41"/>
      <c r="LTR40" s="42"/>
      <c r="LTY40" s="33"/>
      <c r="LTZ40" s="33"/>
      <c r="LUD40" s="41"/>
      <c r="LUJ40" s="42"/>
      <c r="LUQ40" s="33"/>
      <c r="LUR40" s="33"/>
      <c r="LUV40" s="41"/>
      <c r="LVB40" s="42"/>
      <c r="LVI40" s="33"/>
      <c r="LVJ40" s="33"/>
      <c r="LVN40" s="41"/>
      <c r="LVT40" s="42"/>
      <c r="LWA40" s="33"/>
      <c r="LWB40" s="33"/>
      <c r="LWF40" s="41"/>
      <c r="LWL40" s="42"/>
      <c r="LWS40" s="33"/>
      <c r="LWT40" s="33"/>
      <c r="LWX40" s="41"/>
      <c r="LXD40" s="42"/>
      <c r="LXK40" s="33"/>
      <c r="LXL40" s="33"/>
      <c r="LXP40" s="41"/>
      <c r="LXV40" s="42"/>
      <c r="LYC40" s="33"/>
      <c r="LYD40" s="33"/>
      <c r="LYH40" s="41"/>
      <c r="LYN40" s="42"/>
      <c r="LYU40" s="33"/>
      <c r="LYV40" s="33"/>
      <c r="LYZ40" s="41"/>
      <c r="LZF40" s="42"/>
      <c r="LZM40" s="33"/>
      <c r="LZN40" s="33"/>
      <c r="LZR40" s="41"/>
      <c r="LZX40" s="42"/>
      <c r="MAE40" s="33"/>
      <c r="MAF40" s="33"/>
      <c r="MAJ40" s="41"/>
      <c r="MAP40" s="42"/>
      <c r="MAW40" s="33"/>
      <c r="MAX40" s="33"/>
      <c r="MBB40" s="41"/>
      <c r="MBH40" s="42"/>
      <c r="MBO40" s="33"/>
      <c r="MBP40" s="33"/>
      <c r="MBT40" s="41"/>
      <c r="MBZ40" s="42"/>
      <c r="MCG40" s="33"/>
      <c r="MCH40" s="33"/>
      <c r="MCL40" s="41"/>
      <c r="MCR40" s="42"/>
      <c r="MCY40" s="33"/>
      <c r="MCZ40" s="33"/>
      <c r="MDD40" s="41"/>
      <c r="MDJ40" s="42"/>
      <c r="MDQ40" s="33"/>
      <c r="MDR40" s="33"/>
      <c r="MDV40" s="41"/>
      <c r="MEB40" s="42"/>
      <c r="MEI40" s="33"/>
      <c r="MEJ40" s="33"/>
      <c r="MEN40" s="41"/>
      <c r="MET40" s="42"/>
      <c r="MFA40" s="33"/>
      <c r="MFB40" s="33"/>
      <c r="MFF40" s="41"/>
      <c r="MFL40" s="42"/>
      <c r="MFS40" s="33"/>
      <c r="MFT40" s="33"/>
      <c r="MFX40" s="41"/>
      <c r="MGD40" s="42"/>
      <c r="MGK40" s="33"/>
      <c r="MGL40" s="33"/>
      <c r="MGP40" s="41"/>
      <c r="MGV40" s="42"/>
      <c r="MHC40" s="33"/>
      <c r="MHD40" s="33"/>
      <c r="MHH40" s="41"/>
      <c r="MHN40" s="42"/>
      <c r="MHU40" s="33"/>
      <c r="MHV40" s="33"/>
      <c r="MHZ40" s="41"/>
      <c r="MIF40" s="42"/>
      <c r="MIM40" s="33"/>
      <c r="MIN40" s="33"/>
      <c r="MIR40" s="41"/>
      <c r="MIX40" s="42"/>
      <c r="MJE40" s="33"/>
      <c r="MJF40" s="33"/>
      <c r="MJJ40" s="41"/>
      <c r="MJP40" s="42"/>
      <c r="MJW40" s="33"/>
      <c r="MJX40" s="33"/>
      <c r="MKB40" s="41"/>
      <c r="MKH40" s="42"/>
      <c r="MKO40" s="33"/>
      <c r="MKP40" s="33"/>
      <c r="MKT40" s="41"/>
      <c r="MKZ40" s="42"/>
      <c r="MLG40" s="33"/>
      <c r="MLH40" s="33"/>
      <c r="MLL40" s="41"/>
      <c r="MLR40" s="42"/>
      <c r="MLY40" s="33"/>
      <c r="MLZ40" s="33"/>
      <c r="MMD40" s="41"/>
      <c r="MMJ40" s="42"/>
      <c r="MMQ40" s="33"/>
      <c r="MMR40" s="33"/>
      <c r="MMV40" s="41"/>
      <c r="MNB40" s="42"/>
      <c r="MNI40" s="33"/>
      <c r="MNJ40" s="33"/>
      <c r="MNN40" s="41"/>
      <c r="MNT40" s="42"/>
      <c r="MOA40" s="33"/>
      <c r="MOB40" s="33"/>
      <c r="MOF40" s="41"/>
      <c r="MOL40" s="42"/>
      <c r="MOS40" s="33"/>
      <c r="MOT40" s="33"/>
      <c r="MOX40" s="41"/>
      <c r="MPD40" s="42"/>
      <c r="MPK40" s="33"/>
      <c r="MPL40" s="33"/>
      <c r="MPP40" s="41"/>
      <c r="MPV40" s="42"/>
      <c r="MQC40" s="33"/>
      <c r="MQD40" s="33"/>
      <c r="MQH40" s="41"/>
      <c r="MQN40" s="42"/>
      <c r="MQU40" s="33"/>
      <c r="MQV40" s="33"/>
      <c r="MQZ40" s="41"/>
      <c r="MRF40" s="42"/>
      <c r="MRM40" s="33"/>
      <c r="MRN40" s="33"/>
      <c r="MRR40" s="41"/>
      <c r="MRX40" s="42"/>
      <c r="MSE40" s="33"/>
      <c r="MSF40" s="33"/>
      <c r="MSJ40" s="41"/>
      <c r="MSP40" s="42"/>
      <c r="MSW40" s="33"/>
      <c r="MSX40" s="33"/>
      <c r="MTB40" s="41"/>
      <c r="MTH40" s="42"/>
      <c r="MTO40" s="33"/>
      <c r="MTP40" s="33"/>
      <c r="MTT40" s="41"/>
      <c r="MTZ40" s="42"/>
      <c r="MUG40" s="33"/>
      <c r="MUH40" s="33"/>
      <c r="MUL40" s="41"/>
      <c r="MUR40" s="42"/>
      <c r="MUY40" s="33"/>
      <c r="MUZ40" s="33"/>
      <c r="MVD40" s="41"/>
      <c r="MVJ40" s="42"/>
      <c r="MVQ40" s="33"/>
      <c r="MVR40" s="33"/>
      <c r="MVV40" s="41"/>
      <c r="MWB40" s="42"/>
      <c r="MWI40" s="33"/>
      <c r="MWJ40" s="33"/>
      <c r="MWN40" s="41"/>
      <c r="MWT40" s="42"/>
      <c r="MXA40" s="33"/>
      <c r="MXB40" s="33"/>
      <c r="MXF40" s="41"/>
      <c r="MXL40" s="42"/>
      <c r="MXS40" s="33"/>
      <c r="MXT40" s="33"/>
      <c r="MXX40" s="41"/>
      <c r="MYD40" s="42"/>
      <c r="MYK40" s="33"/>
      <c r="MYL40" s="33"/>
      <c r="MYP40" s="41"/>
      <c r="MYV40" s="42"/>
      <c r="MZC40" s="33"/>
      <c r="MZD40" s="33"/>
      <c r="MZH40" s="41"/>
      <c r="MZN40" s="42"/>
      <c r="MZU40" s="33"/>
      <c r="MZV40" s="33"/>
      <c r="MZZ40" s="41"/>
      <c r="NAF40" s="42"/>
      <c r="NAM40" s="33"/>
      <c r="NAN40" s="33"/>
      <c r="NAR40" s="41"/>
      <c r="NAX40" s="42"/>
      <c r="NBE40" s="33"/>
      <c r="NBF40" s="33"/>
      <c r="NBJ40" s="41"/>
      <c r="NBP40" s="42"/>
      <c r="NBW40" s="33"/>
      <c r="NBX40" s="33"/>
      <c r="NCB40" s="41"/>
      <c r="NCH40" s="42"/>
      <c r="NCO40" s="33"/>
      <c r="NCP40" s="33"/>
      <c r="NCT40" s="41"/>
      <c r="NCZ40" s="42"/>
      <c r="NDG40" s="33"/>
      <c r="NDH40" s="33"/>
      <c r="NDL40" s="41"/>
      <c r="NDR40" s="42"/>
      <c r="NDY40" s="33"/>
      <c r="NDZ40" s="33"/>
      <c r="NED40" s="41"/>
      <c r="NEJ40" s="42"/>
      <c r="NEQ40" s="33"/>
      <c r="NER40" s="33"/>
      <c r="NEV40" s="41"/>
      <c r="NFB40" s="42"/>
      <c r="NFI40" s="33"/>
      <c r="NFJ40" s="33"/>
      <c r="NFN40" s="41"/>
      <c r="NFT40" s="42"/>
      <c r="NGA40" s="33"/>
      <c r="NGB40" s="33"/>
      <c r="NGF40" s="41"/>
      <c r="NGL40" s="42"/>
      <c r="NGS40" s="33"/>
      <c r="NGT40" s="33"/>
      <c r="NGX40" s="41"/>
      <c r="NHD40" s="42"/>
      <c r="NHK40" s="33"/>
      <c r="NHL40" s="33"/>
      <c r="NHP40" s="41"/>
      <c r="NHV40" s="42"/>
      <c r="NIC40" s="33"/>
      <c r="NID40" s="33"/>
      <c r="NIH40" s="41"/>
      <c r="NIN40" s="42"/>
      <c r="NIU40" s="33"/>
      <c r="NIV40" s="33"/>
      <c r="NIZ40" s="41"/>
      <c r="NJF40" s="42"/>
      <c r="NJM40" s="33"/>
      <c r="NJN40" s="33"/>
      <c r="NJR40" s="41"/>
      <c r="NJX40" s="42"/>
      <c r="NKE40" s="33"/>
      <c r="NKF40" s="33"/>
      <c r="NKJ40" s="41"/>
      <c r="NKP40" s="42"/>
      <c r="NKW40" s="33"/>
      <c r="NKX40" s="33"/>
      <c r="NLB40" s="41"/>
      <c r="NLH40" s="42"/>
      <c r="NLO40" s="33"/>
      <c r="NLP40" s="33"/>
      <c r="NLT40" s="41"/>
      <c r="NLZ40" s="42"/>
      <c r="NMG40" s="33"/>
      <c r="NMH40" s="33"/>
      <c r="NML40" s="41"/>
      <c r="NMR40" s="42"/>
      <c r="NMY40" s="33"/>
      <c r="NMZ40" s="33"/>
      <c r="NND40" s="41"/>
      <c r="NNJ40" s="42"/>
      <c r="NNQ40" s="33"/>
      <c r="NNR40" s="33"/>
      <c r="NNV40" s="41"/>
      <c r="NOB40" s="42"/>
      <c r="NOI40" s="33"/>
      <c r="NOJ40" s="33"/>
      <c r="NON40" s="41"/>
      <c r="NOT40" s="42"/>
      <c r="NPA40" s="33"/>
      <c r="NPB40" s="33"/>
      <c r="NPF40" s="41"/>
      <c r="NPL40" s="42"/>
      <c r="NPS40" s="33"/>
      <c r="NPT40" s="33"/>
      <c r="NPX40" s="41"/>
      <c r="NQD40" s="42"/>
      <c r="NQK40" s="33"/>
      <c r="NQL40" s="33"/>
      <c r="NQP40" s="41"/>
      <c r="NQV40" s="42"/>
      <c r="NRC40" s="33"/>
      <c r="NRD40" s="33"/>
      <c r="NRH40" s="41"/>
      <c r="NRN40" s="42"/>
      <c r="NRU40" s="33"/>
      <c r="NRV40" s="33"/>
      <c r="NRZ40" s="41"/>
      <c r="NSF40" s="42"/>
      <c r="NSM40" s="33"/>
      <c r="NSN40" s="33"/>
      <c r="NSR40" s="41"/>
      <c r="NSX40" s="42"/>
      <c r="NTE40" s="33"/>
      <c r="NTF40" s="33"/>
      <c r="NTJ40" s="41"/>
      <c r="NTP40" s="42"/>
      <c r="NTW40" s="33"/>
      <c r="NTX40" s="33"/>
      <c r="NUB40" s="41"/>
      <c r="NUH40" s="42"/>
      <c r="NUO40" s="33"/>
      <c r="NUP40" s="33"/>
      <c r="NUT40" s="41"/>
      <c r="NUZ40" s="42"/>
      <c r="NVG40" s="33"/>
      <c r="NVH40" s="33"/>
      <c r="NVL40" s="41"/>
      <c r="NVR40" s="42"/>
      <c r="NVY40" s="33"/>
      <c r="NVZ40" s="33"/>
      <c r="NWD40" s="41"/>
      <c r="NWJ40" s="42"/>
      <c r="NWQ40" s="33"/>
      <c r="NWR40" s="33"/>
      <c r="NWV40" s="41"/>
      <c r="NXB40" s="42"/>
      <c r="NXI40" s="33"/>
      <c r="NXJ40" s="33"/>
      <c r="NXN40" s="41"/>
      <c r="NXT40" s="42"/>
      <c r="NYA40" s="33"/>
      <c r="NYB40" s="33"/>
      <c r="NYF40" s="41"/>
      <c r="NYL40" s="42"/>
      <c r="NYS40" s="33"/>
      <c r="NYT40" s="33"/>
      <c r="NYX40" s="41"/>
      <c r="NZD40" s="42"/>
      <c r="NZK40" s="33"/>
      <c r="NZL40" s="33"/>
      <c r="NZP40" s="41"/>
      <c r="NZV40" s="42"/>
      <c r="OAC40" s="33"/>
      <c r="OAD40" s="33"/>
      <c r="OAH40" s="41"/>
      <c r="OAN40" s="42"/>
      <c r="OAU40" s="33"/>
      <c r="OAV40" s="33"/>
      <c r="OAZ40" s="41"/>
      <c r="OBF40" s="42"/>
      <c r="OBM40" s="33"/>
      <c r="OBN40" s="33"/>
      <c r="OBR40" s="41"/>
      <c r="OBX40" s="42"/>
      <c r="OCE40" s="33"/>
      <c r="OCF40" s="33"/>
      <c r="OCJ40" s="41"/>
      <c r="OCP40" s="42"/>
      <c r="OCW40" s="33"/>
      <c r="OCX40" s="33"/>
      <c r="ODB40" s="41"/>
      <c r="ODH40" s="42"/>
      <c r="ODO40" s="33"/>
      <c r="ODP40" s="33"/>
      <c r="ODT40" s="41"/>
      <c r="ODZ40" s="42"/>
      <c r="OEG40" s="33"/>
      <c r="OEH40" s="33"/>
      <c r="OEL40" s="41"/>
      <c r="OER40" s="42"/>
      <c r="OEY40" s="33"/>
      <c r="OEZ40" s="33"/>
      <c r="OFD40" s="41"/>
      <c r="OFJ40" s="42"/>
      <c r="OFQ40" s="33"/>
      <c r="OFR40" s="33"/>
      <c r="OFV40" s="41"/>
      <c r="OGB40" s="42"/>
      <c r="OGI40" s="33"/>
      <c r="OGJ40" s="33"/>
      <c r="OGN40" s="41"/>
      <c r="OGT40" s="42"/>
      <c r="OHA40" s="33"/>
      <c r="OHB40" s="33"/>
      <c r="OHF40" s="41"/>
      <c r="OHL40" s="42"/>
      <c r="OHS40" s="33"/>
      <c r="OHT40" s="33"/>
      <c r="OHX40" s="41"/>
      <c r="OID40" s="42"/>
      <c r="OIK40" s="33"/>
      <c r="OIL40" s="33"/>
      <c r="OIP40" s="41"/>
      <c r="OIV40" s="42"/>
      <c r="OJC40" s="33"/>
      <c r="OJD40" s="33"/>
      <c r="OJH40" s="41"/>
      <c r="OJN40" s="42"/>
      <c r="OJU40" s="33"/>
      <c r="OJV40" s="33"/>
      <c r="OJZ40" s="41"/>
      <c r="OKF40" s="42"/>
      <c r="OKM40" s="33"/>
      <c r="OKN40" s="33"/>
      <c r="OKR40" s="41"/>
      <c r="OKX40" s="42"/>
      <c r="OLE40" s="33"/>
      <c r="OLF40" s="33"/>
      <c r="OLJ40" s="41"/>
      <c r="OLP40" s="42"/>
      <c r="OLW40" s="33"/>
      <c r="OLX40" s="33"/>
      <c r="OMB40" s="41"/>
      <c r="OMH40" s="42"/>
      <c r="OMO40" s="33"/>
      <c r="OMP40" s="33"/>
      <c r="OMT40" s="41"/>
      <c r="OMZ40" s="42"/>
      <c r="ONG40" s="33"/>
      <c r="ONH40" s="33"/>
      <c r="ONL40" s="41"/>
      <c r="ONR40" s="42"/>
      <c r="ONY40" s="33"/>
      <c r="ONZ40" s="33"/>
      <c r="OOD40" s="41"/>
      <c r="OOJ40" s="42"/>
      <c r="OOQ40" s="33"/>
      <c r="OOR40" s="33"/>
      <c r="OOV40" s="41"/>
      <c r="OPB40" s="42"/>
      <c r="OPI40" s="33"/>
      <c r="OPJ40" s="33"/>
      <c r="OPN40" s="41"/>
      <c r="OPT40" s="42"/>
      <c r="OQA40" s="33"/>
      <c r="OQB40" s="33"/>
      <c r="OQF40" s="41"/>
      <c r="OQL40" s="42"/>
      <c r="OQS40" s="33"/>
      <c r="OQT40" s="33"/>
      <c r="OQX40" s="41"/>
      <c r="ORD40" s="42"/>
      <c r="ORK40" s="33"/>
      <c r="ORL40" s="33"/>
      <c r="ORP40" s="41"/>
      <c r="ORV40" s="42"/>
      <c r="OSC40" s="33"/>
      <c r="OSD40" s="33"/>
      <c r="OSH40" s="41"/>
      <c r="OSN40" s="42"/>
      <c r="OSU40" s="33"/>
      <c r="OSV40" s="33"/>
      <c r="OSZ40" s="41"/>
      <c r="OTF40" s="42"/>
      <c r="OTM40" s="33"/>
      <c r="OTN40" s="33"/>
      <c r="OTR40" s="41"/>
      <c r="OTX40" s="42"/>
      <c r="OUE40" s="33"/>
      <c r="OUF40" s="33"/>
      <c r="OUJ40" s="41"/>
      <c r="OUP40" s="42"/>
      <c r="OUW40" s="33"/>
      <c r="OUX40" s="33"/>
      <c r="OVB40" s="41"/>
      <c r="OVH40" s="42"/>
      <c r="OVO40" s="33"/>
      <c r="OVP40" s="33"/>
      <c r="OVT40" s="41"/>
      <c r="OVZ40" s="42"/>
      <c r="OWG40" s="33"/>
      <c r="OWH40" s="33"/>
      <c r="OWL40" s="41"/>
      <c r="OWR40" s="42"/>
      <c r="OWY40" s="33"/>
      <c r="OWZ40" s="33"/>
      <c r="OXD40" s="41"/>
      <c r="OXJ40" s="42"/>
      <c r="OXQ40" s="33"/>
      <c r="OXR40" s="33"/>
      <c r="OXV40" s="41"/>
      <c r="OYB40" s="42"/>
      <c r="OYI40" s="33"/>
      <c r="OYJ40" s="33"/>
      <c r="OYN40" s="41"/>
      <c r="OYT40" s="42"/>
      <c r="OZA40" s="33"/>
      <c r="OZB40" s="33"/>
      <c r="OZF40" s="41"/>
      <c r="OZL40" s="42"/>
      <c r="OZS40" s="33"/>
      <c r="OZT40" s="33"/>
      <c r="OZX40" s="41"/>
      <c r="PAD40" s="42"/>
      <c r="PAK40" s="33"/>
      <c r="PAL40" s="33"/>
      <c r="PAP40" s="41"/>
      <c r="PAV40" s="42"/>
      <c r="PBC40" s="33"/>
      <c r="PBD40" s="33"/>
      <c r="PBH40" s="41"/>
      <c r="PBN40" s="42"/>
      <c r="PBU40" s="33"/>
      <c r="PBV40" s="33"/>
      <c r="PBZ40" s="41"/>
      <c r="PCF40" s="42"/>
      <c r="PCM40" s="33"/>
      <c r="PCN40" s="33"/>
      <c r="PCR40" s="41"/>
      <c r="PCX40" s="42"/>
      <c r="PDE40" s="33"/>
      <c r="PDF40" s="33"/>
      <c r="PDJ40" s="41"/>
      <c r="PDP40" s="42"/>
      <c r="PDW40" s="33"/>
      <c r="PDX40" s="33"/>
      <c r="PEB40" s="41"/>
      <c r="PEH40" s="42"/>
      <c r="PEO40" s="33"/>
      <c r="PEP40" s="33"/>
      <c r="PET40" s="41"/>
      <c r="PEZ40" s="42"/>
      <c r="PFG40" s="33"/>
      <c r="PFH40" s="33"/>
      <c r="PFL40" s="41"/>
      <c r="PFR40" s="42"/>
      <c r="PFY40" s="33"/>
      <c r="PFZ40" s="33"/>
      <c r="PGD40" s="41"/>
      <c r="PGJ40" s="42"/>
      <c r="PGQ40" s="33"/>
      <c r="PGR40" s="33"/>
      <c r="PGV40" s="41"/>
      <c r="PHB40" s="42"/>
      <c r="PHI40" s="33"/>
      <c r="PHJ40" s="33"/>
      <c r="PHN40" s="41"/>
      <c r="PHT40" s="42"/>
      <c r="PIA40" s="33"/>
      <c r="PIB40" s="33"/>
      <c r="PIF40" s="41"/>
      <c r="PIL40" s="42"/>
      <c r="PIS40" s="33"/>
      <c r="PIT40" s="33"/>
      <c r="PIX40" s="41"/>
      <c r="PJD40" s="42"/>
      <c r="PJK40" s="33"/>
      <c r="PJL40" s="33"/>
      <c r="PJP40" s="41"/>
      <c r="PJV40" s="42"/>
      <c r="PKC40" s="33"/>
      <c r="PKD40" s="33"/>
      <c r="PKH40" s="41"/>
      <c r="PKN40" s="42"/>
      <c r="PKU40" s="33"/>
      <c r="PKV40" s="33"/>
      <c r="PKZ40" s="41"/>
      <c r="PLF40" s="42"/>
      <c r="PLM40" s="33"/>
      <c r="PLN40" s="33"/>
      <c r="PLR40" s="41"/>
      <c r="PLX40" s="42"/>
      <c r="PME40" s="33"/>
      <c r="PMF40" s="33"/>
      <c r="PMJ40" s="41"/>
      <c r="PMP40" s="42"/>
      <c r="PMW40" s="33"/>
      <c r="PMX40" s="33"/>
      <c r="PNB40" s="41"/>
      <c r="PNH40" s="42"/>
      <c r="PNO40" s="33"/>
      <c r="PNP40" s="33"/>
      <c r="PNT40" s="41"/>
      <c r="PNZ40" s="42"/>
      <c r="POG40" s="33"/>
      <c r="POH40" s="33"/>
      <c r="POL40" s="41"/>
      <c r="POR40" s="42"/>
      <c r="POY40" s="33"/>
      <c r="POZ40" s="33"/>
      <c r="PPD40" s="41"/>
      <c r="PPJ40" s="42"/>
      <c r="PPQ40" s="33"/>
      <c r="PPR40" s="33"/>
      <c r="PPV40" s="41"/>
      <c r="PQB40" s="42"/>
      <c r="PQI40" s="33"/>
      <c r="PQJ40" s="33"/>
      <c r="PQN40" s="41"/>
      <c r="PQT40" s="42"/>
      <c r="PRA40" s="33"/>
      <c r="PRB40" s="33"/>
      <c r="PRF40" s="41"/>
      <c r="PRL40" s="42"/>
      <c r="PRS40" s="33"/>
      <c r="PRT40" s="33"/>
      <c r="PRX40" s="41"/>
      <c r="PSD40" s="42"/>
      <c r="PSK40" s="33"/>
      <c r="PSL40" s="33"/>
      <c r="PSP40" s="41"/>
      <c r="PSV40" s="42"/>
      <c r="PTC40" s="33"/>
      <c r="PTD40" s="33"/>
      <c r="PTH40" s="41"/>
      <c r="PTN40" s="42"/>
      <c r="PTU40" s="33"/>
      <c r="PTV40" s="33"/>
      <c r="PTZ40" s="41"/>
      <c r="PUF40" s="42"/>
      <c r="PUM40" s="33"/>
      <c r="PUN40" s="33"/>
      <c r="PUR40" s="41"/>
      <c r="PUX40" s="42"/>
      <c r="PVE40" s="33"/>
      <c r="PVF40" s="33"/>
      <c r="PVJ40" s="41"/>
      <c r="PVP40" s="42"/>
      <c r="PVW40" s="33"/>
      <c r="PVX40" s="33"/>
      <c r="PWB40" s="41"/>
      <c r="PWH40" s="42"/>
      <c r="PWO40" s="33"/>
      <c r="PWP40" s="33"/>
      <c r="PWT40" s="41"/>
      <c r="PWZ40" s="42"/>
      <c r="PXG40" s="33"/>
      <c r="PXH40" s="33"/>
      <c r="PXL40" s="41"/>
      <c r="PXR40" s="42"/>
      <c r="PXY40" s="33"/>
      <c r="PXZ40" s="33"/>
      <c r="PYD40" s="41"/>
      <c r="PYJ40" s="42"/>
      <c r="PYQ40" s="33"/>
      <c r="PYR40" s="33"/>
      <c r="PYV40" s="41"/>
      <c r="PZB40" s="42"/>
      <c r="PZI40" s="33"/>
      <c r="PZJ40" s="33"/>
      <c r="PZN40" s="41"/>
      <c r="PZT40" s="42"/>
      <c r="QAA40" s="33"/>
      <c r="QAB40" s="33"/>
      <c r="QAF40" s="41"/>
      <c r="QAL40" s="42"/>
      <c r="QAS40" s="33"/>
      <c r="QAT40" s="33"/>
      <c r="QAX40" s="41"/>
      <c r="QBD40" s="42"/>
      <c r="QBK40" s="33"/>
      <c r="QBL40" s="33"/>
      <c r="QBP40" s="41"/>
      <c r="QBV40" s="42"/>
      <c r="QCC40" s="33"/>
      <c r="QCD40" s="33"/>
      <c r="QCH40" s="41"/>
      <c r="QCN40" s="42"/>
      <c r="QCU40" s="33"/>
      <c r="QCV40" s="33"/>
      <c r="QCZ40" s="41"/>
      <c r="QDF40" s="42"/>
      <c r="QDM40" s="33"/>
      <c r="QDN40" s="33"/>
      <c r="QDR40" s="41"/>
      <c r="QDX40" s="42"/>
      <c r="QEE40" s="33"/>
      <c r="QEF40" s="33"/>
      <c r="QEJ40" s="41"/>
      <c r="QEP40" s="42"/>
      <c r="QEW40" s="33"/>
      <c r="QEX40" s="33"/>
      <c r="QFB40" s="41"/>
      <c r="QFH40" s="42"/>
      <c r="QFO40" s="33"/>
      <c r="QFP40" s="33"/>
      <c r="QFT40" s="41"/>
      <c r="QFZ40" s="42"/>
      <c r="QGG40" s="33"/>
      <c r="QGH40" s="33"/>
      <c r="QGL40" s="41"/>
      <c r="QGR40" s="42"/>
      <c r="QGY40" s="33"/>
      <c r="QGZ40" s="33"/>
      <c r="QHD40" s="41"/>
      <c r="QHJ40" s="42"/>
      <c r="QHQ40" s="33"/>
      <c r="QHR40" s="33"/>
      <c r="QHV40" s="41"/>
      <c r="QIB40" s="42"/>
      <c r="QII40" s="33"/>
      <c r="QIJ40" s="33"/>
      <c r="QIN40" s="41"/>
      <c r="QIT40" s="42"/>
      <c r="QJA40" s="33"/>
      <c r="QJB40" s="33"/>
      <c r="QJF40" s="41"/>
      <c r="QJL40" s="42"/>
      <c r="QJS40" s="33"/>
      <c r="QJT40" s="33"/>
      <c r="QJX40" s="41"/>
      <c r="QKD40" s="42"/>
      <c r="QKK40" s="33"/>
      <c r="QKL40" s="33"/>
      <c r="QKP40" s="41"/>
      <c r="QKV40" s="42"/>
      <c r="QLC40" s="33"/>
      <c r="QLD40" s="33"/>
      <c r="QLH40" s="41"/>
      <c r="QLN40" s="42"/>
      <c r="QLU40" s="33"/>
      <c r="QLV40" s="33"/>
      <c r="QLZ40" s="41"/>
      <c r="QMF40" s="42"/>
      <c r="QMM40" s="33"/>
      <c r="QMN40" s="33"/>
      <c r="QMR40" s="41"/>
      <c r="QMX40" s="42"/>
      <c r="QNE40" s="33"/>
      <c r="QNF40" s="33"/>
      <c r="QNJ40" s="41"/>
      <c r="QNP40" s="42"/>
      <c r="QNW40" s="33"/>
      <c r="QNX40" s="33"/>
      <c r="QOB40" s="41"/>
      <c r="QOH40" s="42"/>
      <c r="QOO40" s="33"/>
      <c r="QOP40" s="33"/>
      <c r="QOT40" s="41"/>
      <c r="QOZ40" s="42"/>
      <c r="QPG40" s="33"/>
      <c r="QPH40" s="33"/>
      <c r="QPL40" s="41"/>
      <c r="QPR40" s="42"/>
      <c r="QPY40" s="33"/>
      <c r="QPZ40" s="33"/>
      <c r="QQD40" s="41"/>
      <c r="QQJ40" s="42"/>
      <c r="QQQ40" s="33"/>
      <c r="QQR40" s="33"/>
      <c r="QQV40" s="41"/>
      <c r="QRB40" s="42"/>
      <c r="QRI40" s="33"/>
      <c r="QRJ40" s="33"/>
      <c r="QRN40" s="41"/>
      <c r="QRT40" s="42"/>
      <c r="QSA40" s="33"/>
      <c r="QSB40" s="33"/>
      <c r="QSF40" s="41"/>
      <c r="QSL40" s="42"/>
      <c r="QSS40" s="33"/>
      <c r="QST40" s="33"/>
      <c r="QSX40" s="41"/>
      <c r="QTD40" s="42"/>
      <c r="QTK40" s="33"/>
      <c r="QTL40" s="33"/>
      <c r="QTP40" s="41"/>
      <c r="QTV40" s="42"/>
      <c r="QUC40" s="33"/>
      <c r="QUD40" s="33"/>
      <c r="QUH40" s="41"/>
      <c r="QUN40" s="42"/>
      <c r="QUU40" s="33"/>
      <c r="QUV40" s="33"/>
      <c r="QUZ40" s="41"/>
      <c r="QVF40" s="42"/>
      <c r="QVM40" s="33"/>
      <c r="QVN40" s="33"/>
      <c r="QVR40" s="41"/>
      <c r="QVX40" s="42"/>
      <c r="QWE40" s="33"/>
      <c r="QWF40" s="33"/>
      <c r="QWJ40" s="41"/>
      <c r="QWP40" s="42"/>
      <c r="QWW40" s="33"/>
      <c r="QWX40" s="33"/>
      <c r="QXB40" s="41"/>
      <c r="QXH40" s="42"/>
      <c r="QXO40" s="33"/>
      <c r="QXP40" s="33"/>
      <c r="QXT40" s="41"/>
      <c r="QXZ40" s="42"/>
      <c r="QYG40" s="33"/>
      <c r="QYH40" s="33"/>
      <c r="QYL40" s="41"/>
      <c r="QYR40" s="42"/>
      <c r="QYY40" s="33"/>
      <c r="QYZ40" s="33"/>
      <c r="QZD40" s="41"/>
      <c r="QZJ40" s="42"/>
      <c r="QZQ40" s="33"/>
      <c r="QZR40" s="33"/>
      <c r="QZV40" s="41"/>
      <c r="RAB40" s="42"/>
      <c r="RAI40" s="33"/>
      <c r="RAJ40" s="33"/>
      <c r="RAN40" s="41"/>
      <c r="RAT40" s="42"/>
      <c r="RBA40" s="33"/>
      <c r="RBB40" s="33"/>
      <c r="RBF40" s="41"/>
      <c r="RBL40" s="42"/>
      <c r="RBS40" s="33"/>
      <c r="RBT40" s="33"/>
      <c r="RBX40" s="41"/>
      <c r="RCD40" s="42"/>
      <c r="RCK40" s="33"/>
      <c r="RCL40" s="33"/>
      <c r="RCP40" s="41"/>
      <c r="RCV40" s="42"/>
      <c r="RDC40" s="33"/>
      <c r="RDD40" s="33"/>
      <c r="RDH40" s="41"/>
      <c r="RDN40" s="42"/>
      <c r="RDU40" s="33"/>
      <c r="RDV40" s="33"/>
      <c r="RDZ40" s="41"/>
      <c r="REF40" s="42"/>
      <c r="REM40" s="33"/>
      <c r="REN40" s="33"/>
      <c r="RER40" s="41"/>
      <c r="REX40" s="42"/>
      <c r="RFE40" s="33"/>
      <c r="RFF40" s="33"/>
      <c r="RFJ40" s="41"/>
      <c r="RFP40" s="42"/>
      <c r="RFW40" s="33"/>
      <c r="RFX40" s="33"/>
      <c r="RGB40" s="41"/>
      <c r="RGH40" s="42"/>
      <c r="RGO40" s="33"/>
      <c r="RGP40" s="33"/>
      <c r="RGT40" s="41"/>
      <c r="RGZ40" s="42"/>
      <c r="RHG40" s="33"/>
      <c r="RHH40" s="33"/>
      <c r="RHL40" s="41"/>
      <c r="RHR40" s="42"/>
      <c r="RHY40" s="33"/>
      <c r="RHZ40" s="33"/>
      <c r="RID40" s="41"/>
      <c r="RIJ40" s="42"/>
      <c r="RIQ40" s="33"/>
      <c r="RIR40" s="33"/>
      <c r="RIV40" s="41"/>
      <c r="RJB40" s="42"/>
      <c r="RJI40" s="33"/>
      <c r="RJJ40" s="33"/>
      <c r="RJN40" s="41"/>
      <c r="RJT40" s="42"/>
      <c r="RKA40" s="33"/>
      <c r="RKB40" s="33"/>
      <c r="RKF40" s="41"/>
      <c r="RKL40" s="42"/>
      <c r="RKS40" s="33"/>
      <c r="RKT40" s="33"/>
      <c r="RKX40" s="41"/>
      <c r="RLD40" s="42"/>
      <c r="RLK40" s="33"/>
      <c r="RLL40" s="33"/>
      <c r="RLP40" s="41"/>
      <c r="RLV40" s="42"/>
      <c r="RMC40" s="33"/>
      <c r="RMD40" s="33"/>
      <c r="RMH40" s="41"/>
      <c r="RMN40" s="42"/>
      <c r="RMU40" s="33"/>
      <c r="RMV40" s="33"/>
      <c r="RMZ40" s="41"/>
      <c r="RNF40" s="42"/>
      <c r="RNM40" s="33"/>
      <c r="RNN40" s="33"/>
      <c r="RNR40" s="41"/>
      <c r="RNX40" s="42"/>
      <c r="ROE40" s="33"/>
      <c r="ROF40" s="33"/>
      <c r="ROJ40" s="41"/>
      <c r="ROP40" s="42"/>
      <c r="ROW40" s="33"/>
      <c r="ROX40" s="33"/>
      <c r="RPB40" s="41"/>
      <c r="RPH40" s="42"/>
      <c r="RPO40" s="33"/>
      <c r="RPP40" s="33"/>
      <c r="RPT40" s="41"/>
      <c r="RPZ40" s="42"/>
      <c r="RQG40" s="33"/>
      <c r="RQH40" s="33"/>
      <c r="RQL40" s="41"/>
      <c r="RQR40" s="42"/>
      <c r="RQY40" s="33"/>
      <c r="RQZ40" s="33"/>
      <c r="RRD40" s="41"/>
      <c r="RRJ40" s="42"/>
      <c r="RRQ40" s="33"/>
      <c r="RRR40" s="33"/>
      <c r="RRV40" s="41"/>
      <c r="RSB40" s="42"/>
      <c r="RSI40" s="33"/>
      <c r="RSJ40" s="33"/>
      <c r="RSN40" s="41"/>
      <c r="RST40" s="42"/>
      <c r="RTA40" s="33"/>
      <c r="RTB40" s="33"/>
      <c r="RTF40" s="41"/>
      <c r="RTL40" s="42"/>
      <c r="RTS40" s="33"/>
      <c r="RTT40" s="33"/>
      <c r="RTX40" s="41"/>
      <c r="RUD40" s="42"/>
      <c r="RUK40" s="33"/>
      <c r="RUL40" s="33"/>
      <c r="RUP40" s="41"/>
      <c r="RUV40" s="42"/>
      <c r="RVC40" s="33"/>
      <c r="RVD40" s="33"/>
      <c r="RVH40" s="41"/>
      <c r="RVN40" s="42"/>
      <c r="RVU40" s="33"/>
      <c r="RVV40" s="33"/>
      <c r="RVZ40" s="41"/>
      <c r="RWF40" s="42"/>
      <c r="RWM40" s="33"/>
      <c r="RWN40" s="33"/>
      <c r="RWR40" s="41"/>
      <c r="RWX40" s="42"/>
      <c r="RXE40" s="33"/>
      <c r="RXF40" s="33"/>
      <c r="RXJ40" s="41"/>
      <c r="RXP40" s="42"/>
      <c r="RXW40" s="33"/>
      <c r="RXX40" s="33"/>
      <c r="RYB40" s="41"/>
      <c r="RYH40" s="42"/>
      <c r="RYO40" s="33"/>
      <c r="RYP40" s="33"/>
      <c r="RYT40" s="41"/>
      <c r="RYZ40" s="42"/>
      <c r="RZG40" s="33"/>
      <c r="RZH40" s="33"/>
      <c r="RZL40" s="41"/>
      <c r="RZR40" s="42"/>
      <c r="RZY40" s="33"/>
      <c r="RZZ40" s="33"/>
      <c r="SAD40" s="41"/>
      <c r="SAJ40" s="42"/>
      <c r="SAQ40" s="33"/>
      <c r="SAR40" s="33"/>
      <c r="SAV40" s="41"/>
      <c r="SBB40" s="42"/>
      <c r="SBI40" s="33"/>
      <c r="SBJ40" s="33"/>
      <c r="SBN40" s="41"/>
      <c r="SBT40" s="42"/>
      <c r="SCA40" s="33"/>
      <c r="SCB40" s="33"/>
      <c r="SCF40" s="41"/>
      <c r="SCL40" s="42"/>
      <c r="SCS40" s="33"/>
      <c r="SCT40" s="33"/>
      <c r="SCX40" s="41"/>
      <c r="SDD40" s="42"/>
      <c r="SDK40" s="33"/>
      <c r="SDL40" s="33"/>
      <c r="SDP40" s="41"/>
      <c r="SDV40" s="42"/>
      <c r="SEC40" s="33"/>
      <c r="SED40" s="33"/>
      <c r="SEH40" s="41"/>
      <c r="SEN40" s="42"/>
      <c r="SEU40" s="33"/>
      <c r="SEV40" s="33"/>
      <c r="SEZ40" s="41"/>
      <c r="SFF40" s="42"/>
      <c r="SFM40" s="33"/>
      <c r="SFN40" s="33"/>
      <c r="SFR40" s="41"/>
      <c r="SFX40" s="42"/>
      <c r="SGE40" s="33"/>
      <c r="SGF40" s="33"/>
      <c r="SGJ40" s="41"/>
      <c r="SGP40" s="42"/>
      <c r="SGW40" s="33"/>
      <c r="SGX40" s="33"/>
      <c r="SHB40" s="41"/>
      <c r="SHH40" s="42"/>
      <c r="SHO40" s="33"/>
      <c r="SHP40" s="33"/>
      <c r="SHT40" s="41"/>
      <c r="SHZ40" s="42"/>
      <c r="SIG40" s="33"/>
      <c r="SIH40" s="33"/>
      <c r="SIL40" s="41"/>
      <c r="SIR40" s="42"/>
      <c r="SIY40" s="33"/>
      <c r="SIZ40" s="33"/>
      <c r="SJD40" s="41"/>
      <c r="SJJ40" s="42"/>
      <c r="SJQ40" s="33"/>
      <c r="SJR40" s="33"/>
      <c r="SJV40" s="41"/>
      <c r="SKB40" s="42"/>
      <c r="SKI40" s="33"/>
      <c r="SKJ40" s="33"/>
      <c r="SKN40" s="41"/>
      <c r="SKT40" s="42"/>
      <c r="SLA40" s="33"/>
      <c r="SLB40" s="33"/>
      <c r="SLF40" s="41"/>
      <c r="SLL40" s="42"/>
      <c r="SLS40" s="33"/>
      <c r="SLT40" s="33"/>
      <c r="SLX40" s="41"/>
      <c r="SMD40" s="42"/>
      <c r="SMK40" s="33"/>
      <c r="SML40" s="33"/>
      <c r="SMP40" s="41"/>
      <c r="SMV40" s="42"/>
      <c r="SNC40" s="33"/>
      <c r="SND40" s="33"/>
      <c r="SNH40" s="41"/>
      <c r="SNN40" s="42"/>
      <c r="SNU40" s="33"/>
      <c r="SNV40" s="33"/>
      <c r="SNZ40" s="41"/>
      <c r="SOF40" s="42"/>
      <c r="SOM40" s="33"/>
      <c r="SON40" s="33"/>
      <c r="SOR40" s="41"/>
      <c r="SOX40" s="42"/>
      <c r="SPE40" s="33"/>
      <c r="SPF40" s="33"/>
      <c r="SPJ40" s="41"/>
      <c r="SPP40" s="42"/>
      <c r="SPW40" s="33"/>
      <c r="SPX40" s="33"/>
      <c r="SQB40" s="41"/>
      <c r="SQH40" s="42"/>
      <c r="SQO40" s="33"/>
      <c r="SQP40" s="33"/>
      <c r="SQT40" s="41"/>
      <c r="SQZ40" s="42"/>
      <c r="SRG40" s="33"/>
      <c r="SRH40" s="33"/>
      <c r="SRL40" s="41"/>
      <c r="SRR40" s="42"/>
      <c r="SRY40" s="33"/>
      <c r="SRZ40" s="33"/>
      <c r="SSD40" s="41"/>
      <c r="SSJ40" s="42"/>
      <c r="SSQ40" s="33"/>
      <c r="SSR40" s="33"/>
      <c r="SSV40" s="41"/>
      <c r="STB40" s="42"/>
      <c r="STI40" s="33"/>
      <c r="STJ40" s="33"/>
      <c r="STN40" s="41"/>
      <c r="STT40" s="42"/>
      <c r="SUA40" s="33"/>
      <c r="SUB40" s="33"/>
      <c r="SUF40" s="41"/>
      <c r="SUL40" s="42"/>
      <c r="SUS40" s="33"/>
      <c r="SUT40" s="33"/>
      <c r="SUX40" s="41"/>
      <c r="SVD40" s="42"/>
      <c r="SVK40" s="33"/>
      <c r="SVL40" s="33"/>
      <c r="SVP40" s="41"/>
      <c r="SVV40" s="42"/>
      <c r="SWC40" s="33"/>
      <c r="SWD40" s="33"/>
      <c r="SWH40" s="41"/>
      <c r="SWN40" s="42"/>
      <c r="SWU40" s="33"/>
      <c r="SWV40" s="33"/>
      <c r="SWZ40" s="41"/>
      <c r="SXF40" s="42"/>
      <c r="SXM40" s="33"/>
      <c r="SXN40" s="33"/>
      <c r="SXR40" s="41"/>
      <c r="SXX40" s="42"/>
      <c r="SYE40" s="33"/>
      <c r="SYF40" s="33"/>
      <c r="SYJ40" s="41"/>
      <c r="SYP40" s="42"/>
      <c r="SYW40" s="33"/>
      <c r="SYX40" s="33"/>
      <c r="SZB40" s="41"/>
      <c r="SZH40" s="42"/>
      <c r="SZO40" s="33"/>
      <c r="SZP40" s="33"/>
      <c r="SZT40" s="41"/>
      <c r="SZZ40" s="42"/>
      <c r="TAG40" s="33"/>
      <c r="TAH40" s="33"/>
      <c r="TAL40" s="41"/>
      <c r="TAR40" s="42"/>
      <c r="TAY40" s="33"/>
      <c r="TAZ40" s="33"/>
      <c r="TBD40" s="41"/>
      <c r="TBJ40" s="42"/>
      <c r="TBQ40" s="33"/>
      <c r="TBR40" s="33"/>
      <c r="TBV40" s="41"/>
      <c r="TCB40" s="42"/>
      <c r="TCI40" s="33"/>
      <c r="TCJ40" s="33"/>
      <c r="TCN40" s="41"/>
      <c r="TCT40" s="42"/>
      <c r="TDA40" s="33"/>
      <c r="TDB40" s="33"/>
      <c r="TDF40" s="41"/>
      <c r="TDL40" s="42"/>
      <c r="TDS40" s="33"/>
      <c r="TDT40" s="33"/>
      <c r="TDX40" s="41"/>
      <c r="TED40" s="42"/>
      <c r="TEK40" s="33"/>
      <c r="TEL40" s="33"/>
      <c r="TEP40" s="41"/>
      <c r="TEV40" s="42"/>
      <c r="TFC40" s="33"/>
      <c r="TFD40" s="33"/>
      <c r="TFH40" s="41"/>
      <c r="TFN40" s="42"/>
      <c r="TFU40" s="33"/>
      <c r="TFV40" s="33"/>
      <c r="TFZ40" s="41"/>
      <c r="TGF40" s="42"/>
      <c r="TGM40" s="33"/>
      <c r="TGN40" s="33"/>
      <c r="TGR40" s="41"/>
      <c r="TGX40" s="42"/>
      <c r="THE40" s="33"/>
      <c r="THF40" s="33"/>
      <c r="THJ40" s="41"/>
      <c r="THP40" s="42"/>
      <c r="THW40" s="33"/>
      <c r="THX40" s="33"/>
      <c r="TIB40" s="41"/>
      <c r="TIH40" s="42"/>
      <c r="TIO40" s="33"/>
      <c r="TIP40" s="33"/>
      <c r="TIT40" s="41"/>
      <c r="TIZ40" s="42"/>
      <c r="TJG40" s="33"/>
      <c r="TJH40" s="33"/>
      <c r="TJL40" s="41"/>
      <c r="TJR40" s="42"/>
      <c r="TJY40" s="33"/>
      <c r="TJZ40" s="33"/>
      <c r="TKD40" s="41"/>
      <c r="TKJ40" s="42"/>
      <c r="TKQ40" s="33"/>
      <c r="TKR40" s="33"/>
      <c r="TKV40" s="41"/>
      <c r="TLB40" s="42"/>
      <c r="TLI40" s="33"/>
      <c r="TLJ40" s="33"/>
      <c r="TLN40" s="41"/>
      <c r="TLT40" s="42"/>
      <c r="TMA40" s="33"/>
      <c r="TMB40" s="33"/>
      <c r="TMF40" s="41"/>
      <c r="TML40" s="42"/>
      <c r="TMS40" s="33"/>
      <c r="TMT40" s="33"/>
      <c r="TMX40" s="41"/>
      <c r="TND40" s="42"/>
      <c r="TNK40" s="33"/>
      <c r="TNL40" s="33"/>
      <c r="TNP40" s="41"/>
      <c r="TNV40" s="42"/>
      <c r="TOC40" s="33"/>
      <c r="TOD40" s="33"/>
      <c r="TOH40" s="41"/>
      <c r="TON40" s="42"/>
      <c r="TOU40" s="33"/>
      <c r="TOV40" s="33"/>
      <c r="TOZ40" s="41"/>
      <c r="TPF40" s="42"/>
      <c r="TPM40" s="33"/>
      <c r="TPN40" s="33"/>
      <c r="TPR40" s="41"/>
      <c r="TPX40" s="42"/>
      <c r="TQE40" s="33"/>
      <c r="TQF40" s="33"/>
      <c r="TQJ40" s="41"/>
      <c r="TQP40" s="42"/>
      <c r="TQW40" s="33"/>
      <c r="TQX40" s="33"/>
      <c r="TRB40" s="41"/>
      <c r="TRH40" s="42"/>
      <c r="TRO40" s="33"/>
      <c r="TRP40" s="33"/>
      <c r="TRT40" s="41"/>
      <c r="TRZ40" s="42"/>
      <c r="TSG40" s="33"/>
      <c r="TSH40" s="33"/>
      <c r="TSL40" s="41"/>
      <c r="TSR40" s="42"/>
      <c r="TSY40" s="33"/>
      <c r="TSZ40" s="33"/>
      <c r="TTD40" s="41"/>
      <c r="TTJ40" s="42"/>
      <c r="TTQ40" s="33"/>
      <c r="TTR40" s="33"/>
      <c r="TTV40" s="41"/>
      <c r="TUB40" s="42"/>
      <c r="TUI40" s="33"/>
      <c r="TUJ40" s="33"/>
      <c r="TUN40" s="41"/>
      <c r="TUT40" s="42"/>
      <c r="TVA40" s="33"/>
      <c r="TVB40" s="33"/>
      <c r="TVF40" s="41"/>
      <c r="TVL40" s="42"/>
      <c r="TVS40" s="33"/>
      <c r="TVT40" s="33"/>
      <c r="TVX40" s="41"/>
      <c r="TWD40" s="42"/>
      <c r="TWK40" s="33"/>
      <c r="TWL40" s="33"/>
      <c r="TWP40" s="41"/>
      <c r="TWV40" s="42"/>
      <c r="TXC40" s="33"/>
      <c r="TXD40" s="33"/>
      <c r="TXH40" s="41"/>
      <c r="TXN40" s="42"/>
      <c r="TXU40" s="33"/>
      <c r="TXV40" s="33"/>
      <c r="TXZ40" s="41"/>
      <c r="TYF40" s="42"/>
      <c r="TYM40" s="33"/>
      <c r="TYN40" s="33"/>
      <c r="TYR40" s="41"/>
      <c r="TYX40" s="42"/>
      <c r="TZE40" s="33"/>
      <c r="TZF40" s="33"/>
      <c r="TZJ40" s="41"/>
      <c r="TZP40" s="42"/>
      <c r="TZW40" s="33"/>
      <c r="TZX40" s="33"/>
      <c r="UAB40" s="41"/>
      <c r="UAH40" s="42"/>
      <c r="UAO40" s="33"/>
      <c r="UAP40" s="33"/>
      <c r="UAT40" s="41"/>
      <c r="UAZ40" s="42"/>
      <c r="UBG40" s="33"/>
      <c r="UBH40" s="33"/>
      <c r="UBL40" s="41"/>
      <c r="UBR40" s="42"/>
      <c r="UBY40" s="33"/>
      <c r="UBZ40" s="33"/>
      <c r="UCD40" s="41"/>
      <c r="UCJ40" s="42"/>
      <c r="UCQ40" s="33"/>
      <c r="UCR40" s="33"/>
      <c r="UCV40" s="41"/>
      <c r="UDB40" s="42"/>
      <c r="UDI40" s="33"/>
      <c r="UDJ40" s="33"/>
      <c r="UDN40" s="41"/>
      <c r="UDT40" s="42"/>
      <c r="UEA40" s="33"/>
      <c r="UEB40" s="33"/>
      <c r="UEF40" s="41"/>
      <c r="UEL40" s="42"/>
      <c r="UES40" s="33"/>
      <c r="UET40" s="33"/>
      <c r="UEX40" s="41"/>
      <c r="UFD40" s="42"/>
      <c r="UFK40" s="33"/>
      <c r="UFL40" s="33"/>
      <c r="UFP40" s="41"/>
      <c r="UFV40" s="42"/>
      <c r="UGC40" s="33"/>
      <c r="UGD40" s="33"/>
      <c r="UGH40" s="41"/>
      <c r="UGN40" s="42"/>
      <c r="UGU40" s="33"/>
      <c r="UGV40" s="33"/>
      <c r="UGZ40" s="41"/>
      <c r="UHF40" s="42"/>
      <c r="UHM40" s="33"/>
      <c r="UHN40" s="33"/>
      <c r="UHR40" s="41"/>
      <c r="UHX40" s="42"/>
      <c r="UIE40" s="33"/>
      <c r="UIF40" s="33"/>
      <c r="UIJ40" s="41"/>
      <c r="UIP40" s="42"/>
      <c r="UIW40" s="33"/>
      <c r="UIX40" s="33"/>
      <c r="UJB40" s="41"/>
      <c r="UJH40" s="42"/>
      <c r="UJO40" s="33"/>
      <c r="UJP40" s="33"/>
      <c r="UJT40" s="41"/>
      <c r="UJZ40" s="42"/>
      <c r="UKG40" s="33"/>
      <c r="UKH40" s="33"/>
      <c r="UKL40" s="41"/>
      <c r="UKR40" s="42"/>
      <c r="UKY40" s="33"/>
      <c r="UKZ40" s="33"/>
      <c r="ULD40" s="41"/>
      <c r="ULJ40" s="42"/>
      <c r="ULQ40" s="33"/>
      <c r="ULR40" s="33"/>
      <c r="ULV40" s="41"/>
      <c r="UMB40" s="42"/>
      <c r="UMI40" s="33"/>
      <c r="UMJ40" s="33"/>
      <c r="UMN40" s="41"/>
      <c r="UMT40" s="42"/>
      <c r="UNA40" s="33"/>
      <c r="UNB40" s="33"/>
      <c r="UNF40" s="41"/>
      <c r="UNL40" s="42"/>
      <c r="UNS40" s="33"/>
      <c r="UNT40" s="33"/>
      <c r="UNX40" s="41"/>
      <c r="UOD40" s="42"/>
      <c r="UOK40" s="33"/>
      <c r="UOL40" s="33"/>
      <c r="UOP40" s="41"/>
      <c r="UOV40" s="42"/>
      <c r="UPC40" s="33"/>
      <c r="UPD40" s="33"/>
      <c r="UPH40" s="41"/>
      <c r="UPN40" s="42"/>
      <c r="UPU40" s="33"/>
      <c r="UPV40" s="33"/>
      <c r="UPZ40" s="41"/>
      <c r="UQF40" s="42"/>
      <c r="UQM40" s="33"/>
      <c r="UQN40" s="33"/>
      <c r="UQR40" s="41"/>
      <c r="UQX40" s="42"/>
      <c r="URE40" s="33"/>
      <c r="URF40" s="33"/>
      <c r="URJ40" s="41"/>
      <c r="URP40" s="42"/>
      <c r="URW40" s="33"/>
      <c r="URX40" s="33"/>
      <c r="USB40" s="41"/>
      <c r="USH40" s="42"/>
      <c r="USO40" s="33"/>
      <c r="USP40" s="33"/>
      <c r="UST40" s="41"/>
      <c r="USZ40" s="42"/>
      <c r="UTG40" s="33"/>
      <c r="UTH40" s="33"/>
      <c r="UTL40" s="41"/>
      <c r="UTR40" s="42"/>
      <c r="UTY40" s="33"/>
      <c r="UTZ40" s="33"/>
      <c r="UUD40" s="41"/>
      <c r="UUJ40" s="42"/>
      <c r="UUQ40" s="33"/>
      <c r="UUR40" s="33"/>
      <c r="UUV40" s="41"/>
      <c r="UVB40" s="42"/>
      <c r="UVI40" s="33"/>
      <c r="UVJ40" s="33"/>
      <c r="UVN40" s="41"/>
      <c r="UVT40" s="42"/>
      <c r="UWA40" s="33"/>
      <c r="UWB40" s="33"/>
      <c r="UWF40" s="41"/>
      <c r="UWL40" s="42"/>
      <c r="UWS40" s="33"/>
      <c r="UWT40" s="33"/>
      <c r="UWX40" s="41"/>
      <c r="UXD40" s="42"/>
      <c r="UXK40" s="33"/>
      <c r="UXL40" s="33"/>
      <c r="UXP40" s="41"/>
      <c r="UXV40" s="42"/>
      <c r="UYC40" s="33"/>
      <c r="UYD40" s="33"/>
      <c r="UYH40" s="41"/>
      <c r="UYN40" s="42"/>
      <c r="UYU40" s="33"/>
      <c r="UYV40" s="33"/>
      <c r="UYZ40" s="41"/>
      <c r="UZF40" s="42"/>
      <c r="UZM40" s="33"/>
      <c r="UZN40" s="33"/>
      <c r="UZR40" s="41"/>
      <c r="UZX40" s="42"/>
      <c r="VAE40" s="33"/>
      <c r="VAF40" s="33"/>
      <c r="VAJ40" s="41"/>
      <c r="VAP40" s="42"/>
      <c r="VAW40" s="33"/>
      <c r="VAX40" s="33"/>
      <c r="VBB40" s="41"/>
      <c r="VBH40" s="42"/>
      <c r="VBO40" s="33"/>
      <c r="VBP40" s="33"/>
      <c r="VBT40" s="41"/>
      <c r="VBZ40" s="42"/>
      <c r="VCG40" s="33"/>
      <c r="VCH40" s="33"/>
      <c r="VCL40" s="41"/>
      <c r="VCR40" s="42"/>
      <c r="VCY40" s="33"/>
      <c r="VCZ40" s="33"/>
      <c r="VDD40" s="41"/>
      <c r="VDJ40" s="42"/>
      <c r="VDQ40" s="33"/>
      <c r="VDR40" s="33"/>
      <c r="VDV40" s="41"/>
      <c r="VEB40" s="42"/>
      <c r="VEI40" s="33"/>
      <c r="VEJ40" s="33"/>
      <c r="VEN40" s="41"/>
      <c r="VET40" s="42"/>
      <c r="VFA40" s="33"/>
      <c r="VFB40" s="33"/>
      <c r="VFF40" s="41"/>
      <c r="VFL40" s="42"/>
      <c r="VFS40" s="33"/>
      <c r="VFT40" s="33"/>
      <c r="VFX40" s="41"/>
      <c r="VGD40" s="42"/>
      <c r="VGK40" s="33"/>
      <c r="VGL40" s="33"/>
      <c r="VGP40" s="41"/>
      <c r="VGV40" s="42"/>
      <c r="VHC40" s="33"/>
      <c r="VHD40" s="33"/>
      <c r="VHH40" s="41"/>
      <c r="VHN40" s="42"/>
      <c r="VHU40" s="33"/>
      <c r="VHV40" s="33"/>
      <c r="VHZ40" s="41"/>
      <c r="VIF40" s="42"/>
      <c r="VIM40" s="33"/>
      <c r="VIN40" s="33"/>
      <c r="VIR40" s="41"/>
      <c r="VIX40" s="42"/>
      <c r="VJE40" s="33"/>
      <c r="VJF40" s="33"/>
      <c r="VJJ40" s="41"/>
      <c r="VJP40" s="42"/>
      <c r="VJW40" s="33"/>
      <c r="VJX40" s="33"/>
      <c r="VKB40" s="41"/>
      <c r="VKH40" s="42"/>
      <c r="VKO40" s="33"/>
      <c r="VKP40" s="33"/>
      <c r="VKT40" s="41"/>
      <c r="VKZ40" s="42"/>
      <c r="VLG40" s="33"/>
      <c r="VLH40" s="33"/>
      <c r="VLL40" s="41"/>
      <c r="VLR40" s="42"/>
      <c r="VLY40" s="33"/>
      <c r="VLZ40" s="33"/>
      <c r="VMD40" s="41"/>
      <c r="VMJ40" s="42"/>
      <c r="VMQ40" s="33"/>
      <c r="VMR40" s="33"/>
      <c r="VMV40" s="41"/>
      <c r="VNB40" s="42"/>
      <c r="VNI40" s="33"/>
      <c r="VNJ40" s="33"/>
      <c r="VNN40" s="41"/>
      <c r="VNT40" s="42"/>
      <c r="VOA40" s="33"/>
      <c r="VOB40" s="33"/>
      <c r="VOF40" s="41"/>
      <c r="VOL40" s="42"/>
      <c r="VOS40" s="33"/>
      <c r="VOT40" s="33"/>
      <c r="VOX40" s="41"/>
      <c r="VPD40" s="42"/>
      <c r="VPK40" s="33"/>
      <c r="VPL40" s="33"/>
      <c r="VPP40" s="41"/>
      <c r="VPV40" s="42"/>
      <c r="VQC40" s="33"/>
      <c r="VQD40" s="33"/>
      <c r="VQH40" s="41"/>
      <c r="VQN40" s="42"/>
      <c r="VQU40" s="33"/>
      <c r="VQV40" s="33"/>
      <c r="VQZ40" s="41"/>
      <c r="VRF40" s="42"/>
      <c r="VRM40" s="33"/>
      <c r="VRN40" s="33"/>
      <c r="VRR40" s="41"/>
      <c r="VRX40" s="42"/>
      <c r="VSE40" s="33"/>
      <c r="VSF40" s="33"/>
      <c r="VSJ40" s="41"/>
      <c r="VSP40" s="42"/>
      <c r="VSW40" s="33"/>
      <c r="VSX40" s="33"/>
      <c r="VTB40" s="41"/>
      <c r="VTH40" s="42"/>
      <c r="VTO40" s="33"/>
      <c r="VTP40" s="33"/>
      <c r="VTT40" s="41"/>
      <c r="VTZ40" s="42"/>
      <c r="VUG40" s="33"/>
      <c r="VUH40" s="33"/>
      <c r="VUL40" s="41"/>
      <c r="VUR40" s="42"/>
      <c r="VUY40" s="33"/>
      <c r="VUZ40" s="33"/>
      <c r="VVD40" s="41"/>
      <c r="VVJ40" s="42"/>
      <c r="VVQ40" s="33"/>
      <c r="VVR40" s="33"/>
      <c r="VVV40" s="41"/>
      <c r="VWB40" s="42"/>
      <c r="VWI40" s="33"/>
      <c r="VWJ40" s="33"/>
      <c r="VWN40" s="41"/>
      <c r="VWT40" s="42"/>
      <c r="VXA40" s="33"/>
      <c r="VXB40" s="33"/>
      <c r="VXF40" s="41"/>
      <c r="VXL40" s="42"/>
      <c r="VXS40" s="33"/>
      <c r="VXT40" s="33"/>
      <c r="VXX40" s="41"/>
      <c r="VYD40" s="42"/>
      <c r="VYK40" s="33"/>
      <c r="VYL40" s="33"/>
      <c r="VYP40" s="41"/>
      <c r="VYV40" s="42"/>
      <c r="VZC40" s="33"/>
      <c r="VZD40" s="33"/>
      <c r="VZH40" s="41"/>
      <c r="VZN40" s="42"/>
      <c r="VZU40" s="33"/>
      <c r="VZV40" s="33"/>
      <c r="VZZ40" s="41"/>
      <c r="WAF40" s="42"/>
      <c r="WAM40" s="33"/>
      <c r="WAN40" s="33"/>
      <c r="WAR40" s="41"/>
      <c r="WAX40" s="42"/>
      <c r="WBE40" s="33"/>
      <c r="WBF40" s="33"/>
      <c r="WBJ40" s="41"/>
      <c r="WBP40" s="42"/>
      <c r="WBW40" s="33"/>
      <c r="WBX40" s="33"/>
      <c r="WCB40" s="41"/>
      <c r="WCH40" s="42"/>
      <c r="WCO40" s="33"/>
      <c r="WCP40" s="33"/>
      <c r="WCT40" s="41"/>
      <c r="WCZ40" s="42"/>
      <c r="WDG40" s="33"/>
      <c r="WDH40" s="33"/>
      <c r="WDL40" s="41"/>
      <c r="WDR40" s="42"/>
      <c r="WDY40" s="33"/>
      <c r="WDZ40" s="33"/>
      <c r="WED40" s="41"/>
      <c r="WEJ40" s="42"/>
      <c r="WEQ40" s="33"/>
      <c r="WER40" s="33"/>
      <c r="WEV40" s="41"/>
      <c r="WFB40" s="42"/>
      <c r="WFI40" s="33"/>
      <c r="WFJ40" s="33"/>
      <c r="WFN40" s="41"/>
      <c r="WFT40" s="42"/>
      <c r="WGA40" s="33"/>
      <c r="WGB40" s="33"/>
      <c r="WGF40" s="41"/>
      <c r="WGL40" s="42"/>
      <c r="WGS40" s="33"/>
      <c r="WGT40" s="33"/>
      <c r="WGX40" s="41"/>
      <c r="WHD40" s="42"/>
      <c r="WHK40" s="33"/>
      <c r="WHL40" s="33"/>
      <c r="WHP40" s="41"/>
      <c r="WHV40" s="42"/>
      <c r="WIC40" s="33"/>
      <c r="WID40" s="33"/>
      <c r="WIH40" s="41"/>
      <c r="WIN40" s="42"/>
      <c r="WIU40" s="33"/>
      <c r="WIV40" s="33"/>
      <c r="WIZ40" s="41"/>
      <c r="WJF40" s="42"/>
      <c r="WJM40" s="33"/>
      <c r="WJN40" s="33"/>
      <c r="WJR40" s="41"/>
      <c r="WJX40" s="42"/>
      <c r="WKE40" s="33"/>
      <c r="WKF40" s="33"/>
      <c r="WKJ40" s="41"/>
      <c r="WKP40" s="42"/>
      <c r="WKW40" s="33"/>
      <c r="WKX40" s="33"/>
      <c r="WLB40" s="41"/>
      <c r="WLH40" s="42"/>
      <c r="WLO40" s="33"/>
      <c r="WLP40" s="33"/>
      <c r="WLT40" s="41"/>
      <c r="WLZ40" s="42"/>
      <c r="WMG40" s="33"/>
      <c r="WMH40" s="33"/>
      <c r="WML40" s="41"/>
      <c r="WMR40" s="42"/>
      <c r="WMY40" s="33"/>
      <c r="WMZ40" s="33"/>
      <c r="WND40" s="41"/>
      <c r="WNJ40" s="42"/>
      <c r="WNQ40" s="33"/>
      <c r="WNR40" s="33"/>
      <c r="WNV40" s="41"/>
      <c r="WOB40" s="42"/>
      <c r="WOI40" s="33"/>
      <c r="WOJ40" s="33"/>
      <c r="WON40" s="41"/>
      <c r="WOT40" s="42"/>
      <c r="WPA40" s="33"/>
      <c r="WPB40" s="33"/>
      <c r="WPF40" s="41"/>
      <c r="WPL40" s="42"/>
      <c r="WPS40" s="33"/>
      <c r="WPT40" s="33"/>
      <c r="WPX40" s="41"/>
      <c r="WQD40" s="42"/>
      <c r="WQK40" s="33"/>
      <c r="WQL40" s="33"/>
      <c r="WQP40" s="41"/>
      <c r="WQV40" s="42"/>
      <c r="WRC40" s="33"/>
      <c r="WRD40" s="33"/>
      <c r="WRH40" s="41"/>
      <c r="WRN40" s="42"/>
      <c r="WRU40" s="33"/>
      <c r="WRV40" s="33"/>
      <c r="WRZ40" s="41"/>
      <c r="WSF40" s="42"/>
      <c r="WSM40" s="33"/>
      <c r="WSN40" s="33"/>
      <c r="WSR40" s="41"/>
      <c r="WSX40" s="42"/>
      <c r="WTE40" s="33"/>
      <c r="WTF40" s="33"/>
      <c r="WTJ40" s="41"/>
      <c r="WTP40" s="42"/>
      <c r="WTW40" s="33"/>
      <c r="WTX40" s="33"/>
      <c r="WUB40" s="41"/>
      <c r="WUH40" s="42"/>
      <c r="WUO40" s="33"/>
      <c r="WUP40" s="33"/>
      <c r="WUT40" s="41"/>
      <c r="WUZ40" s="42"/>
      <c r="WVG40" s="33"/>
      <c r="WVH40" s="33"/>
      <c r="WVL40" s="41"/>
      <c r="WVR40" s="42"/>
      <c r="WVY40" s="33"/>
      <c r="WVZ40" s="33"/>
      <c r="WWD40" s="41"/>
      <c r="WWJ40" s="42"/>
      <c r="WWQ40" s="33"/>
      <c r="WWR40" s="33"/>
      <c r="WWV40" s="41"/>
      <c r="WXB40" s="42"/>
      <c r="WXI40" s="33"/>
      <c r="WXJ40" s="33"/>
      <c r="WXN40" s="41"/>
      <c r="WXT40" s="42"/>
      <c r="WYA40" s="33"/>
      <c r="WYB40" s="33"/>
      <c r="WYF40" s="41"/>
      <c r="WYL40" s="42"/>
      <c r="WYS40" s="33"/>
      <c r="WYT40" s="33"/>
      <c r="WYX40" s="41"/>
      <c r="WZD40" s="42"/>
      <c r="WZK40" s="33"/>
      <c r="WZL40" s="33"/>
      <c r="WZP40" s="41"/>
      <c r="WZV40" s="42"/>
      <c r="XAC40" s="33"/>
      <c r="XAD40" s="33"/>
      <c r="XAH40" s="41"/>
      <c r="XAN40" s="42"/>
      <c r="XAU40" s="33"/>
      <c r="XAV40" s="33"/>
      <c r="XAZ40" s="41"/>
      <c r="XBF40" s="42"/>
      <c r="XBM40" s="33"/>
      <c r="XBN40" s="33"/>
      <c r="XBR40" s="41"/>
      <c r="XBX40" s="42"/>
      <c r="XCE40" s="33"/>
      <c r="XCF40" s="33"/>
      <c r="XCJ40" s="41"/>
      <c r="XCP40" s="42"/>
      <c r="XCW40" s="33"/>
      <c r="XCX40" s="33"/>
      <c r="XDB40" s="41"/>
      <c r="XDH40" s="42"/>
      <c r="XDO40" s="33"/>
      <c r="XDP40" s="33"/>
      <c r="XDT40" s="41"/>
      <c r="XDZ40" s="42"/>
      <c r="XEG40" s="33"/>
      <c r="XEH40" s="33"/>
      <c r="XEL40" s="41"/>
      <c r="XER40" s="42"/>
      <c r="XEY40" s="33"/>
      <c r="XEZ40" s="33"/>
      <c r="XFD40" s="41"/>
    </row>
    <row r="41" spans="1:1018 1025:2044 2051:3070 3077:4096 4103:5116 5122:6142 6148:7168 7174:8190 8194:9216 9220:10234 10241:11260 11267:12286 12293:13312 13319:14332 14338:15358 15364:16384" s="40" customFormat="1">
      <c r="A41" s="33" t="s">
        <v>134</v>
      </c>
      <c r="B41" s="34">
        <v>2009</v>
      </c>
      <c r="C41" s="35" t="s">
        <v>127</v>
      </c>
      <c r="D41" s="36" t="s">
        <v>86</v>
      </c>
      <c r="E41" s="37" t="s">
        <v>131</v>
      </c>
      <c r="F41" s="35" t="s">
        <v>24</v>
      </c>
      <c r="G41" s="38">
        <v>6056423.7288135597</v>
      </c>
      <c r="H41" s="38">
        <v>6254457.6271186443</v>
      </c>
      <c r="I41" s="34">
        <v>9</v>
      </c>
      <c r="J41" s="39" t="s">
        <v>132</v>
      </c>
      <c r="K41" s="36" t="s">
        <v>26</v>
      </c>
      <c r="L41" s="36"/>
      <c r="M41" s="36" t="s">
        <v>26</v>
      </c>
      <c r="N41" s="34"/>
      <c r="O41" s="36"/>
      <c r="P41" s="34"/>
      <c r="Q41" s="36"/>
      <c r="R41" s="36"/>
      <c r="V41" s="41"/>
      <c r="AB41" s="42"/>
      <c r="AI41" s="33"/>
      <c r="AJ41" s="33"/>
      <c r="AN41" s="41"/>
      <c r="AT41" s="42"/>
      <c r="BA41" s="33"/>
      <c r="BB41" s="33"/>
      <c r="BF41" s="41"/>
      <c r="BL41" s="42"/>
      <c r="BS41" s="33"/>
      <c r="BT41" s="33"/>
      <c r="BX41" s="41"/>
      <c r="CD41" s="42"/>
      <c r="CK41" s="33"/>
      <c r="CL41" s="33"/>
      <c r="CP41" s="41"/>
      <c r="CV41" s="42"/>
      <c r="DC41" s="33"/>
      <c r="DD41" s="33"/>
      <c r="DH41" s="41"/>
      <c r="DN41" s="42"/>
      <c r="DU41" s="33"/>
      <c r="DV41" s="33"/>
      <c r="DZ41" s="41"/>
      <c r="EF41" s="42"/>
      <c r="EM41" s="33"/>
      <c r="EN41" s="33"/>
      <c r="ER41" s="41"/>
      <c r="EX41" s="42"/>
      <c r="FE41" s="33"/>
      <c r="FF41" s="33"/>
      <c r="FJ41" s="41"/>
      <c r="FP41" s="42"/>
      <c r="FW41" s="33"/>
      <c r="FX41" s="33"/>
      <c r="GB41" s="41"/>
      <c r="GH41" s="42"/>
      <c r="GO41" s="33"/>
      <c r="GP41" s="33"/>
      <c r="GT41" s="41"/>
      <c r="GZ41" s="42"/>
      <c r="HG41" s="33"/>
      <c r="HH41" s="33"/>
      <c r="HL41" s="41"/>
      <c r="HR41" s="42"/>
      <c r="HY41" s="33"/>
      <c r="HZ41" s="33"/>
      <c r="ID41" s="41"/>
      <c r="IJ41" s="42"/>
      <c r="IQ41" s="33"/>
      <c r="IR41" s="33"/>
      <c r="IV41" s="41"/>
      <c r="JB41" s="42"/>
      <c r="JI41" s="33"/>
      <c r="JJ41" s="33"/>
      <c r="JN41" s="41"/>
      <c r="JT41" s="42"/>
      <c r="KA41" s="33"/>
      <c r="KB41" s="33"/>
      <c r="KF41" s="41"/>
      <c r="KL41" s="42"/>
      <c r="KS41" s="33"/>
      <c r="KT41" s="33"/>
      <c r="KX41" s="41"/>
      <c r="LD41" s="42"/>
      <c r="LK41" s="33"/>
      <c r="LL41" s="33"/>
      <c r="LP41" s="41"/>
      <c r="LV41" s="42"/>
      <c r="MC41" s="33"/>
      <c r="MD41" s="33"/>
      <c r="MH41" s="41"/>
      <c r="MN41" s="42"/>
      <c r="MU41" s="33"/>
      <c r="MV41" s="33"/>
      <c r="MZ41" s="41"/>
      <c r="NF41" s="42"/>
      <c r="NM41" s="33"/>
      <c r="NN41" s="33"/>
      <c r="NR41" s="41"/>
      <c r="NX41" s="42"/>
      <c r="OE41" s="33"/>
      <c r="OF41" s="33"/>
      <c r="OJ41" s="41"/>
      <c r="OP41" s="42"/>
      <c r="OW41" s="33"/>
      <c r="OX41" s="33"/>
      <c r="PB41" s="41"/>
      <c r="PH41" s="42"/>
      <c r="PO41" s="33"/>
      <c r="PP41" s="33"/>
      <c r="PT41" s="41"/>
      <c r="PZ41" s="42"/>
      <c r="QG41" s="33"/>
      <c r="QH41" s="33"/>
      <c r="QL41" s="41"/>
      <c r="QR41" s="42"/>
      <c r="QY41" s="33"/>
      <c r="QZ41" s="33"/>
      <c r="RD41" s="41"/>
      <c r="RJ41" s="42"/>
      <c r="RQ41" s="33"/>
      <c r="RR41" s="33"/>
      <c r="RV41" s="41"/>
      <c r="SB41" s="42"/>
      <c r="SI41" s="33"/>
      <c r="SJ41" s="33"/>
      <c r="SN41" s="41"/>
      <c r="ST41" s="42"/>
      <c r="TA41" s="33"/>
      <c r="TB41" s="33"/>
      <c r="TF41" s="41"/>
      <c r="TL41" s="42"/>
      <c r="TS41" s="33"/>
      <c r="TT41" s="33"/>
      <c r="TX41" s="41"/>
      <c r="UD41" s="42"/>
      <c r="UK41" s="33"/>
      <c r="UL41" s="33"/>
      <c r="UP41" s="41"/>
      <c r="UV41" s="42"/>
      <c r="VC41" s="33"/>
      <c r="VD41" s="33"/>
      <c r="VH41" s="41"/>
      <c r="VN41" s="42"/>
      <c r="VU41" s="33"/>
      <c r="VV41" s="33"/>
      <c r="VZ41" s="41"/>
      <c r="WF41" s="42"/>
      <c r="WM41" s="33"/>
      <c r="WN41" s="33"/>
      <c r="WR41" s="41"/>
      <c r="WX41" s="42"/>
      <c r="XE41" s="33"/>
      <c r="XF41" s="33"/>
      <c r="XJ41" s="41"/>
      <c r="XP41" s="42"/>
      <c r="XW41" s="33"/>
      <c r="XX41" s="33"/>
      <c r="YB41" s="41"/>
      <c r="YH41" s="42"/>
      <c r="YO41" s="33"/>
      <c r="YP41" s="33"/>
      <c r="YT41" s="41"/>
      <c r="YZ41" s="42"/>
      <c r="ZG41" s="33"/>
      <c r="ZH41" s="33"/>
      <c r="ZL41" s="41"/>
      <c r="ZR41" s="42"/>
      <c r="ZY41" s="33"/>
      <c r="ZZ41" s="33"/>
      <c r="AAD41" s="41"/>
      <c r="AAJ41" s="42"/>
      <c r="AAQ41" s="33"/>
      <c r="AAR41" s="33"/>
      <c r="AAV41" s="41"/>
      <c r="ABB41" s="42"/>
      <c r="ABI41" s="33"/>
      <c r="ABJ41" s="33"/>
      <c r="ABN41" s="41"/>
      <c r="ABT41" s="42"/>
      <c r="ACA41" s="33"/>
      <c r="ACB41" s="33"/>
      <c r="ACF41" s="41"/>
      <c r="ACL41" s="42"/>
      <c r="ACS41" s="33"/>
      <c r="ACT41" s="33"/>
      <c r="ACX41" s="41"/>
      <c r="ADD41" s="42"/>
      <c r="ADK41" s="33"/>
      <c r="ADL41" s="33"/>
      <c r="ADP41" s="41"/>
      <c r="ADV41" s="42"/>
      <c r="AEC41" s="33"/>
      <c r="AED41" s="33"/>
      <c r="AEH41" s="41"/>
      <c r="AEN41" s="42"/>
      <c r="AEU41" s="33"/>
      <c r="AEV41" s="33"/>
      <c r="AEZ41" s="41"/>
      <c r="AFF41" s="42"/>
      <c r="AFM41" s="33"/>
      <c r="AFN41" s="33"/>
      <c r="AFR41" s="41"/>
      <c r="AFX41" s="42"/>
      <c r="AGE41" s="33"/>
      <c r="AGF41" s="33"/>
      <c r="AGJ41" s="41"/>
      <c r="AGP41" s="42"/>
      <c r="AGW41" s="33"/>
      <c r="AGX41" s="33"/>
      <c r="AHB41" s="41"/>
      <c r="AHH41" s="42"/>
      <c r="AHO41" s="33"/>
      <c r="AHP41" s="33"/>
      <c r="AHT41" s="41"/>
      <c r="AHZ41" s="42"/>
      <c r="AIG41" s="33"/>
      <c r="AIH41" s="33"/>
      <c r="AIL41" s="41"/>
      <c r="AIR41" s="42"/>
      <c r="AIY41" s="33"/>
      <c r="AIZ41" s="33"/>
      <c r="AJD41" s="41"/>
      <c r="AJJ41" s="42"/>
      <c r="AJQ41" s="33"/>
      <c r="AJR41" s="33"/>
      <c r="AJV41" s="41"/>
      <c r="AKB41" s="42"/>
      <c r="AKI41" s="33"/>
      <c r="AKJ41" s="33"/>
      <c r="AKN41" s="41"/>
      <c r="AKT41" s="42"/>
      <c r="ALA41" s="33"/>
      <c r="ALB41" s="33"/>
      <c r="ALF41" s="41"/>
      <c r="ALL41" s="42"/>
      <c r="ALS41" s="33"/>
      <c r="ALT41" s="33"/>
      <c r="ALX41" s="41"/>
      <c r="AMD41" s="42"/>
      <c r="AMK41" s="33"/>
      <c r="AML41" s="33"/>
      <c r="AMP41" s="41"/>
      <c r="AMV41" s="42"/>
      <c r="ANC41" s="33"/>
      <c r="AND41" s="33"/>
      <c r="ANH41" s="41"/>
      <c r="ANN41" s="42"/>
      <c r="ANU41" s="33"/>
      <c r="ANV41" s="33"/>
      <c r="ANZ41" s="41"/>
      <c r="AOF41" s="42"/>
      <c r="AOM41" s="33"/>
      <c r="AON41" s="33"/>
      <c r="AOR41" s="41"/>
      <c r="AOX41" s="42"/>
      <c r="APE41" s="33"/>
      <c r="APF41" s="33"/>
      <c r="APJ41" s="41"/>
      <c r="APP41" s="42"/>
      <c r="APW41" s="33"/>
      <c r="APX41" s="33"/>
      <c r="AQB41" s="41"/>
      <c r="AQH41" s="42"/>
      <c r="AQO41" s="33"/>
      <c r="AQP41" s="33"/>
      <c r="AQT41" s="41"/>
      <c r="AQZ41" s="42"/>
      <c r="ARG41" s="33"/>
      <c r="ARH41" s="33"/>
      <c r="ARL41" s="41"/>
      <c r="ARR41" s="42"/>
      <c r="ARY41" s="33"/>
      <c r="ARZ41" s="33"/>
      <c r="ASD41" s="41"/>
      <c r="ASJ41" s="42"/>
      <c r="ASQ41" s="33"/>
      <c r="ASR41" s="33"/>
      <c r="ASV41" s="41"/>
      <c r="ATB41" s="42"/>
      <c r="ATI41" s="33"/>
      <c r="ATJ41" s="33"/>
      <c r="ATN41" s="41"/>
      <c r="ATT41" s="42"/>
      <c r="AUA41" s="33"/>
      <c r="AUB41" s="33"/>
      <c r="AUF41" s="41"/>
      <c r="AUL41" s="42"/>
      <c r="AUS41" s="33"/>
      <c r="AUT41" s="33"/>
      <c r="AUX41" s="41"/>
      <c r="AVD41" s="42"/>
      <c r="AVK41" s="33"/>
      <c r="AVL41" s="33"/>
      <c r="AVP41" s="41"/>
      <c r="AVV41" s="42"/>
      <c r="AWC41" s="33"/>
      <c r="AWD41" s="33"/>
      <c r="AWH41" s="41"/>
      <c r="AWN41" s="42"/>
      <c r="AWU41" s="33"/>
      <c r="AWV41" s="33"/>
      <c r="AWZ41" s="41"/>
      <c r="AXF41" s="42"/>
      <c r="AXM41" s="33"/>
      <c r="AXN41" s="33"/>
      <c r="AXR41" s="41"/>
      <c r="AXX41" s="42"/>
      <c r="AYE41" s="33"/>
      <c r="AYF41" s="33"/>
      <c r="AYJ41" s="41"/>
      <c r="AYP41" s="42"/>
      <c r="AYW41" s="33"/>
      <c r="AYX41" s="33"/>
      <c r="AZB41" s="41"/>
      <c r="AZH41" s="42"/>
      <c r="AZO41" s="33"/>
      <c r="AZP41" s="33"/>
      <c r="AZT41" s="41"/>
      <c r="AZZ41" s="42"/>
      <c r="BAG41" s="33"/>
      <c r="BAH41" s="33"/>
      <c r="BAL41" s="41"/>
      <c r="BAR41" s="42"/>
      <c r="BAY41" s="33"/>
      <c r="BAZ41" s="33"/>
      <c r="BBD41" s="41"/>
      <c r="BBJ41" s="42"/>
      <c r="BBQ41" s="33"/>
      <c r="BBR41" s="33"/>
      <c r="BBV41" s="41"/>
      <c r="BCB41" s="42"/>
      <c r="BCI41" s="33"/>
      <c r="BCJ41" s="33"/>
      <c r="BCN41" s="41"/>
      <c r="BCT41" s="42"/>
      <c r="BDA41" s="33"/>
      <c r="BDB41" s="33"/>
      <c r="BDF41" s="41"/>
      <c r="BDL41" s="42"/>
      <c r="BDS41" s="33"/>
      <c r="BDT41" s="33"/>
      <c r="BDX41" s="41"/>
      <c r="BED41" s="42"/>
      <c r="BEK41" s="33"/>
      <c r="BEL41" s="33"/>
      <c r="BEP41" s="41"/>
      <c r="BEV41" s="42"/>
      <c r="BFC41" s="33"/>
      <c r="BFD41" s="33"/>
      <c r="BFH41" s="41"/>
      <c r="BFN41" s="42"/>
      <c r="BFU41" s="33"/>
      <c r="BFV41" s="33"/>
      <c r="BFZ41" s="41"/>
      <c r="BGF41" s="42"/>
      <c r="BGM41" s="33"/>
      <c r="BGN41" s="33"/>
      <c r="BGR41" s="41"/>
      <c r="BGX41" s="42"/>
      <c r="BHE41" s="33"/>
      <c r="BHF41" s="33"/>
      <c r="BHJ41" s="41"/>
      <c r="BHP41" s="42"/>
      <c r="BHW41" s="33"/>
      <c r="BHX41" s="33"/>
      <c r="BIB41" s="41"/>
      <c r="BIH41" s="42"/>
      <c r="BIO41" s="33"/>
      <c r="BIP41" s="33"/>
      <c r="BIT41" s="41"/>
      <c r="BIZ41" s="42"/>
      <c r="BJG41" s="33"/>
      <c r="BJH41" s="33"/>
      <c r="BJL41" s="41"/>
      <c r="BJR41" s="42"/>
      <c r="BJY41" s="33"/>
      <c r="BJZ41" s="33"/>
      <c r="BKD41" s="41"/>
      <c r="BKJ41" s="42"/>
      <c r="BKQ41" s="33"/>
      <c r="BKR41" s="33"/>
      <c r="BKV41" s="41"/>
      <c r="BLB41" s="42"/>
      <c r="BLI41" s="33"/>
      <c r="BLJ41" s="33"/>
      <c r="BLN41" s="41"/>
      <c r="BLT41" s="42"/>
      <c r="BMA41" s="33"/>
      <c r="BMB41" s="33"/>
      <c r="BMF41" s="41"/>
      <c r="BML41" s="42"/>
      <c r="BMS41" s="33"/>
      <c r="BMT41" s="33"/>
      <c r="BMX41" s="41"/>
      <c r="BND41" s="42"/>
      <c r="BNK41" s="33"/>
      <c r="BNL41" s="33"/>
      <c r="BNP41" s="41"/>
      <c r="BNV41" s="42"/>
      <c r="BOC41" s="33"/>
      <c r="BOD41" s="33"/>
      <c r="BOH41" s="41"/>
      <c r="BON41" s="42"/>
      <c r="BOU41" s="33"/>
      <c r="BOV41" s="33"/>
      <c r="BOZ41" s="41"/>
      <c r="BPF41" s="42"/>
      <c r="BPM41" s="33"/>
      <c r="BPN41" s="33"/>
      <c r="BPR41" s="41"/>
      <c r="BPX41" s="42"/>
      <c r="BQE41" s="33"/>
      <c r="BQF41" s="33"/>
      <c r="BQJ41" s="41"/>
      <c r="BQP41" s="42"/>
      <c r="BQW41" s="33"/>
      <c r="BQX41" s="33"/>
      <c r="BRB41" s="41"/>
      <c r="BRH41" s="42"/>
      <c r="BRO41" s="33"/>
      <c r="BRP41" s="33"/>
      <c r="BRT41" s="41"/>
      <c r="BRZ41" s="42"/>
      <c r="BSG41" s="33"/>
      <c r="BSH41" s="33"/>
      <c r="BSL41" s="41"/>
      <c r="BSR41" s="42"/>
      <c r="BSY41" s="33"/>
      <c r="BSZ41" s="33"/>
      <c r="BTD41" s="41"/>
      <c r="BTJ41" s="42"/>
      <c r="BTQ41" s="33"/>
      <c r="BTR41" s="33"/>
      <c r="BTV41" s="41"/>
      <c r="BUB41" s="42"/>
      <c r="BUI41" s="33"/>
      <c r="BUJ41" s="33"/>
      <c r="BUN41" s="41"/>
      <c r="BUT41" s="42"/>
      <c r="BVA41" s="33"/>
      <c r="BVB41" s="33"/>
      <c r="BVF41" s="41"/>
      <c r="BVL41" s="42"/>
      <c r="BVS41" s="33"/>
      <c r="BVT41" s="33"/>
      <c r="BVX41" s="41"/>
      <c r="BWD41" s="42"/>
      <c r="BWK41" s="33"/>
      <c r="BWL41" s="33"/>
      <c r="BWP41" s="41"/>
      <c r="BWV41" s="42"/>
      <c r="BXC41" s="33"/>
      <c r="BXD41" s="33"/>
      <c r="BXH41" s="41"/>
      <c r="BXN41" s="42"/>
      <c r="BXU41" s="33"/>
      <c r="BXV41" s="33"/>
      <c r="BXZ41" s="41"/>
      <c r="BYF41" s="42"/>
      <c r="BYM41" s="33"/>
      <c r="BYN41" s="33"/>
      <c r="BYR41" s="41"/>
      <c r="BYX41" s="42"/>
      <c r="BZE41" s="33"/>
      <c r="BZF41" s="33"/>
      <c r="BZJ41" s="41"/>
      <c r="BZP41" s="42"/>
      <c r="BZW41" s="33"/>
      <c r="BZX41" s="33"/>
      <c r="CAB41" s="41"/>
      <c r="CAH41" s="42"/>
      <c r="CAO41" s="33"/>
      <c r="CAP41" s="33"/>
      <c r="CAT41" s="41"/>
      <c r="CAZ41" s="42"/>
      <c r="CBG41" s="33"/>
      <c r="CBH41" s="33"/>
      <c r="CBL41" s="41"/>
      <c r="CBR41" s="42"/>
      <c r="CBY41" s="33"/>
      <c r="CBZ41" s="33"/>
      <c r="CCD41" s="41"/>
      <c r="CCJ41" s="42"/>
      <c r="CCQ41" s="33"/>
      <c r="CCR41" s="33"/>
      <c r="CCV41" s="41"/>
      <c r="CDB41" s="42"/>
      <c r="CDI41" s="33"/>
      <c r="CDJ41" s="33"/>
      <c r="CDN41" s="41"/>
      <c r="CDT41" s="42"/>
      <c r="CEA41" s="33"/>
      <c r="CEB41" s="33"/>
      <c r="CEF41" s="41"/>
      <c r="CEL41" s="42"/>
      <c r="CES41" s="33"/>
      <c r="CET41" s="33"/>
      <c r="CEX41" s="41"/>
      <c r="CFD41" s="42"/>
      <c r="CFK41" s="33"/>
      <c r="CFL41" s="33"/>
      <c r="CFP41" s="41"/>
      <c r="CFV41" s="42"/>
      <c r="CGC41" s="33"/>
      <c r="CGD41" s="33"/>
      <c r="CGH41" s="41"/>
      <c r="CGN41" s="42"/>
      <c r="CGU41" s="33"/>
      <c r="CGV41" s="33"/>
      <c r="CGZ41" s="41"/>
      <c r="CHF41" s="42"/>
      <c r="CHM41" s="33"/>
      <c r="CHN41" s="33"/>
      <c r="CHR41" s="41"/>
      <c r="CHX41" s="42"/>
      <c r="CIE41" s="33"/>
      <c r="CIF41" s="33"/>
      <c r="CIJ41" s="41"/>
      <c r="CIP41" s="42"/>
      <c r="CIW41" s="33"/>
      <c r="CIX41" s="33"/>
      <c r="CJB41" s="41"/>
      <c r="CJH41" s="42"/>
      <c r="CJO41" s="33"/>
      <c r="CJP41" s="33"/>
      <c r="CJT41" s="41"/>
      <c r="CJZ41" s="42"/>
      <c r="CKG41" s="33"/>
      <c r="CKH41" s="33"/>
      <c r="CKL41" s="41"/>
      <c r="CKR41" s="42"/>
      <c r="CKY41" s="33"/>
      <c r="CKZ41" s="33"/>
      <c r="CLD41" s="41"/>
      <c r="CLJ41" s="42"/>
      <c r="CLQ41" s="33"/>
      <c r="CLR41" s="33"/>
      <c r="CLV41" s="41"/>
      <c r="CMB41" s="42"/>
      <c r="CMI41" s="33"/>
      <c r="CMJ41" s="33"/>
      <c r="CMN41" s="41"/>
      <c r="CMT41" s="42"/>
      <c r="CNA41" s="33"/>
      <c r="CNB41" s="33"/>
      <c r="CNF41" s="41"/>
      <c r="CNL41" s="42"/>
      <c r="CNS41" s="33"/>
      <c r="CNT41" s="33"/>
      <c r="CNX41" s="41"/>
      <c r="COD41" s="42"/>
      <c r="COK41" s="33"/>
      <c r="COL41" s="33"/>
      <c r="COP41" s="41"/>
      <c r="COV41" s="42"/>
      <c r="CPC41" s="33"/>
      <c r="CPD41" s="33"/>
      <c r="CPH41" s="41"/>
      <c r="CPN41" s="42"/>
      <c r="CPU41" s="33"/>
      <c r="CPV41" s="33"/>
      <c r="CPZ41" s="41"/>
      <c r="CQF41" s="42"/>
      <c r="CQM41" s="33"/>
      <c r="CQN41" s="33"/>
      <c r="CQR41" s="41"/>
      <c r="CQX41" s="42"/>
      <c r="CRE41" s="33"/>
      <c r="CRF41" s="33"/>
      <c r="CRJ41" s="41"/>
      <c r="CRP41" s="42"/>
      <c r="CRW41" s="33"/>
      <c r="CRX41" s="33"/>
      <c r="CSB41" s="41"/>
      <c r="CSH41" s="42"/>
      <c r="CSO41" s="33"/>
      <c r="CSP41" s="33"/>
      <c r="CST41" s="41"/>
      <c r="CSZ41" s="42"/>
      <c r="CTG41" s="33"/>
      <c r="CTH41" s="33"/>
      <c r="CTL41" s="41"/>
      <c r="CTR41" s="42"/>
      <c r="CTY41" s="33"/>
      <c r="CTZ41" s="33"/>
      <c r="CUD41" s="41"/>
      <c r="CUJ41" s="42"/>
      <c r="CUQ41" s="33"/>
      <c r="CUR41" s="33"/>
      <c r="CUV41" s="41"/>
      <c r="CVB41" s="42"/>
      <c r="CVI41" s="33"/>
      <c r="CVJ41" s="33"/>
      <c r="CVN41" s="41"/>
      <c r="CVT41" s="42"/>
      <c r="CWA41" s="33"/>
      <c r="CWB41" s="33"/>
      <c r="CWF41" s="41"/>
      <c r="CWL41" s="42"/>
      <c r="CWS41" s="33"/>
      <c r="CWT41" s="33"/>
      <c r="CWX41" s="41"/>
      <c r="CXD41" s="42"/>
      <c r="CXK41" s="33"/>
      <c r="CXL41" s="33"/>
      <c r="CXP41" s="41"/>
      <c r="CXV41" s="42"/>
      <c r="CYC41" s="33"/>
      <c r="CYD41" s="33"/>
      <c r="CYH41" s="41"/>
      <c r="CYN41" s="42"/>
      <c r="CYU41" s="33"/>
      <c r="CYV41" s="33"/>
      <c r="CYZ41" s="41"/>
      <c r="CZF41" s="42"/>
      <c r="CZM41" s="33"/>
      <c r="CZN41" s="33"/>
      <c r="CZR41" s="41"/>
      <c r="CZX41" s="42"/>
      <c r="DAE41" s="33"/>
      <c r="DAF41" s="33"/>
      <c r="DAJ41" s="41"/>
      <c r="DAP41" s="42"/>
      <c r="DAW41" s="33"/>
      <c r="DAX41" s="33"/>
      <c r="DBB41" s="41"/>
      <c r="DBH41" s="42"/>
      <c r="DBO41" s="33"/>
      <c r="DBP41" s="33"/>
      <c r="DBT41" s="41"/>
      <c r="DBZ41" s="42"/>
      <c r="DCG41" s="33"/>
      <c r="DCH41" s="33"/>
      <c r="DCL41" s="41"/>
      <c r="DCR41" s="42"/>
      <c r="DCY41" s="33"/>
      <c r="DCZ41" s="33"/>
      <c r="DDD41" s="41"/>
      <c r="DDJ41" s="42"/>
      <c r="DDQ41" s="33"/>
      <c r="DDR41" s="33"/>
      <c r="DDV41" s="41"/>
      <c r="DEB41" s="42"/>
      <c r="DEI41" s="33"/>
      <c r="DEJ41" s="33"/>
      <c r="DEN41" s="41"/>
      <c r="DET41" s="42"/>
      <c r="DFA41" s="33"/>
      <c r="DFB41" s="33"/>
      <c r="DFF41" s="41"/>
      <c r="DFL41" s="42"/>
      <c r="DFS41" s="33"/>
      <c r="DFT41" s="33"/>
      <c r="DFX41" s="41"/>
      <c r="DGD41" s="42"/>
      <c r="DGK41" s="33"/>
      <c r="DGL41" s="33"/>
      <c r="DGP41" s="41"/>
      <c r="DGV41" s="42"/>
      <c r="DHC41" s="33"/>
      <c r="DHD41" s="33"/>
      <c r="DHH41" s="41"/>
      <c r="DHN41" s="42"/>
      <c r="DHU41" s="33"/>
      <c r="DHV41" s="33"/>
      <c r="DHZ41" s="41"/>
      <c r="DIF41" s="42"/>
      <c r="DIM41" s="33"/>
      <c r="DIN41" s="33"/>
      <c r="DIR41" s="41"/>
      <c r="DIX41" s="42"/>
      <c r="DJE41" s="33"/>
      <c r="DJF41" s="33"/>
      <c r="DJJ41" s="41"/>
      <c r="DJP41" s="42"/>
      <c r="DJW41" s="33"/>
      <c r="DJX41" s="33"/>
      <c r="DKB41" s="41"/>
      <c r="DKH41" s="42"/>
      <c r="DKO41" s="33"/>
      <c r="DKP41" s="33"/>
      <c r="DKT41" s="41"/>
      <c r="DKZ41" s="42"/>
      <c r="DLG41" s="33"/>
      <c r="DLH41" s="33"/>
      <c r="DLL41" s="41"/>
      <c r="DLR41" s="42"/>
      <c r="DLY41" s="33"/>
      <c r="DLZ41" s="33"/>
      <c r="DMD41" s="41"/>
      <c r="DMJ41" s="42"/>
      <c r="DMQ41" s="33"/>
      <c r="DMR41" s="33"/>
      <c r="DMV41" s="41"/>
      <c r="DNB41" s="42"/>
      <c r="DNI41" s="33"/>
      <c r="DNJ41" s="33"/>
      <c r="DNN41" s="41"/>
      <c r="DNT41" s="42"/>
      <c r="DOA41" s="33"/>
      <c r="DOB41" s="33"/>
      <c r="DOF41" s="41"/>
      <c r="DOL41" s="42"/>
      <c r="DOS41" s="33"/>
      <c r="DOT41" s="33"/>
      <c r="DOX41" s="41"/>
      <c r="DPD41" s="42"/>
      <c r="DPK41" s="33"/>
      <c r="DPL41" s="33"/>
      <c r="DPP41" s="41"/>
      <c r="DPV41" s="42"/>
      <c r="DQC41" s="33"/>
      <c r="DQD41" s="33"/>
      <c r="DQH41" s="41"/>
      <c r="DQN41" s="42"/>
      <c r="DQU41" s="33"/>
      <c r="DQV41" s="33"/>
      <c r="DQZ41" s="41"/>
      <c r="DRF41" s="42"/>
      <c r="DRM41" s="33"/>
      <c r="DRN41" s="33"/>
      <c r="DRR41" s="41"/>
      <c r="DRX41" s="42"/>
      <c r="DSE41" s="33"/>
      <c r="DSF41" s="33"/>
      <c r="DSJ41" s="41"/>
      <c r="DSP41" s="42"/>
      <c r="DSW41" s="33"/>
      <c r="DSX41" s="33"/>
      <c r="DTB41" s="41"/>
      <c r="DTH41" s="42"/>
      <c r="DTO41" s="33"/>
      <c r="DTP41" s="33"/>
      <c r="DTT41" s="41"/>
      <c r="DTZ41" s="42"/>
      <c r="DUG41" s="33"/>
      <c r="DUH41" s="33"/>
      <c r="DUL41" s="41"/>
      <c r="DUR41" s="42"/>
      <c r="DUY41" s="33"/>
      <c r="DUZ41" s="33"/>
      <c r="DVD41" s="41"/>
      <c r="DVJ41" s="42"/>
      <c r="DVQ41" s="33"/>
      <c r="DVR41" s="33"/>
      <c r="DVV41" s="41"/>
      <c r="DWB41" s="42"/>
      <c r="DWI41" s="33"/>
      <c r="DWJ41" s="33"/>
      <c r="DWN41" s="41"/>
      <c r="DWT41" s="42"/>
      <c r="DXA41" s="33"/>
      <c r="DXB41" s="33"/>
      <c r="DXF41" s="41"/>
      <c r="DXL41" s="42"/>
      <c r="DXS41" s="33"/>
      <c r="DXT41" s="33"/>
      <c r="DXX41" s="41"/>
      <c r="DYD41" s="42"/>
      <c r="DYK41" s="33"/>
      <c r="DYL41" s="33"/>
      <c r="DYP41" s="41"/>
      <c r="DYV41" s="42"/>
      <c r="DZC41" s="33"/>
      <c r="DZD41" s="33"/>
      <c r="DZH41" s="41"/>
      <c r="DZN41" s="42"/>
      <c r="DZU41" s="33"/>
      <c r="DZV41" s="33"/>
      <c r="DZZ41" s="41"/>
      <c r="EAF41" s="42"/>
      <c r="EAM41" s="33"/>
      <c r="EAN41" s="33"/>
      <c r="EAR41" s="41"/>
      <c r="EAX41" s="42"/>
      <c r="EBE41" s="33"/>
      <c r="EBF41" s="33"/>
      <c r="EBJ41" s="41"/>
      <c r="EBP41" s="42"/>
      <c r="EBW41" s="33"/>
      <c r="EBX41" s="33"/>
      <c r="ECB41" s="41"/>
      <c r="ECH41" s="42"/>
      <c r="ECO41" s="33"/>
      <c r="ECP41" s="33"/>
      <c r="ECT41" s="41"/>
      <c r="ECZ41" s="42"/>
      <c r="EDG41" s="33"/>
      <c r="EDH41" s="33"/>
      <c r="EDL41" s="41"/>
      <c r="EDR41" s="42"/>
      <c r="EDY41" s="33"/>
      <c r="EDZ41" s="33"/>
      <c r="EED41" s="41"/>
      <c r="EEJ41" s="42"/>
      <c r="EEQ41" s="33"/>
      <c r="EER41" s="33"/>
      <c r="EEV41" s="41"/>
      <c r="EFB41" s="42"/>
      <c r="EFI41" s="33"/>
      <c r="EFJ41" s="33"/>
      <c r="EFN41" s="41"/>
      <c r="EFT41" s="42"/>
      <c r="EGA41" s="33"/>
      <c r="EGB41" s="33"/>
      <c r="EGF41" s="41"/>
      <c r="EGL41" s="42"/>
      <c r="EGS41" s="33"/>
      <c r="EGT41" s="33"/>
      <c r="EGX41" s="41"/>
      <c r="EHD41" s="42"/>
      <c r="EHK41" s="33"/>
      <c r="EHL41" s="33"/>
      <c r="EHP41" s="41"/>
      <c r="EHV41" s="42"/>
      <c r="EIC41" s="33"/>
      <c r="EID41" s="33"/>
      <c r="EIH41" s="41"/>
      <c r="EIN41" s="42"/>
      <c r="EIU41" s="33"/>
      <c r="EIV41" s="33"/>
      <c r="EIZ41" s="41"/>
      <c r="EJF41" s="42"/>
      <c r="EJM41" s="33"/>
      <c r="EJN41" s="33"/>
      <c r="EJR41" s="41"/>
      <c r="EJX41" s="42"/>
      <c r="EKE41" s="33"/>
      <c r="EKF41" s="33"/>
      <c r="EKJ41" s="41"/>
      <c r="EKP41" s="42"/>
      <c r="EKW41" s="33"/>
      <c r="EKX41" s="33"/>
      <c r="ELB41" s="41"/>
      <c r="ELH41" s="42"/>
      <c r="ELO41" s="33"/>
      <c r="ELP41" s="33"/>
      <c r="ELT41" s="41"/>
      <c r="ELZ41" s="42"/>
      <c r="EMG41" s="33"/>
      <c r="EMH41" s="33"/>
      <c r="EML41" s="41"/>
      <c r="EMR41" s="42"/>
      <c r="EMY41" s="33"/>
      <c r="EMZ41" s="33"/>
      <c r="END41" s="41"/>
      <c r="ENJ41" s="42"/>
      <c r="ENQ41" s="33"/>
      <c r="ENR41" s="33"/>
      <c r="ENV41" s="41"/>
      <c r="EOB41" s="42"/>
      <c r="EOI41" s="33"/>
      <c r="EOJ41" s="33"/>
      <c r="EON41" s="41"/>
      <c r="EOT41" s="42"/>
      <c r="EPA41" s="33"/>
      <c r="EPB41" s="33"/>
      <c r="EPF41" s="41"/>
      <c r="EPL41" s="42"/>
      <c r="EPS41" s="33"/>
      <c r="EPT41" s="33"/>
      <c r="EPX41" s="41"/>
      <c r="EQD41" s="42"/>
      <c r="EQK41" s="33"/>
      <c r="EQL41" s="33"/>
      <c r="EQP41" s="41"/>
      <c r="EQV41" s="42"/>
      <c r="ERC41" s="33"/>
      <c r="ERD41" s="33"/>
      <c r="ERH41" s="41"/>
      <c r="ERN41" s="42"/>
      <c r="ERU41" s="33"/>
      <c r="ERV41" s="33"/>
      <c r="ERZ41" s="41"/>
      <c r="ESF41" s="42"/>
      <c r="ESM41" s="33"/>
      <c r="ESN41" s="33"/>
      <c r="ESR41" s="41"/>
      <c r="ESX41" s="42"/>
      <c r="ETE41" s="33"/>
      <c r="ETF41" s="33"/>
      <c r="ETJ41" s="41"/>
      <c r="ETP41" s="42"/>
      <c r="ETW41" s="33"/>
      <c r="ETX41" s="33"/>
      <c r="EUB41" s="41"/>
      <c r="EUH41" s="42"/>
      <c r="EUO41" s="33"/>
      <c r="EUP41" s="33"/>
      <c r="EUT41" s="41"/>
      <c r="EUZ41" s="42"/>
      <c r="EVG41" s="33"/>
      <c r="EVH41" s="33"/>
      <c r="EVL41" s="41"/>
      <c r="EVR41" s="42"/>
      <c r="EVY41" s="33"/>
      <c r="EVZ41" s="33"/>
      <c r="EWD41" s="41"/>
      <c r="EWJ41" s="42"/>
      <c r="EWQ41" s="33"/>
      <c r="EWR41" s="33"/>
      <c r="EWV41" s="41"/>
      <c r="EXB41" s="42"/>
      <c r="EXI41" s="33"/>
      <c r="EXJ41" s="33"/>
      <c r="EXN41" s="41"/>
      <c r="EXT41" s="42"/>
      <c r="EYA41" s="33"/>
      <c r="EYB41" s="33"/>
      <c r="EYF41" s="41"/>
      <c r="EYL41" s="42"/>
      <c r="EYS41" s="33"/>
      <c r="EYT41" s="33"/>
      <c r="EYX41" s="41"/>
      <c r="EZD41" s="42"/>
      <c r="EZK41" s="33"/>
      <c r="EZL41" s="33"/>
      <c r="EZP41" s="41"/>
      <c r="EZV41" s="42"/>
      <c r="FAC41" s="33"/>
      <c r="FAD41" s="33"/>
      <c r="FAH41" s="41"/>
      <c r="FAN41" s="42"/>
      <c r="FAU41" s="33"/>
      <c r="FAV41" s="33"/>
      <c r="FAZ41" s="41"/>
      <c r="FBF41" s="42"/>
      <c r="FBM41" s="33"/>
      <c r="FBN41" s="33"/>
      <c r="FBR41" s="41"/>
      <c r="FBX41" s="42"/>
      <c r="FCE41" s="33"/>
      <c r="FCF41" s="33"/>
      <c r="FCJ41" s="41"/>
      <c r="FCP41" s="42"/>
      <c r="FCW41" s="33"/>
      <c r="FCX41" s="33"/>
      <c r="FDB41" s="41"/>
      <c r="FDH41" s="42"/>
      <c r="FDO41" s="33"/>
      <c r="FDP41" s="33"/>
      <c r="FDT41" s="41"/>
      <c r="FDZ41" s="42"/>
      <c r="FEG41" s="33"/>
      <c r="FEH41" s="33"/>
      <c r="FEL41" s="41"/>
      <c r="FER41" s="42"/>
      <c r="FEY41" s="33"/>
      <c r="FEZ41" s="33"/>
      <c r="FFD41" s="41"/>
      <c r="FFJ41" s="42"/>
      <c r="FFQ41" s="33"/>
      <c r="FFR41" s="33"/>
      <c r="FFV41" s="41"/>
      <c r="FGB41" s="42"/>
      <c r="FGI41" s="33"/>
      <c r="FGJ41" s="33"/>
      <c r="FGN41" s="41"/>
      <c r="FGT41" s="42"/>
      <c r="FHA41" s="33"/>
      <c r="FHB41" s="33"/>
      <c r="FHF41" s="41"/>
      <c r="FHL41" s="42"/>
      <c r="FHS41" s="33"/>
      <c r="FHT41" s="33"/>
      <c r="FHX41" s="41"/>
      <c r="FID41" s="42"/>
      <c r="FIK41" s="33"/>
      <c r="FIL41" s="33"/>
      <c r="FIP41" s="41"/>
      <c r="FIV41" s="42"/>
      <c r="FJC41" s="33"/>
      <c r="FJD41" s="33"/>
      <c r="FJH41" s="41"/>
      <c r="FJN41" s="42"/>
      <c r="FJU41" s="33"/>
      <c r="FJV41" s="33"/>
      <c r="FJZ41" s="41"/>
      <c r="FKF41" s="42"/>
      <c r="FKM41" s="33"/>
      <c r="FKN41" s="33"/>
      <c r="FKR41" s="41"/>
      <c r="FKX41" s="42"/>
      <c r="FLE41" s="33"/>
      <c r="FLF41" s="33"/>
      <c r="FLJ41" s="41"/>
      <c r="FLP41" s="42"/>
      <c r="FLW41" s="33"/>
      <c r="FLX41" s="33"/>
      <c r="FMB41" s="41"/>
      <c r="FMH41" s="42"/>
      <c r="FMO41" s="33"/>
      <c r="FMP41" s="33"/>
      <c r="FMT41" s="41"/>
      <c r="FMZ41" s="42"/>
      <c r="FNG41" s="33"/>
      <c r="FNH41" s="33"/>
      <c r="FNL41" s="41"/>
      <c r="FNR41" s="42"/>
      <c r="FNY41" s="33"/>
      <c r="FNZ41" s="33"/>
      <c r="FOD41" s="41"/>
      <c r="FOJ41" s="42"/>
      <c r="FOQ41" s="33"/>
      <c r="FOR41" s="33"/>
      <c r="FOV41" s="41"/>
      <c r="FPB41" s="42"/>
      <c r="FPI41" s="33"/>
      <c r="FPJ41" s="33"/>
      <c r="FPN41" s="41"/>
      <c r="FPT41" s="42"/>
      <c r="FQA41" s="33"/>
      <c r="FQB41" s="33"/>
      <c r="FQF41" s="41"/>
      <c r="FQL41" s="42"/>
      <c r="FQS41" s="33"/>
      <c r="FQT41" s="33"/>
      <c r="FQX41" s="41"/>
      <c r="FRD41" s="42"/>
      <c r="FRK41" s="33"/>
      <c r="FRL41" s="33"/>
      <c r="FRP41" s="41"/>
      <c r="FRV41" s="42"/>
      <c r="FSC41" s="33"/>
      <c r="FSD41" s="33"/>
      <c r="FSH41" s="41"/>
      <c r="FSN41" s="42"/>
      <c r="FSU41" s="33"/>
      <c r="FSV41" s="33"/>
      <c r="FSZ41" s="41"/>
      <c r="FTF41" s="42"/>
      <c r="FTM41" s="33"/>
      <c r="FTN41" s="33"/>
      <c r="FTR41" s="41"/>
      <c r="FTX41" s="42"/>
      <c r="FUE41" s="33"/>
      <c r="FUF41" s="33"/>
      <c r="FUJ41" s="41"/>
      <c r="FUP41" s="42"/>
      <c r="FUW41" s="33"/>
      <c r="FUX41" s="33"/>
      <c r="FVB41" s="41"/>
      <c r="FVH41" s="42"/>
      <c r="FVO41" s="33"/>
      <c r="FVP41" s="33"/>
      <c r="FVT41" s="41"/>
      <c r="FVZ41" s="42"/>
      <c r="FWG41" s="33"/>
      <c r="FWH41" s="33"/>
      <c r="FWL41" s="41"/>
      <c r="FWR41" s="42"/>
      <c r="FWY41" s="33"/>
      <c r="FWZ41" s="33"/>
      <c r="FXD41" s="41"/>
      <c r="FXJ41" s="42"/>
      <c r="FXQ41" s="33"/>
      <c r="FXR41" s="33"/>
      <c r="FXV41" s="41"/>
      <c r="FYB41" s="42"/>
      <c r="FYI41" s="33"/>
      <c r="FYJ41" s="33"/>
      <c r="FYN41" s="41"/>
      <c r="FYT41" s="42"/>
      <c r="FZA41" s="33"/>
      <c r="FZB41" s="33"/>
      <c r="FZF41" s="41"/>
      <c r="FZL41" s="42"/>
      <c r="FZS41" s="33"/>
      <c r="FZT41" s="33"/>
      <c r="FZX41" s="41"/>
      <c r="GAD41" s="42"/>
      <c r="GAK41" s="33"/>
      <c r="GAL41" s="33"/>
      <c r="GAP41" s="41"/>
      <c r="GAV41" s="42"/>
      <c r="GBC41" s="33"/>
      <c r="GBD41" s="33"/>
      <c r="GBH41" s="41"/>
      <c r="GBN41" s="42"/>
      <c r="GBU41" s="33"/>
      <c r="GBV41" s="33"/>
      <c r="GBZ41" s="41"/>
      <c r="GCF41" s="42"/>
      <c r="GCM41" s="33"/>
      <c r="GCN41" s="33"/>
      <c r="GCR41" s="41"/>
      <c r="GCX41" s="42"/>
      <c r="GDE41" s="33"/>
      <c r="GDF41" s="33"/>
      <c r="GDJ41" s="41"/>
      <c r="GDP41" s="42"/>
      <c r="GDW41" s="33"/>
      <c r="GDX41" s="33"/>
      <c r="GEB41" s="41"/>
      <c r="GEH41" s="42"/>
      <c r="GEO41" s="33"/>
      <c r="GEP41" s="33"/>
      <c r="GET41" s="41"/>
      <c r="GEZ41" s="42"/>
      <c r="GFG41" s="33"/>
      <c r="GFH41" s="33"/>
      <c r="GFL41" s="41"/>
      <c r="GFR41" s="42"/>
      <c r="GFY41" s="33"/>
      <c r="GFZ41" s="33"/>
      <c r="GGD41" s="41"/>
      <c r="GGJ41" s="42"/>
      <c r="GGQ41" s="33"/>
      <c r="GGR41" s="33"/>
      <c r="GGV41" s="41"/>
      <c r="GHB41" s="42"/>
      <c r="GHI41" s="33"/>
      <c r="GHJ41" s="33"/>
      <c r="GHN41" s="41"/>
      <c r="GHT41" s="42"/>
      <c r="GIA41" s="33"/>
      <c r="GIB41" s="33"/>
      <c r="GIF41" s="41"/>
      <c r="GIL41" s="42"/>
      <c r="GIS41" s="33"/>
      <c r="GIT41" s="33"/>
      <c r="GIX41" s="41"/>
      <c r="GJD41" s="42"/>
      <c r="GJK41" s="33"/>
      <c r="GJL41" s="33"/>
      <c r="GJP41" s="41"/>
      <c r="GJV41" s="42"/>
      <c r="GKC41" s="33"/>
      <c r="GKD41" s="33"/>
      <c r="GKH41" s="41"/>
      <c r="GKN41" s="42"/>
      <c r="GKU41" s="33"/>
      <c r="GKV41" s="33"/>
      <c r="GKZ41" s="41"/>
      <c r="GLF41" s="42"/>
      <c r="GLM41" s="33"/>
      <c r="GLN41" s="33"/>
      <c r="GLR41" s="41"/>
      <c r="GLX41" s="42"/>
      <c r="GME41" s="33"/>
      <c r="GMF41" s="33"/>
      <c r="GMJ41" s="41"/>
      <c r="GMP41" s="42"/>
      <c r="GMW41" s="33"/>
      <c r="GMX41" s="33"/>
      <c r="GNB41" s="41"/>
      <c r="GNH41" s="42"/>
      <c r="GNO41" s="33"/>
      <c r="GNP41" s="33"/>
      <c r="GNT41" s="41"/>
      <c r="GNZ41" s="42"/>
      <c r="GOG41" s="33"/>
      <c r="GOH41" s="33"/>
      <c r="GOL41" s="41"/>
      <c r="GOR41" s="42"/>
      <c r="GOY41" s="33"/>
      <c r="GOZ41" s="33"/>
      <c r="GPD41" s="41"/>
      <c r="GPJ41" s="42"/>
      <c r="GPQ41" s="33"/>
      <c r="GPR41" s="33"/>
      <c r="GPV41" s="41"/>
      <c r="GQB41" s="42"/>
      <c r="GQI41" s="33"/>
      <c r="GQJ41" s="33"/>
      <c r="GQN41" s="41"/>
      <c r="GQT41" s="42"/>
      <c r="GRA41" s="33"/>
      <c r="GRB41" s="33"/>
      <c r="GRF41" s="41"/>
      <c r="GRL41" s="42"/>
      <c r="GRS41" s="33"/>
      <c r="GRT41" s="33"/>
      <c r="GRX41" s="41"/>
      <c r="GSD41" s="42"/>
      <c r="GSK41" s="33"/>
      <c r="GSL41" s="33"/>
      <c r="GSP41" s="41"/>
      <c r="GSV41" s="42"/>
      <c r="GTC41" s="33"/>
      <c r="GTD41" s="33"/>
      <c r="GTH41" s="41"/>
      <c r="GTN41" s="42"/>
      <c r="GTU41" s="33"/>
      <c r="GTV41" s="33"/>
      <c r="GTZ41" s="41"/>
      <c r="GUF41" s="42"/>
      <c r="GUM41" s="33"/>
      <c r="GUN41" s="33"/>
      <c r="GUR41" s="41"/>
      <c r="GUX41" s="42"/>
      <c r="GVE41" s="33"/>
      <c r="GVF41" s="33"/>
      <c r="GVJ41" s="41"/>
      <c r="GVP41" s="42"/>
      <c r="GVW41" s="33"/>
      <c r="GVX41" s="33"/>
      <c r="GWB41" s="41"/>
      <c r="GWH41" s="42"/>
      <c r="GWO41" s="33"/>
      <c r="GWP41" s="33"/>
      <c r="GWT41" s="41"/>
      <c r="GWZ41" s="42"/>
      <c r="GXG41" s="33"/>
      <c r="GXH41" s="33"/>
      <c r="GXL41" s="41"/>
      <c r="GXR41" s="42"/>
      <c r="GXY41" s="33"/>
      <c r="GXZ41" s="33"/>
      <c r="GYD41" s="41"/>
      <c r="GYJ41" s="42"/>
      <c r="GYQ41" s="33"/>
      <c r="GYR41" s="33"/>
      <c r="GYV41" s="41"/>
      <c r="GZB41" s="42"/>
      <c r="GZI41" s="33"/>
      <c r="GZJ41" s="33"/>
      <c r="GZN41" s="41"/>
      <c r="GZT41" s="42"/>
      <c r="HAA41" s="33"/>
      <c r="HAB41" s="33"/>
      <c r="HAF41" s="41"/>
      <c r="HAL41" s="42"/>
      <c r="HAS41" s="33"/>
      <c r="HAT41" s="33"/>
      <c r="HAX41" s="41"/>
      <c r="HBD41" s="42"/>
      <c r="HBK41" s="33"/>
      <c r="HBL41" s="33"/>
      <c r="HBP41" s="41"/>
      <c r="HBV41" s="42"/>
      <c r="HCC41" s="33"/>
      <c r="HCD41" s="33"/>
      <c r="HCH41" s="41"/>
      <c r="HCN41" s="42"/>
      <c r="HCU41" s="33"/>
      <c r="HCV41" s="33"/>
      <c r="HCZ41" s="41"/>
      <c r="HDF41" s="42"/>
      <c r="HDM41" s="33"/>
      <c r="HDN41" s="33"/>
      <c r="HDR41" s="41"/>
      <c r="HDX41" s="42"/>
      <c r="HEE41" s="33"/>
      <c r="HEF41" s="33"/>
      <c r="HEJ41" s="41"/>
      <c r="HEP41" s="42"/>
      <c r="HEW41" s="33"/>
      <c r="HEX41" s="33"/>
      <c r="HFB41" s="41"/>
      <c r="HFH41" s="42"/>
      <c r="HFO41" s="33"/>
      <c r="HFP41" s="33"/>
      <c r="HFT41" s="41"/>
      <c r="HFZ41" s="42"/>
      <c r="HGG41" s="33"/>
      <c r="HGH41" s="33"/>
      <c r="HGL41" s="41"/>
      <c r="HGR41" s="42"/>
      <c r="HGY41" s="33"/>
      <c r="HGZ41" s="33"/>
      <c r="HHD41" s="41"/>
      <c r="HHJ41" s="42"/>
      <c r="HHQ41" s="33"/>
      <c r="HHR41" s="33"/>
      <c r="HHV41" s="41"/>
      <c r="HIB41" s="42"/>
      <c r="HII41" s="33"/>
      <c r="HIJ41" s="33"/>
      <c r="HIN41" s="41"/>
      <c r="HIT41" s="42"/>
      <c r="HJA41" s="33"/>
      <c r="HJB41" s="33"/>
      <c r="HJF41" s="41"/>
      <c r="HJL41" s="42"/>
      <c r="HJS41" s="33"/>
      <c r="HJT41" s="33"/>
      <c r="HJX41" s="41"/>
      <c r="HKD41" s="42"/>
      <c r="HKK41" s="33"/>
      <c r="HKL41" s="33"/>
      <c r="HKP41" s="41"/>
      <c r="HKV41" s="42"/>
      <c r="HLC41" s="33"/>
      <c r="HLD41" s="33"/>
      <c r="HLH41" s="41"/>
      <c r="HLN41" s="42"/>
      <c r="HLU41" s="33"/>
      <c r="HLV41" s="33"/>
      <c r="HLZ41" s="41"/>
      <c r="HMF41" s="42"/>
      <c r="HMM41" s="33"/>
      <c r="HMN41" s="33"/>
      <c r="HMR41" s="41"/>
      <c r="HMX41" s="42"/>
      <c r="HNE41" s="33"/>
      <c r="HNF41" s="33"/>
      <c r="HNJ41" s="41"/>
      <c r="HNP41" s="42"/>
      <c r="HNW41" s="33"/>
      <c r="HNX41" s="33"/>
      <c r="HOB41" s="41"/>
      <c r="HOH41" s="42"/>
      <c r="HOO41" s="33"/>
      <c r="HOP41" s="33"/>
      <c r="HOT41" s="41"/>
      <c r="HOZ41" s="42"/>
      <c r="HPG41" s="33"/>
      <c r="HPH41" s="33"/>
      <c r="HPL41" s="41"/>
      <c r="HPR41" s="42"/>
      <c r="HPY41" s="33"/>
      <c r="HPZ41" s="33"/>
      <c r="HQD41" s="41"/>
      <c r="HQJ41" s="42"/>
      <c r="HQQ41" s="33"/>
      <c r="HQR41" s="33"/>
      <c r="HQV41" s="41"/>
      <c r="HRB41" s="42"/>
      <c r="HRI41" s="33"/>
      <c r="HRJ41" s="33"/>
      <c r="HRN41" s="41"/>
      <c r="HRT41" s="42"/>
      <c r="HSA41" s="33"/>
      <c r="HSB41" s="33"/>
      <c r="HSF41" s="41"/>
      <c r="HSL41" s="42"/>
      <c r="HSS41" s="33"/>
      <c r="HST41" s="33"/>
      <c r="HSX41" s="41"/>
      <c r="HTD41" s="42"/>
      <c r="HTK41" s="33"/>
      <c r="HTL41" s="33"/>
      <c r="HTP41" s="41"/>
      <c r="HTV41" s="42"/>
      <c r="HUC41" s="33"/>
      <c r="HUD41" s="33"/>
      <c r="HUH41" s="41"/>
      <c r="HUN41" s="42"/>
      <c r="HUU41" s="33"/>
      <c r="HUV41" s="33"/>
      <c r="HUZ41" s="41"/>
      <c r="HVF41" s="42"/>
      <c r="HVM41" s="33"/>
      <c r="HVN41" s="33"/>
      <c r="HVR41" s="41"/>
      <c r="HVX41" s="42"/>
      <c r="HWE41" s="33"/>
      <c r="HWF41" s="33"/>
      <c r="HWJ41" s="41"/>
      <c r="HWP41" s="42"/>
      <c r="HWW41" s="33"/>
      <c r="HWX41" s="33"/>
      <c r="HXB41" s="41"/>
      <c r="HXH41" s="42"/>
      <c r="HXO41" s="33"/>
      <c r="HXP41" s="33"/>
      <c r="HXT41" s="41"/>
      <c r="HXZ41" s="42"/>
      <c r="HYG41" s="33"/>
      <c r="HYH41" s="33"/>
      <c r="HYL41" s="41"/>
      <c r="HYR41" s="42"/>
      <c r="HYY41" s="33"/>
      <c r="HYZ41" s="33"/>
      <c r="HZD41" s="41"/>
      <c r="HZJ41" s="42"/>
      <c r="HZQ41" s="33"/>
      <c r="HZR41" s="33"/>
      <c r="HZV41" s="41"/>
      <c r="IAB41" s="42"/>
      <c r="IAI41" s="33"/>
      <c r="IAJ41" s="33"/>
      <c r="IAN41" s="41"/>
      <c r="IAT41" s="42"/>
      <c r="IBA41" s="33"/>
      <c r="IBB41" s="33"/>
      <c r="IBF41" s="41"/>
      <c r="IBL41" s="42"/>
      <c r="IBS41" s="33"/>
      <c r="IBT41" s="33"/>
      <c r="IBX41" s="41"/>
      <c r="ICD41" s="42"/>
      <c r="ICK41" s="33"/>
      <c r="ICL41" s="33"/>
      <c r="ICP41" s="41"/>
      <c r="ICV41" s="42"/>
      <c r="IDC41" s="33"/>
      <c r="IDD41" s="33"/>
      <c r="IDH41" s="41"/>
      <c r="IDN41" s="42"/>
      <c r="IDU41" s="33"/>
      <c r="IDV41" s="33"/>
      <c r="IDZ41" s="41"/>
      <c r="IEF41" s="42"/>
      <c r="IEM41" s="33"/>
      <c r="IEN41" s="33"/>
      <c r="IER41" s="41"/>
      <c r="IEX41" s="42"/>
      <c r="IFE41" s="33"/>
      <c r="IFF41" s="33"/>
      <c r="IFJ41" s="41"/>
      <c r="IFP41" s="42"/>
      <c r="IFW41" s="33"/>
      <c r="IFX41" s="33"/>
      <c r="IGB41" s="41"/>
      <c r="IGH41" s="42"/>
      <c r="IGO41" s="33"/>
      <c r="IGP41" s="33"/>
      <c r="IGT41" s="41"/>
      <c r="IGZ41" s="42"/>
      <c r="IHG41" s="33"/>
      <c r="IHH41" s="33"/>
      <c r="IHL41" s="41"/>
      <c r="IHR41" s="42"/>
      <c r="IHY41" s="33"/>
      <c r="IHZ41" s="33"/>
      <c r="IID41" s="41"/>
      <c r="IIJ41" s="42"/>
      <c r="IIQ41" s="33"/>
      <c r="IIR41" s="33"/>
      <c r="IIV41" s="41"/>
      <c r="IJB41" s="42"/>
      <c r="IJI41" s="33"/>
      <c r="IJJ41" s="33"/>
      <c r="IJN41" s="41"/>
      <c r="IJT41" s="42"/>
      <c r="IKA41" s="33"/>
      <c r="IKB41" s="33"/>
      <c r="IKF41" s="41"/>
      <c r="IKL41" s="42"/>
      <c r="IKS41" s="33"/>
      <c r="IKT41" s="33"/>
      <c r="IKX41" s="41"/>
      <c r="ILD41" s="42"/>
      <c r="ILK41" s="33"/>
      <c r="ILL41" s="33"/>
      <c r="ILP41" s="41"/>
      <c r="ILV41" s="42"/>
      <c r="IMC41" s="33"/>
      <c r="IMD41" s="33"/>
      <c r="IMH41" s="41"/>
      <c r="IMN41" s="42"/>
      <c r="IMU41" s="33"/>
      <c r="IMV41" s="33"/>
      <c r="IMZ41" s="41"/>
      <c r="INF41" s="42"/>
      <c r="INM41" s="33"/>
      <c r="INN41" s="33"/>
      <c r="INR41" s="41"/>
      <c r="INX41" s="42"/>
      <c r="IOE41" s="33"/>
      <c r="IOF41" s="33"/>
      <c r="IOJ41" s="41"/>
      <c r="IOP41" s="42"/>
      <c r="IOW41" s="33"/>
      <c r="IOX41" s="33"/>
      <c r="IPB41" s="41"/>
      <c r="IPH41" s="42"/>
      <c r="IPO41" s="33"/>
      <c r="IPP41" s="33"/>
      <c r="IPT41" s="41"/>
      <c r="IPZ41" s="42"/>
      <c r="IQG41" s="33"/>
      <c r="IQH41" s="33"/>
      <c r="IQL41" s="41"/>
      <c r="IQR41" s="42"/>
      <c r="IQY41" s="33"/>
      <c r="IQZ41" s="33"/>
      <c r="IRD41" s="41"/>
      <c r="IRJ41" s="42"/>
      <c r="IRQ41" s="33"/>
      <c r="IRR41" s="33"/>
      <c r="IRV41" s="41"/>
      <c r="ISB41" s="42"/>
      <c r="ISI41" s="33"/>
      <c r="ISJ41" s="33"/>
      <c r="ISN41" s="41"/>
      <c r="IST41" s="42"/>
      <c r="ITA41" s="33"/>
      <c r="ITB41" s="33"/>
      <c r="ITF41" s="41"/>
      <c r="ITL41" s="42"/>
      <c r="ITS41" s="33"/>
      <c r="ITT41" s="33"/>
      <c r="ITX41" s="41"/>
      <c r="IUD41" s="42"/>
      <c r="IUK41" s="33"/>
      <c r="IUL41" s="33"/>
      <c r="IUP41" s="41"/>
      <c r="IUV41" s="42"/>
      <c r="IVC41" s="33"/>
      <c r="IVD41" s="33"/>
      <c r="IVH41" s="41"/>
      <c r="IVN41" s="42"/>
      <c r="IVU41" s="33"/>
      <c r="IVV41" s="33"/>
      <c r="IVZ41" s="41"/>
      <c r="IWF41" s="42"/>
      <c r="IWM41" s="33"/>
      <c r="IWN41" s="33"/>
      <c r="IWR41" s="41"/>
      <c r="IWX41" s="42"/>
      <c r="IXE41" s="33"/>
      <c r="IXF41" s="33"/>
      <c r="IXJ41" s="41"/>
      <c r="IXP41" s="42"/>
      <c r="IXW41" s="33"/>
      <c r="IXX41" s="33"/>
      <c r="IYB41" s="41"/>
      <c r="IYH41" s="42"/>
      <c r="IYO41" s="33"/>
      <c r="IYP41" s="33"/>
      <c r="IYT41" s="41"/>
      <c r="IYZ41" s="42"/>
      <c r="IZG41" s="33"/>
      <c r="IZH41" s="33"/>
      <c r="IZL41" s="41"/>
      <c r="IZR41" s="42"/>
      <c r="IZY41" s="33"/>
      <c r="IZZ41" s="33"/>
      <c r="JAD41" s="41"/>
      <c r="JAJ41" s="42"/>
      <c r="JAQ41" s="33"/>
      <c r="JAR41" s="33"/>
      <c r="JAV41" s="41"/>
      <c r="JBB41" s="42"/>
      <c r="JBI41" s="33"/>
      <c r="JBJ41" s="33"/>
      <c r="JBN41" s="41"/>
      <c r="JBT41" s="42"/>
      <c r="JCA41" s="33"/>
      <c r="JCB41" s="33"/>
      <c r="JCF41" s="41"/>
      <c r="JCL41" s="42"/>
      <c r="JCS41" s="33"/>
      <c r="JCT41" s="33"/>
      <c r="JCX41" s="41"/>
      <c r="JDD41" s="42"/>
      <c r="JDK41" s="33"/>
      <c r="JDL41" s="33"/>
      <c r="JDP41" s="41"/>
      <c r="JDV41" s="42"/>
      <c r="JEC41" s="33"/>
      <c r="JED41" s="33"/>
      <c r="JEH41" s="41"/>
      <c r="JEN41" s="42"/>
      <c r="JEU41" s="33"/>
      <c r="JEV41" s="33"/>
      <c r="JEZ41" s="41"/>
      <c r="JFF41" s="42"/>
      <c r="JFM41" s="33"/>
      <c r="JFN41" s="33"/>
      <c r="JFR41" s="41"/>
      <c r="JFX41" s="42"/>
      <c r="JGE41" s="33"/>
      <c r="JGF41" s="33"/>
      <c r="JGJ41" s="41"/>
      <c r="JGP41" s="42"/>
      <c r="JGW41" s="33"/>
      <c r="JGX41" s="33"/>
      <c r="JHB41" s="41"/>
      <c r="JHH41" s="42"/>
      <c r="JHO41" s="33"/>
      <c r="JHP41" s="33"/>
      <c r="JHT41" s="41"/>
      <c r="JHZ41" s="42"/>
      <c r="JIG41" s="33"/>
      <c r="JIH41" s="33"/>
      <c r="JIL41" s="41"/>
      <c r="JIR41" s="42"/>
      <c r="JIY41" s="33"/>
      <c r="JIZ41" s="33"/>
      <c r="JJD41" s="41"/>
      <c r="JJJ41" s="42"/>
      <c r="JJQ41" s="33"/>
      <c r="JJR41" s="33"/>
      <c r="JJV41" s="41"/>
      <c r="JKB41" s="42"/>
      <c r="JKI41" s="33"/>
      <c r="JKJ41" s="33"/>
      <c r="JKN41" s="41"/>
      <c r="JKT41" s="42"/>
      <c r="JLA41" s="33"/>
      <c r="JLB41" s="33"/>
      <c r="JLF41" s="41"/>
      <c r="JLL41" s="42"/>
      <c r="JLS41" s="33"/>
      <c r="JLT41" s="33"/>
      <c r="JLX41" s="41"/>
      <c r="JMD41" s="42"/>
      <c r="JMK41" s="33"/>
      <c r="JML41" s="33"/>
      <c r="JMP41" s="41"/>
      <c r="JMV41" s="42"/>
      <c r="JNC41" s="33"/>
      <c r="JND41" s="33"/>
      <c r="JNH41" s="41"/>
      <c r="JNN41" s="42"/>
      <c r="JNU41" s="33"/>
      <c r="JNV41" s="33"/>
      <c r="JNZ41" s="41"/>
      <c r="JOF41" s="42"/>
      <c r="JOM41" s="33"/>
      <c r="JON41" s="33"/>
      <c r="JOR41" s="41"/>
      <c r="JOX41" s="42"/>
      <c r="JPE41" s="33"/>
      <c r="JPF41" s="33"/>
      <c r="JPJ41" s="41"/>
      <c r="JPP41" s="42"/>
      <c r="JPW41" s="33"/>
      <c r="JPX41" s="33"/>
      <c r="JQB41" s="41"/>
      <c r="JQH41" s="42"/>
      <c r="JQO41" s="33"/>
      <c r="JQP41" s="33"/>
      <c r="JQT41" s="41"/>
      <c r="JQZ41" s="42"/>
      <c r="JRG41" s="33"/>
      <c r="JRH41" s="33"/>
      <c r="JRL41" s="41"/>
      <c r="JRR41" s="42"/>
      <c r="JRY41" s="33"/>
      <c r="JRZ41" s="33"/>
      <c r="JSD41" s="41"/>
      <c r="JSJ41" s="42"/>
      <c r="JSQ41" s="33"/>
      <c r="JSR41" s="33"/>
      <c r="JSV41" s="41"/>
      <c r="JTB41" s="42"/>
      <c r="JTI41" s="33"/>
      <c r="JTJ41" s="33"/>
      <c r="JTN41" s="41"/>
      <c r="JTT41" s="42"/>
      <c r="JUA41" s="33"/>
      <c r="JUB41" s="33"/>
      <c r="JUF41" s="41"/>
      <c r="JUL41" s="42"/>
      <c r="JUS41" s="33"/>
      <c r="JUT41" s="33"/>
      <c r="JUX41" s="41"/>
      <c r="JVD41" s="42"/>
      <c r="JVK41" s="33"/>
      <c r="JVL41" s="33"/>
      <c r="JVP41" s="41"/>
      <c r="JVV41" s="42"/>
      <c r="JWC41" s="33"/>
      <c r="JWD41" s="33"/>
      <c r="JWH41" s="41"/>
      <c r="JWN41" s="42"/>
      <c r="JWU41" s="33"/>
      <c r="JWV41" s="33"/>
      <c r="JWZ41" s="41"/>
      <c r="JXF41" s="42"/>
      <c r="JXM41" s="33"/>
      <c r="JXN41" s="33"/>
      <c r="JXR41" s="41"/>
      <c r="JXX41" s="42"/>
      <c r="JYE41" s="33"/>
      <c r="JYF41" s="33"/>
      <c r="JYJ41" s="41"/>
      <c r="JYP41" s="42"/>
      <c r="JYW41" s="33"/>
      <c r="JYX41" s="33"/>
      <c r="JZB41" s="41"/>
      <c r="JZH41" s="42"/>
      <c r="JZO41" s="33"/>
      <c r="JZP41" s="33"/>
      <c r="JZT41" s="41"/>
      <c r="JZZ41" s="42"/>
      <c r="KAG41" s="33"/>
      <c r="KAH41" s="33"/>
      <c r="KAL41" s="41"/>
      <c r="KAR41" s="42"/>
      <c r="KAY41" s="33"/>
      <c r="KAZ41" s="33"/>
      <c r="KBD41" s="41"/>
      <c r="KBJ41" s="42"/>
      <c r="KBQ41" s="33"/>
      <c r="KBR41" s="33"/>
      <c r="KBV41" s="41"/>
      <c r="KCB41" s="42"/>
      <c r="KCI41" s="33"/>
      <c r="KCJ41" s="33"/>
      <c r="KCN41" s="41"/>
      <c r="KCT41" s="42"/>
      <c r="KDA41" s="33"/>
      <c r="KDB41" s="33"/>
      <c r="KDF41" s="41"/>
      <c r="KDL41" s="42"/>
      <c r="KDS41" s="33"/>
      <c r="KDT41" s="33"/>
      <c r="KDX41" s="41"/>
      <c r="KED41" s="42"/>
      <c r="KEK41" s="33"/>
      <c r="KEL41" s="33"/>
      <c r="KEP41" s="41"/>
      <c r="KEV41" s="42"/>
      <c r="KFC41" s="33"/>
      <c r="KFD41" s="33"/>
      <c r="KFH41" s="41"/>
      <c r="KFN41" s="42"/>
      <c r="KFU41" s="33"/>
      <c r="KFV41" s="33"/>
      <c r="KFZ41" s="41"/>
      <c r="KGF41" s="42"/>
      <c r="KGM41" s="33"/>
      <c r="KGN41" s="33"/>
      <c r="KGR41" s="41"/>
      <c r="KGX41" s="42"/>
      <c r="KHE41" s="33"/>
      <c r="KHF41" s="33"/>
      <c r="KHJ41" s="41"/>
      <c r="KHP41" s="42"/>
      <c r="KHW41" s="33"/>
      <c r="KHX41" s="33"/>
      <c r="KIB41" s="41"/>
      <c r="KIH41" s="42"/>
      <c r="KIO41" s="33"/>
      <c r="KIP41" s="33"/>
      <c r="KIT41" s="41"/>
      <c r="KIZ41" s="42"/>
      <c r="KJG41" s="33"/>
      <c r="KJH41" s="33"/>
      <c r="KJL41" s="41"/>
      <c r="KJR41" s="42"/>
      <c r="KJY41" s="33"/>
      <c r="KJZ41" s="33"/>
      <c r="KKD41" s="41"/>
      <c r="KKJ41" s="42"/>
      <c r="KKQ41" s="33"/>
      <c r="KKR41" s="33"/>
      <c r="KKV41" s="41"/>
      <c r="KLB41" s="42"/>
      <c r="KLI41" s="33"/>
      <c r="KLJ41" s="33"/>
      <c r="KLN41" s="41"/>
      <c r="KLT41" s="42"/>
      <c r="KMA41" s="33"/>
      <c r="KMB41" s="33"/>
      <c r="KMF41" s="41"/>
      <c r="KML41" s="42"/>
      <c r="KMS41" s="33"/>
      <c r="KMT41" s="33"/>
      <c r="KMX41" s="41"/>
      <c r="KND41" s="42"/>
      <c r="KNK41" s="33"/>
      <c r="KNL41" s="33"/>
      <c r="KNP41" s="41"/>
      <c r="KNV41" s="42"/>
      <c r="KOC41" s="33"/>
      <c r="KOD41" s="33"/>
      <c r="KOH41" s="41"/>
      <c r="KON41" s="42"/>
      <c r="KOU41" s="33"/>
      <c r="KOV41" s="33"/>
      <c r="KOZ41" s="41"/>
      <c r="KPF41" s="42"/>
      <c r="KPM41" s="33"/>
      <c r="KPN41" s="33"/>
      <c r="KPR41" s="41"/>
      <c r="KPX41" s="42"/>
      <c r="KQE41" s="33"/>
      <c r="KQF41" s="33"/>
      <c r="KQJ41" s="41"/>
      <c r="KQP41" s="42"/>
      <c r="KQW41" s="33"/>
      <c r="KQX41" s="33"/>
      <c r="KRB41" s="41"/>
      <c r="KRH41" s="42"/>
      <c r="KRO41" s="33"/>
      <c r="KRP41" s="33"/>
      <c r="KRT41" s="41"/>
      <c r="KRZ41" s="42"/>
      <c r="KSG41" s="33"/>
      <c r="KSH41" s="33"/>
      <c r="KSL41" s="41"/>
      <c r="KSR41" s="42"/>
      <c r="KSY41" s="33"/>
      <c r="KSZ41" s="33"/>
      <c r="KTD41" s="41"/>
      <c r="KTJ41" s="42"/>
      <c r="KTQ41" s="33"/>
      <c r="KTR41" s="33"/>
      <c r="KTV41" s="41"/>
      <c r="KUB41" s="42"/>
      <c r="KUI41" s="33"/>
      <c r="KUJ41" s="33"/>
      <c r="KUN41" s="41"/>
      <c r="KUT41" s="42"/>
      <c r="KVA41" s="33"/>
      <c r="KVB41" s="33"/>
      <c r="KVF41" s="41"/>
      <c r="KVL41" s="42"/>
      <c r="KVS41" s="33"/>
      <c r="KVT41" s="33"/>
      <c r="KVX41" s="41"/>
      <c r="KWD41" s="42"/>
      <c r="KWK41" s="33"/>
      <c r="KWL41" s="33"/>
      <c r="KWP41" s="41"/>
      <c r="KWV41" s="42"/>
      <c r="KXC41" s="33"/>
      <c r="KXD41" s="33"/>
      <c r="KXH41" s="41"/>
      <c r="KXN41" s="42"/>
      <c r="KXU41" s="33"/>
      <c r="KXV41" s="33"/>
      <c r="KXZ41" s="41"/>
      <c r="KYF41" s="42"/>
      <c r="KYM41" s="33"/>
      <c r="KYN41" s="33"/>
      <c r="KYR41" s="41"/>
      <c r="KYX41" s="42"/>
      <c r="KZE41" s="33"/>
      <c r="KZF41" s="33"/>
      <c r="KZJ41" s="41"/>
      <c r="KZP41" s="42"/>
      <c r="KZW41" s="33"/>
      <c r="KZX41" s="33"/>
      <c r="LAB41" s="41"/>
      <c r="LAH41" s="42"/>
      <c r="LAO41" s="33"/>
      <c r="LAP41" s="33"/>
      <c r="LAT41" s="41"/>
      <c r="LAZ41" s="42"/>
      <c r="LBG41" s="33"/>
      <c r="LBH41" s="33"/>
      <c r="LBL41" s="41"/>
      <c r="LBR41" s="42"/>
      <c r="LBY41" s="33"/>
      <c r="LBZ41" s="33"/>
      <c r="LCD41" s="41"/>
      <c r="LCJ41" s="42"/>
      <c r="LCQ41" s="33"/>
      <c r="LCR41" s="33"/>
      <c r="LCV41" s="41"/>
      <c r="LDB41" s="42"/>
      <c r="LDI41" s="33"/>
      <c r="LDJ41" s="33"/>
      <c r="LDN41" s="41"/>
      <c r="LDT41" s="42"/>
      <c r="LEA41" s="33"/>
      <c r="LEB41" s="33"/>
      <c r="LEF41" s="41"/>
      <c r="LEL41" s="42"/>
      <c r="LES41" s="33"/>
      <c r="LET41" s="33"/>
      <c r="LEX41" s="41"/>
      <c r="LFD41" s="42"/>
      <c r="LFK41" s="33"/>
      <c r="LFL41" s="33"/>
      <c r="LFP41" s="41"/>
      <c r="LFV41" s="42"/>
      <c r="LGC41" s="33"/>
      <c r="LGD41" s="33"/>
      <c r="LGH41" s="41"/>
      <c r="LGN41" s="42"/>
      <c r="LGU41" s="33"/>
      <c r="LGV41" s="33"/>
      <c r="LGZ41" s="41"/>
      <c r="LHF41" s="42"/>
      <c r="LHM41" s="33"/>
      <c r="LHN41" s="33"/>
      <c r="LHR41" s="41"/>
      <c r="LHX41" s="42"/>
      <c r="LIE41" s="33"/>
      <c r="LIF41" s="33"/>
      <c r="LIJ41" s="41"/>
      <c r="LIP41" s="42"/>
      <c r="LIW41" s="33"/>
      <c r="LIX41" s="33"/>
      <c r="LJB41" s="41"/>
      <c r="LJH41" s="42"/>
      <c r="LJO41" s="33"/>
      <c r="LJP41" s="33"/>
      <c r="LJT41" s="41"/>
      <c r="LJZ41" s="42"/>
      <c r="LKG41" s="33"/>
      <c r="LKH41" s="33"/>
      <c r="LKL41" s="41"/>
      <c r="LKR41" s="42"/>
      <c r="LKY41" s="33"/>
      <c r="LKZ41" s="33"/>
      <c r="LLD41" s="41"/>
      <c r="LLJ41" s="42"/>
      <c r="LLQ41" s="33"/>
      <c r="LLR41" s="33"/>
      <c r="LLV41" s="41"/>
      <c r="LMB41" s="42"/>
      <c r="LMI41" s="33"/>
      <c r="LMJ41" s="33"/>
      <c r="LMN41" s="41"/>
      <c r="LMT41" s="42"/>
      <c r="LNA41" s="33"/>
      <c r="LNB41" s="33"/>
      <c r="LNF41" s="41"/>
      <c r="LNL41" s="42"/>
      <c r="LNS41" s="33"/>
      <c r="LNT41" s="33"/>
      <c r="LNX41" s="41"/>
      <c r="LOD41" s="42"/>
      <c r="LOK41" s="33"/>
      <c r="LOL41" s="33"/>
      <c r="LOP41" s="41"/>
      <c r="LOV41" s="42"/>
      <c r="LPC41" s="33"/>
      <c r="LPD41" s="33"/>
      <c r="LPH41" s="41"/>
      <c r="LPN41" s="42"/>
      <c r="LPU41" s="33"/>
      <c r="LPV41" s="33"/>
      <c r="LPZ41" s="41"/>
      <c r="LQF41" s="42"/>
      <c r="LQM41" s="33"/>
      <c r="LQN41" s="33"/>
      <c r="LQR41" s="41"/>
      <c r="LQX41" s="42"/>
      <c r="LRE41" s="33"/>
      <c r="LRF41" s="33"/>
      <c r="LRJ41" s="41"/>
      <c r="LRP41" s="42"/>
      <c r="LRW41" s="33"/>
      <c r="LRX41" s="33"/>
      <c r="LSB41" s="41"/>
      <c r="LSH41" s="42"/>
      <c r="LSO41" s="33"/>
      <c r="LSP41" s="33"/>
      <c r="LST41" s="41"/>
      <c r="LSZ41" s="42"/>
      <c r="LTG41" s="33"/>
      <c r="LTH41" s="33"/>
      <c r="LTL41" s="41"/>
      <c r="LTR41" s="42"/>
      <c r="LTY41" s="33"/>
      <c r="LTZ41" s="33"/>
      <c r="LUD41" s="41"/>
      <c r="LUJ41" s="42"/>
      <c r="LUQ41" s="33"/>
      <c r="LUR41" s="33"/>
      <c r="LUV41" s="41"/>
      <c r="LVB41" s="42"/>
      <c r="LVI41" s="33"/>
      <c r="LVJ41" s="33"/>
      <c r="LVN41" s="41"/>
      <c r="LVT41" s="42"/>
      <c r="LWA41" s="33"/>
      <c r="LWB41" s="33"/>
      <c r="LWF41" s="41"/>
      <c r="LWL41" s="42"/>
      <c r="LWS41" s="33"/>
      <c r="LWT41" s="33"/>
      <c r="LWX41" s="41"/>
      <c r="LXD41" s="42"/>
      <c r="LXK41" s="33"/>
      <c r="LXL41" s="33"/>
      <c r="LXP41" s="41"/>
      <c r="LXV41" s="42"/>
      <c r="LYC41" s="33"/>
      <c r="LYD41" s="33"/>
      <c r="LYH41" s="41"/>
      <c r="LYN41" s="42"/>
      <c r="LYU41" s="33"/>
      <c r="LYV41" s="33"/>
      <c r="LYZ41" s="41"/>
      <c r="LZF41" s="42"/>
      <c r="LZM41" s="33"/>
      <c r="LZN41" s="33"/>
      <c r="LZR41" s="41"/>
      <c r="LZX41" s="42"/>
      <c r="MAE41" s="33"/>
      <c r="MAF41" s="33"/>
      <c r="MAJ41" s="41"/>
      <c r="MAP41" s="42"/>
      <c r="MAW41" s="33"/>
      <c r="MAX41" s="33"/>
      <c r="MBB41" s="41"/>
      <c r="MBH41" s="42"/>
      <c r="MBO41" s="33"/>
      <c r="MBP41" s="33"/>
      <c r="MBT41" s="41"/>
      <c r="MBZ41" s="42"/>
      <c r="MCG41" s="33"/>
      <c r="MCH41" s="33"/>
      <c r="MCL41" s="41"/>
      <c r="MCR41" s="42"/>
      <c r="MCY41" s="33"/>
      <c r="MCZ41" s="33"/>
      <c r="MDD41" s="41"/>
      <c r="MDJ41" s="42"/>
      <c r="MDQ41" s="33"/>
      <c r="MDR41" s="33"/>
      <c r="MDV41" s="41"/>
      <c r="MEB41" s="42"/>
      <c r="MEI41" s="33"/>
      <c r="MEJ41" s="33"/>
      <c r="MEN41" s="41"/>
      <c r="MET41" s="42"/>
      <c r="MFA41" s="33"/>
      <c r="MFB41" s="33"/>
      <c r="MFF41" s="41"/>
      <c r="MFL41" s="42"/>
      <c r="MFS41" s="33"/>
      <c r="MFT41" s="33"/>
      <c r="MFX41" s="41"/>
      <c r="MGD41" s="42"/>
      <c r="MGK41" s="33"/>
      <c r="MGL41" s="33"/>
      <c r="MGP41" s="41"/>
      <c r="MGV41" s="42"/>
      <c r="MHC41" s="33"/>
      <c r="MHD41" s="33"/>
      <c r="MHH41" s="41"/>
      <c r="MHN41" s="42"/>
      <c r="MHU41" s="33"/>
      <c r="MHV41" s="33"/>
      <c r="MHZ41" s="41"/>
      <c r="MIF41" s="42"/>
      <c r="MIM41" s="33"/>
      <c r="MIN41" s="33"/>
      <c r="MIR41" s="41"/>
      <c r="MIX41" s="42"/>
      <c r="MJE41" s="33"/>
      <c r="MJF41" s="33"/>
      <c r="MJJ41" s="41"/>
      <c r="MJP41" s="42"/>
      <c r="MJW41" s="33"/>
      <c r="MJX41" s="33"/>
      <c r="MKB41" s="41"/>
      <c r="MKH41" s="42"/>
      <c r="MKO41" s="33"/>
      <c r="MKP41" s="33"/>
      <c r="MKT41" s="41"/>
      <c r="MKZ41" s="42"/>
      <c r="MLG41" s="33"/>
      <c r="MLH41" s="33"/>
      <c r="MLL41" s="41"/>
      <c r="MLR41" s="42"/>
      <c r="MLY41" s="33"/>
      <c r="MLZ41" s="33"/>
      <c r="MMD41" s="41"/>
      <c r="MMJ41" s="42"/>
      <c r="MMQ41" s="33"/>
      <c r="MMR41" s="33"/>
      <c r="MMV41" s="41"/>
      <c r="MNB41" s="42"/>
      <c r="MNI41" s="33"/>
      <c r="MNJ41" s="33"/>
      <c r="MNN41" s="41"/>
      <c r="MNT41" s="42"/>
      <c r="MOA41" s="33"/>
      <c r="MOB41" s="33"/>
      <c r="MOF41" s="41"/>
      <c r="MOL41" s="42"/>
      <c r="MOS41" s="33"/>
      <c r="MOT41" s="33"/>
      <c r="MOX41" s="41"/>
      <c r="MPD41" s="42"/>
      <c r="MPK41" s="33"/>
      <c r="MPL41" s="33"/>
      <c r="MPP41" s="41"/>
      <c r="MPV41" s="42"/>
      <c r="MQC41" s="33"/>
      <c r="MQD41" s="33"/>
      <c r="MQH41" s="41"/>
      <c r="MQN41" s="42"/>
      <c r="MQU41" s="33"/>
      <c r="MQV41" s="33"/>
      <c r="MQZ41" s="41"/>
      <c r="MRF41" s="42"/>
      <c r="MRM41" s="33"/>
      <c r="MRN41" s="33"/>
      <c r="MRR41" s="41"/>
      <c r="MRX41" s="42"/>
      <c r="MSE41" s="33"/>
      <c r="MSF41" s="33"/>
      <c r="MSJ41" s="41"/>
      <c r="MSP41" s="42"/>
      <c r="MSW41" s="33"/>
      <c r="MSX41" s="33"/>
      <c r="MTB41" s="41"/>
      <c r="MTH41" s="42"/>
      <c r="MTO41" s="33"/>
      <c r="MTP41" s="33"/>
      <c r="MTT41" s="41"/>
      <c r="MTZ41" s="42"/>
      <c r="MUG41" s="33"/>
      <c r="MUH41" s="33"/>
      <c r="MUL41" s="41"/>
      <c r="MUR41" s="42"/>
      <c r="MUY41" s="33"/>
      <c r="MUZ41" s="33"/>
      <c r="MVD41" s="41"/>
      <c r="MVJ41" s="42"/>
      <c r="MVQ41" s="33"/>
      <c r="MVR41" s="33"/>
      <c r="MVV41" s="41"/>
      <c r="MWB41" s="42"/>
      <c r="MWI41" s="33"/>
      <c r="MWJ41" s="33"/>
      <c r="MWN41" s="41"/>
      <c r="MWT41" s="42"/>
      <c r="MXA41" s="33"/>
      <c r="MXB41" s="33"/>
      <c r="MXF41" s="41"/>
      <c r="MXL41" s="42"/>
      <c r="MXS41" s="33"/>
      <c r="MXT41" s="33"/>
      <c r="MXX41" s="41"/>
      <c r="MYD41" s="42"/>
      <c r="MYK41" s="33"/>
      <c r="MYL41" s="33"/>
      <c r="MYP41" s="41"/>
      <c r="MYV41" s="42"/>
      <c r="MZC41" s="33"/>
      <c r="MZD41" s="33"/>
      <c r="MZH41" s="41"/>
      <c r="MZN41" s="42"/>
      <c r="MZU41" s="33"/>
      <c r="MZV41" s="33"/>
      <c r="MZZ41" s="41"/>
      <c r="NAF41" s="42"/>
      <c r="NAM41" s="33"/>
      <c r="NAN41" s="33"/>
      <c r="NAR41" s="41"/>
      <c r="NAX41" s="42"/>
      <c r="NBE41" s="33"/>
      <c r="NBF41" s="33"/>
      <c r="NBJ41" s="41"/>
      <c r="NBP41" s="42"/>
      <c r="NBW41" s="33"/>
      <c r="NBX41" s="33"/>
      <c r="NCB41" s="41"/>
      <c r="NCH41" s="42"/>
      <c r="NCO41" s="33"/>
      <c r="NCP41" s="33"/>
      <c r="NCT41" s="41"/>
      <c r="NCZ41" s="42"/>
      <c r="NDG41" s="33"/>
      <c r="NDH41" s="33"/>
      <c r="NDL41" s="41"/>
      <c r="NDR41" s="42"/>
      <c r="NDY41" s="33"/>
      <c r="NDZ41" s="33"/>
      <c r="NED41" s="41"/>
      <c r="NEJ41" s="42"/>
      <c r="NEQ41" s="33"/>
      <c r="NER41" s="33"/>
      <c r="NEV41" s="41"/>
      <c r="NFB41" s="42"/>
      <c r="NFI41" s="33"/>
      <c r="NFJ41" s="33"/>
      <c r="NFN41" s="41"/>
      <c r="NFT41" s="42"/>
      <c r="NGA41" s="33"/>
      <c r="NGB41" s="33"/>
      <c r="NGF41" s="41"/>
      <c r="NGL41" s="42"/>
      <c r="NGS41" s="33"/>
      <c r="NGT41" s="33"/>
      <c r="NGX41" s="41"/>
      <c r="NHD41" s="42"/>
      <c r="NHK41" s="33"/>
      <c r="NHL41" s="33"/>
      <c r="NHP41" s="41"/>
      <c r="NHV41" s="42"/>
      <c r="NIC41" s="33"/>
      <c r="NID41" s="33"/>
      <c r="NIH41" s="41"/>
      <c r="NIN41" s="42"/>
      <c r="NIU41" s="33"/>
      <c r="NIV41" s="33"/>
      <c r="NIZ41" s="41"/>
      <c r="NJF41" s="42"/>
      <c r="NJM41" s="33"/>
      <c r="NJN41" s="33"/>
      <c r="NJR41" s="41"/>
      <c r="NJX41" s="42"/>
      <c r="NKE41" s="33"/>
      <c r="NKF41" s="33"/>
      <c r="NKJ41" s="41"/>
      <c r="NKP41" s="42"/>
      <c r="NKW41" s="33"/>
      <c r="NKX41" s="33"/>
      <c r="NLB41" s="41"/>
      <c r="NLH41" s="42"/>
      <c r="NLO41" s="33"/>
      <c r="NLP41" s="33"/>
      <c r="NLT41" s="41"/>
      <c r="NLZ41" s="42"/>
      <c r="NMG41" s="33"/>
      <c r="NMH41" s="33"/>
      <c r="NML41" s="41"/>
      <c r="NMR41" s="42"/>
      <c r="NMY41" s="33"/>
      <c r="NMZ41" s="33"/>
      <c r="NND41" s="41"/>
      <c r="NNJ41" s="42"/>
      <c r="NNQ41" s="33"/>
      <c r="NNR41" s="33"/>
      <c r="NNV41" s="41"/>
      <c r="NOB41" s="42"/>
      <c r="NOI41" s="33"/>
      <c r="NOJ41" s="33"/>
      <c r="NON41" s="41"/>
      <c r="NOT41" s="42"/>
      <c r="NPA41" s="33"/>
      <c r="NPB41" s="33"/>
      <c r="NPF41" s="41"/>
      <c r="NPL41" s="42"/>
      <c r="NPS41" s="33"/>
      <c r="NPT41" s="33"/>
      <c r="NPX41" s="41"/>
      <c r="NQD41" s="42"/>
      <c r="NQK41" s="33"/>
      <c r="NQL41" s="33"/>
      <c r="NQP41" s="41"/>
      <c r="NQV41" s="42"/>
      <c r="NRC41" s="33"/>
      <c r="NRD41" s="33"/>
      <c r="NRH41" s="41"/>
      <c r="NRN41" s="42"/>
      <c r="NRU41" s="33"/>
      <c r="NRV41" s="33"/>
      <c r="NRZ41" s="41"/>
      <c r="NSF41" s="42"/>
      <c r="NSM41" s="33"/>
      <c r="NSN41" s="33"/>
      <c r="NSR41" s="41"/>
      <c r="NSX41" s="42"/>
      <c r="NTE41" s="33"/>
      <c r="NTF41" s="33"/>
      <c r="NTJ41" s="41"/>
      <c r="NTP41" s="42"/>
      <c r="NTW41" s="33"/>
      <c r="NTX41" s="33"/>
      <c r="NUB41" s="41"/>
      <c r="NUH41" s="42"/>
      <c r="NUO41" s="33"/>
      <c r="NUP41" s="33"/>
      <c r="NUT41" s="41"/>
      <c r="NUZ41" s="42"/>
      <c r="NVG41" s="33"/>
      <c r="NVH41" s="33"/>
      <c r="NVL41" s="41"/>
      <c r="NVR41" s="42"/>
      <c r="NVY41" s="33"/>
      <c r="NVZ41" s="33"/>
      <c r="NWD41" s="41"/>
      <c r="NWJ41" s="42"/>
      <c r="NWQ41" s="33"/>
      <c r="NWR41" s="33"/>
      <c r="NWV41" s="41"/>
      <c r="NXB41" s="42"/>
      <c r="NXI41" s="33"/>
      <c r="NXJ41" s="33"/>
      <c r="NXN41" s="41"/>
      <c r="NXT41" s="42"/>
      <c r="NYA41" s="33"/>
      <c r="NYB41" s="33"/>
      <c r="NYF41" s="41"/>
      <c r="NYL41" s="42"/>
      <c r="NYS41" s="33"/>
      <c r="NYT41" s="33"/>
      <c r="NYX41" s="41"/>
      <c r="NZD41" s="42"/>
      <c r="NZK41" s="33"/>
      <c r="NZL41" s="33"/>
      <c r="NZP41" s="41"/>
      <c r="NZV41" s="42"/>
      <c r="OAC41" s="33"/>
      <c r="OAD41" s="33"/>
      <c r="OAH41" s="41"/>
      <c r="OAN41" s="42"/>
      <c r="OAU41" s="33"/>
      <c r="OAV41" s="33"/>
      <c r="OAZ41" s="41"/>
      <c r="OBF41" s="42"/>
      <c r="OBM41" s="33"/>
      <c r="OBN41" s="33"/>
      <c r="OBR41" s="41"/>
      <c r="OBX41" s="42"/>
      <c r="OCE41" s="33"/>
      <c r="OCF41" s="33"/>
      <c r="OCJ41" s="41"/>
      <c r="OCP41" s="42"/>
      <c r="OCW41" s="33"/>
      <c r="OCX41" s="33"/>
      <c r="ODB41" s="41"/>
      <c r="ODH41" s="42"/>
      <c r="ODO41" s="33"/>
      <c r="ODP41" s="33"/>
      <c r="ODT41" s="41"/>
      <c r="ODZ41" s="42"/>
      <c r="OEG41" s="33"/>
      <c r="OEH41" s="33"/>
      <c r="OEL41" s="41"/>
      <c r="OER41" s="42"/>
      <c r="OEY41" s="33"/>
      <c r="OEZ41" s="33"/>
      <c r="OFD41" s="41"/>
      <c r="OFJ41" s="42"/>
      <c r="OFQ41" s="33"/>
      <c r="OFR41" s="33"/>
      <c r="OFV41" s="41"/>
      <c r="OGB41" s="42"/>
      <c r="OGI41" s="33"/>
      <c r="OGJ41" s="33"/>
      <c r="OGN41" s="41"/>
      <c r="OGT41" s="42"/>
      <c r="OHA41" s="33"/>
      <c r="OHB41" s="33"/>
      <c r="OHF41" s="41"/>
      <c r="OHL41" s="42"/>
      <c r="OHS41" s="33"/>
      <c r="OHT41" s="33"/>
      <c r="OHX41" s="41"/>
      <c r="OID41" s="42"/>
      <c r="OIK41" s="33"/>
      <c r="OIL41" s="33"/>
      <c r="OIP41" s="41"/>
      <c r="OIV41" s="42"/>
      <c r="OJC41" s="33"/>
      <c r="OJD41" s="33"/>
      <c r="OJH41" s="41"/>
      <c r="OJN41" s="42"/>
      <c r="OJU41" s="33"/>
      <c r="OJV41" s="33"/>
      <c r="OJZ41" s="41"/>
      <c r="OKF41" s="42"/>
      <c r="OKM41" s="33"/>
      <c r="OKN41" s="33"/>
      <c r="OKR41" s="41"/>
      <c r="OKX41" s="42"/>
      <c r="OLE41" s="33"/>
      <c r="OLF41" s="33"/>
      <c r="OLJ41" s="41"/>
      <c r="OLP41" s="42"/>
      <c r="OLW41" s="33"/>
      <c r="OLX41" s="33"/>
      <c r="OMB41" s="41"/>
      <c r="OMH41" s="42"/>
      <c r="OMO41" s="33"/>
      <c r="OMP41" s="33"/>
      <c r="OMT41" s="41"/>
      <c r="OMZ41" s="42"/>
      <c r="ONG41" s="33"/>
      <c r="ONH41" s="33"/>
      <c r="ONL41" s="41"/>
      <c r="ONR41" s="42"/>
      <c r="ONY41" s="33"/>
      <c r="ONZ41" s="33"/>
      <c r="OOD41" s="41"/>
      <c r="OOJ41" s="42"/>
      <c r="OOQ41" s="33"/>
      <c r="OOR41" s="33"/>
      <c r="OOV41" s="41"/>
      <c r="OPB41" s="42"/>
      <c r="OPI41" s="33"/>
      <c r="OPJ41" s="33"/>
      <c r="OPN41" s="41"/>
      <c r="OPT41" s="42"/>
      <c r="OQA41" s="33"/>
      <c r="OQB41" s="33"/>
      <c r="OQF41" s="41"/>
      <c r="OQL41" s="42"/>
      <c r="OQS41" s="33"/>
      <c r="OQT41" s="33"/>
      <c r="OQX41" s="41"/>
      <c r="ORD41" s="42"/>
      <c r="ORK41" s="33"/>
      <c r="ORL41" s="33"/>
      <c r="ORP41" s="41"/>
      <c r="ORV41" s="42"/>
      <c r="OSC41" s="33"/>
      <c r="OSD41" s="33"/>
      <c r="OSH41" s="41"/>
      <c r="OSN41" s="42"/>
      <c r="OSU41" s="33"/>
      <c r="OSV41" s="33"/>
      <c r="OSZ41" s="41"/>
      <c r="OTF41" s="42"/>
      <c r="OTM41" s="33"/>
      <c r="OTN41" s="33"/>
      <c r="OTR41" s="41"/>
      <c r="OTX41" s="42"/>
      <c r="OUE41" s="33"/>
      <c r="OUF41" s="33"/>
      <c r="OUJ41" s="41"/>
      <c r="OUP41" s="42"/>
      <c r="OUW41" s="33"/>
      <c r="OUX41" s="33"/>
      <c r="OVB41" s="41"/>
      <c r="OVH41" s="42"/>
      <c r="OVO41" s="33"/>
      <c r="OVP41" s="33"/>
      <c r="OVT41" s="41"/>
      <c r="OVZ41" s="42"/>
      <c r="OWG41" s="33"/>
      <c r="OWH41" s="33"/>
      <c r="OWL41" s="41"/>
      <c r="OWR41" s="42"/>
      <c r="OWY41" s="33"/>
      <c r="OWZ41" s="33"/>
      <c r="OXD41" s="41"/>
      <c r="OXJ41" s="42"/>
      <c r="OXQ41" s="33"/>
      <c r="OXR41" s="33"/>
      <c r="OXV41" s="41"/>
      <c r="OYB41" s="42"/>
      <c r="OYI41" s="33"/>
      <c r="OYJ41" s="33"/>
      <c r="OYN41" s="41"/>
      <c r="OYT41" s="42"/>
      <c r="OZA41" s="33"/>
      <c r="OZB41" s="33"/>
      <c r="OZF41" s="41"/>
      <c r="OZL41" s="42"/>
      <c r="OZS41" s="33"/>
      <c r="OZT41" s="33"/>
      <c r="OZX41" s="41"/>
      <c r="PAD41" s="42"/>
      <c r="PAK41" s="33"/>
      <c r="PAL41" s="33"/>
      <c r="PAP41" s="41"/>
      <c r="PAV41" s="42"/>
      <c r="PBC41" s="33"/>
      <c r="PBD41" s="33"/>
      <c r="PBH41" s="41"/>
      <c r="PBN41" s="42"/>
      <c r="PBU41" s="33"/>
      <c r="PBV41" s="33"/>
      <c r="PBZ41" s="41"/>
      <c r="PCF41" s="42"/>
      <c r="PCM41" s="33"/>
      <c r="PCN41" s="33"/>
      <c r="PCR41" s="41"/>
      <c r="PCX41" s="42"/>
      <c r="PDE41" s="33"/>
      <c r="PDF41" s="33"/>
      <c r="PDJ41" s="41"/>
      <c r="PDP41" s="42"/>
      <c r="PDW41" s="33"/>
      <c r="PDX41" s="33"/>
      <c r="PEB41" s="41"/>
      <c r="PEH41" s="42"/>
      <c r="PEO41" s="33"/>
      <c r="PEP41" s="33"/>
      <c r="PET41" s="41"/>
      <c r="PEZ41" s="42"/>
      <c r="PFG41" s="33"/>
      <c r="PFH41" s="33"/>
      <c r="PFL41" s="41"/>
      <c r="PFR41" s="42"/>
      <c r="PFY41" s="33"/>
      <c r="PFZ41" s="33"/>
      <c r="PGD41" s="41"/>
      <c r="PGJ41" s="42"/>
      <c r="PGQ41" s="33"/>
      <c r="PGR41" s="33"/>
      <c r="PGV41" s="41"/>
      <c r="PHB41" s="42"/>
      <c r="PHI41" s="33"/>
      <c r="PHJ41" s="33"/>
      <c r="PHN41" s="41"/>
      <c r="PHT41" s="42"/>
      <c r="PIA41" s="33"/>
      <c r="PIB41" s="33"/>
      <c r="PIF41" s="41"/>
      <c r="PIL41" s="42"/>
      <c r="PIS41" s="33"/>
      <c r="PIT41" s="33"/>
      <c r="PIX41" s="41"/>
      <c r="PJD41" s="42"/>
      <c r="PJK41" s="33"/>
      <c r="PJL41" s="33"/>
      <c r="PJP41" s="41"/>
      <c r="PJV41" s="42"/>
      <c r="PKC41" s="33"/>
      <c r="PKD41" s="33"/>
      <c r="PKH41" s="41"/>
      <c r="PKN41" s="42"/>
      <c r="PKU41" s="33"/>
      <c r="PKV41" s="33"/>
      <c r="PKZ41" s="41"/>
      <c r="PLF41" s="42"/>
      <c r="PLM41" s="33"/>
      <c r="PLN41" s="33"/>
      <c r="PLR41" s="41"/>
      <c r="PLX41" s="42"/>
      <c r="PME41" s="33"/>
      <c r="PMF41" s="33"/>
      <c r="PMJ41" s="41"/>
      <c r="PMP41" s="42"/>
      <c r="PMW41" s="33"/>
      <c r="PMX41" s="33"/>
      <c r="PNB41" s="41"/>
      <c r="PNH41" s="42"/>
      <c r="PNO41" s="33"/>
      <c r="PNP41" s="33"/>
      <c r="PNT41" s="41"/>
      <c r="PNZ41" s="42"/>
      <c r="POG41" s="33"/>
      <c r="POH41" s="33"/>
      <c r="POL41" s="41"/>
      <c r="POR41" s="42"/>
      <c r="POY41" s="33"/>
      <c r="POZ41" s="33"/>
      <c r="PPD41" s="41"/>
      <c r="PPJ41" s="42"/>
      <c r="PPQ41" s="33"/>
      <c r="PPR41" s="33"/>
      <c r="PPV41" s="41"/>
      <c r="PQB41" s="42"/>
      <c r="PQI41" s="33"/>
      <c r="PQJ41" s="33"/>
      <c r="PQN41" s="41"/>
      <c r="PQT41" s="42"/>
      <c r="PRA41" s="33"/>
      <c r="PRB41" s="33"/>
      <c r="PRF41" s="41"/>
      <c r="PRL41" s="42"/>
      <c r="PRS41" s="33"/>
      <c r="PRT41" s="33"/>
      <c r="PRX41" s="41"/>
      <c r="PSD41" s="42"/>
      <c r="PSK41" s="33"/>
      <c r="PSL41" s="33"/>
      <c r="PSP41" s="41"/>
      <c r="PSV41" s="42"/>
      <c r="PTC41" s="33"/>
      <c r="PTD41" s="33"/>
      <c r="PTH41" s="41"/>
      <c r="PTN41" s="42"/>
      <c r="PTU41" s="33"/>
      <c r="PTV41" s="33"/>
      <c r="PTZ41" s="41"/>
      <c r="PUF41" s="42"/>
      <c r="PUM41" s="33"/>
      <c r="PUN41" s="33"/>
      <c r="PUR41" s="41"/>
      <c r="PUX41" s="42"/>
      <c r="PVE41" s="33"/>
      <c r="PVF41" s="33"/>
      <c r="PVJ41" s="41"/>
      <c r="PVP41" s="42"/>
      <c r="PVW41" s="33"/>
      <c r="PVX41" s="33"/>
      <c r="PWB41" s="41"/>
      <c r="PWH41" s="42"/>
      <c r="PWO41" s="33"/>
      <c r="PWP41" s="33"/>
      <c r="PWT41" s="41"/>
      <c r="PWZ41" s="42"/>
      <c r="PXG41" s="33"/>
      <c r="PXH41" s="33"/>
      <c r="PXL41" s="41"/>
      <c r="PXR41" s="42"/>
      <c r="PXY41" s="33"/>
      <c r="PXZ41" s="33"/>
      <c r="PYD41" s="41"/>
      <c r="PYJ41" s="42"/>
      <c r="PYQ41" s="33"/>
      <c r="PYR41" s="33"/>
      <c r="PYV41" s="41"/>
      <c r="PZB41" s="42"/>
      <c r="PZI41" s="33"/>
      <c r="PZJ41" s="33"/>
      <c r="PZN41" s="41"/>
      <c r="PZT41" s="42"/>
      <c r="QAA41" s="33"/>
      <c r="QAB41" s="33"/>
      <c r="QAF41" s="41"/>
      <c r="QAL41" s="42"/>
      <c r="QAS41" s="33"/>
      <c r="QAT41" s="33"/>
      <c r="QAX41" s="41"/>
      <c r="QBD41" s="42"/>
      <c r="QBK41" s="33"/>
      <c r="QBL41" s="33"/>
      <c r="QBP41" s="41"/>
      <c r="QBV41" s="42"/>
      <c r="QCC41" s="33"/>
      <c r="QCD41" s="33"/>
      <c r="QCH41" s="41"/>
      <c r="QCN41" s="42"/>
      <c r="QCU41" s="33"/>
      <c r="QCV41" s="33"/>
      <c r="QCZ41" s="41"/>
      <c r="QDF41" s="42"/>
      <c r="QDM41" s="33"/>
      <c r="QDN41" s="33"/>
      <c r="QDR41" s="41"/>
      <c r="QDX41" s="42"/>
      <c r="QEE41" s="33"/>
      <c r="QEF41" s="33"/>
      <c r="QEJ41" s="41"/>
      <c r="QEP41" s="42"/>
      <c r="QEW41" s="33"/>
      <c r="QEX41" s="33"/>
      <c r="QFB41" s="41"/>
      <c r="QFH41" s="42"/>
      <c r="QFO41" s="33"/>
      <c r="QFP41" s="33"/>
      <c r="QFT41" s="41"/>
      <c r="QFZ41" s="42"/>
      <c r="QGG41" s="33"/>
      <c r="QGH41" s="33"/>
      <c r="QGL41" s="41"/>
      <c r="QGR41" s="42"/>
      <c r="QGY41" s="33"/>
      <c r="QGZ41" s="33"/>
      <c r="QHD41" s="41"/>
      <c r="QHJ41" s="42"/>
      <c r="QHQ41" s="33"/>
      <c r="QHR41" s="33"/>
      <c r="QHV41" s="41"/>
      <c r="QIB41" s="42"/>
      <c r="QII41" s="33"/>
      <c r="QIJ41" s="33"/>
      <c r="QIN41" s="41"/>
      <c r="QIT41" s="42"/>
      <c r="QJA41" s="33"/>
      <c r="QJB41" s="33"/>
      <c r="QJF41" s="41"/>
      <c r="QJL41" s="42"/>
      <c r="QJS41" s="33"/>
      <c r="QJT41" s="33"/>
      <c r="QJX41" s="41"/>
      <c r="QKD41" s="42"/>
      <c r="QKK41" s="33"/>
      <c r="QKL41" s="33"/>
      <c r="QKP41" s="41"/>
      <c r="QKV41" s="42"/>
      <c r="QLC41" s="33"/>
      <c r="QLD41" s="33"/>
      <c r="QLH41" s="41"/>
      <c r="QLN41" s="42"/>
      <c r="QLU41" s="33"/>
      <c r="QLV41" s="33"/>
      <c r="QLZ41" s="41"/>
      <c r="QMF41" s="42"/>
      <c r="QMM41" s="33"/>
      <c r="QMN41" s="33"/>
      <c r="QMR41" s="41"/>
      <c r="QMX41" s="42"/>
      <c r="QNE41" s="33"/>
      <c r="QNF41" s="33"/>
      <c r="QNJ41" s="41"/>
      <c r="QNP41" s="42"/>
      <c r="QNW41" s="33"/>
      <c r="QNX41" s="33"/>
      <c r="QOB41" s="41"/>
      <c r="QOH41" s="42"/>
      <c r="QOO41" s="33"/>
      <c r="QOP41" s="33"/>
      <c r="QOT41" s="41"/>
      <c r="QOZ41" s="42"/>
      <c r="QPG41" s="33"/>
      <c r="QPH41" s="33"/>
      <c r="QPL41" s="41"/>
      <c r="QPR41" s="42"/>
      <c r="QPY41" s="33"/>
      <c r="QPZ41" s="33"/>
      <c r="QQD41" s="41"/>
      <c r="QQJ41" s="42"/>
      <c r="QQQ41" s="33"/>
      <c r="QQR41" s="33"/>
      <c r="QQV41" s="41"/>
      <c r="QRB41" s="42"/>
      <c r="QRI41" s="33"/>
      <c r="QRJ41" s="33"/>
      <c r="QRN41" s="41"/>
      <c r="QRT41" s="42"/>
      <c r="QSA41" s="33"/>
      <c r="QSB41" s="33"/>
      <c r="QSF41" s="41"/>
      <c r="QSL41" s="42"/>
      <c r="QSS41" s="33"/>
      <c r="QST41" s="33"/>
      <c r="QSX41" s="41"/>
      <c r="QTD41" s="42"/>
      <c r="QTK41" s="33"/>
      <c r="QTL41" s="33"/>
      <c r="QTP41" s="41"/>
      <c r="QTV41" s="42"/>
      <c r="QUC41" s="33"/>
      <c r="QUD41" s="33"/>
      <c r="QUH41" s="41"/>
      <c r="QUN41" s="42"/>
      <c r="QUU41" s="33"/>
      <c r="QUV41" s="33"/>
      <c r="QUZ41" s="41"/>
      <c r="QVF41" s="42"/>
      <c r="QVM41" s="33"/>
      <c r="QVN41" s="33"/>
      <c r="QVR41" s="41"/>
      <c r="QVX41" s="42"/>
      <c r="QWE41" s="33"/>
      <c r="QWF41" s="33"/>
      <c r="QWJ41" s="41"/>
      <c r="QWP41" s="42"/>
      <c r="QWW41" s="33"/>
      <c r="QWX41" s="33"/>
      <c r="QXB41" s="41"/>
      <c r="QXH41" s="42"/>
      <c r="QXO41" s="33"/>
      <c r="QXP41" s="33"/>
      <c r="QXT41" s="41"/>
      <c r="QXZ41" s="42"/>
      <c r="QYG41" s="33"/>
      <c r="QYH41" s="33"/>
      <c r="QYL41" s="41"/>
      <c r="QYR41" s="42"/>
      <c r="QYY41" s="33"/>
      <c r="QYZ41" s="33"/>
      <c r="QZD41" s="41"/>
      <c r="QZJ41" s="42"/>
      <c r="QZQ41" s="33"/>
      <c r="QZR41" s="33"/>
      <c r="QZV41" s="41"/>
      <c r="RAB41" s="42"/>
      <c r="RAI41" s="33"/>
      <c r="RAJ41" s="33"/>
      <c r="RAN41" s="41"/>
      <c r="RAT41" s="42"/>
      <c r="RBA41" s="33"/>
      <c r="RBB41" s="33"/>
      <c r="RBF41" s="41"/>
      <c r="RBL41" s="42"/>
      <c r="RBS41" s="33"/>
      <c r="RBT41" s="33"/>
      <c r="RBX41" s="41"/>
      <c r="RCD41" s="42"/>
      <c r="RCK41" s="33"/>
      <c r="RCL41" s="33"/>
      <c r="RCP41" s="41"/>
      <c r="RCV41" s="42"/>
      <c r="RDC41" s="33"/>
      <c r="RDD41" s="33"/>
      <c r="RDH41" s="41"/>
      <c r="RDN41" s="42"/>
      <c r="RDU41" s="33"/>
      <c r="RDV41" s="33"/>
      <c r="RDZ41" s="41"/>
      <c r="REF41" s="42"/>
      <c r="REM41" s="33"/>
      <c r="REN41" s="33"/>
      <c r="RER41" s="41"/>
      <c r="REX41" s="42"/>
      <c r="RFE41" s="33"/>
      <c r="RFF41" s="33"/>
      <c r="RFJ41" s="41"/>
      <c r="RFP41" s="42"/>
      <c r="RFW41" s="33"/>
      <c r="RFX41" s="33"/>
      <c r="RGB41" s="41"/>
      <c r="RGH41" s="42"/>
      <c r="RGO41" s="33"/>
      <c r="RGP41" s="33"/>
      <c r="RGT41" s="41"/>
      <c r="RGZ41" s="42"/>
      <c r="RHG41" s="33"/>
      <c r="RHH41" s="33"/>
      <c r="RHL41" s="41"/>
      <c r="RHR41" s="42"/>
      <c r="RHY41" s="33"/>
      <c r="RHZ41" s="33"/>
      <c r="RID41" s="41"/>
      <c r="RIJ41" s="42"/>
      <c r="RIQ41" s="33"/>
      <c r="RIR41" s="33"/>
      <c r="RIV41" s="41"/>
      <c r="RJB41" s="42"/>
      <c r="RJI41" s="33"/>
      <c r="RJJ41" s="33"/>
      <c r="RJN41" s="41"/>
      <c r="RJT41" s="42"/>
      <c r="RKA41" s="33"/>
      <c r="RKB41" s="33"/>
      <c r="RKF41" s="41"/>
      <c r="RKL41" s="42"/>
      <c r="RKS41" s="33"/>
      <c r="RKT41" s="33"/>
      <c r="RKX41" s="41"/>
      <c r="RLD41" s="42"/>
      <c r="RLK41" s="33"/>
      <c r="RLL41" s="33"/>
      <c r="RLP41" s="41"/>
      <c r="RLV41" s="42"/>
      <c r="RMC41" s="33"/>
      <c r="RMD41" s="33"/>
      <c r="RMH41" s="41"/>
      <c r="RMN41" s="42"/>
      <c r="RMU41" s="33"/>
      <c r="RMV41" s="33"/>
      <c r="RMZ41" s="41"/>
      <c r="RNF41" s="42"/>
      <c r="RNM41" s="33"/>
      <c r="RNN41" s="33"/>
      <c r="RNR41" s="41"/>
      <c r="RNX41" s="42"/>
      <c r="ROE41" s="33"/>
      <c r="ROF41" s="33"/>
      <c r="ROJ41" s="41"/>
      <c r="ROP41" s="42"/>
      <c r="ROW41" s="33"/>
      <c r="ROX41" s="33"/>
      <c r="RPB41" s="41"/>
      <c r="RPH41" s="42"/>
      <c r="RPO41" s="33"/>
      <c r="RPP41" s="33"/>
      <c r="RPT41" s="41"/>
      <c r="RPZ41" s="42"/>
      <c r="RQG41" s="33"/>
      <c r="RQH41" s="33"/>
      <c r="RQL41" s="41"/>
      <c r="RQR41" s="42"/>
      <c r="RQY41" s="33"/>
      <c r="RQZ41" s="33"/>
      <c r="RRD41" s="41"/>
      <c r="RRJ41" s="42"/>
      <c r="RRQ41" s="33"/>
      <c r="RRR41" s="33"/>
      <c r="RRV41" s="41"/>
      <c r="RSB41" s="42"/>
      <c r="RSI41" s="33"/>
      <c r="RSJ41" s="33"/>
      <c r="RSN41" s="41"/>
      <c r="RST41" s="42"/>
      <c r="RTA41" s="33"/>
      <c r="RTB41" s="33"/>
      <c r="RTF41" s="41"/>
      <c r="RTL41" s="42"/>
      <c r="RTS41" s="33"/>
      <c r="RTT41" s="33"/>
      <c r="RTX41" s="41"/>
      <c r="RUD41" s="42"/>
      <c r="RUK41" s="33"/>
      <c r="RUL41" s="33"/>
      <c r="RUP41" s="41"/>
      <c r="RUV41" s="42"/>
      <c r="RVC41" s="33"/>
      <c r="RVD41" s="33"/>
      <c r="RVH41" s="41"/>
      <c r="RVN41" s="42"/>
      <c r="RVU41" s="33"/>
      <c r="RVV41" s="33"/>
      <c r="RVZ41" s="41"/>
      <c r="RWF41" s="42"/>
      <c r="RWM41" s="33"/>
      <c r="RWN41" s="33"/>
      <c r="RWR41" s="41"/>
      <c r="RWX41" s="42"/>
      <c r="RXE41" s="33"/>
      <c r="RXF41" s="33"/>
      <c r="RXJ41" s="41"/>
      <c r="RXP41" s="42"/>
      <c r="RXW41" s="33"/>
      <c r="RXX41" s="33"/>
      <c r="RYB41" s="41"/>
      <c r="RYH41" s="42"/>
      <c r="RYO41" s="33"/>
      <c r="RYP41" s="33"/>
      <c r="RYT41" s="41"/>
      <c r="RYZ41" s="42"/>
      <c r="RZG41" s="33"/>
      <c r="RZH41" s="33"/>
      <c r="RZL41" s="41"/>
      <c r="RZR41" s="42"/>
      <c r="RZY41" s="33"/>
      <c r="RZZ41" s="33"/>
      <c r="SAD41" s="41"/>
      <c r="SAJ41" s="42"/>
      <c r="SAQ41" s="33"/>
      <c r="SAR41" s="33"/>
      <c r="SAV41" s="41"/>
      <c r="SBB41" s="42"/>
      <c r="SBI41" s="33"/>
      <c r="SBJ41" s="33"/>
      <c r="SBN41" s="41"/>
      <c r="SBT41" s="42"/>
      <c r="SCA41" s="33"/>
      <c r="SCB41" s="33"/>
      <c r="SCF41" s="41"/>
      <c r="SCL41" s="42"/>
      <c r="SCS41" s="33"/>
      <c r="SCT41" s="33"/>
      <c r="SCX41" s="41"/>
      <c r="SDD41" s="42"/>
      <c r="SDK41" s="33"/>
      <c r="SDL41" s="33"/>
      <c r="SDP41" s="41"/>
      <c r="SDV41" s="42"/>
      <c r="SEC41" s="33"/>
      <c r="SED41" s="33"/>
      <c r="SEH41" s="41"/>
      <c r="SEN41" s="42"/>
      <c r="SEU41" s="33"/>
      <c r="SEV41" s="33"/>
      <c r="SEZ41" s="41"/>
      <c r="SFF41" s="42"/>
      <c r="SFM41" s="33"/>
      <c r="SFN41" s="33"/>
      <c r="SFR41" s="41"/>
      <c r="SFX41" s="42"/>
      <c r="SGE41" s="33"/>
      <c r="SGF41" s="33"/>
      <c r="SGJ41" s="41"/>
      <c r="SGP41" s="42"/>
      <c r="SGW41" s="33"/>
      <c r="SGX41" s="33"/>
      <c r="SHB41" s="41"/>
      <c r="SHH41" s="42"/>
      <c r="SHO41" s="33"/>
      <c r="SHP41" s="33"/>
      <c r="SHT41" s="41"/>
      <c r="SHZ41" s="42"/>
      <c r="SIG41" s="33"/>
      <c r="SIH41" s="33"/>
      <c r="SIL41" s="41"/>
      <c r="SIR41" s="42"/>
      <c r="SIY41" s="33"/>
      <c r="SIZ41" s="33"/>
      <c r="SJD41" s="41"/>
      <c r="SJJ41" s="42"/>
      <c r="SJQ41" s="33"/>
      <c r="SJR41" s="33"/>
      <c r="SJV41" s="41"/>
      <c r="SKB41" s="42"/>
      <c r="SKI41" s="33"/>
      <c r="SKJ41" s="33"/>
      <c r="SKN41" s="41"/>
      <c r="SKT41" s="42"/>
      <c r="SLA41" s="33"/>
      <c r="SLB41" s="33"/>
      <c r="SLF41" s="41"/>
      <c r="SLL41" s="42"/>
      <c r="SLS41" s="33"/>
      <c r="SLT41" s="33"/>
      <c r="SLX41" s="41"/>
      <c r="SMD41" s="42"/>
      <c r="SMK41" s="33"/>
      <c r="SML41" s="33"/>
      <c r="SMP41" s="41"/>
      <c r="SMV41" s="42"/>
      <c r="SNC41" s="33"/>
      <c r="SND41" s="33"/>
      <c r="SNH41" s="41"/>
      <c r="SNN41" s="42"/>
      <c r="SNU41" s="33"/>
      <c r="SNV41" s="33"/>
      <c r="SNZ41" s="41"/>
      <c r="SOF41" s="42"/>
      <c r="SOM41" s="33"/>
      <c r="SON41" s="33"/>
      <c r="SOR41" s="41"/>
      <c r="SOX41" s="42"/>
      <c r="SPE41" s="33"/>
      <c r="SPF41" s="33"/>
      <c r="SPJ41" s="41"/>
      <c r="SPP41" s="42"/>
      <c r="SPW41" s="33"/>
      <c r="SPX41" s="33"/>
      <c r="SQB41" s="41"/>
      <c r="SQH41" s="42"/>
      <c r="SQO41" s="33"/>
      <c r="SQP41" s="33"/>
      <c r="SQT41" s="41"/>
      <c r="SQZ41" s="42"/>
      <c r="SRG41" s="33"/>
      <c r="SRH41" s="33"/>
      <c r="SRL41" s="41"/>
      <c r="SRR41" s="42"/>
      <c r="SRY41" s="33"/>
      <c r="SRZ41" s="33"/>
      <c r="SSD41" s="41"/>
      <c r="SSJ41" s="42"/>
      <c r="SSQ41" s="33"/>
      <c r="SSR41" s="33"/>
      <c r="SSV41" s="41"/>
      <c r="STB41" s="42"/>
      <c r="STI41" s="33"/>
      <c r="STJ41" s="33"/>
      <c r="STN41" s="41"/>
      <c r="STT41" s="42"/>
      <c r="SUA41" s="33"/>
      <c r="SUB41" s="33"/>
      <c r="SUF41" s="41"/>
      <c r="SUL41" s="42"/>
      <c r="SUS41" s="33"/>
      <c r="SUT41" s="33"/>
      <c r="SUX41" s="41"/>
      <c r="SVD41" s="42"/>
      <c r="SVK41" s="33"/>
      <c r="SVL41" s="33"/>
      <c r="SVP41" s="41"/>
      <c r="SVV41" s="42"/>
      <c r="SWC41" s="33"/>
      <c r="SWD41" s="33"/>
      <c r="SWH41" s="41"/>
      <c r="SWN41" s="42"/>
      <c r="SWU41" s="33"/>
      <c r="SWV41" s="33"/>
      <c r="SWZ41" s="41"/>
      <c r="SXF41" s="42"/>
      <c r="SXM41" s="33"/>
      <c r="SXN41" s="33"/>
      <c r="SXR41" s="41"/>
      <c r="SXX41" s="42"/>
      <c r="SYE41" s="33"/>
      <c r="SYF41" s="33"/>
      <c r="SYJ41" s="41"/>
      <c r="SYP41" s="42"/>
      <c r="SYW41" s="33"/>
      <c r="SYX41" s="33"/>
      <c r="SZB41" s="41"/>
      <c r="SZH41" s="42"/>
      <c r="SZO41" s="33"/>
      <c r="SZP41" s="33"/>
      <c r="SZT41" s="41"/>
      <c r="SZZ41" s="42"/>
      <c r="TAG41" s="33"/>
      <c r="TAH41" s="33"/>
      <c r="TAL41" s="41"/>
      <c r="TAR41" s="42"/>
      <c r="TAY41" s="33"/>
      <c r="TAZ41" s="33"/>
      <c r="TBD41" s="41"/>
      <c r="TBJ41" s="42"/>
      <c r="TBQ41" s="33"/>
      <c r="TBR41" s="33"/>
      <c r="TBV41" s="41"/>
      <c r="TCB41" s="42"/>
      <c r="TCI41" s="33"/>
      <c r="TCJ41" s="33"/>
      <c r="TCN41" s="41"/>
      <c r="TCT41" s="42"/>
      <c r="TDA41" s="33"/>
      <c r="TDB41" s="33"/>
      <c r="TDF41" s="41"/>
      <c r="TDL41" s="42"/>
      <c r="TDS41" s="33"/>
      <c r="TDT41" s="33"/>
      <c r="TDX41" s="41"/>
      <c r="TED41" s="42"/>
      <c r="TEK41" s="33"/>
      <c r="TEL41" s="33"/>
      <c r="TEP41" s="41"/>
      <c r="TEV41" s="42"/>
      <c r="TFC41" s="33"/>
      <c r="TFD41" s="33"/>
      <c r="TFH41" s="41"/>
      <c r="TFN41" s="42"/>
      <c r="TFU41" s="33"/>
      <c r="TFV41" s="33"/>
      <c r="TFZ41" s="41"/>
      <c r="TGF41" s="42"/>
      <c r="TGM41" s="33"/>
      <c r="TGN41" s="33"/>
      <c r="TGR41" s="41"/>
      <c r="TGX41" s="42"/>
      <c r="THE41" s="33"/>
      <c r="THF41" s="33"/>
      <c r="THJ41" s="41"/>
      <c r="THP41" s="42"/>
      <c r="THW41" s="33"/>
      <c r="THX41" s="33"/>
      <c r="TIB41" s="41"/>
      <c r="TIH41" s="42"/>
      <c r="TIO41" s="33"/>
      <c r="TIP41" s="33"/>
      <c r="TIT41" s="41"/>
      <c r="TIZ41" s="42"/>
      <c r="TJG41" s="33"/>
      <c r="TJH41" s="33"/>
      <c r="TJL41" s="41"/>
      <c r="TJR41" s="42"/>
      <c r="TJY41" s="33"/>
      <c r="TJZ41" s="33"/>
      <c r="TKD41" s="41"/>
      <c r="TKJ41" s="42"/>
      <c r="TKQ41" s="33"/>
      <c r="TKR41" s="33"/>
      <c r="TKV41" s="41"/>
      <c r="TLB41" s="42"/>
      <c r="TLI41" s="33"/>
      <c r="TLJ41" s="33"/>
      <c r="TLN41" s="41"/>
      <c r="TLT41" s="42"/>
      <c r="TMA41" s="33"/>
      <c r="TMB41" s="33"/>
      <c r="TMF41" s="41"/>
      <c r="TML41" s="42"/>
      <c r="TMS41" s="33"/>
      <c r="TMT41" s="33"/>
      <c r="TMX41" s="41"/>
      <c r="TND41" s="42"/>
      <c r="TNK41" s="33"/>
      <c r="TNL41" s="33"/>
      <c r="TNP41" s="41"/>
      <c r="TNV41" s="42"/>
      <c r="TOC41" s="33"/>
      <c r="TOD41" s="33"/>
      <c r="TOH41" s="41"/>
      <c r="TON41" s="42"/>
      <c r="TOU41" s="33"/>
      <c r="TOV41" s="33"/>
      <c r="TOZ41" s="41"/>
      <c r="TPF41" s="42"/>
      <c r="TPM41" s="33"/>
      <c r="TPN41" s="33"/>
      <c r="TPR41" s="41"/>
      <c r="TPX41" s="42"/>
      <c r="TQE41" s="33"/>
      <c r="TQF41" s="33"/>
      <c r="TQJ41" s="41"/>
      <c r="TQP41" s="42"/>
      <c r="TQW41" s="33"/>
      <c r="TQX41" s="33"/>
      <c r="TRB41" s="41"/>
      <c r="TRH41" s="42"/>
      <c r="TRO41" s="33"/>
      <c r="TRP41" s="33"/>
      <c r="TRT41" s="41"/>
      <c r="TRZ41" s="42"/>
      <c r="TSG41" s="33"/>
      <c r="TSH41" s="33"/>
      <c r="TSL41" s="41"/>
      <c r="TSR41" s="42"/>
      <c r="TSY41" s="33"/>
      <c r="TSZ41" s="33"/>
      <c r="TTD41" s="41"/>
      <c r="TTJ41" s="42"/>
      <c r="TTQ41" s="33"/>
      <c r="TTR41" s="33"/>
      <c r="TTV41" s="41"/>
      <c r="TUB41" s="42"/>
      <c r="TUI41" s="33"/>
      <c r="TUJ41" s="33"/>
      <c r="TUN41" s="41"/>
      <c r="TUT41" s="42"/>
      <c r="TVA41" s="33"/>
      <c r="TVB41" s="33"/>
      <c r="TVF41" s="41"/>
      <c r="TVL41" s="42"/>
      <c r="TVS41" s="33"/>
      <c r="TVT41" s="33"/>
      <c r="TVX41" s="41"/>
      <c r="TWD41" s="42"/>
      <c r="TWK41" s="33"/>
      <c r="TWL41" s="33"/>
      <c r="TWP41" s="41"/>
      <c r="TWV41" s="42"/>
      <c r="TXC41" s="33"/>
      <c r="TXD41" s="33"/>
      <c r="TXH41" s="41"/>
      <c r="TXN41" s="42"/>
      <c r="TXU41" s="33"/>
      <c r="TXV41" s="33"/>
      <c r="TXZ41" s="41"/>
      <c r="TYF41" s="42"/>
      <c r="TYM41" s="33"/>
      <c r="TYN41" s="33"/>
      <c r="TYR41" s="41"/>
      <c r="TYX41" s="42"/>
      <c r="TZE41" s="33"/>
      <c r="TZF41" s="33"/>
      <c r="TZJ41" s="41"/>
      <c r="TZP41" s="42"/>
      <c r="TZW41" s="33"/>
      <c r="TZX41" s="33"/>
      <c r="UAB41" s="41"/>
      <c r="UAH41" s="42"/>
      <c r="UAO41" s="33"/>
      <c r="UAP41" s="33"/>
      <c r="UAT41" s="41"/>
      <c r="UAZ41" s="42"/>
      <c r="UBG41" s="33"/>
      <c r="UBH41" s="33"/>
      <c r="UBL41" s="41"/>
      <c r="UBR41" s="42"/>
      <c r="UBY41" s="33"/>
      <c r="UBZ41" s="33"/>
      <c r="UCD41" s="41"/>
      <c r="UCJ41" s="42"/>
      <c r="UCQ41" s="33"/>
      <c r="UCR41" s="33"/>
      <c r="UCV41" s="41"/>
      <c r="UDB41" s="42"/>
      <c r="UDI41" s="33"/>
      <c r="UDJ41" s="33"/>
      <c r="UDN41" s="41"/>
      <c r="UDT41" s="42"/>
      <c r="UEA41" s="33"/>
      <c r="UEB41" s="33"/>
      <c r="UEF41" s="41"/>
      <c r="UEL41" s="42"/>
      <c r="UES41" s="33"/>
      <c r="UET41" s="33"/>
      <c r="UEX41" s="41"/>
      <c r="UFD41" s="42"/>
      <c r="UFK41" s="33"/>
      <c r="UFL41" s="33"/>
      <c r="UFP41" s="41"/>
      <c r="UFV41" s="42"/>
      <c r="UGC41" s="33"/>
      <c r="UGD41" s="33"/>
      <c r="UGH41" s="41"/>
      <c r="UGN41" s="42"/>
      <c r="UGU41" s="33"/>
      <c r="UGV41" s="33"/>
      <c r="UGZ41" s="41"/>
      <c r="UHF41" s="42"/>
      <c r="UHM41" s="33"/>
      <c r="UHN41" s="33"/>
      <c r="UHR41" s="41"/>
      <c r="UHX41" s="42"/>
      <c r="UIE41" s="33"/>
      <c r="UIF41" s="33"/>
      <c r="UIJ41" s="41"/>
      <c r="UIP41" s="42"/>
      <c r="UIW41" s="33"/>
      <c r="UIX41" s="33"/>
      <c r="UJB41" s="41"/>
      <c r="UJH41" s="42"/>
      <c r="UJO41" s="33"/>
      <c r="UJP41" s="33"/>
      <c r="UJT41" s="41"/>
      <c r="UJZ41" s="42"/>
      <c r="UKG41" s="33"/>
      <c r="UKH41" s="33"/>
      <c r="UKL41" s="41"/>
      <c r="UKR41" s="42"/>
      <c r="UKY41" s="33"/>
      <c r="UKZ41" s="33"/>
      <c r="ULD41" s="41"/>
      <c r="ULJ41" s="42"/>
      <c r="ULQ41" s="33"/>
      <c r="ULR41" s="33"/>
      <c r="ULV41" s="41"/>
      <c r="UMB41" s="42"/>
      <c r="UMI41" s="33"/>
      <c r="UMJ41" s="33"/>
      <c r="UMN41" s="41"/>
      <c r="UMT41" s="42"/>
      <c r="UNA41" s="33"/>
      <c r="UNB41" s="33"/>
      <c r="UNF41" s="41"/>
      <c r="UNL41" s="42"/>
      <c r="UNS41" s="33"/>
      <c r="UNT41" s="33"/>
      <c r="UNX41" s="41"/>
      <c r="UOD41" s="42"/>
      <c r="UOK41" s="33"/>
      <c r="UOL41" s="33"/>
      <c r="UOP41" s="41"/>
      <c r="UOV41" s="42"/>
      <c r="UPC41" s="33"/>
      <c r="UPD41" s="33"/>
      <c r="UPH41" s="41"/>
      <c r="UPN41" s="42"/>
      <c r="UPU41" s="33"/>
      <c r="UPV41" s="33"/>
      <c r="UPZ41" s="41"/>
      <c r="UQF41" s="42"/>
      <c r="UQM41" s="33"/>
      <c r="UQN41" s="33"/>
      <c r="UQR41" s="41"/>
      <c r="UQX41" s="42"/>
      <c r="URE41" s="33"/>
      <c r="URF41" s="33"/>
      <c r="URJ41" s="41"/>
      <c r="URP41" s="42"/>
      <c r="URW41" s="33"/>
      <c r="URX41" s="33"/>
      <c r="USB41" s="41"/>
      <c r="USH41" s="42"/>
      <c r="USO41" s="33"/>
      <c r="USP41" s="33"/>
      <c r="UST41" s="41"/>
      <c r="USZ41" s="42"/>
      <c r="UTG41" s="33"/>
      <c r="UTH41" s="33"/>
      <c r="UTL41" s="41"/>
      <c r="UTR41" s="42"/>
      <c r="UTY41" s="33"/>
      <c r="UTZ41" s="33"/>
      <c r="UUD41" s="41"/>
      <c r="UUJ41" s="42"/>
      <c r="UUQ41" s="33"/>
      <c r="UUR41" s="33"/>
      <c r="UUV41" s="41"/>
      <c r="UVB41" s="42"/>
      <c r="UVI41" s="33"/>
      <c r="UVJ41" s="33"/>
      <c r="UVN41" s="41"/>
      <c r="UVT41" s="42"/>
      <c r="UWA41" s="33"/>
      <c r="UWB41" s="33"/>
      <c r="UWF41" s="41"/>
      <c r="UWL41" s="42"/>
      <c r="UWS41" s="33"/>
      <c r="UWT41" s="33"/>
      <c r="UWX41" s="41"/>
      <c r="UXD41" s="42"/>
      <c r="UXK41" s="33"/>
      <c r="UXL41" s="33"/>
      <c r="UXP41" s="41"/>
      <c r="UXV41" s="42"/>
      <c r="UYC41" s="33"/>
      <c r="UYD41" s="33"/>
      <c r="UYH41" s="41"/>
      <c r="UYN41" s="42"/>
      <c r="UYU41" s="33"/>
      <c r="UYV41" s="33"/>
      <c r="UYZ41" s="41"/>
      <c r="UZF41" s="42"/>
      <c r="UZM41" s="33"/>
      <c r="UZN41" s="33"/>
      <c r="UZR41" s="41"/>
      <c r="UZX41" s="42"/>
      <c r="VAE41" s="33"/>
      <c r="VAF41" s="33"/>
      <c r="VAJ41" s="41"/>
      <c r="VAP41" s="42"/>
      <c r="VAW41" s="33"/>
      <c r="VAX41" s="33"/>
      <c r="VBB41" s="41"/>
      <c r="VBH41" s="42"/>
      <c r="VBO41" s="33"/>
      <c r="VBP41" s="33"/>
      <c r="VBT41" s="41"/>
      <c r="VBZ41" s="42"/>
      <c r="VCG41" s="33"/>
      <c r="VCH41" s="33"/>
      <c r="VCL41" s="41"/>
      <c r="VCR41" s="42"/>
      <c r="VCY41" s="33"/>
      <c r="VCZ41" s="33"/>
      <c r="VDD41" s="41"/>
      <c r="VDJ41" s="42"/>
      <c r="VDQ41" s="33"/>
      <c r="VDR41" s="33"/>
      <c r="VDV41" s="41"/>
      <c r="VEB41" s="42"/>
      <c r="VEI41" s="33"/>
      <c r="VEJ41" s="33"/>
      <c r="VEN41" s="41"/>
      <c r="VET41" s="42"/>
      <c r="VFA41" s="33"/>
      <c r="VFB41" s="33"/>
      <c r="VFF41" s="41"/>
      <c r="VFL41" s="42"/>
      <c r="VFS41" s="33"/>
      <c r="VFT41" s="33"/>
      <c r="VFX41" s="41"/>
      <c r="VGD41" s="42"/>
      <c r="VGK41" s="33"/>
      <c r="VGL41" s="33"/>
      <c r="VGP41" s="41"/>
      <c r="VGV41" s="42"/>
      <c r="VHC41" s="33"/>
      <c r="VHD41" s="33"/>
      <c r="VHH41" s="41"/>
      <c r="VHN41" s="42"/>
      <c r="VHU41" s="33"/>
      <c r="VHV41" s="33"/>
      <c r="VHZ41" s="41"/>
      <c r="VIF41" s="42"/>
      <c r="VIM41" s="33"/>
      <c r="VIN41" s="33"/>
      <c r="VIR41" s="41"/>
      <c r="VIX41" s="42"/>
      <c r="VJE41" s="33"/>
      <c r="VJF41" s="33"/>
      <c r="VJJ41" s="41"/>
      <c r="VJP41" s="42"/>
      <c r="VJW41" s="33"/>
      <c r="VJX41" s="33"/>
      <c r="VKB41" s="41"/>
      <c r="VKH41" s="42"/>
      <c r="VKO41" s="33"/>
      <c r="VKP41" s="33"/>
      <c r="VKT41" s="41"/>
      <c r="VKZ41" s="42"/>
      <c r="VLG41" s="33"/>
      <c r="VLH41" s="33"/>
      <c r="VLL41" s="41"/>
      <c r="VLR41" s="42"/>
      <c r="VLY41" s="33"/>
      <c r="VLZ41" s="33"/>
      <c r="VMD41" s="41"/>
      <c r="VMJ41" s="42"/>
      <c r="VMQ41" s="33"/>
      <c r="VMR41" s="33"/>
      <c r="VMV41" s="41"/>
      <c r="VNB41" s="42"/>
      <c r="VNI41" s="33"/>
      <c r="VNJ41" s="33"/>
      <c r="VNN41" s="41"/>
      <c r="VNT41" s="42"/>
      <c r="VOA41" s="33"/>
      <c r="VOB41" s="33"/>
      <c r="VOF41" s="41"/>
      <c r="VOL41" s="42"/>
      <c r="VOS41" s="33"/>
      <c r="VOT41" s="33"/>
      <c r="VOX41" s="41"/>
      <c r="VPD41" s="42"/>
      <c r="VPK41" s="33"/>
      <c r="VPL41" s="33"/>
      <c r="VPP41" s="41"/>
      <c r="VPV41" s="42"/>
      <c r="VQC41" s="33"/>
      <c r="VQD41" s="33"/>
      <c r="VQH41" s="41"/>
      <c r="VQN41" s="42"/>
      <c r="VQU41" s="33"/>
      <c r="VQV41" s="33"/>
      <c r="VQZ41" s="41"/>
      <c r="VRF41" s="42"/>
      <c r="VRM41" s="33"/>
      <c r="VRN41" s="33"/>
      <c r="VRR41" s="41"/>
      <c r="VRX41" s="42"/>
      <c r="VSE41" s="33"/>
      <c r="VSF41" s="33"/>
      <c r="VSJ41" s="41"/>
      <c r="VSP41" s="42"/>
      <c r="VSW41" s="33"/>
      <c r="VSX41" s="33"/>
      <c r="VTB41" s="41"/>
      <c r="VTH41" s="42"/>
      <c r="VTO41" s="33"/>
      <c r="VTP41" s="33"/>
      <c r="VTT41" s="41"/>
      <c r="VTZ41" s="42"/>
      <c r="VUG41" s="33"/>
      <c r="VUH41" s="33"/>
      <c r="VUL41" s="41"/>
      <c r="VUR41" s="42"/>
      <c r="VUY41" s="33"/>
      <c r="VUZ41" s="33"/>
      <c r="VVD41" s="41"/>
      <c r="VVJ41" s="42"/>
      <c r="VVQ41" s="33"/>
      <c r="VVR41" s="33"/>
      <c r="VVV41" s="41"/>
      <c r="VWB41" s="42"/>
      <c r="VWI41" s="33"/>
      <c r="VWJ41" s="33"/>
      <c r="VWN41" s="41"/>
      <c r="VWT41" s="42"/>
      <c r="VXA41" s="33"/>
      <c r="VXB41" s="33"/>
      <c r="VXF41" s="41"/>
      <c r="VXL41" s="42"/>
      <c r="VXS41" s="33"/>
      <c r="VXT41" s="33"/>
      <c r="VXX41" s="41"/>
      <c r="VYD41" s="42"/>
      <c r="VYK41" s="33"/>
      <c r="VYL41" s="33"/>
      <c r="VYP41" s="41"/>
      <c r="VYV41" s="42"/>
      <c r="VZC41" s="33"/>
      <c r="VZD41" s="33"/>
      <c r="VZH41" s="41"/>
      <c r="VZN41" s="42"/>
      <c r="VZU41" s="33"/>
      <c r="VZV41" s="33"/>
      <c r="VZZ41" s="41"/>
      <c r="WAF41" s="42"/>
      <c r="WAM41" s="33"/>
      <c r="WAN41" s="33"/>
      <c r="WAR41" s="41"/>
      <c r="WAX41" s="42"/>
      <c r="WBE41" s="33"/>
      <c r="WBF41" s="33"/>
      <c r="WBJ41" s="41"/>
      <c r="WBP41" s="42"/>
      <c r="WBW41" s="33"/>
      <c r="WBX41" s="33"/>
      <c r="WCB41" s="41"/>
      <c r="WCH41" s="42"/>
      <c r="WCO41" s="33"/>
      <c r="WCP41" s="33"/>
      <c r="WCT41" s="41"/>
      <c r="WCZ41" s="42"/>
      <c r="WDG41" s="33"/>
      <c r="WDH41" s="33"/>
      <c r="WDL41" s="41"/>
      <c r="WDR41" s="42"/>
      <c r="WDY41" s="33"/>
      <c r="WDZ41" s="33"/>
      <c r="WED41" s="41"/>
      <c r="WEJ41" s="42"/>
      <c r="WEQ41" s="33"/>
      <c r="WER41" s="33"/>
      <c r="WEV41" s="41"/>
      <c r="WFB41" s="42"/>
      <c r="WFI41" s="33"/>
      <c r="WFJ41" s="33"/>
      <c r="WFN41" s="41"/>
      <c r="WFT41" s="42"/>
      <c r="WGA41" s="33"/>
      <c r="WGB41" s="33"/>
      <c r="WGF41" s="41"/>
      <c r="WGL41" s="42"/>
      <c r="WGS41" s="33"/>
      <c r="WGT41" s="33"/>
      <c r="WGX41" s="41"/>
      <c r="WHD41" s="42"/>
      <c r="WHK41" s="33"/>
      <c r="WHL41" s="33"/>
      <c r="WHP41" s="41"/>
      <c r="WHV41" s="42"/>
      <c r="WIC41" s="33"/>
      <c r="WID41" s="33"/>
      <c r="WIH41" s="41"/>
      <c r="WIN41" s="42"/>
      <c r="WIU41" s="33"/>
      <c r="WIV41" s="33"/>
      <c r="WIZ41" s="41"/>
      <c r="WJF41" s="42"/>
      <c r="WJM41" s="33"/>
      <c r="WJN41" s="33"/>
      <c r="WJR41" s="41"/>
      <c r="WJX41" s="42"/>
      <c r="WKE41" s="33"/>
      <c r="WKF41" s="33"/>
      <c r="WKJ41" s="41"/>
      <c r="WKP41" s="42"/>
      <c r="WKW41" s="33"/>
      <c r="WKX41" s="33"/>
      <c r="WLB41" s="41"/>
      <c r="WLH41" s="42"/>
      <c r="WLO41" s="33"/>
      <c r="WLP41" s="33"/>
      <c r="WLT41" s="41"/>
      <c r="WLZ41" s="42"/>
      <c r="WMG41" s="33"/>
      <c r="WMH41" s="33"/>
      <c r="WML41" s="41"/>
      <c r="WMR41" s="42"/>
      <c r="WMY41" s="33"/>
      <c r="WMZ41" s="33"/>
      <c r="WND41" s="41"/>
      <c r="WNJ41" s="42"/>
      <c r="WNQ41" s="33"/>
      <c r="WNR41" s="33"/>
      <c r="WNV41" s="41"/>
      <c r="WOB41" s="42"/>
      <c r="WOI41" s="33"/>
      <c r="WOJ41" s="33"/>
      <c r="WON41" s="41"/>
      <c r="WOT41" s="42"/>
      <c r="WPA41" s="33"/>
      <c r="WPB41" s="33"/>
      <c r="WPF41" s="41"/>
      <c r="WPL41" s="42"/>
      <c r="WPS41" s="33"/>
      <c r="WPT41" s="33"/>
      <c r="WPX41" s="41"/>
      <c r="WQD41" s="42"/>
      <c r="WQK41" s="33"/>
      <c r="WQL41" s="33"/>
      <c r="WQP41" s="41"/>
      <c r="WQV41" s="42"/>
      <c r="WRC41" s="33"/>
      <c r="WRD41" s="33"/>
      <c r="WRH41" s="41"/>
      <c r="WRN41" s="42"/>
      <c r="WRU41" s="33"/>
      <c r="WRV41" s="33"/>
      <c r="WRZ41" s="41"/>
      <c r="WSF41" s="42"/>
      <c r="WSM41" s="33"/>
      <c r="WSN41" s="33"/>
      <c r="WSR41" s="41"/>
      <c r="WSX41" s="42"/>
      <c r="WTE41" s="33"/>
      <c r="WTF41" s="33"/>
      <c r="WTJ41" s="41"/>
      <c r="WTP41" s="42"/>
      <c r="WTW41" s="33"/>
      <c r="WTX41" s="33"/>
      <c r="WUB41" s="41"/>
      <c r="WUH41" s="42"/>
      <c r="WUO41" s="33"/>
      <c r="WUP41" s="33"/>
      <c r="WUT41" s="41"/>
      <c r="WUZ41" s="42"/>
      <c r="WVG41" s="33"/>
      <c r="WVH41" s="33"/>
      <c r="WVL41" s="41"/>
      <c r="WVR41" s="42"/>
      <c r="WVY41" s="33"/>
      <c r="WVZ41" s="33"/>
      <c r="WWD41" s="41"/>
      <c r="WWJ41" s="42"/>
      <c r="WWQ41" s="33"/>
      <c r="WWR41" s="33"/>
      <c r="WWV41" s="41"/>
      <c r="WXB41" s="42"/>
      <c r="WXI41" s="33"/>
      <c r="WXJ41" s="33"/>
      <c r="WXN41" s="41"/>
      <c r="WXT41" s="42"/>
      <c r="WYA41" s="33"/>
      <c r="WYB41" s="33"/>
      <c r="WYF41" s="41"/>
      <c r="WYL41" s="42"/>
      <c r="WYS41" s="33"/>
      <c r="WYT41" s="33"/>
      <c r="WYX41" s="41"/>
      <c r="WZD41" s="42"/>
      <c r="WZK41" s="33"/>
      <c r="WZL41" s="33"/>
      <c r="WZP41" s="41"/>
      <c r="WZV41" s="42"/>
      <c r="XAC41" s="33"/>
      <c r="XAD41" s="33"/>
      <c r="XAH41" s="41"/>
      <c r="XAN41" s="42"/>
      <c r="XAU41" s="33"/>
      <c r="XAV41" s="33"/>
      <c r="XAZ41" s="41"/>
      <c r="XBF41" s="42"/>
      <c r="XBM41" s="33"/>
      <c r="XBN41" s="33"/>
      <c r="XBR41" s="41"/>
      <c r="XBX41" s="42"/>
      <c r="XCE41" s="33"/>
      <c r="XCF41" s="33"/>
      <c r="XCJ41" s="41"/>
      <c r="XCP41" s="42"/>
      <c r="XCW41" s="33"/>
      <c r="XCX41" s="33"/>
      <c r="XDB41" s="41"/>
      <c r="XDH41" s="42"/>
      <c r="XDO41" s="33"/>
      <c r="XDP41" s="33"/>
      <c r="XDT41" s="41"/>
      <c r="XDZ41" s="42"/>
      <c r="XEG41" s="33"/>
      <c r="XEH41" s="33"/>
      <c r="XEL41" s="41"/>
      <c r="XER41" s="42"/>
      <c r="XEY41" s="33"/>
      <c r="XEZ41" s="33"/>
      <c r="XFD41" s="41"/>
    </row>
    <row r="42" spans="1:1018 1025:2044 2051:3070 3077:4096 4103:5116 5122:6142 6148:7168 7174:8190 8194:9216 9220:10234 10241:11260 11267:12286 12293:13312 13319:14332 14338:15358 15364:16384" s="24" customFormat="1">
      <c r="A42" s="21" t="s">
        <v>135</v>
      </c>
      <c r="B42" s="12">
        <v>2010</v>
      </c>
      <c r="C42" s="19" t="s">
        <v>127</v>
      </c>
      <c r="D42" s="22" t="s">
        <v>86</v>
      </c>
      <c r="E42" s="43" t="s">
        <v>44</v>
      </c>
      <c r="F42" s="19" t="s">
        <v>24</v>
      </c>
      <c r="G42" s="44">
        <v>20633575</v>
      </c>
      <c r="H42" s="20">
        <v>20380882</v>
      </c>
      <c r="I42" s="12">
        <v>8</v>
      </c>
      <c r="J42" s="23" t="s">
        <v>136</v>
      </c>
      <c r="K42" s="22" t="s">
        <v>26</v>
      </c>
      <c r="L42" s="22"/>
      <c r="M42" s="22" t="s">
        <v>26</v>
      </c>
      <c r="N42" s="12"/>
      <c r="O42" s="22"/>
      <c r="P42" s="12"/>
      <c r="Q42" s="22"/>
      <c r="R42" s="22"/>
      <c r="V42" s="15"/>
      <c r="AB42" s="25"/>
      <c r="AI42" s="21"/>
      <c r="AJ42" s="21"/>
      <c r="AN42" s="15"/>
      <c r="AT42" s="25"/>
      <c r="BA42" s="21"/>
      <c r="BB42" s="21"/>
      <c r="BF42" s="15"/>
      <c r="BL42" s="25"/>
      <c r="BS42" s="21"/>
      <c r="BT42" s="21"/>
      <c r="BX42" s="15"/>
      <c r="CD42" s="25"/>
      <c r="CK42" s="21"/>
      <c r="CL42" s="21"/>
      <c r="CP42" s="15"/>
      <c r="CV42" s="25"/>
      <c r="DC42" s="21"/>
      <c r="DD42" s="21"/>
      <c r="DH42" s="15"/>
      <c r="DN42" s="25"/>
      <c r="DU42" s="21"/>
      <c r="DV42" s="21"/>
      <c r="DZ42" s="15"/>
      <c r="EF42" s="25"/>
      <c r="EM42" s="21"/>
      <c r="EN42" s="21"/>
      <c r="ER42" s="15"/>
      <c r="EX42" s="25"/>
      <c r="FE42" s="21"/>
      <c r="FF42" s="21"/>
      <c r="FJ42" s="15"/>
      <c r="FP42" s="25"/>
      <c r="FW42" s="21"/>
      <c r="FX42" s="21"/>
      <c r="GB42" s="15"/>
      <c r="GH42" s="25"/>
      <c r="GO42" s="21"/>
      <c r="GP42" s="21"/>
      <c r="GT42" s="15"/>
      <c r="GZ42" s="25"/>
      <c r="HG42" s="21"/>
      <c r="HH42" s="21"/>
      <c r="HL42" s="15"/>
      <c r="HR42" s="25"/>
      <c r="HY42" s="21"/>
      <c r="HZ42" s="21"/>
      <c r="ID42" s="15"/>
      <c r="IJ42" s="25"/>
      <c r="IQ42" s="21"/>
      <c r="IR42" s="21"/>
      <c r="IV42" s="15"/>
      <c r="JB42" s="25"/>
      <c r="JI42" s="21"/>
      <c r="JJ42" s="21"/>
      <c r="JN42" s="15"/>
      <c r="JT42" s="25"/>
      <c r="KA42" s="21"/>
      <c r="KB42" s="21"/>
      <c r="KF42" s="15"/>
      <c r="KL42" s="25"/>
      <c r="KS42" s="21"/>
      <c r="KT42" s="21"/>
      <c r="KX42" s="15"/>
      <c r="LD42" s="25"/>
      <c r="LK42" s="21"/>
      <c r="LL42" s="21"/>
      <c r="LP42" s="15"/>
      <c r="LV42" s="25"/>
      <c r="MC42" s="21"/>
      <c r="MD42" s="21"/>
      <c r="MH42" s="15"/>
      <c r="MN42" s="25"/>
      <c r="MU42" s="21"/>
      <c r="MV42" s="21"/>
      <c r="MZ42" s="15"/>
      <c r="NF42" s="25"/>
      <c r="NM42" s="21"/>
      <c r="NN42" s="21"/>
      <c r="NR42" s="15"/>
      <c r="NX42" s="25"/>
      <c r="OE42" s="21"/>
      <c r="OF42" s="21"/>
      <c r="OJ42" s="15"/>
      <c r="OP42" s="25"/>
      <c r="OW42" s="21"/>
      <c r="OX42" s="21"/>
      <c r="PB42" s="15"/>
      <c r="PH42" s="25"/>
      <c r="PO42" s="21"/>
      <c r="PP42" s="21"/>
      <c r="PT42" s="15"/>
      <c r="PZ42" s="25"/>
      <c r="QG42" s="21"/>
      <c r="QH42" s="21"/>
      <c r="QL42" s="15"/>
      <c r="QR42" s="25"/>
      <c r="QY42" s="21"/>
      <c r="QZ42" s="21"/>
      <c r="RD42" s="15"/>
      <c r="RJ42" s="25"/>
      <c r="RQ42" s="21"/>
      <c r="RR42" s="21"/>
      <c r="RV42" s="15"/>
      <c r="SB42" s="25"/>
      <c r="SI42" s="21"/>
      <c r="SJ42" s="21"/>
      <c r="SN42" s="15"/>
      <c r="ST42" s="25"/>
      <c r="TA42" s="21"/>
      <c r="TB42" s="21"/>
      <c r="TF42" s="15"/>
      <c r="TL42" s="25"/>
      <c r="TS42" s="21"/>
      <c r="TT42" s="21"/>
      <c r="TX42" s="15"/>
      <c r="UD42" s="25"/>
      <c r="UK42" s="21"/>
      <c r="UL42" s="21"/>
      <c r="UP42" s="15"/>
      <c r="UV42" s="25"/>
      <c r="VC42" s="21"/>
      <c r="VD42" s="21"/>
      <c r="VH42" s="15"/>
      <c r="VN42" s="25"/>
      <c r="VU42" s="21"/>
      <c r="VV42" s="21"/>
      <c r="VZ42" s="15"/>
      <c r="WF42" s="25"/>
      <c r="WM42" s="21"/>
      <c r="WN42" s="21"/>
      <c r="WR42" s="15"/>
      <c r="WX42" s="25"/>
      <c r="XE42" s="21"/>
      <c r="XF42" s="21"/>
      <c r="XJ42" s="15"/>
      <c r="XP42" s="25"/>
      <c r="XW42" s="21"/>
      <c r="XX42" s="21"/>
      <c r="YB42" s="15"/>
      <c r="YH42" s="25"/>
      <c r="YO42" s="21"/>
      <c r="YP42" s="21"/>
      <c r="YT42" s="15"/>
      <c r="YZ42" s="25"/>
      <c r="ZG42" s="21"/>
      <c r="ZH42" s="21"/>
      <c r="ZL42" s="15"/>
      <c r="ZR42" s="25"/>
      <c r="ZY42" s="21"/>
      <c r="ZZ42" s="21"/>
      <c r="AAD42" s="15"/>
      <c r="AAJ42" s="25"/>
      <c r="AAQ42" s="21"/>
      <c r="AAR42" s="21"/>
      <c r="AAV42" s="15"/>
      <c r="ABB42" s="25"/>
      <c r="ABI42" s="21"/>
      <c r="ABJ42" s="21"/>
      <c r="ABN42" s="15"/>
      <c r="ABT42" s="25"/>
      <c r="ACA42" s="21"/>
      <c r="ACB42" s="21"/>
      <c r="ACF42" s="15"/>
      <c r="ACL42" s="25"/>
      <c r="ACS42" s="21"/>
      <c r="ACT42" s="21"/>
      <c r="ACX42" s="15"/>
      <c r="ADD42" s="25"/>
      <c r="ADK42" s="21"/>
      <c r="ADL42" s="21"/>
      <c r="ADP42" s="15"/>
      <c r="ADV42" s="25"/>
      <c r="AEC42" s="21"/>
      <c r="AED42" s="21"/>
      <c r="AEH42" s="15"/>
      <c r="AEN42" s="25"/>
      <c r="AEU42" s="21"/>
      <c r="AEV42" s="21"/>
      <c r="AEZ42" s="15"/>
      <c r="AFF42" s="25"/>
      <c r="AFM42" s="21"/>
      <c r="AFN42" s="21"/>
      <c r="AFR42" s="15"/>
      <c r="AFX42" s="25"/>
      <c r="AGE42" s="21"/>
      <c r="AGF42" s="21"/>
      <c r="AGJ42" s="15"/>
      <c r="AGP42" s="25"/>
      <c r="AGW42" s="21"/>
      <c r="AGX42" s="21"/>
      <c r="AHB42" s="15"/>
      <c r="AHH42" s="25"/>
      <c r="AHO42" s="21"/>
      <c r="AHP42" s="21"/>
      <c r="AHT42" s="15"/>
      <c r="AHZ42" s="25"/>
      <c r="AIG42" s="21"/>
      <c r="AIH42" s="21"/>
      <c r="AIL42" s="15"/>
      <c r="AIR42" s="25"/>
      <c r="AIY42" s="21"/>
      <c r="AIZ42" s="21"/>
      <c r="AJD42" s="15"/>
      <c r="AJJ42" s="25"/>
      <c r="AJQ42" s="21"/>
      <c r="AJR42" s="21"/>
      <c r="AJV42" s="15"/>
      <c r="AKB42" s="25"/>
      <c r="AKI42" s="21"/>
      <c r="AKJ42" s="21"/>
      <c r="AKN42" s="15"/>
      <c r="AKT42" s="25"/>
      <c r="ALA42" s="21"/>
      <c r="ALB42" s="21"/>
      <c r="ALF42" s="15"/>
      <c r="ALL42" s="25"/>
      <c r="ALS42" s="21"/>
      <c r="ALT42" s="21"/>
      <c r="ALX42" s="15"/>
      <c r="AMD42" s="25"/>
      <c r="AMK42" s="21"/>
      <c r="AML42" s="21"/>
      <c r="AMP42" s="15"/>
      <c r="AMV42" s="25"/>
      <c r="ANC42" s="21"/>
      <c r="AND42" s="21"/>
      <c r="ANH42" s="15"/>
      <c r="ANN42" s="25"/>
      <c r="ANU42" s="21"/>
      <c r="ANV42" s="21"/>
      <c r="ANZ42" s="15"/>
      <c r="AOF42" s="25"/>
      <c r="AOM42" s="21"/>
      <c r="AON42" s="21"/>
      <c r="AOR42" s="15"/>
      <c r="AOX42" s="25"/>
      <c r="APE42" s="21"/>
      <c r="APF42" s="21"/>
      <c r="APJ42" s="15"/>
      <c r="APP42" s="25"/>
      <c r="APW42" s="21"/>
      <c r="APX42" s="21"/>
      <c r="AQB42" s="15"/>
      <c r="AQH42" s="25"/>
      <c r="AQO42" s="21"/>
      <c r="AQP42" s="21"/>
      <c r="AQT42" s="15"/>
      <c r="AQZ42" s="25"/>
      <c r="ARG42" s="21"/>
      <c r="ARH42" s="21"/>
      <c r="ARL42" s="15"/>
      <c r="ARR42" s="25"/>
      <c r="ARY42" s="21"/>
      <c r="ARZ42" s="21"/>
      <c r="ASD42" s="15"/>
      <c r="ASJ42" s="25"/>
      <c r="ASQ42" s="21"/>
      <c r="ASR42" s="21"/>
      <c r="ASV42" s="15"/>
      <c r="ATB42" s="25"/>
      <c r="ATI42" s="21"/>
      <c r="ATJ42" s="21"/>
      <c r="ATN42" s="15"/>
      <c r="ATT42" s="25"/>
      <c r="AUA42" s="21"/>
      <c r="AUB42" s="21"/>
      <c r="AUF42" s="15"/>
      <c r="AUL42" s="25"/>
      <c r="AUS42" s="21"/>
      <c r="AUT42" s="21"/>
      <c r="AUX42" s="15"/>
      <c r="AVD42" s="25"/>
      <c r="AVK42" s="21"/>
      <c r="AVL42" s="21"/>
      <c r="AVP42" s="15"/>
      <c r="AVV42" s="25"/>
      <c r="AWC42" s="21"/>
      <c r="AWD42" s="21"/>
      <c r="AWH42" s="15"/>
      <c r="AWN42" s="25"/>
      <c r="AWU42" s="21"/>
      <c r="AWV42" s="21"/>
      <c r="AWZ42" s="15"/>
      <c r="AXF42" s="25"/>
      <c r="AXM42" s="21"/>
      <c r="AXN42" s="21"/>
      <c r="AXR42" s="15"/>
      <c r="AXX42" s="25"/>
      <c r="AYE42" s="21"/>
      <c r="AYF42" s="21"/>
      <c r="AYJ42" s="15"/>
      <c r="AYP42" s="25"/>
      <c r="AYW42" s="21"/>
      <c r="AYX42" s="21"/>
      <c r="AZB42" s="15"/>
      <c r="AZH42" s="25"/>
      <c r="AZO42" s="21"/>
      <c r="AZP42" s="21"/>
      <c r="AZT42" s="15"/>
      <c r="AZZ42" s="25"/>
      <c r="BAG42" s="21"/>
      <c r="BAH42" s="21"/>
      <c r="BAL42" s="15"/>
      <c r="BAR42" s="25"/>
      <c r="BAY42" s="21"/>
      <c r="BAZ42" s="21"/>
      <c r="BBD42" s="15"/>
      <c r="BBJ42" s="25"/>
      <c r="BBQ42" s="21"/>
      <c r="BBR42" s="21"/>
      <c r="BBV42" s="15"/>
      <c r="BCB42" s="25"/>
      <c r="BCI42" s="21"/>
      <c r="BCJ42" s="21"/>
      <c r="BCN42" s="15"/>
      <c r="BCT42" s="25"/>
      <c r="BDA42" s="21"/>
      <c r="BDB42" s="21"/>
      <c r="BDF42" s="15"/>
      <c r="BDL42" s="25"/>
      <c r="BDS42" s="21"/>
      <c r="BDT42" s="21"/>
      <c r="BDX42" s="15"/>
      <c r="BED42" s="25"/>
      <c r="BEK42" s="21"/>
      <c r="BEL42" s="21"/>
      <c r="BEP42" s="15"/>
      <c r="BEV42" s="25"/>
      <c r="BFC42" s="21"/>
      <c r="BFD42" s="21"/>
      <c r="BFH42" s="15"/>
      <c r="BFN42" s="25"/>
      <c r="BFU42" s="21"/>
      <c r="BFV42" s="21"/>
      <c r="BFZ42" s="15"/>
      <c r="BGF42" s="25"/>
      <c r="BGM42" s="21"/>
      <c r="BGN42" s="21"/>
      <c r="BGR42" s="15"/>
      <c r="BGX42" s="25"/>
      <c r="BHE42" s="21"/>
      <c r="BHF42" s="21"/>
      <c r="BHJ42" s="15"/>
      <c r="BHP42" s="25"/>
      <c r="BHW42" s="21"/>
      <c r="BHX42" s="21"/>
      <c r="BIB42" s="15"/>
      <c r="BIH42" s="25"/>
      <c r="BIO42" s="21"/>
      <c r="BIP42" s="21"/>
      <c r="BIT42" s="15"/>
      <c r="BIZ42" s="25"/>
      <c r="BJG42" s="21"/>
      <c r="BJH42" s="21"/>
      <c r="BJL42" s="15"/>
      <c r="BJR42" s="25"/>
      <c r="BJY42" s="21"/>
      <c r="BJZ42" s="21"/>
      <c r="BKD42" s="15"/>
      <c r="BKJ42" s="25"/>
      <c r="BKQ42" s="21"/>
      <c r="BKR42" s="21"/>
      <c r="BKV42" s="15"/>
      <c r="BLB42" s="25"/>
      <c r="BLI42" s="21"/>
      <c r="BLJ42" s="21"/>
      <c r="BLN42" s="15"/>
      <c r="BLT42" s="25"/>
      <c r="BMA42" s="21"/>
      <c r="BMB42" s="21"/>
      <c r="BMF42" s="15"/>
      <c r="BML42" s="25"/>
      <c r="BMS42" s="21"/>
      <c r="BMT42" s="21"/>
      <c r="BMX42" s="15"/>
      <c r="BND42" s="25"/>
      <c r="BNK42" s="21"/>
      <c r="BNL42" s="21"/>
      <c r="BNP42" s="15"/>
      <c r="BNV42" s="25"/>
      <c r="BOC42" s="21"/>
      <c r="BOD42" s="21"/>
      <c r="BOH42" s="15"/>
      <c r="BON42" s="25"/>
      <c r="BOU42" s="21"/>
      <c r="BOV42" s="21"/>
      <c r="BOZ42" s="15"/>
      <c r="BPF42" s="25"/>
      <c r="BPM42" s="21"/>
      <c r="BPN42" s="21"/>
      <c r="BPR42" s="15"/>
      <c r="BPX42" s="25"/>
      <c r="BQE42" s="21"/>
      <c r="BQF42" s="21"/>
      <c r="BQJ42" s="15"/>
      <c r="BQP42" s="25"/>
      <c r="BQW42" s="21"/>
      <c r="BQX42" s="21"/>
      <c r="BRB42" s="15"/>
      <c r="BRH42" s="25"/>
      <c r="BRO42" s="21"/>
      <c r="BRP42" s="21"/>
      <c r="BRT42" s="15"/>
      <c r="BRZ42" s="25"/>
      <c r="BSG42" s="21"/>
      <c r="BSH42" s="21"/>
      <c r="BSL42" s="15"/>
      <c r="BSR42" s="25"/>
      <c r="BSY42" s="21"/>
      <c r="BSZ42" s="21"/>
      <c r="BTD42" s="15"/>
      <c r="BTJ42" s="25"/>
      <c r="BTQ42" s="21"/>
      <c r="BTR42" s="21"/>
      <c r="BTV42" s="15"/>
      <c r="BUB42" s="25"/>
      <c r="BUI42" s="21"/>
      <c r="BUJ42" s="21"/>
      <c r="BUN42" s="15"/>
      <c r="BUT42" s="25"/>
      <c r="BVA42" s="21"/>
      <c r="BVB42" s="21"/>
      <c r="BVF42" s="15"/>
      <c r="BVL42" s="25"/>
      <c r="BVS42" s="21"/>
      <c r="BVT42" s="21"/>
      <c r="BVX42" s="15"/>
      <c r="BWD42" s="25"/>
      <c r="BWK42" s="21"/>
      <c r="BWL42" s="21"/>
      <c r="BWP42" s="15"/>
      <c r="BWV42" s="25"/>
      <c r="BXC42" s="21"/>
      <c r="BXD42" s="21"/>
      <c r="BXH42" s="15"/>
      <c r="BXN42" s="25"/>
      <c r="BXU42" s="21"/>
      <c r="BXV42" s="21"/>
      <c r="BXZ42" s="15"/>
      <c r="BYF42" s="25"/>
      <c r="BYM42" s="21"/>
      <c r="BYN42" s="21"/>
      <c r="BYR42" s="15"/>
      <c r="BYX42" s="25"/>
      <c r="BZE42" s="21"/>
      <c r="BZF42" s="21"/>
      <c r="BZJ42" s="15"/>
      <c r="BZP42" s="25"/>
      <c r="BZW42" s="21"/>
      <c r="BZX42" s="21"/>
      <c r="CAB42" s="15"/>
      <c r="CAH42" s="25"/>
      <c r="CAO42" s="21"/>
      <c r="CAP42" s="21"/>
      <c r="CAT42" s="15"/>
      <c r="CAZ42" s="25"/>
      <c r="CBG42" s="21"/>
      <c r="CBH42" s="21"/>
      <c r="CBL42" s="15"/>
      <c r="CBR42" s="25"/>
      <c r="CBY42" s="21"/>
      <c r="CBZ42" s="21"/>
      <c r="CCD42" s="15"/>
      <c r="CCJ42" s="25"/>
      <c r="CCQ42" s="21"/>
      <c r="CCR42" s="21"/>
      <c r="CCV42" s="15"/>
      <c r="CDB42" s="25"/>
      <c r="CDI42" s="21"/>
      <c r="CDJ42" s="21"/>
      <c r="CDN42" s="15"/>
      <c r="CDT42" s="25"/>
      <c r="CEA42" s="21"/>
      <c r="CEB42" s="21"/>
      <c r="CEF42" s="15"/>
      <c r="CEL42" s="25"/>
      <c r="CES42" s="21"/>
      <c r="CET42" s="21"/>
      <c r="CEX42" s="15"/>
      <c r="CFD42" s="25"/>
      <c r="CFK42" s="21"/>
      <c r="CFL42" s="21"/>
      <c r="CFP42" s="15"/>
      <c r="CFV42" s="25"/>
      <c r="CGC42" s="21"/>
      <c r="CGD42" s="21"/>
      <c r="CGH42" s="15"/>
      <c r="CGN42" s="25"/>
      <c r="CGU42" s="21"/>
      <c r="CGV42" s="21"/>
      <c r="CGZ42" s="15"/>
      <c r="CHF42" s="25"/>
      <c r="CHM42" s="21"/>
      <c r="CHN42" s="21"/>
      <c r="CHR42" s="15"/>
      <c r="CHX42" s="25"/>
      <c r="CIE42" s="21"/>
      <c r="CIF42" s="21"/>
      <c r="CIJ42" s="15"/>
      <c r="CIP42" s="25"/>
      <c r="CIW42" s="21"/>
      <c r="CIX42" s="21"/>
      <c r="CJB42" s="15"/>
      <c r="CJH42" s="25"/>
      <c r="CJO42" s="21"/>
      <c r="CJP42" s="21"/>
      <c r="CJT42" s="15"/>
      <c r="CJZ42" s="25"/>
      <c r="CKG42" s="21"/>
      <c r="CKH42" s="21"/>
      <c r="CKL42" s="15"/>
      <c r="CKR42" s="25"/>
      <c r="CKY42" s="21"/>
      <c r="CKZ42" s="21"/>
      <c r="CLD42" s="15"/>
      <c r="CLJ42" s="25"/>
      <c r="CLQ42" s="21"/>
      <c r="CLR42" s="21"/>
      <c r="CLV42" s="15"/>
      <c r="CMB42" s="25"/>
      <c r="CMI42" s="21"/>
      <c r="CMJ42" s="21"/>
      <c r="CMN42" s="15"/>
      <c r="CMT42" s="25"/>
      <c r="CNA42" s="21"/>
      <c r="CNB42" s="21"/>
      <c r="CNF42" s="15"/>
      <c r="CNL42" s="25"/>
      <c r="CNS42" s="21"/>
      <c r="CNT42" s="21"/>
      <c r="CNX42" s="15"/>
      <c r="COD42" s="25"/>
      <c r="COK42" s="21"/>
      <c r="COL42" s="21"/>
      <c r="COP42" s="15"/>
      <c r="COV42" s="25"/>
      <c r="CPC42" s="21"/>
      <c r="CPD42" s="21"/>
      <c r="CPH42" s="15"/>
      <c r="CPN42" s="25"/>
      <c r="CPU42" s="21"/>
      <c r="CPV42" s="21"/>
      <c r="CPZ42" s="15"/>
      <c r="CQF42" s="25"/>
      <c r="CQM42" s="21"/>
      <c r="CQN42" s="21"/>
      <c r="CQR42" s="15"/>
      <c r="CQX42" s="25"/>
      <c r="CRE42" s="21"/>
      <c r="CRF42" s="21"/>
      <c r="CRJ42" s="15"/>
      <c r="CRP42" s="25"/>
      <c r="CRW42" s="21"/>
      <c r="CRX42" s="21"/>
      <c r="CSB42" s="15"/>
      <c r="CSH42" s="25"/>
      <c r="CSO42" s="21"/>
      <c r="CSP42" s="21"/>
      <c r="CST42" s="15"/>
      <c r="CSZ42" s="25"/>
      <c r="CTG42" s="21"/>
      <c r="CTH42" s="21"/>
      <c r="CTL42" s="15"/>
      <c r="CTR42" s="25"/>
      <c r="CTY42" s="21"/>
      <c r="CTZ42" s="21"/>
      <c r="CUD42" s="15"/>
      <c r="CUJ42" s="25"/>
      <c r="CUQ42" s="21"/>
      <c r="CUR42" s="21"/>
      <c r="CUV42" s="15"/>
      <c r="CVB42" s="25"/>
      <c r="CVI42" s="21"/>
      <c r="CVJ42" s="21"/>
      <c r="CVN42" s="15"/>
      <c r="CVT42" s="25"/>
      <c r="CWA42" s="21"/>
      <c r="CWB42" s="21"/>
      <c r="CWF42" s="15"/>
      <c r="CWL42" s="25"/>
      <c r="CWS42" s="21"/>
      <c r="CWT42" s="21"/>
      <c r="CWX42" s="15"/>
      <c r="CXD42" s="25"/>
      <c r="CXK42" s="21"/>
      <c r="CXL42" s="21"/>
      <c r="CXP42" s="15"/>
      <c r="CXV42" s="25"/>
      <c r="CYC42" s="21"/>
      <c r="CYD42" s="21"/>
      <c r="CYH42" s="15"/>
      <c r="CYN42" s="25"/>
      <c r="CYU42" s="21"/>
      <c r="CYV42" s="21"/>
      <c r="CYZ42" s="15"/>
      <c r="CZF42" s="25"/>
      <c r="CZM42" s="21"/>
      <c r="CZN42" s="21"/>
      <c r="CZR42" s="15"/>
      <c r="CZX42" s="25"/>
      <c r="DAE42" s="21"/>
      <c r="DAF42" s="21"/>
      <c r="DAJ42" s="15"/>
      <c r="DAP42" s="25"/>
      <c r="DAW42" s="21"/>
      <c r="DAX42" s="21"/>
      <c r="DBB42" s="15"/>
      <c r="DBH42" s="25"/>
      <c r="DBO42" s="21"/>
      <c r="DBP42" s="21"/>
      <c r="DBT42" s="15"/>
      <c r="DBZ42" s="25"/>
      <c r="DCG42" s="21"/>
      <c r="DCH42" s="21"/>
      <c r="DCL42" s="15"/>
      <c r="DCR42" s="25"/>
      <c r="DCY42" s="21"/>
      <c r="DCZ42" s="21"/>
      <c r="DDD42" s="15"/>
      <c r="DDJ42" s="25"/>
      <c r="DDQ42" s="21"/>
      <c r="DDR42" s="21"/>
      <c r="DDV42" s="15"/>
      <c r="DEB42" s="25"/>
      <c r="DEI42" s="21"/>
      <c r="DEJ42" s="21"/>
      <c r="DEN42" s="15"/>
      <c r="DET42" s="25"/>
      <c r="DFA42" s="21"/>
      <c r="DFB42" s="21"/>
      <c r="DFF42" s="15"/>
      <c r="DFL42" s="25"/>
      <c r="DFS42" s="21"/>
      <c r="DFT42" s="21"/>
      <c r="DFX42" s="15"/>
      <c r="DGD42" s="25"/>
      <c r="DGK42" s="21"/>
      <c r="DGL42" s="21"/>
      <c r="DGP42" s="15"/>
      <c r="DGV42" s="25"/>
      <c r="DHC42" s="21"/>
      <c r="DHD42" s="21"/>
      <c r="DHH42" s="15"/>
      <c r="DHN42" s="25"/>
      <c r="DHU42" s="21"/>
      <c r="DHV42" s="21"/>
      <c r="DHZ42" s="15"/>
      <c r="DIF42" s="25"/>
      <c r="DIM42" s="21"/>
      <c r="DIN42" s="21"/>
      <c r="DIR42" s="15"/>
      <c r="DIX42" s="25"/>
      <c r="DJE42" s="21"/>
      <c r="DJF42" s="21"/>
      <c r="DJJ42" s="15"/>
      <c r="DJP42" s="25"/>
      <c r="DJW42" s="21"/>
      <c r="DJX42" s="21"/>
      <c r="DKB42" s="15"/>
      <c r="DKH42" s="25"/>
      <c r="DKO42" s="21"/>
      <c r="DKP42" s="21"/>
      <c r="DKT42" s="15"/>
      <c r="DKZ42" s="25"/>
      <c r="DLG42" s="21"/>
      <c r="DLH42" s="21"/>
      <c r="DLL42" s="15"/>
      <c r="DLR42" s="25"/>
      <c r="DLY42" s="21"/>
      <c r="DLZ42" s="21"/>
      <c r="DMD42" s="15"/>
      <c r="DMJ42" s="25"/>
      <c r="DMQ42" s="21"/>
      <c r="DMR42" s="21"/>
      <c r="DMV42" s="15"/>
      <c r="DNB42" s="25"/>
      <c r="DNI42" s="21"/>
      <c r="DNJ42" s="21"/>
      <c r="DNN42" s="15"/>
      <c r="DNT42" s="25"/>
      <c r="DOA42" s="21"/>
      <c r="DOB42" s="21"/>
      <c r="DOF42" s="15"/>
      <c r="DOL42" s="25"/>
      <c r="DOS42" s="21"/>
      <c r="DOT42" s="21"/>
      <c r="DOX42" s="15"/>
      <c r="DPD42" s="25"/>
      <c r="DPK42" s="21"/>
      <c r="DPL42" s="21"/>
      <c r="DPP42" s="15"/>
      <c r="DPV42" s="25"/>
      <c r="DQC42" s="21"/>
      <c r="DQD42" s="21"/>
      <c r="DQH42" s="15"/>
      <c r="DQN42" s="25"/>
      <c r="DQU42" s="21"/>
      <c r="DQV42" s="21"/>
      <c r="DQZ42" s="15"/>
      <c r="DRF42" s="25"/>
      <c r="DRM42" s="21"/>
      <c r="DRN42" s="21"/>
      <c r="DRR42" s="15"/>
      <c r="DRX42" s="25"/>
      <c r="DSE42" s="21"/>
      <c r="DSF42" s="21"/>
      <c r="DSJ42" s="15"/>
      <c r="DSP42" s="25"/>
      <c r="DSW42" s="21"/>
      <c r="DSX42" s="21"/>
      <c r="DTB42" s="15"/>
      <c r="DTH42" s="25"/>
      <c r="DTO42" s="21"/>
      <c r="DTP42" s="21"/>
      <c r="DTT42" s="15"/>
      <c r="DTZ42" s="25"/>
      <c r="DUG42" s="21"/>
      <c r="DUH42" s="21"/>
      <c r="DUL42" s="15"/>
      <c r="DUR42" s="25"/>
      <c r="DUY42" s="21"/>
      <c r="DUZ42" s="21"/>
      <c r="DVD42" s="15"/>
      <c r="DVJ42" s="25"/>
      <c r="DVQ42" s="21"/>
      <c r="DVR42" s="21"/>
      <c r="DVV42" s="15"/>
      <c r="DWB42" s="25"/>
      <c r="DWI42" s="21"/>
      <c r="DWJ42" s="21"/>
      <c r="DWN42" s="15"/>
      <c r="DWT42" s="25"/>
      <c r="DXA42" s="21"/>
      <c r="DXB42" s="21"/>
      <c r="DXF42" s="15"/>
      <c r="DXL42" s="25"/>
      <c r="DXS42" s="21"/>
      <c r="DXT42" s="21"/>
      <c r="DXX42" s="15"/>
      <c r="DYD42" s="25"/>
      <c r="DYK42" s="21"/>
      <c r="DYL42" s="21"/>
      <c r="DYP42" s="15"/>
      <c r="DYV42" s="25"/>
      <c r="DZC42" s="21"/>
      <c r="DZD42" s="21"/>
      <c r="DZH42" s="15"/>
      <c r="DZN42" s="25"/>
      <c r="DZU42" s="21"/>
      <c r="DZV42" s="21"/>
      <c r="DZZ42" s="15"/>
      <c r="EAF42" s="25"/>
      <c r="EAM42" s="21"/>
      <c r="EAN42" s="21"/>
      <c r="EAR42" s="15"/>
      <c r="EAX42" s="25"/>
      <c r="EBE42" s="21"/>
      <c r="EBF42" s="21"/>
      <c r="EBJ42" s="15"/>
      <c r="EBP42" s="25"/>
      <c r="EBW42" s="21"/>
      <c r="EBX42" s="21"/>
      <c r="ECB42" s="15"/>
      <c r="ECH42" s="25"/>
      <c r="ECO42" s="21"/>
      <c r="ECP42" s="21"/>
      <c r="ECT42" s="15"/>
      <c r="ECZ42" s="25"/>
      <c r="EDG42" s="21"/>
      <c r="EDH42" s="21"/>
      <c r="EDL42" s="15"/>
      <c r="EDR42" s="25"/>
      <c r="EDY42" s="21"/>
      <c r="EDZ42" s="21"/>
      <c r="EED42" s="15"/>
      <c r="EEJ42" s="25"/>
      <c r="EEQ42" s="21"/>
      <c r="EER42" s="21"/>
      <c r="EEV42" s="15"/>
      <c r="EFB42" s="25"/>
      <c r="EFI42" s="21"/>
      <c r="EFJ42" s="21"/>
      <c r="EFN42" s="15"/>
      <c r="EFT42" s="25"/>
      <c r="EGA42" s="21"/>
      <c r="EGB42" s="21"/>
      <c r="EGF42" s="15"/>
      <c r="EGL42" s="25"/>
      <c r="EGS42" s="21"/>
      <c r="EGT42" s="21"/>
      <c r="EGX42" s="15"/>
      <c r="EHD42" s="25"/>
      <c r="EHK42" s="21"/>
      <c r="EHL42" s="21"/>
      <c r="EHP42" s="15"/>
      <c r="EHV42" s="25"/>
      <c r="EIC42" s="21"/>
      <c r="EID42" s="21"/>
      <c r="EIH42" s="15"/>
      <c r="EIN42" s="25"/>
      <c r="EIU42" s="21"/>
      <c r="EIV42" s="21"/>
      <c r="EIZ42" s="15"/>
      <c r="EJF42" s="25"/>
      <c r="EJM42" s="21"/>
      <c r="EJN42" s="21"/>
      <c r="EJR42" s="15"/>
      <c r="EJX42" s="25"/>
      <c r="EKE42" s="21"/>
      <c r="EKF42" s="21"/>
      <c r="EKJ42" s="15"/>
      <c r="EKP42" s="25"/>
      <c r="EKW42" s="21"/>
      <c r="EKX42" s="21"/>
      <c r="ELB42" s="15"/>
      <c r="ELH42" s="25"/>
      <c r="ELO42" s="21"/>
      <c r="ELP42" s="21"/>
      <c r="ELT42" s="15"/>
      <c r="ELZ42" s="25"/>
      <c r="EMG42" s="21"/>
      <c r="EMH42" s="21"/>
      <c r="EML42" s="15"/>
      <c r="EMR42" s="25"/>
      <c r="EMY42" s="21"/>
      <c r="EMZ42" s="21"/>
      <c r="END42" s="15"/>
      <c r="ENJ42" s="25"/>
      <c r="ENQ42" s="21"/>
      <c r="ENR42" s="21"/>
      <c r="ENV42" s="15"/>
      <c r="EOB42" s="25"/>
      <c r="EOI42" s="21"/>
      <c r="EOJ42" s="21"/>
      <c r="EON42" s="15"/>
      <c r="EOT42" s="25"/>
      <c r="EPA42" s="21"/>
      <c r="EPB42" s="21"/>
      <c r="EPF42" s="15"/>
      <c r="EPL42" s="25"/>
      <c r="EPS42" s="21"/>
      <c r="EPT42" s="21"/>
      <c r="EPX42" s="15"/>
      <c r="EQD42" s="25"/>
      <c r="EQK42" s="21"/>
      <c r="EQL42" s="21"/>
      <c r="EQP42" s="15"/>
      <c r="EQV42" s="25"/>
      <c r="ERC42" s="21"/>
      <c r="ERD42" s="21"/>
      <c r="ERH42" s="15"/>
      <c r="ERN42" s="25"/>
      <c r="ERU42" s="21"/>
      <c r="ERV42" s="21"/>
      <c r="ERZ42" s="15"/>
      <c r="ESF42" s="25"/>
      <c r="ESM42" s="21"/>
      <c r="ESN42" s="21"/>
      <c r="ESR42" s="15"/>
      <c r="ESX42" s="25"/>
      <c r="ETE42" s="21"/>
      <c r="ETF42" s="21"/>
      <c r="ETJ42" s="15"/>
      <c r="ETP42" s="25"/>
      <c r="ETW42" s="21"/>
      <c r="ETX42" s="21"/>
      <c r="EUB42" s="15"/>
      <c r="EUH42" s="25"/>
      <c r="EUO42" s="21"/>
      <c r="EUP42" s="21"/>
      <c r="EUT42" s="15"/>
      <c r="EUZ42" s="25"/>
      <c r="EVG42" s="21"/>
      <c r="EVH42" s="21"/>
      <c r="EVL42" s="15"/>
      <c r="EVR42" s="25"/>
      <c r="EVY42" s="21"/>
      <c r="EVZ42" s="21"/>
      <c r="EWD42" s="15"/>
      <c r="EWJ42" s="25"/>
      <c r="EWQ42" s="21"/>
      <c r="EWR42" s="21"/>
      <c r="EWV42" s="15"/>
      <c r="EXB42" s="25"/>
      <c r="EXI42" s="21"/>
      <c r="EXJ42" s="21"/>
      <c r="EXN42" s="15"/>
      <c r="EXT42" s="25"/>
      <c r="EYA42" s="21"/>
      <c r="EYB42" s="21"/>
      <c r="EYF42" s="15"/>
      <c r="EYL42" s="25"/>
      <c r="EYS42" s="21"/>
      <c r="EYT42" s="21"/>
      <c r="EYX42" s="15"/>
      <c r="EZD42" s="25"/>
      <c r="EZK42" s="21"/>
      <c r="EZL42" s="21"/>
      <c r="EZP42" s="15"/>
      <c r="EZV42" s="25"/>
      <c r="FAC42" s="21"/>
      <c r="FAD42" s="21"/>
      <c r="FAH42" s="15"/>
      <c r="FAN42" s="25"/>
      <c r="FAU42" s="21"/>
      <c r="FAV42" s="21"/>
      <c r="FAZ42" s="15"/>
      <c r="FBF42" s="25"/>
      <c r="FBM42" s="21"/>
      <c r="FBN42" s="21"/>
      <c r="FBR42" s="15"/>
      <c r="FBX42" s="25"/>
      <c r="FCE42" s="21"/>
      <c r="FCF42" s="21"/>
      <c r="FCJ42" s="15"/>
      <c r="FCP42" s="25"/>
      <c r="FCW42" s="21"/>
      <c r="FCX42" s="21"/>
      <c r="FDB42" s="15"/>
      <c r="FDH42" s="25"/>
      <c r="FDO42" s="21"/>
      <c r="FDP42" s="21"/>
      <c r="FDT42" s="15"/>
      <c r="FDZ42" s="25"/>
      <c r="FEG42" s="21"/>
      <c r="FEH42" s="21"/>
      <c r="FEL42" s="15"/>
      <c r="FER42" s="25"/>
      <c r="FEY42" s="21"/>
      <c r="FEZ42" s="21"/>
      <c r="FFD42" s="15"/>
      <c r="FFJ42" s="25"/>
      <c r="FFQ42" s="21"/>
      <c r="FFR42" s="21"/>
      <c r="FFV42" s="15"/>
      <c r="FGB42" s="25"/>
      <c r="FGI42" s="21"/>
      <c r="FGJ42" s="21"/>
      <c r="FGN42" s="15"/>
      <c r="FGT42" s="25"/>
      <c r="FHA42" s="21"/>
      <c r="FHB42" s="21"/>
      <c r="FHF42" s="15"/>
      <c r="FHL42" s="25"/>
      <c r="FHS42" s="21"/>
      <c r="FHT42" s="21"/>
      <c r="FHX42" s="15"/>
      <c r="FID42" s="25"/>
      <c r="FIK42" s="21"/>
      <c r="FIL42" s="21"/>
      <c r="FIP42" s="15"/>
      <c r="FIV42" s="25"/>
      <c r="FJC42" s="21"/>
      <c r="FJD42" s="21"/>
      <c r="FJH42" s="15"/>
      <c r="FJN42" s="25"/>
      <c r="FJU42" s="21"/>
      <c r="FJV42" s="21"/>
      <c r="FJZ42" s="15"/>
      <c r="FKF42" s="25"/>
      <c r="FKM42" s="21"/>
      <c r="FKN42" s="21"/>
      <c r="FKR42" s="15"/>
      <c r="FKX42" s="25"/>
      <c r="FLE42" s="21"/>
      <c r="FLF42" s="21"/>
      <c r="FLJ42" s="15"/>
      <c r="FLP42" s="25"/>
      <c r="FLW42" s="21"/>
      <c r="FLX42" s="21"/>
      <c r="FMB42" s="15"/>
      <c r="FMH42" s="25"/>
      <c r="FMO42" s="21"/>
      <c r="FMP42" s="21"/>
      <c r="FMT42" s="15"/>
      <c r="FMZ42" s="25"/>
      <c r="FNG42" s="21"/>
      <c r="FNH42" s="21"/>
      <c r="FNL42" s="15"/>
      <c r="FNR42" s="25"/>
      <c r="FNY42" s="21"/>
      <c r="FNZ42" s="21"/>
      <c r="FOD42" s="15"/>
      <c r="FOJ42" s="25"/>
      <c r="FOQ42" s="21"/>
      <c r="FOR42" s="21"/>
      <c r="FOV42" s="15"/>
      <c r="FPB42" s="25"/>
      <c r="FPI42" s="21"/>
      <c r="FPJ42" s="21"/>
      <c r="FPN42" s="15"/>
      <c r="FPT42" s="25"/>
      <c r="FQA42" s="21"/>
      <c r="FQB42" s="21"/>
      <c r="FQF42" s="15"/>
      <c r="FQL42" s="25"/>
      <c r="FQS42" s="21"/>
      <c r="FQT42" s="21"/>
      <c r="FQX42" s="15"/>
      <c r="FRD42" s="25"/>
      <c r="FRK42" s="21"/>
      <c r="FRL42" s="21"/>
      <c r="FRP42" s="15"/>
      <c r="FRV42" s="25"/>
      <c r="FSC42" s="21"/>
      <c r="FSD42" s="21"/>
      <c r="FSH42" s="15"/>
      <c r="FSN42" s="25"/>
      <c r="FSU42" s="21"/>
      <c r="FSV42" s="21"/>
      <c r="FSZ42" s="15"/>
      <c r="FTF42" s="25"/>
      <c r="FTM42" s="21"/>
      <c r="FTN42" s="21"/>
      <c r="FTR42" s="15"/>
      <c r="FTX42" s="25"/>
      <c r="FUE42" s="21"/>
      <c r="FUF42" s="21"/>
      <c r="FUJ42" s="15"/>
      <c r="FUP42" s="25"/>
      <c r="FUW42" s="21"/>
      <c r="FUX42" s="21"/>
      <c r="FVB42" s="15"/>
      <c r="FVH42" s="25"/>
      <c r="FVO42" s="21"/>
      <c r="FVP42" s="21"/>
      <c r="FVT42" s="15"/>
      <c r="FVZ42" s="25"/>
      <c r="FWG42" s="21"/>
      <c r="FWH42" s="21"/>
      <c r="FWL42" s="15"/>
      <c r="FWR42" s="25"/>
      <c r="FWY42" s="21"/>
      <c r="FWZ42" s="21"/>
      <c r="FXD42" s="15"/>
      <c r="FXJ42" s="25"/>
      <c r="FXQ42" s="21"/>
      <c r="FXR42" s="21"/>
      <c r="FXV42" s="15"/>
      <c r="FYB42" s="25"/>
      <c r="FYI42" s="21"/>
      <c r="FYJ42" s="21"/>
      <c r="FYN42" s="15"/>
      <c r="FYT42" s="25"/>
      <c r="FZA42" s="21"/>
      <c r="FZB42" s="21"/>
      <c r="FZF42" s="15"/>
      <c r="FZL42" s="25"/>
      <c r="FZS42" s="21"/>
      <c r="FZT42" s="21"/>
      <c r="FZX42" s="15"/>
      <c r="GAD42" s="25"/>
      <c r="GAK42" s="21"/>
      <c r="GAL42" s="21"/>
      <c r="GAP42" s="15"/>
      <c r="GAV42" s="25"/>
      <c r="GBC42" s="21"/>
      <c r="GBD42" s="21"/>
      <c r="GBH42" s="15"/>
      <c r="GBN42" s="25"/>
      <c r="GBU42" s="21"/>
      <c r="GBV42" s="21"/>
      <c r="GBZ42" s="15"/>
      <c r="GCF42" s="25"/>
      <c r="GCM42" s="21"/>
      <c r="GCN42" s="21"/>
      <c r="GCR42" s="15"/>
      <c r="GCX42" s="25"/>
      <c r="GDE42" s="21"/>
      <c r="GDF42" s="21"/>
      <c r="GDJ42" s="15"/>
      <c r="GDP42" s="25"/>
      <c r="GDW42" s="21"/>
      <c r="GDX42" s="21"/>
      <c r="GEB42" s="15"/>
      <c r="GEH42" s="25"/>
      <c r="GEO42" s="21"/>
      <c r="GEP42" s="21"/>
      <c r="GET42" s="15"/>
      <c r="GEZ42" s="25"/>
      <c r="GFG42" s="21"/>
      <c r="GFH42" s="21"/>
      <c r="GFL42" s="15"/>
      <c r="GFR42" s="25"/>
      <c r="GFY42" s="21"/>
      <c r="GFZ42" s="21"/>
      <c r="GGD42" s="15"/>
      <c r="GGJ42" s="25"/>
      <c r="GGQ42" s="21"/>
      <c r="GGR42" s="21"/>
      <c r="GGV42" s="15"/>
      <c r="GHB42" s="25"/>
      <c r="GHI42" s="21"/>
      <c r="GHJ42" s="21"/>
      <c r="GHN42" s="15"/>
      <c r="GHT42" s="25"/>
      <c r="GIA42" s="21"/>
      <c r="GIB42" s="21"/>
      <c r="GIF42" s="15"/>
      <c r="GIL42" s="25"/>
      <c r="GIS42" s="21"/>
      <c r="GIT42" s="21"/>
      <c r="GIX42" s="15"/>
      <c r="GJD42" s="25"/>
      <c r="GJK42" s="21"/>
      <c r="GJL42" s="21"/>
      <c r="GJP42" s="15"/>
      <c r="GJV42" s="25"/>
      <c r="GKC42" s="21"/>
      <c r="GKD42" s="21"/>
      <c r="GKH42" s="15"/>
      <c r="GKN42" s="25"/>
      <c r="GKU42" s="21"/>
      <c r="GKV42" s="21"/>
      <c r="GKZ42" s="15"/>
      <c r="GLF42" s="25"/>
      <c r="GLM42" s="21"/>
      <c r="GLN42" s="21"/>
      <c r="GLR42" s="15"/>
      <c r="GLX42" s="25"/>
      <c r="GME42" s="21"/>
      <c r="GMF42" s="21"/>
      <c r="GMJ42" s="15"/>
      <c r="GMP42" s="25"/>
      <c r="GMW42" s="21"/>
      <c r="GMX42" s="21"/>
      <c r="GNB42" s="15"/>
      <c r="GNH42" s="25"/>
      <c r="GNO42" s="21"/>
      <c r="GNP42" s="21"/>
      <c r="GNT42" s="15"/>
      <c r="GNZ42" s="25"/>
      <c r="GOG42" s="21"/>
      <c r="GOH42" s="21"/>
      <c r="GOL42" s="15"/>
      <c r="GOR42" s="25"/>
      <c r="GOY42" s="21"/>
      <c r="GOZ42" s="21"/>
      <c r="GPD42" s="15"/>
      <c r="GPJ42" s="25"/>
      <c r="GPQ42" s="21"/>
      <c r="GPR42" s="21"/>
      <c r="GPV42" s="15"/>
      <c r="GQB42" s="25"/>
      <c r="GQI42" s="21"/>
      <c r="GQJ42" s="21"/>
      <c r="GQN42" s="15"/>
      <c r="GQT42" s="25"/>
      <c r="GRA42" s="21"/>
      <c r="GRB42" s="21"/>
      <c r="GRF42" s="15"/>
      <c r="GRL42" s="25"/>
      <c r="GRS42" s="21"/>
      <c r="GRT42" s="21"/>
      <c r="GRX42" s="15"/>
      <c r="GSD42" s="25"/>
      <c r="GSK42" s="21"/>
      <c r="GSL42" s="21"/>
      <c r="GSP42" s="15"/>
      <c r="GSV42" s="25"/>
      <c r="GTC42" s="21"/>
      <c r="GTD42" s="21"/>
      <c r="GTH42" s="15"/>
      <c r="GTN42" s="25"/>
      <c r="GTU42" s="21"/>
      <c r="GTV42" s="21"/>
      <c r="GTZ42" s="15"/>
      <c r="GUF42" s="25"/>
      <c r="GUM42" s="21"/>
      <c r="GUN42" s="21"/>
      <c r="GUR42" s="15"/>
      <c r="GUX42" s="25"/>
      <c r="GVE42" s="21"/>
      <c r="GVF42" s="21"/>
      <c r="GVJ42" s="15"/>
      <c r="GVP42" s="25"/>
      <c r="GVW42" s="21"/>
      <c r="GVX42" s="21"/>
      <c r="GWB42" s="15"/>
      <c r="GWH42" s="25"/>
      <c r="GWO42" s="21"/>
      <c r="GWP42" s="21"/>
      <c r="GWT42" s="15"/>
      <c r="GWZ42" s="25"/>
      <c r="GXG42" s="21"/>
      <c r="GXH42" s="21"/>
      <c r="GXL42" s="15"/>
      <c r="GXR42" s="25"/>
      <c r="GXY42" s="21"/>
      <c r="GXZ42" s="21"/>
      <c r="GYD42" s="15"/>
      <c r="GYJ42" s="25"/>
      <c r="GYQ42" s="21"/>
      <c r="GYR42" s="21"/>
      <c r="GYV42" s="15"/>
      <c r="GZB42" s="25"/>
      <c r="GZI42" s="21"/>
      <c r="GZJ42" s="21"/>
      <c r="GZN42" s="15"/>
      <c r="GZT42" s="25"/>
      <c r="HAA42" s="21"/>
      <c r="HAB42" s="21"/>
      <c r="HAF42" s="15"/>
      <c r="HAL42" s="25"/>
      <c r="HAS42" s="21"/>
      <c r="HAT42" s="21"/>
      <c r="HAX42" s="15"/>
      <c r="HBD42" s="25"/>
      <c r="HBK42" s="21"/>
      <c r="HBL42" s="21"/>
      <c r="HBP42" s="15"/>
      <c r="HBV42" s="25"/>
      <c r="HCC42" s="21"/>
      <c r="HCD42" s="21"/>
      <c r="HCH42" s="15"/>
      <c r="HCN42" s="25"/>
      <c r="HCU42" s="21"/>
      <c r="HCV42" s="21"/>
      <c r="HCZ42" s="15"/>
      <c r="HDF42" s="25"/>
      <c r="HDM42" s="21"/>
      <c r="HDN42" s="21"/>
      <c r="HDR42" s="15"/>
      <c r="HDX42" s="25"/>
      <c r="HEE42" s="21"/>
      <c r="HEF42" s="21"/>
      <c r="HEJ42" s="15"/>
      <c r="HEP42" s="25"/>
      <c r="HEW42" s="21"/>
      <c r="HEX42" s="21"/>
      <c r="HFB42" s="15"/>
      <c r="HFH42" s="25"/>
      <c r="HFO42" s="21"/>
      <c r="HFP42" s="21"/>
      <c r="HFT42" s="15"/>
      <c r="HFZ42" s="25"/>
      <c r="HGG42" s="21"/>
      <c r="HGH42" s="21"/>
      <c r="HGL42" s="15"/>
      <c r="HGR42" s="25"/>
      <c r="HGY42" s="21"/>
      <c r="HGZ42" s="21"/>
      <c r="HHD42" s="15"/>
      <c r="HHJ42" s="25"/>
      <c r="HHQ42" s="21"/>
      <c r="HHR42" s="21"/>
      <c r="HHV42" s="15"/>
      <c r="HIB42" s="25"/>
      <c r="HII42" s="21"/>
      <c r="HIJ42" s="21"/>
      <c r="HIN42" s="15"/>
      <c r="HIT42" s="25"/>
      <c r="HJA42" s="21"/>
      <c r="HJB42" s="21"/>
      <c r="HJF42" s="15"/>
      <c r="HJL42" s="25"/>
      <c r="HJS42" s="21"/>
      <c r="HJT42" s="21"/>
      <c r="HJX42" s="15"/>
      <c r="HKD42" s="25"/>
      <c r="HKK42" s="21"/>
      <c r="HKL42" s="21"/>
      <c r="HKP42" s="15"/>
      <c r="HKV42" s="25"/>
      <c r="HLC42" s="21"/>
      <c r="HLD42" s="21"/>
      <c r="HLH42" s="15"/>
      <c r="HLN42" s="25"/>
      <c r="HLU42" s="21"/>
      <c r="HLV42" s="21"/>
      <c r="HLZ42" s="15"/>
      <c r="HMF42" s="25"/>
      <c r="HMM42" s="21"/>
      <c r="HMN42" s="21"/>
      <c r="HMR42" s="15"/>
      <c r="HMX42" s="25"/>
      <c r="HNE42" s="21"/>
      <c r="HNF42" s="21"/>
      <c r="HNJ42" s="15"/>
      <c r="HNP42" s="25"/>
      <c r="HNW42" s="21"/>
      <c r="HNX42" s="21"/>
      <c r="HOB42" s="15"/>
      <c r="HOH42" s="25"/>
      <c r="HOO42" s="21"/>
      <c r="HOP42" s="21"/>
      <c r="HOT42" s="15"/>
      <c r="HOZ42" s="25"/>
      <c r="HPG42" s="21"/>
      <c r="HPH42" s="21"/>
      <c r="HPL42" s="15"/>
      <c r="HPR42" s="25"/>
      <c r="HPY42" s="21"/>
      <c r="HPZ42" s="21"/>
      <c r="HQD42" s="15"/>
      <c r="HQJ42" s="25"/>
      <c r="HQQ42" s="21"/>
      <c r="HQR42" s="21"/>
      <c r="HQV42" s="15"/>
      <c r="HRB42" s="25"/>
      <c r="HRI42" s="21"/>
      <c r="HRJ42" s="21"/>
      <c r="HRN42" s="15"/>
      <c r="HRT42" s="25"/>
      <c r="HSA42" s="21"/>
      <c r="HSB42" s="21"/>
      <c r="HSF42" s="15"/>
      <c r="HSL42" s="25"/>
      <c r="HSS42" s="21"/>
      <c r="HST42" s="21"/>
      <c r="HSX42" s="15"/>
      <c r="HTD42" s="25"/>
      <c r="HTK42" s="21"/>
      <c r="HTL42" s="21"/>
      <c r="HTP42" s="15"/>
      <c r="HTV42" s="25"/>
      <c r="HUC42" s="21"/>
      <c r="HUD42" s="21"/>
      <c r="HUH42" s="15"/>
      <c r="HUN42" s="25"/>
      <c r="HUU42" s="21"/>
      <c r="HUV42" s="21"/>
      <c r="HUZ42" s="15"/>
      <c r="HVF42" s="25"/>
      <c r="HVM42" s="21"/>
      <c r="HVN42" s="21"/>
      <c r="HVR42" s="15"/>
      <c r="HVX42" s="25"/>
      <c r="HWE42" s="21"/>
      <c r="HWF42" s="21"/>
      <c r="HWJ42" s="15"/>
      <c r="HWP42" s="25"/>
      <c r="HWW42" s="21"/>
      <c r="HWX42" s="21"/>
      <c r="HXB42" s="15"/>
      <c r="HXH42" s="25"/>
      <c r="HXO42" s="21"/>
      <c r="HXP42" s="21"/>
      <c r="HXT42" s="15"/>
      <c r="HXZ42" s="25"/>
      <c r="HYG42" s="21"/>
      <c r="HYH42" s="21"/>
      <c r="HYL42" s="15"/>
      <c r="HYR42" s="25"/>
      <c r="HYY42" s="21"/>
      <c r="HYZ42" s="21"/>
      <c r="HZD42" s="15"/>
      <c r="HZJ42" s="25"/>
      <c r="HZQ42" s="21"/>
      <c r="HZR42" s="21"/>
      <c r="HZV42" s="15"/>
      <c r="IAB42" s="25"/>
      <c r="IAI42" s="21"/>
      <c r="IAJ42" s="21"/>
      <c r="IAN42" s="15"/>
      <c r="IAT42" s="25"/>
      <c r="IBA42" s="21"/>
      <c r="IBB42" s="21"/>
      <c r="IBF42" s="15"/>
      <c r="IBL42" s="25"/>
      <c r="IBS42" s="21"/>
      <c r="IBT42" s="21"/>
      <c r="IBX42" s="15"/>
      <c r="ICD42" s="25"/>
      <c r="ICK42" s="21"/>
      <c r="ICL42" s="21"/>
      <c r="ICP42" s="15"/>
      <c r="ICV42" s="25"/>
      <c r="IDC42" s="21"/>
      <c r="IDD42" s="21"/>
      <c r="IDH42" s="15"/>
      <c r="IDN42" s="25"/>
      <c r="IDU42" s="21"/>
      <c r="IDV42" s="21"/>
      <c r="IDZ42" s="15"/>
      <c r="IEF42" s="25"/>
      <c r="IEM42" s="21"/>
      <c r="IEN42" s="21"/>
      <c r="IER42" s="15"/>
      <c r="IEX42" s="25"/>
      <c r="IFE42" s="21"/>
      <c r="IFF42" s="21"/>
      <c r="IFJ42" s="15"/>
      <c r="IFP42" s="25"/>
      <c r="IFW42" s="21"/>
      <c r="IFX42" s="21"/>
      <c r="IGB42" s="15"/>
      <c r="IGH42" s="25"/>
      <c r="IGO42" s="21"/>
      <c r="IGP42" s="21"/>
      <c r="IGT42" s="15"/>
      <c r="IGZ42" s="25"/>
      <c r="IHG42" s="21"/>
      <c r="IHH42" s="21"/>
      <c r="IHL42" s="15"/>
      <c r="IHR42" s="25"/>
      <c r="IHY42" s="21"/>
      <c r="IHZ42" s="21"/>
      <c r="IID42" s="15"/>
      <c r="IIJ42" s="25"/>
      <c r="IIQ42" s="21"/>
      <c r="IIR42" s="21"/>
      <c r="IIV42" s="15"/>
      <c r="IJB42" s="25"/>
      <c r="IJI42" s="21"/>
      <c r="IJJ42" s="21"/>
      <c r="IJN42" s="15"/>
      <c r="IJT42" s="25"/>
      <c r="IKA42" s="21"/>
      <c r="IKB42" s="21"/>
      <c r="IKF42" s="15"/>
      <c r="IKL42" s="25"/>
      <c r="IKS42" s="21"/>
      <c r="IKT42" s="21"/>
      <c r="IKX42" s="15"/>
      <c r="ILD42" s="25"/>
      <c r="ILK42" s="21"/>
      <c r="ILL42" s="21"/>
      <c r="ILP42" s="15"/>
      <c r="ILV42" s="25"/>
      <c r="IMC42" s="21"/>
      <c r="IMD42" s="21"/>
      <c r="IMH42" s="15"/>
      <c r="IMN42" s="25"/>
      <c r="IMU42" s="21"/>
      <c r="IMV42" s="21"/>
      <c r="IMZ42" s="15"/>
      <c r="INF42" s="25"/>
      <c r="INM42" s="21"/>
      <c r="INN42" s="21"/>
      <c r="INR42" s="15"/>
      <c r="INX42" s="25"/>
      <c r="IOE42" s="21"/>
      <c r="IOF42" s="21"/>
      <c r="IOJ42" s="15"/>
      <c r="IOP42" s="25"/>
      <c r="IOW42" s="21"/>
      <c r="IOX42" s="21"/>
      <c r="IPB42" s="15"/>
      <c r="IPH42" s="25"/>
      <c r="IPO42" s="21"/>
      <c r="IPP42" s="21"/>
      <c r="IPT42" s="15"/>
      <c r="IPZ42" s="25"/>
      <c r="IQG42" s="21"/>
      <c r="IQH42" s="21"/>
      <c r="IQL42" s="15"/>
      <c r="IQR42" s="25"/>
      <c r="IQY42" s="21"/>
      <c r="IQZ42" s="21"/>
      <c r="IRD42" s="15"/>
      <c r="IRJ42" s="25"/>
      <c r="IRQ42" s="21"/>
      <c r="IRR42" s="21"/>
      <c r="IRV42" s="15"/>
      <c r="ISB42" s="25"/>
      <c r="ISI42" s="21"/>
      <c r="ISJ42" s="21"/>
      <c r="ISN42" s="15"/>
      <c r="IST42" s="25"/>
      <c r="ITA42" s="21"/>
      <c r="ITB42" s="21"/>
      <c r="ITF42" s="15"/>
      <c r="ITL42" s="25"/>
      <c r="ITS42" s="21"/>
      <c r="ITT42" s="21"/>
      <c r="ITX42" s="15"/>
      <c r="IUD42" s="25"/>
      <c r="IUK42" s="21"/>
      <c r="IUL42" s="21"/>
      <c r="IUP42" s="15"/>
      <c r="IUV42" s="25"/>
      <c r="IVC42" s="21"/>
      <c r="IVD42" s="21"/>
      <c r="IVH42" s="15"/>
      <c r="IVN42" s="25"/>
      <c r="IVU42" s="21"/>
      <c r="IVV42" s="21"/>
      <c r="IVZ42" s="15"/>
      <c r="IWF42" s="25"/>
      <c r="IWM42" s="21"/>
      <c r="IWN42" s="21"/>
      <c r="IWR42" s="15"/>
      <c r="IWX42" s="25"/>
      <c r="IXE42" s="21"/>
      <c r="IXF42" s="21"/>
      <c r="IXJ42" s="15"/>
      <c r="IXP42" s="25"/>
      <c r="IXW42" s="21"/>
      <c r="IXX42" s="21"/>
      <c r="IYB42" s="15"/>
      <c r="IYH42" s="25"/>
      <c r="IYO42" s="21"/>
      <c r="IYP42" s="21"/>
      <c r="IYT42" s="15"/>
      <c r="IYZ42" s="25"/>
      <c r="IZG42" s="21"/>
      <c r="IZH42" s="21"/>
      <c r="IZL42" s="15"/>
      <c r="IZR42" s="25"/>
      <c r="IZY42" s="21"/>
      <c r="IZZ42" s="21"/>
      <c r="JAD42" s="15"/>
      <c r="JAJ42" s="25"/>
      <c r="JAQ42" s="21"/>
      <c r="JAR42" s="21"/>
      <c r="JAV42" s="15"/>
      <c r="JBB42" s="25"/>
      <c r="JBI42" s="21"/>
      <c r="JBJ42" s="21"/>
      <c r="JBN42" s="15"/>
      <c r="JBT42" s="25"/>
      <c r="JCA42" s="21"/>
      <c r="JCB42" s="21"/>
      <c r="JCF42" s="15"/>
      <c r="JCL42" s="25"/>
      <c r="JCS42" s="21"/>
      <c r="JCT42" s="21"/>
      <c r="JCX42" s="15"/>
      <c r="JDD42" s="25"/>
      <c r="JDK42" s="21"/>
      <c r="JDL42" s="21"/>
      <c r="JDP42" s="15"/>
      <c r="JDV42" s="25"/>
      <c r="JEC42" s="21"/>
      <c r="JED42" s="21"/>
      <c r="JEH42" s="15"/>
      <c r="JEN42" s="25"/>
      <c r="JEU42" s="21"/>
      <c r="JEV42" s="21"/>
      <c r="JEZ42" s="15"/>
      <c r="JFF42" s="25"/>
      <c r="JFM42" s="21"/>
      <c r="JFN42" s="21"/>
      <c r="JFR42" s="15"/>
      <c r="JFX42" s="25"/>
      <c r="JGE42" s="21"/>
      <c r="JGF42" s="21"/>
      <c r="JGJ42" s="15"/>
      <c r="JGP42" s="25"/>
      <c r="JGW42" s="21"/>
      <c r="JGX42" s="21"/>
      <c r="JHB42" s="15"/>
      <c r="JHH42" s="25"/>
      <c r="JHO42" s="21"/>
      <c r="JHP42" s="21"/>
      <c r="JHT42" s="15"/>
      <c r="JHZ42" s="25"/>
      <c r="JIG42" s="21"/>
      <c r="JIH42" s="21"/>
      <c r="JIL42" s="15"/>
      <c r="JIR42" s="25"/>
      <c r="JIY42" s="21"/>
      <c r="JIZ42" s="21"/>
      <c r="JJD42" s="15"/>
      <c r="JJJ42" s="25"/>
      <c r="JJQ42" s="21"/>
      <c r="JJR42" s="21"/>
      <c r="JJV42" s="15"/>
      <c r="JKB42" s="25"/>
      <c r="JKI42" s="21"/>
      <c r="JKJ42" s="21"/>
      <c r="JKN42" s="15"/>
      <c r="JKT42" s="25"/>
      <c r="JLA42" s="21"/>
      <c r="JLB42" s="21"/>
      <c r="JLF42" s="15"/>
      <c r="JLL42" s="25"/>
      <c r="JLS42" s="21"/>
      <c r="JLT42" s="21"/>
      <c r="JLX42" s="15"/>
      <c r="JMD42" s="25"/>
      <c r="JMK42" s="21"/>
      <c r="JML42" s="21"/>
      <c r="JMP42" s="15"/>
      <c r="JMV42" s="25"/>
      <c r="JNC42" s="21"/>
      <c r="JND42" s="21"/>
      <c r="JNH42" s="15"/>
      <c r="JNN42" s="25"/>
      <c r="JNU42" s="21"/>
      <c r="JNV42" s="21"/>
      <c r="JNZ42" s="15"/>
      <c r="JOF42" s="25"/>
      <c r="JOM42" s="21"/>
      <c r="JON42" s="21"/>
      <c r="JOR42" s="15"/>
      <c r="JOX42" s="25"/>
      <c r="JPE42" s="21"/>
      <c r="JPF42" s="21"/>
      <c r="JPJ42" s="15"/>
      <c r="JPP42" s="25"/>
      <c r="JPW42" s="21"/>
      <c r="JPX42" s="21"/>
      <c r="JQB42" s="15"/>
      <c r="JQH42" s="25"/>
      <c r="JQO42" s="21"/>
      <c r="JQP42" s="21"/>
      <c r="JQT42" s="15"/>
      <c r="JQZ42" s="25"/>
      <c r="JRG42" s="21"/>
      <c r="JRH42" s="21"/>
      <c r="JRL42" s="15"/>
      <c r="JRR42" s="25"/>
      <c r="JRY42" s="21"/>
      <c r="JRZ42" s="21"/>
      <c r="JSD42" s="15"/>
      <c r="JSJ42" s="25"/>
      <c r="JSQ42" s="21"/>
      <c r="JSR42" s="21"/>
      <c r="JSV42" s="15"/>
      <c r="JTB42" s="25"/>
      <c r="JTI42" s="21"/>
      <c r="JTJ42" s="21"/>
      <c r="JTN42" s="15"/>
      <c r="JTT42" s="25"/>
      <c r="JUA42" s="21"/>
      <c r="JUB42" s="21"/>
      <c r="JUF42" s="15"/>
      <c r="JUL42" s="25"/>
      <c r="JUS42" s="21"/>
      <c r="JUT42" s="21"/>
      <c r="JUX42" s="15"/>
      <c r="JVD42" s="25"/>
      <c r="JVK42" s="21"/>
      <c r="JVL42" s="21"/>
      <c r="JVP42" s="15"/>
      <c r="JVV42" s="25"/>
      <c r="JWC42" s="21"/>
      <c r="JWD42" s="21"/>
      <c r="JWH42" s="15"/>
      <c r="JWN42" s="25"/>
      <c r="JWU42" s="21"/>
      <c r="JWV42" s="21"/>
      <c r="JWZ42" s="15"/>
      <c r="JXF42" s="25"/>
      <c r="JXM42" s="21"/>
      <c r="JXN42" s="21"/>
      <c r="JXR42" s="15"/>
      <c r="JXX42" s="25"/>
      <c r="JYE42" s="21"/>
      <c r="JYF42" s="21"/>
      <c r="JYJ42" s="15"/>
      <c r="JYP42" s="25"/>
      <c r="JYW42" s="21"/>
      <c r="JYX42" s="21"/>
      <c r="JZB42" s="15"/>
      <c r="JZH42" s="25"/>
      <c r="JZO42" s="21"/>
      <c r="JZP42" s="21"/>
      <c r="JZT42" s="15"/>
      <c r="JZZ42" s="25"/>
      <c r="KAG42" s="21"/>
      <c r="KAH42" s="21"/>
      <c r="KAL42" s="15"/>
      <c r="KAR42" s="25"/>
      <c r="KAY42" s="21"/>
      <c r="KAZ42" s="21"/>
      <c r="KBD42" s="15"/>
      <c r="KBJ42" s="25"/>
      <c r="KBQ42" s="21"/>
      <c r="KBR42" s="21"/>
      <c r="KBV42" s="15"/>
      <c r="KCB42" s="25"/>
      <c r="KCI42" s="21"/>
      <c r="KCJ42" s="21"/>
      <c r="KCN42" s="15"/>
      <c r="KCT42" s="25"/>
      <c r="KDA42" s="21"/>
      <c r="KDB42" s="21"/>
      <c r="KDF42" s="15"/>
      <c r="KDL42" s="25"/>
      <c r="KDS42" s="21"/>
      <c r="KDT42" s="21"/>
      <c r="KDX42" s="15"/>
      <c r="KED42" s="25"/>
      <c r="KEK42" s="21"/>
      <c r="KEL42" s="21"/>
      <c r="KEP42" s="15"/>
      <c r="KEV42" s="25"/>
      <c r="KFC42" s="21"/>
      <c r="KFD42" s="21"/>
      <c r="KFH42" s="15"/>
      <c r="KFN42" s="25"/>
      <c r="KFU42" s="21"/>
      <c r="KFV42" s="21"/>
      <c r="KFZ42" s="15"/>
      <c r="KGF42" s="25"/>
      <c r="KGM42" s="21"/>
      <c r="KGN42" s="21"/>
      <c r="KGR42" s="15"/>
      <c r="KGX42" s="25"/>
      <c r="KHE42" s="21"/>
      <c r="KHF42" s="21"/>
      <c r="KHJ42" s="15"/>
      <c r="KHP42" s="25"/>
      <c r="KHW42" s="21"/>
      <c r="KHX42" s="21"/>
      <c r="KIB42" s="15"/>
      <c r="KIH42" s="25"/>
      <c r="KIO42" s="21"/>
      <c r="KIP42" s="21"/>
      <c r="KIT42" s="15"/>
      <c r="KIZ42" s="25"/>
      <c r="KJG42" s="21"/>
      <c r="KJH42" s="21"/>
      <c r="KJL42" s="15"/>
      <c r="KJR42" s="25"/>
      <c r="KJY42" s="21"/>
      <c r="KJZ42" s="21"/>
      <c r="KKD42" s="15"/>
      <c r="KKJ42" s="25"/>
      <c r="KKQ42" s="21"/>
      <c r="KKR42" s="21"/>
      <c r="KKV42" s="15"/>
      <c r="KLB42" s="25"/>
      <c r="KLI42" s="21"/>
      <c r="KLJ42" s="21"/>
      <c r="KLN42" s="15"/>
      <c r="KLT42" s="25"/>
      <c r="KMA42" s="21"/>
      <c r="KMB42" s="21"/>
      <c r="KMF42" s="15"/>
      <c r="KML42" s="25"/>
      <c r="KMS42" s="21"/>
      <c r="KMT42" s="21"/>
      <c r="KMX42" s="15"/>
      <c r="KND42" s="25"/>
      <c r="KNK42" s="21"/>
      <c r="KNL42" s="21"/>
      <c r="KNP42" s="15"/>
      <c r="KNV42" s="25"/>
      <c r="KOC42" s="21"/>
      <c r="KOD42" s="21"/>
      <c r="KOH42" s="15"/>
      <c r="KON42" s="25"/>
      <c r="KOU42" s="21"/>
      <c r="KOV42" s="21"/>
      <c r="KOZ42" s="15"/>
      <c r="KPF42" s="25"/>
      <c r="KPM42" s="21"/>
      <c r="KPN42" s="21"/>
      <c r="KPR42" s="15"/>
      <c r="KPX42" s="25"/>
      <c r="KQE42" s="21"/>
      <c r="KQF42" s="21"/>
      <c r="KQJ42" s="15"/>
      <c r="KQP42" s="25"/>
      <c r="KQW42" s="21"/>
      <c r="KQX42" s="21"/>
      <c r="KRB42" s="15"/>
      <c r="KRH42" s="25"/>
      <c r="KRO42" s="21"/>
      <c r="KRP42" s="21"/>
      <c r="KRT42" s="15"/>
      <c r="KRZ42" s="25"/>
      <c r="KSG42" s="21"/>
      <c r="KSH42" s="21"/>
      <c r="KSL42" s="15"/>
      <c r="KSR42" s="25"/>
      <c r="KSY42" s="21"/>
      <c r="KSZ42" s="21"/>
      <c r="KTD42" s="15"/>
      <c r="KTJ42" s="25"/>
      <c r="KTQ42" s="21"/>
      <c r="KTR42" s="21"/>
      <c r="KTV42" s="15"/>
      <c r="KUB42" s="25"/>
      <c r="KUI42" s="21"/>
      <c r="KUJ42" s="21"/>
      <c r="KUN42" s="15"/>
      <c r="KUT42" s="25"/>
      <c r="KVA42" s="21"/>
      <c r="KVB42" s="21"/>
      <c r="KVF42" s="15"/>
      <c r="KVL42" s="25"/>
      <c r="KVS42" s="21"/>
      <c r="KVT42" s="21"/>
      <c r="KVX42" s="15"/>
      <c r="KWD42" s="25"/>
      <c r="KWK42" s="21"/>
      <c r="KWL42" s="21"/>
      <c r="KWP42" s="15"/>
      <c r="KWV42" s="25"/>
      <c r="KXC42" s="21"/>
      <c r="KXD42" s="21"/>
      <c r="KXH42" s="15"/>
      <c r="KXN42" s="25"/>
      <c r="KXU42" s="21"/>
      <c r="KXV42" s="21"/>
      <c r="KXZ42" s="15"/>
      <c r="KYF42" s="25"/>
      <c r="KYM42" s="21"/>
      <c r="KYN42" s="21"/>
      <c r="KYR42" s="15"/>
      <c r="KYX42" s="25"/>
      <c r="KZE42" s="21"/>
      <c r="KZF42" s="21"/>
      <c r="KZJ42" s="15"/>
      <c r="KZP42" s="25"/>
      <c r="KZW42" s="21"/>
      <c r="KZX42" s="21"/>
      <c r="LAB42" s="15"/>
      <c r="LAH42" s="25"/>
      <c r="LAO42" s="21"/>
      <c r="LAP42" s="21"/>
      <c r="LAT42" s="15"/>
      <c r="LAZ42" s="25"/>
      <c r="LBG42" s="21"/>
      <c r="LBH42" s="21"/>
      <c r="LBL42" s="15"/>
      <c r="LBR42" s="25"/>
      <c r="LBY42" s="21"/>
      <c r="LBZ42" s="21"/>
      <c r="LCD42" s="15"/>
      <c r="LCJ42" s="25"/>
      <c r="LCQ42" s="21"/>
      <c r="LCR42" s="21"/>
      <c r="LCV42" s="15"/>
      <c r="LDB42" s="25"/>
      <c r="LDI42" s="21"/>
      <c r="LDJ42" s="21"/>
      <c r="LDN42" s="15"/>
      <c r="LDT42" s="25"/>
      <c r="LEA42" s="21"/>
      <c r="LEB42" s="21"/>
      <c r="LEF42" s="15"/>
      <c r="LEL42" s="25"/>
      <c r="LES42" s="21"/>
      <c r="LET42" s="21"/>
      <c r="LEX42" s="15"/>
      <c r="LFD42" s="25"/>
      <c r="LFK42" s="21"/>
      <c r="LFL42" s="21"/>
      <c r="LFP42" s="15"/>
      <c r="LFV42" s="25"/>
      <c r="LGC42" s="21"/>
      <c r="LGD42" s="21"/>
      <c r="LGH42" s="15"/>
      <c r="LGN42" s="25"/>
      <c r="LGU42" s="21"/>
      <c r="LGV42" s="21"/>
      <c r="LGZ42" s="15"/>
      <c r="LHF42" s="25"/>
      <c r="LHM42" s="21"/>
      <c r="LHN42" s="21"/>
      <c r="LHR42" s="15"/>
      <c r="LHX42" s="25"/>
      <c r="LIE42" s="21"/>
      <c r="LIF42" s="21"/>
      <c r="LIJ42" s="15"/>
      <c r="LIP42" s="25"/>
      <c r="LIW42" s="21"/>
      <c r="LIX42" s="21"/>
      <c r="LJB42" s="15"/>
      <c r="LJH42" s="25"/>
      <c r="LJO42" s="21"/>
      <c r="LJP42" s="21"/>
      <c r="LJT42" s="15"/>
      <c r="LJZ42" s="25"/>
      <c r="LKG42" s="21"/>
      <c r="LKH42" s="21"/>
      <c r="LKL42" s="15"/>
      <c r="LKR42" s="25"/>
      <c r="LKY42" s="21"/>
      <c r="LKZ42" s="21"/>
      <c r="LLD42" s="15"/>
      <c r="LLJ42" s="25"/>
      <c r="LLQ42" s="21"/>
      <c r="LLR42" s="21"/>
      <c r="LLV42" s="15"/>
      <c r="LMB42" s="25"/>
      <c r="LMI42" s="21"/>
      <c r="LMJ42" s="21"/>
      <c r="LMN42" s="15"/>
      <c r="LMT42" s="25"/>
      <c r="LNA42" s="21"/>
      <c r="LNB42" s="21"/>
      <c r="LNF42" s="15"/>
      <c r="LNL42" s="25"/>
      <c r="LNS42" s="21"/>
      <c r="LNT42" s="21"/>
      <c r="LNX42" s="15"/>
      <c r="LOD42" s="25"/>
      <c r="LOK42" s="21"/>
      <c r="LOL42" s="21"/>
      <c r="LOP42" s="15"/>
      <c r="LOV42" s="25"/>
      <c r="LPC42" s="21"/>
      <c r="LPD42" s="21"/>
      <c r="LPH42" s="15"/>
      <c r="LPN42" s="25"/>
      <c r="LPU42" s="21"/>
      <c r="LPV42" s="21"/>
      <c r="LPZ42" s="15"/>
      <c r="LQF42" s="25"/>
      <c r="LQM42" s="21"/>
      <c r="LQN42" s="21"/>
      <c r="LQR42" s="15"/>
      <c r="LQX42" s="25"/>
      <c r="LRE42" s="21"/>
      <c r="LRF42" s="21"/>
      <c r="LRJ42" s="15"/>
      <c r="LRP42" s="25"/>
      <c r="LRW42" s="21"/>
      <c r="LRX42" s="21"/>
      <c r="LSB42" s="15"/>
      <c r="LSH42" s="25"/>
      <c r="LSO42" s="21"/>
      <c r="LSP42" s="21"/>
      <c r="LST42" s="15"/>
      <c r="LSZ42" s="25"/>
      <c r="LTG42" s="21"/>
      <c r="LTH42" s="21"/>
      <c r="LTL42" s="15"/>
      <c r="LTR42" s="25"/>
      <c r="LTY42" s="21"/>
      <c r="LTZ42" s="21"/>
      <c r="LUD42" s="15"/>
      <c r="LUJ42" s="25"/>
      <c r="LUQ42" s="21"/>
      <c r="LUR42" s="21"/>
      <c r="LUV42" s="15"/>
      <c r="LVB42" s="25"/>
      <c r="LVI42" s="21"/>
      <c r="LVJ42" s="21"/>
      <c r="LVN42" s="15"/>
      <c r="LVT42" s="25"/>
      <c r="LWA42" s="21"/>
      <c r="LWB42" s="21"/>
      <c r="LWF42" s="15"/>
      <c r="LWL42" s="25"/>
      <c r="LWS42" s="21"/>
      <c r="LWT42" s="21"/>
      <c r="LWX42" s="15"/>
      <c r="LXD42" s="25"/>
      <c r="LXK42" s="21"/>
      <c r="LXL42" s="21"/>
      <c r="LXP42" s="15"/>
      <c r="LXV42" s="25"/>
      <c r="LYC42" s="21"/>
      <c r="LYD42" s="21"/>
      <c r="LYH42" s="15"/>
      <c r="LYN42" s="25"/>
      <c r="LYU42" s="21"/>
      <c r="LYV42" s="21"/>
      <c r="LYZ42" s="15"/>
      <c r="LZF42" s="25"/>
      <c r="LZM42" s="21"/>
      <c r="LZN42" s="21"/>
      <c r="LZR42" s="15"/>
      <c r="LZX42" s="25"/>
      <c r="MAE42" s="21"/>
      <c r="MAF42" s="21"/>
      <c r="MAJ42" s="15"/>
      <c r="MAP42" s="25"/>
      <c r="MAW42" s="21"/>
      <c r="MAX42" s="21"/>
      <c r="MBB42" s="15"/>
      <c r="MBH42" s="25"/>
      <c r="MBO42" s="21"/>
      <c r="MBP42" s="21"/>
      <c r="MBT42" s="15"/>
      <c r="MBZ42" s="25"/>
      <c r="MCG42" s="21"/>
      <c r="MCH42" s="21"/>
      <c r="MCL42" s="15"/>
      <c r="MCR42" s="25"/>
      <c r="MCY42" s="21"/>
      <c r="MCZ42" s="21"/>
      <c r="MDD42" s="15"/>
      <c r="MDJ42" s="25"/>
      <c r="MDQ42" s="21"/>
      <c r="MDR42" s="21"/>
      <c r="MDV42" s="15"/>
      <c r="MEB42" s="25"/>
      <c r="MEI42" s="21"/>
      <c r="MEJ42" s="21"/>
      <c r="MEN42" s="15"/>
      <c r="MET42" s="25"/>
      <c r="MFA42" s="21"/>
      <c r="MFB42" s="21"/>
      <c r="MFF42" s="15"/>
      <c r="MFL42" s="25"/>
      <c r="MFS42" s="21"/>
      <c r="MFT42" s="21"/>
      <c r="MFX42" s="15"/>
      <c r="MGD42" s="25"/>
      <c r="MGK42" s="21"/>
      <c r="MGL42" s="21"/>
      <c r="MGP42" s="15"/>
      <c r="MGV42" s="25"/>
      <c r="MHC42" s="21"/>
      <c r="MHD42" s="21"/>
      <c r="MHH42" s="15"/>
      <c r="MHN42" s="25"/>
      <c r="MHU42" s="21"/>
      <c r="MHV42" s="21"/>
      <c r="MHZ42" s="15"/>
      <c r="MIF42" s="25"/>
      <c r="MIM42" s="21"/>
      <c r="MIN42" s="21"/>
      <c r="MIR42" s="15"/>
      <c r="MIX42" s="25"/>
      <c r="MJE42" s="21"/>
      <c r="MJF42" s="21"/>
      <c r="MJJ42" s="15"/>
      <c r="MJP42" s="25"/>
      <c r="MJW42" s="21"/>
      <c r="MJX42" s="21"/>
      <c r="MKB42" s="15"/>
      <c r="MKH42" s="25"/>
      <c r="MKO42" s="21"/>
      <c r="MKP42" s="21"/>
      <c r="MKT42" s="15"/>
      <c r="MKZ42" s="25"/>
      <c r="MLG42" s="21"/>
      <c r="MLH42" s="21"/>
      <c r="MLL42" s="15"/>
      <c r="MLR42" s="25"/>
      <c r="MLY42" s="21"/>
      <c r="MLZ42" s="21"/>
      <c r="MMD42" s="15"/>
      <c r="MMJ42" s="25"/>
      <c r="MMQ42" s="21"/>
      <c r="MMR42" s="21"/>
      <c r="MMV42" s="15"/>
      <c r="MNB42" s="25"/>
      <c r="MNI42" s="21"/>
      <c r="MNJ42" s="21"/>
      <c r="MNN42" s="15"/>
      <c r="MNT42" s="25"/>
      <c r="MOA42" s="21"/>
      <c r="MOB42" s="21"/>
      <c r="MOF42" s="15"/>
      <c r="MOL42" s="25"/>
      <c r="MOS42" s="21"/>
      <c r="MOT42" s="21"/>
      <c r="MOX42" s="15"/>
      <c r="MPD42" s="25"/>
      <c r="MPK42" s="21"/>
      <c r="MPL42" s="21"/>
      <c r="MPP42" s="15"/>
      <c r="MPV42" s="25"/>
      <c r="MQC42" s="21"/>
      <c r="MQD42" s="21"/>
      <c r="MQH42" s="15"/>
      <c r="MQN42" s="25"/>
      <c r="MQU42" s="21"/>
      <c r="MQV42" s="21"/>
      <c r="MQZ42" s="15"/>
      <c r="MRF42" s="25"/>
      <c r="MRM42" s="21"/>
      <c r="MRN42" s="21"/>
      <c r="MRR42" s="15"/>
      <c r="MRX42" s="25"/>
      <c r="MSE42" s="21"/>
      <c r="MSF42" s="21"/>
      <c r="MSJ42" s="15"/>
      <c r="MSP42" s="25"/>
      <c r="MSW42" s="21"/>
      <c r="MSX42" s="21"/>
      <c r="MTB42" s="15"/>
      <c r="MTH42" s="25"/>
      <c r="MTO42" s="21"/>
      <c r="MTP42" s="21"/>
      <c r="MTT42" s="15"/>
      <c r="MTZ42" s="25"/>
      <c r="MUG42" s="21"/>
      <c r="MUH42" s="21"/>
      <c r="MUL42" s="15"/>
      <c r="MUR42" s="25"/>
      <c r="MUY42" s="21"/>
      <c r="MUZ42" s="21"/>
      <c r="MVD42" s="15"/>
      <c r="MVJ42" s="25"/>
      <c r="MVQ42" s="21"/>
      <c r="MVR42" s="21"/>
      <c r="MVV42" s="15"/>
      <c r="MWB42" s="25"/>
      <c r="MWI42" s="21"/>
      <c r="MWJ42" s="21"/>
      <c r="MWN42" s="15"/>
      <c r="MWT42" s="25"/>
      <c r="MXA42" s="21"/>
      <c r="MXB42" s="21"/>
      <c r="MXF42" s="15"/>
      <c r="MXL42" s="25"/>
      <c r="MXS42" s="21"/>
      <c r="MXT42" s="21"/>
      <c r="MXX42" s="15"/>
      <c r="MYD42" s="25"/>
      <c r="MYK42" s="21"/>
      <c r="MYL42" s="21"/>
      <c r="MYP42" s="15"/>
      <c r="MYV42" s="25"/>
      <c r="MZC42" s="21"/>
      <c r="MZD42" s="21"/>
      <c r="MZH42" s="15"/>
      <c r="MZN42" s="25"/>
      <c r="MZU42" s="21"/>
      <c r="MZV42" s="21"/>
      <c r="MZZ42" s="15"/>
      <c r="NAF42" s="25"/>
      <c r="NAM42" s="21"/>
      <c r="NAN42" s="21"/>
      <c r="NAR42" s="15"/>
      <c r="NAX42" s="25"/>
      <c r="NBE42" s="21"/>
      <c r="NBF42" s="21"/>
      <c r="NBJ42" s="15"/>
      <c r="NBP42" s="25"/>
      <c r="NBW42" s="21"/>
      <c r="NBX42" s="21"/>
      <c r="NCB42" s="15"/>
      <c r="NCH42" s="25"/>
      <c r="NCO42" s="21"/>
      <c r="NCP42" s="21"/>
      <c r="NCT42" s="15"/>
      <c r="NCZ42" s="25"/>
      <c r="NDG42" s="21"/>
      <c r="NDH42" s="21"/>
      <c r="NDL42" s="15"/>
      <c r="NDR42" s="25"/>
      <c r="NDY42" s="21"/>
      <c r="NDZ42" s="21"/>
      <c r="NED42" s="15"/>
      <c r="NEJ42" s="25"/>
      <c r="NEQ42" s="21"/>
      <c r="NER42" s="21"/>
      <c r="NEV42" s="15"/>
      <c r="NFB42" s="25"/>
      <c r="NFI42" s="21"/>
      <c r="NFJ42" s="21"/>
      <c r="NFN42" s="15"/>
      <c r="NFT42" s="25"/>
      <c r="NGA42" s="21"/>
      <c r="NGB42" s="21"/>
      <c r="NGF42" s="15"/>
      <c r="NGL42" s="25"/>
      <c r="NGS42" s="21"/>
      <c r="NGT42" s="21"/>
      <c r="NGX42" s="15"/>
      <c r="NHD42" s="25"/>
      <c r="NHK42" s="21"/>
      <c r="NHL42" s="21"/>
      <c r="NHP42" s="15"/>
      <c r="NHV42" s="25"/>
      <c r="NIC42" s="21"/>
      <c r="NID42" s="21"/>
      <c r="NIH42" s="15"/>
      <c r="NIN42" s="25"/>
      <c r="NIU42" s="21"/>
      <c r="NIV42" s="21"/>
      <c r="NIZ42" s="15"/>
      <c r="NJF42" s="25"/>
      <c r="NJM42" s="21"/>
      <c r="NJN42" s="21"/>
      <c r="NJR42" s="15"/>
      <c r="NJX42" s="25"/>
      <c r="NKE42" s="21"/>
      <c r="NKF42" s="21"/>
      <c r="NKJ42" s="15"/>
      <c r="NKP42" s="25"/>
      <c r="NKW42" s="21"/>
      <c r="NKX42" s="21"/>
      <c r="NLB42" s="15"/>
      <c r="NLH42" s="25"/>
      <c r="NLO42" s="21"/>
      <c r="NLP42" s="21"/>
      <c r="NLT42" s="15"/>
      <c r="NLZ42" s="25"/>
      <c r="NMG42" s="21"/>
      <c r="NMH42" s="21"/>
      <c r="NML42" s="15"/>
      <c r="NMR42" s="25"/>
      <c r="NMY42" s="21"/>
      <c r="NMZ42" s="21"/>
      <c r="NND42" s="15"/>
      <c r="NNJ42" s="25"/>
      <c r="NNQ42" s="21"/>
      <c r="NNR42" s="21"/>
      <c r="NNV42" s="15"/>
      <c r="NOB42" s="25"/>
      <c r="NOI42" s="21"/>
      <c r="NOJ42" s="21"/>
      <c r="NON42" s="15"/>
      <c r="NOT42" s="25"/>
      <c r="NPA42" s="21"/>
      <c r="NPB42" s="21"/>
      <c r="NPF42" s="15"/>
      <c r="NPL42" s="25"/>
      <c r="NPS42" s="21"/>
      <c r="NPT42" s="21"/>
      <c r="NPX42" s="15"/>
      <c r="NQD42" s="25"/>
      <c r="NQK42" s="21"/>
      <c r="NQL42" s="21"/>
      <c r="NQP42" s="15"/>
      <c r="NQV42" s="25"/>
      <c r="NRC42" s="21"/>
      <c r="NRD42" s="21"/>
      <c r="NRH42" s="15"/>
      <c r="NRN42" s="25"/>
      <c r="NRU42" s="21"/>
      <c r="NRV42" s="21"/>
      <c r="NRZ42" s="15"/>
      <c r="NSF42" s="25"/>
      <c r="NSM42" s="21"/>
      <c r="NSN42" s="21"/>
      <c r="NSR42" s="15"/>
      <c r="NSX42" s="25"/>
      <c r="NTE42" s="21"/>
      <c r="NTF42" s="21"/>
      <c r="NTJ42" s="15"/>
      <c r="NTP42" s="25"/>
      <c r="NTW42" s="21"/>
      <c r="NTX42" s="21"/>
      <c r="NUB42" s="15"/>
      <c r="NUH42" s="25"/>
      <c r="NUO42" s="21"/>
      <c r="NUP42" s="21"/>
      <c r="NUT42" s="15"/>
      <c r="NUZ42" s="25"/>
      <c r="NVG42" s="21"/>
      <c r="NVH42" s="21"/>
      <c r="NVL42" s="15"/>
      <c r="NVR42" s="25"/>
      <c r="NVY42" s="21"/>
      <c r="NVZ42" s="21"/>
      <c r="NWD42" s="15"/>
      <c r="NWJ42" s="25"/>
      <c r="NWQ42" s="21"/>
      <c r="NWR42" s="21"/>
      <c r="NWV42" s="15"/>
      <c r="NXB42" s="25"/>
      <c r="NXI42" s="21"/>
      <c r="NXJ42" s="21"/>
      <c r="NXN42" s="15"/>
      <c r="NXT42" s="25"/>
      <c r="NYA42" s="21"/>
      <c r="NYB42" s="21"/>
      <c r="NYF42" s="15"/>
      <c r="NYL42" s="25"/>
      <c r="NYS42" s="21"/>
      <c r="NYT42" s="21"/>
      <c r="NYX42" s="15"/>
      <c r="NZD42" s="25"/>
      <c r="NZK42" s="21"/>
      <c r="NZL42" s="21"/>
      <c r="NZP42" s="15"/>
      <c r="NZV42" s="25"/>
      <c r="OAC42" s="21"/>
      <c r="OAD42" s="21"/>
      <c r="OAH42" s="15"/>
      <c r="OAN42" s="25"/>
      <c r="OAU42" s="21"/>
      <c r="OAV42" s="21"/>
      <c r="OAZ42" s="15"/>
      <c r="OBF42" s="25"/>
      <c r="OBM42" s="21"/>
      <c r="OBN42" s="21"/>
      <c r="OBR42" s="15"/>
      <c r="OBX42" s="25"/>
      <c r="OCE42" s="21"/>
      <c r="OCF42" s="21"/>
      <c r="OCJ42" s="15"/>
      <c r="OCP42" s="25"/>
      <c r="OCW42" s="21"/>
      <c r="OCX42" s="21"/>
      <c r="ODB42" s="15"/>
      <c r="ODH42" s="25"/>
      <c r="ODO42" s="21"/>
      <c r="ODP42" s="21"/>
      <c r="ODT42" s="15"/>
      <c r="ODZ42" s="25"/>
      <c r="OEG42" s="21"/>
      <c r="OEH42" s="21"/>
      <c r="OEL42" s="15"/>
      <c r="OER42" s="25"/>
      <c r="OEY42" s="21"/>
      <c r="OEZ42" s="21"/>
      <c r="OFD42" s="15"/>
      <c r="OFJ42" s="25"/>
      <c r="OFQ42" s="21"/>
      <c r="OFR42" s="21"/>
      <c r="OFV42" s="15"/>
      <c r="OGB42" s="25"/>
      <c r="OGI42" s="21"/>
      <c r="OGJ42" s="21"/>
      <c r="OGN42" s="15"/>
      <c r="OGT42" s="25"/>
      <c r="OHA42" s="21"/>
      <c r="OHB42" s="21"/>
      <c r="OHF42" s="15"/>
      <c r="OHL42" s="25"/>
      <c r="OHS42" s="21"/>
      <c r="OHT42" s="21"/>
      <c r="OHX42" s="15"/>
      <c r="OID42" s="25"/>
      <c r="OIK42" s="21"/>
      <c r="OIL42" s="21"/>
      <c r="OIP42" s="15"/>
      <c r="OIV42" s="25"/>
      <c r="OJC42" s="21"/>
      <c r="OJD42" s="21"/>
      <c r="OJH42" s="15"/>
      <c r="OJN42" s="25"/>
      <c r="OJU42" s="21"/>
      <c r="OJV42" s="21"/>
      <c r="OJZ42" s="15"/>
      <c r="OKF42" s="25"/>
      <c r="OKM42" s="21"/>
      <c r="OKN42" s="21"/>
      <c r="OKR42" s="15"/>
      <c r="OKX42" s="25"/>
      <c r="OLE42" s="21"/>
      <c r="OLF42" s="21"/>
      <c r="OLJ42" s="15"/>
      <c r="OLP42" s="25"/>
      <c r="OLW42" s="21"/>
      <c r="OLX42" s="21"/>
      <c r="OMB42" s="15"/>
      <c r="OMH42" s="25"/>
      <c r="OMO42" s="21"/>
      <c r="OMP42" s="21"/>
      <c r="OMT42" s="15"/>
      <c r="OMZ42" s="25"/>
      <c r="ONG42" s="21"/>
      <c r="ONH42" s="21"/>
      <c r="ONL42" s="15"/>
      <c r="ONR42" s="25"/>
      <c r="ONY42" s="21"/>
      <c r="ONZ42" s="21"/>
      <c r="OOD42" s="15"/>
      <c r="OOJ42" s="25"/>
      <c r="OOQ42" s="21"/>
      <c r="OOR42" s="21"/>
      <c r="OOV42" s="15"/>
      <c r="OPB42" s="25"/>
      <c r="OPI42" s="21"/>
      <c r="OPJ42" s="21"/>
      <c r="OPN42" s="15"/>
      <c r="OPT42" s="25"/>
      <c r="OQA42" s="21"/>
      <c r="OQB42" s="21"/>
      <c r="OQF42" s="15"/>
      <c r="OQL42" s="25"/>
      <c r="OQS42" s="21"/>
      <c r="OQT42" s="21"/>
      <c r="OQX42" s="15"/>
      <c r="ORD42" s="25"/>
      <c r="ORK42" s="21"/>
      <c r="ORL42" s="21"/>
      <c r="ORP42" s="15"/>
      <c r="ORV42" s="25"/>
      <c r="OSC42" s="21"/>
      <c r="OSD42" s="21"/>
      <c r="OSH42" s="15"/>
      <c r="OSN42" s="25"/>
      <c r="OSU42" s="21"/>
      <c r="OSV42" s="21"/>
      <c r="OSZ42" s="15"/>
      <c r="OTF42" s="25"/>
      <c r="OTM42" s="21"/>
      <c r="OTN42" s="21"/>
      <c r="OTR42" s="15"/>
      <c r="OTX42" s="25"/>
      <c r="OUE42" s="21"/>
      <c r="OUF42" s="21"/>
      <c r="OUJ42" s="15"/>
      <c r="OUP42" s="25"/>
      <c r="OUW42" s="21"/>
      <c r="OUX42" s="21"/>
      <c r="OVB42" s="15"/>
      <c r="OVH42" s="25"/>
      <c r="OVO42" s="21"/>
      <c r="OVP42" s="21"/>
      <c r="OVT42" s="15"/>
      <c r="OVZ42" s="25"/>
      <c r="OWG42" s="21"/>
      <c r="OWH42" s="21"/>
      <c r="OWL42" s="15"/>
      <c r="OWR42" s="25"/>
      <c r="OWY42" s="21"/>
      <c r="OWZ42" s="21"/>
      <c r="OXD42" s="15"/>
      <c r="OXJ42" s="25"/>
      <c r="OXQ42" s="21"/>
      <c r="OXR42" s="21"/>
      <c r="OXV42" s="15"/>
      <c r="OYB42" s="25"/>
      <c r="OYI42" s="21"/>
      <c r="OYJ42" s="21"/>
      <c r="OYN42" s="15"/>
      <c r="OYT42" s="25"/>
      <c r="OZA42" s="21"/>
      <c r="OZB42" s="21"/>
      <c r="OZF42" s="15"/>
      <c r="OZL42" s="25"/>
      <c r="OZS42" s="21"/>
      <c r="OZT42" s="21"/>
      <c r="OZX42" s="15"/>
      <c r="PAD42" s="25"/>
      <c r="PAK42" s="21"/>
      <c r="PAL42" s="21"/>
      <c r="PAP42" s="15"/>
      <c r="PAV42" s="25"/>
      <c r="PBC42" s="21"/>
      <c r="PBD42" s="21"/>
      <c r="PBH42" s="15"/>
      <c r="PBN42" s="25"/>
      <c r="PBU42" s="21"/>
      <c r="PBV42" s="21"/>
      <c r="PBZ42" s="15"/>
      <c r="PCF42" s="25"/>
      <c r="PCM42" s="21"/>
      <c r="PCN42" s="21"/>
      <c r="PCR42" s="15"/>
      <c r="PCX42" s="25"/>
      <c r="PDE42" s="21"/>
      <c r="PDF42" s="21"/>
      <c r="PDJ42" s="15"/>
      <c r="PDP42" s="25"/>
      <c r="PDW42" s="21"/>
      <c r="PDX42" s="21"/>
      <c r="PEB42" s="15"/>
      <c r="PEH42" s="25"/>
      <c r="PEO42" s="21"/>
      <c r="PEP42" s="21"/>
      <c r="PET42" s="15"/>
      <c r="PEZ42" s="25"/>
      <c r="PFG42" s="21"/>
      <c r="PFH42" s="21"/>
      <c r="PFL42" s="15"/>
      <c r="PFR42" s="25"/>
      <c r="PFY42" s="21"/>
      <c r="PFZ42" s="21"/>
      <c r="PGD42" s="15"/>
      <c r="PGJ42" s="25"/>
      <c r="PGQ42" s="21"/>
      <c r="PGR42" s="21"/>
      <c r="PGV42" s="15"/>
      <c r="PHB42" s="25"/>
      <c r="PHI42" s="21"/>
      <c r="PHJ42" s="21"/>
      <c r="PHN42" s="15"/>
      <c r="PHT42" s="25"/>
      <c r="PIA42" s="21"/>
      <c r="PIB42" s="21"/>
      <c r="PIF42" s="15"/>
      <c r="PIL42" s="25"/>
      <c r="PIS42" s="21"/>
      <c r="PIT42" s="21"/>
      <c r="PIX42" s="15"/>
      <c r="PJD42" s="25"/>
      <c r="PJK42" s="21"/>
      <c r="PJL42" s="21"/>
      <c r="PJP42" s="15"/>
      <c r="PJV42" s="25"/>
      <c r="PKC42" s="21"/>
      <c r="PKD42" s="21"/>
      <c r="PKH42" s="15"/>
      <c r="PKN42" s="25"/>
      <c r="PKU42" s="21"/>
      <c r="PKV42" s="21"/>
      <c r="PKZ42" s="15"/>
      <c r="PLF42" s="25"/>
      <c r="PLM42" s="21"/>
      <c r="PLN42" s="21"/>
      <c r="PLR42" s="15"/>
      <c r="PLX42" s="25"/>
      <c r="PME42" s="21"/>
      <c r="PMF42" s="21"/>
      <c r="PMJ42" s="15"/>
      <c r="PMP42" s="25"/>
      <c r="PMW42" s="21"/>
      <c r="PMX42" s="21"/>
      <c r="PNB42" s="15"/>
      <c r="PNH42" s="25"/>
      <c r="PNO42" s="21"/>
      <c r="PNP42" s="21"/>
      <c r="PNT42" s="15"/>
      <c r="PNZ42" s="25"/>
      <c r="POG42" s="21"/>
      <c r="POH42" s="21"/>
      <c r="POL42" s="15"/>
      <c r="POR42" s="25"/>
      <c r="POY42" s="21"/>
      <c r="POZ42" s="21"/>
      <c r="PPD42" s="15"/>
      <c r="PPJ42" s="25"/>
      <c r="PPQ42" s="21"/>
      <c r="PPR42" s="21"/>
      <c r="PPV42" s="15"/>
      <c r="PQB42" s="25"/>
      <c r="PQI42" s="21"/>
      <c r="PQJ42" s="21"/>
      <c r="PQN42" s="15"/>
      <c r="PQT42" s="25"/>
      <c r="PRA42" s="21"/>
      <c r="PRB42" s="21"/>
      <c r="PRF42" s="15"/>
      <c r="PRL42" s="25"/>
      <c r="PRS42" s="21"/>
      <c r="PRT42" s="21"/>
      <c r="PRX42" s="15"/>
      <c r="PSD42" s="25"/>
      <c r="PSK42" s="21"/>
      <c r="PSL42" s="21"/>
      <c r="PSP42" s="15"/>
      <c r="PSV42" s="25"/>
      <c r="PTC42" s="21"/>
      <c r="PTD42" s="21"/>
      <c r="PTH42" s="15"/>
      <c r="PTN42" s="25"/>
      <c r="PTU42" s="21"/>
      <c r="PTV42" s="21"/>
      <c r="PTZ42" s="15"/>
      <c r="PUF42" s="25"/>
      <c r="PUM42" s="21"/>
      <c r="PUN42" s="21"/>
      <c r="PUR42" s="15"/>
      <c r="PUX42" s="25"/>
      <c r="PVE42" s="21"/>
      <c r="PVF42" s="21"/>
      <c r="PVJ42" s="15"/>
      <c r="PVP42" s="25"/>
      <c r="PVW42" s="21"/>
      <c r="PVX42" s="21"/>
      <c r="PWB42" s="15"/>
      <c r="PWH42" s="25"/>
      <c r="PWO42" s="21"/>
      <c r="PWP42" s="21"/>
      <c r="PWT42" s="15"/>
      <c r="PWZ42" s="25"/>
      <c r="PXG42" s="21"/>
      <c r="PXH42" s="21"/>
      <c r="PXL42" s="15"/>
      <c r="PXR42" s="25"/>
      <c r="PXY42" s="21"/>
      <c r="PXZ42" s="21"/>
      <c r="PYD42" s="15"/>
      <c r="PYJ42" s="25"/>
      <c r="PYQ42" s="21"/>
      <c r="PYR42" s="21"/>
      <c r="PYV42" s="15"/>
      <c r="PZB42" s="25"/>
      <c r="PZI42" s="21"/>
      <c r="PZJ42" s="21"/>
      <c r="PZN42" s="15"/>
      <c r="PZT42" s="25"/>
      <c r="QAA42" s="21"/>
      <c r="QAB42" s="21"/>
      <c r="QAF42" s="15"/>
      <c r="QAL42" s="25"/>
      <c r="QAS42" s="21"/>
      <c r="QAT42" s="21"/>
      <c r="QAX42" s="15"/>
      <c r="QBD42" s="25"/>
      <c r="QBK42" s="21"/>
      <c r="QBL42" s="21"/>
      <c r="QBP42" s="15"/>
      <c r="QBV42" s="25"/>
      <c r="QCC42" s="21"/>
      <c r="QCD42" s="21"/>
      <c r="QCH42" s="15"/>
      <c r="QCN42" s="25"/>
      <c r="QCU42" s="21"/>
      <c r="QCV42" s="21"/>
      <c r="QCZ42" s="15"/>
      <c r="QDF42" s="25"/>
      <c r="QDM42" s="21"/>
      <c r="QDN42" s="21"/>
      <c r="QDR42" s="15"/>
      <c r="QDX42" s="25"/>
      <c r="QEE42" s="21"/>
      <c r="QEF42" s="21"/>
      <c r="QEJ42" s="15"/>
      <c r="QEP42" s="25"/>
      <c r="QEW42" s="21"/>
      <c r="QEX42" s="21"/>
      <c r="QFB42" s="15"/>
      <c r="QFH42" s="25"/>
      <c r="QFO42" s="21"/>
      <c r="QFP42" s="21"/>
      <c r="QFT42" s="15"/>
      <c r="QFZ42" s="25"/>
      <c r="QGG42" s="21"/>
      <c r="QGH42" s="21"/>
      <c r="QGL42" s="15"/>
      <c r="QGR42" s="25"/>
      <c r="QGY42" s="21"/>
      <c r="QGZ42" s="21"/>
      <c r="QHD42" s="15"/>
      <c r="QHJ42" s="25"/>
      <c r="QHQ42" s="21"/>
      <c r="QHR42" s="21"/>
      <c r="QHV42" s="15"/>
      <c r="QIB42" s="25"/>
      <c r="QII42" s="21"/>
      <c r="QIJ42" s="21"/>
      <c r="QIN42" s="15"/>
      <c r="QIT42" s="25"/>
      <c r="QJA42" s="21"/>
      <c r="QJB42" s="21"/>
      <c r="QJF42" s="15"/>
      <c r="QJL42" s="25"/>
      <c r="QJS42" s="21"/>
      <c r="QJT42" s="21"/>
      <c r="QJX42" s="15"/>
      <c r="QKD42" s="25"/>
      <c r="QKK42" s="21"/>
      <c r="QKL42" s="21"/>
      <c r="QKP42" s="15"/>
      <c r="QKV42" s="25"/>
      <c r="QLC42" s="21"/>
      <c r="QLD42" s="21"/>
      <c r="QLH42" s="15"/>
      <c r="QLN42" s="25"/>
      <c r="QLU42" s="21"/>
      <c r="QLV42" s="21"/>
      <c r="QLZ42" s="15"/>
      <c r="QMF42" s="25"/>
      <c r="QMM42" s="21"/>
      <c r="QMN42" s="21"/>
      <c r="QMR42" s="15"/>
      <c r="QMX42" s="25"/>
      <c r="QNE42" s="21"/>
      <c r="QNF42" s="21"/>
      <c r="QNJ42" s="15"/>
      <c r="QNP42" s="25"/>
      <c r="QNW42" s="21"/>
      <c r="QNX42" s="21"/>
      <c r="QOB42" s="15"/>
      <c r="QOH42" s="25"/>
      <c r="QOO42" s="21"/>
      <c r="QOP42" s="21"/>
      <c r="QOT42" s="15"/>
      <c r="QOZ42" s="25"/>
      <c r="QPG42" s="21"/>
      <c r="QPH42" s="21"/>
      <c r="QPL42" s="15"/>
      <c r="QPR42" s="25"/>
      <c r="QPY42" s="21"/>
      <c r="QPZ42" s="21"/>
      <c r="QQD42" s="15"/>
      <c r="QQJ42" s="25"/>
      <c r="QQQ42" s="21"/>
      <c r="QQR42" s="21"/>
      <c r="QQV42" s="15"/>
      <c r="QRB42" s="25"/>
      <c r="QRI42" s="21"/>
      <c r="QRJ42" s="21"/>
      <c r="QRN42" s="15"/>
      <c r="QRT42" s="25"/>
      <c r="QSA42" s="21"/>
      <c r="QSB42" s="21"/>
      <c r="QSF42" s="15"/>
      <c r="QSL42" s="25"/>
      <c r="QSS42" s="21"/>
      <c r="QST42" s="21"/>
      <c r="QSX42" s="15"/>
      <c r="QTD42" s="25"/>
      <c r="QTK42" s="21"/>
      <c r="QTL42" s="21"/>
      <c r="QTP42" s="15"/>
      <c r="QTV42" s="25"/>
      <c r="QUC42" s="21"/>
      <c r="QUD42" s="21"/>
      <c r="QUH42" s="15"/>
      <c r="QUN42" s="25"/>
      <c r="QUU42" s="21"/>
      <c r="QUV42" s="21"/>
      <c r="QUZ42" s="15"/>
      <c r="QVF42" s="25"/>
      <c r="QVM42" s="21"/>
      <c r="QVN42" s="21"/>
      <c r="QVR42" s="15"/>
      <c r="QVX42" s="25"/>
      <c r="QWE42" s="21"/>
      <c r="QWF42" s="21"/>
      <c r="QWJ42" s="15"/>
      <c r="QWP42" s="25"/>
      <c r="QWW42" s="21"/>
      <c r="QWX42" s="21"/>
      <c r="QXB42" s="15"/>
      <c r="QXH42" s="25"/>
      <c r="QXO42" s="21"/>
      <c r="QXP42" s="21"/>
      <c r="QXT42" s="15"/>
      <c r="QXZ42" s="25"/>
      <c r="QYG42" s="21"/>
      <c r="QYH42" s="21"/>
      <c r="QYL42" s="15"/>
      <c r="QYR42" s="25"/>
      <c r="QYY42" s="21"/>
      <c r="QYZ42" s="21"/>
      <c r="QZD42" s="15"/>
      <c r="QZJ42" s="25"/>
      <c r="QZQ42" s="21"/>
      <c r="QZR42" s="21"/>
      <c r="QZV42" s="15"/>
      <c r="RAB42" s="25"/>
      <c r="RAI42" s="21"/>
      <c r="RAJ42" s="21"/>
      <c r="RAN42" s="15"/>
      <c r="RAT42" s="25"/>
      <c r="RBA42" s="21"/>
      <c r="RBB42" s="21"/>
      <c r="RBF42" s="15"/>
      <c r="RBL42" s="25"/>
      <c r="RBS42" s="21"/>
      <c r="RBT42" s="21"/>
      <c r="RBX42" s="15"/>
      <c r="RCD42" s="25"/>
      <c r="RCK42" s="21"/>
      <c r="RCL42" s="21"/>
      <c r="RCP42" s="15"/>
      <c r="RCV42" s="25"/>
      <c r="RDC42" s="21"/>
      <c r="RDD42" s="21"/>
      <c r="RDH42" s="15"/>
      <c r="RDN42" s="25"/>
      <c r="RDU42" s="21"/>
      <c r="RDV42" s="21"/>
      <c r="RDZ42" s="15"/>
      <c r="REF42" s="25"/>
      <c r="REM42" s="21"/>
      <c r="REN42" s="21"/>
      <c r="RER42" s="15"/>
      <c r="REX42" s="25"/>
      <c r="RFE42" s="21"/>
      <c r="RFF42" s="21"/>
      <c r="RFJ42" s="15"/>
      <c r="RFP42" s="25"/>
      <c r="RFW42" s="21"/>
      <c r="RFX42" s="21"/>
      <c r="RGB42" s="15"/>
      <c r="RGH42" s="25"/>
      <c r="RGO42" s="21"/>
      <c r="RGP42" s="21"/>
      <c r="RGT42" s="15"/>
      <c r="RGZ42" s="25"/>
      <c r="RHG42" s="21"/>
      <c r="RHH42" s="21"/>
      <c r="RHL42" s="15"/>
      <c r="RHR42" s="25"/>
      <c r="RHY42" s="21"/>
      <c r="RHZ42" s="21"/>
      <c r="RID42" s="15"/>
      <c r="RIJ42" s="25"/>
      <c r="RIQ42" s="21"/>
      <c r="RIR42" s="21"/>
      <c r="RIV42" s="15"/>
      <c r="RJB42" s="25"/>
      <c r="RJI42" s="21"/>
      <c r="RJJ42" s="21"/>
      <c r="RJN42" s="15"/>
      <c r="RJT42" s="25"/>
      <c r="RKA42" s="21"/>
      <c r="RKB42" s="21"/>
      <c r="RKF42" s="15"/>
      <c r="RKL42" s="25"/>
      <c r="RKS42" s="21"/>
      <c r="RKT42" s="21"/>
      <c r="RKX42" s="15"/>
      <c r="RLD42" s="25"/>
      <c r="RLK42" s="21"/>
      <c r="RLL42" s="21"/>
      <c r="RLP42" s="15"/>
      <c r="RLV42" s="25"/>
      <c r="RMC42" s="21"/>
      <c r="RMD42" s="21"/>
      <c r="RMH42" s="15"/>
      <c r="RMN42" s="25"/>
      <c r="RMU42" s="21"/>
      <c r="RMV42" s="21"/>
      <c r="RMZ42" s="15"/>
      <c r="RNF42" s="25"/>
      <c r="RNM42" s="21"/>
      <c r="RNN42" s="21"/>
      <c r="RNR42" s="15"/>
      <c r="RNX42" s="25"/>
      <c r="ROE42" s="21"/>
      <c r="ROF42" s="21"/>
      <c r="ROJ42" s="15"/>
      <c r="ROP42" s="25"/>
      <c r="ROW42" s="21"/>
      <c r="ROX42" s="21"/>
      <c r="RPB42" s="15"/>
      <c r="RPH42" s="25"/>
      <c r="RPO42" s="21"/>
      <c r="RPP42" s="21"/>
      <c r="RPT42" s="15"/>
      <c r="RPZ42" s="25"/>
      <c r="RQG42" s="21"/>
      <c r="RQH42" s="21"/>
      <c r="RQL42" s="15"/>
      <c r="RQR42" s="25"/>
      <c r="RQY42" s="21"/>
      <c r="RQZ42" s="21"/>
      <c r="RRD42" s="15"/>
      <c r="RRJ42" s="25"/>
      <c r="RRQ42" s="21"/>
      <c r="RRR42" s="21"/>
      <c r="RRV42" s="15"/>
      <c r="RSB42" s="25"/>
      <c r="RSI42" s="21"/>
      <c r="RSJ42" s="21"/>
      <c r="RSN42" s="15"/>
      <c r="RST42" s="25"/>
      <c r="RTA42" s="21"/>
      <c r="RTB42" s="21"/>
      <c r="RTF42" s="15"/>
      <c r="RTL42" s="25"/>
      <c r="RTS42" s="21"/>
      <c r="RTT42" s="21"/>
      <c r="RTX42" s="15"/>
      <c r="RUD42" s="25"/>
      <c r="RUK42" s="21"/>
      <c r="RUL42" s="21"/>
      <c r="RUP42" s="15"/>
      <c r="RUV42" s="25"/>
      <c r="RVC42" s="21"/>
      <c r="RVD42" s="21"/>
      <c r="RVH42" s="15"/>
      <c r="RVN42" s="25"/>
      <c r="RVU42" s="21"/>
      <c r="RVV42" s="21"/>
      <c r="RVZ42" s="15"/>
      <c r="RWF42" s="25"/>
      <c r="RWM42" s="21"/>
      <c r="RWN42" s="21"/>
      <c r="RWR42" s="15"/>
      <c r="RWX42" s="25"/>
      <c r="RXE42" s="21"/>
      <c r="RXF42" s="21"/>
      <c r="RXJ42" s="15"/>
      <c r="RXP42" s="25"/>
      <c r="RXW42" s="21"/>
      <c r="RXX42" s="21"/>
      <c r="RYB42" s="15"/>
      <c r="RYH42" s="25"/>
      <c r="RYO42" s="21"/>
      <c r="RYP42" s="21"/>
      <c r="RYT42" s="15"/>
      <c r="RYZ42" s="25"/>
      <c r="RZG42" s="21"/>
      <c r="RZH42" s="21"/>
      <c r="RZL42" s="15"/>
      <c r="RZR42" s="25"/>
      <c r="RZY42" s="21"/>
      <c r="RZZ42" s="21"/>
      <c r="SAD42" s="15"/>
      <c r="SAJ42" s="25"/>
      <c r="SAQ42" s="21"/>
      <c r="SAR42" s="21"/>
      <c r="SAV42" s="15"/>
      <c r="SBB42" s="25"/>
      <c r="SBI42" s="21"/>
      <c r="SBJ42" s="21"/>
      <c r="SBN42" s="15"/>
      <c r="SBT42" s="25"/>
      <c r="SCA42" s="21"/>
      <c r="SCB42" s="21"/>
      <c r="SCF42" s="15"/>
      <c r="SCL42" s="25"/>
      <c r="SCS42" s="21"/>
      <c r="SCT42" s="21"/>
      <c r="SCX42" s="15"/>
      <c r="SDD42" s="25"/>
      <c r="SDK42" s="21"/>
      <c r="SDL42" s="21"/>
      <c r="SDP42" s="15"/>
      <c r="SDV42" s="25"/>
      <c r="SEC42" s="21"/>
      <c r="SED42" s="21"/>
      <c r="SEH42" s="15"/>
      <c r="SEN42" s="25"/>
      <c r="SEU42" s="21"/>
      <c r="SEV42" s="21"/>
      <c r="SEZ42" s="15"/>
      <c r="SFF42" s="25"/>
      <c r="SFM42" s="21"/>
      <c r="SFN42" s="21"/>
      <c r="SFR42" s="15"/>
      <c r="SFX42" s="25"/>
      <c r="SGE42" s="21"/>
      <c r="SGF42" s="21"/>
      <c r="SGJ42" s="15"/>
      <c r="SGP42" s="25"/>
      <c r="SGW42" s="21"/>
      <c r="SGX42" s="21"/>
      <c r="SHB42" s="15"/>
      <c r="SHH42" s="25"/>
      <c r="SHO42" s="21"/>
      <c r="SHP42" s="21"/>
      <c r="SHT42" s="15"/>
      <c r="SHZ42" s="25"/>
      <c r="SIG42" s="21"/>
      <c r="SIH42" s="21"/>
      <c r="SIL42" s="15"/>
      <c r="SIR42" s="25"/>
      <c r="SIY42" s="21"/>
      <c r="SIZ42" s="21"/>
      <c r="SJD42" s="15"/>
      <c r="SJJ42" s="25"/>
      <c r="SJQ42" s="21"/>
      <c r="SJR42" s="21"/>
      <c r="SJV42" s="15"/>
      <c r="SKB42" s="25"/>
      <c r="SKI42" s="21"/>
      <c r="SKJ42" s="21"/>
      <c r="SKN42" s="15"/>
      <c r="SKT42" s="25"/>
      <c r="SLA42" s="21"/>
      <c r="SLB42" s="21"/>
      <c r="SLF42" s="15"/>
      <c r="SLL42" s="25"/>
      <c r="SLS42" s="21"/>
      <c r="SLT42" s="21"/>
      <c r="SLX42" s="15"/>
      <c r="SMD42" s="25"/>
      <c r="SMK42" s="21"/>
      <c r="SML42" s="21"/>
      <c r="SMP42" s="15"/>
      <c r="SMV42" s="25"/>
      <c r="SNC42" s="21"/>
      <c r="SND42" s="21"/>
      <c r="SNH42" s="15"/>
      <c r="SNN42" s="25"/>
      <c r="SNU42" s="21"/>
      <c r="SNV42" s="21"/>
      <c r="SNZ42" s="15"/>
      <c r="SOF42" s="25"/>
      <c r="SOM42" s="21"/>
      <c r="SON42" s="21"/>
      <c r="SOR42" s="15"/>
      <c r="SOX42" s="25"/>
      <c r="SPE42" s="21"/>
      <c r="SPF42" s="21"/>
      <c r="SPJ42" s="15"/>
      <c r="SPP42" s="25"/>
      <c r="SPW42" s="21"/>
      <c r="SPX42" s="21"/>
      <c r="SQB42" s="15"/>
      <c r="SQH42" s="25"/>
      <c r="SQO42" s="21"/>
      <c r="SQP42" s="21"/>
      <c r="SQT42" s="15"/>
      <c r="SQZ42" s="25"/>
      <c r="SRG42" s="21"/>
      <c r="SRH42" s="21"/>
      <c r="SRL42" s="15"/>
      <c r="SRR42" s="25"/>
      <c r="SRY42" s="21"/>
      <c r="SRZ42" s="21"/>
      <c r="SSD42" s="15"/>
      <c r="SSJ42" s="25"/>
      <c r="SSQ42" s="21"/>
      <c r="SSR42" s="21"/>
      <c r="SSV42" s="15"/>
      <c r="STB42" s="25"/>
      <c r="STI42" s="21"/>
      <c r="STJ42" s="21"/>
      <c r="STN42" s="15"/>
      <c r="STT42" s="25"/>
      <c r="SUA42" s="21"/>
      <c r="SUB42" s="21"/>
      <c r="SUF42" s="15"/>
      <c r="SUL42" s="25"/>
      <c r="SUS42" s="21"/>
      <c r="SUT42" s="21"/>
      <c r="SUX42" s="15"/>
      <c r="SVD42" s="25"/>
      <c r="SVK42" s="21"/>
      <c r="SVL42" s="21"/>
      <c r="SVP42" s="15"/>
      <c r="SVV42" s="25"/>
      <c r="SWC42" s="21"/>
      <c r="SWD42" s="21"/>
      <c r="SWH42" s="15"/>
      <c r="SWN42" s="25"/>
      <c r="SWU42" s="21"/>
      <c r="SWV42" s="21"/>
      <c r="SWZ42" s="15"/>
      <c r="SXF42" s="25"/>
      <c r="SXM42" s="21"/>
      <c r="SXN42" s="21"/>
      <c r="SXR42" s="15"/>
      <c r="SXX42" s="25"/>
      <c r="SYE42" s="21"/>
      <c r="SYF42" s="21"/>
      <c r="SYJ42" s="15"/>
      <c r="SYP42" s="25"/>
      <c r="SYW42" s="21"/>
      <c r="SYX42" s="21"/>
      <c r="SZB42" s="15"/>
      <c r="SZH42" s="25"/>
      <c r="SZO42" s="21"/>
      <c r="SZP42" s="21"/>
      <c r="SZT42" s="15"/>
      <c r="SZZ42" s="25"/>
      <c r="TAG42" s="21"/>
      <c r="TAH42" s="21"/>
      <c r="TAL42" s="15"/>
      <c r="TAR42" s="25"/>
      <c r="TAY42" s="21"/>
      <c r="TAZ42" s="21"/>
      <c r="TBD42" s="15"/>
      <c r="TBJ42" s="25"/>
      <c r="TBQ42" s="21"/>
      <c r="TBR42" s="21"/>
      <c r="TBV42" s="15"/>
      <c r="TCB42" s="25"/>
      <c r="TCI42" s="21"/>
      <c r="TCJ42" s="21"/>
      <c r="TCN42" s="15"/>
      <c r="TCT42" s="25"/>
      <c r="TDA42" s="21"/>
      <c r="TDB42" s="21"/>
      <c r="TDF42" s="15"/>
      <c r="TDL42" s="25"/>
      <c r="TDS42" s="21"/>
      <c r="TDT42" s="21"/>
      <c r="TDX42" s="15"/>
      <c r="TED42" s="25"/>
      <c r="TEK42" s="21"/>
      <c r="TEL42" s="21"/>
      <c r="TEP42" s="15"/>
      <c r="TEV42" s="25"/>
      <c r="TFC42" s="21"/>
      <c r="TFD42" s="21"/>
      <c r="TFH42" s="15"/>
      <c r="TFN42" s="25"/>
      <c r="TFU42" s="21"/>
      <c r="TFV42" s="21"/>
      <c r="TFZ42" s="15"/>
      <c r="TGF42" s="25"/>
      <c r="TGM42" s="21"/>
      <c r="TGN42" s="21"/>
      <c r="TGR42" s="15"/>
      <c r="TGX42" s="25"/>
      <c r="THE42" s="21"/>
      <c r="THF42" s="21"/>
      <c r="THJ42" s="15"/>
      <c r="THP42" s="25"/>
      <c r="THW42" s="21"/>
      <c r="THX42" s="21"/>
      <c r="TIB42" s="15"/>
      <c r="TIH42" s="25"/>
      <c r="TIO42" s="21"/>
      <c r="TIP42" s="21"/>
      <c r="TIT42" s="15"/>
      <c r="TIZ42" s="25"/>
      <c r="TJG42" s="21"/>
      <c r="TJH42" s="21"/>
      <c r="TJL42" s="15"/>
      <c r="TJR42" s="25"/>
      <c r="TJY42" s="21"/>
      <c r="TJZ42" s="21"/>
      <c r="TKD42" s="15"/>
      <c r="TKJ42" s="25"/>
      <c r="TKQ42" s="21"/>
      <c r="TKR42" s="21"/>
      <c r="TKV42" s="15"/>
      <c r="TLB42" s="25"/>
      <c r="TLI42" s="21"/>
      <c r="TLJ42" s="21"/>
      <c r="TLN42" s="15"/>
      <c r="TLT42" s="25"/>
      <c r="TMA42" s="21"/>
      <c r="TMB42" s="21"/>
      <c r="TMF42" s="15"/>
      <c r="TML42" s="25"/>
      <c r="TMS42" s="21"/>
      <c r="TMT42" s="21"/>
      <c r="TMX42" s="15"/>
      <c r="TND42" s="25"/>
      <c r="TNK42" s="21"/>
      <c r="TNL42" s="21"/>
      <c r="TNP42" s="15"/>
      <c r="TNV42" s="25"/>
      <c r="TOC42" s="21"/>
      <c r="TOD42" s="21"/>
      <c r="TOH42" s="15"/>
      <c r="TON42" s="25"/>
      <c r="TOU42" s="21"/>
      <c r="TOV42" s="21"/>
      <c r="TOZ42" s="15"/>
      <c r="TPF42" s="25"/>
      <c r="TPM42" s="21"/>
      <c r="TPN42" s="21"/>
      <c r="TPR42" s="15"/>
      <c r="TPX42" s="25"/>
      <c r="TQE42" s="21"/>
      <c r="TQF42" s="21"/>
      <c r="TQJ42" s="15"/>
      <c r="TQP42" s="25"/>
      <c r="TQW42" s="21"/>
      <c r="TQX42" s="21"/>
      <c r="TRB42" s="15"/>
      <c r="TRH42" s="25"/>
      <c r="TRO42" s="21"/>
      <c r="TRP42" s="21"/>
      <c r="TRT42" s="15"/>
      <c r="TRZ42" s="25"/>
      <c r="TSG42" s="21"/>
      <c r="TSH42" s="21"/>
      <c r="TSL42" s="15"/>
      <c r="TSR42" s="25"/>
      <c r="TSY42" s="21"/>
      <c r="TSZ42" s="21"/>
      <c r="TTD42" s="15"/>
      <c r="TTJ42" s="25"/>
      <c r="TTQ42" s="21"/>
      <c r="TTR42" s="21"/>
      <c r="TTV42" s="15"/>
      <c r="TUB42" s="25"/>
      <c r="TUI42" s="21"/>
      <c r="TUJ42" s="21"/>
      <c r="TUN42" s="15"/>
      <c r="TUT42" s="25"/>
      <c r="TVA42" s="21"/>
      <c r="TVB42" s="21"/>
      <c r="TVF42" s="15"/>
      <c r="TVL42" s="25"/>
      <c r="TVS42" s="21"/>
      <c r="TVT42" s="21"/>
      <c r="TVX42" s="15"/>
      <c r="TWD42" s="25"/>
      <c r="TWK42" s="21"/>
      <c r="TWL42" s="21"/>
      <c r="TWP42" s="15"/>
      <c r="TWV42" s="25"/>
      <c r="TXC42" s="21"/>
      <c r="TXD42" s="21"/>
      <c r="TXH42" s="15"/>
      <c r="TXN42" s="25"/>
      <c r="TXU42" s="21"/>
      <c r="TXV42" s="21"/>
      <c r="TXZ42" s="15"/>
      <c r="TYF42" s="25"/>
      <c r="TYM42" s="21"/>
      <c r="TYN42" s="21"/>
      <c r="TYR42" s="15"/>
      <c r="TYX42" s="25"/>
      <c r="TZE42" s="21"/>
      <c r="TZF42" s="21"/>
      <c r="TZJ42" s="15"/>
      <c r="TZP42" s="25"/>
      <c r="TZW42" s="21"/>
      <c r="TZX42" s="21"/>
      <c r="UAB42" s="15"/>
      <c r="UAH42" s="25"/>
      <c r="UAO42" s="21"/>
      <c r="UAP42" s="21"/>
      <c r="UAT42" s="15"/>
      <c r="UAZ42" s="25"/>
      <c r="UBG42" s="21"/>
      <c r="UBH42" s="21"/>
      <c r="UBL42" s="15"/>
      <c r="UBR42" s="25"/>
      <c r="UBY42" s="21"/>
      <c r="UBZ42" s="21"/>
      <c r="UCD42" s="15"/>
      <c r="UCJ42" s="25"/>
      <c r="UCQ42" s="21"/>
      <c r="UCR42" s="21"/>
      <c r="UCV42" s="15"/>
      <c r="UDB42" s="25"/>
      <c r="UDI42" s="21"/>
      <c r="UDJ42" s="21"/>
      <c r="UDN42" s="15"/>
      <c r="UDT42" s="25"/>
      <c r="UEA42" s="21"/>
      <c r="UEB42" s="21"/>
      <c r="UEF42" s="15"/>
      <c r="UEL42" s="25"/>
      <c r="UES42" s="21"/>
      <c r="UET42" s="21"/>
      <c r="UEX42" s="15"/>
      <c r="UFD42" s="25"/>
      <c r="UFK42" s="21"/>
      <c r="UFL42" s="21"/>
      <c r="UFP42" s="15"/>
      <c r="UFV42" s="25"/>
      <c r="UGC42" s="21"/>
      <c r="UGD42" s="21"/>
      <c r="UGH42" s="15"/>
      <c r="UGN42" s="25"/>
      <c r="UGU42" s="21"/>
      <c r="UGV42" s="21"/>
      <c r="UGZ42" s="15"/>
      <c r="UHF42" s="25"/>
      <c r="UHM42" s="21"/>
      <c r="UHN42" s="21"/>
      <c r="UHR42" s="15"/>
      <c r="UHX42" s="25"/>
      <c r="UIE42" s="21"/>
      <c r="UIF42" s="21"/>
      <c r="UIJ42" s="15"/>
      <c r="UIP42" s="25"/>
      <c r="UIW42" s="21"/>
      <c r="UIX42" s="21"/>
      <c r="UJB42" s="15"/>
      <c r="UJH42" s="25"/>
      <c r="UJO42" s="21"/>
      <c r="UJP42" s="21"/>
      <c r="UJT42" s="15"/>
      <c r="UJZ42" s="25"/>
      <c r="UKG42" s="21"/>
      <c r="UKH42" s="21"/>
      <c r="UKL42" s="15"/>
      <c r="UKR42" s="25"/>
      <c r="UKY42" s="21"/>
      <c r="UKZ42" s="21"/>
      <c r="ULD42" s="15"/>
      <c r="ULJ42" s="25"/>
      <c r="ULQ42" s="21"/>
      <c r="ULR42" s="21"/>
      <c r="ULV42" s="15"/>
      <c r="UMB42" s="25"/>
      <c r="UMI42" s="21"/>
      <c r="UMJ42" s="21"/>
      <c r="UMN42" s="15"/>
      <c r="UMT42" s="25"/>
      <c r="UNA42" s="21"/>
      <c r="UNB42" s="21"/>
      <c r="UNF42" s="15"/>
      <c r="UNL42" s="25"/>
      <c r="UNS42" s="21"/>
      <c r="UNT42" s="21"/>
      <c r="UNX42" s="15"/>
      <c r="UOD42" s="25"/>
      <c r="UOK42" s="21"/>
      <c r="UOL42" s="21"/>
      <c r="UOP42" s="15"/>
      <c r="UOV42" s="25"/>
      <c r="UPC42" s="21"/>
      <c r="UPD42" s="21"/>
      <c r="UPH42" s="15"/>
      <c r="UPN42" s="25"/>
      <c r="UPU42" s="21"/>
      <c r="UPV42" s="21"/>
      <c r="UPZ42" s="15"/>
      <c r="UQF42" s="25"/>
      <c r="UQM42" s="21"/>
      <c r="UQN42" s="21"/>
      <c r="UQR42" s="15"/>
      <c r="UQX42" s="25"/>
      <c r="URE42" s="21"/>
      <c r="URF42" s="21"/>
      <c r="URJ42" s="15"/>
      <c r="URP42" s="25"/>
      <c r="URW42" s="21"/>
      <c r="URX42" s="21"/>
      <c r="USB42" s="15"/>
      <c r="USH42" s="25"/>
      <c r="USO42" s="21"/>
      <c r="USP42" s="21"/>
      <c r="UST42" s="15"/>
      <c r="USZ42" s="25"/>
      <c r="UTG42" s="21"/>
      <c r="UTH42" s="21"/>
      <c r="UTL42" s="15"/>
      <c r="UTR42" s="25"/>
      <c r="UTY42" s="21"/>
      <c r="UTZ42" s="21"/>
      <c r="UUD42" s="15"/>
      <c r="UUJ42" s="25"/>
      <c r="UUQ42" s="21"/>
      <c r="UUR42" s="21"/>
      <c r="UUV42" s="15"/>
      <c r="UVB42" s="25"/>
      <c r="UVI42" s="21"/>
      <c r="UVJ42" s="21"/>
      <c r="UVN42" s="15"/>
      <c r="UVT42" s="25"/>
      <c r="UWA42" s="21"/>
      <c r="UWB42" s="21"/>
      <c r="UWF42" s="15"/>
      <c r="UWL42" s="25"/>
      <c r="UWS42" s="21"/>
      <c r="UWT42" s="21"/>
      <c r="UWX42" s="15"/>
      <c r="UXD42" s="25"/>
      <c r="UXK42" s="21"/>
      <c r="UXL42" s="21"/>
      <c r="UXP42" s="15"/>
      <c r="UXV42" s="25"/>
      <c r="UYC42" s="21"/>
      <c r="UYD42" s="21"/>
      <c r="UYH42" s="15"/>
      <c r="UYN42" s="25"/>
      <c r="UYU42" s="21"/>
      <c r="UYV42" s="21"/>
      <c r="UYZ42" s="15"/>
      <c r="UZF42" s="25"/>
      <c r="UZM42" s="21"/>
      <c r="UZN42" s="21"/>
      <c r="UZR42" s="15"/>
      <c r="UZX42" s="25"/>
      <c r="VAE42" s="21"/>
      <c r="VAF42" s="21"/>
      <c r="VAJ42" s="15"/>
      <c r="VAP42" s="25"/>
      <c r="VAW42" s="21"/>
      <c r="VAX42" s="21"/>
      <c r="VBB42" s="15"/>
      <c r="VBH42" s="25"/>
      <c r="VBO42" s="21"/>
      <c r="VBP42" s="21"/>
      <c r="VBT42" s="15"/>
      <c r="VBZ42" s="25"/>
      <c r="VCG42" s="21"/>
      <c r="VCH42" s="21"/>
      <c r="VCL42" s="15"/>
      <c r="VCR42" s="25"/>
      <c r="VCY42" s="21"/>
      <c r="VCZ42" s="21"/>
      <c r="VDD42" s="15"/>
      <c r="VDJ42" s="25"/>
      <c r="VDQ42" s="21"/>
      <c r="VDR42" s="21"/>
      <c r="VDV42" s="15"/>
      <c r="VEB42" s="25"/>
      <c r="VEI42" s="21"/>
      <c r="VEJ42" s="21"/>
      <c r="VEN42" s="15"/>
      <c r="VET42" s="25"/>
      <c r="VFA42" s="21"/>
      <c r="VFB42" s="21"/>
      <c r="VFF42" s="15"/>
      <c r="VFL42" s="25"/>
      <c r="VFS42" s="21"/>
      <c r="VFT42" s="21"/>
      <c r="VFX42" s="15"/>
      <c r="VGD42" s="25"/>
      <c r="VGK42" s="21"/>
      <c r="VGL42" s="21"/>
      <c r="VGP42" s="15"/>
      <c r="VGV42" s="25"/>
      <c r="VHC42" s="21"/>
      <c r="VHD42" s="21"/>
      <c r="VHH42" s="15"/>
      <c r="VHN42" s="25"/>
      <c r="VHU42" s="21"/>
      <c r="VHV42" s="21"/>
      <c r="VHZ42" s="15"/>
      <c r="VIF42" s="25"/>
      <c r="VIM42" s="21"/>
      <c r="VIN42" s="21"/>
      <c r="VIR42" s="15"/>
      <c r="VIX42" s="25"/>
      <c r="VJE42" s="21"/>
      <c r="VJF42" s="21"/>
      <c r="VJJ42" s="15"/>
      <c r="VJP42" s="25"/>
      <c r="VJW42" s="21"/>
      <c r="VJX42" s="21"/>
      <c r="VKB42" s="15"/>
      <c r="VKH42" s="25"/>
      <c r="VKO42" s="21"/>
      <c r="VKP42" s="21"/>
      <c r="VKT42" s="15"/>
      <c r="VKZ42" s="25"/>
      <c r="VLG42" s="21"/>
      <c r="VLH42" s="21"/>
      <c r="VLL42" s="15"/>
      <c r="VLR42" s="25"/>
      <c r="VLY42" s="21"/>
      <c r="VLZ42" s="21"/>
      <c r="VMD42" s="15"/>
      <c r="VMJ42" s="25"/>
      <c r="VMQ42" s="21"/>
      <c r="VMR42" s="21"/>
      <c r="VMV42" s="15"/>
      <c r="VNB42" s="25"/>
      <c r="VNI42" s="21"/>
      <c r="VNJ42" s="21"/>
      <c r="VNN42" s="15"/>
      <c r="VNT42" s="25"/>
      <c r="VOA42" s="21"/>
      <c r="VOB42" s="21"/>
      <c r="VOF42" s="15"/>
      <c r="VOL42" s="25"/>
      <c r="VOS42" s="21"/>
      <c r="VOT42" s="21"/>
      <c r="VOX42" s="15"/>
      <c r="VPD42" s="25"/>
      <c r="VPK42" s="21"/>
      <c r="VPL42" s="21"/>
      <c r="VPP42" s="15"/>
      <c r="VPV42" s="25"/>
      <c r="VQC42" s="21"/>
      <c r="VQD42" s="21"/>
      <c r="VQH42" s="15"/>
      <c r="VQN42" s="25"/>
      <c r="VQU42" s="21"/>
      <c r="VQV42" s="21"/>
      <c r="VQZ42" s="15"/>
      <c r="VRF42" s="25"/>
      <c r="VRM42" s="21"/>
      <c r="VRN42" s="21"/>
      <c r="VRR42" s="15"/>
      <c r="VRX42" s="25"/>
      <c r="VSE42" s="21"/>
      <c r="VSF42" s="21"/>
      <c r="VSJ42" s="15"/>
      <c r="VSP42" s="25"/>
      <c r="VSW42" s="21"/>
      <c r="VSX42" s="21"/>
      <c r="VTB42" s="15"/>
      <c r="VTH42" s="25"/>
      <c r="VTO42" s="21"/>
      <c r="VTP42" s="21"/>
      <c r="VTT42" s="15"/>
      <c r="VTZ42" s="25"/>
      <c r="VUG42" s="21"/>
      <c r="VUH42" s="21"/>
      <c r="VUL42" s="15"/>
      <c r="VUR42" s="25"/>
      <c r="VUY42" s="21"/>
      <c r="VUZ42" s="21"/>
      <c r="VVD42" s="15"/>
      <c r="VVJ42" s="25"/>
      <c r="VVQ42" s="21"/>
      <c r="VVR42" s="21"/>
      <c r="VVV42" s="15"/>
      <c r="VWB42" s="25"/>
      <c r="VWI42" s="21"/>
      <c r="VWJ42" s="21"/>
      <c r="VWN42" s="15"/>
      <c r="VWT42" s="25"/>
      <c r="VXA42" s="21"/>
      <c r="VXB42" s="21"/>
      <c r="VXF42" s="15"/>
      <c r="VXL42" s="25"/>
      <c r="VXS42" s="21"/>
      <c r="VXT42" s="21"/>
      <c r="VXX42" s="15"/>
      <c r="VYD42" s="25"/>
      <c r="VYK42" s="21"/>
      <c r="VYL42" s="21"/>
      <c r="VYP42" s="15"/>
      <c r="VYV42" s="25"/>
      <c r="VZC42" s="21"/>
      <c r="VZD42" s="21"/>
      <c r="VZH42" s="15"/>
      <c r="VZN42" s="25"/>
      <c r="VZU42" s="21"/>
      <c r="VZV42" s="21"/>
      <c r="VZZ42" s="15"/>
      <c r="WAF42" s="25"/>
      <c r="WAM42" s="21"/>
      <c r="WAN42" s="21"/>
      <c r="WAR42" s="15"/>
      <c r="WAX42" s="25"/>
      <c r="WBE42" s="21"/>
      <c r="WBF42" s="21"/>
      <c r="WBJ42" s="15"/>
      <c r="WBP42" s="25"/>
      <c r="WBW42" s="21"/>
      <c r="WBX42" s="21"/>
      <c r="WCB42" s="15"/>
      <c r="WCH42" s="25"/>
      <c r="WCO42" s="21"/>
      <c r="WCP42" s="21"/>
      <c r="WCT42" s="15"/>
      <c r="WCZ42" s="25"/>
      <c r="WDG42" s="21"/>
      <c r="WDH42" s="21"/>
      <c r="WDL42" s="15"/>
      <c r="WDR42" s="25"/>
      <c r="WDY42" s="21"/>
      <c r="WDZ42" s="21"/>
      <c r="WED42" s="15"/>
      <c r="WEJ42" s="25"/>
      <c r="WEQ42" s="21"/>
      <c r="WER42" s="21"/>
      <c r="WEV42" s="15"/>
      <c r="WFB42" s="25"/>
      <c r="WFI42" s="21"/>
      <c r="WFJ42" s="21"/>
      <c r="WFN42" s="15"/>
      <c r="WFT42" s="25"/>
      <c r="WGA42" s="21"/>
      <c r="WGB42" s="21"/>
      <c r="WGF42" s="15"/>
      <c r="WGL42" s="25"/>
      <c r="WGS42" s="21"/>
      <c r="WGT42" s="21"/>
      <c r="WGX42" s="15"/>
      <c r="WHD42" s="25"/>
      <c r="WHK42" s="21"/>
      <c r="WHL42" s="21"/>
      <c r="WHP42" s="15"/>
      <c r="WHV42" s="25"/>
      <c r="WIC42" s="21"/>
      <c r="WID42" s="21"/>
      <c r="WIH42" s="15"/>
      <c r="WIN42" s="25"/>
      <c r="WIU42" s="21"/>
      <c r="WIV42" s="21"/>
      <c r="WIZ42" s="15"/>
      <c r="WJF42" s="25"/>
      <c r="WJM42" s="21"/>
      <c r="WJN42" s="21"/>
      <c r="WJR42" s="15"/>
      <c r="WJX42" s="25"/>
      <c r="WKE42" s="21"/>
      <c r="WKF42" s="21"/>
      <c r="WKJ42" s="15"/>
      <c r="WKP42" s="25"/>
      <c r="WKW42" s="21"/>
      <c r="WKX42" s="21"/>
      <c r="WLB42" s="15"/>
      <c r="WLH42" s="25"/>
      <c r="WLO42" s="21"/>
      <c r="WLP42" s="21"/>
      <c r="WLT42" s="15"/>
      <c r="WLZ42" s="25"/>
      <c r="WMG42" s="21"/>
      <c r="WMH42" s="21"/>
      <c r="WML42" s="15"/>
      <c r="WMR42" s="25"/>
      <c r="WMY42" s="21"/>
      <c r="WMZ42" s="21"/>
      <c r="WND42" s="15"/>
      <c r="WNJ42" s="25"/>
      <c r="WNQ42" s="21"/>
      <c r="WNR42" s="21"/>
      <c r="WNV42" s="15"/>
      <c r="WOB42" s="25"/>
      <c r="WOI42" s="21"/>
      <c r="WOJ42" s="21"/>
      <c r="WON42" s="15"/>
      <c r="WOT42" s="25"/>
      <c r="WPA42" s="21"/>
      <c r="WPB42" s="21"/>
      <c r="WPF42" s="15"/>
      <c r="WPL42" s="25"/>
      <c r="WPS42" s="21"/>
      <c r="WPT42" s="21"/>
      <c r="WPX42" s="15"/>
      <c r="WQD42" s="25"/>
      <c r="WQK42" s="21"/>
      <c r="WQL42" s="21"/>
      <c r="WQP42" s="15"/>
      <c r="WQV42" s="25"/>
      <c r="WRC42" s="21"/>
      <c r="WRD42" s="21"/>
      <c r="WRH42" s="15"/>
      <c r="WRN42" s="25"/>
      <c r="WRU42" s="21"/>
      <c r="WRV42" s="21"/>
      <c r="WRZ42" s="15"/>
      <c r="WSF42" s="25"/>
      <c r="WSM42" s="21"/>
      <c r="WSN42" s="21"/>
      <c r="WSR42" s="15"/>
      <c r="WSX42" s="25"/>
      <c r="WTE42" s="21"/>
      <c r="WTF42" s="21"/>
      <c r="WTJ42" s="15"/>
      <c r="WTP42" s="25"/>
      <c r="WTW42" s="21"/>
      <c r="WTX42" s="21"/>
      <c r="WUB42" s="15"/>
      <c r="WUH42" s="25"/>
      <c r="WUO42" s="21"/>
      <c r="WUP42" s="21"/>
      <c r="WUT42" s="15"/>
      <c r="WUZ42" s="25"/>
      <c r="WVG42" s="21"/>
      <c r="WVH42" s="21"/>
      <c r="WVL42" s="15"/>
      <c r="WVR42" s="25"/>
      <c r="WVY42" s="21"/>
      <c r="WVZ42" s="21"/>
      <c r="WWD42" s="15"/>
      <c r="WWJ42" s="25"/>
      <c r="WWQ42" s="21"/>
      <c r="WWR42" s="21"/>
      <c r="WWV42" s="15"/>
      <c r="WXB42" s="25"/>
      <c r="WXI42" s="21"/>
      <c r="WXJ42" s="21"/>
      <c r="WXN42" s="15"/>
      <c r="WXT42" s="25"/>
      <c r="WYA42" s="21"/>
      <c r="WYB42" s="21"/>
      <c r="WYF42" s="15"/>
      <c r="WYL42" s="25"/>
      <c r="WYS42" s="21"/>
      <c r="WYT42" s="21"/>
      <c r="WYX42" s="15"/>
      <c r="WZD42" s="25"/>
      <c r="WZK42" s="21"/>
      <c r="WZL42" s="21"/>
      <c r="WZP42" s="15"/>
      <c r="WZV42" s="25"/>
      <c r="XAC42" s="21"/>
      <c r="XAD42" s="21"/>
      <c r="XAH42" s="15"/>
      <c r="XAN42" s="25"/>
      <c r="XAU42" s="21"/>
      <c r="XAV42" s="21"/>
      <c r="XAZ42" s="15"/>
      <c r="XBF42" s="25"/>
      <c r="XBM42" s="21"/>
      <c r="XBN42" s="21"/>
      <c r="XBR42" s="15"/>
      <c r="XBX42" s="25"/>
      <c r="XCE42" s="21"/>
      <c r="XCF42" s="21"/>
      <c r="XCJ42" s="15"/>
      <c r="XCP42" s="25"/>
      <c r="XCW42" s="21"/>
      <c r="XCX42" s="21"/>
      <c r="XDB42" s="15"/>
      <c r="XDH42" s="25"/>
      <c r="XDO42" s="21"/>
      <c r="XDP42" s="21"/>
      <c r="XDT42" s="15"/>
      <c r="XDZ42" s="25"/>
      <c r="XEG42" s="21"/>
      <c r="XEH42" s="21"/>
      <c r="XEL42" s="15"/>
      <c r="XER42" s="25"/>
      <c r="XEY42" s="21"/>
      <c r="XEZ42" s="21"/>
      <c r="XFD42" s="15"/>
    </row>
    <row r="43" spans="1:1018 1025:2044 2051:3070 3077:4096 4103:5116 5122:6142 6148:7168 7174:8190 8194:9216 9220:10234 10241:11260 11267:12286 12293:13312 13319:14332 14338:15358 15364:16384" s="24" customFormat="1">
      <c r="A43" s="21" t="s">
        <v>137</v>
      </c>
      <c r="B43" s="12">
        <v>2007</v>
      </c>
      <c r="C43" s="19" t="s">
        <v>138</v>
      </c>
      <c r="D43" s="22" t="s">
        <v>86</v>
      </c>
      <c r="E43" s="43" t="s">
        <v>31</v>
      </c>
      <c r="F43" s="19" t="s">
        <v>35</v>
      </c>
      <c r="G43" s="20">
        <v>1183293262</v>
      </c>
      <c r="H43" s="20">
        <v>1213159503</v>
      </c>
      <c r="I43" s="12">
        <v>9</v>
      </c>
      <c r="J43" s="52" t="s">
        <v>139</v>
      </c>
      <c r="K43" s="22"/>
      <c r="L43" s="22"/>
      <c r="M43" s="22" t="s">
        <v>26</v>
      </c>
      <c r="N43" s="12"/>
      <c r="O43" s="22"/>
      <c r="P43" s="12"/>
      <c r="Q43" s="22"/>
      <c r="R43" s="22"/>
      <c r="V43" s="15"/>
      <c r="AB43" s="25"/>
      <c r="AI43" s="21"/>
      <c r="AJ43" s="21"/>
      <c r="AN43" s="15"/>
      <c r="AT43" s="25"/>
      <c r="BA43" s="21"/>
      <c r="BB43" s="21"/>
      <c r="BF43" s="15"/>
      <c r="BL43" s="25"/>
      <c r="BS43" s="21"/>
      <c r="BT43" s="21"/>
      <c r="BX43" s="15"/>
      <c r="CD43" s="25"/>
      <c r="CK43" s="21"/>
      <c r="CL43" s="21"/>
      <c r="CP43" s="15"/>
      <c r="CV43" s="25"/>
      <c r="DC43" s="21"/>
      <c r="DD43" s="21"/>
      <c r="DH43" s="15"/>
      <c r="DN43" s="25"/>
      <c r="DU43" s="21"/>
      <c r="DV43" s="21"/>
      <c r="DZ43" s="15"/>
      <c r="EF43" s="25"/>
      <c r="EM43" s="21"/>
      <c r="EN43" s="21"/>
      <c r="ER43" s="15"/>
      <c r="EX43" s="25"/>
      <c r="FE43" s="21"/>
      <c r="FF43" s="21"/>
      <c r="FJ43" s="15"/>
      <c r="FP43" s="25"/>
      <c r="FW43" s="21"/>
      <c r="FX43" s="21"/>
      <c r="GB43" s="15"/>
      <c r="GH43" s="25"/>
      <c r="GO43" s="21"/>
      <c r="GP43" s="21"/>
      <c r="GT43" s="15"/>
      <c r="GZ43" s="25"/>
      <c r="HG43" s="21"/>
      <c r="HH43" s="21"/>
      <c r="HL43" s="15"/>
      <c r="HR43" s="25"/>
      <c r="HY43" s="21"/>
      <c r="HZ43" s="21"/>
      <c r="ID43" s="15"/>
      <c r="IJ43" s="25"/>
      <c r="IQ43" s="21"/>
      <c r="IR43" s="21"/>
      <c r="IV43" s="15"/>
      <c r="JB43" s="25"/>
      <c r="JI43" s="21"/>
      <c r="JJ43" s="21"/>
      <c r="JN43" s="15"/>
      <c r="JT43" s="25"/>
      <c r="KA43" s="21"/>
      <c r="KB43" s="21"/>
      <c r="KF43" s="15"/>
      <c r="KL43" s="25"/>
      <c r="KS43" s="21"/>
      <c r="KT43" s="21"/>
      <c r="KX43" s="15"/>
      <c r="LD43" s="25"/>
      <c r="LK43" s="21"/>
      <c r="LL43" s="21"/>
      <c r="LP43" s="15"/>
      <c r="LV43" s="25"/>
      <c r="MC43" s="21"/>
      <c r="MD43" s="21"/>
      <c r="MH43" s="15"/>
      <c r="MN43" s="25"/>
      <c r="MU43" s="21"/>
      <c r="MV43" s="21"/>
      <c r="MZ43" s="15"/>
      <c r="NF43" s="25"/>
      <c r="NM43" s="21"/>
      <c r="NN43" s="21"/>
      <c r="NR43" s="15"/>
      <c r="NX43" s="25"/>
      <c r="OE43" s="21"/>
      <c r="OF43" s="21"/>
      <c r="OJ43" s="15"/>
      <c r="OP43" s="25"/>
      <c r="OW43" s="21"/>
      <c r="OX43" s="21"/>
      <c r="PB43" s="15"/>
      <c r="PH43" s="25"/>
      <c r="PO43" s="21"/>
      <c r="PP43" s="21"/>
      <c r="PT43" s="15"/>
      <c r="PZ43" s="25"/>
      <c r="QG43" s="21"/>
      <c r="QH43" s="21"/>
      <c r="QL43" s="15"/>
      <c r="QR43" s="25"/>
      <c r="QY43" s="21"/>
      <c r="QZ43" s="21"/>
      <c r="RD43" s="15"/>
      <c r="RJ43" s="25"/>
      <c r="RQ43" s="21"/>
      <c r="RR43" s="21"/>
      <c r="RV43" s="15"/>
      <c r="SB43" s="25"/>
      <c r="SI43" s="21"/>
      <c r="SJ43" s="21"/>
      <c r="SN43" s="15"/>
      <c r="ST43" s="25"/>
      <c r="TA43" s="21"/>
      <c r="TB43" s="21"/>
      <c r="TF43" s="15"/>
      <c r="TL43" s="25"/>
      <c r="TS43" s="21"/>
      <c r="TT43" s="21"/>
      <c r="TX43" s="15"/>
      <c r="UD43" s="25"/>
      <c r="UK43" s="21"/>
      <c r="UL43" s="21"/>
      <c r="UP43" s="15"/>
      <c r="UV43" s="25"/>
      <c r="VC43" s="21"/>
      <c r="VD43" s="21"/>
      <c r="VH43" s="15"/>
      <c r="VN43" s="25"/>
      <c r="VU43" s="21"/>
      <c r="VV43" s="21"/>
      <c r="VZ43" s="15"/>
      <c r="WF43" s="25"/>
      <c r="WM43" s="21"/>
      <c r="WN43" s="21"/>
      <c r="WR43" s="15"/>
      <c r="WX43" s="25"/>
      <c r="XE43" s="21"/>
      <c r="XF43" s="21"/>
      <c r="XJ43" s="15"/>
      <c r="XP43" s="25"/>
      <c r="XW43" s="21"/>
      <c r="XX43" s="21"/>
      <c r="YB43" s="15"/>
      <c r="YH43" s="25"/>
      <c r="YO43" s="21"/>
      <c r="YP43" s="21"/>
      <c r="YT43" s="15"/>
      <c r="YZ43" s="25"/>
      <c r="ZG43" s="21"/>
      <c r="ZH43" s="21"/>
      <c r="ZL43" s="15"/>
      <c r="ZR43" s="25"/>
      <c r="ZY43" s="21"/>
      <c r="ZZ43" s="21"/>
      <c r="AAD43" s="15"/>
      <c r="AAJ43" s="25"/>
      <c r="AAQ43" s="21"/>
      <c r="AAR43" s="21"/>
      <c r="AAV43" s="15"/>
      <c r="ABB43" s="25"/>
      <c r="ABI43" s="21"/>
      <c r="ABJ43" s="21"/>
      <c r="ABN43" s="15"/>
      <c r="ABT43" s="25"/>
      <c r="ACA43" s="21"/>
      <c r="ACB43" s="21"/>
      <c r="ACF43" s="15"/>
      <c r="ACL43" s="25"/>
      <c r="ACS43" s="21"/>
      <c r="ACT43" s="21"/>
      <c r="ACX43" s="15"/>
      <c r="ADD43" s="25"/>
      <c r="ADK43" s="21"/>
      <c r="ADL43" s="21"/>
      <c r="ADP43" s="15"/>
      <c r="ADV43" s="25"/>
      <c r="AEC43" s="21"/>
      <c r="AED43" s="21"/>
      <c r="AEH43" s="15"/>
      <c r="AEN43" s="25"/>
      <c r="AEU43" s="21"/>
      <c r="AEV43" s="21"/>
      <c r="AEZ43" s="15"/>
      <c r="AFF43" s="25"/>
      <c r="AFM43" s="21"/>
      <c r="AFN43" s="21"/>
      <c r="AFR43" s="15"/>
      <c r="AFX43" s="25"/>
      <c r="AGE43" s="21"/>
      <c r="AGF43" s="21"/>
      <c r="AGJ43" s="15"/>
      <c r="AGP43" s="25"/>
      <c r="AGW43" s="21"/>
      <c r="AGX43" s="21"/>
      <c r="AHB43" s="15"/>
      <c r="AHH43" s="25"/>
      <c r="AHO43" s="21"/>
      <c r="AHP43" s="21"/>
      <c r="AHT43" s="15"/>
      <c r="AHZ43" s="25"/>
      <c r="AIG43" s="21"/>
      <c r="AIH43" s="21"/>
      <c r="AIL43" s="15"/>
      <c r="AIR43" s="25"/>
      <c r="AIY43" s="21"/>
      <c r="AIZ43" s="21"/>
      <c r="AJD43" s="15"/>
      <c r="AJJ43" s="25"/>
      <c r="AJQ43" s="21"/>
      <c r="AJR43" s="21"/>
      <c r="AJV43" s="15"/>
      <c r="AKB43" s="25"/>
      <c r="AKI43" s="21"/>
      <c r="AKJ43" s="21"/>
      <c r="AKN43" s="15"/>
      <c r="AKT43" s="25"/>
      <c r="ALA43" s="21"/>
      <c r="ALB43" s="21"/>
      <c r="ALF43" s="15"/>
      <c r="ALL43" s="25"/>
      <c r="ALS43" s="21"/>
      <c r="ALT43" s="21"/>
      <c r="ALX43" s="15"/>
      <c r="AMD43" s="25"/>
      <c r="AMK43" s="21"/>
      <c r="AML43" s="21"/>
      <c r="AMP43" s="15"/>
      <c r="AMV43" s="25"/>
      <c r="ANC43" s="21"/>
      <c r="AND43" s="21"/>
      <c r="ANH43" s="15"/>
      <c r="ANN43" s="25"/>
      <c r="ANU43" s="21"/>
      <c r="ANV43" s="21"/>
      <c r="ANZ43" s="15"/>
      <c r="AOF43" s="25"/>
      <c r="AOM43" s="21"/>
      <c r="AON43" s="21"/>
      <c r="AOR43" s="15"/>
      <c r="AOX43" s="25"/>
      <c r="APE43" s="21"/>
      <c r="APF43" s="21"/>
      <c r="APJ43" s="15"/>
      <c r="APP43" s="25"/>
      <c r="APW43" s="21"/>
      <c r="APX43" s="21"/>
      <c r="AQB43" s="15"/>
      <c r="AQH43" s="25"/>
      <c r="AQO43" s="21"/>
      <c r="AQP43" s="21"/>
      <c r="AQT43" s="15"/>
      <c r="AQZ43" s="25"/>
      <c r="ARG43" s="21"/>
      <c r="ARH43" s="21"/>
      <c r="ARL43" s="15"/>
      <c r="ARR43" s="25"/>
      <c r="ARY43" s="21"/>
      <c r="ARZ43" s="21"/>
      <c r="ASD43" s="15"/>
      <c r="ASJ43" s="25"/>
      <c r="ASQ43" s="21"/>
      <c r="ASR43" s="21"/>
      <c r="ASV43" s="15"/>
      <c r="ATB43" s="25"/>
      <c r="ATI43" s="21"/>
      <c r="ATJ43" s="21"/>
      <c r="ATN43" s="15"/>
      <c r="ATT43" s="25"/>
      <c r="AUA43" s="21"/>
      <c r="AUB43" s="21"/>
      <c r="AUF43" s="15"/>
      <c r="AUL43" s="25"/>
      <c r="AUS43" s="21"/>
      <c r="AUT43" s="21"/>
      <c r="AUX43" s="15"/>
      <c r="AVD43" s="25"/>
      <c r="AVK43" s="21"/>
      <c r="AVL43" s="21"/>
      <c r="AVP43" s="15"/>
      <c r="AVV43" s="25"/>
      <c r="AWC43" s="21"/>
      <c r="AWD43" s="21"/>
      <c r="AWH43" s="15"/>
      <c r="AWN43" s="25"/>
      <c r="AWU43" s="21"/>
      <c r="AWV43" s="21"/>
      <c r="AWZ43" s="15"/>
      <c r="AXF43" s="25"/>
      <c r="AXM43" s="21"/>
      <c r="AXN43" s="21"/>
      <c r="AXR43" s="15"/>
      <c r="AXX43" s="25"/>
      <c r="AYE43" s="21"/>
      <c r="AYF43" s="21"/>
      <c r="AYJ43" s="15"/>
      <c r="AYP43" s="25"/>
      <c r="AYW43" s="21"/>
      <c r="AYX43" s="21"/>
      <c r="AZB43" s="15"/>
      <c r="AZH43" s="25"/>
      <c r="AZO43" s="21"/>
      <c r="AZP43" s="21"/>
      <c r="AZT43" s="15"/>
      <c r="AZZ43" s="25"/>
      <c r="BAG43" s="21"/>
      <c r="BAH43" s="21"/>
      <c r="BAL43" s="15"/>
      <c r="BAR43" s="25"/>
      <c r="BAY43" s="21"/>
      <c r="BAZ43" s="21"/>
      <c r="BBD43" s="15"/>
      <c r="BBJ43" s="25"/>
      <c r="BBQ43" s="21"/>
      <c r="BBR43" s="21"/>
      <c r="BBV43" s="15"/>
      <c r="BCB43" s="25"/>
      <c r="BCI43" s="21"/>
      <c r="BCJ43" s="21"/>
      <c r="BCN43" s="15"/>
      <c r="BCT43" s="25"/>
      <c r="BDA43" s="21"/>
      <c r="BDB43" s="21"/>
      <c r="BDF43" s="15"/>
      <c r="BDL43" s="25"/>
      <c r="BDS43" s="21"/>
      <c r="BDT43" s="21"/>
      <c r="BDX43" s="15"/>
      <c r="BED43" s="25"/>
      <c r="BEK43" s="21"/>
      <c r="BEL43" s="21"/>
      <c r="BEP43" s="15"/>
      <c r="BEV43" s="25"/>
      <c r="BFC43" s="21"/>
      <c r="BFD43" s="21"/>
      <c r="BFH43" s="15"/>
      <c r="BFN43" s="25"/>
      <c r="BFU43" s="21"/>
      <c r="BFV43" s="21"/>
      <c r="BFZ43" s="15"/>
      <c r="BGF43" s="25"/>
      <c r="BGM43" s="21"/>
      <c r="BGN43" s="21"/>
      <c r="BGR43" s="15"/>
      <c r="BGX43" s="25"/>
      <c r="BHE43" s="21"/>
      <c r="BHF43" s="21"/>
      <c r="BHJ43" s="15"/>
      <c r="BHP43" s="25"/>
      <c r="BHW43" s="21"/>
      <c r="BHX43" s="21"/>
      <c r="BIB43" s="15"/>
      <c r="BIH43" s="25"/>
      <c r="BIO43" s="21"/>
      <c r="BIP43" s="21"/>
      <c r="BIT43" s="15"/>
      <c r="BIZ43" s="25"/>
      <c r="BJG43" s="21"/>
      <c r="BJH43" s="21"/>
      <c r="BJL43" s="15"/>
      <c r="BJR43" s="25"/>
      <c r="BJY43" s="21"/>
      <c r="BJZ43" s="21"/>
      <c r="BKD43" s="15"/>
      <c r="BKJ43" s="25"/>
      <c r="BKQ43" s="21"/>
      <c r="BKR43" s="21"/>
      <c r="BKV43" s="15"/>
      <c r="BLB43" s="25"/>
      <c r="BLI43" s="21"/>
      <c r="BLJ43" s="21"/>
      <c r="BLN43" s="15"/>
      <c r="BLT43" s="25"/>
      <c r="BMA43" s="21"/>
      <c r="BMB43" s="21"/>
      <c r="BMF43" s="15"/>
      <c r="BML43" s="25"/>
      <c r="BMS43" s="21"/>
      <c r="BMT43" s="21"/>
      <c r="BMX43" s="15"/>
      <c r="BND43" s="25"/>
      <c r="BNK43" s="21"/>
      <c r="BNL43" s="21"/>
      <c r="BNP43" s="15"/>
      <c r="BNV43" s="25"/>
      <c r="BOC43" s="21"/>
      <c r="BOD43" s="21"/>
      <c r="BOH43" s="15"/>
      <c r="BON43" s="25"/>
      <c r="BOU43" s="21"/>
      <c r="BOV43" s="21"/>
      <c r="BOZ43" s="15"/>
      <c r="BPF43" s="25"/>
      <c r="BPM43" s="21"/>
      <c r="BPN43" s="21"/>
      <c r="BPR43" s="15"/>
      <c r="BPX43" s="25"/>
      <c r="BQE43" s="21"/>
      <c r="BQF43" s="21"/>
      <c r="BQJ43" s="15"/>
      <c r="BQP43" s="25"/>
      <c r="BQW43" s="21"/>
      <c r="BQX43" s="21"/>
      <c r="BRB43" s="15"/>
      <c r="BRH43" s="25"/>
      <c r="BRO43" s="21"/>
      <c r="BRP43" s="21"/>
      <c r="BRT43" s="15"/>
      <c r="BRZ43" s="25"/>
      <c r="BSG43" s="21"/>
      <c r="BSH43" s="21"/>
      <c r="BSL43" s="15"/>
      <c r="BSR43" s="25"/>
      <c r="BSY43" s="21"/>
      <c r="BSZ43" s="21"/>
      <c r="BTD43" s="15"/>
      <c r="BTJ43" s="25"/>
      <c r="BTQ43" s="21"/>
      <c r="BTR43" s="21"/>
      <c r="BTV43" s="15"/>
      <c r="BUB43" s="25"/>
      <c r="BUI43" s="21"/>
      <c r="BUJ43" s="21"/>
      <c r="BUN43" s="15"/>
      <c r="BUT43" s="25"/>
      <c r="BVA43" s="21"/>
      <c r="BVB43" s="21"/>
      <c r="BVF43" s="15"/>
      <c r="BVL43" s="25"/>
      <c r="BVS43" s="21"/>
      <c r="BVT43" s="21"/>
      <c r="BVX43" s="15"/>
      <c r="BWD43" s="25"/>
      <c r="BWK43" s="21"/>
      <c r="BWL43" s="21"/>
      <c r="BWP43" s="15"/>
      <c r="BWV43" s="25"/>
      <c r="BXC43" s="21"/>
      <c r="BXD43" s="21"/>
      <c r="BXH43" s="15"/>
      <c r="BXN43" s="25"/>
      <c r="BXU43" s="21"/>
      <c r="BXV43" s="21"/>
      <c r="BXZ43" s="15"/>
      <c r="BYF43" s="25"/>
      <c r="BYM43" s="21"/>
      <c r="BYN43" s="21"/>
      <c r="BYR43" s="15"/>
      <c r="BYX43" s="25"/>
      <c r="BZE43" s="21"/>
      <c r="BZF43" s="21"/>
      <c r="BZJ43" s="15"/>
      <c r="BZP43" s="25"/>
      <c r="BZW43" s="21"/>
      <c r="BZX43" s="21"/>
      <c r="CAB43" s="15"/>
      <c r="CAH43" s="25"/>
      <c r="CAO43" s="21"/>
      <c r="CAP43" s="21"/>
      <c r="CAT43" s="15"/>
      <c r="CAZ43" s="25"/>
      <c r="CBG43" s="21"/>
      <c r="CBH43" s="21"/>
      <c r="CBL43" s="15"/>
      <c r="CBR43" s="25"/>
      <c r="CBY43" s="21"/>
      <c r="CBZ43" s="21"/>
      <c r="CCD43" s="15"/>
      <c r="CCJ43" s="25"/>
      <c r="CCQ43" s="21"/>
      <c r="CCR43" s="21"/>
      <c r="CCV43" s="15"/>
      <c r="CDB43" s="25"/>
      <c r="CDI43" s="21"/>
      <c r="CDJ43" s="21"/>
      <c r="CDN43" s="15"/>
      <c r="CDT43" s="25"/>
      <c r="CEA43" s="21"/>
      <c r="CEB43" s="21"/>
      <c r="CEF43" s="15"/>
      <c r="CEL43" s="25"/>
      <c r="CES43" s="21"/>
      <c r="CET43" s="21"/>
      <c r="CEX43" s="15"/>
      <c r="CFD43" s="25"/>
      <c r="CFK43" s="21"/>
      <c r="CFL43" s="21"/>
      <c r="CFP43" s="15"/>
      <c r="CFV43" s="25"/>
      <c r="CGC43" s="21"/>
      <c r="CGD43" s="21"/>
      <c r="CGH43" s="15"/>
      <c r="CGN43" s="25"/>
      <c r="CGU43" s="21"/>
      <c r="CGV43" s="21"/>
      <c r="CGZ43" s="15"/>
      <c r="CHF43" s="25"/>
      <c r="CHM43" s="21"/>
      <c r="CHN43" s="21"/>
      <c r="CHR43" s="15"/>
      <c r="CHX43" s="25"/>
      <c r="CIE43" s="21"/>
      <c r="CIF43" s="21"/>
      <c r="CIJ43" s="15"/>
      <c r="CIP43" s="25"/>
      <c r="CIW43" s="21"/>
      <c r="CIX43" s="21"/>
      <c r="CJB43" s="15"/>
      <c r="CJH43" s="25"/>
      <c r="CJO43" s="21"/>
      <c r="CJP43" s="21"/>
      <c r="CJT43" s="15"/>
      <c r="CJZ43" s="25"/>
      <c r="CKG43" s="21"/>
      <c r="CKH43" s="21"/>
      <c r="CKL43" s="15"/>
      <c r="CKR43" s="25"/>
      <c r="CKY43" s="21"/>
      <c r="CKZ43" s="21"/>
      <c r="CLD43" s="15"/>
      <c r="CLJ43" s="25"/>
      <c r="CLQ43" s="21"/>
      <c r="CLR43" s="21"/>
      <c r="CLV43" s="15"/>
      <c r="CMB43" s="25"/>
      <c r="CMI43" s="21"/>
      <c r="CMJ43" s="21"/>
      <c r="CMN43" s="15"/>
      <c r="CMT43" s="25"/>
      <c r="CNA43" s="21"/>
      <c r="CNB43" s="21"/>
      <c r="CNF43" s="15"/>
      <c r="CNL43" s="25"/>
      <c r="CNS43" s="21"/>
      <c r="CNT43" s="21"/>
      <c r="CNX43" s="15"/>
      <c r="COD43" s="25"/>
      <c r="COK43" s="21"/>
      <c r="COL43" s="21"/>
      <c r="COP43" s="15"/>
      <c r="COV43" s="25"/>
      <c r="CPC43" s="21"/>
      <c r="CPD43" s="21"/>
      <c r="CPH43" s="15"/>
      <c r="CPN43" s="25"/>
      <c r="CPU43" s="21"/>
      <c r="CPV43" s="21"/>
      <c r="CPZ43" s="15"/>
      <c r="CQF43" s="25"/>
      <c r="CQM43" s="21"/>
      <c r="CQN43" s="21"/>
      <c r="CQR43" s="15"/>
      <c r="CQX43" s="25"/>
      <c r="CRE43" s="21"/>
      <c r="CRF43" s="21"/>
      <c r="CRJ43" s="15"/>
      <c r="CRP43" s="25"/>
      <c r="CRW43" s="21"/>
      <c r="CRX43" s="21"/>
      <c r="CSB43" s="15"/>
      <c r="CSH43" s="25"/>
      <c r="CSO43" s="21"/>
      <c r="CSP43" s="21"/>
      <c r="CST43" s="15"/>
      <c r="CSZ43" s="25"/>
      <c r="CTG43" s="21"/>
      <c r="CTH43" s="21"/>
      <c r="CTL43" s="15"/>
      <c r="CTR43" s="25"/>
      <c r="CTY43" s="21"/>
      <c r="CTZ43" s="21"/>
      <c r="CUD43" s="15"/>
      <c r="CUJ43" s="25"/>
      <c r="CUQ43" s="21"/>
      <c r="CUR43" s="21"/>
      <c r="CUV43" s="15"/>
      <c r="CVB43" s="25"/>
      <c r="CVI43" s="21"/>
      <c r="CVJ43" s="21"/>
      <c r="CVN43" s="15"/>
      <c r="CVT43" s="25"/>
      <c r="CWA43" s="21"/>
      <c r="CWB43" s="21"/>
      <c r="CWF43" s="15"/>
      <c r="CWL43" s="25"/>
      <c r="CWS43" s="21"/>
      <c r="CWT43" s="21"/>
      <c r="CWX43" s="15"/>
      <c r="CXD43" s="25"/>
      <c r="CXK43" s="21"/>
      <c r="CXL43" s="21"/>
      <c r="CXP43" s="15"/>
      <c r="CXV43" s="25"/>
      <c r="CYC43" s="21"/>
      <c r="CYD43" s="21"/>
      <c r="CYH43" s="15"/>
      <c r="CYN43" s="25"/>
      <c r="CYU43" s="21"/>
      <c r="CYV43" s="21"/>
      <c r="CYZ43" s="15"/>
      <c r="CZF43" s="25"/>
      <c r="CZM43" s="21"/>
      <c r="CZN43" s="21"/>
      <c r="CZR43" s="15"/>
      <c r="CZX43" s="25"/>
      <c r="DAE43" s="21"/>
      <c r="DAF43" s="21"/>
      <c r="DAJ43" s="15"/>
      <c r="DAP43" s="25"/>
      <c r="DAW43" s="21"/>
      <c r="DAX43" s="21"/>
      <c r="DBB43" s="15"/>
      <c r="DBH43" s="25"/>
      <c r="DBO43" s="21"/>
      <c r="DBP43" s="21"/>
      <c r="DBT43" s="15"/>
      <c r="DBZ43" s="25"/>
      <c r="DCG43" s="21"/>
      <c r="DCH43" s="21"/>
      <c r="DCL43" s="15"/>
      <c r="DCR43" s="25"/>
      <c r="DCY43" s="21"/>
      <c r="DCZ43" s="21"/>
      <c r="DDD43" s="15"/>
      <c r="DDJ43" s="25"/>
      <c r="DDQ43" s="21"/>
      <c r="DDR43" s="21"/>
      <c r="DDV43" s="15"/>
      <c r="DEB43" s="25"/>
      <c r="DEI43" s="21"/>
      <c r="DEJ43" s="21"/>
      <c r="DEN43" s="15"/>
      <c r="DET43" s="25"/>
      <c r="DFA43" s="21"/>
      <c r="DFB43" s="21"/>
      <c r="DFF43" s="15"/>
      <c r="DFL43" s="25"/>
      <c r="DFS43" s="21"/>
      <c r="DFT43" s="21"/>
      <c r="DFX43" s="15"/>
      <c r="DGD43" s="25"/>
      <c r="DGK43" s="21"/>
      <c r="DGL43" s="21"/>
      <c r="DGP43" s="15"/>
      <c r="DGV43" s="25"/>
      <c r="DHC43" s="21"/>
      <c r="DHD43" s="21"/>
      <c r="DHH43" s="15"/>
      <c r="DHN43" s="25"/>
      <c r="DHU43" s="21"/>
      <c r="DHV43" s="21"/>
      <c r="DHZ43" s="15"/>
      <c r="DIF43" s="25"/>
      <c r="DIM43" s="21"/>
      <c r="DIN43" s="21"/>
      <c r="DIR43" s="15"/>
      <c r="DIX43" s="25"/>
      <c r="DJE43" s="21"/>
      <c r="DJF43" s="21"/>
      <c r="DJJ43" s="15"/>
      <c r="DJP43" s="25"/>
      <c r="DJW43" s="21"/>
      <c r="DJX43" s="21"/>
      <c r="DKB43" s="15"/>
      <c r="DKH43" s="25"/>
      <c r="DKO43" s="21"/>
      <c r="DKP43" s="21"/>
      <c r="DKT43" s="15"/>
      <c r="DKZ43" s="25"/>
      <c r="DLG43" s="21"/>
      <c r="DLH43" s="21"/>
      <c r="DLL43" s="15"/>
      <c r="DLR43" s="25"/>
      <c r="DLY43" s="21"/>
      <c r="DLZ43" s="21"/>
      <c r="DMD43" s="15"/>
      <c r="DMJ43" s="25"/>
      <c r="DMQ43" s="21"/>
      <c r="DMR43" s="21"/>
      <c r="DMV43" s="15"/>
      <c r="DNB43" s="25"/>
      <c r="DNI43" s="21"/>
      <c r="DNJ43" s="21"/>
      <c r="DNN43" s="15"/>
      <c r="DNT43" s="25"/>
      <c r="DOA43" s="21"/>
      <c r="DOB43" s="21"/>
      <c r="DOF43" s="15"/>
      <c r="DOL43" s="25"/>
      <c r="DOS43" s="21"/>
      <c r="DOT43" s="21"/>
      <c r="DOX43" s="15"/>
      <c r="DPD43" s="25"/>
      <c r="DPK43" s="21"/>
      <c r="DPL43" s="21"/>
      <c r="DPP43" s="15"/>
      <c r="DPV43" s="25"/>
      <c r="DQC43" s="21"/>
      <c r="DQD43" s="21"/>
      <c r="DQH43" s="15"/>
      <c r="DQN43" s="25"/>
      <c r="DQU43" s="21"/>
      <c r="DQV43" s="21"/>
      <c r="DQZ43" s="15"/>
      <c r="DRF43" s="25"/>
      <c r="DRM43" s="21"/>
      <c r="DRN43" s="21"/>
      <c r="DRR43" s="15"/>
      <c r="DRX43" s="25"/>
      <c r="DSE43" s="21"/>
      <c r="DSF43" s="21"/>
      <c r="DSJ43" s="15"/>
      <c r="DSP43" s="25"/>
      <c r="DSW43" s="21"/>
      <c r="DSX43" s="21"/>
      <c r="DTB43" s="15"/>
      <c r="DTH43" s="25"/>
      <c r="DTO43" s="21"/>
      <c r="DTP43" s="21"/>
      <c r="DTT43" s="15"/>
      <c r="DTZ43" s="25"/>
      <c r="DUG43" s="21"/>
      <c r="DUH43" s="21"/>
      <c r="DUL43" s="15"/>
      <c r="DUR43" s="25"/>
      <c r="DUY43" s="21"/>
      <c r="DUZ43" s="21"/>
      <c r="DVD43" s="15"/>
      <c r="DVJ43" s="25"/>
      <c r="DVQ43" s="21"/>
      <c r="DVR43" s="21"/>
      <c r="DVV43" s="15"/>
      <c r="DWB43" s="25"/>
      <c r="DWI43" s="21"/>
      <c r="DWJ43" s="21"/>
      <c r="DWN43" s="15"/>
      <c r="DWT43" s="25"/>
      <c r="DXA43" s="21"/>
      <c r="DXB43" s="21"/>
      <c r="DXF43" s="15"/>
      <c r="DXL43" s="25"/>
      <c r="DXS43" s="21"/>
      <c r="DXT43" s="21"/>
      <c r="DXX43" s="15"/>
      <c r="DYD43" s="25"/>
      <c r="DYK43" s="21"/>
      <c r="DYL43" s="21"/>
      <c r="DYP43" s="15"/>
      <c r="DYV43" s="25"/>
      <c r="DZC43" s="21"/>
      <c r="DZD43" s="21"/>
      <c r="DZH43" s="15"/>
      <c r="DZN43" s="25"/>
      <c r="DZU43" s="21"/>
      <c r="DZV43" s="21"/>
      <c r="DZZ43" s="15"/>
      <c r="EAF43" s="25"/>
      <c r="EAM43" s="21"/>
      <c r="EAN43" s="21"/>
      <c r="EAR43" s="15"/>
      <c r="EAX43" s="25"/>
      <c r="EBE43" s="21"/>
      <c r="EBF43" s="21"/>
      <c r="EBJ43" s="15"/>
      <c r="EBP43" s="25"/>
      <c r="EBW43" s="21"/>
      <c r="EBX43" s="21"/>
      <c r="ECB43" s="15"/>
      <c r="ECH43" s="25"/>
      <c r="ECO43" s="21"/>
      <c r="ECP43" s="21"/>
      <c r="ECT43" s="15"/>
      <c r="ECZ43" s="25"/>
      <c r="EDG43" s="21"/>
      <c r="EDH43" s="21"/>
      <c r="EDL43" s="15"/>
      <c r="EDR43" s="25"/>
      <c r="EDY43" s="21"/>
      <c r="EDZ43" s="21"/>
      <c r="EED43" s="15"/>
      <c r="EEJ43" s="25"/>
      <c r="EEQ43" s="21"/>
      <c r="EER43" s="21"/>
      <c r="EEV43" s="15"/>
      <c r="EFB43" s="25"/>
      <c r="EFI43" s="21"/>
      <c r="EFJ43" s="21"/>
      <c r="EFN43" s="15"/>
      <c r="EFT43" s="25"/>
      <c r="EGA43" s="21"/>
      <c r="EGB43" s="21"/>
      <c r="EGF43" s="15"/>
      <c r="EGL43" s="25"/>
      <c r="EGS43" s="21"/>
      <c r="EGT43" s="21"/>
      <c r="EGX43" s="15"/>
      <c r="EHD43" s="25"/>
      <c r="EHK43" s="21"/>
      <c r="EHL43" s="21"/>
      <c r="EHP43" s="15"/>
      <c r="EHV43" s="25"/>
      <c r="EIC43" s="21"/>
      <c r="EID43" s="21"/>
      <c r="EIH43" s="15"/>
      <c r="EIN43" s="25"/>
      <c r="EIU43" s="21"/>
      <c r="EIV43" s="21"/>
      <c r="EIZ43" s="15"/>
      <c r="EJF43" s="25"/>
      <c r="EJM43" s="21"/>
      <c r="EJN43" s="21"/>
      <c r="EJR43" s="15"/>
      <c r="EJX43" s="25"/>
      <c r="EKE43" s="21"/>
      <c r="EKF43" s="21"/>
      <c r="EKJ43" s="15"/>
      <c r="EKP43" s="25"/>
      <c r="EKW43" s="21"/>
      <c r="EKX43" s="21"/>
      <c r="ELB43" s="15"/>
      <c r="ELH43" s="25"/>
      <c r="ELO43" s="21"/>
      <c r="ELP43" s="21"/>
      <c r="ELT43" s="15"/>
      <c r="ELZ43" s="25"/>
      <c r="EMG43" s="21"/>
      <c r="EMH43" s="21"/>
      <c r="EML43" s="15"/>
      <c r="EMR43" s="25"/>
      <c r="EMY43" s="21"/>
      <c r="EMZ43" s="21"/>
      <c r="END43" s="15"/>
      <c r="ENJ43" s="25"/>
      <c r="ENQ43" s="21"/>
      <c r="ENR43" s="21"/>
      <c r="ENV43" s="15"/>
      <c r="EOB43" s="25"/>
      <c r="EOI43" s="21"/>
      <c r="EOJ43" s="21"/>
      <c r="EON43" s="15"/>
      <c r="EOT43" s="25"/>
      <c r="EPA43" s="21"/>
      <c r="EPB43" s="21"/>
      <c r="EPF43" s="15"/>
      <c r="EPL43" s="25"/>
      <c r="EPS43" s="21"/>
      <c r="EPT43" s="21"/>
      <c r="EPX43" s="15"/>
      <c r="EQD43" s="25"/>
      <c r="EQK43" s="21"/>
      <c r="EQL43" s="21"/>
      <c r="EQP43" s="15"/>
      <c r="EQV43" s="25"/>
      <c r="ERC43" s="21"/>
      <c r="ERD43" s="21"/>
      <c r="ERH43" s="15"/>
      <c r="ERN43" s="25"/>
      <c r="ERU43" s="21"/>
      <c r="ERV43" s="21"/>
      <c r="ERZ43" s="15"/>
      <c r="ESF43" s="25"/>
      <c r="ESM43" s="21"/>
      <c r="ESN43" s="21"/>
      <c r="ESR43" s="15"/>
      <c r="ESX43" s="25"/>
      <c r="ETE43" s="21"/>
      <c r="ETF43" s="21"/>
      <c r="ETJ43" s="15"/>
      <c r="ETP43" s="25"/>
      <c r="ETW43" s="21"/>
      <c r="ETX43" s="21"/>
      <c r="EUB43" s="15"/>
      <c r="EUH43" s="25"/>
      <c r="EUO43" s="21"/>
      <c r="EUP43" s="21"/>
      <c r="EUT43" s="15"/>
      <c r="EUZ43" s="25"/>
      <c r="EVG43" s="21"/>
      <c r="EVH43" s="21"/>
      <c r="EVL43" s="15"/>
      <c r="EVR43" s="25"/>
      <c r="EVY43" s="21"/>
      <c r="EVZ43" s="21"/>
      <c r="EWD43" s="15"/>
      <c r="EWJ43" s="25"/>
      <c r="EWQ43" s="21"/>
      <c r="EWR43" s="21"/>
      <c r="EWV43" s="15"/>
      <c r="EXB43" s="25"/>
      <c r="EXI43" s="21"/>
      <c r="EXJ43" s="21"/>
      <c r="EXN43" s="15"/>
      <c r="EXT43" s="25"/>
      <c r="EYA43" s="21"/>
      <c r="EYB43" s="21"/>
      <c r="EYF43" s="15"/>
      <c r="EYL43" s="25"/>
      <c r="EYS43" s="21"/>
      <c r="EYT43" s="21"/>
      <c r="EYX43" s="15"/>
      <c r="EZD43" s="25"/>
      <c r="EZK43" s="21"/>
      <c r="EZL43" s="21"/>
      <c r="EZP43" s="15"/>
      <c r="EZV43" s="25"/>
      <c r="FAC43" s="21"/>
      <c r="FAD43" s="21"/>
      <c r="FAH43" s="15"/>
      <c r="FAN43" s="25"/>
      <c r="FAU43" s="21"/>
      <c r="FAV43" s="21"/>
      <c r="FAZ43" s="15"/>
      <c r="FBF43" s="25"/>
      <c r="FBM43" s="21"/>
      <c r="FBN43" s="21"/>
      <c r="FBR43" s="15"/>
      <c r="FBX43" s="25"/>
      <c r="FCE43" s="21"/>
      <c r="FCF43" s="21"/>
      <c r="FCJ43" s="15"/>
      <c r="FCP43" s="25"/>
      <c r="FCW43" s="21"/>
      <c r="FCX43" s="21"/>
      <c r="FDB43" s="15"/>
      <c r="FDH43" s="25"/>
      <c r="FDO43" s="21"/>
      <c r="FDP43" s="21"/>
      <c r="FDT43" s="15"/>
      <c r="FDZ43" s="25"/>
      <c r="FEG43" s="21"/>
      <c r="FEH43" s="21"/>
      <c r="FEL43" s="15"/>
      <c r="FER43" s="25"/>
      <c r="FEY43" s="21"/>
      <c r="FEZ43" s="21"/>
      <c r="FFD43" s="15"/>
      <c r="FFJ43" s="25"/>
      <c r="FFQ43" s="21"/>
      <c r="FFR43" s="21"/>
      <c r="FFV43" s="15"/>
      <c r="FGB43" s="25"/>
      <c r="FGI43" s="21"/>
      <c r="FGJ43" s="21"/>
      <c r="FGN43" s="15"/>
      <c r="FGT43" s="25"/>
      <c r="FHA43" s="21"/>
      <c r="FHB43" s="21"/>
      <c r="FHF43" s="15"/>
      <c r="FHL43" s="25"/>
      <c r="FHS43" s="21"/>
      <c r="FHT43" s="21"/>
      <c r="FHX43" s="15"/>
      <c r="FID43" s="25"/>
      <c r="FIK43" s="21"/>
      <c r="FIL43" s="21"/>
      <c r="FIP43" s="15"/>
      <c r="FIV43" s="25"/>
      <c r="FJC43" s="21"/>
      <c r="FJD43" s="21"/>
      <c r="FJH43" s="15"/>
      <c r="FJN43" s="25"/>
      <c r="FJU43" s="21"/>
      <c r="FJV43" s="21"/>
      <c r="FJZ43" s="15"/>
      <c r="FKF43" s="25"/>
      <c r="FKM43" s="21"/>
      <c r="FKN43" s="21"/>
      <c r="FKR43" s="15"/>
      <c r="FKX43" s="25"/>
      <c r="FLE43" s="21"/>
      <c r="FLF43" s="21"/>
      <c r="FLJ43" s="15"/>
      <c r="FLP43" s="25"/>
      <c r="FLW43" s="21"/>
      <c r="FLX43" s="21"/>
      <c r="FMB43" s="15"/>
      <c r="FMH43" s="25"/>
      <c r="FMO43" s="21"/>
      <c r="FMP43" s="21"/>
      <c r="FMT43" s="15"/>
      <c r="FMZ43" s="25"/>
      <c r="FNG43" s="21"/>
      <c r="FNH43" s="21"/>
      <c r="FNL43" s="15"/>
      <c r="FNR43" s="25"/>
      <c r="FNY43" s="21"/>
      <c r="FNZ43" s="21"/>
      <c r="FOD43" s="15"/>
      <c r="FOJ43" s="25"/>
      <c r="FOQ43" s="21"/>
      <c r="FOR43" s="21"/>
      <c r="FOV43" s="15"/>
      <c r="FPB43" s="25"/>
      <c r="FPI43" s="21"/>
      <c r="FPJ43" s="21"/>
      <c r="FPN43" s="15"/>
      <c r="FPT43" s="25"/>
      <c r="FQA43" s="21"/>
      <c r="FQB43" s="21"/>
      <c r="FQF43" s="15"/>
      <c r="FQL43" s="25"/>
      <c r="FQS43" s="21"/>
      <c r="FQT43" s="21"/>
      <c r="FQX43" s="15"/>
      <c r="FRD43" s="25"/>
      <c r="FRK43" s="21"/>
      <c r="FRL43" s="21"/>
      <c r="FRP43" s="15"/>
      <c r="FRV43" s="25"/>
      <c r="FSC43" s="21"/>
      <c r="FSD43" s="21"/>
      <c r="FSH43" s="15"/>
      <c r="FSN43" s="25"/>
      <c r="FSU43" s="21"/>
      <c r="FSV43" s="21"/>
      <c r="FSZ43" s="15"/>
      <c r="FTF43" s="25"/>
      <c r="FTM43" s="21"/>
      <c r="FTN43" s="21"/>
      <c r="FTR43" s="15"/>
      <c r="FTX43" s="25"/>
      <c r="FUE43" s="21"/>
      <c r="FUF43" s="21"/>
      <c r="FUJ43" s="15"/>
      <c r="FUP43" s="25"/>
      <c r="FUW43" s="21"/>
      <c r="FUX43" s="21"/>
      <c r="FVB43" s="15"/>
      <c r="FVH43" s="25"/>
      <c r="FVO43" s="21"/>
      <c r="FVP43" s="21"/>
      <c r="FVT43" s="15"/>
      <c r="FVZ43" s="25"/>
      <c r="FWG43" s="21"/>
      <c r="FWH43" s="21"/>
      <c r="FWL43" s="15"/>
      <c r="FWR43" s="25"/>
      <c r="FWY43" s="21"/>
      <c r="FWZ43" s="21"/>
      <c r="FXD43" s="15"/>
      <c r="FXJ43" s="25"/>
      <c r="FXQ43" s="21"/>
      <c r="FXR43" s="21"/>
      <c r="FXV43" s="15"/>
      <c r="FYB43" s="25"/>
      <c r="FYI43" s="21"/>
      <c r="FYJ43" s="21"/>
      <c r="FYN43" s="15"/>
      <c r="FYT43" s="25"/>
      <c r="FZA43" s="21"/>
      <c r="FZB43" s="21"/>
      <c r="FZF43" s="15"/>
      <c r="FZL43" s="25"/>
      <c r="FZS43" s="21"/>
      <c r="FZT43" s="21"/>
      <c r="FZX43" s="15"/>
      <c r="GAD43" s="25"/>
      <c r="GAK43" s="21"/>
      <c r="GAL43" s="21"/>
      <c r="GAP43" s="15"/>
      <c r="GAV43" s="25"/>
      <c r="GBC43" s="21"/>
      <c r="GBD43" s="21"/>
      <c r="GBH43" s="15"/>
      <c r="GBN43" s="25"/>
      <c r="GBU43" s="21"/>
      <c r="GBV43" s="21"/>
      <c r="GBZ43" s="15"/>
      <c r="GCF43" s="25"/>
      <c r="GCM43" s="21"/>
      <c r="GCN43" s="21"/>
      <c r="GCR43" s="15"/>
      <c r="GCX43" s="25"/>
      <c r="GDE43" s="21"/>
      <c r="GDF43" s="21"/>
      <c r="GDJ43" s="15"/>
      <c r="GDP43" s="25"/>
      <c r="GDW43" s="21"/>
      <c r="GDX43" s="21"/>
      <c r="GEB43" s="15"/>
      <c r="GEH43" s="25"/>
      <c r="GEO43" s="21"/>
      <c r="GEP43" s="21"/>
      <c r="GET43" s="15"/>
      <c r="GEZ43" s="25"/>
      <c r="GFG43" s="21"/>
      <c r="GFH43" s="21"/>
      <c r="GFL43" s="15"/>
      <c r="GFR43" s="25"/>
      <c r="GFY43" s="21"/>
      <c r="GFZ43" s="21"/>
      <c r="GGD43" s="15"/>
      <c r="GGJ43" s="25"/>
      <c r="GGQ43" s="21"/>
      <c r="GGR43" s="21"/>
      <c r="GGV43" s="15"/>
      <c r="GHB43" s="25"/>
      <c r="GHI43" s="21"/>
      <c r="GHJ43" s="21"/>
      <c r="GHN43" s="15"/>
      <c r="GHT43" s="25"/>
      <c r="GIA43" s="21"/>
      <c r="GIB43" s="21"/>
      <c r="GIF43" s="15"/>
      <c r="GIL43" s="25"/>
      <c r="GIS43" s="21"/>
      <c r="GIT43" s="21"/>
      <c r="GIX43" s="15"/>
      <c r="GJD43" s="25"/>
      <c r="GJK43" s="21"/>
      <c r="GJL43" s="21"/>
      <c r="GJP43" s="15"/>
      <c r="GJV43" s="25"/>
      <c r="GKC43" s="21"/>
      <c r="GKD43" s="21"/>
      <c r="GKH43" s="15"/>
      <c r="GKN43" s="25"/>
      <c r="GKU43" s="21"/>
      <c r="GKV43" s="21"/>
      <c r="GKZ43" s="15"/>
      <c r="GLF43" s="25"/>
      <c r="GLM43" s="21"/>
      <c r="GLN43" s="21"/>
      <c r="GLR43" s="15"/>
      <c r="GLX43" s="25"/>
      <c r="GME43" s="21"/>
      <c r="GMF43" s="21"/>
      <c r="GMJ43" s="15"/>
      <c r="GMP43" s="25"/>
      <c r="GMW43" s="21"/>
      <c r="GMX43" s="21"/>
      <c r="GNB43" s="15"/>
      <c r="GNH43" s="25"/>
      <c r="GNO43" s="21"/>
      <c r="GNP43" s="21"/>
      <c r="GNT43" s="15"/>
      <c r="GNZ43" s="25"/>
      <c r="GOG43" s="21"/>
      <c r="GOH43" s="21"/>
      <c r="GOL43" s="15"/>
      <c r="GOR43" s="25"/>
      <c r="GOY43" s="21"/>
      <c r="GOZ43" s="21"/>
      <c r="GPD43" s="15"/>
      <c r="GPJ43" s="25"/>
      <c r="GPQ43" s="21"/>
      <c r="GPR43" s="21"/>
      <c r="GPV43" s="15"/>
      <c r="GQB43" s="25"/>
      <c r="GQI43" s="21"/>
      <c r="GQJ43" s="21"/>
      <c r="GQN43" s="15"/>
      <c r="GQT43" s="25"/>
      <c r="GRA43" s="21"/>
      <c r="GRB43" s="21"/>
      <c r="GRF43" s="15"/>
      <c r="GRL43" s="25"/>
      <c r="GRS43" s="21"/>
      <c r="GRT43" s="21"/>
      <c r="GRX43" s="15"/>
      <c r="GSD43" s="25"/>
      <c r="GSK43" s="21"/>
      <c r="GSL43" s="21"/>
      <c r="GSP43" s="15"/>
      <c r="GSV43" s="25"/>
      <c r="GTC43" s="21"/>
      <c r="GTD43" s="21"/>
      <c r="GTH43" s="15"/>
      <c r="GTN43" s="25"/>
      <c r="GTU43" s="21"/>
      <c r="GTV43" s="21"/>
      <c r="GTZ43" s="15"/>
      <c r="GUF43" s="25"/>
      <c r="GUM43" s="21"/>
      <c r="GUN43" s="21"/>
      <c r="GUR43" s="15"/>
      <c r="GUX43" s="25"/>
      <c r="GVE43" s="21"/>
      <c r="GVF43" s="21"/>
      <c r="GVJ43" s="15"/>
      <c r="GVP43" s="25"/>
      <c r="GVW43" s="21"/>
      <c r="GVX43" s="21"/>
      <c r="GWB43" s="15"/>
      <c r="GWH43" s="25"/>
      <c r="GWO43" s="21"/>
      <c r="GWP43" s="21"/>
      <c r="GWT43" s="15"/>
      <c r="GWZ43" s="25"/>
      <c r="GXG43" s="21"/>
      <c r="GXH43" s="21"/>
      <c r="GXL43" s="15"/>
      <c r="GXR43" s="25"/>
      <c r="GXY43" s="21"/>
      <c r="GXZ43" s="21"/>
      <c r="GYD43" s="15"/>
      <c r="GYJ43" s="25"/>
      <c r="GYQ43" s="21"/>
      <c r="GYR43" s="21"/>
      <c r="GYV43" s="15"/>
      <c r="GZB43" s="25"/>
      <c r="GZI43" s="21"/>
      <c r="GZJ43" s="21"/>
      <c r="GZN43" s="15"/>
      <c r="GZT43" s="25"/>
      <c r="HAA43" s="21"/>
      <c r="HAB43" s="21"/>
      <c r="HAF43" s="15"/>
      <c r="HAL43" s="25"/>
      <c r="HAS43" s="21"/>
      <c r="HAT43" s="21"/>
      <c r="HAX43" s="15"/>
      <c r="HBD43" s="25"/>
      <c r="HBK43" s="21"/>
      <c r="HBL43" s="21"/>
      <c r="HBP43" s="15"/>
      <c r="HBV43" s="25"/>
      <c r="HCC43" s="21"/>
      <c r="HCD43" s="21"/>
      <c r="HCH43" s="15"/>
      <c r="HCN43" s="25"/>
      <c r="HCU43" s="21"/>
      <c r="HCV43" s="21"/>
      <c r="HCZ43" s="15"/>
      <c r="HDF43" s="25"/>
      <c r="HDM43" s="21"/>
      <c r="HDN43" s="21"/>
      <c r="HDR43" s="15"/>
      <c r="HDX43" s="25"/>
      <c r="HEE43" s="21"/>
      <c r="HEF43" s="21"/>
      <c r="HEJ43" s="15"/>
      <c r="HEP43" s="25"/>
      <c r="HEW43" s="21"/>
      <c r="HEX43" s="21"/>
      <c r="HFB43" s="15"/>
      <c r="HFH43" s="25"/>
      <c r="HFO43" s="21"/>
      <c r="HFP43" s="21"/>
      <c r="HFT43" s="15"/>
      <c r="HFZ43" s="25"/>
      <c r="HGG43" s="21"/>
      <c r="HGH43" s="21"/>
      <c r="HGL43" s="15"/>
      <c r="HGR43" s="25"/>
      <c r="HGY43" s="21"/>
      <c r="HGZ43" s="21"/>
      <c r="HHD43" s="15"/>
      <c r="HHJ43" s="25"/>
      <c r="HHQ43" s="21"/>
      <c r="HHR43" s="21"/>
      <c r="HHV43" s="15"/>
      <c r="HIB43" s="25"/>
      <c r="HII43" s="21"/>
      <c r="HIJ43" s="21"/>
      <c r="HIN43" s="15"/>
      <c r="HIT43" s="25"/>
      <c r="HJA43" s="21"/>
      <c r="HJB43" s="21"/>
      <c r="HJF43" s="15"/>
      <c r="HJL43" s="25"/>
      <c r="HJS43" s="21"/>
      <c r="HJT43" s="21"/>
      <c r="HJX43" s="15"/>
      <c r="HKD43" s="25"/>
      <c r="HKK43" s="21"/>
      <c r="HKL43" s="21"/>
      <c r="HKP43" s="15"/>
      <c r="HKV43" s="25"/>
      <c r="HLC43" s="21"/>
      <c r="HLD43" s="21"/>
      <c r="HLH43" s="15"/>
      <c r="HLN43" s="25"/>
      <c r="HLU43" s="21"/>
      <c r="HLV43" s="21"/>
      <c r="HLZ43" s="15"/>
      <c r="HMF43" s="25"/>
      <c r="HMM43" s="21"/>
      <c r="HMN43" s="21"/>
      <c r="HMR43" s="15"/>
      <c r="HMX43" s="25"/>
      <c r="HNE43" s="21"/>
      <c r="HNF43" s="21"/>
      <c r="HNJ43" s="15"/>
      <c r="HNP43" s="25"/>
      <c r="HNW43" s="21"/>
      <c r="HNX43" s="21"/>
      <c r="HOB43" s="15"/>
      <c r="HOH43" s="25"/>
      <c r="HOO43" s="21"/>
      <c r="HOP43" s="21"/>
      <c r="HOT43" s="15"/>
      <c r="HOZ43" s="25"/>
      <c r="HPG43" s="21"/>
      <c r="HPH43" s="21"/>
      <c r="HPL43" s="15"/>
      <c r="HPR43" s="25"/>
      <c r="HPY43" s="21"/>
      <c r="HPZ43" s="21"/>
      <c r="HQD43" s="15"/>
      <c r="HQJ43" s="25"/>
      <c r="HQQ43" s="21"/>
      <c r="HQR43" s="21"/>
      <c r="HQV43" s="15"/>
      <c r="HRB43" s="25"/>
      <c r="HRI43" s="21"/>
      <c r="HRJ43" s="21"/>
      <c r="HRN43" s="15"/>
      <c r="HRT43" s="25"/>
      <c r="HSA43" s="21"/>
      <c r="HSB43" s="21"/>
      <c r="HSF43" s="15"/>
      <c r="HSL43" s="25"/>
      <c r="HSS43" s="21"/>
      <c r="HST43" s="21"/>
      <c r="HSX43" s="15"/>
      <c r="HTD43" s="25"/>
      <c r="HTK43" s="21"/>
      <c r="HTL43" s="21"/>
      <c r="HTP43" s="15"/>
      <c r="HTV43" s="25"/>
      <c r="HUC43" s="21"/>
      <c r="HUD43" s="21"/>
      <c r="HUH43" s="15"/>
      <c r="HUN43" s="25"/>
      <c r="HUU43" s="21"/>
      <c r="HUV43" s="21"/>
      <c r="HUZ43" s="15"/>
      <c r="HVF43" s="25"/>
      <c r="HVM43" s="21"/>
      <c r="HVN43" s="21"/>
      <c r="HVR43" s="15"/>
      <c r="HVX43" s="25"/>
      <c r="HWE43" s="21"/>
      <c r="HWF43" s="21"/>
      <c r="HWJ43" s="15"/>
      <c r="HWP43" s="25"/>
      <c r="HWW43" s="21"/>
      <c r="HWX43" s="21"/>
      <c r="HXB43" s="15"/>
      <c r="HXH43" s="25"/>
      <c r="HXO43" s="21"/>
      <c r="HXP43" s="21"/>
      <c r="HXT43" s="15"/>
      <c r="HXZ43" s="25"/>
      <c r="HYG43" s="21"/>
      <c r="HYH43" s="21"/>
      <c r="HYL43" s="15"/>
      <c r="HYR43" s="25"/>
      <c r="HYY43" s="21"/>
      <c r="HYZ43" s="21"/>
      <c r="HZD43" s="15"/>
      <c r="HZJ43" s="25"/>
      <c r="HZQ43" s="21"/>
      <c r="HZR43" s="21"/>
      <c r="HZV43" s="15"/>
      <c r="IAB43" s="25"/>
      <c r="IAI43" s="21"/>
      <c r="IAJ43" s="21"/>
      <c r="IAN43" s="15"/>
      <c r="IAT43" s="25"/>
      <c r="IBA43" s="21"/>
      <c r="IBB43" s="21"/>
      <c r="IBF43" s="15"/>
      <c r="IBL43" s="25"/>
      <c r="IBS43" s="21"/>
      <c r="IBT43" s="21"/>
      <c r="IBX43" s="15"/>
      <c r="ICD43" s="25"/>
      <c r="ICK43" s="21"/>
      <c r="ICL43" s="21"/>
      <c r="ICP43" s="15"/>
      <c r="ICV43" s="25"/>
      <c r="IDC43" s="21"/>
      <c r="IDD43" s="21"/>
      <c r="IDH43" s="15"/>
      <c r="IDN43" s="25"/>
      <c r="IDU43" s="21"/>
      <c r="IDV43" s="21"/>
      <c r="IDZ43" s="15"/>
      <c r="IEF43" s="25"/>
      <c r="IEM43" s="21"/>
      <c r="IEN43" s="21"/>
      <c r="IER43" s="15"/>
      <c r="IEX43" s="25"/>
      <c r="IFE43" s="21"/>
      <c r="IFF43" s="21"/>
      <c r="IFJ43" s="15"/>
      <c r="IFP43" s="25"/>
      <c r="IFW43" s="21"/>
      <c r="IFX43" s="21"/>
      <c r="IGB43" s="15"/>
      <c r="IGH43" s="25"/>
      <c r="IGO43" s="21"/>
      <c r="IGP43" s="21"/>
      <c r="IGT43" s="15"/>
      <c r="IGZ43" s="25"/>
      <c r="IHG43" s="21"/>
      <c r="IHH43" s="21"/>
      <c r="IHL43" s="15"/>
      <c r="IHR43" s="25"/>
      <c r="IHY43" s="21"/>
      <c r="IHZ43" s="21"/>
      <c r="IID43" s="15"/>
      <c r="IIJ43" s="25"/>
      <c r="IIQ43" s="21"/>
      <c r="IIR43" s="21"/>
      <c r="IIV43" s="15"/>
      <c r="IJB43" s="25"/>
      <c r="IJI43" s="21"/>
      <c r="IJJ43" s="21"/>
      <c r="IJN43" s="15"/>
      <c r="IJT43" s="25"/>
      <c r="IKA43" s="21"/>
      <c r="IKB43" s="21"/>
      <c r="IKF43" s="15"/>
      <c r="IKL43" s="25"/>
      <c r="IKS43" s="21"/>
      <c r="IKT43" s="21"/>
      <c r="IKX43" s="15"/>
      <c r="ILD43" s="25"/>
      <c r="ILK43" s="21"/>
      <c r="ILL43" s="21"/>
      <c r="ILP43" s="15"/>
      <c r="ILV43" s="25"/>
      <c r="IMC43" s="21"/>
      <c r="IMD43" s="21"/>
      <c r="IMH43" s="15"/>
      <c r="IMN43" s="25"/>
      <c r="IMU43" s="21"/>
      <c r="IMV43" s="21"/>
      <c r="IMZ43" s="15"/>
      <c r="INF43" s="25"/>
      <c r="INM43" s="21"/>
      <c r="INN43" s="21"/>
      <c r="INR43" s="15"/>
      <c r="INX43" s="25"/>
      <c r="IOE43" s="21"/>
      <c r="IOF43" s="21"/>
      <c r="IOJ43" s="15"/>
      <c r="IOP43" s="25"/>
      <c r="IOW43" s="21"/>
      <c r="IOX43" s="21"/>
      <c r="IPB43" s="15"/>
      <c r="IPH43" s="25"/>
      <c r="IPO43" s="21"/>
      <c r="IPP43" s="21"/>
      <c r="IPT43" s="15"/>
      <c r="IPZ43" s="25"/>
      <c r="IQG43" s="21"/>
      <c r="IQH43" s="21"/>
      <c r="IQL43" s="15"/>
      <c r="IQR43" s="25"/>
      <c r="IQY43" s="21"/>
      <c r="IQZ43" s="21"/>
      <c r="IRD43" s="15"/>
      <c r="IRJ43" s="25"/>
      <c r="IRQ43" s="21"/>
      <c r="IRR43" s="21"/>
      <c r="IRV43" s="15"/>
      <c r="ISB43" s="25"/>
      <c r="ISI43" s="21"/>
      <c r="ISJ43" s="21"/>
      <c r="ISN43" s="15"/>
      <c r="IST43" s="25"/>
      <c r="ITA43" s="21"/>
      <c r="ITB43" s="21"/>
      <c r="ITF43" s="15"/>
      <c r="ITL43" s="25"/>
      <c r="ITS43" s="21"/>
      <c r="ITT43" s="21"/>
      <c r="ITX43" s="15"/>
      <c r="IUD43" s="25"/>
      <c r="IUK43" s="21"/>
      <c r="IUL43" s="21"/>
      <c r="IUP43" s="15"/>
      <c r="IUV43" s="25"/>
      <c r="IVC43" s="21"/>
      <c r="IVD43" s="21"/>
      <c r="IVH43" s="15"/>
      <c r="IVN43" s="25"/>
      <c r="IVU43" s="21"/>
      <c r="IVV43" s="21"/>
      <c r="IVZ43" s="15"/>
      <c r="IWF43" s="25"/>
      <c r="IWM43" s="21"/>
      <c r="IWN43" s="21"/>
      <c r="IWR43" s="15"/>
      <c r="IWX43" s="25"/>
      <c r="IXE43" s="21"/>
      <c r="IXF43" s="21"/>
      <c r="IXJ43" s="15"/>
      <c r="IXP43" s="25"/>
      <c r="IXW43" s="21"/>
      <c r="IXX43" s="21"/>
      <c r="IYB43" s="15"/>
      <c r="IYH43" s="25"/>
      <c r="IYO43" s="21"/>
      <c r="IYP43" s="21"/>
      <c r="IYT43" s="15"/>
      <c r="IYZ43" s="25"/>
      <c r="IZG43" s="21"/>
      <c r="IZH43" s="21"/>
      <c r="IZL43" s="15"/>
      <c r="IZR43" s="25"/>
      <c r="IZY43" s="21"/>
      <c r="IZZ43" s="21"/>
      <c r="JAD43" s="15"/>
      <c r="JAJ43" s="25"/>
      <c r="JAQ43" s="21"/>
      <c r="JAR43" s="21"/>
      <c r="JAV43" s="15"/>
      <c r="JBB43" s="25"/>
      <c r="JBI43" s="21"/>
      <c r="JBJ43" s="21"/>
      <c r="JBN43" s="15"/>
      <c r="JBT43" s="25"/>
      <c r="JCA43" s="21"/>
      <c r="JCB43" s="21"/>
      <c r="JCF43" s="15"/>
      <c r="JCL43" s="25"/>
      <c r="JCS43" s="21"/>
      <c r="JCT43" s="21"/>
      <c r="JCX43" s="15"/>
      <c r="JDD43" s="25"/>
      <c r="JDK43" s="21"/>
      <c r="JDL43" s="21"/>
      <c r="JDP43" s="15"/>
      <c r="JDV43" s="25"/>
      <c r="JEC43" s="21"/>
      <c r="JED43" s="21"/>
      <c r="JEH43" s="15"/>
      <c r="JEN43" s="25"/>
      <c r="JEU43" s="21"/>
      <c r="JEV43" s="21"/>
      <c r="JEZ43" s="15"/>
      <c r="JFF43" s="25"/>
      <c r="JFM43" s="21"/>
      <c r="JFN43" s="21"/>
      <c r="JFR43" s="15"/>
      <c r="JFX43" s="25"/>
      <c r="JGE43" s="21"/>
      <c r="JGF43" s="21"/>
      <c r="JGJ43" s="15"/>
      <c r="JGP43" s="25"/>
      <c r="JGW43" s="21"/>
      <c r="JGX43" s="21"/>
      <c r="JHB43" s="15"/>
      <c r="JHH43" s="25"/>
      <c r="JHO43" s="21"/>
      <c r="JHP43" s="21"/>
      <c r="JHT43" s="15"/>
      <c r="JHZ43" s="25"/>
      <c r="JIG43" s="21"/>
      <c r="JIH43" s="21"/>
      <c r="JIL43" s="15"/>
      <c r="JIR43" s="25"/>
      <c r="JIY43" s="21"/>
      <c r="JIZ43" s="21"/>
      <c r="JJD43" s="15"/>
      <c r="JJJ43" s="25"/>
      <c r="JJQ43" s="21"/>
      <c r="JJR43" s="21"/>
      <c r="JJV43" s="15"/>
      <c r="JKB43" s="25"/>
      <c r="JKI43" s="21"/>
      <c r="JKJ43" s="21"/>
      <c r="JKN43" s="15"/>
      <c r="JKT43" s="25"/>
      <c r="JLA43" s="21"/>
      <c r="JLB43" s="21"/>
      <c r="JLF43" s="15"/>
      <c r="JLL43" s="25"/>
      <c r="JLS43" s="21"/>
      <c r="JLT43" s="21"/>
      <c r="JLX43" s="15"/>
      <c r="JMD43" s="25"/>
      <c r="JMK43" s="21"/>
      <c r="JML43" s="21"/>
      <c r="JMP43" s="15"/>
      <c r="JMV43" s="25"/>
      <c r="JNC43" s="21"/>
      <c r="JND43" s="21"/>
      <c r="JNH43" s="15"/>
      <c r="JNN43" s="25"/>
      <c r="JNU43" s="21"/>
      <c r="JNV43" s="21"/>
      <c r="JNZ43" s="15"/>
      <c r="JOF43" s="25"/>
      <c r="JOM43" s="21"/>
      <c r="JON43" s="21"/>
      <c r="JOR43" s="15"/>
      <c r="JOX43" s="25"/>
      <c r="JPE43" s="21"/>
      <c r="JPF43" s="21"/>
      <c r="JPJ43" s="15"/>
      <c r="JPP43" s="25"/>
      <c r="JPW43" s="21"/>
      <c r="JPX43" s="21"/>
      <c r="JQB43" s="15"/>
      <c r="JQH43" s="25"/>
      <c r="JQO43" s="21"/>
      <c r="JQP43" s="21"/>
      <c r="JQT43" s="15"/>
      <c r="JQZ43" s="25"/>
      <c r="JRG43" s="21"/>
      <c r="JRH43" s="21"/>
      <c r="JRL43" s="15"/>
      <c r="JRR43" s="25"/>
      <c r="JRY43" s="21"/>
      <c r="JRZ43" s="21"/>
      <c r="JSD43" s="15"/>
      <c r="JSJ43" s="25"/>
      <c r="JSQ43" s="21"/>
      <c r="JSR43" s="21"/>
      <c r="JSV43" s="15"/>
      <c r="JTB43" s="25"/>
      <c r="JTI43" s="21"/>
      <c r="JTJ43" s="21"/>
      <c r="JTN43" s="15"/>
      <c r="JTT43" s="25"/>
      <c r="JUA43" s="21"/>
      <c r="JUB43" s="21"/>
      <c r="JUF43" s="15"/>
      <c r="JUL43" s="25"/>
      <c r="JUS43" s="21"/>
      <c r="JUT43" s="21"/>
      <c r="JUX43" s="15"/>
      <c r="JVD43" s="25"/>
      <c r="JVK43" s="21"/>
      <c r="JVL43" s="21"/>
      <c r="JVP43" s="15"/>
      <c r="JVV43" s="25"/>
      <c r="JWC43" s="21"/>
      <c r="JWD43" s="21"/>
      <c r="JWH43" s="15"/>
      <c r="JWN43" s="25"/>
      <c r="JWU43" s="21"/>
      <c r="JWV43" s="21"/>
      <c r="JWZ43" s="15"/>
      <c r="JXF43" s="25"/>
      <c r="JXM43" s="21"/>
      <c r="JXN43" s="21"/>
      <c r="JXR43" s="15"/>
      <c r="JXX43" s="25"/>
      <c r="JYE43" s="21"/>
      <c r="JYF43" s="21"/>
      <c r="JYJ43" s="15"/>
      <c r="JYP43" s="25"/>
      <c r="JYW43" s="21"/>
      <c r="JYX43" s="21"/>
      <c r="JZB43" s="15"/>
      <c r="JZH43" s="25"/>
      <c r="JZO43" s="21"/>
      <c r="JZP43" s="21"/>
      <c r="JZT43" s="15"/>
      <c r="JZZ43" s="25"/>
      <c r="KAG43" s="21"/>
      <c r="KAH43" s="21"/>
      <c r="KAL43" s="15"/>
      <c r="KAR43" s="25"/>
      <c r="KAY43" s="21"/>
      <c r="KAZ43" s="21"/>
      <c r="KBD43" s="15"/>
      <c r="KBJ43" s="25"/>
      <c r="KBQ43" s="21"/>
      <c r="KBR43" s="21"/>
      <c r="KBV43" s="15"/>
      <c r="KCB43" s="25"/>
      <c r="KCI43" s="21"/>
      <c r="KCJ43" s="21"/>
      <c r="KCN43" s="15"/>
      <c r="KCT43" s="25"/>
      <c r="KDA43" s="21"/>
      <c r="KDB43" s="21"/>
      <c r="KDF43" s="15"/>
      <c r="KDL43" s="25"/>
      <c r="KDS43" s="21"/>
      <c r="KDT43" s="21"/>
      <c r="KDX43" s="15"/>
      <c r="KED43" s="25"/>
      <c r="KEK43" s="21"/>
      <c r="KEL43" s="21"/>
      <c r="KEP43" s="15"/>
      <c r="KEV43" s="25"/>
      <c r="KFC43" s="21"/>
      <c r="KFD43" s="21"/>
      <c r="KFH43" s="15"/>
      <c r="KFN43" s="25"/>
      <c r="KFU43" s="21"/>
      <c r="KFV43" s="21"/>
      <c r="KFZ43" s="15"/>
      <c r="KGF43" s="25"/>
      <c r="KGM43" s="21"/>
      <c r="KGN43" s="21"/>
      <c r="KGR43" s="15"/>
      <c r="KGX43" s="25"/>
      <c r="KHE43" s="21"/>
      <c r="KHF43" s="21"/>
      <c r="KHJ43" s="15"/>
      <c r="KHP43" s="25"/>
      <c r="KHW43" s="21"/>
      <c r="KHX43" s="21"/>
      <c r="KIB43" s="15"/>
      <c r="KIH43" s="25"/>
      <c r="KIO43" s="21"/>
      <c r="KIP43" s="21"/>
      <c r="KIT43" s="15"/>
      <c r="KIZ43" s="25"/>
      <c r="KJG43" s="21"/>
      <c r="KJH43" s="21"/>
      <c r="KJL43" s="15"/>
      <c r="KJR43" s="25"/>
      <c r="KJY43" s="21"/>
      <c r="KJZ43" s="21"/>
      <c r="KKD43" s="15"/>
      <c r="KKJ43" s="25"/>
      <c r="KKQ43" s="21"/>
      <c r="KKR43" s="21"/>
      <c r="KKV43" s="15"/>
      <c r="KLB43" s="25"/>
      <c r="KLI43" s="21"/>
      <c r="KLJ43" s="21"/>
      <c r="KLN43" s="15"/>
      <c r="KLT43" s="25"/>
      <c r="KMA43" s="21"/>
      <c r="KMB43" s="21"/>
      <c r="KMF43" s="15"/>
      <c r="KML43" s="25"/>
      <c r="KMS43" s="21"/>
      <c r="KMT43" s="21"/>
      <c r="KMX43" s="15"/>
      <c r="KND43" s="25"/>
      <c r="KNK43" s="21"/>
      <c r="KNL43" s="21"/>
      <c r="KNP43" s="15"/>
      <c r="KNV43" s="25"/>
      <c r="KOC43" s="21"/>
      <c r="KOD43" s="21"/>
      <c r="KOH43" s="15"/>
      <c r="KON43" s="25"/>
      <c r="KOU43" s="21"/>
      <c r="KOV43" s="21"/>
      <c r="KOZ43" s="15"/>
      <c r="KPF43" s="25"/>
      <c r="KPM43" s="21"/>
      <c r="KPN43" s="21"/>
      <c r="KPR43" s="15"/>
      <c r="KPX43" s="25"/>
      <c r="KQE43" s="21"/>
      <c r="KQF43" s="21"/>
      <c r="KQJ43" s="15"/>
      <c r="KQP43" s="25"/>
      <c r="KQW43" s="21"/>
      <c r="KQX43" s="21"/>
      <c r="KRB43" s="15"/>
      <c r="KRH43" s="25"/>
      <c r="KRO43" s="21"/>
      <c r="KRP43" s="21"/>
      <c r="KRT43" s="15"/>
      <c r="KRZ43" s="25"/>
      <c r="KSG43" s="21"/>
      <c r="KSH43" s="21"/>
      <c r="KSL43" s="15"/>
      <c r="KSR43" s="25"/>
      <c r="KSY43" s="21"/>
      <c r="KSZ43" s="21"/>
      <c r="KTD43" s="15"/>
      <c r="KTJ43" s="25"/>
      <c r="KTQ43" s="21"/>
      <c r="KTR43" s="21"/>
      <c r="KTV43" s="15"/>
      <c r="KUB43" s="25"/>
      <c r="KUI43" s="21"/>
      <c r="KUJ43" s="21"/>
      <c r="KUN43" s="15"/>
      <c r="KUT43" s="25"/>
      <c r="KVA43" s="21"/>
      <c r="KVB43" s="21"/>
      <c r="KVF43" s="15"/>
      <c r="KVL43" s="25"/>
      <c r="KVS43" s="21"/>
      <c r="KVT43" s="21"/>
      <c r="KVX43" s="15"/>
      <c r="KWD43" s="25"/>
      <c r="KWK43" s="21"/>
      <c r="KWL43" s="21"/>
      <c r="KWP43" s="15"/>
      <c r="KWV43" s="25"/>
      <c r="KXC43" s="21"/>
      <c r="KXD43" s="21"/>
      <c r="KXH43" s="15"/>
      <c r="KXN43" s="25"/>
      <c r="KXU43" s="21"/>
      <c r="KXV43" s="21"/>
      <c r="KXZ43" s="15"/>
      <c r="KYF43" s="25"/>
      <c r="KYM43" s="21"/>
      <c r="KYN43" s="21"/>
      <c r="KYR43" s="15"/>
      <c r="KYX43" s="25"/>
      <c r="KZE43" s="21"/>
      <c r="KZF43" s="21"/>
      <c r="KZJ43" s="15"/>
      <c r="KZP43" s="25"/>
      <c r="KZW43" s="21"/>
      <c r="KZX43" s="21"/>
      <c r="LAB43" s="15"/>
      <c r="LAH43" s="25"/>
      <c r="LAO43" s="21"/>
      <c r="LAP43" s="21"/>
      <c r="LAT43" s="15"/>
      <c r="LAZ43" s="25"/>
      <c r="LBG43" s="21"/>
      <c r="LBH43" s="21"/>
      <c r="LBL43" s="15"/>
      <c r="LBR43" s="25"/>
      <c r="LBY43" s="21"/>
      <c r="LBZ43" s="21"/>
      <c r="LCD43" s="15"/>
      <c r="LCJ43" s="25"/>
      <c r="LCQ43" s="21"/>
      <c r="LCR43" s="21"/>
      <c r="LCV43" s="15"/>
      <c r="LDB43" s="25"/>
      <c r="LDI43" s="21"/>
      <c r="LDJ43" s="21"/>
      <c r="LDN43" s="15"/>
      <c r="LDT43" s="25"/>
      <c r="LEA43" s="21"/>
      <c r="LEB43" s="21"/>
      <c r="LEF43" s="15"/>
      <c r="LEL43" s="25"/>
      <c r="LES43" s="21"/>
      <c r="LET43" s="21"/>
      <c r="LEX43" s="15"/>
      <c r="LFD43" s="25"/>
      <c r="LFK43" s="21"/>
      <c r="LFL43" s="21"/>
      <c r="LFP43" s="15"/>
      <c r="LFV43" s="25"/>
      <c r="LGC43" s="21"/>
      <c r="LGD43" s="21"/>
      <c r="LGH43" s="15"/>
      <c r="LGN43" s="25"/>
      <c r="LGU43" s="21"/>
      <c r="LGV43" s="21"/>
      <c r="LGZ43" s="15"/>
      <c r="LHF43" s="25"/>
      <c r="LHM43" s="21"/>
      <c r="LHN43" s="21"/>
      <c r="LHR43" s="15"/>
      <c r="LHX43" s="25"/>
      <c r="LIE43" s="21"/>
      <c r="LIF43" s="21"/>
      <c r="LIJ43" s="15"/>
      <c r="LIP43" s="25"/>
      <c r="LIW43" s="21"/>
      <c r="LIX43" s="21"/>
      <c r="LJB43" s="15"/>
      <c r="LJH43" s="25"/>
      <c r="LJO43" s="21"/>
      <c r="LJP43" s="21"/>
      <c r="LJT43" s="15"/>
      <c r="LJZ43" s="25"/>
      <c r="LKG43" s="21"/>
      <c r="LKH43" s="21"/>
      <c r="LKL43" s="15"/>
      <c r="LKR43" s="25"/>
      <c r="LKY43" s="21"/>
      <c r="LKZ43" s="21"/>
      <c r="LLD43" s="15"/>
      <c r="LLJ43" s="25"/>
      <c r="LLQ43" s="21"/>
      <c r="LLR43" s="21"/>
      <c r="LLV43" s="15"/>
      <c r="LMB43" s="25"/>
      <c r="LMI43" s="21"/>
      <c r="LMJ43" s="21"/>
      <c r="LMN43" s="15"/>
      <c r="LMT43" s="25"/>
      <c r="LNA43" s="21"/>
      <c r="LNB43" s="21"/>
      <c r="LNF43" s="15"/>
      <c r="LNL43" s="25"/>
      <c r="LNS43" s="21"/>
      <c r="LNT43" s="21"/>
      <c r="LNX43" s="15"/>
      <c r="LOD43" s="25"/>
      <c r="LOK43" s="21"/>
      <c r="LOL43" s="21"/>
      <c r="LOP43" s="15"/>
      <c r="LOV43" s="25"/>
      <c r="LPC43" s="21"/>
      <c r="LPD43" s="21"/>
      <c r="LPH43" s="15"/>
      <c r="LPN43" s="25"/>
      <c r="LPU43" s="21"/>
      <c r="LPV43" s="21"/>
      <c r="LPZ43" s="15"/>
      <c r="LQF43" s="25"/>
      <c r="LQM43" s="21"/>
      <c r="LQN43" s="21"/>
      <c r="LQR43" s="15"/>
      <c r="LQX43" s="25"/>
      <c r="LRE43" s="21"/>
      <c r="LRF43" s="21"/>
      <c r="LRJ43" s="15"/>
      <c r="LRP43" s="25"/>
      <c r="LRW43" s="21"/>
      <c r="LRX43" s="21"/>
      <c r="LSB43" s="15"/>
      <c r="LSH43" s="25"/>
      <c r="LSO43" s="21"/>
      <c r="LSP43" s="21"/>
      <c r="LST43" s="15"/>
      <c r="LSZ43" s="25"/>
      <c r="LTG43" s="21"/>
      <c r="LTH43" s="21"/>
      <c r="LTL43" s="15"/>
      <c r="LTR43" s="25"/>
      <c r="LTY43" s="21"/>
      <c r="LTZ43" s="21"/>
      <c r="LUD43" s="15"/>
      <c r="LUJ43" s="25"/>
      <c r="LUQ43" s="21"/>
      <c r="LUR43" s="21"/>
      <c r="LUV43" s="15"/>
      <c r="LVB43" s="25"/>
      <c r="LVI43" s="21"/>
      <c r="LVJ43" s="21"/>
      <c r="LVN43" s="15"/>
      <c r="LVT43" s="25"/>
      <c r="LWA43" s="21"/>
      <c r="LWB43" s="21"/>
      <c r="LWF43" s="15"/>
      <c r="LWL43" s="25"/>
      <c r="LWS43" s="21"/>
      <c r="LWT43" s="21"/>
      <c r="LWX43" s="15"/>
      <c r="LXD43" s="25"/>
      <c r="LXK43" s="21"/>
      <c r="LXL43" s="21"/>
      <c r="LXP43" s="15"/>
      <c r="LXV43" s="25"/>
      <c r="LYC43" s="21"/>
      <c r="LYD43" s="21"/>
      <c r="LYH43" s="15"/>
      <c r="LYN43" s="25"/>
      <c r="LYU43" s="21"/>
      <c r="LYV43" s="21"/>
      <c r="LYZ43" s="15"/>
      <c r="LZF43" s="25"/>
      <c r="LZM43" s="21"/>
      <c r="LZN43" s="21"/>
      <c r="LZR43" s="15"/>
      <c r="LZX43" s="25"/>
      <c r="MAE43" s="21"/>
      <c r="MAF43" s="21"/>
      <c r="MAJ43" s="15"/>
      <c r="MAP43" s="25"/>
      <c r="MAW43" s="21"/>
      <c r="MAX43" s="21"/>
      <c r="MBB43" s="15"/>
      <c r="MBH43" s="25"/>
      <c r="MBO43" s="21"/>
      <c r="MBP43" s="21"/>
      <c r="MBT43" s="15"/>
      <c r="MBZ43" s="25"/>
      <c r="MCG43" s="21"/>
      <c r="MCH43" s="21"/>
      <c r="MCL43" s="15"/>
      <c r="MCR43" s="25"/>
      <c r="MCY43" s="21"/>
      <c r="MCZ43" s="21"/>
      <c r="MDD43" s="15"/>
      <c r="MDJ43" s="25"/>
      <c r="MDQ43" s="21"/>
      <c r="MDR43" s="21"/>
      <c r="MDV43" s="15"/>
      <c r="MEB43" s="25"/>
      <c r="MEI43" s="21"/>
      <c r="MEJ43" s="21"/>
      <c r="MEN43" s="15"/>
      <c r="MET43" s="25"/>
      <c r="MFA43" s="21"/>
      <c r="MFB43" s="21"/>
      <c r="MFF43" s="15"/>
      <c r="MFL43" s="25"/>
      <c r="MFS43" s="21"/>
      <c r="MFT43" s="21"/>
      <c r="MFX43" s="15"/>
      <c r="MGD43" s="25"/>
      <c r="MGK43" s="21"/>
      <c r="MGL43" s="21"/>
      <c r="MGP43" s="15"/>
      <c r="MGV43" s="25"/>
      <c r="MHC43" s="21"/>
      <c r="MHD43" s="21"/>
      <c r="MHH43" s="15"/>
      <c r="MHN43" s="25"/>
      <c r="MHU43" s="21"/>
      <c r="MHV43" s="21"/>
      <c r="MHZ43" s="15"/>
      <c r="MIF43" s="25"/>
      <c r="MIM43" s="21"/>
      <c r="MIN43" s="21"/>
      <c r="MIR43" s="15"/>
      <c r="MIX43" s="25"/>
      <c r="MJE43" s="21"/>
      <c r="MJF43" s="21"/>
      <c r="MJJ43" s="15"/>
      <c r="MJP43" s="25"/>
      <c r="MJW43" s="21"/>
      <c r="MJX43" s="21"/>
      <c r="MKB43" s="15"/>
      <c r="MKH43" s="25"/>
      <c r="MKO43" s="21"/>
      <c r="MKP43" s="21"/>
      <c r="MKT43" s="15"/>
      <c r="MKZ43" s="25"/>
      <c r="MLG43" s="21"/>
      <c r="MLH43" s="21"/>
      <c r="MLL43" s="15"/>
      <c r="MLR43" s="25"/>
      <c r="MLY43" s="21"/>
      <c r="MLZ43" s="21"/>
      <c r="MMD43" s="15"/>
      <c r="MMJ43" s="25"/>
      <c r="MMQ43" s="21"/>
      <c r="MMR43" s="21"/>
      <c r="MMV43" s="15"/>
      <c r="MNB43" s="25"/>
      <c r="MNI43" s="21"/>
      <c r="MNJ43" s="21"/>
      <c r="MNN43" s="15"/>
      <c r="MNT43" s="25"/>
      <c r="MOA43" s="21"/>
      <c r="MOB43" s="21"/>
      <c r="MOF43" s="15"/>
      <c r="MOL43" s="25"/>
      <c r="MOS43" s="21"/>
      <c r="MOT43" s="21"/>
      <c r="MOX43" s="15"/>
      <c r="MPD43" s="25"/>
      <c r="MPK43" s="21"/>
      <c r="MPL43" s="21"/>
      <c r="MPP43" s="15"/>
      <c r="MPV43" s="25"/>
      <c r="MQC43" s="21"/>
      <c r="MQD43" s="21"/>
      <c r="MQH43" s="15"/>
      <c r="MQN43" s="25"/>
      <c r="MQU43" s="21"/>
      <c r="MQV43" s="21"/>
      <c r="MQZ43" s="15"/>
      <c r="MRF43" s="25"/>
      <c r="MRM43" s="21"/>
      <c r="MRN43" s="21"/>
      <c r="MRR43" s="15"/>
      <c r="MRX43" s="25"/>
      <c r="MSE43" s="21"/>
      <c r="MSF43" s="21"/>
      <c r="MSJ43" s="15"/>
      <c r="MSP43" s="25"/>
      <c r="MSW43" s="21"/>
      <c r="MSX43" s="21"/>
      <c r="MTB43" s="15"/>
      <c r="MTH43" s="25"/>
      <c r="MTO43" s="21"/>
      <c r="MTP43" s="21"/>
      <c r="MTT43" s="15"/>
      <c r="MTZ43" s="25"/>
      <c r="MUG43" s="21"/>
      <c r="MUH43" s="21"/>
      <c r="MUL43" s="15"/>
      <c r="MUR43" s="25"/>
      <c r="MUY43" s="21"/>
      <c r="MUZ43" s="21"/>
      <c r="MVD43" s="15"/>
      <c r="MVJ43" s="25"/>
      <c r="MVQ43" s="21"/>
      <c r="MVR43" s="21"/>
      <c r="MVV43" s="15"/>
      <c r="MWB43" s="25"/>
      <c r="MWI43" s="21"/>
      <c r="MWJ43" s="21"/>
      <c r="MWN43" s="15"/>
      <c r="MWT43" s="25"/>
      <c r="MXA43" s="21"/>
      <c r="MXB43" s="21"/>
      <c r="MXF43" s="15"/>
      <c r="MXL43" s="25"/>
      <c r="MXS43" s="21"/>
      <c r="MXT43" s="21"/>
      <c r="MXX43" s="15"/>
      <c r="MYD43" s="25"/>
      <c r="MYK43" s="21"/>
      <c r="MYL43" s="21"/>
      <c r="MYP43" s="15"/>
      <c r="MYV43" s="25"/>
      <c r="MZC43" s="21"/>
      <c r="MZD43" s="21"/>
      <c r="MZH43" s="15"/>
      <c r="MZN43" s="25"/>
      <c r="MZU43" s="21"/>
      <c r="MZV43" s="21"/>
      <c r="MZZ43" s="15"/>
      <c r="NAF43" s="25"/>
      <c r="NAM43" s="21"/>
      <c r="NAN43" s="21"/>
      <c r="NAR43" s="15"/>
      <c r="NAX43" s="25"/>
      <c r="NBE43" s="21"/>
      <c r="NBF43" s="21"/>
      <c r="NBJ43" s="15"/>
      <c r="NBP43" s="25"/>
      <c r="NBW43" s="21"/>
      <c r="NBX43" s="21"/>
      <c r="NCB43" s="15"/>
      <c r="NCH43" s="25"/>
      <c r="NCO43" s="21"/>
      <c r="NCP43" s="21"/>
      <c r="NCT43" s="15"/>
      <c r="NCZ43" s="25"/>
      <c r="NDG43" s="21"/>
      <c r="NDH43" s="21"/>
      <c r="NDL43" s="15"/>
      <c r="NDR43" s="25"/>
      <c r="NDY43" s="21"/>
      <c r="NDZ43" s="21"/>
      <c r="NED43" s="15"/>
      <c r="NEJ43" s="25"/>
      <c r="NEQ43" s="21"/>
      <c r="NER43" s="21"/>
      <c r="NEV43" s="15"/>
      <c r="NFB43" s="25"/>
      <c r="NFI43" s="21"/>
      <c r="NFJ43" s="21"/>
      <c r="NFN43" s="15"/>
      <c r="NFT43" s="25"/>
      <c r="NGA43" s="21"/>
      <c r="NGB43" s="21"/>
      <c r="NGF43" s="15"/>
      <c r="NGL43" s="25"/>
      <c r="NGS43" s="21"/>
      <c r="NGT43" s="21"/>
      <c r="NGX43" s="15"/>
      <c r="NHD43" s="25"/>
      <c r="NHK43" s="21"/>
      <c r="NHL43" s="21"/>
      <c r="NHP43" s="15"/>
      <c r="NHV43" s="25"/>
      <c r="NIC43" s="21"/>
      <c r="NID43" s="21"/>
      <c r="NIH43" s="15"/>
      <c r="NIN43" s="25"/>
      <c r="NIU43" s="21"/>
      <c r="NIV43" s="21"/>
      <c r="NIZ43" s="15"/>
      <c r="NJF43" s="25"/>
      <c r="NJM43" s="21"/>
      <c r="NJN43" s="21"/>
      <c r="NJR43" s="15"/>
      <c r="NJX43" s="25"/>
      <c r="NKE43" s="21"/>
      <c r="NKF43" s="21"/>
      <c r="NKJ43" s="15"/>
      <c r="NKP43" s="25"/>
      <c r="NKW43" s="21"/>
      <c r="NKX43" s="21"/>
      <c r="NLB43" s="15"/>
      <c r="NLH43" s="25"/>
      <c r="NLO43" s="21"/>
      <c r="NLP43" s="21"/>
      <c r="NLT43" s="15"/>
      <c r="NLZ43" s="25"/>
      <c r="NMG43" s="21"/>
      <c r="NMH43" s="21"/>
      <c r="NML43" s="15"/>
      <c r="NMR43" s="25"/>
      <c r="NMY43" s="21"/>
      <c r="NMZ43" s="21"/>
      <c r="NND43" s="15"/>
      <c r="NNJ43" s="25"/>
      <c r="NNQ43" s="21"/>
      <c r="NNR43" s="21"/>
      <c r="NNV43" s="15"/>
      <c r="NOB43" s="25"/>
      <c r="NOI43" s="21"/>
      <c r="NOJ43" s="21"/>
      <c r="NON43" s="15"/>
      <c r="NOT43" s="25"/>
      <c r="NPA43" s="21"/>
      <c r="NPB43" s="21"/>
      <c r="NPF43" s="15"/>
      <c r="NPL43" s="25"/>
      <c r="NPS43" s="21"/>
      <c r="NPT43" s="21"/>
      <c r="NPX43" s="15"/>
      <c r="NQD43" s="25"/>
      <c r="NQK43" s="21"/>
      <c r="NQL43" s="21"/>
      <c r="NQP43" s="15"/>
      <c r="NQV43" s="25"/>
      <c r="NRC43" s="21"/>
      <c r="NRD43" s="21"/>
      <c r="NRH43" s="15"/>
      <c r="NRN43" s="25"/>
      <c r="NRU43" s="21"/>
      <c r="NRV43" s="21"/>
      <c r="NRZ43" s="15"/>
      <c r="NSF43" s="25"/>
      <c r="NSM43" s="21"/>
      <c r="NSN43" s="21"/>
      <c r="NSR43" s="15"/>
      <c r="NSX43" s="25"/>
      <c r="NTE43" s="21"/>
      <c r="NTF43" s="21"/>
      <c r="NTJ43" s="15"/>
      <c r="NTP43" s="25"/>
      <c r="NTW43" s="21"/>
      <c r="NTX43" s="21"/>
      <c r="NUB43" s="15"/>
      <c r="NUH43" s="25"/>
      <c r="NUO43" s="21"/>
      <c r="NUP43" s="21"/>
      <c r="NUT43" s="15"/>
      <c r="NUZ43" s="25"/>
      <c r="NVG43" s="21"/>
      <c r="NVH43" s="21"/>
      <c r="NVL43" s="15"/>
      <c r="NVR43" s="25"/>
      <c r="NVY43" s="21"/>
      <c r="NVZ43" s="21"/>
      <c r="NWD43" s="15"/>
      <c r="NWJ43" s="25"/>
      <c r="NWQ43" s="21"/>
      <c r="NWR43" s="21"/>
      <c r="NWV43" s="15"/>
      <c r="NXB43" s="25"/>
      <c r="NXI43" s="21"/>
      <c r="NXJ43" s="21"/>
      <c r="NXN43" s="15"/>
      <c r="NXT43" s="25"/>
      <c r="NYA43" s="21"/>
      <c r="NYB43" s="21"/>
      <c r="NYF43" s="15"/>
      <c r="NYL43" s="25"/>
      <c r="NYS43" s="21"/>
      <c r="NYT43" s="21"/>
      <c r="NYX43" s="15"/>
      <c r="NZD43" s="25"/>
      <c r="NZK43" s="21"/>
      <c r="NZL43" s="21"/>
      <c r="NZP43" s="15"/>
      <c r="NZV43" s="25"/>
      <c r="OAC43" s="21"/>
      <c r="OAD43" s="21"/>
      <c r="OAH43" s="15"/>
      <c r="OAN43" s="25"/>
      <c r="OAU43" s="21"/>
      <c r="OAV43" s="21"/>
      <c r="OAZ43" s="15"/>
      <c r="OBF43" s="25"/>
      <c r="OBM43" s="21"/>
      <c r="OBN43" s="21"/>
      <c r="OBR43" s="15"/>
      <c r="OBX43" s="25"/>
      <c r="OCE43" s="21"/>
      <c r="OCF43" s="21"/>
      <c r="OCJ43" s="15"/>
      <c r="OCP43" s="25"/>
      <c r="OCW43" s="21"/>
      <c r="OCX43" s="21"/>
      <c r="ODB43" s="15"/>
      <c r="ODH43" s="25"/>
      <c r="ODO43" s="21"/>
      <c r="ODP43" s="21"/>
      <c r="ODT43" s="15"/>
      <c r="ODZ43" s="25"/>
      <c r="OEG43" s="21"/>
      <c r="OEH43" s="21"/>
      <c r="OEL43" s="15"/>
      <c r="OER43" s="25"/>
      <c r="OEY43" s="21"/>
      <c r="OEZ43" s="21"/>
      <c r="OFD43" s="15"/>
      <c r="OFJ43" s="25"/>
      <c r="OFQ43" s="21"/>
      <c r="OFR43" s="21"/>
      <c r="OFV43" s="15"/>
      <c r="OGB43" s="25"/>
      <c r="OGI43" s="21"/>
      <c r="OGJ43" s="21"/>
      <c r="OGN43" s="15"/>
      <c r="OGT43" s="25"/>
      <c r="OHA43" s="21"/>
      <c r="OHB43" s="21"/>
      <c r="OHF43" s="15"/>
      <c r="OHL43" s="25"/>
      <c r="OHS43" s="21"/>
      <c r="OHT43" s="21"/>
      <c r="OHX43" s="15"/>
      <c r="OID43" s="25"/>
      <c r="OIK43" s="21"/>
      <c r="OIL43" s="21"/>
      <c r="OIP43" s="15"/>
      <c r="OIV43" s="25"/>
      <c r="OJC43" s="21"/>
      <c r="OJD43" s="21"/>
      <c r="OJH43" s="15"/>
      <c r="OJN43" s="25"/>
      <c r="OJU43" s="21"/>
      <c r="OJV43" s="21"/>
      <c r="OJZ43" s="15"/>
      <c r="OKF43" s="25"/>
      <c r="OKM43" s="21"/>
      <c r="OKN43" s="21"/>
      <c r="OKR43" s="15"/>
      <c r="OKX43" s="25"/>
      <c r="OLE43" s="21"/>
      <c r="OLF43" s="21"/>
      <c r="OLJ43" s="15"/>
      <c r="OLP43" s="25"/>
      <c r="OLW43" s="21"/>
      <c r="OLX43" s="21"/>
      <c r="OMB43" s="15"/>
      <c r="OMH43" s="25"/>
      <c r="OMO43" s="21"/>
      <c r="OMP43" s="21"/>
      <c r="OMT43" s="15"/>
      <c r="OMZ43" s="25"/>
      <c r="ONG43" s="21"/>
      <c r="ONH43" s="21"/>
      <c r="ONL43" s="15"/>
      <c r="ONR43" s="25"/>
      <c r="ONY43" s="21"/>
      <c r="ONZ43" s="21"/>
      <c r="OOD43" s="15"/>
      <c r="OOJ43" s="25"/>
      <c r="OOQ43" s="21"/>
      <c r="OOR43" s="21"/>
      <c r="OOV43" s="15"/>
      <c r="OPB43" s="25"/>
      <c r="OPI43" s="21"/>
      <c r="OPJ43" s="21"/>
      <c r="OPN43" s="15"/>
      <c r="OPT43" s="25"/>
      <c r="OQA43" s="21"/>
      <c r="OQB43" s="21"/>
      <c r="OQF43" s="15"/>
      <c r="OQL43" s="25"/>
      <c r="OQS43" s="21"/>
      <c r="OQT43" s="21"/>
      <c r="OQX43" s="15"/>
      <c r="ORD43" s="25"/>
      <c r="ORK43" s="21"/>
      <c r="ORL43" s="21"/>
      <c r="ORP43" s="15"/>
      <c r="ORV43" s="25"/>
      <c r="OSC43" s="21"/>
      <c r="OSD43" s="21"/>
      <c r="OSH43" s="15"/>
      <c r="OSN43" s="25"/>
      <c r="OSU43" s="21"/>
      <c r="OSV43" s="21"/>
      <c r="OSZ43" s="15"/>
      <c r="OTF43" s="25"/>
      <c r="OTM43" s="21"/>
      <c r="OTN43" s="21"/>
      <c r="OTR43" s="15"/>
      <c r="OTX43" s="25"/>
      <c r="OUE43" s="21"/>
      <c r="OUF43" s="21"/>
      <c r="OUJ43" s="15"/>
      <c r="OUP43" s="25"/>
      <c r="OUW43" s="21"/>
      <c r="OUX43" s="21"/>
      <c r="OVB43" s="15"/>
      <c r="OVH43" s="25"/>
      <c r="OVO43" s="21"/>
      <c r="OVP43" s="21"/>
      <c r="OVT43" s="15"/>
      <c r="OVZ43" s="25"/>
      <c r="OWG43" s="21"/>
      <c r="OWH43" s="21"/>
      <c r="OWL43" s="15"/>
      <c r="OWR43" s="25"/>
      <c r="OWY43" s="21"/>
      <c r="OWZ43" s="21"/>
      <c r="OXD43" s="15"/>
      <c r="OXJ43" s="25"/>
      <c r="OXQ43" s="21"/>
      <c r="OXR43" s="21"/>
      <c r="OXV43" s="15"/>
      <c r="OYB43" s="25"/>
      <c r="OYI43" s="21"/>
      <c r="OYJ43" s="21"/>
      <c r="OYN43" s="15"/>
      <c r="OYT43" s="25"/>
      <c r="OZA43" s="21"/>
      <c r="OZB43" s="21"/>
      <c r="OZF43" s="15"/>
      <c r="OZL43" s="25"/>
      <c r="OZS43" s="21"/>
      <c r="OZT43" s="21"/>
      <c r="OZX43" s="15"/>
      <c r="PAD43" s="25"/>
      <c r="PAK43" s="21"/>
      <c r="PAL43" s="21"/>
      <c r="PAP43" s="15"/>
      <c r="PAV43" s="25"/>
      <c r="PBC43" s="21"/>
      <c r="PBD43" s="21"/>
      <c r="PBH43" s="15"/>
      <c r="PBN43" s="25"/>
      <c r="PBU43" s="21"/>
      <c r="PBV43" s="21"/>
      <c r="PBZ43" s="15"/>
      <c r="PCF43" s="25"/>
      <c r="PCM43" s="21"/>
      <c r="PCN43" s="21"/>
      <c r="PCR43" s="15"/>
      <c r="PCX43" s="25"/>
      <c r="PDE43" s="21"/>
      <c r="PDF43" s="21"/>
      <c r="PDJ43" s="15"/>
      <c r="PDP43" s="25"/>
      <c r="PDW43" s="21"/>
      <c r="PDX43" s="21"/>
      <c r="PEB43" s="15"/>
      <c r="PEH43" s="25"/>
      <c r="PEO43" s="21"/>
      <c r="PEP43" s="21"/>
      <c r="PET43" s="15"/>
      <c r="PEZ43" s="25"/>
      <c r="PFG43" s="21"/>
      <c r="PFH43" s="21"/>
      <c r="PFL43" s="15"/>
      <c r="PFR43" s="25"/>
      <c r="PFY43" s="21"/>
      <c r="PFZ43" s="21"/>
      <c r="PGD43" s="15"/>
      <c r="PGJ43" s="25"/>
      <c r="PGQ43" s="21"/>
      <c r="PGR43" s="21"/>
      <c r="PGV43" s="15"/>
      <c r="PHB43" s="25"/>
      <c r="PHI43" s="21"/>
      <c r="PHJ43" s="21"/>
      <c r="PHN43" s="15"/>
      <c r="PHT43" s="25"/>
      <c r="PIA43" s="21"/>
      <c r="PIB43" s="21"/>
      <c r="PIF43" s="15"/>
      <c r="PIL43" s="25"/>
      <c r="PIS43" s="21"/>
      <c r="PIT43" s="21"/>
      <c r="PIX43" s="15"/>
      <c r="PJD43" s="25"/>
      <c r="PJK43" s="21"/>
      <c r="PJL43" s="21"/>
      <c r="PJP43" s="15"/>
      <c r="PJV43" s="25"/>
      <c r="PKC43" s="21"/>
      <c r="PKD43" s="21"/>
      <c r="PKH43" s="15"/>
      <c r="PKN43" s="25"/>
      <c r="PKU43" s="21"/>
      <c r="PKV43" s="21"/>
      <c r="PKZ43" s="15"/>
      <c r="PLF43" s="25"/>
      <c r="PLM43" s="21"/>
      <c r="PLN43" s="21"/>
      <c r="PLR43" s="15"/>
      <c r="PLX43" s="25"/>
      <c r="PME43" s="21"/>
      <c r="PMF43" s="21"/>
      <c r="PMJ43" s="15"/>
      <c r="PMP43" s="25"/>
      <c r="PMW43" s="21"/>
      <c r="PMX43" s="21"/>
      <c r="PNB43" s="15"/>
      <c r="PNH43" s="25"/>
      <c r="PNO43" s="21"/>
      <c r="PNP43" s="21"/>
      <c r="PNT43" s="15"/>
      <c r="PNZ43" s="25"/>
      <c r="POG43" s="21"/>
      <c r="POH43" s="21"/>
      <c r="POL43" s="15"/>
      <c r="POR43" s="25"/>
      <c r="POY43" s="21"/>
      <c r="POZ43" s="21"/>
      <c r="PPD43" s="15"/>
      <c r="PPJ43" s="25"/>
      <c r="PPQ43" s="21"/>
      <c r="PPR43" s="21"/>
      <c r="PPV43" s="15"/>
      <c r="PQB43" s="25"/>
      <c r="PQI43" s="21"/>
      <c r="PQJ43" s="21"/>
      <c r="PQN43" s="15"/>
      <c r="PQT43" s="25"/>
      <c r="PRA43" s="21"/>
      <c r="PRB43" s="21"/>
      <c r="PRF43" s="15"/>
      <c r="PRL43" s="25"/>
      <c r="PRS43" s="21"/>
      <c r="PRT43" s="21"/>
      <c r="PRX43" s="15"/>
      <c r="PSD43" s="25"/>
      <c r="PSK43" s="21"/>
      <c r="PSL43" s="21"/>
      <c r="PSP43" s="15"/>
      <c r="PSV43" s="25"/>
      <c r="PTC43" s="21"/>
      <c r="PTD43" s="21"/>
      <c r="PTH43" s="15"/>
      <c r="PTN43" s="25"/>
      <c r="PTU43" s="21"/>
      <c r="PTV43" s="21"/>
      <c r="PTZ43" s="15"/>
      <c r="PUF43" s="25"/>
      <c r="PUM43" s="21"/>
      <c r="PUN43" s="21"/>
      <c r="PUR43" s="15"/>
      <c r="PUX43" s="25"/>
      <c r="PVE43" s="21"/>
      <c r="PVF43" s="21"/>
      <c r="PVJ43" s="15"/>
      <c r="PVP43" s="25"/>
      <c r="PVW43" s="21"/>
      <c r="PVX43" s="21"/>
      <c r="PWB43" s="15"/>
      <c r="PWH43" s="25"/>
      <c r="PWO43" s="21"/>
      <c r="PWP43" s="21"/>
      <c r="PWT43" s="15"/>
      <c r="PWZ43" s="25"/>
      <c r="PXG43" s="21"/>
      <c r="PXH43" s="21"/>
      <c r="PXL43" s="15"/>
      <c r="PXR43" s="25"/>
      <c r="PXY43" s="21"/>
      <c r="PXZ43" s="21"/>
      <c r="PYD43" s="15"/>
      <c r="PYJ43" s="25"/>
      <c r="PYQ43" s="21"/>
      <c r="PYR43" s="21"/>
      <c r="PYV43" s="15"/>
      <c r="PZB43" s="25"/>
      <c r="PZI43" s="21"/>
      <c r="PZJ43" s="21"/>
      <c r="PZN43" s="15"/>
      <c r="PZT43" s="25"/>
      <c r="QAA43" s="21"/>
      <c r="QAB43" s="21"/>
      <c r="QAF43" s="15"/>
      <c r="QAL43" s="25"/>
      <c r="QAS43" s="21"/>
      <c r="QAT43" s="21"/>
      <c r="QAX43" s="15"/>
      <c r="QBD43" s="25"/>
      <c r="QBK43" s="21"/>
      <c r="QBL43" s="21"/>
      <c r="QBP43" s="15"/>
      <c r="QBV43" s="25"/>
      <c r="QCC43" s="21"/>
      <c r="QCD43" s="21"/>
      <c r="QCH43" s="15"/>
      <c r="QCN43" s="25"/>
      <c r="QCU43" s="21"/>
      <c r="QCV43" s="21"/>
      <c r="QCZ43" s="15"/>
      <c r="QDF43" s="25"/>
      <c r="QDM43" s="21"/>
      <c r="QDN43" s="21"/>
      <c r="QDR43" s="15"/>
      <c r="QDX43" s="25"/>
      <c r="QEE43" s="21"/>
      <c r="QEF43" s="21"/>
      <c r="QEJ43" s="15"/>
      <c r="QEP43" s="25"/>
      <c r="QEW43" s="21"/>
      <c r="QEX43" s="21"/>
      <c r="QFB43" s="15"/>
      <c r="QFH43" s="25"/>
      <c r="QFO43" s="21"/>
      <c r="QFP43" s="21"/>
      <c r="QFT43" s="15"/>
      <c r="QFZ43" s="25"/>
      <c r="QGG43" s="21"/>
      <c r="QGH43" s="21"/>
      <c r="QGL43" s="15"/>
      <c r="QGR43" s="25"/>
      <c r="QGY43" s="21"/>
      <c r="QGZ43" s="21"/>
      <c r="QHD43" s="15"/>
      <c r="QHJ43" s="25"/>
      <c r="QHQ43" s="21"/>
      <c r="QHR43" s="21"/>
      <c r="QHV43" s="15"/>
      <c r="QIB43" s="25"/>
      <c r="QII43" s="21"/>
      <c r="QIJ43" s="21"/>
      <c r="QIN43" s="15"/>
      <c r="QIT43" s="25"/>
      <c r="QJA43" s="21"/>
      <c r="QJB43" s="21"/>
      <c r="QJF43" s="15"/>
      <c r="QJL43" s="25"/>
      <c r="QJS43" s="21"/>
      <c r="QJT43" s="21"/>
      <c r="QJX43" s="15"/>
      <c r="QKD43" s="25"/>
      <c r="QKK43" s="21"/>
      <c r="QKL43" s="21"/>
      <c r="QKP43" s="15"/>
      <c r="QKV43" s="25"/>
      <c r="QLC43" s="21"/>
      <c r="QLD43" s="21"/>
      <c r="QLH43" s="15"/>
      <c r="QLN43" s="25"/>
      <c r="QLU43" s="21"/>
      <c r="QLV43" s="21"/>
      <c r="QLZ43" s="15"/>
      <c r="QMF43" s="25"/>
      <c r="QMM43" s="21"/>
      <c r="QMN43" s="21"/>
      <c r="QMR43" s="15"/>
      <c r="QMX43" s="25"/>
      <c r="QNE43" s="21"/>
      <c r="QNF43" s="21"/>
      <c r="QNJ43" s="15"/>
      <c r="QNP43" s="25"/>
      <c r="QNW43" s="21"/>
      <c r="QNX43" s="21"/>
      <c r="QOB43" s="15"/>
      <c r="QOH43" s="25"/>
      <c r="QOO43" s="21"/>
      <c r="QOP43" s="21"/>
      <c r="QOT43" s="15"/>
      <c r="QOZ43" s="25"/>
      <c r="QPG43" s="21"/>
      <c r="QPH43" s="21"/>
      <c r="QPL43" s="15"/>
      <c r="QPR43" s="25"/>
      <c r="QPY43" s="21"/>
      <c r="QPZ43" s="21"/>
      <c r="QQD43" s="15"/>
      <c r="QQJ43" s="25"/>
      <c r="QQQ43" s="21"/>
      <c r="QQR43" s="21"/>
      <c r="QQV43" s="15"/>
      <c r="QRB43" s="25"/>
      <c r="QRI43" s="21"/>
      <c r="QRJ43" s="21"/>
      <c r="QRN43" s="15"/>
      <c r="QRT43" s="25"/>
      <c r="QSA43" s="21"/>
      <c r="QSB43" s="21"/>
      <c r="QSF43" s="15"/>
      <c r="QSL43" s="25"/>
      <c r="QSS43" s="21"/>
      <c r="QST43" s="21"/>
      <c r="QSX43" s="15"/>
      <c r="QTD43" s="25"/>
      <c r="QTK43" s="21"/>
      <c r="QTL43" s="21"/>
      <c r="QTP43" s="15"/>
      <c r="QTV43" s="25"/>
      <c r="QUC43" s="21"/>
      <c r="QUD43" s="21"/>
      <c r="QUH43" s="15"/>
      <c r="QUN43" s="25"/>
      <c r="QUU43" s="21"/>
      <c r="QUV43" s="21"/>
      <c r="QUZ43" s="15"/>
      <c r="QVF43" s="25"/>
      <c r="QVM43" s="21"/>
      <c r="QVN43" s="21"/>
      <c r="QVR43" s="15"/>
      <c r="QVX43" s="25"/>
      <c r="QWE43" s="21"/>
      <c r="QWF43" s="21"/>
      <c r="QWJ43" s="15"/>
      <c r="QWP43" s="25"/>
      <c r="QWW43" s="21"/>
      <c r="QWX43" s="21"/>
      <c r="QXB43" s="15"/>
      <c r="QXH43" s="25"/>
      <c r="QXO43" s="21"/>
      <c r="QXP43" s="21"/>
      <c r="QXT43" s="15"/>
      <c r="QXZ43" s="25"/>
      <c r="QYG43" s="21"/>
      <c r="QYH43" s="21"/>
      <c r="QYL43" s="15"/>
      <c r="QYR43" s="25"/>
      <c r="QYY43" s="21"/>
      <c r="QYZ43" s="21"/>
      <c r="QZD43" s="15"/>
      <c r="QZJ43" s="25"/>
      <c r="QZQ43" s="21"/>
      <c r="QZR43" s="21"/>
      <c r="QZV43" s="15"/>
      <c r="RAB43" s="25"/>
      <c r="RAI43" s="21"/>
      <c r="RAJ43" s="21"/>
      <c r="RAN43" s="15"/>
      <c r="RAT43" s="25"/>
      <c r="RBA43" s="21"/>
      <c r="RBB43" s="21"/>
      <c r="RBF43" s="15"/>
      <c r="RBL43" s="25"/>
      <c r="RBS43" s="21"/>
      <c r="RBT43" s="21"/>
      <c r="RBX43" s="15"/>
      <c r="RCD43" s="25"/>
      <c r="RCK43" s="21"/>
      <c r="RCL43" s="21"/>
      <c r="RCP43" s="15"/>
      <c r="RCV43" s="25"/>
      <c r="RDC43" s="21"/>
      <c r="RDD43" s="21"/>
      <c r="RDH43" s="15"/>
      <c r="RDN43" s="25"/>
      <c r="RDU43" s="21"/>
      <c r="RDV43" s="21"/>
      <c r="RDZ43" s="15"/>
      <c r="REF43" s="25"/>
      <c r="REM43" s="21"/>
      <c r="REN43" s="21"/>
      <c r="RER43" s="15"/>
      <c r="REX43" s="25"/>
      <c r="RFE43" s="21"/>
      <c r="RFF43" s="21"/>
      <c r="RFJ43" s="15"/>
      <c r="RFP43" s="25"/>
      <c r="RFW43" s="21"/>
      <c r="RFX43" s="21"/>
      <c r="RGB43" s="15"/>
      <c r="RGH43" s="25"/>
      <c r="RGO43" s="21"/>
      <c r="RGP43" s="21"/>
      <c r="RGT43" s="15"/>
      <c r="RGZ43" s="25"/>
      <c r="RHG43" s="21"/>
      <c r="RHH43" s="21"/>
      <c r="RHL43" s="15"/>
      <c r="RHR43" s="25"/>
      <c r="RHY43" s="21"/>
      <c r="RHZ43" s="21"/>
      <c r="RID43" s="15"/>
      <c r="RIJ43" s="25"/>
      <c r="RIQ43" s="21"/>
      <c r="RIR43" s="21"/>
      <c r="RIV43" s="15"/>
      <c r="RJB43" s="25"/>
      <c r="RJI43" s="21"/>
      <c r="RJJ43" s="21"/>
      <c r="RJN43" s="15"/>
      <c r="RJT43" s="25"/>
      <c r="RKA43" s="21"/>
      <c r="RKB43" s="21"/>
      <c r="RKF43" s="15"/>
      <c r="RKL43" s="25"/>
      <c r="RKS43" s="21"/>
      <c r="RKT43" s="21"/>
      <c r="RKX43" s="15"/>
      <c r="RLD43" s="25"/>
      <c r="RLK43" s="21"/>
      <c r="RLL43" s="21"/>
      <c r="RLP43" s="15"/>
      <c r="RLV43" s="25"/>
      <c r="RMC43" s="21"/>
      <c r="RMD43" s="21"/>
      <c r="RMH43" s="15"/>
      <c r="RMN43" s="25"/>
      <c r="RMU43" s="21"/>
      <c r="RMV43" s="21"/>
      <c r="RMZ43" s="15"/>
      <c r="RNF43" s="25"/>
      <c r="RNM43" s="21"/>
      <c r="RNN43" s="21"/>
      <c r="RNR43" s="15"/>
      <c r="RNX43" s="25"/>
      <c r="ROE43" s="21"/>
      <c r="ROF43" s="21"/>
      <c r="ROJ43" s="15"/>
      <c r="ROP43" s="25"/>
      <c r="ROW43" s="21"/>
      <c r="ROX43" s="21"/>
      <c r="RPB43" s="15"/>
      <c r="RPH43" s="25"/>
      <c r="RPO43" s="21"/>
      <c r="RPP43" s="21"/>
      <c r="RPT43" s="15"/>
      <c r="RPZ43" s="25"/>
      <c r="RQG43" s="21"/>
      <c r="RQH43" s="21"/>
      <c r="RQL43" s="15"/>
      <c r="RQR43" s="25"/>
      <c r="RQY43" s="21"/>
      <c r="RQZ43" s="21"/>
      <c r="RRD43" s="15"/>
      <c r="RRJ43" s="25"/>
      <c r="RRQ43" s="21"/>
      <c r="RRR43" s="21"/>
      <c r="RRV43" s="15"/>
      <c r="RSB43" s="25"/>
      <c r="RSI43" s="21"/>
      <c r="RSJ43" s="21"/>
      <c r="RSN43" s="15"/>
      <c r="RST43" s="25"/>
      <c r="RTA43" s="21"/>
      <c r="RTB43" s="21"/>
      <c r="RTF43" s="15"/>
      <c r="RTL43" s="25"/>
      <c r="RTS43" s="21"/>
      <c r="RTT43" s="21"/>
      <c r="RTX43" s="15"/>
      <c r="RUD43" s="25"/>
      <c r="RUK43" s="21"/>
      <c r="RUL43" s="21"/>
      <c r="RUP43" s="15"/>
      <c r="RUV43" s="25"/>
      <c r="RVC43" s="21"/>
      <c r="RVD43" s="21"/>
      <c r="RVH43" s="15"/>
      <c r="RVN43" s="25"/>
      <c r="RVU43" s="21"/>
      <c r="RVV43" s="21"/>
      <c r="RVZ43" s="15"/>
      <c r="RWF43" s="25"/>
      <c r="RWM43" s="21"/>
      <c r="RWN43" s="21"/>
      <c r="RWR43" s="15"/>
      <c r="RWX43" s="25"/>
      <c r="RXE43" s="21"/>
      <c r="RXF43" s="21"/>
      <c r="RXJ43" s="15"/>
      <c r="RXP43" s="25"/>
      <c r="RXW43" s="21"/>
      <c r="RXX43" s="21"/>
      <c r="RYB43" s="15"/>
      <c r="RYH43" s="25"/>
      <c r="RYO43" s="21"/>
      <c r="RYP43" s="21"/>
      <c r="RYT43" s="15"/>
      <c r="RYZ43" s="25"/>
      <c r="RZG43" s="21"/>
      <c r="RZH43" s="21"/>
      <c r="RZL43" s="15"/>
      <c r="RZR43" s="25"/>
      <c r="RZY43" s="21"/>
      <c r="RZZ43" s="21"/>
      <c r="SAD43" s="15"/>
      <c r="SAJ43" s="25"/>
      <c r="SAQ43" s="21"/>
      <c r="SAR43" s="21"/>
      <c r="SAV43" s="15"/>
      <c r="SBB43" s="25"/>
      <c r="SBI43" s="21"/>
      <c r="SBJ43" s="21"/>
      <c r="SBN43" s="15"/>
      <c r="SBT43" s="25"/>
      <c r="SCA43" s="21"/>
      <c r="SCB43" s="21"/>
      <c r="SCF43" s="15"/>
      <c r="SCL43" s="25"/>
      <c r="SCS43" s="21"/>
      <c r="SCT43" s="21"/>
      <c r="SCX43" s="15"/>
      <c r="SDD43" s="25"/>
      <c r="SDK43" s="21"/>
      <c r="SDL43" s="21"/>
      <c r="SDP43" s="15"/>
      <c r="SDV43" s="25"/>
      <c r="SEC43" s="21"/>
      <c r="SED43" s="21"/>
      <c r="SEH43" s="15"/>
      <c r="SEN43" s="25"/>
      <c r="SEU43" s="21"/>
      <c r="SEV43" s="21"/>
      <c r="SEZ43" s="15"/>
      <c r="SFF43" s="25"/>
      <c r="SFM43" s="21"/>
      <c r="SFN43" s="21"/>
      <c r="SFR43" s="15"/>
      <c r="SFX43" s="25"/>
      <c r="SGE43" s="21"/>
      <c r="SGF43" s="21"/>
      <c r="SGJ43" s="15"/>
      <c r="SGP43" s="25"/>
      <c r="SGW43" s="21"/>
      <c r="SGX43" s="21"/>
      <c r="SHB43" s="15"/>
      <c r="SHH43" s="25"/>
      <c r="SHO43" s="21"/>
      <c r="SHP43" s="21"/>
      <c r="SHT43" s="15"/>
      <c r="SHZ43" s="25"/>
      <c r="SIG43" s="21"/>
      <c r="SIH43" s="21"/>
      <c r="SIL43" s="15"/>
      <c r="SIR43" s="25"/>
      <c r="SIY43" s="21"/>
      <c r="SIZ43" s="21"/>
      <c r="SJD43" s="15"/>
      <c r="SJJ43" s="25"/>
      <c r="SJQ43" s="21"/>
      <c r="SJR43" s="21"/>
      <c r="SJV43" s="15"/>
      <c r="SKB43" s="25"/>
      <c r="SKI43" s="21"/>
      <c r="SKJ43" s="21"/>
      <c r="SKN43" s="15"/>
      <c r="SKT43" s="25"/>
      <c r="SLA43" s="21"/>
      <c r="SLB43" s="21"/>
      <c r="SLF43" s="15"/>
      <c r="SLL43" s="25"/>
      <c r="SLS43" s="21"/>
      <c r="SLT43" s="21"/>
      <c r="SLX43" s="15"/>
      <c r="SMD43" s="25"/>
      <c r="SMK43" s="21"/>
      <c r="SML43" s="21"/>
      <c r="SMP43" s="15"/>
      <c r="SMV43" s="25"/>
      <c r="SNC43" s="21"/>
      <c r="SND43" s="21"/>
      <c r="SNH43" s="15"/>
      <c r="SNN43" s="25"/>
      <c r="SNU43" s="21"/>
      <c r="SNV43" s="21"/>
      <c r="SNZ43" s="15"/>
      <c r="SOF43" s="25"/>
      <c r="SOM43" s="21"/>
      <c r="SON43" s="21"/>
      <c r="SOR43" s="15"/>
      <c r="SOX43" s="25"/>
      <c r="SPE43" s="21"/>
      <c r="SPF43" s="21"/>
      <c r="SPJ43" s="15"/>
      <c r="SPP43" s="25"/>
      <c r="SPW43" s="21"/>
      <c r="SPX43" s="21"/>
      <c r="SQB43" s="15"/>
      <c r="SQH43" s="25"/>
      <c r="SQO43" s="21"/>
      <c r="SQP43" s="21"/>
      <c r="SQT43" s="15"/>
      <c r="SQZ43" s="25"/>
      <c r="SRG43" s="21"/>
      <c r="SRH43" s="21"/>
      <c r="SRL43" s="15"/>
      <c r="SRR43" s="25"/>
      <c r="SRY43" s="21"/>
      <c r="SRZ43" s="21"/>
      <c r="SSD43" s="15"/>
      <c r="SSJ43" s="25"/>
      <c r="SSQ43" s="21"/>
      <c r="SSR43" s="21"/>
      <c r="SSV43" s="15"/>
      <c r="STB43" s="25"/>
      <c r="STI43" s="21"/>
      <c r="STJ43" s="21"/>
      <c r="STN43" s="15"/>
      <c r="STT43" s="25"/>
      <c r="SUA43" s="21"/>
      <c r="SUB43" s="21"/>
      <c r="SUF43" s="15"/>
      <c r="SUL43" s="25"/>
      <c r="SUS43" s="21"/>
      <c r="SUT43" s="21"/>
      <c r="SUX43" s="15"/>
      <c r="SVD43" s="25"/>
      <c r="SVK43" s="21"/>
      <c r="SVL43" s="21"/>
      <c r="SVP43" s="15"/>
      <c r="SVV43" s="25"/>
      <c r="SWC43" s="21"/>
      <c r="SWD43" s="21"/>
      <c r="SWH43" s="15"/>
      <c r="SWN43" s="25"/>
      <c r="SWU43" s="21"/>
      <c r="SWV43" s="21"/>
      <c r="SWZ43" s="15"/>
      <c r="SXF43" s="25"/>
      <c r="SXM43" s="21"/>
      <c r="SXN43" s="21"/>
      <c r="SXR43" s="15"/>
      <c r="SXX43" s="25"/>
      <c r="SYE43" s="21"/>
      <c r="SYF43" s="21"/>
      <c r="SYJ43" s="15"/>
      <c r="SYP43" s="25"/>
      <c r="SYW43" s="21"/>
      <c r="SYX43" s="21"/>
      <c r="SZB43" s="15"/>
      <c r="SZH43" s="25"/>
      <c r="SZO43" s="21"/>
      <c r="SZP43" s="21"/>
      <c r="SZT43" s="15"/>
      <c r="SZZ43" s="25"/>
      <c r="TAG43" s="21"/>
      <c r="TAH43" s="21"/>
      <c r="TAL43" s="15"/>
      <c r="TAR43" s="25"/>
      <c r="TAY43" s="21"/>
      <c r="TAZ43" s="21"/>
      <c r="TBD43" s="15"/>
      <c r="TBJ43" s="25"/>
      <c r="TBQ43" s="21"/>
      <c r="TBR43" s="21"/>
      <c r="TBV43" s="15"/>
      <c r="TCB43" s="25"/>
      <c r="TCI43" s="21"/>
      <c r="TCJ43" s="21"/>
      <c r="TCN43" s="15"/>
      <c r="TCT43" s="25"/>
      <c r="TDA43" s="21"/>
      <c r="TDB43" s="21"/>
      <c r="TDF43" s="15"/>
      <c r="TDL43" s="25"/>
      <c r="TDS43" s="21"/>
      <c r="TDT43" s="21"/>
      <c r="TDX43" s="15"/>
      <c r="TED43" s="25"/>
      <c r="TEK43" s="21"/>
      <c r="TEL43" s="21"/>
      <c r="TEP43" s="15"/>
      <c r="TEV43" s="25"/>
      <c r="TFC43" s="21"/>
      <c r="TFD43" s="21"/>
      <c r="TFH43" s="15"/>
      <c r="TFN43" s="25"/>
      <c r="TFU43" s="21"/>
      <c r="TFV43" s="21"/>
      <c r="TFZ43" s="15"/>
      <c r="TGF43" s="25"/>
      <c r="TGM43" s="21"/>
      <c r="TGN43" s="21"/>
      <c r="TGR43" s="15"/>
      <c r="TGX43" s="25"/>
      <c r="THE43" s="21"/>
      <c r="THF43" s="21"/>
      <c r="THJ43" s="15"/>
      <c r="THP43" s="25"/>
      <c r="THW43" s="21"/>
      <c r="THX43" s="21"/>
      <c r="TIB43" s="15"/>
      <c r="TIH43" s="25"/>
      <c r="TIO43" s="21"/>
      <c r="TIP43" s="21"/>
      <c r="TIT43" s="15"/>
      <c r="TIZ43" s="25"/>
      <c r="TJG43" s="21"/>
      <c r="TJH43" s="21"/>
      <c r="TJL43" s="15"/>
      <c r="TJR43" s="25"/>
      <c r="TJY43" s="21"/>
      <c r="TJZ43" s="21"/>
      <c r="TKD43" s="15"/>
      <c r="TKJ43" s="25"/>
      <c r="TKQ43" s="21"/>
      <c r="TKR43" s="21"/>
      <c r="TKV43" s="15"/>
      <c r="TLB43" s="25"/>
      <c r="TLI43" s="21"/>
      <c r="TLJ43" s="21"/>
      <c r="TLN43" s="15"/>
      <c r="TLT43" s="25"/>
      <c r="TMA43" s="21"/>
      <c r="TMB43" s="21"/>
      <c r="TMF43" s="15"/>
      <c r="TML43" s="25"/>
      <c r="TMS43" s="21"/>
      <c r="TMT43" s="21"/>
      <c r="TMX43" s="15"/>
      <c r="TND43" s="25"/>
      <c r="TNK43" s="21"/>
      <c r="TNL43" s="21"/>
      <c r="TNP43" s="15"/>
      <c r="TNV43" s="25"/>
      <c r="TOC43" s="21"/>
      <c r="TOD43" s="21"/>
      <c r="TOH43" s="15"/>
      <c r="TON43" s="25"/>
      <c r="TOU43" s="21"/>
      <c r="TOV43" s="21"/>
      <c r="TOZ43" s="15"/>
      <c r="TPF43" s="25"/>
      <c r="TPM43" s="21"/>
      <c r="TPN43" s="21"/>
      <c r="TPR43" s="15"/>
      <c r="TPX43" s="25"/>
      <c r="TQE43" s="21"/>
      <c r="TQF43" s="21"/>
      <c r="TQJ43" s="15"/>
      <c r="TQP43" s="25"/>
      <c r="TQW43" s="21"/>
      <c r="TQX43" s="21"/>
      <c r="TRB43" s="15"/>
      <c r="TRH43" s="25"/>
      <c r="TRO43" s="21"/>
      <c r="TRP43" s="21"/>
      <c r="TRT43" s="15"/>
      <c r="TRZ43" s="25"/>
      <c r="TSG43" s="21"/>
      <c r="TSH43" s="21"/>
      <c r="TSL43" s="15"/>
      <c r="TSR43" s="25"/>
      <c r="TSY43" s="21"/>
      <c r="TSZ43" s="21"/>
      <c r="TTD43" s="15"/>
      <c r="TTJ43" s="25"/>
      <c r="TTQ43" s="21"/>
      <c r="TTR43" s="21"/>
      <c r="TTV43" s="15"/>
      <c r="TUB43" s="25"/>
      <c r="TUI43" s="21"/>
      <c r="TUJ43" s="21"/>
      <c r="TUN43" s="15"/>
      <c r="TUT43" s="25"/>
      <c r="TVA43" s="21"/>
      <c r="TVB43" s="21"/>
      <c r="TVF43" s="15"/>
      <c r="TVL43" s="25"/>
      <c r="TVS43" s="21"/>
      <c r="TVT43" s="21"/>
      <c r="TVX43" s="15"/>
      <c r="TWD43" s="25"/>
      <c r="TWK43" s="21"/>
      <c r="TWL43" s="21"/>
      <c r="TWP43" s="15"/>
      <c r="TWV43" s="25"/>
      <c r="TXC43" s="21"/>
      <c r="TXD43" s="21"/>
      <c r="TXH43" s="15"/>
      <c r="TXN43" s="25"/>
      <c r="TXU43" s="21"/>
      <c r="TXV43" s="21"/>
      <c r="TXZ43" s="15"/>
      <c r="TYF43" s="25"/>
      <c r="TYM43" s="21"/>
      <c r="TYN43" s="21"/>
      <c r="TYR43" s="15"/>
      <c r="TYX43" s="25"/>
      <c r="TZE43" s="21"/>
      <c r="TZF43" s="21"/>
      <c r="TZJ43" s="15"/>
      <c r="TZP43" s="25"/>
      <c r="TZW43" s="21"/>
      <c r="TZX43" s="21"/>
      <c r="UAB43" s="15"/>
      <c r="UAH43" s="25"/>
      <c r="UAO43" s="21"/>
      <c r="UAP43" s="21"/>
      <c r="UAT43" s="15"/>
      <c r="UAZ43" s="25"/>
      <c r="UBG43" s="21"/>
      <c r="UBH43" s="21"/>
      <c r="UBL43" s="15"/>
      <c r="UBR43" s="25"/>
      <c r="UBY43" s="21"/>
      <c r="UBZ43" s="21"/>
      <c r="UCD43" s="15"/>
      <c r="UCJ43" s="25"/>
      <c r="UCQ43" s="21"/>
      <c r="UCR43" s="21"/>
      <c r="UCV43" s="15"/>
      <c r="UDB43" s="25"/>
      <c r="UDI43" s="21"/>
      <c r="UDJ43" s="21"/>
      <c r="UDN43" s="15"/>
      <c r="UDT43" s="25"/>
      <c r="UEA43" s="21"/>
      <c r="UEB43" s="21"/>
      <c r="UEF43" s="15"/>
      <c r="UEL43" s="25"/>
      <c r="UES43" s="21"/>
      <c r="UET43" s="21"/>
      <c r="UEX43" s="15"/>
      <c r="UFD43" s="25"/>
      <c r="UFK43" s="21"/>
      <c r="UFL43" s="21"/>
      <c r="UFP43" s="15"/>
      <c r="UFV43" s="25"/>
      <c r="UGC43" s="21"/>
      <c r="UGD43" s="21"/>
      <c r="UGH43" s="15"/>
      <c r="UGN43" s="25"/>
      <c r="UGU43" s="21"/>
      <c r="UGV43" s="21"/>
      <c r="UGZ43" s="15"/>
      <c r="UHF43" s="25"/>
      <c r="UHM43" s="21"/>
      <c r="UHN43" s="21"/>
      <c r="UHR43" s="15"/>
      <c r="UHX43" s="25"/>
      <c r="UIE43" s="21"/>
      <c r="UIF43" s="21"/>
      <c r="UIJ43" s="15"/>
      <c r="UIP43" s="25"/>
      <c r="UIW43" s="21"/>
      <c r="UIX43" s="21"/>
      <c r="UJB43" s="15"/>
      <c r="UJH43" s="25"/>
      <c r="UJO43" s="21"/>
      <c r="UJP43" s="21"/>
      <c r="UJT43" s="15"/>
      <c r="UJZ43" s="25"/>
      <c r="UKG43" s="21"/>
      <c r="UKH43" s="21"/>
      <c r="UKL43" s="15"/>
      <c r="UKR43" s="25"/>
      <c r="UKY43" s="21"/>
      <c r="UKZ43" s="21"/>
      <c r="ULD43" s="15"/>
      <c r="ULJ43" s="25"/>
      <c r="ULQ43" s="21"/>
      <c r="ULR43" s="21"/>
      <c r="ULV43" s="15"/>
      <c r="UMB43" s="25"/>
      <c r="UMI43" s="21"/>
      <c r="UMJ43" s="21"/>
      <c r="UMN43" s="15"/>
      <c r="UMT43" s="25"/>
      <c r="UNA43" s="21"/>
      <c r="UNB43" s="21"/>
      <c r="UNF43" s="15"/>
      <c r="UNL43" s="25"/>
      <c r="UNS43" s="21"/>
      <c r="UNT43" s="21"/>
      <c r="UNX43" s="15"/>
      <c r="UOD43" s="25"/>
      <c r="UOK43" s="21"/>
      <c r="UOL43" s="21"/>
      <c r="UOP43" s="15"/>
      <c r="UOV43" s="25"/>
      <c r="UPC43" s="21"/>
      <c r="UPD43" s="21"/>
      <c r="UPH43" s="15"/>
      <c r="UPN43" s="25"/>
      <c r="UPU43" s="21"/>
      <c r="UPV43" s="21"/>
      <c r="UPZ43" s="15"/>
      <c r="UQF43" s="25"/>
      <c r="UQM43" s="21"/>
      <c r="UQN43" s="21"/>
      <c r="UQR43" s="15"/>
      <c r="UQX43" s="25"/>
      <c r="URE43" s="21"/>
      <c r="URF43" s="21"/>
      <c r="URJ43" s="15"/>
      <c r="URP43" s="25"/>
      <c r="URW43" s="21"/>
      <c r="URX43" s="21"/>
      <c r="USB43" s="15"/>
      <c r="USH43" s="25"/>
      <c r="USO43" s="21"/>
      <c r="USP43" s="21"/>
      <c r="UST43" s="15"/>
      <c r="USZ43" s="25"/>
      <c r="UTG43" s="21"/>
      <c r="UTH43" s="21"/>
      <c r="UTL43" s="15"/>
      <c r="UTR43" s="25"/>
      <c r="UTY43" s="21"/>
      <c r="UTZ43" s="21"/>
      <c r="UUD43" s="15"/>
      <c r="UUJ43" s="25"/>
      <c r="UUQ43" s="21"/>
      <c r="UUR43" s="21"/>
      <c r="UUV43" s="15"/>
      <c r="UVB43" s="25"/>
      <c r="UVI43" s="21"/>
      <c r="UVJ43" s="21"/>
      <c r="UVN43" s="15"/>
      <c r="UVT43" s="25"/>
      <c r="UWA43" s="21"/>
      <c r="UWB43" s="21"/>
      <c r="UWF43" s="15"/>
      <c r="UWL43" s="25"/>
      <c r="UWS43" s="21"/>
      <c r="UWT43" s="21"/>
      <c r="UWX43" s="15"/>
      <c r="UXD43" s="25"/>
      <c r="UXK43" s="21"/>
      <c r="UXL43" s="21"/>
      <c r="UXP43" s="15"/>
      <c r="UXV43" s="25"/>
      <c r="UYC43" s="21"/>
      <c r="UYD43" s="21"/>
      <c r="UYH43" s="15"/>
      <c r="UYN43" s="25"/>
      <c r="UYU43" s="21"/>
      <c r="UYV43" s="21"/>
      <c r="UYZ43" s="15"/>
      <c r="UZF43" s="25"/>
      <c r="UZM43" s="21"/>
      <c r="UZN43" s="21"/>
      <c r="UZR43" s="15"/>
      <c r="UZX43" s="25"/>
      <c r="VAE43" s="21"/>
      <c r="VAF43" s="21"/>
      <c r="VAJ43" s="15"/>
      <c r="VAP43" s="25"/>
      <c r="VAW43" s="21"/>
      <c r="VAX43" s="21"/>
      <c r="VBB43" s="15"/>
      <c r="VBH43" s="25"/>
      <c r="VBO43" s="21"/>
      <c r="VBP43" s="21"/>
      <c r="VBT43" s="15"/>
      <c r="VBZ43" s="25"/>
      <c r="VCG43" s="21"/>
      <c r="VCH43" s="21"/>
      <c r="VCL43" s="15"/>
      <c r="VCR43" s="25"/>
      <c r="VCY43" s="21"/>
      <c r="VCZ43" s="21"/>
      <c r="VDD43" s="15"/>
      <c r="VDJ43" s="25"/>
      <c r="VDQ43" s="21"/>
      <c r="VDR43" s="21"/>
      <c r="VDV43" s="15"/>
      <c r="VEB43" s="25"/>
      <c r="VEI43" s="21"/>
      <c r="VEJ43" s="21"/>
      <c r="VEN43" s="15"/>
      <c r="VET43" s="25"/>
      <c r="VFA43" s="21"/>
      <c r="VFB43" s="21"/>
      <c r="VFF43" s="15"/>
      <c r="VFL43" s="25"/>
      <c r="VFS43" s="21"/>
      <c r="VFT43" s="21"/>
      <c r="VFX43" s="15"/>
      <c r="VGD43" s="25"/>
      <c r="VGK43" s="21"/>
      <c r="VGL43" s="21"/>
      <c r="VGP43" s="15"/>
      <c r="VGV43" s="25"/>
      <c r="VHC43" s="21"/>
      <c r="VHD43" s="21"/>
      <c r="VHH43" s="15"/>
      <c r="VHN43" s="25"/>
      <c r="VHU43" s="21"/>
      <c r="VHV43" s="21"/>
      <c r="VHZ43" s="15"/>
      <c r="VIF43" s="25"/>
      <c r="VIM43" s="21"/>
      <c r="VIN43" s="21"/>
      <c r="VIR43" s="15"/>
      <c r="VIX43" s="25"/>
      <c r="VJE43" s="21"/>
      <c r="VJF43" s="21"/>
      <c r="VJJ43" s="15"/>
      <c r="VJP43" s="25"/>
      <c r="VJW43" s="21"/>
      <c r="VJX43" s="21"/>
      <c r="VKB43" s="15"/>
      <c r="VKH43" s="25"/>
      <c r="VKO43" s="21"/>
      <c r="VKP43" s="21"/>
      <c r="VKT43" s="15"/>
      <c r="VKZ43" s="25"/>
      <c r="VLG43" s="21"/>
      <c r="VLH43" s="21"/>
      <c r="VLL43" s="15"/>
      <c r="VLR43" s="25"/>
      <c r="VLY43" s="21"/>
      <c r="VLZ43" s="21"/>
      <c r="VMD43" s="15"/>
      <c r="VMJ43" s="25"/>
      <c r="VMQ43" s="21"/>
      <c r="VMR43" s="21"/>
      <c r="VMV43" s="15"/>
      <c r="VNB43" s="25"/>
      <c r="VNI43" s="21"/>
      <c r="VNJ43" s="21"/>
      <c r="VNN43" s="15"/>
      <c r="VNT43" s="25"/>
      <c r="VOA43" s="21"/>
      <c r="VOB43" s="21"/>
      <c r="VOF43" s="15"/>
      <c r="VOL43" s="25"/>
      <c r="VOS43" s="21"/>
      <c r="VOT43" s="21"/>
      <c r="VOX43" s="15"/>
      <c r="VPD43" s="25"/>
      <c r="VPK43" s="21"/>
      <c r="VPL43" s="21"/>
      <c r="VPP43" s="15"/>
      <c r="VPV43" s="25"/>
      <c r="VQC43" s="21"/>
      <c r="VQD43" s="21"/>
      <c r="VQH43" s="15"/>
      <c r="VQN43" s="25"/>
      <c r="VQU43" s="21"/>
      <c r="VQV43" s="21"/>
      <c r="VQZ43" s="15"/>
      <c r="VRF43" s="25"/>
      <c r="VRM43" s="21"/>
      <c r="VRN43" s="21"/>
      <c r="VRR43" s="15"/>
      <c r="VRX43" s="25"/>
      <c r="VSE43" s="21"/>
      <c r="VSF43" s="21"/>
      <c r="VSJ43" s="15"/>
      <c r="VSP43" s="25"/>
      <c r="VSW43" s="21"/>
      <c r="VSX43" s="21"/>
      <c r="VTB43" s="15"/>
      <c r="VTH43" s="25"/>
      <c r="VTO43" s="21"/>
      <c r="VTP43" s="21"/>
      <c r="VTT43" s="15"/>
      <c r="VTZ43" s="25"/>
      <c r="VUG43" s="21"/>
      <c r="VUH43" s="21"/>
      <c r="VUL43" s="15"/>
      <c r="VUR43" s="25"/>
      <c r="VUY43" s="21"/>
      <c r="VUZ43" s="21"/>
      <c r="VVD43" s="15"/>
      <c r="VVJ43" s="25"/>
      <c r="VVQ43" s="21"/>
      <c r="VVR43" s="21"/>
      <c r="VVV43" s="15"/>
      <c r="VWB43" s="25"/>
      <c r="VWI43" s="21"/>
      <c r="VWJ43" s="21"/>
      <c r="VWN43" s="15"/>
      <c r="VWT43" s="25"/>
      <c r="VXA43" s="21"/>
      <c r="VXB43" s="21"/>
      <c r="VXF43" s="15"/>
      <c r="VXL43" s="25"/>
      <c r="VXS43" s="21"/>
      <c r="VXT43" s="21"/>
      <c r="VXX43" s="15"/>
      <c r="VYD43" s="25"/>
      <c r="VYK43" s="21"/>
      <c r="VYL43" s="21"/>
      <c r="VYP43" s="15"/>
      <c r="VYV43" s="25"/>
      <c r="VZC43" s="21"/>
      <c r="VZD43" s="21"/>
      <c r="VZH43" s="15"/>
      <c r="VZN43" s="25"/>
      <c r="VZU43" s="21"/>
      <c r="VZV43" s="21"/>
      <c r="VZZ43" s="15"/>
      <c r="WAF43" s="25"/>
      <c r="WAM43" s="21"/>
      <c r="WAN43" s="21"/>
      <c r="WAR43" s="15"/>
      <c r="WAX43" s="25"/>
      <c r="WBE43" s="21"/>
      <c r="WBF43" s="21"/>
      <c r="WBJ43" s="15"/>
      <c r="WBP43" s="25"/>
      <c r="WBW43" s="21"/>
      <c r="WBX43" s="21"/>
      <c r="WCB43" s="15"/>
      <c r="WCH43" s="25"/>
      <c r="WCO43" s="21"/>
      <c r="WCP43" s="21"/>
      <c r="WCT43" s="15"/>
      <c r="WCZ43" s="25"/>
      <c r="WDG43" s="21"/>
      <c r="WDH43" s="21"/>
      <c r="WDL43" s="15"/>
      <c r="WDR43" s="25"/>
      <c r="WDY43" s="21"/>
      <c r="WDZ43" s="21"/>
      <c r="WED43" s="15"/>
      <c r="WEJ43" s="25"/>
      <c r="WEQ43" s="21"/>
      <c r="WER43" s="21"/>
      <c r="WEV43" s="15"/>
      <c r="WFB43" s="25"/>
      <c r="WFI43" s="21"/>
      <c r="WFJ43" s="21"/>
      <c r="WFN43" s="15"/>
      <c r="WFT43" s="25"/>
      <c r="WGA43" s="21"/>
      <c r="WGB43" s="21"/>
      <c r="WGF43" s="15"/>
      <c r="WGL43" s="25"/>
      <c r="WGS43" s="21"/>
      <c r="WGT43" s="21"/>
      <c r="WGX43" s="15"/>
      <c r="WHD43" s="25"/>
      <c r="WHK43" s="21"/>
      <c r="WHL43" s="21"/>
      <c r="WHP43" s="15"/>
      <c r="WHV43" s="25"/>
      <c r="WIC43" s="21"/>
      <c r="WID43" s="21"/>
      <c r="WIH43" s="15"/>
      <c r="WIN43" s="25"/>
      <c r="WIU43" s="21"/>
      <c r="WIV43" s="21"/>
      <c r="WIZ43" s="15"/>
      <c r="WJF43" s="25"/>
      <c r="WJM43" s="21"/>
      <c r="WJN43" s="21"/>
      <c r="WJR43" s="15"/>
      <c r="WJX43" s="25"/>
      <c r="WKE43" s="21"/>
      <c r="WKF43" s="21"/>
      <c r="WKJ43" s="15"/>
      <c r="WKP43" s="25"/>
      <c r="WKW43" s="21"/>
      <c r="WKX43" s="21"/>
      <c r="WLB43" s="15"/>
      <c r="WLH43" s="25"/>
      <c r="WLO43" s="21"/>
      <c r="WLP43" s="21"/>
      <c r="WLT43" s="15"/>
      <c r="WLZ43" s="25"/>
      <c r="WMG43" s="21"/>
      <c r="WMH43" s="21"/>
      <c r="WML43" s="15"/>
      <c r="WMR43" s="25"/>
      <c r="WMY43" s="21"/>
      <c r="WMZ43" s="21"/>
      <c r="WND43" s="15"/>
      <c r="WNJ43" s="25"/>
      <c r="WNQ43" s="21"/>
      <c r="WNR43" s="21"/>
      <c r="WNV43" s="15"/>
      <c r="WOB43" s="25"/>
      <c r="WOI43" s="21"/>
      <c r="WOJ43" s="21"/>
      <c r="WON43" s="15"/>
      <c r="WOT43" s="25"/>
      <c r="WPA43" s="21"/>
      <c r="WPB43" s="21"/>
      <c r="WPF43" s="15"/>
      <c r="WPL43" s="25"/>
      <c r="WPS43" s="21"/>
      <c r="WPT43" s="21"/>
      <c r="WPX43" s="15"/>
      <c r="WQD43" s="25"/>
      <c r="WQK43" s="21"/>
      <c r="WQL43" s="21"/>
      <c r="WQP43" s="15"/>
      <c r="WQV43" s="25"/>
      <c r="WRC43" s="21"/>
      <c r="WRD43" s="21"/>
      <c r="WRH43" s="15"/>
      <c r="WRN43" s="25"/>
      <c r="WRU43" s="21"/>
      <c r="WRV43" s="21"/>
      <c r="WRZ43" s="15"/>
      <c r="WSF43" s="25"/>
      <c r="WSM43" s="21"/>
      <c r="WSN43" s="21"/>
      <c r="WSR43" s="15"/>
      <c r="WSX43" s="25"/>
      <c r="WTE43" s="21"/>
      <c r="WTF43" s="21"/>
      <c r="WTJ43" s="15"/>
      <c r="WTP43" s="25"/>
      <c r="WTW43" s="21"/>
      <c r="WTX43" s="21"/>
      <c r="WUB43" s="15"/>
      <c r="WUH43" s="25"/>
      <c r="WUO43" s="21"/>
      <c r="WUP43" s="21"/>
      <c r="WUT43" s="15"/>
      <c r="WUZ43" s="25"/>
      <c r="WVG43" s="21"/>
      <c r="WVH43" s="21"/>
      <c r="WVL43" s="15"/>
      <c r="WVR43" s="25"/>
      <c r="WVY43" s="21"/>
      <c r="WVZ43" s="21"/>
      <c r="WWD43" s="15"/>
      <c r="WWJ43" s="25"/>
      <c r="WWQ43" s="21"/>
      <c r="WWR43" s="21"/>
      <c r="WWV43" s="15"/>
      <c r="WXB43" s="25"/>
      <c r="WXI43" s="21"/>
      <c r="WXJ43" s="21"/>
      <c r="WXN43" s="15"/>
      <c r="WXT43" s="25"/>
      <c r="WYA43" s="21"/>
      <c r="WYB43" s="21"/>
      <c r="WYF43" s="15"/>
      <c r="WYL43" s="25"/>
      <c r="WYS43" s="21"/>
      <c r="WYT43" s="21"/>
      <c r="WYX43" s="15"/>
      <c r="WZD43" s="25"/>
      <c r="WZK43" s="21"/>
      <c r="WZL43" s="21"/>
      <c r="WZP43" s="15"/>
      <c r="WZV43" s="25"/>
      <c r="XAC43" s="21"/>
      <c r="XAD43" s="21"/>
      <c r="XAH43" s="15"/>
      <c r="XAN43" s="25"/>
      <c r="XAU43" s="21"/>
      <c r="XAV43" s="21"/>
      <c r="XAZ43" s="15"/>
      <c r="XBF43" s="25"/>
      <c r="XBM43" s="21"/>
      <c r="XBN43" s="21"/>
      <c r="XBR43" s="15"/>
      <c r="XBX43" s="25"/>
      <c r="XCE43" s="21"/>
      <c r="XCF43" s="21"/>
      <c r="XCJ43" s="15"/>
      <c r="XCP43" s="25"/>
      <c r="XCW43" s="21"/>
      <c r="XCX43" s="21"/>
      <c r="XDB43" s="15"/>
      <c r="XDH43" s="25"/>
      <c r="XDO43" s="21"/>
      <c r="XDP43" s="21"/>
      <c r="XDT43" s="15"/>
      <c r="XDZ43" s="25"/>
      <c r="XEG43" s="21"/>
      <c r="XEH43" s="21"/>
      <c r="XEL43" s="15"/>
      <c r="XER43" s="25"/>
      <c r="XEY43" s="21"/>
      <c r="XEZ43" s="21"/>
      <c r="XFD43" s="15"/>
    </row>
    <row r="44" spans="1:1018 1025:2044 2051:3070 3077:4096 4103:5116 5122:6142 6148:7168 7174:8190 8194:9216 9220:10234 10241:11260 11267:12286 12293:13312 13319:14332 14338:15358 15364:16384" s="24" customFormat="1">
      <c r="A44" s="21" t="s">
        <v>140</v>
      </c>
      <c r="B44" s="12">
        <v>2008</v>
      </c>
      <c r="C44" s="19" t="s">
        <v>138</v>
      </c>
      <c r="D44" s="22" t="s">
        <v>86</v>
      </c>
      <c r="E44" s="43" t="s">
        <v>31</v>
      </c>
      <c r="F44" s="19" t="s">
        <v>35</v>
      </c>
      <c r="G44" s="53">
        <v>1908801646</v>
      </c>
      <c r="H44" s="20">
        <v>1870701903</v>
      </c>
      <c r="I44" s="12">
        <v>9</v>
      </c>
      <c r="J44" s="52" t="s">
        <v>141</v>
      </c>
      <c r="K44" s="22"/>
      <c r="L44" s="22"/>
      <c r="M44" s="22" t="s">
        <v>26</v>
      </c>
      <c r="N44" s="12"/>
      <c r="O44" s="22"/>
      <c r="P44" s="12"/>
      <c r="Q44" s="22"/>
      <c r="R44" s="22"/>
      <c r="V44" s="15"/>
      <c r="AB44" s="25"/>
      <c r="AI44" s="21"/>
      <c r="AJ44" s="21"/>
      <c r="AN44" s="15"/>
      <c r="AT44" s="25"/>
      <c r="BA44" s="21"/>
      <c r="BB44" s="21"/>
      <c r="BF44" s="15"/>
      <c r="BL44" s="25"/>
      <c r="BS44" s="21"/>
      <c r="BT44" s="21"/>
      <c r="BX44" s="15"/>
      <c r="CD44" s="25"/>
      <c r="CK44" s="21"/>
      <c r="CL44" s="21"/>
      <c r="CP44" s="15"/>
      <c r="CV44" s="25"/>
      <c r="DC44" s="21"/>
      <c r="DD44" s="21"/>
      <c r="DH44" s="15"/>
      <c r="DN44" s="25"/>
      <c r="DU44" s="21"/>
      <c r="DV44" s="21"/>
      <c r="DZ44" s="15"/>
      <c r="EF44" s="25"/>
      <c r="EM44" s="21"/>
      <c r="EN44" s="21"/>
      <c r="ER44" s="15"/>
      <c r="EX44" s="25"/>
      <c r="FE44" s="21"/>
      <c r="FF44" s="21"/>
      <c r="FJ44" s="15"/>
      <c r="FP44" s="25"/>
      <c r="FW44" s="21"/>
      <c r="FX44" s="21"/>
      <c r="GB44" s="15"/>
      <c r="GH44" s="25"/>
      <c r="GO44" s="21"/>
      <c r="GP44" s="21"/>
      <c r="GT44" s="15"/>
      <c r="GZ44" s="25"/>
      <c r="HG44" s="21"/>
      <c r="HH44" s="21"/>
      <c r="HL44" s="15"/>
      <c r="HR44" s="25"/>
      <c r="HY44" s="21"/>
      <c r="HZ44" s="21"/>
      <c r="ID44" s="15"/>
      <c r="IJ44" s="25"/>
      <c r="IQ44" s="21"/>
      <c r="IR44" s="21"/>
      <c r="IV44" s="15"/>
      <c r="JB44" s="25"/>
      <c r="JI44" s="21"/>
      <c r="JJ44" s="21"/>
      <c r="JN44" s="15"/>
      <c r="JT44" s="25"/>
      <c r="KA44" s="21"/>
      <c r="KB44" s="21"/>
      <c r="KF44" s="15"/>
      <c r="KL44" s="25"/>
      <c r="KS44" s="21"/>
      <c r="KT44" s="21"/>
      <c r="KX44" s="15"/>
      <c r="LD44" s="25"/>
      <c r="LK44" s="21"/>
      <c r="LL44" s="21"/>
      <c r="LP44" s="15"/>
      <c r="LV44" s="25"/>
      <c r="MC44" s="21"/>
      <c r="MD44" s="21"/>
      <c r="MH44" s="15"/>
      <c r="MN44" s="25"/>
      <c r="MU44" s="21"/>
      <c r="MV44" s="21"/>
      <c r="MZ44" s="15"/>
      <c r="NF44" s="25"/>
      <c r="NM44" s="21"/>
      <c r="NN44" s="21"/>
      <c r="NR44" s="15"/>
      <c r="NX44" s="25"/>
      <c r="OE44" s="21"/>
      <c r="OF44" s="21"/>
      <c r="OJ44" s="15"/>
      <c r="OP44" s="25"/>
      <c r="OW44" s="21"/>
      <c r="OX44" s="21"/>
      <c r="PB44" s="15"/>
      <c r="PH44" s="25"/>
      <c r="PO44" s="21"/>
      <c r="PP44" s="21"/>
      <c r="PT44" s="15"/>
      <c r="PZ44" s="25"/>
      <c r="QG44" s="21"/>
      <c r="QH44" s="21"/>
      <c r="QL44" s="15"/>
      <c r="QR44" s="25"/>
      <c r="QY44" s="21"/>
      <c r="QZ44" s="21"/>
      <c r="RD44" s="15"/>
      <c r="RJ44" s="25"/>
      <c r="RQ44" s="21"/>
      <c r="RR44" s="21"/>
      <c r="RV44" s="15"/>
      <c r="SB44" s="25"/>
      <c r="SI44" s="21"/>
      <c r="SJ44" s="21"/>
      <c r="SN44" s="15"/>
      <c r="ST44" s="25"/>
      <c r="TA44" s="21"/>
      <c r="TB44" s="21"/>
      <c r="TF44" s="15"/>
      <c r="TL44" s="25"/>
      <c r="TS44" s="21"/>
      <c r="TT44" s="21"/>
      <c r="TX44" s="15"/>
      <c r="UD44" s="25"/>
      <c r="UK44" s="21"/>
      <c r="UL44" s="21"/>
      <c r="UP44" s="15"/>
      <c r="UV44" s="25"/>
      <c r="VC44" s="21"/>
      <c r="VD44" s="21"/>
      <c r="VH44" s="15"/>
      <c r="VN44" s="25"/>
      <c r="VU44" s="21"/>
      <c r="VV44" s="21"/>
      <c r="VZ44" s="15"/>
      <c r="WF44" s="25"/>
      <c r="WM44" s="21"/>
      <c r="WN44" s="21"/>
      <c r="WR44" s="15"/>
      <c r="WX44" s="25"/>
      <c r="XE44" s="21"/>
      <c r="XF44" s="21"/>
      <c r="XJ44" s="15"/>
      <c r="XP44" s="25"/>
      <c r="XW44" s="21"/>
      <c r="XX44" s="21"/>
      <c r="YB44" s="15"/>
      <c r="YH44" s="25"/>
      <c r="YO44" s="21"/>
      <c r="YP44" s="21"/>
      <c r="YT44" s="15"/>
      <c r="YZ44" s="25"/>
      <c r="ZG44" s="21"/>
      <c r="ZH44" s="21"/>
      <c r="ZL44" s="15"/>
      <c r="ZR44" s="25"/>
      <c r="ZY44" s="21"/>
      <c r="ZZ44" s="21"/>
      <c r="AAD44" s="15"/>
      <c r="AAJ44" s="25"/>
      <c r="AAQ44" s="21"/>
      <c r="AAR44" s="21"/>
      <c r="AAV44" s="15"/>
      <c r="ABB44" s="25"/>
      <c r="ABI44" s="21"/>
      <c r="ABJ44" s="21"/>
      <c r="ABN44" s="15"/>
      <c r="ABT44" s="25"/>
      <c r="ACA44" s="21"/>
      <c r="ACB44" s="21"/>
      <c r="ACF44" s="15"/>
      <c r="ACL44" s="25"/>
      <c r="ACS44" s="21"/>
      <c r="ACT44" s="21"/>
      <c r="ACX44" s="15"/>
      <c r="ADD44" s="25"/>
      <c r="ADK44" s="21"/>
      <c r="ADL44" s="21"/>
      <c r="ADP44" s="15"/>
      <c r="ADV44" s="25"/>
      <c r="AEC44" s="21"/>
      <c r="AED44" s="21"/>
      <c r="AEH44" s="15"/>
      <c r="AEN44" s="25"/>
      <c r="AEU44" s="21"/>
      <c r="AEV44" s="21"/>
      <c r="AEZ44" s="15"/>
      <c r="AFF44" s="25"/>
      <c r="AFM44" s="21"/>
      <c r="AFN44" s="21"/>
      <c r="AFR44" s="15"/>
      <c r="AFX44" s="25"/>
      <c r="AGE44" s="21"/>
      <c r="AGF44" s="21"/>
      <c r="AGJ44" s="15"/>
      <c r="AGP44" s="25"/>
      <c r="AGW44" s="21"/>
      <c r="AGX44" s="21"/>
      <c r="AHB44" s="15"/>
      <c r="AHH44" s="25"/>
      <c r="AHO44" s="21"/>
      <c r="AHP44" s="21"/>
      <c r="AHT44" s="15"/>
      <c r="AHZ44" s="25"/>
      <c r="AIG44" s="21"/>
      <c r="AIH44" s="21"/>
      <c r="AIL44" s="15"/>
      <c r="AIR44" s="25"/>
      <c r="AIY44" s="21"/>
      <c r="AIZ44" s="21"/>
      <c r="AJD44" s="15"/>
      <c r="AJJ44" s="25"/>
      <c r="AJQ44" s="21"/>
      <c r="AJR44" s="21"/>
      <c r="AJV44" s="15"/>
      <c r="AKB44" s="25"/>
      <c r="AKI44" s="21"/>
      <c r="AKJ44" s="21"/>
      <c r="AKN44" s="15"/>
      <c r="AKT44" s="25"/>
      <c r="ALA44" s="21"/>
      <c r="ALB44" s="21"/>
      <c r="ALF44" s="15"/>
      <c r="ALL44" s="25"/>
      <c r="ALS44" s="21"/>
      <c r="ALT44" s="21"/>
      <c r="ALX44" s="15"/>
      <c r="AMD44" s="25"/>
      <c r="AMK44" s="21"/>
      <c r="AML44" s="21"/>
      <c r="AMP44" s="15"/>
      <c r="AMV44" s="25"/>
      <c r="ANC44" s="21"/>
      <c r="AND44" s="21"/>
      <c r="ANH44" s="15"/>
      <c r="ANN44" s="25"/>
      <c r="ANU44" s="21"/>
      <c r="ANV44" s="21"/>
      <c r="ANZ44" s="15"/>
      <c r="AOF44" s="25"/>
      <c r="AOM44" s="21"/>
      <c r="AON44" s="21"/>
      <c r="AOR44" s="15"/>
      <c r="AOX44" s="25"/>
      <c r="APE44" s="21"/>
      <c r="APF44" s="21"/>
      <c r="APJ44" s="15"/>
      <c r="APP44" s="25"/>
      <c r="APW44" s="21"/>
      <c r="APX44" s="21"/>
      <c r="AQB44" s="15"/>
      <c r="AQH44" s="25"/>
      <c r="AQO44" s="21"/>
      <c r="AQP44" s="21"/>
      <c r="AQT44" s="15"/>
      <c r="AQZ44" s="25"/>
      <c r="ARG44" s="21"/>
      <c r="ARH44" s="21"/>
      <c r="ARL44" s="15"/>
      <c r="ARR44" s="25"/>
      <c r="ARY44" s="21"/>
      <c r="ARZ44" s="21"/>
      <c r="ASD44" s="15"/>
      <c r="ASJ44" s="25"/>
      <c r="ASQ44" s="21"/>
      <c r="ASR44" s="21"/>
      <c r="ASV44" s="15"/>
      <c r="ATB44" s="25"/>
      <c r="ATI44" s="21"/>
      <c r="ATJ44" s="21"/>
      <c r="ATN44" s="15"/>
      <c r="ATT44" s="25"/>
      <c r="AUA44" s="21"/>
      <c r="AUB44" s="21"/>
      <c r="AUF44" s="15"/>
      <c r="AUL44" s="25"/>
      <c r="AUS44" s="21"/>
      <c r="AUT44" s="21"/>
      <c r="AUX44" s="15"/>
      <c r="AVD44" s="25"/>
      <c r="AVK44" s="21"/>
      <c r="AVL44" s="21"/>
      <c r="AVP44" s="15"/>
      <c r="AVV44" s="25"/>
      <c r="AWC44" s="21"/>
      <c r="AWD44" s="21"/>
      <c r="AWH44" s="15"/>
      <c r="AWN44" s="25"/>
      <c r="AWU44" s="21"/>
      <c r="AWV44" s="21"/>
      <c r="AWZ44" s="15"/>
      <c r="AXF44" s="25"/>
      <c r="AXM44" s="21"/>
      <c r="AXN44" s="21"/>
      <c r="AXR44" s="15"/>
      <c r="AXX44" s="25"/>
      <c r="AYE44" s="21"/>
      <c r="AYF44" s="21"/>
      <c r="AYJ44" s="15"/>
      <c r="AYP44" s="25"/>
      <c r="AYW44" s="21"/>
      <c r="AYX44" s="21"/>
      <c r="AZB44" s="15"/>
      <c r="AZH44" s="25"/>
      <c r="AZO44" s="21"/>
      <c r="AZP44" s="21"/>
      <c r="AZT44" s="15"/>
      <c r="AZZ44" s="25"/>
      <c r="BAG44" s="21"/>
      <c r="BAH44" s="21"/>
      <c r="BAL44" s="15"/>
      <c r="BAR44" s="25"/>
      <c r="BAY44" s="21"/>
      <c r="BAZ44" s="21"/>
      <c r="BBD44" s="15"/>
      <c r="BBJ44" s="25"/>
      <c r="BBQ44" s="21"/>
      <c r="BBR44" s="21"/>
      <c r="BBV44" s="15"/>
      <c r="BCB44" s="25"/>
      <c r="BCI44" s="21"/>
      <c r="BCJ44" s="21"/>
      <c r="BCN44" s="15"/>
      <c r="BCT44" s="25"/>
      <c r="BDA44" s="21"/>
      <c r="BDB44" s="21"/>
      <c r="BDF44" s="15"/>
      <c r="BDL44" s="25"/>
      <c r="BDS44" s="21"/>
      <c r="BDT44" s="21"/>
      <c r="BDX44" s="15"/>
      <c r="BED44" s="25"/>
      <c r="BEK44" s="21"/>
      <c r="BEL44" s="21"/>
      <c r="BEP44" s="15"/>
      <c r="BEV44" s="25"/>
      <c r="BFC44" s="21"/>
      <c r="BFD44" s="21"/>
      <c r="BFH44" s="15"/>
      <c r="BFN44" s="25"/>
      <c r="BFU44" s="21"/>
      <c r="BFV44" s="21"/>
      <c r="BFZ44" s="15"/>
      <c r="BGF44" s="25"/>
      <c r="BGM44" s="21"/>
      <c r="BGN44" s="21"/>
      <c r="BGR44" s="15"/>
      <c r="BGX44" s="25"/>
      <c r="BHE44" s="21"/>
      <c r="BHF44" s="21"/>
      <c r="BHJ44" s="15"/>
      <c r="BHP44" s="25"/>
      <c r="BHW44" s="21"/>
      <c r="BHX44" s="21"/>
      <c r="BIB44" s="15"/>
      <c r="BIH44" s="25"/>
      <c r="BIO44" s="21"/>
      <c r="BIP44" s="21"/>
      <c r="BIT44" s="15"/>
      <c r="BIZ44" s="25"/>
      <c r="BJG44" s="21"/>
      <c r="BJH44" s="21"/>
      <c r="BJL44" s="15"/>
      <c r="BJR44" s="25"/>
      <c r="BJY44" s="21"/>
      <c r="BJZ44" s="21"/>
      <c r="BKD44" s="15"/>
      <c r="BKJ44" s="25"/>
      <c r="BKQ44" s="21"/>
      <c r="BKR44" s="21"/>
      <c r="BKV44" s="15"/>
      <c r="BLB44" s="25"/>
      <c r="BLI44" s="21"/>
      <c r="BLJ44" s="21"/>
      <c r="BLN44" s="15"/>
      <c r="BLT44" s="25"/>
      <c r="BMA44" s="21"/>
      <c r="BMB44" s="21"/>
      <c r="BMF44" s="15"/>
      <c r="BML44" s="25"/>
      <c r="BMS44" s="21"/>
      <c r="BMT44" s="21"/>
      <c r="BMX44" s="15"/>
      <c r="BND44" s="25"/>
      <c r="BNK44" s="21"/>
      <c r="BNL44" s="21"/>
      <c r="BNP44" s="15"/>
      <c r="BNV44" s="25"/>
      <c r="BOC44" s="21"/>
      <c r="BOD44" s="21"/>
      <c r="BOH44" s="15"/>
      <c r="BON44" s="25"/>
      <c r="BOU44" s="21"/>
      <c r="BOV44" s="21"/>
      <c r="BOZ44" s="15"/>
      <c r="BPF44" s="25"/>
      <c r="BPM44" s="21"/>
      <c r="BPN44" s="21"/>
      <c r="BPR44" s="15"/>
      <c r="BPX44" s="25"/>
      <c r="BQE44" s="21"/>
      <c r="BQF44" s="21"/>
      <c r="BQJ44" s="15"/>
      <c r="BQP44" s="25"/>
      <c r="BQW44" s="21"/>
      <c r="BQX44" s="21"/>
      <c r="BRB44" s="15"/>
      <c r="BRH44" s="25"/>
      <c r="BRO44" s="21"/>
      <c r="BRP44" s="21"/>
      <c r="BRT44" s="15"/>
      <c r="BRZ44" s="25"/>
      <c r="BSG44" s="21"/>
      <c r="BSH44" s="21"/>
      <c r="BSL44" s="15"/>
      <c r="BSR44" s="25"/>
      <c r="BSY44" s="21"/>
      <c r="BSZ44" s="21"/>
      <c r="BTD44" s="15"/>
      <c r="BTJ44" s="25"/>
      <c r="BTQ44" s="21"/>
      <c r="BTR44" s="21"/>
      <c r="BTV44" s="15"/>
      <c r="BUB44" s="25"/>
      <c r="BUI44" s="21"/>
      <c r="BUJ44" s="21"/>
      <c r="BUN44" s="15"/>
      <c r="BUT44" s="25"/>
      <c r="BVA44" s="21"/>
      <c r="BVB44" s="21"/>
      <c r="BVF44" s="15"/>
      <c r="BVL44" s="25"/>
      <c r="BVS44" s="21"/>
      <c r="BVT44" s="21"/>
      <c r="BVX44" s="15"/>
      <c r="BWD44" s="25"/>
      <c r="BWK44" s="21"/>
      <c r="BWL44" s="21"/>
      <c r="BWP44" s="15"/>
      <c r="BWV44" s="25"/>
      <c r="BXC44" s="21"/>
      <c r="BXD44" s="21"/>
      <c r="BXH44" s="15"/>
      <c r="BXN44" s="25"/>
      <c r="BXU44" s="21"/>
      <c r="BXV44" s="21"/>
      <c r="BXZ44" s="15"/>
      <c r="BYF44" s="25"/>
      <c r="BYM44" s="21"/>
      <c r="BYN44" s="21"/>
      <c r="BYR44" s="15"/>
      <c r="BYX44" s="25"/>
      <c r="BZE44" s="21"/>
      <c r="BZF44" s="21"/>
      <c r="BZJ44" s="15"/>
      <c r="BZP44" s="25"/>
      <c r="BZW44" s="21"/>
      <c r="BZX44" s="21"/>
      <c r="CAB44" s="15"/>
      <c r="CAH44" s="25"/>
      <c r="CAO44" s="21"/>
      <c r="CAP44" s="21"/>
      <c r="CAT44" s="15"/>
      <c r="CAZ44" s="25"/>
      <c r="CBG44" s="21"/>
      <c r="CBH44" s="21"/>
      <c r="CBL44" s="15"/>
      <c r="CBR44" s="25"/>
      <c r="CBY44" s="21"/>
      <c r="CBZ44" s="21"/>
      <c r="CCD44" s="15"/>
      <c r="CCJ44" s="25"/>
      <c r="CCQ44" s="21"/>
      <c r="CCR44" s="21"/>
      <c r="CCV44" s="15"/>
      <c r="CDB44" s="25"/>
      <c r="CDI44" s="21"/>
      <c r="CDJ44" s="21"/>
      <c r="CDN44" s="15"/>
      <c r="CDT44" s="25"/>
      <c r="CEA44" s="21"/>
      <c r="CEB44" s="21"/>
      <c r="CEF44" s="15"/>
      <c r="CEL44" s="25"/>
      <c r="CES44" s="21"/>
      <c r="CET44" s="21"/>
      <c r="CEX44" s="15"/>
      <c r="CFD44" s="25"/>
      <c r="CFK44" s="21"/>
      <c r="CFL44" s="21"/>
      <c r="CFP44" s="15"/>
      <c r="CFV44" s="25"/>
      <c r="CGC44" s="21"/>
      <c r="CGD44" s="21"/>
      <c r="CGH44" s="15"/>
      <c r="CGN44" s="25"/>
      <c r="CGU44" s="21"/>
      <c r="CGV44" s="21"/>
      <c r="CGZ44" s="15"/>
      <c r="CHF44" s="25"/>
      <c r="CHM44" s="21"/>
      <c r="CHN44" s="21"/>
      <c r="CHR44" s="15"/>
      <c r="CHX44" s="25"/>
      <c r="CIE44" s="21"/>
      <c r="CIF44" s="21"/>
      <c r="CIJ44" s="15"/>
      <c r="CIP44" s="25"/>
      <c r="CIW44" s="21"/>
      <c r="CIX44" s="21"/>
      <c r="CJB44" s="15"/>
      <c r="CJH44" s="25"/>
      <c r="CJO44" s="21"/>
      <c r="CJP44" s="21"/>
      <c r="CJT44" s="15"/>
      <c r="CJZ44" s="25"/>
      <c r="CKG44" s="21"/>
      <c r="CKH44" s="21"/>
      <c r="CKL44" s="15"/>
      <c r="CKR44" s="25"/>
      <c r="CKY44" s="21"/>
      <c r="CKZ44" s="21"/>
      <c r="CLD44" s="15"/>
      <c r="CLJ44" s="25"/>
      <c r="CLQ44" s="21"/>
      <c r="CLR44" s="21"/>
      <c r="CLV44" s="15"/>
      <c r="CMB44" s="25"/>
      <c r="CMI44" s="21"/>
      <c r="CMJ44" s="21"/>
      <c r="CMN44" s="15"/>
      <c r="CMT44" s="25"/>
      <c r="CNA44" s="21"/>
      <c r="CNB44" s="21"/>
      <c r="CNF44" s="15"/>
      <c r="CNL44" s="25"/>
      <c r="CNS44" s="21"/>
      <c r="CNT44" s="21"/>
      <c r="CNX44" s="15"/>
      <c r="COD44" s="25"/>
      <c r="COK44" s="21"/>
      <c r="COL44" s="21"/>
      <c r="COP44" s="15"/>
      <c r="COV44" s="25"/>
      <c r="CPC44" s="21"/>
      <c r="CPD44" s="21"/>
      <c r="CPH44" s="15"/>
      <c r="CPN44" s="25"/>
      <c r="CPU44" s="21"/>
      <c r="CPV44" s="21"/>
      <c r="CPZ44" s="15"/>
      <c r="CQF44" s="25"/>
      <c r="CQM44" s="21"/>
      <c r="CQN44" s="21"/>
      <c r="CQR44" s="15"/>
      <c r="CQX44" s="25"/>
      <c r="CRE44" s="21"/>
      <c r="CRF44" s="21"/>
      <c r="CRJ44" s="15"/>
      <c r="CRP44" s="25"/>
      <c r="CRW44" s="21"/>
      <c r="CRX44" s="21"/>
      <c r="CSB44" s="15"/>
      <c r="CSH44" s="25"/>
      <c r="CSO44" s="21"/>
      <c r="CSP44" s="21"/>
      <c r="CST44" s="15"/>
      <c r="CSZ44" s="25"/>
      <c r="CTG44" s="21"/>
      <c r="CTH44" s="21"/>
      <c r="CTL44" s="15"/>
      <c r="CTR44" s="25"/>
      <c r="CTY44" s="21"/>
      <c r="CTZ44" s="21"/>
      <c r="CUD44" s="15"/>
      <c r="CUJ44" s="25"/>
      <c r="CUQ44" s="21"/>
      <c r="CUR44" s="21"/>
      <c r="CUV44" s="15"/>
      <c r="CVB44" s="25"/>
      <c r="CVI44" s="21"/>
      <c r="CVJ44" s="21"/>
      <c r="CVN44" s="15"/>
      <c r="CVT44" s="25"/>
      <c r="CWA44" s="21"/>
      <c r="CWB44" s="21"/>
      <c r="CWF44" s="15"/>
      <c r="CWL44" s="25"/>
      <c r="CWS44" s="21"/>
      <c r="CWT44" s="21"/>
      <c r="CWX44" s="15"/>
      <c r="CXD44" s="25"/>
      <c r="CXK44" s="21"/>
      <c r="CXL44" s="21"/>
      <c r="CXP44" s="15"/>
      <c r="CXV44" s="25"/>
      <c r="CYC44" s="21"/>
      <c r="CYD44" s="21"/>
      <c r="CYH44" s="15"/>
      <c r="CYN44" s="25"/>
      <c r="CYU44" s="21"/>
      <c r="CYV44" s="21"/>
      <c r="CYZ44" s="15"/>
      <c r="CZF44" s="25"/>
      <c r="CZM44" s="21"/>
      <c r="CZN44" s="21"/>
      <c r="CZR44" s="15"/>
      <c r="CZX44" s="25"/>
      <c r="DAE44" s="21"/>
      <c r="DAF44" s="21"/>
      <c r="DAJ44" s="15"/>
      <c r="DAP44" s="25"/>
      <c r="DAW44" s="21"/>
      <c r="DAX44" s="21"/>
      <c r="DBB44" s="15"/>
      <c r="DBH44" s="25"/>
      <c r="DBO44" s="21"/>
      <c r="DBP44" s="21"/>
      <c r="DBT44" s="15"/>
      <c r="DBZ44" s="25"/>
      <c r="DCG44" s="21"/>
      <c r="DCH44" s="21"/>
      <c r="DCL44" s="15"/>
      <c r="DCR44" s="25"/>
      <c r="DCY44" s="21"/>
      <c r="DCZ44" s="21"/>
      <c r="DDD44" s="15"/>
      <c r="DDJ44" s="25"/>
      <c r="DDQ44" s="21"/>
      <c r="DDR44" s="21"/>
      <c r="DDV44" s="15"/>
      <c r="DEB44" s="25"/>
      <c r="DEI44" s="21"/>
      <c r="DEJ44" s="21"/>
      <c r="DEN44" s="15"/>
      <c r="DET44" s="25"/>
      <c r="DFA44" s="21"/>
      <c r="DFB44" s="21"/>
      <c r="DFF44" s="15"/>
      <c r="DFL44" s="25"/>
      <c r="DFS44" s="21"/>
      <c r="DFT44" s="21"/>
      <c r="DFX44" s="15"/>
      <c r="DGD44" s="25"/>
      <c r="DGK44" s="21"/>
      <c r="DGL44" s="21"/>
      <c r="DGP44" s="15"/>
      <c r="DGV44" s="25"/>
      <c r="DHC44" s="21"/>
      <c r="DHD44" s="21"/>
      <c r="DHH44" s="15"/>
      <c r="DHN44" s="25"/>
      <c r="DHU44" s="21"/>
      <c r="DHV44" s="21"/>
      <c r="DHZ44" s="15"/>
      <c r="DIF44" s="25"/>
      <c r="DIM44" s="21"/>
      <c r="DIN44" s="21"/>
      <c r="DIR44" s="15"/>
      <c r="DIX44" s="25"/>
      <c r="DJE44" s="21"/>
      <c r="DJF44" s="21"/>
      <c r="DJJ44" s="15"/>
      <c r="DJP44" s="25"/>
      <c r="DJW44" s="21"/>
      <c r="DJX44" s="21"/>
      <c r="DKB44" s="15"/>
      <c r="DKH44" s="25"/>
      <c r="DKO44" s="21"/>
      <c r="DKP44" s="21"/>
      <c r="DKT44" s="15"/>
      <c r="DKZ44" s="25"/>
      <c r="DLG44" s="21"/>
      <c r="DLH44" s="21"/>
      <c r="DLL44" s="15"/>
      <c r="DLR44" s="25"/>
      <c r="DLY44" s="21"/>
      <c r="DLZ44" s="21"/>
      <c r="DMD44" s="15"/>
      <c r="DMJ44" s="25"/>
      <c r="DMQ44" s="21"/>
      <c r="DMR44" s="21"/>
      <c r="DMV44" s="15"/>
      <c r="DNB44" s="25"/>
      <c r="DNI44" s="21"/>
      <c r="DNJ44" s="21"/>
      <c r="DNN44" s="15"/>
      <c r="DNT44" s="25"/>
      <c r="DOA44" s="21"/>
      <c r="DOB44" s="21"/>
      <c r="DOF44" s="15"/>
      <c r="DOL44" s="25"/>
      <c r="DOS44" s="21"/>
      <c r="DOT44" s="21"/>
      <c r="DOX44" s="15"/>
      <c r="DPD44" s="25"/>
      <c r="DPK44" s="21"/>
      <c r="DPL44" s="21"/>
      <c r="DPP44" s="15"/>
      <c r="DPV44" s="25"/>
      <c r="DQC44" s="21"/>
      <c r="DQD44" s="21"/>
      <c r="DQH44" s="15"/>
      <c r="DQN44" s="25"/>
      <c r="DQU44" s="21"/>
      <c r="DQV44" s="21"/>
      <c r="DQZ44" s="15"/>
      <c r="DRF44" s="25"/>
      <c r="DRM44" s="21"/>
      <c r="DRN44" s="21"/>
      <c r="DRR44" s="15"/>
      <c r="DRX44" s="25"/>
      <c r="DSE44" s="21"/>
      <c r="DSF44" s="21"/>
      <c r="DSJ44" s="15"/>
      <c r="DSP44" s="25"/>
      <c r="DSW44" s="21"/>
      <c r="DSX44" s="21"/>
      <c r="DTB44" s="15"/>
      <c r="DTH44" s="25"/>
      <c r="DTO44" s="21"/>
      <c r="DTP44" s="21"/>
      <c r="DTT44" s="15"/>
      <c r="DTZ44" s="25"/>
      <c r="DUG44" s="21"/>
      <c r="DUH44" s="21"/>
      <c r="DUL44" s="15"/>
      <c r="DUR44" s="25"/>
      <c r="DUY44" s="21"/>
      <c r="DUZ44" s="21"/>
      <c r="DVD44" s="15"/>
      <c r="DVJ44" s="25"/>
      <c r="DVQ44" s="21"/>
      <c r="DVR44" s="21"/>
      <c r="DVV44" s="15"/>
      <c r="DWB44" s="25"/>
      <c r="DWI44" s="21"/>
      <c r="DWJ44" s="21"/>
      <c r="DWN44" s="15"/>
      <c r="DWT44" s="25"/>
      <c r="DXA44" s="21"/>
      <c r="DXB44" s="21"/>
      <c r="DXF44" s="15"/>
      <c r="DXL44" s="25"/>
      <c r="DXS44" s="21"/>
      <c r="DXT44" s="21"/>
      <c r="DXX44" s="15"/>
      <c r="DYD44" s="25"/>
      <c r="DYK44" s="21"/>
      <c r="DYL44" s="21"/>
      <c r="DYP44" s="15"/>
      <c r="DYV44" s="25"/>
      <c r="DZC44" s="21"/>
      <c r="DZD44" s="21"/>
      <c r="DZH44" s="15"/>
      <c r="DZN44" s="25"/>
      <c r="DZU44" s="21"/>
      <c r="DZV44" s="21"/>
      <c r="DZZ44" s="15"/>
      <c r="EAF44" s="25"/>
      <c r="EAM44" s="21"/>
      <c r="EAN44" s="21"/>
      <c r="EAR44" s="15"/>
      <c r="EAX44" s="25"/>
      <c r="EBE44" s="21"/>
      <c r="EBF44" s="21"/>
      <c r="EBJ44" s="15"/>
      <c r="EBP44" s="25"/>
      <c r="EBW44" s="21"/>
      <c r="EBX44" s="21"/>
      <c r="ECB44" s="15"/>
      <c r="ECH44" s="25"/>
      <c r="ECO44" s="21"/>
      <c r="ECP44" s="21"/>
      <c r="ECT44" s="15"/>
      <c r="ECZ44" s="25"/>
      <c r="EDG44" s="21"/>
      <c r="EDH44" s="21"/>
      <c r="EDL44" s="15"/>
      <c r="EDR44" s="25"/>
      <c r="EDY44" s="21"/>
      <c r="EDZ44" s="21"/>
      <c r="EED44" s="15"/>
      <c r="EEJ44" s="25"/>
      <c r="EEQ44" s="21"/>
      <c r="EER44" s="21"/>
      <c r="EEV44" s="15"/>
      <c r="EFB44" s="25"/>
      <c r="EFI44" s="21"/>
      <c r="EFJ44" s="21"/>
      <c r="EFN44" s="15"/>
      <c r="EFT44" s="25"/>
      <c r="EGA44" s="21"/>
      <c r="EGB44" s="21"/>
      <c r="EGF44" s="15"/>
      <c r="EGL44" s="25"/>
      <c r="EGS44" s="21"/>
      <c r="EGT44" s="21"/>
      <c r="EGX44" s="15"/>
      <c r="EHD44" s="25"/>
      <c r="EHK44" s="21"/>
      <c r="EHL44" s="21"/>
      <c r="EHP44" s="15"/>
      <c r="EHV44" s="25"/>
      <c r="EIC44" s="21"/>
      <c r="EID44" s="21"/>
      <c r="EIH44" s="15"/>
      <c r="EIN44" s="25"/>
      <c r="EIU44" s="21"/>
      <c r="EIV44" s="21"/>
      <c r="EIZ44" s="15"/>
      <c r="EJF44" s="25"/>
      <c r="EJM44" s="21"/>
      <c r="EJN44" s="21"/>
      <c r="EJR44" s="15"/>
      <c r="EJX44" s="25"/>
      <c r="EKE44" s="21"/>
      <c r="EKF44" s="21"/>
      <c r="EKJ44" s="15"/>
      <c r="EKP44" s="25"/>
      <c r="EKW44" s="21"/>
      <c r="EKX44" s="21"/>
      <c r="ELB44" s="15"/>
      <c r="ELH44" s="25"/>
      <c r="ELO44" s="21"/>
      <c r="ELP44" s="21"/>
      <c r="ELT44" s="15"/>
      <c r="ELZ44" s="25"/>
      <c r="EMG44" s="21"/>
      <c r="EMH44" s="21"/>
      <c r="EML44" s="15"/>
      <c r="EMR44" s="25"/>
      <c r="EMY44" s="21"/>
      <c r="EMZ44" s="21"/>
      <c r="END44" s="15"/>
      <c r="ENJ44" s="25"/>
      <c r="ENQ44" s="21"/>
      <c r="ENR44" s="21"/>
      <c r="ENV44" s="15"/>
      <c r="EOB44" s="25"/>
      <c r="EOI44" s="21"/>
      <c r="EOJ44" s="21"/>
      <c r="EON44" s="15"/>
      <c r="EOT44" s="25"/>
      <c r="EPA44" s="21"/>
      <c r="EPB44" s="21"/>
      <c r="EPF44" s="15"/>
      <c r="EPL44" s="25"/>
      <c r="EPS44" s="21"/>
      <c r="EPT44" s="21"/>
      <c r="EPX44" s="15"/>
      <c r="EQD44" s="25"/>
      <c r="EQK44" s="21"/>
      <c r="EQL44" s="21"/>
      <c r="EQP44" s="15"/>
      <c r="EQV44" s="25"/>
      <c r="ERC44" s="21"/>
      <c r="ERD44" s="21"/>
      <c r="ERH44" s="15"/>
      <c r="ERN44" s="25"/>
      <c r="ERU44" s="21"/>
      <c r="ERV44" s="21"/>
      <c r="ERZ44" s="15"/>
      <c r="ESF44" s="25"/>
      <c r="ESM44" s="21"/>
      <c r="ESN44" s="21"/>
      <c r="ESR44" s="15"/>
      <c r="ESX44" s="25"/>
      <c r="ETE44" s="21"/>
      <c r="ETF44" s="21"/>
      <c r="ETJ44" s="15"/>
      <c r="ETP44" s="25"/>
      <c r="ETW44" s="21"/>
      <c r="ETX44" s="21"/>
      <c r="EUB44" s="15"/>
      <c r="EUH44" s="25"/>
      <c r="EUO44" s="21"/>
      <c r="EUP44" s="21"/>
      <c r="EUT44" s="15"/>
      <c r="EUZ44" s="25"/>
      <c r="EVG44" s="21"/>
      <c r="EVH44" s="21"/>
      <c r="EVL44" s="15"/>
      <c r="EVR44" s="25"/>
      <c r="EVY44" s="21"/>
      <c r="EVZ44" s="21"/>
      <c r="EWD44" s="15"/>
      <c r="EWJ44" s="25"/>
      <c r="EWQ44" s="21"/>
      <c r="EWR44" s="21"/>
      <c r="EWV44" s="15"/>
      <c r="EXB44" s="25"/>
      <c r="EXI44" s="21"/>
      <c r="EXJ44" s="21"/>
      <c r="EXN44" s="15"/>
      <c r="EXT44" s="25"/>
      <c r="EYA44" s="21"/>
      <c r="EYB44" s="21"/>
      <c r="EYF44" s="15"/>
      <c r="EYL44" s="25"/>
      <c r="EYS44" s="21"/>
      <c r="EYT44" s="21"/>
      <c r="EYX44" s="15"/>
      <c r="EZD44" s="25"/>
      <c r="EZK44" s="21"/>
      <c r="EZL44" s="21"/>
      <c r="EZP44" s="15"/>
      <c r="EZV44" s="25"/>
      <c r="FAC44" s="21"/>
      <c r="FAD44" s="21"/>
      <c r="FAH44" s="15"/>
      <c r="FAN44" s="25"/>
      <c r="FAU44" s="21"/>
      <c r="FAV44" s="21"/>
      <c r="FAZ44" s="15"/>
      <c r="FBF44" s="25"/>
      <c r="FBM44" s="21"/>
      <c r="FBN44" s="21"/>
      <c r="FBR44" s="15"/>
      <c r="FBX44" s="25"/>
      <c r="FCE44" s="21"/>
      <c r="FCF44" s="21"/>
      <c r="FCJ44" s="15"/>
      <c r="FCP44" s="25"/>
      <c r="FCW44" s="21"/>
      <c r="FCX44" s="21"/>
      <c r="FDB44" s="15"/>
      <c r="FDH44" s="25"/>
      <c r="FDO44" s="21"/>
      <c r="FDP44" s="21"/>
      <c r="FDT44" s="15"/>
      <c r="FDZ44" s="25"/>
      <c r="FEG44" s="21"/>
      <c r="FEH44" s="21"/>
      <c r="FEL44" s="15"/>
      <c r="FER44" s="25"/>
      <c r="FEY44" s="21"/>
      <c r="FEZ44" s="21"/>
      <c r="FFD44" s="15"/>
      <c r="FFJ44" s="25"/>
      <c r="FFQ44" s="21"/>
      <c r="FFR44" s="21"/>
      <c r="FFV44" s="15"/>
      <c r="FGB44" s="25"/>
      <c r="FGI44" s="21"/>
      <c r="FGJ44" s="21"/>
      <c r="FGN44" s="15"/>
      <c r="FGT44" s="25"/>
      <c r="FHA44" s="21"/>
      <c r="FHB44" s="21"/>
      <c r="FHF44" s="15"/>
      <c r="FHL44" s="25"/>
      <c r="FHS44" s="21"/>
      <c r="FHT44" s="21"/>
      <c r="FHX44" s="15"/>
      <c r="FID44" s="25"/>
      <c r="FIK44" s="21"/>
      <c r="FIL44" s="21"/>
      <c r="FIP44" s="15"/>
      <c r="FIV44" s="25"/>
      <c r="FJC44" s="21"/>
      <c r="FJD44" s="21"/>
      <c r="FJH44" s="15"/>
      <c r="FJN44" s="25"/>
      <c r="FJU44" s="21"/>
      <c r="FJV44" s="21"/>
      <c r="FJZ44" s="15"/>
      <c r="FKF44" s="25"/>
      <c r="FKM44" s="21"/>
      <c r="FKN44" s="21"/>
      <c r="FKR44" s="15"/>
      <c r="FKX44" s="25"/>
      <c r="FLE44" s="21"/>
      <c r="FLF44" s="21"/>
      <c r="FLJ44" s="15"/>
      <c r="FLP44" s="25"/>
      <c r="FLW44" s="21"/>
      <c r="FLX44" s="21"/>
      <c r="FMB44" s="15"/>
      <c r="FMH44" s="25"/>
      <c r="FMO44" s="21"/>
      <c r="FMP44" s="21"/>
      <c r="FMT44" s="15"/>
      <c r="FMZ44" s="25"/>
      <c r="FNG44" s="21"/>
      <c r="FNH44" s="21"/>
      <c r="FNL44" s="15"/>
      <c r="FNR44" s="25"/>
      <c r="FNY44" s="21"/>
      <c r="FNZ44" s="21"/>
      <c r="FOD44" s="15"/>
      <c r="FOJ44" s="25"/>
      <c r="FOQ44" s="21"/>
      <c r="FOR44" s="21"/>
      <c r="FOV44" s="15"/>
      <c r="FPB44" s="25"/>
      <c r="FPI44" s="21"/>
      <c r="FPJ44" s="21"/>
      <c r="FPN44" s="15"/>
      <c r="FPT44" s="25"/>
      <c r="FQA44" s="21"/>
      <c r="FQB44" s="21"/>
      <c r="FQF44" s="15"/>
      <c r="FQL44" s="25"/>
      <c r="FQS44" s="21"/>
      <c r="FQT44" s="21"/>
      <c r="FQX44" s="15"/>
      <c r="FRD44" s="25"/>
      <c r="FRK44" s="21"/>
      <c r="FRL44" s="21"/>
      <c r="FRP44" s="15"/>
      <c r="FRV44" s="25"/>
      <c r="FSC44" s="21"/>
      <c r="FSD44" s="21"/>
      <c r="FSH44" s="15"/>
      <c r="FSN44" s="25"/>
      <c r="FSU44" s="21"/>
      <c r="FSV44" s="21"/>
      <c r="FSZ44" s="15"/>
      <c r="FTF44" s="25"/>
      <c r="FTM44" s="21"/>
      <c r="FTN44" s="21"/>
      <c r="FTR44" s="15"/>
      <c r="FTX44" s="25"/>
      <c r="FUE44" s="21"/>
      <c r="FUF44" s="21"/>
      <c r="FUJ44" s="15"/>
      <c r="FUP44" s="25"/>
      <c r="FUW44" s="21"/>
      <c r="FUX44" s="21"/>
      <c r="FVB44" s="15"/>
      <c r="FVH44" s="25"/>
      <c r="FVO44" s="21"/>
      <c r="FVP44" s="21"/>
      <c r="FVT44" s="15"/>
      <c r="FVZ44" s="25"/>
      <c r="FWG44" s="21"/>
      <c r="FWH44" s="21"/>
      <c r="FWL44" s="15"/>
      <c r="FWR44" s="25"/>
      <c r="FWY44" s="21"/>
      <c r="FWZ44" s="21"/>
      <c r="FXD44" s="15"/>
      <c r="FXJ44" s="25"/>
      <c r="FXQ44" s="21"/>
      <c r="FXR44" s="21"/>
      <c r="FXV44" s="15"/>
      <c r="FYB44" s="25"/>
      <c r="FYI44" s="21"/>
      <c r="FYJ44" s="21"/>
      <c r="FYN44" s="15"/>
      <c r="FYT44" s="25"/>
      <c r="FZA44" s="21"/>
      <c r="FZB44" s="21"/>
      <c r="FZF44" s="15"/>
      <c r="FZL44" s="25"/>
      <c r="FZS44" s="21"/>
      <c r="FZT44" s="21"/>
      <c r="FZX44" s="15"/>
      <c r="GAD44" s="25"/>
      <c r="GAK44" s="21"/>
      <c r="GAL44" s="21"/>
      <c r="GAP44" s="15"/>
      <c r="GAV44" s="25"/>
      <c r="GBC44" s="21"/>
      <c r="GBD44" s="21"/>
      <c r="GBH44" s="15"/>
      <c r="GBN44" s="25"/>
      <c r="GBU44" s="21"/>
      <c r="GBV44" s="21"/>
      <c r="GBZ44" s="15"/>
      <c r="GCF44" s="25"/>
      <c r="GCM44" s="21"/>
      <c r="GCN44" s="21"/>
      <c r="GCR44" s="15"/>
      <c r="GCX44" s="25"/>
      <c r="GDE44" s="21"/>
      <c r="GDF44" s="21"/>
      <c r="GDJ44" s="15"/>
      <c r="GDP44" s="25"/>
      <c r="GDW44" s="21"/>
      <c r="GDX44" s="21"/>
      <c r="GEB44" s="15"/>
      <c r="GEH44" s="25"/>
      <c r="GEO44" s="21"/>
      <c r="GEP44" s="21"/>
      <c r="GET44" s="15"/>
      <c r="GEZ44" s="25"/>
      <c r="GFG44" s="21"/>
      <c r="GFH44" s="21"/>
      <c r="GFL44" s="15"/>
      <c r="GFR44" s="25"/>
      <c r="GFY44" s="21"/>
      <c r="GFZ44" s="21"/>
      <c r="GGD44" s="15"/>
      <c r="GGJ44" s="25"/>
      <c r="GGQ44" s="21"/>
      <c r="GGR44" s="21"/>
      <c r="GGV44" s="15"/>
      <c r="GHB44" s="25"/>
      <c r="GHI44" s="21"/>
      <c r="GHJ44" s="21"/>
      <c r="GHN44" s="15"/>
      <c r="GHT44" s="25"/>
      <c r="GIA44" s="21"/>
      <c r="GIB44" s="21"/>
      <c r="GIF44" s="15"/>
      <c r="GIL44" s="25"/>
      <c r="GIS44" s="21"/>
      <c r="GIT44" s="21"/>
      <c r="GIX44" s="15"/>
      <c r="GJD44" s="25"/>
      <c r="GJK44" s="21"/>
      <c r="GJL44" s="21"/>
      <c r="GJP44" s="15"/>
      <c r="GJV44" s="25"/>
      <c r="GKC44" s="21"/>
      <c r="GKD44" s="21"/>
      <c r="GKH44" s="15"/>
      <c r="GKN44" s="25"/>
      <c r="GKU44" s="21"/>
      <c r="GKV44" s="21"/>
      <c r="GKZ44" s="15"/>
      <c r="GLF44" s="25"/>
      <c r="GLM44" s="21"/>
      <c r="GLN44" s="21"/>
      <c r="GLR44" s="15"/>
      <c r="GLX44" s="25"/>
      <c r="GME44" s="21"/>
      <c r="GMF44" s="21"/>
      <c r="GMJ44" s="15"/>
      <c r="GMP44" s="25"/>
      <c r="GMW44" s="21"/>
      <c r="GMX44" s="21"/>
      <c r="GNB44" s="15"/>
      <c r="GNH44" s="25"/>
      <c r="GNO44" s="21"/>
      <c r="GNP44" s="21"/>
      <c r="GNT44" s="15"/>
      <c r="GNZ44" s="25"/>
      <c r="GOG44" s="21"/>
      <c r="GOH44" s="21"/>
      <c r="GOL44" s="15"/>
      <c r="GOR44" s="25"/>
      <c r="GOY44" s="21"/>
      <c r="GOZ44" s="21"/>
      <c r="GPD44" s="15"/>
      <c r="GPJ44" s="25"/>
      <c r="GPQ44" s="21"/>
      <c r="GPR44" s="21"/>
      <c r="GPV44" s="15"/>
      <c r="GQB44" s="25"/>
      <c r="GQI44" s="21"/>
      <c r="GQJ44" s="21"/>
      <c r="GQN44" s="15"/>
      <c r="GQT44" s="25"/>
      <c r="GRA44" s="21"/>
      <c r="GRB44" s="21"/>
      <c r="GRF44" s="15"/>
      <c r="GRL44" s="25"/>
      <c r="GRS44" s="21"/>
      <c r="GRT44" s="21"/>
      <c r="GRX44" s="15"/>
      <c r="GSD44" s="25"/>
      <c r="GSK44" s="21"/>
      <c r="GSL44" s="21"/>
      <c r="GSP44" s="15"/>
      <c r="GSV44" s="25"/>
      <c r="GTC44" s="21"/>
      <c r="GTD44" s="21"/>
      <c r="GTH44" s="15"/>
      <c r="GTN44" s="25"/>
      <c r="GTU44" s="21"/>
      <c r="GTV44" s="21"/>
      <c r="GTZ44" s="15"/>
      <c r="GUF44" s="25"/>
      <c r="GUM44" s="21"/>
      <c r="GUN44" s="21"/>
      <c r="GUR44" s="15"/>
      <c r="GUX44" s="25"/>
      <c r="GVE44" s="21"/>
      <c r="GVF44" s="21"/>
      <c r="GVJ44" s="15"/>
      <c r="GVP44" s="25"/>
      <c r="GVW44" s="21"/>
      <c r="GVX44" s="21"/>
      <c r="GWB44" s="15"/>
      <c r="GWH44" s="25"/>
      <c r="GWO44" s="21"/>
      <c r="GWP44" s="21"/>
      <c r="GWT44" s="15"/>
      <c r="GWZ44" s="25"/>
      <c r="GXG44" s="21"/>
      <c r="GXH44" s="21"/>
      <c r="GXL44" s="15"/>
      <c r="GXR44" s="25"/>
      <c r="GXY44" s="21"/>
      <c r="GXZ44" s="21"/>
      <c r="GYD44" s="15"/>
      <c r="GYJ44" s="25"/>
      <c r="GYQ44" s="21"/>
      <c r="GYR44" s="21"/>
      <c r="GYV44" s="15"/>
      <c r="GZB44" s="25"/>
      <c r="GZI44" s="21"/>
      <c r="GZJ44" s="21"/>
      <c r="GZN44" s="15"/>
      <c r="GZT44" s="25"/>
      <c r="HAA44" s="21"/>
      <c r="HAB44" s="21"/>
      <c r="HAF44" s="15"/>
      <c r="HAL44" s="25"/>
      <c r="HAS44" s="21"/>
      <c r="HAT44" s="21"/>
      <c r="HAX44" s="15"/>
      <c r="HBD44" s="25"/>
      <c r="HBK44" s="21"/>
      <c r="HBL44" s="21"/>
      <c r="HBP44" s="15"/>
      <c r="HBV44" s="25"/>
      <c r="HCC44" s="21"/>
      <c r="HCD44" s="21"/>
      <c r="HCH44" s="15"/>
      <c r="HCN44" s="25"/>
      <c r="HCU44" s="21"/>
      <c r="HCV44" s="21"/>
      <c r="HCZ44" s="15"/>
      <c r="HDF44" s="25"/>
      <c r="HDM44" s="21"/>
      <c r="HDN44" s="21"/>
      <c r="HDR44" s="15"/>
      <c r="HDX44" s="25"/>
      <c r="HEE44" s="21"/>
      <c r="HEF44" s="21"/>
      <c r="HEJ44" s="15"/>
      <c r="HEP44" s="25"/>
      <c r="HEW44" s="21"/>
      <c r="HEX44" s="21"/>
      <c r="HFB44" s="15"/>
      <c r="HFH44" s="25"/>
      <c r="HFO44" s="21"/>
      <c r="HFP44" s="21"/>
      <c r="HFT44" s="15"/>
      <c r="HFZ44" s="25"/>
      <c r="HGG44" s="21"/>
      <c r="HGH44" s="21"/>
      <c r="HGL44" s="15"/>
      <c r="HGR44" s="25"/>
      <c r="HGY44" s="21"/>
      <c r="HGZ44" s="21"/>
      <c r="HHD44" s="15"/>
      <c r="HHJ44" s="25"/>
      <c r="HHQ44" s="21"/>
      <c r="HHR44" s="21"/>
      <c r="HHV44" s="15"/>
      <c r="HIB44" s="25"/>
      <c r="HII44" s="21"/>
      <c r="HIJ44" s="21"/>
      <c r="HIN44" s="15"/>
      <c r="HIT44" s="25"/>
      <c r="HJA44" s="21"/>
      <c r="HJB44" s="21"/>
      <c r="HJF44" s="15"/>
      <c r="HJL44" s="25"/>
      <c r="HJS44" s="21"/>
      <c r="HJT44" s="21"/>
      <c r="HJX44" s="15"/>
      <c r="HKD44" s="25"/>
      <c r="HKK44" s="21"/>
      <c r="HKL44" s="21"/>
      <c r="HKP44" s="15"/>
      <c r="HKV44" s="25"/>
      <c r="HLC44" s="21"/>
      <c r="HLD44" s="21"/>
      <c r="HLH44" s="15"/>
      <c r="HLN44" s="25"/>
      <c r="HLU44" s="21"/>
      <c r="HLV44" s="21"/>
      <c r="HLZ44" s="15"/>
      <c r="HMF44" s="25"/>
      <c r="HMM44" s="21"/>
      <c r="HMN44" s="21"/>
      <c r="HMR44" s="15"/>
      <c r="HMX44" s="25"/>
      <c r="HNE44" s="21"/>
      <c r="HNF44" s="21"/>
      <c r="HNJ44" s="15"/>
      <c r="HNP44" s="25"/>
      <c r="HNW44" s="21"/>
      <c r="HNX44" s="21"/>
      <c r="HOB44" s="15"/>
      <c r="HOH44" s="25"/>
      <c r="HOO44" s="21"/>
      <c r="HOP44" s="21"/>
      <c r="HOT44" s="15"/>
      <c r="HOZ44" s="25"/>
      <c r="HPG44" s="21"/>
      <c r="HPH44" s="21"/>
      <c r="HPL44" s="15"/>
      <c r="HPR44" s="25"/>
      <c r="HPY44" s="21"/>
      <c r="HPZ44" s="21"/>
      <c r="HQD44" s="15"/>
      <c r="HQJ44" s="25"/>
      <c r="HQQ44" s="21"/>
      <c r="HQR44" s="21"/>
      <c r="HQV44" s="15"/>
      <c r="HRB44" s="25"/>
      <c r="HRI44" s="21"/>
      <c r="HRJ44" s="21"/>
      <c r="HRN44" s="15"/>
      <c r="HRT44" s="25"/>
      <c r="HSA44" s="21"/>
      <c r="HSB44" s="21"/>
      <c r="HSF44" s="15"/>
      <c r="HSL44" s="25"/>
      <c r="HSS44" s="21"/>
      <c r="HST44" s="21"/>
      <c r="HSX44" s="15"/>
      <c r="HTD44" s="25"/>
      <c r="HTK44" s="21"/>
      <c r="HTL44" s="21"/>
      <c r="HTP44" s="15"/>
      <c r="HTV44" s="25"/>
      <c r="HUC44" s="21"/>
      <c r="HUD44" s="21"/>
      <c r="HUH44" s="15"/>
      <c r="HUN44" s="25"/>
      <c r="HUU44" s="21"/>
      <c r="HUV44" s="21"/>
      <c r="HUZ44" s="15"/>
      <c r="HVF44" s="25"/>
      <c r="HVM44" s="21"/>
      <c r="HVN44" s="21"/>
      <c r="HVR44" s="15"/>
      <c r="HVX44" s="25"/>
      <c r="HWE44" s="21"/>
      <c r="HWF44" s="21"/>
      <c r="HWJ44" s="15"/>
      <c r="HWP44" s="25"/>
      <c r="HWW44" s="21"/>
      <c r="HWX44" s="21"/>
      <c r="HXB44" s="15"/>
      <c r="HXH44" s="25"/>
      <c r="HXO44" s="21"/>
      <c r="HXP44" s="21"/>
      <c r="HXT44" s="15"/>
      <c r="HXZ44" s="25"/>
      <c r="HYG44" s="21"/>
      <c r="HYH44" s="21"/>
      <c r="HYL44" s="15"/>
      <c r="HYR44" s="25"/>
      <c r="HYY44" s="21"/>
      <c r="HYZ44" s="21"/>
      <c r="HZD44" s="15"/>
      <c r="HZJ44" s="25"/>
      <c r="HZQ44" s="21"/>
      <c r="HZR44" s="21"/>
      <c r="HZV44" s="15"/>
      <c r="IAB44" s="25"/>
      <c r="IAI44" s="21"/>
      <c r="IAJ44" s="21"/>
      <c r="IAN44" s="15"/>
      <c r="IAT44" s="25"/>
      <c r="IBA44" s="21"/>
      <c r="IBB44" s="21"/>
      <c r="IBF44" s="15"/>
      <c r="IBL44" s="25"/>
      <c r="IBS44" s="21"/>
      <c r="IBT44" s="21"/>
      <c r="IBX44" s="15"/>
      <c r="ICD44" s="25"/>
      <c r="ICK44" s="21"/>
      <c r="ICL44" s="21"/>
      <c r="ICP44" s="15"/>
      <c r="ICV44" s="25"/>
      <c r="IDC44" s="21"/>
      <c r="IDD44" s="21"/>
      <c r="IDH44" s="15"/>
      <c r="IDN44" s="25"/>
      <c r="IDU44" s="21"/>
      <c r="IDV44" s="21"/>
      <c r="IDZ44" s="15"/>
      <c r="IEF44" s="25"/>
      <c r="IEM44" s="21"/>
      <c r="IEN44" s="21"/>
      <c r="IER44" s="15"/>
      <c r="IEX44" s="25"/>
      <c r="IFE44" s="21"/>
      <c r="IFF44" s="21"/>
      <c r="IFJ44" s="15"/>
      <c r="IFP44" s="25"/>
      <c r="IFW44" s="21"/>
      <c r="IFX44" s="21"/>
      <c r="IGB44" s="15"/>
      <c r="IGH44" s="25"/>
      <c r="IGO44" s="21"/>
      <c r="IGP44" s="21"/>
      <c r="IGT44" s="15"/>
      <c r="IGZ44" s="25"/>
      <c r="IHG44" s="21"/>
      <c r="IHH44" s="21"/>
      <c r="IHL44" s="15"/>
      <c r="IHR44" s="25"/>
      <c r="IHY44" s="21"/>
      <c r="IHZ44" s="21"/>
      <c r="IID44" s="15"/>
      <c r="IIJ44" s="25"/>
      <c r="IIQ44" s="21"/>
      <c r="IIR44" s="21"/>
      <c r="IIV44" s="15"/>
      <c r="IJB44" s="25"/>
      <c r="IJI44" s="21"/>
      <c r="IJJ44" s="21"/>
      <c r="IJN44" s="15"/>
      <c r="IJT44" s="25"/>
      <c r="IKA44" s="21"/>
      <c r="IKB44" s="21"/>
      <c r="IKF44" s="15"/>
      <c r="IKL44" s="25"/>
      <c r="IKS44" s="21"/>
      <c r="IKT44" s="21"/>
      <c r="IKX44" s="15"/>
      <c r="ILD44" s="25"/>
      <c r="ILK44" s="21"/>
      <c r="ILL44" s="21"/>
      <c r="ILP44" s="15"/>
      <c r="ILV44" s="25"/>
      <c r="IMC44" s="21"/>
      <c r="IMD44" s="21"/>
      <c r="IMH44" s="15"/>
      <c r="IMN44" s="25"/>
      <c r="IMU44" s="21"/>
      <c r="IMV44" s="21"/>
      <c r="IMZ44" s="15"/>
      <c r="INF44" s="25"/>
      <c r="INM44" s="21"/>
      <c r="INN44" s="21"/>
      <c r="INR44" s="15"/>
      <c r="INX44" s="25"/>
      <c r="IOE44" s="21"/>
      <c r="IOF44" s="21"/>
      <c r="IOJ44" s="15"/>
      <c r="IOP44" s="25"/>
      <c r="IOW44" s="21"/>
      <c r="IOX44" s="21"/>
      <c r="IPB44" s="15"/>
      <c r="IPH44" s="25"/>
      <c r="IPO44" s="21"/>
      <c r="IPP44" s="21"/>
      <c r="IPT44" s="15"/>
      <c r="IPZ44" s="25"/>
      <c r="IQG44" s="21"/>
      <c r="IQH44" s="21"/>
      <c r="IQL44" s="15"/>
      <c r="IQR44" s="25"/>
      <c r="IQY44" s="21"/>
      <c r="IQZ44" s="21"/>
      <c r="IRD44" s="15"/>
      <c r="IRJ44" s="25"/>
      <c r="IRQ44" s="21"/>
      <c r="IRR44" s="21"/>
      <c r="IRV44" s="15"/>
      <c r="ISB44" s="25"/>
      <c r="ISI44" s="21"/>
      <c r="ISJ44" s="21"/>
      <c r="ISN44" s="15"/>
      <c r="IST44" s="25"/>
      <c r="ITA44" s="21"/>
      <c r="ITB44" s="21"/>
      <c r="ITF44" s="15"/>
      <c r="ITL44" s="25"/>
      <c r="ITS44" s="21"/>
      <c r="ITT44" s="21"/>
      <c r="ITX44" s="15"/>
      <c r="IUD44" s="25"/>
      <c r="IUK44" s="21"/>
      <c r="IUL44" s="21"/>
      <c r="IUP44" s="15"/>
      <c r="IUV44" s="25"/>
      <c r="IVC44" s="21"/>
      <c r="IVD44" s="21"/>
      <c r="IVH44" s="15"/>
      <c r="IVN44" s="25"/>
      <c r="IVU44" s="21"/>
      <c r="IVV44" s="21"/>
      <c r="IVZ44" s="15"/>
      <c r="IWF44" s="25"/>
      <c r="IWM44" s="21"/>
      <c r="IWN44" s="21"/>
      <c r="IWR44" s="15"/>
      <c r="IWX44" s="25"/>
      <c r="IXE44" s="21"/>
      <c r="IXF44" s="21"/>
      <c r="IXJ44" s="15"/>
      <c r="IXP44" s="25"/>
      <c r="IXW44" s="21"/>
      <c r="IXX44" s="21"/>
      <c r="IYB44" s="15"/>
      <c r="IYH44" s="25"/>
      <c r="IYO44" s="21"/>
      <c r="IYP44" s="21"/>
      <c r="IYT44" s="15"/>
      <c r="IYZ44" s="25"/>
      <c r="IZG44" s="21"/>
      <c r="IZH44" s="21"/>
      <c r="IZL44" s="15"/>
      <c r="IZR44" s="25"/>
      <c r="IZY44" s="21"/>
      <c r="IZZ44" s="21"/>
      <c r="JAD44" s="15"/>
      <c r="JAJ44" s="25"/>
      <c r="JAQ44" s="21"/>
      <c r="JAR44" s="21"/>
      <c r="JAV44" s="15"/>
      <c r="JBB44" s="25"/>
      <c r="JBI44" s="21"/>
      <c r="JBJ44" s="21"/>
      <c r="JBN44" s="15"/>
      <c r="JBT44" s="25"/>
      <c r="JCA44" s="21"/>
      <c r="JCB44" s="21"/>
      <c r="JCF44" s="15"/>
      <c r="JCL44" s="25"/>
      <c r="JCS44" s="21"/>
      <c r="JCT44" s="21"/>
      <c r="JCX44" s="15"/>
      <c r="JDD44" s="25"/>
      <c r="JDK44" s="21"/>
      <c r="JDL44" s="21"/>
      <c r="JDP44" s="15"/>
      <c r="JDV44" s="25"/>
      <c r="JEC44" s="21"/>
      <c r="JED44" s="21"/>
      <c r="JEH44" s="15"/>
      <c r="JEN44" s="25"/>
      <c r="JEU44" s="21"/>
      <c r="JEV44" s="21"/>
      <c r="JEZ44" s="15"/>
      <c r="JFF44" s="25"/>
      <c r="JFM44" s="21"/>
      <c r="JFN44" s="21"/>
      <c r="JFR44" s="15"/>
      <c r="JFX44" s="25"/>
      <c r="JGE44" s="21"/>
      <c r="JGF44" s="21"/>
      <c r="JGJ44" s="15"/>
      <c r="JGP44" s="25"/>
      <c r="JGW44" s="21"/>
      <c r="JGX44" s="21"/>
      <c r="JHB44" s="15"/>
      <c r="JHH44" s="25"/>
      <c r="JHO44" s="21"/>
      <c r="JHP44" s="21"/>
      <c r="JHT44" s="15"/>
      <c r="JHZ44" s="25"/>
      <c r="JIG44" s="21"/>
      <c r="JIH44" s="21"/>
      <c r="JIL44" s="15"/>
      <c r="JIR44" s="25"/>
      <c r="JIY44" s="21"/>
      <c r="JIZ44" s="21"/>
      <c r="JJD44" s="15"/>
      <c r="JJJ44" s="25"/>
      <c r="JJQ44" s="21"/>
      <c r="JJR44" s="21"/>
      <c r="JJV44" s="15"/>
      <c r="JKB44" s="25"/>
      <c r="JKI44" s="21"/>
      <c r="JKJ44" s="21"/>
      <c r="JKN44" s="15"/>
      <c r="JKT44" s="25"/>
      <c r="JLA44" s="21"/>
      <c r="JLB44" s="21"/>
      <c r="JLF44" s="15"/>
      <c r="JLL44" s="25"/>
      <c r="JLS44" s="21"/>
      <c r="JLT44" s="21"/>
      <c r="JLX44" s="15"/>
      <c r="JMD44" s="25"/>
      <c r="JMK44" s="21"/>
      <c r="JML44" s="21"/>
      <c r="JMP44" s="15"/>
      <c r="JMV44" s="25"/>
      <c r="JNC44" s="21"/>
      <c r="JND44" s="21"/>
      <c r="JNH44" s="15"/>
      <c r="JNN44" s="25"/>
      <c r="JNU44" s="21"/>
      <c r="JNV44" s="21"/>
      <c r="JNZ44" s="15"/>
      <c r="JOF44" s="25"/>
      <c r="JOM44" s="21"/>
      <c r="JON44" s="21"/>
      <c r="JOR44" s="15"/>
      <c r="JOX44" s="25"/>
      <c r="JPE44" s="21"/>
      <c r="JPF44" s="21"/>
      <c r="JPJ44" s="15"/>
      <c r="JPP44" s="25"/>
      <c r="JPW44" s="21"/>
      <c r="JPX44" s="21"/>
      <c r="JQB44" s="15"/>
      <c r="JQH44" s="25"/>
      <c r="JQO44" s="21"/>
      <c r="JQP44" s="21"/>
      <c r="JQT44" s="15"/>
      <c r="JQZ44" s="25"/>
      <c r="JRG44" s="21"/>
      <c r="JRH44" s="21"/>
      <c r="JRL44" s="15"/>
      <c r="JRR44" s="25"/>
      <c r="JRY44" s="21"/>
      <c r="JRZ44" s="21"/>
      <c r="JSD44" s="15"/>
      <c r="JSJ44" s="25"/>
      <c r="JSQ44" s="21"/>
      <c r="JSR44" s="21"/>
      <c r="JSV44" s="15"/>
      <c r="JTB44" s="25"/>
      <c r="JTI44" s="21"/>
      <c r="JTJ44" s="21"/>
      <c r="JTN44" s="15"/>
      <c r="JTT44" s="25"/>
      <c r="JUA44" s="21"/>
      <c r="JUB44" s="21"/>
      <c r="JUF44" s="15"/>
      <c r="JUL44" s="25"/>
      <c r="JUS44" s="21"/>
      <c r="JUT44" s="21"/>
      <c r="JUX44" s="15"/>
      <c r="JVD44" s="25"/>
      <c r="JVK44" s="21"/>
      <c r="JVL44" s="21"/>
      <c r="JVP44" s="15"/>
      <c r="JVV44" s="25"/>
      <c r="JWC44" s="21"/>
      <c r="JWD44" s="21"/>
      <c r="JWH44" s="15"/>
      <c r="JWN44" s="25"/>
      <c r="JWU44" s="21"/>
      <c r="JWV44" s="21"/>
      <c r="JWZ44" s="15"/>
      <c r="JXF44" s="25"/>
      <c r="JXM44" s="21"/>
      <c r="JXN44" s="21"/>
      <c r="JXR44" s="15"/>
      <c r="JXX44" s="25"/>
      <c r="JYE44" s="21"/>
      <c r="JYF44" s="21"/>
      <c r="JYJ44" s="15"/>
      <c r="JYP44" s="25"/>
      <c r="JYW44" s="21"/>
      <c r="JYX44" s="21"/>
      <c r="JZB44" s="15"/>
      <c r="JZH44" s="25"/>
      <c r="JZO44" s="21"/>
      <c r="JZP44" s="21"/>
      <c r="JZT44" s="15"/>
      <c r="JZZ44" s="25"/>
      <c r="KAG44" s="21"/>
      <c r="KAH44" s="21"/>
      <c r="KAL44" s="15"/>
      <c r="KAR44" s="25"/>
      <c r="KAY44" s="21"/>
      <c r="KAZ44" s="21"/>
      <c r="KBD44" s="15"/>
      <c r="KBJ44" s="25"/>
      <c r="KBQ44" s="21"/>
      <c r="KBR44" s="21"/>
      <c r="KBV44" s="15"/>
      <c r="KCB44" s="25"/>
      <c r="KCI44" s="21"/>
      <c r="KCJ44" s="21"/>
      <c r="KCN44" s="15"/>
      <c r="KCT44" s="25"/>
      <c r="KDA44" s="21"/>
      <c r="KDB44" s="21"/>
      <c r="KDF44" s="15"/>
      <c r="KDL44" s="25"/>
      <c r="KDS44" s="21"/>
      <c r="KDT44" s="21"/>
      <c r="KDX44" s="15"/>
      <c r="KED44" s="25"/>
      <c r="KEK44" s="21"/>
      <c r="KEL44" s="21"/>
      <c r="KEP44" s="15"/>
      <c r="KEV44" s="25"/>
      <c r="KFC44" s="21"/>
      <c r="KFD44" s="21"/>
      <c r="KFH44" s="15"/>
      <c r="KFN44" s="25"/>
      <c r="KFU44" s="21"/>
      <c r="KFV44" s="21"/>
      <c r="KFZ44" s="15"/>
      <c r="KGF44" s="25"/>
      <c r="KGM44" s="21"/>
      <c r="KGN44" s="21"/>
      <c r="KGR44" s="15"/>
      <c r="KGX44" s="25"/>
      <c r="KHE44" s="21"/>
      <c r="KHF44" s="21"/>
      <c r="KHJ44" s="15"/>
      <c r="KHP44" s="25"/>
      <c r="KHW44" s="21"/>
      <c r="KHX44" s="21"/>
      <c r="KIB44" s="15"/>
      <c r="KIH44" s="25"/>
      <c r="KIO44" s="21"/>
      <c r="KIP44" s="21"/>
      <c r="KIT44" s="15"/>
      <c r="KIZ44" s="25"/>
      <c r="KJG44" s="21"/>
      <c r="KJH44" s="21"/>
      <c r="KJL44" s="15"/>
      <c r="KJR44" s="25"/>
      <c r="KJY44" s="21"/>
      <c r="KJZ44" s="21"/>
      <c r="KKD44" s="15"/>
      <c r="KKJ44" s="25"/>
      <c r="KKQ44" s="21"/>
      <c r="KKR44" s="21"/>
      <c r="KKV44" s="15"/>
      <c r="KLB44" s="25"/>
      <c r="KLI44" s="21"/>
      <c r="KLJ44" s="21"/>
      <c r="KLN44" s="15"/>
      <c r="KLT44" s="25"/>
      <c r="KMA44" s="21"/>
      <c r="KMB44" s="21"/>
      <c r="KMF44" s="15"/>
      <c r="KML44" s="25"/>
      <c r="KMS44" s="21"/>
      <c r="KMT44" s="21"/>
      <c r="KMX44" s="15"/>
      <c r="KND44" s="25"/>
      <c r="KNK44" s="21"/>
      <c r="KNL44" s="21"/>
      <c r="KNP44" s="15"/>
      <c r="KNV44" s="25"/>
      <c r="KOC44" s="21"/>
      <c r="KOD44" s="21"/>
      <c r="KOH44" s="15"/>
      <c r="KON44" s="25"/>
      <c r="KOU44" s="21"/>
      <c r="KOV44" s="21"/>
      <c r="KOZ44" s="15"/>
      <c r="KPF44" s="25"/>
      <c r="KPM44" s="21"/>
      <c r="KPN44" s="21"/>
      <c r="KPR44" s="15"/>
      <c r="KPX44" s="25"/>
      <c r="KQE44" s="21"/>
      <c r="KQF44" s="21"/>
      <c r="KQJ44" s="15"/>
      <c r="KQP44" s="25"/>
      <c r="KQW44" s="21"/>
      <c r="KQX44" s="21"/>
      <c r="KRB44" s="15"/>
      <c r="KRH44" s="25"/>
      <c r="KRO44" s="21"/>
      <c r="KRP44" s="21"/>
      <c r="KRT44" s="15"/>
      <c r="KRZ44" s="25"/>
      <c r="KSG44" s="21"/>
      <c r="KSH44" s="21"/>
      <c r="KSL44" s="15"/>
      <c r="KSR44" s="25"/>
      <c r="KSY44" s="21"/>
      <c r="KSZ44" s="21"/>
      <c r="KTD44" s="15"/>
      <c r="KTJ44" s="25"/>
      <c r="KTQ44" s="21"/>
      <c r="KTR44" s="21"/>
      <c r="KTV44" s="15"/>
      <c r="KUB44" s="25"/>
      <c r="KUI44" s="21"/>
      <c r="KUJ44" s="21"/>
      <c r="KUN44" s="15"/>
      <c r="KUT44" s="25"/>
      <c r="KVA44" s="21"/>
      <c r="KVB44" s="21"/>
      <c r="KVF44" s="15"/>
      <c r="KVL44" s="25"/>
      <c r="KVS44" s="21"/>
      <c r="KVT44" s="21"/>
      <c r="KVX44" s="15"/>
      <c r="KWD44" s="25"/>
      <c r="KWK44" s="21"/>
      <c r="KWL44" s="21"/>
      <c r="KWP44" s="15"/>
      <c r="KWV44" s="25"/>
      <c r="KXC44" s="21"/>
      <c r="KXD44" s="21"/>
      <c r="KXH44" s="15"/>
      <c r="KXN44" s="25"/>
      <c r="KXU44" s="21"/>
      <c r="KXV44" s="21"/>
      <c r="KXZ44" s="15"/>
      <c r="KYF44" s="25"/>
      <c r="KYM44" s="21"/>
      <c r="KYN44" s="21"/>
      <c r="KYR44" s="15"/>
      <c r="KYX44" s="25"/>
      <c r="KZE44" s="21"/>
      <c r="KZF44" s="21"/>
      <c r="KZJ44" s="15"/>
      <c r="KZP44" s="25"/>
      <c r="KZW44" s="21"/>
      <c r="KZX44" s="21"/>
      <c r="LAB44" s="15"/>
      <c r="LAH44" s="25"/>
      <c r="LAO44" s="21"/>
      <c r="LAP44" s="21"/>
      <c r="LAT44" s="15"/>
      <c r="LAZ44" s="25"/>
      <c r="LBG44" s="21"/>
      <c r="LBH44" s="21"/>
      <c r="LBL44" s="15"/>
      <c r="LBR44" s="25"/>
      <c r="LBY44" s="21"/>
      <c r="LBZ44" s="21"/>
      <c r="LCD44" s="15"/>
      <c r="LCJ44" s="25"/>
      <c r="LCQ44" s="21"/>
      <c r="LCR44" s="21"/>
      <c r="LCV44" s="15"/>
      <c r="LDB44" s="25"/>
      <c r="LDI44" s="21"/>
      <c r="LDJ44" s="21"/>
      <c r="LDN44" s="15"/>
      <c r="LDT44" s="25"/>
      <c r="LEA44" s="21"/>
      <c r="LEB44" s="21"/>
      <c r="LEF44" s="15"/>
      <c r="LEL44" s="25"/>
      <c r="LES44" s="21"/>
      <c r="LET44" s="21"/>
      <c r="LEX44" s="15"/>
      <c r="LFD44" s="25"/>
      <c r="LFK44" s="21"/>
      <c r="LFL44" s="21"/>
      <c r="LFP44" s="15"/>
      <c r="LFV44" s="25"/>
      <c r="LGC44" s="21"/>
      <c r="LGD44" s="21"/>
      <c r="LGH44" s="15"/>
      <c r="LGN44" s="25"/>
      <c r="LGU44" s="21"/>
      <c r="LGV44" s="21"/>
      <c r="LGZ44" s="15"/>
      <c r="LHF44" s="25"/>
      <c r="LHM44" s="21"/>
      <c r="LHN44" s="21"/>
      <c r="LHR44" s="15"/>
      <c r="LHX44" s="25"/>
      <c r="LIE44" s="21"/>
      <c r="LIF44" s="21"/>
      <c r="LIJ44" s="15"/>
      <c r="LIP44" s="25"/>
      <c r="LIW44" s="21"/>
      <c r="LIX44" s="21"/>
      <c r="LJB44" s="15"/>
      <c r="LJH44" s="25"/>
      <c r="LJO44" s="21"/>
      <c r="LJP44" s="21"/>
      <c r="LJT44" s="15"/>
      <c r="LJZ44" s="25"/>
      <c r="LKG44" s="21"/>
      <c r="LKH44" s="21"/>
      <c r="LKL44" s="15"/>
      <c r="LKR44" s="25"/>
      <c r="LKY44" s="21"/>
      <c r="LKZ44" s="21"/>
      <c r="LLD44" s="15"/>
      <c r="LLJ44" s="25"/>
      <c r="LLQ44" s="21"/>
      <c r="LLR44" s="21"/>
      <c r="LLV44" s="15"/>
      <c r="LMB44" s="25"/>
      <c r="LMI44" s="21"/>
      <c r="LMJ44" s="21"/>
      <c r="LMN44" s="15"/>
      <c r="LMT44" s="25"/>
      <c r="LNA44" s="21"/>
      <c r="LNB44" s="21"/>
      <c r="LNF44" s="15"/>
      <c r="LNL44" s="25"/>
      <c r="LNS44" s="21"/>
      <c r="LNT44" s="21"/>
      <c r="LNX44" s="15"/>
      <c r="LOD44" s="25"/>
      <c r="LOK44" s="21"/>
      <c r="LOL44" s="21"/>
      <c r="LOP44" s="15"/>
      <c r="LOV44" s="25"/>
      <c r="LPC44" s="21"/>
      <c r="LPD44" s="21"/>
      <c r="LPH44" s="15"/>
      <c r="LPN44" s="25"/>
      <c r="LPU44" s="21"/>
      <c r="LPV44" s="21"/>
      <c r="LPZ44" s="15"/>
      <c r="LQF44" s="25"/>
      <c r="LQM44" s="21"/>
      <c r="LQN44" s="21"/>
      <c r="LQR44" s="15"/>
      <c r="LQX44" s="25"/>
      <c r="LRE44" s="21"/>
      <c r="LRF44" s="21"/>
      <c r="LRJ44" s="15"/>
      <c r="LRP44" s="25"/>
      <c r="LRW44" s="21"/>
      <c r="LRX44" s="21"/>
      <c r="LSB44" s="15"/>
      <c r="LSH44" s="25"/>
      <c r="LSO44" s="21"/>
      <c r="LSP44" s="21"/>
      <c r="LST44" s="15"/>
      <c r="LSZ44" s="25"/>
      <c r="LTG44" s="21"/>
      <c r="LTH44" s="21"/>
      <c r="LTL44" s="15"/>
      <c r="LTR44" s="25"/>
      <c r="LTY44" s="21"/>
      <c r="LTZ44" s="21"/>
      <c r="LUD44" s="15"/>
      <c r="LUJ44" s="25"/>
      <c r="LUQ44" s="21"/>
      <c r="LUR44" s="21"/>
      <c r="LUV44" s="15"/>
      <c r="LVB44" s="25"/>
      <c r="LVI44" s="21"/>
      <c r="LVJ44" s="21"/>
      <c r="LVN44" s="15"/>
      <c r="LVT44" s="25"/>
      <c r="LWA44" s="21"/>
      <c r="LWB44" s="21"/>
      <c r="LWF44" s="15"/>
      <c r="LWL44" s="25"/>
      <c r="LWS44" s="21"/>
      <c r="LWT44" s="21"/>
      <c r="LWX44" s="15"/>
      <c r="LXD44" s="25"/>
      <c r="LXK44" s="21"/>
      <c r="LXL44" s="21"/>
      <c r="LXP44" s="15"/>
      <c r="LXV44" s="25"/>
      <c r="LYC44" s="21"/>
      <c r="LYD44" s="21"/>
      <c r="LYH44" s="15"/>
      <c r="LYN44" s="25"/>
      <c r="LYU44" s="21"/>
      <c r="LYV44" s="21"/>
      <c r="LYZ44" s="15"/>
      <c r="LZF44" s="25"/>
      <c r="LZM44" s="21"/>
      <c r="LZN44" s="21"/>
      <c r="LZR44" s="15"/>
      <c r="LZX44" s="25"/>
      <c r="MAE44" s="21"/>
      <c r="MAF44" s="21"/>
      <c r="MAJ44" s="15"/>
      <c r="MAP44" s="25"/>
      <c r="MAW44" s="21"/>
      <c r="MAX44" s="21"/>
      <c r="MBB44" s="15"/>
      <c r="MBH44" s="25"/>
      <c r="MBO44" s="21"/>
      <c r="MBP44" s="21"/>
      <c r="MBT44" s="15"/>
      <c r="MBZ44" s="25"/>
      <c r="MCG44" s="21"/>
      <c r="MCH44" s="21"/>
      <c r="MCL44" s="15"/>
      <c r="MCR44" s="25"/>
      <c r="MCY44" s="21"/>
      <c r="MCZ44" s="21"/>
      <c r="MDD44" s="15"/>
      <c r="MDJ44" s="25"/>
      <c r="MDQ44" s="21"/>
      <c r="MDR44" s="21"/>
      <c r="MDV44" s="15"/>
      <c r="MEB44" s="25"/>
      <c r="MEI44" s="21"/>
      <c r="MEJ44" s="21"/>
      <c r="MEN44" s="15"/>
      <c r="MET44" s="25"/>
      <c r="MFA44" s="21"/>
      <c r="MFB44" s="21"/>
      <c r="MFF44" s="15"/>
      <c r="MFL44" s="25"/>
      <c r="MFS44" s="21"/>
      <c r="MFT44" s="21"/>
      <c r="MFX44" s="15"/>
      <c r="MGD44" s="25"/>
      <c r="MGK44" s="21"/>
      <c r="MGL44" s="21"/>
      <c r="MGP44" s="15"/>
      <c r="MGV44" s="25"/>
      <c r="MHC44" s="21"/>
      <c r="MHD44" s="21"/>
      <c r="MHH44" s="15"/>
      <c r="MHN44" s="25"/>
      <c r="MHU44" s="21"/>
      <c r="MHV44" s="21"/>
      <c r="MHZ44" s="15"/>
      <c r="MIF44" s="25"/>
      <c r="MIM44" s="21"/>
      <c r="MIN44" s="21"/>
      <c r="MIR44" s="15"/>
      <c r="MIX44" s="25"/>
      <c r="MJE44" s="21"/>
      <c r="MJF44" s="21"/>
      <c r="MJJ44" s="15"/>
      <c r="MJP44" s="25"/>
      <c r="MJW44" s="21"/>
      <c r="MJX44" s="21"/>
      <c r="MKB44" s="15"/>
      <c r="MKH44" s="25"/>
      <c r="MKO44" s="21"/>
      <c r="MKP44" s="21"/>
      <c r="MKT44" s="15"/>
      <c r="MKZ44" s="25"/>
      <c r="MLG44" s="21"/>
      <c r="MLH44" s="21"/>
      <c r="MLL44" s="15"/>
      <c r="MLR44" s="25"/>
      <c r="MLY44" s="21"/>
      <c r="MLZ44" s="21"/>
      <c r="MMD44" s="15"/>
      <c r="MMJ44" s="25"/>
      <c r="MMQ44" s="21"/>
      <c r="MMR44" s="21"/>
      <c r="MMV44" s="15"/>
      <c r="MNB44" s="25"/>
      <c r="MNI44" s="21"/>
      <c r="MNJ44" s="21"/>
      <c r="MNN44" s="15"/>
      <c r="MNT44" s="25"/>
      <c r="MOA44" s="21"/>
      <c r="MOB44" s="21"/>
      <c r="MOF44" s="15"/>
      <c r="MOL44" s="25"/>
      <c r="MOS44" s="21"/>
      <c r="MOT44" s="21"/>
      <c r="MOX44" s="15"/>
      <c r="MPD44" s="25"/>
      <c r="MPK44" s="21"/>
      <c r="MPL44" s="21"/>
      <c r="MPP44" s="15"/>
      <c r="MPV44" s="25"/>
      <c r="MQC44" s="21"/>
      <c r="MQD44" s="21"/>
      <c r="MQH44" s="15"/>
      <c r="MQN44" s="25"/>
      <c r="MQU44" s="21"/>
      <c r="MQV44" s="21"/>
      <c r="MQZ44" s="15"/>
      <c r="MRF44" s="25"/>
      <c r="MRM44" s="21"/>
      <c r="MRN44" s="21"/>
      <c r="MRR44" s="15"/>
      <c r="MRX44" s="25"/>
      <c r="MSE44" s="21"/>
      <c r="MSF44" s="21"/>
      <c r="MSJ44" s="15"/>
      <c r="MSP44" s="25"/>
      <c r="MSW44" s="21"/>
      <c r="MSX44" s="21"/>
      <c r="MTB44" s="15"/>
      <c r="MTH44" s="25"/>
      <c r="MTO44" s="21"/>
      <c r="MTP44" s="21"/>
      <c r="MTT44" s="15"/>
      <c r="MTZ44" s="25"/>
      <c r="MUG44" s="21"/>
      <c r="MUH44" s="21"/>
      <c r="MUL44" s="15"/>
      <c r="MUR44" s="25"/>
      <c r="MUY44" s="21"/>
      <c r="MUZ44" s="21"/>
      <c r="MVD44" s="15"/>
      <c r="MVJ44" s="25"/>
      <c r="MVQ44" s="21"/>
      <c r="MVR44" s="21"/>
      <c r="MVV44" s="15"/>
      <c r="MWB44" s="25"/>
      <c r="MWI44" s="21"/>
      <c r="MWJ44" s="21"/>
      <c r="MWN44" s="15"/>
      <c r="MWT44" s="25"/>
      <c r="MXA44" s="21"/>
      <c r="MXB44" s="21"/>
      <c r="MXF44" s="15"/>
      <c r="MXL44" s="25"/>
      <c r="MXS44" s="21"/>
      <c r="MXT44" s="21"/>
      <c r="MXX44" s="15"/>
      <c r="MYD44" s="25"/>
      <c r="MYK44" s="21"/>
      <c r="MYL44" s="21"/>
      <c r="MYP44" s="15"/>
      <c r="MYV44" s="25"/>
      <c r="MZC44" s="21"/>
      <c r="MZD44" s="21"/>
      <c r="MZH44" s="15"/>
      <c r="MZN44" s="25"/>
      <c r="MZU44" s="21"/>
      <c r="MZV44" s="21"/>
      <c r="MZZ44" s="15"/>
      <c r="NAF44" s="25"/>
      <c r="NAM44" s="21"/>
      <c r="NAN44" s="21"/>
      <c r="NAR44" s="15"/>
      <c r="NAX44" s="25"/>
      <c r="NBE44" s="21"/>
      <c r="NBF44" s="21"/>
      <c r="NBJ44" s="15"/>
      <c r="NBP44" s="25"/>
      <c r="NBW44" s="21"/>
      <c r="NBX44" s="21"/>
      <c r="NCB44" s="15"/>
      <c r="NCH44" s="25"/>
      <c r="NCO44" s="21"/>
      <c r="NCP44" s="21"/>
      <c r="NCT44" s="15"/>
      <c r="NCZ44" s="25"/>
      <c r="NDG44" s="21"/>
      <c r="NDH44" s="21"/>
      <c r="NDL44" s="15"/>
      <c r="NDR44" s="25"/>
      <c r="NDY44" s="21"/>
      <c r="NDZ44" s="21"/>
      <c r="NED44" s="15"/>
      <c r="NEJ44" s="25"/>
      <c r="NEQ44" s="21"/>
      <c r="NER44" s="21"/>
      <c r="NEV44" s="15"/>
      <c r="NFB44" s="25"/>
      <c r="NFI44" s="21"/>
      <c r="NFJ44" s="21"/>
      <c r="NFN44" s="15"/>
      <c r="NFT44" s="25"/>
      <c r="NGA44" s="21"/>
      <c r="NGB44" s="21"/>
      <c r="NGF44" s="15"/>
      <c r="NGL44" s="25"/>
      <c r="NGS44" s="21"/>
      <c r="NGT44" s="21"/>
      <c r="NGX44" s="15"/>
      <c r="NHD44" s="25"/>
      <c r="NHK44" s="21"/>
      <c r="NHL44" s="21"/>
      <c r="NHP44" s="15"/>
      <c r="NHV44" s="25"/>
      <c r="NIC44" s="21"/>
      <c r="NID44" s="21"/>
      <c r="NIH44" s="15"/>
      <c r="NIN44" s="25"/>
      <c r="NIU44" s="21"/>
      <c r="NIV44" s="21"/>
      <c r="NIZ44" s="15"/>
      <c r="NJF44" s="25"/>
      <c r="NJM44" s="21"/>
      <c r="NJN44" s="21"/>
      <c r="NJR44" s="15"/>
      <c r="NJX44" s="25"/>
      <c r="NKE44" s="21"/>
      <c r="NKF44" s="21"/>
      <c r="NKJ44" s="15"/>
      <c r="NKP44" s="25"/>
      <c r="NKW44" s="21"/>
      <c r="NKX44" s="21"/>
      <c r="NLB44" s="15"/>
      <c r="NLH44" s="25"/>
      <c r="NLO44" s="21"/>
      <c r="NLP44" s="21"/>
      <c r="NLT44" s="15"/>
      <c r="NLZ44" s="25"/>
      <c r="NMG44" s="21"/>
      <c r="NMH44" s="21"/>
      <c r="NML44" s="15"/>
      <c r="NMR44" s="25"/>
      <c r="NMY44" s="21"/>
      <c r="NMZ44" s="21"/>
      <c r="NND44" s="15"/>
      <c r="NNJ44" s="25"/>
      <c r="NNQ44" s="21"/>
      <c r="NNR44" s="21"/>
      <c r="NNV44" s="15"/>
      <c r="NOB44" s="25"/>
      <c r="NOI44" s="21"/>
      <c r="NOJ44" s="21"/>
      <c r="NON44" s="15"/>
      <c r="NOT44" s="25"/>
      <c r="NPA44" s="21"/>
      <c r="NPB44" s="21"/>
      <c r="NPF44" s="15"/>
      <c r="NPL44" s="25"/>
      <c r="NPS44" s="21"/>
      <c r="NPT44" s="21"/>
      <c r="NPX44" s="15"/>
      <c r="NQD44" s="25"/>
      <c r="NQK44" s="21"/>
      <c r="NQL44" s="21"/>
      <c r="NQP44" s="15"/>
      <c r="NQV44" s="25"/>
      <c r="NRC44" s="21"/>
      <c r="NRD44" s="21"/>
      <c r="NRH44" s="15"/>
      <c r="NRN44" s="25"/>
      <c r="NRU44" s="21"/>
      <c r="NRV44" s="21"/>
      <c r="NRZ44" s="15"/>
      <c r="NSF44" s="25"/>
      <c r="NSM44" s="21"/>
      <c r="NSN44" s="21"/>
      <c r="NSR44" s="15"/>
      <c r="NSX44" s="25"/>
      <c r="NTE44" s="21"/>
      <c r="NTF44" s="21"/>
      <c r="NTJ44" s="15"/>
      <c r="NTP44" s="25"/>
      <c r="NTW44" s="21"/>
      <c r="NTX44" s="21"/>
      <c r="NUB44" s="15"/>
      <c r="NUH44" s="25"/>
      <c r="NUO44" s="21"/>
      <c r="NUP44" s="21"/>
      <c r="NUT44" s="15"/>
      <c r="NUZ44" s="25"/>
      <c r="NVG44" s="21"/>
      <c r="NVH44" s="21"/>
      <c r="NVL44" s="15"/>
      <c r="NVR44" s="25"/>
      <c r="NVY44" s="21"/>
      <c r="NVZ44" s="21"/>
      <c r="NWD44" s="15"/>
      <c r="NWJ44" s="25"/>
      <c r="NWQ44" s="21"/>
      <c r="NWR44" s="21"/>
      <c r="NWV44" s="15"/>
      <c r="NXB44" s="25"/>
      <c r="NXI44" s="21"/>
      <c r="NXJ44" s="21"/>
      <c r="NXN44" s="15"/>
      <c r="NXT44" s="25"/>
      <c r="NYA44" s="21"/>
      <c r="NYB44" s="21"/>
      <c r="NYF44" s="15"/>
      <c r="NYL44" s="25"/>
      <c r="NYS44" s="21"/>
      <c r="NYT44" s="21"/>
      <c r="NYX44" s="15"/>
      <c r="NZD44" s="25"/>
      <c r="NZK44" s="21"/>
      <c r="NZL44" s="21"/>
      <c r="NZP44" s="15"/>
      <c r="NZV44" s="25"/>
      <c r="OAC44" s="21"/>
      <c r="OAD44" s="21"/>
      <c r="OAH44" s="15"/>
      <c r="OAN44" s="25"/>
      <c r="OAU44" s="21"/>
      <c r="OAV44" s="21"/>
      <c r="OAZ44" s="15"/>
      <c r="OBF44" s="25"/>
      <c r="OBM44" s="21"/>
      <c r="OBN44" s="21"/>
      <c r="OBR44" s="15"/>
      <c r="OBX44" s="25"/>
      <c r="OCE44" s="21"/>
      <c r="OCF44" s="21"/>
      <c r="OCJ44" s="15"/>
      <c r="OCP44" s="25"/>
      <c r="OCW44" s="21"/>
      <c r="OCX44" s="21"/>
      <c r="ODB44" s="15"/>
      <c r="ODH44" s="25"/>
      <c r="ODO44" s="21"/>
      <c r="ODP44" s="21"/>
      <c r="ODT44" s="15"/>
      <c r="ODZ44" s="25"/>
      <c r="OEG44" s="21"/>
      <c r="OEH44" s="21"/>
      <c r="OEL44" s="15"/>
      <c r="OER44" s="25"/>
      <c r="OEY44" s="21"/>
      <c r="OEZ44" s="21"/>
      <c r="OFD44" s="15"/>
      <c r="OFJ44" s="25"/>
      <c r="OFQ44" s="21"/>
      <c r="OFR44" s="21"/>
      <c r="OFV44" s="15"/>
      <c r="OGB44" s="25"/>
      <c r="OGI44" s="21"/>
      <c r="OGJ44" s="21"/>
      <c r="OGN44" s="15"/>
      <c r="OGT44" s="25"/>
      <c r="OHA44" s="21"/>
      <c r="OHB44" s="21"/>
      <c r="OHF44" s="15"/>
      <c r="OHL44" s="25"/>
      <c r="OHS44" s="21"/>
      <c r="OHT44" s="21"/>
      <c r="OHX44" s="15"/>
      <c r="OID44" s="25"/>
      <c r="OIK44" s="21"/>
      <c r="OIL44" s="21"/>
      <c r="OIP44" s="15"/>
      <c r="OIV44" s="25"/>
      <c r="OJC44" s="21"/>
      <c r="OJD44" s="21"/>
      <c r="OJH44" s="15"/>
      <c r="OJN44" s="25"/>
      <c r="OJU44" s="21"/>
      <c r="OJV44" s="21"/>
      <c r="OJZ44" s="15"/>
      <c r="OKF44" s="25"/>
      <c r="OKM44" s="21"/>
      <c r="OKN44" s="21"/>
      <c r="OKR44" s="15"/>
      <c r="OKX44" s="25"/>
      <c r="OLE44" s="21"/>
      <c r="OLF44" s="21"/>
      <c r="OLJ44" s="15"/>
      <c r="OLP44" s="25"/>
      <c r="OLW44" s="21"/>
      <c r="OLX44" s="21"/>
      <c r="OMB44" s="15"/>
      <c r="OMH44" s="25"/>
      <c r="OMO44" s="21"/>
      <c r="OMP44" s="21"/>
      <c r="OMT44" s="15"/>
      <c r="OMZ44" s="25"/>
      <c r="ONG44" s="21"/>
      <c r="ONH44" s="21"/>
      <c r="ONL44" s="15"/>
      <c r="ONR44" s="25"/>
      <c r="ONY44" s="21"/>
      <c r="ONZ44" s="21"/>
      <c r="OOD44" s="15"/>
      <c r="OOJ44" s="25"/>
      <c r="OOQ44" s="21"/>
      <c r="OOR44" s="21"/>
      <c r="OOV44" s="15"/>
      <c r="OPB44" s="25"/>
      <c r="OPI44" s="21"/>
      <c r="OPJ44" s="21"/>
      <c r="OPN44" s="15"/>
      <c r="OPT44" s="25"/>
      <c r="OQA44" s="21"/>
      <c r="OQB44" s="21"/>
      <c r="OQF44" s="15"/>
      <c r="OQL44" s="25"/>
      <c r="OQS44" s="21"/>
      <c r="OQT44" s="21"/>
      <c r="OQX44" s="15"/>
      <c r="ORD44" s="25"/>
      <c r="ORK44" s="21"/>
      <c r="ORL44" s="21"/>
      <c r="ORP44" s="15"/>
      <c r="ORV44" s="25"/>
      <c r="OSC44" s="21"/>
      <c r="OSD44" s="21"/>
      <c r="OSH44" s="15"/>
      <c r="OSN44" s="25"/>
      <c r="OSU44" s="21"/>
      <c r="OSV44" s="21"/>
      <c r="OSZ44" s="15"/>
      <c r="OTF44" s="25"/>
      <c r="OTM44" s="21"/>
      <c r="OTN44" s="21"/>
      <c r="OTR44" s="15"/>
      <c r="OTX44" s="25"/>
      <c r="OUE44" s="21"/>
      <c r="OUF44" s="21"/>
      <c r="OUJ44" s="15"/>
      <c r="OUP44" s="25"/>
      <c r="OUW44" s="21"/>
      <c r="OUX44" s="21"/>
      <c r="OVB44" s="15"/>
      <c r="OVH44" s="25"/>
      <c r="OVO44" s="21"/>
      <c r="OVP44" s="21"/>
      <c r="OVT44" s="15"/>
      <c r="OVZ44" s="25"/>
      <c r="OWG44" s="21"/>
      <c r="OWH44" s="21"/>
      <c r="OWL44" s="15"/>
      <c r="OWR44" s="25"/>
      <c r="OWY44" s="21"/>
      <c r="OWZ44" s="21"/>
      <c r="OXD44" s="15"/>
      <c r="OXJ44" s="25"/>
      <c r="OXQ44" s="21"/>
      <c r="OXR44" s="21"/>
      <c r="OXV44" s="15"/>
      <c r="OYB44" s="25"/>
      <c r="OYI44" s="21"/>
      <c r="OYJ44" s="21"/>
      <c r="OYN44" s="15"/>
      <c r="OYT44" s="25"/>
      <c r="OZA44" s="21"/>
      <c r="OZB44" s="21"/>
      <c r="OZF44" s="15"/>
      <c r="OZL44" s="25"/>
      <c r="OZS44" s="21"/>
      <c r="OZT44" s="21"/>
      <c r="OZX44" s="15"/>
      <c r="PAD44" s="25"/>
      <c r="PAK44" s="21"/>
      <c r="PAL44" s="21"/>
      <c r="PAP44" s="15"/>
      <c r="PAV44" s="25"/>
      <c r="PBC44" s="21"/>
      <c r="PBD44" s="21"/>
      <c r="PBH44" s="15"/>
      <c r="PBN44" s="25"/>
      <c r="PBU44" s="21"/>
      <c r="PBV44" s="21"/>
      <c r="PBZ44" s="15"/>
      <c r="PCF44" s="25"/>
      <c r="PCM44" s="21"/>
      <c r="PCN44" s="21"/>
      <c r="PCR44" s="15"/>
      <c r="PCX44" s="25"/>
      <c r="PDE44" s="21"/>
      <c r="PDF44" s="21"/>
      <c r="PDJ44" s="15"/>
      <c r="PDP44" s="25"/>
      <c r="PDW44" s="21"/>
      <c r="PDX44" s="21"/>
      <c r="PEB44" s="15"/>
      <c r="PEH44" s="25"/>
      <c r="PEO44" s="21"/>
      <c r="PEP44" s="21"/>
      <c r="PET44" s="15"/>
      <c r="PEZ44" s="25"/>
      <c r="PFG44" s="21"/>
      <c r="PFH44" s="21"/>
      <c r="PFL44" s="15"/>
      <c r="PFR44" s="25"/>
      <c r="PFY44" s="21"/>
      <c r="PFZ44" s="21"/>
      <c r="PGD44" s="15"/>
      <c r="PGJ44" s="25"/>
      <c r="PGQ44" s="21"/>
      <c r="PGR44" s="21"/>
      <c r="PGV44" s="15"/>
      <c r="PHB44" s="25"/>
      <c r="PHI44" s="21"/>
      <c r="PHJ44" s="21"/>
      <c r="PHN44" s="15"/>
      <c r="PHT44" s="25"/>
      <c r="PIA44" s="21"/>
      <c r="PIB44" s="21"/>
      <c r="PIF44" s="15"/>
      <c r="PIL44" s="25"/>
      <c r="PIS44" s="21"/>
      <c r="PIT44" s="21"/>
      <c r="PIX44" s="15"/>
      <c r="PJD44" s="25"/>
      <c r="PJK44" s="21"/>
      <c r="PJL44" s="21"/>
      <c r="PJP44" s="15"/>
      <c r="PJV44" s="25"/>
      <c r="PKC44" s="21"/>
      <c r="PKD44" s="21"/>
      <c r="PKH44" s="15"/>
      <c r="PKN44" s="25"/>
      <c r="PKU44" s="21"/>
      <c r="PKV44" s="21"/>
      <c r="PKZ44" s="15"/>
      <c r="PLF44" s="25"/>
      <c r="PLM44" s="21"/>
      <c r="PLN44" s="21"/>
      <c r="PLR44" s="15"/>
      <c r="PLX44" s="25"/>
      <c r="PME44" s="21"/>
      <c r="PMF44" s="21"/>
      <c r="PMJ44" s="15"/>
      <c r="PMP44" s="25"/>
      <c r="PMW44" s="21"/>
      <c r="PMX44" s="21"/>
      <c r="PNB44" s="15"/>
      <c r="PNH44" s="25"/>
      <c r="PNO44" s="21"/>
      <c r="PNP44" s="21"/>
      <c r="PNT44" s="15"/>
      <c r="PNZ44" s="25"/>
      <c r="POG44" s="21"/>
      <c r="POH44" s="21"/>
      <c r="POL44" s="15"/>
      <c r="POR44" s="25"/>
      <c r="POY44" s="21"/>
      <c r="POZ44" s="21"/>
      <c r="PPD44" s="15"/>
      <c r="PPJ44" s="25"/>
      <c r="PPQ44" s="21"/>
      <c r="PPR44" s="21"/>
      <c r="PPV44" s="15"/>
      <c r="PQB44" s="25"/>
      <c r="PQI44" s="21"/>
      <c r="PQJ44" s="21"/>
      <c r="PQN44" s="15"/>
      <c r="PQT44" s="25"/>
      <c r="PRA44" s="21"/>
      <c r="PRB44" s="21"/>
      <c r="PRF44" s="15"/>
      <c r="PRL44" s="25"/>
      <c r="PRS44" s="21"/>
      <c r="PRT44" s="21"/>
      <c r="PRX44" s="15"/>
      <c r="PSD44" s="25"/>
      <c r="PSK44" s="21"/>
      <c r="PSL44" s="21"/>
      <c r="PSP44" s="15"/>
      <c r="PSV44" s="25"/>
      <c r="PTC44" s="21"/>
      <c r="PTD44" s="21"/>
      <c r="PTH44" s="15"/>
      <c r="PTN44" s="25"/>
      <c r="PTU44" s="21"/>
      <c r="PTV44" s="21"/>
      <c r="PTZ44" s="15"/>
      <c r="PUF44" s="25"/>
      <c r="PUM44" s="21"/>
      <c r="PUN44" s="21"/>
      <c r="PUR44" s="15"/>
      <c r="PUX44" s="25"/>
      <c r="PVE44" s="21"/>
      <c r="PVF44" s="21"/>
      <c r="PVJ44" s="15"/>
      <c r="PVP44" s="25"/>
      <c r="PVW44" s="21"/>
      <c r="PVX44" s="21"/>
      <c r="PWB44" s="15"/>
      <c r="PWH44" s="25"/>
      <c r="PWO44" s="21"/>
      <c r="PWP44" s="21"/>
      <c r="PWT44" s="15"/>
      <c r="PWZ44" s="25"/>
      <c r="PXG44" s="21"/>
      <c r="PXH44" s="21"/>
      <c r="PXL44" s="15"/>
      <c r="PXR44" s="25"/>
      <c r="PXY44" s="21"/>
      <c r="PXZ44" s="21"/>
      <c r="PYD44" s="15"/>
      <c r="PYJ44" s="25"/>
      <c r="PYQ44" s="21"/>
      <c r="PYR44" s="21"/>
      <c r="PYV44" s="15"/>
      <c r="PZB44" s="25"/>
      <c r="PZI44" s="21"/>
      <c r="PZJ44" s="21"/>
      <c r="PZN44" s="15"/>
      <c r="PZT44" s="25"/>
      <c r="QAA44" s="21"/>
      <c r="QAB44" s="21"/>
      <c r="QAF44" s="15"/>
      <c r="QAL44" s="25"/>
      <c r="QAS44" s="21"/>
      <c r="QAT44" s="21"/>
      <c r="QAX44" s="15"/>
      <c r="QBD44" s="25"/>
      <c r="QBK44" s="21"/>
      <c r="QBL44" s="21"/>
      <c r="QBP44" s="15"/>
      <c r="QBV44" s="25"/>
      <c r="QCC44" s="21"/>
      <c r="QCD44" s="21"/>
      <c r="QCH44" s="15"/>
      <c r="QCN44" s="25"/>
      <c r="QCU44" s="21"/>
      <c r="QCV44" s="21"/>
      <c r="QCZ44" s="15"/>
      <c r="QDF44" s="25"/>
      <c r="QDM44" s="21"/>
      <c r="QDN44" s="21"/>
      <c r="QDR44" s="15"/>
      <c r="QDX44" s="25"/>
      <c r="QEE44" s="21"/>
      <c r="QEF44" s="21"/>
      <c r="QEJ44" s="15"/>
      <c r="QEP44" s="25"/>
      <c r="QEW44" s="21"/>
      <c r="QEX44" s="21"/>
      <c r="QFB44" s="15"/>
      <c r="QFH44" s="25"/>
      <c r="QFO44" s="21"/>
      <c r="QFP44" s="21"/>
      <c r="QFT44" s="15"/>
      <c r="QFZ44" s="25"/>
      <c r="QGG44" s="21"/>
      <c r="QGH44" s="21"/>
      <c r="QGL44" s="15"/>
      <c r="QGR44" s="25"/>
      <c r="QGY44" s="21"/>
      <c r="QGZ44" s="21"/>
      <c r="QHD44" s="15"/>
      <c r="QHJ44" s="25"/>
      <c r="QHQ44" s="21"/>
      <c r="QHR44" s="21"/>
      <c r="QHV44" s="15"/>
      <c r="QIB44" s="25"/>
      <c r="QII44" s="21"/>
      <c r="QIJ44" s="21"/>
      <c r="QIN44" s="15"/>
      <c r="QIT44" s="25"/>
      <c r="QJA44" s="21"/>
      <c r="QJB44" s="21"/>
      <c r="QJF44" s="15"/>
      <c r="QJL44" s="25"/>
      <c r="QJS44" s="21"/>
      <c r="QJT44" s="21"/>
      <c r="QJX44" s="15"/>
      <c r="QKD44" s="25"/>
      <c r="QKK44" s="21"/>
      <c r="QKL44" s="21"/>
      <c r="QKP44" s="15"/>
      <c r="QKV44" s="25"/>
      <c r="QLC44" s="21"/>
      <c r="QLD44" s="21"/>
      <c r="QLH44" s="15"/>
      <c r="QLN44" s="25"/>
      <c r="QLU44" s="21"/>
      <c r="QLV44" s="21"/>
      <c r="QLZ44" s="15"/>
      <c r="QMF44" s="25"/>
      <c r="QMM44" s="21"/>
      <c r="QMN44" s="21"/>
      <c r="QMR44" s="15"/>
      <c r="QMX44" s="25"/>
      <c r="QNE44" s="21"/>
      <c r="QNF44" s="21"/>
      <c r="QNJ44" s="15"/>
      <c r="QNP44" s="25"/>
      <c r="QNW44" s="21"/>
      <c r="QNX44" s="21"/>
      <c r="QOB44" s="15"/>
      <c r="QOH44" s="25"/>
      <c r="QOO44" s="21"/>
      <c r="QOP44" s="21"/>
      <c r="QOT44" s="15"/>
      <c r="QOZ44" s="25"/>
      <c r="QPG44" s="21"/>
      <c r="QPH44" s="21"/>
      <c r="QPL44" s="15"/>
      <c r="QPR44" s="25"/>
      <c r="QPY44" s="21"/>
      <c r="QPZ44" s="21"/>
      <c r="QQD44" s="15"/>
      <c r="QQJ44" s="25"/>
      <c r="QQQ44" s="21"/>
      <c r="QQR44" s="21"/>
      <c r="QQV44" s="15"/>
      <c r="QRB44" s="25"/>
      <c r="QRI44" s="21"/>
      <c r="QRJ44" s="21"/>
      <c r="QRN44" s="15"/>
      <c r="QRT44" s="25"/>
      <c r="QSA44" s="21"/>
      <c r="QSB44" s="21"/>
      <c r="QSF44" s="15"/>
      <c r="QSL44" s="25"/>
      <c r="QSS44" s="21"/>
      <c r="QST44" s="21"/>
      <c r="QSX44" s="15"/>
      <c r="QTD44" s="25"/>
      <c r="QTK44" s="21"/>
      <c r="QTL44" s="21"/>
      <c r="QTP44" s="15"/>
      <c r="QTV44" s="25"/>
      <c r="QUC44" s="21"/>
      <c r="QUD44" s="21"/>
      <c r="QUH44" s="15"/>
      <c r="QUN44" s="25"/>
      <c r="QUU44" s="21"/>
      <c r="QUV44" s="21"/>
      <c r="QUZ44" s="15"/>
      <c r="QVF44" s="25"/>
      <c r="QVM44" s="21"/>
      <c r="QVN44" s="21"/>
      <c r="QVR44" s="15"/>
      <c r="QVX44" s="25"/>
      <c r="QWE44" s="21"/>
      <c r="QWF44" s="21"/>
      <c r="QWJ44" s="15"/>
      <c r="QWP44" s="25"/>
      <c r="QWW44" s="21"/>
      <c r="QWX44" s="21"/>
      <c r="QXB44" s="15"/>
      <c r="QXH44" s="25"/>
      <c r="QXO44" s="21"/>
      <c r="QXP44" s="21"/>
      <c r="QXT44" s="15"/>
      <c r="QXZ44" s="25"/>
      <c r="QYG44" s="21"/>
      <c r="QYH44" s="21"/>
      <c r="QYL44" s="15"/>
      <c r="QYR44" s="25"/>
      <c r="QYY44" s="21"/>
      <c r="QYZ44" s="21"/>
      <c r="QZD44" s="15"/>
      <c r="QZJ44" s="25"/>
      <c r="QZQ44" s="21"/>
      <c r="QZR44" s="21"/>
      <c r="QZV44" s="15"/>
      <c r="RAB44" s="25"/>
      <c r="RAI44" s="21"/>
      <c r="RAJ44" s="21"/>
      <c r="RAN44" s="15"/>
      <c r="RAT44" s="25"/>
      <c r="RBA44" s="21"/>
      <c r="RBB44" s="21"/>
      <c r="RBF44" s="15"/>
      <c r="RBL44" s="25"/>
      <c r="RBS44" s="21"/>
      <c r="RBT44" s="21"/>
      <c r="RBX44" s="15"/>
      <c r="RCD44" s="25"/>
      <c r="RCK44" s="21"/>
      <c r="RCL44" s="21"/>
      <c r="RCP44" s="15"/>
      <c r="RCV44" s="25"/>
      <c r="RDC44" s="21"/>
      <c r="RDD44" s="21"/>
      <c r="RDH44" s="15"/>
      <c r="RDN44" s="25"/>
      <c r="RDU44" s="21"/>
      <c r="RDV44" s="21"/>
      <c r="RDZ44" s="15"/>
      <c r="REF44" s="25"/>
      <c r="REM44" s="21"/>
      <c r="REN44" s="21"/>
      <c r="RER44" s="15"/>
      <c r="REX44" s="25"/>
      <c r="RFE44" s="21"/>
      <c r="RFF44" s="21"/>
      <c r="RFJ44" s="15"/>
      <c r="RFP44" s="25"/>
      <c r="RFW44" s="21"/>
      <c r="RFX44" s="21"/>
      <c r="RGB44" s="15"/>
      <c r="RGH44" s="25"/>
      <c r="RGO44" s="21"/>
      <c r="RGP44" s="21"/>
      <c r="RGT44" s="15"/>
      <c r="RGZ44" s="25"/>
      <c r="RHG44" s="21"/>
      <c r="RHH44" s="21"/>
      <c r="RHL44" s="15"/>
      <c r="RHR44" s="25"/>
      <c r="RHY44" s="21"/>
      <c r="RHZ44" s="21"/>
      <c r="RID44" s="15"/>
      <c r="RIJ44" s="25"/>
      <c r="RIQ44" s="21"/>
      <c r="RIR44" s="21"/>
      <c r="RIV44" s="15"/>
      <c r="RJB44" s="25"/>
      <c r="RJI44" s="21"/>
      <c r="RJJ44" s="21"/>
      <c r="RJN44" s="15"/>
      <c r="RJT44" s="25"/>
      <c r="RKA44" s="21"/>
      <c r="RKB44" s="21"/>
      <c r="RKF44" s="15"/>
      <c r="RKL44" s="25"/>
      <c r="RKS44" s="21"/>
      <c r="RKT44" s="21"/>
      <c r="RKX44" s="15"/>
      <c r="RLD44" s="25"/>
      <c r="RLK44" s="21"/>
      <c r="RLL44" s="21"/>
      <c r="RLP44" s="15"/>
      <c r="RLV44" s="25"/>
      <c r="RMC44" s="21"/>
      <c r="RMD44" s="21"/>
      <c r="RMH44" s="15"/>
      <c r="RMN44" s="25"/>
      <c r="RMU44" s="21"/>
      <c r="RMV44" s="21"/>
      <c r="RMZ44" s="15"/>
      <c r="RNF44" s="25"/>
      <c r="RNM44" s="21"/>
      <c r="RNN44" s="21"/>
      <c r="RNR44" s="15"/>
      <c r="RNX44" s="25"/>
      <c r="ROE44" s="21"/>
      <c r="ROF44" s="21"/>
      <c r="ROJ44" s="15"/>
      <c r="ROP44" s="25"/>
      <c r="ROW44" s="21"/>
      <c r="ROX44" s="21"/>
      <c r="RPB44" s="15"/>
      <c r="RPH44" s="25"/>
      <c r="RPO44" s="21"/>
      <c r="RPP44" s="21"/>
      <c r="RPT44" s="15"/>
      <c r="RPZ44" s="25"/>
      <c r="RQG44" s="21"/>
      <c r="RQH44" s="21"/>
      <c r="RQL44" s="15"/>
      <c r="RQR44" s="25"/>
      <c r="RQY44" s="21"/>
      <c r="RQZ44" s="21"/>
      <c r="RRD44" s="15"/>
      <c r="RRJ44" s="25"/>
      <c r="RRQ44" s="21"/>
      <c r="RRR44" s="21"/>
      <c r="RRV44" s="15"/>
      <c r="RSB44" s="25"/>
      <c r="RSI44" s="21"/>
      <c r="RSJ44" s="21"/>
      <c r="RSN44" s="15"/>
      <c r="RST44" s="25"/>
      <c r="RTA44" s="21"/>
      <c r="RTB44" s="21"/>
      <c r="RTF44" s="15"/>
      <c r="RTL44" s="25"/>
      <c r="RTS44" s="21"/>
      <c r="RTT44" s="21"/>
      <c r="RTX44" s="15"/>
      <c r="RUD44" s="25"/>
      <c r="RUK44" s="21"/>
      <c r="RUL44" s="21"/>
      <c r="RUP44" s="15"/>
      <c r="RUV44" s="25"/>
      <c r="RVC44" s="21"/>
      <c r="RVD44" s="21"/>
      <c r="RVH44" s="15"/>
      <c r="RVN44" s="25"/>
      <c r="RVU44" s="21"/>
      <c r="RVV44" s="21"/>
      <c r="RVZ44" s="15"/>
      <c r="RWF44" s="25"/>
      <c r="RWM44" s="21"/>
      <c r="RWN44" s="21"/>
      <c r="RWR44" s="15"/>
      <c r="RWX44" s="25"/>
      <c r="RXE44" s="21"/>
      <c r="RXF44" s="21"/>
      <c r="RXJ44" s="15"/>
      <c r="RXP44" s="25"/>
      <c r="RXW44" s="21"/>
      <c r="RXX44" s="21"/>
      <c r="RYB44" s="15"/>
      <c r="RYH44" s="25"/>
      <c r="RYO44" s="21"/>
      <c r="RYP44" s="21"/>
      <c r="RYT44" s="15"/>
      <c r="RYZ44" s="25"/>
      <c r="RZG44" s="21"/>
      <c r="RZH44" s="21"/>
      <c r="RZL44" s="15"/>
      <c r="RZR44" s="25"/>
      <c r="RZY44" s="21"/>
      <c r="RZZ44" s="21"/>
      <c r="SAD44" s="15"/>
      <c r="SAJ44" s="25"/>
      <c r="SAQ44" s="21"/>
      <c r="SAR44" s="21"/>
      <c r="SAV44" s="15"/>
      <c r="SBB44" s="25"/>
      <c r="SBI44" s="21"/>
      <c r="SBJ44" s="21"/>
      <c r="SBN44" s="15"/>
      <c r="SBT44" s="25"/>
      <c r="SCA44" s="21"/>
      <c r="SCB44" s="21"/>
      <c r="SCF44" s="15"/>
      <c r="SCL44" s="25"/>
      <c r="SCS44" s="21"/>
      <c r="SCT44" s="21"/>
      <c r="SCX44" s="15"/>
      <c r="SDD44" s="25"/>
      <c r="SDK44" s="21"/>
      <c r="SDL44" s="21"/>
      <c r="SDP44" s="15"/>
      <c r="SDV44" s="25"/>
      <c r="SEC44" s="21"/>
      <c r="SED44" s="21"/>
      <c r="SEH44" s="15"/>
      <c r="SEN44" s="25"/>
      <c r="SEU44" s="21"/>
      <c r="SEV44" s="21"/>
      <c r="SEZ44" s="15"/>
      <c r="SFF44" s="25"/>
      <c r="SFM44" s="21"/>
      <c r="SFN44" s="21"/>
      <c r="SFR44" s="15"/>
      <c r="SFX44" s="25"/>
      <c r="SGE44" s="21"/>
      <c r="SGF44" s="21"/>
      <c r="SGJ44" s="15"/>
      <c r="SGP44" s="25"/>
      <c r="SGW44" s="21"/>
      <c r="SGX44" s="21"/>
      <c r="SHB44" s="15"/>
      <c r="SHH44" s="25"/>
      <c r="SHO44" s="21"/>
      <c r="SHP44" s="21"/>
      <c r="SHT44" s="15"/>
      <c r="SHZ44" s="25"/>
      <c r="SIG44" s="21"/>
      <c r="SIH44" s="21"/>
      <c r="SIL44" s="15"/>
      <c r="SIR44" s="25"/>
      <c r="SIY44" s="21"/>
      <c r="SIZ44" s="21"/>
      <c r="SJD44" s="15"/>
      <c r="SJJ44" s="25"/>
      <c r="SJQ44" s="21"/>
      <c r="SJR44" s="21"/>
      <c r="SJV44" s="15"/>
      <c r="SKB44" s="25"/>
      <c r="SKI44" s="21"/>
      <c r="SKJ44" s="21"/>
      <c r="SKN44" s="15"/>
      <c r="SKT44" s="25"/>
      <c r="SLA44" s="21"/>
      <c r="SLB44" s="21"/>
      <c r="SLF44" s="15"/>
      <c r="SLL44" s="25"/>
      <c r="SLS44" s="21"/>
      <c r="SLT44" s="21"/>
      <c r="SLX44" s="15"/>
      <c r="SMD44" s="25"/>
      <c r="SMK44" s="21"/>
      <c r="SML44" s="21"/>
      <c r="SMP44" s="15"/>
      <c r="SMV44" s="25"/>
      <c r="SNC44" s="21"/>
      <c r="SND44" s="21"/>
      <c r="SNH44" s="15"/>
      <c r="SNN44" s="25"/>
      <c r="SNU44" s="21"/>
      <c r="SNV44" s="21"/>
      <c r="SNZ44" s="15"/>
      <c r="SOF44" s="25"/>
      <c r="SOM44" s="21"/>
      <c r="SON44" s="21"/>
      <c r="SOR44" s="15"/>
      <c r="SOX44" s="25"/>
      <c r="SPE44" s="21"/>
      <c r="SPF44" s="21"/>
      <c r="SPJ44" s="15"/>
      <c r="SPP44" s="25"/>
      <c r="SPW44" s="21"/>
      <c r="SPX44" s="21"/>
      <c r="SQB44" s="15"/>
      <c r="SQH44" s="25"/>
      <c r="SQO44" s="21"/>
      <c r="SQP44" s="21"/>
      <c r="SQT44" s="15"/>
      <c r="SQZ44" s="25"/>
      <c r="SRG44" s="21"/>
      <c r="SRH44" s="21"/>
      <c r="SRL44" s="15"/>
      <c r="SRR44" s="25"/>
      <c r="SRY44" s="21"/>
      <c r="SRZ44" s="21"/>
      <c r="SSD44" s="15"/>
      <c r="SSJ44" s="25"/>
      <c r="SSQ44" s="21"/>
      <c r="SSR44" s="21"/>
      <c r="SSV44" s="15"/>
      <c r="STB44" s="25"/>
      <c r="STI44" s="21"/>
      <c r="STJ44" s="21"/>
      <c r="STN44" s="15"/>
      <c r="STT44" s="25"/>
      <c r="SUA44" s="21"/>
      <c r="SUB44" s="21"/>
      <c r="SUF44" s="15"/>
      <c r="SUL44" s="25"/>
      <c r="SUS44" s="21"/>
      <c r="SUT44" s="21"/>
      <c r="SUX44" s="15"/>
      <c r="SVD44" s="25"/>
      <c r="SVK44" s="21"/>
      <c r="SVL44" s="21"/>
      <c r="SVP44" s="15"/>
      <c r="SVV44" s="25"/>
      <c r="SWC44" s="21"/>
      <c r="SWD44" s="21"/>
      <c r="SWH44" s="15"/>
      <c r="SWN44" s="25"/>
      <c r="SWU44" s="21"/>
      <c r="SWV44" s="21"/>
      <c r="SWZ44" s="15"/>
      <c r="SXF44" s="25"/>
      <c r="SXM44" s="21"/>
      <c r="SXN44" s="21"/>
      <c r="SXR44" s="15"/>
      <c r="SXX44" s="25"/>
      <c r="SYE44" s="21"/>
      <c r="SYF44" s="21"/>
      <c r="SYJ44" s="15"/>
      <c r="SYP44" s="25"/>
      <c r="SYW44" s="21"/>
      <c r="SYX44" s="21"/>
      <c r="SZB44" s="15"/>
      <c r="SZH44" s="25"/>
      <c r="SZO44" s="21"/>
      <c r="SZP44" s="21"/>
      <c r="SZT44" s="15"/>
      <c r="SZZ44" s="25"/>
      <c r="TAG44" s="21"/>
      <c r="TAH44" s="21"/>
      <c r="TAL44" s="15"/>
      <c r="TAR44" s="25"/>
      <c r="TAY44" s="21"/>
      <c r="TAZ44" s="21"/>
      <c r="TBD44" s="15"/>
      <c r="TBJ44" s="25"/>
      <c r="TBQ44" s="21"/>
      <c r="TBR44" s="21"/>
      <c r="TBV44" s="15"/>
      <c r="TCB44" s="25"/>
      <c r="TCI44" s="21"/>
      <c r="TCJ44" s="21"/>
      <c r="TCN44" s="15"/>
      <c r="TCT44" s="25"/>
      <c r="TDA44" s="21"/>
      <c r="TDB44" s="21"/>
      <c r="TDF44" s="15"/>
      <c r="TDL44" s="25"/>
      <c r="TDS44" s="21"/>
      <c r="TDT44" s="21"/>
      <c r="TDX44" s="15"/>
      <c r="TED44" s="25"/>
      <c r="TEK44" s="21"/>
      <c r="TEL44" s="21"/>
      <c r="TEP44" s="15"/>
      <c r="TEV44" s="25"/>
      <c r="TFC44" s="21"/>
      <c r="TFD44" s="21"/>
      <c r="TFH44" s="15"/>
      <c r="TFN44" s="25"/>
      <c r="TFU44" s="21"/>
      <c r="TFV44" s="21"/>
      <c r="TFZ44" s="15"/>
      <c r="TGF44" s="25"/>
      <c r="TGM44" s="21"/>
      <c r="TGN44" s="21"/>
      <c r="TGR44" s="15"/>
      <c r="TGX44" s="25"/>
      <c r="THE44" s="21"/>
      <c r="THF44" s="21"/>
      <c r="THJ44" s="15"/>
      <c r="THP44" s="25"/>
      <c r="THW44" s="21"/>
      <c r="THX44" s="21"/>
      <c r="TIB44" s="15"/>
      <c r="TIH44" s="25"/>
      <c r="TIO44" s="21"/>
      <c r="TIP44" s="21"/>
      <c r="TIT44" s="15"/>
      <c r="TIZ44" s="25"/>
      <c r="TJG44" s="21"/>
      <c r="TJH44" s="21"/>
      <c r="TJL44" s="15"/>
      <c r="TJR44" s="25"/>
      <c r="TJY44" s="21"/>
      <c r="TJZ44" s="21"/>
      <c r="TKD44" s="15"/>
      <c r="TKJ44" s="25"/>
      <c r="TKQ44" s="21"/>
      <c r="TKR44" s="21"/>
      <c r="TKV44" s="15"/>
      <c r="TLB44" s="25"/>
      <c r="TLI44" s="21"/>
      <c r="TLJ44" s="21"/>
      <c r="TLN44" s="15"/>
      <c r="TLT44" s="25"/>
      <c r="TMA44" s="21"/>
      <c r="TMB44" s="21"/>
      <c r="TMF44" s="15"/>
      <c r="TML44" s="25"/>
      <c r="TMS44" s="21"/>
      <c r="TMT44" s="21"/>
      <c r="TMX44" s="15"/>
      <c r="TND44" s="25"/>
      <c r="TNK44" s="21"/>
      <c r="TNL44" s="21"/>
      <c r="TNP44" s="15"/>
      <c r="TNV44" s="25"/>
      <c r="TOC44" s="21"/>
      <c r="TOD44" s="21"/>
      <c r="TOH44" s="15"/>
      <c r="TON44" s="25"/>
      <c r="TOU44" s="21"/>
      <c r="TOV44" s="21"/>
      <c r="TOZ44" s="15"/>
      <c r="TPF44" s="25"/>
      <c r="TPM44" s="21"/>
      <c r="TPN44" s="21"/>
      <c r="TPR44" s="15"/>
      <c r="TPX44" s="25"/>
      <c r="TQE44" s="21"/>
      <c r="TQF44" s="21"/>
      <c r="TQJ44" s="15"/>
      <c r="TQP44" s="25"/>
      <c r="TQW44" s="21"/>
      <c r="TQX44" s="21"/>
      <c r="TRB44" s="15"/>
      <c r="TRH44" s="25"/>
      <c r="TRO44" s="21"/>
      <c r="TRP44" s="21"/>
      <c r="TRT44" s="15"/>
      <c r="TRZ44" s="25"/>
      <c r="TSG44" s="21"/>
      <c r="TSH44" s="21"/>
      <c r="TSL44" s="15"/>
      <c r="TSR44" s="25"/>
      <c r="TSY44" s="21"/>
      <c r="TSZ44" s="21"/>
      <c r="TTD44" s="15"/>
      <c r="TTJ44" s="25"/>
      <c r="TTQ44" s="21"/>
      <c r="TTR44" s="21"/>
      <c r="TTV44" s="15"/>
      <c r="TUB44" s="25"/>
      <c r="TUI44" s="21"/>
      <c r="TUJ44" s="21"/>
      <c r="TUN44" s="15"/>
      <c r="TUT44" s="25"/>
      <c r="TVA44" s="21"/>
      <c r="TVB44" s="21"/>
      <c r="TVF44" s="15"/>
      <c r="TVL44" s="25"/>
      <c r="TVS44" s="21"/>
      <c r="TVT44" s="21"/>
      <c r="TVX44" s="15"/>
      <c r="TWD44" s="25"/>
      <c r="TWK44" s="21"/>
      <c r="TWL44" s="21"/>
      <c r="TWP44" s="15"/>
      <c r="TWV44" s="25"/>
      <c r="TXC44" s="21"/>
      <c r="TXD44" s="21"/>
      <c r="TXH44" s="15"/>
      <c r="TXN44" s="25"/>
      <c r="TXU44" s="21"/>
      <c r="TXV44" s="21"/>
      <c r="TXZ44" s="15"/>
      <c r="TYF44" s="25"/>
      <c r="TYM44" s="21"/>
      <c r="TYN44" s="21"/>
      <c r="TYR44" s="15"/>
      <c r="TYX44" s="25"/>
      <c r="TZE44" s="21"/>
      <c r="TZF44" s="21"/>
      <c r="TZJ44" s="15"/>
      <c r="TZP44" s="25"/>
      <c r="TZW44" s="21"/>
      <c r="TZX44" s="21"/>
      <c r="UAB44" s="15"/>
      <c r="UAH44" s="25"/>
      <c r="UAO44" s="21"/>
      <c r="UAP44" s="21"/>
      <c r="UAT44" s="15"/>
      <c r="UAZ44" s="25"/>
      <c r="UBG44" s="21"/>
      <c r="UBH44" s="21"/>
      <c r="UBL44" s="15"/>
      <c r="UBR44" s="25"/>
      <c r="UBY44" s="21"/>
      <c r="UBZ44" s="21"/>
      <c r="UCD44" s="15"/>
      <c r="UCJ44" s="25"/>
      <c r="UCQ44" s="21"/>
      <c r="UCR44" s="21"/>
      <c r="UCV44" s="15"/>
      <c r="UDB44" s="25"/>
      <c r="UDI44" s="21"/>
      <c r="UDJ44" s="21"/>
      <c r="UDN44" s="15"/>
      <c r="UDT44" s="25"/>
      <c r="UEA44" s="21"/>
      <c r="UEB44" s="21"/>
      <c r="UEF44" s="15"/>
      <c r="UEL44" s="25"/>
      <c r="UES44" s="21"/>
      <c r="UET44" s="21"/>
      <c r="UEX44" s="15"/>
      <c r="UFD44" s="25"/>
      <c r="UFK44" s="21"/>
      <c r="UFL44" s="21"/>
      <c r="UFP44" s="15"/>
      <c r="UFV44" s="25"/>
      <c r="UGC44" s="21"/>
      <c r="UGD44" s="21"/>
      <c r="UGH44" s="15"/>
      <c r="UGN44" s="25"/>
      <c r="UGU44" s="21"/>
      <c r="UGV44" s="21"/>
      <c r="UGZ44" s="15"/>
      <c r="UHF44" s="25"/>
      <c r="UHM44" s="21"/>
      <c r="UHN44" s="21"/>
      <c r="UHR44" s="15"/>
      <c r="UHX44" s="25"/>
      <c r="UIE44" s="21"/>
      <c r="UIF44" s="21"/>
      <c r="UIJ44" s="15"/>
      <c r="UIP44" s="25"/>
      <c r="UIW44" s="21"/>
      <c r="UIX44" s="21"/>
      <c r="UJB44" s="15"/>
      <c r="UJH44" s="25"/>
      <c r="UJO44" s="21"/>
      <c r="UJP44" s="21"/>
      <c r="UJT44" s="15"/>
      <c r="UJZ44" s="25"/>
      <c r="UKG44" s="21"/>
      <c r="UKH44" s="21"/>
      <c r="UKL44" s="15"/>
      <c r="UKR44" s="25"/>
      <c r="UKY44" s="21"/>
      <c r="UKZ44" s="21"/>
      <c r="ULD44" s="15"/>
      <c r="ULJ44" s="25"/>
      <c r="ULQ44" s="21"/>
      <c r="ULR44" s="21"/>
      <c r="ULV44" s="15"/>
      <c r="UMB44" s="25"/>
      <c r="UMI44" s="21"/>
      <c r="UMJ44" s="21"/>
      <c r="UMN44" s="15"/>
      <c r="UMT44" s="25"/>
      <c r="UNA44" s="21"/>
      <c r="UNB44" s="21"/>
      <c r="UNF44" s="15"/>
      <c r="UNL44" s="25"/>
      <c r="UNS44" s="21"/>
      <c r="UNT44" s="21"/>
      <c r="UNX44" s="15"/>
      <c r="UOD44" s="25"/>
      <c r="UOK44" s="21"/>
      <c r="UOL44" s="21"/>
      <c r="UOP44" s="15"/>
      <c r="UOV44" s="25"/>
      <c r="UPC44" s="21"/>
      <c r="UPD44" s="21"/>
      <c r="UPH44" s="15"/>
      <c r="UPN44" s="25"/>
      <c r="UPU44" s="21"/>
      <c r="UPV44" s="21"/>
      <c r="UPZ44" s="15"/>
      <c r="UQF44" s="25"/>
      <c r="UQM44" s="21"/>
      <c r="UQN44" s="21"/>
      <c r="UQR44" s="15"/>
      <c r="UQX44" s="25"/>
      <c r="URE44" s="21"/>
      <c r="URF44" s="21"/>
      <c r="URJ44" s="15"/>
      <c r="URP44" s="25"/>
      <c r="URW44" s="21"/>
      <c r="URX44" s="21"/>
      <c r="USB44" s="15"/>
      <c r="USH44" s="25"/>
      <c r="USO44" s="21"/>
      <c r="USP44" s="21"/>
      <c r="UST44" s="15"/>
      <c r="USZ44" s="25"/>
      <c r="UTG44" s="21"/>
      <c r="UTH44" s="21"/>
      <c r="UTL44" s="15"/>
      <c r="UTR44" s="25"/>
      <c r="UTY44" s="21"/>
      <c r="UTZ44" s="21"/>
      <c r="UUD44" s="15"/>
      <c r="UUJ44" s="25"/>
      <c r="UUQ44" s="21"/>
      <c r="UUR44" s="21"/>
      <c r="UUV44" s="15"/>
      <c r="UVB44" s="25"/>
      <c r="UVI44" s="21"/>
      <c r="UVJ44" s="21"/>
      <c r="UVN44" s="15"/>
      <c r="UVT44" s="25"/>
      <c r="UWA44" s="21"/>
      <c r="UWB44" s="21"/>
      <c r="UWF44" s="15"/>
      <c r="UWL44" s="25"/>
      <c r="UWS44" s="21"/>
      <c r="UWT44" s="21"/>
      <c r="UWX44" s="15"/>
      <c r="UXD44" s="25"/>
      <c r="UXK44" s="21"/>
      <c r="UXL44" s="21"/>
      <c r="UXP44" s="15"/>
      <c r="UXV44" s="25"/>
      <c r="UYC44" s="21"/>
      <c r="UYD44" s="21"/>
      <c r="UYH44" s="15"/>
      <c r="UYN44" s="25"/>
      <c r="UYU44" s="21"/>
      <c r="UYV44" s="21"/>
      <c r="UYZ44" s="15"/>
      <c r="UZF44" s="25"/>
      <c r="UZM44" s="21"/>
      <c r="UZN44" s="21"/>
      <c r="UZR44" s="15"/>
      <c r="UZX44" s="25"/>
      <c r="VAE44" s="21"/>
      <c r="VAF44" s="21"/>
      <c r="VAJ44" s="15"/>
      <c r="VAP44" s="25"/>
      <c r="VAW44" s="21"/>
      <c r="VAX44" s="21"/>
      <c r="VBB44" s="15"/>
      <c r="VBH44" s="25"/>
      <c r="VBO44" s="21"/>
      <c r="VBP44" s="21"/>
      <c r="VBT44" s="15"/>
      <c r="VBZ44" s="25"/>
      <c r="VCG44" s="21"/>
      <c r="VCH44" s="21"/>
      <c r="VCL44" s="15"/>
      <c r="VCR44" s="25"/>
      <c r="VCY44" s="21"/>
      <c r="VCZ44" s="21"/>
      <c r="VDD44" s="15"/>
      <c r="VDJ44" s="25"/>
      <c r="VDQ44" s="21"/>
      <c r="VDR44" s="21"/>
      <c r="VDV44" s="15"/>
      <c r="VEB44" s="25"/>
      <c r="VEI44" s="21"/>
      <c r="VEJ44" s="21"/>
      <c r="VEN44" s="15"/>
      <c r="VET44" s="25"/>
      <c r="VFA44" s="21"/>
      <c r="VFB44" s="21"/>
      <c r="VFF44" s="15"/>
      <c r="VFL44" s="25"/>
      <c r="VFS44" s="21"/>
      <c r="VFT44" s="21"/>
      <c r="VFX44" s="15"/>
      <c r="VGD44" s="25"/>
      <c r="VGK44" s="21"/>
      <c r="VGL44" s="21"/>
      <c r="VGP44" s="15"/>
      <c r="VGV44" s="25"/>
      <c r="VHC44" s="21"/>
      <c r="VHD44" s="21"/>
      <c r="VHH44" s="15"/>
      <c r="VHN44" s="25"/>
      <c r="VHU44" s="21"/>
      <c r="VHV44" s="21"/>
      <c r="VHZ44" s="15"/>
      <c r="VIF44" s="25"/>
      <c r="VIM44" s="21"/>
      <c r="VIN44" s="21"/>
      <c r="VIR44" s="15"/>
      <c r="VIX44" s="25"/>
      <c r="VJE44" s="21"/>
      <c r="VJF44" s="21"/>
      <c r="VJJ44" s="15"/>
      <c r="VJP44" s="25"/>
      <c r="VJW44" s="21"/>
      <c r="VJX44" s="21"/>
      <c r="VKB44" s="15"/>
      <c r="VKH44" s="25"/>
      <c r="VKO44" s="21"/>
      <c r="VKP44" s="21"/>
      <c r="VKT44" s="15"/>
      <c r="VKZ44" s="25"/>
      <c r="VLG44" s="21"/>
      <c r="VLH44" s="21"/>
      <c r="VLL44" s="15"/>
      <c r="VLR44" s="25"/>
      <c r="VLY44" s="21"/>
      <c r="VLZ44" s="21"/>
      <c r="VMD44" s="15"/>
      <c r="VMJ44" s="25"/>
      <c r="VMQ44" s="21"/>
      <c r="VMR44" s="21"/>
      <c r="VMV44" s="15"/>
      <c r="VNB44" s="25"/>
      <c r="VNI44" s="21"/>
      <c r="VNJ44" s="21"/>
      <c r="VNN44" s="15"/>
      <c r="VNT44" s="25"/>
      <c r="VOA44" s="21"/>
      <c r="VOB44" s="21"/>
      <c r="VOF44" s="15"/>
      <c r="VOL44" s="25"/>
      <c r="VOS44" s="21"/>
      <c r="VOT44" s="21"/>
      <c r="VOX44" s="15"/>
      <c r="VPD44" s="25"/>
      <c r="VPK44" s="21"/>
      <c r="VPL44" s="21"/>
      <c r="VPP44" s="15"/>
      <c r="VPV44" s="25"/>
      <c r="VQC44" s="21"/>
      <c r="VQD44" s="21"/>
      <c r="VQH44" s="15"/>
      <c r="VQN44" s="25"/>
      <c r="VQU44" s="21"/>
      <c r="VQV44" s="21"/>
      <c r="VQZ44" s="15"/>
      <c r="VRF44" s="25"/>
      <c r="VRM44" s="21"/>
      <c r="VRN44" s="21"/>
      <c r="VRR44" s="15"/>
      <c r="VRX44" s="25"/>
      <c r="VSE44" s="21"/>
      <c r="VSF44" s="21"/>
      <c r="VSJ44" s="15"/>
      <c r="VSP44" s="25"/>
      <c r="VSW44" s="21"/>
      <c r="VSX44" s="21"/>
      <c r="VTB44" s="15"/>
      <c r="VTH44" s="25"/>
      <c r="VTO44" s="21"/>
      <c r="VTP44" s="21"/>
      <c r="VTT44" s="15"/>
      <c r="VTZ44" s="25"/>
      <c r="VUG44" s="21"/>
      <c r="VUH44" s="21"/>
      <c r="VUL44" s="15"/>
      <c r="VUR44" s="25"/>
      <c r="VUY44" s="21"/>
      <c r="VUZ44" s="21"/>
      <c r="VVD44" s="15"/>
      <c r="VVJ44" s="25"/>
      <c r="VVQ44" s="21"/>
      <c r="VVR44" s="21"/>
      <c r="VVV44" s="15"/>
      <c r="VWB44" s="25"/>
      <c r="VWI44" s="21"/>
      <c r="VWJ44" s="21"/>
      <c r="VWN44" s="15"/>
      <c r="VWT44" s="25"/>
      <c r="VXA44" s="21"/>
      <c r="VXB44" s="21"/>
      <c r="VXF44" s="15"/>
      <c r="VXL44" s="25"/>
      <c r="VXS44" s="21"/>
      <c r="VXT44" s="21"/>
      <c r="VXX44" s="15"/>
      <c r="VYD44" s="25"/>
      <c r="VYK44" s="21"/>
      <c r="VYL44" s="21"/>
      <c r="VYP44" s="15"/>
      <c r="VYV44" s="25"/>
      <c r="VZC44" s="21"/>
      <c r="VZD44" s="21"/>
      <c r="VZH44" s="15"/>
      <c r="VZN44" s="25"/>
      <c r="VZU44" s="21"/>
      <c r="VZV44" s="21"/>
      <c r="VZZ44" s="15"/>
      <c r="WAF44" s="25"/>
      <c r="WAM44" s="21"/>
      <c r="WAN44" s="21"/>
      <c r="WAR44" s="15"/>
      <c r="WAX44" s="25"/>
      <c r="WBE44" s="21"/>
      <c r="WBF44" s="21"/>
      <c r="WBJ44" s="15"/>
      <c r="WBP44" s="25"/>
      <c r="WBW44" s="21"/>
      <c r="WBX44" s="21"/>
      <c r="WCB44" s="15"/>
      <c r="WCH44" s="25"/>
      <c r="WCO44" s="21"/>
      <c r="WCP44" s="21"/>
      <c r="WCT44" s="15"/>
      <c r="WCZ44" s="25"/>
      <c r="WDG44" s="21"/>
      <c r="WDH44" s="21"/>
      <c r="WDL44" s="15"/>
      <c r="WDR44" s="25"/>
      <c r="WDY44" s="21"/>
      <c r="WDZ44" s="21"/>
      <c r="WED44" s="15"/>
      <c r="WEJ44" s="25"/>
      <c r="WEQ44" s="21"/>
      <c r="WER44" s="21"/>
      <c r="WEV44" s="15"/>
      <c r="WFB44" s="25"/>
      <c r="WFI44" s="21"/>
      <c r="WFJ44" s="21"/>
      <c r="WFN44" s="15"/>
      <c r="WFT44" s="25"/>
      <c r="WGA44" s="21"/>
      <c r="WGB44" s="21"/>
      <c r="WGF44" s="15"/>
      <c r="WGL44" s="25"/>
      <c r="WGS44" s="21"/>
      <c r="WGT44" s="21"/>
      <c r="WGX44" s="15"/>
      <c r="WHD44" s="25"/>
      <c r="WHK44" s="21"/>
      <c r="WHL44" s="21"/>
      <c r="WHP44" s="15"/>
      <c r="WHV44" s="25"/>
      <c r="WIC44" s="21"/>
      <c r="WID44" s="21"/>
      <c r="WIH44" s="15"/>
      <c r="WIN44" s="25"/>
      <c r="WIU44" s="21"/>
      <c r="WIV44" s="21"/>
      <c r="WIZ44" s="15"/>
      <c r="WJF44" s="25"/>
      <c r="WJM44" s="21"/>
      <c r="WJN44" s="21"/>
      <c r="WJR44" s="15"/>
      <c r="WJX44" s="25"/>
      <c r="WKE44" s="21"/>
      <c r="WKF44" s="21"/>
      <c r="WKJ44" s="15"/>
      <c r="WKP44" s="25"/>
      <c r="WKW44" s="21"/>
      <c r="WKX44" s="21"/>
      <c r="WLB44" s="15"/>
      <c r="WLH44" s="25"/>
      <c r="WLO44" s="21"/>
      <c r="WLP44" s="21"/>
      <c r="WLT44" s="15"/>
      <c r="WLZ44" s="25"/>
      <c r="WMG44" s="21"/>
      <c r="WMH44" s="21"/>
      <c r="WML44" s="15"/>
      <c r="WMR44" s="25"/>
      <c r="WMY44" s="21"/>
      <c r="WMZ44" s="21"/>
      <c r="WND44" s="15"/>
      <c r="WNJ44" s="25"/>
      <c r="WNQ44" s="21"/>
      <c r="WNR44" s="21"/>
      <c r="WNV44" s="15"/>
      <c r="WOB44" s="25"/>
      <c r="WOI44" s="21"/>
      <c r="WOJ44" s="21"/>
      <c r="WON44" s="15"/>
      <c r="WOT44" s="25"/>
      <c r="WPA44" s="21"/>
      <c r="WPB44" s="21"/>
      <c r="WPF44" s="15"/>
      <c r="WPL44" s="25"/>
      <c r="WPS44" s="21"/>
      <c r="WPT44" s="21"/>
      <c r="WPX44" s="15"/>
      <c r="WQD44" s="25"/>
      <c r="WQK44" s="21"/>
      <c r="WQL44" s="21"/>
      <c r="WQP44" s="15"/>
      <c r="WQV44" s="25"/>
      <c r="WRC44" s="21"/>
      <c r="WRD44" s="21"/>
      <c r="WRH44" s="15"/>
      <c r="WRN44" s="25"/>
      <c r="WRU44" s="21"/>
      <c r="WRV44" s="21"/>
      <c r="WRZ44" s="15"/>
      <c r="WSF44" s="25"/>
      <c r="WSM44" s="21"/>
      <c r="WSN44" s="21"/>
      <c r="WSR44" s="15"/>
      <c r="WSX44" s="25"/>
      <c r="WTE44" s="21"/>
      <c r="WTF44" s="21"/>
      <c r="WTJ44" s="15"/>
      <c r="WTP44" s="25"/>
      <c r="WTW44" s="21"/>
      <c r="WTX44" s="21"/>
      <c r="WUB44" s="15"/>
      <c r="WUH44" s="25"/>
      <c r="WUO44" s="21"/>
      <c r="WUP44" s="21"/>
      <c r="WUT44" s="15"/>
      <c r="WUZ44" s="25"/>
      <c r="WVG44" s="21"/>
      <c r="WVH44" s="21"/>
      <c r="WVL44" s="15"/>
      <c r="WVR44" s="25"/>
      <c r="WVY44" s="21"/>
      <c r="WVZ44" s="21"/>
      <c r="WWD44" s="15"/>
      <c r="WWJ44" s="25"/>
      <c r="WWQ44" s="21"/>
      <c r="WWR44" s="21"/>
      <c r="WWV44" s="15"/>
      <c r="WXB44" s="25"/>
      <c r="WXI44" s="21"/>
      <c r="WXJ44" s="21"/>
      <c r="WXN44" s="15"/>
      <c r="WXT44" s="25"/>
      <c r="WYA44" s="21"/>
      <c r="WYB44" s="21"/>
      <c r="WYF44" s="15"/>
      <c r="WYL44" s="25"/>
      <c r="WYS44" s="21"/>
      <c r="WYT44" s="21"/>
      <c r="WYX44" s="15"/>
      <c r="WZD44" s="25"/>
      <c r="WZK44" s="21"/>
      <c r="WZL44" s="21"/>
      <c r="WZP44" s="15"/>
      <c r="WZV44" s="25"/>
      <c r="XAC44" s="21"/>
      <c r="XAD44" s="21"/>
      <c r="XAH44" s="15"/>
      <c r="XAN44" s="25"/>
      <c r="XAU44" s="21"/>
      <c r="XAV44" s="21"/>
      <c r="XAZ44" s="15"/>
      <c r="XBF44" s="25"/>
      <c r="XBM44" s="21"/>
      <c r="XBN44" s="21"/>
      <c r="XBR44" s="15"/>
      <c r="XBX44" s="25"/>
      <c r="XCE44" s="21"/>
      <c r="XCF44" s="21"/>
      <c r="XCJ44" s="15"/>
      <c r="XCP44" s="25"/>
      <c r="XCW44" s="21"/>
      <c r="XCX44" s="21"/>
      <c r="XDB44" s="15"/>
      <c r="XDH44" s="25"/>
      <c r="XDO44" s="21"/>
      <c r="XDP44" s="21"/>
      <c r="XDT44" s="15"/>
      <c r="XDZ44" s="25"/>
      <c r="XEG44" s="21"/>
      <c r="XEH44" s="21"/>
      <c r="XEL44" s="15"/>
      <c r="XER44" s="25"/>
      <c r="XEY44" s="21"/>
      <c r="XEZ44" s="21"/>
      <c r="XFD44" s="15"/>
    </row>
    <row r="45" spans="1:1018 1025:2044 2051:3070 3077:4096 4103:5116 5122:6142 6148:7168 7174:8190 8194:9216 9220:10234 10241:11260 11267:12286 12293:13312 13319:14332 14338:15358 15364:16384" s="24" customFormat="1">
      <c r="A45" s="21" t="s">
        <v>142</v>
      </c>
      <c r="B45" s="12">
        <v>2009</v>
      </c>
      <c r="C45" s="19" t="s">
        <v>138</v>
      </c>
      <c r="D45" s="22" t="s">
        <v>86</v>
      </c>
      <c r="E45" s="43" t="s">
        <v>31</v>
      </c>
      <c r="F45" s="19" t="s">
        <v>35</v>
      </c>
      <c r="G45" s="20">
        <v>614882373</v>
      </c>
      <c r="H45" s="20">
        <v>638651484</v>
      </c>
      <c r="I45" s="12">
        <v>9</v>
      </c>
      <c r="J45" s="52" t="s">
        <v>143</v>
      </c>
      <c r="K45" s="22"/>
      <c r="L45" s="22"/>
      <c r="M45" s="22" t="s">
        <v>26</v>
      </c>
      <c r="N45" s="12"/>
      <c r="O45" s="22"/>
      <c r="P45" s="12"/>
      <c r="Q45" s="22"/>
      <c r="R45" s="22"/>
      <c r="V45" s="15"/>
      <c r="AB45" s="25"/>
      <c r="AI45" s="21"/>
      <c r="AJ45" s="21"/>
      <c r="AN45" s="15"/>
      <c r="AT45" s="25"/>
      <c r="BA45" s="21"/>
      <c r="BB45" s="21"/>
      <c r="BF45" s="15"/>
      <c r="BL45" s="25"/>
      <c r="BS45" s="21"/>
      <c r="BT45" s="21"/>
      <c r="BX45" s="15"/>
      <c r="CD45" s="25"/>
      <c r="CK45" s="21"/>
      <c r="CL45" s="21"/>
      <c r="CP45" s="15"/>
      <c r="CV45" s="25"/>
      <c r="DC45" s="21"/>
      <c r="DD45" s="21"/>
      <c r="DH45" s="15"/>
      <c r="DN45" s="25"/>
      <c r="DU45" s="21"/>
      <c r="DV45" s="21"/>
      <c r="DZ45" s="15"/>
      <c r="EF45" s="25"/>
      <c r="EM45" s="21"/>
      <c r="EN45" s="21"/>
      <c r="ER45" s="15"/>
      <c r="EX45" s="25"/>
      <c r="FE45" s="21"/>
      <c r="FF45" s="21"/>
      <c r="FJ45" s="15"/>
      <c r="FP45" s="25"/>
      <c r="FW45" s="21"/>
      <c r="FX45" s="21"/>
      <c r="GB45" s="15"/>
      <c r="GH45" s="25"/>
      <c r="GO45" s="21"/>
      <c r="GP45" s="21"/>
      <c r="GT45" s="15"/>
      <c r="GZ45" s="25"/>
      <c r="HG45" s="21"/>
      <c r="HH45" s="21"/>
      <c r="HL45" s="15"/>
      <c r="HR45" s="25"/>
      <c r="HY45" s="21"/>
      <c r="HZ45" s="21"/>
      <c r="ID45" s="15"/>
      <c r="IJ45" s="25"/>
      <c r="IQ45" s="21"/>
      <c r="IR45" s="21"/>
      <c r="IV45" s="15"/>
      <c r="JB45" s="25"/>
      <c r="JI45" s="21"/>
      <c r="JJ45" s="21"/>
      <c r="JN45" s="15"/>
      <c r="JT45" s="25"/>
      <c r="KA45" s="21"/>
      <c r="KB45" s="21"/>
      <c r="KF45" s="15"/>
      <c r="KL45" s="25"/>
      <c r="KS45" s="21"/>
      <c r="KT45" s="21"/>
      <c r="KX45" s="15"/>
      <c r="LD45" s="25"/>
      <c r="LK45" s="21"/>
      <c r="LL45" s="21"/>
      <c r="LP45" s="15"/>
      <c r="LV45" s="25"/>
      <c r="MC45" s="21"/>
      <c r="MD45" s="21"/>
      <c r="MH45" s="15"/>
      <c r="MN45" s="25"/>
      <c r="MU45" s="21"/>
      <c r="MV45" s="21"/>
      <c r="MZ45" s="15"/>
      <c r="NF45" s="25"/>
      <c r="NM45" s="21"/>
      <c r="NN45" s="21"/>
      <c r="NR45" s="15"/>
      <c r="NX45" s="25"/>
      <c r="OE45" s="21"/>
      <c r="OF45" s="21"/>
      <c r="OJ45" s="15"/>
      <c r="OP45" s="25"/>
      <c r="OW45" s="21"/>
      <c r="OX45" s="21"/>
      <c r="PB45" s="15"/>
      <c r="PH45" s="25"/>
      <c r="PO45" s="21"/>
      <c r="PP45" s="21"/>
      <c r="PT45" s="15"/>
      <c r="PZ45" s="25"/>
      <c r="QG45" s="21"/>
      <c r="QH45" s="21"/>
      <c r="QL45" s="15"/>
      <c r="QR45" s="25"/>
      <c r="QY45" s="21"/>
      <c r="QZ45" s="21"/>
      <c r="RD45" s="15"/>
      <c r="RJ45" s="25"/>
      <c r="RQ45" s="21"/>
      <c r="RR45" s="21"/>
      <c r="RV45" s="15"/>
      <c r="SB45" s="25"/>
      <c r="SI45" s="21"/>
      <c r="SJ45" s="21"/>
      <c r="SN45" s="15"/>
      <c r="ST45" s="25"/>
      <c r="TA45" s="21"/>
      <c r="TB45" s="21"/>
      <c r="TF45" s="15"/>
      <c r="TL45" s="25"/>
      <c r="TS45" s="21"/>
      <c r="TT45" s="21"/>
      <c r="TX45" s="15"/>
      <c r="UD45" s="25"/>
      <c r="UK45" s="21"/>
      <c r="UL45" s="21"/>
      <c r="UP45" s="15"/>
      <c r="UV45" s="25"/>
      <c r="VC45" s="21"/>
      <c r="VD45" s="21"/>
      <c r="VH45" s="15"/>
      <c r="VN45" s="25"/>
      <c r="VU45" s="21"/>
      <c r="VV45" s="21"/>
      <c r="VZ45" s="15"/>
      <c r="WF45" s="25"/>
      <c r="WM45" s="21"/>
      <c r="WN45" s="21"/>
      <c r="WR45" s="15"/>
      <c r="WX45" s="25"/>
      <c r="XE45" s="21"/>
      <c r="XF45" s="21"/>
      <c r="XJ45" s="15"/>
      <c r="XP45" s="25"/>
      <c r="XW45" s="21"/>
      <c r="XX45" s="21"/>
      <c r="YB45" s="15"/>
      <c r="YH45" s="25"/>
      <c r="YO45" s="21"/>
      <c r="YP45" s="21"/>
      <c r="YT45" s="15"/>
      <c r="YZ45" s="25"/>
      <c r="ZG45" s="21"/>
      <c r="ZH45" s="21"/>
      <c r="ZL45" s="15"/>
      <c r="ZR45" s="25"/>
      <c r="ZY45" s="21"/>
      <c r="ZZ45" s="21"/>
      <c r="AAD45" s="15"/>
      <c r="AAJ45" s="25"/>
      <c r="AAQ45" s="21"/>
      <c r="AAR45" s="21"/>
      <c r="AAV45" s="15"/>
      <c r="ABB45" s="25"/>
      <c r="ABI45" s="21"/>
      <c r="ABJ45" s="21"/>
      <c r="ABN45" s="15"/>
      <c r="ABT45" s="25"/>
      <c r="ACA45" s="21"/>
      <c r="ACB45" s="21"/>
      <c r="ACF45" s="15"/>
      <c r="ACL45" s="25"/>
      <c r="ACS45" s="21"/>
      <c r="ACT45" s="21"/>
      <c r="ACX45" s="15"/>
      <c r="ADD45" s="25"/>
      <c r="ADK45" s="21"/>
      <c r="ADL45" s="21"/>
      <c r="ADP45" s="15"/>
      <c r="ADV45" s="25"/>
      <c r="AEC45" s="21"/>
      <c r="AED45" s="21"/>
      <c r="AEH45" s="15"/>
      <c r="AEN45" s="25"/>
      <c r="AEU45" s="21"/>
      <c r="AEV45" s="21"/>
      <c r="AEZ45" s="15"/>
      <c r="AFF45" s="25"/>
      <c r="AFM45" s="21"/>
      <c r="AFN45" s="21"/>
      <c r="AFR45" s="15"/>
      <c r="AFX45" s="25"/>
      <c r="AGE45" s="21"/>
      <c r="AGF45" s="21"/>
      <c r="AGJ45" s="15"/>
      <c r="AGP45" s="25"/>
      <c r="AGW45" s="21"/>
      <c r="AGX45" s="21"/>
      <c r="AHB45" s="15"/>
      <c r="AHH45" s="25"/>
      <c r="AHO45" s="21"/>
      <c r="AHP45" s="21"/>
      <c r="AHT45" s="15"/>
      <c r="AHZ45" s="25"/>
      <c r="AIG45" s="21"/>
      <c r="AIH45" s="21"/>
      <c r="AIL45" s="15"/>
      <c r="AIR45" s="25"/>
      <c r="AIY45" s="21"/>
      <c r="AIZ45" s="21"/>
      <c r="AJD45" s="15"/>
      <c r="AJJ45" s="25"/>
      <c r="AJQ45" s="21"/>
      <c r="AJR45" s="21"/>
      <c r="AJV45" s="15"/>
      <c r="AKB45" s="25"/>
      <c r="AKI45" s="21"/>
      <c r="AKJ45" s="21"/>
      <c r="AKN45" s="15"/>
      <c r="AKT45" s="25"/>
      <c r="ALA45" s="21"/>
      <c r="ALB45" s="21"/>
      <c r="ALF45" s="15"/>
      <c r="ALL45" s="25"/>
      <c r="ALS45" s="21"/>
      <c r="ALT45" s="21"/>
      <c r="ALX45" s="15"/>
      <c r="AMD45" s="25"/>
      <c r="AMK45" s="21"/>
      <c r="AML45" s="21"/>
      <c r="AMP45" s="15"/>
      <c r="AMV45" s="25"/>
      <c r="ANC45" s="21"/>
      <c r="AND45" s="21"/>
      <c r="ANH45" s="15"/>
      <c r="ANN45" s="25"/>
      <c r="ANU45" s="21"/>
      <c r="ANV45" s="21"/>
      <c r="ANZ45" s="15"/>
      <c r="AOF45" s="25"/>
      <c r="AOM45" s="21"/>
      <c r="AON45" s="21"/>
      <c r="AOR45" s="15"/>
      <c r="AOX45" s="25"/>
      <c r="APE45" s="21"/>
      <c r="APF45" s="21"/>
      <c r="APJ45" s="15"/>
      <c r="APP45" s="25"/>
      <c r="APW45" s="21"/>
      <c r="APX45" s="21"/>
      <c r="AQB45" s="15"/>
      <c r="AQH45" s="25"/>
      <c r="AQO45" s="21"/>
      <c r="AQP45" s="21"/>
      <c r="AQT45" s="15"/>
      <c r="AQZ45" s="25"/>
      <c r="ARG45" s="21"/>
      <c r="ARH45" s="21"/>
      <c r="ARL45" s="15"/>
      <c r="ARR45" s="25"/>
      <c r="ARY45" s="21"/>
      <c r="ARZ45" s="21"/>
      <c r="ASD45" s="15"/>
      <c r="ASJ45" s="25"/>
      <c r="ASQ45" s="21"/>
      <c r="ASR45" s="21"/>
      <c r="ASV45" s="15"/>
      <c r="ATB45" s="25"/>
      <c r="ATI45" s="21"/>
      <c r="ATJ45" s="21"/>
      <c r="ATN45" s="15"/>
      <c r="ATT45" s="25"/>
      <c r="AUA45" s="21"/>
      <c r="AUB45" s="21"/>
      <c r="AUF45" s="15"/>
      <c r="AUL45" s="25"/>
      <c r="AUS45" s="21"/>
      <c r="AUT45" s="21"/>
      <c r="AUX45" s="15"/>
      <c r="AVD45" s="25"/>
      <c r="AVK45" s="21"/>
      <c r="AVL45" s="21"/>
      <c r="AVP45" s="15"/>
      <c r="AVV45" s="25"/>
      <c r="AWC45" s="21"/>
      <c r="AWD45" s="21"/>
      <c r="AWH45" s="15"/>
      <c r="AWN45" s="25"/>
      <c r="AWU45" s="21"/>
      <c r="AWV45" s="21"/>
      <c r="AWZ45" s="15"/>
      <c r="AXF45" s="25"/>
      <c r="AXM45" s="21"/>
      <c r="AXN45" s="21"/>
      <c r="AXR45" s="15"/>
      <c r="AXX45" s="25"/>
      <c r="AYE45" s="21"/>
      <c r="AYF45" s="21"/>
      <c r="AYJ45" s="15"/>
      <c r="AYP45" s="25"/>
      <c r="AYW45" s="21"/>
      <c r="AYX45" s="21"/>
      <c r="AZB45" s="15"/>
      <c r="AZH45" s="25"/>
      <c r="AZO45" s="21"/>
      <c r="AZP45" s="21"/>
      <c r="AZT45" s="15"/>
      <c r="AZZ45" s="25"/>
      <c r="BAG45" s="21"/>
      <c r="BAH45" s="21"/>
      <c r="BAL45" s="15"/>
      <c r="BAR45" s="25"/>
      <c r="BAY45" s="21"/>
      <c r="BAZ45" s="21"/>
      <c r="BBD45" s="15"/>
      <c r="BBJ45" s="25"/>
      <c r="BBQ45" s="21"/>
      <c r="BBR45" s="21"/>
      <c r="BBV45" s="15"/>
      <c r="BCB45" s="25"/>
      <c r="BCI45" s="21"/>
      <c r="BCJ45" s="21"/>
      <c r="BCN45" s="15"/>
      <c r="BCT45" s="25"/>
      <c r="BDA45" s="21"/>
      <c r="BDB45" s="21"/>
      <c r="BDF45" s="15"/>
      <c r="BDL45" s="25"/>
      <c r="BDS45" s="21"/>
      <c r="BDT45" s="21"/>
      <c r="BDX45" s="15"/>
      <c r="BED45" s="25"/>
      <c r="BEK45" s="21"/>
      <c r="BEL45" s="21"/>
      <c r="BEP45" s="15"/>
      <c r="BEV45" s="25"/>
      <c r="BFC45" s="21"/>
      <c r="BFD45" s="21"/>
      <c r="BFH45" s="15"/>
      <c r="BFN45" s="25"/>
      <c r="BFU45" s="21"/>
      <c r="BFV45" s="21"/>
      <c r="BFZ45" s="15"/>
      <c r="BGF45" s="25"/>
      <c r="BGM45" s="21"/>
      <c r="BGN45" s="21"/>
      <c r="BGR45" s="15"/>
      <c r="BGX45" s="25"/>
      <c r="BHE45" s="21"/>
      <c r="BHF45" s="21"/>
      <c r="BHJ45" s="15"/>
      <c r="BHP45" s="25"/>
      <c r="BHW45" s="21"/>
      <c r="BHX45" s="21"/>
      <c r="BIB45" s="15"/>
      <c r="BIH45" s="25"/>
      <c r="BIO45" s="21"/>
      <c r="BIP45" s="21"/>
      <c r="BIT45" s="15"/>
      <c r="BIZ45" s="25"/>
      <c r="BJG45" s="21"/>
      <c r="BJH45" s="21"/>
      <c r="BJL45" s="15"/>
      <c r="BJR45" s="25"/>
      <c r="BJY45" s="21"/>
      <c r="BJZ45" s="21"/>
      <c r="BKD45" s="15"/>
      <c r="BKJ45" s="25"/>
      <c r="BKQ45" s="21"/>
      <c r="BKR45" s="21"/>
      <c r="BKV45" s="15"/>
      <c r="BLB45" s="25"/>
      <c r="BLI45" s="21"/>
      <c r="BLJ45" s="21"/>
      <c r="BLN45" s="15"/>
      <c r="BLT45" s="25"/>
      <c r="BMA45" s="21"/>
      <c r="BMB45" s="21"/>
      <c r="BMF45" s="15"/>
      <c r="BML45" s="25"/>
      <c r="BMS45" s="21"/>
      <c r="BMT45" s="21"/>
      <c r="BMX45" s="15"/>
      <c r="BND45" s="25"/>
      <c r="BNK45" s="21"/>
      <c r="BNL45" s="21"/>
      <c r="BNP45" s="15"/>
      <c r="BNV45" s="25"/>
      <c r="BOC45" s="21"/>
      <c r="BOD45" s="21"/>
      <c r="BOH45" s="15"/>
      <c r="BON45" s="25"/>
      <c r="BOU45" s="21"/>
      <c r="BOV45" s="21"/>
      <c r="BOZ45" s="15"/>
      <c r="BPF45" s="25"/>
      <c r="BPM45" s="21"/>
      <c r="BPN45" s="21"/>
      <c r="BPR45" s="15"/>
      <c r="BPX45" s="25"/>
      <c r="BQE45" s="21"/>
      <c r="BQF45" s="21"/>
      <c r="BQJ45" s="15"/>
      <c r="BQP45" s="25"/>
      <c r="BQW45" s="21"/>
      <c r="BQX45" s="21"/>
      <c r="BRB45" s="15"/>
      <c r="BRH45" s="25"/>
      <c r="BRO45" s="21"/>
      <c r="BRP45" s="21"/>
      <c r="BRT45" s="15"/>
      <c r="BRZ45" s="25"/>
      <c r="BSG45" s="21"/>
      <c r="BSH45" s="21"/>
      <c r="BSL45" s="15"/>
      <c r="BSR45" s="25"/>
      <c r="BSY45" s="21"/>
      <c r="BSZ45" s="21"/>
      <c r="BTD45" s="15"/>
      <c r="BTJ45" s="25"/>
      <c r="BTQ45" s="21"/>
      <c r="BTR45" s="21"/>
      <c r="BTV45" s="15"/>
      <c r="BUB45" s="25"/>
      <c r="BUI45" s="21"/>
      <c r="BUJ45" s="21"/>
      <c r="BUN45" s="15"/>
      <c r="BUT45" s="25"/>
      <c r="BVA45" s="21"/>
      <c r="BVB45" s="21"/>
      <c r="BVF45" s="15"/>
      <c r="BVL45" s="25"/>
      <c r="BVS45" s="21"/>
      <c r="BVT45" s="21"/>
      <c r="BVX45" s="15"/>
      <c r="BWD45" s="25"/>
      <c r="BWK45" s="21"/>
      <c r="BWL45" s="21"/>
      <c r="BWP45" s="15"/>
      <c r="BWV45" s="25"/>
      <c r="BXC45" s="21"/>
      <c r="BXD45" s="21"/>
      <c r="BXH45" s="15"/>
      <c r="BXN45" s="25"/>
      <c r="BXU45" s="21"/>
      <c r="BXV45" s="21"/>
      <c r="BXZ45" s="15"/>
      <c r="BYF45" s="25"/>
      <c r="BYM45" s="21"/>
      <c r="BYN45" s="21"/>
      <c r="BYR45" s="15"/>
      <c r="BYX45" s="25"/>
      <c r="BZE45" s="21"/>
      <c r="BZF45" s="21"/>
      <c r="BZJ45" s="15"/>
      <c r="BZP45" s="25"/>
      <c r="BZW45" s="21"/>
      <c r="BZX45" s="21"/>
      <c r="CAB45" s="15"/>
      <c r="CAH45" s="25"/>
      <c r="CAO45" s="21"/>
      <c r="CAP45" s="21"/>
      <c r="CAT45" s="15"/>
      <c r="CAZ45" s="25"/>
      <c r="CBG45" s="21"/>
      <c r="CBH45" s="21"/>
      <c r="CBL45" s="15"/>
      <c r="CBR45" s="25"/>
      <c r="CBY45" s="21"/>
      <c r="CBZ45" s="21"/>
      <c r="CCD45" s="15"/>
      <c r="CCJ45" s="25"/>
      <c r="CCQ45" s="21"/>
      <c r="CCR45" s="21"/>
      <c r="CCV45" s="15"/>
      <c r="CDB45" s="25"/>
      <c r="CDI45" s="21"/>
      <c r="CDJ45" s="21"/>
      <c r="CDN45" s="15"/>
      <c r="CDT45" s="25"/>
      <c r="CEA45" s="21"/>
      <c r="CEB45" s="21"/>
      <c r="CEF45" s="15"/>
      <c r="CEL45" s="25"/>
      <c r="CES45" s="21"/>
      <c r="CET45" s="21"/>
      <c r="CEX45" s="15"/>
      <c r="CFD45" s="25"/>
      <c r="CFK45" s="21"/>
      <c r="CFL45" s="21"/>
      <c r="CFP45" s="15"/>
      <c r="CFV45" s="25"/>
      <c r="CGC45" s="21"/>
      <c r="CGD45" s="21"/>
      <c r="CGH45" s="15"/>
      <c r="CGN45" s="25"/>
      <c r="CGU45" s="21"/>
      <c r="CGV45" s="21"/>
      <c r="CGZ45" s="15"/>
      <c r="CHF45" s="25"/>
      <c r="CHM45" s="21"/>
      <c r="CHN45" s="21"/>
      <c r="CHR45" s="15"/>
      <c r="CHX45" s="25"/>
      <c r="CIE45" s="21"/>
      <c r="CIF45" s="21"/>
      <c r="CIJ45" s="15"/>
      <c r="CIP45" s="25"/>
      <c r="CIW45" s="21"/>
      <c r="CIX45" s="21"/>
      <c r="CJB45" s="15"/>
      <c r="CJH45" s="25"/>
      <c r="CJO45" s="21"/>
      <c r="CJP45" s="21"/>
      <c r="CJT45" s="15"/>
      <c r="CJZ45" s="25"/>
      <c r="CKG45" s="21"/>
      <c r="CKH45" s="21"/>
      <c r="CKL45" s="15"/>
      <c r="CKR45" s="25"/>
      <c r="CKY45" s="21"/>
      <c r="CKZ45" s="21"/>
      <c r="CLD45" s="15"/>
      <c r="CLJ45" s="25"/>
      <c r="CLQ45" s="21"/>
      <c r="CLR45" s="21"/>
      <c r="CLV45" s="15"/>
      <c r="CMB45" s="25"/>
      <c r="CMI45" s="21"/>
      <c r="CMJ45" s="21"/>
      <c r="CMN45" s="15"/>
      <c r="CMT45" s="25"/>
      <c r="CNA45" s="21"/>
      <c r="CNB45" s="21"/>
      <c r="CNF45" s="15"/>
      <c r="CNL45" s="25"/>
      <c r="CNS45" s="21"/>
      <c r="CNT45" s="21"/>
      <c r="CNX45" s="15"/>
      <c r="COD45" s="25"/>
      <c r="COK45" s="21"/>
      <c r="COL45" s="21"/>
      <c r="COP45" s="15"/>
      <c r="COV45" s="25"/>
      <c r="CPC45" s="21"/>
      <c r="CPD45" s="21"/>
      <c r="CPH45" s="15"/>
      <c r="CPN45" s="25"/>
      <c r="CPU45" s="21"/>
      <c r="CPV45" s="21"/>
      <c r="CPZ45" s="15"/>
      <c r="CQF45" s="25"/>
      <c r="CQM45" s="21"/>
      <c r="CQN45" s="21"/>
      <c r="CQR45" s="15"/>
      <c r="CQX45" s="25"/>
      <c r="CRE45" s="21"/>
      <c r="CRF45" s="21"/>
      <c r="CRJ45" s="15"/>
      <c r="CRP45" s="25"/>
      <c r="CRW45" s="21"/>
      <c r="CRX45" s="21"/>
      <c r="CSB45" s="15"/>
      <c r="CSH45" s="25"/>
      <c r="CSO45" s="21"/>
      <c r="CSP45" s="21"/>
      <c r="CST45" s="15"/>
      <c r="CSZ45" s="25"/>
      <c r="CTG45" s="21"/>
      <c r="CTH45" s="21"/>
      <c r="CTL45" s="15"/>
      <c r="CTR45" s="25"/>
      <c r="CTY45" s="21"/>
      <c r="CTZ45" s="21"/>
      <c r="CUD45" s="15"/>
      <c r="CUJ45" s="25"/>
      <c r="CUQ45" s="21"/>
      <c r="CUR45" s="21"/>
      <c r="CUV45" s="15"/>
      <c r="CVB45" s="25"/>
      <c r="CVI45" s="21"/>
      <c r="CVJ45" s="21"/>
      <c r="CVN45" s="15"/>
      <c r="CVT45" s="25"/>
      <c r="CWA45" s="21"/>
      <c r="CWB45" s="21"/>
      <c r="CWF45" s="15"/>
      <c r="CWL45" s="25"/>
      <c r="CWS45" s="21"/>
      <c r="CWT45" s="21"/>
      <c r="CWX45" s="15"/>
      <c r="CXD45" s="25"/>
      <c r="CXK45" s="21"/>
      <c r="CXL45" s="21"/>
      <c r="CXP45" s="15"/>
      <c r="CXV45" s="25"/>
      <c r="CYC45" s="21"/>
      <c r="CYD45" s="21"/>
      <c r="CYH45" s="15"/>
      <c r="CYN45" s="25"/>
      <c r="CYU45" s="21"/>
      <c r="CYV45" s="21"/>
      <c r="CYZ45" s="15"/>
      <c r="CZF45" s="25"/>
      <c r="CZM45" s="21"/>
      <c r="CZN45" s="21"/>
      <c r="CZR45" s="15"/>
      <c r="CZX45" s="25"/>
      <c r="DAE45" s="21"/>
      <c r="DAF45" s="21"/>
      <c r="DAJ45" s="15"/>
      <c r="DAP45" s="25"/>
      <c r="DAW45" s="21"/>
      <c r="DAX45" s="21"/>
      <c r="DBB45" s="15"/>
      <c r="DBH45" s="25"/>
      <c r="DBO45" s="21"/>
      <c r="DBP45" s="21"/>
      <c r="DBT45" s="15"/>
      <c r="DBZ45" s="25"/>
      <c r="DCG45" s="21"/>
      <c r="DCH45" s="21"/>
      <c r="DCL45" s="15"/>
      <c r="DCR45" s="25"/>
      <c r="DCY45" s="21"/>
      <c r="DCZ45" s="21"/>
      <c r="DDD45" s="15"/>
      <c r="DDJ45" s="25"/>
      <c r="DDQ45" s="21"/>
      <c r="DDR45" s="21"/>
      <c r="DDV45" s="15"/>
      <c r="DEB45" s="25"/>
      <c r="DEI45" s="21"/>
      <c r="DEJ45" s="21"/>
      <c r="DEN45" s="15"/>
      <c r="DET45" s="25"/>
      <c r="DFA45" s="21"/>
      <c r="DFB45" s="21"/>
      <c r="DFF45" s="15"/>
      <c r="DFL45" s="25"/>
      <c r="DFS45" s="21"/>
      <c r="DFT45" s="21"/>
      <c r="DFX45" s="15"/>
      <c r="DGD45" s="25"/>
      <c r="DGK45" s="21"/>
      <c r="DGL45" s="21"/>
      <c r="DGP45" s="15"/>
      <c r="DGV45" s="25"/>
      <c r="DHC45" s="21"/>
      <c r="DHD45" s="21"/>
      <c r="DHH45" s="15"/>
      <c r="DHN45" s="25"/>
      <c r="DHU45" s="21"/>
      <c r="DHV45" s="21"/>
      <c r="DHZ45" s="15"/>
      <c r="DIF45" s="25"/>
      <c r="DIM45" s="21"/>
      <c r="DIN45" s="21"/>
      <c r="DIR45" s="15"/>
      <c r="DIX45" s="25"/>
      <c r="DJE45" s="21"/>
      <c r="DJF45" s="21"/>
      <c r="DJJ45" s="15"/>
      <c r="DJP45" s="25"/>
      <c r="DJW45" s="21"/>
      <c r="DJX45" s="21"/>
      <c r="DKB45" s="15"/>
      <c r="DKH45" s="25"/>
      <c r="DKO45" s="21"/>
      <c r="DKP45" s="21"/>
      <c r="DKT45" s="15"/>
      <c r="DKZ45" s="25"/>
      <c r="DLG45" s="21"/>
      <c r="DLH45" s="21"/>
      <c r="DLL45" s="15"/>
      <c r="DLR45" s="25"/>
      <c r="DLY45" s="21"/>
      <c r="DLZ45" s="21"/>
      <c r="DMD45" s="15"/>
      <c r="DMJ45" s="25"/>
      <c r="DMQ45" s="21"/>
      <c r="DMR45" s="21"/>
      <c r="DMV45" s="15"/>
      <c r="DNB45" s="25"/>
      <c r="DNI45" s="21"/>
      <c r="DNJ45" s="21"/>
      <c r="DNN45" s="15"/>
      <c r="DNT45" s="25"/>
      <c r="DOA45" s="21"/>
      <c r="DOB45" s="21"/>
      <c r="DOF45" s="15"/>
      <c r="DOL45" s="25"/>
      <c r="DOS45" s="21"/>
      <c r="DOT45" s="21"/>
      <c r="DOX45" s="15"/>
      <c r="DPD45" s="25"/>
      <c r="DPK45" s="21"/>
      <c r="DPL45" s="21"/>
      <c r="DPP45" s="15"/>
      <c r="DPV45" s="25"/>
      <c r="DQC45" s="21"/>
      <c r="DQD45" s="21"/>
      <c r="DQH45" s="15"/>
      <c r="DQN45" s="25"/>
      <c r="DQU45" s="21"/>
      <c r="DQV45" s="21"/>
      <c r="DQZ45" s="15"/>
      <c r="DRF45" s="25"/>
      <c r="DRM45" s="21"/>
      <c r="DRN45" s="21"/>
      <c r="DRR45" s="15"/>
      <c r="DRX45" s="25"/>
      <c r="DSE45" s="21"/>
      <c r="DSF45" s="21"/>
      <c r="DSJ45" s="15"/>
      <c r="DSP45" s="25"/>
      <c r="DSW45" s="21"/>
      <c r="DSX45" s="21"/>
      <c r="DTB45" s="15"/>
      <c r="DTH45" s="25"/>
      <c r="DTO45" s="21"/>
      <c r="DTP45" s="21"/>
      <c r="DTT45" s="15"/>
      <c r="DTZ45" s="25"/>
      <c r="DUG45" s="21"/>
      <c r="DUH45" s="21"/>
      <c r="DUL45" s="15"/>
      <c r="DUR45" s="25"/>
      <c r="DUY45" s="21"/>
      <c r="DUZ45" s="21"/>
      <c r="DVD45" s="15"/>
      <c r="DVJ45" s="25"/>
      <c r="DVQ45" s="21"/>
      <c r="DVR45" s="21"/>
      <c r="DVV45" s="15"/>
      <c r="DWB45" s="25"/>
      <c r="DWI45" s="21"/>
      <c r="DWJ45" s="21"/>
      <c r="DWN45" s="15"/>
      <c r="DWT45" s="25"/>
      <c r="DXA45" s="21"/>
      <c r="DXB45" s="21"/>
      <c r="DXF45" s="15"/>
      <c r="DXL45" s="25"/>
      <c r="DXS45" s="21"/>
      <c r="DXT45" s="21"/>
      <c r="DXX45" s="15"/>
      <c r="DYD45" s="25"/>
      <c r="DYK45" s="21"/>
      <c r="DYL45" s="21"/>
      <c r="DYP45" s="15"/>
      <c r="DYV45" s="25"/>
      <c r="DZC45" s="21"/>
      <c r="DZD45" s="21"/>
      <c r="DZH45" s="15"/>
      <c r="DZN45" s="25"/>
      <c r="DZU45" s="21"/>
      <c r="DZV45" s="21"/>
      <c r="DZZ45" s="15"/>
      <c r="EAF45" s="25"/>
      <c r="EAM45" s="21"/>
      <c r="EAN45" s="21"/>
      <c r="EAR45" s="15"/>
      <c r="EAX45" s="25"/>
      <c r="EBE45" s="21"/>
      <c r="EBF45" s="21"/>
      <c r="EBJ45" s="15"/>
      <c r="EBP45" s="25"/>
      <c r="EBW45" s="21"/>
      <c r="EBX45" s="21"/>
      <c r="ECB45" s="15"/>
      <c r="ECH45" s="25"/>
      <c r="ECO45" s="21"/>
      <c r="ECP45" s="21"/>
      <c r="ECT45" s="15"/>
      <c r="ECZ45" s="25"/>
      <c r="EDG45" s="21"/>
      <c r="EDH45" s="21"/>
      <c r="EDL45" s="15"/>
      <c r="EDR45" s="25"/>
      <c r="EDY45" s="21"/>
      <c r="EDZ45" s="21"/>
      <c r="EED45" s="15"/>
      <c r="EEJ45" s="25"/>
      <c r="EEQ45" s="21"/>
      <c r="EER45" s="21"/>
      <c r="EEV45" s="15"/>
      <c r="EFB45" s="25"/>
      <c r="EFI45" s="21"/>
      <c r="EFJ45" s="21"/>
      <c r="EFN45" s="15"/>
      <c r="EFT45" s="25"/>
      <c r="EGA45" s="21"/>
      <c r="EGB45" s="21"/>
      <c r="EGF45" s="15"/>
      <c r="EGL45" s="25"/>
      <c r="EGS45" s="21"/>
      <c r="EGT45" s="21"/>
      <c r="EGX45" s="15"/>
      <c r="EHD45" s="25"/>
      <c r="EHK45" s="21"/>
      <c r="EHL45" s="21"/>
      <c r="EHP45" s="15"/>
      <c r="EHV45" s="25"/>
      <c r="EIC45" s="21"/>
      <c r="EID45" s="21"/>
      <c r="EIH45" s="15"/>
      <c r="EIN45" s="25"/>
      <c r="EIU45" s="21"/>
      <c r="EIV45" s="21"/>
      <c r="EIZ45" s="15"/>
      <c r="EJF45" s="25"/>
      <c r="EJM45" s="21"/>
      <c r="EJN45" s="21"/>
      <c r="EJR45" s="15"/>
      <c r="EJX45" s="25"/>
      <c r="EKE45" s="21"/>
      <c r="EKF45" s="21"/>
      <c r="EKJ45" s="15"/>
      <c r="EKP45" s="25"/>
      <c r="EKW45" s="21"/>
      <c r="EKX45" s="21"/>
      <c r="ELB45" s="15"/>
      <c r="ELH45" s="25"/>
      <c r="ELO45" s="21"/>
      <c r="ELP45" s="21"/>
      <c r="ELT45" s="15"/>
      <c r="ELZ45" s="25"/>
      <c r="EMG45" s="21"/>
      <c r="EMH45" s="21"/>
      <c r="EML45" s="15"/>
      <c r="EMR45" s="25"/>
      <c r="EMY45" s="21"/>
      <c r="EMZ45" s="21"/>
      <c r="END45" s="15"/>
      <c r="ENJ45" s="25"/>
      <c r="ENQ45" s="21"/>
      <c r="ENR45" s="21"/>
      <c r="ENV45" s="15"/>
      <c r="EOB45" s="25"/>
      <c r="EOI45" s="21"/>
      <c r="EOJ45" s="21"/>
      <c r="EON45" s="15"/>
      <c r="EOT45" s="25"/>
      <c r="EPA45" s="21"/>
      <c r="EPB45" s="21"/>
      <c r="EPF45" s="15"/>
      <c r="EPL45" s="25"/>
      <c r="EPS45" s="21"/>
      <c r="EPT45" s="21"/>
      <c r="EPX45" s="15"/>
      <c r="EQD45" s="25"/>
      <c r="EQK45" s="21"/>
      <c r="EQL45" s="21"/>
      <c r="EQP45" s="15"/>
      <c r="EQV45" s="25"/>
      <c r="ERC45" s="21"/>
      <c r="ERD45" s="21"/>
      <c r="ERH45" s="15"/>
      <c r="ERN45" s="25"/>
      <c r="ERU45" s="21"/>
      <c r="ERV45" s="21"/>
      <c r="ERZ45" s="15"/>
      <c r="ESF45" s="25"/>
      <c r="ESM45" s="21"/>
      <c r="ESN45" s="21"/>
      <c r="ESR45" s="15"/>
      <c r="ESX45" s="25"/>
      <c r="ETE45" s="21"/>
      <c r="ETF45" s="21"/>
      <c r="ETJ45" s="15"/>
      <c r="ETP45" s="25"/>
      <c r="ETW45" s="21"/>
      <c r="ETX45" s="21"/>
      <c r="EUB45" s="15"/>
      <c r="EUH45" s="25"/>
      <c r="EUO45" s="21"/>
      <c r="EUP45" s="21"/>
      <c r="EUT45" s="15"/>
      <c r="EUZ45" s="25"/>
      <c r="EVG45" s="21"/>
      <c r="EVH45" s="21"/>
      <c r="EVL45" s="15"/>
      <c r="EVR45" s="25"/>
      <c r="EVY45" s="21"/>
      <c r="EVZ45" s="21"/>
      <c r="EWD45" s="15"/>
      <c r="EWJ45" s="25"/>
      <c r="EWQ45" s="21"/>
      <c r="EWR45" s="21"/>
      <c r="EWV45" s="15"/>
      <c r="EXB45" s="25"/>
      <c r="EXI45" s="21"/>
      <c r="EXJ45" s="21"/>
      <c r="EXN45" s="15"/>
      <c r="EXT45" s="25"/>
      <c r="EYA45" s="21"/>
      <c r="EYB45" s="21"/>
      <c r="EYF45" s="15"/>
      <c r="EYL45" s="25"/>
      <c r="EYS45" s="21"/>
      <c r="EYT45" s="21"/>
      <c r="EYX45" s="15"/>
      <c r="EZD45" s="25"/>
      <c r="EZK45" s="21"/>
      <c r="EZL45" s="21"/>
      <c r="EZP45" s="15"/>
      <c r="EZV45" s="25"/>
      <c r="FAC45" s="21"/>
      <c r="FAD45" s="21"/>
      <c r="FAH45" s="15"/>
      <c r="FAN45" s="25"/>
      <c r="FAU45" s="21"/>
      <c r="FAV45" s="21"/>
      <c r="FAZ45" s="15"/>
      <c r="FBF45" s="25"/>
      <c r="FBM45" s="21"/>
      <c r="FBN45" s="21"/>
      <c r="FBR45" s="15"/>
      <c r="FBX45" s="25"/>
      <c r="FCE45" s="21"/>
      <c r="FCF45" s="21"/>
      <c r="FCJ45" s="15"/>
      <c r="FCP45" s="25"/>
      <c r="FCW45" s="21"/>
      <c r="FCX45" s="21"/>
      <c r="FDB45" s="15"/>
      <c r="FDH45" s="25"/>
      <c r="FDO45" s="21"/>
      <c r="FDP45" s="21"/>
      <c r="FDT45" s="15"/>
      <c r="FDZ45" s="25"/>
      <c r="FEG45" s="21"/>
      <c r="FEH45" s="21"/>
      <c r="FEL45" s="15"/>
      <c r="FER45" s="25"/>
      <c r="FEY45" s="21"/>
      <c r="FEZ45" s="21"/>
      <c r="FFD45" s="15"/>
      <c r="FFJ45" s="25"/>
      <c r="FFQ45" s="21"/>
      <c r="FFR45" s="21"/>
      <c r="FFV45" s="15"/>
      <c r="FGB45" s="25"/>
      <c r="FGI45" s="21"/>
      <c r="FGJ45" s="21"/>
      <c r="FGN45" s="15"/>
      <c r="FGT45" s="25"/>
      <c r="FHA45" s="21"/>
      <c r="FHB45" s="21"/>
      <c r="FHF45" s="15"/>
      <c r="FHL45" s="25"/>
      <c r="FHS45" s="21"/>
      <c r="FHT45" s="21"/>
      <c r="FHX45" s="15"/>
      <c r="FID45" s="25"/>
      <c r="FIK45" s="21"/>
      <c r="FIL45" s="21"/>
      <c r="FIP45" s="15"/>
      <c r="FIV45" s="25"/>
      <c r="FJC45" s="21"/>
      <c r="FJD45" s="21"/>
      <c r="FJH45" s="15"/>
      <c r="FJN45" s="25"/>
      <c r="FJU45" s="21"/>
      <c r="FJV45" s="21"/>
      <c r="FJZ45" s="15"/>
      <c r="FKF45" s="25"/>
      <c r="FKM45" s="21"/>
      <c r="FKN45" s="21"/>
      <c r="FKR45" s="15"/>
      <c r="FKX45" s="25"/>
      <c r="FLE45" s="21"/>
      <c r="FLF45" s="21"/>
      <c r="FLJ45" s="15"/>
      <c r="FLP45" s="25"/>
      <c r="FLW45" s="21"/>
      <c r="FLX45" s="21"/>
      <c r="FMB45" s="15"/>
      <c r="FMH45" s="25"/>
      <c r="FMO45" s="21"/>
      <c r="FMP45" s="21"/>
      <c r="FMT45" s="15"/>
      <c r="FMZ45" s="25"/>
      <c r="FNG45" s="21"/>
      <c r="FNH45" s="21"/>
      <c r="FNL45" s="15"/>
      <c r="FNR45" s="25"/>
      <c r="FNY45" s="21"/>
      <c r="FNZ45" s="21"/>
      <c r="FOD45" s="15"/>
      <c r="FOJ45" s="25"/>
      <c r="FOQ45" s="21"/>
      <c r="FOR45" s="21"/>
      <c r="FOV45" s="15"/>
      <c r="FPB45" s="25"/>
      <c r="FPI45" s="21"/>
      <c r="FPJ45" s="21"/>
      <c r="FPN45" s="15"/>
      <c r="FPT45" s="25"/>
      <c r="FQA45" s="21"/>
      <c r="FQB45" s="21"/>
      <c r="FQF45" s="15"/>
      <c r="FQL45" s="25"/>
      <c r="FQS45" s="21"/>
      <c r="FQT45" s="21"/>
      <c r="FQX45" s="15"/>
      <c r="FRD45" s="25"/>
      <c r="FRK45" s="21"/>
      <c r="FRL45" s="21"/>
      <c r="FRP45" s="15"/>
      <c r="FRV45" s="25"/>
      <c r="FSC45" s="21"/>
      <c r="FSD45" s="21"/>
      <c r="FSH45" s="15"/>
      <c r="FSN45" s="25"/>
      <c r="FSU45" s="21"/>
      <c r="FSV45" s="21"/>
      <c r="FSZ45" s="15"/>
      <c r="FTF45" s="25"/>
      <c r="FTM45" s="21"/>
      <c r="FTN45" s="21"/>
      <c r="FTR45" s="15"/>
      <c r="FTX45" s="25"/>
      <c r="FUE45" s="21"/>
      <c r="FUF45" s="21"/>
      <c r="FUJ45" s="15"/>
      <c r="FUP45" s="25"/>
      <c r="FUW45" s="21"/>
      <c r="FUX45" s="21"/>
      <c r="FVB45" s="15"/>
      <c r="FVH45" s="25"/>
      <c r="FVO45" s="21"/>
      <c r="FVP45" s="21"/>
      <c r="FVT45" s="15"/>
      <c r="FVZ45" s="25"/>
      <c r="FWG45" s="21"/>
      <c r="FWH45" s="21"/>
      <c r="FWL45" s="15"/>
      <c r="FWR45" s="25"/>
      <c r="FWY45" s="21"/>
      <c r="FWZ45" s="21"/>
      <c r="FXD45" s="15"/>
      <c r="FXJ45" s="25"/>
      <c r="FXQ45" s="21"/>
      <c r="FXR45" s="21"/>
      <c r="FXV45" s="15"/>
      <c r="FYB45" s="25"/>
      <c r="FYI45" s="21"/>
      <c r="FYJ45" s="21"/>
      <c r="FYN45" s="15"/>
      <c r="FYT45" s="25"/>
      <c r="FZA45" s="21"/>
      <c r="FZB45" s="21"/>
      <c r="FZF45" s="15"/>
      <c r="FZL45" s="25"/>
      <c r="FZS45" s="21"/>
      <c r="FZT45" s="21"/>
      <c r="FZX45" s="15"/>
      <c r="GAD45" s="25"/>
      <c r="GAK45" s="21"/>
      <c r="GAL45" s="21"/>
      <c r="GAP45" s="15"/>
      <c r="GAV45" s="25"/>
      <c r="GBC45" s="21"/>
      <c r="GBD45" s="21"/>
      <c r="GBH45" s="15"/>
      <c r="GBN45" s="25"/>
      <c r="GBU45" s="21"/>
      <c r="GBV45" s="21"/>
      <c r="GBZ45" s="15"/>
      <c r="GCF45" s="25"/>
      <c r="GCM45" s="21"/>
      <c r="GCN45" s="21"/>
      <c r="GCR45" s="15"/>
      <c r="GCX45" s="25"/>
      <c r="GDE45" s="21"/>
      <c r="GDF45" s="21"/>
      <c r="GDJ45" s="15"/>
      <c r="GDP45" s="25"/>
      <c r="GDW45" s="21"/>
      <c r="GDX45" s="21"/>
      <c r="GEB45" s="15"/>
      <c r="GEH45" s="25"/>
      <c r="GEO45" s="21"/>
      <c r="GEP45" s="21"/>
      <c r="GET45" s="15"/>
      <c r="GEZ45" s="25"/>
      <c r="GFG45" s="21"/>
      <c r="GFH45" s="21"/>
      <c r="GFL45" s="15"/>
      <c r="GFR45" s="25"/>
      <c r="GFY45" s="21"/>
      <c r="GFZ45" s="21"/>
      <c r="GGD45" s="15"/>
      <c r="GGJ45" s="25"/>
      <c r="GGQ45" s="21"/>
      <c r="GGR45" s="21"/>
      <c r="GGV45" s="15"/>
      <c r="GHB45" s="25"/>
      <c r="GHI45" s="21"/>
      <c r="GHJ45" s="21"/>
      <c r="GHN45" s="15"/>
      <c r="GHT45" s="25"/>
      <c r="GIA45" s="21"/>
      <c r="GIB45" s="21"/>
      <c r="GIF45" s="15"/>
      <c r="GIL45" s="25"/>
      <c r="GIS45" s="21"/>
      <c r="GIT45" s="21"/>
      <c r="GIX45" s="15"/>
      <c r="GJD45" s="25"/>
      <c r="GJK45" s="21"/>
      <c r="GJL45" s="21"/>
      <c r="GJP45" s="15"/>
      <c r="GJV45" s="25"/>
      <c r="GKC45" s="21"/>
      <c r="GKD45" s="21"/>
      <c r="GKH45" s="15"/>
      <c r="GKN45" s="25"/>
      <c r="GKU45" s="21"/>
      <c r="GKV45" s="21"/>
      <c r="GKZ45" s="15"/>
      <c r="GLF45" s="25"/>
      <c r="GLM45" s="21"/>
      <c r="GLN45" s="21"/>
      <c r="GLR45" s="15"/>
      <c r="GLX45" s="25"/>
      <c r="GME45" s="21"/>
      <c r="GMF45" s="21"/>
      <c r="GMJ45" s="15"/>
      <c r="GMP45" s="25"/>
      <c r="GMW45" s="21"/>
      <c r="GMX45" s="21"/>
      <c r="GNB45" s="15"/>
      <c r="GNH45" s="25"/>
      <c r="GNO45" s="21"/>
      <c r="GNP45" s="21"/>
      <c r="GNT45" s="15"/>
      <c r="GNZ45" s="25"/>
      <c r="GOG45" s="21"/>
      <c r="GOH45" s="21"/>
      <c r="GOL45" s="15"/>
      <c r="GOR45" s="25"/>
      <c r="GOY45" s="21"/>
      <c r="GOZ45" s="21"/>
      <c r="GPD45" s="15"/>
      <c r="GPJ45" s="25"/>
      <c r="GPQ45" s="21"/>
      <c r="GPR45" s="21"/>
      <c r="GPV45" s="15"/>
      <c r="GQB45" s="25"/>
      <c r="GQI45" s="21"/>
      <c r="GQJ45" s="21"/>
      <c r="GQN45" s="15"/>
      <c r="GQT45" s="25"/>
      <c r="GRA45" s="21"/>
      <c r="GRB45" s="21"/>
      <c r="GRF45" s="15"/>
      <c r="GRL45" s="25"/>
      <c r="GRS45" s="21"/>
      <c r="GRT45" s="21"/>
      <c r="GRX45" s="15"/>
      <c r="GSD45" s="25"/>
      <c r="GSK45" s="21"/>
      <c r="GSL45" s="21"/>
      <c r="GSP45" s="15"/>
      <c r="GSV45" s="25"/>
      <c r="GTC45" s="21"/>
      <c r="GTD45" s="21"/>
      <c r="GTH45" s="15"/>
      <c r="GTN45" s="25"/>
      <c r="GTU45" s="21"/>
      <c r="GTV45" s="21"/>
      <c r="GTZ45" s="15"/>
      <c r="GUF45" s="25"/>
      <c r="GUM45" s="21"/>
      <c r="GUN45" s="21"/>
      <c r="GUR45" s="15"/>
      <c r="GUX45" s="25"/>
      <c r="GVE45" s="21"/>
      <c r="GVF45" s="21"/>
      <c r="GVJ45" s="15"/>
      <c r="GVP45" s="25"/>
      <c r="GVW45" s="21"/>
      <c r="GVX45" s="21"/>
      <c r="GWB45" s="15"/>
      <c r="GWH45" s="25"/>
      <c r="GWO45" s="21"/>
      <c r="GWP45" s="21"/>
      <c r="GWT45" s="15"/>
      <c r="GWZ45" s="25"/>
      <c r="GXG45" s="21"/>
      <c r="GXH45" s="21"/>
      <c r="GXL45" s="15"/>
      <c r="GXR45" s="25"/>
      <c r="GXY45" s="21"/>
      <c r="GXZ45" s="21"/>
      <c r="GYD45" s="15"/>
      <c r="GYJ45" s="25"/>
      <c r="GYQ45" s="21"/>
      <c r="GYR45" s="21"/>
      <c r="GYV45" s="15"/>
      <c r="GZB45" s="25"/>
      <c r="GZI45" s="21"/>
      <c r="GZJ45" s="21"/>
      <c r="GZN45" s="15"/>
      <c r="GZT45" s="25"/>
      <c r="HAA45" s="21"/>
      <c r="HAB45" s="21"/>
      <c r="HAF45" s="15"/>
      <c r="HAL45" s="25"/>
      <c r="HAS45" s="21"/>
      <c r="HAT45" s="21"/>
      <c r="HAX45" s="15"/>
      <c r="HBD45" s="25"/>
      <c r="HBK45" s="21"/>
      <c r="HBL45" s="21"/>
      <c r="HBP45" s="15"/>
      <c r="HBV45" s="25"/>
      <c r="HCC45" s="21"/>
      <c r="HCD45" s="21"/>
      <c r="HCH45" s="15"/>
      <c r="HCN45" s="25"/>
      <c r="HCU45" s="21"/>
      <c r="HCV45" s="21"/>
      <c r="HCZ45" s="15"/>
      <c r="HDF45" s="25"/>
      <c r="HDM45" s="21"/>
      <c r="HDN45" s="21"/>
      <c r="HDR45" s="15"/>
      <c r="HDX45" s="25"/>
      <c r="HEE45" s="21"/>
      <c r="HEF45" s="21"/>
      <c r="HEJ45" s="15"/>
      <c r="HEP45" s="25"/>
      <c r="HEW45" s="21"/>
      <c r="HEX45" s="21"/>
      <c r="HFB45" s="15"/>
      <c r="HFH45" s="25"/>
      <c r="HFO45" s="21"/>
      <c r="HFP45" s="21"/>
      <c r="HFT45" s="15"/>
      <c r="HFZ45" s="25"/>
      <c r="HGG45" s="21"/>
      <c r="HGH45" s="21"/>
      <c r="HGL45" s="15"/>
      <c r="HGR45" s="25"/>
      <c r="HGY45" s="21"/>
      <c r="HGZ45" s="21"/>
      <c r="HHD45" s="15"/>
      <c r="HHJ45" s="25"/>
      <c r="HHQ45" s="21"/>
      <c r="HHR45" s="21"/>
      <c r="HHV45" s="15"/>
      <c r="HIB45" s="25"/>
      <c r="HII45" s="21"/>
      <c r="HIJ45" s="21"/>
      <c r="HIN45" s="15"/>
      <c r="HIT45" s="25"/>
      <c r="HJA45" s="21"/>
      <c r="HJB45" s="21"/>
      <c r="HJF45" s="15"/>
      <c r="HJL45" s="25"/>
      <c r="HJS45" s="21"/>
      <c r="HJT45" s="21"/>
      <c r="HJX45" s="15"/>
      <c r="HKD45" s="25"/>
      <c r="HKK45" s="21"/>
      <c r="HKL45" s="21"/>
      <c r="HKP45" s="15"/>
      <c r="HKV45" s="25"/>
      <c r="HLC45" s="21"/>
      <c r="HLD45" s="21"/>
      <c r="HLH45" s="15"/>
      <c r="HLN45" s="25"/>
      <c r="HLU45" s="21"/>
      <c r="HLV45" s="21"/>
      <c r="HLZ45" s="15"/>
      <c r="HMF45" s="25"/>
      <c r="HMM45" s="21"/>
      <c r="HMN45" s="21"/>
      <c r="HMR45" s="15"/>
      <c r="HMX45" s="25"/>
      <c r="HNE45" s="21"/>
      <c r="HNF45" s="21"/>
      <c r="HNJ45" s="15"/>
      <c r="HNP45" s="25"/>
      <c r="HNW45" s="21"/>
      <c r="HNX45" s="21"/>
      <c r="HOB45" s="15"/>
      <c r="HOH45" s="25"/>
      <c r="HOO45" s="21"/>
      <c r="HOP45" s="21"/>
      <c r="HOT45" s="15"/>
      <c r="HOZ45" s="25"/>
      <c r="HPG45" s="21"/>
      <c r="HPH45" s="21"/>
      <c r="HPL45" s="15"/>
      <c r="HPR45" s="25"/>
      <c r="HPY45" s="21"/>
      <c r="HPZ45" s="21"/>
      <c r="HQD45" s="15"/>
      <c r="HQJ45" s="25"/>
      <c r="HQQ45" s="21"/>
      <c r="HQR45" s="21"/>
      <c r="HQV45" s="15"/>
      <c r="HRB45" s="25"/>
      <c r="HRI45" s="21"/>
      <c r="HRJ45" s="21"/>
      <c r="HRN45" s="15"/>
      <c r="HRT45" s="25"/>
      <c r="HSA45" s="21"/>
      <c r="HSB45" s="21"/>
      <c r="HSF45" s="15"/>
      <c r="HSL45" s="25"/>
      <c r="HSS45" s="21"/>
      <c r="HST45" s="21"/>
      <c r="HSX45" s="15"/>
      <c r="HTD45" s="25"/>
      <c r="HTK45" s="21"/>
      <c r="HTL45" s="21"/>
      <c r="HTP45" s="15"/>
      <c r="HTV45" s="25"/>
      <c r="HUC45" s="21"/>
      <c r="HUD45" s="21"/>
      <c r="HUH45" s="15"/>
      <c r="HUN45" s="25"/>
      <c r="HUU45" s="21"/>
      <c r="HUV45" s="21"/>
      <c r="HUZ45" s="15"/>
      <c r="HVF45" s="25"/>
      <c r="HVM45" s="21"/>
      <c r="HVN45" s="21"/>
      <c r="HVR45" s="15"/>
      <c r="HVX45" s="25"/>
      <c r="HWE45" s="21"/>
      <c r="HWF45" s="21"/>
      <c r="HWJ45" s="15"/>
      <c r="HWP45" s="25"/>
      <c r="HWW45" s="21"/>
      <c r="HWX45" s="21"/>
      <c r="HXB45" s="15"/>
      <c r="HXH45" s="25"/>
      <c r="HXO45" s="21"/>
      <c r="HXP45" s="21"/>
      <c r="HXT45" s="15"/>
      <c r="HXZ45" s="25"/>
      <c r="HYG45" s="21"/>
      <c r="HYH45" s="21"/>
      <c r="HYL45" s="15"/>
      <c r="HYR45" s="25"/>
      <c r="HYY45" s="21"/>
      <c r="HYZ45" s="21"/>
      <c r="HZD45" s="15"/>
      <c r="HZJ45" s="25"/>
      <c r="HZQ45" s="21"/>
      <c r="HZR45" s="21"/>
      <c r="HZV45" s="15"/>
      <c r="IAB45" s="25"/>
      <c r="IAI45" s="21"/>
      <c r="IAJ45" s="21"/>
      <c r="IAN45" s="15"/>
      <c r="IAT45" s="25"/>
      <c r="IBA45" s="21"/>
      <c r="IBB45" s="21"/>
      <c r="IBF45" s="15"/>
      <c r="IBL45" s="25"/>
      <c r="IBS45" s="21"/>
      <c r="IBT45" s="21"/>
      <c r="IBX45" s="15"/>
      <c r="ICD45" s="25"/>
      <c r="ICK45" s="21"/>
      <c r="ICL45" s="21"/>
      <c r="ICP45" s="15"/>
      <c r="ICV45" s="25"/>
      <c r="IDC45" s="21"/>
      <c r="IDD45" s="21"/>
      <c r="IDH45" s="15"/>
      <c r="IDN45" s="25"/>
      <c r="IDU45" s="21"/>
      <c r="IDV45" s="21"/>
      <c r="IDZ45" s="15"/>
      <c r="IEF45" s="25"/>
      <c r="IEM45" s="21"/>
      <c r="IEN45" s="21"/>
      <c r="IER45" s="15"/>
      <c r="IEX45" s="25"/>
      <c r="IFE45" s="21"/>
      <c r="IFF45" s="21"/>
      <c r="IFJ45" s="15"/>
      <c r="IFP45" s="25"/>
      <c r="IFW45" s="21"/>
      <c r="IFX45" s="21"/>
      <c r="IGB45" s="15"/>
      <c r="IGH45" s="25"/>
      <c r="IGO45" s="21"/>
      <c r="IGP45" s="21"/>
      <c r="IGT45" s="15"/>
      <c r="IGZ45" s="25"/>
      <c r="IHG45" s="21"/>
      <c r="IHH45" s="21"/>
      <c r="IHL45" s="15"/>
      <c r="IHR45" s="25"/>
      <c r="IHY45" s="21"/>
      <c r="IHZ45" s="21"/>
      <c r="IID45" s="15"/>
      <c r="IIJ45" s="25"/>
      <c r="IIQ45" s="21"/>
      <c r="IIR45" s="21"/>
      <c r="IIV45" s="15"/>
      <c r="IJB45" s="25"/>
      <c r="IJI45" s="21"/>
      <c r="IJJ45" s="21"/>
      <c r="IJN45" s="15"/>
      <c r="IJT45" s="25"/>
      <c r="IKA45" s="21"/>
      <c r="IKB45" s="21"/>
      <c r="IKF45" s="15"/>
      <c r="IKL45" s="25"/>
      <c r="IKS45" s="21"/>
      <c r="IKT45" s="21"/>
      <c r="IKX45" s="15"/>
      <c r="ILD45" s="25"/>
      <c r="ILK45" s="21"/>
      <c r="ILL45" s="21"/>
      <c r="ILP45" s="15"/>
      <c r="ILV45" s="25"/>
      <c r="IMC45" s="21"/>
      <c r="IMD45" s="21"/>
      <c r="IMH45" s="15"/>
      <c r="IMN45" s="25"/>
      <c r="IMU45" s="21"/>
      <c r="IMV45" s="21"/>
      <c r="IMZ45" s="15"/>
      <c r="INF45" s="25"/>
      <c r="INM45" s="21"/>
      <c r="INN45" s="21"/>
      <c r="INR45" s="15"/>
      <c r="INX45" s="25"/>
      <c r="IOE45" s="21"/>
      <c r="IOF45" s="21"/>
      <c r="IOJ45" s="15"/>
      <c r="IOP45" s="25"/>
      <c r="IOW45" s="21"/>
      <c r="IOX45" s="21"/>
      <c r="IPB45" s="15"/>
      <c r="IPH45" s="25"/>
      <c r="IPO45" s="21"/>
      <c r="IPP45" s="21"/>
      <c r="IPT45" s="15"/>
      <c r="IPZ45" s="25"/>
      <c r="IQG45" s="21"/>
      <c r="IQH45" s="21"/>
      <c r="IQL45" s="15"/>
      <c r="IQR45" s="25"/>
      <c r="IQY45" s="21"/>
      <c r="IQZ45" s="21"/>
      <c r="IRD45" s="15"/>
      <c r="IRJ45" s="25"/>
      <c r="IRQ45" s="21"/>
      <c r="IRR45" s="21"/>
      <c r="IRV45" s="15"/>
      <c r="ISB45" s="25"/>
      <c r="ISI45" s="21"/>
      <c r="ISJ45" s="21"/>
      <c r="ISN45" s="15"/>
      <c r="IST45" s="25"/>
      <c r="ITA45" s="21"/>
      <c r="ITB45" s="21"/>
      <c r="ITF45" s="15"/>
      <c r="ITL45" s="25"/>
      <c r="ITS45" s="21"/>
      <c r="ITT45" s="21"/>
      <c r="ITX45" s="15"/>
      <c r="IUD45" s="25"/>
      <c r="IUK45" s="21"/>
      <c r="IUL45" s="21"/>
      <c r="IUP45" s="15"/>
      <c r="IUV45" s="25"/>
      <c r="IVC45" s="21"/>
      <c r="IVD45" s="21"/>
      <c r="IVH45" s="15"/>
      <c r="IVN45" s="25"/>
      <c r="IVU45" s="21"/>
      <c r="IVV45" s="21"/>
      <c r="IVZ45" s="15"/>
      <c r="IWF45" s="25"/>
      <c r="IWM45" s="21"/>
      <c r="IWN45" s="21"/>
      <c r="IWR45" s="15"/>
      <c r="IWX45" s="25"/>
      <c r="IXE45" s="21"/>
      <c r="IXF45" s="21"/>
      <c r="IXJ45" s="15"/>
      <c r="IXP45" s="25"/>
      <c r="IXW45" s="21"/>
      <c r="IXX45" s="21"/>
      <c r="IYB45" s="15"/>
      <c r="IYH45" s="25"/>
      <c r="IYO45" s="21"/>
      <c r="IYP45" s="21"/>
      <c r="IYT45" s="15"/>
      <c r="IYZ45" s="25"/>
      <c r="IZG45" s="21"/>
      <c r="IZH45" s="21"/>
      <c r="IZL45" s="15"/>
      <c r="IZR45" s="25"/>
      <c r="IZY45" s="21"/>
      <c r="IZZ45" s="21"/>
      <c r="JAD45" s="15"/>
      <c r="JAJ45" s="25"/>
      <c r="JAQ45" s="21"/>
      <c r="JAR45" s="21"/>
      <c r="JAV45" s="15"/>
      <c r="JBB45" s="25"/>
      <c r="JBI45" s="21"/>
      <c r="JBJ45" s="21"/>
      <c r="JBN45" s="15"/>
      <c r="JBT45" s="25"/>
      <c r="JCA45" s="21"/>
      <c r="JCB45" s="21"/>
      <c r="JCF45" s="15"/>
      <c r="JCL45" s="25"/>
      <c r="JCS45" s="21"/>
      <c r="JCT45" s="21"/>
      <c r="JCX45" s="15"/>
      <c r="JDD45" s="25"/>
      <c r="JDK45" s="21"/>
      <c r="JDL45" s="21"/>
      <c r="JDP45" s="15"/>
      <c r="JDV45" s="25"/>
      <c r="JEC45" s="21"/>
      <c r="JED45" s="21"/>
      <c r="JEH45" s="15"/>
      <c r="JEN45" s="25"/>
      <c r="JEU45" s="21"/>
      <c r="JEV45" s="21"/>
      <c r="JEZ45" s="15"/>
      <c r="JFF45" s="25"/>
      <c r="JFM45" s="21"/>
      <c r="JFN45" s="21"/>
      <c r="JFR45" s="15"/>
      <c r="JFX45" s="25"/>
      <c r="JGE45" s="21"/>
      <c r="JGF45" s="21"/>
      <c r="JGJ45" s="15"/>
      <c r="JGP45" s="25"/>
      <c r="JGW45" s="21"/>
      <c r="JGX45" s="21"/>
      <c r="JHB45" s="15"/>
      <c r="JHH45" s="25"/>
      <c r="JHO45" s="21"/>
      <c r="JHP45" s="21"/>
      <c r="JHT45" s="15"/>
      <c r="JHZ45" s="25"/>
      <c r="JIG45" s="21"/>
      <c r="JIH45" s="21"/>
      <c r="JIL45" s="15"/>
      <c r="JIR45" s="25"/>
      <c r="JIY45" s="21"/>
      <c r="JIZ45" s="21"/>
      <c r="JJD45" s="15"/>
      <c r="JJJ45" s="25"/>
      <c r="JJQ45" s="21"/>
      <c r="JJR45" s="21"/>
      <c r="JJV45" s="15"/>
      <c r="JKB45" s="25"/>
      <c r="JKI45" s="21"/>
      <c r="JKJ45" s="21"/>
      <c r="JKN45" s="15"/>
      <c r="JKT45" s="25"/>
      <c r="JLA45" s="21"/>
      <c r="JLB45" s="21"/>
      <c r="JLF45" s="15"/>
      <c r="JLL45" s="25"/>
      <c r="JLS45" s="21"/>
      <c r="JLT45" s="21"/>
      <c r="JLX45" s="15"/>
      <c r="JMD45" s="25"/>
      <c r="JMK45" s="21"/>
      <c r="JML45" s="21"/>
      <c r="JMP45" s="15"/>
      <c r="JMV45" s="25"/>
      <c r="JNC45" s="21"/>
      <c r="JND45" s="21"/>
      <c r="JNH45" s="15"/>
      <c r="JNN45" s="25"/>
      <c r="JNU45" s="21"/>
      <c r="JNV45" s="21"/>
      <c r="JNZ45" s="15"/>
      <c r="JOF45" s="25"/>
      <c r="JOM45" s="21"/>
      <c r="JON45" s="21"/>
      <c r="JOR45" s="15"/>
      <c r="JOX45" s="25"/>
      <c r="JPE45" s="21"/>
      <c r="JPF45" s="21"/>
      <c r="JPJ45" s="15"/>
      <c r="JPP45" s="25"/>
      <c r="JPW45" s="21"/>
      <c r="JPX45" s="21"/>
      <c r="JQB45" s="15"/>
      <c r="JQH45" s="25"/>
      <c r="JQO45" s="21"/>
      <c r="JQP45" s="21"/>
      <c r="JQT45" s="15"/>
      <c r="JQZ45" s="25"/>
      <c r="JRG45" s="21"/>
      <c r="JRH45" s="21"/>
      <c r="JRL45" s="15"/>
      <c r="JRR45" s="25"/>
      <c r="JRY45" s="21"/>
      <c r="JRZ45" s="21"/>
      <c r="JSD45" s="15"/>
      <c r="JSJ45" s="25"/>
      <c r="JSQ45" s="21"/>
      <c r="JSR45" s="21"/>
      <c r="JSV45" s="15"/>
      <c r="JTB45" s="25"/>
      <c r="JTI45" s="21"/>
      <c r="JTJ45" s="21"/>
      <c r="JTN45" s="15"/>
      <c r="JTT45" s="25"/>
      <c r="JUA45" s="21"/>
      <c r="JUB45" s="21"/>
      <c r="JUF45" s="15"/>
      <c r="JUL45" s="25"/>
      <c r="JUS45" s="21"/>
      <c r="JUT45" s="21"/>
      <c r="JUX45" s="15"/>
      <c r="JVD45" s="25"/>
      <c r="JVK45" s="21"/>
      <c r="JVL45" s="21"/>
      <c r="JVP45" s="15"/>
      <c r="JVV45" s="25"/>
      <c r="JWC45" s="21"/>
      <c r="JWD45" s="21"/>
      <c r="JWH45" s="15"/>
      <c r="JWN45" s="25"/>
      <c r="JWU45" s="21"/>
      <c r="JWV45" s="21"/>
      <c r="JWZ45" s="15"/>
      <c r="JXF45" s="25"/>
      <c r="JXM45" s="21"/>
      <c r="JXN45" s="21"/>
      <c r="JXR45" s="15"/>
      <c r="JXX45" s="25"/>
      <c r="JYE45" s="21"/>
      <c r="JYF45" s="21"/>
      <c r="JYJ45" s="15"/>
      <c r="JYP45" s="25"/>
      <c r="JYW45" s="21"/>
      <c r="JYX45" s="21"/>
      <c r="JZB45" s="15"/>
      <c r="JZH45" s="25"/>
      <c r="JZO45" s="21"/>
      <c r="JZP45" s="21"/>
      <c r="JZT45" s="15"/>
      <c r="JZZ45" s="25"/>
      <c r="KAG45" s="21"/>
      <c r="KAH45" s="21"/>
      <c r="KAL45" s="15"/>
      <c r="KAR45" s="25"/>
      <c r="KAY45" s="21"/>
      <c r="KAZ45" s="21"/>
      <c r="KBD45" s="15"/>
      <c r="KBJ45" s="25"/>
      <c r="KBQ45" s="21"/>
      <c r="KBR45" s="21"/>
      <c r="KBV45" s="15"/>
      <c r="KCB45" s="25"/>
      <c r="KCI45" s="21"/>
      <c r="KCJ45" s="21"/>
      <c r="KCN45" s="15"/>
      <c r="KCT45" s="25"/>
      <c r="KDA45" s="21"/>
      <c r="KDB45" s="21"/>
      <c r="KDF45" s="15"/>
      <c r="KDL45" s="25"/>
      <c r="KDS45" s="21"/>
      <c r="KDT45" s="21"/>
      <c r="KDX45" s="15"/>
      <c r="KED45" s="25"/>
      <c r="KEK45" s="21"/>
      <c r="KEL45" s="21"/>
      <c r="KEP45" s="15"/>
      <c r="KEV45" s="25"/>
      <c r="KFC45" s="21"/>
      <c r="KFD45" s="21"/>
      <c r="KFH45" s="15"/>
      <c r="KFN45" s="25"/>
      <c r="KFU45" s="21"/>
      <c r="KFV45" s="21"/>
      <c r="KFZ45" s="15"/>
      <c r="KGF45" s="25"/>
      <c r="KGM45" s="21"/>
      <c r="KGN45" s="21"/>
      <c r="KGR45" s="15"/>
      <c r="KGX45" s="25"/>
      <c r="KHE45" s="21"/>
      <c r="KHF45" s="21"/>
      <c r="KHJ45" s="15"/>
      <c r="KHP45" s="25"/>
      <c r="KHW45" s="21"/>
      <c r="KHX45" s="21"/>
      <c r="KIB45" s="15"/>
      <c r="KIH45" s="25"/>
      <c r="KIO45" s="21"/>
      <c r="KIP45" s="21"/>
      <c r="KIT45" s="15"/>
      <c r="KIZ45" s="25"/>
      <c r="KJG45" s="21"/>
      <c r="KJH45" s="21"/>
      <c r="KJL45" s="15"/>
      <c r="KJR45" s="25"/>
      <c r="KJY45" s="21"/>
      <c r="KJZ45" s="21"/>
      <c r="KKD45" s="15"/>
      <c r="KKJ45" s="25"/>
      <c r="KKQ45" s="21"/>
      <c r="KKR45" s="21"/>
      <c r="KKV45" s="15"/>
      <c r="KLB45" s="25"/>
      <c r="KLI45" s="21"/>
      <c r="KLJ45" s="21"/>
      <c r="KLN45" s="15"/>
      <c r="KLT45" s="25"/>
      <c r="KMA45" s="21"/>
      <c r="KMB45" s="21"/>
      <c r="KMF45" s="15"/>
      <c r="KML45" s="25"/>
      <c r="KMS45" s="21"/>
      <c r="KMT45" s="21"/>
      <c r="KMX45" s="15"/>
      <c r="KND45" s="25"/>
      <c r="KNK45" s="21"/>
      <c r="KNL45" s="21"/>
      <c r="KNP45" s="15"/>
      <c r="KNV45" s="25"/>
      <c r="KOC45" s="21"/>
      <c r="KOD45" s="21"/>
      <c r="KOH45" s="15"/>
      <c r="KON45" s="25"/>
      <c r="KOU45" s="21"/>
      <c r="KOV45" s="21"/>
      <c r="KOZ45" s="15"/>
      <c r="KPF45" s="25"/>
      <c r="KPM45" s="21"/>
      <c r="KPN45" s="21"/>
      <c r="KPR45" s="15"/>
      <c r="KPX45" s="25"/>
      <c r="KQE45" s="21"/>
      <c r="KQF45" s="21"/>
      <c r="KQJ45" s="15"/>
      <c r="KQP45" s="25"/>
      <c r="KQW45" s="21"/>
      <c r="KQX45" s="21"/>
      <c r="KRB45" s="15"/>
      <c r="KRH45" s="25"/>
      <c r="KRO45" s="21"/>
      <c r="KRP45" s="21"/>
      <c r="KRT45" s="15"/>
      <c r="KRZ45" s="25"/>
      <c r="KSG45" s="21"/>
      <c r="KSH45" s="21"/>
      <c r="KSL45" s="15"/>
      <c r="KSR45" s="25"/>
      <c r="KSY45" s="21"/>
      <c r="KSZ45" s="21"/>
      <c r="KTD45" s="15"/>
      <c r="KTJ45" s="25"/>
      <c r="KTQ45" s="21"/>
      <c r="KTR45" s="21"/>
      <c r="KTV45" s="15"/>
      <c r="KUB45" s="25"/>
      <c r="KUI45" s="21"/>
      <c r="KUJ45" s="21"/>
      <c r="KUN45" s="15"/>
      <c r="KUT45" s="25"/>
      <c r="KVA45" s="21"/>
      <c r="KVB45" s="21"/>
      <c r="KVF45" s="15"/>
      <c r="KVL45" s="25"/>
      <c r="KVS45" s="21"/>
      <c r="KVT45" s="21"/>
      <c r="KVX45" s="15"/>
      <c r="KWD45" s="25"/>
      <c r="KWK45" s="21"/>
      <c r="KWL45" s="21"/>
      <c r="KWP45" s="15"/>
      <c r="KWV45" s="25"/>
      <c r="KXC45" s="21"/>
      <c r="KXD45" s="21"/>
      <c r="KXH45" s="15"/>
      <c r="KXN45" s="25"/>
      <c r="KXU45" s="21"/>
      <c r="KXV45" s="21"/>
      <c r="KXZ45" s="15"/>
      <c r="KYF45" s="25"/>
      <c r="KYM45" s="21"/>
      <c r="KYN45" s="21"/>
      <c r="KYR45" s="15"/>
      <c r="KYX45" s="25"/>
      <c r="KZE45" s="21"/>
      <c r="KZF45" s="21"/>
      <c r="KZJ45" s="15"/>
      <c r="KZP45" s="25"/>
      <c r="KZW45" s="21"/>
      <c r="KZX45" s="21"/>
      <c r="LAB45" s="15"/>
      <c r="LAH45" s="25"/>
      <c r="LAO45" s="21"/>
      <c r="LAP45" s="21"/>
      <c r="LAT45" s="15"/>
      <c r="LAZ45" s="25"/>
      <c r="LBG45" s="21"/>
      <c r="LBH45" s="21"/>
      <c r="LBL45" s="15"/>
      <c r="LBR45" s="25"/>
      <c r="LBY45" s="21"/>
      <c r="LBZ45" s="21"/>
      <c r="LCD45" s="15"/>
      <c r="LCJ45" s="25"/>
      <c r="LCQ45" s="21"/>
      <c r="LCR45" s="21"/>
      <c r="LCV45" s="15"/>
      <c r="LDB45" s="25"/>
      <c r="LDI45" s="21"/>
      <c r="LDJ45" s="21"/>
      <c r="LDN45" s="15"/>
      <c r="LDT45" s="25"/>
      <c r="LEA45" s="21"/>
      <c r="LEB45" s="21"/>
      <c r="LEF45" s="15"/>
      <c r="LEL45" s="25"/>
      <c r="LES45" s="21"/>
      <c r="LET45" s="21"/>
      <c r="LEX45" s="15"/>
      <c r="LFD45" s="25"/>
      <c r="LFK45" s="21"/>
      <c r="LFL45" s="21"/>
      <c r="LFP45" s="15"/>
      <c r="LFV45" s="25"/>
      <c r="LGC45" s="21"/>
      <c r="LGD45" s="21"/>
      <c r="LGH45" s="15"/>
      <c r="LGN45" s="25"/>
      <c r="LGU45" s="21"/>
      <c r="LGV45" s="21"/>
      <c r="LGZ45" s="15"/>
      <c r="LHF45" s="25"/>
      <c r="LHM45" s="21"/>
      <c r="LHN45" s="21"/>
      <c r="LHR45" s="15"/>
      <c r="LHX45" s="25"/>
      <c r="LIE45" s="21"/>
      <c r="LIF45" s="21"/>
      <c r="LIJ45" s="15"/>
      <c r="LIP45" s="25"/>
      <c r="LIW45" s="21"/>
      <c r="LIX45" s="21"/>
      <c r="LJB45" s="15"/>
      <c r="LJH45" s="25"/>
      <c r="LJO45" s="21"/>
      <c r="LJP45" s="21"/>
      <c r="LJT45" s="15"/>
      <c r="LJZ45" s="25"/>
      <c r="LKG45" s="21"/>
      <c r="LKH45" s="21"/>
      <c r="LKL45" s="15"/>
      <c r="LKR45" s="25"/>
      <c r="LKY45" s="21"/>
      <c r="LKZ45" s="21"/>
      <c r="LLD45" s="15"/>
      <c r="LLJ45" s="25"/>
      <c r="LLQ45" s="21"/>
      <c r="LLR45" s="21"/>
      <c r="LLV45" s="15"/>
      <c r="LMB45" s="25"/>
      <c r="LMI45" s="21"/>
      <c r="LMJ45" s="21"/>
      <c r="LMN45" s="15"/>
      <c r="LMT45" s="25"/>
      <c r="LNA45" s="21"/>
      <c r="LNB45" s="21"/>
      <c r="LNF45" s="15"/>
      <c r="LNL45" s="25"/>
      <c r="LNS45" s="21"/>
      <c r="LNT45" s="21"/>
      <c r="LNX45" s="15"/>
      <c r="LOD45" s="25"/>
      <c r="LOK45" s="21"/>
      <c r="LOL45" s="21"/>
      <c r="LOP45" s="15"/>
      <c r="LOV45" s="25"/>
      <c r="LPC45" s="21"/>
      <c r="LPD45" s="21"/>
      <c r="LPH45" s="15"/>
      <c r="LPN45" s="25"/>
      <c r="LPU45" s="21"/>
      <c r="LPV45" s="21"/>
      <c r="LPZ45" s="15"/>
      <c r="LQF45" s="25"/>
      <c r="LQM45" s="21"/>
      <c r="LQN45" s="21"/>
      <c r="LQR45" s="15"/>
      <c r="LQX45" s="25"/>
      <c r="LRE45" s="21"/>
      <c r="LRF45" s="21"/>
      <c r="LRJ45" s="15"/>
      <c r="LRP45" s="25"/>
      <c r="LRW45" s="21"/>
      <c r="LRX45" s="21"/>
      <c r="LSB45" s="15"/>
      <c r="LSH45" s="25"/>
      <c r="LSO45" s="21"/>
      <c r="LSP45" s="21"/>
      <c r="LST45" s="15"/>
      <c r="LSZ45" s="25"/>
      <c r="LTG45" s="21"/>
      <c r="LTH45" s="21"/>
      <c r="LTL45" s="15"/>
      <c r="LTR45" s="25"/>
      <c r="LTY45" s="21"/>
      <c r="LTZ45" s="21"/>
      <c r="LUD45" s="15"/>
      <c r="LUJ45" s="25"/>
      <c r="LUQ45" s="21"/>
      <c r="LUR45" s="21"/>
      <c r="LUV45" s="15"/>
      <c r="LVB45" s="25"/>
      <c r="LVI45" s="21"/>
      <c r="LVJ45" s="21"/>
      <c r="LVN45" s="15"/>
      <c r="LVT45" s="25"/>
      <c r="LWA45" s="21"/>
      <c r="LWB45" s="21"/>
      <c r="LWF45" s="15"/>
      <c r="LWL45" s="25"/>
      <c r="LWS45" s="21"/>
      <c r="LWT45" s="21"/>
      <c r="LWX45" s="15"/>
      <c r="LXD45" s="25"/>
      <c r="LXK45" s="21"/>
      <c r="LXL45" s="21"/>
      <c r="LXP45" s="15"/>
      <c r="LXV45" s="25"/>
      <c r="LYC45" s="21"/>
      <c r="LYD45" s="21"/>
      <c r="LYH45" s="15"/>
      <c r="LYN45" s="25"/>
      <c r="LYU45" s="21"/>
      <c r="LYV45" s="21"/>
      <c r="LYZ45" s="15"/>
      <c r="LZF45" s="25"/>
      <c r="LZM45" s="21"/>
      <c r="LZN45" s="21"/>
      <c r="LZR45" s="15"/>
      <c r="LZX45" s="25"/>
      <c r="MAE45" s="21"/>
      <c r="MAF45" s="21"/>
      <c r="MAJ45" s="15"/>
      <c r="MAP45" s="25"/>
      <c r="MAW45" s="21"/>
      <c r="MAX45" s="21"/>
      <c r="MBB45" s="15"/>
      <c r="MBH45" s="25"/>
      <c r="MBO45" s="21"/>
      <c r="MBP45" s="21"/>
      <c r="MBT45" s="15"/>
      <c r="MBZ45" s="25"/>
      <c r="MCG45" s="21"/>
      <c r="MCH45" s="21"/>
      <c r="MCL45" s="15"/>
      <c r="MCR45" s="25"/>
      <c r="MCY45" s="21"/>
      <c r="MCZ45" s="21"/>
      <c r="MDD45" s="15"/>
      <c r="MDJ45" s="25"/>
      <c r="MDQ45" s="21"/>
      <c r="MDR45" s="21"/>
      <c r="MDV45" s="15"/>
      <c r="MEB45" s="25"/>
      <c r="MEI45" s="21"/>
      <c r="MEJ45" s="21"/>
      <c r="MEN45" s="15"/>
      <c r="MET45" s="25"/>
      <c r="MFA45" s="21"/>
      <c r="MFB45" s="21"/>
      <c r="MFF45" s="15"/>
      <c r="MFL45" s="25"/>
      <c r="MFS45" s="21"/>
      <c r="MFT45" s="21"/>
      <c r="MFX45" s="15"/>
      <c r="MGD45" s="25"/>
      <c r="MGK45" s="21"/>
      <c r="MGL45" s="21"/>
      <c r="MGP45" s="15"/>
      <c r="MGV45" s="25"/>
      <c r="MHC45" s="21"/>
      <c r="MHD45" s="21"/>
      <c r="MHH45" s="15"/>
      <c r="MHN45" s="25"/>
      <c r="MHU45" s="21"/>
      <c r="MHV45" s="21"/>
      <c r="MHZ45" s="15"/>
      <c r="MIF45" s="25"/>
      <c r="MIM45" s="21"/>
      <c r="MIN45" s="21"/>
      <c r="MIR45" s="15"/>
      <c r="MIX45" s="25"/>
      <c r="MJE45" s="21"/>
      <c r="MJF45" s="21"/>
      <c r="MJJ45" s="15"/>
      <c r="MJP45" s="25"/>
      <c r="MJW45" s="21"/>
      <c r="MJX45" s="21"/>
      <c r="MKB45" s="15"/>
      <c r="MKH45" s="25"/>
      <c r="MKO45" s="21"/>
      <c r="MKP45" s="21"/>
      <c r="MKT45" s="15"/>
      <c r="MKZ45" s="25"/>
      <c r="MLG45" s="21"/>
      <c r="MLH45" s="21"/>
      <c r="MLL45" s="15"/>
      <c r="MLR45" s="25"/>
      <c r="MLY45" s="21"/>
      <c r="MLZ45" s="21"/>
      <c r="MMD45" s="15"/>
      <c r="MMJ45" s="25"/>
      <c r="MMQ45" s="21"/>
      <c r="MMR45" s="21"/>
      <c r="MMV45" s="15"/>
      <c r="MNB45" s="25"/>
      <c r="MNI45" s="21"/>
      <c r="MNJ45" s="21"/>
      <c r="MNN45" s="15"/>
      <c r="MNT45" s="25"/>
      <c r="MOA45" s="21"/>
      <c r="MOB45" s="21"/>
      <c r="MOF45" s="15"/>
      <c r="MOL45" s="25"/>
      <c r="MOS45" s="21"/>
      <c r="MOT45" s="21"/>
      <c r="MOX45" s="15"/>
      <c r="MPD45" s="25"/>
      <c r="MPK45" s="21"/>
      <c r="MPL45" s="21"/>
      <c r="MPP45" s="15"/>
      <c r="MPV45" s="25"/>
      <c r="MQC45" s="21"/>
      <c r="MQD45" s="21"/>
      <c r="MQH45" s="15"/>
      <c r="MQN45" s="25"/>
      <c r="MQU45" s="21"/>
      <c r="MQV45" s="21"/>
      <c r="MQZ45" s="15"/>
      <c r="MRF45" s="25"/>
      <c r="MRM45" s="21"/>
      <c r="MRN45" s="21"/>
      <c r="MRR45" s="15"/>
      <c r="MRX45" s="25"/>
      <c r="MSE45" s="21"/>
      <c r="MSF45" s="21"/>
      <c r="MSJ45" s="15"/>
      <c r="MSP45" s="25"/>
      <c r="MSW45" s="21"/>
      <c r="MSX45" s="21"/>
      <c r="MTB45" s="15"/>
      <c r="MTH45" s="25"/>
      <c r="MTO45" s="21"/>
      <c r="MTP45" s="21"/>
      <c r="MTT45" s="15"/>
      <c r="MTZ45" s="25"/>
      <c r="MUG45" s="21"/>
      <c r="MUH45" s="21"/>
      <c r="MUL45" s="15"/>
      <c r="MUR45" s="25"/>
      <c r="MUY45" s="21"/>
      <c r="MUZ45" s="21"/>
      <c r="MVD45" s="15"/>
      <c r="MVJ45" s="25"/>
      <c r="MVQ45" s="21"/>
      <c r="MVR45" s="21"/>
      <c r="MVV45" s="15"/>
      <c r="MWB45" s="25"/>
      <c r="MWI45" s="21"/>
      <c r="MWJ45" s="21"/>
      <c r="MWN45" s="15"/>
      <c r="MWT45" s="25"/>
      <c r="MXA45" s="21"/>
      <c r="MXB45" s="21"/>
      <c r="MXF45" s="15"/>
      <c r="MXL45" s="25"/>
      <c r="MXS45" s="21"/>
      <c r="MXT45" s="21"/>
      <c r="MXX45" s="15"/>
      <c r="MYD45" s="25"/>
      <c r="MYK45" s="21"/>
      <c r="MYL45" s="21"/>
      <c r="MYP45" s="15"/>
      <c r="MYV45" s="25"/>
      <c r="MZC45" s="21"/>
      <c r="MZD45" s="21"/>
      <c r="MZH45" s="15"/>
      <c r="MZN45" s="25"/>
      <c r="MZU45" s="21"/>
      <c r="MZV45" s="21"/>
      <c r="MZZ45" s="15"/>
      <c r="NAF45" s="25"/>
      <c r="NAM45" s="21"/>
      <c r="NAN45" s="21"/>
      <c r="NAR45" s="15"/>
      <c r="NAX45" s="25"/>
      <c r="NBE45" s="21"/>
      <c r="NBF45" s="21"/>
      <c r="NBJ45" s="15"/>
      <c r="NBP45" s="25"/>
      <c r="NBW45" s="21"/>
      <c r="NBX45" s="21"/>
      <c r="NCB45" s="15"/>
      <c r="NCH45" s="25"/>
      <c r="NCO45" s="21"/>
      <c r="NCP45" s="21"/>
      <c r="NCT45" s="15"/>
      <c r="NCZ45" s="25"/>
      <c r="NDG45" s="21"/>
      <c r="NDH45" s="21"/>
      <c r="NDL45" s="15"/>
      <c r="NDR45" s="25"/>
      <c r="NDY45" s="21"/>
      <c r="NDZ45" s="21"/>
      <c r="NED45" s="15"/>
      <c r="NEJ45" s="25"/>
      <c r="NEQ45" s="21"/>
      <c r="NER45" s="21"/>
      <c r="NEV45" s="15"/>
      <c r="NFB45" s="25"/>
      <c r="NFI45" s="21"/>
      <c r="NFJ45" s="21"/>
      <c r="NFN45" s="15"/>
      <c r="NFT45" s="25"/>
      <c r="NGA45" s="21"/>
      <c r="NGB45" s="21"/>
      <c r="NGF45" s="15"/>
      <c r="NGL45" s="25"/>
      <c r="NGS45" s="21"/>
      <c r="NGT45" s="21"/>
      <c r="NGX45" s="15"/>
      <c r="NHD45" s="25"/>
      <c r="NHK45" s="21"/>
      <c r="NHL45" s="21"/>
      <c r="NHP45" s="15"/>
      <c r="NHV45" s="25"/>
      <c r="NIC45" s="21"/>
      <c r="NID45" s="21"/>
      <c r="NIH45" s="15"/>
      <c r="NIN45" s="25"/>
      <c r="NIU45" s="21"/>
      <c r="NIV45" s="21"/>
      <c r="NIZ45" s="15"/>
      <c r="NJF45" s="25"/>
      <c r="NJM45" s="21"/>
      <c r="NJN45" s="21"/>
      <c r="NJR45" s="15"/>
      <c r="NJX45" s="25"/>
      <c r="NKE45" s="21"/>
      <c r="NKF45" s="21"/>
      <c r="NKJ45" s="15"/>
      <c r="NKP45" s="25"/>
      <c r="NKW45" s="21"/>
      <c r="NKX45" s="21"/>
      <c r="NLB45" s="15"/>
      <c r="NLH45" s="25"/>
      <c r="NLO45" s="21"/>
      <c r="NLP45" s="21"/>
      <c r="NLT45" s="15"/>
      <c r="NLZ45" s="25"/>
      <c r="NMG45" s="21"/>
      <c r="NMH45" s="21"/>
      <c r="NML45" s="15"/>
      <c r="NMR45" s="25"/>
      <c r="NMY45" s="21"/>
      <c r="NMZ45" s="21"/>
      <c r="NND45" s="15"/>
      <c r="NNJ45" s="25"/>
      <c r="NNQ45" s="21"/>
      <c r="NNR45" s="21"/>
      <c r="NNV45" s="15"/>
      <c r="NOB45" s="25"/>
      <c r="NOI45" s="21"/>
      <c r="NOJ45" s="21"/>
      <c r="NON45" s="15"/>
      <c r="NOT45" s="25"/>
      <c r="NPA45" s="21"/>
      <c r="NPB45" s="21"/>
      <c r="NPF45" s="15"/>
      <c r="NPL45" s="25"/>
      <c r="NPS45" s="21"/>
      <c r="NPT45" s="21"/>
      <c r="NPX45" s="15"/>
      <c r="NQD45" s="25"/>
      <c r="NQK45" s="21"/>
      <c r="NQL45" s="21"/>
      <c r="NQP45" s="15"/>
      <c r="NQV45" s="25"/>
      <c r="NRC45" s="21"/>
      <c r="NRD45" s="21"/>
      <c r="NRH45" s="15"/>
      <c r="NRN45" s="25"/>
      <c r="NRU45" s="21"/>
      <c r="NRV45" s="21"/>
      <c r="NRZ45" s="15"/>
      <c r="NSF45" s="25"/>
      <c r="NSM45" s="21"/>
      <c r="NSN45" s="21"/>
      <c r="NSR45" s="15"/>
      <c r="NSX45" s="25"/>
      <c r="NTE45" s="21"/>
      <c r="NTF45" s="21"/>
      <c r="NTJ45" s="15"/>
      <c r="NTP45" s="25"/>
      <c r="NTW45" s="21"/>
      <c r="NTX45" s="21"/>
      <c r="NUB45" s="15"/>
      <c r="NUH45" s="25"/>
      <c r="NUO45" s="21"/>
      <c r="NUP45" s="21"/>
      <c r="NUT45" s="15"/>
      <c r="NUZ45" s="25"/>
      <c r="NVG45" s="21"/>
      <c r="NVH45" s="21"/>
      <c r="NVL45" s="15"/>
      <c r="NVR45" s="25"/>
      <c r="NVY45" s="21"/>
      <c r="NVZ45" s="21"/>
      <c r="NWD45" s="15"/>
      <c r="NWJ45" s="25"/>
      <c r="NWQ45" s="21"/>
      <c r="NWR45" s="21"/>
      <c r="NWV45" s="15"/>
      <c r="NXB45" s="25"/>
      <c r="NXI45" s="21"/>
      <c r="NXJ45" s="21"/>
      <c r="NXN45" s="15"/>
      <c r="NXT45" s="25"/>
      <c r="NYA45" s="21"/>
      <c r="NYB45" s="21"/>
      <c r="NYF45" s="15"/>
      <c r="NYL45" s="25"/>
      <c r="NYS45" s="21"/>
      <c r="NYT45" s="21"/>
      <c r="NYX45" s="15"/>
      <c r="NZD45" s="25"/>
      <c r="NZK45" s="21"/>
      <c r="NZL45" s="21"/>
      <c r="NZP45" s="15"/>
      <c r="NZV45" s="25"/>
      <c r="OAC45" s="21"/>
      <c r="OAD45" s="21"/>
      <c r="OAH45" s="15"/>
      <c r="OAN45" s="25"/>
      <c r="OAU45" s="21"/>
      <c r="OAV45" s="21"/>
      <c r="OAZ45" s="15"/>
      <c r="OBF45" s="25"/>
      <c r="OBM45" s="21"/>
      <c r="OBN45" s="21"/>
      <c r="OBR45" s="15"/>
      <c r="OBX45" s="25"/>
      <c r="OCE45" s="21"/>
      <c r="OCF45" s="21"/>
      <c r="OCJ45" s="15"/>
      <c r="OCP45" s="25"/>
      <c r="OCW45" s="21"/>
      <c r="OCX45" s="21"/>
      <c r="ODB45" s="15"/>
      <c r="ODH45" s="25"/>
      <c r="ODO45" s="21"/>
      <c r="ODP45" s="21"/>
      <c r="ODT45" s="15"/>
      <c r="ODZ45" s="25"/>
      <c r="OEG45" s="21"/>
      <c r="OEH45" s="21"/>
      <c r="OEL45" s="15"/>
      <c r="OER45" s="25"/>
      <c r="OEY45" s="21"/>
      <c r="OEZ45" s="21"/>
      <c r="OFD45" s="15"/>
      <c r="OFJ45" s="25"/>
      <c r="OFQ45" s="21"/>
      <c r="OFR45" s="21"/>
      <c r="OFV45" s="15"/>
      <c r="OGB45" s="25"/>
      <c r="OGI45" s="21"/>
      <c r="OGJ45" s="21"/>
      <c r="OGN45" s="15"/>
      <c r="OGT45" s="25"/>
      <c r="OHA45" s="21"/>
      <c r="OHB45" s="21"/>
      <c r="OHF45" s="15"/>
      <c r="OHL45" s="25"/>
      <c r="OHS45" s="21"/>
      <c r="OHT45" s="21"/>
      <c r="OHX45" s="15"/>
      <c r="OID45" s="25"/>
      <c r="OIK45" s="21"/>
      <c r="OIL45" s="21"/>
      <c r="OIP45" s="15"/>
      <c r="OIV45" s="25"/>
      <c r="OJC45" s="21"/>
      <c r="OJD45" s="21"/>
      <c r="OJH45" s="15"/>
      <c r="OJN45" s="25"/>
      <c r="OJU45" s="21"/>
      <c r="OJV45" s="21"/>
      <c r="OJZ45" s="15"/>
      <c r="OKF45" s="25"/>
      <c r="OKM45" s="21"/>
      <c r="OKN45" s="21"/>
      <c r="OKR45" s="15"/>
      <c r="OKX45" s="25"/>
      <c r="OLE45" s="21"/>
      <c r="OLF45" s="21"/>
      <c r="OLJ45" s="15"/>
      <c r="OLP45" s="25"/>
      <c r="OLW45" s="21"/>
      <c r="OLX45" s="21"/>
      <c r="OMB45" s="15"/>
      <c r="OMH45" s="25"/>
      <c r="OMO45" s="21"/>
      <c r="OMP45" s="21"/>
      <c r="OMT45" s="15"/>
      <c r="OMZ45" s="25"/>
      <c r="ONG45" s="21"/>
      <c r="ONH45" s="21"/>
      <c r="ONL45" s="15"/>
      <c r="ONR45" s="25"/>
      <c r="ONY45" s="21"/>
      <c r="ONZ45" s="21"/>
      <c r="OOD45" s="15"/>
      <c r="OOJ45" s="25"/>
      <c r="OOQ45" s="21"/>
      <c r="OOR45" s="21"/>
      <c r="OOV45" s="15"/>
      <c r="OPB45" s="25"/>
      <c r="OPI45" s="21"/>
      <c r="OPJ45" s="21"/>
      <c r="OPN45" s="15"/>
      <c r="OPT45" s="25"/>
      <c r="OQA45" s="21"/>
      <c r="OQB45" s="21"/>
      <c r="OQF45" s="15"/>
      <c r="OQL45" s="25"/>
      <c r="OQS45" s="21"/>
      <c r="OQT45" s="21"/>
      <c r="OQX45" s="15"/>
      <c r="ORD45" s="25"/>
      <c r="ORK45" s="21"/>
      <c r="ORL45" s="21"/>
      <c r="ORP45" s="15"/>
      <c r="ORV45" s="25"/>
      <c r="OSC45" s="21"/>
      <c r="OSD45" s="21"/>
      <c r="OSH45" s="15"/>
      <c r="OSN45" s="25"/>
      <c r="OSU45" s="21"/>
      <c r="OSV45" s="21"/>
      <c r="OSZ45" s="15"/>
      <c r="OTF45" s="25"/>
      <c r="OTM45" s="21"/>
      <c r="OTN45" s="21"/>
      <c r="OTR45" s="15"/>
      <c r="OTX45" s="25"/>
      <c r="OUE45" s="21"/>
      <c r="OUF45" s="21"/>
      <c r="OUJ45" s="15"/>
      <c r="OUP45" s="25"/>
      <c r="OUW45" s="21"/>
      <c r="OUX45" s="21"/>
      <c r="OVB45" s="15"/>
      <c r="OVH45" s="25"/>
      <c r="OVO45" s="21"/>
      <c r="OVP45" s="21"/>
      <c r="OVT45" s="15"/>
      <c r="OVZ45" s="25"/>
      <c r="OWG45" s="21"/>
      <c r="OWH45" s="21"/>
      <c r="OWL45" s="15"/>
      <c r="OWR45" s="25"/>
      <c r="OWY45" s="21"/>
      <c r="OWZ45" s="21"/>
      <c r="OXD45" s="15"/>
      <c r="OXJ45" s="25"/>
      <c r="OXQ45" s="21"/>
      <c r="OXR45" s="21"/>
      <c r="OXV45" s="15"/>
      <c r="OYB45" s="25"/>
      <c r="OYI45" s="21"/>
      <c r="OYJ45" s="21"/>
      <c r="OYN45" s="15"/>
      <c r="OYT45" s="25"/>
      <c r="OZA45" s="21"/>
      <c r="OZB45" s="21"/>
      <c r="OZF45" s="15"/>
      <c r="OZL45" s="25"/>
      <c r="OZS45" s="21"/>
      <c r="OZT45" s="21"/>
      <c r="OZX45" s="15"/>
      <c r="PAD45" s="25"/>
      <c r="PAK45" s="21"/>
      <c r="PAL45" s="21"/>
      <c r="PAP45" s="15"/>
      <c r="PAV45" s="25"/>
      <c r="PBC45" s="21"/>
      <c r="PBD45" s="21"/>
      <c r="PBH45" s="15"/>
      <c r="PBN45" s="25"/>
      <c r="PBU45" s="21"/>
      <c r="PBV45" s="21"/>
      <c r="PBZ45" s="15"/>
      <c r="PCF45" s="25"/>
      <c r="PCM45" s="21"/>
      <c r="PCN45" s="21"/>
      <c r="PCR45" s="15"/>
      <c r="PCX45" s="25"/>
      <c r="PDE45" s="21"/>
      <c r="PDF45" s="21"/>
      <c r="PDJ45" s="15"/>
      <c r="PDP45" s="25"/>
      <c r="PDW45" s="21"/>
      <c r="PDX45" s="21"/>
      <c r="PEB45" s="15"/>
      <c r="PEH45" s="25"/>
      <c r="PEO45" s="21"/>
      <c r="PEP45" s="21"/>
      <c r="PET45" s="15"/>
      <c r="PEZ45" s="25"/>
      <c r="PFG45" s="21"/>
      <c r="PFH45" s="21"/>
      <c r="PFL45" s="15"/>
      <c r="PFR45" s="25"/>
      <c r="PFY45" s="21"/>
      <c r="PFZ45" s="21"/>
      <c r="PGD45" s="15"/>
      <c r="PGJ45" s="25"/>
      <c r="PGQ45" s="21"/>
      <c r="PGR45" s="21"/>
      <c r="PGV45" s="15"/>
      <c r="PHB45" s="25"/>
      <c r="PHI45" s="21"/>
      <c r="PHJ45" s="21"/>
      <c r="PHN45" s="15"/>
      <c r="PHT45" s="25"/>
      <c r="PIA45" s="21"/>
      <c r="PIB45" s="21"/>
      <c r="PIF45" s="15"/>
      <c r="PIL45" s="25"/>
      <c r="PIS45" s="21"/>
      <c r="PIT45" s="21"/>
      <c r="PIX45" s="15"/>
      <c r="PJD45" s="25"/>
      <c r="PJK45" s="21"/>
      <c r="PJL45" s="21"/>
      <c r="PJP45" s="15"/>
      <c r="PJV45" s="25"/>
      <c r="PKC45" s="21"/>
      <c r="PKD45" s="21"/>
      <c r="PKH45" s="15"/>
      <c r="PKN45" s="25"/>
      <c r="PKU45" s="21"/>
      <c r="PKV45" s="21"/>
      <c r="PKZ45" s="15"/>
      <c r="PLF45" s="25"/>
      <c r="PLM45" s="21"/>
      <c r="PLN45" s="21"/>
      <c r="PLR45" s="15"/>
      <c r="PLX45" s="25"/>
      <c r="PME45" s="21"/>
      <c r="PMF45" s="21"/>
      <c r="PMJ45" s="15"/>
      <c r="PMP45" s="25"/>
      <c r="PMW45" s="21"/>
      <c r="PMX45" s="21"/>
      <c r="PNB45" s="15"/>
      <c r="PNH45" s="25"/>
      <c r="PNO45" s="21"/>
      <c r="PNP45" s="21"/>
      <c r="PNT45" s="15"/>
      <c r="PNZ45" s="25"/>
      <c r="POG45" s="21"/>
      <c r="POH45" s="21"/>
      <c r="POL45" s="15"/>
      <c r="POR45" s="25"/>
      <c r="POY45" s="21"/>
      <c r="POZ45" s="21"/>
      <c r="PPD45" s="15"/>
      <c r="PPJ45" s="25"/>
      <c r="PPQ45" s="21"/>
      <c r="PPR45" s="21"/>
      <c r="PPV45" s="15"/>
      <c r="PQB45" s="25"/>
      <c r="PQI45" s="21"/>
      <c r="PQJ45" s="21"/>
      <c r="PQN45" s="15"/>
      <c r="PQT45" s="25"/>
      <c r="PRA45" s="21"/>
      <c r="PRB45" s="21"/>
      <c r="PRF45" s="15"/>
      <c r="PRL45" s="25"/>
      <c r="PRS45" s="21"/>
      <c r="PRT45" s="21"/>
      <c r="PRX45" s="15"/>
      <c r="PSD45" s="25"/>
      <c r="PSK45" s="21"/>
      <c r="PSL45" s="21"/>
      <c r="PSP45" s="15"/>
      <c r="PSV45" s="25"/>
      <c r="PTC45" s="21"/>
      <c r="PTD45" s="21"/>
      <c r="PTH45" s="15"/>
      <c r="PTN45" s="25"/>
      <c r="PTU45" s="21"/>
      <c r="PTV45" s="21"/>
      <c r="PTZ45" s="15"/>
      <c r="PUF45" s="25"/>
      <c r="PUM45" s="21"/>
      <c r="PUN45" s="21"/>
      <c r="PUR45" s="15"/>
      <c r="PUX45" s="25"/>
      <c r="PVE45" s="21"/>
      <c r="PVF45" s="21"/>
      <c r="PVJ45" s="15"/>
      <c r="PVP45" s="25"/>
      <c r="PVW45" s="21"/>
      <c r="PVX45" s="21"/>
      <c r="PWB45" s="15"/>
      <c r="PWH45" s="25"/>
      <c r="PWO45" s="21"/>
      <c r="PWP45" s="21"/>
      <c r="PWT45" s="15"/>
      <c r="PWZ45" s="25"/>
      <c r="PXG45" s="21"/>
      <c r="PXH45" s="21"/>
      <c r="PXL45" s="15"/>
      <c r="PXR45" s="25"/>
      <c r="PXY45" s="21"/>
      <c r="PXZ45" s="21"/>
      <c r="PYD45" s="15"/>
      <c r="PYJ45" s="25"/>
      <c r="PYQ45" s="21"/>
      <c r="PYR45" s="21"/>
      <c r="PYV45" s="15"/>
      <c r="PZB45" s="25"/>
      <c r="PZI45" s="21"/>
      <c r="PZJ45" s="21"/>
      <c r="PZN45" s="15"/>
      <c r="PZT45" s="25"/>
      <c r="QAA45" s="21"/>
      <c r="QAB45" s="21"/>
      <c r="QAF45" s="15"/>
      <c r="QAL45" s="25"/>
      <c r="QAS45" s="21"/>
      <c r="QAT45" s="21"/>
      <c r="QAX45" s="15"/>
      <c r="QBD45" s="25"/>
      <c r="QBK45" s="21"/>
      <c r="QBL45" s="21"/>
      <c r="QBP45" s="15"/>
      <c r="QBV45" s="25"/>
      <c r="QCC45" s="21"/>
      <c r="QCD45" s="21"/>
      <c r="QCH45" s="15"/>
      <c r="QCN45" s="25"/>
      <c r="QCU45" s="21"/>
      <c r="QCV45" s="21"/>
      <c r="QCZ45" s="15"/>
      <c r="QDF45" s="25"/>
      <c r="QDM45" s="21"/>
      <c r="QDN45" s="21"/>
      <c r="QDR45" s="15"/>
      <c r="QDX45" s="25"/>
      <c r="QEE45" s="21"/>
      <c r="QEF45" s="21"/>
      <c r="QEJ45" s="15"/>
      <c r="QEP45" s="25"/>
      <c r="QEW45" s="21"/>
      <c r="QEX45" s="21"/>
      <c r="QFB45" s="15"/>
      <c r="QFH45" s="25"/>
      <c r="QFO45" s="21"/>
      <c r="QFP45" s="21"/>
      <c r="QFT45" s="15"/>
      <c r="QFZ45" s="25"/>
      <c r="QGG45" s="21"/>
      <c r="QGH45" s="21"/>
      <c r="QGL45" s="15"/>
      <c r="QGR45" s="25"/>
      <c r="QGY45" s="21"/>
      <c r="QGZ45" s="21"/>
      <c r="QHD45" s="15"/>
      <c r="QHJ45" s="25"/>
      <c r="QHQ45" s="21"/>
      <c r="QHR45" s="21"/>
      <c r="QHV45" s="15"/>
      <c r="QIB45" s="25"/>
      <c r="QII45" s="21"/>
      <c r="QIJ45" s="21"/>
      <c r="QIN45" s="15"/>
      <c r="QIT45" s="25"/>
      <c r="QJA45" s="21"/>
      <c r="QJB45" s="21"/>
      <c r="QJF45" s="15"/>
      <c r="QJL45" s="25"/>
      <c r="QJS45" s="21"/>
      <c r="QJT45" s="21"/>
      <c r="QJX45" s="15"/>
      <c r="QKD45" s="25"/>
      <c r="QKK45" s="21"/>
      <c r="QKL45" s="21"/>
      <c r="QKP45" s="15"/>
      <c r="QKV45" s="25"/>
      <c r="QLC45" s="21"/>
      <c r="QLD45" s="21"/>
      <c r="QLH45" s="15"/>
      <c r="QLN45" s="25"/>
      <c r="QLU45" s="21"/>
      <c r="QLV45" s="21"/>
      <c r="QLZ45" s="15"/>
      <c r="QMF45" s="25"/>
      <c r="QMM45" s="21"/>
      <c r="QMN45" s="21"/>
      <c r="QMR45" s="15"/>
      <c r="QMX45" s="25"/>
      <c r="QNE45" s="21"/>
      <c r="QNF45" s="21"/>
      <c r="QNJ45" s="15"/>
      <c r="QNP45" s="25"/>
      <c r="QNW45" s="21"/>
      <c r="QNX45" s="21"/>
      <c r="QOB45" s="15"/>
      <c r="QOH45" s="25"/>
      <c r="QOO45" s="21"/>
      <c r="QOP45" s="21"/>
      <c r="QOT45" s="15"/>
      <c r="QOZ45" s="25"/>
      <c r="QPG45" s="21"/>
      <c r="QPH45" s="21"/>
      <c r="QPL45" s="15"/>
      <c r="QPR45" s="25"/>
      <c r="QPY45" s="21"/>
      <c r="QPZ45" s="21"/>
      <c r="QQD45" s="15"/>
      <c r="QQJ45" s="25"/>
      <c r="QQQ45" s="21"/>
      <c r="QQR45" s="21"/>
      <c r="QQV45" s="15"/>
      <c r="QRB45" s="25"/>
      <c r="QRI45" s="21"/>
      <c r="QRJ45" s="21"/>
      <c r="QRN45" s="15"/>
      <c r="QRT45" s="25"/>
      <c r="QSA45" s="21"/>
      <c r="QSB45" s="21"/>
      <c r="QSF45" s="15"/>
      <c r="QSL45" s="25"/>
      <c r="QSS45" s="21"/>
      <c r="QST45" s="21"/>
      <c r="QSX45" s="15"/>
      <c r="QTD45" s="25"/>
      <c r="QTK45" s="21"/>
      <c r="QTL45" s="21"/>
      <c r="QTP45" s="15"/>
      <c r="QTV45" s="25"/>
      <c r="QUC45" s="21"/>
      <c r="QUD45" s="21"/>
      <c r="QUH45" s="15"/>
      <c r="QUN45" s="25"/>
      <c r="QUU45" s="21"/>
      <c r="QUV45" s="21"/>
      <c r="QUZ45" s="15"/>
      <c r="QVF45" s="25"/>
      <c r="QVM45" s="21"/>
      <c r="QVN45" s="21"/>
      <c r="QVR45" s="15"/>
      <c r="QVX45" s="25"/>
      <c r="QWE45" s="21"/>
      <c r="QWF45" s="21"/>
      <c r="QWJ45" s="15"/>
      <c r="QWP45" s="25"/>
      <c r="QWW45" s="21"/>
      <c r="QWX45" s="21"/>
      <c r="QXB45" s="15"/>
      <c r="QXH45" s="25"/>
      <c r="QXO45" s="21"/>
      <c r="QXP45" s="21"/>
      <c r="QXT45" s="15"/>
      <c r="QXZ45" s="25"/>
      <c r="QYG45" s="21"/>
      <c r="QYH45" s="21"/>
      <c r="QYL45" s="15"/>
      <c r="QYR45" s="25"/>
      <c r="QYY45" s="21"/>
      <c r="QYZ45" s="21"/>
      <c r="QZD45" s="15"/>
      <c r="QZJ45" s="25"/>
      <c r="QZQ45" s="21"/>
      <c r="QZR45" s="21"/>
      <c r="QZV45" s="15"/>
      <c r="RAB45" s="25"/>
      <c r="RAI45" s="21"/>
      <c r="RAJ45" s="21"/>
      <c r="RAN45" s="15"/>
      <c r="RAT45" s="25"/>
      <c r="RBA45" s="21"/>
      <c r="RBB45" s="21"/>
      <c r="RBF45" s="15"/>
      <c r="RBL45" s="25"/>
      <c r="RBS45" s="21"/>
      <c r="RBT45" s="21"/>
      <c r="RBX45" s="15"/>
      <c r="RCD45" s="25"/>
      <c r="RCK45" s="21"/>
      <c r="RCL45" s="21"/>
      <c r="RCP45" s="15"/>
      <c r="RCV45" s="25"/>
      <c r="RDC45" s="21"/>
      <c r="RDD45" s="21"/>
      <c r="RDH45" s="15"/>
      <c r="RDN45" s="25"/>
      <c r="RDU45" s="21"/>
      <c r="RDV45" s="21"/>
      <c r="RDZ45" s="15"/>
      <c r="REF45" s="25"/>
      <c r="REM45" s="21"/>
      <c r="REN45" s="21"/>
      <c r="RER45" s="15"/>
      <c r="REX45" s="25"/>
      <c r="RFE45" s="21"/>
      <c r="RFF45" s="21"/>
      <c r="RFJ45" s="15"/>
      <c r="RFP45" s="25"/>
      <c r="RFW45" s="21"/>
      <c r="RFX45" s="21"/>
      <c r="RGB45" s="15"/>
      <c r="RGH45" s="25"/>
      <c r="RGO45" s="21"/>
      <c r="RGP45" s="21"/>
      <c r="RGT45" s="15"/>
      <c r="RGZ45" s="25"/>
      <c r="RHG45" s="21"/>
      <c r="RHH45" s="21"/>
      <c r="RHL45" s="15"/>
      <c r="RHR45" s="25"/>
      <c r="RHY45" s="21"/>
      <c r="RHZ45" s="21"/>
      <c r="RID45" s="15"/>
      <c r="RIJ45" s="25"/>
      <c r="RIQ45" s="21"/>
      <c r="RIR45" s="21"/>
      <c r="RIV45" s="15"/>
      <c r="RJB45" s="25"/>
      <c r="RJI45" s="21"/>
      <c r="RJJ45" s="21"/>
      <c r="RJN45" s="15"/>
      <c r="RJT45" s="25"/>
      <c r="RKA45" s="21"/>
      <c r="RKB45" s="21"/>
      <c r="RKF45" s="15"/>
      <c r="RKL45" s="25"/>
      <c r="RKS45" s="21"/>
      <c r="RKT45" s="21"/>
      <c r="RKX45" s="15"/>
      <c r="RLD45" s="25"/>
      <c r="RLK45" s="21"/>
      <c r="RLL45" s="21"/>
      <c r="RLP45" s="15"/>
      <c r="RLV45" s="25"/>
      <c r="RMC45" s="21"/>
      <c r="RMD45" s="21"/>
      <c r="RMH45" s="15"/>
      <c r="RMN45" s="25"/>
      <c r="RMU45" s="21"/>
      <c r="RMV45" s="21"/>
      <c r="RMZ45" s="15"/>
      <c r="RNF45" s="25"/>
      <c r="RNM45" s="21"/>
      <c r="RNN45" s="21"/>
      <c r="RNR45" s="15"/>
      <c r="RNX45" s="25"/>
      <c r="ROE45" s="21"/>
      <c r="ROF45" s="21"/>
      <c r="ROJ45" s="15"/>
      <c r="ROP45" s="25"/>
      <c r="ROW45" s="21"/>
      <c r="ROX45" s="21"/>
      <c r="RPB45" s="15"/>
      <c r="RPH45" s="25"/>
      <c r="RPO45" s="21"/>
      <c r="RPP45" s="21"/>
      <c r="RPT45" s="15"/>
      <c r="RPZ45" s="25"/>
      <c r="RQG45" s="21"/>
      <c r="RQH45" s="21"/>
      <c r="RQL45" s="15"/>
      <c r="RQR45" s="25"/>
      <c r="RQY45" s="21"/>
      <c r="RQZ45" s="21"/>
      <c r="RRD45" s="15"/>
      <c r="RRJ45" s="25"/>
      <c r="RRQ45" s="21"/>
      <c r="RRR45" s="21"/>
      <c r="RRV45" s="15"/>
      <c r="RSB45" s="25"/>
      <c r="RSI45" s="21"/>
      <c r="RSJ45" s="21"/>
      <c r="RSN45" s="15"/>
      <c r="RST45" s="25"/>
      <c r="RTA45" s="21"/>
      <c r="RTB45" s="21"/>
      <c r="RTF45" s="15"/>
      <c r="RTL45" s="25"/>
      <c r="RTS45" s="21"/>
      <c r="RTT45" s="21"/>
      <c r="RTX45" s="15"/>
      <c r="RUD45" s="25"/>
      <c r="RUK45" s="21"/>
      <c r="RUL45" s="21"/>
      <c r="RUP45" s="15"/>
      <c r="RUV45" s="25"/>
      <c r="RVC45" s="21"/>
      <c r="RVD45" s="21"/>
      <c r="RVH45" s="15"/>
      <c r="RVN45" s="25"/>
      <c r="RVU45" s="21"/>
      <c r="RVV45" s="21"/>
      <c r="RVZ45" s="15"/>
      <c r="RWF45" s="25"/>
      <c r="RWM45" s="21"/>
      <c r="RWN45" s="21"/>
      <c r="RWR45" s="15"/>
      <c r="RWX45" s="25"/>
      <c r="RXE45" s="21"/>
      <c r="RXF45" s="21"/>
      <c r="RXJ45" s="15"/>
      <c r="RXP45" s="25"/>
      <c r="RXW45" s="21"/>
      <c r="RXX45" s="21"/>
      <c r="RYB45" s="15"/>
      <c r="RYH45" s="25"/>
      <c r="RYO45" s="21"/>
      <c r="RYP45" s="21"/>
      <c r="RYT45" s="15"/>
      <c r="RYZ45" s="25"/>
      <c r="RZG45" s="21"/>
      <c r="RZH45" s="21"/>
      <c r="RZL45" s="15"/>
      <c r="RZR45" s="25"/>
      <c r="RZY45" s="21"/>
      <c r="RZZ45" s="21"/>
      <c r="SAD45" s="15"/>
      <c r="SAJ45" s="25"/>
      <c r="SAQ45" s="21"/>
      <c r="SAR45" s="21"/>
      <c r="SAV45" s="15"/>
      <c r="SBB45" s="25"/>
      <c r="SBI45" s="21"/>
      <c r="SBJ45" s="21"/>
      <c r="SBN45" s="15"/>
      <c r="SBT45" s="25"/>
      <c r="SCA45" s="21"/>
      <c r="SCB45" s="21"/>
      <c r="SCF45" s="15"/>
      <c r="SCL45" s="25"/>
      <c r="SCS45" s="21"/>
      <c r="SCT45" s="21"/>
      <c r="SCX45" s="15"/>
      <c r="SDD45" s="25"/>
      <c r="SDK45" s="21"/>
      <c r="SDL45" s="21"/>
      <c r="SDP45" s="15"/>
      <c r="SDV45" s="25"/>
      <c r="SEC45" s="21"/>
      <c r="SED45" s="21"/>
      <c r="SEH45" s="15"/>
      <c r="SEN45" s="25"/>
      <c r="SEU45" s="21"/>
      <c r="SEV45" s="21"/>
      <c r="SEZ45" s="15"/>
      <c r="SFF45" s="25"/>
      <c r="SFM45" s="21"/>
      <c r="SFN45" s="21"/>
      <c r="SFR45" s="15"/>
      <c r="SFX45" s="25"/>
      <c r="SGE45" s="21"/>
      <c r="SGF45" s="21"/>
      <c r="SGJ45" s="15"/>
      <c r="SGP45" s="25"/>
      <c r="SGW45" s="21"/>
      <c r="SGX45" s="21"/>
      <c r="SHB45" s="15"/>
      <c r="SHH45" s="25"/>
      <c r="SHO45" s="21"/>
      <c r="SHP45" s="21"/>
      <c r="SHT45" s="15"/>
      <c r="SHZ45" s="25"/>
      <c r="SIG45" s="21"/>
      <c r="SIH45" s="21"/>
      <c r="SIL45" s="15"/>
      <c r="SIR45" s="25"/>
      <c r="SIY45" s="21"/>
      <c r="SIZ45" s="21"/>
      <c r="SJD45" s="15"/>
      <c r="SJJ45" s="25"/>
      <c r="SJQ45" s="21"/>
      <c r="SJR45" s="21"/>
      <c r="SJV45" s="15"/>
      <c r="SKB45" s="25"/>
      <c r="SKI45" s="21"/>
      <c r="SKJ45" s="21"/>
      <c r="SKN45" s="15"/>
      <c r="SKT45" s="25"/>
      <c r="SLA45" s="21"/>
      <c r="SLB45" s="21"/>
      <c r="SLF45" s="15"/>
      <c r="SLL45" s="25"/>
      <c r="SLS45" s="21"/>
      <c r="SLT45" s="21"/>
      <c r="SLX45" s="15"/>
      <c r="SMD45" s="25"/>
      <c r="SMK45" s="21"/>
      <c r="SML45" s="21"/>
      <c r="SMP45" s="15"/>
      <c r="SMV45" s="25"/>
      <c r="SNC45" s="21"/>
      <c r="SND45" s="21"/>
      <c r="SNH45" s="15"/>
      <c r="SNN45" s="25"/>
      <c r="SNU45" s="21"/>
      <c r="SNV45" s="21"/>
      <c r="SNZ45" s="15"/>
      <c r="SOF45" s="25"/>
      <c r="SOM45" s="21"/>
      <c r="SON45" s="21"/>
      <c r="SOR45" s="15"/>
      <c r="SOX45" s="25"/>
      <c r="SPE45" s="21"/>
      <c r="SPF45" s="21"/>
      <c r="SPJ45" s="15"/>
      <c r="SPP45" s="25"/>
      <c r="SPW45" s="21"/>
      <c r="SPX45" s="21"/>
      <c r="SQB45" s="15"/>
      <c r="SQH45" s="25"/>
      <c r="SQO45" s="21"/>
      <c r="SQP45" s="21"/>
      <c r="SQT45" s="15"/>
      <c r="SQZ45" s="25"/>
      <c r="SRG45" s="21"/>
      <c r="SRH45" s="21"/>
      <c r="SRL45" s="15"/>
      <c r="SRR45" s="25"/>
      <c r="SRY45" s="21"/>
      <c r="SRZ45" s="21"/>
      <c r="SSD45" s="15"/>
      <c r="SSJ45" s="25"/>
      <c r="SSQ45" s="21"/>
      <c r="SSR45" s="21"/>
      <c r="SSV45" s="15"/>
      <c r="STB45" s="25"/>
      <c r="STI45" s="21"/>
      <c r="STJ45" s="21"/>
      <c r="STN45" s="15"/>
      <c r="STT45" s="25"/>
      <c r="SUA45" s="21"/>
      <c r="SUB45" s="21"/>
      <c r="SUF45" s="15"/>
      <c r="SUL45" s="25"/>
      <c r="SUS45" s="21"/>
      <c r="SUT45" s="21"/>
      <c r="SUX45" s="15"/>
      <c r="SVD45" s="25"/>
      <c r="SVK45" s="21"/>
      <c r="SVL45" s="21"/>
      <c r="SVP45" s="15"/>
      <c r="SVV45" s="25"/>
      <c r="SWC45" s="21"/>
      <c r="SWD45" s="21"/>
      <c r="SWH45" s="15"/>
      <c r="SWN45" s="25"/>
      <c r="SWU45" s="21"/>
      <c r="SWV45" s="21"/>
      <c r="SWZ45" s="15"/>
      <c r="SXF45" s="25"/>
      <c r="SXM45" s="21"/>
      <c r="SXN45" s="21"/>
      <c r="SXR45" s="15"/>
      <c r="SXX45" s="25"/>
      <c r="SYE45" s="21"/>
      <c r="SYF45" s="21"/>
      <c r="SYJ45" s="15"/>
      <c r="SYP45" s="25"/>
      <c r="SYW45" s="21"/>
      <c r="SYX45" s="21"/>
      <c r="SZB45" s="15"/>
      <c r="SZH45" s="25"/>
      <c r="SZO45" s="21"/>
      <c r="SZP45" s="21"/>
      <c r="SZT45" s="15"/>
      <c r="SZZ45" s="25"/>
      <c r="TAG45" s="21"/>
      <c r="TAH45" s="21"/>
      <c r="TAL45" s="15"/>
      <c r="TAR45" s="25"/>
      <c r="TAY45" s="21"/>
      <c r="TAZ45" s="21"/>
      <c r="TBD45" s="15"/>
      <c r="TBJ45" s="25"/>
      <c r="TBQ45" s="21"/>
      <c r="TBR45" s="21"/>
      <c r="TBV45" s="15"/>
      <c r="TCB45" s="25"/>
      <c r="TCI45" s="21"/>
      <c r="TCJ45" s="21"/>
      <c r="TCN45" s="15"/>
      <c r="TCT45" s="25"/>
      <c r="TDA45" s="21"/>
      <c r="TDB45" s="21"/>
      <c r="TDF45" s="15"/>
      <c r="TDL45" s="25"/>
      <c r="TDS45" s="21"/>
      <c r="TDT45" s="21"/>
      <c r="TDX45" s="15"/>
      <c r="TED45" s="25"/>
      <c r="TEK45" s="21"/>
      <c r="TEL45" s="21"/>
      <c r="TEP45" s="15"/>
      <c r="TEV45" s="25"/>
      <c r="TFC45" s="21"/>
      <c r="TFD45" s="21"/>
      <c r="TFH45" s="15"/>
      <c r="TFN45" s="25"/>
      <c r="TFU45" s="21"/>
      <c r="TFV45" s="21"/>
      <c r="TFZ45" s="15"/>
      <c r="TGF45" s="25"/>
      <c r="TGM45" s="21"/>
      <c r="TGN45" s="21"/>
      <c r="TGR45" s="15"/>
      <c r="TGX45" s="25"/>
      <c r="THE45" s="21"/>
      <c r="THF45" s="21"/>
      <c r="THJ45" s="15"/>
      <c r="THP45" s="25"/>
      <c r="THW45" s="21"/>
      <c r="THX45" s="21"/>
      <c r="TIB45" s="15"/>
      <c r="TIH45" s="25"/>
      <c r="TIO45" s="21"/>
      <c r="TIP45" s="21"/>
      <c r="TIT45" s="15"/>
      <c r="TIZ45" s="25"/>
      <c r="TJG45" s="21"/>
      <c r="TJH45" s="21"/>
      <c r="TJL45" s="15"/>
      <c r="TJR45" s="25"/>
      <c r="TJY45" s="21"/>
      <c r="TJZ45" s="21"/>
      <c r="TKD45" s="15"/>
      <c r="TKJ45" s="25"/>
      <c r="TKQ45" s="21"/>
      <c r="TKR45" s="21"/>
      <c r="TKV45" s="15"/>
      <c r="TLB45" s="25"/>
      <c r="TLI45" s="21"/>
      <c r="TLJ45" s="21"/>
      <c r="TLN45" s="15"/>
      <c r="TLT45" s="25"/>
      <c r="TMA45" s="21"/>
      <c r="TMB45" s="21"/>
      <c r="TMF45" s="15"/>
      <c r="TML45" s="25"/>
      <c r="TMS45" s="21"/>
      <c r="TMT45" s="21"/>
      <c r="TMX45" s="15"/>
      <c r="TND45" s="25"/>
      <c r="TNK45" s="21"/>
      <c r="TNL45" s="21"/>
      <c r="TNP45" s="15"/>
      <c r="TNV45" s="25"/>
      <c r="TOC45" s="21"/>
      <c r="TOD45" s="21"/>
      <c r="TOH45" s="15"/>
      <c r="TON45" s="25"/>
      <c r="TOU45" s="21"/>
      <c r="TOV45" s="21"/>
      <c r="TOZ45" s="15"/>
      <c r="TPF45" s="25"/>
      <c r="TPM45" s="21"/>
      <c r="TPN45" s="21"/>
      <c r="TPR45" s="15"/>
      <c r="TPX45" s="25"/>
      <c r="TQE45" s="21"/>
      <c r="TQF45" s="21"/>
      <c r="TQJ45" s="15"/>
      <c r="TQP45" s="25"/>
      <c r="TQW45" s="21"/>
      <c r="TQX45" s="21"/>
      <c r="TRB45" s="15"/>
      <c r="TRH45" s="25"/>
      <c r="TRO45" s="21"/>
      <c r="TRP45" s="21"/>
      <c r="TRT45" s="15"/>
      <c r="TRZ45" s="25"/>
      <c r="TSG45" s="21"/>
      <c r="TSH45" s="21"/>
      <c r="TSL45" s="15"/>
      <c r="TSR45" s="25"/>
      <c r="TSY45" s="21"/>
      <c r="TSZ45" s="21"/>
      <c r="TTD45" s="15"/>
      <c r="TTJ45" s="25"/>
      <c r="TTQ45" s="21"/>
      <c r="TTR45" s="21"/>
      <c r="TTV45" s="15"/>
      <c r="TUB45" s="25"/>
      <c r="TUI45" s="21"/>
      <c r="TUJ45" s="21"/>
      <c r="TUN45" s="15"/>
      <c r="TUT45" s="25"/>
      <c r="TVA45" s="21"/>
      <c r="TVB45" s="21"/>
      <c r="TVF45" s="15"/>
      <c r="TVL45" s="25"/>
      <c r="TVS45" s="21"/>
      <c r="TVT45" s="21"/>
      <c r="TVX45" s="15"/>
      <c r="TWD45" s="25"/>
      <c r="TWK45" s="21"/>
      <c r="TWL45" s="21"/>
      <c r="TWP45" s="15"/>
      <c r="TWV45" s="25"/>
      <c r="TXC45" s="21"/>
      <c r="TXD45" s="21"/>
      <c r="TXH45" s="15"/>
      <c r="TXN45" s="25"/>
      <c r="TXU45" s="21"/>
      <c r="TXV45" s="21"/>
      <c r="TXZ45" s="15"/>
      <c r="TYF45" s="25"/>
      <c r="TYM45" s="21"/>
      <c r="TYN45" s="21"/>
      <c r="TYR45" s="15"/>
      <c r="TYX45" s="25"/>
      <c r="TZE45" s="21"/>
      <c r="TZF45" s="21"/>
      <c r="TZJ45" s="15"/>
      <c r="TZP45" s="25"/>
      <c r="TZW45" s="21"/>
      <c r="TZX45" s="21"/>
      <c r="UAB45" s="15"/>
      <c r="UAH45" s="25"/>
      <c r="UAO45" s="21"/>
      <c r="UAP45" s="21"/>
      <c r="UAT45" s="15"/>
      <c r="UAZ45" s="25"/>
      <c r="UBG45" s="21"/>
      <c r="UBH45" s="21"/>
      <c r="UBL45" s="15"/>
      <c r="UBR45" s="25"/>
      <c r="UBY45" s="21"/>
      <c r="UBZ45" s="21"/>
      <c r="UCD45" s="15"/>
      <c r="UCJ45" s="25"/>
      <c r="UCQ45" s="21"/>
      <c r="UCR45" s="21"/>
      <c r="UCV45" s="15"/>
      <c r="UDB45" s="25"/>
      <c r="UDI45" s="21"/>
      <c r="UDJ45" s="21"/>
      <c r="UDN45" s="15"/>
      <c r="UDT45" s="25"/>
      <c r="UEA45" s="21"/>
      <c r="UEB45" s="21"/>
      <c r="UEF45" s="15"/>
      <c r="UEL45" s="25"/>
      <c r="UES45" s="21"/>
      <c r="UET45" s="21"/>
      <c r="UEX45" s="15"/>
      <c r="UFD45" s="25"/>
      <c r="UFK45" s="21"/>
      <c r="UFL45" s="21"/>
      <c r="UFP45" s="15"/>
      <c r="UFV45" s="25"/>
      <c r="UGC45" s="21"/>
      <c r="UGD45" s="21"/>
      <c r="UGH45" s="15"/>
      <c r="UGN45" s="25"/>
      <c r="UGU45" s="21"/>
      <c r="UGV45" s="21"/>
      <c r="UGZ45" s="15"/>
      <c r="UHF45" s="25"/>
      <c r="UHM45" s="21"/>
      <c r="UHN45" s="21"/>
      <c r="UHR45" s="15"/>
      <c r="UHX45" s="25"/>
      <c r="UIE45" s="21"/>
      <c r="UIF45" s="21"/>
      <c r="UIJ45" s="15"/>
      <c r="UIP45" s="25"/>
      <c r="UIW45" s="21"/>
      <c r="UIX45" s="21"/>
      <c r="UJB45" s="15"/>
      <c r="UJH45" s="25"/>
      <c r="UJO45" s="21"/>
      <c r="UJP45" s="21"/>
      <c r="UJT45" s="15"/>
      <c r="UJZ45" s="25"/>
      <c r="UKG45" s="21"/>
      <c r="UKH45" s="21"/>
      <c r="UKL45" s="15"/>
      <c r="UKR45" s="25"/>
      <c r="UKY45" s="21"/>
      <c r="UKZ45" s="21"/>
      <c r="ULD45" s="15"/>
      <c r="ULJ45" s="25"/>
      <c r="ULQ45" s="21"/>
      <c r="ULR45" s="21"/>
      <c r="ULV45" s="15"/>
      <c r="UMB45" s="25"/>
      <c r="UMI45" s="21"/>
      <c r="UMJ45" s="21"/>
      <c r="UMN45" s="15"/>
      <c r="UMT45" s="25"/>
      <c r="UNA45" s="21"/>
      <c r="UNB45" s="21"/>
      <c r="UNF45" s="15"/>
      <c r="UNL45" s="25"/>
      <c r="UNS45" s="21"/>
      <c r="UNT45" s="21"/>
      <c r="UNX45" s="15"/>
      <c r="UOD45" s="25"/>
      <c r="UOK45" s="21"/>
      <c r="UOL45" s="21"/>
      <c r="UOP45" s="15"/>
      <c r="UOV45" s="25"/>
      <c r="UPC45" s="21"/>
      <c r="UPD45" s="21"/>
      <c r="UPH45" s="15"/>
      <c r="UPN45" s="25"/>
      <c r="UPU45" s="21"/>
      <c r="UPV45" s="21"/>
      <c r="UPZ45" s="15"/>
      <c r="UQF45" s="25"/>
      <c r="UQM45" s="21"/>
      <c r="UQN45" s="21"/>
      <c r="UQR45" s="15"/>
      <c r="UQX45" s="25"/>
      <c r="URE45" s="21"/>
      <c r="URF45" s="21"/>
      <c r="URJ45" s="15"/>
      <c r="URP45" s="25"/>
      <c r="URW45" s="21"/>
      <c r="URX45" s="21"/>
      <c r="USB45" s="15"/>
      <c r="USH45" s="25"/>
      <c r="USO45" s="21"/>
      <c r="USP45" s="21"/>
      <c r="UST45" s="15"/>
      <c r="USZ45" s="25"/>
      <c r="UTG45" s="21"/>
      <c r="UTH45" s="21"/>
      <c r="UTL45" s="15"/>
      <c r="UTR45" s="25"/>
      <c r="UTY45" s="21"/>
      <c r="UTZ45" s="21"/>
      <c r="UUD45" s="15"/>
      <c r="UUJ45" s="25"/>
      <c r="UUQ45" s="21"/>
      <c r="UUR45" s="21"/>
      <c r="UUV45" s="15"/>
      <c r="UVB45" s="25"/>
      <c r="UVI45" s="21"/>
      <c r="UVJ45" s="21"/>
      <c r="UVN45" s="15"/>
      <c r="UVT45" s="25"/>
      <c r="UWA45" s="21"/>
      <c r="UWB45" s="21"/>
      <c r="UWF45" s="15"/>
      <c r="UWL45" s="25"/>
      <c r="UWS45" s="21"/>
      <c r="UWT45" s="21"/>
      <c r="UWX45" s="15"/>
      <c r="UXD45" s="25"/>
      <c r="UXK45" s="21"/>
      <c r="UXL45" s="21"/>
      <c r="UXP45" s="15"/>
      <c r="UXV45" s="25"/>
      <c r="UYC45" s="21"/>
      <c r="UYD45" s="21"/>
      <c r="UYH45" s="15"/>
      <c r="UYN45" s="25"/>
      <c r="UYU45" s="21"/>
      <c r="UYV45" s="21"/>
      <c r="UYZ45" s="15"/>
      <c r="UZF45" s="25"/>
      <c r="UZM45" s="21"/>
      <c r="UZN45" s="21"/>
      <c r="UZR45" s="15"/>
      <c r="UZX45" s="25"/>
      <c r="VAE45" s="21"/>
      <c r="VAF45" s="21"/>
      <c r="VAJ45" s="15"/>
      <c r="VAP45" s="25"/>
      <c r="VAW45" s="21"/>
      <c r="VAX45" s="21"/>
      <c r="VBB45" s="15"/>
      <c r="VBH45" s="25"/>
      <c r="VBO45" s="21"/>
      <c r="VBP45" s="21"/>
      <c r="VBT45" s="15"/>
      <c r="VBZ45" s="25"/>
      <c r="VCG45" s="21"/>
      <c r="VCH45" s="21"/>
      <c r="VCL45" s="15"/>
      <c r="VCR45" s="25"/>
      <c r="VCY45" s="21"/>
      <c r="VCZ45" s="21"/>
      <c r="VDD45" s="15"/>
      <c r="VDJ45" s="25"/>
      <c r="VDQ45" s="21"/>
      <c r="VDR45" s="21"/>
      <c r="VDV45" s="15"/>
      <c r="VEB45" s="25"/>
      <c r="VEI45" s="21"/>
      <c r="VEJ45" s="21"/>
      <c r="VEN45" s="15"/>
      <c r="VET45" s="25"/>
      <c r="VFA45" s="21"/>
      <c r="VFB45" s="21"/>
      <c r="VFF45" s="15"/>
      <c r="VFL45" s="25"/>
      <c r="VFS45" s="21"/>
      <c r="VFT45" s="21"/>
      <c r="VFX45" s="15"/>
      <c r="VGD45" s="25"/>
      <c r="VGK45" s="21"/>
      <c r="VGL45" s="21"/>
      <c r="VGP45" s="15"/>
      <c r="VGV45" s="25"/>
      <c r="VHC45" s="21"/>
      <c r="VHD45" s="21"/>
      <c r="VHH45" s="15"/>
      <c r="VHN45" s="25"/>
      <c r="VHU45" s="21"/>
      <c r="VHV45" s="21"/>
      <c r="VHZ45" s="15"/>
      <c r="VIF45" s="25"/>
      <c r="VIM45" s="21"/>
      <c r="VIN45" s="21"/>
      <c r="VIR45" s="15"/>
      <c r="VIX45" s="25"/>
      <c r="VJE45" s="21"/>
      <c r="VJF45" s="21"/>
      <c r="VJJ45" s="15"/>
      <c r="VJP45" s="25"/>
      <c r="VJW45" s="21"/>
      <c r="VJX45" s="21"/>
      <c r="VKB45" s="15"/>
      <c r="VKH45" s="25"/>
      <c r="VKO45" s="21"/>
      <c r="VKP45" s="21"/>
      <c r="VKT45" s="15"/>
      <c r="VKZ45" s="25"/>
      <c r="VLG45" s="21"/>
      <c r="VLH45" s="21"/>
      <c r="VLL45" s="15"/>
      <c r="VLR45" s="25"/>
      <c r="VLY45" s="21"/>
      <c r="VLZ45" s="21"/>
      <c r="VMD45" s="15"/>
      <c r="VMJ45" s="25"/>
      <c r="VMQ45" s="21"/>
      <c r="VMR45" s="21"/>
      <c r="VMV45" s="15"/>
      <c r="VNB45" s="25"/>
      <c r="VNI45" s="21"/>
      <c r="VNJ45" s="21"/>
      <c r="VNN45" s="15"/>
      <c r="VNT45" s="25"/>
      <c r="VOA45" s="21"/>
      <c r="VOB45" s="21"/>
      <c r="VOF45" s="15"/>
      <c r="VOL45" s="25"/>
      <c r="VOS45" s="21"/>
      <c r="VOT45" s="21"/>
      <c r="VOX45" s="15"/>
      <c r="VPD45" s="25"/>
      <c r="VPK45" s="21"/>
      <c r="VPL45" s="21"/>
      <c r="VPP45" s="15"/>
      <c r="VPV45" s="25"/>
      <c r="VQC45" s="21"/>
      <c r="VQD45" s="21"/>
      <c r="VQH45" s="15"/>
      <c r="VQN45" s="25"/>
      <c r="VQU45" s="21"/>
      <c r="VQV45" s="21"/>
      <c r="VQZ45" s="15"/>
      <c r="VRF45" s="25"/>
      <c r="VRM45" s="21"/>
      <c r="VRN45" s="21"/>
      <c r="VRR45" s="15"/>
      <c r="VRX45" s="25"/>
      <c r="VSE45" s="21"/>
      <c r="VSF45" s="21"/>
      <c r="VSJ45" s="15"/>
      <c r="VSP45" s="25"/>
      <c r="VSW45" s="21"/>
      <c r="VSX45" s="21"/>
      <c r="VTB45" s="15"/>
      <c r="VTH45" s="25"/>
      <c r="VTO45" s="21"/>
      <c r="VTP45" s="21"/>
      <c r="VTT45" s="15"/>
      <c r="VTZ45" s="25"/>
      <c r="VUG45" s="21"/>
      <c r="VUH45" s="21"/>
      <c r="VUL45" s="15"/>
      <c r="VUR45" s="25"/>
      <c r="VUY45" s="21"/>
      <c r="VUZ45" s="21"/>
      <c r="VVD45" s="15"/>
      <c r="VVJ45" s="25"/>
      <c r="VVQ45" s="21"/>
      <c r="VVR45" s="21"/>
      <c r="VVV45" s="15"/>
      <c r="VWB45" s="25"/>
      <c r="VWI45" s="21"/>
      <c r="VWJ45" s="21"/>
      <c r="VWN45" s="15"/>
      <c r="VWT45" s="25"/>
      <c r="VXA45" s="21"/>
      <c r="VXB45" s="21"/>
      <c r="VXF45" s="15"/>
      <c r="VXL45" s="25"/>
      <c r="VXS45" s="21"/>
      <c r="VXT45" s="21"/>
      <c r="VXX45" s="15"/>
      <c r="VYD45" s="25"/>
      <c r="VYK45" s="21"/>
      <c r="VYL45" s="21"/>
      <c r="VYP45" s="15"/>
      <c r="VYV45" s="25"/>
      <c r="VZC45" s="21"/>
      <c r="VZD45" s="21"/>
      <c r="VZH45" s="15"/>
      <c r="VZN45" s="25"/>
      <c r="VZU45" s="21"/>
      <c r="VZV45" s="21"/>
      <c r="VZZ45" s="15"/>
      <c r="WAF45" s="25"/>
      <c r="WAM45" s="21"/>
      <c r="WAN45" s="21"/>
      <c r="WAR45" s="15"/>
      <c r="WAX45" s="25"/>
      <c r="WBE45" s="21"/>
      <c r="WBF45" s="21"/>
      <c r="WBJ45" s="15"/>
      <c r="WBP45" s="25"/>
      <c r="WBW45" s="21"/>
      <c r="WBX45" s="21"/>
      <c r="WCB45" s="15"/>
      <c r="WCH45" s="25"/>
      <c r="WCO45" s="21"/>
      <c r="WCP45" s="21"/>
      <c r="WCT45" s="15"/>
      <c r="WCZ45" s="25"/>
      <c r="WDG45" s="21"/>
      <c r="WDH45" s="21"/>
      <c r="WDL45" s="15"/>
      <c r="WDR45" s="25"/>
      <c r="WDY45" s="21"/>
      <c r="WDZ45" s="21"/>
      <c r="WED45" s="15"/>
      <c r="WEJ45" s="25"/>
      <c r="WEQ45" s="21"/>
      <c r="WER45" s="21"/>
      <c r="WEV45" s="15"/>
      <c r="WFB45" s="25"/>
      <c r="WFI45" s="21"/>
      <c r="WFJ45" s="21"/>
      <c r="WFN45" s="15"/>
      <c r="WFT45" s="25"/>
      <c r="WGA45" s="21"/>
      <c r="WGB45" s="21"/>
      <c r="WGF45" s="15"/>
      <c r="WGL45" s="25"/>
      <c r="WGS45" s="21"/>
      <c r="WGT45" s="21"/>
      <c r="WGX45" s="15"/>
      <c r="WHD45" s="25"/>
      <c r="WHK45" s="21"/>
      <c r="WHL45" s="21"/>
      <c r="WHP45" s="15"/>
      <c r="WHV45" s="25"/>
      <c r="WIC45" s="21"/>
      <c r="WID45" s="21"/>
      <c r="WIH45" s="15"/>
      <c r="WIN45" s="25"/>
      <c r="WIU45" s="21"/>
      <c r="WIV45" s="21"/>
      <c r="WIZ45" s="15"/>
      <c r="WJF45" s="25"/>
      <c r="WJM45" s="21"/>
      <c r="WJN45" s="21"/>
      <c r="WJR45" s="15"/>
      <c r="WJX45" s="25"/>
      <c r="WKE45" s="21"/>
      <c r="WKF45" s="21"/>
      <c r="WKJ45" s="15"/>
      <c r="WKP45" s="25"/>
      <c r="WKW45" s="21"/>
      <c r="WKX45" s="21"/>
      <c r="WLB45" s="15"/>
      <c r="WLH45" s="25"/>
      <c r="WLO45" s="21"/>
      <c r="WLP45" s="21"/>
      <c r="WLT45" s="15"/>
      <c r="WLZ45" s="25"/>
      <c r="WMG45" s="21"/>
      <c r="WMH45" s="21"/>
      <c r="WML45" s="15"/>
      <c r="WMR45" s="25"/>
      <c r="WMY45" s="21"/>
      <c r="WMZ45" s="21"/>
      <c r="WND45" s="15"/>
      <c r="WNJ45" s="25"/>
      <c r="WNQ45" s="21"/>
      <c r="WNR45" s="21"/>
      <c r="WNV45" s="15"/>
      <c r="WOB45" s="25"/>
      <c r="WOI45" s="21"/>
      <c r="WOJ45" s="21"/>
      <c r="WON45" s="15"/>
      <c r="WOT45" s="25"/>
      <c r="WPA45" s="21"/>
      <c r="WPB45" s="21"/>
      <c r="WPF45" s="15"/>
      <c r="WPL45" s="25"/>
      <c r="WPS45" s="21"/>
      <c r="WPT45" s="21"/>
      <c r="WPX45" s="15"/>
      <c r="WQD45" s="25"/>
      <c r="WQK45" s="21"/>
      <c r="WQL45" s="21"/>
      <c r="WQP45" s="15"/>
      <c r="WQV45" s="25"/>
      <c r="WRC45" s="21"/>
      <c r="WRD45" s="21"/>
      <c r="WRH45" s="15"/>
      <c r="WRN45" s="25"/>
      <c r="WRU45" s="21"/>
      <c r="WRV45" s="21"/>
      <c r="WRZ45" s="15"/>
      <c r="WSF45" s="25"/>
      <c r="WSM45" s="21"/>
      <c r="WSN45" s="21"/>
      <c r="WSR45" s="15"/>
      <c r="WSX45" s="25"/>
      <c r="WTE45" s="21"/>
      <c r="WTF45" s="21"/>
      <c r="WTJ45" s="15"/>
      <c r="WTP45" s="25"/>
      <c r="WTW45" s="21"/>
      <c r="WTX45" s="21"/>
      <c r="WUB45" s="15"/>
      <c r="WUH45" s="25"/>
      <c r="WUO45" s="21"/>
      <c r="WUP45" s="21"/>
      <c r="WUT45" s="15"/>
      <c r="WUZ45" s="25"/>
      <c r="WVG45" s="21"/>
      <c r="WVH45" s="21"/>
      <c r="WVL45" s="15"/>
      <c r="WVR45" s="25"/>
      <c r="WVY45" s="21"/>
      <c r="WVZ45" s="21"/>
      <c r="WWD45" s="15"/>
      <c r="WWJ45" s="25"/>
      <c r="WWQ45" s="21"/>
      <c r="WWR45" s="21"/>
      <c r="WWV45" s="15"/>
      <c r="WXB45" s="25"/>
      <c r="WXI45" s="21"/>
      <c r="WXJ45" s="21"/>
      <c r="WXN45" s="15"/>
      <c r="WXT45" s="25"/>
      <c r="WYA45" s="21"/>
      <c r="WYB45" s="21"/>
      <c r="WYF45" s="15"/>
      <c r="WYL45" s="25"/>
      <c r="WYS45" s="21"/>
      <c r="WYT45" s="21"/>
      <c r="WYX45" s="15"/>
      <c r="WZD45" s="25"/>
      <c r="WZK45" s="21"/>
      <c r="WZL45" s="21"/>
      <c r="WZP45" s="15"/>
      <c r="WZV45" s="25"/>
      <c r="XAC45" s="21"/>
      <c r="XAD45" s="21"/>
      <c r="XAH45" s="15"/>
      <c r="XAN45" s="25"/>
      <c r="XAU45" s="21"/>
      <c r="XAV45" s="21"/>
      <c r="XAZ45" s="15"/>
      <c r="XBF45" s="25"/>
      <c r="XBM45" s="21"/>
      <c r="XBN45" s="21"/>
      <c r="XBR45" s="15"/>
      <c r="XBX45" s="25"/>
      <c r="XCE45" s="21"/>
      <c r="XCF45" s="21"/>
      <c r="XCJ45" s="15"/>
      <c r="XCP45" s="25"/>
      <c r="XCW45" s="21"/>
      <c r="XCX45" s="21"/>
      <c r="XDB45" s="15"/>
      <c r="XDH45" s="25"/>
      <c r="XDO45" s="21"/>
      <c r="XDP45" s="21"/>
      <c r="XDT45" s="15"/>
      <c r="XDZ45" s="25"/>
      <c r="XEG45" s="21"/>
      <c r="XEH45" s="21"/>
      <c r="XEL45" s="15"/>
      <c r="XER45" s="25"/>
      <c r="XEY45" s="21"/>
      <c r="XEZ45" s="21"/>
      <c r="XFD45" s="15"/>
    </row>
    <row r="46" spans="1:1018 1025:2044 2051:3070 3077:4096 4103:5116 5122:6142 6148:7168 7174:8190 8194:9216 9220:10234 10241:11260 11267:12286 12293:13312 13319:14332 14338:15358 15364:16384" s="24" customFormat="1">
      <c r="A46" s="21" t="s">
        <v>144</v>
      </c>
      <c r="B46" s="12">
        <v>2010</v>
      </c>
      <c r="C46" s="19" t="s">
        <v>138</v>
      </c>
      <c r="D46" s="22" t="s">
        <v>86</v>
      </c>
      <c r="E46" s="43" t="s">
        <v>145</v>
      </c>
      <c r="F46" s="19" t="s">
        <v>35</v>
      </c>
      <c r="G46" s="20">
        <v>1347744000</v>
      </c>
      <c r="H46" s="18">
        <v>1358346131</v>
      </c>
      <c r="I46" s="12">
        <v>9</v>
      </c>
      <c r="J46" s="52" t="s">
        <v>146</v>
      </c>
      <c r="K46" s="22" t="s">
        <v>26</v>
      </c>
      <c r="L46" s="22"/>
      <c r="M46" s="22" t="s">
        <v>26</v>
      </c>
      <c r="N46" s="12"/>
      <c r="O46" s="22"/>
      <c r="P46" s="12"/>
      <c r="Q46" s="22"/>
      <c r="R46" s="22"/>
      <c r="V46" s="15"/>
      <c r="AB46" s="25"/>
      <c r="AI46" s="21"/>
      <c r="AJ46" s="21"/>
      <c r="AN46" s="15"/>
      <c r="AT46" s="25"/>
      <c r="BA46" s="21"/>
      <c r="BB46" s="21"/>
      <c r="BF46" s="15"/>
      <c r="BL46" s="25"/>
      <c r="BS46" s="21"/>
      <c r="BT46" s="21"/>
      <c r="BX46" s="15"/>
      <c r="CD46" s="25"/>
      <c r="CK46" s="21"/>
      <c r="CL46" s="21"/>
      <c r="CP46" s="15"/>
      <c r="CV46" s="25"/>
      <c r="DC46" s="21"/>
      <c r="DD46" s="21"/>
      <c r="DH46" s="15"/>
      <c r="DN46" s="25"/>
      <c r="DU46" s="21"/>
      <c r="DV46" s="21"/>
      <c r="DZ46" s="15"/>
      <c r="EF46" s="25"/>
      <c r="EM46" s="21"/>
      <c r="EN46" s="21"/>
      <c r="ER46" s="15"/>
      <c r="EX46" s="25"/>
      <c r="FE46" s="21"/>
      <c r="FF46" s="21"/>
      <c r="FJ46" s="15"/>
      <c r="FP46" s="25"/>
      <c r="FW46" s="21"/>
      <c r="FX46" s="21"/>
      <c r="GB46" s="15"/>
      <c r="GH46" s="25"/>
      <c r="GO46" s="21"/>
      <c r="GP46" s="21"/>
      <c r="GT46" s="15"/>
      <c r="GZ46" s="25"/>
      <c r="HG46" s="21"/>
      <c r="HH46" s="21"/>
      <c r="HL46" s="15"/>
      <c r="HR46" s="25"/>
      <c r="HY46" s="21"/>
      <c r="HZ46" s="21"/>
      <c r="ID46" s="15"/>
      <c r="IJ46" s="25"/>
      <c r="IQ46" s="21"/>
      <c r="IR46" s="21"/>
      <c r="IV46" s="15"/>
      <c r="JB46" s="25"/>
      <c r="JI46" s="21"/>
      <c r="JJ46" s="21"/>
      <c r="JN46" s="15"/>
      <c r="JT46" s="25"/>
      <c r="KA46" s="21"/>
      <c r="KB46" s="21"/>
      <c r="KF46" s="15"/>
      <c r="KL46" s="25"/>
      <c r="KS46" s="21"/>
      <c r="KT46" s="21"/>
      <c r="KX46" s="15"/>
      <c r="LD46" s="25"/>
      <c r="LK46" s="21"/>
      <c r="LL46" s="21"/>
      <c r="LP46" s="15"/>
      <c r="LV46" s="25"/>
      <c r="MC46" s="21"/>
      <c r="MD46" s="21"/>
      <c r="MH46" s="15"/>
      <c r="MN46" s="25"/>
      <c r="MU46" s="21"/>
      <c r="MV46" s="21"/>
      <c r="MZ46" s="15"/>
      <c r="NF46" s="25"/>
      <c r="NM46" s="21"/>
      <c r="NN46" s="21"/>
      <c r="NR46" s="15"/>
      <c r="NX46" s="25"/>
      <c r="OE46" s="21"/>
      <c r="OF46" s="21"/>
      <c r="OJ46" s="15"/>
      <c r="OP46" s="25"/>
      <c r="OW46" s="21"/>
      <c r="OX46" s="21"/>
      <c r="PB46" s="15"/>
      <c r="PH46" s="25"/>
      <c r="PO46" s="21"/>
      <c r="PP46" s="21"/>
      <c r="PT46" s="15"/>
      <c r="PZ46" s="25"/>
      <c r="QG46" s="21"/>
      <c r="QH46" s="21"/>
      <c r="QL46" s="15"/>
      <c r="QR46" s="25"/>
      <c r="QY46" s="21"/>
      <c r="QZ46" s="21"/>
      <c r="RD46" s="15"/>
      <c r="RJ46" s="25"/>
      <c r="RQ46" s="21"/>
      <c r="RR46" s="21"/>
      <c r="RV46" s="15"/>
      <c r="SB46" s="25"/>
      <c r="SI46" s="21"/>
      <c r="SJ46" s="21"/>
      <c r="SN46" s="15"/>
      <c r="ST46" s="25"/>
      <c r="TA46" s="21"/>
      <c r="TB46" s="21"/>
      <c r="TF46" s="15"/>
      <c r="TL46" s="25"/>
      <c r="TS46" s="21"/>
      <c r="TT46" s="21"/>
      <c r="TX46" s="15"/>
      <c r="UD46" s="25"/>
      <c r="UK46" s="21"/>
      <c r="UL46" s="21"/>
      <c r="UP46" s="15"/>
      <c r="UV46" s="25"/>
      <c r="VC46" s="21"/>
      <c r="VD46" s="21"/>
      <c r="VH46" s="15"/>
      <c r="VN46" s="25"/>
      <c r="VU46" s="21"/>
      <c r="VV46" s="21"/>
      <c r="VZ46" s="15"/>
      <c r="WF46" s="25"/>
      <c r="WM46" s="21"/>
      <c r="WN46" s="21"/>
      <c r="WR46" s="15"/>
      <c r="WX46" s="25"/>
      <c r="XE46" s="21"/>
      <c r="XF46" s="21"/>
      <c r="XJ46" s="15"/>
      <c r="XP46" s="25"/>
      <c r="XW46" s="21"/>
      <c r="XX46" s="21"/>
      <c r="YB46" s="15"/>
      <c r="YH46" s="25"/>
      <c r="YO46" s="21"/>
      <c r="YP46" s="21"/>
      <c r="YT46" s="15"/>
      <c r="YZ46" s="25"/>
      <c r="ZG46" s="21"/>
      <c r="ZH46" s="21"/>
      <c r="ZL46" s="15"/>
      <c r="ZR46" s="25"/>
      <c r="ZY46" s="21"/>
      <c r="ZZ46" s="21"/>
      <c r="AAD46" s="15"/>
      <c r="AAJ46" s="25"/>
      <c r="AAQ46" s="21"/>
      <c r="AAR46" s="21"/>
      <c r="AAV46" s="15"/>
      <c r="ABB46" s="25"/>
      <c r="ABI46" s="21"/>
      <c r="ABJ46" s="21"/>
      <c r="ABN46" s="15"/>
      <c r="ABT46" s="25"/>
      <c r="ACA46" s="21"/>
      <c r="ACB46" s="21"/>
      <c r="ACF46" s="15"/>
      <c r="ACL46" s="25"/>
      <c r="ACS46" s="21"/>
      <c r="ACT46" s="21"/>
      <c r="ACX46" s="15"/>
      <c r="ADD46" s="25"/>
      <c r="ADK46" s="21"/>
      <c r="ADL46" s="21"/>
      <c r="ADP46" s="15"/>
      <c r="ADV46" s="25"/>
      <c r="AEC46" s="21"/>
      <c r="AED46" s="21"/>
      <c r="AEH46" s="15"/>
      <c r="AEN46" s="25"/>
      <c r="AEU46" s="21"/>
      <c r="AEV46" s="21"/>
      <c r="AEZ46" s="15"/>
      <c r="AFF46" s="25"/>
      <c r="AFM46" s="21"/>
      <c r="AFN46" s="21"/>
      <c r="AFR46" s="15"/>
      <c r="AFX46" s="25"/>
      <c r="AGE46" s="21"/>
      <c r="AGF46" s="21"/>
      <c r="AGJ46" s="15"/>
      <c r="AGP46" s="25"/>
      <c r="AGW46" s="21"/>
      <c r="AGX46" s="21"/>
      <c r="AHB46" s="15"/>
      <c r="AHH46" s="25"/>
      <c r="AHO46" s="21"/>
      <c r="AHP46" s="21"/>
      <c r="AHT46" s="15"/>
      <c r="AHZ46" s="25"/>
      <c r="AIG46" s="21"/>
      <c r="AIH46" s="21"/>
      <c r="AIL46" s="15"/>
      <c r="AIR46" s="25"/>
      <c r="AIY46" s="21"/>
      <c r="AIZ46" s="21"/>
      <c r="AJD46" s="15"/>
      <c r="AJJ46" s="25"/>
      <c r="AJQ46" s="21"/>
      <c r="AJR46" s="21"/>
      <c r="AJV46" s="15"/>
      <c r="AKB46" s="25"/>
      <c r="AKI46" s="21"/>
      <c r="AKJ46" s="21"/>
      <c r="AKN46" s="15"/>
      <c r="AKT46" s="25"/>
      <c r="ALA46" s="21"/>
      <c r="ALB46" s="21"/>
      <c r="ALF46" s="15"/>
      <c r="ALL46" s="25"/>
      <c r="ALS46" s="21"/>
      <c r="ALT46" s="21"/>
      <c r="ALX46" s="15"/>
      <c r="AMD46" s="25"/>
      <c r="AMK46" s="21"/>
      <c r="AML46" s="21"/>
      <c r="AMP46" s="15"/>
      <c r="AMV46" s="25"/>
      <c r="ANC46" s="21"/>
      <c r="AND46" s="21"/>
      <c r="ANH46" s="15"/>
      <c r="ANN46" s="25"/>
      <c r="ANU46" s="21"/>
      <c r="ANV46" s="21"/>
      <c r="ANZ46" s="15"/>
      <c r="AOF46" s="25"/>
      <c r="AOM46" s="21"/>
      <c r="AON46" s="21"/>
      <c r="AOR46" s="15"/>
      <c r="AOX46" s="25"/>
      <c r="APE46" s="21"/>
      <c r="APF46" s="21"/>
      <c r="APJ46" s="15"/>
      <c r="APP46" s="25"/>
      <c r="APW46" s="21"/>
      <c r="APX46" s="21"/>
      <c r="AQB46" s="15"/>
      <c r="AQH46" s="25"/>
      <c r="AQO46" s="21"/>
      <c r="AQP46" s="21"/>
      <c r="AQT46" s="15"/>
      <c r="AQZ46" s="25"/>
      <c r="ARG46" s="21"/>
      <c r="ARH46" s="21"/>
      <c r="ARL46" s="15"/>
      <c r="ARR46" s="25"/>
      <c r="ARY46" s="21"/>
      <c r="ARZ46" s="21"/>
      <c r="ASD46" s="15"/>
      <c r="ASJ46" s="25"/>
      <c r="ASQ46" s="21"/>
      <c r="ASR46" s="21"/>
      <c r="ASV46" s="15"/>
      <c r="ATB46" s="25"/>
      <c r="ATI46" s="21"/>
      <c r="ATJ46" s="21"/>
      <c r="ATN46" s="15"/>
      <c r="ATT46" s="25"/>
      <c r="AUA46" s="21"/>
      <c r="AUB46" s="21"/>
      <c r="AUF46" s="15"/>
      <c r="AUL46" s="25"/>
      <c r="AUS46" s="21"/>
      <c r="AUT46" s="21"/>
      <c r="AUX46" s="15"/>
      <c r="AVD46" s="25"/>
      <c r="AVK46" s="21"/>
      <c r="AVL46" s="21"/>
      <c r="AVP46" s="15"/>
      <c r="AVV46" s="25"/>
      <c r="AWC46" s="21"/>
      <c r="AWD46" s="21"/>
      <c r="AWH46" s="15"/>
      <c r="AWN46" s="25"/>
      <c r="AWU46" s="21"/>
      <c r="AWV46" s="21"/>
      <c r="AWZ46" s="15"/>
      <c r="AXF46" s="25"/>
      <c r="AXM46" s="21"/>
      <c r="AXN46" s="21"/>
      <c r="AXR46" s="15"/>
      <c r="AXX46" s="25"/>
      <c r="AYE46" s="21"/>
      <c r="AYF46" s="21"/>
      <c r="AYJ46" s="15"/>
      <c r="AYP46" s="25"/>
      <c r="AYW46" s="21"/>
      <c r="AYX46" s="21"/>
      <c r="AZB46" s="15"/>
      <c r="AZH46" s="25"/>
      <c r="AZO46" s="21"/>
      <c r="AZP46" s="21"/>
      <c r="AZT46" s="15"/>
      <c r="AZZ46" s="25"/>
      <c r="BAG46" s="21"/>
      <c r="BAH46" s="21"/>
      <c r="BAL46" s="15"/>
      <c r="BAR46" s="25"/>
      <c r="BAY46" s="21"/>
      <c r="BAZ46" s="21"/>
      <c r="BBD46" s="15"/>
      <c r="BBJ46" s="25"/>
      <c r="BBQ46" s="21"/>
      <c r="BBR46" s="21"/>
      <c r="BBV46" s="15"/>
      <c r="BCB46" s="25"/>
      <c r="BCI46" s="21"/>
      <c r="BCJ46" s="21"/>
      <c r="BCN46" s="15"/>
      <c r="BCT46" s="25"/>
      <c r="BDA46" s="21"/>
      <c r="BDB46" s="21"/>
      <c r="BDF46" s="15"/>
      <c r="BDL46" s="25"/>
      <c r="BDS46" s="21"/>
      <c r="BDT46" s="21"/>
      <c r="BDX46" s="15"/>
      <c r="BED46" s="25"/>
      <c r="BEK46" s="21"/>
      <c r="BEL46" s="21"/>
      <c r="BEP46" s="15"/>
      <c r="BEV46" s="25"/>
      <c r="BFC46" s="21"/>
      <c r="BFD46" s="21"/>
      <c r="BFH46" s="15"/>
      <c r="BFN46" s="25"/>
      <c r="BFU46" s="21"/>
      <c r="BFV46" s="21"/>
      <c r="BFZ46" s="15"/>
      <c r="BGF46" s="25"/>
      <c r="BGM46" s="21"/>
      <c r="BGN46" s="21"/>
      <c r="BGR46" s="15"/>
      <c r="BGX46" s="25"/>
      <c r="BHE46" s="21"/>
      <c r="BHF46" s="21"/>
      <c r="BHJ46" s="15"/>
      <c r="BHP46" s="25"/>
      <c r="BHW46" s="21"/>
      <c r="BHX46" s="21"/>
      <c r="BIB46" s="15"/>
      <c r="BIH46" s="25"/>
      <c r="BIO46" s="21"/>
      <c r="BIP46" s="21"/>
      <c r="BIT46" s="15"/>
      <c r="BIZ46" s="25"/>
      <c r="BJG46" s="21"/>
      <c r="BJH46" s="21"/>
      <c r="BJL46" s="15"/>
      <c r="BJR46" s="25"/>
      <c r="BJY46" s="21"/>
      <c r="BJZ46" s="21"/>
      <c r="BKD46" s="15"/>
      <c r="BKJ46" s="25"/>
      <c r="BKQ46" s="21"/>
      <c r="BKR46" s="21"/>
      <c r="BKV46" s="15"/>
      <c r="BLB46" s="25"/>
      <c r="BLI46" s="21"/>
      <c r="BLJ46" s="21"/>
      <c r="BLN46" s="15"/>
      <c r="BLT46" s="25"/>
      <c r="BMA46" s="21"/>
      <c r="BMB46" s="21"/>
      <c r="BMF46" s="15"/>
      <c r="BML46" s="25"/>
      <c r="BMS46" s="21"/>
      <c r="BMT46" s="21"/>
      <c r="BMX46" s="15"/>
      <c r="BND46" s="25"/>
      <c r="BNK46" s="21"/>
      <c r="BNL46" s="21"/>
      <c r="BNP46" s="15"/>
      <c r="BNV46" s="25"/>
      <c r="BOC46" s="21"/>
      <c r="BOD46" s="21"/>
      <c r="BOH46" s="15"/>
      <c r="BON46" s="25"/>
      <c r="BOU46" s="21"/>
      <c r="BOV46" s="21"/>
      <c r="BOZ46" s="15"/>
      <c r="BPF46" s="25"/>
      <c r="BPM46" s="21"/>
      <c r="BPN46" s="21"/>
      <c r="BPR46" s="15"/>
      <c r="BPX46" s="25"/>
      <c r="BQE46" s="21"/>
      <c r="BQF46" s="21"/>
      <c r="BQJ46" s="15"/>
      <c r="BQP46" s="25"/>
      <c r="BQW46" s="21"/>
      <c r="BQX46" s="21"/>
      <c r="BRB46" s="15"/>
      <c r="BRH46" s="25"/>
      <c r="BRO46" s="21"/>
      <c r="BRP46" s="21"/>
      <c r="BRT46" s="15"/>
      <c r="BRZ46" s="25"/>
      <c r="BSG46" s="21"/>
      <c r="BSH46" s="21"/>
      <c r="BSL46" s="15"/>
      <c r="BSR46" s="25"/>
      <c r="BSY46" s="21"/>
      <c r="BSZ46" s="21"/>
      <c r="BTD46" s="15"/>
      <c r="BTJ46" s="25"/>
      <c r="BTQ46" s="21"/>
      <c r="BTR46" s="21"/>
      <c r="BTV46" s="15"/>
      <c r="BUB46" s="25"/>
      <c r="BUI46" s="21"/>
      <c r="BUJ46" s="21"/>
      <c r="BUN46" s="15"/>
      <c r="BUT46" s="25"/>
      <c r="BVA46" s="21"/>
      <c r="BVB46" s="21"/>
      <c r="BVF46" s="15"/>
      <c r="BVL46" s="25"/>
      <c r="BVS46" s="21"/>
      <c r="BVT46" s="21"/>
      <c r="BVX46" s="15"/>
      <c r="BWD46" s="25"/>
      <c r="BWK46" s="21"/>
      <c r="BWL46" s="21"/>
      <c r="BWP46" s="15"/>
      <c r="BWV46" s="25"/>
      <c r="BXC46" s="21"/>
      <c r="BXD46" s="21"/>
      <c r="BXH46" s="15"/>
      <c r="BXN46" s="25"/>
      <c r="BXU46" s="21"/>
      <c r="BXV46" s="21"/>
      <c r="BXZ46" s="15"/>
      <c r="BYF46" s="25"/>
      <c r="BYM46" s="21"/>
      <c r="BYN46" s="21"/>
      <c r="BYR46" s="15"/>
      <c r="BYX46" s="25"/>
      <c r="BZE46" s="21"/>
      <c r="BZF46" s="21"/>
      <c r="BZJ46" s="15"/>
      <c r="BZP46" s="25"/>
      <c r="BZW46" s="21"/>
      <c r="BZX46" s="21"/>
      <c r="CAB46" s="15"/>
      <c r="CAH46" s="25"/>
      <c r="CAO46" s="21"/>
      <c r="CAP46" s="21"/>
      <c r="CAT46" s="15"/>
      <c r="CAZ46" s="25"/>
      <c r="CBG46" s="21"/>
      <c r="CBH46" s="21"/>
      <c r="CBL46" s="15"/>
      <c r="CBR46" s="25"/>
      <c r="CBY46" s="21"/>
      <c r="CBZ46" s="21"/>
      <c r="CCD46" s="15"/>
      <c r="CCJ46" s="25"/>
      <c r="CCQ46" s="21"/>
      <c r="CCR46" s="21"/>
      <c r="CCV46" s="15"/>
      <c r="CDB46" s="25"/>
      <c r="CDI46" s="21"/>
      <c r="CDJ46" s="21"/>
      <c r="CDN46" s="15"/>
      <c r="CDT46" s="25"/>
      <c r="CEA46" s="21"/>
      <c r="CEB46" s="21"/>
      <c r="CEF46" s="15"/>
      <c r="CEL46" s="25"/>
      <c r="CES46" s="21"/>
      <c r="CET46" s="21"/>
      <c r="CEX46" s="15"/>
      <c r="CFD46" s="25"/>
      <c r="CFK46" s="21"/>
      <c r="CFL46" s="21"/>
      <c r="CFP46" s="15"/>
      <c r="CFV46" s="25"/>
      <c r="CGC46" s="21"/>
      <c r="CGD46" s="21"/>
      <c r="CGH46" s="15"/>
      <c r="CGN46" s="25"/>
      <c r="CGU46" s="21"/>
      <c r="CGV46" s="21"/>
      <c r="CGZ46" s="15"/>
      <c r="CHF46" s="25"/>
      <c r="CHM46" s="21"/>
      <c r="CHN46" s="21"/>
      <c r="CHR46" s="15"/>
      <c r="CHX46" s="25"/>
      <c r="CIE46" s="21"/>
      <c r="CIF46" s="21"/>
      <c r="CIJ46" s="15"/>
      <c r="CIP46" s="25"/>
      <c r="CIW46" s="21"/>
      <c r="CIX46" s="21"/>
      <c r="CJB46" s="15"/>
      <c r="CJH46" s="25"/>
      <c r="CJO46" s="21"/>
      <c r="CJP46" s="21"/>
      <c r="CJT46" s="15"/>
      <c r="CJZ46" s="25"/>
      <c r="CKG46" s="21"/>
      <c r="CKH46" s="21"/>
      <c r="CKL46" s="15"/>
      <c r="CKR46" s="25"/>
      <c r="CKY46" s="21"/>
      <c r="CKZ46" s="21"/>
      <c r="CLD46" s="15"/>
      <c r="CLJ46" s="25"/>
      <c r="CLQ46" s="21"/>
      <c r="CLR46" s="21"/>
      <c r="CLV46" s="15"/>
      <c r="CMB46" s="25"/>
      <c r="CMI46" s="21"/>
      <c r="CMJ46" s="21"/>
      <c r="CMN46" s="15"/>
      <c r="CMT46" s="25"/>
      <c r="CNA46" s="21"/>
      <c r="CNB46" s="21"/>
      <c r="CNF46" s="15"/>
      <c r="CNL46" s="25"/>
      <c r="CNS46" s="21"/>
      <c r="CNT46" s="21"/>
      <c r="CNX46" s="15"/>
      <c r="COD46" s="25"/>
      <c r="COK46" s="21"/>
      <c r="COL46" s="21"/>
      <c r="COP46" s="15"/>
      <c r="COV46" s="25"/>
      <c r="CPC46" s="21"/>
      <c r="CPD46" s="21"/>
      <c r="CPH46" s="15"/>
      <c r="CPN46" s="25"/>
      <c r="CPU46" s="21"/>
      <c r="CPV46" s="21"/>
      <c r="CPZ46" s="15"/>
      <c r="CQF46" s="25"/>
      <c r="CQM46" s="21"/>
      <c r="CQN46" s="21"/>
      <c r="CQR46" s="15"/>
      <c r="CQX46" s="25"/>
      <c r="CRE46" s="21"/>
      <c r="CRF46" s="21"/>
      <c r="CRJ46" s="15"/>
      <c r="CRP46" s="25"/>
      <c r="CRW46" s="21"/>
      <c r="CRX46" s="21"/>
      <c r="CSB46" s="15"/>
      <c r="CSH46" s="25"/>
      <c r="CSO46" s="21"/>
      <c r="CSP46" s="21"/>
      <c r="CST46" s="15"/>
      <c r="CSZ46" s="25"/>
      <c r="CTG46" s="21"/>
      <c r="CTH46" s="21"/>
      <c r="CTL46" s="15"/>
      <c r="CTR46" s="25"/>
      <c r="CTY46" s="21"/>
      <c r="CTZ46" s="21"/>
      <c r="CUD46" s="15"/>
      <c r="CUJ46" s="25"/>
      <c r="CUQ46" s="21"/>
      <c r="CUR46" s="21"/>
      <c r="CUV46" s="15"/>
      <c r="CVB46" s="25"/>
      <c r="CVI46" s="21"/>
      <c r="CVJ46" s="21"/>
      <c r="CVN46" s="15"/>
      <c r="CVT46" s="25"/>
      <c r="CWA46" s="21"/>
      <c r="CWB46" s="21"/>
      <c r="CWF46" s="15"/>
      <c r="CWL46" s="25"/>
      <c r="CWS46" s="21"/>
      <c r="CWT46" s="21"/>
      <c r="CWX46" s="15"/>
      <c r="CXD46" s="25"/>
      <c r="CXK46" s="21"/>
      <c r="CXL46" s="21"/>
      <c r="CXP46" s="15"/>
      <c r="CXV46" s="25"/>
      <c r="CYC46" s="21"/>
      <c r="CYD46" s="21"/>
      <c r="CYH46" s="15"/>
      <c r="CYN46" s="25"/>
      <c r="CYU46" s="21"/>
      <c r="CYV46" s="21"/>
      <c r="CYZ46" s="15"/>
      <c r="CZF46" s="25"/>
      <c r="CZM46" s="21"/>
      <c r="CZN46" s="21"/>
      <c r="CZR46" s="15"/>
      <c r="CZX46" s="25"/>
      <c r="DAE46" s="21"/>
      <c r="DAF46" s="21"/>
      <c r="DAJ46" s="15"/>
      <c r="DAP46" s="25"/>
      <c r="DAW46" s="21"/>
      <c r="DAX46" s="21"/>
      <c r="DBB46" s="15"/>
      <c r="DBH46" s="25"/>
      <c r="DBO46" s="21"/>
      <c r="DBP46" s="21"/>
      <c r="DBT46" s="15"/>
      <c r="DBZ46" s="25"/>
      <c r="DCG46" s="21"/>
      <c r="DCH46" s="21"/>
      <c r="DCL46" s="15"/>
      <c r="DCR46" s="25"/>
      <c r="DCY46" s="21"/>
      <c r="DCZ46" s="21"/>
      <c r="DDD46" s="15"/>
      <c r="DDJ46" s="25"/>
      <c r="DDQ46" s="21"/>
      <c r="DDR46" s="21"/>
      <c r="DDV46" s="15"/>
      <c r="DEB46" s="25"/>
      <c r="DEI46" s="21"/>
      <c r="DEJ46" s="21"/>
      <c r="DEN46" s="15"/>
      <c r="DET46" s="25"/>
      <c r="DFA46" s="21"/>
      <c r="DFB46" s="21"/>
      <c r="DFF46" s="15"/>
      <c r="DFL46" s="25"/>
      <c r="DFS46" s="21"/>
      <c r="DFT46" s="21"/>
      <c r="DFX46" s="15"/>
      <c r="DGD46" s="25"/>
      <c r="DGK46" s="21"/>
      <c r="DGL46" s="21"/>
      <c r="DGP46" s="15"/>
      <c r="DGV46" s="25"/>
      <c r="DHC46" s="21"/>
      <c r="DHD46" s="21"/>
      <c r="DHH46" s="15"/>
      <c r="DHN46" s="25"/>
      <c r="DHU46" s="21"/>
      <c r="DHV46" s="21"/>
      <c r="DHZ46" s="15"/>
      <c r="DIF46" s="25"/>
      <c r="DIM46" s="21"/>
      <c r="DIN46" s="21"/>
      <c r="DIR46" s="15"/>
      <c r="DIX46" s="25"/>
      <c r="DJE46" s="21"/>
      <c r="DJF46" s="21"/>
      <c r="DJJ46" s="15"/>
      <c r="DJP46" s="25"/>
      <c r="DJW46" s="21"/>
      <c r="DJX46" s="21"/>
      <c r="DKB46" s="15"/>
      <c r="DKH46" s="25"/>
      <c r="DKO46" s="21"/>
      <c r="DKP46" s="21"/>
      <c r="DKT46" s="15"/>
      <c r="DKZ46" s="25"/>
      <c r="DLG46" s="21"/>
      <c r="DLH46" s="21"/>
      <c r="DLL46" s="15"/>
      <c r="DLR46" s="25"/>
      <c r="DLY46" s="21"/>
      <c r="DLZ46" s="21"/>
      <c r="DMD46" s="15"/>
      <c r="DMJ46" s="25"/>
      <c r="DMQ46" s="21"/>
      <c r="DMR46" s="21"/>
      <c r="DMV46" s="15"/>
      <c r="DNB46" s="25"/>
      <c r="DNI46" s="21"/>
      <c r="DNJ46" s="21"/>
      <c r="DNN46" s="15"/>
      <c r="DNT46" s="25"/>
      <c r="DOA46" s="21"/>
      <c r="DOB46" s="21"/>
      <c r="DOF46" s="15"/>
      <c r="DOL46" s="25"/>
      <c r="DOS46" s="21"/>
      <c r="DOT46" s="21"/>
      <c r="DOX46" s="15"/>
      <c r="DPD46" s="25"/>
      <c r="DPK46" s="21"/>
      <c r="DPL46" s="21"/>
      <c r="DPP46" s="15"/>
      <c r="DPV46" s="25"/>
      <c r="DQC46" s="21"/>
      <c r="DQD46" s="21"/>
      <c r="DQH46" s="15"/>
      <c r="DQN46" s="25"/>
      <c r="DQU46" s="21"/>
      <c r="DQV46" s="21"/>
      <c r="DQZ46" s="15"/>
      <c r="DRF46" s="25"/>
      <c r="DRM46" s="21"/>
      <c r="DRN46" s="21"/>
      <c r="DRR46" s="15"/>
      <c r="DRX46" s="25"/>
      <c r="DSE46" s="21"/>
      <c r="DSF46" s="21"/>
      <c r="DSJ46" s="15"/>
      <c r="DSP46" s="25"/>
      <c r="DSW46" s="21"/>
      <c r="DSX46" s="21"/>
      <c r="DTB46" s="15"/>
      <c r="DTH46" s="25"/>
      <c r="DTO46" s="21"/>
      <c r="DTP46" s="21"/>
      <c r="DTT46" s="15"/>
      <c r="DTZ46" s="25"/>
      <c r="DUG46" s="21"/>
      <c r="DUH46" s="21"/>
      <c r="DUL46" s="15"/>
      <c r="DUR46" s="25"/>
      <c r="DUY46" s="21"/>
      <c r="DUZ46" s="21"/>
      <c r="DVD46" s="15"/>
      <c r="DVJ46" s="25"/>
      <c r="DVQ46" s="21"/>
      <c r="DVR46" s="21"/>
      <c r="DVV46" s="15"/>
      <c r="DWB46" s="25"/>
      <c r="DWI46" s="21"/>
      <c r="DWJ46" s="21"/>
      <c r="DWN46" s="15"/>
      <c r="DWT46" s="25"/>
      <c r="DXA46" s="21"/>
      <c r="DXB46" s="21"/>
      <c r="DXF46" s="15"/>
      <c r="DXL46" s="25"/>
      <c r="DXS46" s="21"/>
      <c r="DXT46" s="21"/>
      <c r="DXX46" s="15"/>
      <c r="DYD46" s="25"/>
      <c r="DYK46" s="21"/>
      <c r="DYL46" s="21"/>
      <c r="DYP46" s="15"/>
      <c r="DYV46" s="25"/>
      <c r="DZC46" s="21"/>
      <c r="DZD46" s="21"/>
      <c r="DZH46" s="15"/>
      <c r="DZN46" s="25"/>
      <c r="DZU46" s="21"/>
      <c r="DZV46" s="21"/>
      <c r="DZZ46" s="15"/>
      <c r="EAF46" s="25"/>
      <c r="EAM46" s="21"/>
      <c r="EAN46" s="21"/>
      <c r="EAR46" s="15"/>
      <c r="EAX46" s="25"/>
      <c r="EBE46" s="21"/>
      <c r="EBF46" s="21"/>
      <c r="EBJ46" s="15"/>
      <c r="EBP46" s="25"/>
      <c r="EBW46" s="21"/>
      <c r="EBX46" s="21"/>
      <c r="ECB46" s="15"/>
      <c r="ECH46" s="25"/>
      <c r="ECO46" s="21"/>
      <c r="ECP46" s="21"/>
      <c r="ECT46" s="15"/>
      <c r="ECZ46" s="25"/>
      <c r="EDG46" s="21"/>
      <c r="EDH46" s="21"/>
      <c r="EDL46" s="15"/>
      <c r="EDR46" s="25"/>
      <c r="EDY46" s="21"/>
      <c r="EDZ46" s="21"/>
      <c r="EED46" s="15"/>
      <c r="EEJ46" s="25"/>
      <c r="EEQ46" s="21"/>
      <c r="EER46" s="21"/>
      <c r="EEV46" s="15"/>
      <c r="EFB46" s="25"/>
      <c r="EFI46" s="21"/>
      <c r="EFJ46" s="21"/>
      <c r="EFN46" s="15"/>
      <c r="EFT46" s="25"/>
      <c r="EGA46" s="21"/>
      <c r="EGB46" s="21"/>
      <c r="EGF46" s="15"/>
      <c r="EGL46" s="25"/>
      <c r="EGS46" s="21"/>
      <c r="EGT46" s="21"/>
      <c r="EGX46" s="15"/>
      <c r="EHD46" s="25"/>
      <c r="EHK46" s="21"/>
      <c r="EHL46" s="21"/>
      <c r="EHP46" s="15"/>
      <c r="EHV46" s="25"/>
      <c r="EIC46" s="21"/>
      <c r="EID46" s="21"/>
      <c r="EIH46" s="15"/>
      <c r="EIN46" s="25"/>
      <c r="EIU46" s="21"/>
      <c r="EIV46" s="21"/>
      <c r="EIZ46" s="15"/>
      <c r="EJF46" s="25"/>
      <c r="EJM46" s="21"/>
      <c r="EJN46" s="21"/>
      <c r="EJR46" s="15"/>
      <c r="EJX46" s="25"/>
      <c r="EKE46" s="21"/>
      <c r="EKF46" s="21"/>
      <c r="EKJ46" s="15"/>
      <c r="EKP46" s="25"/>
      <c r="EKW46" s="21"/>
      <c r="EKX46" s="21"/>
      <c r="ELB46" s="15"/>
      <c r="ELH46" s="25"/>
      <c r="ELO46" s="21"/>
      <c r="ELP46" s="21"/>
      <c r="ELT46" s="15"/>
      <c r="ELZ46" s="25"/>
      <c r="EMG46" s="21"/>
      <c r="EMH46" s="21"/>
      <c r="EML46" s="15"/>
      <c r="EMR46" s="25"/>
      <c r="EMY46" s="21"/>
      <c r="EMZ46" s="21"/>
      <c r="END46" s="15"/>
      <c r="ENJ46" s="25"/>
      <c r="ENQ46" s="21"/>
      <c r="ENR46" s="21"/>
      <c r="ENV46" s="15"/>
      <c r="EOB46" s="25"/>
      <c r="EOI46" s="21"/>
      <c r="EOJ46" s="21"/>
      <c r="EON46" s="15"/>
      <c r="EOT46" s="25"/>
      <c r="EPA46" s="21"/>
      <c r="EPB46" s="21"/>
      <c r="EPF46" s="15"/>
      <c r="EPL46" s="25"/>
      <c r="EPS46" s="21"/>
      <c r="EPT46" s="21"/>
      <c r="EPX46" s="15"/>
      <c r="EQD46" s="25"/>
      <c r="EQK46" s="21"/>
      <c r="EQL46" s="21"/>
      <c r="EQP46" s="15"/>
      <c r="EQV46" s="25"/>
      <c r="ERC46" s="21"/>
      <c r="ERD46" s="21"/>
      <c r="ERH46" s="15"/>
      <c r="ERN46" s="25"/>
      <c r="ERU46" s="21"/>
      <c r="ERV46" s="21"/>
      <c r="ERZ46" s="15"/>
      <c r="ESF46" s="25"/>
      <c r="ESM46" s="21"/>
      <c r="ESN46" s="21"/>
      <c r="ESR46" s="15"/>
      <c r="ESX46" s="25"/>
      <c r="ETE46" s="21"/>
      <c r="ETF46" s="21"/>
      <c r="ETJ46" s="15"/>
      <c r="ETP46" s="25"/>
      <c r="ETW46" s="21"/>
      <c r="ETX46" s="21"/>
      <c r="EUB46" s="15"/>
      <c r="EUH46" s="25"/>
      <c r="EUO46" s="21"/>
      <c r="EUP46" s="21"/>
      <c r="EUT46" s="15"/>
      <c r="EUZ46" s="25"/>
      <c r="EVG46" s="21"/>
      <c r="EVH46" s="21"/>
      <c r="EVL46" s="15"/>
      <c r="EVR46" s="25"/>
      <c r="EVY46" s="21"/>
      <c r="EVZ46" s="21"/>
      <c r="EWD46" s="15"/>
      <c r="EWJ46" s="25"/>
      <c r="EWQ46" s="21"/>
      <c r="EWR46" s="21"/>
      <c r="EWV46" s="15"/>
      <c r="EXB46" s="25"/>
      <c r="EXI46" s="21"/>
      <c r="EXJ46" s="21"/>
      <c r="EXN46" s="15"/>
      <c r="EXT46" s="25"/>
      <c r="EYA46" s="21"/>
      <c r="EYB46" s="21"/>
      <c r="EYF46" s="15"/>
      <c r="EYL46" s="25"/>
      <c r="EYS46" s="21"/>
      <c r="EYT46" s="21"/>
      <c r="EYX46" s="15"/>
      <c r="EZD46" s="25"/>
      <c r="EZK46" s="21"/>
      <c r="EZL46" s="21"/>
      <c r="EZP46" s="15"/>
      <c r="EZV46" s="25"/>
      <c r="FAC46" s="21"/>
      <c r="FAD46" s="21"/>
      <c r="FAH46" s="15"/>
      <c r="FAN46" s="25"/>
      <c r="FAU46" s="21"/>
      <c r="FAV46" s="21"/>
      <c r="FAZ46" s="15"/>
      <c r="FBF46" s="25"/>
      <c r="FBM46" s="21"/>
      <c r="FBN46" s="21"/>
      <c r="FBR46" s="15"/>
      <c r="FBX46" s="25"/>
      <c r="FCE46" s="21"/>
      <c r="FCF46" s="21"/>
      <c r="FCJ46" s="15"/>
      <c r="FCP46" s="25"/>
      <c r="FCW46" s="21"/>
      <c r="FCX46" s="21"/>
      <c r="FDB46" s="15"/>
      <c r="FDH46" s="25"/>
      <c r="FDO46" s="21"/>
      <c r="FDP46" s="21"/>
      <c r="FDT46" s="15"/>
      <c r="FDZ46" s="25"/>
      <c r="FEG46" s="21"/>
      <c r="FEH46" s="21"/>
      <c r="FEL46" s="15"/>
      <c r="FER46" s="25"/>
      <c r="FEY46" s="21"/>
      <c r="FEZ46" s="21"/>
      <c r="FFD46" s="15"/>
      <c r="FFJ46" s="25"/>
      <c r="FFQ46" s="21"/>
      <c r="FFR46" s="21"/>
      <c r="FFV46" s="15"/>
      <c r="FGB46" s="25"/>
      <c r="FGI46" s="21"/>
      <c r="FGJ46" s="21"/>
      <c r="FGN46" s="15"/>
      <c r="FGT46" s="25"/>
      <c r="FHA46" s="21"/>
      <c r="FHB46" s="21"/>
      <c r="FHF46" s="15"/>
      <c r="FHL46" s="25"/>
      <c r="FHS46" s="21"/>
      <c r="FHT46" s="21"/>
      <c r="FHX46" s="15"/>
      <c r="FID46" s="25"/>
      <c r="FIK46" s="21"/>
      <c r="FIL46" s="21"/>
      <c r="FIP46" s="15"/>
      <c r="FIV46" s="25"/>
      <c r="FJC46" s="21"/>
      <c r="FJD46" s="21"/>
      <c r="FJH46" s="15"/>
      <c r="FJN46" s="25"/>
      <c r="FJU46" s="21"/>
      <c r="FJV46" s="21"/>
      <c r="FJZ46" s="15"/>
      <c r="FKF46" s="25"/>
      <c r="FKM46" s="21"/>
      <c r="FKN46" s="21"/>
      <c r="FKR46" s="15"/>
      <c r="FKX46" s="25"/>
      <c r="FLE46" s="21"/>
      <c r="FLF46" s="21"/>
      <c r="FLJ46" s="15"/>
      <c r="FLP46" s="25"/>
      <c r="FLW46" s="21"/>
      <c r="FLX46" s="21"/>
      <c r="FMB46" s="15"/>
      <c r="FMH46" s="25"/>
      <c r="FMO46" s="21"/>
      <c r="FMP46" s="21"/>
      <c r="FMT46" s="15"/>
      <c r="FMZ46" s="25"/>
      <c r="FNG46" s="21"/>
      <c r="FNH46" s="21"/>
      <c r="FNL46" s="15"/>
      <c r="FNR46" s="25"/>
      <c r="FNY46" s="21"/>
      <c r="FNZ46" s="21"/>
      <c r="FOD46" s="15"/>
      <c r="FOJ46" s="25"/>
      <c r="FOQ46" s="21"/>
      <c r="FOR46" s="21"/>
      <c r="FOV46" s="15"/>
      <c r="FPB46" s="25"/>
      <c r="FPI46" s="21"/>
      <c r="FPJ46" s="21"/>
      <c r="FPN46" s="15"/>
      <c r="FPT46" s="25"/>
      <c r="FQA46" s="21"/>
      <c r="FQB46" s="21"/>
      <c r="FQF46" s="15"/>
      <c r="FQL46" s="25"/>
      <c r="FQS46" s="21"/>
      <c r="FQT46" s="21"/>
      <c r="FQX46" s="15"/>
      <c r="FRD46" s="25"/>
      <c r="FRK46" s="21"/>
      <c r="FRL46" s="21"/>
      <c r="FRP46" s="15"/>
      <c r="FRV46" s="25"/>
      <c r="FSC46" s="21"/>
      <c r="FSD46" s="21"/>
      <c r="FSH46" s="15"/>
      <c r="FSN46" s="25"/>
      <c r="FSU46" s="21"/>
      <c r="FSV46" s="21"/>
      <c r="FSZ46" s="15"/>
      <c r="FTF46" s="25"/>
      <c r="FTM46" s="21"/>
      <c r="FTN46" s="21"/>
      <c r="FTR46" s="15"/>
      <c r="FTX46" s="25"/>
      <c r="FUE46" s="21"/>
      <c r="FUF46" s="21"/>
      <c r="FUJ46" s="15"/>
      <c r="FUP46" s="25"/>
      <c r="FUW46" s="21"/>
      <c r="FUX46" s="21"/>
      <c r="FVB46" s="15"/>
      <c r="FVH46" s="25"/>
      <c r="FVO46" s="21"/>
      <c r="FVP46" s="21"/>
      <c r="FVT46" s="15"/>
      <c r="FVZ46" s="25"/>
      <c r="FWG46" s="21"/>
      <c r="FWH46" s="21"/>
      <c r="FWL46" s="15"/>
      <c r="FWR46" s="25"/>
      <c r="FWY46" s="21"/>
      <c r="FWZ46" s="21"/>
      <c r="FXD46" s="15"/>
      <c r="FXJ46" s="25"/>
      <c r="FXQ46" s="21"/>
      <c r="FXR46" s="21"/>
      <c r="FXV46" s="15"/>
      <c r="FYB46" s="25"/>
      <c r="FYI46" s="21"/>
      <c r="FYJ46" s="21"/>
      <c r="FYN46" s="15"/>
      <c r="FYT46" s="25"/>
      <c r="FZA46" s="21"/>
      <c r="FZB46" s="21"/>
      <c r="FZF46" s="15"/>
      <c r="FZL46" s="25"/>
      <c r="FZS46" s="21"/>
      <c r="FZT46" s="21"/>
      <c r="FZX46" s="15"/>
      <c r="GAD46" s="25"/>
      <c r="GAK46" s="21"/>
      <c r="GAL46" s="21"/>
      <c r="GAP46" s="15"/>
      <c r="GAV46" s="25"/>
      <c r="GBC46" s="21"/>
      <c r="GBD46" s="21"/>
      <c r="GBH46" s="15"/>
      <c r="GBN46" s="25"/>
      <c r="GBU46" s="21"/>
      <c r="GBV46" s="21"/>
      <c r="GBZ46" s="15"/>
      <c r="GCF46" s="25"/>
      <c r="GCM46" s="21"/>
      <c r="GCN46" s="21"/>
      <c r="GCR46" s="15"/>
      <c r="GCX46" s="25"/>
      <c r="GDE46" s="21"/>
      <c r="GDF46" s="21"/>
      <c r="GDJ46" s="15"/>
      <c r="GDP46" s="25"/>
      <c r="GDW46" s="21"/>
      <c r="GDX46" s="21"/>
      <c r="GEB46" s="15"/>
      <c r="GEH46" s="25"/>
      <c r="GEO46" s="21"/>
      <c r="GEP46" s="21"/>
      <c r="GET46" s="15"/>
      <c r="GEZ46" s="25"/>
      <c r="GFG46" s="21"/>
      <c r="GFH46" s="21"/>
      <c r="GFL46" s="15"/>
      <c r="GFR46" s="25"/>
      <c r="GFY46" s="21"/>
      <c r="GFZ46" s="21"/>
      <c r="GGD46" s="15"/>
      <c r="GGJ46" s="25"/>
      <c r="GGQ46" s="21"/>
      <c r="GGR46" s="21"/>
      <c r="GGV46" s="15"/>
      <c r="GHB46" s="25"/>
      <c r="GHI46" s="21"/>
      <c r="GHJ46" s="21"/>
      <c r="GHN46" s="15"/>
      <c r="GHT46" s="25"/>
      <c r="GIA46" s="21"/>
      <c r="GIB46" s="21"/>
      <c r="GIF46" s="15"/>
      <c r="GIL46" s="25"/>
      <c r="GIS46" s="21"/>
      <c r="GIT46" s="21"/>
      <c r="GIX46" s="15"/>
      <c r="GJD46" s="25"/>
      <c r="GJK46" s="21"/>
      <c r="GJL46" s="21"/>
      <c r="GJP46" s="15"/>
      <c r="GJV46" s="25"/>
      <c r="GKC46" s="21"/>
      <c r="GKD46" s="21"/>
      <c r="GKH46" s="15"/>
      <c r="GKN46" s="25"/>
      <c r="GKU46" s="21"/>
      <c r="GKV46" s="21"/>
      <c r="GKZ46" s="15"/>
      <c r="GLF46" s="25"/>
      <c r="GLM46" s="21"/>
      <c r="GLN46" s="21"/>
      <c r="GLR46" s="15"/>
      <c r="GLX46" s="25"/>
      <c r="GME46" s="21"/>
      <c r="GMF46" s="21"/>
      <c r="GMJ46" s="15"/>
      <c r="GMP46" s="25"/>
      <c r="GMW46" s="21"/>
      <c r="GMX46" s="21"/>
      <c r="GNB46" s="15"/>
      <c r="GNH46" s="25"/>
      <c r="GNO46" s="21"/>
      <c r="GNP46" s="21"/>
      <c r="GNT46" s="15"/>
      <c r="GNZ46" s="25"/>
      <c r="GOG46" s="21"/>
      <c r="GOH46" s="21"/>
      <c r="GOL46" s="15"/>
      <c r="GOR46" s="25"/>
      <c r="GOY46" s="21"/>
      <c r="GOZ46" s="21"/>
      <c r="GPD46" s="15"/>
      <c r="GPJ46" s="25"/>
      <c r="GPQ46" s="21"/>
      <c r="GPR46" s="21"/>
      <c r="GPV46" s="15"/>
      <c r="GQB46" s="25"/>
      <c r="GQI46" s="21"/>
      <c r="GQJ46" s="21"/>
      <c r="GQN46" s="15"/>
      <c r="GQT46" s="25"/>
      <c r="GRA46" s="21"/>
      <c r="GRB46" s="21"/>
      <c r="GRF46" s="15"/>
      <c r="GRL46" s="25"/>
      <c r="GRS46" s="21"/>
      <c r="GRT46" s="21"/>
      <c r="GRX46" s="15"/>
      <c r="GSD46" s="25"/>
      <c r="GSK46" s="21"/>
      <c r="GSL46" s="21"/>
      <c r="GSP46" s="15"/>
      <c r="GSV46" s="25"/>
      <c r="GTC46" s="21"/>
      <c r="GTD46" s="21"/>
      <c r="GTH46" s="15"/>
      <c r="GTN46" s="25"/>
      <c r="GTU46" s="21"/>
      <c r="GTV46" s="21"/>
      <c r="GTZ46" s="15"/>
      <c r="GUF46" s="25"/>
      <c r="GUM46" s="21"/>
      <c r="GUN46" s="21"/>
      <c r="GUR46" s="15"/>
      <c r="GUX46" s="25"/>
      <c r="GVE46" s="21"/>
      <c r="GVF46" s="21"/>
      <c r="GVJ46" s="15"/>
      <c r="GVP46" s="25"/>
      <c r="GVW46" s="21"/>
      <c r="GVX46" s="21"/>
      <c r="GWB46" s="15"/>
      <c r="GWH46" s="25"/>
      <c r="GWO46" s="21"/>
      <c r="GWP46" s="21"/>
      <c r="GWT46" s="15"/>
      <c r="GWZ46" s="25"/>
      <c r="GXG46" s="21"/>
      <c r="GXH46" s="21"/>
      <c r="GXL46" s="15"/>
      <c r="GXR46" s="25"/>
      <c r="GXY46" s="21"/>
      <c r="GXZ46" s="21"/>
      <c r="GYD46" s="15"/>
      <c r="GYJ46" s="25"/>
      <c r="GYQ46" s="21"/>
      <c r="GYR46" s="21"/>
      <c r="GYV46" s="15"/>
      <c r="GZB46" s="25"/>
      <c r="GZI46" s="21"/>
      <c r="GZJ46" s="21"/>
      <c r="GZN46" s="15"/>
      <c r="GZT46" s="25"/>
      <c r="HAA46" s="21"/>
      <c r="HAB46" s="21"/>
      <c r="HAF46" s="15"/>
      <c r="HAL46" s="25"/>
      <c r="HAS46" s="21"/>
      <c r="HAT46" s="21"/>
      <c r="HAX46" s="15"/>
      <c r="HBD46" s="25"/>
      <c r="HBK46" s="21"/>
      <c r="HBL46" s="21"/>
      <c r="HBP46" s="15"/>
      <c r="HBV46" s="25"/>
      <c r="HCC46" s="21"/>
      <c r="HCD46" s="21"/>
      <c r="HCH46" s="15"/>
      <c r="HCN46" s="25"/>
      <c r="HCU46" s="21"/>
      <c r="HCV46" s="21"/>
      <c r="HCZ46" s="15"/>
      <c r="HDF46" s="25"/>
      <c r="HDM46" s="21"/>
      <c r="HDN46" s="21"/>
      <c r="HDR46" s="15"/>
      <c r="HDX46" s="25"/>
      <c r="HEE46" s="21"/>
      <c r="HEF46" s="21"/>
      <c r="HEJ46" s="15"/>
      <c r="HEP46" s="25"/>
      <c r="HEW46" s="21"/>
      <c r="HEX46" s="21"/>
      <c r="HFB46" s="15"/>
      <c r="HFH46" s="25"/>
      <c r="HFO46" s="21"/>
      <c r="HFP46" s="21"/>
      <c r="HFT46" s="15"/>
      <c r="HFZ46" s="25"/>
      <c r="HGG46" s="21"/>
      <c r="HGH46" s="21"/>
      <c r="HGL46" s="15"/>
      <c r="HGR46" s="25"/>
      <c r="HGY46" s="21"/>
      <c r="HGZ46" s="21"/>
      <c r="HHD46" s="15"/>
      <c r="HHJ46" s="25"/>
      <c r="HHQ46" s="21"/>
      <c r="HHR46" s="21"/>
      <c r="HHV46" s="15"/>
      <c r="HIB46" s="25"/>
      <c r="HII46" s="21"/>
      <c r="HIJ46" s="21"/>
      <c r="HIN46" s="15"/>
      <c r="HIT46" s="25"/>
      <c r="HJA46" s="21"/>
      <c r="HJB46" s="21"/>
      <c r="HJF46" s="15"/>
      <c r="HJL46" s="25"/>
      <c r="HJS46" s="21"/>
      <c r="HJT46" s="21"/>
      <c r="HJX46" s="15"/>
      <c r="HKD46" s="25"/>
      <c r="HKK46" s="21"/>
      <c r="HKL46" s="21"/>
      <c r="HKP46" s="15"/>
      <c r="HKV46" s="25"/>
      <c r="HLC46" s="21"/>
      <c r="HLD46" s="21"/>
      <c r="HLH46" s="15"/>
      <c r="HLN46" s="25"/>
      <c r="HLU46" s="21"/>
      <c r="HLV46" s="21"/>
      <c r="HLZ46" s="15"/>
      <c r="HMF46" s="25"/>
      <c r="HMM46" s="21"/>
      <c r="HMN46" s="21"/>
      <c r="HMR46" s="15"/>
      <c r="HMX46" s="25"/>
      <c r="HNE46" s="21"/>
      <c r="HNF46" s="21"/>
      <c r="HNJ46" s="15"/>
      <c r="HNP46" s="25"/>
      <c r="HNW46" s="21"/>
      <c r="HNX46" s="21"/>
      <c r="HOB46" s="15"/>
      <c r="HOH46" s="25"/>
      <c r="HOO46" s="21"/>
      <c r="HOP46" s="21"/>
      <c r="HOT46" s="15"/>
      <c r="HOZ46" s="25"/>
      <c r="HPG46" s="21"/>
      <c r="HPH46" s="21"/>
      <c r="HPL46" s="15"/>
      <c r="HPR46" s="25"/>
      <c r="HPY46" s="21"/>
      <c r="HPZ46" s="21"/>
      <c r="HQD46" s="15"/>
      <c r="HQJ46" s="25"/>
      <c r="HQQ46" s="21"/>
      <c r="HQR46" s="21"/>
      <c r="HQV46" s="15"/>
      <c r="HRB46" s="25"/>
      <c r="HRI46" s="21"/>
      <c r="HRJ46" s="21"/>
      <c r="HRN46" s="15"/>
      <c r="HRT46" s="25"/>
      <c r="HSA46" s="21"/>
      <c r="HSB46" s="21"/>
      <c r="HSF46" s="15"/>
      <c r="HSL46" s="25"/>
      <c r="HSS46" s="21"/>
      <c r="HST46" s="21"/>
      <c r="HSX46" s="15"/>
      <c r="HTD46" s="25"/>
      <c r="HTK46" s="21"/>
      <c r="HTL46" s="21"/>
      <c r="HTP46" s="15"/>
      <c r="HTV46" s="25"/>
      <c r="HUC46" s="21"/>
      <c r="HUD46" s="21"/>
      <c r="HUH46" s="15"/>
      <c r="HUN46" s="25"/>
      <c r="HUU46" s="21"/>
      <c r="HUV46" s="21"/>
      <c r="HUZ46" s="15"/>
      <c r="HVF46" s="25"/>
      <c r="HVM46" s="21"/>
      <c r="HVN46" s="21"/>
      <c r="HVR46" s="15"/>
      <c r="HVX46" s="25"/>
      <c r="HWE46" s="21"/>
      <c r="HWF46" s="21"/>
      <c r="HWJ46" s="15"/>
      <c r="HWP46" s="25"/>
      <c r="HWW46" s="21"/>
      <c r="HWX46" s="21"/>
      <c r="HXB46" s="15"/>
      <c r="HXH46" s="25"/>
      <c r="HXO46" s="21"/>
      <c r="HXP46" s="21"/>
      <c r="HXT46" s="15"/>
      <c r="HXZ46" s="25"/>
      <c r="HYG46" s="21"/>
      <c r="HYH46" s="21"/>
      <c r="HYL46" s="15"/>
      <c r="HYR46" s="25"/>
      <c r="HYY46" s="21"/>
      <c r="HYZ46" s="21"/>
      <c r="HZD46" s="15"/>
      <c r="HZJ46" s="25"/>
      <c r="HZQ46" s="21"/>
      <c r="HZR46" s="21"/>
      <c r="HZV46" s="15"/>
      <c r="IAB46" s="25"/>
      <c r="IAI46" s="21"/>
      <c r="IAJ46" s="21"/>
      <c r="IAN46" s="15"/>
      <c r="IAT46" s="25"/>
      <c r="IBA46" s="21"/>
      <c r="IBB46" s="21"/>
      <c r="IBF46" s="15"/>
      <c r="IBL46" s="25"/>
      <c r="IBS46" s="21"/>
      <c r="IBT46" s="21"/>
      <c r="IBX46" s="15"/>
      <c r="ICD46" s="25"/>
      <c r="ICK46" s="21"/>
      <c r="ICL46" s="21"/>
      <c r="ICP46" s="15"/>
      <c r="ICV46" s="25"/>
      <c r="IDC46" s="21"/>
      <c r="IDD46" s="21"/>
      <c r="IDH46" s="15"/>
      <c r="IDN46" s="25"/>
      <c r="IDU46" s="21"/>
      <c r="IDV46" s="21"/>
      <c r="IDZ46" s="15"/>
      <c r="IEF46" s="25"/>
      <c r="IEM46" s="21"/>
      <c r="IEN46" s="21"/>
      <c r="IER46" s="15"/>
      <c r="IEX46" s="25"/>
      <c r="IFE46" s="21"/>
      <c r="IFF46" s="21"/>
      <c r="IFJ46" s="15"/>
      <c r="IFP46" s="25"/>
      <c r="IFW46" s="21"/>
      <c r="IFX46" s="21"/>
      <c r="IGB46" s="15"/>
      <c r="IGH46" s="25"/>
      <c r="IGO46" s="21"/>
      <c r="IGP46" s="21"/>
      <c r="IGT46" s="15"/>
      <c r="IGZ46" s="25"/>
      <c r="IHG46" s="21"/>
      <c r="IHH46" s="21"/>
      <c r="IHL46" s="15"/>
      <c r="IHR46" s="25"/>
      <c r="IHY46" s="21"/>
      <c r="IHZ46" s="21"/>
      <c r="IID46" s="15"/>
      <c r="IIJ46" s="25"/>
      <c r="IIQ46" s="21"/>
      <c r="IIR46" s="21"/>
      <c r="IIV46" s="15"/>
      <c r="IJB46" s="25"/>
      <c r="IJI46" s="21"/>
      <c r="IJJ46" s="21"/>
      <c r="IJN46" s="15"/>
      <c r="IJT46" s="25"/>
      <c r="IKA46" s="21"/>
      <c r="IKB46" s="21"/>
      <c r="IKF46" s="15"/>
      <c r="IKL46" s="25"/>
      <c r="IKS46" s="21"/>
      <c r="IKT46" s="21"/>
      <c r="IKX46" s="15"/>
      <c r="ILD46" s="25"/>
      <c r="ILK46" s="21"/>
      <c r="ILL46" s="21"/>
      <c r="ILP46" s="15"/>
      <c r="ILV46" s="25"/>
      <c r="IMC46" s="21"/>
      <c r="IMD46" s="21"/>
      <c r="IMH46" s="15"/>
      <c r="IMN46" s="25"/>
      <c r="IMU46" s="21"/>
      <c r="IMV46" s="21"/>
      <c r="IMZ46" s="15"/>
      <c r="INF46" s="25"/>
      <c r="INM46" s="21"/>
      <c r="INN46" s="21"/>
      <c r="INR46" s="15"/>
      <c r="INX46" s="25"/>
      <c r="IOE46" s="21"/>
      <c r="IOF46" s="21"/>
      <c r="IOJ46" s="15"/>
      <c r="IOP46" s="25"/>
      <c r="IOW46" s="21"/>
      <c r="IOX46" s="21"/>
      <c r="IPB46" s="15"/>
      <c r="IPH46" s="25"/>
      <c r="IPO46" s="21"/>
      <c r="IPP46" s="21"/>
      <c r="IPT46" s="15"/>
      <c r="IPZ46" s="25"/>
      <c r="IQG46" s="21"/>
      <c r="IQH46" s="21"/>
      <c r="IQL46" s="15"/>
      <c r="IQR46" s="25"/>
      <c r="IQY46" s="21"/>
      <c r="IQZ46" s="21"/>
      <c r="IRD46" s="15"/>
      <c r="IRJ46" s="25"/>
      <c r="IRQ46" s="21"/>
      <c r="IRR46" s="21"/>
      <c r="IRV46" s="15"/>
      <c r="ISB46" s="25"/>
      <c r="ISI46" s="21"/>
      <c r="ISJ46" s="21"/>
      <c r="ISN46" s="15"/>
      <c r="IST46" s="25"/>
      <c r="ITA46" s="21"/>
      <c r="ITB46" s="21"/>
      <c r="ITF46" s="15"/>
      <c r="ITL46" s="25"/>
      <c r="ITS46" s="21"/>
      <c r="ITT46" s="21"/>
      <c r="ITX46" s="15"/>
      <c r="IUD46" s="25"/>
      <c r="IUK46" s="21"/>
      <c r="IUL46" s="21"/>
      <c r="IUP46" s="15"/>
      <c r="IUV46" s="25"/>
      <c r="IVC46" s="21"/>
      <c r="IVD46" s="21"/>
      <c r="IVH46" s="15"/>
      <c r="IVN46" s="25"/>
      <c r="IVU46" s="21"/>
      <c r="IVV46" s="21"/>
      <c r="IVZ46" s="15"/>
      <c r="IWF46" s="25"/>
      <c r="IWM46" s="21"/>
      <c r="IWN46" s="21"/>
      <c r="IWR46" s="15"/>
      <c r="IWX46" s="25"/>
      <c r="IXE46" s="21"/>
      <c r="IXF46" s="21"/>
      <c r="IXJ46" s="15"/>
      <c r="IXP46" s="25"/>
      <c r="IXW46" s="21"/>
      <c r="IXX46" s="21"/>
      <c r="IYB46" s="15"/>
      <c r="IYH46" s="25"/>
      <c r="IYO46" s="21"/>
      <c r="IYP46" s="21"/>
      <c r="IYT46" s="15"/>
      <c r="IYZ46" s="25"/>
      <c r="IZG46" s="21"/>
      <c r="IZH46" s="21"/>
      <c r="IZL46" s="15"/>
      <c r="IZR46" s="25"/>
      <c r="IZY46" s="21"/>
      <c r="IZZ46" s="21"/>
      <c r="JAD46" s="15"/>
      <c r="JAJ46" s="25"/>
      <c r="JAQ46" s="21"/>
      <c r="JAR46" s="21"/>
      <c r="JAV46" s="15"/>
      <c r="JBB46" s="25"/>
      <c r="JBI46" s="21"/>
      <c r="JBJ46" s="21"/>
      <c r="JBN46" s="15"/>
      <c r="JBT46" s="25"/>
      <c r="JCA46" s="21"/>
      <c r="JCB46" s="21"/>
      <c r="JCF46" s="15"/>
      <c r="JCL46" s="25"/>
      <c r="JCS46" s="21"/>
      <c r="JCT46" s="21"/>
      <c r="JCX46" s="15"/>
      <c r="JDD46" s="25"/>
      <c r="JDK46" s="21"/>
      <c r="JDL46" s="21"/>
      <c r="JDP46" s="15"/>
      <c r="JDV46" s="25"/>
      <c r="JEC46" s="21"/>
      <c r="JED46" s="21"/>
      <c r="JEH46" s="15"/>
      <c r="JEN46" s="25"/>
      <c r="JEU46" s="21"/>
      <c r="JEV46" s="21"/>
      <c r="JEZ46" s="15"/>
      <c r="JFF46" s="25"/>
      <c r="JFM46" s="21"/>
      <c r="JFN46" s="21"/>
      <c r="JFR46" s="15"/>
      <c r="JFX46" s="25"/>
      <c r="JGE46" s="21"/>
      <c r="JGF46" s="21"/>
      <c r="JGJ46" s="15"/>
      <c r="JGP46" s="25"/>
      <c r="JGW46" s="21"/>
      <c r="JGX46" s="21"/>
      <c r="JHB46" s="15"/>
      <c r="JHH46" s="25"/>
      <c r="JHO46" s="21"/>
      <c r="JHP46" s="21"/>
      <c r="JHT46" s="15"/>
      <c r="JHZ46" s="25"/>
      <c r="JIG46" s="21"/>
      <c r="JIH46" s="21"/>
      <c r="JIL46" s="15"/>
      <c r="JIR46" s="25"/>
      <c r="JIY46" s="21"/>
      <c r="JIZ46" s="21"/>
      <c r="JJD46" s="15"/>
      <c r="JJJ46" s="25"/>
      <c r="JJQ46" s="21"/>
      <c r="JJR46" s="21"/>
      <c r="JJV46" s="15"/>
      <c r="JKB46" s="25"/>
      <c r="JKI46" s="21"/>
      <c r="JKJ46" s="21"/>
      <c r="JKN46" s="15"/>
      <c r="JKT46" s="25"/>
      <c r="JLA46" s="21"/>
      <c r="JLB46" s="21"/>
      <c r="JLF46" s="15"/>
      <c r="JLL46" s="25"/>
      <c r="JLS46" s="21"/>
      <c r="JLT46" s="21"/>
      <c r="JLX46" s="15"/>
      <c r="JMD46" s="25"/>
      <c r="JMK46" s="21"/>
      <c r="JML46" s="21"/>
      <c r="JMP46" s="15"/>
      <c r="JMV46" s="25"/>
      <c r="JNC46" s="21"/>
      <c r="JND46" s="21"/>
      <c r="JNH46" s="15"/>
      <c r="JNN46" s="25"/>
      <c r="JNU46" s="21"/>
      <c r="JNV46" s="21"/>
      <c r="JNZ46" s="15"/>
      <c r="JOF46" s="25"/>
      <c r="JOM46" s="21"/>
      <c r="JON46" s="21"/>
      <c r="JOR46" s="15"/>
      <c r="JOX46" s="25"/>
      <c r="JPE46" s="21"/>
      <c r="JPF46" s="21"/>
      <c r="JPJ46" s="15"/>
      <c r="JPP46" s="25"/>
      <c r="JPW46" s="21"/>
      <c r="JPX46" s="21"/>
      <c r="JQB46" s="15"/>
      <c r="JQH46" s="25"/>
      <c r="JQO46" s="21"/>
      <c r="JQP46" s="21"/>
      <c r="JQT46" s="15"/>
      <c r="JQZ46" s="25"/>
      <c r="JRG46" s="21"/>
      <c r="JRH46" s="21"/>
      <c r="JRL46" s="15"/>
      <c r="JRR46" s="25"/>
      <c r="JRY46" s="21"/>
      <c r="JRZ46" s="21"/>
      <c r="JSD46" s="15"/>
      <c r="JSJ46" s="25"/>
      <c r="JSQ46" s="21"/>
      <c r="JSR46" s="21"/>
      <c r="JSV46" s="15"/>
      <c r="JTB46" s="25"/>
      <c r="JTI46" s="21"/>
      <c r="JTJ46" s="21"/>
      <c r="JTN46" s="15"/>
      <c r="JTT46" s="25"/>
      <c r="JUA46" s="21"/>
      <c r="JUB46" s="21"/>
      <c r="JUF46" s="15"/>
      <c r="JUL46" s="25"/>
      <c r="JUS46" s="21"/>
      <c r="JUT46" s="21"/>
      <c r="JUX46" s="15"/>
      <c r="JVD46" s="25"/>
      <c r="JVK46" s="21"/>
      <c r="JVL46" s="21"/>
      <c r="JVP46" s="15"/>
      <c r="JVV46" s="25"/>
      <c r="JWC46" s="21"/>
      <c r="JWD46" s="21"/>
      <c r="JWH46" s="15"/>
      <c r="JWN46" s="25"/>
      <c r="JWU46" s="21"/>
      <c r="JWV46" s="21"/>
      <c r="JWZ46" s="15"/>
      <c r="JXF46" s="25"/>
      <c r="JXM46" s="21"/>
      <c r="JXN46" s="21"/>
      <c r="JXR46" s="15"/>
      <c r="JXX46" s="25"/>
      <c r="JYE46" s="21"/>
      <c r="JYF46" s="21"/>
      <c r="JYJ46" s="15"/>
      <c r="JYP46" s="25"/>
      <c r="JYW46" s="21"/>
      <c r="JYX46" s="21"/>
      <c r="JZB46" s="15"/>
      <c r="JZH46" s="25"/>
      <c r="JZO46" s="21"/>
      <c r="JZP46" s="21"/>
      <c r="JZT46" s="15"/>
      <c r="JZZ46" s="25"/>
      <c r="KAG46" s="21"/>
      <c r="KAH46" s="21"/>
      <c r="KAL46" s="15"/>
      <c r="KAR46" s="25"/>
      <c r="KAY46" s="21"/>
      <c r="KAZ46" s="21"/>
      <c r="KBD46" s="15"/>
      <c r="KBJ46" s="25"/>
      <c r="KBQ46" s="21"/>
      <c r="KBR46" s="21"/>
      <c r="KBV46" s="15"/>
      <c r="KCB46" s="25"/>
      <c r="KCI46" s="21"/>
      <c r="KCJ46" s="21"/>
      <c r="KCN46" s="15"/>
      <c r="KCT46" s="25"/>
      <c r="KDA46" s="21"/>
      <c r="KDB46" s="21"/>
      <c r="KDF46" s="15"/>
      <c r="KDL46" s="25"/>
      <c r="KDS46" s="21"/>
      <c r="KDT46" s="21"/>
      <c r="KDX46" s="15"/>
      <c r="KED46" s="25"/>
      <c r="KEK46" s="21"/>
      <c r="KEL46" s="21"/>
      <c r="KEP46" s="15"/>
      <c r="KEV46" s="25"/>
      <c r="KFC46" s="21"/>
      <c r="KFD46" s="21"/>
      <c r="KFH46" s="15"/>
      <c r="KFN46" s="25"/>
      <c r="KFU46" s="21"/>
      <c r="KFV46" s="21"/>
      <c r="KFZ46" s="15"/>
      <c r="KGF46" s="25"/>
      <c r="KGM46" s="21"/>
      <c r="KGN46" s="21"/>
      <c r="KGR46" s="15"/>
      <c r="KGX46" s="25"/>
      <c r="KHE46" s="21"/>
      <c r="KHF46" s="21"/>
      <c r="KHJ46" s="15"/>
      <c r="KHP46" s="25"/>
      <c r="KHW46" s="21"/>
      <c r="KHX46" s="21"/>
      <c r="KIB46" s="15"/>
      <c r="KIH46" s="25"/>
      <c r="KIO46" s="21"/>
      <c r="KIP46" s="21"/>
      <c r="KIT46" s="15"/>
      <c r="KIZ46" s="25"/>
      <c r="KJG46" s="21"/>
      <c r="KJH46" s="21"/>
      <c r="KJL46" s="15"/>
      <c r="KJR46" s="25"/>
      <c r="KJY46" s="21"/>
      <c r="KJZ46" s="21"/>
      <c r="KKD46" s="15"/>
      <c r="KKJ46" s="25"/>
      <c r="KKQ46" s="21"/>
      <c r="KKR46" s="21"/>
      <c r="KKV46" s="15"/>
      <c r="KLB46" s="25"/>
      <c r="KLI46" s="21"/>
      <c r="KLJ46" s="21"/>
      <c r="KLN46" s="15"/>
      <c r="KLT46" s="25"/>
      <c r="KMA46" s="21"/>
      <c r="KMB46" s="21"/>
      <c r="KMF46" s="15"/>
      <c r="KML46" s="25"/>
      <c r="KMS46" s="21"/>
      <c r="KMT46" s="21"/>
      <c r="KMX46" s="15"/>
      <c r="KND46" s="25"/>
      <c r="KNK46" s="21"/>
      <c r="KNL46" s="21"/>
      <c r="KNP46" s="15"/>
      <c r="KNV46" s="25"/>
      <c r="KOC46" s="21"/>
      <c r="KOD46" s="21"/>
      <c r="KOH46" s="15"/>
      <c r="KON46" s="25"/>
      <c r="KOU46" s="21"/>
      <c r="KOV46" s="21"/>
      <c r="KOZ46" s="15"/>
      <c r="KPF46" s="25"/>
      <c r="KPM46" s="21"/>
      <c r="KPN46" s="21"/>
      <c r="KPR46" s="15"/>
      <c r="KPX46" s="25"/>
      <c r="KQE46" s="21"/>
      <c r="KQF46" s="21"/>
      <c r="KQJ46" s="15"/>
      <c r="KQP46" s="25"/>
      <c r="KQW46" s="21"/>
      <c r="KQX46" s="21"/>
      <c r="KRB46" s="15"/>
      <c r="KRH46" s="25"/>
      <c r="KRO46" s="21"/>
      <c r="KRP46" s="21"/>
      <c r="KRT46" s="15"/>
      <c r="KRZ46" s="25"/>
      <c r="KSG46" s="21"/>
      <c r="KSH46" s="21"/>
      <c r="KSL46" s="15"/>
      <c r="KSR46" s="25"/>
      <c r="KSY46" s="21"/>
      <c r="KSZ46" s="21"/>
      <c r="KTD46" s="15"/>
      <c r="KTJ46" s="25"/>
      <c r="KTQ46" s="21"/>
      <c r="KTR46" s="21"/>
      <c r="KTV46" s="15"/>
      <c r="KUB46" s="25"/>
      <c r="KUI46" s="21"/>
      <c r="KUJ46" s="21"/>
      <c r="KUN46" s="15"/>
      <c r="KUT46" s="25"/>
      <c r="KVA46" s="21"/>
      <c r="KVB46" s="21"/>
      <c r="KVF46" s="15"/>
      <c r="KVL46" s="25"/>
      <c r="KVS46" s="21"/>
      <c r="KVT46" s="21"/>
      <c r="KVX46" s="15"/>
      <c r="KWD46" s="25"/>
      <c r="KWK46" s="21"/>
      <c r="KWL46" s="21"/>
      <c r="KWP46" s="15"/>
      <c r="KWV46" s="25"/>
      <c r="KXC46" s="21"/>
      <c r="KXD46" s="21"/>
      <c r="KXH46" s="15"/>
      <c r="KXN46" s="25"/>
      <c r="KXU46" s="21"/>
      <c r="KXV46" s="21"/>
      <c r="KXZ46" s="15"/>
      <c r="KYF46" s="25"/>
      <c r="KYM46" s="21"/>
      <c r="KYN46" s="21"/>
      <c r="KYR46" s="15"/>
      <c r="KYX46" s="25"/>
      <c r="KZE46" s="21"/>
      <c r="KZF46" s="21"/>
      <c r="KZJ46" s="15"/>
      <c r="KZP46" s="25"/>
      <c r="KZW46" s="21"/>
      <c r="KZX46" s="21"/>
      <c r="LAB46" s="15"/>
      <c r="LAH46" s="25"/>
      <c r="LAO46" s="21"/>
      <c r="LAP46" s="21"/>
      <c r="LAT46" s="15"/>
      <c r="LAZ46" s="25"/>
      <c r="LBG46" s="21"/>
      <c r="LBH46" s="21"/>
      <c r="LBL46" s="15"/>
      <c r="LBR46" s="25"/>
      <c r="LBY46" s="21"/>
      <c r="LBZ46" s="21"/>
      <c r="LCD46" s="15"/>
      <c r="LCJ46" s="25"/>
      <c r="LCQ46" s="21"/>
      <c r="LCR46" s="21"/>
      <c r="LCV46" s="15"/>
      <c r="LDB46" s="25"/>
      <c r="LDI46" s="21"/>
      <c r="LDJ46" s="21"/>
      <c r="LDN46" s="15"/>
      <c r="LDT46" s="25"/>
      <c r="LEA46" s="21"/>
      <c r="LEB46" s="21"/>
      <c r="LEF46" s="15"/>
      <c r="LEL46" s="25"/>
      <c r="LES46" s="21"/>
      <c r="LET46" s="21"/>
      <c r="LEX46" s="15"/>
      <c r="LFD46" s="25"/>
      <c r="LFK46" s="21"/>
      <c r="LFL46" s="21"/>
      <c r="LFP46" s="15"/>
      <c r="LFV46" s="25"/>
      <c r="LGC46" s="21"/>
      <c r="LGD46" s="21"/>
      <c r="LGH46" s="15"/>
      <c r="LGN46" s="25"/>
      <c r="LGU46" s="21"/>
      <c r="LGV46" s="21"/>
      <c r="LGZ46" s="15"/>
      <c r="LHF46" s="25"/>
      <c r="LHM46" s="21"/>
      <c r="LHN46" s="21"/>
      <c r="LHR46" s="15"/>
      <c r="LHX46" s="25"/>
      <c r="LIE46" s="21"/>
      <c r="LIF46" s="21"/>
      <c r="LIJ46" s="15"/>
      <c r="LIP46" s="25"/>
      <c r="LIW46" s="21"/>
      <c r="LIX46" s="21"/>
      <c r="LJB46" s="15"/>
      <c r="LJH46" s="25"/>
      <c r="LJO46" s="21"/>
      <c r="LJP46" s="21"/>
      <c r="LJT46" s="15"/>
      <c r="LJZ46" s="25"/>
      <c r="LKG46" s="21"/>
      <c r="LKH46" s="21"/>
      <c r="LKL46" s="15"/>
      <c r="LKR46" s="25"/>
      <c r="LKY46" s="21"/>
      <c r="LKZ46" s="21"/>
      <c r="LLD46" s="15"/>
      <c r="LLJ46" s="25"/>
      <c r="LLQ46" s="21"/>
      <c r="LLR46" s="21"/>
      <c r="LLV46" s="15"/>
      <c r="LMB46" s="25"/>
      <c r="LMI46" s="21"/>
      <c r="LMJ46" s="21"/>
      <c r="LMN46" s="15"/>
      <c r="LMT46" s="25"/>
      <c r="LNA46" s="21"/>
      <c r="LNB46" s="21"/>
      <c r="LNF46" s="15"/>
      <c r="LNL46" s="25"/>
      <c r="LNS46" s="21"/>
      <c r="LNT46" s="21"/>
      <c r="LNX46" s="15"/>
      <c r="LOD46" s="25"/>
      <c r="LOK46" s="21"/>
      <c r="LOL46" s="21"/>
      <c r="LOP46" s="15"/>
      <c r="LOV46" s="25"/>
      <c r="LPC46" s="21"/>
      <c r="LPD46" s="21"/>
      <c r="LPH46" s="15"/>
      <c r="LPN46" s="25"/>
      <c r="LPU46" s="21"/>
      <c r="LPV46" s="21"/>
      <c r="LPZ46" s="15"/>
      <c r="LQF46" s="25"/>
      <c r="LQM46" s="21"/>
      <c r="LQN46" s="21"/>
      <c r="LQR46" s="15"/>
      <c r="LQX46" s="25"/>
      <c r="LRE46" s="21"/>
      <c r="LRF46" s="21"/>
      <c r="LRJ46" s="15"/>
      <c r="LRP46" s="25"/>
      <c r="LRW46" s="21"/>
      <c r="LRX46" s="21"/>
      <c r="LSB46" s="15"/>
      <c r="LSH46" s="25"/>
      <c r="LSO46" s="21"/>
      <c r="LSP46" s="21"/>
      <c r="LST46" s="15"/>
      <c r="LSZ46" s="25"/>
      <c r="LTG46" s="21"/>
      <c r="LTH46" s="21"/>
      <c r="LTL46" s="15"/>
      <c r="LTR46" s="25"/>
      <c r="LTY46" s="21"/>
      <c r="LTZ46" s="21"/>
      <c r="LUD46" s="15"/>
      <c r="LUJ46" s="25"/>
      <c r="LUQ46" s="21"/>
      <c r="LUR46" s="21"/>
      <c r="LUV46" s="15"/>
      <c r="LVB46" s="25"/>
      <c r="LVI46" s="21"/>
      <c r="LVJ46" s="21"/>
      <c r="LVN46" s="15"/>
      <c r="LVT46" s="25"/>
      <c r="LWA46" s="21"/>
      <c r="LWB46" s="21"/>
      <c r="LWF46" s="15"/>
      <c r="LWL46" s="25"/>
      <c r="LWS46" s="21"/>
      <c r="LWT46" s="21"/>
      <c r="LWX46" s="15"/>
      <c r="LXD46" s="25"/>
      <c r="LXK46" s="21"/>
      <c r="LXL46" s="21"/>
      <c r="LXP46" s="15"/>
      <c r="LXV46" s="25"/>
      <c r="LYC46" s="21"/>
      <c r="LYD46" s="21"/>
      <c r="LYH46" s="15"/>
      <c r="LYN46" s="25"/>
      <c r="LYU46" s="21"/>
      <c r="LYV46" s="21"/>
      <c r="LYZ46" s="15"/>
      <c r="LZF46" s="25"/>
      <c r="LZM46" s="21"/>
      <c r="LZN46" s="21"/>
      <c r="LZR46" s="15"/>
      <c r="LZX46" s="25"/>
      <c r="MAE46" s="21"/>
      <c r="MAF46" s="21"/>
      <c r="MAJ46" s="15"/>
      <c r="MAP46" s="25"/>
      <c r="MAW46" s="21"/>
      <c r="MAX46" s="21"/>
      <c r="MBB46" s="15"/>
      <c r="MBH46" s="25"/>
      <c r="MBO46" s="21"/>
      <c r="MBP46" s="21"/>
      <c r="MBT46" s="15"/>
      <c r="MBZ46" s="25"/>
      <c r="MCG46" s="21"/>
      <c r="MCH46" s="21"/>
      <c r="MCL46" s="15"/>
      <c r="MCR46" s="25"/>
      <c r="MCY46" s="21"/>
      <c r="MCZ46" s="21"/>
      <c r="MDD46" s="15"/>
      <c r="MDJ46" s="25"/>
      <c r="MDQ46" s="21"/>
      <c r="MDR46" s="21"/>
      <c r="MDV46" s="15"/>
      <c r="MEB46" s="25"/>
      <c r="MEI46" s="21"/>
      <c r="MEJ46" s="21"/>
      <c r="MEN46" s="15"/>
      <c r="MET46" s="25"/>
      <c r="MFA46" s="21"/>
      <c r="MFB46" s="21"/>
      <c r="MFF46" s="15"/>
      <c r="MFL46" s="25"/>
      <c r="MFS46" s="21"/>
      <c r="MFT46" s="21"/>
      <c r="MFX46" s="15"/>
      <c r="MGD46" s="25"/>
      <c r="MGK46" s="21"/>
      <c r="MGL46" s="21"/>
      <c r="MGP46" s="15"/>
      <c r="MGV46" s="25"/>
      <c r="MHC46" s="21"/>
      <c r="MHD46" s="21"/>
      <c r="MHH46" s="15"/>
      <c r="MHN46" s="25"/>
      <c r="MHU46" s="21"/>
      <c r="MHV46" s="21"/>
      <c r="MHZ46" s="15"/>
      <c r="MIF46" s="25"/>
      <c r="MIM46" s="21"/>
      <c r="MIN46" s="21"/>
      <c r="MIR46" s="15"/>
      <c r="MIX46" s="25"/>
      <c r="MJE46" s="21"/>
      <c r="MJF46" s="21"/>
      <c r="MJJ46" s="15"/>
      <c r="MJP46" s="25"/>
      <c r="MJW46" s="21"/>
      <c r="MJX46" s="21"/>
      <c r="MKB46" s="15"/>
      <c r="MKH46" s="25"/>
      <c r="MKO46" s="21"/>
      <c r="MKP46" s="21"/>
      <c r="MKT46" s="15"/>
      <c r="MKZ46" s="25"/>
      <c r="MLG46" s="21"/>
      <c r="MLH46" s="21"/>
      <c r="MLL46" s="15"/>
      <c r="MLR46" s="25"/>
      <c r="MLY46" s="21"/>
      <c r="MLZ46" s="21"/>
      <c r="MMD46" s="15"/>
      <c r="MMJ46" s="25"/>
      <c r="MMQ46" s="21"/>
      <c r="MMR46" s="21"/>
      <c r="MMV46" s="15"/>
      <c r="MNB46" s="25"/>
      <c r="MNI46" s="21"/>
      <c r="MNJ46" s="21"/>
      <c r="MNN46" s="15"/>
      <c r="MNT46" s="25"/>
      <c r="MOA46" s="21"/>
      <c r="MOB46" s="21"/>
      <c r="MOF46" s="15"/>
      <c r="MOL46" s="25"/>
      <c r="MOS46" s="21"/>
      <c r="MOT46" s="21"/>
      <c r="MOX46" s="15"/>
      <c r="MPD46" s="25"/>
      <c r="MPK46" s="21"/>
      <c r="MPL46" s="21"/>
      <c r="MPP46" s="15"/>
      <c r="MPV46" s="25"/>
      <c r="MQC46" s="21"/>
      <c r="MQD46" s="21"/>
      <c r="MQH46" s="15"/>
      <c r="MQN46" s="25"/>
      <c r="MQU46" s="21"/>
      <c r="MQV46" s="21"/>
      <c r="MQZ46" s="15"/>
      <c r="MRF46" s="25"/>
      <c r="MRM46" s="21"/>
      <c r="MRN46" s="21"/>
      <c r="MRR46" s="15"/>
      <c r="MRX46" s="25"/>
      <c r="MSE46" s="21"/>
      <c r="MSF46" s="21"/>
      <c r="MSJ46" s="15"/>
      <c r="MSP46" s="25"/>
      <c r="MSW46" s="21"/>
      <c r="MSX46" s="21"/>
      <c r="MTB46" s="15"/>
      <c r="MTH46" s="25"/>
      <c r="MTO46" s="21"/>
      <c r="MTP46" s="21"/>
      <c r="MTT46" s="15"/>
      <c r="MTZ46" s="25"/>
      <c r="MUG46" s="21"/>
      <c r="MUH46" s="21"/>
      <c r="MUL46" s="15"/>
      <c r="MUR46" s="25"/>
      <c r="MUY46" s="21"/>
      <c r="MUZ46" s="21"/>
      <c r="MVD46" s="15"/>
      <c r="MVJ46" s="25"/>
      <c r="MVQ46" s="21"/>
      <c r="MVR46" s="21"/>
      <c r="MVV46" s="15"/>
      <c r="MWB46" s="25"/>
      <c r="MWI46" s="21"/>
      <c r="MWJ46" s="21"/>
      <c r="MWN46" s="15"/>
      <c r="MWT46" s="25"/>
      <c r="MXA46" s="21"/>
      <c r="MXB46" s="21"/>
      <c r="MXF46" s="15"/>
      <c r="MXL46" s="25"/>
      <c r="MXS46" s="21"/>
      <c r="MXT46" s="21"/>
      <c r="MXX46" s="15"/>
      <c r="MYD46" s="25"/>
      <c r="MYK46" s="21"/>
      <c r="MYL46" s="21"/>
      <c r="MYP46" s="15"/>
      <c r="MYV46" s="25"/>
      <c r="MZC46" s="21"/>
      <c r="MZD46" s="21"/>
      <c r="MZH46" s="15"/>
      <c r="MZN46" s="25"/>
      <c r="MZU46" s="21"/>
      <c r="MZV46" s="21"/>
      <c r="MZZ46" s="15"/>
      <c r="NAF46" s="25"/>
      <c r="NAM46" s="21"/>
      <c r="NAN46" s="21"/>
      <c r="NAR46" s="15"/>
      <c r="NAX46" s="25"/>
      <c r="NBE46" s="21"/>
      <c r="NBF46" s="21"/>
      <c r="NBJ46" s="15"/>
      <c r="NBP46" s="25"/>
      <c r="NBW46" s="21"/>
      <c r="NBX46" s="21"/>
      <c r="NCB46" s="15"/>
      <c r="NCH46" s="25"/>
      <c r="NCO46" s="21"/>
      <c r="NCP46" s="21"/>
      <c r="NCT46" s="15"/>
      <c r="NCZ46" s="25"/>
      <c r="NDG46" s="21"/>
      <c r="NDH46" s="21"/>
      <c r="NDL46" s="15"/>
      <c r="NDR46" s="25"/>
      <c r="NDY46" s="21"/>
      <c r="NDZ46" s="21"/>
      <c r="NED46" s="15"/>
      <c r="NEJ46" s="25"/>
      <c r="NEQ46" s="21"/>
      <c r="NER46" s="21"/>
      <c r="NEV46" s="15"/>
      <c r="NFB46" s="25"/>
      <c r="NFI46" s="21"/>
      <c r="NFJ46" s="21"/>
      <c r="NFN46" s="15"/>
      <c r="NFT46" s="25"/>
      <c r="NGA46" s="21"/>
      <c r="NGB46" s="21"/>
      <c r="NGF46" s="15"/>
      <c r="NGL46" s="25"/>
      <c r="NGS46" s="21"/>
      <c r="NGT46" s="21"/>
      <c r="NGX46" s="15"/>
      <c r="NHD46" s="25"/>
      <c r="NHK46" s="21"/>
      <c r="NHL46" s="21"/>
      <c r="NHP46" s="15"/>
      <c r="NHV46" s="25"/>
      <c r="NIC46" s="21"/>
      <c r="NID46" s="21"/>
      <c r="NIH46" s="15"/>
      <c r="NIN46" s="25"/>
      <c r="NIU46" s="21"/>
      <c r="NIV46" s="21"/>
      <c r="NIZ46" s="15"/>
      <c r="NJF46" s="25"/>
      <c r="NJM46" s="21"/>
      <c r="NJN46" s="21"/>
      <c r="NJR46" s="15"/>
      <c r="NJX46" s="25"/>
      <c r="NKE46" s="21"/>
      <c r="NKF46" s="21"/>
      <c r="NKJ46" s="15"/>
      <c r="NKP46" s="25"/>
      <c r="NKW46" s="21"/>
      <c r="NKX46" s="21"/>
      <c r="NLB46" s="15"/>
      <c r="NLH46" s="25"/>
      <c r="NLO46" s="21"/>
      <c r="NLP46" s="21"/>
      <c r="NLT46" s="15"/>
      <c r="NLZ46" s="25"/>
      <c r="NMG46" s="21"/>
      <c r="NMH46" s="21"/>
      <c r="NML46" s="15"/>
      <c r="NMR46" s="25"/>
      <c r="NMY46" s="21"/>
      <c r="NMZ46" s="21"/>
      <c r="NND46" s="15"/>
      <c r="NNJ46" s="25"/>
      <c r="NNQ46" s="21"/>
      <c r="NNR46" s="21"/>
      <c r="NNV46" s="15"/>
      <c r="NOB46" s="25"/>
      <c r="NOI46" s="21"/>
      <c r="NOJ46" s="21"/>
      <c r="NON46" s="15"/>
      <c r="NOT46" s="25"/>
      <c r="NPA46" s="21"/>
      <c r="NPB46" s="21"/>
      <c r="NPF46" s="15"/>
      <c r="NPL46" s="25"/>
      <c r="NPS46" s="21"/>
      <c r="NPT46" s="21"/>
      <c r="NPX46" s="15"/>
      <c r="NQD46" s="25"/>
      <c r="NQK46" s="21"/>
      <c r="NQL46" s="21"/>
      <c r="NQP46" s="15"/>
      <c r="NQV46" s="25"/>
      <c r="NRC46" s="21"/>
      <c r="NRD46" s="21"/>
      <c r="NRH46" s="15"/>
      <c r="NRN46" s="25"/>
      <c r="NRU46" s="21"/>
      <c r="NRV46" s="21"/>
      <c r="NRZ46" s="15"/>
      <c r="NSF46" s="25"/>
      <c r="NSM46" s="21"/>
      <c r="NSN46" s="21"/>
      <c r="NSR46" s="15"/>
      <c r="NSX46" s="25"/>
      <c r="NTE46" s="21"/>
      <c r="NTF46" s="21"/>
      <c r="NTJ46" s="15"/>
      <c r="NTP46" s="25"/>
      <c r="NTW46" s="21"/>
      <c r="NTX46" s="21"/>
      <c r="NUB46" s="15"/>
      <c r="NUH46" s="25"/>
      <c r="NUO46" s="21"/>
      <c r="NUP46" s="21"/>
      <c r="NUT46" s="15"/>
      <c r="NUZ46" s="25"/>
      <c r="NVG46" s="21"/>
      <c r="NVH46" s="21"/>
      <c r="NVL46" s="15"/>
      <c r="NVR46" s="25"/>
      <c r="NVY46" s="21"/>
      <c r="NVZ46" s="21"/>
      <c r="NWD46" s="15"/>
      <c r="NWJ46" s="25"/>
      <c r="NWQ46" s="21"/>
      <c r="NWR46" s="21"/>
      <c r="NWV46" s="15"/>
      <c r="NXB46" s="25"/>
      <c r="NXI46" s="21"/>
      <c r="NXJ46" s="21"/>
      <c r="NXN46" s="15"/>
      <c r="NXT46" s="25"/>
      <c r="NYA46" s="21"/>
      <c r="NYB46" s="21"/>
      <c r="NYF46" s="15"/>
      <c r="NYL46" s="25"/>
      <c r="NYS46" s="21"/>
      <c r="NYT46" s="21"/>
      <c r="NYX46" s="15"/>
      <c r="NZD46" s="25"/>
      <c r="NZK46" s="21"/>
      <c r="NZL46" s="21"/>
      <c r="NZP46" s="15"/>
      <c r="NZV46" s="25"/>
      <c r="OAC46" s="21"/>
      <c r="OAD46" s="21"/>
      <c r="OAH46" s="15"/>
      <c r="OAN46" s="25"/>
      <c r="OAU46" s="21"/>
      <c r="OAV46" s="21"/>
      <c r="OAZ46" s="15"/>
      <c r="OBF46" s="25"/>
      <c r="OBM46" s="21"/>
      <c r="OBN46" s="21"/>
      <c r="OBR46" s="15"/>
      <c r="OBX46" s="25"/>
      <c r="OCE46" s="21"/>
      <c r="OCF46" s="21"/>
      <c r="OCJ46" s="15"/>
      <c r="OCP46" s="25"/>
      <c r="OCW46" s="21"/>
      <c r="OCX46" s="21"/>
      <c r="ODB46" s="15"/>
      <c r="ODH46" s="25"/>
      <c r="ODO46" s="21"/>
      <c r="ODP46" s="21"/>
      <c r="ODT46" s="15"/>
      <c r="ODZ46" s="25"/>
      <c r="OEG46" s="21"/>
      <c r="OEH46" s="21"/>
      <c r="OEL46" s="15"/>
      <c r="OER46" s="25"/>
      <c r="OEY46" s="21"/>
      <c r="OEZ46" s="21"/>
      <c r="OFD46" s="15"/>
      <c r="OFJ46" s="25"/>
      <c r="OFQ46" s="21"/>
      <c r="OFR46" s="21"/>
      <c r="OFV46" s="15"/>
      <c r="OGB46" s="25"/>
      <c r="OGI46" s="21"/>
      <c r="OGJ46" s="21"/>
      <c r="OGN46" s="15"/>
      <c r="OGT46" s="25"/>
      <c r="OHA46" s="21"/>
      <c r="OHB46" s="21"/>
      <c r="OHF46" s="15"/>
      <c r="OHL46" s="25"/>
      <c r="OHS46" s="21"/>
      <c r="OHT46" s="21"/>
      <c r="OHX46" s="15"/>
      <c r="OID46" s="25"/>
      <c r="OIK46" s="21"/>
      <c r="OIL46" s="21"/>
      <c r="OIP46" s="15"/>
      <c r="OIV46" s="25"/>
      <c r="OJC46" s="21"/>
      <c r="OJD46" s="21"/>
      <c r="OJH46" s="15"/>
      <c r="OJN46" s="25"/>
      <c r="OJU46" s="21"/>
      <c r="OJV46" s="21"/>
      <c r="OJZ46" s="15"/>
      <c r="OKF46" s="25"/>
      <c r="OKM46" s="21"/>
      <c r="OKN46" s="21"/>
      <c r="OKR46" s="15"/>
      <c r="OKX46" s="25"/>
      <c r="OLE46" s="21"/>
      <c r="OLF46" s="21"/>
      <c r="OLJ46" s="15"/>
      <c r="OLP46" s="25"/>
      <c r="OLW46" s="21"/>
      <c r="OLX46" s="21"/>
      <c r="OMB46" s="15"/>
      <c r="OMH46" s="25"/>
      <c r="OMO46" s="21"/>
      <c r="OMP46" s="21"/>
      <c r="OMT46" s="15"/>
      <c r="OMZ46" s="25"/>
      <c r="ONG46" s="21"/>
      <c r="ONH46" s="21"/>
      <c r="ONL46" s="15"/>
      <c r="ONR46" s="25"/>
      <c r="ONY46" s="21"/>
      <c r="ONZ46" s="21"/>
      <c r="OOD46" s="15"/>
      <c r="OOJ46" s="25"/>
      <c r="OOQ46" s="21"/>
      <c r="OOR46" s="21"/>
      <c r="OOV46" s="15"/>
      <c r="OPB46" s="25"/>
      <c r="OPI46" s="21"/>
      <c r="OPJ46" s="21"/>
      <c r="OPN46" s="15"/>
      <c r="OPT46" s="25"/>
      <c r="OQA46" s="21"/>
      <c r="OQB46" s="21"/>
      <c r="OQF46" s="15"/>
      <c r="OQL46" s="25"/>
      <c r="OQS46" s="21"/>
      <c r="OQT46" s="21"/>
      <c r="OQX46" s="15"/>
      <c r="ORD46" s="25"/>
      <c r="ORK46" s="21"/>
      <c r="ORL46" s="21"/>
      <c r="ORP46" s="15"/>
      <c r="ORV46" s="25"/>
      <c r="OSC46" s="21"/>
      <c r="OSD46" s="21"/>
      <c r="OSH46" s="15"/>
      <c r="OSN46" s="25"/>
      <c r="OSU46" s="21"/>
      <c r="OSV46" s="21"/>
      <c r="OSZ46" s="15"/>
      <c r="OTF46" s="25"/>
      <c r="OTM46" s="21"/>
      <c r="OTN46" s="21"/>
      <c r="OTR46" s="15"/>
      <c r="OTX46" s="25"/>
      <c r="OUE46" s="21"/>
      <c r="OUF46" s="21"/>
      <c r="OUJ46" s="15"/>
      <c r="OUP46" s="25"/>
      <c r="OUW46" s="21"/>
      <c r="OUX46" s="21"/>
      <c r="OVB46" s="15"/>
      <c r="OVH46" s="25"/>
      <c r="OVO46" s="21"/>
      <c r="OVP46" s="21"/>
      <c r="OVT46" s="15"/>
      <c r="OVZ46" s="25"/>
      <c r="OWG46" s="21"/>
      <c r="OWH46" s="21"/>
      <c r="OWL46" s="15"/>
      <c r="OWR46" s="25"/>
      <c r="OWY46" s="21"/>
      <c r="OWZ46" s="21"/>
      <c r="OXD46" s="15"/>
      <c r="OXJ46" s="25"/>
      <c r="OXQ46" s="21"/>
      <c r="OXR46" s="21"/>
      <c r="OXV46" s="15"/>
      <c r="OYB46" s="25"/>
      <c r="OYI46" s="21"/>
      <c r="OYJ46" s="21"/>
      <c r="OYN46" s="15"/>
      <c r="OYT46" s="25"/>
      <c r="OZA46" s="21"/>
      <c r="OZB46" s="21"/>
      <c r="OZF46" s="15"/>
      <c r="OZL46" s="25"/>
      <c r="OZS46" s="21"/>
      <c r="OZT46" s="21"/>
      <c r="OZX46" s="15"/>
      <c r="PAD46" s="25"/>
      <c r="PAK46" s="21"/>
      <c r="PAL46" s="21"/>
      <c r="PAP46" s="15"/>
      <c r="PAV46" s="25"/>
      <c r="PBC46" s="21"/>
      <c r="PBD46" s="21"/>
      <c r="PBH46" s="15"/>
      <c r="PBN46" s="25"/>
      <c r="PBU46" s="21"/>
      <c r="PBV46" s="21"/>
      <c r="PBZ46" s="15"/>
      <c r="PCF46" s="25"/>
      <c r="PCM46" s="21"/>
      <c r="PCN46" s="21"/>
      <c r="PCR46" s="15"/>
      <c r="PCX46" s="25"/>
      <c r="PDE46" s="21"/>
      <c r="PDF46" s="21"/>
      <c r="PDJ46" s="15"/>
      <c r="PDP46" s="25"/>
      <c r="PDW46" s="21"/>
      <c r="PDX46" s="21"/>
      <c r="PEB46" s="15"/>
      <c r="PEH46" s="25"/>
      <c r="PEO46" s="21"/>
      <c r="PEP46" s="21"/>
      <c r="PET46" s="15"/>
      <c r="PEZ46" s="25"/>
      <c r="PFG46" s="21"/>
      <c r="PFH46" s="21"/>
      <c r="PFL46" s="15"/>
      <c r="PFR46" s="25"/>
      <c r="PFY46" s="21"/>
      <c r="PFZ46" s="21"/>
      <c r="PGD46" s="15"/>
      <c r="PGJ46" s="25"/>
      <c r="PGQ46" s="21"/>
      <c r="PGR46" s="21"/>
      <c r="PGV46" s="15"/>
      <c r="PHB46" s="25"/>
      <c r="PHI46" s="21"/>
      <c r="PHJ46" s="21"/>
      <c r="PHN46" s="15"/>
      <c r="PHT46" s="25"/>
      <c r="PIA46" s="21"/>
      <c r="PIB46" s="21"/>
      <c r="PIF46" s="15"/>
      <c r="PIL46" s="25"/>
      <c r="PIS46" s="21"/>
      <c r="PIT46" s="21"/>
      <c r="PIX46" s="15"/>
      <c r="PJD46" s="25"/>
      <c r="PJK46" s="21"/>
      <c r="PJL46" s="21"/>
      <c r="PJP46" s="15"/>
      <c r="PJV46" s="25"/>
      <c r="PKC46" s="21"/>
      <c r="PKD46" s="21"/>
      <c r="PKH46" s="15"/>
      <c r="PKN46" s="25"/>
      <c r="PKU46" s="21"/>
      <c r="PKV46" s="21"/>
      <c r="PKZ46" s="15"/>
      <c r="PLF46" s="25"/>
      <c r="PLM46" s="21"/>
      <c r="PLN46" s="21"/>
      <c r="PLR46" s="15"/>
      <c r="PLX46" s="25"/>
      <c r="PME46" s="21"/>
      <c r="PMF46" s="21"/>
      <c r="PMJ46" s="15"/>
      <c r="PMP46" s="25"/>
      <c r="PMW46" s="21"/>
      <c r="PMX46" s="21"/>
      <c r="PNB46" s="15"/>
      <c r="PNH46" s="25"/>
      <c r="PNO46" s="21"/>
      <c r="PNP46" s="21"/>
      <c r="PNT46" s="15"/>
      <c r="PNZ46" s="25"/>
      <c r="POG46" s="21"/>
      <c r="POH46" s="21"/>
      <c r="POL46" s="15"/>
      <c r="POR46" s="25"/>
      <c r="POY46" s="21"/>
      <c r="POZ46" s="21"/>
      <c r="PPD46" s="15"/>
      <c r="PPJ46" s="25"/>
      <c r="PPQ46" s="21"/>
      <c r="PPR46" s="21"/>
      <c r="PPV46" s="15"/>
      <c r="PQB46" s="25"/>
      <c r="PQI46" s="21"/>
      <c r="PQJ46" s="21"/>
      <c r="PQN46" s="15"/>
      <c r="PQT46" s="25"/>
      <c r="PRA46" s="21"/>
      <c r="PRB46" s="21"/>
      <c r="PRF46" s="15"/>
      <c r="PRL46" s="25"/>
      <c r="PRS46" s="21"/>
      <c r="PRT46" s="21"/>
      <c r="PRX46" s="15"/>
      <c r="PSD46" s="25"/>
      <c r="PSK46" s="21"/>
      <c r="PSL46" s="21"/>
      <c r="PSP46" s="15"/>
      <c r="PSV46" s="25"/>
      <c r="PTC46" s="21"/>
      <c r="PTD46" s="21"/>
      <c r="PTH46" s="15"/>
      <c r="PTN46" s="25"/>
      <c r="PTU46" s="21"/>
      <c r="PTV46" s="21"/>
      <c r="PTZ46" s="15"/>
      <c r="PUF46" s="25"/>
      <c r="PUM46" s="21"/>
      <c r="PUN46" s="21"/>
      <c r="PUR46" s="15"/>
      <c r="PUX46" s="25"/>
      <c r="PVE46" s="21"/>
      <c r="PVF46" s="21"/>
      <c r="PVJ46" s="15"/>
      <c r="PVP46" s="25"/>
      <c r="PVW46" s="21"/>
      <c r="PVX46" s="21"/>
      <c r="PWB46" s="15"/>
      <c r="PWH46" s="25"/>
      <c r="PWO46" s="21"/>
      <c r="PWP46" s="21"/>
      <c r="PWT46" s="15"/>
      <c r="PWZ46" s="25"/>
      <c r="PXG46" s="21"/>
      <c r="PXH46" s="21"/>
      <c r="PXL46" s="15"/>
      <c r="PXR46" s="25"/>
      <c r="PXY46" s="21"/>
      <c r="PXZ46" s="21"/>
      <c r="PYD46" s="15"/>
      <c r="PYJ46" s="25"/>
      <c r="PYQ46" s="21"/>
      <c r="PYR46" s="21"/>
      <c r="PYV46" s="15"/>
      <c r="PZB46" s="25"/>
      <c r="PZI46" s="21"/>
      <c r="PZJ46" s="21"/>
      <c r="PZN46" s="15"/>
      <c r="PZT46" s="25"/>
      <c r="QAA46" s="21"/>
      <c r="QAB46" s="21"/>
      <c r="QAF46" s="15"/>
      <c r="QAL46" s="25"/>
      <c r="QAS46" s="21"/>
      <c r="QAT46" s="21"/>
      <c r="QAX46" s="15"/>
      <c r="QBD46" s="25"/>
      <c r="QBK46" s="21"/>
      <c r="QBL46" s="21"/>
      <c r="QBP46" s="15"/>
      <c r="QBV46" s="25"/>
      <c r="QCC46" s="21"/>
      <c r="QCD46" s="21"/>
      <c r="QCH46" s="15"/>
      <c r="QCN46" s="25"/>
      <c r="QCU46" s="21"/>
      <c r="QCV46" s="21"/>
      <c r="QCZ46" s="15"/>
      <c r="QDF46" s="25"/>
      <c r="QDM46" s="21"/>
      <c r="QDN46" s="21"/>
      <c r="QDR46" s="15"/>
      <c r="QDX46" s="25"/>
      <c r="QEE46" s="21"/>
      <c r="QEF46" s="21"/>
      <c r="QEJ46" s="15"/>
      <c r="QEP46" s="25"/>
      <c r="QEW46" s="21"/>
      <c r="QEX46" s="21"/>
      <c r="QFB46" s="15"/>
      <c r="QFH46" s="25"/>
      <c r="QFO46" s="21"/>
      <c r="QFP46" s="21"/>
      <c r="QFT46" s="15"/>
      <c r="QFZ46" s="25"/>
      <c r="QGG46" s="21"/>
      <c r="QGH46" s="21"/>
      <c r="QGL46" s="15"/>
      <c r="QGR46" s="25"/>
      <c r="QGY46" s="21"/>
      <c r="QGZ46" s="21"/>
      <c r="QHD46" s="15"/>
      <c r="QHJ46" s="25"/>
      <c r="QHQ46" s="21"/>
      <c r="QHR46" s="21"/>
      <c r="QHV46" s="15"/>
      <c r="QIB46" s="25"/>
      <c r="QII46" s="21"/>
      <c r="QIJ46" s="21"/>
      <c r="QIN46" s="15"/>
      <c r="QIT46" s="25"/>
      <c r="QJA46" s="21"/>
      <c r="QJB46" s="21"/>
      <c r="QJF46" s="15"/>
      <c r="QJL46" s="25"/>
      <c r="QJS46" s="21"/>
      <c r="QJT46" s="21"/>
      <c r="QJX46" s="15"/>
      <c r="QKD46" s="25"/>
      <c r="QKK46" s="21"/>
      <c r="QKL46" s="21"/>
      <c r="QKP46" s="15"/>
      <c r="QKV46" s="25"/>
      <c r="QLC46" s="21"/>
      <c r="QLD46" s="21"/>
      <c r="QLH46" s="15"/>
      <c r="QLN46" s="25"/>
      <c r="QLU46" s="21"/>
      <c r="QLV46" s="21"/>
      <c r="QLZ46" s="15"/>
      <c r="QMF46" s="25"/>
      <c r="QMM46" s="21"/>
      <c r="QMN46" s="21"/>
      <c r="QMR46" s="15"/>
      <c r="QMX46" s="25"/>
      <c r="QNE46" s="21"/>
      <c r="QNF46" s="21"/>
      <c r="QNJ46" s="15"/>
      <c r="QNP46" s="25"/>
      <c r="QNW46" s="21"/>
      <c r="QNX46" s="21"/>
      <c r="QOB46" s="15"/>
      <c r="QOH46" s="25"/>
      <c r="QOO46" s="21"/>
      <c r="QOP46" s="21"/>
      <c r="QOT46" s="15"/>
      <c r="QOZ46" s="25"/>
      <c r="QPG46" s="21"/>
      <c r="QPH46" s="21"/>
      <c r="QPL46" s="15"/>
      <c r="QPR46" s="25"/>
      <c r="QPY46" s="21"/>
      <c r="QPZ46" s="21"/>
      <c r="QQD46" s="15"/>
      <c r="QQJ46" s="25"/>
      <c r="QQQ46" s="21"/>
      <c r="QQR46" s="21"/>
      <c r="QQV46" s="15"/>
      <c r="QRB46" s="25"/>
      <c r="QRI46" s="21"/>
      <c r="QRJ46" s="21"/>
      <c r="QRN46" s="15"/>
      <c r="QRT46" s="25"/>
      <c r="QSA46" s="21"/>
      <c r="QSB46" s="21"/>
      <c r="QSF46" s="15"/>
      <c r="QSL46" s="25"/>
      <c r="QSS46" s="21"/>
      <c r="QST46" s="21"/>
      <c r="QSX46" s="15"/>
      <c r="QTD46" s="25"/>
      <c r="QTK46" s="21"/>
      <c r="QTL46" s="21"/>
      <c r="QTP46" s="15"/>
      <c r="QTV46" s="25"/>
      <c r="QUC46" s="21"/>
      <c r="QUD46" s="21"/>
      <c r="QUH46" s="15"/>
      <c r="QUN46" s="25"/>
      <c r="QUU46" s="21"/>
      <c r="QUV46" s="21"/>
      <c r="QUZ46" s="15"/>
      <c r="QVF46" s="25"/>
      <c r="QVM46" s="21"/>
      <c r="QVN46" s="21"/>
      <c r="QVR46" s="15"/>
      <c r="QVX46" s="25"/>
      <c r="QWE46" s="21"/>
      <c r="QWF46" s="21"/>
      <c r="QWJ46" s="15"/>
      <c r="QWP46" s="25"/>
      <c r="QWW46" s="21"/>
      <c r="QWX46" s="21"/>
      <c r="QXB46" s="15"/>
      <c r="QXH46" s="25"/>
      <c r="QXO46" s="21"/>
      <c r="QXP46" s="21"/>
      <c r="QXT46" s="15"/>
      <c r="QXZ46" s="25"/>
      <c r="QYG46" s="21"/>
      <c r="QYH46" s="21"/>
      <c r="QYL46" s="15"/>
      <c r="QYR46" s="25"/>
      <c r="QYY46" s="21"/>
      <c r="QYZ46" s="21"/>
      <c r="QZD46" s="15"/>
      <c r="QZJ46" s="25"/>
      <c r="QZQ46" s="21"/>
      <c r="QZR46" s="21"/>
      <c r="QZV46" s="15"/>
      <c r="RAB46" s="25"/>
      <c r="RAI46" s="21"/>
      <c r="RAJ46" s="21"/>
      <c r="RAN46" s="15"/>
      <c r="RAT46" s="25"/>
      <c r="RBA46" s="21"/>
      <c r="RBB46" s="21"/>
      <c r="RBF46" s="15"/>
      <c r="RBL46" s="25"/>
      <c r="RBS46" s="21"/>
      <c r="RBT46" s="21"/>
      <c r="RBX46" s="15"/>
      <c r="RCD46" s="25"/>
      <c r="RCK46" s="21"/>
      <c r="RCL46" s="21"/>
      <c r="RCP46" s="15"/>
      <c r="RCV46" s="25"/>
      <c r="RDC46" s="21"/>
      <c r="RDD46" s="21"/>
      <c r="RDH46" s="15"/>
      <c r="RDN46" s="25"/>
      <c r="RDU46" s="21"/>
      <c r="RDV46" s="21"/>
      <c r="RDZ46" s="15"/>
      <c r="REF46" s="25"/>
      <c r="REM46" s="21"/>
      <c r="REN46" s="21"/>
      <c r="RER46" s="15"/>
      <c r="REX46" s="25"/>
      <c r="RFE46" s="21"/>
      <c r="RFF46" s="21"/>
      <c r="RFJ46" s="15"/>
      <c r="RFP46" s="25"/>
      <c r="RFW46" s="21"/>
      <c r="RFX46" s="21"/>
      <c r="RGB46" s="15"/>
      <c r="RGH46" s="25"/>
      <c r="RGO46" s="21"/>
      <c r="RGP46" s="21"/>
      <c r="RGT46" s="15"/>
      <c r="RGZ46" s="25"/>
      <c r="RHG46" s="21"/>
      <c r="RHH46" s="21"/>
      <c r="RHL46" s="15"/>
      <c r="RHR46" s="25"/>
      <c r="RHY46" s="21"/>
      <c r="RHZ46" s="21"/>
      <c r="RID46" s="15"/>
      <c r="RIJ46" s="25"/>
      <c r="RIQ46" s="21"/>
      <c r="RIR46" s="21"/>
      <c r="RIV46" s="15"/>
      <c r="RJB46" s="25"/>
      <c r="RJI46" s="21"/>
      <c r="RJJ46" s="21"/>
      <c r="RJN46" s="15"/>
      <c r="RJT46" s="25"/>
      <c r="RKA46" s="21"/>
      <c r="RKB46" s="21"/>
      <c r="RKF46" s="15"/>
      <c r="RKL46" s="25"/>
      <c r="RKS46" s="21"/>
      <c r="RKT46" s="21"/>
      <c r="RKX46" s="15"/>
      <c r="RLD46" s="25"/>
      <c r="RLK46" s="21"/>
      <c r="RLL46" s="21"/>
      <c r="RLP46" s="15"/>
      <c r="RLV46" s="25"/>
      <c r="RMC46" s="21"/>
      <c r="RMD46" s="21"/>
      <c r="RMH46" s="15"/>
      <c r="RMN46" s="25"/>
      <c r="RMU46" s="21"/>
      <c r="RMV46" s="21"/>
      <c r="RMZ46" s="15"/>
      <c r="RNF46" s="25"/>
      <c r="RNM46" s="21"/>
      <c r="RNN46" s="21"/>
      <c r="RNR46" s="15"/>
      <c r="RNX46" s="25"/>
      <c r="ROE46" s="21"/>
      <c r="ROF46" s="21"/>
      <c r="ROJ46" s="15"/>
      <c r="ROP46" s="25"/>
      <c r="ROW46" s="21"/>
      <c r="ROX46" s="21"/>
      <c r="RPB46" s="15"/>
      <c r="RPH46" s="25"/>
      <c r="RPO46" s="21"/>
      <c r="RPP46" s="21"/>
      <c r="RPT46" s="15"/>
      <c r="RPZ46" s="25"/>
      <c r="RQG46" s="21"/>
      <c r="RQH46" s="21"/>
      <c r="RQL46" s="15"/>
      <c r="RQR46" s="25"/>
      <c r="RQY46" s="21"/>
      <c r="RQZ46" s="21"/>
      <c r="RRD46" s="15"/>
      <c r="RRJ46" s="25"/>
      <c r="RRQ46" s="21"/>
      <c r="RRR46" s="21"/>
      <c r="RRV46" s="15"/>
      <c r="RSB46" s="25"/>
      <c r="RSI46" s="21"/>
      <c r="RSJ46" s="21"/>
      <c r="RSN46" s="15"/>
      <c r="RST46" s="25"/>
      <c r="RTA46" s="21"/>
      <c r="RTB46" s="21"/>
      <c r="RTF46" s="15"/>
      <c r="RTL46" s="25"/>
      <c r="RTS46" s="21"/>
      <c r="RTT46" s="21"/>
      <c r="RTX46" s="15"/>
      <c r="RUD46" s="25"/>
      <c r="RUK46" s="21"/>
      <c r="RUL46" s="21"/>
      <c r="RUP46" s="15"/>
      <c r="RUV46" s="25"/>
      <c r="RVC46" s="21"/>
      <c r="RVD46" s="21"/>
      <c r="RVH46" s="15"/>
      <c r="RVN46" s="25"/>
      <c r="RVU46" s="21"/>
      <c r="RVV46" s="21"/>
      <c r="RVZ46" s="15"/>
      <c r="RWF46" s="25"/>
      <c r="RWM46" s="21"/>
      <c r="RWN46" s="21"/>
      <c r="RWR46" s="15"/>
      <c r="RWX46" s="25"/>
      <c r="RXE46" s="21"/>
      <c r="RXF46" s="21"/>
      <c r="RXJ46" s="15"/>
      <c r="RXP46" s="25"/>
      <c r="RXW46" s="21"/>
      <c r="RXX46" s="21"/>
      <c r="RYB46" s="15"/>
      <c r="RYH46" s="25"/>
      <c r="RYO46" s="21"/>
      <c r="RYP46" s="21"/>
      <c r="RYT46" s="15"/>
      <c r="RYZ46" s="25"/>
      <c r="RZG46" s="21"/>
      <c r="RZH46" s="21"/>
      <c r="RZL46" s="15"/>
      <c r="RZR46" s="25"/>
      <c r="RZY46" s="21"/>
      <c r="RZZ46" s="21"/>
      <c r="SAD46" s="15"/>
      <c r="SAJ46" s="25"/>
      <c r="SAQ46" s="21"/>
      <c r="SAR46" s="21"/>
      <c r="SAV46" s="15"/>
      <c r="SBB46" s="25"/>
      <c r="SBI46" s="21"/>
      <c r="SBJ46" s="21"/>
      <c r="SBN46" s="15"/>
      <c r="SBT46" s="25"/>
      <c r="SCA46" s="21"/>
      <c r="SCB46" s="21"/>
      <c r="SCF46" s="15"/>
      <c r="SCL46" s="25"/>
      <c r="SCS46" s="21"/>
      <c r="SCT46" s="21"/>
      <c r="SCX46" s="15"/>
      <c r="SDD46" s="25"/>
      <c r="SDK46" s="21"/>
      <c r="SDL46" s="21"/>
      <c r="SDP46" s="15"/>
      <c r="SDV46" s="25"/>
      <c r="SEC46" s="21"/>
      <c r="SED46" s="21"/>
      <c r="SEH46" s="15"/>
      <c r="SEN46" s="25"/>
      <c r="SEU46" s="21"/>
      <c r="SEV46" s="21"/>
      <c r="SEZ46" s="15"/>
      <c r="SFF46" s="25"/>
      <c r="SFM46" s="21"/>
      <c r="SFN46" s="21"/>
      <c r="SFR46" s="15"/>
      <c r="SFX46" s="25"/>
      <c r="SGE46" s="21"/>
      <c r="SGF46" s="21"/>
      <c r="SGJ46" s="15"/>
      <c r="SGP46" s="25"/>
      <c r="SGW46" s="21"/>
      <c r="SGX46" s="21"/>
      <c r="SHB46" s="15"/>
      <c r="SHH46" s="25"/>
      <c r="SHO46" s="21"/>
      <c r="SHP46" s="21"/>
      <c r="SHT46" s="15"/>
      <c r="SHZ46" s="25"/>
      <c r="SIG46" s="21"/>
      <c r="SIH46" s="21"/>
      <c r="SIL46" s="15"/>
      <c r="SIR46" s="25"/>
      <c r="SIY46" s="21"/>
      <c r="SIZ46" s="21"/>
      <c r="SJD46" s="15"/>
      <c r="SJJ46" s="25"/>
      <c r="SJQ46" s="21"/>
      <c r="SJR46" s="21"/>
      <c r="SJV46" s="15"/>
      <c r="SKB46" s="25"/>
      <c r="SKI46" s="21"/>
      <c r="SKJ46" s="21"/>
      <c r="SKN46" s="15"/>
      <c r="SKT46" s="25"/>
      <c r="SLA46" s="21"/>
      <c r="SLB46" s="21"/>
      <c r="SLF46" s="15"/>
      <c r="SLL46" s="25"/>
      <c r="SLS46" s="21"/>
      <c r="SLT46" s="21"/>
      <c r="SLX46" s="15"/>
      <c r="SMD46" s="25"/>
      <c r="SMK46" s="21"/>
      <c r="SML46" s="21"/>
      <c r="SMP46" s="15"/>
      <c r="SMV46" s="25"/>
      <c r="SNC46" s="21"/>
      <c r="SND46" s="21"/>
      <c r="SNH46" s="15"/>
      <c r="SNN46" s="25"/>
      <c r="SNU46" s="21"/>
      <c r="SNV46" s="21"/>
      <c r="SNZ46" s="15"/>
      <c r="SOF46" s="25"/>
      <c r="SOM46" s="21"/>
      <c r="SON46" s="21"/>
      <c r="SOR46" s="15"/>
      <c r="SOX46" s="25"/>
      <c r="SPE46" s="21"/>
      <c r="SPF46" s="21"/>
      <c r="SPJ46" s="15"/>
      <c r="SPP46" s="25"/>
      <c r="SPW46" s="21"/>
      <c r="SPX46" s="21"/>
      <c r="SQB46" s="15"/>
      <c r="SQH46" s="25"/>
      <c r="SQO46" s="21"/>
      <c r="SQP46" s="21"/>
      <c r="SQT46" s="15"/>
      <c r="SQZ46" s="25"/>
      <c r="SRG46" s="21"/>
      <c r="SRH46" s="21"/>
      <c r="SRL46" s="15"/>
      <c r="SRR46" s="25"/>
      <c r="SRY46" s="21"/>
      <c r="SRZ46" s="21"/>
      <c r="SSD46" s="15"/>
      <c r="SSJ46" s="25"/>
      <c r="SSQ46" s="21"/>
      <c r="SSR46" s="21"/>
      <c r="SSV46" s="15"/>
      <c r="STB46" s="25"/>
      <c r="STI46" s="21"/>
      <c r="STJ46" s="21"/>
      <c r="STN46" s="15"/>
      <c r="STT46" s="25"/>
      <c r="SUA46" s="21"/>
      <c r="SUB46" s="21"/>
      <c r="SUF46" s="15"/>
      <c r="SUL46" s="25"/>
      <c r="SUS46" s="21"/>
      <c r="SUT46" s="21"/>
      <c r="SUX46" s="15"/>
      <c r="SVD46" s="25"/>
      <c r="SVK46" s="21"/>
      <c r="SVL46" s="21"/>
      <c r="SVP46" s="15"/>
      <c r="SVV46" s="25"/>
      <c r="SWC46" s="21"/>
      <c r="SWD46" s="21"/>
      <c r="SWH46" s="15"/>
      <c r="SWN46" s="25"/>
      <c r="SWU46" s="21"/>
      <c r="SWV46" s="21"/>
      <c r="SWZ46" s="15"/>
      <c r="SXF46" s="25"/>
      <c r="SXM46" s="21"/>
      <c r="SXN46" s="21"/>
      <c r="SXR46" s="15"/>
      <c r="SXX46" s="25"/>
      <c r="SYE46" s="21"/>
      <c r="SYF46" s="21"/>
      <c r="SYJ46" s="15"/>
      <c r="SYP46" s="25"/>
      <c r="SYW46" s="21"/>
      <c r="SYX46" s="21"/>
      <c r="SZB46" s="15"/>
      <c r="SZH46" s="25"/>
      <c r="SZO46" s="21"/>
      <c r="SZP46" s="21"/>
      <c r="SZT46" s="15"/>
      <c r="SZZ46" s="25"/>
      <c r="TAG46" s="21"/>
      <c r="TAH46" s="21"/>
      <c r="TAL46" s="15"/>
      <c r="TAR46" s="25"/>
      <c r="TAY46" s="21"/>
      <c r="TAZ46" s="21"/>
      <c r="TBD46" s="15"/>
      <c r="TBJ46" s="25"/>
      <c r="TBQ46" s="21"/>
      <c r="TBR46" s="21"/>
      <c r="TBV46" s="15"/>
      <c r="TCB46" s="25"/>
      <c r="TCI46" s="21"/>
      <c r="TCJ46" s="21"/>
      <c r="TCN46" s="15"/>
      <c r="TCT46" s="25"/>
      <c r="TDA46" s="21"/>
      <c r="TDB46" s="21"/>
      <c r="TDF46" s="15"/>
      <c r="TDL46" s="25"/>
      <c r="TDS46" s="21"/>
      <c r="TDT46" s="21"/>
      <c r="TDX46" s="15"/>
      <c r="TED46" s="25"/>
      <c r="TEK46" s="21"/>
      <c r="TEL46" s="21"/>
      <c r="TEP46" s="15"/>
      <c r="TEV46" s="25"/>
      <c r="TFC46" s="21"/>
      <c r="TFD46" s="21"/>
      <c r="TFH46" s="15"/>
      <c r="TFN46" s="25"/>
      <c r="TFU46" s="21"/>
      <c r="TFV46" s="21"/>
      <c r="TFZ46" s="15"/>
      <c r="TGF46" s="25"/>
      <c r="TGM46" s="21"/>
      <c r="TGN46" s="21"/>
      <c r="TGR46" s="15"/>
      <c r="TGX46" s="25"/>
      <c r="THE46" s="21"/>
      <c r="THF46" s="21"/>
      <c r="THJ46" s="15"/>
      <c r="THP46" s="25"/>
      <c r="THW46" s="21"/>
      <c r="THX46" s="21"/>
      <c r="TIB46" s="15"/>
      <c r="TIH46" s="25"/>
      <c r="TIO46" s="21"/>
      <c r="TIP46" s="21"/>
      <c r="TIT46" s="15"/>
      <c r="TIZ46" s="25"/>
      <c r="TJG46" s="21"/>
      <c r="TJH46" s="21"/>
      <c r="TJL46" s="15"/>
      <c r="TJR46" s="25"/>
      <c r="TJY46" s="21"/>
      <c r="TJZ46" s="21"/>
      <c r="TKD46" s="15"/>
      <c r="TKJ46" s="25"/>
      <c r="TKQ46" s="21"/>
      <c r="TKR46" s="21"/>
      <c r="TKV46" s="15"/>
      <c r="TLB46" s="25"/>
      <c r="TLI46" s="21"/>
      <c r="TLJ46" s="21"/>
      <c r="TLN46" s="15"/>
      <c r="TLT46" s="25"/>
      <c r="TMA46" s="21"/>
      <c r="TMB46" s="21"/>
      <c r="TMF46" s="15"/>
      <c r="TML46" s="25"/>
      <c r="TMS46" s="21"/>
      <c r="TMT46" s="21"/>
      <c r="TMX46" s="15"/>
      <c r="TND46" s="25"/>
      <c r="TNK46" s="21"/>
      <c r="TNL46" s="21"/>
      <c r="TNP46" s="15"/>
      <c r="TNV46" s="25"/>
      <c r="TOC46" s="21"/>
      <c r="TOD46" s="21"/>
      <c r="TOH46" s="15"/>
      <c r="TON46" s="25"/>
      <c r="TOU46" s="21"/>
      <c r="TOV46" s="21"/>
      <c r="TOZ46" s="15"/>
      <c r="TPF46" s="25"/>
      <c r="TPM46" s="21"/>
      <c r="TPN46" s="21"/>
      <c r="TPR46" s="15"/>
      <c r="TPX46" s="25"/>
      <c r="TQE46" s="21"/>
      <c r="TQF46" s="21"/>
      <c r="TQJ46" s="15"/>
      <c r="TQP46" s="25"/>
      <c r="TQW46" s="21"/>
      <c r="TQX46" s="21"/>
      <c r="TRB46" s="15"/>
      <c r="TRH46" s="25"/>
      <c r="TRO46" s="21"/>
      <c r="TRP46" s="21"/>
      <c r="TRT46" s="15"/>
      <c r="TRZ46" s="25"/>
      <c r="TSG46" s="21"/>
      <c r="TSH46" s="21"/>
      <c r="TSL46" s="15"/>
      <c r="TSR46" s="25"/>
      <c r="TSY46" s="21"/>
      <c r="TSZ46" s="21"/>
      <c r="TTD46" s="15"/>
      <c r="TTJ46" s="25"/>
      <c r="TTQ46" s="21"/>
      <c r="TTR46" s="21"/>
      <c r="TTV46" s="15"/>
      <c r="TUB46" s="25"/>
      <c r="TUI46" s="21"/>
      <c r="TUJ46" s="21"/>
      <c r="TUN46" s="15"/>
      <c r="TUT46" s="25"/>
      <c r="TVA46" s="21"/>
      <c r="TVB46" s="21"/>
      <c r="TVF46" s="15"/>
      <c r="TVL46" s="25"/>
      <c r="TVS46" s="21"/>
      <c r="TVT46" s="21"/>
      <c r="TVX46" s="15"/>
      <c r="TWD46" s="25"/>
      <c r="TWK46" s="21"/>
      <c r="TWL46" s="21"/>
      <c r="TWP46" s="15"/>
      <c r="TWV46" s="25"/>
      <c r="TXC46" s="21"/>
      <c r="TXD46" s="21"/>
      <c r="TXH46" s="15"/>
      <c r="TXN46" s="25"/>
      <c r="TXU46" s="21"/>
      <c r="TXV46" s="21"/>
      <c r="TXZ46" s="15"/>
      <c r="TYF46" s="25"/>
      <c r="TYM46" s="21"/>
      <c r="TYN46" s="21"/>
      <c r="TYR46" s="15"/>
      <c r="TYX46" s="25"/>
      <c r="TZE46" s="21"/>
      <c r="TZF46" s="21"/>
      <c r="TZJ46" s="15"/>
      <c r="TZP46" s="25"/>
      <c r="TZW46" s="21"/>
      <c r="TZX46" s="21"/>
      <c r="UAB46" s="15"/>
      <c r="UAH46" s="25"/>
      <c r="UAO46" s="21"/>
      <c r="UAP46" s="21"/>
      <c r="UAT46" s="15"/>
      <c r="UAZ46" s="25"/>
      <c r="UBG46" s="21"/>
      <c r="UBH46" s="21"/>
      <c r="UBL46" s="15"/>
      <c r="UBR46" s="25"/>
      <c r="UBY46" s="21"/>
      <c r="UBZ46" s="21"/>
      <c r="UCD46" s="15"/>
      <c r="UCJ46" s="25"/>
      <c r="UCQ46" s="21"/>
      <c r="UCR46" s="21"/>
      <c r="UCV46" s="15"/>
      <c r="UDB46" s="25"/>
      <c r="UDI46" s="21"/>
      <c r="UDJ46" s="21"/>
      <c r="UDN46" s="15"/>
      <c r="UDT46" s="25"/>
      <c r="UEA46" s="21"/>
      <c r="UEB46" s="21"/>
      <c r="UEF46" s="15"/>
      <c r="UEL46" s="25"/>
      <c r="UES46" s="21"/>
      <c r="UET46" s="21"/>
      <c r="UEX46" s="15"/>
      <c r="UFD46" s="25"/>
      <c r="UFK46" s="21"/>
      <c r="UFL46" s="21"/>
      <c r="UFP46" s="15"/>
      <c r="UFV46" s="25"/>
      <c r="UGC46" s="21"/>
      <c r="UGD46" s="21"/>
      <c r="UGH46" s="15"/>
      <c r="UGN46" s="25"/>
      <c r="UGU46" s="21"/>
      <c r="UGV46" s="21"/>
      <c r="UGZ46" s="15"/>
      <c r="UHF46" s="25"/>
      <c r="UHM46" s="21"/>
      <c r="UHN46" s="21"/>
      <c r="UHR46" s="15"/>
      <c r="UHX46" s="25"/>
      <c r="UIE46" s="21"/>
      <c r="UIF46" s="21"/>
      <c r="UIJ46" s="15"/>
      <c r="UIP46" s="25"/>
      <c r="UIW46" s="21"/>
      <c r="UIX46" s="21"/>
      <c r="UJB46" s="15"/>
      <c r="UJH46" s="25"/>
      <c r="UJO46" s="21"/>
      <c r="UJP46" s="21"/>
      <c r="UJT46" s="15"/>
      <c r="UJZ46" s="25"/>
      <c r="UKG46" s="21"/>
      <c r="UKH46" s="21"/>
      <c r="UKL46" s="15"/>
      <c r="UKR46" s="25"/>
      <c r="UKY46" s="21"/>
      <c r="UKZ46" s="21"/>
      <c r="ULD46" s="15"/>
      <c r="ULJ46" s="25"/>
      <c r="ULQ46" s="21"/>
      <c r="ULR46" s="21"/>
      <c r="ULV46" s="15"/>
      <c r="UMB46" s="25"/>
      <c r="UMI46" s="21"/>
      <c r="UMJ46" s="21"/>
      <c r="UMN46" s="15"/>
      <c r="UMT46" s="25"/>
      <c r="UNA46" s="21"/>
      <c r="UNB46" s="21"/>
      <c r="UNF46" s="15"/>
      <c r="UNL46" s="25"/>
      <c r="UNS46" s="21"/>
      <c r="UNT46" s="21"/>
      <c r="UNX46" s="15"/>
      <c r="UOD46" s="25"/>
      <c r="UOK46" s="21"/>
      <c r="UOL46" s="21"/>
      <c r="UOP46" s="15"/>
      <c r="UOV46" s="25"/>
      <c r="UPC46" s="21"/>
      <c r="UPD46" s="21"/>
      <c r="UPH46" s="15"/>
      <c r="UPN46" s="25"/>
      <c r="UPU46" s="21"/>
      <c r="UPV46" s="21"/>
      <c r="UPZ46" s="15"/>
      <c r="UQF46" s="25"/>
      <c r="UQM46" s="21"/>
      <c r="UQN46" s="21"/>
      <c r="UQR46" s="15"/>
      <c r="UQX46" s="25"/>
      <c r="URE46" s="21"/>
      <c r="URF46" s="21"/>
      <c r="URJ46" s="15"/>
      <c r="URP46" s="25"/>
      <c r="URW46" s="21"/>
      <c r="URX46" s="21"/>
      <c r="USB46" s="15"/>
      <c r="USH46" s="25"/>
      <c r="USO46" s="21"/>
      <c r="USP46" s="21"/>
      <c r="UST46" s="15"/>
      <c r="USZ46" s="25"/>
      <c r="UTG46" s="21"/>
      <c r="UTH46" s="21"/>
      <c r="UTL46" s="15"/>
      <c r="UTR46" s="25"/>
      <c r="UTY46" s="21"/>
      <c r="UTZ46" s="21"/>
      <c r="UUD46" s="15"/>
      <c r="UUJ46" s="25"/>
      <c r="UUQ46" s="21"/>
      <c r="UUR46" s="21"/>
      <c r="UUV46" s="15"/>
      <c r="UVB46" s="25"/>
      <c r="UVI46" s="21"/>
      <c r="UVJ46" s="21"/>
      <c r="UVN46" s="15"/>
      <c r="UVT46" s="25"/>
      <c r="UWA46" s="21"/>
      <c r="UWB46" s="21"/>
      <c r="UWF46" s="15"/>
      <c r="UWL46" s="25"/>
      <c r="UWS46" s="21"/>
      <c r="UWT46" s="21"/>
      <c r="UWX46" s="15"/>
      <c r="UXD46" s="25"/>
      <c r="UXK46" s="21"/>
      <c r="UXL46" s="21"/>
      <c r="UXP46" s="15"/>
      <c r="UXV46" s="25"/>
      <c r="UYC46" s="21"/>
      <c r="UYD46" s="21"/>
      <c r="UYH46" s="15"/>
      <c r="UYN46" s="25"/>
      <c r="UYU46" s="21"/>
      <c r="UYV46" s="21"/>
      <c r="UYZ46" s="15"/>
      <c r="UZF46" s="25"/>
      <c r="UZM46" s="21"/>
      <c r="UZN46" s="21"/>
      <c r="UZR46" s="15"/>
      <c r="UZX46" s="25"/>
      <c r="VAE46" s="21"/>
      <c r="VAF46" s="21"/>
      <c r="VAJ46" s="15"/>
      <c r="VAP46" s="25"/>
      <c r="VAW46" s="21"/>
      <c r="VAX46" s="21"/>
      <c r="VBB46" s="15"/>
      <c r="VBH46" s="25"/>
      <c r="VBO46" s="21"/>
      <c r="VBP46" s="21"/>
      <c r="VBT46" s="15"/>
      <c r="VBZ46" s="25"/>
      <c r="VCG46" s="21"/>
      <c r="VCH46" s="21"/>
      <c r="VCL46" s="15"/>
      <c r="VCR46" s="25"/>
      <c r="VCY46" s="21"/>
      <c r="VCZ46" s="21"/>
      <c r="VDD46" s="15"/>
      <c r="VDJ46" s="25"/>
      <c r="VDQ46" s="21"/>
      <c r="VDR46" s="21"/>
      <c r="VDV46" s="15"/>
      <c r="VEB46" s="25"/>
      <c r="VEI46" s="21"/>
      <c r="VEJ46" s="21"/>
      <c r="VEN46" s="15"/>
      <c r="VET46" s="25"/>
      <c r="VFA46" s="21"/>
      <c r="VFB46" s="21"/>
      <c r="VFF46" s="15"/>
      <c r="VFL46" s="25"/>
      <c r="VFS46" s="21"/>
      <c r="VFT46" s="21"/>
      <c r="VFX46" s="15"/>
      <c r="VGD46" s="25"/>
      <c r="VGK46" s="21"/>
      <c r="VGL46" s="21"/>
      <c r="VGP46" s="15"/>
      <c r="VGV46" s="25"/>
      <c r="VHC46" s="21"/>
      <c r="VHD46" s="21"/>
      <c r="VHH46" s="15"/>
      <c r="VHN46" s="25"/>
      <c r="VHU46" s="21"/>
      <c r="VHV46" s="21"/>
      <c r="VHZ46" s="15"/>
      <c r="VIF46" s="25"/>
      <c r="VIM46" s="21"/>
      <c r="VIN46" s="21"/>
      <c r="VIR46" s="15"/>
      <c r="VIX46" s="25"/>
      <c r="VJE46" s="21"/>
      <c r="VJF46" s="21"/>
      <c r="VJJ46" s="15"/>
      <c r="VJP46" s="25"/>
      <c r="VJW46" s="21"/>
      <c r="VJX46" s="21"/>
      <c r="VKB46" s="15"/>
      <c r="VKH46" s="25"/>
      <c r="VKO46" s="21"/>
      <c r="VKP46" s="21"/>
      <c r="VKT46" s="15"/>
      <c r="VKZ46" s="25"/>
      <c r="VLG46" s="21"/>
      <c r="VLH46" s="21"/>
      <c r="VLL46" s="15"/>
      <c r="VLR46" s="25"/>
      <c r="VLY46" s="21"/>
      <c r="VLZ46" s="21"/>
      <c r="VMD46" s="15"/>
      <c r="VMJ46" s="25"/>
      <c r="VMQ46" s="21"/>
      <c r="VMR46" s="21"/>
      <c r="VMV46" s="15"/>
      <c r="VNB46" s="25"/>
      <c r="VNI46" s="21"/>
      <c r="VNJ46" s="21"/>
      <c r="VNN46" s="15"/>
      <c r="VNT46" s="25"/>
      <c r="VOA46" s="21"/>
      <c r="VOB46" s="21"/>
      <c r="VOF46" s="15"/>
      <c r="VOL46" s="25"/>
      <c r="VOS46" s="21"/>
      <c r="VOT46" s="21"/>
      <c r="VOX46" s="15"/>
      <c r="VPD46" s="25"/>
      <c r="VPK46" s="21"/>
      <c r="VPL46" s="21"/>
      <c r="VPP46" s="15"/>
      <c r="VPV46" s="25"/>
      <c r="VQC46" s="21"/>
      <c r="VQD46" s="21"/>
      <c r="VQH46" s="15"/>
      <c r="VQN46" s="25"/>
      <c r="VQU46" s="21"/>
      <c r="VQV46" s="21"/>
      <c r="VQZ46" s="15"/>
      <c r="VRF46" s="25"/>
      <c r="VRM46" s="21"/>
      <c r="VRN46" s="21"/>
      <c r="VRR46" s="15"/>
      <c r="VRX46" s="25"/>
      <c r="VSE46" s="21"/>
      <c r="VSF46" s="21"/>
      <c r="VSJ46" s="15"/>
      <c r="VSP46" s="25"/>
      <c r="VSW46" s="21"/>
      <c r="VSX46" s="21"/>
      <c r="VTB46" s="15"/>
      <c r="VTH46" s="25"/>
      <c r="VTO46" s="21"/>
      <c r="VTP46" s="21"/>
      <c r="VTT46" s="15"/>
      <c r="VTZ46" s="25"/>
      <c r="VUG46" s="21"/>
      <c r="VUH46" s="21"/>
      <c r="VUL46" s="15"/>
      <c r="VUR46" s="25"/>
      <c r="VUY46" s="21"/>
      <c r="VUZ46" s="21"/>
      <c r="VVD46" s="15"/>
      <c r="VVJ46" s="25"/>
      <c r="VVQ46" s="21"/>
      <c r="VVR46" s="21"/>
      <c r="VVV46" s="15"/>
      <c r="VWB46" s="25"/>
      <c r="VWI46" s="21"/>
      <c r="VWJ46" s="21"/>
      <c r="VWN46" s="15"/>
      <c r="VWT46" s="25"/>
      <c r="VXA46" s="21"/>
      <c r="VXB46" s="21"/>
      <c r="VXF46" s="15"/>
      <c r="VXL46" s="25"/>
      <c r="VXS46" s="21"/>
      <c r="VXT46" s="21"/>
      <c r="VXX46" s="15"/>
      <c r="VYD46" s="25"/>
      <c r="VYK46" s="21"/>
      <c r="VYL46" s="21"/>
      <c r="VYP46" s="15"/>
      <c r="VYV46" s="25"/>
      <c r="VZC46" s="21"/>
      <c r="VZD46" s="21"/>
      <c r="VZH46" s="15"/>
      <c r="VZN46" s="25"/>
      <c r="VZU46" s="21"/>
      <c r="VZV46" s="21"/>
      <c r="VZZ46" s="15"/>
      <c r="WAF46" s="25"/>
      <c r="WAM46" s="21"/>
      <c r="WAN46" s="21"/>
      <c r="WAR46" s="15"/>
      <c r="WAX46" s="25"/>
      <c r="WBE46" s="21"/>
      <c r="WBF46" s="21"/>
      <c r="WBJ46" s="15"/>
      <c r="WBP46" s="25"/>
      <c r="WBW46" s="21"/>
      <c r="WBX46" s="21"/>
      <c r="WCB46" s="15"/>
      <c r="WCH46" s="25"/>
      <c r="WCO46" s="21"/>
      <c r="WCP46" s="21"/>
      <c r="WCT46" s="15"/>
      <c r="WCZ46" s="25"/>
      <c r="WDG46" s="21"/>
      <c r="WDH46" s="21"/>
      <c r="WDL46" s="15"/>
      <c r="WDR46" s="25"/>
      <c r="WDY46" s="21"/>
      <c r="WDZ46" s="21"/>
      <c r="WED46" s="15"/>
      <c r="WEJ46" s="25"/>
      <c r="WEQ46" s="21"/>
      <c r="WER46" s="21"/>
      <c r="WEV46" s="15"/>
      <c r="WFB46" s="25"/>
      <c r="WFI46" s="21"/>
      <c r="WFJ46" s="21"/>
      <c r="WFN46" s="15"/>
      <c r="WFT46" s="25"/>
      <c r="WGA46" s="21"/>
      <c r="WGB46" s="21"/>
      <c r="WGF46" s="15"/>
      <c r="WGL46" s="25"/>
      <c r="WGS46" s="21"/>
      <c r="WGT46" s="21"/>
      <c r="WGX46" s="15"/>
      <c r="WHD46" s="25"/>
      <c r="WHK46" s="21"/>
      <c r="WHL46" s="21"/>
      <c r="WHP46" s="15"/>
      <c r="WHV46" s="25"/>
      <c r="WIC46" s="21"/>
      <c r="WID46" s="21"/>
      <c r="WIH46" s="15"/>
      <c r="WIN46" s="25"/>
      <c r="WIU46" s="21"/>
      <c r="WIV46" s="21"/>
      <c r="WIZ46" s="15"/>
      <c r="WJF46" s="25"/>
      <c r="WJM46" s="21"/>
      <c r="WJN46" s="21"/>
      <c r="WJR46" s="15"/>
      <c r="WJX46" s="25"/>
      <c r="WKE46" s="21"/>
      <c r="WKF46" s="21"/>
      <c r="WKJ46" s="15"/>
      <c r="WKP46" s="25"/>
      <c r="WKW46" s="21"/>
      <c r="WKX46" s="21"/>
      <c r="WLB46" s="15"/>
      <c r="WLH46" s="25"/>
      <c r="WLO46" s="21"/>
      <c r="WLP46" s="21"/>
      <c r="WLT46" s="15"/>
      <c r="WLZ46" s="25"/>
      <c r="WMG46" s="21"/>
      <c r="WMH46" s="21"/>
      <c r="WML46" s="15"/>
      <c r="WMR46" s="25"/>
      <c r="WMY46" s="21"/>
      <c r="WMZ46" s="21"/>
      <c r="WND46" s="15"/>
      <c r="WNJ46" s="25"/>
      <c r="WNQ46" s="21"/>
      <c r="WNR46" s="21"/>
      <c r="WNV46" s="15"/>
      <c r="WOB46" s="25"/>
      <c r="WOI46" s="21"/>
      <c r="WOJ46" s="21"/>
      <c r="WON46" s="15"/>
      <c r="WOT46" s="25"/>
      <c r="WPA46" s="21"/>
      <c r="WPB46" s="21"/>
      <c r="WPF46" s="15"/>
      <c r="WPL46" s="25"/>
      <c r="WPS46" s="21"/>
      <c r="WPT46" s="21"/>
      <c r="WPX46" s="15"/>
      <c r="WQD46" s="25"/>
      <c r="WQK46" s="21"/>
      <c r="WQL46" s="21"/>
      <c r="WQP46" s="15"/>
      <c r="WQV46" s="25"/>
      <c r="WRC46" s="21"/>
      <c r="WRD46" s="21"/>
      <c r="WRH46" s="15"/>
      <c r="WRN46" s="25"/>
      <c r="WRU46" s="21"/>
      <c r="WRV46" s="21"/>
      <c r="WRZ46" s="15"/>
      <c r="WSF46" s="25"/>
      <c r="WSM46" s="21"/>
      <c r="WSN46" s="21"/>
      <c r="WSR46" s="15"/>
      <c r="WSX46" s="25"/>
      <c r="WTE46" s="21"/>
      <c r="WTF46" s="21"/>
      <c r="WTJ46" s="15"/>
      <c r="WTP46" s="25"/>
      <c r="WTW46" s="21"/>
      <c r="WTX46" s="21"/>
      <c r="WUB46" s="15"/>
      <c r="WUH46" s="25"/>
      <c r="WUO46" s="21"/>
      <c r="WUP46" s="21"/>
      <c r="WUT46" s="15"/>
      <c r="WUZ46" s="25"/>
      <c r="WVG46" s="21"/>
      <c r="WVH46" s="21"/>
      <c r="WVL46" s="15"/>
      <c r="WVR46" s="25"/>
      <c r="WVY46" s="21"/>
      <c r="WVZ46" s="21"/>
      <c r="WWD46" s="15"/>
      <c r="WWJ46" s="25"/>
      <c r="WWQ46" s="21"/>
      <c r="WWR46" s="21"/>
      <c r="WWV46" s="15"/>
      <c r="WXB46" s="25"/>
      <c r="WXI46" s="21"/>
      <c r="WXJ46" s="21"/>
      <c r="WXN46" s="15"/>
      <c r="WXT46" s="25"/>
      <c r="WYA46" s="21"/>
      <c r="WYB46" s="21"/>
      <c r="WYF46" s="15"/>
      <c r="WYL46" s="25"/>
      <c r="WYS46" s="21"/>
      <c r="WYT46" s="21"/>
      <c r="WYX46" s="15"/>
      <c r="WZD46" s="25"/>
      <c r="WZK46" s="21"/>
      <c r="WZL46" s="21"/>
      <c r="WZP46" s="15"/>
      <c r="WZV46" s="25"/>
      <c r="XAC46" s="21"/>
      <c r="XAD46" s="21"/>
      <c r="XAH46" s="15"/>
      <c r="XAN46" s="25"/>
      <c r="XAU46" s="21"/>
      <c r="XAV46" s="21"/>
      <c r="XAZ46" s="15"/>
      <c r="XBF46" s="25"/>
      <c r="XBM46" s="21"/>
      <c r="XBN46" s="21"/>
      <c r="XBR46" s="15"/>
      <c r="XBX46" s="25"/>
      <c r="XCE46" s="21"/>
      <c r="XCF46" s="21"/>
      <c r="XCJ46" s="15"/>
      <c r="XCP46" s="25"/>
      <c r="XCW46" s="21"/>
      <c r="XCX46" s="21"/>
      <c r="XDB46" s="15"/>
      <c r="XDH46" s="25"/>
      <c r="XDO46" s="21"/>
      <c r="XDP46" s="21"/>
      <c r="XDT46" s="15"/>
      <c r="XDZ46" s="25"/>
      <c r="XEG46" s="21"/>
      <c r="XEH46" s="21"/>
      <c r="XEL46" s="15"/>
      <c r="XER46" s="25"/>
      <c r="XEY46" s="21"/>
      <c r="XEZ46" s="21"/>
      <c r="XFD46" s="15"/>
    </row>
    <row r="47" spans="1:1018 1025:2044 2051:3070 3077:4096 4103:5116 5122:6142 6148:7168 7174:8190 8194:9216 9220:10234 10241:11260 11267:12286 12293:13312 13319:14332 14338:15358 15364:16384" s="24" customFormat="1">
      <c r="A47" s="21" t="s">
        <v>147</v>
      </c>
      <c r="B47" s="12">
        <v>2011</v>
      </c>
      <c r="C47" s="19" t="s">
        <v>138</v>
      </c>
      <c r="D47" s="22" t="s">
        <v>86</v>
      </c>
      <c r="E47" s="43" t="s">
        <v>145</v>
      </c>
      <c r="F47" s="19" t="s">
        <v>35</v>
      </c>
      <c r="G47" s="18">
        <v>2146562000</v>
      </c>
      <c r="H47" s="18">
        <v>2225298411.1675129</v>
      </c>
      <c r="I47" s="12">
        <v>12</v>
      </c>
      <c r="J47" s="52" t="s">
        <v>148</v>
      </c>
      <c r="K47" s="22" t="s">
        <v>26</v>
      </c>
      <c r="L47" s="22"/>
      <c r="M47" s="22" t="s">
        <v>26</v>
      </c>
      <c r="N47" s="12"/>
      <c r="O47" s="22"/>
      <c r="P47" s="12"/>
      <c r="Q47" s="22"/>
      <c r="R47" s="22"/>
      <c r="V47" s="15"/>
      <c r="AB47" s="25"/>
      <c r="AI47" s="21"/>
      <c r="AJ47" s="21"/>
      <c r="AN47" s="15"/>
      <c r="AT47" s="25"/>
      <c r="BA47" s="21"/>
      <c r="BB47" s="21"/>
      <c r="BF47" s="15"/>
      <c r="BL47" s="25"/>
      <c r="BS47" s="21"/>
      <c r="BT47" s="21"/>
      <c r="BX47" s="15"/>
      <c r="CD47" s="25"/>
      <c r="CK47" s="21"/>
      <c r="CL47" s="21"/>
      <c r="CP47" s="15"/>
      <c r="CV47" s="25"/>
      <c r="DC47" s="21"/>
      <c r="DD47" s="21"/>
      <c r="DH47" s="15"/>
      <c r="DN47" s="25"/>
      <c r="DU47" s="21"/>
      <c r="DV47" s="21"/>
      <c r="DZ47" s="15"/>
      <c r="EF47" s="25"/>
      <c r="EM47" s="21"/>
      <c r="EN47" s="21"/>
      <c r="ER47" s="15"/>
      <c r="EX47" s="25"/>
      <c r="FE47" s="21"/>
      <c r="FF47" s="21"/>
      <c r="FJ47" s="15"/>
      <c r="FP47" s="25"/>
      <c r="FW47" s="21"/>
      <c r="FX47" s="21"/>
      <c r="GB47" s="15"/>
      <c r="GH47" s="25"/>
      <c r="GO47" s="21"/>
      <c r="GP47" s="21"/>
      <c r="GT47" s="15"/>
      <c r="GZ47" s="25"/>
      <c r="HG47" s="21"/>
      <c r="HH47" s="21"/>
      <c r="HL47" s="15"/>
      <c r="HR47" s="25"/>
      <c r="HY47" s="21"/>
      <c r="HZ47" s="21"/>
      <c r="ID47" s="15"/>
      <c r="IJ47" s="25"/>
      <c r="IQ47" s="21"/>
      <c r="IR47" s="21"/>
      <c r="IV47" s="15"/>
      <c r="JB47" s="25"/>
      <c r="JI47" s="21"/>
      <c r="JJ47" s="21"/>
      <c r="JN47" s="15"/>
      <c r="JT47" s="25"/>
      <c r="KA47" s="21"/>
      <c r="KB47" s="21"/>
      <c r="KF47" s="15"/>
      <c r="KL47" s="25"/>
      <c r="KS47" s="21"/>
      <c r="KT47" s="21"/>
      <c r="KX47" s="15"/>
      <c r="LD47" s="25"/>
      <c r="LK47" s="21"/>
      <c r="LL47" s="21"/>
      <c r="LP47" s="15"/>
      <c r="LV47" s="25"/>
      <c r="MC47" s="21"/>
      <c r="MD47" s="21"/>
      <c r="MH47" s="15"/>
      <c r="MN47" s="25"/>
      <c r="MU47" s="21"/>
      <c r="MV47" s="21"/>
      <c r="MZ47" s="15"/>
      <c r="NF47" s="25"/>
      <c r="NM47" s="21"/>
      <c r="NN47" s="21"/>
      <c r="NR47" s="15"/>
      <c r="NX47" s="25"/>
      <c r="OE47" s="21"/>
      <c r="OF47" s="21"/>
      <c r="OJ47" s="15"/>
      <c r="OP47" s="25"/>
      <c r="OW47" s="21"/>
      <c r="OX47" s="21"/>
      <c r="PB47" s="15"/>
      <c r="PH47" s="25"/>
      <c r="PO47" s="21"/>
      <c r="PP47" s="21"/>
      <c r="PT47" s="15"/>
      <c r="PZ47" s="25"/>
      <c r="QG47" s="21"/>
      <c r="QH47" s="21"/>
      <c r="QL47" s="15"/>
      <c r="QR47" s="25"/>
      <c r="QY47" s="21"/>
      <c r="QZ47" s="21"/>
      <c r="RD47" s="15"/>
      <c r="RJ47" s="25"/>
      <c r="RQ47" s="21"/>
      <c r="RR47" s="21"/>
      <c r="RV47" s="15"/>
      <c r="SB47" s="25"/>
      <c r="SI47" s="21"/>
      <c r="SJ47" s="21"/>
      <c r="SN47" s="15"/>
      <c r="ST47" s="25"/>
      <c r="TA47" s="21"/>
      <c r="TB47" s="21"/>
      <c r="TF47" s="15"/>
      <c r="TL47" s="25"/>
      <c r="TS47" s="21"/>
      <c r="TT47" s="21"/>
      <c r="TX47" s="15"/>
      <c r="UD47" s="25"/>
      <c r="UK47" s="21"/>
      <c r="UL47" s="21"/>
      <c r="UP47" s="15"/>
      <c r="UV47" s="25"/>
      <c r="VC47" s="21"/>
      <c r="VD47" s="21"/>
      <c r="VH47" s="15"/>
      <c r="VN47" s="25"/>
      <c r="VU47" s="21"/>
      <c r="VV47" s="21"/>
      <c r="VZ47" s="15"/>
      <c r="WF47" s="25"/>
      <c r="WM47" s="21"/>
      <c r="WN47" s="21"/>
      <c r="WR47" s="15"/>
      <c r="WX47" s="25"/>
      <c r="XE47" s="21"/>
      <c r="XF47" s="21"/>
      <c r="XJ47" s="15"/>
      <c r="XP47" s="25"/>
      <c r="XW47" s="21"/>
      <c r="XX47" s="21"/>
      <c r="YB47" s="15"/>
      <c r="YH47" s="25"/>
      <c r="YO47" s="21"/>
      <c r="YP47" s="21"/>
      <c r="YT47" s="15"/>
      <c r="YZ47" s="25"/>
      <c r="ZG47" s="21"/>
      <c r="ZH47" s="21"/>
      <c r="ZL47" s="15"/>
      <c r="ZR47" s="25"/>
      <c r="ZY47" s="21"/>
      <c r="ZZ47" s="21"/>
      <c r="AAD47" s="15"/>
      <c r="AAJ47" s="25"/>
      <c r="AAQ47" s="21"/>
      <c r="AAR47" s="21"/>
      <c r="AAV47" s="15"/>
      <c r="ABB47" s="25"/>
      <c r="ABI47" s="21"/>
      <c r="ABJ47" s="21"/>
      <c r="ABN47" s="15"/>
      <c r="ABT47" s="25"/>
      <c r="ACA47" s="21"/>
      <c r="ACB47" s="21"/>
      <c r="ACF47" s="15"/>
      <c r="ACL47" s="25"/>
      <c r="ACS47" s="21"/>
      <c r="ACT47" s="21"/>
      <c r="ACX47" s="15"/>
      <c r="ADD47" s="25"/>
      <c r="ADK47" s="21"/>
      <c r="ADL47" s="21"/>
      <c r="ADP47" s="15"/>
      <c r="ADV47" s="25"/>
      <c r="AEC47" s="21"/>
      <c r="AED47" s="21"/>
      <c r="AEH47" s="15"/>
      <c r="AEN47" s="25"/>
      <c r="AEU47" s="21"/>
      <c r="AEV47" s="21"/>
      <c r="AEZ47" s="15"/>
      <c r="AFF47" s="25"/>
      <c r="AFM47" s="21"/>
      <c r="AFN47" s="21"/>
      <c r="AFR47" s="15"/>
      <c r="AFX47" s="25"/>
      <c r="AGE47" s="21"/>
      <c r="AGF47" s="21"/>
      <c r="AGJ47" s="15"/>
      <c r="AGP47" s="25"/>
      <c r="AGW47" s="21"/>
      <c r="AGX47" s="21"/>
      <c r="AHB47" s="15"/>
      <c r="AHH47" s="25"/>
      <c r="AHO47" s="21"/>
      <c r="AHP47" s="21"/>
      <c r="AHT47" s="15"/>
      <c r="AHZ47" s="25"/>
      <c r="AIG47" s="21"/>
      <c r="AIH47" s="21"/>
      <c r="AIL47" s="15"/>
      <c r="AIR47" s="25"/>
      <c r="AIY47" s="21"/>
      <c r="AIZ47" s="21"/>
      <c r="AJD47" s="15"/>
      <c r="AJJ47" s="25"/>
      <c r="AJQ47" s="21"/>
      <c r="AJR47" s="21"/>
      <c r="AJV47" s="15"/>
      <c r="AKB47" s="25"/>
      <c r="AKI47" s="21"/>
      <c r="AKJ47" s="21"/>
      <c r="AKN47" s="15"/>
      <c r="AKT47" s="25"/>
      <c r="ALA47" s="21"/>
      <c r="ALB47" s="21"/>
      <c r="ALF47" s="15"/>
      <c r="ALL47" s="25"/>
      <c r="ALS47" s="21"/>
      <c r="ALT47" s="21"/>
      <c r="ALX47" s="15"/>
      <c r="AMD47" s="25"/>
      <c r="AMK47" s="21"/>
      <c r="AML47" s="21"/>
      <c r="AMP47" s="15"/>
      <c r="AMV47" s="25"/>
      <c r="ANC47" s="21"/>
      <c r="AND47" s="21"/>
      <c r="ANH47" s="15"/>
      <c r="ANN47" s="25"/>
      <c r="ANU47" s="21"/>
      <c r="ANV47" s="21"/>
      <c r="ANZ47" s="15"/>
      <c r="AOF47" s="25"/>
      <c r="AOM47" s="21"/>
      <c r="AON47" s="21"/>
      <c r="AOR47" s="15"/>
      <c r="AOX47" s="25"/>
      <c r="APE47" s="21"/>
      <c r="APF47" s="21"/>
      <c r="APJ47" s="15"/>
      <c r="APP47" s="25"/>
      <c r="APW47" s="21"/>
      <c r="APX47" s="21"/>
      <c r="AQB47" s="15"/>
      <c r="AQH47" s="25"/>
      <c r="AQO47" s="21"/>
      <c r="AQP47" s="21"/>
      <c r="AQT47" s="15"/>
      <c r="AQZ47" s="25"/>
      <c r="ARG47" s="21"/>
      <c r="ARH47" s="21"/>
      <c r="ARL47" s="15"/>
      <c r="ARR47" s="25"/>
      <c r="ARY47" s="21"/>
      <c r="ARZ47" s="21"/>
      <c r="ASD47" s="15"/>
      <c r="ASJ47" s="25"/>
      <c r="ASQ47" s="21"/>
      <c r="ASR47" s="21"/>
      <c r="ASV47" s="15"/>
      <c r="ATB47" s="25"/>
      <c r="ATI47" s="21"/>
      <c r="ATJ47" s="21"/>
      <c r="ATN47" s="15"/>
      <c r="ATT47" s="25"/>
      <c r="AUA47" s="21"/>
      <c r="AUB47" s="21"/>
      <c r="AUF47" s="15"/>
      <c r="AUL47" s="25"/>
      <c r="AUS47" s="21"/>
      <c r="AUT47" s="21"/>
      <c r="AUX47" s="15"/>
      <c r="AVD47" s="25"/>
      <c r="AVK47" s="21"/>
      <c r="AVL47" s="21"/>
      <c r="AVP47" s="15"/>
      <c r="AVV47" s="25"/>
      <c r="AWC47" s="21"/>
      <c r="AWD47" s="21"/>
      <c r="AWH47" s="15"/>
      <c r="AWN47" s="25"/>
      <c r="AWU47" s="21"/>
      <c r="AWV47" s="21"/>
      <c r="AWZ47" s="15"/>
      <c r="AXF47" s="25"/>
      <c r="AXM47" s="21"/>
      <c r="AXN47" s="21"/>
      <c r="AXR47" s="15"/>
      <c r="AXX47" s="25"/>
      <c r="AYE47" s="21"/>
      <c r="AYF47" s="21"/>
      <c r="AYJ47" s="15"/>
      <c r="AYP47" s="25"/>
      <c r="AYW47" s="21"/>
      <c r="AYX47" s="21"/>
      <c r="AZB47" s="15"/>
      <c r="AZH47" s="25"/>
      <c r="AZO47" s="21"/>
      <c r="AZP47" s="21"/>
      <c r="AZT47" s="15"/>
      <c r="AZZ47" s="25"/>
      <c r="BAG47" s="21"/>
      <c r="BAH47" s="21"/>
      <c r="BAL47" s="15"/>
      <c r="BAR47" s="25"/>
      <c r="BAY47" s="21"/>
      <c r="BAZ47" s="21"/>
      <c r="BBD47" s="15"/>
      <c r="BBJ47" s="25"/>
      <c r="BBQ47" s="21"/>
      <c r="BBR47" s="21"/>
      <c r="BBV47" s="15"/>
      <c r="BCB47" s="25"/>
      <c r="BCI47" s="21"/>
      <c r="BCJ47" s="21"/>
      <c r="BCN47" s="15"/>
      <c r="BCT47" s="25"/>
      <c r="BDA47" s="21"/>
      <c r="BDB47" s="21"/>
      <c r="BDF47" s="15"/>
      <c r="BDL47" s="25"/>
      <c r="BDS47" s="21"/>
      <c r="BDT47" s="21"/>
      <c r="BDX47" s="15"/>
      <c r="BED47" s="25"/>
      <c r="BEK47" s="21"/>
      <c r="BEL47" s="21"/>
      <c r="BEP47" s="15"/>
      <c r="BEV47" s="25"/>
      <c r="BFC47" s="21"/>
      <c r="BFD47" s="21"/>
      <c r="BFH47" s="15"/>
      <c r="BFN47" s="25"/>
      <c r="BFU47" s="21"/>
      <c r="BFV47" s="21"/>
      <c r="BFZ47" s="15"/>
      <c r="BGF47" s="25"/>
      <c r="BGM47" s="21"/>
      <c r="BGN47" s="21"/>
      <c r="BGR47" s="15"/>
      <c r="BGX47" s="25"/>
      <c r="BHE47" s="21"/>
      <c r="BHF47" s="21"/>
      <c r="BHJ47" s="15"/>
      <c r="BHP47" s="25"/>
      <c r="BHW47" s="21"/>
      <c r="BHX47" s="21"/>
      <c r="BIB47" s="15"/>
      <c r="BIH47" s="25"/>
      <c r="BIO47" s="21"/>
      <c r="BIP47" s="21"/>
      <c r="BIT47" s="15"/>
      <c r="BIZ47" s="25"/>
      <c r="BJG47" s="21"/>
      <c r="BJH47" s="21"/>
      <c r="BJL47" s="15"/>
      <c r="BJR47" s="25"/>
      <c r="BJY47" s="21"/>
      <c r="BJZ47" s="21"/>
      <c r="BKD47" s="15"/>
      <c r="BKJ47" s="25"/>
      <c r="BKQ47" s="21"/>
      <c r="BKR47" s="21"/>
      <c r="BKV47" s="15"/>
      <c r="BLB47" s="25"/>
      <c r="BLI47" s="21"/>
      <c r="BLJ47" s="21"/>
      <c r="BLN47" s="15"/>
      <c r="BLT47" s="25"/>
      <c r="BMA47" s="21"/>
      <c r="BMB47" s="21"/>
      <c r="BMF47" s="15"/>
      <c r="BML47" s="25"/>
      <c r="BMS47" s="21"/>
      <c r="BMT47" s="21"/>
      <c r="BMX47" s="15"/>
      <c r="BND47" s="25"/>
      <c r="BNK47" s="21"/>
      <c r="BNL47" s="21"/>
      <c r="BNP47" s="15"/>
      <c r="BNV47" s="25"/>
      <c r="BOC47" s="21"/>
      <c r="BOD47" s="21"/>
      <c r="BOH47" s="15"/>
      <c r="BON47" s="25"/>
      <c r="BOU47" s="21"/>
      <c r="BOV47" s="21"/>
      <c r="BOZ47" s="15"/>
      <c r="BPF47" s="25"/>
      <c r="BPM47" s="21"/>
      <c r="BPN47" s="21"/>
      <c r="BPR47" s="15"/>
      <c r="BPX47" s="25"/>
      <c r="BQE47" s="21"/>
      <c r="BQF47" s="21"/>
      <c r="BQJ47" s="15"/>
      <c r="BQP47" s="25"/>
      <c r="BQW47" s="21"/>
      <c r="BQX47" s="21"/>
      <c r="BRB47" s="15"/>
      <c r="BRH47" s="25"/>
      <c r="BRO47" s="21"/>
      <c r="BRP47" s="21"/>
      <c r="BRT47" s="15"/>
      <c r="BRZ47" s="25"/>
      <c r="BSG47" s="21"/>
      <c r="BSH47" s="21"/>
      <c r="BSL47" s="15"/>
      <c r="BSR47" s="25"/>
      <c r="BSY47" s="21"/>
      <c r="BSZ47" s="21"/>
      <c r="BTD47" s="15"/>
      <c r="BTJ47" s="25"/>
      <c r="BTQ47" s="21"/>
      <c r="BTR47" s="21"/>
      <c r="BTV47" s="15"/>
      <c r="BUB47" s="25"/>
      <c r="BUI47" s="21"/>
      <c r="BUJ47" s="21"/>
      <c r="BUN47" s="15"/>
      <c r="BUT47" s="25"/>
      <c r="BVA47" s="21"/>
      <c r="BVB47" s="21"/>
      <c r="BVF47" s="15"/>
      <c r="BVL47" s="25"/>
      <c r="BVS47" s="21"/>
      <c r="BVT47" s="21"/>
      <c r="BVX47" s="15"/>
      <c r="BWD47" s="25"/>
      <c r="BWK47" s="21"/>
      <c r="BWL47" s="21"/>
      <c r="BWP47" s="15"/>
      <c r="BWV47" s="25"/>
      <c r="BXC47" s="21"/>
      <c r="BXD47" s="21"/>
      <c r="BXH47" s="15"/>
      <c r="BXN47" s="25"/>
      <c r="BXU47" s="21"/>
      <c r="BXV47" s="21"/>
      <c r="BXZ47" s="15"/>
      <c r="BYF47" s="25"/>
      <c r="BYM47" s="21"/>
      <c r="BYN47" s="21"/>
      <c r="BYR47" s="15"/>
      <c r="BYX47" s="25"/>
      <c r="BZE47" s="21"/>
      <c r="BZF47" s="21"/>
      <c r="BZJ47" s="15"/>
      <c r="BZP47" s="25"/>
      <c r="BZW47" s="21"/>
      <c r="BZX47" s="21"/>
      <c r="CAB47" s="15"/>
      <c r="CAH47" s="25"/>
      <c r="CAO47" s="21"/>
      <c r="CAP47" s="21"/>
      <c r="CAT47" s="15"/>
      <c r="CAZ47" s="25"/>
      <c r="CBG47" s="21"/>
      <c r="CBH47" s="21"/>
      <c r="CBL47" s="15"/>
      <c r="CBR47" s="25"/>
      <c r="CBY47" s="21"/>
      <c r="CBZ47" s="21"/>
      <c r="CCD47" s="15"/>
      <c r="CCJ47" s="25"/>
      <c r="CCQ47" s="21"/>
      <c r="CCR47" s="21"/>
      <c r="CCV47" s="15"/>
      <c r="CDB47" s="25"/>
      <c r="CDI47" s="21"/>
      <c r="CDJ47" s="21"/>
      <c r="CDN47" s="15"/>
      <c r="CDT47" s="25"/>
      <c r="CEA47" s="21"/>
      <c r="CEB47" s="21"/>
      <c r="CEF47" s="15"/>
      <c r="CEL47" s="25"/>
      <c r="CES47" s="21"/>
      <c r="CET47" s="21"/>
      <c r="CEX47" s="15"/>
      <c r="CFD47" s="25"/>
      <c r="CFK47" s="21"/>
      <c r="CFL47" s="21"/>
      <c r="CFP47" s="15"/>
      <c r="CFV47" s="25"/>
      <c r="CGC47" s="21"/>
      <c r="CGD47" s="21"/>
      <c r="CGH47" s="15"/>
      <c r="CGN47" s="25"/>
      <c r="CGU47" s="21"/>
      <c r="CGV47" s="21"/>
      <c r="CGZ47" s="15"/>
      <c r="CHF47" s="25"/>
      <c r="CHM47" s="21"/>
      <c r="CHN47" s="21"/>
      <c r="CHR47" s="15"/>
      <c r="CHX47" s="25"/>
      <c r="CIE47" s="21"/>
      <c r="CIF47" s="21"/>
      <c r="CIJ47" s="15"/>
      <c r="CIP47" s="25"/>
      <c r="CIW47" s="21"/>
      <c r="CIX47" s="21"/>
      <c r="CJB47" s="15"/>
      <c r="CJH47" s="25"/>
      <c r="CJO47" s="21"/>
      <c r="CJP47" s="21"/>
      <c r="CJT47" s="15"/>
      <c r="CJZ47" s="25"/>
      <c r="CKG47" s="21"/>
      <c r="CKH47" s="21"/>
      <c r="CKL47" s="15"/>
      <c r="CKR47" s="25"/>
      <c r="CKY47" s="21"/>
      <c r="CKZ47" s="21"/>
      <c r="CLD47" s="15"/>
      <c r="CLJ47" s="25"/>
      <c r="CLQ47" s="21"/>
      <c r="CLR47" s="21"/>
      <c r="CLV47" s="15"/>
      <c r="CMB47" s="25"/>
      <c r="CMI47" s="21"/>
      <c r="CMJ47" s="21"/>
      <c r="CMN47" s="15"/>
      <c r="CMT47" s="25"/>
      <c r="CNA47" s="21"/>
      <c r="CNB47" s="21"/>
      <c r="CNF47" s="15"/>
      <c r="CNL47" s="25"/>
      <c r="CNS47" s="21"/>
      <c r="CNT47" s="21"/>
      <c r="CNX47" s="15"/>
      <c r="COD47" s="25"/>
      <c r="COK47" s="21"/>
      <c r="COL47" s="21"/>
      <c r="COP47" s="15"/>
      <c r="COV47" s="25"/>
      <c r="CPC47" s="21"/>
      <c r="CPD47" s="21"/>
      <c r="CPH47" s="15"/>
      <c r="CPN47" s="25"/>
      <c r="CPU47" s="21"/>
      <c r="CPV47" s="21"/>
      <c r="CPZ47" s="15"/>
      <c r="CQF47" s="25"/>
      <c r="CQM47" s="21"/>
      <c r="CQN47" s="21"/>
      <c r="CQR47" s="15"/>
      <c r="CQX47" s="25"/>
      <c r="CRE47" s="21"/>
      <c r="CRF47" s="21"/>
      <c r="CRJ47" s="15"/>
      <c r="CRP47" s="25"/>
      <c r="CRW47" s="21"/>
      <c r="CRX47" s="21"/>
      <c r="CSB47" s="15"/>
      <c r="CSH47" s="25"/>
      <c r="CSO47" s="21"/>
      <c r="CSP47" s="21"/>
      <c r="CST47" s="15"/>
      <c r="CSZ47" s="25"/>
      <c r="CTG47" s="21"/>
      <c r="CTH47" s="21"/>
      <c r="CTL47" s="15"/>
      <c r="CTR47" s="25"/>
      <c r="CTY47" s="21"/>
      <c r="CTZ47" s="21"/>
      <c r="CUD47" s="15"/>
      <c r="CUJ47" s="25"/>
      <c r="CUQ47" s="21"/>
      <c r="CUR47" s="21"/>
      <c r="CUV47" s="15"/>
      <c r="CVB47" s="25"/>
      <c r="CVI47" s="21"/>
      <c r="CVJ47" s="21"/>
      <c r="CVN47" s="15"/>
      <c r="CVT47" s="25"/>
      <c r="CWA47" s="21"/>
      <c r="CWB47" s="21"/>
      <c r="CWF47" s="15"/>
      <c r="CWL47" s="25"/>
      <c r="CWS47" s="21"/>
      <c r="CWT47" s="21"/>
      <c r="CWX47" s="15"/>
      <c r="CXD47" s="25"/>
      <c r="CXK47" s="21"/>
      <c r="CXL47" s="21"/>
      <c r="CXP47" s="15"/>
      <c r="CXV47" s="25"/>
      <c r="CYC47" s="21"/>
      <c r="CYD47" s="21"/>
      <c r="CYH47" s="15"/>
      <c r="CYN47" s="25"/>
      <c r="CYU47" s="21"/>
      <c r="CYV47" s="21"/>
      <c r="CYZ47" s="15"/>
      <c r="CZF47" s="25"/>
      <c r="CZM47" s="21"/>
      <c r="CZN47" s="21"/>
      <c r="CZR47" s="15"/>
      <c r="CZX47" s="25"/>
      <c r="DAE47" s="21"/>
      <c r="DAF47" s="21"/>
      <c r="DAJ47" s="15"/>
      <c r="DAP47" s="25"/>
      <c r="DAW47" s="21"/>
      <c r="DAX47" s="21"/>
      <c r="DBB47" s="15"/>
      <c r="DBH47" s="25"/>
      <c r="DBO47" s="21"/>
      <c r="DBP47" s="21"/>
      <c r="DBT47" s="15"/>
      <c r="DBZ47" s="25"/>
      <c r="DCG47" s="21"/>
      <c r="DCH47" s="21"/>
      <c r="DCL47" s="15"/>
      <c r="DCR47" s="25"/>
      <c r="DCY47" s="21"/>
      <c r="DCZ47" s="21"/>
      <c r="DDD47" s="15"/>
      <c r="DDJ47" s="25"/>
      <c r="DDQ47" s="21"/>
      <c r="DDR47" s="21"/>
      <c r="DDV47" s="15"/>
      <c r="DEB47" s="25"/>
      <c r="DEI47" s="21"/>
      <c r="DEJ47" s="21"/>
      <c r="DEN47" s="15"/>
      <c r="DET47" s="25"/>
      <c r="DFA47" s="21"/>
      <c r="DFB47" s="21"/>
      <c r="DFF47" s="15"/>
      <c r="DFL47" s="25"/>
      <c r="DFS47" s="21"/>
      <c r="DFT47" s="21"/>
      <c r="DFX47" s="15"/>
      <c r="DGD47" s="25"/>
      <c r="DGK47" s="21"/>
      <c r="DGL47" s="21"/>
      <c r="DGP47" s="15"/>
      <c r="DGV47" s="25"/>
      <c r="DHC47" s="21"/>
      <c r="DHD47" s="21"/>
      <c r="DHH47" s="15"/>
      <c r="DHN47" s="25"/>
      <c r="DHU47" s="21"/>
      <c r="DHV47" s="21"/>
      <c r="DHZ47" s="15"/>
      <c r="DIF47" s="25"/>
      <c r="DIM47" s="21"/>
      <c r="DIN47" s="21"/>
      <c r="DIR47" s="15"/>
      <c r="DIX47" s="25"/>
      <c r="DJE47" s="21"/>
      <c r="DJF47" s="21"/>
      <c r="DJJ47" s="15"/>
      <c r="DJP47" s="25"/>
      <c r="DJW47" s="21"/>
      <c r="DJX47" s="21"/>
      <c r="DKB47" s="15"/>
      <c r="DKH47" s="25"/>
      <c r="DKO47" s="21"/>
      <c r="DKP47" s="21"/>
      <c r="DKT47" s="15"/>
      <c r="DKZ47" s="25"/>
      <c r="DLG47" s="21"/>
      <c r="DLH47" s="21"/>
      <c r="DLL47" s="15"/>
      <c r="DLR47" s="25"/>
      <c r="DLY47" s="21"/>
      <c r="DLZ47" s="21"/>
      <c r="DMD47" s="15"/>
      <c r="DMJ47" s="25"/>
      <c r="DMQ47" s="21"/>
      <c r="DMR47" s="21"/>
      <c r="DMV47" s="15"/>
      <c r="DNB47" s="25"/>
      <c r="DNI47" s="21"/>
      <c r="DNJ47" s="21"/>
      <c r="DNN47" s="15"/>
      <c r="DNT47" s="25"/>
      <c r="DOA47" s="21"/>
      <c r="DOB47" s="21"/>
      <c r="DOF47" s="15"/>
      <c r="DOL47" s="25"/>
      <c r="DOS47" s="21"/>
      <c r="DOT47" s="21"/>
      <c r="DOX47" s="15"/>
      <c r="DPD47" s="25"/>
      <c r="DPK47" s="21"/>
      <c r="DPL47" s="21"/>
      <c r="DPP47" s="15"/>
      <c r="DPV47" s="25"/>
      <c r="DQC47" s="21"/>
      <c r="DQD47" s="21"/>
      <c r="DQH47" s="15"/>
      <c r="DQN47" s="25"/>
      <c r="DQU47" s="21"/>
      <c r="DQV47" s="21"/>
      <c r="DQZ47" s="15"/>
      <c r="DRF47" s="25"/>
      <c r="DRM47" s="21"/>
      <c r="DRN47" s="21"/>
      <c r="DRR47" s="15"/>
      <c r="DRX47" s="25"/>
      <c r="DSE47" s="21"/>
      <c r="DSF47" s="21"/>
      <c r="DSJ47" s="15"/>
      <c r="DSP47" s="25"/>
      <c r="DSW47" s="21"/>
      <c r="DSX47" s="21"/>
      <c r="DTB47" s="15"/>
      <c r="DTH47" s="25"/>
      <c r="DTO47" s="21"/>
      <c r="DTP47" s="21"/>
      <c r="DTT47" s="15"/>
      <c r="DTZ47" s="25"/>
      <c r="DUG47" s="21"/>
      <c r="DUH47" s="21"/>
      <c r="DUL47" s="15"/>
      <c r="DUR47" s="25"/>
      <c r="DUY47" s="21"/>
      <c r="DUZ47" s="21"/>
      <c r="DVD47" s="15"/>
      <c r="DVJ47" s="25"/>
      <c r="DVQ47" s="21"/>
      <c r="DVR47" s="21"/>
      <c r="DVV47" s="15"/>
      <c r="DWB47" s="25"/>
      <c r="DWI47" s="21"/>
      <c r="DWJ47" s="21"/>
      <c r="DWN47" s="15"/>
      <c r="DWT47" s="25"/>
      <c r="DXA47" s="21"/>
      <c r="DXB47" s="21"/>
      <c r="DXF47" s="15"/>
      <c r="DXL47" s="25"/>
      <c r="DXS47" s="21"/>
      <c r="DXT47" s="21"/>
      <c r="DXX47" s="15"/>
      <c r="DYD47" s="25"/>
      <c r="DYK47" s="21"/>
      <c r="DYL47" s="21"/>
      <c r="DYP47" s="15"/>
      <c r="DYV47" s="25"/>
      <c r="DZC47" s="21"/>
      <c r="DZD47" s="21"/>
      <c r="DZH47" s="15"/>
      <c r="DZN47" s="25"/>
      <c r="DZU47" s="21"/>
      <c r="DZV47" s="21"/>
      <c r="DZZ47" s="15"/>
      <c r="EAF47" s="25"/>
      <c r="EAM47" s="21"/>
      <c r="EAN47" s="21"/>
      <c r="EAR47" s="15"/>
      <c r="EAX47" s="25"/>
      <c r="EBE47" s="21"/>
      <c r="EBF47" s="21"/>
      <c r="EBJ47" s="15"/>
      <c r="EBP47" s="25"/>
      <c r="EBW47" s="21"/>
      <c r="EBX47" s="21"/>
      <c r="ECB47" s="15"/>
      <c r="ECH47" s="25"/>
      <c r="ECO47" s="21"/>
      <c r="ECP47" s="21"/>
      <c r="ECT47" s="15"/>
      <c r="ECZ47" s="25"/>
      <c r="EDG47" s="21"/>
      <c r="EDH47" s="21"/>
      <c r="EDL47" s="15"/>
      <c r="EDR47" s="25"/>
      <c r="EDY47" s="21"/>
      <c r="EDZ47" s="21"/>
      <c r="EED47" s="15"/>
      <c r="EEJ47" s="25"/>
      <c r="EEQ47" s="21"/>
      <c r="EER47" s="21"/>
      <c r="EEV47" s="15"/>
      <c r="EFB47" s="25"/>
      <c r="EFI47" s="21"/>
      <c r="EFJ47" s="21"/>
      <c r="EFN47" s="15"/>
      <c r="EFT47" s="25"/>
      <c r="EGA47" s="21"/>
      <c r="EGB47" s="21"/>
      <c r="EGF47" s="15"/>
      <c r="EGL47" s="25"/>
      <c r="EGS47" s="21"/>
      <c r="EGT47" s="21"/>
      <c r="EGX47" s="15"/>
      <c r="EHD47" s="25"/>
      <c r="EHK47" s="21"/>
      <c r="EHL47" s="21"/>
      <c r="EHP47" s="15"/>
      <c r="EHV47" s="25"/>
      <c r="EIC47" s="21"/>
      <c r="EID47" s="21"/>
      <c r="EIH47" s="15"/>
      <c r="EIN47" s="25"/>
      <c r="EIU47" s="21"/>
      <c r="EIV47" s="21"/>
      <c r="EIZ47" s="15"/>
      <c r="EJF47" s="25"/>
      <c r="EJM47" s="21"/>
      <c r="EJN47" s="21"/>
      <c r="EJR47" s="15"/>
      <c r="EJX47" s="25"/>
      <c r="EKE47" s="21"/>
      <c r="EKF47" s="21"/>
      <c r="EKJ47" s="15"/>
      <c r="EKP47" s="25"/>
      <c r="EKW47" s="21"/>
      <c r="EKX47" s="21"/>
      <c r="ELB47" s="15"/>
      <c r="ELH47" s="25"/>
      <c r="ELO47" s="21"/>
      <c r="ELP47" s="21"/>
      <c r="ELT47" s="15"/>
      <c r="ELZ47" s="25"/>
      <c r="EMG47" s="21"/>
      <c r="EMH47" s="21"/>
      <c r="EML47" s="15"/>
      <c r="EMR47" s="25"/>
      <c r="EMY47" s="21"/>
      <c r="EMZ47" s="21"/>
      <c r="END47" s="15"/>
      <c r="ENJ47" s="25"/>
      <c r="ENQ47" s="21"/>
      <c r="ENR47" s="21"/>
      <c r="ENV47" s="15"/>
      <c r="EOB47" s="25"/>
      <c r="EOI47" s="21"/>
      <c r="EOJ47" s="21"/>
      <c r="EON47" s="15"/>
      <c r="EOT47" s="25"/>
      <c r="EPA47" s="21"/>
      <c r="EPB47" s="21"/>
      <c r="EPF47" s="15"/>
      <c r="EPL47" s="25"/>
      <c r="EPS47" s="21"/>
      <c r="EPT47" s="21"/>
      <c r="EPX47" s="15"/>
      <c r="EQD47" s="25"/>
      <c r="EQK47" s="21"/>
      <c r="EQL47" s="21"/>
      <c r="EQP47" s="15"/>
      <c r="EQV47" s="25"/>
      <c r="ERC47" s="21"/>
      <c r="ERD47" s="21"/>
      <c r="ERH47" s="15"/>
      <c r="ERN47" s="25"/>
      <c r="ERU47" s="21"/>
      <c r="ERV47" s="21"/>
      <c r="ERZ47" s="15"/>
      <c r="ESF47" s="25"/>
      <c r="ESM47" s="21"/>
      <c r="ESN47" s="21"/>
      <c r="ESR47" s="15"/>
      <c r="ESX47" s="25"/>
      <c r="ETE47" s="21"/>
      <c r="ETF47" s="21"/>
      <c r="ETJ47" s="15"/>
      <c r="ETP47" s="25"/>
      <c r="ETW47" s="21"/>
      <c r="ETX47" s="21"/>
      <c r="EUB47" s="15"/>
      <c r="EUH47" s="25"/>
      <c r="EUO47" s="21"/>
      <c r="EUP47" s="21"/>
      <c r="EUT47" s="15"/>
      <c r="EUZ47" s="25"/>
      <c r="EVG47" s="21"/>
      <c r="EVH47" s="21"/>
      <c r="EVL47" s="15"/>
      <c r="EVR47" s="25"/>
      <c r="EVY47" s="21"/>
      <c r="EVZ47" s="21"/>
      <c r="EWD47" s="15"/>
      <c r="EWJ47" s="25"/>
      <c r="EWQ47" s="21"/>
      <c r="EWR47" s="21"/>
      <c r="EWV47" s="15"/>
      <c r="EXB47" s="25"/>
      <c r="EXI47" s="21"/>
      <c r="EXJ47" s="21"/>
      <c r="EXN47" s="15"/>
      <c r="EXT47" s="25"/>
      <c r="EYA47" s="21"/>
      <c r="EYB47" s="21"/>
      <c r="EYF47" s="15"/>
      <c r="EYL47" s="25"/>
      <c r="EYS47" s="21"/>
      <c r="EYT47" s="21"/>
      <c r="EYX47" s="15"/>
      <c r="EZD47" s="25"/>
      <c r="EZK47" s="21"/>
      <c r="EZL47" s="21"/>
      <c r="EZP47" s="15"/>
      <c r="EZV47" s="25"/>
      <c r="FAC47" s="21"/>
      <c r="FAD47" s="21"/>
      <c r="FAH47" s="15"/>
      <c r="FAN47" s="25"/>
      <c r="FAU47" s="21"/>
      <c r="FAV47" s="21"/>
      <c r="FAZ47" s="15"/>
      <c r="FBF47" s="25"/>
      <c r="FBM47" s="21"/>
      <c r="FBN47" s="21"/>
      <c r="FBR47" s="15"/>
      <c r="FBX47" s="25"/>
      <c r="FCE47" s="21"/>
      <c r="FCF47" s="21"/>
      <c r="FCJ47" s="15"/>
      <c r="FCP47" s="25"/>
      <c r="FCW47" s="21"/>
      <c r="FCX47" s="21"/>
      <c r="FDB47" s="15"/>
      <c r="FDH47" s="25"/>
      <c r="FDO47" s="21"/>
      <c r="FDP47" s="21"/>
      <c r="FDT47" s="15"/>
      <c r="FDZ47" s="25"/>
      <c r="FEG47" s="21"/>
      <c r="FEH47" s="21"/>
      <c r="FEL47" s="15"/>
      <c r="FER47" s="25"/>
      <c r="FEY47" s="21"/>
      <c r="FEZ47" s="21"/>
      <c r="FFD47" s="15"/>
      <c r="FFJ47" s="25"/>
      <c r="FFQ47" s="21"/>
      <c r="FFR47" s="21"/>
      <c r="FFV47" s="15"/>
      <c r="FGB47" s="25"/>
      <c r="FGI47" s="21"/>
      <c r="FGJ47" s="21"/>
      <c r="FGN47" s="15"/>
      <c r="FGT47" s="25"/>
      <c r="FHA47" s="21"/>
      <c r="FHB47" s="21"/>
      <c r="FHF47" s="15"/>
      <c r="FHL47" s="25"/>
      <c r="FHS47" s="21"/>
      <c r="FHT47" s="21"/>
      <c r="FHX47" s="15"/>
      <c r="FID47" s="25"/>
      <c r="FIK47" s="21"/>
      <c r="FIL47" s="21"/>
      <c r="FIP47" s="15"/>
      <c r="FIV47" s="25"/>
      <c r="FJC47" s="21"/>
      <c r="FJD47" s="21"/>
      <c r="FJH47" s="15"/>
      <c r="FJN47" s="25"/>
      <c r="FJU47" s="21"/>
      <c r="FJV47" s="21"/>
      <c r="FJZ47" s="15"/>
      <c r="FKF47" s="25"/>
      <c r="FKM47" s="21"/>
      <c r="FKN47" s="21"/>
      <c r="FKR47" s="15"/>
      <c r="FKX47" s="25"/>
      <c r="FLE47" s="21"/>
      <c r="FLF47" s="21"/>
      <c r="FLJ47" s="15"/>
      <c r="FLP47" s="25"/>
      <c r="FLW47" s="21"/>
      <c r="FLX47" s="21"/>
      <c r="FMB47" s="15"/>
      <c r="FMH47" s="25"/>
      <c r="FMO47" s="21"/>
      <c r="FMP47" s="21"/>
      <c r="FMT47" s="15"/>
      <c r="FMZ47" s="25"/>
      <c r="FNG47" s="21"/>
      <c r="FNH47" s="21"/>
      <c r="FNL47" s="15"/>
      <c r="FNR47" s="25"/>
      <c r="FNY47" s="21"/>
      <c r="FNZ47" s="21"/>
      <c r="FOD47" s="15"/>
      <c r="FOJ47" s="25"/>
      <c r="FOQ47" s="21"/>
      <c r="FOR47" s="21"/>
      <c r="FOV47" s="15"/>
      <c r="FPB47" s="25"/>
      <c r="FPI47" s="21"/>
      <c r="FPJ47" s="21"/>
      <c r="FPN47" s="15"/>
      <c r="FPT47" s="25"/>
      <c r="FQA47" s="21"/>
      <c r="FQB47" s="21"/>
      <c r="FQF47" s="15"/>
      <c r="FQL47" s="25"/>
      <c r="FQS47" s="21"/>
      <c r="FQT47" s="21"/>
      <c r="FQX47" s="15"/>
      <c r="FRD47" s="25"/>
      <c r="FRK47" s="21"/>
      <c r="FRL47" s="21"/>
      <c r="FRP47" s="15"/>
      <c r="FRV47" s="25"/>
      <c r="FSC47" s="21"/>
      <c r="FSD47" s="21"/>
      <c r="FSH47" s="15"/>
      <c r="FSN47" s="25"/>
      <c r="FSU47" s="21"/>
      <c r="FSV47" s="21"/>
      <c r="FSZ47" s="15"/>
      <c r="FTF47" s="25"/>
      <c r="FTM47" s="21"/>
      <c r="FTN47" s="21"/>
      <c r="FTR47" s="15"/>
      <c r="FTX47" s="25"/>
      <c r="FUE47" s="21"/>
      <c r="FUF47" s="21"/>
      <c r="FUJ47" s="15"/>
      <c r="FUP47" s="25"/>
      <c r="FUW47" s="21"/>
      <c r="FUX47" s="21"/>
      <c r="FVB47" s="15"/>
      <c r="FVH47" s="25"/>
      <c r="FVO47" s="21"/>
      <c r="FVP47" s="21"/>
      <c r="FVT47" s="15"/>
      <c r="FVZ47" s="25"/>
      <c r="FWG47" s="21"/>
      <c r="FWH47" s="21"/>
      <c r="FWL47" s="15"/>
      <c r="FWR47" s="25"/>
      <c r="FWY47" s="21"/>
      <c r="FWZ47" s="21"/>
      <c r="FXD47" s="15"/>
      <c r="FXJ47" s="25"/>
      <c r="FXQ47" s="21"/>
      <c r="FXR47" s="21"/>
      <c r="FXV47" s="15"/>
      <c r="FYB47" s="25"/>
      <c r="FYI47" s="21"/>
      <c r="FYJ47" s="21"/>
      <c r="FYN47" s="15"/>
      <c r="FYT47" s="25"/>
      <c r="FZA47" s="21"/>
      <c r="FZB47" s="21"/>
      <c r="FZF47" s="15"/>
      <c r="FZL47" s="25"/>
      <c r="FZS47" s="21"/>
      <c r="FZT47" s="21"/>
      <c r="FZX47" s="15"/>
      <c r="GAD47" s="25"/>
      <c r="GAK47" s="21"/>
      <c r="GAL47" s="21"/>
      <c r="GAP47" s="15"/>
      <c r="GAV47" s="25"/>
      <c r="GBC47" s="21"/>
      <c r="GBD47" s="21"/>
      <c r="GBH47" s="15"/>
      <c r="GBN47" s="25"/>
      <c r="GBU47" s="21"/>
      <c r="GBV47" s="21"/>
      <c r="GBZ47" s="15"/>
      <c r="GCF47" s="25"/>
      <c r="GCM47" s="21"/>
      <c r="GCN47" s="21"/>
      <c r="GCR47" s="15"/>
      <c r="GCX47" s="25"/>
      <c r="GDE47" s="21"/>
      <c r="GDF47" s="21"/>
      <c r="GDJ47" s="15"/>
      <c r="GDP47" s="25"/>
      <c r="GDW47" s="21"/>
      <c r="GDX47" s="21"/>
      <c r="GEB47" s="15"/>
      <c r="GEH47" s="25"/>
      <c r="GEO47" s="21"/>
      <c r="GEP47" s="21"/>
      <c r="GET47" s="15"/>
      <c r="GEZ47" s="25"/>
      <c r="GFG47" s="21"/>
      <c r="GFH47" s="21"/>
      <c r="GFL47" s="15"/>
      <c r="GFR47" s="25"/>
      <c r="GFY47" s="21"/>
      <c r="GFZ47" s="21"/>
      <c r="GGD47" s="15"/>
      <c r="GGJ47" s="25"/>
      <c r="GGQ47" s="21"/>
      <c r="GGR47" s="21"/>
      <c r="GGV47" s="15"/>
      <c r="GHB47" s="25"/>
      <c r="GHI47" s="21"/>
      <c r="GHJ47" s="21"/>
      <c r="GHN47" s="15"/>
      <c r="GHT47" s="25"/>
      <c r="GIA47" s="21"/>
      <c r="GIB47" s="21"/>
      <c r="GIF47" s="15"/>
      <c r="GIL47" s="25"/>
      <c r="GIS47" s="21"/>
      <c r="GIT47" s="21"/>
      <c r="GIX47" s="15"/>
      <c r="GJD47" s="25"/>
      <c r="GJK47" s="21"/>
      <c r="GJL47" s="21"/>
      <c r="GJP47" s="15"/>
      <c r="GJV47" s="25"/>
      <c r="GKC47" s="21"/>
      <c r="GKD47" s="21"/>
      <c r="GKH47" s="15"/>
      <c r="GKN47" s="25"/>
      <c r="GKU47" s="21"/>
      <c r="GKV47" s="21"/>
      <c r="GKZ47" s="15"/>
      <c r="GLF47" s="25"/>
      <c r="GLM47" s="21"/>
      <c r="GLN47" s="21"/>
      <c r="GLR47" s="15"/>
      <c r="GLX47" s="25"/>
      <c r="GME47" s="21"/>
      <c r="GMF47" s="21"/>
      <c r="GMJ47" s="15"/>
      <c r="GMP47" s="25"/>
      <c r="GMW47" s="21"/>
      <c r="GMX47" s="21"/>
      <c r="GNB47" s="15"/>
      <c r="GNH47" s="25"/>
      <c r="GNO47" s="21"/>
      <c r="GNP47" s="21"/>
      <c r="GNT47" s="15"/>
      <c r="GNZ47" s="25"/>
      <c r="GOG47" s="21"/>
      <c r="GOH47" s="21"/>
      <c r="GOL47" s="15"/>
      <c r="GOR47" s="25"/>
      <c r="GOY47" s="21"/>
      <c r="GOZ47" s="21"/>
      <c r="GPD47" s="15"/>
      <c r="GPJ47" s="25"/>
      <c r="GPQ47" s="21"/>
      <c r="GPR47" s="21"/>
      <c r="GPV47" s="15"/>
      <c r="GQB47" s="25"/>
      <c r="GQI47" s="21"/>
      <c r="GQJ47" s="21"/>
      <c r="GQN47" s="15"/>
      <c r="GQT47" s="25"/>
      <c r="GRA47" s="21"/>
      <c r="GRB47" s="21"/>
      <c r="GRF47" s="15"/>
      <c r="GRL47" s="25"/>
      <c r="GRS47" s="21"/>
      <c r="GRT47" s="21"/>
      <c r="GRX47" s="15"/>
      <c r="GSD47" s="25"/>
      <c r="GSK47" s="21"/>
      <c r="GSL47" s="21"/>
      <c r="GSP47" s="15"/>
      <c r="GSV47" s="25"/>
      <c r="GTC47" s="21"/>
      <c r="GTD47" s="21"/>
      <c r="GTH47" s="15"/>
      <c r="GTN47" s="25"/>
      <c r="GTU47" s="21"/>
      <c r="GTV47" s="21"/>
      <c r="GTZ47" s="15"/>
      <c r="GUF47" s="25"/>
      <c r="GUM47" s="21"/>
      <c r="GUN47" s="21"/>
      <c r="GUR47" s="15"/>
      <c r="GUX47" s="25"/>
      <c r="GVE47" s="21"/>
      <c r="GVF47" s="21"/>
      <c r="GVJ47" s="15"/>
      <c r="GVP47" s="25"/>
      <c r="GVW47" s="21"/>
      <c r="GVX47" s="21"/>
      <c r="GWB47" s="15"/>
      <c r="GWH47" s="25"/>
      <c r="GWO47" s="21"/>
      <c r="GWP47" s="21"/>
      <c r="GWT47" s="15"/>
      <c r="GWZ47" s="25"/>
      <c r="GXG47" s="21"/>
      <c r="GXH47" s="21"/>
      <c r="GXL47" s="15"/>
      <c r="GXR47" s="25"/>
      <c r="GXY47" s="21"/>
      <c r="GXZ47" s="21"/>
      <c r="GYD47" s="15"/>
      <c r="GYJ47" s="25"/>
      <c r="GYQ47" s="21"/>
      <c r="GYR47" s="21"/>
      <c r="GYV47" s="15"/>
      <c r="GZB47" s="25"/>
      <c r="GZI47" s="21"/>
      <c r="GZJ47" s="21"/>
      <c r="GZN47" s="15"/>
      <c r="GZT47" s="25"/>
      <c r="HAA47" s="21"/>
      <c r="HAB47" s="21"/>
      <c r="HAF47" s="15"/>
      <c r="HAL47" s="25"/>
      <c r="HAS47" s="21"/>
      <c r="HAT47" s="21"/>
      <c r="HAX47" s="15"/>
      <c r="HBD47" s="25"/>
      <c r="HBK47" s="21"/>
      <c r="HBL47" s="21"/>
      <c r="HBP47" s="15"/>
      <c r="HBV47" s="25"/>
      <c r="HCC47" s="21"/>
      <c r="HCD47" s="21"/>
      <c r="HCH47" s="15"/>
      <c r="HCN47" s="25"/>
      <c r="HCU47" s="21"/>
      <c r="HCV47" s="21"/>
      <c r="HCZ47" s="15"/>
      <c r="HDF47" s="25"/>
      <c r="HDM47" s="21"/>
      <c r="HDN47" s="21"/>
      <c r="HDR47" s="15"/>
      <c r="HDX47" s="25"/>
      <c r="HEE47" s="21"/>
      <c r="HEF47" s="21"/>
      <c r="HEJ47" s="15"/>
      <c r="HEP47" s="25"/>
      <c r="HEW47" s="21"/>
      <c r="HEX47" s="21"/>
      <c r="HFB47" s="15"/>
      <c r="HFH47" s="25"/>
      <c r="HFO47" s="21"/>
      <c r="HFP47" s="21"/>
      <c r="HFT47" s="15"/>
      <c r="HFZ47" s="25"/>
      <c r="HGG47" s="21"/>
      <c r="HGH47" s="21"/>
      <c r="HGL47" s="15"/>
      <c r="HGR47" s="25"/>
      <c r="HGY47" s="21"/>
      <c r="HGZ47" s="21"/>
      <c r="HHD47" s="15"/>
      <c r="HHJ47" s="25"/>
      <c r="HHQ47" s="21"/>
      <c r="HHR47" s="21"/>
      <c r="HHV47" s="15"/>
      <c r="HIB47" s="25"/>
      <c r="HII47" s="21"/>
      <c r="HIJ47" s="21"/>
      <c r="HIN47" s="15"/>
      <c r="HIT47" s="25"/>
      <c r="HJA47" s="21"/>
      <c r="HJB47" s="21"/>
      <c r="HJF47" s="15"/>
      <c r="HJL47" s="25"/>
      <c r="HJS47" s="21"/>
      <c r="HJT47" s="21"/>
      <c r="HJX47" s="15"/>
      <c r="HKD47" s="25"/>
      <c r="HKK47" s="21"/>
      <c r="HKL47" s="21"/>
      <c r="HKP47" s="15"/>
      <c r="HKV47" s="25"/>
      <c r="HLC47" s="21"/>
      <c r="HLD47" s="21"/>
      <c r="HLH47" s="15"/>
      <c r="HLN47" s="25"/>
      <c r="HLU47" s="21"/>
      <c r="HLV47" s="21"/>
      <c r="HLZ47" s="15"/>
      <c r="HMF47" s="25"/>
      <c r="HMM47" s="21"/>
      <c r="HMN47" s="21"/>
      <c r="HMR47" s="15"/>
      <c r="HMX47" s="25"/>
      <c r="HNE47" s="21"/>
      <c r="HNF47" s="21"/>
      <c r="HNJ47" s="15"/>
      <c r="HNP47" s="25"/>
      <c r="HNW47" s="21"/>
      <c r="HNX47" s="21"/>
      <c r="HOB47" s="15"/>
      <c r="HOH47" s="25"/>
      <c r="HOO47" s="21"/>
      <c r="HOP47" s="21"/>
      <c r="HOT47" s="15"/>
      <c r="HOZ47" s="25"/>
      <c r="HPG47" s="21"/>
      <c r="HPH47" s="21"/>
      <c r="HPL47" s="15"/>
      <c r="HPR47" s="25"/>
      <c r="HPY47" s="21"/>
      <c r="HPZ47" s="21"/>
      <c r="HQD47" s="15"/>
      <c r="HQJ47" s="25"/>
      <c r="HQQ47" s="21"/>
      <c r="HQR47" s="21"/>
      <c r="HQV47" s="15"/>
      <c r="HRB47" s="25"/>
      <c r="HRI47" s="21"/>
      <c r="HRJ47" s="21"/>
      <c r="HRN47" s="15"/>
      <c r="HRT47" s="25"/>
      <c r="HSA47" s="21"/>
      <c r="HSB47" s="21"/>
      <c r="HSF47" s="15"/>
      <c r="HSL47" s="25"/>
      <c r="HSS47" s="21"/>
      <c r="HST47" s="21"/>
      <c r="HSX47" s="15"/>
      <c r="HTD47" s="25"/>
      <c r="HTK47" s="21"/>
      <c r="HTL47" s="21"/>
      <c r="HTP47" s="15"/>
      <c r="HTV47" s="25"/>
      <c r="HUC47" s="21"/>
      <c r="HUD47" s="21"/>
      <c r="HUH47" s="15"/>
      <c r="HUN47" s="25"/>
      <c r="HUU47" s="21"/>
      <c r="HUV47" s="21"/>
      <c r="HUZ47" s="15"/>
      <c r="HVF47" s="25"/>
      <c r="HVM47" s="21"/>
      <c r="HVN47" s="21"/>
      <c r="HVR47" s="15"/>
      <c r="HVX47" s="25"/>
      <c r="HWE47" s="21"/>
      <c r="HWF47" s="21"/>
      <c r="HWJ47" s="15"/>
      <c r="HWP47" s="25"/>
      <c r="HWW47" s="21"/>
      <c r="HWX47" s="21"/>
      <c r="HXB47" s="15"/>
      <c r="HXH47" s="25"/>
      <c r="HXO47" s="21"/>
      <c r="HXP47" s="21"/>
      <c r="HXT47" s="15"/>
      <c r="HXZ47" s="25"/>
      <c r="HYG47" s="21"/>
      <c r="HYH47" s="21"/>
      <c r="HYL47" s="15"/>
      <c r="HYR47" s="25"/>
      <c r="HYY47" s="21"/>
      <c r="HYZ47" s="21"/>
      <c r="HZD47" s="15"/>
      <c r="HZJ47" s="25"/>
      <c r="HZQ47" s="21"/>
      <c r="HZR47" s="21"/>
      <c r="HZV47" s="15"/>
      <c r="IAB47" s="25"/>
      <c r="IAI47" s="21"/>
      <c r="IAJ47" s="21"/>
      <c r="IAN47" s="15"/>
      <c r="IAT47" s="25"/>
      <c r="IBA47" s="21"/>
      <c r="IBB47" s="21"/>
      <c r="IBF47" s="15"/>
      <c r="IBL47" s="25"/>
      <c r="IBS47" s="21"/>
      <c r="IBT47" s="21"/>
      <c r="IBX47" s="15"/>
      <c r="ICD47" s="25"/>
      <c r="ICK47" s="21"/>
      <c r="ICL47" s="21"/>
      <c r="ICP47" s="15"/>
      <c r="ICV47" s="25"/>
      <c r="IDC47" s="21"/>
      <c r="IDD47" s="21"/>
      <c r="IDH47" s="15"/>
      <c r="IDN47" s="25"/>
      <c r="IDU47" s="21"/>
      <c r="IDV47" s="21"/>
      <c r="IDZ47" s="15"/>
      <c r="IEF47" s="25"/>
      <c r="IEM47" s="21"/>
      <c r="IEN47" s="21"/>
      <c r="IER47" s="15"/>
      <c r="IEX47" s="25"/>
      <c r="IFE47" s="21"/>
      <c r="IFF47" s="21"/>
      <c r="IFJ47" s="15"/>
      <c r="IFP47" s="25"/>
      <c r="IFW47" s="21"/>
      <c r="IFX47" s="21"/>
      <c r="IGB47" s="15"/>
      <c r="IGH47" s="25"/>
      <c r="IGO47" s="21"/>
      <c r="IGP47" s="21"/>
      <c r="IGT47" s="15"/>
      <c r="IGZ47" s="25"/>
      <c r="IHG47" s="21"/>
      <c r="IHH47" s="21"/>
      <c r="IHL47" s="15"/>
      <c r="IHR47" s="25"/>
      <c r="IHY47" s="21"/>
      <c r="IHZ47" s="21"/>
      <c r="IID47" s="15"/>
      <c r="IIJ47" s="25"/>
      <c r="IIQ47" s="21"/>
      <c r="IIR47" s="21"/>
      <c r="IIV47" s="15"/>
      <c r="IJB47" s="25"/>
      <c r="IJI47" s="21"/>
      <c r="IJJ47" s="21"/>
      <c r="IJN47" s="15"/>
      <c r="IJT47" s="25"/>
      <c r="IKA47" s="21"/>
      <c r="IKB47" s="21"/>
      <c r="IKF47" s="15"/>
      <c r="IKL47" s="25"/>
      <c r="IKS47" s="21"/>
      <c r="IKT47" s="21"/>
      <c r="IKX47" s="15"/>
      <c r="ILD47" s="25"/>
      <c r="ILK47" s="21"/>
      <c r="ILL47" s="21"/>
      <c r="ILP47" s="15"/>
      <c r="ILV47" s="25"/>
      <c r="IMC47" s="21"/>
      <c r="IMD47" s="21"/>
      <c r="IMH47" s="15"/>
      <c r="IMN47" s="25"/>
      <c r="IMU47" s="21"/>
      <c r="IMV47" s="21"/>
      <c r="IMZ47" s="15"/>
      <c r="INF47" s="25"/>
      <c r="INM47" s="21"/>
      <c r="INN47" s="21"/>
      <c r="INR47" s="15"/>
      <c r="INX47" s="25"/>
      <c r="IOE47" s="21"/>
      <c r="IOF47" s="21"/>
      <c r="IOJ47" s="15"/>
      <c r="IOP47" s="25"/>
      <c r="IOW47" s="21"/>
      <c r="IOX47" s="21"/>
      <c r="IPB47" s="15"/>
      <c r="IPH47" s="25"/>
      <c r="IPO47" s="21"/>
      <c r="IPP47" s="21"/>
      <c r="IPT47" s="15"/>
      <c r="IPZ47" s="25"/>
      <c r="IQG47" s="21"/>
      <c r="IQH47" s="21"/>
      <c r="IQL47" s="15"/>
      <c r="IQR47" s="25"/>
      <c r="IQY47" s="21"/>
      <c r="IQZ47" s="21"/>
      <c r="IRD47" s="15"/>
      <c r="IRJ47" s="25"/>
      <c r="IRQ47" s="21"/>
      <c r="IRR47" s="21"/>
      <c r="IRV47" s="15"/>
      <c r="ISB47" s="25"/>
      <c r="ISI47" s="21"/>
      <c r="ISJ47" s="21"/>
      <c r="ISN47" s="15"/>
      <c r="IST47" s="25"/>
      <c r="ITA47" s="21"/>
      <c r="ITB47" s="21"/>
      <c r="ITF47" s="15"/>
      <c r="ITL47" s="25"/>
      <c r="ITS47" s="21"/>
      <c r="ITT47" s="21"/>
      <c r="ITX47" s="15"/>
      <c r="IUD47" s="25"/>
      <c r="IUK47" s="21"/>
      <c r="IUL47" s="21"/>
      <c r="IUP47" s="15"/>
      <c r="IUV47" s="25"/>
      <c r="IVC47" s="21"/>
      <c r="IVD47" s="21"/>
      <c r="IVH47" s="15"/>
      <c r="IVN47" s="25"/>
      <c r="IVU47" s="21"/>
      <c r="IVV47" s="21"/>
      <c r="IVZ47" s="15"/>
      <c r="IWF47" s="25"/>
      <c r="IWM47" s="21"/>
      <c r="IWN47" s="21"/>
      <c r="IWR47" s="15"/>
      <c r="IWX47" s="25"/>
      <c r="IXE47" s="21"/>
      <c r="IXF47" s="21"/>
      <c r="IXJ47" s="15"/>
      <c r="IXP47" s="25"/>
      <c r="IXW47" s="21"/>
      <c r="IXX47" s="21"/>
      <c r="IYB47" s="15"/>
      <c r="IYH47" s="25"/>
      <c r="IYO47" s="21"/>
      <c r="IYP47" s="21"/>
      <c r="IYT47" s="15"/>
      <c r="IYZ47" s="25"/>
      <c r="IZG47" s="21"/>
      <c r="IZH47" s="21"/>
      <c r="IZL47" s="15"/>
      <c r="IZR47" s="25"/>
      <c r="IZY47" s="21"/>
      <c r="IZZ47" s="21"/>
      <c r="JAD47" s="15"/>
      <c r="JAJ47" s="25"/>
      <c r="JAQ47" s="21"/>
      <c r="JAR47" s="21"/>
      <c r="JAV47" s="15"/>
      <c r="JBB47" s="25"/>
      <c r="JBI47" s="21"/>
      <c r="JBJ47" s="21"/>
      <c r="JBN47" s="15"/>
      <c r="JBT47" s="25"/>
      <c r="JCA47" s="21"/>
      <c r="JCB47" s="21"/>
      <c r="JCF47" s="15"/>
      <c r="JCL47" s="25"/>
      <c r="JCS47" s="21"/>
      <c r="JCT47" s="21"/>
      <c r="JCX47" s="15"/>
      <c r="JDD47" s="25"/>
      <c r="JDK47" s="21"/>
      <c r="JDL47" s="21"/>
      <c r="JDP47" s="15"/>
      <c r="JDV47" s="25"/>
      <c r="JEC47" s="21"/>
      <c r="JED47" s="21"/>
      <c r="JEH47" s="15"/>
      <c r="JEN47" s="25"/>
      <c r="JEU47" s="21"/>
      <c r="JEV47" s="21"/>
      <c r="JEZ47" s="15"/>
      <c r="JFF47" s="25"/>
      <c r="JFM47" s="21"/>
      <c r="JFN47" s="21"/>
      <c r="JFR47" s="15"/>
      <c r="JFX47" s="25"/>
      <c r="JGE47" s="21"/>
      <c r="JGF47" s="21"/>
      <c r="JGJ47" s="15"/>
      <c r="JGP47" s="25"/>
      <c r="JGW47" s="21"/>
      <c r="JGX47" s="21"/>
      <c r="JHB47" s="15"/>
      <c r="JHH47" s="25"/>
      <c r="JHO47" s="21"/>
      <c r="JHP47" s="21"/>
      <c r="JHT47" s="15"/>
      <c r="JHZ47" s="25"/>
      <c r="JIG47" s="21"/>
      <c r="JIH47" s="21"/>
      <c r="JIL47" s="15"/>
      <c r="JIR47" s="25"/>
      <c r="JIY47" s="21"/>
      <c r="JIZ47" s="21"/>
      <c r="JJD47" s="15"/>
      <c r="JJJ47" s="25"/>
      <c r="JJQ47" s="21"/>
      <c r="JJR47" s="21"/>
      <c r="JJV47" s="15"/>
      <c r="JKB47" s="25"/>
      <c r="JKI47" s="21"/>
      <c r="JKJ47" s="21"/>
      <c r="JKN47" s="15"/>
      <c r="JKT47" s="25"/>
      <c r="JLA47" s="21"/>
      <c r="JLB47" s="21"/>
      <c r="JLF47" s="15"/>
      <c r="JLL47" s="25"/>
      <c r="JLS47" s="21"/>
      <c r="JLT47" s="21"/>
      <c r="JLX47" s="15"/>
      <c r="JMD47" s="25"/>
      <c r="JMK47" s="21"/>
      <c r="JML47" s="21"/>
      <c r="JMP47" s="15"/>
      <c r="JMV47" s="25"/>
      <c r="JNC47" s="21"/>
      <c r="JND47" s="21"/>
      <c r="JNH47" s="15"/>
      <c r="JNN47" s="25"/>
      <c r="JNU47" s="21"/>
      <c r="JNV47" s="21"/>
      <c r="JNZ47" s="15"/>
      <c r="JOF47" s="25"/>
      <c r="JOM47" s="21"/>
      <c r="JON47" s="21"/>
      <c r="JOR47" s="15"/>
      <c r="JOX47" s="25"/>
      <c r="JPE47" s="21"/>
      <c r="JPF47" s="21"/>
      <c r="JPJ47" s="15"/>
      <c r="JPP47" s="25"/>
      <c r="JPW47" s="21"/>
      <c r="JPX47" s="21"/>
      <c r="JQB47" s="15"/>
      <c r="JQH47" s="25"/>
      <c r="JQO47" s="21"/>
      <c r="JQP47" s="21"/>
      <c r="JQT47" s="15"/>
      <c r="JQZ47" s="25"/>
      <c r="JRG47" s="21"/>
      <c r="JRH47" s="21"/>
      <c r="JRL47" s="15"/>
      <c r="JRR47" s="25"/>
      <c r="JRY47" s="21"/>
      <c r="JRZ47" s="21"/>
      <c r="JSD47" s="15"/>
      <c r="JSJ47" s="25"/>
      <c r="JSQ47" s="21"/>
      <c r="JSR47" s="21"/>
      <c r="JSV47" s="15"/>
      <c r="JTB47" s="25"/>
      <c r="JTI47" s="21"/>
      <c r="JTJ47" s="21"/>
      <c r="JTN47" s="15"/>
      <c r="JTT47" s="25"/>
      <c r="JUA47" s="21"/>
      <c r="JUB47" s="21"/>
      <c r="JUF47" s="15"/>
      <c r="JUL47" s="25"/>
      <c r="JUS47" s="21"/>
      <c r="JUT47" s="21"/>
      <c r="JUX47" s="15"/>
      <c r="JVD47" s="25"/>
      <c r="JVK47" s="21"/>
      <c r="JVL47" s="21"/>
      <c r="JVP47" s="15"/>
      <c r="JVV47" s="25"/>
      <c r="JWC47" s="21"/>
      <c r="JWD47" s="21"/>
      <c r="JWH47" s="15"/>
      <c r="JWN47" s="25"/>
      <c r="JWU47" s="21"/>
      <c r="JWV47" s="21"/>
      <c r="JWZ47" s="15"/>
      <c r="JXF47" s="25"/>
      <c r="JXM47" s="21"/>
      <c r="JXN47" s="21"/>
      <c r="JXR47" s="15"/>
      <c r="JXX47" s="25"/>
      <c r="JYE47" s="21"/>
      <c r="JYF47" s="21"/>
      <c r="JYJ47" s="15"/>
      <c r="JYP47" s="25"/>
      <c r="JYW47" s="21"/>
      <c r="JYX47" s="21"/>
      <c r="JZB47" s="15"/>
      <c r="JZH47" s="25"/>
      <c r="JZO47" s="21"/>
      <c r="JZP47" s="21"/>
      <c r="JZT47" s="15"/>
      <c r="JZZ47" s="25"/>
      <c r="KAG47" s="21"/>
      <c r="KAH47" s="21"/>
      <c r="KAL47" s="15"/>
      <c r="KAR47" s="25"/>
      <c r="KAY47" s="21"/>
      <c r="KAZ47" s="21"/>
      <c r="KBD47" s="15"/>
      <c r="KBJ47" s="25"/>
      <c r="KBQ47" s="21"/>
      <c r="KBR47" s="21"/>
      <c r="KBV47" s="15"/>
      <c r="KCB47" s="25"/>
      <c r="KCI47" s="21"/>
      <c r="KCJ47" s="21"/>
      <c r="KCN47" s="15"/>
      <c r="KCT47" s="25"/>
      <c r="KDA47" s="21"/>
      <c r="KDB47" s="21"/>
      <c r="KDF47" s="15"/>
      <c r="KDL47" s="25"/>
      <c r="KDS47" s="21"/>
      <c r="KDT47" s="21"/>
      <c r="KDX47" s="15"/>
      <c r="KED47" s="25"/>
      <c r="KEK47" s="21"/>
      <c r="KEL47" s="21"/>
      <c r="KEP47" s="15"/>
      <c r="KEV47" s="25"/>
      <c r="KFC47" s="21"/>
      <c r="KFD47" s="21"/>
      <c r="KFH47" s="15"/>
      <c r="KFN47" s="25"/>
      <c r="KFU47" s="21"/>
      <c r="KFV47" s="21"/>
      <c r="KFZ47" s="15"/>
      <c r="KGF47" s="25"/>
      <c r="KGM47" s="21"/>
      <c r="KGN47" s="21"/>
      <c r="KGR47" s="15"/>
      <c r="KGX47" s="25"/>
      <c r="KHE47" s="21"/>
      <c r="KHF47" s="21"/>
      <c r="KHJ47" s="15"/>
      <c r="KHP47" s="25"/>
      <c r="KHW47" s="21"/>
      <c r="KHX47" s="21"/>
      <c r="KIB47" s="15"/>
      <c r="KIH47" s="25"/>
      <c r="KIO47" s="21"/>
      <c r="KIP47" s="21"/>
      <c r="KIT47" s="15"/>
      <c r="KIZ47" s="25"/>
      <c r="KJG47" s="21"/>
      <c r="KJH47" s="21"/>
      <c r="KJL47" s="15"/>
      <c r="KJR47" s="25"/>
      <c r="KJY47" s="21"/>
      <c r="KJZ47" s="21"/>
      <c r="KKD47" s="15"/>
      <c r="KKJ47" s="25"/>
      <c r="KKQ47" s="21"/>
      <c r="KKR47" s="21"/>
      <c r="KKV47" s="15"/>
      <c r="KLB47" s="25"/>
      <c r="KLI47" s="21"/>
      <c r="KLJ47" s="21"/>
      <c r="KLN47" s="15"/>
      <c r="KLT47" s="25"/>
      <c r="KMA47" s="21"/>
      <c r="KMB47" s="21"/>
      <c r="KMF47" s="15"/>
      <c r="KML47" s="25"/>
      <c r="KMS47" s="21"/>
      <c r="KMT47" s="21"/>
      <c r="KMX47" s="15"/>
      <c r="KND47" s="25"/>
      <c r="KNK47" s="21"/>
      <c r="KNL47" s="21"/>
      <c r="KNP47" s="15"/>
      <c r="KNV47" s="25"/>
      <c r="KOC47" s="21"/>
      <c r="KOD47" s="21"/>
      <c r="KOH47" s="15"/>
      <c r="KON47" s="25"/>
      <c r="KOU47" s="21"/>
      <c r="KOV47" s="21"/>
      <c r="KOZ47" s="15"/>
      <c r="KPF47" s="25"/>
      <c r="KPM47" s="21"/>
      <c r="KPN47" s="21"/>
      <c r="KPR47" s="15"/>
      <c r="KPX47" s="25"/>
      <c r="KQE47" s="21"/>
      <c r="KQF47" s="21"/>
      <c r="KQJ47" s="15"/>
      <c r="KQP47" s="25"/>
      <c r="KQW47" s="21"/>
      <c r="KQX47" s="21"/>
      <c r="KRB47" s="15"/>
      <c r="KRH47" s="25"/>
      <c r="KRO47" s="21"/>
      <c r="KRP47" s="21"/>
      <c r="KRT47" s="15"/>
      <c r="KRZ47" s="25"/>
      <c r="KSG47" s="21"/>
      <c r="KSH47" s="21"/>
      <c r="KSL47" s="15"/>
      <c r="KSR47" s="25"/>
      <c r="KSY47" s="21"/>
      <c r="KSZ47" s="21"/>
      <c r="KTD47" s="15"/>
      <c r="KTJ47" s="25"/>
      <c r="KTQ47" s="21"/>
      <c r="KTR47" s="21"/>
      <c r="KTV47" s="15"/>
      <c r="KUB47" s="25"/>
      <c r="KUI47" s="21"/>
      <c r="KUJ47" s="21"/>
      <c r="KUN47" s="15"/>
      <c r="KUT47" s="25"/>
      <c r="KVA47" s="21"/>
      <c r="KVB47" s="21"/>
      <c r="KVF47" s="15"/>
      <c r="KVL47" s="25"/>
      <c r="KVS47" s="21"/>
      <c r="KVT47" s="21"/>
      <c r="KVX47" s="15"/>
      <c r="KWD47" s="25"/>
      <c r="KWK47" s="21"/>
      <c r="KWL47" s="21"/>
      <c r="KWP47" s="15"/>
      <c r="KWV47" s="25"/>
      <c r="KXC47" s="21"/>
      <c r="KXD47" s="21"/>
      <c r="KXH47" s="15"/>
      <c r="KXN47" s="25"/>
      <c r="KXU47" s="21"/>
      <c r="KXV47" s="21"/>
      <c r="KXZ47" s="15"/>
      <c r="KYF47" s="25"/>
      <c r="KYM47" s="21"/>
      <c r="KYN47" s="21"/>
      <c r="KYR47" s="15"/>
      <c r="KYX47" s="25"/>
      <c r="KZE47" s="21"/>
      <c r="KZF47" s="21"/>
      <c r="KZJ47" s="15"/>
      <c r="KZP47" s="25"/>
      <c r="KZW47" s="21"/>
      <c r="KZX47" s="21"/>
      <c r="LAB47" s="15"/>
      <c r="LAH47" s="25"/>
      <c r="LAO47" s="21"/>
      <c r="LAP47" s="21"/>
      <c r="LAT47" s="15"/>
      <c r="LAZ47" s="25"/>
      <c r="LBG47" s="21"/>
      <c r="LBH47" s="21"/>
      <c r="LBL47" s="15"/>
      <c r="LBR47" s="25"/>
      <c r="LBY47" s="21"/>
      <c r="LBZ47" s="21"/>
      <c r="LCD47" s="15"/>
      <c r="LCJ47" s="25"/>
      <c r="LCQ47" s="21"/>
      <c r="LCR47" s="21"/>
      <c r="LCV47" s="15"/>
      <c r="LDB47" s="25"/>
      <c r="LDI47" s="21"/>
      <c r="LDJ47" s="21"/>
      <c r="LDN47" s="15"/>
      <c r="LDT47" s="25"/>
      <c r="LEA47" s="21"/>
      <c r="LEB47" s="21"/>
      <c r="LEF47" s="15"/>
      <c r="LEL47" s="25"/>
      <c r="LES47" s="21"/>
      <c r="LET47" s="21"/>
      <c r="LEX47" s="15"/>
      <c r="LFD47" s="25"/>
      <c r="LFK47" s="21"/>
      <c r="LFL47" s="21"/>
      <c r="LFP47" s="15"/>
      <c r="LFV47" s="25"/>
      <c r="LGC47" s="21"/>
      <c r="LGD47" s="21"/>
      <c r="LGH47" s="15"/>
      <c r="LGN47" s="25"/>
      <c r="LGU47" s="21"/>
      <c r="LGV47" s="21"/>
      <c r="LGZ47" s="15"/>
      <c r="LHF47" s="25"/>
      <c r="LHM47" s="21"/>
      <c r="LHN47" s="21"/>
      <c r="LHR47" s="15"/>
      <c r="LHX47" s="25"/>
      <c r="LIE47" s="21"/>
      <c r="LIF47" s="21"/>
      <c r="LIJ47" s="15"/>
      <c r="LIP47" s="25"/>
      <c r="LIW47" s="21"/>
      <c r="LIX47" s="21"/>
      <c r="LJB47" s="15"/>
      <c r="LJH47" s="25"/>
      <c r="LJO47" s="21"/>
      <c r="LJP47" s="21"/>
      <c r="LJT47" s="15"/>
      <c r="LJZ47" s="25"/>
      <c r="LKG47" s="21"/>
      <c r="LKH47" s="21"/>
      <c r="LKL47" s="15"/>
      <c r="LKR47" s="25"/>
      <c r="LKY47" s="21"/>
      <c r="LKZ47" s="21"/>
      <c r="LLD47" s="15"/>
      <c r="LLJ47" s="25"/>
      <c r="LLQ47" s="21"/>
      <c r="LLR47" s="21"/>
      <c r="LLV47" s="15"/>
      <c r="LMB47" s="25"/>
      <c r="LMI47" s="21"/>
      <c r="LMJ47" s="21"/>
      <c r="LMN47" s="15"/>
      <c r="LMT47" s="25"/>
      <c r="LNA47" s="21"/>
      <c r="LNB47" s="21"/>
      <c r="LNF47" s="15"/>
      <c r="LNL47" s="25"/>
      <c r="LNS47" s="21"/>
      <c r="LNT47" s="21"/>
      <c r="LNX47" s="15"/>
      <c r="LOD47" s="25"/>
      <c r="LOK47" s="21"/>
      <c r="LOL47" s="21"/>
      <c r="LOP47" s="15"/>
      <c r="LOV47" s="25"/>
      <c r="LPC47" s="21"/>
      <c r="LPD47" s="21"/>
      <c r="LPH47" s="15"/>
      <c r="LPN47" s="25"/>
      <c r="LPU47" s="21"/>
      <c r="LPV47" s="21"/>
      <c r="LPZ47" s="15"/>
      <c r="LQF47" s="25"/>
      <c r="LQM47" s="21"/>
      <c r="LQN47" s="21"/>
      <c r="LQR47" s="15"/>
      <c r="LQX47" s="25"/>
      <c r="LRE47" s="21"/>
      <c r="LRF47" s="21"/>
      <c r="LRJ47" s="15"/>
      <c r="LRP47" s="25"/>
      <c r="LRW47" s="21"/>
      <c r="LRX47" s="21"/>
      <c r="LSB47" s="15"/>
      <c r="LSH47" s="25"/>
      <c r="LSO47" s="21"/>
      <c r="LSP47" s="21"/>
      <c r="LST47" s="15"/>
      <c r="LSZ47" s="25"/>
      <c r="LTG47" s="21"/>
      <c r="LTH47" s="21"/>
      <c r="LTL47" s="15"/>
      <c r="LTR47" s="25"/>
      <c r="LTY47" s="21"/>
      <c r="LTZ47" s="21"/>
      <c r="LUD47" s="15"/>
      <c r="LUJ47" s="25"/>
      <c r="LUQ47" s="21"/>
      <c r="LUR47" s="21"/>
      <c r="LUV47" s="15"/>
      <c r="LVB47" s="25"/>
      <c r="LVI47" s="21"/>
      <c r="LVJ47" s="21"/>
      <c r="LVN47" s="15"/>
      <c r="LVT47" s="25"/>
      <c r="LWA47" s="21"/>
      <c r="LWB47" s="21"/>
      <c r="LWF47" s="15"/>
      <c r="LWL47" s="25"/>
      <c r="LWS47" s="21"/>
      <c r="LWT47" s="21"/>
      <c r="LWX47" s="15"/>
      <c r="LXD47" s="25"/>
      <c r="LXK47" s="21"/>
      <c r="LXL47" s="21"/>
      <c r="LXP47" s="15"/>
      <c r="LXV47" s="25"/>
      <c r="LYC47" s="21"/>
      <c r="LYD47" s="21"/>
      <c r="LYH47" s="15"/>
      <c r="LYN47" s="25"/>
      <c r="LYU47" s="21"/>
      <c r="LYV47" s="21"/>
      <c r="LYZ47" s="15"/>
      <c r="LZF47" s="25"/>
      <c r="LZM47" s="21"/>
      <c r="LZN47" s="21"/>
      <c r="LZR47" s="15"/>
      <c r="LZX47" s="25"/>
      <c r="MAE47" s="21"/>
      <c r="MAF47" s="21"/>
      <c r="MAJ47" s="15"/>
      <c r="MAP47" s="25"/>
      <c r="MAW47" s="21"/>
      <c r="MAX47" s="21"/>
      <c r="MBB47" s="15"/>
      <c r="MBH47" s="25"/>
      <c r="MBO47" s="21"/>
      <c r="MBP47" s="21"/>
      <c r="MBT47" s="15"/>
      <c r="MBZ47" s="25"/>
      <c r="MCG47" s="21"/>
      <c r="MCH47" s="21"/>
      <c r="MCL47" s="15"/>
      <c r="MCR47" s="25"/>
      <c r="MCY47" s="21"/>
      <c r="MCZ47" s="21"/>
      <c r="MDD47" s="15"/>
      <c r="MDJ47" s="25"/>
      <c r="MDQ47" s="21"/>
      <c r="MDR47" s="21"/>
      <c r="MDV47" s="15"/>
      <c r="MEB47" s="25"/>
      <c r="MEI47" s="21"/>
      <c r="MEJ47" s="21"/>
      <c r="MEN47" s="15"/>
      <c r="MET47" s="25"/>
      <c r="MFA47" s="21"/>
      <c r="MFB47" s="21"/>
      <c r="MFF47" s="15"/>
      <c r="MFL47" s="25"/>
      <c r="MFS47" s="21"/>
      <c r="MFT47" s="21"/>
      <c r="MFX47" s="15"/>
      <c r="MGD47" s="25"/>
      <c r="MGK47" s="21"/>
      <c r="MGL47" s="21"/>
      <c r="MGP47" s="15"/>
      <c r="MGV47" s="25"/>
      <c r="MHC47" s="21"/>
      <c r="MHD47" s="21"/>
      <c r="MHH47" s="15"/>
      <c r="MHN47" s="25"/>
      <c r="MHU47" s="21"/>
      <c r="MHV47" s="21"/>
      <c r="MHZ47" s="15"/>
      <c r="MIF47" s="25"/>
      <c r="MIM47" s="21"/>
      <c r="MIN47" s="21"/>
      <c r="MIR47" s="15"/>
      <c r="MIX47" s="25"/>
      <c r="MJE47" s="21"/>
      <c r="MJF47" s="21"/>
      <c r="MJJ47" s="15"/>
      <c r="MJP47" s="25"/>
      <c r="MJW47" s="21"/>
      <c r="MJX47" s="21"/>
      <c r="MKB47" s="15"/>
      <c r="MKH47" s="25"/>
      <c r="MKO47" s="21"/>
      <c r="MKP47" s="21"/>
      <c r="MKT47" s="15"/>
      <c r="MKZ47" s="25"/>
      <c r="MLG47" s="21"/>
      <c r="MLH47" s="21"/>
      <c r="MLL47" s="15"/>
      <c r="MLR47" s="25"/>
      <c r="MLY47" s="21"/>
      <c r="MLZ47" s="21"/>
      <c r="MMD47" s="15"/>
      <c r="MMJ47" s="25"/>
      <c r="MMQ47" s="21"/>
      <c r="MMR47" s="21"/>
      <c r="MMV47" s="15"/>
      <c r="MNB47" s="25"/>
      <c r="MNI47" s="21"/>
      <c r="MNJ47" s="21"/>
      <c r="MNN47" s="15"/>
      <c r="MNT47" s="25"/>
      <c r="MOA47" s="21"/>
      <c r="MOB47" s="21"/>
      <c r="MOF47" s="15"/>
      <c r="MOL47" s="25"/>
      <c r="MOS47" s="21"/>
      <c r="MOT47" s="21"/>
      <c r="MOX47" s="15"/>
      <c r="MPD47" s="25"/>
      <c r="MPK47" s="21"/>
      <c r="MPL47" s="21"/>
      <c r="MPP47" s="15"/>
      <c r="MPV47" s="25"/>
      <c r="MQC47" s="21"/>
      <c r="MQD47" s="21"/>
      <c r="MQH47" s="15"/>
      <c r="MQN47" s="25"/>
      <c r="MQU47" s="21"/>
      <c r="MQV47" s="21"/>
      <c r="MQZ47" s="15"/>
      <c r="MRF47" s="25"/>
      <c r="MRM47" s="21"/>
      <c r="MRN47" s="21"/>
      <c r="MRR47" s="15"/>
      <c r="MRX47" s="25"/>
      <c r="MSE47" s="21"/>
      <c r="MSF47" s="21"/>
      <c r="MSJ47" s="15"/>
      <c r="MSP47" s="25"/>
      <c r="MSW47" s="21"/>
      <c r="MSX47" s="21"/>
      <c r="MTB47" s="15"/>
      <c r="MTH47" s="25"/>
      <c r="MTO47" s="21"/>
      <c r="MTP47" s="21"/>
      <c r="MTT47" s="15"/>
      <c r="MTZ47" s="25"/>
      <c r="MUG47" s="21"/>
      <c r="MUH47" s="21"/>
      <c r="MUL47" s="15"/>
      <c r="MUR47" s="25"/>
      <c r="MUY47" s="21"/>
      <c r="MUZ47" s="21"/>
      <c r="MVD47" s="15"/>
      <c r="MVJ47" s="25"/>
      <c r="MVQ47" s="21"/>
      <c r="MVR47" s="21"/>
      <c r="MVV47" s="15"/>
      <c r="MWB47" s="25"/>
      <c r="MWI47" s="21"/>
      <c r="MWJ47" s="21"/>
      <c r="MWN47" s="15"/>
      <c r="MWT47" s="25"/>
      <c r="MXA47" s="21"/>
      <c r="MXB47" s="21"/>
      <c r="MXF47" s="15"/>
      <c r="MXL47" s="25"/>
      <c r="MXS47" s="21"/>
      <c r="MXT47" s="21"/>
      <c r="MXX47" s="15"/>
      <c r="MYD47" s="25"/>
      <c r="MYK47" s="21"/>
      <c r="MYL47" s="21"/>
      <c r="MYP47" s="15"/>
      <c r="MYV47" s="25"/>
      <c r="MZC47" s="21"/>
      <c r="MZD47" s="21"/>
      <c r="MZH47" s="15"/>
      <c r="MZN47" s="25"/>
      <c r="MZU47" s="21"/>
      <c r="MZV47" s="21"/>
      <c r="MZZ47" s="15"/>
      <c r="NAF47" s="25"/>
      <c r="NAM47" s="21"/>
      <c r="NAN47" s="21"/>
      <c r="NAR47" s="15"/>
      <c r="NAX47" s="25"/>
      <c r="NBE47" s="21"/>
      <c r="NBF47" s="21"/>
      <c r="NBJ47" s="15"/>
      <c r="NBP47" s="25"/>
      <c r="NBW47" s="21"/>
      <c r="NBX47" s="21"/>
      <c r="NCB47" s="15"/>
      <c r="NCH47" s="25"/>
      <c r="NCO47" s="21"/>
      <c r="NCP47" s="21"/>
      <c r="NCT47" s="15"/>
      <c r="NCZ47" s="25"/>
      <c r="NDG47" s="21"/>
      <c r="NDH47" s="21"/>
      <c r="NDL47" s="15"/>
      <c r="NDR47" s="25"/>
      <c r="NDY47" s="21"/>
      <c r="NDZ47" s="21"/>
      <c r="NED47" s="15"/>
      <c r="NEJ47" s="25"/>
      <c r="NEQ47" s="21"/>
      <c r="NER47" s="21"/>
      <c r="NEV47" s="15"/>
      <c r="NFB47" s="25"/>
      <c r="NFI47" s="21"/>
      <c r="NFJ47" s="21"/>
      <c r="NFN47" s="15"/>
      <c r="NFT47" s="25"/>
      <c r="NGA47" s="21"/>
      <c r="NGB47" s="21"/>
      <c r="NGF47" s="15"/>
      <c r="NGL47" s="25"/>
      <c r="NGS47" s="21"/>
      <c r="NGT47" s="21"/>
      <c r="NGX47" s="15"/>
      <c r="NHD47" s="25"/>
      <c r="NHK47" s="21"/>
      <c r="NHL47" s="21"/>
      <c r="NHP47" s="15"/>
      <c r="NHV47" s="25"/>
      <c r="NIC47" s="21"/>
      <c r="NID47" s="21"/>
      <c r="NIH47" s="15"/>
      <c r="NIN47" s="25"/>
      <c r="NIU47" s="21"/>
      <c r="NIV47" s="21"/>
      <c r="NIZ47" s="15"/>
      <c r="NJF47" s="25"/>
      <c r="NJM47" s="21"/>
      <c r="NJN47" s="21"/>
      <c r="NJR47" s="15"/>
      <c r="NJX47" s="25"/>
      <c r="NKE47" s="21"/>
      <c r="NKF47" s="21"/>
      <c r="NKJ47" s="15"/>
      <c r="NKP47" s="25"/>
      <c r="NKW47" s="21"/>
      <c r="NKX47" s="21"/>
      <c r="NLB47" s="15"/>
      <c r="NLH47" s="25"/>
      <c r="NLO47" s="21"/>
      <c r="NLP47" s="21"/>
      <c r="NLT47" s="15"/>
      <c r="NLZ47" s="25"/>
      <c r="NMG47" s="21"/>
      <c r="NMH47" s="21"/>
      <c r="NML47" s="15"/>
      <c r="NMR47" s="25"/>
      <c r="NMY47" s="21"/>
      <c r="NMZ47" s="21"/>
      <c r="NND47" s="15"/>
      <c r="NNJ47" s="25"/>
      <c r="NNQ47" s="21"/>
      <c r="NNR47" s="21"/>
      <c r="NNV47" s="15"/>
      <c r="NOB47" s="25"/>
      <c r="NOI47" s="21"/>
      <c r="NOJ47" s="21"/>
      <c r="NON47" s="15"/>
      <c r="NOT47" s="25"/>
      <c r="NPA47" s="21"/>
      <c r="NPB47" s="21"/>
      <c r="NPF47" s="15"/>
      <c r="NPL47" s="25"/>
      <c r="NPS47" s="21"/>
      <c r="NPT47" s="21"/>
      <c r="NPX47" s="15"/>
      <c r="NQD47" s="25"/>
      <c r="NQK47" s="21"/>
      <c r="NQL47" s="21"/>
      <c r="NQP47" s="15"/>
      <c r="NQV47" s="25"/>
      <c r="NRC47" s="21"/>
      <c r="NRD47" s="21"/>
      <c r="NRH47" s="15"/>
      <c r="NRN47" s="25"/>
      <c r="NRU47" s="21"/>
      <c r="NRV47" s="21"/>
      <c r="NRZ47" s="15"/>
      <c r="NSF47" s="25"/>
      <c r="NSM47" s="21"/>
      <c r="NSN47" s="21"/>
      <c r="NSR47" s="15"/>
      <c r="NSX47" s="25"/>
      <c r="NTE47" s="21"/>
      <c r="NTF47" s="21"/>
      <c r="NTJ47" s="15"/>
      <c r="NTP47" s="25"/>
      <c r="NTW47" s="21"/>
      <c r="NTX47" s="21"/>
      <c r="NUB47" s="15"/>
      <c r="NUH47" s="25"/>
      <c r="NUO47" s="21"/>
      <c r="NUP47" s="21"/>
      <c r="NUT47" s="15"/>
      <c r="NUZ47" s="25"/>
      <c r="NVG47" s="21"/>
      <c r="NVH47" s="21"/>
      <c r="NVL47" s="15"/>
      <c r="NVR47" s="25"/>
      <c r="NVY47" s="21"/>
      <c r="NVZ47" s="21"/>
      <c r="NWD47" s="15"/>
      <c r="NWJ47" s="25"/>
      <c r="NWQ47" s="21"/>
      <c r="NWR47" s="21"/>
      <c r="NWV47" s="15"/>
      <c r="NXB47" s="25"/>
      <c r="NXI47" s="21"/>
      <c r="NXJ47" s="21"/>
      <c r="NXN47" s="15"/>
      <c r="NXT47" s="25"/>
      <c r="NYA47" s="21"/>
      <c r="NYB47" s="21"/>
      <c r="NYF47" s="15"/>
      <c r="NYL47" s="25"/>
      <c r="NYS47" s="21"/>
      <c r="NYT47" s="21"/>
      <c r="NYX47" s="15"/>
      <c r="NZD47" s="25"/>
      <c r="NZK47" s="21"/>
      <c r="NZL47" s="21"/>
      <c r="NZP47" s="15"/>
      <c r="NZV47" s="25"/>
      <c r="OAC47" s="21"/>
      <c r="OAD47" s="21"/>
      <c r="OAH47" s="15"/>
      <c r="OAN47" s="25"/>
      <c r="OAU47" s="21"/>
      <c r="OAV47" s="21"/>
      <c r="OAZ47" s="15"/>
      <c r="OBF47" s="25"/>
      <c r="OBM47" s="21"/>
      <c r="OBN47" s="21"/>
      <c r="OBR47" s="15"/>
      <c r="OBX47" s="25"/>
      <c r="OCE47" s="21"/>
      <c r="OCF47" s="21"/>
      <c r="OCJ47" s="15"/>
      <c r="OCP47" s="25"/>
      <c r="OCW47" s="21"/>
      <c r="OCX47" s="21"/>
      <c r="ODB47" s="15"/>
      <c r="ODH47" s="25"/>
      <c r="ODO47" s="21"/>
      <c r="ODP47" s="21"/>
      <c r="ODT47" s="15"/>
      <c r="ODZ47" s="25"/>
      <c r="OEG47" s="21"/>
      <c r="OEH47" s="21"/>
      <c r="OEL47" s="15"/>
      <c r="OER47" s="25"/>
      <c r="OEY47" s="21"/>
      <c r="OEZ47" s="21"/>
      <c r="OFD47" s="15"/>
      <c r="OFJ47" s="25"/>
      <c r="OFQ47" s="21"/>
      <c r="OFR47" s="21"/>
      <c r="OFV47" s="15"/>
      <c r="OGB47" s="25"/>
      <c r="OGI47" s="21"/>
      <c r="OGJ47" s="21"/>
      <c r="OGN47" s="15"/>
      <c r="OGT47" s="25"/>
      <c r="OHA47" s="21"/>
      <c r="OHB47" s="21"/>
      <c r="OHF47" s="15"/>
      <c r="OHL47" s="25"/>
      <c r="OHS47" s="21"/>
      <c r="OHT47" s="21"/>
      <c r="OHX47" s="15"/>
      <c r="OID47" s="25"/>
      <c r="OIK47" s="21"/>
      <c r="OIL47" s="21"/>
      <c r="OIP47" s="15"/>
      <c r="OIV47" s="25"/>
      <c r="OJC47" s="21"/>
      <c r="OJD47" s="21"/>
      <c r="OJH47" s="15"/>
      <c r="OJN47" s="25"/>
      <c r="OJU47" s="21"/>
      <c r="OJV47" s="21"/>
      <c r="OJZ47" s="15"/>
      <c r="OKF47" s="25"/>
      <c r="OKM47" s="21"/>
      <c r="OKN47" s="21"/>
      <c r="OKR47" s="15"/>
      <c r="OKX47" s="25"/>
      <c r="OLE47" s="21"/>
      <c r="OLF47" s="21"/>
      <c r="OLJ47" s="15"/>
      <c r="OLP47" s="25"/>
      <c r="OLW47" s="21"/>
      <c r="OLX47" s="21"/>
      <c r="OMB47" s="15"/>
      <c r="OMH47" s="25"/>
      <c r="OMO47" s="21"/>
      <c r="OMP47" s="21"/>
      <c r="OMT47" s="15"/>
      <c r="OMZ47" s="25"/>
      <c r="ONG47" s="21"/>
      <c r="ONH47" s="21"/>
      <c r="ONL47" s="15"/>
      <c r="ONR47" s="25"/>
      <c r="ONY47" s="21"/>
      <c r="ONZ47" s="21"/>
      <c r="OOD47" s="15"/>
      <c r="OOJ47" s="25"/>
      <c r="OOQ47" s="21"/>
      <c r="OOR47" s="21"/>
      <c r="OOV47" s="15"/>
      <c r="OPB47" s="25"/>
      <c r="OPI47" s="21"/>
      <c r="OPJ47" s="21"/>
      <c r="OPN47" s="15"/>
      <c r="OPT47" s="25"/>
      <c r="OQA47" s="21"/>
      <c r="OQB47" s="21"/>
      <c r="OQF47" s="15"/>
      <c r="OQL47" s="25"/>
      <c r="OQS47" s="21"/>
      <c r="OQT47" s="21"/>
      <c r="OQX47" s="15"/>
      <c r="ORD47" s="25"/>
      <c r="ORK47" s="21"/>
      <c r="ORL47" s="21"/>
      <c r="ORP47" s="15"/>
      <c r="ORV47" s="25"/>
      <c r="OSC47" s="21"/>
      <c r="OSD47" s="21"/>
      <c r="OSH47" s="15"/>
      <c r="OSN47" s="25"/>
      <c r="OSU47" s="21"/>
      <c r="OSV47" s="21"/>
      <c r="OSZ47" s="15"/>
      <c r="OTF47" s="25"/>
      <c r="OTM47" s="21"/>
      <c r="OTN47" s="21"/>
      <c r="OTR47" s="15"/>
      <c r="OTX47" s="25"/>
      <c r="OUE47" s="21"/>
      <c r="OUF47" s="21"/>
      <c r="OUJ47" s="15"/>
      <c r="OUP47" s="25"/>
      <c r="OUW47" s="21"/>
      <c r="OUX47" s="21"/>
      <c r="OVB47" s="15"/>
      <c r="OVH47" s="25"/>
      <c r="OVO47" s="21"/>
      <c r="OVP47" s="21"/>
      <c r="OVT47" s="15"/>
      <c r="OVZ47" s="25"/>
      <c r="OWG47" s="21"/>
      <c r="OWH47" s="21"/>
      <c r="OWL47" s="15"/>
      <c r="OWR47" s="25"/>
      <c r="OWY47" s="21"/>
      <c r="OWZ47" s="21"/>
      <c r="OXD47" s="15"/>
      <c r="OXJ47" s="25"/>
      <c r="OXQ47" s="21"/>
      <c r="OXR47" s="21"/>
      <c r="OXV47" s="15"/>
      <c r="OYB47" s="25"/>
      <c r="OYI47" s="21"/>
      <c r="OYJ47" s="21"/>
      <c r="OYN47" s="15"/>
      <c r="OYT47" s="25"/>
      <c r="OZA47" s="21"/>
      <c r="OZB47" s="21"/>
      <c r="OZF47" s="15"/>
      <c r="OZL47" s="25"/>
      <c r="OZS47" s="21"/>
      <c r="OZT47" s="21"/>
      <c r="OZX47" s="15"/>
      <c r="PAD47" s="25"/>
      <c r="PAK47" s="21"/>
      <c r="PAL47" s="21"/>
      <c r="PAP47" s="15"/>
      <c r="PAV47" s="25"/>
      <c r="PBC47" s="21"/>
      <c r="PBD47" s="21"/>
      <c r="PBH47" s="15"/>
      <c r="PBN47" s="25"/>
      <c r="PBU47" s="21"/>
      <c r="PBV47" s="21"/>
      <c r="PBZ47" s="15"/>
      <c r="PCF47" s="25"/>
      <c r="PCM47" s="21"/>
      <c r="PCN47" s="21"/>
      <c r="PCR47" s="15"/>
      <c r="PCX47" s="25"/>
      <c r="PDE47" s="21"/>
      <c r="PDF47" s="21"/>
      <c r="PDJ47" s="15"/>
      <c r="PDP47" s="25"/>
      <c r="PDW47" s="21"/>
      <c r="PDX47" s="21"/>
      <c r="PEB47" s="15"/>
      <c r="PEH47" s="25"/>
      <c r="PEO47" s="21"/>
      <c r="PEP47" s="21"/>
      <c r="PET47" s="15"/>
      <c r="PEZ47" s="25"/>
      <c r="PFG47" s="21"/>
      <c r="PFH47" s="21"/>
      <c r="PFL47" s="15"/>
      <c r="PFR47" s="25"/>
      <c r="PFY47" s="21"/>
      <c r="PFZ47" s="21"/>
      <c r="PGD47" s="15"/>
      <c r="PGJ47" s="25"/>
      <c r="PGQ47" s="21"/>
      <c r="PGR47" s="21"/>
      <c r="PGV47" s="15"/>
      <c r="PHB47" s="25"/>
      <c r="PHI47" s="21"/>
      <c r="PHJ47" s="21"/>
      <c r="PHN47" s="15"/>
      <c r="PHT47" s="25"/>
      <c r="PIA47" s="21"/>
      <c r="PIB47" s="21"/>
      <c r="PIF47" s="15"/>
      <c r="PIL47" s="25"/>
      <c r="PIS47" s="21"/>
      <c r="PIT47" s="21"/>
      <c r="PIX47" s="15"/>
      <c r="PJD47" s="25"/>
      <c r="PJK47" s="21"/>
      <c r="PJL47" s="21"/>
      <c r="PJP47" s="15"/>
      <c r="PJV47" s="25"/>
      <c r="PKC47" s="21"/>
      <c r="PKD47" s="21"/>
      <c r="PKH47" s="15"/>
      <c r="PKN47" s="25"/>
      <c r="PKU47" s="21"/>
      <c r="PKV47" s="21"/>
      <c r="PKZ47" s="15"/>
      <c r="PLF47" s="25"/>
      <c r="PLM47" s="21"/>
      <c r="PLN47" s="21"/>
      <c r="PLR47" s="15"/>
      <c r="PLX47" s="25"/>
      <c r="PME47" s="21"/>
      <c r="PMF47" s="21"/>
      <c r="PMJ47" s="15"/>
      <c r="PMP47" s="25"/>
      <c r="PMW47" s="21"/>
      <c r="PMX47" s="21"/>
      <c r="PNB47" s="15"/>
      <c r="PNH47" s="25"/>
      <c r="PNO47" s="21"/>
      <c r="PNP47" s="21"/>
      <c r="PNT47" s="15"/>
      <c r="PNZ47" s="25"/>
      <c r="POG47" s="21"/>
      <c r="POH47" s="21"/>
      <c r="POL47" s="15"/>
      <c r="POR47" s="25"/>
      <c r="POY47" s="21"/>
      <c r="POZ47" s="21"/>
      <c r="PPD47" s="15"/>
      <c r="PPJ47" s="25"/>
      <c r="PPQ47" s="21"/>
      <c r="PPR47" s="21"/>
      <c r="PPV47" s="15"/>
      <c r="PQB47" s="25"/>
      <c r="PQI47" s="21"/>
      <c r="PQJ47" s="21"/>
      <c r="PQN47" s="15"/>
      <c r="PQT47" s="25"/>
      <c r="PRA47" s="21"/>
      <c r="PRB47" s="21"/>
      <c r="PRF47" s="15"/>
      <c r="PRL47" s="25"/>
      <c r="PRS47" s="21"/>
      <c r="PRT47" s="21"/>
      <c r="PRX47" s="15"/>
      <c r="PSD47" s="25"/>
      <c r="PSK47" s="21"/>
      <c r="PSL47" s="21"/>
      <c r="PSP47" s="15"/>
      <c r="PSV47" s="25"/>
      <c r="PTC47" s="21"/>
      <c r="PTD47" s="21"/>
      <c r="PTH47" s="15"/>
      <c r="PTN47" s="25"/>
      <c r="PTU47" s="21"/>
      <c r="PTV47" s="21"/>
      <c r="PTZ47" s="15"/>
      <c r="PUF47" s="25"/>
      <c r="PUM47" s="21"/>
      <c r="PUN47" s="21"/>
      <c r="PUR47" s="15"/>
      <c r="PUX47" s="25"/>
      <c r="PVE47" s="21"/>
      <c r="PVF47" s="21"/>
      <c r="PVJ47" s="15"/>
      <c r="PVP47" s="25"/>
      <c r="PVW47" s="21"/>
      <c r="PVX47" s="21"/>
      <c r="PWB47" s="15"/>
      <c r="PWH47" s="25"/>
      <c r="PWO47" s="21"/>
      <c r="PWP47" s="21"/>
      <c r="PWT47" s="15"/>
      <c r="PWZ47" s="25"/>
      <c r="PXG47" s="21"/>
      <c r="PXH47" s="21"/>
      <c r="PXL47" s="15"/>
      <c r="PXR47" s="25"/>
      <c r="PXY47" s="21"/>
      <c r="PXZ47" s="21"/>
      <c r="PYD47" s="15"/>
      <c r="PYJ47" s="25"/>
      <c r="PYQ47" s="21"/>
      <c r="PYR47" s="21"/>
      <c r="PYV47" s="15"/>
      <c r="PZB47" s="25"/>
      <c r="PZI47" s="21"/>
      <c r="PZJ47" s="21"/>
      <c r="PZN47" s="15"/>
      <c r="PZT47" s="25"/>
      <c r="QAA47" s="21"/>
      <c r="QAB47" s="21"/>
      <c r="QAF47" s="15"/>
      <c r="QAL47" s="25"/>
      <c r="QAS47" s="21"/>
      <c r="QAT47" s="21"/>
      <c r="QAX47" s="15"/>
      <c r="QBD47" s="25"/>
      <c r="QBK47" s="21"/>
      <c r="QBL47" s="21"/>
      <c r="QBP47" s="15"/>
      <c r="QBV47" s="25"/>
      <c r="QCC47" s="21"/>
      <c r="QCD47" s="21"/>
      <c r="QCH47" s="15"/>
      <c r="QCN47" s="25"/>
      <c r="QCU47" s="21"/>
      <c r="QCV47" s="21"/>
      <c r="QCZ47" s="15"/>
      <c r="QDF47" s="25"/>
      <c r="QDM47" s="21"/>
      <c r="QDN47" s="21"/>
      <c r="QDR47" s="15"/>
      <c r="QDX47" s="25"/>
      <c r="QEE47" s="21"/>
      <c r="QEF47" s="21"/>
      <c r="QEJ47" s="15"/>
      <c r="QEP47" s="25"/>
      <c r="QEW47" s="21"/>
      <c r="QEX47" s="21"/>
      <c r="QFB47" s="15"/>
      <c r="QFH47" s="25"/>
      <c r="QFO47" s="21"/>
      <c r="QFP47" s="21"/>
      <c r="QFT47" s="15"/>
      <c r="QFZ47" s="25"/>
      <c r="QGG47" s="21"/>
      <c r="QGH47" s="21"/>
      <c r="QGL47" s="15"/>
      <c r="QGR47" s="25"/>
      <c r="QGY47" s="21"/>
      <c r="QGZ47" s="21"/>
      <c r="QHD47" s="15"/>
      <c r="QHJ47" s="25"/>
      <c r="QHQ47" s="21"/>
      <c r="QHR47" s="21"/>
      <c r="QHV47" s="15"/>
      <c r="QIB47" s="25"/>
      <c r="QII47" s="21"/>
      <c r="QIJ47" s="21"/>
      <c r="QIN47" s="15"/>
      <c r="QIT47" s="25"/>
      <c r="QJA47" s="21"/>
      <c r="QJB47" s="21"/>
      <c r="QJF47" s="15"/>
      <c r="QJL47" s="25"/>
      <c r="QJS47" s="21"/>
      <c r="QJT47" s="21"/>
      <c r="QJX47" s="15"/>
      <c r="QKD47" s="25"/>
      <c r="QKK47" s="21"/>
      <c r="QKL47" s="21"/>
      <c r="QKP47" s="15"/>
      <c r="QKV47" s="25"/>
      <c r="QLC47" s="21"/>
      <c r="QLD47" s="21"/>
      <c r="QLH47" s="15"/>
      <c r="QLN47" s="25"/>
      <c r="QLU47" s="21"/>
      <c r="QLV47" s="21"/>
      <c r="QLZ47" s="15"/>
      <c r="QMF47" s="25"/>
      <c r="QMM47" s="21"/>
      <c r="QMN47" s="21"/>
      <c r="QMR47" s="15"/>
      <c r="QMX47" s="25"/>
      <c r="QNE47" s="21"/>
      <c r="QNF47" s="21"/>
      <c r="QNJ47" s="15"/>
      <c r="QNP47" s="25"/>
      <c r="QNW47" s="21"/>
      <c r="QNX47" s="21"/>
      <c r="QOB47" s="15"/>
      <c r="QOH47" s="25"/>
      <c r="QOO47" s="21"/>
      <c r="QOP47" s="21"/>
      <c r="QOT47" s="15"/>
      <c r="QOZ47" s="25"/>
      <c r="QPG47" s="21"/>
      <c r="QPH47" s="21"/>
      <c r="QPL47" s="15"/>
      <c r="QPR47" s="25"/>
      <c r="QPY47" s="21"/>
      <c r="QPZ47" s="21"/>
      <c r="QQD47" s="15"/>
      <c r="QQJ47" s="25"/>
      <c r="QQQ47" s="21"/>
      <c r="QQR47" s="21"/>
      <c r="QQV47" s="15"/>
      <c r="QRB47" s="25"/>
      <c r="QRI47" s="21"/>
      <c r="QRJ47" s="21"/>
      <c r="QRN47" s="15"/>
      <c r="QRT47" s="25"/>
      <c r="QSA47" s="21"/>
      <c r="QSB47" s="21"/>
      <c r="QSF47" s="15"/>
      <c r="QSL47" s="25"/>
      <c r="QSS47" s="21"/>
      <c r="QST47" s="21"/>
      <c r="QSX47" s="15"/>
      <c r="QTD47" s="25"/>
      <c r="QTK47" s="21"/>
      <c r="QTL47" s="21"/>
      <c r="QTP47" s="15"/>
      <c r="QTV47" s="25"/>
      <c r="QUC47" s="21"/>
      <c r="QUD47" s="21"/>
      <c r="QUH47" s="15"/>
      <c r="QUN47" s="25"/>
      <c r="QUU47" s="21"/>
      <c r="QUV47" s="21"/>
      <c r="QUZ47" s="15"/>
      <c r="QVF47" s="25"/>
      <c r="QVM47" s="21"/>
      <c r="QVN47" s="21"/>
      <c r="QVR47" s="15"/>
      <c r="QVX47" s="25"/>
      <c r="QWE47" s="21"/>
      <c r="QWF47" s="21"/>
      <c r="QWJ47" s="15"/>
      <c r="QWP47" s="25"/>
      <c r="QWW47" s="21"/>
      <c r="QWX47" s="21"/>
      <c r="QXB47" s="15"/>
      <c r="QXH47" s="25"/>
      <c r="QXO47" s="21"/>
      <c r="QXP47" s="21"/>
      <c r="QXT47" s="15"/>
      <c r="QXZ47" s="25"/>
      <c r="QYG47" s="21"/>
      <c r="QYH47" s="21"/>
      <c r="QYL47" s="15"/>
      <c r="QYR47" s="25"/>
      <c r="QYY47" s="21"/>
      <c r="QYZ47" s="21"/>
      <c r="QZD47" s="15"/>
      <c r="QZJ47" s="25"/>
      <c r="QZQ47" s="21"/>
      <c r="QZR47" s="21"/>
      <c r="QZV47" s="15"/>
      <c r="RAB47" s="25"/>
      <c r="RAI47" s="21"/>
      <c r="RAJ47" s="21"/>
      <c r="RAN47" s="15"/>
      <c r="RAT47" s="25"/>
      <c r="RBA47" s="21"/>
      <c r="RBB47" s="21"/>
      <c r="RBF47" s="15"/>
      <c r="RBL47" s="25"/>
      <c r="RBS47" s="21"/>
      <c r="RBT47" s="21"/>
      <c r="RBX47" s="15"/>
      <c r="RCD47" s="25"/>
      <c r="RCK47" s="21"/>
      <c r="RCL47" s="21"/>
      <c r="RCP47" s="15"/>
      <c r="RCV47" s="25"/>
      <c r="RDC47" s="21"/>
      <c r="RDD47" s="21"/>
      <c r="RDH47" s="15"/>
      <c r="RDN47" s="25"/>
      <c r="RDU47" s="21"/>
      <c r="RDV47" s="21"/>
      <c r="RDZ47" s="15"/>
      <c r="REF47" s="25"/>
      <c r="REM47" s="21"/>
      <c r="REN47" s="21"/>
      <c r="RER47" s="15"/>
      <c r="REX47" s="25"/>
      <c r="RFE47" s="21"/>
      <c r="RFF47" s="21"/>
      <c r="RFJ47" s="15"/>
      <c r="RFP47" s="25"/>
      <c r="RFW47" s="21"/>
      <c r="RFX47" s="21"/>
      <c r="RGB47" s="15"/>
      <c r="RGH47" s="25"/>
      <c r="RGO47" s="21"/>
      <c r="RGP47" s="21"/>
      <c r="RGT47" s="15"/>
      <c r="RGZ47" s="25"/>
      <c r="RHG47" s="21"/>
      <c r="RHH47" s="21"/>
      <c r="RHL47" s="15"/>
      <c r="RHR47" s="25"/>
      <c r="RHY47" s="21"/>
      <c r="RHZ47" s="21"/>
      <c r="RID47" s="15"/>
      <c r="RIJ47" s="25"/>
      <c r="RIQ47" s="21"/>
      <c r="RIR47" s="21"/>
      <c r="RIV47" s="15"/>
      <c r="RJB47" s="25"/>
      <c r="RJI47" s="21"/>
      <c r="RJJ47" s="21"/>
      <c r="RJN47" s="15"/>
      <c r="RJT47" s="25"/>
      <c r="RKA47" s="21"/>
      <c r="RKB47" s="21"/>
      <c r="RKF47" s="15"/>
      <c r="RKL47" s="25"/>
      <c r="RKS47" s="21"/>
      <c r="RKT47" s="21"/>
      <c r="RKX47" s="15"/>
      <c r="RLD47" s="25"/>
      <c r="RLK47" s="21"/>
      <c r="RLL47" s="21"/>
      <c r="RLP47" s="15"/>
      <c r="RLV47" s="25"/>
      <c r="RMC47" s="21"/>
      <c r="RMD47" s="21"/>
      <c r="RMH47" s="15"/>
      <c r="RMN47" s="25"/>
      <c r="RMU47" s="21"/>
      <c r="RMV47" s="21"/>
      <c r="RMZ47" s="15"/>
      <c r="RNF47" s="25"/>
      <c r="RNM47" s="21"/>
      <c r="RNN47" s="21"/>
      <c r="RNR47" s="15"/>
      <c r="RNX47" s="25"/>
      <c r="ROE47" s="21"/>
      <c r="ROF47" s="21"/>
      <c r="ROJ47" s="15"/>
      <c r="ROP47" s="25"/>
      <c r="ROW47" s="21"/>
      <c r="ROX47" s="21"/>
      <c r="RPB47" s="15"/>
      <c r="RPH47" s="25"/>
      <c r="RPO47" s="21"/>
      <c r="RPP47" s="21"/>
      <c r="RPT47" s="15"/>
      <c r="RPZ47" s="25"/>
      <c r="RQG47" s="21"/>
      <c r="RQH47" s="21"/>
      <c r="RQL47" s="15"/>
      <c r="RQR47" s="25"/>
      <c r="RQY47" s="21"/>
      <c r="RQZ47" s="21"/>
      <c r="RRD47" s="15"/>
      <c r="RRJ47" s="25"/>
      <c r="RRQ47" s="21"/>
      <c r="RRR47" s="21"/>
      <c r="RRV47" s="15"/>
      <c r="RSB47" s="25"/>
      <c r="RSI47" s="21"/>
      <c r="RSJ47" s="21"/>
      <c r="RSN47" s="15"/>
      <c r="RST47" s="25"/>
      <c r="RTA47" s="21"/>
      <c r="RTB47" s="21"/>
      <c r="RTF47" s="15"/>
      <c r="RTL47" s="25"/>
      <c r="RTS47" s="21"/>
      <c r="RTT47" s="21"/>
      <c r="RTX47" s="15"/>
      <c r="RUD47" s="25"/>
      <c r="RUK47" s="21"/>
      <c r="RUL47" s="21"/>
      <c r="RUP47" s="15"/>
      <c r="RUV47" s="25"/>
      <c r="RVC47" s="21"/>
      <c r="RVD47" s="21"/>
      <c r="RVH47" s="15"/>
      <c r="RVN47" s="25"/>
      <c r="RVU47" s="21"/>
      <c r="RVV47" s="21"/>
      <c r="RVZ47" s="15"/>
      <c r="RWF47" s="25"/>
      <c r="RWM47" s="21"/>
      <c r="RWN47" s="21"/>
      <c r="RWR47" s="15"/>
      <c r="RWX47" s="25"/>
      <c r="RXE47" s="21"/>
      <c r="RXF47" s="21"/>
      <c r="RXJ47" s="15"/>
      <c r="RXP47" s="25"/>
      <c r="RXW47" s="21"/>
      <c r="RXX47" s="21"/>
      <c r="RYB47" s="15"/>
      <c r="RYH47" s="25"/>
      <c r="RYO47" s="21"/>
      <c r="RYP47" s="21"/>
      <c r="RYT47" s="15"/>
      <c r="RYZ47" s="25"/>
      <c r="RZG47" s="21"/>
      <c r="RZH47" s="21"/>
      <c r="RZL47" s="15"/>
      <c r="RZR47" s="25"/>
      <c r="RZY47" s="21"/>
      <c r="RZZ47" s="21"/>
      <c r="SAD47" s="15"/>
      <c r="SAJ47" s="25"/>
      <c r="SAQ47" s="21"/>
      <c r="SAR47" s="21"/>
      <c r="SAV47" s="15"/>
      <c r="SBB47" s="25"/>
      <c r="SBI47" s="21"/>
      <c r="SBJ47" s="21"/>
      <c r="SBN47" s="15"/>
      <c r="SBT47" s="25"/>
      <c r="SCA47" s="21"/>
      <c r="SCB47" s="21"/>
      <c r="SCF47" s="15"/>
      <c r="SCL47" s="25"/>
      <c r="SCS47" s="21"/>
      <c r="SCT47" s="21"/>
      <c r="SCX47" s="15"/>
      <c r="SDD47" s="25"/>
      <c r="SDK47" s="21"/>
      <c r="SDL47" s="21"/>
      <c r="SDP47" s="15"/>
      <c r="SDV47" s="25"/>
      <c r="SEC47" s="21"/>
      <c r="SED47" s="21"/>
      <c r="SEH47" s="15"/>
      <c r="SEN47" s="25"/>
      <c r="SEU47" s="21"/>
      <c r="SEV47" s="21"/>
      <c r="SEZ47" s="15"/>
      <c r="SFF47" s="25"/>
      <c r="SFM47" s="21"/>
      <c r="SFN47" s="21"/>
      <c r="SFR47" s="15"/>
      <c r="SFX47" s="25"/>
      <c r="SGE47" s="21"/>
      <c r="SGF47" s="21"/>
      <c r="SGJ47" s="15"/>
      <c r="SGP47" s="25"/>
      <c r="SGW47" s="21"/>
      <c r="SGX47" s="21"/>
      <c r="SHB47" s="15"/>
      <c r="SHH47" s="25"/>
      <c r="SHO47" s="21"/>
      <c r="SHP47" s="21"/>
      <c r="SHT47" s="15"/>
      <c r="SHZ47" s="25"/>
      <c r="SIG47" s="21"/>
      <c r="SIH47" s="21"/>
      <c r="SIL47" s="15"/>
      <c r="SIR47" s="25"/>
      <c r="SIY47" s="21"/>
      <c r="SIZ47" s="21"/>
      <c r="SJD47" s="15"/>
      <c r="SJJ47" s="25"/>
      <c r="SJQ47" s="21"/>
      <c r="SJR47" s="21"/>
      <c r="SJV47" s="15"/>
      <c r="SKB47" s="25"/>
      <c r="SKI47" s="21"/>
      <c r="SKJ47" s="21"/>
      <c r="SKN47" s="15"/>
      <c r="SKT47" s="25"/>
      <c r="SLA47" s="21"/>
      <c r="SLB47" s="21"/>
      <c r="SLF47" s="15"/>
      <c r="SLL47" s="25"/>
      <c r="SLS47" s="21"/>
      <c r="SLT47" s="21"/>
      <c r="SLX47" s="15"/>
      <c r="SMD47" s="25"/>
      <c r="SMK47" s="21"/>
      <c r="SML47" s="21"/>
      <c r="SMP47" s="15"/>
      <c r="SMV47" s="25"/>
      <c r="SNC47" s="21"/>
      <c r="SND47" s="21"/>
      <c r="SNH47" s="15"/>
      <c r="SNN47" s="25"/>
      <c r="SNU47" s="21"/>
      <c r="SNV47" s="21"/>
      <c r="SNZ47" s="15"/>
      <c r="SOF47" s="25"/>
      <c r="SOM47" s="21"/>
      <c r="SON47" s="21"/>
      <c r="SOR47" s="15"/>
      <c r="SOX47" s="25"/>
      <c r="SPE47" s="21"/>
      <c r="SPF47" s="21"/>
      <c r="SPJ47" s="15"/>
      <c r="SPP47" s="25"/>
      <c r="SPW47" s="21"/>
      <c r="SPX47" s="21"/>
      <c r="SQB47" s="15"/>
      <c r="SQH47" s="25"/>
      <c r="SQO47" s="21"/>
      <c r="SQP47" s="21"/>
      <c r="SQT47" s="15"/>
      <c r="SQZ47" s="25"/>
      <c r="SRG47" s="21"/>
      <c r="SRH47" s="21"/>
      <c r="SRL47" s="15"/>
      <c r="SRR47" s="25"/>
      <c r="SRY47" s="21"/>
      <c r="SRZ47" s="21"/>
      <c r="SSD47" s="15"/>
      <c r="SSJ47" s="25"/>
      <c r="SSQ47" s="21"/>
      <c r="SSR47" s="21"/>
      <c r="SSV47" s="15"/>
      <c r="STB47" s="25"/>
      <c r="STI47" s="21"/>
      <c r="STJ47" s="21"/>
      <c r="STN47" s="15"/>
      <c r="STT47" s="25"/>
      <c r="SUA47" s="21"/>
      <c r="SUB47" s="21"/>
      <c r="SUF47" s="15"/>
      <c r="SUL47" s="25"/>
      <c r="SUS47" s="21"/>
      <c r="SUT47" s="21"/>
      <c r="SUX47" s="15"/>
      <c r="SVD47" s="25"/>
      <c r="SVK47" s="21"/>
      <c r="SVL47" s="21"/>
      <c r="SVP47" s="15"/>
      <c r="SVV47" s="25"/>
      <c r="SWC47" s="21"/>
      <c r="SWD47" s="21"/>
      <c r="SWH47" s="15"/>
      <c r="SWN47" s="25"/>
      <c r="SWU47" s="21"/>
      <c r="SWV47" s="21"/>
      <c r="SWZ47" s="15"/>
      <c r="SXF47" s="25"/>
      <c r="SXM47" s="21"/>
      <c r="SXN47" s="21"/>
      <c r="SXR47" s="15"/>
      <c r="SXX47" s="25"/>
      <c r="SYE47" s="21"/>
      <c r="SYF47" s="21"/>
      <c r="SYJ47" s="15"/>
      <c r="SYP47" s="25"/>
      <c r="SYW47" s="21"/>
      <c r="SYX47" s="21"/>
      <c r="SZB47" s="15"/>
      <c r="SZH47" s="25"/>
      <c r="SZO47" s="21"/>
      <c r="SZP47" s="21"/>
      <c r="SZT47" s="15"/>
      <c r="SZZ47" s="25"/>
      <c r="TAG47" s="21"/>
      <c r="TAH47" s="21"/>
      <c r="TAL47" s="15"/>
      <c r="TAR47" s="25"/>
      <c r="TAY47" s="21"/>
      <c r="TAZ47" s="21"/>
      <c r="TBD47" s="15"/>
      <c r="TBJ47" s="25"/>
      <c r="TBQ47" s="21"/>
      <c r="TBR47" s="21"/>
      <c r="TBV47" s="15"/>
      <c r="TCB47" s="25"/>
      <c r="TCI47" s="21"/>
      <c r="TCJ47" s="21"/>
      <c r="TCN47" s="15"/>
      <c r="TCT47" s="25"/>
      <c r="TDA47" s="21"/>
      <c r="TDB47" s="21"/>
      <c r="TDF47" s="15"/>
      <c r="TDL47" s="25"/>
      <c r="TDS47" s="21"/>
      <c r="TDT47" s="21"/>
      <c r="TDX47" s="15"/>
      <c r="TED47" s="25"/>
      <c r="TEK47" s="21"/>
      <c r="TEL47" s="21"/>
      <c r="TEP47" s="15"/>
      <c r="TEV47" s="25"/>
      <c r="TFC47" s="21"/>
      <c r="TFD47" s="21"/>
      <c r="TFH47" s="15"/>
      <c r="TFN47" s="25"/>
      <c r="TFU47" s="21"/>
      <c r="TFV47" s="21"/>
      <c r="TFZ47" s="15"/>
      <c r="TGF47" s="25"/>
      <c r="TGM47" s="21"/>
      <c r="TGN47" s="21"/>
      <c r="TGR47" s="15"/>
      <c r="TGX47" s="25"/>
      <c r="THE47" s="21"/>
      <c r="THF47" s="21"/>
      <c r="THJ47" s="15"/>
      <c r="THP47" s="25"/>
      <c r="THW47" s="21"/>
      <c r="THX47" s="21"/>
      <c r="TIB47" s="15"/>
      <c r="TIH47" s="25"/>
      <c r="TIO47" s="21"/>
      <c r="TIP47" s="21"/>
      <c r="TIT47" s="15"/>
      <c r="TIZ47" s="25"/>
      <c r="TJG47" s="21"/>
      <c r="TJH47" s="21"/>
      <c r="TJL47" s="15"/>
      <c r="TJR47" s="25"/>
      <c r="TJY47" s="21"/>
      <c r="TJZ47" s="21"/>
      <c r="TKD47" s="15"/>
      <c r="TKJ47" s="25"/>
      <c r="TKQ47" s="21"/>
      <c r="TKR47" s="21"/>
      <c r="TKV47" s="15"/>
      <c r="TLB47" s="25"/>
      <c r="TLI47" s="21"/>
      <c r="TLJ47" s="21"/>
      <c r="TLN47" s="15"/>
      <c r="TLT47" s="25"/>
      <c r="TMA47" s="21"/>
      <c r="TMB47" s="21"/>
      <c r="TMF47" s="15"/>
      <c r="TML47" s="25"/>
      <c r="TMS47" s="21"/>
      <c r="TMT47" s="21"/>
      <c r="TMX47" s="15"/>
      <c r="TND47" s="25"/>
      <c r="TNK47" s="21"/>
      <c r="TNL47" s="21"/>
      <c r="TNP47" s="15"/>
      <c r="TNV47" s="25"/>
      <c r="TOC47" s="21"/>
      <c r="TOD47" s="21"/>
      <c r="TOH47" s="15"/>
      <c r="TON47" s="25"/>
      <c r="TOU47" s="21"/>
      <c r="TOV47" s="21"/>
      <c r="TOZ47" s="15"/>
      <c r="TPF47" s="25"/>
      <c r="TPM47" s="21"/>
      <c r="TPN47" s="21"/>
      <c r="TPR47" s="15"/>
      <c r="TPX47" s="25"/>
      <c r="TQE47" s="21"/>
      <c r="TQF47" s="21"/>
      <c r="TQJ47" s="15"/>
      <c r="TQP47" s="25"/>
      <c r="TQW47" s="21"/>
      <c r="TQX47" s="21"/>
      <c r="TRB47" s="15"/>
      <c r="TRH47" s="25"/>
      <c r="TRO47" s="21"/>
      <c r="TRP47" s="21"/>
      <c r="TRT47" s="15"/>
      <c r="TRZ47" s="25"/>
      <c r="TSG47" s="21"/>
      <c r="TSH47" s="21"/>
      <c r="TSL47" s="15"/>
      <c r="TSR47" s="25"/>
      <c r="TSY47" s="21"/>
      <c r="TSZ47" s="21"/>
      <c r="TTD47" s="15"/>
      <c r="TTJ47" s="25"/>
      <c r="TTQ47" s="21"/>
      <c r="TTR47" s="21"/>
      <c r="TTV47" s="15"/>
      <c r="TUB47" s="25"/>
      <c r="TUI47" s="21"/>
      <c r="TUJ47" s="21"/>
      <c r="TUN47" s="15"/>
      <c r="TUT47" s="25"/>
      <c r="TVA47" s="21"/>
      <c r="TVB47" s="21"/>
      <c r="TVF47" s="15"/>
      <c r="TVL47" s="25"/>
      <c r="TVS47" s="21"/>
      <c r="TVT47" s="21"/>
      <c r="TVX47" s="15"/>
      <c r="TWD47" s="25"/>
      <c r="TWK47" s="21"/>
      <c r="TWL47" s="21"/>
      <c r="TWP47" s="15"/>
      <c r="TWV47" s="25"/>
      <c r="TXC47" s="21"/>
      <c r="TXD47" s="21"/>
      <c r="TXH47" s="15"/>
      <c r="TXN47" s="25"/>
      <c r="TXU47" s="21"/>
      <c r="TXV47" s="21"/>
      <c r="TXZ47" s="15"/>
      <c r="TYF47" s="25"/>
      <c r="TYM47" s="21"/>
      <c r="TYN47" s="21"/>
      <c r="TYR47" s="15"/>
      <c r="TYX47" s="25"/>
      <c r="TZE47" s="21"/>
      <c r="TZF47" s="21"/>
      <c r="TZJ47" s="15"/>
      <c r="TZP47" s="25"/>
      <c r="TZW47" s="21"/>
      <c r="TZX47" s="21"/>
      <c r="UAB47" s="15"/>
      <c r="UAH47" s="25"/>
      <c r="UAO47" s="21"/>
      <c r="UAP47" s="21"/>
      <c r="UAT47" s="15"/>
      <c r="UAZ47" s="25"/>
      <c r="UBG47" s="21"/>
      <c r="UBH47" s="21"/>
      <c r="UBL47" s="15"/>
      <c r="UBR47" s="25"/>
      <c r="UBY47" s="21"/>
      <c r="UBZ47" s="21"/>
      <c r="UCD47" s="15"/>
      <c r="UCJ47" s="25"/>
      <c r="UCQ47" s="21"/>
      <c r="UCR47" s="21"/>
      <c r="UCV47" s="15"/>
      <c r="UDB47" s="25"/>
      <c r="UDI47" s="21"/>
      <c r="UDJ47" s="21"/>
      <c r="UDN47" s="15"/>
      <c r="UDT47" s="25"/>
      <c r="UEA47" s="21"/>
      <c r="UEB47" s="21"/>
      <c r="UEF47" s="15"/>
      <c r="UEL47" s="25"/>
      <c r="UES47" s="21"/>
      <c r="UET47" s="21"/>
      <c r="UEX47" s="15"/>
      <c r="UFD47" s="25"/>
      <c r="UFK47" s="21"/>
      <c r="UFL47" s="21"/>
      <c r="UFP47" s="15"/>
      <c r="UFV47" s="25"/>
      <c r="UGC47" s="21"/>
      <c r="UGD47" s="21"/>
      <c r="UGH47" s="15"/>
      <c r="UGN47" s="25"/>
      <c r="UGU47" s="21"/>
      <c r="UGV47" s="21"/>
      <c r="UGZ47" s="15"/>
      <c r="UHF47" s="25"/>
      <c r="UHM47" s="21"/>
      <c r="UHN47" s="21"/>
      <c r="UHR47" s="15"/>
      <c r="UHX47" s="25"/>
      <c r="UIE47" s="21"/>
      <c r="UIF47" s="21"/>
      <c r="UIJ47" s="15"/>
      <c r="UIP47" s="25"/>
      <c r="UIW47" s="21"/>
      <c r="UIX47" s="21"/>
      <c r="UJB47" s="15"/>
      <c r="UJH47" s="25"/>
      <c r="UJO47" s="21"/>
      <c r="UJP47" s="21"/>
      <c r="UJT47" s="15"/>
      <c r="UJZ47" s="25"/>
      <c r="UKG47" s="21"/>
      <c r="UKH47" s="21"/>
      <c r="UKL47" s="15"/>
      <c r="UKR47" s="25"/>
      <c r="UKY47" s="21"/>
      <c r="UKZ47" s="21"/>
      <c r="ULD47" s="15"/>
      <c r="ULJ47" s="25"/>
      <c r="ULQ47" s="21"/>
      <c r="ULR47" s="21"/>
      <c r="ULV47" s="15"/>
      <c r="UMB47" s="25"/>
      <c r="UMI47" s="21"/>
      <c r="UMJ47" s="21"/>
      <c r="UMN47" s="15"/>
      <c r="UMT47" s="25"/>
      <c r="UNA47" s="21"/>
      <c r="UNB47" s="21"/>
      <c r="UNF47" s="15"/>
      <c r="UNL47" s="25"/>
      <c r="UNS47" s="21"/>
      <c r="UNT47" s="21"/>
      <c r="UNX47" s="15"/>
      <c r="UOD47" s="25"/>
      <c r="UOK47" s="21"/>
      <c r="UOL47" s="21"/>
      <c r="UOP47" s="15"/>
      <c r="UOV47" s="25"/>
      <c r="UPC47" s="21"/>
      <c r="UPD47" s="21"/>
      <c r="UPH47" s="15"/>
      <c r="UPN47" s="25"/>
      <c r="UPU47" s="21"/>
      <c r="UPV47" s="21"/>
      <c r="UPZ47" s="15"/>
      <c r="UQF47" s="25"/>
      <c r="UQM47" s="21"/>
      <c r="UQN47" s="21"/>
      <c r="UQR47" s="15"/>
      <c r="UQX47" s="25"/>
      <c r="URE47" s="21"/>
      <c r="URF47" s="21"/>
      <c r="URJ47" s="15"/>
      <c r="URP47" s="25"/>
      <c r="URW47" s="21"/>
      <c r="URX47" s="21"/>
      <c r="USB47" s="15"/>
      <c r="USH47" s="25"/>
      <c r="USO47" s="21"/>
      <c r="USP47" s="21"/>
      <c r="UST47" s="15"/>
      <c r="USZ47" s="25"/>
      <c r="UTG47" s="21"/>
      <c r="UTH47" s="21"/>
      <c r="UTL47" s="15"/>
      <c r="UTR47" s="25"/>
      <c r="UTY47" s="21"/>
      <c r="UTZ47" s="21"/>
      <c r="UUD47" s="15"/>
      <c r="UUJ47" s="25"/>
      <c r="UUQ47" s="21"/>
      <c r="UUR47" s="21"/>
      <c r="UUV47" s="15"/>
      <c r="UVB47" s="25"/>
      <c r="UVI47" s="21"/>
      <c r="UVJ47" s="21"/>
      <c r="UVN47" s="15"/>
      <c r="UVT47" s="25"/>
      <c r="UWA47" s="21"/>
      <c r="UWB47" s="21"/>
      <c r="UWF47" s="15"/>
      <c r="UWL47" s="25"/>
      <c r="UWS47" s="21"/>
      <c r="UWT47" s="21"/>
      <c r="UWX47" s="15"/>
      <c r="UXD47" s="25"/>
      <c r="UXK47" s="21"/>
      <c r="UXL47" s="21"/>
      <c r="UXP47" s="15"/>
      <c r="UXV47" s="25"/>
      <c r="UYC47" s="21"/>
      <c r="UYD47" s="21"/>
      <c r="UYH47" s="15"/>
      <c r="UYN47" s="25"/>
      <c r="UYU47" s="21"/>
      <c r="UYV47" s="21"/>
      <c r="UYZ47" s="15"/>
      <c r="UZF47" s="25"/>
      <c r="UZM47" s="21"/>
      <c r="UZN47" s="21"/>
      <c r="UZR47" s="15"/>
      <c r="UZX47" s="25"/>
      <c r="VAE47" s="21"/>
      <c r="VAF47" s="21"/>
      <c r="VAJ47" s="15"/>
      <c r="VAP47" s="25"/>
      <c r="VAW47" s="21"/>
      <c r="VAX47" s="21"/>
      <c r="VBB47" s="15"/>
      <c r="VBH47" s="25"/>
      <c r="VBO47" s="21"/>
      <c r="VBP47" s="21"/>
      <c r="VBT47" s="15"/>
      <c r="VBZ47" s="25"/>
      <c r="VCG47" s="21"/>
      <c r="VCH47" s="21"/>
      <c r="VCL47" s="15"/>
      <c r="VCR47" s="25"/>
      <c r="VCY47" s="21"/>
      <c r="VCZ47" s="21"/>
      <c r="VDD47" s="15"/>
      <c r="VDJ47" s="25"/>
      <c r="VDQ47" s="21"/>
      <c r="VDR47" s="21"/>
      <c r="VDV47" s="15"/>
      <c r="VEB47" s="25"/>
      <c r="VEI47" s="21"/>
      <c r="VEJ47" s="21"/>
      <c r="VEN47" s="15"/>
      <c r="VET47" s="25"/>
      <c r="VFA47" s="21"/>
      <c r="VFB47" s="21"/>
      <c r="VFF47" s="15"/>
      <c r="VFL47" s="25"/>
      <c r="VFS47" s="21"/>
      <c r="VFT47" s="21"/>
      <c r="VFX47" s="15"/>
      <c r="VGD47" s="25"/>
      <c r="VGK47" s="21"/>
      <c r="VGL47" s="21"/>
      <c r="VGP47" s="15"/>
      <c r="VGV47" s="25"/>
      <c r="VHC47" s="21"/>
      <c r="VHD47" s="21"/>
      <c r="VHH47" s="15"/>
      <c r="VHN47" s="25"/>
      <c r="VHU47" s="21"/>
      <c r="VHV47" s="21"/>
      <c r="VHZ47" s="15"/>
      <c r="VIF47" s="25"/>
      <c r="VIM47" s="21"/>
      <c r="VIN47" s="21"/>
      <c r="VIR47" s="15"/>
      <c r="VIX47" s="25"/>
      <c r="VJE47" s="21"/>
      <c r="VJF47" s="21"/>
      <c r="VJJ47" s="15"/>
      <c r="VJP47" s="25"/>
      <c r="VJW47" s="21"/>
      <c r="VJX47" s="21"/>
      <c r="VKB47" s="15"/>
      <c r="VKH47" s="25"/>
      <c r="VKO47" s="21"/>
      <c r="VKP47" s="21"/>
      <c r="VKT47" s="15"/>
      <c r="VKZ47" s="25"/>
      <c r="VLG47" s="21"/>
      <c r="VLH47" s="21"/>
      <c r="VLL47" s="15"/>
      <c r="VLR47" s="25"/>
      <c r="VLY47" s="21"/>
      <c r="VLZ47" s="21"/>
      <c r="VMD47" s="15"/>
      <c r="VMJ47" s="25"/>
      <c r="VMQ47" s="21"/>
      <c r="VMR47" s="21"/>
      <c r="VMV47" s="15"/>
      <c r="VNB47" s="25"/>
      <c r="VNI47" s="21"/>
      <c r="VNJ47" s="21"/>
      <c r="VNN47" s="15"/>
      <c r="VNT47" s="25"/>
      <c r="VOA47" s="21"/>
      <c r="VOB47" s="21"/>
      <c r="VOF47" s="15"/>
      <c r="VOL47" s="25"/>
      <c r="VOS47" s="21"/>
      <c r="VOT47" s="21"/>
      <c r="VOX47" s="15"/>
      <c r="VPD47" s="25"/>
      <c r="VPK47" s="21"/>
      <c r="VPL47" s="21"/>
      <c r="VPP47" s="15"/>
      <c r="VPV47" s="25"/>
      <c r="VQC47" s="21"/>
      <c r="VQD47" s="21"/>
      <c r="VQH47" s="15"/>
      <c r="VQN47" s="25"/>
      <c r="VQU47" s="21"/>
      <c r="VQV47" s="21"/>
      <c r="VQZ47" s="15"/>
      <c r="VRF47" s="25"/>
      <c r="VRM47" s="21"/>
      <c r="VRN47" s="21"/>
      <c r="VRR47" s="15"/>
      <c r="VRX47" s="25"/>
      <c r="VSE47" s="21"/>
      <c r="VSF47" s="21"/>
      <c r="VSJ47" s="15"/>
      <c r="VSP47" s="25"/>
      <c r="VSW47" s="21"/>
      <c r="VSX47" s="21"/>
      <c r="VTB47" s="15"/>
      <c r="VTH47" s="25"/>
      <c r="VTO47" s="21"/>
      <c r="VTP47" s="21"/>
      <c r="VTT47" s="15"/>
      <c r="VTZ47" s="25"/>
      <c r="VUG47" s="21"/>
      <c r="VUH47" s="21"/>
      <c r="VUL47" s="15"/>
      <c r="VUR47" s="25"/>
      <c r="VUY47" s="21"/>
      <c r="VUZ47" s="21"/>
      <c r="VVD47" s="15"/>
      <c r="VVJ47" s="25"/>
      <c r="VVQ47" s="21"/>
      <c r="VVR47" s="21"/>
      <c r="VVV47" s="15"/>
      <c r="VWB47" s="25"/>
      <c r="VWI47" s="21"/>
      <c r="VWJ47" s="21"/>
      <c r="VWN47" s="15"/>
      <c r="VWT47" s="25"/>
      <c r="VXA47" s="21"/>
      <c r="VXB47" s="21"/>
      <c r="VXF47" s="15"/>
      <c r="VXL47" s="25"/>
      <c r="VXS47" s="21"/>
      <c r="VXT47" s="21"/>
      <c r="VXX47" s="15"/>
      <c r="VYD47" s="25"/>
      <c r="VYK47" s="21"/>
      <c r="VYL47" s="21"/>
      <c r="VYP47" s="15"/>
      <c r="VYV47" s="25"/>
      <c r="VZC47" s="21"/>
      <c r="VZD47" s="21"/>
      <c r="VZH47" s="15"/>
      <c r="VZN47" s="25"/>
      <c r="VZU47" s="21"/>
      <c r="VZV47" s="21"/>
      <c r="VZZ47" s="15"/>
      <c r="WAF47" s="25"/>
      <c r="WAM47" s="21"/>
      <c r="WAN47" s="21"/>
      <c r="WAR47" s="15"/>
      <c r="WAX47" s="25"/>
      <c r="WBE47" s="21"/>
      <c r="WBF47" s="21"/>
      <c r="WBJ47" s="15"/>
      <c r="WBP47" s="25"/>
      <c r="WBW47" s="21"/>
      <c r="WBX47" s="21"/>
      <c r="WCB47" s="15"/>
      <c r="WCH47" s="25"/>
      <c r="WCO47" s="21"/>
      <c r="WCP47" s="21"/>
      <c r="WCT47" s="15"/>
      <c r="WCZ47" s="25"/>
      <c r="WDG47" s="21"/>
      <c r="WDH47" s="21"/>
      <c r="WDL47" s="15"/>
      <c r="WDR47" s="25"/>
      <c r="WDY47" s="21"/>
      <c r="WDZ47" s="21"/>
      <c r="WED47" s="15"/>
      <c r="WEJ47" s="25"/>
      <c r="WEQ47" s="21"/>
      <c r="WER47" s="21"/>
      <c r="WEV47" s="15"/>
      <c r="WFB47" s="25"/>
      <c r="WFI47" s="21"/>
      <c r="WFJ47" s="21"/>
      <c r="WFN47" s="15"/>
      <c r="WFT47" s="25"/>
      <c r="WGA47" s="21"/>
      <c r="WGB47" s="21"/>
      <c r="WGF47" s="15"/>
      <c r="WGL47" s="25"/>
      <c r="WGS47" s="21"/>
      <c r="WGT47" s="21"/>
      <c r="WGX47" s="15"/>
      <c r="WHD47" s="25"/>
      <c r="WHK47" s="21"/>
      <c r="WHL47" s="21"/>
      <c r="WHP47" s="15"/>
      <c r="WHV47" s="25"/>
      <c r="WIC47" s="21"/>
      <c r="WID47" s="21"/>
      <c r="WIH47" s="15"/>
      <c r="WIN47" s="25"/>
      <c r="WIU47" s="21"/>
      <c r="WIV47" s="21"/>
      <c r="WIZ47" s="15"/>
      <c r="WJF47" s="25"/>
      <c r="WJM47" s="21"/>
      <c r="WJN47" s="21"/>
      <c r="WJR47" s="15"/>
      <c r="WJX47" s="25"/>
      <c r="WKE47" s="21"/>
      <c r="WKF47" s="21"/>
      <c r="WKJ47" s="15"/>
      <c r="WKP47" s="25"/>
      <c r="WKW47" s="21"/>
      <c r="WKX47" s="21"/>
      <c r="WLB47" s="15"/>
      <c r="WLH47" s="25"/>
      <c r="WLO47" s="21"/>
      <c r="WLP47" s="21"/>
      <c r="WLT47" s="15"/>
      <c r="WLZ47" s="25"/>
      <c r="WMG47" s="21"/>
      <c r="WMH47" s="21"/>
      <c r="WML47" s="15"/>
      <c r="WMR47" s="25"/>
      <c r="WMY47" s="21"/>
      <c r="WMZ47" s="21"/>
      <c r="WND47" s="15"/>
      <c r="WNJ47" s="25"/>
      <c r="WNQ47" s="21"/>
      <c r="WNR47" s="21"/>
      <c r="WNV47" s="15"/>
      <c r="WOB47" s="25"/>
      <c r="WOI47" s="21"/>
      <c r="WOJ47" s="21"/>
      <c r="WON47" s="15"/>
      <c r="WOT47" s="25"/>
      <c r="WPA47" s="21"/>
      <c r="WPB47" s="21"/>
      <c r="WPF47" s="15"/>
      <c r="WPL47" s="25"/>
      <c r="WPS47" s="21"/>
      <c r="WPT47" s="21"/>
      <c r="WPX47" s="15"/>
      <c r="WQD47" s="25"/>
      <c r="WQK47" s="21"/>
      <c r="WQL47" s="21"/>
      <c r="WQP47" s="15"/>
      <c r="WQV47" s="25"/>
      <c r="WRC47" s="21"/>
      <c r="WRD47" s="21"/>
      <c r="WRH47" s="15"/>
      <c r="WRN47" s="25"/>
      <c r="WRU47" s="21"/>
      <c r="WRV47" s="21"/>
      <c r="WRZ47" s="15"/>
      <c r="WSF47" s="25"/>
      <c r="WSM47" s="21"/>
      <c r="WSN47" s="21"/>
      <c r="WSR47" s="15"/>
      <c r="WSX47" s="25"/>
      <c r="WTE47" s="21"/>
      <c r="WTF47" s="21"/>
      <c r="WTJ47" s="15"/>
      <c r="WTP47" s="25"/>
      <c r="WTW47" s="21"/>
      <c r="WTX47" s="21"/>
      <c r="WUB47" s="15"/>
      <c r="WUH47" s="25"/>
      <c r="WUO47" s="21"/>
      <c r="WUP47" s="21"/>
      <c r="WUT47" s="15"/>
      <c r="WUZ47" s="25"/>
      <c r="WVG47" s="21"/>
      <c r="WVH47" s="21"/>
      <c r="WVL47" s="15"/>
      <c r="WVR47" s="25"/>
      <c r="WVY47" s="21"/>
      <c r="WVZ47" s="21"/>
      <c r="WWD47" s="15"/>
      <c r="WWJ47" s="25"/>
      <c r="WWQ47" s="21"/>
      <c r="WWR47" s="21"/>
      <c r="WWV47" s="15"/>
      <c r="WXB47" s="25"/>
      <c r="WXI47" s="21"/>
      <c r="WXJ47" s="21"/>
      <c r="WXN47" s="15"/>
      <c r="WXT47" s="25"/>
      <c r="WYA47" s="21"/>
      <c r="WYB47" s="21"/>
      <c r="WYF47" s="15"/>
      <c r="WYL47" s="25"/>
      <c r="WYS47" s="21"/>
      <c r="WYT47" s="21"/>
      <c r="WYX47" s="15"/>
      <c r="WZD47" s="25"/>
      <c r="WZK47" s="21"/>
      <c r="WZL47" s="21"/>
      <c r="WZP47" s="15"/>
      <c r="WZV47" s="25"/>
      <c r="XAC47" s="21"/>
      <c r="XAD47" s="21"/>
      <c r="XAH47" s="15"/>
      <c r="XAN47" s="25"/>
      <c r="XAU47" s="21"/>
      <c r="XAV47" s="21"/>
      <c r="XAZ47" s="15"/>
      <c r="XBF47" s="25"/>
      <c r="XBM47" s="21"/>
      <c r="XBN47" s="21"/>
      <c r="XBR47" s="15"/>
      <c r="XBX47" s="25"/>
      <c r="XCE47" s="21"/>
      <c r="XCF47" s="21"/>
      <c r="XCJ47" s="15"/>
      <c r="XCP47" s="25"/>
      <c r="XCW47" s="21"/>
      <c r="XCX47" s="21"/>
      <c r="XDB47" s="15"/>
      <c r="XDH47" s="25"/>
      <c r="XDO47" s="21"/>
      <c r="XDP47" s="21"/>
      <c r="XDT47" s="15"/>
      <c r="XDZ47" s="25"/>
      <c r="XEG47" s="21"/>
      <c r="XEH47" s="21"/>
      <c r="XEL47" s="15"/>
      <c r="XER47" s="25"/>
      <c r="XEY47" s="21"/>
      <c r="XEZ47" s="21"/>
      <c r="XFD47" s="15"/>
    </row>
    <row r="48" spans="1:1018 1025:2044 2051:3070 3077:4096 4103:5116 5122:6142 6148:7168 7174:8190 8194:9216 9220:10234 10241:11260 11267:12286 12293:13312 13319:14332 14338:15358 15364:16384" s="24" customFormat="1">
      <c r="A48" s="21" t="s">
        <v>149</v>
      </c>
      <c r="B48" s="12">
        <v>2012</v>
      </c>
      <c r="C48" s="19" t="s">
        <v>138</v>
      </c>
      <c r="D48" s="22" t="s">
        <v>86</v>
      </c>
      <c r="E48" s="43" t="s">
        <v>150</v>
      </c>
      <c r="F48" s="19" t="s">
        <v>35</v>
      </c>
      <c r="G48" s="38">
        <v>2109663000</v>
      </c>
      <c r="H48" s="38">
        <v>2107958000</v>
      </c>
      <c r="I48" s="12">
        <v>24</v>
      </c>
      <c r="J48" s="52" t="s">
        <v>151</v>
      </c>
      <c r="K48" s="22" t="s">
        <v>26</v>
      </c>
      <c r="L48" s="22"/>
      <c r="M48" s="22" t="s">
        <v>26</v>
      </c>
      <c r="N48" s="12"/>
      <c r="O48" s="22"/>
      <c r="P48" s="12"/>
      <c r="Q48" s="22"/>
      <c r="R48" s="22"/>
      <c r="V48" s="15"/>
      <c r="AB48" s="25"/>
      <c r="AI48" s="21"/>
      <c r="AJ48" s="21"/>
      <c r="AN48" s="15"/>
      <c r="AT48" s="25"/>
      <c r="BA48" s="21"/>
      <c r="BB48" s="21"/>
      <c r="BF48" s="15"/>
      <c r="BL48" s="25"/>
      <c r="BS48" s="21"/>
      <c r="BT48" s="21"/>
      <c r="BX48" s="15"/>
      <c r="CD48" s="25"/>
      <c r="CK48" s="21"/>
      <c r="CL48" s="21"/>
      <c r="CP48" s="15"/>
      <c r="CV48" s="25"/>
      <c r="DC48" s="21"/>
      <c r="DD48" s="21"/>
      <c r="DH48" s="15"/>
      <c r="DN48" s="25"/>
      <c r="DU48" s="21"/>
      <c r="DV48" s="21"/>
      <c r="DZ48" s="15"/>
      <c r="EF48" s="25"/>
      <c r="EM48" s="21"/>
      <c r="EN48" s="21"/>
      <c r="ER48" s="15"/>
      <c r="EX48" s="25"/>
      <c r="FE48" s="21"/>
      <c r="FF48" s="21"/>
      <c r="FJ48" s="15"/>
      <c r="FP48" s="25"/>
      <c r="FW48" s="21"/>
      <c r="FX48" s="21"/>
      <c r="GB48" s="15"/>
      <c r="GH48" s="25"/>
      <c r="GO48" s="21"/>
      <c r="GP48" s="21"/>
      <c r="GT48" s="15"/>
      <c r="GZ48" s="25"/>
      <c r="HG48" s="21"/>
      <c r="HH48" s="21"/>
      <c r="HL48" s="15"/>
      <c r="HR48" s="25"/>
      <c r="HY48" s="21"/>
      <c r="HZ48" s="21"/>
      <c r="ID48" s="15"/>
      <c r="IJ48" s="25"/>
      <c r="IQ48" s="21"/>
      <c r="IR48" s="21"/>
      <c r="IV48" s="15"/>
      <c r="JB48" s="25"/>
      <c r="JI48" s="21"/>
      <c r="JJ48" s="21"/>
      <c r="JN48" s="15"/>
      <c r="JT48" s="25"/>
      <c r="KA48" s="21"/>
      <c r="KB48" s="21"/>
      <c r="KF48" s="15"/>
      <c r="KL48" s="25"/>
      <c r="KS48" s="21"/>
      <c r="KT48" s="21"/>
      <c r="KX48" s="15"/>
      <c r="LD48" s="25"/>
      <c r="LK48" s="21"/>
      <c r="LL48" s="21"/>
      <c r="LP48" s="15"/>
      <c r="LV48" s="25"/>
      <c r="MC48" s="21"/>
      <c r="MD48" s="21"/>
      <c r="MH48" s="15"/>
      <c r="MN48" s="25"/>
      <c r="MU48" s="21"/>
      <c r="MV48" s="21"/>
      <c r="MZ48" s="15"/>
      <c r="NF48" s="25"/>
      <c r="NM48" s="21"/>
      <c r="NN48" s="21"/>
      <c r="NR48" s="15"/>
      <c r="NX48" s="25"/>
      <c r="OE48" s="21"/>
      <c r="OF48" s="21"/>
      <c r="OJ48" s="15"/>
      <c r="OP48" s="25"/>
      <c r="OW48" s="21"/>
      <c r="OX48" s="21"/>
      <c r="PB48" s="15"/>
      <c r="PH48" s="25"/>
      <c r="PO48" s="21"/>
      <c r="PP48" s="21"/>
      <c r="PT48" s="15"/>
      <c r="PZ48" s="25"/>
      <c r="QG48" s="21"/>
      <c r="QH48" s="21"/>
      <c r="QL48" s="15"/>
      <c r="QR48" s="25"/>
      <c r="QY48" s="21"/>
      <c r="QZ48" s="21"/>
      <c r="RD48" s="15"/>
      <c r="RJ48" s="25"/>
      <c r="RQ48" s="21"/>
      <c r="RR48" s="21"/>
      <c r="RV48" s="15"/>
      <c r="SB48" s="25"/>
      <c r="SI48" s="21"/>
      <c r="SJ48" s="21"/>
      <c r="SN48" s="15"/>
      <c r="ST48" s="25"/>
      <c r="TA48" s="21"/>
      <c r="TB48" s="21"/>
      <c r="TF48" s="15"/>
      <c r="TL48" s="25"/>
      <c r="TS48" s="21"/>
      <c r="TT48" s="21"/>
      <c r="TX48" s="15"/>
      <c r="UD48" s="25"/>
      <c r="UK48" s="21"/>
      <c r="UL48" s="21"/>
      <c r="UP48" s="15"/>
      <c r="UV48" s="25"/>
      <c r="VC48" s="21"/>
      <c r="VD48" s="21"/>
      <c r="VH48" s="15"/>
      <c r="VN48" s="25"/>
      <c r="VU48" s="21"/>
      <c r="VV48" s="21"/>
      <c r="VZ48" s="15"/>
      <c r="WF48" s="25"/>
      <c r="WM48" s="21"/>
      <c r="WN48" s="21"/>
      <c r="WR48" s="15"/>
      <c r="WX48" s="25"/>
      <c r="XE48" s="21"/>
      <c r="XF48" s="21"/>
      <c r="XJ48" s="15"/>
      <c r="XP48" s="25"/>
      <c r="XW48" s="21"/>
      <c r="XX48" s="21"/>
      <c r="YB48" s="15"/>
      <c r="YH48" s="25"/>
      <c r="YO48" s="21"/>
      <c r="YP48" s="21"/>
      <c r="YT48" s="15"/>
      <c r="YZ48" s="25"/>
      <c r="ZG48" s="21"/>
      <c r="ZH48" s="21"/>
      <c r="ZL48" s="15"/>
      <c r="ZR48" s="25"/>
      <c r="ZY48" s="21"/>
      <c r="ZZ48" s="21"/>
      <c r="AAD48" s="15"/>
      <c r="AAJ48" s="25"/>
      <c r="AAQ48" s="21"/>
      <c r="AAR48" s="21"/>
      <c r="AAV48" s="15"/>
      <c r="ABB48" s="25"/>
      <c r="ABI48" s="21"/>
      <c r="ABJ48" s="21"/>
      <c r="ABN48" s="15"/>
      <c r="ABT48" s="25"/>
      <c r="ACA48" s="21"/>
      <c r="ACB48" s="21"/>
      <c r="ACF48" s="15"/>
      <c r="ACL48" s="25"/>
      <c r="ACS48" s="21"/>
      <c r="ACT48" s="21"/>
      <c r="ACX48" s="15"/>
      <c r="ADD48" s="25"/>
      <c r="ADK48" s="21"/>
      <c r="ADL48" s="21"/>
      <c r="ADP48" s="15"/>
      <c r="ADV48" s="25"/>
      <c r="AEC48" s="21"/>
      <c r="AED48" s="21"/>
      <c r="AEH48" s="15"/>
      <c r="AEN48" s="25"/>
      <c r="AEU48" s="21"/>
      <c r="AEV48" s="21"/>
      <c r="AEZ48" s="15"/>
      <c r="AFF48" s="25"/>
      <c r="AFM48" s="21"/>
      <c r="AFN48" s="21"/>
      <c r="AFR48" s="15"/>
      <c r="AFX48" s="25"/>
      <c r="AGE48" s="21"/>
      <c r="AGF48" s="21"/>
      <c r="AGJ48" s="15"/>
      <c r="AGP48" s="25"/>
      <c r="AGW48" s="21"/>
      <c r="AGX48" s="21"/>
      <c r="AHB48" s="15"/>
      <c r="AHH48" s="25"/>
      <c r="AHO48" s="21"/>
      <c r="AHP48" s="21"/>
      <c r="AHT48" s="15"/>
      <c r="AHZ48" s="25"/>
      <c r="AIG48" s="21"/>
      <c r="AIH48" s="21"/>
      <c r="AIL48" s="15"/>
      <c r="AIR48" s="25"/>
      <c r="AIY48" s="21"/>
      <c r="AIZ48" s="21"/>
      <c r="AJD48" s="15"/>
      <c r="AJJ48" s="25"/>
      <c r="AJQ48" s="21"/>
      <c r="AJR48" s="21"/>
      <c r="AJV48" s="15"/>
      <c r="AKB48" s="25"/>
      <c r="AKI48" s="21"/>
      <c r="AKJ48" s="21"/>
      <c r="AKN48" s="15"/>
      <c r="AKT48" s="25"/>
      <c r="ALA48" s="21"/>
      <c r="ALB48" s="21"/>
      <c r="ALF48" s="15"/>
      <c r="ALL48" s="25"/>
      <c r="ALS48" s="21"/>
      <c r="ALT48" s="21"/>
      <c r="ALX48" s="15"/>
      <c r="AMD48" s="25"/>
      <c r="AMK48" s="21"/>
      <c r="AML48" s="21"/>
      <c r="AMP48" s="15"/>
      <c r="AMV48" s="25"/>
      <c r="ANC48" s="21"/>
      <c r="AND48" s="21"/>
      <c r="ANH48" s="15"/>
      <c r="ANN48" s="25"/>
      <c r="ANU48" s="21"/>
      <c r="ANV48" s="21"/>
      <c r="ANZ48" s="15"/>
      <c r="AOF48" s="25"/>
      <c r="AOM48" s="21"/>
      <c r="AON48" s="21"/>
      <c r="AOR48" s="15"/>
      <c r="AOX48" s="25"/>
      <c r="APE48" s="21"/>
      <c r="APF48" s="21"/>
      <c r="APJ48" s="15"/>
      <c r="APP48" s="25"/>
      <c r="APW48" s="21"/>
      <c r="APX48" s="21"/>
      <c r="AQB48" s="15"/>
      <c r="AQH48" s="25"/>
      <c r="AQO48" s="21"/>
      <c r="AQP48" s="21"/>
      <c r="AQT48" s="15"/>
      <c r="AQZ48" s="25"/>
      <c r="ARG48" s="21"/>
      <c r="ARH48" s="21"/>
      <c r="ARL48" s="15"/>
      <c r="ARR48" s="25"/>
      <c r="ARY48" s="21"/>
      <c r="ARZ48" s="21"/>
      <c r="ASD48" s="15"/>
      <c r="ASJ48" s="25"/>
      <c r="ASQ48" s="21"/>
      <c r="ASR48" s="21"/>
      <c r="ASV48" s="15"/>
      <c r="ATB48" s="25"/>
      <c r="ATI48" s="21"/>
      <c r="ATJ48" s="21"/>
      <c r="ATN48" s="15"/>
      <c r="ATT48" s="25"/>
      <c r="AUA48" s="21"/>
      <c r="AUB48" s="21"/>
      <c r="AUF48" s="15"/>
      <c r="AUL48" s="25"/>
      <c r="AUS48" s="21"/>
      <c r="AUT48" s="21"/>
      <c r="AUX48" s="15"/>
      <c r="AVD48" s="25"/>
      <c r="AVK48" s="21"/>
      <c r="AVL48" s="21"/>
      <c r="AVP48" s="15"/>
      <c r="AVV48" s="25"/>
      <c r="AWC48" s="21"/>
      <c r="AWD48" s="21"/>
      <c r="AWH48" s="15"/>
      <c r="AWN48" s="25"/>
      <c r="AWU48" s="21"/>
      <c r="AWV48" s="21"/>
      <c r="AWZ48" s="15"/>
      <c r="AXF48" s="25"/>
      <c r="AXM48" s="21"/>
      <c r="AXN48" s="21"/>
      <c r="AXR48" s="15"/>
      <c r="AXX48" s="25"/>
      <c r="AYE48" s="21"/>
      <c r="AYF48" s="21"/>
      <c r="AYJ48" s="15"/>
      <c r="AYP48" s="25"/>
      <c r="AYW48" s="21"/>
      <c r="AYX48" s="21"/>
      <c r="AZB48" s="15"/>
      <c r="AZH48" s="25"/>
      <c r="AZO48" s="21"/>
      <c r="AZP48" s="21"/>
      <c r="AZT48" s="15"/>
      <c r="AZZ48" s="25"/>
      <c r="BAG48" s="21"/>
      <c r="BAH48" s="21"/>
      <c r="BAL48" s="15"/>
      <c r="BAR48" s="25"/>
      <c r="BAY48" s="21"/>
      <c r="BAZ48" s="21"/>
      <c r="BBD48" s="15"/>
      <c r="BBJ48" s="25"/>
      <c r="BBQ48" s="21"/>
      <c r="BBR48" s="21"/>
      <c r="BBV48" s="15"/>
      <c r="BCB48" s="25"/>
      <c r="BCI48" s="21"/>
      <c r="BCJ48" s="21"/>
      <c r="BCN48" s="15"/>
      <c r="BCT48" s="25"/>
      <c r="BDA48" s="21"/>
      <c r="BDB48" s="21"/>
      <c r="BDF48" s="15"/>
      <c r="BDL48" s="25"/>
      <c r="BDS48" s="21"/>
      <c r="BDT48" s="21"/>
      <c r="BDX48" s="15"/>
      <c r="BED48" s="25"/>
      <c r="BEK48" s="21"/>
      <c r="BEL48" s="21"/>
      <c r="BEP48" s="15"/>
      <c r="BEV48" s="25"/>
      <c r="BFC48" s="21"/>
      <c r="BFD48" s="21"/>
      <c r="BFH48" s="15"/>
      <c r="BFN48" s="25"/>
      <c r="BFU48" s="21"/>
      <c r="BFV48" s="21"/>
      <c r="BFZ48" s="15"/>
      <c r="BGF48" s="25"/>
      <c r="BGM48" s="21"/>
      <c r="BGN48" s="21"/>
      <c r="BGR48" s="15"/>
      <c r="BGX48" s="25"/>
      <c r="BHE48" s="21"/>
      <c r="BHF48" s="21"/>
      <c r="BHJ48" s="15"/>
      <c r="BHP48" s="25"/>
      <c r="BHW48" s="21"/>
      <c r="BHX48" s="21"/>
      <c r="BIB48" s="15"/>
      <c r="BIH48" s="25"/>
      <c r="BIO48" s="21"/>
      <c r="BIP48" s="21"/>
      <c r="BIT48" s="15"/>
      <c r="BIZ48" s="25"/>
      <c r="BJG48" s="21"/>
      <c r="BJH48" s="21"/>
      <c r="BJL48" s="15"/>
      <c r="BJR48" s="25"/>
      <c r="BJY48" s="21"/>
      <c r="BJZ48" s="21"/>
      <c r="BKD48" s="15"/>
      <c r="BKJ48" s="25"/>
      <c r="BKQ48" s="21"/>
      <c r="BKR48" s="21"/>
      <c r="BKV48" s="15"/>
      <c r="BLB48" s="25"/>
      <c r="BLI48" s="21"/>
      <c r="BLJ48" s="21"/>
      <c r="BLN48" s="15"/>
      <c r="BLT48" s="25"/>
      <c r="BMA48" s="21"/>
      <c r="BMB48" s="21"/>
      <c r="BMF48" s="15"/>
      <c r="BML48" s="25"/>
      <c r="BMS48" s="21"/>
      <c r="BMT48" s="21"/>
      <c r="BMX48" s="15"/>
      <c r="BND48" s="25"/>
      <c r="BNK48" s="21"/>
      <c r="BNL48" s="21"/>
      <c r="BNP48" s="15"/>
      <c r="BNV48" s="25"/>
      <c r="BOC48" s="21"/>
      <c r="BOD48" s="21"/>
      <c r="BOH48" s="15"/>
      <c r="BON48" s="25"/>
      <c r="BOU48" s="21"/>
      <c r="BOV48" s="21"/>
      <c r="BOZ48" s="15"/>
      <c r="BPF48" s="25"/>
      <c r="BPM48" s="21"/>
      <c r="BPN48" s="21"/>
      <c r="BPR48" s="15"/>
      <c r="BPX48" s="25"/>
      <c r="BQE48" s="21"/>
      <c r="BQF48" s="21"/>
      <c r="BQJ48" s="15"/>
      <c r="BQP48" s="25"/>
      <c r="BQW48" s="21"/>
      <c r="BQX48" s="21"/>
      <c r="BRB48" s="15"/>
      <c r="BRH48" s="25"/>
      <c r="BRO48" s="21"/>
      <c r="BRP48" s="21"/>
      <c r="BRT48" s="15"/>
      <c r="BRZ48" s="25"/>
      <c r="BSG48" s="21"/>
      <c r="BSH48" s="21"/>
      <c r="BSL48" s="15"/>
      <c r="BSR48" s="25"/>
      <c r="BSY48" s="21"/>
      <c r="BSZ48" s="21"/>
      <c r="BTD48" s="15"/>
      <c r="BTJ48" s="25"/>
      <c r="BTQ48" s="21"/>
      <c r="BTR48" s="21"/>
      <c r="BTV48" s="15"/>
      <c r="BUB48" s="25"/>
      <c r="BUI48" s="21"/>
      <c r="BUJ48" s="21"/>
      <c r="BUN48" s="15"/>
      <c r="BUT48" s="25"/>
      <c r="BVA48" s="21"/>
      <c r="BVB48" s="21"/>
      <c r="BVF48" s="15"/>
      <c r="BVL48" s="25"/>
      <c r="BVS48" s="21"/>
      <c r="BVT48" s="21"/>
      <c r="BVX48" s="15"/>
      <c r="BWD48" s="25"/>
      <c r="BWK48" s="21"/>
      <c r="BWL48" s="21"/>
      <c r="BWP48" s="15"/>
      <c r="BWV48" s="25"/>
      <c r="BXC48" s="21"/>
      <c r="BXD48" s="21"/>
      <c r="BXH48" s="15"/>
      <c r="BXN48" s="25"/>
      <c r="BXU48" s="21"/>
      <c r="BXV48" s="21"/>
      <c r="BXZ48" s="15"/>
      <c r="BYF48" s="25"/>
      <c r="BYM48" s="21"/>
      <c r="BYN48" s="21"/>
      <c r="BYR48" s="15"/>
      <c r="BYX48" s="25"/>
      <c r="BZE48" s="21"/>
      <c r="BZF48" s="21"/>
      <c r="BZJ48" s="15"/>
      <c r="BZP48" s="25"/>
      <c r="BZW48" s="21"/>
      <c r="BZX48" s="21"/>
      <c r="CAB48" s="15"/>
      <c r="CAH48" s="25"/>
      <c r="CAO48" s="21"/>
      <c r="CAP48" s="21"/>
      <c r="CAT48" s="15"/>
      <c r="CAZ48" s="25"/>
      <c r="CBG48" s="21"/>
      <c r="CBH48" s="21"/>
      <c r="CBL48" s="15"/>
      <c r="CBR48" s="25"/>
      <c r="CBY48" s="21"/>
      <c r="CBZ48" s="21"/>
      <c r="CCD48" s="15"/>
      <c r="CCJ48" s="25"/>
      <c r="CCQ48" s="21"/>
      <c r="CCR48" s="21"/>
      <c r="CCV48" s="15"/>
      <c r="CDB48" s="25"/>
      <c r="CDI48" s="21"/>
      <c r="CDJ48" s="21"/>
      <c r="CDN48" s="15"/>
      <c r="CDT48" s="25"/>
      <c r="CEA48" s="21"/>
      <c r="CEB48" s="21"/>
      <c r="CEF48" s="15"/>
      <c r="CEL48" s="25"/>
      <c r="CES48" s="21"/>
      <c r="CET48" s="21"/>
      <c r="CEX48" s="15"/>
      <c r="CFD48" s="25"/>
      <c r="CFK48" s="21"/>
      <c r="CFL48" s="21"/>
      <c r="CFP48" s="15"/>
      <c r="CFV48" s="25"/>
      <c r="CGC48" s="21"/>
      <c r="CGD48" s="21"/>
      <c r="CGH48" s="15"/>
      <c r="CGN48" s="25"/>
      <c r="CGU48" s="21"/>
      <c r="CGV48" s="21"/>
      <c r="CGZ48" s="15"/>
      <c r="CHF48" s="25"/>
      <c r="CHM48" s="21"/>
      <c r="CHN48" s="21"/>
      <c r="CHR48" s="15"/>
      <c r="CHX48" s="25"/>
      <c r="CIE48" s="21"/>
      <c r="CIF48" s="21"/>
      <c r="CIJ48" s="15"/>
      <c r="CIP48" s="25"/>
      <c r="CIW48" s="21"/>
      <c r="CIX48" s="21"/>
      <c r="CJB48" s="15"/>
      <c r="CJH48" s="25"/>
      <c r="CJO48" s="21"/>
      <c r="CJP48" s="21"/>
      <c r="CJT48" s="15"/>
      <c r="CJZ48" s="25"/>
      <c r="CKG48" s="21"/>
      <c r="CKH48" s="21"/>
      <c r="CKL48" s="15"/>
      <c r="CKR48" s="25"/>
      <c r="CKY48" s="21"/>
      <c r="CKZ48" s="21"/>
      <c r="CLD48" s="15"/>
      <c r="CLJ48" s="25"/>
      <c r="CLQ48" s="21"/>
      <c r="CLR48" s="21"/>
      <c r="CLV48" s="15"/>
      <c r="CMB48" s="25"/>
      <c r="CMI48" s="21"/>
      <c r="CMJ48" s="21"/>
      <c r="CMN48" s="15"/>
      <c r="CMT48" s="25"/>
      <c r="CNA48" s="21"/>
      <c r="CNB48" s="21"/>
      <c r="CNF48" s="15"/>
      <c r="CNL48" s="25"/>
      <c r="CNS48" s="21"/>
      <c r="CNT48" s="21"/>
      <c r="CNX48" s="15"/>
      <c r="COD48" s="25"/>
      <c r="COK48" s="21"/>
      <c r="COL48" s="21"/>
      <c r="COP48" s="15"/>
      <c r="COV48" s="25"/>
      <c r="CPC48" s="21"/>
      <c r="CPD48" s="21"/>
      <c r="CPH48" s="15"/>
      <c r="CPN48" s="25"/>
      <c r="CPU48" s="21"/>
      <c r="CPV48" s="21"/>
      <c r="CPZ48" s="15"/>
      <c r="CQF48" s="25"/>
      <c r="CQM48" s="21"/>
      <c r="CQN48" s="21"/>
      <c r="CQR48" s="15"/>
      <c r="CQX48" s="25"/>
      <c r="CRE48" s="21"/>
      <c r="CRF48" s="21"/>
      <c r="CRJ48" s="15"/>
      <c r="CRP48" s="25"/>
      <c r="CRW48" s="21"/>
      <c r="CRX48" s="21"/>
      <c r="CSB48" s="15"/>
      <c r="CSH48" s="25"/>
      <c r="CSO48" s="21"/>
      <c r="CSP48" s="21"/>
      <c r="CST48" s="15"/>
      <c r="CSZ48" s="25"/>
      <c r="CTG48" s="21"/>
      <c r="CTH48" s="21"/>
      <c r="CTL48" s="15"/>
      <c r="CTR48" s="25"/>
      <c r="CTY48" s="21"/>
      <c r="CTZ48" s="21"/>
      <c r="CUD48" s="15"/>
      <c r="CUJ48" s="25"/>
      <c r="CUQ48" s="21"/>
      <c r="CUR48" s="21"/>
      <c r="CUV48" s="15"/>
      <c r="CVB48" s="25"/>
      <c r="CVI48" s="21"/>
      <c r="CVJ48" s="21"/>
      <c r="CVN48" s="15"/>
      <c r="CVT48" s="25"/>
      <c r="CWA48" s="21"/>
      <c r="CWB48" s="21"/>
      <c r="CWF48" s="15"/>
      <c r="CWL48" s="25"/>
      <c r="CWS48" s="21"/>
      <c r="CWT48" s="21"/>
      <c r="CWX48" s="15"/>
      <c r="CXD48" s="25"/>
      <c r="CXK48" s="21"/>
      <c r="CXL48" s="21"/>
      <c r="CXP48" s="15"/>
      <c r="CXV48" s="25"/>
      <c r="CYC48" s="21"/>
      <c r="CYD48" s="21"/>
      <c r="CYH48" s="15"/>
      <c r="CYN48" s="25"/>
      <c r="CYU48" s="21"/>
      <c r="CYV48" s="21"/>
      <c r="CYZ48" s="15"/>
      <c r="CZF48" s="25"/>
      <c r="CZM48" s="21"/>
      <c r="CZN48" s="21"/>
      <c r="CZR48" s="15"/>
      <c r="CZX48" s="25"/>
      <c r="DAE48" s="21"/>
      <c r="DAF48" s="21"/>
      <c r="DAJ48" s="15"/>
      <c r="DAP48" s="25"/>
      <c r="DAW48" s="21"/>
      <c r="DAX48" s="21"/>
      <c r="DBB48" s="15"/>
      <c r="DBH48" s="25"/>
      <c r="DBO48" s="21"/>
      <c r="DBP48" s="21"/>
      <c r="DBT48" s="15"/>
      <c r="DBZ48" s="25"/>
      <c r="DCG48" s="21"/>
      <c r="DCH48" s="21"/>
      <c r="DCL48" s="15"/>
      <c r="DCR48" s="25"/>
      <c r="DCY48" s="21"/>
      <c r="DCZ48" s="21"/>
      <c r="DDD48" s="15"/>
      <c r="DDJ48" s="25"/>
      <c r="DDQ48" s="21"/>
      <c r="DDR48" s="21"/>
      <c r="DDV48" s="15"/>
      <c r="DEB48" s="25"/>
      <c r="DEI48" s="21"/>
      <c r="DEJ48" s="21"/>
      <c r="DEN48" s="15"/>
      <c r="DET48" s="25"/>
      <c r="DFA48" s="21"/>
      <c r="DFB48" s="21"/>
      <c r="DFF48" s="15"/>
      <c r="DFL48" s="25"/>
      <c r="DFS48" s="21"/>
      <c r="DFT48" s="21"/>
      <c r="DFX48" s="15"/>
      <c r="DGD48" s="25"/>
      <c r="DGK48" s="21"/>
      <c r="DGL48" s="21"/>
      <c r="DGP48" s="15"/>
      <c r="DGV48" s="25"/>
      <c r="DHC48" s="21"/>
      <c r="DHD48" s="21"/>
      <c r="DHH48" s="15"/>
      <c r="DHN48" s="25"/>
      <c r="DHU48" s="21"/>
      <c r="DHV48" s="21"/>
      <c r="DHZ48" s="15"/>
      <c r="DIF48" s="25"/>
      <c r="DIM48" s="21"/>
      <c r="DIN48" s="21"/>
      <c r="DIR48" s="15"/>
      <c r="DIX48" s="25"/>
      <c r="DJE48" s="21"/>
      <c r="DJF48" s="21"/>
      <c r="DJJ48" s="15"/>
      <c r="DJP48" s="25"/>
      <c r="DJW48" s="21"/>
      <c r="DJX48" s="21"/>
      <c r="DKB48" s="15"/>
      <c r="DKH48" s="25"/>
      <c r="DKO48" s="21"/>
      <c r="DKP48" s="21"/>
      <c r="DKT48" s="15"/>
      <c r="DKZ48" s="25"/>
      <c r="DLG48" s="21"/>
      <c r="DLH48" s="21"/>
      <c r="DLL48" s="15"/>
      <c r="DLR48" s="25"/>
      <c r="DLY48" s="21"/>
      <c r="DLZ48" s="21"/>
      <c r="DMD48" s="15"/>
      <c r="DMJ48" s="25"/>
      <c r="DMQ48" s="21"/>
      <c r="DMR48" s="21"/>
      <c r="DMV48" s="15"/>
      <c r="DNB48" s="25"/>
      <c r="DNI48" s="21"/>
      <c r="DNJ48" s="21"/>
      <c r="DNN48" s="15"/>
      <c r="DNT48" s="25"/>
      <c r="DOA48" s="21"/>
      <c r="DOB48" s="21"/>
      <c r="DOF48" s="15"/>
      <c r="DOL48" s="25"/>
      <c r="DOS48" s="21"/>
      <c r="DOT48" s="21"/>
      <c r="DOX48" s="15"/>
      <c r="DPD48" s="25"/>
      <c r="DPK48" s="21"/>
      <c r="DPL48" s="21"/>
      <c r="DPP48" s="15"/>
      <c r="DPV48" s="25"/>
      <c r="DQC48" s="21"/>
      <c r="DQD48" s="21"/>
      <c r="DQH48" s="15"/>
      <c r="DQN48" s="25"/>
      <c r="DQU48" s="21"/>
      <c r="DQV48" s="21"/>
      <c r="DQZ48" s="15"/>
      <c r="DRF48" s="25"/>
      <c r="DRM48" s="21"/>
      <c r="DRN48" s="21"/>
      <c r="DRR48" s="15"/>
      <c r="DRX48" s="25"/>
      <c r="DSE48" s="21"/>
      <c r="DSF48" s="21"/>
      <c r="DSJ48" s="15"/>
      <c r="DSP48" s="25"/>
      <c r="DSW48" s="21"/>
      <c r="DSX48" s="21"/>
      <c r="DTB48" s="15"/>
      <c r="DTH48" s="25"/>
      <c r="DTO48" s="21"/>
      <c r="DTP48" s="21"/>
      <c r="DTT48" s="15"/>
      <c r="DTZ48" s="25"/>
      <c r="DUG48" s="21"/>
      <c r="DUH48" s="21"/>
      <c r="DUL48" s="15"/>
      <c r="DUR48" s="25"/>
      <c r="DUY48" s="21"/>
      <c r="DUZ48" s="21"/>
      <c r="DVD48" s="15"/>
      <c r="DVJ48" s="25"/>
      <c r="DVQ48" s="21"/>
      <c r="DVR48" s="21"/>
      <c r="DVV48" s="15"/>
      <c r="DWB48" s="25"/>
      <c r="DWI48" s="21"/>
      <c r="DWJ48" s="21"/>
      <c r="DWN48" s="15"/>
      <c r="DWT48" s="25"/>
      <c r="DXA48" s="21"/>
      <c r="DXB48" s="21"/>
      <c r="DXF48" s="15"/>
      <c r="DXL48" s="25"/>
      <c r="DXS48" s="21"/>
      <c r="DXT48" s="21"/>
      <c r="DXX48" s="15"/>
      <c r="DYD48" s="25"/>
      <c r="DYK48" s="21"/>
      <c r="DYL48" s="21"/>
      <c r="DYP48" s="15"/>
      <c r="DYV48" s="25"/>
      <c r="DZC48" s="21"/>
      <c r="DZD48" s="21"/>
      <c r="DZH48" s="15"/>
      <c r="DZN48" s="25"/>
      <c r="DZU48" s="21"/>
      <c r="DZV48" s="21"/>
      <c r="DZZ48" s="15"/>
      <c r="EAF48" s="25"/>
      <c r="EAM48" s="21"/>
      <c r="EAN48" s="21"/>
      <c r="EAR48" s="15"/>
      <c r="EAX48" s="25"/>
      <c r="EBE48" s="21"/>
      <c r="EBF48" s="21"/>
      <c r="EBJ48" s="15"/>
      <c r="EBP48" s="25"/>
      <c r="EBW48" s="21"/>
      <c r="EBX48" s="21"/>
      <c r="ECB48" s="15"/>
      <c r="ECH48" s="25"/>
      <c r="ECO48" s="21"/>
      <c r="ECP48" s="21"/>
      <c r="ECT48" s="15"/>
      <c r="ECZ48" s="25"/>
      <c r="EDG48" s="21"/>
      <c r="EDH48" s="21"/>
      <c r="EDL48" s="15"/>
      <c r="EDR48" s="25"/>
      <c r="EDY48" s="21"/>
      <c r="EDZ48" s="21"/>
      <c r="EED48" s="15"/>
      <c r="EEJ48" s="25"/>
      <c r="EEQ48" s="21"/>
      <c r="EER48" s="21"/>
      <c r="EEV48" s="15"/>
      <c r="EFB48" s="25"/>
      <c r="EFI48" s="21"/>
      <c r="EFJ48" s="21"/>
      <c r="EFN48" s="15"/>
      <c r="EFT48" s="25"/>
      <c r="EGA48" s="21"/>
      <c r="EGB48" s="21"/>
      <c r="EGF48" s="15"/>
      <c r="EGL48" s="25"/>
      <c r="EGS48" s="21"/>
      <c r="EGT48" s="21"/>
      <c r="EGX48" s="15"/>
      <c r="EHD48" s="25"/>
      <c r="EHK48" s="21"/>
      <c r="EHL48" s="21"/>
      <c r="EHP48" s="15"/>
      <c r="EHV48" s="25"/>
      <c r="EIC48" s="21"/>
      <c r="EID48" s="21"/>
      <c r="EIH48" s="15"/>
      <c r="EIN48" s="25"/>
      <c r="EIU48" s="21"/>
      <c r="EIV48" s="21"/>
      <c r="EIZ48" s="15"/>
      <c r="EJF48" s="25"/>
      <c r="EJM48" s="21"/>
      <c r="EJN48" s="21"/>
      <c r="EJR48" s="15"/>
      <c r="EJX48" s="25"/>
      <c r="EKE48" s="21"/>
      <c r="EKF48" s="21"/>
      <c r="EKJ48" s="15"/>
      <c r="EKP48" s="25"/>
      <c r="EKW48" s="21"/>
      <c r="EKX48" s="21"/>
      <c r="ELB48" s="15"/>
      <c r="ELH48" s="25"/>
      <c r="ELO48" s="21"/>
      <c r="ELP48" s="21"/>
      <c r="ELT48" s="15"/>
      <c r="ELZ48" s="25"/>
      <c r="EMG48" s="21"/>
      <c r="EMH48" s="21"/>
      <c r="EML48" s="15"/>
      <c r="EMR48" s="25"/>
      <c r="EMY48" s="21"/>
      <c r="EMZ48" s="21"/>
      <c r="END48" s="15"/>
      <c r="ENJ48" s="25"/>
      <c r="ENQ48" s="21"/>
      <c r="ENR48" s="21"/>
      <c r="ENV48" s="15"/>
      <c r="EOB48" s="25"/>
      <c r="EOI48" s="21"/>
      <c r="EOJ48" s="21"/>
      <c r="EON48" s="15"/>
      <c r="EOT48" s="25"/>
      <c r="EPA48" s="21"/>
      <c r="EPB48" s="21"/>
      <c r="EPF48" s="15"/>
      <c r="EPL48" s="25"/>
      <c r="EPS48" s="21"/>
      <c r="EPT48" s="21"/>
      <c r="EPX48" s="15"/>
      <c r="EQD48" s="25"/>
      <c r="EQK48" s="21"/>
      <c r="EQL48" s="21"/>
      <c r="EQP48" s="15"/>
      <c r="EQV48" s="25"/>
      <c r="ERC48" s="21"/>
      <c r="ERD48" s="21"/>
      <c r="ERH48" s="15"/>
      <c r="ERN48" s="25"/>
      <c r="ERU48" s="21"/>
      <c r="ERV48" s="21"/>
      <c r="ERZ48" s="15"/>
      <c r="ESF48" s="25"/>
      <c r="ESM48" s="21"/>
      <c r="ESN48" s="21"/>
      <c r="ESR48" s="15"/>
      <c r="ESX48" s="25"/>
      <c r="ETE48" s="21"/>
      <c r="ETF48" s="21"/>
      <c r="ETJ48" s="15"/>
      <c r="ETP48" s="25"/>
      <c r="ETW48" s="21"/>
      <c r="ETX48" s="21"/>
      <c r="EUB48" s="15"/>
      <c r="EUH48" s="25"/>
      <c r="EUO48" s="21"/>
      <c r="EUP48" s="21"/>
      <c r="EUT48" s="15"/>
      <c r="EUZ48" s="25"/>
      <c r="EVG48" s="21"/>
      <c r="EVH48" s="21"/>
      <c r="EVL48" s="15"/>
      <c r="EVR48" s="25"/>
      <c r="EVY48" s="21"/>
      <c r="EVZ48" s="21"/>
      <c r="EWD48" s="15"/>
      <c r="EWJ48" s="25"/>
      <c r="EWQ48" s="21"/>
      <c r="EWR48" s="21"/>
      <c r="EWV48" s="15"/>
      <c r="EXB48" s="25"/>
      <c r="EXI48" s="21"/>
      <c r="EXJ48" s="21"/>
      <c r="EXN48" s="15"/>
      <c r="EXT48" s="25"/>
      <c r="EYA48" s="21"/>
      <c r="EYB48" s="21"/>
      <c r="EYF48" s="15"/>
      <c r="EYL48" s="25"/>
      <c r="EYS48" s="21"/>
      <c r="EYT48" s="21"/>
      <c r="EYX48" s="15"/>
      <c r="EZD48" s="25"/>
      <c r="EZK48" s="21"/>
      <c r="EZL48" s="21"/>
      <c r="EZP48" s="15"/>
      <c r="EZV48" s="25"/>
      <c r="FAC48" s="21"/>
      <c r="FAD48" s="21"/>
      <c r="FAH48" s="15"/>
      <c r="FAN48" s="25"/>
      <c r="FAU48" s="21"/>
      <c r="FAV48" s="21"/>
      <c r="FAZ48" s="15"/>
      <c r="FBF48" s="25"/>
      <c r="FBM48" s="21"/>
      <c r="FBN48" s="21"/>
      <c r="FBR48" s="15"/>
      <c r="FBX48" s="25"/>
      <c r="FCE48" s="21"/>
      <c r="FCF48" s="21"/>
      <c r="FCJ48" s="15"/>
      <c r="FCP48" s="25"/>
      <c r="FCW48" s="21"/>
      <c r="FCX48" s="21"/>
      <c r="FDB48" s="15"/>
      <c r="FDH48" s="25"/>
      <c r="FDO48" s="21"/>
      <c r="FDP48" s="21"/>
      <c r="FDT48" s="15"/>
      <c r="FDZ48" s="25"/>
      <c r="FEG48" s="21"/>
      <c r="FEH48" s="21"/>
      <c r="FEL48" s="15"/>
      <c r="FER48" s="25"/>
      <c r="FEY48" s="21"/>
      <c r="FEZ48" s="21"/>
      <c r="FFD48" s="15"/>
      <c r="FFJ48" s="25"/>
      <c r="FFQ48" s="21"/>
      <c r="FFR48" s="21"/>
      <c r="FFV48" s="15"/>
      <c r="FGB48" s="25"/>
      <c r="FGI48" s="21"/>
      <c r="FGJ48" s="21"/>
      <c r="FGN48" s="15"/>
      <c r="FGT48" s="25"/>
      <c r="FHA48" s="21"/>
      <c r="FHB48" s="21"/>
      <c r="FHF48" s="15"/>
      <c r="FHL48" s="25"/>
      <c r="FHS48" s="21"/>
      <c r="FHT48" s="21"/>
      <c r="FHX48" s="15"/>
      <c r="FID48" s="25"/>
      <c r="FIK48" s="21"/>
      <c r="FIL48" s="21"/>
      <c r="FIP48" s="15"/>
      <c r="FIV48" s="25"/>
      <c r="FJC48" s="21"/>
      <c r="FJD48" s="21"/>
      <c r="FJH48" s="15"/>
      <c r="FJN48" s="25"/>
      <c r="FJU48" s="21"/>
      <c r="FJV48" s="21"/>
      <c r="FJZ48" s="15"/>
      <c r="FKF48" s="25"/>
      <c r="FKM48" s="21"/>
      <c r="FKN48" s="21"/>
      <c r="FKR48" s="15"/>
      <c r="FKX48" s="25"/>
      <c r="FLE48" s="21"/>
      <c r="FLF48" s="21"/>
      <c r="FLJ48" s="15"/>
      <c r="FLP48" s="25"/>
      <c r="FLW48" s="21"/>
      <c r="FLX48" s="21"/>
      <c r="FMB48" s="15"/>
      <c r="FMH48" s="25"/>
      <c r="FMO48" s="21"/>
      <c r="FMP48" s="21"/>
      <c r="FMT48" s="15"/>
      <c r="FMZ48" s="25"/>
      <c r="FNG48" s="21"/>
      <c r="FNH48" s="21"/>
      <c r="FNL48" s="15"/>
      <c r="FNR48" s="25"/>
      <c r="FNY48" s="21"/>
      <c r="FNZ48" s="21"/>
      <c r="FOD48" s="15"/>
      <c r="FOJ48" s="25"/>
      <c r="FOQ48" s="21"/>
      <c r="FOR48" s="21"/>
      <c r="FOV48" s="15"/>
      <c r="FPB48" s="25"/>
      <c r="FPI48" s="21"/>
      <c r="FPJ48" s="21"/>
      <c r="FPN48" s="15"/>
      <c r="FPT48" s="25"/>
      <c r="FQA48" s="21"/>
      <c r="FQB48" s="21"/>
      <c r="FQF48" s="15"/>
      <c r="FQL48" s="25"/>
      <c r="FQS48" s="21"/>
      <c r="FQT48" s="21"/>
      <c r="FQX48" s="15"/>
      <c r="FRD48" s="25"/>
      <c r="FRK48" s="21"/>
      <c r="FRL48" s="21"/>
      <c r="FRP48" s="15"/>
      <c r="FRV48" s="25"/>
      <c r="FSC48" s="21"/>
      <c r="FSD48" s="21"/>
      <c r="FSH48" s="15"/>
      <c r="FSN48" s="25"/>
      <c r="FSU48" s="21"/>
      <c r="FSV48" s="21"/>
      <c r="FSZ48" s="15"/>
      <c r="FTF48" s="25"/>
      <c r="FTM48" s="21"/>
      <c r="FTN48" s="21"/>
      <c r="FTR48" s="15"/>
      <c r="FTX48" s="25"/>
      <c r="FUE48" s="21"/>
      <c r="FUF48" s="21"/>
      <c r="FUJ48" s="15"/>
      <c r="FUP48" s="25"/>
      <c r="FUW48" s="21"/>
      <c r="FUX48" s="21"/>
      <c r="FVB48" s="15"/>
      <c r="FVH48" s="25"/>
      <c r="FVO48" s="21"/>
      <c r="FVP48" s="21"/>
      <c r="FVT48" s="15"/>
      <c r="FVZ48" s="25"/>
      <c r="FWG48" s="21"/>
      <c r="FWH48" s="21"/>
      <c r="FWL48" s="15"/>
      <c r="FWR48" s="25"/>
      <c r="FWY48" s="21"/>
      <c r="FWZ48" s="21"/>
      <c r="FXD48" s="15"/>
      <c r="FXJ48" s="25"/>
      <c r="FXQ48" s="21"/>
      <c r="FXR48" s="21"/>
      <c r="FXV48" s="15"/>
      <c r="FYB48" s="25"/>
      <c r="FYI48" s="21"/>
      <c r="FYJ48" s="21"/>
      <c r="FYN48" s="15"/>
      <c r="FYT48" s="25"/>
      <c r="FZA48" s="21"/>
      <c r="FZB48" s="21"/>
      <c r="FZF48" s="15"/>
      <c r="FZL48" s="25"/>
      <c r="FZS48" s="21"/>
      <c r="FZT48" s="21"/>
      <c r="FZX48" s="15"/>
      <c r="GAD48" s="25"/>
      <c r="GAK48" s="21"/>
      <c r="GAL48" s="21"/>
      <c r="GAP48" s="15"/>
      <c r="GAV48" s="25"/>
      <c r="GBC48" s="21"/>
      <c r="GBD48" s="21"/>
      <c r="GBH48" s="15"/>
      <c r="GBN48" s="25"/>
      <c r="GBU48" s="21"/>
      <c r="GBV48" s="21"/>
      <c r="GBZ48" s="15"/>
      <c r="GCF48" s="25"/>
      <c r="GCM48" s="21"/>
      <c r="GCN48" s="21"/>
      <c r="GCR48" s="15"/>
      <c r="GCX48" s="25"/>
      <c r="GDE48" s="21"/>
      <c r="GDF48" s="21"/>
      <c r="GDJ48" s="15"/>
      <c r="GDP48" s="25"/>
      <c r="GDW48" s="21"/>
      <c r="GDX48" s="21"/>
      <c r="GEB48" s="15"/>
      <c r="GEH48" s="25"/>
      <c r="GEO48" s="21"/>
      <c r="GEP48" s="21"/>
      <c r="GET48" s="15"/>
      <c r="GEZ48" s="25"/>
      <c r="GFG48" s="21"/>
      <c r="GFH48" s="21"/>
      <c r="GFL48" s="15"/>
      <c r="GFR48" s="25"/>
      <c r="GFY48" s="21"/>
      <c r="GFZ48" s="21"/>
      <c r="GGD48" s="15"/>
      <c r="GGJ48" s="25"/>
      <c r="GGQ48" s="21"/>
      <c r="GGR48" s="21"/>
      <c r="GGV48" s="15"/>
      <c r="GHB48" s="25"/>
      <c r="GHI48" s="21"/>
      <c r="GHJ48" s="21"/>
      <c r="GHN48" s="15"/>
      <c r="GHT48" s="25"/>
      <c r="GIA48" s="21"/>
      <c r="GIB48" s="21"/>
      <c r="GIF48" s="15"/>
      <c r="GIL48" s="25"/>
      <c r="GIS48" s="21"/>
      <c r="GIT48" s="21"/>
      <c r="GIX48" s="15"/>
      <c r="GJD48" s="25"/>
      <c r="GJK48" s="21"/>
      <c r="GJL48" s="21"/>
      <c r="GJP48" s="15"/>
      <c r="GJV48" s="25"/>
      <c r="GKC48" s="21"/>
      <c r="GKD48" s="21"/>
      <c r="GKH48" s="15"/>
      <c r="GKN48" s="25"/>
      <c r="GKU48" s="21"/>
      <c r="GKV48" s="21"/>
      <c r="GKZ48" s="15"/>
      <c r="GLF48" s="25"/>
      <c r="GLM48" s="21"/>
      <c r="GLN48" s="21"/>
      <c r="GLR48" s="15"/>
      <c r="GLX48" s="25"/>
      <c r="GME48" s="21"/>
      <c r="GMF48" s="21"/>
      <c r="GMJ48" s="15"/>
      <c r="GMP48" s="25"/>
      <c r="GMW48" s="21"/>
      <c r="GMX48" s="21"/>
      <c r="GNB48" s="15"/>
      <c r="GNH48" s="25"/>
      <c r="GNO48" s="21"/>
      <c r="GNP48" s="21"/>
      <c r="GNT48" s="15"/>
      <c r="GNZ48" s="25"/>
      <c r="GOG48" s="21"/>
      <c r="GOH48" s="21"/>
      <c r="GOL48" s="15"/>
      <c r="GOR48" s="25"/>
      <c r="GOY48" s="21"/>
      <c r="GOZ48" s="21"/>
      <c r="GPD48" s="15"/>
      <c r="GPJ48" s="25"/>
      <c r="GPQ48" s="21"/>
      <c r="GPR48" s="21"/>
      <c r="GPV48" s="15"/>
      <c r="GQB48" s="25"/>
      <c r="GQI48" s="21"/>
      <c r="GQJ48" s="21"/>
      <c r="GQN48" s="15"/>
      <c r="GQT48" s="25"/>
      <c r="GRA48" s="21"/>
      <c r="GRB48" s="21"/>
      <c r="GRF48" s="15"/>
      <c r="GRL48" s="25"/>
      <c r="GRS48" s="21"/>
      <c r="GRT48" s="21"/>
      <c r="GRX48" s="15"/>
      <c r="GSD48" s="25"/>
      <c r="GSK48" s="21"/>
      <c r="GSL48" s="21"/>
      <c r="GSP48" s="15"/>
      <c r="GSV48" s="25"/>
      <c r="GTC48" s="21"/>
      <c r="GTD48" s="21"/>
      <c r="GTH48" s="15"/>
      <c r="GTN48" s="25"/>
      <c r="GTU48" s="21"/>
      <c r="GTV48" s="21"/>
      <c r="GTZ48" s="15"/>
      <c r="GUF48" s="25"/>
      <c r="GUM48" s="21"/>
      <c r="GUN48" s="21"/>
      <c r="GUR48" s="15"/>
      <c r="GUX48" s="25"/>
      <c r="GVE48" s="21"/>
      <c r="GVF48" s="21"/>
      <c r="GVJ48" s="15"/>
      <c r="GVP48" s="25"/>
      <c r="GVW48" s="21"/>
      <c r="GVX48" s="21"/>
      <c r="GWB48" s="15"/>
      <c r="GWH48" s="25"/>
      <c r="GWO48" s="21"/>
      <c r="GWP48" s="21"/>
      <c r="GWT48" s="15"/>
      <c r="GWZ48" s="25"/>
      <c r="GXG48" s="21"/>
      <c r="GXH48" s="21"/>
      <c r="GXL48" s="15"/>
      <c r="GXR48" s="25"/>
      <c r="GXY48" s="21"/>
      <c r="GXZ48" s="21"/>
      <c r="GYD48" s="15"/>
      <c r="GYJ48" s="25"/>
      <c r="GYQ48" s="21"/>
      <c r="GYR48" s="21"/>
      <c r="GYV48" s="15"/>
      <c r="GZB48" s="25"/>
      <c r="GZI48" s="21"/>
      <c r="GZJ48" s="21"/>
      <c r="GZN48" s="15"/>
      <c r="GZT48" s="25"/>
      <c r="HAA48" s="21"/>
      <c r="HAB48" s="21"/>
      <c r="HAF48" s="15"/>
      <c r="HAL48" s="25"/>
      <c r="HAS48" s="21"/>
      <c r="HAT48" s="21"/>
      <c r="HAX48" s="15"/>
      <c r="HBD48" s="25"/>
      <c r="HBK48" s="21"/>
      <c r="HBL48" s="21"/>
      <c r="HBP48" s="15"/>
      <c r="HBV48" s="25"/>
      <c r="HCC48" s="21"/>
      <c r="HCD48" s="21"/>
      <c r="HCH48" s="15"/>
      <c r="HCN48" s="25"/>
      <c r="HCU48" s="21"/>
      <c r="HCV48" s="21"/>
      <c r="HCZ48" s="15"/>
      <c r="HDF48" s="25"/>
      <c r="HDM48" s="21"/>
      <c r="HDN48" s="21"/>
      <c r="HDR48" s="15"/>
      <c r="HDX48" s="25"/>
      <c r="HEE48" s="21"/>
      <c r="HEF48" s="21"/>
      <c r="HEJ48" s="15"/>
      <c r="HEP48" s="25"/>
      <c r="HEW48" s="21"/>
      <c r="HEX48" s="21"/>
      <c r="HFB48" s="15"/>
      <c r="HFH48" s="25"/>
      <c r="HFO48" s="21"/>
      <c r="HFP48" s="21"/>
      <c r="HFT48" s="15"/>
      <c r="HFZ48" s="25"/>
      <c r="HGG48" s="21"/>
      <c r="HGH48" s="21"/>
      <c r="HGL48" s="15"/>
      <c r="HGR48" s="25"/>
      <c r="HGY48" s="21"/>
      <c r="HGZ48" s="21"/>
      <c r="HHD48" s="15"/>
      <c r="HHJ48" s="25"/>
      <c r="HHQ48" s="21"/>
      <c r="HHR48" s="21"/>
      <c r="HHV48" s="15"/>
      <c r="HIB48" s="25"/>
      <c r="HII48" s="21"/>
      <c r="HIJ48" s="21"/>
      <c r="HIN48" s="15"/>
      <c r="HIT48" s="25"/>
      <c r="HJA48" s="21"/>
      <c r="HJB48" s="21"/>
      <c r="HJF48" s="15"/>
      <c r="HJL48" s="25"/>
      <c r="HJS48" s="21"/>
      <c r="HJT48" s="21"/>
      <c r="HJX48" s="15"/>
      <c r="HKD48" s="25"/>
      <c r="HKK48" s="21"/>
      <c r="HKL48" s="21"/>
      <c r="HKP48" s="15"/>
      <c r="HKV48" s="25"/>
      <c r="HLC48" s="21"/>
      <c r="HLD48" s="21"/>
      <c r="HLH48" s="15"/>
      <c r="HLN48" s="25"/>
      <c r="HLU48" s="21"/>
      <c r="HLV48" s="21"/>
      <c r="HLZ48" s="15"/>
      <c r="HMF48" s="25"/>
      <c r="HMM48" s="21"/>
      <c r="HMN48" s="21"/>
      <c r="HMR48" s="15"/>
      <c r="HMX48" s="25"/>
      <c r="HNE48" s="21"/>
      <c r="HNF48" s="21"/>
      <c r="HNJ48" s="15"/>
      <c r="HNP48" s="25"/>
      <c r="HNW48" s="21"/>
      <c r="HNX48" s="21"/>
      <c r="HOB48" s="15"/>
      <c r="HOH48" s="25"/>
      <c r="HOO48" s="21"/>
      <c r="HOP48" s="21"/>
      <c r="HOT48" s="15"/>
      <c r="HOZ48" s="25"/>
      <c r="HPG48" s="21"/>
      <c r="HPH48" s="21"/>
      <c r="HPL48" s="15"/>
      <c r="HPR48" s="25"/>
      <c r="HPY48" s="21"/>
      <c r="HPZ48" s="21"/>
      <c r="HQD48" s="15"/>
      <c r="HQJ48" s="25"/>
      <c r="HQQ48" s="21"/>
      <c r="HQR48" s="21"/>
      <c r="HQV48" s="15"/>
      <c r="HRB48" s="25"/>
      <c r="HRI48" s="21"/>
      <c r="HRJ48" s="21"/>
      <c r="HRN48" s="15"/>
      <c r="HRT48" s="25"/>
      <c r="HSA48" s="21"/>
      <c r="HSB48" s="21"/>
      <c r="HSF48" s="15"/>
      <c r="HSL48" s="25"/>
      <c r="HSS48" s="21"/>
      <c r="HST48" s="21"/>
      <c r="HSX48" s="15"/>
      <c r="HTD48" s="25"/>
      <c r="HTK48" s="21"/>
      <c r="HTL48" s="21"/>
      <c r="HTP48" s="15"/>
      <c r="HTV48" s="25"/>
      <c r="HUC48" s="21"/>
      <c r="HUD48" s="21"/>
      <c r="HUH48" s="15"/>
      <c r="HUN48" s="25"/>
      <c r="HUU48" s="21"/>
      <c r="HUV48" s="21"/>
      <c r="HUZ48" s="15"/>
      <c r="HVF48" s="25"/>
      <c r="HVM48" s="21"/>
      <c r="HVN48" s="21"/>
      <c r="HVR48" s="15"/>
      <c r="HVX48" s="25"/>
      <c r="HWE48" s="21"/>
      <c r="HWF48" s="21"/>
      <c r="HWJ48" s="15"/>
      <c r="HWP48" s="25"/>
      <c r="HWW48" s="21"/>
      <c r="HWX48" s="21"/>
      <c r="HXB48" s="15"/>
      <c r="HXH48" s="25"/>
      <c r="HXO48" s="21"/>
      <c r="HXP48" s="21"/>
      <c r="HXT48" s="15"/>
      <c r="HXZ48" s="25"/>
      <c r="HYG48" s="21"/>
      <c r="HYH48" s="21"/>
      <c r="HYL48" s="15"/>
      <c r="HYR48" s="25"/>
      <c r="HYY48" s="21"/>
      <c r="HYZ48" s="21"/>
      <c r="HZD48" s="15"/>
      <c r="HZJ48" s="25"/>
      <c r="HZQ48" s="21"/>
      <c r="HZR48" s="21"/>
      <c r="HZV48" s="15"/>
      <c r="IAB48" s="25"/>
      <c r="IAI48" s="21"/>
      <c r="IAJ48" s="21"/>
      <c r="IAN48" s="15"/>
      <c r="IAT48" s="25"/>
      <c r="IBA48" s="21"/>
      <c r="IBB48" s="21"/>
      <c r="IBF48" s="15"/>
      <c r="IBL48" s="25"/>
      <c r="IBS48" s="21"/>
      <c r="IBT48" s="21"/>
      <c r="IBX48" s="15"/>
      <c r="ICD48" s="25"/>
      <c r="ICK48" s="21"/>
      <c r="ICL48" s="21"/>
      <c r="ICP48" s="15"/>
      <c r="ICV48" s="25"/>
      <c r="IDC48" s="21"/>
      <c r="IDD48" s="21"/>
      <c r="IDH48" s="15"/>
      <c r="IDN48" s="25"/>
      <c r="IDU48" s="21"/>
      <c r="IDV48" s="21"/>
      <c r="IDZ48" s="15"/>
      <c r="IEF48" s="25"/>
      <c r="IEM48" s="21"/>
      <c r="IEN48" s="21"/>
      <c r="IER48" s="15"/>
      <c r="IEX48" s="25"/>
      <c r="IFE48" s="21"/>
      <c r="IFF48" s="21"/>
      <c r="IFJ48" s="15"/>
      <c r="IFP48" s="25"/>
      <c r="IFW48" s="21"/>
      <c r="IFX48" s="21"/>
      <c r="IGB48" s="15"/>
      <c r="IGH48" s="25"/>
      <c r="IGO48" s="21"/>
      <c r="IGP48" s="21"/>
      <c r="IGT48" s="15"/>
      <c r="IGZ48" s="25"/>
      <c r="IHG48" s="21"/>
      <c r="IHH48" s="21"/>
      <c r="IHL48" s="15"/>
      <c r="IHR48" s="25"/>
      <c r="IHY48" s="21"/>
      <c r="IHZ48" s="21"/>
      <c r="IID48" s="15"/>
      <c r="IIJ48" s="25"/>
      <c r="IIQ48" s="21"/>
      <c r="IIR48" s="21"/>
      <c r="IIV48" s="15"/>
      <c r="IJB48" s="25"/>
      <c r="IJI48" s="21"/>
      <c r="IJJ48" s="21"/>
      <c r="IJN48" s="15"/>
      <c r="IJT48" s="25"/>
      <c r="IKA48" s="21"/>
      <c r="IKB48" s="21"/>
      <c r="IKF48" s="15"/>
      <c r="IKL48" s="25"/>
      <c r="IKS48" s="21"/>
      <c r="IKT48" s="21"/>
      <c r="IKX48" s="15"/>
      <c r="ILD48" s="25"/>
      <c r="ILK48" s="21"/>
      <c r="ILL48" s="21"/>
      <c r="ILP48" s="15"/>
      <c r="ILV48" s="25"/>
      <c r="IMC48" s="21"/>
      <c r="IMD48" s="21"/>
      <c r="IMH48" s="15"/>
      <c r="IMN48" s="25"/>
      <c r="IMU48" s="21"/>
      <c r="IMV48" s="21"/>
      <c r="IMZ48" s="15"/>
      <c r="INF48" s="25"/>
      <c r="INM48" s="21"/>
      <c r="INN48" s="21"/>
      <c r="INR48" s="15"/>
      <c r="INX48" s="25"/>
      <c r="IOE48" s="21"/>
      <c r="IOF48" s="21"/>
      <c r="IOJ48" s="15"/>
      <c r="IOP48" s="25"/>
      <c r="IOW48" s="21"/>
      <c r="IOX48" s="21"/>
      <c r="IPB48" s="15"/>
      <c r="IPH48" s="25"/>
      <c r="IPO48" s="21"/>
      <c r="IPP48" s="21"/>
      <c r="IPT48" s="15"/>
      <c r="IPZ48" s="25"/>
      <c r="IQG48" s="21"/>
      <c r="IQH48" s="21"/>
      <c r="IQL48" s="15"/>
      <c r="IQR48" s="25"/>
      <c r="IQY48" s="21"/>
      <c r="IQZ48" s="21"/>
      <c r="IRD48" s="15"/>
      <c r="IRJ48" s="25"/>
      <c r="IRQ48" s="21"/>
      <c r="IRR48" s="21"/>
      <c r="IRV48" s="15"/>
      <c r="ISB48" s="25"/>
      <c r="ISI48" s="21"/>
      <c r="ISJ48" s="21"/>
      <c r="ISN48" s="15"/>
      <c r="IST48" s="25"/>
      <c r="ITA48" s="21"/>
      <c r="ITB48" s="21"/>
      <c r="ITF48" s="15"/>
      <c r="ITL48" s="25"/>
      <c r="ITS48" s="21"/>
      <c r="ITT48" s="21"/>
      <c r="ITX48" s="15"/>
      <c r="IUD48" s="25"/>
      <c r="IUK48" s="21"/>
      <c r="IUL48" s="21"/>
      <c r="IUP48" s="15"/>
      <c r="IUV48" s="25"/>
      <c r="IVC48" s="21"/>
      <c r="IVD48" s="21"/>
      <c r="IVH48" s="15"/>
      <c r="IVN48" s="25"/>
      <c r="IVU48" s="21"/>
      <c r="IVV48" s="21"/>
      <c r="IVZ48" s="15"/>
      <c r="IWF48" s="25"/>
      <c r="IWM48" s="21"/>
      <c r="IWN48" s="21"/>
      <c r="IWR48" s="15"/>
      <c r="IWX48" s="25"/>
      <c r="IXE48" s="21"/>
      <c r="IXF48" s="21"/>
      <c r="IXJ48" s="15"/>
      <c r="IXP48" s="25"/>
      <c r="IXW48" s="21"/>
      <c r="IXX48" s="21"/>
      <c r="IYB48" s="15"/>
      <c r="IYH48" s="25"/>
      <c r="IYO48" s="21"/>
      <c r="IYP48" s="21"/>
      <c r="IYT48" s="15"/>
      <c r="IYZ48" s="25"/>
      <c r="IZG48" s="21"/>
      <c r="IZH48" s="21"/>
      <c r="IZL48" s="15"/>
      <c r="IZR48" s="25"/>
      <c r="IZY48" s="21"/>
      <c r="IZZ48" s="21"/>
      <c r="JAD48" s="15"/>
      <c r="JAJ48" s="25"/>
      <c r="JAQ48" s="21"/>
      <c r="JAR48" s="21"/>
      <c r="JAV48" s="15"/>
      <c r="JBB48" s="25"/>
      <c r="JBI48" s="21"/>
      <c r="JBJ48" s="21"/>
      <c r="JBN48" s="15"/>
      <c r="JBT48" s="25"/>
      <c r="JCA48" s="21"/>
      <c r="JCB48" s="21"/>
      <c r="JCF48" s="15"/>
      <c r="JCL48" s="25"/>
      <c r="JCS48" s="21"/>
      <c r="JCT48" s="21"/>
      <c r="JCX48" s="15"/>
      <c r="JDD48" s="25"/>
      <c r="JDK48" s="21"/>
      <c r="JDL48" s="21"/>
      <c r="JDP48" s="15"/>
      <c r="JDV48" s="25"/>
      <c r="JEC48" s="21"/>
      <c r="JED48" s="21"/>
      <c r="JEH48" s="15"/>
      <c r="JEN48" s="25"/>
      <c r="JEU48" s="21"/>
      <c r="JEV48" s="21"/>
      <c r="JEZ48" s="15"/>
      <c r="JFF48" s="25"/>
      <c r="JFM48" s="21"/>
      <c r="JFN48" s="21"/>
      <c r="JFR48" s="15"/>
      <c r="JFX48" s="25"/>
      <c r="JGE48" s="21"/>
      <c r="JGF48" s="21"/>
      <c r="JGJ48" s="15"/>
      <c r="JGP48" s="25"/>
      <c r="JGW48" s="21"/>
      <c r="JGX48" s="21"/>
      <c r="JHB48" s="15"/>
      <c r="JHH48" s="25"/>
      <c r="JHO48" s="21"/>
      <c r="JHP48" s="21"/>
      <c r="JHT48" s="15"/>
      <c r="JHZ48" s="25"/>
      <c r="JIG48" s="21"/>
      <c r="JIH48" s="21"/>
      <c r="JIL48" s="15"/>
      <c r="JIR48" s="25"/>
      <c r="JIY48" s="21"/>
      <c r="JIZ48" s="21"/>
      <c r="JJD48" s="15"/>
      <c r="JJJ48" s="25"/>
      <c r="JJQ48" s="21"/>
      <c r="JJR48" s="21"/>
      <c r="JJV48" s="15"/>
      <c r="JKB48" s="25"/>
      <c r="JKI48" s="21"/>
      <c r="JKJ48" s="21"/>
      <c r="JKN48" s="15"/>
      <c r="JKT48" s="25"/>
      <c r="JLA48" s="21"/>
      <c r="JLB48" s="21"/>
      <c r="JLF48" s="15"/>
      <c r="JLL48" s="25"/>
      <c r="JLS48" s="21"/>
      <c r="JLT48" s="21"/>
      <c r="JLX48" s="15"/>
      <c r="JMD48" s="25"/>
      <c r="JMK48" s="21"/>
      <c r="JML48" s="21"/>
      <c r="JMP48" s="15"/>
      <c r="JMV48" s="25"/>
      <c r="JNC48" s="21"/>
      <c r="JND48" s="21"/>
      <c r="JNH48" s="15"/>
      <c r="JNN48" s="25"/>
      <c r="JNU48" s="21"/>
      <c r="JNV48" s="21"/>
      <c r="JNZ48" s="15"/>
      <c r="JOF48" s="25"/>
      <c r="JOM48" s="21"/>
      <c r="JON48" s="21"/>
      <c r="JOR48" s="15"/>
      <c r="JOX48" s="25"/>
      <c r="JPE48" s="21"/>
      <c r="JPF48" s="21"/>
      <c r="JPJ48" s="15"/>
      <c r="JPP48" s="25"/>
      <c r="JPW48" s="21"/>
      <c r="JPX48" s="21"/>
      <c r="JQB48" s="15"/>
      <c r="JQH48" s="25"/>
      <c r="JQO48" s="21"/>
      <c r="JQP48" s="21"/>
      <c r="JQT48" s="15"/>
      <c r="JQZ48" s="25"/>
      <c r="JRG48" s="21"/>
      <c r="JRH48" s="21"/>
      <c r="JRL48" s="15"/>
      <c r="JRR48" s="25"/>
      <c r="JRY48" s="21"/>
      <c r="JRZ48" s="21"/>
      <c r="JSD48" s="15"/>
      <c r="JSJ48" s="25"/>
      <c r="JSQ48" s="21"/>
      <c r="JSR48" s="21"/>
      <c r="JSV48" s="15"/>
      <c r="JTB48" s="25"/>
      <c r="JTI48" s="21"/>
      <c r="JTJ48" s="21"/>
      <c r="JTN48" s="15"/>
      <c r="JTT48" s="25"/>
      <c r="JUA48" s="21"/>
      <c r="JUB48" s="21"/>
      <c r="JUF48" s="15"/>
      <c r="JUL48" s="25"/>
      <c r="JUS48" s="21"/>
      <c r="JUT48" s="21"/>
      <c r="JUX48" s="15"/>
      <c r="JVD48" s="25"/>
      <c r="JVK48" s="21"/>
      <c r="JVL48" s="21"/>
      <c r="JVP48" s="15"/>
      <c r="JVV48" s="25"/>
      <c r="JWC48" s="21"/>
      <c r="JWD48" s="21"/>
      <c r="JWH48" s="15"/>
      <c r="JWN48" s="25"/>
      <c r="JWU48" s="21"/>
      <c r="JWV48" s="21"/>
      <c r="JWZ48" s="15"/>
      <c r="JXF48" s="25"/>
      <c r="JXM48" s="21"/>
      <c r="JXN48" s="21"/>
      <c r="JXR48" s="15"/>
      <c r="JXX48" s="25"/>
      <c r="JYE48" s="21"/>
      <c r="JYF48" s="21"/>
      <c r="JYJ48" s="15"/>
      <c r="JYP48" s="25"/>
      <c r="JYW48" s="21"/>
      <c r="JYX48" s="21"/>
      <c r="JZB48" s="15"/>
      <c r="JZH48" s="25"/>
      <c r="JZO48" s="21"/>
      <c r="JZP48" s="21"/>
      <c r="JZT48" s="15"/>
      <c r="JZZ48" s="25"/>
      <c r="KAG48" s="21"/>
      <c r="KAH48" s="21"/>
      <c r="KAL48" s="15"/>
      <c r="KAR48" s="25"/>
      <c r="KAY48" s="21"/>
      <c r="KAZ48" s="21"/>
      <c r="KBD48" s="15"/>
      <c r="KBJ48" s="25"/>
      <c r="KBQ48" s="21"/>
      <c r="KBR48" s="21"/>
      <c r="KBV48" s="15"/>
      <c r="KCB48" s="25"/>
      <c r="KCI48" s="21"/>
      <c r="KCJ48" s="21"/>
      <c r="KCN48" s="15"/>
      <c r="KCT48" s="25"/>
      <c r="KDA48" s="21"/>
      <c r="KDB48" s="21"/>
      <c r="KDF48" s="15"/>
      <c r="KDL48" s="25"/>
      <c r="KDS48" s="21"/>
      <c r="KDT48" s="21"/>
      <c r="KDX48" s="15"/>
      <c r="KED48" s="25"/>
      <c r="KEK48" s="21"/>
      <c r="KEL48" s="21"/>
      <c r="KEP48" s="15"/>
      <c r="KEV48" s="25"/>
      <c r="KFC48" s="21"/>
      <c r="KFD48" s="21"/>
      <c r="KFH48" s="15"/>
      <c r="KFN48" s="25"/>
      <c r="KFU48" s="21"/>
      <c r="KFV48" s="21"/>
      <c r="KFZ48" s="15"/>
      <c r="KGF48" s="25"/>
      <c r="KGM48" s="21"/>
      <c r="KGN48" s="21"/>
      <c r="KGR48" s="15"/>
      <c r="KGX48" s="25"/>
      <c r="KHE48" s="21"/>
      <c r="KHF48" s="21"/>
      <c r="KHJ48" s="15"/>
      <c r="KHP48" s="25"/>
      <c r="KHW48" s="21"/>
      <c r="KHX48" s="21"/>
      <c r="KIB48" s="15"/>
      <c r="KIH48" s="25"/>
      <c r="KIO48" s="21"/>
      <c r="KIP48" s="21"/>
      <c r="KIT48" s="15"/>
      <c r="KIZ48" s="25"/>
      <c r="KJG48" s="21"/>
      <c r="KJH48" s="21"/>
      <c r="KJL48" s="15"/>
      <c r="KJR48" s="25"/>
      <c r="KJY48" s="21"/>
      <c r="KJZ48" s="21"/>
      <c r="KKD48" s="15"/>
      <c r="KKJ48" s="25"/>
      <c r="KKQ48" s="21"/>
      <c r="KKR48" s="21"/>
      <c r="KKV48" s="15"/>
      <c r="KLB48" s="25"/>
      <c r="KLI48" s="21"/>
      <c r="KLJ48" s="21"/>
      <c r="KLN48" s="15"/>
      <c r="KLT48" s="25"/>
      <c r="KMA48" s="21"/>
      <c r="KMB48" s="21"/>
      <c r="KMF48" s="15"/>
      <c r="KML48" s="25"/>
      <c r="KMS48" s="21"/>
      <c r="KMT48" s="21"/>
      <c r="KMX48" s="15"/>
      <c r="KND48" s="25"/>
      <c r="KNK48" s="21"/>
      <c r="KNL48" s="21"/>
      <c r="KNP48" s="15"/>
      <c r="KNV48" s="25"/>
      <c r="KOC48" s="21"/>
      <c r="KOD48" s="21"/>
      <c r="KOH48" s="15"/>
      <c r="KON48" s="25"/>
      <c r="KOU48" s="21"/>
      <c r="KOV48" s="21"/>
      <c r="KOZ48" s="15"/>
      <c r="KPF48" s="25"/>
      <c r="KPM48" s="21"/>
      <c r="KPN48" s="21"/>
      <c r="KPR48" s="15"/>
      <c r="KPX48" s="25"/>
      <c r="KQE48" s="21"/>
      <c r="KQF48" s="21"/>
      <c r="KQJ48" s="15"/>
      <c r="KQP48" s="25"/>
      <c r="KQW48" s="21"/>
      <c r="KQX48" s="21"/>
      <c r="KRB48" s="15"/>
      <c r="KRH48" s="25"/>
      <c r="KRO48" s="21"/>
      <c r="KRP48" s="21"/>
      <c r="KRT48" s="15"/>
      <c r="KRZ48" s="25"/>
      <c r="KSG48" s="21"/>
      <c r="KSH48" s="21"/>
      <c r="KSL48" s="15"/>
      <c r="KSR48" s="25"/>
      <c r="KSY48" s="21"/>
      <c r="KSZ48" s="21"/>
      <c r="KTD48" s="15"/>
      <c r="KTJ48" s="25"/>
      <c r="KTQ48" s="21"/>
      <c r="KTR48" s="21"/>
      <c r="KTV48" s="15"/>
      <c r="KUB48" s="25"/>
      <c r="KUI48" s="21"/>
      <c r="KUJ48" s="21"/>
      <c r="KUN48" s="15"/>
      <c r="KUT48" s="25"/>
      <c r="KVA48" s="21"/>
      <c r="KVB48" s="21"/>
      <c r="KVF48" s="15"/>
      <c r="KVL48" s="25"/>
      <c r="KVS48" s="21"/>
      <c r="KVT48" s="21"/>
      <c r="KVX48" s="15"/>
      <c r="KWD48" s="25"/>
      <c r="KWK48" s="21"/>
      <c r="KWL48" s="21"/>
      <c r="KWP48" s="15"/>
      <c r="KWV48" s="25"/>
      <c r="KXC48" s="21"/>
      <c r="KXD48" s="21"/>
      <c r="KXH48" s="15"/>
      <c r="KXN48" s="25"/>
      <c r="KXU48" s="21"/>
      <c r="KXV48" s="21"/>
      <c r="KXZ48" s="15"/>
      <c r="KYF48" s="25"/>
      <c r="KYM48" s="21"/>
      <c r="KYN48" s="21"/>
      <c r="KYR48" s="15"/>
      <c r="KYX48" s="25"/>
      <c r="KZE48" s="21"/>
      <c r="KZF48" s="21"/>
      <c r="KZJ48" s="15"/>
      <c r="KZP48" s="25"/>
      <c r="KZW48" s="21"/>
      <c r="KZX48" s="21"/>
      <c r="LAB48" s="15"/>
      <c r="LAH48" s="25"/>
      <c r="LAO48" s="21"/>
      <c r="LAP48" s="21"/>
      <c r="LAT48" s="15"/>
      <c r="LAZ48" s="25"/>
      <c r="LBG48" s="21"/>
      <c r="LBH48" s="21"/>
      <c r="LBL48" s="15"/>
      <c r="LBR48" s="25"/>
      <c r="LBY48" s="21"/>
      <c r="LBZ48" s="21"/>
      <c r="LCD48" s="15"/>
      <c r="LCJ48" s="25"/>
      <c r="LCQ48" s="21"/>
      <c r="LCR48" s="21"/>
      <c r="LCV48" s="15"/>
      <c r="LDB48" s="25"/>
      <c r="LDI48" s="21"/>
      <c r="LDJ48" s="21"/>
      <c r="LDN48" s="15"/>
      <c r="LDT48" s="25"/>
      <c r="LEA48" s="21"/>
      <c r="LEB48" s="21"/>
      <c r="LEF48" s="15"/>
      <c r="LEL48" s="25"/>
      <c r="LES48" s="21"/>
      <c r="LET48" s="21"/>
      <c r="LEX48" s="15"/>
      <c r="LFD48" s="25"/>
      <c r="LFK48" s="21"/>
      <c r="LFL48" s="21"/>
      <c r="LFP48" s="15"/>
      <c r="LFV48" s="25"/>
      <c r="LGC48" s="21"/>
      <c r="LGD48" s="21"/>
      <c r="LGH48" s="15"/>
      <c r="LGN48" s="25"/>
      <c r="LGU48" s="21"/>
      <c r="LGV48" s="21"/>
      <c r="LGZ48" s="15"/>
      <c r="LHF48" s="25"/>
      <c r="LHM48" s="21"/>
      <c r="LHN48" s="21"/>
      <c r="LHR48" s="15"/>
      <c r="LHX48" s="25"/>
      <c r="LIE48" s="21"/>
      <c r="LIF48" s="21"/>
      <c r="LIJ48" s="15"/>
      <c r="LIP48" s="25"/>
      <c r="LIW48" s="21"/>
      <c r="LIX48" s="21"/>
      <c r="LJB48" s="15"/>
      <c r="LJH48" s="25"/>
      <c r="LJO48" s="21"/>
      <c r="LJP48" s="21"/>
      <c r="LJT48" s="15"/>
      <c r="LJZ48" s="25"/>
      <c r="LKG48" s="21"/>
      <c r="LKH48" s="21"/>
      <c r="LKL48" s="15"/>
      <c r="LKR48" s="25"/>
      <c r="LKY48" s="21"/>
      <c r="LKZ48" s="21"/>
      <c r="LLD48" s="15"/>
      <c r="LLJ48" s="25"/>
      <c r="LLQ48" s="21"/>
      <c r="LLR48" s="21"/>
      <c r="LLV48" s="15"/>
      <c r="LMB48" s="25"/>
      <c r="LMI48" s="21"/>
      <c r="LMJ48" s="21"/>
      <c r="LMN48" s="15"/>
      <c r="LMT48" s="25"/>
      <c r="LNA48" s="21"/>
      <c r="LNB48" s="21"/>
      <c r="LNF48" s="15"/>
      <c r="LNL48" s="25"/>
      <c r="LNS48" s="21"/>
      <c r="LNT48" s="21"/>
      <c r="LNX48" s="15"/>
      <c r="LOD48" s="25"/>
      <c r="LOK48" s="21"/>
      <c r="LOL48" s="21"/>
      <c r="LOP48" s="15"/>
      <c r="LOV48" s="25"/>
      <c r="LPC48" s="21"/>
      <c r="LPD48" s="21"/>
      <c r="LPH48" s="15"/>
      <c r="LPN48" s="25"/>
      <c r="LPU48" s="21"/>
      <c r="LPV48" s="21"/>
      <c r="LPZ48" s="15"/>
      <c r="LQF48" s="25"/>
      <c r="LQM48" s="21"/>
      <c r="LQN48" s="21"/>
      <c r="LQR48" s="15"/>
      <c r="LQX48" s="25"/>
      <c r="LRE48" s="21"/>
      <c r="LRF48" s="21"/>
      <c r="LRJ48" s="15"/>
      <c r="LRP48" s="25"/>
      <c r="LRW48" s="21"/>
      <c r="LRX48" s="21"/>
      <c r="LSB48" s="15"/>
      <c r="LSH48" s="25"/>
      <c r="LSO48" s="21"/>
      <c r="LSP48" s="21"/>
      <c r="LST48" s="15"/>
      <c r="LSZ48" s="25"/>
      <c r="LTG48" s="21"/>
      <c r="LTH48" s="21"/>
      <c r="LTL48" s="15"/>
      <c r="LTR48" s="25"/>
      <c r="LTY48" s="21"/>
      <c r="LTZ48" s="21"/>
      <c r="LUD48" s="15"/>
      <c r="LUJ48" s="25"/>
      <c r="LUQ48" s="21"/>
      <c r="LUR48" s="21"/>
      <c r="LUV48" s="15"/>
      <c r="LVB48" s="25"/>
      <c r="LVI48" s="21"/>
      <c r="LVJ48" s="21"/>
      <c r="LVN48" s="15"/>
      <c r="LVT48" s="25"/>
      <c r="LWA48" s="21"/>
      <c r="LWB48" s="21"/>
      <c r="LWF48" s="15"/>
      <c r="LWL48" s="25"/>
      <c r="LWS48" s="21"/>
      <c r="LWT48" s="21"/>
      <c r="LWX48" s="15"/>
      <c r="LXD48" s="25"/>
      <c r="LXK48" s="21"/>
      <c r="LXL48" s="21"/>
      <c r="LXP48" s="15"/>
      <c r="LXV48" s="25"/>
      <c r="LYC48" s="21"/>
      <c r="LYD48" s="21"/>
      <c r="LYH48" s="15"/>
      <c r="LYN48" s="25"/>
      <c r="LYU48" s="21"/>
      <c r="LYV48" s="21"/>
      <c r="LYZ48" s="15"/>
      <c r="LZF48" s="25"/>
      <c r="LZM48" s="21"/>
      <c r="LZN48" s="21"/>
      <c r="LZR48" s="15"/>
      <c r="LZX48" s="25"/>
      <c r="MAE48" s="21"/>
      <c r="MAF48" s="21"/>
      <c r="MAJ48" s="15"/>
      <c r="MAP48" s="25"/>
      <c r="MAW48" s="21"/>
      <c r="MAX48" s="21"/>
      <c r="MBB48" s="15"/>
      <c r="MBH48" s="25"/>
      <c r="MBO48" s="21"/>
      <c r="MBP48" s="21"/>
      <c r="MBT48" s="15"/>
      <c r="MBZ48" s="25"/>
      <c r="MCG48" s="21"/>
      <c r="MCH48" s="21"/>
      <c r="MCL48" s="15"/>
      <c r="MCR48" s="25"/>
      <c r="MCY48" s="21"/>
      <c r="MCZ48" s="21"/>
      <c r="MDD48" s="15"/>
      <c r="MDJ48" s="25"/>
      <c r="MDQ48" s="21"/>
      <c r="MDR48" s="21"/>
      <c r="MDV48" s="15"/>
      <c r="MEB48" s="25"/>
      <c r="MEI48" s="21"/>
      <c r="MEJ48" s="21"/>
      <c r="MEN48" s="15"/>
      <c r="MET48" s="25"/>
      <c r="MFA48" s="21"/>
      <c r="MFB48" s="21"/>
      <c r="MFF48" s="15"/>
      <c r="MFL48" s="25"/>
      <c r="MFS48" s="21"/>
      <c r="MFT48" s="21"/>
      <c r="MFX48" s="15"/>
      <c r="MGD48" s="25"/>
      <c r="MGK48" s="21"/>
      <c r="MGL48" s="21"/>
      <c r="MGP48" s="15"/>
      <c r="MGV48" s="25"/>
      <c r="MHC48" s="21"/>
      <c r="MHD48" s="21"/>
      <c r="MHH48" s="15"/>
      <c r="MHN48" s="25"/>
      <c r="MHU48" s="21"/>
      <c r="MHV48" s="21"/>
      <c r="MHZ48" s="15"/>
      <c r="MIF48" s="25"/>
      <c r="MIM48" s="21"/>
      <c r="MIN48" s="21"/>
      <c r="MIR48" s="15"/>
      <c r="MIX48" s="25"/>
      <c r="MJE48" s="21"/>
      <c r="MJF48" s="21"/>
      <c r="MJJ48" s="15"/>
      <c r="MJP48" s="25"/>
      <c r="MJW48" s="21"/>
      <c r="MJX48" s="21"/>
      <c r="MKB48" s="15"/>
      <c r="MKH48" s="25"/>
      <c r="MKO48" s="21"/>
      <c r="MKP48" s="21"/>
      <c r="MKT48" s="15"/>
      <c r="MKZ48" s="25"/>
      <c r="MLG48" s="21"/>
      <c r="MLH48" s="21"/>
      <c r="MLL48" s="15"/>
      <c r="MLR48" s="25"/>
      <c r="MLY48" s="21"/>
      <c r="MLZ48" s="21"/>
      <c r="MMD48" s="15"/>
      <c r="MMJ48" s="25"/>
      <c r="MMQ48" s="21"/>
      <c r="MMR48" s="21"/>
      <c r="MMV48" s="15"/>
      <c r="MNB48" s="25"/>
      <c r="MNI48" s="21"/>
      <c r="MNJ48" s="21"/>
      <c r="MNN48" s="15"/>
      <c r="MNT48" s="25"/>
      <c r="MOA48" s="21"/>
      <c r="MOB48" s="21"/>
      <c r="MOF48" s="15"/>
      <c r="MOL48" s="25"/>
      <c r="MOS48" s="21"/>
      <c r="MOT48" s="21"/>
      <c r="MOX48" s="15"/>
      <c r="MPD48" s="25"/>
      <c r="MPK48" s="21"/>
      <c r="MPL48" s="21"/>
      <c r="MPP48" s="15"/>
      <c r="MPV48" s="25"/>
      <c r="MQC48" s="21"/>
      <c r="MQD48" s="21"/>
      <c r="MQH48" s="15"/>
      <c r="MQN48" s="25"/>
      <c r="MQU48" s="21"/>
      <c r="MQV48" s="21"/>
      <c r="MQZ48" s="15"/>
      <c r="MRF48" s="25"/>
      <c r="MRM48" s="21"/>
      <c r="MRN48" s="21"/>
      <c r="MRR48" s="15"/>
      <c r="MRX48" s="25"/>
      <c r="MSE48" s="21"/>
      <c r="MSF48" s="21"/>
      <c r="MSJ48" s="15"/>
      <c r="MSP48" s="25"/>
      <c r="MSW48" s="21"/>
      <c r="MSX48" s="21"/>
      <c r="MTB48" s="15"/>
      <c r="MTH48" s="25"/>
      <c r="MTO48" s="21"/>
      <c r="MTP48" s="21"/>
      <c r="MTT48" s="15"/>
      <c r="MTZ48" s="25"/>
      <c r="MUG48" s="21"/>
      <c r="MUH48" s="21"/>
      <c r="MUL48" s="15"/>
      <c r="MUR48" s="25"/>
      <c r="MUY48" s="21"/>
      <c r="MUZ48" s="21"/>
      <c r="MVD48" s="15"/>
      <c r="MVJ48" s="25"/>
      <c r="MVQ48" s="21"/>
      <c r="MVR48" s="21"/>
      <c r="MVV48" s="15"/>
      <c r="MWB48" s="25"/>
      <c r="MWI48" s="21"/>
      <c r="MWJ48" s="21"/>
      <c r="MWN48" s="15"/>
      <c r="MWT48" s="25"/>
      <c r="MXA48" s="21"/>
      <c r="MXB48" s="21"/>
      <c r="MXF48" s="15"/>
      <c r="MXL48" s="25"/>
      <c r="MXS48" s="21"/>
      <c r="MXT48" s="21"/>
      <c r="MXX48" s="15"/>
      <c r="MYD48" s="25"/>
      <c r="MYK48" s="21"/>
      <c r="MYL48" s="21"/>
      <c r="MYP48" s="15"/>
      <c r="MYV48" s="25"/>
      <c r="MZC48" s="21"/>
      <c r="MZD48" s="21"/>
      <c r="MZH48" s="15"/>
      <c r="MZN48" s="25"/>
      <c r="MZU48" s="21"/>
      <c r="MZV48" s="21"/>
      <c r="MZZ48" s="15"/>
      <c r="NAF48" s="25"/>
      <c r="NAM48" s="21"/>
      <c r="NAN48" s="21"/>
      <c r="NAR48" s="15"/>
      <c r="NAX48" s="25"/>
      <c r="NBE48" s="21"/>
      <c r="NBF48" s="21"/>
      <c r="NBJ48" s="15"/>
      <c r="NBP48" s="25"/>
      <c r="NBW48" s="21"/>
      <c r="NBX48" s="21"/>
      <c r="NCB48" s="15"/>
      <c r="NCH48" s="25"/>
      <c r="NCO48" s="21"/>
      <c r="NCP48" s="21"/>
      <c r="NCT48" s="15"/>
      <c r="NCZ48" s="25"/>
      <c r="NDG48" s="21"/>
      <c r="NDH48" s="21"/>
      <c r="NDL48" s="15"/>
      <c r="NDR48" s="25"/>
      <c r="NDY48" s="21"/>
      <c r="NDZ48" s="21"/>
      <c r="NED48" s="15"/>
      <c r="NEJ48" s="25"/>
      <c r="NEQ48" s="21"/>
      <c r="NER48" s="21"/>
      <c r="NEV48" s="15"/>
      <c r="NFB48" s="25"/>
      <c r="NFI48" s="21"/>
      <c r="NFJ48" s="21"/>
      <c r="NFN48" s="15"/>
      <c r="NFT48" s="25"/>
      <c r="NGA48" s="21"/>
      <c r="NGB48" s="21"/>
      <c r="NGF48" s="15"/>
      <c r="NGL48" s="25"/>
      <c r="NGS48" s="21"/>
      <c r="NGT48" s="21"/>
      <c r="NGX48" s="15"/>
      <c r="NHD48" s="25"/>
      <c r="NHK48" s="21"/>
      <c r="NHL48" s="21"/>
      <c r="NHP48" s="15"/>
      <c r="NHV48" s="25"/>
      <c r="NIC48" s="21"/>
      <c r="NID48" s="21"/>
      <c r="NIH48" s="15"/>
      <c r="NIN48" s="25"/>
      <c r="NIU48" s="21"/>
      <c r="NIV48" s="21"/>
      <c r="NIZ48" s="15"/>
      <c r="NJF48" s="25"/>
      <c r="NJM48" s="21"/>
      <c r="NJN48" s="21"/>
      <c r="NJR48" s="15"/>
      <c r="NJX48" s="25"/>
      <c r="NKE48" s="21"/>
      <c r="NKF48" s="21"/>
      <c r="NKJ48" s="15"/>
      <c r="NKP48" s="25"/>
      <c r="NKW48" s="21"/>
      <c r="NKX48" s="21"/>
      <c r="NLB48" s="15"/>
      <c r="NLH48" s="25"/>
      <c r="NLO48" s="21"/>
      <c r="NLP48" s="21"/>
      <c r="NLT48" s="15"/>
      <c r="NLZ48" s="25"/>
      <c r="NMG48" s="21"/>
      <c r="NMH48" s="21"/>
      <c r="NML48" s="15"/>
      <c r="NMR48" s="25"/>
      <c r="NMY48" s="21"/>
      <c r="NMZ48" s="21"/>
      <c r="NND48" s="15"/>
      <c r="NNJ48" s="25"/>
      <c r="NNQ48" s="21"/>
      <c r="NNR48" s="21"/>
      <c r="NNV48" s="15"/>
      <c r="NOB48" s="25"/>
      <c r="NOI48" s="21"/>
      <c r="NOJ48" s="21"/>
      <c r="NON48" s="15"/>
      <c r="NOT48" s="25"/>
      <c r="NPA48" s="21"/>
      <c r="NPB48" s="21"/>
      <c r="NPF48" s="15"/>
      <c r="NPL48" s="25"/>
      <c r="NPS48" s="21"/>
      <c r="NPT48" s="21"/>
      <c r="NPX48" s="15"/>
      <c r="NQD48" s="25"/>
      <c r="NQK48" s="21"/>
      <c r="NQL48" s="21"/>
      <c r="NQP48" s="15"/>
      <c r="NQV48" s="25"/>
      <c r="NRC48" s="21"/>
      <c r="NRD48" s="21"/>
      <c r="NRH48" s="15"/>
      <c r="NRN48" s="25"/>
      <c r="NRU48" s="21"/>
      <c r="NRV48" s="21"/>
      <c r="NRZ48" s="15"/>
      <c r="NSF48" s="25"/>
      <c r="NSM48" s="21"/>
      <c r="NSN48" s="21"/>
      <c r="NSR48" s="15"/>
      <c r="NSX48" s="25"/>
      <c r="NTE48" s="21"/>
      <c r="NTF48" s="21"/>
      <c r="NTJ48" s="15"/>
      <c r="NTP48" s="25"/>
      <c r="NTW48" s="21"/>
      <c r="NTX48" s="21"/>
      <c r="NUB48" s="15"/>
      <c r="NUH48" s="25"/>
      <c r="NUO48" s="21"/>
      <c r="NUP48" s="21"/>
      <c r="NUT48" s="15"/>
      <c r="NUZ48" s="25"/>
      <c r="NVG48" s="21"/>
      <c r="NVH48" s="21"/>
      <c r="NVL48" s="15"/>
      <c r="NVR48" s="25"/>
      <c r="NVY48" s="21"/>
      <c r="NVZ48" s="21"/>
      <c r="NWD48" s="15"/>
      <c r="NWJ48" s="25"/>
      <c r="NWQ48" s="21"/>
      <c r="NWR48" s="21"/>
      <c r="NWV48" s="15"/>
      <c r="NXB48" s="25"/>
      <c r="NXI48" s="21"/>
      <c r="NXJ48" s="21"/>
      <c r="NXN48" s="15"/>
      <c r="NXT48" s="25"/>
      <c r="NYA48" s="21"/>
      <c r="NYB48" s="21"/>
      <c r="NYF48" s="15"/>
      <c r="NYL48" s="25"/>
      <c r="NYS48" s="21"/>
      <c r="NYT48" s="21"/>
      <c r="NYX48" s="15"/>
      <c r="NZD48" s="25"/>
      <c r="NZK48" s="21"/>
      <c r="NZL48" s="21"/>
      <c r="NZP48" s="15"/>
      <c r="NZV48" s="25"/>
      <c r="OAC48" s="21"/>
      <c r="OAD48" s="21"/>
      <c r="OAH48" s="15"/>
      <c r="OAN48" s="25"/>
      <c r="OAU48" s="21"/>
      <c r="OAV48" s="21"/>
      <c r="OAZ48" s="15"/>
      <c r="OBF48" s="25"/>
      <c r="OBM48" s="21"/>
      <c r="OBN48" s="21"/>
      <c r="OBR48" s="15"/>
      <c r="OBX48" s="25"/>
      <c r="OCE48" s="21"/>
      <c r="OCF48" s="21"/>
      <c r="OCJ48" s="15"/>
      <c r="OCP48" s="25"/>
      <c r="OCW48" s="21"/>
      <c r="OCX48" s="21"/>
      <c r="ODB48" s="15"/>
      <c r="ODH48" s="25"/>
      <c r="ODO48" s="21"/>
      <c r="ODP48" s="21"/>
      <c r="ODT48" s="15"/>
      <c r="ODZ48" s="25"/>
      <c r="OEG48" s="21"/>
      <c r="OEH48" s="21"/>
      <c r="OEL48" s="15"/>
      <c r="OER48" s="25"/>
      <c r="OEY48" s="21"/>
      <c r="OEZ48" s="21"/>
      <c r="OFD48" s="15"/>
      <c r="OFJ48" s="25"/>
      <c r="OFQ48" s="21"/>
      <c r="OFR48" s="21"/>
      <c r="OFV48" s="15"/>
      <c r="OGB48" s="25"/>
      <c r="OGI48" s="21"/>
      <c r="OGJ48" s="21"/>
      <c r="OGN48" s="15"/>
      <c r="OGT48" s="25"/>
      <c r="OHA48" s="21"/>
      <c r="OHB48" s="21"/>
      <c r="OHF48" s="15"/>
      <c r="OHL48" s="25"/>
      <c r="OHS48" s="21"/>
      <c r="OHT48" s="21"/>
      <c r="OHX48" s="15"/>
      <c r="OID48" s="25"/>
      <c r="OIK48" s="21"/>
      <c r="OIL48" s="21"/>
      <c r="OIP48" s="15"/>
      <c r="OIV48" s="25"/>
      <c r="OJC48" s="21"/>
      <c r="OJD48" s="21"/>
      <c r="OJH48" s="15"/>
      <c r="OJN48" s="25"/>
      <c r="OJU48" s="21"/>
      <c r="OJV48" s="21"/>
      <c r="OJZ48" s="15"/>
      <c r="OKF48" s="25"/>
      <c r="OKM48" s="21"/>
      <c r="OKN48" s="21"/>
      <c r="OKR48" s="15"/>
      <c r="OKX48" s="25"/>
      <c r="OLE48" s="21"/>
      <c r="OLF48" s="21"/>
      <c r="OLJ48" s="15"/>
      <c r="OLP48" s="25"/>
      <c r="OLW48" s="21"/>
      <c r="OLX48" s="21"/>
      <c r="OMB48" s="15"/>
      <c r="OMH48" s="25"/>
      <c r="OMO48" s="21"/>
      <c r="OMP48" s="21"/>
      <c r="OMT48" s="15"/>
      <c r="OMZ48" s="25"/>
      <c r="ONG48" s="21"/>
      <c r="ONH48" s="21"/>
      <c r="ONL48" s="15"/>
      <c r="ONR48" s="25"/>
      <c r="ONY48" s="21"/>
      <c r="ONZ48" s="21"/>
      <c r="OOD48" s="15"/>
      <c r="OOJ48" s="25"/>
      <c r="OOQ48" s="21"/>
      <c r="OOR48" s="21"/>
      <c r="OOV48" s="15"/>
      <c r="OPB48" s="25"/>
      <c r="OPI48" s="21"/>
      <c r="OPJ48" s="21"/>
      <c r="OPN48" s="15"/>
      <c r="OPT48" s="25"/>
      <c r="OQA48" s="21"/>
      <c r="OQB48" s="21"/>
      <c r="OQF48" s="15"/>
      <c r="OQL48" s="25"/>
      <c r="OQS48" s="21"/>
      <c r="OQT48" s="21"/>
      <c r="OQX48" s="15"/>
      <c r="ORD48" s="25"/>
      <c r="ORK48" s="21"/>
      <c r="ORL48" s="21"/>
      <c r="ORP48" s="15"/>
      <c r="ORV48" s="25"/>
      <c r="OSC48" s="21"/>
      <c r="OSD48" s="21"/>
      <c r="OSH48" s="15"/>
      <c r="OSN48" s="25"/>
      <c r="OSU48" s="21"/>
      <c r="OSV48" s="21"/>
      <c r="OSZ48" s="15"/>
      <c r="OTF48" s="25"/>
      <c r="OTM48" s="21"/>
      <c r="OTN48" s="21"/>
      <c r="OTR48" s="15"/>
      <c r="OTX48" s="25"/>
      <c r="OUE48" s="21"/>
      <c r="OUF48" s="21"/>
      <c r="OUJ48" s="15"/>
      <c r="OUP48" s="25"/>
      <c r="OUW48" s="21"/>
      <c r="OUX48" s="21"/>
      <c r="OVB48" s="15"/>
      <c r="OVH48" s="25"/>
      <c r="OVO48" s="21"/>
      <c r="OVP48" s="21"/>
      <c r="OVT48" s="15"/>
      <c r="OVZ48" s="25"/>
      <c r="OWG48" s="21"/>
      <c r="OWH48" s="21"/>
      <c r="OWL48" s="15"/>
      <c r="OWR48" s="25"/>
      <c r="OWY48" s="21"/>
      <c r="OWZ48" s="21"/>
      <c r="OXD48" s="15"/>
      <c r="OXJ48" s="25"/>
      <c r="OXQ48" s="21"/>
      <c r="OXR48" s="21"/>
      <c r="OXV48" s="15"/>
      <c r="OYB48" s="25"/>
      <c r="OYI48" s="21"/>
      <c r="OYJ48" s="21"/>
      <c r="OYN48" s="15"/>
      <c r="OYT48" s="25"/>
      <c r="OZA48" s="21"/>
      <c r="OZB48" s="21"/>
      <c r="OZF48" s="15"/>
      <c r="OZL48" s="25"/>
      <c r="OZS48" s="21"/>
      <c r="OZT48" s="21"/>
      <c r="OZX48" s="15"/>
      <c r="PAD48" s="25"/>
      <c r="PAK48" s="21"/>
      <c r="PAL48" s="21"/>
      <c r="PAP48" s="15"/>
      <c r="PAV48" s="25"/>
      <c r="PBC48" s="21"/>
      <c r="PBD48" s="21"/>
      <c r="PBH48" s="15"/>
      <c r="PBN48" s="25"/>
      <c r="PBU48" s="21"/>
      <c r="PBV48" s="21"/>
      <c r="PBZ48" s="15"/>
      <c r="PCF48" s="25"/>
      <c r="PCM48" s="21"/>
      <c r="PCN48" s="21"/>
      <c r="PCR48" s="15"/>
      <c r="PCX48" s="25"/>
      <c r="PDE48" s="21"/>
      <c r="PDF48" s="21"/>
      <c r="PDJ48" s="15"/>
      <c r="PDP48" s="25"/>
      <c r="PDW48" s="21"/>
      <c r="PDX48" s="21"/>
      <c r="PEB48" s="15"/>
      <c r="PEH48" s="25"/>
      <c r="PEO48" s="21"/>
      <c r="PEP48" s="21"/>
      <c r="PET48" s="15"/>
      <c r="PEZ48" s="25"/>
      <c r="PFG48" s="21"/>
      <c r="PFH48" s="21"/>
      <c r="PFL48" s="15"/>
      <c r="PFR48" s="25"/>
      <c r="PFY48" s="21"/>
      <c r="PFZ48" s="21"/>
      <c r="PGD48" s="15"/>
      <c r="PGJ48" s="25"/>
      <c r="PGQ48" s="21"/>
      <c r="PGR48" s="21"/>
      <c r="PGV48" s="15"/>
      <c r="PHB48" s="25"/>
      <c r="PHI48" s="21"/>
      <c r="PHJ48" s="21"/>
      <c r="PHN48" s="15"/>
      <c r="PHT48" s="25"/>
      <c r="PIA48" s="21"/>
      <c r="PIB48" s="21"/>
      <c r="PIF48" s="15"/>
      <c r="PIL48" s="25"/>
      <c r="PIS48" s="21"/>
      <c r="PIT48" s="21"/>
      <c r="PIX48" s="15"/>
      <c r="PJD48" s="25"/>
      <c r="PJK48" s="21"/>
      <c r="PJL48" s="21"/>
      <c r="PJP48" s="15"/>
      <c r="PJV48" s="25"/>
      <c r="PKC48" s="21"/>
      <c r="PKD48" s="21"/>
      <c r="PKH48" s="15"/>
      <c r="PKN48" s="25"/>
      <c r="PKU48" s="21"/>
      <c r="PKV48" s="21"/>
      <c r="PKZ48" s="15"/>
      <c r="PLF48" s="25"/>
      <c r="PLM48" s="21"/>
      <c r="PLN48" s="21"/>
      <c r="PLR48" s="15"/>
      <c r="PLX48" s="25"/>
      <c r="PME48" s="21"/>
      <c r="PMF48" s="21"/>
      <c r="PMJ48" s="15"/>
      <c r="PMP48" s="25"/>
      <c r="PMW48" s="21"/>
      <c r="PMX48" s="21"/>
      <c r="PNB48" s="15"/>
      <c r="PNH48" s="25"/>
      <c r="PNO48" s="21"/>
      <c r="PNP48" s="21"/>
      <c r="PNT48" s="15"/>
      <c r="PNZ48" s="25"/>
      <c r="POG48" s="21"/>
      <c r="POH48" s="21"/>
      <c r="POL48" s="15"/>
      <c r="POR48" s="25"/>
      <c r="POY48" s="21"/>
      <c r="POZ48" s="21"/>
      <c r="PPD48" s="15"/>
      <c r="PPJ48" s="25"/>
      <c r="PPQ48" s="21"/>
      <c r="PPR48" s="21"/>
      <c r="PPV48" s="15"/>
      <c r="PQB48" s="25"/>
      <c r="PQI48" s="21"/>
      <c r="PQJ48" s="21"/>
      <c r="PQN48" s="15"/>
      <c r="PQT48" s="25"/>
      <c r="PRA48" s="21"/>
      <c r="PRB48" s="21"/>
      <c r="PRF48" s="15"/>
      <c r="PRL48" s="25"/>
      <c r="PRS48" s="21"/>
      <c r="PRT48" s="21"/>
      <c r="PRX48" s="15"/>
      <c r="PSD48" s="25"/>
      <c r="PSK48" s="21"/>
      <c r="PSL48" s="21"/>
      <c r="PSP48" s="15"/>
      <c r="PSV48" s="25"/>
      <c r="PTC48" s="21"/>
      <c r="PTD48" s="21"/>
      <c r="PTH48" s="15"/>
      <c r="PTN48" s="25"/>
      <c r="PTU48" s="21"/>
      <c r="PTV48" s="21"/>
      <c r="PTZ48" s="15"/>
      <c r="PUF48" s="25"/>
      <c r="PUM48" s="21"/>
      <c r="PUN48" s="21"/>
      <c r="PUR48" s="15"/>
      <c r="PUX48" s="25"/>
      <c r="PVE48" s="21"/>
      <c r="PVF48" s="21"/>
      <c r="PVJ48" s="15"/>
      <c r="PVP48" s="25"/>
      <c r="PVW48" s="21"/>
      <c r="PVX48" s="21"/>
      <c r="PWB48" s="15"/>
      <c r="PWH48" s="25"/>
      <c r="PWO48" s="21"/>
      <c r="PWP48" s="21"/>
      <c r="PWT48" s="15"/>
      <c r="PWZ48" s="25"/>
      <c r="PXG48" s="21"/>
      <c r="PXH48" s="21"/>
      <c r="PXL48" s="15"/>
      <c r="PXR48" s="25"/>
      <c r="PXY48" s="21"/>
      <c r="PXZ48" s="21"/>
      <c r="PYD48" s="15"/>
      <c r="PYJ48" s="25"/>
      <c r="PYQ48" s="21"/>
      <c r="PYR48" s="21"/>
      <c r="PYV48" s="15"/>
      <c r="PZB48" s="25"/>
      <c r="PZI48" s="21"/>
      <c r="PZJ48" s="21"/>
      <c r="PZN48" s="15"/>
      <c r="PZT48" s="25"/>
      <c r="QAA48" s="21"/>
      <c r="QAB48" s="21"/>
      <c r="QAF48" s="15"/>
      <c r="QAL48" s="25"/>
      <c r="QAS48" s="21"/>
      <c r="QAT48" s="21"/>
      <c r="QAX48" s="15"/>
      <c r="QBD48" s="25"/>
      <c r="QBK48" s="21"/>
      <c r="QBL48" s="21"/>
      <c r="QBP48" s="15"/>
      <c r="QBV48" s="25"/>
      <c r="QCC48" s="21"/>
      <c r="QCD48" s="21"/>
      <c r="QCH48" s="15"/>
      <c r="QCN48" s="25"/>
      <c r="QCU48" s="21"/>
      <c r="QCV48" s="21"/>
      <c r="QCZ48" s="15"/>
      <c r="QDF48" s="25"/>
      <c r="QDM48" s="21"/>
      <c r="QDN48" s="21"/>
      <c r="QDR48" s="15"/>
      <c r="QDX48" s="25"/>
      <c r="QEE48" s="21"/>
      <c r="QEF48" s="21"/>
      <c r="QEJ48" s="15"/>
      <c r="QEP48" s="25"/>
      <c r="QEW48" s="21"/>
      <c r="QEX48" s="21"/>
      <c r="QFB48" s="15"/>
      <c r="QFH48" s="25"/>
      <c r="QFO48" s="21"/>
      <c r="QFP48" s="21"/>
      <c r="QFT48" s="15"/>
      <c r="QFZ48" s="25"/>
      <c r="QGG48" s="21"/>
      <c r="QGH48" s="21"/>
      <c r="QGL48" s="15"/>
      <c r="QGR48" s="25"/>
      <c r="QGY48" s="21"/>
      <c r="QGZ48" s="21"/>
      <c r="QHD48" s="15"/>
      <c r="QHJ48" s="25"/>
      <c r="QHQ48" s="21"/>
      <c r="QHR48" s="21"/>
      <c r="QHV48" s="15"/>
      <c r="QIB48" s="25"/>
      <c r="QII48" s="21"/>
      <c r="QIJ48" s="21"/>
      <c r="QIN48" s="15"/>
      <c r="QIT48" s="25"/>
      <c r="QJA48" s="21"/>
      <c r="QJB48" s="21"/>
      <c r="QJF48" s="15"/>
      <c r="QJL48" s="25"/>
      <c r="QJS48" s="21"/>
      <c r="QJT48" s="21"/>
      <c r="QJX48" s="15"/>
      <c r="QKD48" s="25"/>
      <c r="QKK48" s="21"/>
      <c r="QKL48" s="21"/>
      <c r="QKP48" s="15"/>
      <c r="QKV48" s="25"/>
      <c r="QLC48" s="21"/>
      <c r="QLD48" s="21"/>
      <c r="QLH48" s="15"/>
      <c r="QLN48" s="25"/>
      <c r="QLU48" s="21"/>
      <c r="QLV48" s="21"/>
      <c r="QLZ48" s="15"/>
      <c r="QMF48" s="25"/>
      <c r="QMM48" s="21"/>
      <c r="QMN48" s="21"/>
      <c r="QMR48" s="15"/>
      <c r="QMX48" s="25"/>
      <c r="QNE48" s="21"/>
      <c r="QNF48" s="21"/>
      <c r="QNJ48" s="15"/>
      <c r="QNP48" s="25"/>
      <c r="QNW48" s="21"/>
      <c r="QNX48" s="21"/>
      <c r="QOB48" s="15"/>
      <c r="QOH48" s="25"/>
      <c r="QOO48" s="21"/>
      <c r="QOP48" s="21"/>
      <c r="QOT48" s="15"/>
      <c r="QOZ48" s="25"/>
      <c r="QPG48" s="21"/>
      <c r="QPH48" s="21"/>
      <c r="QPL48" s="15"/>
      <c r="QPR48" s="25"/>
      <c r="QPY48" s="21"/>
      <c r="QPZ48" s="21"/>
      <c r="QQD48" s="15"/>
      <c r="QQJ48" s="25"/>
      <c r="QQQ48" s="21"/>
      <c r="QQR48" s="21"/>
      <c r="QQV48" s="15"/>
      <c r="QRB48" s="25"/>
      <c r="QRI48" s="21"/>
      <c r="QRJ48" s="21"/>
      <c r="QRN48" s="15"/>
      <c r="QRT48" s="25"/>
      <c r="QSA48" s="21"/>
      <c r="QSB48" s="21"/>
      <c r="QSF48" s="15"/>
      <c r="QSL48" s="25"/>
      <c r="QSS48" s="21"/>
      <c r="QST48" s="21"/>
      <c r="QSX48" s="15"/>
      <c r="QTD48" s="25"/>
      <c r="QTK48" s="21"/>
      <c r="QTL48" s="21"/>
      <c r="QTP48" s="15"/>
      <c r="QTV48" s="25"/>
      <c r="QUC48" s="21"/>
      <c r="QUD48" s="21"/>
      <c r="QUH48" s="15"/>
      <c r="QUN48" s="25"/>
      <c r="QUU48" s="21"/>
      <c r="QUV48" s="21"/>
      <c r="QUZ48" s="15"/>
      <c r="QVF48" s="25"/>
      <c r="QVM48" s="21"/>
      <c r="QVN48" s="21"/>
      <c r="QVR48" s="15"/>
      <c r="QVX48" s="25"/>
      <c r="QWE48" s="21"/>
      <c r="QWF48" s="21"/>
      <c r="QWJ48" s="15"/>
      <c r="QWP48" s="25"/>
      <c r="QWW48" s="21"/>
      <c r="QWX48" s="21"/>
      <c r="QXB48" s="15"/>
      <c r="QXH48" s="25"/>
      <c r="QXO48" s="21"/>
      <c r="QXP48" s="21"/>
      <c r="QXT48" s="15"/>
      <c r="QXZ48" s="25"/>
      <c r="QYG48" s="21"/>
      <c r="QYH48" s="21"/>
      <c r="QYL48" s="15"/>
      <c r="QYR48" s="25"/>
      <c r="QYY48" s="21"/>
      <c r="QYZ48" s="21"/>
      <c r="QZD48" s="15"/>
      <c r="QZJ48" s="25"/>
      <c r="QZQ48" s="21"/>
      <c r="QZR48" s="21"/>
      <c r="QZV48" s="15"/>
      <c r="RAB48" s="25"/>
      <c r="RAI48" s="21"/>
      <c r="RAJ48" s="21"/>
      <c r="RAN48" s="15"/>
      <c r="RAT48" s="25"/>
      <c r="RBA48" s="21"/>
      <c r="RBB48" s="21"/>
      <c r="RBF48" s="15"/>
      <c r="RBL48" s="25"/>
      <c r="RBS48" s="21"/>
      <c r="RBT48" s="21"/>
      <c r="RBX48" s="15"/>
      <c r="RCD48" s="25"/>
      <c r="RCK48" s="21"/>
      <c r="RCL48" s="21"/>
      <c r="RCP48" s="15"/>
      <c r="RCV48" s="25"/>
      <c r="RDC48" s="21"/>
      <c r="RDD48" s="21"/>
      <c r="RDH48" s="15"/>
      <c r="RDN48" s="25"/>
      <c r="RDU48" s="21"/>
      <c r="RDV48" s="21"/>
      <c r="RDZ48" s="15"/>
      <c r="REF48" s="25"/>
      <c r="REM48" s="21"/>
      <c r="REN48" s="21"/>
      <c r="RER48" s="15"/>
      <c r="REX48" s="25"/>
      <c r="RFE48" s="21"/>
      <c r="RFF48" s="21"/>
      <c r="RFJ48" s="15"/>
      <c r="RFP48" s="25"/>
      <c r="RFW48" s="21"/>
      <c r="RFX48" s="21"/>
      <c r="RGB48" s="15"/>
      <c r="RGH48" s="25"/>
      <c r="RGO48" s="21"/>
      <c r="RGP48" s="21"/>
      <c r="RGT48" s="15"/>
      <c r="RGZ48" s="25"/>
      <c r="RHG48" s="21"/>
      <c r="RHH48" s="21"/>
      <c r="RHL48" s="15"/>
      <c r="RHR48" s="25"/>
      <c r="RHY48" s="21"/>
      <c r="RHZ48" s="21"/>
      <c r="RID48" s="15"/>
      <c r="RIJ48" s="25"/>
      <c r="RIQ48" s="21"/>
      <c r="RIR48" s="21"/>
      <c r="RIV48" s="15"/>
      <c r="RJB48" s="25"/>
      <c r="RJI48" s="21"/>
      <c r="RJJ48" s="21"/>
      <c r="RJN48" s="15"/>
      <c r="RJT48" s="25"/>
      <c r="RKA48" s="21"/>
      <c r="RKB48" s="21"/>
      <c r="RKF48" s="15"/>
      <c r="RKL48" s="25"/>
      <c r="RKS48" s="21"/>
      <c r="RKT48" s="21"/>
      <c r="RKX48" s="15"/>
      <c r="RLD48" s="25"/>
      <c r="RLK48" s="21"/>
      <c r="RLL48" s="21"/>
      <c r="RLP48" s="15"/>
      <c r="RLV48" s="25"/>
      <c r="RMC48" s="21"/>
      <c r="RMD48" s="21"/>
      <c r="RMH48" s="15"/>
      <c r="RMN48" s="25"/>
      <c r="RMU48" s="21"/>
      <c r="RMV48" s="21"/>
      <c r="RMZ48" s="15"/>
      <c r="RNF48" s="25"/>
      <c r="RNM48" s="21"/>
      <c r="RNN48" s="21"/>
      <c r="RNR48" s="15"/>
      <c r="RNX48" s="25"/>
      <c r="ROE48" s="21"/>
      <c r="ROF48" s="21"/>
      <c r="ROJ48" s="15"/>
      <c r="ROP48" s="25"/>
      <c r="ROW48" s="21"/>
      <c r="ROX48" s="21"/>
      <c r="RPB48" s="15"/>
      <c r="RPH48" s="25"/>
      <c r="RPO48" s="21"/>
      <c r="RPP48" s="21"/>
      <c r="RPT48" s="15"/>
      <c r="RPZ48" s="25"/>
      <c r="RQG48" s="21"/>
      <c r="RQH48" s="21"/>
      <c r="RQL48" s="15"/>
      <c r="RQR48" s="25"/>
      <c r="RQY48" s="21"/>
      <c r="RQZ48" s="21"/>
      <c r="RRD48" s="15"/>
      <c r="RRJ48" s="25"/>
      <c r="RRQ48" s="21"/>
      <c r="RRR48" s="21"/>
      <c r="RRV48" s="15"/>
      <c r="RSB48" s="25"/>
      <c r="RSI48" s="21"/>
      <c r="RSJ48" s="21"/>
      <c r="RSN48" s="15"/>
      <c r="RST48" s="25"/>
      <c r="RTA48" s="21"/>
      <c r="RTB48" s="21"/>
      <c r="RTF48" s="15"/>
      <c r="RTL48" s="25"/>
      <c r="RTS48" s="21"/>
      <c r="RTT48" s="21"/>
      <c r="RTX48" s="15"/>
      <c r="RUD48" s="25"/>
      <c r="RUK48" s="21"/>
      <c r="RUL48" s="21"/>
      <c r="RUP48" s="15"/>
      <c r="RUV48" s="25"/>
      <c r="RVC48" s="21"/>
      <c r="RVD48" s="21"/>
      <c r="RVH48" s="15"/>
      <c r="RVN48" s="25"/>
      <c r="RVU48" s="21"/>
      <c r="RVV48" s="21"/>
      <c r="RVZ48" s="15"/>
      <c r="RWF48" s="25"/>
      <c r="RWM48" s="21"/>
      <c r="RWN48" s="21"/>
      <c r="RWR48" s="15"/>
      <c r="RWX48" s="25"/>
      <c r="RXE48" s="21"/>
      <c r="RXF48" s="21"/>
      <c r="RXJ48" s="15"/>
      <c r="RXP48" s="25"/>
      <c r="RXW48" s="21"/>
      <c r="RXX48" s="21"/>
      <c r="RYB48" s="15"/>
      <c r="RYH48" s="25"/>
      <c r="RYO48" s="21"/>
      <c r="RYP48" s="21"/>
      <c r="RYT48" s="15"/>
      <c r="RYZ48" s="25"/>
      <c r="RZG48" s="21"/>
      <c r="RZH48" s="21"/>
      <c r="RZL48" s="15"/>
      <c r="RZR48" s="25"/>
      <c r="RZY48" s="21"/>
      <c r="RZZ48" s="21"/>
      <c r="SAD48" s="15"/>
      <c r="SAJ48" s="25"/>
      <c r="SAQ48" s="21"/>
      <c r="SAR48" s="21"/>
      <c r="SAV48" s="15"/>
      <c r="SBB48" s="25"/>
      <c r="SBI48" s="21"/>
      <c r="SBJ48" s="21"/>
      <c r="SBN48" s="15"/>
      <c r="SBT48" s="25"/>
      <c r="SCA48" s="21"/>
      <c r="SCB48" s="21"/>
      <c r="SCF48" s="15"/>
      <c r="SCL48" s="25"/>
      <c r="SCS48" s="21"/>
      <c r="SCT48" s="21"/>
      <c r="SCX48" s="15"/>
      <c r="SDD48" s="25"/>
      <c r="SDK48" s="21"/>
      <c r="SDL48" s="21"/>
      <c r="SDP48" s="15"/>
      <c r="SDV48" s="25"/>
      <c r="SEC48" s="21"/>
      <c r="SED48" s="21"/>
      <c r="SEH48" s="15"/>
      <c r="SEN48" s="25"/>
      <c r="SEU48" s="21"/>
      <c r="SEV48" s="21"/>
      <c r="SEZ48" s="15"/>
      <c r="SFF48" s="25"/>
      <c r="SFM48" s="21"/>
      <c r="SFN48" s="21"/>
      <c r="SFR48" s="15"/>
      <c r="SFX48" s="25"/>
      <c r="SGE48" s="21"/>
      <c r="SGF48" s="21"/>
      <c r="SGJ48" s="15"/>
      <c r="SGP48" s="25"/>
      <c r="SGW48" s="21"/>
      <c r="SGX48" s="21"/>
      <c r="SHB48" s="15"/>
      <c r="SHH48" s="25"/>
      <c r="SHO48" s="21"/>
      <c r="SHP48" s="21"/>
      <c r="SHT48" s="15"/>
      <c r="SHZ48" s="25"/>
      <c r="SIG48" s="21"/>
      <c r="SIH48" s="21"/>
      <c r="SIL48" s="15"/>
      <c r="SIR48" s="25"/>
      <c r="SIY48" s="21"/>
      <c r="SIZ48" s="21"/>
      <c r="SJD48" s="15"/>
      <c r="SJJ48" s="25"/>
      <c r="SJQ48" s="21"/>
      <c r="SJR48" s="21"/>
      <c r="SJV48" s="15"/>
      <c r="SKB48" s="25"/>
      <c r="SKI48" s="21"/>
      <c r="SKJ48" s="21"/>
      <c r="SKN48" s="15"/>
      <c r="SKT48" s="25"/>
      <c r="SLA48" s="21"/>
      <c r="SLB48" s="21"/>
      <c r="SLF48" s="15"/>
      <c r="SLL48" s="25"/>
      <c r="SLS48" s="21"/>
      <c r="SLT48" s="21"/>
      <c r="SLX48" s="15"/>
      <c r="SMD48" s="25"/>
      <c r="SMK48" s="21"/>
      <c r="SML48" s="21"/>
      <c r="SMP48" s="15"/>
      <c r="SMV48" s="25"/>
      <c r="SNC48" s="21"/>
      <c r="SND48" s="21"/>
      <c r="SNH48" s="15"/>
      <c r="SNN48" s="25"/>
      <c r="SNU48" s="21"/>
      <c r="SNV48" s="21"/>
      <c r="SNZ48" s="15"/>
      <c r="SOF48" s="25"/>
      <c r="SOM48" s="21"/>
      <c r="SON48" s="21"/>
      <c r="SOR48" s="15"/>
      <c r="SOX48" s="25"/>
      <c r="SPE48" s="21"/>
      <c r="SPF48" s="21"/>
      <c r="SPJ48" s="15"/>
      <c r="SPP48" s="25"/>
      <c r="SPW48" s="21"/>
      <c r="SPX48" s="21"/>
      <c r="SQB48" s="15"/>
      <c r="SQH48" s="25"/>
      <c r="SQO48" s="21"/>
      <c r="SQP48" s="21"/>
      <c r="SQT48" s="15"/>
      <c r="SQZ48" s="25"/>
      <c r="SRG48" s="21"/>
      <c r="SRH48" s="21"/>
      <c r="SRL48" s="15"/>
      <c r="SRR48" s="25"/>
      <c r="SRY48" s="21"/>
      <c r="SRZ48" s="21"/>
      <c r="SSD48" s="15"/>
      <c r="SSJ48" s="25"/>
      <c r="SSQ48" s="21"/>
      <c r="SSR48" s="21"/>
      <c r="SSV48" s="15"/>
      <c r="STB48" s="25"/>
      <c r="STI48" s="21"/>
      <c r="STJ48" s="21"/>
      <c r="STN48" s="15"/>
      <c r="STT48" s="25"/>
      <c r="SUA48" s="21"/>
      <c r="SUB48" s="21"/>
      <c r="SUF48" s="15"/>
      <c r="SUL48" s="25"/>
      <c r="SUS48" s="21"/>
      <c r="SUT48" s="21"/>
      <c r="SUX48" s="15"/>
      <c r="SVD48" s="25"/>
      <c r="SVK48" s="21"/>
      <c r="SVL48" s="21"/>
      <c r="SVP48" s="15"/>
      <c r="SVV48" s="25"/>
      <c r="SWC48" s="21"/>
      <c r="SWD48" s="21"/>
      <c r="SWH48" s="15"/>
      <c r="SWN48" s="25"/>
      <c r="SWU48" s="21"/>
      <c r="SWV48" s="21"/>
      <c r="SWZ48" s="15"/>
      <c r="SXF48" s="25"/>
      <c r="SXM48" s="21"/>
      <c r="SXN48" s="21"/>
      <c r="SXR48" s="15"/>
      <c r="SXX48" s="25"/>
      <c r="SYE48" s="21"/>
      <c r="SYF48" s="21"/>
      <c r="SYJ48" s="15"/>
      <c r="SYP48" s="25"/>
      <c r="SYW48" s="21"/>
      <c r="SYX48" s="21"/>
      <c r="SZB48" s="15"/>
      <c r="SZH48" s="25"/>
      <c r="SZO48" s="21"/>
      <c r="SZP48" s="21"/>
      <c r="SZT48" s="15"/>
      <c r="SZZ48" s="25"/>
      <c r="TAG48" s="21"/>
      <c r="TAH48" s="21"/>
      <c r="TAL48" s="15"/>
      <c r="TAR48" s="25"/>
      <c r="TAY48" s="21"/>
      <c r="TAZ48" s="21"/>
      <c r="TBD48" s="15"/>
      <c r="TBJ48" s="25"/>
      <c r="TBQ48" s="21"/>
      <c r="TBR48" s="21"/>
      <c r="TBV48" s="15"/>
      <c r="TCB48" s="25"/>
      <c r="TCI48" s="21"/>
      <c r="TCJ48" s="21"/>
      <c r="TCN48" s="15"/>
      <c r="TCT48" s="25"/>
      <c r="TDA48" s="21"/>
      <c r="TDB48" s="21"/>
      <c r="TDF48" s="15"/>
      <c r="TDL48" s="25"/>
      <c r="TDS48" s="21"/>
      <c r="TDT48" s="21"/>
      <c r="TDX48" s="15"/>
      <c r="TED48" s="25"/>
      <c r="TEK48" s="21"/>
      <c r="TEL48" s="21"/>
      <c r="TEP48" s="15"/>
      <c r="TEV48" s="25"/>
      <c r="TFC48" s="21"/>
      <c r="TFD48" s="21"/>
      <c r="TFH48" s="15"/>
      <c r="TFN48" s="25"/>
      <c r="TFU48" s="21"/>
      <c r="TFV48" s="21"/>
      <c r="TFZ48" s="15"/>
      <c r="TGF48" s="25"/>
      <c r="TGM48" s="21"/>
      <c r="TGN48" s="21"/>
      <c r="TGR48" s="15"/>
      <c r="TGX48" s="25"/>
      <c r="THE48" s="21"/>
      <c r="THF48" s="21"/>
      <c r="THJ48" s="15"/>
      <c r="THP48" s="25"/>
      <c r="THW48" s="21"/>
      <c r="THX48" s="21"/>
      <c r="TIB48" s="15"/>
      <c r="TIH48" s="25"/>
      <c r="TIO48" s="21"/>
      <c r="TIP48" s="21"/>
      <c r="TIT48" s="15"/>
      <c r="TIZ48" s="25"/>
      <c r="TJG48" s="21"/>
      <c r="TJH48" s="21"/>
      <c r="TJL48" s="15"/>
      <c r="TJR48" s="25"/>
      <c r="TJY48" s="21"/>
      <c r="TJZ48" s="21"/>
      <c r="TKD48" s="15"/>
      <c r="TKJ48" s="25"/>
      <c r="TKQ48" s="21"/>
      <c r="TKR48" s="21"/>
      <c r="TKV48" s="15"/>
      <c r="TLB48" s="25"/>
      <c r="TLI48" s="21"/>
      <c r="TLJ48" s="21"/>
      <c r="TLN48" s="15"/>
      <c r="TLT48" s="25"/>
      <c r="TMA48" s="21"/>
      <c r="TMB48" s="21"/>
      <c r="TMF48" s="15"/>
      <c r="TML48" s="25"/>
      <c r="TMS48" s="21"/>
      <c r="TMT48" s="21"/>
      <c r="TMX48" s="15"/>
      <c r="TND48" s="25"/>
      <c r="TNK48" s="21"/>
      <c r="TNL48" s="21"/>
      <c r="TNP48" s="15"/>
      <c r="TNV48" s="25"/>
      <c r="TOC48" s="21"/>
      <c r="TOD48" s="21"/>
      <c r="TOH48" s="15"/>
      <c r="TON48" s="25"/>
      <c r="TOU48" s="21"/>
      <c r="TOV48" s="21"/>
      <c r="TOZ48" s="15"/>
      <c r="TPF48" s="25"/>
      <c r="TPM48" s="21"/>
      <c r="TPN48" s="21"/>
      <c r="TPR48" s="15"/>
      <c r="TPX48" s="25"/>
      <c r="TQE48" s="21"/>
      <c r="TQF48" s="21"/>
      <c r="TQJ48" s="15"/>
      <c r="TQP48" s="25"/>
      <c r="TQW48" s="21"/>
      <c r="TQX48" s="21"/>
      <c r="TRB48" s="15"/>
      <c r="TRH48" s="25"/>
      <c r="TRO48" s="21"/>
      <c r="TRP48" s="21"/>
      <c r="TRT48" s="15"/>
      <c r="TRZ48" s="25"/>
      <c r="TSG48" s="21"/>
      <c r="TSH48" s="21"/>
      <c r="TSL48" s="15"/>
      <c r="TSR48" s="25"/>
      <c r="TSY48" s="21"/>
      <c r="TSZ48" s="21"/>
      <c r="TTD48" s="15"/>
      <c r="TTJ48" s="25"/>
      <c r="TTQ48" s="21"/>
      <c r="TTR48" s="21"/>
      <c r="TTV48" s="15"/>
      <c r="TUB48" s="25"/>
      <c r="TUI48" s="21"/>
      <c r="TUJ48" s="21"/>
      <c r="TUN48" s="15"/>
      <c r="TUT48" s="25"/>
      <c r="TVA48" s="21"/>
      <c r="TVB48" s="21"/>
      <c r="TVF48" s="15"/>
      <c r="TVL48" s="25"/>
      <c r="TVS48" s="21"/>
      <c r="TVT48" s="21"/>
      <c r="TVX48" s="15"/>
      <c r="TWD48" s="25"/>
      <c r="TWK48" s="21"/>
      <c r="TWL48" s="21"/>
      <c r="TWP48" s="15"/>
      <c r="TWV48" s="25"/>
      <c r="TXC48" s="21"/>
      <c r="TXD48" s="21"/>
      <c r="TXH48" s="15"/>
      <c r="TXN48" s="25"/>
      <c r="TXU48" s="21"/>
      <c r="TXV48" s="21"/>
      <c r="TXZ48" s="15"/>
      <c r="TYF48" s="25"/>
      <c r="TYM48" s="21"/>
      <c r="TYN48" s="21"/>
      <c r="TYR48" s="15"/>
      <c r="TYX48" s="25"/>
      <c r="TZE48" s="21"/>
      <c r="TZF48" s="21"/>
      <c r="TZJ48" s="15"/>
      <c r="TZP48" s="25"/>
      <c r="TZW48" s="21"/>
      <c r="TZX48" s="21"/>
      <c r="UAB48" s="15"/>
      <c r="UAH48" s="25"/>
      <c r="UAO48" s="21"/>
      <c r="UAP48" s="21"/>
      <c r="UAT48" s="15"/>
      <c r="UAZ48" s="25"/>
      <c r="UBG48" s="21"/>
      <c r="UBH48" s="21"/>
      <c r="UBL48" s="15"/>
      <c r="UBR48" s="25"/>
      <c r="UBY48" s="21"/>
      <c r="UBZ48" s="21"/>
      <c r="UCD48" s="15"/>
      <c r="UCJ48" s="25"/>
      <c r="UCQ48" s="21"/>
      <c r="UCR48" s="21"/>
      <c r="UCV48" s="15"/>
      <c r="UDB48" s="25"/>
      <c r="UDI48" s="21"/>
      <c r="UDJ48" s="21"/>
      <c r="UDN48" s="15"/>
      <c r="UDT48" s="25"/>
      <c r="UEA48" s="21"/>
      <c r="UEB48" s="21"/>
      <c r="UEF48" s="15"/>
      <c r="UEL48" s="25"/>
      <c r="UES48" s="21"/>
      <c r="UET48" s="21"/>
      <c r="UEX48" s="15"/>
      <c r="UFD48" s="25"/>
      <c r="UFK48" s="21"/>
      <c r="UFL48" s="21"/>
      <c r="UFP48" s="15"/>
      <c r="UFV48" s="25"/>
      <c r="UGC48" s="21"/>
      <c r="UGD48" s="21"/>
      <c r="UGH48" s="15"/>
      <c r="UGN48" s="25"/>
      <c r="UGU48" s="21"/>
      <c r="UGV48" s="21"/>
      <c r="UGZ48" s="15"/>
      <c r="UHF48" s="25"/>
      <c r="UHM48" s="21"/>
      <c r="UHN48" s="21"/>
      <c r="UHR48" s="15"/>
      <c r="UHX48" s="25"/>
      <c r="UIE48" s="21"/>
      <c r="UIF48" s="21"/>
      <c r="UIJ48" s="15"/>
      <c r="UIP48" s="25"/>
      <c r="UIW48" s="21"/>
      <c r="UIX48" s="21"/>
      <c r="UJB48" s="15"/>
      <c r="UJH48" s="25"/>
      <c r="UJO48" s="21"/>
      <c r="UJP48" s="21"/>
      <c r="UJT48" s="15"/>
      <c r="UJZ48" s="25"/>
      <c r="UKG48" s="21"/>
      <c r="UKH48" s="21"/>
      <c r="UKL48" s="15"/>
      <c r="UKR48" s="25"/>
      <c r="UKY48" s="21"/>
      <c r="UKZ48" s="21"/>
      <c r="ULD48" s="15"/>
      <c r="ULJ48" s="25"/>
      <c r="ULQ48" s="21"/>
      <c r="ULR48" s="21"/>
      <c r="ULV48" s="15"/>
      <c r="UMB48" s="25"/>
      <c r="UMI48" s="21"/>
      <c r="UMJ48" s="21"/>
      <c r="UMN48" s="15"/>
      <c r="UMT48" s="25"/>
      <c r="UNA48" s="21"/>
      <c r="UNB48" s="21"/>
      <c r="UNF48" s="15"/>
      <c r="UNL48" s="25"/>
      <c r="UNS48" s="21"/>
      <c r="UNT48" s="21"/>
      <c r="UNX48" s="15"/>
      <c r="UOD48" s="25"/>
      <c r="UOK48" s="21"/>
      <c r="UOL48" s="21"/>
      <c r="UOP48" s="15"/>
      <c r="UOV48" s="25"/>
      <c r="UPC48" s="21"/>
      <c r="UPD48" s="21"/>
      <c r="UPH48" s="15"/>
      <c r="UPN48" s="25"/>
      <c r="UPU48" s="21"/>
      <c r="UPV48" s="21"/>
      <c r="UPZ48" s="15"/>
      <c r="UQF48" s="25"/>
      <c r="UQM48" s="21"/>
      <c r="UQN48" s="21"/>
      <c r="UQR48" s="15"/>
      <c r="UQX48" s="25"/>
      <c r="URE48" s="21"/>
      <c r="URF48" s="21"/>
      <c r="URJ48" s="15"/>
      <c r="URP48" s="25"/>
      <c r="URW48" s="21"/>
      <c r="URX48" s="21"/>
      <c r="USB48" s="15"/>
      <c r="USH48" s="25"/>
      <c r="USO48" s="21"/>
      <c r="USP48" s="21"/>
      <c r="UST48" s="15"/>
      <c r="USZ48" s="25"/>
      <c r="UTG48" s="21"/>
      <c r="UTH48" s="21"/>
      <c r="UTL48" s="15"/>
      <c r="UTR48" s="25"/>
      <c r="UTY48" s="21"/>
      <c r="UTZ48" s="21"/>
      <c r="UUD48" s="15"/>
      <c r="UUJ48" s="25"/>
      <c r="UUQ48" s="21"/>
      <c r="UUR48" s="21"/>
      <c r="UUV48" s="15"/>
      <c r="UVB48" s="25"/>
      <c r="UVI48" s="21"/>
      <c r="UVJ48" s="21"/>
      <c r="UVN48" s="15"/>
      <c r="UVT48" s="25"/>
      <c r="UWA48" s="21"/>
      <c r="UWB48" s="21"/>
      <c r="UWF48" s="15"/>
      <c r="UWL48" s="25"/>
      <c r="UWS48" s="21"/>
      <c r="UWT48" s="21"/>
      <c r="UWX48" s="15"/>
      <c r="UXD48" s="25"/>
      <c r="UXK48" s="21"/>
      <c r="UXL48" s="21"/>
      <c r="UXP48" s="15"/>
      <c r="UXV48" s="25"/>
      <c r="UYC48" s="21"/>
      <c r="UYD48" s="21"/>
      <c r="UYH48" s="15"/>
      <c r="UYN48" s="25"/>
      <c r="UYU48" s="21"/>
      <c r="UYV48" s="21"/>
      <c r="UYZ48" s="15"/>
      <c r="UZF48" s="25"/>
      <c r="UZM48" s="21"/>
      <c r="UZN48" s="21"/>
      <c r="UZR48" s="15"/>
      <c r="UZX48" s="25"/>
      <c r="VAE48" s="21"/>
      <c r="VAF48" s="21"/>
      <c r="VAJ48" s="15"/>
      <c r="VAP48" s="25"/>
      <c r="VAW48" s="21"/>
      <c r="VAX48" s="21"/>
      <c r="VBB48" s="15"/>
      <c r="VBH48" s="25"/>
      <c r="VBO48" s="21"/>
      <c r="VBP48" s="21"/>
      <c r="VBT48" s="15"/>
      <c r="VBZ48" s="25"/>
      <c r="VCG48" s="21"/>
      <c r="VCH48" s="21"/>
      <c r="VCL48" s="15"/>
      <c r="VCR48" s="25"/>
      <c r="VCY48" s="21"/>
      <c r="VCZ48" s="21"/>
      <c r="VDD48" s="15"/>
      <c r="VDJ48" s="25"/>
      <c r="VDQ48" s="21"/>
      <c r="VDR48" s="21"/>
      <c r="VDV48" s="15"/>
      <c r="VEB48" s="25"/>
      <c r="VEI48" s="21"/>
      <c r="VEJ48" s="21"/>
      <c r="VEN48" s="15"/>
      <c r="VET48" s="25"/>
      <c r="VFA48" s="21"/>
      <c r="VFB48" s="21"/>
      <c r="VFF48" s="15"/>
      <c r="VFL48" s="25"/>
      <c r="VFS48" s="21"/>
      <c r="VFT48" s="21"/>
      <c r="VFX48" s="15"/>
      <c r="VGD48" s="25"/>
      <c r="VGK48" s="21"/>
      <c r="VGL48" s="21"/>
      <c r="VGP48" s="15"/>
      <c r="VGV48" s="25"/>
      <c r="VHC48" s="21"/>
      <c r="VHD48" s="21"/>
      <c r="VHH48" s="15"/>
      <c r="VHN48" s="25"/>
      <c r="VHU48" s="21"/>
      <c r="VHV48" s="21"/>
      <c r="VHZ48" s="15"/>
      <c r="VIF48" s="25"/>
      <c r="VIM48" s="21"/>
      <c r="VIN48" s="21"/>
      <c r="VIR48" s="15"/>
      <c r="VIX48" s="25"/>
      <c r="VJE48" s="21"/>
      <c r="VJF48" s="21"/>
      <c r="VJJ48" s="15"/>
      <c r="VJP48" s="25"/>
      <c r="VJW48" s="21"/>
      <c r="VJX48" s="21"/>
      <c r="VKB48" s="15"/>
      <c r="VKH48" s="25"/>
      <c r="VKO48" s="21"/>
      <c r="VKP48" s="21"/>
      <c r="VKT48" s="15"/>
      <c r="VKZ48" s="25"/>
      <c r="VLG48" s="21"/>
      <c r="VLH48" s="21"/>
      <c r="VLL48" s="15"/>
      <c r="VLR48" s="25"/>
      <c r="VLY48" s="21"/>
      <c r="VLZ48" s="21"/>
      <c r="VMD48" s="15"/>
      <c r="VMJ48" s="25"/>
      <c r="VMQ48" s="21"/>
      <c r="VMR48" s="21"/>
      <c r="VMV48" s="15"/>
      <c r="VNB48" s="25"/>
      <c r="VNI48" s="21"/>
      <c r="VNJ48" s="21"/>
      <c r="VNN48" s="15"/>
      <c r="VNT48" s="25"/>
      <c r="VOA48" s="21"/>
      <c r="VOB48" s="21"/>
      <c r="VOF48" s="15"/>
      <c r="VOL48" s="25"/>
      <c r="VOS48" s="21"/>
      <c r="VOT48" s="21"/>
      <c r="VOX48" s="15"/>
      <c r="VPD48" s="25"/>
      <c r="VPK48" s="21"/>
      <c r="VPL48" s="21"/>
      <c r="VPP48" s="15"/>
      <c r="VPV48" s="25"/>
      <c r="VQC48" s="21"/>
      <c r="VQD48" s="21"/>
      <c r="VQH48" s="15"/>
      <c r="VQN48" s="25"/>
      <c r="VQU48" s="21"/>
      <c r="VQV48" s="21"/>
      <c r="VQZ48" s="15"/>
      <c r="VRF48" s="25"/>
      <c r="VRM48" s="21"/>
      <c r="VRN48" s="21"/>
      <c r="VRR48" s="15"/>
      <c r="VRX48" s="25"/>
      <c r="VSE48" s="21"/>
      <c r="VSF48" s="21"/>
      <c r="VSJ48" s="15"/>
      <c r="VSP48" s="25"/>
      <c r="VSW48" s="21"/>
      <c r="VSX48" s="21"/>
      <c r="VTB48" s="15"/>
      <c r="VTH48" s="25"/>
      <c r="VTO48" s="21"/>
      <c r="VTP48" s="21"/>
      <c r="VTT48" s="15"/>
      <c r="VTZ48" s="25"/>
      <c r="VUG48" s="21"/>
      <c r="VUH48" s="21"/>
      <c r="VUL48" s="15"/>
      <c r="VUR48" s="25"/>
      <c r="VUY48" s="21"/>
      <c r="VUZ48" s="21"/>
      <c r="VVD48" s="15"/>
      <c r="VVJ48" s="25"/>
      <c r="VVQ48" s="21"/>
      <c r="VVR48" s="21"/>
      <c r="VVV48" s="15"/>
      <c r="VWB48" s="25"/>
      <c r="VWI48" s="21"/>
      <c r="VWJ48" s="21"/>
      <c r="VWN48" s="15"/>
      <c r="VWT48" s="25"/>
      <c r="VXA48" s="21"/>
      <c r="VXB48" s="21"/>
      <c r="VXF48" s="15"/>
      <c r="VXL48" s="25"/>
      <c r="VXS48" s="21"/>
      <c r="VXT48" s="21"/>
      <c r="VXX48" s="15"/>
      <c r="VYD48" s="25"/>
      <c r="VYK48" s="21"/>
      <c r="VYL48" s="21"/>
      <c r="VYP48" s="15"/>
      <c r="VYV48" s="25"/>
      <c r="VZC48" s="21"/>
      <c r="VZD48" s="21"/>
      <c r="VZH48" s="15"/>
      <c r="VZN48" s="25"/>
      <c r="VZU48" s="21"/>
      <c r="VZV48" s="21"/>
      <c r="VZZ48" s="15"/>
      <c r="WAF48" s="25"/>
      <c r="WAM48" s="21"/>
      <c r="WAN48" s="21"/>
      <c r="WAR48" s="15"/>
      <c r="WAX48" s="25"/>
      <c r="WBE48" s="21"/>
      <c r="WBF48" s="21"/>
      <c r="WBJ48" s="15"/>
      <c r="WBP48" s="25"/>
      <c r="WBW48" s="21"/>
      <c r="WBX48" s="21"/>
      <c r="WCB48" s="15"/>
      <c r="WCH48" s="25"/>
      <c r="WCO48" s="21"/>
      <c r="WCP48" s="21"/>
      <c r="WCT48" s="15"/>
      <c r="WCZ48" s="25"/>
      <c r="WDG48" s="21"/>
      <c r="WDH48" s="21"/>
      <c r="WDL48" s="15"/>
      <c r="WDR48" s="25"/>
      <c r="WDY48" s="21"/>
      <c r="WDZ48" s="21"/>
      <c r="WED48" s="15"/>
      <c r="WEJ48" s="25"/>
      <c r="WEQ48" s="21"/>
      <c r="WER48" s="21"/>
      <c r="WEV48" s="15"/>
      <c r="WFB48" s="25"/>
      <c r="WFI48" s="21"/>
      <c r="WFJ48" s="21"/>
      <c r="WFN48" s="15"/>
      <c r="WFT48" s="25"/>
      <c r="WGA48" s="21"/>
      <c r="WGB48" s="21"/>
      <c r="WGF48" s="15"/>
      <c r="WGL48" s="25"/>
      <c r="WGS48" s="21"/>
      <c r="WGT48" s="21"/>
      <c r="WGX48" s="15"/>
      <c r="WHD48" s="25"/>
      <c r="WHK48" s="21"/>
      <c r="WHL48" s="21"/>
      <c r="WHP48" s="15"/>
      <c r="WHV48" s="25"/>
      <c r="WIC48" s="21"/>
      <c r="WID48" s="21"/>
      <c r="WIH48" s="15"/>
      <c r="WIN48" s="25"/>
      <c r="WIU48" s="21"/>
      <c r="WIV48" s="21"/>
      <c r="WIZ48" s="15"/>
      <c r="WJF48" s="25"/>
      <c r="WJM48" s="21"/>
      <c r="WJN48" s="21"/>
      <c r="WJR48" s="15"/>
      <c r="WJX48" s="25"/>
      <c r="WKE48" s="21"/>
      <c r="WKF48" s="21"/>
      <c r="WKJ48" s="15"/>
      <c r="WKP48" s="25"/>
      <c r="WKW48" s="21"/>
      <c r="WKX48" s="21"/>
      <c r="WLB48" s="15"/>
      <c r="WLH48" s="25"/>
      <c r="WLO48" s="21"/>
      <c r="WLP48" s="21"/>
      <c r="WLT48" s="15"/>
      <c r="WLZ48" s="25"/>
      <c r="WMG48" s="21"/>
      <c r="WMH48" s="21"/>
      <c r="WML48" s="15"/>
      <c r="WMR48" s="25"/>
      <c r="WMY48" s="21"/>
      <c r="WMZ48" s="21"/>
      <c r="WND48" s="15"/>
      <c r="WNJ48" s="25"/>
      <c r="WNQ48" s="21"/>
      <c r="WNR48" s="21"/>
      <c r="WNV48" s="15"/>
      <c r="WOB48" s="25"/>
      <c r="WOI48" s="21"/>
      <c r="WOJ48" s="21"/>
      <c r="WON48" s="15"/>
      <c r="WOT48" s="25"/>
      <c r="WPA48" s="21"/>
      <c r="WPB48" s="21"/>
      <c r="WPF48" s="15"/>
      <c r="WPL48" s="25"/>
      <c r="WPS48" s="21"/>
      <c r="WPT48" s="21"/>
      <c r="WPX48" s="15"/>
      <c r="WQD48" s="25"/>
      <c r="WQK48" s="21"/>
      <c r="WQL48" s="21"/>
      <c r="WQP48" s="15"/>
      <c r="WQV48" s="25"/>
      <c r="WRC48" s="21"/>
      <c r="WRD48" s="21"/>
      <c r="WRH48" s="15"/>
      <c r="WRN48" s="25"/>
      <c r="WRU48" s="21"/>
      <c r="WRV48" s="21"/>
      <c r="WRZ48" s="15"/>
      <c r="WSF48" s="25"/>
      <c r="WSM48" s="21"/>
      <c r="WSN48" s="21"/>
      <c r="WSR48" s="15"/>
      <c r="WSX48" s="25"/>
      <c r="WTE48" s="21"/>
      <c r="WTF48" s="21"/>
      <c r="WTJ48" s="15"/>
      <c r="WTP48" s="25"/>
      <c r="WTW48" s="21"/>
      <c r="WTX48" s="21"/>
      <c r="WUB48" s="15"/>
      <c r="WUH48" s="25"/>
      <c r="WUO48" s="21"/>
      <c r="WUP48" s="21"/>
      <c r="WUT48" s="15"/>
      <c r="WUZ48" s="25"/>
      <c r="WVG48" s="21"/>
      <c r="WVH48" s="21"/>
      <c r="WVL48" s="15"/>
      <c r="WVR48" s="25"/>
      <c r="WVY48" s="21"/>
      <c r="WVZ48" s="21"/>
      <c r="WWD48" s="15"/>
      <c r="WWJ48" s="25"/>
      <c r="WWQ48" s="21"/>
      <c r="WWR48" s="21"/>
      <c r="WWV48" s="15"/>
      <c r="WXB48" s="25"/>
      <c r="WXI48" s="21"/>
      <c r="WXJ48" s="21"/>
      <c r="WXN48" s="15"/>
      <c r="WXT48" s="25"/>
      <c r="WYA48" s="21"/>
      <c r="WYB48" s="21"/>
      <c r="WYF48" s="15"/>
      <c r="WYL48" s="25"/>
      <c r="WYS48" s="21"/>
      <c r="WYT48" s="21"/>
      <c r="WYX48" s="15"/>
      <c r="WZD48" s="25"/>
      <c r="WZK48" s="21"/>
      <c r="WZL48" s="21"/>
      <c r="WZP48" s="15"/>
      <c r="WZV48" s="25"/>
      <c r="XAC48" s="21"/>
      <c r="XAD48" s="21"/>
      <c r="XAH48" s="15"/>
      <c r="XAN48" s="25"/>
      <c r="XAU48" s="21"/>
      <c r="XAV48" s="21"/>
      <c r="XAZ48" s="15"/>
      <c r="XBF48" s="25"/>
      <c r="XBM48" s="21"/>
      <c r="XBN48" s="21"/>
      <c r="XBR48" s="15"/>
      <c r="XBX48" s="25"/>
      <c r="XCE48" s="21"/>
      <c r="XCF48" s="21"/>
      <c r="XCJ48" s="15"/>
      <c r="XCP48" s="25"/>
      <c r="XCW48" s="21"/>
      <c r="XCX48" s="21"/>
      <c r="XDB48" s="15"/>
      <c r="XDH48" s="25"/>
      <c r="XDO48" s="21"/>
      <c r="XDP48" s="21"/>
      <c r="XDT48" s="15"/>
      <c r="XDZ48" s="25"/>
      <c r="XEG48" s="21"/>
      <c r="XEH48" s="21"/>
      <c r="XEL48" s="15"/>
      <c r="XER48" s="25"/>
      <c r="XEY48" s="21"/>
      <c r="XEZ48" s="21"/>
      <c r="XFD48" s="15"/>
    </row>
    <row r="49" spans="1:1018 1025:2044 2051:3070 3077:4096 4103:5116 5122:6142 6148:7168 7174:8190 8194:9216 9220:10234 10241:11260 11267:12286 12293:13312 13319:14332 14338:15358 15364:16384" s="40" customFormat="1">
      <c r="A49" s="33" t="s">
        <v>152</v>
      </c>
      <c r="B49" s="34">
        <v>2006</v>
      </c>
      <c r="C49" s="35" t="s">
        <v>153</v>
      </c>
      <c r="D49" s="36" t="s">
        <v>86</v>
      </c>
      <c r="E49" s="35" t="s">
        <v>154</v>
      </c>
      <c r="F49" s="35" t="s">
        <v>55</v>
      </c>
      <c r="G49" s="38">
        <v>84482680</v>
      </c>
      <c r="H49" s="38">
        <v>69730440</v>
      </c>
      <c r="I49" s="35">
        <v>5</v>
      </c>
      <c r="J49" s="54" t="s">
        <v>155</v>
      </c>
      <c r="K49" s="36"/>
      <c r="L49" s="36"/>
      <c r="M49" s="36" t="s">
        <v>26</v>
      </c>
      <c r="N49" s="34"/>
      <c r="O49" s="36"/>
      <c r="P49" s="34"/>
      <c r="Q49" s="36"/>
      <c r="R49" s="36"/>
      <c r="V49" s="41"/>
      <c r="AB49" s="42"/>
      <c r="AI49" s="33"/>
      <c r="AJ49" s="33"/>
      <c r="AN49" s="41"/>
      <c r="AT49" s="42"/>
      <c r="BA49" s="33"/>
      <c r="BB49" s="33"/>
      <c r="BF49" s="41"/>
      <c r="BL49" s="42"/>
      <c r="BS49" s="33"/>
      <c r="BT49" s="33"/>
      <c r="BX49" s="41"/>
      <c r="CD49" s="42"/>
      <c r="CK49" s="33"/>
      <c r="CL49" s="33"/>
      <c r="CP49" s="41"/>
      <c r="CV49" s="42"/>
      <c r="DC49" s="33"/>
      <c r="DD49" s="33"/>
      <c r="DH49" s="41"/>
      <c r="DN49" s="42"/>
      <c r="DU49" s="33"/>
      <c r="DV49" s="33"/>
      <c r="DZ49" s="41"/>
      <c r="EF49" s="42"/>
      <c r="EM49" s="33"/>
      <c r="EN49" s="33"/>
      <c r="ER49" s="41"/>
      <c r="EX49" s="42"/>
      <c r="FE49" s="33"/>
      <c r="FF49" s="33"/>
      <c r="FJ49" s="41"/>
      <c r="FP49" s="42"/>
      <c r="FW49" s="33"/>
      <c r="FX49" s="33"/>
      <c r="GB49" s="41"/>
      <c r="GH49" s="42"/>
      <c r="GO49" s="33"/>
      <c r="GP49" s="33"/>
      <c r="GT49" s="41"/>
      <c r="GZ49" s="42"/>
      <c r="HG49" s="33"/>
      <c r="HH49" s="33"/>
      <c r="HL49" s="41"/>
      <c r="HR49" s="42"/>
      <c r="HY49" s="33"/>
      <c r="HZ49" s="33"/>
      <c r="ID49" s="41"/>
      <c r="IJ49" s="42"/>
      <c r="IQ49" s="33"/>
      <c r="IR49" s="33"/>
      <c r="IV49" s="41"/>
      <c r="JB49" s="42"/>
      <c r="JI49" s="33"/>
      <c r="JJ49" s="33"/>
      <c r="JN49" s="41"/>
      <c r="JT49" s="42"/>
      <c r="KA49" s="33"/>
      <c r="KB49" s="33"/>
      <c r="KF49" s="41"/>
      <c r="KL49" s="42"/>
      <c r="KS49" s="33"/>
      <c r="KT49" s="33"/>
      <c r="KX49" s="41"/>
      <c r="LD49" s="42"/>
      <c r="LK49" s="33"/>
      <c r="LL49" s="33"/>
      <c r="LP49" s="41"/>
      <c r="LV49" s="42"/>
      <c r="MC49" s="33"/>
      <c r="MD49" s="33"/>
      <c r="MH49" s="41"/>
      <c r="MN49" s="42"/>
      <c r="MU49" s="33"/>
      <c r="MV49" s="33"/>
      <c r="MZ49" s="41"/>
      <c r="NF49" s="42"/>
      <c r="NM49" s="33"/>
      <c r="NN49" s="33"/>
      <c r="NR49" s="41"/>
      <c r="NX49" s="42"/>
      <c r="OE49" s="33"/>
      <c r="OF49" s="33"/>
      <c r="OJ49" s="41"/>
      <c r="OP49" s="42"/>
      <c r="OW49" s="33"/>
      <c r="OX49" s="33"/>
      <c r="PB49" s="41"/>
      <c r="PH49" s="42"/>
      <c r="PO49" s="33"/>
      <c r="PP49" s="33"/>
      <c r="PT49" s="41"/>
      <c r="PZ49" s="42"/>
      <c r="QG49" s="33"/>
      <c r="QH49" s="33"/>
      <c r="QL49" s="41"/>
      <c r="QR49" s="42"/>
      <c r="QY49" s="33"/>
      <c r="QZ49" s="33"/>
      <c r="RD49" s="41"/>
      <c r="RJ49" s="42"/>
      <c r="RQ49" s="33"/>
      <c r="RR49" s="33"/>
      <c r="RV49" s="41"/>
      <c r="SB49" s="42"/>
      <c r="SI49" s="33"/>
      <c r="SJ49" s="33"/>
      <c r="SN49" s="41"/>
      <c r="ST49" s="42"/>
      <c r="TA49" s="33"/>
      <c r="TB49" s="33"/>
      <c r="TF49" s="41"/>
      <c r="TL49" s="42"/>
      <c r="TS49" s="33"/>
      <c r="TT49" s="33"/>
      <c r="TX49" s="41"/>
      <c r="UD49" s="42"/>
      <c r="UK49" s="33"/>
      <c r="UL49" s="33"/>
      <c r="UP49" s="41"/>
      <c r="UV49" s="42"/>
      <c r="VC49" s="33"/>
      <c r="VD49" s="33"/>
      <c r="VH49" s="41"/>
      <c r="VN49" s="42"/>
      <c r="VU49" s="33"/>
      <c r="VV49" s="33"/>
      <c r="VZ49" s="41"/>
      <c r="WF49" s="42"/>
      <c r="WM49" s="33"/>
      <c r="WN49" s="33"/>
      <c r="WR49" s="41"/>
      <c r="WX49" s="42"/>
      <c r="XE49" s="33"/>
      <c r="XF49" s="33"/>
      <c r="XJ49" s="41"/>
      <c r="XP49" s="42"/>
      <c r="XW49" s="33"/>
      <c r="XX49" s="33"/>
      <c r="YB49" s="41"/>
      <c r="YH49" s="42"/>
      <c r="YO49" s="33"/>
      <c r="YP49" s="33"/>
      <c r="YT49" s="41"/>
      <c r="YZ49" s="42"/>
      <c r="ZG49" s="33"/>
      <c r="ZH49" s="33"/>
      <c r="ZL49" s="41"/>
      <c r="ZR49" s="42"/>
      <c r="ZY49" s="33"/>
      <c r="ZZ49" s="33"/>
      <c r="AAD49" s="41"/>
      <c r="AAJ49" s="42"/>
      <c r="AAQ49" s="33"/>
      <c r="AAR49" s="33"/>
      <c r="AAV49" s="41"/>
      <c r="ABB49" s="42"/>
      <c r="ABI49" s="33"/>
      <c r="ABJ49" s="33"/>
      <c r="ABN49" s="41"/>
      <c r="ABT49" s="42"/>
      <c r="ACA49" s="33"/>
      <c r="ACB49" s="33"/>
      <c r="ACF49" s="41"/>
      <c r="ACL49" s="42"/>
      <c r="ACS49" s="33"/>
      <c r="ACT49" s="33"/>
      <c r="ACX49" s="41"/>
      <c r="ADD49" s="42"/>
      <c r="ADK49" s="33"/>
      <c r="ADL49" s="33"/>
      <c r="ADP49" s="41"/>
      <c r="ADV49" s="42"/>
      <c r="AEC49" s="33"/>
      <c r="AED49" s="33"/>
      <c r="AEH49" s="41"/>
      <c r="AEN49" s="42"/>
      <c r="AEU49" s="33"/>
      <c r="AEV49" s="33"/>
      <c r="AEZ49" s="41"/>
      <c r="AFF49" s="42"/>
      <c r="AFM49" s="33"/>
      <c r="AFN49" s="33"/>
      <c r="AFR49" s="41"/>
      <c r="AFX49" s="42"/>
      <c r="AGE49" s="33"/>
      <c r="AGF49" s="33"/>
      <c r="AGJ49" s="41"/>
      <c r="AGP49" s="42"/>
      <c r="AGW49" s="33"/>
      <c r="AGX49" s="33"/>
      <c r="AHB49" s="41"/>
      <c r="AHH49" s="42"/>
      <c r="AHO49" s="33"/>
      <c r="AHP49" s="33"/>
      <c r="AHT49" s="41"/>
      <c r="AHZ49" s="42"/>
      <c r="AIG49" s="33"/>
      <c r="AIH49" s="33"/>
      <c r="AIL49" s="41"/>
      <c r="AIR49" s="42"/>
      <c r="AIY49" s="33"/>
      <c r="AIZ49" s="33"/>
      <c r="AJD49" s="41"/>
      <c r="AJJ49" s="42"/>
      <c r="AJQ49" s="33"/>
      <c r="AJR49" s="33"/>
      <c r="AJV49" s="41"/>
      <c r="AKB49" s="42"/>
      <c r="AKI49" s="33"/>
      <c r="AKJ49" s="33"/>
      <c r="AKN49" s="41"/>
      <c r="AKT49" s="42"/>
      <c r="ALA49" s="33"/>
      <c r="ALB49" s="33"/>
      <c r="ALF49" s="41"/>
      <c r="ALL49" s="42"/>
      <c r="ALS49" s="33"/>
      <c r="ALT49" s="33"/>
      <c r="ALX49" s="41"/>
      <c r="AMD49" s="42"/>
      <c r="AMK49" s="33"/>
      <c r="AML49" s="33"/>
      <c r="AMP49" s="41"/>
      <c r="AMV49" s="42"/>
      <c r="ANC49" s="33"/>
      <c r="AND49" s="33"/>
      <c r="ANH49" s="41"/>
      <c r="ANN49" s="42"/>
      <c r="ANU49" s="33"/>
      <c r="ANV49" s="33"/>
      <c r="ANZ49" s="41"/>
      <c r="AOF49" s="42"/>
      <c r="AOM49" s="33"/>
      <c r="AON49" s="33"/>
      <c r="AOR49" s="41"/>
      <c r="AOX49" s="42"/>
      <c r="APE49" s="33"/>
      <c r="APF49" s="33"/>
      <c r="APJ49" s="41"/>
      <c r="APP49" s="42"/>
      <c r="APW49" s="33"/>
      <c r="APX49" s="33"/>
      <c r="AQB49" s="41"/>
      <c r="AQH49" s="42"/>
      <c r="AQO49" s="33"/>
      <c r="AQP49" s="33"/>
      <c r="AQT49" s="41"/>
      <c r="AQZ49" s="42"/>
      <c r="ARG49" s="33"/>
      <c r="ARH49" s="33"/>
      <c r="ARL49" s="41"/>
      <c r="ARR49" s="42"/>
      <c r="ARY49" s="33"/>
      <c r="ARZ49" s="33"/>
      <c r="ASD49" s="41"/>
      <c r="ASJ49" s="42"/>
      <c r="ASQ49" s="33"/>
      <c r="ASR49" s="33"/>
      <c r="ASV49" s="41"/>
      <c r="ATB49" s="42"/>
      <c r="ATI49" s="33"/>
      <c r="ATJ49" s="33"/>
      <c r="ATN49" s="41"/>
      <c r="ATT49" s="42"/>
      <c r="AUA49" s="33"/>
      <c r="AUB49" s="33"/>
      <c r="AUF49" s="41"/>
      <c r="AUL49" s="42"/>
      <c r="AUS49" s="33"/>
      <c r="AUT49" s="33"/>
      <c r="AUX49" s="41"/>
      <c r="AVD49" s="42"/>
      <c r="AVK49" s="33"/>
      <c r="AVL49" s="33"/>
      <c r="AVP49" s="41"/>
      <c r="AVV49" s="42"/>
      <c r="AWC49" s="33"/>
      <c r="AWD49" s="33"/>
      <c r="AWH49" s="41"/>
      <c r="AWN49" s="42"/>
      <c r="AWU49" s="33"/>
      <c r="AWV49" s="33"/>
      <c r="AWZ49" s="41"/>
      <c r="AXF49" s="42"/>
      <c r="AXM49" s="33"/>
      <c r="AXN49" s="33"/>
      <c r="AXR49" s="41"/>
      <c r="AXX49" s="42"/>
      <c r="AYE49" s="33"/>
      <c r="AYF49" s="33"/>
      <c r="AYJ49" s="41"/>
      <c r="AYP49" s="42"/>
      <c r="AYW49" s="33"/>
      <c r="AYX49" s="33"/>
      <c r="AZB49" s="41"/>
      <c r="AZH49" s="42"/>
      <c r="AZO49" s="33"/>
      <c r="AZP49" s="33"/>
      <c r="AZT49" s="41"/>
      <c r="AZZ49" s="42"/>
      <c r="BAG49" s="33"/>
      <c r="BAH49" s="33"/>
      <c r="BAL49" s="41"/>
      <c r="BAR49" s="42"/>
      <c r="BAY49" s="33"/>
      <c r="BAZ49" s="33"/>
      <c r="BBD49" s="41"/>
      <c r="BBJ49" s="42"/>
      <c r="BBQ49" s="33"/>
      <c r="BBR49" s="33"/>
      <c r="BBV49" s="41"/>
      <c r="BCB49" s="42"/>
      <c r="BCI49" s="33"/>
      <c r="BCJ49" s="33"/>
      <c r="BCN49" s="41"/>
      <c r="BCT49" s="42"/>
      <c r="BDA49" s="33"/>
      <c r="BDB49" s="33"/>
      <c r="BDF49" s="41"/>
      <c r="BDL49" s="42"/>
      <c r="BDS49" s="33"/>
      <c r="BDT49" s="33"/>
      <c r="BDX49" s="41"/>
      <c r="BED49" s="42"/>
      <c r="BEK49" s="33"/>
      <c r="BEL49" s="33"/>
      <c r="BEP49" s="41"/>
      <c r="BEV49" s="42"/>
      <c r="BFC49" s="33"/>
      <c r="BFD49" s="33"/>
      <c r="BFH49" s="41"/>
      <c r="BFN49" s="42"/>
      <c r="BFU49" s="33"/>
      <c r="BFV49" s="33"/>
      <c r="BFZ49" s="41"/>
      <c r="BGF49" s="42"/>
      <c r="BGM49" s="33"/>
      <c r="BGN49" s="33"/>
      <c r="BGR49" s="41"/>
      <c r="BGX49" s="42"/>
      <c r="BHE49" s="33"/>
      <c r="BHF49" s="33"/>
      <c r="BHJ49" s="41"/>
      <c r="BHP49" s="42"/>
      <c r="BHW49" s="33"/>
      <c r="BHX49" s="33"/>
      <c r="BIB49" s="41"/>
      <c r="BIH49" s="42"/>
      <c r="BIO49" s="33"/>
      <c r="BIP49" s="33"/>
      <c r="BIT49" s="41"/>
      <c r="BIZ49" s="42"/>
      <c r="BJG49" s="33"/>
      <c r="BJH49" s="33"/>
      <c r="BJL49" s="41"/>
      <c r="BJR49" s="42"/>
      <c r="BJY49" s="33"/>
      <c r="BJZ49" s="33"/>
      <c r="BKD49" s="41"/>
      <c r="BKJ49" s="42"/>
      <c r="BKQ49" s="33"/>
      <c r="BKR49" s="33"/>
      <c r="BKV49" s="41"/>
      <c r="BLB49" s="42"/>
      <c r="BLI49" s="33"/>
      <c r="BLJ49" s="33"/>
      <c r="BLN49" s="41"/>
      <c r="BLT49" s="42"/>
      <c r="BMA49" s="33"/>
      <c r="BMB49" s="33"/>
      <c r="BMF49" s="41"/>
      <c r="BML49" s="42"/>
      <c r="BMS49" s="33"/>
      <c r="BMT49" s="33"/>
      <c r="BMX49" s="41"/>
      <c r="BND49" s="42"/>
      <c r="BNK49" s="33"/>
      <c r="BNL49" s="33"/>
      <c r="BNP49" s="41"/>
      <c r="BNV49" s="42"/>
      <c r="BOC49" s="33"/>
      <c r="BOD49" s="33"/>
      <c r="BOH49" s="41"/>
      <c r="BON49" s="42"/>
      <c r="BOU49" s="33"/>
      <c r="BOV49" s="33"/>
      <c r="BOZ49" s="41"/>
      <c r="BPF49" s="42"/>
      <c r="BPM49" s="33"/>
      <c r="BPN49" s="33"/>
      <c r="BPR49" s="41"/>
      <c r="BPX49" s="42"/>
      <c r="BQE49" s="33"/>
      <c r="BQF49" s="33"/>
      <c r="BQJ49" s="41"/>
      <c r="BQP49" s="42"/>
      <c r="BQW49" s="33"/>
      <c r="BQX49" s="33"/>
      <c r="BRB49" s="41"/>
      <c r="BRH49" s="42"/>
      <c r="BRO49" s="33"/>
      <c r="BRP49" s="33"/>
      <c r="BRT49" s="41"/>
      <c r="BRZ49" s="42"/>
      <c r="BSG49" s="33"/>
      <c r="BSH49" s="33"/>
      <c r="BSL49" s="41"/>
      <c r="BSR49" s="42"/>
      <c r="BSY49" s="33"/>
      <c r="BSZ49" s="33"/>
      <c r="BTD49" s="41"/>
      <c r="BTJ49" s="42"/>
      <c r="BTQ49" s="33"/>
      <c r="BTR49" s="33"/>
      <c r="BTV49" s="41"/>
      <c r="BUB49" s="42"/>
      <c r="BUI49" s="33"/>
      <c r="BUJ49" s="33"/>
      <c r="BUN49" s="41"/>
      <c r="BUT49" s="42"/>
      <c r="BVA49" s="33"/>
      <c r="BVB49" s="33"/>
      <c r="BVF49" s="41"/>
      <c r="BVL49" s="42"/>
      <c r="BVS49" s="33"/>
      <c r="BVT49" s="33"/>
      <c r="BVX49" s="41"/>
      <c r="BWD49" s="42"/>
      <c r="BWK49" s="33"/>
      <c r="BWL49" s="33"/>
      <c r="BWP49" s="41"/>
      <c r="BWV49" s="42"/>
      <c r="BXC49" s="33"/>
      <c r="BXD49" s="33"/>
      <c r="BXH49" s="41"/>
      <c r="BXN49" s="42"/>
      <c r="BXU49" s="33"/>
      <c r="BXV49" s="33"/>
      <c r="BXZ49" s="41"/>
      <c r="BYF49" s="42"/>
      <c r="BYM49" s="33"/>
      <c r="BYN49" s="33"/>
      <c r="BYR49" s="41"/>
      <c r="BYX49" s="42"/>
      <c r="BZE49" s="33"/>
      <c r="BZF49" s="33"/>
      <c r="BZJ49" s="41"/>
      <c r="BZP49" s="42"/>
      <c r="BZW49" s="33"/>
      <c r="BZX49" s="33"/>
      <c r="CAB49" s="41"/>
      <c r="CAH49" s="42"/>
      <c r="CAO49" s="33"/>
      <c r="CAP49" s="33"/>
      <c r="CAT49" s="41"/>
      <c r="CAZ49" s="42"/>
      <c r="CBG49" s="33"/>
      <c r="CBH49" s="33"/>
      <c r="CBL49" s="41"/>
      <c r="CBR49" s="42"/>
      <c r="CBY49" s="33"/>
      <c r="CBZ49" s="33"/>
      <c r="CCD49" s="41"/>
      <c r="CCJ49" s="42"/>
      <c r="CCQ49" s="33"/>
      <c r="CCR49" s="33"/>
      <c r="CCV49" s="41"/>
      <c r="CDB49" s="42"/>
      <c r="CDI49" s="33"/>
      <c r="CDJ49" s="33"/>
      <c r="CDN49" s="41"/>
      <c r="CDT49" s="42"/>
      <c r="CEA49" s="33"/>
      <c r="CEB49" s="33"/>
      <c r="CEF49" s="41"/>
      <c r="CEL49" s="42"/>
      <c r="CES49" s="33"/>
      <c r="CET49" s="33"/>
      <c r="CEX49" s="41"/>
      <c r="CFD49" s="42"/>
      <c r="CFK49" s="33"/>
      <c r="CFL49" s="33"/>
      <c r="CFP49" s="41"/>
      <c r="CFV49" s="42"/>
      <c r="CGC49" s="33"/>
      <c r="CGD49" s="33"/>
      <c r="CGH49" s="41"/>
      <c r="CGN49" s="42"/>
      <c r="CGU49" s="33"/>
      <c r="CGV49" s="33"/>
      <c r="CGZ49" s="41"/>
      <c r="CHF49" s="42"/>
      <c r="CHM49" s="33"/>
      <c r="CHN49" s="33"/>
      <c r="CHR49" s="41"/>
      <c r="CHX49" s="42"/>
      <c r="CIE49" s="33"/>
      <c r="CIF49" s="33"/>
      <c r="CIJ49" s="41"/>
      <c r="CIP49" s="42"/>
      <c r="CIW49" s="33"/>
      <c r="CIX49" s="33"/>
      <c r="CJB49" s="41"/>
      <c r="CJH49" s="42"/>
      <c r="CJO49" s="33"/>
      <c r="CJP49" s="33"/>
      <c r="CJT49" s="41"/>
      <c r="CJZ49" s="42"/>
      <c r="CKG49" s="33"/>
      <c r="CKH49" s="33"/>
      <c r="CKL49" s="41"/>
      <c r="CKR49" s="42"/>
      <c r="CKY49" s="33"/>
      <c r="CKZ49" s="33"/>
      <c r="CLD49" s="41"/>
      <c r="CLJ49" s="42"/>
      <c r="CLQ49" s="33"/>
      <c r="CLR49" s="33"/>
      <c r="CLV49" s="41"/>
      <c r="CMB49" s="42"/>
      <c r="CMI49" s="33"/>
      <c r="CMJ49" s="33"/>
      <c r="CMN49" s="41"/>
      <c r="CMT49" s="42"/>
      <c r="CNA49" s="33"/>
      <c r="CNB49" s="33"/>
      <c r="CNF49" s="41"/>
      <c r="CNL49" s="42"/>
      <c r="CNS49" s="33"/>
      <c r="CNT49" s="33"/>
      <c r="CNX49" s="41"/>
      <c r="COD49" s="42"/>
      <c r="COK49" s="33"/>
      <c r="COL49" s="33"/>
      <c r="COP49" s="41"/>
      <c r="COV49" s="42"/>
      <c r="CPC49" s="33"/>
      <c r="CPD49" s="33"/>
      <c r="CPH49" s="41"/>
      <c r="CPN49" s="42"/>
      <c r="CPU49" s="33"/>
      <c r="CPV49" s="33"/>
      <c r="CPZ49" s="41"/>
      <c r="CQF49" s="42"/>
      <c r="CQM49" s="33"/>
      <c r="CQN49" s="33"/>
      <c r="CQR49" s="41"/>
      <c r="CQX49" s="42"/>
      <c r="CRE49" s="33"/>
      <c r="CRF49" s="33"/>
      <c r="CRJ49" s="41"/>
      <c r="CRP49" s="42"/>
      <c r="CRW49" s="33"/>
      <c r="CRX49" s="33"/>
      <c r="CSB49" s="41"/>
      <c r="CSH49" s="42"/>
      <c r="CSO49" s="33"/>
      <c r="CSP49" s="33"/>
      <c r="CST49" s="41"/>
      <c r="CSZ49" s="42"/>
      <c r="CTG49" s="33"/>
      <c r="CTH49" s="33"/>
      <c r="CTL49" s="41"/>
      <c r="CTR49" s="42"/>
      <c r="CTY49" s="33"/>
      <c r="CTZ49" s="33"/>
      <c r="CUD49" s="41"/>
      <c r="CUJ49" s="42"/>
      <c r="CUQ49" s="33"/>
      <c r="CUR49" s="33"/>
      <c r="CUV49" s="41"/>
      <c r="CVB49" s="42"/>
      <c r="CVI49" s="33"/>
      <c r="CVJ49" s="33"/>
      <c r="CVN49" s="41"/>
      <c r="CVT49" s="42"/>
      <c r="CWA49" s="33"/>
      <c r="CWB49" s="33"/>
      <c r="CWF49" s="41"/>
      <c r="CWL49" s="42"/>
      <c r="CWS49" s="33"/>
      <c r="CWT49" s="33"/>
      <c r="CWX49" s="41"/>
      <c r="CXD49" s="42"/>
      <c r="CXK49" s="33"/>
      <c r="CXL49" s="33"/>
      <c r="CXP49" s="41"/>
      <c r="CXV49" s="42"/>
      <c r="CYC49" s="33"/>
      <c r="CYD49" s="33"/>
      <c r="CYH49" s="41"/>
      <c r="CYN49" s="42"/>
      <c r="CYU49" s="33"/>
      <c r="CYV49" s="33"/>
      <c r="CYZ49" s="41"/>
      <c r="CZF49" s="42"/>
      <c r="CZM49" s="33"/>
      <c r="CZN49" s="33"/>
      <c r="CZR49" s="41"/>
      <c r="CZX49" s="42"/>
      <c r="DAE49" s="33"/>
      <c r="DAF49" s="33"/>
      <c r="DAJ49" s="41"/>
      <c r="DAP49" s="42"/>
      <c r="DAW49" s="33"/>
      <c r="DAX49" s="33"/>
      <c r="DBB49" s="41"/>
      <c r="DBH49" s="42"/>
      <c r="DBO49" s="33"/>
      <c r="DBP49" s="33"/>
      <c r="DBT49" s="41"/>
      <c r="DBZ49" s="42"/>
      <c r="DCG49" s="33"/>
      <c r="DCH49" s="33"/>
      <c r="DCL49" s="41"/>
      <c r="DCR49" s="42"/>
      <c r="DCY49" s="33"/>
      <c r="DCZ49" s="33"/>
      <c r="DDD49" s="41"/>
      <c r="DDJ49" s="42"/>
      <c r="DDQ49" s="33"/>
      <c r="DDR49" s="33"/>
      <c r="DDV49" s="41"/>
      <c r="DEB49" s="42"/>
      <c r="DEI49" s="33"/>
      <c r="DEJ49" s="33"/>
      <c r="DEN49" s="41"/>
      <c r="DET49" s="42"/>
      <c r="DFA49" s="33"/>
      <c r="DFB49" s="33"/>
      <c r="DFF49" s="41"/>
      <c r="DFL49" s="42"/>
      <c r="DFS49" s="33"/>
      <c r="DFT49" s="33"/>
      <c r="DFX49" s="41"/>
      <c r="DGD49" s="42"/>
      <c r="DGK49" s="33"/>
      <c r="DGL49" s="33"/>
      <c r="DGP49" s="41"/>
      <c r="DGV49" s="42"/>
      <c r="DHC49" s="33"/>
      <c r="DHD49" s="33"/>
      <c r="DHH49" s="41"/>
      <c r="DHN49" s="42"/>
      <c r="DHU49" s="33"/>
      <c r="DHV49" s="33"/>
      <c r="DHZ49" s="41"/>
      <c r="DIF49" s="42"/>
      <c r="DIM49" s="33"/>
      <c r="DIN49" s="33"/>
      <c r="DIR49" s="41"/>
      <c r="DIX49" s="42"/>
      <c r="DJE49" s="33"/>
      <c r="DJF49" s="33"/>
      <c r="DJJ49" s="41"/>
      <c r="DJP49" s="42"/>
      <c r="DJW49" s="33"/>
      <c r="DJX49" s="33"/>
      <c r="DKB49" s="41"/>
      <c r="DKH49" s="42"/>
      <c r="DKO49" s="33"/>
      <c r="DKP49" s="33"/>
      <c r="DKT49" s="41"/>
      <c r="DKZ49" s="42"/>
      <c r="DLG49" s="33"/>
      <c r="DLH49" s="33"/>
      <c r="DLL49" s="41"/>
      <c r="DLR49" s="42"/>
      <c r="DLY49" s="33"/>
      <c r="DLZ49" s="33"/>
      <c r="DMD49" s="41"/>
      <c r="DMJ49" s="42"/>
      <c r="DMQ49" s="33"/>
      <c r="DMR49" s="33"/>
      <c r="DMV49" s="41"/>
      <c r="DNB49" s="42"/>
      <c r="DNI49" s="33"/>
      <c r="DNJ49" s="33"/>
      <c r="DNN49" s="41"/>
      <c r="DNT49" s="42"/>
      <c r="DOA49" s="33"/>
      <c r="DOB49" s="33"/>
      <c r="DOF49" s="41"/>
      <c r="DOL49" s="42"/>
      <c r="DOS49" s="33"/>
      <c r="DOT49" s="33"/>
      <c r="DOX49" s="41"/>
      <c r="DPD49" s="42"/>
      <c r="DPK49" s="33"/>
      <c r="DPL49" s="33"/>
      <c r="DPP49" s="41"/>
      <c r="DPV49" s="42"/>
      <c r="DQC49" s="33"/>
      <c r="DQD49" s="33"/>
      <c r="DQH49" s="41"/>
      <c r="DQN49" s="42"/>
      <c r="DQU49" s="33"/>
      <c r="DQV49" s="33"/>
      <c r="DQZ49" s="41"/>
      <c r="DRF49" s="42"/>
      <c r="DRM49" s="33"/>
      <c r="DRN49" s="33"/>
      <c r="DRR49" s="41"/>
      <c r="DRX49" s="42"/>
      <c r="DSE49" s="33"/>
      <c r="DSF49" s="33"/>
      <c r="DSJ49" s="41"/>
      <c r="DSP49" s="42"/>
      <c r="DSW49" s="33"/>
      <c r="DSX49" s="33"/>
      <c r="DTB49" s="41"/>
      <c r="DTH49" s="42"/>
      <c r="DTO49" s="33"/>
      <c r="DTP49" s="33"/>
      <c r="DTT49" s="41"/>
      <c r="DTZ49" s="42"/>
      <c r="DUG49" s="33"/>
      <c r="DUH49" s="33"/>
      <c r="DUL49" s="41"/>
      <c r="DUR49" s="42"/>
      <c r="DUY49" s="33"/>
      <c r="DUZ49" s="33"/>
      <c r="DVD49" s="41"/>
      <c r="DVJ49" s="42"/>
      <c r="DVQ49" s="33"/>
      <c r="DVR49" s="33"/>
      <c r="DVV49" s="41"/>
      <c r="DWB49" s="42"/>
      <c r="DWI49" s="33"/>
      <c r="DWJ49" s="33"/>
      <c r="DWN49" s="41"/>
      <c r="DWT49" s="42"/>
      <c r="DXA49" s="33"/>
      <c r="DXB49" s="33"/>
      <c r="DXF49" s="41"/>
      <c r="DXL49" s="42"/>
      <c r="DXS49" s="33"/>
      <c r="DXT49" s="33"/>
      <c r="DXX49" s="41"/>
      <c r="DYD49" s="42"/>
      <c r="DYK49" s="33"/>
      <c r="DYL49" s="33"/>
      <c r="DYP49" s="41"/>
      <c r="DYV49" s="42"/>
      <c r="DZC49" s="33"/>
      <c r="DZD49" s="33"/>
      <c r="DZH49" s="41"/>
      <c r="DZN49" s="42"/>
      <c r="DZU49" s="33"/>
      <c r="DZV49" s="33"/>
      <c r="DZZ49" s="41"/>
      <c r="EAF49" s="42"/>
      <c r="EAM49" s="33"/>
      <c r="EAN49" s="33"/>
      <c r="EAR49" s="41"/>
      <c r="EAX49" s="42"/>
      <c r="EBE49" s="33"/>
      <c r="EBF49" s="33"/>
      <c r="EBJ49" s="41"/>
      <c r="EBP49" s="42"/>
      <c r="EBW49" s="33"/>
      <c r="EBX49" s="33"/>
      <c r="ECB49" s="41"/>
      <c r="ECH49" s="42"/>
      <c r="ECO49" s="33"/>
      <c r="ECP49" s="33"/>
      <c r="ECT49" s="41"/>
      <c r="ECZ49" s="42"/>
      <c r="EDG49" s="33"/>
      <c r="EDH49" s="33"/>
      <c r="EDL49" s="41"/>
      <c r="EDR49" s="42"/>
      <c r="EDY49" s="33"/>
      <c r="EDZ49" s="33"/>
      <c r="EED49" s="41"/>
      <c r="EEJ49" s="42"/>
      <c r="EEQ49" s="33"/>
      <c r="EER49" s="33"/>
      <c r="EEV49" s="41"/>
      <c r="EFB49" s="42"/>
      <c r="EFI49" s="33"/>
      <c r="EFJ49" s="33"/>
      <c r="EFN49" s="41"/>
      <c r="EFT49" s="42"/>
      <c r="EGA49" s="33"/>
      <c r="EGB49" s="33"/>
      <c r="EGF49" s="41"/>
      <c r="EGL49" s="42"/>
      <c r="EGS49" s="33"/>
      <c r="EGT49" s="33"/>
      <c r="EGX49" s="41"/>
      <c r="EHD49" s="42"/>
      <c r="EHK49" s="33"/>
      <c r="EHL49" s="33"/>
      <c r="EHP49" s="41"/>
      <c r="EHV49" s="42"/>
      <c r="EIC49" s="33"/>
      <c r="EID49" s="33"/>
      <c r="EIH49" s="41"/>
      <c r="EIN49" s="42"/>
      <c r="EIU49" s="33"/>
      <c r="EIV49" s="33"/>
      <c r="EIZ49" s="41"/>
      <c r="EJF49" s="42"/>
      <c r="EJM49" s="33"/>
      <c r="EJN49" s="33"/>
      <c r="EJR49" s="41"/>
      <c r="EJX49" s="42"/>
      <c r="EKE49" s="33"/>
      <c r="EKF49" s="33"/>
      <c r="EKJ49" s="41"/>
      <c r="EKP49" s="42"/>
      <c r="EKW49" s="33"/>
      <c r="EKX49" s="33"/>
      <c r="ELB49" s="41"/>
      <c r="ELH49" s="42"/>
      <c r="ELO49" s="33"/>
      <c r="ELP49" s="33"/>
      <c r="ELT49" s="41"/>
      <c r="ELZ49" s="42"/>
      <c r="EMG49" s="33"/>
      <c r="EMH49" s="33"/>
      <c r="EML49" s="41"/>
      <c r="EMR49" s="42"/>
      <c r="EMY49" s="33"/>
      <c r="EMZ49" s="33"/>
      <c r="END49" s="41"/>
      <c r="ENJ49" s="42"/>
      <c r="ENQ49" s="33"/>
      <c r="ENR49" s="33"/>
      <c r="ENV49" s="41"/>
      <c r="EOB49" s="42"/>
      <c r="EOI49" s="33"/>
      <c r="EOJ49" s="33"/>
      <c r="EON49" s="41"/>
      <c r="EOT49" s="42"/>
      <c r="EPA49" s="33"/>
      <c r="EPB49" s="33"/>
      <c r="EPF49" s="41"/>
      <c r="EPL49" s="42"/>
      <c r="EPS49" s="33"/>
      <c r="EPT49" s="33"/>
      <c r="EPX49" s="41"/>
      <c r="EQD49" s="42"/>
      <c r="EQK49" s="33"/>
      <c r="EQL49" s="33"/>
      <c r="EQP49" s="41"/>
      <c r="EQV49" s="42"/>
      <c r="ERC49" s="33"/>
      <c r="ERD49" s="33"/>
      <c r="ERH49" s="41"/>
      <c r="ERN49" s="42"/>
      <c r="ERU49" s="33"/>
      <c r="ERV49" s="33"/>
      <c r="ERZ49" s="41"/>
      <c r="ESF49" s="42"/>
      <c r="ESM49" s="33"/>
      <c r="ESN49" s="33"/>
      <c r="ESR49" s="41"/>
      <c r="ESX49" s="42"/>
      <c r="ETE49" s="33"/>
      <c r="ETF49" s="33"/>
      <c r="ETJ49" s="41"/>
      <c r="ETP49" s="42"/>
      <c r="ETW49" s="33"/>
      <c r="ETX49" s="33"/>
      <c r="EUB49" s="41"/>
      <c r="EUH49" s="42"/>
      <c r="EUO49" s="33"/>
      <c r="EUP49" s="33"/>
      <c r="EUT49" s="41"/>
      <c r="EUZ49" s="42"/>
      <c r="EVG49" s="33"/>
      <c r="EVH49" s="33"/>
      <c r="EVL49" s="41"/>
      <c r="EVR49" s="42"/>
      <c r="EVY49" s="33"/>
      <c r="EVZ49" s="33"/>
      <c r="EWD49" s="41"/>
      <c r="EWJ49" s="42"/>
      <c r="EWQ49" s="33"/>
      <c r="EWR49" s="33"/>
      <c r="EWV49" s="41"/>
      <c r="EXB49" s="42"/>
      <c r="EXI49" s="33"/>
      <c r="EXJ49" s="33"/>
      <c r="EXN49" s="41"/>
      <c r="EXT49" s="42"/>
      <c r="EYA49" s="33"/>
      <c r="EYB49" s="33"/>
      <c r="EYF49" s="41"/>
      <c r="EYL49" s="42"/>
      <c r="EYS49" s="33"/>
      <c r="EYT49" s="33"/>
      <c r="EYX49" s="41"/>
      <c r="EZD49" s="42"/>
      <c r="EZK49" s="33"/>
      <c r="EZL49" s="33"/>
      <c r="EZP49" s="41"/>
      <c r="EZV49" s="42"/>
      <c r="FAC49" s="33"/>
      <c r="FAD49" s="33"/>
      <c r="FAH49" s="41"/>
      <c r="FAN49" s="42"/>
      <c r="FAU49" s="33"/>
      <c r="FAV49" s="33"/>
      <c r="FAZ49" s="41"/>
      <c r="FBF49" s="42"/>
      <c r="FBM49" s="33"/>
      <c r="FBN49" s="33"/>
      <c r="FBR49" s="41"/>
      <c r="FBX49" s="42"/>
      <c r="FCE49" s="33"/>
      <c r="FCF49" s="33"/>
      <c r="FCJ49" s="41"/>
      <c r="FCP49" s="42"/>
      <c r="FCW49" s="33"/>
      <c r="FCX49" s="33"/>
      <c r="FDB49" s="41"/>
      <c r="FDH49" s="42"/>
      <c r="FDO49" s="33"/>
      <c r="FDP49" s="33"/>
      <c r="FDT49" s="41"/>
      <c r="FDZ49" s="42"/>
      <c r="FEG49" s="33"/>
      <c r="FEH49" s="33"/>
      <c r="FEL49" s="41"/>
      <c r="FER49" s="42"/>
      <c r="FEY49" s="33"/>
      <c r="FEZ49" s="33"/>
      <c r="FFD49" s="41"/>
      <c r="FFJ49" s="42"/>
      <c r="FFQ49" s="33"/>
      <c r="FFR49" s="33"/>
      <c r="FFV49" s="41"/>
      <c r="FGB49" s="42"/>
      <c r="FGI49" s="33"/>
      <c r="FGJ49" s="33"/>
      <c r="FGN49" s="41"/>
      <c r="FGT49" s="42"/>
      <c r="FHA49" s="33"/>
      <c r="FHB49" s="33"/>
      <c r="FHF49" s="41"/>
      <c r="FHL49" s="42"/>
      <c r="FHS49" s="33"/>
      <c r="FHT49" s="33"/>
      <c r="FHX49" s="41"/>
      <c r="FID49" s="42"/>
      <c r="FIK49" s="33"/>
      <c r="FIL49" s="33"/>
      <c r="FIP49" s="41"/>
      <c r="FIV49" s="42"/>
      <c r="FJC49" s="33"/>
      <c r="FJD49" s="33"/>
      <c r="FJH49" s="41"/>
      <c r="FJN49" s="42"/>
      <c r="FJU49" s="33"/>
      <c r="FJV49" s="33"/>
      <c r="FJZ49" s="41"/>
      <c r="FKF49" s="42"/>
      <c r="FKM49" s="33"/>
      <c r="FKN49" s="33"/>
      <c r="FKR49" s="41"/>
      <c r="FKX49" s="42"/>
      <c r="FLE49" s="33"/>
      <c r="FLF49" s="33"/>
      <c r="FLJ49" s="41"/>
      <c r="FLP49" s="42"/>
      <c r="FLW49" s="33"/>
      <c r="FLX49" s="33"/>
      <c r="FMB49" s="41"/>
      <c r="FMH49" s="42"/>
      <c r="FMO49" s="33"/>
      <c r="FMP49" s="33"/>
      <c r="FMT49" s="41"/>
      <c r="FMZ49" s="42"/>
      <c r="FNG49" s="33"/>
      <c r="FNH49" s="33"/>
      <c r="FNL49" s="41"/>
      <c r="FNR49" s="42"/>
      <c r="FNY49" s="33"/>
      <c r="FNZ49" s="33"/>
      <c r="FOD49" s="41"/>
      <c r="FOJ49" s="42"/>
      <c r="FOQ49" s="33"/>
      <c r="FOR49" s="33"/>
      <c r="FOV49" s="41"/>
      <c r="FPB49" s="42"/>
      <c r="FPI49" s="33"/>
      <c r="FPJ49" s="33"/>
      <c r="FPN49" s="41"/>
      <c r="FPT49" s="42"/>
      <c r="FQA49" s="33"/>
      <c r="FQB49" s="33"/>
      <c r="FQF49" s="41"/>
      <c r="FQL49" s="42"/>
      <c r="FQS49" s="33"/>
      <c r="FQT49" s="33"/>
      <c r="FQX49" s="41"/>
      <c r="FRD49" s="42"/>
      <c r="FRK49" s="33"/>
      <c r="FRL49" s="33"/>
      <c r="FRP49" s="41"/>
      <c r="FRV49" s="42"/>
      <c r="FSC49" s="33"/>
      <c r="FSD49" s="33"/>
      <c r="FSH49" s="41"/>
      <c r="FSN49" s="42"/>
      <c r="FSU49" s="33"/>
      <c r="FSV49" s="33"/>
      <c r="FSZ49" s="41"/>
      <c r="FTF49" s="42"/>
      <c r="FTM49" s="33"/>
      <c r="FTN49" s="33"/>
      <c r="FTR49" s="41"/>
      <c r="FTX49" s="42"/>
      <c r="FUE49" s="33"/>
      <c r="FUF49" s="33"/>
      <c r="FUJ49" s="41"/>
      <c r="FUP49" s="42"/>
      <c r="FUW49" s="33"/>
      <c r="FUX49" s="33"/>
      <c r="FVB49" s="41"/>
      <c r="FVH49" s="42"/>
      <c r="FVO49" s="33"/>
      <c r="FVP49" s="33"/>
      <c r="FVT49" s="41"/>
      <c r="FVZ49" s="42"/>
      <c r="FWG49" s="33"/>
      <c r="FWH49" s="33"/>
      <c r="FWL49" s="41"/>
      <c r="FWR49" s="42"/>
      <c r="FWY49" s="33"/>
      <c r="FWZ49" s="33"/>
      <c r="FXD49" s="41"/>
      <c r="FXJ49" s="42"/>
      <c r="FXQ49" s="33"/>
      <c r="FXR49" s="33"/>
      <c r="FXV49" s="41"/>
      <c r="FYB49" s="42"/>
      <c r="FYI49" s="33"/>
      <c r="FYJ49" s="33"/>
      <c r="FYN49" s="41"/>
      <c r="FYT49" s="42"/>
      <c r="FZA49" s="33"/>
      <c r="FZB49" s="33"/>
      <c r="FZF49" s="41"/>
      <c r="FZL49" s="42"/>
      <c r="FZS49" s="33"/>
      <c r="FZT49" s="33"/>
      <c r="FZX49" s="41"/>
      <c r="GAD49" s="42"/>
      <c r="GAK49" s="33"/>
      <c r="GAL49" s="33"/>
      <c r="GAP49" s="41"/>
      <c r="GAV49" s="42"/>
      <c r="GBC49" s="33"/>
      <c r="GBD49" s="33"/>
      <c r="GBH49" s="41"/>
      <c r="GBN49" s="42"/>
      <c r="GBU49" s="33"/>
      <c r="GBV49" s="33"/>
      <c r="GBZ49" s="41"/>
      <c r="GCF49" s="42"/>
      <c r="GCM49" s="33"/>
      <c r="GCN49" s="33"/>
      <c r="GCR49" s="41"/>
      <c r="GCX49" s="42"/>
      <c r="GDE49" s="33"/>
      <c r="GDF49" s="33"/>
      <c r="GDJ49" s="41"/>
      <c r="GDP49" s="42"/>
      <c r="GDW49" s="33"/>
      <c r="GDX49" s="33"/>
      <c r="GEB49" s="41"/>
      <c r="GEH49" s="42"/>
      <c r="GEO49" s="33"/>
      <c r="GEP49" s="33"/>
      <c r="GET49" s="41"/>
      <c r="GEZ49" s="42"/>
      <c r="GFG49" s="33"/>
      <c r="GFH49" s="33"/>
      <c r="GFL49" s="41"/>
      <c r="GFR49" s="42"/>
      <c r="GFY49" s="33"/>
      <c r="GFZ49" s="33"/>
      <c r="GGD49" s="41"/>
      <c r="GGJ49" s="42"/>
      <c r="GGQ49" s="33"/>
      <c r="GGR49" s="33"/>
      <c r="GGV49" s="41"/>
      <c r="GHB49" s="42"/>
      <c r="GHI49" s="33"/>
      <c r="GHJ49" s="33"/>
      <c r="GHN49" s="41"/>
      <c r="GHT49" s="42"/>
      <c r="GIA49" s="33"/>
      <c r="GIB49" s="33"/>
      <c r="GIF49" s="41"/>
      <c r="GIL49" s="42"/>
      <c r="GIS49" s="33"/>
      <c r="GIT49" s="33"/>
      <c r="GIX49" s="41"/>
      <c r="GJD49" s="42"/>
      <c r="GJK49" s="33"/>
      <c r="GJL49" s="33"/>
      <c r="GJP49" s="41"/>
      <c r="GJV49" s="42"/>
      <c r="GKC49" s="33"/>
      <c r="GKD49" s="33"/>
      <c r="GKH49" s="41"/>
      <c r="GKN49" s="42"/>
      <c r="GKU49" s="33"/>
      <c r="GKV49" s="33"/>
      <c r="GKZ49" s="41"/>
      <c r="GLF49" s="42"/>
      <c r="GLM49" s="33"/>
      <c r="GLN49" s="33"/>
      <c r="GLR49" s="41"/>
      <c r="GLX49" s="42"/>
      <c r="GME49" s="33"/>
      <c r="GMF49" s="33"/>
      <c r="GMJ49" s="41"/>
      <c r="GMP49" s="42"/>
      <c r="GMW49" s="33"/>
      <c r="GMX49" s="33"/>
      <c r="GNB49" s="41"/>
      <c r="GNH49" s="42"/>
      <c r="GNO49" s="33"/>
      <c r="GNP49" s="33"/>
      <c r="GNT49" s="41"/>
      <c r="GNZ49" s="42"/>
      <c r="GOG49" s="33"/>
      <c r="GOH49" s="33"/>
      <c r="GOL49" s="41"/>
      <c r="GOR49" s="42"/>
      <c r="GOY49" s="33"/>
      <c r="GOZ49" s="33"/>
      <c r="GPD49" s="41"/>
      <c r="GPJ49" s="42"/>
      <c r="GPQ49" s="33"/>
      <c r="GPR49" s="33"/>
      <c r="GPV49" s="41"/>
      <c r="GQB49" s="42"/>
      <c r="GQI49" s="33"/>
      <c r="GQJ49" s="33"/>
      <c r="GQN49" s="41"/>
      <c r="GQT49" s="42"/>
      <c r="GRA49" s="33"/>
      <c r="GRB49" s="33"/>
      <c r="GRF49" s="41"/>
      <c r="GRL49" s="42"/>
      <c r="GRS49" s="33"/>
      <c r="GRT49" s="33"/>
      <c r="GRX49" s="41"/>
      <c r="GSD49" s="42"/>
      <c r="GSK49" s="33"/>
      <c r="GSL49" s="33"/>
      <c r="GSP49" s="41"/>
      <c r="GSV49" s="42"/>
      <c r="GTC49" s="33"/>
      <c r="GTD49" s="33"/>
      <c r="GTH49" s="41"/>
      <c r="GTN49" s="42"/>
      <c r="GTU49" s="33"/>
      <c r="GTV49" s="33"/>
      <c r="GTZ49" s="41"/>
      <c r="GUF49" s="42"/>
      <c r="GUM49" s="33"/>
      <c r="GUN49" s="33"/>
      <c r="GUR49" s="41"/>
      <c r="GUX49" s="42"/>
      <c r="GVE49" s="33"/>
      <c r="GVF49" s="33"/>
      <c r="GVJ49" s="41"/>
      <c r="GVP49" s="42"/>
      <c r="GVW49" s="33"/>
      <c r="GVX49" s="33"/>
      <c r="GWB49" s="41"/>
      <c r="GWH49" s="42"/>
      <c r="GWO49" s="33"/>
      <c r="GWP49" s="33"/>
      <c r="GWT49" s="41"/>
      <c r="GWZ49" s="42"/>
      <c r="GXG49" s="33"/>
      <c r="GXH49" s="33"/>
      <c r="GXL49" s="41"/>
      <c r="GXR49" s="42"/>
      <c r="GXY49" s="33"/>
      <c r="GXZ49" s="33"/>
      <c r="GYD49" s="41"/>
      <c r="GYJ49" s="42"/>
      <c r="GYQ49" s="33"/>
      <c r="GYR49" s="33"/>
      <c r="GYV49" s="41"/>
      <c r="GZB49" s="42"/>
      <c r="GZI49" s="33"/>
      <c r="GZJ49" s="33"/>
      <c r="GZN49" s="41"/>
      <c r="GZT49" s="42"/>
      <c r="HAA49" s="33"/>
      <c r="HAB49" s="33"/>
      <c r="HAF49" s="41"/>
      <c r="HAL49" s="42"/>
      <c r="HAS49" s="33"/>
      <c r="HAT49" s="33"/>
      <c r="HAX49" s="41"/>
      <c r="HBD49" s="42"/>
      <c r="HBK49" s="33"/>
      <c r="HBL49" s="33"/>
      <c r="HBP49" s="41"/>
      <c r="HBV49" s="42"/>
      <c r="HCC49" s="33"/>
      <c r="HCD49" s="33"/>
      <c r="HCH49" s="41"/>
      <c r="HCN49" s="42"/>
      <c r="HCU49" s="33"/>
      <c r="HCV49" s="33"/>
      <c r="HCZ49" s="41"/>
      <c r="HDF49" s="42"/>
      <c r="HDM49" s="33"/>
      <c r="HDN49" s="33"/>
      <c r="HDR49" s="41"/>
      <c r="HDX49" s="42"/>
      <c r="HEE49" s="33"/>
      <c r="HEF49" s="33"/>
      <c r="HEJ49" s="41"/>
      <c r="HEP49" s="42"/>
      <c r="HEW49" s="33"/>
      <c r="HEX49" s="33"/>
      <c r="HFB49" s="41"/>
      <c r="HFH49" s="42"/>
      <c r="HFO49" s="33"/>
      <c r="HFP49" s="33"/>
      <c r="HFT49" s="41"/>
      <c r="HFZ49" s="42"/>
      <c r="HGG49" s="33"/>
      <c r="HGH49" s="33"/>
      <c r="HGL49" s="41"/>
      <c r="HGR49" s="42"/>
      <c r="HGY49" s="33"/>
      <c r="HGZ49" s="33"/>
      <c r="HHD49" s="41"/>
      <c r="HHJ49" s="42"/>
      <c r="HHQ49" s="33"/>
      <c r="HHR49" s="33"/>
      <c r="HHV49" s="41"/>
      <c r="HIB49" s="42"/>
      <c r="HII49" s="33"/>
      <c r="HIJ49" s="33"/>
      <c r="HIN49" s="41"/>
      <c r="HIT49" s="42"/>
      <c r="HJA49" s="33"/>
      <c r="HJB49" s="33"/>
      <c r="HJF49" s="41"/>
      <c r="HJL49" s="42"/>
      <c r="HJS49" s="33"/>
      <c r="HJT49" s="33"/>
      <c r="HJX49" s="41"/>
      <c r="HKD49" s="42"/>
      <c r="HKK49" s="33"/>
      <c r="HKL49" s="33"/>
      <c r="HKP49" s="41"/>
      <c r="HKV49" s="42"/>
      <c r="HLC49" s="33"/>
      <c r="HLD49" s="33"/>
      <c r="HLH49" s="41"/>
      <c r="HLN49" s="42"/>
      <c r="HLU49" s="33"/>
      <c r="HLV49" s="33"/>
      <c r="HLZ49" s="41"/>
      <c r="HMF49" s="42"/>
      <c r="HMM49" s="33"/>
      <c r="HMN49" s="33"/>
      <c r="HMR49" s="41"/>
      <c r="HMX49" s="42"/>
      <c r="HNE49" s="33"/>
      <c r="HNF49" s="33"/>
      <c r="HNJ49" s="41"/>
      <c r="HNP49" s="42"/>
      <c r="HNW49" s="33"/>
      <c r="HNX49" s="33"/>
      <c r="HOB49" s="41"/>
      <c r="HOH49" s="42"/>
      <c r="HOO49" s="33"/>
      <c r="HOP49" s="33"/>
      <c r="HOT49" s="41"/>
      <c r="HOZ49" s="42"/>
      <c r="HPG49" s="33"/>
      <c r="HPH49" s="33"/>
      <c r="HPL49" s="41"/>
      <c r="HPR49" s="42"/>
      <c r="HPY49" s="33"/>
      <c r="HPZ49" s="33"/>
      <c r="HQD49" s="41"/>
      <c r="HQJ49" s="42"/>
      <c r="HQQ49" s="33"/>
      <c r="HQR49" s="33"/>
      <c r="HQV49" s="41"/>
      <c r="HRB49" s="42"/>
      <c r="HRI49" s="33"/>
      <c r="HRJ49" s="33"/>
      <c r="HRN49" s="41"/>
      <c r="HRT49" s="42"/>
      <c r="HSA49" s="33"/>
      <c r="HSB49" s="33"/>
      <c r="HSF49" s="41"/>
      <c r="HSL49" s="42"/>
      <c r="HSS49" s="33"/>
      <c r="HST49" s="33"/>
      <c r="HSX49" s="41"/>
      <c r="HTD49" s="42"/>
      <c r="HTK49" s="33"/>
      <c r="HTL49" s="33"/>
      <c r="HTP49" s="41"/>
      <c r="HTV49" s="42"/>
      <c r="HUC49" s="33"/>
      <c r="HUD49" s="33"/>
      <c r="HUH49" s="41"/>
      <c r="HUN49" s="42"/>
      <c r="HUU49" s="33"/>
      <c r="HUV49" s="33"/>
      <c r="HUZ49" s="41"/>
      <c r="HVF49" s="42"/>
      <c r="HVM49" s="33"/>
      <c r="HVN49" s="33"/>
      <c r="HVR49" s="41"/>
      <c r="HVX49" s="42"/>
      <c r="HWE49" s="33"/>
      <c r="HWF49" s="33"/>
      <c r="HWJ49" s="41"/>
      <c r="HWP49" s="42"/>
      <c r="HWW49" s="33"/>
      <c r="HWX49" s="33"/>
      <c r="HXB49" s="41"/>
      <c r="HXH49" s="42"/>
      <c r="HXO49" s="33"/>
      <c r="HXP49" s="33"/>
      <c r="HXT49" s="41"/>
      <c r="HXZ49" s="42"/>
      <c r="HYG49" s="33"/>
      <c r="HYH49" s="33"/>
      <c r="HYL49" s="41"/>
      <c r="HYR49" s="42"/>
      <c r="HYY49" s="33"/>
      <c r="HYZ49" s="33"/>
      <c r="HZD49" s="41"/>
      <c r="HZJ49" s="42"/>
      <c r="HZQ49" s="33"/>
      <c r="HZR49" s="33"/>
      <c r="HZV49" s="41"/>
      <c r="IAB49" s="42"/>
      <c r="IAI49" s="33"/>
      <c r="IAJ49" s="33"/>
      <c r="IAN49" s="41"/>
      <c r="IAT49" s="42"/>
      <c r="IBA49" s="33"/>
      <c r="IBB49" s="33"/>
      <c r="IBF49" s="41"/>
      <c r="IBL49" s="42"/>
      <c r="IBS49" s="33"/>
      <c r="IBT49" s="33"/>
      <c r="IBX49" s="41"/>
      <c r="ICD49" s="42"/>
      <c r="ICK49" s="33"/>
      <c r="ICL49" s="33"/>
      <c r="ICP49" s="41"/>
      <c r="ICV49" s="42"/>
      <c r="IDC49" s="33"/>
      <c r="IDD49" s="33"/>
      <c r="IDH49" s="41"/>
      <c r="IDN49" s="42"/>
      <c r="IDU49" s="33"/>
      <c r="IDV49" s="33"/>
      <c r="IDZ49" s="41"/>
      <c r="IEF49" s="42"/>
      <c r="IEM49" s="33"/>
      <c r="IEN49" s="33"/>
      <c r="IER49" s="41"/>
      <c r="IEX49" s="42"/>
      <c r="IFE49" s="33"/>
      <c r="IFF49" s="33"/>
      <c r="IFJ49" s="41"/>
      <c r="IFP49" s="42"/>
      <c r="IFW49" s="33"/>
      <c r="IFX49" s="33"/>
      <c r="IGB49" s="41"/>
      <c r="IGH49" s="42"/>
      <c r="IGO49" s="33"/>
      <c r="IGP49" s="33"/>
      <c r="IGT49" s="41"/>
      <c r="IGZ49" s="42"/>
      <c r="IHG49" s="33"/>
      <c r="IHH49" s="33"/>
      <c r="IHL49" s="41"/>
      <c r="IHR49" s="42"/>
      <c r="IHY49" s="33"/>
      <c r="IHZ49" s="33"/>
      <c r="IID49" s="41"/>
      <c r="IIJ49" s="42"/>
      <c r="IIQ49" s="33"/>
      <c r="IIR49" s="33"/>
      <c r="IIV49" s="41"/>
      <c r="IJB49" s="42"/>
      <c r="IJI49" s="33"/>
      <c r="IJJ49" s="33"/>
      <c r="IJN49" s="41"/>
      <c r="IJT49" s="42"/>
      <c r="IKA49" s="33"/>
      <c r="IKB49" s="33"/>
      <c r="IKF49" s="41"/>
      <c r="IKL49" s="42"/>
      <c r="IKS49" s="33"/>
      <c r="IKT49" s="33"/>
      <c r="IKX49" s="41"/>
      <c r="ILD49" s="42"/>
      <c r="ILK49" s="33"/>
      <c r="ILL49" s="33"/>
      <c r="ILP49" s="41"/>
      <c r="ILV49" s="42"/>
      <c r="IMC49" s="33"/>
      <c r="IMD49" s="33"/>
      <c r="IMH49" s="41"/>
      <c r="IMN49" s="42"/>
      <c r="IMU49" s="33"/>
      <c r="IMV49" s="33"/>
      <c r="IMZ49" s="41"/>
      <c r="INF49" s="42"/>
      <c r="INM49" s="33"/>
      <c r="INN49" s="33"/>
      <c r="INR49" s="41"/>
      <c r="INX49" s="42"/>
      <c r="IOE49" s="33"/>
      <c r="IOF49" s="33"/>
      <c r="IOJ49" s="41"/>
      <c r="IOP49" s="42"/>
      <c r="IOW49" s="33"/>
      <c r="IOX49" s="33"/>
      <c r="IPB49" s="41"/>
      <c r="IPH49" s="42"/>
      <c r="IPO49" s="33"/>
      <c r="IPP49" s="33"/>
      <c r="IPT49" s="41"/>
      <c r="IPZ49" s="42"/>
      <c r="IQG49" s="33"/>
      <c r="IQH49" s="33"/>
      <c r="IQL49" s="41"/>
      <c r="IQR49" s="42"/>
      <c r="IQY49" s="33"/>
      <c r="IQZ49" s="33"/>
      <c r="IRD49" s="41"/>
      <c r="IRJ49" s="42"/>
      <c r="IRQ49" s="33"/>
      <c r="IRR49" s="33"/>
      <c r="IRV49" s="41"/>
      <c r="ISB49" s="42"/>
      <c r="ISI49" s="33"/>
      <c r="ISJ49" s="33"/>
      <c r="ISN49" s="41"/>
      <c r="IST49" s="42"/>
      <c r="ITA49" s="33"/>
      <c r="ITB49" s="33"/>
      <c r="ITF49" s="41"/>
      <c r="ITL49" s="42"/>
      <c r="ITS49" s="33"/>
      <c r="ITT49" s="33"/>
      <c r="ITX49" s="41"/>
      <c r="IUD49" s="42"/>
      <c r="IUK49" s="33"/>
      <c r="IUL49" s="33"/>
      <c r="IUP49" s="41"/>
      <c r="IUV49" s="42"/>
      <c r="IVC49" s="33"/>
      <c r="IVD49" s="33"/>
      <c r="IVH49" s="41"/>
      <c r="IVN49" s="42"/>
      <c r="IVU49" s="33"/>
      <c r="IVV49" s="33"/>
      <c r="IVZ49" s="41"/>
      <c r="IWF49" s="42"/>
      <c r="IWM49" s="33"/>
      <c r="IWN49" s="33"/>
      <c r="IWR49" s="41"/>
      <c r="IWX49" s="42"/>
      <c r="IXE49" s="33"/>
      <c r="IXF49" s="33"/>
      <c r="IXJ49" s="41"/>
      <c r="IXP49" s="42"/>
      <c r="IXW49" s="33"/>
      <c r="IXX49" s="33"/>
      <c r="IYB49" s="41"/>
      <c r="IYH49" s="42"/>
      <c r="IYO49" s="33"/>
      <c r="IYP49" s="33"/>
      <c r="IYT49" s="41"/>
      <c r="IYZ49" s="42"/>
      <c r="IZG49" s="33"/>
      <c r="IZH49" s="33"/>
      <c r="IZL49" s="41"/>
      <c r="IZR49" s="42"/>
      <c r="IZY49" s="33"/>
      <c r="IZZ49" s="33"/>
      <c r="JAD49" s="41"/>
      <c r="JAJ49" s="42"/>
      <c r="JAQ49" s="33"/>
      <c r="JAR49" s="33"/>
      <c r="JAV49" s="41"/>
      <c r="JBB49" s="42"/>
      <c r="JBI49" s="33"/>
      <c r="JBJ49" s="33"/>
      <c r="JBN49" s="41"/>
      <c r="JBT49" s="42"/>
      <c r="JCA49" s="33"/>
      <c r="JCB49" s="33"/>
      <c r="JCF49" s="41"/>
      <c r="JCL49" s="42"/>
      <c r="JCS49" s="33"/>
      <c r="JCT49" s="33"/>
      <c r="JCX49" s="41"/>
      <c r="JDD49" s="42"/>
      <c r="JDK49" s="33"/>
      <c r="JDL49" s="33"/>
      <c r="JDP49" s="41"/>
      <c r="JDV49" s="42"/>
      <c r="JEC49" s="33"/>
      <c r="JED49" s="33"/>
      <c r="JEH49" s="41"/>
      <c r="JEN49" s="42"/>
      <c r="JEU49" s="33"/>
      <c r="JEV49" s="33"/>
      <c r="JEZ49" s="41"/>
      <c r="JFF49" s="42"/>
      <c r="JFM49" s="33"/>
      <c r="JFN49" s="33"/>
      <c r="JFR49" s="41"/>
      <c r="JFX49" s="42"/>
      <c r="JGE49" s="33"/>
      <c r="JGF49" s="33"/>
      <c r="JGJ49" s="41"/>
      <c r="JGP49" s="42"/>
      <c r="JGW49" s="33"/>
      <c r="JGX49" s="33"/>
      <c r="JHB49" s="41"/>
      <c r="JHH49" s="42"/>
      <c r="JHO49" s="33"/>
      <c r="JHP49" s="33"/>
      <c r="JHT49" s="41"/>
      <c r="JHZ49" s="42"/>
      <c r="JIG49" s="33"/>
      <c r="JIH49" s="33"/>
      <c r="JIL49" s="41"/>
      <c r="JIR49" s="42"/>
      <c r="JIY49" s="33"/>
      <c r="JIZ49" s="33"/>
      <c r="JJD49" s="41"/>
      <c r="JJJ49" s="42"/>
      <c r="JJQ49" s="33"/>
      <c r="JJR49" s="33"/>
      <c r="JJV49" s="41"/>
      <c r="JKB49" s="42"/>
      <c r="JKI49" s="33"/>
      <c r="JKJ49" s="33"/>
      <c r="JKN49" s="41"/>
      <c r="JKT49" s="42"/>
      <c r="JLA49" s="33"/>
      <c r="JLB49" s="33"/>
      <c r="JLF49" s="41"/>
      <c r="JLL49" s="42"/>
      <c r="JLS49" s="33"/>
      <c r="JLT49" s="33"/>
      <c r="JLX49" s="41"/>
      <c r="JMD49" s="42"/>
      <c r="JMK49" s="33"/>
      <c r="JML49" s="33"/>
      <c r="JMP49" s="41"/>
      <c r="JMV49" s="42"/>
      <c r="JNC49" s="33"/>
      <c r="JND49" s="33"/>
      <c r="JNH49" s="41"/>
      <c r="JNN49" s="42"/>
      <c r="JNU49" s="33"/>
      <c r="JNV49" s="33"/>
      <c r="JNZ49" s="41"/>
      <c r="JOF49" s="42"/>
      <c r="JOM49" s="33"/>
      <c r="JON49" s="33"/>
      <c r="JOR49" s="41"/>
      <c r="JOX49" s="42"/>
      <c r="JPE49" s="33"/>
      <c r="JPF49" s="33"/>
      <c r="JPJ49" s="41"/>
      <c r="JPP49" s="42"/>
      <c r="JPW49" s="33"/>
      <c r="JPX49" s="33"/>
      <c r="JQB49" s="41"/>
      <c r="JQH49" s="42"/>
      <c r="JQO49" s="33"/>
      <c r="JQP49" s="33"/>
      <c r="JQT49" s="41"/>
      <c r="JQZ49" s="42"/>
      <c r="JRG49" s="33"/>
      <c r="JRH49" s="33"/>
      <c r="JRL49" s="41"/>
      <c r="JRR49" s="42"/>
      <c r="JRY49" s="33"/>
      <c r="JRZ49" s="33"/>
      <c r="JSD49" s="41"/>
      <c r="JSJ49" s="42"/>
      <c r="JSQ49" s="33"/>
      <c r="JSR49" s="33"/>
      <c r="JSV49" s="41"/>
      <c r="JTB49" s="42"/>
      <c r="JTI49" s="33"/>
      <c r="JTJ49" s="33"/>
      <c r="JTN49" s="41"/>
      <c r="JTT49" s="42"/>
      <c r="JUA49" s="33"/>
      <c r="JUB49" s="33"/>
      <c r="JUF49" s="41"/>
      <c r="JUL49" s="42"/>
      <c r="JUS49" s="33"/>
      <c r="JUT49" s="33"/>
      <c r="JUX49" s="41"/>
      <c r="JVD49" s="42"/>
      <c r="JVK49" s="33"/>
      <c r="JVL49" s="33"/>
      <c r="JVP49" s="41"/>
      <c r="JVV49" s="42"/>
      <c r="JWC49" s="33"/>
      <c r="JWD49" s="33"/>
      <c r="JWH49" s="41"/>
      <c r="JWN49" s="42"/>
      <c r="JWU49" s="33"/>
      <c r="JWV49" s="33"/>
      <c r="JWZ49" s="41"/>
      <c r="JXF49" s="42"/>
      <c r="JXM49" s="33"/>
      <c r="JXN49" s="33"/>
      <c r="JXR49" s="41"/>
      <c r="JXX49" s="42"/>
      <c r="JYE49" s="33"/>
      <c r="JYF49" s="33"/>
      <c r="JYJ49" s="41"/>
      <c r="JYP49" s="42"/>
      <c r="JYW49" s="33"/>
      <c r="JYX49" s="33"/>
      <c r="JZB49" s="41"/>
      <c r="JZH49" s="42"/>
      <c r="JZO49" s="33"/>
      <c r="JZP49" s="33"/>
      <c r="JZT49" s="41"/>
      <c r="JZZ49" s="42"/>
      <c r="KAG49" s="33"/>
      <c r="KAH49" s="33"/>
      <c r="KAL49" s="41"/>
      <c r="KAR49" s="42"/>
      <c r="KAY49" s="33"/>
      <c r="KAZ49" s="33"/>
      <c r="KBD49" s="41"/>
      <c r="KBJ49" s="42"/>
      <c r="KBQ49" s="33"/>
      <c r="KBR49" s="33"/>
      <c r="KBV49" s="41"/>
      <c r="KCB49" s="42"/>
      <c r="KCI49" s="33"/>
      <c r="KCJ49" s="33"/>
      <c r="KCN49" s="41"/>
      <c r="KCT49" s="42"/>
      <c r="KDA49" s="33"/>
      <c r="KDB49" s="33"/>
      <c r="KDF49" s="41"/>
      <c r="KDL49" s="42"/>
      <c r="KDS49" s="33"/>
      <c r="KDT49" s="33"/>
      <c r="KDX49" s="41"/>
      <c r="KED49" s="42"/>
      <c r="KEK49" s="33"/>
      <c r="KEL49" s="33"/>
      <c r="KEP49" s="41"/>
      <c r="KEV49" s="42"/>
      <c r="KFC49" s="33"/>
      <c r="KFD49" s="33"/>
      <c r="KFH49" s="41"/>
      <c r="KFN49" s="42"/>
      <c r="KFU49" s="33"/>
      <c r="KFV49" s="33"/>
      <c r="KFZ49" s="41"/>
      <c r="KGF49" s="42"/>
      <c r="KGM49" s="33"/>
      <c r="KGN49" s="33"/>
      <c r="KGR49" s="41"/>
      <c r="KGX49" s="42"/>
      <c r="KHE49" s="33"/>
      <c r="KHF49" s="33"/>
      <c r="KHJ49" s="41"/>
      <c r="KHP49" s="42"/>
      <c r="KHW49" s="33"/>
      <c r="KHX49" s="33"/>
      <c r="KIB49" s="41"/>
      <c r="KIH49" s="42"/>
      <c r="KIO49" s="33"/>
      <c r="KIP49" s="33"/>
      <c r="KIT49" s="41"/>
      <c r="KIZ49" s="42"/>
      <c r="KJG49" s="33"/>
      <c r="KJH49" s="33"/>
      <c r="KJL49" s="41"/>
      <c r="KJR49" s="42"/>
      <c r="KJY49" s="33"/>
      <c r="KJZ49" s="33"/>
      <c r="KKD49" s="41"/>
      <c r="KKJ49" s="42"/>
      <c r="KKQ49" s="33"/>
      <c r="KKR49" s="33"/>
      <c r="KKV49" s="41"/>
      <c r="KLB49" s="42"/>
      <c r="KLI49" s="33"/>
      <c r="KLJ49" s="33"/>
      <c r="KLN49" s="41"/>
      <c r="KLT49" s="42"/>
      <c r="KMA49" s="33"/>
      <c r="KMB49" s="33"/>
      <c r="KMF49" s="41"/>
      <c r="KML49" s="42"/>
      <c r="KMS49" s="33"/>
      <c r="KMT49" s="33"/>
      <c r="KMX49" s="41"/>
      <c r="KND49" s="42"/>
      <c r="KNK49" s="33"/>
      <c r="KNL49" s="33"/>
      <c r="KNP49" s="41"/>
      <c r="KNV49" s="42"/>
      <c r="KOC49" s="33"/>
      <c r="KOD49" s="33"/>
      <c r="KOH49" s="41"/>
      <c r="KON49" s="42"/>
      <c r="KOU49" s="33"/>
      <c r="KOV49" s="33"/>
      <c r="KOZ49" s="41"/>
      <c r="KPF49" s="42"/>
      <c r="KPM49" s="33"/>
      <c r="KPN49" s="33"/>
      <c r="KPR49" s="41"/>
      <c r="KPX49" s="42"/>
      <c r="KQE49" s="33"/>
      <c r="KQF49" s="33"/>
      <c r="KQJ49" s="41"/>
      <c r="KQP49" s="42"/>
      <c r="KQW49" s="33"/>
      <c r="KQX49" s="33"/>
      <c r="KRB49" s="41"/>
      <c r="KRH49" s="42"/>
      <c r="KRO49" s="33"/>
      <c r="KRP49" s="33"/>
      <c r="KRT49" s="41"/>
      <c r="KRZ49" s="42"/>
      <c r="KSG49" s="33"/>
      <c r="KSH49" s="33"/>
      <c r="KSL49" s="41"/>
      <c r="KSR49" s="42"/>
      <c r="KSY49" s="33"/>
      <c r="KSZ49" s="33"/>
      <c r="KTD49" s="41"/>
      <c r="KTJ49" s="42"/>
      <c r="KTQ49" s="33"/>
      <c r="KTR49" s="33"/>
      <c r="KTV49" s="41"/>
      <c r="KUB49" s="42"/>
      <c r="KUI49" s="33"/>
      <c r="KUJ49" s="33"/>
      <c r="KUN49" s="41"/>
      <c r="KUT49" s="42"/>
      <c r="KVA49" s="33"/>
      <c r="KVB49" s="33"/>
      <c r="KVF49" s="41"/>
      <c r="KVL49" s="42"/>
      <c r="KVS49" s="33"/>
      <c r="KVT49" s="33"/>
      <c r="KVX49" s="41"/>
      <c r="KWD49" s="42"/>
      <c r="KWK49" s="33"/>
      <c r="KWL49" s="33"/>
      <c r="KWP49" s="41"/>
      <c r="KWV49" s="42"/>
      <c r="KXC49" s="33"/>
      <c r="KXD49" s="33"/>
      <c r="KXH49" s="41"/>
      <c r="KXN49" s="42"/>
      <c r="KXU49" s="33"/>
      <c r="KXV49" s="33"/>
      <c r="KXZ49" s="41"/>
      <c r="KYF49" s="42"/>
      <c r="KYM49" s="33"/>
      <c r="KYN49" s="33"/>
      <c r="KYR49" s="41"/>
      <c r="KYX49" s="42"/>
      <c r="KZE49" s="33"/>
      <c r="KZF49" s="33"/>
      <c r="KZJ49" s="41"/>
      <c r="KZP49" s="42"/>
      <c r="KZW49" s="33"/>
      <c r="KZX49" s="33"/>
      <c r="LAB49" s="41"/>
      <c r="LAH49" s="42"/>
      <c r="LAO49" s="33"/>
      <c r="LAP49" s="33"/>
      <c r="LAT49" s="41"/>
      <c r="LAZ49" s="42"/>
      <c r="LBG49" s="33"/>
      <c r="LBH49" s="33"/>
      <c r="LBL49" s="41"/>
      <c r="LBR49" s="42"/>
      <c r="LBY49" s="33"/>
      <c r="LBZ49" s="33"/>
      <c r="LCD49" s="41"/>
      <c r="LCJ49" s="42"/>
      <c r="LCQ49" s="33"/>
      <c r="LCR49" s="33"/>
      <c r="LCV49" s="41"/>
      <c r="LDB49" s="42"/>
      <c r="LDI49" s="33"/>
      <c r="LDJ49" s="33"/>
      <c r="LDN49" s="41"/>
      <c r="LDT49" s="42"/>
      <c r="LEA49" s="33"/>
      <c r="LEB49" s="33"/>
      <c r="LEF49" s="41"/>
      <c r="LEL49" s="42"/>
      <c r="LES49" s="33"/>
      <c r="LET49" s="33"/>
      <c r="LEX49" s="41"/>
      <c r="LFD49" s="42"/>
      <c r="LFK49" s="33"/>
      <c r="LFL49" s="33"/>
      <c r="LFP49" s="41"/>
      <c r="LFV49" s="42"/>
      <c r="LGC49" s="33"/>
      <c r="LGD49" s="33"/>
      <c r="LGH49" s="41"/>
      <c r="LGN49" s="42"/>
      <c r="LGU49" s="33"/>
      <c r="LGV49" s="33"/>
      <c r="LGZ49" s="41"/>
      <c r="LHF49" s="42"/>
      <c r="LHM49" s="33"/>
      <c r="LHN49" s="33"/>
      <c r="LHR49" s="41"/>
      <c r="LHX49" s="42"/>
      <c r="LIE49" s="33"/>
      <c r="LIF49" s="33"/>
      <c r="LIJ49" s="41"/>
      <c r="LIP49" s="42"/>
      <c r="LIW49" s="33"/>
      <c r="LIX49" s="33"/>
      <c r="LJB49" s="41"/>
      <c r="LJH49" s="42"/>
      <c r="LJO49" s="33"/>
      <c r="LJP49" s="33"/>
      <c r="LJT49" s="41"/>
      <c r="LJZ49" s="42"/>
      <c r="LKG49" s="33"/>
      <c r="LKH49" s="33"/>
      <c r="LKL49" s="41"/>
      <c r="LKR49" s="42"/>
      <c r="LKY49" s="33"/>
      <c r="LKZ49" s="33"/>
      <c r="LLD49" s="41"/>
      <c r="LLJ49" s="42"/>
      <c r="LLQ49" s="33"/>
      <c r="LLR49" s="33"/>
      <c r="LLV49" s="41"/>
      <c r="LMB49" s="42"/>
      <c r="LMI49" s="33"/>
      <c r="LMJ49" s="33"/>
      <c r="LMN49" s="41"/>
      <c r="LMT49" s="42"/>
      <c r="LNA49" s="33"/>
      <c r="LNB49" s="33"/>
      <c r="LNF49" s="41"/>
      <c r="LNL49" s="42"/>
      <c r="LNS49" s="33"/>
      <c r="LNT49" s="33"/>
      <c r="LNX49" s="41"/>
      <c r="LOD49" s="42"/>
      <c r="LOK49" s="33"/>
      <c r="LOL49" s="33"/>
      <c r="LOP49" s="41"/>
      <c r="LOV49" s="42"/>
      <c r="LPC49" s="33"/>
      <c r="LPD49" s="33"/>
      <c r="LPH49" s="41"/>
      <c r="LPN49" s="42"/>
      <c r="LPU49" s="33"/>
      <c r="LPV49" s="33"/>
      <c r="LPZ49" s="41"/>
      <c r="LQF49" s="42"/>
      <c r="LQM49" s="33"/>
      <c r="LQN49" s="33"/>
      <c r="LQR49" s="41"/>
      <c r="LQX49" s="42"/>
      <c r="LRE49" s="33"/>
      <c r="LRF49" s="33"/>
      <c r="LRJ49" s="41"/>
      <c r="LRP49" s="42"/>
      <c r="LRW49" s="33"/>
      <c r="LRX49" s="33"/>
      <c r="LSB49" s="41"/>
      <c r="LSH49" s="42"/>
      <c r="LSO49" s="33"/>
      <c r="LSP49" s="33"/>
      <c r="LST49" s="41"/>
      <c r="LSZ49" s="42"/>
      <c r="LTG49" s="33"/>
      <c r="LTH49" s="33"/>
      <c r="LTL49" s="41"/>
      <c r="LTR49" s="42"/>
      <c r="LTY49" s="33"/>
      <c r="LTZ49" s="33"/>
      <c r="LUD49" s="41"/>
      <c r="LUJ49" s="42"/>
      <c r="LUQ49" s="33"/>
      <c r="LUR49" s="33"/>
      <c r="LUV49" s="41"/>
      <c r="LVB49" s="42"/>
      <c r="LVI49" s="33"/>
      <c r="LVJ49" s="33"/>
      <c r="LVN49" s="41"/>
      <c r="LVT49" s="42"/>
      <c r="LWA49" s="33"/>
      <c r="LWB49" s="33"/>
      <c r="LWF49" s="41"/>
      <c r="LWL49" s="42"/>
      <c r="LWS49" s="33"/>
      <c r="LWT49" s="33"/>
      <c r="LWX49" s="41"/>
      <c r="LXD49" s="42"/>
      <c r="LXK49" s="33"/>
      <c r="LXL49" s="33"/>
      <c r="LXP49" s="41"/>
      <c r="LXV49" s="42"/>
      <c r="LYC49" s="33"/>
      <c r="LYD49" s="33"/>
      <c r="LYH49" s="41"/>
      <c r="LYN49" s="42"/>
      <c r="LYU49" s="33"/>
      <c r="LYV49" s="33"/>
      <c r="LYZ49" s="41"/>
      <c r="LZF49" s="42"/>
      <c r="LZM49" s="33"/>
      <c r="LZN49" s="33"/>
      <c r="LZR49" s="41"/>
      <c r="LZX49" s="42"/>
      <c r="MAE49" s="33"/>
      <c r="MAF49" s="33"/>
      <c r="MAJ49" s="41"/>
      <c r="MAP49" s="42"/>
      <c r="MAW49" s="33"/>
      <c r="MAX49" s="33"/>
      <c r="MBB49" s="41"/>
      <c r="MBH49" s="42"/>
      <c r="MBO49" s="33"/>
      <c r="MBP49" s="33"/>
      <c r="MBT49" s="41"/>
      <c r="MBZ49" s="42"/>
      <c r="MCG49" s="33"/>
      <c r="MCH49" s="33"/>
      <c r="MCL49" s="41"/>
      <c r="MCR49" s="42"/>
      <c r="MCY49" s="33"/>
      <c r="MCZ49" s="33"/>
      <c r="MDD49" s="41"/>
      <c r="MDJ49" s="42"/>
      <c r="MDQ49" s="33"/>
      <c r="MDR49" s="33"/>
      <c r="MDV49" s="41"/>
      <c r="MEB49" s="42"/>
      <c r="MEI49" s="33"/>
      <c r="MEJ49" s="33"/>
      <c r="MEN49" s="41"/>
      <c r="MET49" s="42"/>
      <c r="MFA49" s="33"/>
      <c r="MFB49" s="33"/>
      <c r="MFF49" s="41"/>
      <c r="MFL49" s="42"/>
      <c r="MFS49" s="33"/>
      <c r="MFT49" s="33"/>
      <c r="MFX49" s="41"/>
      <c r="MGD49" s="42"/>
      <c r="MGK49" s="33"/>
      <c r="MGL49" s="33"/>
      <c r="MGP49" s="41"/>
      <c r="MGV49" s="42"/>
      <c r="MHC49" s="33"/>
      <c r="MHD49" s="33"/>
      <c r="MHH49" s="41"/>
      <c r="MHN49" s="42"/>
      <c r="MHU49" s="33"/>
      <c r="MHV49" s="33"/>
      <c r="MHZ49" s="41"/>
      <c r="MIF49" s="42"/>
      <c r="MIM49" s="33"/>
      <c r="MIN49" s="33"/>
      <c r="MIR49" s="41"/>
      <c r="MIX49" s="42"/>
      <c r="MJE49" s="33"/>
      <c r="MJF49" s="33"/>
      <c r="MJJ49" s="41"/>
      <c r="MJP49" s="42"/>
      <c r="MJW49" s="33"/>
      <c r="MJX49" s="33"/>
      <c r="MKB49" s="41"/>
      <c r="MKH49" s="42"/>
      <c r="MKO49" s="33"/>
      <c r="MKP49" s="33"/>
      <c r="MKT49" s="41"/>
      <c r="MKZ49" s="42"/>
      <c r="MLG49" s="33"/>
      <c r="MLH49" s="33"/>
      <c r="MLL49" s="41"/>
      <c r="MLR49" s="42"/>
      <c r="MLY49" s="33"/>
      <c r="MLZ49" s="33"/>
      <c r="MMD49" s="41"/>
      <c r="MMJ49" s="42"/>
      <c r="MMQ49" s="33"/>
      <c r="MMR49" s="33"/>
      <c r="MMV49" s="41"/>
      <c r="MNB49" s="42"/>
      <c r="MNI49" s="33"/>
      <c r="MNJ49" s="33"/>
      <c r="MNN49" s="41"/>
      <c r="MNT49" s="42"/>
      <c r="MOA49" s="33"/>
      <c r="MOB49" s="33"/>
      <c r="MOF49" s="41"/>
      <c r="MOL49" s="42"/>
      <c r="MOS49" s="33"/>
      <c r="MOT49" s="33"/>
      <c r="MOX49" s="41"/>
      <c r="MPD49" s="42"/>
      <c r="MPK49" s="33"/>
      <c r="MPL49" s="33"/>
      <c r="MPP49" s="41"/>
      <c r="MPV49" s="42"/>
      <c r="MQC49" s="33"/>
      <c r="MQD49" s="33"/>
      <c r="MQH49" s="41"/>
      <c r="MQN49" s="42"/>
      <c r="MQU49" s="33"/>
      <c r="MQV49" s="33"/>
      <c r="MQZ49" s="41"/>
      <c r="MRF49" s="42"/>
      <c r="MRM49" s="33"/>
      <c r="MRN49" s="33"/>
      <c r="MRR49" s="41"/>
      <c r="MRX49" s="42"/>
      <c r="MSE49" s="33"/>
      <c r="MSF49" s="33"/>
      <c r="MSJ49" s="41"/>
      <c r="MSP49" s="42"/>
      <c r="MSW49" s="33"/>
      <c r="MSX49" s="33"/>
      <c r="MTB49" s="41"/>
      <c r="MTH49" s="42"/>
      <c r="MTO49" s="33"/>
      <c r="MTP49" s="33"/>
      <c r="MTT49" s="41"/>
      <c r="MTZ49" s="42"/>
      <c r="MUG49" s="33"/>
      <c r="MUH49" s="33"/>
      <c r="MUL49" s="41"/>
      <c r="MUR49" s="42"/>
      <c r="MUY49" s="33"/>
      <c r="MUZ49" s="33"/>
      <c r="MVD49" s="41"/>
      <c r="MVJ49" s="42"/>
      <c r="MVQ49" s="33"/>
      <c r="MVR49" s="33"/>
      <c r="MVV49" s="41"/>
      <c r="MWB49" s="42"/>
      <c r="MWI49" s="33"/>
      <c r="MWJ49" s="33"/>
      <c r="MWN49" s="41"/>
      <c r="MWT49" s="42"/>
      <c r="MXA49" s="33"/>
      <c r="MXB49" s="33"/>
      <c r="MXF49" s="41"/>
      <c r="MXL49" s="42"/>
      <c r="MXS49" s="33"/>
      <c r="MXT49" s="33"/>
      <c r="MXX49" s="41"/>
      <c r="MYD49" s="42"/>
      <c r="MYK49" s="33"/>
      <c r="MYL49" s="33"/>
      <c r="MYP49" s="41"/>
      <c r="MYV49" s="42"/>
      <c r="MZC49" s="33"/>
      <c r="MZD49" s="33"/>
      <c r="MZH49" s="41"/>
      <c r="MZN49" s="42"/>
      <c r="MZU49" s="33"/>
      <c r="MZV49" s="33"/>
      <c r="MZZ49" s="41"/>
      <c r="NAF49" s="42"/>
      <c r="NAM49" s="33"/>
      <c r="NAN49" s="33"/>
      <c r="NAR49" s="41"/>
      <c r="NAX49" s="42"/>
      <c r="NBE49" s="33"/>
      <c r="NBF49" s="33"/>
      <c r="NBJ49" s="41"/>
      <c r="NBP49" s="42"/>
      <c r="NBW49" s="33"/>
      <c r="NBX49" s="33"/>
      <c r="NCB49" s="41"/>
      <c r="NCH49" s="42"/>
      <c r="NCO49" s="33"/>
      <c r="NCP49" s="33"/>
      <c r="NCT49" s="41"/>
      <c r="NCZ49" s="42"/>
      <c r="NDG49" s="33"/>
      <c r="NDH49" s="33"/>
      <c r="NDL49" s="41"/>
      <c r="NDR49" s="42"/>
      <c r="NDY49" s="33"/>
      <c r="NDZ49" s="33"/>
      <c r="NED49" s="41"/>
      <c r="NEJ49" s="42"/>
      <c r="NEQ49" s="33"/>
      <c r="NER49" s="33"/>
      <c r="NEV49" s="41"/>
      <c r="NFB49" s="42"/>
      <c r="NFI49" s="33"/>
      <c r="NFJ49" s="33"/>
      <c r="NFN49" s="41"/>
      <c r="NFT49" s="42"/>
      <c r="NGA49" s="33"/>
      <c r="NGB49" s="33"/>
      <c r="NGF49" s="41"/>
      <c r="NGL49" s="42"/>
      <c r="NGS49" s="33"/>
      <c r="NGT49" s="33"/>
      <c r="NGX49" s="41"/>
      <c r="NHD49" s="42"/>
      <c r="NHK49" s="33"/>
      <c r="NHL49" s="33"/>
      <c r="NHP49" s="41"/>
      <c r="NHV49" s="42"/>
      <c r="NIC49" s="33"/>
      <c r="NID49" s="33"/>
      <c r="NIH49" s="41"/>
      <c r="NIN49" s="42"/>
      <c r="NIU49" s="33"/>
      <c r="NIV49" s="33"/>
      <c r="NIZ49" s="41"/>
      <c r="NJF49" s="42"/>
      <c r="NJM49" s="33"/>
      <c r="NJN49" s="33"/>
      <c r="NJR49" s="41"/>
      <c r="NJX49" s="42"/>
      <c r="NKE49" s="33"/>
      <c r="NKF49" s="33"/>
      <c r="NKJ49" s="41"/>
      <c r="NKP49" s="42"/>
      <c r="NKW49" s="33"/>
      <c r="NKX49" s="33"/>
      <c r="NLB49" s="41"/>
      <c r="NLH49" s="42"/>
      <c r="NLO49" s="33"/>
      <c r="NLP49" s="33"/>
      <c r="NLT49" s="41"/>
      <c r="NLZ49" s="42"/>
      <c r="NMG49" s="33"/>
      <c r="NMH49" s="33"/>
      <c r="NML49" s="41"/>
      <c r="NMR49" s="42"/>
      <c r="NMY49" s="33"/>
      <c r="NMZ49" s="33"/>
      <c r="NND49" s="41"/>
      <c r="NNJ49" s="42"/>
      <c r="NNQ49" s="33"/>
      <c r="NNR49" s="33"/>
      <c r="NNV49" s="41"/>
      <c r="NOB49" s="42"/>
      <c r="NOI49" s="33"/>
      <c r="NOJ49" s="33"/>
      <c r="NON49" s="41"/>
      <c r="NOT49" s="42"/>
      <c r="NPA49" s="33"/>
      <c r="NPB49" s="33"/>
      <c r="NPF49" s="41"/>
      <c r="NPL49" s="42"/>
      <c r="NPS49" s="33"/>
      <c r="NPT49" s="33"/>
      <c r="NPX49" s="41"/>
      <c r="NQD49" s="42"/>
      <c r="NQK49" s="33"/>
      <c r="NQL49" s="33"/>
      <c r="NQP49" s="41"/>
      <c r="NQV49" s="42"/>
      <c r="NRC49" s="33"/>
      <c r="NRD49" s="33"/>
      <c r="NRH49" s="41"/>
      <c r="NRN49" s="42"/>
      <c r="NRU49" s="33"/>
      <c r="NRV49" s="33"/>
      <c r="NRZ49" s="41"/>
      <c r="NSF49" s="42"/>
      <c r="NSM49" s="33"/>
      <c r="NSN49" s="33"/>
      <c r="NSR49" s="41"/>
      <c r="NSX49" s="42"/>
      <c r="NTE49" s="33"/>
      <c r="NTF49" s="33"/>
      <c r="NTJ49" s="41"/>
      <c r="NTP49" s="42"/>
      <c r="NTW49" s="33"/>
      <c r="NTX49" s="33"/>
      <c r="NUB49" s="41"/>
      <c r="NUH49" s="42"/>
      <c r="NUO49" s="33"/>
      <c r="NUP49" s="33"/>
      <c r="NUT49" s="41"/>
      <c r="NUZ49" s="42"/>
      <c r="NVG49" s="33"/>
      <c r="NVH49" s="33"/>
      <c r="NVL49" s="41"/>
      <c r="NVR49" s="42"/>
      <c r="NVY49" s="33"/>
      <c r="NVZ49" s="33"/>
      <c r="NWD49" s="41"/>
      <c r="NWJ49" s="42"/>
      <c r="NWQ49" s="33"/>
      <c r="NWR49" s="33"/>
      <c r="NWV49" s="41"/>
      <c r="NXB49" s="42"/>
      <c r="NXI49" s="33"/>
      <c r="NXJ49" s="33"/>
      <c r="NXN49" s="41"/>
      <c r="NXT49" s="42"/>
      <c r="NYA49" s="33"/>
      <c r="NYB49" s="33"/>
      <c r="NYF49" s="41"/>
      <c r="NYL49" s="42"/>
      <c r="NYS49" s="33"/>
      <c r="NYT49" s="33"/>
      <c r="NYX49" s="41"/>
      <c r="NZD49" s="42"/>
      <c r="NZK49" s="33"/>
      <c r="NZL49" s="33"/>
      <c r="NZP49" s="41"/>
      <c r="NZV49" s="42"/>
      <c r="OAC49" s="33"/>
      <c r="OAD49" s="33"/>
      <c r="OAH49" s="41"/>
      <c r="OAN49" s="42"/>
      <c r="OAU49" s="33"/>
      <c r="OAV49" s="33"/>
      <c r="OAZ49" s="41"/>
      <c r="OBF49" s="42"/>
      <c r="OBM49" s="33"/>
      <c r="OBN49" s="33"/>
      <c r="OBR49" s="41"/>
      <c r="OBX49" s="42"/>
      <c r="OCE49" s="33"/>
      <c r="OCF49" s="33"/>
      <c r="OCJ49" s="41"/>
      <c r="OCP49" s="42"/>
      <c r="OCW49" s="33"/>
      <c r="OCX49" s="33"/>
      <c r="ODB49" s="41"/>
      <c r="ODH49" s="42"/>
      <c r="ODO49" s="33"/>
      <c r="ODP49" s="33"/>
      <c r="ODT49" s="41"/>
      <c r="ODZ49" s="42"/>
      <c r="OEG49" s="33"/>
      <c r="OEH49" s="33"/>
      <c r="OEL49" s="41"/>
      <c r="OER49" s="42"/>
      <c r="OEY49" s="33"/>
      <c r="OEZ49" s="33"/>
      <c r="OFD49" s="41"/>
      <c r="OFJ49" s="42"/>
      <c r="OFQ49" s="33"/>
      <c r="OFR49" s="33"/>
      <c r="OFV49" s="41"/>
      <c r="OGB49" s="42"/>
      <c r="OGI49" s="33"/>
      <c r="OGJ49" s="33"/>
      <c r="OGN49" s="41"/>
      <c r="OGT49" s="42"/>
      <c r="OHA49" s="33"/>
      <c r="OHB49" s="33"/>
      <c r="OHF49" s="41"/>
      <c r="OHL49" s="42"/>
      <c r="OHS49" s="33"/>
      <c r="OHT49" s="33"/>
      <c r="OHX49" s="41"/>
      <c r="OID49" s="42"/>
      <c r="OIK49" s="33"/>
      <c r="OIL49" s="33"/>
      <c r="OIP49" s="41"/>
      <c r="OIV49" s="42"/>
      <c r="OJC49" s="33"/>
      <c r="OJD49" s="33"/>
      <c r="OJH49" s="41"/>
      <c r="OJN49" s="42"/>
      <c r="OJU49" s="33"/>
      <c r="OJV49" s="33"/>
      <c r="OJZ49" s="41"/>
      <c r="OKF49" s="42"/>
      <c r="OKM49" s="33"/>
      <c r="OKN49" s="33"/>
      <c r="OKR49" s="41"/>
      <c r="OKX49" s="42"/>
      <c r="OLE49" s="33"/>
      <c r="OLF49" s="33"/>
      <c r="OLJ49" s="41"/>
      <c r="OLP49" s="42"/>
      <c r="OLW49" s="33"/>
      <c r="OLX49" s="33"/>
      <c r="OMB49" s="41"/>
      <c r="OMH49" s="42"/>
      <c r="OMO49" s="33"/>
      <c r="OMP49" s="33"/>
      <c r="OMT49" s="41"/>
      <c r="OMZ49" s="42"/>
      <c r="ONG49" s="33"/>
      <c r="ONH49" s="33"/>
      <c r="ONL49" s="41"/>
      <c r="ONR49" s="42"/>
      <c r="ONY49" s="33"/>
      <c r="ONZ49" s="33"/>
      <c r="OOD49" s="41"/>
      <c r="OOJ49" s="42"/>
      <c r="OOQ49" s="33"/>
      <c r="OOR49" s="33"/>
      <c r="OOV49" s="41"/>
      <c r="OPB49" s="42"/>
      <c r="OPI49" s="33"/>
      <c r="OPJ49" s="33"/>
      <c r="OPN49" s="41"/>
      <c r="OPT49" s="42"/>
      <c r="OQA49" s="33"/>
      <c r="OQB49" s="33"/>
      <c r="OQF49" s="41"/>
      <c r="OQL49" s="42"/>
      <c r="OQS49" s="33"/>
      <c r="OQT49" s="33"/>
      <c r="OQX49" s="41"/>
      <c r="ORD49" s="42"/>
      <c r="ORK49" s="33"/>
      <c r="ORL49" s="33"/>
      <c r="ORP49" s="41"/>
      <c r="ORV49" s="42"/>
      <c r="OSC49" s="33"/>
      <c r="OSD49" s="33"/>
      <c r="OSH49" s="41"/>
      <c r="OSN49" s="42"/>
      <c r="OSU49" s="33"/>
      <c r="OSV49" s="33"/>
      <c r="OSZ49" s="41"/>
      <c r="OTF49" s="42"/>
      <c r="OTM49" s="33"/>
      <c r="OTN49" s="33"/>
      <c r="OTR49" s="41"/>
      <c r="OTX49" s="42"/>
      <c r="OUE49" s="33"/>
      <c r="OUF49" s="33"/>
      <c r="OUJ49" s="41"/>
      <c r="OUP49" s="42"/>
      <c r="OUW49" s="33"/>
      <c r="OUX49" s="33"/>
      <c r="OVB49" s="41"/>
      <c r="OVH49" s="42"/>
      <c r="OVO49" s="33"/>
      <c r="OVP49" s="33"/>
      <c r="OVT49" s="41"/>
      <c r="OVZ49" s="42"/>
      <c r="OWG49" s="33"/>
      <c r="OWH49" s="33"/>
      <c r="OWL49" s="41"/>
      <c r="OWR49" s="42"/>
      <c r="OWY49" s="33"/>
      <c r="OWZ49" s="33"/>
      <c r="OXD49" s="41"/>
      <c r="OXJ49" s="42"/>
      <c r="OXQ49" s="33"/>
      <c r="OXR49" s="33"/>
      <c r="OXV49" s="41"/>
      <c r="OYB49" s="42"/>
      <c r="OYI49" s="33"/>
      <c r="OYJ49" s="33"/>
      <c r="OYN49" s="41"/>
      <c r="OYT49" s="42"/>
      <c r="OZA49" s="33"/>
      <c r="OZB49" s="33"/>
      <c r="OZF49" s="41"/>
      <c r="OZL49" s="42"/>
      <c r="OZS49" s="33"/>
      <c r="OZT49" s="33"/>
      <c r="OZX49" s="41"/>
      <c r="PAD49" s="42"/>
      <c r="PAK49" s="33"/>
      <c r="PAL49" s="33"/>
      <c r="PAP49" s="41"/>
      <c r="PAV49" s="42"/>
      <c r="PBC49" s="33"/>
      <c r="PBD49" s="33"/>
      <c r="PBH49" s="41"/>
      <c r="PBN49" s="42"/>
      <c r="PBU49" s="33"/>
      <c r="PBV49" s="33"/>
      <c r="PBZ49" s="41"/>
      <c r="PCF49" s="42"/>
      <c r="PCM49" s="33"/>
      <c r="PCN49" s="33"/>
      <c r="PCR49" s="41"/>
      <c r="PCX49" s="42"/>
      <c r="PDE49" s="33"/>
      <c r="PDF49" s="33"/>
      <c r="PDJ49" s="41"/>
      <c r="PDP49" s="42"/>
      <c r="PDW49" s="33"/>
      <c r="PDX49" s="33"/>
      <c r="PEB49" s="41"/>
      <c r="PEH49" s="42"/>
      <c r="PEO49" s="33"/>
      <c r="PEP49" s="33"/>
      <c r="PET49" s="41"/>
      <c r="PEZ49" s="42"/>
      <c r="PFG49" s="33"/>
      <c r="PFH49" s="33"/>
      <c r="PFL49" s="41"/>
      <c r="PFR49" s="42"/>
      <c r="PFY49" s="33"/>
      <c r="PFZ49" s="33"/>
      <c r="PGD49" s="41"/>
      <c r="PGJ49" s="42"/>
      <c r="PGQ49" s="33"/>
      <c r="PGR49" s="33"/>
      <c r="PGV49" s="41"/>
      <c r="PHB49" s="42"/>
      <c r="PHI49" s="33"/>
      <c r="PHJ49" s="33"/>
      <c r="PHN49" s="41"/>
      <c r="PHT49" s="42"/>
      <c r="PIA49" s="33"/>
      <c r="PIB49" s="33"/>
      <c r="PIF49" s="41"/>
      <c r="PIL49" s="42"/>
      <c r="PIS49" s="33"/>
      <c r="PIT49" s="33"/>
      <c r="PIX49" s="41"/>
      <c r="PJD49" s="42"/>
      <c r="PJK49" s="33"/>
      <c r="PJL49" s="33"/>
      <c r="PJP49" s="41"/>
      <c r="PJV49" s="42"/>
      <c r="PKC49" s="33"/>
      <c r="PKD49" s="33"/>
      <c r="PKH49" s="41"/>
      <c r="PKN49" s="42"/>
      <c r="PKU49" s="33"/>
      <c r="PKV49" s="33"/>
      <c r="PKZ49" s="41"/>
      <c r="PLF49" s="42"/>
      <c r="PLM49" s="33"/>
      <c r="PLN49" s="33"/>
      <c r="PLR49" s="41"/>
      <c r="PLX49" s="42"/>
      <c r="PME49" s="33"/>
      <c r="PMF49" s="33"/>
      <c r="PMJ49" s="41"/>
      <c r="PMP49" s="42"/>
      <c r="PMW49" s="33"/>
      <c r="PMX49" s="33"/>
      <c r="PNB49" s="41"/>
      <c r="PNH49" s="42"/>
      <c r="PNO49" s="33"/>
      <c r="PNP49" s="33"/>
      <c r="PNT49" s="41"/>
      <c r="PNZ49" s="42"/>
      <c r="POG49" s="33"/>
      <c r="POH49" s="33"/>
      <c r="POL49" s="41"/>
      <c r="POR49" s="42"/>
      <c r="POY49" s="33"/>
      <c r="POZ49" s="33"/>
      <c r="PPD49" s="41"/>
      <c r="PPJ49" s="42"/>
      <c r="PPQ49" s="33"/>
      <c r="PPR49" s="33"/>
      <c r="PPV49" s="41"/>
      <c r="PQB49" s="42"/>
      <c r="PQI49" s="33"/>
      <c r="PQJ49" s="33"/>
      <c r="PQN49" s="41"/>
      <c r="PQT49" s="42"/>
      <c r="PRA49" s="33"/>
      <c r="PRB49" s="33"/>
      <c r="PRF49" s="41"/>
      <c r="PRL49" s="42"/>
      <c r="PRS49" s="33"/>
      <c r="PRT49" s="33"/>
      <c r="PRX49" s="41"/>
      <c r="PSD49" s="42"/>
      <c r="PSK49" s="33"/>
      <c r="PSL49" s="33"/>
      <c r="PSP49" s="41"/>
      <c r="PSV49" s="42"/>
      <c r="PTC49" s="33"/>
      <c r="PTD49" s="33"/>
      <c r="PTH49" s="41"/>
      <c r="PTN49" s="42"/>
      <c r="PTU49" s="33"/>
      <c r="PTV49" s="33"/>
      <c r="PTZ49" s="41"/>
      <c r="PUF49" s="42"/>
      <c r="PUM49" s="33"/>
      <c r="PUN49" s="33"/>
      <c r="PUR49" s="41"/>
      <c r="PUX49" s="42"/>
      <c r="PVE49" s="33"/>
      <c r="PVF49" s="33"/>
      <c r="PVJ49" s="41"/>
      <c r="PVP49" s="42"/>
      <c r="PVW49" s="33"/>
      <c r="PVX49" s="33"/>
      <c r="PWB49" s="41"/>
      <c r="PWH49" s="42"/>
      <c r="PWO49" s="33"/>
      <c r="PWP49" s="33"/>
      <c r="PWT49" s="41"/>
      <c r="PWZ49" s="42"/>
      <c r="PXG49" s="33"/>
      <c r="PXH49" s="33"/>
      <c r="PXL49" s="41"/>
      <c r="PXR49" s="42"/>
      <c r="PXY49" s="33"/>
      <c r="PXZ49" s="33"/>
      <c r="PYD49" s="41"/>
      <c r="PYJ49" s="42"/>
      <c r="PYQ49" s="33"/>
      <c r="PYR49" s="33"/>
      <c r="PYV49" s="41"/>
      <c r="PZB49" s="42"/>
      <c r="PZI49" s="33"/>
      <c r="PZJ49" s="33"/>
      <c r="PZN49" s="41"/>
      <c r="PZT49" s="42"/>
      <c r="QAA49" s="33"/>
      <c r="QAB49" s="33"/>
      <c r="QAF49" s="41"/>
      <c r="QAL49" s="42"/>
      <c r="QAS49" s="33"/>
      <c r="QAT49" s="33"/>
      <c r="QAX49" s="41"/>
      <c r="QBD49" s="42"/>
      <c r="QBK49" s="33"/>
      <c r="QBL49" s="33"/>
      <c r="QBP49" s="41"/>
      <c r="QBV49" s="42"/>
      <c r="QCC49" s="33"/>
      <c r="QCD49" s="33"/>
      <c r="QCH49" s="41"/>
      <c r="QCN49" s="42"/>
      <c r="QCU49" s="33"/>
      <c r="QCV49" s="33"/>
      <c r="QCZ49" s="41"/>
      <c r="QDF49" s="42"/>
      <c r="QDM49" s="33"/>
      <c r="QDN49" s="33"/>
      <c r="QDR49" s="41"/>
      <c r="QDX49" s="42"/>
      <c r="QEE49" s="33"/>
      <c r="QEF49" s="33"/>
      <c r="QEJ49" s="41"/>
      <c r="QEP49" s="42"/>
      <c r="QEW49" s="33"/>
      <c r="QEX49" s="33"/>
      <c r="QFB49" s="41"/>
      <c r="QFH49" s="42"/>
      <c r="QFO49" s="33"/>
      <c r="QFP49" s="33"/>
      <c r="QFT49" s="41"/>
      <c r="QFZ49" s="42"/>
      <c r="QGG49" s="33"/>
      <c r="QGH49" s="33"/>
      <c r="QGL49" s="41"/>
      <c r="QGR49" s="42"/>
      <c r="QGY49" s="33"/>
      <c r="QGZ49" s="33"/>
      <c r="QHD49" s="41"/>
      <c r="QHJ49" s="42"/>
      <c r="QHQ49" s="33"/>
      <c r="QHR49" s="33"/>
      <c r="QHV49" s="41"/>
      <c r="QIB49" s="42"/>
      <c r="QII49" s="33"/>
      <c r="QIJ49" s="33"/>
      <c r="QIN49" s="41"/>
      <c r="QIT49" s="42"/>
      <c r="QJA49" s="33"/>
      <c r="QJB49" s="33"/>
      <c r="QJF49" s="41"/>
      <c r="QJL49" s="42"/>
      <c r="QJS49" s="33"/>
      <c r="QJT49" s="33"/>
      <c r="QJX49" s="41"/>
      <c r="QKD49" s="42"/>
      <c r="QKK49" s="33"/>
      <c r="QKL49" s="33"/>
      <c r="QKP49" s="41"/>
      <c r="QKV49" s="42"/>
      <c r="QLC49" s="33"/>
      <c r="QLD49" s="33"/>
      <c r="QLH49" s="41"/>
      <c r="QLN49" s="42"/>
      <c r="QLU49" s="33"/>
      <c r="QLV49" s="33"/>
      <c r="QLZ49" s="41"/>
      <c r="QMF49" s="42"/>
      <c r="QMM49" s="33"/>
      <c r="QMN49" s="33"/>
      <c r="QMR49" s="41"/>
      <c r="QMX49" s="42"/>
      <c r="QNE49" s="33"/>
      <c r="QNF49" s="33"/>
      <c r="QNJ49" s="41"/>
      <c r="QNP49" s="42"/>
      <c r="QNW49" s="33"/>
      <c r="QNX49" s="33"/>
      <c r="QOB49" s="41"/>
      <c r="QOH49" s="42"/>
      <c r="QOO49" s="33"/>
      <c r="QOP49" s="33"/>
      <c r="QOT49" s="41"/>
      <c r="QOZ49" s="42"/>
      <c r="QPG49" s="33"/>
      <c r="QPH49" s="33"/>
      <c r="QPL49" s="41"/>
      <c r="QPR49" s="42"/>
      <c r="QPY49" s="33"/>
      <c r="QPZ49" s="33"/>
      <c r="QQD49" s="41"/>
      <c r="QQJ49" s="42"/>
      <c r="QQQ49" s="33"/>
      <c r="QQR49" s="33"/>
      <c r="QQV49" s="41"/>
      <c r="QRB49" s="42"/>
      <c r="QRI49" s="33"/>
      <c r="QRJ49" s="33"/>
      <c r="QRN49" s="41"/>
      <c r="QRT49" s="42"/>
      <c r="QSA49" s="33"/>
      <c r="QSB49" s="33"/>
      <c r="QSF49" s="41"/>
      <c r="QSL49" s="42"/>
      <c r="QSS49" s="33"/>
      <c r="QST49" s="33"/>
      <c r="QSX49" s="41"/>
      <c r="QTD49" s="42"/>
      <c r="QTK49" s="33"/>
      <c r="QTL49" s="33"/>
      <c r="QTP49" s="41"/>
      <c r="QTV49" s="42"/>
      <c r="QUC49" s="33"/>
      <c r="QUD49" s="33"/>
      <c r="QUH49" s="41"/>
      <c r="QUN49" s="42"/>
      <c r="QUU49" s="33"/>
      <c r="QUV49" s="33"/>
      <c r="QUZ49" s="41"/>
      <c r="QVF49" s="42"/>
      <c r="QVM49" s="33"/>
      <c r="QVN49" s="33"/>
      <c r="QVR49" s="41"/>
      <c r="QVX49" s="42"/>
      <c r="QWE49" s="33"/>
      <c r="QWF49" s="33"/>
      <c r="QWJ49" s="41"/>
      <c r="QWP49" s="42"/>
      <c r="QWW49" s="33"/>
      <c r="QWX49" s="33"/>
      <c r="QXB49" s="41"/>
      <c r="QXH49" s="42"/>
      <c r="QXO49" s="33"/>
      <c r="QXP49" s="33"/>
      <c r="QXT49" s="41"/>
      <c r="QXZ49" s="42"/>
      <c r="QYG49" s="33"/>
      <c r="QYH49" s="33"/>
      <c r="QYL49" s="41"/>
      <c r="QYR49" s="42"/>
      <c r="QYY49" s="33"/>
      <c r="QYZ49" s="33"/>
      <c r="QZD49" s="41"/>
      <c r="QZJ49" s="42"/>
      <c r="QZQ49" s="33"/>
      <c r="QZR49" s="33"/>
      <c r="QZV49" s="41"/>
      <c r="RAB49" s="42"/>
      <c r="RAI49" s="33"/>
      <c r="RAJ49" s="33"/>
      <c r="RAN49" s="41"/>
      <c r="RAT49" s="42"/>
      <c r="RBA49" s="33"/>
      <c r="RBB49" s="33"/>
      <c r="RBF49" s="41"/>
      <c r="RBL49" s="42"/>
      <c r="RBS49" s="33"/>
      <c r="RBT49" s="33"/>
      <c r="RBX49" s="41"/>
      <c r="RCD49" s="42"/>
      <c r="RCK49" s="33"/>
      <c r="RCL49" s="33"/>
      <c r="RCP49" s="41"/>
      <c r="RCV49" s="42"/>
      <c r="RDC49" s="33"/>
      <c r="RDD49" s="33"/>
      <c r="RDH49" s="41"/>
      <c r="RDN49" s="42"/>
      <c r="RDU49" s="33"/>
      <c r="RDV49" s="33"/>
      <c r="RDZ49" s="41"/>
      <c r="REF49" s="42"/>
      <c r="REM49" s="33"/>
      <c r="REN49" s="33"/>
      <c r="RER49" s="41"/>
      <c r="REX49" s="42"/>
      <c r="RFE49" s="33"/>
      <c r="RFF49" s="33"/>
      <c r="RFJ49" s="41"/>
      <c r="RFP49" s="42"/>
      <c r="RFW49" s="33"/>
      <c r="RFX49" s="33"/>
      <c r="RGB49" s="41"/>
      <c r="RGH49" s="42"/>
      <c r="RGO49" s="33"/>
      <c r="RGP49" s="33"/>
      <c r="RGT49" s="41"/>
      <c r="RGZ49" s="42"/>
      <c r="RHG49" s="33"/>
      <c r="RHH49" s="33"/>
      <c r="RHL49" s="41"/>
      <c r="RHR49" s="42"/>
      <c r="RHY49" s="33"/>
      <c r="RHZ49" s="33"/>
      <c r="RID49" s="41"/>
      <c r="RIJ49" s="42"/>
      <c r="RIQ49" s="33"/>
      <c r="RIR49" s="33"/>
      <c r="RIV49" s="41"/>
      <c r="RJB49" s="42"/>
      <c r="RJI49" s="33"/>
      <c r="RJJ49" s="33"/>
      <c r="RJN49" s="41"/>
      <c r="RJT49" s="42"/>
      <c r="RKA49" s="33"/>
      <c r="RKB49" s="33"/>
      <c r="RKF49" s="41"/>
      <c r="RKL49" s="42"/>
      <c r="RKS49" s="33"/>
      <c r="RKT49" s="33"/>
      <c r="RKX49" s="41"/>
      <c r="RLD49" s="42"/>
      <c r="RLK49" s="33"/>
      <c r="RLL49" s="33"/>
      <c r="RLP49" s="41"/>
      <c r="RLV49" s="42"/>
      <c r="RMC49" s="33"/>
      <c r="RMD49" s="33"/>
      <c r="RMH49" s="41"/>
      <c r="RMN49" s="42"/>
      <c r="RMU49" s="33"/>
      <c r="RMV49" s="33"/>
      <c r="RMZ49" s="41"/>
      <c r="RNF49" s="42"/>
      <c r="RNM49" s="33"/>
      <c r="RNN49" s="33"/>
      <c r="RNR49" s="41"/>
      <c r="RNX49" s="42"/>
      <c r="ROE49" s="33"/>
      <c r="ROF49" s="33"/>
      <c r="ROJ49" s="41"/>
      <c r="ROP49" s="42"/>
      <c r="ROW49" s="33"/>
      <c r="ROX49" s="33"/>
      <c r="RPB49" s="41"/>
      <c r="RPH49" s="42"/>
      <c r="RPO49" s="33"/>
      <c r="RPP49" s="33"/>
      <c r="RPT49" s="41"/>
      <c r="RPZ49" s="42"/>
      <c r="RQG49" s="33"/>
      <c r="RQH49" s="33"/>
      <c r="RQL49" s="41"/>
      <c r="RQR49" s="42"/>
      <c r="RQY49" s="33"/>
      <c r="RQZ49" s="33"/>
      <c r="RRD49" s="41"/>
      <c r="RRJ49" s="42"/>
      <c r="RRQ49" s="33"/>
      <c r="RRR49" s="33"/>
      <c r="RRV49" s="41"/>
      <c r="RSB49" s="42"/>
      <c r="RSI49" s="33"/>
      <c r="RSJ49" s="33"/>
      <c r="RSN49" s="41"/>
      <c r="RST49" s="42"/>
      <c r="RTA49" s="33"/>
      <c r="RTB49" s="33"/>
      <c r="RTF49" s="41"/>
      <c r="RTL49" s="42"/>
      <c r="RTS49" s="33"/>
      <c r="RTT49" s="33"/>
      <c r="RTX49" s="41"/>
      <c r="RUD49" s="42"/>
      <c r="RUK49" s="33"/>
      <c r="RUL49" s="33"/>
      <c r="RUP49" s="41"/>
      <c r="RUV49" s="42"/>
      <c r="RVC49" s="33"/>
      <c r="RVD49" s="33"/>
      <c r="RVH49" s="41"/>
      <c r="RVN49" s="42"/>
      <c r="RVU49" s="33"/>
      <c r="RVV49" s="33"/>
      <c r="RVZ49" s="41"/>
      <c r="RWF49" s="42"/>
      <c r="RWM49" s="33"/>
      <c r="RWN49" s="33"/>
      <c r="RWR49" s="41"/>
      <c r="RWX49" s="42"/>
      <c r="RXE49" s="33"/>
      <c r="RXF49" s="33"/>
      <c r="RXJ49" s="41"/>
      <c r="RXP49" s="42"/>
      <c r="RXW49" s="33"/>
      <c r="RXX49" s="33"/>
      <c r="RYB49" s="41"/>
      <c r="RYH49" s="42"/>
      <c r="RYO49" s="33"/>
      <c r="RYP49" s="33"/>
      <c r="RYT49" s="41"/>
      <c r="RYZ49" s="42"/>
      <c r="RZG49" s="33"/>
      <c r="RZH49" s="33"/>
      <c r="RZL49" s="41"/>
      <c r="RZR49" s="42"/>
      <c r="RZY49" s="33"/>
      <c r="RZZ49" s="33"/>
      <c r="SAD49" s="41"/>
      <c r="SAJ49" s="42"/>
      <c r="SAQ49" s="33"/>
      <c r="SAR49" s="33"/>
      <c r="SAV49" s="41"/>
      <c r="SBB49" s="42"/>
      <c r="SBI49" s="33"/>
      <c r="SBJ49" s="33"/>
      <c r="SBN49" s="41"/>
      <c r="SBT49" s="42"/>
      <c r="SCA49" s="33"/>
      <c r="SCB49" s="33"/>
      <c r="SCF49" s="41"/>
      <c r="SCL49" s="42"/>
      <c r="SCS49" s="33"/>
      <c r="SCT49" s="33"/>
      <c r="SCX49" s="41"/>
      <c r="SDD49" s="42"/>
      <c r="SDK49" s="33"/>
      <c r="SDL49" s="33"/>
      <c r="SDP49" s="41"/>
      <c r="SDV49" s="42"/>
      <c r="SEC49" s="33"/>
      <c r="SED49" s="33"/>
      <c r="SEH49" s="41"/>
      <c r="SEN49" s="42"/>
      <c r="SEU49" s="33"/>
      <c r="SEV49" s="33"/>
      <c r="SEZ49" s="41"/>
      <c r="SFF49" s="42"/>
      <c r="SFM49" s="33"/>
      <c r="SFN49" s="33"/>
      <c r="SFR49" s="41"/>
      <c r="SFX49" s="42"/>
      <c r="SGE49" s="33"/>
      <c r="SGF49" s="33"/>
      <c r="SGJ49" s="41"/>
      <c r="SGP49" s="42"/>
      <c r="SGW49" s="33"/>
      <c r="SGX49" s="33"/>
      <c r="SHB49" s="41"/>
      <c r="SHH49" s="42"/>
      <c r="SHO49" s="33"/>
      <c r="SHP49" s="33"/>
      <c r="SHT49" s="41"/>
      <c r="SHZ49" s="42"/>
      <c r="SIG49" s="33"/>
      <c r="SIH49" s="33"/>
      <c r="SIL49" s="41"/>
      <c r="SIR49" s="42"/>
      <c r="SIY49" s="33"/>
      <c r="SIZ49" s="33"/>
      <c r="SJD49" s="41"/>
      <c r="SJJ49" s="42"/>
      <c r="SJQ49" s="33"/>
      <c r="SJR49" s="33"/>
      <c r="SJV49" s="41"/>
      <c r="SKB49" s="42"/>
      <c r="SKI49" s="33"/>
      <c r="SKJ49" s="33"/>
      <c r="SKN49" s="41"/>
      <c r="SKT49" s="42"/>
      <c r="SLA49" s="33"/>
      <c r="SLB49" s="33"/>
      <c r="SLF49" s="41"/>
      <c r="SLL49" s="42"/>
      <c r="SLS49" s="33"/>
      <c r="SLT49" s="33"/>
      <c r="SLX49" s="41"/>
      <c r="SMD49" s="42"/>
      <c r="SMK49" s="33"/>
      <c r="SML49" s="33"/>
      <c r="SMP49" s="41"/>
      <c r="SMV49" s="42"/>
      <c r="SNC49" s="33"/>
      <c r="SND49" s="33"/>
      <c r="SNH49" s="41"/>
      <c r="SNN49" s="42"/>
      <c r="SNU49" s="33"/>
      <c r="SNV49" s="33"/>
      <c r="SNZ49" s="41"/>
      <c r="SOF49" s="42"/>
      <c r="SOM49" s="33"/>
      <c r="SON49" s="33"/>
      <c r="SOR49" s="41"/>
      <c r="SOX49" s="42"/>
      <c r="SPE49" s="33"/>
      <c r="SPF49" s="33"/>
      <c r="SPJ49" s="41"/>
      <c r="SPP49" s="42"/>
      <c r="SPW49" s="33"/>
      <c r="SPX49" s="33"/>
      <c r="SQB49" s="41"/>
      <c r="SQH49" s="42"/>
      <c r="SQO49" s="33"/>
      <c r="SQP49" s="33"/>
      <c r="SQT49" s="41"/>
      <c r="SQZ49" s="42"/>
      <c r="SRG49" s="33"/>
      <c r="SRH49" s="33"/>
      <c r="SRL49" s="41"/>
      <c r="SRR49" s="42"/>
      <c r="SRY49" s="33"/>
      <c r="SRZ49" s="33"/>
      <c r="SSD49" s="41"/>
      <c r="SSJ49" s="42"/>
      <c r="SSQ49" s="33"/>
      <c r="SSR49" s="33"/>
      <c r="SSV49" s="41"/>
      <c r="STB49" s="42"/>
      <c r="STI49" s="33"/>
      <c r="STJ49" s="33"/>
      <c r="STN49" s="41"/>
      <c r="STT49" s="42"/>
      <c r="SUA49" s="33"/>
      <c r="SUB49" s="33"/>
      <c r="SUF49" s="41"/>
      <c r="SUL49" s="42"/>
      <c r="SUS49" s="33"/>
      <c r="SUT49" s="33"/>
      <c r="SUX49" s="41"/>
      <c r="SVD49" s="42"/>
      <c r="SVK49" s="33"/>
      <c r="SVL49" s="33"/>
      <c r="SVP49" s="41"/>
      <c r="SVV49" s="42"/>
      <c r="SWC49" s="33"/>
      <c r="SWD49" s="33"/>
      <c r="SWH49" s="41"/>
      <c r="SWN49" s="42"/>
      <c r="SWU49" s="33"/>
      <c r="SWV49" s="33"/>
      <c r="SWZ49" s="41"/>
      <c r="SXF49" s="42"/>
      <c r="SXM49" s="33"/>
      <c r="SXN49" s="33"/>
      <c r="SXR49" s="41"/>
      <c r="SXX49" s="42"/>
      <c r="SYE49" s="33"/>
      <c r="SYF49" s="33"/>
      <c r="SYJ49" s="41"/>
      <c r="SYP49" s="42"/>
      <c r="SYW49" s="33"/>
      <c r="SYX49" s="33"/>
      <c r="SZB49" s="41"/>
      <c r="SZH49" s="42"/>
      <c r="SZO49" s="33"/>
      <c r="SZP49" s="33"/>
      <c r="SZT49" s="41"/>
      <c r="SZZ49" s="42"/>
      <c r="TAG49" s="33"/>
      <c r="TAH49" s="33"/>
      <c r="TAL49" s="41"/>
      <c r="TAR49" s="42"/>
      <c r="TAY49" s="33"/>
      <c r="TAZ49" s="33"/>
      <c r="TBD49" s="41"/>
      <c r="TBJ49" s="42"/>
      <c r="TBQ49" s="33"/>
      <c r="TBR49" s="33"/>
      <c r="TBV49" s="41"/>
      <c r="TCB49" s="42"/>
      <c r="TCI49" s="33"/>
      <c r="TCJ49" s="33"/>
      <c r="TCN49" s="41"/>
      <c r="TCT49" s="42"/>
      <c r="TDA49" s="33"/>
      <c r="TDB49" s="33"/>
      <c r="TDF49" s="41"/>
      <c r="TDL49" s="42"/>
      <c r="TDS49" s="33"/>
      <c r="TDT49" s="33"/>
      <c r="TDX49" s="41"/>
      <c r="TED49" s="42"/>
      <c r="TEK49" s="33"/>
      <c r="TEL49" s="33"/>
      <c r="TEP49" s="41"/>
      <c r="TEV49" s="42"/>
      <c r="TFC49" s="33"/>
      <c r="TFD49" s="33"/>
      <c r="TFH49" s="41"/>
      <c r="TFN49" s="42"/>
      <c r="TFU49" s="33"/>
      <c r="TFV49" s="33"/>
      <c r="TFZ49" s="41"/>
      <c r="TGF49" s="42"/>
      <c r="TGM49" s="33"/>
      <c r="TGN49" s="33"/>
      <c r="TGR49" s="41"/>
      <c r="TGX49" s="42"/>
      <c r="THE49" s="33"/>
      <c r="THF49" s="33"/>
      <c r="THJ49" s="41"/>
      <c r="THP49" s="42"/>
      <c r="THW49" s="33"/>
      <c r="THX49" s="33"/>
      <c r="TIB49" s="41"/>
      <c r="TIH49" s="42"/>
      <c r="TIO49" s="33"/>
      <c r="TIP49" s="33"/>
      <c r="TIT49" s="41"/>
      <c r="TIZ49" s="42"/>
      <c r="TJG49" s="33"/>
      <c r="TJH49" s="33"/>
      <c r="TJL49" s="41"/>
      <c r="TJR49" s="42"/>
      <c r="TJY49" s="33"/>
      <c r="TJZ49" s="33"/>
      <c r="TKD49" s="41"/>
      <c r="TKJ49" s="42"/>
      <c r="TKQ49" s="33"/>
      <c r="TKR49" s="33"/>
      <c r="TKV49" s="41"/>
      <c r="TLB49" s="42"/>
      <c r="TLI49" s="33"/>
      <c r="TLJ49" s="33"/>
      <c r="TLN49" s="41"/>
      <c r="TLT49" s="42"/>
      <c r="TMA49" s="33"/>
      <c r="TMB49" s="33"/>
      <c r="TMF49" s="41"/>
      <c r="TML49" s="42"/>
      <c r="TMS49" s="33"/>
      <c r="TMT49" s="33"/>
      <c r="TMX49" s="41"/>
      <c r="TND49" s="42"/>
      <c r="TNK49" s="33"/>
      <c r="TNL49" s="33"/>
      <c r="TNP49" s="41"/>
      <c r="TNV49" s="42"/>
      <c r="TOC49" s="33"/>
      <c r="TOD49" s="33"/>
      <c r="TOH49" s="41"/>
      <c r="TON49" s="42"/>
      <c r="TOU49" s="33"/>
      <c r="TOV49" s="33"/>
      <c r="TOZ49" s="41"/>
      <c r="TPF49" s="42"/>
      <c r="TPM49" s="33"/>
      <c r="TPN49" s="33"/>
      <c r="TPR49" s="41"/>
      <c r="TPX49" s="42"/>
      <c r="TQE49" s="33"/>
      <c r="TQF49" s="33"/>
      <c r="TQJ49" s="41"/>
      <c r="TQP49" s="42"/>
      <c r="TQW49" s="33"/>
      <c r="TQX49" s="33"/>
      <c r="TRB49" s="41"/>
      <c r="TRH49" s="42"/>
      <c r="TRO49" s="33"/>
      <c r="TRP49" s="33"/>
      <c r="TRT49" s="41"/>
      <c r="TRZ49" s="42"/>
      <c r="TSG49" s="33"/>
      <c r="TSH49" s="33"/>
      <c r="TSL49" s="41"/>
      <c r="TSR49" s="42"/>
      <c r="TSY49" s="33"/>
      <c r="TSZ49" s="33"/>
      <c r="TTD49" s="41"/>
      <c r="TTJ49" s="42"/>
      <c r="TTQ49" s="33"/>
      <c r="TTR49" s="33"/>
      <c r="TTV49" s="41"/>
      <c r="TUB49" s="42"/>
      <c r="TUI49" s="33"/>
      <c r="TUJ49" s="33"/>
      <c r="TUN49" s="41"/>
      <c r="TUT49" s="42"/>
      <c r="TVA49" s="33"/>
      <c r="TVB49" s="33"/>
      <c r="TVF49" s="41"/>
      <c r="TVL49" s="42"/>
      <c r="TVS49" s="33"/>
      <c r="TVT49" s="33"/>
      <c r="TVX49" s="41"/>
      <c r="TWD49" s="42"/>
      <c r="TWK49" s="33"/>
      <c r="TWL49" s="33"/>
      <c r="TWP49" s="41"/>
      <c r="TWV49" s="42"/>
      <c r="TXC49" s="33"/>
      <c r="TXD49" s="33"/>
      <c r="TXH49" s="41"/>
      <c r="TXN49" s="42"/>
      <c r="TXU49" s="33"/>
      <c r="TXV49" s="33"/>
      <c r="TXZ49" s="41"/>
      <c r="TYF49" s="42"/>
      <c r="TYM49" s="33"/>
      <c r="TYN49" s="33"/>
      <c r="TYR49" s="41"/>
      <c r="TYX49" s="42"/>
      <c r="TZE49" s="33"/>
      <c r="TZF49" s="33"/>
      <c r="TZJ49" s="41"/>
      <c r="TZP49" s="42"/>
      <c r="TZW49" s="33"/>
      <c r="TZX49" s="33"/>
      <c r="UAB49" s="41"/>
      <c r="UAH49" s="42"/>
      <c r="UAO49" s="33"/>
      <c r="UAP49" s="33"/>
      <c r="UAT49" s="41"/>
      <c r="UAZ49" s="42"/>
      <c r="UBG49" s="33"/>
      <c r="UBH49" s="33"/>
      <c r="UBL49" s="41"/>
      <c r="UBR49" s="42"/>
      <c r="UBY49" s="33"/>
      <c r="UBZ49" s="33"/>
      <c r="UCD49" s="41"/>
      <c r="UCJ49" s="42"/>
      <c r="UCQ49" s="33"/>
      <c r="UCR49" s="33"/>
      <c r="UCV49" s="41"/>
      <c r="UDB49" s="42"/>
      <c r="UDI49" s="33"/>
      <c r="UDJ49" s="33"/>
      <c r="UDN49" s="41"/>
      <c r="UDT49" s="42"/>
      <c r="UEA49" s="33"/>
      <c r="UEB49" s="33"/>
      <c r="UEF49" s="41"/>
      <c r="UEL49" s="42"/>
      <c r="UES49" s="33"/>
      <c r="UET49" s="33"/>
      <c r="UEX49" s="41"/>
      <c r="UFD49" s="42"/>
      <c r="UFK49" s="33"/>
      <c r="UFL49" s="33"/>
      <c r="UFP49" s="41"/>
      <c r="UFV49" s="42"/>
      <c r="UGC49" s="33"/>
      <c r="UGD49" s="33"/>
      <c r="UGH49" s="41"/>
      <c r="UGN49" s="42"/>
      <c r="UGU49" s="33"/>
      <c r="UGV49" s="33"/>
      <c r="UGZ49" s="41"/>
      <c r="UHF49" s="42"/>
      <c r="UHM49" s="33"/>
      <c r="UHN49" s="33"/>
      <c r="UHR49" s="41"/>
      <c r="UHX49" s="42"/>
      <c r="UIE49" s="33"/>
      <c r="UIF49" s="33"/>
      <c r="UIJ49" s="41"/>
      <c r="UIP49" s="42"/>
      <c r="UIW49" s="33"/>
      <c r="UIX49" s="33"/>
      <c r="UJB49" s="41"/>
      <c r="UJH49" s="42"/>
      <c r="UJO49" s="33"/>
      <c r="UJP49" s="33"/>
      <c r="UJT49" s="41"/>
      <c r="UJZ49" s="42"/>
      <c r="UKG49" s="33"/>
      <c r="UKH49" s="33"/>
      <c r="UKL49" s="41"/>
      <c r="UKR49" s="42"/>
      <c r="UKY49" s="33"/>
      <c r="UKZ49" s="33"/>
      <c r="ULD49" s="41"/>
      <c r="ULJ49" s="42"/>
      <c r="ULQ49" s="33"/>
      <c r="ULR49" s="33"/>
      <c r="ULV49" s="41"/>
      <c r="UMB49" s="42"/>
      <c r="UMI49" s="33"/>
      <c r="UMJ49" s="33"/>
      <c r="UMN49" s="41"/>
      <c r="UMT49" s="42"/>
      <c r="UNA49" s="33"/>
      <c r="UNB49" s="33"/>
      <c r="UNF49" s="41"/>
      <c r="UNL49" s="42"/>
      <c r="UNS49" s="33"/>
      <c r="UNT49" s="33"/>
      <c r="UNX49" s="41"/>
      <c r="UOD49" s="42"/>
      <c r="UOK49" s="33"/>
      <c r="UOL49" s="33"/>
      <c r="UOP49" s="41"/>
      <c r="UOV49" s="42"/>
      <c r="UPC49" s="33"/>
      <c r="UPD49" s="33"/>
      <c r="UPH49" s="41"/>
      <c r="UPN49" s="42"/>
      <c r="UPU49" s="33"/>
      <c r="UPV49" s="33"/>
      <c r="UPZ49" s="41"/>
      <c r="UQF49" s="42"/>
      <c r="UQM49" s="33"/>
      <c r="UQN49" s="33"/>
      <c r="UQR49" s="41"/>
      <c r="UQX49" s="42"/>
      <c r="URE49" s="33"/>
      <c r="URF49" s="33"/>
      <c r="URJ49" s="41"/>
      <c r="URP49" s="42"/>
      <c r="URW49" s="33"/>
      <c r="URX49" s="33"/>
      <c r="USB49" s="41"/>
      <c r="USH49" s="42"/>
      <c r="USO49" s="33"/>
      <c r="USP49" s="33"/>
      <c r="UST49" s="41"/>
      <c r="USZ49" s="42"/>
      <c r="UTG49" s="33"/>
      <c r="UTH49" s="33"/>
      <c r="UTL49" s="41"/>
      <c r="UTR49" s="42"/>
      <c r="UTY49" s="33"/>
      <c r="UTZ49" s="33"/>
      <c r="UUD49" s="41"/>
      <c r="UUJ49" s="42"/>
      <c r="UUQ49" s="33"/>
      <c r="UUR49" s="33"/>
      <c r="UUV49" s="41"/>
      <c r="UVB49" s="42"/>
      <c r="UVI49" s="33"/>
      <c r="UVJ49" s="33"/>
      <c r="UVN49" s="41"/>
      <c r="UVT49" s="42"/>
      <c r="UWA49" s="33"/>
      <c r="UWB49" s="33"/>
      <c r="UWF49" s="41"/>
      <c r="UWL49" s="42"/>
      <c r="UWS49" s="33"/>
      <c r="UWT49" s="33"/>
      <c r="UWX49" s="41"/>
      <c r="UXD49" s="42"/>
      <c r="UXK49" s="33"/>
      <c r="UXL49" s="33"/>
      <c r="UXP49" s="41"/>
      <c r="UXV49" s="42"/>
      <c r="UYC49" s="33"/>
      <c r="UYD49" s="33"/>
      <c r="UYH49" s="41"/>
      <c r="UYN49" s="42"/>
      <c r="UYU49" s="33"/>
      <c r="UYV49" s="33"/>
      <c r="UYZ49" s="41"/>
      <c r="UZF49" s="42"/>
      <c r="UZM49" s="33"/>
      <c r="UZN49" s="33"/>
      <c r="UZR49" s="41"/>
      <c r="UZX49" s="42"/>
      <c r="VAE49" s="33"/>
      <c r="VAF49" s="33"/>
      <c r="VAJ49" s="41"/>
      <c r="VAP49" s="42"/>
      <c r="VAW49" s="33"/>
      <c r="VAX49" s="33"/>
      <c r="VBB49" s="41"/>
      <c r="VBH49" s="42"/>
      <c r="VBO49" s="33"/>
      <c r="VBP49" s="33"/>
      <c r="VBT49" s="41"/>
      <c r="VBZ49" s="42"/>
      <c r="VCG49" s="33"/>
      <c r="VCH49" s="33"/>
      <c r="VCL49" s="41"/>
      <c r="VCR49" s="42"/>
      <c r="VCY49" s="33"/>
      <c r="VCZ49" s="33"/>
      <c r="VDD49" s="41"/>
      <c r="VDJ49" s="42"/>
      <c r="VDQ49" s="33"/>
      <c r="VDR49" s="33"/>
      <c r="VDV49" s="41"/>
      <c r="VEB49" s="42"/>
      <c r="VEI49" s="33"/>
      <c r="VEJ49" s="33"/>
      <c r="VEN49" s="41"/>
      <c r="VET49" s="42"/>
      <c r="VFA49" s="33"/>
      <c r="VFB49" s="33"/>
      <c r="VFF49" s="41"/>
      <c r="VFL49" s="42"/>
      <c r="VFS49" s="33"/>
      <c r="VFT49" s="33"/>
      <c r="VFX49" s="41"/>
      <c r="VGD49" s="42"/>
      <c r="VGK49" s="33"/>
      <c r="VGL49" s="33"/>
      <c r="VGP49" s="41"/>
      <c r="VGV49" s="42"/>
      <c r="VHC49" s="33"/>
      <c r="VHD49" s="33"/>
      <c r="VHH49" s="41"/>
      <c r="VHN49" s="42"/>
      <c r="VHU49" s="33"/>
      <c r="VHV49" s="33"/>
      <c r="VHZ49" s="41"/>
      <c r="VIF49" s="42"/>
      <c r="VIM49" s="33"/>
      <c r="VIN49" s="33"/>
      <c r="VIR49" s="41"/>
      <c r="VIX49" s="42"/>
      <c r="VJE49" s="33"/>
      <c r="VJF49" s="33"/>
      <c r="VJJ49" s="41"/>
      <c r="VJP49" s="42"/>
      <c r="VJW49" s="33"/>
      <c r="VJX49" s="33"/>
      <c r="VKB49" s="41"/>
      <c r="VKH49" s="42"/>
      <c r="VKO49" s="33"/>
      <c r="VKP49" s="33"/>
      <c r="VKT49" s="41"/>
      <c r="VKZ49" s="42"/>
      <c r="VLG49" s="33"/>
      <c r="VLH49" s="33"/>
      <c r="VLL49" s="41"/>
      <c r="VLR49" s="42"/>
      <c r="VLY49" s="33"/>
      <c r="VLZ49" s="33"/>
      <c r="VMD49" s="41"/>
      <c r="VMJ49" s="42"/>
      <c r="VMQ49" s="33"/>
      <c r="VMR49" s="33"/>
      <c r="VMV49" s="41"/>
      <c r="VNB49" s="42"/>
      <c r="VNI49" s="33"/>
      <c r="VNJ49" s="33"/>
      <c r="VNN49" s="41"/>
      <c r="VNT49" s="42"/>
      <c r="VOA49" s="33"/>
      <c r="VOB49" s="33"/>
      <c r="VOF49" s="41"/>
      <c r="VOL49" s="42"/>
      <c r="VOS49" s="33"/>
      <c r="VOT49" s="33"/>
      <c r="VOX49" s="41"/>
      <c r="VPD49" s="42"/>
      <c r="VPK49" s="33"/>
      <c r="VPL49" s="33"/>
      <c r="VPP49" s="41"/>
      <c r="VPV49" s="42"/>
      <c r="VQC49" s="33"/>
      <c r="VQD49" s="33"/>
      <c r="VQH49" s="41"/>
      <c r="VQN49" s="42"/>
      <c r="VQU49" s="33"/>
      <c r="VQV49" s="33"/>
      <c r="VQZ49" s="41"/>
      <c r="VRF49" s="42"/>
      <c r="VRM49" s="33"/>
      <c r="VRN49" s="33"/>
      <c r="VRR49" s="41"/>
      <c r="VRX49" s="42"/>
      <c r="VSE49" s="33"/>
      <c r="VSF49" s="33"/>
      <c r="VSJ49" s="41"/>
      <c r="VSP49" s="42"/>
      <c r="VSW49" s="33"/>
      <c r="VSX49" s="33"/>
      <c r="VTB49" s="41"/>
      <c r="VTH49" s="42"/>
      <c r="VTO49" s="33"/>
      <c r="VTP49" s="33"/>
      <c r="VTT49" s="41"/>
      <c r="VTZ49" s="42"/>
      <c r="VUG49" s="33"/>
      <c r="VUH49" s="33"/>
      <c r="VUL49" s="41"/>
      <c r="VUR49" s="42"/>
      <c r="VUY49" s="33"/>
      <c r="VUZ49" s="33"/>
      <c r="VVD49" s="41"/>
      <c r="VVJ49" s="42"/>
      <c r="VVQ49" s="33"/>
      <c r="VVR49" s="33"/>
      <c r="VVV49" s="41"/>
      <c r="VWB49" s="42"/>
      <c r="VWI49" s="33"/>
      <c r="VWJ49" s="33"/>
      <c r="VWN49" s="41"/>
      <c r="VWT49" s="42"/>
      <c r="VXA49" s="33"/>
      <c r="VXB49" s="33"/>
      <c r="VXF49" s="41"/>
      <c r="VXL49" s="42"/>
      <c r="VXS49" s="33"/>
      <c r="VXT49" s="33"/>
      <c r="VXX49" s="41"/>
      <c r="VYD49" s="42"/>
      <c r="VYK49" s="33"/>
      <c r="VYL49" s="33"/>
      <c r="VYP49" s="41"/>
      <c r="VYV49" s="42"/>
      <c r="VZC49" s="33"/>
      <c r="VZD49" s="33"/>
      <c r="VZH49" s="41"/>
      <c r="VZN49" s="42"/>
      <c r="VZU49" s="33"/>
      <c r="VZV49" s="33"/>
      <c r="VZZ49" s="41"/>
      <c r="WAF49" s="42"/>
      <c r="WAM49" s="33"/>
      <c r="WAN49" s="33"/>
      <c r="WAR49" s="41"/>
      <c r="WAX49" s="42"/>
      <c r="WBE49" s="33"/>
      <c r="WBF49" s="33"/>
      <c r="WBJ49" s="41"/>
      <c r="WBP49" s="42"/>
      <c r="WBW49" s="33"/>
      <c r="WBX49" s="33"/>
      <c r="WCB49" s="41"/>
      <c r="WCH49" s="42"/>
      <c r="WCO49" s="33"/>
      <c r="WCP49" s="33"/>
      <c r="WCT49" s="41"/>
      <c r="WCZ49" s="42"/>
      <c r="WDG49" s="33"/>
      <c r="WDH49" s="33"/>
      <c r="WDL49" s="41"/>
      <c r="WDR49" s="42"/>
      <c r="WDY49" s="33"/>
      <c r="WDZ49" s="33"/>
      <c r="WED49" s="41"/>
      <c r="WEJ49" s="42"/>
      <c r="WEQ49" s="33"/>
      <c r="WER49" s="33"/>
      <c r="WEV49" s="41"/>
      <c r="WFB49" s="42"/>
      <c r="WFI49" s="33"/>
      <c r="WFJ49" s="33"/>
      <c r="WFN49" s="41"/>
      <c r="WFT49" s="42"/>
      <c r="WGA49" s="33"/>
      <c r="WGB49" s="33"/>
      <c r="WGF49" s="41"/>
      <c r="WGL49" s="42"/>
      <c r="WGS49" s="33"/>
      <c r="WGT49" s="33"/>
      <c r="WGX49" s="41"/>
      <c r="WHD49" s="42"/>
      <c r="WHK49" s="33"/>
      <c r="WHL49" s="33"/>
      <c r="WHP49" s="41"/>
      <c r="WHV49" s="42"/>
      <c r="WIC49" s="33"/>
      <c r="WID49" s="33"/>
      <c r="WIH49" s="41"/>
      <c r="WIN49" s="42"/>
      <c r="WIU49" s="33"/>
      <c r="WIV49" s="33"/>
      <c r="WIZ49" s="41"/>
      <c r="WJF49" s="42"/>
      <c r="WJM49" s="33"/>
      <c r="WJN49" s="33"/>
      <c r="WJR49" s="41"/>
      <c r="WJX49" s="42"/>
      <c r="WKE49" s="33"/>
      <c r="WKF49" s="33"/>
      <c r="WKJ49" s="41"/>
      <c r="WKP49" s="42"/>
      <c r="WKW49" s="33"/>
      <c r="WKX49" s="33"/>
      <c r="WLB49" s="41"/>
      <c r="WLH49" s="42"/>
      <c r="WLO49" s="33"/>
      <c r="WLP49" s="33"/>
      <c r="WLT49" s="41"/>
      <c r="WLZ49" s="42"/>
      <c r="WMG49" s="33"/>
      <c r="WMH49" s="33"/>
      <c r="WML49" s="41"/>
      <c r="WMR49" s="42"/>
      <c r="WMY49" s="33"/>
      <c r="WMZ49" s="33"/>
      <c r="WND49" s="41"/>
      <c r="WNJ49" s="42"/>
      <c r="WNQ49" s="33"/>
      <c r="WNR49" s="33"/>
      <c r="WNV49" s="41"/>
      <c r="WOB49" s="42"/>
      <c r="WOI49" s="33"/>
      <c r="WOJ49" s="33"/>
      <c r="WON49" s="41"/>
      <c r="WOT49" s="42"/>
      <c r="WPA49" s="33"/>
      <c r="WPB49" s="33"/>
      <c r="WPF49" s="41"/>
      <c r="WPL49" s="42"/>
      <c r="WPS49" s="33"/>
      <c r="WPT49" s="33"/>
      <c r="WPX49" s="41"/>
      <c r="WQD49" s="42"/>
      <c r="WQK49" s="33"/>
      <c r="WQL49" s="33"/>
      <c r="WQP49" s="41"/>
      <c r="WQV49" s="42"/>
      <c r="WRC49" s="33"/>
      <c r="WRD49" s="33"/>
      <c r="WRH49" s="41"/>
      <c r="WRN49" s="42"/>
      <c r="WRU49" s="33"/>
      <c r="WRV49" s="33"/>
      <c r="WRZ49" s="41"/>
      <c r="WSF49" s="42"/>
      <c r="WSM49" s="33"/>
      <c r="WSN49" s="33"/>
      <c r="WSR49" s="41"/>
      <c r="WSX49" s="42"/>
      <c r="WTE49" s="33"/>
      <c r="WTF49" s="33"/>
      <c r="WTJ49" s="41"/>
      <c r="WTP49" s="42"/>
      <c r="WTW49" s="33"/>
      <c r="WTX49" s="33"/>
      <c r="WUB49" s="41"/>
      <c r="WUH49" s="42"/>
      <c r="WUO49" s="33"/>
      <c r="WUP49" s="33"/>
      <c r="WUT49" s="41"/>
      <c r="WUZ49" s="42"/>
      <c r="WVG49" s="33"/>
      <c r="WVH49" s="33"/>
      <c r="WVL49" s="41"/>
      <c r="WVR49" s="42"/>
      <c r="WVY49" s="33"/>
      <c r="WVZ49" s="33"/>
      <c r="WWD49" s="41"/>
      <c r="WWJ49" s="42"/>
      <c r="WWQ49" s="33"/>
      <c r="WWR49" s="33"/>
      <c r="WWV49" s="41"/>
      <c r="WXB49" s="42"/>
      <c r="WXI49" s="33"/>
      <c r="WXJ49" s="33"/>
      <c r="WXN49" s="41"/>
      <c r="WXT49" s="42"/>
      <c r="WYA49" s="33"/>
      <c r="WYB49" s="33"/>
      <c r="WYF49" s="41"/>
      <c r="WYL49" s="42"/>
      <c r="WYS49" s="33"/>
      <c r="WYT49" s="33"/>
      <c r="WYX49" s="41"/>
      <c r="WZD49" s="42"/>
      <c r="WZK49" s="33"/>
      <c r="WZL49" s="33"/>
      <c r="WZP49" s="41"/>
      <c r="WZV49" s="42"/>
      <c r="XAC49" s="33"/>
      <c r="XAD49" s="33"/>
      <c r="XAH49" s="41"/>
      <c r="XAN49" s="42"/>
      <c r="XAU49" s="33"/>
      <c r="XAV49" s="33"/>
      <c r="XAZ49" s="41"/>
      <c r="XBF49" s="42"/>
      <c r="XBM49" s="33"/>
      <c r="XBN49" s="33"/>
      <c r="XBR49" s="41"/>
      <c r="XBX49" s="42"/>
      <c r="XCE49" s="33"/>
      <c r="XCF49" s="33"/>
      <c r="XCJ49" s="41"/>
      <c r="XCP49" s="42"/>
      <c r="XCW49" s="33"/>
      <c r="XCX49" s="33"/>
      <c r="XDB49" s="41"/>
      <c r="XDH49" s="42"/>
      <c r="XDO49" s="33"/>
      <c r="XDP49" s="33"/>
      <c r="XDT49" s="41"/>
      <c r="XDZ49" s="42"/>
      <c r="XEG49" s="33"/>
      <c r="XEH49" s="33"/>
      <c r="XEL49" s="41"/>
      <c r="XER49" s="42"/>
      <c r="XEY49" s="33"/>
      <c r="XEZ49" s="33"/>
      <c r="XFD49" s="41"/>
    </row>
    <row r="50" spans="1:1018 1025:2044 2051:3070 3077:4096 4103:5116 5122:6142 6148:7168 7174:8190 8194:9216 9220:10234 10241:11260 11267:12286 12293:13312 13319:14332 14338:15358 15364:16384" s="40" customFormat="1">
      <c r="A50" s="33" t="s">
        <v>156</v>
      </c>
      <c r="B50" s="34">
        <v>2007</v>
      </c>
      <c r="C50" s="35" t="s">
        <v>153</v>
      </c>
      <c r="D50" s="36" t="s">
        <v>86</v>
      </c>
      <c r="E50" s="35" t="s">
        <v>154</v>
      </c>
      <c r="F50" s="35" t="s">
        <v>55</v>
      </c>
      <c r="G50" s="38">
        <v>121454480.00000001</v>
      </c>
      <c r="H50" s="38">
        <v>95440290.000000015</v>
      </c>
      <c r="I50" s="35">
        <v>5</v>
      </c>
      <c r="J50" s="54" t="s">
        <v>157</v>
      </c>
      <c r="K50" s="36"/>
      <c r="L50" s="36"/>
      <c r="M50" s="36" t="s">
        <v>26</v>
      </c>
      <c r="N50" s="34"/>
      <c r="O50" s="36"/>
      <c r="P50" s="34"/>
      <c r="Q50" s="36"/>
      <c r="R50" s="36"/>
      <c r="V50" s="41"/>
      <c r="AB50" s="42"/>
      <c r="AI50" s="33"/>
      <c r="AJ50" s="33"/>
      <c r="AN50" s="41"/>
      <c r="AT50" s="42"/>
      <c r="BA50" s="33"/>
      <c r="BB50" s="33"/>
      <c r="BF50" s="41"/>
      <c r="BL50" s="42"/>
      <c r="BS50" s="33"/>
      <c r="BT50" s="33"/>
      <c r="BX50" s="41"/>
      <c r="CD50" s="42"/>
      <c r="CK50" s="33"/>
      <c r="CL50" s="33"/>
      <c r="CP50" s="41"/>
      <c r="CV50" s="42"/>
      <c r="DC50" s="33"/>
      <c r="DD50" s="33"/>
      <c r="DH50" s="41"/>
      <c r="DN50" s="42"/>
      <c r="DU50" s="33"/>
      <c r="DV50" s="33"/>
      <c r="DZ50" s="41"/>
      <c r="EF50" s="42"/>
      <c r="EM50" s="33"/>
      <c r="EN50" s="33"/>
      <c r="ER50" s="41"/>
      <c r="EX50" s="42"/>
      <c r="FE50" s="33"/>
      <c r="FF50" s="33"/>
      <c r="FJ50" s="41"/>
      <c r="FP50" s="42"/>
      <c r="FW50" s="33"/>
      <c r="FX50" s="33"/>
      <c r="GB50" s="41"/>
      <c r="GH50" s="42"/>
      <c r="GO50" s="33"/>
      <c r="GP50" s="33"/>
      <c r="GT50" s="41"/>
      <c r="GZ50" s="42"/>
      <c r="HG50" s="33"/>
      <c r="HH50" s="33"/>
      <c r="HL50" s="41"/>
      <c r="HR50" s="42"/>
      <c r="HY50" s="33"/>
      <c r="HZ50" s="33"/>
      <c r="ID50" s="41"/>
      <c r="IJ50" s="42"/>
      <c r="IQ50" s="33"/>
      <c r="IR50" s="33"/>
      <c r="IV50" s="41"/>
      <c r="JB50" s="42"/>
      <c r="JI50" s="33"/>
      <c r="JJ50" s="33"/>
      <c r="JN50" s="41"/>
      <c r="JT50" s="42"/>
      <c r="KA50" s="33"/>
      <c r="KB50" s="33"/>
      <c r="KF50" s="41"/>
      <c r="KL50" s="42"/>
      <c r="KS50" s="33"/>
      <c r="KT50" s="33"/>
      <c r="KX50" s="41"/>
      <c r="LD50" s="42"/>
      <c r="LK50" s="33"/>
      <c r="LL50" s="33"/>
      <c r="LP50" s="41"/>
      <c r="LV50" s="42"/>
      <c r="MC50" s="33"/>
      <c r="MD50" s="33"/>
      <c r="MH50" s="41"/>
      <c r="MN50" s="42"/>
      <c r="MU50" s="33"/>
      <c r="MV50" s="33"/>
      <c r="MZ50" s="41"/>
      <c r="NF50" s="42"/>
      <c r="NM50" s="33"/>
      <c r="NN50" s="33"/>
      <c r="NR50" s="41"/>
      <c r="NX50" s="42"/>
      <c r="OE50" s="33"/>
      <c r="OF50" s="33"/>
      <c r="OJ50" s="41"/>
      <c r="OP50" s="42"/>
      <c r="OW50" s="33"/>
      <c r="OX50" s="33"/>
      <c r="PB50" s="41"/>
      <c r="PH50" s="42"/>
      <c r="PO50" s="33"/>
      <c r="PP50" s="33"/>
      <c r="PT50" s="41"/>
      <c r="PZ50" s="42"/>
      <c r="QG50" s="33"/>
      <c r="QH50" s="33"/>
      <c r="QL50" s="41"/>
      <c r="QR50" s="42"/>
      <c r="QY50" s="33"/>
      <c r="QZ50" s="33"/>
      <c r="RD50" s="41"/>
      <c r="RJ50" s="42"/>
      <c r="RQ50" s="33"/>
      <c r="RR50" s="33"/>
      <c r="RV50" s="41"/>
      <c r="SB50" s="42"/>
      <c r="SI50" s="33"/>
      <c r="SJ50" s="33"/>
      <c r="SN50" s="41"/>
      <c r="ST50" s="42"/>
      <c r="TA50" s="33"/>
      <c r="TB50" s="33"/>
      <c r="TF50" s="41"/>
      <c r="TL50" s="42"/>
      <c r="TS50" s="33"/>
      <c r="TT50" s="33"/>
      <c r="TX50" s="41"/>
      <c r="UD50" s="42"/>
      <c r="UK50" s="33"/>
      <c r="UL50" s="33"/>
      <c r="UP50" s="41"/>
      <c r="UV50" s="42"/>
      <c r="VC50" s="33"/>
      <c r="VD50" s="33"/>
      <c r="VH50" s="41"/>
      <c r="VN50" s="42"/>
      <c r="VU50" s="33"/>
      <c r="VV50" s="33"/>
      <c r="VZ50" s="41"/>
      <c r="WF50" s="42"/>
      <c r="WM50" s="33"/>
      <c r="WN50" s="33"/>
      <c r="WR50" s="41"/>
      <c r="WX50" s="42"/>
      <c r="XE50" s="33"/>
      <c r="XF50" s="33"/>
      <c r="XJ50" s="41"/>
      <c r="XP50" s="42"/>
      <c r="XW50" s="33"/>
      <c r="XX50" s="33"/>
      <c r="YB50" s="41"/>
      <c r="YH50" s="42"/>
      <c r="YO50" s="33"/>
      <c r="YP50" s="33"/>
      <c r="YT50" s="41"/>
      <c r="YZ50" s="42"/>
      <c r="ZG50" s="33"/>
      <c r="ZH50" s="33"/>
      <c r="ZL50" s="41"/>
      <c r="ZR50" s="42"/>
      <c r="ZY50" s="33"/>
      <c r="ZZ50" s="33"/>
      <c r="AAD50" s="41"/>
      <c r="AAJ50" s="42"/>
      <c r="AAQ50" s="33"/>
      <c r="AAR50" s="33"/>
      <c r="AAV50" s="41"/>
      <c r="ABB50" s="42"/>
      <c r="ABI50" s="33"/>
      <c r="ABJ50" s="33"/>
      <c r="ABN50" s="41"/>
      <c r="ABT50" s="42"/>
      <c r="ACA50" s="33"/>
      <c r="ACB50" s="33"/>
      <c r="ACF50" s="41"/>
      <c r="ACL50" s="42"/>
      <c r="ACS50" s="33"/>
      <c r="ACT50" s="33"/>
      <c r="ACX50" s="41"/>
      <c r="ADD50" s="42"/>
      <c r="ADK50" s="33"/>
      <c r="ADL50" s="33"/>
      <c r="ADP50" s="41"/>
      <c r="ADV50" s="42"/>
      <c r="AEC50" s="33"/>
      <c r="AED50" s="33"/>
      <c r="AEH50" s="41"/>
      <c r="AEN50" s="42"/>
      <c r="AEU50" s="33"/>
      <c r="AEV50" s="33"/>
      <c r="AEZ50" s="41"/>
      <c r="AFF50" s="42"/>
      <c r="AFM50" s="33"/>
      <c r="AFN50" s="33"/>
      <c r="AFR50" s="41"/>
      <c r="AFX50" s="42"/>
      <c r="AGE50" s="33"/>
      <c r="AGF50" s="33"/>
      <c r="AGJ50" s="41"/>
      <c r="AGP50" s="42"/>
      <c r="AGW50" s="33"/>
      <c r="AGX50" s="33"/>
      <c r="AHB50" s="41"/>
      <c r="AHH50" s="42"/>
      <c r="AHO50" s="33"/>
      <c r="AHP50" s="33"/>
      <c r="AHT50" s="41"/>
      <c r="AHZ50" s="42"/>
      <c r="AIG50" s="33"/>
      <c r="AIH50" s="33"/>
      <c r="AIL50" s="41"/>
      <c r="AIR50" s="42"/>
      <c r="AIY50" s="33"/>
      <c r="AIZ50" s="33"/>
      <c r="AJD50" s="41"/>
      <c r="AJJ50" s="42"/>
      <c r="AJQ50" s="33"/>
      <c r="AJR50" s="33"/>
      <c r="AJV50" s="41"/>
      <c r="AKB50" s="42"/>
      <c r="AKI50" s="33"/>
      <c r="AKJ50" s="33"/>
      <c r="AKN50" s="41"/>
      <c r="AKT50" s="42"/>
      <c r="ALA50" s="33"/>
      <c r="ALB50" s="33"/>
      <c r="ALF50" s="41"/>
      <c r="ALL50" s="42"/>
      <c r="ALS50" s="33"/>
      <c r="ALT50" s="33"/>
      <c r="ALX50" s="41"/>
      <c r="AMD50" s="42"/>
      <c r="AMK50" s="33"/>
      <c r="AML50" s="33"/>
      <c r="AMP50" s="41"/>
      <c r="AMV50" s="42"/>
      <c r="ANC50" s="33"/>
      <c r="AND50" s="33"/>
      <c r="ANH50" s="41"/>
      <c r="ANN50" s="42"/>
      <c r="ANU50" s="33"/>
      <c r="ANV50" s="33"/>
      <c r="ANZ50" s="41"/>
      <c r="AOF50" s="42"/>
      <c r="AOM50" s="33"/>
      <c r="AON50" s="33"/>
      <c r="AOR50" s="41"/>
      <c r="AOX50" s="42"/>
      <c r="APE50" s="33"/>
      <c r="APF50" s="33"/>
      <c r="APJ50" s="41"/>
      <c r="APP50" s="42"/>
      <c r="APW50" s="33"/>
      <c r="APX50" s="33"/>
      <c r="AQB50" s="41"/>
      <c r="AQH50" s="42"/>
      <c r="AQO50" s="33"/>
      <c r="AQP50" s="33"/>
      <c r="AQT50" s="41"/>
      <c r="AQZ50" s="42"/>
      <c r="ARG50" s="33"/>
      <c r="ARH50" s="33"/>
      <c r="ARL50" s="41"/>
      <c r="ARR50" s="42"/>
      <c r="ARY50" s="33"/>
      <c r="ARZ50" s="33"/>
      <c r="ASD50" s="41"/>
      <c r="ASJ50" s="42"/>
      <c r="ASQ50" s="33"/>
      <c r="ASR50" s="33"/>
      <c r="ASV50" s="41"/>
      <c r="ATB50" s="42"/>
      <c r="ATI50" s="33"/>
      <c r="ATJ50" s="33"/>
      <c r="ATN50" s="41"/>
      <c r="ATT50" s="42"/>
      <c r="AUA50" s="33"/>
      <c r="AUB50" s="33"/>
      <c r="AUF50" s="41"/>
      <c r="AUL50" s="42"/>
      <c r="AUS50" s="33"/>
      <c r="AUT50" s="33"/>
      <c r="AUX50" s="41"/>
      <c r="AVD50" s="42"/>
      <c r="AVK50" s="33"/>
      <c r="AVL50" s="33"/>
      <c r="AVP50" s="41"/>
      <c r="AVV50" s="42"/>
      <c r="AWC50" s="33"/>
      <c r="AWD50" s="33"/>
      <c r="AWH50" s="41"/>
      <c r="AWN50" s="42"/>
      <c r="AWU50" s="33"/>
      <c r="AWV50" s="33"/>
      <c r="AWZ50" s="41"/>
      <c r="AXF50" s="42"/>
      <c r="AXM50" s="33"/>
      <c r="AXN50" s="33"/>
      <c r="AXR50" s="41"/>
      <c r="AXX50" s="42"/>
      <c r="AYE50" s="33"/>
      <c r="AYF50" s="33"/>
      <c r="AYJ50" s="41"/>
      <c r="AYP50" s="42"/>
      <c r="AYW50" s="33"/>
      <c r="AYX50" s="33"/>
      <c r="AZB50" s="41"/>
      <c r="AZH50" s="42"/>
      <c r="AZO50" s="33"/>
      <c r="AZP50" s="33"/>
      <c r="AZT50" s="41"/>
      <c r="AZZ50" s="42"/>
      <c r="BAG50" s="33"/>
      <c r="BAH50" s="33"/>
      <c r="BAL50" s="41"/>
      <c r="BAR50" s="42"/>
      <c r="BAY50" s="33"/>
      <c r="BAZ50" s="33"/>
      <c r="BBD50" s="41"/>
      <c r="BBJ50" s="42"/>
      <c r="BBQ50" s="33"/>
      <c r="BBR50" s="33"/>
      <c r="BBV50" s="41"/>
      <c r="BCB50" s="42"/>
      <c r="BCI50" s="33"/>
      <c r="BCJ50" s="33"/>
      <c r="BCN50" s="41"/>
      <c r="BCT50" s="42"/>
      <c r="BDA50" s="33"/>
      <c r="BDB50" s="33"/>
      <c r="BDF50" s="41"/>
      <c r="BDL50" s="42"/>
      <c r="BDS50" s="33"/>
      <c r="BDT50" s="33"/>
      <c r="BDX50" s="41"/>
      <c r="BED50" s="42"/>
      <c r="BEK50" s="33"/>
      <c r="BEL50" s="33"/>
      <c r="BEP50" s="41"/>
      <c r="BEV50" s="42"/>
      <c r="BFC50" s="33"/>
      <c r="BFD50" s="33"/>
      <c r="BFH50" s="41"/>
      <c r="BFN50" s="42"/>
      <c r="BFU50" s="33"/>
      <c r="BFV50" s="33"/>
      <c r="BFZ50" s="41"/>
      <c r="BGF50" s="42"/>
      <c r="BGM50" s="33"/>
      <c r="BGN50" s="33"/>
      <c r="BGR50" s="41"/>
      <c r="BGX50" s="42"/>
      <c r="BHE50" s="33"/>
      <c r="BHF50" s="33"/>
      <c r="BHJ50" s="41"/>
      <c r="BHP50" s="42"/>
      <c r="BHW50" s="33"/>
      <c r="BHX50" s="33"/>
      <c r="BIB50" s="41"/>
      <c r="BIH50" s="42"/>
      <c r="BIO50" s="33"/>
      <c r="BIP50" s="33"/>
      <c r="BIT50" s="41"/>
      <c r="BIZ50" s="42"/>
      <c r="BJG50" s="33"/>
      <c r="BJH50" s="33"/>
      <c r="BJL50" s="41"/>
      <c r="BJR50" s="42"/>
      <c r="BJY50" s="33"/>
      <c r="BJZ50" s="33"/>
      <c r="BKD50" s="41"/>
      <c r="BKJ50" s="42"/>
      <c r="BKQ50" s="33"/>
      <c r="BKR50" s="33"/>
      <c r="BKV50" s="41"/>
      <c r="BLB50" s="42"/>
      <c r="BLI50" s="33"/>
      <c r="BLJ50" s="33"/>
      <c r="BLN50" s="41"/>
      <c r="BLT50" s="42"/>
      <c r="BMA50" s="33"/>
      <c r="BMB50" s="33"/>
      <c r="BMF50" s="41"/>
      <c r="BML50" s="42"/>
      <c r="BMS50" s="33"/>
      <c r="BMT50" s="33"/>
      <c r="BMX50" s="41"/>
      <c r="BND50" s="42"/>
      <c r="BNK50" s="33"/>
      <c r="BNL50" s="33"/>
      <c r="BNP50" s="41"/>
      <c r="BNV50" s="42"/>
      <c r="BOC50" s="33"/>
      <c r="BOD50" s="33"/>
      <c r="BOH50" s="41"/>
      <c r="BON50" s="42"/>
      <c r="BOU50" s="33"/>
      <c r="BOV50" s="33"/>
      <c r="BOZ50" s="41"/>
      <c r="BPF50" s="42"/>
      <c r="BPM50" s="33"/>
      <c r="BPN50" s="33"/>
      <c r="BPR50" s="41"/>
      <c r="BPX50" s="42"/>
      <c r="BQE50" s="33"/>
      <c r="BQF50" s="33"/>
      <c r="BQJ50" s="41"/>
      <c r="BQP50" s="42"/>
      <c r="BQW50" s="33"/>
      <c r="BQX50" s="33"/>
      <c r="BRB50" s="41"/>
      <c r="BRH50" s="42"/>
      <c r="BRO50" s="33"/>
      <c r="BRP50" s="33"/>
      <c r="BRT50" s="41"/>
      <c r="BRZ50" s="42"/>
      <c r="BSG50" s="33"/>
      <c r="BSH50" s="33"/>
      <c r="BSL50" s="41"/>
      <c r="BSR50" s="42"/>
      <c r="BSY50" s="33"/>
      <c r="BSZ50" s="33"/>
      <c r="BTD50" s="41"/>
      <c r="BTJ50" s="42"/>
      <c r="BTQ50" s="33"/>
      <c r="BTR50" s="33"/>
      <c r="BTV50" s="41"/>
      <c r="BUB50" s="42"/>
      <c r="BUI50" s="33"/>
      <c r="BUJ50" s="33"/>
      <c r="BUN50" s="41"/>
      <c r="BUT50" s="42"/>
      <c r="BVA50" s="33"/>
      <c r="BVB50" s="33"/>
      <c r="BVF50" s="41"/>
      <c r="BVL50" s="42"/>
      <c r="BVS50" s="33"/>
      <c r="BVT50" s="33"/>
      <c r="BVX50" s="41"/>
      <c r="BWD50" s="42"/>
      <c r="BWK50" s="33"/>
      <c r="BWL50" s="33"/>
      <c r="BWP50" s="41"/>
      <c r="BWV50" s="42"/>
      <c r="BXC50" s="33"/>
      <c r="BXD50" s="33"/>
      <c r="BXH50" s="41"/>
      <c r="BXN50" s="42"/>
      <c r="BXU50" s="33"/>
      <c r="BXV50" s="33"/>
      <c r="BXZ50" s="41"/>
      <c r="BYF50" s="42"/>
      <c r="BYM50" s="33"/>
      <c r="BYN50" s="33"/>
      <c r="BYR50" s="41"/>
      <c r="BYX50" s="42"/>
      <c r="BZE50" s="33"/>
      <c r="BZF50" s="33"/>
      <c r="BZJ50" s="41"/>
      <c r="BZP50" s="42"/>
      <c r="BZW50" s="33"/>
      <c r="BZX50" s="33"/>
      <c r="CAB50" s="41"/>
      <c r="CAH50" s="42"/>
      <c r="CAO50" s="33"/>
      <c r="CAP50" s="33"/>
      <c r="CAT50" s="41"/>
      <c r="CAZ50" s="42"/>
      <c r="CBG50" s="33"/>
      <c r="CBH50" s="33"/>
      <c r="CBL50" s="41"/>
      <c r="CBR50" s="42"/>
      <c r="CBY50" s="33"/>
      <c r="CBZ50" s="33"/>
      <c r="CCD50" s="41"/>
      <c r="CCJ50" s="42"/>
      <c r="CCQ50" s="33"/>
      <c r="CCR50" s="33"/>
      <c r="CCV50" s="41"/>
      <c r="CDB50" s="42"/>
      <c r="CDI50" s="33"/>
      <c r="CDJ50" s="33"/>
      <c r="CDN50" s="41"/>
      <c r="CDT50" s="42"/>
      <c r="CEA50" s="33"/>
      <c r="CEB50" s="33"/>
      <c r="CEF50" s="41"/>
      <c r="CEL50" s="42"/>
      <c r="CES50" s="33"/>
      <c r="CET50" s="33"/>
      <c r="CEX50" s="41"/>
      <c r="CFD50" s="42"/>
      <c r="CFK50" s="33"/>
      <c r="CFL50" s="33"/>
      <c r="CFP50" s="41"/>
      <c r="CFV50" s="42"/>
      <c r="CGC50" s="33"/>
      <c r="CGD50" s="33"/>
      <c r="CGH50" s="41"/>
      <c r="CGN50" s="42"/>
      <c r="CGU50" s="33"/>
      <c r="CGV50" s="33"/>
      <c r="CGZ50" s="41"/>
      <c r="CHF50" s="42"/>
      <c r="CHM50" s="33"/>
      <c r="CHN50" s="33"/>
      <c r="CHR50" s="41"/>
      <c r="CHX50" s="42"/>
      <c r="CIE50" s="33"/>
      <c r="CIF50" s="33"/>
      <c r="CIJ50" s="41"/>
      <c r="CIP50" s="42"/>
      <c r="CIW50" s="33"/>
      <c r="CIX50" s="33"/>
      <c r="CJB50" s="41"/>
      <c r="CJH50" s="42"/>
      <c r="CJO50" s="33"/>
      <c r="CJP50" s="33"/>
      <c r="CJT50" s="41"/>
      <c r="CJZ50" s="42"/>
      <c r="CKG50" s="33"/>
      <c r="CKH50" s="33"/>
      <c r="CKL50" s="41"/>
      <c r="CKR50" s="42"/>
      <c r="CKY50" s="33"/>
      <c r="CKZ50" s="33"/>
      <c r="CLD50" s="41"/>
      <c r="CLJ50" s="42"/>
      <c r="CLQ50" s="33"/>
      <c r="CLR50" s="33"/>
      <c r="CLV50" s="41"/>
      <c r="CMB50" s="42"/>
      <c r="CMI50" s="33"/>
      <c r="CMJ50" s="33"/>
      <c r="CMN50" s="41"/>
      <c r="CMT50" s="42"/>
      <c r="CNA50" s="33"/>
      <c r="CNB50" s="33"/>
      <c r="CNF50" s="41"/>
      <c r="CNL50" s="42"/>
      <c r="CNS50" s="33"/>
      <c r="CNT50" s="33"/>
      <c r="CNX50" s="41"/>
      <c r="COD50" s="42"/>
      <c r="COK50" s="33"/>
      <c r="COL50" s="33"/>
      <c r="COP50" s="41"/>
      <c r="COV50" s="42"/>
      <c r="CPC50" s="33"/>
      <c r="CPD50" s="33"/>
      <c r="CPH50" s="41"/>
      <c r="CPN50" s="42"/>
      <c r="CPU50" s="33"/>
      <c r="CPV50" s="33"/>
      <c r="CPZ50" s="41"/>
      <c r="CQF50" s="42"/>
      <c r="CQM50" s="33"/>
      <c r="CQN50" s="33"/>
      <c r="CQR50" s="41"/>
      <c r="CQX50" s="42"/>
      <c r="CRE50" s="33"/>
      <c r="CRF50" s="33"/>
      <c r="CRJ50" s="41"/>
      <c r="CRP50" s="42"/>
      <c r="CRW50" s="33"/>
      <c r="CRX50" s="33"/>
      <c r="CSB50" s="41"/>
      <c r="CSH50" s="42"/>
      <c r="CSO50" s="33"/>
      <c r="CSP50" s="33"/>
      <c r="CST50" s="41"/>
      <c r="CSZ50" s="42"/>
      <c r="CTG50" s="33"/>
      <c r="CTH50" s="33"/>
      <c r="CTL50" s="41"/>
      <c r="CTR50" s="42"/>
      <c r="CTY50" s="33"/>
      <c r="CTZ50" s="33"/>
      <c r="CUD50" s="41"/>
      <c r="CUJ50" s="42"/>
      <c r="CUQ50" s="33"/>
      <c r="CUR50" s="33"/>
      <c r="CUV50" s="41"/>
      <c r="CVB50" s="42"/>
      <c r="CVI50" s="33"/>
      <c r="CVJ50" s="33"/>
      <c r="CVN50" s="41"/>
      <c r="CVT50" s="42"/>
      <c r="CWA50" s="33"/>
      <c r="CWB50" s="33"/>
      <c r="CWF50" s="41"/>
      <c r="CWL50" s="42"/>
      <c r="CWS50" s="33"/>
      <c r="CWT50" s="33"/>
      <c r="CWX50" s="41"/>
      <c r="CXD50" s="42"/>
      <c r="CXK50" s="33"/>
      <c r="CXL50" s="33"/>
      <c r="CXP50" s="41"/>
      <c r="CXV50" s="42"/>
      <c r="CYC50" s="33"/>
      <c r="CYD50" s="33"/>
      <c r="CYH50" s="41"/>
      <c r="CYN50" s="42"/>
      <c r="CYU50" s="33"/>
      <c r="CYV50" s="33"/>
      <c r="CYZ50" s="41"/>
      <c r="CZF50" s="42"/>
      <c r="CZM50" s="33"/>
      <c r="CZN50" s="33"/>
      <c r="CZR50" s="41"/>
      <c r="CZX50" s="42"/>
      <c r="DAE50" s="33"/>
      <c r="DAF50" s="33"/>
      <c r="DAJ50" s="41"/>
      <c r="DAP50" s="42"/>
      <c r="DAW50" s="33"/>
      <c r="DAX50" s="33"/>
      <c r="DBB50" s="41"/>
      <c r="DBH50" s="42"/>
      <c r="DBO50" s="33"/>
      <c r="DBP50" s="33"/>
      <c r="DBT50" s="41"/>
      <c r="DBZ50" s="42"/>
      <c r="DCG50" s="33"/>
      <c r="DCH50" s="33"/>
      <c r="DCL50" s="41"/>
      <c r="DCR50" s="42"/>
      <c r="DCY50" s="33"/>
      <c r="DCZ50" s="33"/>
      <c r="DDD50" s="41"/>
      <c r="DDJ50" s="42"/>
      <c r="DDQ50" s="33"/>
      <c r="DDR50" s="33"/>
      <c r="DDV50" s="41"/>
      <c r="DEB50" s="42"/>
      <c r="DEI50" s="33"/>
      <c r="DEJ50" s="33"/>
      <c r="DEN50" s="41"/>
      <c r="DET50" s="42"/>
      <c r="DFA50" s="33"/>
      <c r="DFB50" s="33"/>
      <c r="DFF50" s="41"/>
      <c r="DFL50" s="42"/>
      <c r="DFS50" s="33"/>
      <c r="DFT50" s="33"/>
      <c r="DFX50" s="41"/>
      <c r="DGD50" s="42"/>
      <c r="DGK50" s="33"/>
      <c r="DGL50" s="33"/>
      <c r="DGP50" s="41"/>
      <c r="DGV50" s="42"/>
      <c r="DHC50" s="33"/>
      <c r="DHD50" s="33"/>
      <c r="DHH50" s="41"/>
      <c r="DHN50" s="42"/>
      <c r="DHU50" s="33"/>
      <c r="DHV50" s="33"/>
      <c r="DHZ50" s="41"/>
      <c r="DIF50" s="42"/>
      <c r="DIM50" s="33"/>
      <c r="DIN50" s="33"/>
      <c r="DIR50" s="41"/>
      <c r="DIX50" s="42"/>
      <c r="DJE50" s="33"/>
      <c r="DJF50" s="33"/>
      <c r="DJJ50" s="41"/>
      <c r="DJP50" s="42"/>
      <c r="DJW50" s="33"/>
      <c r="DJX50" s="33"/>
      <c r="DKB50" s="41"/>
      <c r="DKH50" s="42"/>
      <c r="DKO50" s="33"/>
      <c r="DKP50" s="33"/>
      <c r="DKT50" s="41"/>
      <c r="DKZ50" s="42"/>
      <c r="DLG50" s="33"/>
      <c r="DLH50" s="33"/>
      <c r="DLL50" s="41"/>
      <c r="DLR50" s="42"/>
      <c r="DLY50" s="33"/>
      <c r="DLZ50" s="33"/>
      <c r="DMD50" s="41"/>
      <c r="DMJ50" s="42"/>
      <c r="DMQ50" s="33"/>
      <c r="DMR50" s="33"/>
      <c r="DMV50" s="41"/>
      <c r="DNB50" s="42"/>
      <c r="DNI50" s="33"/>
      <c r="DNJ50" s="33"/>
      <c r="DNN50" s="41"/>
      <c r="DNT50" s="42"/>
      <c r="DOA50" s="33"/>
      <c r="DOB50" s="33"/>
      <c r="DOF50" s="41"/>
      <c r="DOL50" s="42"/>
      <c r="DOS50" s="33"/>
      <c r="DOT50" s="33"/>
      <c r="DOX50" s="41"/>
      <c r="DPD50" s="42"/>
      <c r="DPK50" s="33"/>
      <c r="DPL50" s="33"/>
      <c r="DPP50" s="41"/>
      <c r="DPV50" s="42"/>
      <c r="DQC50" s="33"/>
      <c r="DQD50" s="33"/>
      <c r="DQH50" s="41"/>
      <c r="DQN50" s="42"/>
      <c r="DQU50" s="33"/>
      <c r="DQV50" s="33"/>
      <c r="DQZ50" s="41"/>
      <c r="DRF50" s="42"/>
      <c r="DRM50" s="33"/>
      <c r="DRN50" s="33"/>
      <c r="DRR50" s="41"/>
      <c r="DRX50" s="42"/>
      <c r="DSE50" s="33"/>
      <c r="DSF50" s="33"/>
      <c r="DSJ50" s="41"/>
      <c r="DSP50" s="42"/>
      <c r="DSW50" s="33"/>
      <c r="DSX50" s="33"/>
      <c r="DTB50" s="41"/>
      <c r="DTH50" s="42"/>
      <c r="DTO50" s="33"/>
      <c r="DTP50" s="33"/>
      <c r="DTT50" s="41"/>
      <c r="DTZ50" s="42"/>
      <c r="DUG50" s="33"/>
      <c r="DUH50" s="33"/>
      <c r="DUL50" s="41"/>
      <c r="DUR50" s="42"/>
      <c r="DUY50" s="33"/>
      <c r="DUZ50" s="33"/>
      <c r="DVD50" s="41"/>
      <c r="DVJ50" s="42"/>
      <c r="DVQ50" s="33"/>
      <c r="DVR50" s="33"/>
      <c r="DVV50" s="41"/>
      <c r="DWB50" s="42"/>
      <c r="DWI50" s="33"/>
      <c r="DWJ50" s="33"/>
      <c r="DWN50" s="41"/>
      <c r="DWT50" s="42"/>
      <c r="DXA50" s="33"/>
      <c r="DXB50" s="33"/>
      <c r="DXF50" s="41"/>
      <c r="DXL50" s="42"/>
      <c r="DXS50" s="33"/>
      <c r="DXT50" s="33"/>
      <c r="DXX50" s="41"/>
      <c r="DYD50" s="42"/>
      <c r="DYK50" s="33"/>
      <c r="DYL50" s="33"/>
      <c r="DYP50" s="41"/>
      <c r="DYV50" s="42"/>
      <c r="DZC50" s="33"/>
      <c r="DZD50" s="33"/>
      <c r="DZH50" s="41"/>
      <c r="DZN50" s="42"/>
      <c r="DZU50" s="33"/>
      <c r="DZV50" s="33"/>
      <c r="DZZ50" s="41"/>
      <c r="EAF50" s="42"/>
      <c r="EAM50" s="33"/>
      <c r="EAN50" s="33"/>
      <c r="EAR50" s="41"/>
      <c r="EAX50" s="42"/>
      <c r="EBE50" s="33"/>
      <c r="EBF50" s="33"/>
      <c r="EBJ50" s="41"/>
      <c r="EBP50" s="42"/>
      <c r="EBW50" s="33"/>
      <c r="EBX50" s="33"/>
      <c r="ECB50" s="41"/>
      <c r="ECH50" s="42"/>
      <c r="ECO50" s="33"/>
      <c r="ECP50" s="33"/>
      <c r="ECT50" s="41"/>
      <c r="ECZ50" s="42"/>
      <c r="EDG50" s="33"/>
      <c r="EDH50" s="33"/>
      <c r="EDL50" s="41"/>
      <c r="EDR50" s="42"/>
      <c r="EDY50" s="33"/>
      <c r="EDZ50" s="33"/>
      <c r="EED50" s="41"/>
      <c r="EEJ50" s="42"/>
      <c r="EEQ50" s="33"/>
      <c r="EER50" s="33"/>
      <c r="EEV50" s="41"/>
      <c r="EFB50" s="42"/>
      <c r="EFI50" s="33"/>
      <c r="EFJ50" s="33"/>
      <c r="EFN50" s="41"/>
      <c r="EFT50" s="42"/>
      <c r="EGA50" s="33"/>
      <c r="EGB50" s="33"/>
      <c r="EGF50" s="41"/>
      <c r="EGL50" s="42"/>
      <c r="EGS50" s="33"/>
      <c r="EGT50" s="33"/>
      <c r="EGX50" s="41"/>
      <c r="EHD50" s="42"/>
      <c r="EHK50" s="33"/>
      <c r="EHL50" s="33"/>
      <c r="EHP50" s="41"/>
      <c r="EHV50" s="42"/>
      <c r="EIC50" s="33"/>
      <c r="EID50" s="33"/>
      <c r="EIH50" s="41"/>
      <c r="EIN50" s="42"/>
      <c r="EIU50" s="33"/>
      <c r="EIV50" s="33"/>
      <c r="EIZ50" s="41"/>
      <c r="EJF50" s="42"/>
      <c r="EJM50" s="33"/>
      <c r="EJN50" s="33"/>
      <c r="EJR50" s="41"/>
      <c r="EJX50" s="42"/>
      <c r="EKE50" s="33"/>
      <c r="EKF50" s="33"/>
      <c r="EKJ50" s="41"/>
      <c r="EKP50" s="42"/>
      <c r="EKW50" s="33"/>
      <c r="EKX50" s="33"/>
      <c r="ELB50" s="41"/>
      <c r="ELH50" s="42"/>
      <c r="ELO50" s="33"/>
      <c r="ELP50" s="33"/>
      <c r="ELT50" s="41"/>
      <c r="ELZ50" s="42"/>
      <c r="EMG50" s="33"/>
      <c r="EMH50" s="33"/>
      <c r="EML50" s="41"/>
      <c r="EMR50" s="42"/>
      <c r="EMY50" s="33"/>
      <c r="EMZ50" s="33"/>
      <c r="END50" s="41"/>
      <c r="ENJ50" s="42"/>
      <c r="ENQ50" s="33"/>
      <c r="ENR50" s="33"/>
      <c r="ENV50" s="41"/>
      <c r="EOB50" s="42"/>
      <c r="EOI50" s="33"/>
      <c r="EOJ50" s="33"/>
      <c r="EON50" s="41"/>
      <c r="EOT50" s="42"/>
      <c r="EPA50" s="33"/>
      <c r="EPB50" s="33"/>
      <c r="EPF50" s="41"/>
      <c r="EPL50" s="42"/>
      <c r="EPS50" s="33"/>
      <c r="EPT50" s="33"/>
      <c r="EPX50" s="41"/>
      <c r="EQD50" s="42"/>
      <c r="EQK50" s="33"/>
      <c r="EQL50" s="33"/>
      <c r="EQP50" s="41"/>
      <c r="EQV50" s="42"/>
      <c r="ERC50" s="33"/>
      <c r="ERD50" s="33"/>
      <c r="ERH50" s="41"/>
      <c r="ERN50" s="42"/>
      <c r="ERU50" s="33"/>
      <c r="ERV50" s="33"/>
      <c r="ERZ50" s="41"/>
      <c r="ESF50" s="42"/>
      <c r="ESM50" s="33"/>
      <c r="ESN50" s="33"/>
      <c r="ESR50" s="41"/>
      <c r="ESX50" s="42"/>
      <c r="ETE50" s="33"/>
      <c r="ETF50" s="33"/>
      <c r="ETJ50" s="41"/>
      <c r="ETP50" s="42"/>
      <c r="ETW50" s="33"/>
      <c r="ETX50" s="33"/>
      <c r="EUB50" s="41"/>
      <c r="EUH50" s="42"/>
      <c r="EUO50" s="33"/>
      <c r="EUP50" s="33"/>
      <c r="EUT50" s="41"/>
      <c r="EUZ50" s="42"/>
      <c r="EVG50" s="33"/>
      <c r="EVH50" s="33"/>
      <c r="EVL50" s="41"/>
      <c r="EVR50" s="42"/>
      <c r="EVY50" s="33"/>
      <c r="EVZ50" s="33"/>
      <c r="EWD50" s="41"/>
      <c r="EWJ50" s="42"/>
      <c r="EWQ50" s="33"/>
      <c r="EWR50" s="33"/>
      <c r="EWV50" s="41"/>
      <c r="EXB50" s="42"/>
      <c r="EXI50" s="33"/>
      <c r="EXJ50" s="33"/>
      <c r="EXN50" s="41"/>
      <c r="EXT50" s="42"/>
      <c r="EYA50" s="33"/>
      <c r="EYB50" s="33"/>
      <c r="EYF50" s="41"/>
      <c r="EYL50" s="42"/>
      <c r="EYS50" s="33"/>
      <c r="EYT50" s="33"/>
      <c r="EYX50" s="41"/>
      <c r="EZD50" s="42"/>
      <c r="EZK50" s="33"/>
      <c r="EZL50" s="33"/>
      <c r="EZP50" s="41"/>
      <c r="EZV50" s="42"/>
      <c r="FAC50" s="33"/>
      <c r="FAD50" s="33"/>
      <c r="FAH50" s="41"/>
      <c r="FAN50" s="42"/>
      <c r="FAU50" s="33"/>
      <c r="FAV50" s="33"/>
      <c r="FAZ50" s="41"/>
      <c r="FBF50" s="42"/>
      <c r="FBM50" s="33"/>
      <c r="FBN50" s="33"/>
      <c r="FBR50" s="41"/>
      <c r="FBX50" s="42"/>
      <c r="FCE50" s="33"/>
      <c r="FCF50" s="33"/>
      <c r="FCJ50" s="41"/>
      <c r="FCP50" s="42"/>
      <c r="FCW50" s="33"/>
      <c r="FCX50" s="33"/>
      <c r="FDB50" s="41"/>
      <c r="FDH50" s="42"/>
      <c r="FDO50" s="33"/>
      <c r="FDP50" s="33"/>
      <c r="FDT50" s="41"/>
      <c r="FDZ50" s="42"/>
      <c r="FEG50" s="33"/>
      <c r="FEH50" s="33"/>
      <c r="FEL50" s="41"/>
      <c r="FER50" s="42"/>
      <c r="FEY50" s="33"/>
      <c r="FEZ50" s="33"/>
      <c r="FFD50" s="41"/>
      <c r="FFJ50" s="42"/>
      <c r="FFQ50" s="33"/>
      <c r="FFR50" s="33"/>
      <c r="FFV50" s="41"/>
      <c r="FGB50" s="42"/>
      <c r="FGI50" s="33"/>
      <c r="FGJ50" s="33"/>
      <c r="FGN50" s="41"/>
      <c r="FGT50" s="42"/>
      <c r="FHA50" s="33"/>
      <c r="FHB50" s="33"/>
      <c r="FHF50" s="41"/>
      <c r="FHL50" s="42"/>
      <c r="FHS50" s="33"/>
      <c r="FHT50" s="33"/>
      <c r="FHX50" s="41"/>
      <c r="FID50" s="42"/>
      <c r="FIK50" s="33"/>
      <c r="FIL50" s="33"/>
      <c r="FIP50" s="41"/>
      <c r="FIV50" s="42"/>
      <c r="FJC50" s="33"/>
      <c r="FJD50" s="33"/>
      <c r="FJH50" s="41"/>
      <c r="FJN50" s="42"/>
      <c r="FJU50" s="33"/>
      <c r="FJV50" s="33"/>
      <c r="FJZ50" s="41"/>
      <c r="FKF50" s="42"/>
      <c r="FKM50" s="33"/>
      <c r="FKN50" s="33"/>
      <c r="FKR50" s="41"/>
      <c r="FKX50" s="42"/>
      <c r="FLE50" s="33"/>
      <c r="FLF50" s="33"/>
      <c r="FLJ50" s="41"/>
      <c r="FLP50" s="42"/>
      <c r="FLW50" s="33"/>
      <c r="FLX50" s="33"/>
      <c r="FMB50" s="41"/>
      <c r="FMH50" s="42"/>
      <c r="FMO50" s="33"/>
      <c r="FMP50" s="33"/>
      <c r="FMT50" s="41"/>
      <c r="FMZ50" s="42"/>
      <c r="FNG50" s="33"/>
      <c r="FNH50" s="33"/>
      <c r="FNL50" s="41"/>
      <c r="FNR50" s="42"/>
      <c r="FNY50" s="33"/>
      <c r="FNZ50" s="33"/>
      <c r="FOD50" s="41"/>
      <c r="FOJ50" s="42"/>
      <c r="FOQ50" s="33"/>
      <c r="FOR50" s="33"/>
      <c r="FOV50" s="41"/>
      <c r="FPB50" s="42"/>
      <c r="FPI50" s="33"/>
      <c r="FPJ50" s="33"/>
      <c r="FPN50" s="41"/>
      <c r="FPT50" s="42"/>
      <c r="FQA50" s="33"/>
      <c r="FQB50" s="33"/>
      <c r="FQF50" s="41"/>
      <c r="FQL50" s="42"/>
      <c r="FQS50" s="33"/>
      <c r="FQT50" s="33"/>
      <c r="FQX50" s="41"/>
      <c r="FRD50" s="42"/>
      <c r="FRK50" s="33"/>
      <c r="FRL50" s="33"/>
      <c r="FRP50" s="41"/>
      <c r="FRV50" s="42"/>
      <c r="FSC50" s="33"/>
      <c r="FSD50" s="33"/>
      <c r="FSH50" s="41"/>
      <c r="FSN50" s="42"/>
      <c r="FSU50" s="33"/>
      <c r="FSV50" s="33"/>
      <c r="FSZ50" s="41"/>
      <c r="FTF50" s="42"/>
      <c r="FTM50" s="33"/>
      <c r="FTN50" s="33"/>
      <c r="FTR50" s="41"/>
      <c r="FTX50" s="42"/>
      <c r="FUE50" s="33"/>
      <c r="FUF50" s="33"/>
      <c r="FUJ50" s="41"/>
      <c r="FUP50" s="42"/>
      <c r="FUW50" s="33"/>
      <c r="FUX50" s="33"/>
      <c r="FVB50" s="41"/>
      <c r="FVH50" s="42"/>
      <c r="FVO50" s="33"/>
      <c r="FVP50" s="33"/>
      <c r="FVT50" s="41"/>
      <c r="FVZ50" s="42"/>
      <c r="FWG50" s="33"/>
      <c r="FWH50" s="33"/>
      <c r="FWL50" s="41"/>
      <c r="FWR50" s="42"/>
      <c r="FWY50" s="33"/>
      <c r="FWZ50" s="33"/>
      <c r="FXD50" s="41"/>
      <c r="FXJ50" s="42"/>
      <c r="FXQ50" s="33"/>
      <c r="FXR50" s="33"/>
      <c r="FXV50" s="41"/>
      <c r="FYB50" s="42"/>
      <c r="FYI50" s="33"/>
      <c r="FYJ50" s="33"/>
      <c r="FYN50" s="41"/>
      <c r="FYT50" s="42"/>
      <c r="FZA50" s="33"/>
      <c r="FZB50" s="33"/>
      <c r="FZF50" s="41"/>
      <c r="FZL50" s="42"/>
      <c r="FZS50" s="33"/>
      <c r="FZT50" s="33"/>
      <c r="FZX50" s="41"/>
      <c r="GAD50" s="42"/>
      <c r="GAK50" s="33"/>
      <c r="GAL50" s="33"/>
      <c r="GAP50" s="41"/>
      <c r="GAV50" s="42"/>
      <c r="GBC50" s="33"/>
      <c r="GBD50" s="33"/>
      <c r="GBH50" s="41"/>
      <c r="GBN50" s="42"/>
      <c r="GBU50" s="33"/>
      <c r="GBV50" s="33"/>
      <c r="GBZ50" s="41"/>
      <c r="GCF50" s="42"/>
      <c r="GCM50" s="33"/>
      <c r="GCN50" s="33"/>
      <c r="GCR50" s="41"/>
      <c r="GCX50" s="42"/>
      <c r="GDE50" s="33"/>
      <c r="GDF50" s="33"/>
      <c r="GDJ50" s="41"/>
      <c r="GDP50" s="42"/>
      <c r="GDW50" s="33"/>
      <c r="GDX50" s="33"/>
      <c r="GEB50" s="41"/>
      <c r="GEH50" s="42"/>
      <c r="GEO50" s="33"/>
      <c r="GEP50" s="33"/>
      <c r="GET50" s="41"/>
      <c r="GEZ50" s="42"/>
      <c r="GFG50" s="33"/>
      <c r="GFH50" s="33"/>
      <c r="GFL50" s="41"/>
      <c r="GFR50" s="42"/>
      <c r="GFY50" s="33"/>
      <c r="GFZ50" s="33"/>
      <c r="GGD50" s="41"/>
      <c r="GGJ50" s="42"/>
      <c r="GGQ50" s="33"/>
      <c r="GGR50" s="33"/>
      <c r="GGV50" s="41"/>
      <c r="GHB50" s="42"/>
      <c r="GHI50" s="33"/>
      <c r="GHJ50" s="33"/>
      <c r="GHN50" s="41"/>
      <c r="GHT50" s="42"/>
      <c r="GIA50" s="33"/>
      <c r="GIB50" s="33"/>
      <c r="GIF50" s="41"/>
      <c r="GIL50" s="42"/>
      <c r="GIS50" s="33"/>
      <c r="GIT50" s="33"/>
      <c r="GIX50" s="41"/>
      <c r="GJD50" s="42"/>
      <c r="GJK50" s="33"/>
      <c r="GJL50" s="33"/>
      <c r="GJP50" s="41"/>
      <c r="GJV50" s="42"/>
      <c r="GKC50" s="33"/>
      <c r="GKD50" s="33"/>
      <c r="GKH50" s="41"/>
      <c r="GKN50" s="42"/>
      <c r="GKU50" s="33"/>
      <c r="GKV50" s="33"/>
      <c r="GKZ50" s="41"/>
      <c r="GLF50" s="42"/>
      <c r="GLM50" s="33"/>
      <c r="GLN50" s="33"/>
      <c r="GLR50" s="41"/>
      <c r="GLX50" s="42"/>
      <c r="GME50" s="33"/>
      <c r="GMF50" s="33"/>
      <c r="GMJ50" s="41"/>
      <c r="GMP50" s="42"/>
      <c r="GMW50" s="33"/>
      <c r="GMX50" s="33"/>
      <c r="GNB50" s="41"/>
      <c r="GNH50" s="42"/>
      <c r="GNO50" s="33"/>
      <c r="GNP50" s="33"/>
      <c r="GNT50" s="41"/>
      <c r="GNZ50" s="42"/>
      <c r="GOG50" s="33"/>
      <c r="GOH50" s="33"/>
      <c r="GOL50" s="41"/>
      <c r="GOR50" s="42"/>
      <c r="GOY50" s="33"/>
      <c r="GOZ50" s="33"/>
      <c r="GPD50" s="41"/>
      <c r="GPJ50" s="42"/>
      <c r="GPQ50" s="33"/>
      <c r="GPR50" s="33"/>
      <c r="GPV50" s="41"/>
      <c r="GQB50" s="42"/>
      <c r="GQI50" s="33"/>
      <c r="GQJ50" s="33"/>
      <c r="GQN50" s="41"/>
      <c r="GQT50" s="42"/>
      <c r="GRA50" s="33"/>
      <c r="GRB50" s="33"/>
      <c r="GRF50" s="41"/>
      <c r="GRL50" s="42"/>
      <c r="GRS50" s="33"/>
      <c r="GRT50" s="33"/>
      <c r="GRX50" s="41"/>
      <c r="GSD50" s="42"/>
      <c r="GSK50" s="33"/>
      <c r="GSL50" s="33"/>
      <c r="GSP50" s="41"/>
      <c r="GSV50" s="42"/>
      <c r="GTC50" s="33"/>
      <c r="GTD50" s="33"/>
      <c r="GTH50" s="41"/>
      <c r="GTN50" s="42"/>
      <c r="GTU50" s="33"/>
      <c r="GTV50" s="33"/>
      <c r="GTZ50" s="41"/>
      <c r="GUF50" s="42"/>
      <c r="GUM50" s="33"/>
      <c r="GUN50" s="33"/>
      <c r="GUR50" s="41"/>
      <c r="GUX50" s="42"/>
      <c r="GVE50" s="33"/>
      <c r="GVF50" s="33"/>
      <c r="GVJ50" s="41"/>
      <c r="GVP50" s="42"/>
      <c r="GVW50" s="33"/>
      <c r="GVX50" s="33"/>
      <c r="GWB50" s="41"/>
      <c r="GWH50" s="42"/>
      <c r="GWO50" s="33"/>
      <c r="GWP50" s="33"/>
      <c r="GWT50" s="41"/>
      <c r="GWZ50" s="42"/>
      <c r="GXG50" s="33"/>
      <c r="GXH50" s="33"/>
      <c r="GXL50" s="41"/>
      <c r="GXR50" s="42"/>
      <c r="GXY50" s="33"/>
      <c r="GXZ50" s="33"/>
      <c r="GYD50" s="41"/>
      <c r="GYJ50" s="42"/>
      <c r="GYQ50" s="33"/>
      <c r="GYR50" s="33"/>
      <c r="GYV50" s="41"/>
      <c r="GZB50" s="42"/>
      <c r="GZI50" s="33"/>
      <c r="GZJ50" s="33"/>
      <c r="GZN50" s="41"/>
      <c r="GZT50" s="42"/>
      <c r="HAA50" s="33"/>
      <c r="HAB50" s="33"/>
      <c r="HAF50" s="41"/>
      <c r="HAL50" s="42"/>
      <c r="HAS50" s="33"/>
      <c r="HAT50" s="33"/>
      <c r="HAX50" s="41"/>
      <c r="HBD50" s="42"/>
      <c r="HBK50" s="33"/>
      <c r="HBL50" s="33"/>
      <c r="HBP50" s="41"/>
      <c r="HBV50" s="42"/>
      <c r="HCC50" s="33"/>
      <c r="HCD50" s="33"/>
      <c r="HCH50" s="41"/>
      <c r="HCN50" s="42"/>
      <c r="HCU50" s="33"/>
      <c r="HCV50" s="33"/>
      <c r="HCZ50" s="41"/>
      <c r="HDF50" s="42"/>
      <c r="HDM50" s="33"/>
      <c r="HDN50" s="33"/>
      <c r="HDR50" s="41"/>
      <c r="HDX50" s="42"/>
      <c r="HEE50" s="33"/>
      <c r="HEF50" s="33"/>
      <c r="HEJ50" s="41"/>
      <c r="HEP50" s="42"/>
      <c r="HEW50" s="33"/>
      <c r="HEX50" s="33"/>
      <c r="HFB50" s="41"/>
      <c r="HFH50" s="42"/>
      <c r="HFO50" s="33"/>
      <c r="HFP50" s="33"/>
      <c r="HFT50" s="41"/>
      <c r="HFZ50" s="42"/>
      <c r="HGG50" s="33"/>
      <c r="HGH50" s="33"/>
      <c r="HGL50" s="41"/>
      <c r="HGR50" s="42"/>
      <c r="HGY50" s="33"/>
      <c r="HGZ50" s="33"/>
      <c r="HHD50" s="41"/>
      <c r="HHJ50" s="42"/>
      <c r="HHQ50" s="33"/>
      <c r="HHR50" s="33"/>
      <c r="HHV50" s="41"/>
      <c r="HIB50" s="42"/>
      <c r="HII50" s="33"/>
      <c r="HIJ50" s="33"/>
      <c r="HIN50" s="41"/>
      <c r="HIT50" s="42"/>
      <c r="HJA50" s="33"/>
      <c r="HJB50" s="33"/>
      <c r="HJF50" s="41"/>
      <c r="HJL50" s="42"/>
      <c r="HJS50" s="33"/>
      <c r="HJT50" s="33"/>
      <c r="HJX50" s="41"/>
      <c r="HKD50" s="42"/>
      <c r="HKK50" s="33"/>
      <c r="HKL50" s="33"/>
      <c r="HKP50" s="41"/>
      <c r="HKV50" s="42"/>
      <c r="HLC50" s="33"/>
      <c r="HLD50" s="33"/>
      <c r="HLH50" s="41"/>
      <c r="HLN50" s="42"/>
      <c r="HLU50" s="33"/>
      <c r="HLV50" s="33"/>
      <c r="HLZ50" s="41"/>
      <c r="HMF50" s="42"/>
      <c r="HMM50" s="33"/>
      <c r="HMN50" s="33"/>
      <c r="HMR50" s="41"/>
      <c r="HMX50" s="42"/>
      <c r="HNE50" s="33"/>
      <c r="HNF50" s="33"/>
      <c r="HNJ50" s="41"/>
      <c r="HNP50" s="42"/>
      <c r="HNW50" s="33"/>
      <c r="HNX50" s="33"/>
      <c r="HOB50" s="41"/>
      <c r="HOH50" s="42"/>
      <c r="HOO50" s="33"/>
      <c r="HOP50" s="33"/>
      <c r="HOT50" s="41"/>
      <c r="HOZ50" s="42"/>
      <c r="HPG50" s="33"/>
      <c r="HPH50" s="33"/>
      <c r="HPL50" s="41"/>
      <c r="HPR50" s="42"/>
      <c r="HPY50" s="33"/>
      <c r="HPZ50" s="33"/>
      <c r="HQD50" s="41"/>
      <c r="HQJ50" s="42"/>
      <c r="HQQ50" s="33"/>
      <c r="HQR50" s="33"/>
      <c r="HQV50" s="41"/>
      <c r="HRB50" s="42"/>
      <c r="HRI50" s="33"/>
      <c r="HRJ50" s="33"/>
      <c r="HRN50" s="41"/>
      <c r="HRT50" s="42"/>
      <c r="HSA50" s="33"/>
      <c r="HSB50" s="33"/>
      <c r="HSF50" s="41"/>
      <c r="HSL50" s="42"/>
      <c r="HSS50" s="33"/>
      <c r="HST50" s="33"/>
      <c r="HSX50" s="41"/>
      <c r="HTD50" s="42"/>
      <c r="HTK50" s="33"/>
      <c r="HTL50" s="33"/>
      <c r="HTP50" s="41"/>
      <c r="HTV50" s="42"/>
      <c r="HUC50" s="33"/>
      <c r="HUD50" s="33"/>
      <c r="HUH50" s="41"/>
      <c r="HUN50" s="42"/>
      <c r="HUU50" s="33"/>
      <c r="HUV50" s="33"/>
      <c r="HUZ50" s="41"/>
      <c r="HVF50" s="42"/>
      <c r="HVM50" s="33"/>
      <c r="HVN50" s="33"/>
      <c r="HVR50" s="41"/>
      <c r="HVX50" s="42"/>
      <c r="HWE50" s="33"/>
      <c r="HWF50" s="33"/>
      <c r="HWJ50" s="41"/>
      <c r="HWP50" s="42"/>
      <c r="HWW50" s="33"/>
      <c r="HWX50" s="33"/>
      <c r="HXB50" s="41"/>
      <c r="HXH50" s="42"/>
      <c r="HXO50" s="33"/>
      <c r="HXP50" s="33"/>
      <c r="HXT50" s="41"/>
      <c r="HXZ50" s="42"/>
      <c r="HYG50" s="33"/>
      <c r="HYH50" s="33"/>
      <c r="HYL50" s="41"/>
      <c r="HYR50" s="42"/>
      <c r="HYY50" s="33"/>
      <c r="HYZ50" s="33"/>
      <c r="HZD50" s="41"/>
      <c r="HZJ50" s="42"/>
      <c r="HZQ50" s="33"/>
      <c r="HZR50" s="33"/>
      <c r="HZV50" s="41"/>
      <c r="IAB50" s="42"/>
      <c r="IAI50" s="33"/>
      <c r="IAJ50" s="33"/>
      <c r="IAN50" s="41"/>
      <c r="IAT50" s="42"/>
      <c r="IBA50" s="33"/>
      <c r="IBB50" s="33"/>
      <c r="IBF50" s="41"/>
      <c r="IBL50" s="42"/>
      <c r="IBS50" s="33"/>
      <c r="IBT50" s="33"/>
      <c r="IBX50" s="41"/>
      <c r="ICD50" s="42"/>
      <c r="ICK50" s="33"/>
      <c r="ICL50" s="33"/>
      <c r="ICP50" s="41"/>
      <c r="ICV50" s="42"/>
      <c r="IDC50" s="33"/>
      <c r="IDD50" s="33"/>
      <c r="IDH50" s="41"/>
      <c r="IDN50" s="42"/>
      <c r="IDU50" s="33"/>
      <c r="IDV50" s="33"/>
      <c r="IDZ50" s="41"/>
      <c r="IEF50" s="42"/>
      <c r="IEM50" s="33"/>
      <c r="IEN50" s="33"/>
      <c r="IER50" s="41"/>
      <c r="IEX50" s="42"/>
      <c r="IFE50" s="33"/>
      <c r="IFF50" s="33"/>
      <c r="IFJ50" s="41"/>
      <c r="IFP50" s="42"/>
      <c r="IFW50" s="33"/>
      <c r="IFX50" s="33"/>
      <c r="IGB50" s="41"/>
      <c r="IGH50" s="42"/>
      <c r="IGO50" s="33"/>
      <c r="IGP50" s="33"/>
      <c r="IGT50" s="41"/>
      <c r="IGZ50" s="42"/>
      <c r="IHG50" s="33"/>
      <c r="IHH50" s="33"/>
      <c r="IHL50" s="41"/>
      <c r="IHR50" s="42"/>
      <c r="IHY50" s="33"/>
      <c r="IHZ50" s="33"/>
      <c r="IID50" s="41"/>
      <c r="IIJ50" s="42"/>
      <c r="IIQ50" s="33"/>
      <c r="IIR50" s="33"/>
      <c r="IIV50" s="41"/>
      <c r="IJB50" s="42"/>
      <c r="IJI50" s="33"/>
      <c r="IJJ50" s="33"/>
      <c r="IJN50" s="41"/>
      <c r="IJT50" s="42"/>
      <c r="IKA50" s="33"/>
      <c r="IKB50" s="33"/>
      <c r="IKF50" s="41"/>
      <c r="IKL50" s="42"/>
      <c r="IKS50" s="33"/>
      <c r="IKT50" s="33"/>
      <c r="IKX50" s="41"/>
      <c r="ILD50" s="42"/>
      <c r="ILK50" s="33"/>
      <c r="ILL50" s="33"/>
      <c r="ILP50" s="41"/>
      <c r="ILV50" s="42"/>
      <c r="IMC50" s="33"/>
      <c r="IMD50" s="33"/>
      <c r="IMH50" s="41"/>
      <c r="IMN50" s="42"/>
      <c r="IMU50" s="33"/>
      <c r="IMV50" s="33"/>
      <c r="IMZ50" s="41"/>
      <c r="INF50" s="42"/>
      <c r="INM50" s="33"/>
      <c r="INN50" s="33"/>
      <c r="INR50" s="41"/>
      <c r="INX50" s="42"/>
      <c r="IOE50" s="33"/>
      <c r="IOF50" s="33"/>
      <c r="IOJ50" s="41"/>
      <c r="IOP50" s="42"/>
      <c r="IOW50" s="33"/>
      <c r="IOX50" s="33"/>
      <c r="IPB50" s="41"/>
      <c r="IPH50" s="42"/>
      <c r="IPO50" s="33"/>
      <c r="IPP50" s="33"/>
      <c r="IPT50" s="41"/>
      <c r="IPZ50" s="42"/>
      <c r="IQG50" s="33"/>
      <c r="IQH50" s="33"/>
      <c r="IQL50" s="41"/>
      <c r="IQR50" s="42"/>
      <c r="IQY50" s="33"/>
      <c r="IQZ50" s="33"/>
      <c r="IRD50" s="41"/>
      <c r="IRJ50" s="42"/>
      <c r="IRQ50" s="33"/>
      <c r="IRR50" s="33"/>
      <c r="IRV50" s="41"/>
      <c r="ISB50" s="42"/>
      <c r="ISI50" s="33"/>
      <c r="ISJ50" s="33"/>
      <c r="ISN50" s="41"/>
      <c r="IST50" s="42"/>
      <c r="ITA50" s="33"/>
      <c r="ITB50" s="33"/>
      <c r="ITF50" s="41"/>
      <c r="ITL50" s="42"/>
      <c r="ITS50" s="33"/>
      <c r="ITT50" s="33"/>
      <c r="ITX50" s="41"/>
      <c r="IUD50" s="42"/>
      <c r="IUK50" s="33"/>
      <c r="IUL50" s="33"/>
      <c r="IUP50" s="41"/>
      <c r="IUV50" s="42"/>
      <c r="IVC50" s="33"/>
      <c r="IVD50" s="33"/>
      <c r="IVH50" s="41"/>
      <c r="IVN50" s="42"/>
      <c r="IVU50" s="33"/>
      <c r="IVV50" s="33"/>
      <c r="IVZ50" s="41"/>
      <c r="IWF50" s="42"/>
      <c r="IWM50" s="33"/>
      <c r="IWN50" s="33"/>
      <c r="IWR50" s="41"/>
      <c r="IWX50" s="42"/>
      <c r="IXE50" s="33"/>
      <c r="IXF50" s="33"/>
      <c r="IXJ50" s="41"/>
      <c r="IXP50" s="42"/>
      <c r="IXW50" s="33"/>
      <c r="IXX50" s="33"/>
      <c r="IYB50" s="41"/>
      <c r="IYH50" s="42"/>
      <c r="IYO50" s="33"/>
      <c r="IYP50" s="33"/>
      <c r="IYT50" s="41"/>
      <c r="IYZ50" s="42"/>
      <c r="IZG50" s="33"/>
      <c r="IZH50" s="33"/>
      <c r="IZL50" s="41"/>
      <c r="IZR50" s="42"/>
      <c r="IZY50" s="33"/>
      <c r="IZZ50" s="33"/>
      <c r="JAD50" s="41"/>
      <c r="JAJ50" s="42"/>
      <c r="JAQ50" s="33"/>
      <c r="JAR50" s="33"/>
      <c r="JAV50" s="41"/>
      <c r="JBB50" s="42"/>
      <c r="JBI50" s="33"/>
      <c r="JBJ50" s="33"/>
      <c r="JBN50" s="41"/>
      <c r="JBT50" s="42"/>
      <c r="JCA50" s="33"/>
      <c r="JCB50" s="33"/>
      <c r="JCF50" s="41"/>
      <c r="JCL50" s="42"/>
      <c r="JCS50" s="33"/>
      <c r="JCT50" s="33"/>
      <c r="JCX50" s="41"/>
      <c r="JDD50" s="42"/>
      <c r="JDK50" s="33"/>
      <c r="JDL50" s="33"/>
      <c r="JDP50" s="41"/>
      <c r="JDV50" s="42"/>
      <c r="JEC50" s="33"/>
      <c r="JED50" s="33"/>
      <c r="JEH50" s="41"/>
      <c r="JEN50" s="42"/>
      <c r="JEU50" s="33"/>
      <c r="JEV50" s="33"/>
      <c r="JEZ50" s="41"/>
      <c r="JFF50" s="42"/>
      <c r="JFM50" s="33"/>
      <c r="JFN50" s="33"/>
      <c r="JFR50" s="41"/>
      <c r="JFX50" s="42"/>
      <c r="JGE50" s="33"/>
      <c r="JGF50" s="33"/>
      <c r="JGJ50" s="41"/>
      <c r="JGP50" s="42"/>
      <c r="JGW50" s="33"/>
      <c r="JGX50" s="33"/>
      <c r="JHB50" s="41"/>
      <c r="JHH50" s="42"/>
      <c r="JHO50" s="33"/>
      <c r="JHP50" s="33"/>
      <c r="JHT50" s="41"/>
      <c r="JHZ50" s="42"/>
      <c r="JIG50" s="33"/>
      <c r="JIH50" s="33"/>
      <c r="JIL50" s="41"/>
      <c r="JIR50" s="42"/>
      <c r="JIY50" s="33"/>
      <c r="JIZ50" s="33"/>
      <c r="JJD50" s="41"/>
      <c r="JJJ50" s="42"/>
      <c r="JJQ50" s="33"/>
      <c r="JJR50" s="33"/>
      <c r="JJV50" s="41"/>
      <c r="JKB50" s="42"/>
      <c r="JKI50" s="33"/>
      <c r="JKJ50" s="33"/>
      <c r="JKN50" s="41"/>
      <c r="JKT50" s="42"/>
      <c r="JLA50" s="33"/>
      <c r="JLB50" s="33"/>
      <c r="JLF50" s="41"/>
      <c r="JLL50" s="42"/>
      <c r="JLS50" s="33"/>
      <c r="JLT50" s="33"/>
      <c r="JLX50" s="41"/>
      <c r="JMD50" s="42"/>
      <c r="JMK50" s="33"/>
      <c r="JML50" s="33"/>
      <c r="JMP50" s="41"/>
      <c r="JMV50" s="42"/>
      <c r="JNC50" s="33"/>
      <c r="JND50" s="33"/>
      <c r="JNH50" s="41"/>
      <c r="JNN50" s="42"/>
      <c r="JNU50" s="33"/>
      <c r="JNV50" s="33"/>
      <c r="JNZ50" s="41"/>
      <c r="JOF50" s="42"/>
      <c r="JOM50" s="33"/>
      <c r="JON50" s="33"/>
      <c r="JOR50" s="41"/>
      <c r="JOX50" s="42"/>
      <c r="JPE50" s="33"/>
      <c r="JPF50" s="33"/>
      <c r="JPJ50" s="41"/>
      <c r="JPP50" s="42"/>
      <c r="JPW50" s="33"/>
      <c r="JPX50" s="33"/>
      <c r="JQB50" s="41"/>
      <c r="JQH50" s="42"/>
      <c r="JQO50" s="33"/>
      <c r="JQP50" s="33"/>
      <c r="JQT50" s="41"/>
      <c r="JQZ50" s="42"/>
      <c r="JRG50" s="33"/>
      <c r="JRH50" s="33"/>
      <c r="JRL50" s="41"/>
      <c r="JRR50" s="42"/>
      <c r="JRY50" s="33"/>
      <c r="JRZ50" s="33"/>
      <c r="JSD50" s="41"/>
      <c r="JSJ50" s="42"/>
      <c r="JSQ50" s="33"/>
      <c r="JSR50" s="33"/>
      <c r="JSV50" s="41"/>
      <c r="JTB50" s="42"/>
      <c r="JTI50" s="33"/>
      <c r="JTJ50" s="33"/>
      <c r="JTN50" s="41"/>
      <c r="JTT50" s="42"/>
      <c r="JUA50" s="33"/>
      <c r="JUB50" s="33"/>
      <c r="JUF50" s="41"/>
      <c r="JUL50" s="42"/>
      <c r="JUS50" s="33"/>
      <c r="JUT50" s="33"/>
      <c r="JUX50" s="41"/>
      <c r="JVD50" s="42"/>
      <c r="JVK50" s="33"/>
      <c r="JVL50" s="33"/>
      <c r="JVP50" s="41"/>
      <c r="JVV50" s="42"/>
      <c r="JWC50" s="33"/>
      <c r="JWD50" s="33"/>
      <c r="JWH50" s="41"/>
      <c r="JWN50" s="42"/>
      <c r="JWU50" s="33"/>
      <c r="JWV50" s="33"/>
      <c r="JWZ50" s="41"/>
      <c r="JXF50" s="42"/>
      <c r="JXM50" s="33"/>
      <c r="JXN50" s="33"/>
      <c r="JXR50" s="41"/>
      <c r="JXX50" s="42"/>
      <c r="JYE50" s="33"/>
      <c r="JYF50" s="33"/>
      <c r="JYJ50" s="41"/>
      <c r="JYP50" s="42"/>
      <c r="JYW50" s="33"/>
      <c r="JYX50" s="33"/>
      <c r="JZB50" s="41"/>
      <c r="JZH50" s="42"/>
      <c r="JZO50" s="33"/>
      <c r="JZP50" s="33"/>
      <c r="JZT50" s="41"/>
      <c r="JZZ50" s="42"/>
      <c r="KAG50" s="33"/>
      <c r="KAH50" s="33"/>
      <c r="KAL50" s="41"/>
      <c r="KAR50" s="42"/>
      <c r="KAY50" s="33"/>
      <c r="KAZ50" s="33"/>
      <c r="KBD50" s="41"/>
      <c r="KBJ50" s="42"/>
      <c r="KBQ50" s="33"/>
      <c r="KBR50" s="33"/>
      <c r="KBV50" s="41"/>
      <c r="KCB50" s="42"/>
      <c r="KCI50" s="33"/>
      <c r="KCJ50" s="33"/>
      <c r="KCN50" s="41"/>
      <c r="KCT50" s="42"/>
      <c r="KDA50" s="33"/>
      <c r="KDB50" s="33"/>
      <c r="KDF50" s="41"/>
      <c r="KDL50" s="42"/>
      <c r="KDS50" s="33"/>
      <c r="KDT50" s="33"/>
      <c r="KDX50" s="41"/>
      <c r="KED50" s="42"/>
      <c r="KEK50" s="33"/>
      <c r="KEL50" s="33"/>
      <c r="KEP50" s="41"/>
      <c r="KEV50" s="42"/>
      <c r="KFC50" s="33"/>
      <c r="KFD50" s="33"/>
      <c r="KFH50" s="41"/>
      <c r="KFN50" s="42"/>
      <c r="KFU50" s="33"/>
      <c r="KFV50" s="33"/>
      <c r="KFZ50" s="41"/>
      <c r="KGF50" s="42"/>
      <c r="KGM50" s="33"/>
      <c r="KGN50" s="33"/>
      <c r="KGR50" s="41"/>
      <c r="KGX50" s="42"/>
      <c r="KHE50" s="33"/>
      <c r="KHF50" s="33"/>
      <c r="KHJ50" s="41"/>
      <c r="KHP50" s="42"/>
      <c r="KHW50" s="33"/>
      <c r="KHX50" s="33"/>
      <c r="KIB50" s="41"/>
      <c r="KIH50" s="42"/>
      <c r="KIO50" s="33"/>
      <c r="KIP50" s="33"/>
      <c r="KIT50" s="41"/>
      <c r="KIZ50" s="42"/>
      <c r="KJG50" s="33"/>
      <c r="KJH50" s="33"/>
      <c r="KJL50" s="41"/>
      <c r="KJR50" s="42"/>
      <c r="KJY50" s="33"/>
      <c r="KJZ50" s="33"/>
      <c r="KKD50" s="41"/>
      <c r="KKJ50" s="42"/>
      <c r="KKQ50" s="33"/>
      <c r="KKR50" s="33"/>
      <c r="KKV50" s="41"/>
      <c r="KLB50" s="42"/>
      <c r="KLI50" s="33"/>
      <c r="KLJ50" s="33"/>
      <c r="KLN50" s="41"/>
      <c r="KLT50" s="42"/>
      <c r="KMA50" s="33"/>
      <c r="KMB50" s="33"/>
      <c r="KMF50" s="41"/>
      <c r="KML50" s="42"/>
      <c r="KMS50" s="33"/>
      <c r="KMT50" s="33"/>
      <c r="KMX50" s="41"/>
      <c r="KND50" s="42"/>
      <c r="KNK50" s="33"/>
      <c r="KNL50" s="33"/>
      <c r="KNP50" s="41"/>
      <c r="KNV50" s="42"/>
      <c r="KOC50" s="33"/>
      <c r="KOD50" s="33"/>
      <c r="KOH50" s="41"/>
      <c r="KON50" s="42"/>
      <c r="KOU50" s="33"/>
      <c r="KOV50" s="33"/>
      <c r="KOZ50" s="41"/>
      <c r="KPF50" s="42"/>
      <c r="KPM50" s="33"/>
      <c r="KPN50" s="33"/>
      <c r="KPR50" s="41"/>
      <c r="KPX50" s="42"/>
      <c r="KQE50" s="33"/>
      <c r="KQF50" s="33"/>
      <c r="KQJ50" s="41"/>
      <c r="KQP50" s="42"/>
      <c r="KQW50" s="33"/>
      <c r="KQX50" s="33"/>
      <c r="KRB50" s="41"/>
      <c r="KRH50" s="42"/>
      <c r="KRO50" s="33"/>
      <c r="KRP50" s="33"/>
      <c r="KRT50" s="41"/>
      <c r="KRZ50" s="42"/>
      <c r="KSG50" s="33"/>
      <c r="KSH50" s="33"/>
      <c r="KSL50" s="41"/>
      <c r="KSR50" s="42"/>
      <c r="KSY50" s="33"/>
      <c r="KSZ50" s="33"/>
      <c r="KTD50" s="41"/>
      <c r="KTJ50" s="42"/>
      <c r="KTQ50" s="33"/>
      <c r="KTR50" s="33"/>
      <c r="KTV50" s="41"/>
      <c r="KUB50" s="42"/>
      <c r="KUI50" s="33"/>
      <c r="KUJ50" s="33"/>
      <c r="KUN50" s="41"/>
      <c r="KUT50" s="42"/>
      <c r="KVA50" s="33"/>
      <c r="KVB50" s="33"/>
      <c r="KVF50" s="41"/>
      <c r="KVL50" s="42"/>
      <c r="KVS50" s="33"/>
      <c r="KVT50" s="33"/>
      <c r="KVX50" s="41"/>
      <c r="KWD50" s="42"/>
      <c r="KWK50" s="33"/>
      <c r="KWL50" s="33"/>
      <c r="KWP50" s="41"/>
      <c r="KWV50" s="42"/>
      <c r="KXC50" s="33"/>
      <c r="KXD50" s="33"/>
      <c r="KXH50" s="41"/>
      <c r="KXN50" s="42"/>
      <c r="KXU50" s="33"/>
      <c r="KXV50" s="33"/>
      <c r="KXZ50" s="41"/>
      <c r="KYF50" s="42"/>
      <c r="KYM50" s="33"/>
      <c r="KYN50" s="33"/>
      <c r="KYR50" s="41"/>
      <c r="KYX50" s="42"/>
      <c r="KZE50" s="33"/>
      <c r="KZF50" s="33"/>
      <c r="KZJ50" s="41"/>
      <c r="KZP50" s="42"/>
      <c r="KZW50" s="33"/>
      <c r="KZX50" s="33"/>
      <c r="LAB50" s="41"/>
      <c r="LAH50" s="42"/>
      <c r="LAO50" s="33"/>
      <c r="LAP50" s="33"/>
      <c r="LAT50" s="41"/>
      <c r="LAZ50" s="42"/>
      <c r="LBG50" s="33"/>
      <c r="LBH50" s="33"/>
      <c r="LBL50" s="41"/>
      <c r="LBR50" s="42"/>
      <c r="LBY50" s="33"/>
      <c r="LBZ50" s="33"/>
      <c r="LCD50" s="41"/>
      <c r="LCJ50" s="42"/>
      <c r="LCQ50" s="33"/>
      <c r="LCR50" s="33"/>
      <c r="LCV50" s="41"/>
      <c r="LDB50" s="42"/>
      <c r="LDI50" s="33"/>
      <c r="LDJ50" s="33"/>
      <c r="LDN50" s="41"/>
      <c r="LDT50" s="42"/>
      <c r="LEA50" s="33"/>
      <c r="LEB50" s="33"/>
      <c r="LEF50" s="41"/>
      <c r="LEL50" s="42"/>
      <c r="LES50" s="33"/>
      <c r="LET50" s="33"/>
      <c r="LEX50" s="41"/>
      <c r="LFD50" s="42"/>
      <c r="LFK50" s="33"/>
      <c r="LFL50" s="33"/>
      <c r="LFP50" s="41"/>
      <c r="LFV50" s="42"/>
      <c r="LGC50" s="33"/>
      <c r="LGD50" s="33"/>
      <c r="LGH50" s="41"/>
      <c r="LGN50" s="42"/>
      <c r="LGU50" s="33"/>
      <c r="LGV50" s="33"/>
      <c r="LGZ50" s="41"/>
      <c r="LHF50" s="42"/>
      <c r="LHM50" s="33"/>
      <c r="LHN50" s="33"/>
      <c r="LHR50" s="41"/>
      <c r="LHX50" s="42"/>
      <c r="LIE50" s="33"/>
      <c r="LIF50" s="33"/>
      <c r="LIJ50" s="41"/>
      <c r="LIP50" s="42"/>
      <c r="LIW50" s="33"/>
      <c r="LIX50" s="33"/>
      <c r="LJB50" s="41"/>
      <c r="LJH50" s="42"/>
      <c r="LJO50" s="33"/>
      <c r="LJP50" s="33"/>
      <c r="LJT50" s="41"/>
      <c r="LJZ50" s="42"/>
      <c r="LKG50" s="33"/>
      <c r="LKH50" s="33"/>
      <c r="LKL50" s="41"/>
      <c r="LKR50" s="42"/>
      <c r="LKY50" s="33"/>
      <c r="LKZ50" s="33"/>
      <c r="LLD50" s="41"/>
      <c r="LLJ50" s="42"/>
      <c r="LLQ50" s="33"/>
      <c r="LLR50" s="33"/>
      <c r="LLV50" s="41"/>
      <c r="LMB50" s="42"/>
      <c r="LMI50" s="33"/>
      <c r="LMJ50" s="33"/>
      <c r="LMN50" s="41"/>
      <c r="LMT50" s="42"/>
      <c r="LNA50" s="33"/>
      <c r="LNB50" s="33"/>
      <c r="LNF50" s="41"/>
      <c r="LNL50" s="42"/>
      <c r="LNS50" s="33"/>
      <c r="LNT50" s="33"/>
      <c r="LNX50" s="41"/>
      <c r="LOD50" s="42"/>
      <c r="LOK50" s="33"/>
      <c r="LOL50" s="33"/>
      <c r="LOP50" s="41"/>
      <c r="LOV50" s="42"/>
      <c r="LPC50" s="33"/>
      <c r="LPD50" s="33"/>
      <c r="LPH50" s="41"/>
      <c r="LPN50" s="42"/>
      <c r="LPU50" s="33"/>
      <c r="LPV50" s="33"/>
      <c r="LPZ50" s="41"/>
      <c r="LQF50" s="42"/>
      <c r="LQM50" s="33"/>
      <c r="LQN50" s="33"/>
      <c r="LQR50" s="41"/>
      <c r="LQX50" s="42"/>
      <c r="LRE50" s="33"/>
      <c r="LRF50" s="33"/>
      <c r="LRJ50" s="41"/>
      <c r="LRP50" s="42"/>
      <c r="LRW50" s="33"/>
      <c r="LRX50" s="33"/>
      <c r="LSB50" s="41"/>
      <c r="LSH50" s="42"/>
      <c r="LSO50" s="33"/>
      <c r="LSP50" s="33"/>
      <c r="LST50" s="41"/>
      <c r="LSZ50" s="42"/>
      <c r="LTG50" s="33"/>
      <c r="LTH50" s="33"/>
      <c r="LTL50" s="41"/>
      <c r="LTR50" s="42"/>
      <c r="LTY50" s="33"/>
      <c r="LTZ50" s="33"/>
      <c r="LUD50" s="41"/>
      <c r="LUJ50" s="42"/>
      <c r="LUQ50" s="33"/>
      <c r="LUR50" s="33"/>
      <c r="LUV50" s="41"/>
      <c r="LVB50" s="42"/>
      <c r="LVI50" s="33"/>
      <c r="LVJ50" s="33"/>
      <c r="LVN50" s="41"/>
      <c r="LVT50" s="42"/>
      <c r="LWA50" s="33"/>
      <c r="LWB50" s="33"/>
      <c r="LWF50" s="41"/>
      <c r="LWL50" s="42"/>
      <c r="LWS50" s="33"/>
      <c r="LWT50" s="33"/>
      <c r="LWX50" s="41"/>
      <c r="LXD50" s="42"/>
      <c r="LXK50" s="33"/>
      <c r="LXL50" s="33"/>
      <c r="LXP50" s="41"/>
      <c r="LXV50" s="42"/>
      <c r="LYC50" s="33"/>
      <c r="LYD50" s="33"/>
      <c r="LYH50" s="41"/>
      <c r="LYN50" s="42"/>
      <c r="LYU50" s="33"/>
      <c r="LYV50" s="33"/>
      <c r="LYZ50" s="41"/>
      <c r="LZF50" s="42"/>
      <c r="LZM50" s="33"/>
      <c r="LZN50" s="33"/>
      <c r="LZR50" s="41"/>
      <c r="LZX50" s="42"/>
      <c r="MAE50" s="33"/>
      <c r="MAF50" s="33"/>
      <c r="MAJ50" s="41"/>
      <c r="MAP50" s="42"/>
      <c r="MAW50" s="33"/>
      <c r="MAX50" s="33"/>
      <c r="MBB50" s="41"/>
      <c r="MBH50" s="42"/>
      <c r="MBO50" s="33"/>
      <c r="MBP50" s="33"/>
      <c r="MBT50" s="41"/>
      <c r="MBZ50" s="42"/>
      <c r="MCG50" s="33"/>
      <c r="MCH50" s="33"/>
      <c r="MCL50" s="41"/>
      <c r="MCR50" s="42"/>
      <c r="MCY50" s="33"/>
      <c r="MCZ50" s="33"/>
      <c r="MDD50" s="41"/>
      <c r="MDJ50" s="42"/>
      <c r="MDQ50" s="33"/>
      <c r="MDR50" s="33"/>
      <c r="MDV50" s="41"/>
      <c r="MEB50" s="42"/>
      <c r="MEI50" s="33"/>
      <c r="MEJ50" s="33"/>
      <c r="MEN50" s="41"/>
      <c r="MET50" s="42"/>
      <c r="MFA50" s="33"/>
      <c r="MFB50" s="33"/>
      <c r="MFF50" s="41"/>
      <c r="MFL50" s="42"/>
      <c r="MFS50" s="33"/>
      <c r="MFT50" s="33"/>
      <c r="MFX50" s="41"/>
      <c r="MGD50" s="42"/>
      <c r="MGK50" s="33"/>
      <c r="MGL50" s="33"/>
      <c r="MGP50" s="41"/>
      <c r="MGV50" s="42"/>
      <c r="MHC50" s="33"/>
      <c r="MHD50" s="33"/>
      <c r="MHH50" s="41"/>
      <c r="MHN50" s="42"/>
      <c r="MHU50" s="33"/>
      <c r="MHV50" s="33"/>
      <c r="MHZ50" s="41"/>
      <c r="MIF50" s="42"/>
      <c r="MIM50" s="33"/>
      <c r="MIN50" s="33"/>
      <c r="MIR50" s="41"/>
      <c r="MIX50" s="42"/>
      <c r="MJE50" s="33"/>
      <c r="MJF50" s="33"/>
      <c r="MJJ50" s="41"/>
      <c r="MJP50" s="42"/>
      <c r="MJW50" s="33"/>
      <c r="MJX50" s="33"/>
      <c r="MKB50" s="41"/>
      <c r="MKH50" s="42"/>
      <c r="MKO50" s="33"/>
      <c r="MKP50" s="33"/>
      <c r="MKT50" s="41"/>
      <c r="MKZ50" s="42"/>
      <c r="MLG50" s="33"/>
      <c r="MLH50" s="33"/>
      <c r="MLL50" s="41"/>
      <c r="MLR50" s="42"/>
      <c r="MLY50" s="33"/>
      <c r="MLZ50" s="33"/>
      <c r="MMD50" s="41"/>
      <c r="MMJ50" s="42"/>
      <c r="MMQ50" s="33"/>
      <c r="MMR50" s="33"/>
      <c r="MMV50" s="41"/>
      <c r="MNB50" s="42"/>
      <c r="MNI50" s="33"/>
      <c r="MNJ50" s="33"/>
      <c r="MNN50" s="41"/>
      <c r="MNT50" s="42"/>
      <c r="MOA50" s="33"/>
      <c r="MOB50" s="33"/>
      <c r="MOF50" s="41"/>
      <c r="MOL50" s="42"/>
      <c r="MOS50" s="33"/>
      <c r="MOT50" s="33"/>
      <c r="MOX50" s="41"/>
      <c r="MPD50" s="42"/>
      <c r="MPK50" s="33"/>
      <c r="MPL50" s="33"/>
      <c r="MPP50" s="41"/>
      <c r="MPV50" s="42"/>
      <c r="MQC50" s="33"/>
      <c r="MQD50" s="33"/>
      <c r="MQH50" s="41"/>
      <c r="MQN50" s="42"/>
      <c r="MQU50" s="33"/>
      <c r="MQV50" s="33"/>
      <c r="MQZ50" s="41"/>
      <c r="MRF50" s="42"/>
      <c r="MRM50" s="33"/>
      <c r="MRN50" s="33"/>
      <c r="MRR50" s="41"/>
      <c r="MRX50" s="42"/>
      <c r="MSE50" s="33"/>
      <c r="MSF50" s="33"/>
      <c r="MSJ50" s="41"/>
      <c r="MSP50" s="42"/>
      <c r="MSW50" s="33"/>
      <c r="MSX50" s="33"/>
      <c r="MTB50" s="41"/>
      <c r="MTH50" s="42"/>
      <c r="MTO50" s="33"/>
      <c r="MTP50" s="33"/>
      <c r="MTT50" s="41"/>
      <c r="MTZ50" s="42"/>
      <c r="MUG50" s="33"/>
      <c r="MUH50" s="33"/>
      <c r="MUL50" s="41"/>
      <c r="MUR50" s="42"/>
      <c r="MUY50" s="33"/>
      <c r="MUZ50" s="33"/>
      <c r="MVD50" s="41"/>
      <c r="MVJ50" s="42"/>
      <c r="MVQ50" s="33"/>
      <c r="MVR50" s="33"/>
      <c r="MVV50" s="41"/>
      <c r="MWB50" s="42"/>
      <c r="MWI50" s="33"/>
      <c r="MWJ50" s="33"/>
      <c r="MWN50" s="41"/>
      <c r="MWT50" s="42"/>
      <c r="MXA50" s="33"/>
      <c r="MXB50" s="33"/>
      <c r="MXF50" s="41"/>
      <c r="MXL50" s="42"/>
      <c r="MXS50" s="33"/>
      <c r="MXT50" s="33"/>
      <c r="MXX50" s="41"/>
      <c r="MYD50" s="42"/>
      <c r="MYK50" s="33"/>
      <c r="MYL50" s="33"/>
      <c r="MYP50" s="41"/>
      <c r="MYV50" s="42"/>
      <c r="MZC50" s="33"/>
      <c r="MZD50" s="33"/>
      <c r="MZH50" s="41"/>
      <c r="MZN50" s="42"/>
      <c r="MZU50" s="33"/>
      <c r="MZV50" s="33"/>
      <c r="MZZ50" s="41"/>
      <c r="NAF50" s="42"/>
      <c r="NAM50" s="33"/>
      <c r="NAN50" s="33"/>
      <c r="NAR50" s="41"/>
      <c r="NAX50" s="42"/>
      <c r="NBE50" s="33"/>
      <c r="NBF50" s="33"/>
      <c r="NBJ50" s="41"/>
      <c r="NBP50" s="42"/>
      <c r="NBW50" s="33"/>
      <c r="NBX50" s="33"/>
      <c r="NCB50" s="41"/>
      <c r="NCH50" s="42"/>
      <c r="NCO50" s="33"/>
      <c r="NCP50" s="33"/>
      <c r="NCT50" s="41"/>
      <c r="NCZ50" s="42"/>
      <c r="NDG50" s="33"/>
      <c r="NDH50" s="33"/>
      <c r="NDL50" s="41"/>
      <c r="NDR50" s="42"/>
      <c r="NDY50" s="33"/>
      <c r="NDZ50" s="33"/>
      <c r="NED50" s="41"/>
      <c r="NEJ50" s="42"/>
      <c r="NEQ50" s="33"/>
      <c r="NER50" s="33"/>
      <c r="NEV50" s="41"/>
      <c r="NFB50" s="42"/>
      <c r="NFI50" s="33"/>
      <c r="NFJ50" s="33"/>
      <c r="NFN50" s="41"/>
      <c r="NFT50" s="42"/>
      <c r="NGA50" s="33"/>
      <c r="NGB50" s="33"/>
      <c r="NGF50" s="41"/>
      <c r="NGL50" s="42"/>
      <c r="NGS50" s="33"/>
      <c r="NGT50" s="33"/>
      <c r="NGX50" s="41"/>
      <c r="NHD50" s="42"/>
      <c r="NHK50" s="33"/>
      <c r="NHL50" s="33"/>
      <c r="NHP50" s="41"/>
      <c r="NHV50" s="42"/>
      <c r="NIC50" s="33"/>
      <c r="NID50" s="33"/>
      <c r="NIH50" s="41"/>
      <c r="NIN50" s="42"/>
      <c r="NIU50" s="33"/>
      <c r="NIV50" s="33"/>
      <c r="NIZ50" s="41"/>
      <c r="NJF50" s="42"/>
      <c r="NJM50" s="33"/>
      <c r="NJN50" s="33"/>
      <c r="NJR50" s="41"/>
      <c r="NJX50" s="42"/>
      <c r="NKE50" s="33"/>
      <c r="NKF50" s="33"/>
      <c r="NKJ50" s="41"/>
      <c r="NKP50" s="42"/>
      <c r="NKW50" s="33"/>
      <c r="NKX50" s="33"/>
      <c r="NLB50" s="41"/>
      <c r="NLH50" s="42"/>
      <c r="NLO50" s="33"/>
      <c r="NLP50" s="33"/>
      <c r="NLT50" s="41"/>
      <c r="NLZ50" s="42"/>
      <c r="NMG50" s="33"/>
      <c r="NMH50" s="33"/>
      <c r="NML50" s="41"/>
      <c r="NMR50" s="42"/>
      <c r="NMY50" s="33"/>
      <c r="NMZ50" s="33"/>
      <c r="NND50" s="41"/>
      <c r="NNJ50" s="42"/>
      <c r="NNQ50" s="33"/>
      <c r="NNR50" s="33"/>
      <c r="NNV50" s="41"/>
      <c r="NOB50" s="42"/>
      <c r="NOI50" s="33"/>
      <c r="NOJ50" s="33"/>
      <c r="NON50" s="41"/>
      <c r="NOT50" s="42"/>
      <c r="NPA50" s="33"/>
      <c r="NPB50" s="33"/>
      <c r="NPF50" s="41"/>
      <c r="NPL50" s="42"/>
      <c r="NPS50" s="33"/>
      <c r="NPT50" s="33"/>
      <c r="NPX50" s="41"/>
      <c r="NQD50" s="42"/>
      <c r="NQK50" s="33"/>
      <c r="NQL50" s="33"/>
      <c r="NQP50" s="41"/>
      <c r="NQV50" s="42"/>
      <c r="NRC50" s="33"/>
      <c r="NRD50" s="33"/>
      <c r="NRH50" s="41"/>
      <c r="NRN50" s="42"/>
      <c r="NRU50" s="33"/>
      <c r="NRV50" s="33"/>
      <c r="NRZ50" s="41"/>
      <c r="NSF50" s="42"/>
      <c r="NSM50" s="33"/>
      <c r="NSN50" s="33"/>
      <c r="NSR50" s="41"/>
      <c r="NSX50" s="42"/>
      <c r="NTE50" s="33"/>
      <c r="NTF50" s="33"/>
      <c r="NTJ50" s="41"/>
      <c r="NTP50" s="42"/>
      <c r="NTW50" s="33"/>
      <c r="NTX50" s="33"/>
      <c r="NUB50" s="41"/>
      <c r="NUH50" s="42"/>
      <c r="NUO50" s="33"/>
      <c r="NUP50" s="33"/>
      <c r="NUT50" s="41"/>
      <c r="NUZ50" s="42"/>
      <c r="NVG50" s="33"/>
      <c r="NVH50" s="33"/>
      <c r="NVL50" s="41"/>
      <c r="NVR50" s="42"/>
      <c r="NVY50" s="33"/>
      <c r="NVZ50" s="33"/>
      <c r="NWD50" s="41"/>
      <c r="NWJ50" s="42"/>
      <c r="NWQ50" s="33"/>
      <c r="NWR50" s="33"/>
      <c r="NWV50" s="41"/>
      <c r="NXB50" s="42"/>
      <c r="NXI50" s="33"/>
      <c r="NXJ50" s="33"/>
      <c r="NXN50" s="41"/>
      <c r="NXT50" s="42"/>
      <c r="NYA50" s="33"/>
      <c r="NYB50" s="33"/>
      <c r="NYF50" s="41"/>
      <c r="NYL50" s="42"/>
      <c r="NYS50" s="33"/>
      <c r="NYT50" s="33"/>
      <c r="NYX50" s="41"/>
      <c r="NZD50" s="42"/>
      <c r="NZK50" s="33"/>
      <c r="NZL50" s="33"/>
      <c r="NZP50" s="41"/>
      <c r="NZV50" s="42"/>
      <c r="OAC50" s="33"/>
      <c r="OAD50" s="33"/>
      <c r="OAH50" s="41"/>
      <c r="OAN50" s="42"/>
      <c r="OAU50" s="33"/>
      <c r="OAV50" s="33"/>
      <c r="OAZ50" s="41"/>
      <c r="OBF50" s="42"/>
      <c r="OBM50" s="33"/>
      <c r="OBN50" s="33"/>
      <c r="OBR50" s="41"/>
      <c r="OBX50" s="42"/>
      <c r="OCE50" s="33"/>
      <c r="OCF50" s="33"/>
      <c r="OCJ50" s="41"/>
      <c r="OCP50" s="42"/>
      <c r="OCW50" s="33"/>
      <c r="OCX50" s="33"/>
      <c r="ODB50" s="41"/>
      <c r="ODH50" s="42"/>
      <c r="ODO50" s="33"/>
      <c r="ODP50" s="33"/>
      <c r="ODT50" s="41"/>
      <c r="ODZ50" s="42"/>
      <c r="OEG50" s="33"/>
      <c r="OEH50" s="33"/>
      <c r="OEL50" s="41"/>
      <c r="OER50" s="42"/>
      <c r="OEY50" s="33"/>
      <c r="OEZ50" s="33"/>
      <c r="OFD50" s="41"/>
      <c r="OFJ50" s="42"/>
      <c r="OFQ50" s="33"/>
      <c r="OFR50" s="33"/>
      <c r="OFV50" s="41"/>
      <c r="OGB50" s="42"/>
      <c r="OGI50" s="33"/>
      <c r="OGJ50" s="33"/>
      <c r="OGN50" s="41"/>
      <c r="OGT50" s="42"/>
      <c r="OHA50" s="33"/>
      <c r="OHB50" s="33"/>
      <c r="OHF50" s="41"/>
      <c r="OHL50" s="42"/>
      <c r="OHS50" s="33"/>
      <c r="OHT50" s="33"/>
      <c r="OHX50" s="41"/>
      <c r="OID50" s="42"/>
      <c r="OIK50" s="33"/>
      <c r="OIL50" s="33"/>
      <c r="OIP50" s="41"/>
      <c r="OIV50" s="42"/>
      <c r="OJC50" s="33"/>
      <c r="OJD50" s="33"/>
      <c r="OJH50" s="41"/>
      <c r="OJN50" s="42"/>
      <c r="OJU50" s="33"/>
      <c r="OJV50" s="33"/>
      <c r="OJZ50" s="41"/>
      <c r="OKF50" s="42"/>
      <c r="OKM50" s="33"/>
      <c r="OKN50" s="33"/>
      <c r="OKR50" s="41"/>
      <c r="OKX50" s="42"/>
      <c r="OLE50" s="33"/>
      <c r="OLF50" s="33"/>
      <c r="OLJ50" s="41"/>
      <c r="OLP50" s="42"/>
      <c r="OLW50" s="33"/>
      <c r="OLX50" s="33"/>
      <c r="OMB50" s="41"/>
      <c r="OMH50" s="42"/>
      <c r="OMO50" s="33"/>
      <c r="OMP50" s="33"/>
      <c r="OMT50" s="41"/>
      <c r="OMZ50" s="42"/>
      <c r="ONG50" s="33"/>
      <c r="ONH50" s="33"/>
      <c r="ONL50" s="41"/>
      <c r="ONR50" s="42"/>
      <c r="ONY50" s="33"/>
      <c r="ONZ50" s="33"/>
      <c r="OOD50" s="41"/>
      <c r="OOJ50" s="42"/>
      <c r="OOQ50" s="33"/>
      <c r="OOR50" s="33"/>
      <c r="OOV50" s="41"/>
      <c r="OPB50" s="42"/>
      <c r="OPI50" s="33"/>
      <c r="OPJ50" s="33"/>
      <c r="OPN50" s="41"/>
      <c r="OPT50" s="42"/>
      <c r="OQA50" s="33"/>
      <c r="OQB50" s="33"/>
      <c r="OQF50" s="41"/>
      <c r="OQL50" s="42"/>
      <c r="OQS50" s="33"/>
      <c r="OQT50" s="33"/>
      <c r="OQX50" s="41"/>
      <c r="ORD50" s="42"/>
      <c r="ORK50" s="33"/>
      <c r="ORL50" s="33"/>
      <c r="ORP50" s="41"/>
      <c r="ORV50" s="42"/>
      <c r="OSC50" s="33"/>
      <c r="OSD50" s="33"/>
      <c r="OSH50" s="41"/>
      <c r="OSN50" s="42"/>
      <c r="OSU50" s="33"/>
      <c r="OSV50" s="33"/>
      <c r="OSZ50" s="41"/>
      <c r="OTF50" s="42"/>
      <c r="OTM50" s="33"/>
      <c r="OTN50" s="33"/>
      <c r="OTR50" s="41"/>
      <c r="OTX50" s="42"/>
      <c r="OUE50" s="33"/>
      <c r="OUF50" s="33"/>
      <c r="OUJ50" s="41"/>
      <c r="OUP50" s="42"/>
      <c r="OUW50" s="33"/>
      <c r="OUX50" s="33"/>
      <c r="OVB50" s="41"/>
      <c r="OVH50" s="42"/>
      <c r="OVO50" s="33"/>
      <c r="OVP50" s="33"/>
      <c r="OVT50" s="41"/>
      <c r="OVZ50" s="42"/>
      <c r="OWG50" s="33"/>
      <c r="OWH50" s="33"/>
      <c r="OWL50" s="41"/>
      <c r="OWR50" s="42"/>
      <c r="OWY50" s="33"/>
      <c r="OWZ50" s="33"/>
      <c r="OXD50" s="41"/>
      <c r="OXJ50" s="42"/>
      <c r="OXQ50" s="33"/>
      <c r="OXR50" s="33"/>
      <c r="OXV50" s="41"/>
      <c r="OYB50" s="42"/>
      <c r="OYI50" s="33"/>
      <c r="OYJ50" s="33"/>
      <c r="OYN50" s="41"/>
      <c r="OYT50" s="42"/>
      <c r="OZA50" s="33"/>
      <c r="OZB50" s="33"/>
      <c r="OZF50" s="41"/>
      <c r="OZL50" s="42"/>
      <c r="OZS50" s="33"/>
      <c r="OZT50" s="33"/>
      <c r="OZX50" s="41"/>
      <c r="PAD50" s="42"/>
      <c r="PAK50" s="33"/>
      <c r="PAL50" s="33"/>
      <c r="PAP50" s="41"/>
      <c r="PAV50" s="42"/>
      <c r="PBC50" s="33"/>
      <c r="PBD50" s="33"/>
      <c r="PBH50" s="41"/>
      <c r="PBN50" s="42"/>
      <c r="PBU50" s="33"/>
      <c r="PBV50" s="33"/>
      <c r="PBZ50" s="41"/>
      <c r="PCF50" s="42"/>
      <c r="PCM50" s="33"/>
      <c r="PCN50" s="33"/>
      <c r="PCR50" s="41"/>
      <c r="PCX50" s="42"/>
      <c r="PDE50" s="33"/>
      <c r="PDF50" s="33"/>
      <c r="PDJ50" s="41"/>
      <c r="PDP50" s="42"/>
      <c r="PDW50" s="33"/>
      <c r="PDX50" s="33"/>
      <c r="PEB50" s="41"/>
      <c r="PEH50" s="42"/>
      <c r="PEO50" s="33"/>
      <c r="PEP50" s="33"/>
      <c r="PET50" s="41"/>
      <c r="PEZ50" s="42"/>
      <c r="PFG50" s="33"/>
      <c r="PFH50" s="33"/>
      <c r="PFL50" s="41"/>
      <c r="PFR50" s="42"/>
      <c r="PFY50" s="33"/>
      <c r="PFZ50" s="33"/>
      <c r="PGD50" s="41"/>
      <c r="PGJ50" s="42"/>
      <c r="PGQ50" s="33"/>
      <c r="PGR50" s="33"/>
      <c r="PGV50" s="41"/>
      <c r="PHB50" s="42"/>
      <c r="PHI50" s="33"/>
      <c r="PHJ50" s="33"/>
      <c r="PHN50" s="41"/>
      <c r="PHT50" s="42"/>
      <c r="PIA50" s="33"/>
      <c r="PIB50" s="33"/>
      <c r="PIF50" s="41"/>
      <c r="PIL50" s="42"/>
      <c r="PIS50" s="33"/>
      <c r="PIT50" s="33"/>
      <c r="PIX50" s="41"/>
      <c r="PJD50" s="42"/>
      <c r="PJK50" s="33"/>
      <c r="PJL50" s="33"/>
      <c r="PJP50" s="41"/>
      <c r="PJV50" s="42"/>
      <c r="PKC50" s="33"/>
      <c r="PKD50" s="33"/>
      <c r="PKH50" s="41"/>
      <c r="PKN50" s="42"/>
      <c r="PKU50" s="33"/>
      <c r="PKV50" s="33"/>
      <c r="PKZ50" s="41"/>
      <c r="PLF50" s="42"/>
      <c r="PLM50" s="33"/>
      <c r="PLN50" s="33"/>
      <c r="PLR50" s="41"/>
      <c r="PLX50" s="42"/>
      <c r="PME50" s="33"/>
      <c r="PMF50" s="33"/>
      <c r="PMJ50" s="41"/>
      <c r="PMP50" s="42"/>
      <c r="PMW50" s="33"/>
      <c r="PMX50" s="33"/>
      <c r="PNB50" s="41"/>
      <c r="PNH50" s="42"/>
      <c r="PNO50" s="33"/>
      <c r="PNP50" s="33"/>
      <c r="PNT50" s="41"/>
      <c r="PNZ50" s="42"/>
      <c r="POG50" s="33"/>
      <c r="POH50" s="33"/>
      <c r="POL50" s="41"/>
      <c r="POR50" s="42"/>
      <c r="POY50" s="33"/>
      <c r="POZ50" s="33"/>
      <c r="PPD50" s="41"/>
      <c r="PPJ50" s="42"/>
      <c r="PPQ50" s="33"/>
      <c r="PPR50" s="33"/>
      <c r="PPV50" s="41"/>
      <c r="PQB50" s="42"/>
      <c r="PQI50" s="33"/>
      <c r="PQJ50" s="33"/>
      <c r="PQN50" s="41"/>
      <c r="PQT50" s="42"/>
      <c r="PRA50" s="33"/>
      <c r="PRB50" s="33"/>
      <c r="PRF50" s="41"/>
      <c r="PRL50" s="42"/>
      <c r="PRS50" s="33"/>
      <c r="PRT50" s="33"/>
      <c r="PRX50" s="41"/>
      <c r="PSD50" s="42"/>
      <c r="PSK50" s="33"/>
      <c r="PSL50" s="33"/>
      <c r="PSP50" s="41"/>
      <c r="PSV50" s="42"/>
      <c r="PTC50" s="33"/>
      <c r="PTD50" s="33"/>
      <c r="PTH50" s="41"/>
      <c r="PTN50" s="42"/>
      <c r="PTU50" s="33"/>
      <c r="PTV50" s="33"/>
      <c r="PTZ50" s="41"/>
      <c r="PUF50" s="42"/>
      <c r="PUM50" s="33"/>
      <c r="PUN50" s="33"/>
      <c r="PUR50" s="41"/>
      <c r="PUX50" s="42"/>
      <c r="PVE50" s="33"/>
      <c r="PVF50" s="33"/>
      <c r="PVJ50" s="41"/>
      <c r="PVP50" s="42"/>
      <c r="PVW50" s="33"/>
      <c r="PVX50" s="33"/>
      <c r="PWB50" s="41"/>
      <c r="PWH50" s="42"/>
      <c r="PWO50" s="33"/>
      <c r="PWP50" s="33"/>
      <c r="PWT50" s="41"/>
      <c r="PWZ50" s="42"/>
      <c r="PXG50" s="33"/>
      <c r="PXH50" s="33"/>
      <c r="PXL50" s="41"/>
      <c r="PXR50" s="42"/>
      <c r="PXY50" s="33"/>
      <c r="PXZ50" s="33"/>
      <c r="PYD50" s="41"/>
      <c r="PYJ50" s="42"/>
      <c r="PYQ50" s="33"/>
      <c r="PYR50" s="33"/>
      <c r="PYV50" s="41"/>
      <c r="PZB50" s="42"/>
      <c r="PZI50" s="33"/>
      <c r="PZJ50" s="33"/>
      <c r="PZN50" s="41"/>
      <c r="PZT50" s="42"/>
      <c r="QAA50" s="33"/>
      <c r="QAB50" s="33"/>
      <c r="QAF50" s="41"/>
      <c r="QAL50" s="42"/>
      <c r="QAS50" s="33"/>
      <c r="QAT50" s="33"/>
      <c r="QAX50" s="41"/>
      <c r="QBD50" s="42"/>
      <c r="QBK50" s="33"/>
      <c r="QBL50" s="33"/>
      <c r="QBP50" s="41"/>
      <c r="QBV50" s="42"/>
      <c r="QCC50" s="33"/>
      <c r="QCD50" s="33"/>
      <c r="QCH50" s="41"/>
      <c r="QCN50" s="42"/>
      <c r="QCU50" s="33"/>
      <c r="QCV50" s="33"/>
      <c r="QCZ50" s="41"/>
      <c r="QDF50" s="42"/>
      <c r="QDM50" s="33"/>
      <c r="QDN50" s="33"/>
      <c r="QDR50" s="41"/>
      <c r="QDX50" s="42"/>
      <c r="QEE50" s="33"/>
      <c r="QEF50" s="33"/>
      <c r="QEJ50" s="41"/>
      <c r="QEP50" s="42"/>
      <c r="QEW50" s="33"/>
      <c r="QEX50" s="33"/>
      <c r="QFB50" s="41"/>
      <c r="QFH50" s="42"/>
      <c r="QFO50" s="33"/>
      <c r="QFP50" s="33"/>
      <c r="QFT50" s="41"/>
      <c r="QFZ50" s="42"/>
      <c r="QGG50" s="33"/>
      <c r="QGH50" s="33"/>
      <c r="QGL50" s="41"/>
      <c r="QGR50" s="42"/>
      <c r="QGY50" s="33"/>
      <c r="QGZ50" s="33"/>
      <c r="QHD50" s="41"/>
      <c r="QHJ50" s="42"/>
      <c r="QHQ50" s="33"/>
      <c r="QHR50" s="33"/>
      <c r="QHV50" s="41"/>
      <c r="QIB50" s="42"/>
      <c r="QII50" s="33"/>
      <c r="QIJ50" s="33"/>
      <c r="QIN50" s="41"/>
      <c r="QIT50" s="42"/>
      <c r="QJA50" s="33"/>
      <c r="QJB50" s="33"/>
      <c r="QJF50" s="41"/>
      <c r="QJL50" s="42"/>
      <c r="QJS50" s="33"/>
      <c r="QJT50" s="33"/>
      <c r="QJX50" s="41"/>
      <c r="QKD50" s="42"/>
      <c r="QKK50" s="33"/>
      <c r="QKL50" s="33"/>
      <c r="QKP50" s="41"/>
      <c r="QKV50" s="42"/>
      <c r="QLC50" s="33"/>
      <c r="QLD50" s="33"/>
      <c r="QLH50" s="41"/>
      <c r="QLN50" s="42"/>
      <c r="QLU50" s="33"/>
      <c r="QLV50" s="33"/>
      <c r="QLZ50" s="41"/>
      <c r="QMF50" s="42"/>
      <c r="QMM50" s="33"/>
      <c r="QMN50" s="33"/>
      <c r="QMR50" s="41"/>
      <c r="QMX50" s="42"/>
      <c r="QNE50" s="33"/>
      <c r="QNF50" s="33"/>
      <c r="QNJ50" s="41"/>
      <c r="QNP50" s="42"/>
      <c r="QNW50" s="33"/>
      <c r="QNX50" s="33"/>
      <c r="QOB50" s="41"/>
      <c r="QOH50" s="42"/>
      <c r="QOO50" s="33"/>
      <c r="QOP50" s="33"/>
      <c r="QOT50" s="41"/>
      <c r="QOZ50" s="42"/>
      <c r="QPG50" s="33"/>
      <c r="QPH50" s="33"/>
      <c r="QPL50" s="41"/>
      <c r="QPR50" s="42"/>
      <c r="QPY50" s="33"/>
      <c r="QPZ50" s="33"/>
      <c r="QQD50" s="41"/>
      <c r="QQJ50" s="42"/>
      <c r="QQQ50" s="33"/>
      <c r="QQR50" s="33"/>
      <c r="QQV50" s="41"/>
      <c r="QRB50" s="42"/>
      <c r="QRI50" s="33"/>
      <c r="QRJ50" s="33"/>
      <c r="QRN50" s="41"/>
      <c r="QRT50" s="42"/>
      <c r="QSA50" s="33"/>
      <c r="QSB50" s="33"/>
      <c r="QSF50" s="41"/>
      <c r="QSL50" s="42"/>
      <c r="QSS50" s="33"/>
      <c r="QST50" s="33"/>
      <c r="QSX50" s="41"/>
      <c r="QTD50" s="42"/>
      <c r="QTK50" s="33"/>
      <c r="QTL50" s="33"/>
      <c r="QTP50" s="41"/>
      <c r="QTV50" s="42"/>
      <c r="QUC50" s="33"/>
      <c r="QUD50" s="33"/>
      <c r="QUH50" s="41"/>
      <c r="QUN50" s="42"/>
      <c r="QUU50" s="33"/>
      <c r="QUV50" s="33"/>
      <c r="QUZ50" s="41"/>
      <c r="QVF50" s="42"/>
      <c r="QVM50" s="33"/>
      <c r="QVN50" s="33"/>
      <c r="QVR50" s="41"/>
      <c r="QVX50" s="42"/>
      <c r="QWE50" s="33"/>
      <c r="QWF50" s="33"/>
      <c r="QWJ50" s="41"/>
      <c r="QWP50" s="42"/>
      <c r="QWW50" s="33"/>
      <c r="QWX50" s="33"/>
      <c r="QXB50" s="41"/>
      <c r="QXH50" s="42"/>
      <c r="QXO50" s="33"/>
      <c r="QXP50" s="33"/>
      <c r="QXT50" s="41"/>
      <c r="QXZ50" s="42"/>
      <c r="QYG50" s="33"/>
      <c r="QYH50" s="33"/>
      <c r="QYL50" s="41"/>
      <c r="QYR50" s="42"/>
      <c r="QYY50" s="33"/>
      <c r="QYZ50" s="33"/>
      <c r="QZD50" s="41"/>
      <c r="QZJ50" s="42"/>
      <c r="QZQ50" s="33"/>
      <c r="QZR50" s="33"/>
      <c r="QZV50" s="41"/>
      <c r="RAB50" s="42"/>
      <c r="RAI50" s="33"/>
      <c r="RAJ50" s="33"/>
      <c r="RAN50" s="41"/>
      <c r="RAT50" s="42"/>
      <c r="RBA50" s="33"/>
      <c r="RBB50" s="33"/>
      <c r="RBF50" s="41"/>
      <c r="RBL50" s="42"/>
      <c r="RBS50" s="33"/>
      <c r="RBT50" s="33"/>
      <c r="RBX50" s="41"/>
      <c r="RCD50" s="42"/>
      <c r="RCK50" s="33"/>
      <c r="RCL50" s="33"/>
      <c r="RCP50" s="41"/>
      <c r="RCV50" s="42"/>
      <c r="RDC50" s="33"/>
      <c r="RDD50" s="33"/>
      <c r="RDH50" s="41"/>
      <c r="RDN50" s="42"/>
      <c r="RDU50" s="33"/>
      <c r="RDV50" s="33"/>
      <c r="RDZ50" s="41"/>
      <c r="REF50" s="42"/>
      <c r="REM50" s="33"/>
      <c r="REN50" s="33"/>
      <c r="RER50" s="41"/>
      <c r="REX50" s="42"/>
      <c r="RFE50" s="33"/>
      <c r="RFF50" s="33"/>
      <c r="RFJ50" s="41"/>
      <c r="RFP50" s="42"/>
      <c r="RFW50" s="33"/>
      <c r="RFX50" s="33"/>
      <c r="RGB50" s="41"/>
      <c r="RGH50" s="42"/>
      <c r="RGO50" s="33"/>
      <c r="RGP50" s="33"/>
      <c r="RGT50" s="41"/>
      <c r="RGZ50" s="42"/>
      <c r="RHG50" s="33"/>
      <c r="RHH50" s="33"/>
      <c r="RHL50" s="41"/>
      <c r="RHR50" s="42"/>
      <c r="RHY50" s="33"/>
      <c r="RHZ50" s="33"/>
      <c r="RID50" s="41"/>
      <c r="RIJ50" s="42"/>
      <c r="RIQ50" s="33"/>
      <c r="RIR50" s="33"/>
      <c r="RIV50" s="41"/>
      <c r="RJB50" s="42"/>
      <c r="RJI50" s="33"/>
      <c r="RJJ50" s="33"/>
      <c r="RJN50" s="41"/>
      <c r="RJT50" s="42"/>
      <c r="RKA50" s="33"/>
      <c r="RKB50" s="33"/>
      <c r="RKF50" s="41"/>
      <c r="RKL50" s="42"/>
      <c r="RKS50" s="33"/>
      <c r="RKT50" s="33"/>
      <c r="RKX50" s="41"/>
      <c r="RLD50" s="42"/>
      <c r="RLK50" s="33"/>
      <c r="RLL50" s="33"/>
      <c r="RLP50" s="41"/>
      <c r="RLV50" s="42"/>
      <c r="RMC50" s="33"/>
      <c r="RMD50" s="33"/>
      <c r="RMH50" s="41"/>
      <c r="RMN50" s="42"/>
      <c r="RMU50" s="33"/>
      <c r="RMV50" s="33"/>
      <c r="RMZ50" s="41"/>
      <c r="RNF50" s="42"/>
      <c r="RNM50" s="33"/>
      <c r="RNN50" s="33"/>
      <c r="RNR50" s="41"/>
      <c r="RNX50" s="42"/>
      <c r="ROE50" s="33"/>
      <c r="ROF50" s="33"/>
      <c r="ROJ50" s="41"/>
      <c r="ROP50" s="42"/>
      <c r="ROW50" s="33"/>
      <c r="ROX50" s="33"/>
      <c r="RPB50" s="41"/>
      <c r="RPH50" s="42"/>
      <c r="RPO50" s="33"/>
      <c r="RPP50" s="33"/>
      <c r="RPT50" s="41"/>
      <c r="RPZ50" s="42"/>
      <c r="RQG50" s="33"/>
      <c r="RQH50" s="33"/>
      <c r="RQL50" s="41"/>
      <c r="RQR50" s="42"/>
      <c r="RQY50" s="33"/>
      <c r="RQZ50" s="33"/>
      <c r="RRD50" s="41"/>
      <c r="RRJ50" s="42"/>
      <c r="RRQ50" s="33"/>
      <c r="RRR50" s="33"/>
      <c r="RRV50" s="41"/>
      <c r="RSB50" s="42"/>
      <c r="RSI50" s="33"/>
      <c r="RSJ50" s="33"/>
      <c r="RSN50" s="41"/>
      <c r="RST50" s="42"/>
      <c r="RTA50" s="33"/>
      <c r="RTB50" s="33"/>
      <c r="RTF50" s="41"/>
      <c r="RTL50" s="42"/>
      <c r="RTS50" s="33"/>
      <c r="RTT50" s="33"/>
      <c r="RTX50" s="41"/>
      <c r="RUD50" s="42"/>
      <c r="RUK50" s="33"/>
      <c r="RUL50" s="33"/>
      <c r="RUP50" s="41"/>
      <c r="RUV50" s="42"/>
      <c r="RVC50" s="33"/>
      <c r="RVD50" s="33"/>
      <c r="RVH50" s="41"/>
      <c r="RVN50" s="42"/>
      <c r="RVU50" s="33"/>
      <c r="RVV50" s="33"/>
      <c r="RVZ50" s="41"/>
      <c r="RWF50" s="42"/>
      <c r="RWM50" s="33"/>
      <c r="RWN50" s="33"/>
      <c r="RWR50" s="41"/>
      <c r="RWX50" s="42"/>
      <c r="RXE50" s="33"/>
      <c r="RXF50" s="33"/>
      <c r="RXJ50" s="41"/>
      <c r="RXP50" s="42"/>
      <c r="RXW50" s="33"/>
      <c r="RXX50" s="33"/>
      <c r="RYB50" s="41"/>
      <c r="RYH50" s="42"/>
      <c r="RYO50" s="33"/>
      <c r="RYP50" s="33"/>
      <c r="RYT50" s="41"/>
      <c r="RYZ50" s="42"/>
      <c r="RZG50" s="33"/>
      <c r="RZH50" s="33"/>
      <c r="RZL50" s="41"/>
      <c r="RZR50" s="42"/>
      <c r="RZY50" s="33"/>
      <c r="RZZ50" s="33"/>
      <c r="SAD50" s="41"/>
      <c r="SAJ50" s="42"/>
      <c r="SAQ50" s="33"/>
      <c r="SAR50" s="33"/>
      <c r="SAV50" s="41"/>
      <c r="SBB50" s="42"/>
      <c r="SBI50" s="33"/>
      <c r="SBJ50" s="33"/>
      <c r="SBN50" s="41"/>
      <c r="SBT50" s="42"/>
      <c r="SCA50" s="33"/>
      <c r="SCB50" s="33"/>
      <c r="SCF50" s="41"/>
      <c r="SCL50" s="42"/>
      <c r="SCS50" s="33"/>
      <c r="SCT50" s="33"/>
      <c r="SCX50" s="41"/>
      <c r="SDD50" s="42"/>
      <c r="SDK50" s="33"/>
      <c r="SDL50" s="33"/>
      <c r="SDP50" s="41"/>
      <c r="SDV50" s="42"/>
      <c r="SEC50" s="33"/>
      <c r="SED50" s="33"/>
      <c r="SEH50" s="41"/>
      <c r="SEN50" s="42"/>
      <c r="SEU50" s="33"/>
      <c r="SEV50" s="33"/>
      <c r="SEZ50" s="41"/>
      <c r="SFF50" s="42"/>
      <c r="SFM50" s="33"/>
      <c r="SFN50" s="33"/>
      <c r="SFR50" s="41"/>
      <c r="SFX50" s="42"/>
      <c r="SGE50" s="33"/>
      <c r="SGF50" s="33"/>
      <c r="SGJ50" s="41"/>
      <c r="SGP50" s="42"/>
      <c r="SGW50" s="33"/>
      <c r="SGX50" s="33"/>
      <c r="SHB50" s="41"/>
      <c r="SHH50" s="42"/>
      <c r="SHO50" s="33"/>
      <c r="SHP50" s="33"/>
      <c r="SHT50" s="41"/>
      <c r="SHZ50" s="42"/>
      <c r="SIG50" s="33"/>
      <c r="SIH50" s="33"/>
      <c r="SIL50" s="41"/>
      <c r="SIR50" s="42"/>
      <c r="SIY50" s="33"/>
      <c r="SIZ50" s="33"/>
      <c r="SJD50" s="41"/>
      <c r="SJJ50" s="42"/>
      <c r="SJQ50" s="33"/>
      <c r="SJR50" s="33"/>
      <c r="SJV50" s="41"/>
      <c r="SKB50" s="42"/>
      <c r="SKI50" s="33"/>
      <c r="SKJ50" s="33"/>
      <c r="SKN50" s="41"/>
      <c r="SKT50" s="42"/>
      <c r="SLA50" s="33"/>
      <c r="SLB50" s="33"/>
      <c r="SLF50" s="41"/>
      <c r="SLL50" s="42"/>
      <c r="SLS50" s="33"/>
      <c r="SLT50" s="33"/>
      <c r="SLX50" s="41"/>
      <c r="SMD50" s="42"/>
      <c r="SMK50" s="33"/>
      <c r="SML50" s="33"/>
      <c r="SMP50" s="41"/>
      <c r="SMV50" s="42"/>
      <c r="SNC50" s="33"/>
      <c r="SND50" s="33"/>
      <c r="SNH50" s="41"/>
      <c r="SNN50" s="42"/>
      <c r="SNU50" s="33"/>
      <c r="SNV50" s="33"/>
      <c r="SNZ50" s="41"/>
      <c r="SOF50" s="42"/>
      <c r="SOM50" s="33"/>
      <c r="SON50" s="33"/>
      <c r="SOR50" s="41"/>
      <c r="SOX50" s="42"/>
      <c r="SPE50" s="33"/>
      <c r="SPF50" s="33"/>
      <c r="SPJ50" s="41"/>
      <c r="SPP50" s="42"/>
      <c r="SPW50" s="33"/>
      <c r="SPX50" s="33"/>
      <c r="SQB50" s="41"/>
      <c r="SQH50" s="42"/>
      <c r="SQO50" s="33"/>
      <c r="SQP50" s="33"/>
      <c r="SQT50" s="41"/>
      <c r="SQZ50" s="42"/>
      <c r="SRG50" s="33"/>
      <c r="SRH50" s="33"/>
      <c r="SRL50" s="41"/>
      <c r="SRR50" s="42"/>
      <c r="SRY50" s="33"/>
      <c r="SRZ50" s="33"/>
      <c r="SSD50" s="41"/>
      <c r="SSJ50" s="42"/>
      <c r="SSQ50" s="33"/>
      <c r="SSR50" s="33"/>
      <c r="SSV50" s="41"/>
      <c r="STB50" s="42"/>
      <c r="STI50" s="33"/>
      <c r="STJ50" s="33"/>
      <c r="STN50" s="41"/>
      <c r="STT50" s="42"/>
      <c r="SUA50" s="33"/>
      <c r="SUB50" s="33"/>
      <c r="SUF50" s="41"/>
      <c r="SUL50" s="42"/>
      <c r="SUS50" s="33"/>
      <c r="SUT50" s="33"/>
      <c r="SUX50" s="41"/>
      <c r="SVD50" s="42"/>
      <c r="SVK50" s="33"/>
      <c r="SVL50" s="33"/>
      <c r="SVP50" s="41"/>
      <c r="SVV50" s="42"/>
      <c r="SWC50" s="33"/>
      <c r="SWD50" s="33"/>
      <c r="SWH50" s="41"/>
      <c r="SWN50" s="42"/>
      <c r="SWU50" s="33"/>
      <c r="SWV50" s="33"/>
      <c r="SWZ50" s="41"/>
      <c r="SXF50" s="42"/>
      <c r="SXM50" s="33"/>
      <c r="SXN50" s="33"/>
      <c r="SXR50" s="41"/>
      <c r="SXX50" s="42"/>
      <c r="SYE50" s="33"/>
      <c r="SYF50" s="33"/>
      <c r="SYJ50" s="41"/>
      <c r="SYP50" s="42"/>
      <c r="SYW50" s="33"/>
      <c r="SYX50" s="33"/>
      <c r="SZB50" s="41"/>
      <c r="SZH50" s="42"/>
      <c r="SZO50" s="33"/>
      <c r="SZP50" s="33"/>
      <c r="SZT50" s="41"/>
      <c r="SZZ50" s="42"/>
      <c r="TAG50" s="33"/>
      <c r="TAH50" s="33"/>
      <c r="TAL50" s="41"/>
      <c r="TAR50" s="42"/>
      <c r="TAY50" s="33"/>
      <c r="TAZ50" s="33"/>
      <c r="TBD50" s="41"/>
      <c r="TBJ50" s="42"/>
      <c r="TBQ50" s="33"/>
      <c r="TBR50" s="33"/>
      <c r="TBV50" s="41"/>
      <c r="TCB50" s="42"/>
      <c r="TCI50" s="33"/>
      <c r="TCJ50" s="33"/>
      <c r="TCN50" s="41"/>
      <c r="TCT50" s="42"/>
      <c r="TDA50" s="33"/>
      <c r="TDB50" s="33"/>
      <c r="TDF50" s="41"/>
      <c r="TDL50" s="42"/>
      <c r="TDS50" s="33"/>
      <c r="TDT50" s="33"/>
      <c r="TDX50" s="41"/>
      <c r="TED50" s="42"/>
      <c r="TEK50" s="33"/>
      <c r="TEL50" s="33"/>
      <c r="TEP50" s="41"/>
      <c r="TEV50" s="42"/>
      <c r="TFC50" s="33"/>
      <c r="TFD50" s="33"/>
      <c r="TFH50" s="41"/>
      <c r="TFN50" s="42"/>
      <c r="TFU50" s="33"/>
      <c r="TFV50" s="33"/>
      <c r="TFZ50" s="41"/>
      <c r="TGF50" s="42"/>
      <c r="TGM50" s="33"/>
      <c r="TGN50" s="33"/>
      <c r="TGR50" s="41"/>
      <c r="TGX50" s="42"/>
      <c r="THE50" s="33"/>
      <c r="THF50" s="33"/>
      <c r="THJ50" s="41"/>
      <c r="THP50" s="42"/>
      <c r="THW50" s="33"/>
      <c r="THX50" s="33"/>
      <c r="TIB50" s="41"/>
      <c r="TIH50" s="42"/>
      <c r="TIO50" s="33"/>
      <c r="TIP50" s="33"/>
      <c r="TIT50" s="41"/>
      <c r="TIZ50" s="42"/>
      <c r="TJG50" s="33"/>
      <c r="TJH50" s="33"/>
      <c r="TJL50" s="41"/>
      <c r="TJR50" s="42"/>
      <c r="TJY50" s="33"/>
      <c r="TJZ50" s="33"/>
      <c r="TKD50" s="41"/>
      <c r="TKJ50" s="42"/>
      <c r="TKQ50" s="33"/>
      <c r="TKR50" s="33"/>
      <c r="TKV50" s="41"/>
      <c r="TLB50" s="42"/>
      <c r="TLI50" s="33"/>
      <c r="TLJ50" s="33"/>
      <c r="TLN50" s="41"/>
      <c r="TLT50" s="42"/>
      <c r="TMA50" s="33"/>
      <c r="TMB50" s="33"/>
      <c r="TMF50" s="41"/>
      <c r="TML50" s="42"/>
      <c r="TMS50" s="33"/>
      <c r="TMT50" s="33"/>
      <c r="TMX50" s="41"/>
      <c r="TND50" s="42"/>
      <c r="TNK50" s="33"/>
      <c r="TNL50" s="33"/>
      <c r="TNP50" s="41"/>
      <c r="TNV50" s="42"/>
      <c r="TOC50" s="33"/>
      <c r="TOD50" s="33"/>
      <c r="TOH50" s="41"/>
      <c r="TON50" s="42"/>
      <c r="TOU50" s="33"/>
      <c r="TOV50" s="33"/>
      <c r="TOZ50" s="41"/>
      <c r="TPF50" s="42"/>
      <c r="TPM50" s="33"/>
      <c r="TPN50" s="33"/>
      <c r="TPR50" s="41"/>
      <c r="TPX50" s="42"/>
      <c r="TQE50" s="33"/>
      <c r="TQF50" s="33"/>
      <c r="TQJ50" s="41"/>
      <c r="TQP50" s="42"/>
      <c r="TQW50" s="33"/>
      <c r="TQX50" s="33"/>
      <c r="TRB50" s="41"/>
      <c r="TRH50" s="42"/>
      <c r="TRO50" s="33"/>
      <c r="TRP50" s="33"/>
      <c r="TRT50" s="41"/>
      <c r="TRZ50" s="42"/>
      <c r="TSG50" s="33"/>
      <c r="TSH50" s="33"/>
      <c r="TSL50" s="41"/>
      <c r="TSR50" s="42"/>
      <c r="TSY50" s="33"/>
      <c r="TSZ50" s="33"/>
      <c r="TTD50" s="41"/>
      <c r="TTJ50" s="42"/>
      <c r="TTQ50" s="33"/>
      <c r="TTR50" s="33"/>
      <c r="TTV50" s="41"/>
      <c r="TUB50" s="42"/>
      <c r="TUI50" s="33"/>
      <c r="TUJ50" s="33"/>
      <c r="TUN50" s="41"/>
      <c r="TUT50" s="42"/>
      <c r="TVA50" s="33"/>
      <c r="TVB50" s="33"/>
      <c r="TVF50" s="41"/>
      <c r="TVL50" s="42"/>
      <c r="TVS50" s="33"/>
      <c r="TVT50" s="33"/>
      <c r="TVX50" s="41"/>
      <c r="TWD50" s="42"/>
      <c r="TWK50" s="33"/>
      <c r="TWL50" s="33"/>
      <c r="TWP50" s="41"/>
      <c r="TWV50" s="42"/>
      <c r="TXC50" s="33"/>
      <c r="TXD50" s="33"/>
      <c r="TXH50" s="41"/>
      <c r="TXN50" s="42"/>
      <c r="TXU50" s="33"/>
      <c r="TXV50" s="33"/>
      <c r="TXZ50" s="41"/>
      <c r="TYF50" s="42"/>
      <c r="TYM50" s="33"/>
      <c r="TYN50" s="33"/>
      <c r="TYR50" s="41"/>
      <c r="TYX50" s="42"/>
      <c r="TZE50" s="33"/>
      <c r="TZF50" s="33"/>
      <c r="TZJ50" s="41"/>
      <c r="TZP50" s="42"/>
      <c r="TZW50" s="33"/>
      <c r="TZX50" s="33"/>
      <c r="UAB50" s="41"/>
      <c r="UAH50" s="42"/>
      <c r="UAO50" s="33"/>
      <c r="UAP50" s="33"/>
      <c r="UAT50" s="41"/>
      <c r="UAZ50" s="42"/>
      <c r="UBG50" s="33"/>
      <c r="UBH50" s="33"/>
      <c r="UBL50" s="41"/>
      <c r="UBR50" s="42"/>
      <c r="UBY50" s="33"/>
      <c r="UBZ50" s="33"/>
      <c r="UCD50" s="41"/>
      <c r="UCJ50" s="42"/>
      <c r="UCQ50" s="33"/>
      <c r="UCR50" s="33"/>
      <c r="UCV50" s="41"/>
      <c r="UDB50" s="42"/>
      <c r="UDI50" s="33"/>
      <c r="UDJ50" s="33"/>
      <c r="UDN50" s="41"/>
      <c r="UDT50" s="42"/>
      <c r="UEA50" s="33"/>
      <c r="UEB50" s="33"/>
      <c r="UEF50" s="41"/>
      <c r="UEL50" s="42"/>
      <c r="UES50" s="33"/>
      <c r="UET50" s="33"/>
      <c r="UEX50" s="41"/>
      <c r="UFD50" s="42"/>
      <c r="UFK50" s="33"/>
      <c r="UFL50" s="33"/>
      <c r="UFP50" s="41"/>
      <c r="UFV50" s="42"/>
      <c r="UGC50" s="33"/>
      <c r="UGD50" s="33"/>
      <c r="UGH50" s="41"/>
      <c r="UGN50" s="42"/>
      <c r="UGU50" s="33"/>
      <c r="UGV50" s="33"/>
      <c r="UGZ50" s="41"/>
      <c r="UHF50" s="42"/>
      <c r="UHM50" s="33"/>
      <c r="UHN50" s="33"/>
      <c r="UHR50" s="41"/>
      <c r="UHX50" s="42"/>
      <c r="UIE50" s="33"/>
      <c r="UIF50" s="33"/>
      <c r="UIJ50" s="41"/>
      <c r="UIP50" s="42"/>
      <c r="UIW50" s="33"/>
      <c r="UIX50" s="33"/>
      <c r="UJB50" s="41"/>
      <c r="UJH50" s="42"/>
      <c r="UJO50" s="33"/>
      <c r="UJP50" s="33"/>
      <c r="UJT50" s="41"/>
      <c r="UJZ50" s="42"/>
      <c r="UKG50" s="33"/>
      <c r="UKH50" s="33"/>
      <c r="UKL50" s="41"/>
      <c r="UKR50" s="42"/>
      <c r="UKY50" s="33"/>
      <c r="UKZ50" s="33"/>
      <c r="ULD50" s="41"/>
      <c r="ULJ50" s="42"/>
      <c r="ULQ50" s="33"/>
      <c r="ULR50" s="33"/>
      <c r="ULV50" s="41"/>
      <c r="UMB50" s="42"/>
      <c r="UMI50" s="33"/>
      <c r="UMJ50" s="33"/>
      <c r="UMN50" s="41"/>
      <c r="UMT50" s="42"/>
      <c r="UNA50" s="33"/>
      <c r="UNB50" s="33"/>
      <c r="UNF50" s="41"/>
      <c r="UNL50" s="42"/>
      <c r="UNS50" s="33"/>
      <c r="UNT50" s="33"/>
      <c r="UNX50" s="41"/>
      <c r="UOD50" s="42"/>
      <c r="UOK50" s="33"/>
      <c r="UOL50" s="33"/>
      <c r="UOP50" s="41"/>
      <c r="UOV50" s="42"/>
      <c r="UPC50" s="33"/>
      <c r="UPD50" s="33"/>
      <c r="UPH50" s="41"/>
      <c r="UPN50" s="42"/>
      <c r="UPU50" s="33"/>
      <c r="UPV50" s="33"/>
      <c r="UPZ50" s="41"/>
      <c r="UQF50" s="42"/>
      <c r="UQM50" s="33"/>
      <c r="UQN50" s="33"/>
      <c r="UQR50" s="41"/>
      <c r="UQX50" s="42"/>
      <c r="URE50" s="33"/>
      <c r="URF50" s="33"/>
      <c r="URJ50" s="41"/>
      <c r="URP50" s="42"/>
      <c r="URW50" s="33"/>
      <c r="URX50" s="33"/>
      <c r="USB50" s="41"/>
      <c r="USH50" s="42"/>
      <c r="USO50" s="33"/>
      <c r="USP50" s="33"/>
      <c r="UST50" s="41"/>
      <c r="USZ50" s="42"/>
      <c r="UTG50" s="33"/>
      <c r="UTH50" s="33"/>
      <c r="UTL50" s="41"/>
      <c r="UTR50" s="42"/>
      <c r="UTY50" s="33"/>
      <c r="UTZ50" s="33"/>
      <c r="UUD50" s="41"/>
      <c r="UUJ50" s="42"/>
      <c r="UUQ50" s="33"/>
      <c r="UUR50" s="33"/>
      <c r="UUV50" s="41"/>
      <c r="UVB50" s="42"/>
      <c r="UVI50" s="33"/>
      <c r="UVJ50" s="33"/>
      <c r="UVN50" s="41"/>
      <c r="UVT50" s="42"/>
      <c r="UWA50" s="33"/>
      <c r="UWB50" s="33"/>
      <c r="UWF50" s="41"/>
      <c r="UWL50" s="42"/>
      <c r="UWS50" s="33"/>
      <c r="UWT50" s="33"/>
      <c r="UWX50" s="41"/>
      <c r="UXD50" s="42"/>
      <c r="UXK50" s="33"/>
      <c r="UXL50" s="33"/>
      <c r="UXP50" s="41"/>
      <c r="UXV50" s="42"/>
      <c r="UYC50" s="33"/>
      <c r="UYD50" s="33"/>
      <c r="UYH50" s="41"/>
      <c r="UYN50" s="42"/>
      <c r="UYU50" s="33"/>
      <c r="UYV50" s="33"/>
      <c r="UYZ50" s="41"/>
      <c r="UZF50" s="42"/>
      <c r="UZM50" s="33"/>
      <c r="UZN50" s="33"/>
      <c r="UZR50" s="41"/>
      <c r="UZX50" s="42"/>
      <c r="VAE50" s="33"/>
      <c r="VAF50" s="33"/>
      <c r="VAJ50" s="41"/>
      <c r="VAP50" s="42"/>
      <c r="VAW50" s="33"/>
      <c r="VAX50" s="33"/>
      <c r="VBB50" s="41"/>
      <c r="VBH50" s="42"/>
      <c r="VBO50" s="33"/>
      <c r="VBP50" s="33"/>
      <c r="VBT50" s="41"/>
      <c r="VBZ50" s="42"/>
      <c r="VCG50" s="33"/>
      <c r="VCH50" s="33"/>
      <c r="VCL50" s="41"/>
      <c r="VCR50" s="42"/>
      <c r="VCY50" s="33"/>
      <c r="VCZ50" s="33"/>
      <c r="VDD50" s="41"/>
      <c r="VDJ50" s="42"/>
      <c r="VDQ50" s="33"/>
      <c r="VDR50" s="33"/>
      <c r="VDV50" s="41"/>
      <c r="VEB50" s="42"/>
      <c r="VEI50" s="33"/>
      <c r="VEJ50" s="33"/>
      <c r="VEN50" s="41"/>
      <c r="VET50" s="42"/>
      <c r="VFA50" s="33"/>
      <c r="VFB50" s="33"/>
      <c r="VFF50" s="41"/>
      <c r="VFL50" s="42"/>
      <c r="VFS50" s="33"/>
      <c r="VFT50" s="33"/>
      <c r="VFX50" s="41"/>
      <c r="VGD50" s="42"/>
      <c r="VGK50" s="33"/>
      <c r="VGL50" s="33"/>
      <c r="VGP50" s="41"/>
      <c r="VGV50" s="42"/>
      <c r="VHC50" s="33"/>
      <c r="VHD50" s="33"/>
      <c r="VHH50" s="41"/>
      <c r="VHN50" s="42"/>
      <c r="VHU50" s="33"/>
      <c r="VHV50" s="33"/>
      <c r="VHZ50" s="41"/>
      <c r="VIF50" s="42"/>
      <c r="VIM50" s="33"/>
      <c r="VIN50" s="33"/>
      <c r="VIR50" s="41"/>
      <c r="VIX50" s="42"/>
      <c r="VJE50" s="33"/>
      <c r="VJF50" s="33"/>
      <c r="VJJ50" s="41"/>
      <c r="VJP50" s="42"/>
      <c r="VJW50" s="33"/>
      <c r="VJX50" s="33"/>
      <c r="VKB50" s="41"/>
      <c r="VKH50" s="42"/>
      <c r="VKO50" s="33"/>
      <c r="VKP50" s="33"/>
      <c r="VKT50" s="41"/>
      <c r="VKZ50" s="42"/>
      <c r="VLG50" s="33"/>
      <c r="VLH50" s="33"/>
      <c r="VLL50" s="41"/>
      <c r="VLR50" s="42"/>
      <c r="VLY50" s="33"/>
      <c r="VLZ50" s="33"/>
      <c r="VMD50" s="41"/>
      <c r="VMJ50" s="42"/>
      <c r="VMQ50" s="33"/>
      <c r="VMR50" s="33"/>
      <c r="VMV50" s="41"/>
      <c r="VNB50" s="42"/>
      <c r="VNI50" s="33"/>
      <c r="VNJ50" s="33"/>
      <c r="VNN50" s="41"/>
      <c r="VNT50" s="42"/>
      <c r="VOA50" s="33"/>
      <c r="VOB50" s="33"/>
      <c r="VOF50" s="41"/>
      <c r="VOL50" s="42"/>
      <c r="VOS50" s="33"/>
      <c r="VOT50" s="33"/>
      <c r="VOX50" s="41"/>
      <c r="VPD50" s="42"/>
      <c r="VPK50" s="33"/>
      <c r="VPL50" s="33"/>
      <c r="VPP50" s="41"/>
      <c r="VPV50" s="42"/>
      <c r="VQC50" s="33"/>
      <c r="VQD50" s="33"/>
      <c r="VQH50" s="41"/>
      <c r="VQN50" s="42"/>
      <c r="VQU50" s="33"/>
      <c r="VQV50" s="33"/>
      <c r="VQZ50" s="41"/>
      <c r="VRF50" s="42"/>
      <c r="VRM50" s="33"/>
      <c r="VRN50" s="33"/>
      <c r="VRR50" s="41"/>
      <c r="VRX50" s="42"/>
      <c r="VSE50" s="33"/>
      <c r="VSF50" s="33"/>
      <c r="VSJ50" s="41"/>
      <c r="VSP50" s="42"/>
      <c r="VSW50" s="33"/>
      <c r="VSX50" s="33"/>
      <c r="VTB50" s="41"/>
      <c r="VTH50" s="42"/>
      <c r="VTO50" s="33"/>
      <c r="VTP50" s="33"/>
      <c r="VTT50" s="41"/>
      <c r="VTZ50" s="42"/>
      <c r="VUG50" s="33"/>
      <c r="VUH50" s="33"/>
      <c r="VUL50" s="41"/>
      <c r="VUR50" s="42"/>
      <c r="VUY50" s="33"/>
      <c r="VUZ50" s="33"/>
      <c r="VVD50" s="41"/>
      <c r="VVJ50" s="42"/>
      <c r="VVQ50" s="33"/>
      <c r="VVR50" s="33"/>
      <c r="VVV50" s="41"/>
      <c r="VWB50" s="42"/>
      <c r="VWI50" s="33"/>
      <c r="VWJ50" s="33"/>
      <c r="VWN50" s="41"/>
      <c r="VWT50" s="42"/>
      <c r="VXA50" s="33"/>
      <c r="VXB50" s="33"/>
      <c r="VXF50" s="41"/>
      <c r="VXL50" s="42"/>
      <c r="VXS50" s="33"/>
      <c r="VXT50" s="33"/>
      <c r="VXX50" s="41"/>
      <c r="VYD50" s="42"/>
      <c r="VYK50" s="33"/>
      <c r="VYL50" s="33"/>
      <c r="VYP50" s="41"/>
      <c r="VYV50" s="42"/>
      <c r="VZC50" s="33"/>
      <c r="VZD50" s="33"/>
      <c r="VZH50" s="41"/>
      <c r="VZN50" s="42"/>
      <c r="VZU50" s="33"/>
      <c r="VZV50" s="33"/>
      <c r="VZZ50" s="41"/>
      <c r="WAF50" s="42"/>
      <c r="WAM50" s="33"/>
      <c r="WAN50" s="33"/>
      <c r="WAR50" s="41"/>
      <c r="WAX50" s="42"/>
      <c r="WBE50" s="33"/>
      <c r="WBF50" s="33"/>
      <c r="WBJ50" s="41"/>
      <c r="WBP50" s="42"/>
      <c r="WBW50" s="33"/>
      <c r="WBX50" s="33"/>
      <c r="WCB50" s="41"/>
      <c r="WCH50" s="42"/>
      <c r="WCO50" s="33"/>
      <c r="WCP50" s="33"/>
      <c r="WCT50" s="41"/>
      <c r="WCZ50" s="42"/>
      <c r="WDG50" s="33"/>
      <c r="WDH50" s="33"/>
      <c r="WDL50" s="41"/>
      <c r="WDR50" s="42"/>
      <c r="WDY50" s="33"/>
      <c r="WDZ50" s="33"/>
      <c r="WED50" s="41"/>
      <c r="WEJ50" s="42"/>
      <c r="WEQ50" s="33"/>
      <c r="WER50" s="33"/>
      <c r="WEV50" s="41"/>
      <c r="WFB50" s="42"/>
      <c r="WFI50" s="33"/>
      <c r="WFJ50" s="33"/>
      <c r="WFN50" s="41"/>
      <c r="WFT50" s="42"/>
      <c r="WGA50" s="33"/>
      <c r="WGB50" s="33"/>
      <c r="WGF50" s="41"/>
      <c r="WGL50" s="42"/>
      <c r="WGS50" s="33"/>
      <c r="WGT50" s="33"/>
      <c r="WGX50" s="41"/>
      <c r="WHD50" s="42"/>
      <c r="WHK50" s="33"/>
      <c r="WHL50" s="33"/>
      <c r="WHP50" s="41"/>
      <c r="WHV50" s="42"/>
      <c r="WIC50" s="33"/>
      <c r="WID50" s="33"/>
      <c r="WIH50" s="41"/>
      <c r="WIN50" s="42"/>
      <c r="WIU50" s="33"/>
      <c r="WIV50" s="33"/>
      <c r="WIZ50" s="41"/>
      <c r="WJF50" s="42"/>
      <c r="WJM50" s="33"/>
      <c r="WJN50" s="33"/>
      <c r="WJR50" s="41"/>
      <c r="WJX50" s="42"/>
      <c r="WKE50" s="33"/>
      <c r="WKF50" s="33"/>
      <c r="WKJ50" s="41"/>
      <c r="WKP50" s="42"/>
      <c r="WKW50" s="33"/>
      <c r="WKX50" s="33"/>
      <c r="WLB50" s="41"/>
      <c r="WLH50" s="42"/>
      <c r="WLO50" s="33"/>
      <c r="WLP50" s="33"/>
      <c r="WLT50" s="41"/>
      <c r="WLZ50" s="42"/>
      <c r="WMG50" s="33"/>
      <c r="WMH50" s="33"/>
      <c r="WML50" s="41"/>
      <c r="WMR50" s="42"/>
      <c r="WMY50" s="33"/>
      <c r="WMZ50" s="33"/>
      <c r="WND50" s="41"/>
      <c r="WNJ50" s="42"/>
      <c r="WNQ50" s="33"/>
      <c r="WNR50" s="33"/>
      <c r="WNV50" s="41"/>
      <c r="WOB50" s="42"/>
      <c r="WOI50" s="33"/>
      <c r="WOJ50" s="33"/>
      <c r="WON50" s="41"/>
      <c r="WOT50" s="42"/>
      <c r="WPA50" s="33"/>
      <c r="WPB50" s="33"/>
      <c r="WPF50" s="41"/>
      <c r="WPL50" s="42"/>
      <c r="WPS50" s="33"/>
      <c r="WPT50" s="33"/>
      <c r="WPX50" s="41"/>
      <c r="WQD50" s="42"/>
      <c r="WQK50" s="33"/>
      <c r="WQL50" s="33"/>
      <c r="WQP50" s="41"/>
      <c r="WQV50" s="42"/>
      <c r="WRC50" s="33"/>
      <c r="WRD50" s="33"/>
      <c r="WRH50" s="41"/>
      <c r="WRN50" s="42"/>
      <c r="WRU50" s="33"/>
      <c r="WRV50" s="33"/>
      <c r="WRZ50" s="41"/>
      <c r="WSF50" s="42"/>
      <c r="WSM50" s="33"/>
      <c r="WSN50" s="33"/>
      <c r="WSR50" s="41"/>
      <c r="WSX50" s="42"/>
      <c r="WTE50" s="33"/>
      <c r="WTF50" s="33"/>
      <c r="WTJ50" s="41"/>
      <c r="WTP50" s="42"/>
      <c r="WTW50" s="33"/>
      <c r="WTX50" s="33"/>
      <c r="WUB50" s="41"/>
      <c r="WUH50" s="42"/>
      <c r="WUO50" s="33"/>
      <c r="WUP50" s="33"/>
      <c r="WUT50" s="41"/>
      <c r="WUZ50" s="42"/>
      <c r="WVG50" s="33"/>
      <c r="WVH50" s="33"/>
      <c r="WVL50" s="41"/>
      <c r="WVR50" s="42"/>
      <c r="WVY50" s="33"/>
      <c r="WVZ50" s="33"/>
      <c r="WWD50" s="41"/>
      <c r="WWJ50" s="42"/>
      <c r="WWQ50" s="33"/>
      <c r="WWR50" s="33"/>
      <c r="WWV50" s="41"/>
      <c r="WXB50" s="42"/>
      <c r="WXI50" s="33"/>
      <c r="WXJ50" s="33"/>
      <c r="WXN50" s="41"/>
      <c r="WXT50" s="42"/>
      <c r="WYA50" s="33"/>
      <c r="WYB50" s="33"/>
      <c r="WYF50" s="41"/>
      <c r="WYL50" s="42"/>
      <c r="WYS50" s="33"/>
      <c r="WYT50" s="33"/>
      <c r="WYX50" s="41"/>
      <c r="WZD50" s="42"/>
      <c r="WZK50" s="33"/>
      <c r="WZL50" s="33"/>
      <c r="WZP50" s="41"/>
      <c r="WZV50" s="42"/>
      <c r="XAC50" s="33"/>
      <c r="XAD50" s="33"/>
      <c r="XAH50" s="41"/>
      <c r="XAN50" s="42"/>
      <c r="XAU50" s="33"/>
      <c r="XAV50" s="33"/>
      <c r="XAZ50" s="41"/>
      <c r="XBF50" s="42"/>
      <c r="XBM50" s="33"/>
      <c r="XBN50" s="33"/>
      <c r="XBR50" s="41"/>
      <c r="XBX50" s="42"/>
      <c r="XCE50" s="33"/>
      <c r="XCF50" s="33"/>
      <c r="XCJ50" s="41"/>
      <c r="XCP50" s="42"/>
      <c r="XCW50" s="33"/>
      <c r="XCX50" s="33"/>
      <c r="XDB50" s="41"/>
      <c r="XDH50" s="42"/>
      <c r="XDO50" s="33"/>
      <c r="XDP50" s="33"/>
      <c r="XDT50" s="41"/>
      <c r="XDZ50" s="42"/>
      <c r="XEG50" s="33"/>
      <c r="XEH50" s="33"/>
      <c r="XEL50" s="41"/>
      <c r="XER50" s="42"/>
      <c r="XEY50" s="33"/>
      <c r="XEZ50" s="33"/>
      <c r="XFD50" s="41"/>
    </row>
    <row r="51" spans="1:1018 1025:2044 2051:3070 3077:4096 4103:5116 5122:6142 6148:7168 7174:8190 8194:9216 9220:10234 10241:11260 11267:12286 12293:13312 13319:14332 14338:15358 15364:16384" s="24" customFormat="1">
      <c r="A51" s="21" t="s">
        <v>158</v>
      </c>
      <c r="B51" s="12">
        <v>2008</v>
      </c>
      <c r="C51" s="19" t="s">
        <v>153</v>
      </c>
      <c r="D51" s="22" t="s">
        <v>86</v>
      </c>
      <c r="E51" s="19" t="s">
        <v>159</v>
      </c>
      <c r="F51" s="19" t="s">
        <v>35</v>
      </c>
      <c r="G51" s="20">
        <v>594748911</v>
      </c>
      <c r="H51" s="20">
        <v>665559303</v>
      </c>
      <c r="I51" s="19">
        <v>28</v>
      </c>
      <c r="J51" s="52" t="s">
        <v>160</v>
      </c>
      <c r="K51" s="22"/>
      <c r="L51" s="22"/>
      <c r="M51" s="22" t="s">
        <v>26</v>
      </c>
      <c r="N51" s="12"/>
      <c r="O51" s="22"/>
      <c r="P51" s="12"/>
      <c r="Q51" s="22"/>
      <c r="R51" s="22"/>
      <c r="V51" s="15"/>
      <c r="AB51" s="25"/>
      <c r="AI51" s="21"/>
      <c r="AJ51" s="21"/>
      <c r="AN51" s="15"/>
      <c r="AT51" s="25"/>
      <c r="BA51" s="21"/>
      <c r="BB51" s="21"/>
      <c r="BF51" s="15"/>
      <c r="BL51" s="25"/>
      <c r="BS51" s="21"/>
      <c r="BT51" s="21"/>
      <c r="BX51" s="15"/>
      <c r="CD51" s="25"/>
      <c r="CK51" s="21"/>
      <c r="CL51" s="21"/>
      <c r="CP51" s="15"/>
      <c r="CV51" s="25"/>
      <c r="DC51" s="21"/>
      <c r="DD51" s="21"/>
      <c r="DH51" s="15"/>
      <c r="DN51" s="25"/>
      <c r="DU51" s="21"/>
      <c r="DV51" s="21"/>
      <c r="DZ51" s="15"/>
      <c r="EF51" s="25"/>
      <c r="EM51" s="21"/>
      <c r="EN51" s="21"/>
      <c r="ER51" s="15"/>
      <c r="EX51" s="25"/>
      <c r="FE51" s="21"/>
      <c r="FF51" s="21"/>
      <c r="FJ51" s="15"/>
      <c r="FP51" s="25"/>
      <c r="FW51" s="21"/>
      <c r="FX51" s="21"/>
      <c r="GB51" s="15"/>
      <c r="GH51" s="25"/>
      <c r="GO51" s="21"/>
      <c r="GP51" s="21"/>
      <c r="GT51" s="15"/>
      <c r="GZ51" s="25"/>
      <c r="HG51" s="21"/>
      <c r="HH51" s="21"/>
      <c r="HL51" s="15"/>
      <c r="HR51" s="25"/>
      <c r="HY51" s="21"/>
      <c r="HZ51" s="21"/>
      <c r="ID51" s="15"/>
      <c r="IJ51" s="25"/>
      <c r="IQ51" s="21"/>
      <c r="IR51" s="21"/>
      <c r="IV51" s="15"/>
      <c r="JB51" s="25"/>
      <c r="JI51" s="21"/>
      <c r="JJ51" s="21"/>
      <c r="JN51" s="15"/>
      <c r="JT51" s="25"/>
      <c r="KA51" s="21"/>
      <c r="KB51" s="21"/>
      <c r="KF51" s="15"/>
      <c r="KL51" s="25"/>
      <c r="KS51" s="21"/>
      <c r="KT51" s="21"/>
      <c r="KX51" s="15"/>
      <c r="LD51" s="25"/>
      <c r="LK51" s="21"/>
      <c r="LL51" s="21"/>
      <c r="LP51" s="15"/>
      <c r="LV51" s="25"/>
      <c r="MC51" s="21"/>
      <c r="MD51" s="21"/>
      <c r="MH51" s="15"/>
      <c r="MN51" s="25"/>
      <c r="MU51" s="21"/>
      <c r="MV51" s="21"/>
      <c r="MZ51" s="15"/>
      <c r="NF51" s="25"/>
      <c r="NM51" s="21"/>
      <c r="NN51" s="21"/>
      <c r="NR51" s="15"/>
      <c r="NX51" s="25"/>
      <c r="OE51" s="21"/>
      <c r="OF51" s="21"/>
      <c r="OJ51" s="15"/>
      <c r="OP51" s="25"/>
      <c r="OW51" s="21"/>
      <c r="OX51" s="21"/>
      <c r="PB51" s="15"/>
      <c r="PH51" s="25"/>
      <c r="PO51" s="21"/>
      <c r="PP51" s="21"/>
      <c r="PT51" s="15"/>
      <c r="PZ51" s="25"/>
      <c r="QG51" s="21"/>
      <c r="QH51" s="21"/>
      <c r="QL51" s="15"/>
      <c r="QR51" s="25"/>
      <c r="QY51" s="21"/>
      <c r="QZ51" s="21"/>
      <c r="RD51" s="15"/>
      <c r="RJ51" s="25"/>
      <c r="RQ51" s="21"/>
      <c r="RR51" s="21"/>
      <c r="RV51" s="15"/>
      <c r="SB51" s="25"/>
      <c r="SI51" s="21"/>
      <c r="SJ51" s="21"/>
      <c r="SN51" s="15"/>
      <c r="ST51" s="25"/>
      <c r="TA51" s="21"/>
      <c r="TB51" s="21"/>
      <c r="TF51" s="15"/>
      <c r="TL51" s="25"/>
      <c r="TS51" s="21"/>
      <c r="TT51" s="21"/>
      <c r="TX51" s="15"/>
      <c r="UD51" s="25"/>
      <c r="UK51" s="21"/>
      <c r="UL51" s="21"/>
      <c r="UP51" s="15"/>
      <c r="UV51" s="25"/>
      <c r="VC51" s="21"/>
      <c r="VD51" s="21"/>
      <c r="VH51" s="15"/>
      <c r="VN51" s="25"/>
      <c r="VU51" s="21"/>
      <c r="VV51" s="21"/>
      <c r="VZ51" s="15"/>
      <c r="WF51" s="25"/>
      <c r="WM51" s="21"/>
      <c r="WN51" s="21"/>
      <c r="WR51" s="15"/>
      <c r="WX51" s="25"/>
      <c r="XE51" s="21"/>
      <c r="XF51" s="21"/>
      <c r="XJ51" s="15"/>
      <c r="XP51" s="25"/>
      <c r="XW51" s="21"/>
      <c r="XX51" s="21"/>
      <c r="YB51" s="15"/>
      <c r="YH51" s="25"/>
      <c r="YO51" s="21"/>
      <c r="YP51" s="21"/>
      <c r="YT51" s="15"/>
      <c r="YZ51" s="25"/>
      <c r="ZG51" s="21"/>
      <c r="ZH51" s="21"/>
      <c r="ZL51" s="15"/>
      <c r="ZR51" s="25"/>
      <c r="ZY51" s="21"/>
      <c r="ZZ51" s="21"/>
      <c r="AAD51" s="15"/>
      <c r="AAJ51" s="25"/>
      <c r="AAQ51" s="21"/>
      <c r="AAR51" s="21"/>
      <c r="AAV51" s="15"/>
      <c r="ABB51" s="25"/>
      <c r="ABI51" s="21"/>
      <c r="ABJ51" s="21"/>
      <c r="ABN51" s="15"/>
      <c r="ABT51" s="25"/>
      <c r="ACA51" s="21"/>
      <c r="ACB51" s="21"/>
      <c r="ACF51" s="15"/>
      <c r="ACL51" s="25"/>
      <c r="ACS51" s="21"/>
      <c r="ACT51" s="21"/>
      <c r="ACX51" s="15"/>
      <c r="ADD51" s="25"/>
      <c r="ADK51" s="21"/>
      <c r="ADL51" s="21"/>
      <c r="ADP51" s="15"/>
      <c r="ADV51" s="25"/>
      <c r="AEC51" s="21"/>
      <c r="AED51" s="21"/>
      <c r="AEH51" s="15"/>
      <c r="AEN51" s="25"/>
      <c r="AEU51" s="21"/>
      <c r="AEV51" s="21"/>
      <c r="AEZ51" s="15"/>
      <c r="AFF51" s="25"/>
      <c r="AFM51" s="21"/>
      <c r="AFN51" s="21"/>
      <c r="AFR51" s="15"/>
      <c r="AFX51" s="25"/>
      <c r="AGE51" s="21"/>
      <c r="AGF51" s="21"/>
      <c r="AGJ51" s="15"/>
      <c r="AGP51" s="25"/>
      <c r="AGW51" s="21"/>
      <c r="AGX51" s="21"/>
      <c r="AHB51" s="15"/>
      <c r="AHH51" s="25"/>
      <c r="AHO51" s="21"/>
      <c r="AHP51" s="21"/>
      <c r="AHT51" s="15"/>
      <c r="AHZ51" s="25"/>
      <c r="AIG51" s="21"/>
      <c r="AIH51" s="21"/>
      <c r="AIL51" s="15"/>
      <c r="AIR51" s="25"/>
      <c r="AIY51" s="21"/>
      <c r="AIZ51" s="21"/>
      <c r="AJD51" s="15"/>
      <c r="AJJ51" s="25"/>
      <c r="AJQ51" s="21"/>
      <c r="AJR51" s="21"/>
      <c r="AJV51" s="15"/>
      <c r="AKB51" s="25"/>
      <c r="AKI51" s="21"/>
      <c r="AKJ51" s="21"/>
      <c r="AKN51" s="15"/>
      <c r="AKT51" s="25"/>
      <c r="ALA51" s="21"/>
      <c r="ALB51" s="21"/>
      <c r="ALF51" s="15"/>
      <c r="ALL51" s="25"/>
      <c r="ALS51" s="21"/>
      <c r="ALT51" s="21"/>
      <c r="ALX51" s="15"/>
      <c r="AMD51" s="25"/>
      <c r="AMK51" s="21"/>
      <c r="AML51" s="21"/>
      <c r="AMP51" s="15"/>
      <c r="AMV51" s="25"/>
      <c r="ANC51" s="21"/>
      <c r="AND51" s="21"/>
      <c r="ANH51" s="15"/>
      <c r="ANN51" s="25"/>
      <c r="ANU51" s="21"/>
      <c r="ANV51" s="21"/>
      <c r="ANZ51" s="15"/>
      <c r="AOF51" s="25"/>
      <c r="AOM51" s="21"/>
      <c r="AON51" s="21"/>
      <c r="AOR51" s="15"/>
      <c r="AOX51" s="25"/>
      <c r="APE51" s="21"/>
      <c r="APF51" s="21"/>
      <c r="APJ51" s="15"/>
      <c r="APP51" s="25"/>
      <c r="APW51" s="21"/>
      <c r="APX51" s="21"/>
      <c r="AQB51" s="15"/>
      <c r="AQH51" s="25"/>
      <c r="AQO51" s="21"/>
      <c r="AQP51" s="21"/>
      <c r="AQT51" s="15"/>
      <c r="AQZ51" s="25"/>
      <c r="ARG51" s="21"/>
      <c r="ARH51" s="21"/>
      <c r="ARL51" s="15"/>
      <c r="ARR51" s="25"/>
      <c r="ARY51" s="21"/>
      <c r="ARZ51" s="21"/>
      <c r="ASD51" s="15"/>
      <c r="ASJ51" s="25"/>
      <c r="ASQ51" s="21"/>
      <c r="ASR51" s="21"/>
      <c r="ASV51" s="15"/>
      <c r="ATB51" s="25"/>
      <c r="ATI51" s="21"/>
      <c r="ATJ51" s="21"/>
      <c r="ATN51" s="15"/>
      <c r="ATT51" s="25"/>
      <c r="AUA51" s="21"/>
      <c r="AUB51" s="21"/>
      <c r="AUF51" s="15"/>
      <c r="AUL51" s="25"/>
      <c r="AUS51" s="21"/>
      <c r="AUT51" s="21"/>
      <c r="AUX51" s="15"/>
      <c r="AVD51" s="25"/>
      <c r="AVK51" s="21"/>
      <c r="AVL51" s="21"/>
      <c r="AVP51" s="15"/>
      <c r="AVV51" s="25"/>
      <c r="AWC51" s="21"/>
      <c r="AWD51" s="21"/>
      <c r="AWH51" s="15"/>
      <c r="AWN51" s="25"/>
      <c r="AWU51" s="21"/>
      <c r="AWV51" s="21"/>
      <c r="AWZ51" s="15"/>
      <c r="AXF51" s="25"/>
      <c r="AXM51" s="21"/>
      <c r="AXN51" s="21"/>
      <c r="AXR51" s="15"/>
      <c r="AXX51" s="25"/>
      <c r="AYE51" s="21"/>
      <c r="AYF51" s="21"/>
      <c r="AYJ51" s="15"/>
      <c r="AYP51" s="25"/>
      <c r="AYW51" s="21"/>
      <c r="AYX51" s="21"/>
      <c r="AZB51" s="15"/>
      <c r="AZH51" s="25"/>
      <c r="AZO51" s="21"/>
      <c r="AZP51" s="21"/>
      <c r="AZT51" s="15"/>
      <c r="AZZ51" s="25"/>
      <c r="BAG51" s="21"/>
      <c r="BAH51" s="21"/>
      <c r="BAL51" s="15"/>
      <c r="BAR51" s="25"/>
      <c r="BAY51" s="21"/>
      <c r="BAZ51" s="21"/>
      <c r="BBD51" s="15"/>
      <c r="BBJ51" s="25"/>
      <c r="BBQ51" s="21"/>
      <c r="BBR51" s="21"/>
      <c r="BBV51" s="15"/>
      <c r="BCB51" s="25"/>
      <c r="BCI51" s="21"/>
      <c r="BCJ51" s="21"/>
      <c r="BCN51" s="15"/>
      <c r="BCT51" s="25"/>
      <c r="BDA51" s="21"/>
      <c r="BDB51" s="21"/>
      <c r="BDF51" s="15"/>
      <c r="BDL51" s="25"/>
      <c r="BDS51" s="21"/>
      <c r="BDT51" s="21"/>
      <c r="BDX51" s="15"/>
      <c r="BED51" s="25"/>
      <c r="BEK51" s="21"/>
      <c r="BEL51" s="21"/>
      <c r="BEP51" s="15"/>
      <c r="BEV51" s="25"/>
      <c r="BFC51" s="21"/>
      <c r="BFD51" s="21"/>
      <c r="BFH51" s="15"/>
      <c r="BFN51" s="25"/>
      <c r="BFU51" s="21"/>
      <c r="BFV51" s="21"/>
      <c r="BFZ51" s="15"/>
      <c r="BGF51" s="25"/>
      <c r="BGM51" s="21"/>
      <c r="BGN51" s="21"/>
      <c r="BGR51" s="15"/>
      <c r="BGX51" s="25"/>
      <c r="BHE51" s="21"/>
      <c r="BHF51" s="21"/>
      <c r="BHJ51" s="15"/>
      <c r="BHP51" s="25"/>
      <c r="BHW51" s="21"/>
      <c r="BHX51" s="21"/>
      <c r="BIB51" s="15"/>
      <c r="BIH51" s="25"/>
      <c r="BIO51" s="21"/>
      <c r="BIP51" s="21"/>
      <c r="BIT51" s="15"/>
      <c r="BIZ51" s="25"/>
      <c r="BJG51" s="21"/>
      <c r="BJH51" s="21"/>
      <c r="BJL51" s="15"/>
      <c r="BJR51" s="25"/>
      <c r="BJY51" s="21"/>
      <c r="BJZ51" s="21"/>
      <c r="BKD51" s="15"/>
      <c r="BKJ51" s="25"/>
      <c r="BKQ51" s="21"/>
      <c r="BKR51" s="21"/>
      <c r="BKV51" s="15"/>
      <c r="BLB51" s="25"/>
      <c r="BLI51" s="21"/>
      <c r="BLJ51" s="21"/>
      <c r="BLN51" s="15"/>
      <c r="BLT51" s="25"/>
      <c r="BMA51" s="21"/>
      <c r="BMB51" s="21"/>
      <c r="BMF51" s="15"/>
      <c r="BML51" s="25"/>
      <c r="BMS51" s="21"/>
      <c r="BMT51" s="21"/>
      <c r="BMX51" s="15"/>
      <c r="BND51" s="25"/>
      <c r="BNK51" s="21"/>
      <c r="BNL51" s="21"/>
      <c r="BNP51" s="15"/>
      <c r="BNV51" s="25"/>
      <c r="BOC51" s="21"/>
      <c r="BOD51" s="21"/>
      <c r="BOH51" s="15"/>
      <c r="BON51" s="25"/>
      <c r="BOU51" s="21"/>
      <c r="BOV51" s="21"/>
      <c r="BOZ51" s="15"/>
      <c r="BPF51" s="25"/>
      <c r="BPM51" s="21"/>
      <c r="BPN51" s="21"/>
      <c r="BPR51" s="15"/>
      <c r="BPX51" s="25"/>
      <c r="BQE51" s="21"/>
      <c r="BQF51" s="21"/>
      <c r="BQJ51" s="15"/>
      <c r="BQP51" s="25"/>
      <c r="BQW51" s="21"/>
      <c r="BQX51" s="21"/>
      <c r="BRB51" s="15"/>
      <c r="BRH51" s="25"/>
      <c r="BRO51" s="21"/>
      <c r="BRP51" s="21"/>
      <c r="BRT51" s="15"/>
      <c r="BRZ51" s="25"/>
      <c r="BSG51" s="21"/>
      <c r="BSH51" s="21"/>
      <c r="BSL51" s="15"/>
      <c r="BSR51" s="25"/>
      <c r="BSY51" s="21"/>
      <c r="BSZ51" s="21"/>
      <c r="BTD51" s="15"/>
      <c r="BTJ51" s="25"/>
      <c r="BTQ51" s="21"/>
      <c r="BTR51" s="21"/>
      <c r="BTV51" s="15"/>
      <c r="BUB51" s="25"/>
      <c r="BUI51" s="21"/>
      <c r="BUJ51" s="21"/>
      <c r="BUN51" s="15"/>
      <c r="BUT51" s="25"/>
      <c r="BVA51" s="21"/>
      <c r="BVB51" s="21"/>
      <c r="BVF51" s="15"/>
      <c r="BVL51" s="25"/>
      <c r="BVS51" s="21"/>
      <c r="BVT51" s="21"/>
      <c r="BVX51" s="15"/>
      <c r="BWD51" s="25"/>
      <c r="BWK51" s="21"/>
      <c r="BWL51" s="21"/>
      <c r="BWP51" s="15"/>
      <c r="BWV51" s="25"/>
      <c r="BXC51" s="21"/>
      <c r="BXD51" s="21"/>
      <c r="BXH51" s="15"/>
      <c r="BXN51" s="25"/>
      <c r="BXU51" s="21"/>
      <c r="BXV51" s="21"/>
      <c r="BXZ51" s="15"/>
      <c r="BYF51" s="25"/>
      <c r="BYM51" s="21"/>
      <c r="BYN51" s="21"/>
      <c r="BYR51" s="15"/>
      <c r="BYX51" s="25"/>
      <c r="BZE51" s="21"/>
      <c r="BZF51" s="21"/>
      <c r="BZJ51" s="15"/>
      <c r="BZP51" s="25"/>
      <c r="BZW51" s="21"/>
      <c r="BZX51" s="21"/>
      <c r="CAB51" s="15"/>
      <c r="CAH51" s="25"/>
      <c r="CAO51" s="21"/>
      <c r="CAP51" s="21"/>
      <c r="CAT51" s="15"/>
      <c r="CAZ51" s="25"/>
      <c r="CBG51" s="21"/>
      <c r="CBH51" s="21"/>
      <c r="CBL51" s="15"/>
      <c r="CBR51" s="25"/>
      <c r="CBY51" s="21"/>
      <c r="CBZ51" s="21"/>
      <c r="CCD51" s="15"/>
      <c r="CCJ51" s="25"/>
      <c r="CCQ51" s="21"/>
      <c r="CCR51" s="21"/>
      <c r="CCV51" s="15"/>
      <c r="CDB51" s="25"/>
      <c r="CDI51" s="21"/>
      <c r="CDJ51" s="21"/>
      <c r="CDN51" s="15"/>
      <c r="CDT51" s="25"/>
      <c r="CEA51" s="21"/>
      <c r="CEB51" s="21"/>
      <c r="CEF51" s="15"/>
      <c r="CEL51" s="25"/>
      <c r="CES51" s="21"/>
      <c r="CET51" s="21"/>
      <c r="CEX51" s="15"/>
      <c r="CFD51" s="25"/>
      <c r="CFK51" s="21"/>
      <c r="CFL51" s="21"/>
      <c r="CFP51" s="15"/>
      <c r="CFV51" s="25"/>
      <c r="CGC51" s="21"/>
      <c r="CGD51" s="21"/>
      <c r="CGH51" s="15"/>
      <c r="CGN51" s="25"/>
      <c r="CGU51" s="21"/>
      <c r="CGV51" s="21"/>
      <c r="CGZ51" s="15"/>
      <c r="CHF51" s="25"/>
      <c r="CHM51" s="21"/>
      <c r="CHN51" s="21"/>
      <c r="CHR51" s="15"/>
      <c r="CHX51" s="25"/>
      <c r="CIE51" s="21"/>
      <c r="CIF51" s="21"/>
      <c r="CIJ51" s="15"/>
      <c r="CIP51" s="25"/>
      <c r="CIW51" s="21"/>
      <c r="CIX51" s="21"/>
      <c r="CJB51" s="15"/>
      <c r="CJH51" s="25"/>
      <c r="CJO51" s="21"/>
      <c r="CJP51" s="21"/>
      <c r="CJT51" s="15"/>
      <c r="CJZ51" s="25"/>
      <c r="CKG51" s="21"/>
      <c r="CKH51" s="21"/>
      <c r="CKL51" s="15"/>
      <c r="CKR51" s="25"/>
      <c r="CKY51" s="21"/>
      <c r="CKZ51" s="21"/>
      <c r="CLD51" s="15"/>
      <c r="CLJ51" s="25"/>
      <c r="CLQ51" s="21"/>
      <c r="CLR51" s="21"/>
      <c r="CLV51" s="15"/>
      <c r="CMB51" s="25"/>
      <c r="CMI51" s="21"/>
      <c r="CMJ51" s="21"/>
      <c r="CMN51" s="15"/>
      <c r="CMT51" s="25"/>
      <c r="CNA51" s="21"/>
      <c r="CNB51" s="21"/>
      <c r="CNF51" s="15"/>
      <c r="CNL51" s="25"/>
      <c r="CNS51" s="21"/>
      <c r="CNT51" s="21"/>
      <c r="CNX51" s="15"/>
      <c r="COD51" s="25"/>
      <c r="COK51" s="21"/>
      <c r="COL51" s="21"/>
      <c r="COP51" s="15"/>
      <c r="COV51" s="25"/>
      <c r="CPC51" s="21"/>
      <c r="CPD51" s="21"/>
      <c r="CPH51" s="15"/>
      <c r="CPN51" s="25"/>
      <c r="CPU51" s="21"/>
      <c r="CPV51" s="21"/>
      <c r="CPZ51" s="15"/>
      <c r="CQF51" s="25"/>
      <c r="CQM51" s="21"/>
      <c r="CQN51" s="21"/>
      <c r="CQR51" s="15"/>
      <c r="CQX51" s="25"/>
      <c r="CRE51" s="21"/>
      <c r="CRF51" s="21"/>
      <c r="CRJ51" s="15"/>
      <c r="CRP51" s="25"/>
      <c r="CRW51" s="21"/>
      <c r="CRX51" s="21"/>
      <c r="CSB51" s="15"/>
      <c r="CSH51" s="25"/>
      <c r="CSO51" s="21"/>
      <c r="CSP51" s="21"/>
      <c r="CST51" s="15"/>
      <c r="CSZ51" s="25"/>
      <c r="CTG51" s="21"/>
      <c r="CTH51" s="21"/>
      <c r="CTL51" s="15"/>
      <c r="CTR51" s="25"/>
      <c r="CTY51" s="21"/>
      <c r="CTZ51" s="21"/>
      <c r="CUD51" s="15"/>
      <c r="CUJ51" s="25"/>
      <c r="CUQ51" s="21"/>
      <c r="CUR51" s="21"/>
      <c r="CUV51" s="15"/>
      <c r="CVB51" s="25"/>
      <c r="CVI51" s="21"/>
      <c r="CVJ51" s="21"/>
      <c r="CVN51" s="15"/>
      <c r="CVT51" s="25"/>
      <c r="CWA51" s="21"/>
      <c r="CWB51" s="21"/>
      <c r="CWF51" s="15"/>
      <c r="CWL51" s="25"/>
      <c r="CWS51" s="21"/>
      <c r="CWT51" s="21"/>
      <c r="CWX51" s="15"/>
      <c r="CXD51" s="25"/>
      <c r="CXK51" s="21"/>
      <c r="CXL51" s="21"/>
      <c r="CXP51" s="15"/>
      <c r="CXV51" s="25"/>
      <c r="CYC51" s="21"/>
      <c r="CYD51" s="21"/>
      <c r="CYH51" s="15"/>
      <c r="CYN51" s="25"/>
      <c r="CYU51" s="21"/>
      <c r="CYV51" s="21"/>
      <c r="CYZ51" s="15"/>
      <c r="CZF51" s="25"/>
      <c r="CZM51" s="21"/>
      <c r="CZN51" s="21"/>
      <c r="CZR51" s="15"/>
      <c r="CZX51" s="25"/>
      <c r="DAE51" s="21"/>
      <c r="DAF51" s="21"/>
      <c r="DAJ51" s="15"/>
      <c r="DAP51" s="25"/>
      <c r="DAW51" s="21"/>
      <c r="DAX51" s="21"/>
      <c r="DBB51" s="15"/>
      <c r="DBH51" s="25"/>
      <c r="DBO51" s="21"/>
      <c r="DBP51" s="21"/>
      <c r="DBT51" s="15"/>
      <c r="DBZ51" s="25"/>
      <c r="DCG51" s="21"/>
      <c r="DCH51" s="21"/>
      <c r="DCL51" s="15"/>
      <c r="DCR51" s="25"/>
      <c r="DCY51" s="21"/>
      <c r="DCZ51" s="21"/>
      <c r="DDD51" s="15"/>
      <c r="DDJ51" s="25"/>
      <c r="DDQ51" s="21"/>
      <c r="DDR51" s="21"/>
      <c r="DDV51" s="15"/>
      <c r="DEB51" s="25"/>
      <c r="DEI51" s="21"/>
      <c r="DEJ51" s="21"/>
      <c r="DEN51" s="15"/>
      <c r="DET51" s="25"/>
      <c r="DFA51" s="21"/>
      <c r="DFB51" s="21"/>
      <c r="DFF51" s="15"/>
      <c r="DFL51" s="25"/>
      <c r="DFS51" s="21"/>
      <c r="DFT51" s="21"/>
      <c r="DFX51" s="15"/>
      <c r="DGD51" s="25"/>
      <c r="DGK51" s="21"/>
      <c r="DGL51" s="21"/>
      <c r="DGP51" s="15"/>
      <c r="DGV51" s="25"/>
      <c r="DHC51" s="21"/>
      <c r="DHD51" s="21"/>
      <c r="DHH51" s="15"/>
      <c r="DHN51" s="25"/>
      <c r="DHU51" s="21"/>
      <c r="DHV51" s="21"/>
      <c r="DHZ51" s="15"/>
      <c r="DIF51" s="25"/>
      <c r="DIM51" s="21"/>
      <c r="DIN51" s="21"/>
      <c r="DIR51" s="15"/>
      <c r="DIX51" s="25"/>
      <c r="DJE51" s="21"/>
      <c r="DJF51" s="21"/>
      <c r="DJJ51" s="15"/>
      <c r="DJP51" s="25"/>
      <c r="DJW51" s="21"/>
      <c r="DJX51" s="21"/>
      <c r="DKB51" s="15"/>
      <c r="DKH51" s="25"/>
      <c r="DKO51" s="21"/>
      <c r="DKP51" s="21"/>
      <c r="DKT51" s="15"/>
      <c r="DKZ51" s="25"/>
      <c r="DLG51" s="21"/>
      <c r="DLH51" s="21"/>
      <c r="DLL51" s="15"/>
      <c r="DLR51" s="25"/>
      <c r="DLY51" s="21"/>
      <c r="DLZ51" s="21"/>
      <c r="DMD51" s="15"/>
      <c r="DMJ51" s="25"/>
      <c r="DMQ51" s="21"/>
      <c r="DMR51" s="21"/>
      <c r="DMV51" s="15"/>
      <c r="DNB51" s="25"/>
      <c r="DNI51" s="21"/>
      <c r="DNJ51" s="21"/>
      <c r="DNN51" s="15"/>
      <c r="DNT51" s="25"/>
      <c r="DOA51" s="21"/>
      <c r="DOB51" s="21"/>
      <c r="DOF51" s="15"/>
      <c r="DOL51" s="25"/>
      <c r="DOS51" s="21"/>
      <c r="DOT51" s="21"/>
      <c r="DOX51" s="15"/>
      <c r="DPD51" s="25"/>
      <c r="DPK51" s="21"/>
      <c r="DPL51" s="21"/>
      <c r="DPP51" s="15"/>
      <c r="DPV51" s="25"/>
      <c r="DQC51" s="21"/>
      <c r="DQD51" s="21"/>
      <c r="DQH51" s="15"/>
      <c r="DQN51" s="25"/>
      <c r="DQU51" s="21"/>
      <c r="DQV51" s="21"/>
      <c r="DQZ51" s="15"/>
      <c r="DRF51" s="25"/>
      <c r="DRM51" s="21"/>
      <c r="DRN51" s="21"/>
      <c r="DRR51" s="15"/>
      <c r="DRX51" s="25"/>
      <c r="DSE51" s="21"/>
      <c r="DSF51" s="21"/>
      <c r="DSJ51" s="15"/>
      <c r="DSP51" s="25"/>
      <c r="DSW51" s="21"/>
      <c r="DSX51" s="21"/>
      <c r="DTB51" s="15"/>
      <c r="DTH51" s="25"/>
      <c r="DTO51" s="21"/>
      <c r="DTP51" s="21"/>
      <c r="DTT51" s="15"/>
      <c r="DTZ51" s="25"/>
      <c r="DUG51" s="21"/>
      <c r="DUH51" s="21"/>
      <c r="DUL51" s="15"/>
      <c r="DUR51" s="25"/>
      <c r="DUY51" s="21"/>
      <c r="DUZ51" s="21"/>
      <c r="DVD51" s="15"/>
      <c r="DVJ51" s="25"/>
      <c r="DVQ51" s="21"/>
      <c r="DVR51" s="21"/>
      <c r="DVV51" s="15"/>
      <c r="DWB51" s="25"/>
      <c r="DWI51" s="21"/>
      <c r="DWJ51" s="21"/>
      <c r="DWN51" s="15"/>
      <c r="DWT51" s="25"/>
      <c r="DXA51" s="21"/>
      <c r="DXB51" s="21"/>
      <c r="DXF51" s="15"/>
      <c r="DXL51" s="25"/>
      <c r="DXS51" s="21"/>
      <c r="DXT51" s="21"/>
      <c r="DXX51" s="15"/>
      <c r="DYD51" s="25"/>
      <c r="DYK51" s="21"/>
      <c r="DYL51" s="21"/>
      <c r="DYP51" s="15"/>
      <c r="DYV51" s="25"/>
      <c r="DZC51" s="21"/>
      <c r="DZD51" s="21"/>
      <c r="DZH51" s="15"/>
      <c r="DZN51" s="25"/>
      <c r="DZU51" s="21"/>
      <c r="DZV51" s="21"/>
      <c r="DZZ51" s="15"/>
      <c r="EAF51" s="25"/>
      <c r="EAM51" s="21"/>
      <c r="EAN51" s="21"/>
      <c r="EAR51" s="15"/>
      <c r="EAX51" s="25"/>
      <c r="EBE51" s="21"/>
      <c r="EBF51" s="21"/>
      <c r="EBJ51" s="15"/>
      <c r="EBP51" s="25"/>
      <c r="EBW51" s="21"/>
      <c r="EBX51" s="21"/>
      <c r="ECB51" s="15"/>
      <c r="ECH51" s="25"/>
      <c r="ECO51" s="21"/>
      <c r="ECP51" s="21"/>
      <c r="ECT51" s="15"/>
      <c r="ECZ51" s="25"/>
      <c r="EDG51" s="21"/>
      <c r="EDH51" s="21"/>
      <c r="EDL51" s="15"/>
      <c r="EDR51" s="25"/>
      <c r="EDY51" s="21"/>
      <c r="EDZ51" s="21"/>
      <c r="EED51" s="15"/>
      <c r="EEJ51" s="25"/>
      <c r="EEQ51" s="21"/>
      <c r="EER51" s="21"/>
      <c r="EEV51" s="15"/>
      <c r="EFB51" s="25"/>
      <c r="EFI51" s="21"/>
      <c r="EFJ51" s="21"/>
      <c r="EFN51" s="15"/>
      <c r="EFT51" s="25"/>
      <c r="EGA51" s="21"/>
      <c r="EGB51" s="21"/>
      <c r="EGF51" s="15"/>
      <c r="EGL51" s="25"/>
      <c r="EGS51" s="21"/>
      <c r="EGT51" s="21"/>
      <c r="EGX51" s="15"/>
      <c r="EHD51" s="25"/>
      <c r="EHK51" s="21"/>
      <c r="EHL51" s="21"/>
      <c r="EHP51" s="15"/>
      <c r="EHV51" s="25"/>
      <c r="EIC51" s="21"/>
      <c r="EID51" s="21"/>
      <c r="EIH51" s="15"/>
      <c r="EIN51" s="25"/>
      <c r="EIU51" s="21"/>
      <c r="EIV51" s="21"/>
      <c r="EIZ51" s="15"/>
      <c r="EJF51" s="25"/>
      <c r="EJM51" s="21"/>
      <c r="EJN51" s="21"/>
      <c r="EJR51" s="15"/>
      <c r="EJX51" s="25"/>
      <c r="EKE51" s="21"/>
      <c r="EKF51" s="21"/>
      <c r="EKJ51" s="15"/>
      <c r="EKP51" s="25"/>
      <c r="EKW51" s="21"/>
      <c r="EKX51" s="21"/>
      <c r="ELB51" s="15"/>
      <c r="ELH51" s="25"/>
      <c r="ELO51" s="21"/>
      <c r="ELP51" s="21"/>
      <c r="ELT51" s="15"/>
      <c r="ELZ51" s="25"/>
      <c r="EMG51" s="21"/>
      <c r="EMH51" s="21"/>
      <c r="EML51" s="15"/>
      <c r="EMR51" s="25"/>
      <c r="EMY51" s="21"/>
      <c r="EMZ51" s="21"/>
      <c r="END51" s="15"/>
      <c r="ENJ51" s="25"/>
      <c r="ENQ51" s="21"/>
      <c r="ENR51" s="21"/>
      <c r="ENV51" s="15"/>
      <c r="EOB51" s="25"/>
      <c r="EOI51" s="21"/>
      <c r="EOJ51" s="21"/>
      <c r="EON51" s="15"/>
      <c r="EOT51" s="25"/>
      <c r="EPA51" s="21"/>
      <c r="EPB51" s="21"/>
      <c r="EPF51" s="15"/>
      <c r="EPL51" s="25"/>
      <c r="EPS51" s="21"/>
      <c r="EPT51" s="21"/>
      <c r="EPX51" s="15"/>
      <c r="EQD51" s="25"/>
      <c r="EQK51" s="21"/>
      <c r="EQL51" s="21"/>
      <c r="EQP51" s="15"/>
      <c r="EQV51" s="25"/>
      <c r="ERC51" s="21"/>
      <c r="ERD51" s="21"/>
      <c r="ERH51" s="15"/>
      <c r="ERN51" s="25"/>
      <c r="ERU51" s="21"/>
      <c r="ERV51" s="21"/>
      <c r="ERZ51" s="15"/>
      <c r="ESF51" s="25"/>
      <c r="ESM51" s="21"/>
      <c r="ESN51" s="21"/>
      <c r="ESR51" s="15"/>
      <c r="ESX51" s="25"/>
      <c r="ETE51" s="21"/>
      <c r="ETF51" s="21"/>
      <c r="ETJ51" s="15"/>
      <c r="ETP51" s="25"/>
      <c r="ETW51" s="21"/>
      <c r="ETX51" s="21"/>
      <c r="EUB51" s="15"/>
      <c r="EUH51" s="25"/>
      <c r="EUO51" s="21"/>
      <c r="EUP51" s="21"/>
      <c r="EUT51" s="15"/>
      <c r="EUZ51" s="25"/>
      <c r="EVG51" s="21"/>
      <c r="EVH51" s="21"/>
      <c r="EVL51" s="15"/>
      <c r="EVR51" s="25"/>
      <c r="EVY51" s="21"/>
      <c r="EVZ51" s="21"/>
      <c r="EWD51" s="15"/>
      <c r="EWJ51" s="25"/>
      <c r="EWQ51" s="21"/>
      <c r="EWR51" s="21"/>
      <c r="EWV51" s="15"/>
      <c r="EXB51" s="25"/>
      <c r="EXI51" s="21"/>
      <c r="EXJ51" s="21"/>
      <c r="EXN51" s="15"/>
      <c r="EXT51" s="25"/>
      <c r="EYA51" s="21"/>
      <c r="EYB51" s="21"/>
      <c r="EYF51" s="15"/>
      <c r="EYL51" s="25"/>
      <c r="EYS51" s="21"/>
      <c r="EYT51" s="21"/>
      <c r="EYX51" s="15"/>
      <c r="EZD51" s="25"/>
      <c r="EZK51" s="21"/>
      <c r="EZL51" s="21"/>
      <c r="EZP51" s="15"/>
      <c r="EZV51" s="25"/>
      <c r="FAC51" s="21"/>
      <c r="FAD51" s="21"/>
      <c r="FAH51" s="15"/>
      <c r="FAN51" s="25"/>
      <c r="FAU51" s="21"/>
      <c r="FAV51" s="21"/>
      <c r="FAZ51" s="15"/>
      <c r="FBF51" s="25"/>
      <c r="FBM51" s="21"/>
      <c r="FBN51" s="21"/>
      <c r="FBR51" s="15"/>
      <c r="FBX51" s="25"/>
      <c r="FCE51" s="21"/>
      <c r="FCF51" s="21"/>
      <c r="FCJ51" s="15"/>
      <c r="FCP51" s="25"/>
      <c r="FCW51" s="21"/>
      <c r="FCX51" s="21"/>
      <c r="FDB51" s="15"/>
      <c r="FDH51" s="25"/>
      <c r="FDO51" s="21"/>
      <c r="FDP51" s="21"/>
      <c r="FDT51" s="15"/>
      <c r="FDZ51" s="25"/>
      <c r="FEG51" s="21"/>
      <c r="FEH51" s="21"/>
      <c r="FEL51" s="15"/>
      <c r="FER51" s="25"/>
      <c r="FEY51" s="21"/>
      <c r="FEZ51" s="21"/>
      <c r="FFD51" s="15"/>
      <c r="FFJ51" s="25"/>
      <c r="FFQ51" s="21"/>
      <c r="FFR51" s="21"/>
      <c r="FFV51" s="15"/>
      <c r="FGB51" s="25"/>
      <c r="FGI51" s="21"/>
      <c r="FGJ51" s="21"/>
      <c r="FGN51" s="15"/>
      <c r="FGT51" s="25"/>
      <c r="FHA51" s="21"/>
      <c r="FHB51" s="21"/>
      <c r="FHF51" s="15"/>
      <c r="FHL51" s="25"/>
      <c r="FHS51" s="21"/>
      <c r="FHT51" s="21"/>
      <c r="FHX51" s="15"/>
      <c r="FID51" s="25"/>
      <c r="FIK51" s="21"/>
      <c r="FIL51" s="21"/>
      <c r="FIP51" s="15"/>
      <c r="FIV51" s="25"/>
      <c r="FJC51" s="21"/>
      <c r="FJD51" s="21"/>
      <c r="FJH51" s="15"/>
      <c r="FJN51" s="25"/>
      <c r="FJU51" s="21"/>
      <c r="FJV51" s="21"/>
      <c r="FJZ51" s="15"/>
      <c r="FKF51" s="25"/>
      <c r="FKM51" s="21"/>
      <c r="FKN51" s="21"/>
      <c r="FKR51" s="15"/>
      <c r="FKX51" s="25"/>
      <c r="FLE51" s="21"/>
      <c r="FLF51" s="21"/>
      <c r="FLJ51" s="15"/>
      <c r="FLP51" s="25"/>
      <c r="FLW51" s="21"/>
      <c r="FLX51" s="21"/>
      <c r="FMB51" s="15"/>
      <c r="FMH51" s="25"/>
      <c r="FMO51" s="21"/>
      <c r="FMP51" s="21"/>
      <c r="FMT51" s="15"/>
      <c r="FMZ51" s="25"/>
      <c r="FNG51" s="21"/>
      <c r="FNH51" s="21"/>
      <c r="FNL51" s="15"/>
      <c r="FNR51" s="25"/>
      <c r="FNY51" s="21"/>
      <c r="FNZ51" s="21"/>
      <c r="FOD51" s="15"/>
      <c r="FOJ51" s="25"/>
      <c r="FOQ51" s="21"/>
      <c r="FOR51" s="21"/>
      <c r="FOV51" s="15"/>
      <c r="FPB51" s="25"/>
      <c r="FPI51" s="21"/>
      <c r="FPJ51" s="21"/>
      <c r="FPN51" s="15"/>
      <c r="FPT51" s="25"/>
      <c r="FQA51" s="21"/>
      <c r="FQB51" s="21"/>
      <c r="FQF51" s="15"/>
      <c r="FQL51" s="25"/>
      <c r="FQS51" s="21"/>
      <c r="FQT51" s="21"/>
      <c r="FQX51" s="15"/>
      <c r="FRD51" s="25"/>
      <c r="FRK51" s="21"/>
      <c r="FRL51" s="21"/>
      <c r="FRP51" s="15"/>
      <c r="FRV51" s="25"/>
      <c r="FSC51" s="21"/>
      <c r="FSD51" s="21"/>
      <c r="FSH51" s="15"/>
      <c r="FSN51" s="25"/>
      <c r="FSU51" s="21"/>
      <c r="FSV51" s="21"/>
      <c r="FSZ51" s="15"/>
      <c r="FTF51" s="25"/>
      <c r="FTM51" s="21"/>
      <c r="FTN51" s="21"/>
      <c r="FTR51" s="15"/>
      <c r="FTX51" s="25"/>
      <c r="FUE51" s="21"/>
      <c r="FUF51" s="21"/>
      <c r="FUJ51" s="15"/>
      <c r="FUP51" s="25"/>
      <c r="FUW51" s="21"/>
      <c r="FUX51" s="21"/>
      <c r="FVB51" s="15"/>
      <c r="FVH51" s="25"/>
      <c r="FVO51" s="21"/>
      <c r="FVP51" s="21"/>
      <c r="FVT51" s="15"/>
      <c r="FVZ51" s="25"/>
      <c r="FWG51" s="21"/>
      <c r="FWH51" s="21"/>
      <c r="FWL51" s="15"/>
      <c r="FWR51" s="25"/>
      <c r="FWY51" s="21"/>
      <c r="FWZ51" s="21"/>
      <c r="FXD51" s="15"/>
      <c r="FXJ51" s="25"/>
      <c r="FXQ51" s="21"/>
      <c r="FXR51" s="21"/>
      <c r="FXV51" s="15"/>
      <c r="FYB51" s="25"/>
      <c r="FYI51" s="21"/>
      <c r="FYJ51" s="21"/>
      <c r="FYN51" s="15"/>
      <c r="FYT51" s="25"/>
      <c r="FZA51" s="21"/>
      <c r="FZB51" s="21"/>
      <c r="FZF51" s="15"/>
      <c r="FZL51" s="25"/>
      <c r="FZS51" s="21"/>
      <c r="FZT51" s="21"/>
      <c r="FZX51" s="15"/>
      <c r="GAD51" s="25"/>
      <c r="GAK51" s="21"/>
      <c r="GAL51" s="21"/>
      <c r="GAP51" s="15"/>
      <c r="GAV51" s="25"/>
      <c r="GBC51" s="21"/>
      <c r="GBD51" s="21"/>
      <c r="GBH51" s="15"/>
      <c r="GBN51" s="25"/>
      <c r="GBU51" s="21"/>
      <c r="GBV51" s="21"/>
      <c r="GBZ51" s="15"/>
      <c r="GCF51" s="25"/>
      <c r="GCM51" s="21"/>
      <c r="GCN51" s="21"/>
      <c r="GCR51" s="15"/>
      <c r="GCX51" s="25"/>
      <c r="GDE51" s="21"/>
      <c r="GDF51" s="21"/>
      <c r="GDJ51" s="15"/>
      <c r="GDP51" s="25"/>
      <c r="GDW51" s="21"/>
      <c r="GDX51" s="21"/>
      <c r="GEB51" s="15"/>
      <c r="GEH51" s="25"/>
      <c r="GEO51" s="21"/>
      <c r="GEP51" s="21"/>
      <c r="GET51" s="15"/>
      <c r="GEZ51" s="25"/>
      <c r="GFG51" s="21"/>
      <c r="GFH51" s="21"/>
      <c r="GFL51" s="15"/>
      <c r="GFR51" s="25"/>
      <c r="GFY51" s="21"/>
      <c r="GFZ51" s="21"/>
      <c r="GGD51" s="15"/>
      <c r="GGJ51" s="25"/>
      <c r="GGQ51" s="21"/>
      <c r="GGR51" s="21"/>
      <c r="GGV51" s="15"/>
      <c r="GHB51" s="25"/>
      <c r="GHI51" s="21"/>
      <c r="GHJ51" s="21"/>
      <c r="GHN51" s="15"/>
      <c r="GHT51" s="25"/>
      <c r="GIA51" s="21"/>
      <c r="GIB51" s="21"/>
      <c r="GIF51" s="15"/>
      <c r="GIL51" s="25"/>
      <c r="GIS51" s="21"/>
      <c r="GIT51" s="21"/>
      <c r="GIX51" s="15"/>
      <c r="GJD51" s="25"/>
      <c r="GJK51" s="21"/>
      <c r="GJL51" s="21"/>
      <c r="GJP51" s="15"/>
      <c r="GJV51" s="25"/>
      <c r="GKC51" s="21"/>
      <c r="GKD51" s="21"/>
      <c r="GKH51" s="15"/>
      <c r="GKN51" s="25"/>
      <c r="GKU51" s="21"/>
      <c r="GKV51" s="21"/>
      <c r="GKZ51" s="15"/>
      <c r="GLF51" s="25"/>
      <c r="GLM51" s="21"/>
      <c r="GLN51" s="21"/>
      <c r="GLR51" s="15"/>
      <c r="GLX51" s="25"/>
      <c r="GME51" s="21"/>
      <c r="GMF51" s="21"/>
      <c r="GMJ51" s="15"/>
      <c r="GMP51" s="25"/>
      <c r="GMW51" s="21"/>
      <c r="GMX51" s="21"/>
      <c r="GNB51" s="15"/>
      <c r="GNH51" s="25"/>
      <c r="GNO51" s="21"/>
      <c r="GNP51" s="21"/>
      <c r="GNT51" s="15"/>
      <c r="GNZ51" s="25"/>
      <c r="GOG51" s="21"/>
      <c r="GOH51" s="21"/>
      <c r="GOL51" s="15"/>
      <c r="GOR51" s="25"/>
      <c r="GOY51" s="21"/>
      <c r="GOZ51" s="21"/>
      <c r="GPD51" s="15"/>
      <c r="GPJ51" s="25"/>
      <c r="GPQ51" s="21"/>
      <c r="GPR51" s="21"/>
      <c r="GPV51" s="15"/>
      <c r="GQB51" s="25"/>
      <c r="GQI51" s="21"/>
      <c r="GQJ51" s="21"/>
      <c r="GQN51" s="15"/>
      <c r="GQT51" s="25"/>
      <c r="GRA51" s="21"/>
      <c r="GRB51" s="21"/>
      <c r="GRF51" s="15"/>
      <c r="GRL51" s="25"/>
      <c r="GRS51" s="21"/>
      <c r="GRT51" s="21"/>
      <c r="GRX51" s="15"/>
      <c r="GSD51" s="25"/>
      <c r="GSK51" s="21"/>
      <c r="GSL51" s="21"/>
      <c r="GSP51" s="15"/>
      <c r="GSV51" s="25"/>
      <c r="GTC51" s="21"/>
      <c r="GTD51" s="21"/>
      <c r="GTH51" s="15"/>
      <c r="GTN51" s="25"/>
      <c r="GTU51" s="21"/>
      <c r="GTV51" s="21"/>
      <c r="GTZ51" s="15"/>
      <c r="GUF51" s="25"/>
      <c r="GUM51" s="21"/>
      <c r="GUN51" s="21"/>
      <c r="GUR51" s="15"/>
      <c r="GUX51" s="25"/>
      <c r="GVE51" s="21"/>
      <c r="GVF51" s="21"/>
      <c r="GVJ51" s="15"/>
      <c r="GVP51" s="25"/>
      <c r="GVW51" s="21"/>
      <c r="GVX51" s="21"/>
      <c r="GWB51" s="15"/>
      <c r="GWH51" s="25"/>
      <c r="GWO51" s="21"/>
      <c r="GWP51" s="21"/>
      <c r="GWT51" s="15"/>
      <c r="GWZ51" s="25"/>
      <c r="GXG51" s="21"/>
      <c r="GXH51" s="21"/>
      <c r="GXL51" s="15"/>
      <c r="GXR51" s="25"/>
      <c r="GXY51" s="21"/>
      <c r="GXZ51" s="21"/>
      <c r="GYD51" s="15"/>
      <c r="GYJ51" s="25"/>
      <c r="GYQ51" s="21"/>
      <c r="GYR51" s="21"/>
      <c r="GYV51" s="15"/>
      <c r="GZB51" s="25"/>
      <c r="GZI51" s="21"/>
      <c r="GZJ51" s="21"/>
      <c r="GZN51" s="15"/>
      <c r="GZT51" s="25"/>
      <c r="HAA51" s="21"/>
      <c r="HAB51" s="21"/>
      <c r="HAF51" s="15"/>
      <c r="HAL51" s="25"/>
      <c r="HAS51" s="21"/>
      <c r="HAT51" s="21"/>
      <c r="HAX51" s="15"/>
      <c r="HBD51" s="25"/>
      <c r="HBK51" s="21"/>
      <c r="HBL51" s="21"/>
      <c r="HBP51" s="15"/>
      <c r="HBV51" s="25"/>
      <c r="HCC51" s="21"/>
      <c r="HCD51" s="21"/>
      <c r="HCH51" s="15"/>
      <c r="HCN51" s="25"/>
      <c r="HCU51" s="21"/>
      <c r="HCV51" s="21"/>
      <c r="HCZ51" s="15"/>
      <c r="HDF51" s="25"/>
      <c r="HDM51" s="21"/>
      <c r="HDN51" s="21"/>
      <c r="HDR51" s="15"/>
      <c r="HDX51" s="25"/>
      <c r="HEE51" s="21"/>
      <c r="HEF51" s="21"/>
      <c r="HEJ51" s="15"/>
      <c r="HEP51" s="25"/>
      <c r="HEW51" s="21"/>
      <c r="HEX51" s="21"/>
      <c r="HFB51" s="15"/>
      <c r="HFH51" s="25"/>
      <c r="HFO51" s="21"/>
      <c r="HFP51" s="21"/>
      <c r="HFT51" s="15"/>
      <c r="HFZ51" s="25"/>
      <c r="HGG51" s="21"/>
      <c r="HGH51" s="21"/>
      <c r="HGL51" s="15"/>
      <c r="HGR51" s="25"/>
      <c r="HGY51" s="21"/>
      <c r="HGZ51" s="21"/>
      <c r="HHD51" s="15"/>
      <c r="HHJ51" s="25"/>
      <c r="HHQ51" s="21"/>
      <c r="HHR51" s="21"/>
      <c r="HHV51" s="15"/>
      <c r="HIB51" s="25"/>
      <c r="HII51" s="21"/>
      <c r="HIJ51" s="21"/>
      <c r="HIN51" s="15"/>
      <c r="HIT51" s="25"/>
      <c r="HJA51" s="21"/>
      <c r="HJB51" s="21"/>
      <c r="HJF51" s="15"/>
      <c r="HJL51" s="25"/>
      <c r="HJS51" s="21"/>
      <c r="HJT51" s="21"/>
      <c r="HJX51" s="15"/>
      <c r="HKD51" s="25"/>
      <c r="HKK51" s="21"/>
      <c r="HKL51" s="21"/>
      <c r="HKP51" s="15"/>
      <c r="HKV51" s="25"/>
      <c r="HLC51" s="21"/>
      <c r="HLD51" s="21"/>
      <c r="HLH51" s="15"/>
      <c r="HLN51" s="25"/>
      <c r="HLU51" s="21"/>
      <c r="HLV51" s="21"/>
      <c r="HLZ51" s="15"/>
      <c r="HMF51" s="25"/>
      <c r="HMM51" s="21"/>
      <c r="HMN51" s="21"/>
      <c r="HMR51" s="15"/>
      <c r="HMX51" s="25"/>
      <c r="HNE51" s="21"/>
      <c r="HNF51" s="21"/>
      <c r="HNJ51" s="15"/>
      <c r="HNP51" s="25"/>
      <c r="HNW51" s="21"/>
      <c r="HNX51" s="21"/>
      <c r="HOB51" s="15"/>
      <c r="HOH51" s="25"/>
      <c r="HOO51" s="21"/>
      <c r="HOP51" s="21"/>
      <c r="HOT51" s="15"/>
      <c r="HOZ51" s="25"/>
      <c r="HPG51" s="21"/>
      <c r="HPH51" s="21"/>
      <c r="HPL51" s="15"/>
      <c r="HPR51" s="25"/>
      <c r="HPY51" s="21"/>
      <c r="HPZ51" s="21"/>
      <c r="HQD51" s="15"/>
      <c r="HQJ51" s="25"/>
      <c r="HQQ51" s="21"/>
      <c r="HQR51" s="21"/>
      <c r="HQV51" s="15"/>
      <c r="HRB51" s="25"/>
      <c r="HRI51" s="21"/>
      <c r="HRJ51" s="21"/>
      <c r="HRN51" s="15"/>
      <c r="HRT51" s="25"/>
      <c r="HSA51" s="21"/>
      <c r="HSB51" s="21"/>
      <c r="HSF51" s="15"/>
      <c r="HSL51" s="25"/>
      <c r="HSS51" s="21"/>
      <c r="HST51" s="21"/>
      <c r="HSX51" s="15"/>
      <c r="HTD51" s="25"/>
      <c r="HTK51" s="21"/>
      <c r="HTL51" s="21"/>
      <c r="HTP51" s="15"/>
      <c r="HTV51" s="25"/>
      <c r="HUC51" s="21"/>
      <c r="HUD51" s="21"/>
      <c r="HUH51" s="15"/>
      <c r="HUN51" s="25"/>
      <c r="HUU51" s="21"/>
      <c r="HUV51" s="21"/>
      <c r="HUZ51" s="15"/>
      <c r="HVF51" s="25"/>
      <c r="HVM51" s="21"/>
      <c r="HVN51" s="21"/>
      <c r="HVR51" s="15"/>
      <c r="HVX51" s="25"/>
      <c r="HWE51" s="21"/>
      <c r="HWF51" s="21"/>
      <c r="HWJ51" s="15"/>
      <c r="HWP51" s="25"/>
      <c r="HWW51" s="21"/>
      <c r="HWX51" s="21"/>
      <c r="HXB51" s="15"/>
      <c r="HXH51" s="25"/>
      <c r="HXO51" s="21"/>
      <c r="HXP51" s="21"/>
      <c r="HXT51" s="15"/>
      <c r="HXZ51" s="25"/>
      <c r="HYG51" s="21"/>
      <c r="HYH51" s="21"/>
      <c r="HYL51" s="15"/>
      <c r="HYR51" s="25"/>
      <c r="HYY51" s="21"/>
      <c r="HYZ51" s="21"/>
      <c r="HZD51" s="15"/>
      <c r="HZJ51" s="25"/>
      <c r="HZQ51" s="21"/>
      <c r="HZR51" s="21"/>
      <c r="HZV51" s="15"/>
      <c r="IAB51" s="25"/>
      <c r="IAI51" s="21"/>
      <c r="IAJ51" s="21"/>
      <c r="IAN51" s="15"/>
      <c r="IAT51" s="25"/>
      <c r="IBA51" s="21"/>
      <c r="IBB51" s="21"/>
      <c r="IBF51" s="15"/>
      <c r="IBL51" s="25"/>
      <c r="IBS51" s="21"/>
      <c r="IBT51" s="21"/>
      <c r="IBX51" s="15"/>
      <c r="ICD51" s="25"/>
      <c r="ICK51" s="21"/>
      <c r="ICL51" s="21"/>
      <c r="ICP51" s="15"/>
      <c r="ICV51" s="25"/>
      <c r="IDC51" s="21"/>
      <c r="IDD51" s="21"/>
      <c r="IDH51" s="15"/>
      <c r="IDN51" s="25"/>
      <c r="IDU51" s="21"/>
      <c r="IDV51" s="21"/>
      <c r="IDZ51" s="15"/>
      <c r="IEF51" s="25"/>
      <c r="IEM51" s="21"/>
      <c r="IEN51" s="21"/>
      <c r="IER51" s="15"/>
      <c r="IEX51" s="25"/>
      <c r="IFE51" s="21"/>
      <c r="IFF51" s="21"/>
      <c r="IFJ51" s="15"/>
      <c r="IFP51" s="25"/>
      <c r="IFW51" s="21"/>
      <c r="IFX51" s="21"/>
      <c r="IGB51" s="15"/>
      <c r="IGH51" s="25"/>
      <c r="IGO51" s="21"/>
      <c r="IGP51" s="21"/>
      <c r="IGT51" s="15"/>
      <c r="IGZ51" s="25"/>
      <c r="IHG51" s="21"/>
      <c r="IHH51" s="21"/>
      <c r="IHL51" s="15"/>
      <c r="IHR51" s="25"/>
      <c r="IHY51" s="21"/>
      <c r="IHZ51" s="21"/>
      <c r="IID51" s="15"/>
      <c r="IIJ51" s="25"/>
      <c r="IIQ51" s="21"/>
      <c r="IIR51" s="21"/>
      <c r="IIV51" s="15"/>
      <c r="IJB51" s="25"/>
      <c r="IJI51" s="21"/>
      <c r="IJJ51" s="21"/>
      <c r="IJN51" s="15"/>
      <c r="IJT51" s="25"/>
      <c r="IKA51" s="21"/>
      <c r="IKB51" s="21"/>
      <c r="IKF51" s="15"/>
      <c r="IKL51" s="25"/>
      <c r="IKS51" s="21"/>
      <c r="IKT51" s="21"/>
      <c r="IKX51" s="15"/>
      <c r="ILD51" s="25"/>
      <c r="ILK51" s="21"/>
      <c r="ILL51" s="21"/>
      <c r="ILP51" s="15"/>
      <c r="ILV51" s="25"/>
      <c r="IMC51" s="21"/>
      <c r="IMD51" s="21"/>
      <c r="IMH51" s="15"/>
      <c r="IMN51" s="25"/>
      <c r="IMU51" s="21"/>
      <c r="IMV51" s="21"/>
      <c r="IMZ51" s="15"/>
      <c r="INF51" s="25"/>
      <c r="INM51" s="21"/>
      <c r="INN51" s="21"/>
      <c r="INR51" s="15"/>
      <c r="INX51" s="25"/>
      <c r="IOE51" s="21"/>
      <c r="IOF51" s="21"/>
      <c r="IOJ51" s="15"/>
      <c r="IOP51" s="25"/>
      <c r="IOW51" s="21"/>
      <c r="IOX51" s="21"/>
      <c r="IPB51" s="15"/>
      <c r="IPH51" s="25"/>
      <c r="IPO51" s="21"/>
      <c r="IPP51" s="21"/>
      <c r="IPT51" s="15"/>
      <c r="IPZ51" s="25"/>
      <c r="IQG51" s="21"/>
      <c r="IQH51" s="21"/>
      <c r="IQL51" s="15"/>
      <c r="IQR51" s="25"/>
      <c r="IQY51" s="21"/>
      <c r="IQZ51" s="21"/>
      <c r="IRD51" s="15"/>
      <c r="IRJ51" s="25"/>
      <c r="IRQ51" s="21"/>
      <c r="IRR51" s="21"/>
      <c r="IRV51" s="15"/>
      <c r="ISB51" s="25"/>
      <c r="ISI51" s="21"/>
      <c r="ISJ51" s="21"/>
      <c r="ISN51" s="15"/>
      <c r="IST51" s="25"/>
      <c r="ITA51" s="21"/>
      <c r="ITB51" s="21"/>
      <c r="ITF51" s="15"/>
      <c r="ITL51" s="25"/>
      <c r="ITS51" s="21"/>
      <c r="ITT51" s="21"/>
      <c r="ITX51" s="15"/>
      <c r="IUD51" s="25"/>
      <c r="IUK51" s="21"/>
      <c r="IUL51" s="21"/>
      <c r="IUP51" s="15"/>
      <c r="IUV51" s="25"/>
      <c r="IVC51" s="21"/>
      <c r="IVD51" s="21"/>
      <c r="IVH51" s="15"/>
      <c r="IVN51" s="25"/>
      <c r="IVU51" s="21"/>
      <c r="IVV51" s="21"/>
      <c r="IVZ51" s="15"/>
      <c r="IWF51" s="25"/>
      <c r="IWM51" s="21"/>
      <c r="IWN51" s="21"/>
      <c r="IWR51" s="15"/>
      <c r="IWX51" s="25"/>
      <c r="IXE51" s="21"/>
      <c r="IXF51" s="21"/>
      <c r="IXJ51" s="15"/>
      <c r="IXP51" s="25"/>
      <c r="IXW51" s="21"/>
      <c r="IXX51" s="21"/>
      <c r="IYB51" s="15"/>
      <c r="IYH51" s="25"/>
      <c r="IYO51" s="21"/>
      <c r="IYP51" s="21"/>
      <c r="IYT51" s="15"/>
      <c r="IYZ51" s="25"/>
      <c r="IZG51" s="21"/>
      <c r="IZH51" s="21"/>
      <c r="IZL51" s="15"/>
      <c r="IZR51" s="25"/>
      <c r="IZY51" s="21"/>
      <c r="IZZ51" s="21"/>
      <c r="JAD51" s="15"/>
      <c r="JAJ51" s="25"/>
      <c r="JAQ51" s="21"/>
      <c r="JAR51" s="21"/>
      <c r="JAV51" s="15"/>
      <c r="JBB51" s="25"/>
      <c r="JBI51" s="21"/>
      <c r="JBJ51" s="21"/>
      <c r="JBN51" s="15"/>
      <c r="JBT51" s="25"/>
      <c r="JCA51" s="21"/>
      <c r="JCB51" s="21"/>
      <c r="JCF51" s="15"/>
      <c r="JCL51" s="25"/>
      <c r="JCS51" s="21"/>
      <c r="JCT51" s="21"/>
      <c r="JCX51" s="15"/>
      <c r="JDD51" s="25"/>
      <c r="JDK51" s="21"/>
      <c r="JDL51" s="21"/>
      <c r="JDP51" s="15"/>
      <c r="JDV51" s="25"/>
      <c r="JEC51" s="21"/>
      <c r="JED51" s="21"/>
      <c r="JEH51" s="15"/>
      <c r="JEN51" s="25"/>
      <c r="JEU51" s="21"/>
      <c r="JEV51" s="21"/>
      <c r="JEZ51" s="15"/>
      <c r="JFF51" s="25"/>
      <c r="JFM51" s="21"/>
      <c r="JFN51" s="21"/>
      <c r="JFR51" s="15"/>
      <c r="JFX51" s="25"/>
      <c r="JGE51" s="21"/>
      <c r="JGF51" s="21"/>
      <c r="JGJ51" s="15"/>
      <c r="JGP51" s="25"/>
      <c r="JGW51" s="21"/>
      <c r="JGX51" s="21"/>
      <c r="JHB51" s="15"/>
      <c r="JHH51" s="25"/>
      <c r="JHO51" s="21"/>
      <c r="JHP51" s="21"/>
      <c r="JHT51" s="15"/>
      <c r="JHZ51" s="25"/>
      <c r="JIG51" s="21"/>
      <c r="JIH51" s="21"/>
      <c r="JIL51" s="15"/>
      <c r="JIR51" s="25"/>
      <c r="JIY51" s="21"/>
      <c r="JIZ51" s="21"/>
      <c r="JJD51" s="15"/>
      <c r="JJJ51" s="25"/>
      <c r="JJQ51" s="21"/>
      <c r="JJR51" s="21"/>
      <c r="JJV51" s="15"/>
      <c r="JKB51" s="25"/>
      <c r="JKI51" s="21"/>
      <c r="JKJ51" s="21"/>
      <c r="JKN51" s="15"/>
      <c r="JKT51" s="25"/>
      <c r="JLA51" s="21"/>
      <c r="JLB51" s="21"/>
      <c r="JLF51" s="15"/>
      <c r="JLL51" s="25"/>
      <c r="JLS51" s="21"/>
      <c r="JLT51" s="21"/>
      <c r="JLX51" s="15"/>
      <c r="JMD51" s="25"/>
      <c r="JMK51" s="21"/>
      <c r="JML51" s="21"/>
      <c r="JMP51" s="15"/>
      <c r="JMV51" s="25"/>
      <c r="JNC51" s="21"/>
      <c r="JND51" s="21"/>
      <c r="JNH51" s="15"/>
      <c r="JNN51" s="25"/>
      <c r="JNU51" s="21"/>
      <c r="JNV51" s="21"/>
      <c r="JNZ51" s="15"/>
      <c r="JOF51" s="25"/>
      <c r="JOM51" s="21"/>
      <c r="JON51" s="21"/>
      <c r="JOR51" s="15"/>
      <c r="JOX51" s="25"/>
      <c r="JPE51" s="21"/>
      <c r="JPF51" s="21"/>
      <c r="JPJ51" s="15"/>
      <c r="JPP51" s="25"/>
      <c r="JPW51" s="21"/>
      <c r="JPX51" s="21"/>
      <c r="JQB51" s="15"/>
      <c r="JQH51" s="25"/>
      <c r="JQO51" s="21"/>
      <c r="JQP51" s="21"/>
      <c r="JQT51" s="15"/>
      <c r="JQZ51" s="25"/>
      <c r="JRG51" s="21"/>
      <c r="JRH51" s="21"/>
      <c r="JRL51" s="15"/>
      <c r="JRR51" s="25"/>
      <c r="JRY51" s="21"/>
      <c r="JRZ51" s="21"/>
      <c r="JSD51" s="15"/>
      <c r="JSJ51" s="25"/>
      <c r="JSQ51" s="21"/>
      <c r="JSR51" s="21"/>
      <c r="JSV51" s="15"/>
      <c r="JTB51" s="25"/>
      <c r="JTI51" s="21"/>
      <c r="JTJ51" s="21"/>
      <c r="JTN51" s="15"/>
      <c r="JTT51" s="25"/>
      <c r="JUA51" s="21"/>
      <c r="JUB51" s="21"/>
      <c r="JUF51" s="15"/>
      <c r="JUL51" s="25"/>
      <c r="JUS51" s="21"/>
      <c r="JUT51" s="21"/>
      <c r="JUX51" s="15"/>
      <c r="JVD51" s="25"/>
      <c r="JVK51" s="21"/>
      <c r="JVL51" s="21"/>
      <c r="JVP51" s="15"/>
      <c r="JVV51" s="25"/>
      <c r="JWC51" s="21"/>
      <c r="JWD51" s="21"/>
      <c r="JWH51" s="15"/>
      <c r="JWN51" s="25"/>
      <c r="JWU51" s="21"/>
      <c r="JWV51" s="21"/>
      <c r="JWZ51" s="15"/>
      <c r="JXF51" s="25"/>
      <c r="JXM51" s="21"/>
      <c r="JXN51" s="21"/>
      <c r="JXR51" s="15"/>
      <c r="JXX51" s="25"/>
      <c r="JYE51" s="21"/>
      <c r="JYF51" s="21"/>
      <c r="JYJ51" s="15"/>
      <c r="JYP51" s="25"/>
      <c r="JYW51" s="21"/>
      <c r="JYX51" s="21"/>
      <c r="JZB51" s="15"/>
      <c r="JZH51" s="25"/>
      <c r="JZO51" s="21"/>
      <c r="JZP51" s="21"/>
      <c r="JZT51" s="15"/>
      <c r="JZZ51" s="25"/>
      <c r="KAG51" s="21"/>
      <c r="KAH51" s="21"/>
      <c r="KAL51" s="15"/>
      <c r="KAR51" s="25"/>
      <c r="KAY51" s="21"/>
      <c r="KAZ51" s="21"/>
      <c r="KBD51" s="15"/>
      <c r="KBJ51" s="25"/>
      <c r="KBQ51" s="21"/>
      <c r="KBR51" s="21"/>
      <c r="KBV51" s="15"/>
      <c r="KCB51" s="25"/>
      <c r="KCI51" s="21"/>
      <c r="KCJ51" s="21"/>
      <c r="KCN51" s="15"/>
      <c r="KCT51" s="25"/>
      <c r="KDA51" s="21"/>
      <c r="KDB51" s="21"/>
      <c r="KDF51" s="15"/>
      <c r="KDL51" s="25"/>
      <c r="KDS51" s="21"/>
      <c r="KDT51" s="21"/>
      <c r="KDX51" s="15"/>
      <c r="KED51" s="25"/>
      <c r="KEK51" s="21"/>
      <c r="KEL51" s="21"/>
      <c r="KEP51" s="15"/>
      <c r="KEV51" s="25"/>
      <c r="KFC51" s="21"/>
      <c r="KFD51" s="21"/>
      <c r="KFH51" s="15"/>
      <c r="KFN51" s="25"/>
      <c r="KFU51" s="21"/>
      <c r="KFV51" s="21"/>
      <c r="KFZ51" s="15"/>
      <c r="KGF51" s="25"/>
      <c r="KGM51" s="21"/>
      <c r="KGN51" s="21"/>
      <c r="KGR51" s="15"/>
      <c r="KGX51" s="25"/>
      <c r="KHE51" s="21"/>
      <c r="KHF51" s="21"/>
      <c r="KHJ51" s="15"/>
      <c r="KHP51" s="25"/>
      <c r="KHW51" s="21"/>
      <c r="KHX51" s="21"/>
      <c r="KIB51" s="15"/>
      <c r="KIH51" s="25"/>
      <c r="KIO51" s="21"/>
      <c r="KIP51" s="21"/>
      <c r="KIT51" s="15"/>
      <c r="KIZ51" s="25"/>
      <c r="KJG51" s="21"/>
      <c r="KJH51" s="21"/>
      <c r="KJL51" s="15"/>
      <c r="KJR51" s="25"/>
      <c r="KJY51" s="21"/>
      <c r="KJZ51" s="21"/>
      <c r="KKD51" s="15"/>
      <c r="KKJ51" s="25"/>
      <c r="KKQ51" s="21"/>
      <c r="KKR51" s="21"/>
      <c r="KKV51" s="15"/>
      <c r="KLB51" s="25"/>
      <c r="KLI51" s="21"/>
      <c r="KLJ51" s="21"/>
      <c r="KLN51" s="15"/>
      <c r="KLT51" s="25"/>
      <c r="KMA51" s="21"/>
      <c r="KMB51" s="21"/>
      <c r="KMF51" s="15"/>
      <c r="KML51" s="25"/>
      <c r="KMS51" s="21"/>
      <c r="KMT51" s="21"/>
      <c r="KMX51" s="15"/>
      <c r="KND51" s="25"/>
      <c r="KNK51" s="21"/>
      <c r="KNL51" s="21"/>
      <c r="KNP51" s="15"/>
      <c r="KNV51" s="25"/>
      <c r="KOC51" s="21"/>
      <c r="KOD51" s="21"/>
      <c r="KOH51" s="15"/>
      <c r="KON51" s="25"/>
      <c r="KOU51" s="21"/>
      <c r="KOV51" s="21"/>
      <c r="KOZ51" s="15"/>
      <c r="KPF51" s="25"/>
      <c r="KPM51" s="21"/>
      <c r="KPN51" s="21"/>
      <c r="KPR51" s="15"/>
      <c r="KPX51" s="25"/>
      <c r="KQE51" s="21"/>
      <c r="KQF51" s="21"/>
      <c r="KQJ51" s="15"/>
      <c r="KQP51" s="25"/>
      <c r="KQW51" s="21"/>
      <c r="KQX51" s="21"/>
      <c r="KRB51" s="15"/>
      <c r="KRH51" s="25"/>
      <c r="KRO51" s="21"/>
      <c r="KRP51" s="21"/>
      <c r="KRT51" s="15"/>
      <c r="KRZ51" s="25"/>
      <c r="KSG51" s="21"/>
      <c r="KSH51" s="21"/>
      <c r="KSL51" s="15"/>
      <c r="KSR51" s="25"/>
      <c r="KSY51" s="21"/>
      <c r="KSZ51" s="21"/>
      <c r="KTD51" s="15"/>
      <c r="KTJ51" s="25"/>
      <c r="KTQ51" s="21"/>
      <c r="KTR51" s="21"/>
      <c r="KTV51" s="15"/>
      <c r="KUB51" s="25"/>
      <c r="KUI51" s="21"/>
      <c r="KUJ51" s="21"/>
      <c r="KUN51" s="15"/>
      <c r="KUT51" s="25"/>
      <c r="KVA51" s="21"/>
      <c r="KVB51" s="21"/>
      <c r="KVF51" s="15"/>
      <c r="KVL51" s="25"/>
      <c r="KVS51" s="21"/>
      <c r="KVT51" s="21"/>
      <c r="KVX51" s="15"/>
      <c r="KWD51" s="25"/>
      <c r="KWK51" s="21"/>
      <c r="KWL51" s="21"/>
      <c r="KWP51" s="15"/>
      <c r="KWV51" s="25"/>
      <c r="KXC51" s="21"/>
      <c r="KXD51" s="21"/>
      <c r="KXH51" s="15"/>
      <c r="KXN51" s="25"/>
      <c r="KXU51" s="21"/>
      <c r="KXV51" s="21"/>
      <c r="KXZ51" s="15"/>
      <c r="KYF51" s="25"/>
      <c r="KYM51" s="21"/>
      <c r="KYN51" s="21"/>
      <c r="KYR51" s="15"/>
      <c r="KYX51" s="25"/>
      <c r="KZE51" s="21"/>
      <c r="KZF51" s="21"/>
      <c r="KZJ51" s="15"/>
      <c r="KZP51" s="25"/>
      <c r="KZW51" s="21"/>
      <c r="KZX51" s="21"/>
      <c r="LAB51" s="15"/>
      <c r="LAH51" s="25"/>
      <c r="LAO51" s="21"/>
      <c r="LAP51" s="21"/>
      <c r="LAT51" s="15"/>
      <c r="LAZ51" s="25"/>
      <c r="LBG51" s="21"/>
      <c r="LBH51" s="21"/>
      <c r="LBL51" s="15"/>
      <c r="LBR51" s="25"/>
      <c r="LBY51" s="21"/>
      <c r="LBZ51" s="21"/>
      <c r="LCD51" s="15"/>
      <c r="LCJ51" s="25"/>
      <c r="LCQ51" s="21"/>
      <c r="LCR51" s="21"/>
      <c r="LCV51" s="15"/>
      <c r="LDB51" s="25"/>
      <c r="LDI51" s="21"/>
      <c r="LDJ51" s="21"/>
      <c r="LDN51" s="15"/>
      <c r="LDT51" s="25"/>
      <c r="LEA51" s="21"/>
      <c r="LEB51" s="21"/>
      <c r="LEF51" s="15"/>
      <c r="LEL51" s="25"/>
      <c r="LES51" s="21"/>
      <c r="LET51" s="21"/>
      <c r="LEX51" s="15"/>
      <c r="LFD51" s="25"/>
      <c r="LFK51" s="21"/>
      <c r="LFL51" s="21"/>
      <c r="LFP51" s="15"/>
      <c r="LFV51" s="25"/>
      <c r="LGC51" s="21"/>
      <c r="LGD51" s="21"/>
      <c r="LGH51" s="15"/>
      <c r="LGN51" s="25"/>
      <c r="LGU51" s="21"/>
      <c r="LGV51" s="21"/>
      <c r="LGZ51" s="15"/>
      <c r="LHF51" s="25"/>
      <c r="LHM51" s="21"/>
      <c r="LHN51" s="21"/>
      <c r="LHR51" s="15"/>
      <c r="LHX51" s="25"/>
      <c r="LIE51" s="21"/>
      <c r="LIF51" s="21"/>
      <c r="LIJ51" s="15"/>
      <c r="LIP51" s="25"/>
      <c r="LIW51" s="21"/>
      <c r="LIX51" s="21"/>
      <c r="LJB51" s="15"/>
      <c r="LJH51" s="25"/>
      <c r="LJO51" s="21"/>
      <c r="LJP51" s="21"/>
      <c r="LJT51" s="15"/>
      <c r="LJZ51" s="25"/>
      <c r="LKG51" s="21"/>
      <c r="LKH51" s="21"/>
      <c r="LKL51" s="15"/>
      <c r="LKR51" s="25"/>
      <c r="LKY51" s="21"/>
      <c r="LKZ51" s="21"/>
      <c r="LLD51" s="15"/>
      <c r="LLJ51" s="25"/>
      <c r="LLQ51" s="21"/>
      <c r="LLR51" s="21"/>
      <c r="LLV51" s="15"/>
      <c r="LMB51" s="25"/>
      <c r="LMI51" s="21"/>
      <c r="LMJ51" s="21"/>
      <c r="LMN51" s="15"/>
      <c r="LMT51" s="25"/>
      <c r="LNA51" s="21"/>
      <c r="LNB51" s="21"/>
      <c r="LNF51" s="15"/>
      <c r="LNL51" s="25"/>
      <c r="LNS51" s="21"/>
      <c r="LNT51" s="21"/>
      <c r="LNX51" s="15"/>
      <c r="LOD51" s="25"/>
      <c r="LOK51" s="21"/>
      <c r="LOL51" s="21"/>
      <c r="LOP51" s="15"/>
      <c r="LOV51" s="25"/>
      <c r="LPC51" s="21"/>
      <c r="LPD51" s="21"/>
      <c r="LPH51" s="15"/>
      <c r="LPN51" s="25"/>
      <c r="LPU51" s="21"/>
      <c r="LPV51" s="21"/>
      <c r="LPZ51" s="15"/>
      <c r="LQF51" s="25"/>
      <c r="LQM51" s="21"/>
      <c r="LQN51" s="21"/>
      <c r="LQR51" s="15"/>
      <c r="LQX51" s="25"/>
      <c r="LRE51" s="21"/>
      <c r="LRF51" s="21"/>
      <c r="LRJ51" s="15"/>
      <c r="LRP51" s="25"/>
      <c r="LRW51" s="21"/>
      <c r="LRX51" s="21"/>
      <c r="LSB51" s="15"/>
      <c r="LSH51" s="25"/>
      <c r="LSO51" s="21"/>
      <c r="LSP51" s="21"/>
      <c r="LST51" s="15"/>
      <c r="LSZ51" s="25"/>
      <c r="LTG51" s="21"/>
      <c r="LTH51" s="21"/>
      <c r="LTL51" s="15"/>
      <c r="LTR51" s="25"/>
      <c r="LTY51" s="21"/>
      <c r="LTZ51" s="21"/>
      <c r="LUD51" s="15"/>
      <c r="LUJ51" s="25"/>
      <c r="LUQ51" s="21"/>
      <c r="LUR51" s="21"/>
      <c r="LUV51" s="15"/>
      <c r="LVB51" s="25"/>
      <c r="LVI51" s="21"/>
      <c r="LVJ51" s="21"/>
      <c r="LVN51" s="15"/>
      <c r="LVT51" s="25"/>
      <c r="LWA51" s="21"/>
      <c r="LWB51" s="21"/>
      <c r="LWF51" s="15"/>
      <c r="LWL51" s="25"/>
      <c r="LWS51" s="21"/>
      <c r="LWT51" s="21"/>
      <c r="LWX51" s="15"/>
      <c r="LXD51" s="25"/>
      <c r="LXK51" s="21"/>
      <c r="LXL51" s="21"/>
      <c r="LXP51" s="15"/>
      <c r="LXV51" s="25"/>
      <c r="LYC51" s="21"/>
      <c r="LYD51" s="21"/>
      <c r="LYH51" s="15"/>
      <c r="LYN51" s="25"/>
      <c r="LYU51" s="21"/>
      <c r="LYV51" s="21"/>
      <c r="LYZ51" s="15"/>
      <c r="LZF51" s="25"/>
      <c r="LZM51" s="21"/>
      <c r="LZN51" s="21"/>
      <c r="LZR51" s="15"/>
      <c r="LZX51" s="25"/>
      <c r="MAE51" s="21"/>
      <c r="MAF51" s="21"/>
      <c r="MAJ51" s="15"/>
      <c r="MAP51" s="25"/>
      <c r="MAW51" s="21"/>
      <c r="MAX51" s="21"/>
      <c r="MBB51" s="15"/>
      <c r="MBH51" s="25"/>
      <c r="MBO51" s="21"/>
      <c r="MBP51" s="21"/>
      <c r="MBT51" s="15"/>
      <c r="MBZ51" s="25"/>
      <c r="MCG51" s="21"/>
      <c r="MCH51" s="21"/>
      <c r="MCL51" s="15"/>
      <c r="MCR51" s="25"/>
      <c r="MCY51" s="21"/>
      <c r="MCZ51" s="21"/>
      <c r="MDD51" s="15"/>
      <c r="MDJ51" s="25"/>
      <c r="MDQ51" s="21"/>
      <c r="MDR51" s="21"/>
      <c r="MDV51" s="15"/>
      <c r="MEB51" s="25"/>
      <c r="MEI51" s="21"/>
      <c r="MEJ51" s="21"/>
      <c r="MEN51" s="15"/>
      <c r="MET51" s="25"/>
      <c r="MFA51" s="21"/>
      <c r="MFB51" s="21"/>
      <c r="MFF51" s="15"/>
      <c r="MFL51" s="25"/>
      <c r="MFS51" s="21"/>
      <c r="MFT51" s="21"/>
      <c r="MFX51" s="15"/>
      <c r="MGD51" s="25"/>
      <c r="MGK51" s="21"/>
      <c r="MGL51" s="21"/>
      <c r="MGP51" s="15"/>
      <c r="MGV51" s="25"/>
      <c r="MHC51" s="21"/>
      <c r="MHD51" s="21"/>
      <c r="MHH51" s="15"/>
      <c r="MHN51" s="25"/>
      <c r="MHU51" s="21"/>
      <c r="MHV51" s="21"/>
      <c r="MHZ51" s="15"/>
      <c r="MIF51" s="25"/>
      <c r="MIM51" s="21"/>
      <c r="MIN51" s="21"/>
      <c r="MIR51" s="15"/>
      <c r="MIX51" s="25"/>
      <c r="MJE51" s="21"/>
      <c r="MJF51" s="21"/>
      <c r="MJJ51" s="15"/>
      <c r="MJP51" s="25"/>
      <c r="MJW51" s="21"/>
      <c r="MJX51" s="21"/>
      <c r="MKB51" s="15"/>
      <c r="MKH51" s="25"/>
      <c r="MKO51" s="21"/>
      <c r="MKP51" s="21"/>
      <c r="MKT51" s="15"/>
      <c r="MKZ51" s="25"/>
      <c r="MLG51" s="21"/>
      <c r="MLH51" s="21"/>
      <c r="MLL51" s="15"/>
      <c r="MLR51" s="25"/>
      <c r="MLY51" s="21"/>
      <c r="MLZ51" s="21"/>
      <c r="MMD51" s="15"/>
      <c r="MMJ51" s="25"/>
      <c r="MMQ51" s="21"/>
      <c r="MMR51" s="21"/>
      <c r="MMV51" s="15"/>
      <c r="MNB51" s="25"/>
      <c r="MNI51" s="21"/>
      <c r="MNJ51" s="21"/>
      <c r="MNN51" s="15"/>
      <c r="MNT51" s="25"/>
      <c r="MOA51" s="21"/>
      <c r="MOB51" s="21"/>
      <c r="MOF51" s="15"/>
      <c r="MOL51" s="25"/>
      <c r="MOS51" s="21"/>
      <c r="MOT51" s="21"/>
      <c r="MOX51" s="15"/>
      <c r="MPD51" s="25"/>
      <c r="MPK51" s="21"/>
      <c r="MPL51" s="21"/>
      <c r="MPP51" s="15"/>
      <c r="MPV51" s="25"/>
      <c r="MQC51" s="21"/>
      <c r="MQD51" s="21"/>
      <c r="MQH51" s="15"/>
      <c r="MQN51" s="25"/>
      <c r="MQU51" s="21"/>
      <c r="MQV51" s="21"/>
      <c r="MQZ51" s="15"/>
      <c r="MRF51" s="25"/>
      <c r="MRM51" s="21"/>
      <c r="MRN51" s="21"/>
      <c r="MRR51" s="15"/>
      <c r="MRX51" s="25"/>
      <c r="MSE51" s="21"/>
      <c r="MSF51" s="21"/>
      <c r="MSJ51" s="15"/>
      <c r="MSP51" s="25"/>
      <c r="MSW51" s="21"/>
      <c r="MSX51" s="21"/>
      <c r="MTB51" s="15"/>
      <c r="MTH51" s="25"/>
      <c r="MTO51" s="21"/>
      <c r="MTP51" s="21"/>
      <c r="MTT51" s="15"/>
      <c r="MTZ51" s="25"/>
      <c r="MUG51" s="21"/>
      <c r="MUH51" s="21"/>
      <c r="MUL51" s="15"/>
      <c r="MUR51" s="25"/>
      <c r="MUY51" s="21"/>
      <c r="MUZ51" s="21"/>
      <c r="MVD51" s="15"/>
      <c r="MVJ51" s="25"/>
      <c r="MVQ51" s="21"/>
      <c r="MVR51" s="21"/>
      <c r="MVV51" s="15"/>
      <c r="MWB51" s="25"/>
      <c r="MWI51" s="21"/>
      <c r="MWJ51" s="21"/>
      <c r="MWN51" s="15"/>
      <c r="MWT51" s="25"/>
      <c r="MXA51" s="21"/>
      <c r="MXB51" s="21"/>
      <c r="MXF51" s="15"/>
      <c r="MXL51" s="25"/>
      <c r="MXS51" s="21"/>
      <c r="MXT51" s="21"/>
      <c r="MXX51" s="15"/>
      <c r="MYD51" s="25"/>
      <c r="MYK51" s="21"/>
      <c r="MYL51" s="21"/>
      <c r="MYP51" s="15"/>
      <c r="MYV51" s="25"/>
      <c r="MZC51" s="21"/>
      <c r="MZD51" s="21"/>
      <c r="MZH51" s="15"/>
      <c r="MZN51" s="25"/>
      <c r="MZU51" s="21"/>
      <c r="MZV51" s="21"/>
      <c r="MZZ51" s="15"/>
      <c r="NAF51" s="25"/>
      <c r="NAM51" s="21"/>
      <c r="NAN51" s="21"/>
      <c r="NAR51" s="15"/>
      <c r="NAX51" s="25"/>
      <c r="NBE51" s="21"/>
      <c r="NBF51" s="21"/>
      <c r="NBJ51" s="15"/>
      <c r="NBP51" s="25"/>
      <c r="NBW51" s="21"/>
      <c r="NBX51" s="21"/>
      <c r="NCB51" s="15"/>
      <c r="NCH51" s="25"/>
      <c r="NCO51" s="21"/>
      <c r="NCP51" s="21"/>
      <c r="NCT51" s="15"/>
      <c r="NCZ51" s="25"/>
      <c r="NDG51" s="21"/>
      <c r="NDH51" s="21"/>
      <c r="NDL51" s="15"/>
      <c r="NDR51" s="25"/>
      <c r="NDY51" s="21"/>
      <c r="NDZ51" s="21"/>
      <c r="NED51" s="15"/>
      <c r="NEJ51" s="25"/>
      <c r="NEQ51" s="21"/>
      <c r="NER51" s="21"/>
      <c r="NEV51" s="15"/>
      <c r="NFB51" s="25"/>
      <c r="NFI51" s="21"/>
      <c r="NFJ51" s="21"/>
      <c r="NFN51" s="15"/>
      <c r="NFT51" s="25"/>
      <c r="NGA51" s="21"/>
      <c r="NGB51" s="21"/>
      <c r="NGF51" s="15"/>
      <c r="NGL51" s="25"/>
      <c r="NGS51" s="21"/>
      <c r="NGT51" s="21"/>
      <c r="NGX51" s="15"/>
      <c r="NHD51" s="25"/>
      <c r="NHK51" s="21"/>
      <c r="NHL51" s="21"/>
      <c r="NHP51" s="15"/>
      <c r="NHV51" s="25"/>
      <c r="NIC51" s="21"/>
      <c r="NID51" s="21"/>
      <c r="NIH51" s="15"/>
      <c r="NIN51" s="25"/>
      <c r="NIU51" s="21"/>
      <c r="NIV51" s="21"/>
      <c r="NIZ51" s="15"/>
      <c r="NJF51" s="25"/>
      <c r="NJM51" s="21"/>
      <c r="NJN51" s="21"/>
      <c r="NJR51" s="15"/>
      <c r="NJX51" s="25"/>
      <c r="NKE51" s="21"/>
      <c r="NKF51" s="21"/>
      <c r="NKJ51" s="15"/>
      <c r="NKP51" s="25"/>
      <c r="NKW51" s="21"/>
      <c r="NKX51" s="21"/>
      <c r="NLB51" s="15"/>
      <c r="NLH51" s="25"/>
      <c r="NLO51" s="21"/>
      <c r="NLP51" s="21"/>
      <c r="NLT51" s="15"/>
      <c r="NLZ51" s="25"/>
      <c r="NMG51" s="21"/>
      <c r="NMH51" s="21"/>
      <c r="NML51" s="15"/>
      <c r="NMR51" s="25"/>
      <c r="NMY51" s="21"/>
      <c r="NMZ51" s="21"/>
      <c r="NND51" s="15"/>
      <c r="NNJ51" s="25"/>
      <c r="NNQ51" s="21"/>
      <c r="NNR51" s="21"/>
      <c r="NNV51" s="15"/>
      <c r="NOB51" s="25"/>
      <c r="NOI51" s="21"/>
      <c r="NOJ51" s="21"/>
      <c r="NON51" s="15"/>
      <c r="NOT51" s="25"/>
      <c r="NPA51" s="21"/>
      <c r="NPB51" s="21"/>
      <c r="NPF51" s="15"/>
      <c r="NPL51" s="25"/>
      <c r="NPS51" s="21"/>
      <c r="NPT51" s="21"/>
      <c r="NPX51" s="15"/>
      <c r="NQD51" s="25"/>
      <c r="NQK51" s="21"/>
      <c r="NQL51" s="21"/>
      <c r="NQP51" s="15"/>
      <c r="NQV51" s="25"/>
      <c r="NRC51" s="21"/>
      <c r="NRD51" s="21"/>
      <c r="NRH51" s="15"/>
      <c r="NRN51" s="25"/>
      <c r="NRU51" s="21"/>
      <c r="NRV51" s="21"/>
      <c r="NRZ51" s="15"/>
      <c r="NSF51" s="25"/>
      <c r="NSM51" s="21"/>
      <c r="NSN51" s="21"/>
      <c r="NSR51" s="15"/>
      <c r="NSX51" s="25"/>
      <c r="NTE51" s="21"/>
      <c r="NTF51" s="21"/>
      <c r="NTJ51" s="15"/>
      <c r="NTP51" s="25"/>
      <c r="NTW51" s="21"/>
      <c r="NTX51" s="21"/>
      <c r="NUB51" s="15"/>
      <c r="NUH51" s="25"/>
      <c r="NUO51" s="21"/>
      <c r="NUP51" s="21"/>
      <c r="NUT51" s="15"/>
      <c r="NUZ51" s="25"/>
      <c r="NVG51" s="21"/>
      <c r="NVH51" s="21"/>
      <c r="NVL51" s="15"/>
      <c r="NVR51" s="25"/>
      <c r="NVY51" s="21"/>
      <c r="NVZ51" s="21"/>
      <c r="NWD51" s="15"/>
      <c r="NWJ51" s="25"/>
      <c r="NWQ51" s="21"/>
      <c r="NWR51" s="21"/>
      <c r="NWV51" s="15"/>
      <c r="NXB51" s="25"/>
      <c r="NXI51" s="21"/>
      <c r="NXJ51" s="21"/>
      <c r="NXN51" s="15"/>
      <c r="NXT51" s="25"/>
      <c r="NYA51" s="21"/>
      <c r="NYB51" s="21"/>
      <c r="NYF51" s="15"/>
      <c r="NYL51" s="25"/>
      <c r="NYS51" s="21"/>
      <c r="NYT51" s="21"/>
      <c r="NYX51" s="15"/>
      <c r="NZD51" s="25"/>
      <c r="NZK51" s="21"/>
      <c r="NZL51" s="21"/>
      <c r="NZP51" s="15"/>
      <c r="NZV51" s="25"/>
      <c r="OAC51" s="21"/>
      <c r="OAD51" s="21"/>
      <c r="OAH51" s="15"/>
      <c r="OAN51" s="25"/>
      <c r="OAU51" s="21"/>
      <c r="OAV51" s="21"/>
      <c r="OAZ51" s="15"/>
      <c r="OBF51" s="25"/>
      <c r="OBM51" s="21"/>
      <c r="OBN51" s="21"/>
      <c r="OBR51" s="15"/>
      <c r="OBX51" s="25"/>
      <c r="OCE51" s="21"/>
      <c r="OCF51" s="21"/>
      <c r="OCJ51" s="15"/>
      <c r="OCP51" s="25"/>
      <c r="OCW51" s="21"/>
      <c r="OCX51" s="21"/>
      <c r="ODB51" s="15"/>
      <c r="ODH51" s="25"/>
      <c r="ODO51" s="21"/>
      <c r="ODP51" s="21"/>
      <c r="ODT51" s="15"/>
      <c r="ODZ51" s="25"/>
      <c r="OEG51" s="21"/>
      <c r="OEH51" s="21"/>
      <c r="OEL51" s="15"/>
      <c r="OER51" s="25"/>
      <c r="OEY51" s="21"/>
      <c r="OEZ51" s="21"/>
      <c r="OFD51" s="15"/>
      <c r="OFJ51" s="25"/>
      <c r="OFQ51" s="21"/>
      <c r="OFR51" s="21"/>
      <c r="OFV51" s="15"/>
      <c r="OGB51" s="25"/>
      <c r="OGI51" s="21"/>
      <c r="OGJ51" s="21"/>
      <c r="OGN51" s="15"/>
      <c r="OGT51" s="25"/>
      <c r="OHA51" s="21"/>
      <c r="OHB51" s="21"/>
      <c r="OHF51" s="15"/>
      <c r="OHL51" s="25"/>
      <c r="OHS51" s="21"/>
      <c r="OHT51" s="21"/>
      <c r="OHX51" s="15"/>
      <c r="OID51" s="25"/>
      <c r="OIK51" s="21"/>
      <c r="OIL51" s="21"/>
      <c r="OIP51" s="15"/>
      <c r="OIV51" s="25"/>
      <c r="OJC51" s="21"/>
      <c r="OJD51" s="21"/>
      <c r="OJH51" s="15"/>
      <c r="OJN51" s="25"/>
      <c r="OJU51" s="21"/>
      <c r="OJV51" s="21"/>
      <c r="OJZ51" s="15"/>
      <c r="OKF51" s="25"/>
      <c r="OKM51" s="21"/>
      <c r="OKN51" s="21"/>
      <c r="OKR51" s="15"/>
      <c r="OKX51" s="25"/>
      <c r="OLE51" s="21"/>
      <c r="OLF51" s="21"/>
      <c r="OLJ51" s="15"/>
      <c r="OLP51" s="25"/>
      <c r="OLW51" s="21"/>
      <c r="OLX51" s="21"/>
      <c r="OMB51" s="15"/>
      <c r="OMH51" s="25"/>
      <c r="OMO51" s="21"/>
      <c r="OMP51" s="21"/>
      <c r="OMT51" s="15"/>
      <c r="OMZ51" s="25"/>
      <c r="ONG51" s="21"/>
      <c r="ONH51" s="21"/>
      <c r="ONL51" s="15"/>
      <c r="ONR51" s="25"/>
      <c r="ONY51" s="21"/>
      <c r="ONZ51" s="21"/>
      <c r="OOD51" s="15"/>
      <c r="OOJ51" s="25"/>
      <c r="OOQ51" s="21"/>
      <c r="OOR51" s="21"/>
      <c r="OOV51" s="15"/>
      <c r="OPB51" s="25"/>
      <c r="OPI51" s="21"/>
      <c r="OPJ51" s="21"/>
      <c r="OPN51" s="15"/>
      <c r="OPT51" s="25"/>
      <c r="OQA51" s="21"/>
      <c r="OQB51" s="21"/>
      <c r="OQF51" s="15"/>
      <c r="OQL51" s="25"/>
      <c r="OQS51" s="21"/>
      <c r="OQT51" s="21"/>
      <c r="OQX51" s="15"/>
      <c r="ORD51" s="25"/>
      <c r="ORK51" s="21"/>
      <c r="ORL51" s="21"/>
      <c r="ORP51" s="15"/>
      <c r="ORV51" s="25"/>
      <c r="OSC51" s="21"/>
      <c r="OSD51" s="21"/>
      <c r="OSH51" s="15"/>
      <c r="OSN51" s="25"/>
      <c r="OSU51" s="21"/>
      <c r="OSV51" s="21"/>
      <c r="OSZ51" s="15"/>
      <c r="OTF51" s="25"/>
      <c r="OTM51" s="21"/>
      <c r="OTN51" s="21"/>
      <c r="OTR51" s="15"/>
      <c r="OTX51" s="25"/>
      <c r="OUE51" s="21"/>
      <c r="OUF51" s="21"/>
      <c r="OUJ51" s="15"/>
      <c r="OUP51" s="25"/>
      <c r="OUW51" s="21"/>
      <c r="OUX51" s="21"/>
      <c r="OVB51" s="15"/>
      <c r="OVH51" s="25"/>
      <c r="OVO51" s="21"/>
      <c r="OVP51" s="21"/>
      <c r="OVT51" s="15"/>
      <c r="OVZ51" s="25"/>
      <c r="OWG51" s="21"/>
      <c r="OWH51" s="21"/>
      <c r="OWL51" s="15"/>
      <c r="OWR51" s="25"/>
      <c r="OWY51" s="21"/>
      <c r="OWZ51" s="21"/>
      <c r="OXD51" s="15"/>
      <c r="OXJ51" s="25"/>
      <c r="OXQ51" s="21"/>
      <c r="OXR51" s="21"/>
      <c r="OXV51" s="15"/>
      <c r="OYB51" s="25"/>
      <c r="OYI51" s="21"/>
      <c r="OYJ51" s="21"/>
      <c r="OYN51" s="15"/>
      <c r="OYT51" s="25"/>
      <c r="OZA51" s="21"/>
      <c r="OZB51" s="21"/>
      <c r="OZF51" s="15"/>
      <c r="OZL51" s="25"/>
      <c r="OZS51" s="21"/>
      <c r="OZT51" s="21"/>
      <c r="OZX51" s="15"/>
      <c r="PAD51" s="25"/>
      <c r="PAK51" s="21"/>
      <c r="PAL51" s="21"/>
      <c r="PAP51" s="15"/>
      <c r="PAV51" s="25"/>
      <c r="PBC51" s="21"/>
      <c r="PBD51" s="21"/>
      <c r="PBH51" s="15"/>
      <c r="PBN51" s="25"/>
      <c r="PBU51" s="21"/>
      <c r="PBV51" s="21"/>
      <c r="PBZ51" s="15"/>
      <c r="PCF51" s="25"/>
      <c r="PCM51" s="21"/>
      <c r="PCN51" s="21"/>
      <c r="PCR51" s="15"/>
      <c r="PCX51" s="25"/>
      <c r="PDE51" s="21"/>
      <c r="PDF51" s="21"/>
      <c r="PDJ51" s="15"/>
      <c r="PDP51" s="25"/>
      <c r="PDW51" s="21"/>
      <c r="PDX51" s="21"/>
      <c r="PEB51" s="15"/>
      <c r="PEH51" s="25"/>
      <c r="PEO51" s="21"/>
      <c r="PEP51" s="21"/>
      <c r="PET51" s="15"/>
      <c r="PEZ51" s="25"/>
      <c r="PFG51" s="21"/>
      <c r="PFH51" s="21"/>
      <c r="PFL51" s="15"/>
      <c r="PFR51" s="25"/>
      <c r="PFY51" s="21"/>
      <c r="PFZ51" s="21"/>
      <c r="PGD51" s="15"/>
      <c r="PGJ51" s="25"/>
      <c r="PGQ51" s="21"/>
      <c r="PGR51" s="21"/>
      <c r="PGV51" s="15"/>
      <c r="PHB51" s="25"/>
      <c r="PHI51" s="21"/>
      <c r="PHJ51" s="21"/>
      <c r="PHN51" s="15"/>
      <c r="PHT51" s="25"/>
      <c r="PIA51" s="21"/>
      <c r="PIB51" s="21"/>
      <c r="PIF51" s="15"/>
      <c r="PIL51" s="25"/>
      <c r="PIS51" s="21"/>
      <c r="PIT51" s="21"/>
      <c r="PIX51" s="15"/>
      <c r="PJD51" s="25"/>
      <c r="PJK51" s="21"/>
      <c r="PJL51" s="21"/>
      <c r="PJP51" s="15"/>
      <c r="PJV51" s="25"/>
      <c r="PKC51" s="21"/>
      <c r="PKD51" s="21"/>
      <c r="PKH51" s="15"/>
      <c r="PKN51" s="25"/>
      <c r="PKU51" s="21"/>
      <c r="PKV51" s="21"/>
      <c r="PKZ51" s="15"/>
      <c r="PLF51" s="25"/>
      <c r="PLM51" s="21"/>
      <c r="PLN51" s="21"/>
      <c r="PLR51" s="15"/>
      <c r="PLX51" s="25"/>
      <c r="PME51" s="21"/>
      <c r="PMF51" s="21"/>
      <c r="PMJ51" s="15"/>
      <c r="PMP51" s="25"/>
      <c r="PMW51" s="21"/>
      <c r="PMX51" s="21"/>
      <c r="PNB51" s="15"/>
      <c r="PNH51" s="25"/>
      <c r="PNO51" s="21"/>
      <c r="PNP51" s="21"/>
      <c r="PNT51" s="15"/>
      <c r="PNZ51" s="25"/>
      <c r="POG51" s="21"/>
      <c r="POH51" s="21"/>
      <c r="POL51" s="15"/>
      <c r="POR51" s="25"/>
      <c r="POY51" s="21"/>
      <c r="POZ51" s="21"/>
      <c r="PPD51" s="15"/>
      <c r="PPJ51" s="25"/>
      <c r="PPQ51" s="21"/>
      <c r="PPR51" s="21"/>
      <c r="PPV51" s="15"/>
      <c r="PQB51" s="25"/>
      <c r="PQI51" s="21"/>
      <c r="PQJ51" s="21"/>
      <c r="PQN51" s="15"/>
      <c r="PQT51" s="25"/>
      <c r="PRA51" s="21"/>
      <c r="PRB51" s="21"/>
      <c r="PRF51" s="15"/>
      <c r="PRL51" s="25"/>
      <c r="PRS51" s="21"/>
      <c r="PRT51" s="21"/>
      <c r="PRX51" s="15"/>
      <c r="PSD51" s="25"/>
      <c r="PSK51" s="21"/>
      <c r="PSL51" s="21"/>
      <c r="PSP51" s="15"/>
      <c r="PSV51" s="25"/>
      <c r="PTC51" s="21"/>
      <c r="PTD51" s="21"/>
      <c r="PTH51" s="15"/>
      <c r="PTN51" s="25"/>
      <c r="PTU51" s="21"/>
      <c r="PTV51" s="21"/>
      <c r="PTZ51" s="15"/>
      <c r="PUF51" s="25"/>
      <c r="PUM51" s="21"/>
      <c r="PUN51" s="21"/>
      <c r="PUR51" s="15"/>
      <c r="PUX51" s="25"/>
      <c r="PVE51" s="21"/>
      <c r="PVF51" s="21"/>
      <c r="PVJ51" s="15"/>
      <c r="PVP51" s="25"/>
      <c r="PVW51" s="21"/>
      <c r="PVX51" s="21"/>
      <c r="PWB51" s="15"/>
      <c r="PWH51" s="25"/>
      <c r="PWO51" s="21"/>
      <c r="PWP51" s="21"/>
      <c r="PWT51" s="15"/>
      <c r="PWZ51" s="25"/>
      <c r="PXG51" s="21"/>
      <c r="PXH51" s="21"/>
      <c r="PXL51" s="15"/>
      <c r="PXR51" s="25"/>
      <c r="PXY51" s="21"/>
      <c r="PXZ51" s="21"/>
      <c r="PYD51" s="15"/>
      <c r="PYJ51" s="25"/>
      <c r="PYQ51" s="21"/>
      <c r="PYR51" s="21"/>
      <c r="PYV51" s="15"/>
      <c r="PZB51" s="25"/>
      <c r="PZI51" s="21"/>
      <c r="PZJ51" s="21"/>
      <c r="PZN51" s="15"/>
      <c r="PZT51" s="25"/>
      <c r="QAA51" s="21"/>
      <c r="QAB51" s="21"/>
      <c r="QAF51" s="15"/>
      <c r="QAL51" s="25"/>
      <c r="QAS51" s="21"/>
      <c r="QAT51" s="21"/>
      <c r="QAX51" s="15"/>
      <c r="QBD51" s="25"/>
      <c r="QBK51" s="21"/>
      <c r="QBL51" s="21"/>
      <c r="QBP51" s="15"/>
      <c r="QBV51" s="25"/>
      <c r="QCC51" s="21"/>
      <c r="QCD51" s="21"/>
      <c r="QCH51" s="15"/>
      <c r="QCN51" s="25"/>
      <c r="QCU51" s="21"/>
      <c r="QCV51" s="21"/>
      <c r="QCZ51" s="15"/>
      <c r="QDF51" s="25"/>
      <c r="QDM51" s="21"/>
      <c r="QDN51" s="21"/>
      <c r="QDR51" s="15"/>
      <c r="QDX51" s="25"/>
      <c r="QEE51" s="21"/>
      <c r="QEF51" s="21"/>
      <c r="QEJ51" s="15"/>
      <c r="QEP51" s="25"/>
      <c r="QEW51" s="21"/>
      <c r="QEX51" s="21"/>
      <c r="QFB51" s="15"/>
      <c r="QFH51" s="25"/>
      <c r="QFO51" s="21"/>
      <c r="QFP51" s="21"/>
      <c r="QFT51" s="15"/>
      <c r="QFZ51" s="25"/>
      <c r="QGG51" s="21"/>
      <c r="QGH51" s="21"/>
      <c r="QGL51" s="15"/>
      <c r="QGR51" s="25"/>
      <c r="QGY51" s="21"/>
      <c r="QGZ51" s="21"/>
      <c r="QHD51" s="15"/>
      <c r="QHJ51" s="25"/>
      <c r="QHQ51" s="21"/>
      <c r="QHR51" s="21"/>
      <c r="QHV51" s="15"/>
      <c r="QIB51" s="25"/>
      <c r="QII51" s="21"/>
      <c r="QIJ51" s="21"/>
      <c r="QIN51" s="15"/>
      <c r="QIT51" s="25"/>
      <c r="QJA51" s="21"/>
      <c r="QJB51" s="21"/>
      <c r="QJF51" s="15"/>
      <c r="QJL51" s="25"/>
      <c r="QJS51" s="21"/>
      <c r="QJT51" s="21"/>
      <c r="QJX51" s="15"/>
      <c r="QKD51" s="25"/>
      <c r="QKK51" s="21"/>
      <c r="QKL51" s="21"/>
      <c r="QKP51" s="15"/>
      <c r="QKV51" s="25"/>
      <c r="QLC51" s="21"/>
      <c r="QLD51" s="21"/>
      <c r="QLH51" s="15"/>
      <c r="QLN51" s="25"/>
      <c r="QLU51" s="21"/>
      <c r="QLV51" s="21"/>
      <c r="QLZ51" s="15"/>
      <c r="QMF51" s="25"/>
      <c r="QMM51" s="21"/>
      <c r="QMN51" s="21"/>
      <c r="QMR51" s="15"/>
      <c r="QMX51" s="25"/>
      <c r="QNE51" s="21"/>
      <c r="QNF51" s="21"/>
      <c r="QNJ51" s="15"/>
      <c r="QNP51" s="25"/>
      <c r="QNW51" s="21"/>
      <c r="QNX51" s="21"/>
      <c r="QOB51" s="15"/>
      <c r="QOH51" s="25"/>
      <c r="QOO51" s="21"/>
      <c r="QOP51" s="21"/>
      <c r="QOT51" s="15"/>
      <c r="QOZ51" s="25"/>
      <c r="QPG51" s="21"/>
      <c r="QPH51" s="21"/>
      <c r="QPL51" s="15"/>
      <c r="QPR51" s="25"/>
      <c r="QPY51" s="21"/>
      <c r="QPZ51" s="21"/>
      <c r="QQD51" s="15"/>
      <c r="QQJ51" s="25"/>
      <c r="QQQ51" s="21"/>
      <c r="QQR51" s="21"/>
      <c r="QQV51" s="15"/>
      <c r="QRB51" s="25"/>
      <c r="QRI51" s="21"/>
      <c r="QRJ51" s="21"/>
      <c r="QRN51" s="15"/>
      <c r="QRT51" s="25"/>
      <c r="QSA51" s="21"/>
      <c r="QSB51" s="21"/>
      <c r="QSF51" s="15"/>
      <c r="QSL51" s="25"/>
      <c r="QSS51" s="21"/>
      <c r="QST51" s="21"/>
      <c r="QSX51" s="15"/>
      <c r="QTD51" s="25"/>
      <c r="QTK51" s="21"/>
      <c r="QTL51" s="21"/>
      <c r="QTP51" s="15"/>
      <c r="QTV51" s="25"/>
      <c r="QUC51" s="21"/>
      <c r="QUD51" s="21"/>
      <c r="QUH51" s="15"/>
      <c r="QUN51" s="25"/>
      <c r="QUU51" s="21"/>
      <c r="QUV51" s="21"/>
      <c r="QUZ51" s="15"/>
      <c r="QVF51" s="25"/>
      <c r="QVM51" s="21"/>
      <c r="QVN51" s="21"/>
      <c r="QVR51" s="15"/>
      <c r="QVX51" s="25"/>
      <c r="QWE51" s="21"/>
      <c r="QWF51" s="21"/>
      <c r="QWJ51" s="15"/>
      <c r="QWP51" s="25"/>
      <c r="QWW51" s="21"/>
      <c r="QWX51" s="21"/>
      <c r="QXB51" s="15"/>
      <c r="QXH51" s="25"/>
      <c r="QXO51" s="21"/>
      <c r="QXP51" s="21"/>
      <c r="QXT51" s="15"/>
      <c r="QXZ51" s="25"/>
      <c r="QYG51" s="21"/>
      <c r="QYH51" s="21"/>
      <c r="QYL51" s="15"/>
      <c r="QYR51" s="25"/>
      <c r="QYY51" s="21"/>
      <c r="QYZ51" s="21"/>
      <c r="QZD51" s="15"/>
      <c r="QZJ51" s="25"/>
      <c r="QZQ51" s="21"/>
      <c r="QZR51" s="21"/>
      <c r="QZV51" s="15"/>
      <c r="RAB51" s="25"/>
      <c r="RAI51" s="21"/>
      <c r="RAJ51" s="21"/>
      <c r="RAN51" s="15"/>
      <c r="RAT51" s="25"/>
      <c r="RBA51" s="21"/>
      <c r="RBB51" s="21"/>
      <c r="RBF51" s="15"/>
      <c r="RBL51" s="25"/>
      <c r="RBS51" s="21"/>
      <c r="RBT51" s="21"/>
      <c r="RBX51" s="15"/>
      <c r="RCD51" s="25"/>
      <c r="RCK51" s="21"/>
      <c r="RCL51" s="21"/>
      <c r="RCP51" s="15"/>
      <c r="RCV51" s="25"/>
      <c r="RDC51" s="21"/>
      <c r="RDD51" s="21"/>
      <c r="RDH51" s="15"/>
      <c r="RDN51" s="25"/>
      <c r="RDU51" s="21"/>
      <c r="RDV51" s="21"/>
      <c r="RDZ51" s="15"/>
      <c r="REF51" s="25"/>
      <c r="REM51" s="21"/>
      <c r="REN51" s="21"/>
      <c r="RER51" s="15"/>
      <c r="REX51" s="25"/>
      <c r="RFE51" s="21"/>
      <c r="RFF51" s="21"/>
      <c r="RFJ51" s="15"/>
      <c r="RFP51" s="25"/>
      <c r="RFW51" s="21"/>
      <c r="RFX51" s="21"/>
      <c r="RGB51" s="15"/>
      <c r="RGH51" s="25"/>
      <c r="RGO51" s="21"/>
      <c r="RGP51" s="21"/>
      <c r="RGT51" s="15"/>
      <c r="RGZ51" s="25"/>
      <c r="RHG51" s="21"/>
      <c r="RHH51" s="21"/>
      <c r="RHL51" s="15"/>
      <c r="RHR51" s="25"/>
      <c r="RHY51" s="21"/>
      <c r="RHZ51" s="21"/>
      <c r="RID51" s="15"/>
      <c r="RIJ51" s="25"/>
      <c r="RIQ51" s="21"/>
      <c r="RIR51" s="21"/>
      <c r="RIV51" s="15"/>
      <c r="RJB51" s="25"/>
      <c r="RJI51" s="21"/>
      <c r="RJJ51" s="21"/>
      <c r="RJN51" s="15"/>
      <c r="RJT51" s="25"/>
      <c r="RKA51" s="21"/>
      <c r="RKB51" s="21"/>
      <c r="RKF51" s="15"/>
      <c r="RKL51" s="25"/>
      <c r="RKS51" s="21"/>
      <c r="RKT51" s="21"/>
      <c r="RKX51" s="15"/>
      <c r="RLD51" s="25"/>
      <c r="RLK51" s="21"/>
      <c r="RLL51" s="21"/>
      <c r="RLP51" s="15"/>
      <c r="RLV51" s="25"/>
      <c r="RMC51" s="21"/>
      <c r="RMD51" s="21"/>
      <c r="RMH51" s="15"/>
      <c r="RMN51" s="25"/>
      <c r="RMU51" s="21"/>
      <c r="RMV51" s="21"/>
      <c r="RMZ51" s="15"/>
      <c r="RNF51" s="25"/>
      <c r="RNM51" s="21"/>
      <c r="RNN51" s="21"/>
      <c r="RNR51" s="15"/>
      <c r="RNX51" s="25"/>
      <c r="ROE51" s="21"/>
      <c r="ROF51" s="21"/>
      <c r="ROJ51" s="15"/>
      <c r="ROP51" s="25"/>
      <c r="ROW51" s="21"/>
      <c r="ROX51" s="21"/>
      <c r="RPB51" s="15"/>
      <c r="RPH51" s="25"/>
      <c r="RPO51" s="21"/>
      <c r="RPP51" s="21"/>
      <c r="RPT51" s="15"/>
      <c r="RPZ51" s="25"/>
      <c r="RQG51" s="21"/>
      <c r="RQH51" s="21"/>
      <c r="RQL51" s="15"/>
      <c r="RQR51" s="25"/>
      <c r="RQY51" s="21"/>
      <c r="RQZ51" s="21"/>
      <c r="RRD51" s="15"/>
      <c r="RRJ51" s="25"/>
      <c r="RRQ51" s="21"/>
      <c r="RRR51" s="21"/>
      <c r="RRV51" s="15"/>
      <c r="RSB51" s="25"/>
      <c r="RSI51" s="21"/>
      <c r="RSJ51" s="21"/>
      <c r="RSN51" s="15"/>
      <c r="RST51" s="25"/>
      <c r="RTA51" s="21"/>
      <c r="RTB51" s="21"/>
      <c r="RTF51" s="15"/>
      <c r="RTL51" s="25"/>
      <c r="RTS51" s="21"/>
      <c r="RTT51" s="21"/>
      <c r="RTX51" s="15"/>
      <c r="RUD51" s="25"/>
      <c r="RUK51" s="21"/>
      <c r="RUL51" s="21"/>
      <c r="RUP51" s="15"/>
      <c r="RUV51" s="25"/>
      <c r="RVC51" s="21"/>
      <c r="RVD51" s="21"/>
      <c r="RVH51" s="15"/>
      <c r="RVN51" s="25"/>
      <c r="RVU51" s="21"/>
      <c r="RVV51" s="21"/>
      <c r="RVZ51" s="15"/>
      <c r="RWF51" s="25"/>
      <c r="RWM51" s="21"/>
      <c r="RWN51" s="21"/>
      <c r="RWR51" s="15"/>
      <c r="RWX51" s="25"/>
      <c r="RXE51" s="21"/>
      <c r="RXF51" s="21"/>
      <c r="RXJ51" s="15"/>
      <c r="RXP51" s="25"/>
      <c r="RXW51" s="21"/>
      <c r="RXX51" s="21"/>
      <c r="RYB51" s="15"/>
      <c r="RYH51" s="25"/>
      <c r="RYO51" s="21"/>
      <c r="RYP51" s="21"/>
      <c r="RYT51" s="15"/>
      <c r="RYZ51" s="25"/>
      <c r="RZG51" s="21"/>
      <c r="RZH51" s="21"/>
      <c r="RZL51" s="15"/>
      <c r="RZR51" s="25"/>
      <c r="RZY51" s="21"/>
      <c r="RZZ51" s="21"/>
      <c r="SAD51" s="15"/>
      <c r="SAJ51" s="25"/>
      <c r="SAQ51" s="21"/>
      <c r="SAR51" s="21"/>
      <c r="SAV51" s="15"/>
      <c r="SBB51" s="25"/>
      <c r="SBI51" s="21"/>
      <c r="SBJ51" s="21"/>
      <c r="SBN51" s="15"/>
      <c r="SBT51" s="25"/>
      <c r="SCA51" s="21"/>
      <c r="SCB51" s="21"/>
      <c r="SCF51" s="15"/>
      <c r="SCL51" s="25"/>
      <c r="SCS51" s="21"/>
      <c r="SCT51" s="21"/>
      <c r="SCX51" s="15"/>
      <c r="SDD51" s="25"/>
      <c r="SDK51" s="21"/>
      <c r="SDL51" s="21"/>
      <c r="SDP51" s="15"/>
      <c r="SDV51" s="25"/>
      <c r="SEC51" s="21"/>
      <c r="SED51" s="21"/>
      <c r="SEH51" s="15"/>
      <c r="SEN51" s="25"/>
      <c r="SEU51" s="21"/>
      <c r="SEV51" s="21"/>
      <c r="SEZ51" s="15"/>
      <c r="SFF51" s="25"/>
      <c r="SFM51" s="21"/>
      <c r="SFN51" s="21"/>
      <c r="SFR51" s="15"/>
      <c r="SFX51" s="25"/>
      <c r="SGE51" s="21"/>
      <c r="SGF51" s="21"/>
      <c r="SGJ51" s="15"/>
      <c r="SGP51" s="25"/>
      <c r="SGW51" s="21"/>
      <c r="SGX51" s="21"/>
      <c r="SHB51" s="15"/>
      <c r="SHH51" s="25"/>
      <c r="SHO51" s="21"/>
      <c r="SHP51" s="21"/>
      <c r="SHT51" s="15"/>
      <c r="SHZ51" s="25"/>
      <c r="SIG51" s="21"/>
      <c r="SIH51" s="21"/>
      <c r="SIL51" s="15"/>
      <c r="SIR51" s="25"/>
      <c r="SIY51" s="21"/>
      <c r="SIZ51" s="21"/>
      <c r="SJD51" s="15"/>
      <c r="SJJ51" s="25"/>
      <c r="SJQ51" s="21"/>
      <c r="SJR51" s="21"/>
      <c r="SJV51" s="15"/>
      <c r="SKB51" s="25"/>
      <c r="SKI51" s="21"/>
      <c r="SKJ51" s="21"/>
      <c r="SKN51" s="15"/>
      <c r="SKT51" s="25"/>
      <c r="SLA51" s="21"/>
      <c r="SLB51" s="21"/>
      <c r="SLF51" s="15"/>
      <c r="SLL51" s="25"/>
      <c r="SLS51" s="21"/>
      <c r="SLT51" s="21"/>
      <c r="SLX51" s="15"/>
      <c r="SMD51" s="25"/>
      <c r="SMK51" s="21"/>
      <c r="SML51" s="21"/>
      <c r="SMP51" s="15"/>
      <c r="SMV51" s="25"/>
      <c r="SNC51" s="21"/>
      <c r="SND51" s="21"/>
      <c r="SNH51" s="15"/>
      <c r="SNN51" s="25"/>
      <c r="SNU51" s="21"/>
      <c r="SNV51" s="21"/>
      <c r="SNZ51" s="15"/>
      <c r="SOF51" s="25"/>
      <c r="SOM51" s="21"/>
      <c r="SON51" s="21"/>
      <c r="SOR51" s="15"/>
      <c r="SOX51" s="25"/>
      <c r="SPE51" s="21"/>
      <c r="SPF51" s="21"/>
      <c r="SPJ51" s="15"/>
      <c r="SPP51" s="25"/>
      <c r="SPW51" s="21"/>
      <c r="SPX51" s="21"/>
      <c r="SQB51" s="15"/>
      <c r="SQH51" s="25"/>
      <c r="SQO51" s="21"/>
      <c r="SQP51" s="21"/>
      <c r="SQT51" s="15"/>
      <c r="SQZ51" s="25"/>
      <c r="SRG51" s="21"/>
      <c r="SRH51" s="21"/>
      <c r="SRL51" s="15"/>
      <c r="SRR51" s="25"/>
      <c r="SRY51" s="21"/>
      <c r="SRZ51" s="21"/>
      <c r="SSD51" s="15"/>
      <c r="SSJ51" s="25"/>
      <c r="SSQ51" s="21"/>
      <c r="SSR51" s="21"/>
      <c r="SSV51" s="15"/>
      <c r="STB51" s="25"/>
      <c r="STI51" s="21"/>
      <c r="STJ51" s="21"/>
      <c r="STN51" s="15"/>
      <c r="STT51" s="25"/>
      <c r="SUA51" s="21"/>
      <c r="SUB51" s="21"/>
      <c r="SUF51" s="15"/>
      <c r="SUL51" s="25"/>
      <c r="SUS51" s="21"/>
      <c r="SUT51" s="21"/>
      <c r="SUX51" s="15"/>
      <c r="SVD51" s="25"/>
      <c r="SVK51" s="21"/>
      <c r="SVL51" s="21"/>
      <c r="SVP51" s="15"/>
      <c r="SVV51" s="25"/>
      <c r="SWC51" s="21"/>
      <c r="SWD51" s="21"/>
      <c r="SWH51" s="15"/>
      <c r="SWN51" s="25"/>
      <c r="SWU51" s="21"/>
      <c r="SWV51" s="21"/>
      <c r="SWZ51" s="15"/>
      <c r="SXF51" s="25"/>
      <c r="SXM51" s="21"/>
      <c r="SXN51" s="21"/>
      <c r="SXR51" s="15"/>
      <c r="SXX51" s="25"/>
      <c r="SYE51" s="21"/>
      <c r="SYF51" s="21"/>
      <c r="SYJ51" s="15"/>
      <c r="SYP51" s="25"/>
      <c r="SYW51" s="21"/>
      <c r="SYX51" s="21"/>
      <c r="SZB51" s="15"/>
      <c r="SZH51" s="25"/>
      <c r="SZO51" s="21"/>
      <c r="SZP51" s="21"/>
      <c r="SZT51" s="15"/>
      <c r="SZZ51" s="25"/>
      <c r="TAG51" s="21"/>
      <c r="TAH51" s="21"/>
      <c r="TAL51" s="15"/>
      <c r="TAR51" s="25"/>
      <c r="TAY51" s="21"/>
      <c r="TAZ51" s="21"/>
      <c r="TBD51" s="15"/>
      <c r="TBJ51" s="25"/>
      <c r="TBQ51" s="21"/>
      <c r="TBR51" s="21"/>
      <c r="TBV51" s="15"/>
      <c r="TCB51" s="25"/>
      <c r="TCI51" s="21"/>
      <c r="TCJ51" s="21"/>
      <c r="TCN51" s="15"/>
      <c r="TCT51" s="25"/>
      <c r="TDA51" s="21"/>
      <c r="TDB51" s="21"/>
      <c r="TDF51" s="15"/>
      <c r="TDL51" s="25"/>
      <c r="TDS51" s="21"/>
      <c r="TDT51" s="21"/>
      <c r="TDX51" s="15"/>
      <c r="TED51" s="25"/>
      <c r="TEK51" s="21"/>
      <c r="TEL51" s="21"/>
      <c r="TEP51" s="15"/>
      <c r="TEV51" s="25"/>
      <c r="TFC51" s="21"/>
      <c r="TFD51" s="21"/>
      <c r="TFH51" s="15"/>
      <c r="TFN51" s="25"/>
      <c r="TFU51" s="21"/>
      <c r="TFV51" s="21"/>
      <c r="TFZ51" s="15"/>
      <c r="TGF51" s="25"/>
      <c r="TGM51" s="21"/>
      <c r="TGN51" s="21"/>
      <c r="TGR51" s="15"/>
      <c r="TGX51" s="25"/>
      <c r="THE51" s="21"/>
      <c r="THF51" s="21"/>
      <c r="THJ51" s="15"/>
      <c r="THP51" s="25"/>
      <c r="THW51" s="21"/>
      <c r="THX51" s="21"/>
      <c r="TIB51" s="15"/>
      <c r="TIH51" s="25"/>
      <c r="TIO51" s="21"/>
      <c r="TIP51" s="21"/>
      <c r="TIT51" s="15"/>
      <c r="TIZ51" s="25"/>
      <c r="TJG51" s="21"/>
      <c r="TJH51" s="21"/>
      <c r="TJL51" s="15"/>
      <c r="TJR51" s="25"/>
      <c r="TJY51" s="21"/>
      <c r="TJZ51" s="21"/>
      <c r="TKD51" s="15"/>
      <c r="TKJ51" s="25"/>
      <c r="TKQ51" s="21"/>
      <c r="TKR51" s="21"/>
      <c r="TKV51" s="15"/>
      <c r="TLB51" s="25"/>
      <c r="TLI51" s="21"/>
      <c r="TLJ51" s="21"/>
      <c r="TLN51" s="15"/>
      <c r="TLT51" s="25"/>
      <c r="TMA51" s="21"/>
      <c r="TMB51" s="21"/>
      <c r="TMF51" s="15"/>
      <c r="TML51" s="25"/>
      <c r="TMS51" s="21"/>
      <c r="TMT51" s="21"/>
      <c r="TMX51" s="15"/>
      <c r="TND51" s="25"/>
      <c r="TNK51" s="21"/>
      <c r="TNL51" s="21"/>
      <c r="TNP51" s="15"/>
      <c r="TNV51" s="25"/>
      <c r="TOC51" s="21"/>
      <c r="TOD51" s="21"/>
      <c r="TOH51" s="15"/>
      <c r="TON51" s="25"/>
      <c r="TOU51" s="21"/>
      <c r="TOV51" s="21"/>
      <c r="TOZ51" s="15"/>
      <c r="TPF51" s="25"/>
      <c r="TPM51" s="21"/>
      <c r="TPN51" s="21"/>
      <c r="TPR51" s="15"/>
      <c r="TPX51" s="25"/>
      <c r="TQE51" s="21"/>
      <c r="TQF51" s="21"/>
      <c r="TQJ51" s="15"/>
      <c r="TQP51" s="25"/>
      <c r="TQW51" s="21"/>
      <c r="TQX51" s="21"/>
      <c r="TRB51" s="15"/>
      <c r="TRH51" s="25"/>
      <c r="TRO51" s="21"/>
      <c r="TRP51" s="21"/>
      <c r="TRT51" s="15"/>
      <c r="TRZ51" s="25"/>
      <c r="TSG51" s="21"/>
      <c r="TSH51" s="21"/>
      <c r="TSL51" s="15"/>
      <c r="TSR51" s="25"/>
      <c r="TSY51" s="21"/>
      <c r="TSZ51" s="21"/>
      <c r="TTD51" s="15"/>
      <c r="TTJ51" s="25"/>
      <c r="TTQ51" s="21"/>
      <c r="TTR51" s="21"/>
      <c r="TTV51" s="15"/>
      <c r="TUB51" s="25"/>
      <c r="TUI51" s="21"/>
      <c r="TUJ51" s="21"/>
      <c r="TUN51" s="15"/>
      <c r="TUT51" s="25"/>
      <c r="TVA51" s="21"/>
      <c r="TVB51" s="21"/>
      <c r="TVF51" s="15"/>
      <c r="TVL51" s="25"/>
      <c r="TVS51" s="21"/>
      <c r="TVT51" s="21"/>
      <c r="TVX51" s="15"/>
      <c r="TWD51" s="25"/>
      <c r="TWK51" s="21"/>
      <c r="TWL51" s="21"/>
      <c r="TWP51" s="15"/>
      <c r="TWV51" s="25"/>
      <c r="TXC51" s="21"/>
      <c r="TXD51" s="21"/>
      <c r="TXH51" s="15"/>
      <c r="TXN51" s="25"/>
      <c r="TXU51" s="21"/>
      <c r="TXV51" s="21"/>
      <c r="TXZ51" s="15"/>
      <c r="TYF51" s="25"/>
      <c r="TYM51" s="21"/>
      <c r="TYN51" s="21"/>
      <c r="TYR51" s="15"/>
      <c r="TYX51" s="25"/>
      <c r="TZE51" s="21"/>
      <c r="TZF51" s="21"/>
      <c r="TZJ51" s="15"/>
      <c r="TZP51" s="25"/>
      <c r="TZW51" s="21"/>
      <c r="TZX51" s="21"/>
      <c r="UAB51" s="15"/>
      <c r="UAH51" s="25"/>
      <c r="UAO51" s="21"/>
      <c r="UAP51" s="21"/>
      <c r="UAT51" s="15"/>
      <c r="UAZ51" s="25"/>
      <c r="UBG51" s="21"/>
      <c r="UBH51" s="21"/>
      <c r="UBL51" s="15"/>
      <c r="UBR51" s="25"/>
      <c r="UBY51" s="21"/>
      <c r="UBZ51" s="21"/>
      <c r="UCD51" s="15"/>
      <c r="UCJ51" s="25"/>
      <c r="UCQ51" s="21"/>
      <c r="UCR51" s="21"/>
      <c r="UCV51" s="15"/>
      <c r="UDB51" s="25"/>
      <c r="UDI51" s="21"/>
      <c r="UDJ51" s="21"/>
      <c r="UDN51" s="15"/>
      <c r="UDT51" s="25"/>
      <c r="UEA51" s="21"/>
      <c r="UEB51" s="21"/>
      <c r="UEF51" s="15"/>
      <c r="UEL51" s="25"/>
      <c r="UES51" s="21"/>
      <c r="UET51" s="21"/>
      <c r="UEX51" s="15"/>
      <c r="UFD51" s="25"/>
      <c r="UFK51" s="21"/>
      <c r="UFL51" s="21"/>
      <c r="UFP51" s="15"/>
      <c r="UFV51" s="25"/>
      <c r="UGC51" s="21"/>
      <c r="UGD51" s="21"/>
      <c r="UGH51" s="15"/>
      <c r="UGN51" s="25"/>
      <c r="UGU51" s="21"/>
      <c r="UGV51" s="21"/>
      <c r="UGZ51" s="15"/>
      <c r="UHF51" s="25"/>
      <c r="UHM51" s="21"/>
      <c r="UHN51" s="21"/>
      <c r="UHR51" s="15"/>
      <c r="UHX51" s="25"/>
      <c r="UIE51" s="21"/>
      <c r="UIF51" s="21"/>
      <c r="UIJ51" s="15"/>
      <c r="UIP51" s="25"/>
      <c r="UIW51" s="21"/>
      <c r="UIX51" s="21"/>
      <c r="UJB51" s="15"/>
      <c r="UJH51" s="25"/>
      <c r="UJO51" s="21"/>
      <c r="UJP51" s="21"/>
      <c r="UJT51" s="15"/>
      <c r="UJZ51" s="25"/>
      <c r="UKG51" s="21"/>
      <c r="UKH51" s="21"/>
      <c r="UKL51" s="15"/>
      <c r="UKR51" s="25"/>
      <c r="UKY51" s="21"/>
      <c r="UKZ51" s="21"/>
      <c r="ULD51" s="15"/>
      <c r="ULJ51" s="25"/>
      <c r="ULQ51" s="21"/>
      <c r="ULR51" s="21"/>
      <c r="ULV51" s="15"/>
      <c r="UMB51" s="25"/>
      <c r="UMI51" s="21"/>
      <c r="UMJ51" s="21"/>
      <c r="UMN51" s="15"/>
      <c r="UMT51" s="25"/>
      <c r="UNA51" s="21"/>
      <c r="UNB51" s="21"/>
      <c r="UNF51" s="15"/>
      <c r="UNL51" s="25"/>
      <c r="UNS51" s="21"/>
      <c r="UNT51" s="21"/>
      <c r="UNX51" s="15"/>
      <c r="UOD51" s="25"/>
      <c r="UOK51" s="21"/>
      <c r="UOL51" s="21"/>
      <c r="UOP51" s="15"/>
      <c r="UOV51" s="25"/>
      <c r="UPC51" s="21"/>
      <c r="UPD51" s="21"/>
      <c r="UPH51" s="15"/>
      <c r="UPN51" s="25"/>
      <c r="UPU51" s="21"/>
      <c r="UPV51" s="21"/>
      <c r="UPZ51" s="15"/>
      <c r="UQF51" s="25"/>
      <c r="UQM51" s="21"/>
      <c r="UQN51" s="21"/>
      <c r="UQR51" s="15"/>
      <c r="UQX51" s="25"/>
      <c r="URE51" s="21"/>
      <c r="URF51" s="21"/>
      <c r="URJ51" s="15"/>
      <c r="URP51" s="25"/>
      <c r="URW51" s="21"/>
      <c r="URX51" s="21"/>
      <c r="USB51" s="15"/>
      <c r="USH51" s="25"/>
      <c r="USO51" s="21"/>
      <c r="USP51" s="21"/>
      <c r="UST51" s="15"/>
      <c r="USZ51" s="25"/>
      <c r="UTG51" s="21"/>
      <c r="UTH51" s="21"/>
      <c r="UTL51" s="15"/>
      <c r="UTR51" s="25"/>
      <c r="UTY51" s="21"/>
      <c r="UTZ51" s="21"/>
      <c r="UUD51" s="15"/>
      <c r="UUJ51" s="25"/>
      <c r="UUQ51" s="21"/>
      <c r="UUR51" s="21"/>
      <c r="UUV51" s="15"/>
      <c r="UVB51" s="25"/>
      <c r="UVI51" s="21"/>
      <c r="UVJ51" s="21"/>
      <c r="UVN51" s="15"/>
      <c r="UVT51" s="25"/>
      <c r="UWA51" s="21"/>
      <c r="UWB51" s="21"/>
      <c r="UWF51" s="15"/>
      <c r="UWL51" s="25"/>
      <c r="UWS51" s="21"/>
      <c r="UWT51" s="21"/>
      <c r="UWX51" s="15"/>
      <c r="UXD51" s="25"/>
      <c r="UXK51" s="21"/>
      <c r="UXL51" s="21"/>
      <c r="UXP51" s="15"/>
      <c r="UXV51" s="25"/>
      <c r="UYC51" s="21"/>
      <c r="UYD51" s="21"/>
      <c r="UYH51" s="15"/>
      <c r="UYN51" s="25"/>
      <c r="UYU51" s="21"/>
      <c r="UYV51" s="21"/>
      <c r="UYZ51" s="15"/>
      <c r="UZF51" s="25"/>
      <c r="UZM51" s="21"/>
      <c r="UZN51" s="21"/>
      <c r="UZR51" s="15"/>
      <c r="UZX51" s="25"/>
      <c r="VAE51" s="21"/>
      <c r="VAF51" s="21"/>
      <c r="VAJ51" s="15"/>
      <c r="VAP51" s="25"/>
      <c r="VAW51" s="21"/>
      <c r="VAX51" s="21"/>
      <c r="VBB51" s="15"/>
      <c r="VBH51" s="25"/>
      <c r="VBO51" s="21"/>
      <c r="VBP51" s="21"/>
      <c r="VBT51" s="15"/>
      <c r="VBZ51" s="25"/>
      <c r="VCG51" s="21"/>
      <c r="VCH51" s="21"/>
      <c r="VCL51" s="15"/>
      <c r="VCR51" s="25"/>
      <c r="VCY51" s="21"/>
      <c r="VCZ51" s="21"/>
      <c r="VDD51" s="15"/>
      <c r="VDJ51" s="25"/>
      <c r="VDQ51" s="21"/>
      <c r="VDR51" s="21"/>
      <c r="VDV51" s="15"/>
      <c r="VEB51" s="25"/>
      <c r="VEI51" s="21"/>
      <c r="VEJ51" s="21"/>
      <c r="VEN51" s="15"/>
      <c r="VET51" s="25"/>
      <c r="VFA51" s="21"/>
      <c r="VFB51" s="21"/>
      <c r="VFF51" s="15"/>
      <c r="VFL51" s="25"/>
      <c r="VFS51" s="21"/>
      <c r="VFT51" s="21"/>
      <c r="VFX51" s="15"/>
      <c r="VGD51" s="25"/>
      <c r="VGK51" s="21"/>
      <c r="VGL51" s="21"/>
      <c r="VGP51" s="15"/>
      <c r="VGV51" s="25"/>
      <c r="VHC51" s="21"/>
      <c r="VHD51" s="21"/>
      <c r="VHH51" s="15"/>
      <c r="VHN51" s="25"/>
      <c r="VHU51" s="21"/>
      <c r="VHV51" s="21"/>
      <c r="VHZ51" s="15"/>
      <c r="VIF51" s="25"/>
      <c r="VIM51" s="21"/>
      <c r="VIN51" s="21"/>
      <c r="VIR51" s="15"/>
      <c r="VIX51" s="25"/>
      <c r="VJE51" s="21"/>
      <c r="VJF51" s="21"/>
      <c r="VJJ51" s="15"/>
      <c r="VJP51" s="25"/>
      <c r="VJW51" s="21"/>
      <c r="VJX51" s="21"/>
      <c r="VKB51" s="15"/>
      <c r="VKH51" s="25"/>
      <c r="VKO51" s="21"/>
      <c r="VKP51" s="21"/>
      <c r="VKT51" s="15"/>
      <c r="VKZ51" s="25"/>
      <c r="VLG51" s="21"/>
      <c r="VLH51" s="21"/>
      <c r="VLL51" s="15"/>
      <c r="VLR51" s="25"/>
      <c r="VLY51" s="21"/>
      <c r="VLZ51" s="21"/>
      <c r="VMD51" s="15"/>
      <c r="VMJ51" s="25"/>
      <c r="VMQ51" s="21"/>
      <c r="VMR51" s="21"/>
      <c r="VMV51" s="15"/>
      <c r="VNB51" s="25"/>
      <c r="VNI51" s="21"/>
      <c r="VNJ51" s="21"/>
      <c r="VNN51" s="15"/>
      <c r="VNT51" s="25"/>
      <c r="VOA51" s="21"/>
      <c r="VOB51" s="21"/>
      <c r="VOF51" s="15"/>
      <c r="VOL51" s="25"/>
      <c r="VOS51" s="21"/>
      <c r="VOT51" s="21"/>
      <c r="VOX51" s="15"/>
      <c r="VPD51" s="25"/>
      <c r="VPK51" s="21"/>
      <c r="VPL51" s="21"/>
      <c r="VPP51" s="15"/>
      <c r="VPV51" s="25"/>
      <c r="VQC51" s="21"/>
      <c r="VQD51" s="21"/>
      <c r="VQH51" s="15"/>
      <c r="VQN51" s="25"/>
      <c r="VQU51" s="21"/>
      <c r="VQV51" s="21"/>
      <c r="VQZ51" s="15"/>
      <c r="VRF51" s="25"/>
      <c r="VRM51" s="21"/>
      <c r="VRN51" s="21"/>
      <c r="VRR51" s="15"/>
      <c r="VRX51" s="25"/>
      <c r="VSE51" s="21"/>
      <c r="VSF51" s="21"/>
      <c r="VSJ51" s="15"/>
      <c r="VSP51" s="25"/>
      <c r="VSW51" s="21"/>
      <c r="VSX51" s="21"/>
      <c r="VTB51" s="15"/>
      <c r="VTH51" s="25"/>
      <c r="VTO51" s="21"/>
      <c r="VTP51" s="21"/>
      <c r="VTT51" s="15"/>
      <c r="VTZ51" s="25"/>
      <c r="VUG51" s="21"/>
      <c r="VUH51" s="21"/>
      <c r="VUL51" s="15"/>
      <c r="VUR51" s="25"/>
      <c r="VUY51" s="21"/>
      <c r="VUZ51" s="21"/>
      <c r="VVD51" s="15"/>
      <c r="VVJ51" s="25"/>
      <c r="VVQ51" s="21"/>
      <c r="VVR51" s="21"/>
      <c r="VVV51" s="15"/>
      <c r="VWB51" s="25"/>
      <c r="VWI51" s="21"/>
      <c r="VWJ51" s="21"/>
      <c r="VWN51" s="15"/>
      <c r="VWT51" s="25"/>
      <c r="VXA51" s="21"/>
      <c r="VXB51" s="21"/>
      <c r="VXF51" s="15"/>
      <c r="VXL51" s="25"/>
      <c r="VXS51" s="21"/>
      <c r="VXT51" s="21"/>
      <c r="VXX51" s="15"/>
      <c r="VYD51" s="25"/>
      <c r="VYK51" s="21"/>
      <c r="VYL51" s="21"/>
      <c r="VYP51" s="15"/>
      <c r="VYV51" s="25"/>
      <c r="VZC51" s="21"/>
      <c r="VZD51" s="21"/>
      <c r="VZH51" s="15"/>
      <c r="VZN51" s="25"/>
      <c r="VZU51" s="21"/>
      <c r="VZV51" s="21"/>
      <c r="VZZ51" s="15"/>
      <c r="WAF51" s="25"/>
      <c r="WAM51" s="21"/>
      <c r="WAN51" s="21"/>
      <c r="WAR51" s="15"/>
      <c r="WAX51" s="25"/>
      <c r="WBE51" s="21"/>
      <c r="WBF51" s="21"/>
      <c r="WBJ51" s="15"/>
      <c r="WBP51" s="25"/>
      <c r="WBW51" s="21"/>
      <c r="WBX51" s="21"/>
      <c r="WCB51" s="15"/>
      <c r="WCH51" s="25"/>
      <c r="WCO51" s="21"/>
      <c r="WCP51" s="21"/>
      <c r="WCT51" s="15"/>
      <c r="WCZ51" s="25"/>
      <c r="WDG51" s="21"/>
      <c r="WDH51" s="21"/>
      <c r="WDL51" s="15"/>
      <c r="WDR51" s="25"/>
      <c r="WDY51" s="21"/>
      <c r="WDZ51" s="21"/>
      <c r="WED51" s="15"/>
      <c r="WEJ51" s="25"/>
      <c r="WEQ51" s="21"/>
      <c r="WER51" s="21"/>
      <c r="WEV51" s="15"/>
      <c r="WFB51" s="25"/>
      <c r="WFI51" s="21"/>
      <c r="WFJ51" s="21"/>
      <c r="WFN51" s="15"/>
      <c r="WFT51" s="25"/>
      <c r="WGA51" s="21"/>
      <c r="WGB51" s="21"/>
      <c r="WGF51" s="15"/>
      <c r="WGL51" s="25"/>
      <c r="WGS51" s="21"/>
      <c r="WGT51" s="21"/>
      <c r="WGX51" s="15"/>
      <c r="WHD51" s="25"/>
      <c r="WHK51" s="21"/>
      <c r="WHL51" s="21"/>
      <c r="WHP51" s="15"/>
      <c r="WHV51" s="25"/>
      <c r="WIC51" s="21"/>
      <c r="WID51" s="21"/>
      <c r="WIH51" s="15"/>
      <c r="WIN51" s="25"/>
      <c r="WIU51" s="21"/>
      <c r="WIV51" s="21"/>
      <c r="WIZ51" s="15"/>
      <c r="WJF51" s="25"/>
      <c r="WJM51" s="21"/>
      <c r="WJN51" s="21"/>
      <c r="WJR51" s="15"/>
      <c r="WJX51" s="25"/>
      <c r="WKE51" s="21"/>
      <c r="WKF51" s="21"/>
      <c r="WKJ51" s="15"/>
      <c r="WKP51" s="25"/>
      <c r="WKW51" s="21"/>
      <c r="WKX51" s="21"/>
      <c r="WLB51" s="15"/>
      <c r="WLH51" s="25"/>
      <c r="WLO51" s="21"/>
      <c r="WLP51" s="21"/>
      <c r="WLT51" s="15"/>
      <c r="WLZ51" s="25"/>
      <c r="WMG51" s="21"/>
      <c r="WMH51" s="21"/>
      <c r="WML51" s="15"/>
      <c r="WMR51" s="25"/>
      <c r="WMY51" s="21"/>
      <c r="WMZ51" s="21"/>
      <c r="WND51" s="15"/>
      <c r="WNJ51" s="25"/>
      <c r="WNQ51" s="21"/>
      <c r="WNR51" s="21"/>
      <c r="WNV51" s="15"/>
      <c r="WOB51" s="25"/>
      <c r="WOI51" s="21"/>
      <c r="WOJ51" s="21"/>
      <c r="WON51" s="15"/>
      <c r="WOT51" s="25"/>
      <c r="WPA51" s="21"/>
      <c r="WPB51" s="21"/>
      <c r="WPF51" s="15"/>
      <c r="WPL51" s="25"/>
      <c r="WPS51" s="21"/>
      <c r="WPT51" s="21"/>
      <c r="WPX51" s="15"/>
      <c r="WQD51" s="25"/>
      <c r="WQK51" s="21"/>
      <c r="WQL51" s="21"/>
      <c r="WQP51" s="15"/>
      <c r="WQV51" s="25"/>
      <c r="WRC51" s="21"/>
      <c r="WRD51" s="21"/>
      <c r="WRH51" s="15"/>
      <c r="WRN51" s="25"/>
      <c r="WRU51" s="21"/>
      <c r="WRV51" s="21"/>
      <c r="WRZ51" s="15"/>
      <c r="WSF51" s="25"/>
      <c r="WSM51" s="21"/>
      <c r="WSN51" s="21"/>
      <c r="WSR51" s="15"/>
      <c r="WSX51" s="25"/>
      <c r="WTE51" s="21"/>
      <c r="WTF51" s="21"/>
      <c r="WTJ51" s="15"/>
      <c r="WTP51" s="25"/>
      <c r="WTW51" s="21"/>
      <c r="WTX51" s="21"/>
      <c r="WUB51" s="15"/>
      <c r="WUH51" s="25"/>
      <c r="WUO51" s="21"/>
      <c r="WUP51" s="21"/>
      <c r="WUT51" s="15"/>
      <c r="WUZ51" s="25"/>
      <c r="WVG51" s="21"/>
      <c r="WVH51" s="21"/>
      <c r="WVL51" s="15"/>
      <c r="WVR51" s="25"/>
      <c r="WVY51" s="21"/>
      <c r="WVZ51" s="21"/>
      <c r="WWD51" s="15"/>
      <c r="WWJ51" s="25"/>
      <c r="WWQ51" s="21"/>
      <c r="WWR51" s="21"/>
      <c r="WWV51" s="15"/>
      <c r="WXB51" s="25"/>
      <c r="WXI51" s="21"/>
      <c r="WXJ51" s="21"/>
      <c r="WXN51" s="15"/>
      <c r="WXT51" s="25"/>
      <c r="WYA51" s="21"/>
      <c r="WYB51" s="21"/>
      <c r="WYF51" s="15"/>
      <c r="WYL51" s="25"/>
      <c r="WYS51" s="21"/>
      <c r="WYT51" s="21"/>
      <c r="WYX51" s="15"/>
      <c r="WZD51" s="25"/>
      <c r="WZK51" s="21"/>
      <c r="WZL51" s="21"/>
      <c r="WZP51" s="15"/>
      <c r="WZV51" s="25"/>
      <c r="XAC51" s="21"/>
      <c r="XAD51" s="21"/>
      <c r="XAH51" s="15"/>
      <c r="XAN51" s="25"/>
      <c r="XAU51" s="21"/>
      <c r="XAV51" s="21"/>
      <c r="XAZ51" s="15"/>
      <c r="XBF51" s="25"/>
      <c r="XBM51" s="21"/>
      <c r="XBN51" s="21"/>
      <c r="XBR51" s="15"/>
      <c r="XBX51" s="25"/>
      <c r="XCE51" s="21"/>
      <c r="XCF51" s="21"/>
      <c r="XCJ51" s="15"/>
      <c r="XCP51" s="25"/>
      <c r="XCW51" s="21"/>
      <c r="XCX51" s="21"/>
      <c r="XDB51" s="15"/>
      <c r="XDH51" s="25"/>
      <c r="XDO51" s="21"/>
      <c r="XDP51" s="21"/>
      <c r="XDT51" s="15"/>
      <c r="XDZ51" s="25"/>
      <c r="XEG51" s="21"/>
      <c r="XEH51" s="21"/>
      <c r="XEL51" s="15"/>
      <c r="XER51" s="25"/>
      <c r="XEY51" s="21"/>
      <c r="XEZ51" s="21"/>
      <c r="XFD51" s="15"/>
    </row>
    <row r="52" spans="1:1018 1025:2044 2051:3070 3077:4096 4103:5116 5122:6142 6148:7168 7174:8190 8194:9216 9220:10234 10241:11260 11267:12286 12293:13312 13319:14332 14338:15358 15364:16384" s="24" customFormat="1">
      <c r="A52" s="21" t="s">
        <v>161</v>
      </c>
      <c r="B52" s="12">
        <v>2009</v>
      </c>
      <c r="C52" s="19" t="s">
        <v>153</v>
      </c>
      <c r="D52" s="22" t="s">
        <v>86</v>
      </c>
      <c r="E52" s="19" t="s">
        <v>159</v>
      </c>
      <c r="F52" s="19" t="s">
        <v>35</v>
      </c>
      <c r="G52" s="18">
        <v>284861428.97265005</v>
      </c>
      <c r="H52" s="18">
        <v>285117107.7502619</v>
      </c>
      <c r="I52" s="19">
        <v>28</v>
      </c>
      <c r="J52" s="52" t="s">
        <v>162</v>
      </c>
      <c r="K52" s="22"/>
      <c r="L52" s="22"/>
      <c r="M52" s="22" t="s">
        <v>26</v>
      </c>
      <c r="N52" s="12"/>
      <c r="O52" s="22"/>
      <c r="P52" s="12"/>
      <c r="Q52" s="22"/>
      <c r="R52" s="22"/>
      <c r="V52" s="15"/>
      <c r="AB52" s="25"/>
      <c r="AI52" s="21"/>
      <c r="AJ52" s="21"/>
      <c r="AN52" s="15"/>
      <c r="AT52" s="25"/>
      <c r="BA52" s="21"/>
      <c r="BB52" s="21"/>
      <c r="BF52" s="15"/>
      <c r="BL52" s="25"/>
      <c r="BS52" s="21"/>
      <c r="BT52" s="21"/>
      <c r="BX52" s="15"/>
      <c r="CD52" s="25"/>
      <c r="CK52" s="21"/>
      <c r="CL52" s="21"/>
      <c r="CP52" s="15"/>
      <c r="CV52" s="25"/>
      <c r="DC52" s="21"/>
      <c r="DD52" s="21"/>
      <c r="DH52" s="15"/>
      <c r="DN52" s="25"/>
      <c r="DU52" s="21"/>
      <c r="DV52" s="21"/>
      <c r="DZ52" s="15"/>
      <c r="EF52" s="25"/>
      <c r="EM52" s="21"/>
      <c r="EN52" s="21"/>
      <c r="ER52" s="15"/>
      <c r="EX52" s="25"/>
      <c r="FE52" s="21"/>
      <c r="FF52" s="21"/>
      <c r="FJ52" s="15"/>
      <c r="FP52" s="25"/>
      <c r="FW52" s="21"/>
      <c r="FX52" s="21"/>
      <c r="GB52" s="15"/>
      <c r="GH52" s="25"/>
      <c r="GO52" s="21"/>
      <c r="GP52" s="21"/>
      <c r="GT52" s="15"/>
      <c r="GZ52" s="25"/>
      <c r="HG52" s="21"/>
      <c r="HH52" s="21"/>
      <c r="HL52" s="15"/>
      <c r="HR52" s="25"/>
      <c r="HY52" s="21"/>
      <c r="HZ52" s="21"/>
      <c r="ID52" s="15"/>
      <c r="IJ52" s="25"/>
      <c r="IQ52" s="21"/>
      <c r="IR52" s="21"/>
      <c r="IV52" s="15"/>
      <c r="JB52" s="25"/>
      <c r="JI52" s="21"/>
      <c r="JJ52" s="21"/>
      <c r="JN52" s="15"/>
      <c r="JT52" s="25"/>
      <c r="KA52" s="21"/>
      <c r="KB52" s="21"/>
      <c r="KF52" s="15"/>
      <c r="KL52" s="25"/>
      <c r="KS52" s="21"/>
      <c r="KT52" s="21"/>
      <c r="KX52" s="15"/>
      <c r="LD52" s="25"/>
      <c r="LK52" s="21"/>
      <c r="LL52" s="21"/>
      <c r="LP52" s="15"/>
      <c r="LV52" s="25"/>
      <c r="MC52" s="21"/>
      <c r="MD52" s="21"/>
      <c r="MH52" s="15"/>
      <c r="MN52" s="25"/>
      <c r="MU52" s="21"/>
      <c r="MV52" s="21"/>
      <c r="MZ52" s="15"/>
      <c r="NF52" s="25"/>
      <c r="NM52" s="21"/>
      <c r="NN52" s="21"/>
      <c r="NR52" s="15"/>
      <c r="NX52" s="25"/>
      <c r="OE52" s="21"/>
      <c r="OF52" s="21"/>
      <c r="OJ52" s="15"/>
      <c r="OP52" s="25"/>
      <c r="OW52" s="21"/>
      <c r="OX52" s="21"/>
      <c r="PB52" s="15"/>
      <c r="PH52" s="25"/>
      <c r="PO52" s="21"/>
      <c r="PP52" s="21"/>
      <c r="PT52" s="15"/>
      <c r="PZ52" s="25"/>
      <c r="QG52" s="21"/>
      <c r="QH52" s="21"/>
      <c r="QL52" s="15"/>
      <c r="QR52" s="25"/>
      <c r="QY52" s="21"/>
      <c r="QZ52" s="21"/>
      <c r="RD52" s="15"/>
      <c r="RJ52" s="25"/>
      <c r="RQ52" s="21"/>
      <c r="RR52" s="21"/>
      <c r="RV52" s="15"/>
      <c r="SB52" s="25"/>
      <c r="SI52" s="21"/>
      <c r="SJ52" s="21"/>
      <c r="SN52" s="15"/>
      <c r="ST52" s="25"/>
      <c r="TA52" s="21"/>
      <c r="TB52" s="21"/>
      <c r="TF52" s="15"/>
      <c r="TL52" s="25"/>
      <c r="TS52" s="21"/>
      <c r="TT52" s="21"/>
      <c r="TX52" s="15"/>
      <c r="UD52" s="25"/>
      <c r="UK52" s="21"/>
      <c r="UL52" s="21"/>
      <c r="UP52" s="15"/>
      <c r="UV52" s="25"/>
      <c r="VC52" s="21"/>
      <c r="VD52" s="21"/>
      <c r="VH52" s="15"/>
      <c r="VN52" s="25"/>
      <c r="VU52" s="21"/>
      <c r="VV52" s="21"/>
      <c r="VZ52" s="15"/>
      <c r="WF52" s="25"/>
      <c r="WM52" s="21"/>
      <c r="WN52" s="21"/>
      <c r="WR52" s="15"/>
      <c r="WX52" s="25"/>
      <c r="XE52" s="21"/>
      <c r="XF52" s="21"/>
      <c r="XJ52" s="15"/>
      <c r="XP52" s="25"/>
      <c r="XW52" s="21"/>
      <c r="XX52" s="21"/>
      <c r="YB52" s="15"/>
      <c r="YH52" s="25"/>
      <c r="YO52" s="21"/>
      <c r="YP52" s="21"/>
      <c r="YT52" s="15"/>
      <c r="YZ52" s="25"/>
      <c r="ZG52" s="21"/>
      <c r="ZH52" s="21"/>
      <c r="ZL52" s="15"/>
      <c r="ZR52" s="25"/>
      <c r="ZY52" s="21"/>
      <c r="ZZ52" s="21"/>
      <c r="AAD52" s="15"/>
      <c r="AAJ52" s="25"/>
      <c r="AAQ52" s="21"/>
      <c r="AAR52" s="21"/>
      <c r="AAV52" s="15"/>
      <c r="ABB52" s="25"/>
      <c r="ABI52" s="21"/>
      <c r="ABJ52" s="21"/>
      <c r="ABN52" s="15"/>
      <c r="ABT52" s="25"/>
      <c r="ACA52" s="21"/>
      <c r="ACB52" s="21"/>
      <c r="ACF52" s="15"/>
      <c r="ACL52" s="25"/>
      <c r="ACS52" s="21"/>
      <c r="ACT52" s="21"/>
      <c r="ACX52" s="15"/>
      <c r="ADD52" s="25"/>
      <c r="ADK52" s="21"/>
      <c r="ADL52" s="21"/>
      <c r="ADP52" s="15"/>
      <c r="ADV52" s="25"/>
      <c r="AEC52" s="21"/>
      <c r="AED52" s="21"/>
      <c r="AEH52" s="15"/>
      <c r="AEN52" s="25"/>
      <c r="AEU52" s="21"/>
      <c r="AEV52" s="21"/>
      <c r="AEZ52" s="15"/>
      <c r="AFF52" s="25"/>
      <c r="AFM52" s="21"/>
      <c r="AFN52" s="21"/>
      <c r="AFR52" s="15"/>
      <c r="AFX52" s="25"/>
      <c r="AGE52" s="21"/>
      <c r="AGF52" s="21"/>
      <c r="AGJ52" s="15"/>
      <c r="AGP52" s="25"/>
      <c r="AGW52" s="21"/>
      <c r="AGX52" s="21"/>
      <c r="AHB52" s="15"/>
      <c r="AHH52" s="25"/>
      <c r="AHO52" s="21"/>
      <c r="AHP52" s="21"/>
      <c r="AHT52" s="15"/>
      <c r="AHZ52" s="25"/>
      <c r="AIG52" s="21"/>
      <c r="AIH52" s="21"/>
      <c r="AIL52" s="15"/>
      <c r="AIR52" s="25"/>
      <c r="AIY52" s="21"/>
      <c r="AIZ52" s="21"/>
      <c r="AJD52" s="15"/>
      <c r="AJJ52" s="25"/>
      <c r="AJQ52" s="21"/>
      <c r="AJR52" s="21"/>
      <c r="AJV52" s="15"/>
      <c r="AKB52" s="25"/>
      <c r="AKI52" s="21"/>
      <c r="AKJ52" s="21"/>
      <c r="AKN52" s="15"/>
      <c r="AKT52" s="25"/>
      <c r="ALA52" s="21"/>
      <c r="ALB52" s="21"/>
      <c r="ALF52" s="15"/>
      <c r="ALL52" s="25"/>
      <c r="ALS52" s="21"/>
      <c r="ALT52" s="21"/>
      <c r="ALX52" s="15"/>
      <c r="AMD52" s="25"/>
      <c r="AMK52" s="21"/>
      <c r="AML52" s="21"/>
      <c r="AMP52" s="15"/>
      <c r="AMV52" s="25"/>
      <c r="ANC52" s="21"/>
      <c r="AND52" s="21"/>
      <c r="ANH52" s="15"/>
      <c r="ANN52" s="25"/>
      <c r="ANU52" s="21"/>
      <c r="ANV52" s="21"/>
      <c r="ANZ52" s="15"/>
      <c r="AOF52" s="25"/>
      <c r="AOM52" s="21"/>
      <c r="AON52" s="21"/>
      <c r="AOR52" s="15"/>
      <c r="AOX52" s="25"/>
      <c r="APE52" s="21"/>
      <c r="APF52" s="21"/>
      <c r="APJ52" s="15"/>
      <c r="APP52" s="25"/>
      <c r="APW52" s="21"/>
      <c r="APX52" s="21"/>
      <c r="AQB52" s="15"/>
      <c r="AQH52" s="25"/>
      <c r="AQO52" s="21"/>
      <c r="AQP52" s="21"/>
      <c r="AQT52" s="15"/>
      <c r="AQZ52" s="25"/>
      <c r="ARG52" s="21"/>
      <c r="ARH52" s="21"/>
      <c r="ARL52" s="15"/>
      <c r="ARR52" s="25"/>
      <c r="ARY52" s="21"/>
      <c r="ARZ52" s="21"/>
      <c r="ASD52" s="15"/>
      <c r="ASJ52" s="25"/>
      <c r="ASQ52" s="21"/>
      <c r="ASR52" s="21"/>
      <c r="ASV52" s="15"/>
      <c r="ATB52" s="25"/>
      <c r="ATI52" s="21"/>
      <c r="ATJ52" s="21"/>
      <c r="ATN52" s="15"/>
      <c r="ATT52" s="25"/>
      <c r="AUA52" s="21"/>
      <c r="AUB52" s="21"/>
      <c r="AUF52" s="15"/>
      <c r="AUL52" s="25"/>
      <c r="AUS52" s="21"/>
      <c r="AUT52" s="21"/>
      <c r="AUX52" s="15"/>
      <c r="AVD52" s="25"/>
      <c r="AVK52" s="21"/>
      <c r="AVL52" s="21"/>
      <c r="AVP52" s="15"/>
      <c r="AVV52" s="25"/>
      <c r="AWC52" s="21"/>
      <c r="AWD52" s="21"/>
      <c r="AWH52" s="15"/>
      <c r="AWN52" s="25"/>
      <c r="AWU52" s="21"/>
      <c r="AWV52" s="21"/>
      <c r="AWZ52" s="15"/>
      <c r="AXF52" s="25"/>
      <c r="AXM52" s="21"/>
      <c r="AXN52" s="21"/>
      <c r="AXR52" s="15"/>
      <c r="AXX52" s="25"/>
      <c r="AYE52" s="21"/>
      <c r="AYF52" s="21"/>
      <c r="AYJ52" s="15"/>
      <c r="AYP52" s="25"/>
      <c r="AYW52" s="21"/>
      <c r="AYX52" s="21"/>
      <c r="AZB52" s="15"/>
      <c r="AZH52" s="25"/>
      <c r="AZO52" s="21"/>
      <c r="AZP52" s="21"/>
      <c r="AZT52" s="15"/>
      <c r="AZZ52" s="25"/>
      <c r="BAG52" s="21"/>
      <c r="BAH52" s="21"/>
      <c r="BAL52" s="15"/>
      <c r="BAR52" s="25"/>
      <c r="BAY52" s="21"/>
      <c r="BAZ52" s="21"/>
      <c r="BBD52" s="15"/>
      <c r="BBJ52" s="25"/>
      <c r="BBQ52" s="21"/>
      <c r="BBR52" s="21"/>
      <c r="BBV52" s="15"/>
      <c r="BCB52" s="25"/>
      <c r="BCI52" s="21"/>
      <c r="BCJ52" s="21"/>
      <c r="BCN52" s="15"/>
      <c r="BCT52" s="25"/>
      <c r="BDA52" s="21"/>
      <c r="BDB52" s="21"/>
      <c r="BDF52" s="15"/>
      <c r="BDL52" s="25"/>
      <c r="BDS52" s="21"/>
      <c r="BDT52" s="21"/>
      <c r="BDX52" s="15"/>
      <c r="BED52" s="25"/>
      <c r="BEK52" s="21"/>
      <c r="BEL52" s="21"/>
      <c r="BEP52" s="15"/>
      <c r="BEV52" s="25"/>
      <c r="BFC52" s="21"/>
      <c r="BFD52" s="21"/>
      <c r="BFH52" s="15"/>
      <c r="BFN52" s="25"/>
      <c r="BFU52" s="21"/>
      <c r="BFV52" s="21"/>
      <c r="BFZ52" s="15"/>
      <c r="BGF52" s="25"/>
      <c r="BGM52" s="21"/>
      <c r="BGN52" s="21"/>
      <c r="BGR52" s="15"/>
      <c r="BGX52" s="25"/>
      <c r="BHE52" s="21"/>
      <c r="BHF52" s="21"/>
      <c r="BHJ52" s="15"/>
      <c r="BHP52" s="25"/>
      <c r="BHW52" s="21"/>
      <c r="BHX52" s="21"/>
      <c r="BIB52" s="15"/>
      <c r="BIH52" s="25"/>
      <c r="BIO52" s="21"/>
      <c r="BIP52" s="21"/>
      <c r="BIT52" s="15"/>
      <c r="BIZ52" s="25"/>
      <c r="BJG52" s="21"/>
      <c r="BJH52" s="21"/>
      <c r="BJL52" s="15"/>
      <c r="BJR52" s="25"/>
      <c r="BJY52" s="21"/>
      <c r="BJZ52" s="21"/>
      <c r="BKD52" s="15"/>
      <c r="BKJ52" s="25"/>
      <c r="BKQ52" s="21"/>
      <c r="BKR52" s="21"/>
      <c r="BKV52" s="15"/>
      <c r="BLB52" s="25"/>
      <c r="BLI52" s="21"/>
      <c r="BLJ52" s="21"/>
      <c r="BLN52" s="15"/>
      <c r="BLT52" s="25"/>
      <c r="BMA52" s="21"/>
      <c r="BMB52" s="21"/>
      <c r="BMF52" s="15"/>
      <c r="BML52" s="25"/>
      <c r="BMS52" s="21"/>
      <c r="BMT52" s="21"/>
      <c r="BMX52" s="15"/>
      <c r="BND52" s="25"/>
      <c r="BNK52" s="21"/>
      <c r="BNL52" s="21"/>
      <c r="BNP52" s="15"/>
      <c r="BNV52" s="25"/>
      <c r="BOC52" s="21"/>
      <c r="BOD52" s="21"/>
      <c r="BOH52" s="15"/>
      <c r="BON52" s="25"/>
      <c r="BOU52" s="21"/>
      <c r="BOV52" s="21"/>
      <c r="BOZ52" s="15"/>
      <c r="BPF52" s="25"/>
      <c r="BPM52" s="21"/>
      <c r="BPN52" s="21"/>
      <c r="BPR52" s="15"/>
      <c r="BPX52" s="25"/>
      <c r="BQE52" s="21"/>
      <c r="BQF52" s="21"/>
      <c r="BQJ52" s="15"/>
      <c r="BQP52" s="25"/>
      <c r="BQW52" s="21"/>
      <c r="BQX52" s="21"/>
      <c r="BRB52" s="15"/>
      <c r="BRH52" s="25"/>
      <c r="BRO52" s="21"/>
      <c r="BRP52" s="21"/>
      <c r="BRT52" s="15"/>
      <c r="BRZ52" s="25"/>
      <c r="BSG52" s="21"/>
      <c r="BSH52" s="21"/>
      <c r="BSL52" s="15"/>
      <c r="BSR52" s="25"/>
      <c r="BSY52" s="21"/>
      <c r="BSZ52" s="21"/>
      <c r="BTD52" s="15"/>
      <c r="BTJ52" s="25"/>
      <c r="BTQ52" s="21"/>
      <c r="BTR52" s="21"/>
      <c r="BTV52" s="15"/>
      <c r="BUB52" s="25"/>
      <c r="BUI52" s="21"/>
      <c r="BUJ52" s="21"/>
      <c r="BUN52" s="15"/>
      <c r="BUT52" s="25"/>
      <c r="BVA52" s="21"/>
      <c r="BVB52" s="21"/>
      <c r="BVF52" s="15"/>
      <c r="BVL52" s="25"/>
      <c r="BVS52" s="21"/>
      <c r="BVT52" s="21"/>
      <c r="BVX52" s="15"/>
      <c r="BWD52" s="25"/>
      <c r="BWK52" s="21"/>
      <c r="BWL52" s="21"/>
      <c r="BWP52" s="15"/>
      <c r="BWV52" s="25"/>
      <c r="BXC52" s="21"/>
      <c r="BXD52" s="21"/>
      <c r="BXH52" s="15"/>
      <c r="BXN52" s="25"/>
      <c r="BXU52" s="21"/>
      <c r="BXV52" s="21"/>
      <c r="BXZ52" s="15"/>
      <c r="BYF52" s="25"/>
      <c r="BYM52" s="21"/>
      <c r="BYN52" s="21"/>
      <c r="BYR52" s="15"/>
      <c r="BYX52" s="25"/>
      <c r="BZE52" s="21"/>
      <c r="BZF52" s="21"/>
      <c r="BZJ52" s="15"/>
      <c r="BZP52" s="25"/>
      <c r="BZW52" s="21"/>
      <c r="BZX52" s="21"/>
      <c r="CAB52" s="15"/>
      <c r="CAH52" s="25"/>
      <c r="CAO52" s="21"/>
      <c r="CAP52" s="21"/>
      <c r="CAT52" s="15"/>
      <c r="CAZ52" s="25"/>
      <c r="CBG52" s="21"/>
      <c r="CBH52" s="21"/>
      <c r="CBL52" s="15"/>
      <c r="CBR52" s="25"/>
      <c r="CBY52" s="21"/>
      <c r="CBZ52" s="21"/>
      <c r="CCD52" s="15"/>
      <c r="CCJ52" s="25"/>
      <c r="CCQ52" s="21"/>
      <c r="CCR52" s="21"/>
      <c r="CCV52" s="15"/>
      <c r="CDB52" s="25"/>
      <c r="CDI52" s="21"/>
      <c r="CDJ52" s="21"/>
      <c r="CDN52" s="15"/>
      <c r="CDT52" s="25"/>
      <c r="CEA52" s="21"/>
      <c r="CEB52" s="21"/>
      <c r="CEF52" s="15"/>
      <c r="CEL52" s="25"/>
      <c r="CES52" s="21"/>
      <c r="CET52" s="21"/>
      <c r="CEX52" s="15"/>
      <c r="CFD52" s="25"/>
      <c r="CFK52" s="21"/>
      <c r="CFL52" s="21"/>
      <c r="CFP52" s="15"/>
      <c r="CFV52" s="25"/>
      <c r="CGC52" s="21"/>
      <c r="CGD52" s="21"/>
      <c r="CGH52" s="15"/>
      <c r="CGN52" s="25"/>
      <c r="CGU52" s="21"/>
      <c r="CGV52" s="21"/>
      <c r="CGZ52" s="15"/>
      <c r="CHF52" s="25"/>
      <c r="CHM52" s="21"/>
      <c r="CHN52" s="21"/>
      <c r="CHR52" s="15"/>
      <c r="CHX52" s="25"/>
      <c r="CIE52" s="21"/>
      <c r="CIF52" s="21"/>
      <c r="CIJ52" s="15"/>
      <c r="CIP52" s="25"/>
      <c r="CIW52" s="21"/>
      <c r="CIX52" s="21"/>
      <c r="CJB52" s="15"/>
      <c r="CJH52" s="25"/>
      <c r="CJO52" s="21"/>
      <c r="CJP52" s="21"/>
      <c r="CJT52" s="15"/>
      <c r="CJZ52" s="25"/>
      <c r="CKG52" s="21"/>
      <c r="CKH52" s="21"/>
      <c r="CKL52" s="15"/>
      <c r="CKR52" s="25"/>
      <c r="CKY52" s="21"/>
      <c r="CKZ52" s="21"/>
      <c r="CLD52" s="15"/>
      <c r="CLJ52" s="25"/>
      <c r="CLQ52" s="21"/>
      <c r="CLR52" s="21"/>
      <c r="CLV52" s="15"/>
      <c r="CMB52" s="25"/>
      <c r="CMI52" s="21"/>
      <c r="CMJ52" s="21"/>
      <c r="CMN52" s="15"/>
      <c r="CMT52" s="25"/>
      <c r="CNA52" s="21"/>
      <c r="CNB52" s="21"/>
      <c r="CNF52" s="15"/>
      <c r="CNL52" s="25"/>
      <c r="CNS52" s="21"/>
      <c r="CNT52" s="21"/>
      <c r="CNX52" s="15"/>
      <c r="COD52" s="25"/>
      <c r="COK52" s="21"/>
      <c r="COL52" s="21"/>
      <c r="COP52" s="15"/>
      <c r="COV52" s="25"/>
      <c r="CPC52" s="21"/>
      <c r="CPD52" s="21"/>
      <c r="CPH52" s="15"/>
      <c r="CPN52" s="25"/>
      <c r="CPU52" s="21"/>
      <c r="CPV52" s="21"/>
      <c r="CPZ52" s="15"/>
      <c r="CQF52" s="25"/>
      <c r="CQM52" s="21"/>
      <c r="CQN52" s="21"/>
      <c r="CQR52" s="15"/>
      <c r="CQX52" s="25"/>
      <c r="CRE52" s="21"/>
      <c r="CRF52" s="21"/>
      <c r="CRJ52" s="15"/>
      <c r="CRP52" s="25"/>
      <c r="CRW52" s="21"/>
      <c r="CRX52" s="21"/>
      <c r="CSB52" s="15"/>
      <c r="CSH52" s="25"/>
      <c r="CSO52" s="21"/>
      <c r="CSP52" s="21"/>
      <c r="CST52" s="15"/>
      <c r="CSZ52" s="25"/>
      <c r="CTG52" s="21"/>
      <c r="CTH52" s="21"/>
      <c r="CTL52" s="15"/>
      <c r="CTR52" s="25"/>
      <c r="CTY52" s="21"/>
      <c r="CTZ52" s="21"/>
      <c r="CUD52" s="15"/>
      <c r="CUJ52" s="25"/>
      <c r="CUQ52" s="21"/>
      <c r="CUR52" s="21"/>
      <c r="CUV52" s="15"/>
      <c r="CVB52" s="25"/>
      <c r="CVI52" s="21"/>
      <c r="CVJ52" s="21"/>
      <c r="CVN52" s="15"/>
      <c r="CVT52" s="25"/>
      <c r="CWA52" s="21"/>
      <c r="CWB52" s="21"/>
      <c r="CWF52" s="15"/>
      <c r="CWL52" s="25"/>
      <c r="CWS52" s="21"/>
      <c r="CWT52" s="21"/>
      <c r="CWX52" s="15"/>
      <c r="CXD52" s="25"/>
      <c r="CXK52" s="21"/>
      <c r="CXL52" s="21"/>
      <c r="CXP52" s="15"/>
      <c r="CXV52" s="25"/>
      <c r="CYC52" s="21"/>
      <c r="CYD52" s="21"/>
      <c r="CYH52" s="15"/>
      <c r="CYN52" s="25"/>
      <c r="CYU52" s="21"/>
      <c r="CYV52" s="21"/>
      <c r="CYZ52" s="15"/>
      <c r="CZF52" s="25"/>
      <c r="CZM52" s="21"/>
      <c r="CZN52" s="21"/>
      <c r="CZR52" s="15"/>
      <c r="CZX52" s="25"/>
      <c r="DAE52" s="21"/>
      <c r="DAF52" s="21"/>
      <c r="DAJ52" s="15"/>
      <c r="DAP52" s="25"/>
      <c r="DAW52" s="21"/>
      <c r="DAX52" s="21"/>
      <c r="DBB52" s="15"/>
      <c r="DBH52" s="25"/>
      <c r="DBO52" s="21"/>
      <c r="DBP52" s="21"/>
      <c r="DBT52" s="15"/>
      <c r="DBZ52" s="25"/>
      <c r="DCG52" s="21"/>
      <c r="DCH52" s="21"/>
      <c r="DCL52" s="15"/>
      <c r="DCR52" s="25"/>
      <c r="DCY52" s="21"/>
      <c r="DCZ52" s="21"/>
      <c r="DDD52" s="15"/>
      <c r="DDJ52" s="25"/>
      <c r="DDQ52" s="21"/>
      <c r="DDR52" s="21"/>
      <c r="DDV52" s="15"/>
      <c r="DEB52" s="25"/>
      <c r="DEI52" s="21"/>
      <c r="DEJ52" s="21"/>
      <c r="DEN52" s="15"/>
      <c r="DET52" s="25"/>
      <c r="DFA52" s="21"/>
      <c r="DFB52" s="21"/>
      <c r="DFF52" s="15"/>
      <c r="DFL52" s="25"/>
      <c r="DFS52" s="21"/>
      <c r="DFT52" s="21"/>
      <c r="DFX52" s="15"/>
      <c r="DGD52" s="25"/>
      <c r="DGK52" s="21"/>
      <c r="DGL52" s="21"/>
      <c r="DGP52" s="15"/>
      <c r="DGV52" s="25"/>
      <c r="DHC52" s="21"/>
      <c r="DHD52" s="21"/>
      <c r="DHH52" s="15"/>
      <c r="DHN52" s="25"/>
      <c r="DHU52" s="21"/>
      <c r="DHV52" s="21"/>
      <c r="DHZ52" s="15"/>
      <c r="DIF52" s="25"/>
      <c r="DIM52" s="21"/>
      <c r="DIN52" s="21"/>
      <c r="DIR52" s="15"/>
      <c r="DIX52" s="25"/>
      <c r="DJE52" s="21"/>
      <c r="DJF52" s="21"/>
      <c r="DJJ52" s="15"/>
      <c r="DJP52" s="25"/>
      <c r="DJW52" s="21"/>
      <c r="DJX52" s="21"/>
      <c r="DKB52" s="15"/>
      <c r="DKH52" s="25"/>
      <c r="DKO52" s="21"/>
      <c r="DKP52" s="21"/>
      <c r="DKT52" s="15"/>
      <c r="DKZ52" s="25"/>
      <c r="DLG52" s="21"/>
      <c r="DLH52" s="21"/>
      <c r="DLL52" s="15"/>
      <c r="DLR52" s="25"/>
      <c r="DLY52" s="21"/>
      <c r="DLZ52" s="21"/>
      <c r="DMD52" s="15"/>
      <c r="DMJ52" s="25"/>
      <c r="DMQ52" s="21"/>
      <c r="DMR52" s="21"/>
      <c r="DMV52" s="15"/>
      <c r="DNB52" s="25"/>
      <c r="DNI52" s="21"/>
      <c r="DNJ52" s="21"/>
      <c r="DNN52" s="15"/>
      <c r="DNT52" s="25"/>
      <c r="DOA52" s="21"/>
      <c r="DOB52" s="21"/>
      <c r="DOF52" s="15"/>
      <c r="DOL52" s="25"/>
      <c r="DOS52" s="21"/>
      <c r="DOT52" s="21"/>
      <c r="DOX52" s="15"/>
      <c r="DPD52" s="25"/>
      <c r="DPK52" s="21"/>
      <c r="DPL52" s="21"/>
      <c r="DPP52" s="15"/>
      <c r="DPV52" s="25"/>
      <c r="DQC52" s="21"/>
      <c r="DQD52" s="21"/>
      <c r="DQH52" s="15"/>
      <c r="DQN52" s="25"/>
      <c r="DQU52" s="21"/>
      <c r="DQV52" s="21"/>
      <c r="DQZ52" s="15"/>
      <c r="DRF52" s="25"/>
      <c r="DRM52" s="21"/>
      <c r="DRN52" s="21"/>
      <c r="DRR52" s="15"/>
      <c r="DRX52" s="25"/>
      <c r="DSE52" s="21"/>
      <c r="DSF52" s="21"/>
      <c r="DSJ52" s="15"/>
      <c r="DSP52" s="25"/>
      <c r="DSW52" s="21"/>
      <c r="DSX52" s="21"/>
      <c r="DTB52" s="15"/>
      <c r="DTH52" s="25"/>
      <c r="DTO52" s="21"/>
      <c r="DTP52" s="21"/>
      <c r="DTT52" s="15"/>
      <c r="DTZ52" s="25"/>
      <c r="DUG52" s="21"/>
      <c r="DUH52" s="21"/>
      <c r="DUL52" s="15"/>
      <c r="DUR52" s="25"/>
      <c r="DUY52" s="21"/>
      <c r="DUZ52" s="21"/>
      <c r="DVD52" s="15"/>
      <c r="DVJ52" s="25"/>
      <c r="DVQ52" s="21"/>
      <c r="DVR52" s="21"/>
      <c r="DVV52" s="15"/>
      <c r="DWB52" s="25"/>
      <c r="DWI52" s="21"/>
      <c r="DWJ52" s="21"/>
      <c r="DWN52" s="15"/>
      <c r="DWT52" s="25"/>
      <c r="DXA52" s="21"/>
      <c r="DXB52" s="21"/>
      <c r="DXF52" s="15"/>
      <c r="DXL52" s="25"/>
      <c r="DXS52" s="21"/>
      <c r="DXT52" s="21"/>
      <c r="DXX52" s="15"/>
      <c r="DYD52" s="25"/>
      <c r="DYK52" s="21"/>
      <c r="DYL52" s="21"/>
      <c r="DYP52" s="15"/>
      <c r="DYV52" s="25"/>
      <c r="DZC52" s="21"/>
      <c r="DZD52" s="21"/>
      <c r="DZH52" s="15"/>
      <c r="DZN52" s="25"/>
      <c r="DZU52" s="21"/>
      <c r="DZV52" s="21"/>
      <c r="DZZ52" s="15"/>
      <c r="EAF52" s="25"/>
      <c r="EAM52" s="21"/>
      <c r="EAN52" s="21"/>
      <c r="EAR52" s="15"/>
      <c r="EAX52" s="25"/>
      <c r="EBE52" s="21"/>
      <c r="EBF52" s="21"/>
      <c r="EBJ52" s="15"/>
      <c r="EBP52" s="25"/>
      <c r="EBW52" s="21"/>
      <c r="EBX52" s="21"/>
      <c r="ECB52" s="15"/>
      <c r="ECH52" s="25"/>
      <c r="ECO52" s="21"/>
      <c r="ECP52" s="21"/>
      <c r="ECT52" s="15"/>
      <c r="ECZ52" s="25"/>
      <c r="EDG52" s="21"/>
      <c r="EDH52" s="21"/>
      <c r="EDL52" s="15"/>
      <c r="EDR52" s="25"/>
      <c r="EDY52" s="21"/>
      <c r="EDZ52" s="21"/>
      <c r="EED52" s="15"/>
      <c r="EEJ52" s="25"/>
      <c r="EEQ52" s="21"/>
      <c r="EER52" s="21"/>
      <c r="EEV52" s="15"/>
      <c r="EFB52" s="25"/>
      <c r="EFI52" s="21"/>
      <c r="EFJ52" s="21"/>
      <c r="EFN52" s="15"/>
      <c r="EFT52" s="25"/>
      <c r="EGA52" s="21"/>
      <c r="EGB52" s="21"/>
      <c r="EGF52" s="15"/>
      <c r="EGL52" s="25"/>
      <c r="EGS52" s="21"/>
      <c r="EGT52" s="21"/>
      <c r="EGX52" s="15"/>
      <c r="EHD52" s="25"/>
      <c r="EHK52" s="21"/>
      <c r="EHL52" s="21"/>
      <c r="EHP52" s="15"/>
      <c r="EHV52" s="25"/>
      <c r="EIC52" s="21"/>
      <c r="EID52" s="21"/>
      <c r="EIH52" s="15"/>
      <c r="EIN52" s="25"/>
      <c r="EIU52" s="21"/>
      <c r="EIV52" s="21"/>
      <c r="EIZ52" s="15"/>
      <c r="EJF52" s="25"/>
      <c r="EJM52" s="21"/>
      <c r="EJN52" s="21"/>
      <c r="EJR52" s="15"/>
      <c r="EJX52" s="25"/>
      <c r="EKE52" s="21"/>
      <c r="EKF52" s="21"/>
      <c r="EKJ52" s="15"/>
      <c r="EKP52" s="25"/>
      <c r="EKW52" s="21"/>
      <c r="EKX52" s="21"/>
      <c r="ELB52" s="15"/>
      <c r="ELH52" s="25"/>
      <c r="ELO52" s="21"/>
      <c r="ELP52" s="21"/>
      <c r="ELT52" s="15"/>
      <c r="ELZ52" s="25"/>
      <c r="EMG52" s="21"/>
      <c r="EMH52" s="21"/>
      <c r="EML52" s="15"/>
      <c r="EMR52" s="25"/>
      <c r="EMY52" s="21"/>
      <c r="EMZ52" s="21"/>
      <c r="END52" s="15"/>
      <c r="ENJ52" s="25"/>
      <c r="ENQ52" s="21"/>
      <c r="ENR52" s="21"/>
      <c r="ENV52" s="15"/>
      <c r="EOB52" s="25"/>
      <c r="EOI52" s="21"/>
      <c r="EOJ52" s="21"/>
      <c r="EON52" s="15"/>
      <c r="EOT52" s="25"/>
      <c r="EPA52" s="21"/>
      <c r="EPB52" s="21"/>
      <c r="EPF52" s="15"/>
      <c r="EPL52" s="25"/>
      <c r="EPS52" s="21"/>
      <c r="EPT52" s="21"/>
      <c r="EPX52" s="15"/>
      <c r="EQD52" s="25"/>
      <c r="EQK52" s="21"/>
      <c r="EQL52" s="21"/>
      <c r="EQP52" s="15"/>
      <c r="EQV52" s="25"/>
      <c r="ERC52" s="21"/>
      <c r="ERD52" s="21"/>
      <c r="ERH52" s="15"/>
      <c r="ERN52" s="25"/>
      <c r="ERU52" s="21"/>
      <c r="ERV52" s="21"/>
      <c r="ERZ52" s="15"/>
      <c r="ESF52" s="25"/>
      <c r="ESM52" s="21"/>
      <c r="ESN52" s="21"/>
      <c r="ESR52" s="15"/>
      <c r="ESX52" s="25"/>
      <c r="ETE52" s="21"/>
      <c r="ETF52" s="21"/>
      <c r="ETJ52" s="15"/>
      <c r="ETP52" s="25"/>
      <c r="ETW52" s="21"/>
      <c r="ETX52" s="21"/>
      <c r="EUB52" s="15"/>
      <c r="EUH52" s="25"/>
      <c r="EUO52" s="21"/>
      <c r="EUP52" s="21"/>
      <c r="EUT52" s="15"/>
      <c r="EUZ52" s="25"/>
      <c r="EVG52" s="21"/>
      <c r="EVH52" s="21"/>
      <c r="EVL52" s="15"/>
      <c r="EVR52" s="25"/>
      <c r="EVY52" s="21"/>
      <c r="EVZ52" s="21"/>
      <c r="EWD52" s="15"/>
      <c r="EWJ52" s="25"/>
      <c r="EWQ52" s="21"/>
      <c r="EWR52" s="21"/>
      <c r="EWV52" s="15"/>
      <c r="EXB52" s="25"/>
      <c r="EXI52" s="21"/>
      <c r="EXJ52" s="21"/>
      <c r="EXN52" s="15"/>
      <c r="EXT52" s="25"/>
      <c r="EYA52" s="21"/>
      <c r="EYB52" s="21"/>
      <c r="EYF52" s="15"/>
      <c r="EYL52" s="25"/>
      <c r="EYS52" s="21"/>
      <c r="EYT52" s="21"/>
      <c r="EYX52" s="15"/>
      <c r="EZD52" s="25"/>
      <c r="EZK52" s="21"/>
      <c r="EZL52" s="21"/>
      <c r="EZP52" s="15"/>
      <c r="EZV52" s="25"/>
      <c r="FAC52" s="21"/>
      <c r="FAD52" s="21"/>
      <c r="FAH52" s="15"/>
      <c r="FAN52" s="25"/>
      <c r="FAU52" s="21"/>
      <c r="FAV52" s="21"/>
      <c r="FAZ52" s="15"/>
      <c r="FBF52" s="25"/>
      <c r="FBM52" s="21"/>
      <c r="FBN52" s="21"/>
      <c r="FBR52" s="15"/>
      <c r="FBX52" s="25"/>
      <c r="FCE52" s="21"/>
      <c r="FCF52" s="21"/>
      <c r="FCJ52" s="15"/>
      <c r="FCP52" s="25"/>
      <c r="FCW52" s="21"/>
      <c r="FCX52" s="21"/>
      <c r="FDB52" s="15"/>
      <c r="FDH52" s="25"/>
      <c r="FDO52" s="21"/>
      <c r="FDP52" s="21"/>
      <c r="FDT52" s="15"/>
      <c r="FDZ52" s="25"/>
      <c r="FEG52" s="21"/>
      <c r="FEH52" s="21"/>
      <c r="FEL52" s="15"/>
      <c r="FER52" s="25"/>
      <c r="FEY52" s="21"/>
      <c r="FEZ52" s="21"/>
      <c r="FFD52" s="15"/>
      <c r="FFJ52" s="25"/>
      <c r="FFQ52" s="21"/>
      <c r="FFR52" s="21"/>
      <c r="FFV52" s="15"/>
      <c r="FGB52" s="25"/>
      <c r="FGI52" s="21"/>
      <c r="FGJ52" s="21"/>
      <c r="FGN52" s="15"/>
      <c r="FGT52" s="25"/>
      <c r="FHA52" s="21"/>
      <c r="FHB52" s="21"/>
      <c r="FHF52" s="15"/>
      <c r="FHL52" s="25"/>
      <c r="FHS52" s="21"/>
      <c r="FHT52" s="21"/>
      <c r="FHX52" s="15"/>
      <c r="FID52" s="25"/>
      <c r="FIK52" s="21"/>
      <c r="FIL52" s="21"/>
      <c r="FIP52" s="15"/>
      <c r="FIV52" s="25"/>
      <c r="FJC52" s="21"/>
      <c r="FJD52" s="21"/>
      <c r="FJH52" s="15"/>
      <c r="FJN52" s="25"/>
      <c r="FJU52" s="21"/>
      <c r="FJV52" s="21"/>
      <c r="FJZ52" s="15"/>
      <c r="FKF52" s="25"/>
      <c r="FKM52" s="21"/>
      <c r="FKN52" s="21"/>
      <c r="FKR52" s="15"/>
      <c r="FKX52" s="25"/>
      <c r="FLE52" s="21"/>
      <c r="FLF52" s="21"/>
      <c r="FLJ52" s="15"/>
      <c r="FLP52" s="25"/>
      <c r="FLW52" s="21"/>
      <c r="FLX52" s="21"/>
      <c r="FMB52" s="15"/>
      <c r="FMH52" s="25"/>
      <c r="FMO52" s="21"/>
      <c r="FMP52" s="21"/>
      <c r="FMT52" s="15"/>
      <c r="FMZ52" s="25"/>
      <c r="FNG52" s="21"/>
      <c r="FNH52" s="21"/>
      <c r="FNL52" s="15"/>
      <c r="FNR52" s="25"/>
      <c r="FNY52" s="21"/>
      <c r="FNZ52" s="21"/>
      <c r="FOD52" s="15"/>
      <c r="FOJ52" s="25"/>
      <c r="FOQ52" s="21"/>
      <c r="FOR52" s="21"/>
      <c r="FOV52" s="15"/>
      <c r="FPB52" s="25"/>
      <c r="FPI52" s="21"/>
      <c r="FPJ52" s="21"/>
      <c r="FPN52" s="15"/>
      <c r="FPT52" s="25"/>
      <c r="FQA52" s="21"/>
      <c r="FQB52" s="21"/>
      <c r="FQF52" s="15"/>
      <c r="FQL52" s="25"/>
      <c r="FQS52" s="21"/>
      <c r="FQT52" s="21"/>
      <c r="FQX52" s="15"/>
      <c r="FRD52" s="25"/>
      <c r="FRK52" s="21"/>
      <c r="FRL52" s="21"/>
      <c r="FRP52" s="15"/>
      <c r="FRV52" s="25"/>
      <c r="FSC52" s="21"/>
      <c r="FSD52" s="21"/>
      <c r="FSH52" s="15"/>
      <c r="FSN52" s="25"/>
      <c r="FSU52" s="21"/>
      <c r="FSV52" s="21"/>
      <c r="FSZ52" s="15"/>
      <c r="FTF52" s="25"/>
      <c r="FTM52" s="21"/>
      <c r="FTN52" s="21"/>
      <c r="FTR52" s="15"/>
      <c r="FTX52" s="25"/>
      <c r="FUE52" s="21"/>
      <c r="FUF52" s="21"/>
      <c r="FUJ52" s="15"/>
      <c r="FUP52" s="25"/>
      <c r="FUW52" s="21"/>
      <c r="FUX52" s="21"/>
      <c r="FVB52" s="15"/>
      <c r="FVH52" s="25"/>
      <c r="FVO52" s="21"/>
      <c r="FVP52" s="21"/>
      <c r="FVT52" s="15"/>
      <c r="FVZ52" s="25"/>
      <c r="FWG52" s="21"/>
      <c r="FWH52" s="21"/>
      <c r="FWL52" s="15"/>
      <c r="FWR52" s="25"/>
      <c r="FWY52" s="21"/>
      <c r="FWZ52" s="21"/>
      <c r="FXD52" s="15"/>
      <c r="FXJ52" s="25"/>
      <c r="FXQ52" s="21"/>
      <c r="FXR52" s="21"/>
      <c r="FXV52" s="15"/>
      <c r="FYB52" s="25"/>
      <c r="FYI52" s="21"/>
      <c r="FYJ52" s="21"/>
      <c r="FYN52" s="15"/>
      <c r="FYT52" s="25"/>
      <c r="FZA52" s="21"/>
      <c r="FZB52" s="21"/>
      <c r="FZF52" s="15"/>
      <c r="FZL52" s="25"/>
      <c r="FZS52" s="21"/>
      <c r="FZT52" s="21"/>
      <c r="FZX52" s="15"/>
      <c r="GAD52" s="25"/>
      <c r="GAK52" s="21"/>
      <c r="GAL52" s="21"/>
      <c r="GAP52" s="15"/>
      <c r="GAV52" s="25"/>
      <c r="GBC52" s="21"/>
      <c r="GBD52" s="21"/>
      <c r="GBH52" s="15"/>
      <c r="GBN52" s="25"/>
      <c r="GBU52" s="21"/>
      <c r="GBV52" s="21"/>
      <c r="GBZ52" s="15"/>
      <c r="GCF52" s="25"/>
      <c r="GCM52" s="21"/>
      <c r="GCN52" s="21"/>
      <c r="GCR52" s="15"/>
      <c r="GCX52" s="25"/>
      <c r="GDE52" s="21"/>
      <c r="GDF52" s="21"/>
      <c r="GDJ52" s="15"/>
      <c r="GDP52" s="25"/>
      <c r="GDW52" s="21"/>
      <c r="GDX52" s="21"/>
      <c r="GEB52" s="15"/>
      <c r="GEH52" s="25"/>
      <c r="GEO52" s="21"/>
      <c r="GEP52" s="21"/>
      <c r="GET52" s="15"/>
      <c r="GEZ52" s="25"/>
      <c r="GFG52" s="21"/>
      <c r="GFH52" s="21"/>
      <c r="GFL52" s="15"/>
      <c r="GFR52" s="25"/>
      <c r="GFY52" s="21"/>
      <c r="GFZ52" s="21"/>
      <c r="GGD52" s="15"/>
      <c r="GGJ52" s="25"/>
      <c r="GGQ52" s="21"/>
      <c r="GGR52" s="21"/>
      <c r="GGV52" s="15"/>
      <c r="GHB52" s="25"/>
      <c r="GHI52" s="21"/>
      <c r="GHJ52" s="21"/>
      <c r="GHN52" s="15"/>
      <c r="GHT52" s="25"/>
      <c r="GIA52" s="21"/>
      <c r="GIB52" s="21"/>
      <c r="GIF52" s="15"/>
      <c r="GIL52" s="25"/>
      <c r="GIS52" s="21"/>
      <c r="GIT52" s="21"/>
      <c r="GIX52" s="15"/>
      <c r="GJD52" s="25"/>
      <c r="GJK52" s="21"/>
      <c r="GJL52" s="21"/>
      <c r="GJP52" s="15"/>
      <c r="GJV52" s="25"/>
      <c r="GKC52" s="21"/>
      <c r="GKD52" s="21"/>
      <c r="GKH52" s="15"/>
      <c r="GKN52" s="25"/>
      <c r="GKU52" s="21"/>
      <c r="GKV52" s="21"/>
      <c r="GKZ52" s="15"/>
      <c r="GLF52" s="25"/>
      <c r="GLM52" s="21"/>
      <c r="GLN52" s="21"/>
      <c r="GLR52" s="15"/>
      <c r="GLX52" s="25"/>
      <c r="GME52" s="21"/>
      <c r="GMF52" s="21"/>
      <c r="GMJ52" s="15"/>
      <c r="GMP52" s="25"/>
      <c r="GMW52" s="21"/>
      <c r="GMX52" s="21"/>
      <c r="GNB52" s="15"/>
      <c r="GNH52" s="25"/>
      <c r="GNO52" s="21"/>
      <c r="GNP52" s="21"/>
      <c r="GNT52" s="15"/>
      <c r="GNZ52" s="25"/>
      <c r="GOG52" s="21"/>
      <c r="GOH52" s="21"/>
      <c r="GOL52" s="15"/>
      <c r="GOR52" s="25"/>
      <c r="GOY52" s="21"/>
      <c r="GOZ52" s="21"/>
      <c r="GPD52" s="15"/>
      <c r="GPJ52" s="25"/>
      <c r="GPQ52" s="21"/>
      <c r="GPR52" s="21"/>
      <c r="GPV52" s="15"/>
      <c r="GQB52" s="25"/>
      <c r="GQI52" s="21"/>
      <c r="GQJ52" s="21"/>
      <c r="GQN52" s="15"/>
      <c r="GQT52" s="25"/>
      <c r="GRA52" s="21"/>
      <c r="GRB52" s="21"/>
      <c r="GRF52" s="15"/>
      <c r="GRL52" s="25"/>
      <c r="GRS52" s="21"/>
      <c r="GRT52" s="21"/>
      <c r="GRX52" s="15"/>
      <c r="GSD52" s="25"/>
      <c r="GSK52" s="21"/>
      <c r="GSL52" s="21"/>
      <c r="GSP52" s="15"/>
      <c r="GSV52" s="25"/>
      <c r="GTC52" s="21"/>
      <c r="GTD52" s="21"/>
      <c r="GTH52" s="15"/>
      <c r="GTN52" s="25"/>
      <c r="GTU52" s="21"/>
      <c r="GTV52" s="21"/>
      <c r="GTZ52" s="15"/>
      <c r="GUF52" s="25"/>
      <c r="GUM52" s="21"/>
      <c r="GUN52" s="21"/>
      <c r="GUR52" s="15"/>
      <c r="GUX52" s="25"/>
      <c r="GVE52" s="21"/>
      <c r="GVF52" s="21"/>
      <c r="GVJ52" s="15"/>
      <c r="GVP52" s="25"/>
      <c r="GVW52" s="21"/>
      <c r="GVX52" s="21"/>
      <c r="GWB52" s="15"/>
      <c r="GWH52" s="25"/>
      <c r="GWO52" s="21"/>
      <c r="GWP52" s="21"/>
      <c r="GWT52" s="15"/>
      <c r="GWZ52" s="25"/>
      <c r="GXG52" s="21"/>
      <c r="GXH52" s="21"/>
      <c r="GXL52" s="15"/>
      <c r="GXR52" s="25"/>
      <c r="GXY52" s="21"/>
      <c r="GXZ52" s="21"/>
      <c r="GYD52" s="15"/>
      <c r="GYJ52" s="25"/>
      <c r="GYQ52" s="21"/>
      <c r="GYR52" s="21"/>
      <c r="GYV52" s="15"/>
      <c r="GZB52" s="25"/>
      <c r="GZI52" s="21"/>
      <c r="GZJ52" s="21"/>
      <c r="GZN52" s="15"/>
      <c r="GZT52" s="25"/>
      <c r="HAA52" s="21"/>
      <c r="HAB52" s="21"/>
      <c r="HAF52" s="15"/>
      <c r="HAL52" s="25"/>
      <c r="HAS52" s="21"/>
      <c r="HAT52" s="21"/>
      <c r="HAX52" s="15"/>
      <c r="HBD52" s="25"/>
      <c r="HBK52" s="21"/>
      <c r="HBL52" s="21"/>
      <c r="HBP52" s="15"/>
      <c r="HBV52" s="25"/>
      <c r="HCC52" s="21"/>
      <c r="HCD52" s="21"/>
      <c r="HCH52" s="15"/>
      <c r="HCN52" s="25"/>
      <c r="HCU52" s="21"/>
      <c r="HCV52" s="21"/>
      <c r="HCZ52" s="15"/>
      <c r="HDF52" s="25"/>
      <c r="HDM52" s="21"/>
      <c r="HDN52" s="21"/>
      <c r="HDR52" s="15"/>
      <c r="HDX52" s="25"/>
      <c r="HEE52" s="21"/>
      <c r="HEF52" s="21"/>
      <c r="HEJ52" s="15"/>
      <c r="HEP52" s="25"/>
      <c r="HEW52" s="21"/>
      <c r="HEX52" s="21"/>
      <c r="HFB52" s="15"/>
      <c r="HFH52" s="25"/>
      <c r="HFO52" s="21"/>
      <c r="HFP52" s="21"/>
      <c r="HFT52" s="15"/>
      <c r="HFZ52" s="25"/>
      <c r="HGG52" s="21"/>
      <c r="HGH52" s="21"/>
      <c r="HGL52" s="15"/>
      <c r="HGR52" s="25"/>
      <c r="HGY52" s="21"/>
      <c r="HGZ52" s="21"/>
      <c r="HHD52" s="15"/>
      <c r="HHJ52" s="25"/>
      <c r="HHQ52" s="21"/>
      <c r="HHR52" s="21"/>
      <c r="HHV52" s="15"/>
      <c r="HIB52" s="25"/>
      <c r="HII52" s="21"/>
      <c r="HIJ52" s="21"/>
      <c r="HIN52" s="15"/>
      <c r="HIT52" s="25"/>
      <c r="HJA52" s="21"/>
      <c r="HJB52" s="21"/>
      <c r="HJF52" s="15"/>
      <c r="HJL52" s="25"/>
      <c r="HJS52" s="21"/>
      <c r="HJT52" s="21"/>
      <c r="HJX52" s="15"/>
      <c r="HKD52" s="25"/>
      <c r="HKK52" s="21"/>
      <c r="HKL52" s="21"/>
      <c r="HKP52" s="15"/>
      <c r="HKV52" s="25"/>
      <c r="HLC52" s="21"/>
      <c r="HLD52" s="21"/>
      <c r="HLH52" s="15"/>
      <c r="HLN52" s="25"/>
      <c r="HLU52" s="21"/>
      <c r="HLV52" s="21"/>
      <c r="HLZ52" s="15"/>
      <c r="HMF52" s="25"/>
      <c r="HMM52" s="21"/>
      <c r="HMN52" s="21"/>
      <c r="HMR52" s="15"/>
      <c r="HMX52" s="25"/>
      <c r="HNE52" s="21"/>
      <c r="HNF52" s="21"/>
      <c r="HNJ52" s="15"/>
      <c r="HNP52" s="25"/>
      <c r="HNW52" s="21"/>
      <c r="HNX52" s="21"/>
      <c r="HOB52" s="15"/>
      <c r="HOH52" s="25"/>
      <c r="HOO52" s="21"/>
      <c r="HOP52" s="21"/>
      <c r="HOT52" s="15"/>
      <c r="HOZ52" s="25"/>
      <c r="HPG52" s="21"/>
      <c r="HPH52" s="21"/>
      <c r="HPL52" s="15"/>
      <c r="HPR52" s="25"/>
      <c r="HPY52" s="21"/>
      <c r="HPZ52" s="21"/>
      <c r="HQD52" s="15"/>
      <c r="HQJ52" s="25"/>
      <c r="HQQ52" s="21"/>
      <c r="HQR52" s="21"/>
      <c r="HQV52" s="15"/>
      <c r="HRB52" s="25"/>
      <c r="HRI52" s="21"/>
      <c r="HRJ52" s="21"/>
      <c r="HRN52" s="15"/>
      <c r="HRT52" s="25"/>
      <c r="HSA52" s="21"/>
      <c r="HSB52" s="21"/>
      <c r="HSF52" s="15"/>
      <c r="HSL52" s="25"/>
      <c r="HSS52" s="21"/>
      <c r="HST52" s="21"/>
      <c r="HSX52" s="15"/>
      <c r="HTD52" s="25"/>
      <c r="HTK52" s="21"/>
      <c r="HTL52" s="21"/>
      <c r="HTP52" s="15"/>
      <c r="HTV52" s="25"/>
      <c r="HUC52" s="21"/>
      <c r="HUD52" s="21"/>
      <c r="HUH52" s="15"/>
      <c r="HUN52" s="25"/>
      <c r="HUU52" s="21"/>
      <c r="HUV52" s="21"/>
      <c r="HUZ52" s="15"/>
      <c r="HVF52" s="25"/>
      <c r="HVM52" s="21"/>
      <c r="HVN52" s="21"/>
      <c r="HVR52" s="15"/>
      <c r="HVX52" s="25"/>
      <c r="HWE52" s="21"/>
      <c r="HWF52" s="21"/>
      <c r="HWJ52" s="15"/>
      <c r="HWP52" s="25"/>
      <c r="HWW52" s="21"/>
      <c r="HWX52" s="21"/>
      <c r="HXB52" s="15"/>
      <c r="HXH52" s="25"/>
      <c r="HXO52" s="21"/>
      <c r="HXP52" s="21"/>
      <c r="HXT52" s="15"/>
      <c r="HXZ52" s="25"/>
      <c r="HYG52" s="21"/>
      <c r="HYH52" s="21"/>
      <c r="HYL52" s="15"/>
      <c r="HYR52" s="25"/>
      <c r="HYY52" s="21"/>
      <c r="HYZ52" s="21"/>
      <c r="HZD52" s="15"/>
      <c r="HZJ52" s="25"/>
      <c r="HZQ52" s="21"/>
      <c r="HZR52" s="21"/>
      <c r="HZV52" s="15"/>
      <c r="IAB52" s="25"/>
      <c r="IAI52" s="21"/>
      <c r="IAJ52" s="21"/>
      <c r="IAN52" s="15"/>
      <c r="IAT52" s="25"/>
      <c r="IBA52" s="21"/>
      <c r="IBB52" s="21"/>
      <c r="IBF52" s="15"/>
      <c r="IBL52" s="25"/>
      <c r="IBS52" s="21"/>
      <c r="IBT52" s="21"/>
      <c r="IBX52" s="15"/>
      <c r="ICD52" s="25"/>
      <c r="ICK52" s="21"/>
      <c r="ICL52" s="21"/>
      <c r="ICP52" s="15"/>
      <c r="ICV52" s="25"/>
      <c r="IDC52" s="21"/>
      <c r="IDD52" s="21"/>
      <c r="IDH52" s="15"/>
      <c r="IDN52" s="25"/>
      <c r="IDU52" s="21"/>
      <c r="IDV52" s="21"/>
      <c r="IDZ52" s="15"/>
      <c r="IEF52" s="25"/>
      <c r="IEM52" s="21"/>
      <c r="IEN52" s="21"/>
      <c r="IER52" s="15"/>
      <c r="IEX52" s="25"/>
      <c r="IFE52" s="21"/>
      <c r="IFF52" s="21"/>
      <c r="IFJ52" s="15"/>
      <c r="IFP52" s="25"/>
      <c r="IFW52" s="21"/>
      <c r="IFX52" s="21"/>
      <c r="IGB52" s="15"/>
      <c r="IGH52" s="25"/>
      <c r="IGO52" s="21"/>
      <c r="IGP52" s="21"/>
      <c r="IGT52" s="15"/>
      <c r="IGZ52" s="25"/>
      <c r="IHG52" s="21"/>
      <c r="IHH52" s="21"/>
      <c r="IHL52" s="15"/>
      <c r="IHR52" s="25"/>
      <c r="IHY52" s="21"/>
      <c r="IHZ52" s="21"/>
      <c r="IID52" s="15"/>
      <c r="IIJ52" s="25"/>
      <c r="IIQ52" s="21"/>
      <c r="IIR52" s="21"/>
      <c r="IIV52" s="15"/>
      <c r="IJB52" s="25"/>
      <c r="IJI52" s="21"/>
      <c r="IJJ52" s="21"/>
      <c r="IJN52" s="15"/>
      <c r="IJT52" s="25"/>
      <c r="IKA52" s="21"/>
      <c r="IKB52" s="21"/>
      <c r="IKF52" s="15"/>
      <c r="IKL52" s="25"/>
      <c r="IKS52" s="21"/>
      <c r="IKT52" s="21"/>
      <c r="IKX52" s="15"/>
      <c r="ILD52" s="25"/>
      <c r="ILK52" s="21"/>
      <c r="ILL52" s="21"/>
      <c r="ILP52" s="15"/>
      <c r="ILV52" s="25"/>
      <c r="IMC52" s="21"/>
      <c r="IMD52" s="21"/>
      <c r="IMH52" s="15"/>
      <c r="IMN52" s="25"/>
      <c r="IMU52" s="21"/>
      <c r="IMV52" s="21"/>
      <c r="IMZ52" s="15"/>
      <c r="INF52" s="25"/>
      <c r="INM52" s="21"/>
      <c r="INN52" s="21"/>
      <c r="INR52" s="15"/>
      <c r="INX52" s="25"/>
      <c r="IOE52" s="21"/>
      <c r="IOF52" s="21"/>
      <c r="IOJ52" s="15"/>
      <c r="IOP52" s="25"/>
      <c r="IOW52" s="21"/>
      <c r="IOX52" s="21"/>
      <c r="IPB52" s="15"/>
      <c r="IPH52" s="25"/>
      <c r="IPO52" s="21"/>
      <c r="IPP52" s="21"/>
      <c r="IPT52" s="15"/>
      <c r="IPZ52" s="25"/>
      <c r="IQG52" s="21"/>
      <c r="IQH52" s="21"/>
      <c r="IQL52" s="15"/>
      <c r="IQR52" s="25"/>
      <c r="IQY52" s="21"/>
      <c r="IQZ52" s="21"/>
      <c r="IRD52" s="15"/>
      <c r="IRJ52" s="25"/>
      <c r="IRQ52" s="21"/>
      <c r="IRR52" s="21"/>
      <c r="IRV52" s="15"/>
      <c r="ISB52" s="25"/>
      <c r="ISI52" s="21"/>
      <c r="ISJ52" s="21"/>
      <c r="ISN52" s="15"/>
      <c r="IST52" s="25"/>
      <c r="ITA52" s="21"/>
      <c r="ITB52" s="21"/>
      <c r="ITF52" s="15"/>
      <c r="ITL52" s="25"/>
      <c r="ITS52" s="21"/>
      <c r="ITT52" s="21"/>
      <c r="ITX52" s="15"/>
      <c r="IUD52" s="25"/>
      <c r="IUK52" s="21"/>
      <c r="IUL52" s="21"/>
      <c r="IUP52" s="15"/>
      <c r="IUV52" s="25"/>
      <c r="IVC52" s="21"/>
      <c r="IVD52" s="21"/>
      <c r="IVH52" s="15"/>
      <c r="IVN52" s="25"/>
      <c r="IVU52" s="21"/>
      <c r="IVV52" s="21"/>
      <c r="IVZ52" s="15"/>
      <c r="IWF52" s="25"/>
      <c r="IWM52" s="21"/>
      <c r="IWN52" s="21"/>
      <c r="IWR52" s="15"/>
      <c r="IWX52" s="25"/>
      <c r="IXE52" s="21"/>
      <c r="IXF52" s="21"/>
      <c r="IXJ52" s="15"/>
      <c r="IXP52" s="25"/>
      <c r="IXW52" s="21"/>
      <c r="IXX52" s="21"/>
      <c r="IYB52" s="15"/>
      <c r="IYH52" s="25"/>
      <c r="IYO52" s="21"/>
      <c r="IYP52" s="21"/>
      <c r="IYT52" s="15"/>
      <c r="IYZ52" s="25"/>
      <c r="IZG52" s="21"/>
      <c r="IZH52" s="21"/>
      <c r="IZL52" s="15"/>
      <c r="IZR52" s="25"/>
      <c r="IZY52" s="21"/>
      <c r="IZZ52" s="21"/>
      <c r="JAD52" s="15"/>
      <c r="JAJ52" s="25"/>
      <c r="JAQ52" s="21"/>
      <c r="JAR52" s="21"/>
      <c r="JAV52" s="15"/>
      <c r="JBB52" s="25"/>
      <c r="JBI52" s="21"/>
      <c r="JBJ52" s="21"/>
      <c r="JBN52" s="15"/>
      <c r="JBT52" s="25"/>
      <c r="JCA52" s="21"/>
      <c r="JCB52" s="21"/>
      <c r="JCF52" s="15"/>
      <c r="JCL52" s="25"/>
      <c r="JCS52" s="21"/>
      <c r="JCT52" s="21"/>
      <c r="JCX52" s="15"/>
      <c r="JDD52" s="25"/>
      <c r="JDK52" s="21"/>
      <c r="JDL52" s="21"/>
      <c r="JDP52" s="15"/>
      <c r="JDV52" s="25"/>
      <c r="JEC52" s="21"/>
      <c r="JED52" s="21"/>
      <c r="JEH52" s="15"/>
      <c r="JEN52" s="25"/>
      <c r="JEU52" s="21"/>
      <c r="JEV52" s="21"/>
      <c r="JEZ52" s="15"/>
      <c r="JFF52" s="25"/>
      <c r="JFM52" s="21"/>
      <c r="JFN52" s="21"/>
      <c r="JFR52" s="15"/>
      <c r="JFX52" s="25"/>
      <c r="JGE52" s="21"/>
      <c r="JGF52" s="21"/>
      <c r="JGJ52" s="15"/>
      <c r="JGP52" s="25"/>
      <c r="JGW52" s="21"/>
      <c r="JGX52" s="21"/>
      <c r="JHB52" s="15"/>
      <c r="JHH52" s="25"/>
      <c r="JHO52" s="21"/>
      <c r="JHP52" s="21"/>
      <c r="JHT52" s="15"/>
      <c r="JHZ52" s="25"/>
      <c r="JIG52" s="21"/>
      <c r="JIH52" s="21"/>
      <c r="JIL52" s="15"/>
      <c r="JIR52" s="25"/>
      <c r="JIY52" s="21"/>
      <c r="JIZ52" s="21"/>
      <c r="JJD52" s="15"/>
      <c r="JJJ52" s="25"/>
      <c r="JJQ52" s="21"/>
      <c r="JJR52" s="21"/>
      <c r="JJV52" s="15"/>
      <c r="JKB52" s="25"/>
      <c r="JKI52" s="21"/>
      <c r="JKJ52" s="21"/>
      <c r="JKN52" s="15"/>
      <c r="JKT52" s="25"/>
      <c r="JLA52" s="21"/>
      <c r="JLB52" s="21"/>
      <c r="JLF52" s="15"/>
      <c r="JLL52" s="25"/>
      <c r="JLS52" s="21"/>
      <c r="JLT52" s="21"/>
      <c r="JLX52" s="15"/>
      <c r="JMD52" s="25"/>
      <c r="JMK52" s="21"/>
      <c r="JML52" s="21"/>
      <c r="JMP52" s="15"/>
      <c r="JMV52" s="25"/>
      <c r="JNC52" s="21"/>
      <c r="JND52" s="21"/>
      <c r="JNH52" s="15"/>
      <c r="JNN52" s="25"/>
      <c r="JNU52" s="21"/>
      <c r="JNV52" s="21"/>
      <c r="JNZ52" s="15"/>
      <c r="JOF52" s="25"/>
      <c r="JOM52" s="21"/>
      <c r="JON52" s="21"/>
      <c r="JOR52" s="15"/>
      <c r="JOX52" s="25"/>
      <c r="JPE52" s="21"/>
      <c r="JPF52" s="21"/>
      <c r="JPJ52" s="15"/>
      <c r="JPP52" s="25"/>
      <c r="JPW52" s="21"/>
      <c r="JPX52" s="21"/>
      <c r="JQB52" s="15"/>
      <c r="JQH52" s="25"/>
      <c r="JQO52" s="21"/>
      <c r="JQP52" s="21"/>
      <c r="JQT52" s="15"/>
      <c r="JQZ52" s="25"/>
      <c r="JRG52" s="21"/>
      <c r="JRH52" s="21"/>
      <c r="JRL52" s="15"/>
      <c r="JRR52" s="25"/>
      <c r="JRY52" s="21"/>
      <c r="JRZ52" s="21"/>
      <c r="JSD52" s="15"/>
      <c r="JSJ52" s="25"/>
      <c r="JSQ52" s="21"/>
      <c r="JSR52" s="21"/>
      <c r="JSV52" s="15"/>
      <c r="JTB52" s="25"/>
      <c r="JTI52" s="21"/>
      <c r="JTJ52" s="21"/>
      <c r="JTN52" s="15"/>
      <c r="JTT52" s="25"/>
      <c r="JUA52" s="21"/>
      <c r="JUB52" s="21"/>
      <c r="JUF52" s="15"/>
      <c r="JUL52" s="25"/>
      <c r="JUS52" s="21"/>
      <c r="JUT52" s="21"/>
      <c r="JUX52" s="15"/>
      <c r="JVD52" s="25"/>
      <c r="JVK52" s="21"/>
      <c r="JVL52" s="21"/>
      <c r="JVP52" s="15"/>
      <c r="JVV52" s="25"/>
      <c r="JWC52" s="21"/>
      <c r="JWD52" s="21"/>
      <c r="JWH52" s="15"/>
      <c r="JWN52" s="25"/>
      <c r="JWU52" s="21"/>
      <c r="JWV52" s="21"/>
      <c r="JWZ52" s="15"/>
      <c r="JXF52" s="25"/>
      <c r="JXM52" s="21"/>
      <c r="JXN52" s="21"/>
      <c r="JXR52" s="15"/>
      <c r="JXX52" s="25"/>
      <c r="JYE52" s="21"/>
      <c r="JYF52" s="21"/>
      <c r="JYJ52" s="15"/>
      <c r="JYP52" s="25"/>
      <c r="JYW52" s="21"/>
      <c r="JYX52" s="21"/>
      <c r="JZB52" s="15"/>
      <c r="JZH52" s="25"/>
      <c r="JZO52" s="21"/>
      <c r="JZP52" s="21"/>
      <c r="JZT52" s="15"/>
      <c r="JZZ52" s="25"/>
      <c r="KAG52" s="21"/>
      <c r="KAH52" s="21"/>
      <c r="KAL52" s="15"/>
      <c r="KAR52" s="25"/>
      <c r="KAY52" s="21"/>
      <c r="KAZ52" s="21"/>
      <c r="KBD52" s="15"/>
      <c r="KBJ52" s="25"/>
      <c r="KBQ52" s="21"/>
      <c r="KBR52" s="21"/>
      <c r="KBV52" s="15"/>
      <c r="KCB52" s="25"/>
      <c r="KCI52" s="21"/>
      <c r="KCJ52" s="21"/>
      <c r="KCN52" s="15"/>
      <c r="KCT52" s="25"/>
      <c r="KDA52" s="21"/>
      <c r="KDB52" s="21"/>
      <c r="KDF52" s="15"/>
      <c r="KDL52" s="25"/>
      <c r="KDS52" s="21"/>
      <c r="KDT52" s="21"/>
      <c r="KDX52" s="15"/>
      <c r="KED52" s="25"/>
      <c r="KEK52" s="21"/>
      <c r="KEL52" s="21"/>
      <c r="KEP52" s="15"/>
      <c r="KEV52" s="25"/>
      <c r="KFC52" s="21"/>
      <c r="KFD52" s="21"/>
      <c r="KFH52" s="15"/>
      <c r="KFN52" s="25"/>
      <c r="KFU52" s="21"/>
      <c r="KFV52" s="21"/>
      <c r="KFZ52" s="15"/>
      <c r="KGF52" s="25"/>
      <c r="KGM52" s="21"/>
      <c r="KGN52" s="21"/>
      <c r="KGR52" s="15"/>
      <c r="KGX52" s="25"/>
      <c r="KHE52" s="21"/>
      <c r="KHF52" s="21"/>
      <c r="KHJ52" s="15"/>
      <c r="KHP52" s="25"/>
      <c r="KHW52" s="21"/>
      <c r="KHX52" s="21"/>
      <c r="KIB52" s="15"/>
      <c r="KIH52" s="25"/>
      <c r="KIO52" s="21"/>
      <c r="KIP52" s="21"/>
      <c r="KIT52" s="15"/>
      <c r="KIZ52" s="25"/>
      <c r="KJG52" s="21"/>
      <c r="KJH52" s="21"/>
      <c r="KJL52" s="15"/>
      <c r="KJR52" s="25"/>
      <c r="KJY52" s="21"/>
      <c r="KJZ52" s="21"/>
      <c r="KKD52" s="15"/>
      <c r="KKJ52" s="25"/>
      <c r="KKQ52" s="21"/>
      <c r="KKR52" s="21"/>
      <c r="KKV52" s="15"/>
      <c r="KLB52" s="25"/>
      <c r="KLI52" s="21"/>
      <c r="KLJ52" s="21"/>
      <c r="KLN52" s="15"/>
      <c r="KLT52" s="25"/>
      <c r="KMA52" s="21"/>
      <c r="KMB52" s="21"/>
      <c r="KMF52" s="15"/>
      <c r="KML52" s="25"/>
      <c r="KMS52" s="21"/>
      <c r="KMT52" s="21"/>
      <c r="KMX52" s="15"/>
      <c r="KND52" s="25"/>
      <c r="KNK52" s="21"/>
      <c r="KNL52" s="21"/>
      <c r="KNP52" s="15"/>
      <c r="KNV52" s="25"/>
      <c r="KOC52" s="21"/>
      <c r="KOD52" s="21"/>
      <c r="KOH52" s="15"/>
      <c r="KON52" s="25"/>
      <c r="KOU52" s="21"/>
      <c r="KOV52" s="21"/>
      <c r="KOZ52" s="15"/>
      <c r="KPF52" s="25"/>
      <c r="KPM52" s="21"/>
      <c r="KPN52" s="21"/>
      <c r="KPR52" s="15"/>
      <c r="KPX52" s="25"/>
      <c r="KQE52" s="21"/>
      <c r="KQF52" s="21"/>
      <c r="KQJ52" s="15"/>
      <c r="KQP52" s="25"/>
      <c r="KQW52" s="21"/>
      <c r="KQX52" s="21"/>
      <c r="KRB52" s="15"/>
      <c r="KRH52" s="25"/>
      <c r="KRO52" s="21"/>
      <c r="KRP52" s="21"/>
      <c r="KRT52" s="15"/>
      <c r="KRZ52" s="25"/>
      <c r="KSG52" s="21"/>
      <c r="KSH52" s="21"/>
      <c r="KSL52" s="15"/>
      <c r="KSR52" s="25"/>
      <c r="KSY52" s="21"/>
      <c r="KSZ52" s="21"/>
      <c r="KTD52" s="15"/>
      <c r="KTJ52" s="25"/>
      <c r="KTQ52" s="21"/>
      <c r="KTR52" s="21"/>
      <c r="KTV52" s="15"/>
      <c r="KUB52" s="25"/>
      <c r="KUI52" s="21"/>
      <c r="KUJ52" s="21"/>
      <c r="KUN52" s="15"/>
      <c r="KUT52" s="25"/>
      <c r="KVA52" s="21"/>
      <c r="KVB52" s="21"/>
      <c r="KVF52" s="15"/>
      <c r="KVL52" s="25"/>
      <c r="KVS52" s="21"/>
      <c r="KVT52" s="21"/>
      <c r="KVX52" s="15"/>
      <c r="KWD52" s="25"/>
      <c r="KWK52" s="21"/>
      <c r="KWL52" s="21"/>
      <c r="KWP52" s="15"/>
      <c r="KWV52" s="25"/>
      <c r="KXC52" s="21"/>
      <c r="KXD52" s="21"/>
      <c r="KXH52" s="15"/>
      <c r="KXN52" s="25"/>
      <c r="KXU52" s="21"/>
      <c r="KXV52" s="21"/>
      <c r="KXZ52" s="15"/>
      <c r="KYF52" s="25"/>
      <c r="KYM52" s="21"/>
      <c r="KYN52" s="21"/>
      <c r="KYR52" s="15"/>
      <c r="KYX52" s="25"/>
      <c r="KZE52" s="21"/>
      <c r="KZF52" s="21"/>
      <c r="KZJ52" s="15"/>
      <c r="KZP52" s="25"/>
      <c r="KZW52" s="21"/>
      <c r="KZX52" s="21"/>
      <c r="LAB52" s="15"/>
      <c r="LAH52" s="25"/>
      <c r="LAO52" s="21"/>
      <c r="LAP52" s="21"/>
      <c r="LAT52" s="15"/>
      <c r="LAZ52" s="25"/>
      <c r="LBG52" s="21"/>
      <c r="LBH52" s="21"/>
      <c r="LBL52" s="15"/>
      <c r="LBR52" s="25"/>
      <c r="LBY52" s="21"/>
      <c r="LBZ52" s="21"/>
      <c r="LCD52" s="15"/>
      <c r="LCJ52" s="25"/>
      <c r="LCQ52" s="21"/>
      <c r="LCR52" s="21"/>
      <c r="LCV52" s="15"/>
      <c r="LDB52" s="25"/>
      <c r="LDI52" s="21"/>
      <c r="LDJ52" s="21"/>
      <c r="LDN52" s="15"/>
      <c r="LDT52" s="25"/>
      <c r="LEA52" s="21"/>
      <c r="LEB52" s="21"/>
      <c r="LEF52" s="15"/>
      <c r="LEL52" s="25"/>
      <c r="LES52" s="21"/>
      <c r="LET52" s="21"/>
      <c r="LEX52" s="15"/>
      <c r="LFD52" s="25"/>
      <c r="LFK52" s="21"/>
      <c r="LFL52" s="21"/>
      <c r="LFP52" s="15"/>
      <c r="LFV52" s="25"/>
      <c r="LGC52" s="21"/>
      <c r="LGD52" s="21"/>
      <c r="LGH52" s="15"/>
      <c r="LGN52" s="25"/>
      <c r="LGU52" s="21"/>
      <c r="LGV52" s="21"/>
      <c r="LGZ52" s="15"/>
      <c r="LHF52" s="25"/>
      <c r="LHM52" s="21"/>
      <c r="LHN52" s="21"/>
      <c r="LHR52" s="15"/>
      <c r="LHX52" s="25"/>
      <c r="LIE52" s="21"/>
      <c r="LIF52" s="21"/>
      <c r="LIJ52" s="15"/>
      <c r="LIP52" s="25"/>
      <c r="LIW52" s="21"/>
      <c r="LIX52" s="21"/>
      <c r="LJB52" s="15"/>
      <c r="LJH52" s="25"/>
      <c r="LJO52" s="21"/>
      <c r="LJP52" s="21"/>
      <c r="LJT52" s="15"/>
      <c r="LJZ52" s="25"/>
      <c r="LKG52" s="21"/>
      <c r="LKH52" s="21"/>
      <c r="LKL52" s="15"/>
      <c r="LKR52" s="25"/>
      <c r="LKY52" s="21"/>
      <c r="LKZ52" s="21"/>
      <c r="LLD52" s="15"/>
      <c r="LLJ52" s="25"/>
      <c r="LLQ52" s="21"/>
      <c r="LLR52" s="21"/>
      <c r="LLV52" s="15"/>
      <c r="LMB52" s="25"/>
      <c r="LMI52" s="21"/>
      <c r="LMJ52" s="21"/>
      <c r="LMN52" s="15"/>
      <c r="LMT52" s="25"/>
      <c r="LNA52" s="21"/>
      <c r="LNB52" s="21"/>
      <c r="LNF52" s="15"/>
      <c r="LNL52" s="25"/>
      <c r="LNS52" s="21"/>
      <c r="LNT52" s="21"/>
      <c r="LNX52" s="15"/>
      <c r="LOD52" s="25"/>
      <c r="LOK52" s="21"/>
      <c r="LOL52" s="21"/>
      <c r="LOP52" s="15"/>
      <c r="LOV52" s="25"/>
      <c r="LPC52" s="21"/>
      <c r="LPD52" s="21"/>
      <c r="LPH52" s="15"/>
      <c r="LPN52" s="25"/>
      <c r="LPU52" s="21"/>
      <c r="LPV52" s="21"/>
      <c r="LPZ52" s="15"/>
      <c r="LQF52" s="25"/>
      <c r="LQM52" s="21"/>
      <c r="LQN52" s="21"/>
      <c r="LQR52" s="15"/>
      <c r="LQX52" s="25"/>
      <c r="LRE52" s="21"/>
      <c r="LRF52" s="21"/>
      <c r="LRJ52" s="15"/>
      <c r="LRP52" s="25"/>
      <c r="LRW52" s="21"/>
      <c r="LRX52" s="21"/>
      <c r="LSB52" s="15"/>
      <c r="LSH52" s="25"/>
      <c r="LSO52" s="21"/>
      <c r="LSP52" s="21"/>
      <c r="LST52" s="15"/>
      <c r="LSZ52" s="25"/>
      <c r="LTG52" s="21"/>
      <c r="LTH52" s="21"/>
      <c r="LTL52" s="15"/>
      <c r="LTR52" s="25"/>
      <c r="LTY52" s="21"/>
      <c r="LTZ52" s="21"/>
      <c r="LUD52" s="15"/>
      <c r="LUJ52" s="25"/>
      <c r="LUQ52" s="21"/>
      <c r="LUR52" s="21"/>
      <c r="LUV52" s="15"/>
      <c r="LVB52" s="25"/>
      <c r="LVI52" s="21"/>
      <c r="LVJ52" s="21"/>
      <c r="LVN52" s="15"/>
      <c r="LVT52" s="25"/>
      <c r="LWA52" s="21"/>
      <c r="LWB52" s="21"/>
      <c r="LWF52" s="15"/>
      <c r="LWL52" s="25"/>
      <c r="LWS52" s="21"/>
      <c r="LWT52" s="21"/>
      <c r="LWX52" s="15"/>
      <c r="LXD52" s="25"/>
      <c r="LXK52" s="21"/>
      <c r="LXL52" s="21"/>
      <c r="LXP52" s="15"/>
      <c r="LXV52" s="25"/>
      <c r="LYC52" s="21"/>
      <c r="LYD52" s="21"/>
      <c r="LYH52" s="15"/>
      <c r="LYN52" s="25"/>
      <c r="LYU52" s="21"/>
      <c r="LYV52" s="21"/>
      <c r="LYZ52" s="15"/>
      <c r="LZF52" s="25"/>
      <c r="LZM52" s="21"/>
      <c r="LZN52" s="21"/>
      <c r="LZR52" s="15"/>
      <c r="LZX52" s="25"/>
      <c r="MAE52" s="21"/>
      <c r="MAF52" s="21"/>
      <c r="MAJ52" s="15"/>
      <c r="MAP52" s="25"/>
      <c r="MAW52" s="21"/>
      <c r="MAX52" s="21"/>
      <c r="MBB52" s="15"/>
      <c r="MBH52" s="25"/>
      <c r="MBO52" s="21"/>
      <c r="MBP52" s="21"/>
      <c r="MBT52" s="15"/>
      <c r="MBZ52" s="25"/>
      <c r="MCG52" s="21"/>
      <c r="MCH52" s="21"/>
      <c r="MCL52" s="15"/>
      <c r="MCR52" s="25"/>
      <c r="MCY52" s="21"/>
      <c r="MCZ52" s="21"/>
      <c r="MDD52" s="15"/>
      <c r="MDJ52" s="25"/>
      <c r="MDQ52" s="21"/>
      <c r="MDR52" s="21"/>
      <c r="MDV52" s="15"/>
      <c r="MEB52" s="25"/>
      <c r="MEI52" s="21"/>
      <c r="MEJ52" s="21"/>
      <c r="MEN52" s="15"/>
      <c r="MET52" s="25"/>
      <c r="MFA52" s="21"/>
      <c r="MFB52" s="21"/>
      <c r="MFF52" s="15"/>
      <c r="MFL52" s="25"/>
      <c r="MFS52" s="21"/>
      <c r="MFT52" s="21"/>
      <c r="MFX52" s="15"/>
      <c r="MGD52" s="25"/>
      <c r="MGK52" s="21"/>
      <c r="MGL52" s="21"/>
      <c r="MGP52" s="15"/>
      <c r="MGV52" s="25"/>
      <c r="MHC52" s="21"/>
      <c r="MHD52" s="21"/>
      <c r="MHH52" s="15"/>
      <c r="MHN52" s="25"/>
      <c r="MHU52" s="21"/>
      <c r="MHV52" s="21"/>
      <c r="MHZ52" s="15"/>
      <c r="MIF52" s="25"/>
      <c r="MIM52" s="21"/>
      <c r="MIN52" s="21"/>
      <c r="MIR52" s="15"/>
      <c r="MIX52" s="25"/>
      <c r="MJE52" s="21"/>
      <c r="MJF52" s="21"/>
      <c r="MJJ52" s="15"/>
      <c r="MJP52" s="25"/>
      <c r="MJW52" s="21"/>
      <c r="MJX52" s="21"/>
      <c r="MKB52" s="15"/>
      <c r="MKH52" s="25"/>
      <c r="MKO52" s="21"/>
      <c r="MKP52" s="21"/>
      <c r="MKT52" s="15"/>
      <c r="MKZ52" s="25"/>
      <c r="MLG52" s="21"/>
      <c r="MLH52" s="21"/>
      <c r="MLL52" s="15"/>
      <c r="MLR52" s="25"/>
      <c r="MLY52" s="21"/>
      <c r="MLZ52" s="21"/>
      <c r="MMD52" s="15"/>
      <c r="MMJ52" s="25"/>
      <c r="MMQ52" s="21"/>
      <c r="MMR52" s="21"/>
      <c r="MMV52" s="15"/>
      <c r="MNB52" s="25"/>
      <c r="MNI52" s="21"/>
      <c r="MNJ52" s="21"/>
      <c r="MNN52" s="15"/>
      <c r="MNT52" s="25"/>
      <c r="MOA52" s="21"/>
      <c r="MOB52" s="21"/>
      <c r="MOF52" s="15"/>
      <c r="MOL52" s="25"/>
      <c r="MOS52" s="21"/>
      <c r="MOT52" s="21"/>
      <c r="MOX52" s="15"/>
      <c r="MPD52" s="25"/>
      <c r="MPK52" s="21"/>
      <c r="MPL52" s="21"/>
      <c r="MPP52" s="15"/>
      <c r="MPV52" s="25"/>
      <c r="MQC52" s="21"/>
      <c r="MQD52" s="21"/>
      <c r="MQH52" s="15"/>
      <c r="MQN52" s="25"/>
      <c r="MQU52" s="21"/>
      <c r="MQV52" s="21"/>
      <c r="MQZ52" s="15"/>
      <c r="MRF52" s="25"/>
      <c r="MRM52" s="21"/>
      <c r="MRN52" s="21"/>
      <c r="MRR52" s="15"/>
      <c r="MRX52" s="25"/>
      <c r="MSE52" s="21"/>
      <c r="MSF52" s="21"/>
      <c r="MSJ52" s="15"/>
      <c r="MSP52" s="25"/>
      <c r="MSW52" s="21"/>
      <c r="MSX52" s="21"/>
      <c r="MTB52" s="15"/>
      <c r="MTH52" s="25"/>
      <c r="MTO52" s="21"/>
      <c r="MTP52" s="21"/>
      <c r="MTT52" s="15"/>
      <c r="MTZ52" s="25"/>
      <c r="MUG52" s="21"/>
      <c r="MUH52" s="21"/>
      <c r="MUL52" s="15"/>
      <c r="MUR52" s="25"/>
      <c r="MUY52" s="21"/>
      <c r="MUZ52" s="21"/>
      <c r="MVD52" s="15"/>
      <c r="MVJ52" s="25"/>
      <c r="MVQ52" s="21"/>
      <c r="MVR52" s="21"/>
      <c r="MVV52" s="15"/>
      <c r="MWB52" s="25"/>
      <c r="MWI52" s="21"/>
      <c r="MWJ52" s="21"/>
      <c r="MWN52" s="15"/>
      <c r="MWT52" s="25"/>
      <c r="MXA52" s="21"/>
      <c r="MXB52" s="21"/>
      <c r="MXF52" s="15"/>
      <c r="MXL52" s="25"/>
      <c r="MXS52" s="21"/>
      <c r="MXT52" s="21"/>
      <c r="MXX52" s="15"/>
      <c r="MYD52" s="25"/>
      <c r="MYK52" s="21"/>
      <c r="MYL52" s="21"/>
      <c r="MYP52" s="15"/>
      <c r="MYV52" s="25"/>
      <c r="MZC52" s="21"/>
      <c r="MZD52" s="21"/>
      <c r="MZH52" s="15"/>
      <c r="MZN52" s="25"/>
      <c r="MZU52" s="21"/>
      <c r="MZV52" s="21"/>
      <c r="MZZ52" s="15"/>
      <c r="NAF52" s="25"/>
      <c r="NAM52" s="21"/>
      <c r="NAN52" s="21"/>
      <c r="NAR52" s="15"/>
      <c r="NAX52" s="25"/>
      <c r="NBE52" s="21"/>
      <c r="NBF52" s="21"/>
      <c r="NBJ52" s="15"/>
      <c r="NBP52" s="25"/>
      <c r="NBW52" s="21"/>
      <c r="NBX52" s="21"/>
      <c r="NCB52" s="15"/>
      <c r="NCH52" s="25"/>
      <c r="NCO52" s="21"/>
      <c r="NCP52" s="21"/>
      <c r="NCT52" s="15"/>
      <c r="NCZ52" s="25"/>
      <c r="NDG52" s="21"/>
      <c r="NDH52" s="21"/>
      <c r="NDL52" s="15"/>
      <c r="NDR52" s="25"/>
      <c r="NDY52" s="21"/>
      <c r="NDZ52" s="21"/>
      <c r="NED52" s="15"/>
      <c r="NEJ52" s="25"/>
      <c r="NEQ52" s="21"/>
      <c r="NER52" s="21"/>
      <c r="NEV52" s="15"/>
      <c r="NFB52" s="25"/>
      <c r="NFI52" s="21"/>
      <c r="NFJ52" s="21"/>
      <c r="NFN52" s="15"/>
      <c r="NFT52" s="25"/>
      <c r="NGA52" s="21"/>
      <c r="NGB52" s="21"/>
      <c r="NGF52" s="15"/>
      <c r="NGL52" s="25"/>
      <c r="NGS52" s="21"/>
      <c r="NGT52" s="21"/>
      <c r="NGX52" s="15"/>
      <c r="NHD52" s="25"/>
      <c r="NHK52" s="21"/>
      <c r="NHL52" s="21"/>
      <c r="NHP52" s="15"/>
      <c r="NHV52" s="25"/>
      <c r="NIC52" s="21"/>
      <c r="NID52" s="21"/>
      <c r="NIH52" s="15"/>
      <c r="NIN52" s="25"/>
      <c r="NIU52" s="21"/>
      <c r="NIV52" s="21"/>
      <c r="NIZ52" s="15"/>
      <c r="NJF52" s="25"/>
      <c r="NJM52" s="21"/>
      <c r="NJN52" s="21"/>
      <c r="NJR52" s="15"/>
      <c r="NJX52" s="25"/>
      <c r="NKE52" s="21"/>
      <c r="NKF52" s="21"/>
      <c r="NKJ52" s="15"/>
      <c r="NKP52" s="25"/>
      <c r="NKW52" s="21"/>
      <c r="NKX52" s="21"/>
      <c r="NLB52" s="15"/>
      <c r="NLH52" s="25"/>
      <c r="NLO52" s="21"/>
      <c r="NLP52" s="21"/>
      <c r="NLT52" s="15"/>
      <c r="NLZ52" s="25"/>
      <c r="NMG52" s="21"/>
      <c r="NMH52" s="21"/>
      <c r="NML52" s="15"/>
      <c r="NMR52" s="25"/>
      <c r="NMY52" s="21"/>
      <c r="NMZ52" s="21"/>
      <c r="NND52" s="15"/>
      <c r="NNJ52" s="25"/>
      <c r="NNQ52" s="21"/>
      <c r="NNR52" s="21"/>
      <c r="NNV52" s="15"/>
      <c r="NOB52" s="25"/>
      <c r="NOI52" s="21"/>
      <c r="NOJ52" s="21"/>
      <c r="NON52" s="15"/>
      <c r="NOT52" s="25"/>
      <c r="NPA52" s="21"/>
      <c r="NPB52" s="21"/>
      <c r="NPF52" s="15"/>
      <c r="NPL52" s="25"/>
      <c r="NPS52" s="21"/>
      <c r="NPT52" s="21"/>
      <c r="NPX52" s="15"/>
      <c r="NQD52" s="25"/>
      <c r="NQK52" s="21"/>
      <c r="NQL52" s="21"/>
      <c r="NQP52" s="15"/>
      <c r="NQV52" s="25"/>
      <c r="NRC52" s="21"/>
      <c r="NRD52" s="21"/>
      <c r="NRH52" s="15"/>
      <c r="NRN52" s="25"/>
      <c r="NRU52" s="21"/>
      <c r="NRV52" s="21"/>
      <c r="NRZ52" s="15"/>
      <c r="NSF52" s="25"/>
      <c r="NSM52" s="21"/>
      <c r="NSN52" s="21"/>
      <c r="NSR52" s="15"/>
      <c r="NSX52" s="25"/>
      <c r="NTE52" s="21"/>
      <c r="NTF52" s="21"/>
      <c r="NTJ52" s="15"/>
      <c r="NTP52" s="25"/>
      <c r="NTW52" s="21"/>
      <c r="NTX52" s="21"/>
      <c r="NUB52" s="15"/>
      <c r="NUH52" s="25"/>
      <c r="NUO52" s="21"/>
      <c r="NUP52" s="21"/>
      <c r="NUT52" s="15"/>
      <c r="NUZ52" s="25"/>
      <c r="NVG52" s="21"/>
      <c r="NVH52" s="21"/>
      <c r="NVL52" s="15"/>
      <c r="NVR52" s="25"/>
      <c r="NVY52" s="21"/>
      <c r="NVZ52" s="21"/>
      <c r="NWD52" s="15"/>
      <c r="NWJ52" s="25"/>
      <c r="NWQ52" s="21"/>
      <c r="NWR52" s="21"/>
      <c r="NWV52" s="15"/>
      <c r="NXB52" s="25"/>
      <c r="NXI52" s="21"/>
      <c r="NXJ52" s="21"/>
      <c r="NXN52" s="15"/>
      <c r="NXT52" s="25"/>
      <c r="NYA52" s="21"/>
      <c r="NYB52" s="21"/>
      <c r="NYF52" s="15"/>
      <c r="NYL52" s="25"/>
      <c r="NYS52" s="21"/>
      <c r="NYT52" s="21"/>
      <c r="NYX52" s="15"/>
      <c r="NZD52" s="25"/>
      <c r="NZK52" s="21"/>
      <c r="NZL52" s="21"/>
      <c r="NZP52" s="15"/>
      <c r="NZV52" s="25"/>
      <c r="OAC52" s="21"/>
      <c r="OAD52" s="21"/>
      <c r="OAH52" s="15"/>
      <c r="OAN52" s="25"/>
      <c r="OAU52" s="21"/>
      <c r="OAV52" s="21"/>
      <c r="OAZ52" s="15"/>
      <c r="OBF52" s="25"/>
      <c r="OBM52" s="21"/>
      <c r="OBN52" s="21"/>
      <c r="OBR52" s="15"/>
      <c r="OBX52" s="25"/>
      <c r="OCE52" s="21"/>
      <c r="OCF52" s="21"/>
      <c r="OCJ52" s="15"/>
      <c r="OCP52" s="25"/>
      <c r="OCW52" s="21"/>
      <c r="OCX52" s="21"/>
      <c r="ODB52" s="15"/>
      <c r="ODH52" s="25"/>
      <c r="ODO52" s="21"/>
      <c r="ODP52" s="21"/>
      <c r="ODT52" s="15"/>
      <c r="ODZ52" s="25"/>
      <c r="OEG52" s="21"/>
      <c r="OEH52" s="21"/>
      <c r="OEL52" s="15"/>
      <c r="OER52" s="25"/>
      <c r="OEY52" s="21"/>
      <c r="OEZ52" s="21"/>
      <c r="OFD52" s="15"/>
      <c r="OFJ52" s="25"/>
      <c r="OFQ52" s="21"/>
      <c r="OFR52" s="21"/>
      <c r="OFV52" s="15"/>
      <c r="OGB52" s="25"/>
      <c r="OGI52" s="21"/>
      <c r="OGJ52" s="21"/>
      <c r="OGN52" s="15"/>
      <c r="OGT52" s="25"/>
      <c r="OHA52" s="21"/>
      <c r="OHB52" s="21"/>
      <c r="OHF52" s="15"/>
      <c r="OHL52" s="25"/>
      <c r="OHS52" s="21"/>
      <c r="OHT52" s="21"/>
      <c r="OHX52" s="15"/>
      <c r="OID52" s="25"/>
      <c r="OIK52" s="21"/>
      <c r="OIL52" s="21"/>
      <c r="OIP52" s="15"/>
      <c r="OIV52" s="25"/>
      <c r="OJC52" s="21"/>
      <c r="OJD52" s="21"/>
      <c r="OJH52" s="15"/>
      <c r="OJN52" s="25"/>
      <c r="OJU52" s="21"/>
      <c r="OJV52" s="21"/>
      <c r="OJZ52" s="15"/>
      <c r="OKF52" s="25"/>
      <c r="OKM52" s="21"/>
      <c r="OKN52" s="21"/>
      <c r="OKR52" s="15"/>
      <c r="OKX52" s="25"/>
      <c r="OLE52" s="21"/>
      <c r="OLF52" s="21"/>
      <c r="OLJ52" s="15"/>
      <c r="OLP52" s="25"/>
      <c r="OLW52" s="21"/>
      <c r="OLX52" s="21"/>
      <c r="OMB52" s="15"/>
      <c r="OMH52" s="25"/>
      <c r="OMO52" s="21"/>
      <c r="OMP52" s="21"/>
      <c r="OMT52" s="15"/>
      <c r="OMZ52" s="25"/>
      <c r="ONG52" s="21"/>
      <c r="ONH52" s="21"/>
      <c r="ONL52" s="15"/>
      <c r="ONR52" s="25"/>
      <c r="ONY52" s="21"/>
      <c r="ONZ52" s="21"/>
      <c r="OOD52" s="15"/>
      <c r="OOJ52" s="25"/>
      <c r="OOQ52" s="21"/>
      <c r="OOR52" s="21"/>
      <c r="OOV52" s="15"/>
      <c r="OPB52" s="25"/>
      <c r="OPI52" s="21"/>
      <c r="OPJ52" s="21"/>
      <c r="OPN52" s="15"/>
      <c r="OPT52" s="25"/>
      <c r="OQA52" s="21"/>
      <c r="OQB52" s="21"/>
      <c r="OQF52" s="15"/>
      <c r="OQL52" s="25"/>
      <c r="OQS52" s="21"/>
      <c r="OQT52" s="21"/>
      <c r="OQX52" s="15"/>
      <c r="ORD52" s="25"/>
      <c r="ORK52" s="21"/>
      <c r="ORL52" s="21"/>
      <c r="ORP52" s="15"/>
      <c r="ORV52" s="25"/>
      <c r="OSC52" s="21"/>
      <c r="OSD52" s="21"/>
      <c r="OSH52" s="15"/>
      <c r="OSN52" s="25"/>
      <c r="OSU52" s="21"/>
      <c r="OSV52" s="21"/>
      <c r="OSZ52" s="15"/>
      <c r="OTF52" s="25"/>
      <c r="OTM52" s="21"/>
      <c r="OTN52" s="21"/>
      <c r="OTR52" s="15"/>
      <c r="OTX52" s="25"/>
      <c r="OUE52" s="21"/>
      <c r="OUF52" s="21"/>
      <c r="OUJ52" s="15"/>
      <c r="OUP52" s="25"/>
      <c r="OUW52" s="21"/>
      <c r="OUX52" s="21"/>
      <c r="OVB52" s="15"/>
      <c r="OVH52" s="25"/>
      <c r="OVO52" s="21"/>
      <c r="OVP52" s="21"/>
      <c r="OVT52" s="15"/>
      <c r="OVZ52" s="25"/>
      <c r="OWG52" s="21"/>
      <c r="OWH52" s="21"/>
      <c r="OWL52" s="15"/>
      <c r="OWR52" s="25"/>
      <c r="OWY52" s="21"/>
      <c r="OWZ52" s="21"/>
      <c r="OXD52" s="15"/>
      <c r="OXJ52" s="25"/>
      <c r="OXQ52" s="21"/>
      <c r="OXR52" s="21"/>
      <c r="OXV52" s="15"/>
      <c r="OYB52" s="25"/>
      <c r="OYI52" s="21"/>
      <c r="OYJ52" s="21"/>
      <c r="OYN52" s="15"/>
      <c r="OYT52" s="25"/>
      <c r="OZA52" s="21"/>
      <c r="OZB52" s="21"/>
      <c r="OZF52" s="15"/>
      <c r="OZL52" s="25"/>
      <c r="OZS52" s="21"/>
      <c r="OZT52" s="21"/>
      <c r="OZX52" s="15"/>
      <c r="PAD52" s="25"/>
      <c r="PAK52" s="21"/>
      <c r="PAL52" s="21"/>
      <c r="PAP52" s="15"/>
      <c r="PAV52" s="25"/>
      <c r="PBC52" s="21"/>
      <c r="PBD52" s="21"/>
      <c r="PBH52" s="15"/>
      <c r="PBN52" s="25"/>
      <c r="PBU52" s="21"/>
      <c r="PBV52" s="21"/>
      <c r="PBZ52" s="15"/>
      <c r="PCF52" s="25"/>
      <c r="PCM52" s="21"/>
      <c r="PCN52" s="21"/>
      <c r="PCR52" s="15"/>
      <c r="PCX52" s="25"/>
      <c r="PDE52" s="21"/>
      <c r="PDF52" s="21"/>
      <c r="PDJ52" s="15"/>
      <c r="PDP52" s="25"/>
      <c r="PDW52" s="21"/>
      <c r="PDX52" s="21"/>
      <c r="PEB52" s="15"/>
      <c r="PEH52" s="25"/>
      <c r="PEO52" s="21"/>
      <c r="PEP52" s="21"/>
      <c r="PET52" s="15"/>
      <c r="PEZ52" s="25"/>
      <c r="PFG52" s="21"/>
      <c r="PFH52" s="21"/>
      <c r="PFL52" s="15"/>
      <c r="PFR52" s="25"/>
      <c r="PFY52" s="21"/>
      <c r="PFZ52" s="21"/>
      <c r="PGD52" s="15"/>
      <c r="PGJ52" s="25"/>
      <c r="PGQ52" s="21"/>
      <c r="PGR52" s="21"/>
      <c r="PGV52" s="15"/>
      <c r="PHB52" s="25"/>
      <c r="PHI52" s="21"/>
      <c r="PHJ52" s="21"/>
      <c r="PHN52" s="15"/>
      <c r="PHT52" s="25"/>
      <c r="PIA52" s="21"/>
      <c r="PIB52" s="21"/>
      <c r="PIF52" s="15"/>
      <c r="PIL52" s="25"/>
      <c r="PIS52" s="21"/>
      <c r="PIT52" s="21"/>
      <c r="PIX52" s="15"/>
      <c r="PJD52" s="25"/>
      <c r="PJK52" s="21"/>
      <c r="PJL52" s="21"/>
      <c r="PJP52" s="15"/>
      <c r="PJV52" s="25"/>
      <c r="PKC52" s="21"/>
      <c r="PKD52" s="21"/>
      <c r="PKH52" s="15"/>
      <c r="PKN52" s="25"/>
      <c r="PKU52" s="21"/>
      <c r="PKV52" s="21"/>
      <c r="PKZ52" s="15"/>
      <c r="PLF52" s="25"/>
      <c r="PLM52" s="21"/>
      <c r="PLN52" s="21"/>
      <c r="PLR52" s="15"/>
      <c r="PLX52" s="25"/>
      <c r="PME52" s="21"/>
      <c r="PMF52" s="21"/>
      <c r="PMJ52" s="15"/>
      <c r="PMP52" s="25"/>
      <c r="PMW52" s="21"/>
      <c r="PMX52" s="21"/>
      <c r="PNB52" s="15"/>
      <c r="PNH52" s="25"/>
      <c r="PNO52" s="21"/>
      <c r="PNP52" s="21"/>
      <c r="PNT52" s="15"/>
      <c r="PNZ52" s="25"/>
      <c r="POG52" s="21"/>
      <c r="POH52" s="21"/>
      <c r="POL52" s="15"/>
      <c r="POR52" s="25"/>
      <c r="POY52" s="21"/>
      <c r="POZ52" s="21"/>
      <c r="PPD52" s="15"/>
      <c r="PPJ52" s="25"/>
      <c r="PPQ52" s="21"/>
      <c r="PPR52" s="21"/>
      <c r="PPV52" s="15"/>
      <c r="PQB52" s="25"/>
      <c r="PQI52" s="21"/>
      <c r="PQJ52" s="21"/>
      <c r="PQN52" s="15"/>
      <c r="PQT52" s="25"/>
      <c r="PRA52" s="21"/>
      <c r="PRB52" s="21"/>
      <c r="PRF52" s="15"/>
      <c r="PRL52" s="25"/>
      <c r="PRS52" s="21"/>
      <c r="PRT52" s="21"/>
      <c r="PRX52" s="15"/>
      <c r="PSD52" s="25"/>
      <c r="PSK52" s="21"/>
      <c r="PSL52" s="21"/>
      <c r="PSP52" s="15"/>
      <c r="PSV52" s="25"/>
      <c r="PTC52" s="21"/>
      <c r="PTD52" s="21"/>
      <c r="PTH52" s="15"/>
      <c r="PTN52" s="25"/>
      <c r="PTU52" s="21"/>
      <c r="PTV52" s="21"/>
      <c r="PTZ52" s="15"/>
      <c r="PUF52" s="25"/>
      <c r="PUM52" s="21"/>
      <c r="PUN52" s="21"/>
      <c r="PUR52" s="15"/>
      <c r="PUX52" s="25"/>
      <c r="PVE52" s="21"/>
      <c r="PVF52" s="21"/>
      <c r="PVJ52" s="15"/>
      <c r="PVP52" s="25"/>
      <c r="PVW52" s="21"/>
      <c r="PVX52" s="21"/>
      <c r="PWB52" s="15"/>
      <c r="PWH52" s="25"/>
      <c r="PWO52" s="21"/>
      <c r="PWP52" s="21"/>
      <c r="PWT52" s="15"/>
      <c r="PWZ52" s="25"/>
      <c r="PXG52" s="21"/>
      <c r="PXH52" s="21"/>
      <c r="PXL52" s="15"/>
      <c r="PXR52" s="25"/>
      <c r="PXY52" s="21"/>
      <c r="PXZ52" s="21"/>
      <c r="PYD52" s="15"/>
      <c r="PYJ52" s="25"/>
      <c r="PYQ52" s="21"/>
      <c r="PYR52" s="21"/>
      <c r="PYV52" s="15"/>
      <c r="PZB52" s="25"/>
      <c r="PZI52" s="21"/>
      <c r="PZJ52" s="21"/>
      <c r="PZN52" s="15"/>
      <c r="PZT52" s="25"/>
      <c r="QAA52" s="21"/>
      <c r="QAB52" s="21"/>
      <c r="QAF52" s="15"/>
      <c r="QAL52" s="25"/>
      <c r="QAS52" s="21"/>
      <c r="QAT52" s="21"/>
      <c r="QAX52" s="15"/>
      <c r="QBD52" s="25"/>
      <c r="QBK52" s="21"/>
      <c r="QBL52" s="21"/>
      <c r="QBP52" s="15"/>
      <c r="QBV52" s="25"/>
      <c r="QCC52" s="21"/>
      <c r="QCD52" s="21"/>
      <c r="QCH52" s="15"/>
      <c r="QCN52" s="25"/>
      <c r="QCU52" s="21"/>
      <c r="QCV52" s="21"/>
      <c r="QCZ52" s="15"/>
      <c r="QDF52" s="25"/>
      <c r="QDM52" s="21"/>
      <c r="QDN52" s="21"/>
      <c r="QDR52" s="15"/>
      <c r="QDX52" s="25"/>
      <c r="QEE52" s="21"/>
      <c r="QEF52" s="21"/>
      <c r="QEJ52" s="15"/>
      <c r="QEP52" s="25"/>
      <c r="QEW52" s="21"/>
      <c r="QEX52" s="21"/>
      <c r="QFB52" s="15"/>
      <c r="QFH52" s="25"/>
      <c r="QFO52" s="21"/>
      <c r="QFP52" s="21"/>
      <c r="QFT52" s="15"/>
      <c r="QFZ52" s="25"/>
      <c r="QGG52" s="21"/>
      <c r="QGH52" s="21"/>
      <c r="QGL52" s="15"/>
      <c r="QGR52" s="25"/>
      <c r="QGY52" s="21"/>
      <c r="QGZ52" s="21"/>
      <c r="QHD52" s="15"/>
      <c r="QHJ52" s="25"/>
      <c r="QHQ52" s="21"/>
      <c r="QHR52" s="21"/>
      <c r="QHV52" s="15"/>
      <c r="QIB52" s="25"/>
      <c r="QII52" s="21"/>
      <c r="QIJ52" s="21"/>
      <c r="QIN52" s="15"/>
      <c r="QIT52" s="25"/>
      <c r="QJA52" s="21"/>
      <c r="QJB52" s="21"/>
      <c r="QJF52" s="15"/>
      <c r="QJL52" s="25"/>
      <c r="QJS52" s="21"/>
      <c r="QJT52" s="21"/>
      <c r="QJX52" s="15"/>
      <c r="QKD52" s="25"/>
      <c r="QKK52" s="21"/>
      <c r="QKL52" s="21"/>
      <c r="QKP52" s="15"/>
      <c r="QKV52" s="25"/>
      <c r="QLC52" s="21"/>
      <c r="QLD52" s="21"/>
      <c r="QLH52" s="15"/>
      <c r="QLN52" s="25"/>
      <c r="QLU52" s="21"/>
      <c r="QLV52" s="21"/>
      <c r="QLZ52" s="15"/>
      <c r="QMF52" s="25"/>
      <c r="QMM52" s="21"/>
      <c r="QMN52" s="21"/>
      <c r="QMR52" s="15"/>
      <c r="QMX52" s="25"/>
      <c r="QNE52" s="21"/>
      <c r="QNF52" s="21"/>
      <c r="QNJ52" s="15"/>
      <c r="QNP52" s="25"/>
      <c r="QNW52" s="21"/>
      <c r="QNX52" s="21"/>
      <c r="QOB52" s="15"/>
      <c r="QOH52" s="25"/>
      <c r="QOO52" s="21"/>
      <c r="QOP52" s="21"/>
      <c r="QOT52" s="15"/>
      <c r="QOZ52" s="25"/>
      <c r="QPG52" s="21"/>
      <c r="QPH52" s="21"/>
      <c r="QPL52" s="15"/>
      <c r="QPR52" s="25"/>
      <c r="QPY52" s="21"/>
      <c r="QPZ52" s="21"/>
      <c r="QQD52" s="15"/>
      <c r="QQJ52" s="25"/>
      <c r="QQQ52" s="21"/>
      <c r="QQR52" s="21"/>
      <c r="QQV52" s="15"/>
      <c r="QRB52" s="25"/>
      <c r="QRI52" s="21"/>
      <c r="QRJ52" s="21"/>
      <c r="QRN52" s="15"/>
      <c r="QRT52" s="25"/>
      <c r="QSA52" s="21"/>
      <c r="QSB52" s="21"/>
      <c r="QSF52" s="15"/>
      <c r="QSL52" s="25"/>
      <c r="QSS52" s="21"/>
      <c r="QST52" s="21"/>
      <c r="QSX52" s="15"/>
      <c r="QTD52" s="25"/>
      <c r="QTK52" s="21"/>
      <c r="QTL52" s="21"/>
      <c r="QTP52" s="15"/>
      <c r="QTV52" s="25"/>
      <c r="QUC52" s="21"/>
      <c r="QUD52" s="21"/>
      <c r="QUH52" s="15"/>
      <c r="QUN52" s="25"/>
      <c r="QUU52" s="21"/>
      <c r="QUV52" s="21"/>
      <c r="QUZ52" s="15"/>
      <c r="QVF52" s="25"/>
      <c r="QVM52" s="21"/>
      <c r="QVN52" s="21"/>
      <c r="QVR52" s="15"/>
      <c r="QVX52" s="25"/>
      <c r="QWE52" s="21"/>
      <c r="QWF52" s="21"/>
      <c r="QWJ52" s="15"/>
      <c r="QWP52" s="25"/>
      <c r="QWW52" s="21"/>
      <c r="QWX52" s="21"/>
      <c r="QXB52" s="15"/>
      <c r="QXH52" s="25"/>
      <c r="QXO52" s="21"/>
      <c r="QXP52" s="21"/>
      <c r="QXT52" s="15"/>
      <c r="QXZ52" s="25"/>
      <c r="QYG52" s="21"/>
      <c r="QYH52" s="21"/>
      <c r="QYL52" s="15"/>
      <c r="QYR52" s="25"/>
      <c r="QYY52" s="21"/>
      <c r="QYZ52" s="21"/>
      <c r="QZD52" s="15"/>
      <c r="QZJ52" s="25"/>
      <c r="QZQ52" s="21"/>
      <c r="QZR52" s="21"/>
      <c r="QZV52" s="15"/>
      <c r="RAB52" s="25"/>
      <c r="RAI52" s="21"/>
      <c r="RAJ52" s="21"/>
      <c r="RAN52" s="15"/>
      <c r="RAT52" s="25"/>
      <c r="RBA52" s="21"/>
      <c r="RBB52" s="21"/>
      <c r="RBF52" s="15"/>
      <c r="RBL52" s="25"/>
      <c r="RBS52" s="21"/>
      <c r="RBT52" s="21"/>
      <c r="RBX52" s="15"/>
      <c r="RCD52" s="25"/>
      <c r="RCK52" s="21"/>
      <c r="RCL52" s="21"/>
      <c r="RCP52" s="15"/>
      <c r="RCV52" s="25"/>
      <c r="RDC52" s="21"/>
      <c r="RDD52" s="21"/>
      <c r="RDH52" s="15"/>
      <c r="RDN52" s="25"/>
      <c r="RDU52" s="21"/>
      <c r="RDV52" s="21"/>
      <c r="RDZ52" s="15"/>
      <c r="REF52" s="25"/>
      <c r="REM52" s="21"/>
      <c r="REN52" s="21"/>
      <c r="RER52" s="15"/>
      <c r="REX52" s="25"/>
      <c r="RFE52" s="21"/>
      <c r="RFF52" s="21"/>
      <c r="RFJ52" s="15"/>
      <c r="RFP52" s="25"/>
      <c r="RFW52" s="21"/>
      <c r="RFX52" s="21"/>
      <c r="RGB52" s="15"/>
      <c r="RGH52" s="25"/>
      <c r="RGO52" s="21"/>
      <c r="RGP52" s="21"/>
      <c r="RGT52" s="15"/>
      <c r="RGZ52" s="25"/>
      <c r="RHG52" s="21"/>
      <c r="RHH52" s="21"/>
      <c r="RHL52" s="15"/>
      <c r="RHR52" s="25"/>
      <c r="RHY52" s="21"/>
      <c r="RHZ52" s="21"/>
      <c r="RID52" s="15"/>
      <c r="RIJ52" s="25"/>
      <c r="RIQ52" s="21"/>
      <c r="RIR52" s="21"/>
      <c r="RIV52" s="15"/>
      <c r="RJB52" s="25"/>
      <c r="RJI52" s="21"/>
      <c r="RJJ52" s="21"/>
      <c r="RJN52" s="15"/>
      <c r="RJT52" s="25"/>
      <c r="RKA52" s="21"/>
      <c r="RKB52" s="21"/>
      <c r="RKF52" s="15"/>
      <c r="RKL52" s="25"/>
      <c r="RKS52" s="21"/>
      <c r="RKT52" s="21"/>
      <c r="RKX52" s="15"/>
      <c r="RLD52" s="25"/>
      <c r="RLK52" s="21"/>
      <c r="RLL52" s="21"/>
      <c r="RLP52" s="15"/>
      <c r="RLV52" s="25"/>
      <c r="RMC52" s="21"/>
      <c r="RMD52" s="21"/>
      <c r="RMH52" s="15"/>
      <c r="RMN52" s="25"/>
      <c r="RMU52" s="21"/>
      <c r="RMV52" s="21"/>
      <c r="RMZ52" s="15"/>
      <c r="RNF52" s="25"/>
      <c r="RNM52" s="21"/>
      <c r="RNN52" s="21"/>
      <c r="RNR52" s="15"/>
      <c r="RNX52" s="25"/>
      <c r="ROE52" s="21"/>
      <c r="ROF52" s="21"/>
      <c r="ROJ52" s="15"/>
      <c r="ROP52" s="25"/>
      <c r="ROW52" s="21"/>
      <c r="ROX52" s="21"/>
      <c r="RPB52" s="15"/>
      <c r="RPH52" s="25"/>
      <c r="RPO52" s="21"/>
      <c r="RPP52" s="21"/>
      <c r="RPT52" s="15"/>
      <c r="RPZ52" s="25"/>
      <c r="RQG52" s="21"/>
      <c r="RQH52" s="21"/>
      <c r="RQL52" s="15"/>
      <c r="RQR52" s="25"/>
      <c r="RQY52" s="21"/>
      <c r="RQZ52" s="21"/>
      <c r="RRD52" s="15"/>
      <c r="RRJ52" s="25"/>
      <c r="RRQ52" s="21"/>
      <c r="RRR52" s="21"/>
      <c r="RRV52" s="15"/>
      <c r="RSB52" s="25"/>
      <c r="RSI52" s="21"/>
      <c r="RSJ52" s="21"/>
      <c r="RSN52" s="15"/>
      <c r="RST52" s="25"/>
      <c r="RTA52" s="21"/>
      <c r="RTB52" s="21"/>
      <c r="RTF52" s="15"/>
      <c r="RTL52" s="25"/>
      <c r="RTS52" s="21"/>
      <c r="RTT52" s="21"/>
      <c r="RTX52" s="15"/>
      <c r="RUD52" s="25"/>
      <c r="RUK52" s="21"/>
      <c r="RUL52" s="21"/>
      <c r="RUP52" s="15"/>
      <c r="RUV52" s="25"/>
      <c r="RVC52" s="21"/>
      <c r="RVD52" s="21"/>
      <c r="RVH52" s="15"/>
      <c r="RVN52" s="25"/>
      <c r="RVU52" s="21"/>
      <c r="RVV52" s="21"/>
      <c r="RVZ52" s="15"/>
      <c r="RWF52" s="25"/>
      <c r="RWM52" s="21"/>
      <c r="RWN52" s="21"/>
      <c r="RWR52" s="15"/>
      <c r="RWX52" s="25"/>
      <c r="RXE52" s="21"/>
      <c r="RXF52" s="21"/>
      <c r="RXJ52" s="15"/>
      <c r="RXP52" s="25"/>
      <c r="RXW52" s="21"/>
      <c r="RXX52" s="21"/>
      <c r="RYB52" s="15"/>
      <c r="RYH52" s="25"/>
      <c r="RYO52" s="21"/>
      <c r="RYP52" s="21"/>
      <c r="RYT52" s="15"/>
      <c r="RYZ52" s="25"/>
      <c r="RZG52" s="21"/>
      <c r="RZH52" s="21"/>
      <c r="RZL52" s="15"/>
      <c r="RZR52" s="25"/>
      <c r="RZY52" s="21"/>
      <c r="RZZ52" s="21"/>
      <c r="SAD52" s="15"/>
      <c r="SAJ52" s="25"/>
      <c r="SAQ52" s="21"/>
      <c r="SAR52" s="21"/>
      <c r="SAV52" s="15"/>
      <c r="SBB52" s="25"/>
      <c r="SBI52" s="21"/>
      <c r="SBJ52" s="21"/>
      <c r="SBN52" s="15"/>
      <c r="SBT52" s="25"/>
      <c r="SCA52" s="21"/>
      <c r="SCB52" s="21"/>
      <c r="SCF52" s="15"/>
      <c r="SCL52" s="25"/>
      <c r="SCS52" s="21"/>
      <c r="SCT52" s="21"/>
      <c r="SCX52" s="15"/>
      <c r="SDD52" s="25"/>
      <c r="SDK52" s="21"/>
      <c r="SDL52" s="21"/>
      <c r="SDP52" s="15"/>
      <c r="SDV52" s="25"/>
      <c r="SEC52" s="21"/>
      <c r="SED52" s="21"/>
      <c r="SEH52" s="15"/>
      <c r="SEN52" s="25"/>
      <c r="SEU52" s="21"/>
      <c r="SEV52" s="21"/>
      <c r="SEZ52" s="15"/>
      <c r="SFF52" s="25"/>
      <c r="SFM52" s="21"/>
      <c r="SFN52" s="21"/>
      <c r="SFR52" s="15"/>
      <c r="SFX52" s="25"/>
      <c r="SGE52" s="21"/>
      <c r="SGF52" s="21"/>
      <c r="SGJ52" s="15"/>
      <c r="SGP52" s="25"/>
      <c r="SGW52" s="21"/>
      <c r="SGX52" s="21"/>
      <c r="SHB52" s="15"/>
      <c r="SHH52" s="25"/>
      <c r="SHO52" s="21"/>
      <c r="SHP52" s="21"/>
      <c r="SHT52" s="15"/>
      <c r="SHZ52" s="25"/>
      <c r="SIG52" s="21"/>
      <c r="SIH52" s="21"/>
      <c r="SIL52" s="15"/>
      <c r="SIR52" s="25"/>
      <c r="SIY52" s="21"/>
      <c r="SIZ52" s="21"/>
      <c r="SJD52" s="15"/>
      <c r="SJJ52" s="25"/>
      <c r="SJQ52" s="21"/>
      <c r="SJR52" s="21"/>
      <c r="SJV52" s="15"/>
      <c r="SKB52" s="25"/>
      <c r="SKI52" s="21"/>
      <c r="SKJ52" s="21"/>
      <c r="SKN52" s="15"/>
      <c r="SKT52" s="25"/>
      <c r="SLA52" s="21"/>
      <c r="SLB52" s="21"/>
      <c r="SLF52" s="15"/>
      <c r="SLL52" s="25"/>
      <c r="SLS52" s="21"/>
      <c r="SLT52" s="21"/>
      <c r="SLX52" s="15"/>
      <c r="SMD52" s="25"/>
      <c r="SMK52" s="21"/>
      <c r="SML52" s="21"/>
      <c r="SMP52" s="15"/>
      <c r="SMV52" s="25"/>
      <c r="SNC52" s="21"/>
      <c r="SND52" s="21"/>
      <c r="SNH52" s="15"/>
      <c r="SNN52" s="25"/>
      <c r="SNU52" s="21"/>
      <c r="SNV52" s="21"/>
      <c r="SNZ52" s="15"/>
      <c r="SOF52" s="25"/>
      <c r="SOM52" s="21"/>
      <c r="SON52" s="21"/>
      <c r="SOR52" s="15"/>
      <c r="SOX52" s="25"/>
      <c r="SPE52" s="21"/>
      <c r="SPF52" s="21"/>
      <c r="SPJ52" s="15"/>
      <c r="SPP52" s="25"/>
      <c r="SPW52" s="21"/>
      <c r="SPX52" s="21"/>
      <c r="SQB52" s="15"/>
      <c r="SQH52" s="25"/>
      <c r="SQO52" s="21"/>
      <c r="SQP52" s="21"/>
      <c r="SQT52" s="15"/>
      <c r="SQZ52" s="25"/>
      <c r="SRG52" s="21"/>
      <c r="SRH52" s="21"/>
      <c r="SRL52" s="15"/>
      <c r="SRR52" s="25"/>
      <c r="SRY52" s="21"/>
      <c r="SRZ52" s="21"/>
      <c r="SSD52" s="15"/>
      <c r="SSJ52" s="25"/>
      <c r="SSQ52" s="21"/>
      <c r="SSR52" s="21"/>
      <c r="SSV52" s="15"/>
      <c r="STB52" s="25"/>
      <c r="STI52" s="21"/>
      <c r="STJ52" s="21"/>
      <c r="STN52" s="15"/>
      <c r="STT52" s="25"/>
      <c r="SUA52" s="21"/>
      <c r="SUB52" s="21"/>
      <c r="SUF52" s="15"/>
      <c r="SUL52" s="25"/>
      <c r="SUS52" s="21"/>
      <c r="SUT52" s="21"/>
      <c r="SUX52" s="15"/>
      <c r="SVD52" s="25"/>
      <c r="SVK52" s="21"/>
      <c r="SVL52" s="21"/>
      <c r="SVP52" s="15"/>
      <c r="SVV52" s="25"/>
      <c r="SWC52" s="21"/>
      <c r="SWD52" s="21"/>
      <c r="SWH52" s="15"/>
      <c r="SWN52" s="25"/>
      <c r="SWU52" s="21"/>
      <c r="SWV52" s="21"/>
      <c r="SWZ52" s="15"/>
      <c r="SXF52" s="25"/>
      <c r="SXM52" s="21"/>
      <c r="SXN52" s="21"/>
      <c r="SXR52" s="15"/>
      <c r="SXX52" s="25"/>
      <c r="SYE52" s="21"/>
      <c r="SYF52" s="21"/>
      <c r="SYJ52" s="15"/>
      <c r="SYP52" s="25"/>
      <c r="SYW52" s="21"/>
      <c r="SYX52" s="21"/>
      <c r="SZB52" s="15"/>
      <c r="SZH52" s="25"/>
      <c r="SZO52" s="21"/>
      <c r="SZP52" s="21"/>
      <c r="SZT52" s="15"/>
      <c r="SZZ52" s="25"/>
      <c r="TAG52" s="21"/>
      <c r="TAH52" s="21"/>
      <c r="TAL52" s="15"/>
      <c r="TAR52" s="25"/>
      <c r="TAY52" s="21"/>
      <c r="TAZ52" s="21"/>
      <c r="TBD52" s="15"/>
      <c r="TBJ52" s="25"/>
      <c r="TBQ52" s="21"/>
      <c r="TBR52" s="21"/>
      <c r="TBV52" s="15"/>
      <c r="TCB52" s="25"/>
      <c r="TCI52" s="21"/>
      <c r="TCJ52" s="21"/>
      <c r="TCN52" s="15"/>
      <c r="TCT52" s="25"/>
      <c r="TDA52" s="21"/>
      <c r="TDB52" s="21"/>
      <c r="TDF52" s="15"/>
      <c r="TDL52" s="25"/>
      <c r="TDS52" s="21"/>
      <c r="TDT52" s="21"/>
      <c r="TDX52" s="15"/>
      <c r="TED52" s="25"/>
      <c r="TEK52" s="21"/>
      <c r="TEL52" s="21"/>
      <c r="TEP52" s="15"/>
      <c r="TEV52" s="25"/>
      <c r="TFC52" s="21"/>
      <c r="TFD52" s="21"/>
      <c r="TFH52" s="15"/>
      <c r="TFN52" s="25"/>
      <c r="TFU52" s="21"/>
      <c r="TFV52" s="21"/>
      <c r="TFZ52" s="15"/>
      <c r="TGF52" s="25"/>
      <c r="TGM52" s="21"/>
      <c r="TGN52" s="21"/>
      <c r="TGR52" s="15"/>
      <c r="TGX52" s="25"/>
      <c r="THE52" s="21"/>
      <c r="THF52" s="21"/>
      <c r="THJ52" s="15"/>
      <c r="THP52" s="25"/>
      <c r="THW52" s="21"/>
      <c r="THX52" s="21"/>
      <c r="TIB52" s="15"/>
      <c r="TIH52" s="25"/>
      <c r="TIO52" s="21"/>
      <c r="TIP52" s="21"/>
      <c r="TIT52" s="15"/>
      <c r="TIZ52" s="25"/>
      <c r="TJG52" s="21"/>
      <c r="TJH52" s="21"/>
      <c r="TJL52" s="15"/>
      <c r="TJR52" s="25"/>
      <c r="TJY52" s="21"/>
      <c r="TJZ52" s="21"/>
      <c r="TKD52" s="15"/>
      <c r="TKJ52" s="25"/>
      <c r="TKQ52" s="21"/>
      <c r="TKR52" s="21"/>
      <c r="TKV52" s="15"/>
      <c r="TLB52" s="25"/>
      <c r="TLI52" s="21"/>
      <c r="TLJ52" s="21"/>
      <c r="TLN52" s="15"/>
      <c r="TLT52" s="25"/>
      <c r="TMA52" s="21"/>
      <c r="TMB52" s="21"/>
      <c r="TMF52" s="15"/>
      <c r="TML52" s="25"/>
      <c r="TMS52" s="21"/>
      <c r="TMT52" s="21"/>
      <c r="TMX52" s="15"/>
      <c r="TND52" s="25"/>
      <c r="TNK52" s="21"/>
      <c r="TNL52" s="21"/>
      <c r="TNP52" s="15"/>
      <c r="TNV52" s="25"/>
      <c r="TOC52" s="21"/>
      <c r="TOD52" s="21"/>
      <c r="TOH52" s="15"/>
      <c r="TON52" s="25"/>
      <c r="TOU52" s="21"/>
      <c r="TOV52" s="21"/>
      <c r="TOZ52" s="15"/>
      <c r="TPF52" s="25"/>
      <c r="TPM52" s="21"/>
      <c r="TPN52" s="21"/>
      <c r="TPR52" s="15"/>
      <c r="TPX52" s="25"/>
      <c r="TQE52" s="21"/>
      <c r="TQF52" s="21"/>
      <c r="TQJ52" s="15"/>
      <c r="TQP52" s="25"/>
      <c r="TQW52" s="21"/>
      <c r="TQX52" s="21"/>
      <c r="TRB52" s="15"/>
      <c r="TRH52" s="25"/>
      <c r="TRO52" s="21"/>
      <c r="TRP52" s="21"/>
      <c r="TRT52" s="15"/>
      <c r="TRZ52" s="25"/>
      <c r="TSG52" s="21"/>
      <c r="TSH52" s="21"/>
      <c r="TSL52" s="15"/>
      <c r="TSR52" s="25"/>
      <c r="TSY52" s="21"/>
      <c r="TSZ52" s="21"/>
      <c r="TTD52" s="15"/>
      <c r="TTJ52" s="25"/>
      <c r="TTQ52" s="21"/>
      <c r="TTR52" s="21"/>
      <c r="TTV52" s="15"/>
      <c r="TUB52" s="25"/>
      <c r="TUI52" s="21"/>
      <c r="TUJ52" s="21"/>
      <c r="TUN52" s="15"/>
      <c r="TUT52" s="25"/>
      <c r="TVA52" s="21"/>
      <c r="TVB52" s="21"/>
      <c r="TVF52" s="15"/>
      <c r="TVL52" s="25"/>
      <c r="TVS52" s="21"/>
      <c r="TVT52" s="21"/>
      <c r="TVX52" s="15"/>
      <c r="TWD52" s="25"/>
      <c r="TWK52" s="21"/>
      <c r="TWL52" s="21"/>
      <c r="TWP52" s="15"/>
      <c r="TWV52" s="25"/>
      <c r="TXC52" s="21"/>
      <c r="TXD52" s="21"/>
      <c r="TXH52" s="15"/>
      <c r="TXN52" s="25"/>
      <c r="TXU52" s="21"/>
      <c r="TXV52" s="21"/>
      <c r="TXZ52" s="15"/>
      <c r="TYF52" s="25"/>
      <c r="TYM52" s="21"/>
      <c r="TYN52" s="21"/>
      <c r="TYR52" s="15"/>
      <c r="TYX52" s="25"/>
      <c r="TZE52" s="21"/>
      <c r="TZF52" s="21"/>
      <c r="TZJ52" s="15"/>
      <c r="TZP52" s="25"/>
      <c r="TZW52" s="21"/>
      <c r="TZX52" s="21"/>
      <c r="UAB52" s="15"/>
      <c r="UAH52" s="25"/>
      <c r="UAO52" s="21"/>
      <c r="UAP52" s="21"/>
      <c r="UAT52" s="15"/>
      <c r="UAZ52" s="25"/>
      <c r="UBG52" s="21"/>
      <c r="UBH52" s="21"/>
      <c r="UBL52" s="15"/>
      <c r="UBR52" s="25"/>
      <c r="UBY52" s="21"/>
      <c r="UBZ52" s="21"/>
      <c r="UCD52" s="15"/>
      <c r="UCJ52" s="25"/>
      <c r="UCQ52" s="21"/>
      <c r="UCR52" s="21"/>
      <c r="UCV52" s="15"/>
      <c r="UDB52" s="25"/>
      <c r="UDI52" s="21"/>
      <c r="UDJ52" s="21"/>
      <c r="UDN52" s="15"/>
      <c r="UDT52" s="25"/>
      <c r="UEA52" s="21"/>
      <c r="UEB52" s="21"/>
      <c r="UEF52" s="15"/>
      <c r="UEL52" s="25"/>
      <c r="UES52" s="21"/>
      <c r="UET52" s="21"/>
      <c r="UEX52" s="15"/>
      <c r="UFD52" s="25"/>
      <c r="UFK52" s="21"/>
      <c r="UFL52" s="21"/>
      <c r="UFP52" s="15"/>
      <c r="UFV52" s="25"/>
      <c r="UGC52" s="21"/>
      <c r="UGD52" s="21"/>
      <c r="UGH52" s="15"/>
      <c r="UGN52" s="25"/>
      <c r="UGU52" s="21"/>
      <c r="UGV52" s="21"/>
      <c r="UGZ52" s="15"/>
      <c r="UHF52" s="25"/>
      <c r="UHM52" s="21"/>
      <c r="UHN52" s="21"/>
      <c r="UHR52" s="15"/>
      <c r="UHX52" s="25"/>
      <c r="UIE52" s="21"/>
      <c r="UIF52" s="21"/>
      <c r="UIJ52" s="15"/>
      <c r="UIP52" s="25"/>
      <c r="UIW52" s="21"/>
      <c r="UIX52" s="21"/>
      <c r="UJB52" s="15"/>
      <c r="UJH52" s="25"/>
      <c r="UJO52" s="21"/>
      <c r="UJP52" s="21"/>
      <c r="UJT52" s="15"/>
      <c r="UJZ52" s="25"/>
      <c r="UKG52" s="21"/>
      <c r="UKH52" s="21"/>
      <c r="UKL52" s="15"/>
      <c r="UKR52" s="25"/>
      <c r="UKY52" s="21"/>
      <c r="UKZ52" s="21"/>
      <c r="ULD52" s="15"/>
      <c r="ULJ52" s="25"/>
      <c r="ULQ52" s="21"/>
      <c r="ULR52" s="21"/>
      <c r="ULV52" s="15"/>
      <c r="UMB52" s="25"/>
      <c r="UMI52" s="21"/>
      <c r="UMJ52" s="21"/>
      <c r="UMN52" s="15"/>
      <c r="UMT52" s="25"/>
      <c r="UNA52" s="21"/>
      <c r="UNB52" s="21"/>
      <c r="UNF52" s="15"/>
      <c r="UNL52" s="25"/>
      <c r="UNS52" s="21"/>
      <c r="UNT52" s="21"/>
      <c r="UNX52" s="15"/>
      <c r="UOD52" s="25"/>
      <c r="UOK52" s="21"/>
      <c r="UOL52" s="21"/>
      <c r="UOP52" s="15"/>
      <c r="UOV52" s="25"/>
      <c r="UPC52" s="21"/>
      <c r="UPD52" s="21"/>
      <c r="UPH52" s="15"/>
      <c r="UPN52" s="25"/>
      <c r="UPU52" s="21"/>
      <c r="UPV52" s="21"/>
      <c r="UPZ52" s="15"/>
      <c r="UQF52" s="25"/>
      <c r="UQM52" s="21"/>
      <c r="UQN52" s="21"/>
      <c r="UQR52" s="15"/>
      <c r="UQX52" s="25"/>
      <c r="URE52" s="21"/>
      <c r="URF52" s="21"/>
      <c r="URJ52" s="15"/>
      <c r="URP52" s="25"/>
      <c r="URW52" s="21"/>
      <c r="URX52" s="21"/>
      <c r="USB52" s="15"/>
      <c r="USH52" s="25"/>
      <c r="USO52" s="21"/>
      <c r="USP52" s="21"/>
      <c r="UST52" s="15"/>
      <c r="USZ52" s="25"/>
      <c r="UTG52" s="21"/>
      <c r="UTH52" s="21"/>
      <c r="UTL52" s="15"/>
      <c r="UTR52" s="25"/>
      <c r="UTY52" s="21"/>
      <c r="UTZ52" s="21"/>
      <c r="UUD52" s="15"/>
      <c r="UUJ52" s="25"/>
      <c r="UUQ52" s="21"/>
      <c r="UUR52" s="21"/>
      <c r="UUV52" s="15"/>
      <c r="UVB52" s="25"/>
      <c r="UVI52" s="21"/>
      <c r="UVJ52" s="21"/>
      <c r="UVN52" s="15"/>
      <c r="UVT52" s="25"/>
      <c r="UWA52" s="21"/>
      <c r="UWB52" s="21"/>
      <c r="UWF52" s="15"/>
      <c r="UWL52" s="25"/>
      <c r="UWS52" s="21"/>
      <c r="UWT52" s="21"/>
      <c r="UWX52" s="15"/>
      <c r="UXD52" s="25"/>
      <c r="UXK52" s="21"/>
      <c r="UXL52" s="21"/>
      <c r="UXP52" s="15"/>
      <c r="UXV52" s="25"/>
      <c r="UYC52" s="21"/>
      <c r="UYD52" s="21"/>
      <c r="UYH52" s="15"/>
      <c r="UYN52" s="25"/>
      <c r="UYU52" s="21"/>
      <c r="UYV52" s="21"/>
      <c r="UYZ52" s="15"/>
      <c r="UZF52" s="25"/>
      <c r="UZM52" s="21"/>
      <c r="UZN52" s="21"/>
      <c r="UZR52" s="15"/>
      <c r="UZX52" s="25"/>
      <c r="VAE52" s="21"/>
      <c r="VAF52" s="21"/>
      <c r="VAJ52" s="15"/>
      <c r="VAP52" s="25"/>
      <c r="VAW52" s="21"/>
      <c r="VAX52" s="21"/>
      <c r="VBB52" s="15"/>
      <c r="VBH52" s="25"/>
      <c r="VBO52" s="21"/>
      <c r="VBP52" s="21"/>
      <c r="VBT52" s="15"/>
      <c r="VBZ52" s="25"/>
      <c r="VCG52" s="21"/>
      <c r="VCH52" s="21"/>
      <c r="VCL52" s="15"/>
      <c r="VCR52" s="25"/>
      <c r="VCY52" s="21"/>
      <c r="VCZ52" s="21"/>
      <c r="VDD52" s="15"/>
      <c r="VDJ52" s="25"/>
      <c r="VDQ52" s="21"/>
      <c r="VDR52" s="21"/>
      <c r="VDV52" s="15"/>
      <c r="VEB52" s="25"/>
      <c r="VEI52" s="21"/>
      <c r="VEJ52" s="21"/>
      <c r="VEN52" s="15"/>
      <c r="VET52" s="25"/>
      <c r="VFA52" s="21"/>
      <c r="VFB52" s="21"/>
      <c r="VFF52" s="15"/>
      <c r="VFL52" s="25"/>
      <c r="VFS52" s="21"/>
      <c r="VFT52" s="21"/>
      <c r="VFX52" s="15"/>
      <c r="VGD52" s="25"/>
      <c r="VGK52" s="21"/>
      <c r="VGL52" s="21"/>
      <c r="VGP52" s="15"/>
      <c r="VGV52" s="25"/>
      <c r="VHC52" s="21"/>
      <c r="VHD52" s="21"/>
      <c r="VHH52" s="15"/>
      <c r="VHN52" s="25"/>
      <c r="VHU52" s="21"/>
      <c r="VHV52" s="21"/>
      <c r="VHZ52" s="15"/>
      <c r="VIF52" s="25"/>
      <c r="VIM52" s="21"/>
      <c r="VIN52" s="21"/>
      <c r="VIR52" s="15"/>
      <c r="VIX52" s="25"/>
      <c r="VJE52" s="21"/>
      <c r="VJF52" s="21"/>
      <c r="VJJ52" s="15"/>
      <c r="VJP52" s="25"/>
      <c r="VJW52" s="21"/>
      <c r="VJX52" s="21"/>
      <c r="VKB52" s="15"/>
      <c r="VKH52" s="25"/>
      <c r="VKO52" s="21"/>
      <c r="VKP52" s="21"/>
      <c r="VKT52" s="15"/>
      <c r="VKZ52" s="25"/>
      <c r="VLG52" s="21"/>
      <c r="VLH52" s="21"/>
      <c r="VLL52" s="15"/>
      <c r="VLR52" s="25"/>
      <c r="VLY52" s="21"/>
      <c r="VLZ52" s="21"/>
      <c r="VMD52" s="15"/>
      <c r="VMJ52" s="25"/>
      <c r="VMQ52" s="21"/>
      <c r="VMR52" s="21"/>
      <c r="VMV52" s="15"/>
      <c r="VNB52" s="25"/>
      <c r="VNI52" s="21"/>
      <c r="VNJ52" s="21"/>
      <c r="VNN52" s="15"/>
      <c r="VNT52" s="25"/>
      <c r="VOA52" s="21"/>
      <c r="VOB52" s="21"/>
      <c r="VOF52" s="15"/>
      <c r="VOL52" s="25"/>
      <c r="VOS52" s="21"/>
      <c r="VOT52" s="21"/>
      <c r="VOX52" s="15"/>
      <c r="VPD52" s="25"/>
      <c r="VPK52" s="21"/>
      <c r="VPL52" s="21"/>
      <c r="VPP52" s="15"/>
      <c r="VPV52" s="25"/>
      <c r="VQC52" s="21"/>
      <c r="VQD52" s="21"/>
      <c r="VQH52" s="15"/>
      <c r="VQN52" s="25"/>
      <c r="VQU52" s="21"/>
      <c r="VQV52" s="21"/>
      <c r="VQZ52" s="15"/>
      <c r="VRF52" s="25"/>
      <c r="VRM52" s="21"/>
      <c r="VRN52" s="21"/>
      <c r="VRR52" s="15"/>
      <c r="VRX52" s="25"/>
      <c r="VSE52" s="21"/>
      <c r="VSF52" s="21"/>
      <c r="VSJ52" s="15"/>
      <c r="VSP52" s="25"/>
      <c r="VSW52" s="21"/>
      <c r="VSX52" s="21"/>
      <c r="VTB52" s="15"/>
      <c r="VTH52" s="25"/>
      <c r="VTO52" s="21"/>
      <c r="VTP52" s="21"/>
      <c r="VTT52" s="15"/>
      <c r="VTZ52" s="25"/>
      <c r="VUG52" s="21"/>
      <c r="VUH52" s="21"/>
      <c r="VUL52" s="15"/>
      <c r="VUR52" s="25"/>
      <c r="VUY52" s="21"/>
      <c r="VUZ52" s="21"/>
      <c r="VVD52" s="15"/>
      <c r="VVJ52" s="25"/>
      <c r="VVQ52" s="21"/>
      <c r="VVR52" s="21"/>
      <c r="VVV52" s="15"/>
      <c r="VWB52" s="25"/>
      <c r="VWI52" s="21"/>
      <c r="VWJ52" s="21"/>
      <c r="VWN52" s="15"/>
      <c r="VWT52" s="25"/>
      <c r="VXA52" s="21"/>
      <c r="VXB52" s="21"/>
      <c r="VXF52" s="15"/>
      <c r="VXL52" s="25"/>
      <c r="VXS52" s="21"/>
      <c r="VXT52" s="21"/>
      <c r="VXX52" s="15"/>
      <c r="VYD52" s="25"/>
      <c r="VYK52" s="21"/>
      <c r="VYL52" s="21"/>
      <c r="VYP52" s="15"/>
      <c r="VYV52" s="25"/>
      <c r="VZC52" s="21"/>
      <c r="VZD52" s="21"/>
      <c r="VZH52" s="15"/>
      <c r="VZN52" s="25"/>
      <c r="VZU52" s="21"/>
      <c r="VZV52" s="21"/>
      <c r="VZZ52" s="15"/>
      <c r="WAF52" s="25"/>
      <c r="WAM52" s="21"/>
      <c r="WAN52" s="21"/>
      <c r="WAR52" s="15"/>
      <c r="WAX52" s="25"/>
      <c r="WBE52" s="21"/>
      <c r="WBF52" s="21"/>
      <c r="WBJ52" s="15"/>
      <c r="WBP52" s="25"/>
      <c r="WBW52" s="21"/>
      <c r="WBX52" s="21"/>
      <c r="WCB52" s="15"/>
      <c r="WCH52" s="25"/>
      <c r="WCO52" s="21"/>
      <c r="WCP52" s="21"/>
      <c r="WCT52" s="15"/>
      <c r="WCZ52" s="25"/>
      <c r="WDG52" s="21"/>
      <c r="WDH52" s="21"/>
      <c r="WDL52" s="15"/>
      <c r="WDR52" s="25"/>
      <c r="WDY52" s="21"/>
      <c r="WDZ52" s="21"/>
      <c r="WED52" s="15"/>
      <c r="WEJ52" s="25"/>
      <c r="WEQ52" s="21"/>
      <c r="WER52" s="21"/>
      <c r="WEV52" s="15"/>
      <c r="WFB52" s="25"/>
      <c r="WFI52" s="21"/>
      <c r="WFJ52" s="21"/>
      <c r="WFN52" s="15"/>
      <c r="WFT52" s="25"/>
      <c r="WGA52" s="21"/>
      <c r="WGB52" s="21"/>
      <c r="WGF52" s="15"/>
      <c r="WGL52" s="25"/>
      <c r="WGS52" s="21"/>
      <c r="WGT52" s="21"/>
      <c r="WGX52" s="15"/>
      <c r="WHD52" s="25"/>
      <c r="WHK52" s="21"/>
      <c r="WHL52" s="21"/>
      <c r="WHP52" s="15"/>
      <c r="WHV52" s="25"/>
      <c r="WIC52" s="21"/>
      <c r="WID52" s="21"/>
      <c r="WIH52" s="15"/>
      <c r="WIN52" s="25"/>
      <c r="WIU52" s="21"/>
      <c r="WIV52" s="21"/>
      <c r="WIZ52" s="15"/>
      <c r="WJF52" s="25"/>
      <c r="WJM52" s="21"/>
      <c r="WJN52" s="21"/>
      <c r="WJR52" s="15"/>
      <c r="WJX52" s="25"/>
      <c r="WKE52" s="21"/>
      <c r="WKF52" s="21"/>
      <c r="WKJ52" s="15"/>
      <c r="WKP52" s="25"/>
      <c r="WKW52" s="21"/>
      <c r="WKX52" s="21"/>
      <c r="WLB52" s="15"/>
      <c r="WLH52" s="25"/>
      <c r="WLO52" s="21"/>
      <c r="WLP52" s="21"/>
      <c r="WLT52" s="15"/>
      <c r="WLZ52" s="25"/>
      <c r="WMG52" s="21"/>
      <c r="WMH52" s="21"/>
      <c r="WML52" s="15"/>
      <c r="WMR52" s="25"/>
      <c r="WMY52" s="21"/>
      <c r="WMZ52" s="21"/>
      <c r="WND52" s="15"/>
      <c r="WNJ52" s="25"/>
      <c r="WNQ52" s="21"/>
      <c r="WNR52" s="21"/>
      <c r="WNV52" s="15"/>
      <c r="WOB52" s="25"/>
      <c r="WOI52" s="21"/>
      <c r="WOJ52" s="21"/>
      <c r="WON52" s="15"/>
      <c r="WOT52" s="25"/>
      <c r="WPA52" s="21"/>
      <c r="WPB52" s="21"/>
      <c r="WPF52" s="15"/>
      <c r="WPL52" s="25"/>
      <c r="WPS52" s="21"/>
      <c r="WPT52" s="21"/>
      <c r="WPX52" s="15"/>
      <c r="WQD52" s="25"/>
      <c r="WQK52" s="21"/>
      <c r="WQL52" s="21"/>
      <c r="WQP52" s="15"/>
      <c r="WQV52" s="25"/>
      <c r="WRC52" s="21"/>
      <c r="WRD52" s="21"/>
      <c r="WRH52" s="15"/>
      <c r="WRN52" s="25"/>
      <c r="WRU52" s="21"/>
      <c r="WRV52" s="21"/>
      <c r="WRZ52" s="15"/>
      <c r="WSF52" s="25"/>
      <c r="WSM52" s="21"/>
      <c r="WSN52" s="21"/>
      <c r="WSR52" s="15"/>
      <c r="WSX52" s="25"/>
      <c r="WTE52" s="21"/>
      <c r="WTF52" s="21"/>
      <c r="WTJ52" s="15"/>
      <c r="WTP52" s="25"/>
      <c r="WTW52" s="21"/>
      <c r="WTX52" s="21"/>
      <c r="WUB52" s="15"/>
      <c r="WUH52" s="25"/>
      <c r="WUO52" s="21"/>
      <c r="WUP52" s="21"/>
      <c r="WUT52" s="15"/>
      <c r="WUZ52" s="25"/>
      <c r="WVG52" s="21"/>
      <c r="WVH52" s="21"/>
      <c r="WVL52" s="15"/>
      <c r="WVR52" s="25"/>
      <c r="WVY52" s="21"/>
      <c r="WVZ52" s="21"/>
      <c r="WWD52" s="15"/>
      <c r="WWJ52" s="25"/>
      <c r="WWQ52" s="21"/>
      <c r="WWR52" s="21"/>
      <c r="WWV52" s="15"/>
      <c r="WXB52" s="25"/>
      <c r="WXI52" s="21"/>
      <c r="WXJ52" s="21"/>
      <c r="WXN52" s="15"/>
      <c r="WXT52" s="25"/>
      <c r="WYA52" s="21"/>
      <c r="WYB52" s="21"/>
      <c r="WYF52" s="15"/>
      <c r="WYL52" s="25"/>
      <c r="WYS52" s="21"/>
      <c r="WYT52" s="21"/>
      <c r="WYX52" s="15"/>
      <c r="WZD52" s="25"/>
      <c r="WZK52" s="21"/>
      <c r="WZL52" s="21"/>
      <c r="WZP52" s="15"/>
      <c r="WZV52" s="25"/>
      <c r="XAC52" s="21"/>
      <c r="XAD52" s="21"/>
      <c r="XAH52" s="15"/>
      <c r="XAN52" s="25"/>
      <c r="XAU52" s="21"/>
      <c r="XAV52" s="21"/>
      <c r="XAZ52" s="15"/>
      <c r="XBF52" s="25"/>
      <c r="XBM52" s="21"/>
      <c r="XBN52" s="21"/>
      <c r="XBR52" s="15"/>
      <c r="XBX52" s="25"/>
      <c r="XCE52" s="21"/>
      <c r="XCF52" s="21"/>
      <c r="XCJ52" s="15"/>
      <c r="XCP52" s="25"/>
      <c r="XCW52" s="21"/>
      <c r="XCX52" s="21"/>
      <c r="XDB52" s="15"/>
      <c r="XDH52" s="25"/>
      <c r="XDO52" s="21"/>
      <c r="XDP52" s="21"/>
      <c r="XDT52" s="15"/>
      <c r="XDZ52" s="25"/>
      <c r="XEG52" s="21"/>
      <c r="XEH52" s="21"/>
      <c r="XEL52" s="15"/>
      <c r="XER52" s="25"/>
      <c r="XEY52" s="21"/>
      <c r="XEZ52" s="21"/>
      <c r="XFD52" s="15"/>
    </row>
    <row r="53" spans="1:1018 1025:2044 2051:3070 3077:4096 4103:5116 5122:6142 6148:7168 7174:8190 8194:9216 9220:10234 10241:11260 11267:12286 12293:13312 13319:14332 14338:15358 15364:16384" s="24" customFormat="1" ht="15" customHeight="1">
      <c r="A53" s="21" t="s">
        <v>163</v>
      </c>
      <c r="B53" s="12">
        <v>2010</v>
      </c>
      <c r="C53" s="19" t="s">
        <v>153</v>
      </c>
      <c r="D53" s="22" t="s">
        <v>86</v>
      </c>
      <c r="E53" s="19" t="s">
        <v>159</v>
      </c>
      <c r="F53" s="19" t="s">
        <v>35</v>
      </c>
      <c r="G53" s="44">
        <v>245231916.38661528</v>
      </c>
      <c r="H53" s="44">
        <v>268224380.18679258</v>
      </c>
      <c r="I53" s="19">
        <v>28</v>
      </c>
      <c r="J53" s="52" t="s">
        <v>164</v>
      </c>
      <c r="K53" s="22"/>
      <c r="L53" s="22"/>
      <c r="M53" s="22" t="s">
        <v>26</v>
      </c>
      <c r="N53" s="12"/>
      <c r="O53" s="22"/>
      <c r="P53" s="12"/>
      <c r="Q53" s="22"/>
      <c r="R53" s="22"/>
      <c r="V53" s="15"/>
      <c r="AB53" s="25"/>
      <c r="AI53" s="21"/>
      <c r="AJ53" s="21"/>
      <c r="AN53" s="15"/>
      <c r="AT53" s="25"/>
      <c r="BA53" s="21"/>
      <c r="BB53" s="21"/>
      <c r="BF53" s="15"/>
      <c r="BL53" s="25"/>
      <c r="BS53" s="21"/>
      <c r="BT53" s="21"/>
      <c r="BX53" s="15"/>
      <c r="CD53" s="25"/>
      <c r="CK53" s="21"/>
      <c r="CL53" s="21"/>
      <c r="CP53" s="15"/>
      <c r="CV53" s="25"/>
      <c r="DC53" s="21"/>
      <c r="DD53" s="21"/>
      <c r="DH53" s="15"/>
      <c r="DN53" s="25"/>
      <c r="DU53" s="21"/>
      <c r="DV53" s="21"/>
      <c r="DZ53" s="15"/>
      <c r="EF53" s="25"/>
      <c r="EM53" s="21"/>
      <c r="EN53" s="21"/>
      <c r="ER53" s="15"/>
      <c r="EX53" s="25"/>
      <c r="FE53" s="21"/>
      <c r="FF53" s="21"/>
      <c r="FJ53" s="15"/>
      <c r="FP53" s="25"/>
      <c r="FW53" s="21"/>
      <c r="FX53" s="21"/>
      <c r="GB53" s="15"/>
      <c r="GH53" s="25"/>
      <c r="GO53" s="21"/>
      <c r="GP53" s="21"/>
      <c r="GT53" s="15"/>
      <c r="GZ53" s="25"/>
      <c r="HG53" s="21"/>
      <c r="HH53" s="21"/>
      <c r="HL53" s="15"/>
      <c r="HR53" s="25"/>
      <c r="HY53" s="21"/>
      <c r="HZ53" s="21"/>
      <c r="ID53" s="15"/>
      <c r="IJ53" s="25"/>
      <c r="IQ53" s="21"/>
      <c r="IR53" s="21"/>
      <c r="IV53" s="15"/>
      <c r="JB53" s="25"/>
      <c r="JI53" s="21"/>
      <c r="JJ53" s="21"/>
      <c r="JN53" s="15"/>
      <c r="JT53" s="25"/>
      <c r="KA53" s="21"/>
      <c r="KB53" s="21"/>
      <c r="KF53" s="15"/>
      <c r="KL53" s="25"/>
      <c r="KS53" s="21"/>
      <c r="KT53" s="21"/>
      <c r="KX53" s="15"/>
      <c r="LD53" s="25"/>
      <c r="LK53" s="21"/>
      <c r="LL53" s="21"/>
      <c r="LP53" s="15"/>
      <c r="LV53" s="25"/>
      <c r="MC53" s="21"/>
      <c r="MD53" s="21"/>
      <c r="MH53" s="15"/>
      <c r="MN53" s="25"/>
      <c r="MU53" s="21"/>
      <c r="MV53" s="21"/>
      <c r="MZ53" s="15"/>
      <c r="NF53" s="25"/>
      <c r="NM53" s="21"/>
      <c r="NN53" s="21"/>
      <c r="NR53" s="15"/>
      <c r="NX53" s="25"/>
      <c r="OE53" s="21"/>
      <c r="OF53" s="21"/>
      <c r="OJ53" s="15"/>
      <c r="OP53" s="25"/>
      <c r="OW53" s="21"/>
      <c r="OX53" s="21"/>
      <c r="PB53" s="15"/>
      <c r="PH53" s="25"/>
      <c r="PO53" s="21"/>
      <c r="PP53" s="21"/>
      <c r="PT53" s="15"/>
      <c r="PZ53" s="25"/>
      <c r="QG53" s="21"/>
      <c r="QH53" s="21"/>
      <c r="QL53" s="15"/>
      <c r="QR53" s="25"/>
      <c r="QY53" s="21"/>
      <c r="QZ53" s="21"/>
      <c r="RD53" s="15"/>
      <c r="RJ53" s="25"/>
      <c r="RQ53" s="21"/>
      <c r="RR53" s="21"/>
      <c r="RV53" s="15"/>
      <c r="SB53" s="25"/>
      <c r="SI53" s="21"/>
      <c r="SJ53" s="21"/>
      <c r="SN53" s="15"/>
      <c r="ST53" s="25"/>
      <c r="TA53" s="21"/>
      <c r="TB53" s="21"/>
      <c r="TF53" s="15"/>
      <c r="TL53" s="25"/>
      <c r="TS53" s="21"/>
      <c r="TT53" s="21"/>
      <c r="TX53" s="15"/>
      <c r="UD53" s="25"/>
      <c r="UK53" s="21"/>
      <c r="UL53" s="21"/>
      <c r="UP53" s="15"/>
      <c r="UV53" s="25"/>
      <c r="VC53" s="21"/>
      <c r="VD53" s="21"/>
      <c r="VH53" s="15"/>
      <c r="VN53" s="25"/>
      <c r="VU53" s="21"/>
      <c r="VV53" s="21"/>
      <c r="VZ53" s="15"/>
      <c r="WF53" s="25"/>
      <c r="WM53" s="21"/>
      <c r="WN53" s="21"/>
      <c r="WR53" s="15"/>
      <c r="WX53" s="25"/>
      <c r="XE53" s="21"/>
      <c r="XF53" s="21"/>
      <c r="XJ53" s="15"/>
      <c r="XP53" s="25"/>
      <c r="XW53" s="21"/>
      <c r="XX53" s="21"/>
      <c r="YB53" s="15"/>
      <c r="YH53" s="25"/>
      <c r="YO53" s="21"/>
      <c r="YP53" s="21"/>
      <c r="YT53" s="15"/>
      <c r="YZ53" s="25"/>
      <c r="ZG53" s="21"/>
      <c r="ZH53" s="21"/>
      <c r="ZL53" s="15"/>
      <c r="ZR53" s="25"/>
      <c r="ZY53" s="21"/>
      <c r="ZZ53" s="21"/>
      <c r="AAD53" s="15"/>
      <c r="AAJ53" s="25"/>
      <c r="AAQ53" s="21"/>
      <c r="AAR53" s="21"/>
      <c r="AAV53" s="15"/>
      <c r="ABB53" s="25"/>
      <c r="ABI53" s="21"/>
      <c r="ABJ53" s="21"/>
      <c r="ABN53" s="15"/>
      <c r="ABT53" s="25"/>
      <c r="ACA53" s="21"/>
      <c r="ACB53" s="21"/>
      <c r="ACF53" s="15"/>
      <c r="ACL53" s="25"/>
      <c r="ACS53" s="21"/>
      <c r="ACT53" s="21"/>
      <c r="ACX53" s="15"/>
      <c r="ADD53" s="25"/>
      <c r="ADK53" s="21"/>
      <c r="ADL53" s="21"/>
      <c r="ADP53" s="15"/>
      <c r="ADV53" s="25"/>
      <c r="AEC53" s="21"/>
      <c r="AED53" s="21"/>
      <c r="AEH53" s="15"/>
      <c r="AEN53" s="25"/>
      <c r="AEU53" s="21"/>
      <c r="AEV53" s="21"/>
      <c r="AEZ53" s="15"/>
      <c r="AFF53" s="25"/>
      <c r="AFM53" s="21"/>
      <c r="AFN53" s="21"/>
      <c r="AFR53" s="15"/>
      <c r="AFX53" s="25"/>
      <c r="AGE53" s="21"/>
      <c r="AGF53" s="21"/>
      <c r="AGJ53" s="15"/>
      <c r="AGP53" s="25"/>
      <c r="AGW53" s="21"/>
      <c r="AGX53" s="21"/>
      <c r="AHB53" s="15"/>
      <c r="AHH53" s="25"/>
      <c r="AHO53" s="21"/>
      <c r="AHP53" s="21"/>
      <c r="AHT53" s="15"/>
      <c r="AHZ53" s="25"/>
      <c r="AIG53" s="21"/>
      <c r="AIH53" s="21"/>
      <c r="AIL53" s="15"/>
      <c r="AIR53" s="25"/>
      <c r="AIY53" s="21"/>
      <c r="AIZ53" s="21"/>
      <c r="AJD53" s="15"/>
      <c r="AJJ53" s="25"/>
      <c r="AJQ53" s="21"/>
      <c r="AJR53" s="21"/>
      <c r="AJV53" s="15"/>
      <c r="AKB53" s="25"/>
      <c r="AKI53" s="21"/>
      <c r="AKJ53" s="21"/>
      <c r="AKN53" s="15"/>
      <c r="AKT53" s="25"/>
      <c r="ALA53" s="21"/>
      <c r="ALB53" s="21"/>
      <c r="ALF53" s="15"/>
      <c r="ALL53" s="25"/>
      <c r="ALS53" s="21"/>
      <c r="ALT53" s="21"/>
      <c r="ALX53" s="15"/>
      <c r="AMD53" s="25"/>
      <c r="AMK53" s="21"/>
      <c r="AML53" s="21"/>
      <c r="AMP53" s="15"/>
      <c r="AMV53" s="25"/>
      <c r="ANC53" s="21"/>
      <c r="AND53" s="21"/>
      <c r="ANH53" s="15"/>
      <c r="ANN53" s="25"/>
      <c r="ANU53" s="21"/>
      <c r="ANV53" s="21"/>
      <c r="ANZ53" s="15"/>
      <c r="AOF53" s="25"/>
      <c r="AOM53" s="21"/>
      <c r="AON53" s="21"/>
      <c r="AOR53" s="15"/>
      <c r="AOX53" s="25"/>
      <c r="APE53" s="21"/>
      <c r="APF53" s="21"/>
      <c r="APJ53" s="15"/>
      <c r="APP53" s="25"/>
      <c r="APW53" s="21"/>
      <c r="APX53" s="21"/>
      <c r="AQB53" s="15"/>
      <c r="AQH53" s="25"/>
      <c r="AQO53" s="21"/>
      <c r="AQP53" s="21"/>
      <c r="AQT53" s="15"/>
      <c r="AQZ53" s="25"/>
      <c r="ARG53" s="21"/>
      <c r="ARH53" s="21"/>
      <c r="ARL53" s="15"/>
      <c r="ARR53" s="25"/>
      <c r="ARY53" s="21"/>
      <c r="ARZ53" s="21"/>
      <c r="ASD53" s="15"/>
      <c r="ASJ53" s="25"/>
      <c r="ASQ53" s="21"/>
      <c r="ASR53" s="21"/>
      <c r="ASV53" s="15"/>
      <c r="ATB53" s="25"/>
      <c r="ATI53" s="21"/>
      <c r="ATJ53" s="21"/>
      <c r="ATN53" s="15"/>
      <c r="ATT53" s="25"/>
      <c r="AUA53" s="21"/>
      <c r="AUB53" s="21"/>
      <c r="AUF53" s="15"/>
      <c r="AUL53" s="25"/>
      <c r="AUS53" s="21"/>
      <c r="AUT53" s="21"/>
      <c r="AUX53" s="15"/>
      <c r="AVD53" s="25"/>
      <c r="AVK53" s="21"/>
      <c r="AVL53" s="21"/>
      <c r="AVP53" s="15"/>
      <c r="AVV53" s="25"/>
      <c r="AWC53" s="21"/>
      <c r="AWD53" s="21"/>
      <c r="AWH53" s="15"/>
      <c r="AWN53" s="25"/>
      <c r="AWU53" s="21"/>
      <c r="AWV53" s="21"/>
      <c r="AWZ53" s="15"/>
      <c r="AXF53" s="25"/>
      <c r="AXM53" s="21"/>
      <c r="AXN53" s="21"/>
      <c r="AXR53" s="15"/>
      <c r="AXX53" s="25"/>
      <c r="AYE53" s="21"/>
      <c r="AYF53" s="21"/>
      <c r="AYJ53" s="15"/>
      <c r="AYP53" s="25"/>
      <c r="AYW53" s="21"/>
      <c r="AYX53" s="21"/>
      <c r="AZB53" s="15"/>
      <c r="AZH53" s="25"/>
      <c r="AZO53" s="21"/>
      <c r="AZP53" s="21"/>
      <c r="AZT53" s="15"/>
      <c r="AZZ53" s="25"/>
      <c r="BAG53" s="21"/>
      <c r="BAH53" s="21"/>
      <c r="BAL53" s="15"/>
      <c r="BAR53" s="25"/>
      <c r="BAY53" s="21"/>
      <c r="BAZ53" s="21"/>
      <c r="BBD53" s="15"/>
      <c r="BBJ53" s="25"/>
      <c r="BBQ53" s="21"/>
      <c r="BBR53" s="21"/>
      <c r="BBV53" s="15"/>
      <c r="BCB53" s="25"/>
      <c r="BCI53" s="21"/>
      <c r="BCJ53" s="21"/>
      <c r="BCN53" s="15"/>
      <c r="BCT53" s="25"/>
      <c r="BDA53" s="21"/>
      <c r="BDB53" s="21"/>
      <c r="BDF53" s="15"/>
      <c r="BDL53" s="25"/>
      <c r="BDS53" s="21"/>
      <c r="BDT53" s="21"/>
      <c r="BDX53" s="15"/>
      <c r="BED53" s="25"/>
      <c r="BEK53" s="21"/>
      <c r="BEL53" s="21"/>
      <c r="BEP53" s="15"/>
      <c r="BEV53" s="25"/>
      <c r="BFC53" s="21"/>
      <c r="BFD53" s="21"/>
      <c r="BFH53" s="15"/>
      <c r="BFN53" s="25"/>
      <c r="BFU53" s="21"/>
      <c r="BFV53" s="21"/>
      <c r="BFZ53" s="15"/>
      <c r="BGF53" s="25"/>
      <c r="BGM53" s="21"/>
      <c r="BGN53" s="21"/>
      <c r="BGR53" s="15"/>
      <c r="BGX53" s="25"/>
      <c r="BHE53" s="21"/>
      <c r="BHF53" s="21"/>
      <c r="BHJ53" s="15"/>
      <c r="BHP53" s="25"/>
      <c r="BHW53" s="21"/>
      <c r="BHX53" s="21"/>
      <c r="BIB53" s="15"/>
      <c r="BIH53" s="25"/>
      <c r="BIO53" s="21"/>
      <c r="BIP53" s="21"/>
      <c r="BIT53" s="15"/>
      <c r="BIZ53" s="25"/>
      <c r="BJG53" s="21"/>
      <c r="BJH53" s="21"/>
      <c r="BJL53" s="15"/>
      <c r="BJR53" s="25"/>
      <c r="BJY53" s="21"/>
      <c r="BJZ53" s="21"/>
      <c r="BKD53" s="15"/>
      <c r="BKJ53" s="25"/>
      <c r="BKQ53" s="21"/>
      <c r="BKR53" s="21"/>
      <c r="BKV53" s="15"/>
      <c r="BLB53" s="25"/>
      <c r="BLI53" s="21"/>
      <c r="BLJ53" s="21"/>
      <c r="BLN53" s="15"/>
      <c r="BLT53" s="25"/>
      <c r="BMA53" s="21"/>
      <c r="BMB53" s="21"/>
      <c r="BMF53" s="15"/>
      <c r="BML53" s="25"/>
      <c r="BMS53" s="21"/>
      <c r="BMT53" s="21"/>
      <c r="BMX53" s="15"/>
      <c r="BND53" s="25"/>
      <c r="BNK53" s="21"/>
      <c r="BNL53" s="21"/>
      <c r="BNP53" s="15"/>
      <c r="BNV53" s="25"/>
      <c r="BOC53" s="21"/>
      <c r="BOD53" s="21"/>
      <c r="BOH53" s="15"/>
      <c r="BON53" s="25"/>
      <c r="BOU53" s="21"/>
      <c r="BOV53" s="21"/>
      <c r="BOZ53" s="15"/>
      <c r="BPF53" s="25"/>
      <c r="BPM53" s="21"/>
      <c r="BPN53" s="21"/>
      <c r="BPR53" s="15"/>
      <c r="BPX53" s="25"/>
      <c r="BQE53" s="21"/>
      <c r="BQF53" s="21"/>
      <c r="BQJ53" s="15"/>
      <c r="BQP53" s="25"/>
      <c r="BQW53" s="21"/>
      <c r="BQX53" s="21"/>
      <c r="BRB53" s="15"/>
      <c r="BRH53" s="25"/>
      <c r="BRO53" s="21"/>
      <c r="BRP53" s="21"/>
      <c r="BRT53" s="15"/>
      <c r="BRZ53" s="25"/>
      <c r="BSG53" s="21"/>
      <c r="BSH53" s="21"/>
      <c r="BSL53" s="15"/>
      <c r="BSR53" s="25"/>
      <c r="BSY53" s="21"/>
      <c r="BSZ53" s="21"/>
      <c r="BTD53" s="15"/>
      <c r="BTJ53" s="25"/>
      <c r="BTQ53" s="21"/>
      <c r="BTR53" s="21"/>
      <c r="BTV53" s="15"/>
      <c r="BUB53" s="25"/>
      <c r="BUI53" s="21"/>
      <c r="BUJ53" s="21"/>
      <c r="BUN53" s="15"/>
      <c r="BUT53" s="25"/>
      <c r="BVA53" s="21"/>
      <c r="BVB53" s="21"/>
      <c r="BVF53" s="15"/>
      <c r="BVL53" s="25"/>
      <c r="BVS53" s="21"/>
      <c r="BVT53" s="21"/>
      <c r="BVX53" s="15"/>
      <c r="BWD53" s="25"/>
      <c r="BWK53" s="21"/>
      <c r="BWL53" s="21"/>
      <c r="BWP53" s="15"/>
      <c r="BWV53" s="25"/>
      <c r="BXC53" s="21"/>
      <c r="BXD53" s="21"/>
      <c r="BXH53" s="15"/>
      <c r="BXN53" s="25"/>
      <c r="BXU53" s="21"/>
      <c r="BXV53" s="21"/>
      <c r="BXZ53" s="15"/>
      <c r="BYF53" s="25"/>
      <c r="BYM53" s="21"/>
      <c r="BYN53" s="21"/>
      <c r="BYR53" s="15"/>
      <c r="BYX53" s="25"/>
      <c r="BZE53" s="21"/>
      <c r="BZF53" s="21"/>
      <c r="BZJ53" s="15"/>
      <c r="BZP53" s="25"/>
      <c r="BZW53" s="21"/>
      <c r="BZX53" s="21"/>
      <c r="CAB53" s="15"/>
      <c r="CAH53" s="25"/>
      <c r="CAO53" s="21"/>
      <c r="CAP53" s="21"/>
      <c r="CAT53" s="15"/>
      <c r="CAZ53" s="25"/>
      <c r="CBG53" s="21"/>
      <c r="CBH53" s="21"/>
      <c r="CBL53" s="15"/>
      <c r="CBR53" s="25"/>
      <c r="CBY53" s="21"/>
      <c r="CBZ53" s="21"/>
      <c r="CCD53" s="15"/>
      <c r="CCJ53" s="25"/>
      <c r="CCQ53" s="21"/>
      <c r="CCR53" s="21"/>
      <c r="CCV53" s="15"/>
      <c r="CDB53" s="25"/>
      <c r="CDI53" s="21"/>
      <c r="CDJ53" s="21"/>
      <c r="CDN53" s="15"/>
      <c r="CDT53" s="25"/>
      <c r="CEA53" s="21"/>
      <c r="CEB53" s="21"/>
      <c r="CEF53" s="15"/>
      <c r="CEL53" s="25"/>
      <c r="CES53" s="21"/>
      <c r="CET53" s="21"/>
      <c r="CEX53" s="15"/>
      <c r="CFD53" s="25"/>
      <c r="CFK53" s="21"/>
      <c r="CFL53" s="21"/>
      <c r="CFP53" s="15"/>
      <c r="CFV53" s="25"/>
      <c r="CGC53" s="21"/>
      <c r="CGD53" s="21"/>
      <c r="CGH53" s="15"/>
      <c r="CGN53" s="25"/>
      <c r="CGU53" s="21"/>
      <c r="CGV53" s="21"/>
      <c r="CGZ53" s="15"/>
      <c r="CHF53" s="25"/>
      <c r="CHM53" s="21"/>
      <c r="CHN53" s="21"/>
      <c r="CHR53" s="15"/>
      <c r="CHX53" s="25"/>
      <c r="CIE53" s="21"/>
      <c r="CIF53" s="21"/>
      <c r="CIJ53" s="15"/>
      <c r="CIP53" s="25"/>
      <c r="CIW53" s="21"/>
      <c r="CIX53" s="21"/>
      <c r="CJB53" s="15"/>
      <c r="CJH53" s="25"/>
      <c r="CJO53" s="21"/>
      <c r="CJP53" s="21"/>
      <c r="CJT53" s="15"/>
      <c r="CJZ53" s="25"/>
      <c r="CKG53" s="21"/>
      <c r="CKH53" s="21"/>
      <c r="CKL53" s="15"/>
      <c r="CKR53" s="25"/>
      <c r="CKY53" s="21"/>
      <c r="CKZ53" s="21"/>
      <c r="CLD53" s="15"/>
      <c r="CLJ53" s="25"/>
      <c r="CLQ53" s="21"/>
      <c r="CLR53" s="21"/>
      <c r="CLV53" s="15"/>
      <c r="CMB53" s="25"/>
      <c r="CMI53" s="21"/>
      <c r="CMJ53" s="21"/>
      <c r="CMN53" s="15"/>
      <c r="CMT53" s="25"/>
      <c r="CNA53" s="21"/>
      <c r="CNB53" s="21"/>
      <c r="CNF53" s="15"/>
      <c r="CNL53" s="25"/>
      <c r="CNS53" s="21"/>
      <c r="CNT53" s="21"/>
      <c r="CNX53" s="15"/>
      <c r="COD53" s="25"/>
      <c r="COK53" s="21"/>
      <c r="COL53" s="21"/>
      <c r="COP53" s="15"/>
      <c r="COV53" s="25"/>
      <c r="CPC53" s="21"/>
      <c r="CPD53" s="21"/>
      <c r="CPH53" s="15"/>
      <c r="CPN53" s="25"/>
      <c r="CPU53" s="21"/>
      <c r="CPV53" s="21"/>
      <c r="CPZ53" s="15"/>
      <c r="CQF53" s="25"/>
      <c r="CQM53" s="21"/>
      <c r="CQN53" s="21"/>
      <c r="CQR53" s="15"/>
      <c r="CQX53" s="25"/>
      <c r="CRE53" s="21"/>
      <c r="CRF53" s="21"/>
      <c r="CRJ53" s="15"/>
      <c r="CRP53" s="25"/>
      <c r="CRW53" s="21"/>
      <c r="CRX53" s="21"/>
      <c r="CSB53" s="15"/>
      <c r="CSH53" s="25"/>
      <c r="CSO53" s="21"/>
      <c r="CSP53" s="21"/>
      <c r="CST53" s="15"/>
      <c r="CSZ53" s="25"/>
      <c r="CTG53" s="21"/>
      <c r="CTH53" s="21"/>
      <c r="CTL53" s="15"/>
      <c r="CTR53" s="25"/>
      <c r="CTY53" s="21"/>
      <c r="CTZ53" s="21"/>
      <c r="CUD53" s="15"/>
      <c r="CUJ53" s="25"/>
      <c r="CUQ53" s="21"/>
      <c r="CUR53" s="21"/>
      <c r="CUV53" s="15"/>
      <c r="CVB53" s="25"/>
      <c r="CVI53" s="21"/>
      <c r="CVJ53" s="21"/>
      <c r="CVN53" s="15"/>
      <c r="CVT53" s="25"/>
      <c r="CWA53" s="21"/>
      <c r="CWB53" s="21"/>
      <c r="CWF53" s="15"/>
      <c r="CWL53" s="25"/>
      <c r="CWS53" s="21"/>
      <c r="CWT53" s="21"/>
      <c r="CWX53" s="15"/>
      <c r="CXD53" s="25"/>
      <c r="CXK53" s="21"/>
      <c r="CXL53" s="21"/>
      <c r="CXP53" s="15"/>
      <c r="CXV53" s="25"/>
      <c r="CYC53" s="21"/>
      <c r="CYD53" s="21"/>
      <c r="CYH53" s="15"/>
      <c r="CYN53" s="25"/>
      <c r="CYU53" s="21"/>
      <c r="CYV53" s="21"/>
      <c r="CYZ53" s="15"/>
      <c r="CZF53" s="25"/>
      <c r="CZM53" s="21"/>
      <c r="CZN53" s="21"/>
      <c r="CZR53" s="15"/>
      <c r="CZX53" s="25"/>
      <c r="DAE53" s="21"/>
      <c r="DAF53" s="21"/>
      <c r="DAJ53" s="15"/>
      <c r="DAP53" s="25"/>
      <c r="DAW53" s="21"/>
      <c r="DAX53" s="21"/>
      <c r="DBB53" s="15"/>
      <c r="DBH53" s="25"/>
      <c r="DBO53" s="21"/>
      <c r="DBP53" s="21"/>
      <c r="DBT53" s="15"/>
      <c r="DBZ53" s="25"/>
      <c r="DCG53" s="21"/>
      <c r="DCH53" s="21"/>
      <c r="DCL53" s="15"/>
      <c r="DCR53" s="25"/>
      <c r="DCY53" s="21"/>
      <c r="DCZ53" s="21"/>
      <c r="DDD53" s="15"/>
      <c r="DDJ53" s="25"/>
      <c r="DDQ53" s="21"/>
      <c r="DDR53" s="21"/>
      <c r="DDV53" s="15"/>
      <c r="DEB53" s="25"/>
      <c r="DEI53" s="21"/>
      <c r="DEJ53" s="21"/>
      <c r="DEN53" s="15"/>
      <c r="DET53" s="25"/>
      <c r="DFA53" s="21"/>
      <c r="DFB53" s="21"/>
      <c r="DFF53" s="15"/>
      <c r="DFL53" s="25"/>
      <c r="DFS53" s="21"/>
      <c r="DFT53" s="21"/>
      <c r="DFX53" s="15"/>
      <c r="DGD53" s="25"/>
      <c r="DGK53" s="21"/>
      <c r="DGL53" s="21"/>
      <c r="DGP53" s="15"/>
      <c r="DGV53" s="25"/>
      <c r="DHC53" s="21"/>
      <c r="DHD53" s="21"/>
      <c r="DHH53" s="15"/>
      <c r="DHN53" s="25"/>
      <c r="DHU53" s="21"/>
      <c r="DHV53" s="21"/>
      <c r="DHZ53" s="15"/>
      <c r="DIF53" s="25"/>
      <c r="DIM53" s="21"/>
      <c r="DIN53" s="21"/>
      <c r="DIR53" s="15"/>
      <c r="DIX53" s="25"/>
      <c r="DJE53" s="21"/>
      <c r="DJF53" s="21"/>
      <c r="DJJ53" s="15"/>
      <c r="DJP53" s="25"/>
      <c r="DJW53" s="21"/>
      <c r="DJX53" s="21"/>
      <c r="DKB53" s="15"/>
      <c r="DKH53" s="25"/>
      <c r="DKO53" s="21"/>
      <c r="DKP53" s="21"/>
      <c r="DKT53" s="15"/>
      <c r="DKZ53" s="25"/>
      <c r="DLG53" s="21"/>
      <c r="DLH53" s="21"/>
      <c r="DLL53" s="15"/>
      <c r="DLR53" s="25"/>
      <c r="DLY53" s="21"/>
      <c r="DLZ53" s="21"/>
      <c r="DMD53" s="15"/>
      <c r="DMJ53" s="25"/>
      <c r="DMQ53" s="21"/>
      <c r="DMR53" s="21"/>
      <c r="DMV53" s="15"/>
      <c r="DNB53" s="25"/>
      <c r="DNI53" s="21"/>
      <c r="DNJ53" s="21"/>
      <c r="DNN53" s="15"/>
      <c r="DNT53" s="25"/>
      <c r="DOA53" s="21"/>
      <c r="DOB53" s="21"/>
      <c r="DOF53" s="15"/>
      <c r="DOL53" s="25"/>
      <c r="DOS53" s="21"/>
      <c r="DOT53" s="21"/>
      <c r="DOX53" s="15"/>
      <c r="DPD53" s="25"/>
      <c r="DPK53" s="21"/>
      <c r="DPL53" s="21"/>
      <c r="DPP53" s="15"/>
      <c r="DPV53" s="25"/>
      <c r="DQC53" s="21"/>
      <c r="DQD53" s="21"/>
      <c r="DQH53" s="15"/>
      <c r="DQN53" s="25"/>
      <c r="DQU53" s="21"/>
      <c r="DQV53" s="21"/>
      <c r="DQZ53" s="15"/>
      <c r="DRF53" s="25"/>
      <c r="DRM53" s="21"/>
      <c r="DRN53" s="21"/>
      <c r="DRR53" s="15"/>
      <c r="DRX53" s="25"/>
      <c r="DSE53" s="21"/>
      <c r="DSF53" s="21"/>
      <c r="DSJ53" s="15"/>
      <c r="DSP53" s="25"/>
      <c r="DSW53" s="21"/>
      <c r="DSX53" s="21"/>
      <c r="DTB53" s="15"/>
      <c r="DTH53" s="25"/>
      <c r="DTO53" s="21"/>
      <c r="DTP53" s="21"/>
      <c r="DTT53" s="15"/>
      <c r="DTZ53" s="25"/>
      <c r="DUG53" s="21"/>
      <c r="DUH53" s="21"/>
      <c r="DUL53" s="15"/>
      <c r="DUR53" s="25"/>
      <c r="DUY53" s="21"/>
      <c r="DUZ53" s="21"/>
      <c r="DVD53" s="15"/>
      <c r="DVJ53" s="25"/>
      <c r="DVQ53" s="21"/>
      <c r="DVR53" s="21"/>
      <c r="DVV53" s="15"/>
      <c r="DWB53" s="25"/>
      <c r="DWI53" s="21"/>
      <c r="DWJ53" s="21"/>
      <c r="DWN53" s="15"/>
      <c r="DWT53" s="25"/>
      <c r="DXA53" s="21"/>
      <c r="DXB53" s="21"/>
      <c r="DXF53" s="15"/>
      <c r="DXL53" s="25"/>
      <c r="DXS53" s="21"/>
      <c r="DXT53" s="21"/>
      <c r="DXX53" s="15"/>
      <c r="DYD53" s="25"/>
      <c r="DYK53" s="21"/>
      <c r="DYL53" s="21"/>
      <c r="DYP53" s="15"/>
      <c r="DYV53" s="25"/>
      <c r="DZC53" s="21"/>
      <c r="DZD53" s="21"/>
      <c r="DZH53" s="15"/>
      <c r="DZN53" s="25"/>
      <c r="DZU53" s="21"/>
      <c r="DZV53" s="21"/>
      <c r="DZZ53" s="15"/>
      <c r="EAF53" s="25"/>
      <c r="EAM53" s="21"/>
      <c r="EAN53" s="21"/>
      <c r="EAR53" s="15"/>
      <c r="EAX53" s="25"/>
      <c r="EBE53" s="21"/>
      <c r="EBF53" s="21"/>
      <c r="EBJ53" s="15"/>
      <c r="EBP53" s="25"/>
      <c r="EBW53" s="21"/>
      <c r="EBX53" s="21"/>
      <c r="ECB53" s="15"/>
      <c r="ECH53" s="25"/>
      <c r="ECO53" s="21"/>
      <c r="ECP53" s="21"/>
      <c r="ECT53" s="15"/>
      <c r="ECZ53" s="25"/>
      <c r="EDG53" s="21"/>
      <c r="EDH53" s="21"/>
      <c r="EDL53" s="15"/>
      <c r="EDR53" s="25"/>
      <c r="EDY53" s="21"/>
      <c r="EDZ53" s="21"/>
      <c r="EED53" s="15"/>
      <c r="EEJ53" s="25"/>
      <c r="EEQ53" s="21"/>
      <c r="EER53" s="21"/>
      <c r="EEV53" s="15"/>
      <c r="EFB53" s="25"/>
      <c r="EFI53" s="21"/>
      <c r="EFJ53" s="21"/>
      <c r="EFN53" s="15"/>
      <c r="EFT53" s="25"/>
      <c r="EGA53" s="21"/>
      <c r="EGB53" s="21"/>
      <c r="EGF53" s="15"/>
      <c r="EGL53" s="25"/>
      <c r="EGS53" s="21"/>
      <c r="EGT53" s="21"/>
      <c r="EGX53" s="15"/>
      <c r="EHD53" s="25"/>
      <c r="EHK53" s="21"/>
      <c r="EHL53" s="21"/>
      <c r="EHP53" s="15"/>
      <c r="EHV53" s="25"/>
      <c r="EIC53" s="21"/>
      <c r="EID53" s="21"/>
      <c r="EIH53" s="15"/>
      <c r="EIN53" s="25"/>
      <c r="EIU53" s="21"/>
      <c r="EIV53" s="21"/>
      <c r="EIZ53" s="15"/>
      <c r="EJF53" s="25"/>
      <c r="EJM53" s="21"/>
      <c r="EJN53" s="21"/>
      <c r="EJR53" s="15"/>
      <c r="EJX53" s="25"/>
      <c r="EKE53" s="21"/>
      <c r="EKF53" s="21"/>
      <c r="EKJ53" s="15"/>
      <c r="EKP53" s="25"/>
      <c r="EKW53" s="21"/>
      <c r="EKX53" s="21"/>
      <c r="ELB53" s="15"/>
      <c r="ELH53" s="25"/>
      <c r="ELO53" s="21"/>
      <c r="ELP53" s="21"/>
      <c r="ELT53" s="15"/>
      <c r="ELZ53" s="25"/>
      <c r="EMG53" s="21"/>
      <c r="EMH53" s="21"/>
      <c r="EML53" s="15"/>
      <c r="EMR53" s="25"/>
      <c r="EMY53" s="21"/>
      <c r="EMZ53" s="21"/>
      <c r="END53" s="15"/>
      <c r="ENJ53" s="25"/>
      <c r="ENQ53" s="21"/>
      <c r="ENR53" s="21"/>
      <c r="ENV53" s="15"/>
      <c r="EOB53" s="25"/>
      <c r="EOI53" s="21"/>
      <c r="EOJ53" s="21"/>
      <c r="EON53" s="15"/>
      <c r="EOT53" s="25"/>
      <c r="EPA53" s="21"/>
      <c r="EPB53" s="21"/>
      <c r="EPF53" s="15"/>
      <c r="EPL53" s="25"/>
      <c r="EPS53" s="21"/>
      <c r="EPT53" s="21"/>
      <c r="EPX53" s="15"/>
      <c r="EQD53" s="25"/>
      <c r="EQK53" s="21"/>
      <c r="EQL53" s="21"/>
      <c r="EQP53" s="15"/>
      <c r="EQV53" s="25"/>
      <c r="ERC53" s="21"/>
      <c r="ERD53" s="21"/>
      <c r="ERH53" s="15"/>
      <c r="ERN53" s="25"/>
      <c r="ERU53" s="21"/>
      <c r="ERV53" s="21"/>
      <c r="ERZ53" s="15"/>
      <c r="ESF53" s="25"/>
      <c r="ESM53" s="21"/>
      <c r="ESN53" s="21"/>
      <c r="ESR53" s="15"/>
      <c r="ESX53" s="25"/>
      <c r="ETE53" s="21"/>
      <c r="ETF53" s="21"/>
      <c r="ETJ53" s="15"/>
      <c r="ETP53" s="25"/>
      <c r="ETW53" s="21"/>
      <c r="ETX53" s="21"/>
      <c r="EUB53" s="15"/>
      <c r="EUH53" s="25"/>
      <c r="EUO53" s="21"/>
      <c r="EUP53" s="21"/>
      <c r="EUT53" s="15"/>
      <c r="EUZ53" s="25"/>
      <c r="EVG53" s="21"/>
      <c r="EVH53" s="21"/>
      <c r="EVL53" s="15"/>
      <c r="EVR53" s="25"/>
      <c r="EVY53" s="21"/>
      <c r="EVZ53" s="21"/>
      <c r="EWD53" s="15"/>
      <c r="EWJ53" s="25"/>
      <c r="EWQ53" s="21"/>
      <c r="EWR53" s="21"/>
      <c r="EWV53" s="15"/>
      <c r="EXB53" s="25"/>
      <c r="EXI53" s="21"/>
      <c r="EXJ53" s="21"/>
      <c r="EXN53" s="15"/>
      <c r="EXT53" s="25"/>
      <c r="EYA53" s="21"/>
      <c r="EYB53" s="21"/>
      <c r="EYF53" s="15"/>
      <c r="EYL53" s="25"/>
      <c r="EYS53" s="21"/>
      <c r="EYT53" s="21"/>
      <c r="EYX53" s="15"/>
      <c r="EZD53" s="25"/>
      <c r="EZK53" s="21"/>
      <c r="EZL53" s="21"/>
      <c r="EZP53" s="15"/>
      <c r="EZV53" s="25"/>
      <c r="FAC53" s="21"/>
      <c r="FAD53" s="21"/>
      <c r="FAH53" s="15"/>
      <c r="FAN53" s="25"/>
      <c r="FAU53" s="21"/>
      <c r="FAV53" s="21"/>
      <c r="FAZ53" s="15"/>
      <c r="FBF53" s="25"/>
      <c r="FBM53" s="21"/>
      <c r="FBN53" s="21"/>
      <c r="FBR53" s="15"/>
      <c r="FBX53" s="25"/>
      <c r="FCE53" s="21"/>
      <c r="FCF53" s="21"/>
      <c r="FCJ53" s="15"/>
      <c r="FCP53" s="25"/>
      <c r="FCW53" s="21"/>
      <c r="FCX53" s="21"/>
      <c r="FDB53" s="15"/>
      <c r="FDH53" s="25"/>
      <c r="FDO53" s="21"/>
      <c r="FDP53" s="21"/>
      <c r="FDT53" s="15"/>
      <c r="FDZ53" s="25"/>
      <c r="FEG53" s="21"/>
      <c r="FEH53" s="21"/>
      <c r="FEL53" s="15"/>
      <c r="FER53" s="25"/>
      <c r="FEY53" s="21"/>
      <c r="FEZ53" s="21"/>
      <c r="FFD53" s="15"/>
      <c r="FFJ53" s="25"/>
      <c r="FFQ53" s="21"/>
      <c r="FFR53" s="21"/>
      <c r="FFV53" s="15"/>
      <c r="FGB53" s="25"/>
      <c r="FGI53" s="21"/>
      <c r="FGJ53" s="21"/>
      <c r="FGN53" s="15"/>
      <c r="FGT53" s="25"/>
      <c r="FHA53" s="21"/>
      <c r="FHB53" s="21"/>
      <c r="FHF53" s="15"/>
      <c r="FHL53" s="25"/>
      <c r="FHS53" s="21"/>
      <c r="FHT53" s="21"/>
      <c r="FHX53" s="15"/>
      <c r="FID53" s="25"/>
      <c r="FIK53" s="21"/>
      <c r="FIL53" s="21"/>
      <c r="FIP53" s="15"/>
      <c r="FIV53" s="25"/>
      <c r="FJC53" s="21"/>
      <c r="FJD53" s="21"/>
      <c r="FJH53" s="15"/>
      <c r="FJN53" s="25"/>
      <c r="FJU53" s="21"/>
      <c r="FJV53" s="21"/>
      <c r="FJZ53" s="15"/>
      <c r="FKF53" s="25"/>
      <c r="FKM53" s="21"/>
      <c r="FKN53" s="21"/>
      <c r="FKR53" s="15"/>
      <c r="FKX53" s="25"/>
      <c r="FLE53" s="21"/>
      <c r="FLF53" s="21"/>
      <c r="FLJ53" s="15"/>
      <c r="FLP53" s="25"/>
      <c r="FLW53" s="21"/>
      <c r="FLX53" s="21"/>
      <c r="FMB53" s="15"/>
      <c r="FMH53" s="25"/>
      <c r="FMO53" s="21"/>
      <c r="FMP53" s="21"/>
      <c r="FMT53" s="15"/>
      <c r="FMZ53" s="25"/>
      <c r="FNG53" s="21"/>
      <c r="FNH53" s="21"/>
      <c r="FNL53" s="15"/>
      <c r="FNR53" s="25"/>
      <c r="FNY53" s="21"/>
      <c r="FNZ53" s="21"/>
      <c r="FOD53" s="15"/>
      <c r="FOJ53" s="25"/>
      <c r="FOQ53" s="21"/>
      <c r="FOR53" s="21"/>
      <c r="FOV53" s="15"/>
      <c r="FPB53" s="25"/>
      <c r="FPI53" s="21"/>
      <c r="FPJ53" s="21"/>
      <c r="FPN53" s="15"/>
      <c r="FPT53" s="25"/>
      <c r="FQA53" s="21"/>
      <c r="FQB53" s="21"/>
      <c r="FQF53" s="15"/>
      <c r="FQL53" s="25"/>
      <c r="FQS53" s="21"/>
      <c r="FQT53" s="21"/>
      <c r="FQX53" s="15"/>
      <c r="FRD53" s="25"/>
      <c r="FRK53" s="21"/>
      <c r="FRL53" s="21"/>
      <c r="FRP53" s="15"/>
      <c r="FRV53" s="25"/>
      <c r="FSC53" s="21"/>
      <c r="FSD53" s="21"/>
      <c r="FSH53" s="15"/>
      <c r="FSN53" s="25"/>
      <c r="FSU53" s="21"/>
      <c r="FSV53" s="21"/>
      <c r="FSZ53" s="15"/>
      <c r="FTF53" s="25"/>
      <c r="FTM53" s="21"/>
      <c r="FTN53" s="21"/>
      <c r="FTR53" s="15"/>
      <c r="FTX53" s="25"/>
      <c r="FUE53" s="21"/>
      <c r="FUF53" s="21"/>
      <c r="FUJ53" s="15"/>
      <c r="FUP53" s="25"/>
      <c r="FUW53" s="21"/>
      <c r="FUX53" s="21"/>
      <c r="FVB53" s="15"/>
      <c r="FVH53" s="25"/>
      <c r="FVO53" s="21"/>
      <c r="FVP53" s="21"/>
      <c r="FVT53" s="15"/>
      <c r="FVZ53" s="25"/>
      <c r="FWG53" s="21"/>
      <c r="FWH53" s="21"/>
      <c r="FWL53" s="15"/>
      <c r="FWR53" s="25"/>
      <c r="FWY53" s="21"/>
      <c r="FWZ53" s="21"/>
      <c r="FXD53" s="15"/>
      <c r="FXJ53" s="25"/>
      <c r="FXQ53" s="21"/>
      <c r="FXR53" s="21"/>
      <c r="FXV53" s="15"/>
      <c r="FYB53" s="25"/>
      <c r="FYI53" s="21"/>
      <c r="FYJ53" s="21"/>
      <c r="FYN53" s="15"/>
      <c r="FYT53" s="25"/>
      <c r="FZA53" s="21"/>
      <c r="FZB53" s="21"/>
      <c r="FZF53" s="15"/>
      <c r="FZL53" s="25"/>
      <c r="FZS53" s="21"/>
      <c r="FZT53" s="21"/>
      <c r="FZX53" s="15"/>
      <c r="GAD53" s="25"/>
      <c r="GAK53" s="21"/>
      <c r="GAL53" s="21"/>
      <c r="GAP53" s="15"/>
      <c r="GAV53" s="25"/>
      <c r="GBC53" s="21"/>
      <c r="GBD53" s="21"/>
      <c r="GBH53" s="15"/>
      <c r="GBN53" s="25"/>
      <c r="GBU53" s="21"/>
      <c r="GBV53" s="21"/>
      <c r="GBZ53" s="15"/>
      <c r="GCF53" s="25"/>
      <c r="GCM53" s="21"/>
      <c r="GCN53" s="21"/>
      <c r="GCR53" s="15"/>
      <c r="GCX53" s="25"/>
      <c r="GDE53" s="21"/>
      <c r="GDF53" s="21"/>
      <c r="GDJ53" s="15"/>
      <c r="GDP53" s="25"/>
      <c r="GDW53" s="21"/>
      <c r="GDX53" s="21"/>
      <c r="GEB53" s="15"/>
      <c r="GEH53" s="25"/>
      <c r="GEO53" s="21"/>
      <c r="GEP53" s="21"/>
      <c r="GET53" s="15"/>
      <c r="GEZ53" s="25"/>
      <c r="GFG53" s="21"/>
      <c r="GFH53" s="21"/>
      <c r="GFL53" s="15"/>
      <c r="GFR53" s="25"/>
      <c r="GFY53" s="21"/>
      <c r="GFZ53" s="21"/>
      <c r="GGD53" s="15"/>
      <c r="GGJ53" s="25"/>
      <c r="GGQ53" s="21"/>
      <c r="GGR53" s="21"/>
      <c r="GGV53" s="15"/>
      <c r="GHB53" s="25"/>
      <c r="GHI53" s="21"/>
      <c r="GHJ53" s="21"/>
      <c r="GHN53" s="15"/>
      <c r="GHT53" s="25"/>
      <c r="GIA53" s="21"/>
      <c r="GIB53" s="21"/>
      <c r="GIF53" s="15"/>
      <c r="GIL53" s="25"/>
      <c r="GIS53" s="21"/>
      <c r="GIT53" s="21"/>
      <c r="GIX53" s="15"/>
      <c r="GJD53" s="25"/>
      <c r="GJK53" s="21"/>
      <c r="GJL53" s="21"/>
      <c r="GJP53" s="15"/>
      <c r="GJV53" s="25"/>
      <c r="GKC53" s="21"/>
      <c r="GKD53" s="21"/>
      <c r="GKH53" s="15"/>
      <c r="GKN53" s="25"/>
      <c r="GKU53" s="21"/>
      <c r="GKV53" s="21"/>
      <c r="GKZ53" s="15"/>
      <c r="GLF53" s="25"/>
      <c r="GLM53" s="21"/>
      <c r="GLN53" s="21"/>
      <c r="GLR53" s="15"/>
      <c r="GLX53" s="25"/>
      <c r="GME53" s="21"/>
      <c r="GMF53" s="21"/>
      <c r="GMJ53" s="15"/>
      <c r="GMP53" s="25"/>
      <c r="GMW53" s="21"/>
      <c r="GMX53" s="21"/>
      <c r="GNB53" s="15"/>
      <c r="GNH53" s="25"/>
      <c r="GNO53" s="21"/>
      <c r="GNP53" s="21"/>
      <c r="GNT53" s="15"/>
      <c r="GNZ53" s="25"/>
      <c r="GOG53" s="21"/>
      <c r="GOH53" s="21"/>
      <c r="GOL53" s="15"/>
      <c r="GOR53" s="25"/>
      <c r="GOY53" s="21"/>
      <c r="GOZ53" s="21"/>
      <c r="GPD53" s="15"/>
      <c r="GPJ53" s="25"/>
      <c r="GPQ53" s="21"/>
      <c r="GPR53" s="21"/>
      <c r="GPV53" s="15"/>
      <c r="GQB53" s="25"/>
      <c r="GQI53" s="21"/>
      <c r="GQJ53" s="21"/>
      <c r="GQN53" s="15"/>
      <c r="GQT53" s="25"/>
      <c r="GRA53" s="21"/>
      <c r="GRB53" s="21"/>
      <c r="GRF53" s="15"/>
      <c r="GRL53" s="25"/>
      <c r="GRS53" s="21"/>
      <c r="GRT53" s="21"/>
      <c r="GRX53" s="15"/>
      <c r="GSD53" s="25"/>
      <c r="GSK53" s="21"/>
      <c r="GSL53" s="21"/>
      <c r="GSP53" s="15"/>
      <c r="GSV53" s="25"/>
      <c r="GTC53" s="21"/>
      <c r="GTD53" s="21"/>
      <c r="GTH53" s="15"/>
      <c r="GTN53" s="25"/>
      <c r="GTU53" s="21"/>
      <c r="GTV53" s="21"/>
      <c r="GTZ53" s="15"/>
      <c r="GUF53" s="25"/>
      <c r="GUM53" s="21"/>
      <c r="GUN53" s="21"/>
      <c r="GUR53" s="15"/>
      <c r="GUX53" s="25"/>
      <c r="GVE53" s="21"/>
      <c r="GVF53" s="21"/>
      <c r="GVJ53" s="15"/>
      <c r="GVP53" s="25"/>
      <c r="GVW53" s="21"/>
      <c r="GVX53" s="21"/>
      <c r="GWB53" s="15"/>
      <c r="GWH53" s="25"/>
      <c r="GWO53" s="21"/>
      <c r="GWP53" s="21"/>
      <c r="GWT53" s="15"/>
      <c r="GWZ53" s="25"/>
      <c r="GXG53" s="21"/>
      <c r="GXH53" s="21"/>
      <c r="GXL53" s="15"/>
      <c r="GXR53" s="25"/>
      <c r="GXY53" s="21"/>
      <c r="GXZ53" s="21"/>
      <c r="GYD53" s="15"/>
      <c r="GYJ53" s="25"/>
      <c r="GYQ53" s="21"/>
      <c r="GYR53" s="21"/>
      <c r="GYV53" s="15"/>
      <c r="GZB53" s="25"/>
      <c r="GZI53" s="21"/>
      <c r="GZJ53" s="21"/>
      <c r="GZN53" s="15"/>
      <c r="GZT53" s="25"/>
      <c r="HAA53" s="21"/>
      <c r="HAB53" s="21"/>
      <c r="HAF53" s="15"/>
      <c r="HAL53" s="25"/>
      <c r="HAS53" s="21"/>
      <c r="HAT53" s="21"/>
      <c r="HAX53" s="15"/>
      <c r="HBD53" s="25"/>
      <c r="HBK53" s="21"/>
      <c r="HBL53" s="21"/>
      <c r="HBP53" s="15"/>
      <c r="HBV53" s="25"/>
      <c r="HCC53" s="21"/>
      <c r="HCD53" s="21"/>
      <c r="HCH53" s="15"/>
      <c r="HCN53" s="25"/>
      <c r="HCU53" s="21"/>
      <c r="HCV53" s="21"/>
      <c r="HCZ53" s="15"/>
      <c r="HDF53" s="25"/>
      <c r="HDM53" s="21"/>
      <c r="HDN53" s="21"/>
      <c r="HDR53" s="15"/>
      <c r="HDX53" s="25"/>
      <c r="HEE53" s="21"/>
      <c r="HEF53" s="21"/>
      <c r="HEJ53" s="15"/>
      <c r="HEP53" s="25"/>
      <c r="HEW53" s="21"/>
      <c r="HEX53" s="21"/>
      <c r="HFB53" s="15"/>
      <c r="HFH53" s="25"/>
      <c r="HFO53" s="21"/>
      <c r="HFP53" s="21"/>
      <c r="HFT53" s="15"/>
      <c r="HFZ53" s="25"/>
      <c r="HGG53" s="21"/>
      <c r="HGH53" s="21"/>
      <c r="HGL53" s="15"/>
      <c r="HGR53" s="25"/>
      <c r="HGY53" s="21"/>
      <c r="HGZ53" s="21"/>
      <c r="HHD53" s="15"/>
      <c r="HHJ53" s="25"/>
      <c r="HHQ53" s="21"/>
      <c r="HHR53" s="21"/>
      <c r="HHV53" s="15"/>
      <c r="HIB53" s="25"/>
      <c r="HII53" s="21"/>
      <c r="HIJ53" s="21"/>
      <c r="HIN53" s="15"/>
      <c r="HIT53" s="25"/>
      <c r="HJA53" s="21"/>
      <c r="HJB53" s="21"/>
      <c r="HJF53" s="15"/>
      <c r="HJL53" s="25"/>
      <c r="HJS53" s="21"/>
      <c r="HJT53" s="21"/>
      <c r="HJX53" s="15"/>
      <c r="HKD53" s="25"/>
      <c r="HKK53" s="21"/>
      <c r="HKL53" s="21"/>
      <c r="HKP53" s="15"/>
      <c r="HKV53" s="25"/>
      <c r="HLC53" s="21"/>
      <c r="HLD53" s="21"/>
      <c r="HLH53" s="15"/>
      <c r="HLN53" s="25"/>
      <c r="HLU53" s="21"/>
      <c r="HLV53" s="21"/>
      <c r="HLZ53" s="15"/>
      <c r="HMF53" s="25"/>
      <c r="HMM53" s="21"/>
      <c r="HMN53" s="21"/>
      <c r="HMR53" s="15"/>
      <c r="HMX53" s="25"/>
      <c r="HNE53" s="21"/>
      <c r="HNF53" s="21"/>
      <c r="HNJ53" s="15"/>
      <c r="HNP53" s="25"/>
      <c r="HNW53" s="21"/>
      <c r="HNX53" s="21"/>
      <c r="HOB53" s="15"/>
      <c r="HOH53" s="25"/>
      <c r="HOO53" s="21"/>
      <c r="HOP53" s="21"/>
      <c r="HOT53" s="15"/>
      <c r="HOZ53" s="25"/>
      <c r="HPG53" s="21"/>
      <c r="HPH53" s="21"/>
      <c r="HPL53" s="15"/>
      <c r="HPR53" s="25"/>
      <c r="HPY53" s="21"/>
      <c r="HPZ53" s="21"/>
      <c r="HQD53" s="15"/>
      <c r="HQJ53" s="25"/>
      <c r="HQQ53" s="21"/>
      <c r="HQR53" s="21"/>
      <c r="HQV53" s="15"/>
      <c r="HRB53" s="25"/>
      <c r="HRI53" s="21"/>
      <c r="HRJ53" s="21"/>
      <c r="HRN53" s="15"/>
      <c r="HRT53" s="25"/>
      <c r="HSA53" s="21"/>
      <c r="HSB53" s="21"/>
      <c r="HSF53" s="15"/>
      <c r="HSL53" s="25"/>
      <c r="HSS53" s="21"/>
      <c r="HST53" s="21"/>
      <c r="HSX53" s="15"/>
      <c r="HTD53" s="25"/>
      <c r="HTK53" s="21"/>
      <c r="HTL53" s="21"/>
      <c r="HTP53" s="15"/>
      <c r="HTV53" s="25"/>
      <c r="HUC53" s="21"/>
      <c r="HUD53" s="21"/>
      <c r="HUH53" s="15"/>
      <c r="HUN53" s="25"/>
      <c r="HUU53" s="21"/>
      <c r="HUV53" s="21"/>
      <c r="HUZ53" s="15"/>
      <c r="HVF53" s="25"/>
      <c r="HVM53" s="21"/>
      <c r="HVN53" s="21"/>
      <c r="HVR53" s="15"/>
      <c r="HVX53" s="25"/>
      <c r="HWE53" s="21"/>
      <c r="HWF53" s="21"/>
      <c r="HWJ53" s="15"/>
      <c r="HWP53" s="25"/>
      <c r="HWW53" s="21"/>
      <c r="HWX53" s="21"/>
      <c r="HXB53" s="15"/>
      <c r="HXH53" s="25"/>
      <c r="HXO53" s="21"/>
      <c r="HXP53" s="21"/>
      <c r="HXT53" s="15"/>
      <c r="HXZ53" s="25"/>
      <c r="HYG53" s="21"/>
      <c r="HYH53" s="21"/>
      <c r="HYL53" s="15"/>
      <c r="HYR53" s="25"/>
      <c r="HYY53" s="21"/>
      <c r="HYZ53" s="21"/>
      <c r="HZD53" s="15"/>
      <c r="HZJ53" s="25"/>
      <c r="HZQ53" s="21"/>
      <c r="HZR53" s="21"/>
      <c r="HZV53" s="15"/>
      <c r="IAB53" s="25"/>
      <c r="IAI53" s="21"/>
      <c r="IAJ53" s="21"/>
      <c r="IAN53" s="15"/>
      <c r="IAT53" s="25"/>
      <c r="IBA53" s="21"/>
      <c r="IBB53" s="21"/>
      <c r="IBF53" s="15"/>
      <c r="IBL53" s="25"/>
      <c r="IBS53" s="21"/>
      <c r="IBT53" s="21"/>
      <c r="IBX53" s="15"/>
      <c r="ICD53" s="25"/>
      <c r="ICK53" s="21"/>
      <c r="ICL53" s="21"/>
      <c r="ICP53" s="15"/>
      <c r="ICV53" s="25"/>
      <c r="IDC53" s="21"/>
      <c r="IDD53" s="21"/>
      <c r="IDH53" s="15"/>
      <c r="IDN53" s="25"/>
      <c r="IDU53" s="21"/>
      <c r="IDV53" s="21"/>
      <c r="IDZ53" s="15"/>
      <c r="IEF53" s="25"/>
      <c r="IEM53" s="21"/>
      <c r="IEN53" s="21"/>
      <c r="IER53" s="15"/>
      <c r="IEX53" s="25"/>
      <c r="IFE53" s="21"/>
      <c r="IFF53" s="21"/>
      <c r="IFJ53" s="15"/>
      <c r="IFP53" s="25"/>
      <c r="IFW53" s="21"/>
      <c r="IFX53" s="21"/>
      <c r="IGB53" s="15"/>
      <c r="IGH53" s="25"/>
      <c r="IGO53" s="21"/>
      <c r="IGP53" s="21"/>
      <c r="IGT53" s="15"/>
      <c r="IGZ53" s="25"/>
      <c r="IHG53" s="21"/>
      <c r="IHH53" s="21"/>
      <c r="IHL53" s="15"/>
      <c r="IHR53" s="25"/>
      <c r="IHY53" s="21"/>
      <c r="IHZ53" s="21"/>
      <c r="IID53" s="15"/>
      <c r="IIJ53" s="25"/>
      <c r="IIQ53" s="21"/>
      <c r="IIR53" s="21"/>
      <c r="IIV53" s="15"/>
      <c r="IJB53" s="25"/>
      <c r="IJI53" s="21"/>
      <c r="IJJ53" s="21"/>
      <c r="IJN53" s="15"/>
      <c r="IJT53" s="25"/>
      <c r="IKA53" s="21"/>
      <c r="IKB53" s="21"/>
      <c r="IKF53" s="15"/>
      <c r="IKL53" s="25"/>
      <c r="IKS53" s="21"/>
      <c r="IKT53" s="21"/>
      <c r="IKX53" s="15"/>
      <c r="ILD53" s="25"/>
      <c r="ILK53" s="21"/>
      <c r="ILL53" s="21"/>
      <c r="ILP53" s="15"/>
      <c r="ILV53" s="25"/>
      <c r="IMC53" s="21"/>
      <c r="IMD53" s="21"/>
      <c r="IMH53" s="15"/>
      <c r="IMN53" s="25"/>
      <c r="IMU53" s="21"/>
      <c r="IMV53" s="21"/>
      <c r="IMZ53" s="15"/>
      <c r="INF53" s="25"/>
      <c r="INM53" s="21"/>
      <c r="INN53" s="21"/>
      <c r="INR53" s="15"/>
      <c r="INX53" s="25"/>
      <c r="IOE53" s="21"/>
      <c r="IOF53" s="21"/>
      <c r="IOJ53" s="15"/>
      <c r="IOP53" s="25"/>
      <c r="IOW53" s="21"/>
      <c r="IOX53" s="21"/>
      <c r="IPB53" s="15"/>
      <c r="IPH53" s="25"/>
      <c r="IPO53" s="21"/>
      <c r="IPP53" s="21"/>
      <c r="IPT53" s="15"/>
      <c r="IPZ53" s="25"/>
      <c r="IQG53" s="21"/>
      <c r="IQH53" s="21"/>
      <c r="IQL53" s="15"/>
      <c r="IQR53" s="25"/>
      <c r="IQY53" s="21"/>
      <c r="IQZ53" s="21"/>
      <c r="IRD53" s="15"/>
      <c r="IRJ53" s="25"/>
      <c r="IRQ53" s="21"/>
      <c r="IRR53" s="21"/>
      <c r="IRV53" s="15"/>
      <c r="ISB53" s="25"/>
      <c r="ISI53" s="21"/>
      <c r="ISJ53" s="21"/>
      <c r="ISN53" s="15"/>
      <c r="IST53" s="25"/>
      <c r="ITA53" s="21"/>
      <c r="ITB53" s="21"/>
      <c r="ITF53" s="15"/>
      <c r="ITL53" s="25"/>
      <c r="ITS53" s="21"/>
      <c r="ITT53" s="21"/>
      <c r="ITX53" s="15"/>
      <c r="IUD53" s="25"/>
      <c r="IUK53" s="21"/>
      <c r="IUL53" s="21"/>
      <c r="IUP53" s="15"/>
      <c r="IUV53" s="25"/>
      <c r="IVC53" s="21"/>
      <c r="IVD53" s="21"/>
      <c r="IVH53" s="15"/>
      <c r="IVN53" s="25"/>
      <c r="IVU53" s="21"/>
      <c r="IVV53" s="21"/>
      <c r="IVZ53" s="15"/>
      <c r="IWF53" s="25"/>
      <c r="IWM53" s="21"/>
      <c r="IWN53" s="21"/>
      <c r="IWR53" s="15"/>
      <c r="IWX53" s="25"/>
      <c r="IXE53" s="21"/>
      <c r="IXF53" s="21"/>
      <c r="IXJ53" s="15"/>
      <c r="IXP53" s="25"/>
      <c r="IXW53" s="21"/>
      <c r="IXX53" s="21"/>
      <c r="IYB53" s="15"/>
      <c r="IYH53" s="25"/>
      <c r="IYO53" s="21"/>
      <c r="IYP53" s="21"/>
      <c r="IYT53" s="15"/>
      <c r="IYZ53" s="25"/>
      <c r="IZG53" s="21"/>
      <c r="IZH53" s="21"/>
      <c r="IZL53" s="15"/>
      <c r="IZR53" s="25"/>
      <c r="IZY53" s="21"/>
      <c r="IZZ53" s="21"/>
      <c r="JAD53" s="15"/>
      <c r="JAJ53" s="25"/>
      <c r="JAQ53" s="21"/>
      <c r="JAR53" s="21"/>
      <c r="JAV53" s="15"/>
      <c r="JBB53" s="25"/>
      <c r="JBI53" s="21"/>
      <c r="JBJ53" s="21"/>
      <c r="JBN53" s="15"/>
      <c r="JBT53" s="25"/>
      <c r="JCA53" s="21"/>
      <c r="JCB53" s="21"/>
      <c r="JCF53" s="15"/>
      <c r="JCL53" s="25"/>
      <c r="JCS53" s="21"/>
      <c r="JCT53" s="21"/>
      <c r="JCX53" s="15"/>
      <c r="JDD53" s="25"/>
      <c r="JDK53" s="21"/>
      <c r="JDL53" s="21"/>
      <c r="JDP53" s="15"/>
      <c r="JDV53" s="25"/>
      <c r="JEC53" s="21"/>
      <c r="JED53" s="21"/>
      <c r="JEH53" s="15"/>
      <c r="JEN53" s="25"/>
      <c r="JEU53" s="21"/>
      <c r="JEV53" s="21"/>
      <c r="JEZ53" s="15"/>
      <c r="JFF53" s="25"/>
      <c r="JFM53" s="21"/>
      <c r="JFN53" s="21"/>
      <c r="JFR53" s="15"/>
      <c r="JFX53" s="25"/>
      <c r="JGE53" s="21"/>
      <c r="JGF53" s="21"/>
      <c r="JGJ53" s="15"/>
      <c r="JGP53" s="25"/>
      <c r="JGW53" s="21"/>
      <c r="JGX53" s="21"/>
      <c r="JHB53" s="15"/>
      <c r="JHH53" s="25"/>
      <c r="JHO53" s="21"/>
      <c r="JHP53" s="21"/>
      <c r="JHT53" s="15"/>
      <c r="JHZ53" s="25"/>
      <c r="JIG53" s="21"/>
      <c r="JIH53" s="21"/>
      <c r="JIL53" s="15"/>
      <c r="JIR53" s="25"/>
      <c r="JIY53" s="21"/>
      <c r="JIZ53" s="21"/>
      <c r="JJD53" s="15"/>
      <c r="JJJ53" s="25"/>
      <c r="JJQ53" s="21"/>
      <c r="JJR53" s="21"/>
      <c r="JJV53" s="15"/>
      <c r="JKB53" s="25"/>
      <c r="JKI53" s="21"/>
      <c r="JKJ53" s="21"/>
      <c r="JKN53" s="15"/>
      <c r="JKT53" s="25"/>
      <c r="JLA53" s="21"/>
      <c r="JLB53" s="21"/>
      <c r="JLF53" s="15"/>
      <c r="JLL53" s="25"/>
      <c r="JLS53" s="21"/>
      <c r="JLT53" s="21"/>
      <c r="JLX53" s="15"/>
      <c r="JMD53" s="25"/>
      <c r="JMK53" s="21"/>
      <c r="JML53" s="21"/>
      <c r="JMP53" s="15"/>
      <c r="JMV53" s="25"/>
      <c r="JNC53" s="21"/>
      <c r="JND53" s="21"/>
      <c r="JNH53" s="15"/>
      <c r="JNN53" s="25"/>
      <c r="JNU53" s="21"/>
      <c r="JNV53" s="21"/>
      <c r="JNZ53" s="15"/>
      <c r="JOF53" s="25"/>
      <c r="JOM53" s="21"/>
      <c r="JON53" s="21"/>
      <c r="JOR53" s="15"/>
      <c r="JOX53" s="25"/>
      <c r="JPE53" s="21"/>
      <c r="JPF53" s="21"/>
      <c r="JPJ53" s="15"/>
      <c r="JPP53" s="25"/>
      <c r="JPW53" s="21"/>
      <c r="JPX53" s="21"/>
      <c r="JQB53" s="15"/>
      <c r="JQH53" s="25"/>
      <c r="JQO53" s="21"/>
      <c r="JQP53" s="21"/>
      <c r="JQT53" s="15"/>
      <c r="JQZ53" s="25"/>
      <c r="JRG53" s="21"/>
      <c r="JRH53" s="21"/>
      <c r="JRL53" s="15"/>
      <c r="JRR53" s="25"/>
      <c r="JRY53" s="21"/>
      <c r="JRZ53" s="21"/>
      <c r="JSD53" s="15"/>
      <c r="JSJ53" s="25"/>
      <c r="JSQ53" s="21"/>
      <c r="JSR53" s="21"/>
      <c r="JSV53" s="15"/>
      <c r="JTB53" s="25"/>
      <c r="JTI53" s="21"/>
      <c r="JTJ53" s="21"/>
      <c r="JTN53" s="15"/>
      <c r="JTT53" s="25"/>
      <c r="JUA53" s="21"/>
      <c r="JUB53" s="21"/>
      <c r="JUF53" s="15"/>
      <c r="JUL53" s="25"/>
      <c r="JUS53" s="21"/>
      <c r="JUT53" s="21"/>
      <c r="JUX53" s="15"/>
      <c r="JVD53" s="25"/>
      <c r="JVK53" s="21"/>
      <c r="JVL53" s="21"/>
      <c r="JVP53" s="15"/>
      <c r="JVV53" s="25"/>
      <c r="JWC53" s="21"/>
      <c r="JWD53" s="21"/>
      <c r="JWH53" s="15"/>
      <c r="JWN53" s="25"/>
      <c r="JWU53" s="21"/>
      <c r="JWV53" s="21"/>
      <c r="JWZ53" s="15"/>
      <c r="JXF53" s="25"/>
      <c r="JXM53" s="21"/>
      <c r="JXN53" s="21"/>
      <c r="JXR53" s="15"/>
      <c r="JXX53" s="25"/>
      <c r="JYE53" s="21"/>
      <c r="JYF53" s="21"/>
      <c r="JYJ53" s="15"/>
      <c r="JYP53" s="25"/>
      <c r="JYW53" s="21"/>
      <c r="JYX53" s="21"/>
      <c r="JZB53" s="15"/>
      <c r="JZH53" s="25"/>
      <c r="JZO53" s="21"/>
      <c r="JZP53" s="21"/>
      <c r="JZT53" s="15"/>
      <c r="JZZ53" s="25"/>
      <c r="KAG53" s="21"/>
      <c r="KAH53" s="21"/>
      <c r="KAL53" s="15"/>
      <c r="KAR53" s="25"/>
      <c r="KAY53" s="21"/>
      <c r="KAZ53" s="21"/>
      <c r="KBD53" s="15"/>
      <c r="KBJ53" s="25"/>
      <c r="KBQ53" s="21"/>
      <c r="KBR53" s="21"/>
      <c r="KBV53" s="15"/>
      <c r="KCB53" s="25"/>
      <c r="KCI53" s="21"/>
      <c r="KCJ53" s="21"/>
      <c r="KCN53" s="15"/>
      <c r="KCT53" s="25"/>
      <c r="KDA53" s="21"/>
      <c r="KDB53" s="21"/>
      <c r="KDF53" s="15"/>
      <c r="KDL53" s="25"/>
      <c r="KDS53" s="21"/>
      <c r="KDT53" s="21"/>
      <c r="KDX53" s="15"/>
      <c r="KED53" s="25"/>
      <c r="KEK53" s="21"/>
      <c r="KEL53" s="21"/>
      <c r="KEP53" s="15"/>
      <c r="KEV53" s="25"/>
      <c r="KFC53" s="21"/>
      <c r="KFD53" s="21"/>
      <c r="KFH53" s="15"/>
      <c r="KFN53" s="25"/>
      <c r="KFU53" s="21"/>
      <c r="KFV53" s="21"/>
      <c r="KFZ53" s="15"/>
      <c r="KGF53" s="25"/>
      <c r="KGM53" s="21"/>
      <c r="KGN53" s="21"/>
      <c r="KGR53" s="15"/>
      <c r="KGX53" s="25"/>
      <c r="KHE53" s="21"/>
      <c r="KHF53" s="21"/>
      <c r="KHJ53" s="15"/>
      <c r="KHP53" s="25"/>
      <c r="KHW53" s="21"/>
      <c r="KHX53" s="21"/>
      <c r="KIB53" s="15"/>
      <c r="KIH53" s="25"/>
      <c r="KIO53" s="21"/>
      <c r="KIP53" s="21"/>
      <c r="KIT53" s="15"/>
      <c r="KIZ53" s="25"/>
      <c r="KJG53" s="21"/>
      <c r="KJH53" s="21"/>
      <c r="KJL53" s="15"/>
      <c r="KJR53" s="25"/>
      <c r="KJY53" s="21"/>
      <c r="KJZ53" s="21"/>
      <c r="KKD53" s="15"/>
      <c r="KKJ53" s="25"/>
      <c r="KKQ53" s="21"/>
      <c r="KKR53" s="21"/>
      <c r="KKV53" s="15"/>
      <c r="KLB53" s="25"/>
      <c r="KLI53" s="21"/>
      <c r="KLJ53" s="21"/>
      <c r="KLN53" s="15"/>
      <c r="KLT53" s="25"/>
      <c r="KMA53" s="21"/>
      <c r="KMB53" s="21"/>
      <c r="KMF53" s="15"/>
      <c r="KML53" s="25"/>
      <c r="KMS53" s="21"/>
      <c r="KMT53" s="21"/>
      <c r="KMX53" s="15"/>
      <c r="KND53" s="25"/>
      <c r="KNK53" s="21"/>
      <c r="KNL53" s="21"/>
      <c r="KNP53" s="15"/>
      <c r="KNV53" s="25"/>
      <c r="KOC53" s="21"/>
      <c r="KOD53" s="21"/>
      <c r="KOH53" s="15"/>
      <c r="KON53" s="25"/>
      <c r="KOU53" s="21"/>
      <c r="KOV53" s="21"/>
      <c r="KOZ53" s="15"/>
      <c r="KPF53" s="25"/>
      <c r="KPM53" s="21"/>
      <c r="KPN53" s="21"/>
      <c r="KPR53" s="15"/>
      <c r="KPX53" s="25"/>
      <c r="KQE53" s="21"/>
      <c r="KQF53" s="21"/>
      <c r="KQJ53" s="15"/>
      <c r="KQP53" s="25"/>
      <c r="KQW53" s="21"/>
      <c r="KQX53" s="21"/>
      <c r="KRB53" s="15"/>
      <c r="KRH53" s="25"/>
      <c r="KRO53" s="21"/>
      <c r="KRP53" s="21"/>
      <c r="KRT53" s="15"/>
      <c r="KRZ53" s="25"/>
      <c r="KSG53" s="21"/>
      <c r="KSH53" s="21"/>
      <c r="KSL53" s="15"/>
      <c r="KSR53" s="25"/>
      <c r="KSY53" s="21"/>
      <c r="KSZ53" s="21"/>
      <c r="KTD53" s="15"/>
      <c r="KTJ53" s="25"/>
      <c r="KTQ53" s="21"/>
      <c r="KTR53" s="21"/>
      <c r="KTV53" s="15"/>
      <c r="KUB53" s="25"/>
      <c r="KUI53" s="21"/>
      <c r="KUJ53" s="21"/>
      <c r="KUN53" s="15"/>
      <c r="KUT53" s="25"/>
      <c r="KVA53" s="21"/>
      <c r="KVB53" s="21"/>
      <c r="KVF53" s="15"/>
      <c r="KVL53" s="25"/>
      <c r="KVS53" s="21"/>
      <c r="KVT53" s="21"/>
      <c r="KVX53" s="15"/>
      <c r="KWD53" s="25"/>
      <c r="KWK53" s="21"/>
      <c r="KWL53" s="21"/>
      <c r="KWP53" s="15"/>
      <c r="KWV53" s="25"/>
      <c r="KXC53" s="21"/>
      <c r="KXD53" s="21"/>
      <c r="KXH53" s="15"/>
      <c r="KXN53" s="25"/>
      <c r="KXU53" s="21"/>
      <c r="KXV53" s="21"/>
      <c r="KXZ53" s="15"/>
      <c r="KYF53" s="25"/>
      <c r="KYM53" s="21"/>
      <c r="KYN53" s="21"/>
      <c r="KYR53" s="15"/>
      <c r="KYX53" s="25"/>
      <c r="KZE53" s="21"/>
      <c r="KZF53" s="21"/>
      <c r="KZJ53" s="15"/>
      <c r="KZP53" s="25"/>
      <c r="KZW53" s="21"/>
      <c r="KZX53" s="21"/>
      <c r="LAB53" s="15"/>
      <c r="LAH53" s="25"/>
      <c r="LAO53" s="21"/>
      <c r="LAP53" s="21"/>
      <c r="LAT53" s="15"/>
      <c r="LAZ53" s="25"/>
      <c r="LBG53" s="21"/>
      <c r="LBH53" s="21"/>
      <c r="LBL53" s="15"/>
      <c r="LBR53" s="25"/>
      <c r="LBY53" s="21"/>
      <c r="LBZ53" s="21"/>
      <c r="LCD53" s="15"/>
      <c r="LCJ53" s="25"/>
      <c r="LCQ53" s="21"/>
      <c r="LCR53" s="21"/>
      <c r="LCV53" s="15"/>
      <c r="LDB53" s="25"/>
      <c r="LDI53" s="21"/>
      <c r="LDJ53" s="21"/>
      <c r="LDN53" s="15"/>
      <c r="LDT53" s="25"/>
      <c r="LEA53" s="21"/>
      <c r="LEB53" s="21"/>
      <c r="LEF53" s="15"/>
      <c r="LEL53" s="25"/>
      <c r="LES53" s="21"/>
      <c r="LET53" s="21"/>
      <c r="LEX53" s="15"/>
      <c r="LFD53" s="25"/>
      <c r="LFK53" s="21"/>
      <c r="LFL53" s="21"/>
      <c r="LFP53" s="15"/>
      <c r="LFV53" s="25"/>
      <c r="LGC53" s="21"/>
      <c r="LGD53" s="21"/>
      <c r="LGH53" s="15"/>
      <c r="LGN53" s="25"/>
      <c r="LGU53" s="21"/>
      <c r="LGV53" s="21"/>
      <c r="LGZ53" s="15"/>
      <c r="LHF53" s="25"/>
      <c r="LHM53" s="21"/>
      <c r="LHN53" s="21"/>
      <c r="LHR53" s="15"/>
      <c r="LHX53" s="25"/>
      <c r="LIE53" s="21"/>
      <c r="LIF53" s="21"/>
      <c r="LIJ53" s="15"/>
      <c r="LIP53" s="25"/>
      <c r="LIW53" s="21"/>
      <c r="LIX53" s="21"/>
      <c r="LJB53" s="15"/>
      <c r="LJH53" s="25"/>
      <c r="LJO53" s="21"/>
      <c r="LJP53" s="21"/>
      <c r="LJT53" s="15"/>
      <c r="LJZ53" s="25"/>
      <c r="LKG53" s="21"/>
      <c r="LKH53" s="21"/>
      <c r="LKL53" s="15"/>
      <c r="LKR53" s="25"/>
      <c r="LKY53" s="21"/>
      <c r="LKZ53" s="21"/>
      <c r="LLD53" s="15"/>
      <c r="LLJ53" s="25"/>
      <c r="LLQ53" s="21"/>
      <c r="LLR53" s="21"/>
      <c r="LLV53" s="15"/>
      <c r="LMB53" s="25"/>
      <c r="LMI53" s="21"/>
      <c r="LMJ53" s="21"/>
      <c r="LMN53" s="15"/>
      <c r="LMT53" s="25"/>
      <c r="LNA53" s="21"/>
      <c r="LNB53" s="21"/>
      <c r="LNF53" s="15"/>
      <c r="LNL53" s="25"/>
      <c r="LNS53" s="21"/>
      <c r="LNT53" s="21"/>
      <c r="LNX53" s="15"/>
      <c r="LOD53" s="25"/>
      <c r="LOK53" s="21"/>
      <c r="LOL53" s="21"/>
      <c r="LOP53" s="15"/>
      <c r="LOV53" s="25"/>
      <c r="LPC53" s="21"/>
      <c r="LPD53" s="21"/>
      <c r="LPH53" s="15"/>
      <c r="LPN53" s="25"/>
      <c r="LPU53" s="21"/>
      <c r="LPV53" s="21"/>
      <c r="LPZ53" s="15"/>
      <c r="LQF53" s="25"/>
      <c r="LQM53" s="21"/>
      <c r="LQN53" s="21"/>
      <c r="LQR53" s="15"/>
      <c r="LQX53" s="25"/>
      <c r="LRE53" s="21"/>
      <c r="LRF53" s="21"/>
      <c r="LRJ53" s="15"/>
      <c r="LRP53" s="25"/>
      <c r="LRW53" s="21"/>
      <c r="LRX53" s="21"/>
      <c r="LSB53" s="15"/>
      <c r="LSH53" s="25"/>
      <c r="LSO53" s="21"/>
      <c r="LSP53" s="21"/>
      <c r="LST53" s="15"/>
      <c r="LSZ53" s="25"/>
      <c r="LTG53" s="21"/>
      <c r="LTH53" s="21"/>
      <c r="LTL53" s="15"/>
      <c r="LTR53" s="25"/>
      <c r="LTY53" s="21"/>
      <c r="LTZ53" s="21"/>
      <c r="LUD53" s="15"/>
      <c r="LUJ53" s="25"/>
      <c r="LUQ53" s="21"/>
      <c r="LUR53" s="21"/>
      <c r="LUV53" s="15"/>
      <c r="LVB53" s="25"/>
      <c r="LVI53" s="21"/>
      <c r="LVJ53" s="21"/>
      <c r="LVN53" s="15"/>
      <c r="LVT53" s="25"/>
      <c r="LWA53" s="21"/>
      <c r="LWB53" s="21"/>
      <c r="LWF53" s="15"/>
      <c r="LWL53" s="25"/>
      <c r="LWS53" s="21"/>
      <c r="LWT53" s="21"/>
      <c r="LWX53" s="15"/>
      <c r="LXD53" s="25"/>
      <c r="LXK53" s="21"/>
      <c r="LXL53" s="21"/>
      <c r="LXP53" s="15"/>
      <c r="LXV53" s="25"/>
      <c r="LYC53" s="21"/>
      <c r="LYD53" s="21"/>
      <c r="LYH53" s="15"/>
      <c r="LYN53" s="25"/>
      <c r="LYU53" s="21"/>
      <c r="LYV53" s="21"/>
      <c r="LYZ53" s="15"/>
      <c r="LZF53" s="25"/>
      <c r="LZM53" s="21"/>
      <c r="LZN53" s="21"/>
      <c r="LZR53" s="15"/>
      <c r="LZX53" s="25"/>
      <c r="MAE53" s="21"/>
      <c r="MAF53" s="21"/>
      <c r="MAJ53" s="15"/>
      <c r="MAP53" s="25"/>
      <c r="MAW53" s="21"/>
      <c r="MAX53" s="21"/>
      <c r="MBB53" s="15"/>
      <c r="MBH53" s="25"/>
      <c r="MBO53" s="21"/>
      <c r="MBP53" s="21"/>
      <c r="MBT53" s="15"/>
      <c r="MBZ53" s="25"/>
      <c r="MCG53" s="21"/>
      <c r="MCH53" s="21"/>
      <c r="MCL53" s="15"/>
      <c r="MCR53" s="25"/>
      <c r="MCY53" s="21"/>
      <c r="MCZ53" s="21"/>
      <c r="MDD53" s="15"/>
      <c r="MDJ53" s="25"/>
      <c r="MDQ53" s="21"/>
      <c r="MDR53" s="21"/>
      <c r="MDV53" s="15"/>
      <c r="MEB53" s="25"/>
      <c r="MEI53" s="21"/>
      <c r="MEJ53" s="21"/>
      <c r="MEN53" s="15"/>
      <c r="MET53" s="25"/>
      <c r="MFA53" s="21"/>
      <c r="MFB53" s="21"/>
      <c r="MFF53" s="15"/>
      <c r="MFL53" s="25"/>
      <c r="MFS53" s="21"/>
      <c r="MFT53" s="21"/>
      <c r="MFX53" s="15"/>
      <c r="MGD53" s="25"/>
      <c r="MGK53" s="21"/>
      <c r="MGL53" s="21"/>
      <c r="MGP53" s="15"/>
      <c r="MGV53" s="25"/>
      <c r="MHC53" s="21"/>
      <c r="MHD53" s="21"/>
      <c r="MHH53" s="15"/>
      <c r="MHN53" s="25"/>
      <c r="MHU53" s="21"/>
      <c r="MHV53" s="21"/>
      <c r="MHZ53" s="15"/>
      <c r="MIF53" s="25"/>
      <c r="MIM53" s="21"/>
      <c r="MIN53" s="21"/>
      <c r="MIR53" s="15"/>
      <c r="MIX53" s="25"/>
      <c r="MJE53" s="21"/>
      <c r="MJF53" s="21"/>
      <c r="MJJ53" s="15"/>
      <c r="MJP53" s="25"/>
      <c r="MJW53" s="21"/>
      <c r="MJX53" s="21"/>
      <c r="MKB53" s="15"/>
      <c r="MKH53" s="25"/>
      <c r="MKO53" s="21"/>
      <c r="MKP53" s="21"/>
      <c r="MKT53" s="15"/>
      <c r="MKZ53" s="25"/>
      <c r="MLG53" s="21"/>
      <c r="MLH53" s="21"/>
      <c r="MLL53" s="15"/>
      <c r="MLR53" s="25"/>
      <c r="MLY53" s="21"/>
      <c r="MLZ53" s="21"/>
      <c r="MMD53" s="15"/>
      <c r="MMJ53" s="25"/>
      <c r="MMQ53" s="21"/>
      <c r="MMR53" s="21"/>
      <c r="MMV53" s="15"/>
      <c r="MNB53" s="25"/>
      <c r="MNI53" s="21"/>
      <c r="MNJ53" s="21"/>
      <c r="MNN53" s="15"/>
      <c r="MNT53" s="25"/>
      <c r="MOA53" s="21"/>
      <c r="MOB53" s="21"/>
      <c r="MOF53" s="15"/>
      <c r="MOL53" s="25"/>
      <c r="MOS53" s="21"/>
      <c r="MOT53" s="21"/>
      <c r="MOX53" s="15"/>
      <c r="MPD53" s="25"/>
      <c r="MPK53" s="21"/>
      <c r="MPL53" s="21"/>
      <c r="MPP53" s="15"/>
      <c r="MPV53" s="25"/>
      <c r="MQC53" s="21"/>
      <c r="MQD53" s="21"/>
      <c r="MQH53" s="15"/>
      <c r="MQN53" s="25"/>
      <c r="MQU53" s="21"/>
      <c r="MQV53" s="21"/>
      <c r="MQZ53" s="15"/>
      <c r="MRF53" s="25"/>
      <c r="MRM53" s="21"/>
      <c r="MRN53" s="21"/>
      <c r="MRR53" s="15"/>
      <c r="MRX53" s="25"/>
      <c r="MSE53" s="21"/>
      <c r="MSF53" s="21"/>
      <c r="MSJ53" s="15"/>
      <c r="MSP53" s="25"/>
      <c r="MSW53" s="21"/>
      <c r="MSX53" s="21"/>
      <c r="MTB53" s="15"/>
      <c r="MTH53" s="25"/>
      <c r="MTO53" s="21"/>
      <c r="MTP53" s="21"/>
      <c r="MTT53" s="15"/>
      <c r="MTZ53" s="25"/>
      <c r="MUG53" s="21"/>
      <c r="MUH53" s="21"/>
      <c r="MUL53" s="15"/>
      <c r="MUR53" s="25"/>
      <c r="MUY53" s="21"/>
      <c r="MUZ53" s="21"/>
      <c r="MVD53" s="15"/>
      <c r="MVJ53" s="25"/>
      <c r="MVQ53" s="21"/>
      <c r="MVR53" s="21"/>
      <c r="MVV53" s="15"/>
      <c r="MWB53" s="25"/>
      <c r="MWI53" s="21"/>
      <c r="MWJ53" s="21"/>
      <c r="MWN53" s="15"/>
      <c r="MWT53" s="25"/>
      <c r="MXA53" s="21"/>
      <c r="MXB53" s="21"/>
      <c r="MXF53" s="15"/>
      <c r="MXL53" s="25"/>
      <c r="MXS53" s="21"/>
      <c r="MXT53" s="21"/>
      <c r="MXX53" s="15"/>
      <c r="MYD53" s="25"/>
      <c r="MYK53" s="21"/>
      <c r="MYL53" s="21"/>
      <c r="MYP53" s="15"/>
      <c r="MYV53" s="25"/>
      <c r="MZC53" s="21"/>
      <c r="MZD53" s="21"/>
      <c r="MZH53" s="15"/>
      <c r="MZN53" s="25"/>
      <c r="MZU53" s="21"/>
      <c r="MZV53" s="21"/>
      <c r="MZZ53" s="15"/>
      <c r="NAF53" s="25"/>
      <c r="NAM53" s="21"/>
      <c r="NAN53" s="21"/>
      <c r="NAR53" s="15"/>
      <c r="NAX53" s="25"/>
      <c r="NBE53" s="21"/>
      <c r="NBF53" s="21"/>
      <c r="NBJ53" s="15"/>
      <c r="NBP53" s="25"/>
      <c r="NBW53" s="21"/>
      <c r="NBX53" s="21"/>
      <c r="NCB53" s="15"/>
      <c r="NCH53" s="25"/>
      <c r="NCO53" s="21"/>
      <c r="NCP53" s="21"/>
      <c r="NCT53" s="15"/>
      <c r="NCZ53" s="25"/>
      <c r="NDG53" s="21"/>
      <c r="NDH53" s="21"/>
      <c r="NDL53" s="15"/>
      <c r="NDR53" s="25"/>
      <c r="NDY53" s="21"/>
      <c r="NDZ53" s="21"/>
      <c r="NED53" s="15"/>
      <c r="NEJ53" s="25"/>
      <c r="NEQ53" s="21"/>
      <c r="NER53" s="21"/>
      <c r="NEV53" s="15"/>
      <c r="NFB53" s="25"/>
      <c r="NFI53" s="21"/>
      <c r="NFJ53" s="21"/>
      <c r="NFN53" s="15"/>
      <c r="NFT53" s="25"/>
      <c r="NGA53" s="21"/>
      <c r="NGB53" s="21"/>
      <c r="NGF53" s="15"/>
      <c r="NGL53" s="25"/>
      <c r="NGS53" s="21"/>
      <c r="NGT53" s="21"/>
      <c r="NGX53" s="15"/>
      <c r="NHD53" s="25"/>
      <c r="NHK53" s="21"/>
      <c r="NHL53" s="21"/>
      <c r="NHP53" s="15"/>
      <c r="NHV53" s="25"/>
      <c r="NIC53" s="21"/>
      <c r="NID53" s="21"/>
      <c r="NIH53" s="15"/>
      <c r="NIN53" s="25"/>
      <c r="NIU53" s="21"/>
      <c r="NIV53" s="21"/>
      <c r="NIZ53" s="15"/>
      <c r="NJF53" s="25"/>
      <c r="NJM53" s="21"/>
      <c r="NJN53" s="21"/>
      <c r="NJR53" s="15"/>
      <c r="NJX53" s="25"/>
      <c r="NKE53" s="21"/>
      <c r="NKF53" s="21"/>
      <c r="NKJ53" s="15"/>
      <c r="NKP53" s="25"/>
      <c r="NKW53" s="21"/>
      <c r="NKX53" s="21"/>
      <c r="NLB53" s="15"/>
      <c r="NLH53" s="25"/>
      <c r="NLO53" s="21"/>
      <c r="NLP53" s="21"/>
      <c r="NLT53" s="15"/>
      <c r="NLZ53" s="25"/>
      <c r="NMG53" s="21"/>
      <c r="NMH53" s="21"/>
      <c r="NML53" s="15"/>
      <c r="NMR53" s="25"/>
      <c r="NMY53" s="21"/>
      <c r="NMZ53" s="21"/>
      <c r="NND53" s="15"/>
      <c r="NNJ53" s="25"/>
      <c r="NNQ53" s="21"/>
      <c r="NNR53" s="21"/>
      <c r="NNV53" s="15"/>
      <c r="NOB53" s="25"/>
      <c r="NOI53" s="21"/>
      <c r="NOJ53" s="21"/>
      <c r="NON53" s="15"/>
      <c r="NOT53" s="25"/>
      <c r="NPA53" s="21"/>
      <c r="NPB53" s="21"/>
      <c r="NPF53" s="15"/>
      <c r="NPL53" s="25"/>
      <c r="NPS53" s="21"/>
      <c r="NPT53" s="21"/>
      <c r="NPX53" s="15"/>
      <c r="NQD53" s="25"/>
      <c r="NQK53" s="21"/>
      <c r="NQL53" s="21"/>
      <c r="NQP53" s="15"/>
      <c r="NQV53" s="25"/>
      <c r="NRC53" s="21"/>
      <c r="NRD53" s="21"/>
      <c r="NRH53" s="15"/>
      <c r="NRN53" s="25"/>
      <c r="NRU53" s="21"/>
      <c r="NRV53" s="21"/>
      <c r="NRZ53" s="15"/>
      <c r="NSF53" s="25"/>
      <c r="NSM53" s="21"/>
      <c r="NSN53" s="21"/>
      <c r="NSR53" s="15"/>
      <c r="NSX53" s="25"/>
      <c r="NTE53" s="21"/>
      <c r="NTF53" s="21"/>
      <c r="NTJ53" s="15"/>
      <c r="NTP53" s="25"/>
      <c r="NTW53" s="21"/>
      <c r="NTX53" s="21"/>
      <c r="NUB53" s="15"/>
      <c r="NUH53" s="25"/>
      <c r="NUO53" s="21"/>
      <c r="NUP53" s="21"/>
      <c r="NUT53" s="15"/>
      <c r="NUZ53" s="25"/>
      <c r="NVG53" s="21"/>
      <c r="NVH53" s="21"/>
      <c r="NVL53" s="15"/>
      <c r="NVR53" s="25"/>
      <c r="NVY53" s="21"/>
      <c r="NVZ53" s="21"/>
      <c r="NWD53" s="15"/>
      <c r="NWJ53" s="25"/>
      <c r="NWQ53" s="21"/>
      <c r="NWR53" s="21"/>
      <c r="NWV53" s="15"/>
      <c r="NXB53" s="25"/>
      <c r="NXI53" s="21"/>
      <c r="NXJ53" s="21"/>
      <c r="NXN53" s="15"/>
      <c r="NXT53" s="25"/>
      <c r="NYA53" s="21"/>
      <c r="NYB53" s="21"/>
      <c r="NYF53" s="15"/>
      <c r="NYL53" s="25"/>
      <c r="NYS53" s="21"/>
      <c r="NYT53" s="21"/>
      <c r="NYX53" s="15"/>
      <c r="NZD53" s="25"/>
      <c r="NZK53" s="21"/>
      <c r="NZL53" s="21"/>
      <c r="NZP53" s="15"/>
      <c r="NZV53" s="25"/>
      <c r="OAC53" s="21"/>
      <c r="OAD53" s="21"/>
      <c r="OAH53" s="15"/>
      <c r="OAN53" s="25"/>
      <c r="OAU53" s="21"/>
      <c r="OAV53" s="21"/>
      <c r="OAZ53" s="15"/>
      <c r="OBF53" s="25"/>
      <c r="OBM53" s="21"/>
      <c r="OBN53" s="21"/>
      <c r="OBR53" s="15"/>
      <c r="OBX53" s="25"/>
      <c r="OCE53" s="21"/>
      <c r="OCF53" s="21"/>
      <c r="OCJ53" s="15"/>
      <c r="OCP53" s="25"/>
      <c r="OCW53" s="21"/>
      <c r="OCX53" s="21"/>
      <c r="ODB53" s="15"/>
      <c r="ODH53" s="25"/>
      <c r="ODO53" s="21"/>
      <c r="ODP53" s="21"/>
      <c r="ODT53" s="15"/>
      <c r="ODZ53" s="25"/>
      <c r="OEG53" s="21"/>
      <c r="OEH53" s="21"/>
      <c r="OEL53" s="15"/>
      <c r="OER53" s="25"/>
      <c r="OEY53" s="21"/>
      <c r="OEZ53" s="21"/>
      <c r="OFD53" s="15"/>
      <c r="OFJ53" s="25"/>
      <c r="OFQ53" s="21"/>
      <c r="OFR53" s="21"/>
      <c r="OFV53" s="15"/>
      <c r="OGB53" s="25"/>
      <c r="OGI53" s="21"/>
      <c r="OGJ53" s="21"/>
      <c r="OGN53" s="15"/>
      <c r="OGT53" s="25"/>
      <c r="OHA53" s="21"/>
      <c r="OHB53" s="21"/>
      <c r="OHF53" s="15"/>
      <c r="OHL53" s="25"/>
      <c r="OHS53" s="21"/>
      <c r="OHT53" s="21"/>
      <c r="OHX53" s="15"/>
      <c r="OID53" s="25"/>
      <c r="OIK53" s="21"/>
      <c r="OIL53" s="21"/>
      <c r="OIP53" s="15"/>
      <c r="OIV53" s="25"/>
      <c r="OJC53" s="21"/>
      <c r="OJD53" s="21"/>
      <c r="OJH53" s="15"/>
      <c r="OJN53" s="25"/>
      <c r="OJU53" s="21"/>
      <c r="OJV53" s="21"/>
      <c r="OJZ53" s="15"/>
      <c r="OKF53" s="25"/>
      <c r="OKM53" s="21"/>
      <c r="OKN53" s="21"/>
      <c r="OKR53" s="15"/>
      <c r="OKX53" s="25"/>
      <c r="OLE53" s="21"/>
      <c r="OLF53" s="21"/>
      <c r="OLJ53" s="15"/>
      <c r="OLP53" s="25"/>
      <c r="OLW53" s="21"/>
      <c r="OLX53" s="21"/>
      <c r="OMB53" s="15"/>
      <c r="OMH53" s="25"/>
      <c r="OMO53" s="21"/>
      <c r="OMP53" s="21"/>
      <c r="OMT53" s="15"/>
      <c r="OMZ53" s="25"/>
      <c r="ONG53" s="21"/>
      <c r="ONH53" s="21"/>
      <c r="ONL53" s="15"/>
      <c r="ONR53" s="25"/>
      <c r="ONY53" s="21"/>
      <c r="ONZ53" s="21"/>
      <c r="OOD53" s="15"/>
      <c r="OOJ53" s="25"/>
      <c r="OOQ53" s="21"/>
      <c r="OOR53" s="21"/>
      <c r="OOV53" s="15"/>
      <c r="OPB53" s="25"/>
      <c r="OPI53" s="21"/>
      <c r="OPJ53" s="21"/>
      <c r="OPN53" s="15"/>
      <c r="OPT53" s="25"/>
      <c r="OQA53" s="21"/>
      <c r="OQB53" s="21"/>
      <c r="OQF53" s="15"/>
      <c r="OQL53" s="25"/>
      <c r="OQS53" s="21"/>
      <c r="OQT53" s="21"/>
      <c r="OQX53" s="15"/>
      <c r="ORD53" s="25"/>
      <c r="ORK53" s="21"/>
      <c r="ORL53" s="21"/>
      <c r="ORP53" s="15"/>
      <c r="ORV53" s="25"/>
      <c r="OSC53" s="21"/>
      <c r="OSD53" s="21"/>
      <c r="OSH53" s="15"/>
      <c r="OSN53" s="25"/>
      <c r="OSU53" s="21"/>
      <c r="OSV53" s="21"/>
      <c r="OSZ53" s="15"/>
      <c r="OTF53" s="25"/>
      <c r="OTM53" s="21"/>
      <c r="OTN53" s="21"/>
      <c r="OTR53" s="15"/>
      <c r="OTX53" s="25"/>
      <c r="OUE53" s="21"/>
      <c r="OUF53" s="21"/>
      <c r="OUJ53" s="15"/>
      <c r="OUP53" s="25"/>
      <c r="OUW53" s="21"/>
      <c r="OUX53" s="21"/>
      <c r="OVB53" s="15"/>
      <c r="OVH53" s="25"/>
      <c r="OVO53" s="21"/>
      <c r="OVP53" s="21"/>
      <c r="OVT53" s="15"/>
      <c r="OVZ53" s="25"/>
      <c r="OWG53" s="21"/>
      <c r="OWH53" s="21"/>
      <c r="OWL53" s="15"/>
      <c r="OWR53" s="25"/>
      <c r="OWY53" s="21"/>
      <c r="OWZ53" s="21"/>
      <c r="OXD53" s="15"/>
      <c r="OXJ53" s="25"/>
      <c r="OXQ53" s="21"/>
      <c r="OXR53" s="21"/>
      <c r="OXV53" s="15"/>
      <c r="OYB53" s="25"/>
      <c r="OYI53" s="21"/>
      <c r="OYJ53" s="21"/>
      <c r="OYN53" s="15"/>
      <c r="OYT53" s="25"/>
      <c r="OZA53" s="21"/>
      <c r="OZB53" s="21"/>
      <c r="OZF53" s="15"/>
      <c r="OZL53" s="25"/>
      <c r="OZS53" s="21"/>
      <c r="OZT53" s="21"/>
      <c r="OZX53" s="15"/>
      <c r="PAD53" s="25"/>
      <c r="PAK53" s="21"/>
      <c r="PAL53" s="21"/>
      <c r="PAP53" s="15"/>
      <c r="PAV53" s="25"/>
      <c r="PBC53" s="21"/>
      <c r="PBD53" s="21"/>
      <c r="PBH53" s="15"/>
      <c r="PBN53" s="25"/>
      <c r="PBU53" s="21"/>
      <c r="PBV53" s="21"/>
      <c r="PBZ53" s="15"/>
      <c r="PCF53" s="25"/>
      <c r="PCM53" s="21"/>
      <c r="PCN53" s="21"/>
      <c r="PCR53" s="15"/>
      <c r="PCX53" s="25"/>
      <c r="PDE53" s="21"/>
      <c r="PDF53" s="21"/>
      <c r="PDJ53" s="15"/>
      <c r="PDP53" s="25"/>
      <c r="PDW53" s="21"/>
      <c r="PDX53" s="21"/>
      <c r="PEB53" s="15"/>
      <c r="PEH53" s="25"/>
      <c r="PEO53" s="21"/>
      <c r="PEP53" s="21"/>
      <c r="PET53" s="15"/>
      <c r="PEZ53" s="25"/>
      <c r="PFG53" s="21"/>
      <c r="PFH53" s="21"/>
      <c r="PFL53" s="15"/>
      <c r="PFR53" s="25"/>
      <c r="PFY53" s="21"/>
      <c r="PFZ53" s="21"/>
      <c r="PGD53" s="15"/>
      <c r="PGJ53" s="25"/>
      <c r="PGQ53" s="21"/>
      <c r="PGR53" s="21"/>
      <c r="PGV53" s="15"/>
      <c r="PHB53" s="25"/>
      <c r="PHI53" s="21"/>
      <c r="PHJ53" s="21"/>
      <c r="PHN53" s="15"/>
      <c r="PHT53" s="25"/>
      <c r="PIA53" s="21"/>
      <c r="PIB53" s="21"/>
      <c r="PIF53" s="15"/>
      <c r="PIL53" s="25"/>
      <c r="PIS53" s="21"/>
      <c r="PIT53" s="21"/>
      <c r="PIX53" s="15"/>
      <c r="PJD53" s="25"/>
      <c r="PJK53" s="21"/>
      <c r="PJL53" s="21"/>
      <c r="PJP53" s="15"/>
      <c r="PJV53" s="25"/>
      <c r="PKC53" s="21"/>
      <c r="PKD53" s="21"/>
      <c r="PKH53" s="15"/>
      <c r="PKN53" s="25"/>
      <c r="PKU53" s="21"/>
      <c r="PKV53" s="21"/>
      <c r="PKZ53" s="15"/>
      <c r="PLF53" s="25"/>
      <c r="PLM53" s="21"/>
      <c r="PLN53" s="21"/>
      <c r="PLR53" s="15"/>
      <c r="PLX53" s="25"/>
      <c r="PME53" s="21"/>
      <c r="PMF53" s="21"/>
      <c r="PMJ53" s="15"/>
      <c r="PMP53" s="25"/>
      <c r="PMW53" s="21"/>
      <c r="PMX53" s="21"/>
      <c r="PNB53" s="15"/>
      <c r="PNH53" s="25"/>
      <c r="PNO53" s="21"/>
      <c r="PNP53" s="21"/>
      <c r="PNT53" s="15"/>
      <c r="PNZ53" s="25"/>
      <c r="POG53" s="21"/>
      <c r="POH53" s="21"/>
      <c r="POL53" s="15"/>
      <c r="POR53" s="25"/>
      <c r="POY53" s="21"/>
      <c r="POZ53" s="21"/>
      <c r="PPD53" s="15"/>
      <c r="PPJ53" s="25"/>
      <c r="PPQ53" s="21"/>
      <c r="PPR53" s="21"/>
      <c r="PPV53" s="15"/>
      <c r="PQB53" s="25"/>
      <c r="PQI53" s="21"/>
      <c r="PQJ53" s="21"/>
      <c r="PQN53" s="15"/>
      <c r="PQT53" s="25"/>
      <c r="PRA53" s="21"/>
      <c r="PRB53" s="21"/>
      <c r="PRF53" s="15"/>
      <c r="PRL53" s="25"/>
      <c r="PRS53" s="21"/>
      <c r="PRT53" s="21"/>
      <c r="PRX53" s="15"/>
      <c r="PSD53" s="25"/>
      <c r="PSK53" s="21"/>
      <c r="PSL53" s="21"/>
      <c r="PSP53" s="15"/>
      <c r="PSV53" s="25"/>
      <c r="PTC53" s="21"/>
      <c r="PTD53" s="21"/>
      <c r="PTH53" s="15"/>
      <c r="PTN53" s="25"/>
      <c r="PTU53" s="21"/>
      <c r="PTV53" s="21"/>
      <c r="PTZ53" s="15"/>
      <c r="PUF53" s="25"/>
      <c r="PUM53" s="21"/>
      <c r="PUN53" s="21"/>
      <c r="PUR53" s="15"/>
      <c r="PUX53" s="25"/>
      <c r="PVE53" s="21"/>
      <c r="PVF53" s="21"/>
      <c r="PVJ53" s="15"/>
      <c r="PVP53" s="25"/>
      <c r="PVW53" s="21"/>
      <c r="PVX53" s="21"/>
      <c r="PWB53" s="15"/>
      <c r="PWH53" s="25"/>
      <c r="PWO53" s="21"/>
      <c r="PWP53" s="21"/>
      <c r="PWT53" s="15"/>
      <c r="PWZ53" s="25"/>
      <c r="PXG53" s="21"/>
      <c r="PXH53" s="21"/>
      <c r="PXL53" s="15"/>
      <c r="PXR53" s="25"/>
      <c r="PXY53" s="21"/>
      <c r="PXZ53" s="21"/>
      <c r="PYD53" s="15"/>
      <c r="PYJ53" s="25"/>
      <c r="PYQ53" s="21"/>
      <c r="PYR53" s="21"/>
      <c r="PYV53" s="15"/>
      <c r="PZB53" s="25"/>
      <c r="PZI53" s="21"/>
      <c r="PZJ53" s="21"/>
      <c r="PZN53" s="15"/>
      <c r="PZT53" s="25"/>
      <c r="QAA53" s="21"/>
      <c r="QAB53" s="21"/>
      <c r="QAF53" s="15"/>
      <c r="QAL53" s="25"/>
      <c r="QAS53" s="21"/>
      <c r="QAT53" s="21"/>
      <c r="QAX53" s="15"/>
      <c r="QBD53" s="25"/>
      <c r="QBK53" s="21"/>
      <c r="QBL53" s="21"/>
      <c r="QBP53" s="15"/>
      <c r="QBV53" s="25"/>
      <c r="QCC53" s="21"/>
      <c r="QCD53" s="21"/>
      <c r="QCH53" s="15"/>
      <c r="QCN53" s="25"/>
      <c r="QCU53" s="21"/>
      <c r="QCV53" s="21"/>
      <c r="QCZ53" s="15"/>
      <c r="QDF53" s="25"/>
      <c r="QDM53" s="21"/>
      <c r="QDN53" s="21"/>
      <c r="QDR53" s="15"/>
      <c r="QDX53" s="25"/>
      <c r="QEE53" s="21"/>
      <c r="QEF53" s="21"/>
      <c r="QEJ53" s="15"/>
      <c r="QEP53" s="25"/>
      <c r="QEW53" s="21"/>
      <c r="QEX53" s="21"/>
      <c r="QFB53" s="15"/>
      <c r="QFH53" s="25"/>
      <c r="QFO53" s="21"/>
      <c r="QFP53" s="21"/>
      <c r="QFT53" s="15"/>
      <c r="QFZ53" s="25"/>
      <c r="QGG53" s="21"/>
      <c r="QGH53" s="21"/>
      <c r="QGL53" s="15"/>
      <c r="QGR53" s="25"/>
      <c r="QGY53" s="21"/>
      <c r="QGZ53" s="21"/>
      <c r="QHD53" s="15"/>
      <c r="QHJ53" s="25"/>
      <c r="QHQ53" s="21"/>
      <c r="QHR53" s="21"/>
      <c r="QHV53" s="15"/>
      <c r="QIB53" s="25"/>
      <c r="QII53" s="21"/>
      <c r="QIJ53" s="21"/>
      <c r="QIN53" s="15"/>
      <c r="QIT53" s="25"/>
      <c r="QJA53" s="21"/>
      <c r="QJB53" s="21"/>
      <c r="QJF53" s="15"/>
      <c r="QJL53" s="25"/>
      <c r="QJS53" s="21"/>
      <c r="QJT53" s="21"/>
      <c r="QJX53" s="15"/>
      <c r="QKD53" s="25"/>
      <c r="QKK53" s="21"/>
      <c r="QKL53" s="21"/>
      <c r="QKP53" s="15"/>
      <c r="QKV53" s="25"/>
      <c r="QLC53" s="21"/>
      <c r="QLD53" s="21"/>
      <c r="QLH53" s="15"/>
      <c r="QLN53" s="25"/>
      <c r="QLU53" s="21"/>
      <c r="QLV53" s="21"/>
      <c r="QLZ53" s="15"/>
      <c r="QMF53" s="25"/>
      <c r="QMM53" s="21"/>
      <c r="QMN53" s="21"/>
      <c r="QMR53" s="15"/>
      <c r="QMX53" s="25"/>
      <c r="QNE53" s="21"/>
      <c r="QNF53" s="21"/>
      <c r="QNJ53" s="15"/>
      <c r="QNP53" s="25"/>
      <c r="QNW53" s="21"/>
      <c r="QNX53" s="21"/>
      <c r="QOB53" s="15"/>
      <c r="QOH53" s="25"/>
      <c r="QOO53" s="21"/>
      <c r="QOP53" s="21"/>
      <c r="QOT53" s="15"/>
      <c r="QOZ53" s="25"/>
      <c r="QPG53" s="21"/>
      <c r="QPH53" s="21"/>
      <c r="QPL53" s="15"/>
      <c r="QPR53" s="25"/>
      <c r="QPY53" s="21"/>
      <c r="QPZ53" s="21"/>
      <c r="QQD53" s="15"/>
      <c r="QQJ53" s="25"/>
      <c r="QQQ53" s="21"/>
      <c r="QQR53" s="21"/>
      <c r="QQV53" s="15"/>
      <c r="QRB53" s="25"/>
      <c r="QRI53" s="21"/>
      <c r="QRJ53" s="21"/>
      <c r="QRN53" s="15"/>
      <c r="QRT53" s="25"/>
      <c r="QSA53" s="21"/>
      <c r="QSB53" s="21"/>
      <c r="QSF53" s="15"/>
      <c r="QSL53" s="25"/>
      <c r="QSS53" s="21"/>
      <c r="QST53" s="21"/>
      <c r="QSX53" s="15"/>
      <c r="QTD53" s="25"/>
      <c r="QTK53" s="21"/>
      <c r="QTL53" s="21"/>
      <c r="QTP53" s="15"/>
      <c r="QTV53" s="25"/>
      <c r="QUC53" s="21"/>
      <c r="QUD53" s="21"/>
      <c r="QUH53" s="15"/>
      <c r="QUN53" s="25"/>
      <c r="QUU53" s="21"/>
      <c r="QUV53" s="21"/>
      <c r="QUZ53" s="15"/>
      <c r="QVF53" s="25"/>
      <c r="QVM53" s="21"/>
      <c r="QVN53" s="21"/>
      <c r="QVR53" s="15"/>
      <c r="QVX53" s="25"/>
      <c r="QWE53" s="21"/>
      <c r="QWF53" s="21"/>
      <c r="QWJ53" s="15"/>
      <c r="QWP53" s="25"/>
      <c r="QWW53" s="21"/>
      <c r="QWX53" s="21"/>
      <c r="QXB53" s="15"/>
      <c r="QXH53" s="25"/>
      <c r="QXO53" s="21"/>
      <c r="QXP53" s="21"/>
      <c r="QXT53" s="15"/>
      <c r="QXZ53" s="25"/>
      <c r="QYG53" s="21"/>
      <c r="QYH53" s="21"/>
      <c r="QYL53" s="15"/>
      <c r="QYR53" s="25"/>
      <c r="QYY53" s="21"/>
      <c r="QYZ53" s="21"/>
      <c r="QZD53" s="15"/>
      <c r="QZJ53" s="25"/>
      <c r="QZQ53" s="21"/>
      <c r="QZR53" s="21"/>
      <c r="QZV53" s="15"/>
      <c r="RAB53" s="25"/>
      <c r="RAI53" s="21"/>
      <c r="RAJ53" s="21"/>
      <c r="RAN53" s="15"/>
      <c r="RAT53" s="25"/>
      <c r="RBA53" s="21"/>
      <c r="RBB53" s="21"/>
      <c r="RBF53" s="15"/>
      <c r="RBL53" s="25"/>
      <c r="RBS53" s="21"/>
      <c r="RBT53" s="21"/>
      <c r="RBX53" s="15"/>
      <c r="RCD53" s="25"/>
      <c r="RCK53" s="21"/>
      <c r="RCL53" s="21"/>
      <c r="RCP53" s="15"/>
      <c r="RCV53" s="25"/>
      <c r="RDC53" s="21"/>
      <c r="RDD53" s="21"/>
      <c r="RDH53" s="15"/>
      <c r="RDN53" s="25"/>
      <c r="RDU53" s="21"/>
      <c r="RDV53" s="21"/>
      <c r="RDZ53" s="15"/>
      <c r="REF53" s="25"/>
      <c r="REM53" s="21"/>
      <c r="REN53" s="21"/>
      <c r="RER53" s="15"/>
      <c r="REX53" s="25"/>
      <c r="RFE53" s="21"/>
      <c r="RFF53" s="21"/>
      <c r="RFJ53" s="15"/>
      <c r="RFP53" s="25"/>
      <c r="RFW53" s="21"/>
      <c r="RFX53" s="21"/>
      <c r="RGB53" s="15"/>
      <c r="RGH53" s="25"/>
      <c r="RGO53" s="21"/>
      <c r="RGP53" s="21"/>
      <c r="RGT53" s="15"/>
      <c r="RGZ53" s="25"/>
      <c r="RHG53" s="21"/>
      <c r="RHH53" s="21"/>
      <c r="RHL53" s="15"/>
      <c r="RHR53" s="25"/>
      <c r="RHY53" s="21"/>
      <c r="RHZ53" s="21"/>
      <c r="RID53" s="15"/>
      <c r="RIJ53" s="25"/>
      <c r="RIQ53" s="21"/>
      <c r="RIR53" s="21"/>
      <c r="RIV53" s="15"/>
      <c r="RJB53" s="25"/>
      <c r="RJI53" s="21"/>
      <c r="RJJ53" s="21"/>
      <c r="RJN53" s="15"/>
      <c r="RJT53" s="25"/>
      <c r="RKA53" s="21"/>
      <c r="RKB53" s="21"/>
      <c r="RKF53" s="15"/>
      <c r="RKL53" s="25"/>
      <c r="RKS53" s="21"/>
      <c r="RKT53" s="21"/>
      <c r="RKX53" s="15"/>
      <c r="RLD53" s="25"/>
      <c r="RLK53" s="21"/>
      <c r="RLL53" s="21"/>
      <c r="RLP53" s="15"/>
      <c r="RLV53" s="25"/>
      <c r="RMC53" s="21"/>
      <c r="RMD53" s="21"/>
      <c r="RMH53" s="15"/>
      <c r="RMN53" s="25"/>
      <c r="RMU53" s="21"/>
      <c r="RMV53" s="21"/>
      <c r="RMZ53" s="15"/>
      <c r="RNF53" s="25"/>
      <c r="RNM53" s="21"/>
      <c r="RNN53" s="21"/>
      <c r="RNR53" s="15"/>
      <c r="RNX53" s="25"/>
      <c r="ROE53" s="21"/>
      <c r="ROF53" s="21"/>
      <c r="ROJ53" s="15"/>
      <c r="ROP53" s="25"/>
      <c r="ROW53" s="21"/>
      <c r="ROX53" s="21"/>
      <c r="RPB53" s="15"/>
      <c r="RPH53" s="25"/>
      <c r="RPO53" s="21"/>
      <c r="RPP53" s="21"/>
      <c r="RPT53" s="15"/>
      <c r="RPZ53" s="25"/>
      <c r="RQG53" s="21"/>
      <c r="RQH53" s="21"/>
      <c r="RQL53" s="15"/>
      <c r="RQR53" s="25"/>
      <c r="RQY53" s="21"/>
      <c r="RQZ53" s="21"/>
      <c r="RRD53" s="15"/>
      <c r="RRJ53" s="25"/>
      <c r="RRQ53" s="21"/>
      <c r="RRR53" s="21"/>
      <c r="RRV53" s="15"/>
      <c r="RSB53" s="25"/>
      <c r="RSI53" s="21"/>
      <c r="RSJ53" s="21"/>
      <c r="RSN53" s="15"/>
      <c r="RST53" s="25"/>
      <c r="RTA53" s="21"/>
      <c r="RTB53" s="21"/>
      <c r="RTF53" s="15"/>
      <c r="RTL53" s="25"/>
      <c r="RTS53" s="21"/>
      <c r="RTT53" s="21"/>
      <c r="RTX53" s="15"/>
      <c r="RUD53" s="25"/>
      <c r="RUK53" s="21"/>
      <c r="RUL53" s="21"/>
      <c r="RUP53" s="15"/>
      <c r="RUV53" s="25"/>
      <c r="RVC53" s="21"/>
      <c r="RVD53" s="21"/>
      <c r="RVH53" s="15"/>
      <c r="RVN53" s="25"/>
      <c r="RVU53" s="21"/>
      <c r="RVV53" s="21"/>
      <c r="RVZ53" s="15"/>
      <c r="RWF53" s="25"/>
      <c r="RWM53" s="21"/>
      <c r="RWN53" s="21"/>
      <c r="RWR53" s="15"/>
      <c r="RWX53" s="25"/>
      <c r="RXE53" s="21"/>
      <c r="RXF53" s="21"/>
      <c r="RXJ53" s="15"/>
      <c r="RXP53" s="25"/>
      <c r="RXW53" s="21"/>
      <c r="RXX53" s="21"/>
      <c r="RYB53" s="15"/>
      <c r="RYH53" s="25"/>
      <c r="RYO53" s="21"/>
      <c r="RYP53" s="21"/>
      <c r="RYT53" s="15"/>
      <c r="RYZ53" s="25"/>
      <c r="RZG53" s="21"/>
      <c r="RZH53" s="21"/>
      <c r="RZL53" s="15"/>
      <c r="RZR53" s="25"/>
      <c r="RZY53" s="21"/>
      <c r="RZZ53" s="21"/>
      <c r="SAD53" s="15"/>
      <c r="SAJ53" s="25"/>
      <c r="SAQ53" s="21"/>
      <c r="SAR53" s="21"/>
      <c r="SAV53" s="15"/>
      <c r="SBB53" s="25"/>
      <c r="SBI53" s="21"/>
      <c r="SBJ53" s="21"/>
      <c r="SBN53" s="15"/>
      <c r="SBT53" s="25"/>
      <c r="SCA53" s="21"/>
      <c r="SCB53" s="21"/>
      <c r="SCF53" s="15"/>
      <c r="SCL53" s="25"/>
      <c r="SCS53" s="21"/>
      <c r="SCT53" s="21"/>
      <c r="SCX53" s="15"/>
      <c r="SDD53" s="25"/>
      <c r="SDK53" s="21"/>
      <c r="SDL53" s="21"/>
      <c r="SDP53" s="15"/>
      <c r="SDV53" s="25"/>
      <c r="SEC53" s="21"/>
      <c r="SED53" s="21"/>
      <c r="SEH53" s="15"/>
      <c r="SEN53" s="25"/>
      <c r="SEU53" s="21"/>
      <c r="SEV53" s="21"/>
      <c r="SEZ53" s="15"/>
      <c r="SFF53" s="25"/>
      <c r="SFM53" s="21"/>
      <c r="SFN53" s="21"/>
      <c r="SFR53" s="15"/>
      <c r="SFX53" s="25"/>
      <c r="SGE53" s="21"/>
      <c r="SGF53" s="21"/>
      <c r="SGJ53" s="15"/>
      <c r="SGP53" s="25"/>
      <c r="SGW53" s="21"/>
      <c r="SGX53" s="21"/>
      <c r="SHB53" s="15"/>
      <c r="SHH53" s="25"/>
      <c r="SHO53" s="21"/>
      <c r="SHP53" s="21"/>
      <c r="SHT53" s="15"/>
      <c r="SHZ53" s="25"/>
      <c r="SIG53" s="21"/>
      <c r="SIH53" s="21"/>
      <c r="SIL53" s="15"/>
      <c r="SIR53" s="25"/>
      <c r="SIY53" s="21"/>
      <c r="SIZ53" s="21"/>
      <c r="SJD53" s="15"/>
      <c r="SJJ53" s="25"/>
      <c r="SJQ53" s="21"/>
      <c r="SJR53" s="21"/>
      <c r="SJV53" s="15"/>
      <c r="SKB53" s="25"/>
      <c r="SKI53" s="21"/>
      <c r="SKJ53" s="21"/>
      <c r="SKN53" s="15"/>
      <c r="SKT53" s="25"/>
      <c r="SLA53" s="21"/>
      <c r="SLB53" s="21"/>
      <c r="SLF53" s="15"/>
      <c r="SLL53" s="25"/>
      <c r="SLS53" s="21"/>
      <c r="SLT53" s="21"/>
      <c r="SLX53" s="15"/>
      <c r="SMD53" s="25"/>
      <c r="SMK53" s="21"/>
      <c r="SML53" s="21"/>
      <c r="SMP53" s="15"/>
      <c r="SMV53" s="25"/>
      <c r="SNC53" s="21"/>
      <c r="SND53" s="21"/>
      <c r="SNH53" s="15"/>
      <c r="SNN53" s="25"/>
      <c r="SNU53" s="21"/>
      <c r="SNV53" s="21"/>
      <c r="SNZ53" s="15"/>
      <c r="SOF53" s="25"/>
      <c r="SOM53" s="21"/>
      <c r="SON53" s="21"/>
      <c r="SOR53" s="15"/>
      <c r="SOX53" s="25"/>
      <c r="SPE53" s="21"/>
      <c r="SPF53" s="21"/>
      <c r="SPJ53" s="15"/>
      <c r="SPP53" s="25"/>
      <c r="SPW53" s="21"/>
      <c r="SPX53" s="21"/>
      <c r="SQB53" s="15"/>
      <c r="SQH53" s="25"/>
      <c r="SQO53" s="21"/>
      <c r="SQP53" s="21"/>
      <c r="SQT53" s="15"/>
      <c r="SQZ53" s="25"/>
      <c r="SRG53" s="21"/>
      <c r="SRH53" s="21"/>
      <c r="SRL53" s="15"/>
      <c r="SRR53" s="25"/>
      <c r="SRY53" s="21"/>
      <c r="SRZ53" s="21"/>
      <c r="SSD53" s="15"/>
      <c r="SSJ53" s="25"/>
      <c r="SSQ53" s="21"/>
      <c r="SSR53" s="21"/>
      <c r="SSV53" s="15"/>
      <c r="STB53" s="25"/>
      <c r="STI53" s="21"/>
      <c r="STJ53" s="21"/>
      <c r="STN53" s="15"/>
      <c r="STT53" s="25"/>
      <c r="SUA53" s="21"/>
      <c r="SUB53" s="21"/>
      <c r="SUF53" s="15"/>
      <c r="SUL53" s="25"/>
      <c r="SUS53" s="21"/>
      <c r="SUT53" s="21"/>
      <c r="SUX53" s="15"/>
      <c r="SVD53" s="25"/>
      <c r="SVK53" s="21"/>
      <c r="SVL53" s="21"/>
      <c r="SVP53" s="15"/>
      <c r="SVV53" s="25"/>
      <c r="SWC53" s="21"/>
      <c r="SWD53" s="21"/>
      <c r="SWH53" s="15"/>
      <c r="SWN53" s="25"/>
      <c r="SWU53" s="21"/>
      <c r="SWV53" s="21"/>
      <c r="SWZ53" s="15"/>
      <c r="SXF53" s="25"/>
      <c r="SXM53" s="21"/>
      <c r="SXN53" s="21"/>
      <c r="SXR53" s="15"/>
      <c r="SXX53" s="25"/>
      <c r="SYE53" s="21"/>
      <c r="SYF53" s="21"/>
      <c r="SYJ53" s="15"/>
      <c r="SYP53" s="25"/>
      <c r="SYW53" s="21"/>
      <c r="SYX53" s="21"/>
      <c r="SZB53" s="15"/>
      <c r="SZH53" s="25"/>
      <c r="SZO53" s="21"/>
      <c r="SZP53" s="21"/>
      <c r="SZT53" s="15"/>
      <c r="SZZ53" s="25"/>
      <c r="TAG53" s="21"/>
      <c r="TAH53" s="21"/>
      <c r="TAL53" s="15"/>
      <c r="TAR53" s="25"/>
      <c r="TAY53" s="21"/>
      <c r="TAZ53" s="21"/>
      <c r="TBD53" s="15"/>
      <c r="TBJ53" s="25"/>
      <c r="TBQ53" s="21"/>
      <c r="TBR53" s="21"/>
      <c r="TBV53" s="15"/>
      <c r="TCB53" s="25"/>
      <c r="TCI53" s="21"/>
      <c r="TCJ53" s="21"/>
      <c r="TCN53" s="15"/>
      <c r="TCT53" s="25"/>
      <c r="TDA53" s="21"/>
      <c r="TDB53" s="21"/>
      <c r="TDF53" s="15"/>
      <c r="TDL53" s="25"/>
      <c r="TDS53" s="21"/>
      <c r="TDT53" s="21"/>
      <c r="TDX53" s="15"/>
      <c r="TED53" s="25"/>
      <c r="TEK53" s="21"/>
      <c r="TEL53" s="21"/>
      <c r="TEP53" s="15"/>
      <c r="TEV53" s="25"/>
      <c r="TFC53" s="21"/>
      <c r="TFD53" s="21"/>
      <c r="TFH53" s="15"/>
      <c r="TFN53" s="25"/>
      <c r="TFU53" s="21"/>
      <c r="TFV53" s="21"/>
      <c r="TFZ53" s="15"/>
      <c r="TGF53" s="25"/>
      <c r="TGM53" s="21"/>
      <c r="TGN53" s="21"/>
      <c r="TGR53" s="15"/>
      <c r="TGX53" s="25"/>
      <c r="THE53" s="21"/>
      <c r="THF53" s="21"/>
      <c r="THJ53" s="15"/>
      <c r="THP53" s="25"/>
      <c r="THW53" s="21"/>
      <c r="THX53" s="21"/>
      <c r="TIB53" s="15"/>
      <c r="TIH53" s="25"/>
      <c r="TIO53" s="21"/>
      <c r="TIP53" s="21"/>
      <c r="TIT53" s="15"/>
      <c r="TIZ53" s="25"/>
      <c r="TJG53" s="21"/>
      <c r="TJH53" s="21"/>
      <c r="TJL53" s="15"/>
      <c r="TJR53" s="25"/>
      <c r="TJY53" s="21"/>
      <c r="TJZ53" s="21"/>
      <c r="TKD53" s="15"/>
      <c r="TKJ53" s="25"/>
      <c r="TKQ53" s="21"/>
      <c r="TKR53" s="21"/>
      <c r="TKV53" s="15"/>
      <c r="TLB53" s="25"/>
      <c r="TLI53" s="21"/>
      <c r="TLJ53" s="21"/>
      <c r="TLN53" s="15"/>
      <c r="TLT53" s="25"/>
      <c r="TMA53" s="21"/>
      <c r="TMB53" s="21"/>
      <c r="TMF53" s="15"/>
      <c r="TML53" s="25"/>
      <c r="TMS53" s="21"/>
      <c r="TMT53" s="21"/>
      <c r="TMX53" s="15"/>
      <c r="TND53" s="25"/>
      <c r="TNK53" s="21"/>
      <c r="TNL53" s="21"/>
      <c r="TNP53" s="15"/>
      <c r="TNV53" s="25"/>
      <c r="TOC53" s="21"/>
      <c r="TOD53" s="21"/>
      <c r="TOH53" s="15"/>
      <c r="TON53" s="25"/>
      <c r="TOU53" s="21"/>
      <c r="TOV53" s="21"/>
      <c r="TOZ53" s="15"/>
      <c r="TPF53" s="25"/>
      <c r="TPM53" s="21"/>
      <c r="TPN53" s="21"/>
      <c r="TPR53" s="15"/>
      <c r="TPX53" s="25"/>
      <c r="TQE53" s="21"/>
      <c r="TQF53" s="21"/>
      <c r="TQJ53" s="15"/>
      <c r="TQP53" s="25"/>
      <c r="TQW53" s="21"/>
      <c r="TQX53" s="21"/>
      <c r="TRB53" s="15"/>
      <c r="TRH53" s="25"/>
      <c r="TRO53" s="21"/>
      <c r="TRP53" s="21"/>
      <c r="TRT53" s="15"/>
      <c r="TRZ53" s="25"/>
      <c r="TSG53" s="21"/>
      <c r="TSH53" s="21"/>
      <c r="TSL53" s="15"/>
      <c r="TSR53" s="25"/>
      <c r="TSY53" s="21"/>
      <c r="TSZ53" s="21"/>
      <c r="TTD53" s="15"/>
      <c r="TTJ53" s="25"/>
      <c r="TTQ53" s="21"/>
      <c r="TTR53" s="21"/>
      <c r="TTV53" s="15"/>
      <c r="TUB53" s="25"/>
      <c r="TUI53" s="21"/>
      <c r="TUJ53" s="21"/>
      <c r="TUN53" s="15"/>
      <c r="TUT53" s="25"/>
      <c r="TVA53" s="21"/>
      <c r="TVB53" s="21"/>
      <c r="TVF53" s="15"/>
      <c r="TVL53" s="25"/>
      <c r="TVS53" s="21"/>
      <c r="TVT53" s="21"/>
      <c r="TVX53" s="15"/>
      <c r="TWD53" s="25"/>
      <c r="TWK53" s="21"/>
      <c r="TWL53" s="21"/>
      <c r="TWP53" s="15"/>
      <c r="TWV53" s="25"/>
      <c r="TXC53" s="21"/>
      <c r="TXD53" s="21"/>
      <c r="TXH53" s="15"/>
      <c r="TXN53" s="25"/>
      <c r="TXU53" s="21"/>
      <c r="TXV53" s="21"/>
      <c r="TXZ53" s="15"/>
      <c r="TYF53" s="25"/>
      <c r="TYM53" s="21"/>
      <c r="TYN53" s="21"/>
      <c r="TYR53" s="15"/>
      <c r="TYX53" s="25"/>
      <c r="TZE53" s="21"/>
      <c r="TZF53" s="21"/>
      <c r="TZJ53" s="15"/>
      <c r="TZP53" s="25"/>
      <c r="TZW53" s="21"/>
      <c r="TZX53" s="21"/>
      <c r="UAB53" s="15"/>
      <c r="UAH53" s="25"/>
      <c r="UAO53" s="21"/>
      <c r="UAP53" s="21"/>
      <c r="UAT53" s="15"/>
      <c r="UAZ53" s="25"/>
      <c r="UBG53" s="21"/>
      <c r="UBH53" s="21"/>
      <c r="UBL53" s="15"/>
      <c r="UBR53" s="25"/>
      <c r="UBY53" s="21"/>
      <c r="UBZ53" s="21"/>
      <c r="UCD53" s="15"/>
      <c r="UCJ53" s="25"/>
      <c r="UCQ53" s="21"/>
      <c r="UCR53" s="21"/>
      <c r="UCV53" s="15"/>
      <c r="UDB53" s="25"/>
      <c r="UDI53" s="21"/>
      <c r="UDJ53" s="21"/>
      <c r="UDN53" s="15"/>
      <c r="UDT53" s="25"/>
      <c r="UEA53" s="21"/>
      <c r="UEB53" s="21"/>
      <c r="UEF53" s="15"/>
      <c r="UEL53" s="25"/>
      <c r="UES53" s="21"/>
      <c r="UET53" s="21"/>
      <c r="UEX53" s="15"/>
      <c r="UFD53" s="25"/>
      <c r="UFK53" s="21"/>
      <c r="UFL53" s="21"/>
      <c r="UFP53" s="15"/>
      <c r="UFV53" s="25"/>
      <c r="UGC53" s="21"/>
      <c r="UGD53" s="21"/>
      <c r="UGH53" s="15"/>
      <c r="UGN53" s="25"/>
      <c r="UGU53" s="21"/>
      <c r="UGV53" s="21"/>
      <c r="UGZ53" s="15"/>
      <c r="UHF53" s="25"/>
      <c r="UHM53" s="21"/>
      <c r="UHN53" s="21"/>
      <c r="UHR53" s="15"/>
      <c r="UHX53" s="25"/>
      <c r="UIE53" s="21"/>
      <c r="UIF53" s="21"/>
      <c r="UIJ53" s="15"/>
      <c r="UIP53" s="25"/>
      <c r="UIW53" s="21"/>
      <c r="UIX53" s="21"/>
      <c r="UJB53" s="15"/>
      <c r="UJH53" s="25"/>
      <c r="UJO53" s="21"/>
      <c r="UJP53" s="21"/>
      <c r="UJT53" s="15"/>
      <c r="UJZ53" s="25"/>
      <c r="UKG53" s="21"/>
      <c r="UKH53" s="21"/>
      <c r="UKL53" s="15"/>
      <c r="UKR53" s="25"/>
      <c r="UKY53" s="21"/>
      <c r="UKZ53" s="21"/>
      <c r="ULD53" s="15"/>
      <c r="ULJ53" s="25"/>
      <c r="ULQ53" s="21"/>
      <c r="ULR53" s="21"/>
      <c r="ULV53" s="15"/>
      <c r="UMB53" s="25"/>
      <c r="UMI53" s="21"/>
      <c r="UMJ53" s="21"/>
      <c r="UMN53" s="15"/>
      <c r="UMT53" s="25"/>
      <c r="UNA53" s="21"/>
      <c r="UNB53" s="21"/>
      <c r="UNF53" s="15"/>
      <c r="UNL53" s="25"/>
      <c r="UNS53" s="21"/>
      <c r="UNT53" s="21"/>
      <c r="UNX53" s="15"/>
      <c r="UOD53" s="25"/>
      <c r="UOK53" s="21"/>
      <c r="UOL53" s="21"/>
      <c r="UOP53" s="15"/>
      <c r="UOV53" s="25"/>
      <c r="UPC53" s="21"/>
      <c r="UPD53" s="21"/>
      <c r="UPH53" s="15"/>
      <c r="UPN53" s="25"/>
      <c r="UPU53" s="21"/>
      <c r="UPV53" s="21"/>
      <c r="UPZ53" s="15"/>
      <c r="UQF53" s="25"/>
      <c r="UQM53" s="21"/>
      <c r="UQN53" s="21"/>
      <c r="UQR53" s="15"/>
      <c r="UQX53" s="25"/>
      <c r="URE53" s="21"/>
      <c r="URF53" s="21"/>
      <c r="URJ53" s="15"/>
      <c r="URP53" s="25"/>
      <c r="URW53" s="21"/>
      <c r="URX53" s="21"/>
      <c r="USB53" s="15"/>
      <c r="USH53" s="25"/>
      <c r="USO53" s="21"/>
      <c r="USP53" s="21"/>
      <c r="UST53" s="15"/>
      <c r="USZ53" s="25"/>
      <c r="UTG53" s="21"/>
      <c r="UTH53" s="21"/>
      <c r="UTL53" s="15"/>
      <c r="UTR53" s="25"/>
      <c r="UTY53" s="21"/>
      <c r="UTZ53" s="21"/>
      <c r="UUD53" s="15"/>
      <c r="UUJ53" s="25"/>
      <c r="UUQ53" s="21"/>
      <c r="UUR53" s="21"/>
      <c r="UUV53" s="15"/>
      <c r="UVB53" s="25"/>
      <c r="UVI53" s="21"/>
      <c r="UVJ53" s="21"/>
      <c r="UVN53" s="15"/>
      <c r="UVT53" s="25"/>
      <c r="UWA53" s="21"/>
      <c r="UWB53" s="21"/>
      <c r="UWF53" s="15"/>
      <c r="UWL53" s="25"/>
      <c r="UWS53" s="21"/>
      <c r="UWT53" s="21"/>
      <c r="UWX53" s="15"/>
      <c r="UXD53" s="25"/>
      <c r="UXK53" s="21"/>
      <c r="UXL53" s="21"/>
      <c r="UXP53" s="15"/>
      <c r="UXV53" s="25"/>
      <c r="UYC53" s="21"/>
      <c r="UYD53" s="21"/>
      <c r="UYH53" s="15"/>
      <c r="UYN53" s="25"/>
      <c r="UYU53" s="21"/>
      <c r="UYV53" s="21"/>
      <c r="UYZ53" s="15"/>
      <c r="UZF53" s="25"/>
      <c r="UZM53" s="21"/>
      <c r="UZN53" s="21"/>
      <c r="UZR53" s="15"/>
      <c r="UZX53" s="25"/>
      <c r="VAE53" s="21"/>
      <c r="VAF53" s="21"/>
      <c r="VAJ53" s="15"/>
      <c r="VAP53" s="25"/>
      <c r="VAW53" s="21"/>
      <c r="VAX53" s="21"/>
      <c r="VBB53" s="15"/>
      <c r="VBH53" s="25"/>
      <c r="VBO53" s="21"/>
      <c r="VBP53" s="21"/>
      <c r="VBT53" s="15"/>
      <c r="VBZ53" s="25"/>
      <c r="VCG53" s="21"/>
      <c r="VCH53" s="21"/>
      <c r="VCL53" s="15"/>
      <c r="VCR53" s="25"/>
      <c r="VCY53" s="21"/>
      <c r="VCZ53" s="21"/>
      <c r="VDD53" s="15"/>
      <c r="VDJ53" s="25"/>
      <c r="VDQ53" s="21"/>
      <c r="VDR53" s="21"/>
      <c r="VDV53" s="15"/>
      <c r="VEB53" s="25"/>
      <c r="VEI53" s="21"/>
      <c r="VEJ53" s="21"/>
      <c r="VEN53" s="15"/>
      <c r="VET53" s="25"/>
      <c r="VFA53" s="21"/>
      <c r="VFB53" s="21"/>
      <c r="VFF53" s="15"/>
      <c r="VFL53" s="25"/>
      <c r="VFS53" s="21"/>
      <c r="VFT53" s="21"/>
      <c r="VFX53" s="15"/>
      <c r="VGD53" s="25"/>
      <c r="VGK53" s="21"/>
      <c r="VGL53" s="21"/>
      <c r="VGP53" s="15"/>
      <c r="VGV53" s="25"/>
      <c r="VHC53" s="21"/>
      <c r="VHD53" s="21"/>
      <c r="VHH53" s="15"/>
      <c r="VHN53" s="25"/>
      <c r="VHU53" s="21"/>
      <c r="VHV53" s="21"/>
      <c r="VHZ53" s="15"/>
      <c r="VIF53" s="25"/>
      <c r="VIM53" s="21"/>
      <c r="VIN53" s="21"/>
      <c r="VIR53" s="15"/>
      <c r="VIX53" s="25"/>
      <c r="VJE53" s="21"/>
      <c r="VJF53" s="21"/>
      <c r="VJJ53" s="15"/>
      <c r="VJP53" s="25"/>
      <c r="VJW53" s="21"/>
      <c r="VJX53" s="21"/>
      <c r="VKB53" s="15"/>
      <c r="VKH53" s="25"/>
      <c r="VKO53" s="21"/>
      <c r="VKP53" s="21"/>
      <c r="VKT53" s="15"/>
      <c r="VKZ53" s="25"/>
      <c r="VLG53" s="21"/>
      <c r="VLH53" s="21"/>
      <c r="VLL53" s="15"/>
      <c r="VLR53" s="25"/>
      <c r="VLY53" s="21"/>
      <c r="VLZ53" s="21"/>
      <c r="VMD53" s="15"/>
      <c r="VMJ53" s="25"/>
      <c r="VMQ53" s="21"/>
      <c r="VMR53" s="21"/>
      <c r="VMV53" s="15"/>
      <c r="VNB53" s="25"/>
      <c r="VNI53" s="21"/>
      <c r="VNJ53" s="21"/>
      <c r="VNN53" s="15"/>
      <c r="VNT53" s="25"/>
      <c r="VOA53" s="21"/>
      <c r="VOB53" s="21"/>
      <c r="VOF53" s="15"/>
      <c r="VOL53" s="25"/>
      <c r="VOS53" s="21"/>
      <c r="VOT53" s="21"/>
      <c r="VOX53" s="15"/>
      <c r="VPD53" s="25"/>
      <c r="VPK53" s="21"/>
      <c r="VPL53" s="21"/>
      <c r="VPP53" s="15"/>
      <c r="VPV53" s="25"/>
      <c r="VQC53" s="21"/>
      <c r="VQD53" s="21"/>
      <c r="VQH53" s="15"/>
      <c r="VQN53" s="25"/>
      <c r="VQU53" s="21"/>
      <c r="VQV53" s="21"/>
      <c r="VQZ53" s="15"/>
      <c r="VRF53" s="25"/>
      <c r="VRM53" s="21"/>
      <c r="VRN53" s="21"/>
      <c r="VRR53" s="15"/>
      <c r="VRX53" s="25"/>
      <c r="VSE53" s="21"/>
      <c r="VSF53" s="21"/>
      <c r="VSJ53" s="15"/>
      <c r="VSP53" s="25"/>
      <c r="VSW53" s="21"/>
      <c r="VSX53" s="21"/>
      <c r="VTB53" s="15"/>
      <c r="VTH53" s="25"/>
      <c r="VTO53" s="21"/>
      <c r="VTP53" s="21"/>
      <c r="VTT53" s="15"/>
      <c r="VTZ53" s="25"/>
      <c r="VUG53" s="21"/>
      <c r="VUH53" s="21"/>
      <c r="VUL53" s="15"/>
      <c r="VUR53" s="25"/>
      <c r="VUY53" s="21"/>
      <c r="VUZ53" s="21"/>
      <c r="VVD53" s="15"/>
      <c r="VVJ53" s="25"/>
      <c r="VVQ53" s="21"/>
      <c r="VVR53" s="21"/>
      <c r="VVV53" s="15"/>
      <c r="VWB53" s="25"/>
      <c r="VWI53" s="21"/>
      <c r="VWJ53" s="21"/>
      <c r="VWN53" s="15"/>
      <c r="VWT53" s="25"/>
      <c r="VXA53" s="21"/>
      <c r="VXB53" s="21"/>
      <c r="VXF53" s="15"/>
      <c r="VXL53" s="25"/>
      <c r="VXS53" s="21"/>
      <c r="VXT53" s="21"/>
      <c r="VXX53" s="15"/>
      <c r="VYD53" s="25"/>
      <c r="VYK53" s="21"/>
      <c r="VYL53" s="21"/>
      <c r="VYP53" s="15"/>
      <c r="VYV53" s="25"/>
      <c r="VZC53" s="21"/>
      <c r="VZD53" s="21"/>
      <c r="VZH53" s="15"/>
      <c r="VZN53" s="25"/>
      <c r="VZU53" s="21"/>
      <c r="VZV53" s="21"/>
      <c r="VZZ53" s="15"/>
      <c r="WAF53" s="25"/>
      <c r="WAM53" s="21"/>
      <c r="WAN53" s="21"/>
      <c r="WAR53" s="15"/>
      <c r="WAX53" s="25"/>
      <c r="WBE53" s="21"/>
      <c r="WBF53" s="21"/>
      <c r="WBJ53" s="15"/>
      <c r="WBP53" s="25"/>
      <c r="WBW53" s="21"/>
      <c r="WBX53" s="21"/>
      <c r="WCB53" s="15"/>
      <c r="WCH53" s="25"/>
      <c r="WCO53" s="21"/>
      <c r="WCP53" s="21"/>
      <c r="WCT53" s="15"/>
      <c r="WCZ53" s="25"/>
      <c r="WDG53" s="21"/>
      <c r="WDH53" s="21"/>
      <c r="WDL53" s="15"/>
      <c r="WDR53" s="25"/>
      <c r="WDY53" s="21"/>
      <c r="WDZ53" s="21"/>
      <c r="WED53" s="15"/>
      <c r="WEJ53" s="25"/>
      <c r="WEQ53" s="21"/>
      <c r="WER53" s="21"/>
      <c r="WEV53" s="15"/>
      <c r="WFB53" s="25"/>
      <c r="WFI53" s="21"/>
      <c r="WFJ53" s="21"/>
      <c r="WFN53" s="15"/>
      <c r="WFT53" s="25"/>
      <c r="WGA53" s="21"/>
      <c r="WGB53" s="21"/>
      <c r="WGF53" s="15"/>
      <c r="WGL53" s="25"/>
      <c r="WGS53" s="21"/>
      <c r="WGT53" s="21"/>
      <c r="WGX53" s="15"/>
      <c r="WHD53" s="25"/>
      <c r="WHK53" s="21"/>
      <c r="WHL53" s="21"/>
      <c r="WHP53" s="15"/>
      <c r="WHV53" s="25"/>
      <c r="WIC53" s="21"/>
      <c r="WID53" s="21"/>
      <c r="WIH53" s="15"/>
      <c r="WIN53" s="25"/>
      <c r="WIU53" s="21"/>
      <c r="WIV53" s="21"/>
      <c r="WIZ53" s="15"/>
      <c r="WJF53" s="25"/>
      <c r="WJM53" s="21"/>
      <c r="WJN53" s="21"/>
      <c r="WJR53" s="15"/>
      <c r="WJX53" s="25"/>
      <c r="WKE53" s="21"/>
      <c r="WKF53" s="21"/>
      <c r="WKJ53" s="15"/>
      <c r="WKP53" s="25"/>
      <c r="WKW53" s="21"/>
      <c r="WKX53" s="21"/>
      <c r="WLB53" s="15"/>
      <c r="WLH53" s="25"/>
      <c r="WLO53" s="21"/>
      <c r="WLP53" s="21"/>
      <c r="WLT53" s="15"/>
      <c r="WLZ53" s="25"/>
      <c r="WMG53" s="21"/>
      <c r="WMH53" s="21"/>
      <c r="WML53" s="15"/>
      <c r="WMR53" s="25"/>
      <c r="WMY53" s="21"/>
      <c r="WMZ53" s="21"/>
      <c r="WND53" s="15"/>
      <c r="WNJ53" s="25"/>
      <c r="WNQ53" s="21"/>
      <c r="WNR53" s="21"/>
      <c r="WNV53" s="15"/>
      <c r="WOB53" s="25"/>
      <c r="WOI53" s="21"/>
      <c r="WOJ53" s="21"/>
      <c r="WON53" s="15"/>
      <c r="WOT53" s="25"/>
      <c r="WPA53" s="21"/>
      <c r="WPB53" s="21"/>
      <c r="WPF53" s="15"/>
      <c r="WPL53" s="25"/>
      <c r="WPS53" s="21"/>
      <c r="WPT53" s="21"/>
      <c r="WPX53" s="15"/>
      <c r="WQD53" s="25"/>
      <c r="WQK53" s="21"/>
      <c r="WQL53" s="21"/>
      <c r="WQP53" s="15"/>
      <c r="WQV53" s="25"/>
      <c r="WRC53" s="21"/>
      <c r="WRD53" s="21"/>
      <c r="WRH53" s="15"/>
      <c r="WRN53" s="25"/>
      <c r="WRU53" s="21"/>
      <c r="WRV53" s="21"/>
      <c r="WRZ53" s="15"/>
      <c r="WSF53" s="25"/>
      <c r="WSM53" s="21"/>
      <c r="WSN53" s="21"/>
      <c r="WSR53" s="15"/>
      <c r="WSX53" s="25"/>
      <c r="WTE53" s="21"/>
      <c r="WTF53" s="21"/>
      <c r="WTJ53" s="15"/>
      <c r="WTP53" s="25"/>
      <c r="WTW53" s="21"/>
      <c r="WTX53" s="21"/>
      <c r="WUB53" s="15"/>
      <c r="WUH53" s="25"/>
      <c r="WUO53" s="21"/>
      <c r="WUP53" s="21"/>
      <c r="WUT53" s="15"/>
      <c r="WUZ53" s="25"/>
      <c r="WVG53" s="21"/>
      <c r="WVH53" s="21"/>
      <c r="WVL53" s="15"/>
      <c r="WVR53" s="25"/>
      <c r="WVY53" s="21"/>
      <c r="WVZ53" s="21"/>
      <c r="WWD53" s="15"/>
      <c r="WWJ53" s="25"/>
      <c r="WWQ53" s="21"/>
      <c r="WWR53" s="21"/>
      <c r="WWV53" s="15"/>
      <c r="WXB53" s="25"/>
      <c r="WXI53" s="21"/>
      <c r="WXJ53" s="21"/>
      <c r="WXN53" s="15"/>
      <c r="WXT53" s="25"/>
      <c r="WYA53" s="21"/>
      <c r="WYB53" s="21"/>
      <c r="WYF53" s="15"/>
      <c r="WYL53" s="25"/>
      <c r="WYS53" s="21"/>
      <c r="WYT53" s="21"/>
      <c r="WYX53" s="15"/>
      <c r="WZD53" s="25"/>
      <c r="WZK53" s="21"/>
      <c r="WZL53" s="21"/>
      <c r="WZP53" s="15"/>
      <c r="WZV53" s="25"/>
      <c r="XAC53" s="21"/>
      <c r="XAD53" s="21"/>
      <c r="XAH53" s="15"/>
      <c r="XAN53" s="25"/>
      <c r="XAU53" s="21"/>
      <c r="XAV53" s="21"/>
      <c r="XAZ53" s="15"/>
      <c r="XBF53" s="25"/>
      <c r="XBM53" s="21"/>
      <c r="XBN53" s="21"/>
      <c r="XBR53" s="15"/>
      <c r="XBX53" s="25"/>
      <c r="XCE53" s="21"/>
      <c r="XCF53" s="21"/>
      <c r="XCJ53" s="15"/>
      <c r="XCP53" s="25"/>
      <c r="XCW53" s="21"/>
      <c r="XCX53" s="21"/>
      <c r="XDB53" s="15"/>
      <c r="XDH53" s="25"/>
      <c r="XDO53" s="21"/>
      <c r="XDP53" s="21"/>
      <c r="XDT53" s="15"/>
      <c r="XDZ53" s="25"/>
      <c r="XEG53" s="21"/>
      <c r="XEH53" s="21"/>
      <c r="XEL53" s="15"/>
      <c r="XER53" s="25"/>
      <c r="XEY53" s="21"/>
      <c r="XEZ53" s="21"/>
      <c r="XFD53" s="15"/>
    </row>
    <row r="54" spans="1:1018 1025:2044 2051:3070 3077:4096 4103:5116 5122:6142 6148:7168 7174:8190 8194:9216 9220:10234 10241:11260 11267:12286 12293:13312 13319:14332 14338:15358 15364:16384" s="24" customFormat="1">
      <c r="A54" s="21" t="s">
        <v>165</v>
      </c>
      <c r="B54" s="12">
        <v>2011</v>
      </c>
      <c r="C54" s="19" t="s">
        <v>153</v>
      </c>
      <c r="D54" s="22" t="s">
        <v>86</v>
      </c>
      <c r="E54" s="19" t="s">
        <v>145</v>
      </c>
      <c r="F54" s="19" t="s">
        <v>35</v>
      </c>
      <c r="G54" s="55">
        <v>389368836.09803921</v>
      </c>
      <c r="H54" s="55">
        <v>397882411.3509804</v>
      </c>
      <c r="I54" s="19">
        <v>24</v>
      </c>
      <c r="J54" s="52" t="s">
        <v>166</v>
      </c>
      <c r="K54" s="22"/>
      <c r="L54" s="22"/>
      <c r="M54" s="22" t="s">
        <v>26</v>
      </c>
      <c r="N54" s="12"/>
      <c r="O54" s="22"/>
      <c r="P54" s="12"/>
      <c r="Q54" s="22"/>
      <c r="R54" s="22"/>
      <c r="V54" s="15"/>
      <c r="AB54" s="25"/>
      <c r="AI54" s="21"/>
      <c r="AJ54" s="21"/>
      <c r="AN54" s="15"/>
      <c r="AT54" s="25"/>
      <c r="BA54" s="21"/>
      <c r="BB54" s="21"/>
      <c r="BF54" s="15"/>
      <c r="BL54" s="25"/>
      <c r="BS54" s="21"/>
      <c r="BT54" s="21"/>
      <c r="BX54" s="15"/>
      <c r="CD54" s="25"/>
      <c r="CK54" s="21"/>
      <c r="CL54" s="21"/>
      <c r="CP54" s="15"/>
      <c r="CV54" s="25"/>
      <c r="DC54" s="21"/>
      <c r="DD54" s="21"/>
      <c r="DH54" s="15"/>
      <c r="DN54" s="25"/>
      <c r="DU54" s="21"/>
      <c r="DV54" s="21"/>
      <c r="DZ54" s="15"/>
      <c r="EF54" s="25"/>
      <c r="EM54" s="21"/>
      <c r="EN54" s="21"/>
      <c r="ER54" s="15"/>
      <c r="EX54" s="25"/>
      <c r="FE54" s="21"/>
      <c r="FF54" s="21"/>
      <c r="FJ54" s="15"/>
      <c r="FP54" s="25"/>
      <c r="FW54" s="21"/>
      <c r="FX54" s="21"/>
      <c r="GB54" s="15"/>
      <c r="GH54" s="25"/>
      <c r="GO54" s="21"/>
      <c r="GP54" s="21"/>
      <c r="GT54" s="15"/>
      <c r="GZ54" s="25"/>
      <c r="HG54" s="21"/>
      <c r="HH54" s="21"/>
      <c r="HL54" s="15"/>
      <c r="HR54" s="25"/>
      <c r="HY54" s="21"/>
      <c r="HZ54" s="21"/>
      <c r="ID54" s="15"/>
      <c r="IJ54" s="25"/>
      <c r="IQ54" s="21"/>
      <c r="IR54" s="21"/>
      <c r="IV54" s="15"/>
      <c r="JB54" s="25"/>
      <c r="JI54" s="21"/>
      <c r="JJ54" s="21"/>
      <c r="JN54" s="15"/>
      <c r="JT54" s="25"/>
      <c r="KA54" s="21"/>
      <c r="KB54" s="21"/>
      <c r="KF54" s="15"/>
      <c r="KL54" s="25"/>
      <c r="KS54" s="21"/>
      <c r="KT54" s="21"/>
      <c r="KX54" s="15"/>
      <c r="LD54" s="25"/>
      <c r="LK54" s="21"/>
      <c r="LL54" s="21"/>
      <c r="LP54" s="15"/>
      <c r="LV54" s="25"/>
      <c r="MC54" s="21"/>
      <c r="MD54" s="21"/>
      <c r="MH54" s="15"/>
      <c r="MN54" s="25"/>
      <c r="MU54" s="21"/>
      <c r="MV54" s="21"/>
      <c r="MZ54" s="15"/>
      <c r="NF54" s="25"/>
      <c r="NM54" s="21"/>
      <c r="NN54" s="21"/>
      <c r="NR54" s="15"/>
      <c r="NX54" s="25"/>
      <c r="OE54" s="21"/>
      <c r="OF54" s="21"/>
      <c r="OJ54" s="15"/>
      <c r="OP54" s="25"/>
      <c r="OW54" s="21"/>
      <c r="OX54" s="21"/>
      <c r="PB54" s="15"/>
      <c r="PH54" s="25"/>
      <c r="PO54" s="21"/>
      <c r="PP54" s="21"/>
      <c r="PT54" s="15"/>
      <c r="PZ54" s="25"/>
      <c r="QG54" s="21"/>
      <c r="QH54" s="21"/>
      <c r="QL54" s="15"/>
      <c r="QR54" s="25"/>
      <c r="QY54" s="21"/>
      <c r="QZ54" s="21"/>
      <c r="RD54" s="15"/>
      <c r="RJ54" s="25"/>
      <c r="RQ54" s="21"/>
      <c r="RR54" s="21"/>
      <c r="RV54" s="15"/>
      <c r="SB54" s="25"/>
      <c r="SI54" s="21"/>
      <c r="SJ54" s="21"/>
      <c r="SN54" s="15"/>
      <c r="ST54" s="25"/>
      <c r="TA54" s="21"/>
      <c r="TB54" s="21"/>
      <c r="TF54" s="15"/>
      <c r="TL54" s="25"/>
      <c r="TS54" s="21"/>
      <c r="TT54" s="21"/>
      <c r="TX54" s="15"/>
      <c r="UD54" s="25"/>
      <c r="UK54" s="21"/>
      <c r="UL54" s="21"/>
      <c r="UP54" s="15"/>
      <c r="UV54" s="25"/>
      <c r="VC54" s="21"/>
      <c r="VD54" s="21"/>
      <c r="VH54" s="15"/>
      <c r="VN54" s="25"/>
      <c r="VU54" s="21"/>
      <c r="VV54" s="21"/>
      <c r="VZ54" s="15"/>
      <c r="WF54" s="25"/>
      <c r="WM54" s="21"/>
      <c r="WN54" s="21"/>
      <c r="WR54" s="15"/>
      <c r="WX54" s="25"/>
      <c r="XE54" s="21"/>
      <c r="XF54" s="21"/>
      <c r="XJ54" s="15"/>
      <c r="XP54" s="25"/>
      <c r="XW54" s="21"/>
      <c r="XX54" s="21"/>
      <c r="YB54" s="15"/>
      <c r="YH54" s="25"/>
      <c r="YO54" s="21"/>
      <c r="YP54" s="21"/>
      <c r="YT54" s="15"/>
      <c r="YZ54" s="25"/>
      <c r="ZG54" s="21"/>
      <c r="ZH54" s="21"/>
      <c r="ZL54" s="15"/>
      <c r="ZR54" s="25"/>
      <c r="ZY54" s="21"/>
      <c r="ZZ54" s="21"/>
      <c r="AAD54" s="15"/>
      <c r="AAJ54" s="25"/>
      <c r="AAQ54" s="21"/>
      <c r="AAR54" s="21"/>
      <c r="AAV54" s="15"/>
      <c r="ABB54" s="25"/>
      <c r="ABI54" s="21"/>
      <c r="ABJ54" s="21"/>
      <c r="ABN54" s="15"/>
      <c r="ABT54" s="25"/>
      <c r="ACA54" s="21"/>
      <c r="ACB54" s="21"/>
      <c r="ACF54" s="15"/>
      <c r="ACL54" s="25"/>
      <c r="ACS54" s="21"/>
      <c r="ACT54" s="21"/>
      <c r="ACX54" s="15"/>
      <c r="ADD54" s="25"/>
      <c r="ADK54" s="21"/>
      <c r="ADL54" s="21"/>
      <c r="ADP54" s="15"/>
      <c r="ADV54" s="25"/>
      <c r="AEC54" s="21"/>
      <c r="AED54" s="21"/>
      <c r="AEH54" s="15"/>
      <c r="AEN54" s="25"/>
      <c r="AEU54" s="21"/>
      <c r="AEV54" s="21"/>
      <c r="AEZ54" s="15"/>
      <c r="AFF54" s="25"/>
      <c r="AFM54" s="21"/>
      <c r="AFN54" s="21"/>
      <c r="AFR54" s="15"/>
      <c r="AFX54" s="25"/>
      <c r="AGE54" s="21"/>
      <c r="AGF54" s="21"/>
      <c r="AGJ54" s="15"/>
      <c r="AGP54" s="25"/>
      <c r="AGW54" s="21"/>
      <c r="AGX54" s="21"/>
      <c r="AHB54" s="15"/>
      <c r="AHH54" s="25"/>
      <c r="AHO54" s="21"/>
      <c r="AHP54" s="21"/>
      <c r="AHT54" s="15"/>
      <c r="AHZ54" s="25"/>
      <c r="AIG54" s="21"/>
      <c r="AIH54" s="21"/>
      <c r="AIL54" s="15"/>
      <c r="AIR54" s="25"/>
      <c r="AIY54" s="21"/>
      <c r="AIZ54" s="21"/>
      <c r="AJD54" s="15"/>
      <c r="AJJ54" s="25"/>
      <c r="AJQ54" s="21"/>
      <c r="AJR54" s="21"/>
      <c r="AJV54" s="15"/>
      <c r="AKB54" s="25"/>
      <c r="AKI54" s="21"/>
      <c r="AKJ54" s="21"/>
      <c r="AKN54" s="15"/>
      <c r="AKT54" s="25"/>
      <c r="ALA54" s="21"/>
      <c r="ALB54" s="21"/>
      <c r="ALF54" s="15"/>
      <c r="ALL54" s="25"/>
      <c r="ALS54" s="21"/>
      <c r="ALT54" s="21"/>
      <c r="ALX54" s="15"/>
      <c r="AMD54" s="25"/>
      <c r="AMK54" s="21"/>
      <c r="AML54" s="21"/>
      <c r="AMP54" s="15"/>
      <c r="AMV54" s="25"/>
      <c r="ANC54" s="21"/>
      <c r="AND54" s="21"/>
      <c r="ANH54" s="15"/>
      <c r="ANN54" s="25"/>
      <c r="ANU54" s="21"/>
      <c r="ANV54" s="21"/>
      <c r="ANZ54" s="15"/>
      <c r="AOF54" s="25"/>
      <c r="AOM54" s="21"/>
      <c r="AON54" s="21"/>
      <c r="AOR54" s="15"/>
      <c r="AOX54" s="25"/>
      <c r="APE54" s="21"/>
      <c r="APF54" s="21"/>
      <c r="APJ54" s="15"/>
      <c r="APP54" s="25"/>
      <c r="APW54" s="21"/>
      <c r="APX54" s="21"/>
      <c r="AQB54" s="15"/>
      <c r="AQH54" s="25"/>
      <c r="AQO54" s="21"/>
      <c r="AQP54" s="21"/>
      <c r="AQT54" s="15"/>
      <c r="AQZ54" s="25"/>
      <c r="ARG54" s="21"/>
      <c r="ARH54" s="21"/>
      <c r="ARL54" s="15"/>
      <c r="ARR54" s="25"/>
      <c r="ARY54" s="21"/>
      <c r="ARZ54" s="21"/>
      <c r="ASD54" s="15"/>
      <c r="ASJ54" s="25"/>
      <c r="ASQ54" s="21"/>
      <c r="ASR54" s="21"/>
      <c r="ASV54" s="15"/>
      <c r="ATB54" s="25"/>
      <c r="ATI54" s="21"/>
      <c r="ATJ54" s="21"/>
      <c r="ATN54" s="15"/>
      <c r="ATT54" s="25"/>
      <c r="AUA54" s="21"/>
      <c r="AUB54" s="21"/>
      <c r="AUF54" s="15"/>
      <c r="AUL54" s="25"/>
      <c r="AUS54" s="21"/>
      <c r="AUT54" s="21"/>
      <c r="AUX54" s="15"/>
      <c r="AVD54" s="25"/>
      <c r="AVK54" s="21"/>
      <c r="AVL54" s="21"/>
      <c r="AVP54" s="15"/>
      <c r="AVV54" s="25"/>
      <c r="AWC54" s="21"/>
      <c r="AWD54" s="21"/>
      <c r="AWH54" s="15"/>
      <c r="AWN54" s="25"/>
      <c r="AWU54" s="21"/>
      <c r="AWV54" s="21"/>
      <c r="AWZ54" s="15"/>
      <c r="AXF54" s="25"/>
      <c r="AXM54" s="21"/>
      <c r="AXN54" s="21"/>
      <c r="AXR54" s="15"/>
      <c r="AXX54" s="25"/>
      <c r="AYE54" s="21"/>
      <c r="AYF54" s="21"/>
      <c r="AYJ54" s="15"/>
      <c r="AYP54" s="25"/>
      <c r="AYW54" s="21"/>
      <c r="AYX54" s="21"/>
      <c r="AZB54" s="15"/>
      <c r="AZH54" s="25"/>
      <c r="AZO54" s="21"/>
      <c r="AZP54" s="21"/>
      <c r="AZT54" s="15"/>
      <c r="AZZ54" s="25"/>
      <c r="BAG54" s="21"/>
      <c r="BAH54" s="21"/>
      <c r="BAL54" s="15"/>
      <c r="BAR54" s="25"/>
      <c r="BAY54" s="21"/>
      <c r="BAZ54" s="21"/>
      <c r="BBD54" s="15"/>
      <c r="BBJ54" s="25"/>
      <c r="BBQ54" s="21"/>
      <c r="BBR54" s="21"/>
      <c r="BBV54" s="15"/>
      <c r="BCB54" s="25"/>
      <c r="BCI54" s="21"/>
      <c r="BCJ54" s="21"/>
      <c r="BCN54" s="15"/>
      <c r="BCT54" s="25"/>
      <c r="BDA54" s="21"/>
      <c r="BDB54" s="21"/>
      <c r="BDF54" s="15"/>
      <c r="BDL54" s="25"/>
      <c r="BDS54" s="21"/>
      <c r="BDT54" s="21"/>
      <c r="BDX54" s="15"/>
      <c r="BED54" s="25"/>
      <c r="BEK54" s="21"/>
      <c r="BEL54" s="21"/>
      <c r="BEP54" s="15"/>
      <c r="BEV54" s="25"/>
      <c r="BFC54" s="21"/>
      <c r="BFD54" s="21"/>
      <c r="BFH54" s="15"/>
      <c r="BFN54" s="25"/>
      <c r="BFU54" s="21"/>
      <c r="BFV54" s="21"/>
      <c r="BFZ54" s="15"/>
      <c r="BGF54" s="25"/>
      <c r="BGM54" s="21"/>
      <c r="BGN54" s="21"/>
      <c r="BGR54" s="15"/>
      <c r="BGX54" s="25"/>
      <c r="BHE54" s="21"/>
      <c r="BHF54" s="21"/>
      <c r="BHJ54" s="15"/>
      <c r="BHP54" s="25"/>
      <c r="BHW54" s="21"/>
      <c r="BHX54" s="21"/>
      <c r="BIB54" s="15"/>
      <c r="BIH54" s="25"/>
      <c r="BIO54" s="21"/>
      <c r="BIP54" s="21"/>
      <c r="BIT54" s="15"/>
      <c r="BIZ54" s="25"/>
      <c r="BJG54" s="21"/>
      <c r="BJH54" s="21"/>
      <c r="BJL54" s="15"/>
      <c r="BJR54" s="25"/>
      <c r="BJY54" s="21"/>
      <c r="BJZ54" s="21"/>
      <c r="BKD54" s="15"/>
      <c r="BKJ54" s="25"/>
      <c r="BKQ54" s="21"/>
      <c r="BKR54" s="21"/>
      <c r="BKV54" s="15"/>
      <c r="BLB54" s="25"/>
      <c r="BLI54" s="21"/>
      <c r="BLJ54" s="21"/>
      <c r="BLN54" s="15"/>
      <c r="BLT54" s="25"/>
      <c r="BMA54" s="21"/>
      <c r="BMB54" s="21"/>
      <c r="BMF54" s="15"/>
      <c r="BML54" s="25"/>
      <c r="BMS54" s="21"/>
      <c r="BMT54" s="21"/>
      <c r="BMX54" s="15"/>
      <c r="BND54" s="25"/>
      <c r="BNK54" s="21"/>
      <c r="BNL54" s="21"/>
      <c r="BNP54" s="15"/>
      <c r="BNV54" s="25"/>
      <c r="BOC54" s="21"/>
      <c r="BOD54" s="21"/>
      <c r="BOH54" s="15"/>
      <c r="BON54" s="25"/>
      <c r="BOU54" s="21"/>
      <c r="BOV54" s="21"/>
      <c r="BOZ54" s="15"/>
      <c r="BPF54" s="25"/>
      <c r="BPM54" s="21"/>
      <c r="BPN54" s="21"/>
      <c r="BPR54" s="15"/>
      <c r="BPX54" s="25"/>
      <c r="BQE54" s="21"/>
      <c r="BQF54" s="21"/>
      <c r="BQJ54" s="15"/>
      <c r="BQP54" s="25"/>
      <c r="BQW54" s="21"/>
      <c r="BQX54" s="21"/>
      <c r="BRB54" s="15"/>
      <c r="BRH54" s="25"/>
      <c r="BRO54" s="21"/>
      <c r="BRP54" s="21"/>
      <c r="BRT54" s="15"/>
      <c r="BRZ54" s="25"/>
      <c r="BSG54" s="21"/>
      <c r="BSH54" s="21"/>
      <c r="BSL54" s="15"/>
      <c r="BSR54" s="25"/>
      <c r="BSY54" s="21"/>
      <c r="BSZ54" s="21"/>
      <c r="BTD54" s="15"/>
      <c r="BTJ54" s="25"/>
      <c r="BTQ54" s="21"/>
      <c r="BTR54" s="21"/>
      <c r="BTV54" s="15"/>
      <c r="BUB54" s="25"/>
      <c r="BUI54" s="21"/>
      <c r="BUJ54" s="21"/>
      <c r="BUN54" s="15"/>
      <c r="BUT54" s="25"/>
      <c r="BVA54" s="21"/>
      <c r="BVB54" s="21"/>
      <c r="BVF54" s="15"/>
      <c r="BVL54" s="25"/>
      <c r="BVS54" s="21"/>
      <c r="BVT54" s="21"/>
      <c r="BVX54" s="15"/>
      <c r="BWD54" s="25"/>
      <c r="BWK54" s="21"/>
      <c r="BWL54" s="21"/>
      <c r="BWP54" s="15"/>
      <c r="BWV54" s="25"/>
      <c r="BXC54" s="21"/>
      <c r="BXD54" s="21"/>
      <c r="BXH54" s="15"/>
      <c r="BXN54" s="25"/>
      <c r="BXU54" s="21"/>
      <c r="BXV54" s="21"/>
      <c r="BXZ54" s="15"/>
      <c r="BYF54" s="25"/>
      <c r="BYM54" s="21"/>
      <c r="BYN54" s="21"/>
      <c r="BYR54" s="15"/>
      <c r="BYX54" s="25"/>
      <c r="BZE54" s="21"/>
      <c r="BZF54" s="21"/>
      <c r="BZJ54" s="15"/>
      <c r="BZP54" s="25"/>
      <c r="BZW54" s="21"/>
      <c r="BZX54" s="21"/>
      <c r="CAB54" s="15"/>
      <c r="CAH54" s="25"/>
      <c r="CAO54" s="21"/>
      <c r="CAP54" s="21"/>
      <c r="CAT54" s="15"/>
      <c r="CAZ54" s="25"/>
      <c r="CBG54" s="21"/>
      <c r="CBH54" s="21"/>
      <c r="CBL54" s="15"/>
      <c r="CBR54" s="25"/>
      <c r="CBY54" s="21"/>
      <c r="CBZ54" s="21"/>
      <c r="CCD54" s="15"/>
      <c r="CCJ54" s="25"/>
      <c r="CCQ54" s="21"/>
      <c r="CCR54" s="21"/>
      <c r="CCV54" s="15"/>
      <c r="CDB54" s="25"/>
      <c r="CDI54" s="21"/>
      <c r="CDJ54" s="21"/>
      <c r="CDN54" s="15"/>
      <c r="CDT54" s="25"/>
      <c r="CEA54" s="21"/>
      <c r="CEB54" s="21"/>
      <c r="CEF54" s="15"/>
      <c r="CEL54" s="25"/>
      <c r="CES54" s="21"/>
      <c r="CET54" s="21"/>
      <c r="CEX54" s="15"/>
      <c r="CFD54" s="25"/>
      <c r="CFK54" s="21"/>
      <c r="CFL54" s="21"/>
      <c r="CFP54" s="15"/>
      <c r="CFV54" s="25"/>
      <c r="CGC54" s="21"/>
      <c r="CGD54" s="21"/>
      <c r="CGH54" s="15"/>
      <c r="CGN54" s="25"/>
      <c r="CGU54" s="21"/>
      <c r="CGV54" s="21"/>
      <c r="CGZ54" s="15"/>
      <c r="CHF54" s="25"/>
      <c r="CHM54" s="21"/>
      <c r="CHN54" s="21"/>
      <c r="CHR54" s="15"/>
      <c r="CHX54" s="25"/>
      <c r="CIE54" s="21"/>
      <c r="CIF54" s="21"/>
      <c r="CIJ54" s="15"/>
      <c r="CIP54" s="25"/>
      <c r="CIW54" s="21"/>
      <c r="CIX54" s="21"/>
      <c r="CJB54" s="15"/>
      <c r="CJH54" s="25"/>
      <c r="CJO54" s="21"/>
      <c r="CJP54" s="21"/>
      <c r="CJT54" s="15"/>
      <c r="CJZ54" s="25"/>
      <c r="CKG54" s="21"/>
      <c r="CKH54" s="21"/>
      <c r="CKL54" s="15"/>
      <c r="CKR54" s="25"/>
      <c r="CKY54" s="21"/>
      <c r="CKZ54" s="21"/>
      <c r="CLD54" s="15"/>
      <c r="CLJ54" s="25"/>
      <c r="CLQ54" s="21"/>
      <c r="CLR54" s="21"/>
      <c r="CLV54" s="15"/>
      <c r="CMB54" s="25"/>
      <c r="CMI54" s="21"/>
      <c r="CMJ54" s="21"/>
      <c r="CMN54" s="15"/>
      <c r="CMT54" s="25"/>
      <c r="CNA54" s="21"/>
      <c r="CNB54" s="21"/>
      <c r="CNF54" s="15"/>
      <c r="CNL54" s="25"/>
      <c r="CNS54" s="21"/>
      <c r="CNT54" s="21"/>
      <c r="CNX54" s="15"/>
      <c r="COD54" s="25"/>
      <c r="COK54" s="21"/>
      <c r="COL54" s="21"/>
      <c r="COP54" s="15"/>
      <c r="COV54" s="25"/>
      <c r="CPC54" s="21"/>
      <c r="CPD54" s="21"/>
      <c r="CPH54" s="15"/>
      <c r="CPN54" s="25"/>
      <c r="CPU54" s="21"/>
      <c r="CPV54" s="21"/>
      <c r="CPZ54" s="15"/>
      <c r="CQF54" s="25"/>
      <c r="CQM54" s="21"/>
      <c r="CQN54" s="21"/>
      <c r="CQR54" s="15"/>
      <c r="CQX54" s="25"/>
      <c r="CRE54" s="21"/>
      <c r="CRF54" s="21"/>
      <c r="CRJ54" s="15"/>
      <c r="CRP54" s="25"/>
      <c r="CRW54" s="21"/>
      <c r="CRX54" s="21"/>
      <c r="CSB54" s="15"/>
      <c r="CSH54" s="25"/>
      <c r="CSO54" s="21"/>
      <c r="CSP54" s="21"/>
      <c r="CST54" s="15"/>
      <c r="CSZ54" s="25"/>
      <c r="CTG54" s="21"/>
      <c r="CTH54" s="21"/>
      <c r="CTL54" s="15"/>
      <c r="CTR54" s="25"/>
      <c r="CTY54" s="21"/>
      <c r="CTZ54" s="21"/>
      <c r="CUD54" s="15"/>
      <c r="CUJ54" s="25"/>
      <c r="CUQ54" s="21"/>
      <c r="CUR54" s="21"/>
      <c r="CUV54" s="15"/>
      <c r="CVB54" s="25"/>
      <c r="CVI54" s="21"/>
      <c r="CVJ54" s="21"/>
      <c r="CVN54" s="15"/>
      <c r="CVT54" s="25"/>
      <c r="CWA54" s="21"/>
      <c r="CWB54" s="21"/>
      <c r="CWF54" s="15"/>
      <c r="CWL54" s="25"/>
      <c r="CWS54" s="21"/>
      <c r="CWT54" s="21"/>
      <c r="CWX54" s="15"/>
      <c r="CXD54" s="25"/>
      <c r="CXK54" s="21"/>
      <c r="CXL54" s="21"/>
      <c r="CXP54" s="15"/>
      <c r="CXV54" s="25"/>
      <c r="CYC54" s="21"/>
      <c r="CYD54" s="21"/>
      <c r="CYH54" s="15"/>
      <c r="CYN54" s="25"/>
      <c r="CYU54" s="21"/>
      <c r="CYV54" s="21"/>
      <c r="CYZ54" s="15"/>
      <c r="CZF54" s="25"/>
      <c r="CZM54" s="21"/>
      <c r="CZN54" s="21"/>
      <c r="CZR54" s="15"/>
      <c r="CZX54" s="25"/>
      <c r="DAE54" s="21"/>
      <c r="DAF54" s="21"/>
      <c r="DAJ54" s="15"/>
      <c r="DAP54" s="25"/>
      <c r="DAW54" s="21"/>
      <c r="DAX54" s="21"/>
      <c r="DBB54" s="15"/>
      <c r="DBH54" s="25"/>
      <c r="DBO54" s="21"/>
      <c r="DBP54" s="21"/>
      <c r="DBT54" s="15"/>
      <c r="DBZ54" s="25"/>
      <c r="DCG54" s="21"/>
      <c r="DCH54" s="21"/>
      <c r="DCL54" s="15"/>
      <c r="DCR54" s="25"/>
      <c r="DCY54" s="21"/>
      <c r="DCZ54" s="21"/>
      <c r="DDD54" s="15"/>
      <c r="DDJ54" s="25"/>
      <c r="DDQ54" s="21"/>
      <c r="DDR54" s="21"/>
      <c r="DDV54" s="15"/>
      <c r="DEB54" s="25"/>
      <c r="DEI54" s="21"/>
      <c r="DEJ54" s="21"/>
      <c r="DEN54" s="15"/>
      <c r="DET54" s="25"/>
      <c r="DFA54" s="21"/>
      <c r="DFB54" s="21"/>
      <c r="DFF54" s="15"/>
      <c r="DFL54" s="25"/>
      <c r="DFS54" s="21"/>
      <c r="DFT54" s="21"/>
      <c r="DFX54" s="15"/>
      <c r="DGD54" s="25"/>
      <c r="DGK54" s="21"/>
      <c r="DGL54" s="21"/>
      <c r="DGP54" s="15"/>
      <c r="DGV54" s="25"/>
      <c r="DHC54" s="21"/>
      <c r="DHD54" s="21"/>
      <c r="DHH54" s="15"/>
      <c r="DHN54" s="25"/>
      <c r="DHU54" s="21"/>
      <c r="DHV54" s="21"/>
      <c r="DHZ54" s="15"/>
      <c r="DIF54" s="25"/>
      <c r="DIM54" s="21"/>
      <c r="DIN54" s="21"/>
      <c r="DIR54" s="15"/>
      <c r="DIX54" s="25"/>
      <c r="DJE54" s="21"/>
      <c r="DJF54" s="21"/>
      <c r="DJJ54" s="15"/>
      <c r="DJP54" s="25"/>
      <c r="DJW54" s="21"/>
      <c r="DJX54" s="21"/>
      <c r="DKB54" s="15"/>
      <c r="DKH54" s="25"/>
      <c r="DKO54" s="21"/>
      <c r="DKP54" s="21"/>
      <c r="DKT54" s="15"/>
      <c r="DKZ54" s="25"/>
      <c r="DLG54" s="21"/>
      <c r="DLH54" s="21"/>
      <c r="DLL54" s="15"/>
      <c r="DLR54" s="25"/>
      <c r="DLY54" s="21"/>
      <c r="DLZ54" s="21"/>
      <c r="DMD54" s="15"/>
      <c r="DMJ54" s="25"/>
      <c r="DMQ54" s="21"/>
      <c r="DMR54" s="21"/>
      <c r="DMV54" s="15"/>
      <c r="DNB54" s="25"/>
      <c r="DNI54" s="21"/>
      <c r="DNJ54" s="21"/>
      <c r="DNN54" s="15"/>
      <c r="DNT54" s="25"/>
      <c r="DOA54" s="21"/>
      <c r="DOB54" s="21"/>
      <c r="DOF54" s="15"/>
      <c r="DOL54" s="25"/>
      <c r="DOS54" s="21"/>
      <c r="DOT54" s="21"/>
      <c r="DOX54" s="15"/>
      <c r="DPD54" s="25"/>
      <c r="DPK54" s="21"/>
      <c r="DPL54" s="21"/>
      <c r="DPP54" s="15"/>
      <c r="DPV54" s="25"/>
      <c r="DQC54" s="21"/>
      <c r="DQD54" s="21"/>
      <c r="DQH54" s="15"/>
      <c r="DQN54" s="25"/>
      <c r="DQU54" s="21"/>
      <c r="DQV54" s="21"/>
      <c r="DQZ54" s="15"/>
      <c r="DRF54" s="25"/>
      <c r="DRM54" s="21"/>
      <c r="DRN54" s="21"/>
      <c r="DRR54" s="15"/>
      <c r="DRX54" s="25"/>
      <c r="DSE54" s="21"/>
      <c r="DSF54" s="21"/>
      <c r="DSJ54" s="15"/>
      <c r="DSP54" s="25"/>
      <c r="DSW54" s="21"/>
      <c r="DSX54" s="21"/>
      <c r="DTB54" s="15"/>
      <c r="DTH54" s="25"/>
      <c r="DTO54" s="21"/>
      <c r="DTP54" s="21"/>
      <c r="DTT54" s="15"/>
      <c r="DTZ54" s="25"/>
      <c r="DUG54" s="21"/>
      <c r="DUH54" s="21"/>
      <c r="DUL54" s="15"/>
      <c r="DUR54" s="25"/>
      <c r="DUY54" s="21"/>
      <c r="DUZ54" s="21"/>
      <c r="DVD54" s="15"/>
      <c r="DVJ54" s="25"/>
      <c r="DVQ54" s="21"/>
      <c r="DVR54" s="21"/>
      <c r="DVV54" s="15"/>
      <c r="DWB54" s="25"/>
      <c r="DWI54" s="21"/>
      <c r="DWJ54" s="21"/>
      <c r="DWN54" s="15"/>
      <c r="DWT54" s="25"/>
      <c r="DXA54" s="21"/>
      <c r="DXB54" s="21"/>
      <c r="DXF54" s="15"/>
      <c r="DXL54" s="25"/>
      <c r="DXS54" s="21"/>
      <c r="DXT54" s="21"/>
      <c r="DXX54" s="15"/>
      <c r="DYD54" s="25"/>
      <c r="DYK54" s="21"/>
      <c r="DYL54" s="21"/>
      <c r="DYP54" s="15"/>
      <c r="DYV54" s="25"/>
      <c r="DZC54" s="21"/>
      <c r="DZD54" s="21"/>
      <c r="DZH54" s="15"/>
      <c r="DZN54" s="25"/>
      <c r="DZU54" s="21"/>
      <c r="DZV54" s="21"/>
      <c r="DZZ54" s="15"/>
      <c r="EAF54" s="25"/>
      <c r="EAM54" s="21"/>
      <c r="EAN54" s="21"/>
      <c r="EAR54" s="15"/>
      <c r="EAX54" s="25"/>
      <c r="EBE54" s="21"/>
      <c r="EBF54" s="21"/>
      <c r="EBJ54" s="15"/>
      <c r="EBP54" s="25"/>
      <c r="EBW54" s="21"/>
      <c r="EBX54" s="21"/>
      <c r="ECB54" s="15"/>
      <c r="ECH54" s="25"/>
      <c r="ECO54" s="21"/>
      <c r="ECP54" s="21"/>
      <c r="ECT54" s="15"/>
      <c r="ECZ54" s="25"/>
      <c r="EDG54" s="21"/>
      <c r="EDH54" s="21"/>
      <c r="EDL54" s="15"/>
      <c r="EDR54" s="25"/>
      <c r="EDY54" s="21"/>
      <c r="EDZ54" s="21"/>
      <c r="EED54" s="15"/>
      <c r="EEJ54" s="25"/>
      <c r="EEQ54" s="21"/>
      <c r="EER54" s="21"/>
      <c r="EEV54" s="15"/>
      <c r="EFB54" s="25"/>
      <c r="EFI54" s="21"/>
      <c r="EFJ54" s="21"/>
      <c r="EFN54" s="15"/>
      <c r="EFT54" s="25"/>
      <c r="EGA54" s="21"/>
      <c r="EGB54" s="21"/>
      <c r="EGF54" s="15"/>
      <c r="EGL54" s="25"/>
      <c r="EGS54" s="21"/>
      <c r="EGT54" s="21"/>
      <c r="EGX54" s="15"/>
      <c r="EHD54" s="25"/>
      <c r="EHK54" s="21"/>
      <c r="EHL54" s="21"/>
      <c r="EHP54" s="15"/>
      <c r="EHV54" s="25"/>
      <c r="EIC54" s="21"/>
      <c r="EID54" s="21"/>
      <c r="EIH54" s="15"/>
      <c r="EIN54" s="25"/>
      <c r="EIU54" s="21"/>
      <c r="EIV54" s="21"/>
      <c r="EIZ54" s="15"/>
      <c r="EJF54" s="25"/>
      <c r="EJM54" s="21"/>
      <c r="EJN54" s="21"/>
      <c r="EJR54" s="15"/>
      <c r="EJX54" s="25"/>
      <c r="EKE54" s="21"/>
      <c r="EKF54" s="21"/>
      <c r="EKJ54" s="15"/>
      <c r="EKP54" s="25"/>
      <c r="EKW54" s="21"/>
      <c r="EKX54" s="21"/>
      <c r="ELB54" s="15"/>
      <c r="ELH54" s="25"/>
      <c r="ELO54" s="21"/>
      <c r="ELP54" s="21"/>
      <c r="ELT54" s="15"/>
      <c r="ELZ54" s="25"/>
      <c r="EMG54" s="21"/>
      <c r="EMH54" s="21"/>
      <c r="EML54" s="15"/>
      <c r="EMR54" s="25"/>
      <c r="EMY54" s="21"/>
      <c r="EMZ54" s="21"/>
      <c r="END54" s="15"/>
      <c r="ENJ54" s="25"/>
      <c r="ENQ54" s="21"/>
      <c r="ENR54" s="21"/>
      <c r="ENV54" s="15"/>
      <c r="EOB54" s="25"/>
      <c r="EOI54" s="21"/>
      <c r="EOJ54" s="21"/>
      <c r="EON54" s="15"/>
      <c r="EOT54" s="25"/>
      <c r="EPA54" s="21"/>
      <c r="EPB54" s="21"/>
      <c r="EPF54" s="15"/>
      <c r="EPL54" s="25"/>
      <c r="EPS54" s="21"/>
      <c r="EPT54" s="21"/>
      <c r="EPX54" s="15"/>
      <c r="EQD54" s="25"/>
      <c r="EQK54" s="21"/>
      <c r="EQL54" s="21"/>
      <c r="EQP54" s="15"/>
      <c r="EQV54" s="25"/>
      <c r="ERC54" s="21"/>
      <c r="ERD54" s="21"/>
      <c r="ERH54" s="15"/>
      <c r="ERN54" s="25"/>
      <c r="ERU54" s="21"/>
      <c r="ERV54" s="21"/>
      <c r="ERZ54" s="15"/>
      <c r="ESF54" s="25"/>
      <c r="ESM54" s="21"/>
      <c r="ESN54" s="21"/>
      <c r="ESR54" s="15"/>
      <c r="ESX54" s="25"/>
      <c r="ETE54" s="21"/>
      <c r="ETF54" s="21"/>
      <c r="ETJ54" s="15"/>
      <c r="ETP54" s="25"/>
      <c r="ETW54" s="21"/>
      <c r="ETX54" s="21"/>
      <c r="EUB54" s="15"/>
      <c r="EUH54" s="25"/>
      <c r="EUO54" s="21"/>
      <c r="EUP54" s="21"/>
      <c r="EUT54" s="15"/>
      <c r="EUZ54" s="25"/>
      <c r="EVG54" s="21"/>
      <c r="EVH54" s="21"/>
      <c r="EVL54" s="15"/>
      <c r="EVR54" s="25"/>
      <c r="EVY54" s="21"/>
      <c r="EVZ54" s="21"/>
      <c r="EWD54" s="15"/>
      <c r="EWJ54" s="25"/>
      <c r="EWQ54" s="21"/>
      <c r="EWR54" s="21"/>
      <c r="EWV54" s="15"/>
      <c r="EXB54" s="25"/>
      <c r="EXI54" s="21"/>
      <c r="EXJ54" s="21"/>
      <c r="EXN54" s="15"/>
      <c r="EXT54" s="25"/>
      <c r="EYA54" s="21"/>
      <c r="EYB54" s="21"/>
      <c r="EYF54" s="15"/>
      <c r="EYL54" s="25"/>
      <c r="EYS54" s="21"/>
      <c r="EYT54" s="21"/>
      <c r="EYX54" s="15"/>
      <c r="EZD54" s="25"/>
      <c r="EZK54" s="21"/>
      <c r="EZL54" s="21"/>
      <c r="EZP54" s="15"/>
      <c r="EZV54" s="25"/>
      <c r="FAC54" s="21"/>
      <c r="FAD54" s="21"/>
      <c r="FAH54" s="15"/>
      <c r="FAN54" s="25"/>
      <c r="FAU54" s="21"/>
      <c r="FAV54" s="21"/>
      <c r="FAZ54" s="15"/>
      <c r="FBF54" s="25"/>
      <c r="FBM54" s="21"/>
      <c r="FBN54" s="21"/>
      <c r="FBR54" s="15"/>
      <c r="FBX54" s="25"/>
      <c r="FCE54" s="21"/>
      <c r="FCF54" s="21"/>
      <c r="FCJ54" s="15"/>
      <c r="FCP54" s="25"/>
      <c r="FCW54" s="21"/>
      <c r="FCX54" s="21"/>
      <c r="FDB54" s="15"/>
      <c r="FDH54" s="25"/>
      <c r="FDO54" s="21"/>
      <c r="FDP54" s="21"/>
      <c r="FDT54" s="15"/>
      <c r="FDZ54" s="25"/>
      <c r="FEG54" s="21"/>
      <c r="FEH54" s="21"/>
      <c r="FEL54" s="15"/>
      <c r="FER54" s="25"/>
      <c r="FEY54" s="21"/>
      <c r="FEZ54" s="21"/>
      <c r="FFD54" s="15"/>
      <c r="FFJ54" s="25"/>
      <c r="FFQ54" s="21"/>
      <c r="FFR54" s="21"/>
      <c r="FFV54" s="15"/>
      <c r="FGB54" s="25"/>
      <c r="FGI54" s="21"/>
      <c r="FGJ54" s="21"/>
      <c r="FGN54" s="15"/>
      <c r="FGT54" s="25"/>
      <c r="FHA54" s="21"/>
      <c r="FHB54" s="21"/>
      <c r="FHF54" s="15"/>
      <c r="FHL54" s="25"/>
      <c r="FHS54" s="21"/>
      <c r="FHT54" s="21"/>
      <c r="FHX54" s="15"/>
      <c r="FID54" s="25"/>
      <c r="FIK54" s="21"/>
      <c r="FIL54" s="21"/>
      <c r="FIP54" s="15"/>
      <c r="FIV54" s="25"/>
      <c r="FJC54" s="21"/>
      <c r="FJD54" s="21"/>
      <c r="FJH54" s="15"/>
      <c r="FJN54" s="25"/>
      <c r="FJU54" s="21"/>
      <c r="FJV54" s="21"/>
      <c r="FJZ54" s="15"/>
      <c r="FKF54" s="25"/>
      <c r="FKM54" s="21"/>
      <c r="FKN54" s="21"/>
      <c r="FKR54" s="15"/>
      <c r="FKX54" s="25"/>
      <c r="FLE54" s="21"/>
      <c r="FLF54" s="21"/>
      <c r="FLJ54" s="15"/>
      <c r="FLP54" s="25"/>
      <c r="FLW54" s="21"/>
      <c r="FLX54" s="21"/>
      <c r="FMB54" s="15"/>
      <c r="FMH54" s="25"/>
      <c r="FMO54" s="21"/>
      <c r="FMP54" s="21"/>
      <c r="FMT54" s="15"/>
      <c r="FMZ54" s="25"/>
      <c r="FNG54" s="21"/>
      <c r="FNH54" s="21"/>
      <c r="FNL54" s="15"/>
      <c r="FNR54" s="25"/>
      <c r="FNY54" s="21"/>
      <c r="FNZ54" s="21"/>
      <c r="FOD54" s="15"/>
      <c r="FOJ54" s="25"/>
      <c r="FOQ54" s="21"/>
      <c r="FOR54" s="21"/>
      <c r="FOV54" s="15"/>
      <c r="FPB54" s="25"/>
      <c r="FPI54" s="21"/>
      <c r="FPJ54" s="21"/>
      <c r="FPN54" s="15"/>
      <c r="FPT54" s="25"/>
      <c r="FQA54" s="21"/>
      <c r="FQB54" s="21"/>
      <c r="FQF54" s="15"/>
      <c r="FQL54" s="25"/>
      <c r="FQS54" s="21"/>
      <c r="FQT54" s="21"/>
      <c r="FQX54" s="15"/>
      <c r="FRD54" s="25"/>
      <c r="FRK54" s="21"/>
      <c r="FRL54" s="21"/>
      <c r="FRP54" s="15"/>
      <c r="FRV54" s="25"/>
      <c r="FSC54" s="21"/>
      <c r="FSD54" s="21"/>
      <c r="FSH54" s="15"/>
      <c r="FSN54" s="25"/>
      <c r="FSU54" s="21"/>
      <c r="FSV54" s="21"/>
      <c r="FSZ54" s="15"/>
      <c r="FTF54" s="25"/>
      <c r="FTM54" s="21"/>
      <c r="FTN54" s="21"/>
      <c r="FTR54" s="15"/>
      <c r="FTX54" s="25"/>
      <c r="FUE54" s="21"/>
      <c r="FUF54" s="21"/>
      <c r="FUJ54" s="15"/>
      <c r="FUP54" s="25"/>
      <c r="FUW54" s="21"/>
      <c r="FUX54" s="21"/>
      <c r="FVB54" s="15"/>
      <c r="FVH54" s="25"/>
      <c r="FVO54" s="21"/>
      <c r="FVP54" s="21"/>
      <c r="FVT54" s="15"/>
      <c r="FVZ54" s="25"/>
      <c r="FWG54" s="21"/>
      <c r="FWH54" s="21"/>
      <c r="FWL54" s="15"/>
      <c r="FWR54" s="25"/>
      <c r="FWY54" s="21"/>
      <c r="FWZ54" s="21"/>
      <c r="FXD54" s="15"/>
      <c r="FXJ54" s="25"/>
      <c r="FXQ54" s="21"/>
      <c r="FXR54" s="21"/>
      <c r="FXV54" s="15"/>
      <c r="FYB54" s="25"/>
      <c r="FYI54" s="21"/>
      <c r="FYJ54" s="21"/>
      <c r="FYN54" s="15"/>
      <c r="FYT54" s="25"/>
      <c r="FZA54" s="21"/>
      <c r="FZB54" s="21"/>
      <c r="FZF54" s="15"/>
      <c r="FZL54" s="25"/>
      <c r="FZS54" s="21"/>
      <c r="FZT54" s="21"/>
      <c r="FZX54" s="15"/>
      <c r="GAD54" s="25"/>
      <c r="GAK54" s="21"/>
      <c r="GAL54" s="21"/>
      <c r="GAP54" s="15"/>
      <c r="GAV54" s="25"/>
      <c r="GBC54" s="21"/>
      <c r="GBD54" s="21"/>
      <c r="GBH54" s="15"/>
      <c r="GBN54" s="25"/>
      <c r="GBU54" s="21"/>
      <c r="GBV54" s="21"/>
      <c r="GBZ54" s="15"/>
      <c r="GCF54" s="25"/>
      <c r="GCM54" s="21"/>
      <c r="GCN54" s="21"/>
      <c r="GCR54" s="15"/>
      <c r="GCX54" s="25"/>
      <c r="GDE54" s="21"/>
      <c r="GDF54" s="21"/>
      <c r="GDJ54" s="15"/>
      <c r="GDP54" s="25"/>
      <c r="GDW54" s="21"/>
      <c r="GDX54" s="21"/>
      <c r="GEB54" s="15"/>
      <c r="GEH54" s="25"/>
      <c r="GEO54" s="21"/>
      <c r="GEP54" s="21"/>
      <c r="GET54" s="15"/>
      <c r="GEZ54" s="25"/>
      <c r="GFG54" s="21"/>
      <c r="GFH54" s="21"/>
      <c r="GFL54" s="15"/>
      <c r="GFR54" s="25"/>
      <c r="GFY54" s="21"/>
      <c r="GFZ54" s="21"/>
      <c r="GGD54" s="15"/>
      <c r="GGJ54" s="25"/>
      <c r="GGQ54" s="21"/>
      <c r="GGR54" s="21"/>
      <c r="GGV54" s="15"/>
      <c r="GHB54" s="25"/>
      <c r="GHI54" s="21"/>
      <c r="GHJ54" s="21"/>
      <c r="GHN54" s="15"/>
      <c r="GHT54" s="25"/>
      <c r="GIA54" s="21"/>
      <c r="GIB54" s="21"/>
      <c r="GIF54" s="15"/>
      <c r="GIL54" s="25"/>
      <c r="GIS54" s="21"/>
      <c r="GIT54" s="21"/>
      <c r="GIX54" s="15"/>
      <c r="GJD54" s="25"/>
      <c r="GJK54" s="21"/>
      <c r="GJL54" s="21"/>
      <c r="GJP54" s="15"/>
      <c r="GJV54" s="25"/>
      <c r="GKC54" s="21"/>
      <c r="GKD54" s="21"/>
      <c r="GKH54" s="15"/>
      <c r="GKN54" s="25"/>
      <c r="GKU54" s="21"/>
      <c r="GKV54" s="21"/>
      <c r="GKZ54" s="15"/>
      <c r="GLF54" s="25"/>
      <c r="GLM54" s="21"/>
      <c r="GLN54" s="21"/>
      <c r="GLR54" s="15"/>
      <c r="GLX54" s="25"/>
      <c r="GME54" s="21"/>
      <c r="GMF54" s="21"/>
      <c r="GMJ54" s="15"/>
      <c r="GMP54" s="25"/>
      <c r="GMW54" s="21"/>
      <c r="GMX54" s="21"/>
      <c r="GNB54" s="15"/>
      <c r="GNH54" s="25"/>
      <c r="GNO54" s="21"/>
      <c r="GNP54" s="21"/>
      <c r="GNT54" s="15"/>
      <c r="GNZ54" s="25"/>
      <c r="GOG54" s="21"/>
      <c r="GOH54" s="21"/>
      <c r="GOL54" s="15"/>
      <c r="GOR54" s="25"/>
      <c r="GOY54" s="21"/>
      <c r="GOZ54" s="21"/>
      <c r="GPD54" s="15"/>
      <c r="GPJ54" s="25"/>
      <c r="GPQ54" s="21"/>
      <c r="GPR54" s="21"/>
      <c r="GPV54" s="15"/>
      <c r="GQB54" s="25"/>
      <c r="GQI54" s="21"/>
      <c r="GQJ54" s="21"/>
      <c r="GQN54" s="15"/>
      <c r="GQT54" s="25"/>
      <c r="GRA54" s="21"/>
      <c r="GRB54" s="21"/>
      <c r="GRF54" s="15"/>
      <c r="GRL54" s="25"/>
      <c r="GRS54" s="21"/>
      <c r="GRT54" s="21"/>
      <c r="GRX54" s="15"/>
      <c r="GSD54" s="25"/>
      <c r="GSK54" s="21"/>
      <c r="GSL54" s="21"/>
      <c r="GSP54" s="15"/>
      <c r="GSV54" s="25"/>
      <c r="GTC54" s="21"/>
      <c r="GTD54" s="21"/>
      <c r="GTH54" s="15"/>
      <c r="GTN54" s="25"/>
      <c r="GTU54" s="21"/>
      <c r="GTV54" s="21"/>
      <c r="GTZ54" s="15"/>
      <c r="GUF54" s="25"/>
      <c r="GUM54" s="21"/>
      <c r="GUN54" s="21"/>
      <c r="GUR54" s="15"/>
      <c r="GUX54" s="25"/>
      <c r="GVE54" s="21"/>
      <c r="GVF54" s="21"/>
      <c r="GVJ54" s="15"/>
      <c r="GVP54" s="25"/>
      <c r="GVW54" s="21"/>
      <c r="GVX54" s="21"/>
      <c r="GWB54" s="15"/>
      <c r="GWH54" s="25"/>
      <c r="GWO54" s="21"/>
      <c r="GWP54" s="21"/>
      <c r="GWT54" s="15"/>
      <c r="GWZ54" s="25"/>
      <c r="GXG54" s="21"/>
      <c r="GXH54" s="21"/>
      <c r="GXL54" s="15"/>
      <c r="GXR54" s="25"/>
      <c r="GXY54" s="21"/>
      <c r="GXZ54" s="21"/>
      <c r="GYD54" s="15"/>
      <c r="GYJ54" s="25"/>
      <c r="GYQ54" s="21"/>
      <c r="GYR54" s="21"/>
      <c r="GYV54" s="15"/>
      <c r="GZB54" s="25"/>
      <c r="GZI54" s="21"/>
      <c r="GZJ54" s="21"/>
      <c r="GZN54" s="15"/>
      <c r="GZT54" s="25"/>
      <c r="HAA54" s="21"/>
      <c r="HAB54" s="21"/>
      <c r="HAF54" s="15"/>
      <c r="HAL54" s="25"/>
      <c r="HAS54" s="21"/>
      <c r="HAT54" s="21"/>
      <c r="HAX54" s="15"/>
      <c r="HBD54" s="25"/>
      <c r="HBK54" s="21"/>
      <c r="HBL54" s="21"/>
      <c r="HBP54" s="15"/>
      <c r="HBV54" s="25"/>
      <c r="HCC54" s="21"/>
      <c r="HCD54" s="21"/>
      <c r="HCH54" s="15"/>
      <c r="HCN54" s="25"/>
      <c r="HCU54" s="21"/>
      <c r="HCV54" s="21"/>
      <c r="HCZ54" s="15"/>
      <c r="HDF54" s="25"/>
      <c r="HDM54" s="21"/>
      <c r="HDN54" s="21"/>
      <c r="HDR54" s="15"/>
      <c r="HDX54" s="25"/>
      <c r="HEE54" s="21"/>
      <c r="HEF54" s="21"/>
      <c r="HEJ54" s="15"/>
      <c r="HEP54" s="25"/>
      <c r="HEW54" s="21"/>
      <c r="HEX54" s="21"/>
      <c r="HFB54" s="15"/>
      <c r="HFH54" s="25"/>
      <c r="HFO54" s="21"/>
      <c r="HFP54" s="21"/>
      <c r="HFT54" s="15"/>
      <c r="HFZ54" s="25"/>
      <c r="HGG54" s="21"/>
      <c r="HGH54" s="21"/>
      <c r="HGL54" s="15"/>
      <c r="HGR54" s="25"/>
      <c r="HGY54" s="21"/>
      <c r="HGZ54" s="21"/>
      <c r="HHD54" s="15"/>
      <c r="HHJ54" s="25"/>
      <c r="HHQ54" s="21"/>
      <c r="HHR54" s="21"/>
      <c r="HHV54" s="15"/>
      <c r="HIB54" s="25"/>
      <c r="HII54" s="21"/>
      <c r="HIJ54" s="21"/>
      <c r="HIN54" s="15"/>
      <c r="HIT54" s="25"/>
      <c r="HJA54" s="21"/>
      <c r="HJB54" s="21"/>
      <c r="HJF54" s="15"/>
      <c r="HJL54" s="25"/>
      <c r="HJS54" s="21"/>
      <c r="HJT54" s="21"/>
      <c r="HJX54" s="15"/>
      <c r="HKD54" s="25"/>
      <c r="HKK54" s="21"/>
      <c r="HKL54" s="21"/>
      <c r="HKP54" s="15"/>
      <c r="HKV54" s="25"/>
      <c r="HLC54" s="21"/>
      <c r="HLD54" s="21"/>
      <c r="HLH54" s="15"/>
      <c r="HLN54" s="25"/>
      <c r="HLU54" s="21"/>
      <c r="HLV54" s="21"/>
      <c r="HLZ54" s="15"/>
      <c r="HMF54" s="25"/>
      <c r="HMM54" s="21"/>
      <c r="HMN54" s="21"/>
      <c r="HMR54" s="15"/>
      <c r="HMX54" s="25"/>
      <c r="HNE54" s="21"/>
      <c r="HNF54" s="21"/>
      <c r="HNJ54" s="15"/>
      <c r="HNP54" s="25"/>
      <c r="HNW54" s="21"/>
      <c r="HNX54" s="21"/>
      <c r="HOB54" s="15"/>
      <c r="HOH54" s="25"/>
      <c r="HOO54" s="21"/>
      <c r="HOP54" s="21"/>
      <c r="HOT54" s="15"/>
      <c r="HOZ54" s="25"/>
      <c r="HPG54" s="21"/>
      <c r="HPH54" s="21"/>
      <c r="HPL54" s="15"/>
      <c r="HPR54" s="25"/>
      <c r="HPY54" s="21"/>
      <c r="HPZ54" s="21"/>
      <c r="HQD54" s="15"/>
      <c r="HQJ54" s="25"/>
      <c r="HQQ54" s="21"/>
      <c r="HQR54" s="21"/>
      <c r="HQV54" s="15"/>
      <c r="HRB54" s="25"/>
      <c r="HRI54" s="21"/>
      <c r="HRJ54" s="21"/>
      <c r="HRN54" s="15"/>
      <c r="HRT54" s="25"/>
      <c r="HSA54" s="21"/>
      <c r="HSB54" s="21"/>
      <c r="HSF54" s="15"/>
      <c r="HSL54" s="25"/>
      <c r="HSS54" s="21"/>
      <c r="HST54" s="21"/>
      <c r="HSX54" s="15"/>
      <c r="HTD54" s="25"/>
      <c r="HTK54" s="21"/>
      <c r="HTL54" s="21"/>
      <c r="HTP54" s="15"/>
      <c r="HTV54" s="25"/>
      <c r="HUC54" s="21"/>
      <c r="HUD54" s="21"/>
      <c r="HUH54" s="15"/>
      <c r="HUN54" s="25"/>
      <c r="HUU54" s="21"/>
      <c r="HUV54" s="21"/>
      <c r="HUZ54" s="15"/>
      <c r="HVF54" s="25"/>
      <c r="HVM54" s="21"/>
      <c r="HVN54" s="21"/>
      <c r="HVR54" s="15"/>
      <c r="HVX54" s="25"/>
      <c r="HWE54" s="21"/>
      <c r="HWF54" s="21"/>
      <c r="HWJ54" s="15"/>
      <c r="HWP54" s="25"/>
      <c r="HWW54" s="21"/>
      <c r="HWX54" s="21"/>
      <c r="HXB54" s="15"/>
      <c r="HXH54" s="25"/>
      <c r="HXO54" s="21"/>
      <c r="HXP54" s="21"/>
      <c r="HXT54" s="15"/>
      <c r="HXZ54" s="25"/>
      <c r="HYG54" s="21"/>
      <c r="HYH54" s="21"/>
      <c r="HYL54" s="15"/>
      <c r="HYR54" s="25"/>
      <c r="HYY54" s="21"/>
      <c r="HYZ54" s="21"/>
      <c r="HZD54" s="15"/>
      <c r="HZJ54" s="25"/>
      <c r="HZQ54" s="21"/>
      <c r="HZR54" s="21"/>
      <c r="HZV54" s="15"/>
      <c r="IAB54" s="25"/>
      <c r="IAI54" s="21"/>
      <c r="IAJ54" s="21"/>
      <c r="IAN54" s="15"/>
      <c r="IAT54" s="25"/>
      <c r="IBA54" s="21"/>
      <c r="IBB54" s="21"/>
      <c r="IBF54" s="15"/>
      <c r="IBL54" s="25"/>
      <c r="IBS54" s="21"/>
      <c r="IBT54" s="21"/>
      <c r="IBX54" s="15"/>
      <c r="ICD54" s="25"/>
      <c r="ICK54" s="21"/>
      <c r="ICL54" s="21"/>
      <c r="ICP54" s="15"/>
      <c r="ICV54" s="25"/>
      <c r="IDC54" s="21"/>
      <c r="IDD54" s="21"/>
      <c r="IDH54" s="15"/>
      <c r="IDN54" s="25"/>
      <c r="IDU54" s="21"/>
      <c r="IDV54" s="21"/>
      <c r="IDZ54" s="15"/>
      <c r="IEF54" s="25"/>
      <c r="IEM54" s="21"/>
      <c r="IEN54" s="21"/>
      <c r="IER54" s="15"/>
      <c r="IEX54" s="25"/>
      <c r="IFE54" s="21"/>
      <c r="IFF54" s="21"/>
      <c r="IFJ54" s="15"/>
      <c r="IFP54" s="25"/>
      <c r="IFW54" s="21"/>
      <c r="IFX54" s="21"/>
      <c r="IGB54" s="15"/>
      <c r="IGH54" s="25"/>
      <c r="IGO54" s="21"/>
      <c r="IGP54" s="21"/>
      <c r="IGT54" s="15"/>
      <c r="IGZ54" s="25"/>
      <c r="IHG54" s="21"/>
      <c r="IHH54" s="21"/>
      <c r="IHL54" s="15"/>
      <c r="IHR54" s="25"/>
      <c r="IHY54" s="21"/>
      <c r="IHZ54" s="21"/>
      <c r="IID54" s="15"/>
      <c r="IIJ54" s="25"/>
      <c r="IIQ54" s="21"/>
      <c r="IIR54" s="21"/>
      <c r="IIV54" s="15"/>
      <c r="IJB54" s="25"/>
      <c r="IJI54" s="21"/>
      <c r="IJJ54" s="21"/>
      <c r="IJN54" s="15"/>
      <c r="IJT54" s="25"/>
      <c r="IKA54" s="21"/>
      <c r="IKB54" s="21"/>
      <c r="IKF54" s="15"/>
      <c r="IKL54" s="25"/>
      <c r="IKS54" s="21"/>
      <c r="IKT54" s="21"/>
      <c r="IKX54" s="15"/>
      <c r="ILD54" s="25"/>
      <c r="ILK54" s="21"/>
      <c r="ILL54" s="21"/>
      <c r="ILP54" s="15"/>
      <c r="ILV54" s="25"/>
      <c r="IMC54" s="21"/>
      <c r="IMD54" s="21"/>
      <c r="IMH54" s="15"/>
      <c r="IMN54" s="25"/>
      <c r="IMU54" s="21"/>
      <c r="IMV54" s="21"/>
      <c r="IMZ54" s="15"/>
      <c r="INF54" s="25"/>
      <c r="INM54" s="21"/>
      <c r="INN54" s="21"/>
      <c r="INR54" s="15"/>
      <c r="INX54" s="25"/>
      <c r="IOE54" s="21"/>
      <c r="IOF54" s="21"/>
      <c r="IOJ54" s="15"/>
      <c r="IOP54" s="25"/>
      <c r="IOW54" s="21"/>
      <c r="IOX54" s="21"/>
      <c r="IPB54" s="15"/>
      <c r="IPH54" s="25"/>
      <c r="IPO54" s="21"/>
      <c r="IPP54" s="21"/>
      <c r="IPT54" s="15"/>
      <c r="IPZ54" s="25"/>
      <c r="IQG54" s="21"/>
      <c r="IQH54" s="21"/>
      <c r="IQL54" s="15"/>
      <c r="IQR54" s="25"/>
      <c r="IQY54" s="21"/>
      <c r="IQZ54" s="21"/>
      <c r="IRD54" s="15"/>
      <c r="IRJ54" s="25"/>
      <c r="IRQ54" s="21"/>
      <c r="IRR54" s="21"/>
      <c r="IRV54" s="15"/>
      <c r="ISB54" s="25"/>
      <c r="ISI54" s="21"/>
      <c r="ISJ54" s="21"/>
      <c r="ISN54" s="15"/>
      <c r="IST54" s="25"/>
      <c r="ITA54" s="21"/>
      <c r="ITB54" s="21"/>
      <c r="ITF54" s="15"/>
      <c r="ITL54" s="25"/>
      <c r="ITS54" s="21"/>
      <c r="ITT54" s="21"/>
      <c r="ITX54" s="15"/>
      <c r="IUD54" s="25"/>
      <c r="IUK54" s="21"/>
      <c r="IUL54" s="21"/>
      <c r="IUP54" s="15"/>
      <c r="IUV54" s="25"/>
      <c r="IVC54" s="21"/>
      <c r="IVD54" s="21"/>
      <c r="IVH54" s="15"/>
      <c r="IVN54" s="25"/>
      <c r="IVU54" s="21"/>
      <c r="IVV54" s="21"/>
      <c r="IVZ54" s="15"/>
      <c r="IWF54" s="25"/>
      <c r="IWM54" s="21"/>
      <c r="IWN54" s="21"/>
      <c r="IWR54" s="15"/>
      <c r="IWX54" s="25"/>
      <c r="IXE54" s="21"/>
      <c r="IXF54" s="21"/>
      <c r="IXJ54" s="15"/>
      <c r="IXP54" s="25"/>
      <c r="IXW54" s="21"/>
      <c r="IXX54" s="21"/>
      <c r="IYB54" s="15"/>
      <c r="IYH54" s="25"/>
      <c r="IYO54" s="21"/>
      <c r="IYP54" s="21"/>
      <c r="IYT54" s="15"/>
      <c r="IYZ54" s="25"/>
      <c r="IZG54" s="21"/>
      <c r="IZH54" s="21"/>
      <c r="IZL54" s="15"/>
      <c r="IZR54" s="25"/>
      <c r="IZY54" s="21"/>
      <c r="IZZ54" s="21"/>
      <c r="JAD54" s="15"/>
      <c r="JAJ54" s="25"/>
      <c r="JAQ54" s="21"/>
      <c r="JAR54" s="21"/>
      <c r="JAV54" s="15"/>
      <c r="JBB54" s="25"/>
      <c r="JBI54" s="21"/>
      <c r="JBJ54" s="21"/>
      <c r="JBN54" s="15"/>
      <c r="JBT54" s="25"/>
      <c r="JCA54" s="21"/>
      <c r="JCB54" s="21"/>
      <c r="JCF54" s="15"/>
      <c r="JCL54" s="25"/>
      <c r="JCS54" s="21"/>
      <c r="JCT54" s="21"/>
      <c r="JCX54" s="15"/>
      <c r="JDD54" s="25"/>
      <c r="JDK54" s="21"/>
      <c r="JDL54" s="21"/>
      <c r="JDP54" s="15"/>
      <c r="JDV54" s="25"/>
      <c r="JEC54" s="21"/>
      <c r="JED54" s="21"/>
      <c r="JEH54" s="15"/>
      <c r="JEN54" s="25"/>
      <c r="JEU54" s="21"/>
      <c r="JEV54" s="21"/>
      <c r="JEZ54" s="15"/>
      <c r="JFF54" s="25"/>
      <c r="JFM54" s="21"/>
      <c r="JFN54" s="21"/>
      <c r="JFR54" s="15"/>
      <c r="JFX54" s="25"/>
      <c r="JGE54" s="21"/>
      <c r="JGF54" s="21"/>
      <c r="JGJ54" s="15"/>
      <c r="JGP54" s="25"/>
      <c r="JGW54" s="21"/>
      <c r="JGX54" s="21"/>
      <c r="JHB54" s="15"/>
      <c r="JHH54" s="25"/>
      <c r="JHO54" s="21"/>
      <c r="JHP54" s="21"/>
      <c r="JHT54" s="15"/>
      <c r="JHZ54" s="25"/>
      <c r="JIG54" s="21"/>
      <c r="JIH54" s="21"/>
      <c r="JIL54" s="15"/>
      <c r="JIR54" s="25"/>
      <c r="JIY54" s="21"/>
      <c r="JIZ54" s="21"/>
      <c r="JJD54" s="15"/>
      <c r="JJJ54" s="25"/>
      <c r="JJQ54" s="21"/>
      <c r="JJR54" s="21"/>
      <c r="JJV54" s="15"/>
      <c r="JKB54" s="25"/>
      <c r="JKI54" s="21"/>
      <c r="JKJ54" s="21"/>
      <c r="JKN54" s="15"/>
      <c r="JKT54" s="25"/>
      <c r="JLA54" s="21"/>
      <c r="JLB54" s="21"/>
      <c r="JLF54" s="15"/>
      <c r="JLL54" s="25"/>
      <c r="JLS54" s="21"/>
      <c r="JLT54" s="21"/>
      <c r="JLX54" s="15"/>
      <c r="JMD54" s="25"/>
      <c r="JMK54" s="21"/>
      <c r="JML54" s="21"/>
      <c r="JMP54" s="15"/>
      <c r="JMV54" s="25"/>
      <c r="JNC54" s="21"/>
      <c r="JND54" s="21"/>
      <c r="JNH54" s="15"/>
      <c r="JNN54" s="25"/>
      <c r="JNU54" s="21"/>
      <c r="JNV54" s="21"/>
      <c r="JNZ54" s="15"/>
      <c r="JOF54" s="25"/>
      <c r="JOM54" s="21"/>
      <c r="JON54" s="21"/>
      <c r="JOR54" s="15"/>
      <c r="JOX54" s="25"/>
      <c r="JPE54" s="21"/>
      <c r="JPF54" s="21"/>
      <c r="JPJ54" s="15"/>
      <c r="JPP54" s="25"/>
      <c r="JPW54" s="21"/>
      <c r="JPX54" s="21"/>
      <c r="JQB54" s="15"/>
      <c r="JQH54" s="25"/>
      <c r="JQO54" s="21"/>
      <c r="JQP54" s="21"/>
      <c r="JQT54" s="15"/>
      <c r="JQZ54" s="25"/>
      <c r="JRG54" s="21"/>
      <c r="JRH54" s="21"/>
      <c r="JRL54" s="15"/>
      <c r="JRR54" s="25"/>
      <c r="JRY54" s="21"/>
      <c r="JRZ54" s="21"/>
      <c r="JSD54" s="15"/>
      <c r="JSJ54" s="25"/>
      <c r="JSQ54" s="21"/>
      <c r="JSR54" s="21"/>
      <c r="JSV54" s="15"/>
      <c r="JTB54" s="25"/>
      <c r="JTI54" s="21"/>
      <c r="JTJ54" s="21"/>
      <c r="JTN54" s="15"/>
      <c r="JTT54" s="25"/>
      <c r="JUA54" s="21"/>
      <c r="JUB54" s="21"/>
      <c r="JUF54" s="15"/>
      <c r="JUL54" s="25"/>
      <c r="JUS54" s="21"/>
      <c r="JUT54" s="21"/>
      <c r="JUX54" s="15"/>
      <c r="JVD54" s="25"/>
      <c r="JVK54" s="21"/>
      <c r="JVL54" s="21"/>
      <c r="JVP54" s="15"/>
      <c r="JVV54" s="25"/>
      <c r="JWC54" s="21"/>
      <c r="JWD54" s="21"/>
      <c r="JWH54" s="15"/>
      <c r="JWN54" s="25"/>
      <c r="JWU54" s="21"/>
      <c r="JWV54" s="21"/>
      <c r="JWZ54" s="15"/>
      <c r="JXF54" s="25"/>
      <c r="JXM54" s="21"/>
      <c r="JXN54" s="21"/>
      <c r="JXR54" s="15"/>
      <c r="JXX54" s="25"/>
      <c r="JYE54" s="21"/>
      <c r="JYF54" s="21"/>
      <c r="JYJ54" s="15"/>
      <c r="JYP54" s="25"/>
      <c r="JYW54" s="21"/>
      <c r="JYX54" s="21"/>
      <c r="JZB54" s="15"/>
      <c r="JZH54" s="25"/>
      <c r="JZO54" s="21"/>
      <c r="JZP54" s="21"/>
      <c r="JZT54" s="15"/>
      <c r="JZZ54" s="25"/>
      <c r="KAG54" s="21"/>
      <c r="KAH54" s="21"/>
      <c r="KAL54" s="15"/>
      <c r="KAR54" s="25"/>
      <c r="KAY54" s="21"/>
      <c r="KAZ54" s="21"/>
      <c r="KBD54" s="15"/>
      <c r="KBJ54" s="25"/>
      <c r="KBQ54" s="21"/>
      <c r="KBR54" s="21"/>
      <c r="KBV54" s="15"/>
      <c r="KCB54" s="25"/>
      <c r="KCI54" s="21"/>
      <c r="KCJ54" s="21"/>
      <c r="KCN54" s="15"/>
      <c r="KCT54" s="25"/>
      <c r="KDA54" s="21"/>
      <c r="KDB54" s="21"/>
      <c r="KDF54" s="15"/>
      <c r="KDL54" s="25"/>
      <c r="KDS54" s="21"/>
      <c r="KDT54" s="21"/>
      <c r="KDX54" s="15"/>
      <c r="KED54" s="25"/>
      <c r="KEK54" s="21"/>
      <c r="KEL54" s="21"/>
      <c r="KEP54" s="15"/>
      <c r="KEV54" s="25"/>
      <c r="KFC54" s="21"/>
      <c r="KFD54" s="21"/>
      <c r="KFH54" s="15"/>
      <c r="KFN54" s="25"/>
      <c r="KFU54" s="21"/>
      <c r="KFV54" s="21"/>
      <c r="KFZ54" s="15"/>
      <c r="KGF54" s="25"/>
      <c r="KGM54" s="21"/>
      <c r="KGN54" s="21"/>
      <c r="KGR54" s="15"/>
      <c r="KGX54" s="25"/>
      <c r="KHE54" s="21"/>
      <c r="KHF54" s="21"/>
      <c r="KHJ54" s="15"/>
      <c r="KHP54" s="25"/>
      <c r="KHW54" s="21"/>
      <c r="KHX54" s="21"/>
      <c r="KIB54" s="15"/>
      <c r="KIH54" s="25"/>
      <c r="KIO54" s="21"/>
      <c r="KIP54" s="21"/>
      <c r="KIT54" s="15"/>
      <c r="KIZ54" s="25"/>
      <c r="KJG54" s="21"/>
      <c r="KJH54" s="21"/>
      <c r="KJL54" s="15"/>
      <c r="KJR54" s="25"/>
      <c r="KJY54" s="21"/>
      <c r="KJZ54" s="21"/>
      <c r="KKD54" s="15"/>
      <c r="KKJ54" s="25"/>
      <c r="KKQ54" s="21"/>
      <c r="KKR54" s="21"/>
      <c r="KKV54" s="15"/>
      <c r="KLB54" s="25"/>
      <c r="KLI54" s="21"/>
      <c r="KLJ54" s="21"/>
      <c r="KLN54" s="15"/>
      <c r="KLT54" s="25"/>
      <c r="KMA54" s="21"/>
      <c r="KMB54" s="21"/>
      <c r="KMF54" s="15"/>
      <c r="KML54" s="25"/>
      <c r="KMS54" s="21"/>
      <c r="KMT54" s="21"/>
      <c r="KMX54" s="15"/>
      <c r="KND54" s="25"/>
      <c r="KNK54" s="21"/>
      <c r="KNL54" s="21"/>
      <c r="KNP54" s="15"/>
      <c r="KNV54" s="25"/>
      <c r="KOC54" s="21"/>
      <c r="KOD54" s="21"/>
      <c r="KOH54" s="15"/>
      <c r="KON54" s="25"/>
      <c r="KOU54" s="21"/>
      <c r="KOV54" s="21"/>
      <c r="KOZ54" s="15"/>
      <c r="KPF54" s="25"/>
      <c r="KPM54" s="21"/>
      <c r="KPN54" s="21"/>
      <c r="KPR54" s="15"/>
      <c r="KPX54" s="25"/>
      <c r="KQE54" s="21"/>
      <c r="KQF54" s="21"/>
      <c r="KQJ54" s="15"/>
      <c r="KQP54" s="25"/>
      <c r="KQW54" s="21"/>
      <c r="KQX54" s="21"/>
      <c r="KRB54" s="15"/>
      <c r="KRH54" s="25"/>
      <c r="KRO54" s="21"/>
      <c r="KRP54" s="21"/>
      <c r="KRT54" s="15"/>
      <c r="KRZ54" s="25"/>
      <c r="KSG54" s="21"/>
      <c r="KSH54" s="21"/>
      <c r="KSL54" s="15"/>
      <c r="KSR54" s="25"/>
      <c r="KSY54" s="21"/>
      <c r="KSZ54" s="21"/>
      <c r="KTD54" s="15"/>
      <c r="KTJ54" s="25"/>
      <c r="KTQ54" s="21"/>
      <c r="KTR54" s="21"/>
      <c r="KTV54" s="15"/>
      <c r="KUB54" s="25"/>
      <c r="KUI54" s="21"/>
      <c r="KUJ54" s="21"/>
      <c r="KUN54" s="15"/>
      <c r="KUT54" s="25"/>
      <c r="KVA54" s="21"/>
      <c r="KVB54" s="21"/>
      <c r="KVF54" s="15"/>
      <c r="KVL54" s="25"/>
      <c r="KVS54" s="21"/>
      <c r="KVT54" s="21"/>
      <c r="KVX54" s="15"/>
      <c r="KWD54" s="25"/>
      <c r="KWK54" s="21"/>
      <c r="KWL54" s="21"/>
      <c r="KWP54" s="15"/>
      <c r="KWV54" s="25"/>
      <c r="KXC54" s="21"/>
      <c r="KXD54" s="21"/>
      <c r="KXH54" s="15"/>
      <c r="KXN54" s="25"/>
      <c r="KXU54" s="21"/>
      <c r="KXV54" s="21"/>
      <c r="KXZ54" s="15"/>
      <c r="KYF54" s="25"/>
      <c r="KYM54" s="21"/>
      <c r="KYN54" s="21"/>
      <c r="KYR54" s="15"/>
      <c r="KYX54" s="25"/>
      <c r="KZE54" s="21"/>
      <c r="KZF54" s="21"/>
      <c r="KZJ54" s="15"/>
      <c r="KZP54" s="25"/>
      <c r="KZW54" s="21"/>
      <c r="KZX54" s="21"/>
      <c r="LAB54" s="15"/>
      <c r="LAH54" s="25"/>
      <c r="LAO54" s="21"/>
      <c r="LAP54" s="21"/>
      <c r="LAT54" s="15"/>
      <c r="LAZ54" s="25"/>
      <c r="LBG54" s="21"/>
      <c r="LBH54" s="21"/>
      <c r="LBL54" s="15"/>
      <c r="LBR54" s="25"/>
      <c r="LBY54" s="21"/>
      <c r="LBZ54" s="21"/>
      <c r="LCD54" s="15"/>
      <c r="LCJ54" s="25"/>
      <c r="LCQ54" s="21"/>
      <c r="LCR54" s="21"/>
      <c r="LCV54" s="15"/>
      <c r="LDB54" s="25"/>
      <c r="LDI54" s="21"/>
      <c r="LDJ54" s="21"/>
      <c r="LDN54" s="15"/>
      <c r="LDT54" s="25"/>
      <c r="LEA54" s="21"/>
      <c r="LEB54" s="21"/>
      <c r="LEF54" s="15"/>
      <c r="LEL54" s="25"/>
      <c r="LES54" s="21"/>
      <c r="LET54" s="21"/>
      <c r="LEX54" s="15"/>
      <c r="LFD54" s="25"/>
      <c r="LFK54" s="21"/>
      <c r="LFL54" s="21"/>
      <c r="LFP54" s="15"/>
      <c r="LFV54" s="25"/>
      <c r="LGC54" s="21"/>
      <c r="LGD54" s="21"/>
      <c r="LGH54" s="15"/>
      <c r="LGN54" s="25"/>
      <c r="LGU54" s="21"/>
      <c r="LGV54" s="21"/>
      <c r="LGZ54" s="15"/>
      <c r="LHF54" s="25"/>
      <c r="LHM54" s="21"/>
      <c r="LHN54" s="21"/>
      <c r="LHR54" s="15"/>
      <c r="LHX54" s="25"/>
      <c r="LIE54" s="21"/>
      <c r="LIF54" s="21"/>
      <c r="LIJ54" s="15"/>
      <c r="LIP54" s="25"/>
      <c r="LIW54" s="21"/>
      <c r="LIX54" s="21"/>
      <c r="LJB54" s="15"/>
      <c r="LJH54" s="25"/>
      <c r="LJO54" s="21"/>
      <c r="LJP54" s="21"/>
      <c r="LJT54" s="15"/>
      <c r="LJZ54" s="25"/>
      <c r="LKG54" s="21"/>
      <c r="LKH54" s="21"/>
      <c r="LKL54" s="15"/>
      <c r="LKR54" s="25"/>
      <c r="LKY54" s="21"/>
      <c r="LKZ54" s="21"/>
      <c r="LLD54" s="15"/>
      <c r="LLJ54" s="25"/>
      <c r="LLQ54" s="21"/>
      <c r="LLR54" s="21"/>
      <c r="LLV54" s="15"/>
      <c r="LMB54" s="25"/>
      <c r="LMI54" s="21"/>
      <c r="LMJ54" s="21"/>
      <c r="LMN54" s="15"/>
      <c r="LMT54" s="25"/>
      <c r="LNA54" s="21"/>
      <c r="LNB54" s="21"/>
      <c r="LNF54" s="15"/>
      <c r="LNL54" s="25"/>
      <c r="LNS54" s="21"/>
      <c r="LNT54" s="21"/>
      <c r="LNX54" s="15"/>
      <c r="LOD54" s="25"/>
      <c r="LOK54" s="21"/>
      <c r="LOL54" s="21"/>
      <c r="LOP54" s="15"/>
      <c r="LOV54" s="25"/>
      <c r="LPC54" s="21"/>
      <c r="LPD54" s="21"/>
      <c r="LPH54" s="15"/>
      <c r="LPN54" s="25"/>
      <c r="LPU54" s="21"/>
      <c r="LPV54" s="21"/>
      <c r="LPZ54" s="15"/>
      <c r="LQF54" s="25"/>
      <c r="LQM54" s="21"/>
      <c r="LQN54" s="21"/>
      <c r="LQR54" s="15"/>
      <c r="LQX54" s="25"/>
      <c r="LRE54" s="21"/>
      <c r="LRF54" s="21"/>
      <c r="LRJ54" s="15"/>
      <c r="LRP54" s="25"/>
      <c r="LRW54" s="21"/>
      <c r="LRX54" s="21"/>
      <c r="LSB54" s="15"/>
      <c r="LSH54" s="25"/>
      <c r="LSO54" s="21"/>
      <c r="LSP54" s="21"/>
      <c r="LST54" s="15"/>
      <c r="LSZ54" s="25"/>
      <c r="LTG54" s="21"/>
      <c r="LTH54" s="21"/>
      <c r="LTL54" s="15"/>
      <c r="LTR54" s="25"/>
      <c r="LTY54" s="21"/>
      <c r="LTZ54" s="21"/>
      <c r="LUD54" s="15"/>
      <c r="LUJ54" s="25"/>
      <c r="LUQ54" s="21"/>
      <c r="LUR54" s="21"/>
      <c r="LUV54" s="15"/>
      <c r="LVB54" s="25"/>
      <c r="LVI54" s="21"/>
      <c r="LVJ54" s="21"/>
      <c r="LVN54" s="15"/>
      <c r="LVT54" s="25"/>
      <c r="LWA54" s="21"/>
      <c r="LWB54" s="21"/>
      <c r="LWF54" s="15"/>
      <c r="LWL54" s="25"/>
      <c r="LWS54" s="21"/>
      <c r="LWT54" s="21"/>
      <c r="LWX54" s="15"/>
      <c r="LXD54" s="25"/>
      <c r="LXK54" s="21"/>
      <c r="LXL54" s="21"/>
      <c r="LXP54" s="15"/>
      <c r="LXV54" s="25"/>
      <c r="LYC54" s="21"/>
      <c r="LYD54" s="21"/>
      <c r="LYH54" s="15"/>
      <c r="LYN54" s="25"/>
      <c r="LYU54" s="21"/>
      <c r="LYV54" s="21"/>
      <c r="LYZ54" s="15"/>
      <c r="LZF54" s="25"/>
      <c r="LZM54" s="21"/>
      <c r="LZN54" s="21"/>
      <c r="LZR54" s="15"/>
      <c r="LZX54" s="25"/>
      <c r="MAE54" s="21"/>
      <c r="MAF54" s="21"/>
      <c r="MAJ54" s="15"/>
      <c r="MAP54" s="25"/>
      <c r="MAW54" s="21"/>
      <c r="MAX54" s="21"/>
      <c r="MBB54" s="15"/>
      <c r="MBH54" s="25"/>
      <c r="MBO54" s="21"/>
      <c r="MBP54" s="21"/>
      <c r="MBT54" s="15"/>
      <c r="MBZ54" s="25"/>
      <c r="MCG54" s="21"/>
      <c r="MCH54" s="21"/>
      <c r="MCL54" s="15"/>
      <c r="MCR54" s="25"/>
      <c r="MCY54" s="21"/>
      <c r="MCZ54" s="21"/>
      <c r="MDD54" s="15"/>
      <c r="MDJ54" s="25"/>
      <c r="MDQ54" s="21"/>
      <c r="MDR54" s="21"/>
      <c r="MDV54" s="15"/>
      <c r="MEB54" s="25"/>
      <c r="MEI54" s="21"/>
      <c r="MEJ54" s="21"/>
      <c r="MEN54" s="15"/>
      <c r="MET54" s="25"/>
      <c r="MFA54" s="21"/>
      <c r="MFB54" s="21"/>
      <c r="MFF54" s="15"/>
      <c r="MFL54" s="25"/>
      <c r="MFS54" s="21"/>
      <c r="MFT54" s="21"/>
      <c r="MFX54" s="15"/>
      <c r="MGD54" s="25"/>
      <c r="MGK54" s="21"/>
      <c r="MGL54" s="21"/>
      <c r="MGP54" s="15"/>
      <c r="MGV54" s="25"/>
      <c r="MHC54" s="21"/>
      <c r="MHD54" s="21"/>
      <c r="MHH54" s="15"/>
      <c r="MHN54" s="25"/>
      <c r="MHU54" s="21"/>
      <c r="MHV54" s="21"/>
      <c r="MHZ54" s="15"/>
      <c r="MIF54" s="25"/>
      <c r="MIM54" s="21"/>
      <c r="MIN54" s="21"/>
      <c r="MIR54" s="15"/>
      <c r="MIX54" s="25"/>
      <c r="MJE54" s="21"/>
      <c r="MJF54" s="21"/>
      <c r="MJJ54" s="15"/>
      <c r="MJP54" s="25"/>
      <c r="MJW54" s="21"/>
      <c r="MJX54" s="21"/>
      <c r="MKB54" s="15"/>
      <c r="MKH54" s="25"/>
      <c r="MKO54" s="21"/>
      <c r="MKP54" s="21"/>
      <c r="MKT54" s="15"/>
      <c r="MKZ54" s="25"/>
      <c r="MLG54" s="21"/>
      <c r="MLH54" s="21"/>
      <c r="MLL54" s="15"/>
      <c r="MLR54" s="25"/>
      <c r="MLY54" s="21"/>
      <c r="MLZ54" s="21"/>
      <c r="MMD54" s="15"/>
      <c r="MMJ54" s="25"/>
      <c r="MMQ54" s="21"/>
      <c r="MMR54" s="21"/>
      <c r="MMV54" s="15"/>
      <c r="MNB54" s="25"/>
      <c r="MNI54" s="21"/>
      <c r="MNJ54" s="21"/>
      <c r="MNN54" s="15"/>
      <c r="MNT54" s="25"/>
      <c r="MOA54" s="21"/>
      <c r="MOB54" s="21"/>
      <c r="MOF54" s="15"/>
      <c r="MOL54" s="25"/>
      <c r="MOS54" s="21"/>
      <c r="MOT54" s="21"/>
      <c r="MOX54" s="15"/>
      <c r="MPD54" s="25"/>
      <c r="MPK54" s="21"/>
      <c r="MPL54" s="21"/>
      <c r="MPP54" s="15"/>
      <c r="MPV54" s="25"/>
      <c r="MQC54" s="21"/>
      <c r="MQD54" s="21"/>
      <c r="MQH54" s="15"/>
      <c r="MQN54" s="25"/>
      <c r="MQU54" s="21"/>
      <c r="MQV54" s="21"/>
      <c r="MQZ54" s="15"/>
      <c r="MRF54" s="25"/>
      <c r="MRM54" s="21"/>
      <c r="MRN54" s="21"/>
      <c r="MRR54" s="15"/>
      <c r="MRX54" s="25"/>
      <c r="MSE54" s="21"/>
      <c r="MSF54" s="21"/>
      <c r="MSJ54" s="15"/>
      <c r="MSP54" s="25"/>
      <c r="MSW54" s="21"/>
      <c r="MSX54" s="21"/>
      <c r="MTB54" s="15"/>
      <c r="MTH54" s="25"/>
      <c r="MTO54" s="21"/>
      <c r="MTP54" s="21"/>
      <c r="MTT54" s="15"/>
      <c r="MTZ54" s="25"/>
      <c r="MUG54" s="21"/>
      <c r="MUH54" s="21"/>
      <c r="MUL54" s="15"/>
      <c r="MUR54" s="25"/>
      <c r="MUY54" s="21"/>
      <c r="MUZ54" s="21"/>
      <c r="MVD54" s="15"/>
      <c r="MVJ54" s="25"/>
      <c r="MVQ54" s="21"/>
      <c r="MVR54" s="21"/>
      <c r="MVV54" s="15"/>
      <c r="MWB54" s="25"/>
      <c r="MWI54" s="21"/>
      <c r="MWJ54" s="21"/>
      <c r="MWN54" s="15"/>
      <c r="MWT54" s="25"/>
      <c r="MXA54" s="21"/>
      <c r="MXB54" s="21"/>
      <c r="MXF54" s="15"/>
      <c r="MXL54" s="25"/>
      <c r="MXS54" s="21"/>
      <c r="MXT54" s="21"/>
      <c r="MXX54" s="15"/>
      <c r="MYD54" s="25"/>
      <c r="MYK54" s="21"/>
      <c r="MYL54" s="21"/>
      <c r="MYP54" s="15"/>
      <c r="MYV54" s="25"/>
      <c r="MZC54" s="21"/>
      <c r="MZD54" s="21"/>
      <c r="MZH54" s="15"/>
      <c r="MZN54" s="25"/>
      <c r="MZU54" s="21"/>
      <c r="MZV54" s="21"/>
      <c r="MZZ54" s="15"/>
      <c r="NAF54" s="25"/>
      <c r="NAM54" s="21"/>
      <c r="NAN54" s="21"/>
      <c r="NAR54" s="15"/>
      <c r="NAX54" s="25"/>
      <c r="NBE54" s="21"/>
      <c r="NBF54" s="21"/>
      <c r="NBJ54" s="15"/>
      <c r="NBP54" s="25"/>
      <c r="NBW54" s="21"/>
      <c r="NBX54" s="21"/>
      <c r="NCB54" s="15"/>
      <c r="NCH54" s="25"/>
      <c r="NCO54" s="21"/>
      <c r="NCP54" s="21"/>
      <c r="NCT54" s="15"/>
      <c r="NCZ54" s="25"/>
      <c r="NDG54" s="21"/>
      <c r="NDH54" s="21"/>
      <c r="NDL54" s="15"/>
      <c r="NDR54" s="25"/>
      <c r="NDY54" s="21"/>
      <c r="NDZ54" s="21"/>
      <c r="NED54" s="15"/>
      <c r="NEJ54" s="25"/>
      <c r="NEQ54" s="21"/>
      <c r="NER54" s="21"/>
      <c r="NEV54" s="15"/>
      <c r="NFB54" s="25"/>
      <c r="NFI54" s="21"/>
      <c r="NFJ54" s="21"/>
      <c r="NFN54" s="15"/>
      <c r="NFT54" s="25"/>
      <c r="NGA54" s="21"/>
      <c r="NGB54" s="21"/>
      <c r="NGF54" s="15"/>
      <c r="NGL54" s="25"/>
      <c r="NGS54" s="21"/>
      <c r="NGT54" s="21"/>
      <c r="NGX54" s="15"/>
      <c r="NHD54" s="25"/>
      <c r="NHK54" s="21"/>
      <c r="NHL54" s="21"/>
      <c r="NHP54" s="15"/>
      <c r="NHV54" s="25"/>
      <c r="NIC54" s="21"/>
      <c r="NID54" s="21"/>
      <c r="NIH54" s="15"/>
      <c r="NIN54" s="25"/>
      <c r="NIU54" s="21"/>
      <c r="NIV54" s="21"/>
      <c r="NIZ54" s="15"/>
      <c r="NJF54" s="25"/>
      <c r="NJM54" s="21"/>
      <c r="NJN54" s="21"/>
      <c r="NJR54" s="15"/>
      <c r="NJX54" s="25"/>
      <c r="NKE54" s="21"/>
      <c r="NKF54" s="21"/>
      <c r="NKJ54" s="15"/>
      <c r="NKP54" s="25"/>
      <c r="NKW54" s="21"/>
      <c r="NKX54" s="21"/>
      <c r="NLB54" s="15"/>
      <c r="NLH54" s="25"/>
      <c r="NLO54" s="21"/>
      <c r="NLP54" s="21"/>
      <c r="NLT54" s="15"/>
      <c r="NLZ54" s="25"/>
      <c r="NMG54" s="21"/>
      <c r="NMH54" s="21"/>
      <c r="NML54" s="15"/>
      <c r="NMR54" s="25"/>
      <c r="NMY54" s="21"/>
      <c r="NMZ54" s="21"/>
      <c r="NND54" s="15"/>
      <c r="NNJ54" s="25"/>
      <c r="NNQ54" s="21"/>
      <c r="NNR54" s="21"/>
      <c r="NNV54" s="15"/>
      <c r="NOB54" s="25"/>
      <c r="NOI54" s="21"/>
      <c r="NOJ54" s="21"/>
      <c r="NON54" s="15"/>
      <c r="NOT54" s="25"/>
      <c r="NPA54" s="21"/>
      <c r="NPB54" s="21"/>
      <c r="NPF54" s="15"/>
      <c r="NPL54" s="25"/>
      <c r="NPS54" s="21"/>
      <c r="NPT54" s="21"/>
      <c r="NPX54" s="15"/>
      <c r="NQD54" s="25"/>
      <c r="NQK54" s="21"/>
      <c r="NQL54" s="21"/>
      <c r="NQP54" s="15"/>
      <c r="NQV54" s="25"/>
      <c r="NRC54" s="21"/>
      <c r="NRD54" s="21"/>
      <c r="NRH54" s="15"/>
      <c r="NRN54" s="25"/>
      <c r="NRU54" s="21"/>
      <c r="NRV54" s="21"/>
      <c r="NRZ54" s="15"/>
      <c r="NSF54" s="25"/>
      <c r="NSM54" s="21"/>
      <c r="NSN54" s="21"/>
      <c r="NSR54" s="15"/>
      <c r="NSX54" s="25"/>
      <c r="NTE54" s="21"/>
      <c r="NTF54" s="21"/>
      <c r="NTJ54" s="15"/>
      <c r="NTP54" s="25"/>
      <c r="NTW54" s="21"/>
      <c r="NTX54" s="21"/>
      <c r="NUB54" s="15"/>
      <c r="NUH54" s="25"/>
      <c r="NUO54" s="21"/>
      <c r="NUP54" s="21"/>
      <c r="NUT54" s="15"/>
      <c r="NUZ54" s="25"/>
      <c r="NVG54" s="21"/>
      <c r="NVH54" s="21"/>
      <c r="NVL54" s="15"/>
      <c r="NVR54" s="25"/>
      <c r="NVY54" s="21"/>
      <c r="NVZ54" s="21"/>
      <c r="NWD54" s="15"/>
      <c r="NWJ54" s="25"/>
      <c r="NWQ54" s="21"/>
      <c r="NWR54" s="21"/>
      <c r="NWV54" s="15"/>
      <c r="NXB54" s="25"/>
      <c r="NXI54" s="21"/>
      <c r="NXJ54" s="21"/>
      <c r="NXN54" s="15"/>
      <c r="NXT54" s="25"/>
      <c r="NYA54" s="21"/>
      <c r="NYB54" s="21"/>
      <c r="NYF54" s="15"/>
      <c r="NYL54" s="25"/>
      <c r="NYS54" s="21"/>
      <c r="NYT54" s="21"/>
      <c r="NYX54" s="15"/>
      <c r="NZD54" s="25"/>
      <c r="NZK54" s="21"/>
      <c r="NZL54" s="21"/>
      <c r="NZP54" s="15"/>
      <c r="NZV54" s="25"/>
      <c r="OAC54" s="21"/>
      <c r="OAD54" s="21"/>
      <c r="OAH54" s="15"/>
      <c r="OAN54" s="25"/>
      <c r="OAU54" s="21"/>
      <c r="OAV54" s="21"/>
      <c r="OAZ54" s="15"/>
      <c r="OBF54" s="25"/>
      <c r="OBM54" s="21"/>
      <c r="OBN54" s="21"/>
      <c r="OBR54" s="15"/>
      <c r="OBX54" s="25"/>
      <c r="OCE54" s="21"/>
      <c r="OCF54" s="21"/>
      <c r="OCJ54" s="15"/>
      <c r="OCP54" s="25"/>
      <c r="OCW54" s="21"/>
      <c r="OCX54" s="21"/>
      <c r="ODB54" s="15"/>
      <c r="ODH54" s="25"/>
      <c r="ODO54" s="21"/>
      <c r="ODP54" s="21"/>
      <c r="ODT54" s="15"/>
      <c r="ODZ54" s="25"/>
      <c r="OEG54" s="21"/>
      <c r="OEH54" s="21"/>
      <c r="OEL54" s="15"/>
      <c r="OER54" s="25"/>
      <c r="OEY54" s="21"/>
      <c r="OEZ54" s="21"/>
      <c r="OFD54" s="15"/>
      <c r="OFJ54" s="25"/>
      <c r="OFQ54" s="21"/>
      <c r="OFR54" s="21"/>
      <c r="OFV54" s="15"/>
      <c r="OGB54" s="25"/>
      <c r="OGI54" s="21"/>
      <c r="OGJ54" s="21"/>
      <c r="OGN54" s="15"/>
      <c r="OGT54" s="25"/>
      <c r="OHA54" s="21"/>
      <c r="OHB54" s="21"/>
      <c r="OHF54" s="15"/>
      <c r="OHL54" s="25"/>
      <c r="OHS54" s="21"/>
      <c r="OHT54" s="21"/>
      <c r="OHX54" s="15"/>
      <c r="OID54" s="25"/>
      <c r="OIK54" s="21"/>
      <c r="OIL54" s="21"/>
      <c r="OIP54" s="15"/>
      <c r="OIV54" s="25"/>
      <c r="OJC54" s="21"/>
      <c r="OJD54" s="21"/>
      <c r="OJH54" s="15"/>
      <c r="OJN54" s="25"/>
      <c r="OJU54" s="21"/>
      <c r="OJV54" s="21"/>
      <c r="OJZ54" s="15"/>
      <c r="OKF54" s="25"/>
      <c r="OKM54" s="21"/>
      <c r="OKN54" s="21"/>
      <c r="OKR54" s="15"/>
      <c r="OKX54" s="25"/>
      <c r="OLE54" s="21"/>
      <c r="OLF54" s="21"/>
      <c r="OLJ54" s="15"/>
      <c r="OLP54" s="25"/>
      <c r="OLW54" s="21"/>
      <c r="OLX54" s="21"/>
      <c r="OMB54" s="15"/>
      <c r="OMH54" s="25"/>
      <c r="OMO54" s="21"/>
      <c r="OMP54" s="21"/>
      <c r="OMT54" s="15"/>
      <c r="OMZ54" s="25"/>
      <c r="ONG54" s="21"/>
      <c r="ONH54" s="21"/>
      <c r="ONL54" s="15"/>
      <c r="ONR54" s="25"/>
      <c r="ONY54" s="21"/>
      <c r="ONZ54" s="21"/>
      <c r="OOD54" s="15"/>
      <c r="OOJ54" s="25"/>
      <c r="OOQ54" s="21"/>
      <c r="OOR54" s="21"/>
      <c r="OOV54" s="15"/>
      <c r="OPB54" s="25"/>
      <c r="OPI54" s="21"/>
      <c r="OPJ54" s="21"/>
      <c r="OPN54" s="15"/>
      <c r="OPT54" s="25"/>
      <c r="OQA54" s="21"/>
      <c r="OQB54" s="21"/>
      <c r="OQF54" s="15"/>
      <c r="OQL54" s="25"/>
      <c r="OQS54" s="21"/>
      <c r="OQT54" s="21"/>
      <c r="OQX54" s="15"/>
      <c r="ORD54" s="25"/>
      <c r="ORK54" s="21"/>
      <c r="ORL54" s="21"/>
      <c r="ORP54" s="15"/>
      <c r="ORV54" s="25"/>
      <c r="OSC54" s="21"/>
      <c r="OSD54" s="21"/>
      <c r="OSH54" s="15"/>
      <c r="OSN54" s="25"/>
      <c r="OSU54" s="21"/>
      <c r="OSV54" s="21"/>
      <c r="OSZ54" s="15"/>
      <c r="OTF54" s="25"/>
      <c r="OTM54" s="21"/>
      <c r="OTN54" s="21"/>
      <c r="OTR54" s="15"/>
      <c r="OTX54" s="25"/>
      <c r="OUE54" s="21"/>
      <c r="OUF54" s="21"/>
      <c r="OUJ54" s="15"/>
      <c r="OUP54" s="25"/>
      <c r="OUW54" s="21"/>
      <c r="OUX54" s="21"/>
      <c r="OVB54" s="15"/>
      <c r="OVH54" s="25"/>
      <c r="OVO54" s="21"/>
      <c r="OVP54" s="21"/>
      <c r="OVT54" s="15"/>
      <c r="OVZ54" s="25"/>
      <c r="OWG54" s="21"/>
      <c r="OWH54" s="21"/>
      <c r="OWL54" s="15"/>
      <c r="OWR54" s="25"/>
      <c r="OWY54" s="21"/>
      <c r="OWZ54" s="21"/>
      <c r="OXD54" s="15"/>
      <c r="OXJ54" s="25"/>
      <c r="OXQ54" s="21"/>
      <c r="OXR54" s="21"/>
      <c r="OXV54" s="15"/>
      <c r="OYB54" s="25"/>
      <c r="OYI54" s="21"/>
      <c r="OYJ54" s="21"/>
      <c r="OYN54" s="15"/>
      <c r="OYT54" s="25"/>
      <c r="OZA54" s="21"/>
      <c r="OZB54" s="21"/>
      <c r="OZF54" s="15"/>
      <c r="OZL54" s="25"/>
      <c r="OZS54" s="21"/>
      <c r="OZT54" s="21"/>
      <c r="OZX54" s="15"/>
      <c r="PAD54" s="25"/>
      <c r="PAK54" s="21"/>
      <c r="PAL54" s="21"/>
      <c r="PAP54" s="15"/>
      <c r="PAV54" s="25"/>
      <c r="PBC54" s="21"/>
      <c r="PBD54" s="21"/>
      <c r="PBH54" s="15"/>
      <c r="PBN54" s="25"/>
      <c r="PBU54" s="21"/>
      <c r="PBV54" s="21"/>
      <c r="PBZ54" s="15"/>
      <c r="PCF54" s="25"/>
      <c r="PCM54" s="21"/>
      <c r="PCN54" s="21"/>
      <c r="PCR54" s="15"/>
      <c r="PCX54" s="25"/>
      <c r="PDE54" s="21"/>
      <c r="PDF54" s="21"/>
      <c r="PDJ54" s="15"/>
      <c r="PDP54" s="25"/>
      <c r="PDW54" s="21"/>
      <c r="PDX54" s="21"/>
      <c r="PEB54" s="15"/>
      <c r="PEH54" s="25"/>
      <c r="PEO54" s="21"/>
      <c r="PEP54" s="21"/>
      <c r="PET54" s="15"/>
      <c r="PEZ54" s="25"/>
      <c r="PFG54" s="21"/>
      <c r="PFH54" s="21"/>
      <c r="PFL54" s="15"/>
      <c r="PFR54" s="25"/>
      <c r="PFY54" s="21"/>
      <c r="PFZ54" s="21"/>
      <c r="PGD54" s="15"/>
      <c r="PGJ54" s="25"/>
      <c r="PGQ54" s="21"/>
      <c r="PGR54" s="21"/>
      <c r="PGV54" s="15"/>
      <c r="PHB54" s="25"/>
      <c r="PHI54" s="21"/>
      <c r="PHJ54" s="21"/>
      <c r="PHN54" s="15"/>
      <c r="PHT54" s="25"/>
      <c r="PIA54" s="21"/>
      <c r="PIB54" s="21"/>
      <c r="PIF54" s="15"/>
      <c r="PIL54" s="25"/>
      <c r="PIS54" s="21"/>
      <c r="PIT54" s="21"/>
      <c r="PIX54" s="15"/>
      <c r="PJD54" s="25"/>
      <c r="PJK54" s="21"/>
      <c r="PJL54" s="21"/>
      <c r="PJP54" s="15"/>
      <c r="PJV54" s="25"/>
      <c r="PKC54" s="21"/>
      <c r="PKD54" s="21"/>
      <c r="PKH54" s="15"/>
      <c r="PKN54" s="25"/>
      <c r="PKU54" s="21"/>
      <c r="PKV54" s="21"/>
      <c r="PKZ54" s="15"/>
      <c r="PLF54" s="25"/>
      <c r="PLM54" s="21"/>
      <c r="PLN54" s="21"/>
      <c r="PLR54" s="15"/>
      <c r="PLX54" s="25"/>
      <c r="PME54" s="21"/>
      <c r="PMF54" s="21"/>
      <c r="PMJ54" s="15"/>
      <c r="PMP54" s="25"/>
      <c r="PMW54" s="21"/>
      <c r="PMX54" s="21"/>
      <c r="PNB54" s="15"/>
      <c r="PNH54" s="25"/>
      <c r="PNO54" s="21"/>
      <c r="PNP54" s="21"/>
      <c r="PNT54" s="15"/>
      <c r="PNZ54" s="25"/>
      <c r="POG54" s="21"/>
      <c r="POH54" s="21"/>
      <c r="POL54" s="15"/>
      <c r="POR54" s="25"/>
      <c r="POY54" s="21"/>
      <c r="POZ54" s="21"/>
      <c r="PPD54" s="15"/>
      <c r="PPJ54" s="25"/>
      <c r="PPQ54" s="21"/>
      <c r="PPR54" s="21"/>
      <c r="PPV54" s="15"/>
      <c r="PQB54" s="25"/>
      <c r="PQI54" s="21"/>
      <c r="PQJ54" s="21"/>
      <c r="PQN54" s="15"/>
      <c r="PQT54" s="25"/>
      <c r="PRA54" s="21"/>
      <c r="PRB54" s="21"/>
      <c r="PRF54" s="15"/>
      <c r="PRL54" s="25"/>
      <c r="PRS54" s="21"/>
      <c r="PRT54" s="21"/>
      <c r="PRX54" s="15"/>
      <c r="PSD54" s="25"/>
      <c r="PSK54" s="21"/>
      <c r="PSL54" s="21"/>
      <c r="PSP54" s="15"/>
      <c r="PSV54" s="25"/>
      <c r="PTC54" s="21"/>
      <c r="PTD54" s="21"/>
      <c r="PTH54" s="15"/>
      <c r="PTN54" s="25"/>
      <c r="PTU54" s="21"/>
      <c r="PTV54" s="21"/>
      <c r="PTZ54" s="15"/>
      <c r="PUF54" s="25"/>
      <c r="PUM54" s="21"/>
      <c r="PUN54" s="21"/>
      <c r="PUR54" s="15"/>
      <c r="PUX54" s="25"/>
      <c r="PVE54" s="21"/>
      <c r="PVF54" s="21"/>
      <c r="PVJ54" s="15"/>
      <c r="PVP54" s="25"/>
      <c r="PVW54" s="21"/>
      <c r="PVX54" s="21"/>
      <c r="PWB54" s="15"/>
      <c r="PWH54" s="25"/>
      <c r="PWO54" s="21"/>
      <c r="PWP54" s="21"/>
      <c r="PWT54" s="15"/>
      <c r="PWZ54" s="25"/>
      <c r="PXG54" s="21"/>
      <c r="PXH54" s="21"/>
      <c r="PXL54" s="15"/>
      <c r="PXR54" s="25"/>
      <c r="PXY54" s="21"/>
      <c r="PXZ54" s="21"/>
      <c r="PYD54" s="15"/>
      <c r="PYJ54" s="25"/>
      <c r="PYQ54" s="21"/>
      <c r="PYR54" s="21"/>
      <c r="PYV54" s="15"/>
      <c r="PZB54" s="25"/>
      <c r="PZI54" s="21"/>
      <c r="PZJ54" s="21"/>
      <c r="PZN54" s="15"/>
      <c r="PZT54" s="25"/>
      <c r="QAA54" s="21"/>
      <c r="QAB54" s="21"/>
      <c r="QAF54" s="15"/>
      <c r="QAL54" s="25"/>
      <c r="QAS54" s="21"/>
      <c r="QAT54" s="21"/>
      <c r="QAX54" s="15"/>
      <c r="QBD54" s="25"/>
      <c r="QBK54" s="21"/>
      <c r="QBL54" s="21"/>
      <c r="QBP54" s="15"/>
      <c r="QBV54" s="25"/>
      <c r="QCC54" s="21"/>
      <c r="QCD54" s="21"/>
      <c r="QCH54" s="15"/>
      <c r="QCN54" s="25"/>
      <c r="QCU54" s="21"/>
      <c r="QCV54" s="21"/>
      <c r="QCZ54" s="15"/>
      <c r="QDF54" s="25"/>
      <c r="QDM54" s="21"/>
      <c r="QDN54" s="21"/>
      <c r="QDR54" s="15"/>
      <c r="QDX54" s="25"/>
      <c r="QEE54" s="21"/>
      <c r="QEF54" s="21"/>
      <c r="QEJ54" s="15"/>
      <c r="QEP54" s="25"/>
      <c r="QEW54" s="21"/>
      <c r="QEX54" s="21"/>
      <c r="QFB54" s="15"/>
      <c r="QFH54" s="25"/>
      <c r="QFO54" s="21"/>
      <c r="QFP54" s="21"/>
      <c r="QFT54" s="15"/>
      <c r="QFZ54" s="25"/>
      <c r="QGG54" s="21"/>
      <c r="QGH54" s="21"/>
      <c r="QGL54" s="15"/>
      <c r="QGR54" s="25"/>
      <c r="QGY54" s="21"/>
      <c r="QGZ54" s="21"/>
      <c r="QHD54" s="15"/>
      <c r="QHJ54" s="25"/>
      <c r="QHQ54" s="21"/>
      <c r="QHR54" s="21"/>
      <c r="QHV54" s="15"/>
      <c r="QIB54" s="25"/>
      <c r="QII54" s="21"/>
      <c r="QIJ54" s="21"/>
      <c r="QIN54" s="15"/>
      <c r="QIT54" s="25"/>
      <c r="QJA54" s="21"/>
      <c r="QJB54" s="21"/>
      <c r="QJF54" s="15"/>
      <c r="QJL54" s="25"/>
      <c r="QJS54" s="21"/>
      <c r="QJT54" s="21"/>
      <c r="QJX54" s="15"/>
      <c r="QKD54" s="25"/>
      <c r="QKK54" s="21"/>
      <c r="QKL54" s="21"/>
      <c r="QKP54" s="15"/>
      <c r="QKV54" s="25"/>
      <c r="QLC54" s="21"/>
      <c r="QLD54" s="21"/>
      <c r="QLH54" s="15"/>
      <c r="QLN54" s="25"/>
      <c r="QLU54" s="21"/>
      <c r="QLV54" s="21"/>
      <c r="QLZ54" s="15"/>
      <c r="QMF54" s="25"/>
      <c r="QMM54" s="21"/>
      <c r="QMN54" s="21"/>
      <c r="QMR54" s="15"/>
      <c r="QMX54" s="25"/>
      <c r="QNE54" s="21"/>
      <c r="QNF54" s="21"/>
      <c r="QNJ54" s="15"/>
      <c r="QNP54" s="25"/>
      <c r="QNW54" s="21"/>
      <c r="QNX54" s="21"/>
      <c r="QOB54" s="15"/>
      <c r="QOH54" s="25"/>
      <c r="QOO54" s="21"/>
      <c r="QOP54" s="21"/>
      <c r="QOT54" s="15"/>
      <c r="QOZ54" s="25"/>
      <c r="QPG54" s="21"/>
      <c r="QPH54" s="21"/>
      <c r="QPL54" s="15"/>
      <c r="QPR54" s="25"/>
      <c r="QPY54" s="21"/>
      <c r="QPZ54" s="21"/>
      <c r="QQD54" s="15"/>
      <c r="QQJ54" s="25"/>
      <c r="QQQ54" s="21"/>
      <c r="QQR54" s="21"/>
      <c r="QQV54" s="15"/>
      <c r="QRB54" s="25"/>
      <c r="QRI54" s="21"/>
      <c r="QRJ54" s="21"/>
      <c r="QRN54" s="15"/>
      <c r="QRT54" s="25"/>
      <c r="QSA54" s="21"/>
      <c r="QSB54" s="21"/>
      <c r="QSF54" s="15"/>
      <c r="QSL54" s="25"/>
      <c r="QSS54" s="21"/>
      <c r="QST54" s="21"/>
      <c r="QSX54" s="15"/>
      <c r="QTD54" s="25"/>
      <c r="QTK54" s="21"/>
      <c r="QTL54" s="21"/>
      <c r="QTP54" s="15"/>
      <c r="QTV54" s="25"/>
      <c r="QUC54" s="21"/>
      <c r="QUD54" s="21"/>
      <c r="QUH54" s="15"/>
      <c r="QUN54" s="25"/>
      <c r="QUU54" s="21"/>
      <c r="QUV54" s="21"/>
      <c r="QUZ54" s="15"/>
      <c r="QVF54" s="25"/>
      <c r="QVM54" s="21"/>
      <c r="QVN54" s="21"/>
      <c r="QVR54" s="15"/>
      <c r="QVX54" s="25"/>
      <c r="QWE54" s="21"/>
      <c r="QWF54" s="21"/>
      <c r="QWJ54" s="15"/>
      <c r="QWP54" s="25"/>
      <c r="QWW54" s="21"/>
      <c r="QWX54" s="21"/>
      <c r="QXB54" s="15"/>
      <c r="QXH54" s="25"/>
      <c r="QXO54" s="21"/>
      <c r="QXP54" s="21"/>
      <c r="QXT54" s="15"/>
      <c r="QXZ54" s="25"/>
      <c r="QYG54" s="21"/>
      <c r="QYH54" s="21"/>
      <c r="QYL54" s="15"/>
      <c r="QYR54" s="25"/>
      <c r="QYY54" s="21"/>
      <c r="QYZ54" s="21"/>
      <c r="QZD54" s="15"/>
      <c r="QZJ54" s="25"/>
      <c r="QZQ54" s="21"/>
      <c r="QZR54" s="21"/>
      <c r="QZV54" s="15"/>
      <c r="RAB54" s="25"/>
      <c r="RAI54" s="21"/>
      <c r="RAJ54" s="21"/>
      <c r="RAN54" s="15"/>
      <c r="RAT54" s="25"/>
      <c r="RBA54" s="21"/>
      <c r="RBB54" s="21"/>
      <c r="RBF54" s="15"/>
      <c r="RBL54" s="25"/>
      <c r="RBS54" s="21"/>
      <c r="RBT54" s="21"/>
      <c r="RBX54" s="15"/>
      <c r="RCD54" s="25"/>
      <c r="RCK54" s="21"/>
      <c r="RCL54" s="21"/>
      <c r="RCP54" s="15"/>
      <c r="RCV54" s="25"/>
      <c r="RDC54" s="21"/>
      <c r="RDD54" s="21"/>
      <c r="RDH54" s="15"/>
      <c r="RDN54" s="25"/>
      <c r="RDU54" s="21"/>
      <c r="RDV54" s="21"/>
      <c r="RDZ54" s="15"/>
      <c r="REF54" s="25"/>
      <c r="REM54" s="21"/>
      <c r="REN54" s="21"/>
      <c r="RER54" s="15"/>
      <c r="REX54" s="25"/>
      <c r="RFE54" s="21"/>
      <c r="RFF54" s="21"/>
      <c r="RFJ54" s="15"/>
      <c r="RFP54" s="25"/>
      <c r="RFW54" s="21"/>
      <c r="RFX54" s="21"/>
      <c r="RGB54" s="15"/>
      <c r="RGH54" s="25"/>
      <c r="RGO54" s="21"/>
      <c r="RGP54" s="21"/>
      <c r="RGT54" s="15"/>
      <c r="RGZ54" s="25"/>
      <c r="RHG54" s="21"/>
      <c r="RHH54" s="21"/>
      <c r="RHL54" s="15"/>
      <c r="RHR54" s="25"/>
      <c r="RHY54" s="21"/>
      <c r="RHZ54" s="21"/>
      <c r="RID54" s="15"/>
      <c r="RIJ54" s="25"/>
      <c r="RIQ54" s="21"/>
      <c r="RIR54" s="21"/>
      <c r="RIV54" s="15"/>
      <c r="RJB54" s="25"/>
      <c r="RJI54" s="21"/>
      <c r="RJJ54" s="21"/>
      <c r="RJN54" s="15"/>
      <c r="RJT54" s="25"/>
      <c r="RKA54" s="21"/>
      <c r="RKB54" s="21"/>
      <c r="RKF54" s="15"/>
      <c r="RKL54" s="25"/>
      <c r="RKS54" s="21"/>
      <c r="RKT54" s="21"/>
      <c r="RKX54" s="15"/>
      <c r="RLD54" s="25"/>
      <c r="RLK54" s="21"/>
      <c r="RLL54" s="21"/>
      <c r="RLP54" s="15"/>
      <c r="RLV54" s="25"/>
      <c r="RMC54" s="21"/>
      <c r="RMD54" s="21"/>
      <c r="RMH54" s="15"/>
      <c r="RMN54" s="25"/>
      <c r="RMU54" s="21"/>
      <c r="RMV54" s="21"/>
      <c r="RMZ54" s="15"/>
      <c r="RNF54" s="25"/>
      <c r="RNM54" s="21"/>
      <c r="RNN54" s="21"/>
      <c r="RNR54" s="15"/>
      <c r="RNX54" s="25"/>
      <c r="ROE54" s="21"/>
      <c r="ROF54" s="21"/>
      <c r="ROJ54" s="15"/>
      <c r="ROP54" s="25"/>
      <c r="ROW54" s="21"/>
      <c r="ROX54" s="21"/>
      <c r="RPB54" s="15"/>
      <c r="RPH54" s="25"/>
      <c r="RPO54" s="21"/>
      <c r="RPP54" s="21"/>
      <c r="RPT54" s="15"/>
      <c r="RPZ54" s="25"/>
      <c r="RQG54" s="21"/>
      <c r="RQH54" s="21"/>
      <c r="RQL54" s="15"/>
      <c r="RQR54" s="25"/>
      <c r="RQY54" s="21"/>
      <c r="RQZ54" s="21"/>
      <c r="RRD54" s="15"/>
      <c r="RRJ54" s="25"/>
      <c r="RRQ54" s="21"/>
      <c r="RRR54" s="21"/>
      <c r="RRV54" s="15"/>
      <c r="RSB54" s="25"/>
      <c r="RSI54" s="21"/>
      <c r="RSJ54" s="21"/>
      <c r="RSN54" s="15"/>
      <c r="RST54" s="25"/>
      <c r="RTA54" s="21"/>
      <c r="RTB54" s="21"/>
      <c r="RTF54" s="15"/>
      <c r="RTL54" s="25"/>
      <c r="RTS54" s="21"/>
      <c r="RTT54" s="21"/>
      <c r="RTX54" s="15"/>
      <c r="RUD54" s="25"/>
      <c r="RUK54" s="21"/>
      <c r="RUL54" s="21"/>
      <c r="RUP54" s="15"/>
      <c r="RUV54" s="25"/>
      <c r="RVC54" s="21"/>
      <c r="RVD54" s="21"/>
      <c r="RVH54" s="15"/>
      <c r="RVN54" s="25"/>
      <c r="RVU54" s="21"/>
      <c r="RVV54" s="21"/>
      <c r="RVZ54" s="15"/>
      <c r="RWF54" s="25"/>
      <c r="RWM54" s="21"/>
      <c r="RWN54" s="21"/>
      <c r="RWR54" s="15"/>
      <c r="RWX54" s="25"/>
      <c r="RXE54" s="21"/>
      <c r="RXF54" s="21"/>
      <c r="RXJ54" s="15"/>
      <c r="RXP54" s="25"/>
      <c r="RXW54" s="21"/>
      <c r="RXX54" s="21"/>
      <c r="RYB54" s="15"/>
      <c r="RYH54" s="25"/>
      <c r="RYO54" s="21"/>
      <c r="RYP54" s="21"/>
      <c r="RYT54" s="15"/>
      <c r="RYZ54" s="25"/>
      <c r="RZG54" s="21"/>
      <c r="RZH54" s="21"/>
      <c r="RZL54" s="15"/>
      <c r="RZR54" s="25"/>
      <c r="RZY54" s="21"/>
      <c r="RZZ54" s="21"/>
      <c r="SAD54" s="15"/>
      <c r="SAJ54" s="25"/>
      <c r="SAQ54" s="21"/>
      <c r="SAR54" s="21"/>
      <c r="SAV54" s="15"/>
      <c r="SBB54" s="25"/>
      <c r="SBI54" s="21"/>
      <c r="SBJ54" s="21"/>
      <c r="SBN54" s="15"/>
      <c r="SBT54" s="25"/>
      <c r="SCA54" s="21"/>
      <c r="SCB54" s="21"/>
      <c r="SCF54" s="15"/>
      <c r="SCL54" s="25"/>
      <c r="SCS54" s="21"/>
      <c r="SCT54" s="21"/>
      <c r="SCX54" s="15"/>
      <c r="SDD54" s="25"/>
      <c r="SDK54" s="21"/>
      <c r="SDL54" s="21"/>
      <c r="SDP54" s="15"/>
      <c r="SDV54" s="25"/>
      <c r="SEC54" s="21"/>
      <c r="SED54" s="21"/>
      <c r="SEH54" s="15"/>
      <c r="SEN54" s="25"/>
      <c r="SEU54" s="21"/>
      <c r="SEV54" s="21"/>
      <c r="SEZ54" s="15"/>
      <c r="SFF54" s="25"/>
      <c r="SFM54" s="21"/>
      <c r="SFN54" s="21"/>
      <c r="SFR54" s="15"/>
      <c r="SFX54" s="25"/>
      <c r="SGE54" s="21"/>
      <c r="SGF54" s="21"/>
      <c r="SGJ54" s="15"/>
      <c r="SGP54" s="25"/>
      <c r="SGW54" s="21"/>
      <c r="SGX54" s="21"/>
      <c r="SHB54" s="15"/>
      <c r="SHH54" s="25"/>
      <c r="SHO54" s="21"/>
      <c r="SHP54" s="21"/>
      <c r="SHT54" s="15"/>
      <c r="SHZ54" s="25"/>
      <c r="SIG54" s="21"/>
      <c r="SIH54" s="21"/>
      <c r="SIL54" s="15"/>
      <c r="SIR54" s="25"/>
      <c r="SIY54" s="21"/>
      <c r="SIZ54" s="21"/>
      <c r="SJD54" s="15"/>
      <c r="SJJ54" s="25"/>
      <c r="SJQ54" s="21"/>
      <c r="SJR54" s="21"/>
      <c r="SJV54" s="15"/>
      <c r="SKB54" s="25"/>
      <c r="SKI54" s="21"/>
      <c r="SKJ54" s="21"/>
      <c r="SKN54" s="15"/>
      <c r="SKT54" s="25"/>
      <c r="SLA54" s="21"/>
      <c r="SLB54" s="21"/>
      <c r="SLF54" s="15"/>
      <c r="SLL54" s="25"/>
      <c r="SLS54" s="21"/>
      <c r="SLT54" s="21"/>
      <c r="SLX54" s="15"/>
      <c r="SMD54" s="25"/>
      <c r="SMK54" s="21"/>
      <c r="SML54" s="21"/>
      <c r="SMP54" s="15"/>
      <c r="SMV54" s="25"/>
      <c r="SNC54" s="21"/>
      <c r="SND54" s="21"/>
      <c r="SNH54" s="15"/>
      <c r="SNN54" s="25"/>
      <c r="SNU54" s="21"/>
      <c r="SNV54" s="21"/>
      <c r="SNZ54" s="15"/>
      <c r="SOF54" s="25"/>
      <c r="SOM54" s="21"/>
      <c r="SON54" s="21"/>
      <c r="SOR54" s="15"/>
      <c r="SOX54" s="25"/>
      <c r="SPE54" s="21"/>
      <c r="SPF54" s="21"/>
      <c r="SPJ54" s="15"/>
      <c r="SPP54" s="25"/>
      <c r="SPW54" s="21"/>
      <c r="SPX54" s="21"/>
      <c r="SQB54" s="15"/>
      <c r="SQH54" s="25"/>
      <c r="SQO54" s="21"/>
      <c r="SQP54" s="21"/>
      <c r="SQT54" s="15"/>
      <c r="SQZ54" s="25"/>
      <c r="SRG54" s="21"/>
      <c r="SRH54" s="21"/>
      <c r="SRL54" s="15"/>
      <c r="SRR54" s="25"/>
      <c r="SRY54" s="21"/>
      <c r="SRZ54" s="21"/>
      <c r="SSD54" s="15"/>
      <c r="SSJ54" s="25"/>
      <c r="SSQ54" s="21"/>
      <c r="SSR54" s="21"/>
      <c r="SSV54" s="15"/>
      <c r="STB54" s="25"/>
      <c r="STI54" s="21"/>
      <c r="STJ54" s="21"/>
      <c r="STN54" s="15"/>
      <c r="STT54" s="25"/>
      <c r="SUA54" s="21"/>
      <c r="SUB54" s="21"/>
      <c r="SUF54" s="15"/>
      <c r="SUL54" s="25"/>
      <c r="SUS54" s="21"/>
      <c r="SUT54" s="21"/>
      <c r="SUX54" s="15"/>
      <c r="SVD54" s="25"/>
      <c r="SVK54" s="21"/>
      <c r="SVL54" s="21"/>
      <c r="SVP54" s="15"/>
      <c r="SVV54" s="25"/>
      <c r="SWC54" s="21"/>
      <c r="SWD54" s="21"/>
      <c r="SWH54" s="15"/>
      <c r="SWN54" s="25"/>
      <c r="SWU54" s="21"/>
      <c r="SWV54" s="21"/>
      <c r="SWZ54" s="15"/>
      <c r="SXF54" s="25"/>
      <c r="SXM54" s="21"/>
      <c r="SXN54" s="21"/>
      <c r="SXR54" s="15"/>
      <c r="SXX54" s="25"/>
      <c r="SYE54" s="21"/>
      <c r="SYF54" s="21"/>
      <c r="SYJ54" s="15"/>
      <c r="SYP54" s="25"/>
      <c r="SYW54" s="21"/>
      <c r="SYX54" s="21"/>
      <c r="SZB54" s="15"/>
      <c r="SZH54" s="25"/>
      <c r="SZO54" s="21"/>
      <c r="SZP54" s="21"/>
      <c r="SZT54" s="15"/>
      <c r="SZZ54" s="25"/>
      <c r="TAG54" s="21"/>
      <c r="TAH54" s="21"/>
      <c r="TAL54" s="15"/>
      <c r="TAR54" s="25"/>
      <c r="TAY54" s="21"/>
      <c r="TAZ54" s="21"/>
      <c r="TBD54" s="15"/>
      <c r="TBJ54" s="25"/>
      <c r="TBQ54" s="21"/>
      <c r="TBR54" s="21"/>
      <c r="TBV54" s="15"/>
      <c r="TCB54" s="25"/>
      <c r="TCI54" s="21"/>
      <c r="TCJ54" s="21"/>
      <c r="TCN54" s="15"/>
      <c r="TCT54" s="25"/>
      <c r="TDA54" s="21"/>
      <c r="TDB54" s="21"/>
      <c r="TDF54" s="15"/>
      <c r="TDL54" s="25"/>
      <c r="TDS54" s="21"/>
      <c r="TDT54" s="21"/>
      <c r="TDX54" s="15"/>
      <c r="TED54" s="25"/>
      <c r="TEK54" s="21"/>
      <c r="TEL54" s="21"/>
      <c r="TEP54" s="15"/>
      <c r="TEV54" s="25"/>
      <c r="TFC54" s="21"/>
      <c r="TFD54" s="21"/>
      <c r="TFH54" s="15"/>
      <c r="TFN54" s="25"/>
      <c r="TFU54" s="21"/>
      <c r="TFV54" s="21"/>
      <c r="TFZ54" s="15"/>
      <c r="TGF54" s="25"/>
      <c r="TGM54" s="21"/>
      <c r="TGN54" s="21"/>
      <c r="TGR54" s="15"/>
      <c r="TGX54" s="25"/>
      <c r="THE54" s="21"/>
      <c r="THF54" s="21"/>
      <c r="THJ54" s="15"/>
      <c r="THP54" s="25"/>
      <c r="THW54" s="21"/>
      <c r="THX54" s="21"/>
      <c r="TIB54" s="15"/>
      <c r="TIH54" s="25"/>
      <c r="TIO54" s="21"/>
      <c r="TIP54" s="21"/>
      <c r="TIT54" s="15"/>
      <c r="TIZ54" s="25"/>
      <c r="TJG54" s="21"/>
      <c r="TJH54" s="21"/>
      <c r="TJL54" s="15"/>
      <c r="TJR54" s="25"/>
      <c r="TJY54" s="21"/>
      <c r="TJZ54" s="21"/>
      <c r="TKD54" s="15"/>
      <c r="TKJ54" s="25"/>
      <c r="TKQ54" s="21"/>
      <c r="TKR54" s="21"/>
      <c r="TKV54" s="15"/>
      <c r="TLB54" s="25"/>
      <c r="TLI54" s="21"/>
      <c r="TLJ54" s="21"/>
      <c r="TLN54" s="15"/>
      <c r="TLT54" s="25"/>
      <c r="TMA54" s="21"/>
      <c r="TMB54" s="21"/>
      <c r="TMF54" s="15"/>
      <c r="TML54" s="25"/>
      <c r="TMS54" s="21"/>
      <c r="TMT54" s="21"/>
      <c r="TMX54" s="15"/>
      <c r="TND54" s="25"/>
      <c r="TNK54" s="21"/>
      <c r="TNL54" s="21"/>
      <c r="TNP54" s="15"/>
      <c r="TNV54" s="25"/>
      <c r="TOC54" s="21"/>
      <c r="TOD54" s="21"/>
      <c r="TOH54" s="15"/>
      <c r="TON54" s="25"/>
      <c r="TOU54" s="21"/>
      <c r="TOV54" s="21"/>
      <c r="TOZ54" s="15"/>
      <c r="TPF54" s="25"/>
      <c r="TPM54" s="21"/>
      <c r="TPN54" s="21"/>
      <c r="TPR54" s="15"/>
      <c r="TPX54" s="25"/>
      <c r="TQE54" s="21"/>
      <c r="TQF54" s="21"/>
      <c r="TQJ54" s="15"/>
      <c r="TQP54" s="25"/>
      <c r="TQW54" s="21"/>
      <c r="TQX54" s="21"/>
      <c r="TRB54" s="15"/>
      <c r="TRH54" s="25"/>
      <c r="TRO54" s="21"/>
      <c r="TRP54" s="21"/>
      <c r="TRT54" s="15"/>
      <c r="TRZ54" s="25"/>
      <c r="TSG54" s="21"/>
      <c r="TSH54" s="21"/>
      <c r="TSL54" s="15"/>
      <c r="TSR54" s="25"/>
      <c r="TSY54" s="21"/>
      <c r="TSZ54" s="21"/>
      <c r="TTD54" s="15"/>
      <c r="TTJ54" s="25"/>
      <c r="TTQ54" s="21"/>
      <c r="TTR54" s="21"/>
      <c r="TTV54" s="15"/>
      <c r="TUB54" s="25"/>
      <c r="TUI54" s="21"/>
      <c r="TUJ54" s="21"/>
      <c r="TUN54" s="15"/>
      <c r="TUT54" s="25"/>
      <c r="TVA54" s="21"/>
      <c r="TVB54" s="21"/>
      <c r="TVF54" s="15"/>
      <c r="TVL54" s="25"/>
      <c r="TVS54" s="21"/>
      <c r="TVT54" s="21"/>
      <c r="TVX54" s="15"/>
      <c r="TWD54" s="25"/>
      <c r="TWK54" s="21"/>
      <c r="TWL54" s="21"/>
      <c r="TWP54" s="15"/>
      <c r="TWV54" s="25"/>
      <c r="TXC54" s="21"/>
      <c r="TXD54" s="21"/>
      <c r="TXH54" s="15"/>
      <c r="TXN54" s="25"/>
      <c r="TXU54" s="21"/>
      <c r="TXV54" s="21"/>
      <c r="TXZ54" s="15"/>
      <c r="TYF54" s="25"/>
      <c r="TYM54" s="21"/>
      <c r="TYN54" s="21"/>
      <c r="TYR54" s="15"/>
      <c r="TYX54" s="25"/>
      <c r="TZE54" s="21"/>
      <c r="TZF54" s="21"/>
      <c r="TZJ54" s="15"/>
      <c r="TZP54" s="25"/>
      <c r="TZW54" s="21"/>
      <c r="TZX54" s="21"/>
      <c r="UAB54" s="15"/>
      <c r="UAH54" s="25"/>
      <c r="UAO54" s="21"/>
      <c r="UAP54" s="21"/>
      <c r="UAT54" s="15"/>
      <c r="UAZ54" s="25"/>
      <c r="UBG54" s="21"/>
      <c r="UBH54" s="21"/>
      <c r="UBL54" s="15"/>
      <c r="UBR54" s="25"/>
      <c r="UBY54" s="21"/>
      <c r="UBZ54" s="21"/>
      <c r="UCD54" s="15"/>
      <c r="UCJ54" s="25"/>
      <c r="UCQ54" s="21"/>
      <c r="UCR54" s="21"/>
      <c r="UCV54" s="15"/>
      <c r="UDB54" s="25"/>
      <c r="UDI54" s="21"/>
      <c r="UDJ54" s="21"/>
      <c r="UDN54" s="15"/>
      <c r="UDT54" s="25"/>
      <c r="UEA54" s="21"/>
      <c r="UEB54" s="21"/>
      <c r="UEF54" s="15"/>
      <c r="UEL54" s="25"/>
      <c r="UES54" s="21"/>
      <c r="UET54" s="21"/>
      <c r="UEX54" s="15"/>
      <c r="UFD54" s="25"/>
      <c r="UFK54" s="21"/>
      <c r="UFL54" s="21"/>
      <c r="UFP54" s="15"/>
      <c r="UFV54" s="25"/>
      <c r="UGC54" s="21"/>
      <c r="UGD54" s="21"/>
      <c r="UGH54" s="15"/>
      <c r="UGN54" s="25"/>
      <c r="UGU54" s="21"/>
      <c r="UGV54" s="21"/>
      <c r="UGZ54" s="15"/>
      <c r="UHF54" s="25"/>
      <c r="UHM54" s="21"/>
      <c r="UHN54" s="21"/>
      <c r="UHR54" s="15"/>
      <c r="UHX54" s="25"/>
      <c r="UIE54" s="21"/>
      <c r="UIF54" s="21"/>
      <c r="UIJ54" s="15"/>
      <c r="UIP54" s="25"/>
      <c r="UIW54" s="21"/>
      <c r="UIX54" s="21"/>
      <c r="UJB54" s="15"/>
      <c r="UJH54" s="25"/>
      <c r="UJO54" s="21"/>
      <c r="UJP54" s="21"/>
      <c r="UJT54" s="15"/>
      <c r="UJZ54" s="25"/>
      <c r="UKG54" s="21"/>
      <c r="UKH54" s="21"/>
      <c r="UKL54" s="15"/>
      <c r="UKR54" s="25"/>
      <c r="UKY54" s="21"/>
      <c r="UKZ54" s="21"/>
      <c r="ULD54" s="15"/>
      <c r="ULJ54" s="25"/>
      <c r="ULQ54" s="21"/>
      <c r="ULR54" s="21"/>
      <c r="ULV54" s="15"/>
      <c r="UMB54" s="25"/>
      <c r="UMI54" s="21"/>
      <c r="UMJ54" s="21"/>
      <c r="UMN54" s="15"/>
      <c r="UMT54" s="25"/>
      <c r="UNA54" s="21"/>
      <c r="UNB54" s="21"/>
      <c r="UNF54" s="15"/>
      <c r="UNL54" s="25"/>
      <c r="UNS54" s="21"/>
      <c r="UNT54" s="21"/>
      <c r="UNX54" s="15"/>
      <c r="UOD54" s="25"/>
      <c r="UOK54" s="21"/>
      <c r="UOL54" s="21"/>
      <c r="UOP54" s="15"/>
      <c r="UOV54" s="25"/>
      <c r="UPC54" s="21"/>
      <c r="UPD54" s="21"/>
      <c r="UPH54" s="15"/>
      <c r="UPN54" s="25"/>
      <c r="UPU54" s="21"/>
      <c r="UPV54" s="21"/>
      <c r="UPZ54" s="15"/>
      <c r="UQF54" s="25"/>
      <c r="UQM54" s="21"/>
      <c r="UQN54" s="21"/>
      <c r="UQR54" s="15"/>
      <c r="UQX54" s="25"/>
      <c r="URE54" s="21"/>
      <c r="URF54" s="21"/>
      <c r="URJ54" s="15"/>
      <c r="URP54" s="25"/>
      <c r="URW54" s="21"/>
      <c r="URX54" s="21"/>
      <c r="USB54" s="15"/>
      <c r="USH54" s="25"/>
      <c r="USO54" s="21"/>
      <c r="USP54" s="21"/>
      <c r="UST54" s="15"/>
      <c r="USZ54" s="25"/>
      <c r="UTG54" s="21"/>
      <c r="UTH54" s="21"/>
      <c r="UTL54" s="15"/>
      <c r="UTR54" s="25"/>
      <c r="UTY54" s="21"/>
      <c r="UTZ54" s="21"/>
      <c r="UUD54" s="15"/>
      <c r="UUJ54" s="25"/>
      <c r="UUQ54" s="21"/>
      <c r="UUR54" s="21"/>
      <c r="UUV54" s="15"/>
      <c r="UVB54" s="25"/>
      <c r="UVI54" s="21"/>
      <c r="UVJ54" s="21"/>
      <c r="UVN54" s="15"/>
      <c r="UVT54" s="25"/>
      <c r="UWA54" s="21"/>
      <c r="UWB54" s="21"/>
      <c r="UWF54" s="15"/>
      <c r="UWL54" s="25"/>
      <c r="UWS54" s="21"/>
      <c r="UWT54" s="21"/>
      <c r="UWX54" s="15"/>
      <c r="UXD54" s="25"/>
      <c r="UXK54" s="21"/>
      <c r="UXL54" s="21"/>
      <c r="UXP54" s="15"/>
      <c r="UXV54" s="25"/>
      <c r="UYC54" s="21"/>
      <c r="UYD54" s="21"/>
      <c r="UYH54" s="15"/>
      <c r="UYN54" s="25"/>
      <c r="UYU54" s="21"/>
      <c r="UYV54" s="21"/>
      <c r="UYZ54" s="15"/>
      <c r="UZF54" s="25"/>
      <c r="UZM54" s="21"/>
      <c r="UZN54" s="21"/>
      <c r="UZR54" s="15"/>
      <c r="UZX54" s="25"/>
      <c r="VAE54" s="21"/>
      <c r="VAF54" s="21"/>
      <c r="VAJ54" s="15"/>
      <c r="VAP54" s="25"/>
      <c r="VAW54" s="21"/>
      <c r="VAX54" s="21"/>
      <c r="VBB54" s="15"/>
      <c r="VBH54" s="25"/>
      <c r="VBO54" s="21"/>
      <c r="VBP54" s="21"/>
      <c r="VBT54" s="15"/>
      <c r="VBZ54" s="25"/>
      <c r="VCG54" s="21"/>
      <c r="VCH54" s="21"/>
      <c r="VCL54" s="15"/>
      <c r="VCR54" s="25"/>
      <c r="VCY54" s="21"/>
      <c r="VCZ54" s="21"/>
      <c r="VDD54" s="15"/>
      <c r="VDJ54" s="25"/>
      <c r="VDQ54" s="21"/>
      <c r="VDR54" s="21"/>
      <c r="VDV54" s="15"/>
      <c r="VEB54" s="25"/>
      <c r="VEI54" s="21"/>
      <c r="VEJ54" s="21"/>
      <c r="VEN54" s="15"/>
      <c r="VET54" s="25"/>
      <c r="VFA54" s="21"/>
      <c r="VFB54" s="21"/>
      <c r="VFF54" s="15"/>
      <c r="VFL54" s="25"/>
      <c r="VFS54" s="21"/>
      <c r="VFT54" s="21"/>
      <c r="VFX54" s="15"/>
      <c r="VGD54" s="25"/>
      <c r="VGK54" s="21"/>
      <c r="VGL54" s="21"/>
      <c r="VGP54" s="15"/>
      <c r="VGV54" s="25"/>
      <c r="VHC54" s="21"/>
      <c r="VHD54" s="21"/>
      <c r="VHH54" s="15"/>
      <c r="VHN54" s="25"/>
      <c r="VHU54" s="21"/>
      <c r="VHV54" s="21"/>
      <c r="VHZ54" s="15"/>
      <c r="VIF54" s="25"/>
      <c r="VIM54" s="21"/>
      <c r="VIN54" s="21"/>
      <c r="VIR54" s="15"/>
      <c r="VIX54" s="25"/>
      <c r="VJE54" s="21"/>
      <c r="VJF54" s="21"/>
      <c r="VJJ54" s="15"/>
      <c r="VJP54" s="25"/>
      <c r="VJW54" s="21"/>
      <c r="VJX54" s="21"/>
      <c r="VKB54" s="15"/>
      <c r="VKH54" s="25"/>
      <c r="VKO54" s="21"/>
      <c r="VKP54" s="21"/>
      <c r="VKT54" s="15"/>
      <c r="VKZ54" s="25"/>
      <c r="VLG54" s="21"/>
      <c r="VLH54" s="21"/>
      <c r="VLL54" s="15"/>
      <c r="VLR54" s="25"/>
      <c r="VLY54" s="21"/>
      <c r="VLZ54" s="21"/>
      <c r="VMD54" s="15"/>
      <c r="VMJ54" s="25"/>
      <c r="VMQ54" s="21"/>
      <c r="VMR54" s="21"/>
      <c r="VMV54" s="15"/>
      <c r="VNB54" s="25"/>
      <c r="VNI54" s="21"/>
      <c r="VNJ54" s="21"/>
      <c r="VNN54" s="15"/>
      <c r="VNT54" s="25"/>
      <c r="VOA54" s="21"/>
      <c r="VOB54" s="21"/>
      <c r="VOF54" s="15"/>
      <c r="VOL54" s="25"/>
      <c r="VOS54" s="21"/>
      <c r="VOT54" s="21"/>
      <c r="VOX54" s="15"/>
      <c r="VPD54" s="25"/>
      <c r="VPK54" s="21"/>
      <c r="VPL54" s="21"/>
      <c r="VPP54" s="15"/>
      <c r="VPV54" s="25"/>
      <c r="VQC54" s="21"/>
      <c r="VQD54" s="21"/>
      <c r="VQH54" s="15"/>
      <c r="VQN54" s="25"/>
      <c r="VQU54" s="21"/>
      <c r="VQV54" s="21"/>
      <c r="VQZ54" s="15"/>
      <c r="VRF54" s="25"/>
      <c r="VRM54" s="21"/>
      <c r="VRN54" s="21"/>
      <c r="VRR54" s="15"/>
      <c r="VRX54" s="25"/>
      <c r="VSE54" s="21"/>
      <c r="VSF54" s="21"/>
      <c r="VSJ54" s="15"/>
      <c r="VSP54" s="25"/>
      <c r="VSW54" s="21"/>
      <c r="VSX54" s="21"/>
      <c r="VTB54" s="15"/>
      <c r="VTH54" s="25"/>
      <c r="VTO54" s="21"/>
      <c r="VTP54" s="21"/>
      <c r="VTT54" s="15"/>
      <c r="VTZ54" s="25"/>
      <c r="VUG54" s="21"/>
      <c r="VUH54" s="21"/>
      <c r="VUL54" s="15"/>
      <c r="VUR54" s="25"/>
      <c r="VUY54" s="21"/>
      <c r="VUZ54" s="21"/>
      <c r="VVD54" s="15"/>
      <c r="VVJ54" s="25"/>
      <c r="VVQ54" s="21"/>
      <c r="VVR54" s="21"/>
      <c r="VVV54" s="15"/>
      <c r="VWB54" s="25"/>
      <c r="VWI54" s="21"/>
      <c r="VWJ54" s="21"/>
      <c r="VWN54" s="15"/>
      <c r="VWT54" s="25"/>
      <c r="VXA54" s="21"/>
      <c r="VXB54" s="21"/>
      <c r="VXF54" s="15"/>
      <c r="VXL54" s="25"/>
      <c r="VXS54" s="21"/>
      <c r="VXT54" s="21"/>
      <c r="VXX54" s="15"/>
      <c r="VYD54" s="25"/>
      <c r="VYK54" s="21"/>
      <c r="VYL54" s="21"/>
      <c r="VYP54" s="15"/>
      <c r="VYV54" s="25"/>
      <c r="VZC54" s="21"/>
      <c r="VZD54" s="21"/>
      <c r="VZH54" s="15"/>
      <c r="VZN54" s="25"/>
      <c r="VZU54" s="21"/>
      <c r="VZV54" s="21"/>
      <c r="VZZ54" s="15"/>
      <c r="WAF54" s="25"/>
      <c r="WAM54" s="21"/>
      <c r="WAN54" s="21"/>
      <c r="WAR54" s="15"/>
      <c r="WAX54" s="25"/>
      <c r="WBE54" s="21"/>
      <c r="WBF54" s="21"/>
      <c r="WBJ54" s="15"/>
      <c r="WBP54" s="25"/>
      <c r="WBW54" s="21"/>
      <c r="WBX54" s="21"/>
      <c r="WCB54" s="15"/>
      <c r="WCH54" s="25"/>
      <c r="WCO54" s="21"/>
      <c r="WCP54" s="21"/>
      <c r="WCT54" s="15"/>
      <c r="WCZ54" s="25"/>
      <c r="WDG54" s="21"/>
      <c r="WDH54" s="21"/>
      <c r="WDL54" s="15"/>
      <c r="WDR54" s="25"/>
      <c r="WDY54" s="21"/>
      <c r="WDZ54" s="21"/>
      <c r="WED54" s="15"/>
      <c r="WEJ54" s="25"/>
      <c r="WEQ54" s="21"/>
      <c r="WER54" s="21"/>
      <c r="WEV54" s="15"/>
      <c r="WFB54" s="25"/>
      <c r="WFI54" s="21"/>
      <c r="WFJ54" s="21"/>
      <c r="WFN54" s="15"/>
      <c r="WFT54" s="25"/>
      <c r="WGA54" s="21"/>
      <c r="WGB54" s="21"/>
      <c r="WGF54" s="15"/>
      <c r="WGL54" s="25"/>
      <c r="WGS54" s="21"/>
      <c r="WGT54" s="21"/>
      <c r="WGX54" s="15"/>
      <c r="WHD54" s="25"/>
      <c r="WHK54" s="21"/>
      <c r="WHL54" s="21"/>
      <c r="WHP54" s="15"/>
      <c r="WHV54" s="25"/>
      <c r="WIC54" s="21"/>
      <c r="WID54" s="21"/>
      <c r="WIH54" s="15"/>
      <c r="WIN54" s="25"/>
      <c r="WIU54" s="21"/>
      <c r="WIV54" s="21"/>
      <c r="WIZ54" s="15"/>
      <c r="WJF54" s="25"/>
      <c r="WJM54" s="21"/>
      <c r="WJN54" s="21"/>
      <c r="WJR54" s="15"/>
      <c r="WJX54" s="25"/>
      <c r="WKE54" s="21"/>
      <c r="WKF54" s="21"/>
      <c r="WKJ54" s="15"/>
      <c r="WKP54" s="25"/>
      <c r="WKW54" s="21"/>
      <c r="WKX54" s="21"/>
      <c r="WLB54" s="15"/>
      <c r="WLH54" s="25"/>
      <c r="WLO54" s="21"/>
      <c r="WLP54" s="21"/>
      <c r="WLT54" s="15"/>
      <c r="WLZ54" s="25"/>
      <c r="WMG54" s="21"/>
      <c r="WMH54" s="21"/>
      <c r="WML54" s="15"/>
      <c r="WMR54" s="25"/>
      <c r="WMY54" s="21"/>
      <c r="WMZ54" s="21"/>
      <c r="WND54" s="15"/>
      <c r="WNJ54" s="25"/>
      <c r="WNQ54" s="21"/>
      <c r="WNR54" s="21"/>
      <c r="WNV54" s="15"/>
      <c r="WOB54" s="25"/>
      <c r="WOI54" s="21"/>
      <c r="WOJ54" s="21"/>
      <c r="WON54" s="15"/>
      <c r="WOT54" s="25"/>
      <c r="WPA54" s="21"/>
      <c r="WPB54" s="21"/>
      <c r="WPF54" s="15"/>
      <c r="WPL54" s="25"/>
      <c r="WPS54" s="21"/>
      <c r="WPT54" s="21"/>
      <c r="WPX54" s="15"/>
      <c r="WQD54" s="25"/>
      <c r="WQK54" s="21"/>
      <c r="WQL54" s="21"/>
      <c r="WQP54" s="15"/>
      <c r="WQV54" s="25"/>
      <c r="WRC54" s="21"/>
      <c r="WRD54" s="21"/>
      <c r="WRH54" s="15"/>
      <c r="WRN54" s="25"/>
      <c r="WRU54" s="21"/>
      <c r="WRV54" s="21"/>
      <c r="WRZ54" s="15"/>
      <c r="WSF54" s="25"/>
      <c r="WSM54" s="21"/>
      <c r="WSN54" s="21"/>
      <c r="WSR54" s="15"/>
      <c r="WSX54" s="25"/>
      <c r="WTE54" s="21"/>
      <c r="WTF54" s="21"/>
      <c r="WTJ54" s="15"/>
      <c r="WTP54" s="25"/>
      <c r="WTW54" s="21"/>
      <c r="WTX54" s="21"/>
      <c r="WUB54" s="15"/>
      <c r="WUH54" s="25"/>
      <c r="WUO54" s="21"/>
      <c r="WUP54" s="21"/>
      <c r="WUT54" s="15"/>
      <c r="WUZ54" s="25"/>
      <c r="WVG54" s="21"/>
      <c r="WVH54" s="21"/>
      <c r="WVL54" s="15"/>
      <c r="WVR54" s="25"/>
      <c r="WVY54" s="21"/>
      <c r="WVZ54" s="21"/>
      <c r="WWD54" s="15"/>
      <c r="WWJ54" s="25"/>
      <c r="WWQ54" s="21"/>
      <c r="WWR54" s="21"/>
      <c r="WWV54" s="15"/>
      <c r="WXB54" s="25"/>
      <c r="WXI54" s="21"/>
      <c r="WXJ54" s="21"/>
      <c r="WXN54" s="15"/>
      <c r="WXT54" s="25"/>
      <c r="WYA54" s="21"/>
      <c r="WYB54" s="21"/>
      <c r="WYF54" s="15"/>
      <c r="WYL54" s="25"/>
      <c r="WYS54" s="21"/>
      <c r="WYT54" s="21"/>
      <c r="WYX54" s="15"/>
      <c r="WZD54" s="25"/>
      <c r="WZK54" s="21"/>
      <c r="WZL54" s="21"/>
      <c r="WZP54" s="15"/>
      <c r="WZV54" s="25"/>
      <c r="XAC54" s="21"/>
      <c r="XAD54" s="21"/>
      <c r="XAH54" s="15"/>
      <c r="XAN54" s="25"/>
      <c r="XAU54" s="21"/>
      <c r="XAV54" s="21"/>
      <c r="XAZ54" s="15"/>
      <c r="XBF54" s="25"/>
      <c r="XBM54" s="21"/>
      <c r="XBN54" s="21"/>
      <c r="XBR54" s="15"/>
      <c r="XBX54" s="25"/>
      <c r="XCE54" s="21"/>
      <c r="XCF54" s="21"/>
      <c r="XCJ54" s="15"/>
      <c r="XCP54" s="25"/>
      <c r="XCW54" s="21"/>
      <c r="XCX54" s="21"/>
      <c r="XDB54" s="15"/>
      <c r="XDH54" s="25"/>
      <c r="XDO54" s="21"/>
      <c r="XDP54" s="21"/>
      <c r="XDT54" s="15"/>
      <c r="XDZ54" s="25"/>
      <c r="XEG54" s="21"/>
      <c r="XEH54" s="21"/>
      <c r="XEL54" s="15"/>
      <c r="XER54" s="25"/>
      <c r="XEY54" s="21"/>
      <c r="XEZ54" s="21"/>
      <c r="XFD54" s="15"/>
    </row>
    <row r="55" spans="1:1018 1025:2044 2051:3070 3077:4096 4103:5116 5122:6142 6148:7168 7174:8190 8194:9216 9220:10234 10241:11260 11267:12286 12293:13312 13319:14332 14338:15358 15364:16384">
      <c r="A55" s="21" t="s">
        <v>167</v>
      </c>
      <c r="B55" s="27">
        <v>2012</v>
      </c>
      <c r="C55" s="21" t="s">
        <v>168</v>
      </c>
      <c r="D55" s="27" t="s">
        <v>86</v>
      </c>
      <c r="E55" s="10" t="s">
        <v>50</v>
      </c>
      <c r="F55" s="27" t="s">
        <v>35</v>
      </c>
      <c r="G55" s="56">
        <v>615027475</v>
      </c>
      <c r="H55" s="50">
        <v>605454283.42999995</v>
      </c>
      <c r="I55" s="29">
        <v>37</v>
      </c>
      <c r="J55" s="30" t="s">
        <v>169</v>
      </c>
      <c r="K55" t="s">
        <v>26</v>
      </c>
      <c r="L55"/>
      <c r="M55" t="s">
        <v>26</v>
      </c>
      <c r="N55"/>
      <c r="O55"/>
      <c r="P55"/>
      <c r="Q55"/>
      <c r="R55" t="s">
        <v>28</v>
      </c>
    </row>
    <row r="56" spans="1:1018 1025:2044 2051:3070 3077:4096 4103:5116 5122:6142 6148:7168 7174:8190 8194:9216 9220:10234 10241:11260 11267:12286 12293:13312 13319:14332 14338:15358 15364:16384" s="40" customFormat="1" ht="15" customHeight="1">
      <c r="A56" s="33" t="s">
        <v>170</v>
      </c>
      <c r="B56" s="34">
        <v>2007</v>
      </c>
      <c r="C56" s="35" t="s">
        <v>171</v>
      </c>
      <c r="D56" s="36" t="s">
        <v>86</v>
      </c>
      <c r="E56" s="35" t="s">
        <v>172</v>
      </c>
      <c r="F56" s="35" t="s">
        <v>35</v>
      </c>
      <c r="G56" s="38">
        <v>416300000</v>
      </c>
      <c r="H56" s="38">
        <v>416491000</v>
      </c>
      <c r="I56" s="35">
        <v>26</v>
      </c>
      <c r="J56" s="54" t="s">
        <v>173</v>
      </c>
      <c r="K56" s="36"/>
      <c r="L56" s="36"/>
      <c r="M56" s="36" t="s">
        <v>26</v>
      </c>
      <c r="N56" s="34"/>
      <c r="O56" s="36"/>
      <c r="P56" s="34"/>
      <c r="Q56" s="36"/>
      <c r="R56" s="36"/>
      <c r="V56" s="41"/>
      <c r="AB56" s="42"/>
      <c r="AI56" s="33"/>
      <c r="AJ56" s="33"/>
      <c r="AN56" s="41"/>
      <c r="AT56" s="42"/>
      <c r="BA56" s="33"/>
      <c r="BB56" s="33"/>
      <c r="BF56" s="41"/>
      <c r="BL56" s="42"/>
      <c r="BS56" s="33"/>
      <c r="BT56" s="33"/>
      <c r="BX56" s="41"/>
      <c r="CD56" s="42"/>
      <c r="CK56" s="33"/>
      <c r="CL56" s="33"/>
      <c r="CP56" s="41"/>
      <c r="CV56" s="42"/>
      <c r="DC56" s="33"/>
      <c r="DD56" s="33"/>
      <c r="DH56" s="41"/>
      <c r="DN56" s="42"/>
      <c r="DU56" s="33"/>
      <c r="DV56" s="33"/>
      <c r="DZ56" s="41"/>
      <c r="EF56" s="42"/>
      <c r="EM56" s="33"/>
      <c r="EN56" s="33"/>
      <c r="ER56" s="41"/>
      <c r="EX56" s="42"/>
      <c r="FE56" s="33"/>
      <c r="FF56" s="33"/>
      <c r="FJ56" s="41"/>
      <c r="FP56" s="42"/>
      <c r="FW56" s="33"/>
      <c r="FX56" s="33"/>
      <c r="GB56" s="41"/>
      <c r="GH56" s="42"/>
      <c r="GO56" s="33"/>
      <c r="GP56" s="33"/>
      <c r="GT56" s="41"/>
      <c r="GZ56" s="42"/>
      <c r="HG56" s="33"/>
      <c r="HH56" s="33"/>
      <c r="HL56" s="41"/>
      <c r="HR56" s="42"/>
      <c r="HY56" s="33"/>
      <c r="HZ56" s="33"/>
      <c r="ID56" s="41"/>
      <c r="IJ56" s="42"/>
      <c r="IQ56" s="33"/>
      <c r="IR56" s="33"/>
      <c r="IV56" s="41"/>
      <c r="JB56" s="42"/>
      <c r="JI56" s="33"/>
      <c r="JJ56" s="33"/>
      <c r="JN56" s="41"/>
      <c r="JT56" s="42"/>
      <c r="KA56" s="33"/>
      <c r="KB56" s="33"/>
      <c r="KF56" s="41"/>
      <c r="KL56" s="42"/>
      <c r="KS56" s="33"/>
      <c r="KT56" s="33"/>
      <c r="KX56" s="41"/>
      <c r="LD56" s="42"/>
      <c r="LK56" s="33"/>
      <c r="LL56" s="33"/>
      <c r="LP56" s="41"/>
      <c r="LV56" s="42"/>
      <c r="MC56" s="33"/>
      <c r="MD56" s="33"/>
      <c r="MH56" s="41"/>
      <c r="MN56" s="42"/>
      <c r="MU56" s="33"/>
      <c r="MV56" s="33"/>
      <c r="MZ56" s="41"/>
      <c r="NF56" s="42"/>
      <c r="NM56" s="33"/>
      <c r="NN56" s="33"/>
      <c r="NR56" s="41"/>
      <c r="NX56" s="42"/>
      <c r="OE56" s="33"/>
      <c r="OF56" s="33"/>
      <c r="OJ56" s="41"/>
      <c r="OP56" s="42"/>
      <c r="OW56" s="33"/>
      <c r="OX56" s="33"/>
      <c r="PB56" s="41"/>
      <c r="PH56" s="42"/>
      <c r="PO56" s="33"/>
      <c r="PP56" s="33"/>
      <c r="PT56" s="41"/>
      <c r="PZ56" s="42"/>
      <c r="QG56" s="33"/>
      <c r="QH56" s="33"/>
      <c r="QL56" s="41"/>
      <c r="QR56" s="42"/>
      <c r="QY56" s="33"/>
      <c r="QZ56" s="33"/>
      <c r="RD56" s="41"/>
      <c r="RJ56" s="42"/>
      <c r="RQ56" s="33"/>
      <c r="RR56" s="33"/>
      <c r="RV56" s="41"/>
      <c r="SB56" s="42"/>
      <c r="SI56" s="33"/>
      <c r="SJ56" s="33"/>
      <c r="SN56" s="41"/>
      <c r="ST56" s="42"/>
      <c r="TA56" s="33"/>
      <c r="TB56" s="33"/>
      <c r="TF56" s="41"/>
      <c r="TL56" s="42"/>
      <c r="TS56" s="33"/>
      <c r="TT56" s="33"/>
      <c r="TX56" s="41"/>
      <c r="UD56" s="42"/>
      <c r="UK56" s="33"/>
      <c r="UL56" s="33"/>
      <c r="UP56" s="41"/>
      <c r="UV56" s="42"/>
      <c r="VC56" s="33"/>
      <c r="VD56" s="33"/>
      <c r="VH56" s="41"/>
      <c r="VN56" s="42"/>
      <c r="VU56" s="33"/>
      <c r="VV56" s="33"/>
      <c r="VZ56" s="41"/>
      <c r="WF56" s="42"/>
      <c r="WM56" s="33"/>
      <c r="WN56" s="33"/>
      <c r="WR56" s="41"/>
      <c r="WX56" s="42"/>
      <c r="XE56" s="33"/>
      <c r="XF56" s="33"/>
      <c r="XJ56" s="41"/>
      <c r="XP56" s="42"/>
      <c r="XW56" s="33"/>
      <c r="XX56" s="33"/>
      <c r="YB56" s="41"/>
      <c r="YH56" s="42"/>
      <c r="YO56" s="33"/>
      <c r="YP56" s="33"/>
      <c r="YT56" s="41"/>
      <c r="YZ56" s="42"/>
      <c r="ZG56" s="33"/>
      <c r="ZH56" s="33"/>
      <c r="ZL56" s="41"/>
      <c r="ZR56" s="42"/>
      <c r="ZY56" s="33"/>
      <c r="ZZ56" s="33"/>
      <c r="AAD56" s="41"/>
      <c r="AAJ56" s="42"/>
      <c r="AAQ56" s="33"/>
      <c r="AAR56" s="33"/>
      <c r="AAV56" s="41"/>
      <c r="ABB56" s="42"/>
      <c r="ABI56" s="33"/>
      <c r="ABJ56" s="33"/>
      <c r="ABN56" s="41"/>
      <c r="ABT56" s="42"/>
      <c r="ACA56" s="33"/>
      <c r="ACB56" s="33"/>
      <c r="ACF56" s="41"/>
      <c r="ACL56" s="42"/>
      <c r="ACS56" s="33"/>
      <c r="ACT56" s="33"/>
      <c r="ACX56" s="41"/>
      <c r="ADD56" s="42"/>
      <c r="ADK56" s="33"/>
      <c r="ADL56" s="33"/>
      <c r="ADP56" s="41"/>
      <c r="ADV56" s="42"/>
      <c r="AEC56" s="33"/>
      <c r="AED56" s="33"/>
      <c r="AEH56" s="41"/>
      <c r="AEN56" s="42"/>
      <c r="AEU56" s="33"/>
      <c r="AEV56" s="33"/>
      <c r="AEZ56" s="41"/>
      <c r="AFF56" s="42"/>
      <c r="AFM56" s="33"/>
      <c r="AFN56" s="33"/>
      <c r="AFR56" s="41"/>
      <c r="AFX56" s="42"/>
      <c r="AGE56" s="33"/>
      <c r="AGF56" s="33"/>
      <c r="AGJ56" s="41"/>
      <c r="AGP56" s="42"/>
      <c r="AGW56" s="33"/>
      <c r="AGX56" s="33"/>
      <c r="AHB56" s="41"/>
      <c r="AHH56" s="42"/>
      <c r="AHO56" s="33"/>
      <c r="AHP56" s="33"/>
      <c r="AHT56" s="41"/>
      <c r="AHZ56" s="42"/>
      <c r="AIG56" s="33"/>
      <c r="AIH56" s="33"/>
      <c r="AIL56" s="41"/>
      <c r="AIR56" s="42"/>
      <c r="AIY56" s="33"/>
      <c r="AIZ56" s="33"/>
      <c r="AJD56" s="41"/>
      <c r="AJJ56" s="42"/>
      <c r="AJQ56" s="33"/>
      <c r="AJR56" s="33"/>
      <c r="AJV56" s="41"/>
      <c r="AKB56" s="42"/>
      <c r="AKI56" s="33"/>
      <c r="AKJ56" s="33"/>
      <c r="AKN56" s="41"/>
      <c r="AKT56" s="42"/>
      <c r="ALA56" s="33"/>
      <c r="ALB56" s="33"/>
      <c r="ALF56" s="41"/>
      <c r="ALL56" s="42"/>
      <c r="ALS56" s="33"/>
      <c r="ALT56" s="33"/>
      <c r="ALX56" s="41"/>
      <c r="AMD56" s="42"/>
      <c r="AMK56" s="33"/>
      <c r="AML56" s="33"/>
      <c r="AMP56" s="41"/>
      <c r="AMV56" s="42"/>
      <c r="ANC56" s="33"/>
      <c r="AND56" s="33"/>
      <c r="ANH56" s="41"/>
      <c r="ANN56" s="42"/>
      <c r="ANU56" s="33"/>
      <c r="ANV56" s="33"/>
      <c r="ANZ56" s="41"/>
      <c r="AOF56" s="42"/>
      <c r="AOM56" s="33"/>
      <c r="AON56" s="33"/>
      <c r="AOR56" s="41"/>
      <c r="AOX56" s="42"/>
      <c r="APE56" s="33"/>
      <c r="APF56" s="33"/>
      <c r="APJ56" s="41"/>
      <c r="APP56" s="42"/>
      <c r="APW56" s="33"/>
      <c r="APX56" s="33"/>
      <c r="AQB56" s="41"/>
      <c r="AQH56" s="42"/>
      <c r="AQO56" s="33"/>
      <c r="AQP56" s="33"/>
      <c r="AQT56" s="41"/>
      <c r="AQZ56" s="42"/>
      <c r="ARG56" s="33"/>
      <c r="ARH56" s="33"/>
      <c r="ARL56" s="41"/>
      <c r="ARR56" s="42"/>
      <c r="ARY56" s="33"/>
      <c r="ARZ56" s="33"/>
      <c r="ASD56" s="41"/>
      <c r="ASJ56" s="42"/>
      <c r="ASQ56" s="33"/>
      <c r="ASR56" s="33"/>
      <c r="ASV56" s="41"/>
      <c r="ATB56" s="42"/>
      <c r="ATI56" s="33"/>
      <c r="ATJ56" s="33"/>
      <c r="ATN56" s="41"/>
      <c r="ATT56" s="42"/>
      <c r="AUA56" s="33"/>
      <c r="AUB56" s="33"/>
      <c r="AUF56" s="41"/>
      <c r="AUL56" s="42"/>
      <c r="AUS56" s="33"/>
      <c r="AUT56" s="33"/>
      <c r="AUX56" s="41"/>
      <c r="AVD56" s="42"/>
      <c r="AVK56" s="33"/>
      <c r="AVL56" s="33"/>
      <c r="AVP56" s="41"/>
      <c r="AVV56" s="42"/>
      <c r="AWC56" s="33"/>
      <c r="AWD56" s="33"/>
      <c r="AWH56" s="41"/>
      <c r="AWN56" s="42"/>
      <c r="AWU56" s="33"/>
      <c r="AWV56" s="33"/>
      <c r="AWZ56" s="41"/>
      <c r="AXF56" s="42"/>
      <c r="AXM56" s="33"/>
      <c r="AXN56" s="33"/>
      <c r="AXR56" s="41"/>
      <c r="AXX56" s="42"/>
      <c r="AYE56" s="33"/>
      <c r="AYF56" s="33"/>
      <c r="AYJ56" s="41"/>
      <c r="AYP56" s="42"/>
      <c r="AYW56" s="33"/>
      <c r="AYX56" s="33"/>
      <c r="AZB56" s="41"/>
      <c r="AZH56" s="42"/>
      <c r="AZO56" s="33"/>
      <c r="AZP56" s="33"/>
      <c r="AZT56" s="41"/>
      <c r="AZZ56" s="42"/>
      <c r="BAG56" s="33"/>
      <c r="BAH56" s="33"/>
      <c r="BAL56" s="41"/>
      <c r="BAR56" s="42"/>
      <c r="BAY56" s="33"/>
      <c r="BAZ56" s="33"/>
      <c r="BBD56" s="41"/>
      <c r="BBJ56" s="42"/>
      <c r="BBQ56" s="33"/>
      <c r="BBR56" s="33"/>
      <c r="BBV56" s="41"/>
      <c r="BCB56" s="42"/>
      <c r="BCI56" s="33"/>
      <c r="BCJ56" s="33"/>
      <c r="BCN56" s="41"/>
      <c r="BCT56" s="42"/>
      <c r="BDA56" s="33"/>
      <c r="BDB56" s="33"/>
      <c r="BDF56" s="41"/>
      <c r="BDL56" s="42"/>
      <c r="BDS56" s="33"/>
      <c r="BDT56" s="33"/>
      <c r="BDX56" s="41"/>
      <c r="BED56" s="42"/>
      <c r="BEK56" s="33"/>
      <c r="BEL56" s="33"/>
      <c r="BEP56" s="41"/>
      <c r="BEV56" s="42"/>
      <c r="BFC56" s="33"/>
      <c r="BFD56" s="33"/>
      <c r="BFH56" s="41"/>
      <c r="BFN56" s="42"/>
      <c r="BFU56" s="33"/>
      <c r="BFV56" s="33"/>
      <c r="BFZ56" s="41"/>
      <c r="BGF56" s="42"/>
      <c r="BGM56" s="33"/>
      <c r="BGN56" s="33"/>
      <c r="BGR56" s="41"/>
      <c r="BGX56" s="42"/>
      <c r="BHE56" s="33"/>
      <c r="BHF56" s="33"/>
      <c r="BHJ56" s="41"/>
      <c r="BHP56" s="42"/>
      <c r="BHW56" s="33"/>
      <c r="BHX56" s="33"/>
      <c r="BIB56" s="41"/>
      <c r="BIH56" s="42"/>
      <c r="BIO56" s="33"/>
      <c r="BIP56" s="33"/>
      <c r="BIT56" s="41"/>
      <c r="BIZ56" s="42"/>
      <c r="BJG56" s="33"/>
      <c r="BJH56" s="33"/>
      <c r="BJL56" s="41"/>
      <c r="BJR56" s="42"/>
      <c r="BJY56" s="33"/>
      <c r="BJZ56" s="33"/>
      <c r="BKD56" s="41"/>
      <c r="BKJ56" s="42"/>
      <c r="BKQ56" s="33"/>
      <c r="BKR56" s="33"/>
      <c r="BKV56" s="41"/>
      <c r="BLB56" s="42"/>
      <c r="BLI56" s="33"/>
      <c r="BLJ56" s="33"/>
      <c r="BLN56" s="41"/>
      <c r="BLT56" s="42"/>
      <c r="BMA56" s="33"/>
      <c r="BMB56" s="33"/>
      <c r="BMF56" s="41"/>
      <c r="BML56" s="42"/>
      <c r="BMS56" s="33"/>
      <c r="BMT56" s="33"/>
      <c r="BMX56" s="41"/>
      <c r="BND56" s="42"/>
      <c r="BNK56" s="33"/>
      <c r="BNL56" s="33"/>
      <c r="BNP56" s="41"/>
      <c r="BNV56" s="42"/>
      <c r="BOC56" s="33"/>
      <c r="BOD56" s="33"/>
      <c r="BOH56" s="41"/>
      <c r="BON56" s="42"/>
      <c r="BOU56" s="33"/>
      <c r="BOV56" s="33"/>
      <c r="BOZ56" s="41"/>
      <c r="BPF56" s="42"/>
      <c r="BPM56" s="33"/>
      <c r="BPN56" s="33"/>
      <c r="BPR56" s="41"/>
      <c r="BPX56" s="42"/>
      <c r="BQE56" s="33"/>
      <c r="BQF56" s="33"/>
      <c r="BQJ56" s="41"/>
      <c r="BQP56" s="42"/>
      <c r="BQW56" s="33"/>
      <c r="BQX56" s="33"/>
      <c r="BRB56" s="41"/>
      <c r="BRH56" s="42"/>
      <c r="BRO56" s="33"/>
      <c r="BRP56" s="33"/>
      <c r="BRT56" s="41"/>
      <c r="BRZ56" s="42"/>
      <c r="BSG56" s="33"/>
      <c r="BSH56" s="33"/>
      <c r="BSL56" s="41"/>
      <c r="BSR56" s="42"/>
      <c r="BSY56" s="33"/>
      <c r="BSZ56" s="33"/>
      <c r="BTD56" s="41"/>
      <c r="BTJ56" s="42"/>
      <c r="BTQ56" s="33"/>
      <c r="BTR56" s="33"/>
      <c r="BTV56" s="41"/>
      <c r="BUB56" s="42"/>
      <c r="BUI56" s="33"/>
      <c r="BUJ56" s="33"/>
      <c r="BUN56" s="41"/>
      <c r="BUT56" s="42"/>
      <c r="BVA56" s="33"/>
      <c r="BVB56" s="33"/>
      <c r="BVF56" s="41"/>
      <c r="BVL56" s="42"/>
      <c r="BVS56" s="33"/>
      <c r="BVT56" s="33"/>
      <c r="BVX56" s="41"/>
      <c r="BWD56" s="42"/>
      <c r="BWK56" s="33"/>
      <c r="BWL56" s="33"/>
      <c r="BWP56" s="41"/>
      <c r="BWV56" s="42"/>
      <c r="BXC56" s="33"/>
      <c r="BXD56" s="33"/>
      <c r="BXH56" s="41"/>
      <c r="BXN56" s="42"/>
      <c r="BXU56" s="33"/>
      <c r="BXV56" s="33"/>
      <c r="BXZ56" s="41"/>
      <c r="BYF56" s="42"/>
      <c r="BYM56" s="33"/>
      <c r="BYN56" s="33"/>
      <c r="BYR56" s="41"/>
      <c r="BYX56" s="42"/>
      <c r="BZE56" s="33"/>
      <c r="BZF56" s="33"/>
      <c r="BZJ56" s="41"/>
      <c r="BZP56" s="42"/>
      <c r="BZW56" s="33"/>
      <c r="BZX56" s="33"/>
      <c r="CAB56" s="41"/>
      <c r="CAH56" s="42"/>
      <c r="CAO56" s="33"/>
      <c r="CAP56" s="33"/>
      <c r="CAT56" s="41"/>
      <c r="CAZ56" s="42"/>
      <c r="CBG56" s="33"/>
      <c r="CBH56" s="33"/>
      <c r="CBL56" s="41"/>
      <c r="CBR56" s="42"/>
      <c r="CBY56" s="33"/>
      <c r="CBZ56" s="33"/>
      <c r="CCD56" s="41"/>
      <c r="CCJ56" s="42"/>
      <c r="CCQ56" s="33"/>
      <c r="CCR56" s="33"/>
      <c r="CCV56" s="41"/>
      <c r="CDB56" s="42"/>
      <c r="CDI56" s="33"/>
      <c r="CDJ56" s="33"/>
      <c r="CDN56" s="41"/>
      <c r="CDT56" s="42"/>
      <c r="CEA56" s="33"/>
      <c r="CEB56" s="33"/>
      <c r="CEF56" s="41"/>
      <c r="CEL56" s="42"/>
      <c r="CES56" s="33"/>
      <c r="CET56" s="33"/>
      <c r="CEX56" s="41"/>
      <c r="CFD56" s="42"/>
      <c r="CFK56" s="33"/>
      <c r="CFL56" s="33"/>
      <c r="CFP56" s="41"/>
      <c r="CFV56" s="42"/>
      <c r="CGC56" s="33"/>
      <c r="CGD56" s="33"/>
      <c r="CGH56" s="41"/>
      <c r="CGN56" s="42"/>
      <c r="CGU56" s="33"/>
      <c r="CGV56" s="33"/>
      <c r="CGZ56" s="41"/>
      <c r="CHF56" s="42"/>
      <c r="CHM56" s="33"/>
      <c r="CHN56" s="33"/>
      <c r="CHR56" s="41"/>
      <c r="CHX56" s="42"/>
      <c r="CIE56" s="33"/>
      <c r="CIF56" s="33"/>
      <c r="CIJ56" s="41"/>
      <c r="CIP56" s="42"/>
      <c r="CIW56" s="33"/>
      <c r="CIX56" s="33"/>
      <c r="CJB56" s="41"/>
      <c r="CJH56" s="42"/>
      <c r="CJO56" s="33"/>
      <c r="CJP56" s="33"/>
      <c r="CJT56" s="41"/>
      <c r="CJZ56" s="42"/>
      <c r="CKG56" s="33"/>
      <c r="CKH56" s="33"/>
      <c r="CKL56" s="41"/>
      <c r="CKR56" s="42"/>
      <c r="CKY56" s="33"/>
      <c r="CKZ56" s="33"/>
      <c r="CLD56" s="41"/>
      <c r="CLJ56" s="42"/>
      <c r="CLQ56" s="33"/>
      <c r="CLR56" s="33"/>
      <c r="CLV56" s="41"/>
      <c r="CMB56" s="42"/>
      <c r="CMI56" s="33"/>
      <c r="CMJ56" s="33"/>
      <c r="CMN56" s="41"/>
      <c r="CMT56" s="42"/>
      <c r="CNA56" s="33"/>
      <c r="CNB56" s="33"/>
      <c r="CNF56" s="41"/>
      <c r="CNL56" s="42"/>
      <c r="CNS56" s="33"/>
      <c r="CNT56" s="33"/>
      <c r="CNX56" s="41"/>
      <c r="COD56" s="42"/>
      <c r="COK56" s="33"/>
      <c r="COL56" s="33"/>
      <c r="COP56" s="41"/>
      <c r="COV56" s="42"/>
      <c r="CPC56" s="33"/>
      <c r="CPD56" s="33"/>
      <c r="CPH56" s="41"/>
      <c r="CPN56" s="42"/>
      <c r="CPU56" s="33"/>
      <c r="CPV56" s="33"/>
      <c r="CPZ56" s="41"/>
      <c r="CQF56" s="42"/>
      <c r="CQM56" s="33"/>
      <c r="CQN56" s="33"/>
      <c r="CQR56" s="41"/>
      <c r="CQX56" s="42"/>
      <c r="CRE56" s="33"/>
      <c r="CRF56" s="33"/>
      <c r="CRJ56" s="41"/>
      <c r="CRP56" s="42"/>
      <c r="CRW56" s="33"/>
      <c r="CRX56" s="33"/>
      <c r="CSB56" s="41"/>
      <c r="CSH56" s="42"/>
      <c r="CSO56" s="33"/>
      <c r="CSP56" s="33"/>
      <c r="CST56" s="41"/>
      <c r="CSZ56" s="42"/>
      <c r="CTG56" s="33"/>
      <c r="CTH56" s="33"/>
      <c r="CTL56" s="41"/>
      <c r="CTR56" s="42"/>
      <c r="CTY56" s="33"/>
      <c r="CTZ56" s="33"/>
      <c r="CUD56" s="41"/>
      <c r="CUJ56" s="42"/>
      <c r="CUQ56" s="33"/>
      <c r="CUR56" s="33"/>
      <c r="CUV56" s="41"/>
      <c r="CVB56" s="42"/>
      <c r="CVI56" s="33"/>
      <c r="CVJ56" s="33"/>
      <c r="CVN56" s="41"/>
      <c r="CVT56" s="42"/>
      <c r="CWA56" s="33"/>
      <c r="CWB56" s="33"/>
      <c r="CWF56" s="41"/>
      <c r="CWL56" s="42"/>
      <c r="CWS56" s="33"/>
      <c r="CWT56" s="33"/>
      <c r="CWX56" s="41"/>
      <c r="CXD56" s="42"/>
      <c r="CXK56" s="33"/>
      <c r="CXL56" s="33"/>
      <c r="CXP56" s="41"/>
      <c r="CXV56" s="42"/>
      <c r="CYC56" s="33"/>
      <c r="CYD56" s="33"/>
      <c r="CYH56" s="41"/>
      <c r="CYN56" s="42"/>
      <c r="CYU56" s="33"/>
      <c r="CYV56" s="33"/>
      <c r="CYZ56" s="41"/>
      <c r="CZF56" s="42"/>
      <c r="CZM56" s="33"/>
      <c r="CZN56" s="33"/>
      <c r="CZR56" s="41"/>
      <c r="CZX56" s="42"/>
      <c r="DAE56" s="33"/>
      <c r="DAF56" s="33"/>
      <c r="DAJ56" s="41"/>
      <c r="DAP56" s="42"/>
      <c r="DAW56" s="33"/>
      <c r="DAX56" s="33"/>
      <c r="DBB56" s="41"/>
      <c r="DBH56" s="42"/>
      <c r="DBO56" s="33"/>
      <c r="DBP56" s="33"/>
      <c r="DBT56" s="41"/>
      <c r="DBZ56" s="42"/>
      <c r="DCG56" s="33"/>
      <c r="DCH56" s="33"/>
      <c r="DCL56" s="41"/>
      <c r="DCR56" s="42"/>
      <c r="DCY56" s="33"/>
      <c r="DCZ56" s="33"/>
      <c r="DDD56" s="41"/>
      <c r="DDJ56" s="42"/>
      <c r="DDQ56" s="33"/>
      <c r="DDR56" s="33"/>
      <c r="DDV56" s="41"/>
      <c r="DEB56" s="42"/>
      <c r="DEI56" s="33"/>
      <c r="DEJ56" s="33"/>
      <c r="DEN56" s="41"/>
      <c r="DET56" s="42"/>
      <c r="DFA56" s="33"/>
      <c r="DFB56" s="33"/>
      <c r="DFF56" s="41"/>
      <c r="DFL56" s="42"/>
      <c r="DFS56" s="33"/>
      <c r="DFT56" s="33"/>
      <c r="DFX56" s="41"/>
      <c r="DGD56" s="42"/>
      <c r="DGK56" s="33"/>
      <c r="DGL56" s="33"/>
      <c r="DGP56" s="41"/>
      <c r="DGV56" s="42"/>
      <c r="DHC56" s="33"/>
      <c r="DHD56" s="33"/>
      <c r="DHH56" s="41"/>
      <c r="DHN56" s="42"/>
      <c r="DHU56" s="33"/>
      <c r="DHV56" s="33"/>
      <c r="DHZ56" s="41"/>
      <c r="DIF56" s="42"/>
      <c r="DIM56" s="33"/>
      <c r="DIN56" s="33"/>
      <c r="DIR56" s="41"/>
      <c r="DIX56" s="42"/>
      <c r="DJE56" s="33"/>
      <c r="DJF56" s="33"/>
      <c r="DJJ56" s="41"/>
      <c r="DJP56" s="42"/>
      <c r="DJW56" s="33"/>
      <c r="DJX56" s="33"/>
      <c r="DKB56" s="41"/>
      <c r="DKH56" s="42"/>
      <c r="DKO56" s="33"/>
      <c r="DKP56" s="33"/>
      <c r="DKT56" s="41"/>
      <c r="DKZ56" s="42"/>
      <c r="DLG56" s="33"/>
      <c r="DLH56" s="33"/>
      <c r="DLL56" s="41"/>
      <c r="DLR56" s="42"/>
      <c r="DLY56" s="33"/>
      <c r="DLZ56" s="33"/>
      <c r="DMD56" s="41"/>
      <c r="DMJ56" s="42"/>
      <c r="DMQ56" s="33"/>
      <c r="DMR56" s="33"/>
      <c r="DMV56" s="41"/>
      <c r="DNB56" s="42"/>
      <c r="DNI56" s="33"/>
      <c r="DNJ56" s="33"/>
      <c r="DNN56" s="41"/>
      <c r="DNT56" s="42"/>
      <c r="DOA56" s="33"/>
      <c r="DOB56" s="33"/>
      <c r="DOF56" s="41"/>
      <c r="DOL56" s="42"/>
      <c r="DOS56" s="33"/>
      <c r="DOT56" s="33"/>
      <c r="DOX56" s="41"/>
      <c r="DPD56" s="42"/>
      <c r="DPK56" s="33"/>
      <c r="DPL56" s="33"/>
      <c r="DPP56" s="41"/>
      <c r="DPV56" s="42"/>
      <c r="DQC56" s="33"/>
      <c r="DQD56" s="33"/>
      <c r="DQH56" s="41"/>
      <c r="DQN56" s="42"/>
      <c r="DQU56" s="33"/>
      <c r="DQV56" s="33"/>
      <c r="DQZ56" s="41"/>
      <c r="DRF56" s="42"/>
      <c r="DRM56" s="33"/>
      <c r="DRN56" s="33"/>
      <c r="DRR56" s="41"/>
      <c r="DRX56" s="42"/>
      <c r="DSE56" s="33"/>
      <c r="DSF56" s="33"/>
      <c r="DSJ56" s="41"/>
      <c r="DSP56" s="42"/>
      <c r="DSW56" s="33"/>
      <c r="DSX56" s="33"/>
      <c r="DTB56" s="41"/>
      <c r="DTH56" s="42"/>
      <c r="DTO56" s="33"/>
      <c r="DTP56" s="33"/>
      <c r="DTT56" s="41"/>
      <c r="DTZ56" s="42"/>
      <c r="DUG56" s="33"/>
      <c r="DUH56" s="33"/>
      <c r="DUL56" s="41"/>
      <c r="DUR56" s="42"/>
      <c r="DUY56" s="33"/>
      <c r="DUZ56" s="33"/>
      <c r="DVD56" s="41"/>
      <c r="DVJ56" s="42"/>
      <c r="DVQ56" s="33"/>
      <c r="DVR56" s="33"/>
      <c r="DVV56" s="41"/>
      <c r="DWB56" s="42"/>
      <c r="DWI56" s="33"/>
      <c r="DWJ56" s="33"/>
      <c r="DWN56" s="41"/>
      <c r="DWT56" s="42"/>
      <c r="DXA56" s="33"/>
      <c r="DXB56" s="33"/>
      <c r="DXF56" s="41"/>
      <c r="DXL56" s="42"/>
      <c r="DXS56" s="33"/>
      <c r="DXT56" s="33"/>
      <c r="DXX56" s="41"/>
      <c r="DYD56" s="42"/>
      <c r="DYK56" s="33"/>
      <c r="DYL56" s="33"/>
      <c r="DYP56" s="41"/>
      <c r="DYV56" s="42"/>
      <c r="DZC56" s="33"/>
      <c r="DZD56" s="33"/>
      <c r="DZH56" s="41"/>
      <c r="DZN56" s="42"/>
      <c r="DZU56" s="33"/>
      <c r="DZV56" s="33"/>
      <c r="DZZ56" s="41"/>
      <c r="EAF56" s="42"/>
      <c r="EAM56" s="33"/>
      <c r="EAN56" s="33"/>
      <c r="EAR56" s="41"/>
      <c r="EAX56" s="42"/>
      <c r="EBE56" s="33"/>
      <c r="EBF56" s="33"/>
      <c r="EBJ56" s="41"/>
      <c r="EBP56" s="42"/>
      <c r="EBW56" s="33"/>
      <c r="EBX56" s="33"/>
      <c r="ECB56" s="41"/>
      <c r="ECH56" s="42"/>
      <c r="ECO56" s="33"/>
      <c r="ECP56" s="33"/>
      <c r="ECT56" s="41"/>
      <c r="ECZ56" s="42"/>
      <c r="EDG56" s="33"/>
      <c r="EDH56" s="33"/>
      <c r="EDL56" s="41"/>
      <c r="EDR56" s="42"/>
      <c r="EDY56" s="33"/>
      <c r="EDZ56" s="33"/>
      <c r="EED56" s="41"/>
      <c r="EEJ56" s="42"/>
      <c r="EEQ56" s="33"/>
      <c r="EER56" s="33"/>
      <c r="EEV56" s="41"/>
      <c r="EFB56" s="42"/>
      <c r="EFI56" s="33"/>
      <c r="EFJ56" s="33"/>
      <c r="EFN56" s="41"/>
      <c r="EFT56" s="42"/>
      <c r="EGA56" s="33"/>
      <c r="EGB56" s="33"/>
      <c r="EGF56" s="41"/>
      <c r="EGL56" s="42"/>
      <c r="EGS56" s="33"/>
      <c r="EGT56" s="33"/>
      <c r="EGX56" s="41"/>
      <c r="EHD56" s="42"/>
      <c r="EHK56" s="33"/>
      <c r="EHL56" s="33"/>
      <c r="EHP56" s="41"/>
      <c r="EHV56" s="42"/>
      <c r="EIC56" s="33"/>
      <c r="EID56" s="33"/>
      <c r="EIH56" s="41"/>
      <c r="EIN56" s="42"/>
      <c r="EIU56" s="33"/>
      <c r="EIV56" s="33"/>
      <c r="EIZ56" s="41"/>
      <c r="EJF56" s="42"/>
      <c r="EJM56" s="33"/>
      <c r="EJN56" s="33"/>
      <c r="EJR56" s="41"/>
      <c r="EJX56" s="42"/>
      <c r="EKE56" s="33"/>
      <c r="EKF56" s="33"/>
      <c r="EKJ56" s="41"/>
      <c r="EKP56" s="42"/>
      <c r="EKW56" s="33"/>
      <c r="EKX56" s="33"/>
      <c r="ELB56" s="41"/>
      <c r="ELH56" s="42"/>
      <c r="ELO56" s="33"/>
      <c r="ELP56" s="33"/>
      <c r="ELT56" s="41"/>
      <c r="ELZ56" s="42"/>
      <c r="EMG56" s="33"/>
      <c r="EMH56" s="33"/>
      <c r="EML56" s="41"/>
      <c r="EMR56" s="42"/>
      <c r="EMY56" s="33"/>
      <c r="EMZ56" s="33"/>
      <c r="END56" s="41"/>
      <c r="ENJ56" s="42"/>
      <c r="ENQ56" s="33"/>
      <c r="ENR56" s="33"/>
      <c r="ENV56" s="41"/>
      <c r="EOB56" s="42"/>
      <c r="EOI56" s="33"/>
      <c r="EOJ56" s="33"/>
      <c r="EON56" s="41"/>
      <c r="EOT56" s="42"/>
      <c r="EPA56" s="33"/>
      <c r="EPB56" s="33"/>
      <c r="EPF56" s="41"/>
      <c r="EPL56" s="42"/>
      <c r="EPS56" s="33"/>
      <c r="EPT56" s="33"/>
      <c r="EPX56" s="41"/>
      <c r="EQD56" s="42"/>
      <c r="EQK56" s="33"/>
      <c r="EQL56" s="33"/>
      <c r="EQP56" s="41"/>
      <c r="EQV56" s="42"/>
      <c r="ERC56" s="33"/>
      <c r="ERD56" s="33"/>
      <c r="ERH56" s="41"/>
      <c r="ERN56" s="42"/>
      <c r="ERU56" s="33"/>
      <c r="ERV56" s="33"/>
      <c r="ERZ56" s="41"/>
      <c r="ESF56" s="42"/>
      <c r="ESM56" s="33"/>
      <c r="ESN56" s="33"/>
      <c r="ESR56" s="41"/>
      <c r="ESX56" s="42"/>
      <c r="ETE56" s="33"/>
      <c r="ETF56" s="33"/>
      <c r="ETJ56" s="41"/>
      <c r="ETP56" s="42"/>
      <c r="ETW56" s="33"/>
      <c r="ETX56" s="33"/>
      <c r="EUB56" s="41"/>
      <c r="EUH56" s="42"/>
      <c r="EUO56" s="33"/>
      <c r="EUP56" s="33"/>
      <c r="EUT56" s="41"/>
      <c r="EUZ56" s="42"/>
      <c r="EVG56" s="33"/>
      <c r="EVH56" s="33"/>
      <c r="EVL56" s="41"/>
      <c r="EVR56" s="42"/>
      <c r="EVY56" s="33"/>
      <c r="EVZ56" s="33"/>
      <c r="EWD56" s="41"/>
      <c r="EWJ56" s="42"/>
      <c r="EWQ56" s="33"/>
      <c r="EWR56" s="33"/>
      <c r="EWV56" s="41"/>
      <c r="EXB56" s="42"/>
      <c r="EXI56" s="33"/>
      <c r="EXJ56" s="33"/>
      <c r="EXN56" s="41"/>
      <c r="EXT56" s="42"/>
      <c r="EYA56" s="33"/>
      <c r="EYB56" s="33"/>
      <c r="EYF56" s="41"/>
      <c r="EYL56" s="42"/>
      <c r="EYS56" s="33"/>
      <c r="EYT56" s="33"/>
      <c r="EYX56" s="41"/>
      <c r="EZD56" s="42"/>
      <c r="EZK56" s="33"/>
      <c r="EZL56" s="33"/>
      <c r="EZP56" s="41"/>
      <c r="EZV56" s="42"/>
      <c r="FAC56" s="33"/>
      <c r="FAD56" s="33"/>
      <c r="FAH56" s="41"/>
      <c r="FAN56" s="42"/>
      <c r="FAU56" s="33"/>
      <c r="FAV56" s="33"/>
      <c r="FAZ56" s="41"/>
      <c r="FBF56" s="42"/>
      <c r="FBM56" s="33"/>
      <c r="FBN56" s="33"/>
      <c r="FBR56" s="41"/>
      <c r="FBX56" s="42"/>
      <c r="FCE56" s="33"/>
      <c r="FCF56" s="33"/>
      <c r="FCJ56" s="41"/>
      <c r="FCP56" s="42"/>
      <c r="FCW56" s="33"/>
      <c r="FCX56" s="33"/>
      <c r="FDB56" s="41"/>
      <c r="FDH56" s="42"/>
      <c r="FDO56" s="33"/>
      <c r="FDP56" s="33"/>
      <c r="FDT56" s="41"/>
      <c r="FDZ56" s="42"/>
      <c r="FEG56" s="33"/>
      <c r="FEH56" s="33"/>
      <c r="FEL56" s="41"/>
      <c r="FER56" s="42"/>
      <c r="FEY56" s="33"/>
      <c r="FEZ56" s="33"/>
      <c r="FFD56" s="41"/>
      <c r="FFJ56" s="42"/>
      <c r="FFQ56" s="33"/>
      <c r="FFR56" s="33"/>
      <c r="FFV56" s="41"/>
      <c r="FGB56" s="42"/>
      <c r="FGI56" s="33"/>
      <c r="FGJ56" s="33"/>
      <c r="FGN56" s="41"/>
      <c r="FGT56" s="42"/>
      <c r="FHA56" s="33"/>
      <c r="FHB56" s="33"/>
      <c r="FHF56" s="41"/>
      <c r="FHL56" s="42"/>
      <c r="FHS56" s="33"/>
      <c r="FHT56" s="33"/>
      <c r="FHX56" s="41"/>
      <c r="FID56" s="42"/>
      <c r="FIK56" s="33"/>
      <c r="FIL56" s="33"/>
      <c r="FIP56" s="41"/>
      <c r="FIV56" s="42"/>
      <c r="FJC56" s="33"/>
      <c r="FJD56" s="33"/>
      <c r="FJH56" s="41"/>
      <c r="FJN56" s="42"/>
      <c r="FJU56" s="33"/>
      <c r="FJV56" s="33"/>
      <c r="FJZ56" s="41"/>
      <c r="FKF56" s="42"/>
      <c r="FKM56" s="33"/>
      <c r="FKN56" s="33"/>
      <c r="FKR56" s="41"/>
      <c r="FKX56" s="42"/>
      <c r="FLE56" s="33"/>
      <c r="FLF56" s="33"/>
      <c r="FLJ56" s="41"/>
      <c r="FLP56" s="42"/>
      <c r="FLW56" s="33"/>
      <c r="FLX56" s="33"/>
      <c r="FMB56" s="41"/>
      <c r="FMH56" s="42"/>
      <c r="FMO56" s="33"/>
      <c r="FMP56" s="33"/>
      <c r="FMT56" s="41"/>
      <c r="FMZ56" s="42"/>
      <c r="FNG56" s="33"/>
      <c r="FNH56" s="33"/>
      <c r="FNL56" s="41"/>
      <c r="FNR56" s="42"/>
      <c r="FNY56" s="33"/>
      <c r="FNZ56" s="33"/>
      <c r="FOD56" s="41"/>
      <c r="FOJ56" s="42"/>
      <c r="FOQ56" s="33"/>
      <c r="FOR56" s="33"/>
      <c r="FOV56" s="41"/>
      <c r="FPB56" s="42"/>
      <c r="FPI56" s="33"/>
      <c r="FPJ56" s="33"/>
      <c r="FPN56" s="41"/>
      <c r="FPT56" s="42"/>
      <c r="FQA56" s="33"/>
      <c r="FQB56" s="33"/>
      <c r="FQF56" s="41"/>
      <c r="FQL56" s="42"/>
      <c r="FQS56" s="33"/>
      <c r="FQT56" s="33"/>
      <c r="FQX56" s="41"/>
      <c r="FRD56" s="42"/>
      <c r="FRK56" s="33"/>
      <c r="FRL56" s="33"/>
      <c r="FRP56" s="41"/>
      <c r="FRV56" s="42"/>
      <c r="FSC56" s="33"/>
      <c r="FSD56" s="33"/>
      <c r="FSH56" s="41"/>
      <c r="FSN56" s="42"/>
      <c r="FSU56" s="33"/>
      <c r="FSV56" s="33"/>
      <c r="FSZ56" s="41"/>
      <c r="FTF56" s="42"/>
      <c r="FTM56" s="33"/>
      <c r="FTN56" s="33"/>
      <c r="FTR56" s="41"/>
      <c r="FTX56" s="42"/>
      <c r="FUE56" s="33"/>
      <c r="FUF56" s="33"/>
      <c r="FUJ56" s="41"/>
      <c r="FUP56" s="42"/>
      <c r="FUW56" s="33"/>
      <c r="FUX56" s="33"/>
      <c r="FVB56" s="41"/>
      <c r="FVH56" s="42"/>
      <c r="FVO56" s="33"/>
      <c r="FVP56" s="33"/>
      <c r="FVT56" s="41"/>
      <c r="FVZ56" s="42"/>
      <c r="FWG56" s="33"/>
      <c r="FWH56" s="33"/>
      <c r="FWL56" s="41"/>
      <c r="FWR56" s="42"/>
      <c r="FWY56" s="33"/>
      <c r="FWZ56" s="33"/>
      <c r="FXD56" s="41"/>
      <c r="FXJ56" s="42"/>
      <c r="FXQ56" s="33"/>
      <c r="FXR56" s="33"/>
      <c r="FXV56" s="41"/>
      <c r="FYB56" s="42"/>
      <c r="FYI56" s="33"/>
      <c r="FYJ56" s="33"/>
      <c r="FYN56" s="41"/>
      <c r="FYT56" s="42"/>
      <c r="FZA56" s="33"/>
      <c r="FZB56" s="33"/>
      <c r="FZF56" s="41"/>
      <c r="FZL56" s="42"/>
      <c r="FZS56" s="33"/>
      <c r="FZT56" s="33"/>
      <c r="FZX56" s="41"/>
      <c r="GAD56" s="42"/>
      <c r="GAK56" s="33"/>
      <c r="GAL56" s="33"/>
      <c r="GAP56" s="41"/>
      <c r="GAV56" s="42"/>
      <c r="GBC56" s="33"/>
      <c r="GBD56" s="33"/>
      <c r="GBH56" s="41"/>
      <c r="GBN56" s="42"/>
      <c r="GBU56" s="33"/>
      <c r="GBV56" s="33"/>
      <c r="GBZ56" s="41"/>
      <c r="GCF56" s="42"/>
      <c r="GCM56" s="33"/>
      <c r="GCN56" s="33"/>
      <c r="GCR56" s="41"/>
      <c r="GCX56" s="42"/>
      <c r="GDE56" s="33"/>
      <c r="GDF56" s="33"/>
      <c r="GDJ56" s="41"/>
      <c r="GDP56" s="42"/>
      <c r="GDW56" s="33"/>
      <c r="GDX56" s="33"/>
      <c r="GEB56" s="41"/>
      <c r="GEH56" s="42"/>
      <c r="GEO56" s="33"/>
      <c r="GEP56" s="33"/>
      <c r="GET56" s="41"/>
      <c r="GEZ56" s="42"/>
      <c r="GFG56" s="33"/>
      <c r="GFH56" s="33"/>
      <c r="GFL56" s="41"/>
      <c r="GFR56" s="42"/>
      <c r="GFY56" s="33"/>
      <c r="GFZ56" s="33"/>
      <c r="GGD56" s="41"/>
      <c r="GGJ56" s="42"/>
      <c r="GGQ56" s="33"/>
      <c r="GGR56" s="33"/>
      <c r="GGV56" s="41"/>
      <c r="GHB56" s="42"/>
      <c r="GHI56" s="33"/>
      <c r="GHJ56" s="33"/>
      <c r="GHN56" s="41"/>
      <c r="GHT56" s="42"/>
      <c r="GIA56" s="33"/>
      <c r="GIB56" s="33"/>
      <c r="GIF56" s="41"/>
      <c r="GIL56" s="42"/>
      <c r="GIS56" s="33"/>
      <c r="GIT56" s="33"/>
      <c r="GIX56" s="41"/>
      <c r="GJD56" s="42"/>
      <c r="GJK56" s="33"/>
      <c r="GJL56" s="33"/>
      <c r="GJP56" s="41"/>
      <c r="GJV56" s="42"/>
      <c r="GKC56" s="33"/>
      <c r="GKD56" s="33"/>
      <c r="GKH56" s="41"/>
      <c r="GKN56" s="42"/>
      <c r="GKU56" s="33"/>
      <c r="GKV56" s="33"/>
      <c r="GKZ56" s="41"/>
      <c r="GLF56" s="42"/>
      <c r="GLM56" s="33"/>
      <c r="GLN56" s="33"/>
      <c r="GLR56" s="41"/>
      <c r="GLX56" s="42"/>
      <c r="GME56" s="33"/>
      <c r="GMF56" s="33"/>
      <c r="GMJ56" s="41"/>
      <c r="GMP56" s="42"/>
      <c r="GMW56" s="33"/>
      <c r="GMX56" s="33"/>
      <c r="GNB56" s="41"/>
      <c r="GNH56" s="42"/>
      <c r="GNO56" s="33"/>
      <c r="GNP56" s="33"/>
      <c r="GNT56" s="41"/>
      <c r="GNZ56" s="42"/>
      <c r="GOG56" s="33"/>
      <c r="GOH56" s="33"/>
      <c r="GOL56" s="41"/>
      <c r="GOR56" s="42"/>
      <c r="GOY56" s="33"/>
      <c r="GOZ56" s="33"/>
      <c r="GPD56" s="41"/>
      <c r="GPJ56" s="42"/>
      <c r="GPQ56" s="33"/>
      <c r="GPR56" s="33"/>
      <c r="GPV56" s="41"/>
      <c r="GQB56" s="42"/>
      <c r="GQI56" s="33"/>
      <c r="GQJ56" s="33"/>
      <c r="GQN56" s="41"/>
      <c r="GQT56" s="42"/>
      <c r="GRA56" s="33"/>
      <c r="GRB56" s="33"/>
      <c r="GRF56" s="41"/>
      <c r="GRL56" s="42"/>
      <c r="GRS56" s="33"/>
      <c r="GRT56" s="33"/>
      <c r="GRX56" s="41"/>
      <c r="GSD56" s="42"/>
      <c r="GSK56" s="33"/>
      <c r="GSL56" s="33"/>
      <c r="GSP56" s="41"/>
      <c r="GSV56" s="42"/>
      <c r="GTC56" s="33"/>
      <c r="GTD56" s="33"/>
      <c r="GTH56" s="41"/>
      <c r="GTN56" s="42"/>
      <c r="GTU56" s="33"/>
      <c r="GTV56" s="33"/>
      <c r="GTZ56" s="41"/>
      <c r="GUF56" s="42"/>
      <c r="GUM56" s="33"/>
      <c r="GUN56" s="33"/>
      <c r="GUR56" s="41"/>
      <c r="GUX56" s="42"/>
      <c r="GVE56" s="33"/>
      <c r="GVF56" s="33"/>
      <c r="GVJ56" s="41"/>
      <c r="GVP56" s="42"/>
      <c r="GVW56" s="33"/>
      <c r="GVX56" s="33"/>
      <c r="GWB56" s="41"/>
      <c r="GWH56" s="42"/>
      <c r="GWO56" s="33"/>
      <c r="GWP56" s="33"/>
      <c r="GWT56" s="41"/>
      <c r="GWZ56" s="42"/>
      <c r="GXG56" s="33"/>
      <c r="GXH56" s="33"/>
      <c r="GXL56" s="41"/>
      <c r="GXR56" s="42"/>
      <c r="GXY56" s="33"/>
      <c r="GXZ56" s="33"/>
      <c r="GYD56" s="41"/>
      <c r="GYJ56" s="42"/>
      <c r="GYQ56" s="33"/>
      <c r="GYR56" s="33"/>
      <c r="GYV56" s="41"/>
      <c r="GZB56" s="42"/>
      <c r="GZI56" s="33"/>
      <c r="GZJ56" s="33"/>
      <c r="GZN56" s="41"/>
      <c r="GZT56" s="42"/>
      <c r="HAA56" s="33"/>
      <c r="HAB56" s="33"/>
      <c r="HAF56" s="41"/>
      <c r="HAL56" s="42"/>
      <c r="HAS56" s="33"/>
      <c r="HAT56" s="33"/>
      <c r="HAX56" s="41"/>
      <c r="HBD56" s="42"/>
      <c r="HBK56" s="33"/>
      <c r="HBL56" s="33"/>
      <c r="HBP56" s="41"/>
      <c r="HBV56" s="42"/>
      <c r="HCC56" s="33"/>
      <c r="HCD56" s="33"/>
      <c r="HCH56" s="41"/>
      <c r="HCN56" s="42"/>
      <c r="HCU56" s="33"/>
      <c r="HCV56" s="33"/>
      <c r="HCZ56" s="41"/>
      <c r="HDF56" s="42"/>
      <c r="HDM56" s="33"/>
      <c r="HDN56" s="33"/>
      <c r="HDR56" s="41"/>
      <c r="HDX56" s="42"/>
      <c r="HEE56" s="33"/>
      <c r="HEF56" s="33"/>
      <c r="HEJ56" s="41"/>
      <c r="HEP56" s="42"/>
      <c r="HEW56" s="33"/>
      <c r="HEX56" s="33"/>
      <c r="HFB56" s="41"/>
      <c r="HFH56" s="42"/>
      <c r="HFO56" s="33"/>
      <c r="HFP56" s="33"/>
      <c r="HFT56" s="41"/>
      <c r="HFZ56" s="42"/>
      <c r="HGG56" s="33"/>
      <c r="HGH56" s="33"/>
      <c r="HGL56" s="41"/>
      <c r="HGR56" s="42"/>
      <c r="HGY56" s="33"/>
      <c r="HGZ56" s="33"/>
      <c r="HHD56" s="41"/>
      <c r="HHJ56" s="42"/>
      <c r="HHQ56" s="33"/>
      <c r="HHR56" s="33"/>
      <c r="HHV56" s="41"/>
      <c r="HIB56" s="42"/>
      <c r="HII56" s="33"/>
      <c r="HIJ56" s="33"/>
      <c r="HIN56" s="41"/>
      <c r="HIT56" s="42"/>
      <c r="HJA56" s="33"/>
      <c r="HJB56" s="33"/>
      <c r="HJF56" s="41"/>
      <c r="HJL56" s="42"/>
      <c r="HJS56" s="33"/>
      <c r="HJT56" s="33"/>
      <c r="HJX56" s="41"/>
      <c r="HKD56" s="42"/>
      <c r="HKK56" s="33"/>
      <c r="HKL56" s="33"/>
      <c r="HKP56" s="41"/>
      <c r="HKV56" s="42"/>
      <c r="HLC56" s="33"/>
      <c r="HLD56" s="33"/>
      <c r="HLH56" s="41"/>
      <c r="HLN56" s="42"/>
      <c r="HLU56" s="33"/>
      <c r="HLV56" s="33"/>
      <c r="HLZ56" s="41"/>
      <c r="HMF56" s="42"/>
      <c r="HMM56" s="33"/>
      <c r="HMN56" s="33"/>
      <c r="HMR56" s="41"/>
      <c r="HMX56" s="42"/>
      <c r="HNE56" s="33"/>
      <c r="HNF56" s="33"/>
      <c r="HNJ56" s="41"/>
      <c r="HNP56" s="42"/>
      <c r="HNW56" s="33"/>
      <c r="HNX56" s="33"/>
      <c r="HOB56" s="41"/>
      <c r="HOH56" s="42"/>
      <c r="HOO56" s="33"/>
      <c r="HOP56" s="33"/>
      <c r="HOT56" s="41"/>
      <c r="HOZ56" s="42"/>
      <c r="HPG56" s="33"/>
      <c r="HPH56" s="33"/>
      <c r="HPL56" s="41"/>
      <c r="HPR56" s="42"/>
      <c r="HPY56" s="33"/>
      <c r="HPZ56" s="33"/>
      <c r="HQD56" s="41"/>
      <c r="HQJ56" s="42"/>
      <c r="HQQ56" s="33"/>
      <c r="HQR56" s="33"/>
      <c r="HQV56" s="41"/>
      <c r="HRB56" s="42"/>
      <c r="HRI56" s="33"/>
      <c r="HRJ56" s="33"/>
      <c r="HRN56" s="41"/>
      <c r="HRT56" s="42"/>
      <c r="HSA56" s="33"/>
      <c r="HSB56" s="33"/>
      <c r="HSF56" s="41"/>
      <c r="HSL56" s="42"/>
      <c r="HSS56" s="33"/>
      <c r="HST56" s="33"/>
      <c r="HSX56" s="41"/>
      <c r="HTD56" s="42"/>
      <c r="HTK56" s="33"/>
      <c r="HTL56" s="33"/>
      <c r="HTP56" s="41"/>
      <c r="HTV56" s="42"/>
      <c r="HUC56" s="33"/>
      <c r="HUD56" s="33"/>
      <c r="HUH56" s="41"/>
      <c r="HUN56" s="42"/>
      <c r="HUU56" s="33"/>
      <c r="HUV56" s="33"/>
      <c r="HUZ56" s="41"/>
      <c r="HVF56" s="42"/>
      <c r="HVM56" s="33"/>
      <c r="HVN56" s="33"/>
      <c r="HVR56" s="41"/>
      <c r="HVX56" s="42"/>
      <c r="HWE56" s="33"/>
      <c r="HWF56" s="33"/>
      <c r="HWJ56" s="41"/>
      <c r="HWP56" s="42"/>
      <c r="HWW56" s="33"/>
      <c r="HWX56" s="33"/>
      <c r="HXB56" s="41"/>
      <c r="HXH56" s="42"/>
      <c r="HXO56" s="33"/>
      <c r="HXP56" s="33"/>
      <c r="HXT56" s="41"/>
      <c r="HXZ56" s="42"/>
      <c r="HYG56" s="33"/>
      <c r="HYH56" s="33"/>
      <c r="HYL56" s="41"/>
      <c r="HYR56" s="42"/>
      <c r="HYY56" s="33"/>
      <c r="HYZ56" s="33"/>
      <c r="HZD56" s="41"/>
      <c r="HZJ56" s="42"/>
      <c r="HZQ56" s="33"/>
      <c r="HZR56" s="33"/>
      <c r="HZV56" s="41"/>
      <c r="IAB56" s="42"/>
      <c r="IAI56" s="33"/>
      <c r="IAJ56" s="33"/>
      <c r="IAN56" s="41"/>
      <c r="IAT56" s="42"/>
      <c r="IBA56" s="33"/>
      <c r="IBB56" s="33"/>
      <c r="IBF56" s="41"/>
      <c r="IBL56" s="42"/>
      <c r="IBS56" s="33"/>
      <c r="IBT56" s="33"/>
      <c r="IBX56" s="41"/>
      <c r="ICD56" s="42"/>
      <c r="ICK56" s="33"/>
      <c r="ICL56" s="33"/>
      <c r="ICP56" s="41"/>
      <c r="ICV56" s="42"/>
      <c r="IDC56" s="33"/>
      <c r="IDD56" s="33"/>
      <c r="IDH56" s="41"/>
      <c r="IDN56" s="42"/>
      <c r="IDU56" s="33"/>
      <c r="IDV56" s="33"/>
      <c r="IDZ56" s="41"/>
      <c r="IEF56" s="42"/>
      <c r="IEM56" s="33"/>
      <c r="IEN56" s="33"/>
      <c r="IER56" s="41"/>
      <c r="IEX56" s="42"/>
      <c r="IFE56" s="33"/>
      <c r="IFF56" s="33"/>
      <c r="IFJ56" s="41"/>
      <c r="IFP56" s="42"/>
      <c r="IFW56" s="33"/>
      <c r="IFX56" s="33"/>
      <c r="IGB56" s="41"/>
      <c r="IGH56" s="42"/>
      <c r="IGO56" s="33"/>
      <c r="IGP56" s="33"/>
      <c r="IGT56" s="41"/>
      <c r="IGZ56" s="42"/>
      <c r="IHG56" s="33"/>
      <c r="IHH56" s="33"/>
      <c r="IHL56" s="41"/>
      <c r="IHR56" s="42"/>
      <c r="IHY56" s="33"/>
      <c r="IHZ56" s="33"/>
      <c r="IID56" s="41"/>
      <c r="IIJ56" s="42"/>
      <c r="IIQ56" s="33"/>
      <c r="IIR56" s="33"/>
      <c r="IIV56" s="41"/>
      <c r="IJB56" s="42"/>
      <c r="IJI56" s="33"/>
      <c r="IJJ56" s="33"/>
      <c r="IJN56" s="41"/>
      <c r="IJT56" s="42"/>
      <c r="IKA56" s="33"/>
      <c r="IKB56" s="33"/>
      <c r="IKF56" s="41"/>
      <c r="IKL56" s="42"/>
      <c r="IKS56" s="33"/>
      <c r="IKT56" s="33"/>
      <c r="IKX56" s="41"/>
      <c r="ILD56" s="42"/>
      <c r="ILK56" s="33"/>
      <c r="ILL56" s="33"/>
      <c r="ILP56" s="41"/>
      <c r="ILV56" s="42"/>
      <c r="IMC56" s="33"/>
      <c r="IMD56" s="33"/>
      <c r="IMH56" s="41"/>
      <c r="IMN56" s="42"/>
      <c r="IMU56" s="33"/>
      <c r="IMV56" s="33"/>
      <c r="IMZ56" s="41"/>
      <c r="INF56" s="42"/>
      <c r="INM56" s="33"/>
      <c r="INN56" s="33"/>
      <c r="INR56" s="41"/>
      <c r="INX56" s="42"/>
      <c r="IOE56" s="33"/>
      <c r="IOF56" s="33"/>
      <c r="IOJ56" s="41"/>
      <c r="IOP56" s="42"/>
      <c r="IOW56" s="33"/>
      <c r="IOX56" s="33"/>
      <c r="IPB56" s="41"/>
      <c r="IPH56" s="42"/>
      <c r="IPO56" s="33"/>
      <c r="IPP56" s="33"/>
      <c r="IPT56" s="41"/>
      <c r="IPZ56" s="42"/>
      <c r="IQG56" s="33"/>
      <c r="IQH56" s="33"/>
      <c r="IQL56" s="41"/>
      <c r="IQR56" s="42"/>
      <c r="IQY56" s="33"/>
      <c r="IQZ56" s="33"/>
      <c r="IRD56" s="41"/>
      <c r="IRJ56" s="42"/>
      <c r="IRQ56" s="33"/>
      <c r="IRR56" s="33"/>
      <c r="IRV56" s="41"/>
      <c r="ISB56" s="42"/>
      <c r="ISI56" s="33"/>
      <c r="ISJ56" s="33"/>
      <c r="ISN56" s="41"/>
      <c r="IST56" s="42"/>
      <c r="ITA56" s="33"/>
      <c r="ITB56" s="33"/>
      <c r="ITF56" s="41"/>
      <c r="ITL56" s="42"/>
      <c r="ITS56" s="33"/>
      <c r="ITT56" s="33"/>
      <c r="ITX56" s="41"/>
      <c r="IUD56" s="42"/>
      <c r="IUK56" s="33"/>
      <c r="IUL56" s="33"/>
      <c r="IUP56" s="41"/>
      <c r="IUV56" s="42"/>
      <c r="IVC56" s="33"/>
      <c r="IVD56" s="33"/>
      <c r="IVH56" s="41"/>
      <c r="IVN56" s="42"/>
      <c r="IVU56" s="33"/>
      <c r="IVV56" s="33"/>
      <c r="IVZ56" s="41"/>
      <c r="IWF56" s="42"/>
      <c r="IWM56" s="33"/>
      <c r="IWN56" s="33"/>
      <c r="IWR56" s="41"/>
      <c r="IWX56" s="42"/>
      <c r="IXE56" s="33"/>
      <c r="IXF56" s="33"/>
      <c r="IXJ56" s="41"/>
      <c r="IXP56" s="42"/>
      <c r="IXW56" s="33"/>
      <c r="IXX56" s="33"/>
      <c r="IYB56" s="41"/>
      <c r="IYH56" s="42"/>
      <c r="IYO56" s="33"/>
      <c r="IYP56" s="33"/>
      <c r="IYT56" s="41"/>
      <c r="IYZ56" s="42"/>
      <c r="IZG56" s="33"/>
      <c r="IZH56" s="33"/>
      <c r="IZL56" s="41"/>
      <c r="IZR56" s="42"/>
      <c r="IZY56" s="33"/>
      <c r="IZZ56" s="33"/>
      <c r="JAD56" s="41"/>
      <c r="JAJ56" s="42"/>
      <c r="JAQ56" s="33"/>
      <c r="JAR56" s="33"/>
      <c r="JAV56" s="41"/>
      <c r="JBB56" s="42"/>
      <c r="JBI56" s="33"/>
      <c r="JBJ56" s="33"/>
      <c r="JBN56" s="41"/>
      <c r="JBT56" s="42"/>
      <c r="JCA56" s="33"/>
      <c r="JCB56" s="33"/>
      <c r="JCF56" s="41"/>
      <c r="JCL56" s="42"/>
      <c r="JCS56" s="33"/>
      <c r="JCT56" s="33"/>
      <c r="JCX56" s="41"/>
      <c r="JDD56" s="42"/>
      <c r="JDK56" s="33"/>
      <c r="JDL56" s="33"/>
      <c r="JDP56" s="41"/>
      <c r="JDV56" s="42"/>
      <c r="JEC56" s="33"/>
      <c r="JED56" s="33"/>
      <c r="JEH56" s="41"/>
      <c r="JEN56" s="42"/>
      <c r="JEU56" s="33"/>
      <c r="JEV56" s="33"/>
      <c r="JEZ56" s="41"/>
      <c r="JFF56" s="42"/>
      <c r="JFM56" s="33"/>
      <c r="JFN56" s="33"/>
      <c r="JFR56" s="41"/>
      <c r="JFX56" s="42"/>
      <c r="JGE56" s="33"/>
      <c r="JGF56" s="33"/>
      <c r="JGJ56" s="41"/>
      <c r="JGP56" s="42"/>
      <c r="JGW56" s="33"/>
      <c r="JGX56" s="33"/>
      <c r="JHB56" s="41"/>
      <c r="JHH56" s="42"/>
      <c r="JHO56" s="33"/>
      <c r="JHP56" s="33"/>
      <c r="JHT56" s="41"/>
      <c r="JHZ56" s="42"/>
      <c r="JIG56" s="33"/>
      <c r="JIH56" s="33"/>
      <c r="JIL56" s="41"/>
      <c r="JIR56" s="42"/>
      <c r="JIY56" s="33"/>
      <c r="JIZ56" s="33"/>
      <c r="JJD56" s="41"/>
      <c r="JJJ56" s="42"/>
      <c r="JJQ56" s="33"/>
      <c r="JJR56" s="33"/>
      <c r="JJV56" s="41"/>
      <c r="JKB56" s="42"/>
      <c r="JKI56" s="33"/>
      <c r="JKJ56" s="33"/>
      <c r="JKN56" s="41"/>
      <c r="JKT56" s="42"/>
      <c r="JLA56" s="33"/>
      <c r="JLB56" s="33"/>
      <c r="JLF56" s="41"/>
      <c r="JLL56" s="42"/>
      <c r="JLS56" s="33"/>
      <c r="JLT56" s="33"/>
      <c r="JLX56" s="41"/>
      <c r="JMD56" s="42"/>
      <c r="JMK56" s="33"/>
      <c r="JML56" s="33"/>
      <c r="JMP56" s="41"/>
      <c r="JMV56" s="42"/>
      <c r="JNC56" s="33"/>
      <c r="JND56" s="33"/>
      <c r="JNH56" s="41"/>
      <c r="JNN56" s="42"/>
      <c r="JNU56" s="33"/>
      <c r="JNV56" s="33"/>
      <c r="JNZ56" s="41"/>
      <c r="JOF56" s="42"/>
      <c r="JOM56" s="33"/>
      <c r="JON56" s="33"/>
      <c r="JOR56" s="41"/>
      <c r="JOX56" s="42"/>
      <c r="JPE56" s="33"/>
      <c r="JPF56" s="33"/>
      <c r="JPJ56" s="41"/>
      <c r="JPP56" s="42"/>
      <c r="JPW56" s="33"/>
      <c r="JPX56" s="33"/>
      <c r="JQB56" s="41"/>
      <c r="JQH56" s="42"/>
      <c r="JQO56" s="33"/>
      <c r="JQP56" s="33"/>
      <c r="JQT56" s="41"/>
      <c r="JQZ56" s="42"/>
      <c r="JRG56" s="33"/>
      <c r="JRH56" s="33"/>
      <c r="JRL56" s="41"/>
      <c r="JRR56" s="42"/>
      <c r="JRY56" s="33"/>
      <c r="JRZ56" s="33"/>
      <c r="JSD56" s="41"/>
      <c r="JSJ56" s="42"/>
      <c r="JSQ56" s="33"/>
      <c r="JSR56" s="33"/>
      <c r="JSV56" s="41"/>
      <c r="JTB56" s="42"/>
      <c r="JTI56" s="33"/>
      <c r="JTJ56" s="33"/>
      <c r="JTN56" s="41"/>
      <c r="JTT56" s="42"/>
      <c r="JUA56" s="33"/>
      <c r="JUB56" s="33"/>
      <c r="JUF56" s="41"/>
      <c r="JUL56" s="42"/>
      <c r="JUS56" s="33"/>
      <c r="JUT56" s="33"/>
      <c r="JUX56" s="41"/>
      <c r="JVD56" s="42"/>
      <c r="JVK56" s="33"/>
      <c r="JVL56" s="33"/>
      <c r="JVP56" s="41"/>
      <c r="JVV56" s="42"/>
      <c r="JWC56" s="33"/>
      <c r="JWD56" s="33"/>
      <c r="JWH56" s="41"/>
      <c r="JWN56" s="42"/>
      <c r="JWU56" s="33"/>
      <c r="JWV56" s="33"/>
      <c r="JWZ56" s="41"/>
      <c r="JXF56" s="42"/>
      <c r="JXM56" s="33"/>
      <c r="JXN56" s="33"/>
      <c r="JXR56" s="41"/>
      <c r="JXX56" s="42"/>
      <c r="JYE56" s="33"/>
      <c r="JYF56" s="33"/>
      <c r="JYJ56" s="41"/>
      <c r="JYP56" s="42"/>
      <c r="JYW56" s="33"/>
      <c r="JYX56" s="33"/>
      <c r="JZB56" s="41"/>
      <c r="JZH56" s="42"/>
      <c r="JZO56" s="33"/>
      <c r="JZP56" s="33"/>
      <c r="JZT56" s="41"/>
      <c r="JZZ56" s="42"/>
      <c r="KAG56" s="33"/>
      <c r="KAH56" s="33"/>
      <c r="KAL56" s="41"/>
      <c r="KAR56" s="42"/>
      <c r="KAY56" s="33"/>
      <c r="KAZ56" s="33"/>
      <c r="KBD56" s="41"/>
      <c r="KBJ56" s="42"/>
      <c r="KBQ56" s="33"/>
      <c r="KBR56" s="33"/>
      <c r="KBV56" s="41"/>
      <c r="KCB56" s="42"/>
      <c r="KCI56" s="33"/>
      <c r="KCJ56" s="33"/>
      <c r="KCN56" s="41"/>
      <c r="KCT56" s="42"/>
      <c r="KDA56" s="33"/>
      <c r="KDB56" s="33"/>
      <c r="KDF56" s="41"/>
      <c r="KDL56" s="42"/>
      <c r="KDS56" s="33"/>
      <c r="KDT56" s="33"/>
      <c r="KDX56" s="41"/>
      <c r="KED56" s="42"/>
      <c r="KEK56" s="33"/>
      <c r="KEL56" s="33"/>
      <c r="KEP56" s="41"/>
      <c r="KEV56" s="42"/>
      <c r="KFC56" s="33"/>
      <c r="KFD56" s="33"/>
      <c r="KFH56" s="41"/>
      <c r="KFN56" s="42"/>
      <c r="KFU56" s="33"/>
      <c r="KFV56" s="33"/>
      <c r="KFZ56" s="41"/>
      <c r="KGF56" s="42"/>
      <c r="KGM56" s="33"/>
      <c r="KGN56" s="33"/>
      <c r="KGR56" s="41"/>
      <c r="KGX56" s="42"/>
      <c r="KHE56" s="33"/>
      <c r="KHF56" s="33"/>
      <c r="KHJ56" s="41"/>
      <c r="KHP56" s="42"/>
      <c r="KHW56" s="33"/>
      <c r="KHX56" s="33"/>
      <c r="KIB56" s="41"/>
      <c r="KIH56" s="42"/>
      <c r="KIO56" s="33"/>
      <c r="KIP56" s="33"/>
      <c r="KIT56" s="41"/>
      <c r="KIZ56" s="42"/>
      <c r="KJG56" s="33"/>
      <c r="KJH56" s="33"/>
      <c r="KJL56" s="41"/>
      <c r="KJR56" s="42"/>
      <c r="KJY56" s="33"/>
      <c r="KJZ56" s="33"/>
      <c r="KKD56" s="41"/>
      <c r="KKJ56" s="42"/>
      <c r="KKQ56" s="33"/>
      <c r="KKR56" s="33"/>
      <c r="KKV56" s="41"/>
      <c r="KLB56" s="42"/>
      <c r="KLI56" s="33"/>
      <c r="KLJ56" s="33"/>
      <c r="KLN56" s="41"/>
      <c r="KLT56" s="42"/>
      <c r="KMA56" s="33"/>
      <c r="KMB56" s="33"/>
      <c r="KMF56" s="41"/>
      <c r="KML56" s="42"/>
      <c r="KMS56" s="33"/>
      <c r="KMT56" s="33"/>
      <c r="KMX56" s="41"/>
      <c r="KND56" s="42"/>
      <c r="KNK56" s="33"/>
      <c r="KNL56" s="33"/>
      <c r="KNP56" s="41"/>
      <c r="KNV56" s="42"/>
      <c r="KOC56" s="33"/>
      <c r="KOD56" s="33"/>
      <c r="KOH56" s="41"/>
      <c r="KON56" s="42"/>
      <c r="KOU56" s="33"/>
      <c r="KOV56" s="33"/>
      <c r="KOZ56" s="41"/>
      <c r="KPF56" s="42"/>
      <c r="KPM56" s="33"/>
      <c r="KPN56" s="33"/>
      <c r="KPR56" s="41"/>
      <c r="KPX56" s="42"/>
      <c r="KQE56" s="33"/>
      <c r="KQF56" s="33"/>
      <c r="KQJ56" s="41"/>
      <c r="KQP56" s="42"/>
      <c r="KQW56" s="33"/>
      <c r="KQX56" s="33"/>
      <c r="KRB56" s="41"/>
      <c r="KRH56" s="42"/>
      <c r="KRO56" s="33"/>
      <c r="KRP56" s="33"/>
      <c r="KRT56" s="41"/>
      <c r="KRZ56" s="42"/>
      <c r="KSG56" s="33"/>
      <c r="KSH56" s="33"/>
      <c r="KSL56" s="41"/>
      <c r="KSR56" s="42"/>
      <c r="KSY56" s="33"/>
      <c r="KSZ56" s="33"/>
      <c r="KTD56" s="41"/>
      <c r="KTJ56" s="42"/>
      <c r="KTQ56" s="33"/>
      <c r="KTR56" s="33"/>
      <c r="KTV56" s="41"/>
      <c r="KUB56" s="42"/>
      <c r="KUI56" s="33"/>
      <c r="KUJ56" s="33"/>
      <c r="KUN56" s="41"/>
      <c r="KUT56" s="42"/>
      <c r="KVA56" s="33"/>
      <c r="KVB56" s="33"/>
      <c r="KVF56" s="41"/>
      <c r="KVL56" s="42"/>
      <c r="KVS56" s="33"/>
      <c r="KVT56" s="33"/>
      <c r="KVX56" s="41"/>
      <c r="KWD56" s="42"/>
      <c r="KWK56" s="33"/>
      <c r="KWL56" s="33"/>
      <c r="KWP56" s="41"/>
      <c r="KWV56" s="42"/>
      <c r="KXC56" s="33"/>
      <c r="KXD56" s="33"/>
      <c r="KXH56" s="41"/>
      <c r="KXN56" s="42"/>
      <c r="KXU56" s="33"/>
      <c r="KXV56" s="33"/>
      <c r="KXZ56" s="41"/>
      <c r="KYF56" s="42"/>
      <c r="KYM56" s="33"/>
      <c r="KYN56" s="33"/>
      <c r="KYR56" s="41"/>
      <c r="KYX56" s="42"/>
      <c r="KZE56" s="33"/>
      <c r="KZF56" s="33"/>
      <c r="KZJ56" s="41"/>
      <c r="KZP56" s="42"/>
      <c r="KZW56" s="33"/>
      <c r="KZX56" s="33"/>
      <c r="LAB56" s="41"/>
      <c r="LAH56" s="42"/>
      <c r="LAO56" s="33"/>
      <c r="LAP56" s="33"/>
      <c r="LAT56" s="41"/>
      <c r="LAZ56" s="42"/>
      <c r="LBG56" s="33"/>
      <c r="LBH56" s="33"/>
      <c r="LBL56" s="41"/>
      <c r="LBR56" s="42"/>
      <c r="LBY56" s="33"/>
      <c r="LBZ56" s="33"/>
      <c r="LCD56" s="41"/>
      <c r="LCJ56" s="42"/>
      <c r="LCQ56" s="33"/>
      <c r="LCR56" s="33"/>
      <c r="LCV56" s="41"/>
      <c r="LDB56" s="42"/>
      <c r="LDI56" s="33"/>
      <c r="LDJ56" s="33"/>
      <c r="LDN56" s="41"/>
      <c r="LDT56" s="42"/>
      <c r="LEA56" s="33"/>
      <c r="LEB56" s="33"/>
      <c r="LEF56" s="41"/>
      <c r="LEL56" s="42"/>
      <c r="LES56" s="33"/>
      <c r="LET56" s="33"/>
      <c r="LEX56" s="41"/>
      <c r="LFD56" s="42"/>
      <c r="LFK56" s="33"/>
      <c r="LFL56" s="33"/>
      <c r="LFP56" s="41"/>
      <c r="LFV56" s="42"/>
      <c r="LGC56" s="33"/>
      <c r="LGD56" s="33"/>
      <c r="LGH56" s="41"/>
      <c r="LGN56" s="42"/>
      <c r="LGU56" s="33"/>
      <c r="LGV56" s="33"/>
      <c r="LGZ56" s="41"/>
      <c r="LHF56" s="42"/>
      <c r="LHM56" s="33"/>
      <c r="LHN56" s="33"/>
      <c r="LHR56" s="41"/>
      <c r="LHX56" s="42"/>
      <c r="LIE56" s="33"/>
      <c r="LIF56" s="33"/>
      <c r="LIJ56" s="41"/>
      <c r="LIP56" s="42"/>
      <c r="LIW56" s="33"/>
      <c r="LIX56" s="33"/>
      <c r="LJB56" s="41"/>
      <c r="LJH56" s="42"/>
      <c r="LJO56" s="33"/>
      <c r="LJP56" s="33"/>
      <c r="LJT56" s="41"/>
      <c r="LJZ56" s="42"/>
      <c r="LKG56" s="33"/>
      <c r="LKH56" s="33"/>
      <c r="LKL56" s="41"/>
      <c r="LKR56" s="42"/>
      <c r="LKY56" s="33"/>
      <c r="LKZ56" s="33"/>
      <c r="LLD56" s="41"/>
      <c r="LLJ56" s="42"/>
      <c r="LLQ56" s="33"/>
      <c r="LLR56" s="33"/>
      <c r="LLV56" s="41"/>
      <c r="LMB56" s="42"/>
      <c r="LMI56" s="33"/>
      <c r="LMJ56" s="33"/>
      <c r="LMN56" s="41"/>
      <c r="LMT56" s="42"/>
      <c r="LNA56" s="33"/>
      <c r="LNB56" s="33"/>
      <c r="LNF56" s="41"/>
      <c r="LNL56" s="42"/>
      <c r="LNS56" s="33"/>
      <c r="LNT56" s="33"/>
      <c r="LNX56" s="41"/>
      <c r="LOD56" s="42"/>
      <c r="LOK56" s="33"/>
      <c r="LOL56" s="33"/>
      <c r="LOP56" s="41"/>
      <c r="LOV56" s="42"/>
      <c r="LPC56" s="33"/>
      <c r="LPD56" s="33"/>
      <c r="LPH56" s="41"/>
      <c r="LPN56" s="42"/>
      <c r="LPU56" s="33"/>
      <c r="LPV56" s="33"/>
      <c r="LPZ56" s="41"/>
      <c r="LQF56" s="42"/>
      <c r="LQM56" s="33"/>
      <c r="LQN56" s="33"/>
      <c r="LQR56" s="41"/>
      <c r="LQX56" s="42"/>
      <c r="LRE56" s="33"/>
      <c r="LRF56" s="33"/>
      <c r="LRJ56" s="41"/>
      <c r="LRP56" s="42"/>
      <c r="LRW56" s="33"/>
      <c r="LRX56" s="33"/>
      <c r="LSB56" s="41"/>
      <c r="LSH56" s="42"/>
      <c r="LSO56" s="33"/>
      <c r="LSP56" s="33"/>
      <c r="LST56" s="41"/>
      <c r="LSZ56" s="42"/>
      <c r="LTG56" s="33"/>
      <c r="LTH56" s="33"/>
      <c r="LTL56" s="41"/>
      <c r="LTR56" s="42"/>
      <c r="LTY56" s="33"/>
      <c r="LTZ56" s="33"/>
      <c r="LUD56" s="41"/>
      <c r="LUJ56" s="42"/>
      <c r="LUQ56" s="33"/>
      <c r="LUR56" s="33"/>
      <c r="LUV56" s="41"/>
      <c r="LVB56" s="42"/>
      <c r="LVI56" s="33"/>
      <c r="LVJ56" s="33"/>
      <c r="LVN56" s="41"/>
      <c r="LVT56" s="42"/>
      <c r="LWA56" s="33"/>
      <c r="LWB56" s="33"/>
      <c r="LWF56" s="41"/>
      <c r="LWL56" s="42"/>
      <c r="LWS56" s="33"/>
      <c r="LWT56" s="33"/>
      <c r="LWX56" s="41"/>
      <c r="LXD56" s="42"/>
      <c r="LXK56" s="33"/>
      <c r="LXL56" s="33"/>
      <c r="LXP56" s="41"/>
      <c r="LXV56" s="42"/>
      <c r="LYC56" s="33"/>
      <c r="LYD56" s="33"/>
      <c r="LYH56" s="41"/>
      <c r="LYN56" s="42"/>
      <c r="LYU56" s="33"/>
      <c r="LYV56" s="33"/>
      <c r="LYZ56" s="41"/>
      <c r="LZF56" s="42"/>
      <c r="LZM56" s="33"/>
      <c r="LZN56" s="33"/>
      <c r="LZR56" s="41"/>
      <c r="LZX56" s="42"/>
      <c r="MAE56" s="33"/>
      <c r="MAF56" s="33"/>
      <c r="MAJ56" s="41"/>
      <c r="MAP56" s="42"/>
      <c r="MAW56" s="33"/>
      <c r="MAX56" s="33"/>
      <c r="MBB56" s="41"/>
      <c r="MBH56" s="42"/>
      <c r="MBO56" s="33"/>
      <c r="MBP56" s="33"/>
      <c r="MBT56" s="41"/>
      <c r="MBZ56" s="42"/>
      <c r="MCG56" s="33"/>
      <c r="MCH56" s="33"/>
      <c r="MCL56" s="41"/>
      <c r="MCR56" s="42"/>
      <c r="MCY56" s="33"/>
      <c r="MCZ56" s="33"/>
      <c r="MDD56" s="41"/>
      <c r="MDJ56" s="42"/>
      <c r="MDQ56" s="33"/>
      <c r="MDR56" s="33"/>
      <c r="MDV56" s="41"/>
      <c r="MEB56" s="42"/>
      <c r="MEI56" s="33"/>
      <c r="MEJ56" s="33"/>
      <c r="MEN56" s="41"/>
      <c r="MET56" s="42"/>
      <c r="MFA56" s="33"/>
      <c r="MFB56" s="33"/>
      <c r="MFF56" s="41"/>
      <c r="MFL56" s="42"/>
      <c r="MFS56" s="33"/>
      <c r="MFT56" s="33"/>
      <c r="MFX56" s="41"/>
      <c r="MGD56" s="42"/>
      <c r="MGK56" s="33"/>
      <c r="MGL56" s="33"/>
      <c r="MGP56" s="41"/>
      <c r="MGV56" s="42"/>
      <c r="MHC56" s="33"/>
      <c r="MHD56" s="33"/>
      <c r="MHH56" s="41"/>
      <c r="MHN56" s="42"/>
      <c r="MHU56" s="33"/>
      <c r="MHV56" s="33"/>
      <c r="MHZ56" s="41"/>
      <c r="MIF56" s="42"/>
      <c r="MIM56" s="33"/>
      <c r="MIN56" s="33"/>
      <c r="MIR56" s="41"/>
      <c r="MIX56" s="42"/>
      <c r="MJE56" s="33"/>
      <c r="MJF56" s="33"/>
      <c r="MJJ56" s="41"/>
      <c r="MJP56" s="42"/>
      <c r="MJW56" s="33"/>
      <c r="MJX56" s="33"/>
      <c r="MKB56" s="41"/>
      <c r="MKH56" s="42"/>
      <c r="MKO56" s="33"/>
      <c r="MKP56" s="33"/>
      <c r="MKT56" s="41"/>
      <c r="MKZ56" s="42"/>
      <c r="MLG56" s="33"/>
      <c r="MLH56" s="33"/>
      <c r="MLL56" s="41"/>
      <c r="MLR56" s="42"/>
      <c r="MLY56" s="33"/>
      <c r="MLZ56" s="33"/>
      <c r="MMD56" s="41"/>
      <c r="MMJ56" s="42"/>
      <c r="MMQ56" s="33"/>
      <c r="MMR56" s="33"/>
      <c r="MMV56" s="41"/>
      <c r="MNB56" s="42"/>
      <c r="MNI56" s="33"/>
      <c r="MNJ56" s="33"/>
      <c r="MNN56" s="41"/>
      <c r="MNT56" s="42"/>
      <c r="MOA56" s="33"/>
      <c r="MOB56" s="33"/>
      <c r="MOF56" s="41"/>
      <c r="MOL56" s="42"/>
      <c r="MOS56" s="33"/>
      <c r="MOT56" s="33"/>
      <c r="MOX56" s="41"/>
      <c r="MPD56" s="42"/>
      <c r="MPK56" s="33"/>
      <c r="MPL56" s="33"/>
      <c r="MPP56" s="41"/>
      <c r="MPV56" s="42"/>
      <c r="MQC56" s="33"/>
      <c r="MQD56" s="33"/>
      <c r="MQH56" s="41"/>
      <c r="MQN56" s="42"/>
      <c r="MQU56" s="33"/>
      <c r="MQV56" s="33"/>
      <c r="MQZ56" s="41"/>
      <c r="MRF56" s="42"/>
      <c r="MRM56" s="33"/>
      <c r="MRN56" s="33"/>
      <c r="MRR56" s="41"/>
      <c r="MRX56" s="42"/>
      <c r="MSE56" s="33"/>
      <c r="MSF56" s="33"/>
      <c r="MSJ56" s="41"/>
      <c r="MSP56" s="42"/>
      <c r="MSW56" s="33"/>
      <c r="MSX56" s="33"/>
      <c r="MTB56" s="41"/>
      <c r="MTH56" s="42"/>
      <c r="MTO56" s="33"/>
      <c r="MTP56" s="33"/>
      <c r="MTT56" s="41"/>
      <c r="MTZ56" s="42"/>
      <c r="MUG56" s="33"/>
      <c r="MUH56" s="33"/>
      <c r="MUL56" s="41"/>
      <c r="MUR56" s="42"/>
      <c r="MUY56" s="33"/>
      <c r="MUZ56" s="33"/>
      <c r="MVD56" s="41"/>
      <c r="MVJ56" s="42"/>
      <c r="MVQ56" s="33"/>
      <c r="MVR56" s="33"/>
      <c r="MVV56" s="41"/>
      <c r="MWB56" s="42"/>
      <c r="MWI56" s="33"/>
      <c r="MWJ56" s="33"/>
      <c r="MWN56" s="41"/>
      <c r="MWT56" s="42"/>
      <c r="MXA56" s="33"/>
      <c r="MXB56" s="33"/>
      <c r="MXF56" s="41"/>
      <c r="MXL56" s="42"/>
      <c r="MXS56" s="33"/>
      <c r="MXT56" s="33"/>
      <c r="MXX56" s="41"/>
      <c r="MYD56" s="42"/>
      <c r="MYK56" s="33"/>
      <c r="MYL56" s="33"/>
      <c r="MYP56" s="41"/>
      <c r="MYV56" s="42"/>
      <c r="MZC56" s="33"/>
      <c r="MZD56" s="33"/>
      <c r="MZH56" s="41"/>
      <c r="MZN56" s="42"/>
      <c r="MZU56" s="33"/>
      <c r="MZV56" s="33"/>
      <c r="MZZ56" s="41"/>
      <c r="NAF56" s="42"/>
      <c r="NAM56" s="33"/>
      <c r="NAN56" s="33"/>
      <c r="NAR56" s="41"/>
      <c r="NAX56" s="42"/>
      <c r="NBE56" s="33"/>
      <c r="NBF56" s="33"/>
      <c r="NBJ56" s="41"/>
      <c r="NBP56" s="42"/>
      <c r="NBW56" s="33"/>
      <c r="NBX56" s="33"/>
      <c r="NCB56" s="41"/>
      <c r="NCH56" s="42"/>
      <c r="NCO56" s="33"/>
      <c r="NCP56" s="33"/>
      <c r="NCT56" s="41"/>
      <c r="NCZ56" s="42"/>
      <c r="NDG56" s="33"/>
      <c r="NDH56" s="33"/>
      <c r="NDL56" s="41"/>
      <c r="NDR56" s="42"/>
      <c r="NDY56" s="33"/>
      <c r="NDZ56" s="33"/>
      <c r="NED56" s="41"/>
      <c r="NEJ56" s="42"/>
      <c r="NEQ56" s="33"/>
      <c r="NER56" s="33"/>
      <c r="NEV56" s="41"/>
      <c r="NFB56" s="42"/>
      <c r="NFI56" s="33"/>
      <c r="NFJ56" s="33"/>
      <c r="NFN56" s="41"/>
      <c r="NFT56" s="42"/>
      <c r="NGA56" s="33"/>
      <c r="NGB56" s="33"/>
      <c r="NGF56" s="41"/>
      <c r="NGL56" s="42"/>
      <c r="NGS56" s="33"/>
      <c r="NGT56" s="33"/>
      <c r="NGX56" s="41"/>
      <c r="NHD56" s="42"/>
      <c r="NHK56" s="33"/>
      <c r="NHL56" s="33"/>
      <c r="NHP56" s="41"/>
      <c r="NHV56" s="42"/>
      <c r="NIC56" s="33"/>
      <c r="NID56" s="33"/>
      <c r="NIH56" s="41"/>
      <c r="NIN56" s="42"/>
      <c r="NIU56" s="33"/>
      <c r="NIV56" s="33"/>
      <c r="NIZ56" s="41"/>
      <c r="NJF56" s="42"/>
      <c r="NJM56" s="33"/>
      <c r="NJN56" s="33"/>
      <c r="NJR56" s="41"/>
      <c r="NJX56" s="42"/>
      <c r="NKE56" s="33"/>
      <c r="NKF56" s="33"/>
      <c r="NKJ56" s="41"/>
      <c r="NKP56" s="42"/>
      <c r="NKW56" s="33"/>
      <c r="NKX56" s="33"/>
      <c r="NLB56" s="41"/>
      <c r="NLH56" s="42"/>
      <c r="NLO56" s="33"/>
      <c r="NLP56" s="33"/>
      <c r="NLT56" s="41"/>
      <c r="NLZ56" s="42"/>
      <c r="NMG56" s="33"/>
      <c r="NMH56" s="33"/>
      <c r="NML56" s="41"/>
      <c r="NMR56" s="42"/>
      <c r="NMY56" s="33"/>
      <c r="NMZ56" s="33"/>
      <c r="NND56" s="41"/>
      <c r="NNJ56" s="42"/>
      <c r="NNQ56" s="33"/>
      <c r="NNR56" s="33"/>
      <c r="NNV56" s="41"/>
      <c r="NOB56" s="42"/>
      <c r="NOI56" s="33"/>
      <c r="NOJ56" s="33"/>
      <c r="NON56" s="41"/>
      <c r="NOT56" s="42"/>
      <c r="NPA56" s="33"/>
      <c r="NPB56" s="33"/>
      <c r="NPF56" s="41"/>
      <c r="NPL56" s="42"/>
      <c r="NPS56" s="33"/>
      <c r="NPT56" s="33"/>
      <c r="NPX56" s="41"/>
      <c r="NQD56" s="42"/>
      <c r="NQK56" s="33"/>
      <c r="NQL56" s="33"/>
      <c r="NQP56" s="41"/>
      <c r="NQV56" s="42"/>
      <c r="NRC56" s="33"/>
      <c r="NRD56" s="33"/>
      <c r="NRH56" s="41"/>
      <c r="NRN56" s="42"/>
      <c r="NRU56" s="33"/>
      <c r="NRV56" s="33"/>
      <c r="NRZ56" s="41"/>
      <c r="NSF56" s="42"/>
      <c r="NSM56" s="33"/>
      <c r="NSN56" s="33"/>
      <c r="NSR56" s="41"/>
      <c r="NSX56" s="42"/>
      <c r="NTE56" s="33"/>
      <c r="NTF56" s="33"/>
      <c r="NTJ56" s="41"/>
      <c r="NTP56" s="42"/>
      <c r="NTW56" s="33"/>
      <c r="NTX56" s="33"/>
      <c r="NUB56" s="41"/>
      <c r="NUH56" s="42"/>
      <c r="NUO56" s="33"/>
      <c r="NUP56" s="33"/>
      <c r="NUT56" s="41"/>
      <c r="NUZ56" s="42"/>
      <c r="NVG56" s="33"/>
      <c r="NVH56" s="33"/>
      <c r="NVL56" s="41"/>
      <c r="NVR56" s="42"/>
      <c r="NVY56" s="33"/>
      <c r="NVZ56" s="33"/>
      <c r="NWD56" s="41"/>
      <c r="NWJ56" s="42"/>
      <c r="NWQ56" s="33"/>
      <c r="NWR56" s="33"/>
      <c r="NWV56" s="41"/>
      <c r="NXB56" s="42"/>
      <c r="NXI56" s="33"/>
      <c r="NXJ56" s="33"/>
      <c r="NXN56" s="41"/>
      <c r="NXT56" s="42"/>
      <c r="NYA56" s="33"/>
      <c r="NYB56" s="33"/>
      <c r="NYF56" s="41"/>
      <c r="NYL56" s="42"/>
      <c r="NYS56" s="33"/>
      <c r="NYT56" s="33"/>
      <c r="NYX56" s="41"/>
      <c r="NZD56" s="42"/>
      <c r="NZK56" s="33"/>
      <c r="NZL56" s="33"/>
      <c r="NZP56" s="41"/>
      <c r="NZV56" s="42"/>
      <c r="OAC56" s="33"/>
      <c r="OAD56" s="33"/>
      <c r="OAH56" s="41"/>
      <c r="OAN56" s="42"/>
      <c r="OAU56" s="33"/>
      <c r="OAV56" s="33"/>
      <c r="OAZ56" s="41"/>
      <c r="OBF56" s="42"/>
      <c r="OBM56" s="33"/>
      <c r="OBN56" s="33"/>
      <c r="OBR56" s="41"/>
      <c r="OBX56" s="42"/>
      <c r="OCE56" s="33"/>
      <c r="OCF56" s="33"/>
      <c r="OCJ56" s="41"/>
      <c r="OCP56" s="42"/>
      <c r="OCW56" s="33"/>
      <c r="OCX56" s="33"/>
      <c r="ODB56" s="41"/>
      <c r="ODH56" s="42"/>
      <c r="ODO56" s="33"/>
      <c r="ODP56" s="33"/>
      <c r="ODT56" s="41"/>
      <c r="ODZ56" s="42"/>
      <c r="OEG56" s="33"/>
      <c r="OEH56" s="33"/>
      <c r="OEL56" s="41"/>
      <c r="OER56" s="42"/>
      <c r="OEY56" s="33"/>
      <c r="OEZ56" s="33"/>
      <c r="OFD56" s="41"/>
      <c r="OFJ56" s="42"/>
      <c r="OFQ56" s="33"/>
      <c r="OFR56" s="33"/>
      <c r="OFV56" s="41"/>
      <c r="OGB56" s="42"/>
      <c r="OGI56" s="33"/>
      <c r="OGJ56" s="33"/>
      <c r="OGN56" s="41"/>
      <c r="OGT56" s="42"/>
      <c r="OHA56" s="33"/>
      <c r="OHB56" s="33"/>
      <c r="OHF56" s="41"/>
      <c r="OHL56" s="42"/>
      <c r="OHS56" s="33"/>
      <c r="OHT56" s="33"/>
      <c r="OHX56" s="41"/>
      <c r="OID56" s="42"/>
      <c r="OIK56" s="33"/>
      <c r="OIL56" s="33"/>
      <c r="OIP56" s="41"/>
      <c r="OIV56" s="42"/>
      <c r="OJC56" s="33"/>
      <c r="OJD56" s="33"/>
      <c r="OJH56" s="41"/>
      <c r="OJN56" s="42"/>
      <c r="OJU56" s="33"/>
      <c r="OJV56" s="33"/>
      <c r="OJZ56" s="41"/>
      <c r="OKF56" s="42"/>
      <c r="OKM56" s="33"/>
      <c r="OKN56" s="33"/>
      <c r="OKR56" s="41"/>
      <c r="OKX56" s="42"/>
      <c r="OLE56" s="33"/>
      <c r="OLF56" s="33"/>
      <c r="OLJ56" s="41"/>
      <c r="OLP56" s="42"/>
      <c r="OLW56" s="33"/>
      <c r="OLX56" s="33"/>
      <c r="OMB56" s="41"/>
      <c r="OMH56" s="42"/>
      <c r="OMO56" s="33"/>
      <c r="OMP56" s="33"/>
      <c r="OMT56" s="41"/>
      <c r="OMZ56" s="42"/>
      <c r="ONG56" s="33"/>
      <c r="ONH56" s="33"/>
      <c r="ONL56" s="41"/>
      <c r="ONR56" s="42"/>
      <c r="ONY56" s="33"/>
      <c r="ONZ56" s="33"/>
      <c r="OOD56" s="41"/>
      <c r="OOJ56" s="42"/>
      <c r="OOQ56" s="33"/>
      <c r="OOR56" s="33"/>
      <c r="OOV56" s="41"/>
      <c r="OPB56" s="42"/>
      <c r="OPI56" s="33"/>
      <c r="OPJ56" s="33"/>
      <c r="OPN56" s="41"/>
      <c r="OPT56" s="42"/>
      <c r="OQA56" s="33"/>
      <c r="OQB56" s="33"/>
      <c r="OQF56" s="41"/>
      <c r="OQL56" s="42"/>
      <c r="OQS56" s="33"/>
      <c r="OQT56" s="33"/>
      <c r="OQX56" s="41"/>
      <c r="ORD56" s="42"/>
      <c r="ORK56" s="33"/>
      <c r="ORL56" s="33"/>
      <c r="ORP56" s="41"/>
      <c r="ORV56" s="42"/>
      <c r="OSC56" s="33"/>
      <c r="OSD56" s="33"/>
      <c r="OSH56" s="41"/>
      <c r="OSN56" s="42"/>
      <c r="OSU56" s="33"/>
      <c r="OSV56" s="33"/>
      <c r="OSZ56" s="41"/>
      <c r="OTF56" s="42"/>
      <c r="OTM56" s="33"/>
      <c r="OTN56" s="33"/>
      <c r="OTR56" s="41"/>
      <c r="OTX56" s="42"/>
      <c r="OUE56" s="33"/>
      <c r="OUF56" s="33"/>
      <c r="OUJ56" s="41"/>
      <c r="OUP56" s="42"/>
      <c r="OUW56" s="33"/>
      <c r="OUX56" s="33"/>
      <c r="OVB56" s="41"/>
      <c r="OVH56" s="42"/>
      <c r="OVO56" s="33"/>
      <c r="OVP56" s="33"/>
      <c r="OVT56" s="41"/>
      <c r="OVZ56" s="42"/>
      <c r="OWG56" s="33"/>
      <c r="OWH56" s="33"/>
      <c r="OWL56" s="41"/>
      <c r="OWR56" s="42"/>
      <c r="OWY56" s="33"/>
      <c r="OWZ56" s="33"/>
      <c r="OXD56" s="41"/>
      <c r="OXJ56" s="42"/>
      <c r="OXQ56" s="33"/>
      <c r="OXR56" s="33"/>
      <c r="OXV56" s="41"/>
      <c r="OYB56" s="42"/>
      <c r="OYI56" s="33"/>
      <c r="OYJ56" s="33"/>
      <c r="OYN56" s="41"/>
      <c r="OYT56" s="42"/>
      <c r="OZA56" s="33"/>
      <c r="OZB56" s="33"/>
      <c r="OZF56" s="41"/>
      <c r="OZL56" s="42"/>
      <c r="OZS56" s="33"/>
      <c r="OZT56" s="33"/>
      <c r="OZX56" s="41"/>
      <c r="PAD56" s="42"/>
      <c r="PAK56" s="33"/>
      <c r="PAL56" s="33"/>
      <c r="PAP56" s="41"/>
      <c r="PAV56" s="42"/>
      <c r="PBC56" s="33"/>
      <c r="PBD56" s="33"/>
      <c r="PBH56" s="41"/>
      <c r="PBN56" s="42"/>
      <c r="PBU56" s="33"/>
      <c r="PBV56" s="33"/>
      <c r="PBZ56" s="41"/>
      <c r="PCF56" s="42"/>
      <c r="PCM56" s="33"/>
      <c r="PCN56" s="33"/>
      <c r="PCR56" s="41"/>
      <c r="PCX56" s="42"/>
      <c r="PDE56" s="33"/>
      <c r="PDF56" s="33"/>
      <c r="PDJ56" s="41"/>
      <c r="PDP56" s="42"/>
      <c r="PDW56" s="33"/>
      <c r="PDX56" s="33"/>
      <c r="PEB56" s="41"/>
      <c r="PEH56" s="42"/>
      <c r="PEO56" s="33"/>
      <c r="PEP56" s="33"/>
      <c r="PET56" s="41"/>
      <c r="PEZ56" s="42"/>
      <c r="PFG56" s="33"/>
      <c r="PFH56" s="33"/>
      <c r="PFL56" s="41"/>
      <c r="PFR56" s="42"/>
      <c r="PFY56" s="33"/>
      <c r="PFZ56" s="33"/>
      <c r="PGD56" s="41"/>
      <c r="PGJ56" s="42"/>
      <c r="PGQ56" s="33"/>
      <c r="PGR56" s="33"/>
      <c r="PGV56" s="41"/>
      <c r="PHB56" s="42"/>
      <c r="PHI56" s="33"/>
      <c r="PHJ56" s="33"/>
      <c r="PHN56" s="41"/>
      <c r="PHT56" s="42"/>
      <c r="PIA56" s="33"/>
      <c r="PIB56" s="33"/>
      <c r="PIF56" s="41"/>
      <c r="PIL56" s="42"/>
      <c r="PIS56" s="33"/>
      <c r="PIT56" s="33"/>
      <c r="PIX56" s="41"/>
      <c r="PJD56" s="42"/>
      <c r="PJK56" s="33"/>
      <c r="PJL56" s="33"/>
      <c r="PJP56" s="41"/>
      <c r="PJV56" s="42"/>
      <c r="PKC56" s="33"/>
      <c r="PKD56" s="33"/>
      <c r="PKH56" s="41"/>
      <c r="PKN56" s="42"/>
      <c r="PKU56" s="33"/>
      <c r="PKV56" s="33"/>
      <c r="PKZ56" s="41"/>
      <c r="PLF56" s="42"/>
      <c r="PLM56" s="33"/>
      <c r="PLN56" s="33"/>
      <c r="PLR56" s="41"/>
      <c r="PLX56" s="42"/>
      <c r="PME56" s="33"/>
      <c r="PMF56" s="33"/>
      <c r="PMJ56" s="41"/>
      <c r="PMP56" s="42"/>
      <c r="PMW56" s="33"/>
      <c r="PMX56" s="33"/>
      <c r="PNB56" s="41"/>
      <c r="PNH56" s="42"/>
      <c r="PNO56" s="33"/>
      <c r="PNP56" s="33"/>
      <c r="PNT56" s="41"/>
      <c r="PNZ56" s="42"/>
      <c r="POG56" s="33"/>
      <c r="POH56" s="33"/>
      <c r="POL56" s="41"/>
      <c r="POR56" s="42"/>
      <c r="POY56" s="33"/>
      <c r="POZ56" s="33"/>
      <c r="PPD56" s="41"/>
      <c r="PPJ56" s="42"/>
      <c r="PPQ56" s="33"/>
      <c r="PPR56" s="33"/>
      <c r="PPV56" s="41"/>
      <c r="PQB56" s="42"/>
      <c r="PQI56" s="33"/>
      <c r="PQJ56" s="33"/>
      <c r="PQN56" s="41"/>
      <c r="PQT56" s="42"/>
      <c r="PRA56" s="33"/>
      <c r="PRB56" s="33"/>
      <c r="PRF56" s="41"/>
      <c r="PRL56" s="42"/>
      <c r="PRS56" s="33"/>
      <c r="PRT56" s="33"/>
      <c r="PRX56" s="41"/>
      <c r="PSD56" s="42"/>
      <c r="PSK56" s="33"/>
      <c r="PSL56" s="33"/>
      <c r="PSP56" s="41"/>
      <c r="PSV56" s="42"/>
      <c r="PTC56" s="33"/>
      <c r="PTD56" s="33"/>
      <c r="PTH56" s="41"/>
      <c r="PTN56" s="42"/>
      <c r="PTU56" s="33"/>
      <c r="PTV56" s="33"/>
      <c r="PTZ56" s="41"/>
      <c r="PUF56" s="42"/>
      <c r="PUM56" s="33"/>
      <c r="PUN56" s="33"/>
      <c r="PUR56" s="41"/>
      <c r="PUX56" s="42"/>
      <c r="PVE56" s="33"/>
      <c r="PVF56" s="33"/>
      <c r="PVJ56" s="41"/>
      <c r="PVP56" s="42"/>
      <c r="PVW56" s="33"/>
      <c r="PVX56" s="33"/>
      <c r="PWB56" s="41"/>
      <c r="PWH56" s="42"/>
      <c r="PWO56" s="33"/>
      <c r="PWP56" s="33"/>
      <c r="PWT56" s="41"/>
      <c r="PWZ56" s="42"/>
      <c r="PXG56" s="33"/>
      <c r="PXH56" s="33"/>
      <c r="PXL56" s="41"/>
      <c r="PXR56" s="42"/>
      <c r="PXY56" s="33"/>
      <c r="PXZ56" s="33"/>
      <c r="PYD56" s="41"/>
      <c r="PYJ56" s="42"/>
      <c r="PYQ56" s="33"/>
      <c r="PYR56" s="33"/>
      <c r="PYV56" s="41"/>
      <c r="PZB56" s="42"/>
      <c r="PZI56" s="33"/>
      <c r="PZJ56" s="33"/>
      <c r="PZN56" s="41"/>
      <c r="PZT56" s="42"/>
      <c r="QAA56" s="33"/>
      <c r="QAB56" s="33"/>
      <c r="QAF56" s="41"/>
      <c r="QAL56" s="42"/>
      <c r="QAS56" s="33"/>
      <c r="QAT56" s="33"/>
      <c r="QAX56" s="41"/>
      <c r="QBD56" s="42"/>
      <c r="QBK56" s="33"/>
      <c r="QBL56" s="33"/>
      <c r="QBP56" s="41"/>
      <c r="QBV56" s="42"/>
      <c r="QCC56" s="33"/>
      <c r="QCD56" s="33"/>
      <c r="QCH56" s="41"/>
      <c r="QCN56" s="42"/>
      <c r="QCU56" s="33"/>
      <c r="QCV56" s="33"/>
      <c r="QCZ56" s="41"/>
      <c r="QDF56" s="42"/>
      <c r="QDM56" s="33"/>
      <c r="QDN56" s="33"/>
      <c r="QDR56" s="41"/>
      <c r="QDX56" s="42"/>
      <c r="QEE56" s="33"/>
      <c r="QEF56" s="33"/>
      <c r="QEJ56" s="41"/>
      <c r="QEP56" s="42"/>
      <c r="QEW56" s="33"/>
      <c r="QEX56" s="33"/>
      <c r="QFB56" s="41"/>
      <c r="QFH56" s="42"/>
      <c r="QFO56" s="33"/>
      <c r="QFP56" s="33"/>
      <c r="QFT56" s="41"/>
      <c r="QFZ56" s="42"/>
      <c r="QGG56" s="33"/>
      <c r="QGH56" s="33"/>
      <c r="QGL56" s="41"/>
      <c r="QGR56" s="42"/>
      <c r="QGY56" s="33"/>
      <c r="QGZ56" s="33"/>
      <c r="QHD56" s="41"/>
      <c r="QHJ56" s="42"/>
      <c r="QHQ56" s="33"/>
      <c r="QHR56" s="33"/>
      <c r="QHV56" s="41"/>
      <c r="QIB56" s="42"/>
      <c r="QII56" s="33"/>
      <c r="QIJ56" s="33"/>
      <c r="QIN56" s="41"/>
      <c r="QIT56" s="42"/>
      <c r="QJA56" s="33"/>
      <c r="QJB56" s="33"/>
      <c r="QJF56" s="41"/>
      <c r="QJL56" s="42"/>
      <c r="QJS56" s="33"/>
      <c r="QJT56" s="33"/>
      <c r="QJX56" s="41"/>
      <c r="QKD56" s="42"/>
      <c r="QKK56" s="33"/>
      <c r="QKL56" s="33"/>
      <c r="QKP56" s="41"/>
      <c r="QKV56" s="42"/>
      <c r="QLC56" s="33"/>
      <c r="QLD56" s="33"/>
      <c r="QLH56" s="41"/>
      <c r="QLN56" s="42"/>
      <c r="QLU56" s="33"/>
      <c r="QLV56" s="33"/>
      <c r="QLZ56" s="41"/>
      <c r="QMF56" s="42"/>
      <c r="QMM56" s="33"/>
      <c r="QMN56" s="33"/>
      <c r="QMR56" s="41"/>
      <c r="QMX56" s="42"/>
      <c r="QNE56" s="33"/>
      <c r="QNF56" s="33"/>
      <c r="QNJ56" s="41"/>
      <c r="QNP56" s="42"/>
      <c r="QNW56" s="33"/>
      <c r="QNX56" s="33"/>
      <c r="QOB56" s="41"/>
      <c r="QOH56" s="42"/>
      <c r="QOO56" s="33"/>
      <c r="QOP56" s="33"/>
      <c r="QOT56" s="41"/>
      <c r="QOZ56" s="42"/>
      <c r="QPG56" s="33"/>
      <c r="QPH56" s="33"/>
      <c r="QPL56" s="41"/>
      <c r="QPR56" s="42"/>
      <c r="QPY56" s="33"/>
      <c r="QPZ56" s="33"/>
      <c r="QQD56" s="41"/>
      <c r="QQJ56" s="42"/>
      <c r="QQQ56" s="33"/>
      <c r="QQR56" s="33"/>
      <c r="QQV56" s="41"/>
      <c r="QRB56" s="42"/>
      <c r="QRI56" s="33"/>
      <c r="QRJ56" s="33"/>
      <c r="QRN56" s="41"/>
      <c r="QRT56" s="42"/>
      <c r="QSA56" s="33"/>
      <c r="QSB56" s="33"/>
      <c r="QSF56" s="41"/>
      <c r="QSL56" s="42"/>
      <c r="QSS56" s="33"/>
      <c r="QST56" s="33"/>
      <c r="QSX56" s="41"/>
      <c r="QTD56" s="42"/>
      <c r="QTK56" s="33"/>
      <c r="QTL56" s="33"/>
      <c r="QTP56" s="41"/>
      <c r="QTV56" s="42"/>
      <c r="QUC56" s="33"/>
      <c r="QUD56" s="33"/>
      <c r="QUH56" s="41"/>
      <c r="QUN56" s="42"/>
      <c r="QUU56" s="33"/>
      <c r="QUV56" s="33"/>
      <c r="QUZ56" s="41"/>
      <c r="QVF56" s="42"/>
      <c r="QVM56" s="33"/>
      <c r="QVN56" s="33"/>
      <c r="QVR56" s="41"/>
      <c r="QVX56" s="42"/>
      <c r="QWE56" s="33"/>
      <c r="QWF56" s="33"/>
      <c r="QWJ56" s="41"/>
      <c r="QWP56" s="42"/>
      <c r="QWW56" s="33"/>
      <c r="QWX56" s="33"/>
      <c r="QXB56" s="41"/>
      <c r="QXH56" s="42"/>
      <c r="QXO56" s="33"/>
      <c r="QXP56" s="33"/>
      <c r="QXT56" s="41"/>
      <c r="QXZ56" s="42"/>
      <c r="QYG56" s="33"/>
      <c r="QYH56" s="33"/>
      <c r="QYL56" s="41"/>
      <c r="QYR56" s="42"/>
      <c r="QYY56" s="33"/>
      <c r="QYZ56" s="33"/>
      <c r="QZD56" s="41"/>
      <c r="QZJ56" s="42"/>
      <c r="QZQ56" s="33"/>
      <c r="QZR56" s="33"/>
      <c r="QZV56" s="41"/>
      <c r="RAB56" s="42"/>
      <c r="RAI56" s="33"/>
      <c r="RAJ56" s="33"/>
      <c r="RAN56" s="41"/>
      <c r="RAT56" s="42"/>
      <c r="RBA56" s="33"/>
      <c r="RBB56" s="33"/>
      <c r="RBF56" s="41"/>
      <c r="RBL56" s="42"/>
      <c r="RBS56" s="33"/>
      <c r="RBT56" s="33"/>
      <c r="RBX56" s="41"/>
      <c r="RCD56" s="42"/>
      <c r="RCK56" s="33"/>
      <c r="RCL56" s="33"/>
      <c r="RCP56" s="41"/>
      <c r="RCV56" s="42"/>
      <c r="RDC56" s="33"/>
      <c r="RDD56" s="33"/>
      <c r="RDH56" s="41"/>
      <c r="RDN56" s="42"/>
      <c r="RDU56" s="33"/>
      <c r="RDV56" s="33"/>
      <c r="RDZ56" s="41"/>
      <c r="REF56" s="42"/>
      <c r="REM56" s="33"/>
      <c r="REN56" s="33"/>
      <c r="RER56" s="41"/>
      <c r="REX56" s="42"/>
      <c r="RFE56" s="33"/>
      <c r="RFF56" s="33"/>
      <c r="RFJ56" s="41"/>
      <c r="RFP56" s="42"/>
      <c r="RFW56" s="33"/>
      <c r="RFX56" s="33"/>
      <c r="RGB56" s="41"/>
      <c r="RGH56" s="42"/>
      <c r="RGO56" s="33"/>
      <c r="RGP56" s="33"/>
      <c r="RGT56" s="41"/>
      <c r="RGZ56" s="42"/>
      <c r="RHG56" s="33"/>
      <c r="RHH56" s="33"/>
      <c r="RHL56" s="41"/>
      <c r="RHR56" s="42"/>
      <c r="RHY56" s="33"/>
      <c r="RHZ56" s="33"/>
      <c r="RID56" s="41"/>
      <c r="RIJ56" s="42"/>
      <c r="RIQ56" s="33"/>
      <c r="RIR56" s="33"/>
      <c r="RIV56" s="41"/>
      <c r="RJB56" s="42"/>
      <c r="RJI56" s="33"/>
      <c r="RJJ56" s="33"/>
      <c r="RJN56" s="41"/>
      <c r="RJT56" s="42"/>
      <c r="RKA56" s="33"/>
      <c r="RKB56" s="33"/>
      <c r="RKF56" s="41"/>
      <c r="RKL56" s="42"/>
      <c r="RKS56" s="33"/>
      <c r="RKT56" s="33"/>
      <c r="RKX56" s="41"/>
      <c r="RLD56" s="42"/>
      <c r="RLK56" s="33"/>
      <c r="RLL56" s="33"/>
      <c r="RLP56" s="41"/>
      <c r="RLV56" s="42"/>
      <c r="RMC56" s="33"/>
      <c r="RMD56" s="33"/>
      <c r="RMH56" s="41"/>
      <c r="RMN56" s="42"/>
      <c r="RMU56" s="33"/>
      <c r="RMV56" s="33"/>
      <c r="RMZ56" s="41"/>
      <c r="RNF56" s="42"/>
      <c r="RNM56" s="33"/>
      <c r="RNN56" s="33"/>
      <c r="RNR56" s="41"/>
      <c r="RNX56" s="42"/>
      <c r="ROE56" s="33"/>
      <c r="ROF56" s="33"/>
      <c r="ROJ56" s="41"/>
      <c r="ROP56" s="42"/>
      <c r="ROW56" s="33"/>
      <c r="ROX56" s="33"/>
      <c r="RPB56" s="41"/>
      <c r="RPH56" s="42"/>
      <c r="RPO56" s="33"/>
      <c r="RPP56" s="33"/>
      <c r="RPT56" s="41"/>
      <c r="RPZ56" s="42"/>
      <c r="RQG56" s="33"/>
      <c r="RQH56" s="33"/>
      <c r="RQL56" s="41"/>
      <c r="RQR56" s="42"/>
      <c r="RQY56" s="33"/>
      <c r="RQZ56" s="33"/>
      <c r="RRD56" s="41"/>
      <c r="RRJ56" s="42"/>
      <c r="RRQ56" s="33"/>
      <c r="RRR56" s="33"/>
      <c r="RRV56" s="41"/>
      <c r="RSB56" s="42"/>
      <c r="RSI56" s="33"/>
      <c r="RSJ56" s="33"/>
      <c r="RSN56" s="41"/>
      <c r="RST56" s="42"/>
      <c r="RTA56" s="33"/>
      <c r="RTB56" s="33"/>
      <c r="RTF56" s="41"/>
      <c r="RTL56" s="42"/>
      <c r="RTS56" s="33"/>
      <c r="RTT56" s="33"/>
      <c r="RTX56" s="41"/>
      <c r="RUD56" s="42"/>
      <c r="RUK56" s="33"/>
      <c r="RUL56" s="33"/>
      <c r="RUP56" s="41"/>
      <c r="RUV56" s="42"/>
      <c r="RVC56" s="33"/>
      <c r="RVD56" s="33"/>
      <c r="RVH56" s="41"/>
      <c r="RVN56" s="42"/>
      <c r="RVU56" s="33"/>
      <c r="RVV56" s="33"/>
      <c r="RVZ56" s="41"/>
      <c r="RWF56" s="42"/>
      <c r="RWM56" s="33"/>
      <c r="RWN56" s="33"/>
      <c r="RWR56" s="41"/>
      <c r="RWX56" s="42"/>
      <c r="RXE56" s="33"/>
      <c r="RXF56" s="33"/>
      <c r="RXJ56" s="41"/>
      <c r="RXP56" s="42"/>
      <c r="RXW56" s="33"/>
      <c r="RXX56" s="33"/>
      <c r="RYB56" s="41"/>
      <c r="RYH56" s="42"/>
      <c r="RYO56" s="33"/>
      <c r="RYP56" s="33"/>
      <c r="RYT56" s="41"/>
      <c r="RYZ56" s="42"/>
      <c r="RZG56" s="33"/>
      <c r="RZH56" s="33"/>
      <c r="RZL56" s="41"/>
      <c r="RZR56" s="42"/>
      <c r="RZY56" s="33"/>
      <c r="RZZ56" s="33"/>
      <c r="SAD56" s="41"/>
      <c r="SAJ56" s="42"/>
      <c r="SAQ56" s="33"/>
      <c r="SAR56" s="33"/>
      <c r="SAV56" s="41"/>
      <c r="SBB56" s="42"/>
      <c r="SBI56" s="33"/>
      <c r="SBJ56" s="33"/>
      <c r="SBN56" s="41"/>
      <c r="SBT56" s="42"/>
      <c r="SCA56" s="33"/>
      <c r="SCB56" s="33"/>
      <c r="SCF56" s="41"/>
      <c r="SCL56" s="42"/>
      <c r="SCS56" s="33"/>
      <c r="SCT56" s="33"/>
      <c r="SCX56" s="41"/>
      <c r="SDD56" s="42"/>
      <c r="SDK56" s="33"/>
      <c r="SDL56" s="33"/>
      <c r="SDP56" s="41"/>
      <c r="SDV56" s="42"/>
      <c r="SEC56" s="33"/>
      <c r="SED56" s="33"/>
      <c r="SEH56" s="41"/>
      <c r="SEN56" s="42"/>
      <c r="SEU56" s="33"/>
      <c r="SEV56" s="33"/>
      <c r="SEZ56" s="41"/>
      <c r="SFF56" s="42"/>
      <c r="SFM56" s="33"/>
      <c r="SFN56" s="33"/>
      <c r="SFR56" s="41"/>
      <c r="SFX56" s="42"/>
      <c r="SGE56" s="33"/>
      <c r="SGF56" s="33"/>
      <c r="SGJ56" s="41"/>
      <c r="SGP56" s="42"/>
      <c r="SGW56" s="33"/>
      <c r="SGX56" s="33"/>
      <c r="SHB56" s="41"/>
      <c r="SHH56" s="42"/>
      <c r="SHO56" s="33"/>
      <c r="SHP56" s="33"/>
      <c r="SHT56" s="41"/>
      <c r="SHZ56" s="42"/>
      <c r="SIG56" s="33"/>
      <c r="SIH56" s="33"/>
      <c r="SIL56" s="41"/>
      <c r="SIR56" s="42"/>
      <c r="SIY56" s="33"/>
      <c r="SIZ56" s="33"/>
      <c r="SJD56" s="41"/>
      <c r="SJJ56" s="42"/>
      <c r="SJQ56" s="33"/>
      <c r="SJR56" s="33"/>
      <c r="SJV56" s="41"/>
      <c r="SKB56" s="42"/>
      <c r="SKI56" s="33"/>
      <c r="SKJ56" s="33"/>
      <c r="SKN56" s="41"/>
      <c r="SKT56" s="42"/>
      <c r="SLA56" s="33"/>
      <c r="SLB56" s="33"/>
      <c r="SLF56" s="41"/>
      <c r="SLL56" s="42"/>
      <c r="SLS56" s="33"/>
      <c r="SLT56" s="33"/>
      <c r="SLX56" s="41"/>
      <c r="SMD56" s="42"/>
      <c r="SMK56" s="33"/>
      <c r="SML56" s="33"/>
      <c r="SMP56" s="41"/>
      <c r="SMV56" s="42"/>
      <c r="SNC56" s="33"/>
      <c r="SND56" s="33"/>
      <c r="SNH56" s="41"/>
      <c r="SNN56" s="42"/>
      <c r="SNU56" s="33"/>
      <c r="SNV56" s="33"/>
      <c r="SNZ56" s="41"/>
      <c r="SOF56" s="42"/>
      <c r="SOM56" s="33"/>
      <c r="SON56" s="33"/>
      <c r="SOR56" s="41"/>
      <c r="SOX56" s="42"/>
      <c r="SPE56" s="33"/>
      <c r="SPF56" s="33"/>
      <c r="SPJ56" s="41"/>
      <c r="SPP56" s="42"/>
      <c r="SPW56" s="33"/>
      <c r="SPX56" s="33"/>
      <c r="SQB56" s="41"/>
      <c r="SQH56" s="42"/>
      <c r="SQO56" s="33"/>
      <c r="SQP56" s="33"/>
      <c r="SQT56" s="41"/>
      <c r="SQZ56" s="42"/>
      <c r="SRG56" s="33"/>
      <c r="SRH56" s="33"/>
      <c r="SRL56" s="41"/>
      <c r="SRR56" s="42"/>
      <c r="SRY56" s="33"/>
      <c r="SRZ56" s="33"/>
      <c r="SSD56" s="41"/>
      <c r="SSJ56" s="42"/>
      <c r="SSQ56" s="33"/>
      <c r="SSR56" s="33"/>
      <c r="SSV56" s="41"/>
      <c r="STB56" s="42"/>
      <c r="STI56" s="33"/>
      <c r="STJ56" s="33"/>
      <c r="STN56" s="41"/>
      <c r="STT56" s="42"/>
      <c r="SUA56" s="33"/>
      <c r="SUB56" s="33"/>
      <c r="SUF56" s="41"/>
      <c r="SUL56" s="42"/>
      <c r="SUS56" s="33"/>
      <c r="SUT56" s="33"/>
      <c r="SUX56" s="41"/>
      <c r="SVD56" s="42"/>
      <c r="SVK56" s="33"/>
      <c r="SVL56" s="33"/>
      <c r="SVP56" s="41"/>
      <c r="SVV56" s="42"/>
      <c r="SWC56" s="33"/>
      <c r="SWD56" s="33"/>
      <c r="SWH56" s="41"/>
      <c r="SWN56" s="42"/>
      <c r="SWU56" s="33"/>
      <c r="SWV56" s="33"/>
      <c r="SWZ56" s="41"/>
      <c r="SXF56" s="42"/>
      <c r="SXM56" s="33"/>
      <c r="SXN56" s="33"/>
      <c r="SXR56" s="41"/>
      <c r="SXX56" s="42"/>
      <c r="SYE56" s="33"/>
      <c r="SYF56" s="33"/>
      <c r="SYJ56" s="41"/>
      <c r="SYP56" s="42"/>
      <c r="SYW56" s="33"/>
      <c r="SYX56" s="33"/>
      <c r="SZB56" s="41"/>
      <c r="SZH56" s="42"/>
      <c r="SZO56" s="33"/>
      <c r="SZP56" s="33"/>
      <c r="SZT56" s="41"/>
      <c r="SZZ56" s="42"/>
      <c r="TAG56" s="33"/>
      <c r="TAH56" s="33"/>
      <c r="TAL56" s="41"/>
      <c r="TAR56" s="42"/>
      <c r="TAY56" s="33"/>
      <c r="TAZ56" s="33"/>
      <c r="TBD56" s="41"/>
      <c r="TBJ56" s="42"/>
      <c r="TBQ56" s="33"/>
      <c r="TBR56" s="33"/>
      <c r="TBV56" s="41"/>
      <c r="TCB56" s="42"/>
      <c r="TCI56" s="33"/>
      <c r="TCJ56" s="33"/>
      <c r="TCN56" s="41"/>
      <c r="TCT56" s="42"/>
      <c r="TDA56" s="33"/>
      <c r="TDB56" s="33"/>
      <c r="TDF56" s="41"/>
      <c r="TDL56" s="42"/>
      <c r="TDS56" s="33"/>
      <c r="TDT56" s="33"/>
      <c r="TDX56" s="41"/>
      <c r="TED56" s="42"/>
      <c r="TEK56" s="33"/>
      <c r="TEL56" s="33"/>
      <c r="TEP56" s="41"/>
      <c r="TEV56" s="42"/>
      <c r="TFC56" s="33"/>
      <c r="TFD56" s="33"/>
      <c r="TFH56" s="41"/>
      <c r="TFN56" s="42"/>
      <c r="TFU56" s="33"/>
      <c r="TFV56" s="33"/>
      <c r="TFZ56" s="41"/>
      <c r="TGF56" s="42"/>
      <c r="TGM56" s="33"/>
      <c r="TGN56" s="33"/>
      <c r="TGR56" s="41"/>
      <c r="TGX56" s="42"/>
      <c r="THE56" s="33"/>
      <c r="THF56" s="33"/>
      <c r="THJ56" s="41"/>
      <c r="THP56" s="42"/>
      <c r="THW56" s="33"/>
      <c r="THX56" s="33"/>
      <c r="TIB56" s="41"/>
      <c r="TIH56" s="42"/>
      <c r="TIO56" s="33"/>
      <c r="TIP56" s="33"/>
      <c r="TIT56" s="41"/>
      <c r="TIZ56" s="42"/>
      <c r="TJG56" s="33"/>
      <c r="TJH56" s="33"/>
      <c r="TJL56" s="41"/>
      <c r="TJR56" s="42"/>
      <c r="TJY56" s="33"/>
      <c r="TJZ56" s="33"/>
      <c r="TKD56" s="41"/>
      <c r="TKJ56" s="42"/>
      <c r="TKQ56" s="33"/>
      <c r="TKR56" s="33"/>
      <c r="TKV56" s="41"/>
      <c r="TLB56" s="42"/>
      <c r="TLI56" s="33"/>
      <c r="TLJ56" s="33"/>
      <c r="TLN56" s="41"/>
      <c r="TLT56" s="42"/>
      <c r="TMA56" s="33"/>
      <c r="TMB56" s="33"/>
      <c r="TMF56" s="41"/>
      <c r="TML56" s="42"/>
      <c r="TMS56" s="33"/>
      <c r="TMT56" s="33"/>
      <c r="TMX56" s="41"/>
      <c r="TND56" s="42"/>
      <c r="TNK56" s="33"/>
      <c r="TNL56" s="33"/>
      <c r="TNP56" s="41"/>
      <c r="TNV56" s="42"/>
      <c r="TOC56" s="33"/>
      <c r="TOD56" s="33"/>
      <c r="TOH56" s="41"/>
      <c r="TON56" s="42"/>
      <c r="TOU56" s="33"/>
      <c r="TOV56" s="33"/>
      <c r="TOZ56" s="41"/>
      <c r="TPF56" s="42"/>
      <c r="TPM56" s="33"/>
      <c r="TPN56" s="33"/>
      <c r="TPR56" s="41"/>
      <c r="TPX56" s="42"/>
      <c r="TQE56" s="33"/>
      <c r="TQF56" s="33"/>
      <c r="TQJ56" s="41"/>
      <c r="TQP56" s="42"/>
      <c r="TQW56" s="33"/>
      <c r="TQX56" s="33"/>
      <c r="TRB56" s="41"/>
      <c r="TRH56" s="42"/>
      <c r="TRO56" s="33"/>
      <c r="TRP56" s="33"/>
      <c r="TRT56" s="41"/>
      <c r="TRZ56" s="42"/>
      <c r="TSG56" s="33"/>
      <c r="TSH56" s="33"/>
      <c r="TSL56" s="41"/>
      <c r="TSR56" s="42"/>
      <c r="TSY56" s="33"/>
      <c r="TSZ56" s="33"/>
      <c r="TTD56" s="41"/>
      <c r="TTJ56" s="42"/>
      <c r="TTQ56" s="33"/>
      <c r="TTR56" s="33"/>
      <c r="TTV56" s="41"/>
      <c r="TUB56" s="42"/>
      <c r="TUI56" s="33"/>
      <c r="TUJ56" s="33"/>
      <c r="TUN56" s="41"/>
      <c r="TUT56" s="42"/>
      <c r="TVA56" s="33"/>
      <c r="TVB56" s="33"/>
      <c r="TVF56" s="41"/>
      <c r="TVL56" s="42"/>
      <c r="TVS56" s="33"/>
      <c r="TVT56" s="33"/>
      <c r="TVX56" s="41"/>
      <c r="TWD56" s="42"/>
      <c r="TWK56" s="33"/>
      <c r="TWL56" s="33"/>
      <c r="TWP56" s="41"/>
      <c r="TWV56" s="42"/>
      <c r="TXC56" s="33"/>
      <c r="TXD56" s="33"/>
      <c r="TXH56" s="41"/>
      <c r="TXN56" s="42"/>
      <c r="TXU56" s="33"/>
      <c r="TXV56" s="33"/>
      <c r="TXZ56" s="41"/>
      <c r="TYF56" s="42"/>
      <c r="TYM56" s="33"/>
      <c r="TYN56" s="33"/>
      <c r="TYR56" s="41"/>
      <c r="TYX56" s="42"/>
      <c r="TZE56" s="33"/>
      <c r="TZF56" s="33"/>
      <c r="TZJ56" s="41"/>
      <c r="TZP56" s="42"/>
      <c r="TZW56" s="33"/>
      <c r="TZX56" s="33"/>
      <c r="UAB56" s="41"/>
      <c r="UAH56" s="42"/>
      <c r="UAO56" s="33"/>
      <c r="UAP56" s="33"/>
      <c r="UAT56" s="41"/>
      <c r="UAZ56" s="42"/>
      <c r="UBG56" s="33"/>
      <c r="UBH56" s="33"/>
      <c r="UBL56" s="41"/>
      <c r="UBR56" s="42"/>
      <c r="UBY56" s="33"/>
      <c r="UBZ56" s="33"/>
      <c r="UCD56" s="41"/>
      <c r="UCJ56" s="42"/>
      <c r="UCQ56" s="33"/>
      <c r="UCR56" s="33"/>
      <c r="UCV56" s="41"/>
      <c r="UDB56" s="42"/>
      <c r="UDI56" s="33"/>
      <c r="UDJ56" s="33"/>
      <c r="UDN56" s="41"/>
      <c r="UDT56" s="42"/>
      <c r="UEA56" s="33"/>
      <c r="UEB56" s="33"/>
      <c r="UEF56" s="41"/>
      <c r="UEL56" s="42"/>
      <c r="UES56" s="33"/>
      <c r="UET56" s="33"/>
      <c r="UEX56" s="41"/>
      <c r="UFD56" s="42"/>
      <c r="UFK56" s="33"/>
      <c r="UFL56" s="33"/>
      <c r="UFP56" s="41"/>
      <c r="UFV56" s="42"/>
      <c r="UGC56" s="33"/>
      <c r="UGD56" s="33"/>
      <c r="UGH56" s="41"/>
      <c r="UGN56" s="42"/>
      <c r="UGU56" s="33"/>
      <c r="UGV56" s="33"/>
      <c r="UGZ56" s="41"/>
      <c r="UHF56" s="42"/>
      <c r="UHM56" s="33"/>
      <c r="UHN56" s="33"/>
      <c r="UHR56" s="41"/>
      <c r="UHX56" s="42"/>
      <c r="UIE56" s="33"/>
      <c r="UIF56" s="33"/>
      <c r="UIJ56" s="41"/>
      <c r="UIP56" s="42"/>
      <c r="UIW56" s="33"/>
      <c r="UIX56" s="33"/>
      <c r="UJB56" s="41"/>
      <c r="UJH56" s="42"/>
      <c r="UJO56" s="33"/>
      <c r="UJP56" s="33"/>
      <c r="UJT56" s="41"/>
      <c r="UJZ56" s="42"/>
      <c r="UKG56" s="33"/>
      <c r="UKH56" s="33"/>
      <c r="UKL56" s="41"/>
      <c r="UKR56" s="42"/>
      <c r="UKY56" s="33"/>
      <c r="UKZ56" s="33"/>
      <c r="ULD56" s="41"/>
      <c r="ULJ56" s="42"/>
      <c r="ULQ56" s="33"/>
      <c r="ULR56" s="33"/>
      <c r="ULV56" s="41"/>
      <c r="UMB56" s="42"/>
      <c r="UMI56" s="33"/>
      <c r="UMJ56" s="33"/>
      <c r="UMN56" s="41"/>
      <c r="UMT56" s="42"/>
      <c r="UNA56" s="33"/>
      <c r="UNB56" s="33"/>
      <c r="UNF56" s="41"/>
      <c r="UNL56" s="42"/>
      <c r="UNS56" s="33"/>
      <c r="UNT56" s="33"/>
      <c r="UNX56" s="41"/>
      <c r="UOD56" s="42"/>
      <c r="UOK56" s="33"/>
      <c r="UOL56" s="33"/>
      <c r="UOP56" s="41"/>
      <c r="UOV56" s="42"/>
      <c r="UPC56" s="33"/>
      <c r="UPD56" s="33"/>
      <c r="UPH56" s="41"/>
      <c r="UPN56" s="42"/>
      <c r="UPU56" s="33"/>
      <c r="UPV56" s="33"/>
      <c r="UPZ56" s="41"/>
      <c r="UQF56" s="42"/>
      <c r="UQM56" s="33"/>
      <c r="UQN56" s="33"/>
      <c r="UQR56" s="41"/>
      <c r="UQX56" s="42"/>
      <c r="URE56" s="33"/>
      <c r="URF56" s="33"/>
      <c r="URJ56" s="41"/>
      <c r="URP56" s="42"/>
      <c r="URW56" s="33"/>
      <c r="URX56" s="33"/>
      <c r="USB56" s="41"/>
      <c r="USH56" s="42"/>
      <c r="USO56" s="33"/>
      <c r="USP56" s="33"/>
      <c r="UST56" s="41"/>
      <c r="USZ56" s="42"/>
      <c r="UTG56" s="33"/>
      <c r="UTH56" s="33"/>
      <c r="UTL56" s="41"/>
      <c r="UTR56" s="42"/>
      <c r="UTY56" s="33"/>
      <c r="UTZ56" s="33"/>
      <c r="UUD56" s="41"/>
      <c r="UUJ56" s="42"/>
      <c r="UUQ56" s="33"/>
      <c r="UUR56" s="33"/>
      <c r="UUV56" s="41"/>
      <c r="UVB56" s="42"/>
      <c r="UVI56" s="33"/>
      <c r="UVJ56" s="33"/>
      <c r="UVN56" s="41"/>
      <c r="UVT56" s="42"/>
      <c r="UWA56" s="33"/>
      <c r="UWB56" s="33"/>
      <c r="UWF56" s="41"/>
      <c r="UWL56" s="42"/>
      <c r="UWS56" s="33"/>
      <c r="UWT56" s="33"/>
      <c r="UWX56" s="41"/>
      <c r="UXD56" s="42"/>
      <c r="UXK56" s="33"/>
      <c r="UXL56" s="33"/>
      <c r="UXP56" s="41"/>
      <c r="UXV56" s="42"/>
      <c r="UYC56" s="33"/>
      <c r="UYD56" s="33"/>
      <c r="UYH56" s="41"/>
      <c r="UYN56" s="42"/>
      <c r="UYU56" s="33"/>
      <c r="UYV56" s="33"/>
      <c r="UYZ56" s="41"/>
      <c r="UZF56" s="42"/>
      <c r="UZM56" s="33"/>
      <c r="UZN56" s="33"/>
      <c r="UZR56" s="41"/>
      <c r="UZX56" s="42"/>
      <c r="VAE56" s="33"/>
      <c r="VAF56" s="33"/>
      <c r="VAJ56" s="41"/>
      <c r="VAP56" s="42"/>
      <c r="VAW56" s="33"/>
      <c r="VAX56" s="33"/>
      <c r="VBB56" s="41"/>
      <c r="VBH56" s="42"/>
      <c r="VBO56" s="33"/>
      <c r="VBP56" s="33"/>
      <c r="VBT56" s="41"/>
      <c r="VBZ56" s="42"/>
      <c r="VCG56" s="33"/>
      <c r="VCH56" s="33"/>
      <c r="VCL56" s="41"/>
      <c r="VCR56" s="42"/>
      <c r="VCY56" s="33"/>
      <c r="VCZ56" s="33"/>
      <c r="VDD56" s="41"/>
      <c r="VDJ56" s="42"/>
      <c r="VDQ56" s="33"/>
      <c r="VDR56" s="33"/>
      <c r="VDV56" s="41"/>
      <c r="VEB56" s="42"/>
      <c r="VEI56" s="33"/>
      <c r="VEJ56" s="33"/>
      <c r="VEN56" s="41"/>
      <c r="VET56" s="42"/>
      <c r="VFA56" s="33"/>
      <c r="VFB56" s="33"/>
      <c r="VFF56" s="41"/>
      <c r="VFL56" s="42"/>
      <c r="VFS56" s="33"/>
      <c r="VFT56" s="33"/>
      <c r="VFX56" s="41"/>
      <c r="VGD56" s="42"/>
      <c r="VGK56" s="33"/>
      <c r="VGL56" s="33"/>
      <c r="VGP56" s="41"/>
      <c r="VGV56" s="42"/>
      <c r="VHC56" s="33"/>
      <c r="VHD56" s="33"/>
      <c r="VHH56" s="41"/>
      <c r="VHN56" s="42"/>
      <c r="VHU56" s="33"/>
      <c r="VHV56" s="33"/>
      <c r="VHZ56" s="41"/>
      <c r="VIF56" s="42"/>
      <c r="VIM56" s="33"/>
      <c r="VIN56" s="33"/>
      <c r="VIR56" s="41"/>
      <c r="VIX56" s="42"/>
      <c r="VJE56" s="33"/>
      <c r="VJF56" s="33"/>
      <c r="VJJ56" s="41"/>
      <c r="VJP56" s="42"/>
      <c r="VJW56" s="33"/>
      <c r="VJX56" s="33"/>
      <c r="VKB56" s="41"/>
      <c r="VKH56" s="42"/>
      <c r="VKO56" s="33"/>
      <c r="VKP56" s="33"/>
      <c r="VKT56" s="41"/>
      <c r="VKZ56" s="42"/>
      <c r="VLG56" s="33"/>
      <c r="VLH56" s="33"/>
      <c r="VLL56" s="41"/>
      <c r="VLR56" s="42"/>
      <c r="VLY56" s="33"/>
      <c r="VLZ56" s="33"/>
      <c r="VMD56" s="41"/>
      <c r="VMJ56" s="42"/>
      <c r="VMQ56" s="33"/>
      <c r="VMR56" s="33"/>
      <c r="VMV56" s="41"/>
      <c r="VNB56" s="42"/>
      <c r="VNI56" s="33"/>
      <c r="VNJ56" s="33"/>
      <c r="VNN56" s="41"/>
      <c r="VNT56" s="42"/>
      <c r="VOA56" s="33"/>
      <c r="VOB56" s="33"/>
      <c r="VOF56" s="41"/>
      <c r="VOL56" s="42"/>
      <c r="VOS56" s="33"/>
      <c r="VOT56" s="33"/>
      <c r="VOX56" s="41"/>
      <c r="VPD56" s="42"/>
      <c r="VPK56" s="33"/>
      <c r="VPL56" s="33"/>
      <c r="VPP56" s="41"/>
      <c r="VPV56" s="42"/>
      <c r="VQC56" s="33"/>
      <c r="VQD56" s="33"/>
      <c r="VQH56" s="41"/>
      <c r="VQN56" s="42"/>
      <c r="VQU56" s="33"/>
      <c r="VQV56" s="33"/>
      <c r="VQZ56" s="41"/>
      <c r="VRF56" s="42"/>
      <c r="VRM56" s="33"/>
      <c r="VRN56" s="33"/>
      <c r="VRR56" s="41"/>
      <c r="VRX56" s="42"/>
      <c r="VSE56" s="33"/>
      <c r="VSF56" s="33"/>
      <c r="VSJ56" s="41"/>
      <c r="VSP56" s="42"/>
      <c r="VSW56" s="33"/>
      <c r="VSX56" s="33"/>
      <c r="VTB56" s="41"/>
      <c r="VTH56" s="42"/>
      <c r="VTO56" s="33"/>
      <c r="VTP56" s="33"/>
      <c r="VTT56" s="41"/>
      <c r="VTZ56" s="42"/>
      <c r="VUG56" s="33"/>
      <c r="VUH56" s="33"/>
      <c r="VUL56" s="41"/>
      <c r="VUR56" s="42"/>
      <c r="VUY56" s="33"/>
      <c r="VUZ56" s="33"/>
      <c r="VVD56" s="41"/>
      <c r="VVJ56" s="42"/>
      <c r="VVQ56" s="33"/>
      <c r="VVR56" s="33"/>
      <c r="VVV56" s="41"/>
      <c r="VWB56" s="42"/>
      <c r="VWI56" s="33"/>
      <c r="VWJ56" s="33"/>
      <c r="VWN56" s="41"/>
      <c r="VWT56" s="42"/>
      <c r="VXA56" s="33"/>
      <c r="VXB56" s="33"/>
      <c r="VXF56" s="41"/>
      <c r="VXL56" s="42"/>
      <c r="VXS56" s="33"/>
      <c r="VXT56" s="33"/>
      <c r="VXX56" s="41"/>
      <c r="VYD56" s="42"/>
      <c r="VYK56" s="33"/>
      <c r="VYL56" s="33"/>
      <c r="VYP56" s="41"/>
      <c r="VYV56" s="42"/>
      <c r="VZC56" s="33"/>
      <c r="VZD56" s="33"/>
      <c r="VZH56" s="41"/>
      <c r="VZN56" s="42"/>
      <c r="VZU56" s="33"/>
      <c r="VZV56" s="33"/>
      <c r="VZZ56" s="41"/>
      <c r="WAF56" s="42"/>
      <c r="WAM56" s="33"/>
      <c r="WAN56" s="33"/>
      <c r="WAR56" s="41"/>
      <c r="WAX56" s="42"/>
      <c r="WBE56" s="33"/>
      <c r="WBF56" s="33"/>
      <c r="WBJ56" s="41"/>
      <c r="WBP56" s="42"/>
      <c r="WBW56" s="33"/>
      <c r="WBX56" s="33"/>
      <c r="WCB56" s="41"/>
      <c r="WCH56" s="42"/>
      <c r="WCO56" s="33"/>
      <c r="WCP56" s="33"/>
      <c r="WCT56" s="41"/>
      <c r="WCZ56" s="42"/>
      <c r="WDG56" s="33"/>
      <c r="WDH56" s="33"/>
      <c r="WDL56" s="41"/>
      <c r="WDR56" s="42"/>
      <c r="WDY56" s="33"/>
      <c r="WDZ56" s="33"/>
      <c r="WED56" s="41"/>
      <c r="WEJ56" s="42"/>
      <c r="WEQ56" s="33"/>
      <c r="WER56" s="33"/>
      <c r="WEV56" s="41"/>
      <c r="WFB56" s="42"/>
      <c r="WFI56" s="33"/>
      <c r="WFJ56" s="33"/>
      <c r="WFN56" s="41"/>
      <c r="WFT56" s="42"/>
      <c r="WGA56" s="33"/>
      <c r="WGB56" s="33"/>
      <c r="WGF56" s="41"/>
      <c r="WGL56" s="42"/>
      <c r="WGS56" s="33"/>
      <c r="WGT56" s="33"/>
      <c r="WGX56" s="41"/>
      <c r="WHD56" s="42"/>
      <c r="WHK56" s="33"/>
      <c r="WHL56" s="33"/>
      <c r="WHP56" s="41"/>
      <c r="WHV56" s="42"/>
      <c r="WIC56" s="33"/>
      <c r="WID56" s="33"/>
      <c r="WIH56" s="41"/>
      <c r="WIN56" s="42"/>
      <c r="WIU56" s="33"/>
      <c r="WIV56" s="33"/>
      <c r="WIZ56" s="41"/>
      <c r="WJF56" s="42"/>
      <c r="WJM56" s="33"/>
      <c r="WJN56" s="33"/>
      <c r="WJR56" s="41"/>
      <c r="WJX56" s="42"/>
      <c r="WKE56" s="33"/>
      <c r="WKF56" s="33"/>
      <c r="WKJ56" s="41"/>
      <c r="WKP56" s="42"/>
      <c r="WKW56" s="33"/>
      <c r="WKX56" s="33"/>
      <c r="WLB56" s="41"/>
      <c r="WLH56" s="42"/>
      <c r="WLO56" s="33"/>
      <c r="WLP56" s="33"/>
      <c r="WLT56" s="41"/>
      <c r="WLZ56" s="42"/>
      <c r="WMG56" s="33"/>
      <c r="WMH56" s="33"/>
      <c r="WML56" s="41"/>
      <c r="WMR56" s="42"/>
      <c r="WMY56" s="33"/>
      <c r="WMZ56" s="33"/>
      <c r="WND56" s="41"/>
      <c r="WNJ56" s="42"/>
      <c r="WNQ56" s="33"/>
      <c r="WNR56" s="33"/>
      <c r="WNV56" s="41"/>
      <c r="WOB56" s="42"/>
      <c r="WOI56" s="33"/>
      <c r="WOJ56" s="33"/>
      <c r="WON56" s="41"/>
      <c r="WOT56" s="42"/>
      <c r="WPA56" s="33"/>
      <c r="WPB56" s="33"/>
      <c r="WPF56" s="41"/>
      <c r="WPL56" s="42"/>
      <c r="WPS56" s="33"/>
      <c r="WPT56" s="33"/>
      <c r="WPX56" s="41"/>
      <c r="WQD56" s="42"/>
      <c r="WQK56" s="33"/>
      <c r="WQL56" s="33"/>
      <c r="WQP56" s="41"/>
      <c r="WQV56" s="42"/>
      <c r="WRC56" s="33"/>
      <c r="WRD56" s="33"/>
      <c r="WRH56" s="41"/>
      <c r="WRN56" s="42"/>
      <c r="WRU56" s="33"/>
      <c r="WRV56" s="33"/>
      <c r="WRZ56" s="41"/>
      <c r="WSF56" s="42"/>
      <c r="WSM56" s="33"/>
      <c r="WSN56" s="33"/>
      <c r="WSR56" s="41"/>
      <c r="WSX56" s="42"/>
      <c r="WTE56" s="33"/>
      <c r="WTF56" s="33"/>
      <c r="WTJ56" s="41"/>
      <c r="WTP56" s="42"/>
      <c r="WTW56" s="33"/>
      <c r="WTX56" s="33"/>
      <c r="WUB56" s="41"/>
      <c r="WUH56" s="42"/>
      <c r="WUO56" s="33"/>
      <c r="WUP56" s="33"/>
      <c r="WUT56" s="41"/>
      <c r="WUZ56" s="42"/>
      <c r="WVG56" s="33"/>
      <c r="WVH56" s="33"/>
      <c r="WVL56" s="41"/>
      <c r="WVR56" s="42"/>
      <c r="WVY56" s="33"/>
      <c r="WVZ56" s="33"/>
      <c r="WWD56" s="41"/>
      <c r="WWJ56" s="42"/>
      <c r="WWQ56" s="33"/>
      <c r="WWR56" s="33"/>
      <c r="WWV56" s="41"/>
      <c r="WXB56" s="42"/>
      <c r="WXI56" s="33"/>
      <c r="WXJ56" s="33"/>
      <c r="WXN56" s="41"/>
      <c r="WXT56" s="42"/>
      <c r="WYA56" s="33"/>
      <c r="WYB56" s="33"/>
      <c r="WYF56" s="41"/>
      <c r="WYL56" s="42"/>
      <c r="WYS56" s="33"/>
      <c r="WYT56" s="33"/>
      <c r="WYX56" s="41"/>
      <c r="WZD56" s="42"/>
      <c r="WZK56" s="33"/>
      <c r="WZL56" s="33"/>
      <c r="WZP56" s="41"/>
      <c r="WZV56" s="42"/>
      <c r="XAC56" s="33"/>
      <c r="XAD56" s="33"/>
      <c r="XAH56" s="41"/>
      <c r="XAN56" s="42"/>
      <c r="XAU56" s="33"/>
      <c r="XAV56" s="33"/>
      <c r="XAZ56" s="41"/>
      <c r="XBF56" s="42"/>
      <c r="XBM56" s="33"/>
      <c r="XBN56" s="33"/>
      <c r="XBR56" s="41"/>
      <c r="XBX56" s="42"/>
      <c r="XCE56" s="33"/>
      <c r="XCF56" s="33"/>
      <c r="XCJ56" s="41"/>
      <c r="XCP56" s="42"/>
      <c r="XCW56" s="33"/>
      <c r="XCX56" s="33"/>
      <c r="XDB56" s="41"/>
      <c r="XDH56" s="42"/>
      <c r="XDO56" s="33"/>
      <c r="XDP56" s="33"/>
      <c r="XDT56" s="41"/>
      <c r="XDZ56" s="42"/>
      <c r="XEG56" s="33"/>
      <c r="XEH56" s="33"/>
      <c r="XEL56" s="41"/>
      <c r="XER56" s="42"/>
      <c r="XEY56" s="33"/>
      <c r="XEZ56" s="33"/>
      <c r="XFD56" s="41"/>
    </row>
    <row r="57" spans="1:1018 1025:2044 2051:3070 3077:4096 4103:5116 5122:6142 6148:7168 7174:8190 8194:9216 9220:10234 10241:11260 11267:12286 12293:13312 13319:14332 14338:15358 15364:16384" s="24" customFormat="1" ht="15" customHeight="1">
      <c r="A57" s="21" t="s">
        <v>174</v>
      </c>
      <c r="B57" s="12">
        <v>2008</v>
      </c>
      <c r="C57" s="19" t="s">
        <v>171</v>
      </c>
      <c r="D57" s="22" t="s">
        <v>86</v>
      </c>
      <c r="E57" s="19" t="s">
        <v>175</v>
      </c>
      <c r="F57" s="19" t="s">
        <v>35</v>
      </c>
      <c r="G57" s="44">
        <v>516117440.10301042</v>
      </c>
      <c r="H57" s="44">
        <v>578201440.10301042</v>
      </c>
      <c r="I57" s="19">
        <v>41</v>
      </c>
      <c r="J57" s="52" t="s">
        <v>176</v>
      </c>
      <c r="K57" s="22"/>
      <c r="L57" s="22"/>
      <c r="M57" s="22" t="s">
        <v>26</v>
      </c>
      <c r="N57" s="12"/>
      <c r="O57" s="22"/>
      <c r="P57" s="12"/>
      <c r="Q57" s="22"/>
      <c r="R57" s="22"/>
      <c r="V57" s="15"/>
      <c r="AB57" s="25"/>
      <c r="AI57" s="21"/>
      <c r="AJ57" s="21"/>
      <c r="AN57" s="15"/>
      <c r="AT57" s="25"/>
      <c r="BA57" s="21"/>
      <c r="BB57" s="21"/>
      <c r="BF57" s="15"/>
      <c r="BL57" s="25"/>
      <c r="BS57" s="21"/>
      <c r="BT57" s="21"/>
      <c r="BX57" s="15"/>
      <c r="CD57" s="25"/>
      <c r="CK57" s="21"/>
      <c r="CL57" s="21"/>
      <c r="CP57" s="15"/>
      <c r="CV57" s="25"/>
      <c r="DC57" s="21"/>
      <c r="DD57" s="21"/>
      <c r="DH57" s="15"/>
      <c r="DN57" s="25"/>
      <c r="DU57" s="21"/>
      <c r="DV57" s="21"/>
      <c r="DZ57" s="15"/>
      <c r="EF57" s="25"/>
      <c r="EM57" s="21"/>
      <c r="EN57" s="21"/>
      <c r="ER57" s="15"/>
      <c r="EX57" s="25"/>
      <c r="FE57" s="21"/>
      <c r="FF57" s="21"/>
      <c r="FJ57" s="15"/>
      <c r="FP57" s="25"/>
      <c r="FW57" s="21"/>
      <c r="FX57" s="21"/>
      <c r="GB57" s="15"/>
      <c r="GH57" s="25"/>
      <c r="GO57" s="21"/>
      <c r="GP57" s="21"/>
      <c r="GT57" s="15"/>
      <c r="GZ57" s="25"/>
      <c r="HG57" s="21"/>
      <c r="HH57" s="21"/>
      <c r="HL57" s="15"/>
      <c r="HR57" s="25"/>
      <c r="HY57" s="21"/>
      <c r="HZ57" s="21"/>
      <c r="ID57" s="15"/>
      <c r="IJ57" s="25"/>
      <c r="IQ57" s="21"/>
      <c r="IR57" s="21"/>
      <c r="IV57" s="15"/>
      <c r="JB57" s="25"/>
      <c r="JI57" s="21"/>
      <c r="JJ57" s="21"/>
      <c r="JN57" s="15"/>
      <c r="JT57" s="25"/>
      <c r="KA57" s="21"/>
      <c r="KB57" s="21"/>
      <c r="KF57" s="15"/>
      <c r="KL57" s="25"/>
      <c r="KS57" s="21"/>
      <c r="KT57" s="21"/>
      <c r="KX57" s="15"/>
      <c r="LD57" s="25"/>
      <c r="LK57" s="21"/>
      <c r="LL57" s="21"/>
      <c r="LP57" s="15"/>
      <c r="LV57" s="25"/>
      <c r="MC57" s="21"/>
      <c r="MD57" s="21"/>
      <c r="MH57" s="15"/>
      <c r="MN57" s="25"/>
      <c r="MU57" s="21"/>
      <c r="MV57" s="21"/>
      <c r="MZ57" s="15"/>
      <c r="NF57" s="25"/>
      <c r="NM57" s="21"/>
      <c r="NN57" s="21"/>
      <c r="NR57" s="15"/>
      <c r="NX57" s="25"/>
      <c r="OE57" s="21"/>
      <c r="OF57" s="21"/>
      <c r="OJ57" s="15"/>
      <c r="OP57" s="25"/>
      <c r="OW57" s="21"/>
      <c r="OX57" s="21"/>
      <c r="PB57" s="15"/>
      <c r="PH57" s="25"/>
      <c r="PO57" s="21"/>
      <c r="PP57" s="21"/>
      <c r="PT57" s="15"/>
      <c r="PZ57" s="25"/>
      <c r="QG57" s="21"/>
      <c r="QH57" s="21"/>
      <c r="QL57" s="15"/>
      <c r="QR57" s="25"/>
      <c r="QY57" s="21"/>
      <c r="QZ57" s="21"/>
      <c r="RD57" s="15"/>
      <c r="RJ57" s="25"/>
      <c r="RQ57" s="21"/>
      <c r="RR57" s="21"/>
      <c r="RV57" s="15"/>
      <c r="SB57" s="25"/>
      <c r="SI57" s="21"/>
      <c r="SJ57" s="21"/>
      <c r="SN57" s="15"/>
      <c r="ST57" s="25"/>
      <c r="TA57" s="21"/>
      <c r="TB57" s="21"/>
      <c r="TF57" s="15"/>
      <c r="TL57" s="25"/>
      <c r="TS57" s="21"/>
      <c r="TT57" s="21"/>
      <c r="TX57" s="15"/>
      <c r="UD57" s="25"/>
      <c r="UK57" s="21"/>
      <c r="UL57" s="21"/>
      <c r="UP57" s="15"/>
      <c r="UV57" s="25"/>
      <c r="VC57" s="21"/>
      <c r="VD57" s="21"/>
      <c r="VH57" s="15"/>
      <c r="VN57" s="25"/>
      <c r="VU57" s="21"/>
      <c r="VV57" s="21"/>
      <c r="VZ57" s="15"/>
      <c r="WF57" s="25"/>
      <c r="WM57" s="21"/>
      <c r="WN57" s="21"/>
      <c r="WR57" s="15"/>
      <c r="WX57" s="25"/>
      <c r="XE57" s="21"/>
      <c r="XF57" s="21"/>
      <c r="XJ57" s="15"/>
      <c r="XP57" s="25"/>
      <c r="XW57" s="21"/>
      <c r="XX57" s="21"/>
      <c r="YB57" s="15"/>
      <c r="YH57" s="25"/>
      <c r="YO57" s="21"/>
      <c r="YP57" s="21"/>
      <c r="YT57" s="15"/>
      <c r="YZ57" s="25"/>
      <c r="ZG57" s="21"/>
      <c r="ZH57" s="21"/>
      <c r="ZL57" s="15"/>
      <c r="ZR57" s="25"/>
      <c r="ZY57" s="21"/>
      <c r="ZZ57" s="21"/>
      <c r="AAD57" s="15"/>
      <c r="AAJ57" s="25"/>
      <c r="AAQ57" s="21"/>
      <c r="AAR57" s="21"/>
      <c r="AAV57" s="15"/>
      <c r="ABB57" s="25"/>
      <c r="ABI57" s="21"/>
      <c r="ABJ57" s="21"/>
      <c r="ABN57" s="15"/>
      <c r="ABT57" s="25"/>
      <c r="ACA57" s="21"/>
      <c r="ACB57" s="21"/>
      <c r="ACF57" s="15"/>
      <c r="ACL57" s="25"/>
      <c r="ACS57" s="21"/>
      <c r="ACT57" s="21"/>
      <c r="ACX57" s="15"/>
      <c r="ADD57" s="25"/>
      <c r="ADK57" s="21"/>
      <c r="ADL57" s="21"/>
      <c r="ADP57" s="15"/>
      <c r="ADV57" s="25"/>
      <c r="AEC57" s="21"/>
      <c r="AED57" s="21"/>
      <c r="AEH57" s="15"/>
      <c r="AEN57" s="25"/>
      <c r="AEU57" s="21"/>
      <c r="AEV57" s="21"/>
      <c r="AEZ57" s="15"/>
      <c r="AFF57" s="25"/>
      <c r="AFM57" s="21"/>
      <c r="AFN57" s="21"/>
      <c r="AFR57" s="15"/>
      <c r="AFX57" s="25"/>
      <c r="AGE57" s="21"/>
      <c r="AGF57" s="21"/>
      <c r="AGJ57" s="15"/>
      <c r="AGP57" s="25"/>
      <c r="AGW57" s="21"/>
      <c r="AGX57" s="21"/>
      <c r="AHB57" s="15"/>
      <c r="AHH57" s="25"/>
      <c r="AHO57" s="21"/>
      <c r="AHP57" s="21"/>
      <c r="AHT57" s="15"/>
      <c r="AHZ57" s="25"/>
      <c r="AIG57" s="21"/>
      <c r="AIH57" s="21"/>
      <c r="AIL57" s="15"/>
      <c r="AIR57" s="25"/>
      <c r="AIY57" s="21"/>
      <c r="AIZ57" s="21"/>
      <c r="AJD57" s="15"/>
      <c r="AJJ57" s="25"/>
      <c r="AJQ57" s="21"/>
      <c r="AJR57" s="21"/>
      <c r="AJV57" s="15"/>
      <c r="AKB57" s="25"/>
      <c r="AKI57" s="21"/>
      <c r="AKJ57" s="21"/>
      <c r="AKN57" s="15"/>
      <c r="AKT57" s="25"/>
      <c r="ALA57" s="21"/>
      <c r="ALB57" s="21"/>
      <c r="ALF57" s="15"/>
      <c r="ALL57" s="25"/>
      <c r="ALS57" s="21"/>
      <c r="ALT57" s="21"/>
      <c r="ALX57" s="15"/>
      <c r="AMD57" s="25"/>
      <c r="AMK57" s="21"/>
      <c r="AML57" s="21"/>
      <c r="AMP57" s="15"/>
      <c r="AMV57" s="25"/>
      <c r="ANC57" s="21"/>
      <c r="AND57" s="21"/>
      <c r="ANH57" s="15"/>
      <c r="ANN57" s="25"/>
      <c r="ANU57" s="21"/>
      <c r="ANV57" s="21"/>
      <c r="ANZ57" s="15"/>
      <c r="AOF57" s="25"/>
      <c r="AOM57" s="21"/>
      <c r="AON57" s="21"/>
      <c r="AOR57" s="15"/>
      <c r="AOX57" s="25"/>
      <c r="APE57" s="21"/>
      <c r="APF57" s="21"/>
      <c r="APJ57" s="15"/>
      <c r="APP57" s="25"/>
      <c r="APW57" s="21"/>
      <c r="APX57" s="21"/>
      <c r="AQB57" s="15"/>
      <c r="AQH57" s="25"/>
      <c r="AQO57" s="21"/>
      <c r="AQP57" s="21"/>
      <c r="AQT57" s="15"/>
      <c r="AQZ57" s="25"/>
      <c r="ARG57" s="21"/>
      <c r="ARH57" s="21"/>
      <c r="ARL57" s="15"/>
      <c r="ARR57" s="25"/>
      <c r="ARY57" s="21"/>
      <c r="ARZ57" s="21"/>
      <c r="ASD57" s="15"/>
      <c r="ASJ57" s="25"/>
      <c r="ASQ57" s="21"/>
      <c r="ASR57" s="21"/>
      <c r="ASV57" s="15"/>
      <c r="ATB57" s="25"/>
      <c r="ATI57" s="21"/>
      <c r="ATJ57" s="21"/>
      <c r="ATN57" s="15"/>
      <c r="ATT57" s="25"/>
      <c r="AUA57" s="21"/>
      <c r="AUB57" s="21"/>
      <c r="AUF57" s="15"/>
      <c r="AUL57" s="25"/>
      <c r="AUS57" s="21"/>
      <c r="AUT57" s="21"/>
      <c r="AUX57" s="15"/>
      <c r="AVD57" s="25"/>
      <c r="AVK57" s="21"/>
      <c r="AVL57" s="21"/>
      <c r="AVP57" s="15"/>
      <c r="AVV57" s="25"/>
      <c r="AWC57" s="21"/>
      <c r="AWD57" s="21"/>
      <c r="AWH57" s="15"/>
      <c r="AWN57" s="25"/>
      <c r="AWU57" s="21"/>
      <c r="AWV57" s="21"/>
      <c r="AWZ57" s="15"/>
      <c r="AXF57" s="25"/>
      <c r="AXM57" s="21"/>
      <c r="AXN57" s="21"/>
      <c r="AXR57" s="15"/>
      <c r="AXX57" s="25"/>
      <c r="AYE57" s="21"/>
      <c r="AYF57" s="21"/>
      <c r="AYJ57" s="15"/>
      <c r="AYP57" s="25"/>
      <c r="AYW57" s="21"/>
      <c r="AYX57" s="21"/>
      <c r="AZB57" s="15"/>
      <c r="AZH57" s="25"/>
      <c r="AZO57" s="21"/>
      <c r="AZP57" s="21"/>
      <c r="AZT57" s="15"/>
      <c r="AZZ57" s="25"/>
      <c r="BAG57" s="21"/>
      <c r="BAH57" s="21"/>
      <c r="BAL57" s="15"/>
      <c r="BAR57" s="25"/>
      <c r="BAY57" s="21"/>
      <c r="BAZ57" s="21"/>
      <c r="BBD57" s="15"/>
      <c r="BBJ57" s="25"/>
      <c r="BBQ57" s="21"/>
      <c r="BBR57" s="21"/>
      <c r="BBV57" s="15"/>
      <c r="BCB57" s="25"/>
      <c r="BCI57" s="21"/>
      <c r="BCJ57" s="21"/>
      <c r="BCN57" s="15"/>
      <c r="BCT57" s="25"/>
      <c r="BDA57" s="21"/>
      <c r="BDB57" s="21"/>
      <c r="BDF57" s="15"/>
      <c r="BDL57" s="25"/>
      <c r="BDS57" s="21"/>
      <c r="BDT57" s="21"/>
      <c r="BDX57" s="15"/>
      <c r="BED57" s="25"/>
      <c r="BEK57" s="21"/>
      <c r="BEL57" s="21"/>
      <c r="BEP57" s="15"/>
      <c r="BEV57" s="25"/>
      <c r="BFC57" s="21"/>
      <c r="BFD57" s="21"/>
      <c r="BFH57" s="15"/>
      <c r="BFN57" s="25"/>
      <c r="BFU57" s="21"/>
      <c r="BFV57" s="21"/>
      <c r="BFZ57" s="15"/>
      <c r="BGF57" s="25"/>
      <c r="BGM57" s="21"/>
      <c r="BGN57" s="21"/>
      <c r="BGR57" s="15"/>
      <c r="BGX57" s="25"/>
      <c r="BHE57" s="21"/>
      <c r="BHF57" s="21"/>
      <c r="BHJ57" s="15"/>
      <c r="BHP57" s="25"/>
      <c r="BHW57" s="21"/>
      <c r="BHX57" s="21"/>
      <c r="BIB57" s="15"/>
      <c r="BIH57" s="25"/>
      <c r="BIO57" s="21"/>
      <c r="BIP57" s="21"/>
      <c r="BIT57" s="15"/>
      <c r="BIZ57" s="25"/>
      <c r="BJG57" s="21"/>
      <c r="BJH57" s="21"/>
      <c r="BJL57" s="15"/>
      <c r="BJR57" s="25"/>
      <c r="BJY57" s="21"/>
      <c r="BJZ57" s="21"/>
      <c r="BKD57" s="15"/>
      <c r="BKJ57" s="25"/>
      <c r="BKQ57" s="21"/>
      <c r="BKR57" s="21"/>
      <c r="BKV57" s="15"/>
      <c r="BLB57" s="25"/>
      <c r="BLI57" s="21"/>
      <c r="BLJ57" s="21"/>
      <c r="BLN57" s="15"/>
      <c r="BLT57" s="25"/>
      <c r="BMA57" s="21"/>
      <c r="BMB57" s="21"/>
      <c r="BMF57" s="15"/>
      <c r="BML57" s="25"/>
      <c r="BMS57" s="21"/>
      <c r="BMT57" s="21"/>
      <c r="BMX57" s="15"/>
      <c r="BND57" s="25"/>
      <c r="BNK57" s="21"/>
      <c r="BNL57" s="21"/>
      <c r="BNP57" s="15"/>
      <c r="BNV57" s="25"/>
      <c r="BOC57" s="21"/>
      <c r="BOD57" s="21"/>
      <c r="BOH57" s="15"/>
      <c r="BON57" s="25"/>
      <c r="BOU57" s="21"/>
      <c r="BOV57" s="21"/>
      <c r="BOZ57" s="15"/>
      <c r="BPF57" s="25"/>
      <c r="BPM57" s="21"/>
      <c r="BPN57" s="21"/>
      <c r="BPR57" s="15"/>
      <c r="BPX57" s="25"/>
      <c r="BQE57" s="21"/>
      <c r="BQF57" s="21"/>
      <c r="BQJ57" s="15"/>
      <c r="BQP57" s="25"/>
      <c r="BQW57" s="21"/>
      <c r="BQX57" s="21"/>
      <c r="BRB57" s="15"/>
      <c r="BRH57" s="25"/>
      <c r="BRO57" s="21"/>
      <c r="BRP57" s="21"/>
      <c r="BRT57" s="15"/>
      <c r="BRZ57" s="25"/>
      <c r="BSG57" s="21"/>
      <c r="BSH57" s="21"/>
      <c r="BSL57" s="15"/>
      <c r="BSR57" s="25"/>
      <c r="BSY57" s="21"/>
      <c r="BSZ57" s="21"/>
      <c r="BTD57" s="15"/>
      <c r="BTJ57" s="25"/>
      <c r="BTQ57" s="21"/>
      <c r="BTR57" s="21"/>
      <c r="BTV57" s="15"/>
      <c r="BUB57" s="25"/>
      <c r="BUI57" s="21"/>
      <c r="BUJ57" s="21"/>
      <c r="BUN57" s="15"/>
      <c r="BUT57" s="25"/>
      <c r="BVA57" s="21"/>
      <c r="BVB57" s="21"/>
      <c r="BVF57" s="15"/>
      <c r="BVL57" s="25"/>
      <c r="BVS57" s="21"/>
      <c r="BVT57" s="21"/>
      <c r="BVX57" s="15"/>
      <c r="BWD57" s="25"/>
      <c r="BWK57" s="21"/>
      <c r="BWL57" s="21"/>
      <c r="BWP57" s="15"/>
      <c r="BWV57" s="25"/>
      <c r="BXC57" s="21"/>
      <c r="BXD57" s="21"/>
      <c r="BXH57" s="15"/>
      <c r="BXN57" s="25"/>
      <c r="BXU57" s="21"/>
      <c r="BXV57" s="21"/>
      <c r="BXZ57" s="15"/>
      <c r="BYF57" s="25"/>
      <c r="BYM57" s="21"/>
      <c r="BYN57" s="21"/>
      <c r="BYR57" s="15"/>
      <c r="BYX57" s="25"/>
      <c r="BZE57" s="21"/>
      <c r="BZF57" s="21"/>
      <c r="BZJ57" s="15"/>
      <c r="BZP57" s="25"/>
      <c r="BZW57" s="21"/>
      <c r="BZX57" s="21"/>
      <c r="CAB57" s="15"/>
      <c r="CAH57" s="25"/>
      <c r="CAO57" s="21"/>
      <c r="CAP57" s="21"/>
      <c r="CAT57" s="15"/>
      <c r="CAZ57" s="25"/>
      <c r="CBG57" s="21"/>
      <c r="CBH57" s="21"/>
      <c r="CBL57" s="15"/>
      <c r="CBR57" s="25"/>
      <c r="CBY57" s="21"/>
      <c r="CBZ57" s="21"/>
      <c r="CCD57" s="15"/>
      <c r="CCJ57" s="25"/>
      <c r="CCQ57" s="21"/>
      <c r="CCR57" s="21"/>
      <c r="CCV57" s="15"/>
      <c r="CDB57" s="25"/>
      <c r="CDI57" s="21"/>
      <c r="CDJ57" s="21"/>
      <c r="CDN57" s="15"/>
      <c r="CDT57" s="25"/>
      <c r="CEA57" s="21"/>
      <c r="CEB57" s="21"/>
      <c r="CEF57" s="15"/>
      <c r="CEL57" s="25"/>
      <c r="CES57" s="21"/>
      <c r="CET57" s="21"/>
      <c r="CEX57" s="15"/>
      <c r="CFD57" s="25"/>
      <c r="CFK57" s="21"/>
      <c r="CFL57" s="21"/>
      <c r="CFP57" s="15"/>
      <c r="CFV57" s="25"/>
      <c r="CGC57" s="21"/>
      <c r="CGD57" s="21"/>
      <c r="CGH57" s="15"/>
      <c r="CGN57" s="25"/>
      <c r="CGU57" s="21"/>
      <c r="CGV57" s="21"/>
      <c r="CGZ57" s="15"/>
      <c r="CHF57" s="25"/>
      <c r="CHM57" s="21"/>
      <c r="CHN57" s="21"/>
      <c r="CHR57" s="15"/>
      <c r="CHX57" s="25"/>
      <c r="CIE57" s="21"/>
      <c r="CIF57" s="21"/>
      <c r="CIJ57" s="15"/>
      <c r="CIP57" s="25"/>
      <c r="CIW57" s="21"/>
      <c r="CIX57" s="21"/>
      <c r="CJB57" s="15"/>
      <c r="CJH57" s="25"/>
      <c r="CJO57" s="21"/>
      <c r="CJP57" s="21"/>
      <c r="CJT57" s="15"/>
      <c r="CJZ57" s="25"/>
      <c r="CKG57" s="21"/>
      <c r="CKH57" s="21"/>
      <c r="CKL57" s="15"/>
      <c r="CKR57" s="25"/>
      <c r="CKY57" s="21"/>
      <c r="CKZ57" s="21"/>
      <c r="CLD57" s="15"/>
      <c r="CLJ57" s="25"/>
      <c r="CLQ57" s="21"/>
      <c r="CLR57" s="21"/>
      <c r="CLV57" s="15"/>
      <c r="CMB57" s="25"/>
      <c r="CMI57" s="21"/>
      <c r="CMJ57" s="21"/>
      <c r="CMN57" s="15"/>
      <c r="CMT57" s="25"/>
      <c r="CNA57" s="21"/>
      <c r="CNB57" s="21"/>
      <c r="CNF57" s="15"/>
      <c r="CNL57" s="25"/>
      <c r="CNS57" s="21"/>
      <c r="CNT57" s="21"/>
      <c r="CNX57" s="15"/>
      <c r="COD57" s="25"/>
      <c r="COK57" s="21"/>
      <c r="COL57" s="21"/>
      <c r="COP57" s="15"/>
      <c r="COV57" s="25"/>
      <c r="CPC57" s="21"/>
      <c r="CPD57" s="21"/>
      <c r="CPH57" s="15"/>
      <c r="CPN57" s="25"/>
      <c r="CPU57" s="21"/>
      <c r="CPV57" s="21"/>
      <c r="CPZ57" s="15"/>
      <c r="CQF57" s="25"/>
      <c r="CQM57" s="21"/>
      <c r="CQN57" s="21"/>
      <c r="CQR57" s="15"/>
      <c r="CQX57" s="25"/>
      <c r="CRE57" s="21"/>
      <c r="CRF57" s="21"/>
      <c r="CRJ57" s="15"/>
      <c r="CRP57" s="25"/>
      <c r="CRW57" s="21"/>
      <c r="CRX57" s="21"/>
      <c r="CSB57" s="15"/>
      <c r="CSH57" s="25"/>
      <c r="CSO57" s="21"/>
      <c r="CSP57" s="21"/>
      <c r="CST57" s="15"/>
      <c r="CSZ57" s="25"/>
      <c r="CTG57" s="21"/>
      <c r="CTH57" s="21"/>
      <c r="CTL57" s="15"/>
      <c r="CTR57" s="25"/>
      <c r="CTY57" s="21"/>
      <c r="CTZ57" s="21"/>
      <c r="CUD57" s="15"/>
      <c r="CUJ57" s="25"/>
      <c r="CUQ57" s="21"/>
      <c r="CUR57" s="21"/>
      <c r="CUV57" s="15"/>
      <c r="CVB57" s="25"/>
      <c r="CVI57" s="21"/>
      <c r="CVJ57" s="21"/>
      <c r="CVN57" s="15"/>
      <c r="CVT57" s="25"/>
      <c r="CWA57" s="21"/>
      <c r="CWB57" s="21"/>
      <c r="CWF57" s="15"/>
      <c r="CWL57" s="25"/>
      <c r="CWS57" s="21"/>
      <c r="CWT57" s="21"/>
      <c r="CWX57" s="15"/>
      <c r="CXD57" s="25"/>
      <c r="CXK57" s="21"/>
      <c r="CXL57" s="21"/>
      <c r="CXP57" s="15"/>
      <c r="CXV57" s="25"/>
      <c r="CYC57" s="21"/>
      <c r="CYD57" s="21"/>
      <c r="CYH57" s="15"/>
      <c r="CYN57" s="25"/>
      <c r="CYU57" s="21"/>
      <c r="CYV57" s="21"/>
      <c r="CYZ57" s="15"/>
      <c r="CZF57" s="25"/>
      <c r="CZM57" s="21"/>
      <c r="CZN57" s="21"/>
      <c r="CZR57" s="15"/>
      <c r="CZX57" s="25"/>
      <c r="DAE57" s="21"/>
      <c r="DAF57" s="21"/>
      <c r="DAJ57" s="15"/>
      <c r="DAP57" s="25"/>
      <c r="DAW57" s="21"/>
      <c r="DAX57" s="21"/>
      <c r="DBB57" s="15"/>
      <c r="DBH57" s="25"/>
      <c r="DBO57" s="21"/>
      <c r="DBP57" s="21"/>
      <c r="DBT57" s="15"/>
      <c r="DBZ57" s="25"/>
      <c r="DCG57" s="21"/>
      <c r="DCH57" s="21"/>
      <c r="DCL57" s="15"/>
      <c r="DCR57" s="25"/>
      <c r="DCY57" s="21"/>
      <c r="DCZ57" s="21"/>
      <c r="DDD57" s="15"/>
      <c r="DDJ57" s="25"/>
      <c r="DDQ57" s="21"/>
      <c r="DDR57" s="21"/>
      <c r="DDV57" s="15"/>
      <c r="DEB57" s="25"/>
      <c r="DEI57" s="21"/>
      <c r="DEJ57" s="21"/>
      <c r="DEN57" s="15"/>
      <c r="DET57" s="25"/>
      <c r="DFA57" s="21"/>
      <c r="DFB57" s="21"/>
      <c r="DFF57" s="15"/>
      <c r="DFL57" s="25"/>
      <c r="DFS57" s="21"/>
      <c r="DFT57" s="21"/>
      <c r="DFX57" s="15"/>
      <c r="DGD57" s="25"/>
      <c r="DGK57" s="21"/>
      <c r="DGL57" s="21"/>
      <c r="DGP57" s="15"/>
      <c r="DGV57" s="25"/>
      <c r="DHC57" s="21"/>
      <c r="DHD57" s="21"/>
      <c r="DHH57" s="15"/>
      <c r="DHN57" s="25"/>
      <c r="DHU57" s="21"/>
      <c r="DHV57" s="21"/>
      <c r="DHZ57" s="15"/>
      <c r="DIF57" s="25"/>
      <c r="DIM57" s="21"/>
      <c r="DIN57" s="21"/>
      <c r="DIR57" s="15"/>
      <c r="DIX57" s="25"/>
      <c r="DJE57" s="21"/>
      <c r="DJF57" s="21"/>
      <c r="DJJ57" s="15"/>
      <c r="DJP57" s="25"/>
      <c r="DJW57" s="21"/>
      <c r="DJX57" s="21"/>
      <c r="DKB57" s="15"/>
      <c r="DKH57" s="25"/>
      <c r="DKO57" s="21"/>
      <c r="DKP57" s="21"/>
      <c r="DKT57" s="15"/>
      <c r="DKZ57" s="25"/>
      <c r="DLG57" s="21"/>
      <c r="DLH57" s="21"/>
      <c r="DLL57" s="15"/>
      <c r="DLR57" s="25"/>
      <c r="DLY57" s="21"/>
      <c r="DLZ57" s="21"/>
      <c r="DMD57" s="15"/>
      <c r="DMJ57" s="25"/>
      <c r="DMQ57" s="21"/>
      <c r="DMR57" s="21"/>
      <c r="DMV57" s="15"/>
      <c r="DNB57" s="25"/>
      <c r="DNI57" s="21"/>
      <c r="DNJ57" s="21"/>
      <c r="DNN57" s="15"/>
      <c r="DNT57" s="25"/>
      <c r="DOA57" s="21"/>
      <c r="DOB57" s="21"/>
      <c r="DOF57" s="15"/>
      <c r="DOL57" s="25"/>
      <c r="DOS57" s="21"/>
      <c r="DOT57" s="21"/>
      <c r="DOX57" s="15"/>
      <c r="DPD57" s="25"/>
      <c r="DPK57" s="21"/>
      <c r="DPL57" s="21"/>
      <c r="DPP57" s="15"/>
      <c r="DPV57" s="25"/>
      <c r="DQC57" s="21"/>
      <c r="DQD57" s="21"/>
      <c r="DQH57" s="15"/>
      <c r="DQN57" s="25"/>
      <c r="DQU57" s="21"/>
      <c r="DQV57" s="21"/>
      <c r="DQZ57" s="15"/>
      <c r="DRF57" s="25"/>
      <c r="DRM57" s="21"/>
      <c r="DRN57" s="21"/>
      <c r="DRR57" s="15"/>
      <c r="DRX57" s="25"/>
      <c r="DSE57" s="21"/>
      <c r="DSF57" s="21"/>
      <c r="DSJ57" s="15"/>
      <c r="DSP57" s="25"/>
      <c r="DSW57" s="21"/>
      <c r="DSX57" s="21"/>
      <c r="DTB57" s="15"/>
      <c r="DTH57" s="25"/>
      <c r="DTO57" s="21"/>
      <c r="DTP57" s="21"/>
      <c r="DTT57" s="15"/>
      <c r="DTZ57" s="25"/>
      <c r="DUG57" s="21"/>
      <c r="DUH57" s="21"/>
      <c r="DUL57" s="15"/>
      <c r="DUR57" s="25"/>
      <c r="DUY57" s="21"/>
      <c r="DUZ57" s="21"/>
      <c r="DVD57" s="15"/>
      <c r="DVJ57" s="25"/>
      <c r="DVQ57" s="21"/>
      <c r="DVR57" s="21"/>
      <c r="DVV57" s="15"/>
      <c r="DWB57" s="25"/>
      <c r="DWI57" s="21"/>
      <c r="DWJ57" s="21"/>
      <c r="DWN57" s="15"/>
      <c r="DWT57" s="25"/>
      <c r="DXA57" s="21"/>
      <c r="DXB57" s="21"/>
      <c r="DXF57" s="15"/>
      <c r="DXL57" s="25"/>
      <c r="DXS57" s="21"/>
      <c r="DXT57" s="21"/>
      <c r="DXX57" s="15"/>
      <c r="DYD57" s="25"/>
      <c r="DYK57" s="21"/>
      <c r="DYL57" s="21"/>
      <c r="DYP57" s="15"/>
      <c r="DYV57" s="25"/>
      <c r="DZC57" s="21"/>
      <c r="DZD57" s="21"/>
      <c r="DZH57" s="15"/>
      <c r="DZN57" s="25"/>
      <c r="DZU57" s="21"/>
      <c r="DZV57" s="21"/>
      <c r="DZZ57" s="15"/>
      <c r="EAF57" s="25"/>
      <c r="EAM57" s="21"/>
      <c r="EAN57" s="21"/>
      <c r="EAR57" s="15"/>
      <c r="EAX57" s="25"/>
      <c r="EBE57" s="21"/>
      <c r="EBF57" s="21"/>
      <c r="EBJ57" s="15"/>
      <c r="EBP57" s="25"/>
      <c r="EBW57" s="21"/>
      <c r="EBX57" s="21"/>
      <c r="ECB57" s="15"/>
      <c r="ECH57" s="25"/>
      <c r="ECO57" s="21"/>
      <c r="ECP57" s="21"/>
      <c r="ECT57" s="15"/>
      <c r="ECZ57" s="25"/>
      <c r="EDG57" s="21"/>
      <c r="EDH57" s="21"/>
      <c r="EDL57" s="15"/>
      <c r="EDR57" s="25"/>
      <c r="EDY57" s="21"/>
      <c r="EDZ57" s="21"/>
      <c r="EED57" s="15"/>
      <c r="EEJ57" s="25"/>
      <c r="EEQ57" s="21"/>
      <c r="EER57" s="21"/>
      <c r="EEV57" s="15"/>
      <c r="EFB57" s="25"/>
      <c r="EFI57" s="21"/>
      <c r="EFJ57" s="21"/>
      <c r="EFN57" s="15"/>
      <c r="EFT57" s="25"/>
      <c r="EGA57" s="21"/>
      <c r="EGB57" s="21"/>
      <c r="EGF57" s="15"/>
      <c r="EGL57" s="25"/>
      <c r="EGS57" s="21"/>
      <c r="EGT57" s="21"/>
      <c r="EGX57" s="15"/>
      <c r="EHD57" s="25"/>
      <c r="EHK57" s="21"/>
      <c r="EHL57" s="21"/>
      <c r="EHP57" s="15"/>
      <c r="EHV57" s="25"/>
      <c r="EIC57" s="21"/>
      <c r="EID57" s="21"/>
      <c r="EIH57" s="15"/>
      <c r="EIN57" s="25"/>
      <c r="EIU57" s="21"/>
      <c r="EIV57" s="21"/>
      <c r="EIZ57" s="15"/>
      <c r="EJF57" s="25"/>
      <c r="EJM57" s="21"/>
      <c r="EJN57" s="21"/>
      <c r="EJR57" s="15"/>
      <c r="EJX57" s="25"/>
      <c r="EKE57" s="21"/>
      <c r="EKF57" s="21"/>
      <c r="EKJ57" s="15"/>
      <c r="EKP57" s="25"/>
      <c r="EKW57" s="21"/>
      <c r="EKX57" s="21"/>
      <c r="ELB57" s="15"/>
      <c r="ELH57" s="25"/>
      <c r="ELO57" s="21"/>
      <c r="ELP57" s="21"/>
      <c r="ELT57" s="15"/>
      <c r="ELZ57" s="25"/>
      <c r="EMG57" s="21"/>
      <c r="EMH57" s="21"/>
      <c r="EML57" s="15"/>
      <c r="EMR57" s="25"/>
      <c r="EMY57" s="21"/>
      <c r="EMZ57" s="21"/>
      <c r="END57" s="15"/>
      <c r="ENJ57" s="25"/>
      <c r="ENQ57" s="21"/>
      <c r="ENR57" s="21"/>
      <c r="ENV57" s="15"/>
      <c r="EOB57" s="25"/>
      <c r="EOI57" s="21"/>
      <c r="EOJ57" s="21"/>
      <c r="EON57" s="15"/>
      <c r="EOT57" s="25"/>
      <c r="EPA57" s="21"/>
      <c r="EPB57" s="21"/>
      <c r="EPF57" s="15"/>
      <c r="EPL57" s="25"/>
      <c r="EPS57" s="21"/>
      <c r="EPT57" s="21"/>
      <c r="EPX57" s="15"/>
      <c r="EQD57" s="25"/>
      <c r="EQK57" s="21"/>
      <c r="EQL57" s="21"/>
      <c r="EQP57" s="15"/>
      <c r="EQV57" s="25"/>
      <c r="ERC57" s="21"/>
      <c r="ERD57" s="21"/>
      <c r="ERH57" s="15"/>
      <c r="ERN57" s="25"/>
      <c r="ERU57" s="21"/>
      <c r="ERV57" s="21"/>
      <c r="ERZ57" s="15"/>
      <c r="ESF57" s="25"/>
      <c r="ESM57" s="21"/>
      <c r="ESN57" s="21"/>
      <c r="ESR57" s="15"/>
      <c r="ESX57" s="25"/>
      <c r="ETE57" s="21"/>
      <c r="ETF57" s="21"/>
      <c r="ETJ57" s="15"/>
      <c r="ETP57" s="25"/>
      <c r="ETW57" s="21"/>
      <c r="ETX57" s="21"/>
      <c r="EUB57" s="15"/>
      <c r="EUH57" s="25"/>
      <c r="EUO57" s="21"/>
      <c r="EUP57" s="21"/>
      <c r="EUT57" s="15"/>
      <c r="EUZ57" s="25"/>
      <c r="EVG57" s="21"/>
      <c r="EVH57" s="21"/>
      <c r="EVL57" s="15"/>
      <c r="EVR57" s="25"/>
      <c r="EVY57" s="21"/>
      <c r="EVZ57" s="21"/>
      <c r="EWD57" s="15"/>
      <c r="EWJ57" s="25"/>
      <c r="EWQ57" s="21"/>
      <c r="EWR57" s="21"/>
      <c r="EWV57" s="15"/>
      <c r="EXB57" s="25"/>
      <c r="EXI57" s="21"/>
      <c r="EXJ57" s="21"/>
      <c r="EXN57" s="15"/>
      <c r="EXT57" s="25"/>
      <c r="EYA57" s="21"/>
      <c r="EYB57" s="21"/>
      <c r="EYF57" s="15"/>
      <c r="EYL57" s="25"/>
      <c r="EYS57" s="21"/>
      <c r="EYT57" s="21"/>
      <c r="EYX57" s="15"/>
      <c r="EZD57" s="25"/>
      <c r="EZK57" s="21"/>
      <c r="EZL57" s="21"/>
      <c r="EZP57" s="15"/>
      <c r="EZV57" s="25"/>
      <c r="FAC57" s="21"/>
      <c r="FAD57" s="21"/>
      <c r="FAH57" s="15"/>
      <c r="FAN57" s="25"/>
      <c r="FAU57" s="21"/>
      <c r="FAV57" s="21"/>
      <c r="FAZ57" s="15"/>
      <c r="FBF57" s="25"/>
      <c r="FBM57" s="21"/>
      <c r="FBN57" s="21"/>
      <c r="FBR57" s="15"/>
      <c r="FBX57" s="25"/>
      <c r="FCE57" s="21"/>
      <c r="FCF57" s="21"/>
      <c r="FCJ57" s="15"/>
      <c r="FCP57" s="25"/>
      <c r="FCW57" s="21"/>
      <c r="FCX57" s="21"/>
      <c r="FDB57" s="15"/>
      <c r="FDH57" s="25"/>
      <c r="FDO57" s="21"/>
      <c r="FDP57" s="21"/>
      <c r="FDT57" s="15"/>
      <c r="FDZ57" s="25"/>
      <c r="FEG57" s="21"/>
      <c r="FEH57" s="21"/>
      <c r="FEL57" s="15"/>
      <c r="FER57" s="25"/>
      <c r="FEY57" s="21"/>
      <c r="FEZ57" s="21"/>
      <c r="FFD57" s="15"/>
      <c r="FFJ57" s="25"/>
      <c r="FFQ57" s="21"/>
      <c r="FFR57" s="21"/>
      <c r="FFV57" s="15"/>
      <c r="FGB57" s="25"/>
      <c r="FGI57" s="21"/>
      <c r="FGJ57" s="21"/>
      <c r="FGN57" s="15"/>
      <c r="FGT57" s="25"/>
      <c r="FHA57" s="21"/>
      <c r="FHB57" s="21"/>
      <c r="FHF57" s="15"/>
      <c r="FHL57" s="25"/>
      <c r="FHS57" s="21"/>
      <c r="FHT57" s="21"/>
      <c r="FHX57" s="15"/>
      <c r="FID57" s="25"/>
      <c r="FIK57" s="21"/>
      <c r="FIL57" s="21"/>
      <c r="FIP57" s="15"/>
      <c r="FIV57" s="25"/>
      <c r="FJC57" s="21"/>
      <c r="FJD57" s="21"/>
      <c r="FJH57" s="15"/>
      <c r="FJN57" s="25"/>
      <c r="FJU57" s="21"/>
      <c r="FJV57" s="21"/>
      <c r="FJZ57" s="15"/>
      <c r="FKF57" s="25"/>
      <c r="FKM57" s="21"/>
      <c r="FKN57" s="21"/>
      <c r="FKR57" s="15"/>
      <c r="FKX57" s="25"/>
      <c r="FLE57" s="21"/>
      <c r="FLF57" s="21"/>
      <c r="FLJ57" s="15"/>
      <c r="FLP57" s="25"/>
      <c r="FLW57" s="21"/>
      <c r="FLX57" s="21"/>
      <c r="FMB57" s="15"/>
      <c r="FMH57" s="25"/>
      <c r="FMO57" s="21"/>
      <c r="FMP57" s="21"/>
      <c r="FMT57" s="15"/>
      <c r="FMZ57" s="25"/>
      <c r="FNG57" s="21"/>
      <c r="FNH57" s="21"/>
      <c r="FNL57" s="15"/>
      <c r="FNR57" s="25"/>
      <c r="FNY57" s="21"/>
      <c r="FNZ57" s="21"/>
      <c r="FOD57" s="15"/>
      <c r="FOJ57" s="25"/>
      <c r="FOQ57" s="21"/>
      <c r="FOR57" s="21"/>
      <c r="FOV57" s="15"/>
      <c r="FPB57" s="25"/>
      <c r="FPI57" s="21"/>
      <c r="FPJ57" s="21"/>
      <c r="FPN57" s="15"/>
      <c r="FPT57" s="25"/>
      <c r="FQA57" s="21"/>
      <c r="FQB57" s="21"/>
      <c r="FQF57" s="15"/>
      <c r="FQL57" s="25"/>
      <c r="FQS57" s="21"/>
      <c r="FQT57" s="21"/>
      <c r="FQX57" s="15"/>
      <c r="FRD57" s="25"/>
      <c r="FRK57" s="21"/>
      <c r="FRL57" s="21"/>
      <c r="FRP57" s="15"/>
      <c r="FRV57" s="25"/>
      <c r="FSC57" s="21"/>
      <c r="FSD57" s="21"/>
      <c r="FSH57" s="15"/>
      <c r="FSN57" s="25"/>
      <c r="FSU57" s="21"/>
      <c r="FSV57" s="21"/>
      <c r="FSZ57" s="15"/>
      <c r="FTF57" s="25"/>
      <c r="FTM57" s="21"/>
      <c r="FTN57" s="21"/>
      <c r="FTR57" s="15"/>
      <c r="FTX57" s="25"/>
      <c r="FUE57" s="21"/>
      <c r="FUF57" s="21"/>
      <c r="FUJ57" s="15"/>
      <c r="FUP57" s="25"/>
      <c r="FUW57" s="21"/>
      <c r="FUX57" s="21"/>
      <c r="FVB57" s="15"/>
      <c r="FVH57" s="25"/>
      <c r="FVO57" s="21"/>
      <c r="FVP57" s="21"/>
      <c r="FVT57" s="15"/>
      <c r="FVZ57" s="25"/>
      <c r="FWG57" s="21"/>
      <c r="FWH57" s="21"/>
      <c r="FWL57" s="15"/>
      <c r="FWR57" s="25"/>
      <c r="FWY57" s="21"/>
      <c r="FWZ57" s="21"/>
      <c r="FXD57" s="15"/>
      <c r="FXJ57" s="25"/>
      <c r="FXQ57" s="21"/>
      <c r="FXR57" s="21"/>
      <c r="FXV57" s="15"/>
      <c r="FYB57" s="25"/>
      <c r="FYI57" s="21"/>
      <c r="FYJ57" s="21"/>
      <c r="FYN57" s="15"/>
      <c r="FYT57" s="25"/>
      <c r="FZA57" s="21"/>
      <c r="FZB57" s="21"/>
      <c r="FZF57" s="15"/>
      <c r="FZL57" s="25"/>
      <c r="FZS57" s="21"/>
      <c r="FZT57" s="21"/>
      <c r="FZX57" s="15"/>
      <c r="GAD57" s="25"/>
      <c r="GAK57" s="21"/>
      <c r="GAL57" s="21"/>
      <c r="GAP57" s="15"/>
      <c r="GAV57" s="25"/>
      <c r="GBC57" s="21"/>
      <c r="GBD57" s="21"/>
      <c r="GBH57" s="15"/>
      <c r="GBN57" s="25"/>
      <c r="GBU57" s="21"/>
      <c r="GBV57" s="21"/>
      <c r="GBZ57" s="15"/>
      <c r="GCF57" s="25"/>
      <c r="GCM57" s="21"/>
      <c r="GCN57" s="21"/>
      <c r="GCR57" s="15"/>
      <c r="GCX57" s="25"/>
      <c r="GDE57" s="21"/>
      <c r="GDF57" s="21"/>
      <c r="GDJ57" s="15"/>
      <c r="GDP57" s="25"/>
      <c r="GDW57" s="21"/>
      <c r="GDX57" s="21"/>
      <c r="GEB57" s="15"/>
      <c r="GEH57" s="25"/>
      <c r="GEO57" s="21"/>
      <c r="GEP57" s="21"/>
      <c r="GET57" s="15"/>
      <c r="GEZ57" s="25"/>
      <c r="GFG57" s="21"/>
      <c r="GFH57" s="21"/>
      <c r="GFL57" s="15"/>
      <c r="GFR57" s="25"/>
      <c r="GFY57" s="21"/>
      <c r="GFZ57" s="21"/>
      <c r="GGD57" s="15"/>
      <c r="GGJ57" s="25"/>
      <c r="GGQ57" s="21"/>
      <c r="GGR57" s="21"/>
      <c r="GGV57" s="15"/>
      <c r="GHB57" s="25"/>
      <c r="GHI57" s="21"/>
      <c r="GHJ57" s="21"/>
      <c r="GHN57" s="15"/>
      <c r="GHT57" s="25"/>
      <c r="GIA57" s="21"/>
      <c r="GIB57" s="21"/>
      <c r="GIF57" s="15"/>
      <c r="GIL57" s="25"/>
      <c r="GIS57" s="21"/>
      <c r="GIT57" s="21"/>
      <c r="GIX57" s="15"/>
      <c r="GJD57" s="25"/>
      <c r="GJK57" s="21"/>
      <c r="GJL57" s="21"/>
      <c r="GJP57" s="15"/>
      <c r="GJV57" s="25"/>
      <c r="GKC57" s="21"/>
      <c r="GKD57" s="21"/>
      <c r="GKH57" s="15"/>
      <c r="GKN57" s="25"/>
      <c r="GKU57" s="21"/>
      <c r="GKV57" s="21"/>
      <c r="GKZ57" s="15"/>
      <c r="GLF57" s="25"/>
      <c r="GLM57" s="21"/>
      <c r="GLN57" s="21"/>
      <c r="GLR57" s="15"/>
      <c r="GLX57" s="25"/>
      <c r="GME57" s="21"/>
      <c r="GMF57" s="21"/>
      <c r="GMJ57" s="15"/>
      <c r="GMP57" s="25"/>
      <c r="GMW57" s="21"/>
      <c r="GMX57" s="21"/>
      <c r="GNB57" s="15"/>
      <c r="GNH57" s="25"/>
      <c r="GNO57" s="21"/>
      <c r="GNP57" s="21"/>
      <c r="GNT57" s="15"/>
      <c r="GNZ57" s="25"/>
      <c r="GOG57" s="21"/>
      <c r="GOH57" s="21"/>
      <c r="GOL57" s="15"/>
      <c r="GOR57" s="25"/>
      <c r="GOY57" s="21"/>
      <c r="GOZ57" s="21"/>
      <c r="GPD57" s="15"/>
      <c r="GPJ57" s="25"/>
      <c r="GPQ57" s="21"/>
      <c r="GPR57" s="21"/>
      <c r="GPV57" s="15"/>
      <c r="GQB57" s="25"/>
      <c r="GQI57" s="21"/>
      <c r="GQJ57" s="21"/>
      <c r="GQN57" s="15"/>
      <c r="GQT57" s="25"/>
      <c r="GRA57" s="21"/>
      <c r="GRB57" s="21"/>
      <c r="GRF57" s="15"/>
      <c r="GRL57" s="25"/>
      <c r="GRS57" s="21"/>
      <c r="GRT57" s="21"/>
      <c r="GRX57" s="15"/>
      <c r="GSD57" s="25"/>
      <c r="GSK57" s="21"/>
      <c r="GSL57" s="21"/>
      <c r="GSP57" s="15"/>
      <c r="GSV57" s="25"/>
      <c r="GTC57" s="21"/>
      <c r="GTD57" s="21"/>
      <c r="GTH57" s="15"/>
      <c r="GTN57" s="25"/>
      <c r="GTU57" s="21"/>
      <c r="GTV57" s="21"/>
      <c r="GTZ57" s="15"/>
      <c r="GUF57" s="25"/>
      <c r="GUM57" s="21"/>
      <c r="GUN57" s="21"/>
      <c r="GUR57" s="15"/>
      <c r="GUX57" s="25"/>
      <c r="GVE57" s="21"/>
      <c r="GVF57" s="21"/>
      <c r="GVJ57" s="15"/>
      <c r="GVP57" s="25"/>
      <c r="GVW57" s="21"/>
      <c r="GVX57" s="21"/>
      <c r="GWB57" s="15"/>
      <c r="GWH57" s="25"/>
      <c r="GWO57" s="21"/>
      <c r="GWP57" s="21"/>
      <c r="GWT57" s="15"/>
      <c r="GWZ57" s="25"/>
      <c r="GXG57" s="21"/>
      <c r="GXH57" s="21"/>
      <c r="GXL57" s="15"/>
      <c r="GXR57" s="25"/>
      <c r="GXY57" s="21"/>
      <c r="GXZ57" s="21"/>
      <c r="GYD57" s="15"/>
      <c r="GYJ57" s="25"/>
      <c r="GYQ57" s="21"/>
      <c r="GYR57" s="21"/>
      <c r="GYV57" s="15"/>
      <c r="GZB57" s="25"/>
      <c r="GZI57" s="21"/>
      <c r="GZJ57" s="21"/>
      <c r="GZN57" s="15"/>
      <c r="GZT57" s="25"/>
      <c r="HAA57" s="21"/>
      <c r="HAB57" s="21"/>
      <c r="HAF57" s="15"/>
      <c r="HAL57" s="25"/>
      <c r="HAS57" s="21"/>
      <c r="HAT57" s="21"/>
      <c r="HAX57" s="15"/>
      <c r="HBD57" s="25"/>
      <c r="HBK57" s="21"/>
      <c r="HBL57" s="21"/>
      <c r="HBP57" s="15"/>
      <c r="HBV57" s="25"/>
      <c r="HCC57" s="21"/>
      <c r="HCD57" s="21"/>
      <c r="HCH57" s="15"/>
      <c r="HCN57" s="25"/>
      <c r="HCU57" s="21"/>
      <c r="HCV57" s="21"/>
      <c r="HCZ57" s="15"/>
      <c r="HDF57" s="25"/>
      <c r="HDM57" s="21"/>
      <c r="HDN57" s="21"/>
      <c r="HDR57" s="15"/>
      <c r="HDX57" s="25"/>
      <c r="HEE57" s="21"/>
      <c r="HEF57" s="21"/>
      <c r="HEJ57" s="15"/>
      <c r="HEP57" s="25"/>
      <c r="HEW57" s="21"/>
      <c r="HEX57" s="21"/>
      <c r="HFB57" s="15"/>
      <c r="HFH57" s="25"/>
      <c r="HFO57" s="21"/>
      <c r="HFP57" s="21"/>
      <c r="HFT57" s="15"/>
      <c r="HFZ57" s="25"/>
      <c r="HGG57" s="21"/>
      <c r="HGH57" s="21"/>
      <c r="HGL57" s="15"/>
      <c r="HGR57" s="25"/>
      <c r="HGY57" s="21"/>
      <c r="HGZ57" s="21"/>
      <c r="HHD57" s="15"/>
      <c r="HHJ57" s="25"/>
      <c r="HHQ57" s="21"/>
      <c r="HHR57" s="21"/>
      <c r="HHV57" s="15"/>
      <c r="HIB57" s="25"/>
      <c r="HII57" s="21"/>
      <c r="HIJ57" s="21"/>
      <c r="HIN57" s="15"/>
      <c r="HIT57" s="25"/>
      <c r="HJA57" s="21"/>
      <c r="HJB57" s="21"/>
      <c r="HJF57" s="15"/>
      <c r="HJL57" s="25"/>
      <c r="HJS57" s="21"/>
      <c r="HJT57" s="21"/>
      <c r="HJX57" s="15"/>
      <c r="HKD57" s="25"/>
      <c r="HKK57" s="21"/>
      <c r="HKL57" s="21"/>
      <c r="HKP57" s="15"/>
      <c r="HKV57" s="25"/>
      <c r="HLC57" s="21"/>
      <c r="HLD57" s="21"/>
      <c r="HLH57" s="15"/>
      <c r="HLN57" s="25"/>
      <c r="HLU57" s="21"/>
      <c r="HLV57" s="21"/>
      <c r="HLZ57" s="15"/>
      <c r="HMF57" s="25"/>
      <c r="HMM57" s="21"/>
      <c r="HMN57" s="21"/>
      <c r="HMR57" s="15"/>
      <c r="HMX57" s="25"/>
      <c r="HNE57" s="21"/>
      <c r="HNF57" s="21"/>
      <c r="HNJ57" s="15"/>
      <c r="HNP57" s="25"/>
      <c r="HNW57" s="21"/>
      <c r="HNX57" s="21"/>
      <c r="HOB57" s="15"/>
      <c r="HOH57" s="25"/>
      <c r="HOO57" s="21"/>
      <c r="HOP57" s="21"/>
      <c r="HOT57" s="15"/>
      <c r="HOZ57" s="25"/>
      <c r="HPG57" s="21"/>
      <c r="HPH57" s="21"/>
      <c r="HPL57" s="15"/>
      <c r="HPR57" s="25"/>
      <c r="HPY57" s="21"/>
      <c r="HPZ57" s="21"/>
      <c r="HQD57" s="15"/>
      <c r="HQJ57" s="25"/>
      <c r="HQQ57" s="21"/>
      <c r="HQR57" s="21"/>
      <c r="HQV57" s="15"/>
      <c r="HRB57" s="25"/>
      <c r="HRI57" s="21"/>
      <c r="HRJ57" s="21"/>
      <c r="HRN57" s="15"/>
      <c r="HRT57" s="25"/>
      <c r="HSA57" s="21"/>
      <c r="HSB57" s="21"/>
      <c r="HSF57" s="15"/>
      <c r="HSL57" s="25"/>
      <c r="HSS57" s="21"/>
      <c r="HST57" s="21"/>
      <c r="HSX57" s="15"/>
      <c r="HTD57" s="25"/>
      <c r="HTK57" s="21"/>
      <c r="HTL57" s="21"/>
      <c r="HTP57" s="15"/>
      <c r="HTV57" s="25"/>
      <c r="HUC57" s="21"/>
      <c r="HUD57" s="21"/>
      <c r="HUH57" s="15"/>
      <c r="HUN57" s="25"/>
      <c r="HUU57" s="21"/>
      <c r="HUV57" s="21"/>
      <c r="HUZ57" s="15"/>
      <c r="HVF57" s="25"/>
      <c r="HVM57" s="21"/>
      <c r="HVN57" s="21"/>
      <c r="HVR57" s="15"/>
      <c r="HVX57" s="25"/>
      <c r="HWE57" s="21"/>
      <c r="HWF57" s="21"/>
      <c r="HWJ57" s="15"/>
      <c r="HWP57" s="25"/>
      <c r="HWW57" s="21"/>
      <c r="HWX57" s="21"/>
      <c r="HXB57" s="15"/>
      <c r="HXH57" s="25"/>
      <c r="HXO57" s="21"/>
      <c r="HXP57" s="21"/>
      <c r="HXT57" s="15"/>
      <c r="HXZ57" s="25"/>
      <c r="HYG57" s="21"/>
      <c r="HYH57" s="21"/>
      <c r="HYL57" s="15"/>
      <c r="HYR57" s="25"/>
      <c r="HYY57" s="21"/>
      <c r="HYZ57" s="21"/>
      <c r="HZD57" s="15"/>
      <c r="HZJ57" s="25"/>
      <c r="HZQ57" s="21"/>
      <c r="HZR57" s="21"/>
      <c r="HZV57" s="15"/>
      <c r="IAB57" s="25"/>
      <c r="IAI57" s="21"/>
      <c r="IAJ57" s="21"/>
      <c r="IAN57" s="15"/>
      <c r="IAT57" s="25"/>
      <c r="IBA57" s="21"/>
      <c r="IBB57" s="21"/>
      <c r="IBF57" s="15"/>
      <c r="IBL57" s="25"/>
      <c r="IBS57" s="21"/>
      <c r="IBT57" s="21"/>
      <c r="IBX57" s="15"/>
      <c r="ICD57" s="25"/>
      <c r="ICK57" s="21"/>
      <c r="ICL57" s="21"/>
      <c r="ICP57" s="15"/>
      <c r="ICV57" s="25"/>
      <c r="IDC57" s="21"/>
      <c r="IDD57" s="21"/>
      <c r="IDH57" s="15"/>
      <c r="IDN57" s="25"/>
      <c r="IDU57" s="21"/>
      <c r="IDV57" s="21"/>
      <c r="IDZ57" s="15"/>
      <c r="IEF57" s="25"/>
      <c r="IEM57" s="21"/>
      <c r="IEN57" s="21"/>
      <c r="IER57" s="15"/>
      <c r="IEX57" s="25"/>
      <c r="IFE57" s="21"/>
      <c r="IFF57" s="21"/>
      <c r="IFJ57" s="15"/>
      <c r="IFP57" s="25"/>
      <c r="IFW57" s="21"/>
      <c r="IFX57" s="21"/>
      <c r="IGB57" s="15"/>
      <c r="IGH57" s="25"/>
      <c r="IGO57" s="21"/>
      <c r="IGP57" s="21"/>
      <c r="IGT57" s="15"/>
      <c r="IGZ57" s="25"/>
      <c r="IHG57" s="21"/>
      <c r="IHH57" s="21"/>
      <c r="IHL57" s="15"/>
      <c r="IHR57" s="25"/>
      <c r="IHY57" s="21"/>
      <c r="IHZ57" s="21"/>
      <c r="IID57" s="15"/>
      <c r="IIJ57" s="25"/>
      <c r="IIQ57" s="21"/>
      <c r="IIR57" s="21"/>
      <c r="IIV57" s="15"/>
      <c r="IJB57" s="25"/>
      <c r="IJI57" s="21"/>
      <c r="IJJ57" s="21"/>
      <c r="IJN57" s="15"/>
      <c r="IJT57" s="25"/>
      <c r="IKA57" s="21"/>
      <c r="IKB57" s="21"/>
      <c r="IKF57" s="15"/>
      <c r="IKL57" s="25"/>
      <c r="IKS57" s="21"/>
      <c r="IKT57" s="21"/>
      <c r="IKX57" s="15"/>
      <c r="ILD57" s="25"/>
      <c r="ILK57" s="21"/>
      <c r="ILL57" s="21"/>
      <c r="ILP57" s="15"/>
      <c r="ILV57" s="25"/>
      <c r="IMC57" s="21"/>
      <c r="IMD57" s="21"/>
      <c r="IMH57" s="15"/>
      <c r="IMN57" s="25"/>
      <c r="IMU57" s="21"/>
      <c r="IMV57" s="21"/>
      <c r="IMZ57" s="15"/>
      <c r="INF57" s="25"/>
      <c r="INM57" s="21"/>
      <c r="INN57" s="21"/>
      <c r="INR57" s="15"/>
      <c r="INX57" s="25"/>
      <c r="IOE57" s="21"/>
      <c r="IOF57" s="21"/>
      <c r="IOJ57" s="15"/>
      <c r="IOP57" s="25"/>
      <c r="IOW57" s="21"/>
      <c r="IOX57" s="21"/>
      <c r="IPB57" s="15"/>
      <c r="IPH57" s="25"/>
      <c r="IPO57" s="21"/>
      <c r="IPP57" s="21"/>
      <c r="IPT57" s="15"/>
      <c r="IPZ57" s="25"/>
      <c r="IQG57" s="21"/>
      <c r="IQH57" s="21"/>
      <c r="IQL57" s="15"/>
      <c r="IQR57" s="25"/>
      <c r="IQY57" s="21"/>
      <c r="IQZ57" s="21"/>
      <c r="IRD57" s="15"/>
      <c r="IRJ57" s="25"/>
      <c r="IRQ57" s="21"/>
      <c r="IRR57" s="21"/>
      <c r="IRV57" s="15"/>
      <c r="ISB57" s="25"/>
      <c r="ISI57" s="21"/>
      <c r="ISJ57" s="21"/>
      <c r="ISN57" s="15"/>
      <c r="IST57" s="25"/>
      <c r="ITA57" s="21"/>
      <c r="ITB57" s="21"/>
      <c r="ITF57" s="15"/>
      <c r="ITL57" s="25"/>
      <c r="ITS57" s="21"/>
      <c r="ITT57" s="21"/>
      <c r="ITX57" s="15"/>
      <c r="IUD57" s="25"/>
      <c r="IUK57" s="21"/>
      <c r="IUL57" s="21"/>
      <c r="IUP57" s="15"/>
      <c r="IUV57" s="25"/>
      <c r="IVC57" s="21"/>
      <c r="IVD57" s="21"/>
      <c r="IVH57" s="15"/>
      <c r="IVN57" s="25"/>
      <c r="IVU57" s="21"/>
      <c r="IVV57" s="21"/>
      <c r="IVZ57" s="15"/>
      <c r="IWF57" s="25"/>
      <c r="IWM57" s="21"/>
      <c r="IWN57" s="21"/>
      <c r="IWR57" s="15"/>
      <c r="IWX57" s="25"/>
      <c r="IXE57" s="21"/>
      <c r="IXF57" s="21"/>
      <c r="IXJ57" s="15"/>
      <c r="IXP57" s="25"/>
      <c r="IXW57" s="21"/>
      <c r="IXX57" s="21"/>
      <c r="IYB57" s="15"/>
      <c r="IYH57" s="25"/>
      <c r="IYO57" s="21"/>
      <c r="IYP57" s="21"/>
      <c r="IYT57" s="15"/>
      <c r="IYZ57" s="25"/>
      <c r="IZG57" s="21"/>
      <c r="IZH57" s="21"/>
      <c r="IZL57" s="15"/>
      <c r="IZR57" s="25"/>
      <c r="IZY57" s="21"/>
      <c r="IZZ57" s="21"/>
      <c r="JAD57" s="15"/>
      <c r="JAJ57" s="25"/>
      <c r="JAQ57" s="21"/>
      <c r="JAR57" s="21"/>
      <c r="JAV57" s="15"/>
      <c r="JBB57" s="25"/>
      <c r="JBI57" s="21"/>
      <c r="JBJ57" s="21"/>
      <c r="JBN57" s="15"/>
      <c r="JBT57" s="25"/>
      <c r="JCA57" s="21"/>
      <c r="JCB57" s="21"/>
      <c r="JCF57" s="15"/>
      <c r="JCL57" s="25"/>
      <c r="JCS57" s="21"/>
      <c r="JCT57" s="21"/>
      <c r="JCX57" s="15"/>
      <c r="JDD57" s="25"/>
      <c r="JDK57" s="21"/>
      <c r="JDL57" s="21"/>
      <c r="JDP57" s="15"/>
      <c r="JDV57" s="25"/>
      <c r="JEC57" s="21"/>
      <c r="JED57" s="21"/>
      <c r="JEH57" s="15"/>
      <c r="JEN57" s="25"/>
      <c r="JEU57" s="21"/>
      <c r="JEV57" s="21"/>
      <c r="JEZ57" s="15"/>
      <c r="JFF57" s="25"/>
      <c r="JFM57" s="21"/>
      <c r="JFN57" s="21"/>
      <c r="JFR57" s="15"/>
      <c r="JFX57" s="25"/>
      <c r="JGE57" s="21"/>
      <c r="JGF57" s="21"/>
      <c r="JGJ57" s="15"/>
      <c r="JGP57" s="25"/>
      <c r="JGW57" s="21"/>
      <c r="JGX57" s="21"/>
      <c r="JHB57" s="15"/>
      <c r="JHH57" s="25"/>
      <c r="JHO57" s="21"/>
      <c r="JHP57" s="21"/>
      <c r="JHT57" s="15"/>
      <c r="JHZ57" s="25"/>
      <c r="JIG57" s="21"/>
      <c r="JIH57" s="21"/>
      <c r="JIL57" s="15"/>
      <c r="JIR57" s="25"/>
      <c r="JIY57" s="21"/>
      <c r="JIZ57" s="21"/>
      <c r="JJD57" s="15"/>
      <c r="JJJ57" s="25"/>
      <c r="JJQ57" s="21"/>
      <c r="JJR57" s="21"/>
      <c r="JJV57" s="15"/>
      <c r="JKB57" s="25"/>
      <c r="JKI57" s="21"/>
      <c r="JKJ57" s="21"/>
      <c r="JKN57" s="15"/>
      <c r="JKT57" s="25"/>
      <c r="JLA57" s="21"/>
      <c r="JLB57" s="21"/>
      <c r="JLF57" s="15"/>
      <c r="JLL57" s="25"/>
      <c r="JLS57" s="21"/>
      <c r="JLT57" s="21"/>
      <c r="JLX57" s="15"/>
      <c r="JMD57" s="25"/>
      <c r="JMK57" s="21"/>
      <c r="JML57" s="21"/>
      <c r="JMP57" s="15"/>
      <c r="JMV57" s="25"/>
      <c r="JNC57" s="21"/>
      <c r="JND57" s="21"/>
      <c r="JNH57" s="15"/>
      <c r="JNN57" s="25"/>
      <c r="JNU57" s="21"/>
      <c r="JNV57" s="21"/>
      <c r="JNZ57" s="15"/>
      <c r="JOF57" s="25"/>
      <c r="JOM57" s="21"/>
      <c r="JON57" s="21"/>
      <c r="JOR57" s="15"/>
      <c r="JOX57" s="25"/>
      <c r="JPE57" s="21"/>
      <c r="JPF57" s="21"/>
      <c r="JPJ57" s="15"/>
      <c r="JPP57" s="25"/>
      <c r="JPW57" s="21"/>
      <c r="JPX57" s="21"/>
      <c r="JQB57" s="15"/>
      <c r="JQH57" s="25"/>
      <c r="JQO57" s="21"/>
      <c r="JQP57" s="21"/>
      <c r="JQT57" s="15"/>
      <c r="JQZ57" s="25"/>
      <c r="JRG57" s="21"/>
      <c r="JRH57" s="21"/>
      <c r="JRL57" s="15"/>
      <c r="JRR57" s="25"/>
      <c r="JRY57" s="21"/>
      <c r="JRZ57" s="21"/>
      <c r="JSD57" s="15"/>
      <c r="JSJ57" s="25"/>
      <c r="JSQ57" s="21"/>
      <c r="JSR57" s="21"/>
      <c r="JSV57" s="15"/>
      <c r="JTB57" s="25"/>
      <c r="JTI57" s="21"/>
      <c r="JTJ57" s="21"/>
      <c r="JTN57" s="15"/>
      <c r="JTT57" s="25"/>
      <c r="JUA57" s="21"/>
      <c r="JUB57" s="21"/>
      <c r="JUF57" s="15"/>
      <c r="JUL57" s="25"/>
      <c r="JUS57" s="21"/>
      <c r="JUT57" s="21"/>
      <c r="JUX57" s="15"/>
      <c r="JVD57" s="25"/>
      <c r="JVK57" s="21"/>
      <c r="JVL57" s="21"/>
      <c r="JVP57" s="15"/>
      <c r="JVV57" s="25"/>
      <c r="JWC57" s="21"/>
      <c r="JWD57" s="21"/>
      <c r="JWH57" s="15"/>
      <c r="JWN57" s="25"/>
      <c r="JWU57" s="21"/>
      <c r="JWV57" s="21"/>
      <c r="JWZ57" s="15"/>
      <c r="JXF57" s="25"/>
      <c r="JXM57" s="21"/>
      <c r="JXN57" s="21"/>
      <c r="JXR57" s="15"/>
      <c r="JXX57" s="25"/>
      <c r="JYE57" s="21"/>
      <c r="JYF57" s="21"/>
      <c r="JYJ57" s="15"/>
      <c r="JYP57" s="25"/>
      <c r="JYW57" s="21"/>
      <c r="JYX57" s="21"/>
      <c r="JZB57" s="15"/>
      <c r="JZH57" s="25"/>
      <c r="JZO57" s="21"/>
      <c r="JZP57" s="21"/>
      <c r="JZT57" s="15"/>
      <c r="JZZ57" s="25"/>
      <c r="KAG57" s="21"/>
      <c r="KAH57" s="21"/>
      <c r="KAL57" s="15"/>
      <c r="KAR57" s="25"/>
      <c r="KAY57" s="21"/>
      <c r="KAZ57" s="21"/>
      <c r="KBD57" s="15"/>
      <c r="KBJ57" s="25"/>
      <c r="KBQ57" s="21"/>
      <c r="KBR57" s="21"/>
      <c r="KBV57" s="15"/>
      <c r="KCB57" s="25"/>
      <c r="KCI57" s="21"/>
      <c r="KCJ57" s="21"/>
      <c r="KCN57" s="15"/>
      <c r="KCT57" s="25"/>
      <c r="KDA57" s="21"/>
      <c r="KDB57" s="21"/>
      <c r="KDF57" s="15"/>
      <c r="KDL57" s="25"/>
      <c r="KDS57" s="21"/>
      <c r="KDT57" s="21"/>
      <c r="KDX57" s="15"/>
      <c r="KED57" s="25"/>
      <c r="KEK57" s="21"/>
      <c r="KEL57" s="21"/>
      <c r="KEP57" s="15"/>
      <c r="KEV57" s="25"/>
      <c r="KFC57" s="21"/>
      <c r="KFD57" s="21"/>
      <c r="KFH57" s="15"/>
      <c r="KFN57" s="25"/>
      <c r="KFU57" s="21"/>
      <c r="KFV57" s="21"/>
      <c r="KFZ57" s="15"/>
      <c r="KGF57" s="25"/>
      <c r="KGM57" s="21"/>
      <c r="KGN57" s="21"/>
      <c r="KGR57" s="15"/>
      <c r="KGX57" s="25"/>
      <c r="KHE57" s="21"/>
      <c r="KHF57" s="21"/>
      <c r="KHJ57" s="15"/>
      <c r="KHP57" s="25"/>
      <c r="KHW57" s="21"/>
      <c r="KHX57" s="21"/>
      <c r="KIB57" s="15"/>
      <c r="KIH57" s="25"/>
      <c r="KIO57" s="21"/>
      <c r="KIP57" s="21"/>
      <c r="KIT57" s="15"/>
      <c r="KIZ57" s="25"/>
      <c r="KJG57" s="21"/>
      <c r="KJH57" s="21"/>
      <c r="KJL57" s="15"/>
      <c r="KJR57" s="25"/>
      <c r="KJY57" s="21"/>
      <c r="KJZ57" s="21"/>
      <c r="KKD57" s="15"/>
      <c r="KKJ57" s="25"/>
      <c r="KKQ57" s="21"/>
      <c r="KKR57" s="21"/>
      <c r="KKV57" s="15"/>
      <c r="KLB57" s="25"/>
      <c r="KLI57" s="21"/>
      <c r="KLJ57" s="21"/>
      <c r="KLN57" s="15"/>
      <c r="KLT57" s="25"/>
      <c r="KMA57" s="21"/>
      <c r="KMB57" s="21"/>
      <c r="KMF57" s="15"/>
      <c r="KML57" s="25"/>
      <c r="KMS57" s="21"/>
      <c r="KMT57" s="21"/>
      <c r="KMX57" s="15"/>
      <c r="KND57" s="25"/>
      <c r="KNK57" s="21"/>
      <c r="KNL57" s="21"/>
      <c r="KNP57" s="15"/>
      <c r="KNV57" s="25"/>
      <c r="KOC57" s="21"/>
      <c r="KOD57" s="21"/>
      <c r="KOH57" s="15"/>
      <c r="KON57" s="25"/>
      <c r="KOU57" s="21"/>
      <c r="KOV57" s="21"/>
      <c r="KOZ57" s="15"/>
      <c r="KPF57" s="25"/>
      <c r="KPM57" s="21"/>
      <c r="KPN57" s="21"/>
      <c r="KPR57" s="15"/>
      <c r="KPX57" s="25"/>
      <c r="KQE57" s="21"/>
      <c r="KQF57" s="21"/>
      <c r="KQJ57" s="15"/>
      <c r="KQP57" s="25"/>
      <c r="KQW57" s="21"/>
      <c r="KQX57" s="21"/>
      <c r="KRB57" s="15"/>
      <c r="KRH57" s="25"/>
      <c r="KRO57" s="21"/>
      <c r="KRP57" s="21"/>
      <c r="KRT57" s="15"/>
      <c r="KRZ57" s="25"/>
      <c r="KSG57" s="21"/>
      <c r="KSH57" s="21"/>
      <c r="KSL57" s="15"/>
      <c r="KSR57" s="25"/>
      <c r="KSY57" s="21"/>
      <c r="KSZ57" s="21"/>
      <c r="KTD57" s="15"/>
      <c r="KTJ57" s="25"/>
      <c r="KTQ57" s="21"/>
      <c r="KTR57" s="21"/>
      <c r="KTV57" s="15"/>
      <c r="KUB57" s="25"/>
      <c r="KUI57" s="21"/>
      <c r="KUJ57" s="21"/>
      <c r="KUN57" s="15"/>
      <c r="KUT57" s="25"/>
      <c r="KVA57" s="21"/>
      <c r="KVB57" s="21"/>
      <c r="KVF57" s="15"/>
      <c r="KVL57" s="25"/>
      <c r="KVS57" s="21"/>
      <c r="KVT57" s="21"/>
      <c r="KVX57" s="15"/>
      <c r="KWD57" s="25"/>
      <c r="KWK57" s="21"/>
      <c r="KWL57" s="21"/>
      <c r="KWP57" s="15"/>
      <c r="KWV57" s="25"/>
      <c r="KXC57" s="21"/>
      <c r="KXD57" s="21"/>
      <c r="KXH57" s="15"/>
      <c r="KXN57" s="25"/>
      <c r="KXU57" s="21"/>
      <c r="KXV57" s="21"/>
      <c r="KXZ57" s="15"/>
      <c r="KYF57" s="25"/>
      <c r="KYM57" s="21"/>
      <c r="KYN57" s="21"/>
      <c r="KYR57" s="15"/>
      <c r="KYX57" s="25"/>
      <c r="KZE57" s="21"/>
      <c r="KZF57" s="21"/>
      <c r="KZJ57" s="15"/>
      <c r="KZP57" s="25"/>
      <c r="KZW57" s="21"/>
      <c r="KZX57" s="21"/>
      <c r="LAB57" s="15"/>
      <c r="LAH57" s="25"/>
      <c r="LAO57" s="21"/>
      <c r="LAP57" s="21"/>
      <c r="LAT57" s="15"/>
      <c r="LAZ57" s="25"/>
      <c r="LBG57" s="21"/>
      <c r="LBH57" s="21"/>
      <c r="LBL57" s="15"/>
      <c r="LBR57" s="25"/>
      <c r="LBY57" s="21"/>
      <c r="LBZ57" s="21"/>
      <c r="LCD57" s="15"/>
      <c r="LCJ57" s="25"/>
      <c r="LCQ57" s="21"/>
      <c r="LCR57" s="21"/>
      <c r="LCV57" s="15"/>
      <c r="LDB57" s="25"/>
      <c r="LDI57" s="21"/>
      <c r="LDJ57" s="21"/>
      <c r="LDN57" s="15"/>
      <c r="LDT57" s="25"/>
      <c r="LEA57" s="21"/>
      <c r="LEB57" s="21"/>
      <c r="LEF57" s="15"/>
      <c r="LEL57" s="25"/>
      <c r="LES57" s="21"/>
      <c r="LET57" s="21"/>
      <c r="LEX57" s="15"/>
      <c r="LFD57" s="25"/>
      <c r="LFK57" s="21"/>
      <c r="LFL57" s="21"/>
      <c r="LFP57" s="15"/>
      <c r="LFV57" s="25"/>
      <c r="LGC57" s="21"/>
      <c r="LGD57" s="21"/>
      <c r="LGH57" s="15"/>
      <c r="LGN57" s="25"/>
      <c r="LGU57" s="21"/>
      <c r="LGV57" s="21"/>
      <c r="LGZ57" s="15"/>
      <c r="LHF57" s="25"/>
      <c r="LHM57" s="21"/>
      <c r="LHN57" s="21"/>
      <c r="LHR57" s="15"/>
      <c r="LHX57" s="25"/>
      <c r="LIE57" s="21"/>
      <c r="LIF57" s="21"/>
      <c r="LIJ57" s="15"/>
      <c r="LIP57" s="25"/>
      <c r="LIW57" s="21"/>
      <c r="LIX57" s="21"/>
      <c r="LJB57" s="15"/>
      <c r="LJH57" s="25"/>
      <c r="LJO57" s="21"/>
      <c r="LJP57" s="21"/>
      <c r="LJT57" s="15"/>
      <c r="LJZ57" s="25"/>
      <c r="LKG57" s="21"/>
      <c r="LKH57" s="21"/>
      <c r="LKL57" s="15"/>
      <c r="LKR57" s="25"/>
      <c r="LKY57" s="21"/>
      <c r="LKZ57" s="21"/>
      <c r="LLD57" s="15"/>
      <c r="LLJ57" s="25"/>
      <c r="LLQ57" s="21"/>
      <c r="LLR57" s="21"/>
      <c r="LLV57" s="15"/>
      <c r="LMB57" s="25"/>
      <c r="LMI57" s="21"/>
      <c r="LMJ57" s="21"/>
      <c r="LMN57" s="15"/>
      <c r="LMT57" s="25"/>
      <c r="LNA57" s="21"/>
      <c r="LNB57" s="21"/>
      <c r="LNF57" s="15"/>
      <c r="LNL57" s="25"/>
      <c r="LNS57" s="21"/>
      <c r="LNT57" s="21"/>
      <c r="LNX57" s="15"/>
      <c r="LOD57" s="25"/>
      <c r="LOK57" s="21"/>
      <c r="LOL57" s="21"/>
      <c r="LOP57" s="15"/>
      <c r="LOV57" s="25"/>
      <c r="LPC57" s="21"/>
      <c r="LPD57" s="21"/>
      <c r="LPH57" s="15"/>
      <c r="LPN57" s="25"/>
      <c r="LPU57" s="21"/>
      <c r="LPV57" s="21"/>
      <c r="LPZ57" s="15"/>
      <c r="LQF57" s="25"/>
      <c r="LQM57" s="21"/>
      <c r="LQN57" s="21"/>
      <c r="LQR57" s="15"/>
      <c r="LQX57" s="25"/>
      <c r="LRE57" s="21"/>
      <c r="LRF57" s="21"/>
      <c r="LRJ57" s="15"/>
      <c r="LRP57" s="25"/>
      <c r="LRW57" s="21"/>
      <c r="LRX57" s="21"/>
      <c r="LSB57" s="15"/>
      <c r="LSH57" s="25"/>
      <c r="LSO57" s="21"/>
      <c r="LSP57" s="21"/>
      <c r="LST57" s="15"/>
      <c r="LSZ57" s="25"/>
      <c r="LTG57" s="21"/>
      <c r="LTH57" s="21"/>
      <c r="LTL57" s="15"/>
      <c r="LTR57" s="25"/>
      <c r="LTY57" s="21"/>
      <c r="LTZ57" s="21"/>
      <c r="LUD57" s="15"/>
      <c r="LUJ57" s="25"/>
      <c r="LUQ57" s="21"/>
      <c r="LUR57" s="21"/>
      <c r="LUV57" s="15"/>
      <c r="LVB57" s="25"/>
      <c r="LVI57" s="21"/>
      <c r="LVJ57" s="21"/>
      <c r="LVN57" s="15"/>
      <c r="LVT57" s="25"/>
      <c r="LWA57" s="21"/>
      <c r="LWB57" s="21"/>
      <c r="LWF57" s="15"/>
      <c r="LWL57" s="25"/>
      <c r="LWS57" s="21"/>
      <c r="LWT57" s="21"/>
      <c r="LWX57" s="15"/>
      <c r="LXD57" s="25"/>
      <c r="LXK57" s="21"/>
      <c r="LXL57" s="21"/>
      <c r="LXP57" s="15"/>
      <c r="LXV57" s="25"/>
      <c r="LYC57" s="21"/>
      <c r="LYD57" s="21"/>
      <c r="LYH57" s="15"/>
      <c r="LYN57" s="25"/>
      <c r="LYU57" s="21"/>
      <c r="LYV57" s="21"/>
      <c r="LYZ57" s="15"/>
      <c r="LZF57" s="25"/>
      <c r="LZM57" s="21"/>
      <c r="LZN57" s="21"/>
      <c r="LZR57" s="15"/>
      <c r="LZX57" s="25"/>
      <c r="MAE57" s="21"/>
      <c r="MAF57" s="21"/>
      <c r="MAJ57" s="15"/>
      <c r="MAP57" s="25"/>
      <c r="MAW57" s="21"/>
      <c r="MAX57" s="21"/>
      <c r="MBB57" s="15"/>
      <c r="MBH57" s="25"/>
      <c r="MBO57" s="21"/>
      <c r="MBP57" s="21"/>
      <c r="MBT57" s="15"/>
      <c r="MBZ57" s="25"/>
      <c r="MCG57" s="21"/>
      <c r="MCH57" s="21"/>
      <c r="MCL57" s="15"/>
      <c r="MCR57" s="25"/>
      <c r="MCY57" s="21"/>
      <c r="MCZ57" s="21"/>
      <c r="MDD57" s="15"/>
      <c r="MDJ57" s="25"/>
      <c r="MDQ57" s="21"/>
      <c r="MDR57" s="21"/>
      <c r="MDV57" s="15"/>
      <c r="MEB57" s="25"/>
      <c r="MEI57" s="21"/>
      <c r="MEJ57" s="21"/>
      <c r="MEN57" s="15"/>
      <c r="MET57" s="25"/>
      <c r="MFA57" s="21"/>
      <c r="MFB57" s="21"/>
      <c r="MFF57" s="15"/>
      <c r="MFL57" s="25"/>
      <c r="MFS57" s="21"/>
      <c r="MFT57" s="21"/>
      <c r="MFX57" s="15"/>
      <c r="MGD57" s="25"/>
      <c r="MGK57" s="21"/>
      <c r="MGL57" s="21"/>
      <c r="MGP57" s="15"/>
      <c r="MGV57" s="25"/>
      <c r="MHC57" s="21"/>
      <c r="MHD57" s="21"/>
      <c r="MHH57" s="15"/>
      <c r="MHN57" s="25"/>
      <c r="MHU57" s="21"/>
      <c r="MHV57" s="21"/>
      <c r="MHZ57" s="15"/>
      <c r="MIF57" s="25"/>
      <c r="MIM57" s="21"/>
      <c r="MIN57" s="21"/>
      <c r="MIR57" s="15"/>
      <c r="MIX57" s="25"/>
      <c r="MJE57" s="21"/>
      <c r="MJF57" s="21"/>
      <c r="MJJ57" s="15"/>
      <c r="MJP57" s="25"/>
      <c r="MJW57" s="21"/>
      <c r="MJX57" s="21"/>
      <c r="MKB57" s="15"/>
      <c r="MKH57" s="25"/>
      <c r="MKO57" s="21"/>
      <c r="MKP57" s="21"/>
      <c r="MKT57" s="15"/>
      <c r="MKZ57" s="25"/>
      <c r="MLG57" s="21"/>
      <c r="MLH57" s="21"/>
      <c r="MLL57" s="15"/>
      <c r="MLR57" s="25"/>
      <c r="MLY57" s="21"/>
      <c r="MLZ57" s="21"/>
      <c r="MMD57" s="15"/>
      <c r="MMJ57" s="25"/>
      <c r="MMQ57" s="21"/>
      <c r="MMR57" s="21"/>
      <c r="MMV57" s="15"/>
      <c r="MNB57" s="25"/>
      <c r="MNI57" s="21"/>
      <c r="MNJ57" s="21"/>
      <c r="MNN57" s="15"/>
      <c r="MNT57" s="25"/>
      <c r="MOA57" s="21"/>
      <c r="MOB57" s="21"/>
      <c r="MOF57" s="15"/>
      <c r="MOL57" s="25"/>
      <c r="MOS57" s="21"/>
      <c r="MOT57" s="21"/>
      <c r="MOX57" s="15"/>
      <c r="MPD57" s="25"/>
      <c r="MPK57" s="21"/>
      <c r="MPL57" s="21"/>
      <c r="MPP57" s="15"/>
      <c r="MPV57" s="25"/>
      <c r="MQC57" s="21"/>
      <c r="MQD57" s="21"/>
      <c r="MQH57" s="15"/>
      <c r="MQN57" s="25"/>
      <c r="MQU57" s="21"/>
      <c r="MQV57" s="21"/>
      <c r="MQZ57" s="15"/>
      <c r="MRF57" s="25"/>
      <c r="MRM57" s="21"/>
      <c r="MRN57" s="21"/>
      <c r="MRR57" s="15"/>
      <c r="MRX57" s="25"/>
      <c r="MSE57" s="21"/>
      <c r="MSF57" s="21"/>
      <c r="MSJ57" s="15"/>
      <c r="MSP57" s="25"/>
      <c r="MSW57" s="21"/>
      <c r="MSX57" s="21"/>
      <c r="MTB57" s="15"/>
      <c r="MTH57" s="25"/>
      <c r="MTO57" s="21"/>
      <c r="MTP57" s="21"/>
      <c r="MTT57" s="15"/>
      <c r="MTZ57" s="25"/>
      <c r="MUG57" s="21"/>
      <c r="MUH57" s="21"/>
      <c r="MUL57" s="15"/>
      <c r="MUR57" s="25"/>
      <c r="MUY57" s="21"/>
      <c r="MUZ57" s="21"/>
      <c r="MVD57" s="15"/>
      <c r="MVJ57" s="25"/>
      <c r="MVQ57" s="21"/>
      <c r="MVR57" s="21"/>
      <c r="MVV57" s="15"/>
      <c r="MWB57" s="25"/>
      <c r="MWI57" s="21"/>
      <c r="MWJ57" s="21"/>
      <c r="MWN57" s="15"/>
      <c r="MWT57" s="25"/>
      <c r="MXA57" s="21"/>
      <c r="MXB57" s="21"/>
      <c r="MXF57" s="15"/>
      <c r="MXL57" s="25"/>
      <c r="MXS57" s="21"/>
      <c r="MXT57" s="21"/>
      <c r="MXX57" s="15"/>
      <c r="MYD57" s="25"/>
      <c r="MYK57" s="21"/>
      <c r="MYL57" s="21"/>
      <c r="MYP57" s="15"/>
      <c r="MYV57" s="25"/>
      <c r="MZC57" s="21"/>
      <c r="MZD57" s="21"/>
      <c r="MZH57" s="15"/>
      <c r="MZN57" s="25"/>
      <c r="MZU57" s="21"/>
      <c r="MZV57" s="21"/>
      <c r="MZZ57" s="15"/>
      <c r="NAF57" s="25"/>
      <c r="NAM57" s="21"/>
      <c r="NAN57" s="21"/>
      <c r="NAR57" s="15"/>
      <c r="NAX57" s="25"/>
      <c r="NBE57" s="21"/>
      <c r="NBF57" s="21"/>
      <c r="NBJ57" s="15"/>
      <c r="NBP57" s="25"/>
      <c r="NBW57" s="21"/>
      <c r="NBX57" s="21"/>
      <c r="NCB57" s="15"/>
      <c r="NCH57" s="25"/>
      <c r="NCO57" s="21"/>
      <c r="NCP57" s="21"/>
      <c r="NCT57" s="15"/>
      <c r="NCZ57" s="25"/>
      <c r="NDG57" s="21"/>
      <c r="NDH57" s="21"/>
      <c r="NDL57" s="15"/>
      <c r="NDR57" s="25"/>
      <c r="NDY57" s="21"/>
      <c r="NDZ57" s="21"/>
      <c r="NED57" s="15"/>
      <c r="NEJ57" s="25"/>
      <c r="NEQ57" s="21"/>
      <c r="NER57" s="21"/>
      <c r="NEV57" s="15"/>
      <c r="NFB57" s="25"/>
      <c r="NFI57" s="21"/>
      <c r="NFJ57" s="21"/>
      <c r="NFN57" s="15"/>
      <c r="NFT57" s="25"/>
      <c r="NGA57" s="21"/>
      <c r="NGB57" s="21"/>
      <c r="NGF57" s="15"/>
      <c r="NGL57" s="25"/>
      <c r="NGS57" s="21"/>
      <c r="NGT57" s="21"/>
      <c r="NGX57" s="15"/>
      <c r="NHD57" s="25"/>
      <c r="NHK57" s="21"/>
      <c r="NHL57" s="21"/>
      <c r="NHP57" s="15"/>
      <c r="NHV57" s="25"/>
      <c r="NIC57" s="21"/>
      <c r="NID57" s="21"/>
      <c r="NIH57" s="15"/>
      <c r="NIN57" s="25"/>
      <c r="NIU57" s="21"/>
      <c r="NIV57" s="21"/>
      <c r="NIZ57" s="15"/>
      <c r="NJF57" s="25"/>
      <c r="NJM57" s="21"/>
      <c r="NJN57" s="21"/>
      <c r="NJR57" s="15"/>
      <c r="NJX57" s="25"/>
      <c r="NKE57" s="21"/>
      <c r="NKF57" s="21"/>
      <c r="NKJ57" s="15"/>
      <c r="NKP57" s="25"/>
      <c r="NKW57" s="21"/>
      <c r="NKX57" s="21"/>
      <c r="NLB57" s="15"/>
      <c r="NLH57" s="25"/>
      <c r="NLO57" s="21"/>
      <c r="NLP57" s="21"/>
      <c r="NLT57" s="15"/>
      <c r="NLZ57" s="25"/>
      <c r="NMG57" s="21"/>
      <c r="NMH57" s="21"/>
      <c r="NML57" s="15"/>
      <c r="NMR57" s="25"/>
      <c r="NMY57" s="21"/>
      <c r="NMZ57" s="21"/>
      <c r="NND57" s="15"/>
      <c r="NNJ57" s="25"/>
      <c r="NNQ57" s="21"/>
      <c r="NNR57" s="21"/>
      <c r="NNV57" s="15"/>
      <c r="NOB57" s="25"/>
      <c r="NOI57" s="21"/>
      <c r="NOJ57" s="21"/>
      <c r="NON57" s="15"/>
      <c r="NOT57" s="25"/>
      <c r="NPA57" s="21"/>
      <c r="NPB57" s="21"/>
      <c r="NPF57" s="15"/>
      <c r="NPL57" s="25"/>
      <c r="NPS57" s="21"/>
      <c r="NPT57" s="21"/>
      <c r="NPX57" s="15"/>
      <c r="NQD57" s="25"/>
      <c r="NQK57" s="21"/>
      <c r="NQL57" s="21"/>
      <c r="NQP57" s="15"/>
      <c r="NQV57" s="25"/>
      <c r="NRC57" s="21"/>
      <c r="NRD57" s="21"/>
      <c r="NRH57" s="15"/>
      <c r="NRN57" s="25"/>
      <c r="NRU57" s="21"/>
      <c r="NRV57" s="21"/>
      <c r="NRZ57" s="15"/>
      <c r="NSF57" s="25"/>
      <c r="NSM57" s="21"/>
      <c r="NSN57" s="21"/>
      <c r="NSR57" s="15"/>
      <c r="NSX57" s="25"/>
      <c r="NTE57" s="21"/>
      <c r="NTF57" s="21"/>
      <c r="NTJ57" s="15"/>
      <c r="NTP57" s="25"/>
      <c r="NTW57" s="21"/>
      <c r="NTX57" s="21"/>
      <c r="NUB57" s="15"/>
      <c r="NUH57" s="25"/>
      <c r="NUO57" s="21"/>
      <c r="NUP57" s="21"/>
      <c r="NUT57" s="15"/>
      <c r="NUZ57" s="25"/>
      <c r="NVG57" s="21"/>
      <c r="NVH57" s="21"/>
      <c r="NVL57" s="15"/>
      <c r="NVR57" s="25"/>
      <c r="NVY57" s="21"/>
      <c r="NVZ57" s="21"/>
      <c r="NWD57" s="15"/>
      <c r="NWJ57" s="25"/>
      <c r="NWQ57" s="21"/>
      <c r="NWR57" s="21"/>
      <c r="NWV57" s="15"/>
      <c r="NXB57" s="25"/>
      <c r="NXI57" s="21"/>
      <c r="NXJ57" s="21"/>
      <c r="NXN57" s="15"/>
      <c r="NXT57" s="25"/>
      <c r="NYA57" s="21"/>
      <c r="NYB57" s="21"/>
      <c r="NYF57" s="15"/>
      <c r="NYL57" s="25"/>
      <c r="NYS57" s="21"/>
      <c r="NYT57" s="21"/>
      <c r="NYX57" s="15"/>
      <c r="NZD57" s="25"/>
      <c r="NZK57" s="21"/>
      <c r="NZL57" s="21"/>
      <c r="NZP57" s="15"/>
      <c r="NZV57" s="25"/>
      <c r="OAC57" s="21"/>
      <c r="OAD57" s="21"/>
      <c r="OAH57" s="15"/>
      <c r="OAN57" s="25"/>
      <c r="OAU57" s="21"/>
      <c r="OAV57" s="21"/>
      <c r="OAZ57" s="15"/>
      <c r="OBF57" s="25"/>
      <c r="OBM57" s="21"/>
      <c r="OBN57" s="21"/>
      <c r="OBR57" s="15"/>
      <c r="OBX57" s="25"/>
      <c r="OCE57" s="21"/>
      <c r="OCF57" s="21"/>
      <c r="OCJ57" s="15"/>
      <c r="OCP57" s="25"/>
      <c r="OCW57" s="21"/>
      <c r="OCX57" s="21"/>
      <c r="ODB57" s="15"/>
      <c r="ODH57" s="25"/>
      <c r="ODO57" s="21"/>
      <c r="ODP57" s="21"/>
      <c r="ODT57" s="15"/>
      <c r="ODZ57" s="25"/>
      <c r="OEG57" s="21"/>
      <c r="OEH57" s="21"/>
      <c r="OEL57" s="15"/>
      <c r="OER57" s="25"/>
      <c r="OEY57" s="21"/>
      <c r="OEZ57" s="21"/>
      <c r="OFD57" s="15"/>
      <c r="OFJ57" s="25"/>
      <c r="OFQ57" s="21"/>
      <c r="OFR57" s="21"/>
      <c r="OFV57" s="15"/>
      <c r="OGB57" s="25"/>
      <c r="OGI57" s="21"/>
      <c r="OGJ57" s="21"/>
      <c r="OGN57" s="15"/>
      <c r="OGT57" s="25"/>
      <c r="OHA57" s="21"/>
      <c r="OHB57" s="21"/>
      <c r="OHF57" s="15"/>
      <c r="OHL57" s="25"/>
      <c r="OHS57" s="21"/>
      <c r="OHT57" s="21"/>
      <c r="OHX57" s="15"/>
      <c r="OID57" s="25"/>
      <c r="OIK57" s="21"/>
      <c r="OIL57" s="21"/>
      <c r="OIP57" s="15"/>
      <c r="OIV57" s="25"/>
      <c r="OJC57" s="21"/>
      <c r="OJD57" s="21"/>
      <c r="OJH57" s="15"/>
      <c r="OJN57" s="25"/>
      <c r="OJU57" s="21"/>
      <c r="OJV57" s="21"/>
      <c r="OJZ57" s="15"/>
      <c r="OKF57" s="25"/>
      <c r="OKM57" s="21"/>
      <c r="OKN57" s="21"/>
      <c r="OKR57" s="15"/>
      <c r="OKX57" s="25"/>
      <c r="OLE57" s="21"/>
      <c r="OLF57" s="21"/>
      <c r="OLJ57" s="15"/>
      <c r="OLP57" s="25"/>
      <c r="OLW57" s="21"/>
      <c r="OLX57" s="21"/>
      <c r="OMB57" s="15"/>
      <c r="OMH57" s="25"/>
      <c r="OMO57" s="21"/>
      <c r="OMP57" s="21"/>
      <c r="OMT57" s="15"/>
      <c r="OMZ57" s="25"/>
      <c r="ONG57" s="21"/>
      <c r="ONH57" s="21"/>
      <c r="ONL57" s="15"/>
      <c r="ONR57" s="25"/>
      <c r="ONY57" s="21"/>
      <c r="ONZ57" s="21"/>
      <c r="OOD57" s="15"/>
      <c r="OOJ57" s="25"/>
      <c r="OOQ57" s="21"/>
      <c r="OOR57" s="21"/>
      <c r="OOV57" s="15"/>
      <c r="OPB57" s="25"/>
      <c r="OPI57" s="21"/>
      <c r="OPJ57" s="21"/>
      <c r="OPN57" s="15"/>
      <c r="OPT57" s="25"/>
      <c r="OQA57" s="21"/>
      <c r="OQB57" s="21"/>
      <c r="OQF57" s="15"/>
      <c r="OQL57" s="25"/>
      <c r="OQS57" s="21"/>
      <c r="OQT57" s="21"/>
      <c r="OQX57" s="15"/>
      <c r="ORD57" s="25"/>
      <c r="ORK57" s="21"/>
      <c r="ORL57" s="21"/>
      <c r="ORP57" s="15"/>
      <c r="ORV57" s="25"/>
      <c r="OSC57" s="21"/>
      <c r="OSD57" s="21"/>
      <c r="OSH57" s="15"/>
      <c r="OSN57" s="25"/>
      <c r="OSU57" s="21"/>
      <c r="OSV57" s="21"/>
      <c r="OSZ57" s="15"/>
      <c r="OTF57" s="25"/>
      <c r="OTM57" s="21"/>
      <c r="OTN57" s="21"/>
      <c r="OTR57" s="15"/>
      <c r="OTX57" s="25"/>
      <c r="OUE57" s="21"/>
      <c r="OUF57" s="21"/>
      <c r="OUJ57" s="15"/>
      <c r="OUP57" s="25"/>
      <c r="OUW57" s="21"/>
      <c r="OUX57" s="21"/>
      <c r="OVB57" s="15"/>
      <c r="OVH57" s="25"/>
      <c r="OVO57" s="21"/>
      <c r="OVP57" s="21"/>
      <c r="OVT57" s="15"/>
      <c r="OVZ57" s="25"/>
      <c r="OWG57" s="21"/>
      <c r="OWH57" s="21"/>
      <c r="OWL57" s="15"/>
      <c r="OWR57" s="25"/>
      <c r="OWY57" s="21"/>
      <c r="OWZ57" s="21"/>
      <c r="OXD57" s="15"/>
      <c r="OXJ57" s="25"/>
      <c r="OXQ57" s="21"/>
      <c r="OXR57" s="21"/>
      <c r="OXV57" s="15"/>
      <c r="OYB57" s="25"/>
      <c r="OYI57" s="21"/>
      <c r="OYJ57" s="21"/>
      <c r="OYN57" s="15"/>
      <c r="OYT57" s="25"/>
      <c r="OZA57" s="21"/>
      <c r="OZB57" s="21"/>
      <c r="OZF57" s="15"/>
      <c r="OZL57" s="25"/>
      <c r="OZS57" s="21"/>
      <c r="OZT57" s="21"/>
      <c r="OZX57" s="15"/>
      <c r="PAD57" s="25"/>
      <c r="PAK57" s="21"/>
      <c r="PAL57" s="21"/>
      <c r="PAP57" s="15"/>
      <c r="PAV57" s="25"/>
      <c r="PBC57" s="21"/>
      <c r="PBD57" s="21"/>
      <c r="PBH57" s="15"/>
      <c r="PBN57" s="25"/>
      <c r="PBU57" s="21"/>
      <c r="PBV57" s="21"/>
      <c r="PBZ57" s="15"/>
      <c r="PCF57" s="25"/>
      <c r="PCM57" s="21"/>
      <c r="PCN57" s="21"/>
      <c r="PCR57" s="15"/>
      <c r="PCX57" s="25"/>
      <c r="PDE57" s="21"/>
      <c r="PDF57" s="21"/>
      <c r="PDJ57" s="15"/>
      <c r="PDP57" s="25"/>
      <c r="PDW57" s="21"/>
      <c r="PDX57" s="21"/>
      <c r="PEB57" s="15"/>
      <c r="PEH57" s="25"/>
      <c r="PEO57" s="21"/>
      <c r="PEP57" s="21"/>
      <c r="PET57" s="15"/>
      <c r="PEZ57" s="25"/>
      <c r="PFG57" s="21"/>
      <c r="PFH57" s="21"/>
      <c r="PFL57" s="15"/>
      <c r="PFR57" s="25"/>
      <c r="PFY57" s="21"/>
      <c r="PFZ57" s="21"/>
      <c r="PGD57" s="15"/>
      <c r="PGJ57" s="25"/>
      <c r="PGQ57" s="21"/>
      <c r="PGR57" s="21"/>
      <c r="PGV57" s="15"/>
      <c r="PHB57" s="25"/>
      <c r="PHI57" s="21"/>
      <c r="PHJ57" s="21"/>
      <c r="PHN57" s="15"/>
      <c r="PHT57" s="25"/>
      <c r="PIA57" s="21"/>
      <c r="PIB57" s="21"/>
      <c r="PIF57" s="15"/>
      <c r="PIL57" s="25"/>
      <c r="PIS57" s="21"/>
      <c r="PIT57" s="21"/>
      <c r="PIX57" s="15"/>
      <c r="PJD57" s="25"/>
      <c r="PJK57" s="21"/>
      <c r="PJL57" s="21"/>
      <c r="PJP57" s="15"/>
      <c r="PJV57" s="25"/>
      <c r="PKC57" s="21"/>
      <c r="PKD57" s="21"/>
      <c r="PKH57" s="15"/>
      <c r="PKN57" s="25"/>
      <c r="PKU57" s="21"/>
      <c r="PKV57" s="21"/>
      <c r="PKZ57" s="15"/>
      <c r="PLF57" s="25"/>
      <c r="PLM57" s="21"/>
      <c r="PLN57" s="21"/>
      <c r="PLR57" s="15"/>
      <c r="PLX57" s="25"/>
      <c r="PME57" s="21"/>
      <c r="PMF57" s="21"/>
      <c r="PMJ57" s="15"/>
      <c r="PMP57" s="25"/>
      <c r="PMW57" s="21"/>
      <c r="PMX57" s="21"/>
      <c r="PNB57" s="15"/>
      <c r="PNH57" s="25"/>
      <c r="PNO57" s="21"/>
      <c r="PNP57" s="21"/>
      <c r="PNT57" s="15"/>
      <c r="PNZ57" s="25"/>
      <c r="POG57" s="21"/>
      <c r="POH57" s="21"/>
      <c r="POL57" s="15"/>
      <c r="POR57" s="25"/>
      <c r="POY57" s="21"/>
      <c r="POZ57" s="21"/>
      <c r="PPD57" s="15"/>
      <c r="PPJ57" s="25"/>
      <c r="PPQ57" s="21"/>
      <c r="PPR57" s="21"/>
      <c r="PPV57" s="15"/>
      <c r="PQB57" s="25"/>
      <c r="PQI57" s="21"/>
      <c r="PQJ57" s="21"/>
      <c r="PQN57" s="15"/>
      <c r="PQT57" s="25"/>
      <c r="PRA57" s="21"/>
      <c r="PRB57" s="21"/>
      <c r="PRF57" s="15"/>
      <c r="PRL57" s="25"/>
      <c r="PRS57" s="21"/>
      <c r="PRT57" s="21"/>
      <c r="PRX57" s="15"/>
      <c r="PSD57" s="25"/>
      <c r="PSK57" s="21"/>
      <c r="PSL57" s="21"/>
      <c r="PSP57" s="15"/>
      <c r="PSV57" s="25"/>
      <c r="PTC57" s="21"/>
      <c r="PTD57" s="21"/>
      <c r="PTH57" s="15"/>
      <c r="PTN57" s="25"/>
      <c r="PTU57" s="21"/>
      <c r="PTV57" s="21"/>
      <c r="PTZ57" s="15"/>
      <c r="PUF57" s="25"/>
      <c r="PUM57" s="21"/>
      <c r="PUN57" s="21"/>
      <c r="PUR57" s="15"/>
      <c r="PUX57" s="25"/>
      <c r="PVE57" s="21"/>
      <c r="PVF57" s="21"/>
      <c r="PVJ57" s="15"/>
      <c r="PVP57" s="25"/>
      <c r="PVW57" s="21"/>
      <c r="PVX57" s="21"/>
      <c r="PWB57" s="15"/>
      <c r="PWH57" s="25"/>
      <c r="PWO57" s="21"/>
      <c r="PWP57" s="21"/>
      <c r="PWT57" s="15"/>
      <c r="PWZ57" s="25"/>
      <c r="PXG57" s="21"/>
      <c r="PXH57" s="21"/>
      <c r="PXL57" s="15"/>
      <c r="PXR57" s="25"/>
      <c r="PXY57" s="21"/>
      <c r="PXZ57" s="21"/>
      <c r="PYD57" s="15"/>
      <c r="PYJ57" s="25"/>
      <c r="PYQ57" s="21"/>
      <c r="PYR57" s="21"/>
      <c r="PYV57" s="15"/>
      <c r="PZB57" s="25"/>
      <c r="PZI57" s="21"/>
      <c r="PZJ57" s="21"/>
      <c r="PZN57" s="15"/>
      <c r="PZT57" s="25"/>
      <c r="QAA57" s="21"/>
      <c r="QAB57" s="21"/>
      <c r="QAF57" s="15"/>
      <c r="QAL57" s="25"/>
      <c r="QAS57" s="21"/>
      <c r="QAT57" s="21"/>
      <c r="QAX57" s="15"/>
      <c r="QBD57" s="25"/>
      <c r="QBK57" s="21"/>
      <c r="QBL57" s="21"/>
      <c r="QBP57" s="15"/>
      <c r="QBV57" s="25"/>
      <c r="QCC57" s="21"/>
      <c r="QCD57" s="21"/>
      <c r="QCH57" s="15"/>
      <c r="QCN57" s="25"/>
      <c r="QCU57" s="21"/>
      <c r="QCV57" s="21"/>
      <c r="QCZ57" s="15"/>
      <c r="QDF57" s="25"/>
      <c r="QDM57" s="21"/>
      <c r="QDN57" s="21"/>
      <c r="QDR57" s="15"/>
      <c r="QDX57" s="25"/>
      <c r="QEE57" s="21"/>
      <c r="QEF57" s="21"/>
      <c r="QEJ57" s="15"/>
      <c r="QEP57" s="25"/>
      <c r="QEW57" s="21"/>
      <c r="QEX57" s="21"/>
      <c r="QFB57" s="15"/>
      <c r="QFH57" s="25"/>
      <c r="QFO57" s="21"/>
      <c r="QFP57" s="21"/>
      <c r="QFT57" s="15"/>
      <c r="QFZ57" s="25"/>
      <c r="QGG57" s="21"/>
      <c r="QGH57" s="21"/>
      <c r="QGL57" s="15"/>
      <c r="QGR57" s="25"/>
      <c r="QGY57" s="21"/>
      <c r="QGZ57" s="21"/>
      <c r="QHD57" s="15"/>
      <c r="QHJ57" s="25"/>
      <c r="QHQ57" s="21"/>
      <c r="QHR57" s="21"/>
      <c r="QHV57" s="15"/>
      <c r="QIB57" s="25"/>
      <c r="QII57" s="21"/>
      <c r="QIJ57" s="21"/>
      <c r="QIN57" s="15"/>
      <c r="QIT57" s="25"/>
      <c r="QJA57" s="21"/>
      <c r="QJB57" s="21"/>
      <c r="QJF57" s="15"/>
      <c r="QJL57" s="25"/>
      <c r="QJS57" s="21"/>
      <c r="QJT57" s="21"/>
      <c r="QJX57" s="15"/>
      <c r="QKD57" s="25"/>
      <c r="QKK57" s="21"/>
      <c r="QKL57" s="21"/>
      <c r="QKP57" s="15"/>
      <c r="QKV57" s="25"/>
      <c r="QLC57" s="21"/>
      <c r="QLD57" s="21"/>
      <c r="QLH57" s="15"/>
      <c r="QLN57" s="25"/>
      <c r="QLU57" s="21"/>
      <c r="QLV57" s="21"/>
      <c r="QLZ57" s="15"/>
      <c r="QMF57" s="25"/>
      <c r="QMM57" s="21"/>
      <c r="QMN57" s="21"/>
      <c r="QMR57" s="15"/>
      <c r="QMX57" s="25"/>
      <c r="QNE57" s="21"/>
      <c r="QNF57" s="21"/>
      <c r="QNJ57" s="15"/>
      <c r="QNP57" s="25"/>
      <c r="QNW57" s="21"/>
      <c r="QNX57" s="21"/>
      <c r="QOB57" s="15"/>
      <c r="QOH57" s="25"/>
      <c r="QOO57" s="21"/>
      <c r="QOP57" s="21"/>
      <c r="QOT57" s="15"/>
      <c r="QOZ57" s="25"/>
      <c r="QPG57" s="21"/>
      <c r="QPH57" s="21"/>
      <c r="QPL57" s="15"/>
      <c r="QPR57" s="25"/>
      <c r="QPY57" s="21"/>
      <c r="QPZ57" s="21"/>
      <c r="QQD57" s="15"/>
      <c r="QQJ57" s="25"/>
      <c r="QQQ57" s="21"/>
      <c r="QQR57" s="21"/>
      <c r="QQV57" s="15"/>
      <c r="QRB57" s="25"/>
      <c r="QRI57" s="21"/>
      <c r="QRJ57" s="21"/>
      <c r="QRN57" s="15"/>
      <c r="QRT57" s="25"/>
      <c r="QSA57" s="21"/>
      <c r="QSB57" s="21"/>
      <c r="QSF57" s="15"/>
      <c r="QSL57" s="25"/>
      <c r="QSS57" s="21"/>
      <c r="QST57" s="21"/>
      <c r="QSX57" s="15"/>
      <c r="QTD57" s="25"/>
      <c r="QTK57" s="21"/>
      <c r="QTL57" s="21"/>
      <c r="QTP57" s="15"/>
      <c r="QTV57" s="25"/>
      <c r="QUC57" s="21"/>
      <c r="QUD57" s="21"/>
      <c r="QUH57" s="15"/>
      <c r="QUN57" s="25"/>
      <c r="QUU57" s="21"/>
      <c r="QUV57" s="21"/>
      <c r="QUZ57" s="15"/>
      <c r="QVF57" s="25"/>
      <c r="QVM57" s="21"/>
      <c r="QVN57" s="21"/>
      <c r="QVR57" s="15"/>
      <c r="QVX57" s="25"/>
      <c r="QWE57" s="21"/>
      <c r="QWF57" s="21"/>
      <c r="QWJ57" s="15"/>
      <c r="QWP57" s="25"/>
      <c r="QWW57" s="21"/>
      <c r="QWX57" s="21"/>
      <c r="QXB57" s="15"/>
      <c r="QXH57" s="25"/>
      <c r="QXO57" s="21"/>
      <c r="QXP57" s="21"/>
      <c r="QXT57" s="15"/>
      <c r="QXZ57" s="25"/>
      <c r="QYG57" s="21"/>
      <c r="QYH57" s="21"/>
      <c r="QYL57" s="15"/>
      <c r="QYR57" s="25"/>
      <c r="QYY57" s="21"/>
      <c r="QYZ57" s="21"/>
      <c r="QZD57" s="15"/>
      <c r="QZJ57" s="25"/>
      <c r="QZQ57" s="21"/>
      <c r="QZR57" s="21"/>
      <c r="QZV57" s="15"/>
      <c r="RAB57" s="25"/>
      <c r="RAI57" s="21"/>
      <c r="RAJ57" s="21"/>
      <c r="RAN57" s="15"/>
      <c r="RAT57" s="25"/>
      <c r="RBA57" s="21"/>
      <c r="RBB57" s="21"/>
      <c r="RBF57" s="15"/>
      <c r="RBL57" s="25"/>
      <c r="RBS57" s="21"/>
      <c r="RBT57" s="21"/>
      <c r="RBX57" s="15"/>
      <c r="RCD57" s="25"/>
      <c r="RCK57" s="21"/>
      <c r="RCL57" s="21"/>
      <c r="RCP57" s="15"/>
      <c r="RCV57" s="25"/>
      <c r="RDC57" s="21"/>
      <c r="RDD57" s="21"/>
      <c r="RDH57" s="15"/>
      <c r="RDN57" s="25"/>
      <c r="RDU57" s="21"/>
      <c r="RDV57" s="21"/>
      <c r="RDZ57" s="15"/>
      <c r="REF57" s="25"/>
      <c r="REM57" s="21"/>
      <c r="REN57" s="21"/>
      <c r="RER57" s="15"/>
      <c r="REX57" s="25"/>
      <c r="RFE57" s="21"/>
      <c r="RFF57" s="21"/>
      <c r="RFJ57" s="15"/>
      <c r="RFP57" s="25"/>
      <c r="RFW57" s="21"/>
      <c r="RFX57" s="21"/>
      <c r="RGB57" s="15"/>
      <c r="RGH57" s="25"/>
      <c r="RGO57" s="21"/>
      <c r="RGP57" s="21"/>
      <c r="RGT57" s="15"/>
      <c r="RGZ57" s="25"/>
      <c r="RHG57" s="21"/>
      <c r="RHH57" s="21"/>
      <c r="RHL57" s="15"/>
      <c r="RHR57" s="25"/>
      <c r="RHY57" s="21"/>
      <c r="RHZ57" s="21"/>
      <c r="RID57" s="15"/>
      <c r="RIJ57" s="25"/>
      <c r="RIQ57" s="21"/>
      <c r="RIR57" s="21"/>
      <c r="RIV57" s="15"/>
      <c r="RJB57" s="25"/>
      <c r="RJI57" s="21"/>
      <c r="RJJ57" s="21"/>
      <c r="RJN57" s="15"/>
      <c r="RJT57" s="25"/>
      <c r="RKA57" s="21"/>
      <c r="RKB57" s="21"/>
      <c r="RKF57" s="15"/>
      <c r="RKL57" s="25"/>
      <c r="RKS57" s="21"/>
      <c r="RKT57" s="21"/>
      <c r="RKX57" s="15"/>
      <c r="RLD57" s="25"/>
      <c r="RLK57" s="21"/>
      <c r="RLL57" s="21"/>
      <c r="RLP57" s="15"/>
      <c r="RLV57" s="25"/>
      <c r="RMC57" s="21"/>
      <c r="RMD57" s="21"/>
      <c r="RMH57" s="15"/>
      <c r="RMN57" s="25"/>
      <c r="RMU57" s="21"/>
      <c r="RMV57" s="21"/>
      <c r="RMZ57" s="15"/>
      <c r="RNF57" s="25"/>
      <c r="RNM57" s="21"/>
      <c r="RNN57" s="21"/>
      <c r="RNR57" s="15"/>
      <c r="RNX57" s="25"/>
      <c r="ROE57" s="21"/>
      <c r="ROF57" s="21"/>
      <c r="ROJ57" s="15"/>
      <c r="ROP57" s="25"/>
      <c r="ROW57" s="21"/>
      <c r="ROX57" s="21"/>
      <c r="RPB57" s="15"/>
      <c r="RPH57" s="25"/>
      <c r="RPO57" s="21"/>
      <c r="RPP57" s="21"/>
      <c r="RPT57" s="15"/>
      <c r="RPZ57" s="25"/>
      <c r="RQG57" s="21"/>
      <c r="RQH57" s="21"/>
      <c r="RQL57" s="15"/>
      <c r="RQR57" s="25"/>
      <c r="RQY57" s="21"/>
      <c r="RQZ57" s="21"/>
      <c r="RRD57" s="15"/>
      <c r="RRJ57" s="25"/>
      <c r="RRQ57" s="21"/>
      <c r="RRR57" s="21"/>
      <c r="RRV57" s="15"/>
      <c r="RSB57" s="25"/>
      <c r="RSI57" s="21"/>
      <c r="RSJ57" s="21"/>
      <c r="RSN57" s="15"/>
      <c r="RST57" s="25"/>
      <c r="RTA57" s="21"/>
      <c r="RTB57" s="21"/>
      <c r="RTF57" s="15"/>
      <c r="RTL57" s="25"/>
      <c r="RTS57" s="21"/>
      <c r="RTT57" s="21"/>
      <c r="RTX57" s="15"/>
      <c r="RUD57" s="25"/>
      <c r="RUK57" s="21"/>
      <c r="RUL57" s="21"/>
      <c r="RUP57" s="15"/>
      <c r="RUV57" s="25"/>
      <c r="RVC57" s="21"/>
      <c r="RVD57" s="21"/>
      <c r="RVH57" s="15"/>
      <c r="RVN57" s="25"/>
      <c r="RVU57" s="21"/>
      <c r="RVV57" s="21"/>
      <c r="RVZ57" s="15"/>
      <c r="RWF57" s="25"/>
      <c r="RWM57" s="21"/>
      <c r="RWN57" s="21"/>
      <c r="RWR57" s="15"/>
      <c r="RWX57" s="25"/>
      <c r="RXE57" s="21"/>
      <c r="RXF57" s="21"/>
      <c r="RXJ57" s="15"/>
      <c r="RXP57" s="25"/>
      <c r="RXW57" s="21"/>
      <c r="RXX57" s="21"/>
      <c r="RYB57" s="15"/>
      <c r="RYH57" s="25"/>
      <c r="RYO57" s="21"/>
      <c r="RYP57" s="21"/>
      <c r="RYT57" s="15"/>
      <c r="RYZ57" s="25"/>
      <c r="RZG57" s="21"/>
      <c r="RZH57" s="21"/>
      <c r="RZL57" s="15"/>
      <c r="RZR57" s="25"/>
      <c r="RZY57" s="21"/>
      <c r="RZZ57" s="21"/>
      <c r="SAD57" s="15"/>
      <c r="SAJ57" s="25"/>
      <c r="SAQ57" s="21"/>
      <c r="SAR57" s="21"/>
      <c r="SAV57" s="15"/>
      <c r="SBB57" s="25"/>
      <c r="SBI57" s="21"/>
      <c r="SBJ57" s="21"/>
      <c r="SBN57" s="15"/>
      <c r="SBT57" s="25"/>
      <c r="SCA57" s="21"/>
      <c r="SCB57" s="21"/>
      <c r="SCF57" s="15"/>
      <c r="SCL57" s="25"/>
      <c r="SCS57" s="21"/>
      <c r="SCT57" s="21"/>
      <c r="SCX57" s="15"/>
      <c r="SDD57" s="25"/>
      <c r="SDK57" s="21"/>
      <c r="SDL57" s="21"/>
      <c r="SDP57" s="15"/>
      <c r="SDV57" s="25"/>
      <c r="SEC57" s="21"/>
      <c r="SED57" s="21"/>
      <c r="SEH57" s="15"/>
      <c r="SEN57" s="25"/>
      <c r="SEU57" s="21"/>
      <c r="SEV57" s="21"/>
      <c r="SEZ57" s="15"/>
      <c r="SFF57" s="25"/>
      <c r="SFM57" s="21"/>
      <c r="SFN57" s="21"/>
      <c r="SFR57" s="15"/>
      <c r="SFX57" s="25"/>
      <c r="SGE57" s="21"/>
      <c r="SGF57" s="21"/>
      <c r="SGJ57" s="15"/>
      <c r="SGP57" s="25"/>
      <c r="SGW57" s="21"/>
      <c r="SGX57" s="21"/>
      <c r="SHB57" s="15"/>
      <c r="SHH57" s="25"/>
      <c r="SHO57" s="21"/>
      <c r="SHP57" s="21"/>
      <c r="SHT57" s="15"/>
      <c r="SHZ57" s="25"/>
      <c r="SIG57" s="21"/>
      <c r="SIH57" s="21"/>
      <c r="SIL57" s="15"/>
      <c r="SIR57" s="25"/>
      <c r="SIY57" s="21"/>
      <c r="SIZ57" s="21"/>
      <c r="SJD57" s="15"/>
      <c r="SJJ57" s="25"/>
      <c r="SJQ57" s="21"/>
      <c r="SJR57" s="21"/>
      <c r="SJV57" s="15"/>
      <c r="SKB57" s="25"/>
      <c r="SKI57" s="21"/>
      <c r="SKJ57" s="21"/>
      <c r="SKN57" s="15"/>
      <c r="SKT57" s="25"/>
      <c r="SLA57" s="21"/>
      <c r="SLB57" s="21"/>
      <c r="SLF57" s="15"/>
      <c r="SLL57" s="25"/>
      <c r="SLS57" s="21"/>
      <c r="SLT57" s="21"/>
      <c r="SLX57" s="15"/>
      <c r="SMD57" s="25"/>
      <c r="SMK57" s="21"/>
      <c r="SML57" s="21"/>
      <c r="SMP57" s="15"/>
      <c r="SMV57" s="25"/>
      <c r="SNC57" s="21"/>
      <c r="SND57" s="21"/>
      <c r="SNH57" s="15"/>
      <c r="SNN57" s="25"/>
      <c r="SNU57" s="21"/>
      <c r="SNV57" s="21"/>
      <c r="SNZ57" s="15"/>
      <c r="SOF57" s="25"/>
      <c r="SOM57" s="21"/>
      <c r="SON57" s="21"/>
      <c r="SOR57" s="15"/>
      <c r="SOX57" s="25"/>
      <c r="SPE57" s="21"/>
      <c r="SPF57" s="21"/>
      <c r="SPJ57" s="15"/>
      <c r="SPP57" s="25"/>
      <c r="SPW57" s="21"/>
      <c r="SPX57" s="21"/>
      <c r="SQB57" s="15"/>
      <c r="SQH57" s="25"/>
      <c r="SQO57" s="21"/>
      <c r="SQP57" s="21"/>
      <c r="SQT57" s="15"/>
      <c r="SQZ57" s="25"/>
      <c r="SRG57" s="21"/>
      <c r="SRH57" s="21"/>
      <c r="SRL57" s="15"/>
      <c r="SRR57" s="25"/>
      <c r="SRY57" s="21"/>
      <c r="SRZ57" s="21"/>
      <c r="SSD57" s="15"/>
      <c r="SSJ57" s="25"/>
      <c r="SSQ57" s="21"/>
      <c r="SSR57" s="21"/>
      <c r="SSV57" s="15"/>
      <c r="STB57" s="25"/>
      <c r="STI57" s="21"/>
      <c r="STJ57" s="21"/>
      <c r="STN57" s="15"/>
      <c r="STT57" s="25"/>
      <c r="SUA57" s="21"/>
      <c r="SUB57" s="21"/>
      <c r="SUF57" s="15"/>
      <c r="SUL57" s="25"/>
      <c r="SUS57" s="21"/>
      <c r="SUT57" s="21"/>
      <c r="SUX57" s="15"/>
      <c r="SVD57" s="25"/>
      <c r="SVK57" s="21"/>
      <c r="SVL57" s="21"/>
      <c r="SVP57" s="15"/>
      <c r="SVV57" s="25"/>
      <c r="SWC57" s="21"/>
      <c r="SWD57" s="21"/>
      <c r="SWH57" s="15"/>
      <c r="SWN57" s="25"/>
      <c r="SWU57" s="21"/>
      <c r="SWV57" s="21"/>
      <c r="SWZ57" s="15"/>
      <c r="SXF57" s="25"/>
      <c r="SXM57" s="21"/>
      <c r="SXN57" s="21"/>
      <c r="SXR57" s="15"/>
      <c r="SXX57" s="25"/>
      <c r="SYE57" s="21"/>
      <c r="SYF57" s="21"/>
      <c r="SYJ57" s="15"/>
      <c r="SYP57" s="25"/>
      <c r="SYW57" s="21"/>
      <c r="SYX57" s="21"/>
      <c r="SZB57" s="15"/>
      <c r="SZH57" s="25"/>
      <c r="SZO57" s="21"/>
      <c r="SZP57" s="21"/>
      <c r="SZT57" s="15"/>
      <c r="SZZ57" s="25"/>
      <c r="TAG57" s="21"/>
      <c r="TAH57" s="21"/>
      <c r="TAL57" s="15"/>
      <c r="TAR57" s="25"/>
      <c r="TAY57" s="21"/>
      <c r="TAZ57" s="21"/>
      <c r="TBD57" s="15"/>
      <c r="TBJ57" s="25"/>
      <c r="TBQ57" s="21"/>
      <c r="TBR57" s="21"/>
      <c r="TBV57" s="15"/>
      <c r="TCB57" s="25"/>
      <c r="TCI57" s="21"/>
      <c r="TCJ57" s="21"/>
      <c r="TCN57" s="15"/>
      <c r="TCT57" s="25"/>
      <c r="TDA57" s="21"/>
      <c r="TDB57" s="21"/>
      <c r="TDF57" s="15"/>
      <c r="TDL57" s="25"/>
      <c r="TDS57" s="21"/>
      <c r="TDT57" s="21"/>
      <c r="TDX57" s="15"/>
      <c r="TED57" s="25"/>
      <c r="TEK57" s="21"/>
      <c r="TEL57" s="21"/>
      <c r="TEP57" s="15"/>
      <c r="TEV57" s="25"/>
      <c r="TFC57" s="21"/>
      <c r="TFD57" s="21"/>
      <c r="TFH57" s="15"/>
      <c r="TFN57" s="25"/>
      <c r="TFU57" s="21"/>
      <c r="TFV57" s="21"/>
      <c r="TFZ57" s="15"/>
      <c r="TGF57" s="25"/>
      <c r="TGM57" s="21"/>
      <c r="TGN57" s="21"/>
      <c r="TGR57" s="15"/>
      <c r="TGX57" s="25"/>
      <c r="THE57" s="21"/>
      <c r="THF57" s="21"/>
      <c r="THJ57" s="15"/>
      <c r="THP57" s="25"/>
      <c r="THW57" s="21"/>
      <c r="THX57" s="21"/>
      <c r="TIB57" s="15"/>
      <c r="TIH57" s="25"/>
      <c r="TIO57" s="21"/>
      <c r="TIP57" s="21"/>
      <c r="TIT57" s="15"/>
      <c r="TIZ57" s="25"/>
      <c r="TJG57" s="21"/>
      <c r="TJH57" s="21"/>
      <c r="TJL57" s="15"/>
      <c r="TJR57" s="25"/>
      <c r="TJY57" s="21"/>
      <c r="TJZ57" s="21"/>
      <c r="TKD57" s="15"/>
      <c r="TKJ57" s="25"/>
      <c r="TKQ57" s="21"/>
      <c r="TKR57" s="21"/>
      <c r="TKV57" s="15"/>
      <c r="TLB57" s="25"/>
      <c r="TLI57" s="21"/>
      <c r="TLJ57" s="21"/>
      <c r="TLN57" s="15"/>
      <c r="TLT57" s="25"/>
      <c r="TMA57" s="21"/>
      <c r="TMB57" s="21"/>
      <c r="TMF57" s="15"/>
      <c r="TML57" s="25"/>
      <c r="TMS57" s="21"/>
      <c r="TMT57" s="21"/>
      <c r="TMX57" s="15"/>
      <c r="TND57" s="25"/>
      <c r="TNK57" s="21"/>
      <c r="TNL57" s="21"/>
      <c r="TNP57" s="15"/>
      <c r="TNV57" s="25"/>
      <c r="TOC57" s="21"/>
      <c r="TOD57" s="21"/>
      <c r="TOH57" s="15"/>
      <c r="TON57" s="25"/>
      <c r="TOU57" s="21"/>
      <c r="TOV57" s="21"/>
      <c r="TOZ57" s="15"/>
      <c r="TPF57" s="25"/>
      <c r="TPM57" s="21"/>
      <c r="TPN57" s="21"/>
      <c r="TPR57" s="15"/>
      <c r="TPX57" s="25"/>
      <c r="TQE57" s="21"/>
      <c r="TQF57" s="21"/>
      <c r="TQJ57" s="15"/>
      <c r="TQP57" s="25"/>
      <c r="TQW57" s="21"/>
      <c r="TQX57" s="21"/>
      <c r="TRB57" s="15"/>
      <c r="TRH57" s="25"/>
      <c r="TRO57" s="21"/>
      <c r="TRP57" s="21"/>
      <c r="TRT57" s="15"/>
      <c r="TRZ57" s="25"/>
      <c r="TSG57" s="21"/>
      <c r="TSH57" s="21"/>
      <c r="TSL57" s="15"/>
      <c r="TSR57" s="25"/>
      <c r="TSY57" s="21"/>
      <c r="TSZ57" s="21"/>
      <c r="TTD57" s="15"/>
      <c r="TTJ57" s="25"/>
      <c r="TTQ57" s="21"/>
      <c r="TTR57" s="21"/>
      <c r="TTV57" s="15"/>
      <c r="TUB57" s="25"/>
      <c r="TUI57" s="21"/>
      <c r="TUJ57" s="21"/>
      <c r="TUN57" s="15"/>
      <c r="TUT57" s="25"/>
      <c r="TVA57" s="21"/>
      <c r="TVB57" s="21"/>
      <c r="TVF57" s="15"/>
      <c r="TVL57" s="25"/>
      <c r="TVS57" s="21"/>
      <c r="TVT57" s="21"/>
      <c r="TVX57" s="15"/>
      <c r="TWD57" s="25"/>
      <c r="TWK57" s="21"/>
      <c r="TWL57" s="21"/>
      <c r="TWP57" s="15"/>
      <c r="TWV57" s="25"/>
      <c r="TXC57" s="21"/>
      <c r="TXD57" s="21"/>
      <c r="TXH57" s="15"/>
      <c r="TXN57" s="25"/>
      <c r="TXU57" s="21"/>
      <c r="TXV57" s="21"/>
      <c r="TXZ57" s="15"/>
      <c r="TYF57" s="25"/>
      <c r="TYM57" s="21"/>
      <c r="TYN57" s="21"/>
      <c r="TYR57" s="15"/>
      <c r="TYX57" s="25"/>
      <c r="TZE57" s="21"/>
      <c r="TZF57" s="21"/>
      <c r="TZJ57" s="15"/>
      <c r="TZP57" s="25"/>
      <c r="TZW57" s="21"/>
      <c r="TZX57" s="21"/>
      <c r="UAB57" s="15"/>
      <c r="UAH57" s="25"/>
      <c r="UAO57" s="21"/>
      <c r="UAP57" s="21"/>
      <c r="UAT57" s="15"/>
      <c r="UAZ57" s="25"/>
      <c r="UBG57" s="21"/>
      <c r="UBH57" s="21"/>
      <c r="UBL57" s="15"/>
      <c r="UBR57" s="25"/>
      <c r="UBY57" s="21"/>
      <c r="UBZ57" s="21"/>
      <c r="UCD57" s="15"/>
      <c r="UCJ57" s="25"/>
      <c r="UCQ57" s="21"/>
      <c r="UCR57" s="21"/>
      <c r="UCV57" s="15"/>
      <c r="UDB57" s="25"/>
      <c r="UDI57" s="21"/>
      <c r="UDJ57" s="21"/>
      <c r="UDN57" s="15"/>
      <c r="UDT57" s="25"/>
      <c r="UEA57" s="21"/>
      <c r="UEB57" s="21"/>
      <c r="UEF57" s="15"/>
      <c r="UEL57" s="25"/>
      <c r="UES57" s="21"/>
      <c r="UET57" s="21"/>
      <c r="UEX57" s="15"/>
      <c r="UFD57" s="25"/>
      <c r="UFK57" s="21"/>
      <c r="UFL57" s="21"/>
      <c r="UFP57" s="15"/>
      <c r="UFV57" s="25"/>
      <c r="UGC57" s="21"/>
      <c r="UGD57" s="21"/>
      <c r="UGH57" s="15"/>
      <c r="UGN57" s="25"/>
      <c r="UGU57" s="21"/>
      <c r="UGV57" s="21"/>
      <c r="UGZ57" s="15"/>
      <c r="UHF57" s="25"/>
      <c r="UHM57" s="21"/>
      <c r="UHN57" s="21"/>
      <c r="UHR57" s="15"/>
      <c r="UHX57" s="25"/>
      <c r="UIE57" s="21"/>
      <c r="UIF57" s="21"/>
      <c r="UIJ57" s="15"/>
      <c r="UIP57" s="25"/>
      <c r="UIW57" s="21"/>
      <c r="UIX57" s="21"/>
      <c r="UJB57" s="15"/>
      <c r="UJH57" s="25"/>
      <c r="UJO57" s="21"/>
      <c r="UJP57" s="21"/>
      <c r="UJT57" s="15"/>
      <c r="UJZ57" s="25"/>
      <c r="UKG57" s="21"/>
      <c r="UKH57" s="21"/>
      <c r="UKL57" s="15"/>
      <c r="UKR57" s="25"/>
      <c r="UKY57" s="21"/>
      <c r="UKZ57" s="21"/>
      <c r="ULD57" s="15"/>
      <c r="ULJ57" s="25"/>
      <c r="ULQ57" s="21"/>
      <c r="ULR57" s="21"/>
      <c r="ULV57" s="15"/>
      <c r="UMB57" s="25"/>
      <c r="UMI57" s="21"/>
      <c r="UMJ57" s="21"/>
      <c r="UMN57" s="15"/>
      <c r="UMT57" s="25"/>
      <c r="UNA57" s="21"/>
      <c r="UNB57" s="21"/>
      <c r="UNF57" s="15"/>
      <c r="UNL57" s="25"/>
      <c r="UNS57" s="21"/>
      <c r="UNT57" s="21"/>
      <c r="UNX57" s="15"/>
      <c r="UOD57" s="25"/>
      <c r="UOK57" s="21"/>
      <c r="UOL57" s="21"/>
      <c r="UOP57" s="15"/>
      <c r="UOV57" s="25"/>
      <c r="UPC57" s="21"/>
      <c r="UPD57" s="21"/>
      <c r="UPH57" s="15"/>
      <c r="UPN57" s="25"/>
      <c r="UPU57" s="21"/>
      <c r="UPV57" s="21"/>
      <c r="UPZ57" s="15"/>
      <c r="UQF57" s="25"/>
      <c r="UQM57" s="21"/>
      <c r="UQN57" s="21"/>
      <c r="UQR57" s="15"/>
      <c r="UQX57" s="25"/>
      <c r="URE57" s="21"/>
      <c r="URF57" s="21"/>
      <c r="URJ57" s="15"/>
      <c r="URP57" s="25"/>
      <c r="URW57" s="21"/>
      <c r="URX57" s="21"/>
      <c r="USB57" s="15"/>
      <c r="USH57" s="25"/>
      <c r="USO57" s="21"/>
      <c r="USP57" s="21"/>
      <c r="UST57" s="15"/>
      <c r="USZ57" s="25"/>
      <c r="UTG57" s="21"/>
      <c r="UTH57" s="21"/>
      <c r="UTL57" s="15"/>
      <c r="UTR57" s="25"/>
      <c r="UTY57" s="21"/>
      <c r="UTZ57" s="21"/>
      <c r="UUD57" s="15"/>
      <c r="UUJ57" s="25"/>
      <c r="UUQ57" s="21"/>
      <c r="UUR57" s="21"/>
      <c r="UUV57" s="15"/>
      <c r="UVB57" s="25"/>
      <c r="UVI57" s="21"/>
      <c r="UVJ57" s="21"/>
      <c r="UVN57" s="15"/>
      <c r="UVT57" s="25"/>
      <c r="UWA57" s="21"/>
      <c r="UWB57" s="21"/>
      <c r="UWF57" s="15"/>
      <c r="UWL57" s="25"/>
      <c r="UWS57" s="21"/>
      <c r="UWT57" s="21"/>
      <c r="UWX57" s="15"/>
      <c r="UXD57" s="25"/>
      <c r="UXK57" s="21"/>
      <c r="UXL57" s="21"/>
      <c r="UXP57" s="15"/>
      <c r="UXV57" s="25"/>
      <c r="UYC57" s="21"/>
      <c r="UYD57" s="21"/>
      <c r="UYH57" s="15"/>
      <c r="UYN57" s="25"/>
      <c r="UYU57" s="21"/>
      <c r="UYV57" s="21"/>
      <c r="UYZ57" s="15"/>
      <c r="UZF57" s="25"/>
      <c r="UZM57" s="21"/>
      <c r="UZN57" s="21"/>
      <c r="UZR57" s="15"/>
      <c r="UZX57" s="25"/>
      <c r="VAE57" s="21"/>
      <c r="VAF57" s="21"/>
      <c r="VAJ57" s="15"/>
      <c r="VAP57" s="25"/>
      <c r="VAW57" s="21"/>
      <c r="VAX57" s="21"/>
      <c r="VBB57" s="15"/>
      <c r="VBH57" s="25"/>
      <c r="VBO57" s="21"/>
      <c r="VBP57" s="21"/>
      <c r="VBT57" s="15"/>
      <c r="VBZ57" s="25"/>
      <c r="VCG57" s="21"/>
      <c r="VCH57" s="21"/>
      <c r="VCL57" s="15"/>
      <c r="VCR57" s="25"/>
      <c r="VCY57" s="21"/>
      <c r="VCZ57" s="21"/>
      <c r="VDD57" s="15"/>
      <c r="VDJ57" s="25"/>
      <c r="VDQ57" s="21"/>
      <c r="VDR57" s="21"/>
      <c r="VDV57" s="15"/>
      <c r="VEB57" s="25"/>
      <c r="VEI57" s="21"/>
      <c r="VEJ57" s="21"/>
      <c r="VEN57" s="15"/>
      <c r="VET57" s="25"/>
      <c r="VFA57" s="21"/>
      <c r="VFB57" s="21"/>
      <c r="VFF57" s="15"/>
      <c r="VFL57" s="25"/>
      <c r="VFS57" s="21"/>
      <c r="VFT57" s="21"/>
      <c r="VFX57" s="15"/>
      <c r="VGD57" s="25"/>
      <c r="VGK57" s="21"/>
      <c r="VGL57" s="21"/>
      <c r="VGP57" s="15"/>
      <c r="VGV57" s="25"/>
      <c r="VHC57" s="21"/>
      <c r="VHD57" s="21"/>
      <c r="VHH57" s="15"/>
      <c r="VHN57" s="25"/>
      <c r="VHU57" s="21"/>
      <c r="VHV57" s="21"/>
      <c r="VHZ57" s="15"/>
      <c r="VIF57" s="25"/>
      <c r="VIM57" s="21"/>
      <c r="VIN57" s="21"/>
      <c r="VIR57" s="15"/>
      <c r="VIX57" s="25"/>
      <c r="VJE57" s="21"/>
      <c r="VJF57" s="21"/>
      <c r="VJJ57" s="15"/>
      <c r="VJP57" s="25"/>
      <c r="VJW57" s="21"/>
      <c r="VJX57" s="21"/>
      <c r="VKB57" s="15"/>
      <c r="VKH57" s="25"/>
      <c r="VKO57" s="21"/>
      <c r="VKP57" s="21"/>
      <c r="VKT57" s="15"/>
      <c r="VKZ57" s="25"/>
      <c r="VLG57" s="21"/>
      <c r="VLH57" s="21"/>
      <c r="VLL57" s="15"/>
      <c r="VLR57" s="25"/>
      <c r="VLY57" s="21"/>
      <c r="VLZ57" s="21"/>
      <c r="VMD57" s="15"/>
      <c r="VMJ57" s="25"/>
      <c r="VMQ57" s="21"/>
      <c r="VMR57" s="21"/>
      <c r="VMV57" s="15"/>
      <c r="VNB57" s="25"/>
      <c r="VNI57" s="21"/>
      <c r="VNJ57" s="21"/>
      <c r="VNN57" s="15"/>
      <c r="VNT57" s="25"/>
      <c r="VOA57" s="21"/>
      <c r="VOB57" s="21"/>
      <c r="VOF57" s="15"/>
      <c r="VOL57" s="25"/>
      <c r="VOS57" s="21"/>
      <c r="VOT57" s="21"/>
      <c r="VOX57" s="15"/>
      <c r="VPD57" s="25"/>
      <c r="VPK57" s="21"/>
      <c r="VPL57" s="21"/>
      <c r="VPP57" s="15"/>
      <c r="VPV57" s="25"/>
      <c r="VQC57" s="21"/>
      <c r="VQD57" s="21"/>
      <c r="VQH57" s="15"/>
      <c r="VQN57" s="25"/>
      <c r="VQU57" s="21"/>
      <c r="VQV57" s="21"/>
      <c r="VQZ57" s="15"/>
      <c r="VRF57" s="25"/>
      <c r="VRM57" s="21"/>
      <c r="VRN57" s="21"/>
      <c r="VRR57" s="15"/>
      <c r="VRX57" s="25"/>
      <c r="VSE57" s="21"/>
      <c r="VSF57" s="21"/>
      <c r="VSJ57" s="15"/>
      <c r="VSP57" s="25"/>
      <c r="VSW57" s="21"/>
      <c r="VSX57" s="21"/>
      <c r="VTB57" s="15"/>
      <c r="VTH57" s="25"/>
      <c r="VTO57" s="21"/>
      <c r="VTP57" s="21"/>
      <c r="VTT57" s="15"/>
      <c r="VTZ57" s="25"/>
      <c r="VUG57" s="21"/>
      <c r="VUH57" s="21"/>
      <c r="VUL57" s="15"/>
      <c r="VUR57" s="25"/>
      <c r="VUY57" s="21"/>
      <c r="VUZ57" s="21"/>
      <c r="VVD57" s="15"/>
      <c r="VVJ57" s="25"/>
      <c r="VVQ57" s="21"/>
      <c r="VVR57" s="21"/>
      <c r="VVV57" s="15"/>
      <c r="VWB57" s="25"/>
      <c r="VWI57" s="21"/>
      <c r="VWJ57" s="21"/>
      <c r="VWN57" s="15"/>
      <c r="VWT57" s="25"/>
      <c r="VXA57" s="21"/>
      <c r="VXB57" s="21"/>
      <c r="VXF57" s="15"/>
      <c r="VXL57" s="25"/>
      <c r="VXS57" s="21"/>
      <c r="VXT57" s="21"/>
      <c r="VXX57" s="15"/>
      <c r="VYD57" s="25"/>
      <c r="VYK57" s="21"/>
      <c r="VYL57" s="21"/>
      <c r="VYP57" s="15"/>
      <c r="VYV57" s="25"/>
      <c r="VZC57" s="21"/>
      <c r="VZD57" s="21"/>
      <c r="VZH57" s="15"/>
      <c r="VZN57" s="25"/>
      <c r="VZU57" s="21"/>
      <c r="VZV57" s="21"/>
      <c r="VZZ57" s="15"/>
      <c r="WAF57" s="25"/>
      <c r="WAM57" s="21"/>
      <c r="WAN57" s="21"/>
      <c r="WAR57" s="15"/>
      <c r="WAX57" s="25"/>
      <c r="WBE57" s="21"/>
      <c r="WBF57" s="21"/>
      <c r="WBJ57" s="15"/>
      <c r="WBP57" s="25"/>
      <c r="WBW57" s="21"/>
      <c r="WBX57" s="21"/>
      <c r="WCB57" s="15"/>
      <c r="WCH57" s="25"/>
      <c r="WCO57" s="21"/>
      <c r="WCP57" s="21"/>
      <c r="WCT57" s="15"/>
      <c r="WCZ57" s="25"/>
      <c r="WDG57" s="21"/>
      <c r="WDH57" s="21"/>
      <c r="WDL57" s="15"/>
      <c r="WDR57" s="25"/>
      <c r="WDY57" s="21"/>
      <c r="WDZ57" s="21"/>
      <c r="WED57" s="15"/>
      <c r="WEJ57" s="25"/>
      <c r="WEQ57" s="21"/>
      <c r="WER57" s="21"/>
      <c r="WEV57" s="15"/>
      <c r="WFB57" s="25"/>
      <c r="WFI57" s="21"/>
      <c r="WFJ57" s="21"/>
      <c r="WFN57" s="15"/>
      <c r="WFT57" s="25"/>
      <c r="WGA57" s="21"/>
      <c r="WGB57" s="21"/>
      <c r="WGF57" s="15"/>
      <c r="WGL57" s="25"/>
      <c r="WGS57" s="21"/>
      <c r="WGT57" s="21"/>
      <c r="WGX57" s="15"/>
      <c r="WHD57" s="25"/>
      <c r="WHK57" s="21"/>
      <c r="WHL57" s="21"/>
      <c r="WHP57" s="15"/>
      <c r="WHV57" s="25"/>
      <c r="WIC57" s="21"/>
      <c r="WID57" s="21"/>
      <c r="WIH57" s="15"/>
      <c r="WIN57" s="25"/>
      <c r="WIU57" s="21"/>
      <c r="WIV57" s="21"/>
      <c r="WIZ57" s="15"/>
      <c r="WJF57" s="25"/>
      <c r="WJM57" s="21"/>
      <c r="WJN57" s="21"/>
      <c r="WJR57" s="15"/>
      <c r="WJX57" s="25"/>
      <c r="WKE57" s="21"/>
      <c r="WKF57" s="21"/>
      <c r="WKJ57" s="15"/>
      <c r="WKP57" s="25"/>
      <c r="WKW57" s="21"/>
      <c r="WKX57" s="21"/>
      <c r="WLB57" s="15"/>
      <c r="WLH57" s="25"/>
      <c r="WLO57" s="21"/>
      <c r="WLP57" s="21"/>
      <c r="WLT57" s="15"/>
      <c r="WLZ57" s="25"/>
      <c r="WMG57" s="21"/>
      <c r="WMH57" s="21"/>
      <c r="WML57" s="15"/>
      <c r="WMR57" s="25"/>
      <c r="WMY57" s="21"/>
      <c r="WMZ57" s="21"/>
      <c r="WND57" s="15"/>
      <c r="WNJ57" s="25"/>
      <c r="WNQ57" s="21"/>
      <c r="WNR57" s="21"/>
      <c r="WNV57" s="15"/>
      <c r="WOB57" s="25"/>
      <c r="WOI57" s="21"/>
      <c r="WOJ57" s="21"/>
      <c r="WON57" s="15"/>
      <c r="WOT57" s="25"/>
      <c r="WPA57" s="21"/>
      <c r="WPB57" s="21"/>
      <c r="WPF57" s="15"/>
      <c r="WPL57" s="25"/>
      <c r="WPS57" s="21"/>
      <c r="WPT57" s="21"/>
      <c r="WPX57" s="15"/>
      <c r="WQD57" s="25"/>
      <c r="WQK57" s="21"/>
      <c r="WQL57" s="21"/>
      <c r="WQP57" s="15"/>
      <c r="WQV57" s="25"/>
      <c r="WRC57" s="21"/>
      <c r="WRD57" s="21"/>
      <c r="WRH57" s="15"/>
      <c r="WRN57" s="25"/>
      <c r="WRU57" s="21"/>
      <c r="WRV57" s="21"/>
      <c r="WRZ57" s="15"/>
      <c r="WSF57" s="25"/>
      <c r="WSM57" s="21"/>
      <c r="WSN57" s="21"/>
      <c r="WSR57" s="15"/>
      <c r="WSX57" s="25"/>
      <c r="WTE57" s="21"/>
      <c r="WTF57" s="21"/>
      <c r="WTJ57" s="15"/>
      <c r="WTP57" s="25"/>
      <c r="WTW57" s="21"/>
      <c r="WTX57" s="21"/>
      <c r="WUB57" s="15"/>
      <c r="WUH57" s="25"/>
      <c r="WUO57" s="21"/>
      <c r="WUP57" s="21"/>
      <c r="WUT57" s="15"/>
      <c r="WUZ57" s="25"/>
      <c r="WVG57" s="21"/>
      <c r="WVH57" s="21"/>
      <c r="WVL57" s="15"/>
      <c r="WVR57" s="25"/>
      <c r="WVY57" s="21"/>
      <c r="WVZ57" s="21"/>
      <c r="WWD57" s="15"/>
      <c r="WWJ57" s="25"/>
      <c r="WWQ57" s="21"/>
      <c r="WWR57" s="21"/>
      <c r="WWV57" s="15"/>
      <c r="WXB57" s="25"/>
      <c r="WXI57" s="21"/>
      <c r="WXJ57" s="21"/>
      <c r="WXN57" s="15"/>
      <c r="WXT57" s="25"/>
      <c r="WYA57" s="21"/>
      <c r="WYB57" s="21"/>
      <c r="WYF57" s="15"/>
      <c r="WYL57" s="25"/>
      <c r="WYS57" s="21"/>
      <c r="WYT57" s="21"/>
      <c r="WYX57" s="15"/>
      <c r="WZD57" s="25"/>
      <c r="WZK57" s="21"/>
      <c r="WZL57" s="21"/>
      <c r="WZP57" s="15"/>
      <c r="WZV57" s="25"/>
      <c r="XAC57" s="21"/>
      <c r="XAD57" s="21"/>
      <c r="XAH57" s="15"/>
      <c r="XAN57" s="25"/>
      <c r="XAU57" s="21"/>
      <c r="XAV57" s="21"/>
      <c r="XAZ57" s="15"/>
      <c r="XBF57" s="25"/>
      <c r="XBM57" s="21"/>
      <c r="XBN57" s="21"/>
      <c r="XBR57" s="15"/>
      <c r="XBX57" s="25"/>
      <c r="XCE57" s="21"/>
      <c r="XCF57" s="21"/>
      <c r="XCJ57" s="15"/>
      <c r="XCP57" s="25"/>
      <c r="XCW57" s="21"/>
      <c r="XCX57" s="21"/>
      <c r="XDB57" s="15"/>
      <c r="XDH57" s="25"/>
      <c r="XDO57" s="21"/>
      <c r="XDP57" s="21"/>
      <c r="XDT57" s="15"/>
      <c r="XDZ57" s="25"/>
      <c r="XEG57" s="21"/>
      <c r="XEH57" s="21"/>
      <c r="XEL57" s="15"/>
      <c r="XER57" s="25"/>
      <c r="XEY57" s="21"/>
      <c r="XEZ57" s="21"/>
      <c r="XFD57" s="15"/>
    </row>
    <row r="58" spans="1:1018 1025:2044 2051:3070 3077:4096 4103:5116 5122:6142 6148:7168 7174:8190 8194:9216 9220:10234 10241:11260 11267:12286 12293:13312 13319:14332 14338:15358 15364:16384" s="24" customFormat="1" ht="15" customHeight="1">
      <c r="A58" s="21" t="s">
        <v>177</v>
      </c>
      <c r="B58" s="12">
        <v>2009</v>
      </c>
      <c r="C58" s="19" t="s">
        <v>171</v>
      </c>
      <c r="D58" s="22" t="s">
        <v>86</v>
      </c>
      <c r="E58" s="19" t="s">
        <v>175</v>
      </c>
      <c r="F58" s="19" t="s">
        <v>35</v>
      </c>
      <c r="G58" s="44">
        <v>253718209.59147424</v>
      </c>
      <c r="H58" s="44">
        <v>294456985.79040849</v>
      </c>
      <c r="I58" s="19">
        <v>41</v>
      </c>
      <c r="J58" s="52" t="s">
        <v>178</v>
      </c>
      <c r="K58" s="22"/>
      <c r="L58" s="22"/>
      <c r="M58" s="22" t="s">
        <v>26</v>
      </c>
      <c r="N58" s="12"/>
      <c r="O58" s="22"/>
      <c r="P58" s="12"/>
      <c r="Q58" s="22"/>
      <c r="R58" s="22"/>
      <c r="V58" s="15"/>
      <c r="AB58" s="25"/>
      <c r="AI58" s="21"/>
      <c r="AJ58" s="21"/>
      <c r="AN58" s="15"/>
      <c r="AT58" s="25"/>
      <c r="BA58" s="21"/>
      <c r="BB58" s="21"/>
      <c r="BF58" s="15"/>
      <c r="BL58" s="25"/>
      <c r="BS58" s="21"/>
      <c r="BT58" s="21"/>
      <c r="BX58" s="15"/>
      <c r="CD58" s="25"/>
      <c r="CK58" s="21"/>
      <c r="CL58" s="21"/>
      <c r="CP58" s="15"/>
      <c r="CV58" s="25"/>
      <c r="DC58" s="21"/>
      <c r="DD58" s="21"/>
      <c r="DH58" s="15"/>
      <c r="DN58" s="25"/>
      <c r="DU58" s="21"/>
      <c r="DV58" s="21"/>
      <c r="DZ58" s="15"/>
      <c r="EF58" s="25"/>
      <c r="EM58" s="21"/>
      <c r="EN58" s="21"/>
      <c r="ER58" s="15"/>
      <c r="EX58" s="25"/>
      <c r="FE58" s="21"/>
      <c r="FF58" s="21"/>
      <c r="FJ58" s="15"/>
      <c r="FP58" s="25"/>
      <c r="FW58" s="21"/>
      <c r="FX58" s="21"/>
      <c r="GB58" s="15"/>
      <c r="GH58" s="25"/>
      <c r="GO58" s="21"/>
      <c r="GP58" s="21"/>
      <c r="GT58" s="15"/>
      <c r="GZ58" s="25"/>
      <c r="HG58" s="21"/>
      <c r="HH58" s="21"/>
      <c r="HL58" s="15"/>
      <c r="HR58" s="25"/>
      <c r="HY58" s="21"/>
      <c r="HZ58" s="21"/>
      <c r="ID58" s="15"/>
      <c r="IJ58" s="25"/>
      <c r="IQ58" s="21"/>
      <c r="IR58" s="21"/>
      <c r="IV58" s="15"/>
      <c r="JB58" s="25"/>
      <c r="JI58" s="21"/>
      <c r="JJ58" s="21"/>
      <c r="JN58" s="15"/>
      <c r="JT58" s="25"/>
      <c r="KA58" s="21"/>
      <c r="KB58" s="21"/>
      <c r="KF58" s="15"/>
      <c r="KL58" s="25"/>
      <c r="KS58" s="21"/>
      <c r="KT58" s="21"/>
      <c r="KX58" s="15"/>
      <c r="LD58" s="25"/>
      <c r="LK58" s="21"/>
      <c r="LL58" s="21"/>
      <c r="LP58" s="15"/>
      <c r="LV58" s="25"/>
      <c r="MC58" s="21"/>
      <c r="MD58" s="21"/>
      <c r="MH58" s="15"/>
      <c r="MN58" s="25"/>
      <c r="MU58" s="21"/>
      <c r="MV58" s="21"/>
      <c r="MZ58" s="15"/>
      <c r="NF58" s="25"/>
      <c r="NM58" s="21"/>
      <c r="NN58" s="21"/>
      <c r="NR58" s="15"/>
      <c r="NX58" s="25"/>
      <c r="OE58" s="21"/>
      <c r="OF58" s="21"/>
      <c r="OJ58" s="15"/>
      <c r="OP58" s="25"/>
      <c r="OW58" s="21"/>
      <c r="OX58" s="21"/>
      <c r="PB58" s="15"/>
      <c r="PH58" s="25"/>
      <c r="PO58" s="21"/>
      <c r="PP58" s="21"/>
      <c r="PT58" s="15"/>
      <c r="PZ58" s="25"/>
      <c r="QG58" s="21"/>
      <c r="QH58" s="21"/>
      <c r="QL58" s="15"/>
      <c r="QR58" s="25"/>
      <c r="QY58" s="21"/>
      <c r="QZ58" s="21"/>
      <c r="RD58" s="15"/>
      <c r="RJ58" s="25"/>
      <c r="RQ58" s="21"/>
      <c r="RR58" s="21"/>
      <c r="RV58" s="15"/>
      <c r="SB58" s="25"/>
      <c r="SI58" s="21"/>
      <c r="SJ58" s="21"/>
      <c r="SN58" s="15"/>
      <c r="ST58" s="25"/>
      <c r="TA58" s="21"/>
      <c r="TB58" s="21"/>
      <c r="TF58" s="15"/>
      <c r="TL58" s="25"/>
      <c r="TS58" s="21"/>
      <c r="TT58" s="21"/>
      <c r="TX58" s="15"/>
      <c r="UD58" s="25"/>
      <c r="UK58" s="21"/>
      <c r="UL58" s="21"/>
      <c r="UP58" s="15"/>
      <c r="UV58" s="25"/>
      <c r="VC58" s="21"/>
      <c r="VD58" s="21"/>
      <c r="VH58" s="15"/>
      <c r="VN58" s="25"/>
      <c r="VU58" s="21"/>
      <c r="VV58" s="21"/>
      <c r="VZ58" s="15"/>
      <c r="WF58" s="25"/>
      <c r="WM58" s="21"/>
      <c r="WN58" s="21"/>
      <c r="WR58" s="15"/>
      <c r="WX58" s="25"/>
      <c r="XE58" s="21"/>
      <c r="XF58" s="21"/>
      <c r="XJ58" s="15"/>
      <c r="XP58" s="25"/>
      <c r="XW58" s="21"/>
      <c r="XX58" s="21"/>
      <c r="YB58" s="15"/>
      <c r="YH58" s="25"/>
      <c r="YO58" s="21"/>
      <c r="YP58" s="21"/>
      <c r="YT58" s="15"/>
      <c r="YZ58" s="25"/>
      <c r="ZG58" s="21"/>
      <c r="ZH58" s="21"/>
      <c r="ZL58" s="15"/>
      <c r="ZR58" s="25"/>
      <c r="ZY58" s="21"/>
      <c r="ZZ58" s="21"/>
      <c r="AAD58" s="15"/>
      <c r="AAJ58" s="25"/>
      <c r="AAQ58" s="21"/>
      <c r="AAR58" s="21"/>
      <c r="AAV58" s="15"/>
      <c r="ABB58" s="25"/>
      <c r="ABI58" s="21"/>
      <c r="ABJ58" s="21"/>
      <c r="ABN58" s="15"/>
      <c r="ABT58" s="25"/>
      <c r="ACA58" s="21"/>
      <c r="ACB58" s="21"/>
      <c r="ACF58" s="15"/>
      <c r="ACL58" s="25"/>
      <c r="ACS58" s="21"/>
      <c r="ACT58" s="21"/>
      <c r="ACX58" s="15"/>
      <c r="ADD58" s="25"/>
      <c r="ADK58" s="21"/>
      <c r="ADL58" s="21"/>
      <c r="ADP58" s="15"/>
      <c r="ADV58" s="25"/>
      <c r="AEC58" s="21"/>
      <c r="AED58" s="21"/>
      <c r="AEH58" s="15"/>
      <c r="AEN58" s="25"/>
      <c r="AEU58" s="21"/>
      <c r="AEV58" s="21"/>
      <c r="AEZ58" s="15"/>
      <c r="AFF58" s="25"/>
      <c r="AFM58" s="21"/>
      <c r="AFN58" s="21"/>
      <c r="AFR58" s="15"/>
      <c r="AFX58" s="25"/>
      <c r="AGE58" s="21"/>
      <c r="AGF58" s="21"/>
      <c r="AGJ58" s="15"/>
      <c r="AGP58" s="25"/>
      <c r="AGW58" s="21"/>
      <c r="AGX58" s="21"/>
      <c r="AHB58" s="15"/>
      <c r="AHH58" s="25"/>
      <c r="AHO58" s="21"/>
      <c r="AHP58" s="21"/>
      <c r="AHT58" s="15"/>
      <c r="AHZ58" s="25"/>
      <c r="AIG58" s="21"/>
      <c r="AIH58" s="21"/>
      <c r="AIL58" s="15"/>
      <c r="AIR58" s="25"/>
      <c r="AIY58" s="21"/>
      <c r="AIZ58" s="21"/>
      <c r="AJD58" s="15"/>
      <c r="AJJ58" s="25"/>
      <c r="AJQ58" s="21"/>
      <c r="AJR58" s="21"/>
      <c r="AJV58" s="15"/>
      <c r="AKB58" s="25"/>
      <c r="AKI58" s="21"/>
      <c r="AKJ58" s="21"/>
      <c r="AKN58" s="15"/>
      <c r="AKT58" s="25"/>
      <c r="ALA58" s="21"/>
      <c r="ALB58" s="21"/>
      <c r="ALF58" s="15"/>
      <c r="ALL58" s="25"/>
      <c r="ALS58" s="21"/>
      <c r="ALT58" s="21"/>
      <c r="ALX58" s="15"/>
      <c r="AMD58" s="25"/>
      <c r="AMK58" s="21"/>
      <c r="AML58" s="21"/>
      <c r="AMP58" s="15"/>
      <c r="AMV58" s="25"/>
      <c r="ANC58" s="21"/>
      <c r="AND58" s="21"/>
      <c r="ANH58" s="15"/>
      <c r="ANN58" s="25"/>
      <c r="ANU58" s="21"/>
      <c r="ANV58" s="21"/>
      <c r="ANZ58" s="15"/>
      <c r="AOF58" s="25"/>
      <c r="AOM58" s="21"/>
      <c r="AON58" s="21"/>
      <c r="AOR58" s="15"/>
      <c r="AOX58" s="25"/>
      <c r="APE58" s="21"/>
      <c r="APF58" s="21"/>
      <c r="APJ58" s="15"/>
      <c r="APP58" s="25"/>
      <c r="APW58" s="21"/>
      <c r="APX58" s="21"/>
      <c r="AQB58" s="15"/>
      <c r="AQH58" s="25"/>
      <c r="AQO58" s="21"/>
      <c r="AQP58" s="21"/>
      <c r="AQT58" s="15"/>
      <c r="AQZ58" s="25"/>
      <c r="ARG58" s="21"/>
      <c r="ARH58" s="21"/>
      <c r="ARL58" s="15"/>
      <c r="ARR58" s="25"/>
      <c r="ARY58" s="21"/>
      <c r="ARZ58" s="21"/>
      <c r="ASD58" s="15"/>
      <c r="ASJ58" s="25"/>
      <c r="ASQ58" s="21"/>
      <c r="ASR58" s="21"/>
      <c r="ASV58" s="15"/>
      <c r="ATB58" s="25"/>
      <c r="ATI58" s="21"/>
      <c r="ATJ58" s="21"/>
      <c r="ATN58" s="15"/>
      <c r="ATT58" s="25"/>
      <c r="AUA58" s="21"/>
      <c r="AUB58" s="21"/>
      <c r="AUF58" s="15"/>
      <c r="AUL58" s="25"/>
      <c r="AUS58" s="21"/>
      <c r="AUT58" s="21"/>
      <c r="AUX58" s="15"/>
      <c r="AVD58" s="25"/>
      <c r="AVK58" s="21"/>
      <c r="AVL58" s="21"/>
      <c r="AVP58" s="15"/>
      <c r="AVV58" s="25"/>
      <c r="AWC58" s="21"/>
      <c r="AWD58" s="21"/>
      <c r="AWH58" s="15"/>
      <c r="AWN58" s="25"/>
      <c r="AWU58" s="21"/>
      <c r="AWV58" s="21"/>
      <c r="AWZ58" s="15"/>
      <c r="AXF58" s="25"/>
      <c r="AXM58" s="21"/>
      <c r="AXN58" s="21"/>
      <c r="AXR58" s="15"/>
      <c r="AXX58" s="25"/>
      <c r="AYE58" s="21"/>
      <c r="AYF58" s="21"/>
      <c r="AYJ58" s="15"/>
      <c r="AYP58" s="25"/>
      <c r="AYW58" s="21"/>
      <c r="AYX58" s="21"/>
      <c r="AZB58" s="15"/>
      <c r="AZH58" s="25"/>
      <c r="AZO58" s="21"/>
      <c r="AZP58" s="21"/>
      <c r="AZT58" s="15"/>
      <c r="AZZ58" s="25"/>
      <c r="BAG58" s="21"/>
      <c r="BAH58" s="21"/>
      <c r="BAL58" s="15"/>
      <c r="BAR58" s="25"/>
      <c r="BAY58" s="21"/>
      <c r="BAZ58" s="21"/>
      <c r="BBD58" s="15"/>
      <c r="BBJ58" s="25"/>
      <c r="BBQ58" s="21"/>
      <c r="BBR58" s="21"/>
      <c r="BBV58" s="15"/>
      <c r="BCB58" s="25"/>
      <c r="BCI58" s="21"/>
      <c r="BCJ58" s="21"/>
      <c r="BCN58" s="15"/>
      <c r="BCT58" s="25"/>
      <c r="BDA58" s="21"/>
      <c r="BDB58" s="21"/>
      <c r="BDF58" s="15"/>
      <c r="BDL58" s="25"/>
      <c r="BDS58" s="21"/>
      <c r="BDT58" s="21"/>
      <c r="BDX58" s="15"/>
      <c r="BED58" s="25"/>
      <c r="BEK58" s="21"/>
      <c r="BEL58" s="21"/>
      <c r="BEP58" s="15"/>
      <c r="BEV58" s="25"/>
      <c r="BFC58" s="21"/>
      <c r="BFD58" s="21"/>
      <c r="BFH58" s="15"/>
      <c r="BFN58" s="25"/>
      <c r="BFU58" s="21"/>
      <c r="BFV58" s="21"/>
      <c r="BFZ58" s="15"/>
      <c r="BGF58" s="25"/>
      <c r="BGM58" s="21"/>
      <c r="BGN58" s="21"/>
      <c r="BGR58" s="15"/>
      <c r="BGX58" s="25"/>
      <c r="BHE58" s="21"/>
      <c r="BHF58" s="21"/>
      <c r="BHJ58" s="15"/>
      <c r="BHP58" s="25"/>
      <c r="BHW58" s="21"/>
      <c r="BHX58" s="21"/>
      <c r="BIB58" s="15"/>
      <c r="BIH58" s="25"/>
      <c r="BIO58" s="21"/>
      <c r="BIP58" s="21"/>
      <c r="BIT58" s="15"/>
      <c r="BIZ58" s="25"/>
      <c r="BJG58" s="21"/>
      <c r="BJH58" s="21"/>
      <c r="BJL58" s="15"/>
      <c r="BJR58" s="25"/>
      <c r="BJY58" s="21"/>
      <c r="BJZ58" s="21"/>
      <c r="BKD58" s="15"/>
      <c r="BKJ58" s="25"/>
      <c r="BKQ58" s="21"/>
      <c r="BKR58" s="21"/>
      <c r="BKV58" s="15"/>
      <c r="BLB58" s="25"/>
      <c r="BLI58" s="21"/>
      <c r="BLJ58" s="21"/>
      <c r="BLN58" s="15"/>
      <c r="BLT58" s="25"/>
      <c r="BMA58" s="21"/>
      <c r="BMB58" s="21"/>
      <c r="BMF58" s="15"/>
      <c r="BML58" s="25"/>
      <c r="BMS58" s="21"/>
      <c r="BMT58" s="21"/>
      <c r="BMX58" s="15"/>
      <c r="BND58" s="25"/>
      <c r="BNK58" s="21"/>
      <c r="BNL58" s="21"/>
      <c r="BNP58" s="15"/>
      <c r="BNV58" s="25"/>
      <c r="BOC58" s="21"/>
      <c r="BOD58" s="21"/>
      <c r="BOH58" s="15"/>
      <c r="BON58" s="25"/>
      <c r="BOU58" s="21"/>
      <c r="BOV58" s="21"/>
      <c r="BOZ58" s="15"/>
      <c r="BPF58" s="25"/>
      <c r="BPM58" s="21"/>
      <c r="BPN58" s="21"/>
      <c r="BPR58" s="15"/>
      <c r="BPX58" s="25"/>
      <c r="BQE58" s="21"/>
      <c r="BQF58" s="21"/>
      <c r="BQJ58" s="15"/>
      <c r="BQP58" s="25"/>
      <c r="BQW58" s="21"/>
      <c r="BQX58" s="21"/>
      <c r="BRB58" s="15"/>
      <c r="BRH58" s="25"/>
      <c r="BRO58" s="21"/>
      <c r="BRP58" s="21"/>
      <c r="BRT58" s="15"/>
      <c r="BRZ58" s="25"/>
      <c r="BSG58" s="21"/>
      <c r="BSH58" s="21"/>
      <c r="BSL58" s="15"/>
      <c r="BSR58" s="25"/>
      <c r="BSY58" s="21"/>
      <c r="BSZ58" s="21"/>
      <c r="BTD58" s="15"/>
      <c r="BTJ58" s="25"/>
      <c r="BTQ58" s="21"/>
      <c r="BTR58" s="21"/>
      <c r="BTV58" s="15"/>
      <c r="BUB58" s="25"/>
      <c r="BUI58" s="21"/>
      <c r="BUJ58" s="21"/>
      <c r="BUN58" s="15"/>
      <c r="BUT58" s="25"/>
      <c r="BVA58" s="21"/>
      <c r="BVB58" s="21"/>
      <c r="BVF58" s="15"/>
      <c r="BVL58" s="25"/>
      <c r="BVS58" s="21"/>
      <c r="BVT58" s="21"/>
      <c r="BVX58" s="15"/>
      <c r="BWD58" s="25"/>
      <c r="BWK58" s="21"/>
      <c r="BWL58" s="21"/>
      <c r="BWP58" s="15"/>
      <c r="BWV58" s="25"/>
      <c r="BXC58" s="21"/>
      <c r="BXD58" s="21"/>
      <c r="BXH58" s="15"/>
      <c r="BXN58" s="25"/>
      <c r="BXU58" s="21"/>
      <c r="BXV58" s="21"/>
      <c r="BXZ58" s="15"/>
      <c r="BYF58" s="25"/>
      <c r="BYM58" s="21"/>
      <c r="BYN58" s="21"/>
      <c r="BYR58" s="15"/>
      <c r="BYX58" s="25"/>
      <c r="BZE58" s="21"/>
      <c r="BZF58" s="21"/>
      <c r="BZJ58" s="15"/>
      <c r="BZP58" s="25"/>
      <c r="BZW58" s="21"/>
      <c r="BZX58" s="21"/>
      <c r="CAB58" s="15"/>
      <c r="CAH58" s="25"/>
      <c r="CAO58" s="21"/>
      <c r="CAP58" s="21"/>
      <c r="CAT58" s="15"/>
      <c r="CAZ58" s="25"/>
      <c r="CBG58" s="21"/>
      <c r="CBH58" s="21"/>
      <c r="CBL58" s="15"/>
      <c r="CBR58" s="25"/>
      <c r="CBY58" s="21"/>
      <c r="CBZ58" s="21"/>
      <c r="CCD58" s="15"/>
      <c r="CCJ58" s="25"/>
      <c r="CCQ58" s="21"/>
      <c r="CCR58" s="21"/>
      <c r="CCV58" s="15"/>
      <c r="CDB58" s="25"/>
      <c r="CDI58" s="21"/>
      <c r="CDJ58" s="21"/>
      <c r="CDN58" s="15"/>
      <c r="CDT58" s="25"/>
      <c r="CEA58" s="21"/>
      <c r="CEB58" s="21"/>
      <c r="CEF58" s="15"/>
      <c r="CEL58" s="25"/>
      <c r="CES58" s="21"/>
      <c r="CET58" s="21"/>
      <c r="CEX58" s="15"/>
      <c r="CFD58" s="25"/>
      <c r="CFK58" s="21"/>
      <c r="CFL58" s="21"/>
      <c r="CFP58" s="15"/>
      <c r="CFV58" s="25"/>
      <c r="CGC58" s="21"/>
      <c r="CGD58" s="21"/>
      <c r="CGH58" s="15"/>
      <c r="CGN58" s="25"/>
      <c r="CGU58" s="21"/>
      <c r="CGV58" s="21"/>
      <c r="CGZ58" s="15"/>
      <c r="CHF58" s="25"/>
      <c r="CHM58" s="21"/>
      <c r="CHN58" s="21"/>
      <c r="CHR58" s="15"/>
      <c r="CHX58" s="25"/>
      <c r="CIE58" s="21"/>
      <c r="CIF58" s="21"/>
      <c r="CIJ58" s="15"/>
      <c r="CIP58" s="25"/>
      <c r="CIW58" s="21"/>
      <c r="CIX58" s="21"/>
      <c r="CJB58" s="15"/>
      <c r="CJH58" s="25"/>
      <c r="CJO58" s="21"/>
      <c r="CJP58" s="21"/>
      <c r="CJT58" s="15"/>
      <c r="CJZ58" s="25"/>
      <c r="CKG58" s="21"/>
      <c r="CKH58" s="21"/>
      <c r="CKL58" s="15"/>
      <c r="CKR58" s="25"/>
      <c r="CKY58" s="21"/>
      <c r="CKZ58" s="21"/>
      <c r="CLD58" s="15"/>
      <c r="CLJ58" s="25"/>
      <c r="CLQ58" s="21"/>
      <c r="CLR58" s="21"/>
      <c r="CLV58" s="15"/>
      <c r="CMB58" s="25"/>
      <c r="CMI58" s="21"/>
      <c r="CMJ58" s="21"/>
      <c r="CMN58" s="15"/>
      <c r="CMT58" s="25"/>
      <c r="CNA58" s="21"/>
      <c r="CNB58" s="21"/>
      <c r="CNF58" s="15"/>
      <c r="CNL58" s="25"/>
      <c r="CNS58" s="21"/>
      <c r="CNT58" s="21"/>
      <c r="CNX58" s="15"/>
      <c r="COD58" s="25"/>
      <c r="COK58" s="21"/>
      <c r="COL58" s="21"/>
      <c r="COP58" s="15"/>
      <c r="COV58" s="25"/>
      <c r="CPC58" s="21"/>
      <c r="CPD58" s="21"/>
      <c r="CPH58" s="15"/>
      <c r="CPN58" s="25"/>
      <c r="CPU58" s="21"/>
      <c r="CPV58" s="21"/>
      <c r="CPZ58" s="15"/>
      <c r="CQF58" s="25"/>
      <c r="CQM58" s="21"/>
      <c r="CQN58" s="21"/>
      <c r="CQR58" s="15"/>
      <c r="CQX58" s="25"/>
      <c r="CRE58" s="21"/>
      <c r="CRF58" s="21"/>
      <c r="CRJ58" s="15"/>
      <c r="CRP58" s="25"/>
      <c r="CRW58" s="21"/>
      <c r="CRX58" s="21"/>
      <c r="CSB58" s="15"/>
      <c r="CSH58" s="25"/>
      <c r="CSO58" s="21"/>
      <c r="CSP58" s="21"/>
      <c r="CST58" s="15"/>
      <c r="CSZ58" s="25"/>
      <c r="CTG58" s="21"/>
      <c r="CTH58" s="21"/>
      <c r="CTL58" s="15"/>
      <c r="CTR58" s="25"/>
      <c r="CTY58" s="21"/>
      <c r="CTZ58" s="21"/>
      <c r="CUD58" s="15"/>
      <c r="CUJ58" s="25"/>
      <c r="CUQ58" s="21"/>
      <c r="CUR58" s="21"/>
      <c r="CUV58" s="15"/>
      <c r="CVB58" s="25"/>
      <c r="CVI58" s="21"/>
      <c r="CVJ58" s="21"/>
      <c r="CVN58" s="15"/>
      <c r="CVT58" s="25"/>
      <c r="CWA58" s="21"/>
      <c r="CWB58" s="21"/>
      <c r="CWF58" s="15"/>
      <c r="CWL58" s="25"/>
      <c r="CWS58" s="21"/>
      <c r="CWT58" s="21"/>
      <c r="CWX58" s="15"/>
      <c r="CXD58" s="25"/>
      <c r="CXK58" s="21"/>
      <c r="CXL58" s="21"/>
      <c r="CXP58" s="15"/>
      <c r="CXV58" s="25"/>
      <c r="CYC58" s="21"/>
      <c r="CYD58" s="21"/>
      <c r="CYH58" s="15"/>
      <c r="CYN58" s="25"/>
      <c r="CYU58" s="21"/>
      <c r="CYV58" s="21"/>
      <c r="CYZ58" s="15"/>
      <c r="CZF58" s="25"/>
      <c r="CZM58" s="21"/>
      <c r="CZN58" s="21"/>
      <c r="CZR58" s="15"/>
      <c r="CZX58" s="25"/>
      <c r="DAE58" s="21"/>
      <c r="DAF58" s="21"/>
      <c r="DAJ58" s="15"/>
      <c r="DAP58" s="25"/>
      <c r="DAW58" s="21"/>
      <c r="DAX58" s="21"/>
      <c r="DBB58" s="15"/>
      <c r="DBH58" s="25"/>
      <c r="DBO58" s="21"/>
      <c r="DBP58" s="21"/>
      <c r="DBT58" s="15"/>
      <c r="DBZ58" s="25"/>
      <c r="DCG58" s="21"/>
      <c r="DCH58" s="21"/>
      <c r="DCL58" s="15"/>
      <c r="DCR58" s="25"/>
      <c r="DCY58" s="21"/>
      <c r="DCZ58" s="21"/>
      <c r="DDD58" s="15"/>
      <c r="DDJ58" s="25"/>
      <c r="DDQ58" s="21"/>
      <c r="DDR58" s="21"/>
      <c r="DDV58" s="15"/>
      <c r="DEB58" s="25"/>
      <c r="DEI58" s="21"/>
      <c r="DEJ58" s="21"/>
      <c r="DEN58" s="15"/>
      <c r="DET58" s="25"/>
      <c r="DFA58" s="21"/>
      <c r="DFB58" s="21"/>
      <c r="DFF58" s="15"/>
      <c r="DFL58" s="25"/>
      <c r="DFS58" s="21"/>
      <c r="DFT58" s="21"/>
      <c r="DFX58" s="15"/>
      <c r="DGD58" s="25"/>
      <c r="DGK58" s="21"/>
      <c r="DGL58" s="21"/>
      <c r="DGP58" s="15"/>
      <c r="DGV58" s="25"/>
      <c r="DHC58" s="21"/>
      <c r="DHD58" s="21"/>
      <c r="DHH58" s="15"/>
      <c r="DHN58" s="25"/>
      <c r="DHU58" s="21"/>
      <c r="DHV58" s="21"/>
      <c r="DHZ58" s="15"/>
      <c r="DIF58" s="25"/>
      <c r="DIM58" s="21"/>
      <c r="DIN58" s="21"/>
      <c r="DIR58" s="15"/>
      <c r="DIX58" s="25"/>
      <c r="DJE58" s="21"/>
      <c r="DJF58" s="21"/>
      <c r="DJJ58" s="15"/>
      <c r="DJP58" s="25"/>
      <c r="DJW58" s="21"/>
      <c r="DJX58" s="21"/>
      <c r="DKB58" s="15"/>
      <c r="DKH58" s="25"/>
      <c r="DKO58" s="21"/>
      <c r="DKP58" s="21"/>
      <c r="DKT58" s="15"/>
      <c r="DKZ58" s="25"/>
      <c r="DLG58" s="21"/>
      <c r="DLH58" s="21"/>
      <c r="DLL58" s="15"/>
      <c r="DLR58" s="25"/>
      <c r="DLY58" s="21"/>
      <c r="DLZ58" s="21"/>
      <c r="DMD58" s="15"/>
      <c r="DMJ58" s="25"/>
      <c r="DMQ58" s="21"/>
      <c r="DMR58" s="21"/>
      <c r="DMV58" s="15"/>
      <c r="DNB58" s="25"/>
      <c r="DNI58" s="21"/>
      <c r="DNJ58" s="21"/>
      <c r="DNN58" s="15"/>
      <c r="DNT58" s="25"/>
      <c r="DOA58" s="21"/>
      <c r="DOB58" s="21"/>
      <c r="DOF58" s="15"/>
      <c r="DOL58" s="25"/>
      <c r="DOS58" s="21"/>
      <c r="DOT58" s="21"/>
      <c r="DOX58" s="15"/>
      <c r="DPD58" s="25"/>
      <c r="DPK58" s="21"/>
      <c r="DPL58" s="21"/>
      <c r="DPP58" s="15"/>
      <c r="DPV58" s="25"/>
      <c r="DQC58" s="21"/>
      <c r="DQD58" s="21"/>
      <c r="DQH58" s="15"/>
      <c r="DQN58" s="25"/>
      <c r="DQU58" s="21"/>
      <c r="DQV58" s="21"/>
      <c r="DQZ58" s="15"/>
      <c r="DRF58" s="25"/>
      <c r="DRM58" s="21"/>
      <c r="DRN58" s="21"/>
      <c r="DRR58" s="15"/>
      <c r="DRX58" s="25"/>
      <c r="DSE58" s="21"/>
      <c r="DSF58" s="21"/>
      <c r="DSJ58" s="15"/>
      <c r="DSP58" s="25"/>
      <c r="DSW58" s="21"/>
      <c r="DSX58" s="21"/>
      <c r="DTB58" s="15"/>
      <c r="DTH58" s="25"/>
      <c r="DTO58" s="21"/>
      <c r="DTP58" s="21"/>
      <c r="DTT58" s="15"/>
      <c r="DTZ58" s="25"/>
      <c r="DUG58" s="21"/>
      <c r="DUH58" s="21"/>
      <c r="DUL58" s="15"/>
      <c r="DUR58" s="25"/>
      <c r="DUY58" s="21"/>
      <c r="DUZ58" s="21"/>
      <c r="DVD58" s="15"/>
      <c r="DVJ58" s="25"/>
      <c r="DVQ58" s="21"/>
      <c r="DVR58" s="21"/>
      <c r="DVV58" s="15"/>
      <c r="DWB58" s="25"/>
      <c r="DWI58" s="21"/>
      <c r="DWJ58" s="21"/>
      <c r="DWN58" s="15"/>
      <c r="DWT58" s="25"/>
      <c r="DXA58" s="21"/>
      <c r="DXB58" s="21"/>
      <c r="DXF58" s="15"/>
      <c r="DXL58" s="25"/>
      <c r="DXS58" s="21"/>
      <c r="DXT58" s="21"/>
      <c r="DXX58" s="15"/>
      <c r="DYD58" s="25"/>
      <c r="DYK58" s="21"/>
      <c r="DYL58" s="21"/>
      <c r="DYP58" s="15"/>
      <c r="DYV58" s="25"/>
      <c r="DZC58" s="21"/>
      <c r="DZD58" s="21"/>
      <c r="DZH58" s="15"/>
      <c r="DZN58" s="25"/>
      <c r="DZU58" s="21"/>
      <c r="DZV58" s="21"/>
      <c r="DZZ58" s="15"/>
      <c r="EAF58" s="25"/>
      <c r="EAM58" s="21"/>
      <c r="EAN58" s="21"/>
      <c r="EAR58" s="15"/>
      <c r="EAX58" s="25"/>
      <c r="EBE58" s="21"/>
      <c r="EBF58" s="21"/>
      <c r="EBJ58" s="15"/>
      <c r="EBP58" s="25"/>
      <c r="EBW58" s="21"/>
      <c r="EBX58" s="21"/>
      <c r="ECB58" s="15"/>
      <c r="ECH58" s="25"/>
      <c r="ECO58" s="21"/>
      <c r="ECP58" s="21"/>
      <c r="ECT58" s="15"/>
      <c r="ECZ58" s="25"/>
      <c r="EDG58" s="21"/>
      <c r="EDH58" s="21"/>
      <c r="EDL58" s="15"/>
      <c r="EDR58" s="25"/>
      <c r="EDY58" s="21"/>
      <c r="EDZ58" s="21"/>
      <c r="EED58" s="15"/>
      <c r="EEJ58" s="25"/>
      <c r="EEQ58" s="21"/>
      <c r="EER58" s="21"/>
      <c r="EEV58" s="15"/>
      <c r="EFB58" s="25"/>
      <c r="EFI58" s="21"/>
      <c r="EFJ58" s="21"/>
      <c r="EFN58" s="15"/>
      <c r="EFT58" s="25"/>
      <c r="EGA58" s="21"/>
      <c r="EGB58" s="21"/>
      <c r="EGF58" s="15"/>
      <c r="EGL58" s="25"/>
      <c r="EGS58" s="21"/>
      <c r="EGT58" s="21"/>
      <c r="EGX58" s="15"/>
      <c r="EHD58" s="25"/>
      <c r="EHK58" s="21"/>
      <c r="EHL58" s="21"/>
      <c r="EHP58" s="15"/>
      <c r="EHV58" s="25"/>
      <c r="EIC58" s="21"/>
      <c r="EID58" s="21"/>
      <c r="EIH58" s="15"/>
      <c r="EIN58" s="25"/>
      <c r="EIU58" s="21"/>
      <c r="EIV58" s="21"/>
      <c r="EIZ58" s="15"/>
      <c r="EJF58" s="25"/>
      <c r="EJM58" s="21"/>
      <c r="EJN58" s="21"/>
      <c r="EJR58" s="15"/>
      <c r="EJX58" s="25"/>
      <c r="EKE58" s="21"/>
      <c r="EKF58" s="21"/>
      <c r="EKJ58" s="15"/>
      <c r="EKP58" s="25"/>
      <c r="EKW58" s="21"/>
      <c r="EKX58" s="21"/>
      <c r="ELB58" s="15"/>
      <c r="ELH58" s="25"/>
      <c r="ELO58" s="21"/>
      <c r="ELP58" s="21"/>
      <c r="ELT58" s="15"/>
      <c r="ELZ58" s="25"/>
      <c r="EMG58" s="21"/>
      <c r="EMH58" s="21"/>
      <c r="EML58" s="15"/>
      <c r="EMR58" s="25"/>
      <c r="EMY58" s="21"/>
      <c r="EMZ58" s="21"/>
      <c r="END58" s="15"/>
      <c r="ENJ58" s="25"/>
      <c r="ENQ58" s="21"/>
      <c r="ENR58" s="21"/>
      <c r="ENV58" s="15"/>
      <c r="EOB58" s="25"/>
      <c r="EOI58" s="21"/>
      <c r="EOJ58" s="21"/>
      <c r="EON58" s="15"/>
      <c r="EOT58" s="25"/>
      <c r="EPA58" s="21"/>
      <c r="EPB58" s="21"/>
      <c r="EPF58" s="15"/>
      <c r="EPL58" s="25"/>
      <c r="EPS58" s="21"/>
      <c r="EPT58" s="21"/>
      <c r="EPX58" s="15"/>
      <c r="EQD58" s="25"/>
      <c r="EQK58" s="21"/>
      <c r="EQL58" s="21"/>
      <c r="EQP58" s="15"/>
      <c r="EQV58" s="25"/>
      <c r="ERC58" s="21"/>
      <c r="ERD58" s="21"/>
      <c r="ERH58" s="15"/>
      <c r="ERN58" s="25"/>
      <c r="ERU58" s="21"/>
      <c r="ERV58" s="21"/>
      <c r="ERZ58" s="15"/>
      <c r="ESF58" s="25"/>
      <c r="ESM58" s="21"/>
      <c r="ESN58" s="21"/>
      <c r="ESR58" s="15"/>
      <c r="ESX58" s="25"/>
      <c r="ETE58" s="21"/>
      <c r="ETF58" s="21"/>
      <c r="ETJ58" s="15"/>
      <c r="ETP58" s="25"/>
      <c r="ETW58" s="21"/>
      <c r="ETX58" s="21"/>
      <c r="EUB58" s="15"/>
      <c r="EUH58" s="25"/>
      <c r="EUO58" s="21"/>
      <c r="EUP58" s="21"/>
      <c r="EUT58" s="15"/>
      <c r="EUZ58" s="25"/>
      <c r="EVG58" s="21"/>
      <c r="EVH58" s="21"/>
      <c r="EVL58" s="15"/>
      <c r="EVR58" s="25"/>
      <c r="EVY58" s="21"/>
      <c r="EVZ58" s="21"/>
      <c r="EWD58" s="15"/>
      <c r="EWJ58" s="25"/>
      <c r="EWQ58" s="21"/>
      <c r="EWR58" s="21"/>
      <c r="EWV58" s="15"/>
      <c r="EXB58" s="25"/>
      <c r="EXI58" s="21"/>
      <c r="EXJ58" s="21"/>
      <c r="EXN58" s="15"/>
      <c r="EXT58" s="25"/>
      <c r="EYA58" s="21"/>
      <c r="EYB58" s="21"/>
      <c r="EYF58" s="15"/>
      <c r="EYL58" s="25"/>
      <c r="EYS58" s="21"/>
      <c r="EYT58" s="21"/>
      <c r="EYX58" s="15"/>
      <c r="EZD58" s="25"/>
      <c r="EZK58" s="21"/>
      <c r="EZL58" s="21"/>
      <c r="EZP58" s="15"/>
      <c r="EZV58" s="25"/>
      <c r="FAC58" s="21"/>
      <c r="FAD58" s="21"/>
      <c r="FAH58" s="15"/>
      <c r="FAN58" s="25"/>
      <c r="FAU58" s="21"/>
      <c r="FAV58" s="21"/>
      <c r="FAZ58" s="15"/>
      <c r="FBF58" s="25"/>
      <c r="FBM58" s="21"/>
      <c r="FBN58" s="21"/>
      <c r="FBR58" s="15"/>
      <c r="FBX58" s="25"/>
      <c r="FCE58" s="21"/>
      <c r="FCF58" s="21"/>
      <c r="FCJ58" s="15"/>
      <c r="FCP58" s="25"/>
      <c r="FCW58" s="21"/>
      <c r="FCX58" s="21"/>
      <c r="FDB58" s="15"/>
      <c r="FDH58" s="25"/>
      <c r="FDO58" s="21"/>
      <c r="FDP58" s="21"/>
      <c r="FDT58" s="15"/>
      <c r="FDZ58" s="25"/>
      <c r="FEG58" s="21"/>
      <c r="FEH58" s="21"/>
      <c r="FEL58" s="15"/>
      <c r="FER58" s="25"/>
      <c r="FEY58" s="21"/>
      <c r="FEZ58" s="21"/>
      <c r="FFD58" s="15"/>
      <c r="FFJ58" s="25"/>
      <c r="FFQ58" s="21"/>
      <c r="FFR58" s="21"/>
      <c r="FFV58" s="15"/>
      <c r="FGB58" s="25"/>
      <c r="FGI58" s="21"/>
      <c r="FGJ58" s="21"/>
      <c r="FGN58" s="15"/>
      <c r="FGT58" s="25"/>
      <c r="FHA58" s="21"/>
      <c r="FHB58" s="21"/>
      <c r="FHF58" s="15"/>
      <c r="FHL58" s="25"/>
      <c r="FHS58" s="21"/>
      <c r="FHT58" s="21"/>
      <c r="FHX58" s="15"/>
      <c r="FID58" s="25"/>
      <c r="FIK58" s="21"/>
      <c r="FIL58" s="21"/>
      <c r="FIP58" s="15"/>
      <c r="FIV58" s="25"/>
      <c r="FJC58" s="21"/>
      <c r="FJD58" s="21"/>
      <c r="FJH58" s="15"/>
      <c r="FJN58" s="25"/>
      <c r="FJU58" s="21"/>
      <c r="FJV58" s="21"/>
      <c r="FJZ58" s="15"/>
      <c r="FKF58" s="25"/>
      <c r="FKM58" s="21"/>
      <c r="FKN58" s="21"/>
      <c r="FKR58" s="15"/>
      <c r="FKX58" s="25"/>
      <c r="FLE58" s="21"/>
      <c r="FLF58" s="21"/>
      <c r="FLJ58" s="15"/>
      <c r="FLP58" s="25"/>
      <c r="FLW58" s="21"/>
      <c r="FLX58" s="21"/>
      <c r="FMB58" s="15"/>
      <c r="FMH58" s="25"/>
      <c r="FMO58" s="21"/>
      <c r="FMP58" s="21"/>
      <c r="FMT58" s="15"/>
      <c r="FMZ58" s="25"/>
      <c r="FNG58" s="21"/>
      <c r="FNH58" s="21"/>
      <c r="FNL58" s="15"/>
      <c r="FNR58" s="25"/>
      <c r="FNY58" s="21"/>
      <c r="FNZ58" s="21"/>
      <c r="FOD58" s="15"/>
      <c r="FOJ58" s="25"/>
      <c r="FOQ58" s="21"/>
      <c r="FOR58" s="21"/>
      <c r="FOV58" s="15"/>
      <c r="FPB58" s="25"/>
      <c r="FPI58" s="21"/>
      <c r="FPJ58" s="21"/>
      <c r="FPN58" s="15"/>
      <c r="FPT58" s="25"/>
      <c r="FQA58" s="21"/>
      <c r="FQB58" s="21"/>
      <c r="FQF58" s="15"/>
      <c r="FQL58" s="25"/>
      <c r="FQS58" s="21"/>
      <c r="FQT58" s="21"/>
      <c r="FQX58" s="15"/>
      <c r="FRD58" s="25"/>
      <c r="FRK58" s="21"/>
      <c r="FRL58" s="21"/>
      <c r="FRP58" s="15"/>
      <c r="FRV58" s="25"/>
      <c r="FSC58" s="21"/>
      <c r="FSD58" s="21"/>
      <c r="FSH58" s="15"/>
      <c r="FSN58" s="25"/>
      <c r="FSU58" s="21"/>
      <c r="FSV58" s="21"/>
      <c r="FSZ58" s="15"/>
      <c r="FTF58" s="25"/>
      <c r="FTM58" s="21"/>
      <c r="FTN58" s="21"/>
      <c r="FTR58" s="15"/>
      <c r="FTX58" s="25"/>
      <c r="FUE58" s="21"/>
      <c r="FUF58" s="21"/>
      <c r="FUJ58" s="15"/>
      <c r="FUP58" s="25"/>
      <c r="FUW58" s="21"/>
      <c r="FUX58" s="21"/>
      <c r="FVB58" s="15"/>
      <c r="FVH58" s="25"/>
      <c r="FVO58" s="21"/>
      <c r="FVP58" s="21"/>
      <c r="FVT58" s="15"/>
      <c r="FVZ58" s="25"/>
      <c r="FWG58" s="21"/>
      <c r="FWH58" s="21"/>
      <c r="FWL58" s="15"/>
      <c r="FWR58" s="25"/>
      <c r="FWY58" s="21"/>
      <c r="FWZ58" s="21"/>
      <c r="FXD58" s="15"/>
      <c r="FXJ58" s="25"/>
      <c r="FXQ58" s="21"/>
      <c r="FXR58" s="21"/>
      <c r="FXV58" s="15"/>
      <c r="FYB58" s="25"/>
      <c r="FYI58" s="21"/>
      <c r="FYJ58" s="21"/>
      <c r="FYN58" s="15"/>
      <c r="FYT58" s="25"/>
      <c r="FZA58" s="21"/>
      <c r="FZB58" s="21"/>
      <c r="FZF58" s="15"/>
      <c r="FZL58" s="25"/>
      <c r="FZS58" s="21"/>
      <c r="FZT58" s="21"/>
      <c r="FZX58" s="15"/>
      <c r="GAD58" s="25"/>
      <c r="GAK58" s="21"/>
      <c r="GAL58" s="21"/>
      <c r="GAP58" s="15"/>
      <c r="GAV58" s="25"/>
      <c r="GBC58" s="21"/>
      <c r="GBD58" s="21"/>
      <c r="GBH58" s="15"/>
      <c r="GBN58" s="25"/>
      <c r="GBU58" s="21"/>
      <c r="GBV58" s="21"/>
      <c r="GBZ58" s="15"/>
      <c r="GCF58" s="25"/>
      <c r="GCM58" s="21"/>
      <c r="GCN58" s="21"/>
      <c r="GCR58" s="15"/>
      <c r="GCX58" s="25"/>
      <c r="GDE58" s="21"/>
      <c r="GDF58" s="21"/>
      <c r="GDJ58" s="15"/>
      <c r="GDP58" s="25"/>
      <c r="GDW58" s="21"/>
      <c r="GDX58" s="21"/>
      <c r="GEB58" s="15"/>
      <c r="GEH58" s="25"/>
      <c r="GEO58" s="21"/>
      <c r="GEP58" s="21"/>
      <c r="GET58" s="15"/>
      <c r="GEZ58" s="25"/>
      <c r="GFG58" s="21"/>
      <c r="GFH58" s="21"/>
      <c r="GFL58" s="15"/>
      <c r="GFR58" s="25"/>
      <c r="GFY58" s="21"/>
      <c r="GFZ58" s="21"/>
      <c r="GGD58" s="15"/>
      <c r="GGJ58" s="25"/>
      <c r="GGQ58" s="21"/>
      <c r="GGR58" s="21"/>
      <c r="GGV58" s="15"/>
      <c r="GHB58" s="25"/>
      <c r="GHI58" s="21"/>
      <c r="GHJ58" s="21"/>
      <c r="GHN58" s="15"/>
      <c r="GHT58" s="25"/>
      <c r="GIA58" s="21"/>
      <c r="GIB58" s="21"/>
      <c r="GIF58" s="15"/>
      <c r="GIL58" s="25"/>
      <c r="GIS58" s="21"/>
      <c r="GIT58" s="21"/>
      <c r="GIX58" s="15"/>
      <c r="GJD58" s="25"/>
      <c r="GJK58" s="21"/>
      <c r="GJL58" s="21"/>
      <c r="GJP58" s="15"/>
      <c r="GJV58" s="25"/>
      <c r="GKC58" s="21"/>
      <c r="GKD58" s="21"/>
      <c r="GKH58" s="15"/>
      <c r="GKN58" s="25"/>
      <c r="GKU58" s="21"/>
      <c r="GKV58" s="21"/>
      <c r="GKZ58" s="15"/>
      <c r="GLF58" s="25"/>
      <c r="GLM58" s="21"/>
      <c r="GLN58" s="21"/>
      <c r="GLR58" s="15"/>
      <c r="GLX58" s="25"/>
      <c r="GME58" s="21"/>
      <c r="GMF58" s="21"/>
      <c r="GMJ58" s="15"/>
      <c r="GMP58" s="25"/>
      <c r="GMW58" s="21"/>
      <c r="GMX58" s="21"/>
      <c r="GNB58" s="15"/>
      <c r="GNH58" s="25"/>
      <c r="GNO58" s="21"/>
      <c r="GNP58" s="21"/>
      <c r="GNT58" s="15"/>
      <c r="GNZ58" s="25"/>
      <c r="GOG58" s="21"/>
      <c r="GOH58" s="21"/>
      <c r="GOL58" s="15"/>
      <c r="GOR58" s="25"/>
      <c r="GOY58" s="21"/>
      <c r="GOZ58" s="21"/>
      <c r="GPD58" s="15"/>
      <c r="GPJ58" s="25"/>
      <c r="GPQ58" s="21"/>
      <c r="GPR58" s="21"/>
      <c r="GPV58" s="15"/>
      <c r="GQB58" s="25"/>
      <c r="GQI58" s="21"/>
      <c r="GQJ58" s="21"/>
      <c r="GQN58" s="15"/>
      <c r="GQT58" s="25"/>
      <c r="GRA58" s="21"/>
      <c r="GRB58" s="21"/>
      <c r="GRF58" s="15"/>
      <c r="GRL58" s="25"/>
      <c r="GRS58" s="21"/>
      <c r="GRT58" s="21"/>
      <c r="GRX58" s="15"/>
      <c r="GSD58" s="25"/>
      <c r="GSK58" s="21"/>
      <c r="GSL58" s="21"/>
      <c r="GSP58" s="15"/>
      <c r="GSV58" s="25"/>
      <c r="GTC58" s="21"/>
      <c r="GTD58" s="21"/>
      <c r="GTH58" s="15"/>
      <c r="GTN58" s="25"/>
      <c r="GTU58" s="21"/>
      <c r="GTV58" s="21"/>
      <c r="GTZ58" s="15"/>
      <c r="GUF58" s="25"/>
      <c r="GUM58" s="21"/>
      <c r="GUN58" s="21"/>
      <c r="GUR58" s="15"/>
      <c r="GUX58" s="25"/>
      <c r="GVE58" s="21"/>
      <c r="GVF58" s="21"/>
      <c r="GVJ58" s="15"/>
      <c r="GVP58" s="25"/>
      <c r="GVW58" s="21"/>
      <c r="GVX58" s="21"/>
      <c r="GWB58" s="15"/>
      <c r="GWH58" s="25"/>
      <c r="GWO58" s="21"/>
      <c r="GWP58" s="21"/>
      <c r="GWT58" s="15"/>
      <c r="GWZ58" s="25"/>
      <c r="GXG58" s="21"/>
      <c r="GXH58" s="21"/>
      <c r="GXL58" s="15"/>
      <c r="GXR58" s="25"/>
      <c r="GXY58" s="21"/>
      <c r="GXZ58" s="21"/>
      <c r="GYD58" s="15"/>
      <c r="GYJ58" s="25"/>
      <c r="GYQ58" s="21"/>
      <c r="GYR58" s="21"/>
      <c r="GYV58" s="15"/>
      <c r="GZB58" s="25"/>
      <c r="GZI58" s="21"/>
      <c r="GZJ58" s="21"/>
      <c r="GZN58" s="15"/>
      <c r="GZT58" s="25"/>
      <c r="HAA58" s="21"/>
      <c r="HAB58" s="21"/>
      <c r="HAF58" s="15"/>
      <c r="HAL58" s="25"/>
      <c r="HAS58" s="21"/>
      <c r="HAT58" s="21"/>
      <c r="HAX58" s="15"/>
      <c r="HBD58" s="25"/>
      <c r="HBK58" s="21"/>
      <c r="HBL58" s="21"/>
      <c r="HBP58" s="15"/>
      <c r="HBV58" s="25"/>
      <c r="HCC58" s="21"/>
      <c r="HCD58" s="21"/>
      <c r="HCH58" s="15"/>
      <c r="HCN58" s="25"/>
      <c r="HCU58" s="21"/>
      <c r="HCV58" s="21"/>
      <c r="HCZ58" s="15"/>
      <c r="HDF58" s="25"/>
      <c r="HDM58" s="21"/>
      <c r="HDN58" s="21"/>
      <c r="HDR58" s="15"/>
      <c r="HDX58" s="25"/>
      <c r="HEE58" s="21"/>
      <c r="HEF58" s="21"/>
      <c r="HEJ58" s="15"/>
      <c r="HEP58" s="25"/>
      <c r="HEW58" s="21"/>
      <c r="HEX58" s="21"/>
      <c r="HFB58" s="15"/>
      <c r="HFH58" s="25"/>
      <c r="HFO58" s="21"/>
      <c r="HFP58" s="21"/>
      <c r="HFT58" s="15"/>
      <c r="HFZ58" s="25"/>
      <c r="HGG58" s="21"/>
      <c r="HGH58" s="21"/>
      <c r="HGL58" s="15"/>
      <c r="HGR58" s="25"/>
      <c r="HGY58" s="21"/>
      <c r="HGZ58" s="21"/>
      <c r="HHD58" s="15"/>
      <c r="HHJ58" s="25"/>
      <c r="HHQ58" s="21"/>
      <c r="HHR58" s="21"/>
      <c r="HHV58" s="15"/>
      <c r="HIB58" s="25"/>
      <c r="HII58" s="21"/>
      <c r="HIJ58" s="21"/>
      <c r="HIN58" s="15"/>
      <c r="HIT58" s="25"/>
      <c r="HJA58" s="21"/>
      <c r="HJB58" s="21"/>
      <c r="HJF58" s="15"/>
      <c r="HJL58" s="25"/>
      <c r="HJS58" s="21"/>
      <c r="HJT58" s="21"/>
      <c r="HJX58" s="15"/>
      <c r="HKD58" s="25"/>
      <c r="HKK58" s="21"/>
      <c r="HKL58" s="21"/>
      <c r="HKP58" s="15"/>
      <c r="HKV58" s="25"/>
      <c r="HLC58" s="21"/>
      <c r="HLD58" s="21"/>
      <c r="HLH58" s="15"/>
      <c r="HLN58" s="25"/>
      <c r="HLU58" s="21"/>
      <c r="HLV58" s="21"/>
      <c r="HLZ58" s="15"/>
      <c r="HMF58" s="25"/>
      <c r="HMM58" s="21"/>
      <c r="HMN58" s="21"/>
      <c r="HMR58" s="15"/>
      <c r="HMX58" s="25"/>
      <c r="HNE58" s="21"/>
      <c r="HNF58" s="21"/>
      <c r="HNJ58" s="15"/>
      <c r="HNP58" s="25"/>
      <c r="HNW58" s="21"/>
      <c r="HNX58" s="21"/>
      <c r="HOB58" s="15"/>
      <c r="HOH58" s="25"/>
      <c r="HOO58" s="21"/>
      <c r="HOP58" s="21"/>
      <c r="HOT58" s="15"/>
      <c r="HOZ58" s="25"/>
      <c r="HPG58" s="21"/>
      <c r="HPH58" s="21"/>
      <c r="HPL58" s="15"/>
      <c r="HPR58" s="25"/>
      <c r="HPY58" s="21"/>
      <c r="HPZ58" s="21"/>
      <c r="HQD58" s="15"/>
      <c r="HQJ58" s="25"/>
      <c r="HQQ58" s="21"/>
      <c r="HQR58" s="21"/>
      <c r="HQV58" s="15"/>
      <c r="HRB58" s="25"/>
      <c r="HRI58" s="21"/>
      <c r="HRJ58" s="21"/>
      <c r="HRN58" s="15"/>
      <c r="HRT58" s="25"/>
      <c r="HSA58" s="21"/>
      <c r="HSB58" s="21"/>
      <c r="HSF58" s="15"/>
      <c r="HSL58" s="25"/>
      <c r="HSS58" s="21"/>
      <c r="HST58" s="21"/>
      <c r="HSX58" s="15"/>
      <c r="HTD58" s="25"/>
      <c r="HTK58" s="21"/>
      <c r="HTL58" s="21"/>
      <c r="HTP58" s="15"/>
      <c r="HTV58" s="25"/>
      <c r="HUC58" s="21"/>
      <c r="HUD58" s="21"/>
      <c r="HUH58" s="15"/>
      <c r="HUN58" s="25"/>
      <c r="HUU58" s="21"/>
      <c r="HUV58" s="21"/>
      <c r="HUZ58" s="15"/>
      <c r="HVF58" s="25"/>
      <c r="HVM58" s="21"/>
      <c r="HVN58" s="21"/>
      <c r="HVR58" s="15"/>
      <c r="HVX58" s="25"/>
      <c r="HWE58" s="21"/>
      <c r="HWF58" s="21"/>
      <c r="HWJ58" s="15"/>
      <c r="HWP58" s="25"/>
      <c r="HWW58" s="21"/>
      <c r="HWX58" s="21"/>
      <c r="HXB58" s="15"/>
      <c r="HXH58" s="25"/>
      <c r="HXO58" s="21"/>
      <c r="HXP58" s="21"/>
      <c r="HXT58" s="15"/>
      <c r="HXZ58" s="25"/>
      <c r="HYG58" s="21"/>
      <c r="HYH58" s="21"/>
      <c r="HYL58" s="15"/>
      <c r="HYR58" s="25"/>
      <c r="HYY58" s="21"/>
      <c r="HYZ58" s="21"/>
      <c r="HZD58" s="15"/>
      <c r="HZJ58" s="25"/>
      <c r="HZQ58" s="21"/>
      <c r="HZR58" s="21"/>
      <c r="HZV58" s="15"/>
      <c r="IAB58" s="25"/>
      <c r="IAI58" s="21"/>
      <c r="IAJ58" s="21"/>
      <c r="IAN58" s="15"/>
      <c r="IAT58" s="25"/>
      <c r="IBA58" s="21"/>
      <c r="IBB58" s="21"/>
      <c r="IBF58" s="15"/>
      <c r="IBL58" s="25"/>
      <c r="IBS58" s="21"/>
      <c r="IBT58" s="21"/>
      <c r="IBX58" s="15"/>
      <c r="ICD58" s="25"/>
      <c r="ICK58" s="21"/>
      <c r="ICL58" s="21"/>
      <c r="ICP58" s="15"/>
      <c r="ICV58" s="25"/>
      <c r="IDC58" s="21"/>
      <c r="IDD58" s="21"/>
      <c r="IDH58" s="15"/>
      <c r="IDN58" s="25"/>
      <c r="IDU58" s="21"/>
      <c r="IDV58" s="21"/>
      <c r="IDZ58" s="15"/>
      <c r="IEF58" s="25"/>
      <c r="IEM58" s="21"/>
      <c r="IEN58" s="21"/>
      <c r="IER58" s="15"/>
      <c r="IEX58" s="25"/>
      <c r="IFE58" s="21"/>
      <c r="IFF58" s="21"/>
      <c r="IFJ58" s="15"/>
      <c r="IFP58" s="25"/>
      <c r="IFW58" s="21"/>
      <c r="IFX58" s="21"/>
      <c r="IGB58" s="15"/>
      <c r="IGH58" s="25"/>
      <c r="IGO58" s="21"/>
      <c r="IGP58" s="21"/>
      <c r="IGT58" s="15"/>
      <c r="IGZ58" s="25"/>
      <c r="IHG58" s="21"/>
      <c r="IHH58" s="21"/>
      <c r="IHL58" s="15"/>
      <c r="IHR58" s="25"/>
      <c r="IHY58" s="21"/>
      <c r="IHZ58" s="21"/>
      <c r="IID58" s="15"/>
      <c r="IIJ58" s="25"/>
      <c r="IIQ58" s="21"/>
      <c r="IIR58" s="21"/>
      <c r="IIV58" s="15"/>
      <c r="IJB58" s="25"/>
      <c r="IJI58" s="21"/>
      <c r="IJJ58" s="21"/>
      <c r="IJN58" s="15"/>
      <c r="IJT58" s="25"/>
      <c r="IKA58" s="21"/>
      <c r="IKB58" s="21"/>
      <c r="IKF58" s="15"/>
      <c r="IKL58" s="25"/>
      <c r="IKS58" s="21"/>
      <c r="IKT58" s="21"/>
      <c r="IKX58" s="15"/>
      <c r="ILD58" s="25"/>
      <c r="ILK58" s="21"/>
      <c r="ILL58" s="21"/>
      <c r="ILP58" s="15"/>
      <c r="ILV58" s="25"/>
      <c r="IMC58" s="21"/>
      <c r="IMD58" s="21"/>
      <c r="IMH58" s="15"/>
      <c r="IMN58" s="25"/>
      <c r="IMU58" s="21"/>
      <c r="IMV58" s="21"/>
      <c r="IMZ58" s="15"/>
      <c r="INF58" s="25"/>
      <c r="INM58" s="21"/>
      <c r="INN58" s="21"/>
      <c r="INR58" s="15"/>
      <c r="INX58" s="25"/>
      <c r="IOE58" s="21"/>
      <c r="IOF58" s="21"/>
      <c r="IOJ58" s="15"/>
      <c r="IOP58" s="25"/>
      <c r="IOW58" s="21"/>
      <c r="IOX58" s="21"/>
      <c r="IPB58" s="15"/>
      <c r="IPH58" s="25"/>
      <c r="IPO58" s="21"/>
      <c r="IPP58" s="21"/>
      <c r="IPT58" s="15"/>
      <c r="IPZ58" s="25"/>
      <c r="IQG58" s="21"/>
      <c r="IQH58" s="21"/>
      <c r="IQL58" s="15"/>
      <c r="IQR58" s="25"/>
      <c r="IQY58" s="21"/>
      <c r="IQZ58" s="21"/>
      <c r="IRD58" s="15"/>
      <c r="IRJ58" s="25"/>
      <c r="IRQ58" s="21"/>
      <c r="IRR58" s="21"/>
      <c r="IRV58" s="15"/>
      <c r="ISB58" s="25"/>
      <c r="ISI58" s="21"/>
      <c r="ISJ58" s="21"/>
      <c r="ISN58" s="15"/>
      <c r="IST58" s="25"/>
      <c r="ITA58" s="21"/>
      <c r="ITB58" s="21"/>
      <c r="ITF58" s="15"/>
      <c r="ITL58" s="25"/>
      <c r="ITS58" s="21"/>
      <c r="ITT58" s="21"/>
      <c r="ITX58" s="15"/>
      <c r="IUD58" s="25"/>
      <c r="IUK58" s="21"/>
      <c r="IUL58" s="21"/>
      <c r="IUP58" s="15"/>
      <c r="IUV58" s="25"/>
      <c r="IVC58" s="21"/>
      <c r="IVD58" s="21"/>
      <c r="IVH58" s="15"/>
      <c r="IVN58" s="25"/>
      <c r="IVU58" s="21"/>
      <c r="IVV58" s="21"/>
      <c r="IVZ58" s="15"/>
      <c r="IWF58" s="25"/>
      <c r="IWM58" s="21"/>
      <c r="IWN58" s="21"/>
      <c r="IWR58" s="15"/>
      <c r="IWX58" s="25"/>
      <c r="IXE58" s="21"/>
      <c r="IXF58" s="21"/>
      <c r="IXJ58" s="15"/>
      <c r="IXP58" s="25"/>
      <c r="IXW58" s="21"/>
      <c r="IXX58" s="21"/>
      <c r="IYB58" s="15"/>
      <c r="IYH58" s="25"/>
      <c r="IYO58" s="21"/>
      <c r="IYP58" s="21"/>
      <c r="IYT58" s="15"/>
      <c r="IYZ58" s="25"/>
      <c r="IZG58" s="21"/>
      <c r="IZH58" s="21"/>
      <c r="IZL58" s="15"/>
      <c r="IZR58" s="25"/>
      <c r="IZY58" s="21"/>
      <c r="IZZ58" s="21"/>
      <c r="JAD58" s="15"/>
      <c r="JAJ58" s="25"/>
      <c r="JAQ58" s="21"/>
      <c r="JAR58" s="21"/>
      <c r="JAV58" s="15"/>
      <c r="JBB58" s="25"/>
      <c r="JBI58" s="21"/>
      <c r="JBJ58" s="21"/>
      <c r="JBN58" s="15"/>
      <c r="JBT58" s="25"/>
      <c r="JCA58" s="21"/>
      <c r="JCB58" s="21"/>
      <c r="JCF58" s="15"/>
      <c r="JCL58" s="25"/>
      <c r="JCS58" s="21"/>
      <c r="JCT58" s="21"/>
      <c r="JCX58" s="15"/>
      <c r="JDD58" s="25"/>
      <c r="JDK58" s="21"/>
      <c r="JDL58" s="21"/>
      <c r="JDP58" s="15"/>
      <c r="JDV58" s="25"/>
      <c r="JEC58" s="21"/>
      <c r="JED58" s="21"/>
      <c r="JEH58" s="15"/>
      <c r="JEN58" s="25"/>
      <c r="JEU58" s="21"/>
      <c r="JEV58" s="21"/>
      <c r="JEZ58" s="15"/>
      <c r="JFF58" s="25"/>
      <c r="JFM58" s="21"/>
      <c r="JFN58" s="21"/>
      <c r="JFR58" s="15"/>
      <c r="JFX58" s="25"/>
      <c r="JGE58" s="21"/>
      <c r="JGF58" s="21"/>
      <c r="JGJ58" s="15"/>
      <c r="JGP58" s="25"/>
      <c r="JGW58" s="21"/>
      <c r="JGX58" s="21"/>
      <c r="JHB58" s="15"/>
      <c r="JHH58" s="25"/>
      <c r="JHO58" s="21"/>
      <c r="JHP58" s="21"/>
      <c r="JHT58" s="15"/>
      <c r="JHZ58" s="25"/>
      <c r="JIG58" s="21"/>
      <c r="JIH58" s="21"/>
      <c r="JIL58" s="15"/>
      <c r="JIR58" s="25"/>
      <c r="JIY58" s="21"/>
      <c r="JIZ58" s="21"/>
      <c r="JJD58" s="15"/>
      <c r="JJJ58" s="25"/>
      <c r="JJQ58" s="21"/>
      <c r="JJR58" s="21"/>
      <c r="JJV58" s="15"/>
      <c r="JKB58" s="25"/>
      <c r="JKI58" s="21"/>
      <c r="JKJ58" s="21"/>
      <c r="JKN58" s="15"/>
      <c r="JKT58" s="25"/>
      <c r="JLA58" s="21"/>
      <c r="JLB58" s="21"/>
      <c r="JLF58" s="15"/>
      <c r="JLL58" s="25"/>
      <c r="JLS58" s="21"/>
      <c r="JLT58" s="21"/>
      <c r="JLX58" s="15"/>
      <c r="JMD58" s="25"/>
      <c r="JMK58" s="21"/>
      <c r="JML58" s="21"/>
      <c r="JMP58" s="15"/>
      <c r="JMV58" s="25"/>
      <c r="JNC58" s="21"/>
      <c r="JND58" s="21"/>
      <c r="JNH58" s="15"/>
      <c r="JNN58" s="25"/>
      <c r="JNU58" s="21"/>
      <c r="JNV58" s="21"/>
      <c r="JNZ58" s="15"/>
      <c r="JOF58" s="25"/>
      <c r="JOM58" s="21"/>
      <c r="JON58" s="21"/>
      <c r="JOR58" s="15"/>
      <c r="JOX58" s="25"/>
      <c r="JPE58" s="21"/>
      <c r="JPF58" s="21"/>
      <c r="JPJ58" s="15"/>
      <c r="JPP58" s="25"/>
      <c r="JPW58" s="21"/>
      <c r="JPX58" s="21"/>
      <c r="JQB58" s="15"/>
      <c r="JQH58" s="25"/>
      <c r="JQO58" s="21"/>
      <c r="JQP58" s="21"/>
      <c r="JQT58" s="15"/>
      <c r="JQZ58" s="25"/>
      <c r="JRG58" s="21"/>
      <c r="JRH58" s="21"/>
      <c r="JRL58" s="15"/>
      <c r="JRR58" s="25"/>
      <c r="JRY58" s="21"/>
      <c r="JRZ58" s="21"/>
      <c r="JSD58" s="15"/>
      <c r="JSJ58" s="25"/>
      <c r="JSQ58" s="21"/>
      <c r="JSR58" s="21"/>
      <c r="JSV58" s="15"/>
      <c r="JTB58" s="25"/>
      <c r="JTI58" s="21"/>
      <c r="JTJ58" s="21"/>
      <c r="JTN58" s="15"/>
      <c r="JTT58" s="25"/>
      <c r="JUA58" s="21"/>
      <c r="JUB58" s="21"/>
      <c r="JUF58" s="15"/>
      <c r="JUL58" s="25"/>
      <c r="JUS58" s="21"/>
      <c r="JUT58" s="21"/>
      <c r="JUX58" s="15"/>
      <c r="JVD58" s="25"/>
      <c r="JVK58" s="21"/>
      <c r="JVL58" s="21"/>
      <c r="JVP58" s="15"/>
      <c r="JVV58" s="25"/>
      <c r="JWC58" s="21"/>
      <c r="JWD58" s="21"/>
      <c r="JWH58" s="15"/>
      <c r="JWN58" s="25"/>
      <c r="JWU58" s="21"/>
      <c r="JWV58" s="21"/>
      <c r="JWZ58" s="15"/>
      <c r="JXF58" s="25"/>
      <c r="JXM58" s="21"/>
      <c r="JXN58" s="21"/>
      <c r="JXR58" s="15"/>
      <c r="JXX58" s="25"/>
      <c r="JYE58" s="21"/>
      <c r="JYF58" s="21"/>
      <c r="JYJ58" s="15"/>
      <c r="JYP58" s="25"/>
      <c r="JYW58" s="21"/>
      <c r="JYX58" s="21"/>
      <c r="JZB58" s="15"/>
      <c r="JZH58" s="25"/>
      <c r="JZO58" s="21"/>
      <c r="JZP58" s="21"/>
      <c r="JZT58" s="15"/>
      <c r="JZZ58" s="25"/>
      <c r="KAG58" s="21"/>
      <c r="KAH58" s="21"/>
      <c r="KAL58" s="15"/>
      <c r="KAR58" s="25"/>
      <c r="KAY58" s="21"/>
      <c r="KAZ58" s="21"/>
      <c r="KBD58" s="15"/>
      <c r="KBJ58" s="25"/>
      <c r="KBQ58" s="21"/>
      <c r="KBR58" s="21"/>
      <c r="KBV58" s="15"/>
      <c r="KCB58" s="25"/>
      <c r="KCI58" s="21"/>
      <c r="KCJ58" s="21"/>
      <c r="KCN58" s="15"/>
      <c r="KCT58" s="25"/>
      <c r="KDA58" s="21"/>
      <c r="KDB58" s="21"/>
      <c r="KDF58" s="15"/>
      <c r="KDL58" s="25"/>
      <c r="KDS58" s="21"/>
      <c r="KDT58" s="21"/>
      <c r="KDX58" s="15"/>
      <c r="KED58" s="25"/>
      <c r="KEK58" s="21"/>
      <c r="KEL58" s="21"/>
      <c r="KEP58" s="15"/>
      <c r="KEV58" s="25"/>
      <c r="KFC58" s="21"/>
      <c r="KFD58" s="21"/>
      <c r="KFH58" s="15"/>
      <c r="KFN58" s="25"/>
      <c r="KFU58" s="21"/>
      <c r="KFV58" s="21"/>
      <c r="KFZ58" s="15"/>
      <c r="KGF58" s="25"/>
      <c r="KGM58" s="21"/>
      <c r="KGN58" s="21"/>
      <c r="KGR58" s="15"/>
      <c r="KGX58" s="25"/>
      <c r="KHE58" s="21"/>
      <c r="KHF58" s="21"/>
      <c r="KHJ58" s="15"/>
      <c r="KHP58" s="25"/>
      <c r="KHW58" s="21"/>
      <c r="KHX58" s="21"/>
      <c r="KIB58" s="15"/>
      <c r="KIH58" s="25"/>
      <c r="KIO58" s="21"/>
      <c r="KIP58" s="21"/>
      <c r="KIT58" s="15"/>
      <c r="KIZ58" s="25"/>
      <c r="KJG58" s="21"/>
      <c r="KJH58" s="21"/>
      <c r="KJL58" s="15"/>
      <c r="KJR58" s="25"/>
      <c r="KJY58" s="21"/>
      <c r="KJZ58" s="21"/>
      <c r="KKD58" s="15"/>
      <c r="KKJ58" s="25"/>
      <c r="KKQ58" s="21"/>
      <c r="KKR58" s="21"/>
      <c r="KKV58" s="15"/>
      <c r="KLB58" s="25"/>
      <c r="KLI58" s="21"/>
      <c r="KLJ58" s="21"/>
      <c r="KLN58" s="15"/>
      <c r="KLT58" s="25"/>
      <c r="KMA58" s="21"/>
      <c r="KMB58" s="21"/>
      <c r="KMF58" s="15"/>
      <c r="KML58" s="25"/>
      <c r="KMS58" s="21"/>
      <c r="KMT58" s="21"/>
      <c r="KMX58" s="15"/>
      <c r="KND58" s="25"/>
      <c r="KNK58" s="21"/>
      <c r="KNL58" s="21"/>
      <c r="KNP58" s="15"/>
      <c r="KNV58" s="25"/>
      <c r="KOC58" s="21"/>
      <c r="KOD58" s="21"/>
      <c r="KOH58" s="15"/>
      <c r="KON58" s="25"/>
      <c r="KOU58" s="21"/>
      <c r="KOV58" s="21"/>
      <c r="KOZ58" s="15"/>
      <c r="KPF58" s="25"/>
      <c r="KPM58" s="21"/>
      <c r="KPN58" s="21"/>
      <c r="KPR58" s="15"/>
      <c r="KPX58" s="25"/>
      <c r="KQE58" s="21"/>
      <c r="KQF58" s="21"/>
      <c r="KQJ58" s="15"/>
      <c r="KQP58" s="25"/>
      <c r="KQW58" s="21"/>
      <c r="KQX58" s="21"/>
      <c r="KRB58" s="15"/>
      <c r="KRH58" s="25"/>
      <c r="KRO58" s="21"/>
      <c r="KRP58" s="21"/>
      <c r="KRT58" s="15"/>
      <c r="KRZ58" s="25"/>
      <c r="KSG58" s="21"/>
      <c r="KSH58" s="21"/>
      <c r="KSL58" s="15"/>
      <c r="KSR58" s="25"/>
      <c r="KSY58" s="21"/>
      <c r="KSZ58" s="21"/>
      <c r="KTD58" s="15"/>
      <c r="KTJ58" s="25"/>
      <c r="KTQ58" s="21"/>
      <c r="KTR58" s="21"/>
      <c r="KTV58" s="15"/>
      <c r="KUB58" s="25"/>
      <c r="KUI58" s="21"/>
      <c r="KUJ58" s="21"/>
      <c r="KUN58" s="15"/>
      <c r="KUT58" s="25"/>
      <c r="KVA58" s="21"/>
      <c r="KVB58" s="21"/>
      <c r="KVF58" s="15"/>
      <c r="KVL58" s="25"/>
      <c r="KVS58" s="21"/>
      <c r="KVT58" s="21"/>
      <c r="KVX58" s="15"/>
      <c r="KWD58" s="25"/>
      <c r="KWK58" s="21"/>
      <c r="KWL58" s="21"/>
      <c r="KWP58" s="15"/>
      <c r="KWV58" s="25"/>
      <c r="KXC58" s="21"/>
      <c r="KXD58" s="21"/>
      <c r="KXH58" s="15"/>
      <c r="KXN58" s="25"/>
      <c r="KXU58" s="21"/>
      <c r="KXV58" s="21"/>
      <c r="KXZ58" s="15"/>
      <c r="KYF58" s="25"/>
      <c r="KYM58" s="21"/>
      <c r="KYN58" s="21"/>
      <c r="KYR58" s="15"/>
      <c r="KYX58" s="25"/>
      <c r="KZE58" s="21"/>
      <c r="KZF58" s="21"/>
      <c r="KZJ58" s="15"/>
      <c r="KZP58" s="25"/>
      <c r="KZW58" s="21"/>
      <c r="KZX58" s="21"/>
      <c r="LAB58" s="15"/>
      <c r="LAH58" s="25"/>
      <c r="LAO58" s="21"/>
      <c r="LAP58" s="21"/>
      <c r="LAT58" s="15"/>
      <c r="LAZ58" s="25"/>
      <c r="LBG58" s="21"/>
      <c r="LBH58" s="21"/>
      <c r="LBL58" s="15"/>
      <c r="LBR58" s="25"/>
      <c r="LBY58" s="21"/>
      <c r="LBZ58" s="21"/>
      <c r="LCD58" s="15"/>
      <c r="LCJ58" s="25"/>
      <c r="LCQ58" s="21"/>
      <c r="LCR58" s="21"/>
      <c r="LCV58" s="15"/>
      <c r="LDB58" s="25"/>
      <c r="LDI58" s="21"/>
      <c r="LDJ58" s="21"/>
      <c r="LDN58" s="15"/>
      <c r="LDT58" s="25"/>
      <c r="LEA58" s="21"/>
      <c r="LEB58" s="21"/>
      <c r="LEF58" s="15"/>
      <c r="LEL58" s="25"/>
      <c r="LES58" s="21"/>
      <c r="LET58" s="21"/>
      <c r="LEX58" s="15"/>
      <c r="LFD58" s="25"/>
      <c r="LFK58" s="21"/>
      <c r="LFL58" s="21"/>
      <c r="LFP58" s="15"/>
      <c r="LFV58" s="25"/>
      <c r="LGC58" s="21"/>
      <c r="LGD58" s="21"/>
      <c r="LGH58" s="15"/>
      <c r="LGN58" s="25"/>
      <c r="LGU58" s="21"/>
      <c r="LGV58" s="21"/>
      <c r="LGZ58" s="15"/>
      <c r="LHF58" s="25"/>
      <c r="LHM58" s="21"/>
      <c r="LHN58" s="21"/>
      <c r="LHR58" s="15"/>
      <c r="LHX58" s="25"/>
      <c r="LIE58" s="21"/>
      <c r="LIF58" s="21"/>
      <c r="LIJ58" s="15"/>
      <c r="LIP58" s="25"/>
      <c r="LIW58" s="21"/>
      <c r="LIX58" s="21"/>
      <c r="LJB58" s="15"/>
      <c r="LJH58" s="25"/>
      <c r="LJO58" s="21"/>
      <c r="LJP58" s="21"/>
      <c r="LJT58" s="15"/>
      <c r="LJZ58" s="25"/>
      <c r="LKG58" s="21"/>
      <c r="LKH58" s="21"/>
      <c r="LKL58" s="15"/>
      <c r="LKR58" s="25"/>
      <c r="LKY58" s="21"/>
      <c r="LKZ58" s="21"/>
      <c r="LLD58" s="15"/>
      <c r="LLJ58" s="25"/>
      <c r="LLQ58" s="21"/>
      <c r="LLR58" s="21"/>
      <c r="LLV58" s="15"/>
      <c r="LMB58" s="25"/>
      <c r="LMI58" s="21"/>
      <c r="LMJ58" s="21"/>
      <c r="LMN58" s="15"/>
      <c r="LMT58" s="25"/>
      <c r="LNA58" s="21"/>
      <c r="LNB58" s="21"/>
      <c r="LNF58" s="15"/>
      <c r="LNL58" s="25"/>
      <c r="LNS58" s="21"/>
      <c r="LNT58" s="21"/>
      <c r="LNX58" s="15"/>
      <c r="LOD58" s="25"/>
      <c r="LOK58" s="21"/>
      <c r="LOL58" s="21"/>
      <c r="LOP58" s="15"/>
      <c r="LOV58" s="25"/>
      <c r="LPC58" s="21"/>
      <c r="LPD58" s="21"/>
      <c r="LPH58" s="15"/>
      <c r="LPN58" s="25"/>
      <c r="LPU58" s="21"/>
      <c r="LPV58" s="21"/>
      <c r="LPZ58" s="15"/>
      <c r="LQF58" s="25"/>
      <c r="LQM58" s="21"/>
      <c r="LQN58" s="21"/>
      <c r="LQR58" s="15"/>
      <c r="LQX58" s="25"/>
      <c r="LRE58" s="21"/>
      <c r="LRF58" s="21"/>
      <c r="LRJ58" s="15"/>
      <c r="LRP58" s="25"/>
      <c r="LRW58" s="21"/>
      <c r="LRX58" s="21"/>
      <c r="LSB58" s="15"/>
      <c r="LSH58" s="25"/>
      <c r="LSO58" s="21"/>
      <c r="LSP58" s="21"/>
      <c r="LST58" s="15"/>
      <c r="LSZ58" s="25"/>
      <c r="LTG58" s="21"/>
      <c r="LTH58" s="21"/>
      <c r="LTL58" s="15"/>
      <c r="LTR58" s="25"/>
      <c r="LTY58" s="21"/>
      <c r="LTZ58" s="21"/>
      <c r="LUD58" s="15"/>
      <c r="LUJ58" s="25"/>
      <c r="LUQ58" s="21"/>
      <c r="LUR58" s="21"/>
      <c r="LUV58" s="15"/>
      <c r="LVB58" s="25"/>
      <c r="LVI58" s="21"/>
      <c r="LVJ58" s="21"/>
      <c r="LVN58" s="15"/>
      <c r="LVT58" s="25"/>
      <c r="LWA58" s="21"/>
      <c r="LWB58" s="21"/>
      <c r="LWF58" s="15"/>
      <c r="LWL58" s="25"/>
      <c r="LWS58" s="21"/>
      <c r="LWT58" s="21"/>
      <c r="LWX58" s="15"/>
      <c r="LXD58" s="25"/>
      <c r="LXK58" s="21"/>
      <c r="LXL58" s="21"/>
      <c r="LXP58" s="15"/>
      <c r="LXV58" s="25"/>
      <c r="LYC58" s="21"/>
      <c r="LYD58" s="21"/>
      <c r="LYH58" s="15"/>
      <c r="LYN58" s="25"/>
      <c r="LYU58" s="21"/>
      <c r="LYV58" s="21"/>
      <c r="LYZ58" s="15"/>
      <c r="LZF58" s="25"/>
      <c r="LZM58" s="21"/>
      <c r="LZN58" s="21"/>
      <c r="LZR58" s="15"/>
      <c r="LZX58" s="25"/>
      <c r="MAE58" s="21"/>
      <c r="MAF58" s="21"/>
      <c r="MAJ58" s="15"/>
      <c r="MAP58" s="25"/>
      <c r="MAW58" s="21"/>
      <c r="MAX58" s="21"/>
      <c r="MBB58" s="15"/>
      <c r="MBH58" s="25"/>
      <c r="MBO58" s="21"/>
      <c r="MBP58" s="21"/>
      <c r="MBT58" s="15"/>
      <c r="MBZ58" s="25"/>
      <c r="MCG58" s="21"/>
      <c r="MCH58" s="21"/>
      <c r="MCL58" s="15"/>
      <c r="MCR58" s="25"/>
      <c r="MCY58" s="21"/>
      <c r="MCZ58" s="21"/>
      <c r="MDD58" s="15"/>
      <c r="MDJ58" s="25"/>
      <c r="MDQ58" s="21"/>
      <c r="MDR58" s="21"/>
      <c r="MDV58" s="15"/>
      <c r="MEB58" s="25"/>
      <c r="MEI58" s="21"/>
      <c r="MEJ58" s="21"/>
      <c r="MEN58" s="15"/>
      <c r="MET58" s="25"/>
      <c r="MFA58" s="21"/>
      <c r="MFB58" s="21"/>
      <c r="MFF58" s="15"/>
      <c r="MFL58" s="25"/>
      <c r="MFS58" s="21"/>
      <c r="MFT58" s="21"/>
      <c r="MFX58" s="15"/>
      <c r="MGD58" s="25"/>
      <c r="MGK58" s="21"/>
      <c r="MGL58" s="21"/>
      <c r="MGP58" s="15"/>
      <c r="MGV58" s="25"/>
      <c r="MHC58" s="21"/>
      <c r="MHD58" s="21"/>
      <c r="MHH58" s="15"/>
      <c r="MHN58" s="25"/>
      <c r="MHU58" s="21"/>
      <c r="MHV58" s="21"/>
      <c r="MHZ58" s="15"/>
      <c r="MIF58" s="25"/>
      <c r="MIM58" s="21"/>
      <c r="MIN58" s="21"/>
      <c r="MIR58" s="15"/>
      <c r="MIX58" s="25"/>
      <c r="MJE58" s="21"/>
      <c r="MJF58" s="21"/>
      <c r="MJJ58" s="15"/>
      <c r="MJP58" s="25"/>
      <c r="MJW58" s="21"/>
      <c r="MJX58" s="21"/>
      <c r="MKB58" s="15"/>
      <c r="MKH58" s="25"/>
      <c r="MKO58" s="21"/>
      <c r="MKP58" s="21"/>
      <c r="MKT58" s="15"/>
      <c r="MKZ58" s="25"/>
      <c r="MLG58" s="21"/>
      <c r="MLH58" s="21"/>
      <c r="MLL58" s="15"/>
      <c r="MLR58" s="25"/>
      <c r="MLY58" s="21"/>
      <c r="MLZ58" s="21"/>
      <c r="MMD58" s="15"/>
      <c r="MMJ58" s="25"/>
      <c r="MMQ58" s="21"/>
      <c r="MMR58" s="21"/>
      <c r="MMV58" s="15"/>
      <c r="MNB58" s="25"/>
      <c r="MNI58" s="21"/>
      <c r="MNJ58" s="21"/>
      <c r="MNN58" s="15"/>
      <c r="MNT58" s="25"/>
      <c r="MOA58" s="21"/>
      <c r="MOB58" s="21"/>
      <c r="MOF58" s="15"/>
      <c r="MOL58" s="25"/>
      <c r="MOS58" s="21"/>
      <c r="MOT58" s="21"/>
      <c r="MOX58" s="15"/>
      <c r="MPD58" s="25"/>
      <c r="MPK58" s="21"/>
      <c r="MPL58" s="21"/>
      <c r="MPP58" s="15"/>
      <c r="MPV58" s="25"/>
      <c r="MQC58" s="21"/>
      <c r="MQD58" s="21"/>
      <c r="MQH58" s="15"/>
      <c r="MQN58" s="25"/>
      <c r="MQU58" s="21"/>
      <c r="MQV58" s="21"/>
      <c r="MQZ58" s="15"/>
      <c r="MRF58" s="25"/>
      <c r="MRM58" s="21"/>
      <c r="MRN58" s="21"/>
      <c r="MRR58" s="15"/>
      <c r="MRX58" s="25"/>
      <c r="MSE58" s="21"/>
      <c r="MSF58" s="21"/>
      <c r="MSJ58" s="15"/>
      <c r="MSP58" s="25"/>
      <c r="MSW58" s="21"/>
      <c r="MSX58" s="21"/>
      <c r="MTB58" s="15"/>
      <c r="MTH58" s="25"/>
      <c r="MTO58" s="21"/>
      <c r="MTP58" s="21"/>
      <c r="MTT58" s="15"/>
      <c r="MTZ58" s="25"/>
      <c r="MUG58" s="21"/>
      <c r="MUH58" s="21"/>
      <c r="MUL58" s="15"/>
      <c r="MUR58" s="25"/>
      <c r="MUY58" s="21"/>
      <c r="MUZ58" s="21"/>
      <c r="MVD58" s="15"/>
      <c r="MVJ58" s="25"/>
      <c r="MVQ58" s="21"/>
      <c r="MVR58" s="21"/>
      <c r="MVV58" s="15"/>
      <c r="MWB58" s="25"/>
      <c r="MWI58" s="21"/>
      <c r="MWJ58" s="21"/>
      <c r="MWN58" s="15"/>
      <c r="MWT58" s="25"/>
      <c r="MXA58" s="21"/>
      <c r="MXB58" s="21"/>
      <c r="MXF58" s="15"/>
      <c r="MXL58" s="25"/>
      <c r="MXS58" s="21"/>
      <c r="MXT58" s="21"/>
      <c r="MXX58" s="15"/>
      <c r="MYD58" s="25"/>
      <c r="MYK58" s="21"/>
      <c r="MYL58" s="21"/>
      <c r="MYP58" s="15"/>
      <c r="MYV58" s="25"/>
      <c r="MZC58" s="21"/>
      <c r="MZD58" s="21"/>
      <c r="MZH58" s="15"/>
      <c r="MZN58" s="25"/>
      <c r="MZU58" s="21"/>
      <c r="MZV58" s="21"/>
      <c r="MZZ58" s="15"/>
      <c r="NAF58" s="25"/>
      <c r="NAM58" s="21"/>
      <c r="NAN58" s="21"/>
      <c r="NAR58" s="15"/>
      <c r="NAX58" s="25"/>
      <c r="NBE58" s="21"/>
      <c r="NBF58" s="21"/>
      <c r="NBJ58" s="15"/>
      <c r="NBP58" s="25"/>
      <c r="NBW58" s="21"/>
      <c r="NBX58" s="21"/>
      <c r="NCB58" s="15"/>
      <c r="NCH58" s="25"/>
      <c r="NCO58" s="21"/>
      <c r="NCP58" s="21"/>
      <c r="NCT58" s="15"/>
      <c r="NCZ58" s="25"/>
      <c r="NDG58" s="21"/>
      <c r="NDH58" s="21"/>
      <c r="NDL58" s="15"/>
      <c r="NDR58" s="25"/>
      <c r="NDY58" s="21"/>
      <c r="NDZ58" s="21"/>
      <c r="NED58" s="15"/>
      <c r="NEJ58" s="25"/>
      <c r="NEQ58" s="21"/>
      <c r="NER58" s="21"/>
      <c r="NEV58" s="15"/>
      <c r="NFB58" s="25"/>
      <c r="NFI58" s="21"/>
      <c r="NFJ58" s="21"/>
      <c r="NFN58" s="15"/>
      <c r="NFT58" s="25"/>
      <c r="NGA58" s="21"/>
      <c r="NGB58" s="21"/>
      <c r="NGF58" s="15"/>
      <c r="NGL58" s="25"/>
      <c r="NGS58" s="21"/>
      <c r="NGT58" s="21"/>
      <c r="NGX58" s="15"/>
      <c r="NHD58" s="25"/>
      <c r="NHK58" s="21"/>
      <c r="NHL58" s="21"/>
      <c r="NHP58" s="15"/>
      <c r="NHV58" s="25"/>
      <c r="NIC58" s="21"/>
      <c r="NID58" s="21"/>
      <c r="NIH58" s="15"/>
      <c r="NIN58" s="25"/>
      <c r="NIU58" s="21"/>
      <c r="NIV58" s="21"/>
      <c r="NIZ58" s="15"/>
      <c r="NJF58" s="25"/>
      <c r="NJM58" s="21"/>
      <c r="NJN58" s="21"/>
      <c r="NJR58" s="15"/>
      <c r="NJX58" s="25"/>
      <c r="NKE58" s="21"/>
      <c r="NKF58" s="21"/>
      <c r="NKJ58" s="15"/>
      <c r="NKP58" s="25"/>
      <c r="NKW58" s="21"/>
      <c r="NKX58" s="21"/>
      <c r="NLB58" s="15"/>
      <c r="NLH58" s="25"/>
      <c r="NLO58" s="21"/>
      <c r="NLP58" s="21"/>
      <c r="NLT58" s="15"/>
      <c r="NLZ58" s="25"/>
      <c r="NMG58" s="21"/>
      <c r="NMH58" s="21"/>
      <c r="NML58" s="15"/>
      <c r="NMR58" s="25"/>
      <c r="NMY58" s="21"/>
      <c r="NMZ58" s="21"/>
      <c r="NND58" s="15"/>
      <c r="NNJ58" s="25"/>
      <c r="NNQ58" s="21"/>
      <c r="NNR58" s="21"/>
      <c r="NNV58" s="15"/>
      <c r="NOB58" s="25"/>
      <c r="NOI58" s="21"/>
      <c r="NOJ58" s="21"/>
      <c r="NON58" s="15"/>
      <c r="NOT58" s="25"/>
      <c r="NPA58" s="21"/>
      <c r="NPB58" s="21"/>
      <c r="NPF58" s="15"/>
      <c r="NPL58" s="25"/>
      <c r="NPS58" s="21"/>
      <c r="NPT58" s="21"/>
      <c r="NPX58" s="15"/>
      <c r="NQD58" s="25"/>
      <c r="NQK58" s="21"/>
      <c r="NQL58" s="21"/>
      <c r="NQP58" s="15"/>
      <c r="NQV58" s="25"/>
      <c r="NRC58" s="21"/>
      <c r="NRD58" s="21"/>
      <c r="NRH58" s="15"/>
      <c r="NRN58" s="25"/>
      <c r="NRU58" s="21"/>
      <c r="NRV58" s="21"/>
      <c r="NRZ58" s="15"/>
      <c r="NSF58" s="25"/>
      <c r="NSM58" s="21"/>
      <c r="NSN58" s="21"/>
      <c r="NSR58" s="15"/>
      <c r="NSX58" s="25"/>
      <c r="NTE58" s="21"/>
      <c r="NTF58" s="21"/>
      <c r="NTJ58" s="15"/>
      <c r="NTP58" s="25"/>
      <c r="NTW58" s="21"/>
      <c r="NTX58" s="21"/>
      <c r="NUB58" s="15"/>
      <c r="NUH58" s="25"/>
      <c r="NUO58" s="21"/>
      <c r="NUP58" s="21"/>
      <c r="NUT58" s="15"/>
      <c r="NUZ58" s="25"/>
      <c r="NVG58" s="21"/>
      <c r="NVH58" s="21"/>
      <c r="NVL58" s="15"/>
      <c r="NVR58" s="25"/>
      <c r="NVY58" s="21"/>
      <c r="NVZ58" s="21"/>
      <c r="NWD58" s="15"/>
      <c r="NWJ58" s="25"/>
      <c r="NWQ58" s="21"/>
      <c r="NWR58" s="21"/>
      <c r="NWV58" s="15"/>
      <c r="NXB58" s="25"/>
      <c r="NXI58" s="21"/>
      <c r="NXJ58" s="21"/>
      <c r="NXN58" s="15"/>
      <c r="NXT58" s="25"/>
      <c r="NYA58" s="21"/>
      <c r="NYB58" s="21"/>
      <c r="NYF58" s="15"/>
      <c r="NYL58" s="25"/>
      <c r="NYS58" s="21"/>
      <c r="NYT58" s="21"/>
      <c r="NYX58" s="15"/>
      <c r="NZD58" s="25"/>
      <c r="NZK58" s="21"/>
      <c r="NZL58" s="21"/>
      <c r="NZP58" s="15"/>
      <c r="NZV58" s="25"/>
      <c r="OAC58" s="21"/>
      <c r="OAD58" s="21"/>
      <c r="OAH58" s="15"/>
      <c r="OAN58" s="25"/>
      <c r="OAU58" s="21"/>
      <c r="OAV58" s="21"/>
      <c r="OAZ58" s="15"/>
      <c r="OBF58" s="25"/>
      <c r="OBM58" s="21"/>
      <c r="OBN58" s="21"/>
      <c r="OBR58" s="15"/>
      <c r="OBX58" s="25"/>
      <c r="OCE58" s="21"/>
      <c r="OCF58" s="21"/>
      <c r="OCJ58" s="15"/>
      <c r="OCP58" s="25"/>
      <c r="OCW58" s="21"/>
      <c r="OCX58" s="21"/>
      <c r="ODB58" s="15"/>
      <c r="ODH58" s="25"/>
      <c r="ODO58" s="21"/>
      <c r="ODP58" s="21"/>
      <c r="ODT58" s="15"/>
      <c r="ODZ58" s="25"/>
      <c r="OEG58" s="21"/>
      <c r="OEH58" s="21"/>
      <c r="OEL58" s="15"/>
      <c r="OER58" s="25"/>
      <c r="OEY58" s="21"/>
      <c r="OEZ58" s="21"/>
      <c r="OFD58" s="15"/>
      <c r="OFJ58" s="25"/>
      <c r="OFQ58" s="21"/>
      <c r="OFR58" s="21"/>
      <c r="OFV58" s="15"/>
      <c r="OGB58" s="25"/>
      <c r="OGI58" s="21"/>
      <c r="OGJ58" s="21"/>
      <c r="OGN58" s="15"/>
      <c r="OGT58" s="25"/>
      <c r="OHA58" s="21"/>
      <c r="OHB58" s="21"/>
      <c r="OHF58" s="15"/>
      <c r="OHL58" s="25"/>
      <c r="OHS58" s="21"/>
      <c r="OHT58" s="21"/>
      <c r="OHX58" s="15"/>
      <c r="OID58" s="25"/>
      <c r="OIK58" s="21"/>
      <c r="OIL58" s="21"/>
      <c r="OIP58" s="15"/>
      <c r="OIV58" s="25"/>
      <c r="OJC58" s="21"/>
      <c r="OJD58" s="21"/>
      <c r="OJH58" s="15"/>
      <c r="OJN58" s="25"/>
      <c r="OJU58" s="21"/>
      <c r="OJV58" s="21"/>
      <c r="OJZ58" s="15"/>
      <c r="OKF58" s="25"/>
      <c r="OKM58" s="21"/>
      <c r="OKN58" s="21"/>
      <c r="OKR58" s="15"/>
      <c r="OKX58" s="25"/>
      <c r="OLE58" s="21"/>
      <c r="OLF58" s="21"/>
      <c r="OLJ58" s="15"/>
      <c r="OLP58" s="25"/>
      <c r="OLW58" s="21"/>
      <c r="OLX58" s="21"/>
      <c r="OMB58" s="15"/>
      <c r="OMH58" s="25"/>
      <c r="OMO58" s="21"/>
      <c r="OMP58" s="21"/>
      <c r="OMT58" s="15"/>
      <c r="OMZ58" s="25"/>
      <c r="ONG58" s="21"/>
      <c r="ONH58" s="21"/>
      <c r="ONL58" s="15"/>
      <c r="ONR58" s="25"/>
      <c r="ONY58" s="21"/>
      <c r="ONZ58" s="21"/>
      <c r="OOD58" s="15"/>
      <c r="OOJ58" s="25"/>
      <c r="OOQ58" s="21"/>
      <c r="OOR58" s="21"/>
      <c r="OOV58" s="15"/>
      <c r="OPB58" s="25"/>
      <c r="OPI58" s="21"/>
      <c r="OPJ58" s="21"/>
      <c r="OPN58" s="15"/>
      <c r="OPT58" s="25"/>
      <c r="OQA58" s="21"/>
      <c r="OQB58" s="21"/>
      <c r="OQF58" s="15"/>
      <c r="OQL58" s="25"/>
      <c r="OQS58" s="21"/>
      <c r="OQT58" s="21"/>
      <c r="OQX58" s="15"/>
      <c r="ORD58" s="25"/>
      <c r="ORK58" s="21"/>
      <c r="ORL58" s="21"/>
      <c r="ORP58" s="15"/>
      <c r="ORV58" s="25"/>
      <c r="OSC58" s="21"/>
      <c r="OSD58" s="21"/>
      <c r="OSH58" s="15"/>
      <c r="OSN58" s="25"/>
      <c r="OSU58" s="21"/>
      <c r="OSV58" s="21"/>
      <c r="OSZ58" s="15"/>
      <c r="OTF58" s="25"/>
      <c r="OTM58" s="21"/>
      <c r="OTN58" s="21"/>
      <c r="OTR58" s="15"/>
      <c r="OTX58" s="25"/>
      <c r="OUE58" s="21"/>
      <c r="OUF58" s="21"/>
      <c r="OUJ58" s="15"/>
      <c r="OUP58" s="25"/>
      <c r="OUW58" s="21"/>
      <c r="OUX58" s="21"/>
      <c r="OVB58" s="15"/>
      <c r="OVH58" s="25"/>
      <c r="OVO58" s="21"/>
      <c r="OVP58" s="21"/>
      <c r="OVT58" s="15"/>
      <c r="OVZ58" s="25"/>
      <c r="OWG58" s="21"/>
      <c r="OWH58" s="21"/>
      <c r="OWL58" s="15"/>
      <c r="OWR58" s="25"/>
      <c r="OWY58" s="21"/>
      <c r="OWZ58" s="21"/>
      <c r="OXD58" s="15"/>
      <c r="OXJ58" s="25"/>
      <c r="OXQ58" s="21"/>
      <c r="OXR58" s="21"/>
      <c r="OXV58" s="15"/>
      <c r="OYB58" s="25"/>
      <c r="OYI58" s="21"/>
      <c r="OYJ58" s="21"/>
      <c r="OYN58" s="15"/>
      <c r="OYT58" s="25"/>
      <c r="OZA58" s="21"/>
      <c r="OZB58" s="21"/>
      <c r="OZF58" s="15"/>
      <c r="OZL58" s="25"/>
      <c r="OZS58" s="21"/>
      <c r="OZT58" s="21"/>
      <c r="OZX58" s="15"/>
      <c r="PAD58" s="25"/>
      <c r="PAK58" s="21"/>
      <c r="PAL58" s="21"/>
      <c r="PAP58" s="15"/>
      <c r="PAV58" s="25"/>
      <c r="PBC58" s="21"/>
      <c r="PBD58" s="21"/>
      <c r="PBH58" s="15"/>
      <c r="PBN58" s="25"/>
      <c r="PBU58" s="21"/>
      <c r="PBV58" s="21"/>
      <c r="PBZ58" s="15"/>
      <c r="PCF58" s="25"/>
      <c r="PCM58" s="21"/>
      <c r="PCN58" s="21"/>
      <c r="PCR58" s="15"/>
      <c r="PCX58" s="25"/>
      <c r="PDE58" s="21"/>
      <c r="PDF58" s="21"/>
      <c r="PDJ58" s="15"/>
      <c r="PDP58" s="25"/>
      <c r="PDW58" s="21"/>
      <c r="PDX58" s="21"/>
      <c r="PEB58" s="15"/>
      <c r="PEH58" s="25"/>
      <c r="PEO58" s="21"/>
      <c r="PEP58" s="21"/>
      <c r="PET58" s="15"/>
      <c r="PEZ58" s="25"/>
      <c r="PFG58" s="21"/>
      <c r="PFH58" s="21"/>
      <c r="PFL58" s="15"/>
      <c r="PFR58" s="25"/>
      <c r="PFY58" s="21"/>
      <c r="PFZ58" s="21"/>
      <c r="PGD58" s="15"/>
      <c r="PGJ58" s="25"/>
      <c r="PGQ58" s="21"/>
      <c r="PGR58" s="21"/>
      <c r="PGV58" s="15"/>
      <c r="PHB58" s="25"/>
      <c r="PHI58" s="21"/>
      <c r="PHJ58" s="21"/>
      <c r="PHN58" s="15"/>
      <c r="PHT58" s="25"/>
      <c r="PIA58" s="21"/>
      <c r="PIB58" s="21"/>
      <c r="PIF58" s="15"/>
      <c r="PIL58" s="25"/>
      <c r="PIS58" s="21"/>
      <c r="PIT58" s="21"/>
      <c r="PIX58" s="15"/>
      <c r="PJD58" s="25"/>
      <c r="PJK58" s="21"/>
      <c r="PJL58" s="21"/>
      <c r="PJP58" s="15"/>
      <c r="PJV58" s="25"/>
      <c r="PKC58" s="21"/>
      <c r="PKD58" s="21"/>
      <c r="PKH58" s="15"/>
      <c r="PKN58" s="25"/>
      <c r="PKU58" s="21"/>
      <c r="PKV58" s="21"/>
      <c r="PKZ58" s="15"/>
      <c r="PLF58" s="25"/>
      <c r="PLM58" s="21"/>
      <c r="PLN58" s="21"/>
      <c r="PLR58" s="15"/>
      <c r="PLX58" s="25"/>
      <c r="PME58" s="21"/>
      <c r="PMF58" s="21"/>
      <c r="PMJ58" s="15"/>
      <c r="PMP58" s="25"/>
      <c r="PMW58" s="21"/>
      <c r="PMX58" s="21"/>
      <c r="PNB58" s="15"/>
      <c r="PNH58" s="25"/>
      <c r="PNO58" s="21"/>
      <c r="PNP58" s="21"/>
      <c r="PNT58" s="15"/>
      <c r="PNZ58" s="25"/>
      <c r="POG58" s="21"/>
      <c r="POH58" s="21"/>
      <c r="POL58" s="15"/>
      <c r="POR58" s="25"/>
      <c r="POY58" s="21"/>
      <c r="POZ58" s="21"/>
      <c r="PPD58" s="15"/>
      <c r="PPJ58" s="25"/>
      <c r="PPQ58" s="21"/>
      <c r="PPR58" s="21"/>
      <c r="PPV58" s="15"/>
      <c r="PQB58" s="25"/>
      <c r="PQI58" s="21"/>
      <c r="PQJ58" s="21"/>
      <c r="PQN58" s="15"/>
      <c r="PQT58" s="25"/>
      <c r="PRA58" s="21"/>
      <c r="PRB58" s="21"/>
      <c r="PRF58" s="15"/>
      <c r="PRL58" s="25"/>
      <c r="PRS58" s="21"/>
      <c r="PRT58" s="21"/>
      <c r="PRX58" s="15"/>
      <c r="PSD58" s="25"/>
      <c r="PSK58" s="21"/>
      <c r="PSL58" s="21"/>
      <c r="PSP58" s="15"/>
      <c r="PSV58" s="25"/>
      <c r="PTC58" s="21"/>
      <c r="PTD58" s="21"/>
      <c r="PTH58" s="15"/>
      <c r="PTN58" s="25"/>
      <c r="PTU58" s="21"/>
      <c r="PTV58" s="21"/>
      <c r="PTZ58" s="15"/>
      <c r="PUF58" s="25"/>
      <c r="PUM58" s="21"/>
      <c r="PUN58" s="21"/>
      <c r="PUR58" s="15"/>
      <c r="PUX58" s="25"/>
      <c r="PVE58" s="21"/>
      <c r="PVF58" s="21"/>
      <c r="PVJ58" s="15"/>
      <c r="PVP58" s="25"/>
      <c r="PVW58" s="21"/>
      <c r="PVX58" s="21"/>
      <c r="PWB58" s="15"/>
      <c r="PWH58" s="25"/>
      <c r="PWO58" s="21"/>
      <c r="PWP58" s="21"/>
      <c r="PWT58" s="15"/>
      <c r="PWZ58" s="25"/>
      <c r="PXG58" s="21"/>
      <c r="PXH58" s="21"/>
      <c r="PXL58" s="15"/>
      <c r="PXR58" s="25"/>
      <c r="PXY58" s="21"/>
      <c r="PXZ58" s="21"/>
      <c r="PYD58" s="15"/>
      <c r="PYJ58" s="25"/>
      <c r="PYQ58" s="21"/>
      <c r="PYR58" s="21"/>
      <c r="PYV58" s="15"/>
      <c r="PZB58" s="25"/>
      <c r="PZI58" s="21"/>
      <c r="PZJ58" s="21"/>
      <c r="PZN58" s="15"/>
      <c r="PZT58" s="25"/>
      <c r="QAA58" s="21"/>
      <c r="QAB58" s="21"/>
      <c r="QAF58" s="15"/>
      <c r="QAL58" s="25"/>
      <c r="QAS58" s="21"/>
      <c r="QAT58" s="21"/>
      <c r="QAX58" s="15"/>
      <c r="QBD58" s="25"/>
      <c r="QBK58" s="21"/>
      <c r="QBL58" s="21"/>
      <c r="QBP58" s="15"/>
      <c r="QBV58" s="25"/>
      <c r="QCC58" s="21"/>
      <c r="QCD58" s="21"/>
      <c r="QCH58" s="15"/>
      <c r="QCN58" s="25"/>
      <c r="QCU58" s="21"/>
      <c r="QCV58" s="21"/>
      <c r="QCZ58" s="15"/>
      <c r="QDF58" s="25"/>
      <c r="QDM58" s="21"/>
      <c r="QDN58" s="21"/>
      <c r="QDR58" s="15"/>
      <c r="QDX58" s="25"/>
      <c r="QEE58" s="21"/>
      <c r="QEF58" s="21"/>
      <c r="QEJ58" s="15"/>
      <c r="QEP58" s="25"/>
      <c r="QEW58" s="21"/>
      <c r="QEX58" s="21"/>
      <c r="QFB58" s="15"/>
      <c r="QFH58" s="25"/>
      <c r="QFO58" s="21"/>
      <c r="QFP58" s="21"/>
      <c r="QFT58" s="15"/>
      <c r="QFZ58" s="25"/>
      <c r="QGG58" s="21"/>
      <c r="QGH58" s="21"/>
      <c r="QGL58" s="15"/>
      <c r="QGR58" s="25"/>
      <c r="QGY58" s="21"/>
      <c r="QGZ58" s="21"/>
      <c r="QHD58" s="15"/>
      <c r="QHJ58" s="25"/>
      <c r="QHQ58" s="21"/>
      <c r="QHR58" s="21"/>
      <c r="QHV58" s="15"/>
      <c r="QIB58" s="25"/>
      <c r="QII58" s="21"/>
      <c r="QIJ58" s="21"/>
      <c r="QIN58" s="15"/>
      <c r="QIT58" s="25"/>
      <c r="QJA58" s="21"/>
      <c r="QJB58" s="21"/>
      <c r="QJF58" s="15"/>
      <c r="QJL58" s="25"/>
      <c r="QJS58" s="21"/>
      <c r="QJT58" s="21"/>
      <c r="QJX58" s="15"/>
      <c r="QKD58" s="25"/>
      <c r="QKK58" s="21"/>
      <c r="QKL58" s="21"/>
      <c r="QKP58" s="15"/>
      <c r="QKV58" s="25"/>
      <c r="QLC58" s="21"/>
      <c r="QLD58" s="21"/>
      <c r="QLH58" s="15"/>
      <c r="QLN58" s="25"/>
      <c r="QLU58" s="21"/>
      <c r="QLV58" s="21"/>
      <c r="QLZ58" s="15"/>
      <c r="QMF58" s="25"/>
      <c r="QMM58" s="21"/>
      <c r="QMN58" s="21"/>
      <c r="QMR58" s="15"/>
      <c r="QMX58" s="25"/>
      <c r="QNE58" s="21"/>
      <c r="QNF58" s="21"/>
      <c r="QNJ58" s="15"/>
      <c r="QNP58" s="25"/>
      <c r="QNW58" s="21"/>
      <c r="QNX58" s="21"/>
      <c r="QOB58" s="15"/>
      <c r="QOH58" s="25"/>
      <c r="QOO58" s="21"/>
      <c r="QOP58" s="21"/>
      <c r="QOT58" s="15"/>
      <c r="QOZ58" s="25"/>
      <c r="QPG58" s="21"/>
      <c r="QPH58" s="21"/>
      <c r="QPL58" s="15"/>
      <c r="QPR58" s="25"/>
      <c r="QPY58" s="21"/>
      <c r="QPZ58" s="21"/>
      <c r="QQD58" s="15"/>
      <c r="QQJ58" s="25"/>
      <c r="QQQ58" s="21"/>
      <c r="QQR58" s="21"/>
      <c r="QQV58" s="15"/>
      <c r="QRB58" s="25"/>
      <c r="QRI58" s="21"/>
      <c r="QRJ58" s="21"/>
      <c r="QRN58" s="15"/>
      <c r="QRT58" s="25"/>
      <c r="QSA58" s="21"/>
      <c r="QSB58" s="21"/>
      <c r="QSF58" s="15"/>
      <c r="QSL58" s="25"/>
      <c r="QSS58" s="21"/>
      <c r="QST58" s="21"/>
      <c r="QSX58" s="15"/>
      <c r="QTD58" s="25"/>
      <c r="QTK58" s="21"/>
      <c r="QTL58" s="21"/>
      <c r="QTP58" s="15"/>
      <c r="QTV58" s="25"/>
      <c r="QUC58" s="21"/>
      <c r="QUD58" s="21"/>
      <c r="QUH58" s="15"/>
      <c r="QUN58" s="25"/>
      <c r="QUU58" s="21"/>
      <c r="QUV58" s="21"/>
      <c r="QUZ58" s="15"/>
      <c r="QVF58" s="25"/>
      <c r="QVM58" s="21"/>
      <c r="QVN58" s="21"/>
      <c r="QVR58" s="15"/>
      <c r="QVX58" s="25"/>
      <c r="QWE58" s="21"/>
      <c r="QWF58" s="21"/>
      <c r="QWJ58" s="15"/>
      <c r="QWP58" s="25"/>
      <c r="QWW58" s="21"/>
      <c r="QWX58" s="21"/>
      <c r="QXB58" s="15"/>
      <c r="QXH58" s="25"/>
      <c r="QXO58" s="21"/>
      <c r="QXP58" s="21"/>
      <c r="QXT58" s="15"/>
      <c r="QXZ58" s="25"/>
      <c r="QYG58" s="21"/>
      <c r="QYH58" s="21"/>
      <c r="QYL58" s="15"/>
      <c r="QYR58" s="25"/>
      <c r="QYY58" s="21"/>
      <c r="QYZ58" s="21"/>
      <c r="QZD58" s="15"/>
      <c r="QZJ58" s="25"/>
      <c r="QZQ58" s="21"/>
      <c r="QZR58" s="21"/>
      <c r="QZV58" s="15"/>
      <c r="RAB58" s="25"/>
      <c r="RAI58" s="21"/>
      <c r="RAJ58" s="21"/>
      <c r="RAN58" s="15"/>
      <c r="RAT58" s="25"/>
      <c r="RBA58" s="21"/>
      <c r="RBB58" s="21"/>
      <c r="RBF58" s="15"/>
      <c r="RBL58" s="25"/>
      <c r="RBS58" s="21"/>
      <c r="RBT58" s="21"/>
      <c r="RBX58" s="15"/>
      <c r="RCD58" s="25"/>
      <c r="RCK58" s="21"/>
      <c r="RCL58" s="21"/>
      <c r="RCP58" s="15"/>
      <c r="RCV58" s="25"/>
      <c r="RDC58" s="21"/>
      <c r="RDD58" s="21"/>
      <c r="RDH58" s="15"/>
      <c r="RDN58" s="25"/>
      <c r="RDU58" s="21"/>
      <c r="RDV58" s="21"/>
      <c r="RDZ58" s="15"/>
      <c r="REF58" s="25"/>
      <c r="REM58" s="21"/>
      <c r="REN58" s="21"/>
      <c r="RER58" s="15"/>
      <c r="REX58" s="25"/>
      <c r="RFE58" s="21"/>
      <c r="RFF58" s="21"/>
      <c r="RFJ58" s="15"/>
      <c r="RFP58" s="25"/>
      <c r="RFW58" s="21"/>
      <c r="RFX58" s="21"/>
      <c r="RGB58" s="15"/>
      <c r="RGH58" s="25"/>
      <c r="RGO58" s="21"/>
      <c r="RGP58" s="21"/>
      <c r="RGT58" s="15"/>
      <c r="RGZ58" s="25"/>
      <c r="RHG58" s="21"/>
      <c r="RHH58" s="21"/>
      <c r="RHL58" s="15"/>
      <c r="RHR58" s="25"/>
      <c r="RHY58" s="21"/>
      <c r="RHZ58" s="21"/>
      <c r="RID58" s="15"/>
      <c r="RIJ58" s="25"/>
      <c r="RIQ58" s="21"/>
      <c r="RIR58" s="21"/>
      <c r="RIV58" s="15"/>
      <c r="RJB58" s="25"/>
      <c r="RJI58" s="21"/>
      <c r="RJJ58" s="21"/>
      <c r="RJN58" s="15"/>
      <c r="RJT58" s="25"/>
      <c r="RKA58" s="21"/>
      <c r="RKB58" s="21"/>
      <c r="RKF58" s="15"/>
      <c r="RKL58" s="25"/>
      <c r="RKS58" s="21"/>
      <c r="RKT58" s="21"/>
      <c r="RKX58" s="15"/>
      <c r="RLD58" s="25"/>
      <c r="RLK58" s="21"/>
      <c r="RLL58" s="21"/>
      <c r="RLP58" s="15"/>
      <c r="RLV58" s="25"/>
      <c r="RMC58" s="21"/>
      <c r="RMD58" s="21"/>
      <c r="RMH58" s="15"/>
      <c r="RMN58" s="25"/>
      <c r="RMU58" s="21"/>
      <c r="RMV58" s="21"/>
      <c r="RMZ58" s="15"/>
      <c r="RNF58" s="25"/>
      <c r="RNM58" s="21"/>
      <c r="RNN58" s="21"/>
      <c r="RNR58" s="15"/>
      <c r="RNX58" s="25"/>
      <c r="ROE58" s="21"/>
      <c r="ROF58" s="21"/>
      <c r="ROJ58" s="15"/>
      <c r="ROP58" s="25"/>
      <c r="ROW58" s="21"/>
      <c r="ROX58" s="21"/>
      <c r="RPB58" s="15"/>
      <c r="RPH58" s="25"/>
      <c r="RPO58" s="21"/>
      <c r="RPP58" s="21"/>
      <c r="RPT58" s="15"/>
      <c r="RPZ58" s="25"/>
      <c r="RQG58" s="21"/>
      <c r="RQH58" s="21"/>
      <c r="RQL58" s="15"/>
      <c r="RQR58" s="25"/>
      <c r="RQY58" s="21"/>
      <c r="RQZ58" s="21"/>
      <c r="RRD58" s="15"/>
      <c r="RRJ58" s="25"/>
      <c r="RRQ58" s="21"/>
      <c r="RRR58" s="21"/>
      <c r="RRV58" s="15"/>
      <c r="RSB58" s="25"/>
      <c r="RSI58" s="21"/>
      <c r="RSJ58" s="21"/>
      <c r="RSN58" s="15"/>
      <c r="RST58" s="25"/>
      <c r="RTA58" s="21"/>
      <c r="RTB58" s="21"/>
      <c r="RTF58" s="15"/>
      <c r="RTL58" s="25"/>
      <c r="RTS58" s="21"/>
      <c r="RTT58" s="21"/>
      <c r="RTX58" s="15"/>
      <c r="RUD58" s="25"/>
      <c r="RUK58" s="21"/>
      <c r="RUL58" s="21"/>
      <c r="RUP58" s="15"/>
      <c r="RUV58" s="25"/>
      <c r="RVC58" s="21"/>
      <c r="RVD58" s="21"/>
      <c r="RVH58" s="15"/>
      <c r="RVN58" s="25"/>
      <c r="RVU58" s="21"/>
      <c r="RVV58" s="21"/>
      <c r="RVZ58" s="15"/>
      <c r="RWF58" s="25"/>
      <c r="RWM58" s="21"/>
      <c r="RWN58" s="21"/>
      <c r="RWR58" s="15"/>
      <c r="RWX58" s="25"/>
      <c r="RXE58" s="21"/>
      <c r="RXF58" s="21"/>
      <c r="RXJ58" s="15"/>
      <c r="RXP58" s="25"/>
      <c r="RXW58" s="21"/>
      <c r="RXX58" s="21"/>
      <c r="RYB58" s="15"/>
      <c r="RYH58" s="25"/>
      <c r="RYO58" s="21"/>
      <c r="RYP58" s="21"/>
      <c r="RYT58" s="15"/>
      <c r="RYZ58" s="25"/>
      <c r="RZG58" s="21"/>
      <c r="RZH58" s="21"/>
      <c r="RZL58" s="15"/>
      <c r="RZR58" s="25"/>
      <c r="RZY58" s="21"/>
      <c r="RZZ58" s="21"/>
      <c r="SAD58" s="15"/>
      <c r="SAJ58" s="25"/>
      <c r="SAQ58" s="21"/>
      <c r="SAR58" s="21"/>
      <c r="SAV58" s="15"/>
      <c r="SBB58" s="25"/>
      <c r="SBI58" s="21"/>
      <c r="SBJ58" s="21"/>
      <c r="SBN58" s="15"/>
      <c r="SBT58" s="25"/>
      <c r="SCA58" s="21"/>
      <c r="SCB58" s="21"/>
      <c r="SCF58" s="15"/>
      <c r="SCL58" s="25"/>
      <c r="SCS58" s="21"/>
      <c r="SCT58" s="21"/>
      <c r="SCX58" s="15"/>
      <c r="SDD58" s="25"/>
      <c r="SDK58" s="21"/>
      <c r="SDL58" s="21"/>
      <c r="SDP58" s="15"/>
      <c r="SDV58" s="25"/>
      <c r="SEC58" s="21"/>
      <c r="SED58" s="21"/>
      <c r="SEH58" s="15"/>
      <c r="SEN58" s="25"/>
      <c r="SEU58" s="21"/>
      <c r="SEV58" s="21"/>
      <c r="SEZ58" s="15"/>
      <c r="SFF58" s="25"/>
      <c r="SFM58" s="21"/>
      <c r="SFN58" s="21"/>
      <c r="SFR58" s="15"/>
      <c r="SFX58" s="25"/>
      <c r="SGE58" s="21"/>
      <c r="SGF58" s="21"/>
      <c r="SGJ58" s="15"/>
      <c r="SGP58" s="25"/>
      <c r="SGW58" s="21"/>
      <c r="SGX58" s="21"/>
      <c r="SHB58" s="15"/>
      <c r="SHH58" s="25"/>
      <c r="SHO58" s="21"/>
      <c r="SHP58" s="21"/>
      <c r="SHT58" s="15"/>
      <c r="SHZ58" s="25"/>
      <c r="SIG58" s="21"/>
      <c r="SIH58" s="21"/>
      <c r="SIL58" s="15"/>
      <c r="SIR58" s="25"/>
      <c r="SIY58" s="21"/>
      <c r="SIZ58" s="21"/>
      <c r="SJD58" s="15"/>
      <c r="SJJ58" s="25"/>
      <c r="SJQ58" s="21"/>
      <c r="SJR58" s="21"/>
      <c r="SJV58" s="15"/>
      <c r="SKB58" s="25"/>
      <c r="SKI58" s="21"/>
      <c r="SKJ58" s="21"/>
      <c r="SKN58" s="15"/>
      <c r="SKT58" s="25"/>
      <c r="SLA58" s="21"/>
      <c r="SLB58" s="21"/>
      <c r="SLF58" s="15"/>
      <c r="SLL58" s="25"/>
      <c r="SLS58" s="21"/>
      <c r="SLT58" s="21"/>
      <c r="SLX58" s="15"/>
      <c r="SMD58" s="25"/>
      <c r="SMK58" s="21"/>
      <c r="SML58" s="21"/>
      <c r="SMP58" s="15"/>
      <c r="SMV58" s="25"/>
      <c r="SNC58" s="21"/>
      <c r="SND58" s="21"/>
      <c r="SNH58" s="15"/>
      <c r="SNN58" s="25"/>
      <c r="SNU58" s="21"/>
      <c r="SNV58" s="21"/>
      <c r="SNZ58" s="15"/>
      <c r="SOF58" s="25"/>
      <c r="SOM58" s="21"/>
      <c r="SON58" s="21"/>
      <c r="SOR58" s="15"/>
      <c r="SOX58" s="25"/>
      <c r="SPE58" s="21"/>
      <c r="SPF58" s="21"/>
      <c r="SPJ58" s="15"/>
      <c r="SPP58" s="25"/>
      <c r="SPW58" s="21"/>
      <c r="SPX58" s="21"/>
      <c r="SQB58" s="15"/>
      <c r="SQH58" s="25"/>
      <c r="SQO58" s="21"/>
      <c r="SQP58" s="21"/>
      <c r="SQT58" s="15"/>
      <c r="SQZ58" s="25"/>
      <c r="SRG58" s="21"/>
      <c r="SRH58" s="21"/>
      <c r="SRL58" s="15"/>
      <c r="SRR58" s="25"/>
      <c r="SRY58" s="21"/>
      <c r="SRZ58" s="21"/>
      <c r="SSD58" s="15"/>
      <c r="SSJ58" s="25"/>
      <c r="SSQ58" s="21"/>
      <c r="SSR58" s="21"/>
      <c r="SSV58" s="15"/>
      <c r="STB58" s="25"/>
      <c r="STI58" s="21"/>
      <c r="STJ58" s="21"/>
      <c r="STN58" s="15"/>
      <c r="STT58" s="25"/>
      <c r="SUA58" s="21"/>
      <c r="SUB58" s="21"/>
      <c r="SUF58" s="15"/>
      <c r="SUL58" s="25"/>
      <c r="SUS58" s="21"/>
      <c r="SUT58" s="21"/>
      <c r="SUX58" s="15"/>
      <c r="SVD58" s="25"/>
      <c r="SVK58" s="21"/>
      <c r="SVL58" s="21"/>
      <c r="SVP58" s="15"/>
      <c r="SVV58" s="25"/>
      <c r="SWC58" s="21"/>
      <c r="SWD58" s="21"/>
      <c r="SWH58" s="15"/>
      <c r="SWN58" s="25"/>
      <c r="SWU58" s="21"/>
      <c r="SWV58" s="21"/>
      <c r="SWZ58" s="15"/>
      <c r="SXF58" s="25"/>
      <c r="SXM58" s="21"/>
      <c r="SXN58" s="21"/>
      <c r="SXR58" s="15"/>
      <c r="SXX58" s="25"/>
      <c r="SYE58" s="21"/>
      <c r="SYF58" s="21"/>
      <c r="SYJ58" s="15"/>
      <c r="SYP58" s="25"/>
      <c r="SYW58" s="21"/>
      <c r="SYX58" s="21"/>
      <c r="SZB58" s="15"/>
      <c r="SZH58" s="25"/>
      <c r="SZO58" s="21"/>
      <c r="SZP58" s="21"/>
      <c r="SZT58" s="15"/>
      <c r="SZZ58" s="25"/>
      <c r="TAG58" s="21"/>
      <c r="TAH58" s="21"/>
      <c r="TAL58" s="15"/>
      <c r="TAR58" s="25"/>
      <c r="TAY58" s="21"/>
      <c r="TAZ58" s="21"/>
      <c r="TBD58" s="15"/>
      <c r="TBJ58" s="25"/>
      <c r="TBQ58" s="21"/>
      <c r="TBR58" s="21"/>
      <c r="TBV58" s="15"/>
      <c r="TCB58" s="25"/>
      <c r="TCI58" s="21"/>
      <c r="TCJ58" s="21"/>
      <c r="TCN58" s="15"/>
      <c r="TCT58" s="25"/>
      <c r="TDA58" s="21"/>
      <c r="TDB58" s="21"/>
      <c r="TDF58" s="15"/>
      <c r="TDL58" s="25"/>
      <c r="TDS58" s="21"/>
      <c r="TDT58" s="21"/>
      <c r="TDX58" s="15"/>
      <c r="TED58" s="25"/>
      <c r="TEK58" s="21"/>
      <c r="TEL58" s="21"/>
      <c r="TEP58" s="15"/>
      <c r="TEV58" s="25"/>
      <c r="TFC58" s="21"/>
      <c r="TFD58" s="21"/>
      <c r="TFH58" s="15"/>
      <c r="TFN58" s="25"/>
      <c r="TFU58" s="21"/>
      <c r="TFV58" s="21"/>
      <c r="TFZ58" s="15"/>
      <c r="TGF58" s="25"/>
      <c r="TGM58" s="21"/>
      <c r="TGN58" s="21"/>
      <c r="TGR58" s="15"/>
      <c r="TGX58" s="25"/>
      <c r="THE58" s="21"/>
      <c r="THF58" s="21"/>
      <c r="THJ58" s="15"/>
      <c r="THP58" s="25"/>
      <c r="THW58" s="21"/>
      <c r="THX58" s="21"/>
      <c r="TIB58" s="15"/>
      <c r="TIH58" s="25"/>
      <c r="TIO58" s="21"/>
      <c r="TIP58" s="21"/>
      <c r="TIT58" s="15"/>
      <c r="TIZ58" s="25"/>
      <c r="TJG58" s="21"/>
      <c r="TJH58" s="21"/>
      <c r="TJL58" s="15"/>
      <c r="TJR58" s="25"/>
      <c r="TJY58" s="21"/>
      <c r="TJZ58" s="21"/>
      <c r="TKD58" s="15"/>
      <c r="TKJ58" s="25"/>
      <c r="TKQ58" s="21"/>
      <c r="TKR58" s="21"/>
      <c r="TKV58" s="15"/>
      <c r="TLB58" s="25"/>
      <c r="TLI58" s="21"/>
      <c r="TLJ58" s="21"/>
      <c r="TLN58" s="15"/>
      <c r="TLT58" s="25"/>
      <c r="TMA58" s="21"/>
      <c r="TMB58" s="21"/>
      <c r="TMF58" s="15"/>
      <c r="TML58" s="25"/>
      <c r="TMS58" s="21"/>
      <c r="TMT58" s="21"/>
      <c r="TMX58" s="15"/>
      <c r="TND58" s="25"/>
      <c r="TNK58" s="21"/>
      <c r="TNL58" s="21"/>
      <c r="TNP58" s="15"/>
      <c r="TNV58" s="25"/>
      <c r="TOC58" s="21"/>
      <c r="TOD58" s="21"/>
      <c r="TOH58" s="15"/>
      <c r="TON58" s="25"/>
      <c r="TOU58" s="21"/>
      <c r="TOV58" s="21"/>
      <c r="TOZ58" s="15"/>
      <c r="TPF58" s="25"/>
      <c r="TPM58" s="21"/>
      <c r="TPN58" s="21"/>
      <c r="TPR58" s="15"/>
      <c r="TPX58" s="25"/>
      <c r="TQE58" s="21"/>
      <c r="TQF58" s="21"/>
      <c r="TQJ58" s="15"/>
      <c r="TQP58" s="25"/>
      <c r="TQW58" s="21"/>
      <c r="TQX58" s="21"/>
      <c r="TRB58" s="15"/>
      <c r="TRH58" s="25"/>
      <c r="TRO58" s="21"/>
      <c r="TRP58" s="21"/>
      <c r="TRT58" s="15"/>
      <c r="TRZ58" s="25"/>
      <c r="TSG58" s="21"/>
      <c r="TSH58" s="21"/>
      <c r="TSL58" s="15"/>
      <c r="TSR58" s="25"/>
      <c r="TSY58" s="21"/>
      <c r="TSZ58" s="21"/>
      <c r="TTD58" s="15"/>
      <c r="TTJ58" s="25"/>
      <c r="TTQ58" s="21"/>
      <c r="TTR58" s="21"/>
      <c r="TTV58" s="15"/>
      <c r="TUB58" s="25"/>
      <c r="TUI58" s="21"/>
      <c r="TUJ58" s="21"/>
      <c r="TUN58" s="15"/>
      <c r="TUT58" s="25"/>
      <c r="TVA58" s="21"/>
      <c r="TVB58" s="21"/>
      <c r="TVF58" s="15"/>
      <c r="TVL58" s="25"/>
      <c r="TVS58" s="21"/>
      <c r="TVT58" s="21"/>
      <c r="TVX58" s="15"/>
      <c r="TWD58" s="25"/>
      <c r="TWK58" s="21"/>
      <c r="TWL58" s="21"/>
      <c r="TWP58" s="15"/>
      <c r="TWV58" s="25"/>
      <c r="TXC58" s="21"/>
      <c r="TXD58" s="21"/>
      <c r="TXH58" s="15"/>
      <c r="TXN58" s="25"/>
      <c r="TXU58" s="21"/>
      <c r="TXV58" s="21"/>
      <c r="TXZ58" s="15"/>
      <c r="TYF58" s="25"/>
      <c r="TYM58" s="21"/>
      <c r="TYN58" s="21"/>
      <c r="TYR58" s="15"/>
      <c r="TYX58" s="25"/>
      <c r="TZE58" s="21"/>
      <c r="TZF58" s="21"/>
      <c r="TZJ58" s="15"/>
      <c r="TZP58" s="25"/>
      <c r="TZW58" s="21"/>
      <c r="TZX58" s="21"/>
      <c r="UAB58" s="15"/>
      <c r="UAH58" s="25"/>
      <c r="UAO58" s="21"/>
      <c r="UAP58" s="21"/>
      <c r="UAT58" s="15"/>
      <c r="UAZ58" s="25"/>
      <c r="UBG58" s="21"/>
      <c r="UBH58" s="21"/>
      <c r="UBL58" s="15"/>
      <c r="UBR58" s="25"/>
      <c r="UBY58" s="21"/>
      <c r="UBZ58" s="21"/>
      <c r="UCD58" s="15"/>
      <c r="UCJ58" s="25"/>
      <c r="UCQ58" s="21"/>
      <c r="UCR58" s="21"/>
      <c r="UCV58" s="15"/>
      <c r="UDB58" s="25"/>
      <c r="UDI58" s="21"/>
      <c r="UDJ58" s="21"/>
      <c r="UDN58" s="15"/>
      <c r="UDT58" s="25"/>
      <c r="UEA58" s="21"/>
      <c r="UEB58" s="21"/>
      <c r="UEF58" s="15"/>
      <c r="UEL58" s="25"/>
      <c r="UES58" s="21"/>
      <c r="UET58" s="21"/>
      <c r="UEX58" s="15"/>
      <c r="UFD58" s="25"/>
      <c r="UFK58" s="21"/>
      <c r="UFL58" s="21"/>
      <c r="UFP58" s="15"/>
      <c r="UFV58" s="25"/>
      <c r="UGC58" s="21"/>
      <c r="UGD58" s="21"/>
      <c r="UGH58" s="15"/>
      <c r="UGN58" s="25"/>
      <c r="UGU58" s="21"/>
      <c r="UGV58" s="21"/>
      <c r="UGZ58" s="15"/>
      <c r="UHF58" s="25"/>
      <c r="UHM58" s="21"/>
      <c r="UHN58" s="21"/>
      <c r="UHR58" s="15"/>
      <c r="UHX58" s="25"/>
      <c r="UIE58" s="21"/>
      <c r="UIF58" s="21"/>
      <c r="UIJ58" s="15"/>
      <c r="UIP58" s="25"/>
      <c r="UIW58" s="21"/>
      <c r="UIX58" s="21"/>
      <c r="UJB58" s="15"/>
      <c r="UJH58" s="25"/>
      <c r="UJO58" s="21"/>
      <c r="UJP58" s="21"/>
      <c r="UJT58" s="15"/>
      <c r="UJZ58" s="25"/>
      <c r="UKG58" s="21"/>
      <c r="UKH58" s="21"/>
      <c r="UKL58" s="15"/>
      <c r="UKR58" s="25"/>
      <c r="UKY58" s="21"/>
      <c r="UKZ58" s="21"/>
      <c r="ULD58" s="15"/>
      <c r="ULJ58" s="25"/>
      <c r="ULQ58" s="21"/>
      <c r="ULR58" s="21"/>
      <c r="ULV58" s="15"/>
      <c r="UMB58" s="25"/>
      <c r="UMI58" s="21"/>
      <c r="UMJ58" s="21"/>
      <c r="UMN58" s="15"/>
      <c r="UMT58" s="25"/>
      <c r="UNA58" s="21"/>
      <c r="UNB58" s="21"/>
      <c r="UNF58" s="15"/>
      <c r="UNL58" s="25"/>
      <c r="UNS58" s="21"/>
      <c r="UNT58" s="21"/>
      <c r="UNX58" s="15"/>
      <c r="UOD58" s="25"/>
      <c r="UOK58" s="21"/>
      <c r="UOL58" s="21"/>
      <c r="UOP58" s="15"/>
      <c r="UOV58" s="25"/>
      <c r="UPC58" s="21"/>
      <c r="UPD58" s="21"/>
      <c r="UPH58" s="15"/>
      <c r="UPN58" s="25"/>
      <c r="UPU58" s="21"/>
      <c r="UPV58" s="21"/>
      <c r="UPZ58" s="15"/>
      <c r="UQF58" s="25"/>
      <c r="UQM58" s="21"/>
      <c r="UQN58" s="21"/>
      <c r="UQR58" s="15"/>
      <c r="UQX58" s="25"/>
      <c r="URE58" s="21"/>
      <c r="URF58" s="21"/>
      <c r="URJ58" s="15"/>
      <c r="URP58" s="25"/>
      <c r="URW58" s="21"/>
      <c r="URX58" s="21"/>
      <c r="USB58" s="15"/>
      <c r="USH58" s="25"/>
      <c r="USO58" s="21"/>
      <c r="USP58" s="21"/>
      <c r="UST58" s="15"/>
      <c r="USZ58" s="25"/>
      <c r="UTG58" s="21"/>
      <c r="UTH58" s="21"/>
      <c r="UTL58" s="15"/>
      <c r="UTR58" s="25"/>
      <c r="UTY58" s="21"/>
      <c r="UTZ58" s="21"/>
      <c r="UUD58" s="15"/>
      <c r="UUJ58" s="25"/>
      <c r="UUQ58" s="21"/>
      <c r="UUR58" s="21"/>
      <c r="UUV58" s="15"/>
      <c r="UVB58" s="25"/>
      <c r="UVI58" s="21"/>
      <c r="UVJ58" s="21"/>
      <c r="UVN58" s="15"/>
      <c r="UVT58" s="25"/>
      <c r="UWA58" s="21"/>
      <c r="UWB58" s="21"/>
      <c r="UWF58" s="15"/>
      <c r="UWL58" s="25"/>
      <c r="UWS58" s="21"/>
      <c r="UWT58" s="21"/>
      <c r="UWX58" s="15"/>
      <c r="UXD58" s="25"/>
      <c r="UXK58" s="21"/>
      <c r="UXL58" s="21"/>
      <c r="UXP58" s="15"/>
      <c r="UXV58" s="25"/>
      <c r="UYC58" s="21"/>
      <c r="UYD58" s="21"/>
      <c r="UYH58" s="15"/>
      <c r="UYN58" s="25"/>
      <c r="UYU58" s="21"/>
      <c r="UYV58" s="21"/>
      <c r="UYZ58" s="15"/>
      <c r="UZF58" s="25"/>
      <c r="UZM58" s="21"/>
      <c r="UZN58" s="21"/>
      <c r="UZR58" s="15"/>
      <c r="UZX58" s="25"/>
      <c r="VAE58" s="21"/>
      <c r="VAF58" s="21"/>
      <c r="VAJ58" s="15"/>
      <c r="VAP58" s="25"/>
      <c r="VAW58" s="21"/>
      <c r="VAX58" s="21"/>
      <c r="VBB58" s="15"/>
      <c r="VBH58" s="25"/>
      <c r="VBO58" s="21"/>
      <c r="VBP58" s="21"/>
      <c r="VBT58" s="15"/>
      <c r="VBZ58" s="25"/>
      <c r="VCG58" s="21"/>
      <c r="VCH58" s="21"/>
      <c r="VCL58" s="15"/>
      <c r="VCR58" s="25"/>
      <c r="VCY58" s="21"/>
      <c r="VCZ58" s="21"/>
      <c r="VDD58" s="15"/>
      <c r="VDJ58" s="25"/>
      <c r="VDQ58" s="21"/>
      <c r="VDR58" s="21"/>
      <c r="VDV58" s="15"/>
      <c r="VEB58" s="25"/>
      <c r="VEI58" s="21"/>
      <c r="VEJ58" s="21"/>
      <c r="VEN58" s="15"/>
      <c r="VET58" s="25"/>
      <c r="VFA58" s="21"/>
      <c r="VFB58" s="21"/>
      <c r="VFF58" s="15"/>
      <c r="VFL58" s="25"/>
      <c r="VFS58" s="21"/>
      <c r="VFT58" s="21"/>
      <c r="VFX58" s="15"/>
      <c r="VGD58" s="25"/>
      <c r="VGK58" s="21"/>
      <c r="VGL58" s="21"/>
      <c r="VGP58" s="15"/>
      <c r="VGV58" s="25"/>
      <c r="VHC58" s="21"/>
      <c r="VHD58" s="21"/>
      <c r="VHH58" s="15"/>
      <c r="VHN58" s="25"/>
      <c r="VHU58" s="21"/>
      <c r="VHV58" s="21"/>
      <c r="VHZ58" s="15"/>
      <c r="VIF58" s="25"/>
      <c r="VIM58" s="21"/>
      <c r="VIN58" s="21"/>
      <c r="VIR58" s="15"/>
      <c r="VIX58" s="25"/>
      <c r="VJE58" s="21"/>
      <c r="VJF58" s="21"/>
      <c r="VJJ58" s="15"/>
      <c r="VJP58" s="25"/>
      <c r="VJW58" s="21"/>
      <c r="VJX58" s="21"/>
      <c r="VKB58" s="15"/>
      <c r="VKH58" s="25"/>
      <c r="VKO58" s="21"/>
      <c r="VKP58" s="21"/>
      <c r="VKT58" s="15"/>
      <c r="VKZ58" s="25"/>
      <c r="VLG58" s="21"/>
      <c r="VLH58" s="21"/>
      <c r="VLL58" s="15"/>
      <c r="VLR58" s="25"/>
      <c r="VLY58" s="21"/>
      <c r="VLZ58" s="21"/>
      <c r="VMD58" s="15"/>
      <c r="VMJ58" s="25"/>
      <c r="VMQ58" s="21"/>
      <c r="VMR58" s="21"/>
      <c r="VMV58" s="15"/>
      <c r="VNB58" s="25"/>
      <c r="VNI58" s="21"/>
      <c r="VNJ58" s="21"/>
      <c r="VNN58" s="15"/>
      <c r="VNT58" s="25"/>
      <c r="VOA58" s="21"/>
      <c r="VOB58" s="21"/>
      <c r="VOF58" s="15"/>
      <c r="VOL58" s="25"/>
      <c r="VOS58" s="21"/>
      <c r="VOT58" s="21"/>
      <c r="VOX58" s="15"/>
      <c r="VPD58" s="25"/>
      <c r="VPK58" s="21"/>
      <c r="VPL58" s="21"/>
      <c r="VPP58" s="15"/>
      <c r="VPV58" s="25"/>
      <c r="VQC58" s="21"/>
      <c r="VQD58" s="21"/>
      <c r="VQH58" s="15"/>
      <c r="VQN58" s="25"/>
      <c r="VQU58" s="21"/>
      <c r="VQV58" s="21"/>
      <c r="VQZ58" s="15"/>
      <c r="VRF58" s="25"/>
      <c r="VRM58" s="21"/>
      <c r="VRN58" s="21"/>
      <c r="VRR58" s="15"/>
      <c r="VRX58" s="25"/>
      <c r="VSE58" s="21"/>
      <c r="VSF58" s="21"/>
      <c r="VSJ58" s="15"/>
      <c r="VSP58" s="25"/>
      <c r="VSW58" s="21"/>
      <c r="VSX58" s="21"/>
      <c r="VTB58" s="15"/>
      <c r="VTH58" s="25"/>
      <c r="VTO58" s="21"/>
      <c r="VTP58" s="21"/>
      <c r="VTT58" s="15"/>
      <c r="VTZ58" s="25"/>
      <c r="VUG58" s="21"/>
      <c r="VUH58" s="21"/>
      <c r="VUL58" s="15"/>
      <c r="VUR58" s="25"/>
      <c r="VUY58" s="21"/>
      <c r="VUZ58" s="21"/>
      <c r="VVD58" s="15"/>
      <c r="VVJ58" s="25"/>
      <c r="VVQ58" s="21"/>
      <c r="VVR58" s="21"/>
      <c r="VVV58" s="15"/>
      <c r="VWB58" s="25"/>
      <c r="VWI58" s="21"/>
      <c r="VWJ58" s="21"/>
      <c r="VWN58" s="15"/>
      <c r="VWT58" s="25"/>
      <c r="VXA58" s="21"/>
      <c r="VXB58" s="21"/>
      <c r="VXF58" s="15"/>
      <c r="VXL58" s="25"/>
      <c r="VXS58" s="21"/>
      <c r="VXT58" s="21"/>
      <c r="VXX58" s="15"/>
      <c r="VYD58" s="25"/>
      <c r="VYK58" s="21"/>
      <c r="VYL58" s="21"/>
      <c r="VYP58" s="15"/>
      <c r="VYV58" s="25"/>
      <c r="VZC58" s="21"/>
      <c r="VZD58" s="21"/>
      <c r="VZH58" s="15"/>
      <c r="VZN58" s="25"/>
      <c r="VZU58" s="21"/>
      <c r="VZV58" s="21"/>
      <c r="VZZ58" s="15"/>
      <c r="WAF58" s="25"/>
      <c r="WAM58" s="21"/>
      <c r="WAN58" s="21"/>
      <c r="WAR58" s="15"/>
      <c r="WAX58" s="25"/>
      <c r="WBE58" s="21"/>
      <c r="WBF58" s="21"/>
      <c r="WBJ58" s="15"/>
      <c r="WBP58" s="25"/>
      <c r="WBW58" s="21"/>
      <c r="WBX58" s="21"/>
      <c r="WCB58" s="15"/>
      <c r="WCH58" s="25"/>
      <c r="WCO58" s="21"/>
      <c r="WCP58" s="21"/>
      <c r="WCT58" s="15"/>
      <c r="WCZ58" s="25"/>
      <c r="WDG58" s="21"/>
      <c r="WDH58" s="21"/>
      <c r="WDL58" s="15"/>
      <c r="WDR58" s="25"/>
      <c r="WDY58" s="21"/>
      <c r="WDZ58" s="21"/>
      <c r="WED58" s="15"/>
      <c r="WEJ58" s="25"/>
      <c r="WEQ58" s="21"/>
      <c r="WER58" s="21"/>
      <c r="WEV58" s="15"/>
      <c r="WFB58" s="25"/>
      <c r="WFI58" s="21"/>
      <c r="WFJ58" s="21"/>
      <c r="WFN58" s="15"/>
      <c r="WFT58" s="25"/>
      <c r="WGA58" s="21"/>
      <c r="WGB58" s="21"/>
      <c r="WGF58" s="15"/>
      <c r="WGL58" s="25"/>
      <c r="WGS58" s="21"/>
      <c r="WGT58" s="21"/>
      <c r="WGX58" s="15"/>
      <c r="WHD58" s="25"/>
      <c r="WHK58" s="21"/>
      <c r="WHL58" s="21"/>
      <c r="WHP58" s="15"/>
      <c r="WHV58" s="25"/>
      <c r="WIC58" s="21"/>
      <c r="WID58" s="21"/>
      <c r="WIH58" s="15"/>
      <c r="WIN58" s="25"/>
      <c r="WIU58" s="21"/>
      <c r="WIV58" s="21"/>
      <c r="WIZ58" s="15"/>
      <c r="WJF58" s="25"/>
      <c r="WJM58" s="21"/>
      <c r="WJN58" s="21"/>
      <c r="WJR58" s="15"/>
      <c r="WJX58" s="25"/>
      <c r="WKE58" s="21"/>
      <c r="WKF58" s="21"/>
      <c r="WKJ58" s="15"/>
      <c r="WKP58" s="25"/>
      <c r="WKW58" s="21"/>
      <c r="WKX58" s="21"/>
      <c r="WLB58" s="15"/>
      <c r="WLH58" s="25"/>
      <c r="WLO58" s="21"/>
      <c r="WLP58" s="21"/>
      <c r="WLT58" s="15"/>
      <c r="WLZ58" s="25"/>
      <c r="WMG58" s="21"/>
      <c r="WMH58" s="21"/>
      <c r="WML58" s="15"/>
      <c r="WMR58" s="25"/>
      <c r="WMY58" s="21"/>
      <c r="WMZ58" s="21"/>
      <c r="WND58" s="15"/>
      <c r="WNJ58" s="25"/>
      <c r="WNQ58" s="21"/>
      <c r="WNR58" s="21"/>
      <c r="WNV58" s="15"/>
      <c r="WOB58" s="25"/>
      <c r="WOI58" s="21"/>
      <c r="WOJ58" s="21"/>
      <c r="WON58" s="15"/>
      <c r="WOT58" s="25"/>
      <c r="WPA58" s="21"/>
      <c r="WPB58" s="21"/>
      <c r="WPF58" s="15"/>
      <c r="WPL58" s="25"/>
      <c r="WPS58" s="21"/>
      <c r="WPT58" s="21"/>
      <c r="WPX58" s="15"/>
      <c r="WQD58" s="25"/>
      <c r="WQK58" s="21"/>
      <c r="WQL58" s="21"/>
      <c r="WQP58" s="15"/>
      <c r="WQV58" s="25"/>
      <c r="WRC58" s="21"/>
      <c r="WRD58" s="21"/>
      <c r="WRH58" s="15"/>
      <c r="WRN58" s="25"/>
      <c r="WRU58" s="21"/>
      <c r="WRV58" s="21"/>
      <c r="WRZ58" s="15"/>
      <c r="WSF58" s="25"/>
      <c r="WSM58" s="21"/>
      <c r="WSN58" s="21"/>
      <c r="WSR58" s="15"/>
      <c r="WSX58" s="25"/>
      <c r="WTE58" s="21"/>
      <c r="WTF58" s="21"/>
      <c r="WTJ58" s="15"/>
      <c r="WTP58" s="25"/>
      <c r="WTW58" s="21"/>
      <c r="WTX58" s="21"/>
      <c r="WUB58" s="15"/>
      <c r="WUH58" s="25"/>
      <c r="WUO58" s="21"/>
      <c r="WUP58" s="21"/>
      <c r="WUT58" s="15"/>
      <c r="WUZ58" s="25"/>
      <c r="WVG58" s="21"/>
      <c r="WVH58" s="21"/>
      <c r="WVL58" s="15"/>
      <c r="WVR58" s="25"/>
      <c r="WVY58" s="21"/>
      <c r="WVZ58" s="21"/>
      <c r="WWD58" s="15"/>
      <c r="WWJ58" s="25"/>
      <c r="WWQ58" s="21"/>
      <c r="WWR58" s="21"/>
      <c r="WWV58" s="15"/>
      <c r="WXB58" s="25"/>
      <c r="WXI58" s="21"/>
      <c r="WXJ58" s="21"/>
      <c r="WXN58" s="15"/>
      <c r="WXT58" s="25"/>
      <c r="WYA58" s="21"/>
      <c r="WYB58" s="21"/>
      <c r="WYF58" s="15"/>
      <c r="WYL58" s="25"/>
      <c r="WYS58" s="21"/>
      <c r="WYT58" s="21"/>
      <c r="WYX58" s="15"/>
      <c r="WZD58" s="25"/>
      <c r="WZK58" s="21"/>
      <c r="WZL58" s="21"/>
      <c r="WZP58" s="15"/>
      <c r="WZV58" s="25"/>
      <c r="XAC58" s="21"/>
      <c r="XAD58" s="21"/>
      <c r="XAH58" s="15"/>
      <c r="XAN58" s="25"/>
      <c r="XAU58" s="21"/>
      <c r="XAV58" s="21"/>
      <c r="XAZ58" s="15"/>
      <c r="XBF58" s="25"/>
      <c r="XBM58" s="21"/>
      <c r="XBN58" s="21"/>
      <c r="XBR58" s="15"/>
      <c r="XBX58" s="25"/>
      <c r="XCE58" s="21"/>
      <c r="XCF58" s="21"/>
      <c r="XCJ58" s="15"/>
      <c r="XCP58" s="25"/>
      <c r="XCW58" s="21"/>
      <c r="XCX58" s="21"/>
      <c r="XDB58" s="15"/>
      <c r="XDH58" s="25"/>
      <c r="XDO58" s="21"/>
      <c r="XDP58" s="21"/>
      <c r="XDT58" s="15"/>
      <c r="XDZ58" s="25"/>
      <c r="XEG58" s="21"/>
      <c r="XEH58" s="21"/>
      <c r="XEL58" s="15"/>
      <c r="XER58" s="25"/>
      <c r="XEY58" s="21"/>
      <c r="XEZ58" s="21"/>
      <c r="XFD58" s="15"/>
    </row>
    <row r="59" spans="1:1018 1025:2044 2051:3070 3077:4096 4103:5116 5122:6142 6148:7168 7174:8190 8194:9216 9220:10234 10241:11260 11267:12286 12293:13312 13319:14332 14338:15358 15364:16384" s="24" customFormat="1" ht="15" customHeight="1">
      <c r="A59" s="21" t="s">
        <v>179</v>
      </c>
      <c r="B59" s="12">
        <v>2010</v>
      </c>
      <c r="C59" s="19" t="s">
        <v>171</v>
      </c>
      <c r="D59" s="22" t="s">
        <v>86</v>
      </c>
      <c r="E59" s="19" t="s">
        <v>180</v>
      </c>
      <c r="F59" s="19" t="s">
        <v>35</v>
      </c>
      <c r="G59" s="20">
        <v>875938726</v>
      </c>
      <c r="H59" s="20">
        <v>773021963</v>
      </c>
      <c r="I59" s="19">
        <v>58</v>
      </c>
      <c r="J59" s="52" t="s">
        <v>181</v>
      </c>
      <c r="K59" s="22" t="s">
        <v>26</v>
      </c>
      <c r="L59" s="22"/>
      <c r="M59" s="22" t="s">
        <v>26</v>
      </c>
      <c r="N59" s="12"/>
      <c r="O59" s="22"/>
      <c r="P59" s="12"/>
      <c r="Q59" s="22"/>
      <c r="R59" s="22"/>
      <c r="V59" s="15"/>
      <c r="AB59" s="25"/>
      <c r="AI59" s="21"/>
      <c r="AJ59" s="21"/>
      <c r="AN59" s="15"/>
      <c r="AT59" s="25"/>
      <c r="BA59" s="21"/>
      <c r="BB59" s="21"/>
      <c r="BF59" s="15"/>
      <c r="BL59" s="25"/>
      <c r="BS59" s="21"/>
      <c r="BT59" s="21"/>
      <c r="BX59" s="15"/>
      <c r="CD59" s="25"/>
      <c r="CK59" s="21"/>
      <c r="CL59" s="21"/>
      <c r="CP59" s="15"/>
      <c r="CV59" s="25"/>
      <c r="DC59" s="21"/>
      <c r="DD59" s="21"/>
      <c r="DH59" s="15"/>
      <c r="DN59" s="25"/>
      <c r="DU59" s="21"/>
      <c r="DV59" s="21"/>
      <c r="DZ59" s="15"/>
      <c r="EF59" s="25"/>
      <c r="EM59" s="21"/>
      <c r="EN59" s="21"/>
      <c r="ER59" s="15"/>
      <c r="EX59" s="25"/>
      <c r="FE59" s="21"/>
      <c r="FF59" s="21"/>
      <c r="FJ59" s="15"/>
      <c r="FP59" s="25"/>
      <c r="FW59" s="21"/>
      <c r="FX59" s="21"/>
      <c r="GB59" s="15"/>
      <c r="GH59" s="25"/>
      <c r="GO59" s="21"/>
      <c r="GP59" s="21"/>
      <c r="GT59" s="15"/>
      <c r="GZ59" s="25"/>
      <c r="HG59" s="21"/>
      <c r="HH59" s="21"/>
      <c r="HL59" s="15"/>
      <c r="HR59" s="25"/>
      <c r="HY59" s="21"/>
      <c r="HZ59" s="21"/>
      <c r="ID59" s="15"/>
      <c r="IJ59" s="25"/>
      <c r="IQ59" s="21"/>
      <c r="IR59" s="21"/>
      <c r="IV59" s="15"/>
      <c r="JB59" s="25"/>
      <c r="JI59" s="21"/>
      <c r="JJ59" s="21"/>
      <c r="JN59" s="15"/>
      <c r="JT59" s="25"/>
      <c r="KA59" s="21"/>
      <c r="KB59" s="21"/>
      <c r="KF59" s="15"/>
      <c r="KL59" s="25"/>
      <c r="KS59" s="21"/>
      <c r="KT59" s="21"/>
      <c r="KX59" s="15"/>
      <c r="LD59" s="25"/>
      <c r="LK59" s="21"/>
      <c r="LL59" s="21"/>
      <c r="LP59" s="15"/>
      <c r="LV59" s="25"/>
      <c r="MC59" s="21"/>
      <c r="MD59" s="21"/>
      <c r="MH59" s="15"/>
      <c r="MN59" s="25"/>
      <c r="MU59" s="21"/>
      <c r="MV59" s="21"/>
      <c r="MZ59" s="15"/>
      <c r="NF59" s="25"/>
      <c r="NM59" s="21"/>
      <c r="NN59" s="21"/>
      <c r="NR59" s="15"/>
      <c r="NX59" s="25"/>
      <c r="OE59" s="21"/>
      <c r="OF59" s="21"/>
      <c r="OJ59" s="15"/>
      <c r="OP59" s="25"/>
      <c r="OW59" s="21"/>
      <c r="OX59" s="21"/>
      <c r="PB59" s="15"/>
      <c r="PH59" s="25"/>
      <c r="PO59" s="21"/>
      <c r="PP59" s="21"/>
      <c r="PT59" s="15"/>
      <c r="PZ59" s="25"/>
      <c r="QG59" s="21"/>
      <c r="QH59" s="21"/>
      <c r="QL59" s="15"/>
      <c r="QR59" s="25"/>
      <c r="QY59" s="21"/>
      <c r="QZ59" s="21"/>
      <c r="RD59" s="15"/>
      <c r="RJ59" s="25"/>
      <c r="RQ59" s="21"/>
      <c r="RR59" s="21"/>
      <c r="RV59" s="15"/>
      <c r="SB59" s="25"/>
      <c r="SI59" s="21"/>
      <c r="SJ59" s="21"/>
      <c r="SN59" s="15"/>
      <c r="ST59" s="25"/>
      <c r="TA59" s="21"/>
      <c r="TB59" s="21"/>
      <c r="TF59" s="15"/>
      <c r="TL59" s="25"/>
      <c r="TS59" s="21"/>
      <c r="TT59" s="21"/>
      <c r="TX59" s="15"/>
      <c r="UD59" s="25"/>
      <c r="UK59" s="21"/>
      <c r="UL59" s="21"/>
      <c r="UP59" s="15"/>
      <c r="UV59" s="25"/>
      <c r="VC59" s="21"/>
      <c r="VD59" s="21"/>
      <c r="VH59" s="15"/>
      <c r="VN59" s="25"/>
      <c r="VU59" s="21"/>
      <c r="VV59" s="21"/>
      <c r="VZ59" s="15"/>
      <c r="WF59" s="25"/>
      <c r="WM59" s="21"/>
      <c r="WN59" s="21"/>
      <c r="WR59" s="15"/>
      <c r="WX59" s="25"/>
      <c r="XE59" s="21"/>
      <c r="XF59" s="21"/>
      <c r="XJ59" s="15"/>
      <c r="XP59" s="25"/>
      <c r="XW59" s="21"/>
      <c r="XX59" s="21"/>
      <c r="YB59" s="15"/>
      <c r="YH59" s="25"/>
      <c r="YO59" s="21"/>
      <c r="YP59" s="21"/>
      <c r="YT59" s="15"/>
      <c r="YZ59" s="25"/>
      <c r="ZG59" s="21"/>
      <c r="ZH59" s="21"/>
      <c r="ZL59" s="15"/>
      <c r="ZR59" s="25"/>
      <c r="ZY59" s="21"/>
      <c r="ZZ59" s="21"/>
      <c r="AAD59" s="15"/>
      <c r="AAJ59" s="25"/>
      <c r="AAQ59" s="21"/>
      <c r="AAR59" s="21"/>
      <c r="AAV59" s="15"/>
      <c r="ABB59" s="25"/>
      <c r="ABI59" s="21"/>
      <c r="ABJ59" s="21"/>
      <c r="ABN59" s="15"/>
      <c r="ABT59" s="25"/>
      <c r="ACA59" s="21"/>
      <c r="ACB59" s="21"/>
      <c r="ACF59" s="15"/>
      <c r="ACL59" s="25"/>
      <c r="ACS59" s="21"/>
      <c r="ACT59" s="21"/>
      <c r="ACX59" s="15"/>
      <c r="ADD59" s="25"/>
      <c r="ADK59" s="21"/>
      <c r="ADL59" s="21"/>
      <c r="ADP59" s="15"/>
      <c r="ADV59" s="25"/>
      <c r="AEC59" s="21"/>
      <c r="AED59" s="21"/>
      <c r="AEH59" s="15"/>
      <c r="AEN59" s="25"/>
      <c r="AEU59" s="21"/>
      <c r="AEV59" s="21"/>
      <c r="AEZ59" s="15"/>
      <c r="AFF59" s="25"/>
      <c r="AFM59" s="21"/>
      <c r="AFN59" s="21"/>
      <c r="AFR59" s="15"/>
      <c r="AFX59" s="25"/>
      <c r="AGE59" s="21"/>
      <c r="AGF59" s="21"/>
      <c r="AGJ59" s="15"/>
      <c r="AGP59" s="25"/>
      <c r="AGW59" s="21"/>
      <c r="AGX59" s="21"/>
      <c r="AHB59" s="15"/>
      <c r="AHH59" s="25"/>
      <c r="AHO59" s="21"/>
      <c r="AHP59" s="21"/>
      <c r="AHT59" s="15"/>
      <c r="AHZ59" s="25"/>
      <c r="AIG59" s="21"/>
      <c r="AIH59" s="21"/>
      <c r="AIL59" s="15"/>
      <c r="AIR59" s="25"/>
      <c r="AIY59" s="21"/>
      <c r="AIZ59" s="21"/>
      <c r="AJD59" s="15"/>
      <c r="AJJ59" s="25"/>
      <c r="AJQ59" s="21"/>
      <c r="AJR59" s="21"/>
      <c r="AJV59" s="15"/>
      <c r="AKB59" s="25"/>
      <c r="AKI59" s="21"/>
      <c r="AKJ59" s="21"/>
      <c r="AKN59" s="15"/>
      <c r="AKT59" s="25"/>
      <c r="ALA59" s="21"/>
      <c r="ALB59" s="21"/>
      <c r="ALF59" s="15"/>
      <c r="ALL59" s="25"/>
      <c r="ALS59" s="21"/>
      <c r="ALT59" s="21"/>
      <c r="ALX59" s="15"/>
      <c r="AMD59" s="25"/>
      <c r="AMK59" s="21"/>
      <c r="AML59" s="21"/>
      <c r="AMP59" s="15"/>
      <c r="AMV59" s="25"/>
      <c r="ANC59" s="21"/>
      <c r="AND59" s="21"/>
      <c r="ANH59" s="15"/>
      <c r="ANN59" s="25"/>
      <c r="ANU59" s="21"/>
      <c r="ANV59" s="21"/>
      <c r="ANZ59" s="15"/>
      <c r="AOF59" s="25"/>
      <c r="AOM59" s="21"/>
      <c r="AON59" s="21"/>
      <c r="AOR59" s="15"/>
      <c r="AOX59" s="25"/>
      <c r="APE59" s="21"/>
      <c r="APF59" s="21"/>
      <c r="APJ59" s="15"/>
      <c r="APP59" s="25"/>
      <c r="APW59" s="21"/>
      <c r="APX59" s="21"/>
      <c r="AQB59" s="15"/>
      <c r="AQH59" s="25"/>
      <c r="AQO59" s="21"/>
      <c r="AQP59" s="21"/>
      <c r="AQT59" s="15"/>
      <c r="AQZ59" s="25"/>
      <c r="ARG59" s="21"/>
      <c r="ARH59" s="21"/>
      <c r="ARL59" s="15"/>
      <c r="ARR59" s="25"/>
      <c r="ARY59" s="21"/>
      <c r="ARZ59" s="21"/>
      <c r="ASD59" s="15"/>
      <c r="ASJ59" s="25"/>
      <c r="ASQ59" s="21"/>
      <c r="ASR59" s="21"/>
      <c r="ASV59" s="15"/>
      <c r="ATB59" s="25"/>
      <c r="ATI59" s="21"/>
      <c r="ATJ59" s="21"/>
      <c r="ATN59" s="15"/>
      <c r="ATT59" s="25"/>
      <c r="AUA59" s="21"/>
      <c r="AUB59" s="21"/>
      <c r="AUF59" s="15"/>
      <c r="AUL59" s="25"/>
      <c r="AUS59" s="21"/>
      <c r="AUT59" s="21"/>
      <c r="AUX59" s="15"/>
      <c r="AVD59" s="25"/>
      <c r="AVK59" s="21"/>
      <c r="AVL59" s="21"/>
      <c r="AVP59" s="15"/>
      <c r="AVV59" s="25"/>
      <c r="AWC59" s="21"/>
      <c r="AWD59" s="21"/>
      <c r="AWH59" s="15"/>
      <c r="AWN59" s="25"/>
      <c r="AWU59" s="21"/>
      <c r="AWV59" s="21"/>
      <c r="AWZ59" s="15"/>
      <c r="AXF59" s="25"/>
      <c r="AXM59" s="21"/>
      <c r="AXN59" s="21"/>
      <c r="AXR59" s="15"/>
      <c r="AXX59" s="25"/>
      <c r="AYE59" s="21"/>
      <c r="AYF59" s="21"/>
      <c r="AYJ59" s="15"/>
      <c r="AYP59" s="25"/>
      <c r="AYW59" s="21"/>
      <c r="AYX59" s="21"/>
      <c r="AZB59" s="15"/>
      <c r="AZH59" s="25"/>
      <c r="AZO59" s="21"/>
      <c r="AZP59" s="21"/>
      <c r="AZT59" s="15"/>
      <c r="AZZ59" s="25"/>
      <c r="BAG59" s="21"/>
      <c r="BAH59" s="21"/>
      <c r="BAL59" s="15"/>
      <c r="BAR59" s="25"/>
      <c r="BAY59" s="21"/>
      <c r="BAZ59" s="21"/>
      <c r="BBD59" s="15"/>
      <c r="BBJ59" s="25"/>
      <c r="BBQ59" s="21"/>
      <c r="BBR59" s="21"/>
      <c r="BBV59" s="15"/>
      <c r="BCB59" s="25"/>
      <c r="BCI59" s="21"/>
      <c r="BCJ59" s="21"/>
      <c r="BCN59" s="15"/>
      <c r="BCT59" s="25"/>
      <c r="BDA59" s="21"/>
      <c r="BDB59" s="21"/>
      <c r="BDF59" s="15"/>
      <c r="BDL59" s="25"/>
      <c r="BDS59" s="21"/>
      <c r="BDT59" s="21"/>
      <c r="BDX59" s="15"/>
      <c r="BED59" s="25"/>
      <c r="BEK59" s="21"/>
      <c r="BEL59" s="21"/>
      <c r="BEP59" s="15"/>
      <c r="BEV59" s="25"/>
      <c r="BFC59" s="21"/>
      <c r="BFD59" s="21"/>
      <c r="BFH59" s="15"/>
      <c r="BFN59" s="25"/>
      <c r="BFU59" s="21"/>
      <c r="BFV59" s="21"/>
      <c r="BFZ59" s="15"/>
      <c r="BGF59" s="25"/>
      <c r="BGM59" s="21"/>
      <c r="BGN59" s="21"/>
      <c r="BGR59" s="15"/>
      <c r="BGX59" s="25"/>
      <c r="BHE59" s="21"/>
      <c r="BHF59" s="21"/>
      <c r="BHJ59" s="15"/>
      <c r="BHP59" s="25"/>
      <c r="BHW59" s="21"/>
      <c r="BHX59" s="21"/>
      <c r="BIB59" s="15"/>
      <c r="BIH59" s="25"/>
      <c r="BIO59" s="21"/>
      <c r="BIP59" s="21"/>
      <c r="BIT59" s="15"/>
      <c r="BIZ59" s="25"/>
      <c r="BJG59" s="21"/>
      <c r="BJH59" s="21"/>
      <c r="BJL59" s="15"/>
      <c r="BJR59" s="25"/>
      <c r="BJY59" s="21"/>
      <c r="BJZ59" s="21"/>
      <c r="BKD59" s="15"/>
      <c r="BKJ59" s="25"/>
      <c r="BKQ59" s="21"/>
      <c r="BKR59" s="21"/>
      <c r="BKV59" s="15"/>
      <c r="BLB59" s="25"/>
      <c r="BLI59" s="21"/>
      <c r="BLJ59" s="21"/>
      <c r="BLN59" s="15"/>
      <c r="BLT59" s="25"/>
      <c r="BMA59" s="21"/>
      <c r="BMB59" s="21"/>
      <c r="BMF59" s="15"/>
      <c r="BML59" s="25"/>
      <c r="BMS59" s="21"/>
      <c r="BMT59" s="21"/>
      <c r="BMX59" s="15"/>
      <c r="BND59" s="25"/>
      <c r="BNK59" s="21"/>
      <c r="BNL59" s="21"/>
      <c r="BNP59" s="15"/>
      <c r="BNV59" s="25"/>
      <c r="BOC59" s="21"/>
      <c r="BOD59" s="21"/>
      <c r="BOH59" s="15"/>
      <c r="BON59" s="25"/>
      <c r="BOU59" s="21"/>
      <c r="BOV59" s="21"/>
      <c r="BOZ59" s="15"/>
      <c r="BPF59" s="25"/>
      <c r="BPM59" s="21"/>
      <c r="BPN59" s="21"/>
      <c r="BPR59" s="15"/>
      <c r="BPX59" s="25"/>
      <c r="BQE59" s="21"/>
      <c r="BQF59" s="21"/>
      <c r="BQJ59" s="15"/>
      <c r="BQP59" s="25"/>
      <c r="BQW59" s="21"/>
      <c r="BQX59" s="21"/>
      <c r="BRB59" s="15"/>
      <c r="BRH59" s="25"/>
      <c r="BRO59" s="21"/>
      <c r="BRP59" s="21"/>
      <c r="BRT59" s="15"/>
      <c r="BRZ59" s="25"/>
      <c r="BSG59" s="21"/>
      <c r="BSH59" s="21"/>
      <c r="BSL59" s="15"/>
      <c r="BSR59" s="25"/>
      <c r="BSY59" s="21"/>
      <c r="BSZ59" s="21"/>
      <c r="BTD59" s="15"/>
      <c r="BTJ59" s="25"/>
      <c r="BTQ59" s="21"/>
      <c r="BTR59" s="21"/>
      <c r="BTV59" s="15"/>
      <c r="BUB59" s="25"/>
      <c r="BUI59" s="21"/>
      <c r="BUJ59" s="21"/>
      <c r="BUN59" s="15"/>
      <c r="BUT59" s="25"/>
      <c r="BVA59" s="21"/>
      <c r="BVB59" s="21"/>
      <c r="BVF59" s="15"/>
      <c r="BVL59" s="25"/>
      <c r="BVS59" s="21"/>
      <c r="BVT59" s="21"/>
      <c r="BVX59" s="15"/>
      <c r="BWD59" s="25"/>
      <c r="BWK59" s="21"/>
      <c r="BWL59" s="21"/>
      <c r="BWP59" s="15"/>
      <c r="BWV59" s="25"/>
      <c r="BXC59" s="21"/>
      <c r="BXD59" s="21"/>
      <c r="BXH59" s="15"/>
      <c r="BXN59" s="25"/>
      <c r="BXU59" s="21"/>
      <c r="BXV59" s="21"/>
      <c r="BXZ59" s="15"/>
      <c r="BYF59" s="25"/>
      <c r="BYM59" s="21"/>
      <c r="BYN59" s="21"/>
      <c r="BYR59" s="15"/>
      <c r="BYX59" s="25"/>
      <c r="BZE59" s="21"/>
      <c r="BZF59" s="21"/>
      <c r="BZJ59" s="15"/>
      <c r="BZP59" s="25"/>
      <c r="BZW59" s="21"/>
      <c r="BZX59" s="21"/>
      <c r="CAB59" s="15"/>
      <c r="CAH59" s="25"/>
      <c r="CAO59" s="21"/>
      <c r="CAP59" s="21"/>
      <c r="CAT59" s="15"/>
      <c r="CAZ59" s="25"/>
      <c r="CBG59" s="21"/>
      <c r="CBH59" s="21"/>
      <c r="CBL59" s="15"/>
      <c r="CBR59" s="25"/>
      <c r="CBY59" s="21"/>
      <c r="CBZ59" s="21"/>
      <c r="CCD59" s="15"/>
      <c r="CCJ59" s="25"/>
      <c r="CCQ59" s="21"/>
      <c r="CCR59" s="21"/>
      <c r="CCV59" s="15"/>
      <c r="CDB59" s="25"/>
      <c r="CDI59" s="21"/>
      <c r="CDJ59" s="21"/>
      <c r="CDN59" s="15"/>
      <c r="CDT59" s="25"/>
      <c r="CEA59" s="21"/>
      <c r="CEB59" s="21"/>
      <c r="CEF59" s="15"/>
      <c r="CEL59" s="25"/>
      <c r="CES59" s="21"/>
      <c r="CET59" s="21"/>
      <c r="CEX59" s="15"/>
      <c r="CFD59" s="25"/>
      <c r="CFK59" s="21"/>
      <c r="CFL59" s="21"/>
      <c r="CFP59" s="15"/>
      <c r="CFV59" s="25"/>
      <c r="CGC59" s="21"/>
      <c r="CGD59" s="21"/>
      <c r="CGH59" s="15"/>
      <c r="CGN59" s="25"/>
      <c r="CGU59" s="21"/>
      <c r="CGV59" s="21"/>
      <c r="CGZ59" s="15"/>
      <c r="CHF59" s="25"/>
      <c r="CHM59" s="21"/>
      <c r="CHN59" s="21"/>
      <c r="CHR59" s="15"/>
      <c r="CHX59" s="25"/>
      <c r="CIE59" s="21"/>
      <c r="CIF59" s="21"/>
      <c r="CIJ59" s="15"/>
      <c r="CIP59" s="25"/>
      <c r="CIW59" s="21"/>
      <c r="CIX59" s="21"/>
      <c r="CJB59" s="15"/>
      <c r="CJH59" s="25"/>
      <c r="CJO59" s="21"/>
      <c r="CJP59" s="21"/>
      <c r="CJT59" s="15"/>
      <c r="CJZ59" s="25"/>
      <c r="CKG59" s="21"/>
      <c r="CKH59" s="21"/>
      <c r="CKL59" s="15"/>
      <c r="CKR59" s="25"/>
      <c r="CKY59" s="21"/>
      <c r="CKZ59" s="21"/>
      <c r="CLD59" s="15"/>
      <c r="CLJ59" s="25"/>
      <c r="CLQ59" s="21"/>
      <c r="CLR59" s="21"/>
      <c r="CLV59" s="15"/>
      <c r="CMB59" s="25"/>
      <c r="CMI59" s="21"/>
      <c r="CMJ59" s="21"/>
      <c r="CMN59" s="15"/>
      <c r="CMT59" s="25"/>
      <c r="CNA59" s="21"/>
      <c r="CNB59" s="21"/>
      <c r="CNF59" s="15"/>
      <c r="CNL59" s="25"/>
      <c r="CNS59" s="21"/>
      <c r="CNT59" s="21"/>
      <c r="CNX59" s="15"/>
      <c r="COD59" s="25"/>
      <c r="COK59" s="21"/>
      <c r="COL59" s="21"/>
      <c r="COP59" s="15"/>
      <c r="COV59" s="25"/>
      <c r="CPC59" s="21"/>
      <c r="CPD59" s="21"/>
      <c r="CPH59" s="15"/>
      <c r="CPN59" s="25"/>
      <c r="CPU59" s="21"/>
      <c r="CPV59" s="21"/>
      <c r="CPZ59" s="15"/>
      <c r="CQF59" s="25"/>
      <c r="CQM59" s="21"/>
      <c r="CQN59" s="21"/>
      <c r="CQR59" s="15"/>
      <c r="CQX59" s="25"/>
      <c r="CRE59" s="21"/>
      <c r="CRF59" s="21"/>
      <c r="CRJ59" s="15"/>
      <c r="CRP59" s="25"/>
      <c r="CRW59" s="21"/>
      <c r="CRX59" s="21"/>
      <c r="CSB59" s="15"/>
      <c r="CSH59" s="25"/>
      <c r="CSO59" s="21"/>
      <c r="CSP59" s="21"/>
      <c r="CST59" s="15"/>
      <c r="CSZ59" s="25"/>
      <c r="CTG59" s="21"/>
      <c r="CTH59" s="21"/>
      <c r="CTL59" s="15"/>
      <c r="CTR59" s="25"/>
      <c r="CTY59" s="21"/>
      <c r="CTZ59" s="21"/>
      <c r="CUD59" s="15"/>
      <c r="CUJ59" s="25"/>
      <c r="CUQ59" s="21"/>
      <c r="CUR59" s="21"/>
      <c r="CUV59" s="15"/>
      <c r="CVB59" s="25"/>
      <c r="CVI59" s="21"/>
      <c r="CVJ59" s="21"/>
      <c r="CVN59" s="15"/>
      <c r="CVT59" s="25"/>
      <c r="CWA59" s="21"/>
      <c r="CWB59" s="21"/>
      <c r="CWF59" s="15"/>
      <c r="CWL59" s="25"/>
      <c r="CWS59" s="21"/>
      <c r="CWT59" s="21"/>
      <c r="CWX59" s="15"/>
      <c r="CXD59" s="25"/>
      <c r="CXK59" s="21"/>
      <c r="CXL59" s="21"/>
      <c r="CXP59" s="15"/>
      <c r="CXV59" s="25"/>
      <c r="CYC59" s="21"/>
      <c r="CYD59" s="21"/>
      <c r="CYH59" s="15"/>
      <c r="CYN59" s="25"/>
      <c r="CYU59" s="21"/>
      <c r="CYV59" s="21"/>
      <c r="CYZ59" s="15"/>
      <c r="CZF59" s="25"/>
      <c r="CZM59" s="21"/>
      <c r="CZN59" s="21"/>
      <c r="CZR59" s="15"/>
      <c r="CZX59" s="25"/>
      <c r="DAE59" s="21"/>
      <c r="DAF59" s="21"/>
      <c r="DAJ59" s="15"/>
      <c r="DAP59" s="25"/>
      <c r="DAW59" s="21"/>
      <c r="DAX59" s="21"/>
      <c r="DBB59" s="15"/>
      <c r="DBH59" s="25"/>
      <c r="DBO59" s="21"/>
      <c r="DBP59" s="21"/>
      <c r="DBT59" s="15"/>
      <c r="DBZ59" s="25"/>
      <c r="DCG59" s="21"/>
      <c r="DCH59" s="21"/>
      <c r="DCL59" s="15"/>
      <c r="DCR59" s="25"/>
      <c r="DCY59" s="21"/>
      <c r="DCZ59" s="21"/>
      <c r="DDD59" s="15"/>
      <c r="DDJ59" s="25"/>
      <c r="DDQ59" s="21"/>
      <c r="DDR59" s="21"/>
      <c r="DDV59" s="15"/>
      <c r="DEB59" s="25"/>
      <c r="DEI59" s="21"/>
      <c r="DEJ59" s="21"/>
      <c r="DEN59" s="15"/>
      <c r="DET59" s="25"/>
      <c r="DFA59" s="21"/>
      <c r="DFB59" s="21"/>
      <c r="DFF59" s="15"/>
      <c r="DFL59" s="25"/>
      <c r="DFS59" s="21"/>
      <c r="DFT59" s="21"/>
      <c r="DFX59" s="15"/>
      <c r="DGD59" s="25"/>
      <c r="DGK59" s="21"/>
      <c r="DGL59" s="21"/>
      <c r="DGP59" s="15"/>
      <c r="DGV59" s="25"/>
      <c r="DHC59" s="21"/>
      <c r="DHD59" s="21"/>
      <c r="DHH59" s="15"/>
      <c r="DHN59" s="25"/>
      <c r="DHU59" s="21"/>
      <c r="DHV59" s="21"/>
      <c r="DHZ59" s="15"/>
      <c r="DIF59" s="25"/>
      <c r="DIM59" s="21"/>
      <c r="DIN59" s="21"/>
      <c r="DIR59" s="15"/>
      <c r="DIX59" s="25"/>
      <c r="DJE59" s="21"/>
      <c r="DJF59" s="21"/>
      <c r="DJJ59" s="15"/>
      <c r="DJP59" s="25"/>
      <c r="DJW59" s="21"/>
      <c r="DJX59" s="21"/>
      <c r="DKB59" s="15"/>
      <c r="DKH59" s="25"/>
      <c r="DKO59" s="21"/>
      <c r="DKP59" s="21"/>
      <c r="DKT59" s="15"/>
      <c r="DKZ59" s="25"/>
      <c r="DLG59" s="21"/>
      <c r="DLH59" s="21"/>
      <c r="DLL59" s="15"/>
      <c r="DLR59" s="25"/>
      <c r="DLY59" s="21"/>
      <c r="DLZ59" s="21"/>
      <c r="DMD59" s="15"/>
      <c r="DMJ59" s="25"/>
      <c r="DMQ59" s="21"/>
      <c r="DMR59" s="21"/>
      <c r="DMV59" s="15"/>
      <c r="DNB59" s="25"/>
      <c r="DNI59" s="21"/>
      <c r="DNJ59" s="21"/>
      <c r="DNN59" s="15"/>
      <c r="DNT59" s="25"/>
      <c r="DOA59" s="21"/>
      <c r="DOB59" s="21"/>
      <c r="DOF59" s="15"/>
      <c r="DOL59" s="25"/>
      <c r="DOS59" s="21"/>
      <c r="DOT59" s="21"/>
      <c r="DOX59" s="15"/>
      <c r="DPD59" s="25"/>
      <c r="DPK59" s="21"/>
      <c r="DPL59" s="21"/>
      <c r="DPP59" s="15"/>
      <c r="DPV59" s="25"/>
      <c r="DQC59" s="21"/>
      <c r="DQD59" s="21"/>
      <c r="DQH59" s="15"/>
      <c r="DQN59" s="25"/>
      <c r="DQU59" s="21"/>
      <c r="DQV59" s="21"/>
      <c r="DQZ59" s="15"/>
      <c r="DRF59" s="25"/>
      <c r="DRM59" s="21"/>
      <c r="DRN59" s="21"/>
      <c r="DRR59" s="15"/>
      <c r="DRX59" s="25"/>
      <c r="DSE59" s="21"/>
      <c r="DSF59" s="21"/>
      <c r="DSJ59" s="15"/>
      <c r="DSP59" s="25"/>
      <c r="DSW59" s="21"/>
      <c r="DSX59" s="21"/>
      <c r="DTB59" s="15"/>
      <c r="DTH59" s="25"/>
      <c r="DTO59" s="21"/>
      <c r="DTP59" s="21"/>
      <c r="DTT59" s="15"/>
      <c r="DTZ59" s="25"/>
      <c r="DUG59" s="21"/>
      <c r="DUH59" s="21"/>
      <c r="DUL59" s="15"/>
      <c r="DUR59" s="25"/>
      <c r="DUY59" s="21"/>
      <c r="DUZ59" s="21"/>
      <c r="DVD59" s="15"/>
      <c r="DVJ59" s="25"/>
      <c r="DVQ59" s="21"/>
      <c r="DVR59" s="21"/>
      <c r="DVV59" s="15"/>
      <c r="DWB59" s="25"/>
      <c r="DWI59" s="21"/>
      <c r="DWJ59" s="21"/>
      <c r="DWN59" s="15"/>
      <c r="DWT59" s="25"/>
      <c r="DXA59" s="21"/>
      <c r="DXB59" s="21"/>
      <c r="DXF59" s="15"/>
      <c r="DXL59" s="25"/>
      <c r="DXS59" s="21"/>
      <c r="DXT59" s="21"/>
      <c r="DXX59" s="15"/>
      <c r="DYD59" s="25"/>
      <c r="DYK59" s="21"/>
      <c r="DYL59" s="21"/>
      <c r="DYP59" s="15"/>
      <c r="DYV59" s="25"/>
      <c r="DZC59" s="21"/>
      <c r="DZD59" s="21"/>
      <c r="DZH59" s="15"/>
      <c r="DZN59" s="25"/>
      <c r="DZU59" s="21"/>
      <c r="DZV59" s="21"/>
      <c r="DZZ59" s="15"/>
      <c r="EAF59" s="25"/>
      <c r="EAM59" s="21"/>
      <c r="EAN59" s="21"/>
      <c r="EAR59" s="15"/>
      <c r="EAX59" s="25"/>
      <c r="EBE59" s="21"/>
      <c r="EBF59" s="21"/>
      <c r="EBJ59" s="15"/>
      <c r="EBP59" s="25"/>
      <c r="EBW59" s="21"/>
      <c r="EBX59" s="21"/>
      <c r="ECB59" s="15"/>
      <c r="ECH59" s="25"/>
      <c r="ECO59" s="21"/>
      <c r="ECP59" s="21"/>
      <c r="ECT59" s="15"/>
      <c r="ECZ59" s="25"/>
      <c r="EDG59" s="21"/>
      <c r="EDH59" s="21"/>
      <c r="EDL59" s="15"/>
      <c r="EDR59" s="25"/>
      <c r="EDY59" s="21"/>
      <c r="EDZ59" s="21"/>
      <c r="EED59" s="15"/>
      <c r="EEJ59" s="25"/>
      <c r="EEQ59" s="21"/>
      <c r="EER59" s="21"/>
      <c r="EEV59" s="15"/>
      <c r="EFB59" s="25"/>
      <c r="EFI59" s="21"/>
      <c r="EFJ59" s="21"/>
      <c r="EFN59" s="15"/>
      <c r="EFT59" s="25"/>
      <c r="EGA59" s="21"/>
      <c r="EGB59" s="21"/>
      <c r="EGF59" s="15"/>
      <c r="EGL59" s="25"/>
      <c r="EGS59" s="21"/>
      <c r="EGT59" s="21"/>
      <c r="EGX59" s="15"/>
      <c r="EHD59" s="25"/>
      <c r="EHK59" s="21"/>
      <c r="EHL59" s="21"/>
      <c r="EHP59" s="15"/>
      <c r="EHV59" s="25"/>
      <c r="EIC59" s="21"/>
      <c r="EID59" s="21"/>
      <c r="EIH59" s="15"/>
      <c r="EIN59" s="25"/>
      <c r="EIU59" s="21"/>
      <c r="EIV59" s="21"/>
      <c r="EIZ59" s="15"/>
      <c r="EJF59" s="25"/>
      <c r="EJM59" s="21"/>
      <c r="EJN59" s="21"/>
      <c r="EJR59" s="15"/>
      <c r="EJX59" s="25"/>
      <c r="EKE59" s="21"/>
      <c r="EKF59" s="21"/>
      <c r="EKJ59" s="15"/>
      <c r="EKP59" s="25"/>
      <c r="EKW59" s="21"/>
      <c r="EKX59" s="21"/>
      <c r="ELB59" s="15"/>
      <c r="ELH59" s="25"/>
      <c r="ELO59" s="21"/>
      <c r="ELP59" s="21"/>
      <c r="ELT59" s="15"/>
      <c r="ELZ59" s="25"/>
      <c r="EMG59" s="21"/>
      <c r="EMH59" s="21"/>
      <c r="EML59" s="15"/>
      <c r="EMR59" s="25"/>
      <c r="EMY59" s="21"/>
      <c r="EMZ59" s="21"/>
      <c r="END59" s="15"/>
      <c r="ENJ59" s="25"/>
      <c r="ENQ59" s="21"/>
      <c r="ENR59" s="21"/>
      <c r="ENV59" s="15"/>
      <c r="EOB59" s="25"/>
      <c r="EOI59" s="21"/>
      <c r="EOJ59" s="21"/>
      <c r="EON59" s="15"/>
      <c r="EOT59" s="25"/>
      <c r="EPA59" s="21"/>
      <c r="EPB59" s="21"/>
      <c r="EPF59" s="15"/>
      <c r="EPL59" s="25"/>
      <c r="EPS59" s="21"/>
      <c r="EPT59" s="21"/>
      <c r="EPX59" s="15"/>
      <c r="EQD59" s="25"/>
      <c r="EQK59" s="21"/>
      <c r="EQL59" s="21"/>
      <c r="EQP59" s="15"/>
      <c r="EQV59" s="25"/>
      <c r="ERC59" s="21"/>
      <c r="ERD59" s="21"/>
      <c r="ERH59" s="15"/>
      <c r="ERN59" s="25"/>
      <c r="ERU59" s="21"/>
      <c r="ERV59" s="21"/>
      <c r="ERZ59" s="15"/>
      <c r="ESF59" s="25"/>
      <c r="ESM59" s="21"/>
      <c r="ESN59" s="21"/>
      <c r="ESR59" s="15"/>
      <c r="ESX59" s="25"/>
      <c r="ETE59" s="21"/>
      <c r="ETF59" s="21"/>
      <c r="ETJ59" s="15"/>
      <c r="ETP59" s="25"/>
      <c r="ETW59" s="21"/>
      <c r="ETX59" s="21"/>
      <c r="EUB59" s="15"/>
      <c r="EUH59" s="25"/>
      <c r="EUO59" s="21"/>
      <c r="EUP59" s="21"/>
      <c r="EUT59" s="15"/>
      <c r="EUZ59" s="25"/>
      <c r="EVG59" s="21"/>
      <c r="EVH59" s="21"/>
      <c r="EVL59" s="15"/>
      <c r="EVR59" s="25"/>
      <c r="EVY59" s="21"/>
      <c r="EVZ59" s="21"/>
      <c r="EWD59" s="15"/>
      <c r="EWJ59" s="25"/>
      <c r="EWQ59" s="21"/>
      <c r="EWR59" s="21"/>
      <c r="EWV59" s="15"/>
      <c r="EXB59" s="25"/>
      <c r="EXI59" s="21"/>
      <c r="EXJ59" s="21"/>
      <c r="EXN59" s="15"/>
      <c r="EXT59" s="25"/>
      <c r="EYA59" s="21"/>
      <c r="EYB59" s="21"/>
      <c r="EYF59" s="15"/>
      <c r="EYL59" s="25"/>
      <c r="EYS59" s="21"/>
      <c r="EYT59" s="21"/>
      <c r="EYX59" s="15"/>
      <c r="EZD59" s="25"/>
      <c r="EZK59" s="21"/>
      <c r="EZL59" s="21"/>
      <c r="EZP59" s="15"/>
      <c r="EZV59" s="25"/>
      <c r="FAC59" s="21"/>
      <c r="FAD59" s="21"/>
      <c r="FAH59" s="15"/>
      <c r="FAN59" s="25"/>
      <c r="FAU59" s="21"/>
      <c r="FAV59" s="21"/>
      <c r="FAZ59" s="15"/>
      <c r="FBF59" s="25"/>
      <c r="FBM59" s="21"/>
      <c r="FBN59" s="21"/>
      <c r="FBR59" s="15"/>
      <c r="FBX59" s="25"/>
      <c r="FCE59" s="21"/>
      <c r="FCF59" s="21"/>
      <c r="FCJ59" s="15"/>
      <c r="FCP59" s="25"/>
      <c r="FCW59" s="21"/>
      <c r="FCX59" s="21"/>
      <c r="FDB59" s="15"/>
      <c r="FDH59" s="25"/>
      <c r="FDO59" s="21"/>
      <c r="FDP59" s="21"/>
      <c r="FDT59" s="15"/>
      <c r="FDZ59" s="25"/>
      <c r="FEG59" s="21"/>
      <c r="FEH59" s="21"/>
      <c r="FEL59" s="15"/>
      <c r="FER59" s="25"/>
      <c r="FEY59" s="21"/>
      <c r="FEZ59" s="21"/>
      <c r="FFD59" s="15"/>
      <c r="FFJ59" s="25"/>
      <c r="FFQ59" s="21"/>
      <c r="FFR59" s="21"/>
      <c r="FFV59" s="15"/>
      <c r="FGB59" s="25"/>
      <c r="FGI59" s="21"/>
      <c r="FGJ59" s="21"/>
      <c r="FGN59" s="15"/>
      <c r="FGT59" s="25"/>
      <c r="FHA59" s="21"/>
      <c r="FHB59" s="21"/>
      <c r="FHF59" s="15"/>
      <c r="FHL59" s="25"/>
      <c r="FHS59" s="21"/>
      <c r="FHT59" s="21"/>
      <c r="FHX59" s="15"/>
      <c r="FID59" s="25"/>
      <c r="FIK59" s="21"/>
      <c r="FIL59" s="21"/>
      <c r="FIP59" s="15"/>
      <c r="FIV59" s="25"/>
      <c r="FJC59" s="21"/>
      <c r="FJD59" s="21"/>
      <c r="FJH59" s="15"/>
      <c r="FJN59" s="25"/>
      <c r="FJU59" s="21"/>
      <c r="FJV59" s="21"/>
      <c r="FJZ59" s="15"/>
      <c r="FKF59" s="25"/>
      <c r="FKM59" s="21"/>
      <c r="FKN59" s="21"/>
      <c r="FKR59" s="15"/>
      <c r="FKX59" s="25"/>
      <c r="FLE59" s="21"/>
      <c r="FLF59" s="21"/>
      <c r="FLJ59" s="15"/>
      <c r="FLP59" s="25"/>
      <c r="FLW59" s="21"/>
      <c r="FLX59" s="21"/>
      <c r="FMB59" s="15"/>
      <c r="FMH59" s="25"/>
      <c r="FMO59" s="21"/>
      <c r="FMP59" s="21"/>
      <c r="FMT59" s="15"/>
      <c r="FMZ59" s="25"/>
      <c r="FNG59" s="21"/>
      <c r="FNH59" s="21"/>
      <c r="FNL59" s="15"/>
      <c r="FNR59" s="25"/>
      <c r="FNY59" s="21"/>
      <c r="FNZ59" s="21"/>
      <c r="FOD59" s="15"/>
      <c r="FOJ59" s="25"/>
      <c r="FOQ59" s="21"/>
      <c r="FOR59" s="21"/>
      <c r="FOV59" s="15"/>
      <c r="FPB59" s="25"/>
      <c r="FPI59" s="21"/>
      <c r="FPJ59" s="21"/>
      <c r="FPN59" s="15"/>
      <c r="FPT59" s="25"/>
      <c r="FQA59" s="21"/>
      <c r="FQB59" s="21"/>
      <c r="FQF59" s="15"/>
      <c r="FQL59" s="25"/>
      <c r="FQS59" s="21"/>
      <c r="FQT59" s="21"/>
      <c r="FQX59" s="15"/>
      <c r="FRD59" s="25"/>
      <c r="FRK59" s="21"/>
      <c r="FRL59" s="21"/>
      <c r="FRP59" s="15"/>
      <c r="FRV59" s="25"/>
      <c r="FSC59" s="21"/>
      <c r="FSD59" s="21"/>
      <c r="FSH59" s="15"/>
      <c r="FSN59" s="25"/>
      <c r="FSU59" s="21"/>
      <c r="FSV59" s="21"/>
      <c r="FSZ59" s="15"/>
      <c r="FTF59" s="25"/>
      <c r="FTM59" s="21"/>
      <c r="FTN59" s="21"/>
      <c r="FTR59" s="15"/>
      <c r="FTX59" s="25"/>
      <c r="FUE59" s="21"/>
      <c r="FUF59" s="21"/>
      <c r="FUJ59" s="15"/>
      <c r="FUP59" s="25"/>
      <c r="FUW59" s="21"/>
      <c r="FUX59" s="21"/>
      <c r="FVB59" s="15"/>
      <c r="FVH59" s="25"/>
      <c r="FVO59" s="21"/>
      <c r="FVP59" s="21"/>
      <c r="FVT59" s="15"/>
      <c r="FVZ59" s="25"/>
      <c r="FWG59" s="21"/>
      <c r="FWH59" s="21"/>
      <c r="FWL59" s="15"/>
      <c r="FWR59" s="25"/>
      <c r="FWY59" s="21"/>
      <c r="FWZ59" s="21"/>
      <c r="FXD59" s="15"/>
      <c r="FXJ59" s="25"/>
      <c r="FXQ59" s="21"/>
      <c r="FXR59" s="21"/>
      <c r="FXV59" s="15"/>
      <c r="FYB59" s="25"/>
      <c r="FYI59" s="21"/>
      <c r="FYJ59" s="21"/>
      <c r="FYN59" s="15"/>
      <c r="FYT59" s="25"/>
      <c r="FZA59" s="21"/>
      <c r="FZB59" s="21"/>
      <c r="FZF59" s="15"/>
      <c r="FZL59" s="25"/>
      <c r="FZS59" s="21"/>
      <c r="FZT59" s="21"/>
      <c r="FZX59" s="15"/>
      <c r="GAD59" s="25"/>
      <c r="GAK59" s="21"/>
      <c r="GAL59" s="21"/>
      <c r="GAP59" s="15"/>
      <c r="GAV59" s="25"/>
      <c r="GBC59" s="21"/>
      <c r="GBD59" s="21"/>
      <c r="GBH59" s="15"/>
      <c r="GBN59" s="25"/>
      <c r="GBU59" s="21"/>
      <c r="GBV59" s="21"/>
      <c r="GBZ59" s="15"/>
      <c r="GCF59" s="25"/>
      <c r="GCM59" s="21"/>
      <c r="GCN59" s="21"/>
      <c r="GCR59" s="15"/>
      <c r="GCX59" s="25"/>
      <c r="GDE59" s="21"/>
      <c r="GDF59" s="21"/>
      <c r="GDJ59" s="15"/>
      <c r="GDP59" s="25"/>
      <c r="GDW59" s="21"/>
      <c r="GDX59" s="21"/>
      <c r="GEB59" s="15"/>
      <c r="GEH59" s="25"/>
      <c r="GEO59" s="21"/>
      <c r="GEP59" s="21"/>
      <c r="GET59" s="15"/>
      <c r="GEZ59" s="25"/>
      <c r="GFG59" s="21"/>
      <c r="GFH59" s="21"/>
      <c r="GFL59" s="15"/>
      <c r="GFR59" s="25"/>
      <c r="GFY59" s="21"/>
      <c r="GFZ59" s="21"/>
      <c r="GGD59" s="15"/>
      <c r="GGJ59" s="25"/>
      <c r="GGQ59" s="21"/>
      <c r="GGR59" s="21"/>
      <c r="GGV59" s="15"/>
      <c r="GHB59" s="25"/>
      <c r="GHI59" s="21"/>
      <c r="GHJ59" s="21"/>
      <c r="GHN59" s="15"/>
      <c r="GHT59" s="25"/>
      <c r="GIA59" s="21"/>
      <c r="GIB59" s="21"/>
      <c r="GIF59" s="15"/>
      <c r="GIL59" s="25"/>
      <c r="GIS59" s="21"/>
      <c r="GIT59" s="21"/>
      <c r="GIX59" s="15"/>
      <c r="GJD59" s="25"/>
      <c r="GJK59" s="21"/>
      <c r="GJL59" s="21"/>
      <c r="GJP59" s="15"/>
      <c r="GJV59" s="25"/>
      <c r="GKC59" s="21"/>
      <c r="GKD59" s="21"/>
      <c r="GKH59" s="15"/>
      <c r="GKN59" s="25"/>
      <c r="GKU59" s="21"/>
      <c r="GKV59" s="21"/>
      <c r="GKZ59" s="15"/>
      <c r="GLF59" s="25"/>
      <c r="GLM59" s="21"/>
      <c r="GLN59" s="21"/>
      <c r="GLR59" s="15"/>
      <c r="GLX59" s="25"/>
      <c r="GME59" s="21"/>
      <c r="GMF59" s="21"/>
      <c r="GMJ59" s="15"/>
      <c r="GMP59" s="25"/>
      <c r="GMW59" s="21"/>
      <c r="GMX59" s="21"/>
      <c r="GNB59" s="15"/>
      <c r="GNH59" s="25"/>
      <c r="GNO59" s="21"/>
      <c r="GNP59" s="21"/>
      <c r="GNT59" s="15"/>
      <c r="GNZ59" s="25"/>
      <c r="GOG59" s="21"/>
      <c r="GOH59" s="21"/>
      <c r="GOL59" s="15"/>
      <c r="GOR59" s="25"/>
      <c r="GOY59" s="21"/>
      <c r="GOZ59" s="21"/>
      <c r="GPD59" s="15"/>
      <c r="GPJ59" s="25"/>
      <c r="GPQ59" s="21"/>
      <c r="GPR59" s="21"/>
      <c r="GPV59" s="15"/>
      <c r="GQB59" s="25"/>
      <c r="GQI59" s="21"/>
      <c r="GQJ59" s="21"/>
      <c r="GQN59" s="15"/>
      <c r="GQT59" s="25"/>
      <c r="GRA59" s="21"/>
      <c r="GRB59" s="21"/>
      <c r="GRF59" s="15"/>
      <c r="GRL59" s="25"/>
      <c r="GRS59" s="21"/>
      <c r="GRT59" s="21"/>
      <c r="GRX59" s="15"/>
      <c r="GSD59" s="25"/>
      <c r="GSK59" s="21"/>
      <c r="GSL59" s="21"/>
      <c r="GSP59" s="15"/>
      <c r="GSV59" s="25"/>
      <c r="GTC59" s="21"/>
      <c r="GTD59" s="21"/>
      <c r="GTH59" s="15"/>
      <c r="GTN59" s="25"/>
      <c r="GTU59" s="21"/>
      <c r="GTV59" s="21"/>
      <c r="GTZ59" s="15"/>
      <c r="GUF59" s="25"/>
      <c r="GUM59" s="21"/>
      <c r="GUN59" s="21"/>
      <c r="GUR59" s="15"/>
      <c r="GUX59" s="25"/>
      <c r="GVE59" s="21"/>
      <c r="GVF59" s="21"/>
      <c r="GVJ59" s="15"/>
      <c r="GVP59" s="25"/>
      <c r="GVW59" s="21"/>
      <c r="GVX59" s="21"/>
      <c r="GWB59" s="15"/>
      <c r="GWH59" s="25"/>
      <c r="GWO59" s="21"/>
      <c r="GWP59" s="21"/>
      <c r="GWT59" s="15"/>
      <c r="GWZ59" s="25"/>
      <c r="GXG59" s="21"/>
      <c r="GXH59" s="21"/>
      <c r="GXL59" s="15"/>
      <c r="GXR59" s="25"/>
      <c r="GXY59" s="21"/>
      <c r="GXZ59" s="21"/>
      <c r="GYD59" s="15"/>
      <c r="GYJ59" s="25"/>
      <c r="GYQ59" s="21"/>
      <c r="GYR59" s="21"/>
      <c r="GYV59" s="15"/>
      <c r="GZB59" s="25"/>
      <c r="GZI59" s="21"/>
      <c r="GZJ59" s="21"/>
      <c r="GZN59" s="15"/>
      <c r="GZT59" s="25"/>
      <c r="HAA59" s="21"/>
      <c r="HAB59" s="21"/>
      <c r="HAF59" s="15"/>
      <c r="HAL59" s="25"/>
      <c r="HAS59" s="21"/>
      <c r="HAT59" s="21"/>
      <c r="HAX59" s="15"/>
      <c r="HBD59" s="25"/>
      <c r="HBK59" s="21"/>
      <c r="HBL59" s="21"/>
      <c r="HBP59" s="15"/>
      <c r="HBV59" s="25"/>
      <c r="HCC59" s="21"/>
      <c r="HCD59" s="21"/>
      <c r="HCH59" s="15"/>
      <c r="HCN59" s="25"/>
      <c r="HCU59" s="21"/>
      <c r="HCV59" s="21"/>
      <c r="HCZ59" s="15"/>
      <c r="HDF59" s="25"/>
      <c r="HDM59" s="21"/>
      <c r="HDN59" s="21"/>
      <c r="HDR59" s="15"/>
      <c r="HDX59" s="25"/>
      <c r="HEE59" s="21"/>
      <c r="HEF59" s="21"/>
      <c r="HEJ59" s="15"/>
      <c r="HEP59" s="25"/>
      <c r="HEW59" s="21"/>
      <c r="HEX59" s="21"/>
      <c r="HFB59" s="15"/>
      <c r="HFH59" s="25"/>
      <c r="HFO59" s="21"/>
      <c r="HFP59" s="21"/>
      <c r="HFT59" s="15"/>
      <c r="HFZ59" s="25"/>
      <c r="HGG59" s="21"/>
      <c r="HGH59" s="21"/>
      <c r="HGL59" s="15"/>
      <c r="HGR59" s="25"/>
      <c r="HGY59" s="21"/>
      <c r="HGZ59" s="21"/>
      <c r="HHD59" s="15"/>
      <c r="HHJ59" s="25"/>
      <c r="HHQ59" s="21"/>
      <c r="HHR59" s="21"/>
      <c r="HHV59" s="15"/>
      <c r="HIB59" s="25"/>
      <c r="HII59" s="21"/>
      <c r="HIJ59" s="21"/>
      <c r="HIN59" s="15"/>
      <c r="HIT59" s="25"/>
      <c r="HJA59" s="21"/>
      <c r="HJB59" s="21"/>
      <c r="HJF59" s="15"/>
      <c r="HJL59" s="25"/>
      <c r="HJS59" s="21"/>
      <c r="HJT59" s="21"/>
      <c r="HJX59" s="15"/>
      <c r="HKD59" s="25"/>
      <c r="HKK59" s="21"/>
      <c r="HKL59" s="21"/>
      <c r="HKP59" s="15"/>
      <c r="HKV59" s="25"/>
      <c r="HLC59" s="21"/>
      <c r="HLD59" s="21"/>
      <c r="HLH59" s="15"/>
      <c r="HLN59" s="25"/>
      <c r="HLU59" s="21"/>
      <c r="HLV59" s="21"/>
      <c r="HLZ59" s="15"/>
      <c r="HMF59" s="25"/>
      <c r="HMM59" s="21"/>
      <c r="HMN59" s="21"/>
      <c r="HMR59" s="15"/>
      <c r="HMX59" s="25"/>
      <c r="HNE59" s="21"/>
      <c r="HNF59" s="21"/>
      <c r="HNJ59" s="15"/>
      <c r="HNP59" s="25"/>
      <c r="HNW59" s="21"/>
      <c r="HNX59" s="21"/>
      <c r="HOB59" s="15"/>
      <c r="HOH59" s="25"/>
      <c r="HOO59" s="21"/>
      <c r="HOP59" s="21"/>
      <c r="HOT59" s="15"/>
      <c r="HOZ59" s="25"/>
      <c r="HPG59" s="21"/>
      <c r="HPH59" s="21"/>
      <c r="HPL59" s="15"/>
      <c r="HPR59" s="25"/>
      <c r="HPY59" s="21"/>
      <c r="HPZ59" s="21"/>
      <c r="HQD59" s="15"/>
      <c r="HQJ59" s="25"/>
      <c r="HQQ59" s="21"/>
      <c r="HQR59" s="21"/>
      <c r="HQV59" s="15"/>
      <c r="HRB59" s="25"/>
      <c r="HRI59" s="21"/>
      <c r="HRJ59" s="21"/>
      <c r="HRN59" s="15"/>
      <c r="HRT59" s="25"/>
      <c r="HSA59" s="21"/>
      <c r="HSB59" s="21"/>
      <c r="HSF59" s="15"/>
      <c r="HSL59" s="25"/>
      <c r="HSS59" s="21"/>
      <c r="HST59" s="21"/>
      <c r="HSX59" s="15"/>
      <c r="HTD59" s="25"/>
      <c r="HTK59" s="21"/>
      <c r="HTL59" s="21"/>
      <c r="HTP59" s="15"/>
      <c r="HTV59" s="25"/>
      <c r="HUC59" s="21"/>
      <c r="HUD59" s="21"/>
      <c r="HUH59" s="15"/>
      <c r="HUN59" s="25"/>
      <c r="HUU59" s="21"/>
      <c r="HUV59" s="21"/>
      <c r="HUZ59" s="15"/>
      <c r="HVF59" s="25"/>
      <c r="HVM59" s="21"/>
      <c r="HVN59" s="21"/>
      <c r="HVR59" s="15"/>
      <c r="HVX59" s="25"/>
      <c r="HWE59" s="21"/>
      <c r="HWF59" s="21"/>
      <c r="HWJ59" s="15"/>
      <c r="HWP59" s="25"/>
      <c r="HWW59" s="21"/>
      <c r="HWX59" s="21"/>
      <c r="HXB59" s="15"/>
      <c r="HXH59" s="25"/>
      <c r="HXO59" s="21"/>
      <c r="HXP59" s="21"/>
      <c r="HXT59" s="15"/>
      <c r="HXZ59" s="25"/>
      <c r="HYG59" s="21"/>
      <c r="HYH59" s="21"/>
      <c r="HYL59" s="15"/>
      <c r="HYR59" s="25"/>
      <c r="HYY59" s="21"/>
      <c r="HYZ59" s="21"/>
      <c r="HZD59" s="15"/>
      <c r="HZJ59" s="25"/>
      <c r="HZQ59" s="21"/>
      <c r="HZR59" s="21"/>
      <c r="HZV59" s="15"/>
      <c r="IAB59" s="25"/>
      <c r="IAI59" s="21"/>
      <c r="IAJ59" s="21"/>
      <c r="IAN59" s="15"/>
      <c r="IAT59" s="25"/>
      <c r="IBA59" s="21"/>
      <c r="IBB59" s="21"/>
      <c r="IBF59" s="15"/>
      <c r="IBL59" s="25"/>
      <c r="IBS59" s="21"/>
      <c r="IBT59" s="21"/>
      <c r="IBX59" s="15"/>
      <c r="ICD59" s="25"/>
      <c r="ICK59" s="21"/>
      <c r="ICL59" s="21"/>
      <c r="ICP59" s="15"/>
      <c r="ICV59" s="25"/>
      <c r="IDC59" s="21"/>
      <c r="IDD59" s="21"/>
      <c r="IDH59" s="15"/>
      <c r="IDN59" s="25"/>
      <c r="IDU59" s="21"/>
      <c r="IDV59" s="21"/>
      <c r="IDZ59" s="15"/>
      <c r="IEF59" s="25"/>
      <c r="IEM59" s="21"/>
      <c r="IEN59" s="21"/>
      <c r="IER59" s="15"/>
      <c r="IEX59" s="25"/>
      <c r="IFE59" s="21"/>
      <c r="IFF59" s="21"/>
      <c r="IFJ59" s="15"/>
      <c r="IFP59" s="25"/>
      <c r="IFW59" s="21"/>
      <c r="IFX59" s="21"/>
      <c r="IGB59" s="15"/>
      <c r="IGH59" s="25"/>
      <c r="IGO59" s="21"/>
      <c r="IGP59" s="21"/>
      <c r="IGT59" s="15"/>
      <c r="IGZ59" s="25"/>
      <c r="IHG59" s="21"/>
      <c r="IHH59" s="21"/>
      <c r="IHL59" s="15"/>
      <c r="IHR59" s="25"/>
      <c r="IHY59" s="21"/>
      <c r="IHZ59" s="21"/>
      <c r="IID59" s="15"/>
      <c r="IIJ59" s="25"/>
      <c r="IIQ59" s="21"/>
      <c r="IIR59" s="21"/>
      <c r="IIV59" s="15"/>
      <c r="IJB59" s="25"/>
      <c r="IJI59" s="21"/>
      <c r="IJJ59" s="21"/>
      <c r="IJN59" s="15"/>
      <c r="IJT59" s="25"/>
      <c r="IKA59" s="21"/>
      <c r="IKB59" s="21"/>
      <c r="IKF59" s="15"/>
      <c r="IKL59" s="25"/>
      <c r="IKS59" s="21"/>
      <c r="IKT59" s="21"/>
      <c r="IKX59" s="15"/>
      <c r="ILD59" s="25"/>
      <c r="ILK59" s="21"/>
      <c r="ILL59" s="21"/>
      <c r="ILP59" s="15"/>
      <c r="ILV59" s="25"/>
      <c r="IMC59" s="21"/>
      <c r="IMD59" s="21"/>
      <c r="IMH59" s="15"/>
      <c r="IMN59" s="25"/>
      <c r="IMU59" s="21"/>
      <c r="IMV59" s="21"/>
      <c r="IMZ59" s="15"/>
      <c r="INF59" s="25"/>
      <c r="INM59" s="21"/>
      <c r="INN59" s="21"/>
      <c r="INR59" s="15"/>
      <c r="INX59" s="25"/>
      <c r="IOE59" s="21"/>
      <c r="IOF59" s="21"/>
      <c r="IOJ59" s="15"/>
      <c r="IOP59" s="25"/>
      <c r="IOW59" s="21"/>
      <c r="IOX59" s="21"/>
      <c r="IPB59" s="15"/>
      <c r="IPH59" s="25"/>
      <c r="IPO59" s="21"/>
      <c r="IPP59" s="21"/>
      <c r="IPT59" s="15"/>
      <c r="IPZ59" s="25"/>
      <c r="IQG59" s="21"/>
      <c r="IQH59" s="21"/>
      <c r="IQL59" s="15"/>
      <c r="IQR59" s="25"/>
      <c r="IQY59" s="21"/>
      <c r="IQZ59" s="21"/>
      <c r="IRD59" s="15"/>
      <c r="IRJ59" s="25"/>
      <c r="IRQ59" s="21"/>
      <c r="IRR59" s="21"/>
      <c r="IRV59" s="15"/>
      <c r="ISB59" s="25"/>
      <c r="ISI59" s="21"/>
      <c r="ISJ59" s="21"/>
      <c r="ISN59" s="15"/>
      <c r="IST59" s="25"/>
      <c r="ITA59" s="21"/>
      <c r="ITB59" s="21"/>
      <c r="ITF59" s="15"/>
      <c r="ITL59" s="25"/>
      <c r="ITS59" s="21"/>
      <c r="ITT59" s="21"/>
      <c r="ITX59" s="15"/>
      <c r="IUD59" s="25"/>
      <c r="IUK59" s="21"/>
      <c r="IUL59" s="21"/>
      <c r="IUP59" s="15"/>
      <c r="IUV59" s="25"/>
      <c r="IVC59" s="21"/>
      <c r="IVD59" s="21"/>
      <c r="IVH59" s="15"/>
      <c r="IVN59" s="25"/>
      <c r="IVU59" s="21"/>
      <c r="IVV59" s="21"/>
      <c r="IVZ59" s="15"/>
      <c r="IWF59" s="25"/>
      <c r="IWM59" s="21"/>
      <c r="IWN59" s="21"/>
      <c r="IWR59" s="15"/>
      <c r="IWX59" s="25"/>
      <c r="IXE59" s="21"/>
      <c r="IXF59" s="21"/>
      <c r="IXJ59" s="15"/>
      <c r="IXP59" s="25"/>
      <c r="IXW59" s="21"/>
      <c r="IXX59" s="21"/>
      <c r="IYB59" s="15"/>
      <c r="IYH59" s="25"/>
      <c r="IYO59" s="21"/>
      <c r="IYP59" s="21"/>
      <c r="IYT59" s="15"/>
      <c r="IYZ59" s="25"/>
      <c r="IZG59" s="21"/>
      <c r="IZH59" s="21"/>
      <c r="IZL59" s="15"/>
      <c r="IZR59" s="25"/>
      <c r="IZY59" s="21"/>
      <c r="IZZ59" s="21"/>
      <c r="JAD59" s="15"/>
      <c r="JAJ59" s="25"/>
      <c r="JAQ59" s="21"/>
      <c r="JAR59" s="21"/>
      <c r="JAV59" s="15"/>
      <c r="JBB59" s="25"/>
      <c r="JBI59" s="21"/>
      <c r="JBJ59" s="21"/>
      <c r="JBN59" s="15"/>
      <c r="JBT59" s="25"/>
      <c r="JCA59" s="21"/>
      <c r="JCB59" s="21"/>
      <c r="JCF59" s="15"/>
      <c r="JCL59" s="25"/>
      <c r="JCS59" s="21"/>
      <c r="JCT59" s="21"/>
      <c r="JCX59" s="15"/>
      <c r="JDD59" s="25"/>
      <c r="JDK59" s="21"/>
      <c r="JDL59" s="21"/>
      <c r="JDP59" s="15"/>
      <c r="JDV59" s="25"/>
      <c r="JEC59" s="21"/>
      <c r="JED59" s="21"/>
      <c r="JEH59" s="15"/>
      <c r="JEN59" s="25"/>
      <c r="JEU59" s="21"/>
      <c r="JEV59" s="21"/>
      <c r="JEZ59" s="15"/>
      <c r="JFF59" s="25"/>
      <c r="JFM59" s="21"/>
      <c r="JFN59" s="21"/>
      <c r="JFR59" s="15"/>
      <c r="JFX59" s="25"/>
      <c r="JGE59" s="21"/>
      <c r="JGF59" s="21"/>
      <c r="JGJ59" s="15"/>
      <c r="JGP59" s="25"/>
      <c r="JGW59" s="21"/>
      <c r="JGX59" s="21"/>
      <c r="JHB59" s="15"/>
      <c r="JHH59" s="25"/>
      <c r="JHO59" s="21"/>
      <c r="JHP59" s="21"/>
      <c r="JHT59" s="15"/>
      <c r="JHZ59" s="25"/>
      <c r="JIG59" s="21"/>
      <c r="JIH59" s="21"/>
      <c r="JIL59" s="15"/>
      <c r="JIR59" s="25"/>
      <c r="JIY59" s="21"/>
      <c r="JIZ59" s="21"/>
      <c r="JJD59" s="15"/>
      <c r="JJJ59" s="25"/>
      <c r="JJQ59" s="21"/>
      <c r="JJR59" s="21"/>
      <c r="JJV59" s="15"/>
      <c r="JKB59" s="25"/>
      <c r="JKI59" s="21"/>
      <c r="JKJ59" s="21"/>
      <c r="JKN59" s="15"/>
      <c r="JKT59" s="25"/>
      <c r="JLA59" s="21"/>
      <c r="JLB59" s="21"/>
      <c r="JLF59" s="15"/>
      <c r="JLL59" s="25"/>
      <c r="JLS59" s="21"/>
      <c r="JLT59" s="21"/>
      <c r="JLX59" s="15"/>
      <c r="JMD59" s="25"/>
      <c r="JMK59" s="21"/>
      <c r="JML59" s="21"/>
      <c r="JMP59" s="15"/>
      <c r="JMV59" s="25"/>
      <c r="JNC59" s="21"/>
      <c r="JND59" s="21"/>
      <c r="JNH59" s="15"/>
      <c r="JNN59" s="25"/>
      <c r="JNU59" s="21"/>
      <c r="JNV59" s="21"/>
      <c r="JNZ59" s="15"/>
      <c r="JOF59" s="25"/>
      <c r="JOM59" s="21"/>
      <c r="JON59" s="21"/>
      <c r="JOR59" s="15"/>
      <c r="JOX59" s="25"/>
      <c r="JPE59" s="21"/>
      <c r="JPF59" s="21"/>
      <c r="JPJ59" s="15"/>
      <c r="JPP59" s="25"/>
      <c r="JPW59" s="21"/>
      <c r="JPX59" s="21"/>
      <c r="JQB59" s="15"/>
      <c r="JQH59" s="25"/>
      <c r="JQO59" s="21"/>
      <c r="JQP59" s="21"/>
      <c r="JQT59" s="15"/>
      <c r="JQZ59" s="25"/>
      <c r="JRG59" s="21"/>
      <c r="JRH59" s="21"/>
      <c r="JRL59" s="15"/>
      <c r="JRR59" s="25"/>
      <c r="JRY59" s="21"/>
      <c r="JRZ59" s="21"/>
      <c r="JSD59" s="15"/>
      <c r="JSJ59" s="25"/>
      <c r="JSQ59" s="21"/>
      <c r="JSR59" s="21"/>
      <c r="JSV59" s="15"/>
      <c r="JTB59" s="25"/>
      <c r="JTI59" s="21"/>
      <c r="JTJ59" s="21"/>
      <c r="JTN59" s="15"/>
      <c r="JTT59" s="25"/>
      <c r="JUA59" s="21"/>
      <c r="JUB59" s="21"/>
      <c r="JUF59" s="15"/>
      <c r="JUL59" s="25"/>
      <c r="JUS59" s="21"/>
      <c r="JUT59" s="21"/>
      <c r="JUX59" s="15"/>
      <c r="JVD59" s="25"/>
      <c r="JVK59" s="21"/>
      <c r="JVL59" s="21"/>
      <c r="JVP59" s="15"/>
      <c r="JVV59" s="25"/>
      <c r="JWC59" s="21"/>
      <c r="JWD59" s="21"/>
      <c r="JWH59" s="15"/>
      <c r="JWN59" s="25"/>
      <c r="JWU59" s="21"/>
      <c r="JWV59" s="21"/>
      <c r="JWZ59" s="15"/>
      <c r="JXF59" s="25"/>
      <c r="JXM59" s="21"/>
      <c r="JXN59" s="21"/>
      <c r="JXR59" s="15"/>
      <c r="JXX59" s="25"/>
      <c r="JYE59" s="21"/>
      <c r="JYF59" s="21"/>
      <c r="JYJ59" s="15"/>
      <c r="JYP59" s="25"/>
      <c r="JYW59" s="21"/>
      <c r="JYX59" s="21"/>
      <c r="JZB59" s="15"/>
      <c r="JZH59" s="25"/>
      <c r="JZO59" s="21"/>
      <c r="JZP59" s="21"/>
      <c r="JZT59" s="15"/>
      <c r="JZZ59" s="25"/>
      <c r="KAG59" s="21"/>
      <c r="KAH59" s="21"/>
      <c r="KAL59" s="15"/>
      <c r="KAR59" s="25"/>
      <c r="KAY59" s="21"/>
      <c r="KAZ59" s="21"/>
      <c r="KBD59" s="15"/>
      <c r="KBJ59" s="25"/>
      <c r="KBQ59" s="21"/>
      <c r="KBR59" s="21"/>
      <c r="KBV59" s="15"/>
      <c r="KCB59" s="25"/>
      <c r="KCI59" s="21"/>
      <c r="KCJ59" s="21"/>
      <c r="KCN59" s="15"/>
      <c r="KCT59" s="25"/>
      <c r="KDA59" s="21"/>
      <c r="KDB59" s="21"/>
      <c r="KDF59" s="15"/>
      <c r="KDL59" s="25"/>
      <c r="KDS59" s="21"/>
      <c r="KDT59" s="21"/>
      <c r="KDX59" s="15"/>
      <c r="KED59" s="25"/>
      <c r="KEK59" s="21"/>
      <c r="KEL59" s="21"/>
      <c r="KEP59" s="15"/>
      <c r="KEV59" s="25"/>
      <c r="KFC59" s="21"/>
      <c r="KFD59" s="21"/>
      <c r="KFH59" s="15"/>
      <c r="KFN59" s="25"/>
      <c r="KFU59" s="21"/>
      <c r="KFV59" s="21"/>
      <c r="KFZ59" s="15"/>
      <c r="KGF59" s="25"/>
      <c r="KGM59" s="21"/>
      <c r="KGN59" s="21"/>
      <c r="KGR59" s="15"/>
      <c r="KGX59" s="25"/>
      <c r="KHE59" s="21"/>
      <c r="KHF59" s="21"/>
      <c r="KHJ59" s="15"/>
      <c r="KHP59" s="25"/>
      <c r="KHW59" s="21"/>
      <c r="KHX59" s="21"/>
      <c r="KIB59" s="15"/>
      <c r="KIH59" s="25"/>
      <c r="KIO59" s="21"/>
      <c r="KIP59" s="21"/>
      <c r="KIT59" s="15"/>
      <c r="KIZ59" s="25"/>
      <c r="KJG59" s="21"/>
      <c r="KJH59" s="21"/>
      <c r="KJL59" s="15"/>
      <c r="KJR59" s="25"/>
      <c r="KJY59" s="21"/>
      <c r="KJZ59" s="21"/>
      <c r="KKD59" s="15"/>
      <c r="KKJ59" s="25"/>
      <c r="KKQ59" s="21"/>
      <c r="KKR59" s="21"/>
      <c r="KKV59" s="15"/>
      <c r="KLB59" s="25"/>
      <c r="KLI59" s="21"/>
      <c r="KLJ59" s="21"/>
      <c r="KLN59" s="15"/>
      <c r="KLT59" s="25"/>
      <c r="KMA59" s="21"/>
      <c r="KMB59" s="21"/>
      <c r="KMF59" s="15"/>
      <c r="KML59" s="25"/>
      <c r="KMS59" s="21"/>
      <c r="KMT59" s="21"/>
      <c r="KMX59" s="15"/>
      <c r="KND59" s="25"/>
      <c r="KNK59" s="21"/>
      <c r="KNL59" s="21"/>
      <c r="KNP59" s="15"/>
      <c r="KNV59" s="25"/>
      <c r="KOC59" s="21"/>
      <c r="KOD59" s="21"/>
      <c r="KOH59" s="15"/>
      <c r="KON59" s="25"/>
      <c r="KOU59" s="21"/>
      <c r="KOV59" s="21"/>
      <c r="KOZ59" s="15"/>
      <c r="KPF59" s="25"/>
      <c r="KPM59" s="21"/>
      <c r="KPN59" s="21"/>
      <c r="KPR59" s="15"/>
      <c r="KPX59" s="25"/>
      <c r="KQE59" s="21"/>
      <c r="KQF59" s="21"/>
      <c r="KQJ59" s="15"/>
      <c r="KQP59" s="25"/>
      <c r="KQW59" s="21"/>
      <c r="KQX59" s="21"/>
      <c r="KRB59" s="15"/>
      <c r="KRH59" s="25"/>
      <c r="KRO59" s="21"/>
      <c r="KRP59" s="21"/>
      <c r="KRT59" s="15"/>
      <c r="KRZ59" s="25"/>
      <c r="KSG59" s="21"/>
      <c r="KSH59" s="21"/>
      <c r="KSL59" s="15"/>
      <c r="KSR59" s="25"/>
      <c r="KSY59" s="21"/>
      <c r="KSZ59" s="21"/>
      <c r="KTD59" s="15"/>
      <c r="KTJ59" s="25"/>
      <c r="KTQ59" s="21"/>
      <c r="KTR59" s="21"/>
      <c r="KTV59" s="15"/>
      <c r="KUB59" s="25"/>
      <c r="KUI59" s="21"/>
      <c r="KUJ59" s="21"/>
      <c r="KUN59" s="15"/>
      <c r="KUT59" s="25"/>
      <c r="KVA59" s="21"/>
      <c r="KVB59" s="21"/>
      <c r="KVF59" s="15"/>
      <c r="KVL59" s="25"/>
      <c r="KVS59" s="21"/>
      <c r="KVT59" s="21"/>
      <c r="KVX59" s="15"/>
      <c r="KWD59" s="25"/>
      <c r="KWK59" s="21"/>
      <c r="KWL59" s="21"/>
      <c r="KWP59" s="15"/>
      <c r="KWV59" s="25"/>
      <c r="KXC59" s="21"/>
      <c r="KXD59" s="21"/>
      <c r="KXH59" s="15"/>
      <c r="KXN59" s="25"/>
      <c r="KXU59" s="21"/>
      <c r="KXV59" s="21"/>
      <c r="KXZ59" s="15"/>
      <c r="KYF59" s="25"/>
      <c r="KYM59" s="21"/>
      <c r="KYN59" s="21"/>
      <c r="KYR59" s="15"/>
      <c r="KYX59" s="25"/>
      <c r="KZE59" s="21"/>
      <c r="KZF59" s="21"/>
      <c r="KZJ59" s="15"/>
      <c r="KZP59" s="25"/>
      <c r="KZW59" s="21"/>
      <c r="KZX59" s="21"/>
      <c r="LAB59" s="15"/>
      <c r="LAH59" s="25"/>
      <c r="LAO59" s="21"/>
      <c r="LAP59" s="21"/>
      <c r="LAT59" s="15"/>
      <c r="LAZ59" s="25"/>
      <c r="LBG59" s="21"/>
      <c r="LBH59" s="21"/>
      <c r="LBL59" s="15"/>
      <c r="LBR59" s="25"/>
      <c r="LBY59" s="21"/>
      <c r="LBZ59" s="21"/>
      <c r="LCD59" s="15"/>
      <c r="LCJ59" s="25"/>
      <c r="LCQ59" s="21"/>
      <c r="LCR59" s="21"/>
      <c r="LCV59" s="15"/>
      <c r="LDB59" s="25"/>
      <c r="LDI59" s="21"/>
      <c r="LDJ59" s="21"/>
      <c r="LDN59" s="15"/>
      <c r="LDT59" s="25"/>
      <c r="LEA59" s="21"/>
      <c r="LEB59" s="21"/>
      <c r="LEF59" s="15"/>
      <c r="LEL59" s="25"/>
      <c r="LES59" s="21"/>
      <c r="LET59" s="21"/>
      <c r="LEX59" s="15"/>
      <c r="LFD59" s="25"/>
      <c r="LFK59" s="21"/>
      <c r="LFL59" s="21"/>
      <c r="LFP59" s="15"/>
      <c r="LFV59" s="25"/>
      <c r="LGC59" s="21"/>
      <c r="LGD59" s="21"/>
      <c r="LGH59" s="15"/>
      <c r="LGN59" s="25"/>
      <c r="LGU59" s="21"/>
      <c r="LGV59" s="21"/>
      <c r="LGZ59" s="15"/>
      <c r="LHF59" s="25"/>
      <c r="LHM59" s="21"/>
      <c r="LHN59" s="21"/>
      <c r="LHR59" s="15"/>
      <c r="LHX59" s="25"/>
      <c r="LIE59" s="21"/>
      <c r="LIF59" s="21"/>
      <c r="LIJ59" s="15"/>
      <c r="LIP59" s="25"/>
      <c r="LIW59" s="21"/>
      <c r="LIX59" s="21"/>
      <c r="LJB59" s="15"/>
      <c r="LJH59" s="25"/>
      <c r="LJO59" s="21"/>
      <c r="LJP59" s="21"/>
      <c r="LJT59" s="15"/>
      <c r="LJZ59" s="25"/>
      <c r="LKG59" s="21"/>
      <c r="LKH59" s="21"/>
      <c r="LKL59" s="15"/>
      <c r="LKR59" s="25"/>
      <c r="LKY59" s="21"/>
      <c r="LKZ59" s="21"/>
      <c r="LLD59" s="15"/>
      <c r="LLJ59" s="25"/>
      <c r="LLQ59" s="21"/>
      <c r="LLR59" s="21"/>
      <c r="LLV59" s="15"/>
      <c r="LMB59" s="25"/>
      <c r="LMI59" s="21"/>
      <c r="LMJ59" s="21"/>
      <c r="LMN59" s="15"/>
      <c r="LMT59" s="25"/>
      <c r="LNA59" s="21"/>
      <c r="LNB59" s="21"/>
      <c r="LNF59" s="15"/>
      <c r="LNL59" s="25"/>
      <c r="LNS59" s="21"/>
      <c r="LNT59" s="21"/>
      <c r="LNX59" s="15"/>
      <c r="LOD59" s="25"/>
      <c r="LOK59" s="21"/>
      <c r="LOL59" s="21"/>
      <c r="LOP59" s="15"/>
      <c r="LOV59" s="25"/>
      <c r="LPC59" s="21"/>
      <c r="LPD59" s="21"/>
      <c r="LPH59" s="15"/>
      <c r="LPN59" s="25"/>
      <c r="LPU59" s="21"/>
      <c r="LPV59" s="21"/>
      <c r="LPZ59" s="15"/>
      <c r="LQF59" s="25"/>
      <c r="LQM59" s="21"/>
      <c r="LQN59" s="21"/>
      <c r="LQR59" s="15"/>
      <c r="LQX59" s="25"/>
      <c r="LRE59" s="21"/>
      <c r="LRF59" s="21"/>
      <c r="LRJ59" s="15"/>
      <c r="LRP59" s="25"/>
      <c r="LRW59" s="21"/>
      <c r="LRX59" s="21"/>
      <c r="LSB59" s="15"/>
      <c r="LSH59" s="25"/>
      <c r="LSO59" s="21"/>
      <c r="LSP59" s="21"/>
      <c r="LST59" s="15"/>
      <c r="LSZ59" s="25"/>
      <c r="LTG59" s="21"/>
      <c r="LTH59" s="21"/>
      <c r="LTL59" s="15"/>
      <c r="LTR59" s="25"/>
      <c r="LTY59" s="21"/>
      <c r="LTZ59" s="21"/>
      <c r="LUD59" s="15"/>
      <c r="LUJ59" s="25"/>
      <c r="LUQ59" s="21"/>
      <c r="LUR59" s="21"/>
      <c r="LUV59" s="15"/>
      <c r="LVB59" s="25"/>
      <c r="LVI59" s="21"/>
      <c r="LVJ59" s="21"/>
      <c r="LVN59" s="15"/>
      <c r="LVT59" s="25"/>
      <c r="LWA59" s="21"/>
      <c r="LWB59" s="21"/>
      <c r="LWF59" s="15"/>
      <c r="LWL59" s="25"/>
      <c r="LWS59" s="21"/>
      <c r="LWT59" s="21"/>
      <c r="LWX59" s="15"/>
      <c r="LXD59" s="25"/>
      <c r="LXK59" s="21"/>
      <c r="LXL59" s="21"/>
      <c r="LXP59" s="15"/>
      <c r="LXV59" s="25"/>
      <c r="LYC59" s="21"/>
      <c r="LYD59" s="21"/>
      <c r="LYH59" s="15"/>
      <c r="LYN59" s="25"/>
      <c r="LYU59" s="21"/>
      <c r="LYV59" s="21"/>
      <c r="LYZ59" s="15"/>
      <c r="LZF59" s="25"/>
      <c r="LZM59" s="21"/>
      <c r="LZN59" s="21"/>
      <c r="LZR59" s="15"/>
      <c r="LZX59" s="25"/>
      <c r="MAE59" s="21"/>
      <c r="MAF59" s="21"/>
      <c r="MAJ59" s="15"/>
      <c r="MAP59" s="25"/>
      <c r="MAW59" s="21"/>
      <c r="MAX59" s="21"/>
      <c r="MBB59" s="15"/>
      <c r="MBH59" s="25"/>
      <c r="MBO59" s="21"/>
      <c r="MBP59" s="21"/>
      <c r="MBT59" s="15"/>
      <c r="MBZ59" s="25"/>
      <c r="MCG59" s="21"/>
      <c r="MCH59" s="21"/>
      <c r="MCL59" s="15"/>
      <c r="MCR59" s="25"/>
      <c r="MCY59" s="21"/>
      <c r="MCZ59" s="21"/>
      <c r="MDD59" s="15"/>
      <c r="MDJ59" s="25"/>
      <c r="MDQ59" s="21"/>
      <c r="MDR59" s="21"/>
      <c r="MDV59" s="15"/>
      <c r="MEB59" s="25"/>
      <c r="MEI59" s="21"/>
      <c r="MEJ59" s="21"/>
      <c r="MEN59" s="15"/>
      <c r="MET59" s="25"/>
      <c r="MFA59" s="21"/>
      <c r="MFB59" s="21"/>
      <c r="MFF59" s="15"/>
      <c r="MFL59" s="25"/>
      <c r="MFS59" s="21"/>
      <c r="MFT59" s="21"/>
      <c r="MFX59" s="15"/>
      <c r="MGD59" s="25"/>
      <c r="MGK59" s="21"/>
      <c r="MGL59" s="21"/>
      <c r="MGP59" s="15"/>
      <c r="MGV59" s="25"/>
      <c r="MHC59" s="21"/>
      <c r="MHD59" s="21"/>
      <c r="MHH59" s="15"/>
      <c r="MHN59" s="25"/>
      <c r="MHU59" s="21"/>
      <c r="MHV59" s="21"/>
      <c r="MHZ59" s="15"/>
      <c r="MIF59" s="25"/>
      <c r="MIM59" s="21"/>
      <c r="MIN59" s="21"/>
      <c r="MIR59" s="15"/>
      <c r="MIX59" s="25"/>
      <c r="MJE59" s="21"/>
      <c r="MJF59" s="21"/>
      <c r="MJJ59" s="15"/>
      <c r="MJP59" s="25"/>
      <c r="MJW59" s="21"/>
      <c r="MJX59" s="21"/>
      <c r="MKB59" s="15"/>
      <c r="MKH59" s="25"/>
      <c r="MKO59" s="21"/>
      <c r="MKP59" s="21"/>
      <c r="MKT59" s="15"/>
      <c r="MKZ59" s="25"/>
      <c r="MLG59" s="21"/>
      <c r="MLH59" s="21"/>
      <c r="MLL59" s="15"/>
      <c r="MLR59" s="25"/>
      <c r="MLY59" s="21"/>
      <c r="MLZ59" s="21"/>
      <c r="MMD59" s="15"/>
      <c r="MMJ59" s="25"/>
      <c r="MMQ59" s="21"/>
      <c r="MMR59" s="21"/>
      <c r="MMV59" s="15"/>
      <c r="MNB59" s="25"/>
      <c r="MNI59" s="21"/>
      <c r="MNJ59" s="21"/>
      <c r="MNN59" s="15"/>
      <c r="MNT59" s="25"/>
      <c r="MOA59" s="21"/>
      <c r="MOB59" s="21"/>
      <c r="MOF59" s="15"/>
      <c r="MOL59" s="25"/>
      <c r="MOS59" s="21"/>
      <c r="MOT59" s="21"/>
      <c r="MOX59" s="15"/>
      <c r="MPD59" s="25"/>
      <c r="MPK59" s="21"/>
      <c r="MPL59" s="21"/>
      <c r="MPP59" s="15"/>
      <c r="MPV59" s="25"/>
      <c r="MQC59" s="21"/>
      <c r="MQD59" s="21"/>
      <c r="MQH59" s="15"/>
      <c r="MQN59" s="25"/>
      <c r="MQU59" s="21"/>
      <c r="MQV59" s="21"/>
      <c r="MQZ59" s="15"/>
      <c r="MRF59" s="25"/>
      <c r="MRM59" s="21"/>
      <c r="MRN59" s="21"/>
      <c r="MRR59" s="15"/>
      <c r="MRX59" s="25"/>
      <c r="MSE59" s="21"/>
      <c r="MSF59" s="21"/>
      <c r="MSJ59" s="15"/>
      <c r="MSP59" s="25"/>
      <c r="MSW59" s="21"/>
      <c r="MSX59" s="21"/>
      <c r="MTB59" s="15"/>
      <c r="MTH59" s="25"/>
      <c r="MTO59" s="21"/>
      <c r="MTP59" s="21"/>
      <c r="MTT59" s="15"/>
      <c r="MTZ59" s="25"/>
      <c r="MUG59" s="21"/>
      <c r="MUH59" s="21"/>
      <c r="MUL59" s="15"/>
      <c r="MUR59" s="25"/>
      <c r="MUY59" s="21"/>
      <c r="MUZ59" s="21"/>
      <c r="MVD59" s="15"/>
      <c r="MVJ59" s="25"/>
      <c r="MVQ59" s="21"/>
      <c r="MVR59" s="21"/>
      <c r="MVV59" s="15"/>
      <c r="MWB59" s="25"/>
      <c r="MWI59" s="21"/>
      <c r="MWJ59" s="21"/>
      <c r="MWN59" s="15"/>
      <c r="MWT59" s="25"/>
      <c r="MXA59" s="21"/>
      <c r="MXB59" s="21"/>
      <c r="MXF59" s="15"/>
      <c r="MXL59" s="25"/>
      <c r="MXS59" s="21"/>
      <c r="MXT59" s="21"/>
      <c r="MXX59" s="15"/>
      <c r="MYD59" s="25"/>
      <c r="MYK59" s="21"/>
      <c r="MYL59" s="21"/>
      <c r="MYP59" s="15"/>
      <c r="MYV59" s="25"/>
      <c r="MZC59" s="21"/>
      <c r="MZD59" s="21"/>
      <c r="MZH59" s="15"/>
      <c r="MZN59" s="25"/>
      <c r="MZU59" s="21"/>
      <c r="MZV59" s="21"/>
      <c r="MZZ59" s="15"/>
      <c r="NAF59" s="25"/>
      <c r="NAM59" s="21"/>
      <c r="NAN59" s="21"/>
      <c r="NAR59" s="15"/>
      <c r="NAX59" s="25"/>
      <c r="NBE59" s="21"/>
      <c r="NBF59" s="21"/>
      <c r="NBJ59" s="15"/>
      <c r="NBP59" s="25"/>
      <c r="NBW59" s="21"/>
      <c r="NBX59" s="21"/>
      <c r="NCB59" s="15"/>
      <c r="NCH59" s="25"/>
      <c r="NCO59" s="21"/>
      <c r="NCP59" s="21"/>
      <c r="NCT59" s="15"/>
      <c r="NCZ59" s="25"/>
      <c r="NDG59" s="21"/>
      <c r="NDH59" s="21"/>
      <c r="NDL59" s="15"/>
      <c r="NDR59" s="25"/>
      <c r="NDY59" s="21"/>
      <c r="NDZ59" s="21"/>
      <c r="NED59" s="15"/>
      <c r="NEJ59" s="25"/>
      <c r="NEQ59" s="21"/>
      <c r="NER59" s="21"/>
      <c r="NEV59" s="15"/>
      <c r="NFB59" s="25"/>
      <c r="NFI59" s="21"/>
      <c r="NFJ59" s="21"/>
      <c r="NFN59" s="15"/>
      <c r="NFT59" s="25"/>
      <c r="NGA59" s="21"/>
      <c r="NGB59" s="21"/>
      <c r="NGF59" s="15"/>
      <c r="NGL59" s="25"/>
      <c r="NGS59" s="21"/>
      <c r="NGT59" s="21"/>
      <c r="NGX59" s="15"/>
      <c r="NHD59" s="25"/>
      <c r="NHK59" s="21"/>
      <c r="NHL59" s="21"/>
      <c r="NHP59" s="15"/>
      <c r="NHV59" s="25"/>
      <c r="NIC59" s="21"/>
      <c r="NID59" s="21"/>
      <c r="NIH59" s="15"/>
      <c r="NIN59" s="25"/>
      <c r="NIU59" s="21"/>
      <c r="NIV59" s="21"/>
      <c r="NIZ59" s="15"/>
      <c r="NJF59" s="25"/>
      <c r="NJM59" s="21"/>
      <c r="NJN59" s="21"/>
      <c r="NJR59" s="15"/>
      <c r="NJX59" s="25"/>
      <c r="NKE59" s="21"/>
      <c r="NKF59" s="21"/>
      <c r="NKJ59" s="15"/>
      <c r="NKP59" s="25"/>
      <c r="NKW59" s="21"/>
      <c r="NKX59" s="21"/>
      <c r="NLB59" s="15"/>
      <c r="NLH59" s="25"/>
      <c r="NLO59" s="21"/>
      <c r="NLP59" s="21"/>
      <c r="NLT59" s="15"/>
      <c r="NLZ59" s="25"/>
      <c r="NMG59" s="21"/>
      <c r="NMH59" s="21"/>
      <c r="NML59" s="15"/>
      <c r="NMR59" s="25"/>
      <c r="NMY59" s="21"/>
      <c r="NMZ59" s="21"/>
      <c r="NND59" s="15"/>
      <c r="NNJ59" s="25"/>
      <c r="NNQ59" s="21"/>
      <c r="NNR59" s="21"/>
      <c r="NNV59" s="15"/>
      <c r="NOB59" s="25"/>
      <c r="NOI59" s="21"/>
      <c r="NOJ59" s="21"/>
      <c r="NON59" s="15"/>
      <c r="NOT59" s="25"/>
      <c r="NPA59" s="21"/>
      <c r="NPB59" s="21"/>
      <c r="NPF59" s="15"/>
      <c r="NPL59" s="25"/>
      <c r="NPS59" s="21"/>
      <c r="NPT59" s="21"/>
      <c r="NPX59" s="15"/>
      <c r="NQD59" s="25"/>
      <c r="NQK59" s="21"/>
      <c r="NQL59" s="21"/>
      <c r="NQP59" s="15"/>
      <c r="NQV59" s="25"/>
      <c r="NRC59" s="21"/>
      <c r="NRD59" s="21"/>
      <c r="NRH59" s="15"/>
      <c r="NRN59" s="25"/>
      <c r="NRU59" s="21"/>
      <c r="NRV59" s="21"/>
      <c r="NRZ59" s="15"/>
      <c r="NSF59" s="25"/>
      <c r="NSM59" s="21"/>
      <c r="NSN59" s="21"/>
      <c r="NSR59" s="15"/>
      <c r="NSX59" s="25"/>
      <c r="NTE59" s="21"/>
      <c r="NTF59" s="21"/>
      <c r="NTJ59" s="15"/>
      <c r="NTP59" s="25"/>
      <c r="NTW59" s="21"/>
      <c r="NTX59" s="21"/>
      <c r="NUB59" s="15"/>
      <c r="NUH59" s="25"/>
      <c r="NUO59" s="21"/>
      <c r="NUP59" s="21"/>
      <c r="NUT59" s="15"/>
      <c r="NUZ59" s="25"/>
      <c r="NVG59" s="21"/>
      <c r="NVH59" s="21"/>
      <c r="NVL59" s="15"/>
      <c r="NVR59" s="25"/>
      <c r="NVY59" s="21"/>
      <c r="NVZ59" s="21"/>
      <c r="NWD59" s="15"/>
      <c r="NWJ59" s="25"/>
      <c r="NWQ59" s="21"/>
      <c r="NWR59" s="21"/>
      <c r="NWV59" s="15"/>
      <c r="NXB59" s="25"/>
      <c r="NXI59" s="21"/>
      <c r="NXJ59" s="21"/>
      <c r="NXN59" s="15"/>
      <c r="NXT59" s="25"/>
      <c r="NYA59" s="21"/>
      <c r="NYB59" s="21"/>
      <c r="NYF59" s="15"/>
      <c r="NYL59" s="25"/>
      <c r="NYS59" s="21"/>
      <c r="NYT59" s="21"/>
      <c r="NYX59" s="15"/>
      <c r="NZD59" s="25"/>
      <c r="NZK59" s="21"/>
      <c r="NZL59" s="21"/>
      <c r="NZP59" s="15"/>
      <c r="NZV59" s="25"/>
      <c r="OAC59" s="21"/>
      <c r="OAD59" s="21"/>
      <c r="OAH59" s="15"/>
      <c r="OAN59" s="25"/>
      <c r="OAU59" s="21"/>
      <c r="OAV59" s="21"/>
      <c r="OAZ59" s="15"/>
      <c r="OBF59" s="25"/>
      <c r="OBM59" s="21"/>
      <c r="OBN59" s="21"/>
      <c r="OBR59" s="15"/>
      <c r="OBX59" s="25"/>
      <c r="OCE59" s="21"/>
      <c r="OCF59" s="21"/>
      <c r="OCJ59" s="15"/>
      <c r="OCP59" s="25"/>
      <c r="OCW59" s="21"/>
      <c r="OCX59" s="21"/>
      <c r="ODB59" s="15"/>
      <c r="ODH59" s="25"/>
      <c r="ODO59" s="21"/>
      <c r="ODP59" s="21"/>
      <c r="ODT59" s="15"/>
      <c r="ODZ59" s="25"/>
      <c r="OEG59" s="21"/>
      <c r="OEH59" s="21"/>
      <c r="OEL59" s="15"/>
      <c r="OER59" s="25"/>
      <c r="OEY59" s="21"/>
      <c r="OEZ59" s="21"/>
      <c r="OFD59" s="15"/>
      <c r="OFJ59" s="25"/>
      <c r="OFQ59" s="21"/>
      <c r="OFR59" s="21"/>
      <c r="OFV59" s="15"/>
      <c r="OGB59" s="25"/>
      <c r="OGI59" s="21"/>
      <c r="OGJ59" s="21"/>
      <c r="OGN59" s="15"/>
      <c r="OGT59" s="25"/>
      <c r="OHA59" s="21"/>
      <c r="OHB59" s="21"/>
      <c r="OHF59" s="15"/>
      <c r="OHL59" s="25"/>
      <c r="OHS59" s="21"/>
      <c r="OHT59" s="21"/>
      <c r="OHX59" s="15"/>
      <c r="OID59" s="25"/>
      <c r="OIK59" s="21"/>
      <c r="OIL59" s="21"/>
      <c r="OIP59" s="15"/>
      <c r="OIV59" s="25"/>
      <c r="OJC59" s="21"/>
      <c r="OJD59" s="21"/>
      <c r="OJH59" s="15"/>
      <c r="OJN59" s="25"/>
      <c r="OJU59" s="21"/>
      <c r="OJV59" s="21"/>
      <c r="OJZ59" s="15"/>
      <c r="OKF59" s="25"/>
      <c r="OKM59" s="21"/>
      <c r="OKN59" s="21"/>
      <c r="OKR59" s="15"/>
      <c r="OKX59" s="25"/>
      <c r="OLE59" s="21"/>
      <c r="OLF59" s="21"/>
      <c r="OLJ59" s="15"/>
      <c r="OLP59" s="25"/>
      <c r="OLW59" s="21"/>
      <c r="OLX59" s="21"/>
      <c r="OMB59" s="15"/>
      <c r="OMH59" s="25"/>
      <c r="OMO59" s="21"/>
      <c r="OMP59" s="21"/>
      <c r="OMT59" s="15"/>
      <c r="OMZ59" s="25"/>
      <c r="ONG59" s="21"/>
      <c r="ONH59" s="21"/>
      <c r="ONL59" s="15"/>
      <c r="ONR59" s="25"/>
      <c r="ONY59" s="21"/>
      <c r="ONZ59" s="21"/>
      <c r="OOD59" s="15"/>
      <c r="OOJ59" s="25"/>
      <c r="OOQ59" s="21"/>
      <c r="OOR59" s="21"/>
      <c r="OOV59" s="15"/>
      <c r="OPB59" s="25"/>
      <c r="OPI59" s="21"/>
      <c r="OPJ59" s="21"/>
      <c r="OPN59" s="15"/>
      <c r="OPT59" s="25"/>
      <c r="OQA59" s="21"/>
      <c r="OQB59" s="21"/>
      <c r="OQF59" s="15"/>
      <c r="OQL59" s="25"/>
      <c r="OQS59" s="21"/>
      <c r="OQT59" s="21"/>
      <c r="OQX59" s="15"/>
      <c r="ORD59" s="25"/>
      <c r="ORK59" s="21"/>
      <c r="ORL59" s="21"/>
      <c r="ORP59" s="15"/>
      <c r="ORV59" s="25"/>
      <c r="OSC59" s="21"/>
      <c r="OSD59" s="21"/>
      <c r="OSH59" s="15"/>
      <c r="OSN59" s="25"/>
      <c r="OSU59" s="21"/>
      <c r="OSV59" s="21"/>
      <c r="OSZ59" s="15"/>
      <c r="OTF59" s="25"/>
      <c r="OTM59" s="21"/>
      <c r="OTN59" s="21"/>
      <c r="OTR59" s="15"/>
      <c r="OTX59" s="25"/>
      <c r="OUE59" s="21"/>
      <c r="OUF59" s="21"/>
      <c r="OUJ59" s="15"/>
      <c r="OUP59" s="25"/>
      <c r="OUW59" s="21"/>
      <c r="OUX59" s="21"/>
      <c r="OVB59" s="15"/>
      <c r="OVH59" s="25"/>
      <c r="OVO59" s="21"/>
      <c r="OVP59" s="21"/>
      <c r="OVT59" s="15"/>
      <c r="OVZ59" s="25"/>
      <c r="OWG59" s="21"/>
      <c r="OWH59" s="21"/>
      <c r="OWL59" s="15"/>
      <c r="OWR59" s="25"/>
      <c r="OWY59" s="21"/>
      <c r="OWZ59" s="21"/>
      <c r="OXD59" s="15"/>
      <c r="OXJ59" s="25"/>
      <c r="OXQ59" s="21"/>
      <c r="OXR59" s="21"/>
      <c r="OXV59" s="15"/>
      <c r="OYB59" s="25"/>
      <c r="OYI59" s="21"/>
      <c r="OYJ59" s="21"/>
      <c r="OYN59" s="15"/>
      <c r="OYT59" s="25"/>
      <c r="OZA59" s="21"/>
      <c r="OZB59" s="21"/>
      <c r="OZF59" s="15"/>
      <c r="OZL59" s="25"/>
      <c r="OZS59" s="21"/>
      <c r="OZT59" s="21"/>
      <c r="OZX59" s="15"/>
      <c r="PAD59" s="25"/>
      <c r="PAK59" s="21"/>
      <c r="PAL59" s="21"/>
      <c r="PAP59" s="15"/>
      <c r="PAV59" s="25"/>
      <c r="PBC59" s="21"/>
      <c r="PBD59" s="21"/>
      <c r="PBH59" s="15"/>
      <c r="PBN59" s="25"/>
      <c r="PBU59" s="21"/>
      <c r="PBV59" s="21"/>
      <c r="PBZ59" s="15"/>
      <c r="PCF59" s="25"/>
      <c r="PCM59" s="21"/>
      <c r="PCN59" s="21"/>
      <c r="PCR59" s="15"/>
      <c r="PCX59" s="25"/>
      <c r="PDE59" s="21"/>
      <c r="PDF59" s="21"/>
      <c r="PDJ59" s="15"/>
      <c r="PDP59" s="25"/>
      <c r="PDW59" s="21"/>
      <c r="PDX59" s="21"/>
      <c r="PEB59" s="15"/>
      <c r="PEH59" s="25"/>
      <c r="PEO59" s="21"/>
      <c r="PEP59" s="21"/>
      <c r="PET59" s="15"/>
      <c r="PEZ59" s="25"/>
      <c r="PFG59" s="21"/>
      <c r="PFH59" s="21"/>
      <c r="PFL59" s="15"/>
      <c r="PFR59" s="25"/>
      <c r="PFY59" s="21"/>
      <c r="PFZ59" s="21"/>
      <c r="PGD59" s="15"/>
      <c r="PGJ59" s="25"/>
      <c r="PGQ59" s="21"/>
      <c r="PGR59" s="21"/>
      <c r="PGV59" s="15"/>
      <c r="PHB59" s="25"/>
      <c r="PHI59" s="21"/>
      <c r="PHJ59" s="21"/>
      <c r="PHN59" s="15"/>
      <c r="PHT59" s="25"/>
      <c r="PIA59" s="21"/>
      <c r="PIB59" s="21"/>
      <c r="PIF59" s="15"/>
      <c r="PIL59" s="25"/>
      <c r="PIS59" s="21"/>
      <c r="PIT59" s="21"/>
      <c r="PIX59" s="15"/>
      <c r="PJD59" s="25"/>
      <c r="PJK59" s="21"/>
      <c r="PJL59" s="21"/>
      <c r="PJP59" s="15"/>
      <c r="PJV59" s="25"/>
      <c r="PKC59" s="21"/>
      <c r="PKD59" s="21"/>
      <c r="PKH59" s="15"/>
      <c r="PKN59" s="25"/>
      <c r="PKU59" s="21"/>
      <c r="PKV59" s="21"/>
      <c r="PKZ59" s="15"/>
      <c r="PLF59" s="25"/>
      <c r="PLM59" s="21"/>
      <c r="PLN59" s="21"/>
      <c r="PLR59" s="15"/>
      <c r="PLX59" s="25"/>
      <c r="PME59" s="21"/>
      <c r="PMF59" s="21"/>
      <c r="PMJ59" s="15"/>
      <c r="PMP59" s="25"/>
      <c r="PMW59" s="21"/>
      <c r="PMX59" s="21"/>
      <c r="PNB59" s="15"/>
      <c r="PNH59" s="25"/>
      <c r="PNO59" s="21"/>
      <c r="PNP59" s="21"/>
      <c r="PNT59" s="15"/>
      <c r="PNZ59" s="25"/>
      <c r="POG59" s="21"/>
      <c r="POH59" s="21"/>
      <c r="POL59" s="15"/>
      <c r="POR59" s="25"/>
      <c r="POY59" s="21"/>
      <c r="POZ59" s="21"/>
      <c r="PPD59" s="15"/>
      <c r="PPJ59" s="25"/>
      <c r="PPQ59" s="21"/>
      <c r="PPR59" s="21"/>
      <c r="PPV59" s="15"/>
      <c r="PQB59" s="25"/>
      <c r="PQI59" s="21"/>
      <c r="PQJ59" s="21"/>
      <c r="PQN59" s="15"/>
      <c r="PQT59" s="25"/>
      <c r="PRA59" s="21"/>
      <c r="PRB59" s="21"/>
      <c r="PRF59" s="15"/>
      <c r="PRL59" s="25"/>
      <c r="PRS59" s="21"/>
      <c r="PRT59" s="21"/>
      <c r="PRX59" s="15"/>
      <c r="PSD59" s="25"/>
      <c r="PSK59" s="21"/>
      <c r="PSL59" s="21"/>
      <c r="PSP59" s="15"/>
      <c r="PSV59" s="25"/>
      <c r="PTC59" s="21"/>
      <c r="PTD59" s="21"/>
      <c r="PTH59" s="15"/>
      <c r="PTN59" s="25"/>
      <c r="PTU59" s="21"/>
      <c r="PTV59" s="21"/>
      <c r="PTZ59" s="15"/>
      <c r="PUF59" s="25"/>
      <c r="PUM59" s="21"/>
      <c r="PUN59" s="21"/>
      <c r="PUR59" s="15"/>
      <c r="PUX59" s="25"/>
      <c r="PVE59" s="21"/>
      <c r="PVF59" s="21"/>
      <c r="PVJ59" s="15"/>
      <c r="PVP59" s="25"/>
      <c r="PVW59" s="21"/>
      <c r="PVX59" s="21"/>
      <c r="PWB59" s="15"/>
      <c r="PWH59" s="25"/>
      <c r="PWO59" s="21"/>
      <c r="PWP59" s="21"/>
      <c r="PWT59" s="15"/>
      <c r="PWZ59" s="25"/>
      <c r="PXG59" s="21"/>
      <c r="PXH59" s="21"/>
      <c r="PXL59" s="15"/>
      <c r="PXR59" s="25"/>
      <c r="PXY59" s="21"/>
      <c r="PXZ59" s="21"/>
      <c r="PYD59" s="15"/>
      <c r="PYJ59" s="25"/>
      <c r="PYQ59" s="21"/>
      <c r="PYR59" s="21"/>
      <c r="PYV59" s="15"/>
      <c r="PZB59" s="25"/>
      <c r="PZI59" s="21"/>
      <c r="PZJ59" s="21"/>
      <c r="PZN59" s="15"/>
      <c r="PZT59" s="25"/>
      <c r="QAA59" s="21"/>
      <c r="QAB59" s="21"/>
      <c r="QAF59" s="15"/>
      <c r="QAL59" s="25"/>
      <c r="QAS59" s="21"/>
      <c r="QAT59" s="21"/>
      <c r="QAX59" s="15"/>
      <c r="QBD59" s="25"/>
      <c r="QBK59" s="21"/>
      <c r="QBL59" s="21"/>
      <c r="QBP59" s="15"/>
      <c r="QBV59" s="25"/>
      <c r="QCC59" s="21"/>
      <c r="QCD59" s="21"/>
      <c r="QCH59" s="15"/>
      <c r="QCN59" s="25"/>
      <c r="QCU59" s="21"/>
      <c r="QCV59" s="21"/>
      <c r="QCZ59" s="15"/>
      <c r="QDF59" s="25"/>
      <c r="QDM59" s="21"/>
      <c r="QDN59" s="21"/>
      <c r="QDR59" s="15"/>
      <c r="QDX59" s="25"/>
      <c r="QEE59" s="21"/>
      <c r="QEF59" s="21"/>
      <c r="QEJ59" s="15"/>
      <c r="QEP59" s="25"/>
      <c r="QEW59" s="21"/>
      <c r="QEX59" s="21"/>
      <c r="QFB59" s="15"/>
      <c r="QFH59" s="25"/>
      <c r="QFO59" s="21"/>
      <c r="QFP59" s="21"/>
      <c r="QFT59" s="15"/>
      <c r="QFZ59" s="25"/>
      <c r="QGG59" s="21"/>
      <c r="QGH59" s="21"/>
      <c r="QGL59" s="15"/>
      <c r="QGR59" s="25"/>
      <c r="QGY59" s="21"/>
      <c r="QGZ59" s="21"/>
      <c r="QHD59" s="15"/>
      <c r="QHJ59" s="25"/>
      <c r="QHQ59" s="21"/>
      <c r="QHR59" s="21"/>
      <c r="QHV59" s="15"/>
      <c r="QIB59" s="25"/>
      <c r="QII59" s="21"/>
      <c r="QIJ59" s="21"/>
      <c r="QIN59" s="15"/>
      <c r="QIT59" s="25"/>
      <c r="QJA59" s="21"/>
      <c r="QJB59" s="21"/>
      <c r="QJF59" s="15"/>
      <c r="QJL59" s="25"/>
      <c r="QJS59" s="21"/>
      <c r="QJT59" s="21"/>
      <c r="QJX59" s="15"/>
      <c r="QKD59" s="25"/>
      <c r="QKK59" s="21"/>
      <c r="QKL59" s="21"/>
      <c r="QKP59" s="15"/>
      <c r="QKV59" s="25"/>
      <c r="QLC59" s="21"/>
      <c r="QLD59" s="21"/>
      <c r="QLH59" s="15"/>
      <c r="QLN59" s="25"/>
      <c r="QLU59" s="21"/>
      <c r="QLV59" s="21"/>
      <c r="QLZ59" s="15"/>
      <c r="QMF59" s="25"/>
      <c r="QMM59" s="21"/>
      <c r="QMN59" s="21"/>
      <c r="QMR59" s="15"/>
      <c r="QMX59" s="25"/>
      <c r="QNE59" s="21"/>
      <c r="QNF59" s="21"/>
      <c r="QNJ59" s="15"/>
      <c r="QNP59" s="25"/>
      <c r="QNW59" s="21"/>
      <c r="QNX59" s="21"/>
      <c r="QOB59" s="15"/>
      <c r="QOH59" s="25"/>
      <c r="QOO59" s="21"/>
      <c r="QOP59" s="21"/>
      <c r="QOT59" s="15"/>
      <c r="QOZ59" s="25"/>
      <c r="QPG59" s="21"/>
      <c r="QPH59" s="21"/>
      <c r="QPL59" s="15"/>
      <c r="QPR59" s="25"/>
      <c r="QPY59" s="21"/>
      <c r="QPZ59" s="21"/>
      <c r="QQD59" s="15"/>
      <c r="QQJ59" s="25"/>
      <c r="QQQ59" s="21"/>
      <c r="QQR59" s="21"/>
      <c r="QQV59" s="15"/>
      <c r="QRB59" s="25"/>
      <c r="QRI59" s="21"/>
      <c r="QRJ59" s="21"/>
      <c r="QRN59" s="15"/>
      <c r="QRT59" s="25"/>
      <c r="QSA59" s="21"/>
      <c r="QSB59" s="21"/>
      <c r="QSF59" s="15"/>
      <c r="QSL59" s="25"/>
      <c r="QSS59" s="21"/>
      <c r="QST59" s="21"/>
      <c r="QSX59" s="15"/>
      <c r="QTD59" s="25"/>
      <c r="QTK59" s="21"/>
      <c r="QTL59" s="21"/>
      <c r="QTP59" s="15"/>
      <c r="QTV59" s="25"/>
      <c r="QUC59" s="21"/>
      <c r="QUD59" s="21"/>
      <c r="QUH59" s="15"/>
      <c r="QUN59" s="25"/>
      <c r="QUU59" s="21"/>
      <c r="QUV59" s="21"/>
      <c r="QUZ59" s="15"/>
      <c r="QVF59" s="25"/>
      <c r="QVM59" s="21"/>
      <c r="QVN59" s="21"/>
      <c r="QVR59" s="15"/>
      <c r="QVX59" s="25"/>
      <c r="QWE59" s="21"/>
      <c r="QWF59" s="21"/>
      <c r="QWJ59" s="15"/>
      <c r="QWP59" s="25"/>
      <c r="QWW59" s="21"/>
      <c r="QWX59" s="21"/>
      <c r="QXB59" s="15"/>
      <c r="QXH59" s="25"/>
      <c r="QXO59" s="21"/>
      <c r="QXP59" s="21"/>
      <c r="QXT59" s="15"/>
      <c r="QXZ59" s="25"/>
      <c r="QYG59" s="21"/>
      <c r="QYH59" s="21"/>
      <c r="QYL59" s="15"/>
      <c r="QYR59" s="25"/>
      <c r="QYY59" s="21"/>
      <c r="QYZ59" s="21"/>
      <c r="QZD59" s="15"/>
      <c r="QZJ59" s="25"/>
      <c r="QZQ59" s="21"/>
      <c r="QZR59" s="21"/>
      <c r="QZV59" s="15"/>
      <c r="RAB59" s="25"/>
      <c r="RAI59" s="21"/>
      <c r="RAJ59" s="21"/>
      <c r="RAN59" s="15"/>
      <c r="RAT59" s="25"/>
      <c r="RBA59" s="21"/>
      <c r="RBB59" s="21"/>
      <c r="RBF59" s="15"/>
      <c r="RBL59" s="25"/>
      <c r="RBS59" s="21"/>
      <c r="RBT59" s="21"/>
      <c r="RBX59" s="15"/>
      <c r="RCD59" s="25"/>
      <c r="RCK59" s="21"/>
      <c r="RCL59" s="21"/>
      <c r="RCP59" s="15"/>
      <c r="RCV59" s="25"/>
      <c r="RDC59" s="21"/>
      <c r="RDD59" s="21"/>
      <c r="RDH59" s="15"/>
      <c r="RDN59" s="25"/>
      <c r="RDU59" s="21"/>
      <c r="RDV59" s="21"/>
      <c r="RDZ59" s="15"/>
      <c r="REF59" s="25"/>
      <c r="REM59" s="21"/>
      <c r="REN59" s="21"/>
      <c r="RER59" s="15"/>
      <c r="REX59" s="25"/>
      <c r="RFE59" s="21"/>
      <c r="RFF59" s="21"/>
      <c r="RFJ59" s="15"/>
      <c r="RFP59" s="25"/>
      <c r="RFW59" s="21"/>
      <c r="RFX59" s="21"/>
      <c r="RGB59" s="15"/>
      <c r="RGH59" s="25"/>
      <c r="RGO59" s="21"/>
      <c r="RGP59" s="21"/>
      <c r="RGT59" s="15"/>
      <c r="RGZ59" s="25"/>
      <c r="RHG59" s="21"/>
      <c r="RHH59" s="21"/>
      <c r="RHL59" s="15"/>
      <c r="RHR59" s="25"/>
      <c r="RHY59" s="21"/>
      <c r="RHZ59" s="21"/>
      <c r="RID59" s="15"/>
      <c r="RIJ59" s="25"/>
      <c r="RIQ59" s="21"/>
      <c r="RIR59" s="21"/>
      <c r="RIV59" s="15"/>
      <c r="RJB59" s="25"/>
      <c r="RJI59" s="21"/>
      <c r="RJJ59" s="21"/>
      <c r="RJN59" s="15"/>
      <c r="RJT59" s="25"/>
      <c r="RKA59" s="21"/>
      <c r="RKB59" s="21"/>
      <c r="RKF59" s="15"/>
      <c r="RKL59" s="25"/>
      <c r="RKS59" s="21"/>
      <c r="RKT59" s="21"/>
      <c r="RKX59" s="15"/>
      <c r="RLD59" s="25"/>
      <c r="RLK59" s="21"/>
      <c r="RLL59" s="21"/>
      <c r="RLP59" s="15"/>
      <c r="RLV59" s="25"/>
      <c r="RMC59" s="21"/>
      <c r="RMD59" s="21"/>
      <c r="RMH59" s="15"/>
      <c r="RMN59" s="25"/>
      <c r="RMU59" s="21"/>
      <c r="RMV59" s="21"/>
      <c r="RMZ59" s="15"/>
      <c r="RNF59" s="25"/>
      <c r="RNM59" s="21"/>
      <c r="RNN59" s="21"/>
      <c r="RNR59" s="15"/>
      <c r="RNX59" s="25"/>
      <c r="ROE59" s="21"/>
      <c r="ROF59" s="21"/>
      <c r="ROJ59" s="15"/>
      <c r="ROP59" s="25"/>
      <c r="ROW59" s="21"/>
      <c r="ROX59" s="21"/>
      <c r="RPB59" s="15"/>
      <c r="RPH59" s="25"/>
      <c r="RPO59" s="21"/>
      <c r="RPP59" s="21"/>
      <c r="RPT59" s="15"/>
      <c r="RPZ59" s="25"/>
      <c r="RQG59" s="21"/>
      <c r="RQH59" s="21"/>
      <c r="RQL59" s="15"/>
      <c r="RQR59" s="25"/>
      <c r="RQY59" s="21"/>
      <c r="RQZ59" s="21"/>
      <c r="RRD59" s="15"/>
      <c r="RRJ59" s="25"/>
      <c r="RRQ59" s="21"/>
      <c r="RRR59" s="21"/>
      <c r="RRV59" s="15"/>
      <c r="RSB59" s="25"/>
      <c r="RSI59" s="21"/>
      <c r="RSJ59" s="21"/>
      <c r="RSN59" s="15"/>
      <c r="RST59" s="25"/>
      <c r="RTA59" s="21"/>
      <c r="RTB59" s="21"/>
      <c r="RTF59" s="15"/>
      <c r="RTL59" s="25"/>
      <c r="RTS59" s="21"/>
      <c r="RTT59" s="21"/>
      <c r="RTX59" s="15"/>
      <c r="RUD59" s="25"/>
      <c r="RUK59" s="21"/>
      <c r="RUL59" s="21"/>
      <c r="RUP59" s="15"/>
      <c r="RUV59" s="25"/>
      <c r="RVC59" s="21"/>
      <c r="RVD59" s="21"/>
      <c r="RVH59" s="15"/>
      <c r="RVN59" s="25"/>
      <c r="RVU59" s="21"/>
      <c r="RVV59" s="21"/>
      <c r="RVZ59" s="15"/>
      <c r="RWF59" s="25"/>
      <c r="RWM59" s="21"/>
      <c r="RWN59" s="21"/>
      <c r="RWR59" s="15"/>
      <c r="RWX59" s="25"/>
      <c r="RXE59" s="21"/>
      <c r="RXF59" s="21"/>
      <c r="RXJ59" s="15"/>
      <c r="RXP59" s="25"/>
      <c r="RXW59" s="21"/>
      <c r="RXX59" s="21"/>
      <c r="RYB59" s="15"/>
      <c r="RYH59" s="25"/>
      <c r="RYO59" s="21"/>
      <c r="RYP59" s="21"/>
      <c r="RYT59" s="15"/>
      <c r="RYZ59" s="25"/>
      <c r="RZG59" s="21"/>
      <c r="RZH59" s="21"/>
      <c r="RZL59" s="15"/>
      <c r="RZR59" s="25"/>
      <c r="RZY59" s="21"/>
      <c r="RZZ59" s="21"/>
      <c r="SAD59" s="15"/>
      <c r="SAJ59" s="25"/>
      <c r="SAQ59" s="21"/>
      <c r="SAR59" s="21"/>
      <c r="SAV59" s="15"/>
      <c r="SBB59" s="25"/>
      <c r="SBI59" s="21"/>
      <c r="SBJ59" s="21"/>
      <c r="SBN59" s="15"/>
      <c r="SBT59" s="25"/>
      <c r="SCA59" s="21"/>
      <c r="SCB59" s="21"/>
      <c r="SCF59" s="15"/>
      <c r="SCL59" s="25"/>
      <c r="SCS59" s="21"/>
      <c r="SCT59" s="21"/>
      <c r="SCX59" s="15"/>
      <c r="SDD59" s="25"/>
      <c r="SDK59" s="21"/>
      <c r="SDL59" s="21"/>
      <c r="SDP59" s="15"/>
      <c r="SDV59" s="25"/>
      <c r="SEC59" s="21"/>
      <c r="SED59" s="21"/>
      <c r="SEH59" s="15"/>
      <c r="SEN59" s="25"/>
      <c r="SEU59" s="21"/>
      <c r="SEV59" s="21"/>
      <c r="SEZ59" s="15"/>
      <c r="SFF59" s="25"/>
      <c r="SFM59" s="21"/>
      <c r="SFN59" s="21"/>
      <c r="SFR59" s="15"/>
      <c r="SFX59" s="25"/>
      <c r="SGE59" s="21"/>
      <c r="SGF59" s="21"/>
      <c r="SGJ59" s="15"/>
      <c r="SGP59" s="25"/>
      <c r="SGW59" s="21"/>
      <c r="SGX59" s="21"/>
      <c r="SHB59" s="15"/>
      <c r="SHH59" s="25"/>
      <c r="SHO59" s="21"/>
      <c r="SHP59" s="21"/>
      <c r="SHT59" s="15"/>
      <c r="SHZ59" s="25"/>
      <c r="SIG59" s="21"/>
      <c r="SIH59" s="21"/>
      <c r="SIL59" s="15"/>
      <c r="SIR59" s="25"/>
      <c r="SIY59" s="21"/>
      <c r="SIZ59" s="21"/>
      <c r="SJD59" s="15"/>
      <c r="SJJ59" s="25"/>
      <c r="SJQ59" s="21"/>
      <c r="SJR59" s="21"/>
      <c r="SJV59" s="15"/>
      <c r="SKB59" s="25"/>
      <c r="SKI59" s="21"/>
      <c r="SKJ59" s="21"/>
      <c r="SKN59" s="15"/>
      <c r="SKT59" s="25"/>
      <c r="SLA59" s="21"/>
      <c r="SLB59" s="21"/>
      <c r="SLF59" s="15"/>
      <c r="SLL59" s="25"/>
      <c r="SLS59" s="21"/>
      <c r="SLT59" s="21"/>
      <c r="SLX59" s="15"/>
      <c r="SMD59" s="25"/>
      <c r="SMK59" s="21"/>
      <c r="SML59" s="21"/>
      <c r="SMP59" s="15"/>
      <c r="SMV59" s="25"/>
      <c r="SNC59" s="21"/>
      <c r="SND59" s="21"/>
      <c r="SNH59" s="15"/>
      <c r="SNN59" s="25"/>
      <c r="SNU59" s="21"/>
      <c r="SNV59" s="21"/>
      <c r="SNZ59" s="15"/>
      <c r="SOF59" s="25"/>
      <c r="SOM59" s="21"/>
      <c r="SON59" s="21"/>
      <c r="SOR59" s="15"/>
      <c r="SOX59" s="25"/>
      <c r="SPE59" s="21"/>
      <c r="SPF59" s="21"/>
      <c r="SPJ59" s="15"/>
      <c r="SPP59" s="25"/>
      <c r="SPW59" s="21"/>
      <c r="SPX59" s="21"/>
      <c r="SQB59" s="15"/>
      <c r="SQH59" s="25"/>
      <c r="SQO59" s="21"/>
      <c r="SQP59" s="21"/>
      <c r="SQT59" s="15"/>
      <c r="SQZ59" s="25"/>
      <c r="SRG59" s="21"/>
      <c r="SRH59" s="21"/>
      <c r="SRL59" s="15"/>
      <c r="SRR59" s="25"/>
      <c r="SRY59" s="21"/>
      <c r="SRZ59" s="21"/>
      <c r="SSD59" s="15"/>
      <c r="SSJ59" s="25"/>
      <c r="SSQ59" s="21"/>
      <c r="SSR59" s="21"/>
      <c r="SSV59" s="15"/>
      <c r="STB59" s="25"/>
      <c r="STI59" s="21"/>
      <c r="STJ59" s="21"/>
      <c r="STN59" s="15"/>
      <c r="STT59" s="25"/>
      <c r="SUA59" s="21"/>
      <c r="SUB59" s="21"/>
      <c r="SUF59" s="15"/>
      <c r="SUL59" s="25"/>
      <c r="SUS59" s="21"/>
      <c r="SUT59" s="21"/>
      <c r="SUX59" s="15"/>
      <c r="SVD59" s="25"/>
      <c r="SVK59" s="21"/>
      <c r="SVL59" s="21"/>
      <c r="SVP59" s="15"/>
      <c r="SVV59" s="25"/>
      <c r="SWC59" s="21"/>
      <c r="SWD59" s="21"/>
      <c r="SWH59" s="15"/>
      <c r="SWN59" s="25"/>
      <c r="SWU59" s="21"/>
      <c r="SWV59" s="21"/>
      <c r="SWZ59" s="15"/>
      <c r="SXF59" s="25"/>
      <c r="SXM59" s="21"/>
      <c r="SXN59" s="21"/>
      <c r="SXR59" s="15"/>
      <c r="SXX59" s="25"/>
      <c r="SYE59" s="21"/>
      <c r="SYF59" s="21"/>
      <c r="SYJ59" s="15"/>
      <c r="SYP59" s="25"/>
      <c r="SYW59" s="21"/>
      <c r="SYX59" s="21"/>
      <c r="SZB59" s="15"/>
      <c r="SZH59" s="25"/>
      <c r="SZO59" s="21"/>
      <c r="SZP59" s="21"/>
      <c r="SZT59" s="15"/>
      <c r="SZZ59" s="25"/>
      <c r="TAG59" s="21"/>
      <c r="TAH59" s="21"/>
      <c r="TAL59" s="15"/>
      <c r="TAR59" s="25"/>
      <c r="TAY59" s="21"/>
      <c r="TAZ59" s="21"/>
      <c r="TBD59" s="15"/>
      <c r="TBJ59" s="25"/>
      <c r="TBQ59" s="21"/>
      <c r="TBR59" s="21"/>
      <c r="TBV59" s="15"/>
      <c r="TCB59" s="25"/>
      <c r="TCI59" s="21"/>
      <c r="TCJ59" s="21"/>
      <c r="TCN59" s="15"/>
      <c r="TCT59" s="25"/>
      <c r="TDA59" s="21"/>
      <c r="TDB59" s="21"/>
      <c r="TDF59" s="15"/>
      <c r="TDL59" s="25"/>
      <c r="TDS59" s="21"/>
      <c r="TDT59" s="21"/>
      <c r="TDX59" s="15"/>
      <c r="TED59" s="25"/>
      <c r="TEK59" s="21"/>
      <c r="TEL59" s="21"/>
      <c r="TEP59" s="15"/>
      <c r="TEV59" s="25"/>
      <c r="TFC59" s="21"/>
      <c r="TFD59" s="21"/>
      <c r="TFH59" s="15"/>
      <c r="TFN59" s="25"/>
      <c r="TFU59" s="21"/>
      <c r="TFV59" s="21"/>
      <c r="TFZ59" s="15"/>
      <c r="TGF59" s="25"/>
      <c r="TGM59" s="21"/>
      <c r="TGN59" s="21"/>
      <c r="TGR59" s="15"/>
      <c r="TGX59" s="25"/>
      <c r="THE59" s="21"/>
      <c r="THF59" s="21"/>
      <c r="THJ59" s="15"/>
      <c r="THP59" s="25"/>
      <c r="THW59" s="21"/>
      <c r="THX59" s="21"/>
      <c r="TIB59" s="15"/>
      <c r="TIH59" s="25"/>
      <c r="TIO59" s="21"/>
      <c r="TIP59" s="21"/>
      <c r="TIT59" s="15"/>
      <c r="TIZ59" s="25"/>
      <c r="TJG59" s="21"/>
      <c r="TJH59" s="21"/>
      <c r="TJL59" s="15"/>
      <c r="TJR59" s="25"/>
      <c r="TJY59" s="21"/>
      <c r="TJZ59" s="21"/>
      <c r="TKD59" s="15"/>
      <c r="TKJ59" s="25"/>
      <c r="TKQ59" s="21"/>
      <c r="TKR59" s="21"/>
      <c r="TKV59" s="15"/>
      <c r="TLB59" s="25"/>
      <c r="TLI59" s="21"/>
      <c r="TLJ59" s="21"/>
      <c r="TLN59" s="15"/>
      <c r="TLT59" s="25"/>
      <c r="TMA59" s="21"/>
      <c r="TMB59" s="21"/>
      <c r="TMF59" s="15"/>
      <c r="TML59" s="25"/>
      <c r="TMS59" s="21"/>
      <c r="TMT59" s="21"/>
      <c r="TMX59" s="15"/>
      <c r="TND59" s="25"/>
      <c r="TNK59" s="21"/>
      <c r="TNL59" s="21"/>
      <c r="TNP59" s="15"/>
      <c r="TNV59" s="25"/>
      <c r="TOC59" s="21"/>
      <c r="TOD59" s="21"/>
      <c r="TOH59" s="15"/>
      <c r="TON59" s="25"/>
      <c r="TOU59" s="21"/>
      <c r="TOV59" s="21"/>
      <c r="TOZ59" s="15"/>
      <c r="TPF59" s="25"/>
      <c r="TPM59" s="21"/>
      <c r="TPN59" s="21"/>
      <c r="TPR59" s="15"/>
      <c r="TPX59" s="25"/>
      <c r="TQE59" s="21"/>
      <c r="TQF59" s="21"/>
      <c r="TQJ59" s="15"/>
      <c r="TQP59" s="25"/>
      <c r="TQW59" s="21"/>
      <c r="TQX59" s="21"/>
      <c r="TRB59" s="15"/>
      <c r="TRH59" s="25"/>
      <c r="TRO59" s="21"/>
      <c r="TRP59" s="21"/>
      <c r="TRT59" s="15"/>
      <c r="TRZ59" s="25"/>
      <c r="TSG59" s="21"/>
      <c r="TSH59" s="21"/>
      <c r="TSL59" s="15"/>
      <c r="TSR59" s="25"/>
      <c r="TSY59" s="21"/>
      <c r="TSZ59" s="21"/>
      <c r="TTD59" s="15"/>
      <c r="TTJ59" s="25"/>
      <c r="TTQ59" s="21"/>
      <c r="TTR59" s="21"/>
      <c r="TTV59" s="15"/>
      <c r="TUB59" s="25"/>
      <c r="TUI59" s="21"/>
      <c r="TUJ59" s="21"/>
      <c r="TUN59" s="15"/>
      <c r="TUT59" s="25"/>
      <c r="TVA59" s="21"/>
      <c r="TVB59" s="21"/>
      <c r="TVF59" s="15"/>
      <c r="TVL59" s="25"/>
      <c r="TVS59" s="21"/>
      <c r="TVT59" s="21"/>
      <c r="TVX59" s="15"/>
      <c r="TWD59" s="25"/>
      <c r="TWK59" s="21"/>
      <c r="TWL59" s="21"/>
      <c r="TWP59" s="15"/>
      <c r="TWV59" s="25"/>
      <c r="TXC59" s="21"/>
      <c r="TXD59" s="21"/>
      <c r="TXH59" s="15"/>
      <c r="TXN59" s="25"/>
      <c r="TXU59" s="21"/>
      <c r="TXV59" s="21"/>
      <c r="TXZ59" s="15"/>
      <c r="TYF59" s="25"/>
      <c r="TYM59" s="21"/>
      <c r="TYN59" s="21"/>
      <c r="TYR59" s="15"/>
      <c r="TYX59" s="25"/>
      <c r="TZE59" s="21"/>
      <c r="TZF59" s="21"/>
      <c r="TZJ59" s="15"/>
      <c r="TZP59" s="25"/>
      <c r="TZW59" s="21"/>
      <c r="TZX59" s="21"/>
      <c r="UAB59" s="15"/>
      <c r="UAH59" s="25"/>
      <c r="UAO59" s="21"/>
      <c r="UAP59" s="21"/>
      <c r="UAT59" s="15"/>
      <c r="UAZ59" s="25"/>
      <c r="UBG59" s="21"/>
      <c r="UBH59" s="21"/>
      <c r="UBL59" s="15"/>
      <c r="UBR59" s="25"/>
      <c r="UBY59" s="21"/>
      <c r="UBZ59" s="21"/>
      <c r="UCD59" s="15"/>
      <c r="UCJ59" s="25"/>
      <c r="UCQ59" s="21"/>
      <c r="UCR59" s="21"/>
      <c r="UCV59" s="15"/>
      <c r="UDB59" s="25"/>
      <c r="UDI59" s="21"/>
      <c r="UDJ59" s="21"/>
      <c r="UDN59" s="15"/>
      <c r="UDT59" s="25"/>
      <c r="UEA59" s="21"/>
      <c r="UEB59" s="21"/>
      <c r="UEF59" s="15"/>
      <c r="UEL59" s="25"/>
      <c r="UES59" s="21"/>
      <c r="UET59" s="21"/>
      <c r="UEX59" s="15"/>
      <c r="UFD59" s="25"/>
      <c r="UFK59" s="21"/>
      <c r="UFL59" s="21"/>
      <c r="UFP59" s="15"/>
      <c r="UFV59" s="25"/>
      <c r="UGC59" s="21"/>
      <c r="UGD59" s="21"/>
      <c r="UGH59" s="15"/>
      <c r="UGN59" s="25"/>
      <c r="UGU59" s="21"/>
      <c r="UGV59" s="21"/>
      <c r="UGZ59" s="15"/>
      <c r="UHF59" s="25"/>
      <c r="UHM59" s="21"/>
      <c r="UHN59" s="21"/>
      <c r="UHR59" s="15"/>
      <c r="UHX59" s="25"/>
      <c r="UIE59" s="21"/>
      <c r="UIF59" s="21"/>
      <c r="UIJ59" s="15"/>
      <c r="UIP59" s="25"/>
      <c r="UIW59" s="21"/>
      <c r="UIX59" s="21"/>
      <c r="UJB59" s="15"/>
      <c r="UJH59" s="25"/>
      <c r="UJO59" s="21"/>
      <c r="UJP59" s="21"/>
      <c r="UJT59" s="15"/>
      <c r="UJZ59" s="25"/>
      <c r="UKG59" s="21"/>
      <c r="UKH59" s="21"/>
      <c r="UKL59" s="15"/>
      <c r="UKR59" s="25"/>
      <c r="UKY59" s="21"/>
      <c r="UKZ59" s="21"/>
      <c r="ULD59" s="15"/>
      <c r="ULJ59" s="25"/>
      <c r="ULQ59" s="21"/>
      <c r="ULR59" s="21"/>
      <c r="ULV59" s="15"/>
      <c r="UMB59" s="25"/>
      <c r="UMI59" s="21"/>
      <c r="UMJ59" s="21"/>
      <c r="UMN59" s="15"/>
      <c r="UMT59" s="25"/>
      <c r="UNA59" s="21"/>
      <c r="UNB59" s="21"/>
      <c r="UNF59" s="15"/>
      <c r="UNL59" s="25"/>
      <c r="UNS59" s="21"/>
      <c r="UNT59" s="21"/>
      <c r="UNX59" s="15"/>
      <c r="UOD59" s="25"/>
      <c r="UOK59" s="21"/>
      <c r="UOL59" s="21"/>
      <c r="UOP59" s="15"/>
      <c r="UOV59" s="25"/>
      <c r="UPC59" s="21"/>
      <c r="UPD59" s="21"/>
      <c r="UPH59" s="15"/>
      <c r="UPN59" s="25"/>
      <c r="UPU59" s="21"/>
      <c r="UPV59" s="21"/>
      <c r="UPZ59" s="15"/>
      <c r="UQF59" s="25"/>
      <c r="UQM59" s="21"/>
      <c r="UQN59" s="21"/>
      <c r="UQR59" s="15"/>
      <c r="UQX59" s="25"/>
      <c r="URE59" s="21"/>
      <c r="URF59" s="21"/>
      <c r="URJ59" s="15"/>
      <c r="URP59" s="25"/>
      <c r="URW59" s="21"/>
      <c r="URX59" s="21"/>
      <c r="USB59" s="15"/>
      <c r="USH59" s="25"/>
      <c r="USO59" s="21"/>
      <c r="USP59" s="21"/>
      <c r="UST59" s="15"/>
      <c r="USZ59" s="25"/>
      <c r="UTG59" s="21"/>
      <c r="UTH59" s="21"/>
      <c r="UTL59" s="15"/>
      <c r="UTR59" s="25"/>
      <c r="UTY59" s="21"/>
      <c r="UTZ59" s="21"/>
      <c r="UUD59" s="15"/>
      <c r="UUJ59" s="25"/>
      <c r="UUQ59" s="21"/>
      <c r="UUR59" s="21"/>
      <c r="UUV59" s="15"/>
      <c r="UVB59" s="25"/>
      <c r="UVI59" s="21"/>
      <c r="UVJ59" s="21"/>
      <c r="UVN59" s="15"/>
      <c r="UVT59" s="25"/>
      <c r="UWA59" s="21"/>
      <c r="UWB59" s="21"/>
      <c r="UWF59" s="15"/>
      <c r="UWL59" s="25"/>
      <c r="UWS59" s="21"/>
      <c r="UWT59" s="21"/>
      <c r="UWX59" s="15"/>
      <c r="UXD59" s="25"/>
      <c r="UXK59" s="21"/>
      <c r="UXL59" s="21"/>
      <c r="UXP59" s="15"/>
      <c r="UXV59" s="25"/>
      <c r="UYC59" s="21"/>
      <c r="UYD59" s="21"/>
      <c r="UYH59" s="15"/>
      <c r="UYN59" s="25"/>
      <c r="UYU59" s="21"/>
      <c r="UYV59" s="21"/>
      <c r="UYZ59" s="15"/>
      <c r="UZF59" s="25"/>
      <c r="UZM59" s="21"/>
      <c r="UZN59" s="21"/>
      <c r="UZR59" s="15"/>
      <c r="UZX59" s="25"/>
      <c r="VAE59" s="21"/>
      <c r="VAF59" s="21"/>
      <c r="VAJ59" s="15"/>
      <c r="VAP59" s="25"/>
      <c r="VAW59" s="21"/>
      <c r="VAX59" s="21"/>
      <c r="VBB59" s="15"/>
      <c r="VBH59" s="25"/>
      <c r="VBO59" s="21"/>
      <c r="VBP59" s="21"/>
      <c r="VBT59" s="15"/>
      <c r="VBZ59" s="25"/>
      <c r="VCG59" s="21"/>
      <c r="VCH59" s="21"/>
      <c r="VCL59" s="15"/>
      <c r="VCR59" s="25"/>
      <c r="VCY59" s="21"/>
      <c r="VCZ59" s="21"/>
      <c r="VDD59" s="15"/>
      <c r="VDJ59" s="25"/>
      <c r="VDQ59" s="21"/>
      <c r="VDR59" s="21"/>
      <c r="VDV59" s="15"/>
      <c r="VEB59" s="25"/>
      <c r="VEI59" s="21"/>
      <c r="VEJ59" s="21"/>
      <c r="VEN59" s="15"/>
      <c r="VET59" s="25"/>
      <c r="VFA59" s="21"/>
      <c r="VFB59" s="21"/>
      <c r="VFF59" s="15"/>
      <c r="VFL59" s="25"/>
      <c r="VFS59" s="21"/>
      <c r="VFT59" s="21"/>
      <c r="VFX59" s="15"/>
      <c r="VGD59" s="25"/>
      <c r="VGK59" s="21"/>
      <c r="VGL59" s="21"/>
      <c r="VGP59" s="15"/>
      <c r="VGV59" s="25"/>
      <c r="VHC59" s="21"/>
      <c r="VHD59" s="21"/>
      <c r="VHH59" s="15"/>
      <c r="VHN59" s="25"/>
      <c r="VHU59" s="21"/>
      <c r="VHV59" s="21"/>
      <c r="VHZ59" s="15"/>
      <c r="VIF59" s="25"/>
      <c r="VIM59" s="21"/>
      <c r="VIN59" s="21"/>
      <c r="VIR59" s="15"/>
      <c r="VIX59" s="25"/>
      <c r="VJE59" s="21"/>
      <c r="VJF59" s="21"/>
      <c r="VJJ59" s="15"/>
      <c r="VJP59" s="25"/>
      <c r="VJW59" s="21"/>
      <c r="VJX59" s="21"/>
      <c r="VKB59" s="15"/>
      <c r="VKH59" s="25"/>
      <c r="VKO59" s="21"/>
      <c r="VKP59" s="21"/>
      <c r="VKT59" s="15"/>
      <c r="VKZ59" s="25"/>
      <c r="VLG59" s="21"/>
      <c r="VLH59" s="21"/>
      <c r="VLL59" s="15"/>
      <c r="VLR59" s="25"/>
      <c r="VLY59" s="21"/>
      <c r="VLZ59" s="21"/>
      <c r="VMD59" s="15"/>
      <c r="VMJ59" s="25"/>
      <c r="VMQ59" s="21"/>
      <c r="VMR59" s="21"/>
      <c r="VMV59" s="15"/>
      <c r="VNB59" s="25"/>
      <c r="VNI59" s="21"/>
      <c r="VNJ59" s="21"/>
      <c r="VNN59" s="15"/>
      <c r="VNT59" s="25"/>
      <c r="VOA59" s="21"/>
      <c r="VOB59" s="21"/>
      <c r="VOF59" s="15"/>
      <c r="VOL59" s="25"/>
      <c r="VOS59" s="21"/>
      <c r="VOT59" s="21"/>
      <c r="VOX59" s="15"/>
      <c r="VPD59" s="25"/>
      <c r="VPK59" s="21"/>
      <c r="VPL59" s="21"/>
      <c r="VPP59" s="15"/>
      <c r="VPV59" s="25"/>
      <c r="VQC59" s="21"/>
      <c r="VQD59" s="21"/>
      <c r="VQH59" s="15"/>
      <c r="VQN59" s="25"/>
      <c r="VQU59" s="21"/>
      <c r="VQV59" s="21"/>
      <c r="VQZ59" s="15"/>
      <c r="VRF59" s="25"/>
      <c r="VRM59" s="21"/>
      <c r="VRN59" s="21"/>
      <c r="VRR59" s="15"/>
      <c r="VRX59" s="25"/>
      <c r="VSE59" s="21"/>
      <c r="VSF59" s="21"/>
      <c r="VSJ59" s="15"/>
      <c r="VSP59" s="25"/>
      <c r="VSW59" s="21"/>
      <c r="VSX59" s="21"/>
      <c r="VTB59" s="15"/>
      <c r="VTH59" s="25"/>
      <c r="VTO59" s="21"/>
      <c r="VTP59" s="21"/>
      <c r="VTT59" s="15"/>
      <c r="VTZ59" s="25"/>
      <c r="VUG59" s="21"/>
      <c r="VUH59" s="21"/>
      <c r="VUL59" s="15"/>
      <c r="VUR59" s="25"/>
      <c r="VUY59" s="21"/>
      <c r="VUZ59" s="21"/>
      <c r="VVD59" s="15"/>
      <c r="VVJ59" s="25"/>
      <c r="VVQ59" s="21"/>
      <c r="VVR59" s="21"/>
      <c r="VVV59" s="15"/>
      <c r="VWB59" s="25"/>
      <c r="VWI59" s="21"/>
      <c r="VWJ59" s="21"/>
      <c r="VWN59" s="15"/>
      <c r="VWT59" s="25"/>
      <c r="VXA59" s="21"/>
      <c r="VXB59" s="21"/>
      <c r="VXF59" s="15"/>
      <c r="VXL59" s="25"/>
      <c r="VXS59" s="21"/>
      <c r="VXT59" s="21"/>
      <c r="VXX59" s="15"/>
      <c r="VYD59" s="25"/>
      <c r="VYK59" s="21"/>
      <c r="VYL59" s="21"/>
      <c r="VYP59" s="15"/>
      <c r="VYV59" s="25"/>
      <c r="VZC59" s="21"/>
      <c r="VZD59" s="21"/>
      <c r="VZH59" s="15"/>
      <c r="VZN59" s="25"/>
      <c r="VZU59" s="21"/>
      <c r="VZV59" s="21"/>
      <c r="VZZ59" s="15"/>
      <c r="WAF59" s="25"/>
      <c r="WAM59" s="21"/>
      <c r="WAN59" s="21"/>
      <c r="WAR59" s="15"/>
      <c r="WAX59" s="25"/>
      <c r="WBE59" s="21"/>
      <c r="WBF59" s="21"/>
      <c r="WBJ59" s="15"/>
      <c r="WBP59" s="25"/>
      <c r="WBW59" s="21"/>
      <c r="WBX59" s="21"/>
      <c r="WCB59" s="15"/>
      <c r="WCH59" s="25"/>
      <c r="WCO59" s="21"/>
      <c r="WCP59" s="21"/>
      <c r="WCT59" s="15"/>
      <c r="WCZ59" s="25"/>
      <c r="WDG59" s="21"/>
      <c r="WDH59" s="21"/>
      <c r="WDL59" s="15"/>
      <c r="WDR59" s="25"/>
      <c r="WDY59" s="21"/>
      <c r="WDZ59" s="21"/>
      <c r="WED59" s="15"/>
      <c r="WEJ59" s="25"/>
      <c r="WEQ59" s="21"/>
      <c r="WER59" s="21"/>
      <c r="WEV59" s="15"/>
      <c r="WFB59" s="25"/>
      <c r="WFI59" s="21"/>
      <c r="WFJ59" s="21"/>
      <c r="WFN59" s="15"/>
      <c r="WFT59" s="25"/>
      <c r="WGA59" s="21"/>
      <c r="WGB59" s="21"/>
      <c r="WGF59" s="15"/>
      <c r="WGL59" s="25"/>
      <c r="WGS59" s="21"/>
      <c r="WGT59" s="21"/>
      <c r="WGX59" s="15"/>
      <c r="WHD59" s="25"/>
      <c r="WHK59" s="21"/>
      <c r="WHL59" s="21"/>
      <c r="WHP59" s="15"/>
      <c r="WHV59" s="25"/>
      <c r="WIC59" s="21"/>
      <c r="WID59" s="21"/>
      <c r="WIH59" s="15"/>
      <c r="WIN59" s="25"/>
      <c r="WIU59" s="21"/>
      <c r="WIV59" s="21"/>
      <c r="WIZ59" s="15"/>
      <c r="WJF59" s="25"/>
      <c r="WJM59" s="21"/>
      <c r="WJN59" s="21"/>
      <c r="WJR59" s="15"/>
      <c r="WJX59" s="25"/>
      <c r="WKE59" s="21"/>
      <c r="WKF59" s="21"/>
      <c r="WKJ59" s="15"/>
      <c r="WKP59" s="25"/>
      <c r="WKW59" s="21"/>
      <c r="WKX59" s="21"/>
      <c r="WLB59" s="15"/>
      <c r="WLH59" s="25"/>
      <c r="WLO59" s="21"/>
      <c r="WLP59" s="21"/>
      <c r="WLT59" s="15"/>
      <c r="WLZ59" s="25"/>
      <c r="WMG59" s="21"/>
      <c r="WMH59" s="21"/>
      <c r="WML59" s="15"/>
      <c r="WMR59" s="25"/>
      <c r="WMY59" s="21"/>
      <c r="WMZ59" s="21"/>
      <c r="WND59" s="15"/>
      <c r="WNJ59" s="25"/>
      <c r="WNQ59" s="21"/>
      <c r="WNR59" s="21"/>
      <c r="WNV59" s="15"/>
      <c r="WOB59" s="25"/>
      <c r="WOI59" s="21"/>
      <c r="WOJ59" s="21"/>
      <c r="WON59" s="15"/>
      <c r="WOT59" s="25"/>
      <c r="WPA59" s="21"/>
      <c r="WPB59" s="21"/>
      <c r="WPF59" s="15"/>
      <c r="WPL59" s="25"/>
      <c r="WPS59" s="21"/>
      <c r="WPT59" s="21"/>
      <c r="WPX59" s="15"/>
      <c r="WQD59" s="25"/>
      <c r="WQK59" s="21"/>
      <c r="WQL59" s="21"/>
      <c r="WQP59" s="15"/>
      <c r="WQV59" s="25"/>
      <c r="WRC59" s="21"/>
      <c r="WRD59" s="21"/>
      <c r="WRH59" s="15"/>
      <c r="WRN59" s="25"/>
      <c r="WRU59" s="21"/>
      <c r="WRV59" s="21"/>
      <c r="WRZ59" s="15"/>
      <c r="WSF59" s="25"/>
      <c r="WSM59" s="21"/>
      <c r="WSN59" s="21"/>
      <c r="WSR59" s="15"/>
      <c r="WSX59" s="25"/>
      <c r="WTE59" s="21"/>
      <c r="WTF59" s="21"/>
      <c r="WTJ59" s="15"/>
      <c r="WTP59" s="25"/>
      <c r="WTW59" s="21"/>
      <c r="WTX59" s="21"/>
      <c r="WUB59" s="15"/>
      <c r="WUH59" s="25"/>
      <c r="WUO59" s="21"/>
      <c r="WUP59" s="21"/>
      <c r="WUT59" s="15"/>
      <c r="WUZ59" s="25"/>
      <c r="WVG59" s="21"/>
      <c r="WVH59" s="21"/>
      <c r="WVL59" s="15"/>
      <c r="WVR59" s="25"/>
      <c r="WVY59" s="21"/>
      <c r="WVZ59" s="21"/>
      <c r="WWD59" s="15"/>
      <c r="WWJ59" s="25"/>
      <c r="WWQ59" s="21"/>
      <c r="WWR59" s="21"/>
      <c r="WWV59" s="15"/>
      <c r="WXB59" s="25"/>
      <c r="WXI59" s="21"/>
      <c r="WXJ59" s="21"/>
      <c r="WXN59" s="15"/>
      <c r="WXT59" s="25"/>
      <c r="WYA59" s="21"/>
      <c r="WYB59" s="21"/>
      <c r="WYF59" s="15"/>
      <c r="WYL59" s="25"/>
      <c r="WYS59" s="21"/>
      <c r="WYT59" s="21"/>
      <c r="WYX59" s="15"/>
      <c r="WZD59" s="25"/>
      <c r="WZK59" s="21"/>
      <c r="WZL59" s="21"/>
      <c r="WZP59" s="15"/>
      <c r="WZV59" s="25"/>
      <c r="XAC59" s="21"/>
      <c r="XAD59" s="21"/>
      <c r="XAH59" s="15"/>
      <c r="XAN59" s="25"/>
      <c r="XAU59" s="21"/>
      <c r="XAV59" s="21"/>
      <c r="XAZ59" s="15"/>
      <c r="XBF59" s="25"/>
      <c r="XBM59" s="21"/>
      <c r="XBN59" s="21"/>
      <c r="XBR59" s="15"/>
      <c r="XBX59" s="25"/>
      <c r="XCE59" s="21"/>
      <c r="XCF59" s="21"/>
      <c r="XCJ59" s="15"/>
      <c r="XCP59" s="25"/>
      <c r="XCW59" s="21"/>
      <c r="XCX59" s="21"/>
      <c r="XDB59" s="15"/>
      <c r="XDH59" s="25"/>
      <c r="XDO59" s="21"/>
      <c r="XDP59" s="21"/>
      <c r="XDT59" s="15"/>
      <c r="XDZ59" s="25"/>
      <c r="XEG59" s="21"/>
      <c r="XEH59" s="21"/>
      <c r="XEL59" s="15"/>
      <c r="XER59" s="25"/>
      <c r="XEY59" s="21"/>
      <c r="XEZ59" s="21"/>
      <c r="XFD59" s="15"/>
    </row>
    <row r="60" spans="1:1018 1025:2044 2051:3070 3077:4096 4103:5116 5122:6142 6148:7168 7174:8190 8194:9216 9220:10234 10241:11260 11267:12286 12293:13312 13319:14332 14338:15358 15364:16384" s="24" customFormat="1" ht="15" customHeight="1">
      <c r="A60" s="21" t="s">
        <v>182</v>
      </c>
      <c r="B60" s="12">
        <v>2011</v>
      </c>
      <c r="C60" s="19" t="s">
        <v>171</v>
      </c>
      <c r="D60" s="22" t="s">
        <v>86</v>
      </c>
      <c r="E60" s="43" t="s">
        <v>95</v>
      </c>
      <c r="F60" s="19" t="s">
        <v>35</v>
      </c>
      <c r="G60" s="18">
        <v>1413126313</v>
      </c>
      <c r="H60" s="20">
        <v>1408273353</v>
      </c>
      <c r="I60" s="12">
        <v>106</v>
      </c>
      <c r="J60" s="23" t="s">
        <v>183</v>
      </c>
      <c r="K60" s="22" t="s">
        <v>26</v>
      </c>
      <c r="L60" s="22"/>
      <c r="M60" s="22"/>
      <c r="N60" s="12"/>
      <c r="O60" s="22"/>
      <c r="P60" s="12"/>
      <c r="Q60" s="22" t="s">
        <v>27</v>
      </c>
      <c r="R60" s="22" t="s">
        <v>28</v>
      </c>
      <c r="T60" s="57"/>
      <c r="V60" s="15"/>
      <c r="AB60" s="25"/>
      <c r="AI60" s="21"/>
      <c r="AJ60" s="21"/>
      <c r="AN60" s="15"/>
      <c r="AT60" s="25"/>
      <c r="BA60" s="21"/>
      <c r="BB60" s="21"/>
      <c r="BF60" s="15"/>
      <c r="BL60" s="25"/>
      <c r="BS60" s="21"/>
      <c r="BT60" s="21"/>
      <c r="BX60" s="15"/>
      <c r="CD60" s="25"/>
      <c r="CK60" s="21"/>
      <c r="CL60" s="21"/>
      <c r="CP60" s="15"/>
      <c r="CV60" s="25"/>
      <c r="DC60" s="21"/>
      <c r="DD60" s="21"/>
      <c r="DH60" s="15"/>
      <c r="DN60" s="25"/>
      <c r="DU60" s="21"/>
      <c r="DV60" s="21"/>
      <c r="DZ60" s="15"/>
      <c r="EF60" s="25"/>
      <c r="EM60" s="21"/>
      <c r="EN60" s="21"/>
      <c r="ER60" s="15"/>
      <c r="EX60" s="25"/>
      <c r="FE60" s="21"/>
      <c r="FF60" s="21"/>
      <c r="FJ60" s="15"/>
      <c r="FP60" s="25"/>
      <c r="FW60" s="21"/>
      <c r="FX60" s="21"/>
      <c r="GB60" s="15"/>
      <c r="GH60" s="25"/>
      <c r="GO60" s="21"/>
      <c r="GP60" s="21"/>
      <c r="GT60" s="15"/>
      <c r="GZ60" s="25"/>
      <c r="HG60" s="21"/>
      <c r="HH60" s="21"/>
      <c r="HL60" s="15"/>
      <c r="HR60" s="25"/>
      <c r="HY60" s="21"/>
      <c r="HZ60" s="21"/>
      <c r="ID60" s="15"/>
      <c r="IJ60" s="25"/>
      <c r="IQ60" s="21"/>
      <c r="IR60" s="21"/>
      <c r="IV60" s="15"/>
      <c r="JB60" s="25"/>
      <c r="JI60" s="21"/>
      <c r="JJ60" s="21"/>
      <c r="JN60" s="15"/>
      <c r="JT60" s="25"/>
      <c r="KA60" s="21"/>
      <c r="KB60" s="21"/>
      <c r="KF60" s="15"/>
      <c r="KL60" s="25"/>
      <c r="KS60" s="21"/>
      <c r="KT60" s="21"/>
      <c r="KX60" s="15"/>
      <c r="LD60" s="25"/>
      <c r="LK60" s="21"/>
      <c r="LL60" s="21"/>
      <c r="LP60" s="15"/>
      <c r="LV60" s="25"/>
      <c r="MC60" s="21"/>
      <c r="MD60" s="21"/>
      <c r="MH60" s="15"/>
      <c r="MN60" s="25"/>
      <c r="MU60" s="21"/>
      <c r="MV60" s="21"/>
      <c r="MZ60" s="15"/>
      <c r="NF60" s="25"/>
      <c r="NM60" s="21"/>
      <c r="NN60" s="21"/>
      <c r="NR60" s="15"/>
      <c r="NX60" s="25"/>
      <c r="OE60" s="21"/>
      <c r="OF60" s="21"/>
      <c r="OJ60" s="15"/>
      <c r="OP60" s="25"/>
      <c r="OW60" s="21"/>
      <c r="OX60" s="21"/>
      <c r="PB60" s="15"/>
      <c r="PH60" s="25"/>
      <c r="PO60" s="21"/>
      <c r="PP60" s="21"/>
      <c r="PT60" s="15"/>
      <c r="PZ60" s="25"/>
      <c r="QG60" s="21"/>
      <c r="QH60" s="21"/>
      <c r="QL60" s="15"/>
      <c r="QR60" s="25"/>
      <c r="QY60" s="21"/>
      <c r="QZ60" s="21"/>
      <c r="RD60" s="15"/>
      <c r="RJ60" s="25"/>
      <c r="RQ60" s="21"/>
      <c r="RR60" s="21"/>
      <c r="RV60" s="15"/>
      <c r="SB60" s="25"/>
      <c r="SI60" s="21"/>
      <c r="SJ60" s="21"/>
      <c r="SN60" s="15"/>
      <c r="ST60" s="25"/>
      <c r="TA60" s="21"/>
      <c r="TB60" s="21"/>
      <c r="TF60" s="15"/>
      <c r="TL60" s="25"/>
      <c r="TS60" s="21"/>
      <c r="TT60" s="21"/>
      <c r="TX60" s="15"/>
      <c r="UD60" s="25"/>
      <c r="UK60" s="21"/>
      <c r="UL60" s="21"/>
      <c r="UP60" s="15"/>
      <c r="UV60" s="25"/>
      <c r="VC60" s="21"/>
      <c r="VD60" s="21"/>
      <c r="VH60" s="15"/>
      <c r="VN60" s="25"/>
      <c r="VU60" s="21"/>
      <c r="VV60" s="21"/>
      <c r="VZ60" s="15"/>
      <c r="WF60" s="25"/>
      <c r="WM60" s="21"/>
      <c r="WN60" s="21"/>
      <c r="WR60" s="15"/>
      <c r="WX60" s="25"/>
      <c r="XE60" s="21"/>
      <c r="XF60" s="21"/>
      <c r="XJ60" s="15"/>
      <c r="XP60" s="25"/>
      <c r="XW60" s="21"/>
      <c r="XX60" s="21"/>
      <c r="YB60" s="15"/>
      <c r="YH60" s="25"/>
      <c r="YO60" s="21"/>
      <c r="YP60" s="21"/>
      <c r="YT60" s="15"/>
      <c r="YZ60" s="25"/>
      <c r="ZG60" s="21"/>
      <c r="ZH60" s="21"/>
      <c r="ZL60" s="15"/>
      <c r="ZR60" s="25"/>
      <c r="ZY60" s="21"/>
      <c r="ZZ60" s="21"/>
      <c r="AAD60" s="15"/>
      <c r="AAJ60" s="25"/>
      <c r="AAQ60" s="21"/>
      <c r="AAR60" s="21"/>
      <c r="AAV60" s="15"/>
      <c r="ABB60" s="25"/>
      <c r="ABI60" s="21"/>
      <c r="ABJ60" s="21"/>
      <c r="ABN60" s="15"/>
      <c r="ABT60" s="25"/>
      <c r="ACA60" s="21"/>
      <c r="ACB60" s="21"/>
      <c r="ACF60" s="15"/>
      <c r="ACL60" s="25"/>
      <c r="ACS60" s="21"/>
      <c r="ACT60" s="21"/>
      <c r="ACX60" s="15"/>
      <c r="ADD60" s="25"/>
      <c r="ADK60" s="21"/>
      <c r="ADL60" s="21"/>
      <c r="ADP60" s="15"/>
      <c r="ADV60" s="25"/>
      <c r="AEC60" s="21"/>
      <c r="AED60" s="21"/>
      <c r="AEH60" s="15"/>
      <c r="AEN60" s="25"/>
      <c r="AEU60" s="21"/>
      <c r="AEV60" s="21"/>
      <c r="AEZ60" s="15"/>
      <c r="AFF60" s="25"/>
      <c r="AFM60" s="21"/>
      <c r="AFN60" s="21"/>
      <c r="AFR60" s="15"/>
      <c r="AFX60" s="25"/>
      <c r="AGE60" s="21"/>
      <c r="AGF60" s="21"/>
      <c r="AGJ60" s="15"/>
      <c r="AGP60" s="25"/>
      <c r="AGW60" s="21"/>
      <c r="AGX60" s="21"/>
      <c r="AHB60" s="15"/>
      <c r="AHH60" s="25"/>
      <c r="AHO60" s="21"/>
      <c r="AHP60" s="21"/>
      <c r="AHT60" s="15"/>
      <c r="AHZ60" s="25"/>
      <c r="AIG60" s="21"/>
      <c r="AIH60" s="21"/>
      <c r="AIL60" s="15"/>
      <c r="AIR60" s="25"/>
      <c r="AIY60" s="21"/>
      <c r="AIZ60" s="21"/>
      <c r="AJD60" s="15"/>
      <c r="AJJ60" s="25"/>
      <c r="AJQ60" s="21"/>
      <c r="AJR60" s="21"/>
      <c r="AJV60" s="15"/>
      <c r="AKB60" s="25"/>
      <c r="AKI60" s="21"/>
      <c r="AKJ60" s="21"/>
      <c r="AKN60" s="15"/>
      <c r="AKT60" s="25"/>
      <c r="ALA60" s="21"/>
      <c r="ALB60" s="21"/>
      <c r="ALF60" s="15"/>
      <c r="ALL60" s="25"/>
      <c r="ALS60" s="21"/>
      <c r="ALT60" s="21"/>
      <c r="ALX60" s="15"/>
      <c r="AMD60" s="25"/>
      <c r="AMK60" s="21"/>
      <c r="AML60" s="21"/>
      <c r="AMP60" s="15"/>
      <c r="AMV60" s="25"/>
      <c r="ANC60" s="21"/>
      <c r="AND60" s="21"/>
      <c r="ANH60" s="15"/>
      <c r="ANN60" s="25"/>
      <c r="ANU60" s="21"/>
      <c r="ANV60" s="21"/>
      <c r="ANZ60" s="15"/>
      <c r="AOF60" s="25"/>
      <c r="AOM60" s="21"/>
      <c r="AON60" s="21"/>
      <c r="AOR60" s="15"/>
      <c r="AOX60" s="25"/>
      <c r="APE60" s="21"/>
      <c r="APF60" s="21"/>
      <c r="APJ60" s="15"/>
      <c r="APP60" s="25"/>
      <c r="APW60" s="21"/>
      <c r="APX60" s="21"/>
      <c r="AQB60" s="15"/>
      <c r="AQH60" s="25"/>
      <c r="AQO60" s="21"/>
      <c r="AQP60" s="21"/>
      <c r="AQT60" s="15"/>
      <c r="AQZ60" s="25"/>
      <c r="ARG60" s="21"/>
      <c r="ARH60" s="21"/>
      <c r="ARL60" s="15"/>
      <c r="ARR60" s="25"/>
      <c r="ARY60" s="21"/>
      <c r="ARZ60" s="21"/>
      <c r="ASD60" s="15"/>
      <c r="ASJ60" s="25"/>
      <c r="ASQ60" s="21"/>
      <c r="ASR60" s="21"/>
      <c r="ASV60" s="15"/>
      <c r="ATB60" s="25"/>
      <c r="ATI60" s="21"/>
      <c r="ATJ60" s="21"/>
      <c r="ATN60" s="15"/>
      <c r="ATT60" s="25"/>
      <c r="AUA60" s="21"/>
      <c r="AUB60" s="21"/>
      <c r="AUF60" s="15"/>
      <c r="AUL60" s="25"/>
      <c r="AUS60" s="21"/>
      <c r="AUT60" s="21"/>
      <c r="AUX60" s="15"/>
      <c r="AVD60" s="25"/>
      <c r="AVK60" s="21"/>
      <c r="AVL60" s="21"/>
      <c r="AVP60" s="15"/>
      <c r="AVV60" s="25"/>
      <c r="AWC60" s="21"/>
      <c r="AWD60" s="21"/>
      <c r="AWH60" s="15"/>
      <c r="AWN60" s="25"/>
      <c r="AWU60" s="21"/>
      <c r="AWV60" s="21"/>
      <c r="AWZ60" s="15"/>
      <c r="AXF60" s="25"/>
      <c r="AXM60" s="21"/>
      <c r="AXN60" s="21"/>
      <c r="AXR60" s="15"/>
      <c r="AXX60" s="25"/>
      <c r="AYE60" s="21"/>
      <c r="AYF60" s="21"/>
      <c r="AYJ60" s="15"/>
      <c r="AYP60" s="25"/>
      <c r="AYW60" s="21"/>
      <c r="AYX60" s="21"/>
      <c r="AZB60" s="15"/>
      <c r="AZH60" s="25"/>
      <c r="AZO60" s="21"/>
      <c r="AZP60" s="21"/>
      <c r="AZT60" s="15"/>
      <c r="AZZ60" s="25"/>
      <c r="BAG60" s="21"/>
      <c r="BAH60" s="21"/>
      <c r="BAL60" s="15"/>
      <c r="BAR60" s="25"/>
      <c r="BAY60" s="21"/>
      <c r="BAZ60" s="21"/>
      <c r="BBD60" s="15"/>
      <c r="BBJ60" s="25"/>
      <c r="BBQ60" s="21"/>
      <c r="BBR60" s="21"/>
      <c r="BBV60" s="15"/>
      <c r="BCB60" s="25"/>
      <c r="BCI60" s="21"/>
      <c r="BCJ60" s="21"/>
      <c r="BCN60" s="15"/>
      <c r="BCT60" s="25"/>
      <c r="BDA60" s="21"/>
      <c r="BDB60" s="21"/>
      <c r="BDF60" s="15"/>
      <c r="BDL60" s="25"/>
      <c r="BDS60" s="21"/>
      <c r="BDT60" s="21"/>
      <c r="BDX60" s="15"/>
      <c r="BED60" s="25"/>
      <c r="BEK60" s="21"/>
      <c r="BEL60" s="21"/>
      <c r="BEP60" s="15"/>
      <c r="BEV60" s="25"/>
      <c r="BFC60" s="21"/>
      <c r="BFD60" s="21"/>
      <c r="BFH60" s="15"/>
      <c r="BFN60" s="25"/>
      <c r="BFU60" s="21"/>
      <c r="BFV60" s="21"/>
      <c r="BFZ60" s="15"/>
      <c r="BGF60" s="25"/>
      <c r="BGM60" s="21"/>
      <c r="BGN60" s="21"/>
      <c r="BGR60" s="15"/>
      <c r="BGX60" s="25"/>
      <c r="BHE60" s="21"/>
      <c r="BHF60" s="21"/>
      <c r="BHJ60" s="15"/>
      <c r="BHP60" s="25"/>
      <c r="BHW60" s="21"/>
      <c r="BHX60" s="21"/>
      <c r="BIB60" s="15"/>
      <c r="BIH60" s="25"/>
      <c r="BIO60" s="21"/>
      <c r="BIP60" s="21"/>
      <c r="BIT60" s="15"/>
      <c r="BIZ60" s="25"/>
      <c r="BJG60" s="21"/>
      <c r="BJH60" s="21"/>
      <c r="BJL60" s="15"/>
      <c r="BJR60" s="25"/>
      <c r="BJY60" s="21"/>
      <c r="BJZ60" s="21"/>
      <c r="BKD60" s="15"/>
      <c r="BKJ60" s="25"/>
      <c r="BKQ60" s="21"/>
      <c r="BKR60" s="21"/>
      <c r="BKV60" s="15"/>
      <c r="BLB60" s="25"/>
      <c r="BLI60" s="21"/>
      <c r="BLJ60" s="21"/>
      <c r="BLN60" s="15"/>
      <c r="BLT60" s="25"/>
      <c r="BMA60" s="21"/>
      <c r="BMB60" s="21"/>
      <c r="BMF60" s="15"/>
      <c r="BML60" s="25"/>
      <c r="BMS60" s="21"/>
      <c r="BMT60" s="21"/>
      <c r="BMX60" s="15"/>
      <c r="BND60" s="25"/>
      <c r="BNK60" s="21"/>
      <c r="BNL60" s="21"/>
      <c r="BNP60" s="15"/>
      <c r="BNV60" s="25"/>
      <c r="BOC60" s="21"/>
      <c r="BOD60" s="21"/>
      <c r="BOH60" s="15"/>
      <c r="BON60" s="25"/>
      <c r="BOU60" s="21"/>
      <c r="BOV60" s="21"/>
      <c r="BOZ60" s="15"/>
      <c r="BPF60" s="25"/>
      <c r="BPM60" s="21"/>
      <c r="BPN60" s="21"/>
      <c r="BPR60" s="15"/>
      <c r="BPX60" s="25"/>
      <c r="BQE60" s="21"/>
      <c r="BQF60" s="21"/>
      <c r="BQJ60" s="15"/>
      <c r="BQP60" s="25"/>
      <c r="BQW60" s="21"/>
      <c r="BQX60" s="21"/>
      <c r="BRB60" s="15"/>
      <c r="BRH60" s="25"/>
      <c r="BRO60" s="21"/>
      <c r="BRP60" s="21"/>
      <c r="BRT60" s="15"/>
      <c r="BRZ60" s="25"/>
      <c r="BSG60" s="21"/>
      <c r="BSH60" s="21"/>
      <c r="BSL60" s="15"/>
      <c r="BSR60" s="25"/>
      <c r="BSY60" s="21"/>
      <c r="BSZ60" s="21"/>
      <c r="BTD60" s="15"/>
      <c r="BTJ60" s="25"/>
      <c r="BTQ60" s="21"/>
      <c r="BTR60" s="21"/>
      <c r="BTV60" s="15"/>
      <c r="BUB60" s="25"/>
      <c r="BUI60" s="21"/>
      <c r="BUJ60" s="21"/>
      <c r="BUN60" s="15"/>
      <c r="BUT60" s="25"/>
      <c r="BVA60" s="21"/>
      <c r="BVB60" s="21"/>
      <c r="BVF60" s="15"/>
      <c r="BVL60" s="25"/>
      <c r="BVS60" s="21"/>
      <c r="BVT60" s="21"/>
      <c r="BVX60" s="15"/>
      <c r="BWD60" s="25"/>
      <c r="BWK60" s="21"/>
      <c r="BWL60" s="21"/>
      <c r="BWP60" s="15"/>
      <c r="BWV60" s="25"/>
      <c r="BXC60" s="21"/>
      <c r="BXD60" s="21"/>
      <c r="BXH60" s="15"/>
      <c r="BXN60" s="25"/>
      <c r="BXU60" s="21"/>
      <c r="BXV60" s="21"/>
      <c r="BXZ60" s="15"/>
      <c r="BYF60" s="25"/>
      <c r="BYM60" s="21"/>
      <c r="BYN60" s="21"/>
      <c r="BYR60" s="15"/>
      <c r="BYX60" s="25"/>
      <c r="BZE60" s="21"/>
      <c r="BZF60" s="21"/>
      <c r="BZJ60" s="15"/>
      <c r="BZP60" s="25"/>
      <c r="BZW60" s="21"/>
      <c r="BZX60" s="21"/>
      <c r="CAB60" s="15"/>
      <c r="CAH60" s="25"/>
      <c r="CAO60" s="21"/>
      <c r="CAP60" s="21"/>
      <c r="CAT60" s="15"/>
      <c r="CAZ60" s="25"/>
      <c r="CBG60" s="21"/>
      <c r="CBH60" s="21"/>
      <c r="CBL60" s="15"/>
      <c r="CBR60" s="25"/>
      <c r="CBY60" s="21"/>
      <c r="CBZ60" s="21"/>
      <c r="CCD60" s="15"/>
      <c r="CCJ60" s="25"/>
      <c r="CCQ60" s="21"/>
      <c r="CCR60" s="21"/>
      <c r="CCV60" s="15"/>
      <c r="CDB60" s="25"/>
      <c r="CDI60" s="21"/>
      <c r="CDJ60" s="21"/>
      <c r="CDN60" s="15"/>
      <c r="CDT60" s="25"/>
      <c r="CEA60" s="21"/>
      <c r="CEB60" s="21"/>
      <c r="CEF60" s="15"/>
      <c r="CEL60" s="25"/>
      <c r="CES60" s="21"/>
      <c r="CET60" s="21"/>
      <c r="CEX60" s="15"/>
      <c r="CFD60" s="25"/>
      <c r="CFK60" s="21"/>
      <c r="CFL60" s="21"/>
      <c r="CFP60" s="15"/>
      <c r="CFV60" s="25"/>
      <c r="CGC60" s="21"/>
      <c r="CGD60" s="21"/>
      <c r="CGH60" s="15"/>
      <c r="CGN60" s="25"/>
      <c r="CGU60" s="21"/>
      <c r="CGV60" s="21"/>
      <c r="CGZ60" s="15"/>
      <c r="CHF60" s="25"/>
      <c r="CHM60" s="21"/>
      <c r="CHN60" s="21"/>
      <c r="CHR60" s="15"/>
      <c r="CHX60" s="25"/>
      <c r="CIE60" s="21"/>
      <c r="CIF60" s="21"/>
      <c r="CIJ60" s="15"/>
      <c r="CIP60" s="25"/>
      <c r="CIW60" s="21"/>
      <c r="CIX60" s="21"/>
      <c r="CJB60" s="15"/>
      <c r="CJH60" s="25"/>
      <c r="CJO60" s="21"/>
      <c r="CJP60" s="21"/>
      <c r="CJT60" s="15"/>
      <c r="CJZ60" s="25"/>
      <c r="CKG60" s="21"/>
      <c r="CKH60" s="21"/>
      <c r="CKL60" s="15"/>
      <c r="CKR60" s="25"/>
      <c r="CKY60" s="21"/>
      <c r="CKZ60" s="21"/>
      <c r="CLD60" s="15"/>
      <c r="CLJ60" s="25"/>
      <c r="CLQ60" s="21"/>
      <c r="CLR60" s="21"/>
      <c r="CLV60" s="15"/>
      <c r="CMB60" s="25"/>
      <c r="CMI60" s="21"/>
      <c r="CMJ60" s="21"/>
      <c r="CMN60" s="15"/>
      <c r="CMT60" s="25"/>
      <c r="CNA60" s="21"/>
      <c r="CNB60" s="21"/>
      <c r="CNF60" s="15"/>
      <c r="CNL60" s="25"/>
      <c r="CNS60" s="21"/>
      <c r="CNT60" s="21"/>
      <c r="CNX60" s="15"/>
      <c r="COD60" s="25"/>
      <c r="COK60" s="21"/>
      <c r="COL60" s="21"/>
      <c r="COP60" s="15"/>
      <c r="COV60" s="25"/>
      <c r="CPC60" s="21"/>
      <c r="CPD60" s="21"/>
      <c r="CPH60" s="15"/>
      <c r="CPN60" s="25"/>
      <c r="CPU60" s="21"/>
      <c r="CPV60" s="21"/>
      <c r="CPZ60" s="15"/>
      <c r="CQF60" s="25"/>
      <c r="CQM60" s="21"/>
      <c r="CQN60" s="21"/>
      <c r="CQR60" s="15"/>
      <c r="CQX60" s="25"/>
      <c r="CRE60" s="21"/>
      <c r="CRF60" s="21"/>
      <c r="CRJ60" s="15"/>
      <c r="CRP60" s="25"/>
      <c r="CRW60" s="21"/>
      <c r="CRX60" s="21"/>
      <c r="CSB60" s="15"/>
      <c r="CSH60" s="25"/>
      <c r="CSO60" s="21"/>
      <c r="CSP60" s="21"/>
      <c r="CST60" s="15"/>
      <c r="CSZ60" s="25"/>
      <c r="CTG60" s="21"/>
      <c r="CTH60" s="21"/>
      <c r="CTL60" s="15"/>
      <c r="CTR60" s="25"/>
      <c r="CTY60" s="21"/>
      <c r="CTZ60" s="21"/>
      <c r="CUD60" s="15"/>
      <c r="CUJ60" s="25"/>
      <c r="CUQ60" s="21"/>
      <c r="CUR60" s="21"/>
      <c r="CUV60" s="15"/>
      <c r="CVB60" s="25"/>
      <c r="CVI60" s="21"/>
      <c r="CVJ60" s="21"/>
      <c r="CVN60" s="15"/>
      <c r="CVT60" s="25"/>
      <c r="CWA60" s="21"/>
      <c r="CWB60" s="21"/>
      <c r="CWF60" s="15"/>
      <c r="CWL60" s="25"/>
      <c r="CWS60" s="21"/>
      <c r="CWT60" s="21"/>
      <c r="CWX60" s="15"/>
      <c r="CXD60" s="25"/>
      <c r="CXK60" s="21"/>
      <c r="CXL60" s="21"/>
      <c r="CXP60" s="15"/>
      <c r="CXV60" s="25"/>
      <c r="CYC60" s="21"/>
      <c r="CYD60" s="21"/>
      <c r="CYH60" s="15"/>
      <c r="CYN60" s="25"/>
      <c r="CYU60" s="21"/>
      <c r="CYV60" s="21"/>
      <c r="CYZ60" s="15"/>
      <c r="CZF60" s="25"/>
      <c r="CZM60" s="21"/>
      <c r="CZN60" s="21"/>
      <c r="CZR60" s="15"/>
      <c r="CZX60" s="25"/>
      <c r="DAE60" s="21"/>
      <c r="DAF60" s="21"/>
      <c r="DAJ60" s="15"/>
      <c r="DAP60" s="25"/>
      <c r="DAW60" s="21"/>
      <c r="DAX60" s="21"/>
      <c r="DBB60" s="15"/>
      <c r="DBH60" s="25"/>
      <c r="DBO60" s="21"/>
      <c r="DBP60" s="21"/>
      <c r="DBT60" s="15"/>
      <c r="DBZ60" s="25"/>
      <c r="DCG60" s="21"/>
      <c r="DCH60" s="21"/>
      <c r="DCL60" s="15"/>
      <c r="DCR60" s="25"/>
      <c r="DCY60" s="21"/>
      <c r="DCZ60" s="21"/>
      <c r="DDD60" s="15"/>
      <c r="DDJ60" s="25"/>
      <c r="DDQ60" s="21"/>
      <c r="DDR60" s="21"/>
      <c r="DDV60" s="15"/>
      <c r="DEB60" s="25"/>
      <c r="DEI60" s="21"/>
      <c r="DEJ60" s="21"/>
      <c r="DEN60" s="15"/>
      <c r="DET60" s="25"/>
      <c r="DFA60" s="21"/>
      <c r="DFB60" s="21"/>
      <c r="DFF60" s="15"/>
      <c r="DFL60" s="25"/>
      <c r="DFS60" s="21"/>
      <c r="DFT60" s="21"/>
      <c r="DFX60" s="15"/>
      <c r="DGD60" s="25"/>
      <c r="DGK60" s="21"/>
      <c r="DGL60" s="21"/>
      <c r="DGP60" s="15"/>
      <c r="DGV60" s="25"/>
      <c r="DHC60" s="21"/>
      <c r="DHD60" s="21"/>
      <c r="DHH60" s="15"/>
      <c r="DHN60" s="25"/>
      <c r="DHU60" s="21"/>
      <c r="DHV60" s="21"/>
      <c r="DHZ60" s="15"/>
      <c r="DIF60" s="25"/>
      <c r="DIM60" s="21"/>
      <c r="DIN60" s="21"/>
      <c r="DIR60" s="15"/>
      <c r="DIX60" s="25"/>
      <c r="DJE60" s="21"/>
      <c r="DJF60" s="21"/>
      <c r="DJJ60" s="15"/>
      <c r="DJP60" s="25"/>
      <c r="DJW60" s="21"/>
      <c r="DJX60" s="21"/>
      <c r="DKB60" s="15"/>
      <c r="DKH60" s="25"/>
      <c r="DKO60" s="21"/>
      <c r="DKP60" s="21"/>
      <c r="DKT60" s="15"/>
      <c r="DKZ60" s="25"/>
      <c r="DLG60" s="21"/>
      <c r="DLH60" s="21"/>
      <c r="DLL60" s="15"/>
      <c r="DLR60" s="25"/>
      <c r="DLY60" s="21"/>
      <c r="DLZ60" s="21"/>
      <c r="DMD60" s="15"/>
      <c r="DMJ60" s="25"/>
      <c r="DMQ60" s="21"/>
      <c r="DMR60" s="21"/>
      <c r="DMV60" s="15"/>
      <c r="DNB60" s="25"/>
      <c r="DNI60" s="21"/>
      <c r="DNJ60" s="21"/>
      <c r="DNN60" s="15"/>
      <c r="DNT60" s="25"/>
      <c r="DOA60" s="21"/>
      <c r="DOB60" s="21"/>
      <c r="DOF60" s="15"/>
      <c r="DOL60" s="25"/>
      <c r="DOS60" s="21"/>
      <c r="DOT60" s="21"/>
      <c r="DOX60" s="15"/>
      <c r="DPD60" s="25"/>
      <c r="DPK60" s="21"/>
      <c r="DPL60" s="21"/>
      <c r="DPP60" s="15"/>
      <c r="DPV60" s="25"/>
      <c r="DQC60" s="21"/>
      <c r="DQD60" s="21"/>
      <c r="DQH60" s="15"/>
      <c r="DQN60" s="25"/>
      <c r="DQU60" s="21"/>
      <c r="DQV60" s="21"/>
      <c r="DQZ60" s="15"/>
      <c r="DRF60" s="25"/>
      <c r="DRM60" s="21"/>
      <c r="DRN60" s="21"/>
      <c r="DRR60" s="15"/>
      <c r="DRX60" s="25"/>
      <c r="DSE60" s="21"/>
      <c r="DSF60" s="21"/>
      <c r="DSJ60" s="15"/>
      <c r="DSP60" s="25"/>
      <c r="DSW60" s="21"/>
      <c r="DSX60" s="21"/>
      <c r="DTB60" s="15"/>
      <c r="DTH60" s="25"/>
      <c r="DTO60" s="21"/>
      <c r="DTP60" s="21"/>
      <c r="DTT60" s="15"/>
      <c r="DTZ60" s="25"/>
      <c r="DUG60" s="21"/>
      <c r="DUH60" s="21"/>
      <c r="DUL60" s="15"/>
      <c r="DUR60" s="25"/>
      <c r="DUY60" s="21"/>
      <c r="DUZ60" s="21"/>
      <c r="DVD60" s="15"/>
      <c r="DVJ60" s="25"/>
      <c r="DVQ60" s="21"/>
      <c r="DVR60" s="21"/>
      <c r="DVV60" s="15"/>
      <c r="DWB60" s="25"/>
      <c r="DWI60" s="21"/>
      <c r="DWJ60" s="21"/>
      <c r="DWN60" s="15"/>
      <c r="DWT60" s="25"/>
      <c r="DXA60" s="21"/>
      <c r="DXB60" s="21"/>
      <c r="DXF60" s="15"/>
      <c r="DXL60" s="25"/>
      <c r="DXS60" s="21"/>
      <c r="DXT60" s="21"/>
      <c r="DXX60" s="15"/>
      <c r="DYD60" s="25"/>
      <c r="DYK60" s="21"/>
      <c r="DYL60" s="21"/>
      <c r="DYP60" s="15"/>
      <c r="DYV60" s="25"/>
      <c r="DZC60" s="21"/>
      <c r="DZD60" s="21"/>
      <c r="DZH60" s="15"/>
      <c r="DZN60" s="25"/>
      <c r="DZU60" s="21"/>
      <c r="DZV60" s="21"/>
      <c r="DZZ60" s="15"/>
      <c r="EAF60" s="25"/>
      <c r="EAM60" s="21"/>
      <c r="EAN60" s="21"/>
      <c r="EAR60" s="15"/>
      <c r="EAX60" s="25"/>
      <c r="EBE60" s="21"/>
      <c r="EBF60" s="21"/>
      <c r="EBJ60" s="15"/>
      <c r="EBP60" s="25"/>
      <c r="EBW60" s="21"/>
      <c r="EBX60" s="21"/>
      <c r="ECB60" s="15"/>
      <c r="ECH60" s="25"/>
      <c r="ECO60" s="21"/>
      <c r="ECP60" s="21"/>
      <c r="ECT60" s="15"/>
      <c r="ECZ60" s="25"/>
      <c r="EDG60" s="21"/>
      <c r="EDH60" s="21"/>
      <c r="EDL60" s="15"/>
      <c r="EDR60" s="25"/>
      <c r="EDY60" s="21"/>
      <c r="EDZ60" s="21"/>
      <c r="EED60" s="15"/>
      <c r="EEJ60" s="25"/>
      <c r="EEQ60" s="21"/>
      <c r="EER60" s="21"/>
      <c r="EEV60" s="15"/>
      <c r="EFB60" s="25"/>
      <c r="EFI60" s="21"/>
      <c r="EFJ60" s="21"/>
      <c r="EFN60" s="15"/>
      <c r="EFT60" s="25"/>
      <c r="EGA60" s="21"/>
      <c r="EGB60" s="21"/>
      <c r="EGF60" s="15"/>
      <c r="EGL60" s="25"/>
      <c r="EGS60" s="21"/>
      <c r="EGT60" s="21"/>
      <c r="EGX60" s="15"/>
      <c r="EHD60" s="25"/>
      <c r="EHK60" s="21"/>
      <c r="EHL60" s="21"/>
      <c r="EHP60" s="15"/>
      <c r="EHV60" s="25"/>
      <c r="EIC60" s="21"/>
      <c r="EID60" s="21"/>
      <c r="EIH60" s="15"/>
      <c r="EIN60" s="25"/>
      <c r="EIU60" s="21"/>
      <c r="EIV60" s="21"/>
      <c r="EIZ60" s="15"/>
      <c r="EJF60" s="25"/>
      <c r="EJM60" s="21"/>
      <c r="EJN60" s="21"/>
      <c r="EJR60" s="15"/>
      <c r="EJX60" s="25"/>
      <c r="EKE60" s="21"/>
      <c r="EKF60" s="21"/>
      <c r="EKJ60" s="15"/>
      <c r="EKP60" s="25"/>
      <c r="EKW60" s="21"/>
      <c r="EKX60" s="21"/>
      <c r="ELB60" s="15"/>
      <c r="ELH60" s="25"/>
      <c r="ELO60" s="21"/>
      <c r="ELP60" s="21"/>
      <c r="ELT60" s="15"/>
      <c r="ELZ60" s="25"/>
      <c r="EMG60" s="21"/>
      <c r="EMH60" s="21"/>
      <c r="EML60" s="15"/>
      <c r="EMR60" s="25"/>
      <c r="EMY60" s="21"/>
      <c r="EMZ60" s="21"/>
      <c r="END60" s="15"/>
      <c r="ENJ60" s="25"/>
      <c r="ENQ60" s="21"/>
      <c r="ENR60" s="21"/>
      <c r="ENV60" s="15"/>
      <c r="EOB60" s="25"/>
      <c r="EOI60" s="21"/>
      <c r="EOJ60" s="21"/>
      <c r="EON60" s="15"/>
      <c r="EOT60" s="25"/>
      <c r="EPA60" s="21"/>
      <c r="EPB60" s="21"/>
      <c r="EPF60" s="15"/>
      <c r="EPL60" s="25"/>
      <c r="EPS60" s="21"/>
      <c r="EPT60" s="21"/>
      <c r="EPX60" s="15"/>
      <c r="EQD60" s="25"/>
      <c r="EQK60" s="21"/>
      <c r="EQL60" s="21"/>
      <c r="EQP60" s="15"/>
      <c r="EQV60" s="25"/>
      <c r="ERC60" s="21"/>
      <c r="ERD60" s="21"/>
      <c r="ERH60" s="15"/>
      <c r="ERN60" s="25"/>
      <c r="ERU60" s="21"/>
      <c r="ERV60" s="21"/>
      <c r="ERZ60" s="15"/>
      <c r="ESF60" s="25"/>
      <c r="ESM60" s="21"/>
      <c r="ESN60" s="21"/>
      <c r="ESR60" s="15"/>
      <c r="ESX60" s="25"/>
      <c r="ETE60" s="21"/>
      <c r="ETF60" s="21"/>
      <c r="ETJ60" s="15"/>
      <c r="ETP60" s="25"/>
      <c r="ETW60" s="21"/>
      <c r="ETX60" s="21"/>
      <c r="EUB60" s="15"/>
      <c r="EUH60" s="25"/>
      <c r="EUO60" s="21"/>
      <c r="EUP60" s="21"/>
      <c r="EUT60" s="15"/>
      <c r="EUZ60" s="25"/>
      <c r="EVG60" s="21"/>
      <c r="EVH60" s="21"/>
      <c r="EVL60" s="15"/>
      <c r="EVR60" s="25"/>
      <c r="EVY60" s="21"/>
      <c r="EVZ60" s="21"/>
      <c r="EWD60" s="15"/>
      <c r="EWJ60" s="25"/>
      <c r="EWQ60" s="21"/>
      <c r="EWR60" s="21"/>
      <c r="EWV60" s="15"/>
      <c r="EXB60" s="25"/>
      <c r="EXI60" s="21"/>
      <c r="EXJ60" s="21"/>
      <c r="EXN60" s="15"/>
      <c r="EXT60" s="25"/>
      <c r="EYA60" s="21"/>
      <c r="EYB60" s="21"/>
      <c r="EYF60" s="15"/>
      <c r="EYL60" s="25"/>
      <c r="EYS60" s="21"/>
      <c r="EYT60" s="21"/>
      <c r="EYX60" s="15"/>
      <c r="EZD60" s="25"/>
      <c r="EZK60" s="21"/>
      <c r="EZL60" s="21"/>
      <c r="EZP60" s="15"/>
      <c r="EZV60" s="25"/>
      <c r="FAC60" s="21"/>
      <c r="FAD60" s="21"/>
      <c r="FAH60" s="15"/>
      <c r="FAN60" s="25"/>
      <c r="FAU60" s="21"/>
      <c r="FAV60" s="21"/>
      <c r="FAZ60" s="15"/>
      <c r="FBF60" s="25"/>
      <c r="FBM60" s="21"/>
      <c r="FBN60" s="21"/>
      <c r="FBR60" s="15"/>
      <c r="FBX60" s="25"/>
      <c r="FCE60" s="21"/>
      <c r="FCF60" s="21"/>
      <c r="FCJ60" s="15"/>
      <c r="FCP60" s="25"/>
      <c r="FCW60" s="21"/>
      <c r="FCX60" s="21"/>
      <c r="FDB60" s="15"/>
      <c r="FDH60" s="25"/>
      <c r="FDO60" s="21"/>
      <c r="FDP60" s="21"/>
      <c r="FDT60" s="15"/>
      <c r="FDZ60" s="25"/>
      <c r="FEG60" s="21"/>
      <c r="FEH60" s="21"/>
      <c r="FEL60" s="15"/>
      <c r="FER60" s="25"/>
      <c r="FEY60" s="21"/>
      <c r="FEZ60" s="21"/>
      <c r="FFD60" s="15"/>
      <c r="FFJ60" s="25"/>
      <c r="FFQ60" s="21"/>
      <c r="FFR60" s="21"/>
      <c r="FFV60" s="15"/>
      <c r="FGB60" s="25"/>
      <c r="FGI60" s="21"/>
      <c r="FGJ60" s="21"/>
      <c r="FGN60" s="15"/>
      <c r="FGT60" s="25"/>
      <c r="FHA60" s="21"/>
      <c r="FHB60" s="21"/>
      <c r="FHF60" s="15"/>
      <c r="FHL60" s="25"/>
      <c r="FHS60" s="21"/>
      <c r="FHT60" s="21"/>
      <c r="FHX60" s="15"/>
      <c r="FID60" s="25"/>
      <c r="FIK60" s="21"/>
      <c r="FIL60" s="21"/>
      <c r="FIP60" s="15"/>
      <c r="FIV60" s="25"/>
      <c r="FJC60" s="21"/>
      <c r="FJD60" s="21"/>
      <c r="FJH60" s="15"/>
      <c r="FJN60" s="25"/>
      <c r="FJU60" s="21"/>
      <c r="FJV60" s="21"/>
      <c r="FJZ60" s="15"/>
      <c r="FKF60" s="25"/>
      <c r="FKM60" s="21"/>
      <c r="FKN60" s="21"/>
      <c r="FKR60" s="15"/>
      <c r="FKX60" s="25"/>
      <c r="FLE60" s="21"/>
      <c r="FLF60" s="21"/>
      <c r="FLJ60" s="15"/>
      <c r="FLP60" s="25"/>
      <c r="FLW60" s="21"/>
      <c r="FLX60" s="21"/>
      <c r="FMB60" s="15"/>
      <c r="FMH60" s="25"/>
      <c r="FMO60" s="21"/>
      <c r="FMP60" s="21"/>
      <c r="FMT60" s="15"/>
      <c r="FMZ60" s="25"/>
      <c r="FNG60" s="21"/>
      <c r="FNH60" s="21"/>
      <c r="FNL60" s="15"/>
      <c r="FNR60" s="25"/>
      <c r="FNY60" s="21"/>
      <c r="FNZ60" s="21"/>
      <c r="FOD60" s="15"/>
      <c r="FOJ60" s="25"/>
      <c r="FOQ60" s="21"/>
      <c r="FOR60" s="21"/>
      <c r="FOV60" s="15"/>
      <c r="FPB60" s="25"/>
      <c r="FPI60" s="21"/>
      <c r="FPJ60" s="21"/>
      <c r="FPN60" s="15"/>
      <c r="FPT60" s="25"/>
      <c r="FQA60" s="21"/>
      <c r="FQB60" s="21"/>
      <c r="FQF60" s="15"/>
      <c r="FQL60" s="25"/>
      <c r="FQS60" s="21"/>
      <c r="FQT60" s="21"/>
      <c r="FQX60" s="15"/>
      <c r="FRD60" s="25"/>
      <c r="FRK60" s="21"/>
      <c r="FRL60" s="21"/>
      <c r="FRP60" s="15"/>
      <c r="FRV60" s="25"/>
      <c r="FSC60" s="21"/>
      <c r="FSD60" s="21"/>
      <c r="FSH60" s="15"/>
      <c r="FSN60" s="25"/>
      <c r="FSU60" s="21"/>
      <c r="FSV60" s="21"/>
      <c r="FSZ60" s="15"/>
      <c r="FTF60" s="25"/>
      <c r="FTM60" s="21"/>
      <c r="FTN60" s="21"/>
      <c r="FTR60" s="15"/>
      <c r="FTX60" s="25"/>
      <c r="FUE60" s="21"/>
      <c r="FUF60" s="21"/>
      <c r="FUJ60" s="15"/>
      <c r="FUP60" s="25"/>
      <c r="FUW60" s="21"/>
      <c r="FUX60" s="21"/>
      <c r="FVB60" s="15"/>
      <c r="FVH60" s="25"/>
      <c r="FVO60" s="21"/>
      <c r="FVP60" s="21"/>
      <c r="FVT60" s="15"/>
      <c r="FVZ60" s="25"/>
      <c r="FWG60" s="21"/>
      <c r="FWH60" s="21"/>
      <c r="FWL60" s="15"/>
      <c r="FWR60" s="25"/>
      <c r="FWY60" s="21"/>
      <c r="FWZ60" s="21"/>
      <c r="FXD60" s="15"/>
      <c r="FXJ60" s="25"/>
      <c r="FXQ60" s="21"/>
      <c r="FXR60" s="21"/>
      <c r="FXV60" s="15"/>
      <c r="FYB60" s="25"/>
      <c r="FYI60" s="21"/>
      <c r="FYJ60" s="21"/>
      <c r="FYN60" s="15"/>
      <c r="FYT60" s="25"/>
      <c r="FZA60" s="21"/>
      <c r="FZB60" s="21"/>
      <c r="FZF60" s="15"/>
      <c r="FZL60" s="25"/>
      <c r="FZS60" s="21"/>
      <c r="FZT60" s="21"/>
      <c r="FZX60" s="15"/>
      <c r="GAD60" s="25"/>
      <c r="GAK60" s="21"/>
      <c r="GAL60" s="21"/>
      <c r="GAP60" s="15"/>
      <c r="GAV60" s="25"/>
      <c r="GBC60" s="21"/>
      <c r="GBD60" s="21"/>
      <c r="GBH60" s="15"/>
      <c r="GBN60" s="25"/>
      <c r="GBU60" s="21"/>
      <c r="GBV60" s="21"/>
      <c r="GBZ60" s="15"/>
      <c r="GCF60" s="25"/>
      <c r="GCM60" s="21"/>
      <c r="GCN60" s="21"/>
      <c r="GCR60" s="15"/>
      <c r="GCX60" s="25"/>
      <c r="GDE60" s="21"/>
      <c r="GDF60" s="21"/>
      <c r="GDJ60" s="15"/>
      <c r="GDP60" s="25"/>
      <c r="GDW60" s="21"/>
      <c r="GDX60" s="21"/>
      <c r="GEB60" s="15"/>
      <c r="GEH60" s="25"/>
      <c r="GEO60" s="21"/>
      <c r="GEP60" s="21"/>
      <c r="GET60" s="15"/>
      <c r="GEZ60" s="25"/>
      <c r="GFG60" s="21"/>
      <c r="GFH60" s="21"/>
      <c r="GFL60" s="15"/>
      <c r="GFR60" s="25"/>
      <c r="GFY60" s="21"/>
      <c r="GFZ60" s="21"/>
      <c r="GGD60" s="15"/>
      <c r="GGJ60" s="25"/>
      <c r="GGQ60" s="21"/>
      <c r="GGR60" s="21"/>
      <c r="GGV60" s="15"/>
      <c r="GHB60" s="25"/>
      <c r="GHI60" s="21"/>
      <c r="GHJ60" s="21"/>
      <c r="GHN60" s="15"/>
      <c r="GHT60" s="25"/>
      <c r="GIA60" s="21"/>
      <c r="GIB60" s="21"/>
      <c r="GIF60" s="15"/>
      <c r="GIL60" s="25"/>
      <c r="GIS60" s="21"/>
      <c r="GIT60" s="21"/>
      <c r="GIX60" s="15"/>
      <c r="GJD60" s="25"/>
      <c r="GJK60" s="21"/>
      <c r="GJL60" s="21"/>
      <c r="GJP60" s="15"/>
      <c r="GJV60" s="25"/>
      <c r="GKC60" s="21"/>
      <c r="GKD60" s="21"/>
      <c r="GKH60" s="15"/>
      <c r="GKN60" s="25"/>
      <c r="GKU60" s="21"/>
      <c r="GKV60" s="21"/>
      <c r="GKZ60" s="15"/>
      <c r="GLF60" s="25"/>
      <c r="GLM60" s="21"/>
      <c r="GLN60" s="21"/>
      <c r="GLR60" s="15"/>
      <c r="GLX60" s="25"/>
      <c r="GME60" s="21"/>
      <c r="GMF60" s="21"/>
      <c r="GMJ60" s="15"/>
      <c r="GMP60" s="25"/>
      <c r="GMW60" s="21"/>
      <c r="GMX60" s="21"/>
      <c r="GNB60" s="15"/>
      <c r="GNH60" s="25"/>
      <c r="GNO60" s="21"/>
      <c r="GNP60" s="21"/>
      <c r="GNT60" s="15"/>
      <c r="GNZ60" s="25"/>
      <c r="GOG60" s="21"/>
      <c r="GOH60" s="21"/>
      <c r="GOL60" s="15"/>
      <c r="GOR60" s="25"/>
      <c r="GOY60" s="21"/>
      <c r="GOZ60" s="21"/>
      <c r="GPD60" s="15"/>
      <c r="GPJ60" s="25"/>
      <c r="GPQ60" s="21"/>
      <c r="GPR60" s="21"/>
      <c r="GPV60" s="15"/>
      <c r="GQB60" s="25"/>
      <c r="GQI60" s="21"/>
      <c r="GQJ60" s="21"/>
      <c r="GQN60" s="15"/>
      <c r="GQT60" s="25"/>
      <c r="GRA60" s="21"/>
      <c r="GRB60" s="21"/>
      <c r="GRF60" s="15"/>
      <c r="GRL60" s="25"/>
      <c r="GRS60" s="21"/>
      <c r="GRT60" s="21"/>
      <c r="GRX60" s="15"/>
      <c r="GSD60" s="25"/>
      <c r="GSK60" s="21"/>
      <c r="GSL60" s="21"/>
      <c r="GSP60" s="15"/>
      <c r="GSV60" s="25"/>
      <c r="GTC60" s="21"/>
      <c r="GTD60" s="21"/>
      <c r="GTH60" s="15"/>
      <c r="GTN60" s="25"/>
      <c r="GTU60" s="21"/>
      <c r="GTV60" s="21"/>
      <c r="GTZ60" s="15"/>
      <c r="GUF60" s="25"/>
      <c r="GUM60" s="21"/>
      <c r="GUN60" s="21"/>
      <c r="GUR60" s="15"/>
      <c r="GUX60" s="25"/>
      <c r="GVE60" s="21"/>
      <c r="GVF60" s="21"/>
      <c r="GVJ60" s="15"/>
      <c r="GVP60" s="25"/>
      <c r="GVW60" s="21"/>
      <c r="GVX60" s="21"/>
      <c r="GWB60" s="15"/>
      <c r="GWH60" s="25"/>
      <c r="GWO60" s="21"/>
      <c r="GWP60" s="21"/>
      <c r="GWT60" s="15"/>
      <c r="GWZ60" s="25"/>
      <c r="GXG60" s="21"/>
      <c r="GXH60" s="21"/>
      <c r="GXL60" s="15"/>
      <c r="GXR60" s="25"/>
      <c r="GXY60" s="21"/>
      <c r="GXZ60" s="21"/>
      <c r="GYD60" s="15"/>
      <c r="GYJ60" s="25"/>
      <c r="GYQ60" s="21"/>
      <c r="GYR60" s="21"/>
      <c r="GYV60" s="15"/>
      <c r="GZB60" s="25"/>
      <c r="GZI60" s="21"/>
      <c r="GZJ60" s="21"/>
      <c r="GZN60" s="15"/>
      <c r="GZT60" s="25"/>
      <c r="HAA60" s="21"/>
      <c r="HAB60" s="21"/>
      <c r="HAF60" s="15"/>
      <c r="HAL60" s="25"/>
      <c r="HAS60" s="21"/>
      <c r="HAT60" s="21"/>
      <c r="HAX60" s="15"/>
      <c r="HBD60" s="25"/>
      <c r="HBK60" s="21"/>
      <c r="HBL60" s="21"/>
      <c r="HBP60" s="15"/>
      <c r="HBV60" s="25"/>
      <c r="HCC60" s="21"/>
      <c r="HCD60" s="21"/>
      <c r="HCH60" s="15"/>
      <c r="HCN60" s="25"/>
      <c r="HCU60" s="21"/>
      <c r="HCV60" s="21"/>
      <c r="HCZ60" s="15"/>
      <c r="HDF60" s="25"/>
      <c r="HDM60" s="21"/>
      <c r="HDN60" s="21"/>
      <c r="HDR60" s="15"/>
      <c r="HDX60" s="25"/>
      <c r="HEE60" s="21"/>
      <c r="HEF60" s="21"/>
      <c r="HEJ60" s="15"/>
      <c r="HEP60" s="25"/>
      <c r="HEW60" s="21"/>
      <c r="HEX60" s="21"/>
      <c r="HFB60" s="15"/>
      <c r="HFH60" s="25"/>
      <c r="HFO60" s="21"/>
      <c r="HFP60" s="21"/>
      <c r="HFT60" s="15"/>
      <c r="HFZ60" s="25"/>
      <c r="HGG60" s="21"/>
      <c r="HGH60" s="21"/>
      <c r="HGL60" s="15"/>
      <c r="HGR60" s="25"/>
      <c r="HGY60" s="21"/>
      <c r="HGZ60" s="21"/>
      <c r="HHD60" s="15"/>
      <c r="HHJ60" s="25"/>
      <c r="HHQ60" s="21"/>
      <c r="HHR60" s="21"/>
      <c r="HHV60" s="15"/>
      <c r="HIB60" s="25"/>
      <c r="HII60" s="21"/>
      <c r="HIJ60" s="21"/>
      <c r="HIN60" s="15"/>
      <c r="HIT60" s="25"/>
      <c r="HJA60" s="21"/>
      <c r="HJB60" s="21"/>
      <c r="HJF60" s="15"/>
      <c r="HJL60" s="25"/>
      <c r="HJS60" s="21"/>
      <c r="HJT60" s="21"/>
      <c r="HJX60" s="15"/>
      <c r="HKD60" s="25"/>
      <c r="HKK60" s="21"/>
      <c r="HKL60" s="21"/>
      <c r="HKP60" s="15"/>
      <c r="HKV60" s="25"/>
      <c r="HLC60" s="21"/>
      <c r="HLD60" s="21"/>
      <c r="HLH60" s="15"/>
      <c r="HLN60" s="25"/>
      <c r="HLU60" s="21"/>
      <c r="HLV60" s="21"/>
      <c r="HLZ60" s="15"/>
      <c r="HMF60" s="25"/>
      <c r="HMM60" s="21"/>
      <c r="HMN60" s="21"/>
      <c r="HMR60" s="15"/>
      <c r="HMX60" s="25"/>
      <c r="HNE60" s="21"/>
      <c r="HNF60" s="21"/>
      <c r="HNJ60" s="15"/>
      <c r="HNP60" s="25"/>
      <c r="HNW60" s="21"/>
      <c r="HNX60" s="21"/>
      <c r="HOB60" s="15"/>
      <c r="HOH60" s="25"/>
      <c r="HOO60" s="21"/>
      <c r="HOP60" s="21"/>
      <c r="HOT60" s="15"/>
      <c r="HOZ60" s="25"/>
      <c r="HPG60" s="21"/>
      <c r="HPH60" s="21"/>
      <c r="HPL60" s="15"/>
      <c r="HPR60" s="25"/>
      <c r="HPY60" s="21"/>
      <c r="HPZ60" s="21"/>
      <c r="HQD60" s="15"/>
      <c r="HQJ60" s="25"/>
      <c r="HQQ60" s="21"/>
      <c r="HQR60" s="21"/>
      <c r="HQV60" s="15"/>
      <c r="HRB60" s="25"/>
      <c r="HRI60" s="21"/>
      <c r="HRJ60" s="21"/>
      <c r="HRN60" s="15"/>
      <c r="HRT60" s="25"/>
      <c r="HSA60" s="21"/>
      <c r="HSB60" s="21"/>
      <c r="HSF60" s="15"/>
      <c r="HSL60" s="25"/>
      <c r="HSS60" s="21"/>
      <c r="HST60" s="21"/>
      <c r="HSX60" s="15"/>
      <c r="HTD60" s="25"/>
      <c r="HTK60" s="21"/>
      <c r="HTL60" s="21"/>
      <c r="HTP60" s="15"/>
      <c r="HTV60" s="25"/>
      <c r="HUC60" s="21"/>
      <c r="HUD60" s="21"/>
      <c r="HUH60" s="15"/>
      <c r="HUN60" s="25"/>
      <c r="HUU60" s="21"/>
      <c r="HUV60" s="21"/>
      <c r="HUZ60" s="15"/>
      <c r="HVF60" s="25"/>
      <c r="HVM60" s="21"/>
      <c r="HVN60" s="21"/>
      <c r="HVR60" s="15"/>
      <c r="HVX60" s="25"/>
      <c r="HWE60" s="21"/>
      <c r="HWF60" s="21"/>
      <c r="HWJ60" s="15"/>
      <c r="HWP60" s="25"/>
      <c r="HWW60" s="21"/>
      <c r="HWX60" s="21"/>
      <c r="HXB60" s="15"/>
      <c r="HXH60" s="25"/>
      <c r="HXO60" s="21"/>
      <c r="HXP60" s="21"/>
      <c r="HXT60" s="15"/>
      <c r="HXZ60" s="25"/>
      <c r="HYG60" s="21"/>
      <c r="HYH60" s="21"/>
      <c r="HYL60" s="15"/>
      <c r="HYR60" s="25"/>
      <c r="HYY60" s="21"/>
      <c r="HYZ60" s="21"/>
      <c r="HZD60" s="15"/>
      <c r="HZJ60" s="25"/>
      <c r="HZQ60" s="21"/>
      <c r="HZR60" s="21"/>
      <c r="HZV60" s="15"/>
      <c r="IAB60" s="25"/>
      <c r="IAI60" s="21"/>
      <c r="IAJ60" s="21"/>
      <c r="IAN60" s="15"/>
      <c r="IAT60" s="25"/>
      <c r="IBA60" s="21"/>
      <c r="IBB60" s="21"/>
      <c r="IBF60" s="15"/>
      <c r="IBL60" s="25"/>
      <c r="IBS60" s="21"/>
      <c r="IBT60" s="21"/>
      <c r="IBX60" s="15"/>
      <c r="ICD60" s="25"/>
      <c r="ICK60" s="21"/>
      <c r="ICL60" s="21"/>
      <c r="ICP60" s="15"/>
      <c r="ICV60" s="25"/>
      <c r="IDC60" s="21"/>
      <c r="IDD60" s="21"/>
      <c r="IDH60" s="15"/>
      <c r="IDN60" s="25"/>
      <c r="IDU60" s="21"/>
      <c r="IDV60" s="21"/>
      <c r="IDZ60" s="15"/>
      <c r="IEF60" s="25"/>
      <c r="IEM60" s="21"/>
      <c r="IEN60" s="21"/>
      <c r="IER60" s="15"/>
      <c r="IEX60" s="25"/>
      <c r="IFE60" s="21"/>
      <c r="IFF60" s="21"/>
      <c r="IFJ60" s="15"/>
      <c r="IFP60" s="25"/>
      <c r="IFW60" s="21"/>
      <c r="IFX60" s="21"/>
      <c r="IGB60" s="15"/>
      <c r="IGH60" s="25"/>
      <c r="IGO60" s="21"/>
      <c r="IGP60" s="21"/>
      <c r="IGT60" s="15"/>
      <c r="IGZ60" s="25"/>
      <c r="IHG60" s="21"/>
      <c r="IHH60" s="21"/>
      <c r="IHL60" s="15"/>
      <c r="IHR60" s="25"/>
      <c r="IHY60" s="21"/>
      <c r="IHZ60" s="21"/>
      <c r="IID60" s="15"/>
      <c r="IIJ60" s="25"/>
      <c r="IIQ60" s="21"/>
      <c r="IIR60" s="21"/>
      <c r="IIV60" s="15"/>
      <c r="IJB60" s="25"/>
      <c r="IJI60" s="21"/>
      <c r="IJJ60" s="21"/>
      <c r="IJN60" s="15"/>
      <c r="IJT60" s="25"/>
      <c r="IKA60" s="21"/>
      <c r="IKB60" s="21"/>
      <c r="IKF60" s="15"/>
      <c r="IKL60" s="25"/>
      <c r="IKS60" s="21"/>
      <c r="IKT60" s="21"/>
      <c r="IKX60" s="15"/>
      <c r="ILD60" s="25"/>
      <c r="ILK60" s="21"/>
      <c r="ILL60" s="21"/>
      <c r="ILP60" s="15"/>
      <c r="ILV60" s="25"/>
      <c r="IMC60" s="21"/>
      <c r="IMD60" s="21"/>
      <c r="IMH60" s="15"/>
      <c r="IMN60" s="25"/>
      <c r="IMU60" s="21"/>
      <c r="IMV60" s="21"/>
      <c r="IMZ60" s="15"/>
      <c r="INF60" s="25"/>
      <c r="INM60" s="21"/>
      <c r="INN60" s="21"/>
      <c r="INR60" s="15"/>
      <c r="INX60" s="25"/>
      <c r="IOE60" s="21"/>
      <c r="IOF60" s="21"/>
      <c r="IOJ60" s="15"/>
      <c r="IOP60" s="25"/>
      <c r="IOW60" s="21"/>
      <c r="IOX60" s="21"/>
      <c r="IPB60" s="15"/>
      <c r="IPH60" s="25"/>
      <c r="IPO60" s="21"/>
      <c r="IPP60" s="21"/>
      <c r="IPT60" s="15"/>
      <c r="IPZ60" s="25"/>
      <c r="IQG60" s="21"/>
      <c r="IQH60" s="21"/>
      <c r="IQL60" s="15"/>
      <c r="IQR60" s="25"/>
      <c r="IQY60" s="21"/>
      <c r="IQZ60" s="21"/>
      <c r="IRD60" s="15"/>
      <c r="IRJ60" s="25"/>
      <c r="IRQ60" s="21"/>
      <c r="IRR60" s="21"/>
      <c r="IRV60" s="15"/>
      <c r="ISB60" s="25"/>
      <c r="ISI60" s="21"/>
      <c r="ISJ60" s="21"/>
      <c r="ISN60" s="15"/>
      <c r="IST60" s="25"/>
      <c r="ITA60" s="21"/>
      <c r="ITB60" s="21"/>
      <c r="ITF60" s="15"/>
      <c r="ITL60" s="25"/>
      <c r="ITS60" s="21"/>
      <c r="ITT60" s="21"/>
      <c r="ITX60" s="15"/>
      <c r="IUD60" s="25"/>
      <c r="IUK60" s="21"/>
      <c r="IUL60" s="21"/>
      <c r="IUP60" s="15"/>
      <c r="IUV60" s="25"/>
      <c r="IVC60" s="21"/>
      <c r="IVD60" s="21"/>
      <c r="IVH60" s="15"/>
      <c r="IVN60" s="25"/>
      <c r="IVU60" s="21"/>
      <c r="IVV60" s="21"/>
      <c r="IVZ60" s="15"/>
      <c r="IWF60" s="25"/>
      <c r="IWM60" s="21"/>
      <c r="IWN60" s="21"/>
      <c r="IWR60" s="15"/>
      <c r="IWX60" s="25"/>
      <c r="IXE60" s="21"/>
      <c r="IXF60" s="21"/>
      <c r="IXJ60" s="15"/>
      <c r="IXP60" s="25"/>
      <c r="IXW60" s="21"/>
      <c r="IXX60" s="21"/>
      <c r="IYB60" s="15"/>
      <c r="IYH60" s="25"/>
      <c r="IYO60" s="21"/>
      <c r="IYP60" s="21"/>
      <c r="IYT60" s="15"/>
      <c r="IYZ60" s="25"/>
      <c r="IZG60" s="21"/>
      <c r="IZH60" s="21"/>
      <c r="IZL60" s="15"/>
      <c r="IZR60" s="25"/>
      <c r="IZY60" s="21"/>
      <c r="IZZ60" s="21"/>
      <c r="JAD60" s="15"/>
      <c r="JAJ60" s="25"/>
      <c r="JAQ60" s="21"/>
      <c r="JAR60" s="21"/>
      <c r="JAV60" s="15"/>
      <c r="JBB60" s="25"/>
      <c r="JBI60" s="21"/>
      <c r="JBJ60" s="21"/>
      <c r="JBN60" s="15"/>
      <c r="JBT60" s="25"/>
      <c r="JCA60" s="21"/>
      <c r="JCB60" s="21"/>
      <c r="JCF60" s="15"/>
      <c r="JCL60" s="25"/>
      <c r="JCS60" s="21"/>
      <c r="JCT60" s="21"/>
      <c r="JCX60" s="15"/>
      <c r="JDD60" s="25"/>
      <c r="JDK60" s="21"/>
      <c r="JDL60" s="21"/>
      <c r="JDP60" s="15"/>
      <c r="JDV60" s="25"/>
      <c r="JEC60" s="21"/>
      <c r="JED60" s="21"/>
      <c r="JEH60" s="15"/>
      <c r="JEN60" s="25"/>
      <c r="JEU60" s="21"/>
      <c r="JEV60" s="21"/>
      <c r="JEZ60" s="15"/>
      <c r="JFF60" s="25"/>
      <c r="JFM60" s="21"/>
      <c r="JFN60" s="21"/>
      <c r="JFR60" s="15"/>
      <c r="JFX60" s="25"/>
      <c r="JGE60" s="21"/>
      <c r="JGF60" s="21"/>
      <c r="JGJ60" s="15"/>
      <c r="JGP60" s="25"/>
      <c r="JGW60" s="21"/>
      <c r="JGX60" s="21"/>
      <c r="JHB60" s="15"/>
      <c r="JHH60" s="25"/>
      <c r="JHO60" s="21"/>
      <c r="JHP60" s="21"/>
      <c r="JHT60" s="15"/>
      <c r="JHZ60" s="25"/>
      <c r="JIG60" s="21"/>
      <c r="JIH60" s="21"/>
      <c r="JIL60" s="15"/>
      <c r="JIR60" s="25"/>
      <c r="JIY60" s="21"/>
      <c r="JIZ60" s="21"/>
      <c r="JJD60" s="15"/>
      <c r="JJJ60" s="25"/>
      <c r="JJQ60" s="21"/>
      <c r="JJR60" s="21"/>
      <c r="JJV60" s="15"/>
      <c r="JKB60" s="25"/>
      <c r="JKI60" s="21"/>
      <c r="JKJ60" s="21"/>
      <c r="JKN60" s="15"/>
      <c r="JKT60" s="25"/>
      <c r="JLA60" s="21"/>
      <c r="JLB60" s="21"/>
      <c r="JLF60" s="15"/>
      <c r="JLL60" s="25"/>
      <c r="JLS60" s="21"/>
      <c r="JLT60" s="21"/>
      <c r="JLX60" s="15"/>
      <c r="JMD60" s="25"/>
      <c r="JMK60" s="21"/>
      <c r="JML60" s="21"/>
      <c r="JMP60" s="15"/>
      <c r="JMV60" s="25"/>
      <c r="JNC60" s="21"/>
      <c r="JND60" s="21"/>
      <c r="JNH60" s="15"/>
      <c r="JNN60" s="25"/>
      <c r="JNU60" s="21"/>
      <c r="JNV60" s="21"/>
      <c r="JNZ60" s="15"/>
      <c r="JOF60" s="25"/>
      <c r="JOM60" s="21"/>
      <c r="JON60" s="21"/>
      <c r="JOR60" s="15"/>
      <c r="JOX60" s="25"/>
      <c r="JPE60" s="21"/>
      <c r="JPF60" s="21"/>
      <c r="JPJ60" s="15"/>
      <c r="JPP60" s="25"/>
      <c r="JPW60" s="21"/>
      <c r="JPX60" s="21"/>
      <c r="JQB60" s="15"/>
      <c r="JQH60" s="25"/>
      <c r="JQO60" s="21"/>
      <c r="JQP60" s="21"/>
      <c r="JQT60" s="15"/>
      <c r="JQZ60" s="25"/>
      <c r="JRG60" s="21"/>
      <c r="JRH60" s="21"/>
      <c r="JRL60" s="15"/>
      <c r="JRR60" s="25"/>
      <c r="JRY60" s="21"/>
      <c r="JRZ60" s="21"/>
      <c r="JSD60" s="15"/>
      <c r="JSJ60" s="25"/>
      <c r="JSQ60" s="21"/>
      <c r="JSR60" s="21"/>
      <c r="JSV60" s="15"/>
      <c r="JTB60" s="25"/>
      <c r="JTI60" s="21"/>
      <c r="JTJ60" s="21"/>
      <c r="JTN60" s="15"/>
      <c r="JTT60" s="25"/>
      <c r="JUA60" s="21"/>
      <c r="JUB60" s="21"/>
      <c r="JUF60" s="15"/>
      <c r="JUL60" s="25"/>
      <c r="JUS60" s="21"/>
      <c r="JUT60" s="21"/>
      <c r="JUX60" s="15"/>
      <c r="JVD60" s="25"/>
      <c r="JVK60" s="21"/>
      <c r="JVL60" s="21"/>
      <c r="JVP60" s="15"/>
      <c r="JVV60" s="25"/>
      <c r="JWC60" s="21"/>
      <c r="JWD60" s="21"/>
      <c r="JWH60" s="15"/>
      <c r="JWN60" s="25"/>
      <c r="JWU60" s="21"/>
      <c r="JWV60" s="21"/>
      <c r="JWZ60" s="15"/>
      <c r="JXF60" s="25"/>
      <c r="JXM60" s="21"/>
      <c r="JXN60" s="21"/>
      <c r="JXR60" s="15"/>
      <c r="JXX60" s="25"/>
      <c r="JYE60" s="21"/>
      <c r="JYF60" s="21"/>
      <c r="JYJ60" s="15"/>
      <c r="JYP60" s="25"/>
      <c r="JYW60" s="21"/>
      <c r="JYX60" s="21"/>
      <c r="JZB60" s="15"/>
      <c r="JZH60" s="25"/>
      <c r="JZO60" s="21"/>
      <c r="JZP60" s="21"/>
      <c r="JZT60" s="15"/>
      <c r="JZZ60" s="25"/>
      <c r="KAG60" s="21"/>
      <c r="KAH60" s="21"/>
      <c r="KAL60" s="15"/>
      <c r="KAR60" s="25"/>
      <c r="KAY60" s="21"/>
      <c r="KAZ60" s="21"/>
      <c r="KBD60" s="15"/>
      <c r="KBJ60" s="25"/>
      <c r="KBQ60" s="21"/>
      <c r="KBR60" s="21"/>
      <c r="KBV60" s="15"/>
      <c r="KCB60" s="25"/>
      <c r="KCI60" s="21"/>
      <c r="KCJ60" s="21"/>
      <c r="KCN60" s="15"/>
      <c r="KCT60" s="25"/>
      <c r="KDA60" s="21"/>
      <c r="KDB60" s="21"/>
      <c r="KDF60" s="15"/>
      <c r="KDL60" s="25"/>
      <c r="KDS60" s="21"/>
      <c r="KDT60" s="21"/>
      <c r="KDX60" s="15"/>
      <c r="KED60" s="25"/>
      <c r="KEK60" s="21"/>
      <c r="KEL60" s="21"/>
      <c r="KEP60" s="15"/>
      <c r="KEV60" s="25"/>
      <c r="KFC60" s="21"/>
      <c r="KFD60" s="21"/>
      <c r="KFH60" s="15"/>
      <c r="KFN60" s="25"/>
      <c r="KFU60" s="21"/>
      <c r="KFV60" s="21"/>
      <c r="KFZ60" s="15"/>
      <c r="KGF60" s="25"/>
      <c r="KGM60" s="21"/>
      <c r="KGN60" s="21"/>
      <c r="KGR60" s="15"/>
      <c r="KGX60" s="25"/>
      <c r="KHE60" s="21"/>
      <c r="KHF60" s="21"/>
      <c r="KHJ60" s="15"/>
      <c r="KHP60" s="25"/>
      <c r="KHW60" s="21"/>
      <c r="KHX60" s="21"/>
      <c r="KIB60" s="15"/>
      <c r="KIH60" s="25"/>
      <c r="KIO60" s="21"/>
      <c r="KIP60" s="21"/>
      <c r="KIT60" s="15"/>
      <c r="KIZ60" s="25"/>
      <c r="KJG60" s="21"/>
      <c r="KJH60" s="21"/>
      <c r="KJL60" s="15"/>
      <c r="KJR60" s="25"/>
      <c r="KJY60" s="21"/>
      <c r="KJZ60" s="21"/>
      <c r="KKD60" s="15"/>
      <c r="KKJ60" s="25"/>
      <c r="KKQ60" s="21"/>
      <c r="KKR60" s="21"/>
      <c r="KKV60" s="15"/>
      <c r="KLB60" s="25"/>
      <c r="KLI60" s="21"/>
      <c r="KLJ60" s="21"/>
      <c r="KLN60" s="15"/>
      <c r="KLT60" s="25"/>
      <c r="KMA60" s="21"/>
      <c r="KMB60" s="21"/>
      <c r="KMF60" s="15"/>
      <c r="KML60" s="25"/>
      <c r="KMS60" s="21"/>
      <c r="KMT60" s="21"/>
      <c r="KMX60" s="15"/>
      <c r="KND60" s="25"/>
      <c r="KNK60" s="21"/>
      <c r="KNL60" s="21"/>
      <c r="KNP60" s="15"/>
      <c r="KNV60" s="25"/>
      <c r="KOC60" s="21"/>
      <c r="KOD60" s="21"/>
      <c r="KOH60" s="15"/>
      <c r="KON60" s="25"/>
      <c r="KOU60" s="21"/>
      <c r="KOV60" s="21"/>
      <c r="KOZ60" s="15"/>
      <c r="KPF60" s="25"/>
      <c r="KPM60" s="21"/>
      <c r="KPN60" s="21"/>
      <c r="KPR60" s="15"/>
      <c r="KPX60" s="25"/>
      <c r="KQE60" s="21"/>
      <c r="KQF60" s="21"/>
      <c r="KQJ60" s="15"/>
      <c r="KQP60" s="25"/>
      <c r="KQW60" s="21"/>
      <c r="KQX60" s="21"/>
      <c r="KRB60" s="15"/>
      <c r="KRH60" s="25"/>
      <c r="KRO60" s="21"/>
      <c r="KRP60" s="21"/>
      <c r="KRT60" s="15"/>
      <c r="KRZ60" s="25"/>
      <c r="KSG60" s="21"/>
      <c r="KSH60" s="21"/>
      <c r="KSL60" s="15"/>
      <c r="KSR60" s="25"/>
      <c r="KSY60" s="21"/>
      <c r="KSZ60" s="21"/>
      <c r="KTD60" s="15"/>
      <c r="KTJ60" s="25"/>
      <c r="KTQ60" s="21"/>
      <c r="KTR60" s="21"/>
      <c r="KTV60" s="15"/>
      <c r="KUB60" s="25"/>
      <c r="KUI60" s="21"/>
      <c r="KUJ60" s="21"/>
      <c r="KUN60" s="15"/>
      <c r="KUT60" s="25"/>
      <c r="KVA60" s="21"/>
      <c r="KVB60" s="21"/>
      <c r="KVF60" s="15"/>
      <c r="KVL60" s="25"/>
      <c r="KVS60" s="21"/>
      <c r="KVT60" s="21"/>
      <c r="KVX60" s="15"/>
      <c r="KWD60" s="25"/>
      <c r="KWK60" s="21"/>
      <c r="KWL60" s="21"/>
      <c r="KWP60" s="15"/>
      <c r="KWV60" s="25"/>
      <c r="KXC60" s="21"/>
      <c r="KXD60" s="21"/>
      <c r="KXH60" s="15"/>
      <c r="KXN60" s="25"/>
      <c r="KXU60" s="21"/>
      <c r="KXV60" s="21"/>
      <c r="KXZ60" s="15"/>
      <c r="KYF60" s="25"/>
      <c r="KYM60" s="21"/>
      <c r="KYN60" s="21"/>
      <c r="KYR60" s="15"/>
      <c r="KYX60" s="25"/>
      <c r="KZE60" s="21"/>
      <c r="KZF60" s="21"/>
      <c r="KZJ60" s="15"/>
      <c r="KZP60" s="25"/>
      <c r="KZW60" s="21"/>
      <c r="KZX60" s="21"/>
      <c r="LAB60" s="15"/>
      <c r="LAH60" s="25"/>
      <c r="LAO60" s="21"/>
      <c r="LAP60" s="21"/>
      <c r="LAT60" s="15"/>
      <c r="LAZ60" s="25"/>
      <c r="LBG60" s="21"/>
      <c r="LBH60" s="21"/>
      <c r="LBL60" s="15"/>
      <c r="LBR60" s="25"/>
      <c r="LBY60" s="21"/>
      <c r="LBZ60" s="21"/>
      <c r="LCD60" s="15"/>
      <c r="LCJ60" s="25"/>
      <c r="LCQ60" s="21"/>
      <c r="LCR60" s="21"/>
      <c r="LCV60" s="15"/>
      <c r="LDB60" s="25"/>
      <c r="LDI60" s="21"/>
      <c r="LDJ60" s="21"/>
      <c r="LDN60" s="15"/>
      <c r="LDT60" s="25"/>
      <c r="LEA60" s="21"/>
      <c r="LEB60" s="21"/>
      <c r="LEF60" s="15"/>
      <c r="LEL60" s="25"/>
      <c r="LES60" s="21"/>
      <c r="LET60" s="21"/>
      <c r="LEX60" s="15"/>
      <c r="LFD60" s="25"/>
      <c r="LFK60" s="21"/>
      <c r="LFL60" s="21"/>
      <c r="LFP60" s="15"/>
      <c r="LFV60" s="25"/>
      <c r="LGC60" s="21"/>
      <c r="LGD60" s="21"/>
      <c r="LGH60" s="15"/>
      <c r="LGN60" s="25"/>
      <c r="LGU60" s="21"/>
      <c r="LGV60" s="21"/>
      <c r="LGZ60" s="15"/>
      <c r="LHF60" s="25"/>
      <c r="LHM60" s="21"/>
      <c r="LHN60" s="21"/>
      <c r="LHR60" s="15"/>
      <c r="LHX60" s="25"/>
      <c r="LIE60" s="21"/>
      <c r="LIF60" s="21"/>
      <c r="LIJ60" s="15"/>
      <c r="LIP60" s="25"/>
      <c r="LIW60" s="21"/>
      <c r="LIX60" s="21"/>
      <c r="LJB60" s="15"/>
      <c r="LJH60" s="25"/>
      <c r="LJO60" s="21"/>
      <c r="LJP60" s="21"/>
      <c r="LJT60" s="15"/>
      <c r="LJZ60" s="25"/>
      <c r="LKG60" s="21"/>
      <c r="LKH60" s="21"/>
      <c r="LKL60" s="15"/>
      <c r="LKR60" s="25"/>
      <c r="LKY60" s="21"/>
      <c r="LKZ60" s="21"/>
      <c r="LLD60" s="15"/>
      <c r="LLJ60" s="25"/>
      <c r="LLQ60" s="21"/>
      <c r="LLR60" s="21"/>
      <c r="LLV60" s="15"/>
      <c r="LMB60" s="25"/>
      <c r="LMI60" s="21"/>
      <c r="LMJ60" s="21"/>
      <c r="LMN60" s="15"/>
      <c r="LMT60" s="25"/>
      <c r="LNA60" s="21"/>
      <c r="LNB60" s="21"/>
      <c r="LNF60" s="15"/>
      <c r="LNL60" s="25"/>
      <c r="LNS60" s="21"/>
      <c r="LNT60" s="21"/>
      <c r="LNX60" s="15"/>
      <c r="LOD60" s="25"/>
      <c r="LOK60" s="21"/>
      <c r="LOL60" s="21"/>
      <c r="LOP60" s="15"/>
      <c r="LOV60" s="25"/>
      <c r="LPC60" s="21"/>
      <c r="LPD60" s="21"/>
      <c r="LPH60" s="15"/>
      <c r="LPN60" s="25"/>
      <c r="LPU60" s="21"/>
      <c r="LPV60" s="21"/>
      <c r="LPZ60" s="15"/>
      <c r="LQF60" s="25"/>
      <c r="LQM60" s="21"/>
      <c r="LQN60" s="21"/>
      <c r="LQR60" s="15"/>
      <c r="LQX60" s="25"/>
      <c r="LRE60" s="21"/>
      <c r="LRF60" s="21"/>
      <c r="LRJ60" s="15"/>
      <c r="LRP60" s="25"/>
      <c r="LRW60" s="21"/>
      <c r="LRX60" s="21"/>
      <c r="LSB60" s="15"/>
      <c r="LSH60" s="25"/>
      <c r="LSO60" s="21"/>
      <c r="LSP60" s="21"/>
      <c r="LST60" s="15"/>
      <c r="LSZ60" s="25"/>
      <c r="LTG60" s="21"/>
      <c r="LTH60" s="21"/>
      <c r="LTL60" s="15"/>
      <c r="LTR60" s="25"/>
      <c r="LTY60" s="21"/>
      <c r="LTZ60" s="21"/>
      <c r="LUD60" s="15"/>
      <c r="LUJ60" s="25"/>
      <c r="LUQ60" s="21"/>
      <c r="LUR60" s="21"/>
      <c r="LUV60" s="15"/>
      <c r="LVB60" s="25"/>
      <c r="LVI60" s="21"/>
      <c r="LVJ60" s="21"/>
      <c r="LVN60" s="15"/>
      <c r="LVT60" s="25"/>
      <c r="LWA60" s="21"/>
      <c r="LWB60" s="21"/>
      <c r="LWF60" s="15"/>
      <c r="LWL60" s="25"/>
      <c r="LWS60" s="21"/>
      <c r="LWT60" s="21"/>
      <c r="LWX60" s="15"/>
      <c r="LXD60" s="25"/>
      <c r="LXK60" s="21"/>
      <c r="LXL60" s="21"/>
      <c r="LXP60" s="15"/>
      <c r="LXV60" s="25"/>
      <c r="LYC60" s="21"/>
      <c r="LYD60" s="21"/>
      <c r="LYH60" s="15"/>
      <c r="LYN60" s="25"/>
      <c r="LYU60" s="21"/>
      <c r="LYV60" s="21"/>
      <c r="LYZ60" s="15"/>
      <c r="LZF60" s="25"/>
      <c r="LZM60" s="21"/>
      <c r="LZN60" s="21"/>
      <c r="LZR60" s="15"/>
      <c r="LZX60" s="25"/>
      <c r="MAE60" s="21"/>
      <c r="MAF60" s="21"/>
      <c r="MAJ60" s="15"/>
      <c r="MAP60" s="25"/>
      <c r="MAW60" s="21"/>
      <c r="MAX60" s="21"/>
      <c r="MBB60" s="15"/>
      <c r="MBH60" s="25"/>
      <c r="MBO60" s="21"/>
      <c r="MBP60" s="21"/>
      <c r="MBT60" s="15"/>
      <c r="MBZ60" s="25"/>
      <c r="MCG60" s="21"/>
      <c r="MCH60" s="21"/>
      <c r="MCL60" s="15"/>
      <c r="MCR60" s="25"/>
      <c r="MCY60" s="21"/>
      <c r="MCZ60" s="21"/>
      <c r="MDD60" s="15"/>
      <c r="MDJ60" s="25"/>
      <c r="MDQ60" s="21"/>
      <c r="MDR60" s="21"/>
      <c r="MDV60" s="15"/>
      <c r="MEB60" s="25"/>
      <c r="MEI60" s="21"/>
      <c r="MEJ60" s="21"/>
      <c r="MEN60" s="15"/>
      <c r="MET60" s="25"/>
      <c r="MFA60" s="21"/>
      <c r="MFB60" s="21"/>
      <c r="MFF60" s="15"/>
      <c r="MFL60" s="25"/>
      <c r="MFS60" s="21"/>
      <c r="MFT60" s="21"/>
      <c r="MFX60" s="15"/>
      <c r="MGD60" s="25"/>
      <c r="MGK60" s="21"/>
      <c r="MGL60" s="21"/>
      <c r="MGP60" s="15"/>
      <c r="MGV60" s="25"/>
      <c r="MHC60" s="21"/>
      <c r="MHD60" s="21"/>
      <c r="MHH60" s="15"/>
      <c r="MHN60" s="25"/>
      <c r="MHU60" s="21"/>
      <c r="MHV60" s="21"/>
      <c r="MHZ60" s="15"/>
      <c r="MIF60" s="25"/>
      <c r="MIM60" s="21"/>
      <c r="MIN60" s="21"/>
      <c r="MIR60" s="15"/>
      <c r="MIX60" s="25"/>
      <c r="MJE60" s="21"/>
      <c r="MJF60" s="21"/>
      <c r="MJJ60" s="15"/>
      <c r="MJP60" s="25"/>
      <c r="MJW60" s="21"/>
      <c r="MJX60" s="21"/>
      <c r="MKB60" s="15"/>
      <c r="MKH60" s="25"/>
      <c r="MKO60" s="21"/>
      <c r="MKP60" s="21"/>
      <c r="MKT60" s="15"/>
      <c r="MKZ60" s="25"/>
      <c r="MLG60" s="21"/>
      <c r="MLH60" s="21"/>
      <c r="MLL60" s="15"/>
      <c r="MLR60" s="25"/>
      <c r="MLY60" s="21"/>
      <c r="MLZ60" s="21"/>
      <c r="MMD60" s="15"/>
      <c r="MMJ60" s="25"/>
      <c r="MMQ60" s="21"/>
      <c r="MMR60" s="21"/>
      <c r="MMV60" s="15"/>
      <c r="MNB60" s="25"/>
      <c r="MNI60" s="21"/>
      <c r="MNJ60" s="21"/>
      <c r="MNN60" s="15"/>
      <c r="MNT60" s="25"/>
      <c r="MOA60" s="21"/>
      <c r="MOB60" s="21"/>
      <c r="MOF60" s="15"/>
      <c r="MOL60" s="25"/>
      <c r="MOS60" s="21"/>
      <c r="MOT60" s="21"/>
      <c r="MOX60" s="15"/>
      <c r="MPD60" s="25"/>
      <c r="MPK60" s="21"/>
      <c r="MPL60" s="21"/>
      <c r="MPP60" s="15"/>
      <c r="MPV60" s="25"/>
      <c r="MQC60" s="21"/>
      <c r="MQD60" s="21"/>
      <c r="MQH60" s="15"/>
      <c r="MQN60" s="25"/>
      <c r="MQU60" s="21"/>
      <c r="MQV60" s="21"/>
      <c r="MQZ60" s="15"/>
      <c r="MRF60" s="25"/>
      <c r="MRM60" s="21"/>
      <c r="MRN60" s="21"/>
      <c r="MRR60" s="15"/>
      <c r="MRX60" s="25"/>
      <c r="MSE60" s="21"/>
      <c r="MSF60" s="21"/>
      <c r="MSJ60" s="15"/>
      <c r="MSP60" s="25"/>
      <c r="MSW60" s="21"/>
      <c r="MSX60" s="21"/>
      <c r="MTB60" s="15"/>
      <c r="MTH60" s="25"/>
      <c r="MTO60" s="21"/>
      <c r="MTP60" s="21"/>
      <c r="MTT60" s="15"/>
      <c r="MTZ60" s="25"/>
      <c r="MUG60" s="21"/>
      <c r="MUH60" s="21"/>
      <c r="MUL60" s="15"/>
      <c r="MUR60" s="25"/>
      <c r="MUY60" s="21"/>
      <c r="MUZ60" s="21"/>
      <c r="MVD60" s="15"/>
      <c r="MVJ60" s="25"/>
      <c r="MVQ60" s="21"/>
      <c r="MVR60" s="21"/>
      <c r="MVV60" s="15"/>
      <c r="MWB60" s="25"/>
      <c r="MWI60" s="21"/>
      <c r="MWJ60" s="21"/>
      <c r="MWN60" s="15"/>
      <c r="MWT60" s="25"/>
      <c r="MXA60" s="21"/>
      <c r="MXB60" s="21"/>
      <c r="MXF60" s="15"/>
      <c r="MXL60" s="25"/>
      <c r="MXS60" s="21"/>
      <c r="MXT60" s="21"/>
      <c r="MXX60" s="15"/>
      <c r="MYD60" s="25"/>
      <c r="MYK60" s="21"/>
      <c r="MYL60" s="21"/>
      <c r="MYP60" s="15"/>
      <c r="MYV60" s="25"/>
      <c r="MZC60" s="21"/>
      <c r="MZD60" s="21"/>
      <c r="MZH60" s="15"/>
      <c r="MZN60" s="25"/>
      <c r="MZU60" s="21"/>
      <c r="MZV60" s="21"/>
      <c r="MZZ60" s="15"/>
      <c r="NAF60" s="25"/>
      <c r="NAM60" s="21"/>
      <c r="NAN60" s="21"/>
      <c r="NAR60" s="15"/>
      <c r="NAX60" s="25"/>
      <c r="NBE60" s="21"/>
      <c r="NBF60" s="21"/>
      <c r="NBJ60" s="15"/>
      <c r="NBP60" s="25"/>
      <c r="NBW60" s="21"/>
      <c r="NBX60" s="21"/>
      <c r="NCB60" s="15"/>
      <c r="NCH60" s="25"/>
      <c r="NCO60" s="21"/>
      <c r="NCP60" s="21"/>
      <c r="NCT60" s="15"/>
      <c r="NCZ60" s="25"/>
      <c r="NDG60" s="21"/>
      <c r="NDH60" s="21"/>
      <c r="NDL60" s="15"/>
      <c r="NDR60" s="25"/>
      <c r="NDY60" s="21"/>
      <c r="NDZ60" s="21"/>
      <c r="NED60" s="15"/>
      <c r="NEJ60" s="25"/>
      <c r="NEQ60" s="21"/>
      <c r="NER60" s="21"/>
      <c r="NEV60" s="15"/>
      <c r="NFB60" s="25"/>
      <c r="NFI60" s="21"/>
      <c r="NFJ60" s="21"/>
      <c r="NFN60" s="15"/>
      <c r="NFT60" s="25"/>
      <c r="NGA60" s="21"/>
      <c r="NGB60" s="21"/>
      <c r="NGF60" s="15"/>
      <c r="NGL60" s="25"/>
      <c r="NGS60" s="21"/>
      <c r="NGT60" s="21"/>
      <c r="NGX60" s="15"/>
      <c r="NHD60" s="25"/>
      <c r="NHK60" s="21"/>
      <c r="NHL60" s="21"/>
      <c r="NHP60" s="15"/>
      <c r="NHV60" s="25"/>
      <c r="NIC60" s="21"/>
      <c r="NID60" s="21"/>
      <c r="NIH60" s="15"/>
      <c r="NIN60" s="25"/>
      <c r="NIU60" s="21"/>
      <c r="NIV60" s="21"/>
      <c r="NIZ60" s="15"/>
      <c r="NJF60" s="25"/>
      <c r="NJM60" s="21"/>
      <c r="NJN60" s="21"/>
      <c r="NJR60" s="15"/>
      <c r="NJX60" s="25"/>
      <c r="NKE60" s="21"/>
      <c r="NKF60" s="21"/>
      <c r="NKJ60" s="15"/>
      <c r="NKP60" s="25"/>
      <c r="NKW60" s="21"/>
      <c r="NKX60" s="21"/>
      <c r="NLB60" s="15"/>
      <c r="NLH60" s="25"/>
      <c r="NLO60" s="21"/>
      <c r="NLP60" s="21"/>
      <c r="NLT60" s="15"/>
      <c r="NLZ60" s="25"/>
      <c r="NMG60" s="21"/>
      <c r="NMH60" s="21"/>
      <c r="NML60" s="15"/>
      <c r="NMR60" s="25"/>
      <c r="NMY60" s="21"/>
      <c r="NMZ60" s="21"/>
      <c r="NND60" s="15"/>
      <c r="NNJ60" s="25"/>
      <c r="NNQ60" s="21"/>
      <c r="NNR60" s="21"/>
      <c r="NNV60" s="15"/>
      <c r="NOB60" s="25"/>
      <c r="NOI60" s="21"/>
      <c r="NOJ60" s="21"/>
      <c r="NON60" s="15"/>
      <c r="NOT60" s="25"/>
      <c r="NPA60" s="21"/>
      <c r="NPB60" s="21"/>
      <c r="NPF60" s="15"/>
      <c r="NPL60" s="25"/>
      <c r="NPS60" s="21"/>
      <c r="NPT60" s="21"/>
      <c r="NPX60" s="15"/>
      <c r="NQD60" s="25"/>
      <c r="NQK60" s="21"/>
      <c r="NQL60" s="21"/>
      <c r="NQP60" s="15"/>
      <c r="NQV60" s="25"/>
      <c r="NRC60" s="21"/>
      <c r="NRD60" s="21"/>
      <c r="NRH60" s="15"/>
      <c r="NRN60" s="25"/>
      <c r="NRU60" s="21"/>
      <c r="NRV60" s="21"/>
      <c r="NRZ60" s="15"/>
      <c r="NSF60" s="25"/>
      <c r="NSM60" s="21"/>
      <c r="NSN60" s="21"/>
      <c r="NSR60" s="15"/>
      <c r="NSX60" s="25"/>
      <c r="NTE60" s="21"/>
      <c r="NTF60" s="21"/>
      <c r="NTJ60" s="15"/>
      <c r="NTP60" s="25"/>
      <c r="NTW60" s="21"/>
      <c r="NTX60" s="21"/>
      <c r="NUB60" s="15"/>
      <c r="NUH60" s="25"/>
      <c r="NUO60" s="21"/>
      <c r="NUP60" s="21"/>
      <c r="NUT60" s="15"/>
      <c r="NUZ60" s="25"/>
      <c r="NVG60" s="21"/>
      <c r="NVH60" s="21"/>
      <c r="NVL60" s="15"/>
      <c r="NVR60" s="25"/>
      <c r="NVY60" s="21"/>
      <c r="NVZ60" s="21"/>
      <c r="NWD60" s="15"/>
      <c r="NWJ60" s="25"/>
      <c r="NWQ60" s="21"/>
      <c r="NWR60" s="21"/>
      <c r="NWV60" s="15"/>
      <c r="NXB60" s="25"/>
      <c r="NXI60" s="21"/>
      <c r="NXJ60" s="21"/>
      <c r="NXN60" s="15"/>
      <c r="NXT60" s="25"/>
      <c r="NYA60" s="21"/>
      <c r="NYB60" s="21"/>
      <c r="NYF60" s="15"/>
      <c r="NYL60" s="25"/>
      <c r="NYS60" s="21"/>
      <c r="NYT60" s="21"/>
      <c r="NYX60" s="15"/>
      <c r="NZD60" s="25"/>
      <c r="NZK60" s="21"/>
      <c r="NZL60" s="21"/>
      <c r="NZP60" s="15"/>
      <c r="NZV60" s="25"/>
      <c r="OAC60" s="21"/>
      <c r="OAD60" s="21"/>
      <c r="OAH60" s="15"/>
      <c r="OAN60" s="25"/>
      <c r="OAU60" s="21"/>
      <c r="OAV60" s="21"/>
      <c r="OAZ60" s="15"/>
      <c r="OBF60" s="25"/>
      <c r="OBM60" s="21"/>
      <c r="OBN60" s="21"/>
      <c r="OBR60" s="15"/>
      <c r="OBX60" s="25"/>
      <c r="OCE60" s="21"/>
      <c r="OCF60" s="21"/>
      <c r="OCJ60" s="15"/>
      <c r="OCP60" s="25"/>
      <c r="OCW60" s="21"/>
      <c r="OCX60" s="21"/>
      <c r="ODB60" s="15"/>
      <c r="ODH60" s="25"/>
      <c r="ODO60" s="21"/>
      <c r="ODP60" s="21"/>
      <c r="ODT60" s="15"/>
      <c r="ODZ60" s="25"/>
      <c r="OEG60" s="21"/>
      <c r="OEH60" s="21"/>
      <c r="OEL60" s="15"/>
      <c r="OER60" s="25"/>
      <c r="OEY60" s="21"/>
      <c r="OEZ60" s="21"/>
      <c r="OFD60" s="15"/>
      <c r="OFJ60" s="25"/>
      <c r="OFQ60" s="21"/>
      <c r="OFR60" s="21"/>
      <c r="OFV60" s="15"/>
      <c r="OGB60" s="25"/>
      <c r="OGI60" s="21"/>
      <c r="OGJ60" s="21"/>
      <c r="OGN60" s="15"/>
      <c r="OGT60" s="25"/>
      <c r="OHA60" s="21"/>
      <c r="OHB60" s="21"/>
      <c r="OHF60" s="15"/>
      <c r="OHL60" s="25"/>
      <c r="OHS60" s="21"/>
      <c r="OHT60" s="21"/>
      <c r="OHX60" s="15"/>
      <c r="OID60" s="25"/>
      <c r="OIK60" s="21"/>
      <c r="OIL60" s="21"/>
      <c r="OIP60" s="15"/>
      <c r="OIV60" s="25"/>
      <c r="OJC60" s="21"/>
      <c r="OJD60" s="21"/>
      <c r="OJH60" s="15"/>
      <c r="OJN60" s="25"/>
      <c r="OJU60" s="21"/>
      <c r="OJV60" s="21"/>
      <c r="OJZ60" s="15"/>
      <c r="OKF60" s="25"/>
      <c r="OKM60" s="21"/>
      <c r="OKN60" s="21"/>
      <c r="OKR60" s="15"/>
      <c r="OKX60" s="25"/>
      <c r="OLE60" s="21"/>
      <c r="OLF60" s="21"/>
      <c r="OLJ60" s="15"/>
      <c r="OLP60" s="25"/>
      <c r="OLW60" s="21"/>
      <c r="OLX60" s="21"/>
      <c r="OMB60" s="15"/>
      <c r="OMH60" s="25"/>
      <c r="OMO60" s="21"/>
      <c r="OMP60" s="21"/>
      <c r="OMT60" s="15"/>
      <c r="OMZ60" s="25"/>
      <c r="ONG60" s="21"/>
      <c r="ONH60" s="21"/>
      <c r="ONL60" s="15"/>
      <c r="ONR60" s="25"/>
      <c r="ONY60" s="21"/>
      <c r="ONZ60" s="21"/>
      <c r="OOD60" s="15"/>
      <c r="OOJ60" s="25"/>
      <c r="OOQ60" s="21"/>
      <c r="OOR60" s="21"/>
      <c r="OOV60" s="15"/>
      <c r="OPB60" s="25"/>
      <c r="OPI60" s="21"/>
      <c r="OPJ60" s="21"/>
      <c r="OPN60" s="15"/>
      <c r="OPT60" s="25"/>
      <c r="OQA60" s="21"/>
      <c r="OQB60" s="21"/>
      <c r="OQF60" s="15"/>
      <c r="OQL60" s="25"/>
      <c r="OQS60" s="21"/>
      <c r="OQT60" s="21"/>
      <c r="OQX60" s="15"/>
      <c r="ORD60" s="25"/>
      <c r="ORK60" s="21"/>
      <c r="ORL60" s="21"/>
      <c r="ORP60" s="15"/>
      <c r="ORV60" s="25"/>
      <c r="OSC60" s="21"/>
      <c r="OSD60" s="21"/>
      <c r="OSH60" s="15"/>
      <c r="OSN60" s="25"/>
      <c r="OSU60" s="21"/>
      <c r="OSV60" s="21"/>
      <c r="OSZ60" s="15"/>
      <c r="OTF60" s="25"/>
      <c r="OTM60" s="21"/>
      <c r="OTN60" s="21"/>
      <c r="OTR60" s="15"/>
      <c r="OTX60" s="25"/>
      <c r="OUE60" s="21"/>
      <c r="OUF60" s="21"/>
      <c r="OUJ60" s="15"/>
      <c r="OUP60" s="25"/>
      <c r="OUW60" s="21"/>
      <c r="OUX60" s="21"/>
      <c r="OVB60" s="15"/>
      <c r="OVH60" s="25"/>
      <c r="OVO60" s="21"/>
      <c r="OVP60" s="21"/>
      <c r="OVT60" s="15"/>
      <c r="OVZ60" s="25"/>
      <c r="OWG60" s="21"/>
      <c r="OWH60" s="21"/>
      <c r="OWL60" s="15"/>
      <c r="OWR60" s="25"/>
      <c r="OWY60" s="21"/>
      <c r="OWZ60" s="21"/>
      <c r="OXD60" s="15"/>
      <c r="OXJ60" s="25"/>
      <c r="OXQ60" s="21"/>
      <c r="OXR60" s="21"/>
      <c r="OXV60" s="15"/>
      <c r="OYB60" s="25"/>
      <c r="OYI60" s="21"/>
      <c r="OYJ60" s="21"/>
      <c r="OYN60" s="15"/>
      <c r="OYT60" s="25"/>
      <c r="OZA60" s="21"/>
      <c r="OZB60" s="21"/>
      <c r="OZF60" s="15"/>
      <c r="OZL60" s="25"/>
      <c r="OZS60" s="21"/>
      <c r="OZT60" s="21"/>
      <c r="OZX60" s="15"/>
      <c r="PAD60" s="25"/>
      <c r="PAK60" s="21"/>
      <c r="PAL60" s="21"/>
      <c r="PAP60" s="15"/>
      <c r="PAV60" s="25"/>
      <c r="PBC60" s="21"/>
      <c r="PBD60" s="21"/>
      <c r="PBH60" s="15"/>
      <c r="PBN60" s="25"/>
      <c r="PBU60" s="21"/>
      <c r="PBV60" s="21"/>
      <c r="PBZ60" s="15"/>
      <c r="PCF60" s="25"/>
      <c r="PCM60" s="21"/>
      <c r="PCN60" s="21"/>
      <c r="PCR60" s="15"/>
      <c r="PCX60" s="25"/>
      <c r="PDE60" s="21"/>
      <c r="PDF60" s="21"/>
      <c r="PDJ60" s="15"/>
      <c r="PDP60" s="25"/>
      <c r="PDW60" s="21"/>
      <c r="PDX60" s="21"/>
      <c r="PEB60" s="15"/>
      <c r="PEH60" s="25"/>
      <c r="PEO60" s="21"/>
      <c r="PEP60" s="21"/>
      <c r="PET60" s="15"/>
      <c r="PEZ60" s="25"/>
      <c r="PFG60" s="21"/>
      <c r="PFH60" s="21"/>
      <c r="PFL60" s="15"/>
      <c r="PFR60" s="25"/>
      <c r="PFY60" s="21"/>
      <c r="PFZ60" s="21"/>
      <c r="PGD60" s="15"/>
      <c r="PGJ60" s="25"/>
      <c r="PGQ60" s="21"/>
      <c r="PGR60" s="21"/>
      <c r="PGV60" s="15"/>
      <c r="PHB60" s="25"/>
      <c r="PHI60" s="21"/>
      <c r="PHJ60" s="21"/>
      <c r="PHN60" s="15"/>
      <c r="PHT60" s="25"/>
      <c r="PIA60" s="21"/>
      <c r="PIB60" s="21"/>
      <c r="PIF60" s="15"/>
      <c r="PIL60" s="25"/>
      <c r="PIS60" s="21"/>
      <c r="PIT60" s="21"/>
      <c r="PIX60" s="15"/>
      <c r="PJD60" s="25"/>
      <c r="PJK60" s="21"/>
      <c r="PJL60" s="21"/>
      <c r="PJP60" s="15"/>
      <c r="PJV60" s="25"/>
      <c r="PKC60" s="21"/>
      <c r="PKD60" s="21"/>
      <c r="PKH60" s="15"/>
      <c r="PKN60" s="25"/>
      <c r="PKU60" s="21"/>
      <c r="PKV60" s="21"/>
      <c r="PKZ60" s="15"/>
      <c r="PLF60" s="25"/>
      <c r="PLM60" s="21"/>
      <c r="PLN60" s="21"/>
      <c r="PLR60" s="15"/>
      <c r="PLX60" s="25"/>
      <c r="PME60" s="21"/>
      <c r="PMF60" s="21"/>
      <c r="PMJ60" s="15"/>
      <c r="PMP60" s="25"/>
      <c r="PMW60" s="21"/>
      <c r="PMX60" s="21"/>
      <c r="PNB60" s="15"/>
      <c r="PNH60" s="25"/>
      <c r="PNO60" s="21"/>
      <c r="PNP60" s="21"/>
      <c r="PNT60" s="15"/>
      <c r="PNZ60" s="25"/>
      <c r="POG60" s="21"/>
      <c r="POH60" s="21"/>
      <c r="POL60" s="15"/>
      <c r="POR60" s="25"/>
      <c r="POY60" s="21"/>
      <c r="POZ60" s="21"/>
      <c r="PPD60" s="15"/>
      <c r="PPJ60" s="25"/>
      <c r="PPQ60" s="21"/>
      <c r="PPR60" s="21"/>
      <c r="PPV60" s="15"/>
      <c r="PQB60" s="25"/>
      <c r="PQI60" s="21"/>
      <c r="PQJ60" s="21"/>
      <c r="PQN60" s="15"/>
      <c r="PQT60" s="25"/>
      <c r="PRA60" s="21"/>
      <c r="PRB60" s="21"/>
      <c r="PRF60" s="15"/>
      <c r="PRL60" s="25"/>
      <c r="PRS60" s="21"/>
      <c r="PRT60" s="21"/>
      <c r="PRX60" s="15"/>
      <c r="PSD60" s="25"/>
      <c r="PSK60" s="21"/>
      <c r="PSL60" s="21"/>
      <c r="PSP60" s="15"/>
      <c r="PSV60" s="25"/>
      <c r="PTC60" s="21"/>
      <c r="PTD60" s="21"/>
      <c r="PTH60" s="15"/>
      <c r="PTN60" s="25"/>
      <c r="PTU60" s="21"/>
      <c r="PTV60" s="21"/>
      <c r="PTZ60" s="15"/>
      <c r="PUF60" s="25"/>
      <c r="PUM60" s="21"/>
      <c r="PUN60" s="21"/>
      <c r="PUR60" s="15"/>
      <c r="PUX60" s="25"/>
      <c r="PVE60" s="21"/>
      <c r="PVF60" s="21"/>
      <c r="PVJ60" s="15"/>
      <c r="PVP60" s="25"/>
      <c r="PVW60" s="21"/>
      <c r="PVX60" s="21"/>
      <c r="PWB60" s="15"/>
      <c r="PWH60" s="25"/>
      <c r="PWO60" s="21"/>
      <c r="PWP60" s="21"/>
      <c r="PWT60" s="15"/>
      <c r="PWZ60" s="25"/>
      <c r="PXG60" s="21"/>
      <c r="PXH60" s="21"/>
      <c r="PXL60" s="15"/>
      <c r="PXR60" s="25"/>
      <c r="PXY60" s="21"/>
      <c r="PXZ60" s="21"/>
      <c r="PYD60" s="15"/>
      <c r="PYJ60" s="25"/>
      <c r="PYQ60" s="21"/>
      <c r="PYR60" s="21"/>
      <c r="PYV60" s="15"/>
      <c r="PZB60" s="25"/>
      <c r="PZI60" s="21"/>
      <c r="PZJ60" s="21"/>
      <c r="PZN60" s="15"/>
      <c r="PZT60" s="25"/>
      <c r="QAA60" s="21"/>
      <c r="QAB60" s="21"/>
      <c r="QAF60" s="15"/>
      <c r="QAL60" s="25"/>
      <c r="QAS60" s="21"/>
      <c r="QAT60" s="21"/>
      <c r="QAX60" s="15"/>
      <c r="QBD60" s="25"/>
      <c r="QBK60" s="21"/>
      <c r="QBL60" s="21"/>
      <c r="QBP60" s="15"/>
      <c r="QBV60" s="25"/>
      <c r="QCC60" s="21"/>
      <c r="QCD60" s="21"/>
      <c r="QCH60" s="15"/>
      <c r="QCN60" s="25"/>
      <c r="QCU60" s="21"/>
      <c r="QCV60" s="21"/>
      <c r="QCZ60" s="15"/>
      <c r="QDF60" s="25"/>
      <c r="QDM60" s="21"/>
      <c r="QDN60" s="21"/>
      <c r="QDR60" s="15"/>
      <c r="QDX60" s="25"/>
      <c r="QEE60" s="21"/>
      <c r="QEF60" s="21"/>
      <c r="QEJ60" s="15"/>
      <c r="QEP60" s="25"/>
      <c r="QEW60" s="21"/>
      <c r="QEX60" s="21"/>
      <c r="QFB60" s="15"/>
      <c r="QFH60" s="25"/>
      <c r="QFO60" s="21"/>
      <c r="QFP60" s="21"/>
      <c r="QFT60" s="15"/>
      <c r="QFZ60" s="25"/>
      <c r="QGG60" s="21"/>
      <c r="QGH60" s="21"/>
      <c r="QGL60" s="15"/>
      <c r="QGR60" s="25"/>
      <c r="QGY60" s="21"/>
      <c r="QGZ60" s="21"/>
      <c r="QHD60" s="15"/>
      <c r="QHJ60" s="25"/>
      <c r="QHQ60" s="21"/>
      <c r="QHR60" s="21"/>
      <c r="QHV60" s="15"/>
      <c r="QIB60" s="25"/>
      <c r="QII60" s="21"/>
      <c r="QIJ60" s="21"/>
      <c r="QIN60" s="15"/>
      <c r="QIT60" s="25"/>
      <c r="QJA60" s="21"/>
      <c r="QJB60" s="21"/>
      <c r="QJF60" s="15"/>
      <c r="QJL60" s="25"/>
      <c r="QJS60" s="21"/>
      <c r="QJT60" s="21"/>
      <c r="QJX60" s="15"/>
      <c r="QKD60" s="25"/>
      <c r="QKK60" s="21"/>
      <c r="QKL60" s="21"/>
      <c r="QKP60" s="15"/>
      <c r="QKV60" s="25"/>
      <c r="QLC60" s="21"/>
      <c r="QLD60" s="21"/>
      <c r="QLH60" s="15"/>
      <c r="QLN60" s="25"/>
      <c r="QLU60" s="21"/>
      <c r="QLV60" s="21"/>
      <c r="QLZ60" s="15"/>
      <c r="QMF60" s="25"/>
      <c r="QMM60" s="21"/>
      <c r="QMN60" s="21"/>
      <c r="QMR60" s="15"/>
      <c r="QMX60" s="25"/>
      <c r="QNE60" s="21"/>
      <c r="QNF60" s="21"/>
      <c r="QNJ60" s="15"/>
      <c r="QNP60" s="25"/>
      <c r="QNW60" s="21"/>
      <c r="QNX60" s="21"/>
      <c r="QOB60" s="15"/>
      <c r="QOH60" s="25"/>
      <c r="QOO60" s="21"/>
      <c r="QOP60" s="21"/>
      <c r="QOT60" s="15"/>
      <c r="QOZ60" s="25"/>
      <c r="QPG60" s="21"/>
      <c r="QPH60" s="21"/>
      <c r="QPL60" s="15"/>
      <c r="QPR60" s="25"/>
      <c r="QPY60" s="21"/>
      <c r="QPZ60" s="21"/>
      <c r="QQD60" s="15"/>
      <c r="QQJ60" s="25"/>
      <c r="QQQ60" s="21"/>
      <c r="QQR60" s="21"/>
      <c r="QQV60" s="15"/>
      <c r="QRB60" s="25"/>
      <c r="QRI60" s="21"/>
      <c r="QRJ60" s="21"/>
      <c r="QRN60" s="15"/>
      <c r="QRT60" s="25"/>
      <c r="QSA60" s="21"/>
      <c r="QSB60" s="21"/>
      <c r="QSF60" s="15"/>
      <c r="QSL60" s="25"/>
      <c r="QSS60" s="21"/>
      <c r="QST60" s="21"/>
      <c r="QSX60" s="15"/>
      <c r="QTD60" s="25"/>
      <c r="QTK60" s="21"/>
      <c r="QTL60" s="21"/>
      <c r="QTP60" s="15"/>
      <c r="QTV60" s="25"/>
      <c r="QUC60" s="21"/>
      <c r="QUD60" s="21"/>
      <c r="QUH60" s="15"/>
      <c r="QUN60" s="25"/>
      <c r="QUU60" s="21"/>
      <c r="QUV60" s="21"/>
      <c r="QUZ60" s="15"/>
      <c r="QVF60" s="25"/>
      <c r="QVM60" s="21"/>
      <c r="QVN60" s="21"/>
      <c r="QVR60" s="15"/>
      <c r="QVX60" s="25"/>
      <c r="QWE60" s="21"/>
      <c r="QWF60" s="21"/>
      <c r="QWJ60" s="15"/>
      <c r="QWP60" s="25"/>
      <c r="QWW60" s="21"/>
      <c r="QWX60" s="21"/>
      <c r="QXB60" s="15"/>
      <c r="QXH60" s="25"/>
      <c r="QXO60" s="21"/>
      <c r="QXP60" s="21"/>
      <c r="QXT60" s="15"/>
      <c r="QXZ60" s="25"/>
      <c r="QYG60" s="21"/>
      <c r="QYH60" s="21"/>
      <c r="QYL60" s="15"/>
      <c r="QYR60" s="25"/>
      <c r="QYY60" s="21"/>
      <c r="QYZ60" s="21"/>
      <c r="QZD60" s="15"/>
      <c r="QZJ60" s="25"/>
      <c r="QZQ60" s="21"/>
      <c r="QZR60" s="21"/>
      <c r="QZV60" s="15"/>
      <c r="RAB60" s="25"/>
      <c r="RAI60" s="21"/>
      <c r="RAJ60" s="21"/>
      <c r="RAN60" s="15"/>
      <c r="RAT60" s="25"/>
      <c r="RBA60" s="21"/>
      <c r="RBB60" s="21"/>
      <c r="RBF60" s="15"/>
      <c r="RBL60" s="25"/>
      <c r="RBS60" s="21"/>
      <c r="RBT60" s="21"/>
      <c r="RBX60" s="15"/>
      <c r="RCD60" s="25"/>
      <c r="RCK60" s="21"/>
      <c r="RCL60" s="21"/>
      <c r="RCP60" s="15"/>
      <c r="RCV60" s="25"/>
      <c r="RDC60" s="21"/>
      <c r="RDD60" s="21"/>
      <c r="RDH60" s="15"/>
      <c r="RDN60" s="25"/>
      <c r="RDU60" s="21"/>
      <c r="RDV60" s="21"/>
      <c r="RDZ60" s="15"/>
      <c r="REF60" s="25"/>
      <c r="REM60" s="21"/>
      <c r="REN60" s="21"/>
      <c r="RER60" s="15"/>
      <c r="REX60" s="25"/>
      <c r="RFE60" s="21"/>
      <c r="RFF60" s="21"/>
      <c r="RFJ60" s="15"/>
      <c r="RFP60" s="25"/>
      <c r="RFW60" s="21"/>
      <c r="RFX60" s="21"/>
      <c r="RGB60" s="15"/>
      <c r="RGH60" s="25"/>
      <c r="RGO60" s="21"/>
      <c r="RGP60" s="21"/>
      <c r="RGT60" s="15"/>
      <c r="RGZ60" s="25"/>
      <c r="RHG60" s="21"/>
      <c r="RHH60" s="21"/>
      <c r="RHL60" s="15"/>
      <c r="RHR60" s="25"/>
      <c r="RHY60" s="21"/>
      <c r="RHZ60" s="21"/>
      <c r="RID60" s="15"/>
      <c r="RIJ60" s="25"/>
      <c r="RIQ60" s="21"/>
      <c r="RIR60" s="21"/>
      <c r="RIV60" s="15"/>
      <c r="RJB60" s="25"/>
      <c r="RJI60" s="21"/>
      <c r="RJJ60" s="21"/>
      <c r="RJN60" s="15"/>
      <c r="RJT60" s="25"/>
      <c r="RKA60" s="21"/>
      <c r="RKB60" s="21"/>
      <c r="RKF60" s="15"/>
      <c r="RKL60" s="25"/>
      <c r="RKS60" s="21"/>
      <c r="RKT60" s="21"/>
      <c r="RKX60" s="15"/>
      <c r="RLD60" s="25"/>
      <c r="RLK60" s="21"/>
      <c r="RLL60" s="21"/>
      <c r="RLP60" s="15"/>
      <c r="RLV60" s="25"/>
      <c r="RMC60" s="21"/>
      <c r="RMD60" s="21"/>
      <c r="RMH60" s="15"/>
      <c r="RMN60" s="25"/>
      <c r="RMU60" s="21"/>
      <c r="RMV60" s="21"/>
      <c r="RMZ60" s="15"/>
      <c r="RNF60" s="25"/>
      <c r="RNM60" s="21"/>
      <c r="RNN60" s="21"/>
      <c r="RNR60" s="15"/>
      <c r="RNX60" s="25"/>
      <c r="ROE60" s="21"/>
      <c r="ROF60" s="21"/>
      <c r="ROJ60" s="15"/>
      <c r="ROP60" s="25"/>
      <c r="ROW60" s="21"/>
      <c r="ROX60" s="21"/>
      <c r="RPB60" s="15"/>
      <c r="RPH60" s="25"/>
      <c r="RPO60" s="21"/>
      <c r="RPP60" s="21"/>
      <c r="RPT60" s="15"/>
      <c r="RPZ60" s="25"/>
      <c r="RQG60" s="21"/>
      <c r="RQH60" s="21"/>
      <c r="RQL60" s="15"/>
      <c r="RQR60" s="25"/>
      <c r="RQY60" s="21"/>
      <c r="RQZ60" s="21"/>
      <c r="RRD60" s="15"/>
      <c r="RRJ60" s="25"/>
      <c r="RRQ60" s="21"/>
      <c r="RRR60" s="21"/>
      <c r="RRV60" s="15"/>
      <c r="RSB60" s="25"/>
      <c r="RSI60" s="21"/>
      <c r="RSJ60" s="21"/>
      <c r="RSN60" s="15"/>
      <c r="RST60" s="25"/>
      <c r="RTA60" s="21"/>
      <c r="RTB60" s="21"/>
      <c r="RTF60" s="15"/>
      <c r="RTL60" s="25"/>
      <c r="RTS60" s="21"/>
      <c r="RTT60" s="21"/>
      <c r="RTX60" s="15"/>
      <c r="RUD60" s="25"/>
      <c r="RUK60" s="21"/>
      <c r="RUL60" s="21"/>
      <c r="RUP60" s="15"/>
      <c r="RUV60" s="25"/>
      <c r="RVC60" s="21"/>
      <c r="RVD60" s="21"/>
      <c r="RVH60" s="15"/>
      <c r="RVN60" s="25"/>
      <c r="RVU60" s="21"/>
      <c r="RVV60" s="21"/>
      <c r="RVZ60" s="15"/>
      <c r="RWF60" s="25"/>
      <c r="RWM60" s="21"/>
      <c r="RWN60" s="21"/>
      <c r="RWR60" s="15"/>
      <c r="RWX60" s="25"/>
      <c r="RXE60" s="21"/>
      <c r="RXF60" s="21"/>
      <c r="RXJ60" s="15"/>
      <c r="RXP60" s="25"/>
      <c r="RXW60" s="21"/>
      <c r="RXX60" s="21"/>
      <c r="RYB60" s="15"/>
      <c r="RYH60" s="25"/>
      <c r="RYO60" s="21"/>
      <c r="RYP60" s="21"/>
      <c r="RYT60" s="15"/>
      <c r="RYZ60" s="25"/>
      <c r="RZG60" s="21"/>
      <c r="RZH60" s="21"/>
      <c r="RZL60" s="15"/>
      <c r="RZR60" s="25"/>
      <c r="RZY60" s="21"/>
      <c r="RZZ60" s="21"/>
      <c r="SAD60" s="15"/>
      <c r="SAJ60" s="25"/>
      <c r="SAQ60" s="21"/>
      <c r="SAR60" s="21"/>
      <c r="SAV60" s="15"/>
      <c r="SBB60" s="25"/>
      <c r="SBI60" s="21"/>
      <c r="SBJ60" s="21"/>
      <c r="SBN60" s="15"/>
      <c r="SBT60" s="25"/>
      <c r="SCA60" s="21"/>
      <c r="SCB60" s="21"/>
      <c r="SCF60" s="15"/>
      <c r="SCL60" s="25"/>
      <c r="SCS60" s="21"/>
      <c r="SCT60" s="21"/>
      <c r="SCX60" s="15"/>
      <c r="SDD60" s="25"/>
      <c r="SDK60" s="21"/>
      <c r="SDL60" s="21"/>
      <c r="SDP60" s="15"/>
      <c r="SDV60" s="25"/>
      <c r="SEC60" s="21"/>
      <c r="SED60" s="21"/>
      <c r="SEH60" s="15"/>
      <c r="SEN60" s="25"/>
      <c r="SEU60" s="21"/>
      <c r="SEV60" s="21"/>
      <c r="SEZ60" s="15"/>
      <c r="SFF60" s="25"/>
      <c r="SFM60" s="21"/>
      <c r="SFN60" s="21"/>
      <c r="SFR60" s="15"/>
      <c r="SFX60" s="25"/>
      <c r="SGE60" s="21"/>
      <c r="SGF60" s="21"/>
      <c r="SGJ60" s="15"/>
      <c r="SGP60" s="25"/>
      <c r="SGW60" s="21"/>
      <c r="SGX60" s="21"/>
      <c r="SHB60" s="15"/>
      <c r="SHH60" s="25"/>
      <c r="SHO60" s="21"/>
      <c r="SHP60" s="21"/>
      <c r="SHT60" s="15"/>
      <c r="SHZ60" s="25"/>
      <c r="SIG60" s="21"/>
      <c r="SIH60" s="21"/>
      <c r="SIL60" s="15"/>
      <c r="SIR60" s="25"/>
      <c r="SIY60" s="21"/>
      <c r="SIZ60" s="21"/>
      <c r="SJD60" s="15"/>
      <c r="SJJ60" s="25"/>
      <c r="SJQ60" s="21"/>
      <c r="SJR60" s="21"/>
      <c r="SJV60" s="15"/>
      <c r="SKB60" s="25"/>
      <c r="SKI60" s="21"/>
      <c r="SKJ60" s="21"/>
      <c r="SKN60" s="15"/>
      <c r="SKT60" s="25"/>
      <c r="SLA60" s="21"/>
      <c r="SLB60" s="21"/>
      <c r="SLF60" s="15"/>
      <c r="SLL60" s="25"/>
      <c r="SLS60" s="21"/>
      <c r="SLT60" s="21"/>
      <c r="SLX60" s="15"/>
      <c r="SMD60" s="25"/>
      <c r="SMK60" s="21"/>
      <c r="SML60" s="21"/>
      <c r="SMP60" s="15"/>
      <c r="SMV60" s="25"/>
      <c r="SNC60" s="21"/>
      <c r="SND60" s="21"/>
      <c r="SNH60" s="15"/>
      <c r="SNN60" s="25"/>
      <c r="SNU60" s="21"/>
      <c r="SNV60" s="21"/>
      <c r="SNZ60" s="15"/>
      <c r="SOF60" s="25"/>
      <c r="SOM60" s="21"/>
      <c r="SON60" s="21"/>
      <c r="SOR60" s="15"/>
      <c r="SOX60" s="25"/>
      <c r="SPE60" s="21"/>
      <c r="SPF60" s="21"/>
      <c r="SPJ60" s="15"/>
      <c r="SPP60" s="25"/>
      <c r="SPW60" s="21"/>
      <c r="SPX60" s="21"/>
      <c r="SQB60" s="15"/>
      <c r="SQH60" s="25"/>
      <c r="SQO60" s="21"/>
      <c r="SQP60" s="21"/>
      <c r="SQT60" s="15"/>
      <c r="SQZ60" s="25"/>
      <c r="SRG60" s="21"/>
      <c r="SRH60" s="21"/>
      <c r="SRL60" s="15"/>
      <c r="SRR60" s="25"/>
      <c r="SRY60" s="21"/>
      <c r="SRZ60" s="21"/>
      <c r="SSD60" s="15"/>
      <c r="SSJ60" s="25"/>
      <c r="SSQ60" s="21"/>
      <c r="SSR60" s="21"/>
      <c r="SSV60" s="15"/>
      <c r="STB60" s="25"/>
      <c r="STI60" s="21"/>
      <c r="STJ60" s="21"/>
      <c r="STN60" s="15"/>
      <c r="STT60" s="25"/>
      <c r="SUA60" s="21"/>
      <c r="SUB60" s="21"/>
      <c r="SUF60" s="15"/>
      <c r="SUL60" s="25"/>
      <c r="SUS60" s="21"/>
      <c r="SUT60" s="21"/>
      <c r="SUX60" s="15"/>
      <c r="SVD60" s="25"/>
      <c r="SVK60" s="21"/>
      <c r="SVL60" s="21"/>
      <c r="SVP60" s="15"/>
      <c r="SVV60" s="25"/>
      <c r="SWC60" s="21"/>
      <c r="SWD60" s="21"/>
      <c r="SWH60" s="15"/>
      <c r="SWN60" s="25"/>
      <c r="SWU60" s="21"/>
      <c r="SWV60" s="21"/>
      <c r="SWZ60" s="15"/>
      <c r="SXF60" s="25"/>
      <c r="SXM60" s="21"/>
      <c r="SXN60" s="21"/>
      <c r="SXR60" s="15"/>
      <c r="SXX60" s="25"/>
      <c r="SYE60" s="21"/>
      <c r="SYF60" s="21"/>
      <c r="SYJ60" s="15"/>
      <c r="SYP60" s="25"/>
      <c r="SYW60" s="21"/>
      <c r="SYX60" s="21"/>
      <c r="SZB60" s="15"/>
      <c r="SZH60" s="25"/>
      <c r="SZO60" s="21"/>
      <c r="SZP60" s="21"/>
      <c r="SZT60" s="15"/>
      <c r="SZZ60" s="25"/>
      <c r="TAG60" s="21"/>
      <c r="TAH60" s="21"/>
      <c r="TAL60" s="15"/>
      <c r="TAR60" s="25"/>
      <c r="TAY60" s="21"/>
      <c r="TAZ60" s="21"/>
      <c r="TBD60" s="15"/>
      <c r="TBJ60" s="25"/>
      <c r="TBQ60" s="21"/>
      <c r="TBR60" s="21"/>
      <c r="TBV60" s="15"/>
      <c r="TCB60" s="25"/>
      <c r="TCI60" s="21"/>
      <c r="TCJ60" s="21"/>
      <c r="TCN60" s="15"/>
      <c r="TCT60" s="25"/>
      <c r="TDA60" s="21"/>
      <c r="TDB60" s="21"/>
      <c r="TDF60" s="15"/>
      <c r="TDL60" s="25"/>
      <c r="TDS60" s="21"/>
      <c r="TDT60" s="21"/>
      <c r="TDX60" s="15"/>
      <c r="TED60" s="25"/>
      <c r="TEK60" s="21"/>
      <c r="TEL60" s="21"/>
      <c r="TEP60" s="15"/>
      <c r="TEV60" s="25"/>
      <c r="TFC60" s="21"/>
      <c r="TFD60" s="21"/>
      <c r="TFH60" s="15"/>
      <c r="TFN60" s="25"/>
      <c r="TFU60" s="21"/>
      <c r="TFV60" s="21"/>
      <c r="TFZ60" s="15"/>
      <c r="TGF60" s="25"/>
      <c r="TGM60" s="21"/>
      <c r="TGN60" s="21"/>
      <c r="TGR60" s="15"/>
      <c r="TGX60" s="25"/>
      <c r="THE60" s="21"/>
      <c r="THF60" s="21"/>
      <c r="THJ60" s="15"/>
      <c r="THP60" s="25"/>
      <c r="THW60" s="21"/>
      <c r="THX60" s="21"/>
      <c r="TIB60" s="15"/>
      <c r="TIH60" s="25"/>
      <c r="TIO60" s="21"/>
      <c r="TIP60" s="21"/>
      <c r="TIT60" s="15"/>
      <c r="TIZ60" s="25"/>
      <c r="TJG60" s="21"/>
      <c r="TJH60" s="21"/>
      <c r="TJL60" s="15"/>
      <c r="TJR60" s="25"/>
      <c r="TJY60" s="21"/>
      <c r="TJZ60" s="21"/>
      <c r="TKD60" s="15"/>
      <c r="TKJ60" s="25"/>
      <c r="TKQ60" s="21"/>
      <c r="TKR60" s="21"/>
      <c r="TKV60" s="15"/>
      <c r="TLB60" s="25"/>
      <c r="TLI60" s="21"/>
      <c r="TLJ60" s="21"/>
      <c r="TLN60" s="15"/>
      <c r="TLT60" s="25"/>
      <c r="TMA60" s="21"/>
      <c r="TMB60" s="21"/>
      <c r="TMF60" s="15"/>
      <c r="TML60" s="25"/>
      <c r="TMS60" s="21"/>
      <c r="TMT60" s="21"/>
      <c r="TMX60" s="15"/>
      <c r="TND60" s="25"/>
      <c r="TNK60" s="21"/>
      <c r="TNL60" s="21"/>
      <c r="TNP60" s="15"/>
      <c r="TNV60" s="25"/>
      <c r="TOC60" s="21"/>
      <c r="TOD60" s="21"/>
      <c r="TOH60" s="15"/>
      <c r="TON60" s="25"/>
      <c r="TOU60" s="21"/>
      <c r="TOV60" s="21"/>
      <c r="TOZ60" s="15"/>
      <c r="TPF60" s="25"/>
      <c r="TPM60" s="21"/>
      <c r="TPN60" s="21"/>
      <c r="TPR60" s="15"/>
      <c r="TPX60" s="25"/>
      <c r="TQE60" s="21"/>
      <c r="TQF60" s="21"/>
      <c r="TQJ60" s="15"/>
      <c r="TQP60" s="25"/>
      <c r="TQW60" s="21"/>
      <c r="TQX60" s="21"/>
      <c r="TRB60" s="15"/>
      <c r="TRH60" s="25"/>
      <c r="TRO60" s="21"/>
      <c r="TRP60" s="21"/>
      <c r="TRT60" s="15"/>
      <c r="TRZ60" s="25"/>
      <c r="TSG60" s="21"/>
      <c r="TSH60" s="21"/>
      <c r="TSL60" s="15"/>
      <c r="TSR60" s="25"/>
      <c r="TSY60" s="21"/>
      <c r="TSZ60" s="21"/>
      <c r="TTD60" s="15"/>
      <c r="TTJ60" s="25"/>
      <c r="TTQ60" s="21"/>
      <c r="TTR60" s="21"/>
      <c r="TTV60" s="15"/>
      <c r="TUB60" s="25"/>
      <c r="TUI60" s="21"/>
      <c r="TUJ60" s="21"/>
      <c r="TUN60" s="15"/>
      <c r="TUT60" s="25"/>
      <c r="TVA60" s="21"/>
      <c r="TVB60" s="21"/>
      <c r="TVF60" s="15"/>
      <c r="TVL60" s="25"/>
      <c r="TVS60" s="21"/>
      <c r="TVT60" s="21"/>
      <c r="TVX60" s="15"/>
      <c r="TWD60" s="25"/>
      <c r="TWK60" s="21"/>
      <c r="TWL60" s="21"/>
      <c r="TWP60" s="15"/>
      <c r="TWV60" s="25"/>
      <c r="TXC60" s="21"/>
      <c r="TXD60" s="21"/>
      <c r="TXH60" s="15"/>
      <c r="TXN60" s="25"/>
      <c r="TXU60" s="21"/>
      <c r="TXV60" s="21"/>
      <c r="TXZ60" s="15"/>
      <c r="TYF60" s="25"/>
      <c r="TYM60" s="21"/>
      <c r="TYN60" s="21"/>
      <c r="TYR60" s="15"/>
      <c r="TYX60" s="25"/>
      <c r="TZE60" s="21"/>
      <c r="TZF60" s="21"/>
      <c r="TZJ60" s="15"/>
      <c r="TZP60" s="25"/>
      <c r="TZW60" s="21"/>
      <c r="TZX60" s="21"/>
      <c r="UAB60" s="15"/>
      <c r="UAH60" s="25"/>
      <c r="UAO60" s="21"/>
      <c r="UAP60" s="21"/>
      <c r="UAT60" s="15"/>
      <c r="UAZ60" s="25"/>
      <c r="UBG60" s="21"/>
      <c r="UBH60" s="21"/>
      <c r="UBL60" s="15"/>
      <c r="UBR60" s="25"/>
      <c r="UBY60" s="21"/>
      <c r="UBZ60" s="21"/>
      <c r="UCD60" s="15"/>
      <c r="UCJ60" s="25"/>
      <c r="UCQ60" s="21"/>
      <c r="UCR60" s="21"/>
      <c r="UCV60" s="15"/>
      <c r="UDB60" s="25"/>
      <c r="UDI60" s="21"/>
      <c r="UDJ60" s="21"/>
      <c r="UDN60" s="15"/>
      <c r="UDT60" s="25"/>
      <c r="UEA60" s="21"/>
      <c r="UEB60" s="21"/>
      <c r="UEF60" s="15"/>
      <c r="UEL60" s="25"/>
      <c r="UES60" s="21"/>
      <c r="UET60" s="21"/>
      <c r="UEX60" s="15"/>
      <c r="UFD60" s="25"/>
      <c r="UFK60" s="21"/>
      <c r="UFL60" s="21"/>
      <c r="UFP60" s="15"/>
      <c r="UFV60" s="25"/>
      <c r="UGC60" s="21"/>
      <c r="UGD60" s="21"/>
      <c r="UGH60" s="15"/>
      <c r="UGN60" s="25"/>
      <c r="UGU60" s="21"/>
      <c r="UGV60" s="21"/>
      <c r="UGZ60" s="15"/>
      <c r="UHF60" s="25"/>
      <c r="UHM60" s="21"/>
      <c r="UHN60" s="21"/>
      <c r="UHR60" s="15"/>
      <c r="UHX60" s="25"/>
      <c r="UIE60" s="21"/>
      <c r="UIF60" s="21"/>
      <c r="UIJ60" s="15"/>
      <c r="UIP60" s="25"/>
      <c r="UIW60" s="21"/>
      <c r="UIX60" s="21"/>
      <c r="UJB60" s="15"/>
      <c r="UJH60" s="25"/>
      <c r="UJO60" s="21"/>
      <c r="UJP60" s="21"/>
      <c r="UJT60" s="15"/>
      <c r="UJZ60" s="25"/>
      <c r="UKG60" s="21"/>
      <c r="UKH60" s="21"/>
      <c r="UKL60" s="15"/>
      <c r="UKR60" s="25"/>
      <c r="UKY60" s="21"/>
      <c r="UKZ60" s="21"/>
      <c r="ULD60" s="15"/>
      <c r="ULJ60" s="25"/>
      <c r="ULQ60" s="21"/>
      <c r="ULR60" s="21"/>
      <c r="ULV60" s="15"/>
      <c r="UMB60" s="25"/>
      <c r="UMI60" s="21"/>
      <c r="UMJ60" s="21"/>
      <c r="UMN60" s="15"/>
      <c r="UMT60" s="25"/>
      <c r="UNA60" s="21"/>
      <c r="UNB60" s="21"/>
      <c r="UNF60" s="15"/>
      <c r="UNL60" s="25"/>
      <c r="UNS60" s="21"/>
      <c r="UNT60" s="21"/>
      <c r="UNX60" s="15"/>
      <c r="UOD60" s="25"/>
      <c r="UOK60" s="21"/>
      <c r="UOL60" s="21"/>
      <c r="UOP60" s="15"/>
      <c r="UOV60" s="25"/>
      <c r="UPC60" s="21"/>
      <c r="UPD60" s="21"/>
      <c r="UPH60" s="15"/>
      <c r="UPN60" s="25"/>
      <c r="UPU60" s="21"/>
      <c r="UPV60" s="21"/>
      <c r="UPZ60" s="15"/>
      <c r="UQF60" s="25"/>
      <c r="UQM60" s="21"/>
      <c r="UQN60" s="21"/>
      <c r="UQR60" s="15"/>
      <c r="UQX60" s="25"/>
      <c r="URE60" s="21"/>
      <c r="URF60" s="21"/>
      <c r="URJ60" s="15"/>
      <c r="URP60" s="25"/>
      <c r="URW60" s="21"/>
      <c r="URX60" s="21"/>
      <c r="USB60" s="15"/>
      <c r="USH60" s="25"/>
      <c r="USO60" s="21"/>
      <c r="USP60" s="21"/>
      <c r="UST60" s="15"/>
      <c r="USZ60" s="25"/>
      <c r="UTG60" s="21"/>
      <c r="UTH60" s="21"/>
      <c r="UTL60" s="15"/>
      <c r="UTR60" s="25"/>
      <c r="UTY60" s="21"/>
      <c r="UTZ60" s="21"/>
      <c r="UUD60" s="15"/>
      <c r="UUJ60" s="25"/>
      <c r="UUQ60" s="21"/>
      <c r="UUR60" s="21"/>
      <c r="UUV60" s="15"/>
      <c r="UVB60" s="25"/>
      <c r="UVI60" s="21"/>
      <c r="UVJ60" s="21"/>
      <c r="UVN60" s="15"/>
      <c r="UVT60" s="25"/>
      <c r="UWA60" s="21"/>
      <c r="UWB60" s="21"/>
      <c r="UWF60" s="15"/>
      <c r="UWL60" s="25"/>
      <c r="UWS60" s="21"/>
      <c r="UWT60" s="21"/>
      <c r="UWX60" s="15"/>
      <c r="UXD60" s="25"/>
      <c r="UXK60" s="21"/>
      <c r="UXL60" s="21"/>
      <c r="UXP60" s="15"/>
      <c r="UXV60" s="25"/>
      <c r="UYC60" s="21"/>
      <c r="UYD60" s="21"/>
      <c r="UYH60" s="15"/>
      <c r="UYN60" s="25"/>
      <c r="UYU60" s="21"/>
      <c r="UYV60" s="21"/>
      <c r="UYZ60" s="15"/>
      <c r="UZF60" s="25"/>
      <c r="UZM60" s="21"/>
      <c r="UZN60" s="21"/>
      <c r="UZR60" s="15"/>
      <c r="UZX60" s="25"/>
      <c r="VAE60" s="21"/>
      <c r="VAF60" s="21"/>
      <c r="VAJ60" s="15"/>
      <c r="VAP60" s="25"/>
      <c r="VAW60" s="21"/>
      <c r="VAX60" s="21"/>
      <c r="VBB60" s="15"/>
      <c r="VBH60" s="25"/>
      <c r="VBO60" s="21"/>
      <c r="VBP60" s="21"/>
      <c r="VBT60" s="15"/>
      <c r="VBZ60" s="25"/>
      <c r="VCG60" s="21"/>
      <c r="VCH60" s="21"/>
      <c r="VCL60" s="15"/>
      <c r="VCR60" s="25"/>
      <c r="VCY60" s="21"/>
      <c r="VCZ60" s="21"/>
      <c r="VDD60" s="15"/>
      <c r="VDJ60" s="25"/>
      <c r="VDQ60" s="21"/>
      <c r="VDR60" s="21"/>
      <c r="VDV60" s="15"/>
      <c r="VEB60" s="25"/>
      <c r="VEI60" s="21"/>
      <c r="VEJ60" s="21"/>
      <c r="VEN60" s="15"/>
      <c r="VET60" s="25"/>
      <c r="VFA60" s="21"/>
      <c r="VFB60" s="21"/>
      <c r="VFF60" s="15"/>
      <c r="VFL60" s="25"/>
      <c r="VFS60" s="21"/>
      <c r="VFT60" s="21"/>
      <c r="VFX60" s="15"/>
      <c r="VGD60" s="25"/>
      <c r="VGK60" s="21"/>
      <c r="VGL60" s="21"/>
      <c r="VGP60" s="15"/>
      <c r="VGV60" s="25"/>
      <c r="VHC60" s="21"/>
      <c r="VHD60" s="21"/>
      <c r="VHH60" s="15"/>
      <c r="VHN60" s="25"/>
      <c r="VHU60" s="21"/>
      <c r="VHV60" s="21"/>
      <c r="VHZ60" s="15"/>
      <c r="VIF60" s="25"/>
      <c r="VIM60" s="21"/>
      <c r="VIN60" s="21"/>
      <c r="VIR60" s="15"/>
      <c r="VIX60" s="25"/>
      <c r="VJE60" s="21"/>
      <c r="VJF60" s="21"/>
      <c r="VJJ60" s="15"/>
      <c r="VJP60" s="25"/>
      <c r="VJW60" s="21"/>
      <c r="VJX60" s="21"/>
      <c r="VKB60" s="15"/>
      <c r="VKH60" s="25"/>
      <c r="VKO60" s="21"/>
      <c r="VKP60" s="21"/>
      <c r="VKT60" s="15"/>
      <c r="VKZ60" s="25"/>
      <c r="VLG60" s="21"/>
      <c r="VLH60" s="21"/>
      <c r="VLL60" s="15"/>
      <c r="VLR60" s="25"/>
      <c r="VLY60" s="21"/>
      <c r="VLZ60" s="21"/>
      <c r="VMD60" s="15"/>
      <c r="VMJ60" s="25"/>
      <c r="VMQ60" s="21"/>
      <c r="VMR60" s="21"/>
      <c r="VMV60" s="15"/>
      <c r="VNB60" s="25"/>
      <c r="VNI60" s="21"/>
      <c r="VNJ60" s="21"/>
      <c r="VNN60" s="15"/>
      <c r="VNT60" s="25"/>
      <c r="VOA60" s="21"/>
      <c r="VOB60" s="21"/>
      <c r="VOF60" s="15"/>
      <c r="VOL60" s="25"/>
      <c r="VOS60" s="21"/>
      <c r="VOT60" s="21"/>
      <c r="VOX60" s="15"/>
      <c r="VPD60" s="25"/>
      <c r="VPK60" s="21"/>
      <c r="VPL60" s="21"/>
      <c r="VPP60" s="15"/>
      <c r="VPV60" s="25"/>
      <c r="VQC60" s="21"/>
      <c r="VQD60" s="21"/>
      <c r="VQH60" s="15"/>
      <c r="VQN60" s="25"/>
      <c r="VQU60" s="21"/>
      <c r="VQV60" s="21"/>
      <c r="VQZ60" s="15"/>
      <c r="VRF60" s="25"/>
      <c r="VRM60" s="21"/>
      <c r="VRN60" s="21"/>
      <c r="VRR60" s="15"/>
      <c r="VRX60" s="25"/>
      <c r="VSE60" s="21"/>
      <c r="VSF60" s="21"/>
      <c r="VSJ60" s="15"/>
      <c r="VSP60" s="25"/>
      <c r="VSW60" s="21"/>
      <c r="VSX60" s="21"/>
      <c r="VTB60" s="15"/>
      <c r="VTH60" s="25"/>
      <c r="VTO60" s="21"/>
      <c r="VTP60" s="21"/>
      <c r="VTT60" s="15"/>
      <c r="VTZ60" s="25"/>
      <c r="VUG60" s="21"/>
      <c r="VUH60" s="21"/>
      <c r="VUL60" s="15"/>
      <c r="VUR60" s="25"/>
      <c r="VUY60" s="21"/>
      <c r="VUZ60" s="21"/>
      <c r="VVD60" s="15"/>
      <c r="VVJ60" s="25"/>
      <c r="VVQ60" s="21"/>
      <c r="VVR60" s="21"/>
      <c r="VVV60" s="15"/>
      <c r="VWB60" s="25"/>
      <c r="VWI60" s="21"/>
      <c r="VWJ60" s="21"/>
      <c r="VWN60" s="15"/>
      <c r="VWT60" s="25"/>
      <c r="VXA60" s="21"/>
      <c r="VXB60" s="21"/>
      <c r="VXF60" s="15"/>
      <c r="VXL60" s="25"/>
      <c r="VXS60" s="21"/>
      <c r="VXT60" s="21"/>
      <c r="VXX60" s="15"/>
      <c r="VYD60" s="25"/>
      <c r="VYK60" s="21"/>
      <c r="VYL60" s="21"/>
      <c r="VYP60" s="15"/>
      <c r="VYV60" s="25"/>
      <c r="VZC60" s="21"/>
      <c r="VZD60" s="21"/>
      <c r="VZH60" s="15"/>
      <c r="VZN60" s="25"/>
      <c r="VZU60" s="21"/>
      <c r="VZV60" s="21"/>
      <c r="VZZ60" s="15"/>
      <c r="WAF60" s="25"/>
      <c r="WAM60" s="21"/>
      <c r="WAN60" s="21"/>
      <c r="WAR60" s="15"/>
      <c r="WAX60" s="25"/>
      <c r="WBE60" s="21"/>
      <c r="WBF60" s="21"/>
      <c r="WBJ60" s="15"/>
      <c r="WBP60" s="25"/>
      <c r="WBW60" s="21"/>
      <c r="WBX60" s="21"/>
      <c r="WCB60" s="15"/>
      <c r="WCH60" s="25"/>
      <c r="WCO60" s="21"/>
      <c r="WCP60" s="21"/>
      <c r="WCT60" s="15"/>
      <c r="WCZ60" s="25"/>
      <c r="WDG60" s="21"/>
      <c r="WDH60" s="21"/>
      <c r="WDL60" s="15"/>
      <c r="WDR60" s="25"/>
      <c r="WDY60" s="21"/>
      <c r="WDZ60" s="21"/>
      <c r="WED60" s="15"/>
      <c r="WEJ60" s="25"/>
      <c r="WEQ60" s="21"/>
      <c r="WER60" s="21"/>
      <c r="WEV60" s="15"/>
      <c r="WFB60" s="25"/>
      <c r="WFI60" s="21"/>
      <c r="WFJ60" s="21"/>
      <c r="WFN60" s="15"/>
      <c r="WFT60" s="25"/>
      <c r="WGA60" s="21"/>
      <c r="WGB60" s="21"/>
      <c r="WGF60" s="15"/>
      <c r="WGL60" s="25"/>
      <c r="WGS60" s="21"/>
      <c r="WGT60" s="21"/>
      <c r="WGX60" s="15"/>
      <c r="WHD60" s="25"/>
      <c r="WHK60" s="21"/>
      <c r="WHL60" s="21"/>
      <c r="WHP60" s="15"/>
      <c r="WHV60" s="25"/>
      <c r="WIC60" s="21"/>
      <c r="WID60" s="21"/>
      <c r="WIH60" s="15"/>
      <c r="WIN60" s="25"/>
      <c r="WIU60" s="21"/>
      <c r="WIV60" s="21"/>
      <c r="WIZ60" s="15"/>
      <c r="WJF60" s="25"/>
      <c r="WJM60" s="21"/>
      <c r="WJN60" s="21"/>
      <c r="WJR60" s="15"/>
      <c r="WJX60" s="25"/>
      <c r="WKE60" s="21"/>
      <c r="WKF60" s="21"/>
      <c r="WKJ60" s="15"/>
      <c r="WKP60" s="25"/>
      <c r="WKW60" s="21"/>
      <c r="WKX60" s="21"/>
      <c r="WLB60" s="15"/>
      <c r="WLH60" s="25"/>
      <c r="WLO60" s="21"/>
      <c r="WLP60" s="21"/>
      <c r="WLT60" s="15"/>
      <c r="WLZ60" s="25"/>
      <c r="WMG60" s="21"/>
      <c r="WMH60" s="21"/>
      <c r="WML60" s="15"/>
      <c r="WMR60" s="25"/>
      <c r="WMY60" s="21"/>
      <c r="WMZ60" s="21"/>
      <c r="WND60" s="15"/>
      <c r="WNJ60" s="25"/>
      <c r="WNQ60" s="21"/>
      <c r="WNR60" s="21"/>
      <c r="WNV60" s="15"/>
      <c r="WOB60" s="25"/>
      <c r="WOI60" s="21"/>
      <c r="WOJ60" s="21"/>
      <c r="WON60" s="15"/>
      <c r="WOT60" s="25"/>
      <c r="WPA60" s="21"/>
      <c r="WPB60" s="21"/>
      <c r="WPF60" s="15"/>
      <c r="WPL60" s="25"/>
      <c r="WPS60" s="21"/>
      <c r="WPT60" s="21"/>
      <c r="WPX60" s="15"/>
      <c r="WQD60" s="25"/>
      <c r="WQK60" s="21"/>
      <c r="WQL60" s="21"/>
      <c r="WQP60" s="15"/>
      <c r="WQV60" s="25"/>
      <c r="WRC60" s="21"/>
      <c r="WRD60" s="21"/>
      <c r="WRH60" s="15"/>
      <c r="WRN60" s="25"/>
      <c r="WRU60" s="21"/>
      <c r="WRV60" s="21"/>
      <c r="WRZ60" s="15"/>
      <c r="WSF60" s="25"/>
      <c r="WSM60" s="21"/>
      <c r="WSN60" s="21"/>
      <c r="WSR60" s="15"/>
      <c r="WSX60" s="25"/>
      <c r="WTE60" s="21"/>
      <c r="WTF60" s="21"/>
      <c r="WTJ60" s="15"/>
      <c r="WTP60" s="25"/>
      <c r="WTW60" s="21"/>
      <c r="WTX60" s="21"/>
      <c r="WUB60" s="15"/>
      <c r="WUH60" s="25"/>
      <c r="WUO60" s="21"/>
      <c r="WUP60" s="21"/>
      <c r="WUT60" s="15"/>
      <c r="WUZ60" s="25"/>
      <c r="WVG60" s="21"/>
      <c r="WVH60" s="21"/>
      <c r="WVL60" s="15"/>
      <c r="WVR60" s="25"/>
      <c r="WVY60" s="21"/>
      <c r="WVZ60" s="21"/>
      <c r="WWD60" s="15"/>
      <c r="WWJ60" s="25"/>
      <c r="WWQ60" s="21"/>
      <c r="WWR60" s="21"/>
      <c r="WWV60" s="15"/>
      <c r="WXB60" s="25"/>
      <c r="WXI60" s="21"/>
      <c r="WXJ60" s="21"/>
      <c r="WXN60" s="15"/>
      <c r="WXT60" s="25"/>
      <c r="WYA60" s="21"/>
      <c r="WYB60" s="21"/>
      <c r="WYF60" s="15"/>
      <c r="WYL60" s="25"/>
      <c r="WYS60" s="21"/>
      <c r="WYT60" s="21"/>
      <c r="WYX60" s="15"/>
      <c r="WZD60" s="25"/>
      <c r="WZK60" s="21"/>
      <c r="WZL60" s="21"/>
      <c r="WZP60" s="15"/>
      <c r="WZV60" s="25"/>
      <c r="XAC60" s="21"/>
      <c r="XAD60" s="21"/>
      <c r="XAH60" s="15"/>
      <c r="XAN60" s="25"/>
      <c r="XAU60" s="21"/>
      <c r="XAV60" s="21"/>
      <c r="XAZ60" s="15"/>
      <c r="XBF60" s="25"/>
      <c r="XBM60" s="21"/>
      <c r="XBN60" s="21"/>
      <c r="XBR60" s="15"/>
      <c r="XBX60" s="25"/>
      <c r="XCE60" s="21"/>
      <c r="XCF60" s="21"/>
      <c r="XCJ60" s="15"/>
      <c r="XCP60" s="25"/>
      <c r="XCW60" s="21"/>
      <c r="XCX60" s="21"/>
      <c r="XDB60" s="15"/>
      <c r="XDH60" s="25"/>
      <c r="XDO60" s="21"/>
      <c r="XDP60" s="21"/>
      <c r="XDT60" s="15"/>
      <c r="XDZ60" s="25"/>
      <c r="XEG60" s="21"/>
      <c r="XEH60" s="21"/>
      <c r="XEL60" s="15"/>
      <c r="XER60" s="25"/>
      <c r="XEY60" s="21"/>
      <c r="XEZ60" s="21"/>
      <c r="XFD60" s="15"/>
    </row>
    <row r="61" spans="1:1018 1025:2044 2051:3070 3077:4096 4103:5116 5122:6142 6148:7168 7174:8190 8194:9216 9220:10234 10241:11260 11267:12286 12293:13312 13319:14332 14338:15358 15364:16384">
      <c r="A61" s="58" t="s">
        <v>184</v>
      </c>
      <c r="B61" s="49">
        <v>2012</v>
      </c>
      <c r="C61" s="59" t="s">
        <v>185</v>
      </c>
      <c r="D61" s="27" t="s">
        <v>86</v>
      </c>
      <c r="E61" s="10" t="s">
        <v>50</v>
      </c>
      <c r="F61" s="27" t="s">
        <v>41</v>
      </c>
      <c r="G61" s="60">
        <v>1505213145</v>
      </c>
      <c r="H61" s="61">
        <v>1514746636</v>
      </c>
      <c r="I61" s="29">
        <v>110</v>
      </c>
      <c r="J61" s="30" t="s">
        <v>186</v>
      </c>
      <c r="K61" t="s">
        <v>26</v>
      </c>
      <c r="L61"/>
      <c r="M61" t="s">
        <v>26</v>
      </c>
      <c r="N61"/>
      <c r="O61"/>
      <c r="P61"/>
      <c r="Q61"/>
      <c r="R61" t="s">
        <v>28</v>
      </c>
    </row>
    <row r="62" spans="1:1018 1025:2044 2051:3070 3077:4096 4103:5116 5122:6142 6148:7168 7174:8190 8194:9216 9220:10234 10241:11260 11267:12286 12293:13312 13319:14332 14338:15358 15364:16384" s="40" customFormat="1" ht="15" customHeight="1">
      <c r="A62" s="33" t="s">
        <v>187</v>
      </c>
      <c r="B62" s="34">
        <v>2007</v>
      </c>
      <c r="C62" s="35" t="s">
        <v>188</v>
      </c>
      <c r="D62" s="36" t="s">
        <v>86</v>
      </c>
      <c r="E62" s="37"/>
      <c r="F62" s="35" t="s">
        <v>55</v>
      </c>
      <c r="G62" s="62">
        <v>6148771541.7605944</v>
      </c>
      <c r="H62" s="62">
        <v>4083149750.8419681</v>
      </c>
      <c r="I62" s="34"/>
      <c r="J62" s="39"/>
      <c r="K62" s="36"/>
      <c r="L62" s="36"/>
      <c r="M62" s="36"/>
      <c r="N62" s="34"/>
      <c r="O62" s="36"/>
      <c r="P62" s="34"/>
      <c r="Q62" s="36"/>
      <c r="R62" s="36"/>
      <c r="V62" s="41"/>
      <c r="AB62" s="42"/>
      <c r="AI62" s="33"/>
      <c r="AJ62" s="33"/>
      <c r="AN62" s="41"/>
      <c r="AT62" s="42"/>
      <c r="BA62" s="33"/>
      <c r="BB62" s="33"/>
      <c r="BF62" s="41"/>
      <c r="BL62" s="42"/>
      <c r="BS62" s="33"/>
      <c r="BT62" s="33"/>
      <c r="BX62" s="41"/>
      <c r="CD62" s="42"/>
      <c r="CK62" s="33"/>
      <c r="CL62" s="33"/>
      <c r="CP62" s="41"/>
      <c r="CV62" s="42"/>
      <c r="DC62" s="33"/>
      <c r="DD62" s="33"/>
      <c r="DH62" s="41"/>
      <c r="DN62" s="42"/>
      <c r="DU62" s="33"/>
      <c r="DV62" s="33"/>
      <c r="DZ62" s="41"/>
      <c r="EF62" s="42"/>
      <c r="EM62" s="33"/>
      <c r="EN62" s="33"/>
      <c r="ER62" s="41"/>
      <c r="EX62" s="42"/>
      <c r="FE62" s="33"/>
      <c r="FF62" s="33"/>
      <c r="FJ62" s="41"/>
      <c r="FP62" s="42"/>
      <c r="FW62" s="33"/>
      <c r="FX62" s="33"/>
      <c r="GB62" s="41"/>
      <c r="GH62" s="42"/>
      <c r="GO62" s="33"/>
      <c r="GP62" s="33"/>
      <c r="GT62" s="41"/>
      <c r="GZ62" s="42"/>
      <c r="HG62" s="33"/>
      <c r="HH62" s="33"/>
      <c r="HL62" s="41"/>
      <c r="HR62" s="42"/>
      <c r="HY62" s="33"/>
      <c r="HZ62" s="33"/>
      <c r="ID62" s="41"/>
      <c r="IJ62" s="42"/>
      <c r="IQ62" s="33"/>
      <c r="IR62" s="33"/>
      <c r="IV62" s="41"/>
      <c r="JB62" s="42"/>
      <c r="JI62" s="33"/>
      <c r="JJ62" s="33"/>
      <c r="JN62" s="41"/>
      <c r="JT62" s="42"/>
      <c r="KA62" s="33"/>
      <c r="KB62" s="33"/>
      <c r="KF62" s="41"/>
      <c r="KL62" s="42"/>
      <c r="KS62" s="33"/>
      <c r="KT62" s="33"/>
      <c r="KX62" s="41"/>
      <c r="LD62" s="42"/>
      <c r="LK62" s="33"/>
      <c r="LL62" s="33"/>
      <c r="LP62" s="41"/>
      <c r="LV62" s="42"/>
      <c r="MC62" s="33"/>
      <c r="MD62" s="33"/>
      <c r="MH62" s="41"/>
      <c r="MN62" s="42"/>
      <c r="MU62" s="33"/>
      <c r="MV62" s="33"/>
      <c r="MZ62" s="41"/>
      <c r="NF62" s="42"/>
      <c r="NM62" s="33"/>
      <c r="NN62" s="33"/>
      <c r="NR62" s="41"/>
      <c r="NX62" s="42"/>
      <c r="OE62" s="33"/>
      <c r="OF62" s="33"/>
      <c r="OJ62" s="41"/>
      <c r="OP62" s="42"/>
      <c r="OW62" s="33"/>
      <c r="OX62" s="33"/>
      <c r="PB62" s="41"/>
      <c r="PH62" s="42"/>
      <c r="PO62" s="33"/>
      <c r="PP62" s="33"/>
      <c r="PT62" s="41"/>
      <c r="PZ62" s="42"/>
      <c r="QG62" s="33"/>
      <c r="QH62" s="33"/>
      <c r="QL62" s="41"/>
      <c r="QR62" s="42"/>
      <c r="QY62" s="33"/>
      <c r="QZ62" s="33"/>
      <c r="RD62" s="41"/>
      <c r="RJ62" s="42"/>
      <c r="RQ62" s="33"/>
      <c r="RR62" s="33"/>
      <c r="RV62" s="41"/>
      <c r="SB62" s="42"/>
      <c r="SI62" s="33"/>
      <c r="SJ62" s="33"/>
      <c r="SN62" s="41"/>
      <c r="ST62" s="42"/>
      <c r="TA62" s="33"/>
      <c r="TB62" s="33"/>
      <c r="TF62" s="41"/>
      <c r="TL62" s="42"/>
      <c r="TS62" s="33"/>
      <c r="TT62" s="33"/>
      <c r="TX62" s="41"/>
      <c r="UD62" s="42"/>
      <c r="UK62" s="33"/>
      <c r="UL62" s="33"/>
      <c r="UP62" s="41"/>
      <c r="UV62" s="42"/>
      <c r="VC62" s="33"/>
      <c r="VD62" s="33"/>
      <c r="VH62" s="41"/>
      <c r="VN62" s="42"/>
      <c r="VU62" s="33"/>
      <c r="VV62" s="33"/>
      <c r="VZ62" s="41"/>
      <c r="WF62" s="42"/>
      <c r="WM62" s="33"/>
      <c r="WN62" s="33"/>
      <c r="WR62" s="41"/>
      <c r="WX62" s="42"/>
      <c r="XE62" s="33"/>
      <c r="XF62" s="33"/>
      <c r="XJ62" s="41"/>
      <c r="XP62" s="42"/>
      <c r="XW62" s="33"/>
      <c r="XX62" s="33"/>
      <c r="YB62" s="41"/>
      <c r="YH62" s="42"/>
      <c r="YO62" s="33"/>
      <c r="YP62" s="33"/>
      <c r="YT62" s="41"/>
      <c r="YZ62" s="42"/>
      <c r="ZG62" s="33"/>
      <c r="ZH62" s="33"/>
      <c r="ZL62" s="41"/>
      <c r="ZR62" s="42"/>
      <c r="ZY62" s="33"/>
      <c r="ZZ62" s="33"/>
      <c r="AAD62" s="41"/>
      <c r="AAJ62" s="42"/>
      <c r="AAQ62" s="33"/>
      <c r="AAR62" s="33"/>
      <c r="AAV62" s="41"/>
      <c r="ABB62" s="42"/>
      <c r="ABI62" s="33"/>
      <c r="ABJ62" s="33"/>
      <c r="ABN62" s="41"/>
      <c r="ABT62" s="42"/>
      <c r="ACA62" s="33"/>
      <c r="ACB62" s="33"/>
      <c r="ACF62" s="41"/>
      <c r="ACL62" s="42"/>
      <c r="ACS62" s="33"/>
      <c r="ACT62" s="33"/>
      <c r="ACX62" s="41"/>
      <c r="ADD62" s="42"/>
      <c r="ADK62" s="33"/>
      <c r="ADL62" s="33"/>
      <c r="ADP62" s="41"/>
      <c r="ADV62" s="42"/>
      <c r="AEC62" s="33"/>
      <c r="AED62" s="33"/>
      <c r="AEH62" s="41"/>
      <c r="AEN62" s="42"/>
      <c r="AEU62" s="33"/>
      <c r="AEV62" s="33"/>
      <c r="AEZ62" s="41"/>
      <c r="AFF62" s="42"/>
      <c r="AFM62" s="33"/>
      <c r="AFN62" s="33"/>
      <c r="AFR62" s="41"/>
      <c r="AFX62" s="42"/>
      <c r="AGE62" s="33"/>
      <c r="AGF62" s="33"/>
      <c r="AGJ62" s="41"/>
      <c r="AGP62" s="42"/>
      <c r="AGW62" s="33"/>
      <c r="AGX62" s="33"/>
      <c r="AHB62" s="41"/>
      <c r="AHH62" s="42"/>
      <c r="AHO62" s="33"/>
      <c r="AHP62" s="33"/>
      <c r="AHT62" s="41"/>
      <c r="AHZ62" s="42"/>
      <c r="AIG62" s="33"/>
      <c r="AIH62" s="33"/>
      <c r="AIL62" s="41"/>
      <c r="AIR62" s="42"/>
      <c r="AIY62" s="33"/>
      <c r="AIZ62" s="33"/>
      <c r="AJD62" s="41"/>
      <c r="AJJ62" s="42"/>
      <c r="AJQ62" s="33"/>
      <c r="AJR62" s="33"/>
      <c r="AJV62" s="41"/>
      <c r="AKB62" s="42"/>
      <c r="AKI62" s="33"/>
      <c r="AKJ62" s="33"/>
      <c r="AKN62" s="41"/>
      <c r="AKT62" s="42"/>
      <c r="ALA62" s="33"/>
      <c r="ALB62" s="33"/>
      <c r="ALF62" s="41"/>
      <c r="ALL62" s="42"/>
      <c r="ALS62" s="33"/>
      <c r="ALT62" s="33"/>
      <c r="ALX62" s="41"/>
      <c r="AMD62" s="42"/>
      <c r="AMK62" s="33"/>
      <c r="AML62" s="33"/>
      <c r="AMP62" s="41"/>
      <c r="AMV62" s="42"/>
      <c r="ANC62" s="33"/>
      <c r="AND62" s="33"/>
      <c r="ANH62" s="41"/>
      <c r="ANN62" s="42"/>
      <c r="ANU62" s="33"/>
      <c r="ANV62" s="33"/>
      <c r="ANZ62" s="41"/>
      <c r="AOF62" s="42"/>
      <c r="AOM62" s="33"/>
      <c r="AON62" s="33"/>
      <c r="AOR62" s="41"/>
      <c r="AOX62" s="42"/>
      <c r="APE62" s="33"/>
      <c r="APF62" s="33"/>
      <c r="APJ62" s="41"/>
      <c r="APP62" s="42"/>
      <c r="APW62" s="33"/>
      <c r="APX62" s="33"/>
      <c r="AQB62" s="41"/>
      <c r="AQH62" s="42"/>
      <c r="AQO62" s="33"/>
      <c r="AQP62" s="33"/>
      <c r="AQT62" s="41"/>
      <c r="AQZ62" s="42"/>
      <c r="ARG62" s="33"/>
      <c r="ARH62" s="33"/>
      <c r="ARL62" s="41"/>
      <c r="ARR62" s="42"/>
      <c r="ARY62" s="33"/>
      <c r="ARZ62" s="33"/>
      <c r="ASD62" s="41"/>
      <c r="ASJ62" s="42"/>
      <c r="ASQ62" s="33"/>
      <c r="ASR62" s="33"/>
      <c r="ASV62" s="41"/>
      <c r="ATB62" s="42"/>
      <c r="ATI62" s="33"/>
      <c r="ATJ62" s="33"/>
      <c r="ATN62" s="41"/>
      <c r="ATT62" s="42"/>
      <c r="AUA62" s="33"/>
      <c r="AUB62" s="33"/>
      <c r="AUF62" s="41"/>
      <c r="AUL62" s="42"/>
      <c r="AUS62" s="33"/>
      <c r="AUT62" s="33"/>
      <c r="AUX62" s="41"/>
      <c r="AVD62" s="42"/>
      <c r="AVK62" s="33"/>
      <c r="AVL62" s="33"/>
      <c r="AVP62" s="41"/>
      <c r="AVV62" s="42"/>
      <c r="AWC62" s="33"/>
      <c r="AWD62" s="33"/>
      <c r="AWH62" s="41"/>
      <c r="AWN62" s="42"/>
      <c r="AWU62" s="33"/>
      <c r="AWV62" s="33"/>
      <c r="AWZ62" s="41"/>
      <c r="AXF62" s="42"/>
      <c r="AXM62" s="33"/>
      <c r="AXN62" s="33"/>
      <c r="AXR62" s="41"/>
      <c r="AXX62" s="42"/>
      <c r="AYE62" s="33"/>
      <c r="AYF62" s="33"/>
      <c r="AYJ62" s="41"/>
      <c r="AYP62" s="42"/>
      <c r="AYW62" s="33"/>
      <c r="AYX62" s="33"/>
      <c r="AZB62" s="41"/>
      <c r="AZH62" s="42"/>
      <c r="AZO62" s="33"/>
      <c r="AZP62" s="33"/>
      <c r="AZT62" s="41"/>
      <c r="AZZ62" s="42"/>
      <c r="BAG62" s="33"/>
      <c r="BAH62" s="33"/>
      <c r="BAL62" s="41"/>
      <c r="BAR62" s="42"/>
      <c r="BAY62" s="33"/>
      <c r="BAZ62" s="33"/>
      <c r="BBD62" s="41"/>
      <c r="BBJ62" s="42"/>
      <c r="BBQ62" s="33"/>
      <c r="BBR62" s="33"/>
      <c r="BBV62" s="41"/>
      <c r="BCB62" s="42"/>
      <c r="BCI62" s="33"/>
      <c r="BCJ62" s="33"/>
      <c r="BCN62" s="41"/>
      <c r="BCT62" s="42"/>
      <c r="BDA62" s="33"/>
      <c r="BDB62" s="33"/>
      <c r="BDF62" s="41"/>
      <c r="BDL62" s="42"/>
      <c r="BDS62" s="33"/>
      <c r="BDT62" s="33"/>
      <c r="BDX62" s="41"/>
      <c r="BED62" s="42"/>
      <c r="BEK62" s="33"/>
      <c r="BEL62" s="33"/>
      <c r="BEP62" s="41"/>
      <c r="BEV62" s="42"/>
      <c r="BFC62" s="33"/>
      <c r="BFD62" s="33"/>
      <c r="BFH62" s="41"/>
      <c r="BFN62" s="42"/>
      <c r="BFU62" s="33"/>
      <c r="BFV62" s="33"/>
      <c r="BFZ62" s="41"/>
      <c r="BGF62" s="42"/>
      <c r="BGM62" s="33"/>
      <c r="BGN62" s="33"/>
      <c r="BGR62" s="41"/>
      <c r="BGX62" s="42"/>
      <c r="BHE62" s="33"/>
      <c r="BHF62" s="33"/>
      <c r="BHJ62" s="41"/>
      <c r="BHP62" s="42"/>
      <c r="BHW62" s="33"/>
      <c r="BHX62" s="33"/>
      <c r="BIB62" s="41"/>
      <c r="BIH62" s="42"/>
      <c r="BIO62" s="33"/>
      <c r="BIP62" s="33"/>
      <c r="BIT62" s="41"/>
      <c r="BIZ62" s="42"/>
      <c r="BJG62" s="33"/>
      <c r="BJH62" s="33"/>
      <c r="BJL62" s="41"/>
      <c r="BJR62" s="42"/>
      <c r="BJY62" s="33"/>
      <c r="BJZ62" s="33"/>
      <c r="BKD62" s="41"/>
      <c r="BKJ62" s="42"/>
      <c r="BKQ62" s="33"/>
      <c r="BKR62" s="33"/>
      <c r="BKV62" s="41"/>
      <c r="BLB62" s="42"/>
      <c r="BLI62" s="33"/>
      <c r="BLJ62" s="33"/>
      <c r="BLN62" s="41"/>
      <c r="BLT62" s="42"/>
      <c r="BMA62" s="33"/>
      <c r="BMB62" s="33"/>
      <c r="BMF62" s="41"/>
      <c r="BML62" s="42"/>
      <c r="BMS62" s="33"/>
      <c r="BMT62" s="33"/>
      <c r="BMX62" s="41"/>
      <c r="BND62" s="42"/>
      <c r="BNK62" s="33"/>
      <c r="BNL62" s="33"/>
      <c r="BNP62" s="41"/>
      <c r="BNV62" s="42"/>
      <c r="BOC62" s="33"/>
      <c r="BOD62" s="33"/>
      <c r="BOH62" s="41"/>
      <c r="BON62" s="42"/>
      <c r="BOU62" s="33"/>
      <c r="BOV62" s="33"/>
      <c r="BOZ62" s="41"/>
      <c r="BPF62" s="42"/>
      <c r="BPM62" s="33"/>
      <c r="BPN62" s="33"/>
      <c r="BPR62" s="41"/>
      <c r="BPX62" s="42"/>
      <c r="BQE62" s="33"/>
      <c r="BQF62" s="33"/>
      <c r="BQJ62" s="41"/>
      <c r="BQP62" s="42"/>
      <c r="BQW62" s="33"/>
      <c r="BQX62" s="33"/>
      <c r="BRB62" s="41"/>
      <c r="BRH62" s="42"/>
      <c r="BRO62" s="33"/>
      <c r="BRP62" s="33"/>
      <c r="BRT62" s="41"/>
      <c r="BRZ62" s="42"/>
      <c r="BSG62" s="33"/>
      <c r="BSH62" s="33"/>
      <c r="BSL62" s="41"/>
      <c r="BSR62" s="42"/>
      <c r="BSY62" s="33"/>
      <c r="BSZ62" s="33"/>
      <c r="BTD62" s="41"/>
      <c r="BTJ62" s="42"/>
      <c r="BTQ62" s="33"/>
      <c r="BTR62" s="33"/>
      <c r="BTV62" s="41"/>
      <c r="BUB62" s="42"/>
      <c r="BUI62" s="33"/>
      <c r="BUJ62" s="33"/>
      <c r="BUN62" s="41"/>
      <c r="BUT62" s="42"/>
      <c r="BVA62" s="33"/>
      <c r="BVB62" s="33"/>
      <c r="BVF62" s="41"/>
      <c r="BVL62" s="42"/>
      <c r="BVS62" s="33"/>
      <c r="BVT62" s="33"/>
      <c r="BVX62" s="41"/>
      <c r="BWD62" s="42"/>
      <c r="BWK62" s="33"/>
      <c r="BWL62" s="33"/>
      <c r="BWP62" s="41"/>
      <c r="BWV62" s="42"/>
      <c r="BXC62" s="33"/>
      <c r="BXD62" s="33"/>
      <c r="BXH62" s="41"/>
      <c r="BXN62" s="42"/>
      <c r="BXU62" s="33"/>
      <c r="BXV62" s="33"/>
      <c r="BXZ62" s="41"/>
      <c r="BYF62" s="42"/>
      <c r="BYM62" s="33"/>
      <c r="BYN62" s="33"/>
      <c r="BYR62" s="41"/>
      <c r="BYX62" s="42"/>
      <c r="BZE62" s="33"/>
      <c r="BZF62" s="33"/>
      <c r="BZJ62" s="41"/>
      <c r="BZP62" s="42"/>
      <c r="BZW62" s="33"/>
      <c r="BZX62" s="33"/>
      <c r="CAB62" s="41"/>
      <c r="CAH62" s="42"/>
      <c r="CAO62" s="33"/>
      <c r="CAP62" s="33"/>
      <c r="CAT62" s="41"/>
      <c r="CAZ62" s="42"/>
      <c r="CBG62" s="33"/>
      <c r="CBH62" s="33"/>
      <c r="CBL62" s="41"/>
      <c r="CBR62" s="42"/>
      <c r="CBY62" s="33"/>
      <c r="CBZ62" s="33"/>
      <c r="CCD62" s="41"/>
      <c r="CCJ62" s="42"/>
      <c r="CCQ62" s="33"/>
      <c r="CCR62" s="33"/>
      <c r="CCV62" s="41"/>
      <c r="CDB62" s="42"/>
      <c r="CDI62" s="33"/>
      <c r="CDJ62" s="33"/>
      <c r="CDN62" s="41"/>
      <c r="CDT62" s="42"/>
      <c r="CEA62" s="33"/>
      <c r="CEB62" s="33"/>
      <c r="CEF62" s="41"/>
      <c r="CEL62" s="42"/>
      <c r="CES62" s="33"/>
      <c r="CET62" s="33"/>
      <c r="CEX62" s="41"/>
      <c r="CFD62" s="42"/>
      <c r="CFK62" s="33"/>
      <c r="CFL62" s="33"/>
      <c r="CFP62" s="41"/>
      <c r="CFV62" s="42"/>
      <c r="CGC62" s="33"/>
      <c r="CGD62" s="33"/>
      <c r="CGH62" s="41"/>
      <c r="CGN62" s="42"/>
      <c r="CGU62" s="33"/>
      <c r="CGV62" s="33"/>
      <c r="CGZ62" s="41"/>
      <c r="CHF62" s="42"/>
      <c r="CHM62" s="33"/>
      <c r="CHN62" s="33"/>
      <c r="CHR62" s="41"/>
      <c r="CHX62" s="42"/>
      <c r="CIE62" s="33"/>
      <c r="CIF62" s="33"/>
      <c r="CIJ62" s="41"/>
      <c r="CIP62" s="42"/>
      <c r="CIW62" s="33"/>
      <c r="CIX62" s="33"/>
      <c r="CJB62" s="41"/>
      <c r="CJH62" s="42"/>
      <c r="CJO62" s="33"/>
      <c r="CJP62" s="33"/>
      <c r="CJT62" s="41"/>
      <c r="CJZ62" s="42"/>
      <c r="CKG62" s="33"/>
      <c r="CKH62" s="33"/>
      <c r="CKL62" s="41"/>
      <c r="CKR62" s="42"/>
      <c r="CKY62" s="33"/>
      <c r="CKZ62" s="33"/>
      <c r="CLD62" s="41"/>
      <c r="CLJ62" s="42"/>
      <c r="CLQ62" s="33"/>
      <c r="CLR62" s="33"/>
      <c r="CLV62" s="41"/>
      <c r="CMB62" s="42"/>
      <c r="CMI62" s="33"/>
      <c r="CMJ62" s="33"/>
      <c r="CMN62" s="41"/>
      <c r="CMT62" s="42"/>
      <c r="CNA62" s="33"/>
      <c r="CNB62" s="33"/>
      <c r="CNF62" s="41"/>
      <c r="CNL62" s="42"/>
      <c r="CNS62" s="33"/>
      <c r="CNT62" s="33"/>
      <c r="CNX62" s="41"/>
      <c r="COD62" s="42"/>
      <c r="COK62" s="33"/>
      <c r="COL62" s="33"/>
      <c r="COP62" s="41"/>
      <c r="COV62" s="42"/>
      <c r="CPC62" s="33"/>
      <c r="CPD62" s="33"/>
      <c r="CPH62" s="41"/>
      <c r="CPN62" s="42"/>
      <c r="CPU62" s="33"/>
      <c r="CPV62" s="33"/>
      <c r="CPZ62" s="41"/>
      <c r="CQF62" s="42"/>
      <c r="CQM62" s="33"/>
      <c r="CQN62" s="33"/>
      <c r="CQR62" s="41"/>
      <c r="CQX62" s="42"/>
      <c r="CRE62" s="33"/>
      <c r="CRF62" s="33"/>
      <c r="CRJ62" s="41"/>
      <c r="CRP62" s="42"/>
      <c r="CRW62" s="33"/>
      <c r="CRX62" s="33"/>
      <c r="CSB62" s="41"/>
      <c r="CSH62" s="42"/>
      <c r="CSO62" s="33"/>
      <c r="CSP62" s="33"/>
      <c r="CST62" s="41"/>
      <c r="CSZ62" s="42"/>
      <c r="CTG62" s="33"/>
      <c r="CTH62" s="33"/>
      <c r="CTL62" s="41"/>
      <c r="CTR62" s="42"/>
      <c r="CTY62" s="33"/>
      <c r="CTZ62" s="33"/>
      <c r="CUD62" s="41"/>
      <c r="CUJ62" s="42"/>
      <c r="CUQ62" s="33"/>
      <c r="CUR62" s="33"/>
      <c r="CUV62" s="41"/>
      <c r="CVB62" s="42"/>
      <c r="CVI62" s="33"/>
      <c r="CVJ62" s="33"/>
      <c r="CVN62" s="41"/>
      <c r="CVT62" s="42"/>
      <c r="CWA62" s="33"/>
      <c r="CWB62" s="33"/>
      <c r="CWF62" s="41"/>
      <c r="CWL62" s="42"/>
      <c r="CWS62" s="33"/>
      <c r="CWT62" s="33"/>
      <c r="CWX62" s="41"/>
      <c r="CXD62" s="42"/>
      <c r="CXK62" s="33"/>
      <c r="CXL62" s="33"/>
      <c r="CXP62" s="41"/>
      <c r="CXV62" s="42"/>
      <c r="CYC62" s="33"/>
      <c r="CYD62" s="33"/>
      <c r="CYH62" s="41"/>
      <c r="CYN62" s="42"/>
      <c r="CYU62" s="33"/>
      <c r="CYV62" s="33"/>
      <c r="CYZ62" s="41"/>
      <c r="CZF62" s="42"/>
      <c r="CZM62" s="33"/>
      <c r="CZN62" s="33"/>
      <c r="CZR62" s="41"/>
      <c r="CZX62" s="42"/>
      <c r="DAE62" s="33"/>
      <c r="DAF62" s="33"/>
      <c r="DAJ62" s="41"/>
      <c r="DAP62" s="42"/>
      <c r="DAW62" s="33"/>
      <c r="DAX62" s="33"/>
      <c r="DBB62" s="41"/>
      <c r="DBH62" s="42"/>
      <c r="DBO62" s="33"/>
      <c r="DBP62" s="33"/>
      <c r="DBT62" s="41"/>
      <c r="DBZ62" s="42"/>
      <c r="DCG62" s="33"/>
      <c r="DCH62" s="33"/>
      <c r="DCL62" s="41"/>
      <c r="DCR62" s="42"/>
      <c r="DCY62" s="33"/>
      <c r="DCZ62" s="33"/>
      <c r="DDD62" s="41"/>
      <c r="DDJ62" s="42"/>
      <c r="DDQ62" s="33"/>
      <c r="DDR62" s="33"/>
      <c r="DDV62" s="41"/>
      <c r="DEB62" s="42"/>
      <c r="DEI62" s="33"/>
      <c r="DEJ62" s="33"/>
      <c r="DEN62" s="41"/>
      <c r="DET62" s="42"/>
      <c r="DFA62" s="33"/>
      <c r="DFB62" s="33"/>
      <c r="DFF62" s="41"/>
      <c r="DFL62" s="42"/>
      <c r="DFS62" s="33"/>
      <c r="DFT62" s="33"/>
      <c r="DFX62" s="41"/>
      <c r="DGD62" s="42"/>
      <c r="DGK62" s="33"/>
      <c r="DGL62" s="33"/>
      <c r="DGP62" s="41"/>
      <c r="DGV62" s="42"/>
      <c r="DHC62" s="33"/>
      <c r="DHD62" s="33"/>
      <c r="DHH62" s="41"/>
      <c r="DHN62" s="42"/>
      <c r="DHU62" s="33"/>
      <c r="DHV62" s="33"/>
      <c r="DHZ62" s="41"/>
      <c r="DIF62" s="42"/>
      <c r="DIM62" s="33"/>
      <c r="DIN62" s="33"/>
      <c r="DIR62" s="41"/>
      <c r="DIX62" s="42"/>
      <c r="DJE62" s="33"/>
      <c r="DJF62" s="33"/>
      <c r="DJJ62" s="41"/>
      <c r="DJP62" s="42"/>
      <c r="DJW62" s="33"/>
      <c r="DJX62" s="33"/>
      <c r="DKB62" s="41"/>
      <c r="DKH62" s="42"/>
      <c r="DKO62" s="33"/>
      <c r="DKP62" s="33"/>
      <c r="DKT62" s="41"/>
      <c r="DKZ62" s="42"/>
      <c r="DLG62" s="33"/>
      <c r="DLH62" s="33"/>
      <c r="DLL62" s="41"/>
      <c r="DLR62" s="42"/>
      <c r="DLY62" s="33"/>
      <c r="DLZ62" s="33"/>
      <c r="DMD62" s="41"/>
      <c r="DMJ62" s="42"/>
      <c r="DMQ62" s="33"/>
      <c r="DMR62" s="33"/>
      <c r="DMV62" s="41"/>
      <c r="DNB62" s="42"/>
      <c r="DNI62" s="33"/>
      <c r="DNJ62" s="33"/>
      <c r="DNN62" s="41"/>
      <c r="DNT62" s="42"/>
      <c r="DOA62" s="33"/>
      <c r="DOB62" s="33"/>
      <c r="DOF62" s="41"/>
      <c r="DOL62" s="42"/>
      <c r="DOS62" s="33"/>
      <c r="DOT62" s="33"/>
      <c r="DOX62" s="41"/>
      <c r="DPD62" s="42"/>
      <c r="DPK62" s="33"/>
      <c r="DPL62" s="33"/>
      <c r="DPP62" s="41"/>
      <c r="DPV62" s="42"/>
      <c r="DQC62" s="33"/>
      <c r="DQD62" s="33"/>
      <c r="DQH62" s="41"/>
      <c r="DQN62" s="42"/>
      <c r="DQU62" s="33"/>
      <c r="DQV62" s="33"/>
      <c r="DQZ62" s="41"/>
      <c r="DRF62" s="42"/>
      <c r="DRM62" s="33"/>
      <c r="DRN62" s="33"/>
      <c r="DRR62" s="41"/>
      <c r="DRX62" s="42"/>
      <c r="DSE62" s="33"/>
      <c r="DSF62" s="33"/>
      <c r="DSJ62" s="41"/>
      <c r="DSP62" s="42"/>
      <c r="DSW62" s="33"/>
      <c r="DSX62" s="33"/>
      <c r="DTB62" s="41"/>
      <c r="DTH62" s="42"/>
      <c r="DTO62" s="33"/>
      <c r="DTP62" s="33"/>
      <c r="DTT62" s="41"/>
      <c r="DTZ62" s="42"/>
      <c r="DUG62" s="33"/>
      <c r="DUH62" s="33"/>
      <c r="DUL62" s="41"/>
      <c r="DUR62" s="42"/>
      <c r="DUY62" s="33"/>
      <c r="DUZ62" s="33"/>
      <c r="DVD62" s="41"/>
      <c r="DVJ62" s="42"/>
      <c r="DVQ62" s="33"/>
      <c r="DVR62" s="33"/>
      <c r="DVV62" s="41"/>
      <c r="DWB62" s="42"/>
      <c r="DWI62" s="33"/>
      <c r="DWJ62" s="33"/>
      <c r="DWN62" s="41"/>
      <c r="DWT62" s="42"/>
      <c r="DXA62" s="33"/>
      <c r="DXB62" s="33"/>
      <c r="DXF62" s="41"/>
      <c r="DXL62" s="42"/>
      <c r="DXS62" s="33"/>
      <c r="DXT62" s="33"/>
      <c r="DXX62" s="41"/>
      <c r="DYD62" s="42"/>
      <c r="DYK62" s="33"/>
      <c r="DYL62" s="33"/>
      <c r="DYP62" s="41"/>
      <c r="DYV62" s="42"/>
      <c r="DZC62" s="33"/>
      <c r="DZD62" s="33"/>
      <c r="DZH62" s="41"/>
      <c r="DZN62" s="42"/>
      <c r="DZU62" s="33"/>
      <c r="DZV62" s="33"/>
      <c r="DZZ62" s="41"/>
      <c r="EAF62" s="42"/>
      <c r="EAM62" s="33"/>
      <c r="EAN62" s="33"/>
      <c r="EAR62" s="41"/>
      <c r="EAX62" s="42"/>
      <c r="EBE62" s="33"/>
      <c r="EBF62" s="33"/>
      <c r="EBJ62" s="41"/>
      <c r="EBP62" s="42"/>
      <c r="EBW62" s="33"/>
      <c r="EBX62" s="33"/>
      <c r="ECB62" s="41"/>
      <c r="ECH62" s="42"/>
      <c r="ECO62" s="33"/>
      <c r="ECP62" s="33"/>
      <c r="ECT62" s="41"/>
      <c r="ECZ62" s="42"/>
      <c r="EDG62" s="33"/>
      <c r="EDH62" s="33"/>
      <c r="EDL62" s="41"/>
      <c r="EDR62" s="42"/>
      <c r="EDY62" s="33"/>
      <c r="EDZ62" s="33"/>
      <c r="EED62" s="41"/>
      <c r="EEJ62" s="42"/>
      <c r="EEQ62" s="33"/>
      <c r="EER62" s="33"/>
      <c r="EEV62" s="41"/>
      <c r="EFB62" s="42"/>
      <c r="EFI62" s="33"/>
      <c r="EFJ62" s="33"/>
      <c r="EFN62" s="41"/>
      <c r="EFT62" s="42"/>
      <c r="EGA62" s="33"/>
      <c r="EGB62" s="33"/>
      <c r="EGF62" s="41"/>
      <c r="EGL62" s="42"/>
      <c r="EGS62" s="33"/>
      <c r="EGT62" s="33"/>
      <c r="EGX62" s="41"/>
      <c r="EHD62" s="42"/>
      <c r="EHK62" s="33"/>
      <c r="EHL62" s="33"/>
      <c r="EHP62" s="41"/>
      <c r="EHV62" s="42"/>
      <c r="EIC62" s="33"/>
      <c r="EID62" s="33"/>
      <c r="EIH62" s="41"/>
      <c r="EIN62" s="42"/>
      <c r="EIU62" s="33"/>
      <c r="EIV62" s="33"/>
      <c r="EIZ62" s="41"/>
      <c r="EJF62" s="42"/>
      <c r="EJM62" s="33"/>
      <c r="EJN62" s="33"/>
      <c r="EJR62" s="41"/>
      <c r="EJX62" s="42"/>
      <c r="EKE62" s="33"/>
      <c r="EKF62" s="33"/>
      <c r="EKJ62" s="41"/>
      <c r="EKP62" s="42"/>
      <c r="EKW62" s="33"/>
      <c r="EKX62" s="33"/>
      <c r="ELB62" s="41"/>
      <c r="ELH62" s="42"/>
      <c r="ELO62" s="33"/>
      <c r="ELP62" s="33"/>
      <c r="ELT62" s="41"/>
      <c r="ELZ62" s="42"/>
      <c r="EMG62" s="33"/>
      <c r="EMH62" s="33"/>
      <c r="EML62" s="41"/>
      <c r="EMR62" s="42"/>
      <c r="EMY62" s="33"/>
      <c r="EMZ62" s="33"/>
      <c r="END62" s="41"/>
      <c r="ENJ62" s="42"/>
      <c r="ENQ62" s="33"/>
      <c r="ENR62" s="33"/>
      <c r="ENV62" s="41"/>
      <c r="EOB62" s="42"/>
      <c r="EOI62" s="33"/>
      <c r="EOJ62" s="33"/>
      <c r="EON62" s="41"/>
      <c r="EOT62" s="42"/>
      <c r="EPA62" s="33"/>
      <c r="EPB62" s="33"/>
      <c r="EPF62" s="41"/>
      <c r="EPL62" s="42"/>
      <c r="EPS62" s="33"/>
      <c r="EPT62" s="33"/>
      <c r="EPX62" s="41"/>
      <c r="EQD62" s="42"/>
      <c r="EQK62" s="33"/>
      <c r="EQL62" s="33"/>
      <c r="EQP62" s="41"/>
      <c r="EQV62" s="42"/>
      <c r="ERC62" s="33"/>
      <c r="ERD62" s="33"/>
      <c r="ERH62" s="41"/>
      <c r="ERN62" s="42"/>
      <c r="ERU62" s="33"/>
      <c r="ERV62" s="33"/>
      <c r="ERZ62" s="41"/>
      <c r="ESF62" s="42"/>
      <c r="ESM62" s="33"/>
      <c r="ESN62" s="33"/>
      <c r="ESR62" s="41"/>
      <c r="ESX62" s="42"/>
      <c r="ETE62" s="33"/>
      <c r="ETF62" s="33"/>
      <c r="ETJ62" s="41"/>
      <c r="ETP62" s="42"/>
      <c r="ETW62" s="33"/>
      <c r="ETX62" s="33"/>
      <c r="EUB62" s="41"/>
      <c r="EUH62" s="42"/>
      <c r="EUO62" s="33"/>
      <c r="EUP62" s="33"/>
      <c r="EUT62" s="41"/>
      <c r="EUZ62" s="42"/>
      <c r="EVG62" s="33"/>
      <c r="EVH62" s="33"/>
      <c r="EVL62" s="41"/>
      <c r="EVR62" s="42"/>
      <c r="EVY62" s="33"/>
      <c r="EVZ62" s="33"/>
      <c r="EWD62" s="41"/>
      <c r="EWJ62" s="42"/>
      <c r="EWQ62" s="33"/>
      <c r="EWR62" s="33"/>
      <c r="EWV62" s="41"/>
      <c r="EXB62" s="42"/>
      <c r="EXI62" s="33"/>
      <c r="EXJ62" s="33"/>
      <c r="EXN62" s="41"/>
      <c r="EXT62" s="42"/>
      <c r="EYA62" s="33"/>
      <c r="EYB62" s="33"/>
      <c r="EYF62" s="41"/>
      <c r="EYL62" s="42"/>
      <c r="EYS62" s="33"/>
      <c r="EYT62" s="33"/>
      <c r="EYX62" s="41"/>
      <c r="EZD62" s="42"/>
      <c r="EZK62" s="33"/>
      <c r="EZL62" s="33"/>
      <c r="EZP62" s="41"/>
      <c r="EZV62" s="42"/>
      <c r="FAC62" s="33"/>
      <c r="FAD62" s="33"/>
      <c r="FAH62" s="41"/>
      <c r="FAN62" s="42"/>
      <c r="FAU62" s="33"/>
      <c r="FAV62" s="33"/>
      <c r="FAZ62" s="41"/>
      <c r="FBF62" s="42"/>
      <c r="FBM62" s="33"/>
      <c r="FBN62" s="33"/>
      <c r="FBR62" s="41"/>
      <c r="FBX62" s="42"/>
      <c r="FCE62" s="33"/>
      <c r="FCF62" s="33"/>
      <c r="FCJ62" s="41"/>
      <c r="FCP62" s="42"/>
      <c r="FCW62" s="33"/>
      <c r="FCX62" s="33"/>
      <c r="FDB62" s="41"/>
      <c r="FDH62" s="42"/>
      <c r="FDO62" s="33"/>
      <c r="FDP62" s="33"/>
      <c r="FDT62" s="41"/>
      <c r="FDZ62" s="42"/>
      <c r="FEG62" s="33"/>
      <c r="FEH62" s="33"/>
      <c r="FEL62" s="41"/>
      <c r="FER62" s="42"/>
      <c r="FEY62" s="33"/>
      <c r="FEZ62" s="33"/>
      <c r="FFD62" s="41"/>
      <c r="FFJ62" s="42"/>
      <c r="FFQ62" s="33"/>
      <c r="FFR62" s="33"/>
      <c r="FFV62" s="41"/>
      <c r="FGB62" s="42"/>
      <c r="FGI62" s="33"/>
      <c r="FGJ62" s="33"/>
      <c r="FGN62" s="41"/>
      <c r="FGT62" s="42"/>
      <c r="FHA62" s="33"/>
      <c r="FHB62" s="33"/>
      <c r="FHF62" s="41"/>
      <c r="FHL62" s="42"/>
      <c r="FHS62" s="33"/>
      <c r="FHT62" s="33"/>
      <c r="FHX62" s="41"/>
      <c r="FID62" s="42"/>
      <c r="FIK62" s="33"/>
      <c r="FIL62" s="33"/>
      <c r="FIP62" s="41"/>
      <c r="FIV62" s="42"/>
      <c r="FJC62" s="33"/>
      <c r="FJD62" s="33"/>
      <c r="FJH62" s="41"/>
      <c r="FJN62" s="42"/>
      <c r="FJU62" s="33"/>
      <c r="FJV62" s="33"/>
      <c r="FJZ62" s="41"/>
      <c r="FKF62" s="42"/>
      <c r="FKM62" s="33"/>
      <c r="FKN62" s="33"/>
      <c r="FKR62" s="41"/>
      <c r="FKX62" s="42"/>
      <c r="FLE62" s="33"/>
      <c r="FLF62" s="33"/>
      <c r="FLJ62" s="41"/>
      <c r="FLP62" s="42"/>
      <c r="FLW62" s="33"/>
      <c r="FLX62" s="33"/>
      <c r="FMB62" s="41"/>
      <c r="FMH62" s="42"/>
      <c r="FMO62" s="33"/>
      <c r="FMP62" s="33"/>
      <c r="FMT62" s="41"/>
      <c r="FMZ62" s="42"/>
      <c r="FNG62" s="33"/>
      <c r="FNH62" s="33"/>
      <c r="FNL62" s="41"/>
      <c r="FNR62" s="42"/>
      <c r="FNY62" s="33"/>
      <c r="FNZ62" s="33"/>
      <c r="FOD62" s="41"/>
      <c r="FOJ62" s="42"/>
      <c r="FOQ62" s="33"/>
      <c r="FOR62" s="33"/>
      <c r="FOV62" s="41"/>
      <c r="FPB62" s="42"/>
      <c r="FPI62" s="33"/>
      <c r="FPJ62" s="33"/>
      <c r="FPN62" s="41"/>
      <c r="FPT62" s="42"/>
      <c r="FQA62" s="33"/>
      <c r="FQB62" s="33"/>
      <c r="FQF62" s="41"/>
      <c r="FQL62" s="42"/>
      <c r="FQS62" s="33"/>
      <c r="FQT62" s="33"/>
      <c r="FQX62" s="41"/>
      <c r="FRD62" s="42"/>
      <c r="FRK62" s="33"/>
      <c r="FRL62" s="33"/>
      <c r="FRP62" s="41"/>
      <c r="FRV62" s="42"/>
      <c r="FSC62" s="33"/>
      <c r="FSD62" s="33"/>
      <c r="FSH62" s="41"/>
      <c r="FSN62" s="42"/>
      <c r="FSU62" s="33"/>
      <c r="FSV62" s="33"/>
      <c r="FSZ62" s="41"/>
      <c r="FTF62" s="42"/>
      <c r="FTM62" s="33"/>
      <c r="FTN62" s="33"/>
      <c r="FTR62" s="41"/>
      <c r="FTX62" s="42"/>
      <c r="FUE62" s="33"/>
      <c r="FUF62" s="33"/>
      <c r="FUJ62" s="41"/>
      <c r="FUP62" s="42"/>
      <c r="FUW62" s="33"/>
      <c r="FUX62" s="33"/>
      <c r="FVB62" s="41"/>
      <c r="FVH62" s="42"/>
      <c r="FVO62" s="33"/>
      <c r="FVP62" s="33"/>
      <c r="FVT62" s="41"/>
      <c r="FVZ62" s="42"/>
      <c r="FWG62" s="33"/>
      <c r="FWH62" s="33"/>
      <c r="FWL62" s="41"/>
      <c r="FWR62" s="42"/>
      <c r="FWY62" s="33"/>
      <c r="FWZ62" s="33"/>
      <c r="FXD62" s="41"/>
      <c r="FXJ62" s="42"/>
      <c r="FXQ62" s="33"/>
      <c r="FXR62" s="33"/>
      <c r="FXV62" s="41"/>
      <c r="FYB62" s="42"/>
      <c r="FYI62" s="33"/>
      <c r="FYJ62" s="33"/>
      <c r="FYN62" s="41"/>
      <c r="FYT62" s="42"/>
      <c r="FZA62" s="33"/>
      <c r="FZB62" s="33"/>
      <c r="FZF62" s="41"/>
      <c r="FZL62" s="42"/>
      <c r="FZS62" s="33"/>
      <c r="FZT62" s="33"/>
      <c r="FZX62" s="41"/>
      <c r="GAD62" s="42"/>
      <c r="GAK62" s="33"/>
      <c r="GAL62" s="33"/>
      <c r="GAP62" s="41"/>
      <c r="GAV62" s="42"/>
      <c r="GBC62" s="33"/>
      <c r="GBD62" s="33"/>
      <c r="GBH62" s="41"/>
      <c r="GBN62" s="42"/>
      <c r="GBU62" s="33"/>
      <c r="GBV62" s="33"/>
      <c r="GBZ62" s="41"/>
      <c r="GCF62" s="42"/>
      <c r="GCM62" s="33"/>
      <c r="GCN62" s="33"/>
      <c r="GCR62" s="41"/>
      <c r="GCX62" s="42"/>
      <c r="GDE62" s="33"/>
      <c r="GDF62" s="33"/>
      <c r="GDJ62" s="41"/>
      <c r="GDP62" s="42"/>
      <c r="GDW62" s="33"/>
      <c r="GDX62" s="33"/>
      <c r="GEB62" s="41"/>
      <c r="GEH62" s="42"/>
      <c r="GEO62" s="33"/>
      <c r="GEP62" s="33"/>
      <c r="GET62" s="41"/>
      <c r="GEZ62" s="42"/>
      <c r="GFG62" s="33"/>
      <c r="GFH62" s="33"/>
      <c r="GFL62" s="41"/>
      <c r="GFR62" s="42"/>
      <c r="GFY62" s="33"/>
      <c r="GFZ62" s="33"/>
      <c r="GGD62" s="41"/>
      <c r="GGJ62" s="42"/>
      <c r="GGQ62" s="33"/>
      <c r="GGR62" s="33"/>
      <c r="GGV62" s="41"/>
      <c r="GHB62" s="42"/>
      <c r="GHI62" s="33"/>
      <c r="GHJ62" s="33"/>
      <c r="GHN62" s="41"/>
      <c r="GHT62" s="42"/>
      <c r="GIA62" s="33"/>
      <c r="GIB62" s="33"/>
      <c r="GIF62" s="41"/>
      <c r="GIL62" s="42"/>
      <c r="GIS62" s="33"/>
      <c r="GIT62" s="33"/>
      <c r="GIX62" s="41"/>
      <c r="GJD62" s="42"/>
      <c r="GJK62" s="33"/>
      <c r="GJL62" s="33"/>
      <c r="GJP62" s="41"/>
      <c r="GJV62" s="42"/>
      <c r="GKC62" s="33"/>
      <c r="GKD62" s="33"/>
      <c r="GKH62" s="41"/>
      <c r="GKN62" s="42"/>
      <c r="GKU62" s="33"/>
      <c r="GKV62" s="33"/>
      <c r="GKZ62" s="41"/>
      <c r="GLF62" s="42"/>
      <c r="GLM62" s="33"/>
      <c r="GLN62" s="33"/>
      <c r="GLR62" s="41"/>
      <c r="GLX62" s="42"/>
      <c r="GME62" s="33"/>
      <c r="GMF62" s="33"/>
      <c r="GMJ62" s="41"/>
      <c r="GMP62" s="42"/>
      <c r="GMW62" s="33"/>
      <c r="GMX62" s="33"/>
      <c r="GNB62" s="41"/>
      <c r="GNH62" s="42"/>
      <c r="GNO62" s="33"/>
      <c r="GNP62" s="33"/>
      <c r="GNT62" s="41"/>
      <c r="GNZ62" s="42"/>
      <c r="GOG62" s="33"/>
      <c r="GOH62" s="33"/>
      <c r="GOL62" s="41"/>
      <c r="GOR62" s="42"/>
      <c r="GOY62" s="33"/>
      <c r="GOZ62" s="33"/>
      <c r="GPD62" s="41"/>
      <c r="GPJ62" s="42"/>
      <c r="GPQ62" s="33"/>
      <c r="GPR62" s="33"/>
      <c r="GPV62" s="41"/>
      <c r="GQB62" s="42"/>
      <c r="GQI62" s="33"/>
      <c r="GQJ62" s="33"/>
      <c r="GQN62" s="41"/>
      <c r="GQT62" s="42"/>
      <c r="GRA62" s="33"/>
      <c r="GRB62" s="33"/>
      <c r="GRF62" s="41"/>
      <c r="GRL62" s="42"/>
      <c r="GRS62" s="33"/>
      <c r="GRT62" s="33"/>
      <c r="GRX62" s="41"/>
      <c r="GSD62" s="42"/>
      <c r="GSK62" s="33"/>
      <c r="GSL62" s="33"/>
      <c r="GSP62" s="41"/>
      <c r="GSV62" s="42"/>
      <c r="GTC62" s="33"/>
      <c r="GTD62" s="33"/>
      <c r="GTH62" s="41"/>
      <c r="GTN62" s="42"/>
      <c r="GTU62" s="33"/>
      <c r="GTV62" s="33"/>
      <c r="GTZ62" s="41"/>
      <c r="GUF62" s="42"/>
      <c r="GUM62" s="33"/>
      <c r="GUN62" s="33"/>
      <c r="GUR62" s="41"/>
      <c r="GUX62" s="42"/>
      <c r="GVE62" s="33"/>
      <c r="GVF62" s="33"/>
      <c r="GVJ62" s="41"/>
      <c r="GVP62" s="42"/>
      <c r="GVW62" s="33"/>
      <c r="GVX62" s="33"/>
      <c r="GWB62" s="41"/>
      <c r="GWH62" s="42"/>
      <c r="GWO62" s="33"/>
      <c r="GWP62" s="33"/>
      <c r="GWT62" s="41"/>
      <c r="GWZ62" s="42"/>
      <c r="GXG62" s="33"/>
      <c r="GXH62" s="33"/>
      <c r="GXL62" s="41"/>
      <c r="GXR62" s="42"/>
      <c r="GXY62" s="33"/>
      <c r="GXZ62" s="33"/>
      <c r="GYD62" s="41"/>
      <c r="GYJ62" s="42"/>
      <c r="GYQ62" s="33"/>
      <c r="GYR62" s="33"/>
      <c r="GYV62" s="41"/>
      <c r="GZB62" s="42"/>
      <c r="GZI62" s="33"/>
      <c r="GZJ62" s="33"/>
      <c r="GZN62" s="41"/>
      <c r="GZT62" s="42"/>
      <c r="HAA62" s="33"/>
      <c r="HAB62" s="33"/>
      <c r="HAF62" s="41"/>
      <c r="HAL62" s="42"/>
      <c r="HAS62" s="33"/>
      <c r="HAT62" s="33"/>
      <c r="HAX62" s="41"/>
      <c r="HBD62" s="42"/>
      <c r="HBK62" s="33"/>
      <c r="HBL62" s="33"/>
      <c r="HBP62" s="41"/>
      <c r="HBV62" s="42"/>
      <c r="HCC62" s="33"/>
      <c r="HCD62" s="33"/>
      <c r="HCH62" s="41"/>
      <c r="HCN62" s="42"/>
      <c r="HCU62" s="33"/>
      <c r="HCV62" s="33"/>
      <c r="HCZ62" s="41"/>
      <c r="HDF62" s="42"/>
      <c r="HDM62" s="33"/>
      <c r="HDN62" s="33"/>
      <c r="HDR62" s="41"/>
      <c r="HDX62" s="42"/>
      <c r="HEE62" s="33"/>
      <c r="HEF62" s="33"/>
      <c r="HEJ62" s="41"/>
      <c r="HEP62" s="42"/>
      <c r="HEW62" s="33"/>
      <c r="HEX62" s="33"/>
      <c r="HFB62" s="41"/>
      <c r="HFH62" s="42"/>
      <c r="HFO62" s="33"/>
      <c r="HFP62" s="33"/>
      <c r="HFT62" s="41"/>
      <c r="HFZ62" s="42"/>
      <c r="HGG62" s="33"/>
      <c r="HGH62" s="33"/>
      <c r="HGL62" s="41"/>
      <c r="HGR62" s="42"/>
      <c r="HGY62" s="33"/>
      <c r="HGZ62" s="33"/>
      <c r="HHD62" s="41"/>
      <c r="HHJ62" s="42"/>
      <c r="HHQ62" s="33"/>
      <c r="HHR62" s="33"/>
      <c r="HHV62" s="41"/>
      <c r="HIB62" s="42"/>
      <c r="HII62" s="33"/>
      <c r="HIJ62" s="33"/>
      <c r="HIN62" s="41"/>
      <c r="HIT62" s="42"/>
      <c r="HJA62" s="33"/>
      <c r="HJB62" s="33"/>
      <c r="HJF62" s="41"/>
      <c r="HJL62" s="42"/>
      <c r="HJS62" s="33"/>
      <c r="HJT62" s="33"/>
      <c r="HJX62" s="41"/>
      <c r="HKD62" s="42"/>
      <c r="HKK62" s="33"/>
      <c r="HKL62" s="33"/>
      <c r="HKP62" s="41"/>
      <c r="HKV62" s="42"/>
      <c r="HLC62" s="33"/>
      <c r="HLD62" s="33"/>
      <c r="HLH62" s="41"/>
      <c r="HLN62" s="42"/>
      <c r="HLU62" s="33"/>
      <c r="HLV62" s="33"/>
      <c r="HLZ62" s="41"/>
      <c r="HMF62" s="42"/>
      <c r="HMM62" s="33"/>
      <c r="HMN62" s="33"/>
      <c r="HMR62" s="41"/>
      <c r="HMX62" s="42"/>
      <c r="HNE62" s="33"/>
      <c r="HNF62" s="33"/>
      <c r="HNJ62" s="41"/>
      <c r="HNP62" s="42"/>
      <c r="HNW62" s="33"/>
      <c r="HNX62" s="33"/>
      <c r="HOB62" s="41"/>
      <c r="HOH62" s="42"/>
      <c r="HOO62" s="33"/>
      <c r="HOP62" s="33"/>
      <c r="HOT62" s="41"/>
      <c r="HOZ62" s="42"/>
      <c r="HPG62" s="33"/>
      <c r="HPH62" s="33"/>
      <c r="HPL62" s="41"/>
      <c r="HPR62" s="42"/>
      <c r="HPY62" s="33"/>
      <c r="HPZ62" s="33"/>
      <c r="HQD62" s="41"/>
      <c r="HQJ62" s="42"/>
      <c r="HQQ62" s="33"/>
      <c r="HQR62" s="33"/>
      <c r="HQV62" s="41"/>
      <c r="HRB62" s="42"/>
      <c r="HRI62" s="33"/>
      <c r="HRJ62" s="33"/>
      <c r="HRN62" s="41"/>
      <c r="HRT62" s="42"/>
      <c r="HSA62" s="33"/>
      <c r="HSB62" s="33"/>
      <c r="HSF62" s="41"/>
      <c r="HSL62" s="42"/>
      <c r="HSS62" s="33"/>
      <c r="HST62" s="33"/>
      <c r="HSX62" s="41"/>
      <c r="HTD62" s="42"/>
      <c r="HTK62" s="33"/>
      <c r="HTL62" s="33"/>
      <c r="HTP62" s="41"/>
      <c r="HTV62" s="42"/>
      <c r="HUC62" s="33"/>
      <c r="HUD62" s="33"/>
      <c r="HUH62" s="41"/>
      <c r="HUN62" s="42"/>
      <c r="HUU62" s="33"/>
      <c r="HUV62" s="33"/>
      <c r="HUZ62" s="41"/>
      <c r="HVF62" s="42"/>
      <c r="HVM62" s="33"/>
      <c r="HVN62" s="33"/>
      <c r="HVR62" s="41"/>
      <c r="HVX62" s="42"/>
      <c r="HWE62" s="33"/>
      <c r="HWF62" s="33"/>
      <c r="HWJ62" s="41"/>
      <c r="HWP62" s="42"/>
      <c r="HWW62" s="33"/>
      <c r="HWX62" s="33"/>
      <c r="HXB62" s="41"/>
      <c r="HXH62" s="42"/>
      <c r="HXO62" s="33"/>
      <c r="HXP62" s="33"/>
      <c r="HXT62" s="41"/>
      <c r="HXZ62" s="42"/>
      <c r="HYG62" s="33"/>
      <c r="HYH62" s="33"/>
      <c r="HYL62" s="41"/>
      <c r="HYR62" s="42"/>
      <c r="HYY62" s="33"/>
      <c r="HYZ62" s="33"/>
      <c r="HZD62" s="41"/>
      <c r="HZJ62" s="42"/>
      <c r="HZQ62" s="33"/>
      <c r="HZR62" s="33"/>
      <c r="HZV62" s="41"/>
      <c r="IAB62" s="42"/>
      <c r="IAI62" s="33"/>
      <c r="IAJ62" s="33"/>
      <c r="IAN62" s="41"/>
      <c r="IAT62" s="42"/>
      <c r="IBA62" s="33"/>
      <c r="IBB62" s="33"/>
      <c r="IBF62" s="41"/>
      <c r="IBL62" s="42"/>
      <c r="IBS62" s="33"/>
      <c r="IBT62" s="33"/>
      <c r="IBX62" s="41"/>
      <c r="ICD62" s="42"/>
      <c r="ICK62" s="33"/>
      <c r="ICL62" s="33"/>
      <c r="ICP62" s="41"/>
      <c r="ICV62" s="42"/>
      <c r="IDC62" s="33"/>
      <c r="IDD62" s="33"/>
      <c r="IDH62" s="41"/>
      <c r="IDN62" s="42"/>
      <c r="IDU62" s="33"/>
      <c r="IDV62" s="33"/>
      <c r="IDZ62" s="41"/>
      <c r="IEF62" s="42"/>
      <c r="IEM62" s="33"/>
      <c r="IEN62" s="33"/>
      <c r="IER62" s="41"/>
      <c r="IEX62" s="42"/>
      <c r="IFE62" s="33"/>
      <c r="IFF62" s="33"/>
      <c r="IFJ62" s="41"/>
      <c r="IFP62" s="42"/>
      <c r="IFW62" s="33"/>
      <c r="IFX62" s="33"/>
      <c r="IGB62" s="41"/>
      <c r="IGH62" s="42"/>
      <c r="IGO62" s="33"/>
      <c r="IGP62" s="33"/>
      <c r="IGT62" s="41"/>
      <c r="IGZ62" s="42"/>
      <c r="IHG62" s="33"/>
      <c r="IHH62" s="33"/>
      <c r="IHL62" s="41"/>
      <c r="IHR62" s="42"/>
      <c r="IHY62" s="33"/>
      <c r="IHZ62" s="33"/>
      <c r="IID62" s="41"/>
      <c r="IIJ62" s="42"/>
      <c r="IIQ62" s="33"/>
      <c r="IIR62" s="33"/>
      <c r="IIV62" s="41"/>
      <c r="IJB62" s="42"/>
      <c r="IJI62" s="33"/>
      <c r="IJJ62" s="33"/>
      <c r="IJN62" s="41"/>
      <c r="IJT62" s="42"/>
      <c r="IKA62" s="33"/>
      <c r="IKB62" s="33"/>
      <c r="IKF62" s="41"/>
      <c r="IKL62" s="42"/>
      <c r="IKS62" s="33"/>
      <c r="IKT62" s="33"/>
      <c r="IKX62" s="41"/>
      <c r="ILD62" s="42"/>
      <c r="ILK62" s="33"/>
      <c r="ILL62" s="33"/>
      <c r="ILP62" s="41"/>
      <c r="ILV62" s="42"/>
      <c r="IMC62" s="33"/>
      <c r="IMD62" s="33"/>
      <c r="IMH62" s="41"/>
      <c r="IMN62" s="42"/>
      <c r="IMU62" s="33"/>
      <c r="IMV62" s="33"/>
      <c r="IMZ62" s="41"/>
      <c r="INF62" s="42"/>
      <c r="INM62" s="33"/>
      <c r="INN62" s="33"/>
      <c r="INR62" s="41"/>
      <c r="INX62" s="42"/>
      <c r="IOE62" s="33"/>
      <c r="IOF62" s="33"/>
      <c r="IOJ62" s="41"/>
      <c r="IOP62" s="42"/>
      <c r="IOW62" s="33"/>
      <c r="IOX62" s="33"/>
      <c r="IPB62" s="41"/>
      <c r="IPH62" s="42"/>
      <c r="IPO62" s="33"/>
      <c r="IPP62" s="33"/>
      <c r="IPT62" s="41"/>
      <c r="IPZ62" s="42"/>
      <c r="IQG62" s="33"/>
      <c r="IQH62" s="33"/>
      <c r="IQL62" s="41"/>
      <c r="IQR62" s="42"/>
      <c r="IQY62" s="33"/>
      <c r="IQZ62" s="33"/>
      <c r="IRD62" s="41"/>
      <c r="IRJ62" s="42"/>
      <c r="IRQ62" s="33"/>
      <c r="IRR62" s="33"/>
      <c r="IRV62" s="41"/>
      <c r="ISB62" s="42"/>
      <c r="ISI62" s="33"/>
      <c r="ISJ62" s="33"/>
      <c r="ISN62" s="41"/>
      <c r="IST62" s="42"/>
      <c r="ITA62" s="33"/>
      <c r="ITB62" s="33"/>
      <c r="ITF62" s="41"/>
      <c r="ITL62" s="42"/>
      <c r="ITS62" s="33"/>
      <c r="ITT62" s="33"/>
      <c r="ITX62" s="41"/>
      <c r="IUD62" s="42"/>
      <c r="IUK62" s="33"/>
      <c r="IUL62" s="33"/>
      <c r="IUP62" s="41"/>
      <c r="IUV62" s="42"/>
      <c r="IVC62" s="33"/>
      <c r="IVD62" s="33"/>
      <c r="IVH62" s="41"/>
      <c r="IVN62" s="42"/>
      <c r="IVU62" s="33"/>
      <c r="IVV62" s="33"/>
      <c r="IVZ62" s="41"/>
      <c r="IWF62" s="42"/>
      <c r="IWM62" s="33"/>
      <c r="IWN62" s="33"/>
      <c r="IWR62" s="41"/>
      <c r="IWX62" s="42"/>
      <c r="IXE62" s="33"/>
      <c r="IXF62" s="33"/>
      <c r="IXJ62" s="41"/>
      <c r="IXP62" s="42"/>
      <c r="IXW62" s="33"/>
      <c r="IXX62" s="33"/>
      <c r="IYB62" s="41"/>
      <c r="IYH62" s="42"/>
      <c r="IYO62" s="33"/>
      <c r="IYP62" s="33"/>
      <c r="IYT62" s="41"/>
      <c r="IYZ62" s="42"/>
      <c r="IZG62" s="33"/>
      <c r="IZH62" s="33"/>
      <c r="IZL62" s="41"/>
      <c r="IZR62" s="42"/>
      <c r="IZY62" s="33"/>
      <c r="IZZ62" s="33"/>
      <c r="JAD62" s="41"/>
      <c r="JAJ62" s="42"/>
      <c r="JAQ62" s="33"/>
      <c r="JAR62" s="33"/>
      <c r="JAV62" s="41"/>
      <c r="JBB62" s="42"/>
      <c r="JBI62" s="33"/>
      <c r="JBJ62" s="33"/>
      <c r="JBN62" s="41"/>
      <c r="JBT62" s="42"/>
      <c r="JCA62" s="33"/>
      <c r="JCB62" s="33"/>
      <c r="JCF62" s="41"/>
      <c r="JCL62" s="42"/>
      <c r="JCS62" s="33"/>
      <c r="JCT62" s="33"/>
      <c r="JCX62" s="41"/>
      <c r="JDD62" s="42"/>
      <c r="JDK62" s="33"/>
      <c r="JDL62" s="33"/>
      <c r="JDP62" s="41"/>
      <c r="JDV62" s="42"/>
      <c r="JEC62" s="33"/>
      <c r="JED62" s="33"/>
      <c r="JEH62" s="41"/>
      <c r="JEN62" s="42"/>
      <c r="JEU62" s="33"/>
      <c r="JEV62" s="33"/>
      <c r="JEZ62" s="41"/>
      <c r="JFF62" s="42"/>
      <c r="JFM62" s="33"/>
      <c r="JFN62" s="33"/>
      <c r="JFR62" s="41"/>
      <c r="JFX62" s="42"/>
      <c r="JGE62" s="33"/>
      <c r="JGF62" s="33"/>
      <c r="JGJ62" s="41"/>
      <c r="JGP62" s="42"/>
      <c r="JGW62" s="33"/>
      <c r="JGX62" s="33"/>
      <c r="JHB62" s="41"/>
      <c r="JHH62" s="42"/>
      <c r="JHO62" s="33"/>
      <c r="JHP62" s="33"/>
      <c r="JHT62" s="41"/>
      <c r="JHZ62" s="42"/>
      <c r="JIG62" s="33"/>
      <c r="JIH62" s="33"/>
      <c r="JIL62" s="41"/>
      <c r="JIR62" s="42"/>
      <c r="JIY62" s="33"/>
      <c r="JIZ62" s="33"/>
      <c r="JJD62" s="41"/>
      <c r="JJJ62" s="42"/>
      <c r="JJQ62" s="33"/>
      <c r="JJR62" s="33"/>
      <c r="JJV62" s="41"/>
      <c r="JKB62" s="42"/>
      <c r="JKI62" s="33"/>
      <c r="JKJ62" s="33"/>
      <c r="JKN62" s="41"/>
      <c r="JKT62" s="42"/>
      <c r="JLA62" s="33"/>
      <c r="JLB62" s="33"/>
      <c r="JLF62" s="41"/>
      <c r="JLL62" s="42"/>
      <c r="JLS62" s="33"/>
      <c r="JLT62" s="33"/>
      <c r="JLX62" s="41"/>
      <c r="JMD62" s="42"/>
      <c r="JMK62" s="33"/>
      <c r="JML62" s="33"/>
      <c r="JMP62" s="41"/>
      <c r="JMV62" s="42"/>
      <c r="JNC62" s="33"/>
      <c r="JND62" s="33"/>
      <c r="JNH62" s="41"/>
      <c r="JNN62" s="42"/>
      <c r="JNU62" s="33"/>
      <c r="JNV62" s="33"/>
      <c r="JNZ62" s="41"/>
      <c r="JOF62" s="42"/>
      <c r="JOM62" s="33"/>
      <c r="JON62" s="33"/>
      <c r="JOR62" s="41"/>
      <c r="JOX62" s="42"/>
      <c r="JPE62" s="33"/>
      <c r="JPF62" s="33"/>
      <c r="JPJ62" s="41"/>
      <c r="JPP62" s="42"/>
      <c r="JPW62" s="33"/>
      <c r="JPX62" s="33"/>
      <c r="JQB62" s="41"/>
      <c r="JQH62" s="42"/>
      <c r="JQO62" s="33"/>
      <c r="JQP62" s="33"/>
      <c r="JQT62" s="41"/>
      <c r="JQZ62" s="42"/>
      <c r="JRG62" s="33"/>
      <c r="JRH62" s="33"/>
      <c r="JRL62" s="41"/>
      <c r="JRR62" s="42"/>
      <c r="JRY62" s="33"/>
      <c r="JRZ62" s="33"/>
      <c r="JSD62" s="41"/>
      <c r="JSJ62" s="42"/>
      <c r="JSQ62" s="33"/>
      <c r="JSR62" s="33"/>
      <c r="JSV62" s="41"/>
      <c r="JTB62" s="42"/>
      <c r="JTI62" s="33"/>
      <c r="JTJ62" s="33"/>
      <c r="JTN62" s="41"/>
      <c r="JTT62" s="42"/>
      <c r="JUA62" s="33"/>
      <c r="JUB62" s="33"/>
      <c r="JUF62" s="41"/>
      <c r="JUL62" s="42"/>
      <c r="JUS62" s="33"/>
      <c r="JUT62" s="33"/>
      <c r="JUX62" s="41"/>
      <c r="JVD62" s="42"/>
      <c r="JVK62" s="33"/>
      <c r="JVL62" s="33"/>
      <c r="JVP62" s="41"/>
      <c r="JVV62" s="42"/>
      <c r="JWC62" s="33"/>
      <c r="JWD62" s="33"/>
      <c r="JWH62" s="41"/>
      <c r="JWN62" s="42"/>
      <c r="JWU62" s="33"/>
      <c r="JWV62" s="33"/>
      <c r="JWZ62" s="41"/>
      <c r="JXF62" s="42"/>
      <c r="JXM62" s="33"/>
      <c r="JXN62" s="33"/>
      <c r="JXR62" s="41"/>
      <c r="JXX62" s="42"/>
      <c r="JYE62" s="33"/>
      <c r="JYF62" s="33"/>
      <c r="JYJ62" s="41"/>
      <c r="JYP62" s="42"/>
      <c r="JYW62" s="33"/>
      <c r="JYX62" s="33"/>
      <c r="JZB62" s="41"/>
      <c r="JZH62" s="42"/>
      <c r="JZO62" s="33"/>
      <c r="JZP62" s="33"/>
      <c r="JZT62" s="41"/>
      <c r="JZZ62" s="42"/>
      <c r="KAG62" s="33"/>
      <c r="KAH62" s="33"/>
      <c r="KAL62" s="41"/>
      <c r="KAR62" s="42"/>
      <c r="KAY62" s="33"/>
      <c r="KAZ62" s="33"/>
      <c r="KBD62" s="41"/>
      <c r="KBJ62" s="42"/>
      <c r="KBQ62" s="33"/>
      <c r="KBR62" s="33"/>
      <c r="KBV62" s="41"/>
      <c r="KCB62" s="42"/>
      <c r="KCI62" s="33"/>
      <c r="KCJ62" s="33"/>
      <c r="KCN62" s="41"/>
      <c r="KCT62" s="42"/>
      <c r="KDA62" s="33"/>
      <c r="KDB62" s="33"/>
      <c r="KDF62" s="41"/>
      <c r="KDL62" s="42"/>
      <c r="KDS62" s="33"/>
      <c r="KDT62" s="33"/>
      <c r="KDX62" s="41"/>
      <c r="KED62" s="42"/>
      <c r="KEK62" s="33"/>
      <c r="KEL62" s="33"/>
      <c r="KEP62" s="41"/>
      <c r="KEV62" s="42"/>
      <c r="KFC62" s="33"/>
      <c r="KFD62" s="33"/>
      <c r="KFH62" s="41"/>
      <c r="KFN62" s="42"/>
      <c r="KFU62" s="33"/>
      <c r="KFV62" s="33"/>
      <c r="KFZ62" s="41"/>
      <c r="KGF62" s="42"/>
      <c r="KGM62" s="33"/>
      <c r="KGN62" s="33"/>
      <c r="KGR62" s="41"/>
      <c r="KGX62" s="42"/>
      <c r="KHE62" s="33"/>
      <c r="KHF62" s="33"/>
      <c r="KHJ62" s="41"/>
      <c r="KHP62" s="42"/>
      <c r="KHW62" s="33"/>
      <c r="KHX62" s="33"/>
      <c r="KIB62" s="41"/>
      <c r="KIH62" s="42"/>
      <c r="KIO62" s="33"/>
      <c r="KIP62" s="33"/>
      <c r="KIT62" s="41"/>
      <c r="KIZ62" s="42"/>
      <c r="KJG62" s="33"/>
      <c r="KJH62" s="33"/>
      <c r="KJL62" s="41"/>
      <c r="KJR62" s="42"/>
      <c r="KJY62" s="33"/>
      <c r="KJZ62" s="33"/>
      <c r="KKD62" s="41"/>
      <c r="KKJ62" s="42"/>
      <c r="KKQ62" s="33"/>
      <c r="KKR62" s="33"/>
      <c r="KKV62" s="41"/>
      <c r="KLB62" s="42"/>
      <c r="KLI62" s="33"/>
      <c r="KLJ62" s="33"/>
      <c r="KLN62" s="41"/>
      <c r="KLT62" s="42"/>
      <c r="KMA62" s="33"/>
      <c r="KMB62" s="33"/>
      <c r="KMF62" s="41"/>
      <c r="KML62" s="42"/>
      <c r="KMS62" s="33"/>
      <c r="KMT62" s="33"/>
      <c r="KMX62" s="41"/>
      <c r="KND62" s="42"/>
      <c r="KNK62" s="33"/>
      <c r="KNL62" s="33"/>
      <c r="KNP62" s="41"/>
      <c r="KNV62" s="42"/>
      <c r="KOC62" s="33"/>
      <c r="KOD62" s="33"/>
      <c r="KOH62" s="41"/>
      <c r="KON62" s="42"/>
      <c r="KOU62" s="33"/>
      <c r="KOV62" s="33"/>
      <c r="KOZ62" s="41"/>
      <c r="KPF62" s="42"/>
      <c r="KPM62" s="33"/>
      <c r="KPN62" s="33"/>
      <c r="KPR62" s="41"/>
      <c r="KPX62" s="42"/>
      <c r="KQE62" s="33"/>
      <c r="KQF62" s="33"/>
      <c r="KQJ62" s="41"/>
      <c r="KQP62" s="42"/>
      <c r="KQW62" s="33"/>
      <c r="KQX62" s="33"/>
      <c r="KRB62" s="41"/>
      <c r="KRH62" s="42"/>
      <c r="KRO62" s="33"/>
      <c r="KRP62" s="33"/>
      <c r="KRT62" s="41"/>
      <c r="KRZ62" s="42"/>
      <c r="KSG62" s="33"/>
      <c r="KSH62" s="33"/>
      <c r="KSL62" s="41"/>
      <c r="KSR62" s="42"/>
      <c r="KSY62" s="33"/>
      <c r="KSZ62" s="33"/>
      <c r="KTD62" s="41"/>
      <c r="KTJ62" s="42"/>
      <c r="KTQ62" s="33"/>
      <c r="KTR62" s="33"/>
      <c r="KTV62" s="41"/>
      <c r="KUB62" s="42"/>
      <c r="KUI62" s="33"/>
      <c r="KUJ62" s="33"/>
      <c r="KUN62" s="41"/>
      <c r="KUT62" s="42"/>
      <c r="KVA62" s="33"/>
      <c r="KVB62" s="33"/>
      <c r="KVF62" s="41"/>
      <c r="KVL62" s="42"/>
      <c r="KVS62" s="33"/>
      <c r="KVT62" s="33"/>
      <c r="KVX62" s="41"/>
      <c r="KWD62" s="42"/>
      <c r="KWK62" s="33"/>
      <c r="KWL62" s="33"/>
      <c r="KWP62" s="41"/>
      <c r="KWV62" s="42"/>
      <c r="KXC62" s="33"/>
      <c r="KXD62" s="33"/>
      <c r="KXH62" s="41"/>
      <c r="KXN62" s="42"/>
      <c r="KXU62" s="33"/>
      <c r="KXV62" s="33"/>
      <c r="KXZ62" s="41"/>
      <c r="KYF62" s="42"/>
      <c r="KYM62" s="33"/>
      <c r="KYN62" s="33"/>
      <c r="KYR62" s="41"/>
      <c r="KYX62" s="42"/>
      <c r="KZE62" s="33"/>
      <c r="KZF62" s="33"/>
      <c r="KZJ62" s="41"/>
      <c r="KZP62" s="42"/>
      <c r="KZW62" s="33"/>
      <c r="KZX62" s="33"/>
      <c r="LAB62" s="41"/>
      <c r="LAH62" s="42"/>
      <c r="LAO62" s="33"/>
      <c r="LAP62" s="33"/>
      <c r="LAT62" s="41"/>
      <c r="LAZ62" s="42"/>
      <c r="LBG62" s="33"/>
      <c r="LBH62" s="33"/>
      <c r="LBL62" s="41"/>
      <c r="LBR62" s="42"/>
      <c r="LBY62" s="33"/>
      <c r="LBZ62" s="33"/>
      <c r="LCD62" s="41"/>
      <c r="LCJ62" s="42"/>
      <c r="LCQ62" s="33"/>
      <c r="LCR62" s="33"/>
      <c r="LCV62" s="41"/>
      <c r="LDB62" s="42"/>
      <c r="LDI62" s="33"/>
      <c r="LDJ62" s="33"/>
      <c r="LDN62" s="41"/>
      <c r="LDT62" s="42"/>
      <c r="LEA62" s="33"/>
      <c r="LEB62" s="33"/>
      <c r="LEF62" s="41"/>
      <c r="LEL62" s="42"/>
      <c r="LES62" s="33"/>
      <c r="LET62" s="33"/>
      <c r="LEX62" s="41"/>
      <c r="LFD62" s="42"/>
      <c r="LFK62" s="33"/>
      <c r="LFL62" s="33"/>
      <c r="LFP62" s="41"/>
      <c r="LFV62" s="42"/>
      <c r="LGC62" s="33"/>
      <c r="LGD62" s="33"/>
      <c r="LGH62" s="41"/>
      <c r="LGN62" s="42"/>
      <c r="LGU62" s="33"/>
      <c r="LGV62" s="33"/>
      <c r="LGZ62" s="41"/>
      <c r="LHF62" s="42"/>
      <c r="LHM62" s="33"/>
      <c r="LHN62" s="33"/>
      <c r="LHR62" s="41"/>
      <c r="LHX62" s="42"/>
      <c r="LIE62" s="33"/>
      <c r="LIF62" s="33"/>
      <c r="LIJ62" s="41"/>
      <c r="LIP62" s="42"/>
      <c r="LIW62" s="33"/>
      <c r="LIX62" s="33"/>
      <c r="LJB62" s="41"/>
      <c r="LJH62" s="42"/>
      <c r="LJO62" s="33"/>
      <c r="LJP62" s="33"/>
      <c r="LJT62" s="41"/>
      <c r="LJZ62" s="42"/>
      <c r="LKG62" s="33"/>
      <c r="LKH62" s="33"/>
      <c r="LKL62" s="41"/>
      <c r="LKR62" s="42"/>
      <c r="LKY62" s="33"/>
      <c r="LKZ62" s="33"/>
      <c r="LLD62" s="41"/>
      <c r="LLJ62" s="42"/>
      <c r="LLQ62" s="33"/>
      <c r="LLR62" s="33"/>
      <c r="LLV62" s="41"/>
      <c r="LMB62" s="42"/>
      <c r="LMI62" s="33"/>
      <c r="LMJ62" s="33"/>
      <c r="LMN62" s="41"/>
      <c r="LMT62" s="42"/>
      <c r="LNA62" s="33"/>
      <c r="LNB62" s="33"/>
      <c r="LNF62" s="41"/>
      <c r="LNL62" s="42"/>
      <c r="LNS62" s="33"/>
      <c r="LNT62" s="33"/>
      <c r="LNX62" s="41"/>
      <c r="LOD62" s="42"/>
      <c r="LOK62" s="33"/>
      <c r="LOL62" s="33"/>
      <c r="LOP62" s="41"/>
      <c r="LOV62" s="42"/>
      <c r="LPC62" s="33"/>
      <c r="LPD62" s="33"/>
      <c r="LPH62" s="41"/>
      <c r="LPN62" s="42"/>
      <c r="LPU62" s="33"/>
      <c r="LPV62" s="33"/>
      <c r="LPZ62" s="41"/>
      <c r="LQF62" s="42"/>
      <c r="LQM62" s="33"/>
      <c r="LQN62" s="33"/>
      <c r="LQR62" s="41"/>
      <c r="LQX62" s="42"/>
      <c r="LRE62" s="33"/>
      <c r="LRF62" s="33"/>
      <c r="LRJ62" s="41"/>
      <c r="LRP62" s="42"/>
      <c r="LRW62" s="33"/>
      <c r="LRX62" s="33"/>
      <c r="LSB62" s="41"/>
      <c r="LSH62" s="42"/>
      <c r="LSO62" s="33"/>
      <c r="LSP62" s="33"/>
      <c r="LST62" s="41"/>
      <c r="LSZ62" s="42"/>
      <c r="LTG62" s="33"/>
      <c r="LTH62" s="33"/>
      <c r="LTL62" s="41"/>
      <c r="LTR62" s="42"/>
      <c r="LTY62" s="33"/>
      <c r="LTZ62" s="33"/>
      <c r="LUD62" s="41"/>
      <c r="LUJ62" s="42"/>
      <c r="LUQ62" s="33"/>
      <c r="LUR62" s="33"/>
      <c r="LUV62" s="41"/>
      <c r="LVB62" s="42"/>
      <c r="LVI62" s="33"/>
      <c r="LVJ62" s="33"/>
      <c r="LVN62" s="41"/>
      <c r="LVT62" s="42"/>
      <c r="LWA62" s="33"/>
      <c r="LWB62" s="33"/>
      <c r="LWF62" s="41"/>
      <c r="LWL62" s="42"/>
      <c r="LWS62" s="33"/>
      <c r="LWT62" s="33"/>
      <c r="LWX62" s="41"/>
      <c r="LXD62" s="42"/>
      <c r="LXK62" s="33"/>
      <c r="LXL62" s="33"/>
      <c r="LXP62" s="41"/>
      <c r="LXV62" s="42"/>
      <c r="LYC62" s="33"/>
      <c r="LYD62" s="33"/>
      <c r="LYH62" s="41"/>
      <c r="LYN62" s="42"/>
      <c r="LYU62" s="33"/>
      <c r="LYV62" s="33"/>
      <c r="LYZ62" s="41"/>
      <c r="LZF62" s="42"/>
      <c r="LZM62" s="33"/>
      <c r="LZN62" s="33"/>
      <c r="LZR62" s="41"/>
      <c r="LZX62" s="42"/>
      <c r="MAE62" s="33"/>
      <c r="MAF62" s="33"/>
      <c r="MAJ62" s="41"/>
      <c r="MAP62" s="42"/>
      <c r="MAW62" s="33"/>
      <c r="MAX62" s="33"/>
      <c r="MBB62" s="41"/>
      <c r="MBH62" s="42"/>
      <c r="MBO62" s="33"/>
      <c r="MBP62" s="33"/>
      <c r="MBT62" s="41"/>
      <c r="MBZ62" s="42"/>
      <c r="MCG62" s="33"/>
      <c r="MCH62" s="33"/>
      <c r="MCL62" s="41"/>
      <c r="MCR62" s="42"/>
      <c r="MCY62" s="33"/>
      <c r="MCZ62" s="33"/>
      <c r="MDD62" s="41"/>
      <c r="MDJ62" s="42"/>
      <c r="MDQ62" s="33"/>
      <c r="MDR62" s="33"/>
      <c r="MDV62" s="41"/>
      <c r="MEB62" s="42"/>
      <c r="MEI62" s="33"/>
      <c r="MEJ62" s="33"/>
      <c r="MEN62" s="41"/>
      <c r="MET62" s="42"/>
      <c r="MFA62" s="33"/>
      <c r="MFB62" s="33"/>
      <c r="MFF62" s="41"/>
      <c r="MFL62" s="42"/>
      <c r="MFS62" s="33"/>
      <c r="MFT62" s="33"/>
      <c r="MFX62" s="41"/>
      <c r="MGD62" s="42"/>
      <c r="MGK62" s="33"/>
      <c r="MGL62" s="33"/>
      <c r="MGP62" s="41"/>
      <c r="MGV62" s="42"/>
      <c r="MHC62" s="33"/>
      <c r="MHD62" s="33"/>
      <c r="MHH62" s="41"/>
      <c r="MHN62" s="42"/>
      <c r="MHU62" s="33"/>
      <c r="MHV62" s="33"/>
      <c r="MHZ62" s="41"/>
      <c r="MIF62" s="42"/>
      <c r="MIM62" s="33"/>
      <c r="MIN62" s="33"/>
      <c r="MIR62" s="41"/>
      <c r="MIX62" s="42"/>
      <c r="MJE62" s="33"/>
      <c r="MJF62" s="33"/>
      <c r="MJJ62" s="41"/>
      <c r="MJP62" s="42"/>
      <c r="MJW62" s="33"/>
      <c r="MJX62" s="33"/>
      <c r="MKB62" s="41"/>
      <c r="MKH62" s="42"/>
      <c r="MKO62" s="33"/>
      <c r="MKP62" s="33"/>
      <c r="MKT62" s="41"/>
      <c r="MKZ62" s="42"/>
      <c r="MLG62" s="33"/>
      <c r="MLH62" s="33"/>
      <c r="MLL62" s="41"/>
      <c r="MLR62" s="42"/>
      <c r="MLY62" s="33"/>
      <c r="MLZ62" s="33"/>
      <c r="MMD62" s="41"/>
      <c r="MMJ62" s="42"/>
      <c r="MMQ62" s="33"/>
      <c r="MMR62" s="33"/>
      <c r="MMV62" s="41"/>
      <c r="MNB62" s="42"/>
      <c r="MNI62" s="33"/>
      <c r="MNJ62" s="33"/>
      <c r="MNN62" s="41"/>
      <c r="MNT62" s="42"/>
      <c r="MOA62" s="33"/>
      <c r="MOB62" s="33"/>
      <c r="MOF62" s="41"/>
      <c r="MOL62" s="42"/>
      <c r="MOS62" s="33"/>
      <c r="MOT62" s="33"/>
      <c r="MOX62" s="41"/>
      <c r="MPD62" s="42"/>
      <c r="MPK62" s="33"/>
      <c r="MPL62" s="33"/>
      <c r="MPP62" s="41"/>
      <c r="MPV62" s="42"/>
      <c r="MQC62" s="33"/>
      <c r="MQD62" s="33"/>
      <c r="MQH62" s="41"/>
      <c r="MQN62" s="42"/>
      <c r="MQU62" s="33"/>
      <c r="MQV62" s="33"/>
      <c r="MQZ62" s="41"/>
      <c r="MRF62" s="42"/>
      <c r="MRM62" s="33"/>
      <c r="MRN62" s="33"/>
      <c r="MRR62" s="41"/>
      <c r="MRX62" s="42"/>
      <c r="MSE62" s="33"/>
      <c r="MSF62" s="33"/>
      <c r="MSJ62" s="41"/>
      <c r="MSP62" s="42"/>
      <c r="MSW62" s="33"/>
      <c r="MSX62" s="33"/>
      <c r="MTB62" s="41"/>
      <c r="MTH62" s="42"/>
      <c r="MTO62" s="33"/>
      <c r="MTP62" s="33"/>
      <c r="MTT62" s="41"/>
      <c r="MTZ62" s="42"/>
      <c r="MUG62" s="33"/>
      <c r="MUH62" s="33"/>
      <c r="MUL62" s="41"/>
      <c r="MUR62" s="42"/>
      <c r="MUY62" s="33"/>
      <c r="MUZ62" s="33"/>
      <c r="MVD62" s="41"/>
      <c r="MVJ62" s="42"/>
      <c r="MVQ62" s="33"/>
      <c r="MVR62" s="33"/>
      <c r="MVV62" s="41"/>
      <c r="MWB62" s="42"/>
      <c r="MWI62" s="33"/>
      <c r="MWJ62" s="33"/>
      <c r="MWN62" s="41"/>
      <c r="MWT62" s="42"/>
      <c r="MXA62" s="33"/>
      <c r="MXB62" s="33"/>
      <c r="MXF62" s="41"/>
      <c r="MXL62" s="42"/>
      <c r="MXS62" s="33"/>
      <c r="MXT62" s="33"/>
      <c r="MXX62" s="41"/>
      <c r="MYD62" s="42"/>
      <c r="MYK62" s="33"/>
      <c r="MYL62" s="33"/>
      <c r="MYP62" s="41"/>
      <c r="MYV62" s="42"/>
      <c r="MZC62" s="33"/>
      <c r="MZD62" s="33"/>
      <c r="MZH62" s="41"/>
      <c r="MZN62" s="42"/>
      <c r="MZU62" s="33"/>
      <c r="MZV62" s="33"/>
      <c r="MZZ62" s="41"/>
      <c r="NAF62" s="42"/>
      <c r="NAM62" s="33"/>
      <c r="NAN62" s="33"/>
      <c r="NAR62" s="41"/>
      <c r="NAX62" s="42"/>
      <c r="NBE62" s="33"/>
      <c r="NBF62" s="33"/>
      <c r="NBJ62" s="41"/>
      <c r="NBP62" s="42"/>
      <c r="NBW62" s="33"/>
      <c r="NBX62" s="33"/>
      <c r="NCB62" s="41"/>
      <c r="NCH62" s="42"/>
      <c r="NCO62" s="33"/>
      <c r="NCP62" s="33"/>
      <c r="NCT62" s="41"/>
      <c r="NCZ62" s="42"/>
      <c r="NDG62" s="33"/>
      <c r="NDH62" s="33"/>
      <c r="NDL62" s="41"/>
      <c r="NDR62" s="42"/>
      <c r="NDY62" s="33"/>
      <c r="NDZ62" s="33"/>
      <c r="NED62" s="41"/>
      <c r="NEJ62" s="42"/>
      <c r="NEQ62" s="33"/>
      <c r="NER62" s="33"/>
      <c r="NEV62" s="41"/>
      <c r="NFB62" s="42"/>
      <c r="NFI62" s="33"/>
      <c r="NFJ62" s="33"/>
      <c r="NFN62" s="41"/>
      <c r="NFT62" s="42"/>
      <c r="NGA62" s="33"/>
      <c r="NGB62" s="33"/>
      <c r="NGF62" s="41"/>
      <c r="NGL62" s="42"/>
      <c r="NGS62" s="33"/>
      <c r="NGT62" s="33"/>
      <c r="NGX62" s="41"/>
      <c r="NHD62" s="42"/>
      <c r="NHK62" s="33"/>
      <c r="NHL62" s="33"/>
      <c r="NHP62" s="41"/>
      <c r="NHV62" s="42"/>
      <c r="NIC62" s="33"/>
      <c r="NID62" s="33"/>
      <c r="NIH62" s="41"/>
      <c r="NIN62" s="42"/>
      <c r="NIU62" s="33"/>
      <c r="NIV62" s="33"/>
      <c r="NIZ62" s="41"/>
      <c r="NJF62" s="42"/>
      <c r="NJM62" s="33"/>
      <c r="NJN62" s="33"/>
      <c r="NJR62" s="41"/>
      <c r="NJX62" s="42"/>
      <c r="NKE62" s="33"/>
      <c r="NKF62" s="33"/>
      <c r="NKJ62" s="41"/>
      <c r="NKP62" s="42"/>
      <c r="NKW62" s="33"/>
      <c r="NKX62" s="33"/>
      <c r="NLB62" s="41"/>
      <c r="NLH62" s="42"/>
      <c r="NLO62" s="33"/>
      <c r="NLP62" s="33"/>
      <c r="NLT62" s="41"/>
      <c r="NLZ62" s="42"/>
      <c r="NMG62" s="33"/>
      <c r="NMH62" s="33"/>
      <c r="NML62" s="41"/>
      <c r="NMR62" s="42"/>
      <c r="NMY62" s="33"/>
      <c r="NMZ62" s="33"/>
      <c r="NND62" s="41"/>
      <c r="NNJ62" s="42"/>
      <c r="NNQ62" s="33"/>
      <c r="NNR62" s="33"/>
      <c r="NNV62" s="41"/>
      <c r="NOB62" s="42"/>
      <c r="NOI62" s="33"/>
      <c r="NOJ62" s="33"/>
      <c r="NON62" s="41"/>
      <c r="NOT62" s="42"/>
      <c r="NPA62" s="33"/>
      <c r="NPB62" s="33"/>
      <c r="NPF62" s="41"/>
      <c r="NPL62" s="42"/>
      <c r="NPS62" s="33"/>
      <c r="NPT62" s="33"/>
      <c r="NPX62" s="41"/>
      <c r="NQD62" s="42"/>
      <c r="NQK62" s="33"/>
      <c r="NQL62" s="33"/>
      <c r="NQP62" s="41"/>
      <c r="NQV62" s="42"/>
      <c r="NRC62" s="33"/>
      <c r="NRD62" s="33"/>
      <c r="NRH62" s="41"/>
      <c r="NRN62" s="42"/>
      <c r="NRU62" s="33"/>
      <c r="NRV62" s="33"/>
      <c r="NRZ62" s="41"/>
      <c r="NSF62" s="42"/>
      <c r="NSM62" s="33"/>
      <c r="NSN62" s="33"/>
      <c r="NSR62" s="41"/>
      <c r="NSX62" s="42"/>
      <c r="NTE62" s="33"/>
      <c r="NTF62" s="33"/>
      <c r="NTJ62" s="41"/>
      <c r="NTP62" s="42"/>
      <c r="NTW62" s="33"/>
      <c r="NTX62" s="33"/>
      <c r="NUB62" s="41"/>
      <c r="NUH62" s="42"/>
      <c r="NUO62" s="33"/>
      <c r="NUP62" s="33"/>
      <c r="NUT62" s="41"/>
      <c r="NUZ62" s="42"/>
      <c r="NVG62" s="33"/>
      <c r="NVH62" s="33"/>
      <c r="NVL62" s="41"/>
      <c r="NVR62" s="42"/>
      <c r="NVY62" s="33"/>
      <c r="NVZ62" s="33"/>
      <c r="NWD62" s="41"/>
      <c r="NWJ62" s="42"/>
      <c r="NWQ62" s="33"/>
      <c r="NWR62" s="33"/>
      <c r="NWV62" s="41"/>
      <c r="NXB62" s="42"/>
      <c r="NXI62" s="33"/>
      <c r="NXJ62" s="33"/>
      <c r="NXN62" s="41"/>
      <c r="NXT62" s="42"/>
      <c r="NYA62" s="33"/>
      <c r="NYB62" s="33"/>
      <c r="NYF62" s="41"/>
      <c r="NYL62" s="42"/>
      <c r="NYS62" s="33"/>
      <c r="NYT62" s="33"/>
      <c r="NYX62" s="41"/>
      <c r="NZD62" s="42"/>
      <c r="NZK62" s="33"/>
      <c r="NZL62" s="33"/>
      <c r="NZP62" s="41"/>
      <c r="NZV62" s="42"/>
      <c r="OAC62" s="33"/>
      <c r="OAD62" s="33"/>
      <c r="OAH62" s="41"/>
      <c r="OAN62" s="42"/>
      <c r="OAU62" s="33"/>
      <c r="OAV62" s="33"/>
      <c r="OAZ62" s="41"/>
      <c r="OBF62" s="42"/>
      <c r="OBM62" s="33"/>
      <c r="OBN62" s="33"/>
      <c r="OBR62" s="41"/>
      <c r="OBX62" s="42"/>
      <c r="OCE62" s="33"/>
      <c r="OCF62" s="33"/>
      <c r="OCJ62" s="41"/>
      <c r="OCP62" s="42"/>
      <c r="OCW62" s="33"/>
      <c r="OCX62" s="33"/>
      <c r="ODB62" s="41"/>
      <c r="ODH62" s="42"/>
      <c r="ODO62" s="33"/>
      <c r="ODP62" s="33"/>
      <c r="ODT62" s="41"/>
      <c r="ODZ62" s="42"/>
      <c r="OEG62" s="33"/>
      <c r="OEH62" s="33"/>
      <c r="OEL62" s="41"/>
      <c r="OER62" s="42"/>
      <c r="OEY62" s="33"/>
      <c r="OEZ62" s="33"/>
      <c r="OFD62" s="41"/>
      <c r="OFJ62" s="42"/>
      <c r="OFQ62" s="33"/>
      <c r="OFR62" s="33"/>
      <c r="OFV62" s="41"/>
      <c r="OGB62" s="42"/>
      <c r="OGI62" s="33"/>
      <c r="OGJ62" s="33"/>
      <c r="OGN62" s="41"/>
      <c r="OGT62" s="42"/>
      <c r="OHA62" s="33"/>
      <c r="OHB62" s="33"/>
      <c r="OHF62" s="41"/>
      <c r="OHL62" s="42"/>
      <c r="OHS62" s="33"/>
      <c r="OHT62" s="33"/>
      <c r="OHX62" s="41"/>
      <c r="OID62" s="42"/>
      <c r="OIK62" s="33"/>
      <c r="OIL62" s="33"/>
      <c r="OIP62" s="41"/>
      <c r="OIV62" s="42"/>
      <c r="OJC62" s="33"/>
      <c r="OJD62" s="33"/>
      <c r="OJH62" s="41"/>
      <c r="OJN62" s="42"/>
      <c r="OJU62" s="33"/>
      <c r="OJV62" s="33"/>
      <c r="OJZ62" s="41"/>
      <c r="OKF62" s="42"/>
      <c r="OKM62" s="33"/>
      <c r="OKN62" s="33"/>
      <c r="OKR62" s="41"/>
      <c r="OKX62" s="42"/>
      <c r="OLE62" s="33"/>
      <c r="OLF62" s="33"/>
      <c r="OLJ62" s="41"/>
      <c r="OLP62" s="42"/>
      <c r="OLW62" s="33"/>
      <c r="OLX62" s="33"/>
      <c r="OMB62" s="41"/>
      <c r="OMH62" s="42"/>
      <c r="OMO62" s="33"/>
      <c r="OMP62" s="33"/>
      <c r="OMT62" s="41"/>
      <c r="OMZ62" s="42"/>
      <c r="ONG62" s="33"/>
      <c r="ONH62" s="33"/>
      <c r="ONL62" s="41"/>
      <c r="ONR62" s="42"/>
      <c r="ONY62" s="33"/>
      <c r="ONZ62" s="33"/>
      <c r="OOD62" s="41"/>
      <c r="OOJ62" s="42"/>
      <c r="OOQ62" s="33"/>
      <c r="OOR62" s="33"/>
      <c r="OOV62" s="41"/>
      <c r="OPB62" s="42"/>
      <c r="OPI62" s="33"/>
      <c r="OPJ62" s="33"/>
      <c r="OPN62" s="41"/>
      <c r="OPT62" s="42"/>
      <c r="OQA62" s="33"/>
      <c r="OQB62" s="33"/>
      <c r="OQF62" s="41"/>
      <c r="OQL62" s="42"/>
      <c r="OQS62" s="33"/>
      <c r="OQT62" s="33"/>
      <c r="OQX62" s="41"/>
      <c r="ORD62" s="42"/>
      <c r="ORK62" s="33"/>
      <c r="ORL62" s="33"/>
      <c r="ORP62" s="41"/>
      <c r="ORV62" s="42"/>
      <c r="OSC62" s="33"/>
      <c r="OSD62" s="33"/>
      <c r="OSH62" s="41"/>
      <c r="OSN62" s="42"/>
      <c r="OSU62" s="33"/>
      <c r="OSV62" s="33"/>
      <c r="OSZ62" s="41"/>
      <c r="OTF62" s="42"/>
      <c r="OTM62" s="33"/>
      <c r="OTN62" s="33"/>
      <c r="OTR62" s="41"/>
      <c r="OTX62" s="42"/>
      <c r="OUE62" s="33"/>
      <c r="OUF62" s="33"/>
      <c r="OUJ62" s="41"/>
      <c r="OUP62" s="42"/>
      <c r="OUW62" s="33"/>
      <c r="OUX62" s="33"/>
      <c r="OVB62" s="41"/>
      <c r="OVH62" s="42"/>
      <c r="OVO62" s="33"/>
      <c r="OVP62" s="33"/>
      <c r="OVT62" s="41"/>
      <c r="OVZ62" s="42"/>
      <c r="OWG62" s="33"/>
      <c r="OWH62" s="33"/>
      <c r="OWL62" s="41"/>
      <c r="OWR62" s="42"/>
      <c r="OWY62" s="33"/>
      <c r="OWZ62" s="33"/>
      <c r="OXD62" s="41"/>
      <c r="OXJ62" s="42"/>
      <c r="OXQ62" s="33"/>
      <c r="OXR62" s="33"/>
      <c r="OXV62" s="41"/>
      <c r="OYB62" s="42"/>
      <c r="OYI62" s="33"/>
      <c r="OYJ62" s="33"/>
      <c r="OYN62" s="41"/>
      <c r="OYT62" s="42"/>
      <c r="OZA62" s="33"/>
      <c r="OZB62" s="33"/>
      <c r="OZF62" s="41"/>
      <c r="OZL62" s="42"/>
      <c r="OZS62" s="33"/>
      <c r="OZT62" s="33"/>
      <c r="OZX62" s="41"/>
      <c r="PAD62" s="42"/>
      <c r="PAK62" s="33"/>
      <c r="PAL62" s="33"/>
      <c r="PAP62" s="41"/>
      <c r="PAV62" s="42"/>
      <c r="PBC62" s="33"/>
      <c r="PBD62" s="33"/>
      <c r="PBH62" s="41"/>
      <c r="PBN62" s="42"/>
      <c r="PBU62" s="33"/>
      <c r="PBV62" s="33"/>
      <c r="PBZ62" s="41"/>
      <c r="PCF62" s="42"/>
      <c r="PCM62" s="33"/>
      <c r="PCN62" s="33"/>
      <c r="PCR62" s="41"/>
      <c r="PCX62" s="42"/>
      <c r="PDE62" s="33"/>
      <c r="PDF62" s="33"/>
      <c r="PDJ62" s="41"/>
      <c r="PDP62" s="42"/>
      <c r="PDW62" s="33"/>
      <c r="PDX62" s="33"/>
      <c r="PEB62" s="41"/>
      <c r="PEH62" s="42"/>
      <c r="PEO62" s="33"/>
      <c r="PEP62" s="33"/>
      <c r="PET62" s="41"/>
      <c r="PEZ62" s="42"/>
      <c r="PFG62" s="33"/>
      <c r="PFH62" s="33"/>
      <c r="PFL62" s="41"/>
      <c r="PFR62" s="42"/>
      <c r="PFY62" s="33"/>
      <c r="PFZ62" s="33"/>
      <c r="PGD62" s="41"/>
      <c r="PGJ62" s="42"/>
      <c r="PGQ62" s="33"/>
      <c r="PGR62" s="33"/>
      <c r="PGV62" s="41"/>
      <c r="PHB62" s="42"/>
      <c r="PHI62" s="33"/>
      <c r="PHJ62" s="33"/>
      <c r="PHN62" s="41"/>
      <c r="PHT62" s="42"/>
      <c r="PIA62" s="33"/>
      <c r="PIB62" s="33"/>
      <c r="PIF62" s="41"/>
      <c r="PIL62" s="42"/>
      <c r="PIS62" s="33"/>
      <c r="PIT62" s="33"/>
      <c r="PIX62" s="41"/>
      <c r="PJD62" s="42"/>
      <c r="PJK62" s="33"/>
      <c r="PJL62" s="33"/>
      <c r="PJP62" s="41"/>
      <c r="PJV62" s="42"/>
      <c r="PKC62" s="33"/>
      <c r="PKD62" s="33"/>
      <c r="PKH62" s="41"/>
      <c r="PKN62" s="42"/>
      <c r="PKU62" s="33"/>
      <c r="PKV62" s="33"/>
      <c r="PKZ62" s="41"/>
      <c r="PLF62" s="42"/>
      <c r="PLM62" s="33"/>
      <c r="PLN62" s="33"/>
      <c r="PLR62" s="41"/>
      <c r="PLX62" s="42"/>
      <c r="PME62" s="33"/>
      <c r="PMF62" s="33"/>
      <c r="PMJ62" s="41"/>
      <c r="PMP62" s="42"/>
      <c r="PMW62" s="33"/>
      <c r="PMX62" s="33"/>
      <c r="PNB62" s="41"/>
      <c r="PNH62" s="42"/>
      <c r="PNO62" s="33"/>
      <c r="PNP62" s="33"/>
      <c r="PNT62" s="41"/>
      <c r="PNZ62" s="42"/>
      <c r="POG62" s="33"/>
      <c r="POH62" s="33"/>
      <c r="POL62" s="41"/>
      <c r="POR62" s="42"/>
      <c r="POY62" s="33"/>
      <c r="POZ62" s="33"/>
      <c r="PPD62" s="41"/>
      <c r="PPJ62" s="42"/>
      <c r="PPQ62" s="33"/>
      <c r="PPR62" s="33"/>
      <c r="PPV62" s="41"/>
      <c r="PQB62" s="42"/>
      <c r="PQI62" s="33"/>
      <c r="PQJ62" s="33"/>
      <c r="PQN62" s="41"/>
      <c r="PQT62" s="42"/>
      <c r="PRA62" s="33"/>
      <c r="PRB62" s="33"/>
      <c r="PRF62" s="41"/>
      <c r="PRL62" s="42"/>
      <c r="PRS62" s="33"/>
      <c r="PRT62" s="33"/>
      <c r="PRX62" s="41"/>
      <c r="PSD62" s="42"/>
      <c r="PSK62" s="33"/>
      <c r="PSL62" s="33"/>
      <c r="PSP62" s="41"/>
      <c r="PSV62" s="42"/>
      <c r="PTC62" s="33"/>
      <c r="PTD62" s="33"/>
      <c r="PTH62" s="41"/>
      <c r="PTN62" s="42"/>
      <c r="PTU62" s="33"/>
      <c r="PTV62" s="33"/>
      <c r="PTZ62" s="41"/>
      <c r="PUF62" s="42"/>
      <c r="PUM62" s="33"/>
      <c r="PUN62" s="33"/>
      <c r="PUR62" s="41"/>
      <c r="PUX62" s="42"/>
      <c r="PVE62" s="33"/>
      <c r="PVF62" s="33"/>
      <c r="PVJ62" s="41"/>
      <c r="PVP62" s="42"/>
      <c r="PVW62" s="33"/>
      <c r="PVX62" s="33"/>
      <c r="PWB62" s="41"/>
      <c r="PWH62" s="42"/>
      <c r="PWO62" s="33"/>
      <c r="PWP62" s="33"/>
      <c r="PWT62" s="41"/>
      <c r="PWZ62" s="42"/>
      <c r="PXG62" s="33"/>
      <c r="PXH62" s="33"/>
      <c r="PXL62" s="41"/>
      <c r="PXR62" s="42"/>
      <c r="PXY62" s="33"/>
      <c r="PXZ62" s="33"/>
      <c r="PYD62" s="41"/>
      <c r="PYJ62" s="42"/>
      <c r="PYQ62" s="33"/>
      <c r="PYR62" s="33"/>
      <c r="PYV62" s="41"/>
      <c r="PZB62" s="42"/>
      <c r="PZI62" s="33"/>
      <c r="PZJ62" s="33"/>
      <c r="PZN62" s="41"/>
      <c r="PZT62" s="42"/>
      <c r="QAA62" s="33"/>
      <c r="QAB62" s="33"/>
      <c r="QAF62" s="41"/>
      <c r="QAL62" s="42"/>
      <c r="QAS62" s="33"/>
      <c r="QAT62" s="33"/>
      <c r="QAX62" s="41"/>
      <c r="QBD62" s="42"/>
      <c r="QBK62" s="33"/>
      <c r="QBL62" s="33"/>
      <c r="QBP62" s="41"/>
      <c r="QBV62" s="42"/>
      <c r="QCC62" s="33"/>
      <c r="QCD62" s="33"/>
      <c r="QCH62" s="41"/>
      <c r="QCN62" s="42"/>
      <c r="QCU62" s="33"/>
      <c r="QCV62" s="33"/>
      <c r="QCZ62" s="41"/>
      <c r="QDF62" s="42"/>
      <c r="QDM62" s="33"/>
      <c r="QDN62" s="33"/>
      <c r="QDR62" s="41"/>
      <c r="QDX62" s="42"/>
      <c r="QEE62" s="33"/>
      <c r="QEF62" s="33"/>
      <c r="QEJ62" s="41"/>
      <c r="QEP62" s="42"/>
      <c r="QEW62" s="33"/>
      <c r="QEX62" s="33"/>
      <c r="QFB62" s="41"/>
      <c r="QFH62" s="42"/>
      <c r="QFO62" s="33"/>
      <c r="QFP62" s="33"/>
      <c r="QFT62" s="41"/>
      <c r="QFZ62" s="42"/>
      <c r="QGG62" s="33"/>
      <c r="QGH62" s="33"/>
      <c r="QGL62" s="41"/>
      <c r="QGR62" s="42"/>
      <c r="QGY62" s="33"/>
      <c r="QGZ62" s="33"/>
      <c r="QHD62" s="41"/>
      <c r="QHJ62" s="42"/>
      <c r="QHQ62" s="33"/>
      <c r="QHR62" s="33"/>
      <c r="QHV62" s="41"/>
      <c r="QIB62" s="42"/>
      <c r="QII62" s="33"/>
      <c r="QIJ62" s="33"/>
      <c r="QIN62" s="41"/>
      <c r="QIT62" s="42"/>
      <c r="QJA62" s="33"/>
      <c r="QJB62" s="33"/>
      <c r="QJF62" s="41"/>
      <c r="QJL62" s="42"/>
      <c r="QJS62" s="33"/>
      <c r="QJT62" s="33"/>
      <c r="QJX62" s="41"/>
      <c r="QKD62" s="42"/>
      <c r="QKK62" s="33"/>
      <c r="QKL62" s="33"/>
      <c r="QKP62" s="41"/>
      <c r="QKV62" s="42"/>
      <c r="QLC62" s="33"/>
      <c r="QLD62" s="33"/>
      <c r="QLH62" s="41"/>
      <c r="QLN62" s="42"/>
      <c r="QLU62" s="33"/>
      <c r="QLV62" s="33"/>
      <c r="QLZ62" s="41"/>
      <c r="QMF62" s="42"/>
      <c r="QMM62" s="33"/>
      <c r="QMN62" s="33"/>
      <c r="QMR62" s="41"/>
      <c r="QMX62" s="42"/>
      <c r="QNE62" s="33"/>
      <c r="QNF62" s="33"/>
      <c r="QNJ62" s="41"/>
      <c r="QNP62" s="42"/>
      <c r="QNW62" s="33"/>
      <c r="QNX62" s="33"/>
      <c r="QOB62" s="41"/>
      <c r="QOH62" s="42"/>
      <c r="QOO62" s="33"/>
      <c r="QOP62" s="33"/>
      <c r="QOT62" s="41"/>
      <c r="QOZ62" s="42"/>
      <c r="QPG62" s="33"/>
      <c r="QPH62" s="33"/>
      <c r="QPL62" s="41"/>
      <c r="QPR62" s="42"/>
      <c r="QPY62" s="33"/>
      <c r="QPZ62" s="33"/>
      <c r="QQD62" s="41"/>
      <c r="QQJ62" s="42"/>
      <c r="QQQ62" s="33"/>
      <c r="QQR62" s="33"/>
      <c r="QQV62" s="41"/>
      <c r="QRB62" s="42"/>
      <c r="QRI62" s="33"/>
      <c r="QRJ62" s="33"/>
      <c r="QRN62" s="41"/>
      <c r="QRT62" s="42"/>
      <c r="QSA62" s="33"/>
      <c r="QSB62" s="33"/>
      <c r="QSF62" s="41"/>
      <c r="QSL62" s="42"/>
      <c r="QSS62" s="33"/>
      <c r="QST62" s="33"/>
      <c r="QSX62" s="41"/>
      <c r="QTD62" s="42"/>
      <c r="QTK62" s="33"/>
      <c r="QTL62" s="33"/>
      <c r="QTP62" s="41"/>
      <c r="QTV62" s="42"/>
      <c r="QUC62" s="33"/>
      <c r="QUD62" s="33"/>
      <c r="QUH62" s="41"/>
      <c r="QUN62" s="42"/>
      <c r="QUU62" s="33"/>
      <c r="QUV62" s="33"/>
      <c r="QUZ62" s="41"/>
      <c r="QVF62" s="42"/>
      <c r="QVM62" s="33"/>
      <c r="QVN62" s="33"/>
      <c r="QVR62" s="41"/>
      <c r="QVX62" s="42"/>
      <c r="QWE62" s="33"/>
      <c r="QWF62" s="33"/>
      <c r="QWJ62" s="41"/>
      <c r="QWP62" s="42"/>
      <c r="QWW62" s="33"/>
      <c r="QWX62" s="33"/>
      <c r="QXB62" s="41"/>
      <c r="QXH62" s="42"/>
      <c r="QXO62" s="33"/>
      <c r="QXP62" s="33"/>
      <c r="QXT62" s="41"/>
      <c r="QXZ62" s="42"/>
      <c r="QYG62" s="33"/>
      <c r="QYH62" s="33"/>
      <c r="QYL62" s="41"/>
      <c r="QYR62" s="42"/>
      <c r="QYY62" s="33"/>
      <c r="QYZ62" s="33"/>
      <c r="QZD62" s="41"/>
      <c r="QZJ62" s="42"/>
      <c r="QZQ62" s="33"/>
      <c r="QZR62" s="33"/>
      <c r="QZV62" s="41"/>
      <c r="RAB62" s="42"/>
      <c r="RAI62" s="33"/>
      <c r="RAJ62" s="33"/>
      <c r="RAN62" s="41"/>
      <c r="RAT62" s="42"/>
      <c r="RBA62" s="33"/>
      <c r="RBB62" s="33"/>
      <c r="RBF62" s="41"/>
      <c r="RBL62" s="42"/>
      <c r="RBS62" s="33"/>
      <c r="RBT62" s="33"/>
      <c r="RBX62" s="41"/>
      <c r="RCD62" s="42"/>
      <c r="RCK62" s="33"/>
      <c r="RCL62" s="33"/>
      <c r="RCP62" s="41"/>
      <c r="RCV62" s="42"/>
      <c r="RDC62" s="33"/>
      <c r="RDD62" s="33"/>
      <c r="RDH62" s="41"/>
      <c r="RDN62" s="42"/>
      <c r="RDU62" s="33"/>
      <c r="RDV62" s="33"/>
      <c r="RDZ62" s="41"/>
      <c r="REF62" s="42"/>
      <c r="REM62" s="33"/>
      <c r="REN62" s="33"/>
      <c r="RER62" s="41"/>
      <c r="REX62" s="42"/>
      <c r="RFE62" s="33"/>
      <c r="RFF62" s="33"/>
      <c r="RFJ62" s="41"/>
      <c r="RFP62" s="42"/>
      <c r="RFW62" s="33"/>
      <c r="RFX62" s="33"/>
      <c r="RGB62" s="41"/>
      <c r="RGH62" s="42"/>
      <c r="RGO62" s="33"/>
      <c r="RGP62" s="33"/>
      <c r="RGT62" s="41"/>
      <c r="RGZ62" s="42"/>
      <c r="RHG62" s="33"/>
      <c r="RHH62" s="33"/>
      <c r="RHL62" s="41"/>
      <c r="RHR62" s="42"/>
      <c r="RHY62" s="33"/>
      <c r="RHZ62" s="33"/>
      <c r="RID62" s="41"/>
      <c r="RIJ62" s="42"/>
      <c r="RIQ62" s="33"/>
      <c r="RIR62" s="33"/>
      <c r="RIV62" s="41"/>
      <c r="RJB62" s="42"/>
      <c r="RJI62" s="33"/>
      <c r="RJJ62" s="33"/>
      <c r="RJN62" s="41"/>
      <c r="RJT62" s="42"/>
      <c r="RKA62" s="33"/>
      <c r="RKB62" s="33"/>
      <c r="RKF62" s="41"/>
      <c r="RKL62" s="42"/>
      <c r="RKS62" s="33"/>
      <c r="RKT62" s="33"/>
      <c r="RKX62" s="41"/>
      <c r="RLD62" s="42"/>
      <c r="RLK62" s="33"/>
      <c r="RLL62" s="33"/>
      <c r="RLP62" s="41"/>
      <c r="RLV62" s="42"/>
      <c r="RMC62" s="33"/>
      <c r="RMD62" s="33"/>
      <c r="RMH62" s="41"/>
      <c r="RMN62" s="42"/>
      <c r="RMU62" s="33"/>
      <c r="RMV62" s="33"/>
      <c r="RMZ62" s="41"/>
      <c r="RNF62" s="42"/>
      <c r="RNM62" s="33"/>
      <c r="RNN62" s="33"/>
      <c r="RNR62" s="41"/>
      <c r="RNX62" s="42"/>
      <c r="ROE62" s="33"/>
      <c r="ROF62" s="33"/>
      <c r="ROJ62" s="41"/>
      <c r="ROP62" s="42"/>
      <c r="ROW62" s="33"/>
      <c r="ROX62" s="33"/>
      <c r="RPB62" s="41"/>
      <c r="RPH62" s="42"/>
      <c r="RPO62" s="33"/>
      <c r="RPP62" s="33"/>
      <c r="RPT62" s="41"/>
      <c r="RPZ62" s="42"/>
      <c r="RQG62" s="33"/>
      <c r="RQH62" s="33"/>
      <c r="RQL62" s="41"/>
      <c r="RQR62" s="42"/>
      <c r="RQY62" s="33"/>
      <c r="RQZ62" s="33"/>
      <c r="RRD62" s="41"/>
      <c r="RRJ62" s="42"/>
      <c r="RRQ62" s="33"/>
      <c r="RRR62" s="33"/>
      <c r="RRV62" s="41"/>
      <c r="RSB62" s="42"/>
      <c r="RSI62" s="33"/>
      <c r="RSJ62" s="33"/>
      <c r="RSN62" s="41"/>
      <c r="RST62" s="42"/>
      <c r="RTA62" s="33"/>
      <c r="RTB62" s="33"/>
      <c r="RTF62" s="41"/>
      <c r="RTL62" s="42"/>
      <c r="RTS62" s="33"/>
      <c r="RTT62" s="33"/>
      <c r="RTX62" s="41"/>
      <c r="RUD62" s="42"/>
      <c r="RUK62" s="33"/>
      <c r="RUL62" s="33"/>
      <c r="RUP62" s="41"/>
      <c r="RUV62" s="42"/>
      <c r="RVC62" s="33"/>
      <c r="RVD62" s="33"/>
      <c r="RVH62" s="41"/>
      <c r="RVN62" s="42"/>
      <c r="RVU62" s="33"/>
      <c r="RVV62" s="33"/>
      <c r="RVZ62" s="41"/>
      <c r="RWF62" s="42"/>
      <c r="RWM62" s="33"/>
      <c r="RWN62" s="33"/>
      <c r="RWR62" s="41"/>
      <c r="RWX62" s="42"/>
      <c r="RXE62" s="33"/>
      <c r="RXF62" s="33"/>
      <c r="RXJ62" s="41"/>
      <c r="RXP62" s="42"/>
      <c r="RXW62" s="33"/>
      <c r="RXX62" s="33"/>
      <c r="RYB62" s="41"/>
      <c r="RYH62" s="42"/>
      <c r="RYO62" s="33"/>
      <c r="RYP62" s="33"/>
      <c r="RYT62" s="41"/>
      <c r="RYZ62" s="42"/>
      <c r="RZG62" s="33"/>
      <c r="RZH62" s="33"/>
      <c r="RZL62" s="41"/>
      <c r="RZR62" s="42"/>
      <c r="RZY62" s="33"/>
      <c r="RZZ62" s="33"/>
      <c r="SAD62" s="41"/>
      <c r="SAJ62" s="42"/>
      <c r="SAQ62" s="33"/>
      <c r="SAR62" s="33"/>
      <c r="SAV62" s="41"/>
      <c r="SBB62" s="42"/>
      <c r="SBI62" s="33"/>
      <c r="SBJ62" s="33"/>
      <c r="SBN62" s="41"/>
      <c r="SBT62" s="42"/>
      <c r="SCA62" s="33"/>
      <c r="SCB62" s="33"/>
      <c r="SCF62" s="41"/>
      <c r="SCL62" s="42"/>
      <c r="SCS62" s="33"/>
      <c r="SCT62" s="33"/>
      <c r="SCX62" s="41"/>
      <c r="SDD62" s="42"/>
      <c r="SDK62" s="33"/>
      <c r="SDL62" s="33"/>
      <c r="SDP62" s="41"/>
      <c r="SDV62" s="42"/>
      <c r="SEC62" s="33"/>
      <c r="SED62" s="33"/>
      <c r="SEH62" s="41"/>
      <c r="SEN62" s="42"/>
      <c r="SEU62" s="33"/>
      <c r="SEV62" s="33"/>
      <c r="SEZ62" s="41"/>
      <c r="SFF62" s="42"/>
      <c r="SFM62" s="33"/>
      <c r="SFN62" s="33"/>
      <c r="SFR62" s="41"/>
      <c r="SFX62" s="42"/>
      <c r="SGE62" s="33"/>
      <c r="SGF62" s="33"/>
      <c r="SGJ62" s="41"/>
      <c r="SGP62" s="42"/>
      <c r="SGW62" s="33"/>
      <c r="SGX62" s="33"/>
      <c r="SHB62" s="41"/>
      <c r="SHH62" s="42"/>
      <c r="SHO62" s="33"/>
      <c r="SHP62" s="33"/>
      <c r="SHT62" s="41"/>
      <c r="SHZ62" s="42"/>
      <c r="SIG62" s="33"/>
      <c r="SIH62" s="33"/>
      <c r="SIL62" s="41"/>
      <c r="SIR62" s="42"/>
      <c r="SIY62" s="33"/>
      <c r="SIZ62" s="33"/>
      <c r="SJD62" s="41"/>
      <c r="SJJ62" s="42"/>
      <c r="SJQ62" s="33"/>
      <c r="SJR62" s="33"/>
      <c r="SJV62" s="41"/>
      <c r="SKB62" s="42"/>
      <c r="SKI62" s="33"/>
      <c r="SKJ62" s="33"/>
      <c r="SKN62" s="41"/>
      <c r="SKT62" s="42"/>
      <c r="SLA62" s="33"/>
      <c r="SLB62" s="33"/>
      <c r="SLF62" s="41"/>
      <c r="SLL62" s="42"/>
      <c r="SLS62" s="33"/>
      <c r="SLT62" s="33"/>
      <c r="SLX62" s="41"/>
      <c r="SMD62" s="42"/>
      <c r="SMK62" s="33"/>
      <c r="SML62" s="33"/>
      <c r="SMP62" s="41"/>
      <c r="SMV62" s="42"/>
      <c r="SNC62" s="33"/>
      <c r="SND62" s="33"/>
      <c r="SNH62" s="41"/>
      <c r="SNN62" s="42"/>
      <c r="SNU62" s="33"/>
      <c r="SNV62" s="33"/>
      <c r="SNZ62" s="41"/>
      <c r="SOF62" s="42"/>
      <c r="SOM62" s="33"/>
      <c r="SON62" s="33"/>
      <c r="SOR62" s="41"/>
      <c r="SOX62" s="42"/>
      <c r="SPE62" s="33"/>
      <c r="SPF62" s="33"/>
      <c r="SPJ62" s="41"/>
      <c r="SPP62" s="42"/>
      <c r="SPW62" s="33"/>
      <c r="SPX62" s="33"/>
      <c r="SQB62" s="41"/>
      <c r="SQH62" s="42"/>
      <c r="SQO62" s="33"/>
      <c r="SQP62" s="33"/>
      <c r="SQT62" s="41"/>
      <c r="SQZ62" s="42"/>
      <c r="SRG62" s="33"/>
      <c r="SRH62" s="33"/>
      <c r="SRL62" s="41"/>
      <c r="SRR62" s="42"/>
      <c r="SRY62" s="33"/>
      <c r="SRZ62" s="33"/>
      <c r="SSD62" s="41"/>
      <c r="SSJ62" s="42"/>
      <c r="SSQ62" s="33"/>
      <c r="SSR62" s="33"/>
      <c r="SSV62" s="41"/>
      <c r="STB62" s="42"/>
      <c r="STI62" s="33"/>
      <c r="STJ62" s="33"/>
      <c r="STN62" s="41"/>
      <c r="STT62" s="42"/>
      <c r="SUA62" s="33"/>
      <c r="SUB62" s="33"/>
      <c r="SUF62" s="41"/>
      <c r="SUL62" s="42"/>
      <c r="SUS62" s="33"/>
      <c r="SUT62" s="33"/>
      <c r="SUX62" s="41"/>
      <c r="SVD62" s="42"/>
      <c r="SVK62" s="33"/>
      <c r="SVL62" s="33"/>
      <c r="SVP62" s="41"/>
      <c r="SVV62" s="42"/>
      <c r="SWC62" s="33"/>
      <c r="SWD62" s="33"/>
      <c r="SWH62" s="41"/>
      <c r="SWN62" s="42"/>
      <c r="SWU62" s="33"/>
      <c r="SWV62" s="33"/>
      <c r="SWZ62" s="41"/>
      <c r="SXF62" s="42"/>
      <c r="SXM62" s="33"/>
      <c r="SXN62" s="33"/>
      <c r="SXR62" s="41"/>
      <c r="SXX62" s="42"/>
      <c r="SYE62" s="33"/>
      <c r="SYF62" s="33"/>
      <c r="SYJ62" s="41"/>
      <c r="SYP62" s="42"/>
      <c r="SYW62" s="33"/>
      <c r="SYX62" s="33"/>
      <c r="SZB62" s="41"/>
      <c r="SZH62" s="42"/>
      <c r="SZO62" s="33"/>
      <c r="SZP62" s="33"/>
      <c r="SZT62" s="41"/>
      <c r="SZZ62" s="42"/>
      <c r="TAG62" s="33"/>
      <c r="TAH62" s="33"/>
      <c r="TAL62" s="41"/>
      <c r="TAR62" s="42"/>
      <c r="TAY62" s="33"/>
      <c r="TAZ62" s="33"/>
      <c r="TBD62" s="41"/>
      <c r="TBJ62" s="42"/>
      <c r="TBQ62" s="33"/>
      <c r="TBR62" s="33"/>
      <c r="TBV62" s="41"/>
      <c r="TCB62" s="42"/>
      <c r="TCI62" s="33"/>
      <c r="TCJ62" s="33"/>
      <c r="TCN62" s="41"/>
      <c r="TCT62" s="42"/>
      <c r="TDA62" s="33"/>
      <c r="TDB62" s="33"/>
      <c r="TDF62" s="41"/>
      <c r="TDL62" s="42"/>
      <c r="TDS62" s="33"/>
      <c r="TDT62" s="33"/>
      <c r="TDX62" s="41"/>
      <c r="TED62" s="42"/>
      <c r="TEK62" s="33"/>
      <c r="TEL62" s="33"/>
      <c r="TEP62" s="41"/>
      <c r="TEV62" s="42"/>
      <c r="TFC62" s="33"/>
      <c r="TFD62" s="33"/>
      <c r="TFH62" s="41"/>
      <c r="TFN62" s="42"/>
      <c r="TFU62" s="33"/>
      <c r="TFV62" s="33"/>
      <c r="TFZ62" s="41"/>
      <c r="TGF62" s="42"/>
      <c r="TGM62" s="33"/>
      <c r="TGN62" s="33"/>
      <c r="TGR62" s="41"/>
      <c r="TGX62" s="42"/>
      <c r="THE62" s="33"/>
      <c r="THF62" s="33"/>
      <c r="THJ62" s="41"/>
      <c r="THP62" s="42"/>
      <c r="THW62" s="33"/>
      <c r="THX62" s="33"/>
      <c r="TIB62" s="41"/>
      <c r="TIH62" s="42"/>
      <c r="TIO62" s="33"/>
      <c r="TIP62" s="33"/>
      <c r="TIT62" s="41"/>
      <c r="TIZ62" s="42"/>
      <c r="TJG62" s="33"/>
      <c r="TJH62" s="33"/>
      <c r="TJL62" s="41"/>
      <c r="TJR62" s="42"/>
      <c r="TJY62" s="33"/>
      <c r="TJZ62" s="33"/>
      <c r="TKD62" s="41"/>
      <c r="TKJ62" s="42"/>
      <c r="TKQ62" s="33"/>
      <c r="TKR62" s="33"/>
      <c r="TKV62" s="41"/>
      <c r="TLB62" s="42"/>
      <c r="TLI62" s="33"/>
      <c r="TLJ62" s="33"/>
      <c r="TLN62" s="41"/>
      <c r="TLT62" s="42"/>
      <c r="TMA62" s="33"/>
      <c r="TMB62" s="33"/>
      <c r="TMF62" s="41"/>
      <c r="TML62" s="42"/>
      <c r="TMS62" s="33"/>
      <c r="TMT62" s="33"/>
      <c r="TMX62" s="41"/>
      <c r="TND62" s="42"/>
      <c r="TNK62" s="33"/>
      <c r="TNL62" s="33"/>
      <c r="TNP62" s="41"/>
      <c r="TNV62" s="42"/>
      <c r="TOC62" s="33"/>
      <c r="TOD62" s="33"/>
      <c r="TOH62" s="41"/>
      <c r="TON62" s="42"/>
      <c r="TOU62" s="33"/>
      <c r="TOV62" s="33"/>
      <c r="TOZ62" s="41"/>
      <c r="TPF62" s="42"/>
      <c r="TPM62" s="33"/>
      <c r="TPN62" s="33"/>
      <c r="TPR62" s="41"/>
      <c r="TPX62" s="42"/>
      <c r="TQE62" s="33"/>
      <c r="TQF62" s="33"/>
      <c r="TQJ62" s="41"/>
      <c r="TQP62" s="42"/>
      <c r="TQW62" s="33"/>
      <c r="TQX62" s="33"/>
      <c r="TRB62" s="41"/>
      <c r="TRH62" s="42"/>
      <c r="TRO62" s="33"/>
      <c r="TRP62" s="33"/>
      <c r="TRT62" s="41"/>
      <c r="TRZ62" s="42"/>
      <c r="TSG62" s="33"/>
      <c r="TSH62" s="33"/>
      <c r="TSL62" s="41"/>
      <c r="TSR62" s="42"/>
      <c r="TSY62" s="33"/>
      <c r="TSZ62" s="33"/>
      <c r="TTD62" s="41"/>
      <c r="TTJ62" s="42"/>
      <c r="TTQ62" s="33"/>
      <c r="TTR62" s="33"/>
      <c r="TTV62" s="41"/>
      <c r="TUB62" s="42"/>
      <c r="TUI62" s="33"/>
      <c r="TUJ62" s="33"/>
      <c r="TUN62" s="41"/>
      <c r="TUT62" s="42"/>
      <c r="TVA62" s="33"/>
      <c r="TVB62" s="33"/>
      <c r="TVF62" s="41"/>
      <c r="TVL62" s="42"/>
      <c r="TVS62" s="33"/>
      <c r="TVT62" s="33"/>
      <c r="TVX62" s="41"/>
      <c r="TWD62" s="42"/>
      <c r="TWK62" s="33"/>
      <c r="TWL62" s="33"/>
      <c r="TWP62" s="41"/>
      <c r="TWV62" s="42"/>
      <c r="TXC62" s="33"/>
      <c r="TXD62" s="33"/>
      <c r="TXH62" s="41"/>
      <c r="TXN62" s="42"/>
      <c r="TXU62" s="33"/>
      <c r="TXV62" s="33"/>
      <c r="TXZ62" s="41"/>
      <c r="TYF62" s="42"/>
      <c r="TYM62" s="33"/>
      <c r="TYN62" s="33"/>
      <c r="TYR62" s="41"/>
      <c r="TYX62" s="42"/>
      <c r="TZE62" s="33"/>
      <c r="TZF62" s="33"/>
      <c r="TZJ62" s="41"/>
      <c r="TZP62" s="42"/>
      <c r="TZW62" s="33"/>
      <c r="TZX62" s="33"/>
      <c r="UAB62" s="41"/>
      <c r="UAH62" s="42"/>
      <c r="UAO62" s="33"/>
      <c r="UAP62" s="33"/>
      <c r="UAT62" s="41"/>
      <c r="UAZ62" s="42"/>
      <c r="UBG62" s="33"/>
      <c r="UBH62" s="33"/>
      <c r="UBL62" s="41"/>
      <c r="UBR62" s="42"/>
      <c r="UBY62" s="33"/>
      <c r="UBZ62" s="33"/>
      <c r="UCD62" s="41"/>
      <c r="UCJ62" s="42"/>
      <c r="UCQ62" s="33"/>
      <c r="UCR62" s="33"/>
      <c r="UCV62" s="41"/>
      <c r="UDB62" s="42"/>
      <c r="UDI62" s="33"/>
      <c r="UDJ62" s="33"/>
      <c r="UDN62" s="41"/>
      <c r="UDT62" s="42"/>
      <c r="UEA62" s="33"/>
      <c r="UEB62" s="33"/>
      <c r="UEF62" s="41"/>
      <c r="UEL62" s="42"/>
      <c r="UES62" s="33"/>
      <c r="UET62" s="33"/>
      <c r="UEX62" s="41"/>
      <c r="UFD62" s="42"/>
      <c r="UFK62" s="33"/>
      <c r="UFL62" s="33"/>
      <c r="UFP62" s="41"/>
      <c r="UFV62" s="42"/>
      <c r="UGC62" s="33"/>
      <c r="UGD62" s="33"/>
      <c r="UGH62" s="41"/>
      <c r="UGN62" s="42"/>
      <c r="UGU62" s="33"/>
      <c r="UGV62" s="33"/>
      <c r="UGZ62" s="41"/>
      <c r="UHF62" s="42"/>
      <c r="UHM62" s="33"/>
      <c r="UHN62" s="33"/>
      <c r="UHR62" s="41"/>
      <c r="UHX62" s="42"/>
      <c r="UIE62" s="33"/>
      <c r="UIF62" s="33"/>
      <c r="UIJ62" s="41"/>
      <c r="UIP62" s="42"/>
      <c r="UIW62" s="33"/>
      <c r="UIX62" s="33"/>
      <c r="UJB62" s="41"/>
      <c r="UJH62" s="42"/>
      <c r="UJO62" s="33"/>
      <c r="UJP62" s="33"/>
      <c r="UJT62" s="41"/>
      <c r="UJZ62" s="42"/>
      <c r="UKG62" s="33"/>
      <c r="UKH62" s="33"/>
      <c r="UKL62" s="41"/>
      <c r="UKR62" s="42"/>
      <c r="UKY62" s="33"/>
      <c r="UKZ62" s="33"/>
      <c r="ULD62" s="41"/>
      <c r="ULJ62" s="42"/>
      <c r="ULQ62" s="33"/>
      <c r="ULR62" s="33"/>
      <c r="ULV62" s="41"/>
      <c r="UMB62" s="42"/>
      <c r="UMI62" s="33"/>
      <c r="UMJ62" s="33"/>
      <c r="UMN62" s="41"/>
      <c r="UMT62" s="42"/>
      <c r="UNA62" s="33"/>
      <c r="UNB62" s="33"/>
      <c r="UNF62" s="41"/>
      <c r="UNL62" s="42"/>
      <c r="UNS62" s="33"/>
      <c r="UNT62" s="33"/>
      <c r="UNX62" s="41"/>
      <c r="UOD62" s="42"/>
      <c r="UOK62" s="33"/>
      <c r="UOL62" s="33"/>
      <c r="UOP62" s="41"/>
      <c r="UOV62" s="42"/>
      <c r="UPC62" s="33"/>
      <c r="UPD62" s="33"/>
      <c r="UPH62" s="41"/>
      <c r="UPN62" s="42"/>
      <c r="UPU62" s="33"/>
      <c r="UPV62" s="33"/>
      <c r="UPZ62" s="41"/>
      <c r="UQF62" s="42"/>
      <c r="UQM62" s="33"/>
      <c r="UQN62" s="33"/>
      <c r="UQR62" s="41"/>
      <c r="UQX62" s="42"/>
      <c r="URE62" s="33"/>
      <c r="URF62" s="33"/>
      <c r="URJ62" s="41"/>
      <c r="URP62" s="42"/>
      <c r="URW62" s="33"/>
      <c r="URX62" s="33"/>
      <c r="USB62" s="41"/>
      <c r="USH62" s="42"/>
      <c r="USO62" s="33"/>
      <c r="USP62" s="33"/>
      <c r="UST62" s="41"/>
      <c r="USZ62" s="42"/>
      <c r="UTG62" s="33"/>
      <c r="UTH62" s="33"/>
      <c r="UTL62" s="41"/>
      <c r="UTR62" s="42"/>
      <c r="UTY62" s="33"/>
      <c r="UTZ62" s="33"/>
      <c r="UUD62" s="41"/>
      <c r="UUJ62" s="42"/>
      <c r="UUQ62" s="33"/>
      <c r="UUR62" s="33"/>
      <c r="UUV62" s="41"/>
      <c r="UVB62" s="42"/>
      <c r="UVI62" s="33"/>
      <c r="UVJ62" s="33"/>
      <c r="UVN62" s="41"/>
      <c r="UVT62" s="42"/>
      <c r="UWA62" s="33"/>
      <c r="UWB62" s="33"/>
      <c r="UWF62" s="41"/>
      <c r="UWL62" s="42"/>
      <c r="UWS62" s="33"/>
      <c r="UWT62" s="33"/>
      <c r="UWX62" s="41"/>
      <c r="UXD62" s="42"/>
      <c r="UXK62" s="33"/>
      <c r="UXL62" s="33"/>
      <c r="UXP62" s="41"/>
      <c r="UXV62" s="42"/>
      <c r="UYC62" s="33"/>
      <c r="UYD62" s="33"/>
      <c r="UYH62" s="41"/>
      <c r="UYN62" s="42"/>
      <c r="UYU62" s="33"/>
      <c r="UYV62" s="33"/>
      <c r="UYZ62" s="41"/>
      <c r="UZF62" s="42"/>
      <c r="UZM62" s="33"/>
      <c r="UZN62" s="33"/>
      <c r="UZR62" s="41"/>
      <c r="UZX62" s="42"/>
      <c r="VAE62" s="33"/>
      <c r="VAF62" s="33"/>
      <c r="VAJ62" s="41"/>
      <c r="VAP62" s="42"/>
      <c r="VAW62" s="33"/>
      <c r="VAX62" s="33"/>
      <c r="VBB62" s="41"/>
      <c r="VBH62" s="42"/>
      <c r="VBO62" s="33"/>
      <c r="VBP62" s="33"/>
      <c r="VBT62" s="41"/>
      <c r="VBZ62" s="42"/>
      <c r="VCG62" s="33"/>
      <c r="VCH62" s="33"/>
      <c r="VCL62" s="41"/>
      <c r="VCR62" s="42"/>
      <c r="VCY62" s="33"/>
      <c r="VCZ62" s="33"/>
      <c r="VDD62" s="41"/>
      <c r="VDJ62" s="42"/>
      <c r="VDQ62" s="33"/>
      <c r="VDR62" s="33"/>
      <c r="VDV62" s="41"/>
      <c r="VEB62" s="42"/>
      <c r="VEI62" s="33"/>
      <c r="VEJ62" s="33"/>
      <c r="VEN62" s="41"/>
      <c r="VET62" s="42"/>
      <c r="VFA62" s="33"/>
      <c r="VFB62" s="33"/>
      <c r="VFF62" s="41"/>
      <c r="VFL62" s="42"/>
      <c r="VFS62" s="33"/>
      <c r="VFT62" s="33"/>
      <c r="VFX62" s="41"/>
      <c r="VGD62" s="42"/>
      <c r="VGK62" s="33"/>
      <c r="VGL62" s="33"/>
      <c r="VGP62" s="41"/>
      <c r="VGV62" s="42"/>
      <c r="VHC62" s="33"/>
      <c r="VHD62" s="33"/>
      <c r="VHH62" s="41"/>
      <c r="VHN62" s="42"/>
      <c r="VHU62" s="33"/>
      <c r="VHV62" s="33"/>
      <c r="VHZ62" s="41"/>
      <c r="VIF62" s="42"/>
      <c r="VIM62" s="33"/>
      <c r="VIN62" s="33"/>
      <c r="VIR62" s="41"/>
      <c r="VIX62" s="42"/>
      <c r="VJE62" s="33"/>
      <c r="VJF62" s="33"/>
      <c r="VJJ62" s="41"/>
      <c r="VJP62" s="42"/>
      <c r="VJW62" s="33"/>
      <c r="VJX62" s="33"/>
      <c r="VKB62" s="41"/>
      <c r="VKH62" s="42"/>
      <c r="VKO62" s="33"/>
      <c r="VKP62" s="33"/>
      <c r="VKT62" s="41"/>
      <c r="VKZ62" s="42"/>
      <c r="VLG62" s="33"/>
      <c r="VLH62" s="33"/>
      <c r="VLL62" s="41"/>
      <c r="VLR62" s="42"/>
      <c r="VLY62" s="33"/>
      <c r="VLZ62" s="33"/>
      <c r="VMD62" s="41"/>
      <c r="VMJ62" s="42"/>
      <c r="VMQ62" s="33"/>
      <c r="VMR62" s="33"/>
      <c r="VMV62" s="41"/>
      <c r="VNB62" s="42"/>
      <c r="VNI62" s="33"/>
      <c r="VNJ62" s="33"/>
      <c r="VNN62" s="41"/>
      <c r="VNT62" s="42"/>
      <c r="VOA62" s="33"/>
      <c r="VOB62" s="33"/>
      <c r="VOF62" s="41"/>
      <c r="VOL62" s="42"/>
      <c r="VOS62" s="33"/>
      <c r="VOT62" s="33"/>
      <c r="VOX62" s="41"/>
      <c r="VPD62" s="42"/>
      <c r="VPK62" s="33"/>
      <c r="VPL62" s="33"/>
      <c r="VPP62" s="41"/>
      <c r="VPV62" s="42"/>
      <c r="VQC62" s="33"/>
      <c r="VQD62" s="33"/>
      <c r="VQH62" s="41"/>
      <c r="VQN62" s="42"/>
      <c r="VQU62" s="33"/>
      <c r="VQV62" s="33"/>
      <c r="VQZ62" s="41"/>
      <c r="VRF62" s="42"/>
      <c r="VRM62" s="33"/>
      <c r="VRN62" s="33"/>
      <c r="VRR62" s="41"/>
      <c r="VRX62" s="42"/>
      <c r="VSE62" s="33"/>
      <c r="VSF62" s="33"/>
      <c r="VSJ62" s="41"/>
      <c r="VSP62" s="42"/>
      <c r="VSW62" s="33"/>
      <c r="VSX62" s="33"/>
      <c r="VTB62" s="41"/>
      <c r="VTH62" s="42"/>
      <c r="VTO62" s="33"/>
      <c r="VTP62" s="33"/>
      <c r="VTT62" s="41"/>
      <c r="VTZ62" s="42"/>
      <c r="VUG62" s="33"/>
      <c r="VUH62" s="33"/>
      <c r="VUL62" s="41"/>
      <c r="VUR62" s="42"/>
      <c r="VUY62" s="33"/>
      <c r="VUZ62" s="33"/>
      <c r="VVD62" s="41"/>
      <c r="VVJ62" s="42"/>
      <c r="VVQ62" s="33"/>
      <c r="VVR62" s="33"/>
      <c r="VVV62" s="41"/>
      <c r="VWB62" s="42"/>
      <c r="VWI62" s="33"/>
      <c r="VWJ62" s="33"/>
      <c r="VWN62" s="41"/>
      <c r="VWT62" s="42"/>
      <c r="VXA62" s="33"/>
      <c r="VXB62" s="33"/>
      <c r="VXF62" s="41"/>
      <c r="VXL62" s="42"/>
      <c r="VXS62" s="33"/>
      <c r="VXT62" s="33"/>
      <c r="VXX62" s="41"/>
      <c r="VYD62" s="42"/>
      <c r="VYK62" s="33"/>
      <c r="VYL62" s="33"/>
      <c r="VYP62" s="41"/>
      <c r="VYV62" s="42"/>
      <c r="VZC62" s="33"/>
      <c r="VZD62" s="33"/>
      <c r="VZH62" s="41"/>
      <c r="VZN62" s="42"/>
      <c r="VZU62" s="33"/>
      <c r="VZV62" s="33"/>
      <c r="VZZ62" s="41"/>
      <c r="WAF62" s="42"/>
      <c r="WAM62" s="33"/>
      <c r="WAN62" s="33"/>
      <c r="WAR62" s="41"/>
      <c r="WAX62" s="42"/>
      <c r="WBE62" s="33"/>
      <c r="WBF62" s="33"/>
      <c r="WBJ62" s="41"/>
      <c r="WBP62" s="42"/>
      <c r="WBW62" s="33"/>
      <c r="WBX62" s="33"/>
      <c r="WCB62" s="41"/>
      <c r="WCH62" s="42"/>
      <c r="WCO62" s="33"/>
      <c r="WCP62" s="33"/>
      <c r="WCT62" s="41"/>
      <c r="WCZ62" s="42"/>
      <c r="WDG62" s="33"/>
      <c r="WDH62" s="33"/>
      <c r="WDL62" s="41"/>
      <c r="WDR62" s="42"/>
      <c r="WDY62" s="33"/>
      <c r="WDZ62" s="33"/>
      <c r="WED62" s="41"/>
      <c r="WEJ62" s="42"/>
      <c r="WEQ62" s="33"/>
      <c r="WER62" s="33"/>
      <c r="WEV62" s="41"/>
      <c r="WFB62" s="42"/>
      <c r="WFI62" s="33"/>
      <c r="WFJ62" s="33"/>
      <c r="WFN62" s="41"/>
      <c r="WFT62" s="42"/>
      <c r="WGA62" s="33"/>
      <c r="WGB62" s="33"/>
      <c r="WGF62" s="41"/>
      <c r="WGL62" s="42"/>
      <c r="WGS62" s="33"/>
      <c r="WGT62" s="33"/>
      <c r="WGX62" s="41"/>
      <c r="WHD62" s="42"/>
      <c r="WHK62" s="33"/>
      <c r="WHL62" s="33"/>
      <c r="WHP62" s="41"/>
      <c r="WHV62" s="42"/>
      <c r="WIC62" s="33"/>
      <c r="WID62" s="33"/>
      <c r="WIH62" s="41"/>
      <c r="WIN62" s="42"/>
      <c r="WIU62" s="33"/>
      <c r="WIV62" s="33"/>
      <c r="WIZ62" s="41"/>
      <c r="WJF62" s="42"/>
      <c r="WJM62" s="33"/>
      <c r="WJN62" s="33"/>
      <c r="WJR62" s="41"/>
      <c r="WJX62" s="42"/>
      <c r="WKE62" s="33"/>
      <c r="WKF62" s="33"/>
      <c r="WKJ62" s="41"/>
      <c r="WKP62" s="42"/>
      <c r="WKW62" s="33"/>
      <c r="WKX62" s="33"/>
      <c r="WLB62" s="41"/>
      <c r="WLH62" s="42"/>
      <c r="WLO62" s="33"/>
      <c r="WLP62" s="33"/>
      <c r="WLT62" s="41"/>
      <c r="WLZ62" s="42"/>
      <c r="WMG62" s="33"/>
      <c r="WMH62" s="33"/>
      <c r="WML62" s="41"/>
      <c r="WMR62" s="42"/>
      <c r="WMY62" s="33"/>
      <c r="WMZ62" s="33"/>
      <c r="WND62" s="41"/>
      <c r="WNJ62" s="42"/>
      <c r="WNQ62" s="33"/>
      <c r="WNR62" s="33"/>
      <c r="WNV62" s="41"/>
      <c r="WOB62" s="42"/>
      <c r="WOI62" s="33"/>
      <c r="WOJ62" s="33"/>
      <c r="WON62" s="41"/>
      <c r="WOT62" s="42"/>
      <c r="WPA62" s="33"/>
      <c r="WPB62" s="33"/>
      <c r="WPF62" s="41"/>
      <c r="WPL62" s="42"/>
      <c r="WPS62" s="33"/>
      <c r="WPT62" s="33"/>
      <c r="WPX62" s="41"/>
      <c r="WQD62" s="42"/>
      <c r="WQK62" s="33"/>
      <c r="WQL62" s="33"/>
      <c r="WQP62" s="41"/>
      <c r="WQV62" s="42"/>
      <c r="WRC62" s="33"/>
      <c r="WRD62" s="33"/>
      <c r="WRH62" s="41"/>
      <c r="WRN62" s="42"/>
      <c r="WRU62" s="33"/>
      <c r="WRV62" s="33"/>
      <c r="WRZ62" s="41"/>
      <c r="WSF62" s="42"/>
      <c r="WSM62" s="33"/>
      <c r="WSN62" s="33"/>
      <c r="WSR62" s="41"/>
      <c r="WSX62" s="42"/>
      <c r="WTE62" s="33"/>
      <c r="WTF62" s="33"/>
      <c r="WTJ62" s="41"/>
      <c r="WTP62" s="42"/>
      <c r="WTW62" s="33"/>
      <c r="WTX62" s="33"/>
      <c r="WUB62" s="41"/>
      <c r="WUH62" s="42"/>
      <c r="WUO62" s="33"/>
      <c r="WUP62" s="33"/>
      <c r="WUT62" s="41"/>
      <c r="WUZ62" s="42"/>
      <c r="WVG62" s="33"/>
      <c r="WVH62" s="33"/>
      <c r="WVL62" s="41"/>
      <c r="WVR62" s="42"/>
      <c r="WVY62" s="33"/>
      <c r="WVZ62" s="33"/>
      <c r="WWD62" s="41"/>
      <c r="WWJ62" s="42"/>
      <c r="WWQ62" s="33"/>
      <c r="WWR62" s="33"/>
      <c r="WWV62" s="41"/>
      <c r="WXB62" s="42"/>
      <c r="WXI62" s="33"/>
      <c r="WXJ62" s="33"/>
      <c r="WXN62" s="41"/>
      <c r="WXT62" s="42"/>
      <c r="WYA62" s="33"/>
      <c r="WYB62" s="33"/>
      <c r="WYF62" s="41"/>
      <c r="WYL62" s="42"/>
      <c r="WYS62" s="33"/>
      <c r="WYT62" s="33"/>
      <c r="WYX62" s="41"/>
      <c r="WZD62" s="42"/>
      <c r="WZK62" s="33"/>
      <c r="WZL62" s="33"/>
      <c r="WZP62" s="41"/>
      <c r="WZV62" s="42"/>
      <c r="XAC62" s="33"/>
      <c r="XAD62" s="33"/>
      <c r="XAH62" s="41"/>
      <c r="XAN62" s="42"/>
      <c r="XAU62" s="33"/>
      <c r="XAV62" s="33"/>
      <c r="XAZ62" s="41"/>
      <c r="XBF62" s="42"/>
      <c r="XBM62" s="33"/>
      <c r="XBN62" s="33"/>
      <c r="XBR62" s="41"/>
      <c r="XBX62" s="42"/>
      <c r="XCE62" s="33"/>
      <c r="XCF62" s="33"/>
      <c r="XCJ62" s="41"/>
      <c r="XCP62" s="42"/>
      <c r="XCW62" s="33"/>
      <c r="XCX62" s="33"/>
      <c r="XDB62" s="41"/>
      <c r="XDH62" s="42"/>
      <c r="XDO62" s="33"/>
      <c r="XDP62" s="33"/>
      <c r="XDT62" s="41"/>
      <c r="XDZ62" s="42"/>
      <c r="XEG62" s="33"/>
      <c r="XEH62" s="33"/>
      <c r="XEL62" s="41"/>
      <c r="XER62" s="42"/>
      <c r="XEY62" s="33"/>
      <c r="XEZ62" s="33"/>
      <c r="XFD62" s="41"/>
    </row>
    <row r="63" spans="1:1018 1025:2044 2051:3070 3077:4096 4103:5116 5122:6142 6148:7168 7174:8190 8194:9216 9220:10234 10241:11260 11267:12286 12293:13312 13319:14332 14338:15358 15364:16384" s="40" customFormat="1" ht="15" customHeight="1">
      <c r="A63" s="33" t="s">
        <v>189</v>
      </c>
      <c r="B63" s="34">
        <v>2008</v>
      </c>
      <c r="C63" s="35" t="s">
        <v>188</v>
      </c>
      <c r="D63" s="36" t="s">
        <v>86</v>
      </c>
      <c r="E63" s="37"/>
      <c r="F63" s="35" t="s">
        <v>55</v>
      </c>
      <c r="G63" s="62">
        <v>9119117112.0564747</v>
      </c>
      <c r="H63" s="62">
        <v>6011049981.865613</v>
      </c>
      <c r="I63" s="34"/>
      <c r="J63" s="39"/>
      <c r="K63" s="36"/>
      <c r="L63" s="36"/>
      <c r="M63" s="36"/>
      <c r="N63" s="34"/>
      <c r="O63" s="36"/>
      <c r="P63" s="34"/>
      <c r="Q63" s="36"/>
      <c r="R63" s="36"/>
      <c r="V63" s="41"/>
      <c r="AB63" s="42"/>
      <c r="AI63" s="33"/>
      <c r="AJ63" s="33"/>
      <c r="AN63" s="41"/>
      <c r="AT63" s="42"/>
      <c r="BA63" s="33"/>
      <c r="BB63" s="33"/>
      <c r="BF63" s="41"/>
      <c r="BL63" s="42"/>
      <c r="BS63" s="33"/>
      <c r="BT63" s="33"/>
      <c r="BX63" s="41"/>
      <c r="CD63" s="42"/>
      <c r="CK63" s="33"/>
      <c r="CL63" s="33"/>
      <c r="CP63" s="41"/>
      <c r="CV63" s="42"/>
      <c r="DC63" s="33"/>
      <c r="DD63" s="33"/>
      <c r="DH63" s="41"/>
      <c r="DN63" s="42"/>
      <c r="DU63" s="33"/>
      <c r="DV63" s="33"/>
      <c r="DZ63" s="41"/>
      <c r="EF63" s="42"/>
      <c r="EM63" s="33"/>
      <c r="EN63" s="33"/>
      <c r="ER63" s="41"/>
      <c r="EX63" s="42"/>
      <c r="FE63" s="33"/>
      <c r="FF63" s="33"/>
      <c r="FJ63" s="41"/>
      <c r="FP63" s="42"/>
      <c r="FW63" s="33"/>
      <c r="FX63" s="33"/>
      <c r="GB63" s="41"/>
      <c r="GH63" s="42"/>
      <c r="GO63" s="33"/>
      <c r="GP63" s="33"/>
      <c r="GT63" s="41"/>
      <c r="GZ63" s="42"/>
      <c r="HG63" s="33"/>
      <c r="HH63" s="33"/>
      <c r="HL63" s="41"/>
      <c r="HR63" s="42"/>
      <c r="HY63" s="33"/>
      <c r="HZ63" s="33"/>
      <c r="ID63" s="41"/>
      <c r="IJ63" s="42"/>
      <c r="IQ63" s="33"/>
      <c r="IR63" s="33"/>
      <c r="IV63" s="41"/>
      <c r="JB63" s="42"/>
      <c r="JI63" s="33"/>
      <c r="JJ63" s="33"/>
      <c r="JN63" s="41"/>
      <c r="JT63" s="42"/>
      <c r="KA63" s="33"/>
      <c r="KB63" s="33"/>
      <c r="KF63" s="41"/>
      <c r="KL63" s="42"/>
      <c r="KS63" s="33"/>
      <c r="KT63" s="33"/>
      <c r="KX63" s="41"/>
      <c r="LD63" s="42"/>
      <c r="LK63" s="33"/>
      <c r="LL63" s="33"/>
      <c r="LP63" s="41"/>
      <c r="LV63" s="42"/>
      <c r="MC63" s="33"/>
      <c r="MD63" s="33"/>
      <c r="MH63" s="41"/>
      <c r="MN63" s="42"/>
      <c r="MU63" s="33"/>
      <c r="MV63" s="33"/>
      <c r="MZ63" s="41"/>
      <c r="NF63" s="42"/>
      <c r="NM63" s="33"/>
      <c r="NN63" s="33"/>
      <c r="NR63" s="41"/>
      <c r="NX63" s="42"/>
      <c r="OE63" s="33"/>
      <c r="OF63" s="33"/>
      <c r="OJ63" s="41"/>
      <c r="OP63" s="42"/>
      <c r="OW63" s="33"/>
      <c r="OX63" s="33"/>
      <c r="PB63" s="41"/>
      <c r="PH63" s="42"/>
      <c r="PO63" s="33"/>
      <c r="PP63" s="33"/>
      <c r="PT63" s="41"/>
      <c r="PZ63" s="42"/>
      <c r="QG63" s="33"/>
      <c r="QH63" s="33"/>
      <c r="QL63" s="41"/>
      <c r="QR63" s="42"/>
      <c r="QY63" s="33"/>
      <c r="QZ63" s="33"/>
      <c r="RD63" s="41"/>
      <c r="RJ63" s="42"/>
      <c r="RQ63" s="33"/>
      <c r="RR63" s="33"/>
      <c r="RV63" s="41"/>
      <c r="SB63" s="42"/>
      <c r="SI63" s="33"/>
      <c r="SJ63" s="33"/>
      <c r="SN63" s="41"/>
      <c r="ST63" s="42"/>
      <c r="TA63" s="33"/>
      <c r="TB63" s="33"/>
      <c r="TF63" s="41"/>
      <c r="TL63" s="42"/>
      <c r="TS63" s="33"/>
      <c r="TT63" s="33"/>
      <c r="TX63" s="41"/>
      <c r="UD63" s="42"/>
      <c r="UK63" s="33"/>
      <c r="UL63" s="33"/>
      <c r="UP63" s="41"/>
      <c r="UV63" s="42"/>
      <c r="VC63" s="33"/>
      <c r="VD63" s="33"/>
      <c r="VH63" s="41"/>
      <c r="VN63" s="42"/>
      <c r="VU63" s="33"/>
      <c r="VV63" s="33"/>
      <c r="VZ63" s="41"/>
      <c r="WF63" s="42"/>
      <c r="WM63" s="33"/>
      <c r="WN63" s="33"/>
      <c r="WR63" s="41"/>
      <c r="WX63" s="42"/>
      <c r="XE63" s="33"/>
      <c r="XF63" s="33"/>
      <c r="XJ63" s="41"/>
      <c r="XP63" s="42"/>
      <c r="XW63" s="33"/>
      <c r="XX63" s="33"/>
      <c r="YB63" s="41"/>
      <c r="YH63" s="42"/>
      <c r="YO63" s="33"/>
      <c r="YP63" s="33"/>
      <c r="YT63" s="41"/>
      <c r="YZ63" s="42"/>
      <c r="ZG63" s="33"/>
      <c r="ZH63" s="33"/>
      <c r="ZL63" s="41"/>
      <c r="ZR63" s="42"/>
      <c r="ZY63" s="33"/>
      <c r="ZZ63" s="33"/>
      <c r="AAD63" s="41"/>
      <c r="AAJ63" s="42"/>
      <c r="AAQ63" s="33"/>
      <c r="AAR63" s="33"/>
      <c r="AAV63" s="41"/>
      <c r="ABB63" s="42"/>
      <c r="ABI63" s="33"/>
      <c r="ABJ63" s="33"/>
      <c r="ABN63" s="41"/>
      <c r="ABT63" s="42"/>
      <c r="ACA63" s="33"/>
      <c r="ACB63" s="33"/>
      <c r="ACF63" s="41"/>
      <c r="ACL63" s="42"/>
      <c r="ACS63" s="33"/>
      <c r="ACT63" s="33"/>
      <c r="ACX63" s="41"/>
      <c r="ADD63" s="42"/>
      <c r="ADK63" s="33"/>
      <c r="ADL63" s="33"/>
      <c r="ADP63" s="41"/>
      <c r="ADV63" s="42"/>
      <c r="AEC63" s="33"/>
      <c r="AED63" s="33"/>
      <c r="AEH63" s="41"/>
      <c r="AEN63" s="42"/>
      <c r="AEU63" s="33"/>
      <c r="AEV63" s="33"/>
      <c r="AEZ63" s="41"/>
      <c r="AFF63" s="42"/>
      <c r="AFM63" s="33"/>
      <c r="AFN63" s="33"/>
      <c r="AFR63" s="41"/>
      <c r="AFX63" s="42"/>
      <c r="AGE63" s="33"/>
      <c r="AGF63" s="33"/>
      <c r="AGJ63" s="41"/>
      <c r="AGP63" s="42"/>
      <c r="AGW63" s="33"/>
      <c r="AGX63" s="33"/>
      <c r="AHB63" s="41"/>
      <c r="AHH63" s="42"/>
      <c r="AHO63" s="33"/>
      <c r="AHP63" s="33"/>
      <c r="AHT63" s="41"/>
      <c r="AHZ63" s="42"/>
      <c r="AIG63" s="33"/>
      <c r="AIH63" s="33"/>
      <c r="AIL63" s="41"/>
      <c r="AIR63" s="42"/>
      <c r="AIY63" s="33"/>
      <c r="AIZ63" s="33"/>
      <c r="AJD63" s="41"/>
      <c r="AJJ63" s="42"/>
      <c r="AJQ63" s="33"/>
      <c r="AJR63" s="33"/>
      <c r="AJV63" s="41"/>
      <c r="AKB63" s="42"/>
      <c r="AKI63" s="33"/>
      <c r="AKJ63" s="33"/>
      <c r="AKN63" s="41"/>
      <c r="AKT63" s="42"/>
      <c r="ALA63" s="33"/>
      <c r="ALB63" s="33"/>
      <c r="ALF63" s="41"/>
      <c r="ALL63" s="42"/>
      <c r="ALS63" s="33"/>
      <c r="ALT63" s="33"/>
      <c r="ALX63" s="41"/>
      <c r="AMD63" s="42"/>
      <c r="AMK63" s="33"/>
      <c r="AML63" s="33"/>
      <c r="AMP63" s="41"/>
      <c r="AMV63" s="42"/>
      <c r="ANC63" s="33"/>
      <c r="AND63" s="33"/>
      <c r="ANH63" s="41"/>
      <c r="ANN63" s="42"/>
      <c r="ANU63" s="33"/>
      <c r="ANV63" s="33"/>
      <c r="ANZ63" s="41"/>
      <c r="AOF63" s="42"/>
      <c r="AOM63" s="33"/>
      <c r="AON63" s="33"/>
      <c r="AOR63" s="41"/>
      <c r="AOX63" s="42"/>
      <c r="APE63" s="33"/>
      <c r="APF63" s="33"/>
      <c r="APJ63" s="41"/>
      <c r="APP63" s="42"/>
      <c r="APW63" s="33"/>
      <c r="APX63" s="33"/>
      <c r="AQB63" s="41"/>
      <c r="AQH63" s="42"/>
      <c r="AQO63" s="33"/>
      <c r="AQP63" s="33"/>
      <c r="AQT63" s="41"/>
      <c r="AQZ63" s="42"/>
      <c r="ARG63" s="33"/>
      <c r="ARH63" s="33"/>
      <c r="ARL63" s="41"/>
      <c r="ARR63" s="42"/>
      <c r="ARY63" s="33"/>
      <c r="ARZ63" s="33"/>
      <c r="ASD63" s="41"/>
      <c r="ASJ63" s="42"/>
      <c r="ASQ63" s="33"/>
      <c r="ASR63" s="33"/>
      <c r="ASV63" s="41"/>
      <c r="ATB63" s="42"/>
      <c r="ATI63" s="33"/>
      <c r="ATJ63" s="33"/>
      <c r="ATN63" s="41"/>
      <c r="ATT63" s="42"/>
      <c r="AUA63" s="33"/>
      <c r="AUB63" s="33"/>
      <c r="AUF63" s="41"/>
      <c r="AUL63" s="42"/>
      <c r="AUS63" s="33"/>
      <c r="AUT63" s="33"/>
      <c r="AUX63" s="41"/>
      <c r="AVD63" s="42"/>
      <c r="AVK63" s="33"/>
      <c r="AVL63" s="33"/>
      <c r="AVP63" s="41"/>
      <c r="AVV63" s="42"/>
      <c r="AWC63" s="33"/>
      <c r="AWD63" s="33"/>
      <c r="AWH63" s="41"/>
      <c r="AWN63" s="42"/>
      <c r="AWU63" s="33"/>
      <c r="AWV63" s="33"/>
      <c r="AWZ63" s="41"/>
      <c r="AXF63" s="42"/>
      <c r="AXM63" s="33"/>
      <c r="AXN63" s="33"/>
      <c r="AXR63" s="41"/>
      <c r="AXX63" s="42"/>
      <c r="AYE63" s="33"/>
      <c r="AYF63" s="33"/>
      <c r="AYJ63" s="41"/>
      <c r="AYP63" s="42"/>
      <c r="AYW63" s="33"/>
      <c r="AYX63" s="33"/>
      <c r="AZB63" s="41"/>
      <c r="AZH63" s="42"/>
      <c r="AZO63" s="33"/>
      <c r="AZP63" s="33"/>
      <c r="AZT63" s="41"/>
      <c r="AZZ63" s="42"/>
      <c r="BAG63" s="33"/>
      <c r="BAH63" s="33"/>
      <c r="BAL63" s="41"/>
      <c r="BAR63" s="42"/>
      <c r="BAY63" s="33"/>
      <c r="BAZ63" s="33"/>
      <c r="BBD63" s="41"/>
      <c r="BBJ63" s="42"/>
      <c r="BBQ63" s="33"/>
      <c r="BBR63" s="33"/>
      <c r="BBV63" s="41"/>
      <c r="BCB63" s="42"/>
      <c r="BCI63" s="33"/>
      <c r="BCJ63" s="33"/>
      <c r="BCN63" s="41"/>
      <c r="BCT63" s="42"/>
      <c r="BDA63" s="33"/>
      <c r="BDB63" s="33"/>
      <c r="BDF63" s="41"/>
      <c r="BDL63" s="42"/>
      <c r="BDS63" s="33"/>
      <c r="BDT63" s="33"/>
      <c r="BDX63" s="41"/>
      <c r="BED63" s="42"/>
      <c r="BEK63" s="33"/>
      <c r="BEL63" s="33"/>
      <c r="BEP63" s="41"/>
      <c r="BEV63" s="42"/>
      <c r="BFC63" s="33"/>
      <c r="BFD63" s="33"/>
      <c r="BFH63" s="41"/>
      <c r="BFN63" s="42"/>
      <c r="BFU63" s="33"/>
      <c r="BFV63" s="33"/>
      <c r="BFZ63" s="41"/>
      <c r="BGF63" s="42"/>
      <c r="BGM63" s="33"/>
      <c r="BGN63" s="33"/>
      <c r="BGR63" s="41"/>
      <c r="BGX63" s="42"/>
      <c r="BHE63" s="33"/>
      <c r="BHF63" s="33"/>
      <c r="BHJ63" s="41"/>
      <c r="BHP63" s="42"/>
      <c r="BHW63" s="33"/>
      <c r="BHX63" s="33"/>
      <c r="BIB63" s="41"/>
      <c r="BIH63" s="42"/>
      <c r="BIO63" s="33"/>
      <c r="BIP63" s="33"/>
      <c r="BIT63" s="41"/>
      <c r="BIZ63" s="42"/>
      <c r="BJG63" s="33"/>
      <c r="BJH63" s="33"/>
      <c r="BJL63" s="41"/>
      <c r="BJR63" s="42"/>
      <c r="BJY63" s="33"/>
      <c r="BJZ63" s="33"/>
      <c r="BKD63" s="41"/>
      <c r="BKJ63" s="42"/>
      <c r="BKQ63" s="33"/>
      <c r="BKR63" s="33"/>
      <c r="BKV63" s="41"/>
      <c r="BLB63" s="42"/>
      <c r="BLI63" s="33"/>
      <c r="BLJ63" s="33"/>
      <c r="BLN63" s="41"/>
      <c r="BLT63" s="42"/>
      <c r="BMA63" s="33"/>
      <c r="BMB63" s="33"/>
      <c r="BMF63" s="41"/>
      <c r="BML63" s="42"/>
      <c r="BMS63" s="33"/>
      <c r="BMT63" s="33"/>
      <c r="BMX63" s="41"/>
      <c r="BND63" s="42"/>
      <c r="BNK63" s="33"/>
      <c r="BNL63" s="33"/>
      <c r="BNP63" s="41"/>
      <c r="BNV63" s="42"/>
      <c r="BOC63" s="33"/>
      <c r="BOD63" s="33"/>
      <c r="BOH63" s="41"/>
      <c r="BON63" s="42"/>
      <c r="BOU63" s="33"/>
      <c r="BOV63" s="33"/>
      <c r="BOZ63" s="41"/>
      <c r="BPF63" s="42"/>
      <c r="BPM63" s="33"/>
      <c r="BPN63" s="33"/>
      <c r="BPR63" s="41"/>
      <c r="BPX63" s="42"/>
      <c r="BQE63" s="33"/>
      <c r="BQF63" s="33"/>
      <c r="BQJ63" s="41"/>
      <c r="BQP63" s="42"/>
      <c r="BQW63" s="33"/>
      <c r="BQX63" s="33"/>
      <c r="BRB63" s="41"/>
      <c r="BRH63" s="42"/>
      <c r="BRO63" s="33"/>
      <c r="BRP63" s="33"/>
      <c r="BRT63" s="41"/>
      <c r="BRZ63" s="42"/>
      <c r="BSG63" s="33"/>
      <c r="BSH63" s="33"/>
      <c r="BSL63" s="41"/>
      <c r="BSR63" s="42"/>
      <c r="BSY63" s="33"/>
      <c r="BSZ63" s="33"/>
      <c r="BTD63" s="41"/>
      <c r="BTJ63" s="42"/>
      <c r="BTQ63" s="33"/>
      <c r="BTR63" s="33"/>
      <c r="BTV63" s="41"/>
      <c r="BUB63" s="42"/>
      <c r="BUI63" s="33"/>
      <c r="BUJ63" s="33"/>
      <c r="BUN63" s="41"/>
      <c r="BUT63" s="42"/>
      <c r="BVA63" s="33"/>
      <c r="BVB63" s="33"/>
      <c r="BVF63" s="41"/>
      <c r="BVL63" s="42"/>
      <c r="BVS63" s="33"/>
      <c r="BVT63" s="33"/>
      <c r="BVX63" s="41"/>
      <c r="BWD63" s="42"/>
      <c r="BWK63" s="33"/>
      <c r="BWL63" s="33"/>
      <c r="BWP63" s="41"/>
      <c r="BWV63" s="42"/>
      <c r="BXC63" s="33"/>
      <c r="BXD63" s="33"/>
      <c r="BXH63" s="41"/>
      <c r="BXN63" s="42"/>
      <c r="BXU63" s="33"/>
      <c r="BXV63" s="33"/>
      <c r="BXZ63" s="41"/>
      <c r="BYF63" s="42"/>
      <c r="BYM63" s="33"/>
      <c r="BYN63" s="33"/>
      <c r="BYR63" s="41"/>
      <c r="BYX63" s="42"/>
      <c r="BZE63" s="33"/>
      <c r="BZF63" s="33"/>
      <c r="BZJ63" s="41"/>
      <c r="BZP63" s="42"/>
      <c r="BZW63" s="33"/>
      <c r="BZX63" s="33"/>
      <c r="CAB63" s="41"/>
      <c r="CAH63" s="42"/>
      <c r="CAO63" s="33"/>
      <c r="CAP63" s="33"/>
      <c r="CAT63" s="41"/>
      <c r="CAZ63" s="42"/>
      <c r="CBG63" s="33"/>
      <c r="CBH63" s="33"/>
      <c r="CBL63" s="41"/>
      <c r="CBR63" s="42"/>
      <c r="CBY63" s="33"/>
      <c r="CBZ63" s="33"/>
      <c r="CCD63" s="41"/>
      <c r="CCJ63" s="42"/>
      <c r="CCQ63" s="33"/>
      <c r="CCR63" s="33"/>
      <c r="CCV63" s="41"/>
      <c r="CDB63" s="42"/>
      <c r="CDI63" s="33"/>
      <c r="CDJ63" s="33"/>
      <c r="CDN63" s="41"/>
      <c r="CDT63" s="42"/>
      <c r="CEA63" s="33"/>
      <c r="CEB63" s="33"/>
      <c r="CEF63" s="41"/>
      <c r="CEL63" s="42"/>
      <c r="CES63" s="33"/>
      <c r="CET63" s="33"/>
      <c r="CEX63" s="41"/>
      <c r="CFD63" s="42"/>
      <c r="CFK63" s="33"/>
      <c r="CFL63" s="33"/>
      <c r="CFP63" s="41"/>
      <c r="CFV63" s="42"/>
      <c r="CGC63" s="33"/>
      <c r="CGD63" s="33"/>
      <c r="CGH63" s="41"/>
      <c r="CGN63" s="42"/>
      <c r="CGU63" s="33"/>
      <c r="CGV63" s="33"/>
      <c r="CGZ63" s="41"/>
      <c r="CHF63" s="42"/>
      <c r="CHM63" s="33"/>
      <c r="CHN63" s="33"/>
      <c r="CHR63" s="41"/>
      <c r="CHX63" s="42"/>
      <c r="CIE63" s="33"/>
      <c r="CIF63" s="33"/>
      <c r="CIJ63" s="41"/>
      <c r="CIP63" s="42"/>
      <c r="CIW63" s="33"/>
      <c r="CIX63" s="33"/>
      <c r="CJB63" s="41"/>
      <c r="CJH63" s="42"/>
      <c r="CJO63" s="33"/>
      <c r="CJP63" s="33"/>
      <c r="CJT63" s="41"/>
      <c r="CJZ63" s="42"/>
      <c r="CKG63" s="33"/>
      <c r="CKH63" s="33"/>
      <c r="CKL63" s="41"/>
      <c r="CKR63" s="42"/>
      <c r="CKY63" s="33"/>
      <c r="CKZ63" s="33"/>
      <c r="CLD63" s="41"/>
      <c r="CLJ63" s="42"/>
      <c r="CLQ63" s="33"/>
      <c r="CLR63" s="33"/>
      <c r="CLV63" s="41"/>
      <c r="CMB63" s="42"/>
      <c r="CMI63" s="33"/>
      <c r="CMJ63" s="33"/>
      <c r="CMN63" s="41"/>
      <c r="CMT63" s="42"/>
      <c r="CNA63" s="33"/>
      <c r="CNB63" s="33"/>
      <c r="CNF63" s="41"/>
      <c r="CNL63" s="42"/>
      <c r="CNS63" s="33"/>
      <c r="CNT63" s="33"/>
      <c r="CNX63" s="41"/>
      <c r="COD63" s="42"/>
      <c r="COK63" s="33"/>
      <c r="COL63" s="33"/>
      <c r="COP63" s="41"/>
      <c r="COV63" s="42"/>
      <c r="CPC63" s="33"/>
      <c r="CPD63" s="33"/>
      <c r="CPH63" s="41"/>
      <c r="CPN63" s="42"/>
      <c r="CPU63" s="33"/>
      <c r="CPV63" s="33"/>
      <c r="CPZ63" s="41"/>
      <c r="CQF63" s="42"/>
      <c r="CQM63" s="33"/>
      <c r="CQN63" s="33"/>
      <c r="CQR63" s="41"/>
      <c r="CQX63" s="42"/>
      <c r="CRE63" s="33"/>
      <c r="CRF63" s="33"/>
      <c r="CRJ63" s="41"/>
      <c r="CRP63" s="42"/>
      <c r="CRW63" s="33"/>
      <c r="CRX63" s="33"/>
      <c r="CSB63" s="41"/>
      <c r="CSH63" s="42"/>
      <c r="CSO63" s="33"/>
      <c r="CSP63" s="33"/>
      <c r="CST63" s="41"/>
      <c r="CSZ63" s="42"/>
      <c r="CTG63" s="33"/>
      <c r="CTH63" s="33"/>
      <c r="CTL63" s="41"/>
      <c r="CTR63" s="42"/>
      <c r="CTY63" s="33"/>
      <c r="CTZ63" s="33"/>
      <c r="CUD63" s="41"/>
      <c r="CUJ63" s="42"/>
      <c r="CUQ63" s="33"/>
      <c r="CUR63" s="33"/>
      <c r="CUV63" s="41"/>
      <c r="CVB63" s="42"/>
      <c r="CVI63" s="33"/>
      <c r="CVJ63" s="33"/>
      <c r="CVN63" s="41"/>
      <c r="CVT63" s="42"/>
      <c r="CWA63" s="33"/>
      <c r="CWB63" s="33"/>
      <c r="CWF63" s="41"/>
      <c r="CWL63" s="42"/>
      <c r="CWS63" s="33"/>
      <c r="CWT63" s="33"/>
      <c r="CWX63" s="41"/>
      <c r="CXD63" s="42"/>
      <c r="CXK63" s="33"/>
      <c r="CXL63" s="33"/>
      <c r="CXP63" s="41"/>
      <c r="CXV63" s="42"/>
      <c r="CYC63" s="33"/>
      <c r="CYD63" s="33"/>
      <c r="CYH63" s="41"/>
      <c r="CYN63" s="42"/>
      <c r="CYU63" s="33"/>
      <c r="CYV63" s="33"/>
      <c r="CYZ63" s="41"/>
      <c r="CZF63" s="42"/>
      <c r="CZM63" s="33"/>
      <c r="CZN63" s="33"/>
      <c r="CZR63" s="41"/>
      <c r="CZX63" s="42"/>
      <c r="DAE63" s="33"/>
      <c r="DAF63" s="33"/>
      <c r="DAJ63" s="41"/>
      <c r="DAP63" s="42"/>
      <c r="DAW63" s="33"/>
      <c r="DAX63" s="33"/>
      <c r="DBB63" s="41"/>
      <c r="DBH63" s="42"/>
      <c r="DBO63" s="33"/>
      <c r="DBP63" s="33"/>
      <c r="DBT63" s="41"/>
      <c r="DBZ63" s="42"/>
      <c r="DCG63" s="33"/>
      <c r="DCH63" s="33"/>
      <c r="DCL63" s="41"/>
      <c r="DCR63" s="42"/>
      <c r="DCY63" s="33"/>
      <c r="DCZ63" s="33"/>
      <c r="DDD63" s="41"/>
      <c r="DDJ63" s="42"/>
      <c r="DDQ63" s="33"/>
      <c r="DDR63" s="33"/>
      <c r="DDV63" s="41"/>
      <c r="DEB63" s="42"/>
      <c r="DEI63" s="33"/>
      <c r="DEJ63" s="33"/>
      <c r="DEN63" s="41"/>
      <c r="DET63" s="42"/>
      <c r="DFA63" s="33"/>
      <c r="DFB63" s="33"/>
      <c r="DFF63" s="41"/>
      <c r="DFL63" s="42"/>
      <c r="DFS63" s="33"/>
      <c r="DFT63" s="33"/>
      <c r="DFX63" s="41"/>
      <c r="DGD63" s="42"/>
      <c r="DGK63" s="33"/>
      <c r="DGL63" s="33"/>
      <c r="DGP63" s="41"/>
      <c r="DGV63" s="42"/>
      <c r="DHC63" s="33"/>
      <c r="DHD63" s="33"/>
      <c r="DHH63" s="41"/>
      <c r="DHN63" s="42"/>
      <c r="DHU63" s="33"/>
      <c r="DHV63" s="33"/>
      <c r="DHZ63" s="41"/>
      <c r="DIF63" s="42"/>
      <c r="DIM63" s="33"/>
      <c r="DIN63" s="33"/>
      <c r="DIR63" s="41"/>
      <c r="DIX63" s="42"/>
      <c r="DJE63" s="33"/>
      <c r="DJF63" s="33"/>
      <c r="DJJ63" s="41"/>
      <c r="DJP63" s="42"/>
      <c r="DJW63" s="33"/>
      <c r="DJX63" s="33"/>
      <c r="DKB63" s="41"/>
      <c r="DKH63" s="42"/>
      <c r="DKO63" s="33"/>
      <c r="DKP63" s="33"/>
      <c r="DKT63" s="41"/>
      <c r="DKZ63" s="42"/>
      <c r="DLG63" s="33"/>
      <c r="DLH63" s="33"/>
      <c r="DLL63" s="41"/>
      <c r="DLR63" s="42"/>
      <c r="DLY63" s="33"/>
      <c r="DLZ63" s="33"/>
      <c r="DMD63" s="41"/>
      <c r="DMJ63" s="42"/>
      <c r="DMQ63" s="33"/>
      <c r="DMR63" s="33"/>
      <c r="DMV63" s="41"/>
      <c r="DNB63" s="42"/>
      <c r="DNI63" s="33"/>
      <c r="DNJ63" s="33"/>
      <c r="DNN63" s="41"/>
      <c r="DNT63" s="42"/>
      <c r="DOA63" s="33"/>
      <c r="DOB63" s="33"/>
      <c r="DOF63" s="41"/>
      <c r="DOL63" s="42"/>
      <c r="DOS63" s="33"/>
      <c r="DOT63" s="33"/>
      <c r="DOX63" s="41"/>
      <c r="DPD63" s="42"/>
      <c r="DPK63" s="33"/>
      <c r="DPL63" s="33"/>
      <c r="DPP63" s="41"/>
      <c r="DPV63" s="42"/>
      <c r="DQC63" s="33"/>
      <c r="DQD63" s="33"/>
      <c r="DQH63" s="41"/>
      <c r="DQN63" s="42"/>
      <c r="DQU63" s="33"/>
      <c r="DQV63" s="33"/>
      <c r="DQZ63" s="41"/>
      <c r="DRF63" s="42"/>
      <c r="DRM63" s="33"/>
      <c r="DRN63" s="33"/>
      <c r="DRR63" s="41"/>
      <c r="DRX63" s="42"/>
      <c r="DSE63" s="33"/>
      <c r="DSF63" s="33"/>
      <c r="DSJ63" s="41"/>
      <c r="DSP63" s="42"/>
      <c r="DSW63" s="33"/>
      <c r="DSX63" s="33"/>
      <c r="DTB63" s="41"/>
      <c r="DTH63" s="42"/>
      <c r="DTO63" s="33"/>
      <c r="DTP63" s="33"/>
      <c r="DTT63" s="41"/>
      <c r="DTZ63" s="42"/>
      <c r="DUG63" s="33"/>
      <c r="DUH63" s="33"/>
      <c r="DUL63" s="41"/>
      <c r="DUR63" s="42"/>
      <c r="DUY63" s="33"/>
      <c r="DUZ63" s="33"/>
      <c r="DVD63" s="41"/>
      <c r="DVJ63" s="42"/>
      <c r="DVQ63" s="33"/>
      <c r="DVR63" s="33"/>
      <c r="DVV63" s="41"/>
      <c r="DWB63" s="42"/>
      <c r="DWI63" s="33"/>
      <c r="DWJ63" s="33"/>
      <c r="DWN63" s="41"/>
      <c r="DWT63" s="42"/>
      <c r="DXA63" s="33"/>
      <c r="DXB63" s="33"/>
      <c r="DXF63" s="41"/>
      <c r="DXL63" s="42"/>
      <c r="DXS63" s="33"/>
      <c r="DXT63" s="33"/>
      <c r="DXX63" s="41"/>
      <c r="DYD63" s="42"/>
      <c r="DYK63" s="33"/>
      <c r="DYL63" s="33"/>
      <c r="DYP63" s="41"/>
      <c r="DYV63" s="42"/>
      <c r="DZC63" s="33"/>
      <c r="DZD63" s="33"/>
      <c r="DZH63" s="41"/>
      <c r="DZN63" s="42"/>
      <c r="DZU63" s="33"/>
      <c r="DZV63" s="33"/>
      <c r="DZZ63" s="41"/>
      <c r="EAF63" s="42"/>
      <c r="EAM63" s="33"/>
      <c r="EAN63" s="33"/>
      <c r="EAR63" s="41"/>
      <c r="EAX63" s="42"/>
      <c r="EBE63" s="33"/>
      <c r="EBF63" s="33"/>
      <c r="EBJ63" s="41"/>
      <c r="EBP63" s="42"/>
      <c r="EBW63" s="33"/>
      <c r="EBX63" s="33"/>
      <c r="ECB63" s="41"/>
      <c r="ECH63" s="42"/>
      <c r="ECO63" s="33"/>
      <c r="ECP63" s="33"/>
      <c r="ECT63" s="41"/>
      <c r="ECZ63" s="42"/>
      <c r="EDG63" s="33"/>
      <c r="EDH63" s="33"/>
      <c r="EDL63" s="41"/>
      <c r="EDR63" s="42"/>
      <c r="EDY63" s="33"/>
      <c r="EDZ63" s="33"/>
      <c r="EED63" s="41"/>
      <c r="EEJ63" s="42"/>
      <c r="EEQ63" s="33"/>
      <c r="EER63" s="33"/>
      <c r="EEV63" s="41"/>
      <c r="EFB63" s="42"/>
      <c r="EFI63" s="33"/>
      <c r="EFJ63" s="33"/>
      <c r="EFN63" s="41"/>
      <c r="EFT63" s="42"/>
      <c r="EGA63" s="33"/>
      <c r="EGB63" s="33"/>
      <c r="EGF63" s="41"/>
      <c r="EGL63" s="42"/>
      <c r="EGS63" s="33"/>
      <c r="EGT63" s="33"/>
      <c r="EGX63" s="41"/>
      <c r="EHD63" s="42"/>
      <c r="EHK63" s="33"/>
      <c r="EHL63" s="33"/>
      <c r="EHP63" s="41"/>
      <c r="EHV63" s="42"/>
      <c r="EIC63" s="33"/>
      <c r="EID63" s="33"/>
      <c r="EIH63" s="41"/>
      <c r="EIN63" s="42"/>
      <c r="EIU63" s="33"/>
      <c r="EIV63" s="33"/>
      <c r="EIZ63" s="41"/>
      <c r="EJF63" s="42"/>
      <c r="EJM63" s="33"/>
      <c r="EJN63" s="33"/>
      <c r="EJR63" s="41"/>
      <c r="EJX63" s="42"/>
      <c r="EKE63" s="33"/>
      <c r="EKF63" s="33"/>
      <c r="EKJ63" s="41"/>
      <c r="EKP63" s="42"/>
      <c r="EKW63" s="33"/>
      <c r="EKX63" s="33"/>
      <c r="ELB63" s="41"/>
      <c r="ELH63" s="42"/>
      <c r="ELO63" s="33"/>
      <c r="ELP63" s="33"/>
      <c r="ELT63" s="41"/>
      <c r="ELZ63" s="42"/>
      <c r="EMG63" s="33"/>
      <c r="EMH63" s="33"/>
      <c r="EML63" s="41"/>
      <c r="EMR63" s="42"/>
      <c r="EMY63" s="33"/>
      <c r="EMZ63" s="33"/>
      <c r="END63" s="41"/>
      <c r="ENJ63" s="42"/>
      <c r="ENQ63" s="33"/>
      <c r="ENR63" s="33"/>
      <c r="ENV63" s="41"/>
      <c r="EOB63" s="42"/>
      <c r="EOI63" s="33"/>
      <c r="EOJ63" s="33"/>
      <c r="EON63" s="41"/>
      <c r="EOT63" s="42"/>
      <c r="EPA63" s="33"/>
      <c r="EPB63" s="33"/>
      <c r="EPF63" s="41"/>
      <c r="EPL63" s="42"/>
      <c r="EPS63" s="33"/>
      <c r="EPT63" s="33"/>
      <c r="EPX63" s="41"/>
      <c r="EQD63" s="42"/>
      <c r="EQK63" s="33"/>
      <c r="EQL63" s="33"/>
      <c r="EQP63" s="41"/>
      <c r="EQV63" s="42"/>
      <c r="ERC63" s="33"/>
      <c r="ERD63" s="33"/>
      <c r="ERH63" s="41"/>
      <c r="ERN63" s="42"/>
      <c r="ERU63" s="33"/>
      <c r="ERV63" s="33"/>
      <c r="ERZ63" s="41"/>
      <c r="ESF63" s="42"/>
      <c r="ESM63" s="33"/>
      <c r="ESN63" s="33"/>
      <c r="ESR63" s="41"/>
      <c r="ESX63" s="42"/>
      <c r="ETE63" s="33"/>
      <c r="ETF63" s="33"/>
      <c r="ETJ63" s="41"/>
      <c r="ETP63" s="42"/>
      <c r="ETW63" s="33"/>
      <c r="ETX63" s="33"/>
      <c r="EUB63" s="41"/>
      <c r="EUH63" s="42"/>
      <c r="EUO63" s="33"/>
      <c r="EUP63" s="33"/>
      <c r="EUT63" s="41"/>
      <c r="EUZ63" s="42"/>
      <c r="EVG63" s="33"/>
      <c r="EVH63" s="33"/>
      <c r="EVL63" s="41"/>
      <c r="EVR63" s="42"/>
      <c r="EVY63" s="33"/>
      <c r="EVZ63" s="33"/>
      <c r="EWD63" s="41"/>
      <c r="EWJ63" s="42"/>
      <c r="EWQ63" s="33"/>
      <c r="EWR63" s="33"/>
      <c r="EWV63" s="41"/>
      <c r="EXB63" s="42"/>
      <c r="EXI63" s="33"/>
      <c r="EXJ63" s="33"/>
      <c r="EXN63" s="41"/>
      <c r="EXT63" s="42"/>
      <c r="EYA63" s="33"/>
      <c r="EYB63" s="33"/>
      <c r="EYF63" s="41"/>
      <c r="EYL63" s="42"/>
      <c r="EYS63" s="33"/>
      <c r="EYT63" s="33"/>
      <c r="EYX63" s="41"/>
      <c r="EZD63" s="42"/>
      <c r="EZK63" s="33"/>
      <c r="EZL63" s="33"/>
      <c r="EZP63" s="41"/>
      <c r="EZV63" s="42"/>
      <c r="FAC63" s="33"/>
      <c r="FAD63" s="33"/>
      <c r="FAH63" s="41"/>
      <c r="FAN63" s="42"/>
      <c r="FAU63" s="33"/>
      <c r="FAV63" s="33"/>
      <c r="FAZ63" s="41"/>
      <c r="FBF63" s="42"/>
      <c r="FBM63" s="33"/>
      <c r="FBN63" s="33"/>
      <c r="FBR63" s="41"/>
      <c r="FBX63" s="42"/>
      <c r="FCE63" s="33"/>
      <c r="FCF63" s="33"/>
      <c r="FCJ63" s="41"/>
      <c r="FCP63" s="42"/>
      <c r="FCW63" s="33"/>
      <c r="FCX63" s="33"/>
      <c r="FDB63" s="41"/>
      <c r="FDH63" s="42"/>
      <c r="FDO63" s="33"/>
      <c r="FDP63" s="33"/>
      <c r="FDT63" s="41"/>
      <c r="FDZ63" s="42"/>
      <c r="FEG63" s="33"/>
      <c r="FEH63" s="33"/>
      <c r="FEL63" s="41"/>
      <c r="FER63" s="42"/>
      <c r="FEY63" s="33"/>
      <c r="FEZ63" s="33"/>
      <c r="FFD63" s="41"/>
      <c r="FFJ63" s="42"/>
      <c r="FFQ63" s="33"/>
      <c r="FFR63" s="33"/>
      <c r="FFV63" s="41"/>
      <c r="FGB63" s="42"/>
      <c r="FGI63" s="33"/>
      <c r="FGJ63" s="33"/>
      <c r="FGN63" s="41"/>
      <c r="FGT63" s="42"/>
      <c r="FHA63" s="33"/>
      <c r="FHB63" s="33"/>
      <c r="FHF63" s="41"/>
      <c r="FHL63" s="42"/>
      <c r="FHS63" s="33"/>
      <c r="FHT63" s="33"/>
      <c r="FHX63" s="41"/>
      <c r="FID63" s="42"/>
      <c r="FIK63" s="33"/>
      <c r="FIL63" s="33"/>
      <c r="FIP63" s="41"/>
      <c r="FIV63" s="42"/>
      <c r="FJC63" s="33"/>
      <c r="FJD63" s="33"/>
      <c r="FJH63" s="41"/>
      <c r="FJN63" s="42"/>
      <c r="FJU63" s="33"/>
      <c r="FJV63" s="33"/>
      <c r="FJZ63" s="41"/>
      <c r="FKF63" s="42"/>
      <c r="FKM63" s="33"/>
      <c r="FKN63" s="33"/>
      <c r="FKR63" s="41"/>
      <c r="FKX63" s="42"/>
      <c r="FLE63" s="33"/>
      <c r="FLF63" s="33"/>
      <c r="FLJ63" s="41"/>
      <c r="FLP63" s="42"/>
      <c r="FLW63" s="33"/>
      <c r="FLX63" s="33"/>
      <c r="FMB63" s="41"/>
      <c r="FMH63" s="42"/>
      <c r="FMO63" s="33"/>
      <c r="FMP63" s="33"/>
      <c r="FMT63" s="41"/>
      <c r="FMZ63" s="42"/>
      <c r="FNG63" s="33"/>
      <c r="FNH63" s="33"/>
      <c r="FNL63" s="41"/>
      <c r="FNR63" s="42"/>
      <c r="FNY63" s="33"/>
      <c r="FNZ63" s="33"/>
      <c r="FOD63" s="41"/>
      <c r="FOJ63" s="42"/>
      <c r="FOQ63" s="33"/>
      <c r="FOR63" s="33"/>
      <c r="FOV63" s="41"/>
      <c r="FPB63" s="42"/>
      <c r="FPI63" s="33"/>
      <c r="FPJ63" s="33"/>
      <c r="FPN63" s="41"/>
      <c r="FPT63" s="42"/>
      <c r="FQA63" s="33"/>
      <c r="FQB63" s="33"/>
      <c r="FQF63" s="41"/>
      <c r="FQL63" s="42"/>
      <c r="FQS63" s="33"/>
      <c r="FQT63" s="33"/>
      <c r="FQX63" s="41"/>
      <c r="FRD63" s="42"/>
      <c r="FRK63" s="33"/>
      <c r="FRL63" s="33"/>
      <c r="FRP63" s="41"/>
      <c r="FRV63" s="42"/>
      <c r="FSC63" s="33"/>
      <c r="FSD63" s="33"/>
      <c r="FSH63" s="41"/>
      <c r="FSN63" s="42"/>
      <c r="FSU63" s="33"/>
      <c r="FSV63" s="33"/>
      <c r="FSZ63" s="41"/>
      <c r="FTF63" s="42"/>
      <c r="FTM63" s="33"/>
      <c r="FTN63" s="33"/>
      <c r="FTR63" s="41"/>
      <c r="FTX63" s="42"/>
      <c r="FUE63" s="33"/>
      <c r="FUF63" s="33"/>
      <c r="FUJ63" s="41"/>
      <c r="FUP63" s="42"/>
      <c r="FUW63" s="33"/>
      <c r="FUX63" s="33"/>
      <c r="FVB63" s="41"/>
      <c r="FVH63" s="42"/>
      <c r="FVO63" s="33"/>
      <c r="FVP63" s="33"/>
      <c r="FVT63" s="41"/>
      <c r="FVZ63" s="42"/>
      <c r="FWG63" s="33"/>
      <c r="FWH63" s="33"/>
      <c r="FWL63" s="41"/>
      <c r="FWR63" s="42"/>
      <c r="FWY63" s="33"/>
      <c r="FWZ63" s="33"/>
      <c r="FXD63" s="41"/>
      <c r="FXJ63" s="42"/>
      <c r="FXQ63" s="33"/>
      <c r="FXR63" s="33"/>
      <c r="FXV63" s="41"/>
      <c r="FYB63" s="42"/>
      <c r="FYI63" s="33"/>
      <c r="FYJ63" s="33"/>
      <c r="FYN63" s="41"/>
      <c r="FYT63" s="42"/>
      <c r="FZA63" s="33"/>
      <c r="FZB63" s="33"/>
      <c r="FZF63" s="41"/>
      <c r="FZL63" s="42"/>
      <c r="FZS63" s="33"/>
      <c r="FZT63" s="33"/>
      <c r="FZX63" s="41"/>
      <c r="GAD63" s="42"/>
      <c r="GAK63" s="33"/>
      <c r="GAL63" s="33"/>
      <c r="GAP63" s="41"/>
      <c r="GAV63" s="42"/>
      <c r="GBC63" s="33"/>
      <c r="GBD63" s="33"/>
      <c r="GBH63" s="41"/>
      <c r="GBN63" s="42"/>
      <c r="GBU63" s="33"/>
      <c r="GBV63" s="33"/>
      <c r="GBZ63" s="41"/>
      <c r="GCF63" s="42"/>
      <c r="GCM63" s="33"/>
      <c r="GCN63" s="33"/>
      <c r="GCR63" s="41"/>
      <c r="GCX63" s="42"/>
      <c r="GDE63" s="33"/>
      <c r="GDF63" s="33"/>
      <c r="GDJ63" s="41"/>
      <c r="GDP63" s="42"/>
      <c r="GDW63" s="33"/>
      <c r="GDX63" s="33"/>
      <c r="GEB63" s="41"/>
      <c r="GEH63" s="42"/>
      <c r="GEO63" s="33"/>
      <c r="GEP63" s="33"/>
      <c r="GET63" s="41"/>
      <c r="GEZ63" s="42"/>
      <c r="GFG63" s="33"/>
      <c r="GFH63" s="33"/>
      <c r="GFL63" s="41"/>
      <c r="GFR63" s="42"/>
      <c r="GFY63" s="33"/>
      <c r="GFZ63" s="33"/>
      <c r="GGD63" s="41"/>
      <c r="GGJ63" s="42"/>
      <c r="GGQ63" s="33"/>
      <c r="GGR63" s="33"/>
      <c r="GGV63" s="41"/>
      <c r="GHB63" s="42"/>
      <c r="GHI63" s="33"/>
      <c r="GHJ63" s="33"/>
      <c r="GHN63" s="41"/>
      <c r="GHT63" s="42"/>
      <c r="GIA63" s="33"/>
      <c r="GIB63" s="33"/>
      <c r="GIF63" s="41"/>
      <c r="GIL63" s="42"/>
      <c r="GIS63" s="33"/>
      <c r="GIT63" s="33"/>
      <c r="GIX63" s="41"/>
      <c r="GJD63" s="42"/>
      <c r="GJK63" s="33"/>
      <c r="GJL63" s="33"/>
      <c r="GJP63" s="41"/>
      <c r="GJV63" s="42"/>
      <c r="GKC63" s="33"/>
      <c r="GKD63" s="33"/>
      <c r="GKH63" s="41"/>
      <c r="GKN63" s="42"/>
      <c r="GKU63" s="33"/>
      <c r="GKV63" s="33"/>
      <c r="GKZ63" s="41"/>
      <c r="GLF63" s="42"/>
      <c r="GLM63" s="33"/>
      <c r="GLN63" s="33"/>
      <c r="GLR63" s="41"/>
      <c r="GLX63" s="42"/>
      <c r="GME63" s="33"/>
      <c r="GMF63" s="33"/>
      <c r="GMJ63" s="41"/>
      <c r="GMP63" s="42"/>
      <c r="GMW63" s="33"/>
      <c r="GMX63" s="33"/>
      <c r="GNB63" s="41"/>
      <c r="GNH63" s="42"/>
      <c r="GNO63" s="33"/>
      <c r="GNP63" s="33"/>
      <c r="GNT63" s="41"/>
      <c r="GNZ63" s="42"/>
      <c r="GOG63" s="33"/>
      <c r="GOH63" s="33"/>
      <c r="GOL63" s="41"/>
      <c r="GOR63" s="42"/>
      <c r="GOY63" s="33"/>
      <c r="GOZ63" s="33"/>
      <c r="GPD63" s="41"/>
      <c r="GPJ63" s="42"/>
      <c r="GPQ63" s="33"/>
      <c r="GPR63" s="33"/>
      <c r="GPV63" s="41"/>
      <c r="GQB63" s="42"/>
      <c r="GQI63" s="33"/>
      <c r="GQJ63" s="33"/>
      <c r="GQN63" s="41"/>
      <c r="GQT63" s="42"/>
      <c r="GRA63" s="33"/>
      <c r="GRB63" s="33"/>
      <c r="GRF63" s="41"/>
      <c r="GRL63" s="42"/>
      <c r="GRS63" s="33"/>
      <c r="GRT63" s="33"/>
      <c r="GRX63" s="41"/>
      <c r="GSD63" s="42"/>
      <c r="GSK63" s="33"/>
      <c r="GSL63" s="33"/>
      <c r="GSP63" s="41"/>
      <c r="GSV63" s="42"/>
      <c r="GTC63" s="33"/>
      <c r="GTD63" s="33"/>
      <c r="GTH63" s="41"/>
      <c r="GTN63" s="42"/>
      <c r="GTU63" s="33"/>
      <c r="GTV63" s="33"/>
      <c r="GTZ63" s="41"/>
      <c r="GUF63" s="42"/>
      <c r="GUM63" s="33"/>
      <c r="GUN63" s="33"/>
      <c r="GUR63" s="41"/>
      <c r="GUX63" s="42"/>
      <c r="GVE63" s="33"/>
      <c r="GVF63" s="33"/>
      <c r="GVJ63" s="41"/>
      <c r="GVP63" s="42"/>
      <c r="GVW63" s="33"/>
      <c r="GVX63" s="33"/>
      <c r="GWB63" s="41"/>
      <c r="GWH63" s="42"/>
      <c r="GWO63" s="33"/>
      <c r="GWP63" s="33"/>
      <c r="GWT63" s="41"/>
      <c r="GWZ63" s="42"/>
      <c r="GXG63" s="33"/>
      <c r="GXH63" s="33"/>
      <c r="GXL63" s="41"/>
      <c r="GXR63" s="42"/>
      <c r="GXY63" s="33"/>
      <c r="GXZ63" s="33"/>
      <c r="GYD63" s="41"/>
      <c r="GYJ63" s="42"/>
      <c r="GYQ63" s="33"/>
      <c r="GYR63" s="33"/>
      <c r="GYV63" s="41"/>
      <c r="GZB63" s="42"/>
      <c r="GZI63" s="33"/>
      <c r="GZJ63" s="33"/>
      <c r="GZN63" s="41"/>
      <c r="GZT63" s="42"/>
      <c r="HAA63" s="33"/>
      <c r="HAB63" s="33"/>
      <c r="HAF63" s="41"/>
      <c r="HAL63" s="42"/>
      <c r="HAS63" s="33"/>
      <c r="HAT63" s="33"/>
      <c r="HAX63" s="41"/>
      <c r="HBD63" s="42"/>
      <c r="HBK63" s="33"/>
      <c r="HBL63" s="33"/>
      <c r="HBP63" s="41"/>
      <c r="HBV63" s="42"/>
      <c r="HCC63" s="33"/>
      <c r="HCD63" s="33"/>
      <c r="HCH63" s="41"/>
      <c r="HCN63" s="42"/>
      <c r="HCU63" s="33"/>
      <c r="HCV63" s="33"/>
      <c r="HCZ63" s="41"/>
      <c r="HDF63" s="42"/>
      <c r="HDM63" s="33"/>
      <c r="HDN63" s="33"/>
      <c r="HDR63" s="41"/>
      <c r="HDX63" s="42"/>
      <c r="HEE63" s="33"/>
      <c r="HEF63" s="33"/>
      <c r="HEJ63" s="41"/>
      <c r="HEP63" s="42"/>
      <c r="HEW63" s="33"/>
      <c r="HEX63" s="33"/>
      <c r="HFB63" s="41"/>
      <c r="HFH63" s="42"/>
      <c r="HFO63" s="33"/>
      <c r="HFP63" s="33"/>
      <c r="HFT63" s="41"/>
      <c r="HFZ63" s="42"/>
      <c r="HGG63" s="33"/>
      <c r="HGH63" s="33"/>
      <c r="HGL63" s="41"/>
      <c r="HGR63" s="42"/>
      <c r="HGY63" s="33"/>
      <c r="HGZ63" s="33"/>
      <c r="HHD63" s="41"/>
      <c r="HHJ63" s="42"/>
      <c r="HHQ63" s="33"/>
      <c r="HHR63" s="33"/>
      <c r="HHV63" s="41"/>
      <c r="HIB63" s="42"/>
      <c r="HII63" s="33"/>
      <c r="HIJ63" s="33"/>
      <c r="HIN63" s="41"/>
      <c r="HIT63" s="42"/>
      <c r="HJA63" s="33"/>
      <c r="HJB63" s="33"/>
      <c r="HJF63" s="41"/>
      <c r="HJL63" s="42"/>
      <c r="HJS63" s="33"/>
      <c r="HJT63" s="33"/>
      <c r="HJX63" s="41"/>
      <c r="HKD63" s="42"/>
      <c r="HKK63" s="33"/>
      <c r="HKL63" s="33"/>
      <c r="HKP63" s="41"/>
      <c r="HKV63" s="42"/>
      <c r="HLC63" s="33"/>
      <c r="HLD63" s="33"/>
      <c r="HLH63" s="41"/>
      <c r="HLN63" s="42"/>
      <c r="HLU63" s="33"/>
      <c r="HLV63" s="33"/>
      <c r="HLZ63" s="41"/>
      <c r="HMF63" s="42"/>
      <c r="HMM63" s="33"/>
      <c r="HMN63" s="33"/>
      <c r="HMR63" s="41"/>
      <c r="HMX63" s="42"/>
      <c r="HNE63" s="33"/>
      <c r="HNF63" s="33"/>
      <c r="HNJ63" s="41"/>
      <c r="HNP63" s="42"/>
      <c r="HNW63" s="33"/>
      <c r="HNX63" s="33"/>
      <c r="HOB63" s="41"/>
      <c r="HOH63" s="42"/>
      <c r="HOO63" s="33"/>
      <c r="HOP63" s="33"/>
      <c r="HOT63" s="41"/>
      <c r="HOZ63" s="42"/>
      <c r="HPG63" s="33"/>
      <c r="HPH63" s="33"/>
      <c r="HPL63" s="41"/>
      <c r="HPR63" s="42"/>
      <c r="HPY63" s="33"/>
      <c r="HPZ63" s="33"/>
      <c r="HQD63" s="41"/>
      <c r="HQJ63" s="42"/>
      <c r="HQQ63" s="33"/>
      <c r="HQR63" s="33"/>
      <c r="HQV63" s="41"/>
      <c r="HRB63" s="42"/>
      <c r="HRI63" s="33"/>
      <c r="HRJ63" s="33"/>
      <c r="HRN63" s="41"/>
      <c r="HRT63" s="42"/>
      <c r="HSA63" s="33"/>
      <c r="HSB63" s="33"/>
      <c r="HSF63" s="41"/>
      <c r="HSL63" s="42"/>
      <c r="HSS63" s="33"/>
      <c r="HST63" s="33"/>
      <c r="HSX63" s="41"/>
      <c r="HTD63" s="42"/>
      <c r="HTK63" s="33"/>
      <c r="HTL63" s="33"/>
      <c r="HTP63" s="41"/>
      <c r="HTV63" s="42"/>
      <c r="HUC63" s="33"/>
      <c r="HUD63" s="33"/>
      <c r="HUH63" s="41"/>
      <c r="HUN63" s="42"/>
      <c r="HUU63" s="33"/>
      <c r="HUV63" s="33"/>
      <c r="HUZ63" s="41"/>
      <c r="HVF63" s="42"/>
      <c r="HVM63" s="33"/>
      <c r="HVN63" s="33"/>
      <c r="HVR63" s="41"/>
      <c r="HVX63" s="42"/>
      <c r="HWE63" s="33"/>
      <c r="HWF63" s="33"/>
      <c r="HWJ63" s="41"/>
      <c r="HWP63" s="42"/>
      <c r="HWW63" s="33"/>
      <c r="HWX63" s="33"/>
      <c r="HXB63" s="41"/>
      <c r="HXH63" s="42"/>
      <c r="HXO63" s="33"/>
      <c r="HXP63" s="33"/>
      <c r="HXT63" s="41"/>
      <c r="HXZ63" s="42"/>
      <c r="HYG63" s="33"/>
      <c r="HYH63" s="33"/>
      <c r="HYL63" s="41"/>
      <c r="HYR63" s="42"/>
      <c r="HYY63" s="33"/>
      <c r="HYZ63" s="33"/>
      <c r="HZD63" s="41"/>
      <c r="HZJ63" s="42"/>
      <c r="HZQ63" s="33"/>
      <c r="HZR63" s="33"/>
      <c r="HZV63" s="41"/>
      <c r="IAB63" s="42"/>
      <c r="IAI63" s="33"/>
      <c r="IAJ63" s="33"/>
      <c r="IAN63" s="41"/>
      <c r="IAT63" s="42"/>
      <c r="IBA63" s="33"/>
      <c r="IBB63" s="33"/>
      <c r="IBF63" s="41"/>
      <c r="IBL63" s="42"/>
      <c r="IBS63" s="33"/>
      <c r="IBT63" s="33"/>
      <c r="IBX63" s="41"/>
      <c r="ICD63" s="42"/>
      <c r="ICK63" s="33"/>
      <c r="ICL63" s="33"/>
      <c r="ICP63" s="41"/>
      <c r="ICV63" s="42"/>
      <c r="IDC63" s="33"/>
      <c r="IDD63" s="33"/>
      <c r="IDH63" s="41"/>
      <c r="IDN63" s="42"/>
      <c r="IDU63" s="33"/>
      <c r="IDV63" s="33"/>
      <c r="IDZ63" s="41"/>
      <c r="IEF63" s="42"/>
      <c r="IEM63" s="33"/>
      <c r="IEN63" s="33"/>
      <c r="IER63" s="41"/>
      <c r="IEX63" s="42"/>
      <c r="IFE63" s="33"/>
      <c r="IFF63" s="33"/>
      <c r="IFJ63" s="41"/>
      <c r="IFP63" s="42"/>
      <c r="IFW63" s="33"/>
      <c r="IFX63" s="33"/>
      <c r="IGB63" s="41"/>
      <c r="IGH63" s="42"/>
      <c r="IGO63" s="33"/>
      <c r="IGP63" s="33"/>
      <c r="IGT63" s="41"/>
      <c r="IGZ63" s="42"/>
      <c r="IHG63" s="33"/>
      <c r="IHH63" s="33"/>
      <c r="IHL63" s="41"/>
      <c r="IHR63" s="42"/>
      <c r="IHY63" s="33"/>
      <c r="IHZ63" s="33"/>
      <c r="IID63" s="41"/>
      <c r="IIJ63" s="42"/>
      <c r="IIQ63" s="33"/>
      <c r="IIR63" s="33"/>
      <c r="IIV63" s="41"/>
      <c r="IJB63" s="42"/>
      <c r="IJI63" s="33"/>
      <c r="IJJ63" s="33"/>
      <c r="IJN63" s="41"/>
      <c r="IJT63" s="42"/>
      <c r="IKA63" s="33"/>
      <c r="IKB63" s="33"/>
      <c r="IKF63" s="41"/>
      <c r="IKL63" s="42"/>
      <c r="IKS63" s="33"/>
      <c r="IKT63" s="33"/>
      <c r="IKX63" s="41"/>
      <c r="ILD63" s="42"/>
      <c r="ILK63" s="33"/>
      <c r="ILL63" s="33"/>
      <c r="ILP63" s="41"/>
      <c r="ILV63" s="42"/>
      <c r="IMC63" s="33"/>
      <c r="IMD63" s="33"/>
      <c r="IMH63" s="41"/>
      <c r="IMN63" s="42"/>
      <c r="IMU63" s="33"/>
      <c r="IMV63" s="33"/>
      <c r="IMZ63" s="41"/>
      <c r="INF63" s="42"/>
      <c r="INM63" s="33"/>
      <c r="INN63" s="33"/>
      <c r="INR63" s="41"/>
      <c r="INX63" s="42"/>
      <c r="IOE63" s="33"/>
      <c r="IOF63" s="33"/>
      <c r="IOJ63" s="41"/>
      <c r="IOP63" s="42"/>
      <c r="IOW63" s="33"/>
      <c r="IOX63" s="33"/>
      <c r="IPB63" s="41"/>
      <c r="IPH63" s="42"/>
      <c r="IPO63" s="33"/>
      <c r="IPP63" s="33"/>
      <c r="IPT63" s="41"/>
      <c r="IPZ63" s="42"/>
      <c r="IQG63" s="33"/>
      <c r="IQH63" s="33"/>
      <c r="IQL63" s="41"/>
      <c r="IQR63" s="42"/>
      <c r="IQY63" s="33"/>
      <c r="IQZ63" s="33"/>
      <c r="IRD63" s="41"/>
      <c r="IRJ63" s="42"/>
      <c r="IRQ63" s="33"/>
      <c r="IRR63" s="33"/>
      <c r="IRV63" s="41"/>
      <c r="ISB63" s="42"/>
      <c r="ISI63" s="33"/>
      <c r="ISJ63" s="33"/>
      <c r="ISN63" s="41"/>
      <c r="IST63" s="42"/>
      <c r="ITA63" s="33"/>
      <c r="ITB63" s="33"/>
      <c r="ITF63" s="41"/>
      <c r="ITL63" s="42"/>
      <c r="ITS63" s="33"/>
      <c r="ITT63" s="33"/>
      <c r="ITX63" s="41"/>
      <c r="IUD63" s="42"/>
      <c r="IUK63" s="33"/>
      <c r="IUL63" s="33"/>
      <c r="IUP63" s="41"/>
      <c r="IUV63" s="42"/>
      <c r="IVC63" s="33"/>
      <c r="IVD63" s="33"/>
      <c r="IVH63" s="41"/>
      <c r="IVN63" s="42"/>
      <c r="IVU63" s="33"/>
      <c r="IVV63" s="33"/>
      <c r="IVZ63" s="41"/>
      <c r="IWF63" s="42"/>
      <c r="IWM63" s="33"/>
      <c r="IWN63" s="33"/>
      <c r="IWR63" s="41"/>
      <c r="IWX63" s="42"/>
      <c r="IXE63" s="33"/>
      <c r="IXF63" s="33"/>
      <c r="IXJ63" s="41"/>
      <c r="IXP63" s="42"/>
      <c r="IXW63" s="33"/>
      <c r="IXX63" s="33"/>
      <c r="IYB63" s="41"/>
      <c r="IYH63" s="42"/>
      <c r="IYO63" s="33"/>
      <c r="IYP63" s="33"/>
      <c r="IYT63" s="41"/>
      <c r="IYZ63" s="42"/>
      <c r="IZG63" s="33"/>
      <c r="IZH63" s="33"/>
      <c r="IZL63" s="41"/>
      <c r="IZR63" s="42"/>
      <c r="IZY63" s="33"/>
      <c r="IZZ63" s="33"/>
      <c r="JAD63" s="41"/>
      <c r="JAJ63" s="42"/>
      <c r="JAQ63" s="33"/>
      <c r="JAR63" s="33"/>
      <c r="JAV63" s="41"/>
      <c r="JBB63" s="42"/>
      <c r="JBI63" s="33"/>
      <c r="JBJ63" s="33"/>
      <c r="JBN63" s="41"/>
      <c r="JBT63" s="42"/>
      <c r="JCA63" s="33"/>
      <c r="JCB63" s="33"/>
      <c r="JCF63" s="41"/>
      <c r="JCL63" s="42"/>
      <c r="JCS63" s="33"/>
      <c r="JCT63" s="33"/>
      <c r="JCX63" s="41"/>
      <c r="JDD63" s="42"/>
      <c r="JDK63" s="33"/>
      <c r="JDL63" s="33"/>
      <c r="JDP63" s="41"/>
      <c r="JDV63" s="42"/>
      <c r="JEC63" s="33"/>
      <c r="JED63" s="33"/>
      <c r="JEH63" s="41"/>
      <c r="JEN63" s="42"/>
      <c r="JEU63" s="33"/>
      <c r="JEV63" s="33"/>
      <c r="JEZ63" s="41"/>
      <c r="JFF63" s="42"/>
      <c r="JFM63" s="33"/>
      <c r="JFN63" s="33"/>
      <c r="JFR63" s="41"/>
      <c r="JFX63" s="42"/>
      <c r="JGE63" s="33"/>
      <c r="JGF63" s="33"/>
      <c r="JGJ63" s="41"/>
      <c r="JGP63" s="42"/>
      <c r="JGW63" s="33"/>
      <c r="JGX63" s="33"/>
      <c r="JHB63" s="41"/>
      <c r="JHH63" s="42"/>
      <c r="JHO63" s="33"/>
      <c r="JHP63" s="33"/>
      <c r="JHT63" s="41"/>
      <c r="JHZ63" s="42"/>
      <c r="JIG63" s="33"/>
      <c r="JIH63" s="33"/>
      <c r="JIL63" s="41"/>
      <c r="JIR63" s="42"/>
      <c r="JIY63" s="33"/>
      <c r="JIZ63" s="33"/>
      <c r="JJD63" s="41"/>
      <c r="JJJ63" s="42"/>
      <c r="JJQ63" s="33"/>
      <c r="JJR63" s="33"/>
      <c r="JJV63" s="41"/>
      <c r="JKB63" s="42"/>
      <c r="JKI63" s="33"/>
      <c r="JKJ63" s="33"/>
      <c r="JKN63" s="41"/>
      <c r="JKT63" s="42"/>
      <c r="JLA63" s="33"/>
      <c r="JLB63" s="33"/>
      <c r="JLF63" s="41"/>
      <c r="JLL63" s="42"/>
      <c r="JLS63" s="33"/>
      <c r="JLT63" s="33"/>
      <c r="JLX63" s="41"/>
      <c r="JMD63" s="42"/>
      <c r="JMK63" s="33"/>
      <c r="JML63" s="33"/>
      <c r="JMP63" s="41"/>
      <c r="JMV63" s="42"/>
      <c r="JNC63" s="33"/>
      <c r="JND63" s="33"/>
      <c r="JNH63" s="41"/>
      <c r="JNN63" s="42"/>
      <c r="JNU63" s="33"/>
      <c r="JNV63" s="33"/>
      <c r="JNZ63" s="41"/>
      <c r="JOF63" s="42"/>
      <c r="JOM63" s="33"/>
      <c r="JON63" s="33"/>
      <c r="JOR63" s="41"/>
      <c r="JOX63" s="42"/>
      <c r="JPE63" s="33"/>
      <c r="JPF63" s="33"/>
      <c r="JPJ63" s="41"/>
      <c r="JPP63" s="42"/>
      <c r="JPW63" s="33"/>
      <c r="JPX63" s="33"/>
      <c r="JQB63" s="41"/>
      <c r="JQH63" s="42"/>
      <c r="JQO63" s="33"/>
      <c r="JQP63" s="33"/>
      <c r="JQT63" s="41"/>
      <c r="JQZ63" s="42"/>
      <c r="JRG63" s="33"/>
      <c r="JRH63" s="33"/>
      <c r="JRL63" s="41"/>
      <c r="JRR63" s="42"/>
      <c r="JRY63" s="33"/>
      <c r="JRZ63" s="33"/>
      <c r="JSD63" s="41"/>
      <c r="JSJ63" s="42"/>
      <c r="JSQ63" s="33"/>
      <c r="JSR63" s="33"/>
      <c r="JSV63" s="41"/>
      <c r="JTB63" s="42"/>
      <c r="JTI63" s="33"/>
      <c r="JTJ63" s="33"/>
      <c r="JTN63" s="41"/>
      <c r="JTT63" s="42"/>
      <c r="JUA63" s="33"/>
      <c r="JUB63" s="33"/>
      <c r="JUF63" s="41"/>
      <c r="JUL63" s="42"/>
      <c r="JUS63" s="33"/>
      <c r="JUT63" s="33"/>
      <c r="JUX63" s="41"/>
      <c r="JVD63" s="42"/>
      <c r="JVK63" s="33"/>
      <c r="JVL63" s="33"/>
      <c r="JVP63" s="41"/>
      <c r="JVV63" s="42"/>
      <c r="JWC63" s="33"/>
      <c r="JWD63" s="33"/>
      <c r="JWH63" s="41"/>
      <c r="JWN63" s="42"/>
      <c r="JWU63" s="33"/>
      <c r="JWV63" s="33"/>
      <c r="JWZ63" s="41"/>
      <c r="JXF63" s="42"/>
      <c r="JXM63" s="33"/>
      <c r="JXN63" s="33"/>
      <c r="JXR63" s="41"/>
      <c r="JXX63" s="42"/>
      <c r="JYE63" s="33"/>
      <c r="JYF63" s="33"/>
      <c r="JYJ63" s="41"/>
      <c r="JYP63" s="42"/>
      <c r="JYW63" s="33"/>
      <c r="JYX63" s="33"/>
      <c r="JZB63" s="41"/>
      <c r="JZH63" s="42"/>
      <c r="JZO63" s="33"/>
      <c r="JZP63" s="33"/>
      <c r="JZT63" s="41"/>
      <c r="JZZ63" s="42"/>
      <c r="KAG63" s="33"/>
      <c r="KAH63" s="33"/>
      <c r="KAL63" s="41"/>
      <c r="KAR63" s="42"/>
      <c r="KAY63" s="33"/>
      <c r="KAZ63" s="33"/>
      <c r="KBD63" s="41"/>
      <c r="KBJ63" s="42"/>
      <c r="KBQ63" s="33"/>
      <c r="KBR63" s="33"/>
      <c r="KBV63" s="41"/>
      <c r="KCB63" s="42"/>
      <c r="KCI63" s="33"/>
      <c r="KCJ63" s="33"/>
      <c r="KCN63" s="41"/>
      <c r="KCT63" s="42"/>
      <c r="KDA63" s="33"/>
      <c r="KDB63" s="33"/>
      <c r="KDF63" s="41"/>
      <c r="KDL63" s="42"/>
      <c r="KDS63" s="33"/>
      <c r="KDT63" s="33"/>
      <c r="KDX63" s="41"/>
      <c r="KED63" s="42"/>
      <c r="KEK63" s="33"/>
      <c r="KEL63" s="33"/>
      <c r="KEP63" s="41"/>
      <c r="KEV63" s="42"/>
      <c r="KFC63" s="33"/>
      <c r="KFD63" s="33"/>
      <c r="KFH63" s="41"/>
      <c r="KFN63" s="42"/>
      <c r="KFU63" s="33"/>
      <c r="KFV63" s="33"/>
      <c r="KFZ63" s="41"/>
      <c r="KGF63" s="42"/>
      <c r="KGM63" s="33"/>
      <c r="KGN63" s="33"/>
      <c r="KGR63" s="41"/>
      <c r="KGX63" s="42"/>
      <c r="KHE63" s="33"/>
      <c r="KHF63" s="33"/>
      <c r="KHJ63" s="41"/>
      <c r="KHP63" s="42"/>
      <c r="KHW63" s="33"/>
      <c r="KHX63" s="33"/>
      <c r="KIB63" s="41"/>
      <c r="KIH63" s="42"/>
      <c r="KIO63" s="33"/>
      <c r="KIP63" s="33"/>
      <c r="KIT63" s="41"/>
      <c r="KIZ63" s="42"/>
      <c r="KJG63" s="33"/>
      <c r="KJH63" s="33"/>
      <c r="KJL63" s="41"/>
      <c r="KJR63" s="42"/>
      <c r="KJY63" s="33"/>
      <c r="KJZ63" s="33"/>
      <c r="KKD63" s="41"/>
      <c r="KKJ63" s="42"/>
      <c r="KKQ63" s="33"/>
      <c r="KKR63" s="33"/>
      <c r="KKV63" s="41"/>
      <c r="KLB63" s="42"/>
      <c r="KLI63" s="33"/>
      <c r="KLJ63" s="33"/>
      <c r="KLN63" s="41"/>
      <c r="KLT63" s="42"/>
      <c r="KMA63" s="33"/>
      <c r="KMB63" s="33"/>
      <c r="KMF63" s="41"/>
      <c r="KML63" s="42"/>
      <c r="KMS63" s="33"/>
      <c r="KMT63" s="33"/>
      <c r="KMX63" s="41"/>
      <c r="KND63" s="42"/>
      <c r="KNK63" s="33"/>
      <c r="KNL63" s="33"/>
      <c r="KNP63" s="41"/>
      <c r="KNV63" s="42"/>
      <c r="KOC63" s="33"/>
      <c r="KOD63" s="33"/>
      <c r="KOH63" s="41"/>
      <c r="KON63" s="42"/>
      <c r="KOU63" s="33"/>
      <c r="KOV63" s="33"/>
      <c r="KOZ63" s="41"/>
      <c r="KPF63" s="42"/>
      <c r="KPM63" s="33"/>
      <c r="KPN63" s="33"/>
      <c r="KPR63" s="41"/>
      <c r="KPX63" s="42"/>
      <c r="KQE63" s="33"/>
      <c r="KQF63" s="33"/>
      <c r="KQJ63" s="41"/>
      <c r="KQP63" s="42"/>
      <c r="KQW63" s="33"/>
      <c r="KQX63" s="33"/>
      <c r="KRB63" s="41"/>
      <c r="KRH63" s="42"/>
      <c r="KRO63" s="33"/>
      <c r="KRP63" s="33"/>
      <c r="KRT63" s="41"/>
      <c r="KRZ63" s="42"/>
      <c r="KSG63" s="33"/>
      <c r="KSH63" s="33"/>
      <c r="KSL63" s="41"/>
      <c r="KSR63" s="42"/>
      <c r="KSY63" s="33"/>
      <c r="KSZ63" s="33"/>
      <c r="KTD63" s="41"/>
      <c r="KTJ63" s="42"/>
      <c r="KTQ63" s="33"/>
      <c r="KTR63" s="33"/>
      <c r="KTV63" s="41"/>
      <c r="KUB63" s="42"/>
      <c r="KUI63" s="33"/>
      <c r="KUJ63" s="33"/>
      <c r="KUN63" s="41"/>
      <c r="KUT63" s="42"/>
      <c r="KVA63" s="33"/>
      <c r="KVB63" s="33"/>
      <c r="KVF63" s="41"/>
      <c r="KVL63" s="42"/>
      <c r="KVS63" s="33"/>
      <c r="KVT63" s="33"/>
      <c r="KVX63" s="41"/>
      <c r="KWD63" s="42"/>
      <c r="KWK63" s="33"/>
      <c r="KWL63" s="33"/>
      <c r="KWP63" s="41"/>
      <c r="KWV63" s="42"/>
      <c r="KXC63" s="33"/>
      <c r="KXD63" s="33"/>
      <c r="KXH63" s="41"/>
      <c r="KXN63" s="42"/>
      <c r="KXU63" s="33"/>
      <c r="KXV63" s="33"/>
      <c r="KXZ63" s="41"/>
      <c r="KYF63" s="42"/>
      <c r="KYM63" s="33"/>
      <c r="KYN63" s="33"/>
      <c r="KYR63" s="41"/>
      <c r="KYX63" s="42"/>
      <c r="KZE63" s="33"/>
      <c r="KZF63" s="33"/>
      <c r="KZJ63" s="41"/>
      <c r="KZP63" s="42"/>
      <c r="KZW63" s="33"/>
      <c r="KZX63" s="33"/>
      <c r="LAB63" s="41"/>
      <c r="LAH63" s="42"/>
      <c r="LAO63" s="33"/>
      <c r="LAP63" s="33"/>
      <c r="LAT63" s="41"/>
      <c r="LAZ63" s="42"/>
      <c r="LBG63" s="33"/>
      <c r="LBH63" s="33"/>
      <c r="LBL63" s="41"/>
      <c r="LBR63" s="42"/>
      <c r="LBY63" s="33"/>
      <c r="LBZ63" s="33"/>
      <c r="LCD63" s="41"/>
      <c r="LCJ63" s="42"/>
      <c r="LCQ63" s="33"/>
      <c r="LCR63" s="33"/>
      <c r="LCV63" s="41"/>
      <c r="LDB63" s="42"/>
      <c r="LDI63" s="33"/>
      <c r="LDJ63" s="33"/>
      <c r="LDN63" s="41"/>
      <c r="LDT63" s="42"/>
      <c r="LEA63" s="33"/>
      <c r="LEB63" s="33"/>
      <c r="LEF63" s="41"/>
      <c r="LEL63" s="42"/>
      <c r="LES63" s="33"/>
      <c r="LET63" s="33"/>
      <c r="LEX63" s="41"/>
      <c r="LFD63" s="42"/>
      <c r="LFK63" s="33"/>
      <c r="LFL63" s="33"/>
      <c r="LFP63" s="41"/>
      <c r="LFV63" s="42"/>
      <c r="LGC63" s="33"/>
      <c r="LGD63" s="33"/>
      <c r="LGH63" s="41"/>
      <c r="LGN63" s="42"/>
      <c r="LGU63" s="33"/>
      <c r="LGV63" s="33"/>
      <c r="LGZ63" s="41"/>
      <c r="LHF63" s="42"/>
      <c r="LHM63" s="33"/>
      <c r="LHN63" s="33"/>
      <c r="LHR63" s="41"/>
      <c r="LHX63" s="42"/>
      <c r="LIE63" s="33"/>
      <c r="LIF63" s="33"/>
      <c r="LIJ63" s="41"/>
      <c r="LIP63" s="42"/>
      <c r="LIW63" s="33"/>
      <c r="LIX63" s="33"/>
      <c r="LJB63" s="41"/>
      <c r="LJH63" s="42"/>
      <c r="LJO63" s="33"/>
      <c r="LJP63" s="33"/>
      <c r="LJT63" s="41"/>
      <c r="LJZ63" s="42"/>
      <c r="LKG63" s="33"/>
      <c r="LKH63" s="33"/>
      <c r="LKL63" s="41"/>
      <c r="LKR63" s="42"/>
      <c r="LKY63" s="33"/>
      <c r="LKZ63" s="33"/>
      <c r="LLD63" s="41"/>
      <c r="LLJ63" s="42"/>
      <c r="LLQ63" s="33"/>
      <c r="LLR63" s="33"/>
      <c r="LLV63" s="41"/>
      <c r="LMB63" s="42"/>
      <c r="LMI63" s="33"/>
      <c r="LMJ63" s="33"/>
      <c r="LMN63" s="41"/>
      <c r="LMT63" s="42"/>
      <c r="LNA63" s="33"/>
      <c r="LNB63" s="33"/>
      <c r="LNF63" s="41"/>
      <c r="LNL63" s="42"/>
      <c r="LNS63" s="33"/>
      <c r="LNT63" s="33"/>
      <c r="LNX63" s="41"/>
      <c r="LOD63" s="42"/>
      <c r="LOK63" s="33"/>
      <c r="LOL63" s="33"/>
      <c r="LOP63" s="41"/>
      <c r="LOV63" s="42"/>
      <c r="LPC63" s="33"/>
      <c r="LPD63" s="33"/>
      <c r="LPH63" s="41"/>
      <c r="LPN63" s="42"/>
      <c r="LPU63" s="33"/>
      <c r="LPV63" s="33"/>
      <c r="LPZ63" s="41"/>
      <c r="LQF63" s="42"/>
      <c r="LQM63" s="33"/>
      <c r="LQN63" s="33"/>
      <c r="LQR63" s="41"/>
      <c r="LQX63" s="42"/>
      <c r="LRE63" s="33"/>
      <c r="LRF63" s="33"/>
      <c r="LRJ63" s="41"/>
      <c r="LRP63" s="42"/>
      <c r="LRW63" s="33"/>
      <c r="LRX63" s="33"/>
      <c r="LSB63" s="41"/>
      <c r="LSH63" s="42"/>
      <c r="LSO63" s="33"/>
      <c r="LSP63" s="33"/>
      <c r="LST63" s="41"/>
      <c r="LSZ63" s="42"/>
      <c r="LTG63" s="33"/>
      <c r="LTH63" s="33"/>
      <c r="LTL63" s="41"/>
      <c r="LTR63" s="42"/>
      <c r="LTY63" s="33"/>
      <c r="LTZ63" s="33"/>
      <c r="LUD63" s="41"/>
      <c r="LUJ63" s="42"/>
      <c r="LUQ63" s="33"/>
      <c r="LUR63" s="33"/>
      <c r="LUV63" s="41"/>
      <c r="LVB63" s="42"/>
      <c r="LVI63" s="33"/>
      <c r="LVJ63" s="33"/>
      <c r="LVN63" s="41"/>
      <c r="LVT63" s="42"/>
      <c r="LWA63" s="33"/>
      <c r="LWB63" s="33"/>
      <c r="LWF63" s="41"/>
      <c r="LWL63" s="42"/>
      <c r="LWS63" s="33"/>
      <c r="LWT63" s="33"/>
      <c r="LWX63" s="41"/>
      <c r="LXD63" s="42"/>
      <c r="LXK63" s="33"/>
      <c r="LXL63" s="33"/>
      <c r="LXP63" s="41"/>
      <c r="LXV63" s="42"/>
      <c r="LYC63" s="33"/>
      <c r="LYD63" s="33"/>
      <c r="LYH63" s="41"/>
      <c r="LYN63" s="42"/>
      <c r="LYU63" s="33"/>
      <c r="LYV63" s="33"/>
      <c r="LYZ63" s="41"/>
      <c r="LZF63" s="42"/>
      <c r="LZM63" s="33"/>
      <c r="LZN63" s="33"/>
      <c r="LZR63" s="41"/>
      <c r="LZX63" s="42"/>
      <c r="MAE63" s="33"/>
      <c r="MAF63" s="33"/>
      <c r="MAJ63" s="41"/>
      <c r="MAP63" s="42"/>
      <c r="MAW63" s="33"/>
      <c r="MAX63" s="33"/>
      <c r="MBB63" s="41"/>
      <c r="MBH63" s="42"/>
      <c r="MBO63" s="33"/>
      <c r="MBP63" s="33"/>
      <c r="MBT63" s="41"/>
      <c r="MBZ63" s="42"/>
      <c r="MCG63" s="33"/>
      <c r="MCH63" s="33"/>
      <c r="MCL63" s="41"/>
      <c r="MCR63" s="42"/>
      <c r="MCY63" s="33"/>
      <c r="MCZ63" s="33"/>
      <c r="MDD63" s="41"/>
      <c r="MDJ63" s="42"/>
      <c r="MDQ63" s="33"/>
      <c r="MDR63" s="33"/>
      <c r="MDV63" s="41"/>
      <c r="MEB63" s="42"/>
      <c r="MEI63" s="33"/>
      <c r="MEJ63" s="33"/>
      <c r="MEN63" s="41"/>
      <c r="MET63" s="42"/>
      <c r="MFA63" s="33"/>
      <c r="MFB63" s="33"/>
      <c r="MFF63" s="41"/>
      <c r="MFL63" s="42"/>
      <c r="MFS63" s="33"/>
      <c r="MFT63" s="33"/>
      <c r="MFX63" s="41"/>
      <c r="MGD63" s="42"/>
      <c r="MGK63" s="33"/>
      <c r="MGL63" s="33"/>
      <c r="MGP63" s="41"/>
      <c r="MGV63" s="42"/>
      <c r="MHC63" s="33"/>
      <c r="MHD63" s="33"/>
      <c r="MHH63" s="41"/>
      <c r="MHN63" s="42"/>
      <c r="MHU63" s="33"/>
      <c r="MHV63" s="33"/>
      <c r="MHZ63" s="41"/>
      <c r="MIF63" s="42"/>
      <c r="MIM63" s="33"/>
      <c r="MIN63" s="33"/>
      <c r="MIR63" s="41"/>
      <c r="MIX63" s="42"/>
      <c r="MJE63" s="33"/>
      <c r="MJF63" s="33"/>
      <c r="MJJ63" s="41"/>
      <c r="MJP63" s="42"/>
      <c r="MJW63" s="33"/>
      <c r="MJX63" s="33"/>
      <c r="MKB63" s="41"/>
      <c r="MKH63" s="42"/>
      <c r="MKO63" s="33"/>
      <c r="MKP63" s="33"/>
      <c r="MKT63" s="41"/>
      <c r="MKZ63" s="42"/>
      <c r="MLG63" s="33"/>
      <c r="MLH63" s="33"/>
      <c r="MLL63" s="41"/>
      <c r="MLR63" s="42"/>
      <c r="MLY63" s="33"/>
      <c r="MLZ63" s="33"/>
      <c r="MMD63" s="41"/>
      <c r="MMJ63" s="42"/>
      <c r="MMQ63" s="33"/>
      <c r="MMR63" s="33"/>
      <c r="MMV63" s="41"/>
      <c r="MNB63" s="42"/>
      <c r="MNI63" s="33"/>
      <c r="MNJ63" s="33"/>
      <c r="MNN63" s="41"/>
      <c r="MNT63" s="42"/>
      <c r="MOA63" s="33"/>
      <c r="MOB63" s="33"/>
      <c r="MOF63" s="41"/>
      <c r="MOL63" s="42"/>
      <c r="MOS63" s="33"/>
      <c r="MOT63" s="33"/>
      <c r="MOX63" s="41"/>
      <c r="MPD63" s="42"/>
      <c r="MPK63" s="33"/>
      <c r="MPL63" s="33"/>
      <c r="MPP63" s="41"/>
      <c r="MPV63" s="42"/>
      <c r="MQC63" s="33"/>
      <c r="MQD63" s="33"/>
      <c r="MQH63" s="41"/>
      <c r="MQN63" s="42"/>
      <c r="MQU63" s="33"/>
      <c r="MQV63" s="33"/>
      <c r="MQZ63" s="41"/>
      <c r="MRF63" s="42"/>
      <c r="MRM63" s="33"/>
      <c r="MRN63" s="33"/>
      <c r="MRR63" s="41"/>
      <c r="MRX63" s="42"/>
      <c r="MSE63" s="33"/>
      <c r="MSF63" s="33"/>
      <c r="MSJ63" s="41"/>
      <c r="MSP63" s="42"/>
      <c r="MSW63" s="33"/>
      <c r="MSX63" s="33"/>
      <c r="MTB63" s="41"/>
      <c r="MTH63" s="42"/>
      <c r="MTO63" s="33"/>
      <c r="MTP63" s="33"/>
      <c r="MTT63" s="41"/>
      <c r="MTZ63" s="42"/>
      <c r="MUG63" s="33"/>
      <c r="MUH63" s="33"/>
      <c r="MUL63" s="41"/>
      <c r="MUR63" s="42"/>
      <c r="MUY63" s="33"/>
      <c r="MUZ63" s="33"/>
      <c r="MVD63" s="41"/>
      <c r="MVJ63" s="42"/>
      <c r="MVQ63" s="33"/>
      <c r="MVR63" s="33"/>
      <c r="MVV63" s="41"/>
      <c r="MWB63" s="42"/>
      <c r="MWI63" s="33"/>
      <c r="MWJ63" s="33"/>
      <c r="MWN63" s="41"/>
      <c r="MWT63" s="42"/>
      <c r="MXA63" s="33"/>
      <c r="MXB63" s="33"/>
      <c r="MXF63" s="41"/>
      <c r="MXL63" s="42"/>
      <c r="MXS63" s="33"/>
      <c r="MXT63" s="33"/>
      <c r="MXX63" s="41"/>
      <c r="MYD63" s="42"/>
      <c r="MYK63" s="33"/>
      <c r="MYL63" s="33"/>
      <c r="MYP63" s="41"/>
      <c r="MYV63" s="42"/>
      <c r="MZC63" s="33"/>
      <c r="MZD63" s="33"/>
      <c r="MZH63" s="41"/>
      <c r="MZN63" s="42"/>
      <c r="MZU63" s="33"/>
      <c r="MZV63" s="33"/>
      <c r="MZZ63" s="41"/>
      <c r="NAF63" s="42"/>
      <c r="NAM63" s="33"/>
      <c r="NAN63" s="33"/>
      <c r="NAR63" s="41"/>
      <c r="NAX63" s="42"/>
      <c r="NBE63" s="33"/>
      <c r="NBF63" s="33"/>
      <c r="NBJ63" s="41"/>
      <c r="NBP63" s="42"/>
      <c r="NBW63" s="33"/>
      <c r="NBX63" s="33"/>
      <c r="NCB63" s="41"/>
      <c r="NCH63" s="42"/>
      <c r="NCO63" s="33"/>
      <c r="NCP63" s="33"/>
      <c r="NCT63" s="41"/>
      <c r="NCZ63" s="42"/>
      <c r="NDG63" s="33"/>
      <c r="NDH63" s="33"/>
      <c r="NDL63" s="41"/>
      <c r="NDR63" s="42"/>
      <c r="NDY63" s="33"/>
      <c r="NDZ63" s="33"/>
      <c r="NED63" s="41"/>
      <c r="NEJ63" s="42"/>
      <c r="NEQ63" s="33"/>
      <c r="NER63" s="33"/>
      <c r="NEV63" s="41"/>
      <c r="NFB63" s="42"/>
      <c r="NFI63" s="33"/>
      <c r="NFJ63" s="33"/>
      <c r="NFN63" s="41"/>
      <c r="NFT63" s="42"/>
      <c r="NGA63" s="33"/>
      <c r="NGB63" s="33"/>
      <c r="NGF63" s="41"/>
      <c r="NGL63" s="42"/>
      <c r="NGS63" s="33"/>
      <c r="NGT63" s="33"/>
      <c r="NGX63" s="41"/>
      <c r="NHD63" s="42"/>
      <c r="NHK63" s="33"/>
      <c r="NHL63" s="33"/>
      <c r="NHP63" s="41"/>
      <c r="NHV63" s="42"/>
      <c r="NIC63" s="33"/>
      <c r="NID63" s="33"/>
      <c r="NIH63" s="41"/>
      <c r="NIN63" s="42"/>
      <c r="NIU63" s="33"/>
      <c r="NIV63" s="33"/>
      <c r="NIZ63" s="41"/>
      <c r="NJF63" s="42"/>
      <c r="NJM63" s="33"/>
      <c r="NJN63" s="33"/>
      <c r="NJR63" s="41"/>
      <c r="NJX63" s="42"/>
      <c r="NKE63" s="33"/>
      <c r="NKF63" s="33"/>
      <c r="NKJ63" s="41"/>
      <c r="NKP63" s="42"/>
      <c r="NKW63" s="33"/>
      <c r="NKX63" s="33"/>
      <c r="NLB63" s="41"/>
      <c r="NLH63" s="42"/>
      <c r="NLO63" s="33"/>
      <c r="NLP63" s="33"/>
      <c r="NLT63" s="41"/>
      <c r="NLZ63" s="42"/>
      <c r="NMG63" s="33"/>
      <c r="NMH63" s="33"/>
      <c r="NML63" s="41"/>
      <c r="NMR63" s="42"/>
      <c r="NMY63" s="33"/>
      <c r="NMZ63" s="33"/>
      <c r="NND63" s="41"/>
      <c r="NNJ63" s="42"/>
      <c r="NNQ63" s="33"/>
      <c r="NNR63" s="33"/>
      <c r="NNV63" s="41"/>
      <c r="NOB63" s="42"/>
      <c r="NOI63" s="33"/>
      <c r="NOJ63" s="33"/>
      <c r="NON63" s="41"/>
      <c r="NOT63" s="42"/>
      <c r="NPA63" s="33"/>
      <c r="NPB63" s="33"/>
      <c r="NPF63" s="41"/>
      <c r="NPL63" s="42"/>
      <c r="NPS63" s="33"/>
      <c r="NPT63" s="33"/>
      <c r="NPX63" s="41"/>
      <c r="NQD63" s="42"/>
      <c r="NQK63" s="33"/>
      <c r="NQL63" s="33"/>
      <c r="NQP63" s="41"/>
      <c r="NQV63" s="42"/>
      <c r="NRC63" s="33"/>
      <c r="NRD63" s="33"/>
      <c r="NRH63" s="41"/>
      <c r="NRN63" s="42"/>
      <c r="NRU63" s="33"/>
      <c r="NRV63" s="33"/>
      <c r="NRZ63" s="41"/>
      <c r="NSF63" s="42"/>
      <c r="NSM63" s="33"/>
      <c r="NSN63" s="33"/>
      <c r="NSR63" s="41"/>
      <c r="NSX63" s="42"/>
      <c r="NTE63" s="33"/>
      <c r="NTF63" s="33"/>
      <c r="NTJ63" s="41"/>
      <c r="NTP63" s="42"/>
      <c r="NTW63" s="33"/>
      <c r="NTX63" s="33"/>
      <c r="NUB63" s="41"/>
      <c r="NUH63" s="42"/>
      <c r="NUO63" s="33"/>
      <c r="NUP63" s="33"/>
      <c r="NUT63" s="41"/>
      <c r="NUZ63" s="42"/>
      <c r="NVG63" s="33"/>
      <c r="NVH63" s="33"/>
      <c r="NVL63" s="41"/>
      <c r="NVR63" s="42"/>
      <c r="NVY63" s="33"/>
      <c r="NVZ63" s="33"/>
      <c r="NWD63" s="41"/>
      <c r="NWJ63" s="42"/>
      <c r="NWQ63" s="33"/>
      <c r="NWR63" s="33"/>
      <c r="NWV63" s="41"/>
      <c r="NXB63" s="42"/>
      <c r="NXI63" s="33"/>
      <c r="NXJ63" s="33"/>
      <c r="NXN63" s="41"/>
      <c r="NXT63" s="42"/>
      <c r="NYA63" s="33"/>
      <c r="NYB63" s="33"/>
      <c r="NYF63" s="41"/>
      <c r="NYL63" s="42"/>
      <c r="NYS63" s="33"/>
      <c r="NYT63" s="33"/>
      <c r="NYX63" s="41"/>
      <c r="NZD63" s="42"/>
      <c r="NZK63" s="33"/>
      <c r="NZL63" s="33"/>
      <c r="NZP63" s="41"/>
      <c r="NZV63" s="42"/>
      <c r="OAC63" s="33"/>
      <c r="OAD63" s="33"/>
      <c r="OAH63" s="41"/>
      <c r="OAN63" s="42"/>
      <c r="OAU63" s="33"/>
      <c r="OAV63" s="33"/>
      <c r="OAZ63" s="41"/>
      <c r="OBF63" s="42"/>
      <c r="OBM63" s="33"/>
      <c r="OBN63" s="33"/>
      <c r="OBR63" s="41"/>
      <c r="OBX63" s="42"/>
      <c r="OCE63" s="33"/>
      <c r="OCF63" s="33"/>
      <c r="OCJ63" s="41"/>
      <c r="OCP63" s="42"/>
      <c r="OCW63" s="33"/>
      <c r="OCX63" s="33"/>
      <c r="ODB63" s="41"/>
      <c r="ODH63" s="42"/>
      <c r="ODO63" s="33"/>
      <c r="ODP63" s="33"/>
      <c r="ODT63" s="41"/>
      <c r="ODZ63" s="42"/>
      <c r="OEG63" s="33"/>
      <c r="OEH63" s="33"/>
      <c r="OEL63" s="41"/>
      <c r="OER63" s="42"/>
      <c r="OEY63" s="33"/>
      <c r="OEZ63" s="33"/>
      <c r="OFD63" s="41"/>
      <c r="OFJ63" s="42"/>
      <c r="OFQ63" s="33"/>
      <c r="OFR63" s="33"/>
      <c r="OFV63" s="41"/>
      <c r="OGB63" s="42"/>
      <c r="OGI63" s="33"/>
      <c r="OGJ63" s="33"/>
      <c r="OGN63" s="41"/>
      <c r="OGT63" s="42"/>
      <c r="OHA63" s="33"/>
      <c r="OHB63" s="33"/>
      <c r="OHF63" s="41"/>
      <c r="OHL63" s="42"/>
      <c r="OHS63" s="33"/>
      <c r="OHT63" s="33"/>
      <c r="OHX63" s="41"/>
      <c r="OID63" s="42"/>
      <c r="OIK63" s="33"/>
      <c r="OIL63" s="33"/>
      <c r="OIP63" s="41"/>
      <c r="OIV63" s="42"/>
      <c r="OJC63" s="33"/>
      <c r="OJD63" s="33"/>
      <c r="OJH63" s="41"/>
      <c r="OJN63" s="42"/>
      <c r="OJU63" s="33"/>
      <c r="OJV63" s="33"/>
      <c r="OJZ63" s="41"/>
      <c r="OKF63" s="42"/>
      <c r="OKM63" s="33"/>
      <c r="OKN63" s="33"/>
      <c r="OKR63" s="41"/>
      <c r="OKX63" s="42"/>
      <c r="OLE63" s="33"/>
      <c r="OLF63" s="33"/>
      <c r="OLJ63" s="41"/>
      <c r="OLP63" s="42"/>
      <c r="OLW63" s="33"/>
      <c r="OLX63" s="33"/>
      <c r="OMB63" s="41"/>
      <c r="OMH63" s="42"/>
      <c r="OMO63" s="33"/>
      <c r="OMP63" s="33"/>
      <c r="OMT63" s="41"/>
      <c r="OMZ63" s="42"/>
      <c r="ONG63" s="33"/>
      <c r="ONH63" s="33"/>
      <c r="ONL63" s="41"/>
      <c r="ONR63" s="42"/>
      <c r="ONY63" s="33"/>
      <c r="ONZ63" s="33"/>
      <c r="OOD63" s="41"/>
      <c r="OOJ63" s="42"/>
      <c r="OOQ63" s="33"/>
      <c r="OOR63" s="33"/>
      <c r="OOV63" s="41"/>
      <c r="OPB63" s="42"/>
      <c r="OPI63" s="33"/>
      <c r="OPJ63" s="33"/>
      <c r="OPN63" s="41"/>
      <c r="OPT63" s="42"/>
      <c r="OQA63" s="33"/>
      <c r="OQB63" s="33"/>
      <c r="OQF63" s="41"/>
      <c r="OQL63" s="42"/>
      <c r="OQS63" s="33"/>
      <c r="OQT63" s="33"/>
      <c r="OQX63" s="41"/>
      <c r="ORD63" s="42"/>
      <c r="ORK63" s="33"/>
      <c r="ORL63" s="33"/>
      <c r="ORP63" s="41"/>
      <c r="ORV63" s="42"/>
      <c r="OSC63" s="33"/>
      <c r="OSD63" s="33"/>
      <c r="OSH63" s="41"/>
      <c r="OSN63" s="42"/>
      <c r="OSU63" s="33"/>
      <c r="OSV63" s="33"/>
      <c r="OSZ63" s="41"/>
      <c r="OTF63" s="42"/>
      <c r="OTM63" s="33"/>
      <c r="OTN63" s="33"/>
      <c r="OTR63" s="41"/>
      <c r="OTX63" s="42"/>
      <c r="OUE63" s="33"/>
      <c r="OUF63" s="33"/>
      <c r="OUJ63" s="41"/>
      <c r="OUP63" s="42"/>
      <c r="OUW63" s="33"/>
      <c r="OUX63" s="33"/>
      <c r="OVB63" s="41"/>
      <c r="OVH63" s="42"/>
      <c r="OVO63" s="33"/>
      <c r="OVP63" s="33"/>
      <c r="OVT63" s="41"/>
      <c r="OVZ63" s="42"/>
      <c r="OWG63" s="33"/>
      <c r="OWH63" s="33"/>
      <c r="OWL63" s="41"/>
      <c r="OWR63" s="42"/>
      <c r="OWY63" s="33"/>
      <c r="OWZ63" s="33"/>
      <c r="OXD63" s="41"/>
      <c r="OXJ63" s="42"/>
      <c r="OXQ63" s="33"/>
      <c r="OXR63" s="33"/>
      <c r="OXV63" s="41"/>
      <c r="OYB63" s="42"/>
      <c r="OYI63" s="33"/>
      <c r="OYJ63" s="33"/>
      <c r="OYN63" s="41"/>
      <c r="OYT63" s="42"/>
      <c r="OZA63" s="33"/>
      <c r="OZB63" s="33"/>
      <c r="OZF63" s="41"/>
      <c r="OZL63" s="42"/>
      <c r="OZS63" s="33"/>
      <c r="OZT63" s="33"/>
      <c r="OZX63" s="41"/>
      <c r="PAD63" s="42"/>
      <c r="PAK63" s="33"/>
      <c r="PAL63" s="33"/>
      <c r="PAP63" s="41"/>
      <c r="PAV63" s="42"/>
      <c r="PBC63" s="33"/>
      <c r="PBD63" s="33"/>
      <c r="PBH63" s="41"/>
      <c r="PBN63" s="42"/>
      <c r="PBU63" s="33"/>
      <c r="PBV63" s="33"/>
      <c r="PBZ63" s="41"/>
      <c r="PCF63" s="42"/>
      <c r="PCM63" s="33"/>
      <c r="PCN63" s="33"/>
      <c r="PCR63" s="41"/>
      <c r="PCX63" s="42"/>
      <c r="PDE63" s="33"/>
      <c r="PDF63" s="33"/>
      <c r="PDJ63" s="41"/>
      <c r="PDP63" s="42"/>
      <c r="PDW63" s="33"/>
      <c r="PDX63" s="33"/>
      <c r="PEB63" s="41"/>
      <c r="PEH63" s="42"/>
      <c r="PEO63" s="33"/>
      <c r="PEP63" s="33"/>
      <c r="PET63" s="41"/>
      <c r="PEZ63" s="42"/>
      <c r="PFG63" s="33"/>
      <c r="PFH63" s="33"/>
      <c r="PFL63" s="41"/>
      <c r="PFR63" s="42"/>
      <c r="PFY63" s="33"/>
      <c r="PFZ63" s="33"/>
      <c r="PGD63" s="41"/>
      <c r="PGJ63" s="42"/>
      <c r="PGQ63" s="33"/>
      <c r="PGR63" s="33"/>
      <c r="PGV63" s="41"/>
      <c r="PHB63" s="42"/>
      <c r="PHI63" s="33"/>
      <c r="PHJ63" s="33"/>
      <c r="PHN63" s="41"/>
      <c r="PHT63" s="42"/>
      <c r="PIA63" s="33"/>
      <c r="PIB63" s="33"/>
      <c r="PIF63" s="41"/>
      <c r="PIL63" s="42"/>
      <c r="PIS63" s="33"/>
      <c r="PIT63" s="33"/>
      <c r="PIX63" s="41"/>
      <c r="PJD63" s="42"/>
      <c r="PJK63" s="33"/>
      <c r="PJL63" s="33"/>
      <c r="PJP63" s="41"/>
      <c r="PJV63" s="42"/>
      <c r="PKC63" s="33"/>
      <c r="PKD63" s="33"/>
      <c r="PKH63" s="41"/>
      <c r="PKN63" s="42"/>
      <c r="PKU63" s="33"/>
      <c r="PKV63" s="33"/>
      <c r="PKZ63" s="41"/>
      <c r="PLF63" s="42"/>
      <c r="PLM63" s="33"/>
      <c r="PLN63" s="33"/>
      <c r="PLR63" s="41"/>
      <c r="PLX63" s="42"/>
      <c r="PME63" s="33"/>
      <c r="PMF63" s="33"/>
      <c r="PMJ63" s="41"/>
      <c r="PMP63" s="42"/>
      <c r="PMW63" s="33"/>
      <c r="PMX63" s="33"/>
      <c r="PNB63" s="41"/>
      <c r="PNH63" s="42"/>
      <c r="PNO63" s="33"/>
      <c r="PNP63" s="33"/>
      <c r="PNT63" s="41"/>
      <c r="PNZ63" s="42"/>
      <c r="POG63" s="33"/>
      <c r="POH63" s="33"/>
      <c r="POL63" s="41"/>
      <c r="POR63" s="42"/>
      <c r="POY63" s="33"/>
      <c r="POZ63" s="33"/>
      <c r="PPD63" s="41"/>
      <c r="PPJ63" s="42"/>
      <c r="PPQ63" s="33"/>
      <c r="PPR63" s="33"/>
      <c r="PPV63" s="41"/>
      <c r="PQB63" s="42"/>
      <c r="PQI63" s="33"/>
      <c r="PQJ63" s="33"/>
      <c r="PQN63" s="41"/>
      <c r="PQT63" s="42"/>
      <c r="PRA63" s="33"/>
      <c r="PRB63" s="33"/>
      <c r="PRF63" s="41"/>
      <c r="PRL63" s="42"/>
      <c r="PRS63" s="33"/>
      <c r="PRT63" s="33"/>
      <c r="PRX63" s="41"/>
      <c r="PSD63" s="42"/>
      <c r="PSK63" s="33"/>
      <c r="PSL63" s="33"/>
      <c r="PSP63" s="41"/>
      <c r="PSV63" s="42"/>
      <c r="PTC63" s="33"/>
      <c r="PTD63" s="33"/>
      <c r="PTH63" s="41"/>
      <c r="PTN63" s="42"/>
      <c r="PTU63" s="33"/>
      <c r="PTV63" s="33"/>
      <c r="PTZ63" s="41"/>
      <c r="PUF63" s="42"/>
      <c r="PUM63" s="33"/>
      <c r="PUN63" s="33"/>
      <c r="PUR63" s="41"/>
      <c r="PUX63" s="42"/>
      <c r="PVE63" s="33"/>
      <c r="PVF63" s="33"/>
      <c r="PVJ63" s="41"/>
      <c r="PVP63" s="42"/>
      <c r="PVW63" s="33"/>
      <c r="PVX63" s="33"/>
      <c r="PWB63" s="41"/>
      <c r="PWH63" s="42"/>
      <c r="PWO63" s="33"/>
      <c r="PWP63" s="33"/>
      <c r="PWT63" s="41"/>
      <c r="PWZ63" s="42"/>
      <c r="PXG63" s="33"/>
      <c r="PXH63" s="33"/>
      <c r="PXL63" s="41"/>
      <c r="PXR63" s="42"/>
      <c r="PXY63" s="33"/>
      <c r="PXZ63" s="33"/>
      <c r="PYD63" s="41"/>
      <c r="PYJ63" s="42"/>
      <c r="PYQ63" s="33"/>
      <c r="PYR63" s="33"/>
      <c r="PYV63" s="41"/>
      <c r="PZB63" s="42"/>
      <c r="PZI63" s="33"/>
      <c r="PZJ63" s="33"/>
      <c r="PZN63" s="41"/>
      <c r="PZT63" s="42"/>
      <c r="QAA63" s="33"/>
      <c r="QAB63" s="33"/>
      <c r="QAF63" s="41"/>
      <c r="QAL63" s="42"/>
      <c r="QAS63" s="33"/>
      <c r="QAT63" s="33"/>
      <c r="QAX63" s="41"/>
      <c r="QBD63" s="42"/>
      <c r="QBK63" s="33"/>
      <c r="QBL63" s="33"/>
      <c r="QBP63" s="41"/>
      <c r="QBV63" s="42"/>
      <c r="QCC63" s="33"/>
      <c r="QCD63" s="33"/>
      <c r="QCH63" s="41"/>
      <c r="QCN63" s="42"/>
      <c r="QCU63" s="33"/>
      <c r="QCV63" s="33"/>
      <c r="QCZ63" s="41"/>
      <c r="QDF63" s="42"/>
      <c r="QDM63" s="33"/>
      <c r="QDN63" s="33"/>
      <c r="QDR63" s="41"/>
      <c r="QDX63" s="42"/>
      <c r="QEE63" s="33"/>
      <c r="QEF63" s="33"/>
      <c r="QEJ63" s="41"/>
      <c r="QEP63" s="42"/>
      <c r="QEW63" s="33"/>
      <c r="QEX63" s="33"/>
      <c r="QFB63" s="41"/>
      <c r="QFH63" s="42"/>
      <c r="QFO63" s="33"/>
      <c r="QFP63" s="33"/>
      <c r="QFT63" s="41"/>
      <c r="QFZ63" s="42"/>
      <c r="QGG63" s="33"/>
      <c r="QGH63" s="33"/>
      <c r="QGL63" s="41"/>
      <c r="QGR63" s="42"/>
      <c r="QGY63" s="33"/>
      <c r="QGZ63" s="33"/>
      <c r="QHD63" s="41"/>
      <c r="QHJ63" s="42"/>
      <c r="QHQ63" s="33"/>
      <c r="QHR63" s="33"/>
      <c r="QHV63" s="41"/>
      <c r="QIB63" s="42"/>
      <c r="QII63" s="33"/>
      <c r="QIJ63" s="33"/>
      <c r="QIN63" s="41"/>
      <c r="QIT63" s="42"/>
      <c r="QJA63" s="33"/>
      <c r="QJB63" s="33"/>
      <c r="QJF63" s="41"/>
      <c r="QJL63" s="42"/>
      <c r="QJS63" s="33"/>
      <c r="QJT63" s="33"/>
      <c r="QJX63" s="41"/>
      <c r="QKD63" s="42"/>
      <c r="QKK63" s="33"/>
      <c r="QKL63" s="33"/>
      <c r="QKP63" s="41"/>
      <c r="QKV63" s="42"/>
      <c r="QLC63" s="33"/>
      <c r="QLD63" s="33"/>
      <c r="QLH63" s="41"/>
      <c r="QLN63" s="42"/>
      <c r="QLU63" s="33"/>
      <c r="QLV63" s="33"/>
      <c r="QLZ63" s="41"/>
      <c r="QMF63" s="42"/>
      <c r="QMM63" s="33"/>
      <c r="QMN63" s="33"/>
      <c r="QMR63" s="41"/>
      <c r="QMX63" s="42"/>
      <c r="QNE63" s="33"/>
      <c r="QNF63" s="33"/>
      <c r="QNJ63" s="41"/>
      <c r="QNP63" s="42"/>
      <c r="QNW63" s="33"/>
      <c r="QNX63" s="33"/>
      <c r="QOB63" s="41"/>
      <c r="QOH63" s="42"/>
      <c r="QOO63" s="33"/>
      <c r="QOP63" s="33"/>
      <c r="QOT63" s="41"/>
      <c r="QOZ63" s="42"/>
      <c r="QPG63" s="33"/>
      <c r="QPH63" s="33"/>
      <c r="QPL63" s="41"/>
      <c r="QPR63" s="42"/>
      <c r="QPY63" s="33"/>
      <c r="QPZ63" s="33"/>
      <c r="QQD63" s="41"/>
      <c r="QQJ63" s="42"/>
      <c r="QQQ63" s="33"/>
      <c r="QQR63" s="33"/>
      <c r="QQV63" s="41"/>
      <c r="QRB63" s="42"/>
      <c r="QRI63" s="33"/>
      <c r="QRJ63" s="33"/>
      <c r="QRN63" s="41"/>
      <c r="QRT63" s="42"/>
      <c r="QSA63" s="33"/>
      <c r="QSB63" s="33"/>
      <c r="QSF63" s="41"/>
      <c r="QSL63" s="42"/>
      <c r="QSS63" s="33"/>
      <c r="QST63" s="33"/>
      <c r="QSX63" s="41"/>
      <c r="QTD63" s="42"/>
      <c r="QTK63" s="33"/>
      <c r="QTL63" s="33"/>
      <c r="QTP63" s="41"/>
      <c r="QTV63" s="42"/>
      <c r="QUC63" s="33"/>
      <c r="QUD63" s="33"/>
      <c r="QUH63" s="41"/>
      <c r="QUN63" s="42"/>
      <c r="QUU63" s="33"/>
      <c r="QUV63" s="33"/>
      <c r="QUZ63" s="41"/>
      <c r="QVF63" s="42"/>
      <c r="QVM63" s="33"/>
      <c r="QVN63" s="33"/>
      <c r="QVR63" s="41"/>
      <c r="QVX63" s="42"/>
      <c r="QWE63" s="33"/>
      <c r="QWF63" s="33"/>
      <c r="QWJ63" s="41"/>
      <c r="QWP63" s="42"/>
      <c r="QWW63" s="33"/>
      <c r="QWX63" s="33"/>
      <c r="QXB63" s="41"/>
      <c r="QXH63" s="42"/>
      <c r="QXO63" s="33"/>
      <c r="QXP63" s="33"/>
      <c r="QXT63" s="41"/>
      <c r="QXZ63" s="42"/>
      <c r="QYG63" s="33"/>
      <c r="QYH63" s="33"/>
      <c r="QYL63" s="41"/>
      <c r="QYR63" s="42"/>
      <c r="QYY63" s="33"/>
      <c r="QYZ63" s="33"/>
      <c r="QZD63" s="41"/>
      <c r="QZJ63" s="42"/>
      <c r="QZQ63" s="33"/>
      <c r="QZR63" s="33"/>
      <c r="QZV63" s="41"/>
      <c r="RAB63" s="42"/>
      <c r="RAI63" s="33"/>
      <c r="RAJ63" s="33"/>
      <c r="RAN63" s="41"/>
      <c r="RAT63" s="42"/>
      <c r="RBA63" s="33"/>
      <c r="RBB63" s="33"/>
      <c r="RBF63" s="41"/>
      <c r="RBL63" s="42"/>
      <c r="RBS63" s="33"/>
      <c r="RBT63" s="33"/>
      <c r="RBX63" s="41"/>
      <c r="RCD63" s="42"/>
      <c r="RCK63" s="33"/>
      <c r="RCL63" s="33"/>
      <c r="RCP63" s="41"/>
      <c r="RCV63" s="42"/>
      <c r="RDC63" s="33"/>
      <c r="RDD63" s="33"/>
      <c r="RDH63" s="41"/>
      <c r="RDN63" s="42"/>
      <c r="RDU63" s="33"/>
      <c r="RDV63" s="33"/>
      <c r="RDZ63" s="41"/>
      <c r="REF63" s="42"/>
      <c r="REM63" s="33"/>
      <c r="REN63" s="33"/>
      <c r="RER63" s="41"/>
      <c r="REX63" s="42"/>
      <c r="RFE63" s="33"/>
      <c r="RFF63" s="33"/>
      <c r="RFJ63" s="41"/>
      <c r="RFP63" s="42"/>
      <c r="RFW63" s="33"/>
      <c r="RFX63" s="33"/>
      <c r="RGB63" s="41"/>
      <c r="RGH63" s="42"/>
      <c r="RGO63" s="33"/>
      <c r="RGP63" s="33"/>
      <c r="RGT63" s="41"/>
      <c r="RGZ63" s="42"/>
      <c r="RHG63" s="33"/>
      <c r="RHH63" s="33"/>
      <c r="RHL63" s="41"/>
      <c r="RHR63" s="42"/>
      <c r="RHY63" s="33"/>
      <c r="RHZ63" s="33"/>
      <c r="RID63" s="41"/>
      <c r="RIJ63" s="42"/>
      <c r="RIQ63" s="33"/>
      <c r="RIR63" s="33"/>
      <c r="RIV63" s="41"/>
      <c r="RJB63" s="42"/>
      <c r="RJI63" s="33"/>
      <c r="RJJ63" s="33"/>
      <c r="RJN63" s="41"/>
      <c r="RJT63" s="42"/>
      <c r="RKA63" s="33"/>
      <c r="RKB63" s="33"/>
      <c r="RKF63" s="41"/>
      <c r="RKL63" s="42"/>
      <c r="RKS63" s="33"/>
      <c r="RKT63" s="33"/>
      <c r="RKX63" s="41"/>
      <c r="RLD63" s="42"/>
      <c r="RLK63" s="33"/>
      <c r="RLL63" s="33"/>
      <c r="RLP63" s="41"/>
      <c r="RLV63" s="42"/>
      <c r="RMC63" s="33"/>
      <c r="RMD63" s="33"/>
      <c r="RMH63" s="41"/>
      <c r="RMN63" s="42"/>
      <c r="RMU63" s="33"/>
      <c r="RMV63" s="33"/>
      <c r="RMZ63" s="41"/>
      <c r="RNF63" s="42"/>
      <c r="RNM63" s="33"/>
      <c r="RNN63" s="33"/>
      <c r="RNR63" s="41"/>
      <c r="RNX63" s="42"/>
      <c r="ROE63" s="33"/>
      <c r="ROF63" s="33"/>
      <c r="ROJ63" s="41"/>
      <c r="ROP63" s="42"/>
      <c r="ROW63" s="33"/>
      <c r="ROX63" s="33"/>
      <c r="RPB63" s="41"/>
      <c r="RPH63" s="42"/>
      <c r="RPO63" s="33"/>
      <c r="RPP63" s="33"/>
      <c r="RPT63" s="41"/>
      <c r="RPZ63" s="42"/>
      <c r="RQG63" s="33"/>
      <c r="RQH63" s="33"/>
      <c r="RQL63" s="41"/>
      <c r="RQR63" s="42"/>
      <c r="RQY63" s="33"/>
      <c r="RQZ63" s="33"/>
      <c r="RRD63" s="41"/>
      <c r="RRJ63" s="42"/>
      <c r="RRQ63" s="33"/>
      <c r="RRR63" s="33"/>
      <c r="RRV63" s="41"/>
      <c r="RSB63" s="42"/>
      <c r="RSI63" s="33"/>
      <c r="RSJ63" s="33"/>
      <c r="RSN63" s="41"/>
      <c r="RST63" s="42"/>
      <c r="RTA63" s="33"/>
      <c r="RTB63" s="33"/>
      <c r="RTF63" s="41"/>
      <c r="RTL63" s="42"/>
      <c r="RTS63" s="33"/>
      <c r="RTT63" s="33"/>
      <c r="RTX63" s="41"/>
      <c r="RUD63" s="42"/>
      <c r="RUK63" s="33"/>
      <c r="RUL63" s="33"/>
      <c r="RUP63" s="41"/>
      <c r="RUV63" s="42"/>
      <c r="RVC63" s="33"/>
      <c r="RVD63" s="33"/>
      <c r="RVH63" s="41"/>
      <c r="RVN63" s="42"/>
      <c r="RVU63" s="33"/>
      <c r="RVV63" s="33"/>
      <c r="RVZ63" s="41"/>
      <c r="RWF63" s="42"/>
      <c r="RWM63" s="33"/>
      <c r="RWN63" s="33"/>
      <c r="RWR63" s="41"/>
      <c r="RWX63" s="42"/>
      <c r="RXE63" s="33"/>
      <c r="RXF63" s="33"/>
      <c r="RXJ63" s="41"/>
      <c r="RXP63" s="42"/>
      <c r="RXW63" s="33"/>
      <c r="RXX63" s="33"/>
      <c r="RYB63" s="41"/>
      <c r="RYH63" s="42"/>
      <c r="RYO63" s="33"/>
      <c r="RYP63" s="33"/>
      <c r="RYT63" s="41"/>
      <c r="RYZ63" s="42"/>
      <c r="RZG63" s="33"/>
      <c r="RZH63" s="33"/>
      <c r="RZL63" s="41"/>
      <c r="RZR63" s="42"/>
      <c r="RZY63" s="33"/>
      <c r="RZZ63" s="33"/>
      <c r="SAD63" s="41"/>
      <c r="SAJ63" s="42"/>
      <c r="SAQ63" s="33"/>
      <c r="SAR63" s="33"/>
      <c r="SAV63" s="41"/>
      <c r="SBB63" s="42"/>
      <c r="SBI63" s="33"/>
      <c r="SBJ63" s="33"/>
      <c r="SBN63" s="41"/>
      <c r="SBT63" s="42"/>
      <c r="SCA63" s="33"/>
      <c r="SCB63" s="33"/>
      <c r="SCF63" s="41"/>
      <c r="SCL63" s="42"/>
      <c r="SCS63" s="33"/>
      <c r="SCT63" s="33"/>
      <c r="SCX63" s="41"/>
      <c r="SDD63" s="42"/>
      <c r="SDK63" s="33"/>
      <c r="SDL63" s="33"/>
      <c r="SDP63" s="41"/>
      <c r="SDV63" s="42"/>
      <c r="SEC63" s="33"/>
      <c r="SED63" s="33"/>
      <c r="SEH63" s="41"/>
      <c r="SEN63" s="42"/>
      <c r="SEU63" s="33"/>
      <c r="SEV63" s="33"/>
      <c r="SEZ63" s="41"/>
      <c r="SFF63" s="42"/>
      <c r="SFM63" s="33"/>
      <c r="SFN63" s="33"/>
      <c r="SFR63" s="41"/>
      <c r="SFX63" s="42"/>
      <c r="SGE63" s="33"/>
      <c r="SGF63" s="33"/>
      <c r="SGJ63" s="41"/>
      <c r="SGP63" s="42"/>
      <c r="SGW63" s="33"/>
      <c r="SGX63" s="33"/>
      <c r="SHB63" s="41"/>
      <c r="SHH63" s="42"/>
      <c r="SHO63" s="33"/>
      <c r="SHP63" s="33"/>
      <c r="SHT63" s="41"/>
      <c r="SHZ63" s="42"/>
      <c r="SIG63" s="33"/>
      <c r="SIH63" s="33"/>
      <c r="SIL63" s="41"/>
      <c r="SIR63" s="42"/>
      <c r="SIY63" s="33"/>
      <c r="SIZ63" s="33"/>
      <c r="SJD63" s="41"/>
      <c r="SJJ63" s="42"/>
      <c r="SJQ63" s="33"/>
      <c r="SJR63" s="33"/>
      <c r="SJV63" s="41"/>
      <c r="SKB63" s="42"/>
      <c r="SKI63" s="33"/>
      <c r="SKJ63" s="33"/>
      <c r="SKN63" s="41"/>
      <c r="SKT63" s="42"/>
      <c r="SLA63" s="33"/>
      <c r="SLB63" s="33"/>
      <c r="SLF63" s="41"/>
      <c r="SLL63" s="42"/>
      <c r="SLS63" s="33"/>
      <c r="SLT63" s="33"/>
      <c r="SLX63" s="41"/>
      <c r="SMD63" s="42"/>
      <c r="SMK63" s="33"/>
      <c r="SML63" s="33"/>
      <c r="SMP63" s="41"/>
      <c r="SMV63" s="42"/>
      <c r="SNC63" s="33"/>
      <c r="SND63" s="33"/>
      <c r="SNH63" s="41"/>
      <c r="SNN63" s="42"/>
      <c r="SNU63" s="33"/>
      <c r="SNV63" s="33"/>
      <c r="SNZ63" s="41"/>
      <c r="SOF63" s="42"/>
      <c r="SOM63" s="33"/>
      <c r="SON63" s="33"/>
      <c r="SOR63" s="41"/>
      <c r="SOX63" s="42"/>
      <c r="SPE63" s="33"/>
      <c r="SPF63" s="33"/>
      <c r="SPJ63" s="41"/>
      <c r="SPP63" s="42"/>
      <c r="SPW63" s="33"/>
      <c r="SPX63" s="33"/>
      <c r="SQB63" s="41"/>
      <c r="SQH63" s="42"/>
      <c r="SQO63" s="33"/>
      <c r="SQP63" s="33"/>
      <c r="SQT63" s="41"/>
      <c r="SQZ63" s="42"/>
      <c r="SRG63" s="33"/>
      <c r="SRH63" s="33"/>
      <c r="SRL63" s="41"/>
      <c r="SRR63" s="42"/>
      <c r="SRY63" s="33"/>
      <c r="SRZ63" s="33"/>
      <c r="SSD63" s="41"/>
      <c r="SSJ63" s="42"/>
      <c r="SSQ63" s="33"/>
      <c r="SSR63" s="33"/>
      <c r="SSV63" s="41"/>
      <c r="STB63" s="42"/>
      <c r="STI63" s="33"/>
      <c r="STJ63" s="33"/>
      <c r="STN63" s="41"/>
      <c r="STT63" s="42"/>
      <c r="SUA63" s="33"/>
      <c r="SUB63" s="33"/>
      <c r="SUF63" s="41"/>
      <c r="SUL63" s="42"/>
      <c r="SUS63" s="33"/>
      <c r="SUT63" s="33"/>
      <c r="SUX63" s="41"/>
      <c r="SVD63" s="42"/>
      <c r="SVK63" s="33"/>
      <c r="SVL63" s="33"/>
      <c r="SVP63" s="41"/>
      <c r="SVV63" s="42"/>
      <c r="SWC63" s="33"/>
      <c r="SWD63" s="33"/>
      <c r="SWH63" s="41"/>
      <c r="SWN63" s="42"/>
      <c r="SWU63" s="33"/>
      <c r="SWV63" s="33"/>
      <c r="SWZ63" s="41"/>
      <c r="SXF63" s="42"/>
      <c r="SXM63" s="33"/>
      <c r="SXN63" s="33"/>
      <c r="SXR63" s="41"/>
      <c r="SXX63" s="42"/>
      <c r="SYE63" s="33"/>
      <c r="SYF63" s="33"/>
      <c r="SYJ63" s="41"/>
      <c r="SYP63" s="42"/>
      <c r="SYW63" s="33"/>
      <c r="SYX63" s="33"/>
      <c r="SZB63" s="41"/>
      <c r="SZH63" s="42"/>
      <c r="SZO63" s="33"/>
      <c r="SZP63" s="33"/>
      <c r="SZT63" s="41"/>
      <c r="SZZ63" s="42"/>
      <c r="TAG63" s="33"/>
      <c r="TAH63" s="33"/>
      <c r="TAL63" s="41"/>
      <c r="TAR63" s="42"/>
      <c r="TAY63" s="33"/>
      <c r="TAZ63" s="33"/>
      <c r="TBD63" s="41"/>
      <c r="TBJ63" s="42"/>
      <c r="TBQ63" s="33"/>
      <c r="TBR63" s="33"/>
      <c r="TBV63" s="41"/>
      <c r="TCB63" s="42"/>
      <c r="TCI63" s="33"/>
      <c r="TCJ63" s="33"/>
      <c r="TCN63" s="41"/>
      <c r="TCT63" s="42"/>
      <c r="TDA63" s="33"/>
      <c r="TDB63" s="33"/>
      <c r="TDF63" s="41"/>
      <c r="TDL63" s="42"/>
      <c r="TDS63" s="33"/>
      <c r="TDT63" s="33"/>
      <c r="TDX63" s="41"/>
      <c r="TED63" s="42"/>
      <c r="TEK63" s="33"/>
      <c r="TEL63" s="33"/>
      <c r="TEP63" s="41"/>
      <c r="TEV63" s="42"/>
      <c r="TFC63" s="33"/>
      <c r="TFD63" s="33"/>
      <c r="TFH63" s="41"/>
      <c r="TFN63" s="42"/>
      <c r="TFU63" s="33"/>
      <c r="TFV63" s="33"/>
      <c r="TFZ63" s="41"/>
      <c r="TGF63" s="42"/>
      <c r="TGM63" s="33"/>
      <c r="TGN63" s="33"/>
      <c r="TGR63" s="41"/>
      <c r="TGX63" s="42"/>
      <c r="THE63" s="33"/>
      <c r="THF63" s="33"/>
      <c r="THJ63" s="41"/>
      <c r="THP63" s="42"/>
      <c r="THW63" s="33"/>
      <c r="THX63" s="33"/>
      <c r="TIB63" s="41"/>
      <c r="TIH63" s="42"/>
      <c r="TIO63" s="33"/>
      <c r="TIP63" s="33"/>
      <c r="TIT63" s="41"/>
      <c r="TIZ63" s="42"/>
      <c r="TJG63" s="33"/>
      <c r="TJH63" s="33"/>
      <c r="TJL63" s="41"/>
      <c r="TJR63" s="42"/>
      <c r="TJY63" s="33"/>
      <c r="TJZ63" s="33"/>
      <c r="TKD63" s="41"/>
      <c r="TKJ63" s="42"/>
      <c r="TKQ63" s="33"/>
      <c r="TKR63" s="33"/>
      <c r="TKV63" s="41"/>
      <c r="TLB63" s="42"/>
      <c r="TLI63" s="33"/>
      <c r="TLJ63" s="33"/>
      <c r="TLN63" s="41"/>
      <c r="TLT63" s="42"/>
      <c r="TMA63" s="33"/>
      <c r="TMB63" s="33"/>
      <c r="TMF63" s="41"/>
      <c r="TML63" s="42"/>
      <c r="TMS63" s="33"/>
      <c r="TMT63" s="33"/>
      <c r="TMX63" s="41"/>
      <c r="TND63" s="42"/>
      <c r="TNK63" s="33"/>
      <c r="TNL63" s="33"/>
      <c r="TNP63" s="41"/>
      <c r="TNV63" s="42"/>
      <c r="TOC63" s="33"/>
      <c r="TOD63" s="33"/>
      <c r="TOH63" s="41"/>
      <c r="TON63" s="42"/>
      <c r="TOU63" s="33"/>
      <c r="TOV63" s="33"/>
      <c r="TOZ63" s="41"/>
      <c r="TPF63" s="42"/>
      <c r="TPM63" s="33"/>
      <c r="TPN63" s="33"/>
      <c r="TPR63" s="41"/>
      <c r="TPX63" s="42"/>
      <c r="TQE63" s="33"/>
      <c r="TQF63" s="33"/>
      <c r="TQJ63" s="41"/>
      <c r="TQP63" s="42"/>
      <c r="TQW63" s="33"/>
      <c r="TQX63" s="33"/>
      <c r="TRB63" s="41"/>
      <c r="TRH63" s="42"/>
      <c r="TRO63" s="33"/>
      <c r="TRP63" s="33"/>
      <c r="TRT63" s="41"/>
      <c r="TRZ63" s="42"/>
      <c r="TSG63" s="33"/>
      <c r="TSH63" s="33"/>
      <c r="TSL63" s="41"/>
      <c r="TSR63" s="42"/>
      <c r="TSY63" s="33"/>
      <c r="TSZ63" s="33"/>
      <c r="TTD63" s="41"/>
      <c r="TTJ63" s="42"/>
      <c r="TTQ63" s="33"/>
      <c r="TTR63" s="33"/>
      <c r="TTV63" s="41"/>
      <c r="TUB63" s="42"/>
      <c r="TUI63" s="33"/>
      <c r="TUJ63" s="33"/>
      <c r="TUN63" s="41"/>
      <c r="TUT63" s="42"/>
      <c r="TVA63" s="33"/>
      <c r="TVB63" s="33"/>
      <c r="TVF63" s="41"/>
      <c r="TVL63" s="42"/>
      <c r="TVS63" s="33"/>
      <c r="TVT63" s="33"/>
      <c r="TVX63" s="41"/>
      <c r="TWD63" s="42"/>
      <c r="TWK63" s="33"/>
      <c r="TWL63" s="33"/>
      <c r="TWP63" s="41"/>
      <c r="TWV63" s="42"/>
      <c r="TXC63" s="33"/>
      <c r="TXD63" s="33"/>
      <c r="TXH63" s="41"/>
      <c r="TXN63" s="42"/>
      <c r="TXU63" s="33"/>
      <c r="TXV63" s="33"/>
      <c r="TXZ63" s="41"/>
      <c r="TYF63" s="42"/>
      <c r="TYM63" s="33"/>
      <c r="TYN63" s="33"/>
      <c r="TYR63" s="41"/>
      <c r="TYX63" s="42"/>
      <c r="TZE63" s="33"/>
      <c r="TZF63" s="33"/>
      <c r="TZJ63" s="41"/>
      <c r="TZP63" s="42"/>
      <c r="TZW63" s="33"/>
      <c r="TZX63" s="33"/>
      <c r="UAB63" s="41"/>
      <c r="UAH63" s="42"/>
      <c r="UAO63" s="33"/>
      <c r="UAP63" s="33"/>
      <c r="UAT63" s="41"/>
      <c r="UAZ63" s="42"/>
      <c r="UBG63" s="33"/>
      <c r="UBH63" s="33"/>
      <c r="UBL63" s="41"/>
      <c r="UBR63" s="42"/>
      <c r="UBY63" s="33"/>
      <c r="UBZ63" s="33"/>
      <c r="UCD63" s="41"/>
      <c r="UCJ63" s="42"/>
      <c r="UCQ63" s="33"/>
      <c r="UCR63" s="33"/>
      <c r="UCV63" s="41"/>
      <c r="UDB63" s="42"/>
      <c r="UDI63" s="33"/>
      <c r="UDJ63" s="33"/>
      <c r="UDN63" s="41"/>
      <c r="UDT63" s="42"/>
      <c r="UEA63" s="33"/>
      <c r="UEB63" s="33"/>
      <c r="UEF63" s="41"/>
      <c r="UEL63" s="42"/>
      <c r="UES63" s="33"/>
      <c r="UET63" s="33"/>
      <c r="UEX63" s="41"/>
      <c r="UFD63" s="42"/>
      <c r="UFK63" s="33"/>
      <c r="UFL63" s="33"/>
      <c r="UFP63" s="41"/>
      <c r="UFV63" s="42"/>
      <c r="UGC63" s="33"/>
      <c r="UGD63" s="33"/>
      <c r="UGH63" s="41"/>
      <c r="UGN63" s="42"/>
      <c r="UGU63" s="33"/>
      <c r="UGV63" s="33"/>
      <c r="UGZ63" s="41"/>
      <c r="UHF63" s="42"/>
      <c r="UHM63" s="33"/>
      <c r="UHN63" s="33"/>
      <c r="UHR63" s="41"/>
      <c r="UHX63" s="42"/>
      <c r="UIE63" s="33"/>
      <c r="UIF63" s="33"/>
      <c r="UIJ63" s="41"/>
      <c r="UIP63" s="42"/>
      <c r="UIW63" s="33"/>
      <c r="UIX63" s="33"/>
      <c r="UJB63" s="41"/>
      <c r="UJH63" s="42"/>
      <c r="UJO63" s="33"/>
      <c r="UJP63" s="33"/>
      <c r="UJT63" s="41"/>
      <c r="UJZ63" s="42"/>
      <c r="UKG63" s="33"/>
      <c r="UKH63" s="33"/>
      <c r="UKL63" s="41"/>
      <c r="UKR63" s="42"/>
      <c r="UKY63" s="33"/>
      <c r="UKZ63" s="33"/>
      <c r="ULD63" s="41"/>
      <c r="ULJ63" s="42"/>
      <c r="ULQ63" s="33"/>
      <c r="ULR63" s="33"/>
      <c r="ULV63" s="41"/>
      <c r="UMB63" s="42"/>
      <c r="UMI63" s="33"/>
      <c r="UMJ63" s="33"/>
      <c r="UMN63" s="41"/>
      <c r="UMT63" s="42"/>
      <c r="UNA63" s="33"/>
      <c r="UNB63" s="33"/>
      <c r="UNF63" s="41"/>
      <c r="UNL63" s="42"/>
      <c r="UNS63" s="33"/>
      <c r="UNT63" s="33"/>
      <c r="UNX63" s="41"/>
      <c r="UOD63" s="42"/>
      <c r="UOK63" s="33"/>
      <c r="UOL63" s="33"/>
      <c r="UOP63" s="41"/>
      <c r="UOV63" s="42"/>
      <c r="UPC63" s="33"/>
      <c r="UPD63" s="33"/>
      <c r="UPH63" s="41"/>
      <c r="UPN63" s="42"/>
      <c r="UPU63" s="33"/>
      <c r="UPV63" s="33"/>
      <c r="UPZ63" s="41"/>
      <c r="UQF63" s="42"/>
      <c r="UQM63" s="33"/>
      <c r="UQN63" s="33"/>
      <c r="UQR63" s="41"/>
      <c r="UQX63" s="42"/>
      <c r="URE63" s="33"/>
      <c r="URF63" s="33"/>
      <c r="URJ63" s="41"/>
      <c r="URP63" s="42"/>
      <c r="URW63" s="33"/>
      <c r="URX63" s="33"/>
      <c r="USB63" s="41"/>
      <c r="USH63" s="42"/>
      <c r="USO63" s="33"/>
      <c r="USP63" s="33"/>
      <c r="UST63" s="41"/>
      <c r="USZ63" s="42"/>
      <c r="UTG63" s="33"/>
      <c r="UTH63" s="33"/>
      <c r="UTL63" s="41"/>
      <c r="UTR63" s="42"/>
      <c r="UTY63" s="33"/>
      <c r="UTZ63" s="33"/>
      <c r="UUD63" s="41"/>
      <c r="UUJ63" s="42"/>
      <c r="UUQ63" s="33"/>
      <c r="UUR63" s="33"/>
      <c r="UUV63" s="41"/>
      <c r="UVB63" s="42"/>
      <c r="UVI63" s="33"/>
      <c r="UVJ63" s="33"/>
      <c r="UVN63" s="41"/>
      <c r="UVT63" s="42"/>
      <c r="UWA63" s="33"/>
      <c r="UWB63" s="33"/>
      <c r="UWF63" s="41"/>
      <c r="UWL63" s="42"/>
      <c r="UWS63" s="33"/>
      <c r="UWT63" s="33"/>
      <c r="UWX63" s="41"/>
      <c r="UXD63" s="42"/>
      <c r="UXK63" s="33"/>
      <c r="UXL63" s="33"/>
      <c r="UXP63" s="41"/>
      <c r="UXV63" s="42"/>
      <c r="UYC63" s="33"/>
      <c r="UYD63" s="33"/>
      <c r="UYH63" s="41"/>
      <c r="UYN63" s="42"/>
      <c r="UYU63" s="33"/>
      <c r="UYV63" s="33"/>
      <c r="UYZ63" s="41"/>
      <c r="UZF63" s="42"/>
      <c r="UZM63" s="33"/>
      <c r="UZN63" s="33"/>
      <c r="UZR63" s="41"/>
      <c r="UZX63" s="42"/>
      <c r="VAE63" s="33"/>
      <c r="VAF63" s="33"/>
      <c r="VAJ63" s="41"/>
      <c r="VAP63" s="42"/>
      <c r="VAW63" s="33"/>
      <c r="VAX63" s="33"/>
      <c r="VBB63" s="41"/>
      <c r="VBH63" s="42"/>
      <c r="VBO63" s="33"/>
      <c r="VBP63" s="33"/>
      <c r="VBT63" s="41"/>
      <c r="VBZ63" s="42"/>
      <c r="VCG63" s="33"/>
      <c r="VCH63" s="33"/>
      <c r="VCL63" s="41"/>
      <c r="VCR63" s="42"/>
      <c r="VCY63" s="33"/>
      <c r="VCZ63" s="33"/>
      <c r="VDD63" s="41"/>
      <c r="VDJ63" s="42"/>
      <c r="VDQ63" s="33"/>
      <c r="VDR63" s="33"/>
      <c r="VDV63" s="41"/>
      <c r="VEB63" s="42"/>
      <c r="VEI63" s="33"/>
      <c r="VEJ63" s="33"/>
      <c r="VEN63" s="41"/>
      <c r="VET63" s="42"/>
      <c r="VFA63" s="33"/>
      <c r="VFB63" s="33"/>
      <c r="VFF63" s="41"/>
      <c r="VFL63" s="42"/>
      <c r="VFS63" s="33"/>
      <c r="VFT63" s="33"/>
      <c r="VFX63" s="41"/>
      <c r="VGD63" s="42"/>
      <c r="VGK63" s="33"/>
      <c r="VGL63" s="33"/>
      <c r="VGP63" s="41"/>
      <c r="VGV63" s="42"/>
      <c r="VHC63" s="33"/>
      <c r="VHD63" s="33"/>
      <c r="VHH63" s="41"/>
      <c r="VHN63" s="42"/>
      <c r="VHU63" s="33"/>
      <c r="VHV63" s="33"/>
      <c r="VHZ63" s="41"/>
      <c r="VIF63" s="42"/>
      <c r="VIM63" s="33"/>
      <c r="VIN63" s="33"/>
      <c r="VIR63" s="41"/>
      <c r="VIX63" s="42"/>
      <c r="VJE63" s="33"/>
      <c r="VJF63" s="33"/>
      <c r="VJJ63" s="41"/>
      <c r="VJP63" s="42"/>
      <c r="VJW63" s="33"/>
      <c r="VJX63" s="33"/>
      <c r="VKB63" s="41"/>
      <c r="VKH63" s="42"/>
      <c r="VKO63" s="33"/>
      <c r="VKP63" s="33"/>
      <c r="VKT63" s="41"/>
      <c r="VKZ63" s="42"/>
      <c r="VLG63" s="33"/>
      <c r="VLH63" s="33"/>
      <c r="VLL63" s="41"/>
      <c r="VLR63" s="42"/>
      <c r="VLY63" s="33"/>
      <c r="VLZ63" s="33"/>
      <c r="VMD63" s="41"/>
      <c r="VMJ63" s="42"/>
      <c r="VMQ63" s="33"/>
      <c r="VMR63" s="33"/>
      <c r="VMV63" s="41"/>
      <c r="VNB63" s="42"/>
      <c r="VNI63" s="33"/>
      <c r="VNJ63" s="33"/>
      <c r="VNN63" s="41"/>
      <c r="VNT63" s="42"/>
      <c r="VOA63" s="33"/>
      <c r="VOB63" s="33"/>
      <c r="VOF63" s="41"/>
      <c r="VOL63" s="42"/>
      <c r="VOS63" s="33"/>
      <c r="VOT63" s="33"/>
      <c r="VOX63" s="41"/>
      <c r="VPD63" s="42"/>
      <c r="VPK63" s="33"/>
      <c r="VPL63" s="33"/>
      <c r="VPP63" s="41"/>
      <c r="VPV63" s="42"/>
      <c r="VQC63" s="33"/>
      <c r="VQD63" s="33"/>
      <c r="VQH63" s="41"/>
      <c r="VQN63" s="42"/>
      <c r="VQU63" s="33"/>
      <c r="VQV63" s="33"/>
      <c r="VQZ63" s="41"/>
      <c r="VRF63" s="42"/>
      <c r="VRM63" s="33"/>
      <c r="VRN63" s="33"/>
      <c r="VRR63" s="41"/>
      <c r="VRX63" s="42"/>
      <c r="VSE63" s="33"/>
      <c r="VSF63" s="33"/>
      <c r="VSJ63" s="41"/>
      <c r="VSP63" s="42"/>
      <c r="VSW63" s="33"/>
      <c r="VSX63" s="33"/>
      <c r="VTB63" s="41"/>
      <c r="VTH63" s="42"/>
      <c r="VTO63" s="33"/>
      <c r="VTP63" s="33"/>
      <c r="VTT63" s="41"/>
      <c r="VTZ63" s="42"/>
      <c r="VUG63" s="33"/>
      <c r="VUH63" s="33"/>
      <c r="VUL63" s="41"/>
      <c r="VUR63" s="42"/>
      <c r="VUY63" s="33"/>
      <c r="VUZ63" s="33"/>
      <c r="VVD63" s="41"/>
      <c r="VVJ63" s="42"/>
      <c r="VVQ63" s="33"/>
      <c r="VVR63" s="33"/>
      <c r="VVV63" s="41"/>
      <c r="VWB63" s="42"/>
      <c r="VWI63" s="33"/>
      <c r="VWJ63" s="33"/>
      <c r="VWN63" s="41"/>
      <c r="VWT63" s="42"/>
      <c r="VXA63" s="33"/>
      <c r="VXB63" s="33"/>
      <c r="VXF63" s="41"/>
      <c r="VXL63" s="42"/>
      <c r="VXS63" s="33"/>
      <c r="VXT63" s="33"/>
      <c r="VXX63" s="41"/>
      <c r="VYD63" s="42"/>
      <c r="VYK63" s="33"/>
      <c r="VYL63" s="33"/>
      <c r="VYP63" s="41"/>
      <c r="VYV63" s="42"/>
      <c r="VZC63" s="33"/>
      <c r="VZD63" s="33"/>
      <c r="VZH63" s="41"/>
      <c r="VZN63" s="42"/>
      <c r="VZU63" s="33"/>
      <c r="VZV63" s="33"/>
      <c r="VZZ63" s="41"/>
      <c r="WAF63" s="42"/>
      <c r="WAM63" s="33"/>
      <c r="WAN63" s="33"/>
      <c r="WAR63" s="41"/>
      <c r="WAX63" s="42"/>
      <c r="WBE63" s="33"/>
      <c r="WBF63" s="33"/>
      <c r="WBJ63" s="41"/>
      <c r="WBP63" s="42"/>
      <c r="WBW63" s="33"/>
      <c r="WBX63" s="33"/>
      <c r="WCB63" s="41"/>
      <c r="WCH63" s="42"/>
      <c r="WCO63" s="33"/>
      <c r="WCP63" s="33"/>
      <c r="WCT63" s="41"/>
      <c r="WCZ63" s="42"/>
      <c r="WDG63" s="33"/>
      <c r="WDH63" s="33"/>
      <c r="WDL63" s="41"/>
      <c r="WDR63" s="42"/>
      <c r="WDY63" s="33"/>
      <c r="WDZ63" s="33"/>
      <c r="WED63" s="41"/>
      <c r="WEJ63" s="42"/>
      <c r="WEQ63" s="33"/>
      <c r="WER63" s="33"/>
      <c r="WEV63" s="41"/>
      <c r="WFB63" s="42"/>
      <c r="WFI63" s="33"/>
      <c r="WFJ63" s="33"/>
      <c r="WFN63" s="41"/>
      <c r="WFT63" s="42"/>
      <c r="WGA63" s="33"/>
      <c r="WGB63" s="33"/>
      <c r="WGF63" s="41"/>
      <c r="WGL63" s="42"/>
      <c r="WGS63" s="33"/>
      <c r="WGT63" s="33"/>
      <c r="WGX63" s="41"/>
      <c r="WHD63" s="42"/>
      <c r="WHK63" s="33"/>
      <c r="WHL63" s="33"/>
      <c r="WHP63" s="41"/>
      <c r="WHV63" s="42"/>
      <c r="WIC63" s="33"/>
      <c r="WID63" s="33"/>
      <c r="WIH63" s="41"/>
      <c r="WIN63" s="42"/>
      <c r="WIU63" s="33"/>
      <c r="WIV63" s="33"/>
      <c r="WIZ63" s="41"/>
      <c r="WJF63" s="42"/>
      <c r="WJM63" s="33"/>
      <c r="WJN63" s="33"/>
      <c r="WJR63" s="41"/>
      <c r="WJX63" s="42"/>
      <c r="WKE63" s="33"/>
      <c r="WKF63" s="33"/>
      <c r="WKJ63" s="41"/>
      <c r="WKP63" s="42"/>
      <c r="WKW63" s="33"/>
      <c r="WKX63" s="33"/>
      <c r="WLB63" s="41"/>
      <c r="WLH63" s="42"/>
      <c r="WLO63" s="33"/>
      <c r="WLP63" s="33"/>
      <c r="WLT63" s="41"/>
      <c r="WLZ63" s="42"/>
      <c r="WMG63" s="33"/>
      <c r="WMH63" s="33"/>
      <c r="WML63" s="41"/>
      <c r="WMR63" s="42"/>
      <c r="WMY63" s="33"/>
      <c r="WMZ63" s="33"/>
      <c r="WND63" s="41"/>
      <c r="WNJ63" s="42"/>
      <c r="WNQ63" s="33"/>
      <c r="WNR63" s="33"/>
      <c r="WNV63" s="41"/>
      <c r="WOB63" s="42"/>
      <c r="WOI63" s="33"/>
      <c r="WOJ63" s="33"/>
      <c r="WON63" s="41"/>
      <c r="WOT63" s="42"/>
      <c r="WPA63" s="33"/>
      <c r="WPB63" s="33"/>
      <c r="WPF63" s="41"/>
      <c r="WPL63" s="42"/>
      <c r="WPS63" s="33"/>
      <c r="WPT63" s="33"/>
      <c r="WPX63" s="41"/>
      <c r="WQD63" s="42"/>
      <c r="WQK63" s="33"/>
      <c r="WQL63" s="33"/>
      <c r="WQP63" s="41"/>
      <c r="WQV63" s="42"/>
      <c r="WRC63" s="33"/>
      <c r="WRD63" s="33"/>
      <c r="WRH63" s="41"/>
      <c r="WRN63" s="42"/>
      <c r="WRU63" s="33"/>
      <c r="WRV63" s="33"/>
      <c r="WRZ63" s="41"/>
      <c r="WSF63" s="42"/>
      <c r="WSM63" s="33"/>
      <c r="WSN63" s="33"/>
      <c r="WSR63" s="41"/>
      <c r="WSX63" s="42"/>
      <c r="WTE63" s="33"/>
      <c r="WTF63" s="33"/>
      <c r="WTJ63" s="41"/>
      <c r="WTP63" s="42"/>
      <c r="WTW63" s="33"/>
      <c r="WTX63" s="33"/>
      <c r="WUB63" s="41"/>
      <c r="WUH63" s="42"/>
      <c r="WUO63" s="33"/>
      <c r="WUP63" s="33"/>
      <c r="WUT63" s="41"/>
      <c r="WUZ63" s="42"/>
      <c r="WVG63" s="33"/>
      <c r="WVH63" s="33"/>
      <c r="WVL63" s="41"/>
      <c r="WVR63" s="42"/>
      <c r="WVY63" s="33"/>
      <c r="WVZ63" s="33"/>
      <c r="WWD63" s="41"/>
      <c r="WWJ63" s="42"/>
      <c r="WWQ63" s="33"/>
      <c r="WWR63" s="33"/>
      <c r="WWV63" s="41"/>
      <c r="WXB63" s="42"/>
      <c r="WXI63" s="33"/>
      <c r="WXJ63" s="33"/>
      <c r="WXN63" s="41"/>
      <c r="WXT63" s="42"/>
      <c r="WYA63" s="33"/>
      <c r="WYB63" s="33"/>
      <c r="WYF63" s="41"/>
      <c r="WYL63" s="42"/>
      <c r="WYS63" s="33"/>
      <c r="WYT63" s="33"/>
      <c r="WYX63" s="41"/>
      <c r="WZD63" s="42"/>
      <c r="WZK63" s="33"/>
      <c r="WZL63" s="33"/>
      <c r="WZP63" s="41"/>
      <c r="WZV63" s="42"/>
      <c r="XAC63" s="33"/>
      <c r="XAD63" s="33"/>
      <c r="XAH63" s="41"/>
      <c r="XAN63" s="42"/>
      <c r="XAU63" s="33"/>
      <c r="XAV63" s="33"/>
      <c r="XAZ63" s="41"/>
      <c r="XBF63" s="42"/>
      <c r="XBM63" s="33"/>
      <c r="XBN63" s="33"/>
      <c r="XBR63" s="41"/>
      <c r="XBX63" s="42"/>
      <c r="XCE63" s="33"/>
      <c r="XCF63" s="33"/>
      <c r="XCJ63" s="41"/>
      <c r="XCP63" s="42"/>
      <c r="XCW63" s="33"/>
      <c r="XCX63" s="33"/>
      <c r="XDB63" s="41"/>
      <c r="XDH63" s="42"/>
      <c r="XDO63" s="33"/>
      <c r="XDP63" s="33"/>
      <c r="XDT63" s="41"/>
      <c r="XDZ63" s="42"/>
      <c r="XEG63" s="33"/>
      <c r="XEH63" s="33"/>
      <c r="XEL63" s="41"/>
      <c r="XER63" s="42"/>
      <c r="XEY63" s="33"/>
      <c r="XEZ63" s="33"/>
      <c r="XFD63" s="41"/>
    </row>
    <row r="64" spans="1:1018 1025:2044 2051:3070 3077:4096 4103:5116 5122:6142 6148:7168 7174:8190 8194:9216 9220:10234 10241:11260 11267:12286 12293:13312 13319:14332 14338:15358 15364:16384" s="40" customFormat="1">
      <c r="A64" s="33" t="s">
        <v>190</v>
      </c>
      <c r="B64" s="34">
        <v>2004</v>
      </c>
      <c r="C64" s="35" t="s">
        <v>191</v>
      </c>
      <c r="D64" s="36" t="s">
        <v>86</v>
      </c>
      <c r="E64" s="35"/>
      <c r="F64" s="35" t="s">
        <v>103</v>
      </c>
      <c r="G64" s="51">
        <v>775990000</v>
      </c>
      <c r="H64" s="51">
        <v>808829000</v>
      </c>
      <c r="I64" s="34"/>
      <c r="J64" s="39"/>
      <c r="K64" s="36"/>
      <c r="L64" s="36"/>
      <c r="M64" s="36"/>
      <c r="N64" s="34"/>
      <c r="O64" s="36"/>
      <c r="P64" s="34"/>
      <c r="Q64" s="36"/>
      <c r="R64" s="36"/>
      <c r="V64" s="41"/>
      <c r="AB64" s="42"/>
      <c r="AI64" s="33"/>
      <c r="AJ64" s="33"/>
      <c r="AN64" s="41"/>
      <c r="AT64" s="42"/>
      <c r="BA64" s="33"/>
      <c r="BB64" s="33"/>
      <c r="BF64" s="41"/>
      <c r="BL64" s="42"/>
      <c r="BS64" s="33"/>
      <c r="BT64" s="33"/>
      <c r="BX64" s="41"/>
      <c r="CD64" s="42"/>
      <c r="CK64" s="33"/>
      <c r="CL64" s="33"/>
      <c r="CP64" s="41"/>
      <c r="CV64" s="42"/>
      <c r="DC64" s="33"/>
      <c r="DD64" s="33"/>
      <c r="DH64" s="41"/>
      <c r="DN64" s="42"/>
      <c r="DU64" s="33"/>
      <c r="DV64" s="33"/>
      <c r="DZ64" s="41"/>
      <c r="EF64" s="42"/>
      <c r="EM64" s="33"/>
      <c r="EN64" s="33"/>
      <c r="ER64" s="41"/>
      <c r="EX64" s="42"/>
      <c r="FE64" s="33"/>
      <c r="FF64" s="33"/>
      <c r="FJ64" s="41"/>
      <c r="FP64" s="42"/>
      <c r="FW64" s="33"/>
      <c r="FX64" s="33"/>
      <c r="GB64" s="41"/>
      <c r="GH64" s="42"/>
      <c r="GO64" s="33"/>
      <c r="GP64" s="33"/>
      <c r="GT64" s="41"/>
      <c r="GZ64" s="42"/>
      <c r="HG64" s="33"/>
      <c r="HH64" s="33"/>
      <c r="HL64" s="41"/>
      <c r="HR64" s="42"/>
      <c r="HY64" s="33"/>
      <c r="HZ64" s="33"/>
      <c r="ID64" s="41"/>
      <c r="IJ64" s="42"/>
      <c r="IQ64" s="33"/>
      <c r="IR64" s="33"/>
      <c r="IV64" s="41"/>
      <c r="JB64" s="42"/>
      <c r="JI64" s="33"/>
      <c r="JJ64" s="33"/>
      <c r="JN64" s="41"/>
      <c r="JT64" s="42"/>
      <c r="KA64" s="33"/>
      <c r="KB64" s="33"/>
      <c r="KF64" s="41"/>
      <c r="KL64" s="42"/>
      <c r="KS64" s="33"/>
      <c r="KT64" s="33"/>
      <c r="KX64" s="41"/>
      <c r="LD64" s="42"/>
      <c r="LK64" s="33"/>
      <c r="LL64" s="33"/>
      <c r="LP64" s="41"/>
      <c r="LV64" s="42"/>
      <c r="MC64" s="33"/>
      <c r="MD64" s="33"/>
      <c r="MH64" s="41"/>
      <c r="MN64" s="42"/>
      <c r="MU64" s="33"/>
      <c r="MV64" s="33"/>
      <c r="MZ64" s="41"/>
      <c r="NF64" s="42"/>
      <c r="NM64" s="33"/>
      <c r="NN64" s="33"/>
      <c r="NR64" s="41"/>
      <c r="NX64" s="42"/>
      <c r="OE64" s="33"/>
      <c r="OF64" s="33"/>
      <c r="OJ64" s="41"/>
      <c r="OP64" s="42"/>
      <c r="OW64" s="33"/>
      <c r="OX64" s="33"/>
      <c r="PB64" s="41"/>
      <c r="PH64" s="42"/>
      <c r="PO64" s="33"/>
      <c r="PP64" s="33"/>
      <c r="PT64" s="41"/>
      <c r="PZ64" s="42"/>
      <c r="QG64" s="33"/>
      <c r="QH64" s="33"/>
      <c r="QL64" s="41"/>
      <c r="QR64" s="42"/>
      <c r="QY64" s="33"/>
      <c r="QZ64" s="33"/>
      <c r="RD64" s="41"/>
      <c r="RJ64" s="42"/>
      <c r="RQ64" s="33"/>
      <c r="RR64" s="33"/>
      <c r="RV64" s="41"/>
      <c r="SB64" s="42"/>
      <c r="SI64" s="33"/>
      <c r="SJ64" s="33"/>
      <c r="SN64" s="41"/>
      <c r="ST64" s="42"/>
      <c r="TA64" s="33"/>
      <c r="TB64" s="33"/>
      <c r="TF64" s="41"/>
      <c r="TL64" s="42"/>
      <c r="TS64" s="33"/>
      <c r="TT64" s="33"/>
      <c r="TX64" s="41"/>
      <c r="UD64" s="42"/>
      <c r="UK64" s="33"/>
      <c r="UL64" s="33"/>
      <c r="UP64" s="41"/>
      <c r="UV64" s="42"/>
      <c r="VC64" s="33"/>
      <c r="VD64" s="33"/>
      <c r="VH64" s="41"/>
      <c r="VN64" s="42"/>
      <c r="VU64" s="33"/>
      <c r="VV64" s="33"/>
      <c r="VZ64" s="41"/>
      <c r="WF64" s="42"/>
      <c r="WM64" s="33"/>
      <c r="WN64" s="33"/>
      <c r="WR64" s="41"/>
      <c r="WX64" s="42"/>
      <c r="XE64" s="33"/>
      <c r="XF64" s="33"/>
      <c r="XJ64" s="41"/>
      <c r="XP64" s="42"/>
      <c r="XW64" s="33"/>
      <c r="XX64" s="33"/>
      <c r="YB64" s="41"/>
      <c r="YH64" s="42"/>
      <c r="YO64" s="33"/>
      <c r="YP64" s="33"/>
      <c r="YT64" s="41"/>
      <c r="YZ64" s="42"/>
      <c r="ZG64" s="33"/>
      <c r="ZH64" s="33"/>
      <c r="ZL64" s="41"/>
      <c r="ZR64" s="42"/>
      <c r="ZY64" s="33"/>
      <c r="ZZ64" s="33"/>
      <c r="AAD64" s="41"/>
      <c r="AAJ64" s="42"/>
      <c r="AAQ64" s="33"/>
      <c r="AAR64" s="33"/>
      <c r="AAV64" s="41"/>
      <c r="ABB64" s="42"/>
      <c r="ABI64" s="33"/>
      <c r="ABJ64" s="33"/>
      <c r="ABN64" s="41"/>
      <c r="ABT64" s="42"/>
      <c r="ACA64" s="33"/>
      <c r="ACB64" s="33"/>
      <c r="ACF64" s="41"/>
      <c r="ACL64" s="42"/>
      <c r="ACS64" s="33"/>
      <c r="ACT64" s="33"/>
      <c r="ACX64" s="41"/>
      <c r="ADD64" s="42"/>
      <c r="ADK64" s="33"/>
      <c r="ADL64" s="33"/>
      <c r="ADP64" s="41"/>
      <c r="ADV64" s="42"/>
      <c r="AEC64" s="33"/>
      <c r="AED64" s="33"/>
      <c r="AEH64" s="41"/>
      <c r="AEN64" s="42"/>
      <c r="AEU64" s="33"/>
      <c r="AEV64" s="33"/>
      <c r="AEZ64" s="41"/>
      <c r="AFF64" s="42"/>
      <c r="AFM64" s="33"/>
      <c r="AFN64" s="33"/>
      <c r="AFR64" s="41"/>
      <c r="AFX64" s="42"/>
      <c r="AGE64" s="33"/>
      <c r="AGF64" s="33"/>
      <c r="AGJ64" s="41"/>
      <c r="AGP64" s="42"/>
      <c r="AGW64" s="33"/>
      <c r="AGX64" s="33"/>
      <c r="AHB64" s="41"/>
      <c r="AHH64" s="42"/>
      <c r="AHO64" s="33"/>
      <c r="AHP64" s="33"/>
      <c r="AHT64" s="41"/>
      <c r="AHZ64" s="42"/>
      <c r="AIG64" s="33"/>
      <c r="AIH64" s="33"/>
      <c r="AIL64" s="41"/>
      <c r="AIR64" s="42"/>
      <c r="AIY64" s="33"/>
      <c r="AIZ64" s="33"/>
      <c r="AJD64" s="41"/>
      <c r="AJJ64" s="42"/>
      <c r="AJQ64" s="33"/>
      <c r="AJR64" s="33"/>
      <c r="AJV64" s="41"/>
      <c r="AKB64" s="42"/>
      <c r="AKI64" s="33"/>
      <c r="AKJ64" s="33"/>
      <c r="AKN64" s="41"/>
      <c r="AKT64" s="42"/>
      <c r="ALA64" s="33"/>
      <c r="ALB64" s="33"/>
      <c r="ALF64" s="41"/>
      <c r="ALL64" s="42"/>
      <c r="ALS64" s="33"/>
      <c r="ALT64" s="33"/>
      <c r="ALX64" s="41"/>
      <c r="AMD64" s="42"/>
      <c r="AMK64" s="33"/>
      <c r="AML64" s="33"/>
      <c r="AMP64" s="41"/>
      <c r="AMV64" s="42"/>
      <c r="ANC64" s="33"/>
      <c r="AND64" s="33"/>
      <c r="ANH64" s="41"/>
      <c r="ANN64" s="42"/>
      <c r="ANU64" s="33"/>
      <c r="ANV64" s="33"/>
      <c r="ANZ64" s="41"/>
      <c r="AOF64" s="42"/>
      <c r="AOM64" s="33"/>
      <c r="AON64" s="33"/>
      <c r="AOR64" s="41"/>
      <c r="AOX64" s="42"/>
      <c r="APE64" s="33"/>
      <c r="APF64" s="33"/>
      <c r="APJ64" s="41"/>
      <c r="APP64" s="42"/>
      <c r="APW64" s="33"/>
      <c r="APX64" s="33"/>
      <c r="AQB64" s="41"/>
      <c r="AQH64" s="42"/>
      <c r="AQO64" s="33"/>
      <c r="AQP64" s="33"/>
      <c r="AQT64" s="41"/>
      <c r="AQZ64" s="42"/>
      <c r="ARG64" s="33"/>
      <c r="ARH64" s="33"/>
      <c r="ARL64" s="41"/>
      <c r="ARR64" s="42"/>
      <c r="ARY64" s="33"/>
      <c r="ARZ64" s="33"/>
      <c r="ASD64" s="41"/>
      <c r="ASJ64" s="42"/>
      <c r="ASQ64" s="33"/>
      <c r="ASR64" s="33"/>
      <c r="ASV64" s="41"/>
      <c r="ATB64" s="42"/>
      <c r="ATI64" s="33"/>
      <c r="ATJ64" s="33"/>
      <c r="ATN64" s="41"/>
      <c r="ATT64" s="42"/>
      <c r="AUA64" s="33"/>
      <c r="AUB64" s="33"/>
      <c r="AUF64" s="41"/>
      <c r="AUL64" s="42"/>
      <c r="AUS64" s="33"/>
      <c r="AUT64" s="33"/>
      <c r="AUX64" s="41"/>
      <c r="AVD64" s="42"/>
      <c r="AVK64" s="33"/>
      <c r="AVL64" s="33"/>
      <c r="AVP64" s="41"/>
      <c r="AVV64" s="42"/>
      <c r="AWC64" s="33"/>
      <c r="AWD64" s="33"/>
      <c r="AWH64" s="41"/>
      <c r="AWN64" s="42"/>
      <c r="AWU64" s="33"/>
      <c r="AWV64" s="33"/>
      <c r="AWZ64" s="41"/>
      <c r="AXF64" s="42"/>
      <c r="AXM64" s="33"/>
      <c r="AXN64" s="33"/>
      <c r="AXR64" s="41"/>
      <c r="AXX64" s="42"/>
      <c r="AYE64" s="33"/>
      <c r="AYF64" s="33"/>
      <c r="AYJ64" s="41"/>
      <c r="AYP64" s="42"/>
      <c r="AYW64" s="33"/>
      <c r="AYX64" s="33"/>
      <c r="AZB64" s="41"/>
      <c r="AZH64" s="42"/>
      <c r="AZO64" s="33"/>
      <c r="AZP64" s="33"/>
      <c r="AZT64" s="41"/>
      <c r="AZZ64" s="42"/>
      <c r="BAG64" s="33"/>
      <c r="BAH64" s="33"/>
      <c r="BAL64" s="41"/>
      <c r="BAR64" s="42"/>
      <c r="BAY64" s="33"/>
      <c r="BAZ64" s="33"/>
      <c r="BBD64" s="41"/>
      <c r="BBJ64" s="42"/>
      <c r="BBQ64" s="33"/>
      <c r="BBR64" s="33"/>
      <c r="BBV64" s="41"/>
      <c r="BCB64" s="42"/>
      <c r="BCI64" s="33"/>
      <c r="BCJ64" s="33"/>
      <c r="BCN64" s="41"/>
      <c r="BCT64" s="42"/>
      <c r="BDA64" s="33"/>
      <c r="BDB64" s="33"/>
      <c r="BDF64" s="41"/>
      <c r="BDL64" s="42"/>
      <c r="BDS64" s="33"/>
      <c r="BDT64" s="33"/>
      <c r="BDX64" s="41"/>
      <c r="BED64" s="42"/>
      <c r="BEK64" s="33"/>
      <c r="BEL64" s="33"/>
      <c r="BEP64" s="41"/>
      <c r="BEV64" s="42"/>
      <c r="BFC64" s="33"/>
      <c r="BFD64" s="33"/>
      <c r="BFH64" s="41"/>
      <c r="BFN64" s="42"/>
      <c r="BFU64" s="33"/>
      <c r="BFV64" s="33"/>
      <c r="BFZ64" s="41"/>
      <c r="BGF64" s="42"/>
      <c r="BGM64" s="33"/>
      <c r="BGN64" s="33"/>
      <c r="BGR64" s="41"/>
      <c r="BGX64" s="42"/>
      <c r="BHE64" s="33"/>
      <c r="BHF64" s="33"/>
      <c r="BHJ64" s="41"/>
      <c r="BHP64" s="42"/>
      <c r="BHW64" s="33"/>
      <c r="BHX64" s="33"/>
      <c r="BIB64" s="41"/>
      <c r="BIH64" s="42"/>
      <c r="BIO64" s="33"/>
      <c r="BIP64" s="33"/>
      <c r="BIT64" s="41"/>
      <c r="BIZ64" s="42"/>
      <c r="BJG64" s="33"/>
      <c r="BJH64" s="33"/>
      <c r="BJL64" s="41"/>
      <c r="BJR64" s="42"/>
      <c r="BJY64" s="33"/>
      <c r="BJZ64" s="33"/>
      <c r="BKD64" s="41"/>
      <c r="BKJ64" s="42"/>
      <c r="BKQ64" s="33"/>
      <c r="BKR64" s="33"/>
      <c r="BKV64" s="41"/>
      <c r="BLB64" s="42"/>
      <c r="BLI64" s="33"/>
      <c r="BLJ64" s="33"/>
      <c r="BLN64" s="41"/>
      <c r="BLT64" s="42"/>
      <c r="BMA64" s="33"/>
      <c r="BMB64" s="33"/>
      <c r="BMF64" s="41"/>
      <c r="BML64" s="42"/>
      <c r="BMS64" s="33"/>
      <c r="BMT64" s="33"/>
      <c r="BMX64" s="41"/>
      <c r="BND64" s="42"/>
      <c r="BNK64" s="33"/>
      <c r="BNL64" s="33"/>
      <c r="BNP64" s="41"/>
      <c r="BNV64" s="42"/>
      <c r="BOC64" s="33"/>
      <c r="BOD64" s="33"/>
      <c r="BOH64" s="41"/>
      <c r="BON64" s="42"/>
      <c r="BOU64" s="33"/>
      <c r="BOV64" s="33"/>
      <c r="BOZ64" s="41"/>
      <c r="BPF64" s="42"/>
      <c r="BPM64" s="33"/>
      <c r="BPN64" s="33"/>
      <c r="BPR64" s="41"/>
      <c r="BPX64" s="42"/>
      <c r="BQE64" s="33"/>
      <c r="BQF64" s="33"/>
      <c r="BQJ64" s="41"/>
      <c r="BQP64" s="42"/>
      <c r="BQW64" s="33"/>
      <c r="BQX64" s="33"/>
      <c r="BRB64" s="41"/>
      <c r="BRH64" s="42"/>
      <c r="BRO64" s="33"/>
      <c r="BRP64" s="33"/>
      <c r="BRT64" s="41"/>
      <c r="BRZ64" s="42"/>
      <c r="BSG64" s="33"/>
      <c r="BSH64" s="33"/>
      <c r="BSL64" s="41"/>
      <c r="BSR64" s="42"/>
      <c r="BSY64" s="33"/>
      <c r="BSZ64" s="33"/>
      <c r="BTD64" s="41"/>
      <c r="BTJ64" s="42"/>
      <c r="BTQ64" s="33"/>
      <c r="BTR64" s="33"/>
      <c r="BTV64" s="41"/>
      <c r="BUB64" s="42"/>
      <c r="BUI64" s="33"/>
      <c r="BUJ64" s="33"/>
      <c r="BUN64" s="41"/>
      <c r="BUT64" s="42"/>
      <c r="BVA64" s="33"/>
      <c r="BVB64" s="33"/>
      <c r="BVF64" s="41"/>
      <c r="BVL64" s="42"/>
      <c r="BVS64" s="33"/>
      <c r="BVT64" s="33"/>
      <c r="BVX64" s="41"/>
      <c r="BWD64" s="42"/>
      <c r="BWK64" s="33"/>
      <c r="BWL64" s="33"/>
      <c r="BWP64" s="41"/>
      <c r="BWV64" s="42"/>
      <c r="BXC64" s="33"/>
      <c r="BXD64" s="33"/>
      <c r="BXH64" s="41"/>
      <c r="BXN64" s="42"/>
      <c r="BXU64" s="33"/>
      <c r="BXV64" s="33"/>
      <c r="BXZ64" s="41"/>
      <c r="BYF64" s="42"/>
      <c r="BYM64" s="33"/>
      <c r="BYN64" s="33"/>
      <c r="BYR64" s="41"/>
      <c r="BYX64" s="42"/>
      <c r="BZE64" s="33"/>
      <c r="BZF64" s="33"/>
      <c r="BZJ64" s="41"/>
      <c r="BZP64" s="42"/>
      <c r="BZW64" s="33"/>
      <c r="BZX64" s="33"/>
      <c r="CAB64" s="41"/>
      <c r="CAH64" s="42"/>
      <c r="CAO64" s="33"/>
      <c r="CAP64" s="33"/>
      <c r="CAT64" s="41"/>
      <c r="CAZ64" s="42"/>
      <c r="CBG64" s="33"/>
      <c r="CBH64" s="33"/>
      <c r="CBL64" s="41"/>
      <c r="CBR64" s="42"/>
      <c r="CBY64" s="33"/>
      <c r="CBZ64" s="33"/>
      <c r="CCD64" s="41"/>
      <c r="CCJ64" s="42"/>
      <c r="CCQ64" s="33"/>
      <c r="CCR64" s="33"/>
      <c r="CCV64" s="41"/>
      <c r="CDB64" s="42"/>
      <c r="CDI64" s="33"/>
      <c r="CDJ64" s="33"/>
      <c r="CDN64" s="41"/>
      <c r="CDT64" s="42"/>
      <c r="CEA64" s="33"/>
      <c r="CEB64" s="33"/>
      <c r="CEF64" s="41"/>
      <c r="CEL64" s="42"/>
      <c r="CES64" s="33"/>
      <c r="CET64" s="33"/>
      <c r="CEX64" s="41"/>
      <c r="CFD64" s="42"/>
      <c r="CFK64" s="33"/>
      <c r="CFL64" s="33"/>
      <c r="CFP64" s="41"/>
      <c r="CFV64" s="42"/>
      <c r="CGC64" s="33"/>
      <c r="CGD64" s="33"/>
      <c r="CGH64" s="41"/>
      <c r="CGN64" s="42"/>
      <c r="CGU64" s="33"/>
      <c r="CGV64" s="33"/>
      <c r="CGZ64" s="41"/>
      <c r="CHF64" s="42"/>
      <c r="CHM64" s="33"/>
      <c r="CHN64" s="33"/>
      <c r="CHR64" s="41"/>
      <c r="CHX64" s="42"/>
      <c r="CIE64" s="33"/>
      <c r="CIF64" s="33"/>
      <c r="CIJ64" s="41"/>
      <c r="CIP64" s="42"/>
      <c r="CIW64" s="33"/>
      <c r="CIX64" s="33"/>
      <c r="CJB64" s="41"/>
      <c r="CJH64" s="42"/>
      <c r="CJO64" s="33"/>
      <c r="CJP64" s="33"/>
      <c r="CJT64" s="41"/>
      <c r="CJZ64" s="42"/>
      <c r="CKG64" s="33"/>
      <c r="CKH64" s="33"/>
      <c r="CKL64" s="41"/>
      <c r="CKR64" s="42"/>
      <c r="CKY64" s="33"/>
      <c r="CKZ64" s="33"/>
      <c r="CLD64" s="41"/>
      <c r="CLJ64" s="42"/>
      <c r="CLQ64" s="33"/>
      <c r="CLR64" s="33"/>
      <c r="CLV64" s="41"/>
      <c r="CMB64" s="42"/>
      <c r="CMI64" s="33"/>
      <c r="CMJ64" s="33"/>
      <c r="CMN64" s="41"/>
      <c r="CMT64" s="42"/>
      <c r="CNA64" s="33"/>
      <c r="CNB64" s="33"/>
      <c r="CNF64" s="41"/>
      <c r="CNL64" s="42"/>
      <c r="CNS64" s="33"/>
      <c r="CNT64" s="33"/>
      <c r="CNX64" s="41"/>
      <c r="COD64" s="42"/>
      <c r="COK64" s="33"/>
      <c r="COL64" s="33"/>
      <c r="COP64" s="41"/>
      <c r="COV64" s="42"/>
      <c r="CPC64" s="33"/>
      <c r="CPD64" s="33"/>
      <c r="CPH64" s="41"/>
      <c r="CPN64" s="42"/>
      <c r="CPU64" s="33"/>
      <c r="CPV64" s="33"/>
      <c r="CPZ64" s="41"/>
      <c r="CQF64" s="42"/>
      <c r="CQM64" s="33"/>
      <c r="CQN64" s="33"/>
      <c r="CQR64" s="41"/>
      <c r="CQX64" s="42"/>
      <c r="CRE64" s="33"/>
      <c r="CRF64" s="33"/>
      <c r="CRJ64" s="41"/>
      <c r="CRP64" s="42"/>
      <c r="CRW64" s="33"/>
      <c r="CRX64" s="33"/>
      <c r="CSB64" s="41"/>
      <c r="CSH64" s="42"/>
      <c r="CSO64" s="33"/>
      <c r="CSP64" s="33"/>
      <c r="CST64" s="41"/>
      <c r="CSZ64" s="42"/>
      <c r="CTG64" s="33"/>
      <c r="CTH64" s="33"/>
      <c r="CTL64" s="41"/>
      <c r="CTR64" s="42"/>
      <c r="CTY64" s="33"/>
      <c r="CTZ64" s="33"/>
      <c r="CUD64" s="41"/>
      <c r="CUJ64" s="42"/>
      <c r="CUQ64" s="33"/>
      <c r="CUR64" s="33"/>
      <c r="CUV64" s="41"/>
      <c r="CVB64" s="42"/>
      <c r="CVI64" s="33"/>
      <c r="CVJ64" s="33"/>
      <c r="CVN64" s="41"/>
      <c r="CVT64" s="42"/>
      <c r="CWA64" s="33"/>
      <c r="CWB64" s="33"/>
      <c r="CWF64" s="41"/>
      <c r="CWL64" s="42"/>
      <c r="CWS64" s="33"/>
      <c r="CWT64" s="33"/>
      <c r="CWX64" s="41"/>
      <c r="CXD64" s="42"/>
      <c r="CXK64" s="33"/>
      <c r="CXL64" s="33"/>
      <c r="CXP64" s="41"/>
      <c r="CXV64" s="42"/>
      <c r="CYC64" s="33"/>
      <c r="CYD64" s="33"/>
      <c r="CYH64" s="41"/>
      <c r="CYN64" s="42"/>
      <c r="CYU64" s="33"/>
      <c r="CYV64" s="33"/>
      <c r="CYZ64" s="41"/>
      <c r="CZF64" s="42"/>
      <c r="CZM64" s="33"/>
      <c r="CZN64" s="33"/>
      <c r="CZR64" s="41"/>
      <c r="CZX64" s="42"/>
      <c r="DAE64" s="33"/>
      <c r="DAF64" s="33"/>
      <c r="DAJ64" s="41"/>
      <c r="DAP64" s="42"/>
      <c r="DAW64" s="33"/>
      <c r="DAX64" s="33"/>
      <c r="DBB64" s="41"/>
      <c r="DBH64" s="42"/>
      <c r="DBO64" s="33"/>
      <c r="DBP64" s="33"/>
      <c r="DBT64" s="41"/>
      <c r="DBZ64" s="42"/>
      <c r="DCG64" s="33"/>
      <c r="DCH64" s="33"/>
      <c r="DCL64" s="41"/>
      <c r="DCR64" s="42"/>
      <c r="DCY64" s="33"/>
      <c r="DCZ64" s="33"/>
      <c r="DDD64" s="41"/>
      <c r="DDJ64" s="42"/>
      <c r="DDQ64" s="33"/>
      <c r="DDR64" s="33"/>
      <c r="DDV64" s="41"/>
      <c r="DEB64" s="42"/>
      <c r="DEI64" s="33"/>
      <c r="DEJ64" s="33"/>
      <c r="DEN64" s="41"/>
      <c r="DET64" s="42"/>
      <c r="DFA64" s="33"/>
      <c r="DFB64" s="33"/>
      <c r="DFF64" s="41"/>
      <c r="DFL64" s="42"/>
      <c r="DFS64" s="33"/>
      <c r="DFT64" s="33"/>
      <c r="DFX64" s="41"/>
      <c r="DGD64" s="42"/>
      <c r="DGK64" s="33"/>
      <c r="DGL64" s="33"/>
      <c r="DGP64" s="41"/>
      <c r="DGV64" s="42"/>
      <c r="DHC64" s="33"/>
      <c r="DHD64" s="33"/>
      <c r="DHH64" s="41"/>
      <c r="DHN64" s="42"/>
      <c r="DHU64" s="33"/>
      <c r="DHV64" s="33"/>
      <c r="DHZ64" s="41"/>
      <c r="DIF64" s="42"/>
      <c r="DIM64" s="33"/>
      <c r="DIN64" s="33"/>
      <c r="DIR64" s="41"/>
      <c r="DIX64" s="42"/>
      <c r="DJE64" s="33"/>
      <c r="DJF64" s="33"/>
      <c r="DJJ64" s="41"/>
      <c r="DJP64" s="42"/>
      <c r="DJW64" s="33"/>
      <c r="DJX64" s="33"/>
      <c r="DKB64" s="41"/>
      <c r="DKH64" s="42"/>
      <c r="DKO64" s="33"/>
      <c r="DKP64" s="33"/>
      <c r="DKT64" s="41"/>
      <c r="DKZ64" s="42"/>
      <c r="DLG64" s="33"/>
      <c r="DLH64" s="33"/>
      <c r="DLL64" s="41"/>
      <c r="DLR64" s="42"/>
      <c r="DLY64" s="33"/>
      <c r="DLZ64" s="33"/>
      <c r="DMD64" s="41"/>
      <c r="DMJ64" s="42"/>
      <c r="DMQ64" s="33"/>
      <c r="DMR64" s="33"/>
      <c r="DMV64" s="41"/>
      <c r="DNB64" s="42"/>
      <c r="DNI64" s="33"/>
      <c r="DNJ64" s="33"/>
      <c r="DNN64" s="41"/>
      <c r="DNT64" s="42"/>
      <c r="DOA64" s="33"/>
      <c r="DOB64" s="33"/>
      <c r="DOF64" s="41"/>
      <c r="DOL64" s="42"/>
      <c r="DOS64" s="33"/>
      <c r="DOT64" s="33"/>
      <c r="DOX64" s="41"/>
      <c r="DPD64" s="42"/>
      <c r="DPK64" s="33"/>
      <c r="DPL64" s="33"/>
      <c r="DPP64" s="41"/>
      <c r="DPV64" s="42"/>
      <c r="DQC64" s="33"/>
      <c r="DQD64" s="33"/>
      <c r="DQH64" s="41"/>
      <c r="DQN64" s="42"/>
      <c r="DQU64" s="33"/>
      <c r="DQV64" s="33"/>
      <c r="DQZ64" s="41"/>
      <c r="DRF64" s="42"/>
      <c r="DRM64" s="33"/>
      <c r="DRN64" s="33"/>
      <c r="DRR64" s="41"/>
      <c r="DRX64" s="42"/>
      <c r="DSE64" s="33"/>
      <c r="DSF64" s="33"/>
      <c r="DSJ64" s="41"/>
      <c r="DSP64" s="42"/>
      <c r="DSW64" s="33"/>
      <c r="DSX64" s="33"/>
      <c r="DTB64" s="41"/>
      <c r="DTH64" s="42"/>
      <c r="DTO64" s="33"/>
      <c r="DTP64" s="33"/>
      <c r="DTT64" s="41"/>
      <c r="DTZ64" s="42"/>
      <c r="DUG64" s="33"/>
      <c r="DUH64" s="33"/>
      <c r="DUL64" s="41"/>
      <c r="DUR64" s="42"/>
      <c r="DUY64" s="33"/>
      <c r="DUZ64" s="33"/>
      <c r="DVD64" s="41"/>
      <c r="DVJ64" s="42"/>
      <c r="DVQ64" s="33"/>
      <c r="DVR64" s="33"/>
      <c r="DVV64" s="41"/>
      <c r="DWB64" s="42"/>
      <c r="DWI64" s="33"/>
      <c r="DWJ64" s="33"/>
      <c r="DWN64" s="41"/>
      <c r="DWT64" s="42"/>
      <c r="DXA64" s="33"/>
      <c r="DXB64" s="33"/>
      <c r="DXF64" s="41"/>
      <c r="DXL64" s="42"/>
      <c r="DXS64" s="33"/>
      <c r="DXT64" s="33"/>
      <c r="DXX64" s="41"/>
      <c r="DYD64" s="42"/>
      <c r="DYK64" s="33"/>
      <c r="DYL64" s="33"/>
      <c r="DYP64" s="41"/>
      <c r="DYV64" s="42"/>
      <c r="DZC64" s="33"/>
      <c r="DZD64" s="33"/>
      <c r="DZH64" s="41"/>
      <c r="DZN64" s="42"/>
      <c r="DZU64" s="33"/>
      <c r="DZV64" s="33"/>
      <c r="DZZ64" s="41"/>
      <c r="EAF64" s="42"/>
      <c r="EAM64" s="33"/>
      <c r="EAN64" s="33"/>
      <c r="EAR64" s="41"/>
      <c r="EAX64" s="42"/>
      <c r="EBE64" s="33"/>
      <c r="EBF64" s="33"/>
      <c r="EBJ64" s="41"/>
      <c r="EBP64" s="42"/>
      <c r="EBW64" s="33"/>
      <c r="EBX64" s="33"/>
      <c r="ECB64" s="41"/>
      <c r="ECH64" s="42"/>
      <c r="ECO64" s="33"/>
      <c r="ECP64" s="33"/>
      <c r="ECT64" s="41"/>
      <c r="ECZ64" s="42"/>
      <c r="EDG64" s="33"/>
      <c r="EDH64" s="33"/>
      <c r="EDL64" s="41"/>
      <c r="EDR64" s="42"/>
      <c r="EDY64" s="33"/>
      <c r="EDZ64" s="33"/>
      <c r="EED64" s="41"/>
      <c r="EEJ64" s="42"/>
      <c r="EEQ64" s="33"/>
      <c r="EER64" s="33"/>
      <c r="EEV64" s="41"/>
      <c r="EFB64" s="42"/>
      <c r="EFI64" s="33"/>
      <c r="EFJ64" s="33"/>
      <c r="EFN64" s="41"/>
      <c r="EFT64" s="42"/>
      <c r="EGA64" s="33"/>
      <c r="EGB64" s="33"/>
      <c r="EGF64" s="41"/>
      <c r="EGL64" s="42"/>
      <c r="EGS64" s="33"/>
      <c r="EGT64" s="33"/>
      <c r="EGX64" s="41"/>
      <c r="EHD64" s="42"/>
      <c r="EHK64" s="33"/>
      <c r="EHL64" s="33"/>
      <c r="EHP64" s="41"/>
      <c r="EHV64" s="42"/>
      <c r="EIC64" s="33"/>
      <c r="EID64" s="33"/>
      <c r="EIH64" s="41"/>
      <c r="EIN64" s="42"/>
      <c r="EIU64" s="33"/>
      <c r="EIV64" s="33"/>
      <c r="EIZ64" s="41"/>
      <c r="EJF64" s="42"/>
      <c r="EJM64" s="33"/>
      <c r="EJN64" s="33"/>
      <c r="EJR64" s="41"/>
      <c r="EJX64" s="42"/>
      <c r="EKE64" s="33"/>
      <c r="EKF64" s="33"/>
      <c r="EKJ64" s="41"/>
      <c r="EKP64" s="42"/>
      <c r="EKW64" s="33"/>
      <c r="EKX64" s="33"/>
      <c r="ELB64" s="41"/>
      <c r="ELH64" s="42"/>
      <c r="ELO64" s="33"/>
      <c r="ELP64" s="33"/>
      <c r="ELT64" s="41"/>
      <c r="ELZ64" s="42"/>
      <c r="EMG64" s="33"/>
      <c r="EMH64" s="33"/>
      <c r="EML64" s="41"/>
      <c r="EMR64" s="42"/>
      <c r="EMY64" s="33"/>
      <c r="EMZ64" s="33"/>
      <c r="END64" s="41"/>
      <c r="ENJ64" s="42"/>
      <c r="ENQ64" s="33"/>
      <c r="ENR64" s="33"/>
      <c r="ENV64" s="41"/>
      <c r="EOB64" s="42"/>
      <c r="EOI64" s="33"/>
      <c r="EOJ64" s="33"/>
      <c r="EON64" s="41"/>
      <c r="EOT64" s="42"/>
      <c r="EPA64" s="33"/>
      <c r="EPB64" s="33"/>
      <c r="EPF64" s="41"/>
      <c r="EPL64" s="42"/>
      <c r="EPS64" s="33"/>
      <c r="EPT64" s="33"/>
      <c r="EPX64" s="41"/>
      <c r="EQD64" s="42"/>
      <c r="EQK64" s="33"/>
      <c r="EQL64" s="33"/>
      <c r="EQP64" s="41"/>
      <c r="EQV64" s="42"/>
      <c r="ERC64" s="33"/>
      <c r="ERD64" s="33"/>
      <c r="ERH64" s="41"/>
      <c r="ERN64" s="42"/>
      <c r="ERU64" s="33"/>
      <c r="ERV64" s="33"/>
      <c r="ERZ64" s="41"/>
      <c r="ESF64" s="42"/>
      <c r="ESM64" s="33"/>
      <c r="ESN64" s="33"/>
      <c r="ESR64" s="41"/>
      <c r="ESX64" s="42"/>
      <c r="ETE64" s="33"/>
      <c r="ETF64" s="33"/>
      <c r="ETJ64" s="41"/>
      <c r="ETP64" s="42"/>
      <c r="ETW64" s="33"/>
      <c r="ETX64" s="33"/>
      <c r="EUB64" s="41"/>
      <c r="EUH64" s="42"/>
      <c r="EUO64" s="33"/>
      <c r="EUP64" s="33"/>
      <c r="EUT64" s="41"/>
      <c r="EUZ64" s="42"/>
      <c r="EVG64" s="33"/>
      <c r="EVH64" s="33"/>
      <c r="EVL64" s="41"/>
      <c r="EVR64" s="42"/>
      <c r="EVY64" s="33"/>
      <c r="EVZ64" s="33"/>
      <c r="EWD64" s="41"/>
      <c r="EWJ64" s="42"/>
      <c r="EWQ64" s="33"/>
      <c r="EWR64" s="33"/>
      <c r="EWV64" s="41"/>
      <c r="EXB64" s="42"/>
      <c r="EXI64" s="33"/>
      <c r="EXJ64" s="33"/>
      <c r="EXN64" s="41"/>
      <c r="EXT64" s="42"/>
      <c r="EYA64" s="33"/>
      <c r="EYB64" s="33"/>
      <c r="EYF64" s="41"/>
      <c r="EYL64" s="42"/>
      <c r="EYS64" s="33"/>
      <c r="EYT64" s="33"/>
      <c r="EYX64" s="41"/>
      <c r="EZD64" s="42"/>
      <c r="EZK64" s="33"/>
      <c r="EZL64" s="33"/>
      <c r="EZP64" s="41"/>
      <c r="EZV64" s="42"/>
      <c r="FAC64" s="33"/>
      <c r="FAD64" s="33"/>
      <c r="FAH64" s="41"/>
      <c r="FAN64" s="42"/>
      <c r="FAU64" s="33"/>
      <c r="FAV64" s="33"/>
      <c r="FAZ64" s="41"/>
      <c r="FBF64" s="42"/>
      <c r="FBM64" s="33"/>
      <c r="FBN64" s="33"/>
      <c r="FBR64" s="41"/>
      <c r="FBX64" s="42"/>
      <c r="FCE64" s="33"/>
      <c r="FCF64" s="33"/>
      <c r="FCJ64" s="41"/>
      <c r="FCP64" s="42"/>
      <c r="FCW64" s="33"/>
      <c r="FCX64" s="33"/>
      <c r="FDB64" s="41"/>
      <c r="FDH64" s="42"/>
      <c r="FDO64" s="33"/>
      <c r="FDP64" s="33"/>
      <c r="FDT64" s="41"/>
      <c r="FDZ64" s="42"/>
      <c r="FEG64" s="33"/>
      <c r="FEH64" s="33"/>
      <c r="FEL64" s="41"/>
      <c r="FER64" s="42"/>
      <c r="FEY64" s="33"/>
      <c r="FEZ64" s="33"/>
      <c r="FFD64" s="41"/>
      <c r="FFJ64" s="42"/>
      <c r="FFQ64" s="33"/>
      <c r="FFR64" s="33"/>
      <c r="FFV64" s="41"/>
      <c r="FGB64" s="42"/>
      <c r="FGI64" s="33"/>
      <c r="FGJ64" s="33"/>
      <c r="FGN64" s="41"/>
      <c r="FGT64" s="42"/>
      <c r="FHA64" s="33"/>
      <c r="FHB64" s="33"/>
      <c r="FHF64" s="41"/>
      <c r="FHL64" s="42"/>
      <c r="FHS64" s="33"/>
      <c r="FHT64" s="33"/>
      <c r="FHX64" s="41"/>
      <c r="FID64" s="42"/>
      <c r="FIK64" s="33"/>
      <c r="FIL64" s="33"/>
      <c r="FIP64" s="41"/>
      <c r="FIV64" s="42"/>
      <c r="FJC64" s="33"/>
      <c r="FJD64" s="33"/>
      <c r="FJH64" s="41"/>
      <c r="FJN64" s="42"/>
      <c r="FJU64" s="33"/>
      <c r="FJV64" s="33"/>
      <c r="FJZ64" s="41"/>
      <c r="FKF64" s="42"/>
      <c r="FKM64" s="33"/>
      <c r="FKN64" s="33"/>
      <c r="FKR64" s="41"/>
      <c r="FKX64" s="42"/>
      <c r="FLE64" s="33"/>
      <c r="FLF64" s="33"/>
      <c r="FLJ64" s="41"/>
      <c r="FLP64" s="42"/>
      <c r="FLW64" s="33"/>
      <c r="FLX64" s="33"/>
      <c r="FMB64" s="41"/>
      <c r="FMH64" s="42"/>
      <c r="FMO64" s="33"/>
      <c r="FMP64" s="33"/>
      <c r="FMT64" s="41"/>
      <c r="FMZ64" s="42"/>
      <c r="FNG64" s="33"/>
      <c r="FNH64" s="33"/>
      <c r="FNL64" s="41"/>
      <c r="FNR64" s="42"/>
      <c r="FNY64" s="33"/>
      <c r="FNZ64" s="33"/>
      <c r="FOD64" s="41"/>
      <c r="FOJ64" s="42"/>
      <c r="FOQ64" s="33"/>
      <c r="FOR64" s="33"/>
      <c r="FOV64" s="41"/>
      <c r="FPB64" s="42"/>
      <c r="FPI64" s="33"/>
      <c r="FPJ64" s="33"/>
      <c r="FPN64" s="41"/>
      <c r="FPT64" s="42"/>
      <c r="FQA64" s="33"/>
      <c r="FQB64" s="33"/>
      <c r="FQF64" s="41"/>
      <c r="FQL64" s="42"/>
      <c r="FQS64" s="33"/>
      <c r="FQT64" s="33"/>
      <c r="FQX64" s="41"/>
      <c r="FRD64" s="42"/>
      <c r="FRK64" s="33"/>
      <c r="FRL64" s="33"/>
      <c r="FRP64" s="41"/>
      <c r="FRV64" s="42"/>
      <c r="FSC64" s="33"/>
      <c r="FSD64" s="33"/>
      <c r="FSH64" s="41"/>
      <c r="FSN64" s="42"/>
      <c r="FSU64" s="33"/>
      <c r="FSV64" s="33"/>
      <c r="FSZ64" s="41"/>
      <c r="FTF64" s="42"/>
      <c r="FTM64" s="33"/>
      <c r="FTN64" s="33"/>
      <c r="FTR64" s="41"/>
      <c r="FTX64" s="42"/>
      <c r="FUE64" s="33"/>
      <c r="FUF64" s="33"/>
      <c r="FUJ64" s="41"/>
      <c r="FUP64" s="42"/>
      <c r="FUW64" s="33"/>
      <c r="FUX64" s="33"/>
      <c r="FVB64" s="41"/>
      <c r="FVH64" s="42"/>
      <c r="FVO64" s="33"/>
      <c r="FVP64" s="33"/>
      <c r="FVT64" s="41"/>
      <c r="FVZ64" s="42"/>
      <c r="FWG64" s="33"/>
      <c r="FWH64" s="33"/>
      <c r="FWL64" s="41"/>
      <c r="FWR64" s="42"/>
      <c r="FWY64" s="33"/>
      <c r="FWZ64" s="33"/>
      <c r="FXD64" s="41"/>
      <c r="FXJ64" s="42"/>
      <c r="FXQ64" s="33"/>
      <c r="FXR64" s="33"/>
      <c r="FXV64" s="41"/>
      <c r="FYB64" s="42"/>
      <c r="FYI64" s="33"/>
      <c r="FYJ64" s="33"/>
      <c r="FYN64" s="41"/>
      <c r="FYT64" s="42"/>
      <c r="FZA64" s="33"/>
      <c r="FZB64" s="33"/>
      <c r="FZF64" s="41"/>
      <c r="FZL64" s="42"/>
      <c r="FZS64" s="33"/>
      <c r="FZT64" s="33"/>
      <c r="FZX64" s="41"/>
      <c r="GAD64" s="42"/>
      <c r="GAK64" s="33"/>
      <c r="GAL64" s="33"/>
      <c r="GAP64" s="41"/>
      <c r="GAV64" s="42"/>
      <c r="GBC64" s="33"/>
      <c r="GBD64" s="33"/>
      <c r="GBH64" s="41"/>
      <c r="GBN64" s="42"/>
      <c r="GBU64" s="33"/>
      <c r="GBV64" s="33"/>
      <c r="GBZ64" s="41"/>
      <c r="GCF64" s="42"/>
      <c r="GCM64" s="33"/>
      <c r="GCN64" s="33"/>
      <c r="GCR64" s="41"/>
      <c r="GCX64" s="42"/>
      <c r="GDE64" s="33"/>
      <c r="GDF64" s="33"/>
      <c r="GDJ64" s="41"/>
      <c r="GDP64" s="42"/>
      <c r="GDW64" s="33"/>
      <c r="GDX64" s="33"/>
      <c r="GEB64" s="41"/>
      <c r="GEH64" s="42"/>
      <c r="GEO64" s="33"/>
      <c r="GEP64" s="33"/>
      <c r="GET64" s="41"/>
      <c r="GEZ64" s="42"/>
      <c r="GFG64" s="33"/>
      <c r="GFH64" s="33"/>
      <c r="GFL64" s="41"/>
      <c r="GFR64" s="42"/>
      <c r="GFY64" s="33"/>
      <c r="GFZ64" s="33"/>
      <c r="GGD64" s="41"/>
      <c r="GGJ64" s="42"/>
      <c r="GGQ64" s="33"/>
      <c r="GGR64" s="33"/>
      <c r="GGV64" s="41"/>
      <c r="GHB64" s="42"/>
      <c r="GHI64" s="33"/>
      <c r="GHJ64" s="33"/>
      <c r="GHN64" s="41"/>
      <c r="GHT64" s="42"/>
      <c r="GIA64" s="33"/>
      <c r="GIB64" s="33"/>
      <c r="GIF64" s="41"/>
      <c r="GIL64" s="42"/>
      <c r="GIS64" s="33"/>
      <c r="GIT64" s="33"/>
      <c r="GIX64" s="41"/>
      <c r="GJD64" s="42"/>
      <c r="GJK64" s="33"/>
      <c r="GJL64" s="33"/>
      <c r="GJP64" s="41"/>
      <c r="GJV64" s="42"/>
      <c r="GKC64" s="33"/>
      <c r="GKD64" s="33"/>
      <c r="GKH64" s="41"/>
      <c r="GKN64" s="42"/>
      <c r="GKU64" s="33"/>
      <c r="GKV64" s="33"/>
      <c r="GKZ64" s="41"/>
      <c r="GLF64" s="42"/>
      <c r="GLM64" s="33"/>
      <c r="GLN64" s="33"/>
      <c r="GLR64" s="41"/>
      <c r="GLX64" s="42"/>
      <c r="GME64" s="33"/>
      <c r="GMF64" s="33"/>
      <c r="GMJ64" s="41"/>
      <c r="GMP64" s="42"/>
      <c r="GMW64" s="33"/>
      <c r="GMX64" s="33"/>
      <c r="GNB64" s="41"/>
      <c r="GNH64" s="42"/>
      <c r="GNO64" s="33"/>
      <c r="GNP64" s="33"/>
      <c r="GNT64" s="41"/>
      <c r="GNZ64" s="42"/>
      <c r="GOG64" s="33"/>
      <c r="GOH64" s="33"/>
      <c r="GOL64" s="41"/>
      <c r="GOR64" s="42"/>
      <c r="GOY64" s="33"/>
      <c r="GOZ64" s="33"/>
      <c r="GPD64" s="41"/>
      <c r="GPJ64" s="42"/>
      <c r="GPQ64" s="33"/>
      <c r="GPR64" s="33"/>
      <c r="GPV64" s="41"/>
      <c r="GQB64" s="42"/>
      <c r="GQI64" s="33"/>
      <c r="GQJ64" s="33"/>
      <c r="GQN64" s="41"/>
      <c r="GQT64" s="42"/>
      <c r="GRA64" s="33"/>
      <c r="GRB64" s="33"/>
      <c r="GRF64" s="41"/>
      <c r="GRL64" s="42"/>
      <c r="GRS64" s="33"/>
      <c r="GRT64" s="33"/>
      <c r="GRX64" s="41"/>
      <c r="GSD64" s="42"/>
      <c r="GSK64" s="33"/>
      <c r="GSL64" s="33"/>
      <c r="GSP64" s="41"/>
      <c r="GSV64" s="42"/>
      <c r="GTC64" s="33"/>
      <c r="GTD64" s="33"/>
      <c r="GTH64" s="41"/>
      <c r="GTN64" s="42"/>
      <c r="GTU64" s="33"/>
      <c r="GTV64" s="33"/>
      <c r="GTZ64" s="41"/>
      <c r="GUF64" s="42"/>
      <c r="GUM64" s="33"/>
      <c r="GUN64" s="33"/>
      <c r="GUR64" s="41"/>
      <c r="GUX64" s="42"/>
      <c r="GVE64" s="33"/>
      <c r="GVF64" s="33"/>
      <c r="GVJ64" s="41"/>
      <c r="GVP64" s="42"/>
      <c r="GVW64" s="33"/>
      <c r="GVX64" s="33"/>
      <c r="GWB64" s="41"/>
      <c r="GWH64" s="42"/>
      <c r="GWO64" s="33"/>
      <c r="GWP64" s="33"/>
      <c r="GWT64" s="41"/>
      <c r="GWZ64" s="42"/>
      <c r="GXG64" s="33"/>
      <c r="GXH64" s="33"/>
      <c r="GXL64" s="41"/>
      <c r="GXR64" s="42"/>
      <c r="GXY64" s="33"/>
      <c r="GXZ64" s="33"/>
      <c r="GYD64" s="41"/>
      <c r="GYJ64" s="42"/>
      <c r="GYQ64" s="33"/>
      <c r="GYR64" s="33"/>
      <c r="GYV64" s="41"/>
      <c r="GZB64" s="42"/>
      <c r="GZI64" s="33"/>
      <c r="GZJ64" s="33"/>
      <c r="GZN64" s="41"/>
      <c r="GZT64" s="42"/>
      <c r="HAA64" s="33"/>
      <c r="HAB64" s="33"/>
      <c r="HAF64" s="41"/>
      <c r="HAL64" s="42"/>
      <c r="HAS64" s="33"/>
      <c r="HAT64" s="33"/>
      <c r="HAX64" s="41"/>
      <c r="HBD64" s="42"/>
      <c r="HBK64" s="33"/>
      <c r="HBL64" s="33"/>
      <c r="HBP64" s="41"/>
      <c r="HBV64" s="42"/>
      <c r="HCC64" s="33"/>
      <c r="HCD64" s="33"/>
      <c r="HCH64" s="41"/>
      <c r="HCN64" s="42"/>
      <c r="HCU64" s="33"/>
      <c r="HCV64" s="33"/>
      <c r="HCZ64" s="41"/>
      <c r="HDF64" s="42"/>
      <c r="HDM64" s="33"/>
      <c r="HDN64" s="33"/>
      <c r="HDR64" s="41"/>
      <c r="HDX64" s="42"/>
      <c r="HEE64" s="33"/>
      <c r="HEF64" s="33"/>
      <c r="HEJ64" s="41"/>
      <c r="HEP64" s="42"/>
      <c r="HEW64" s="33"/>
      <c r="HEX64" s="33"/>
      <c r="HFB64" s="41"/>
      <c r="HFH64" s="42"/>
      <c r="HFO64" s="33"/>
      <c r="HFP64" s="33"/>
      <c r="HFT64" s="41"/>
      <c r="HFZ64" s="42"/>
      <c r="HGG64" s="33"/>
      <c r="HGH64" s="33"/>
      <c r="HGL64" s="41"/>
      <c r="HGR64" s="42"/>
      <c r="HGY64" s="33"/>
      <c r="HGZ64" s="33"/>
      <c r="HHD64" s="41"/>
      <c r="HHJ64" s="42"/>
      <c r="HHQ64" s="33"/>
      <c r="HHR64" s="33"/>
      <c r="HHV64" s="41"/>
      <c r="HIB64" s="42"/>
      <c r="HII64" s="33"/>
      <c r="HIJ64" s="33"/>
      <c r="HIN64" s="41"/>
      <c r="HIT64" s="42"/>
      <c r="HJA64" s="33"/>
      <c r="HJB64" s="33"/>
      <c r="HJF64" s="41"/>
      <c r="HJL64" s="42"/>
      <c r="HJS64" s="33"/>
      <c r="HJT64" s="33"/>
      <c r="HJX64" s="41"/>
      <c r="HKD64" s="42"/>
      <c r="HKK64" s="33"/>
      <c r="HKL64" s="33"/>
      <c r="HKP64" s="41"/>
      <c r="HKV64" s="42"/>
      <c r="HLC64" s="33"/>
      <c r="HLD64" s="33"/>
      <c r="HLH64" s="41"/>
      <c r="HLN64" s="42"/>
      <c r="HLU64" s="33"/>
      <c r="HLV64" s="33"/>
      <c r="HLZ64" s="41"/>
      <c r="HMF64" s="42"/>
      <c r="HMM64" s="33"/>
      <c r="HMN64" s="33"/>
      <c r="HMR64" s="41"/>
      <c r="HMX64" s="42"/>
      <c r="HNE64" s="33"/>
      <c r="HNF64" s="33"/>
      <c r="HNJ64" s="41"/>
      <c r="HNP64" s="42"/>
      <c r="HNW64" s="33"/>
      <c r="HNX64" s="33"/>
      <c r="HOB64" s="41"/>
      <c r="HOH64" s="42"/>
      <c r="HOO64" s="33"/>
      <c r="HOP64" s="33"/>
      <c r="HOT64" s="41"/>
      <c r="HOZ64" s="42"/>
      <c r="HPG64" s="33"/>
      <c r="HPH64" s="33"/>
      <c r="HPL64" s="41"/>
      <c r="HPR64" s="42"/>
      <c r="HPY64" s="33"/>
      <c r="HPZ64" s="33"/>
      <c r="HQD64" s="41"/>
      <c r="HQJ64" s="42"/>
      <c r="HQQ64" s="33"/>
      <c r="HQR64" s="33"/>
      <c r="HQV64" s="41"/>
      <c r="HRB64" s="42"/>
      <c r="HRI64" s="33"/>
      <c r="HRJ64" s="33"/>
      <c r="HRN64" s="41"/>
      <c r="HRT64" s="42"/>
      <c r="HSA64" s="33"/>
      <c r="HSB64" s="33"/>
      <c r="HSF64" s="41"/>
      <c r="HSL64" s="42"/>
      <c r="HSS64" s="33"/>
      <c r="HST64" s="33"/>
      <c r="HSX64" s="41"/>
      <c r="HTD64" s="42"/>
      <c r="HTK64" s="33"/>
      <c r="HTL64" s="33"/>
      <c r="HTP64" s="41"/>
      <c r="HTV64" s="42"/>
      <c r="HUC64" s="33"/>
      <c r="HUD64" s="33"/>
      <c r="HUH64" s="41"/>
      <c r="HUN64" s="42"/>
      <c r="HUU64" s="33"/>
      <c r="HUV64" s="33"/>
      <c r="HUZ64" s="41"/>
      <c r="HVF64" s="42"/>
      <c r="HVM64" s="33"/>
      <c r="HVN64" s="33"/>
      <c r="HVR64" s="41"/>
      <c r="HVX64" s="42"/>
      <c r="HWE64" s="33"/>
      <c r="HWF64" s="33"/>
      <c r="HWJ64" s="41"/>
      <c r="HWP64" s="42"/>
      <c r="HWW64" s="33"/>
      <c r="HWX64" s="33"/>
      <c r="HXB64" s="41"/>
      <c r="HXH64" s="42"/>
      <c r="HXO64" s="33"/>
      <c r="HXP64" s="33"/>
      <c r="HXT64" s="41"/>
      <c r="HXZ64" s="42"/>
      <c r="HYG64" s="33"/>
      <c r="HYH64" s="33"/>
      <c r="HYL64" s="41"/>
      <c r="HYR64" s="42"/>
      <c r="HYY64" s="33"/>
      <c r="HYZ64" s="33"/>
      <c r="HZD64" s="41"/>
      <c r="HZJ64" s="42"/>
      <c r="HZQ64" s="33"/>
      <c r="HZR64" s="33"/>
      <c r="HZV64" s="41"/>
      <c r="IAB64" s="42"/>
      <c r="IAI64" s="33"/>
      <c r="IAJ64" s="33"/>
      <c r="IAN64" s="41"/>
      <c r="IAT64" s="42"/>
      <c r="IBA64" s="33"/>
      <c r="IBB64" s="33"/>
      <c r="IBF64" s="41"/>
      <c r="IBL64" s="42"/>
      <c r="IBS64" s="33"/>
      <c r="IBT64" s="33"/>
      <c r="IBX64" s="41"/>
      <c r="ICD64" s="42"/>
      <c r="ICK64" s="33"/>
      <c r="ICL64" s="33"/>
      <c r="ICP64" s="41"/>
      <c r="ICV64" s="42"/>
      <c r="IDC64" s="33"/>
      <c r="IDD64" s="33"/>
      <c r="IDH64" s="41"/>
      <c r="IDN64" s="42"/>
      <c r="IDU64" s="33"/>
      <c r="IDV64" s="33"/>
      <c r="IDZ64" s="41"/>
      <c r="IEF64" s="42"/>
      <c r="IEM64" s="33"/>
      <c r="IEN64" s="33"/>
      <c r="IER64" s="41"/>
      <c r="IEX64" s="42"/>
      <c r="IFE64" s="33"/>
      <c r="IFF64" s="33"/>
      <c r="IFJ64" s="41"/>
      <c r="IFP64" s="42"/>
      <c r="IFW64" s="33"/>
      <c r="IFX64" s="33"/>
      <c r="IGB64" s="41"/>
      <c r="IGH64" s="42"/>
      <c r="IGO64" s="33"/>
      <c r="IGP64" s="33"/>
      <c r="IGT64" s="41"/>
      <c r="IGZ64" s="42"/>
      <c r="IHG64" s="33"/>
      <c r="IHH64" s="33"/>
      <c r="IHL64" s="41"/>
      <c r="IHR64" s="42"/>
      <c r="IHY64" s="33"/>
      <c r="IHZ64" s="33"/>
      <c r="IID64" s="41"/>
      <c r="IIJ64" s="42"/>
      <c r="IIQ64" s="33"/>
      <c r="IIR64" s="33"/>
      <c r="IIV64" s="41"/>
      <c r="IJB64" s="42"/>
      <c r="IJI64" s="33"/>
      <c r="IJJ64" s="33"/>
      <c r="IJN64" s="41"/>
      <c r="IJT64" s="42"/>
      <c r="IKA64" s="33"/>
      <c r="IKB64" s="33"/>
      <c r="IKF64" s="41"/>
      <c r="IKL64" s="42"/>
      <c r="IKS64" s="33"/>
      <c r="IKT64" s="33"/>
      <c r="IKX64" s="41"/>
      <c r="ILD64" s="42"/>
      <c r="ILK64" s="33"/>
      <c r="ILL64" s="33"/>
      <c r="ILP64" s="41"/>
      <c r="ILV64" s="42"/>
      <c r="IMC64" s="33"/>
      <c r="IMD64" s="33"/>
      <c r="IMH64" s="41"/>
      <c r="IMN64" s="42"/>
      <c r="IMU64" s="33"/>
      <c r="IMV64" s="33"/>
      <c r="IMZ64" s="41"/>
      <c r="INF64" s="42"/>
      <c r="INM64" s="33"/>
      <c r="INN64" s="33"/>
      <c r="INR64" s="41"/>
      <c r="INX64" s="42"/>
      <c r="IOE64" s="33"/>
      <c r="IOF64" s="33"/>
      <c r="IOJ64" s="41"/>
      <c r="IOP64" s="42"/>
      <c r="IOW64" s="33"/>
      <c r="IOX64" s="33"/>
      <c r="IPB64" s="41"/>
      <c r="IPH64" s="42"/>
      <c r="IPO64" s="33"/>
      <c r="IPP64" s="33"/>
      <c r="IPT64" s="41"/>
      <c r="IPZ64" s="42"/>
      <c r="IQG64" s="33"/>
      <c r="IQH64" s="33"/>
      <c r="IQL64" s="41"/>
      <c r="IQR64" s="42"/>
      <c r="IQY64" s="33"/>
      <c r="IQZ64" s="33"/>
      <c r="IRD64" s="41"/>
      <c r="IRJ64" s="42"/>
      <c r="IRQ64" s="33"/>
      <c r="IRR64" s="33"/>
      <c r="IRV64" s="41"/>
      <c r="ISB64" s="42"/>
      <c r="ISI64" s="33"/>
      <c r="ISJ64" s="33"/>
      <c r="ISN64" s="41"/>
      <c r="IST64" s="42"/>
      <c r="ITA64" s="33"/>
      <c r="ITB64" s="33"/>
      <c r="ITF64" s="41"/>
      <c r="ITL64" s="42"/>
      <c r="ITS64" s="33"/>
      <c r="ITT64" s="33"/>
      <c r="ITX64" s="41"/>
      <c r="IUD64" s="42"/>
      <c r="IUK64" s="33"/>
      <c r="IUL64" s="33"/>
      <c r="IUP64" s="41"/>
      <c r="IUV64" s="42"/>
      <c r="IVC64" s="33"/>
      <c r="IVD64" s="33"/>
      <c r="IVH64" s="41"/>
      <c r="IVN64" s="42"/>
      <c r="IVU64" s="33"/>
      <c r="IVV64" s="33"/>
      <c r="IVZ64" s="41"/>
      <c r="IWF64" s="42"/>
      <c r="IWM64" s="33"/>
      <c r="IWN64" s="33"/>
      <c r="IWR64" s="41"/>
      <c r="IWX64" s="42"/>
      <c r="IXE64" s="33"/>
      <c r="IXF64" s="33"/>
      <c r="IXJ64" s="41"/>
      <c r="IXP64" s="42"/>
      <c r="IXW64" s="33"/>
      <c r="IXX64" s="33"/>
      <c r="IYB64" s="41"/>
      <c r="IYH64" s="42"/>
      <c r="IYO64" s="33"/>
      <c r="IYP64" s="33"/>
      <c r="IYT64" s="41"/>
      <c r="IYZ64" s="42"/>
      <c r="IZG64" s="33"/>
      <c r="IZH64" s="33"/>
      <c r="IZL64" s="41"/>
      <c r="IZR64" s="42"/>
      <c r="IZY64" s="33"/>
      <c r="IZZ64" s="33"/>
      <c r="JAD64" s="41"/>
      <c r="JAJ64" s="42"/>
      <c r="JAQ64" s="33"/>
      <c r="JAR64" s="33"/>
      <c r="JAV64" s="41"/>
      <c r="JBB64" s="42"/>
      <c r="JBI64" s="33"/>
      <c r="JBJ64" s="33"/>
      <c r="JBN64" s="41"/>
      <c r="JBT64" s="42"/>
      <c r="JCA64" s="33"/>
      <c r="JCB64" s="33"/>
      <c r="JCF64" s="41"/>
      <c r="JCL64" s="42"/>
      <c r="JCS64" s="33"/>
      <c r="JCT64" s="33"/>
      <c r="JCX64" s="41"/>
      <c r="JDD64" s="42"/>
      <c r="JDK64" s="33"/>
      <c r="JDL64" s="33"/>
      <c r="JDP64" s="41"/>
      <c r="JDV64" s="42"/>
      <c r="JEC64" s="33"/>
      <c r="JED64" s="33"/>
      <c r="JEH64" s="41"/>
      <c r="JEN64" s="42"/>
      <c r="JEU64" s="33"/>
      <c r="JEV64" s="33"/>
      <c r="JEZ64" s="41"/>
      <c r="JFF64" s="42"/>
      <c r="JFM64" s="33"/>
      <c r="JFN64" s="33"/>
      <c r="JFR64" s="41"/>
      <c r="JFX64" s="42"/>
      <c r="JGE64" s="33"/>
      <c r="JGF64" s="33"/>
      <c r="JGJ64" s="41"/>
      <c r="JGP64" s="42"/>
      <c r="JGW64" s="33"/>
      <c r="JGX64" s="33"/>
      <c r="JHB64" s="41"/>
      <c r="JHH64" s="42"/>
      <c r="JHO64" s="33"/>
      <c r="JHP64" s="33"/>
      <c r="JHT64" s="41"/>
      <c r="JHZ64" s="42"/>
      <c r="JIG64" s="33"/>
      <c r="JIH64" s="33"/>
      <c r="JIL64" s="41"/>
      <c r="JIR64" s="42"/>
      <c r="JIY64" s="33"/>
      <c r="JIZ64" s="33"/>
      <c r="JJD64" s="41"/>
      <c r="JJJ64" s="42"/>
      <c r="JJQ64" s="33"/>
      <c r="JJR64" s="33"/>
      <c r="JJV64" s="41"/>
      <c r="JKB64" s="42"/>
      <c r="JKI64" s="33"/>
      <c r="JKJ64" s="33"/>
      <c r="JKN64" s="41"/>
      <c r="JKT64" s="42"/>
      <c r="JLA64" s="33"/>
      <c r="JLB64" s="33"/>
      <c r="JLF64" s="41"/>
      <c r="JLL64" s="42"/>
      <c r="JLS64" s="33"/>
      <c r="JLT64" s="33"/>
      <c r="JLX64" s="41"/>
      <c r="JMD64" s="42"/>
      <c r="JMK64" s="33"/>
      <c r="JML64" s="33"/>
      <c r="JMP64" s="41"/>
      <c r="JMV64" s="42"/>
      <c r="JNC64" s="33"/>
      <c r="JND64" s="33"/>
      <c r="JNH64" s="41"/>
      <c r="JNN64" s="42"/>
      <c r="JNU64" s="33"/>
      <c r="JNV64" s="33"/>
      <c r="JNZ64" s="41"/>
      <c r="JOF64" s="42"/>
      <c r="JOM64" s="33"/>
      <c r="JON64" s="33"/>
      <c r="JOR64" s="41"/>
      <c r="JOX64" s="42"/>
      <c r="JPE64" s="33"/>
      <c r="JPF64" s="33"/>
      <c r="JPJ64" s="41"/>
      <c r="JPP64" s="42"/>
      <c r="JPW64" s="33"/>
      <c r="JPX64" s="33"/>
      <c r="JQB64" s="41"/>
      <c r="JQH64" s="42"/>
      <c r="JQO64" s="33"/>
      <c r="JQP64" s="33"/>
      <c r="JQT64" s="41"/>
      <c r="JQZ64" s="42"/>
      <c r="JRG64" s="33"/>
      <c r="JRH64" s="33"/>
      <c r="JRL64" s="41"/>
      <c r="JRR64" s="42"/>
      <c r="JRY64" s="33"/>
      <c r="JRZ64" s="33"/>
      <c r="JSD64" s="41"/>
      <c r="JSJ64" s="42"/>
      <c r="JSQ64" s="33"/>
      <c r="JSR64" s="33"/>
      <c r="JSV64" s="41"/>
      <c r="JTB64" s="42"/>
      <c r="JTI64" s="33"/>
      <c r="JTJ64" s="33"/>
      <c r="JTN64" s="41"/>
      <c r="JTT64" s="42"/>
      <c r="JUA64" s="33"/>
      <c r="JUB64" s="33"/>
      <c r="JUF64" s="41"/>
      <c r="JUL64" s="42"/>
      <c r="JUS64" s="33"/>
      <c r="JUT64" s="33"/>
      <c r="JUX64" s="41"/>
      <c r="JVD64" s="42"/>
      <c r="JVK64" s="33"/>
      <c r="JVL64" s="33"/>
      <c r="JVP64" s="41"/>
      <c r="JVV64" s="42"/>
      <c r="JWC64" s="33"/>
      <c r="JWD64" s="33"/>
      <c r="JWH64" s="41"/>
      <c r="JWN64" s="42"/>
      <c r="JWU64" s="33"/>
      <c r="JWV64" s="33"/>
      <c r="JWZ64" s="41"/>
      <c r="JXF64" s="42"/>
      <c r="JXM64" s="33"/>
      <c r="JXN64" s="33"/>
      <c r="JXR64" s="41"/>
      <c r="JXX64" s="42"/>
      <c r="JYE64" s="33"/>
      <c r="JYF64" s="33"/>
      <c r="JYJ64" s="41"/>
      <c r="JYP64" s="42"/>
      <c r="JYW64" s="33"/>
      <c r="JYX64" s="33"/>
      <c r="JZB64" s="41"/>
      <c r="JZH64" s="42"/>
      <c r="JZO64" s="33"/>
      <c r="JZP64" s="33"/>
      <c r="JZT64" s="41"/>
      <c r="JZZ64" s="42"/>
      <c r="KAG64" s="33"/>
      <c r="KAH64" s="33"/>
      <c r="KAL64" s="41"/>
      <c r="KAR64" s="42"/>
      <c r="KAY64" s="33"/>
      <c r="KAZ64" s="33"/>
      <c r="KBD64" s="41"/>
      <c r="KBJ64" s="42"/>
      <c r="KBQ64" s="33"/>
      <c r="KBR64" s="33"/>
      <c r="KBV64" s="41"/>
      <c r="KCB64" s="42"/>
      <c r="KCI64" s="33"/>
      <c r="KCJ64" s="33"/>
      <c r="KCN64" s="41"/>
      <c r="KCT64" s="42"/>
      <c r="KDA64" s="33"/>
      <c r="KDB64" s="33"/>
      <c r="KDF64" s="41"/>
      <c r="KDL64" s="42"/>
      <c r="KDS64" s="33"/>
      <c r="KDT64" s="33"/>
      <c r="KDX64" s="41"/>
      <c r="KED64" s="42"/>
      <c r="KEK64" s="33"/>
      <c r="KEL64" s="33"/>
      <c r="KEP64" s="41"/>
      <c r="KEV64" s="42"/>
      <c r="KFC64" s="33"/>
      <c r="KFD64" s="33"/>
      <c r="KFH64" s="41"/>
      <c r="KFN64" s="42"/>
      <c r="KFU64" s="33"/>
      <c r="KFV64" s="33"/>
      <c r="KFZ64" s="41"/>
      <c r="KGF64" s="42"/>
      <c r="KGM64" s="33"/>
      <c r="KGN64" s="33"/>
      <c r="KGR64" s="41"/>
      <c r="KGX64" s="42"/>
      <c r="KHE64" s="33"/>
      <c r="KHF64" s="33"/>
      <c r="KHJ64" s="41"/>
      <c r="KHP64" s="42"/>
      <c r="KHW64" s="33"/>
      <c r="KHX64" s="33"/>
      <c r="KIB64" s="41"/>
      <c r="KIH64" s="42"/>
      <c r="KIO64" s="33"/>
      <c r="KIP64" s="33"/>
      <c r="KIT64" s="41"/>
      <c r="KIZ64" s="42"/>
      <c r="KJG64" s="33"/>
      <c r="KJH64" s="33"/>
      <c r="KJL64" s="41"/>
      <c r="KJR64" s="42"/>
      <c r="KJY64" s="33"/>
      <c r="KJZ64" s="33"/>
      <c r="KKD64" s="41"/>
      <c r="KKJ64" s="42"/>
      <c r="KKQ64" s="33"/>
      <c r="KKR64" s="33"/>
      <c r="KKV64" s="41"/>
      <c r="KLB64" s="42"/>
      <c r="KLI64" s="33"/>
      <c r="KLJ64" s="33"/>
      <c r="KLN64" s="41"/>
      <c r="KLT64" s="42"/>
      <c r="KMA64" s="33"/>
      <c r="KMB64" s="33"/>
      <c r="KMF64" s="41"/>
      <c r="KML64" s="42"/>
      <c r="KMS64" s="33"/>
      <c r="KMT64" s="33"/>
      <c r="KMX64" s="41"/>
      <c r="KND64" s="42"/>
      <c r="KNK64" s="33"/>
      <c r="KNL64" s="33"/>
      <c r="KNP64" s="41"/>
      <c r="KNV64" s="42"/>
      <c r="KOC64" s="33"/>
      <c r="KOD64" s="33"/>
      <c r="KOH64" s="41"/>
      <c r="KON64" s="42"/>
      <c r="KOU64" s="33"/>
      <c r="KOV64" s="33"/>
      <c r="KOZ64" s="41"/>
      <c r="KPF64" s="42"/>
      <c r="KPM64" s="33"/>
      <c r="KPN64" s="33"/>
      <c r="KPR64" s="41"/>
      <c r="KPX64" s="42"/>
      <c r="KQE64" s="33"/>
      <c r="KQF64" s="33"/>
      <c r="KQJ64" s="41"/>
      <c r="KQP64" s="42"/>
      <c r="KQW64" s="33"/>
      <c r="KQX64" s="33"/>
      <c r="KRB64" s="41"/>
      <c r="KRH64" s="42"/>
      <c r="KRO64" s="33"/>
      <c r="KRP64" s="33"/>
      <c r="KRT64" s="41"/>
      <c r="KRZ64" s="42"/>
      <c r="KSG64" s="33"/>
      <c r="KSH64" s="33"/>
      <c r="KSL64" s="41"/>
      <c r="KSR64" s="42"/>
      <c r="KSY64" s="33"/>
      <c r="KSZ64" s="33"/>
      <c r="KTD64" s="41"/>
      <c r="KTJ64" s="42"/>
      <c r="KTQ64" s="33"/>
      <c r="KTR64" s="33"/>
      <c r="KTV64" s="41"/>
      <c r="KUB64" s="42"/>
      <c r="KUI64" s="33"/>
      <c r="KUJ64" s="33"/>
      <c r="KUN64" s="41"/>
      <c r="KUT64" s="42"/>
      <c r="KVA64" s="33"/>
      <c r="KVB64" s="33"/>
      <c r="KVF64" s="41"/>
      <c r="KVL64" s="42"/>
      <c r="KVS64" s="33"/>
      <c r="KVT64" s="33"/>
      <c r="KVX64" s="41"/>
      <c r="KWD64" s="42"/>
      <c r="KWK64" s="33"/>
      <c r="KWL64" s="33"/>
      <c r="KWP64" s="41"/>
      <c r="KWV64" s="42"/>
      <c r="KXC64" s="33"/>
      <c r="KXD64" s="33"/>
      <c r="KXH64" s="41"/>
      <c r="KXN64" s="42"/>
      <c r="KXU64" s="33"/>
      <c r="KXV64" s="33"/>
      <c r="KXZ64" s="41"/>
      <c r="KYF64" s="42"/>
      <c r="KYM64" s="33"/>
      <c r="KYN64" s="33"/>
      <c r="KYR64" s="41"/>
      <c r="KYX64" s="42"/>
      <c r="KZE64" s="33"/>
      <c r="KZF64" s="33"/>
      <c r="KZJ64" s="41"/>
      <c r="KZP64" s="42"/>
      <c r="KZW64" s="33"/>
      <c r="KZX64" s="33"/>
      <c r="LAB64" s="41"/>
      <c r="LAH64" s="42"/>
      <c r="LAO64" s="33"/>
      <c r="LAP64" s="33"/>
      <c r="LAT64" s="41"/>
      <c r="LAZ64" s="42"/>
      <c r="LBG64" s="33"/>
      <c r="LBH64" s="33"/>
      <c r="LBL64" s="41"/>
      <c r="LBR64" s="42"/>
      <c r="LBY64" s="33"/>
      <c r="LBZ64" s="33"/>
      <c r="LCD64" s="41"/>
      <c r="LCJ64" s="42"/>
      <c r="LCQ64" s="33"/>
      <c r="LCR64" s="33"/>
      <c r="LCV64" s="41"/>
      <c r="LDB64" s="42"/>
      <c r="LDI64" s="33"/>
      <c r="LDJ64" s="33"/>
      <c r="LDN64" s="41"/>
      <c r="LDT64" s="42"/>
      <c r="LEA64" s="33"/>
      <c r="LEB64" s="33"/>
      <c r="LEF64" s="41"/>
      <c r="LEL64" s="42"/>
      <c r="LES64" s="33"/>
      <c r="LET64" s="33"/>
      <c r="LEX64" s="41"/>
      <c r="LFD64" s="42"/>
      <c r="LFK64" s="33"/>
      <c r="LFL64" s="33"/>
      <c r="LFP64" s="41"/>
      <c r="LFV64" s="42"/>
      <c r="LGC64" s="33"/>
      <c r="LGD64" s="33"/>
      <c r="LGH64" s="41"/>
      <c r="LGN64" s="42"/>
      <c r="LGU64" s="33"/>
      <c r="LGV64" s="33"/>
      <c r="LGZ64" s="41"/>
      <c r="LHF64" s="42"/>
      <c r="LHM64" s="33"/>
      <c r="LHN64" s="33"/>
      <c r="LHR64" s="41"/>
      <c r="LHX64" s="42"/>
      <c r="LIE64" s="33"/>
      <c r="LIF64" s="33"/>
      <c r="LIJ64" s="41"/>
      <c r="LIP64" s="42"/>
      <c r="LIW64" s="33"/>
      <c r="LIX64" s="33"/>
      <c r="LJB64" s="41"/>
      <c r="LJH64" s="42"/>
      <c r="LJO64" s="33"/>
      <c r="LJP64" s="33"/>
      <c r="LJT64" s="41"/>
      <c r="LJZ64" s="42"/>
      <c r="LKG64" s="33"/>
      <c r="LKH64" s="33"/>
      <c r="LKL64" s="41"/>
      <c r="LKR64" s="42"/>
      <c r="LKY64" s="33"/>
      <c r="LKZ64" s="33"/>
      <c r="LLD64" s="41"/>
      <c r="LLJ64" s="42"/>
      <c r="LLQ64" s="33"/>
      <c r="LLR64" s="33"/>
      <c r="LLV64" s="41"/>
      <c r="LMB64" s="42"/>
      <c r="LMI64" s="33"/>
      <c r="LMJ64" s="33"/>
      <c r="LMN64" s="41"/>
      <c r="LMT64" s="42"/>
      <c r="LNA64" s="33"/>
      <c r="LNB64" s="33"/>
      <c r="LNF64" s="41"/>
      <c r="LNL64" s="42"/>
      <c r="LNS64" s="33"/>
      <c r="LNT64" s="33"/>
      <c r="LNX64" s="41"/>
      <c r="LOD64" s="42"/>
      <c r="LOK64" s="33"/>
      <c r="LOL64" s="33"/>
      <c r="LOP64" s="41"/>
      <c r="LOV64" s="42"/>
      <c r="LPC64" s="33"/>
      <c r="LPD64" s="33"/>
      <c r="LPH64" s="41"/>
      <c r="LPN64" s="42"/>
      <c r="LPU64" s="33"/>
      <c r="LPV64" s="33"/>
      <c r="LPZ64" s="41"/>
      <c r="LQF64" s="42"/>
      <c r="LQM64" s="33"/>
      <c r="LQN64" s="33"/>
      <c r="LQR64" s="41"/>
      <c r="LQX64" s="42"/>
      <c r="LRE64" s="33"/>
      <c r="LRF64" s="33"/>
      <c r="LRJ64" s="41"/>
      <c r="LRP64" s="42"/>
      <c r="LRW64" s="33"/>
      <c r="LRX64" s="33"/>
      <c r="LSB64" s="41"/>
      <c r="LSH64" s="42"/>
      <c r="LSO64" s="33"/>
      <c r="LSP64" s="33"/>
      <c r="LST64" s="41"/>
      <c r="LSZ64" s="42"/>
      <c r="LTG64" s="33"/>
      <c r="LTH64" s="33"/>
      <c r="LTL64" s="41"/>
      <c r="LTR64" s="42"/>
      <c r="LTY64" s="33"/>
      <c r="LTZ64" s="33"/>
      <c r="LUD64" s="41"/>
      <c r="LUJ64" s="42"/>
      <c r="LUQ64" s="33"/>
      <c r="LUR64" s="33"/>
      <c r="LUV64" s="41"/>
      <c r="LVB64" s="42"/>
      <c r="LVI64" s="33"/>
      <c r="LVJ64" s="33"/>
      <c r="LVN64" s="41"/>
      <c r="LVT64" s="42"/>
      <c r="LWA64" s="33"/>
      <c r="LWB64" s="33"/>
      <c r="LWF64" s="41"/>
      <c r="LWL64" s="42"/>
      <c r="LWS64" s="33"/>
      <c r="LWT64" s="33"/>
      <c r="LWX64" s="41"/>
      <c r="LXD64" s="42"/>
      <c r="LXK64" s="33"/>
      <c r="LXL64" s="33"/>
      <c r="LXP64" s="41"/>
      <c r="LXV64" s="42"/>
      <c r="LYC64" s="33"/>
      <c r="LYD64" s="33"/>
      <c r="LYH64" s="41"/>
      <c r="LYN64" s="42"/>
      <c r="LYU64" s="33"/>
      <c r="LYV64" s="33"/>
      <c r="LYZ64" s="41"/>
      <c r="LZF64" s="42"/>
      <c r="LZM64" s="33"/>
      <c r="LZN64" s="33"/>
      <c r="LZR64" s="41"/>
      <c r="LZX64" s="42"/>
      <c r="MAE64" s="33"/>
      <c r="MAF64" s="33"/>
      <c r="MAJ64" s="41"/>
      <c r="MAP64" s="42"/>
      <c r="MAW64" s="33"/>
      <c r="MAX64" s="33"/>
      <c r="MBB64" s="41"/>
      <c r="MBH64" s="42"/>
      <c r="MBO64" s="33"/>
      <c r="MBP64" s="33"/>
      <c r="MBT64" s="41"/>
      <c r="MBZ64" s="42"/>
      <c r="MCG64" s="33"/>
      <c r="MCH64" s="33"/>
      <c r="MCL64" s="41"/>
      <c r="MCR64" s="42"/>
      <c r="MCY64" s="33"/>
      <c r="MCZ64" s="33"/>
      <c r="MDD64" s="41"/>
      <c r="MDJ64" s="42"/>
      <c r="MDQ64" s="33"/>
      <c r="MDR64" s="33"/>
      <c r="MDV64" s="41"/>
      <c r="MEB64" s="42"/>
      <c r="MEI64" s="33"/>
      <c r="MEJ64" s="33"/>
      <c r="MEN64" s="41"/>
      <c r="MET64" s="42"/>
      <c r="MFA64" s="33"/>
      <c r="MFB64" s="33"/>
      <c r="MFF64" s="41"/>
      <c r="MFL64" s="42"/>
      <c r="MFS64" s="33"/>
      <c r="MFT64" s="33"/>
      <c r="MFX64" s="41"/>
      <c r="MGD64" s="42"/>
      <c r="MGK64" s="33"/>
      <c r="MGL64" s="33"/>
      <c r="MGP64" s="41"/>
      <c r="MGV64" s="42"/>
      <c r="MHC64" s="33"/>
      <c r="MHD64" s="33"/>
      <c r="MHH64" s="41"/>
      <c r="MHN64" s="42"/>
      <c r="MHU64" s="33"/>
      <c r="MHV64" s="33"/>
      <c r="MHZ64" s="41"/>
      <c r="MIF64" s="42"/>
      <c r="MIM64" s="33"/>
      <c r="MIN64" s="33"/>
      <c r="MIR64" s="41"/>
      <c r="MIX64" s="42"/>
      <c r="MJE64" s="33"/>
      <c r="MJF64" s="33"/>
      <c r="MJJ64" s="41"/>
      <c r="MJP64" s="42"/>
      <c r="MJW64" s="33"/>
      <c r="MJX64" s="33"/>
      <c r="MKB64" s="41"/>
      <c r="MKH64" s="42"/>
      <c r="MKO64" s="33"/>
      <c r="MKP64" s="33"/>
      <c r="MKT64" s="41"/>
      <c r="MKZ64" s="42"/>
      <c r="MLG64" s="33"/>
      <c r="MLH64" s="33"/>
      <c r="MLL64" s="41"/>
      <c r="MLR64" s="42"/>
      <c r="MLY64" s="33"/>
      <c r="MLZ64" s="33"/>
      <c r="MMD64" s="41"/>
      <c r="MMJ64" s="42"/>
      <c r="MMQ64" s="33"/>
      <c r="MMR64" s="33"/>
      <c r="MMV64" s="41"/>
      <c r="MNB64" s="42"/>
      <c r="MNI64" s="33"/>
      <c r="MNJ64" s="33"/>
      <c r="MNN64" s="41"/>
      <c r="MNT64" s="42"/>
      <c r="MOA64" s="33"/>
      <c r="MOB64" s="33"/>
      <c r="MOF64" s="41"/>
      <c r="MOL64" s="42"/>
      <c r="MOS64" s="33"/>
      <c r="MOT64" s="33"/>
      <c r="MOX64" s="41"/>
      <c r="MPD64" s="42"/>
      <c r="MPK64" s="33"/>
      <c r="MPL64" s="33"/>
      <c r="MPP64" s="41"/>
      <c r="MPV64" s="42"/>
      <c r="MQC64" s="33"/>
      <c r="MQD64" s="33"/>
      <c r="MQH64" s="41"/>
      <c r="MQN64" s="42"/>
      <c r="MQU64" s="33"/>
      <c r="MQV64" s="33"/>
      <c r="MQZ64" s="41"/>
      <c r="MRF64" s="42"/>
      <c r="MRM64" s="33"/>
      <c r="MRN64" s="33"/>
      <c r="MRR64" s="41"/>
      <c r="MRX64" s="42"/>
      <c r="MSE64" s="33"/>
      <c r="MSF64" s="33"/>
      <c r="MSJ64" s="41"/>
      <c r="MSP64" s="42"/>
      <c r="MSW64" s="33"/>
      <c r="MSX64" s="33"/>
      <c r="MTB64" s="41"/>
      <c r="MTH64" s="42"/>
      <c r="MTO64" s="33"/>
      <c r="MTP64" s="33"/>
      <c r="MTT64" s="41"/>
      <c r="MTZ64" s="42"/>
      <c r="MUG64" s="33"/>
      <c r="MUH64" s="33"/>
      <c r="MUL64" s="41"/>
      <c r="MUR64" s="42"/>
      <c r="MUY64" s="33"/>
      <c r="MUZ64" s="33"/>
      <c r="MVD64" s="41"/>
      <c r="MVJ64" s="42"/>
      <c r="MVQ64" s="33"/>
      <c r="MVR64" s="33"/>
      <c r="MVV64" s="41"/>
      <c r="MWB64" s="42"/>
      <c r="MWI64" s="33"/>
      <c r="MWJ64" s="33"/>
      <c r="MWN64" s="41"/>
      <c r="MWT64" s="42"/>
      <c r="MXA64" s="33"/>
      <c r="MXB64" s="33"/>
      <c r="MXF64" s="41"/>
      <c r="MXL64" s="42"/>
      <c r="MXS64" s="33"/>
      <c r="MXT64" s="33"/>
      <c r="MXX64" s="41"/>
      <c r="MYD64" s="42"/>
      <c r="MYK64" s="33"/>
      <c r="MYL64" s="33"/>
      <c r="MYP64" s="41"/>
      <c r="MYV64" s="42"/>
      <c r="MZC64" s="33"/>
      <c r="MZD64" s="33"/>
      <c r="MZH64" s="41"/>
      <c r="MZN64" s="42"/>
      <c r="MZU64" s="33"/>
      <c r="MZV64" s="33"/>
      <c r="MZZ64" s="41"/>
      <c r="NAF64" s="42"/>
      <c r="NAM64" s="33"/>
      <c r="NAN64" s="33"/>
      <c r="NAR64" s="41"/>
      <c r="NAX64" s="42"/>
      <c r="NBE64" s="33"/>
      <c r="NBF64" s="33"/>
      <c r="NBJ64" s="41"/>
      <c r="NBP64" s="42"/>
      <c r="NBW64" s="33"/>
      <c r="NBX64" s="33"/>
      <c r="NCB64" s="41"/>
      <c r="NCH64" s="42"/>
      <c r="NCO64" s="33"/>
      <c r="NCP64" s="33"/>
      <c r="NCT64" s="41"/>
      <c r="NCZ64" s="42"/>
      <c r="NDG64" s="33"/>
      <c r="NDH64" s="33"/>
      <c r="NDL64" s="41"/>
      <c r="NDR64" s="42"/>
      <c r="NDY64" s="33"/>
      <c r="NDZ64" s="33"/>
      <c r="NED64" s="41"/>
      <c r="NEJ64" s="42"/>
      <c r="NEQ64" s="33"/>
      <c r="NER64" s="33"/>
      <c r="NEV64" s="41"/>
      <c r="NFB64" s="42"/>
      <c r="NFI64" s="33"/>
      <c r="NFJ64" s="33"/>
      <c r="NFN64" s="41"/>
      <c r="NFT64" s="42"/>
      <c r="NGA64" s="33"/>
      <c r="NGB64" s="33"/>
      <c r="NGF64" s="41"/>
      <c r="NGL64" s="42"/>
      <c r="NGS64" s="33"/>
      <c r="NGT64" s="33"/>
      <c r="NGX64" s="41"/>
      <c r="NHD64" s="42"/>
      <c r="NHK64" s="33"/>
      <c r="NHL64" s="33"/>
      <c r="NHP64" s="41"/>
      <c r="NHV64" s="42"/>
      <c r="NIC64" s="33"/>
      <c r="NID64" s="33"/>
      <c r="NIH64" s="41"/>
      <c r="NIN64" s="42"/>
      <c r="NIU64" s="33"/>
      <c r="NIV64" s="33"/>
      <c r="NIZ64" s="41"/>
      <c r="NJF64" s="42"/>
      <c r="NJM64" s="33"/>
      <c r="NJN64" s="33"/>
      <c r="NJR64" s="41"/>
      <c r="NJX64" s="42"/>
      <c r="NKE64" s="33"/>
      <c r="NKF64" s="33"/>
      <c r="NKJ64" s="41"/>
      <c r="NKP64" s="42"/>
      <c r="NKW64" s="33"/>
      <c r="NKX64" s="33"/>
      <c r="NLB64" s="41"/>
      <c r="NLH64" s="42"/>
      <c r="NLO64" s="33"/>
      <c r="NLP64" s="33"/>
      <c r="NLT64" s="41"/>
      <c r="NLZ64" s="42"/>
      <c r="NMG64" s="33"/>
      <c r="NMH64" s="33"/>
      <c r="NML64" s="41"/>
      <c r="NMR64" s="42"/>
      <c r="NMY64" s="33"/>
      <c r="NMZ64" s="33"/>
      <c r="NND64" s="41"/>
      <c r="NNJ64" s="42"/>
      <c r="NNQ64" s="33"/>
      <c r="NNR64" s="33"/>
      <c r="NNV64" s="41"/>
      <c r="NOB64" s="42"/>
      <c r="NOI64" s="33"/>
      <c r="NOJ64" s="33"/>
      <c r="NON64" s="41"/>
      <c r="NOT64" s="42"/>
      <c r="NPA64" s="33"/>
      <c r="NPB64" s="33"/>
      <c r="NPF64" s="41"/>
      <c r="NPL64" s="42"/>
      <c r="NPS64" s="33"/>
      <c r="NPT64" s="33"/>
      <c r="NPX64" s="41"/>
      <c r="NQD64" s="42"/>
      <c r="NQK64" s="33"/>
      <c r="NQL64" s="33"/>
      <c r="NQP64" s="41"/>
      <c r="NQV64" s="42"/>
      <c r="NRC64" s="33"/>
      <c r="NRD64" s="33"/>
      <c r="NRH64" s="41"/>
      <c r="NRN64" s="42"/>
      <c r="NRU64" s="33"/>
      <c r="NRV64" s="33"/>
      <c r="NRZ64" s="41"/>
      <c r="NSF64" s="42"/>
      <c r="NSM64" s="33"/>
      <c r="NSN64" s="33"/>
      <c r="NSR64" s="41"/>
      <c r="NSX64" s="42"/>
      <c r="NTE64" s="33"/>
      <c r="NTF64" s="33"/>
      <c r="NTJ64" s="41"/>
      <c r="NTP64" s="42"/>
      <c r="NTW64" s="33"/>
      <c r="NTX64" s="33"/>
      <c r="NUB64" s="41"/>
      <c r="NUH64" s="42"/>
      <c r="NUO64" s="33"/>
      <c r="NUP64" s="33"/>
      <c r="NUT64" s="41"/>
      <c r="NUZ64" s="42"/>
      <c r="NVG64" s="33"/>
      <c r="NVH64" s="33"/>
      <c r="NVL64" s="41"/>
      <c r="NVR64" s="42"/>
      <c r="NVY64" s="33"/>
      <c r="NVZ64" s="33"/>
      <c r="NWD64" s="41"/>
      <c r="NWJ64" s="42"/>
      <c r="NWQ64" s="33"/>
      <c r="NWR64" s="33"/>
      <c r="NWV64" s="41"/>
      <c r="NXB64" s="42"/>
      <c r="NXI64" s="33"/>
      <c r="NXJ64" s="33"/>
      <c r="NXN64" s="41"/>
      <c r="NXT64" s="42"/>
      <c r="NYA64" s="33"/>
      <c r="NYB64" s="33"/>
      <c r="NYF64" s="41"/>
      <c r="NYL64" s="42"/>
      <c r="NYS64" s="33"/>
      <c r="NYT64" s="33"/>
      <c r="NYX64" s="41"/>
      <c r="NZD64" s="42"/>
      <c r="NZK64" s="33"/>
      <c r="NZL64" s="33"/>
      <c r="NZP64" s="41"/>
      <c r="NZV64" s="42"/>
      <c r="OAC64" s="33"/>
      <c r="OAD64" s="33"/>
      <c r="OAH64" s="41"/>
      <c r="OAN64" s="42"/>
      <c r="OAU64" s="33"/>
      <c r="OAV64" s="33"/>
      <c r="OAZ64" s="41"/>
      <c r="OBF64" s="42"/>
      <c r="OBM64" s="33"/>
      <c r="OBN64" s="33"/>
      <c r="OBR64" s="41"/>
      <c r="OBX64" s="42"/>
      <c r="OCE64" s="33"/>
      <c r="OCF64" s="33"/>
      <c r="OCJ64" s="41"/>
      <c r="OCP64" s="42"/>
      <c r="OCW64" s="33"/>
      <c r="OCX64" s="33"/>
      <c r="ODB64" s="41"/>
      <c r="ODH64" s="42"/>
      <c r="ODO64" s="33"/>
      <c r="ODP64" s="33"/>
      <c r="ODT64" s="41"/>
      <c r="ODZ64" s="42"/>
      <c r="OEG64" s="33"/>
      <c r="OEH64" s="33"/>
      <c r="OEL64" s="41"/>
      <c r="OER64" s="42"/>
      <c r="OEY64" s="33"/>
      <c r="OEZ64" s="33"/>
      <c r="OFD64" s="41"/>
      <c r="OFJ64" s="42"/>
      <c r="OFQ64" s="33"/>
      <c r="OFR64" s="33"/>
      <c r="OFV64" s="41"/>
      <c r="OGB64" s="42"/>
      <c r="OGI64" s="33"/>
      <c r="OGJ64" s="33"/>
      <c r="OGN64" s="41"/>
      <c r="OGT64" s="42"/>
      <c r="OHA64" s="33"/>
      <c r="OHB64" s="33"/>
      <c r="OHF64" s="41"/>
      <c r="OHL64" s="42"/>
      <c r="OHS64" s="33"/>
      <c r="OHT64" s="33"/>
      <c r="OHX64" s="41"/>
      <c r="OID64" s="42"/>
      <c r="OIK64" s="33"/>
      <c r="OIL64" s="33"/>
      <c r="OIP64" s="41"/>
      <c r="OIV64" s="42"/>
      <c r="OJC64" s="33"/>
      <c r="OJD64" s="33"/>
      <c r="OJH64" s="41"/>
      <c r="OJN64" s="42"/>
      <c r="OJU64" s="33"/>
      <c r="OJV64" s="33"/>
      <c r="OJZ64" s="41"/>
      <c r="OKF64" s="42"/>
      <c r="OKM64" s="33"/>
      <c r="OKN64" s="33"/>
      <c r="OKR64" s="41"/>
      <c r="OKX64" s="42"/>
      <c r="OLE64" s="33"/>
      <c r="OLF64" s="33"/>
      <c r="OLJ64" s="41"/>
      <c r="OLP64" s="42"/>
      <c r="OLW64" s="33"/>
      <c r="OLX64" s="33"/>
      <c r="OMB64" s="41"/>
      <c r="OMH64" s="42"/>
      <c r="OMO64" s="33"/>
      <c r="OMP64" s="33"/>
      <c r="OMT64" s="41"/>
      <c r="OMZ64" s="42"/>
      <c r="ONG64" s="33"/>
      <c r="ONH64" s="33"/>
      <c r="ONL64" s="41"/>
      <c r="ONR64" s="42"/>
      <c r="ONY64" s="33"/>
      <c r="ONZ64" s="33"/>
      <c r="OOD64" s="41"/>
      <c r="OOJ64" s="42"/>
      <c r="OOQ64" s="33"/>
      <c r="OOR64" s="33"/>
      <c r="OOV64" s="41"/>
      <c r="OPB64" s="42"/>
      <c r="OPI64" s="33"/>
      <c r="OPJ64" s="33"/>
      <c r="OPN64" s="41"/>
      <c r="OPT64" s="42"/>
      <c r="OQA64" s="33"/>
      <c r="OQB64" s="33"/>
      <c r="OQF64" s="41"/>
      <c r="OQL64" s="42"/>
      <c r="OQS64" s="33"/>
      <c r="OQT64" s="33"/>
      <c r="OQX64" s="41"/>
      <c r="ORD64" s="42"/>
      <c r="ORK64" s="33"/>
      <c r="ORL64" s="33"/>
      <c r="ORP64" s="41"/>
      <c r="ORV64" s="42"/>
      <c r="OSC64" s="33"/>
      <c r="OSD64" s="33"/>
      <c r="OSH64" s="41"/>
      <c r="OSN64" s="42"/>
      <c r="OSU64" s="33"/>
      <c r="OSV64" s="33"/>
      <c r="OSZ64" s="41"/>
      <c r="OTF64" s="42"/>
      <c r="OTM64" s="33"/>
      <c r="OTN64" s="33"/>
      <c r="OTR64" s="41"/>
      <c r="OTX64" s="42"/>
      <c r="OUE64" s="33"/>
      <c r="OUF64" s="33"/>
      <c r="OUJ64" s="41"/>
      <c r="OUP64" s="42"/>
      <c r="OUW64" s="33"/>
      <c r="OUX64" s="33"/>
      <c r="OVB64" s="41"/>
      <c r="OVH64" s="42"/>
      <c r="OVO64" s="33"/>
      <c r="OVP64" s="33"/>
      <c r="OVT64" s="41"/>
      <c r="OVZ64" s="42"/>
      <c r="OWG64" s="33"/>
      <c r="OWH64" s="33"/>
      <c r="OWL64" s="41"/>
      <c r="OWR64" s="42"/>
      <c r="OWY64" s="33"/>
      <c r="OWZ64" s="33"/>
      <c r="OXD64" s="41"/>
      <c r="OXJ64" s="42"/>
      <c r="OXQ64" s="33"/>
      <c r="OXR64" s="33"/>
      <c r="OXV64" s="41"/>
      <c r="OYB64" s="42"/>
      <c r="OYI64" s="33"/>
      <c r="OYJ64" s="33"/>
      <c r="OYN64" s="41"/>
      <c r="OYT64" s="42"/>
      <c r="OZA64" s="33"/>
      <c r="OZB64" s="33"/>
      <c r="OZF64" s="41"/>
      <c r="OZL64" s="42"/>
      <c r="OZS64" s="33"/>
      <c r="OZT64" s="33"/>
      <c r="OZX64" s="41"/>
      <c r="PAD64" s="42"/>
      <c r="PAK64" s="33"/>
      <c r="PAL64" s="33"/>
      <c r="PAP64" s="41"/>
      <c r="PAV64" s="42"/>
      <c r="PBC64" s="33"/>
      <c r="PBD64" s="33"/>
      <c r="PBH64" s="41"/>
      <c r="PBN64" s="42"/>
      <c r="PBU64" s="33"/>
      <c r="PBV64" s="33"/>
      <c r="PBZ64" s="41"/>
      <c r="PCF64" s="42"/>
      <c r="PCM64" s="33"/>
      <c r="PCN64" s="33"/>
      <c r="PCR64" s="41"/>
      <c r="PCX64" s="42"/>
      <c r="PDE64" s="33"/>
      <c r="PDF64" s="33"/>
      <c r="PDJ64" s="41"/>
      <c r="PDP64" s="42"/>
      <c r="PDW64" s="33"/>
      <c r="PDX64" s="33"/>
      <c r="PEB64" s="41"/>
      <c r="PEH64" s="42"/>
      <c r="PEO64" s="33"/>
      <c r="PEP64" s="33"/>
      <c r="PET64" s="41"/>
      <c r="PEZ64" s="42"/>
      <c r="PFG64" s="33"/>
      <c r="PFH64" s="33"/>
      <c r="PFL64" s="41"/>
      <c r="PFR64" s="42"/>
      <c r="PFY64" s="33"/>
      <c r="PFZ64" s="33"/>
      <c r="PGD64" s="41"/>
      <c r="PGJ64" s="42"/>
      <c r="PGQ64" s="33"/>
      <c r="PGR64" s="33"/>
      <c r="PGV64" s="41"/>
      <c r="PHB64" s="42"/>
      <c r="PHI64" s="33"/>
      <c r="PHJ64" s="33"/>
      <c r="PHN64" s="41"/>
      <c r="PHT64" s="42"/>
      <c r="PIA64" s="33"/>
      <c r="PIB64" s="33"/>
      <c r="PIF64" s="41"/>
      <c r="PIL64" s="42"/>
      <c r="PIS64" s="33"/>
      <c r="PIT64" s="33"/>
      <c r="PIX64" s="41"/>
      <c r="PJD64" s="42"/>
      <c r="PJK64" s="33"/>
      <c r="PJL64" s="33"/>
      <c r="PJP64" s="41"/>
      <c r="PJV64" s="42"/>
      <c r="PKC64" s="33"/>
      <c r="PKD64" s="33"/>
      <c r="PKH64" s="41"/>
      <c r="PKN64" s="42"/>
      <c r="PKU64" s="33"/>
      <c r="PKV64" s="33"/>
      <c r="PKZ64" s="41"/>
      <c r="PLF64" s="42"/>
      <c r="PLM64" s="33"/>
      <c r="PLN64" s="33"/>
      <c r="PLR64" s="41"/>
      <c r="PLX64" s="42"/>
      <c r="PME64" s="33"/>
      <c r="PMF64" s="33"/>
      <c r="PMJ64" s="41"/>
      <c r="PMP64" s="42"/>
      <c r="PMW64" s="33"/>
      <c r="PMX64" s="33"/>
      <c r="PNB64" s="41"/>
      <c r="PNH64" s="42"/>
      <c r="PNO64" s="33"/>
      <c r="PNP64" s="33"/>
      <c r="PNT64" s="41"/>
      <c r="PNZ64" s="42"/>
      <c r="POG64" s="33"/>
      <c r="POH64" s="33"/>
      <c r="POL64" s="41"/>
      <c r="POR64" s="42"/>
      <c r="POY64" s="33"/>
      <c r="POZ64" s="33"/>
      <c r="PPD64" s="41"/>
      <c r="PPJ64" s="42"/>
      <c r="PPQ64" s="33"/>
      <c r="PPR64" s="33"/>
      <c r="PPV64" s="41"/>
      <c r="PQB64" s="42"/>
      <c r="PQI64" s="33"/>
      <c r="PQJ64" s="33"/>
      <c r="PQN64" s="41"/>
      <c r="PQT64" s="42"/>
      <c r="PRA64" s="33"/>
      <c r="PRB64" s="33"/>
      <c r="PRF64" s="41"/>
      <c r="PRL64" s="42"/>
      <c r="PRS64" s="33"/>
      <c r="PRT64" s="33"/>
      <c r="PRX64" s="41"/>
      <c r="PSD64" s="42"/>
      <c r="PSK64" s="33"/>
      <c r="PSL64" s="33"/>
      <c r="PSP64" s="41"/>
      <c r="PSV64" s="42"/>
      <c r="PTC64" s="33"/>
      <c r="PTD64" s="33"/>
      <c r="PTH64" s="41"/>
      <c r="PTN64" s="42"/>
      <c r="PTU64" s="33"/>
      <c r="PTV64" s="33"/>
      <c r="PTZ64" s="41"/>
      <c r="PUF64" s="42"/>
      <c r="PUM64" s="33"/>
      <c r="PUN64" s="33"/>
      <c r="PUR64" s="41"/>
      <c r="PUX64" s="42"/>
      <c r="PVE64" s="33"/>
      <c r="PVF64" s="33"/>
      <c r="PVJ64" s="41"/>
      <c r="PVP64" s="42"/>
      <c r="PVW64" s="33"/>
      <c r="PVX64" s="33"/>
      <c r="PWB64" s="41"/>
      <c r="PWH64" s="42"/>
      <c r="PWO64" s="33"/>
      <c r="PWP64" s="33"/>
      <c r="PWT64" s="41"/>
      <c r="PWZ64" s="42"/>
      <c r="PXG64" s="33"/>
      <c r="PXH64" s="33"/>
      <c r="PXL64" s="41"/>
      <c r="PXR64" s="42"/>
      <c r="PXY64" s="33"/>
      <c r="PXZ64" s="33"/>
      <c r="PYD64" s="41"/>
      <c r="PYJ64" s="42"/>
      <c r="PYQ64" s="33"/>
      <c r="PYR64" s="33"/>
      <c r="PYV64" s="41"/>
      <c r="PZB64" s="42"/>
      <c r="PZI64" s="33"/>
      <c r="PZJ64" s="33"/>
      <c r="PZN64" s="41"/>
      <c r="PZT64" s="42"/>
      <c r="QAA64" s="33"/>
      <c r="QAB64" s="33"/>
      <c r="QAF64" s="41"/>
      <c r="QAL64" s="42"/>
      <c r="QAS64" s="33"/>
      <c r="QAT64" s="33"/>
      <c r="QAX64" s="41"/>
      <c r="QBD64" s="42"/>
      <c r="QBK64" s="33"/>
      <c r="QBL64" s="33"/>
      <c r="QBP64" s="41"/>
      <c r="QBV64" s="42"/>
      <c r="QCC64" s="33"/>
      <c r="QCD64" s="33"/>
      <c r="QCH64" s="41"/>
      <c r="QCN64" s="42"/>
      <c r="QCU64" s="33"/>
      <c r="QCV64" s="33"/>
      <c r="QCZ64" s="41"/>
      <c r="QDF64" s="42"/>
      <c r="QDM64" s="33"/>
      <c r="QDN64" s="33"/>
      <c r="QDR64" s="41"/>
      <c r="QDX64" s="42"/>
      <c r="QEE64" s="33"/>
      <c r="QEF64" s="33"/>
      <c r="QEJ64" s="41"/>
      <c r="QEP64" s="42"/>
      <c r="QEW64" s="33"/>
      <c r="QEX64" s="33"/>
      <c r="QFB64" s="41"/>
      <c r="QFH64" s="42"/>
      <c r="QFO64" s="33"/>
      <c r="QFP64" s="33"/>
      <c r="QFT64" s="41"/>
      <c r="QFZ64" s="42"/>
      <c r="QGG64" s="33"/>
      <c r="QGH64" s="33"/>
      <c r="QGL64" s="41"/>
      <c r="QGR64" s="42"/>
      <c r="QGY64" s="33"/>
      <c r="QGZ64" s="33"/>
      <c r="QHD64" s="41"/>
      <c r="QHJ64" s="42"/>
      <c r="QHQ64" s="33"/>
      <c r="QHR64" s="33"/>
      <c r="QHV64" s="41"/>
      <c r="QIB64" s="42"/>
      <c r="QII64" s="33"/>
      <c r="QIJ64" s="33"/>
      <c r="QIN64" s="41"/>
      <c r="QIT64" s="42"/>
      <c r="QJA64" s="33"/>
      <c r="QJB64" s="33"/>
      <c r="QJF64" s="41"/>
      <c r="QJL64" s="42"/>
      <c r="QJS64" s="33"/>
      <c r="QJT64" s="33"/>
      <c r="QJX64" s="41"/>
      <c r="QKD64" s="42"/>
      <c r="QKK64" s="33"/>
      <c r="QKL64" s="33"/>
      <c r="QKP64" s="41"/>
      <c r="QKV64" s="42"/>
      <c r="QLC64" s="33"/>
      <c r="QLD64" s="33"/>
      <c r="QLH64" s="41"/>
      <c r="QLN64" s="42"/>
      <c r="QLU64" s="33"/>
      <c r="QLV64" s="33"/>
      <c r="QLZ64" s="41"/>
      <c r="QMF64" s="42"/>
      <c r="QMM64" s="33"/>
      <c r="QMN64" s="33"/>
      <c r="QMR64" s="41"/>
      <c r="QMX64" s="42"/>
      <c r="QNE64" s="33"/>
      <c r="QNF64" s="33"/>
      <c r="QNJ64" s="41"/>
      <c r="QNP64" s="42"/>
      <c r="QNW64" s="33"/>
      <c r="QNX64" s="33"/>
      <c r="QOB64" s="41"/>
      <c r="QOH64" s="42"/>
      <c r="QOO64" s="33"/>
      <c r="QOP64" s="33"/>
      <c r="QOT64" s="41"/>
      <c r="QOZ64" s="42"/>
      <c r="QPG64" s="33"/>
      <c r="QPH64" s="33"/>
      <c r="QPL64" s="41"/>
      <c r="QPR64" s="42"/>
      <c r="QPY64" s="33"/>
      <c r="QPZ64" s="33"/>
      <c r="QQD64" s="41"/>
      <c r="QQJ64" s="42"/>
      <c r="QQQ64" s="33"/>
      <c r="QQR64" s="33"/>
      <c r="QQV64" s="41"/>
      <c r="QRB64" s="42"/>
      <c r="QRI64" s="33"/>
      <c r="QRJ64" s="33"/>
      <c r="QRN64" s="41"/>
      <c r="QRT64" s="42"/>
      <c r="QSA64" s="33"/>
      <c r="QSB64" s="33"/>
      <c r="QSF64" s="41"/>
      <c r="QSL64" s="42"/>
      <c r="QSS64" s="33"/>
      <c r="QST64" s="33"/>
      <c r="QSX64" s="41"/>
      <c r="QTD64" s="42"/>
      <c r="QTK64" s="33"/>
      <c r="QTL64" s="33"/>
      <c r="QTP64" s="41"/>
      <c r="QTV64" s="42"/>
      <c r="QUC64" s="33"/>
      <c r="QUD64" s="33"/>
      <c r="QUH64" s="41"/>
      <c r="QUN64" s="42"/>
      <c r="QUU64" s="33"/>
      <c r="QUV64" s="33"/>
      <c r="QUZ64" s="41"/>
      <c r="QVF64" s="42"/>
      <c r="QVM64" s="33"/>
      <c r="QVN64" s="33"/>
      <c r="QVR64" s="41"/>
      <c r="QVX64" s="42"/>
      <c r="QWE64" s="33"/>
      <c r="QWF64" s="33"/>
      <c r="QWJ64" s="41"/>
      <c r="QWP64" s="42"/>
      <c r="QWW64" s="33"/>
      <c r="QWX64" s="33"/>
      <c r="QXB64" s="41"/>
      <c r="QXH64" s="42"/>
      <c r="QXO64" s="33"/>
      <c r="QXP64" s="33"/>
      <c r="QXT64" s="41"/>
      <c r="QXZ64" s="42"/>
      <c r="QYG64" s="33"/>
      <c r="QYH64" s="33"/>
      <c r="QYL64" s="41"/>
      <c r="QYR64" s="42"/>
      <c r="QYY64" s="33"/>
      <c r="QYZ64" s="33"/>
      <c r="QZD64" s="41"/>
      <c r="QZJ64" s="42"/>
      <c r="QZQ64" s="33"/>
      <c r="QZR64" s="33"/>
      <c r="QZV64" s="41"/>
      <c r="RAB64" s="42"/>
      <c r="RAI64" s="33"/>
      <c r="RAJ64" s="33"/>
      <c r="RAN64" s="41"/>
      <c r="RAT64" s="42"/>
      <c r="RBA64" s="33"/>
      <c r="RBB64" s="33"/>
      <c r="RBF64" s="41"/>
      <c r="RBL64" s="42"/>
      <c r="RBS64" s="33"/>
      <c r="RBT64" s="33"/>
      <c r="RBX64" s="41"/>
      <c r="RCD64" s="42"/>
      <c r="RCK64" s="33"/>
      <c r="RCL64" s="33"/>
      <c r="RCP64" s="41"/>
      <c r="RCV64" s="42"/>
      <c r="RDC64" s="33"/>
      <c r="RDD64" s="33"/>
      <c r="RDH64" s="41"/>
      <c r="RDN64" s="42"/>
      <c r="RDU64" s="33"/>
      <c r="RDV64" s="33"/>
      <c r="RDZ64" s="41"/>
      <c r="REF64" s="42"/>
      <c r="REM64" s="33"/>
      <c r="REN64" s="33"/>
      <c r="RER64" s="41"/>
      <c r="REX64" s="42"/>
      <c r="RFE64" s="33"/>
      <c r="RFF64" s="33"/>
      <c r="RFJ64" s="41"/>
      <c r="RFP64" s="42"/>
      <c r="RFW64" s="33"/>
      <c r="RFX64" s="33"/>
      <c r="RGB64" s="41"/>
      <c r="RGH64" s="42"/>
      <c r="RGO64" s="33"/>
      <c r="RGP64" s="33"/>
      <c r="RGT64" s="41"/>
      <c r="RGZ64" s="42"/>
      <c r="RHG64" s="33"/>
      <c r="RHH64" s="33"/>
      <c r="RHL64" s="41"/>
      <c r="RHR64" s="42"/>
      <c r="RHY64" s="33"/>
      <c r="RHZ64" s="33"/>
      <c r="RID64" s="41"/>
      <c r="RIJ64" s="42"/>
      <c r="RIQ64" s="33"/>
      <c r="RIR64" s="33"/>
      <c r="RIV64" s="41"/>
      <c r="RJB64" s="42"/>
      <c r="RJI64" s="33"/>
      <c r="RJJ64" s="33"/>
      <c r="RJN64" s="41"/>
      <c r="RJT64" s="42"/>
      <c r="RKA64" s="33"/>
      <c r="RKB64" s="33"/>
      <c r="RKF64" s="41"/>
      <c r="RKL64" s="42"/>
      <c r="RKS64" s="33"/>
      <c r="RKT64" s="33"/>
      <c r="RKX64" s="41"/>
      <c r="RLD64" s="42"/>
      <c r="RLK64" s="33"/>
      <c r="RLL64" s="33"/>
      <c r="RLP64" s="41"/>
      <c r="RLV64" s="42"/>
      <c r="RMC64" s="33"/>
      <c r="RMD64" s="33"/>
      <c r="RMH64" s="41"/>
      <c r="RMN64" s="42"/>
      <c r="RMU64" s="33"/>
      <c r="RMV64" s="33"/>
      <c r="RMZ64" s="41"/>
      <c r="RNF64" s="42"/>
      <c r="RNM64" s="33"/>
      <c r="RNN64" s="33"/>
      <c r="RNR64" s="41"/>
      <c r="RNX64" s="42"/>
      <c r="ROE64" s="33"/>
      <c r="ROF64" s="33"/>
      <c r="ROJ64" s="41"/>
      <c r="ROP64" s="42"/>
      <c r="ROW64" s="33"/>
      <c r="ROX64" s="33"/>
      <c r="RPB64" s="41"/>
      <c r="RPH64" s="42"/>
      <c r="RPO64" s="33"/>
      <c r="RPP64" s="33"/>
      <c r="RPT64" s="41"/>
      <c r="RPZ64" s="42"/>
      <c r="RQG64" s="33"/>
      <c r="RQH64" s="33"/>
      <c r="RQL64" s="41"/>
      <c r="RQR64" s="42"/>
      <c r="RQY64" s="33"/>
      <c r="RQZ64" s="33"/>
      <c r="RRD64" s="41"/>
      <c r="RRJ64" s="42"/>
      <c r="RRQ64" s="33"/>
      <c r="RRR64" s="33"/>
      <c r="RRV64" s="41"/>
      <c r="RSB64" s="42"/>
      <c r="RSI64" s="33"/>
      <c r="RSJ64" s="33"/>
      <c r="RSN64" s="41"/>
      <c r="RST64" s="42"/>
      <c r="RTA64" s="33"/>
      <c r="RTB64" s="33"/>
      <c r="RTF64" s="41"/>
      <c r="RTL64" s="42"/>
      <c r="RTS64" s="33"/>
      <c r="RTT64" s="33"/>
      <c r="RTX64" s="41"/>
      <c r="RUD64" s="42"/>
      <c r="RUK64" s="33"/>
      <c r="RUL64" s="33"/>
      <c r="RUP64" s="41"/>
      <c r="RUV64" s="42"/>
      <c r="RVC64" s="33"/>
      <c r="RVD64" s="33"/>
      <c r="RVH64" s="41"/>
      <c r="RVN64" s="42"/>
      <c r="RVU64" s="33"/>
      <c r="RVV64" s="33"/>
      <c r="RVZ64" s="41"/>
      <c r="RWF64" s="42"/>
      <c r="RWM64" s="33"/>
      <c r="RWN64" s="33"/>
      <c r="RWR64" s="41"/>
      <c r="RWX64" s="42"/>
      <c r="RXE64" s="33"/>
      <c r="RXF64" s="33"/>
      <c r="RXJ64" s="41"/>
      <c r="RXP64" s="42"/>
      <c r="RXW64" s="33"/>
      <c r="RXX64" s="33"/>
      <c r="RYB64" s="41"/>
      <c r="RYH64" s="42"/>
      <c r="RYO64" s="33"/>
      <c r="RYP64" s="33"/>
      <c r="RYT64" s="41"/>
      <c r="RYZ64" s="42"/>
      <c r="RZG64" s="33"/>
      <c r="RZH64" s="33"/>
      <c r="RZL64" s="41"/>
      <c r="RZR64" s="42"/>
      <c r="RZY64" s="33"/>
      <c r="RZZ64" s="33"/>
      <c r="SAD64" s="41"/>
      <c r="SAJ64" s="42"/>
      <c r="SAQ64" s="33"/>
      <c r="SAR64" s="33"/>
      <c r="SAV64" s="41"/>
      <c r="SBB64" s="42"/>
      <c r="SBI64" s="33"/>
      <c r="SBJ64" s="33"/>
      <c r="SBN64" s="41"/>
      <c r="SBT64" s="42"/>
      <c r="SCA64" s="33"/>
      <c r="SCB64" s="33"/>
      <c r="SCF64" s="41"/>
      <c r="SCL64" s="42"/>
      <c r="SCS64" s="33"/>
      <c r="SCT64" s="33"/>
      <c r="SCX64" s="41"/>
      <c r="SDD64" s="42"/>
      <c r="SDK64" s="33"/>
      <c r="SDL64" s="33"/>
      <c r="SDP64" s="41"/>
      <c r="SDV64" s="42"/>
      <c r="SEC64" s="33"/>
      <c r="SED64" s="33"/>
      <c r="SEH64" s="41"/>
      <c r="SEN64" s="42"/>
      <c r="SEU64" s="33"/>
      <c r="SEV64" s="33"/>
      <c r="SEZ64" s="41"/>
      <c r="SFF64" s="42"/>
      <c r="SFM64" s="33"/>
      <c r="SFN64" s="33"/>
      <c r="SFR64" s="41"/>
      <c r="SFX64" s="42"/>
      <c r="SGE64" s="33"/>
      <c r="SGF64" s="33"/>
      <c r="SGJ64" s="41"/>
      <c r="SGP64" s="42"/>
      <c r="SGW64" s="33"/>
      <c r="SGX64" s="33"/>
      <c r="SHB64" s="41"/>
      <c r="SHH64" s="42"/>
      <c r="SHO64" s="33"/>
      <c r="SHP64" s="33"/>
      <c r="SHT64" s="41"/>
      <c r="SHZ64" s="42"/>
      <c r="SIG64" s="33"/>
      <c r="SIH64" s="33"/>
      <c r="SIL64" s="41"/>
      <c r="SIR64" s="42"/>
      <c r="SIY64" s="33"/>
      <c r="SIZ64" s="33"/>
      <c r="SJD64" s="41"/>
      <c r="SJJ64" s="42"/>
      <c r="SJQ64" s="33"/>
      <c r="SJR64" s="33"/>
      <c r="SJV64" s="41"/>
      <c r="SKB64" s="42"/>
      <c r="SKI64" s="33"/>
      <c r="SKJ64" s="33"/>
      <c r="SKN64" s="41"/>
      <c r="SKT64" s="42"/>
      <c r="SLA64" s="33"/>
      <c r="SLB64" s="33"/>
      <c r="SLF64" s="41"/>
      <c r="SLL64" s="42"/>
      <c r="SLS64" s="33"/>
      <c r="SLT64" s="33"/>
      <c r="SLX64" s="41"/>
      <c r="SMD64" s="42"/>
      <c r="SMK64" s="33"/>
      <c r="SML64" s="33"/>
      <c r="SMP64" s="41"/>
      <c r="SMV64" s="42"/>
      <c r="SNC64" s="33"/>
      <c r="SND64" s="33"/>
      <c r="SNH64" s="41"/>
      <c r="SNN64" s="42"/>
      <c r="SNU64" s="33"/>
      <c r="SNV64" s="33"/>
      <c r="SNZ64" s="41"/>
      <c r="SOF64" s="42"/>
      <c r="SOM64" s="33"/>
      <c r="SON64" s="33"/>
      <c r="SOR64" s="41"/>
      <c r="SOX64" s="42"/>
      <c r="SPE64" s="33"/>
      <c r="SPF64" s="33"/>
      <c r="SPJ64" s="41"/>
      <c r="SPP64" s="42"/>
      <c r="SPW64" s="33"/>
      <c r="SPX64" s="33"/>
      <c r="SQB64" s="41"/>
      <c r="SQH64" s="42"/>
      <c r="SQO64" s="33"/>
      <c r="SQP64" s="33"/>
      <c r="SQT64" s="41"/>
      <c r="SQZ64" s="42"/>
      <c r="SRG64" s="33"/>
      <c r="SRH64" s="33"/>
      <c r="SRL64" s="41"/>
      <c r="SRR64" s="42"/>
      <c r="SRY64" s="33"/>
      <c r="SRZ64" s="33"/>
      <c r="SSD64" s="41"/>
      <c r="SSJ64" s="42"/>
      <c r="SSQ64" s="33"/>
      <c r="SSR64" s="33"/>
      <c r="SSV64" s="41"/>
      <c r="STB64" s="42"/>
      <c r="STI64" s="33"/>
      <c r="STJ64" s="33"/>
      <c r="STN64" s="41"/>
      <c r="STT64" s="42"/>
      <c r="SUA64" s="33"/>
      <c r="SUB64" s="33"/>
      <c r="SUF64" s="41"/>
      <c r="SUL64" s="42"/>
      <c r="SUS64" s="33"/>
      <c r="SUT64" s="33"/>
      <c r="SUX64" s="41"/>
      <c r="SVD64" s="42"/>
      <c r="SVK64" s="33"/>
      <c r="SVL64" s="33"/>
      <c r="SVP64" s="41"/>
      <c r="SVV64" s="42"/>
      <c r="SWC64" s="33"/>
      <c r="SWD64" s="33"/>
      <c r="SWH64" s="41"/>
      <c r="SWN64" s="42"/>
      <c r="SWU64" s="33"/>
      <c r="SWV64" s="33"/>
      <c r="SWZ64" s="41"/>
      <c r="SXF64" s="42"/>
      <c r="SXM64" s="33"/>
      <c r="SXN64" s="33"/>
      <c r="SXR64" s="41"/>
      <c r="SXX64" s="42"/>
      <c r="SYE64" s="33"/>
      <c r="SYF64" s="33"/>
      <c r="SYJ64" s="41"/>
      <c r="SYP64" s="42"/>
      <c r="SYW64" s="33"/>
      <c r="SYX64" s="33"/>
      <c r="SZB64" s="41"/>
      <c r="SZH64" s="42"/>
      <c r="SZO64" s="33"/>
      <c r="SZP64" s="33"/>
      <c r="SZT64" s="41"/>
      <c r="SZZ64" s="42"/>
      <c r="TAG64" s="33"/>
      <c r="TAH64" s="33"/>
      <c r="TAL64" s="41"/>
      <c r="TAR64" s="42"/>
      <c r="TAY64" s="33"/>
      <c r="TAZ64" s="33"/>
      <c r="TBD64" s="41"/>
      <c r="TBJ64" s="42"/>
      <c r="TBQ64" s="33"/>
      <c r="TBR64" s="33"/>
      <c r="TBV64" s="41"/>
      <c r="TCB64" s="42"/>
      <c r="TCI64" s="33"/>
      <c r="TCJ64" s="33"/>
      <c r="TCN64" s="41"/>
      <c r="TCT64" s="42"/>
      <c r="TDA64" s="33"/>
      <c r="TDB64" s="33"/>
      <c r="TDF64" s="41"/>
      <c r="TDL64" s="42"/>
      <c r="TDS64" s="33"/>
      <c r="TDT64" s="33"/>
      <c r="TDX64" s="41"/>
      <c r="TED64" s="42"/>
      <c r="TEK64" s="33"/>
      <c r="TEL64" s="33"/>
      <c r="TEP64" s="41"/>
      <c r="TEV64" s="42"/>
      <c r="TFC64" s="33"/>
      <c r="TFD64" s="33"/>
      <c r="TFH64" s="41"/>
      <c r="TFN64" s="42"/>
      <c r="TFU64" s="33"/>
      <c r="TFV64" s="33"/>
      <c r="TFZ64" s="41"/>
      <c r="TGF64" s="42"/>
      <c r="TGM64" s="33"/>
      <c r="TGN64" s="33"/>
      <c r="TGR64" s="41"/>
      <c r="TGX64" s="42"/>
      <c r="THE64" s="33"/>
      <c r="THF64" s="33"/>
      <c r="THJ64" s="41"/>
      <c r="THP64" s="42"/>
      <c r="THW64" s="33"/>
      <c r="THX64" s="33"/>
      <c r="TIB64" s="41"/>
      <c r="TIH64" s="42"/>
      <c r="TIO64" s="33"/>
      <c r="TIP64" s="33"/>
      <c r="TIT64" s="41"/>
      <c r="TIZ64" s="42"/>
      <c r="TJG64" s="33"/>
      <c r="TJH64" s="33"/>
      <c r="TJL64" s="41"/>
      <c r="TJR64" s="42"/>
      <c r="TJY64" s="33"/>
      <c r="TJZ64" s="33"/>
      <c r="TKD64" s="41"/>
      <c r="TKJ64" s="42"/>
      <c r="TKQ64" s="33"/>
      <c r="TKR64" s="33"/>
      <c r="TKV64" s="41"/>
      <c r="TLB64" s="42"/>
      <c r="TLI64" s="33"/>
      <c r="TLJ64" s="33"/>
      <c r="TLN64" s="41"/>
      <c r="TLT64" s="42"/>
      <c r="TMA64" s="33"/>
      <c r="TMB64" s="33"/>
      <c r="TMF64" s="41"/>
      <c r="TML64" s="42"/>
      <c r="TMS64" s="33"/>
      <c r="TMT64" s="33"/>
      <c r="TMX64" s="41"/>
      <c r="TND64" s="42"/>
      <c r="TNK64" s="33"/>
      <c r="TNL64" s="33"/>
      <c r="TNP64" s="41"/>
      <c r="TNV64" s="42"/>
      <c r="TOC64" s="33"/>
      <c r="TOD64" s="33"/>
      <c r="TOH64" s="41"/>
      <c r="TON64" s="42"/>
      <c r="TOU64" s="33"/>
      <c r="TOV64" s="33"/>
      <c r="TOZ64" s="41"/>
      <c r="TPF64" s="42"/>
      <c r="TPM64" s="33"/>
      <c r="TPN64" s="33"/>
      <c r="TPR64" s="41"/>
      <c r="TPX64" s="42"/>
      <c r="TQE64" s="33"/>
      <c r="TQF64" s="33"/>
      <c r="TQJ64" s="41"/>
      <c r="TQP64" s="42"/>
      <c r="TQW64" s="33"/>
      <c r="TQX64" s="33"/>
      <c r="TRB64" s="41"/>
      <c r="TRH64" s="42"/>
      <c r="TRO64" s="33"/>
      <c r="TRP64" s="33"/>
      <c r="TRT64" s="41"/>
      <c r="TRZ64" s="42"/>
      <c r="TSG64" s="33"/>
      <c r="TSH64" s="33"/>
      <c r="TSL64" s="41"/>
      <c r="TSR64" s="42"/>
      <c r="TSY64" s="33"/>
      <c r="TSZ64" s="33"/>
      <c r="TTD64" s="41"/>
      <c r="TTJ64" s="42"/>
      <c r="TTQ64" s="33"/>
      <c r="TTR64" s="33"/>
      <c r="TTV64" s="41"/>
      <c r="TUB64" s="42"/>
      <c r="TUI64" s="33"/>
      <c r="TUJ64" s="33"/>
      <c r="TUN64" s="41"/>
      <c r="TUT64" s="42"/>
      <c r="TVA64" s="33"/>
      <c r="TVB64" s="33"/>
      <c r="TVF64" s="41"/>
      <c r="TVL64" s="42"/>
      <c r="TVS64" s="33"/>
      <c r="TVT64" s="33"/>
      <c r="TVX64" s="41"/>
      <c r="TWD64" s="42"/>
      <c r="TWK64" s="33"/>
      <c r="TWL64" s="33"/>
      <c r="TWP64" s="41"/>
      <c r="TWV64" s="42"/>
      <c r="TXC64" s="33"/>
      <c r="TXD64" s="33"/>
      <c r="TXH64" s="41"/>
      <c r="TXN64" s="42"/>
      <c r="TXU64" s="33"/>
      <c r="TXV64" s="33"/>
      <c r="TXZ64" s="41"/>
      <c r="TYF64" s="42"/>
      <c r="TYM64" s="33"/>
      <c r="TYN64" s="33"/>
      <c r="TYR64" s="41"/>
      <c r="TYX64" s="42"/>
      <c r="TZE64" s="33"/>
      <c r="TZF64" s="33"/>
      <c r="TZJ64" s="41"/>
      <c r="TZP64" s="42"/>
      <c r="TZW64" s="33"/>
      <c r="TZX64" s="33"/>
      <c r="UAB64" s="41"/>
      <c r="UAH64" s="42"/>
      <c r="UAO64" s="33"/>
      <c r="UAP64" s="33"/>
      <c r="UAT64" s="41"/>
      <c r="UAZ64" s="42"/>
      <c r="UBG64" s="33"/>
      <c r="UBH64" s="33"/>
      <c r="UBL64" s="41"/>
      <c r="UBR64" s="42"/>
      <c r="UBY64" s="33"/>
      <c r="UBZ64" s="33"/>
      <c r="UCD64" s="41"/>
      <c r="UCJ64" s="42"/>
      <c r="UCQ64" s="33"/>
      <c r="UCR64" s="33"/>
      <c r="UCV64" s="41"/>
      <c r="UDB64" s="42"/>
      <c r="UDI64" s="33"/>
      <c r="UDJ64" s="33"/>
      <c r="UDN64" s="41"/>
      <c r="UDT64" s="42"/>
      <c r="UEA64" s="33"/>
      <c r="UEB64" s="33"/>
      <c r="UEF64" s="41"/>
      <c r="UEL64" s="42"/>
      <c r="UES64" s="33"/>
      <c r="UET64" s="33"/>
      <c r="UEX64" s="41"/>
      <c r="UFD64" s="42"/>
      <c r="UFK64" s="33"/>
      <c r="UFL64" s="33"/>
      <c r="UFP64" s="41"/>
      <c r="UFV64" s="42"/>
      <c r="UGC64" s="33"/>
      <c r="UGD64" s="33"/>
      <c r="UGH64" s="41"/>
      <c r="UGN64" s="42"/>
      <c r="UGU64" s="33"/>
      <c r="UGV64" s="33"/>
      <c r="UGZ64" s="41"/>
      <c r="UHF64" s="42"/>
      <c r="UHM64" s="33"/>
      <c r="UHN64" s="33"/>
      <c r="UHR64" s="41"/>
      <c r="UHX64" s="42"/>
      <c r="UIE64" s="33"/>
      <c r="UIF64" s="33"/>
      <c r="UIJ64" s="41"/>
      <c r="UIP64" s="42"/>
      <c r="UIW64" s="33"/>
      <c r="UIX64" s="33"/>
      <c r="UJB64" s="41"/>
      <c r="UJH64" s="42"/>
      <c r="UJO64" s="33"/>
      <c r="UJP64" s="33"/>
      <c r="UJT64" s="41"/>
      <c r="UJZ64" s="42"/>
      <c r="UKG64" s="33"/>
      <c r="UKH64" s="33"/>
      <c r="UKL64" s="41"/>
      <c r="UKR64" s="42"/>
      <c r="UKY64" s="33"/>
      <c r="UKZ64" s="33"/>
      <c r="ULD64" s="41"/>
      <c r="ULJ64" s="42"/>
      <c r="ULQ64" s="33"/>
      <c r="ULR64" s="33"/>
      <c r="ULV64" s="41"/>
      <c r="UMB64" s="42"/>
      <c r="UMI64" s="33"/>
      <c r="UMJ64" s="33"/>
      <c r="UMN64" s="41"/>
      <c r="UMT64" s="42"/>
      <c r="UNA64" s="33"/>
      <c r="UNB64" s="33"/>
      <c r="UNF64" s="41"/>
      <c r="UNL64" s="42"/>
      <c r="UNS64" s="33"/>
      <c r="UNT64" s="33"/>
      <c r="UNX64" s="41"/>
      <c r="UOD64" s="42"/>
      <c r="UOK64" s="33"/>
      <c r="UOL64" s="33"/>
      <c r="UOP64" s="41"/>
      <c r="UOV64" s="42"/>
      <c r="UPC64" s="33"/>
      <c r="UPD64" s="33"/>
      <c r="UPH64" s="41"/>
      <c r="UPN64" s="42"/>
      <c r="UPU64" s="33"/>
      <c r="UPV64" s="33"/>
      <c r="UPZ64" s="41"/>
      <c r="UQF64" s="42"/>
      <c r="UQM64" s="33"/>
      <c r="UQN64" s="33"/>
      <c r="UQR64" s="41"/>
      <c r="UQX64" s="42"/>
      <c r="URE64" s="33"/>
      <c r="URF64" s="33"/>
      <c r="URJ64" s="41"/>
      <c r="URP64" s="42"/>
      <c r="URW64" s="33"/>
      <c r="URX64" s="33"/>
      <c r="USB64" s="41"/>
      <c r="USH64" s="42"/>
      <c r="USO64" s="33"/>
      <c r="USP64" s="33"/>
      <c r="UST64" s="41"/>
      <c r="USZ64" s="42"/>
      <c r="UTG64" s="33"/>
      <c r="UTH64" s="33"/>
      <c r="UTL64" s="41"/>
      <c r="UTR64" s="42"/>
      <c r="UTY64" s="33"/>
      <c r="UTZ64" s="33"/>
      <c r="UUD64" s="41"/>
      <c r="UUJ64" s="42"/>
      <c r="UUQ64" s="33"/>
      <c r="UUR64" s="33"/>
      <c r="UUV64" s="41"/>
      <c r="UVB64" s="42"/>
      <c r="UVI64" s="33"/>
      <c r="UVJ64" s="33"/>
      <c r="UVN64" s="41"/>
      <c r="UVT64" s="42"/>
      <c r="UWA64" s="33"/>
      <c r="UWB64" s="33"/>
      <c r="UWF64" s="41"/>
      <c r="UWL64" s="42"/>
      <c r="UWS64" s="33"/>
      <c r="UWT64" s="33"/>
      <c r="UWX64" s="41"/>
      <c r="UXD64" s="42"/>
      <c r="UXK64" s="33"/>
      <c r="UXL64" s="33"/>
      <c r="UXP64" s="41"/>
      <c r="UXV64" s="42"/>
      <c r="UYC64" s="33"/>
      <c r="UYD64" s="33"/>
      <c r="UYH64" s="41"/>
      <c r="UYN64" s="42"/>
      <c r="UYU64" s="33"/>
      <c r="UYV64" s="33"/>
      <c r="UYZ64" s="41"/>
      <c r="UZF64" s="42"/>
      <c r="UZM64" s="33"/>
      <c r="UZN64" s="33"/>
      <c r="UZR64" s="41"/>
      <c r="UZX64" s="42"/>
      <c r="VAE64" s="33"/>
      <c r="VAF64" s="33"/>
      <c r="VAJ64" s="41"/>
      <c r="VAP64" s="42"/>
      <c r="VAW64" s="33"/>
      <c r="VAX64" s="33"/>
      <c r="VBB64" s="41"/>
      <c r="VBH64" s="42"/>
      <c r="VBO64" s="33"/>
      <c r="VBP64" s="33"/>
      <c r="VBT64" s="41"/>
      <c r="VBZ64" s="42"/>
      <c r="VCG64" s="33"/>
      <c r="VCH64" s="33"/>
      <c r="VCL64" s="41"/>
      <c r="VCR64" s="42"/>
      <c r="VCY64" s="33"/>
      <c r="VCZ64" s="33"/>
      <c r="VDD64" s="41"/>
      <c r="VDJ64" s="42"/>
      <c r="VDQ64" s="33"/>
      <c r="VDR64" s="33"/>
      <c r="VDV64" s="41"/>
      <c r="VEB64" s="42"/>
      <c r="VEI64" s="33"/>
      <c r="VEJ64" s="33"/>
      <c r="VEN64" s="41"/>
      <c r="VET64" s="42"/>
      <c r="VFA64" s="33"/>
      <c r="VFB64" s="33"/>
      <c r="VFF64" s="41"/>
      <c r="VFL64" s="42"/>
      <c r="VFS64" s="33"/>
      <c r="VFT64" s="33"/>
      <c r="VFX64" s="41"/>
      <c r="VGD64" s="42"/>
      <c r="VGK64" s="33"/>
      <c r="VGL64" s="33"/>
      <c r="VGP64" s="41"/>
      <c r="VGV64" s="42"/>
      <c r="VHC64" s="33"/>
      <c r="VHD64" s="33"/>
      <c r="VHH64" s="41"/>
      <c r="VHN64" s="42"/>
      <c r="VHU64" s="33"/>
      <c r="VHV64" s="33"/>
      <c r="VHZ64" s="41"/>
      <c r="VIF64" s="42"/>
      <c r="VIM64" s="33"/>
      <c r="VIN64" s="33"/>
      <c r="VIR64" s="41"/>
      <c r="VIX64" s="42"/>
      <c r="VJE64" s="33"/>
      <c r="VJF64" s="33"/>
      <c r="VJJ64" s="41"/>
      <c r="VJP64" s="42"/>
      <c r="VJW64" s="33"/>
      <c r="VJX64" s="33"/>
      <c r="VKB64" s="41"/>
      <c r="VKH64" s="42"/>
      <c r="VKO64" s="33"/>
      <c r="VKP64" s="33"/>
      <c r="VKT64" s="41"/>
      <c r="VKZ64" s="42"/>
      <c r="VLG64" s="33"/>
      <c r="VLH64" s="33"/>
      <c r="VLL64" s="41"/>
      <c r="VLR64" s="42"/>
      <c r="VLY64" s="33"/>
      <c r="VLZ64" s="33"/>
      <c r="VMD64" s="41"/>
      <c r="VMJ64" s="42"/>
      <c r="VMQ64" s="33"/>
      <c r="VMR64" s="33"/>
      <c r="VMV64" s="41"/>
      <c r="VNB64" s="42"/>
      <c r="VNI64" s="33"/>
      <c r="VNJ64" s="33"/>
      <c r="VNN64" s="41"/>
      <c r="VNT64" s="42"/>
      <c r="VOA64" s="33"/>
      <c r="VOB64" s="33"/>
      <c r="VOF64" s="41"/>
      <c r="VOL64" s="42"/>
      <c r="VOS64" s="33"/>
      <c r="VOT64" s="33"/>
      <c r="VOX64" s="41"/>
      <c r="VPD64" s="42"/>
      <c r="VPK64" s="33"/>
      <c r="VPL64" s="33"/>
      <c r="VPP64" s="41"/>
      <c r="VPV64" s="42"/>
      <c r="VQC64" s="33"/>
      <c r="VQD64" s="33"/>
      <c r="VQH64" s="41"/>
      <c r="VQN64" s="42"/>
      <c r="VQU64" s="33"/>
      <c r="VQV64" s="33"/>
      <c r="VQZ64" s="41"/>
      <c r="VRF64" s="42"/>
      <c r="VRM64" s="33"/>
      <c r="VRN64" s="33"/>
      <c r="VRR64" s="41"/>
      <c r="VRX64" s="42"/>
      <c r="VSE64" s="33"/>
      <c r="VSF64" s="33"/>
      <c r="VSJ64" s="41"/>
      <c r="VSP64" s="42"/>
      <c r="VSW64" s="33"/>
      <c r="VSX64" s="33"/>
      <c r="VTB64" s="41"/>
      <c r="VTH64" s="42"/>
      <c r="VTO64" s="33"/>
      <c r="VTP64" s="33"/>
      <c r="VTT64" s="41"/>
      <c r="VTZ64" s="42"/>
      <c r="VUG64" s="33"/>
      <c r="VUH64" s="33"/>
      <c r="VUL64" s="41"/>
      <c r="VUR64" s="42"/>
      <c r="VUY64" s="33"/>
      <c r="VUZ64" s="33"/>
      <c r="VVD64" s="41"/>
      <c r="VVJ64" s="42"/>
      <c r="VVQ64" s="33"/>
      <c r="VVR64" s="33"/>
      <c r="VVV64" s="41"/>
      <c r="VWB64" s="42"/>
      <c r="VWI64" s="33"/>
      <c r="VWJ64" s="33"/>
      <c r="VWN64" s="41"/>
      <c r="VWT64" s="42"/>
      <c r="VXA64" s="33"/>
      <c r="VXB64" s="33"/>
      <c r="VXF64" s="41"/>
      <c r="VXL64" s="42"/>
      <c r="VXS64" s="33"/>
      <c r="VXT64" s="33"/>
      <c r="VXX64" s="41"/>
      <c r="VYD64" s="42"/>
      <c r="VYK64" s="33"/>
      <c r="VYL64" s="33"/>
      <c r="VYP64" s="41"/>
      <c r="VYV64" s="42"/>
      <c r="VZC64" s="33"/>
      <c r="VZD64" s="33"/>
      <c r="VZH64" s="41"/>
      <c r="VZN64" s="42"/>
      <c r="VZU64" s="33"/>
      <c r="VZV64" s="33"/>
      <c r="VZZ64" s="41"/>
      <c r="WAF64" s="42"/>
      <c r="WAM64" s="33"/>
      <c r="WAN64" s="33"/>
      <c r="WAR64" s="41"/>
      <c r="WAX64" s="42"/>
      <c r="WBE64" s="33"/>
      <c r="WBF64" s="33"/>
      <c r="WBJ64" s="41"/>
      <c r="WBP64" s="42"/>
      <c r="WBW64" s="33"/>
      <c r="WBX64" s="33"/>
      <c r="WCB64" s="41"/>
      <c r="WCH64" s="42"/>
      <c r="WCO64" s="33"/>
      <c r="WCP64" s="33"/>
      <c r="WCT64" s="41"/>
      <c r="WCZ64" s="42"/>
      <c r="WDG64" s="33"/>
      <c r="WDH64" s="33"/>
      <c r="WDL64" s="41"/>
      <c r="WDR64" s="42"/>
      <c r="WDY64" s="33"/>
      <c r="WDZ64" s="33"/>
      <c r="WED64" s="41"/>
      <c r="WEJ64" s="42"/>
      <c r="WEQ64" s="33"/>
      <c r="WER64" s="33"/>
      <c r="WEV64" s="41"/>
      <c r="WFB64" s="42"/>
      <c r="WFI64" s="33"/>
      <c r="WFJ64" s="33"/>
      <c r="WFN64" s="41"/>
      <c r="WFT64" s="42"/>
      <c r="WGA64" s="33"/>
      <c r="WGB64" s="33"/>
      <c r="WGF64" s="41"/>
      <c r="WGL64" s="42"/>
      <c r="WGS64" s="33"/>
      <c r="WGT64" s="33"/>
      <c r="WGX64" s="41"/>
      <c r="WHD64" s="42"/>
      <c r="WHK64" s="33"/>
      <c r="WHL64" s="33"/>
      <c r="WHP64" s="41"/>
      <c r="WHV64" s="42"/>
      <c r="WIC64" s="33"/>
      <c r="WID64" s="33"/>
      <c r="WIH64" s="41"/>
      <c r="WIN64" s="42"/>
      <c r="WIU64" s="33"/>
      <c r="WIV64" s="33"/>
      <c r="WIZ64" s="41"/>
      <c r="WJF64" s="42"/>
      <c r="WJM64" s="33"/>
      <c r="WJN64" s="33"/>
      <c r="WJR64" s="41"/>
      <c r="WJX64" s="42"/>
      <c r="WKE64" s="33"/>
      <c r="WKF64" s="33"/>
      <c r="WKJ64" s="41"/>
      <c r="WKP64" s="42"/>
      <c r="WKW64" s="33"/>
      <c r="WKX64" s="33"/>
      <c r="WLB64" s="41"/>
      <c r="WLH64" s="42"/>
      <c r="WLO64" s="33"/>
      <c r="WLP64" s="33"/>
      <c r="WLT64" s="41"/>
      <c r="WLZ64" s="42"/>
      <c r="WMG64" s="33"/>
      <c r="WMH64" s="33"/>
      <c r="WML64" s="41"/>
      <c r="WMR64" s="42"/>
      <c r="WMY64" s="33"/>
      <c r="WMZ64" s="33"/>
      <c r="WND64" s="41"/>
      <c r="WNJ64" s="42"/>
      <c r="WNQ64" s="33"/>
      <c r="WNR64" s="33"/>
      <c r="WNV64" s="41"/>
      <c r="WOB64" s="42"/>
      <c r="WOI64" s="33"/>
      <c r="WOJ64" s="33"/>
      <c r="WON64" s="41"/>
      <c r="WOT64" s="42"/>
      <c r="WPA64" s="33"/>
      <c r="WPB64" s="33"/>
      <c r="WPF64" s="41"/>
      <c r="WPL64" s="42"/>
      <c r="WPS64" s="33"/>
      <c r="WPT64" s="33"/>
      <c r="WPX64" s="41"/>
      <c r="WQD64" s="42"/>
      <c r="WQK64" s="33"/>
      <c r="WQL64" s="33"/>
      <c r="WQP64" s="41"/>
      <c r="WQV64" s="42"/>
      <c r="WRC64" s="33"/>
      <c r="WRD64" s="33"/>
      <c r="WRH64" s="41"/>
      <c r="WRN64" s="42"/>
      <c r="WRU64" s="33"/>
      <c r="WRV64" s="33"/>
      <c r="WRZ64" s="41"/>
      <c r="WSF64" s="42"/>
      <c r="WSM64" s="33"/>
      <c r="WSN64" s="33"/>
      <c r="WSR64" s="41"/>
      <c r="WSX64" s="42"/>
      <c r="WTE64" s="33"/>
      <c r="WTF64" s="33"/>
      <c r="WTJ64" s="41"/>
      <c r="WTP64" s="42"/>
      <c r="WTW64" s="33"/>
      <c r="WTX64" s="33"/>
      <c r="WUB64" s="41"/>
      <c r="WUH64" s="42"/>
      <c r="WUO64" s="33"/>
      <c r="WUP64" s="33"/>
      <c r="WUT64" s="41"/>
      <c r="WUZ64" s="42"/>
      <c r="WVG64" s="33"/>
      <c r="WVH64" s="33"/>
      <c r="WVL64" s="41"/>
      <c r="WVR64" s="42"/>
      <c r="WVY64" s="33"/>
      <c r="WVZ64" s="33"/>
      <c r="WWD64" s="41"/>
      <c r="WWJ64" s="42"/>
      <c r="WWQ64" s="33"/>
      <c r="WWR64" s="33"/>
      <c r="WWV64" s="41"/>
      <c r="WXB64" s="42"/>
      <c r="WXI64" s="33"/>
      <c r="WXJ64" s="33"/>
      <c r="WXN64" s="41"/>
      <c r="WXT64" s="42"/>
      <c r="WYA64" s="33"/>
      <c r="WYB64" s="33"/>
      <c r="WYF64" s="41"/>
      <c r="WYL64" s="42"/>
      <c r="WYS64" s="33"/>
      <c r="WYT64" s="33"/>
      <c r="WYX64" s="41"/>
      <c r="WZD64" s="42"/>
      <c r="WZK64" s="33"/>
      <c r="WZL64" s="33"/>
      <c r="WZP64" s="41"/>
      <c r="WZV64" s="42"/>
      <c r="XAC64" s="33"/>
      <c r="XAD64" s="33"/>
      <c r="XAH64" s="41"/>
      <c r="XAN64" s="42"/>
      <c r="XAU64" s="33"/>
      <c r="XAV64" s="33"/>
      <c r="XAZ64" s="41"/>
      <c r="XBF64" s="42"/>
      <c r="XBM64" s="33"/>
      <c r="XBN64" s="33"/>
      <c r="XBR64" s="41"/>
      <c r="XBX64" s="42"/>
      <c r="XCE64" s="33"/>
      <c r="XCF64" s="33"/>
      <c r="XCJ64" s="41"/>
      <c r="XCP64" s="42"/>
      <c r="XCW64" s="33"/>
      <c r="XCX64" s="33"/>
      <c r="XDB64" s="41"/>
      <c r="XDH64" s="42"/>
      <c r="XDO64" s="33"/>
      <c r="XDP64" s="33"/>
      <c r="XDT64" s="41"/>
      <c r="XDZ64" s="42"/>
      <c r="XEG64" s="33"/>
      <c r="XEH64" s="33"/>
      <c r="XEL64" s="41"/>
      <c r="XER64" s="42"/>
      <c r="XEY64" s="33"/>
      <c r="XEZ64" s="33"/>
      <c r="XFD64" s="41"/>
    </row>
    <row r="65" spans="1:1018 1025:2044 2051:3070 3077:4096 4103:5116 5122:6142 6148:7168 7174:8190 8194:9216 9220:10234 10241:11260 11267:12286 12293:13312 13319:14332 14338:15358 15364:16384" s="40" customFormat="1">
      <c r="A65" s="33" t="s">
        <v>192</v>
      </c>
      <c r="B65" s="34">
        <v>2005</v>
      </c>
      <c r="C65" s="35" t="s">
        <v>191</v>
      </c>
      <c r="D65" s="36" t="s">
        <v>86</v>
      </c>
      <c r="E65" s="35"/>
      <c r="F65" s="35" t="s">
        <v>41</v>
      </c>
      <c r="G65" s="51">
        <v>1716414357.4144487</v>
      </c>
      <c r="H65" s="51">
        <v>1748730093.1558936</v>
      </c>
      <c r="I65" s="34"/>
      <c r="J65" s="39"/>
      <c r="K65" s="36"/>
      <c r="L65" s="36"/>
      <c r="M65" s="36"/>
      <c r="N65" s="34"/>
      <c r="O65" s="36"/>
      <c r="P65" s="34"/>
      <c r="Q65" s="36"/>
      <c r="R65" s="36"/>
      <c r="V65" s="41"/>
      <c r="AB65" s="42"/>
      <c r="AI65" s="33"/>
      <c r="AJ65" s="33"/>
      <c r="AN65" s="41"/>
      <c r="AT65" s="42"/>
      <c r="BA65" s="33"/>
      <c r="BB65" s="33"/>
      <c r="BF65" s="41"/>
      <c r="BL65" s="42"/>
      <c r="BS65" s="33"/>
      <c r="BT65" s="33"/>
      <c r="BX65" s="41"/>
      <c r="CD65" s="42"/>
      <c r="CK65" s="33"/>
      <c r="CL65" s="33"/>
      <c r="CP65" s="41"/>
      <c r="CV65" s="42"/>
      <c r="DC65" s="33"/>
      <c r="DD65" s="33"/>
      <c r="DH65" s="41"/>
      <c r="DN65" s="42"/>
      <c r="DU65" s="33"/>
      <c r="DV65" s="33"/>
      <c r="DZ65" s="41"/>
      <c r="EF65" s="42"/>
      <c r="EM65" s="33"/>
      <c r="EN65" s="33"/>
      <c r="ER65" s="41"/>
      <c r="EX65" s="42"/>
      <c r="FE65" s="33"/>
      <c r="FF65" s="33"/>
      <c r="FJ65" s="41"/>
      <c r="FP65" s="42"/>
      <c r="FW65" s="33"/>
      <c r="FX65" s="33"/>
      <c r="GB65" s="41"/>
      <c r="GH65" s="42"/>
      <c r="GO65" s="33"/>
      <c r="GP65" s="33"/>
      <c r="GT65" s="41"/>
      <c r="GZ65" s="42"/>
      <c r="HG65" s="33"/>
      <c r="HH65" s="33"/>
      <c r="HL65" s="41"/>
      <c r="HR65" s="42"/>
      <c r="HY65" s="33"/>
      <c r="HZ65" s="33"/>
      <c r="ID65" s="41"/>
      <c r="IJ65" s="42"/>
      <c r="IQ65" s="33"/>
      <c r="IR65" s="33"/>
      <c r="IV65" s="41"/>
      <c r="JB65" s="42"/>
      <c r="JI65" s="33"/>
      <c r="JJ65" s="33"/>
      <c r="JN65" s="41"/>
      <c r="JT65" s="42"/>
      <c r="KA65" s="33"/>
      <c r="KB65" s="33"/>
      <c r="KF65" s="41"/>
      <c r="KL65" s="42"/>
      <c r="KS65" s="33"/>
      <c r="KT65" s="33"/>
      <c r="KX65" s="41"/>
      <c r="LD65" s="42"/>
      <c r="LK65" s="33"/>
      <c r="LL65" s="33"/>
      <c r="LP65" s="41"/>
      <c r="LV65" s="42"/>
      <c r="MC65" s="33"/>
      <c r="MD65" s="33"/>
      <c r="MH65" s="41"/>
      <c r="MN65" s="42"/>
      <c r="MU65" s="33"/>
      <c r="MV65" s="33"/>
      <c r="MZ65" s="41"/>
      <c r="NF65" s="42"/>
      <c r="NM65" s="33"/>
      <c r="NN65" s="33"/>
      <c r="NR65" s="41"/>
      <c r="NX65" s="42"/>
      <c r="OE65" s="33"/>
      <c r="OF65" s="33"/>
      <c r="OJ65" s="41"/>
      <c r="OP65" s="42"/>
      <c r="OW65" s="33"/>
      <c r="OX65" s="33"/>
      <c r="PB65" s="41"/>
      <c r="PH65" s="42"/>
      <c r="PO65" s="33"/>
      <c r="PP65" s="33"/>
      <c r="PT65" s="41"/>
      <c r="PZ65" s="42"/>
      <c r="QG65" s="33"/>
      <c r="QH65" s="33"/>
      <c r="QL65" s="41"/>
      <c r="QR65" s="42"/>
      <c r="QY65" s="33"/>
      <c r="QZ65" s="33"/>
      <c r="RD65" s="41"/>
      <c r="RJ65" s="42"/>
      <c r="RQ65" s="33"/>
      <c r="RR65" s="33"/>
      <c r="RV65" s="41"/>
      <c r="SB65" s="42"/>
      <c r="SI65" s="33"/>
      <c r="SJ65" s="33"/>
      <c r="SN65" s="41"/>
      <c r="ST65" s="42"/>
      <c r="TA65" s="33"/>
      <c r="TB65" s="33"/>
      <c r="TF65" s="41"/>
      <c r="TL65" s="42"/>
      <c r="TS65" s="33"/>
      <c r="TT65" s="33"/>
      <c r="TX65" s="41"/>
      <c r="UD65" s="42"/>
      <c r="UK65" s="33"/>
      <c r="UL65" s="33"/>
      <c r="UP65" s="41"/>
      <c r="UV65" s="42"/>
      <c r="VC65" s="33"/>
      <c r="VD65" s="33"/>
      <c r="VH65" s="41"/>
      <c r="VN65" s="42"/>
      <c r="VU65" s="33"/>
      <c r="VV65" s="33"/>
      <c r="VZ65" s="41"/>
      <c r="WF65" s="42"/>
      <c r="WM65" s="33"/>
      <c r="WN65" s="33"/>
      <c r="WR65" s="41"/>
      <c r="WX65" s="42"/>
      <c r="XE65" s="33"/>
      <c r="XF65" s="33"/>
      <c r="XJ65" s="41"/>
      <c r="XP65" s="42"/>
      <c r="XW65" s="33"/>
      <c r="XX65" s="33"/>
      <c r="YB65" s="41"/>
      <c r="YH65" s="42"/>
      <c r="YO65" s="33"/>
      <c r="YP65" s="33"/>
      <c r="YT65" s="41"/>
      <c r="YZ65" s="42"/>
      <c r="ZG65" s="33"/>
      <c r="ZH65" s="33"/>
      <c r="ZL65" s="41"/>
      <c r="ZR65" s="42"/>
      <c r="ZY65" s="33"/>
      <c r="ZZ65" s="33"/>
      <c r="AAD65" s="41"/>
      <c r="AAJ65" s="42"/>
      <c r="AAQ65" s="33"/>
      <c r="AAR65" s="33"/>
      <c r="AAV65" s="41"/>
      <c r="ABB65" s="42"/>
      <c r="ABI65" s="33"/>
      <c r="ABJ65" s="33"/>
      <c r="ABN65" s="41"/>
      <c r="ABT65" s="42"/>
      <c r="ACA65" s="33"/>
      <c r="ACB65" s="33"/>
      <c r="ACF65" s="41"/>
      <c r="ACL65" s="42"/>
      <c r="ACS65" s="33"/>
      <c r="ACT65" s="33"/>
      <c r="ACX65" s="41"/>
      <c r="ADD65" s="42"/>
      <c r="ADK65" s="33"/>
      <c r="ADL65" s="33"/>
      <c r="ADP65" s="41"/>
      <c r="ADV65" s="42"/>
      <c r="AEC65" s="33"/>
      <c r="AED65" s="33"/>
      <c r="AEH65" s="41"/>
      <c r="AEN65" s="42"/>
      <c r="AEU65" s="33"/>
      <c r="AEV65" s="33"/>
      <c r="AEZ65" s="41"/>
      <c r="AFF65" s="42"/>
      <c r="AFM65" s="33"/>
      <c r="AFN65" s="33"/>
      <c r="AFR65" s="41"/>
      <c r="AFX65" s="42"/>
      <c r="AGE65" s="33"/>
      <c r="AGF65" s="33"/>
      <c r="AGJ65" s="41"/>
      <c r="AGP65" s="42"/>
      <c r="AGW65" s="33"/>
      <c r="AGX65" s="33"/>
      <c r="AHB65" s="41"/>
      <c r="AHH65" s="42"/>
      <c r="AHO65" s="33"/>
      <c r="AHP65" s="33"/>
      <c r="AHT65" s="41"/>
      <c r="AHZ65" s="42"/>
      <c r="AIG65" s="33"/>
      <c r="AIH65" s="33"/>
      <c r="AIL65" s="41"/>
      <c r="AIR65" s="42"/>
      <c r="AIY65" s="33"/>
      <c r="AIZ65" s="33"/>
      <c r="AJD65" s="41"/>
      <c r="AJJ65" s="42"/>
      <c r="AJQ65" s="33"/>
      <c r="AJR65" s="33"/>
      <c r="AJV65" s="41"/>
      <c r="AKB65" s="42"/>
      <c r="AKI65" s="33"/>
      <c r="AKJ65" s="33"/>
      <c r="AKN65" s="41"/>
      <c r="AKT65" s="42"/>
      <c r="ALA65" s="33"/>
      <c r="ALB65" s="33"/>
      <c r="ALF65" s="41"/>
      <c r="ALL65" s="42"/>
      <c r="ALS65" s="33"/>
      <c r="ALT65" s="33"/>
      <c r="ALX65" s="41"/>
      <c r="AMD65" s="42"/>
      <c r="AMK65" s="33"/>
      <c r="AML65" s="33"/>
      <c r="AMP65" s="41"/>
      <c r="AMV65" s="42"/>
      <c r="ANC65" s="33"/>
      <c r="AND65" s="33"/>
      <c r="ANH65" s="41"/>
      <c r="ANN65" s="42"/>
      <c r="ANU65" s="33"/>
      <c r="ANV65" s="33"/>
      <c r="ANZ65" s="41"/>
      <c r="AOF65" s="42"/>
      <c r="AOM65" s="33"/>
      <c r="AON65" s="33"/>
      <c r="AOR65" s="41"/>
      <c r="AOX65" s="42"/>
      <c r="APE65" s="33"/>
      <c r="APF65" s="33"/>
      <c r="APJ65" s="41"/>
      <c r="APP65" s="42"/>
      <c r="APW65" s="33"/>
      <c r="APX65" s="33"/>
      <c r="AQB65" s="41"/>
      <c r="AQH65" s="42"/>
      <c r="AQO65" s="33"/>
      <c r="AQP65" s="33"/>
      <c r="AQT65" s="41"/>
      <c r="AQZ65" s="42"/>
      <c r="ARG65" s="33"/>
      <c r="ARH65" s="33"/>
      <c r="ARL65" s="41"/>
      <c r="ARR65" s="42"/>
      <c r="ARY65" s="33"/>
      <c r="ARZ65" s="33"/>
      <c r="ASD65" s="41"/>
      <c r="ASJ65" s="42"/>
      <c r="ASQ65" s="33"/>
      <c r="ASR65" s="33"/>
      <c r="ASV65" s="41"/>
      <c r="ATB65" s="42"/>
      <c r="ATI65" s="33"/>
      <c r="ATJ65" s="33"/>
      <c r="ATN65" s="41"/>
      <c r="ATT65" s="42"/>
      <c r="AUA65" s="33"/>
      <c r="AUB65" s="33"/>
      <c r="AUF65" s="41"/>
      <c r="AUL65" s="42"/>
      <c r="AUS65" s="33"/>
      <c r="AUT65" s="33"/>
      <c r="AUX65" s="41"/>
      <c r="AVD65" s="42"/>
      <c r="AVK65" s="33"/>
      <c r="AVL65" s="33"/>
      <c r="AVP65" s="41"/>
      <c r="AVV65" s="42"/>
      <c r="AWC65" s="33"/>
      <c r="AWD65" s="33"/>
      <c r="AWH65" s="41"/>
      <c r="AWN65" s="42"/>
      <c r="AWU65" s="33"/>
      <c r="AWV65" s="33"/>
      <c r="AWZ65" s="41"/>
      <c r="AXF65" s="42"/>
      <c r="AXM65" s="33"/>
      <c r="AXN65" s="33"/>
      <c r="AXR65" s="41"/>
      <c r="AXX65" s="42"/>
      <c r="AYE65" s="33"/>
      <c r="AYF65" s="33"/>
      <c r="AYJ65" s="41"/>
      <c r="AYP65" s="42"/>
      <c r="AYW65" s="33"/>
      <c r="AYX65" s="33"/>
      <c r="AZB65" s="41"/>
      <c r="AZH65" s="42"/>
      <c r="AZO65" s="33"/>
      <c r="AZP65" s="33"/>
      <c r="AZT65" s="41"/>
      <c r="AZZ65" s="42"/>
      <c r="BAG65" s="33"/>
      <c r="BAH65" s="33"/>
      <c r="BAL65" s="41"/>
      <c r="BAR65" s="42"/>
      <c r="BAY65" s="33"/>
      <c r="BAZ65" s="33"/>
      <c r="BBD65" s="41"/>
      <c r="BBJ65" s="42"/>
      <c r="BBQ65" s="33"/>
      <c r="BBR65" s="33"/>
      <c r="BBV65" s="41"/>
      <c r="BCB65" s="42"/>
      <c r="BCI65" s="33"/>
      <c r="BCJ65" s="33"/>
      <c r="BCN65" s="41"/>
      <c r="BCT65" s="42"/>
      <c r="BDA65" s="33"/>
      <c r="BDB65" s="33"/>
      <c r="BDF65" s="41"/>
      <c r="BDL65" s="42"/>
      <c r="BDS65" s="33"/>
      <c r="BDT65" s="33"/>
      <c r="BDX65" s="41"/>
      <c r="BED65" s="42"/>
      <c r="BEK65" s="33"/>
      <c r="BEL65" s="33"/>
      <c r="BEP65" s="41"/>
      <c r="BEV65" s="42"/>
      <c r="BFC65" s="33"/>
      <c r="BFD65" s="33"/>
      <c r="BFH65" s="41"/>
      <c r="BFN65" s="42"/>
      <c r="BFU65" s="33"/>
      <c r="BFV65" s="33"/>
      <c r="BFZ65" s="41"/>
      <c r="BGF65" s="42"/>
      <c r="BGM65" s="33"/>
      <c r="BGN65" s="33"/>
      <c r="BGR65" s="41"/>
      <c r="BGX65" s="42"/>
      <c r="BHE65" s="33"/>
      <c r="BHF65" s="33"/>
      <c r="BHJ65" s="41"/>
      <c r="BHP65" s="42"/>
      <c r="BHW65" s="33"/>
      <c r="BHX65" s="33"/>
      <c r="BIB65" s="41"/>
      <c r="BIH65" s="42"/>
      <c r="BIO65" s="33"/>
      <c r="BIP65" s="33"/>
      <c r="BIT65" s="41"/>
      <c r="BIZ65" s="42"/>
      <c r="BJG65" s="33"/>
      <c r="BJH65" s="33"/>
      <c r="BJL65" s="41"/>
      <c r="BJR65" s="42"/>
      <c r="BJY65" s="33"/>
      <c r="BJZ65" s="33"/>
      <c r="BKD65" s="41"/>
      <c r="BKJ65" s="42"/>
      <c r="BKQ65" s="33"/>
      <c r="BKR65" s="33"/>
      <c r="BKV65" s="41"/>
      <c r="BLB65" s="42"/>
      <c r="BLI65" s="33"/>
      <c r="BLJ65" s="33"/>
      <c r="BLN65" s="41"/>
      <c r="BLT65" s="42"/>
      <c r="BMA65" s="33"/>
      <c r="BMB65" s="33"/>
      <c r="BMF65" s="41"/>
      <c r="BML65" s="42"/>
      <c r="BMS65" s="33"/>
      <c r="BMT65" s="33"/>
      <c r="BMX65" s="41"/>
      <c r="BND65" s="42"/>
      <c r="BNK65" s="33"/>
      <c r="BNL65" s="33"/>
      <c r="BNP65" s="41"/>
      <c r="BNV65" s="42"/>
      <c r="BOC65" s="33"/>
      <c r="BOD65" s="33"/>
      <c r="BOH65" s="41"/>
      <c r="BON65" s="42"/>
      <c r="BOU65" s="33"/>
      <c r="BOV65" s="33"/>
      <c r="BOZ65" s="41"/>
      <c r="BPF65" s="42"/>
      <c r="BPM65" s="33"/>
      <c r="BPN65" s="33"/>
      <c r="BPR65" s="41"/>
      <c r="BPX65" s="42"/>
      <c r="BQE65" s="33"/>
      <c r="BQF65" s="33"/>
      <c r="BQJ65" s="41"/>
      <c r="BQP65" s="42"/>
      <c r="BQW65" s="33"/>
      <c r="BQX65" s="33"/>
      <c r="BRB65" s="41"/>
      <c r="BRH65" s="42"/>
      <c r="BRO65" s="33"/>
      <c r="BRP65" s="33"/>
      <c r="BRT65" s="41"/>
      <c r="BRZ65" s="42"/>
      <c r="BSG65" s="33"/>
      <c r="BSH65" s="33"/>
      <c r="BSL65" s="41"/>
      <c r="BSR65" s="42"/>
      <c r="BSY65" s="33"/>
      <c r="BSZ65" s="33"/>
      <c r="BTD65" s="41"/>
      <c r="BTJ65" s="42"/>
      <c r="BTQ65" s="33"/>
      <c r="BTR65" s="33"/>
      <c r="BTV65" s="41"/>
      <c r="BUB65" s="42"/>
      <c r="BUI65" s="33"/>
      <c r="BUJ65" s="33"/>
      <c r="BUN65" s="41"/>
      <c r="BUT65" s="42"/>
      <c r="BVA65" s="33"/>
      <c r="BVB65" s="33"/>
      <c r="BVF65" s="41"/>
      <c r="BVL65" s="42"/>
      <c r="BVS65" s="33"/>
      <c r="BVT65" s="33"/>
      <c r="BVX65" s="41"/>
      <c r="BWD65" s="42"/>
      <c r="BWK65" s="33"/>
      <c r="BWL65" s="33"/>
      <c r="BWP65" s="41"/>
      <c r="BWV65" s="42"/>
      <c r="BXC65" s="33"/>
      <c r="BXD65" s="33"/>
      <c r="BXH65" s="41"/>
      <c r="BXN65" s="42"/>
      <c r="BXU65" s="33"/>
      <c r="BXV65" s="33"/>
      <c r="BXZ65" s="41"/>
      <c r="BYF65" s="42"/>
      <c r="BYM65" s="33"/>
      <c r="BYN65" s="33"/>
      <c r="BYR65" s="41"/>
      <c r="BYX65" s="42"/>
      <c r="BZE65" s="33"/>
      <c r="BZF65" s="33"/>
      <c r="BZJ65" s="41"/>
      <c r="BZP65" s="42"/>
      <c r="BZW65" s="33"/>
      <c r="BZX65" s="33"/>
      <c r="CAB65" s="41"/>
      <c r="CAH65" s="42"/>
      <c r="CAO65" s="33"/>
      <c r="CAP65" s="33"/>
      <c r="CAT65" s="41"/>
      <c r="CAZ65" s="42"/>
      <c r="CBG65" s="33"/>
      <c r="CBH65" s="33"/>
      <c r="CBL65" s="41"/>
      <c r="CBR65" s="42"/>
      <c r="CBY65" s="33"/>
      <c r="CBZ65" s="33"/>
      <c r="CCD65" s="41"/>
      <c r="CCJ65" s="42"/>
      <c r="CCQ65" s="33"/>
      <c r="CCR65" s="33"/>
      <c r="CCV65" s="41"/>
      <c r="CDB65" s="42"/>
      <c r="CDI65" s="33"/>
      <c r="CDJ65" s="33"/>
      <c r="CDN65" s="41"/>
      <c r="CDT65" s="42"/>
      <c r="CEA65" s="33"/>
      <c r="CEB65" s="33"/>
      <c r="CEF65" s="41"/>
      <c r="CEL65" s="42"/>
      <c r="CES65" s="33"/>
      <c r="CET65" s="33"/>
      <c r="CEX65" s="41"/>
      <c r="CFD65" s="42"/>
      <c r="CFK65" s="33"/>
      <c r="CFL65" s="33"/>
      <c r="CFP65" s="41"/>
      <c r="CFV65" s="42"/>
      <c r="CGC65" s="33"/>
      <c r="CGD65" s="33"/>
      <c r="CGH65" s="41"/>
      <c r="CGN65" s="42"/>
      <c r="CGU65" s="33"/>
      <c r="CGV65" s="33"/>
      <c r="CGZ65" s="41"/>
      <c r="CHF65" s="42"/>
      <c r="CHM65" s="33"/>
      <c r="CHN65" s="33"/>
      <c r="CHR65" s="41"/>
      <c r="CHX65" s="42"/>
      <c r="CIE65" s="33"/>
      <c r="CIF65" s="33"/>
      <c r="CIJ65" s="41"/>
      <c r="CIP65" s="42"/>
      <c r="CIW65" s="33"/>
      <c r="CIX65" s="33"/>
      <c r="CJB65" s="41"/>
      <c r="CJH65" s="42"/>
      <c r="CJO65" s="33"/>
      <c r="CJP65" s="33"/>
      <c r="CJT65" s="41"/>
      <c r="CJZ65" s="42"/>
      <c r="CKG65" s="33"/>
      <c r="CKH65" s="33"/>
      <c r="CKL65" s="41"/>
      <c r="CKR65" s="42"/>
      <c r="CKY65" s="33"/>
      <c r="CKZ65" s="33"/>
      <c r="CLD65" s="41"/>
      <c r="CLJ65" s="42"/>
      <c r="CLQ65" s="33"/>
      <c r="CLR65" s="33"/>
      <c r="CLV65" s="41"/>
      <c r="CMB65" s="42"/>
      <c r="CMI65" s="33"/>
      <c r="CMJ65" s="33"/>
      <c r="CMN65" s="41"/>
      <c r="CMT65" s="42"/>
      <c r="CNA65" s="33"/>
      <c r="CNB65" s="33"/>
      <c r="CNF65" s="41"/>
      <c r="CNL65" s="42"/>
      <c r="CNS65" s="33"/>
      <c r="CNT65" s="33"/>
      <c r="CNX65" s="41"/>
      <c r="COD65" s="42"/>
      <c r="COK65" s="33"/>
      <c r="COL65" s="33"/>
      <c r="COP65" s="41"/>
      <c r="COV65" s="42"/>
      <c r="CPC65" s="33"/>
      <c r="CPD65" s="33"/>
      <c r="CPH65" s="41"/>
      <c r="CPN65" s="42"/>
      <c r="CPU65" s="33"/>
      <c r="CPV65" s="33"/>
      <c r="CPZ65" s="41"/>
      <c r="CQF65" s="42"/>
      <c r="CQM65" s="33"/>
      <c r="CQN65" s="33"/>
      <c r="CQR65" s="41"/>
      <c r="CQX65" s="42"/>
      <c r="CRE65" s="33"/>
      <c r="CRF65" s="33"/>
      <c r="CRJ65" s="41"/>
      <c r="CRP65" s="42"/>
      <c r="CRW65" s="33"/>
      <c r="CRX65" s="33"/>
      <c r="CSB65" s="41"/>
      <c r="CSH65" s="42"/>
      <c r="CSO65" s="33"/>
      <c r="CSP65" s="33"/>
      <c r="CST65" s="41"/>
      <c r="CSZ65" s="42"/>
      <c r="CTG65" s="33"/>
      <c r="CTH65" s="33"/>
      <c r="CTL65" s="41"/>
      <c r="CTR65" s="42"/>
      <c r="CTY65" s="33"/>
      <c r="CTZ65" s="33"/>
      <c r="CUD65" s="41"/>
      <c r="CUJ65" s="42"/>
      <c r="CUQ65" s="33"/>
      <c r="CUR65" s="33"/>
      <c r="CUV65" s="41"/>
      <c r="CVB65" s="42"/>
      <c r="CVI65" s="33"/>
      <c r="CVJ65" s="33"/>
      <c r="CVN65" s="41"/>
      <c r="CVT65" s="42"/>
      <c r="CWA65" s="33"/>
      <c r="CWB65" s="33"/>
      <c r="CWF65" s="41"/>
      <c r="CWL65" s="42"/>
      <c r="CWS65" s="33"/>
      <c r="CWT65" s="33"/>
      <c r="CWX65" s="41"/>
      <c r="CXD65" s="42"/>
      <c r="CXK65" s="33"/>
      <c r="CXL65" s="33"/>
      <c r="CXP65" s="41"/>
      <c r="CXV65" s="42"/>
      <c r="CYC65" s="33"/>
      <c r="CYD65" s="33"/>
      <c r="CYH65" s="41"/>
      <c r="CYN65" s="42"/>
      <c r="CYU65" s="33"/>
      <c r="CYV65" s="33"/>
      <c r="CYZ65" s="41"/>
      <c r="CZF65" s="42"/>
      <c r="CZM65" s="33"/>
      <c r="CZN65" s="33"/>
      <c r="CZR65" s="41"/>
      <c r="CZX65" s="42"/>
      <c r="DAE65" s="33"/>
      <c r="DAF65" s="33"/>
      <c r="DAJ65" s="41"/>
      <c r="DAP65" s="42"/>
      <c r="DAW65" s="33"/>
      <c r="DAX65" s="33"/>
      <c r="DBB65" s="41"/>
      <c r="DBH65" s="42"/>
      <c r="DBO65" s="33"/>
      <c r="DBP65" s="33"/>
      <c r="DBT65" s="41"/>
      <c r="DBZ65" s="42"/>
      <c r="DCG65" s="33"/>
      <c r="DCH65" s="33"/>
      <c r="DCL65" s="41"/>
      <c r="DCR65" s="42"/>
      <c r="DCY65" s="33"/>
      <c r="DCZ65" s="33"/>
      <c r="DDD65" s="41"/>
      <c r="DDJ65" s="42"/>
      <c r="DDQ65" s="33"/>
      <c r="DDR65" s="33"/>
      <c r="DDV65" s="41"/>
      <c r="DEB65" s="42"/>
      <c r="DEI65" s="33"/>
      <c r="DEJ65" s="33"/>
      <c r="DEN65" s="41"/>
      <c r="DET65" s="42"/>
      <c r="DFA65" s="33"/>
      <c r="DFB65" s="33"/>
      <c r="DFF65" s="41"/>
      <c r="DFL65" s="42"/>
      <c r="DFS65" s="33"/>
      <c r="DFT65" s="33"/>
      <c r="DFX65" s="41"/>
      <c r="DGD65" s="42"/>
      <c r="DGK65" s="33"/>
      <c r="DGL65" s="33"/>
      <c r="DGP65" s="41"/>
      <c r="DGV65" s="42"/>
      <c r="DHC65" s="33"/>
      <c r="DHD65" s="33"/>
      <c r="DHH65" s="41"/>
      <c r="DHN65" s="42"/>
      <c r="DHU65" s="33"/>
      <c r="DHV65" s="33"/>
      <c r="DHZ65" s="41"/>
      <c r="DIF65" s="42"/>
      <c r="DIM65" s="33"/>
      <c r="DIN65" s="33"/>
      <c r="DIR65" s="41"/>
      <c r="DIX65" s="42"/>
      <c r="DJE65" s="33"/>
      <c r="DJF65" s="33"/>
      <c r="DJJ65" s="41"/>
      <c r="DJP65" s="42"/>
      <c r="DJW65" s="33"/>
      <c r="DJX65" s="33"/>
      <c r="DKB65" s="41"/>
      <c r="DKH65" s="42"/>
      <c r="DKO65" s="33"/>
      <c r="DKP65" s="33"/>
      <c r="DKT65" s="41"/>
      <c r="DKZ65" s="42"/>
      <c r="DLG65" s="33"/>
      <c r="DLH65" s="33"/>
      <c r="DLL65" s="41"/>
      <c r="DLR65" s="42"/>
      <c r="DLY65" s="33"/>
      <c r="DLZ65" s="33"/>
      <c r="DMD65" s="41"/>
      <c r="DMJ65" s="42"/>
      <c r="DMQ65" s="33"/>
      <c r="DMR65" s="33"/>
      <c r="DMV65" s="41"/>
      <c r="DNB65" s="42"/>
      <c r="DNI65" s="33"/>
      <c r="DNJ65" s="33"/>
      <c r="DNN65" s="41"/>
      <c r="DNT65" s="42"/>
      <c r="DOA65" s="33"/>
      <c r="DOB65" s="33"/>
      <c r="DOF65" s="41"/>
      <c r="DOL65" s="42"/>
      <c r="DOS65" s="33"/>
      <c r="DOT65" s="33"/>
      <c r="DOX65" s="41"/>
      <c r="DPD65" s="42"/>
      <c r="DPK65" s="33"/>
      <c r="DPL65" s="33"/>
      <c r="DPP65" s="41"/>
      <c r="DPV65" s="42"/>
      <c r="DQC65" s="33"/>
      <c r="DQD65" s="33"/>
      <c r="DQH65" s="41"/>
      <c r="DQN65" s="42"/>
      <c r="DQU65" s="33"/>
      <c r="DQV65" s="33"/>
      <c r="DQZ65" s="41"/>
      <c r="DRF65" s="42"/>
      <c r="DRM65" s="33"/>
      <c r="DRN65" s="33"/>
      <c r="DRR65" s="41"/>
      <c r="DRX65" s="42"/>
      <c r="DSE65" s="33"/>
      <c r="DSF65" s="33"/>
      <c r="DSJ65" s="41"/>
      <c r="DSP65" s="42"/>
      <c r="DSW65" s="33"/>
      <c r="DSX65" s="33"/>
      <c r="DTB65" s="41"/>
      <c r="DTH65" s="42"/>
      <c r="DTO65" s="33"/>
      <c r="DTP65" s="33"/>
      <c r="DTT65" s="41"/>
      <c r="DTZ65" s="42"/>
      <c r="DUG65" s="33"/>
      <c r="DUH65" s="33"/>
      <c r="DUL65" s="41"/>
      <c r="DUR65" s="42"/>
      <c r="DUY65" s="33"/>
      <c r="DUZ65" s="33"/>
      <c r="DVD65" s="41"/>
      <c r="DVJ65" s="42"/>
      <c r="DVQ65" s="33"/>
      <c r="DVR65" s="33"/>
      <c r="DVV65" s="41"/>
      <c r="DWB65" s="42"/>
      <c r="DWI65" s="33"/>
      <c r="DWJ65" s="33"/>
      <c r="DWN65" s="41"/>
      <c r="DWT65" s="42"/>
      <c r="DXA65" s="33"/>
      <c r="DXB65" s="33"/>
      <c r="DXF65" s="41"/>
      <c r="DXL65" s="42"/>
      <c r="DXS65" s="33"/>
      <c r="DXT65" s="33"/>
      <c r="DXX65" s="41"/>
      <c r="DYD65" s="42"/>
      <c r="DYK65" s="33"/>
      <c r="DYL65" s="33"/>
      <c r="DYP65" s="41"/>
      <c r="DYV65" s="42"/>
      <c r="DZC65" s="33"/>
      <c r="DZD65" s="33"/>
      <c r="DZH65" s="41"/>
      <c r="DZN65" s="42"/>
      <c r="DZU65" s="33"/>
      <c r="DZV65" s="33"/>
      <c r="DZZ65" s="41"/>
      <c r="EAF65" s="42"/>
      <c r="EAM65" s="33"/>
      <c r="EAN65" s="33"/>
      <c r="EAR65" s="41"/>
      <c r="EAX65" s="42"/>
      <c r="EBE65" s="33"/>
      <c r="EBF65" s="33"/>
      <c r="EBJ65" s="41"/>
      <c r="EBP65" s="42"/>
      <c r="EBW65" s="33"/>
      <c r="EBX65" s="33"/>
      <c r="ECB65" s="41"/>
      <c r="ECH65" s="42"/>
      <c r="ECO65" s="33"/>
      <c r="ECP65" s="33"/>
      <c r="ECT65" s="41"/>
      <c r="ECZ65" s="42"/>
      <c r="EDG65" s="33"/>
      <c r="EDH65" s="33"/>
      <c r="EDL65" s="41"/>
      <c r="EDR65" s="42"/>
      <c r="EDY65" s="33"/>
      <c r="EDZ65" s="33"/>
      <c r="EED65" s="41"/>
      <c r="EEJ65" s="42"/>
      <c r="EEQ65" s="33"/>
      <c r="EER65" s="33"/>
      <c r="EEV65" s="41"/>
      <c r="EFB65" s="42"/>
      <c r="EFI65" s="33"/>
      <c r="EFJ65" s="33"/>
      <c r="EFN65" s="41"/>
      <c r="EFT65" s="42"/>
      <c r="EGA65" s="33"/>
      <c r="EGB65" s="33"/>
      <c r="EGF65" s="41"/>
      <c r="EGL65" s="42"/>
      <c r="EGS65" s="33"/>
      <c r="EGT65" s="33"/>
      <c r="EGX65" s="41"/>
      <c r="EHD65" s="42"/>
      <c r="EHK65" s="33"/>
      <c r="EHL65" s="33"/>
      <c r="EHP65" s="41"/>
      <c r="EHV65" s="42"/>
      <c r="EIC65" s="33"/>
      <c r="EID65" s="33"/>
      <c r="EIH65" s="41"/>
      <c r="EIN65" s="42"/>
      <c r="EIU65" s="33"/>
      <c r="EIV65" s="33"/>
      <c r="EIZ65" s="41"/>
      <c r="EJF65" s="42"/>
      <c r="EJM65" s="33"/>
      <c r="EJN65" s="33"/>
      <c r="EJR65" s="41"/>
      <c r="EJX65" s="42"/>
      <c r="EKE65" s="33"/>
      <c r="EKF65" s="33"/>
      <c r="EKJ65" s="41"/>
      <c r="EKP65" s="42"/>
      <c r="EKW65" s="33"/>
      <c r="EKX65" s="33"/>
      <c r="ELB65" s="41"/>
      <c r="ELH65" s="42"/>
      <c r="ELO65" s="33"/>
      <c r="ELP65" s="33"/>
      <c r="ELT65" s="41"/>
      <c r="ELZ65" s="42"/>
      <c r="EMG65" s="33"/>
      <c r="EMH65" s="33"/>
      <c r="EML65" s="41"/>
      <c r="EMR65" s="42"/>
      <c r="EMY65" s="33"/>
      <c r="EMZ65" s="33"/>
      <c r="END65" s="41"/>
      <c r="ENJ65" s="42"/>
      <c r="ENQ65" s="33"/>
      <c r="ENR65" s="33"/>
      <c r="ENV65" s="41"/>
      <c r="EOB65" s="42"/>
      <c r="EOI65" s="33"/>
      <c r="EOJ65" s="33"/>
      <c r="EON65" s="41"/>
      <c r="EOT65" s="42"/>
      <c r="EPA65" s="33"/>
      <c r="EPB65" s="33"/>
      <c r="EPF65" s="41"/>
      <c r="EPL65" s="42"/>
      <c r="EPS65" s="33"/>
      <c r="EPT65" s="33"/>
      <c r="EPX65" s="41"/>
      <c r="EQD65" s="42"/>
      <c r="EQK65" s="33"/>
      <c r="EQL65" s="33"/>
      <c r="EQP65" s="41"/>
      <c r="EQV65" s="42"/>
      <c r="ERC65" s="33"/>
      <c r="ERD65" s="33"/>
      <c r="ERH65" s="41"/>
      <c r="ERN65" s="42"/>
      <c r="ERU65" s="33"/>
      <c r="ERV65" s="33"/>
      <c r="ERZ65" s="41"/>
      <c r="ESF65" s="42"/>
      <c r="ESM65" s="33"/>
      <c r="ESN65" s="33"/>
      <c r="ESR65" s="41"/>
      <c r="ESX65" s="42"/>
      <c r="ETE65" s="33"/>
      <c r="ETF65" s="33"/>
      <c r="ETJ65" s="41"/>
      <c r="ETP65" s="42"/>
      <c r="ETW65" s="33"/>
      <c r="ETX65" s="33"/>
      <c r="EUB65" s="41"/>
      <c r="EUH65" s="42"/>
      <c r="EUO65" s="33"/>
      <c r="EUP65" s="33"/>
      <c r="EUT65" s="41"/>
      <c r="EUZ65" s="42"/>
      <c r="EVG65" s="33"/>
      <c r="EVH65" s="33"/>
      <c r="EVL65" s="41"/>
      <c r="EVR65" s="42"/>
      <c r="EVY65" s="33"/>
      <c r="EVZ65" s="33"/>
      <c r="EWD65" s="41"/>
      <c r="EWJ65" s="42"/>
      <c r="EWQ65" s="33"/>
      <c r="EWR65" s="33"/>
      <c r="EWV65" s="41"/>
      <c r="EXB65" s="42"/>
      <c r="EXI65" s="33"/>
      <c r="EXJ65" s="33"/>
      <c r="EXN65" s="41"/>
      <c r="EXT65" s="42"/>
      <c r="EYA65" s="33"/>
      <c r="EYB65" s="33"/>
      <c r="EYF65" s="41"/>
      <c r="EYL65" s="42"/>
      <c r="EYS65" s="33"/>
      <c r="EYT65" s="33"/>
      <c r="EYX65" s="41"/>
      <c r="EZD65" s="42"/>
      <c r="EZK65" s="33"/>
      <c r="EZL65" s="33"/>
      <c r="EZP65" s="41"/>
      <c r="EZV65" s="42"/>
      <c r="FAC65" s="33"/>
      <c r="FAD65" s="33"/>
      <c r="FAH65" s="41"/>
      <c r="FAN65" s="42"/>
      <c r="FAU65" s="33"/>
      <c r="FAV65" s="33"/>
      <c r="FAZ65" s="41"/>
      <c r="FBF65" s="42"/>
      <c r="FBM65" s="33"/>
      <c r="FBN65" s="33"/>
      <c r="FBR65" s="41"/>
      <c r="FBX65" s="42"/>
      <c r="FCE65" s="33"/>
      <c r="FCF65" s="33"/>
      <c r="FCJ65" s="41"/>
      <c r="FCP65" s="42"/>
      <c r="FCW65" s="33"/>
      <c r="FCX65" s="33"/>
      <c r="FDB65" s="41"/>
      <c r="FDH65" s="42"/>
      <c r="FDO65" s="33"/>
      <c r="FDP65" s="33"/>
      <c r="FDT65" s="41"/>
      <c r="FDZ65" s="42"/>
      <c r="FEG65" s="33"/>
      <c r="FEH65" s="33"/>
      <c r="FEL65" s="41"/>
      <c r="FER65" s="42"/>
      <c r="FEY65" s="33"/>
      <c r="FEZ65" s="33"/>
      <c r="FFD65" s="41"/>
      <c r="FFJ65" s="42"/>
      <c r="FFQ65" s="33"/>
      <c r="FFR65" s="33"/>
      <c r="FFV65" s="41"/>
      <c r="FGB65" s="42"/>
      <c r="FGI65" s="33"/>
      <c r="FGJ65" s="33"/>
      <c r="FGN65" s="41"/>
      <c r="FGT65" s="42"/>
      <c r="FHA65" s="33"/>
      <c r="FHB65" s="33"/>
      <c r="FHF65" s="41"/>
      <c r="FHL65" s="42"/>
      <c r="FHS65" s="33"/>
      <c r="FHT65" s="33"/>
      <c r="FHX65" s="41"/>
      <c r="FID65" s="42"/>
      <c r="FIK65" s="33"/>
      <c r="FIL65" s="33"/>
      <c r="FIP65" s="41"/>
      <c r="FIV65" s="42"/>
      <c r="FJC65" s="33"/>
      <c r="FJD65" s="33"/>
      <c r="FJH65" s="41"/>
      <c r="FJN65" s="42"/>
      <c r="FJU65" s="33"/>
      <c r="FJV65" s="33"/>
      <c r="FJZ65" s="41"/>
      <c r="FKF65" s="42"/>
      <c r="FKM65" s="33"/>
      <c r="FKN65" s="33"/>
      <c r="FKR65" s="41"/>
      <c r="FKX65" s="42"/>
      <c r="FLE65" s="33"/>
      <c r="FLF65" s="33"/>
      <c r="FLJ65" s="41"/>
      <c r="FLP65" s="42"/>
      <c r="FLW65" s="33"/>
      <c r="FLX65" s="33"/>
      <c r="FMB65" s="41"/>
      <c r="FMH65" s="42"/>
      <c r="FMO65" s="33"/>
      <c r="FMP65" s="33"/>
      <c r="FMT65" s="41"/>
      <c r="FMZ65" s="42"/>
      <c r="FNG65" s="33"/>
      <c r="FNH65" s="33"/>
      <c r="FNL65" s="41"/>
      <c r="FNR65" s="42"/>
      <c r="FNY65" s="33"/>
      <c r="FNZ65" s="33"/>
      <c r="FOD65" s="41"/>
      <c r="FOJ65" s="42"/>
      <c r="FOQ65" s="33"/>
      <c r="FOR65" s="33"/>
      <c r="FOV65" s="41"/>
      <c r="FPB65" s="42"/>
      <c r="FPI65" s="33"/>
      <c r="FPJ65" s="33"/>
      <c r="FPN65" s="41"/>
      <c r="FPT65" s="42"/>
      <c r="FQA65" s="33"/>
      <c r="FQB65" s="33"/>
      <c r="FQF65" s="41"/>
      <c r="FQL65" s="42"/>
      <c r="FQS65" s="33"/>
      <c r="FQT65" s="33"/>
      <c r="FQX65" s="41"/>
      <c r="FRD65" s="42"/>
      <c r="FRK65" s="33"/>
      <c r="FRL65" s="33"/>
      <c r="FRP65" s="41"/>
      <c r="FRV65" s="42"/>
      <c r="FSC65" s="33"/>
      <c r="FSD65" s="33"/>
      <c r="FSH65" s="41"/>
      <c r="FSN65" s="42"/>
      <c r="FSU65" s="33"/>
      <c r="FSV65" s="33"/>
      <c r="FSZ65" s="41"/>
      <c r="FTF65" s="42"/>
      <c r="FTM65" s="33"/>
      <c r="FTN65" s="33"/>
      <c r="FTR65" s="41"/>
      <c r="FTX65" s="42"/>
      <c r="FUE65" s="33"/>
      <c r="FUF65" s="33"/>
      <c r="FUJ65" s="41"/>
      <c r="FUP65" s="42"/>
      <c r="FUW65" s="33"/>
      <c r="FUX65" s="33"/>
      <c r="FVB65" s="41"/>
      <c r="FVH65" s="42"/>
      <c r="FVO65" s="33"/>
      <c r="FVP65" s="33"/>
      <c r="FVT65" s="41"/>
      <c r="FVZ65" s="42"/>
      <c r="FWG65" s="33"/>
      <c r="FWH65" s="33"/>
      <c r="FWL65" s="41"/>
      <c r="FWR65" s="42"/>
      <c r="FWY65" s="33"/>
      <c r="FWZ65" s="33"/>
      <c r="FXD65" s="41"/>
      <c r="FXJ65" s="42"/>
      <c r="FXQ65" s="33"/>
      <c r="FXR65" s="33"/>
      <c r="FXV65" s="41"/>
      <c r="FYB65" s="42"/>
      <c r="FYI65" s="33"/>
      <c r="FYJ65" s="33"/>
      <c r="FYN65" s="41"/>
      <c r="FYT65" s="42"/>
      <c r="FZA65" s="33"/>
      <c r="FZB65" s="33"/>
      <c r="FZF65" s="41"/>
      <c r="FZL65" s="42"/>
      <c r="FZS65" s="33"/>
      <c r="FZT65" s="33"/>
      <c r="FZX65" s="41"/>
      <c r="GAD65" s="42"/>
      <c r="GAK65" s="33"/>
      <c r="GAL65" s="33"/>
      <c r="GAP65" s="41"/>
      <c r="GAV65" s="42"/>
      <c r="GBC65" s="33"/>
      <c r="GBD65" s="33"/>
      <c r="GBH65" s="41"/>
      <c r="GBN65" s="42"/>
      <c r="GBU65" s="33"/>
      <c r="GBV65" s="33"/>
      <c r="GBZ65" s="41"/>
      <c r="GCF65" s="42"/>
      <c r="GCM65" s="33"/>
      <c r="GCN65" s="33"/>
      <c r="GCR65" s="41"/>
      <c r="GCX65" s="42"/>
      <c r="GDE65" s="33"/>
      <c r="GDF65" s="33"/>
      <c r="GDJ65" s="41"/>
      <c r="GDP65" s="42"/>
      <c r="GDW65" s="33"/>
      <c r="GDX65" s="33"/>
      <c r="GEB65" s="41"/>
      <c r="GEH65" s="42"/>
      <c r="GEO65" s="33"/>
      <c r="GEP65" s="33"/>
      <c r="GET65" s="41"/>
      <c r="GEZ65" s="42"/>
      <c r="GFG65" s="33"/>
      <c r="GFH65" s="33"/>
      <c r="GFL65" s="41"/>
      <c r="GFR65" s="42"/>
      <c r="GFY65" s="33"/>
      <c r="GFZ65" s="33"/>
      <c r="GGD65" s="41"/>
      <c r="GGJ65" s="42"/>
      <c r="GGQ65" s="33"/>
      <c r="GGR65" s="33"/>
      <c r="GGV65" s="41"/>
      <c r="GHB65" s="42"/>
      <c r="GHI65" s="33"/>
      <c r="GHJ65" s="33"/>
      <c r="GHN65" s="41"/>
      <c r="GHT65" s="42"/>
      <c r="GIA65" s="33"/>
      <c r="GIB65" s="33"/>
      <c r="GIF65" s="41"/>
      <c r="GIL65" s="42"/>
      <c r="GIS65" s="33"/>
      <c r="GIT65" s="33"/>
      <c r="GIX65" s="41"/>
      <c r="GJD65" s="42"/>
      <c r="GJK65" s="33"/>
      <c r="GJL65" s="33"/>
      <c r="GJP65" s="41"/>
      <c r="GJV65" s="42"/>
      <c r="GKC65" s="33"/>
      <c r="GKD65" s="33"/>
      <c r="GKH65" s="41"/>
      <c r="GKN65" s="42"/>
      <c r="GKU65" s="33"/>
      <c r="GKV65" s="33"/>
      <c r="GKZ65" s="41"/>
      <c r="GLF65" s="42"/>
      <c r="GLM65" s="33"/>
      <c r="GLN65" s="33"/>
      <c r="GLR65" s="41"/>
      <c r="GLX65" s="42"/>
      <c r="GME65" s="33"/>
      <c r="GMF65" s="33"/>
      <c r="GMJ65" s="41"/>
      <c r="GMP65" s="42"/>
      <c r="GMW65" s="33"/>
      <c r="GMX65" s="33"/>
      <c r="GNB65" s="41"/>
      <c r="GNH65" s="42"/>
      <c r="GNO65" s="33"/>
      <c r="GNP65" s="33"/>
      <c r="GNT65" s="41"/>
      <c r="GNZ65" s="42"/>
      <c r="GOG65" s="33"/>
      <c r="GOH65" s="33"/>
      <c r="GOL65" s="41"/>
      <c r="GOR65" s="42"/>
      <c r="GOY65" s="33"/>
      <c r="GOZ65" s="33"/>
      <c r="GPD65" s="41"/>
      <c r="GPJ65" s="42"/>
      <c r="GPQ65" s="33"/>
      <c r="GPR65" s="33"/>
      <c r="GPV65" s="41"/>
      <c r="GQB65" s="42"/>
      <c r="GQI65" s="33"/>
      <c r="GQJ65" s="33"/>
      <c r="GQN65" s="41"/>
      <c r="GQT65" s="42"/>
      <c r="GRA65" s="33"/>
      <c r="GRB65" s="33"/>
      <c r="GRF65" s="41"/>
      <c r="GRL65" s="42"/>
      <c r="GRS65" s="33"/>
      <c r="GRT65" s="33"/>
      <c r="GRX65" s="41"/>
      <c r="GSD65" s="42"/>
      <c r="GSK65" s="33"/>
      <c r="GSL65" s="33"/>
      <c r="GSP65" s="41"/>
      <c r="GSV65" s="42"/>
      <c r="GTC65" s="33"/>
      <c r="GTD65" s="33"/>
      <c r="GTH65" s="41"/>
      <c r="GTN65" s="42"/>
      <c r="GTU65" s="33"/>
      <c r="GTV65" s="33"/>
      <c r="GTZ65" s="41"/>
      <c r="GUF65" s="42"/>
      <c r="GUM65" s="33"/>
      <c r="GUN65" s="33"/>
      <c r="GUR65" s="41"/>
      <c r="GUX65" s="42"/>
      <c r="GVE65" s="33"/>
      <c r="GVF65" s="33"/>
      <c r="GVJ65" s="41"/>
      <c r="GVP65" s="42"/>
      <c r="GVW65" s="33"/>
      <c r="GVX65" s="33"/>
      <c r="GWB65" s="41"/>
      <c r="GWH65" s="42"/>
      <c r="GWO65" s="33"/>
      <c r="GWP65" s="33"/>
      <c r="GWT65" s="41"/>
      <c r="GWZ65" s="42"/>
      <c r="GXG65" s="33"/>
      <c r="GXH65" s="33"/>
      <c r="GXL65" s="41"/>
      <c r="GXR65" s="42"/>
      <c r="GXY65" s="33"/>
      <c r="GXZ65" s="33"/>
      <c r="GYD65" s="41"/>
      <c r="GYJ65" s="42"/>
      <c r="GYQ65" s="33"/>
      <c r="GYR65" s="33"/>
      <c r="GYV65" s="41"/>
      <c r="GZB65" s="42"/>
      <c r="GZI65" s="33"/>
      <c r="GZJ65" s="33"/>
      <c r="GZN65" s="41"/>
      <c r="GZT65" s="42"/>
      <c r="HAA65" s="33"/>
      <c r="HAB65" s="33"/>
      <c r="HAF65" s="41"/>
      <c r="HAL65" s="42"/>
      <c r="HAS65" s="33"/>
      <c r="HAT65" s="33"/>
      <c r="HAX65" s="41"/>
      <c r="HBD65" s="42"/>
      <c r="HBK65" s="33"/>
      <c r="HBL65" s="33"/>
      <c r="HBP65" s="41"/>
      <c r="HBV65" s="42"/>
      <c r="HCC65" s="33"/>
      <c r="HCD65" s="33"/>
      <c r="HCH65" s="41"/>
      <c r="HCN65" s="42"/>
      <c r="HCU65" s="33"/>
      <c r="HCV65" s="33"/>
      <c r="HCZ65" s="41"/>
      <c r="HDF65" s="42"/>
      <c r="HDM65" s="33"/>
      <c r="HDN65" s="33"/>
      <c r="HDR65" s="41"/>
      <c r="HDX65" s="42"/>
      <c r="HEE65" s="33"/>
      <c r="HEF65" s="33"/>
      <c r="HEJ65" s="41"/>
      <c r="HEP65" s="42"/>
      <c r="HEW65" s="33"/>
      <c r="HEX65" s="33"/>
      <c r="HFB65" s="41"/>
      <c r="HFH65" s="42"/>
      <c r="HFO65" s="33"/>
      <c r="HFP65" s="33"/>
      <c r="HFT65" s="41"/>
      <c r="HFZ65" s="42"/>
      <c r="HGG65" s="33"/>
      <c r="HGH65" s="33"/>
      <c r="HGL65" s="41"/>
      <c r="HGR65" s="42"/>
      <c r="HGY65" s="33"/>
      <c r="HGZ65" s="33"/>
      <c r="HHD65" s="41"/>
      <c r="HHJ65" s="42"/>
      <c r="HHQ65" s="33"/>
      <c r="HHR65" s="33"/>
      <c r="HHV65" s="41"/>
      <c r="HIB65" s="42"/>
      <c r="HII65" s="33"/>
      <c r="HIJ65" s="33"/>
      <c r="HIN65" s="41"/>
      <c r="HIT65" s="42"/>
      <c r="HJA65" s="33"/>
      <c r="HJB65" s="33"/>
      <c r="HJF65" s="41"/>
      <c r="HJL65" s="42"/>
      <c r="HJS65" s="33"/>
      <c r="HJT65" s="33"/>
      <c r="HJX65" s="41"/>
      <c r="HKD65" s="42"/>
      <c r="HKK65" s="33"/>
      <c r="HKL65" s="33"/>
      <c r="HKP65" s="41"/>
      <c r="HKV65" s="42"/>
      <c r="HLC65" s="33"/>
      <c r="HLD65" s="33"/>
      <c r="HLH65" s="41"/>
      <c r="HLN65" s="42"/>
      <c r="HLU65" s="33"/>
      <c r="HLV65" s="33"/>
      <c r="HLZ65" s="41"/>
      <c r="HMF65" s="42"/>
      <c r="HMM65" s="33"/>
      <c r="HMN65" s="33"/>
      <c r="HMR65" s="41"/>
      <c r="HMX65" s="42"/>
      <c r="HNE65" s="33"/>
      <c r="HNF65" s="33"/>
      <c r="HNJ65" s="41"/>
      <c r="HNP65" s="42"/>
      <c r="HNW65" s="33"/>
      <c r="HNX65" s="33"/>
      <c r="HOB65" s="41"/>
      <c r="HOH65" s="42"/>
      <c r="HOO65" s="33"/>
      <c r="HOP65" s="33"/>
      <c r="HOT65" s="41"/>
      <c r="HOZ65" s="42"/>
      <c r="HPG65" s="33"/>
      <c r="HPH65" s="33"/>
      <c r="HPL65" s="41"/>
      <c r="HPR65" s="42"/>
      <c r="HPY65" s="33"/>
      <c r="HPZ65" s="33"/>
      <c r="HQD65" s="41"/>
      <c r="HQJ65" s="42"/>
      <c r="HQQ65" s="33"/>
      <c r="HQR65" s="33"/>
      <c r="HQV65" s="41"/>
      <c r="HRB65" s="42"/>
      <c r="HRI65" s="33"/>
      <c r="HRJ65" s="33"/>
      <c r="HRN65" s="41"/>
      <c r="HRT65" s="42"/>
      <c r="HSA65" s="33"/>
      <c r="HSB65" s="33"/>
      <c r="HSF65" s="41"/>
      <c r="HSL65" s="42"/>
      <c r="HSS65" s="33"/>
      <c r="HST65" s="33"/>
      <c r="HSX65" s="41"/>
      <c r="HTD65" s="42"/>
      <c r="HTK65" s="33"/>
      <c r="HTL65" s="33"/>
      <c r="HTP65" s="41"/>
      <c r="HTV65" s="42"/>
      <c r="HUC65" s="33"/>
      <c r="HUD65" s="33"/>
      <c r="HUH65" s="41"/>
      <c r="HUN65" s="42"/>
      <c r="HUU65" s="33"/>
      <c r="HUV65" s="33"/>
      <c r="HUZ65" s="41"/>
      <c r="HVF65" s="42"/>
      <c r="HVM65" s="33"/>
      <c r="HVN65" s="33"/>
      <c r="HVR65" s="41"/>
      <c r="HVX65" s="42"/>
      <c r="HWE65" s="33"/>
      <c r="HWF65" s="33"/>
      <c r="HWJ65" s="41"/>
      <c r="HWP65" s="42"/>
      <c r="HWW65" s="33"/>
      <c r="HWX65" s="33"/>
      <c r="HXB65" s="41"/>
      <c r="HXH65" s="42"/>
      <c r="HXO65" s="33"/>
      <c r="HXP65" s="33"/>
      <c r="HXT65" s="41"/>
      <c r="HXZ65" s="42"/>
      <c r="HYG65" s="33"/>
      <c r="HYH65" s="33"/>
      <c r="HYL65" s="41"/>
      <c r="HYR65" s="42"/>
      <c r="HYY65" s="33"/>
      <c r="HYZ65" s="33"/>
      <c r="HZD65" s="41"/>
      <c r="HZJ65" s="42"/>
      <c r="HZQ65" s="33"/>
      <c r="HZR65" s="33"/>
      <c r="HZV65" s="41"/>
      <c r="IAB65" s="42"/>
      <c r="IAI65" s="33"/>
      <c r="IAJ65" s="33"/>
      <c r="IAN65" s="41"/>
      <c r="IAT65" s="42"/>
      <c r="IBA65" s="33"/>
      <c r="IBB65" s="33"/>
      <c r="IBF65" s="41"/>
      <c r="IBL65" s="42"/>
      <c r="IBS65" s="33"/>
      <c r="IBT65" s="33"/>
      <c r="IBX65" s="41"/>
      <c r="ICD65" s="42"/>
      <c r="ICK65" s="33"/>
      <c r="ICL65" s="33"/>
      <c r="ICP65" s="41"/>
      <c r="ICV65" s="42"/>
      <c r="IDC65" s="33"/>
      <c r="IDD65" s="33"/>
      <c r="IDH65" s="41"/>
      <c r="IDN65" s="42"/>
      <c r="IDU65" s="33"/>
      <c r="IDV65" s="33"/>
      <c r="IDZ65" s="41"/>
      <c r="IEF65" s="42"/>
      <c r="IEM65" s="33"/>
      <c r="IEN65" s="33"/>
      <c r="IER65" s="41"/>
      <c r="IEX65" s="42"/>
      <c r="IFE65" s="33"/>
      <c r="IFF65" s="33"/>
      <c r="IFJ65" s="41"/>
      <c r="IFP65" s="42"/>
      <c r="IFW65" s="33"/>
      <c r="IFX65" s="33"/>
      <c r="IGB65" s="41"/>
      <c r="IGH65" s="42"/>
      <c r="IGO65" s="33"/>
      <c r="IGP65" s="33"/>
      <c r="IGT65" s="41"/>
      <c r="IGZ65" s="42"/>
      <c r="IHG65" s="33"/>
      <c r="IHH65" s="33"/>
      <c r="IHL65" s="41"/>
      <c r="IHR65" s="42"/>
      <c r="IHY65" s="33"/>
      <c r="IHZ65" s="33"/>
      <c r="IID65" s="41"/>
      <c r="IIJ65" s="42"/>
      <c r="IIQ65" s="33"/>
      <c r="IIR65" s="33"/>
      <c r="IIV65" s="41"/>
      <c r="IJB65" s="42"/>
      <c r="IJI65" s="33"/>
      <c r="IJJ65" s="33"/>
      <c r="IJN65" s="41"/>
      <c r="IJT65" s="42"/>
      <c r="IKA65" s="33"/>
      <c r="IKB65" s="33"/>
      <c r="IKF65" s="41"/>
      <c r="IKL65" s="42"/>
      <c r="IKS65" s="33"/>
      <c r="IKT65" s="33"/>
      <c r="IKX65" s="41"/>
      <c r="ILD65" s="42"/>
      <c r="ILK65" s="33"/>
      <c r="ILL65" s="33"/>
      <c r="ILP65" s="41"/>
      <c r="ILV65" s="42"/>
      <c r="IMC65" s="33"/>
      <c r="IMD65" s="33"/>
      <c r="IMH65" s="41"/>
      <c r="IMN65" s="42"/>
      <c r="IMU65" s="33"/>
      <c r="IMV65" s="33"/>
      <c r="IMZ65" s="41"/>
      <c r="INF65" s="42"/>
      <c r="INM65" s="33"/>
      <c r="INN65" s="33"/>
      <c r="INR65" s="41"/>
      <c r="INX65" s="42"/>
      <c r="IOE65" s="33"/>
      <c r="IOF65" s="33"/>
      <c r="IOJ65" s="41"/>
      <c r="IOP65" s="42"/>
      <c r="IOW65" s="33"/>
      <c r="IOX65" s="33"/>
      <c r="IPB65" s="41"/>
      <c r="IPH65" s="42"/>
      <c r="IPO65" s="33"/>
      <c r="IPP65" s="33"/>
      <c r="IPT65" s="41"/>
      <c r="IPZ65" s="42"/>
      <c r="IQG65" s="33"/>
      <c r="IQH65" s="33"/>
      <c r="IQL65" s="41"/>
      <c r="IQR65" s="42"/>
      <c r="IQY65" s="33"/>
      <c r="IQZ65" s="33"/>
      <c r="IRD65" s="41"/>
      <c r="IRJ65" s="42"/>
      <c r="IRQ65" s="33"/>
      <c r="IRR65" s="33"/>
      <c r="IRV65" s="41"/>
      <c r="ISB65" s="42"/>
      <c r="ISI65" s="33"/>
      <c r="ISJ65" s="33"/>
      <c r="ISN65" s="41"/>
      <c r="IST65" s="42"/>
      <c r="ITA65" s="33"/>
      <c r="ITB65" s="33"/>
      <c r="ITF65" s="41"/>
      <c r="ITL65" s="42"/>
      <c r="ITS65" s="33"/>
      <c r="ITT65" s="33"/>
      <c r="ITX65" s="41"/>
      <c r="IUD65" s="42"/>
      <c r="IUK65" s="33"/>
      <c r="IUL65" s="33"/>
      <c r="IUP65" s="41"/>
      <c r="IUV65" s="42"/>
      <c r="IVC65" s="33"/>
      <c r="IVD65" s="33"/>
      <c r="IVH65" s="41"/>
      <c r="IVN65" s="42"/>
      <c r="IVU65" s="33"/>
      <c r="IVV65" s="33"/>
      <c r="IVZ65" s="41"/>
      <c r="IWF65" s="42"/>
      <c r="IWM65" s="33"/>
      <c r="IWN65" s="33"/>
      <c r="IWR65" s="41"/>
      <c r="IWX65" s="42"/>
      <c r="IXE65" s="33"/>
      <c r="IXF65" s="33"/>
      <c r="IXJ65" s="41"/>
      <c r="IXP65" s="42"/>
      <c r="IXW65" s="33"/>
      <c r="IXX65" s="33"/>
      <c r="IYB65" s="41"/>
      <c r="IYH65" s="42"/>
      <c r="IYO65" s="33"/>
      <c r="IYP65" s="33"/>
      <c r="IYT65" s="41"/>
      <c r="IYZ65" s="42"/>
      <c r="IZG65" s="33"/>
      <c r="IZH65" s="33"/>
      <c r="IZL65" s="41"/>
      <c r="IZR65" s="42"/>
      <c r="IZY65" s="33"/>
      <c r="IZZ65" s="33"/>
      <c r="JAD65" s="41"/>
      <c r="JAJ65" s="42"/>
      <c r="JAQ65" s="33"/>
      <c r="JAR65" s="33"/>
      <c r="JAV65" s="41"/>
      <c r="JBB65" s="42"/>
      <c r="JBI65" s="33"/>
      <c r="JBJ65" s="33"/>
      <c r="JBN65" s="41"/>
      <c r="JBT65" s="42"/>
      <c r="JCA65" s="33"/>
      <c r="JCB65" s="33"/>
      <c r="JCF65" s="41"/>
      <c r="JCL65" s="42"/>
      <c r="JCS65" s="33"/>
      <c r="JCT65" s="33"/>
      <c r="JCX65" s="41"/>
      <c r="JDD65" s="42"/>
      <c r="JDK65" s="33"/>
      <c r="JDL65" s="33"/>
      <c r="JDP65" s="41"/>
      <c r="JDV65" s="42"/>
      <c r="JEC65" s="33"/>
      <c r="JED65" s="33"/>
      <c r="JEH65" s="41"/>
      <c r="JEN65" s="42"/>
      <c r="JEU65" s="33"/>
      <c r="JEV65" s="33"/>
      <c r="JEZ65" s="41"/>
      <c r="JFF65" s="42"/>
      <c r="JFM65" s="33"/>
      <c r="JFN65" s="33"/>
      <c r="JFR65" s="41"/>
      <c r="JFX65" s="42"/>
      <c r="JGE65" s="33"/>
      <c r="JGF65" s="33"/>
      <c r="JGJ65" s="41"/>
      <c r="JGP65" s="42"/>
      <c r="JGW65" s="33"/>
      <c r="JGX65" s="33"/>
      <c r="JHB65" s="41"/>
      <c r="JHH65" s="42"/>
      <c r="JHO65" s="33"/>
      <c r="JHP65" s="33"/>
      <c r="JHT65" s="41"/>
      <c r="JHZ65" s="42"/>
      <c r="JIG65" s="33"/>
      <c r="JIH65" s="33"/>
      <c r="JIL65" s="41"/>
      <c r="JIR65" s="42"/>
      <c r="JIY65" s="33"/>
      <c r="JIZ65" s="33"/>
      <c r="JJD65" s="41"/>
      <c r="JJJ65" s="42"/>
      <c r="JJQ65" s="33"/>
      <c r="JJR65" s="33"/>
      <c r="JJV65" s="41"/>
      <c r="JKB65" s="42"/>
      <c r="JKI65" s="33"/>
      <c r="JKJ65" s="33"/>
      <c r="JKN65" s="41"/>
      <c r="JKT65" s="42"/>
      <c r="JLA65" s="33"/>
      <c r="JLB65" s="33"/>
      <c r="JLF65" s="41"/>
      <c r="JLL65" s="42"/>
      <c r="JLS65" s="33"/>
      <c r="JLT65" s="33"/>
      <c r="JLX65" s="41"/>
      <c r="JMD65" s="42"/>
      <c r="JMK65" s="33"/>
      <c r="JML65" s="33"/>
      <c r="JMP65" s="41"/>
      <c r="JMV65" s="42"/>
      <c r="JNC65" s="33"/>
      <c r="JND65" s="33"/>
      <c r="JNH65" s="41"/>
      <c r="JNN65" s="42"/>
      <c r="JNU65" s="33"/>
      <c r="JNV65" s="33"/>
      <c r="JNZ65" s="41"/>
      <c r="JOF65" s="42"/>
      <c r="JOM65" s="33"/>
      <c r="JON65" s="33"/>
      <c r="JOR65" s="41"/>
      <c r="JOX65" s="42"/>
      <c r="JPE65" s="33"/>
      <c r="JPF65" s="33"/>
      <c r="JPJ65" s="41"/>
      <c r="JPP65" s="42"/>
      <c r="JPW65" s="33"/>
      <c r="JPX65" s="33"/>
      <c r="JQB65" s="41"/>
      <c r="JQH65" s="42"/>
      <c r="JQO65" s="33"/>
      <c r="JQP65" s="33"/>
      <c r="JQT65" s="41"/>
      <c r="JQZ65" s="42"/>
      <c r="JRG65" s="33"/>
      <c r="JRH65" s="33"/>
      <c r="JRL65" s="41"/>
      <c r="JRR65" s="42"/>
      <c r="JRY65" s="33"/>
      <c r="JRZ65" s="33"/>
      <c r="JSD65" s="41"/>
      <c r="JSJ65" s="42"/>
      <c r="JSQ65" s="33"/>
      <c r="JSR65" s="33"/>
      <c r="JSV65" s="41"/>
      <c r="JTB65" s="42"/>
      <c r="JTI65" s="33"/>
      <c r="JTJ65" s="33"/>
      <c r="JTN65" s="41"/>
      <c r="JTT65" s="42"/>
      <c r="JUA65" s="33"/>
      <c r="JUB65" s="33"/>
      <c r="JUF65" s="41"/>
      <c r="JUL65" s="42"/>
      <c r="JUS65" s="33"/>
      <c r="JUT65" s="33"/>
      <c r="JUX65" s="41"/>
      <c r="JVD65" s="42"/>
      <c r="JVK65" s="33"/>
      <c r="JVL65" s="33"/>
      <c r="JVP65" s="41"/>
      <c r="JVV65" s="42"/>
      <c r="JWC65" s="33"/>
      <c r="JWD65" s="33"/>
      <c r="JWH65" s="41"/>
      <c r="JWN65" s="42"/>
      <c r="JWU65" s="33"/>
      <c r="JWV65" s="33"/>
      <c r="JWZ65" s="41"/>
      <c r="JXF65" s="42"/>
      <c r="JXM65" s="33"/>
      <c r="JXN65" s="33"/>
      <c r="JXR65" s="41"/>
      <c r="JXX65" s="42"/>
      <c r="JYE65" s="33"/>
      <c r="JYF65" s="33"/>
      <c r="JYJ65" s="41"/>
      <c r="JYP65" s="42"/>
      <c r="JYW65" s="33"/>
      <c r="JYX65" s="33"/>
      <c r="JZB65" s="41"/>
      <c r="JZH65" s="42"/>
      <c r="JZO65" s="33"/>
      <c r="JZP65" s="33"/>
      <c r="JZT65" s="41"/>
      <c r="JZZ65" s="42"/>
      <c r="KAG65" s="33"/>
      <c r="KAH65" s="33"/>
      <c r="KAL65" s="41"/>
      <c r="KAR65" s="42"/>
      <c r="KAY65" s="33"/>
      <c r="KAZ65" s="33"/>
      <c r="KBD65" s="41"/>
      <c r="KBJ65" s="42"/>
      <c r="KBQ65" s="33"/>
      <c r="KBR65" s="33"/>
      <c r="KBV65" s="41"/>
      <c r="KCB65" s="42"/>
      <c r="KCI65" s="33"/>
      <c r="KCJ65" s="33"/>
      <c r="KCN65" s="41"/>
      <c r="KCT65" s="42"/>
      <c r="KDA65" s="33"/>
      <c r="KDB65" s="33"/>
      <c r="KDF65" s="41"/>
      <c r="KDL65" s="42"/>
      <c r="KDS65" s="33"/>
      <c r="KDT65" s="33"/>
      <c r="KDX65" s="41"/>
      <c r="KED65" s="42"/>
      <c r="KEK65" s="33"/>
      <c r="KEL65" s="33"/>
      <c r="KEP65" s="41"/>
      <c r="KEV65" s="42"/>
      <c r="KFC65" s="33"/>
      <c r="KFD65" s="33"/>
      <c r="KFH65" s="41"/>
      <c r="KFN65" s="42"/>
      <c r="KFU65" s="33"/>
      <c r="KFV65" s="33"/>
      <c r="KFZ65" s="41"/>
      <c r="KGF65" s="42"/>
      <c r="KGM65" s="33"/>
      <c r="KGN65" s="33"/>
      <c r="KGR65" s="41"/>
      <c r="KGX65" s="42"/>
      <c r="KHE65" s="33"/>
      <c r="KHF65" s="33"/>
      <c r="KHJ65" s="41"/>
      <c r="KHP65" s="42"/>
      <c r="KHW65" s="33"/>
      <c r="KHX65" s="33"/>
      <c r="KIB65" s="41"/>
      <c r="KIH65" s="42"/>
      <c r="KIO65" s="33"/>
      <c r="KIP65" s="33"/>
      <c r="KIT65" s="41"/>
      <c r="KIZ65" s="42"/>
      <c r="KJG65" s="33"/>
      <c r="KJH65" s="33"/>
      <c r="KJL65" s="41"/>
      <c r="KJR65" s="42"/>
      <c r="KJY65" s="33"/>
      <c r="KJZ65" s="33"/>
      <c r="KKD65" s="41"/>
      <c r="KKJ65" s="42"/>
      <c r="KKQ65" s="33"/>
      <c r="KKR65" s="33"/>
      <c r="KKV65" s="41"/>
      <c r="KLB65" s="42"/>
      <c r="KLI65" s="33"/>
      <c r="KLJ65" s="33"/>
      <c r="KLN65" s="41"/>
      <c r="KLT65" s="42"/>
      <c r="KMA65" s="33"/>
      <c r="KMB65" s="33"/>
      <c r="KMF65" s="41"/>
      <c r="KML65" s="42"/>
      <c r="KMS65" s="33"/>
      <c r="KMT65" s="33"/>
      <c r="KMX65" s="41"/>
      <c r="KND65" s="42"/>
      <c r="KNK65" s="33"/>
      <c r="KNL65" s="33"/>
      <c r="KNP65" s="41"/>
      <c r="KNV65" s="42"/>
      <c r="KOC65" s="33"/>
      <c r="KOD65" s="33"/>
      <c r="KOH65" s="41"/>
      <c r="KON65" s="42"/>
      <c r="KOU65" s="33"/>
      <c r="KOV65" s="33"/>
      <c r="KOZ65" s="41"/>
      <c r="KPF65" s="42"/>
      <c r="KPM65" s="33"/>
      <c r="KPN65" s="33"/>
      <c r="KPR65" s="41"/>
      <c r="KPX65" s="42"/>
      <c r="KQE65" s="33"/>
      <c r="KQF65" s="33"/>
      <c r="KQJ65" s="41"/>
      <c r="KQP65" s="42"/>
      <c r="KQW65" s="33"/>
      <c r="KQX65" s="33"/>
      <c r="KRB65" s="41"/>
      <c r="KRH65" s="42"/>
      <c r="KRO65" s="33"/>
      <c r="KRP65" s="33"/>
      <c r="KRT65" s="41"/>
      <c r="KRZ65" s="42"/>
      <c r="KSG65" s="33"/>
      <c r="KSH65" s="33"/>
      <c r="KSL65" s="41"/>
      <c r="KSR65" s="42"/>
      <c r="KSY65" s="33"/>
      <c r="KSZ65" s="33"/>
      <c r="KTD65" s="41"/>
      <c r="KTJ65" s="42"/>
      <c r="KTQ65" s="33"/>
      <c r="KTR65" s="33"/>
      <c r="KTV65" s="41"/>
      <c r="KUB65" s="42"/>
      <c r="KUI65" s="33"/>
      <c r="KUJ65" s="33"/>
      <c r="KUN65" s="41"/>
      <c r="KUT65" s="42"/>
      <c r="KVA65" s="33"/>
      <c r="KVB65" s="33"/>
      <c r="KVF65" s="41"/>
      <c r="KVL65" s="42"/>
      <c r="KVS65" s="33"/>
      <c r="KVT65" s="33"/>
      <c r="KVX65" s="41"/>
      <c r="KWD65" s="42"/>
      <c r="KWK65" s="33"/>
      <c r="KWL65" s="33"/>
      <c r="KWP65" s="41"/>
      <c r="KWV65" s="42"/>
      <c r="KXC65" s="33"/>
      <c r="KXD65" s="33"/>
      <c r="KXH65" s="41"/>
      <c r="KXN65" s="42"/>
      <c r="KXU65" s="33"/>
      <c r="KXV65" s="33"/>
      <c r="KXZ65" s="41"/>
      <c r="KYF65" s="42"/>
      <c r="KYM65" s="33"/>
      <c r="KYN65" s="33"/>
      <c r="KYR65" s="41"/>
      <c r="KYX65" s="42"/>
      <c r="KZE65" s="33"/>
      <c r="KZF65" s="33"/>
      <c r="KZJ65" s="41"/>
      <c r="KZP65" s="42"/>
      <c r="KZW65" s="33"/>
      <c r="KZX65" s="33"/>
      <c r="LAB65" s="41"/>
      <c r="LAH65" s="42"/>
      <c r="LAO65" s="33"/>
      <c r="LAP65" s="33"/>
      <c r="LAT65" s="41"/>
      <c r="LAZ65" s="42"/>
      <c r="LBG65" s="33"/>
      <c r="LBH65" s="33"/>
      <c r="LBL65" s="41"/>
      <c r="LBR65" s="42"/>
      <c r="LBY65" s="33"/>
      <c r="LBZ65" s="33"/>
      <c r="LCD65" s="41"/>
      <c r="LCJ65" s="42"/>
      <c r="LCQ65" s="33"/>
      <c r="LCR65" s="33"/>
      <c r="LCV65" s="41"/>
      <c r="LDB65" s="42"/>
      <c r="LDI65" s="33"/>
      <c r="LDJ65" s="33"/>
      <c r="LDN65" s="41"/>
      <c r="LDT65" s="42"/>
      <c r="LEA65" s="33"/>
      <c r="LEB65" s="33"/>
      <c r="LEF65" s="41"/>
      <c r="LEL65" s="42"/>
      <c r="LES65" s="33"/>
      <c r="LET65" s="33"/>
      <c r="LEX65" s="41"/>
      <c r="LFD65" s="42"/>
      <c r="LFK65" s="33"/>
      <c r="LFL65" s="33"/>
      <c r="LFP65" s="41"/>
      <c r="LFV65" s="42"/>
      <c r="LGC65" s="33"/>
      <c r="LGD65" s="33"/>
      <c r="LGH65" s="41"/>
      <c r="LGN65" s="42"/>
      <c r="LGU65" s="33"/>
      <c r="LGV65" s="33"/>
      <c r="LGZ65" s="41"/>
      <c r="LHF65" s="42"/>
      <c r="LHM65" s="33"/>
      <c r="LHN65" s="33"/>
      <c r="LHR65" s="41"/>
      <c r="LHX65" s="42"/>
      <c r="LIE65" s="33"/>
      <c r="LIF65" s="33"/>
      <c r="LIJ65" s="41"/>
      <c r="LIP65" s="42"/>
      <c r="LIW65" s="33"/>
      <c r="LIX65" s="33"/>
      <c r="LJB65" s="41"/>
      <c r="LJH65" s="42"/>
      <c r="LJO65" s="33"/>
      <c r="LJP65" s="33"/>
      <c r="LJT65" s="41"/>
      <c r="LJZ65" s="42"/>
      <c r="LKG65" s="33"/>
      <c r="LKH65" s="33"/>
      <c r="LKL65" s="41"/>
      <c r="LKR65" s="42"/>
      <c r="LKY65" s="33"/>
      <c r="LKZ65" s="33"/>
      <c r="LLD65" s="41"/>
      <c r="LLJ65" s="42"/>
      <c r="LLQ65" s="33"/>
      <c r="LLR65" s="33"/>
      <c r="LLV65" s="41"/>
      <c r="LMB65" s="42"/>
      <c r="LMI65" s="33"/>
      <c r="LMJ65" s="33"/>
      <c r="LMN65" s="41"/>
      <c r="LMT65" s="42"/>
      <c r="LNA65" s="33"/>
      <c r="LNB65" s="33"/>
      <c r="LNF65" s="41"/>
      <c r="LNL65" s="42"/>
      <c r="LNS65" s="33"/>
      <c r="LNT65" s="33"/>
      <c r="LNX65" s="41"/>
      <c r="LOD65" s="42"/>
      <c r="LOK65" s="33"/>
      <c r="LOL65" s="33"/>
      <c r="LOP65" s="41"/>
      <c r="LOV65" s="42"/>
      <c r="LPC65" s="33"/>
      <c r="LPD65" s="33"/>
      <c r="LPH65" s="41"/>
      <c r="LPN65" s="42"/>
      <c r="LPU65" s="33"/>
      <c r="LPV65" s="33"/>
      <c r="LPZ65" s="41"/>
      <c r="LQF65" s="42"/>
      <c r="LQM65" s="33"/>
      <c r="LQN65" s="33"/>
      <c r="LQR65" s="41"/>
      <c r="LQX65" s="42"/>
      <c r="LRE65" s="33"/>
      <c r="LRF65" s="33"/>
      <c r="LRJ65" s="41"/>
      <c r="LRP65" s="42"/>
      <c r="LRW65" s="33"/>
      <c r="LRX65" s="33"/>
      <c r="LSB65" s="41"/>
      <c r="LSH65" s="42"/>
      <c r="LSO65" s="33"/>
      <c r="LSP65" s="33"/>
      <c r="LST65" s="41"/>
      <c r="LSZ65" s="42"/>
      <c r="LTG65" s="33"/>
      <c r="LTH65" s="33"/>
      <c r="LTL65" s="41"/>
      <c r="LTR65" s="42"/>
      <c r="LTY65" s="33"/>
      <c r="LTZ65" s="33"/>
      <c r="LUD65" s="41"/>
      <c r="LUJ65" s="42"/>
      <c r="LUQ65" s="33"/>
      <c r="LUR65" s="33"/>
      <c r="LUV65" s="41"/>
      <c r="LVB65" s="42"/>
      <c r="LVI65" s="33"/>
      <c r="LVJ65" s="33"/>
      <c r="LVN65" s="41"/>
      <c r="LVT65" s="42"/>
      <c r="LWA65" s="33"/>
      <c r="LWB65" s="33"/>
      <c r="LWF65" s="41"/>
      <c r="LWL65" s="42"/>
      <c r="LWS65" s="33"/>
      <c r="LWT65" s="33"/>
      <c r="LWX65" s="41"/>
      <c r="LXD65" s="42"/>
      <c r="LXK65" s="33"/>
      <c r="LXL65" s="33"/>
      <c r="LXP65" s="41"/>
      <c r="LXV65" s="42"/>
      <c r="LYC65" s="33"/>
      <c r="LYD65" s="33"/>
      <c r="LYH65" s="41"/>
      <c r="LYN65" s="42"/>
      <c r="LYU65" s="33"/>
      <c r="LYV65" s="33"/>
      <c r="LYZ65" s="41"/>
      <c r="LZF65" s="42"/>
      <c r="LZM65" s="33"/>
      <c r="LZN65" s="33"/>
      <c r="LZR65" s="41"/>
      <c r="LZX65" s="42"/>
      <c r="MAE65" s="33"/>
      <c r="MAF65" s="33"/>
      <c r="MAJ65" s="41"/>
      <c r="MAP65" s="42"/>
      <c r="MAW65" s="33"/>
      <c r="MAX65" s="33"/>
      <c r="MBB65" s="41"/>
      <c r="MBH65" s="42"/>
      <c r="MBO65" s="33"/>
      <c r="MBP65" s="33"/>
      <c r="MBT65" s="41"/>
      <c r="MBZ65" s="42"/>
      <c r="MCG65" s="33"/>
      <c r="MCH65" s="33"/>
      <c r="MCL65" s="41"/>
      <c r="MCR65" s="42"/>
      <c r="MCY65" s="33"/>
      <c r="MCZ65" s="33"/>
      <c r="MDD65" s="41"/>
      <c r="MDJ65" s="42"/>
      <c r="MDQ65" s="33"/>
      <c r="MDR65" s="33"/>
      <c r="MDV65" s="41"/>
      <c r="MEB65" s="42"/>
      <c r="MEI65" s="33"/>
      <c r="MEJ65" s="33"/>
      <c r="MEN65" s="41"/>
      <c r="MET65" s="42"/>
      <c r="MFA65" s="33"/>
      <c r="MFB65" s="33"/>
      <c r="MFF65" s="41"/>
      <c r="MFL65" s="42"/>
      <c r="MFS65" s="33"/>
      <c r="MFT65" s="33"/>
      <c r="MFX65" s="41"/>
      <c r="MGD65" s="42"/>
      <c r="MGK65" s="33"/>
      <c r="MGL65" s="33"/>
      <c r="MGP65" s="41"/>
      <c r="MGV65" s="42"/>
      <c r="MHC65" s="33"/>
      <c r="MHD65" s="33"/>
      <c r="MHH65" s="41"/>
      <c r="MHN65" s="42"/>
      <c r="MHU65" s="33"/>
      <c r="MHV65" s="33"/>
      <c r="MHZ65" s="41"/>
      <c r="MIF65" s="42"/>
      <c r="MIM65" s="33"/>
      <c r="MIN65" s="33"/>
      <c r="MIR65" s="41"/>
      <c r="MIX65" s="42"/>
      <c r="MJE65" s="33"/>
      <c r="MJF65" s="33"/>
      <c r="MJJ65" s="41"/>
      <c r="MJP65" s="42"/>
      <c r="MJW65" s="33"/>
      <c r="MJX65" s="33"/>
      <c r="MKB65" s="41"/>
      <c r="MKH65" s="42"/>
      <c r="MKO65" s="33"/>
      <c r="MKP65" s="33"/>
      <c r="MKT65" s="41"/>
      <c r="MKZ65" s="42"/>
      <c r="MLG65" s="33"/>
      <c r="MLH65" s="33"/>
      <c r="MLL65" s="41"/>
      <c r="MLR65" s="42"/>
      <c r="MLY65" s="33"/>
      <c r="MLZ65" s="33"/>
      <c r="MMD65" s="41"/>
      <c r="MMJ65" s="42"/>
      <c r="MMQ65" s="33"/>
      <c r="MMR65" s="33"/>
      <c r="MMV65" s="41"/>
      <c r="MNB65" s="42"/>
      <c r="MNI65" s="33"/>
      <c r="MNJ65" s="33"/>
      <c r="MNN65" s="41"/>
      <c r="MNT65" s="42"/>
      <c r="MOA65" s="33"/>
      <c r="MOB65" s="33"/>
      <c r="MOF65" s="41"/>
      <c r="MOL65" s="42"/>
      <c r="MOS65" s="33"/>
      <c r="MOT65" s="33"/>
      <c r="MOX65" s="41"/>
      <c r="MPD65" s="42"/>
      <c r="MPK65" s="33"/>
      <c r="MPL65" s="33"/>
      <c r="MPP65" s="41"/>
      <c r="MPV65" s="42"/>
      <c r="MQC65" s="33"/>
      <c r="MQD65" s="33"/>
      <c r="MQH65" s="41"/>
      <c r="MQN65" s="42"/>
      <c r="MQU65" s="33"/>
      <c r="MQV65" s="33"/>
      <c r="MQZ65" s="41"/>
      <c r="MRF65" s="42"/>
      <c r="MRM65" s="33"/>
      <c r="MRN65" s="33"/>
      <c r="MRR65" s="41"/>
      <c r="MRX65" s="42"/>
      <c r="MSE65" s="33"/>
      <c r="MSF65" s="33"/>
      <c r="MSJ65" s="41"/>
      <c r="MSP65" s="42"/>
      <c r="MSW65" s="33"/>
      <c r="MSX65" s="33"/>
      <c r="MTB65" s="41"/>
      <c r="MTH65" s="42"/>
      <c r="MTO65" s="33"/>
      <c r="MTP65" s="33"/>
      <c r="MTT65" s="41"/>
      <c r="MTZ65" s="42"/>
      <c r="MUG65" s="33"/>
      <c r="MUH65" s="33"/>
      <c r="MUL65" s="41"/>
      <c r="MUR65" s="42"/>
      <c r="MUY65" s="33"/>
      <c r="MUZ65" s="33"/>
      <c r="MVD65" s="41"/>
      <c r="MVJ65" s="42"/>
      <c r="MVQ65" s="33"/>
      <c r="MVR65" s="33"/>
      <c r="MVV65" s="41"/>
      <c r="MWB65" s="42"/>
      <c r="MWI65" s="33"/>
      <c r="MWJ65" s="33"/>
      <c r="MWN65" s="41"/>
      <c r="MWT65" s="42"/>
      <c r="MXA65" s="33"/>
      <c r="MXB65" s="33"/>
      <c r="MXF65" s="41"/>
      <c r="MXL65" s="42"/>
      <c r="MXS65" s="33"/>
      <c r="MXT65" s="33"/>
      <c r="MXX65" s="41"/>
      <c r="MYD65" s="42"/>
      <c r="MYK65" s="33"/>
      <c r="MYL65" s="33"/>
      <c r="MYP65" s="41"/>
      <c r="MYV65" s="42"/>
      <c r="MZC65" s="33"/>
      <c r="MZD65" s="33"/>
      <c r="MZH65" s="41"/>
      <c r="MZN65" s="42"/>
      <c r="MZU65" s="33"/>
      <c r="MZV65" s="33"/>
      <c r="MZZ65" s="41"/>
      <c r="NAF65" s="42"/>
      <c r="NAM65" s="33"/>
      <c r="NAN65" s="33"/>
      <c r="NAR65" s="41"/>
      <c r="NAX65" s="42"/>
      <c r="NBE65" s="33"/>
      <c r="NBF65" s="33"/>
      <c r="NBJ65" s="41"/>
      <c r="NBP65" s="42"/>
      <c r="NBW65" s="33"/>
      <c r="NBX65" s="33"/>
      <c r="NCB65" s="41"/>
      <c r="NCH65" s="42"/>
      <c r="NCO65" s="33"/>
      <c r="NCP65" s="33"/>
      <c r="NCT65" s="41"/>
      <c r="NCZ65" s="42"/>
      <c r="NDG65" s="33"/>
      <c r="NDH65" s="33"/>
      <c r="NDL65" s="41"/>
      <c r="NDR65" s="42"/>
      <c r="NDY65" s="33"/>
      <c r="NDZ65" s="33"/>
      <c r="NED65" s="41"/>
      <c r="NEJ65" s="42"/>
      <c r="NEQ65" s="33"/>
      <c r="NER65" s="33"/>
      <c r="NEV65" s="41"/>
      <c r="NFB65" s="42"/>
      <c r="NFI65" s="33"/>
      <c r="NFJ65" s="33"/>
      <c r="NFN65" s="41"/>
      <c r="NFT65" s="42"/>
      <c r="NGA65" s="33"/>
      <c r="NGB65" s="33"/>
      <c r="NGF65" s="41"/>
      <c r="NGL65" s="42"/>
      <c r="NGS65" s="33"/>
      <c r="NGT65" s="33"/>
      <c r="NGX65" s="41"/>
      <c r="NHD65" s="42"/>
      <c r="NHK65" s="33"/>
      <c r="NHL65" s="33"/>
      <c r="NHP65" s="41"/>
      <c r="NHV65" s="42"/>
      <c r="NIC65" s="33"/>
      <c r="NID65" s="33"/>
      <c r="NIH65" s="41"/>
      <c r="NIN65" s="42"/>
      <c r="NIU65" s="33"/>
      <c r="NIV65" s="33"/>
      <c r="NIZ65" s="41"/>
      <c r="NJF65" s="42"/>
      <c r="NJM65" s="33"/>
      <c r="NJN65" s="33"/>
      <c r="NJR65" s="41"/>
      <c r="NJX65" s="42"/>
      <c r="NKE65" s="33"/>
      <c r="NKF65" s="33"/>
      <c r="NKJ65" s="41"/>
      <c r="NKP65" s="42"/>
      <c r="NKW65" s="33"/>
      <c r="NKX65" s="33"/>
      <c r="NLB65" s="41"/>
      <c r="NLH65" s="42"/>
      <c r="NLO65" s="33"/>
      <c r="NLP65" s="33"/>
      <c r="NLT65" s="41"/>
      <c r="NLZ65" s="42"/>
      <c r="NMG65" s="33"/>
      <c r="NMH65" s="33"/>
      <c r="NML65" s="41"/>
      <c r="NMR65" s="42"/>
      <c r="NMY65" s="33"/>
      <c r="NMZ65" s="33"/>
      <c r="NND65" s="41"/>
      <c r="NNJ65" s="42"/>
      <c r="NNQ65" s="33"/>
      <c r="NNR65" s="33"/>
      <c r="NNV65" s="41"/>
      <c r="NOB65" s="42"/>
      <c r="NOI65" s="33"/>
      <c r="NOJ65" s="33"/>
      <c r="NON65" s="41"/>
      <c r="NOT65" s="42"/>
      <c r="NPA65" s="33"/>
      <c r="NPB65" s="33"/>
      <c r="NPF65" s="41"/>
      <c r="NPL65" s="42"/>
      <c r="NPS65" s="33"/>
      <c r="NPT65" s="33"/>
      <c r="NPX65" s="41"/>
      <c r="NQD65" s="42"/>
      <c r="NQK65" s="33"/>
      <c r="NQL65" s="33"/>
      <c r="NQP65" s="41"/>
      <c r="NQV65" s="42"/>
      <c r="NRC65" s="33"/>
      <c r="NRD65" s="33"/>
      <c r="NRH65" s="41"/>
      <c r="NRN65" s="42"/>
      <c r="NRU65" s="33"/>
      <c r="NRV65" s="33"/>
      <c r="NRZ65" s="41"/>
      <c r="NSF65" s="42"/>
      <c r="NSM65" s="33"/>
      <c r="NSN65" s="33"/>
      <c r="NSR65" s="41"/>
      <c r="NSX65" s="42"/>
      <c r="NTE65" s="33"/>
      <c r="NTF65" s="33"/>
      <c r="NTJ65" s="41"/>
      <c r="NTP65" s="42"/>
      <c r="NTW65" s="33"/>
      <c r="NTX65" s="33"/>
      <c r="NUB65" s="41"/>
      <c r="NUH65" s="42"/>
      <c r="NUO65" s="33"/>
      <c r="NUP65" s="33"/>
      <c r="NUT65" s="41"/>
      <c r="NUZ65" s="42"/>
      <c r="NVG65" s="33"/>
      <c r="NVH65" s="33"/>
      <c r="NVL65" s="41"/>
      <c r="NVR65" s="42"/>
      <c r="NVY65" s="33"/>
      <c r="NVZ65" s="33"/>
      <c r="NWD65" s="41"/>
      <c r="NWJ65" s="42"/>
      <c r="NWQ65" s="33"/>
      <c r="NWR65" s="33"/>
      <c r="NWV65" s="41"/>
      <c r="NXB65" s="42"/>
      <c r="NXI65" s="33"/>
      <c r="NXJ65" s="33"/>
      <c r="NXN65" s="41"/>
      <c r="NXT65" s="42"/>
      <c r="NYA65" s="33"/>
      <c r="NYB65" s="33"/>
      <c r="NYF65" s="41"/>
      <c r="NYL65" s="42"/>
      <c r="NYS65" s="33"/>
      <c r="NYT65" s="33"/>
      <c r="NYX65" s="41"/>
      <c r="NZD65" s="42"/>
      <c r="NZK65" s="33"/>
      <c r="NZL65" s="33"/>
      <c r="NZP65" s="41"/>
      <c r="NZV65" s="42"/>
      <c r="OAC65" s="33"/>
      <c r="OAD65" s="33"/>
      <c r="OAH65" s="41"/>
      <c r="OAN65" s="42"/>
      <c r="OAU65" s="33"/>
      <c r="OAV65" s="33"/>
      <c r="OAZ65" s="41"/>
      <c r="OBF65" s="42"/>
      <c r="OBM65" s="33"/>
      <c r="OBN65" s="33"/>
      <c r="OBR65" s="41"/>
      <c r="OBX65" s="42"/>
      <c r="OCE65" s="33"/>
      <c r="OCF65" s="33"/>
      <c r="OCJ65" s="41"/>
      <c r="OCP65" s="42"/>
      <c r="OCW65" s="33"/>
      <c r="OCX65" s="33"/>
      <c r="ODB65" s="41"/>
      <c r="ODH65" s="42"/>
      <c r="ODO65" s="33"/>
      <c r="ODP65" s="33"/>
      <c r="ODT65" s="41"/>
      <c r="ODZ65" s="42"/>
      <c r="OEG65" s="33"/>
      <c r="OEH65" s="33"/>
      <c r="OEL65" s="41"/>
      <c r="OER65" s="42"/>
      <c r="OEY65" s="33"/>
      <c r="OEZ65" s="33"/>
      <c r="OFD65" s="41"/>
      <c r="OFJ65" s="42"/>
      <c r="OFQ65" s="33"/>
      <c r="OFR65" s="33"/>
      <c r="OFV65" s="41"/>
      <c r="OGB65" s="42"/>
      <c r="OGI65" s="33"/>
      <c r="OGJ65" s="33"/>
      <c r="OGN65" s="41"/>
      <c r="OGT65" s="42"/>
      <c r="OHA65" s="33"/>
      <c r="OHB65" s="33"/>
      <c r="OHF65" s="41"/>
      <c r="OHL65" s="42"/>
      <c r="OHS65" s="33"/>
      <c r="OHT65" s="33"/>
      <c r="OHX65" s="41"/>
      <c r="OID65" s="42"/>
      <c r="OIK65" s="33"/>
      <c r="OIL65" s="33"/>
      <c r="OIP65" s="41"/>
      <c r="OIV65" s="42"/>
      <c r="OJC65" s="33"/>
      <c r="OJD65" s="33"/>
      <c r="OJH65" s="41"/>
      <c r="OJN65" s="42"/>
      <c r="OJU65" s="33"/>
      <c r="OJV65" s="33"/>
      <c r="OJZ65" s="41"/>
      <c r="OKF65" s="42"/>
      <c r="OKM65" s="33"/>
      <c r="OKN65" s="33"/>
      <c r="OKR65" s="41"/>
      <c r="OKX65" s="42"/>
      <c r="OLE65" s="33"/>
      <c r="OLF65" s="33"/>
      <c r="OLJ65" s="41"/>
      <c r="OLP65" s="42"/>
      <c r="OLW65" s="33"/>
      <c r="OLX65" s="33"/>
      <c r="OMB65" s="41"/>
      <c r="OMH65" s="42"/>
      <c r="OMO65" s="33"/>
      <c r="OMP65" s="33"/>
      <c r="OMT65" s="41"/>
      <c r="OMZ65" s="42"/>
      <c r="ONG65" s="33"/>
      <c r="ONH65" s="33"/>
      <c r="ONL65" s="41"/>
      <c r="ONR65" s="42"/>
      <c r="ONY65" s="33"/>
      <c r="ONZ65" s="33"/>
      <c r="OOD65" s="41"/>
      <c r="OOJ65" s="42"/>
      <c r="OOQ65" s="33"/>
      <c r="OOR65" s="33"/>
      <c r="OOV65" s="41"/>
      <c r="OPB65" s="42"/>
      <c r="OPI65" s="33"/>
      <c r="OPJ65" s="33"/>
      <c r="OPN65" s="41"/>
      <c r="OPT65" s="42"/>
      <c r="OQA65" s="33"/>
      <c r="OQB65" s="33"/>
      <c r="OQF65" s="41"/>
      <c r="OQL65" s="42"/>
      <c r="OQS65" s="33"/>
      <c r="OQT65" s="33"/>
      <c r="OQX65" s="41"/>
      <c r="ORD65" s="42"/>
      <c r="ORK65" s="33"/>
      <c r="ORL65" s="33"/>
      <c r="ORP65" s="41"/>
      <c r="ORV65" s="42"/>
      <c r="OSC65" s="33"/>
      <c r="OSD65" s="33"/>
      <c r="OSH65" s="41"/>
      <c r="OSN65" s="42"/>
      <c r="OSU65" s="33"/>
      <c r="OSV65" s="33"/>
      <c r="OSZ65" s="41"/>
      <c r="OTF65" s="42"/>
      <c r="OTM65" s="33"/>
      <c r="OTN65" s="33"/>
      <c r="OTR65" s="41"/>
      <c r="OTX65" s="42"/>
      <c r="OUE65" s="33"/>
      <c r="OUF65" s="33"/>
      <c r="OUJ65" s="41"/>
      <c r="OUP65" s="42"/>
      <c r="OUW65" s="33"/>
      <c r="OUX65" s="33"/>
      <c r="OVB65" s="41"/>
      <c r="OVH65" s="42"/>
      <c r="OVO65" s="33"/>
      <c r="OVP65" s="33"/>
      <c r="OVT65" s="41"/>
      <c r="OVZ65" s="42"/>
      <c r="OWG65" s="33"/>
      <c r="OWH65" s="33"/>
      <c r="OWL65" s="41"/>
      <c r="OWR65" s="42"/>
      <c r="OWY65" s="33"/>
      <c r="OWZ65" s="33"/>
      <c r="OXD65" s="41"/>
      <c r="OXJ65" s="42"/>
      <c r="OXQ65" s="33"/>
      <c r="OXR65" s="33"/>
      <c r="OXV65" s="41"/>
      <c r="OYB65" s="42"/>
      <c r="OYI65" s="33"/>
      <c r="OYJ65" s="33"/>
      <c r="OYN65" s="41"/>
      <c r="OYT65" s="42"/>
      <c r="OZA65" s="33"/>
      <c r="OZB65" s="33"/>
      <c r="OZF65" s="41"/>
      <c r="OZL65" s="42"/>
      <c r="OZS65" s="33"/>
      <c r="OZT65" s="33"/>
      <c r="OZX65" s="41"/>
      <c r="PAD65" s="42"/>
      <c r="PAK65" s="33"/>
      <c r="PAL65" s="33"/>
      <c r="PAP65" s="41"/>
      <c r="PAV65" s="42"/>
      <c r="PBC65" s="33"/>
      <c r="PBD65" s="33"/>
      <c r="PBH65" s="41"/>
      <c r="PBN65" s="42"/>
      <c r="PBU65" s="33"/>
      <c r="PBV65" s="33"/>
      <c r="PBZ65" s="41"/>
      <c r="PCF65" s="42"/>
      <c r="PCM65" s="33"/>
      <c r="PCN65" s="33"/>
      <c r="PCR65" s="41"/>
      <c r="PCX65" s="42"/>
      <c r="PDE65" s="33"/>
      <c r="PDF65" s="33"/>
      <c r="PDJ65" s="41"/>
      <c r="PDP65" s="42"/>
      <c r="PDW65" s="33"/>
      <c r="PDX65" s="33"/>
      <c r="PEB65" s="41"/>
      <c r="PEH65" s="42"/>
      <c r="PEO65" s="33"/>
      <c r="PEP65" s="33"/>
      <c r="PET65" s="41"/>
      <c r="PEZ65" s="42"/>
      <c r="PFG65" s="33"/>
      <c r="PFH65" s="33"/>
      <c r="PFL65" s="41"/>
      <c r="PFR65" s="42"/>
      <c r="PFY65" s="33"/>
      <c r="PFZ65" s="33"/>
      <c r="PGD65" s="41"/>
      <c r="PGJ65" s="42"/>
      <c r="PGQ65" s="33"/>
      <c r="PGR65" s="33"/>
      <c r="PGV65" s="41"/>
      <c r="PHB65" s="42"/>
      <c r="PHI65" s="33"/>
      <c r="PHJ65" s="33"/>
      <c r="PHN65" s="41"/>
      <c r="PHT65" s="42"/>
      <c r="PIA65" s="33"/>
      <c r="PIB65" s="33"/>
      <c r="PIF65" s="41"/>
      <c r="PIL65" s="42"/>
      <c r="PIS65" s="33"/>
      <c r="PIT65" s="33"/>
      <c r="PIX65" s="41"/>
      <c r="PJD65" s="42"/>
      <c r="PJK65" s="33"/>
      <c r="PJL65" s="33"/>
      <c r="PJP65" s="41"/>
      <c r="PJV65" s="42"/>
      <c r="PKC65" s="33"/>
      <c r="PKD65" s="33"/>
      <c r="PKH65" s="41"/>
      <c r="PKN65" s="42"/>
      <c r="PKU65" s="33"/>
      <c r="PKV65" s="33"/>
      <c r="PKZ65" s="41"/>
      <c r="PLF65" s="42"/>
      <c r="PLM65" s="33"/>
      <c r="PLN65" s="33"/>
      <c r="PLR65" s="41"/>
      <c r="PLX65" s="42"/>
      <c r="PME65" s="33"/>
      <c r="PMF65" s="33"/>
      <c r="PMJ65" s="41"/>
      <c r="PMP65" s="42"/>
      <c r="PMW65" s="33"/>
      <c r="PMX65" s="33"/>
      <c r="PNB65" s="41"/>
      <c r="PNH65" s="42"/>
      <c r="PNO65" s="33"/>
      <c r="PNP65" s="33"/>
      <c r="PNT65" s="41"/>
      <c r="PNZ65" s="42"/>
      <c r="POG65" s="33"/>
      <c r="POH65" s="33"/>
      <c r="POL65" s="41"/>
      <c r="POR65" s="42"/>
      <c r="POY65" s="33"/>
      <c r="POZ65" s="33"/>
      <c r="PPD65" s="41"/>
      <c r="PPJ65" s="42"/>
      <c r="PPQ65" s="33"/>
      <c r="PPR65" s="33"/>
      <c r="PPV65" s="41"/>
      <c r="PQB65" s="42"/>
      <c r="PQI65" s="33"/>
      <c r="PQJ65" s="33"/>
      <c r="PQN65" s="41"/>
      <c r="PQT65" s="42"/>
      <c r="PRA65" s="33"/>
      <c r="PRB65" s="33"/>
      <c r="PRF65" s="41"/>
      <c r="PRL65" s="42"/>
      <c r="PRS65" s="33"/>
      <c r="PRT65" s="33"/>
      <c r="PRX65" s="41"/>
      <c r="PSD65" s="42"/>
      <c r="PSK65" s="33"/>
      <c r="PSL65" s="33"/>
      <c r="PSP65" s="41"/>
      <c r="PSV65" s="42"/>
      <c r="PTC65" s="33"/>
      <c r="PTD65" s="33"/>
      <c r="PTH65" s="41"/>
      <c r="PTN65" s="42"/>
      <c r="PTU65" s="33"/>
      <c r="PTV65" s="33"/>
      <c r="PTZ65" s="41"/>
      <c r="PUF65" s="42"/>
      <c r="PUM65" s="33"/>
      <c r="PUN65" s="33"/>
      <c r="PUR65" s="41"/>
      <c r="PUX65" s="42"/>
      <c r="PVE65" s="33"/>
      <c r="PVF65" s="33"/>
      <c r="PVJ65" s="41"/>
      <c r="PVP65" s="42"/>
      <c r="PVW65" s="33"/>
      <c r="PVX65" s="33"/>
      <c r="PWB65" s="41"/>
      <c r="PWH65" s="42"/>
      <c r="PWO65" s="33"/>
      <c r="PWP65" s="33"/>
      <c r="PWT65" s="41"/>
      <c r="PWZ65" s="42"/>
      <c r="PXG65" s="33"/>
      <c r="PXH65" s="33"/>
      <c r="PXL65" s="41"/>
      <c r="PXR65" s="42"/>
      <c r="PXY65" s="33"/>
      <c r="PXZ65" s="33"/>
      <c r="PYD65" s="41"/>
      <c r="PYJ65" s="42"/>
      <c r="PYQ65" s="33"/>
      <c r="PYR65" s="33"/>
      <c r="PYV65" s="41"/>
      <c r="PZB65" s="42"/>
      <c r="PZI65" s="33"/>
      <c r="PZJ65" s="33"/>
      <c r="PZN65" s="41"/>
      <c r="PZT65" s="42"/>
      <c r="QAA65" s="33"/>
      <c r="QAB65" s="33"/>
      <c r="QAF65" s="41"/>
      <c r="QAL65" s="42"/>
      <c r="QAS65" s="33"/>
      <c r="QAT65" s="33"/>
      <c r="QAX65" s="41"/>
      <c r="QBD65" s="42"/>
      <c r="QBK65" s="33"/>
      <c r="QBL65" s="33"/>
      <c r="QBP65" s="41"/>
      <c r="QBV65" s="42"/>
      <c r="QCC65" s="33"/>
      <c r="QCD65" s="33"/>
      <c r="QCH65" s="41"/>
      <c r="QCN65" s="42"/>
      <c r="QCU65" s="33"/>
      <c r="QCV65" s="33"/>
      <c r="QCZ65" s="41"/>
      <c r="QDF65" s="42"/>
      <c r="QDM65" s="33"/>
      <c r="QDN65" s="33"/>
      <c r="QDR65" s="41"/>
      <c r="QDX65" s="42"/>
      <c r="QEE65" s="33"/>
      <c r="QEF65" s="33"/>
      <c r="QEJ65" s="41"/>
      <c r="QEP65" s="42"/>
      <c r="QEW65" s="33"/>
      <c r="QEX65" s="33"/>
      <c r="QFB65" s="41"/>
      <c r="QFH65" s="42"/>
      <c r="QFO65" s="33"/>
      <c r="QFP65" s="33"/>
      <c r="QFT65" s="41"/>
      <c r="QFZ65" s="42"/>
      <c r="QGG65" s="33"/>
      <c r="QGH65" s="33"/>
      <c r="QGL65" s="41"/>
      <c r="QGR65" s="42"/>
      <c r="QGY65" s="33"/>
      <c r="QGZ65" s="33"/>
      <c r="QHD65" s="41"/>
      <c r="QHJ65" s="42"/>
      <c r="QHQ65" s="33"/>
      <c r="QHR65" s="33"/>
      <c r="QHV65" s="41"/>
      <c r="QIB65" s="42"/>
      <c r="QII65" s="33"/>
      <c r="QIJ65" s="33"/>
      <c r="QIN65" s="41"/>
      <c r="QIT65" s="42"/>
      <c r="QJA65" s="33"/>
      <c r="QJB65" s="33"/>
      <c r="QJF65" s="41"/>
      <c r="QJL65" s="42"/>
      <c r="QJS65" s="33"/>
      <c r="QJT65" s="33"/>
      <c r="QJX65" s="41"/>
      <c r="QKD65" s="42"/>
      <c r="QKK65" s="33"/>
      <c r="QKL65" s="33"/>
      <c r="QKP65" s="41"/>
      <c r="QKV65" s="42"/>
      <c r="QLC65" s="33"/>
      <c r="QLD65" s="33"/>
      <c r="QLH65" s="41"/>
      <c r="QLN65" s="42"/>
      <c r="QLU65" s="33"/>
      <c r="QLV65" s="33"/>
      <c r="QLZ65" s="41"/>
      <c r="QMF65" s="42"/>
      <c r="QMM65" s="33"/>
      <c r="QMN65" s="33"/>
      <c r="QMR65" s="41"/>
      <c r="QMX65" s="42"/>
      <c r="QNE65" s="33"/>
      <c r="QNF65" s="33"/>
      <c r="QNJ65" s="41"/>
      <c r="QNP65" s="42"/>
      <c r="QNW65" s="33"/>
      <c r="QNX65" s="33"/>
      <c r="QOB65" s="41"/>
      <c r="QOH65" s="42"/>
      <c r="QOO65" s="33"/>
      <c r="QOP65" s="33"/>
      <c r="QOT65" s="41"/>
      <c r="QOZ65" s="42"/>
      <c r="QPG65" s="33"/>
      <c r="QPH65" s="33"/>
      <c r="QPL65" s="41"/>
      <c r="QPR65" s="42"/>
      <c r="QPY65" s="33"/>
      <c r="QPZ65" s="33"/>
      <c r="QQD65" s="41"/>
      <c r="QQJ65" s="42"/>
      <c r="QQQ65" s="33"/>
      <c r="QQR65" s="33"/>
      <c r="QQV65" s="41"/>
      <c r="QRB65" s="42"/>
      <c r="QRI65" s="33"/>
      <c r="QRJ65" s="33"/>
      <c r="QRN65" s="41"/>
      <c r="QRT65" s="42"/>
      <c r="QSA65" s="33"/>
      <c r="QSB65" s="33"/>
      <c r="QSF65" s="41"/>
      <c r="QSL65" s="42"/>
      <c r="QSS65" s="33"/>
      <c r="QST65" s="33"/>
      <c r="QSX65" s="41"/>
      <c r="QTD65" s="42"/>
      <c r="QTK65" s="33"/>
      <c r="QTL65" s="33"/>
      <c r="QTP65" s="41"/>
      <c r="QTV65" s="42"/>
      <c r="QUC65" s="33"/>
      <c r="QUD65" s="33"/>
      <c r="QUH65" s="41"/>
      <c r="QUN65" s="42"/>
      <c r="QUU65" s="33"/>
      <c r="QUV65" s="33"/>
      <c r="QUZ65" s="41"/>
      <c r="QVF65" s="42"/>
      <c r="QVM65" s="33"/>
      <c r="QVN65" s="33"/>
      <c r="QVR65" s="41"/>
      <c r="QVX65" s="42"/>
      <c r="QWE65" s="33"/>
      <c r="QWF65" s="33"/>
      <c r="QWJ65" s="41"/>
      <c r="QWP65" s="42"/>
      <c r="QWW65" s="33"/>
      <c r="QWX65" s="33"/>
      <c r="QXB65" s="41"/>
      <c r="QXH65" s="42"/>
      <c r="QXO65" s="33"/>
      <c r="QXP65" s="33"/>
      <c r="QXT65" s="41"/>
      <c r="QXZ65" s="42"/>
      <c r="QYG65" s="33"/>
      <c r="QYH65" s="33"/>
      <c r="QYL65" s="41"/>
      <c r="QYR65" s="42"/>
      <c r="QYY65" s="33"/>
      <c r="QYZ65" s="33"/>
      <c r="QZD65" s="41"/>
      <c r="QZJ65" s="42"/>
      <c r="QZQ65" s="33"/>
      <c r="QZR65" s="33"/>
      <c r="QZV65" s="41"/>
      <c r="RAB65" s="42"/>
      <c r="RAI65" s="33"/>
      <c r="RAJ65" s="33"/>
      <c r="RAN65" s="41"/>
      <c r="RAT65" s="42"/>
      <c r="RBA65" s="33"/>
      <c r="RBB65" s="33"/>
      <c r="RBF65" s="41"/>
      <c r="RBL65" s="42"/>
      <c r="RBS65" s="33"/>
      <c r="RBT65" s="33"/>
      <c r="RBX65" s="41"/>
      <c r="RCD65" s="42"/>
      <c r="RCK65" s="33"/>
      <c r="RCL65" s="33"/>
      <c r="RCP65" s="41"/>
      <c r="RCV65" s="42"/>
      <c r="RDC65" s="33"/>
      <c r="RDD65" s="33"/>
      <c r="RDH65" s="41"/>
      <c r="RDN65" s="42"/>
      <c r="RDU65" s="33"/>
      <c r="RDV65" s="33"/>
      <c r="RDZ65" s="41"/>
      <c r="REF65" s="42"/>
      <c r="REM65" s="33"/>
      <c r="REN65" s="33"/>
      <c r="RER65" s="41"/>
      <c r="REX65" s="42"/>
      <c r="RFE65" s="33"/>
      <c r="RFF65" s="33"/>
      <c r="RFJ65" s="41"/>
      <c r="RFP65" s="42"/>
      <c r="RFW65" s="33"/>
      <c r="RFX65" s="33"/>
      <c r="RGB65" s="41"/>
      <c r="RGH65" s="42"/>
      <c r="RGO65" s="33"/>
      <c r="RGP65" s="33"/>
      <c r="RGT65" s="41"/>
      <c r="RGZ65" s="42"/>
      <c r="RHG65" s="33"/>
      <c r="RHH65" s="33"/>
      <c r="RHL65" s="41"/>
      <c r="RHR65" s="42"/>
      <c r="RHY65" s="33"/>
      <c r="RHZ65" s="33"/>
      <c r="RID65" s="41"/>
      <c r="RIJ65" s="42"/>
      <c r="RIQ65" s="33"/>
      <c r="RIR65" s="33"/>
      <c r="RIV65" s="41"/>
      <c r="RJB65" s="42"/>
      <c r="RJI65" s="33"/>
      <c r="RJJ65" s="33"/>
      <c r="RJN65" s="41"/>
      <c r="RJT65" s="42"/>
      <c r="RKA65" s="33"/>
      <c r="RKB65" s="33"/>
      <c r="RKF65" s="41"/>
      <c r="RKL65" s="42"/>
      <c r="RKS65" s="33"/>
      <c r="RKT65" s="33"/>
      <c r="RKX65" s="41"/>
      <c r="RLD65" s="42"/>
      <c r="RLK65" s="33"/>
      <c r="RLL65" s="33"/>
      <c r="RLP65" s="41"/>
      <c r="RLV65" s="42"/>
      <c r="RMC65" s="33"/>
      <c r="RMD65" s="33"/>
      <c r="RMH65" s="41"/>
      <c r="RMN65" s="42"/>
      <c r="RMU65" s="33"/>
      <c r="RMV65" s="33"/>
      <c r="RMZ65" s="41"/>
      <c r="RNF65" s="42"/>
      <c r="RNM65" s="33"/>
      <c r="RNN65" s="33"/>
      <c r="RNR65" s="41"/>
      <c r="RNX65" s="42"/>
      <c r="ROE65" s="33"/>
      <c r="ROF65" s="33"/>
      <c r="ROJ65" s="41"/>
      <c r="ROP65" s="42"/>
      <c r="ROW65" s="33"/>
      <c r="ROX65" s="33"/>
      <c r="RPB65" s="41"/>
      <c r="RPH65" s="42"/>
      <c r="RPO65" s="33"/>
      <c r="RPP65" s="33"/>
      <c r="RPT65" s="41"/>
      <c r="RPZ65" s="42"/>
      <c r="RQG65" s="33"/>
      <c r="RQH65" s="33"/>
      <c r="RQL65" s="41"/>
      <c r="RQR65" s="42"/>
      <c r="RQY65" s="33"/>
      <c r="RQZ65" s="33"/>
      <c r="RRD65" s="41"/>
      <c r="RRJ65" s="42"/>
      <c r="RRQ65" s="33"/>
      <c r="RRR65" s="33"/>
      <c r="RRV65" s="41"/>
      <c r="RSB65" s="42"/>
      <c r="RSI65" s="33"/>
      <c r="RSJ65" s="33"/>
      <c r="RSN65" s="41"/>
      <c r="RST65" s="42"/>
      <c r="RTA65" s="33"/>
      <c r="RTB65" s="33"/>
      <c r="RTF65" s="41"/>
      <c r="RTL65" s="42"/>
      <c r="RTS65" s="33"/>
      <c r="RTT65" s="33"/>
      <c r="RTX65" s="41"/>
      <c r="RUD65" s="42"/>
      <c r="RUK65" s="33"/>
      <c r="RUL65" s="33"/>
      <c r="RUP65" s="41"/>
      <c r="RUV65" s="42"/>
      <c r="RVC65" s="33"/>
      <c r="RVD65" s="33"/>
      <c r="RVH65" s="41"/>
      <c r="RVN65" s="42"/>
      <c r="RVU65" s="33"/>
      <c r="RVV65" s="33"/>
      <c r="RVZ65" s="41"/>
      <c r="RWF65" s="42"/>
      <c r="RWM65" s="33"/>
      <c r="RWN65" s="33"/>
      <c r="RWR65" s="41"/>
      <c r="RWX65" s="42"/>
      <c r="RXE65" s="33"/>
      <c r="RXF65" s="33"/>
      <c r="RXJ65" s="41"/>
      <c r="RXP65" s="42"/>
      <c r="RXW65" s="33"/>
      <c r="RXX65" s="33"/>
      <c r="RYB65" s="41"/>
      <c r="RYH65" s="42"/>
      <c r="RYO65" s="33"/>
      <c r="RYP65" s="33"/>
      <c r="RYT65" s="41"/>
      <c r="RYZ65" s="42"/>
      <c r="RZG65" s="33"/>
      <c r="RZH65" s="33"/>
      <c r="RZL65" s="41"/>
      <c r="RZR65" s="42"/>
      <c r="RZY65" s="33"/>
      <c r="RZZ65" s="33"/>
      <c r="SAD65" s="41"/>
      <c r="SAJ65" s="42"/>
      <c r="SAQ65" s="33"/>
      <c r="SAR65" s="33"/>
      <c r="SAV65" s="41"/>
      <c r="SBB65" s="42"/>
      <c r="SBI65" s="33"/>
      <c r="SBJ65" s="33"/>
      <c r="SBN65" s="41"/>
      <c r="SBT65" s="42"/>
      <c r="SCA65" s="33"/>
      <c r="SCB65" s="33"/>
      <c r="SCF65" s="41"/>
      <c r="SCL65" s="42"/>
      <c r="SCS65" s="33"/>
      <c r="SCT65" s="33"/>
      <c r="SCX65" s="41"/>
      <c r="SDD65" s="42"/>
      <c r="SDK65" s="33"/>
      <c r="SDL65" s="33"/>
      <c r="SDP65" s="41"/>
      <c r="SDV65" s="42"/>
      <c r="SEC65" s="33"/>
      <c r="SED65" s="33"/>
      <c r="SEH65" s="41"/>
      <c r="SEN65" s="42"/>
      <c r="SEU65" s="33"/>
      <c r="SEV65" s="33"/>
      <c r="SEZ65" s="41"/>
      <c r="SFF65" s="42"/>
      <c r="SFM65" s="33"/>
      <c r="SFN65" s="33"/>
      <c r="SFR65" s="41"/>
      <c r="SFX65" s="42"/>
      <c r="SGE65" s="33"/>
      <c r="SGF65" s="33"/>
      <c r="SGJ65" s="41"/>
      <c r="SGP65" s="42"/>
      <c r="SGW65" s="33"/>
      <c r="SGX65" s="33"/>
      <c r="SHB65" s="41"/>
      <c r="SHH65" s="42"/>
      <c r="SHO65" s="33"/>
      <c r="SHP65" s="33"/>
      <c r="SHT65" s="41"/>
      <c r="SHZ65" s="42"/>
      <c r="SIG65" s="33"/>
      <c r="SIH65" s="33"/>
      <c r="SIL65" s="41"/>
      <c r="SIR65" s="42"/>
      <c r="SIY65" s="33"/>
      <c r="SIZ65" s="33"/>
      <c r="SJD65" s="41"/>
      <c r="SJJ65" s="42"/>
      <c r="SJQ65" s="33"/>
      <c r="SJR65" s="33"/>
      <c r="SJV65" s="41"/>
      <c r="SKB65" s="42"/>
      <c r="SKI65" s="33"/>
      <c r="SKJ65" s="33"/>
      <c r="SKN65" s="41"/>
      <c r="SKT65" s="42"/>
      <c r="SLA65" s="33"/>
      <c r="SLB65" s="33"/>
      <c r="SLF65" s="41"/>
      <c r="SLL65" s="42"/>
      <c r="SLS65" s="33"/>
      <c r="SLT65" s="33"/>
      <c r="SLX65" s="41"/>
      <c r="SMD65" s="42"/>
      <c r="SMK65" s="33"/>
      <c r="SML65" s="33"/>
      <c r="SMP65" s="41"/>
      <c r="SMV65" s="42"/>
      <c r="SNC65" s="33"/>
      <c r="SND65" s="33"/>
      <c r="SNH65" s="41"/>
      <c r="SNN65" s="42"/>
      <c r="SNU65" s="33"/>
      <c r="SNV65" s="33"/>
      <c r="SNZ65" s="41"/>
      <c r="SOF65" s="42"/>
      <c r="SOM65" s="33"/>
      <c r="SON65" s="33"/>
      <c r="SOR65" s="41"/>
      <c r="SOX65" s="42"/>
      <c r="SPE65" s="33"/>
      <c r="SPF65" s="33"/>
      <c r="SPJ65" s="41"/>
      <c r="SPP65" s="42"/>
      <c r="SPW65" s="33"/>
      <c r="SPX65" s="33"/>
      <c r="SQB65" s="41"/>
      <c r="SQH65" s="42"/>
      <c r="SQO65" s="33"/>
      <c r="SQP65" s="33"/>
      <c r="SQT65" s="41"/>
      <c r="SQZ65" s="42"/>
      <c r="SRG65" s="33"/>
      <c r="SRH65" s="33"/>
      <c r="SRL65" s="41"/>
      <c r="SRR65" s="42"/>
      <c r="SRY65" s="33"/>
      <c r="SRZ65" s="33"/>
      <c r="SSD65" s="41"/>
      <c r="SSJ65" s="42"/>
      <c r="SSQ65" s="33"/>
      <c r="SSR65" s="33"/>
      <c r="SSV65" s="41"/>
      <c r="STB65" s="42"/>
      <c r="STI65" s="33"/>
      <c r="STJ65" s="33"/>
      <c r="STN65" s="41"/>
      <c r="STT65" s="42"/>
      <c r="SUA65" s="33"/>
      <c r="SUB65" s="33"/>
      <c r="SUF65" s="41"/>
      <c r="SUL65" s="42"/>
      <c r="SUS65" s="33"/>
      <c r="SUT65" s="33"/>
      <c r="SUX65" s="41"/>
      <c r="SVD65" s="42"/>
      <c r="SVK65" s="33"/>
      <c r="SVL65" s="33"/>
      <c r="SVP65" s="41"/>
      <c r="SVV65" s="42"/>
      <c r="SWC65" s="33"/>
      <c r="SWD65" s="33"/>
      <c r="SWH65" s="41"/>
      <c r="SWN65" s="42"/>
      <c r="SWU65" s="33"/>
      <c r="SWV65" s="33"/>
      <c r="SWZ65" s="41"/>
      <c r="SXF65" s="42"/>
      <c r="SXM65" s="33"/>
      <c r="SXN65" s="33"/>
      <c r="SXR65" s="41"/>
      <c r="SXX65" s="42"/>
      <c r="SYE65" s="33"/>
      <c r="SYF65" s="33"/>
      <c r="SYJ65" s="41"/>
      <c r="SYP65" s="42"/>
      <c r="SYW65" s="33"/>
      <c r="SYX65" s="33"/>
      <c r="SZB65" s="41"/>
      <c r="SZH65" s="42"/>
      <c r="SZO65" s="33"/>
      <c r="SZP65" s="33"/>
      <c r="SZT65" s="41"/>
      <c r="SZZ65" s="42"/>
      <c r="TAG65" s="33"/>
      <c r="TAH65" s="33"/>
      <c r="TAL65" s="41"/>
      <c r="TAR65" s="42"/>
      <c r="TAY65" s="33"/>
      <c r="TAZ65" s="33"/>
      <c r="TBD65" s="41"/>
      <c r="TBJ65" s="42"/>
      <c r="TBQ65" s="33"/>
      <c r="TBR65" s="33"/>
      <c r="TBV65" s="41"/>
      <c r="TCB65" s="42"/>
      <c r="TCI65" s="33"/>
      <c r="TCJ65" s="33"/>
      <c r="TCN65" s="41"/>
      <c r="TCT65" s="42"/>
      <c r="TDA65" s="33"/>
      <c r="TDB65" s="33"/>
      <c r="TDF65" s="41"/>
      <c r="TDL65" s="42"/>
      <c r="TDS65" s="33"/>
      <c r="TDT65" s="33"/>
      <c r="TDX65" s="41"/>
      <c r="TED65" s="42"/>
      <c r="TEK65" s="33"/>
      <c r="TEL65" s="33"/>
      <c r="TEP65" s="41"/>
      <c r="TEV65" s="42"/>
      <c r="TFC65" s="33"/>
      <c r="TFD65" s="33"/>
      <c r="TFH65" s="41"/>
      <c r="TFN65" s="42"/>
      <c r="TFU65" s="33"/>
      <c r="TFV65" s="33"/>
      <c r="TFZ65" s="41"/>
      <c r="TGF65" s="42"/>
      <c r="TGM65" s="33"/>
      <c r="TGN65" s="33"/>
      <c r="TGR65" s="41"/>
      <c r="TGX65" s="42"/>
      <c r="THE65" s="33"/>
      <c r="THF65" s="33"/>
      <c r="THJ65" s="41"/>
      <c r="THP65" s="42"/>
      <c r="THW65" s="33"/>
      <c r="THX65" s="33"/>
      <c r="TIB65" s="41"/>
      <c r="TIH65" s="42"/>
      <c r="TIO65" s="33"/>
      <c r="TIP65" s="33"/>
      <c r="TIT65" s="41"/>
      <c r="TIZ65" s="42"/>
      <c r="TJG65" s="33"/>
      <c r="TJH65" s="33"/>
      <c r="TJL65" s="41"/>
      <c r="TJR65" s="42"/>
      <c r="TJY65" s="33"/>
      <c r="TJZ65" s="33"/>
      <c r="TKD65" s="41"/>
      <c r="TKJ65" s="42"/>
      <c r="TKQ65" s="33"/>
      <c r="TKR65" s="33"/>
      <c r="TKV65" s="41"/>
      <c r="TLB65" s="42"/>
      <c r="TLI65" s="33"/>
      <c r="TLJ65" s="33"/>
      <c r="TLN65" s="41"/>
      <c r="TLT65" s="42"/>
      <c r="TMA65" s="33"/>
      <c r="TMB65" s="33"/>
      <c r="TMF65" s="41"/>
      <c r="TML65" s="42"/>
      <c r="TMS65" s="33"/>
      <c r="TMT65" s="33"/>
      <c r="TMX65" s="41"/>
      <c r="TND65" s="42"/>
      <c r="TNK65" s="33"/>
      <c r="TNL65" s="33"/>
      <c r="TNP65" s="41"/>
      <c r="TNV65" s="42"/>
      <c r="TOC65" s="33"/>
      <c r="TOD65" s="33"/>
      <c r="TOH65" s="41"/>
      <c r="TON65" s="42"/>
      <c r="TOU65" s="33"/>
      <c r="TOV65" s="33"/>
      <c r="TOZ65" s="41"/>
      <c r="TPF65" s="42"/>
      <c r="TPM65" s="33"/>
      <c r="TPN65" s="33"/>
      <c r="TPR65" s="41"/>
      <c r="TPX65" s="42"/>
      <c r="TQE65" s="33"/>
      <c r="TQF65" s="33"/>
      <c r="TQJ65" s="41"/>
      <c r="TQP65" s="42"/>
      <c r="TQW65" s="33"/>
      <c r="TQX65" s="33"/>
      <c r="TRB65" s="41"/>
      <c r="TRH65" s="42"/>
      <c r="TRO65" s="33"/>
      <c r="TRP65" s="33"/>
      <c r="TRT65" s="41"/>
      <c r="TRZ65" s="42"/>
      <c r="TSG65" s="33"/>
      <c r="TSH65" s="33"/>
      <c r="TSL65" s="41"/>
      <c r="TSR65" s="42"/>
      <c r="TSY65" s="33"/>
      <c r="TSZ65" s="33"/>
      <c r="TTD65" s="41"/>
      <c r="TTJ65" s="42"/>
      <c r="TTQ65" s="33"/>
      <c r="TTR65" s="33"/>
      <c r="TTV65" s="41"/>
      <c r="TUB65" s="42"/>
      <c r="TUI65" s="33"/>
      <c r="TUJ65" s="33"/>
      <c r="TUN65" s="41"/>
      <c r="TUT65" s="42"/>
      <c r="TVA65" s="33"/>
      <c r="TVB65" s="33"/>
      <c r="TVF65" s="41"/>
      <c r="TVL65" s="42"/>
      <c r="TVS65" s="33"/>
      <c r="TVT65" s="33"/>
      <c r="TVX65" s="41"/>
      <c r="TWD65" s="42"/>
      <c r="TWK65" s="33"/>
      <c r="TWL65" s="33"/>
      <c r="TWP65" s="41"/>
      <c r="TWV65" s="42"/>
      <c r="TXC65" s="33"/>
      <c r="TXD65" s="33"/>
      <c r="TXH65" s="41"/>
      <c r="TXN65" s="42"/>
      <c r="TXU65" s="33"/>
      <c r="TXV65" s="33"/>
      <c r="TXZ65" s="41"/>
      <c r="TYF65" s="42"/>
      <c r="TYM65" s="33"/>
      <c r="TYN65" s="33"/>
      <c r="TYR65" s="41"/>
      <c r="TYX65" s="42"/>
      <c r="TZE65" s="33"/>
      <c r="TZF65" s="33"/>
      <c r="TZJ65" s="41"/>
      <c r="TZP65" s="42"/>
      <c r="TZW65" s="33"/>
      <c r="TZX65" s="33"/>
      <c r="UAB65" s="41"/>
      <c r="UAH65" s="42"/>
      <c r="UAO65" s="33"/>
      <c r="UAP65" s="33"/>
      <c r="UAT65" s="41"/>
      <c r="UAZ65" s="42"/>
      <c r="UBG65" s="33"/>
      <c r="UBH65" s="33"/>
      <c r="UBL65" s="41"/>
      <c r="UBR65" s="42"/>
      <c r="UBY65" s="33"/>
      <c r="UBZ65" s="33"/>
      <c r="UCD65" s="41"/>
      <c r="UCJ65" s="42"/>
      <c r="UCQ65" s="33"/>
      <c r="UCR65" s="33"/>
      <c r="UCV65" s="41"/>
      <c r="UDB65" s="42"/>
      <c r="UDI65" s="33"/>
      <c r="UDJ65" s="33"/>
      <c r="UDN65" s="41"/>
      <c r="UDT65" s="42"/>
      <c r="UEA65" s="33"/>
      <c r="UEB65" s="33"/>
      <c r="UEF65" s="41"/>
      <c r="UEL65" s="42"/>
      <c r="UES65" s="33"/>
      <c r="UET65" s="33"/>
      <c r="UEX65" s="41"/>
      <c r="UFD65" s="42"/>
      <c r="UFK65" s="33"/>
      <c r="UFL65" s="33"/>
      <c r="UFP65" s="41"/>
      <c r="UFV65" s="42"/>
      <c r="UGC65" s="33"/>
      <c r="UGD65" s="33"/>
      <c r="UGH65" s="41"/>
      <c r="UGN65" s="42"/>
      <c r="UGU65" s="33"/>
      <c r="UGV65" s="33"/>
      <c r="UGZ65" s="41"/>
      <c r="UHF65" s="42"/>
      <c r="UHM65" s="33"/>
      <c r="UHN65" s="33"/>
      <c r="UHR65" s="41"/>
      <c r="UHX65" s="42"/>
      <c r="UIE65" s="33"/>
      <c r="UIF65" s="33"/>
      <c r="UIJ65" s="41"/>
      <c r="UIP65" s="42"/>
      <c r="UIW65" s="33"/>
      <c r="UIX65" s="33"/>
      <c r="UJB65" s="41"/>
      <c r="UJH65" s="42"/>
      <c r="UJO65" s="33"/>
      <c r="UJP65" s="33"/>
      <c r="UJT65" s="41"/>
      <c r="UJZ65" s="42"/>
      <c r="UKG65" s="33"/>
      <c r="UKH65" s="33"/>
      <c r="UKL65" s="41"/>
      <c r="UKR65" s="42"/>
      <c r="UKY65" s="33"/>
      <c r="UKZ65" s="33"/>
      <c r="ULD65" s="41"/>
      <c r="ULJ65" s="42"/>
      <c r="ULQ65" s="33"/>
      <c r="ULR65" s="33"/>
      <c r="ULV65" s="41"/>
      <c r="UMB65" s="42"/>
      <c r="UMI65" s="33"/>
      <c r="UMJ65" s="33"/>
      <c r="UMN65" s="41"/>
      <c r="UMT65" s="42"/>
      <c r="UNA65" s="33"/>
      <c r="UNB65" s="33"/>
      <c r="UNF65" s="41"/>
      <c r="UNL65" s="42"/>
      <c r="UNS65" s="33"/>
      <c r="UNT65" s="33"/>
      <c r="UNX65" s="41"/>
      <c r="UOD65" s="42"/>
      <c r="UOK65" s="33"/>
      <c r="UOL65" s="33"/>
      <c r="UOP65" s="41"/>
      <c r="UOV65" s="42"/>
      <c r="UPC65" s="33"/>
      <c r="UPD65" s="33"/>
      <c r="UPH65" s="41"/>
      <c r="UPN65" s="42"/>
      <c r="UPU65" s="33"/>
      <c r="UPV65" s="33"/>
      <c r="UPZ65" s="41"/>
      <c r="UQF65" s="42"/>
      <c r="UQM65" s="33"/>
      <c r="UQN65" s="33"/>
      <c r="UQR65" s="41"/>
      <c r="UQX65" s="42"/>
      <c r="URE65" s="33"/>
      <c r="URF65" s="33"/>
      <c r="URJ65" s="41"/>
      <c r="URP65" s="42"/>
      <c r="URW65" s="33"/>
      <c r="URX65" s="33"/>
      <c r="USB65" s="41"/>
      <c r="USH65" s="42"/>
      <c r="USO65" s="33"/>
      <c r="USP65" s="33"/>
      <c r="UST65" s="41"/>
      <c r="USZ65" s="42"/>
      <c r="UTG65" s="33"/>
      <c r="UTH65" s="33"/>
      <c r="UTL65" s="41"/>
      <c r="UTR65" s="42"/>
      <c r="UTY65" s="33"/>
      <c r="UTZ65" s="33"/>
      <c r="UUD65" s="41"/>
      <c r="UUJ65" s="42"/>
      <c r="UUQ65" s="33"/>
      <c r="UUR65" s="33"/>
      <c r="UUV65" s="41"/>
      <c r="UVB65" s="42"/>
      <c r="UVI65" s="33"/>
      <c r="UVJ65" s="33"/>
      <c r="UVN65" s="41"/>
      <c r="UVT65" s="42"/>
      <c r="UWA65" s="33"/>
      <c r="UWB65" s="33"/>
      <c r="UWF65" s="41"/>
      <c r="UWL65" s="42"/>
      <c r="UWS65" s="33"/>
      <c r="UWT65" s="33"/>
      <c r="UWX65" s="41"/>
      <c r="UXD65" s="42"/>
      <c r="UXK65" s="33"/>
      <c r="UXL65" s="33"/>
      <c r="UXP65" s="41"/>
      <c r="UXV65" s="42"/>
      <c r="UYC65" s="33"/>
      <c r="UYD65" s="33"/>
      <c r="UYH65" s="41"/>
      <c r="UYN65" s="42"/>
      <c r="UYU65" s="33"/>
      <c r="UYV65" s="33"/>
      <c r="UYZ65" s="41"/>
      <c r="UZF65" s="42"/>
      <c r="UZM65" s="33"/>
      <c r="UZN65" s="33"/>
      <c r="UZR65" s="41"/>
      <c r="UZX65" s="42"/>
      <c r="VAE65" s="33"/>
      <c r="VAF65" s="33"/>
      <c r="VAJ65" s="41"/>
      <c r="VAP65" s="42"/>
      <c r="VAW65" s="33"/>
      <c r="VAX65" s="33"/>
      <c r="VBB65" s="41"/>
      <c r="VBH65" s="42"/>
      <c r="VBO65" s="33"/>
      <c r="VBP65" s="33"/>
      <c r="VBT65" s="41"/>
      <c r="VBZ65" s="42"/>
      <c r="VCG65" s="33"/>
      <c r="VCH65" s="33"/>
      <c r="VCL65" s="41"/>
      <c r="VCR65" s="42"/>
      <c r="VCY65" s="33"/>
      <c r="VCZ65" s="33"/>
      <c r="VDD65" s="41"/>
      <c r="VDJ65" s="42"/>
      <c r="VDQ65" s="33"/>
      <c r="VDR65" s="33"/>
      <c r="VDV65" s="41"/>
      <c r="VEB65" s="42"/>
      <c r="VEI65" s="33"/>
      <c r="VEJ65" s="33"/>
      <c r="VEN65" s="41"/>
      <c r="VET65" s="42"/>
      <c r="VFA65" s="33"/>
      <c r="VFB65" s="33"/>
      <c r="VFF65" s="41"/>
      <c r="VFL65" s="42"/>
      <c r="VFS65" s="33"/>
      <c r="VFT65" s="33"/>
      <c r="VFX65" s="41"/>
      <c r="VGD65" s="42"/>
      <c r="VGK65" s="33"/>
      <c r="VGL65" s="33"/>
      <c r="VGP65" s="41"/>
      <c r="VGV65" s="42"/>
      <c r="VHC65" s="33"/>
      <c r="VHD65" s="33"/>
      <c r="VHH65" s="41"/>
      <c r="VHN65" s="42"/>
      <c r="VHU65" s="33"/>
      <c r="VHV65" s="33"/>
      <c r="VHZ65" s="41"/>
      <c r="VIF65" s="42"/>
      <c r="VIM65" s="33"/>
      <c r="VIN65" s="33"/>
      <c r="VIR65" s="41"/>
      <c r="VIX65" s="42"/>
      <c r="VJE65" s="33"/>
      <c r="VJF65" s="33"/>
      <c r="VJJ65" s="41"/>
      <c r="VJP65" s="42"/>
      <c r="VJW65" s="33"/>
      <c r="VJX65" s="33"/>
      <c r="VKB65" s="41"/>
      <c r="VKH65" s="42"/>
      <c r="VKO65" s="33"/>
      <c r="VKP65" s="33"/>
      <c r="VKT65" s="41"/>
      <c r="VKZ65" s="42"/>
      <c r="VLG65" s="33"/>
      <c r="VLH65" s="33"/>
      <c r="VLL65" s="41"/>
      <c r="VLR65" s="42"/>
      <c r="VLY65" s="33"/>
      <c r="VLZ65" s="33"/>
      <c r="VMD65" s="41"/>
      <c r="VMJ65" s="42"/>
      <c r="VMQ65" s="33"/>
      <c r="VMR65" s="33"/>
      <c r="VMV65" s="41"/>
      <c r="VNB65" s="42"/>
      <c r="VNI65" s="33"/>
      <c r="VNJ65" s="33"/>
      <c r="VNN65" s="41"/>
      <c r="VNT65" s="42"/>
      <c r="VOA65" s="33"/>
      <c r="VOB65" s="33"/>
      <c r="VOF65" s="41"/>
      <c r="VOL65" s="42"/>
      <c r="VOS65" s="33"/>
      <c r="VOT65" s="33"/>
      <c r="VOX65" s="41"/>
      <c r="VPD65" s="42"/>
      <c r="VPK65" s="33"/>
      <c r="VPL65" s="33"/>
      <c r="VPP65" s="41"/>
      <c r="VPV65" s="42"/>
      <c r="VQC65" s="33"/>
      <c r="VQD65" s="33"/>
      <c r="VQH65" s="41"/>
      <c r="VQN65" s="42"/>
      <c r="VQU65" s="33"/>
      <c r="VQV65" s="33"/>
      <c r="VQZ65" s="41"/>
      <c r="VRF65" s="42"/>
      <c r="VRM65" s="33"/>
      <c r="VRN65" s="33"/>
      <c r="VRR65" s="41"/>
      <c r="VRX65" s="42"/>
      <c r="VSE65" s="33"/>
      <c r="VSF65" s="33"/>
      <c r="VSJ65" s="41"/>
      <c r="VSP65" s="42"/>
      <c r="VSW65" s="33"/>
      <c r="VSX65" s="33"/>
      <c r="VTB65" s="41"/>
      <c r="VTH65" s="42"/>
      <c r="VTO65" s="33"/>
      <c r="VTP65" s="33"/>
      <c r="VTT65" s="41"/>
      <c r="VTZ65" s="42"/>
      <c r="VUG65" s="33"/>
      <c r="VUH65" s="33"/>
      <c r="VUL65" s="41"/>
      <c r="VUR65" s="42"/>
      <c r="VUY65" s="33"/>
      <c r="VUZ65" s="33"/>
      <c r="VVD65" s="41"/>
      <c r="VVJ65" s="42"/>
      <c r="VVQ65" s="33"/>
      <c r="VVR65" s="33"/>
      <c r="VVV65" s="41"/>
      <c r="VWB65" s="42"/>
      <c r="VWI65" s="33"/>
      <c r="VWJ65" s="33"/>
      <c r="VWN65" s="41"/>
      <c r="VWT65" s="42"/>
      <c r="VXA65" s="33"/>
      <c r="VXB65" s="33"/>
      <c r="VXF65" s="41"/>
      <c r="VXL65" s="42"/>
      <c r="VXS65" s="33"/>
      <c r="VXT65" s="33"/>
      <c r="VXX65" s="41"/>
      <c r="VYD65" s="42"/>
      <c r="VYK65" s="33"/>
      <c r="VYL65" s="33"/>
      <c r="VYP65" s="41"/>
      <c r="VYV65" s="42"/>
      <c r="VZC65" s="33"/>
      <c r="VZD65" s="33"/>
      <c r="VZH65" s="41"/>
      <c r="VZN65" s="42"/>
      <c r="VZU65" s="33"/>
      <c r="VZV65" s="33"/>
      <c r="VZZ65" s="41"/>
      <c r="WAF65" s="42"/>
      <c r="WAM65" s="33"/>
      <c r="WAN65" s="33"/>
      <c r="WAR65" s="41"/>
      <c r="WAX65" s="42"/>
      <c r="WBE65" s="33"/>
      <c r="WBF65" s="33"/>
      <c r="WBJ65" s="41"/>
      <c r="WBP65" s="42"/>
      <c r="WBW65" s="33"/>
      <c r="WBX65" s="33"/>
      <c r="WCB65" s="41"/>
      <c r="WCH65" s="42"/>
      <c r="WCO65" s="33"/>
      <c r="WCP65" s="33"/>
      <c r="WCT65" s="41"/>
      <c r="WCZ65" s="42"/>
      <c r="WDG65" s="33"/>
      <c r="WDH65" s="33"/>
      <c r="WDL65" s="41"/>
      <c r="WDR65" s="42"/>
      <c r="WDY65" s="33"/>
      <c r="WDZ65" s="33"/>
      <c r="WED65" s="41"/>
      <c r="WEJ65" s="42"/>
      <c r="WEQ65" s="33"/>
      <c r="WER65" s="33"/>
      <c r="WEV65" s="41"/>
      <c r="WFB65" s="42"/>
      <c r="WFI65" s="33"/>
      <c r="WFJ65" s="33"/>
      <c r="WFN65" s="41"/>
      <c r="WFT65" s="42"/>
      <c r="WGA65" s="33"/>
      <c r="WGB65" s="33"/>
      <c r="WGF65" s="41"/>
      <c r="WGL65" s="42"/>
      <c r="WGS65" s="33"/>
      <c r="WGT65" s="33"/>
      <c r="WGX65" s="41"/>
      <c r="WHD65" s="42"/>
      <c r="WHK65" s="33"/>
      <c r="WHL65" s="33"/>
      <c r="WHP65" s="41"/>
      <c r="WHV65" s="42"/>
      <c r="WIC65" s="33"/>
      <c r="WID65" s="33"/>
      <c r="WIH65" s="41"/>
      <c r="WIN65" s="42"/>
      <c r="WIU65" s="33"/>
      <c r="WIV65" s="33"/>
      <c r="WIZ65" s="41"/>
      <c r="WJF65" s="42"/>
      <c r="WJM65" s="33"/>
      <c r="WJN65" s="33"/>
      <c r="WJR65" s="41"/>
      <c r="WJX65" s="42"/>
      <c r="WKE65" s="33"/>
      <c r="WKF65" s="33"/>
      <c r="WKJ65" s="41"/>
      <c r="WKP65" s="42"/>
      <c r="WKW65" s="33"/>
      <c r="WKX65" s="33"/>
      <c r="WLB65" s="41"/>
      <c r="WLH65" s="42"/>
      <c r="WLO65" s="33"/>
      <c r="WLP65" s="33"/>
      <c r="WLT65" s="41"/>
      <c r="WLZ65" s="42"/>
      <c r="WMG65" s="33"/>
      <c r="WMH65" s="33"/>
      <c r="WML65" s="41"/>
      <c r="WMR65" s="42"/>
      <c r="WMY65" s="33"/>
      <c r="WMZ65" s="33"/>
      <c r="WND65" s="41"/>
      <c r="WNJ65" s="42"/>
      <c r="WNQ65" s="33"/>
      <c r="WNR65" s="33"/>
      <c r="WNV65" s="41"/>
      <c r="WOB65" s="42"/>
      <c r="WOI65" s="33"/>
      <c r="WOJ65" s="33"/>
      <c r="WON65" s="41"/>
      <c r="WOT65" s="42"/>
      <c r="WPA65" s="33"/>
      <c r="WPB65" s="33"/>
      <c r="WPF65" s="41"/>
      <c r="WPL65" s="42"/>
      <c r="WPS65" s="33"/>
      <c r="WPT65" s="33"/>
      <c r="WPX65" s="41"/>
      <c r="WQD65" s="42"/>
      <c r="WQK65" s="33"/>
      <c r="WQL65" s="33"/>
      <c r="WQP65" s="41"/>
      <c r="WQV65" s="42"/>
      <c r="WRC65" s="33"/>
      <c r="WRD65" s="33"/>
      <c r="WRH65" s="41"/>
      <c r="WRN65" s="42"/>
      <c r="WRU65" s="33"/>
      <c r="WRV65" s="33"/>
      <c r="WRZ65" s="41"/>
      <c r="WSF65" s="42"/>
      <c r="WSM65" s="33"/>
      <c r="WSN65" s="33"/>
      <c r="WSR65" s="41"/>
      <c r="WSX65" s="42"/>
      <c r="WTE65" s="33"/>
      <c r="WTF65" s="33"/>
      <c r="WTJ65" s="41"/>
      <c r="WTP65" s="42"/>
      <c r="WTW65" s="33"/>
      <c r="WTX65" s="33"/>
      <c r="WUB65" s="41"/>
      <c r="WUH65" s="42"/>
      <c r="WUO65" s="33"/>
      <c r="WUP65" s="33"/>
      <c r="WUT65" s="41"/>
      <c r="WUZ65" s="42"/>
      <c r="WVG65" s="33"/>
      <c r="WVH65" s="33"/>
      <c r="WVL65" s="41"/>
      <c r="WVR65" s="42"/>
      <c r="WVY65" s="33"/>
      <c r="WVZ65" s="33"/>
      <c r="WWD65" s="41"/>
      <c r="WWJ65" s="42"/>
      <c r="WWQ65" s="33"/>
      <c r="WWR65" s="33"/>
      <c r="WWV65" s="41"/>
      <c r="WXB65" s="42"/>
      <c r="WXI65" s="33"/>
      <c r="WXJ65" s="33"/>
      <c r="WXN65" s="41"/>
      <c r="WXT65" s="42"/>
      <c r="WYA65" s="33"/>
      <c r="WYB65" s="33"/>
      <c r="WYF65" s="41"/>
      <c r="WYL65" s="42"/>
      <c r="WYS65" s="33"/>
      <c r="WYT65" s="33"/>
      <c r="WYX65" s="41"/>
      <c r="WZD65" s="42"/>
      <c r="WZK65" s="33"/>
      <c r="WZL65" s="33"/>
      <c r="WZP65" s="41"/>
      <c r="WZV65" s="42"/>
      <c r="XAC65" s="33"/>
      <c r="XAD65" s="33"/>
      <c r="XAH65" s="41"/>
      <c r="XAN65" s="42"/>
      <c r="XAU65" s="33"/>
      <c r="XAV65" s="33"/>
      <c r="XAZ65" s="41"/>
      <c r="XBF65" s="42"/>
      <c r="XBM65" s="33"/>
      <c r="XBN65" s="33"/>
      <c r="XBR65" s="41"/>
      <c r="XBX65" s="42"/>
      <c r="XCE65" s="33"/>
      <c r="XCF65" s="33"/>
      <c r="XCJ65" s="41"/>
      <c r="XCP65" s="42"/>
      <c r="XCW65" s="33"/>
      <c r="XCX65" s="33"/>
      <c r="XDB65" s="41"/>
      <c r="XDH65" s="42"/>
      <c r="XDO65" s="33"/>
      <c r="XDP65" s="33"/>
      <c r="XDT65" s="41"/>
      <c r="XDZ65" s="42"/>
      <c r="XEG65" s="33"/>
      <c r="XEH65" s="33"/>
      <c r="XEL65" s="41"/>
      <c r="XER65" s="42"/>
      <c r="XEY65" s="33"/>
      <c r="XEZ65" s="33"/>
      <c r="XFD65" s="41"/>
    </row>
    <row r="66" spans="1:1018 1025:2044 2051:3070 3077:4096 4103:5116 5122:6142 6148:7168 7174:8190 8194:9216 9220:10234 10241:11260 11267:12286 12293:13312 13319:14332 14338:15358 15364:16384" s="40" customFormat="1">
      <c r="A66" s="33" t="s">
        <v>193</v>
      </c>
      <c r="B66" s="34">
        <v>2006</v>
      </c>
      <c r="C66" s="35" t="s">
        <v>191</v>
      </c>
      <c r="D66" s="36" t="s">
        <v>86</v>
      </c>
      <c r="E66" s="35"/>
      <c r="F66" s="35" t="s">
        <v>41</v>
      </c>
      <c r="G66" s="51">
        <v>1944187567.1747403</v>
      </c>
      <c r="H66" s="51">
        <v>2007587567.1747401</v>
      </c>
      <c r="I66" s="34"/>
      <c r="J66" s="39"/>
      <c r="K66" s="36"/>
      <c r="L66" s="36"/>
      <c r="M66" s="36"/>
      <c r="N66" s="34"/>
      <c r="O66" s="36"/>
      <c r="P66" s="34"/>
      <c r="Q66" s="36"/>
      <c r="R66" s="36"/>
      <c r="V66" s="41"/>
      <c r="AB66" s="42"/>
      <c r="AI66" s="33"/>
      <c r="AJ66" s="33"/>
      <c r="AN66" s="41"/>
      <c r="AT66" s="42"/>
      <c r="BA66" s="33"/>
      <c r="BB66" s="33"/>
      <c r="BF66" s="41"/>
      <c r="BL66" s="42"/>
      <c r="BS66" s="33"/>
      <c r="BT66" s="33"/>
      <c r="BX66" s="41"/>
      <c r="CD66" s="42"/>
      <c r="CK66" s="33"/>
      <c r="CL66" s="33"/>
      <c r="CP66" s="41"/>
      <c r="CV66" s="42"/>
      <c r="DC66" s="33"/>
      <c r="DD66" s="33"/>
      <c r="DH66" s="41"/>
      <c r="DN66" s="42"/>
      <c r="DU66" s="33"/>
      <c r="DV66" s="33"/>
      <c r="DZ66" s="41"/>
      <c r="EF66" s="42"/>
      <c r="EM66" s="33"/>
      <c r="EN66" s="33"/>
      <c r="ER66" s="41"/>
      <c r="EX66" s="42"/>
      <c r="FE66" s="33"/>
      <c r="FF66" s="33"/>
      <c r="FJ66" s="41"/>
      <c r="FP66" s="42"/>
      <c r="FW66" s="33"/>
      <c r="FX66" s="33"/>
      <c r="GB66" s="41"/>
      <c r="GH66" s="42"/>
      <c r="GO66" s="33"/>
      <c r="GP66" s="33"/>
      <c r="GT66" s="41"/>
      <c r="GZ66" s="42"/>
      <c r="HG66" s="33"/>
      <c r="HH66" s="33"/>
      <c r="HL66" s="41"/>
      <c r="HR66" s="42"/>
      <c r="HY66" s="33"/>
      <c r="HZ66" s="33"/>
      <c r="ID66" s="41"/>
      <c r="IJ66" s="42"/>
      <c r="IQ66" s="33"/>
      <c r="IR66" s="33"/>
      <c r="IV66" s="41"/>
      <c r="JB66" s="42"/>
      <c r="JI66" s="33"/>
      <c r="JJ66" s="33"/>
      <c r="JN66" s="41"/>
      <c r="JT66" s="42"/>
      <c r="KA66" s="33"/>
      <c r="KB66" s="33"/>
      <c r="KF66" s="41"/>
      <c r="KL66" s="42"/>
      <c r="KS66" s="33"/>
      <c r="KT66" s="33"/>
      <c r="KX66" s="41"/>
      <c r="LD66" s="42"/>
      <c r="LK66" s="33"/>
      <c r="LL66" s="33"/>
      <c r="LP66" s="41"/>
      <c r="LV66" s="42"/>
      <c r="MC66" s="33"/>
      <c r="MD66" s="33"/>
      <c r="MH66" s="41"/>
      <c r="MN66" s="42"/>
      <c r="MU66" s="33"/>
      <c r="MV66" s="33"/>
      <c r="MZ66" s="41"/>
      <c r="NF66" s="42"/>
      <c r="NM66" s="33"/>
      <c r="NN66" s="33"/>
      <c r="NR66" s="41"/>
      <c r="NX66" s="42"/>
      <c r="OE66" s="33"/>
      <c r="OF66" s="33"/>
      <c r="OJ66" s="41"/>
      <c r="OP66" s="42"/>
      <c r="OW66" s="33"/>
      <c r="OX66" s="33"/>
      <c r="PB66" s="41"/>
      <c r="PH66" s="42"/>
      <c r="PO66" s="33"/>
      <c r="PP66" s="33"/>
      <c r="PT66" s="41"/>
      <c r="PZ66" s="42"/>
      <c r="QG66" s="33"/>
      <c r="QH66" s="33"/>
      <c r="QL66" s="41"/>
      <c r="QR66" s="42"/>
      <c r="QY66" s="33"/>
      <c r="QZ66" s="33"/>
      <c r="RD66" s="41"/>
      <c r="RJ66" s="42"/>
      <c r="RQ66" s="33"/>
      <c r="RR66" s="33"/>
      <c r="RV66" s="41"/>
      <c r="SB66" s="42"/>
      <c r="SI66" s="33"/>
      <c r="SJ66" s="33"/>
      <c r="SN66" s="41"/>
      <c r="ST66" s="42"/>
      <c r="TA66" s="33"/>
      <c r="TB66" s="33"/>
      <c r="TF66" s="41"/>
      <c r="TL66" s="42"/>
      <c r="TS66" s="33"/>
      <c r="TT66" s="33"/>
      <c r="TX66" s="41"/>
      <c r="UD66" s="42"/>
      <c r="UK66" s="33"/>
      <c r="UL66" s="33"/>
      <c r="UP66" s="41"/>
      <c r="UV66" s="42"/>
      <c r="VC66" s="33"/>
      <c r="VD66" s="33"/>
      <c r="VH66" s="41"/>
      <c r="VN66" s="42"/>
      <c r="VU66" s="33"/>
      <c r="VV66" s="33"/>
      <c r="VZ66" s="41"/>
      <c r="WF66" s="42"/>
      <c r="WM66" s="33"/>
      <c r="WN66" s="33"/>
      <c r="WR66" s="41"/>
      <c r="WX66" s="42"/>
      <c r="XE66" s="33"/>
      <c r="XF66" s="33"/>
      <c r="XJ66" s="41"/>
      <c r="XP66" s="42"/>
      <c r="XW66" s="33"/>
      <c r="XX66" s="33"/>
      <c r="YB66" s="41"/>
      <c r="YH66" s="42"/>
      <c r="YO66" s="33"/>
      <c r="YP66" s="33"/>
      <c r="YT66" s="41"/>
      <c r="YZ66" s="42"/>
      <c r="ZG66" s="33"/>
      <c r="ZH66" s="33"/>
      <c r="ZL66" s="41"/>
      <c r="ZR66" s="42"/>
      <c r="ZY66" s="33"/>
      <c r="ZZ66" s="33"/>
      <c r="AAD66" s="41"/>
      <c r="AAJ66" s="42"/>
      <c r="AAQ66" s="33"/>
      <c r="AAR66" s="33"/>
      <c r="AAV66" s="41"/>
      <c r="ABB66" s="42"/>
      <c r="ABI66" s="33"/>
      <c r="ABJ66" s="33"/>
      <c r="ABN66" s="41"/>
      <c r="ABT66" s="42"/>
      <c r="ACA66" s="33"/>
      <c r="ACB66" s="33"/>
      <c r="ACF66" s="41"/>
      <c r="ACL66" s="42"/>
      <c r="ACS66" s="33"/>
      <c r="ACT66" s="33"/>
      <c r="ACX66" s="41"/>
      <c r="ADD66" s="42"/>
      <c r="ADK66" s="33"/>
      <c r="ADL66" s="33"/>
      <c r="ADP66" s="41"/>
      <c r="ADV66" s="42"/>
      <c r="AEC66" s="33"/>
      <c r="AED66" s="33"/>
      <c r="AEH66" s="41"/>
      <c r="AEN66" s="42"/>
      <c r="AEU66" s="33"/>
      <c r="AEV66" s="33"/>
      <c r="AEZ66" s="41"/>
      <c r="AFF66" s="42"/>
      <c r="AFM66" s="33"/>
      <c r="AFN66" s="33"/>
      <c r="AFR66" s="41"/>
      <c r="AFX66" s="42"/>
      <c r="AGE66" s="33"/>
      <c r="AGF66" s="33"/>
      <c r="AGJ66" s="41"/>
      <c r="AGP66" s="42"/>
      <c r="AGW66" s="33"/>
      <c r="AGX66" s="33"/>
      <c r="AHB66" s="41"/>
      <c r="AHH66" s="42"/>
      <c r="AHO66" s="33"/>
      <c r="AHP66" s="33"/>
      <c r="AHT66" s="41"/>
      <c r="AHZ66" s="42"/>
      <c r="AIG66" s="33"/>
      <c r="AIH66" s="33"/>
      <c r="AIL66" s="41"/>
      <c r="AIR66" s="42"/>
      <c r="AIY66" s="33"/>
      <c r="AIZ66" s="33"/>
      <c r="AJD66" s="41"/>
      <c r="AJJ66" s="42"/>
      <c r="AJQ66" s="33"/>
      <c r="AJR66" s="33"/>
      <c r="AJV66" s="41"/>
      <c r="AKB66" s="42"/>
      <c r="AKI66" s="33"/>
      <c r="AKJ66" s="33"/>
      <c r="AKN66" s="41"/>
      <c r="AKT66" s="42"/>
      <c r="ALA66" s="33"/>
      <c r="ALB66" s="33"/>
      <c r="ALF66" s="41"/>
      <c r="ALL66" s="42"/>
      <c r="ALS66" s="33"/>
      <c r="ALT66" s="33"/>
      <c r="ALX66" s="41"/>
      <c r="AMD66" s="42"/>
      <c r="AMK66" s="33"/>
      <c r="AML66" s="33"/>
      <c r="AMP66" s="41"/>
      <c r="AMV66" s="42"/>
      <c r="ANC66" s="33"/>
      <c r="AND66" s="33"/>
      <c r="ANH66" s="41"/>
      <c r="ANN66" s="42"/>
      <c r="ANU66" s="33"/>
      <c r="ANV66" s="33"/>
      <c r="ANZ66" s="41"/>
      <c r="AOF66" s="42"/>
      <c r="AOM66" s="33"/>
      <c r="AON66" s="33"/>
      <c r="AOR66" s="41"/>
      <c r="AOX66" s="42"/>
      <c r="APE66" s="33"/>
      <c r="APF66" s="33"/>
      <c r="APJ66" s="41"/>
      <c r="APP66" s="42"/>
      <c r="APW66" s="33"/>
      <c r="APX66" s="33"/>
      <c r="AQB66" s="41"/>
      <c r="AQH66" s="42"/>
      <c r="AQO66" s="33"/>
      <c r="AQP66" s="33"/>
      <c r="AQT66" s="41"/>
      <c r="AQZ66" s="42"/>
      <c r="ARG66" s="33"/>
      <c r="ARH66" s="33"/>
      <c r="ARL66" s="41"/>
      <c r="ARR66" s="42"/>
      <c r="ARY66" s="33"/>
      <c r="ARZ66" s="33"/>
      <c r="ASD66" s="41"/>
      <c r="ASJ66" s="42"/>
      <c r="ASQ66" s="33"/>
      <c r="ASR66" s="33"/>
      <c r="ASV66" s="41"/>
      <c r="ATB66" s="42"/>
      <c r="ATI66" s="33"/>
      <c r="ATJ66" s="33"/>
      <c r="ATN66" s="41"/>
      <c r="ATT66" s="42"/>
      <c r="AUA66" s="33"/>
      <c r="AUB66" s="33"/>
      <c r="AUF66" s="41"/>
      <c r="AUL66" s="42"/>
      <c r="AUS66" s="33"/>
      <c r="AUT66" s="33"/>
      <c r="AUX66" s="41"/>
      <c r="AVD66" s="42"/>
      <c r="AVK66" s="33"/>
      <c r="AVL66" s="33"/>
      <c r="AVP66" s="41"/>
      <c r="AVV66" s="42"/>
      <c r="AWC66" s="33"/>
      <c r="AWD66" s="33"/>
      <c r="AWH66" s="41"/>
      <c r="AWN66" s="42"/>
      <c r="AWU66" s="33"/>
      <c r="AWV66" s="33"/>
      <c r="AWZ66" s="41"/>
      <c r="AXF66" s="42"/>
      <c r="AXM66" s="33"/>
      <c r="AXN66" s="33"/>
      <c r="AXR66" s="41"/>
      <c r="AXX66" s="42"/>
      <c r="AYE66" s="33"/>
      <c r="AYF66" s="33"/>
      <c r="AYJ66" s="41"/>
      <c r="AYP66" s="42"/>
      <c r="AYW66" s="33"/>
      <c r="AYX66" s="33"/>
      <c r="AZB66" s="41"/>
      <c r="AZH66" s="42"/>
      <c r="AZO66" s="33"/>
      <c r="AZP66" s="33"/>
      <c r="AZT66" s="41"/>
      <c r="AZZ66" s="42"/>
      <c r="BAG66" s="33"/>
      <c r="BAH66" s="33"/>
      <c r="BAL66" s="41"/>
      <c r="BAR66" s="42"/>
      <c r="BAY66" s="33"/>
      <c r="BAZ66" s="33"/>
      <c r="BBD66" s="41"/>
      <c r="BBJ66" s="42"/>
      <c r="BBQ66" s="33"/>
      <c r="BBR66" s="33"/>
      <c r="BBV66" s="41"/>
      <c r="BCB66" s="42"/>
      <c r="BCI66" s="33"/>
      <c r="BCJ66" s="33"/>
      <c r="BCN66" s="41"/>
      <c r="BCT66" s="42"/>
      <c r="BDA66" s="33"/>
      <c r="BDB66" s="33"/>
      <c r="BDF66" s="41"/>
      <c r="BDL66" s="42"/>
      <c r="BDS66" s="33"/>
      <c r="BDT66" s="33"/>
      <c r="BDX66" s="41"/>
      <c r="BED66" s="42"/>
      <c r="BEK66" s="33"/>
      <c r="BEL66" s="33"/>
      <c r="BEP66" s="41"/>
      <c r="BEV66" s="42"/>
      <c r="BFC66" s="33"/>
      <c r="BFD66" s="33"/>
      <c r="BFH66" s="41"/>
      <c r="BFN66" s="42"/>
      <c r="BFU66" s="33"/>
      <c r="BFV66" s="33"/>
      <c r="BFZ66" s="41"/>
      <c r="BGF66" s="42"/>
      <c r="BGM66" s="33"/>
      <c r="BGN66" s="33"/>
      <c r="BGR66" s="41"/>
      <c r="BGX66" s="42"/>
      <c r="BHE66" s="33"/>
      <c r="BHF66" s="33"/>
      <c r="BHJ66" s="41"/>
      <c r="BHP66" s="42"/>
      <c r="BHW66" s="33"/>
      <c r="BHX66" s="33"/>
      <c r="BIB66" s="41"/>
      <c r="BIH66" s="42"/>
      <c r="BIO66" s="33"/>
      <c r="BIP66" s="33"/>
      <c r="BIT66" s="41"/>
      <c r="BIZ66" s="42"/>
      <c r="BJG66" s="33"/>
      <c r="BJH66" s="33"/>
      <c r="BJL66" s="41"/>
      <c r="BJR66" s="42"/>
      <c r="BJY66" s="33"/>
      <c r="BJZ66" s="33"/>
      <c r="BKD66" s="41"/>
      <c r="BKJ66" s="42"/>
      <c r="BKQ66" s="33"/>
      <c r="BKR66" s="33"/>
      <c r="BKV66" s="41"/>
      <c r="BLB66" s="42"/>
      <c r="BLI66" s="33"/>
      <c r="BLJ66" s="33"/>
      <c r="BLN66" s="41"/>
      <c r="BLT66" s="42"/>
      <c r="BMA66" s="33"/>
      <c r="BMB66" s="33"/>
      <c r="BMF66" s="41"/>
      <c r="BML66" s="42"/>
      <c r="BMS66" s="33"/>
      <c r="BMT66" s="33"/>
      <c r="BMX66" s="41"/>
      <c r="BND66" s="42"/>
      <c r="BNK66" s="33"/>
      <c r="BNL66" s="33"/>
      <c r="BNP66" s="41"/>
      <c r="BNV66" s="42"/>
      <c r="BOC66" s="33"/>
      <c r="BOD66" s="33"/>
      <c r="BOH66" s="41"/>
      <c r="BON66" s="42"/>
      <c r="BOU66" s="33"/>
      <c r="BOV66" s="33"/>
      <c r="BOZ66" s="41"/>
      <c r="BPF66" s="42"/>
      <c r="BPM66" s="33"/>
      <c r="BPN66" s="33"/>
      <c r="BPR66" s="41"/>
      <c r="BPX66" s="42"/>
      <c r="BQE66" s="33"/>
      <c r="BQF66" s="33"/>
      <c r="BQJ66" s="41"/>
      <c r="BQP66" s="42"/>
      <c r="BQW66" s="33"/>
      <c r="BQX66" s="33"/>
      <c r="BRB66" s="41"/>
      <c r="BRH66" s="42"/>
      <c r="BRO66" s="33"/>
      <c r="BRP66" s="33"/>
      <c r="BRT66" s="41"/>
      <c r="BRZ66" s="42"/>
      <c r="BSG66" s="33"/>
      <c r="BSH66" s="33"/>
      <c r="BSL66" s="41"/>
      <c r="BSR66" s="42"/>
      <c r="BSY66" s="33"/>
      <c r="BSZ66" s="33"/>
      <c r="BTD66" s="41"/>
      <c r="BTJ66" s="42"/>
      <c r="BTQ66" s="33"/>
      <c r="BTR66" s="33"/>
      <c r="BTV66" s="41"/>
      <c r="BUB66" s="42"/>
      <c r="BUI66" s="33"/>
      <c r="BUJ66" s="33"/>
      <c r="BUN66" s="41"/>
      <c r="BUT66" s="42"/>
      <c r="BVA66" s="33"/>
      <c r="BVB66" s="33"/>
      <c r="BVF66" s="41"/>
      <c r="BVL66" s="42"/>
      <c r="BVS66" s="33"/>
      <c r="BVT66" s="33"/>
      <c r="BVX66" s="41"/>
      <c r="BWD66" s="42"/>
      <c r="BWK66" s="33"/>
      <c r="BWL66" s="33"/>
      <c r="BWP66" s="41"/>
      <c r="BWV66" s="42"/>
      <c r="BXC66" s="33"/>
      <c r="BXD66" s="33"/>
      <c r="BXH66" s="41"/>
      <c r="BXN66" s="42"/>
      <c r="BXU66" s="33"/>
      <c r="BXV66" s="33"/>
      <c r="BXZ66" s="41"/>
      <c r="BYF66" s="42"/>
      <c r="BYM66" s="33"/>
      <c r="BYN66" s="33"/>
      <c r="BYR66" s="41"/>
      <c r="BYX66" s="42"/>
      <c r="BZE66" s="33"/>
      <c r="BZF66" s="33"/>
      <c r="BZJ66" s="41"/>
      <c r="BZP66" s="42"/>
      <c r="BZW66" s="33"/>
      <c r="BZX66" s="33"/>
      <c r="CAB66" s="41"/>
      <c r="CAH66" s="42"/>
      <c r="CAO66" s="33"/>
      <c r="CAP66" s="33"/>
      <c r="CAT66" s="41"/>
      <c r="CAZ66" s="42"/>
      <c r="CBG66" s="33"/>
      <c r="CBH66" s="33"/>
      <c r="CBL66" s="41"/>
      <c r="CBR66" s="42"/>
      <c r="CBY66" s="33"/>
      <c r="CBZ66" s="33"/>
      <c r="CCD66" s="41"/>
      <c r="CCJ66" s="42"/>
      <c r="CCQ66" s="33"/>
      <c r="CCR66" s="33"/>
      <c r="CCV66" s="41"/>
      <c r="CDB66" s="42"/>
      <c r="CDI66" s="33"/>
      <c r="CDJ66" s="33"/>
      <c r="CDN66" s="41"/>
      <c r="CDT66" s="42"/>
      <c r="CEA66" s="33"/>
      <c r="CEB66" s="33"/>
      <c r="CEF66" s="41"/>
      <c r="CEL66" s="42"/>
      <c r="CES66" s="33"/>
      <c r="CET66" s="33"/>
      <c r="CEX66" s="41"/>
      <c r="CFD66" s="42"/>
      <c r="CFK66" s="33"/>
      <c r="CFL66" s="33"/>
      <c r="CFP66" s="41"/>
      <c r="CFV66" s="42"/>
      <c r="CGC66" s="33"/>
      <c r="CGD66" s="33"/>
      <c r="CGH66" s="41"/>
      <c r="CGN66" s="42"/>
      <c r="CGU66" s="33"/>
      <c r="CGV66" s="33"/>
      <c r="CGZ66" s="41"/>
      <c r="CHF66" s="42"/>
      <c r="CHM66" s="33"/>
      <c r="CHN66" s="33"/>
      <c r="CHR66" s="41"/>
      <c r="CHX66" s="42"/>
      <c r="CIE66" s="33"/>
      <c r="CIF66" s="33"/>
      <c r="CIJ66" s="41"/>
      <c r="CIP66" s="42"/>
      <c r="CIW66" s="33"/>
      <c r="CIX66" s="33"/>
      <c r="CJB66" s="41"/>
      <c r="CJH66" s="42"/>
      <c r="CJO66" s="33"/>
      <c r="CJP66" s="33"/>
      <c r="CJT66" s="41"/>
      <c r="CJZ66" s="42"/>
      <c r="CKG66" s="33"/>
      <c r="CKH66" s="33"/>
      <c r="CKL66" s="41"/>
      <c r="CKR66" s="42"/>
      <c r="CKY66" s="33"/>
      <c r="CKZ66" s="33"/>
      <c r="CLD66" s="41"/>
      <c r="CLJ66" s="42"/>
      <c r="CLQ66" s="33"/>
      <c r="CLR66" s="33"/>
      <c r="CLV66" s="41"/>
      <c r="CMB66" s="42"/>
      <c r="CMI66" s="33"/>
      <c r="CMJ66" s="33"/>
      <c r="CMN66" s="41"/>
      <c r="CMT66" s="42"/>
      <c r="CNA66" s="33"/>
      <c r="CNB66" s="33"/>
      <c r="CNF66" s="41"/>
      <c r="CNL66" s="42"/>
      <c r="CNS66" s="33"/>
      <c r="CNT66" s="33"/>
      <c r="CNX66" s="41"/>
      <c r="COD66" s="42"/>
      <c r="COK66" s="33"/>
      <c r="COL66" s="33"/>
      <c r="COP66" s="41"/>
      <c r="COV66" s="42"/>
      <c r="CPC66" s="33"/>
      <c r="CPD66" s="33"/>
      <c r="CPH66" s="41"/>
      <c r="CPN66" s="42"/>
      <c r="CPU66" s="33"/>
      <c r="CPV66" s="33"/>
      <c r="CPZ66" s="41"/>
      <c r="CQF66" s="42"/>
      <c r="CQM66" s="33"/>
      <c r="CQN66" s="33"/>
      <c r="CQR66" s="41"/>
      <c r="CQX66" s="42"/>
      <c r="CRE66" s="33"/>
      <c r="CRF66" s="33"/>
      <c r="CRJ66" s="41"/>
      <c r="CRP66" s="42"/>
      <c r="CRW66" s="33"/>
      <c r="CRX66" s="33"/>
      <c r="CSB66" s="41"/>
      <c r="CSH66" s="42"/>
      <c r="CSO66" s="33"/>
      <c r="CSP66" s="33"/>
      <c r="CST66" s="41"/>
      <c r="CSZ66" s="42"/>
      <c r="CTG66" s="33"/>
      <c r="CTH66" s="33"/>
      <c r="CTL66" s="41"/>
      <c r="CTR66" s="42"/>
      <c r="CTY66" s="33"/>
      <c r="CTZ66" s="33"/>
      <c r="CUD66" s="41"/>
      <c r="CUJ66" s="42"/>
      <c r="CUQ66" s="33"/>
      <c r="CUR66" s="33"/>
      <c r="CUV66" s="41"/>
      <c r="CVB66" s="42"/>
      <c r="CVI66" s="33"/>
      <c r="CVJ66" s="33"/>
      <c r="CVN66" s="41"/>
      <c r="CVT66" s="42"/>
      <c r="CWA66" s="33"/>
      <c r="CWB66" s="33"/>
      <c r="CWF66" s="41"/>
      <c r="CWL66" s="42"/>
      <c r="CWS66" s="33"/>
      <c r="CWT66" s="33"/>
      <c r="CWX66" s="41"/>
      <c r="CXD66" s="42"/>
      <c r="CXK66" s="33"/>
      <c r="CXL66" s="33"/>
      <c r="CXP66" s="41"/>
      <c r="CXV66" s="42"/>
      <c r="CYC66" s="33"/>
      <c r="CYD66" s="33"/>
      <c r="CYH66" s="41"/>
      <c r="CYN66" s="42"/>
      <c r="CYU66" s="33"/>
      <c r="CYV66" s="33"/>
      <c r="CYZ66" s="41"/>
      <c r="CZF66" s="42"/>
      <c r="CZM66" s="33"/>
      <c r="CZN66" s="33"/>
      <c r="CZR66" s="41"/>
      <c r="CZX66" s="42"/>
      <c r="DAE66" s="33"/>
      <c r="DAF66" s="33"/>
      <c r="DAJ66" s="41"/>
      <c r="DAP66" s="42"/>
      <c r="DAW66" s="33"/>
      <c r="DAX66" s="33"/>
      <c r="DBB66" s="41"/>
      <c r="DBH66" s="42"/>
      <c r="DBO66" s="33"/>
      <c r="DBP66" s="33"/>
      <c r="DBT66" s="41"/>
      <c r="DBZ66" s="42"/>
      <c r="DCG66" s="33"/>
      <c r="DCH66" s="33"/>
      <c r="DCL66" s="41"/>
      <c r="DCR66" s="42"/>
      <c r="DCY66" s="33"/>
      <c r="DCZ66" s="33"/>
      <c r="DDD66" s="41"/>
      <c r="DDJ66" s="42"/>
      <c r="DDQ66" s="33"/>
      <c r="DDR66" s="33"/>
      <c r="DDV66" s="41"/>
      <c r="DEB66" s="42"/>
      <c r="DEI66" s="33"/>
      <c r="DEJ66" s="33"/>
      <c r="DEN66" s="41"/>
      <c r="DET66" s="42"/>
      <c r="DFA66" s="33"/>
      <c r="DFB66" s="33"/>
      <c r="DFF66" s="41"/>
      <c r="DFL66" s="42"/>
      <c r="DFS66" s="33"/>
      <c r="DFT66" s="33"/>
      <c r="DFX66" s="41"/>
      <c r="DGD66" s="42"/>
      <c r="DGK66" s="33"/>
      <c r="DGL66" s="33"/>
      <c r="DGP66" s="41"/>
      <c r="DGV66" s="42"/>
      <c r="DHC66" s="33"/>
      <c r="DHD66" s="33"/>
      <c r="DHH66" s="41"/>
      <c r="DHN66" s="42"/>
      <c r="DHU66" s="33"/>
      <c r="DHV66" s="33"/>
      <c r="DHZ66" s="41"/>
      <c r="DIF66" s="42"/>
      <c r="DIM66" s="33"/>
      <c r="DIN66" s="33"/>
      <c r="DIR66" s="41"/>
      <c r="DIX66" s="42"/>
      <c r="DJE66" s="33"/>
      <c r="DJF66" s="33"/>
      <c r="DJJ66" s="41"/>
      <c r="DJP66" s="42"/>
      <c r="DJW66" s="33"/>
      <c r="DJX66" s="33"/>
      <c r="DKB66" s="41"/>
      <c r="DKH66" s="42"/>
      <c r="DKO66" s="33"/>
      <c r="DKP66" s="33"/>
      <c r="DKT66" s="41"/>
      <c r="DKZ66" s="42"/>
      <c r="DLG66" s="33"/>
      <c r="DLH66" s="33"/>
      <c r="DLL66" s="41"/>
      <c r="DLR66" s="42"/>
      <c r="DLY66" s="33"/>
      <c r="DLZ66" s="33"/>
      <c r="DMD66" s="41"/>
      <c r="DMJ66" s="42"/>
      <c r="DMQ66" s="33"/>
      <c r="DMR66" s="33"/>
      <c r="DMV66" s="41"/>
      <c r="DNB66" s="42"/>
      <c r="DNI66" s="33"/>
      <c r="DNJ66" s="33"/>
      <c r="DNN66" s="41"/>
      <c r="DNT66" s="42"/>
      <c r="DOA66" s="33"/>
      <c r="DOB66" s="33"/>
      <c r="DOF66" s="41"/>
      <c r="DOL66" s="42"/>
      <c r="DOS66" s="33"/>
      <c r="DOT66" s="33"/>
      <c r="DOX66" s="41"/>
      <c r="DPD66" s="42"/>
      <c r="DPK66" s="33"/>
      <c r="DPL66" s="33"/>
      <c r="DPP66" s="41"/>
      <c r="DPV66" s="42"/>
      <c r="DQC66" s="33"/>
      <c r="DQD66" s="33"/>
      <c r="DQH66" s="41"/>
      <c r="DQN66" s="42"/>
      <c r="DQU66" s="33"/>
      <c r="DQV66" s="33"/>
      <c r="DQZ66" s="41"/>
      <c r="DRF66" s="42"/>
      <c r="DRM66" s="33"/>
      <c r="DRN66" s="33"/>
      <c r="DRR66" s="41"/>
      <c r="DRX66" s="42"/>
      <c r="DSE66" s="33"/>
      <c r="DSF66" s="33"/>
      <c r="DSJ66" s="41"/>
      <c r="DSP66" s="42"/>
      <c r="DSW66" s="33"/>
      <c r="DSX66" s="33"/>
      <c r="DTB66" s="41"/>
      <c r="DTH66" s="42"/>
      <c r="DTO66" s="33"/>
      <c r="DTP66" s="33"/>
      <c r="DTT66" s="41"/>
      <c r="DTZ66" s="42"/>
      <c r="DUG66" s="33"/>
      <c r="DUH66" s="33"/>
      <c r="DUL66" s="41"/>
      <c r="DUR66" s="42"/>
      <c r="DUY66" s="33"/>
      <c r="DUZ66" s="33"/>
      <c r="DVD66" s="41"/>
      <c r="DVJ66" s="42"/>
      <c r="DVQ66" s="33"/>
      <c r="DVR66" s="33"/>
      <c r="DVV66" s="41"/>
      <c r="DWB66" s="42"/>
      <c r="DWI66" s="33"/>
      <c r="DWJ66" s="33"/>
      <c r="DWN66" s="41"/>
      <c r="DWT66" s="42"/>
      <c r="DXA66" s="33"/>
      <c r="DXB66" s="33"/>
      <c r="DXF66" s="41"/>
      <c r="DXL66" s="42"/>
      <c r="DXS66" s="33"/>
      <c r="DXT66" s="33"/>
      <c r="DXX66" s="41"/>
      <c r="DYD66" s="42"/>
      <c r="DYK66" s="33"/>
      <c r="DYL66" s="33"/>
      <c r="DYP66" s="41"/>
      <c r="DYV66" s="42"/>
      <c r="DZC66" s="33"/>
      <c r="DZD66" s="33"/>
      <c r="DZH66" s="41"/>
      <c r="DZN66" s="42"/>
      <c r="DZU66" s="33"/>
      <c r="DZV66" s="33"/>
      <c r="DZZ66" s="41"/>
      <c r="EAF66" s="42"/>
      <c r="EAM66" s="33"/>
      <c r="EAN66" s="33"/>
      <c r="EAR66" s="41"/>
      <c r="EAX66" s="42"/>
      <c r="EBE66" s="33"/>
      <c r="EBF66" s="33"/>
      <c r="EBJ66" s="41"/>
      <c r="EBP66" s="42"/>
      <c r="EBW66" s="33"/>
      <c r="EBX66" s="33"/>
      <c r="ECB66" s="41"/>
      <c r="ECH66" s="42"/>
      <c r="ECO66" s="33"/>
      <c r="ECP66" s="33"/>
      <c r="ECT66" s="41"/>
      <c r="ECZ66" s="42"/>
      <c r="EDG66" s="33"/>
      <c r="EDH66" s="33"/>
      <c r="EDL66" s="41"/>
      <c r="EDR66" s="42"/>
      <c r="EDY66" s="33"/>
      <c r="EDZ66" s="33"/>
      <c r="EED66" s="41"/>
      <c r="EEJ66" s="42"/>
      <c r="EEQ66" s="33"/>
      <c r="EER66" s="33"/>
      <c r="EEV66" s="41"/>
      <c r="EFB66" s="42"/>
      <c r="EFI66" s="33"/>
      <c r="EFJ66" s="33"/>
      <c r="EFN66" s="41"/>
      <c r="EFT66" s="42"/>
      <c r="EGA66" s="33"/>
      <c r="EGB66" s="33"/>
      <c r="EGF66" s="41"/>
      <c r="EGL66" s="42"/>
      <c r="EGS66" s="33"/>
      <c r="EGT66" s="33"/>
      <c r="EGX66" s="41"/>
      <c r="EHD66" s="42"/>
      <c r="EHK66" s="33"/>
      <c r="EHL66" s="33"/>
      <c r="EHP66" s="41"/>
      <c r="EHV66" s="42"/>
      <c r="EIC66" s="33"/>
      <c r="EID66" s="33"/>
      <c r="EIH66" s="41"/>
      <c r="EIN66" s="42"/>
      <c r="EIU66" s="33"/>
      <c r="EIV66" s="33"/>
      <c r="EIZ66" s="41"/>
      <c r="EJF66" s="42"/>
      <c r="EJM66" s="33"/>
      <c r="EJN66" s="33"/>
      <c r="EJR66" s="41"/>
      <c r="EJX66" s="42"/>
      <c r="EKE66" s="33"/>
      <c r="EKF66" s="33"/>
      <c r="EKJ66" s="41"/>
      <c r="EKP66" s="42"/>
      <c r="EKW66" s="33"/>
      <c r="EKX66" s="33"/>
      <c r="ELB66" s="41"/>
      <c r="ELH66" s="42"/>
      <c r="ELO66" s="33"/>
      <c r="ELP66" s="33"/>
      <c r="ELT66" s="41"/>
      <c r="ELZ66" s="42"/>
      <c r="EMG66" s="33"/>
      <c r="EMH66" s="33"/>
      <c r="EML66" s="41"/>
      <c r="EMR66" s="42"/>
      <c r="EMY66" s="33"/>
      <c r="EMZ66" s="33"/>
      <c r="END66" s="41"/>
      <c r="ENJ66" s="42"/>
      <c r="ENQ66" s="33"/>
      <c r="ENR66" s="33"/>
      <c r="ENV66" s="41"/>
      <c r="EOB66" s="42"/>
      <c r="EOI66" s="33"/>
      <c r="EOJ66" s="33"/>
      <c r="EON66" s="41"/>
      <c r="EOT66" s="42"/>
      <c r="EPA66" s="33"/>
      <c r="EPB66" s="33"/>
      <c r="EPF66" s="41"/>
      <c r="EPL66" s="42"/>
      <c r="EPS66" s="33"/>
      <c r="EPT66" s="33"/>
      <c r="EPX66" s="41"/>
      <c r="EQD66" s="42"/>
      <c r="EQK66" s="33"/>
      <c r="EQL66" s="33"/>
      <c r="EQP66" s="41"/>
      <c r="EQV66" s="42"/>
      <c r="ERC66" s="33"/>
      <c r="ERD66" s="33"/>
      <c r="ERH66" s="41"/>
      <c r="ERN66" s="42"/>
      <c r="ERU66" s="33"/>
      <c r="ERV66" s="33"/>
      <c r="ERZ66" s="41"/>
      <c r="ESF66" s="42"/>
      <c r="ESM66" s="33"/>
      <c r="ESN66" s="33"/>
      <c r="ESR66" s="41"/>
      <c r="ESX66" s="42"/>
      <c r="ETE66" s="33"/>
      <c r="ETF66" s="33"/>
      <c r="ETJ66" s="41"/>
      <c r="ETP66" s="42"/>
      <c r="ETW66" s="33"/>
      <c r="ETX66" s="33"/>
      <c r="EUB66" s="41"/>
      <c r="EUH66" s="42"/>
      <c r="EUO66" s="33"/>
      <c r="EUP66" s="33"/>
      <c r="EUT66" s="41"/>
      <c r="EUZ66" s="42"/>
      <c r="EVG66" s="33"/>
      <c r="EVH66" s="33"/>
      <c r="EVL66" s="41"/>
      <c r="EVR66" s="42"/>
      <c r="EVY66" s="33"/>
      <c r="EVZ66" s="33"/>
      <c r="EWD66" s="41"/>
      <c r="EWJ66" s="42"/>
      <c r="EWQ66" s="33"/>
      <c r="EWR66" s="33"/>
      <c r="EWV66" s="41"/>
      <c r="EXB66" s="42"/>
      <c r="EXI66" s="33"/>
      <c r="EXJ66" s="33"/>
      <c r="EXN66" s="41"/>
      <c r="EXT66" s="42"/>
      <c r="EYA66" s="33"/>
      <c r="EYB66" s="33"/>
      <c r="EYF66" s="41"/>
      <c r="EYL66" s="42"/>
      <c r="EYS66" s="33"/>
      <c r="EYT66" s="33"/>
      <c r="EYX66" s="41"/>
      <c r="EZD66" s="42"/>
      <c r="EZK66" s="33"/>
      <c r="EZL66" s="33"/>
      <c r="EZP66" s="41"/>
      <c r="EZV66" s="42"/>
      <c r="FAC66" s="33"/>
      <c r="FAD66" s="33"/>
      <c r="FAH66" s="41"/>
      <c r="FAN66" s="42"/>
      <c r="FAU66" s="33"/>
      <c r="FAV66" s="33"/>
      <c r="FAZ66" s="41"/>
      <c r="FBF66" s="42"/>
      <c r="FBM66" s="33"/>
      <c r="FBN66" s="33"/>
      <c r="FBR66" s="41"/>
      <c r="FBX66" s="42"/>
      <c r="FCE66" s="33"/>
      <c r="FCF66" s="33"/>
      <c r="FCJ66" s="41"/>
      <c r="FCP66" s="42"/>
      <c r="FCW66" s="33"/>
      <c r="FCX66" s="33"/>
      <c r="FDB66" s="41"/>
      <c r="FDH66" s="42"/>
      <c r="FDO66" s="33"/>
      <c r="FDP66" s="33"/>
      <c r="FDT66" s="41"/>
      <c r="FDZ66" s="42"/>
      <c r="FEG66" s="33"/>
      <c r="FEH66" s="33"/>
      <c r="FEL66" s="41"/>
      <c r="FER66" s="42"/>
      <c r="FEY66" s="33"/>
      <c r="FEZ66" s="33"/>
      <c r="FFD66" s="41"/>
      <c r="FFJ66" s="42"/>
      <c r="FFQ66" s="33"/>
      <c r="FFR66" s="33"/>
      <c r="FFV66" s="41"/>
      <c r="FGB66" s="42"/>
      <c r="FGI66" s="33"/>
      <c r="FGJ66" s="33"/>
      <c r="FGN66" s="41"/>
      <c r="FGT66" s="42"/>
      <c r="FHA66" s="33"/>
      <c r="FHB66" s="33"/>
      <c r="FHF66" s="41"/>
      <c r="FHL66" s="42"/>
      <c r="FHS66" s="33"/>
      <c r="FHT66" s="33"/>
      <c r="FHX66" s="41"/>
      <c r="FID66" s="42"/>
      <c r="FIK66" s="33"/>
      <c r="FIL66" s="33"/>
      <c r="FIP66" s="41"/>
      <c r="FIV66" s="42"/>
      <c r="FJC66" s="33"/>
      <c r="FJD66" s="33"/>
      <c r="FJH66" s="41"/>
      <c r="FJN66" s="42"/>
      <c r="FJU66" s="33"/>
      <c r="FJV66" s="33"/>
      <c r="FJZ66" s="41"/>
      <c r="FKF66" s="42"/>
      <c r="FKM66" s="33"/>
      <c r="FKN66" s="33"/>
      <c r="FKR66" s="41"/>
      <c r="FKX66" s="42"/>
      <c r="FLE66" s="33"/>
      <c r="FLF66" s="33"/>
      <c r="FLJ66" s="41"/>
      <c r="FLP66" s="42"/>
      <c r="FLW66" s="33"/>
      <c r="FLX66" s="33"/>
      <c r="FMB66" s="41"/>
      <c r="FMH66" s="42"/>
      <c r="FMO66" s="33"/>
      <c r="FMP66" s="33"/>
      <c r="FMT66" s="41"/>
      <c r="FMZ66" s="42"/>
      <c r="FNG66" s="33"/>
      <c r="FNH66" s="33"/>
      <c r="FNL66" s="41"/>
      <c r="FNR66" s="42"/>
      <c r="FNY66" s="33"/>
      <c r="FNZ66" s="33"/>
      <c r="FOD66" s="41"/>
      <c r="FOJ66" s="42"/>
      <c r="FOQ66" s="33"/>
      <c r="FOR66" s="33"/>
      <c r="FOV66" s="41"/>
      <c r="FPB66" s="42"/>
      <c r="FPI66" s="33"/>
      <c r="FPJ66" s="33"/>
      <c r="FPN66" s="41"/>
      <c r="FPT66" s="42"/>
      <c r="FQA66" s="33"/>
      <c r="FQB66" s="33"/>
      <c r="FQF66" s="41"/>
      <c r="FQL66" s="42"/>
      <c r="FQS66" s="33"/>
      <c r="FQT66" s="33"/>
      <c r="FQX66" s="41"/>
      <c r="FRD66" s="42"/>
      <c r="FRK66" s="33"/>
      <c r="FRL66" s="33"/>
      <c r="FRP66" s="41"/>
      <c r="FRV66" s="42"/>
      <c r="FSC66" s="33"/>
      <c r="FSD66" s="33"/>
      <c r="FSH66" s="41"/>
      <c r="FSN66" s="42"/>
      <c r="FSU66" s="33"/>
      <c r="FSV66" s="33"/>
      <c r="FSZ66" s="41"/>
      <c r="FTF66" s="42"/>
      <c r="FTM66" s="33"/>
      <c r="FTN66" s="33"/>
      <c r="FTR66" s="41"/>
      <c r="FTX66" s="42"/>
      <c r="FUE66" s="33"/>
      <c r="FUF66" s="33"/>
      <c r="FUJ66" s="41"/>
      <c r="FUP66" s="42"/>
      <c r="FUW66" s="33"/>
      <c r="FUX66" s="33"/>
      <c r="FVB66" s="41"/>
      <c r="FVH66" s="42"/>
      <c r="FVO66" s="33"/>
      <c r="FVP66" s="33"/>
      <c r="FVT66" s="41"/>
      <c r="FVZ66" s="42"/>
      <c r="FWG66" s="33"/>
      <c r="FWH66" s="33"/>
      <c r="FWL66" s="41"/>
      <c r="FWR66" s="42"/>
      <c r="FWY66" s="33"/>
      <c r="FWZ66" s="33"/>
      <c r="FXD66" s="41"/>
      <c r="FXJ66" s="42"/>
      <c r="FXQ66" s="33"/>
      <c r="FXR66" s="33"/>
      <c r="FXV66" s="41"/>
      <c r="FYB66" s="42"/>
      <c r="FYI66" s="33"/>
      <c r="FYJ66" s="33"/>
      <c r="FYN66" s="41"/>
      <c r="FYT66" s="42"/>
      <c r="FZA66" s="33"/>
      <c r="FZB66" s="33"/>
      <c r="FZF66" s="41"/>
      <c r="FZL66" s="42"/>
      <c r="FZS66" s="33"/>
      <c r="FZT66" s="33"/>
      <c r="FZX66" s="41"/>
      <c r="GAD66" s="42"/>
      <c r="GAK66" s="33"/>
      <c r="GAL66" s="33"/>
      <c r="GAP66" s="41"/>
      <c r="GAV66" s="42"/>
      <c r="GBC66" s="33"/>
      <c r="GBD66" s="33"/>
      <c r="GBH66" s="41"/>
      <c r="GBN66" s="42"/>
      <c r="GBU66" s="33"/>
      <c r="GBV66" s="33"/>
      <c r="GBZ66" s="41"/>
      <c r="GCF66" s="42"/>
      <c r="GCM66" s="33"/>
      <c r="GCN66" s="33"/>
      <c r="GCR66" s="41"/>
      <c r="GCX66" s="42"/>
      <c r="GDE66" s="33"/>
      <c r="GDF66" s="33"/>
      <c r="GDJ66" s="41"/>
      <c r="GDP66" s="42"/>
      <c r="GDW66" s="33"/>
      <c r="GDX66" s="33"/>
      <c r="GEB66" s="41"/>
      <c r="GEH66" s="42"/>
      <c r="GEO66" s="33"/>
      <c r="GEP66" s="33"/>
      <c r="GET66" s="41"/>
      <c r="GEZ66" s="42"/>
      <c r="GFG66" s="33"/>
      <c r="GFH66" s="33"/>
      <c r="GFL66" s="41"/>
      <c r="GFR66" s="42"/>
      <c r="GFY66" s="33"/>
      <c r="GFZ66" s="33"/>
      <c r="GGD66" s="41"/>
      <c r="GGJ66" s="42"/>
      <c r="GGQ66" s="33"/>
      <c r="GGR66" s="33"/>
      <c r="GGV66" s="41"/>
      <c r="GHB66" s="42"/>
      <c r="GHI66" s="33"/>
      <c r="GHJ66" s="33"/>
      <c r="GHN66" s="41"/>
      <c r="GHT66" s="42"/>
      <c r="GIA66" s="33"/>
      <c r="GIB66" s="33"/>
      <c r="GIF66" s="41"/>
      <c r="GIL66" s="42"/>
      <c r="GIS66" s="33"/>
      <c r="GIT66" s="33"/>
      <c r="GIX66" s="41"/>
      <c r="GJD66" s="42"/>
      <c r="GJK66" s="33"/>
      <c r="GJL66" s="33"/>
      <c r="GJP66" s="41"/>
      <c r="GJV66" s="42"/>
      <c r="GKC66" s="33"/>
      <c r="GKD66" s="33"/>
      <c r="GKH66" s="41"/>
      <c r="GKN66" s="42"/>
      <c r="GKU66" s="33"/>
      <c r="GKV66" s="33"/>
      <c r="GKZ66" s="41"/>
      <c r="GLF66" s="42"/>
      <c r="GLM66" s="33"/>
      <c r="GLN66" s="33"/>
      <c r="GLR66" s="41"/>
      <c r="GLX66" s="42"/>
      <c r="GME66" s="33"/>
      <c r="GMF66" s="33"/>
      <c r="GMJ66" s="41"/>
      <c r="GMP66" s="42"/>
      <c r="GMW66" s="33"/>
      <c r="GMX66" s="33"/>
      <c r="GNB66" s="41"/>
      <c r="GNH66" s="42"/>
      <c r="GNO66" s="33"/>
      <c r="GNP66" s="33"/>
      <c r="GNT66" s="41"/>
      <c r="GNZ66" s="42"/>
      <c r="GOG66" s="33"/>
      <c r="GOH66" s="33"/>
      <c r="GOL66" s="41"/>
      <c r="GOR66" s="42"/>
      <c r="GOY66" s="33"/>
      <c r="GOZ66" s="33"/>
      <c r="GPD66" s="41"/>
      <c r="GPJ66" s="42"/>
      <c r="GPQ66" s="33"/>
      <c r="GPR66" s="33"/>
      <c r="GPV66" s="41"/>
      <c r="GQB66" s="42"/>
      <c r="GQI66" s="33"/>
      <c r="GQJ66" s="33"/>
      <c r="GQN66" s="41"/>
      <c r="GQT66" s="42"/>
      <c r="GRA66" s="33"/>
      <c r="GRB66" s="33"/>
      <c r="GRF66" s="41"/>
      <c r="GRL66" s="42"/>
      <c r="GRS66" s="33"/>
      <c r="GRT66" s="33"/>
      <c r="GRX66" s="41"/>
      <c r="GSD66" s="42"/>
      <c r="GSK66" s="33"/>
      <c r="GSL66" s="33"/>
      <c r="GSP66" s="41"/>
      <c r="GSV66" s="42"/>
      <c r="GTC66" s="33"/>
      <c r="GTD66" s="33"/>
      <c r="GTH66" s="41"/>
      <c r="GTN66" s="42"/>
      <c r="GTU66" s="33"/>
      <c r="GTV66" s="33"/>
      <c r="GTZ66" s="41"/>
      <c r="GUF66" s="42"/>
      <c r="GUM66" s="33"/>
      <c r="GUN66" s="33"/>
      <c r="GUR66" s="41"/>
      <c r="GUX66" s="42"/>
      <c r="GVE66" s="33"/>
      <c r="GVF66" s="33"/>
      <c r="GVJ66" s="41"/>
      <c r="GVP66" s="42"/>
      <c r="GVW66" s="33"/>
      <c r="GVX66" s="33"/>
      <c r="GWB66" s="41"/>
      <c r="GWH66" s="42"/>
      <c r="GWO66" s="33"/>
      <c r="GWP66" s="33"/>
      <c r="GWT66" s="41"/>
      <c r="GWZ66" s="42"/>
      <c r="GXG66" s="33"/>
      <c r="GXH66" s="33"/>
      <c r="GXL66" s="41"/>
      <c r="GXR66" s="42"/>
      <c r="GXY66" s="33"/>
      <c r="GXZ66" s="33"/>
      <c r="GYD66" s="41"/>
      <c r="GYJ66" s="42"/>
      <c r="GYQ66" s="33"/>
      <c r="GYR66" s="33"/>
      <c r="GYV66" s="41"/>
      <c r="GZB66" s="42"/>
      <c r="GZI66" s="33"/>
      <c r="GZJ66" s="33"/>
      <c r="GZN66" s="41"/>
      <c r="GZT66" s="42"/>
      <c r="HAA66" s="33"/>
      <c r="HAB66" s="33"/>
      <c r="HAF66" s="41"/>
      <c r="HAL66" s="42"/>
      <c r="HAS66" s="33"/>
      <c r="HAT66" s="33"/>
      <c r="HAX66" s="41"/>
      <c r="HBD66" s="42"/>
      <c r="HBK66" s="33"/>
      <c r="HBL66" s="33"/>
      <c r="HBP66" s="41"/>
      <c r="HBV66" s="42"/>
      <c r="HCC66" s="33"/>
      <c r="HCD66" s="33"/>
      <c r="HCH66" s="41"/>
      <c r="HCN66" s="42"/>
      <c r="HCU66" s="33"/>
      <c r="HCV66" s="33"/>
      <c r="HCZ66" s="41"/>
      <c r="HDF66" s="42"/>
      <c r="HDM66" s="33"/>
      <c r="HDN66" s="33"/>
      <c r="HDR66" s="41"/>
      <c r="HDX66" s="42"/>
      <c r="HEE66" s="33"/>
      <c r="HEF66" s="33"/>
      <c r="HEJ66" s="41"/>
      <c r="HEP66" s="42"/>
      <c r="HEW66" s="33"/>
      <c r="HEX66" s="33"/>
      <c r="HFB66" s="41"/>
      <c r="HFH66" s="42"/>
      <c r="HFO66" s="33"/>
      <c r="HFP66" s="33"/>
      <c r="HFT66" s="41"/>
      <c r="HFZ66" s="42"/>
      <c r="HGG66" s="33"/>
      <c r="HGH66" s="33"/>
      <c r="HGL66" s="41"/>
      <c r="HGR66" s="42"/>
      <c r="HGY66" s="33"/>
      <c r="HGZ66" s="33"/>
      <c r="HHD66" s="41"/>
      <c r="HHJ66" s="42"/>
      <c r="HHQ66" s="33"/>
      <c r="HHR66" s="33"/>
      <c r="HHV66" s="41"/>
      <c r="HIB66" s="42"/>
      <c r="HII66" s="33"/>
      <c r="HIJ66" s="33"/>
      <c r="HIN66" s="41"/>
      <c r="HIT66" s="42"/>
      <c r="HJA66" s="33"/>
      <c r="HJB66" s="33"/>
      <c r="HJF66" s="41"/>
      <c r="HJL66" s="42"/>
      <c r="HJS66" s="33"/>
      <c r="HJT66" s="33"/>
      <c r="HJX66" s="41"/>
      <c r="HKD66" s="42"/>
      <c r="HKK66" s="33"/>
      <c r="HKL66" s="33"/>
      <c r="HKP66" s="41"/>
      <c r="HKV66" s="42"/>
      <c r="HLC66" s="33"/>
      <c r="HLD66" s="33"/>
      <c r="HLH66" s="41"/>
      <c r="HLN66" s="42"/>
      <c r="HLU66" s="33"/>
      <c r="HLV66" s="33"/>
      <c r="HLZ66" s="41"/>
      <c r="HMF66" s="42"/>
      <c r="HMM66" s="33"/>
      <c r="HMN66" s="33"/>
      <c r="HMR66" s="41"/>
      <c r="HMX66" s="42"/>
      <c r="HNE66" s="33"/>
      <c r="HNF66" s="33"/>
      <c r="HNJ66" s="41"/>
      <c r="HNP66" s="42"/>
      <c r="HNW66" s="33"/>
      <c r="HNX66" s="33"/>
      <c r="HOB66" s="41"/>
      <c r="HOH66" s="42"/>
      <c r="HOO66" s="33"/>
      <c r="HOP66" s="33"/>
      <c r="HOT66" s="41"/>
      <c r="HOZ66" s="42"/>
      <c r="HPG66" s="33"/>
      <c r="HPH66" s="33"/>
      <c r="HPL66" s="41"/>
      <c r="HPR66" s="42"/>
      <c r="HPY66" s="33"/>
      <c r="HPZ66" s="33"/>
      <c r="HQD66" s="41"/>
      <c r="HQJ66" s="42"/>
      <c r="HQQ66" s="33"/>
      <c r="HQR66" s="33"/>
      <c r="HQV66" s="41"/>
      <c r="HRB66" s="42"/>
      <c r="HRI66" s="33"/>
      <c r="HRJ66" s="33"/>
      <c r="HRN66" s="41"/>
      <c r="HRT66" s="42"/>
      <c r="HSA66" s="33"/>
      <c r="HSB66" s="33"/>
      <c r="HSF66" s="41"/>
      <c r="HSL66" s="42"/>
      <c r="HSS66" s="33"/>
      <c r="HST66" s="33"/>
      <c r="HSX66" s="41"/>
      <c r="HTD66" s="42"/>
      <c r="HTK66" s="33"/>
      <c r="HTL66" s="33"/>
      <c r="HTP66" s="41"/>
      <c r="HTV66" s="42"/>
      <c r="HUC66" s="33"/>
      <c r="HUD66" s="33"/>
      <c r="HUH66" s="41"/>
      <c r="HUN66" s="42"/>
      <c r="HUU66" s="33"/>
      <c r="HUV66" s="33"/>
      <c r="HUZ66" s="41"/>
      <c r="HVF66" s="42"/>
      <c r="HVM66" s="33"/>
      <c r="HVN66" s="33"/>
      <c r="HVR66" s="41"/>
      <c r="HVX66" s="42"/>
      <c r="HWE66" s="33"/>
      <c r="HWF66" s="33"/>
      <c r="HWJ66" s="41"/>
      <c r="HWP66" s="42"/>
      <c r="HWW66" s="33"/>
      <c r="HWX66" s="33"/>
      <c r="HXB66" s="41"/>
      <c r="HXH66" s="42"/>
      <c r="HXO66" s="33"/>
      <c r="HXP66" s="33"/>
      <c r="HXT66" s="41"/>
      <c r="HXZ66" s="42"/>
      <c r="HYG66" s="33"/>
      <c r="HYH66" s="33"/>
      <c r="HYL66" s="41"/>
      <c r="HYR66" s="42"/>
      <c r="HYY66" s="33"/>
      <c r="HYZ66" s="33"/>
      <c r="HZD66" s="41"/>
      <c r="HZJ66" s="42"/>
      <c r="HZQ66" s="33"/>
      <c r="HZR66" s="33"/>
      <c r="HZV66" s="41"/>
      <c r="IAB66" s="42"/>
      <c r="IAI66" s="33"/>
      <c r="IAJ66" s="33"/>
      <c r="IAN66" s="41"/>
      <c r="IAT66" s="42"/>
      <c r="IBA66" s="33"/>
      <c r="IBB66" s="33"/>
      <c r="IBF66" s="41"/>
      <c r="IBL66" s="42"/>
      <c r="IBS66" s="33"/>
      <c r="IBT66" s="33"/>
      <c r="IBX66" s="41"/>
      <c r="ICD66" s="42"/>
      <c r="ICK66" s="33"/>
      <c r="ICL66" s="33"/>
      <c r="ICP66" s="41"/>
      <c r="ICV66" s="42"/>
      <c r="IDC66" s="33"/>
      <c r="IDD66" s="33"/>
      <c r="IDH66" s="41"/>
      <c r="IDN66" s="42"/>
      <c r="IDU66" s="33"/>
      <c r="IDV66" s="33"/>
      <c r="IDZ66" s="41"/>
      <c r="IEF66" s="42"/>
      <c r="IEM66" s="33"/>
      <c r="IEN66" s="33"/>
      <c r="IER66" s="41"/>
      <c r="IEX66" s="42"/>
      <c r="IFE66" s="33"/>
      <c r="IFF66" s="33"/>
      <c r="IFJ66" s="41"/>
      <c r="IFP66" s="42"/>
      <c r="IFW66" s="33"/>
      <c r="IFX66" s="33"/>
      <c r="IGB66" s="41"/>
      <c r="IGH66" s="42"/>
      <c r="IGO66" s="33"/>
      <c r="IGP66" s="33"/>
      <c r="IGT66" s="41"/>
      <c r="IGZ66" s="42"/>
      <c r="IHG66" s="33"/>
      <c r="IHH66" s="33"/>
      <c r="IHL66" s="41"/>
      <c r="IHR66" s="42"/>
      <c r="IHY66" s="33"/>
      <c r="IHZ66" s="33"/>
      <c r="IID66" s="41"/>
      <c r="IIJ66" s="42"/>
      <c r="IIQ66" s="33"/>
      <c r="IIR66" s="33"/>
      <c r="IIV66" s="41"/>
      <c r="IJB66" s="42"/>
      <c r="IJI66" s="33"/>
      <c r="IJJ66" s="33"/>
      <c r="IJN66" s="41"/>
      <c r="IJT66" s="42"/>
      <c r="IKA66" s="33"/>
      <c r="IKB66" s="33"/>
      <c r="IKF66" s="41"/>
      <c r="IKL66" s="42"/>
      <c r="IKS66" s="33"/>
      <c r="IKT66" s="33"/>
      <c r="IKX66" s="41"/>
      <c r="ILD66" s="42"/>
      <c r="ILK66" s="33"/>
      <c r="ILL66" s="33"/>
      <c r="ILP66" s="41"/>
      <c r="ILV66" s="42"/>
      <c r="IMC66" s="33"/>
      <c r="IMD66" s="33"/>
      <c r="IMH66" s="41"/>
      <c r="IMN66" s="42"/>
      <c r="IMU66" s="33"/>
      <c r="IMV66" s="33"/>
      <c r="IMZ66" s="41"/>
      <c r="INF66" s="42"/>
      <c r="INM66" s="33"/>
      <c r="INN66" s="33"/>
      <c r="INR66" s="41"/>
      <c r="INX66" s="42"/>
      <c r="IOE66" s="33"/>
      <c r="IOF66" s="33"/>
      <c r="IOJ66" s="41"/>
      <c r="IOP66" s="42"/>
      <c r="IOW66" s="33"/>
      <c r="IOX66" s="33"/>
      <c r="IPB66" s="41"/>
      <c r="IPH66" s="42"/>
      <c r="IPO66" s="33"/>
      <c r="IPP66" s="33"/>
      <c r="IPT66" s="41"/>
      <c r="IPZ66" s="42"/>
      <c r="IQG66" s="33"/>
      <c r="IQH66" s="33"/>
      <c r="IQL66" s="41"/>
      <c r="IQR66" s="42"/>
      <c r="IQY66" s="33"/>
      <c r="IQZ66" s="33"/>
      <c r="IRD66" s="41"/>
      <c r="IRJ66" s="42"/>
      <c r="IRQ66" s="33"/>
      <c r="IRR66" s="33"/>
      <c r="IRV66" s="41"/>
      <c r="ISB66" s="42"/>
      <c r="ISI66" s="33"/>
      <c r="ISJ66" s="33"/>
      <c r="ISN66" s="41"/>
      <c r="IST66" s="42"/>
      <c r="ITA66" s="33"/>
      <c r="ITB66" s="33"/>
      <c r="ITF66" s="41"/>
      <c r="ITL66" s="42"/>
      <c r="ITS66" s="33"/>
      <c r="ITT66" s="33"/>
      <c r="ITX66" s="41"/>
      <c r="IUD66" s="42"/>
      <c r="IUK66" s="33"/>
      <c r="IUL66" s="33"/>
      <c r="IUP66" s="41"/>
      <c r="IUV66" s="42"/>
      <c r="IVC66" s="33"/>
      <c r="IVD66" s="33"/>
      <c r="IVH66" s="41"/>
      <c r="IVN66" s="42"/>
      <c r="IVU66" s="33"/>
      <c r="IVV66" s="33"/>
      <c r="IVZ66" s="41"/>
      <c r="IWF66" s="42"/>
      <c r="IWM66" s="33"/>
      <c r="IWN66" s="33"/>
      <c r="IWR66" s="41"/>
      <c r="IWX66" s="42"/>
      <c r="IXE66" s="33"/>
      <c r="IXF66" s="33"/>
      <c r="IXJ66" s="41"/>
      <c r="IXP66" s="42"/>
      <c r="IXW66" s="33"/>
      <c r="IXX66" s="33"/>
      <c r="IYB66" s="41"/>
      <c r="IYH66" s="42"/>
      <c r="IYO66" s="33"/>
      <c r="IYP66" s="33"/>
      <c r="IYT66" s="41"/>
      <c r="IYZ66" s="42"/>
      <c r="IZG66" s="33"/>
      <c r="IZH66" s="33"/>
      <c r="IZL66" s="41"/>
      <c r="IZR66" s="42"/>
      <c r="IZY66" s="33"/>
      <c r="IZZ66" s="33"/>
      <c r="JAD66" s="41"/>
      <c r="JAJ66" s="42"/>
      <c r="JAQ66" s="33"/>
      <c r="JAR66" s="33"/>
      <c r="JAV66" s="41"/>
      <c r="JBB66" s="42"/>
      <c r="JBI66" s="33"/>
      <c r="JBJ66" s="33"/>
      <c r="JBN66" s="41"/>
      <c r="JBT66" s="42"/>
      <c r="JCA66" s="33"/>
      <c r="JCB66" s="33"/>
      <c r="JCF66" s="41"/>
      <c r="JCL66" s="42"/>
      <c r="JCS66" s="33"/>
      <c r="JCT66" s="33"/>
      <c r="JCX66" s="41"/>
      <c r="JDD66" s="42"/>
      <c r="JDK66" s="33"/>
      <c r="JDL66" s="33"/>
      <c r="JDP66" s="41"/>
      <c r="JDV66" s="42"/>
      <c r="JEC66" s="33"/>
      <c r="JED66" s="33"/>
      <c r="JEH66" s="41"/>
      <c r="JEN66" s="42"/>
      <c r="JEU66" s="33"/>
      <c r="JEV66" s="33"/>
      <c r="JEZ66" s="41"/>
      <c r="JFF66" s="42"/>
      <c r="JFM66" s="33"/>
      <c r="JFN66" s="33"/>
      <c r="JFR66" s="41"/>
      <c r="JFX66" s="42"/>
      <c r="JGE66" s="33"/>
      <c r="JGF66" s="33"/>
      <c r="JGJ66" s="41"/>
      <c r="JGP66" s="42"/>
      <c r="JGW66" s="33"/>
      <c r="JGX66" s="33"/>
      <c r="JHB66" s="41"/>
      <c r="JHH66" s="42"/>
      <c r="JHO66" s="33"/>
      <c r="JHP66" s="33"/>
      <c r="JHT66" s="41"/>
      <c r="JHZ66" s="42"/>
      <c r="JIG66" s="33"/>
      <c r="JIH66" s="33"/>
      <c r="JIL66" s="41"/>
      <c r="JIR66" s="42"/>
      <c r="JIY66" s="33"/>
      <c r="JIZ66" s="33"/>
      <c r="JJD66" s="41"/>
      <c r="JJJ66" s="42"/>
      <c r="JJQ66" s="33"/>
      <c r="JJR66" s="33"/>
      <c r="JJV66" s="41"/>
      <c r="JKB66" s="42"/>
      <c r="JKI66" s="33"/>
      <c r="JKJ66" s="33"/>
      <c r="JKN66" s="41"/>
      <c r="JKT66" s="42"/>
      <c r="JLA66" s="33"/>
      <c r="JLB66" s="33"/>
      <c r="JLF66" s="41"/>
      <c r="JLL66" s="42"/>
      <c r="JLS66" s="33"/>
      <c r="JLT66" s="33"/>
      <c r="JLX66" s="41"/>
      <c r="JMD66" s="42"/>
      <c r="JMK66" s="33"/>
      <c r="JML66" s="33"/>
      <c r="JMP66" s="41"/>
      <c r="JMV66" s="42"/>
      <c r="JNC66" s="33"/>
      <c r="JND66" s="33"/>
      <c r="JNH66" s="41"/>
      <c r="JNN66" s="42"/>
      <c r="JNU66" s="33"/>
      <c r="JNV66" s="33"/>
      <c r="JNZ66" s="41"/>
      <c r="JOF66" s="42"/>
      <c r="JOM66" s="33"/>
      <c r="JON66" s="33"/>
      <c r="JOR66" s="41"/>
      <c r="JOX66" s="42"/>
      <c r="JPE66" s="33"/>
      <c r="JPF66" s="33"/>
      <c r="JPJ66" s="41"/>
      <c r="JPP66" s="42"/>
      <c r="JPW66" s="33"/>
      <c r="JPX66" s="33"/>
      <c r="JQB66" s="41"/>
      <c r="JQH66" s="42"/>
      <c r="JQO66" s="33"/>
      <c r="JQP66" s="33"/>
      <c r="JQT66" s="41"/>
      <c r="JQZ66" s="42"/>
      <c r="JRG66" s="33"/>
      <c r="JRH66" s="33"/>
      <c r="JRL66" s="41"/>
      <c r="JRR66" s="42"/>
      <c r="JRY66" s="33"/>
      <c r="JRZ66" s="33"/>
      <c r="JSD66" s="41"/>
      <c r="JSJ66" s="42"/>
      <c r="JSQ66" s="33"/>
      <c r="JSR66" s="33"/>
      <c r="JSV66" s="41"/>
      <c r="JTB66" s="42"/>
      <c r="JTI66" s="33"/>
      <c r="JTJ66" s="33"/>
      <c r="JTN66" s="41"/>
      <c r="JTT66" s="42"/>
      <c r="JUA66" s="33"/>
      <c r="JUB66" s="33"/>
      <c r="JUF66" s="41"/>
      <c r="JUL66" s="42"/>
      <c r="JUS66" s="33"/>
      <c r="JUT66" s="33"/>
      <c r="JUX66" s="41"/>
      <c r="JVD66" s="42"/>
      <c r="JVK66" s="33"/>
      <c r="JVL66" s="33"/>
      <c r="JVP66" s="41"/>
      <c r="JVV66" s="42"/>
      <c r="JWC66" s="33"/>
      <c r="JWD66" s="33"/>
      <c r="JWH66" s="41"/>
      <c r="JWN66" s="42"/>
      <c r="JWU66" s="33"/>
      <c r="JWV66" s="33"/>
      <c r="JWZ66" s="41"/>
      <c r="JXF66" s="42"/>
      <c r="JXM66" s="33"/>
      <c r="JXN66" s="33"/>
      <c r="JXR66" s="41"/>
      <c r="JXX66" s="42"/>
      <c r="JYE66" s="33"/>
      <c r="JYF66" s="33"/>
      <c r="JYJ66" s="41"/>
      <c r="JYP66" s="42"/>
      <c r="JYW66" s="33"/>
      <c r="JYX66" s="33"/>
      <c r="JZB66" s="41"/>
      <c r="JZH66" s="42"/>
      <c r="JZO66" s="33"/>
      <c r="JZP66" s="33"/>
      <c r="JZT66" s="41"/>
      <c r="JZZ66" s="42"/>
      <c r="KAG66" s="33"/>
      <c r="KAH66" s="33"/>
      <c r="KAL66" s="41"/>
      <c r="KAR66" s="42"/>
      <c r="KAY66" s="33"/>
      <c r="KAZ66" s="33"/>
      <c r="KBD66" s="41"/>
      <c r="KBJ66" s="42"/>
      <c r="KBQ66" s="33"/>
      <c r="KBR66" s="33"/>
      <c r="KBV66" s="41"/>
      <c r="KCB66" s="42"/>
      <c r="KCI66" s="33"/>
      <c r="KCJ66" s="33"/>
      <c r="KCN66" s="41"/>
      <c r="KCT66" s="42"/>
      <c r="KDA66" s="33"/>
      <c r="KDB66" s="33"/>
      <c r="KDF66" s="41"/>
      <c r="KDL66" s="42"/>
      <c r="KDS66" s="33"/>
      <c r="KDT66" s="33"/>
      <c r="KDX66" s="41"/>
      <c r="KED66" s="42"/>
      <c r="KEK66" s="33"/>
      <c r="KEL66" s="33"/>
      <c r="KEP66" s="41"/>
      <c r="KEV66" s="42"/>
      <c r="KFC66" s="33"/>
      <c r="KFD66" s="33"/>
      <c r="KFH66" s="41"/>
      <c r="KFN66" s="42"/>
      <c r="KFU66" s="33"/>
      <c r="KFV66" s="33"/>
      <c r="KFZ66" s="41"/>
      <c r="KGF66" s="42"/>
      <c r="KGM66" s="33"/>
      <c r="KGN66" s="33"/>
      <c r="KGR66" s="41"/>
      <c r="KGX66" s="42"/>
      <c r="KHE66" s="33"/>
      <c r="KHF66" s="33"/>
      <c r="KHJ66" s="41"/>
      <c r="KHP66" s="42"/>
      <c r="KHW66" s="33"/>
      <c r="KHX66" s="33"/>
      <c r="KIB66" s="41"/>
      <c r="KIH66" s="42"/>
      <c r="KIO66" s="33"/>
      <c r="KIP66" s="33"/>
      <c r="KIT66" s="41"/>
      <c r="KIZ66" s="42"/>
      <c r="KJG66" s="33"/>
      <c r="KJH66" s="33"/>
      <c r="KJL66" s="41"/>
      <c r="KJR66" s="42"/>
      <c r="KJY66" s="33"/>
      <c r="KJZ66" s="33"/>
      <c r="KKD66" s="41"/>
      <c r="KKJ66" s="42"/>
      <c r="KKQ66" s="33"/>
      <c r="KKR66" s="33"/>
      <c r="KKV66" s="41"/>
      <c r="KLB66" s="42"/>
      <c r="KLI66" s="33"/>
      <c r="KLJ66" s="33"/>
      <c r="KLN66" s="41"/>
      <c r="KLT66" s="42"/>
      <c r="KMA66" s="33"/>
      <c r="KMB66" s="33"/>
      <c r="KMF66" s="41"/>
      <c r="KML66" s="42"/>
      <c r="KMS66" s="33"/>
      <c r="KMT66" s="33"/>
      <c r="KMX66" s="41"/>
      <c r="KND66" s="42"/>
      <c r="KNK66" s="33"/>
      <c r="KNL66" s="33"/>
      <c r="KNP66" s="41"/>
      <c r="KNV66" s="42"/>
      <c r="KOC66" s="33"/>
      <c r="KOD66" s="33"/>
      <c r="KOH66" s="41"/>
      <c r="KON66" s="42"/>
      <c r="KOU66" s="33"/>
      <c r="KOV66" s="33"/>
      <c r="KOZ66" s="41"/>
      <c r="KPF66" s="42"/>
      <c r="KPM66" s="33"/>
      <c r="KPN66" s="33"/>
      <c r="KPR66" s="41"/>
      <c r="KPX66" s="42"/>
      <c r="KQE66" s="33"/>
      <c r="KQF66" s="33"/>
      <c r="KQJ66" s="41"/>
      <c r="KQP66" s="42"/>
      <c r="KQW66" s="33"/>
      <c r="KQX66" s="33"/>
      <c r="KRB66" s="41"/>
      <c r="KRH66" s="42"/>
      <c r="KRO66" s="33"/>
      <c r="KRP66" s="33"/>
      <c r="KRT66" s="41"/>
      <c r="KRZ66" s="42"/>
      <c r="KSG66" s="33"/>
      <c r="KSH66" s="33"/>
      <c r="KSL66" s="41"/>
      <c r="KSR66" s="42"/>
      <c r="KSY66" s="33"/>
      <c r="KSZ66" s="33"/>
      <c r="KTD66" s="41"/>
      <c r="KTJ66" s="42"/>
      <c r="KTQ66" s="33"/>
      <c r="KTR66" s="33"/>
      <c r="KTV66" s="41"/>
      <c r="KUB66" s="42"/>
      <c r="KUI66" s="33"/>
      <c r="KUJ66" s="33"/>
      <c r="KUN66" s="41"/>
      <c r="KUT66" s="42"/>
      <c r="KVA66" s="33"/>
      <c r="KVB66" s="33"/>
      <c r="KVF66" s="41"/>
      <c r="KVL66" s="42"/>
      <c r="KVS66" s="33"/>
      <c r="KVT66" s="33"/>
      <c r="KVX66" s="41"/>
      <c r="KWD66" s="42"/>
      <c r="KWK66" s="33"/>
      <c r="KWL66" s="33"/>
      <c r="KWP66" s="41"/>
      <c r="KWV66" s="42"/>
      <c r="KXC66" s="33"/>
      <c r="KXD66" s="33"/>
      <c r="KXH66" s="41"/>
      <c r="KXN66" s="42"/>
      <c r="KXU66" s="33"/>
      <c r="KXV66" s="33"/>
      <c r="KXZ66" s="41"/>
      <c r="KYF66" s="42"/>
      <c r="KYM66" s="33"/>
      <c r="KYN66" s="33"/>
      <c r="KYR66" s="41"/>
      <c r="KYX66" s="42"/>
      <c r="KZE66" s="33"/>
      <c r="KZF66" s="33"/>
      <c r="KZJ66" s="41"/>
      <c r="KZP66" s="42"/>
      <c r="KZW66" s="33"/>
      <c r="KZX66" s="33"/>
      <c r="LAB66" s="41"/>
      <c r="LAH66" s="42"/>
      <c r="LAO66" s="33"/>
      <c r="LAP66" s="33"/>
      <c r="LAT66" s="41"/>
      <c r="LAZ66" s="42"/>
      <c r="LBG66" s="33"/>
      <c r="LBH66" s="33"/>
      <c r="LBL66" s="41"/>
      <c r="LBR66" s="42"/>
      <c r="LBY66" s="33"/>
      <c r="LBZ66" s="33"/>
      <c r="LCD66" s="41"/>
      <c r="LCJ66" s="42"/>
      <c r="LCQ66" s="33"/>
      <c r="LCR66" s="33"/>
      <c r="LCV66" s="41"/>
      <c r="LDB66" s="42"/>
      <c r="LDI66" s="33"/>
      <c r="LDJ66" s="33"/>
      <c r="LDN66" s="41"/>
      <c r="LDT66" s="42"/>
      <c r="LEA66" s="33"/>
      <c r="LEB66" s="33"/>
      <c r="LEF66" s="41"/>
      <c r="LEL66" s="42"/>
      <c r="LES66" s="33"/>
      <c r="LET66" s="33"/>
      <c r="LEX66" s="41"/>
      <c r="LFD66" s="42"/>
      <c r="LFK66" s="33"/>
      <c r="LFL66" s="33"/>
      <c r="LFP66" s="41"/>
      <c r="LFV66" s="42"/>
      <c r="LGC66" s="33"/>
      <c r="LGD66" s="33"/>
      <c r="LGH66" s="41"/>
      <c r="LGN66" s="42"/>
      <c r="LGU66" s="33"/>
      <c r="LGV66" s="33"/>
      <c r="LGZ66" s="41"/>
      <c r="LHF66" s="42"/>
      <c r="LHM66" s="33"/>
      <c r="LHN66" s="33"/>
      <c r="LHR66" s="41"/>
      <c r="LHX66" s="42"/>
      <c r="LIE66" s="33"/>
      <c r="LIF66" s="33"/>
      <c r="LIJ66" s="41"/>
      <c r="LIP66" s="42"/>
      <c r="LIW66" s="33"/>
      <c r="LIX66" s="33"/>
      <c r="LJB66" s="41"/>
      <c r="LJH66" s="42"/>
      <c r="LJO66" s="33"/>
      <c r="LJP66" s="33"/>
      <c r="LJT66" s="41"/>
      <c r="LJZ66" s="42"/>
      <c r="LKG66" s="33"/>
      <c r="LKH66" s="33"/>
      <c r="LKL66" s="41"/>
      <c r="LKR66" s="42"/>
      <c r="LKY66" s="33"/>
      <c r="LKZ66" s="33"/>
      <c r="LLD66" s="41"/>
      <c r="LLJ66" s="42"/>
      <c r="LLQ66" s="33"/>
      <c r="LLR66" s="33"/>
      <c r="LLV66" s="41"/>
      <c r="LMB66" s="42"/>
      <c r="LMI66" s="33"/>
      <c r="LMJ66" s="33"/>
      <c r="LMN66" s="41"/>
      <c r="LMT66" s="42"/>
      <c r="LNA66" s="33"/>
      <c r="LNB66" s="33"/>
      <c r="LNF66" s="41"/>
      <c r="LNL66" s="42"/>
      <c r="LNS66" s="33"/>
      <c r="LNT66" s="33"/>
      <c r="LNX66" s="41"/>
      <c r="LOD66" s="42"/>
      <c r="LOK66" s="33"/>
      <c r="LOL66" s="33"/>
      <c r="LOP66" s="41"/>
      <c r="LOV66" s="42"/>
      <c r="LPC66" s="33"/>
      <c r="LPD66" s="33"/>
      <c r="LPH66" s="41"/>
      <c r="LPN66" s="42"/>
      <c r="LPU66" s="33"/>
      <c r="LPV66" s="33"/>
      <c r="LPZ66" s="41"/>
      <c r="LQF66" s="42"/>
      <c r="LQM66" s="33"/>
      <c r="LQN66" s="33"/>
      <c r="LQR66" s="41"/>
      <c r="LQX66" s="42"/>
      <c r="LRE66" s="33"/>
      <c r="LRF66" s="33"/>
      <c r="LRJ66" s="41"/>
      <c r="LRP66" s="42"/>
      <c r="LRW66" s="33"/>
      <c r="LRX66" s="33"/>
      <c r="LSB66" s="41"/>
      <c r="LSH66" s="42"/>
      <c r="LSO66" s="33"/>
      <c r="LSP66" s="33"/>
      <c r="LST66" s="41"/>
      <c r="LSZ66" s="42"/>
      <c r="LTG66" s="33"/>
      <c r="LTH66" s="33"/>
      <c r="LTL66" s="41"/>
      <c r="LTR66" s="42"/>
      <c r="LTY66" s="33"/>
      <c r="LTZ66" s="33"/>
      <c r="LUD66" s="41"/>
      <c r="LUJ66" s="42"/>
      <c r="LUQ66" s="33"/>
      <c r="LUR66" s="33"/>
      <c r="LUV66" s="41"/>
      <c r="LVB66" s="42"/>
      <c r="LVI66" s="33"/>
      <c r="LVJ66" s="33"/>
      <c r="LVN66" s="41"/>
      <c r="LVT66" s="42"/>
      <c r="LWA66" s="33"/>
      <c r="LWB66" s="33"/>
      <c r="LWF66" s="41"/>
      <c r="LWL66" s="42"/>
      <c r="LWS66" s="33"/>
      <c r="LWT66" s="33"/>
      <c r="LWX66" s="41"/>
      <c r="LXD66" s="42"/>
      <c r="LXK66" s="33"/>
      <c r="LXL66" s="33"/>
      <c r="LXP66" s="41"/>
      <c r="LXV66" s="42"/>
      <c r="LYC66" s="33"/>
      <c r="LYD66" s="33"/>
      <c r="LYH66" s="41"/>
      <c r="LYN66" s="42"/>
      <c r="LYU66" s="33"/>
      <c r="LYV66" s="33"/>
      <c r="LYZ66" s="41"/>
      <c r="LZF66" s="42"/>
      <c r="LZM66" s="33"/>
      <c r="LZN66" s="33"/>
      <c r="LZR66" s="41"/>
      <c r="LZX66" s="42"/>
      <c r="MAE66" s="33"/>
      <c r="MAF66" s="33"/>
      <c r="MAJ66" s="41"/>
      <c r="MAP66" s="42"/>
      <c r="MAW66" s="33"/>
      <c r="MAX66" s="33"/>
      <c r="MBB66" s="41"/>
      <c r="MBH66" s="42"/>
      <c r="MBO66" s="33"/>
      <c r="MBP66" s="33"/>
      <c r="MBT66" s="41"/>
      <c r="MBZ66" s="42"/>
      <c r="MCG66" s="33"/>
      <c r="MCH66" s="33"/>
      <c r="MCL66" s="41"/>
      <c r="MCR66" s="42"/>
      <c r="MCY66" s="33"/>
      <c r="MCZ66" s="33"/>
      <c r="MDD66" s="41"/>
      <c r="MDJ66" s="42"/>
      <c r="MDQ66" s="33"/>
      <c r="MDR66" s="33"/>
      <c r="MDV66" s="41"/>
      <c r="MEB66" s="42"/>
      <c r="MEI66" s="33"/>
      <c r="MEJ66" s="33"/>
      <c r="MEN66" s="41"/>
      <c r="MET66" s="42"/>
      <c r="MFA66" s="33"/>
      <c r="MFB66" s="33"/>
      <c r="MFF66" s="41"/>
      <c r="MFL66" s="42"/>
      <c r="MFS66" s="33"/>
      <c r="MFT66" s="33"/>
      <c r="MFX66" s="41"/>
      <c r="MGD66" s="42"/>
      <c r="MGK66" s="33"/>
      <c r="MGL66" s="33"/>
      <c r="MGP66" s="41"/>
      <c r="MGV66" s="42"/>
      <c r="MHC66" s="33"/>
      <c r="MHD66" s="33"/>
      <c r="MHH66" s="41"/>
      <c r="MHN66" s="42"/>
      <c r="MHU66" s="33"/>
      <c r="MHV66" s="33"/>
      <c r="MHZ66" s="41"/>
      <c r="MIF66" s="42"/>
      <c r="MIM66" s="33"/>
      <c r="MIN66" s="33"/>
      <c r="MIR66" s="41"/>
      <c r="MIX66" s="42"/>
      <c r="MJE66" s="33"/>
      <c r="MJF66" s="33"/>
      <c r="MJJ66" s="41"/>
      <c r="MJP66" s="42"/>
      <c r="MJW66" s="33"/>
      <c r="MJX66" s="33"/>
      <c r="MKB66" s="41"/>
      <c r="MKH66" s="42"/>
      <c r="MKO66" s="33"/>
      <c r="MKP66" s="33"/>
      <c r="MKT66" s="41"/>
      <c r="MKZ66" s="42"/>
      <c r="MLG66" s="33"/>
      <c r="MLH66" s="33"/>
      <c r="MLL66" s="41"/>
      <c r="MLR66" s="42"/>
      <c r="MLY66" s="33"/>
      <c r="MLZ66" s="33"/>
      <c r="MMD66" s="41"/>
      <c r="MMJ66" s="42"/>
      <c r="MMQ66" s="33"/>
      <c r="MMR66" s="33"/>
      <c r="MMV66" s="41"/>
      <c r="MNB66" s="42"/>
      <c r="MNI66" s="33"/>
      <c r="MNJ66" s="33"/>
      <c r="MNN66" s="41"/>
      <c r="MNT66" s="42"/>
      <c r="MOA66" s="33"/>
      <c r="MOB66" s="33"/>
      <c r="MOF66" s="41"/>
      <c r="MOL66" s="42"/>
      <c r="MOS66" s="33"/>
      <c r="MOT66" s="33"/>
      <c r="MOX66" s="41"/>
      <c r="MPD66" s="42"/>
      <c r="MPK66" s="33"/>
      <c r="MPL66" s="33"/>
      <c r="MPP66" s="41"/>
      <c r="MPV66" s="42"/>
      <c r="MQC66" s="33"/>
      <c r="MQD66" s="33"/>
      <c r="MQH66" s="41"/>
      <c r="MQN66" s="42"/>
      <c r="MQU66" s="33"/>
      <c r="MQV66" s="33"/>
      <c r="MQZ66" s="41"/>
      <c r="MRF66" s="42"/>
      <c r="MRM66" s="33"/>
      <c r="MRN66" s="33"/>
      <c r="MRR66" s="41"/>
      <c r="MRX66" s="42"/>
      <c r="MSE66" s="33"/>
      <c r="MSF66" s="33"/>
      <c r="MSJ66" s="41"/>
      <c r="MSP66" s="42"/>
      <c r="MSW66" s="33"/>
      <c r="MSX66" s="33"/>
      <c r="MTB66" s="41"/>
      <c r="MTH66" s="42"/>
      <c r="MTO66" s="33"/>
      <c r="MTP66" s="33"/>
      <c r="MTT66" s="41"/>
      <c r="MTZ66" s="42"/>
      <c r="MUG66" s="33"/>
      <c r="MUH66" s="33"/>
      <c r="MUL66" s="41"/>
      <c r="MUR66" s="42"/>
      <c r="MUY66" s="33"/>
      <c r="MUZ66" s="33"/>
      <c r="MVD66" s="41"/>
      <c r="MVJ66" s="42"/>
      <c r="MVQ66" s="33"/>
      <c r="MVR66" s="33"/>
      <c r="MVV66" s="41"/>
      <c r="MWB66" s="42"/>
      <c r="MWI66" s="33"/>
      <c r="MWJ66" s="33"/>
      <c r="MWN66" s="41"/>
      <c r="MWT66" s="42"/>
      <c r="MXA66" s="33"/>
      <c r="MXB66" s="33"/>
      <c r="MXF66" s="41"/>
      <c r="MXL66" s="42"/>
      <c r="MXS66" s="33"/>
      <c r="MXT66" s="33"/>
      <c r="MXX66" s="41"/>
      <c r="MYD66" s="42"/>
      <c r="MYK66" s="33"/>
      <c r="MYL66" s="33"/>
      <c r="MYP66" s="41"/>
      <c r="MYV66" s="42"/>
      <c r="MZC66" s="33"/>
      <c r="MZD66" s="33"/>
      <c r="MZH66" s="41"/>
      <c r="MZN66" s="42"/>
      <c r="MZU66" s="33"/>
      <c r="MZV66" s="33"/>
      <c r="MZZ66" s="41"/>
      <c r="NAF66" s="42"/>
      <c r="NAM66" s="33"/>
      <c r="NAN66" s="33"/>
      <c r="NAR66" s="41"/>
      <c r="NAX66" s="42"/>
      <c r="NBE66" s="33"/>
      <c r="NBF66" s="33"/>
      <c r="NBJ66" s="41"/>
      <c r="NBP66" s="42"/>
      <c r="NBW66" s="33"/>
      <c r="NBX66" s="33"/>
      <c r="NCB66" s="41"/>
      <c r="NCH66" s="42"/>
      <c r="NCO66" s="33"/>
      <c r="NCP66" s="33"/>
      <c r="NCT66" s="41"/>
      <c r="NCZ66" s="42"/>
      <c r="NDG66" s="33"/>
      <c r="NDH66" s="33"/>
      <c r="NDL66" s="41"/>
      <c r="NDR66" s="42"/>
      <c r="NDY66" s="33"/>
      <c r="NDZ66" s="33"/>
      <c r="NED66" s="41"/>
      <c r="NEJ66" s="42"/>
      <c r="NEQ66" s="33"/>
      <c r="NER66" s="33"/>
      <c r="NEV66" s="41"/>
      <c r="NFB66" s="42"/>
      <c r="NFI66" s="33"/>
      <c r="NFJ66" s="33"/>
      <c r="NFN66" s="41"/>
      <c r="NFT66" s="42"/>
      <c r="NGA66" s="33"/>
      <c r="NGB66" s="33"/>
      <c r="NGF66" s="41"/>
      <c r="NGL66" s="42"/>
      <c r="NGS66" s="33"/>
      <c r="NGT66" s="33"/>
      <c r="NGX66" s="41"/>
      <c r="NHD66" s="42"/>
      <c r="NHK66" s="33"/>
      <c r="NHL66" s="33"/>
      <c r="NHP66" s="41"/>
      <c r="NHV66" s="42"/>
      <c r="NIC66" s="33"/>
      <c r="NID66" s="33"/>
      <c r="NIH66" s="41"/>
      <c r="NIN66" s="42"/>
      <c r="NIU66" s="33"/>
      <c r="NIV66" s="33"/>
      <c r="NIZ66" s="41"/>
      <c r="NJF66" s="42"/>
      <c r="NJM66" s="33"/>
      <c r="NJN66" s="33"/>
      <c r="NJR66" s="41"/>
      <c r="NJX66" s="42"/>
      <c r="NKE66" s="33"/>
      <c r="NKF66" s="33"/>
      <c r="NKJ66" s="41"/>
      <c r="NKP66" s="42"/>
      <c r="NKW66" s="33"/>
      <c r="NKX66" s="33"/>
      <c r="NLB66" s="41"/>
      <c r="NLH66" s="42"/>
      <c r="NLO66" s="33"/>
      <c r="NLP66" s="33"/>
      <c r="NLT66" s="41"/>
      <c r="NLZ66" s="42"/>
      <c r="NMG66" s="33"/>
      <c r="NMH66" s="33"/>
      <c r="NML66" s="41"/>
      <c r="NMR66" s="42"/>
      <c r="NMY66" s="33"/>
      <c r="NMZ66" s="33"/>
      <c r="NND66" s="41"/>
      <c r="NNJ66" s="42"/>
      <c r="NNQ66" s="33"/>
      <c r="NNR66" s="33"/>
      <c r="NNV66" s="41"/>
      <c r="NOB66" s="42"/>
      <c r="NOI66" s="33"/>
      <c r="NOJ66" s="33"/>
      <c r="NON66" s="41"/>
      <c r="NOT66" s="42"/>
      <c r="NPA66" s="33"/>
      <c r="NPB66" s="33"/>
      <c r="NPF66" s="41"/>
      <c r="NPL66" s="42"/>
      <c r="NPS66" s="33"/>
      <c r="NPT66" s="33"/>
      <c r="NPX66" s="41"/>
      <c r="NQD66" s="42"/>
      <c r="NQK66" s="33"/>
      <c r="NQL66" s="33"/>
      <c r="NQP66" s="41"/>
      <c r="NQV66" s="42"/>
      <c r="NRC66" s="33"/>
      <c r="NRD66" s="33"/>
      <c r="NRH66" s="41"/>
      <c r="NRN66" s="42"/>
      <c r="NRU66" s="33"/>
      <c r="NRV66" s="33"/>
      <c r="NRZ66" s="41"/>
      <c r="NSF66" s="42"/>
      <c r="NSM66" s="33"/>
      <c r="NSN66" s="33"/>
      <c r="NSR66" s="41"/>
      <c r="NSX66" s="42"/>
      <c r="NTE66" s="33"/>
      <c r="NTF66" s="33"/>
      <c r="NTJ66" s="41"/>
      <c r="NTP66" s="42"/>
      <c r="NTW66" s="33"/>
      <c r="NTX66" s="33"/>
      <c r="NUB66" s="41"/>
      <c r="NUH66" s="42"/>
      <c r="NUO66" s="33"/>
      <c r="NUP66" s="33"/>
      <c r="NUT66" s="41"/>
      <c r="NUZ66" s="42"/>
      <c r="NVG66" s="33"/>
      <c r="NVH66" s="33"/>
      <c r="NVL66" s="41"/>
      <c r="NVR66" s="42"/>
      <c r="NVY66" s="33"/>
      <c r="NVZ66" s="33"/>
      <c r="NWD66" s="41"/>
      <c r="NWJ66" s="42"/>
      <c r="NWQ66" s="33"/>
      <c r="NWR66" s="33"/>
      <c r="NWV66" s="41"/>
      <c r="NXB66" s="42"/>
      <c r="NXI66" s="33"/>
      <c r="NXJ66" s="33"/>
      <c r="NXN66" s="41"/>
      <c r="NXT66" s="42"/>
      <c r="NYA66" s="33"/>
      <c r="NYB66" s="33"/>
      <c r="NYF66" s="41"/>
      <c r="NYL66" s="42"/>
      <c r="NYS66" s="33"/>
      <c r="NYT66" s="33"/>
      <c r="NYX66" s="41"/>
      <c r="NZD66" s="42"/>
      <c r="NZK66" s="33"/>
      <c r="NZL66" s="33"/>
      <c r="NZP66" s="41"/>
      <c r="NZV66" s="42"/>
      <c r="OAC66" s="33"/>
      <c r="OAD66" s="33"/>
      <c r="OAH66" s="41"/>
      <c r="OAN66" s="42"/>
      <c r="OAU66" s="33"/>
      <c r="OAV66" s="33"/>
      <c r="OAZ66" s="41"/>
      <c r="OBF66" s="42"/>
      <c r="OBM66" s="33"/>
      <c r="OBN66" s="33"/>
      <c r="OBR66" s="41"/>
      <c r="OBX66" s="42"/>
      <c r="OCE66" s="33"/>
      <c r="OCF66" s="33"/>
      <c r="OCJ66" s="41"/>
      <c r="OCP66" s="42"/>
      <c r="OCW66" s="33"/>
      <c r="OCX66" s="33"/>
      <c r="ODB66" s="41"/>
      <c r="ODH66" s="42"/>
      <c r="ODO66" s="33"/>
      <c r="ODP66" s="33"/>
      <c r="ODT66" s="41"/>
      <c r="ODZ66" s="42"/>
      <c r="OEG66" s="33"/>
      <c r="OEH66" s="33"/>
      <c r="OEL66" s="41"/>
      <c r="OER66" s="42"/>
      <c r="OEY66" s="33"/>
      <c r="OEZ66" s="33"/>
      <c r="OFD66" s="41"/>
      <c r="OFJ66" s="42"/>
      <c r="OFQ66" s="33"/>
      <c r="OFR66" s="33"/>
      <c r="OFV66" s="41"/>
      <c r="OGB66" s="42"/>
      <c r="OGI66" s="33"/>
      <c r="OGJ66" s="33"/>
      <c r="OGN66" s="41"/>
      <c r="OGT66" s="42"/>
      <c r="OHA66" s="33"/>
      <c r="OHB66" s="33"/>
      <c r="OHF66" s="41"/>
      <c r="OHL66" s="42"/>
      <c r="OHS66" s="33"/>
      <c r="OHT66" s="33"/>
      <c r="OHX66" s="41"/>
      <c r="OID66" s="42"/>
      <c r="OIK66" s="33"/>
      <c r="OIL66" s="33"/>
      <c r="OIP66" s="41"/>
      <c r="OIV66" s="42"/>
      <c r="OJC66" s="33"/>
      <c r="OJD66" s="33"/>
      <c r="OJH66" s="41"/>
      <c r="OJN66" s="42"/>
      <c r="OJU66" s="33"/>
      <c r="OJV66" s="33"/>
      <c r="OJZ66" s="41"/>
      <c r="OKF66" s="42"/>
      <c r="OKM66" s="33"/>
      <c r="OKN66" s="33"/>
      <c r="OKR66" s="41"/>
      <c r="OKX66" s="42"/>
      <c r="OLE66" s="33"/>
      <c r="OLF66" s="33"/>
      <c r="OLJ66" s="41"/>
      <c r="OLP66" s="42"/>
      <c r="OLW66" s="33"/>
      <c r="OLX66" s="33"/>
      <c r="OMB66" s="41"/>
      <c r="OMH66" s="42"/>
      <c r="OMO66" s="33"/>
      <c r="OMP66" s="33"/>
      <c r="OMT66" s="41"/>
      <c r="OMZ66" s="42"/>
      <c r="ONG66" s="33"/>
      <c r="ONH66" s="33"/>
      <c r="ONL66" s="41"/>
      <c r="ONR66" s="42"/>
      <c r="ONY66" s="33"/>
      <c r="ONZ66" s="33"/>
      <c r="OOD66" s="41"/>
      <c r="OOJ66" s="42"/>
      <c r="OOQ66" s="33"/>
      <c r="OOR66" s="33"/>
      <c r="OOV66" s="41"/>
      <c r="OPB66" s="42"/>
      <c r="OPI66" s="33"/>
      <c r="OPJ66" s="33"/>
      <c r="OPN66" s="41"/>
      <c r="OPT66" s="42"/>
      <c r="OQA66" s="33"/>
      <c r="OQB66" s="33"/>
      <c r="OQF66" s="41"/>
      <c r="OQL66" s="42"/>
      <c r="OQS66" s="33"/>
      <c r="OQT66" s="33"/>
      <c r="OQX66" s="41"/>
      <c r="ORD66" s="42"/>
      <c r="ORK66" s="33"/>
      <c r="ORL66" s="33"/>
      <c r="ORP66" s="41"/>
      <c r="ORV66" s="42"/>
      <c r="OSC66" s="33"/>
      <c r="OSD66" s="33"/>
      <c r="OSH66" s="41"/>
      <c r="OSN66" s="42"/>
      <c r="OSU66" s="33"/>
      <c r="OSV66" s="33"/>
      <c r="OSZ66" s="41"/>
      <c r="OTF66" s="42"/>
      <c r="OTM66" s="33"/>
      <c r="OTN66" s="33"/>
      <c r="OTR66" s="41"/>
      <c r="OTX66" s="42"/>
      <c r="OUE66" s="33"/>
      <c r="OUF66" s="33"/>
      <c r="OUJ66" s="41"/>
      <c r="OUP66" s="42"/>
      <c r="OUW66" s="33"/>
      <c r="OUX66" s="33"/>
      <c r="OVB66" s="41"/>
      <c r="OVH66" s="42"/>
      <c r="OVO66" s="33"/>
      <c r="OVP66" s="33"/>
      <c r="OVT66" s="41"/>
      <c r="OVZ66" s="42"/>
      <c r="OWG66" s="33"/>
      <c r="OWH66" s="33"/>
      <c r="OWL66" s="41"/>
      <c r="OWR66" s="42"/>
      <c r="OWY66" s="33"/>
      <c r="OWZ66" s="33"/>
      <c r="OXD66" s="41"/>
      <c r="OXJ66" s="42"/>
      <c r="OXQ66" s="33"/>
      <c r="OXR66" s="33"/>
      <c r="OXV66" s="41"/>
      <c r="OYB66" s="42"/>
      <c r="OYI66" s="33"/>
      <c r="OYJ66" s="33"/>
      <c r="OYN66" s="41"/>
      <c r="OYT66" s="42"/>
      <c r="OZA66" s="33"/>
      <c r="OZB66" s="33"/>
      <c r="OZF66" s="41"/>
      <c r="OZL66" s="42"/>
      <c r="OZS66" s="33"/>
      <c r="OZT66" s="33"/>
      <c r="OZX66" s="41"/>
      <c r="PAD66" s="42"/>
      <c r="PAK66" s="33"/>
      <c r="PAL66" s="33"/>
      <c r="PAP66" s="41"/>
      <c r="PAV66" s="42"/>
      <c r="PBC66" s="33"/>
      <c r="PBD66" s="33"/>
      <c r="PBH66" s="41"/>
      <c r="PBN66" s="42"/>
      <c r="PBU66" s="33"/>
      <c r="PBV66" s="33"/>
      <c r="PBZ66" s="41"/>
      <c r="PCF66" s="42"/>
      <c r="PCM66" s="33"/>
      <c r="PCN66" s="33"/>
      <c r="PCR66" s="41"/>
      <c r="PCX66" s="42"/>
      <c r="PDE66" s="33"/>
      <c r="PDF66" s="33"/>
      <c r="PDJ66" s="41"/>
      <c r="PDP66" s="42"/>
      <c r="PDW66" s="33"/>
      <c r="PDX66" s="33"/>
      <c r="PEB66" s="41"/>
      <c r="PEH66" s="42"/>
      <c r="PEO66" s="33"/>
      <c r="PEP66" s="33"/>
      <c r="PET66" s="41"/>
      <c r="PEZ66" s="42"/>
      <c r="PFG66" s="33"/>
      <c r="PFH66" s="33"/>
      <c r="PFL66" s="41"/>
      <c r="PFR66" s="42"/>
      <c r="PFY66" s="33"/>
      <c r="PFZ66" s="33"/>
      <c r="PGD66" s="41"/>
      <c r="PGJ66" s="42"/>
      <c r="PGQ66" s="33"/>
      <c r="PGR66" s="33"/>
      <c r="PGV66" s="41"/>
      <c r="PHB66" s="42"/>
      <c r="PHI66" s="33"/>
      <c r="PHJ66" s="33"/>
      <c r="PHN66" s="41"/>
      <c r="PHT66" s="42"/>
      <c r="PIA66" s="33"/>
      <c r="PIB66" s="33"/>
      <c r="PIF66" s="41"/>
      <c r="PIL66" s="42"/>
      <c r="PIS66" s="33"/>
      <c r="PIT66" s="33"/>
      <c r="PIX66" s="41"/>
      <c r="PJD66" s="42"/>
      <c r="PJK66" s="33"/>
      <c r="PJL66" s="33"/>
      <c r="PJP66" s="41"/>
      <c r="PJV66" s="42"/>
      <c r="PKC66" s="33"/>
      <c r="PKD66" s="33"/>
      <c r="PKH66" s="41"/>
      <c r="PKN66" s="42"/>
      <c r="PKU66" s="33"/>
      <c r="PKV66" s="33"/>
      <c r="PKZ66" s="41"/>
      <c r="PLF66" s="42"/>
      <c r="PLM66" s="33"/>
      <c r="PLN66" s="33"/>
      <c r="PLR66" s="41"/>
      <c r="PLX66" s="42"/>
      <c r="PME66" s="33"/>
      <c r="PMF66" s="33"/>
      <c r="PMJ66" s="41"/>
      <c r="PMP66" s="42"/>
      <c r="PMW66" s="33"/>
      <c r="PMX66" s="33"/>
      <c r="PNB66" s="41"/>
      <c r="PNH66" s="42"/>
      <c r="PNO66" s="33"/>
      <c r="PNP66" s="33"/>
      <c r="PNT66" s="41"/>
      <c r="PNZ66" s="42"/>
      <c r="POG66" s="33"/>
      <c r="POH66" s="33"/>
      <c r="POL66" s="41"/>
      <c r="POR66" s="42"/>
      <c r="POY66" s="33"/>
      <c r="POZ66" s="33"/>
      <c r="PPD66" s="41"/>
      <c r="PPJ66" s="42"/>
      <c r="PPQ66" s="33"/>
      <c r="PPR66" s="33"/>
      <c r="PPV66" s="41"/>
      <c r="PQB66" s="42"/>
      <c r="PQI66" s="33"/>
      <c r="PQJ66" s="33"/>
      <c r="PQN66" s="41"/>
      <c r="PQT66" s="42"/>
      <c r="PRA66" s="33"/>
      <c r="PRB66" s="33"/>
      <c r="PRF66" s="41"/>
      <c r="PRL66" s="42"/>
      <c r="PRS66" s="33"/>
      <c r="PRT66" s="33"/>
      <c r="PRX66" s="41"/>
      <c r="PSD66" s="42"/>
      <c r="PSK66" s="33"/>
      <c r="PSL66" s="33"/>
      <c r="PSP66" s="41"/>
      <c r="PSV66" s="42"/>
      <c r="PTC66" s="33"/>
      <c r="PTD66" s="33"/>
      <c r="PTH66" s="41"/>
      <c r="PTN66" s="42"/>
      <c r="PTU66" s="33"/>
      <c r="PTV66" s="33"/>
      <c r="PTZ66" s="41"/>
      <c r="PUF66" s="42"/>
      <c r="PUM66" s="33"/>
      <c r="PUN66" s="33"/>
      <c r="PUR66" s="41"/>
      <c r="PUX66" s="42"/>
      <c r="PVE66" s="33"/>
      <c r="PVF66" s="33"/>
      <c r="PVJ66" s="41"/>
      <c r="PVP66" s="42"/>
      <c r="PVW66" s="33"/>
      <c r="PVX66" s="33"/>
      <c r="PWB66" s="41"/>
      <c r="PWH66" s="42"/>
      <c r="PWO66" s="33"/>
      <c r="PWP66" s="33"/>
      <c r="PWT66" s="41"/>
      <c r="PWZ66" s="42"/>
      <c r="PXG66" s="33"/>
      <c r="PXH66" s="33"/>
      <c r="PXL66" s="41"/>
      <c r="PXR66" s="42"/>
      <c r="PXY66" s="33"/>
      <c r="PXZ66" s="33"/>
      <c r="PYD66" s="41"/>
      <c r="PYJ66" s="42"/>
      <c r="PYQ66" s="33"/>
      <c r="PYR66" s="33"/>
      <c r="PYV66" s="41"/>
      <c r="PZB66" s="42"/>
      <c r="PZI66" s="33"/>
      <c r="PZJ66" s="33"/>
      <c r="PZN66" s="41"/>
      <c r="PZT66" s="42"/>
      <c r="QAA66" s="33"/>
      <c r="QAB66" s="33"/>
      <c r="QAF66" s="41"/>
      <c r="QAL66" s="42"/>
      <c r="QAS66" s="33"/>
      <c r="QAT66" s="33"/>
      <c r="QAX66" s="41"/>
      <c r="QBD66" s="42"/>
      <c r="QBK66" s="33"/>
      <c r="QBL66" s="33"/>
      <c r="QBP66" s="41"/>
      <c r="QBV66" s="42"/>
      <c r="QCC66" s="33"/>
      <c r="QCD66" s="33"/>
      <c r="QCH66" s="41"/>
      <c r="QCN66" s="42"/>
      <c r="QCU66" s="33"/>
      <c r="QCV66" s="33"/>
      <c r="QCZ66" s="41"/>
      <c r="QDF66" s="42"/>
      <c r="QDM66" s="33"/>
      <c r="QDN66" s="33"/>
      <c r="QDR66" s="41"/>
      <c r="QDX66" s="42"/>
      <c r="QEE66" s="33"/>
      <c r="QEF66" s="33"/>
      <c r="QEJ66" s="41"/>
      <c r="QEP66" s="42"/>
      <c r="QEW66" s="33"/>
      <c r="QEX66" s="33"/>
      <c r="QFB66" s="41"/>
      <c r="QFH66" s="42"/>
      <c r="QFO66" s="33"/>
      <c r="QFP66" s="33"/>
      <c r="QFT66" s="41"/>
      <c r="QFZ66" s="42"/>
      <c r="QGG66" s="33"/>
      <c r="QGH66" s="33"/>
      <c r="QGL66" s="41"/>
      <c r="QGR66" s="42"/>
      <c r="QGY66" s="33"/>
      <c r="QGZ66" s="33"/>
      <c r="QHD66" s="41"/>
      <c r="QHJ66" s="42"/>
      <c r="QHQ66" s="33"/>
      <c r="QHR66" s="33"/>
      <c r="QHV66" s="41"/>
      <c r="QIB66" s="42"/>
      <c r="QII66" s="33"/>
      <c r="QIJ66" s="33"/>
      <c r="QIN66" s="41"/>
      <c r="QIT66" s="42"/>
      <c r="QJA66" s="33"/>
      <c r="QJB66" s="33"/>
      <c r="QJF66" s="41"/>
      <c r="QJL66" s="42"/>
      <c r="QJS66" s="33"/>
      <c r="QJT66" s="33"/>
      <c r="QJX66" s="41"/>
      <c r="QKD66" s="42"/>
      <c r="QKK66" s="33"/>
      <c r="QKL66" s="33"/>
      <c r="QKP66" s="41"/>
      <c r="QKV66" s="42"/>
      <c r="QLC66" s="33"/>
      <c r="QLD66" s="33"/>
      <c r="QLH66" s="41"/>
      <c r="QLN66" s="42"/>
      <c r="QLU66" s="33"/>
      <c r="QLV66" s="33"/>
      <c r="QLZ66" s="41"/>
      <c r="QMF66" s="42"/>
      <c r="QMM66" s="33"/>
      <c r="QMN66" s="33"/>
      <c r="QMR66" s="41"/>
      <c r="QMX66" s="42"/>
      <c r="QNE66" s="33"/>
      <c r="QNF66" s="33"/>
      <c r="QNJ66" s="41"/>
      <c r="QNP66" s="42"/>
      <c r="QNW66" s="33"/>
      <c r="QNX66" s="33"/>
      <c r="QOB66" s="41"/>
      <c r="QOH66" s="42"/>
      <c r="QOO66" s="33"/>
      <c r="QOP66" s="33"/>
      <c r="QOT66" s="41"/>
      <c r="QOZ66" s="42"/>
      <c r="QPG66" s="33"/>
      <c r="QPH66" s="33"/>
      <c r="QPL66" s="41"/>
      <c r="QPR66" s="42"/>
      <c r="QPY66" s="33"/>
      <c r="QPZ66" s="33"/>
      <c r="QQD66" s="41"/>
      <c r="QQJ66" s="42"/>
      <c r="QQQ66" s="33"/>
      <c r="QQR66" s="33"/>
      <c r="QQV66" s="41"/>
      <c r="QRB66" s="42"/>
      <c r="QRI66" s="33"/>
      <c r="QRJ66" s="33"/>
      <c r="QRN66" s="41"/>
      <c r="QRT66" s="42"/>
      <c r="QSA66" s="33"/>
      <c r="QSB66" s="33"/>
      <c r="QSF66" s="41"/>
      <c r="QSL66" s="42"/>
      <c r="QSS66" s="33"/>
      <c r="QST66" s="33"/>
      <c r="QSX66" s="41"/>
      <c r="QTD66" s="42"/>
      <c r="QTK66" s="33"/>
      <c r="QTL66" s="33"/>
      <c r="QTP66" s="41"/>
      <c r="QTV66" s="42"/>
      <c r="QUC66" s="33"/>
      <c r="QUD66" s="33"/>
      <c r="QUH66" s="41"/>
      <c r="QUN66" s="42"/>
      <c r="QUU66" s="33"/>
      <c r="QUV66" s="33"/>
      <c r="QUZ66" s="41"/>
      <c r="QVF66" s="42"/>
      <c r="QVM66" s="33"/>
      <c r="QVN66" s="33"/>
      <c r="QVR66" s="41"/>
      <c r="QVX66" s="42"/>
      <c r="QWE66" s="33"/>
      <c r="QWF66" s="33"/>
      <c r="QWJ66" s="41"/>
      <c r="QWP66" s="42"/>
      <c r="QWW66" s="33"/>
      <c r="QWX66" s="33"/>
      <c r="QXB66" s="41"/>
      <c r="QXH66" s="42"/>
      <c r="QXO66" s="33"/>
      <c r="QXP66" s="33"/>
      <c r="QXT66" s="41"/>
      <c r="QXZ66" s="42"/>
      <c r="QYG66" s="33"/>
      <c r="QYH66" s="33"/>
      <c r="QYL66" s="41"/>
      <c r="QYR66" s="42"/>
      <c r="QYY66" s="33"/>
      <c r="QYZ66" s="33"/>
      <c r="QZD66" s="41"/>
      <c r="QZJ66" s="42"/>
      <c r="QZQ66" s="33"/>
      <c r="QZR66" s="33"/>
      <c r="QZV66" s="41"/>
      <c r="RAB66" s="42"/>
      <c r="RAI66" s="33"/>
      <c r="RAJ66" s="33"/>
      <c r="RAN66" s="41"/>
      <c r="RAT66" s="42"/>
      <c r="RBA66" s="33"/>
      <c r="RBB66" s="33"/>
      <c r="RBF66" s="41"/>
      <c r="RBL66" s="42"/>
      <c r="RBS66" s="33"/>
      <c r="RBT66" s="33"/>
      <c r="RBX66" s="41"/>
      <c r="RCD66" s="42"/>
      <c r="RCK66" s="33"/>
      <c r="RCL66" s="33"/>
      <c r="RCP66" s="41"/>
      <c r="RCV66" s="42"/>
      <c r="RDC66" s="33"/>
      <c r="RDD66" s="33"/>
      <c r="RDH66" s="41"/>
      <c r="RDN66" s="42"/>
      <c r="RDU66" s="33"/>
      <c r="RDV66" s="33"/>
      <c r="RDZ66" s="41"/>
      <c r="REF66" s="42"/>
      <c r="REM66" s="33"/>
      <c r="REN66" s="33"/>
      <c r="RER66" s="41"/>
      <c r="REX66" s="42"/>
      <c r="RFE66" s="33"/>
      <c r="RFF66" s="33"/>
      <c r="RFJ66" s="41"/>
      <c r="RFP66" s="42"/>
      <c r="RFW66" s="33"/>
      <c r="RFX66" s="33"/>
      <c r="RGB66" s="41"/>
      <c r="RGH66" s="42"/>
      <c r="RGO66" s="33"/>
      <c r="RGP66" s="33"/>
      <c r="RGT66" s="41"/>
      <c r="RGZ66" s="42"/>
      <c r="RHG66" s="33"/>
      <c r="RHH66" s="33"/>
      <c r="RHL66" s="41"/>
      <c r="RHR66" s="42"/>
      <c r="RHY66" s="33"/>
      <c r="RHZ66" s="33"/>
      <c r="RID66" s="41"/>
      <c r="RIJ66" s="42"/>
      <c r="RIQ66" s="33"/>
      <c r="RIR66" s="33"/>
      <c r="RIV66" s="41"/>
      <c r="RJB66" s="42"/>
      <c r="RJI66" s="33"/>
      <c r="RJJ66" s="33"/>
      <c r="RJN66" s="41"/>
      <c r="RJT66" s="42"/>
      <c r="RKA66" s="33"/>
      <c r="RKB66" s="33"/>
      <c r="RKF66" s="41"/>
      <c r="RKL66" s="42"/>
      <c r="RKS66" s="33"/>
      <c r="RKT66" s="33"/>
      <c r="RKX66" s="41"/>
      <c r="RLD66" s="42"/>
      <c r="RLK66" s="33"/>
      <c r="RLL66" s="33"/>
      <c r="RLP66" s="41"/>
      <c r="RLV66" s="42"/>
      <c r="RMC66" s="33"/>
      <c r="RMD66" s="33"/>
      <c r="RMH66" s="41"/>
      <c r="RMN66" s="42"/>
      <c r="RMU66" s="33"/>
      <c r="RMV66" s="33"/>
      <c r="RMZ66" s="41"/>
      <c r="RNF66" s="42"/>
      <c r="RNM66" s="33"/>
      <c r="RNN66" s="33"/>
      <c r="RNR66" s="41"/>
      <c r="RNX66" s="42"/>
      <c r="ROE66" s="33"/>
      <c r="ROF66" s="33"/>
      <c r="ROJ66" s="41"/>
      <c r="ROP66" s="42"/>
      <c r="ROW66" s="33"/>
      <c r="ROX66" s="33"/>
      <c r="RPB66" s="41"/>
      <c r="RPH66" s="42"/>
      <c r="RPO66" s="33"/>
      <c r="RPP66" s="33"/>
      <c r="RPT66" s="41"/>
      <c r="RPZ66" s="42"/>
      <c r="RQG66" s="33"/>
      <c r="RQH66" s="33"/>
      <c r="RQL66" s="41"/>
      <c r="RQR66" s="42"/>
      <c r="RQY66" s="33"/>
      <c r="RQZ66" s="33"/>
      <c r="RRD66" s="41"/>
      <c r="RRJ66" s="42"/>
      <c r="RRQ66" s="33"/>
      <c r="RRR66" s="33"/>
      <c r="RRV66" s="41"/>
      <c r="RSB66" s="42"/>
      <c r="RSI66" s="33"/>
      <c r="RSJ66" s="33"/>
      <c r="RSN66" s="41"/>
      <c r="RST66" s="42"/>
      <c r="RTA66" s="33"/>
      <c r="RTB66" s="33"/>
      <c r="RTF66" s="41"/>
      <c r="RTL66" s="42"/>
      <c r="RTS66" s="33"/>
      <c r="RTT66" s="33"/>
      <c r="RTX66" s="41"/>
      <c r="RUD66" s="42"/>
      <c r="RUK66" s="33"/>
      <c r="RUL66" s="33"/>
      <c r="RUP66" s="41"/>
      <c r="RUV66" s="42"/>
      <c r="RVC66" s="33"/>
      <c r="RVD66" s="33"/>
      <c r="RVH66" s="41"/>
      <c r="RVN66" s="42"/>
      <c r="RVU66" s="33"/>
      <c r="RVV66" s="33"/>
      <c r="RVZ66" s="41"/>
      <c r="RWF66" s="42"/>
      <c r="RWM66" s="33"/>
      <c r="RWN66" s="33"/>
      <c r="RWR66" s="41"/>
      <c r="RWX66" s="42"/>
      <c r="RXE66" s="33"/>
      <c r="RXF66" s="33"/>
      <c r="RXJ66" s="41"/>
      <c r="RXP66" s="42"/>
      <c r="RXW66" s="33"/>
      <c r="RXX66" s="33"/>
      <c r="RYB66" s="41"/>
      <c r="RYH66" s="42"/>
      <c r="RYO66" s="33"/>
      <c r="RYP66" s="33"/>
      <c r="RYT66" s="41"/>
      <c r="RYZ66" s="42"/>
      <c r="RZG66" s="33"/>
      <c r="RZH66" s="33"/>
      <c r="RZL66" s="41"/>
      <c r="RZR66" s="42"/>
      <c r="RZY66" s="33"/>
      <c r="RZZ66" s="33"/>
      <c r="SAD66" s="41"/>
      <c r="SAJ66" s="42"/>
      <c r="SAQ66" s="33"/>
      <c r="SAR66" s="33"/>
      <c r="SAV66" s="41"/>
      <c r="SBB66" s="42"/>
      <c r="SBI66" s="33"/>
      <c r="SBJ66" s="33"/>
      <c r="SBN66" s="41"/>
      <c r="SBT66" s="42"/>
      <c r="SCA66" s="33"/>
      <c r="SCB66" s="33"/>
      <c r="SCF66" s="41"/>
      <c r="SCL66" s="42"/>
      <c r="SCS66" s="33"/>
      <c r="SCT66" s="33"/>
      <c r="SCX66" s="41"/>
      <c r="SDD66" s="42"/>
      <c r="SDK66" s="33"/>
      <c r="SDL66" s="33"/>
      <c r="SDP66" s="41"/>
      <c r="SDV66" s="42"/>
      <c r="SEC66" s="33"/>
      <c r="SED66" s="33"/>
      <c r="SEH66" s="41"/>
      <c r="SEN66" s="42"/>
      <c r="SEU66" s="33"/>
      <c r="SEV66" s="33"/>
      <c r="SEZ66" s="41"/>
      <c r="SFF66" s="42"/>
      <c r="SFM66" s="33"/>
      <c r="SFN66" s="33"/>
      <c r="SFR66" s="41"/>
      <c r="SFX66" s="42"/>
      <c r="SGE66" s="33"/>
      <c r="SGF66" s="33"/>
      <c r="SGJ66" s="41"/>
      <c r="SGP66" s="42"/>
      <c r="SGW66" s="33"/>
      <c r="SGX66" s="33"/>
      <c r="SHB66" s="41"/>
      <c r="SHH66" s="42"/>
      <c r="SHO66" s="33"/>
      <c r="SHP66" s="33"/>
      <c r="SHT66" s="41"/>
      <c r="SHZ66" s="42"/>
      <c r="SIG66" s="33"/>
      <c r="SIH66" s="33"/>
      <c r="SIL66" s="41"/>
      <c r="SIR66" s="42"/>
      <c r="SIY66" s="33"/>
      <c r="SIZ66" s="33"/>
      <c r="SJD66" s="41"/>
      <c r="SJJ66" s="42"/>
      <c r="SJQ66" s="33"/>
      <c r="SJR66" s="33"/>
      <c r="SJV66" s="41"/>
      <c r="SKB66" s="42"/>
      <c r="SKI66" s="33"/>
      <c r="SKJ66" s="33"/>
      <c r="SKN66" s="41"/>
      <c r="SKT66" s="42"/>
      <c r="SLA66" s="33"/>
      <c r="SLB66" s="33"/>
      <c r="SLF66" s="41"/>
      <c r="SLL66" s="42"/>
      <c r="SLS66" s="33"/>
      <c r="SLT66" s="33"/>
      <c r="SLX66" s="41"/>
      <c r="SMD66" s="42"/>
      <c r="SMK66" s="33"/>
      <c r="SML66" s="33"/>
      <c r="SMP66" s="41"/>
      <c r="SMV66" s="42"/>
      <c r="SNC66" s="33"/>
      <c r="SND66" s="33"/>
      <c r="SNH66" s="41"/>
      <c r="SNN66" s="42"/>
      <c r="SNU66" s="33"/>
      <c r="SNV66" s="33"/>
      <c r="SNZ66" s="41"/>
      <c r="SOF66" s="42"/>
      <c r="SOM66" s="33"/>
      <c r="SON66" s="33"/>
      <c r="SOR66" s="41"/>
      <c r="SOX66" s="42"/>
      <c r="SPE66" s="33"/>
      <c r="SPF66" s="33"/>
      <c r="SPJ66" s="41"/>
      <c r="SPP66" s="42"/>
      <c r="SPW66" s="33"/>
      <c r="SPX66" s="33"/>
      <c r="SQB66" s="41"/>
      <c r="SQH66" s="42"/>
      <c r="SQO66" s="33"/>
      <c r="SQP66" s="33"/>
      <c r="SQT66" s="41"/>
      <c r="SQZ66" s="42"/>
      <c r="SRG66" s="33"/>
      <c r="SRH66" s="33"/>
      <c r="SRL66" s="41"/>
      <c r="SRR66" s="42"/>
      <c r="SRY66" s="33"/>
      <c r="SRZ66" s="33"/>
      <c r="SSD66" s="41"/>
      <c r="SSJ66" s="42"/>
      <c r="SSQ66" s="33"/>
      <c r="SSR66" s="33"/>
      <c r="SSV66" s="41"/>
      <c r="STB66" s="42"/>
      <c r="STI66" s="33"/>
      <c r="STJ66" s="33"/>
      <c r="STN66" s="41"/>
      <c r="STT66" s="42"/>
      <c r="SUA66" s="33"/>
      <c r="SUB66" s="33"/>
      <c r="SUF66" s="41"/>
      <c r="SUL66" s="42"/>
      <c r="SUS66" s="33"/>
      <c r="SUT66" s="33"/>
      <c r="SUX66" s="41"/>
      <c r="SVD66" s="42"/>
      <c r="SVK66" s="33"/>
      <c r="SVL66" s="33"/>
      <c r="SVP66" s="41"/>
      <c r="SVV66" s="42"/>
      <c r="SWC66" s="33"/>
      <c r="SWD66" s="33"/>
      <c r="SWH66" s="41"/>
      <c r="SWN66" s="42"/>
      <c r="SWU66" s="33"/>
      <c r="SWV66" s="33"/>
      <c r="SWZ66" s="41"/>
      <c r="SXF66" s="42"/>
      <c r="SXM66" s="33"/>
      <c r="SXN66" s="33"/>
      <c r="SXR66" s="41"/>
      <c r="SXX66" s="42"/>
      <c r="SYE66" s="33"/>
      <c r="SYF66" s="33"/>
      <c r="SYJ66" s="41"/>
      <c r="SYP66" s="42"/>
      <c r="SYW66" s="33"/>
      <c r="SYX66" s="33"/>
      <c r="SZB66" s="41"/>
      <c r="SZH66" s="42"/>
      <c r="SZO66" s="33"/>
      <c r="SZP66" s="33"/>
      <c r="SZT66" s="41"/>
      <c r="SZZ66" s="42"/>
      <c r="TAG66" s="33"/>
      <c r="TAH66" s="33"/>
      <c r="TAL66" s="41"/>
      <c r="TAR66" s="42"/>
      <c r="TAY66" s="33"/>
      <c r="TAZ66" s="33"/>
      <c r="TBD66" s="41"/>
      <c r="TBJ66" s="42"/>
      <c r="TBQ66" s="33"/>
      <c r="TBR66" s="33"/>
      <c r="TBV66" s="41"/>
      <c r="TCB66" s="42"/>
      <c r="TCI66" s="33"/>
      <c r="TCJ66" s="33"/>
      <c r="TCN66" s="41"/>
      <c r="TCT66" s="42"/>
      <c r="TDA66" s="33"/>
      <c r="TDB66" s="33"/>
      <c r="TDF66" s="41"/>
      <c r="TDL66" s="42"/>
      <c r="TDS66" s="33"/>
      <c r="TDT66" s="33"/>
      <c r="TDX66" s="41"/>
      <c r="TED66" s="42"/>
      <c r="TEK66" s="33"/>
      <c r="TEL66" s="33"/>
      <c r="TEP66" s="41"/>
      <c r="TEV66" s="42"/>
      <c r="TFC66" s="33"/>
      <c r="TFD66" s="33"/>
      <c r="TFH66" s="41"/>
      <c r="TFN66" s="42"/>
      <c r="TFU66" s="33"/>
      <c r="TFV66" s="33"/>
      <c r="TFZ66" s="41"/>
      <c r="TGF66" s="42"/>
      <c r="TGM66" s="33"/>
      <c r="TGN66" s="33"/>
      <c r="TGR66" s="41"/>
      <c r="TGX66" s="42"/>
      <c r="THE66" s="33"/>
      <c r="THF66" s="33"/>
      <c r="THJ66" s="41"/>
      <c r="THP66" s="42"/>
      <c r="THW66" s="33"/>
      <c r="THX66" s="33"/>
      <c r="TIB66" s="41"/>
      <c r="TIH66" s="42"/>
      <c r="TIO66" s="33"/>
      <c r="TIP66" s="33"/>
      <c r="TIT66" s="41"/>
      <c r="TIZ66" s="42"/>
      <c r="TJG66" s="33"/>
      <c r="TJH66" s="33"/>
      <c r="TJL66" s="41"/>
      <c r="TJR66" s="42"/>
      <c r="TJY66" s="33"/>
      <c r="TJZ66" s="33"/>
      <c r="TKD66" s="41"/>
      <c r="TKJ66" s="42"/>
      <c r="TKQ66" s="33"/>
      <c r="TKR66" s="33"/>
      <c r="TKV66" s="41"/>
      <c r="TLB66" s="42"/>
      <c r="TLI66" s="33"/>
      <c r="TLJ66" s="33"/>
      <c r="TLN66" s="41"/>
      <c r="TLT66" s="42"/>
      <c r="TMA66" s="33"/>
      <c r="TMB66" s="33"/>
      <c r="TMF66" s="41"/>
      <c r="TML66" s="42"/>
      <c r="TMS66" s="33"/>
      <c r="TMT66" s="33"/>
      <c r="TMX66" s="41"/>
      <c r="TND66" s="42"/>
      <c r="TNK66" s="33"/>
      <c r="TNL66" s="33"/>
      <c r="TNP66" s="41"/>
      <c r="TNV66" s="42"/>
      <c r="TOC66" s="33"/>
      <c r="TOD66" s="33"/>
      <c r="TOH66" s="41"/>
      <c r="TON66" s="42"/>
      <c r="TOU66" s="33"/>
      <c r="TOV66" s="33"/>
      <c r="TOZ66" s="41"/>
      <c r="TPF66" s="42"/>
      <c r="TPM66" s="33"/>
      <c r="TPN66" s="33"/>
      <c r="TPR66" s="41"/>
      <c r="TPX66" s="42"/>
      <c r="TQE66" s="33"/>
      <c r="TQF66" s="33"/>
      <c r="TQJ66" s="41"/>
      <c r="TQP66" s="42"/>
      <c r="TQW66" s="33"/>
      <c r="TQX66" s="33"/>
      <c r="TRB66" s="41"/>
      <c r="TRH66" s="42"/>
      <c r="TRO66" s="33"/>
      <c r="TRP66" s="33"/>
      <c r="TRT66" s="41"/>
      <c r="TRZ66" s="42"/>
      <c r="TSG66" s="33"/>
      <c r="TSH66" s="33"/>
      <c r="TSL66" s="41"/>
      <c r="TSR66" s="42"/>
      <c r="TSY66" s="33"/>
      <c r="TSZ66" s="33"/>
      <c r="TTD66" s="41"/>
      <c r="TTJ66" s="42"/>
      <c r="TTQ66" s="33"/>
      <c r="TTR66" s="33"/>
      <c r="TTV66" s="41"/>
      <c r="TUB66" s="42"/>
      <c r="TUI66" s="33"/>
      <c r="TUJ66" s="33"/>
      <c r="TUN66" s="41"/>
      <c r="TUT66" s="42"/>
      <c r="TVA66" s="33"/>
      <c r="TVB66" s="33"/>
      <c r="TVF66" s="41"/>
      <c r="TVL66" s="42"/>
      <c r="TVS66" s="33"/>
      <c r="TVT66" s="33"/>
      <c r="TVX66" s="41"/>
      <c r="TWD66" s="42"/>
      <c r="TWK66" s="33"/>
      <c r="TWL66" s="33"/>
      <c r="TWP66" s="41"/>
      <c r="TWV66" s="42"/>
      <c r="TXC66" s="33"/>
      <c r="TXD66" s="33"/>
      <c r="TXH66" s="41"/>
      <c r="TXN66" s="42"/>
      <c r="TXU66" s="33"/>
      <c r="TXV66" s="33"/>
      <c r="TXZ66" s="41"/>
      <c r="TYF66" s="42"/>
      <c r="TYM66" s="33"/>
      <c r="TYN66" s="33"/>
      <c r="TYR66" s="41"/>
      <c r="TYX66" s="42"/>
      <c r="TZE66" s="33"/>
      <c r="TZF66" s="33"/>
      <c r="TZJ66" s="41"/>
      <c r="TZP66" s="42"/>
      <c r="TZW66" s="33"/>
      <c r="TZX66" s="33"/>
      <c r="UAB66" s="41"/>
      <c r="UAH66" s="42"/>
      <c r="UAO66" s="33"/>
      <c r="UAP66" s="33"/>
      <c r="UAT66" s="41"/>
      <c r="UAZ66" s="42"/>
      <c r="UBG66" s="33"/>
      <c r="UBH66" s="33"/>
      <c r="UBL66" s="41"/>
      <c r="UBR66" s="42"/>
      <c r="UBY66" s="33"/>
      <c r="UBZ66" s="33"/>
      <c r="UCD66" s="41"/>
      <c r="UCJ66" s="42"/>
      <c r="UCQ66" s="33"/>
      <c r="UCR66" s="33"/>
      <c r="UCV66" s="41"/>
      <c r="UDB66" s="42"/>
      <c r="UDI66" s="33"/>
      <c r="UDJ66" s="33"/>
      <c r="UDN66" s="41"/>
      <c r="UDT66" s="42"/>
      <c r="UEA66" s="33"/>
      <c r="UEB66" s="33"/>
      <c r="UEF66" s="41"/>
      <c r="UEL66" s="42"/>
      <c r="UES66" s="33"/>
      <c r="UET66" s="33"/>
      <c r="UEX66" s="41"/>
      <c r="UFD66" s="42"/>
      <c r="UFK66" s="33"/>
      <c r="UFL66" s="33"/>
      <c r="UFP66" s="41"/>
      <c r="UFV66" s="42"/>
      <c r="UGC66" s="33"/>
      <c r="UGD66" s="33"/>
      <c r="UGH66" s="41"/>
      <c r="UGN66" s="42"/>
      <c r="UGU66" s="33"/>
      <c r="UGV66" s="33"/>
      <c r="UGZ66" s="41"/>
      <c r="UHF66" s="42"/>
      <c r="UHM66" s="33"/>
      <c r="UHN66" s="33"/>
      <c r="UHR66" s="41"/>
      <c r="UHX66" s="42"/>
      <c r="UIE66" s="33"/>
      <c r="UIF66" s="33"/>
      <c r="UIJ66" s="41"/>
      <c r="UIP66" s="42"/>
      <c r="UIW66" s="33"/>
      <c r="UIX66" s="33"/>
      <c r="UJB66" s="41"/>
      <c r="UJH66" s="42"/>
      <c r="UJO66" s="33"/>
      <c r="UJP66" s="33"/>
      <c r="UJT66" s="41"/>
      <c r="UJZ66" s="42"/>
      <c r="UKG66" s="33"/>
      <c r="UKH66" s="33"/>
      <c r="UKL66" s="41"/>
      <c r="UKR66" s="42"/>
      <c r="UKY66" s="33"/>
      <c r="UKZ66" s="33"/>
      <c r="ULD66" s="41"/>
      <c r="ULJ66" s="42"/>
      <c r="ULQ66" s="33"/>
      <c r="ULR66" s="33"/>
      <c r="ULV66" s="41"/>
      <c r="UMB66" s="42"/>
      <c r="UMI66" s="33"/>
      <c r="UMJ66" s="33"/>
      <c r="UMN66" s="41"/>
      <c r="UMT66" s="42"/>
      <c r="UNA66" s="33"/>
      <c r="UNB66" s="33"/>
      <c r="UNF66" s="41"/>
      <c r="UNL66" s="42"/>
      <c r="UNS66" s="33"/>
      <c r="UNT66" s="33"/>
      <c r="UNX66" s="41"/>
      <c r="UOD66" s="42"/>
      <c r="UOK66" s="33"/>
      <c r="UOL66" s="33"/>
      <c r="UOP66" s="41"/>
      <c r="UOV66" s="42"/>
      <c r="UPC66" s="33"/>
      <c r="UPD66" s="33"/>
      <c r="UPH66" s="41"/>
      <c r="UPN66" s="42"/>
      <c r="UPU66" s="33"/>
      <c r="UPV66" s="33"/>
      <c r="UPZ66" s="41"/>
      <c r="UQF66" s="42"/>
      <c r="UQM66" s="33"/>
      <c r="UQN66" s="33"/>
      <c r="UQR66" s="41"/>
      <c r="UQX66" s="42"/>
      <c r="URE66" s="33"/>
      <c r="URF66" s="33"/>
      <c r="URJ66" s="41"/>
      <c r="URP66" s="42"/>
      <c r="URW66" s="33"/>
      <c r="URX66" s="33"/>
      <c r="USB66" s="41"/>
      <c r="USH66" s="42"/>
      <c r="USO66" s="33"/>
      <c r="USP66" s="33"/>
      <c r="UST66" s="41"/>
      <c r="USZ66" s="42"/>
      <c r="UTG66" s="33"/>
      <c r="UTH66" s="33"/>
      <c r="UTL66" s="41"/>
      <c r="UTR66" s="42"/>
      <c r="UTY66" s="33"/>
      <c r="UTZ66" s="33"/>
      <c r="UUD66" s="41"/>
      <c r="UUJ66" s="42"/>
      <c r="UUQ66" s="33"/>
      <c r="UUR66" s="33"/>
      <c r="UUV66" s="41"/>
      <c r="UVB66" s="42"/>
      <c r="UVI66" s="33"/>
      <c r="UVJ66" s="33"/>
      <c r="UVN66" s="41"/>
      <c r="UVT66" s="42"/>
      <c r="UWA66" s="33"/>
      <c r="UWB66" s="33"/>
      <c r="UWF66" s="41"/>
      <c r="UWL66" s="42"/>
      <c r="UWS66" s="33"/>
      <c r="UWT66" s="33"/>
      <c r="UWX66" s="41"/>
      <c r="UXD66" s="42"/>
      <c r="UXK66" s="33"/>
      <c r="UXL66" s="33"/>
      <c r="UXP66" s="41"/>
      <c r="UXV66" s="42"/>
      <c r="UYC66" s="33"/>
      <c r="UYD66" s="33"/>
      <c r="UYH66" s="41"/>
      <c r="UYN66" s="42"/>
      <c r="UYU66" s="33"/>
      <c r="UYV66" s="33"/>
      <c r="UYZ66" s="41"/>
      <c r="UZF66" s="42"/>
      <c r="UZM66" s="33"/>
      <c r="UZN66" s="33"/>
      <c r="UZR66" s="41"/>
      <c r="UZX66" s="42"/>
      <c r="VAE66" s="33"/>
      <c r="VAF66" s="33"/>
      <c r="VAJ66" s="41"/>
      <c r="VAP66" s="42"/>
      <c r="VAW66" s="33"/>
      <c r="VAX66" s="33"/>
      <c r="VBB66" s="41"/>
      <c r="VBH66" s="42"/>
      <c r="VBO66" s="33"/>
      <c r="VBP66" s="33"/>
      <c r="VBT66" s="41"/>
      <c r="VBZ66" s="42"/>
      <c r="VCG66" s="33"/>
      <c r="VCH66" s="33"/>
      <c r="VCL66" s="41"/>
      <c r="VCR66" s="42"/>
      <c r="VCY66" s="33"/>
      <c r="VCZ66" s="33"/>
      <c r="VDD66" s="41"/>
      <c r="VDJ66" s="42"/>
      <c r="VDQ66" s="33"/>
      <c r="VDR66" s="33"/>
      <c r="VDV66" s="41"/>
      <c r="VEB66" s="42"/>
      <c r="VEI66" s="33"/>
      <c r="VEJ66" s="33"/>
      <c r="VEN66" s="41"/>
      <c r="VET66" s="42"/>
      <c r="VFA66" s="33"/>
      <c r="VFB66" s="33"/>
      <c r="VFF66" s="41"/>
      <c r="VFL66" s="42"/>
      <c r="VFS66" s="33"/>
      <c r="VFT66" s="33"/>
      <c r="VFX66" s="41"/>
      <c r="VGD66" s="42"/>
      <c r="VGK66" s="33"/>
      <c r="VGL66" s="33"/>
      <c r="VGP66" s="41"/>
      <c r="VGV66" s="42"/>
      <c r="VHC66" s="33"/>
      <c r="VHD66" s="33"/>
      <c r="VHH66" s="41"/>
      <c r="VHN66" s="42"/>
      <c r="VHU66" s="33"/>
      <c r="VHV66" s="33"/>
      <c r="VHZ66" s="41"/>
      <c r="VIF66" s="42"/>
      <c r="VIM66" s="33"/>
      <c r="VIN66" s="33"/>
      <c r="VIR66" s="41"/>
      <c r="VIX66" s="42"/>
      <c r="VJE66" s="33"/>
      <c r="VJF66" s="33"/>
      <c r="VJJ66" s="41"/>
      <c r="VJP66" s="42"/>
      <c r="VJW66" s="33"/>
      <c r="VJX66" s="33"/>
      <c r="VKB66" s="41"/>
      <c r="VKH66" s="42"/>
      <c r="VKO66" s="33"/>
      <c r="VKP66" s="33"/>
      <c r="VKT66" s="41"/>
      <c r="VKZ66" s="42"/>
      <c r="VLG66" s="33"/>
      <c r="VLH66" s="33"/>
      <c r="VLL66" s="41"/>
      <c r="VLR66" s="42"/>
      <c r="VLY66" s="33"/>
      <c r="VLZ66" s="33"/>
      <c r="VMD66" s="41"/>
      <c r="VMJ66" s="42"/>
      <c r="VMQ66" s="33"/>
      <c r="VMR66" s="33"/>
      <c r="VMV66" s="41"/>
      <c r="VNB66" s="42"/>
      <c r="VNI66" s="33"/>
      <c r="VNJ66" s="33"/>
      <c r="VNN66" s="41"/>
      <c r="VNT66" s="42"/>
      <c r="VOA66" s="33"/>
      <c r="VOB66" s="33"/>
      <c r="VOF66" s="41"/>
      <c r="VOL66" s="42"/>
      <c r="VOS66" s="33"/>
      <c r="VOT66" s="33"/>
      <c r="VOX66" s="41"/>
      <c r="VPD66" s="42"/>
      <c r="VPK66" s="33"/>
      <c r="VPL66" s="33"/>
      <c r="VPP66" s="41"/>
      <c r="VPV66" s="42"/>
      <c r="VQC66" s="33"/>
      <c r="VQD66" s="33"/>
      <c r="VQH66" s="41"/>
      <c r="VQN66" s="42"/>
      <c r="VQU66" s="33"/>
      <c r="VQV66" s="33"/>
      <c r="VQZ66" s="41"/>
      <c r="VRF66" s="42"/>
      <c r="VRM66" s="33"/>
      <c r="VRN66" s="33"/>
      <c r="VRR66" s="41"/>
      <c r="VRX66" s="42"/>
      <c r="VSE66" s="33"/>
      <c r="VSF66" s="33"/>
      <c r="VSJ66" s="41"/>
      <c r="VSP66" s="42"/>
      <c r="VSW66" s="33"/>
      <c r="VSX66" s="33"/>
      <c r="VTB66" s="41"/>
      <c r="VTH66" s="42"/>
      <c r="VTO66" s="33"/>
      <c r="VTP66" s="33"/>
      <c r="VTT66" s="41"/>
      <c r="VTZ66" s="42"/>
      <c r="VUG66" s="33"/>
      <c r="VUH66" s="33"/>
      <c r="VUL66" s="41"/>
      <c r="VUR66" s="42"/>
      <c r="VUY66" s="33"/>
      <c r="VUZ66" s="33"/>
      <c r="VVD66" s="41"/>
      <c r="VVJ66" s="42"/>
      <c r="VVQ66" s="33"/>
      <c r="VVR66" s="33"/>
      <c r="VVV66" s="41"/>
      <c r="VWB66" s="42"/>
      <c r="VWI66" s="33"/>
      <c r="VWJ66" s="33"/>
      <c r="VWN66" s="41"/>
      <c r="VWT66" s="42"/>
      <c r="VXA66" s="33"/>
      <c r="VXB66" s="33"/>
      <c r="VXF66" s="41"/>
      <c r="VXL66" s="42"/>
      <c r="VXS66" s="33"/>
      <c r="VXT66" s="33"/>
      <c r="VXX66" s="41"/>
      <c r="VYD66" s="42"/>
      <c r="VYK66" s="33"/>
      <c r="VYL66" s="33"/>
      <c r="VYP66" s="41"/>
      <c r="VYV66" s="42"/>
      <c r="VZC66" s="33"/>
      <c r="VZD66" s="33"/>
      <c r="VZH66" s="41"/>
      <c r="VZN66" s="42"/>
      <c r="VZU66" s="33"/>
      <c r="VZV66" s="33"/>
      <c r="VZZ66" s="41"/>
      <c r="WAF66" s="42"/>
      <c r="WAM66" s="33"/>
      <c r="WAN66" s="33"/>
      <c r="WAR66" s="41"/>
      <c r="WAX66" s="42"/>
      <c r="WBE66" s="33"/>
      <c r="WBF66" s="33"/>
      <c r="WBJ66" s="41"/>
      <c r="WBP66" s="42"/>
      <c r="WBW66" s="33"/>
      <c r="WBX66" s="33"/>
      <c r="WCB66" s="41"/>
      <c r="WCH66" s="42"/>
      <c r="WCO66" s="33"/>
      <c r="WCP66" s="33"/>
      <c r="WCT66" s="41"/>
      <c r="WCZ66" s="42"/>
      <c r="WDG66" s="33"/>
      <c r="WDH66" s="33"/>
      <c r="WDL66" s="41"/>
      <c r="WDR66" s="42"/>
      <c r="WDY66" s="33"/>
      <c r="WDZ66" s="33"/>
      <c r="WED66" s="41"/>
      <c r="WEJ66" s="42"/>
      <c r="WEQ66" s="33"/>
      <c r="WER66" s="33"/>
      <c r="WEV66" s="41"/>
      <c r="WFB66" s="42"/>
      <c r="WFI66" s="33"/>
      <c r="WFJ66" s="33"/>
      <c r="WFN66" s="41"/>
      <c r="WFT66" s="42"/>
      <c r="WGA66" s="33"/>
      <c r="WGB66" s="33"/>
      <c r="WGF66" s="41"/>
      <c r="WGL66" s="42"/>
      <c r="WGS66" s="33"/>
      <c r="WGT66" s="33"/>
      <c r="WGX66" s="41"/>
      <c r="WHD66" s="42"/>
      <c r="WHK66" s="33"/>
      <c r="WHL66" s="33"/>
      <c r="WHP66" s="41"/>
      <c r="WHV66" s="42"/>
      <c r="WIC66" s="33"/>
      <c r="WID66" s="33"/>
      <c r="WIH66" s="41"/>
      <c r="WIN66" s="42"/>
      <c r="WIU66" s="33"/>
      <c r="WIV66" s="33"/>
      <c r="WIZ66" s="41"/>
      <c r="WJF66" s="42"/>
      <c r="WJM66" s="33"/>
      <c r="WJN66" s="33"/>
      <c r="WJR66" s="41"/>
      <c r="WJX66" s="42"/>
      <c r="WKE66" s="33"/>
      <c r="WKF66" s="33"/>
      <c r="WKJ66" s="41"/>
      <c r="WKP66" s="42"/>
      <c r="WKW66" s="33"/>
      <c r="WKX66" s="33"/>
      <c r="WLB66" s="41"/>
      <c r="WLH66" s="42"/>
      <c r="WLO66" s="33"/>
      <c r="WLP66" s="33"/>
      <c r="WLT66" s="41"/>
      <c r="WLZ66" s="42"/>
      <c r="WMG66" s="33"/>
      <c r="WMH66" s="33"/>
      <c r="WML66" s="41"/>
      <c r="WMR66" s="42"/>
      <c r="WMY66" s="33"/>
      <c r="WMZ66" s="33"/>
      <c r="WND66" s="41"/>
      <c r="WNJ66" s="42"/>
      <c r="WNQ66" s="33"/>
      <c r="WNR66" s="33"/>
      <c r="WNV66" s="41"/>
      <c r="WOB66" s="42"/>
      <c r="WOI66" s="33"/>
      <c r="WOJ66" s="33"/>
      <c r="WON66" s="41"/>
      <c r="WOT66" s="42"/>
      <c r="WPA66" s="33"/>
      <c r="WPB66" s="33"/>
      <c r="WPF66" s="41"/>
      <c r="WPL66" s="42"/>
      <c r="WPS66" s="33"/>
      <c r="WPT66" s="33"/>
      <c r="WPX66" s="41"/>
      <c r="WQD66" s="42"/>
      <c r="WQK66" s="33"/>
      <c r="WQL66" s="33"/>
      <c r="WQP66" s="41"/>
      <c r="WQV66" s="42"/>
      <c r="WRC66" s="33"/>
      <c r="WRD66" s="33"/>
      <c r="WRH66" s="41"/>
      <c r="WRN66" s="42"/>
      <c r="WRU66" s="33"/>
      <c r="WRV66" s="33"/>
      <c r="WRZ66" s="41"/>
      <c r="WSF66" s="42"/>
      <c r="WSM66" s="33"/>
      <c r="WSN66" s="33"/>
      <c r="WSR66" s="41"/>
      <c r="WSX66" s="42"/>
      <c r="WTE66" s="33"/>
      <c r="WTF66" s="33"/>
      <c r="WTJ66" s="41"/>
      <c r="WTP66" s="42"/>
      <c r="WTW66" s="33"/>
      <c r="WTX66" s="33"/>
      <c r="WUB66" s="41"/>
      <c r="WUH66" s="42"/>
      <c r="WUO66" s="33"/>
      <c r="WUP66" s="33"/>
      <c r="WUT66" s="41"/>
      <c r="WUZ66" s="42"/>
      <c r="WVG66" s="33"/>
      <c r="WVH66" s="33"/>
      <c r="WVL66" s="41"/>
      <c r="WVR66" s="42"/>
      <c r="WVY66" s="33"/>
      <c r="WVZ66" s="33"/>
      <c r="WWD66" s="41"/>
      <c r="WWJ66" s="42"/>
      <c r="WWQ66" s="33"/>
      <c r="WWR66" s="33"/>
      <c r="WWV66" s="41"/>
      <c r="WXB66" s="42"/>
      <c r="WXI66" s="33"/>
      <c r="WXJ66" s="33"/>
      <c r="WXN66" s="41"/>
      <c r="WXT66" s="42"/>
      <c r="WYA66" s="33"/>
      <c r="WYB66" s="33"/>
      <c r="WYF66" s="41"/>
      <c r="WYL66" s="42"/>
      <c r="WYS66" s="33"/>
      <c r="WYT66" s="33"/>
      <c r="WYX66" s="41"/>
      <c r="WZD66" s="42"/>
      <c r="WZK66" s="33"/>
      <c r="WZL66" s="33"/>
      <c r="WZP66" s="41"/>
      <c r="WZV66" s="42"/>
      <c r="XAC66" s="33"/>
      <c r="XAD66" s="33"/>
      <c r="XAH66" s="41"/>
      <c r="XAN66" s="42"/>
      <c r="XAU66" s="33"/>
      <c r="XAV66" s="33"/>
      <c r="XAZ66" s="41"/>
      <c r="XBF66" s="42"/>
      <c r="XBM66" s="33"/>
      <c r="XBN66" s="33"/>
      <c r="XBR66" s="41"/>
      <c r="XBX66" s="42"/>
      <c r="XCE66" s="33"/>
      <c r="XCF66" s="33"/>
      <c r="XCJ66" s="41"/>
      <c r="XCP66" s="42"/>
      <c r="XCW66" s="33"/>
      <c r="XCX66" s="33"/>
      <c r="XDB66" s="41"/>
      <c r="XDH66" s="42"/>
      <c r="XDO66" s="33"/>
      <c r="XDP66" s="33"/>
      <c r="XDT66" s="41"/>
      <c r="XDZ66" s="42"/>
      <c r="XEG66" s="33"/>
      <c r="XEH66" s="33"/>
      <c r="XEL66" s="41"/>
      <c r="XER66" s="42"/>
      <c r="XEY66" s="33"/>
      <c r="XEZ66" s="33"/>
      <c r="XFD66" s="41"/>
    </row>
    <row r="67" spans="1:1018 1025:2044 2051:3070 3077:4096 4103:5116 5122:6142 6148:7168 7174:8190 8194:9216 9220:10234 10241:11260 11267:12286 12293:13312 13319:14332 14338:15358 15364:16384">
      <c r="A67" s="21" t="s">
        <v>194</v>
      </c>
      <c r="B67" s="22">
        <v>2004</v>
      </c>
      <c r="C67" s="21" t="s">
        <v>195</v>
      </c>
      <c r="D67" s="21" t="s">
        <v>86</v>
      </c>
      <c r="E67" s="63" t="s">
        <v>196</v>
      </c>
      <c r="F67" s="21" t="s">
        <v>24</v>
      </c>
      <c r="G67" s="20">
        <v>27021531.670000002</v>
      </c>
      <c r="H67" s="20">
        <v>27012825.07</v>
      </c>
      <c r="I67" s="12">
        <v>8</v>
      </c>
      <c r="J67" s="13" t="s">
        <v>197</v>
      </c>
      <c r="K67" s="14"/>
      <c r="L67" s="14"/>
      <c r="M67" s="14" t="s">
        <v>26</v>
      </c>
      <c r="Q67" s="14" t="s">
        <v>28</v>
      </c>
      <c r="R67" s="14" t="s">
        <v>28</v>
      </c>
    </row>
    <row r="68" spans="1:1018 1025:2044 2051:3070 3077:4096 4103:5116 5122:6142 6148:7168 7174:8190 8194:9216 9220:10234 10241:11260 11267:12286 12293:13312 13319:14332 14338:15358 15364:16384">
      <c r="A68" s="21" t="s">
        <v>198</v>
      </c>
      <c r="B68" s="22">
        <v>2005</v>
      </c>
      <c r="C68" s="21" t="s">
        <v>195</v>
      </c>
      <c r="D68" s="21" t="s">
        <v>86</v>
      </c>
      <c r="E68" s="63" t="s">
        <v>199</v>
      </c>
      <c r="F68" s="21" t="s">
        <v>24</v>
      </c>
      <c r="G68" s="20">
        <v>44654643</v>
      </c>
      <c r="H68" s="20">
        <v>44137187</v>
      </c>
      <c r="I68" s="12">
        <v>9</v>
      </c>
      <c r="J68" s="9" t="s">
        <v>200</v>
      </c>
      <c r="K68" s="14" t="s">
        <v>26</v>
      </c>
      <c r="L68" s="14" t="s">
        <v>26</v>
      </c>
      <c r="M68" s="14" t="s">
        <v>26</v>
      </c>
      <c r="N68" s="14" t="s">
        <v>26</v>
      </c>
      <c r="O68" s="14" t="s">
        <v>26</v>
      </c>
      <c r="Q68" s="14" t="s">
        <v>28</v>
      </c>
      <c r="R68" s="14" t="s">
        <v>28</v>
      </c>
    </row>
    <row r="69" spans="1:1018 1025:2044 2051:3070 3077:4096 4103:5116 5122:6142 6148:7168 7174:8190 8194:9216 9220:10234 10241:11260 11267:12286 12293:13312 13319:14332 14338:15358 15364:16384">
      <c r="A69" s="21" t="s">
        <v>201</v>
      </c>
      <c r="B69" s="22">
        <v>2006</v>
      </c>
      <c r="C69" s="21" t="s">
        <v>195</v>
      </c>
      <c r="D69" s="21" t="s">
        <v>86</v>
      </c>
      <c r="E69" s="63" t="s">
        <v>202</v>
      </c>
      <c r="F69" s="21" t="s">
        <v>24</v>
      </c>
      <c r="G69" s="18">
        <v>66220560</v>
      </c>
      <c r="H69" s="18">
        <v>66776712</v>
      </c>
      <c r="I69" s="12">
        <v>11</v>
      </c>
      <c r="J69" s="9" t="s">
        <v>203</v>
      </c>
      <c r="K69" s="14" t="s">
        <v>26</v>
      </c>
      <c r="L69" s="14" t="s">
        <v>26</v>
      </c>
      <c r="M69" s="14" t="s">
        <v>26</v>
      </c>
      <c r="N69" s="14" t="s">
        <v>26</v>
      </c>
      <c r="O69" s="14" t="s">
        <v>26</v>
      </c>
      <c r="Q69" s="14" t="s">
        <v>28</v>
      </c>
      <c r="R69" s="14" t="s">
        <v>28</v>
      </c>
      <c r="T69" s="64"/>
      <c r="U69" s="64"/>
    </row>
    <row r="70" spans="1:1018 1025:2044 2051:3070 3077:4096 4103:5116 5122:6142 6148:7168 7174:8190 8194:9216 9220:10234 10241:11260 11267:12286 12293:13312 13319:14332 14338:15358 15364:16384">
      <c r="A70" s="21" t="s">
        <v>204</v>
      </c>
      <c r="B70" s="22">
        <v>2007</v>
      </c>
      <c r="C70" s="21" t="s">
        <v>195</v>
      </c>
      <c r="D70" s="21" t="s">
        <v>86</v>
      </c>
      <c r="E70" s="63" t="s">
        <v>202</v>
      </c>
      <c r="F70" s="21" t="s">
        <v>24</v>
      </c>
      <c r="G70" s="38">
        <v>61767543</v>
      </c>
      <c r="H70" s="38">
        <v>64548464</v>
      </c>
      <c r="I70" s="12">
        <v>11</v>
      </c>
      <c r="J70" s="9" t="s">
        <v>205</v>
      </c>
      <c r="K70" s="14" t="s">
        <v>26</v>
      </c>
      <c r="L70" s="14" t="s">
        <v>26</v>
      </c>
      <c r="M70" s="14" t="s">
        <v>26</v>
      </c>
      <c r="N70" s="14" t="s">
        <v>26</v>
      </c>
      <c r="O70" s="14" t="s">
        <v>26</v>
      </c>
      <c r="Q70" s="14" t="s">
        <v>28</v>
      </c>
      <c r="R70" s="14" t="s">
        <v>28</v>
      </c>
      <c r="T70" s="64"/>
      <c r="U70" s="64"/>
    </row>
    <row r="71" spans="1:1018 1025:2044 2051:3070 3077:4096 4103:5116 5122:6142 6148:7168 7174:8190 8194:9216 9220:10234 10241:11260 11267:12286 12293:13312 13319:14332 14338:15358 15364:16384">
      <c r="A71" s="21" t="s">
        <v>206</v>
      </c>
      <c r="B71" s="22">
        <v>2008</v>
      </c>
      <c r="C71" s="21" t="s">
        <v>195</v>
      </c>
      <c r="D71" s="21" t="s">
        <v>86</v>
      </c>
      <c r="E71" s="63" t="s">
        <v>202</v>
      </c>
      <c r="F71" s="21" t="s">
        <v>24</v>
      </c>
      <c r="G71" s="38">
        <v>91193482</v>
      </c>
      <c r="H71" s="38">
        <v>90840454</v>
      </c>
      <c r="I71" s="12">
        <v>11</v>
      </c>
      <c r="J71" s="9" t="s">
        <v>207</v>
      </c>
      <c r="K71" s="14" t="s">
        <v>26</v>
      </c>
      <c r="L71" s="14" t="s">
        <v>26</v>
      </c>
      <c r="M71" s="14" t="s">
        <v>26</v>
      </c>
      <c r="N71" s="14" t="s">
        <v>26</v>
      </c>
      <c r="O71" s="14" t="s">
        <v>26</v>
      </c>
      <c r="Q71" s="14" t="s">
        <v>28</v>
      </c>
      <c r="R71" s="14" t="s">
        <v>28</v>
      </c>
      <c r="T71" s="64"/>
      <c r="U71" s="64"/>
    </row>
    <row r="72" spans="1:1018 1025:2044 2051:3070 3077:4096 4103:5116 5122:6142 6148:7168 7174:8190 8194:9216 9220:10234 10241:11260 11267:12286 12293:13312 13319:14332 14338:15358 15364:16384">
      <c r="A72" s="21" t="s">
        <v>208</v>
      </c>
      <c r="B72" s="22">
        <v>2009</v>
      </c>
      <c r="C72" s="21" t="s">
        <v>195</v>
      </c>
      <c r="D72" s="21" t="s">
        <v>86</v>
      </c>
      <c r="E72" s="63" t="s">
        <v>209</v>
      </c>
      <c r="F72" s="21" t="s">
        <v>24</v>
      </c>
      <c r="G72" s="38">
        <v>111972313.33333333</v>
      </c>
      <c r="H72" s="38">
        <v>111975972.38095237</v>
      </c>
      <c r="I72" s="12">
        <v>10</v>
      </c>
      <c r="J72" s="9" t="s">
        <v>210</v>
      </c>
      <c r="K72" s="14" t="s">
        <v>26</v>
      </c>
      <c r="L72" s="14" t="s">
        <v>26</v>
      </c>
      <c r="M72" s="14" t="s">
        <v>26</v>
      </c>
      <c r="N72" s="14" t="s">
        <v>26</v>
      </c>
      <c r="O72" s="14" t="s">
        <v>26</v>
      </c>
      <c r="Q72" s="14" t="s">
        <v>28</v>
      </c>
      <c r="R72" s="14" t="s">
        <v>28</v>
      </c>
      <c r="T72" s="64"/>
      <c r="U72" s="64"/>
    </row>
    <row r="73" spans="1:1018 1025:2044 2051:3070 3077:4096 4103:5116 5122:6142 6148:7168 7174:8190 8194:9216 9220:10234 10241:11260 11267:12286 12293:13312 13319:14332 14338:15358 15364:16384">
      <c r="A73" s="21" t="s">
        <v>211</v>
      </c>
      <c r="B73" s="22">
        <v>2010</v>
      </c>
      <c r="C73" s="21" t="s">
        <v>195</v>
      </c>
      <c r="D73" s="21" t="s">
        <v>86</v>
      </c>
      <c r="E73" s="63" t="s">
        <v>212</v>
      </c>
      <c r="F73" s="19" t="s">
        <v>35</v>
      </c>
      <c r="G73" s="18">
        <v>212460480</v>
      </c>
      <c r="H73" s="20">
        <v>192644934</v>
      </c>
      <c r="I73" s="20">
        <v>18</v>
      </c>
      <c r="J73" s="14" t="s">
        <v>213</v>
      </c>
      <c r="K73" s="14" t="s">
        <v>26</v>
      </c>
      <c r="L73" s="14" t="s">
        <v>26</v>
      </c>
      <c r="M73" s="14" t="s">
        <v>26</v>
      </c>
      <c r="N73" s="14" t="s">
        <v>26</v>
      </c>
      <c r="O73" s="14" t="s">
        <v>26</v>
      </c>
      <c r="P73" s="14"/>
      <c r="Q73" s="14" t="s">
        <v>27</v>
      </c>
      <c r="R73" s="14" t="s">
        <v>28</v>
      </c>
      <c r="T73" s="64"/>
      <c r="U73" s="64"/>
    </row>
    <row r="74" spans="1:1018 1025:2044 2051:3070 3077:4096 4103:5116 5122:6142 6148:7168 7174:8190 8194:9216 9220:10234 10241:11260 11267:12286 12293:13312 13319:14332 14338:15358 15364:16384">
      <c r="A74" s="21" t="s">
        <v>214</v>
      </c>
      <c r="B74" s="22">
        <v>2011</v>
      </c>
      <c r="C74" s="21" t="s">
        <v>195</v>
      </c>
      <c r="D74" s="21" t="s">
        <v>86</v>
      </c>
      <c r="E74" s="63" t="s">
        <v>212</v>
      </c>
      <c r="F74" s="19" t="s">
        <v>35</v>
      </c>
      <c r="G74" s="18">
        <v>942698326.41000009</v>
      </c>
      <c r="H74" s="18">
        <v>897711128</v>
      </c>
      <c r="I74" s="20">
        <v>18</v>
      </c>
      <c r="J74" s="14" t="s">
        <v>213</v>
      </c>
      <c r="K74" s="14" t="s">
        <v>26</v>
      </c>
      <c r="L74" s="14" t="s">
        <v>26</v>
      </c>
      <c r="M74" s="14" t="s">
        <v>26</v>
      </c>
      <c r="N74" s="14" t="s">
        <v>26</v>
      </c>
      <c r="O74" s="14" t="s">
        <v>26</v>
      </c>
      <c r="P74" s="14"/>
      <c r="Q74" s="14" t="s">
        <v>27</v>
      </c>
      <c r="R74" s="14" t="s">
        <v>28</v>
      </c>
      <c r="T74" s="64"/>
      <c r="U74" s="64"/>
    </row>
    <row r="75" spans="1:1018 1025:2044 2051:3070 3077:4096 4103:5116 5122:6142 6148:7168 7174:8190 8194:9216 9220:10234 10241:11260 11267:12286 12293:13312 13319:14332 14338:15358 15364:16384">
      <c r="A75" s="49" t="s">
        <v>215</v>
      </c>
      <c r="B75" s="27">
        <v>2012</v>
      </c>
      <c r="C75" s="27" t="s">
        <v>195</v>
      </c>
      <c r="D75" s="27" t="s">
        <v>86</v>
      </c>
      <c r="E75" s="10" t="s">
        <v>50</v>
      </c>
      <c r="F75" s="27" t="s">
        <v>41</v>
      </c>
      <c r="G75" s="47">
        <v>1112429755.6600001</v>
      </c>
      <c r="H75" s="47">
        <v>1110806094.97</v>
      </c>
      <c r="I75" s="29">
        <v>18</v>
      </c>
      <c r="J75" s="65" t="s">
        <v>216</v>
      </c>
      <c r="K75" t="s">
        <v>26</v>
      </c>
      <c r="L75"/>
      <c r="M75" t="s">
        <v>26</v>
      </c>
      <c r="N75"/>
      <c r="O75"/>
      <c r="P75"/>
      <c r="Q75"/>
      <c r="R75" t="s">
        <v>28</v>
      </c>
    </row>
    <row r="76" spans="1:1018 1025:2044 2051:3070 3077:4096 4103:5116 5122:6142 6148:7168 7174:8190 8194:9216 9220:10234 10241:11260 11267:12286 12293:13312 13319:14332 14338:15358 15364:16384">
      <c r="A76" s="45" t="s">
        <v>217</v>
      </c>
      <c r="B76" s="66">
        <v>2013</v>
      </c>
      <c r="C76" s="26" t="s">
        <v>195</v>
      </c>
      <c r="D76" s="67" t="s">
        <v>86</v>
      </c>
      <c r="E76" s="10" t="s">
        <v>50</v>
      </c>
      <c r="F76" t="s">
        <v>41</v>
      </c>
      <c r="G76" s="68">
        <v>1269116732.9300001</v>
      </c>
      <c r="H76" s="28">
        <v>1215635816.8599999</v>
      </c>
      <c r="I76" s="29">
        <v>19</v>
      </c>
      <c r="J76" s="30" t="s">
        <v>216</v>
      </c>
      <c r="K76" t="s">
        <v>26</v>
      </c>
      <c r="L76"/>
      <c r="M76" t="s">
        <v>26</v>
      </c>
      <c r="N76"/>
      <c r="O76"/>
      <c r="P76"/>
      <c r="Q76"/>
      <c r="R76" t="s">
        <v>28</v>
      </c>
    </row>
    <row r="77" spans="1:1018 1025:2044 2051:3070 3077:4096 4103:5116 5122:6142 6148:7168 7174:8190 8194:9216 9220:10234 10241:11260 11267:12286 12293:13312 13319:14332 14338:15358 15364:16384" s="75" customFormat="1">
      <c r="A77" s="69" t="s">
        <v>218</v>
      </c>
      <c r="B77" s="70">
        <v>2010</v>
      </c>
      <c r="C77" s="71" t="s">
        <v>219</v>
      </c>
      <c r="D77" s="69" t="s">
        <v>220</v>
      </c>
      <c r="E77" s="72" t="s">
        <v>117</v>
      </c>
      <c r="F77" s="72" t="s">
        <v>35</v>
      </c>
      <c r="G77" s="73">
        <v>155800631</v>
      </c>
      <c r="H77" s="73">
        <v>157157449</v>
      </c>
      <c r="I77" s="70">
        <v>8</v>
      </c>
      <c r="J77" s="74" t="s">
        <v>221</v>
      </c>
      <c r="K77" s="70"/>
      <c r="L77" s="70"/>
      <c r="M77" s="71" t="s">
        <v>26</v>
      </c>
      <c r="N77" s="70"/>
      <c r="O77" s="70"/>
      <c r="P77" s="70"/>
      <c r="Q77" s="71"/>
      <c r="R77" s="71"/>
    </row>
    <row r="78" spans="1:1018 1025:2044 2051:3070 3077:4096 4103:5116 5122:6142 6148:7168 7174:8190 8194:9216 9220:10234 10241:11260 11267:12286 12293:13312 13319:14332 14338:15358 15364:16384" s="75" customFormat="1">
      <c r="A78" s="69" t="s">
        <v>222</v>
      </c>
      <c r="B78" s="70">
        <v>2011</v>
      </c>
      <c r="C78" s="71" t="s">
        <v>219</v>
      </c>
      <c r="D78" s="69" t="s">
        <v>220</v>
      </c>
      <c r="E78" s="72" t="s">
        <v>145</v>
      </c>
      <c r="F78" s="72" t="s">
        <v>35</v>
      </c>
      <c r="G78" s="73">
        <v>224641623</v>
      </c>
      <c r="H78" s="73">
        <v>224641623</v>
      </c>
      <c r="I78" s="70">
        <v>8</v>
      </c>
      <c r="J78" s="74" t="s">
        <v>223</v>
      </c>
      <c r="K78" s="70"/>
      <c r="L78" s="70"/>
      <c r="M78" s="71" t="s">
        <v>26</v>
      </c>
      <c r="N78" s="70"/>
      <c r="O78" s="70"/>
      <c r="P78" s="70"/>
      <c r="Q78" s="71"/>
      <c r="R78" s="71"/>
    </row>
    <row r="79" spans="1:1018 1025:2044 2051:3070 3077:4096 4103:5116 5122:6142 6148:7168 7174:8190 8194:9216 9220:10234 10241:11260 11267:12286 12293:13312 13319:14332 14338:15358 15364:16384" s="24" customFormat="1">
      <c r="A79" s="21" t="s">
        <v>224</v>
      </c>
      <c r="B79" s="12">
        <v>2005</v>
      </c>
      <c r="C79" s="22" t="s">
        <v>225</v>
      </c>
      <c r="D79" s="21" t="s">
        <v>86</v>
      </c>
      <c r="E79" s="63" t="s">
        <v>64</v>
      </c>
      <c r="F79" s="22" t="s">
        <v>24</v>
      </c>
      <c r="G79" s="18">
        <v>138153403</v>
      </c>
      <c r="H79" s="18">
        <v>139444841</v>
      </c>
      <c r="I79" s="12">
        <v>6</v>
      </c>
      <c r="J79" s="12" t="s">
        <v>226</v>
      </c>
      <c r="K79" s="22" t="s">
        <v>26</v>
      </c>
      <c r="L79" s="12"/>
      <c r="M79" s="22" t="s">
        <v>26</v>
      </c>
      <c r="N79" s="12"/>
      <c r="O79" s="12"/>
      <c r="P79" s="12"/>
      <c r="Q79" s="22" t="s">
        <v>28</v>
      </c>
      <c r="R79" s="22" t="s">
        <v>28</v>
      </c>
      <c r="T79" s="64"/>
      <c r="U79" s="64"/>
    </row>
    <row r="80" spans="1:1018 1025:2044 2051:3070 3077:4096 4103:5116 5122:6142 6148:7168 7174:8190 8194:9216 9220:10234 10241:11260 11267:12286 12293:13312 13319:14332 14338:15358 15364:16384" s="24" customFormat="1">
      <c r="A80" s="21" t="s">
        <v>227</v>
      </c>
      <c r="B80" s="12">
        <v>2006</v>
      </c>
      <c r="C80" s="22" t="s">
        <v>225</v>
      </c>
      <c r="D80" s="21" t="s">
        <v>86</v>
      </c>
      <c r="E80" s="19" t="s">
        <v>228</v>
      </c>
      <c r="F80" s="22" t="s">
        <v>24</v>
      </c>
      <c r="G80" s="20">
        <v>129435000</v>
      </c>
      <c r="H80" s="31">
        <v>122473523.42801651</v>
      </c>
      <c r="I80" s="19">
        <v>6</v>
      </c>
      <c r="J80" s="52" t="s">
        <v>229</v>
      </c>
      <c r="K80" s="22" t="s">
        <v>26</v>
      </c>
      <c r="L80" s="12"/>
      <c r="M80" s="22" t="s">
        <v>26</v>
      </c>
      <c r="N80" s="12"/>
      <c r="O80" s="12"/>
      <c r="P80" s="12"/>
      <c r="Q80" s="22"/>
      <c r="R80" s="22"/>
    </row>
    <row r="81" spans="1:18" s="24" customFormat="1">
      <c r="A81" s="21" t="s">
        <v>230</v>
      </c>
      <c r="B81" s="12">
        <v>2007</v>
      </c>
      <c r="C81" s="22" t="s">
        <v>225</v>
      </c>
      <c r="D81" s="21" t="s">
        <v>86</v>
      </c>
      <c r="E81" s="19" t="s">
        <v>23</v>
      </c>
      <c r="F81" s="22" t="s">
        <v>24</v>
      </c>
      <c r="G81" s="76">
        <v>171775146.47727105</v>
      </c>
      <c r="H81" s="77">
        <v>173554249.65628326</v>
      </c>
      <c r="I81" s="19">
        <v>6</v>
      </c>
      <c r="J81" s="52" t="s">
        <v>231</v>
      </c>
      <c r="K81" s="22" t="s">
        <v>26</v>
      </c>
      <c r="L81" s="12"/>
      <c r="M81" s="22" t="s">
        <v>26</v>
      </c>
      <c r="N81" s="12"/>
      <c r="O81" s="12"/>
      <c r="P81" s="12"/>
      <c r="Q81" s="22"/>
      <c r="R81" s="22"/>
    </row>
    <row r="82" spans="1:18" s="24" customFormat="1">
      <c r="A82" s="21" t="s">
        <v>232</v>
      </c>
      <c r="B82" s="12">
        <v>2008</v>
      </c>
      <c r="C82" s="22" t="s">
        <v>225</v>
      </c>
      <c r="D82" s="21" t="s">
        <v>86</v>
      </c>
      <c r="E82" s="19" t="s">
        <v>23</v>
      </c>
      <c r="F82" s="22" t="s">
        <v>24</v>
      </c>
      <c r="G82" s="76">
        <v>211216758.63145587</v>
      </c>
      <c r="H82" s="77">
        <v>212638919.54098818</v>
      </c>
      <c r="I82" s="19">
        <v>6</v>
      </c>
      <c r="J82" s="52" t="s">
        <v>233</v>
      </c>
      <c r="K82" s="22" t="s">
        <v>26</v>
      </c>
      <c r="L82" s="12"/>
      <c r="M82" s="22" t="s">
        <v>26</v>
      </c>
      <c r="N82" s="12"/>
      <c r="O82" s="12"/>
      <c r="P82" s="12"/>
      <c r="Q82" s="22"/>
      <c r="R82" s="22"/>
    </row>
    <row r="83" spans="1:18" s="24" customFormat="1">
      <c r="A83" s="21" t="s">
        <v>234</v>
      </c>
      <c r="B83" s="12">
        <v>2009</v>
      </c>
      <c r="C83" s="22" t="s">
        <v>225</v>
      </c>
      <c r="D83" s="21" t="s">
        <v>86</v>
      </c>
      <c r="E83" s="19" t="s">
        <v>23</v>
      </c>
      <c r="F83" s="22" t="s">
        <v>24</v>
      </c>
      <c r="G83" s="20">
        <v>204355820.14115614</v>
      </c>
      <c r="H83" s="44">
        <v>216639913.76901186</v>
      </c>
      <c r="I83" s="19">
        <v>6</v>
      </c>
      <c r="J83" s="52" t="s">
        <v>235</v>
      </c>
      <c r="K83" s="22" t="s">
        <v>26</v>
      </c>
      <c r="L83" s="12"/>
      <c r="M83" s="22" t="s">
        <v>26</v>
      </c>
      <c r="N83" s="12"/>
      <c r="O83" s="12"/>
      <c r="P83" s="12"/>
      <c r="Q83" s="22"/>
      <c r="R83" s="22"/>
    </row>
    <row r="84" spans="1:18" s="24" customFormat="1">
      <c r="A84" s="21" t="s">
        <v>236</v>
      </c>
      <c r="B84" s="12">
        <v>2010</v>
      </c>
      <c r="C84" s="22" t="s">
        <v>225</v>
      </c>
      <c r="D84" s="21" t="s">
        <v>86</v>
      </c>
      <c r="E84" s="19" t="s">
        <v>23</v>
      </c>
      <c r="F84" s="22" t="s">
        <v>24</v>
      </c>
      <c r="G84" s="20">
        <v>218560221.14787036</v>
      </c>
      <c r="H84" s="44">
        <v>220836821.31086206</v>
      </c>
      <c r="I84" s="19">
        <v>7</v>
      </c>
      <c r="J84" s="52" t="s">
        <v>237</v>
      </c>
      <c r="K84" s="22" t="s">
        <v>26</v>
      </c>
      <c r="L84" s="12"/>
      <c r="M84" s="22" t="s">
        <v>26</v>
      </c>
      <c r="N84" s="12"/>
      <c r="O84" s="12"/>
      <c r="P84" s="12"/>
      <c r="Q84" s="22"/>
      <c r="R84" s="22"/>
    </row>
    <row r="85" spans="1:18" s="24" customFormat="1">
      <c r="A85" s="21" t="s">
        <v>238</v>
      </c>
      <c r="B85" s="12">
        <v>2011</v>
      </c>
      <c r="C85" s="22" t="s">
        <v>225</v>
      </c>
      <c r="D85" s="21" t="s">
        <v>86</v>
      </c>
      <c r="E85" s="19" t="s">
        <v>95</v>
      </c>
      <c r="F85" s="22" t="s">
        <v>24</v>
      </c>
      <c r="G85" s="77">
        <v>975948622.49588823</v>
      </c>
      <c r="H85" s="77">
        <v>982235037.08119869</v>
      </c>
      <c r="I85" s="19">
        <v>24</v>
      </c>
      <c r="J85" s="52" t="s">
        <v>239</v>
      </c>
      <c r="K85" s="22" t="s">
        <v>26</v>
      </c>
      <c r="L85" s="12"/>
      <c r="M85" s="22" t="s">
        <v>26</v>
      </c>
      <c r="N85" s="12"/>
      <c r="O85" s="12"/>
      <c r="P85" s="12"/>
      <c r="Q85" s="22"/>
      <c r="R85" s="22"/>
    </row>
    <row r="86" spans="1:18" s="24" customFormat="1">
      <c r="A86" s="21" t="s">
        <v>240</v>
      </c>
      <c r="B86" s="12">
        <v>2012</v>
      </c>
      <c r="C86" s="22" t="s">
        <v>225</v>
      </c>
      <c r="D86" s="21" t="s">
        <v>86</v>
      </c>
      <c r="E86" s="19" t="s">
        <v>95</v>
      </c>
      <c r="F86" s="22" t="s">
        <v>24</v>
      </c>
      <c r="G86" s="48">
        <v>371466405.82975137</v>
      </c>
      <c r="H86" s="78">
        <v>379858335.16916144</v>
      </c>
      <c r="I86" s="19">
        <v>26</v>
      </c>
      <c r="J86" s="52" t="s">
        <v>241</v>
      </c>
      <c r="K86" s="22" t="s">
        <v>26</v>
      </c>
      <c r="L86" s="12"/>
      <c r="M86" s="22" t="s">
        <v>26</v>
      </c>
      <c r="N86" s="12"/>
      <c r="O86" s="12"/>
      <c r="P86" s="12"/>
      <c r="Q86" s="22"/>
      <c r="R86" s="22"/>
    </row>
    <row r="87" spans="1:18" s="24" customFormat="1">
      <c r="A87" s="21" t="s">
        <v>242</v>
      </c>
      <c r="B87" s="12">
        <v>2009</v>
      </c>
      <c r="C87" s="22" t="s">
        <v>243</v>
      </c>
      <c r="D87" s="21" t="s">
        <v>244</v>
      </c>
      <c r="E87" s="63" t="s">
        <v>145</v>
      </c>
      <c r="F87" s="19" t="s">
        <v>35</v>
      </c>
      <c r="G87" s="44">
        <v>24925055610</v>
      </c>
      <c r="H87" s="44">
        <v>24682330430</v>
      </c>
      <c r="I87" s="12">
        <v>126</v>
      </c>
      <c r="J87" s="23" t="s">
        <v>245</v>
      </c>
      <c r="K87" s="22" t="s">
        <v>26</v>
      </c>
      <c r="L87" s="22"/>
      <c r="M87" s="22" t="s">
        <v>26</v>
      </c>
      <c r="N87" s="22"/>
      <c r="O87" s="22" t="s">
        <v>26</v>
      </c>
      <c r="P87" s="22" t="s">
        <v>26</v>
      </c>
      <c r="Q87" s="22" t="s">
        <v>27</v>
      </c>
      <c r="R87" s="22" t="s">
        <v>28</v>
      </c>
    </row>
    <row r="88" spans="1:18" s="24" customFormat="1">
      <c r="A88" s="21" t="s">
        <v>246</v>
      </c>
      <c r="B88" s="12">
        <v>2010</v>
      </c>
      <c r="C88" s="22" t="s">
        <v>243</v>
      </c>
      <c r="D88" s="21" t="s">
        <v>244</v>
      </c>
      <c r="E88" s="63" t="s">
        <v>247</v>
      </c>
      <c r="F88" s="19" t="s">
        <v>35</v>
      </c>
      <c r="G88" s="38">
        <v>32949795856</v>
      </c>
      <c r="H88" s="38">
        <v>32920365915</v>
      </c>
      <c r="I88" s="12">
        <v>211</v>
      </c>
      <c r="J88" s="23" t="s">
        <v>248</v>
      </c>
      <c r="K88" s="22" t="s">
        <v>26</v>
      </c>
      <c r="L88" s="22"/>
      <c r="M88" s="22" t="s">
        <v>26</v>
      </c>
      <c r="N88" s="22"/>
      <c r="O88" s="22" t="s">
        <v>26</v>
      </c>
      <c r="P88" s="22" t="s">
        <v>26</v>
      </c>
      <c r="Q88" s="22" t="s">
        <v>27</v>
      </c>
      <c r="R88" s="22" t="s">
        <v>28</v>
      </c>
    </row>
    <row r="89" spans="1:18" s="24" customFormat="1">
      <c r="A89" s="21" t="s">
        <v>249</v>
      </c>
      <c r="B89" s="12">
        <v>2011</v>
      </c>
      <c r="C89" s="22" t="s">
        <v>243</v>
      </c>
      <c r="D89" s="21" t="s">
        <v>244</v>
      </c>
      <c r="E89" s="63" t="s">
        <v>247</v>
      </c>
      <c r="F89" s="19" t="s">
        <v>35</v>
      </c>
      <c r="G89" s="38">
        <v>44779611925</v>
      </c>
      <c r="H89" s="38">
        <v>44689847698</v>
      </c>
      <c r="I89" s="12">
        <v>233</v>
      </c>
      <c r="J89" s="23" t="s">
        <v>248</v>
      </c>
      <c r="K89" s="22" t="s">
        <v>26</v>
      </c>
      <c r="L89" s="22"/>
      <c r="M89" s="22" t="s">
        <v>26</v>
      </c>
      <c r="N89" s="22"/>
      <c r="O89" s="22" t="s">
        <v>26</v>
      </c>
      <c r="P89" s="22" t="s">
        <v>26</v>
      </c>
      <c r="Q89" s="22" t="s">
        <v>27</v>
      </c>
      <c r="R89" s="22" t="s">
        <v>28</v>
      </c>
    </row>
    <row r="90" spans="1:18" s="24" customFormat="1">
      <c r="A90" s="21" t="s">
        <v>250</v>
      </c>
      <c r="B90" s="12">
        <v>2009</v>
      </c>
      <c r="C90" s="22" t="s">
        <v>251</v>
      </c>
      <c r="D90" s="21" t="s">
        <v>252</v>
      </c>
      <c r="E90" s="63" t="s">
        <v>253</v>
      </c>
      <c r="F90" s="22" t="s">
        <v>103</v>
      </c>
      <c r="G90" s="18">
        <v>41249682456.5</v>
      </c>
      <c r="H90" s="18">
        <v>40159269633.400002</v>
      </c>
      <c r="I90" s="12">
        <v>34</v>
      </c>
      <c r="J90" s="12" t="s">
        <v>254</v>
      </c>
      <c r="K90" s="22" t="s">
        <v>26</v>
      </c>
      <c r="L90" s="12"/>
      <c r="M90" s="22" t="s">
        <v>26</v>
      </c>
      <c r="N90" s="12"/>
      <c r="O90" s="12"/>
      <c r="P90" s="12"/>
      <c r="Q90" s="22" t="s">
        <v>27</v>
      </c>
      <c r="R90" s="22" t="s">
        <v>28</v>
      </c>
    </row>
    <row r="91" spans="1:18" s="24" customFormat="1">
      <c r="A91" s="21" t="s">
        <v>255</v>
      </c>
      <c r="B91" s="12">
        <v>2010</v>
      </c>
      <c r="C91" s="22" t="s">
        <v>251</v>
      </c>
      <c r="D91" s="21" t="s">
        <v>252</v>
      </c>
      <c r="E91" s="63" t="s">
        <v>44</v>
      </c>
      <c r="F91" s="22" t="s">
        <v>103</v>
      </c>
      <c r="G91" s="44">
        <v>53852645106.349998</v>
      </c>
      <c r="H91" s="44">
        <v>54037731812.769997</v>
      </c>
      <c r="I91" s="12">
        <v>51</v>
      </c>
      <c r="J91" s="12" t="s">
        <v>256</v>
      </c>
      <c r="K91" s="22" t="s">
        <v>26</v>
      </c>
      <c r="L91" s="12"/>
      <c r="M91" s="22" t="s">
        <v>26</v>
      </c>
      <c r="N91" s="12"/>
      <c r="O91" s="22" t="s">
        <v>26</v>
      </c>
      <c r="P91" s="12"/>
      <c r="Q91" s="22" t="s">
        <v>27</v>
      </c>
      <c r="R91" s="22" t="s">
        <v>28</v>
      </c>
    </row>
    <row r="92" spans="1:18" s="24" customFormat="1">
      <c r="A92" s="21" t="s">
        <v>257</v>
      </c>
      <c r="B92" s="12">
        <v>2011</v>
      </c>
      <c r="C92" s="22" t="s">
        <v>251</v>
      </c>
      <c r="D92" s="21" t="s">
        <v>252</v>
      </c>
      <c r="E92" s="63" t="s">
        <v>95</v>
      </c>
      <c r="F92" s="22" t="s">
        <v>103</v>
      </c>
      <c r="G92" s="38">
        <v>82986002828</v>
      </c>
      <c r="H92" s="38">
        <v>81810684105</v>
      </c>
      <c r="I92" s="12">
        <v>47</v>
      </c>
      <c r="J92" s="12" t="s">
        <v>258</v>
      </c>
      <c r="K92" s="22" t="s">
        <v>26</v>
      </c>
      <c r="L92" s="12"/>
      <c r="M92" s="22" t="s">
        <v>26</v>
      </c>
      <c r="N92" s="12"/>
      <c r="O92" s="22" t="s">
        <v>26</v>
      </c>
      <c r="P92" s="12"/>
      <c r="Q92" s="22" t="s">
        <v>27</v>
      </c>
      <c r="R92" s="22" t="s">
        <v>28</v>
      </c>
    </row>
    <row r="93" spans="1:18">
      <c r="A93" s="45" t="s">
        <v>259</v>
      </c>
      <c r="B93" s="46">
        <v>2012</v>
      </c>
      <c r="C93" s="45" t="s">
        <v>251</v>
      </c>
      <c r="D93" s="45" t="s">
        <v>252</v>
      </c>
      <c r="E93" s="10" t="s">
        <v>50</v>
      </c>
      <c r="F93" s="45" t="s">
        <v>103</v>
      </c>
      <c r="G93" s="60">
        <v>94032633453</v>
      </c>
      <c r="H93" s="79">
        <v>93136980753</v>
      </c>
      <c r="I93" s="29">
        <v>43</v>
      </c>
      <c r="J93" s="30" t="s">
        <v>260</v>
      </c>
      <c r="K93" t="s">
        <v>26</v>
      </c>
      <c r="L93"/>
      <c r="M93" t="s">
        <v>26</v>
      </c>
      <c r="N93"/>
      <c r="O93"/>
      <c r="P93"/>
      <c r="Q93" t="s">
        <v>27</v>
      </c>
      <c r="R93" t="s">
        <v>28</v>
      </c>
    </row>
    <row r="94" spans="1:18" s="24" customFormat="1">
      <c r="A94" s="21" t="s">
        <v>261</v>
      </c>
      <c r="B94" s="12">
        <v>2005</v>
      </c>
      <c r="C94" s="22" t="s">
        <v>262</v>
      </c>
      <c r="D94" s="21" t="s">
        <v>39</v>
      </c>
      <c r="E94" s="63" t="s">
        <v>263</v>
      </c>
      <c r="F94" s="22" t="s">
        <v>103</v>
      </c>
      <c r="G94" s="38">
        <v>2622996991</v>
      </c>
      <c r="H94" s="38">
        <v>2610384907</v>
      </c>
      <c r="I94" s="12">
        <v>37</v>
      </c>
      <c r="J94" s="12" t="s">
        <v>264</v>
      </c>
      <c r="K94" s="22"/>
      <c r="L94" s="12"/>
      <c r="M94" s="22" t="s">
        <v>26</v>
      </c>
      <c r="N94" s="12"/>
      <c r="O94" s="22"/>
      <c r="P94" s="12"/>
      <c r="Q94" s="22" t="s">
        <v>265</v>
      </c>
      <c r="R94" s="22" t="s">
        <v>28</v>
      </c>
    </row>
    <row r="95" spans="1:18" s="24" customFormat="1">
      <c r="A95" s="21" t="s">
        <v>266</v>
      </c>
      <c r="B95" s="12">
        <v>2006</v>
      </c>
      <c r="C95" s="22" t="s">
        <v>262</v>
      </c>
      <c r="D95" s="21" t="s">
        <v>39</v>
      </c>
      <c r="E95" s="63" t="s">
        <v>267</v>
      </c>
      <c r="F95" s="22" t="s">
        <v>55</v>
      </c>
      <c r="G95" s="38">
        <v>10237431640</v>
      </c>
      <c r="H95" s="38">
        <v>10113048830</v>
      </c>
      <c r="I95" s="12">
        <v>103</v>
      </c>
      <c r="J95" s="12" t="s">
        <v>268</v>
      </c>
      <c r="K95" s="22"/>
      <c r="L95" s="12"/>
      <c r="M95" s="22" t="s">
        <v>26</v>
      </c>
      <c r="N95" s="12"/>
      <c r="O95" s="22"/>
      <c r="P95" s="12"/>
      <c r="Q95" s="22" t="s">
        <v>265</v>
      </c>
      <c r="R95" s="22" t="s">
        <v>28</v>
      </c>
    </row>
    <row r="96" spans="1:18" s="24" customFormat="1">
      <c r="A96" s="21" t="s">
        <v>269</v>
      </c>
      <c r="B96" s="12">
        <v>2007</v>
      </c>
      <c r="C96" s="22" t="s">
        <v>262</v>
      </c>
      <c r="D96" s="21" t="s">
        <v>39</v>
      </c>
      <c r="E96" s="63" t="s">
        <v>73</v>
      </c>
      <c r="F96" s="22" t="s">
        <v>55</v>
      </c>
      <c r="G96" s="80">
        <v>12635329400</v>
      </c>
      <c r="H96" s="80">
        <v>12635329400</v>
      </c>
      <c r="I96" s="12">
        <v>108</v>
      </c>
      <c r="J96" s="12" t="s">
        <v>270</v>
      </c>
      <c r="K96" s="22"/>
      <c r="L96" s="12"/>
      <c r="M96" s="22" t="s">
        <v>26</v>
      </c>
      <c r="N96" s="12"/>
      <c r="O96" s="22"/>
      <c r="P96" s="12"/>
      <c r="Q96" s="22" t="s">
        <v>265</v>
      </c>
      <c r="R96" s="22" t="s">
        <v>28</v>
      </c>
    </row>
    <row r="97" spans="1:18" s="24" customFormat="1">
      <c r="A97" s="21" t="s">
        <v>271</v>
      </c>
      <c r="B97" s="12">
        <v>2008</v>
      </c>
      <c r="C97" s="22" t="s">
        <v>262</v>
      </c>
      <c r="D97" s="21" t="s">
        <v>39</v>
      </c>
      <c r="E97" s="63" t="s">
        <v>73</v>
      </c>
      <c r="F97" s="22" t="s">
        <v>55</v>
      </c>
      <c r="G97" s="80">
        <v>21000131830</v>
      </c>
      <c r="H97" s="80">
        <v>21000131830</v>
      </c>
      <c r="I97" s="12">
        <v>109</v>
      </c>
      <c r="J97" s="12" t="s">
        <v>272</v>
      </c>
      <c r="K97" s="22"/>
      <c r="L97" s="12"/>
      <c r="M97" s="22" t="s">
        <v>26</v>
      </c>
      <c r="N97" s="12"/>
      <c r="O97" s="22"/>
      <c r="P97" s="12"/>
      <c r="Q97" s="22" t="s">
        <v>265</v>
      </c>
      <c r="R97" s="22" t="s">
        <v>28</v>
      </c>
    </row>
    <row r="98" spans="1:18" s="24" customFormat="1">
      <c r="A98" s="21" t="s">
        <v>273</v>
      </c>
      <c r="B98" s="12">
        <v>2009</v>
      </c>
      <c r="C98" s="22" t="s">
        <v>262</v>
      </c>
      <c r="D98" s="21" t="s">
        <v>39</v>
      </c>
      <c r="E98" s="63" t="s">
        <v>76</v>
      </c>
      <c r="F98" s="22" t="s">
        <v>35</v>
      </c>
      <c r="G98" s="18">
        <v>12722411270</v>
      </c>
      <c r="H98" s="18">
        <v>12971087110</v>
      </c>
      <c r="I98" s="12">
        <v>123</v>
      </c>
      <c r="J98" s="12" t="s">
        <v>274</v>
      </c>
      <c r="K98" s="22"/>
      <c r="L98" s="12"/>
      <c r="M98" s="22" t="s">
        <v>26</v>
      </c>
      <c r="N98" s="12"/>
      <c r="O98" s="22"/>
      <c r="P98" s="12"/>
      <c r="Q98" s="22" t="s">
        <v>265</v>
      </c>
      <c r="R98" s="22" t="s">
        <v>28</v>
      </c>
    </row>
    <row r="99" spans="1:18" s="24" customFormat="1">
      <c r="A99" s="21" t="s">
        <v>275</v>
      </c>
      <c r="B99" s="12">
        <v>2010</v>
      </c>
      <c r="C99" s="22" t="s">
        <v>262</v>
      </c>
      <c r="D99" s="21" t="s">
        <v>39</v>
      </c>
      <c r="E99" s="63" t="s">
        <v>44</v>
      </c>
      <c r="F99" s="22" t="s">
        <v>35</v>
      </c>
      <c r="G99" s="38">
        <v>20754211560</v>
      </c>
      <c r="H99" s="38">
        <v>20787323350</v>
      </c>
      <c r="I99" s="12">
        <v>164</v>
      </c>
      <c r="J99" s="12" t="s">
        <v>276</v>
      </c>
      <c r="K99" s="22" t="s">
        <v>26</v>
      </c>
      <c r="L99" s="12"/>
      <c r="M99" s="22" t="s">
        <v>26</v>
      </c>
      <c r="N99" s="12"/>
      <c r="O99" s="22"/>
      <c r="P99" s="12"/>
      <c r="Q99" s="22" t="s">
        <v>265</v>
      </c>
      <c r="R99" s="22" t="s">
        <v>28</v>
      </c>
    </row>
    <row r="100" spans="1:18" s="24" customFormat="1">
      <c r="A100" s="21" t="s">
        <v>277</v>
      </c>
      <c r="B100" s="12">
        <v>2011</v>
      </c>
      <c r="C100" s="22" t="s">
        <v>262</v>
      </c>
      <c r="D100" s="21" t="s">
        <v>39</v>
      </c>
      <c r="E100" s="63" t="s">
        <v>44</v>
      </c>
      <c r="F100" s="22" t="s">
        <v>35</v>
      </c>
      <c r="G100" s="80">
        <v>28779202170</v>
      </c>
      <c r="H100" s="80">
        <v>28858076750</v>
      </c>
      <c r="I100" s="12">
        <v>167</v>
      </c>
      <c r="J100" s="12" t="s">
        <v>278</v>
      </c>
      <c r="K100" s="22" t="s">
        <v>26</v>
      </c>
      <c r="L100" s="12"/>
      <c r="M100" s="22" t="s">
        <v>26</v>
      </c>
      <c r="N100" s="12"/>
      <c r="O100" s="22"/>
      <c r="P100" s="12"/>
      <c r="Q100" s="22" t="s">
        <v>265</v>
      </c>
      <c r="R100" s="22" t="s">
        <v>28</v>
      </c>
    </row>
    <row r="101" spans="1:18">
      <c r="A101" s="49" t="s">
        <v>279</v>
      </c>
      <c r="B101" s="27">
        <v>2012</v>
      </c>
      <c r="C101" s="27" t="s">
        <v>280</v>
      </c>
      <c r="D101" s="27" t="s">
        <v>39</v>
      </c>
      <c r="E101" s="10" t="s">
        <v>50</v>
      </c>
      <c r="F101" s="27" t="s">
        <v>35</v>
      </c>
      <c r="G101" s="60">
        <v>30672394366</v>
      </c>
      <c r="H101" s="60">
        <v>30665150905</v>
      </c>
      <c r="I101" s="29">
        <v>158</v>
      </c>
      <c r="J101" s="81" t="s">
        <v>281</v>
      </c>
      <c r="K101" t="s">
        <v>26</v>
      </c>
      <c r="L101"/>
      <c r="M101" t="s">
        <v>26</v>
      </c>
      <c r="N101"/>
      <c r="O101"/>
      <c r="P101"/>
      <c r="Q101"/>
      <c r="R101" t="s">
        <v>28</v>
      </c>
    </row>
    <row r="102" spans="1:18">
      <c r="A102" s="49" t="s">
        <v>282</v>
      </c>
      <c r="B102" s="27">
        <v>2013</v>
      </c>
      <c r="C102" s="27" t="s">
        <v>280</v>
      </c>
      <c r="D102" s="27" t="s">
        <v>39</v>
      </c>
      <c r="E102" s="10" t="s">
        <v>50</v>
      </c>
      <c r="F102" s="27" t="s">
        <v>35</v>
      </c>
      <c r="G102" s="82">
        <v>30773721236</v>
      </c>
      <c r="H102" s="82">
        <v>31961400394</v>
      </c>
      <c r="I102" s="29">
        <v>203</v>
      </c>
      <c r="J102" s="30" t="s">
        <v>283</v>
      </c>
      <c r="K102" t="s">
        <v>26</v>
      </c>
      <c r="L102"/>
      <c r="M102" t="s">
        <v>26</v>
      </c>
      <c r="N102"/>
      <c r="O102"/>
      <c r="P102"/>
      <c r="Q102"/>
      <c r="R102" t="s">
        <v>28</v>
      </c>
    </row>
    <row r="103" spans="1:18" s="24" customFormat="1">
      <c r="A103" s="21" t="s">
        <v>284</v>
      </c>
      <c r="B103" s="12">
        <v>2004</v>
      </c>
      <c r="C103" s="22" t="s">
        <v>285</v>
      </c>
      <c r="D103" s="21" t="s">
        <v>39</v>
      </c>
      <c r="E103" s="63" t="s">
        <v>172</v>
      </c>
      <c r="F103" s="22" t="s">
        <v>24</v>
      </c>
      <c r="G103" s="38">
        <v>30473246</v>
      </c>
      <c r="H103" s="38">
        <v>120576226</v>
      </c>
      <c r="I103" s="12">
        <v>2</v>
      </c>
      <c r="J103" s="12" t="s">
        <v>286</v>
      </c>
      <c r="K103" s="22"/>
      <c r="L103" s="12"/>
      <c r="M103" s="22" t="s">
        <v>26</v>
      </c>
      <c r="N103" s="12"/>
      <c r="O103" s="22"/>
      <c r="P103" s="12"/>
      <c r="Q103" s="22" t="s">
        <v>265</v>
      </c>
      <c r="R103" s="22" t="s">
        <v>28</v>
      </c>
    </row>
    <row r="104" spans="1:18" s="24" customFormat="1">
      <c r="A104" s="21" t="s">
        <v>287</v>
      </c>
      <c r="B104" s="12">
        <v>2005</v>
      </c>
      <c r="C104" s="22" t="s">
        <v>285</v>
      </c>
      <c r="D104" s="21" t="s">
        <v>39</v>
      </c>
      <c r="E104" s="63" t="s">
        <v>172</v>
      </c>
      <c r="F104" s="22" t="s">
        <v>24</v>
      </c>
      <c r="G104" s="38">
        <v>29106335</v>
      </c>
      <c r="H104" s="38">
        <v>38337987</v>
      </c>
      <c r="I104" s="12">
        <v>6</v>
      </c>
      <c r="J104" s="12" t="s">
        <v>286</v>
      </c>
      <c r="K104" s="22"/>
      <c r="L104" s="12"/>
      <c r="M104" s="22" t="s">
        <v>26</v>
      </c>
      <c r="N104" s="12"/>
      <c r="O104" s="22"/>
      <c r="P104" s="12"/>
      <c r="Q104" s="22" t="s">
        <v>265</v>
      </c>
      <c r="R104" s="22" t="s">
        <v>28</v>
      </c>
    </row>
    <row r="105" spans="1:18" s="24" customFormat="1">
      <c r="A105" s="21" t="s">
        <v>288</v>
      </c>
      <c r="B105" s="12">
        <v>2006</v>
      </c>
      <c r="C105" s="22" t="s">
        <v>285</v>
      </c>
      <c r="D105" s="21" t="s">
        <v>39</v>
      </c>
      <c r="E105" s="63" t="s">
        <v>172</v>
      </c>
      <c r="F105" s="22" t="s">
        <v>24</v>
      </c>
      <c r="G105" s="38">
        <v>26120301</v>
      </c>
      <c r="H105" s="38">
        <v>33994038</v>
      </c>
      <c r="I105" s="12">
        <v>6</v>
      </c>
      <c r="J105" s="12" t="s">
        <v>286</v>
      </c>
      <c r="K105" s="22"/>
      <c r="L105" s="12"/>
      <c r="M105" s="22" t="s">
        <v>26</v>
      </c>
      <c r="N105" s="12"/>
      <c r="O105" s="22"/>
      <c r="P105" s="12"/>
      <c r="Q105" s="22" t="s">
        <v>265</v>
      </c>
      <c r="R105" s="22" t="s">
        <v>28</v>
      </c>
    </row>
    <row r="106" spans="1:18" s="24" customFormat="1">
      <c r="A106" s="21" t="s">
        <v>289</v>
      </c>
      <c r="B106" s="12">
        <v>2007</v>
      </c>
      <c r="C106" s="22" t="s">
        <v>285</v>
      </c>
      <c r="D106" s="21" t="s">
        <v>39</v>
      </c>
      <c r="E106" s="63" t="s">
        <v>172</v>
      </c>
      <c r="F106" s="22" t="s">
        <v>24</v>
      </c>
      <c r="G106" s="38">
        <v>28210188</v>
      </c>
      <c r="H106" s="38">
        <v>37580429</v>
      </c>
      <c r="I106" s="12">
        <v>6</v>
      </c>
      <c r="J106" s="12" t="s">
        <v>286</v>
      </c>
      <c r="K106" s="22"/>
      <c r="L106" s="12"/>
      <c r="M106" s="22" t="s">
        <v>26</v>
      </c>
      <c r="N106" s="12"/>
      <c r="O106" s="22"/>
      <c r="P106" s="12"/>
      <c r="Q106" s="22" t="s">
        <v>265</v>
      </c>
      <c r="R106" s="22" t="s">
        <v>28</v>
      </c>
    </row>
    <row r="107" spans="1:18" s="24" customFormat="1">
      <c r="A107" s="21" t="s">
        <v>290</v>
      </c>
      <c r="B107" s="12">
        <v>2008</v>
      </c>
      <c r="C107" s="22" t="s">
        <v>285</v>
      </c>
      <c r="D107" s="21" t="s">
        <v>39</v>
      </c>
      <c r="E107" s="63" t="s">
        <v>172</v>
      </c>
      <c r="F107" s="22" t="s">
        <v>35</v>
      </c>
      <c r="G107" s="18">
        <v>72855334</v>
      </c>
      <c r="H107" s="18">
        <v>74794639</v>
      </c>
      <c r="I107" s="12">
        <v>26</v>
      </c>
      <c r="J107" s="12" t="s">
        <v>286</v>
      </c>
      <c r="K107" s="22"/>
      <c r="L107" s="12"/>
      <c r="M107" s="22" t="s">
        <v>26</v>
      </c>
      <c r="N107" s="12"/>
      <c r="O107" s="22"/>
      <c r="P107" s="12"/>
      <c r="Q107" s="22" t="s">
        <v>265</v>
      </c>
      <c r="R107" s="22" t="s">
        <v>28</v>
      </c>
    </row>
    <row r="108" spans="1:18" s="24" customFormat="1">
      <c r="A108" s="21" t="s">
        <v>291</v>
      </c>
      <c r="B108" s="12">
        <v>2009</v>
      </c>
      <c r="C108" s="22" t="s">
        <v>285</v>
      </c>
      <c r="D108" s="21" t="s">
        <v>39</v>
      </c>
      <c r="E108" s="63" t="s">
        <v>292</v>
      </c>
      <c r="F108" s="22" t="s">
        <v>35</v>
      </c>
      <c r="G108" s="18">
        <v>96148291</v>
      </c>
      <c r="H108" s="18">
        <v>99435121</v>
      </c>
      <c r="I108" s="12">
        <v>26</v>
      </c>
      <c r="J108" s="12" t="s">
        <v>293</v>
      </c>
      <c r="K108" s="22"/>
      <c r="L108" s="12"/>
      <c r="M108" s="22" t="s">
        <v>26</v>
      </c>
      <c r="N108" s="12"/>
      <c r="O108" s="22"/>
      <c r="P108" s="12"/>
      <c r="Q108" s="22" t="s">
        <v>265</v>
      </c>
      <c r="R108" s="22" t="s">
        <v>28</v>
      </c>
    </row>
    <row r="109" spans="1:18" s="24" customFormat="1">
      <c r="A109" s="21" t="s">
        <v>294</v>
      </c>
      <c r="B109" s="12">
        <v>2010</v>
      </c>
      <c r="C109" s="22" t="s">
        <v>285</v>
      </c>
      <c r="D109" s="21" t="s">
        <v>39</v>
      </c>
      <c r="E109" s="63" t="s">
        <v>44</v>
      </c>
      <c r="F109" s="22" t="s">
        <v>35</v>
      </c>
      <c r="G109" s="38">
        <v>143976791</v>
      </c>
      <c r="H109" s="38">
        <v>142159547</v>
      </c>
      <c r="I109" s="12">
        <v>42</v>
      </c>
      <c r="J109" s="12" t="s">
        <v>293</v>
      </c>
      <c r="K109" s="22" t="s">
        <v>26</v>
      </c>
      <c r="L109" s="22" t="s">
        <v>26</v>
      </c>
      <c r="M109" s="22" t="s">
        <v>26</v>
      </c>
      <c r="N109" s="12"/>
      <c r="O109" s="22"/>
      <c r="P109" s="12"/>
      <c r="Q109" s="22" t="s">
        <v>265</v>
      </c>
      <c r="R109" s="22" t="s">
        <v>28</v>
      </c>
    </row>
    <row r="110" spans="1:18" s="24" customFormat="1">
      <c r="A110" s="21" t="s">
        <v>295</v>
      </c>
      <c r="B110" s="12">
        <v>2011</v>
      </c>
      <c r="C110" s="22" t="s">
        <v>285</v>
      </c>
      <c r="D110" s="21" t="s">
        <v>39</v>
      </c>
      <c r="E110" s="63" t="s">
        <v>44</v>
      </c>
      <c r="F110" s="22" t="s">
        <v>35</v>
      </c>
      <c r="G110" s="38">
        <v>246173059</v>
      </c>
      <c r="H110" s="38">
        <v>246031215</v>
      </c>
      <c r="I110" s="12">
        <v>57</v>
      </c>
      <c r="J110" s="12" t="s">
        <v>296</v>
      </c>
      <c r="K110" s="22" t="s">
        <v>26</v>
      </c>
      <c r="L110" s="22" t="s">
        <v>26</v>
      </c>
      <c r="M110" s="22" t="s">
        <v>26</v>
      </c>
      <c r="N110" s="12"/>
      <c r="O110" s="22"/>
      <c r="P110" s="12"/>
      <c r="Q110" s="22" t="s">
        <v>265</v>
      </c>
      <c r="R110" s="22" t="s">
        <v>28</v>
      </c>
    </row>
    <row r="111" spans="1:18" s="24" customFormat="1">
      <c r="A111" s="21" t="s">
        <v>297</v>
      </c>
      <c r="B111" s="12">
        <v>2012</v>
      </c>
      <c r="C111" s="22" t="s">
        <v>285</v>
      </c>
      <c r="D111" s="21" t="s">
        <v>39</v>
      </c>
      <c r="E111" s="63" t="s">
        <v>298</v>
      </c>
      <c r="F111" s="22" t="s">
        <v>35</v>
      </c>
      <c r="G111" s="18">
        <v>217306922</v>
      </c>
      <c r="H111" s="18">
        <v>217274931</v>
      </c>
      <c r="I111" s="12">
        <v>72</v>
      </c>
      <c r="J111" s="12" t="s">
        <v>299</v>
      </c>
      <c r="K111" s="22" t="s">
        <v>26</v>
      </c>
      <c r="L111" s="22" t="s">
        <v>26</v>
      </c>
      <c r="M111" s="22" t="s">
        <v>26</v>
      </c>
      <c r="N111" s="12"/>
      <c r="O111" s="22" t="s">
        <v>26</v>
      </c>
      <c r="P111" s="12"/>
      <c r="Q111" s="22" t="s">
        <v>265</v>
      </c>
      <c r="R111" s="22" t="s">
        <v>28</v>
      </c>
    </row>
    <row r="112" spans="1:18" s="24" customFormat="1">
      <c r="A112" s="21" t="s">
        <v>300</v>
      </c>
      <c r="B112" s="12">
        <v>2008</v>
      </c>
      <c r="C112" s="22" t="s">
        <v>301</v>
      </c>
      <c r="D112" s="21" t="s">
        <v>86</v>
      </c>
      <c r="E112" s="63" t="s">
        <v>302</v>
      </c>
      <c r="F112" s="22" t="s">
        <v>303</v>
      </c>
      <c r="G112" s="53">
        <v>29450878.977873351</v>
      </c>
      <c r="H112" s="83">
        <v>29455182.953620762</v>
      </c>
      <c r="I112" s="12">
        <v>46</v>
      </c>
      <c r="J112" s="12" t="s">
        <v>304</v>
      </c>
      <c r="K112" s="22" t="s">
        <v>26</v>
      </c>
      <c r="L112" s="12"/>
      <c r="M112" s="22" t="s">
        <v>26</v>
      </c>
      <c r="N112" s="12"/>
      <c r="O112" s="22" t="s">
        <v>26</v>
      </c>
      <c r="P112" s="12"/>
      <c r="Q112" s="22" t="s">
        <v>27</v>
      </c>
      <c r="R112" s="22" t="s">
        <v>28</v>
      </c>
    </row>
    <row r="113" spans="1:18" s="24" customFormat="1">
      <c r="A113" s="21" t="s">
        <v>305</v>
      </c>
      <c r="B113" s="12">
        <v>2009</v>
      </c>
      <c r="C113" s="22" t="s">
        <v>301</v>
      </c>
      <c r="D113" s="21" t="s">
        <v>86</v>
      </c>
      <c r="E113" s="63" t="s">
        <v>154</v>
      </c>
      <c r="F113" s="22" t="s">
        <v>306</v>
      </c>
      <c r="G113" s="53">
        <v>35425230</v>
      </c>
      <c r="H113" s="53">
        <v>35280234</v>
      </c>
      <c r="I113" s="12">
        <v>65</v>
      </c>
      <c r="J113" s="12" t="s">
        <v>307</v>
      </c>
      <c r="K113" s="22" t="s">
        <v>26</v>
      </c>
      <c r="L113" s="12"/>
      <c r="M113" s="22" t="s">
        <v>26</v>
      </c>
      <c r="N113" s="12"/>
      <c r="O113" s="22" t="s">
        <v>26</v>
      </c>
      <c r="P113" s="12"/>
      <c r="Q113" s="22" t="s">
        <v>27</v>
      </c>
      <c r="R113" s="22" t="s">
        <v>28</v>
      </c>
    </row>
    <row r="114" spans="1:18" s="24" customFormat="1">
      <c r="A114" s="21" t="s">
        <v>308</v>
      </c>
      <c r="B114" s="12">
        <v>2010</v>
      </c>
      <c r="C114" s="22" t="s">
        <v>301</v>
      </c>
      <c r="D114" s="21" t="s">
        <v>86</v>
      </c>
      <c r="E114" s="63" t="s">
        <v>309</v>
      </c>
      <c r="F114" s="22" t="s">
        <v>306</v>
      </c>
      <c r="G114" s="53">
        <v>71896113</v>
      </c>
      <c r="H114" s="53">
        <v>69720697</v>
      </c>
      <c r="I114" s="12">
        <v>71</v>
      </c>
      <c r="J114" s="12" t="s">
        <v>310</v>
      </c>
      <c r="K114" s="22" t="s">
        <v>26</v>
      </c>
      <c r="L114" s="12"/>
      <c r="M114" s="22" t="s">
        <v>26</v>
      </c>
      <c r="N114" s="12"/>
      <c r="O114" s="22" t="s">
        <v>26</v>
      </c>
      <c r="P114" s="12"/>
      <c r="Q114" s="22" t="s">
        <v>27</v>
      </c>
      <c r="R114" s="22" t="s">
        <v>28</v>
      </c>
    </row>
    <row r="115" spans="1:18" s="24" customFormat="1">
      <c r="A115" s="21" t="s">
        <v>311</v>
      </c>
      <c r="B115" s="12">
        <v>2011</v>
      </c>
      <c r="C115" s="22" t="s">
        <v>301</v>
      </c>
      <c r="D115" s="21" t="s">
        <v>86</v>
      </c>
      <c r="E115" s="63" t="s">
        <v>145</v>
      </c>
      <c r="F115" s="22" t="s">
        <v>306</v>
      </c>
      <c r="G115" s="53">
        <v>102802566.91</v>
      </c>
      <c r="H115" s="31">
        <v>115407282</v>
      </c>
      <c r="I115" s="12">
        <v>65</v>
      </c>
      <c r="J115" s="12" t="s">
        <v>312</v>
      </c>
      <c r="K115" s="22" t="s">
        <v>26</v>
      </c>
      <c r="L115" s="12"/>
      <c r="M115" s="22" t="s">
        <v>26</v>
      </c>
      <c r="N115" s="12"/>
      <c r="O115" s="22" t="s">
        <v>26</v>
      </c>
      <c r="P115" s="12"/>
      <c r="Q115" s="22" t="s">
        <v>27</v>
      </c>
      <c r="R115" s="22" t="s">
        <v>28</v>
      </c>
    </row>
    <row r="116" spans="1:18" s="24" customFormat="1">
      <c r="A116" s="21" t="s">
        <v>313</v>
      </c>
      <c r="B116" s="12">
        <v>2012</v>
      </c>
      <c r="C116" s="22" t="s">
        <v>301</v>
      </c>
      <c r="D116" s="21" t="s">
        <v>86</v>
      </c>
      <c r="E116" s="63" t="s">
        <v>47</v>
      </c>
      <c r="F116" s="22" t="s">
        <v>306</v>
      </c>
      <c r="G116" s="53">
        <v>110146657</v>
      </c>
      <c r="H116" s="53">
        <v>100809819</v>
      </c>
      <c r="I116" s="12">
        <v>80</v>
      </c>
      <c r="J116" s="12" t="s">
        <v>314</v>
      </c>
      <c r="K116" s="22" t="s">
        <v>26</v>
      </c>
      <c r="L116" s="12"/>
      <c r="M116" s="22" t="s">
        <v>26</v>
      </c>
      <c r="N116" s="12"/>
      <c r="O116" s="22" t="s">
        <v>26</v>
      </c>
      <c r="P116" s="12"/>
      <c r="Q116" s="22" t="s">
        <v>27</v>
      </c>
      <c r="R116" s="22" t="s">
        <v>28</v>
      </c>
    </row>
    <row r="117" spans="1:18" s="75" customFormat="1">
      <c r="A117" s="69" t="s">
        <v>315</v>
      </c>
      <c r="B117" s="70">
        <v>2007</v>
      </c>
      <c r="C117" s="71" t="s">
        <v>316</v>
      </c>
      <c r="D117" s="69" t="s">
        <v>86</v>
      </c>
      <c r="E117" s="72" t="s">
        <v>76</v>
      </c>
      <c r="F117" s="71" t="s">
        <v>24</v>
      </c>
      <c r="G117" s="73">
        <v>48300000</v>
      </c>
      <c r="H117" s="73">
        <v>48100000</v>
      </c>
      <c r="I117" s="70">
        <v>3</v>
      </c>
      <c r="J117" s="74" t="s">
        <v>317</v>
      </c>
      <c r="K117" s="71"/>
      <c r="L117" s="70"/>
      <c r="M117" s="71" t="s">
        <v>26</v>
      </c>
      <c r="N117" s="70"/>
      <c r="O117" s="71"/>
      <c r="P117" s="70"/>
      <c r="Q117" s="71"/>
      <c r="R117" s="71"/>
    </row>
    <row r="118" spans="1:18" s="75" customFormat="1">
      <c r="A118" s="69" t="s">
        <v>318</v>
      </c>
      <c r="B118" s="70">
        <v>2008</v>
      </c>
      <c r="C118" s="71" t="s">
        <v>316</v>
      </c>
      <c r="D118" s="69" t="s">
        <v>86</v>
      </c>
      <c r="E118" s="72" t="s">
        <v>76</v>
      </c>
      <c r="F118" s="71" t="s">
        <v>24</v>
      </c>
      <c r="G118" s="73">
        <v>55300000</v>
      </c>
      <c r="H118" s="73">
        <v>54900000</v>
      </c>
      <c r="I118" s="70">
        <v>3</v>
      </c>
      <c r="J118" s="74" t="s">
        <v>319</v>
      </c>
      <c r="K118" s="71"/>
      <c r="L118" s="70"/>
      <c r="M118" s="71" t="s">
        <v>26</v>
      </c>
      <c r="N118" s="70"/>
      <c r="O118" s="71"/>
      <c r="P118" s="70"/>
      <c r="Q118" s="71"/>
      <c r="R118" s="71"/>
    </row>
    <row r="119" spans="1:18" s="75" customFormat="1">
      <c r="A119" s="69" t="s">
        <v>320</v>
      </c>
      <c r="B119" s="70">
        <v>2009</v>
      </c>
      <c r="C119" s="71" t="s">
        <v>316</v>
      </c>
      <c r="D119" s="69" t="s">
        <v>86</v>
      </c>
      <c r="E119" s="72" t="s">
        <v>76</v>
      </c>
      <c r="F119" s="71" t="s">
        <v>24</v>
      </c>
      <c r="G119" s="73">
        <v>20900000</v>
      </c>
      <c r="H119" s="73">
        <v>21000000</v>
      </c>
      <c r="I119" s="70">
        <v>3</v>
      </c>
      <c r="J119" s="74" t="s">
        <v>321</v>
      </c>
      <c r="K119" s="71"/>
      <c r="L119" s="70"/>
      <c r="M119" s="71" t="s">
        <v>26</v>
      </c>
      <c r="N119" s="70"/>
      <c r="O119" s="71"/>
      <c r="P119" s="70"/>
      <c r="Q119" s="71"/>
      <c r="R119" s="71"/>
    </row>
    <row r="120" spans="1:18" s="24" customFormat="1">
      <c r="A120" s="21" t="s">
        <v>322</v>
      </c>
      <c r="B120" s="12">
        <v>2010</v>
      </c>
      <c r="C120" s="22" t="s">
        <v>316</v>
      </c>
      <c r="D120" s="21" t="s">
        <v>86</v>
      </c>
      <c r="E120" s="19" t="s">
        <v>323</v>
      </c>
      <c r="F120" s="22" t="s">
        <v>35</v>
      </c>
      <c r="G120" s="38">
        <v>160705175.41774061</v>
      </c>
      <c r="H120" s="38">
        <v>151591513.6386776</v>
      </c>
      <c r="I120" s="12">
        <v>9</v>
      </c>
      <c r="J120" s="52" t="s">
        <v>324</v>
      </c>
      <c r="K120" s="22" t="s">
        <v>26</v>
      </c>
      <c r="L120" s="12"/>
      <c r="M120" s="22" t="s">
        <v>26</v>
      </c>
      <c r="N120" s="12"/>
      <c r="O120" s="22"/>
      <c r="P120" s="22" t="s">
        <v>26</v>
      </c>
      <c r="Q120" s="22"/>
      <c r="R120" s="22"/>
    </row>
    <row r="121" spans="1:18" s="24" customFormat="1">
      <c r="A121" s="21" t="s">
        <v>325</v>
      </c>
      <c r="B121" s="12">
        <v>2011</v>
      </c>
      <c r="C121" s="22" t="s">
        <v>316</v>
      </c>
      <c r="D121" s="21" t="s">
        <v>86</v>
      </c>
      <c r="E121" s="19" t="s">
        <v>326</v>
      </c>
      <c r="F121" s="22" t="s">
        <v>35</v>
      </c>
      <c r="G121" s="44">
        <v>87349503.051701158</v>
      </c>
      <c r="H121" s="18">
        <v>83461011.17475681</v>
      </c>
      <c r="I121" s="12">
        <v>35</v>
      </c>
      <c r="J121" s="52" t="s">
        <v>327</v>
      </c>
      <c r="K121" s="22" t="s">
        <v>26</v>
      </c>
      <c r="L121" s="12"/>
      <c r="M121" s="22" t="s">
        <v>26</v>
      </c>
      <c r="N121" s="12"/>
      <c r="O121" s="22"/>
      <c r="P121" s="12"/>
      <c r="Q121" s="22"/>
      <c r="R121" s="22"/>
    </row>
    <row r="122" spans="1:18" s="40" customFormat="1">
      <c r="A122" s="33" t="s">
        <v>328</v>
      </c>
      <c r="B122" s="34">
        <v>2006</v>
      </c>
      <c r="C122" s="36" t="s">
        <v>329</v>
      </c>
      <c r="D122" s="33" t="s">
        <v>86</v>
      </c>
      <c r="E122" s="35" t="s">
        <v>172</v>
      </c>
      <c r="F122" s="35" t="s">
        <v>24</v>
      </c>
      <c r="G122" s="62">
        <v>221333358.83264166</v>
      </c>
      <c r="H122" s="62">
        <v>230105758.38130391</v>
      </c>
      <c r="I122" s="35">
        <v>7</v>
      </c>
      <c r="J122" s="54" t="s">
        <v>330</v>
      </c>
      <c r="K122" s="36" t="s">
        <v>26</v>
      </c>
      <c r="L122" s="34"/>
      <c r="M122" s="36" t="s">
        <v>26</v>
      </c>
      <c r="N122" s="34"/>
      <c r="O122" s="36"/>
      <c r="P122" s="34"/>
      <c r="Q122" s="36"/>
      <c r="R122" s="36"/>
    </row>
    <row r="123" spans="1:18" s="40" customFormat="1">
      <c r="A123" s="33" t="s">
        <v>331</v>
      </c>
      <c r="B123" s="34">
        <v>2007</v>
      </c>
      <c r="C123" s="36" t="s">
        <v>329</v>
      </c>
      <c r="D123" s="33" t="s">
        <v>86</v>
      </c>
      <c r="E123" s="35" t="s">
        <v>76</v>
      </c>
      <c r="F123" s="35" t="s">
        <v>24</v>
      </c>
      <c r="G123" s="84">
        <v>283774774.17844975</v>
      </c>
      <c r="H123" s="83">
        <v>287602068.42591846</v>
      </c>
      <c r="I123" s="35">
        <v>9</v>
      </c>
      <c r="J123" s="54" t="s">
        <v>332</v>
      </c>
      <c r="K123" s="36" t="s">
        <v>26</v>
      </c>
      <c r="L123" s="34"/>
      <c r="M123" s="36" t="s">
        <v>26</v>
      </c>
      <c r="N123" s="34"/>
      <c r="O123" s="36"/>
      <c r="P123" s="34"/>
      <c r="Q123" s="36"/>
      <c r="R123" s="36"/>
    </row>
    <row r="124" spans="1:18" s="40" customFormat="1">
      <c r="A124" s="33" t="s">
        <v>333</v>
      </c>
      <c r="B124" s="34">
        <v>2008</v>
      </c>
      <c r="C124" s="36" t="s">
        <v>329</v>
      </c>
      <c r="D124" s="33" t="s">
        <v>86</v>
      </c>
      <c r="E124" s="35" t="s">
        <v>76</v>
      </c>
      <c r="F124" s="35" t="s">
        <v>24</v>
      </c>
      <c r="G124" s="84">
        <v>281237313.39930284</v>
      </c>
      <c r="H124" s="84">
        <v>290993478.4861306</v>
      </c>
      <c r="I124" s="35">
        <v>9</v>
      </c>
      <c r="J124" s="54" t="s">
        <v>334</v>
      </c>
      <c r="K124" s="36" t="s">
        <v>26</v>
      </c>
      <c r="L124" s="34"/>
      <c r="M124" s="36" t="s">
        <v>26</v>
      </c>
      <c r="N124" s="34"/>
      <c r="O124" s="36"/>
      <c r="P124" s="34"/>
      <c r="Q124" s="36"/>
      <c r="R124" s="36"/>
    </row>
    <row r="125" spans="1:18" s="24" customFormat="1">
      <c r="A125" s="21" t="s">
        <v>335</v>
      </c>
      <c r="B125" s="12">
        <v>2009</v>
      </c>
      <c r="C125" s="22" t="s">
        <v>329</v>
      </c>
      <c r="D125" s="21" t="s">
        <v>86</v>
      </c>
      <c r="E125" s="19" t="s">
        <v>253</v>
      </c>
      <c r="F125" s="19" t="s">
        <v>336</v>
      </c>
      <c r="G125" s="38">
        <v>380403587.30837423</v>
      </c>
      <c r="H125" s="38">
        <v>370973010.96793836</v>
      </c>
      <c r="I125" s="19">
        <v>40</v>
      </c>
      <c r="J125" s="52" t="s">
        <v>337</v>
      </c>
      <c r="K125" s="22" t="s">
        <v>26</v>
      </c>
      <c r="L125" s="12"/>
      <c r="M125" s="22" t="s">
        <v>26</v>
      </c>
      <c r="N125" s="12"/>
      <c r="O125" s="22"/>
      <c r="P125" s="12"/>
      <c r="Q125" s="22"/>
      <c r="R125" s="22"/>
    </row>
    <row r="126" spans="1:18" s="24" customFormat="1">
      <c r="A126" s="21" t="s">
        <v>338</v>
      </c>
      <c r="B126" s="12">
        <v>2010</v>
      </c>
      <c r="C126" s="22" t="s">
        <v>329</v>
      </c>
      <c r="D126" s="21" t="s">
        <v>86</v>
      </c>
      <c r="E126" s="19" t="s">
        <v>44</v>
      </c>
      <c r="F126" s="19" t="s">
        <v>24</v>
      </c>
      <c r="G126" s="18">
        <v>346547621.39714646</v>
      </c>
      <c r="H126" s="44">
        <v>351835136.30196124</v>
      </c>
      <c r="I126" s="19">
        <v>9</v>
      </c>
      <c r="J126" s="52" t="s">
        <v>339</v>
      </c>
      <c r="K126" s="22" t="s">
        <v>26</v>
      </c>
      <c r="L126" s="12"/>
      <c r="M126" s="22" t="s">
        <v>26</v>
      </c>
      <c r="N126" s="12"/>
      <c r="O126" s="22"/>
      <c r="P126" s="12"/>
      <c r="Q126" s="22"/>
      <c r="R126" s="22"/>
    </row>
    <row r="127" spans="1:18" s="24" customFormat="1">
      <c r="A127" s="21" t="s">
        <v>340</v>
      </c>
      <c r="B127" s="12">
        <v>2011</v>
      </c>
      <c r="C127" s="22" t="s">
        <v>329</v>
      </c>
      <c r="D127" s="21" t="s">
        <v>86</v>
      </c>
      <c r="E127" s="19" t="s">
        <v>95</v>
      </c>
      <c r="F127" s="19" t="s">
        <v>24</v>
      </c>
      <c r="G127" s="18">
        <v>425193486.59834021</v>
      </c>
      <c r="H127" s="44">
        <v>423052152.71608418</v>
      </c>
      <c r="I127" s="19">
        <v>18</v>
      </c>
      <c r="J127" s="52" t="s">
        <v>341</v>
      </c>
      <c r="K127" s="22" t="s">
        <v>26</v>
      </c>
      <c r="L127" s="12"/>
      <c r="M127" s="22" t="s">
        <v>26</v>
      </c>
      <c r="N127" s="12"/>
      <c r="O127" s="22"/>
      <c r="P127" s="12"/>
      <c r="Q127" s="22"/>
      <c r="R127" s="22"/>
    </row>
    <row r="128" spans="1:18">
      <c r="A128" s="49" t="s">
        <v>342</v>
      </c>
      <c r="B128" s="27">
        <v>2012</v>
      </c>
      <c r="C128" s="27" t="s">
        <v>329</v>
      </c>
      <c r="D128" s="27" t="s">
        <v>86</v>
      </c>
      <c r="E128" s="10" t="s">
        <v>50</v>
      </c>
      <c r="F128" s="27" t="s">
        <v>24</v>
      </c>
      <c r="G128" s="60">
        <v>481528351</v>
      </c>
      <c r="H128" s="60">
        <v>443716630</v>
      </c>
      <c r="I128" s="29">
        <v>14</v>
      </c>
      <c r="J128" s="30" t="s">
        <v>343</v>
      </c>
      <c r="K128" t="s">
        <v>26</v>
      </c>
      <c r="L128"/>
      <c r="M128" t="s">
        <v>26</v>
      </c>
      <c r="N128"/>
      <c r="O128"/>
      <c r="P128"/>
      <c r="Q128"/>
      <c r="R128" t="s">
        <v>28</v>
      </c>
    </row>
    <row r="129" spans="1:18" s="40" customFormat="1">
      <c r="A129" s="33" t="s">
        <v>344</v>
      </c>
      <c r="B129" s="34">
        <v>2005</v>
      </c>
      <c r="C129" s="36" t="s">
        <v>345</v>
      </c>
      <c r="D129" s="33" t="s">
        <v>86</v>
      </c>
      <c r="E129" s="35" t="s">
        <v>109</v>
      </c>
      <c r="F129" s="35" t="s">
        <v>35</v>
      </c>
      <c r="G129" s="84">
        <v>29636377.094866872</v>
      </c>
      <c r="H129" s="84">
        <v>28035804.654841263</v>
      </c>
      <c r="I129" s="34">
        <v>14</v>
      </c>
      <c r="J129" s="54" t="s">
        <v>346</v>
      </c>
      <c r="K129" s="36"/>
      <c r="L129" s="34"/>
      <c r="M129" s="36" t="s">
        <v>26</v>
      </c>
      <c r="N129" s="34"/>
      <c r="O129" s="36"/>
      <c r="P129" s="34"/>
      <c r="Q129" s="36"/>
      <c r="R129" s="36"/>
    </row>
    <row r="130" spans="1:18" s="40" customFormat="1">
      <c r="A130" s="33" t="s">
        <v>347</v>
      </c>
      <c r="B130" s="34">
        <v>2006</v>
      </c>
      <c r="C130" s="36" t="s">
        <v>345</v>
      </c>
      <c r="D130" s="33" t="s">
        <v>86</v>
      </c>
      <c r="E130" s="35" t="s">
        <v>348</v>
      </c>
      <c r="F130" s="35" t="s">
        <v>35</v>
      </c>
      <c r="G130" s="62">
        <v>280165029.78406549</v>
      </c>
      <c r="H130" s="62">
        <v>273414760.23827255</v>
      </c>
      <c r="I130" s="34">
        <v>27</v>
      </c>
      <c r="J130" s="54" t="s">
        <v>349</v>
      </c>
      <c r="K130" s="36"/>
      <c r="L130" s="34"/>
      <c r="M130" s="36" t="s">
        <v>26</v>
      </c>
      <c r="N130" s="34"/>
      <c r="O130" s="36"/>
      <c r="P130" s="34"/>
      <c r="Q130" s="36"/>
      <c r="R130" s="36"/>
    </row>
    <row r="131" spans="1:18" s="40" customFormat="1">
      <c r="A131" s="33" t="s">
        <v>350</v>
      </c>
      <c r="B131" s="34">
        <v>2007</v>
      </c>
      <c r="C131" s="36" t="s">
        <v>345</v>
      </c>
      <c r="D131" s="33" t="s">
        <v>86</v>
      </c>
      <c r="E131" s="35" t="s">
        <v>351</v>
      </c>
      <c r="F131" s="35" t="s">
        <v>41</v>
      </c>
      <c r="G131" s="84">
        <v>175753291.2240898</v>
      </c>
      <c r="H131" s="83">
        <v>182576278.74600381</v>
      </c>
      <c r="I131" s="34">
        <v>36</v>
      </c>
      <c r="J131" s="54" t="s">
        <v>352</v>
      </c>
      <c r="K131" s="36"/>
      <c r="L131" s="34"/>
      <c r="M131" s="36" t="s">
        <v>26</v>
      </c>
      <c r="N131" s="34"/>
      <c r="O131" s="36"/>
      <c r="P131" s="34"/>
      <c r="Q131" s="36"/>
      <c r="R131" s="36"/>
    </row>
    <row r="132" spans="1:18" s="40" customFormat="1">
      <c r="A132" s="33" t="s">
        <v>353</v>
      </c>
      <c r="B132" s="34">
        <v>2008</v>
      </c>
      <c r="C132" s="36" t="s">
        <v>345</v>
      </c>
      <c r="D132" s="33" t="s">
        <v>86</v>
      </c>
      <c r="E132" s="35" t="s">
        <v>351</v>
      </c>
      <c r="F132" s="35" t="s">
        <v>41</v>
      </c>
      <c r="G132" s="84">
        <v>231365651.58618</v>
      </c>
      <c r="H132" s="84">
        <v>234899503.96719909</v>
      </c>
      <c r="I132" s="34">
        <v>36</v>
      </c>
      <c r="J132" s="54" t="s">
        <v>352</v>
      </c>
      <c r="K132" s="36"/>
      <c r="L132" s="34"/>
      <c r="M132" s="36" t="s">
        <v>26</v>
      </c>
      <c r="N132" s="34"/>
      <c r="O132" s="36"/>
      <c r="P132" s="34"/>
      <c r="Q132" s="36"/>
      <c r="R132" s="36"/>
    </row>
    <row r="133" spans="1:18" s="24" customFormat="1">
      <c r="A133" s="21" t="s">
        <v>354</v>
      </c>
      <c r="B133" s="12">
        <v>2009</v>
      </c>
      <c r="C133" s="22" t="s">
        <v>345</v>
      </c>
      <c r="D133" s="21" t="s">
        <v>86</v>
      </c>
      <c r="E133" s="19" t="s">
        <v>355</v>
      </c>
      <c r="F133" s="19" t="s">
        <v>41</v>
      </c>
      <c r="G133" s="18">
        <v>191165715.06295663</v>
      </c>
      <c r="H133" s="18">
        <v>195416882.63640603</v>
      </c>
      <c r="I133" s="19">
        <v>36</v>
      </c>
      <c r="J133" s="52" t="s">
        <v>356</v>
      </c>
      <c r="K133" s="22"/>
      <c r="L133" s="12"/>
      <c r="M133" s="22" t="s">
        <v>26</v>
      </c>
      <c r="N133" s="12"/>
      <c r="O133" s="22"/>
      <c r="P133" s="12"/>
      <c r="Q133" s="22"/>
      <c r="R133" s="22"/>
    </row>
    <row r="134" spans="1:18" s="24" customFormat="1">
      <c r="A134" s="21" t="s">
        <v>357</v>
      </c>
      <c r="B134" s="12">
        <v>2010</v>
      </c>
      <c r="C134" s="22" t="s">
        <v>345</v>
      </c>
      <c r="D134" s="21" t="s">
        <v>86</v>
      </c>
      <c r="E134" s="19" t="s">
        <v>82</v>
      </c>
      <c r="F134" s="19" t="s">
        <v>35</v>
      </c>
      <c r="G134" s="38">
        <v>270018612.99116182</v>
      </c>
      <c r="H134" s="38">
        <v>237278711.68385196</v>
      </c>
      <c r="I134" s="19">
        <v>70</v>
      </c>
      <c r="J134" s="52" t="s">
        <v>358</v>
      </c>
      <c r="K134" s="22" t="s">
        <v>26</v>
      </c>
      <c r="L134" s="12"/>
      <c r="M134" s="22" t="s">
        <v>26</v>
      </c>
      <c r="N134" s="12"/>
      <c r="O134" s="22"/>
      <c r="P134" s="12"/>
      <c r="Q134" s="22"/>
      <c r="R134" s="22"/>
    </row>
    <row r="135" spans="1:18" s="24" customFormat="1">
      <c r="A135" s="21" t="s">
        <v>359</v>
      </c>
      <c r="B135" s="12">
        <v>2011</v>
      </c>
      <c r="C135" s="22" t="s">
        <v>345</v>
      </c>
      <c r="D135" s="21" t="s">
        <v>86</v>
      </c>
      <c r="E135" s="19" t="s">
        <v>82</v>
      </c>
      <c r="F135" s="19" t="s">
        <v>35</v>
      </c>
      <c r="G135" s="38">
        <v>448018316.76552463</v>
      </c>
      <c r="H135" s="38">
        <v>429224820.98045433</v>
      </c>
      <c r="I135" s="19">
        <v>70</v>
      </c>
      <c r="J135" s="52" t="s">
        <v>360</v>
      </c>
      <c r="K135" s="22" t="s">
        <v>26</v>
      </c>
      <c r="L135" s="12"/>
      <c r="M135" s="22" t="s">
        <v>26</v>
      </c>
      <c r="N135" s="12"/>
      <c r="O135" s="22"/>
      <c r="P135" s="12"/>
      <c r="Q135" s="22"/>
      <c r="R135" s="22"/>
    </row>
    <row r="136" spans="1:18">
      <c r="A136" s="26" t="s">
        <v>361</v>
      </c>
      <c r="B136" s="27">
        <v>2012</v>
      </c>
      <c r="C136" s="27" t="s">
        <v>345</v>
      </c>
      <c r="D136" s="27" t="s">
        <v>86</v>
      </c>
      <c r="E136" s="10" t="s">
        <v>50</v>
      </c>
      <c r="F136" s="27" t="s">
        <v>41</v>
      </c>
      <c r="G136" s="56">
        <v>472169395.82999998</v>
      </c>
      <c r="H136" s="56">
        <v>468640335.36000001</v>
      </c>
      <c r="I136" s="29">
        <v>15</v>
      </c>
      <c r="J136" s="30" t="s">
        <v>362</v>
      </c>
      <c r="K136" t="s">
        <v>26</v>
      </c>
      <c r="L136"/>
      <c r="M136" t="s">
        <v>26</v>
      </c>
      <c r="N136"/>
      <c r="O136"/>
      <c r="P136"/>
      <c r="Q136"/>
      <c r="R136" t="s">
        <v>28</v>
      </c>
    </row>
    <row r="137" spans="1:18" s="24" customFormat="1">
      <c r="A137" s="21" t="s">
        <v>363</v>
      </c>
      <c r="B137" s="12">
        <v>2006</v>
      </c>
      <c r="C137" s="22" t="s">
        <v>364</v>
      </c>
      <c r="D137" s="21" t="s">
        <v>244</v>
      </c>
      <c r="E137" s="63" t="s">
        <v>365</v>
      </c>
      <c r="F137" s="19" t="s">
        <v>41</v>
      </c>
      <c r="G137" s="56">
        <v>411987301.60000002</v>
      </c>
      <c r="H137" s="50">
        <v>434116184.30000001</v>
      </c>
      <c r="I137" s="12">
        <v>25</v>
      </c>
      <c r="J137" s="12" t="s">
        <v>366</v>
      </c>
      <c r="K137" s="22" t="s">
        <v>26</v>
      </c>
      <c r="L137" s="12"/>
      <c r="M137" s="22" t="s">
        <v>26</v>
      </c>
      <c r="N137" s="12"/>
      <c r="O137" s="22" t="s">
        <v>26</v>
      </c>
      <c r="P137" s="12"/>
      <c r="Q137" s="22" t="s">
        <v>27</v>
      </c>
      <c r="R137" s="22" t="s">
        <v>28</v>
      </c>
    </row>
    <row r="138" spans="1:18" s="24" customFormat="1">
      <c r="A138" s="21" t="s">
        <v>367</v>
      </c>
      <c r="B138" s="12">
        <v>2007</v>
      </c>
      <c r="C138" s="22" t="s">
        <v>364</v>
      </c>
      <c r="D138" s="21" t="s">
        <v>244</v>
      </c>
      <c r="E138" s="63" t="s">
        <v>368</v>
      </c>
      <c r="F138" s="19" t="s">
        <v>41</v>
      </c>
      <c r="G138" s="50">
        <v>640532901</v>
      </c>
      <c r="H138" s="50">
        <v>660586246</v>
      </c>
      <c r="I138" s="12">
        <v>38</v>
      </c>
      <c r="J138" s="12" t="s">
        <v>369</v>
      </c>
      <c r="K138" s="22" t="s">
        <v>26</v>
      </c>
      <c r="L138" s="12"/>
      <c r="M138" s="22" t="s">
        <v>26</v>
      </c>
      <c r="N138" s="12"/>
      <c r="O138" s="22" t="s">
        <v>26</v>
      </c>
      <c r="P138" s="12"/>
      <c r="Q138" s="22" t="s">
        <v>27</v>
      </c>
      <c r="R138" s="22" t="s">
        <v>28</v>
      </c>
    </row>
    <row r="139" spans="1:18" s="24" customFormat="1">
      <c r="A139" s="21" t="s">
        <v>370</v>
      </c>
      <c r="B139" s="12">
        <v>2008</v>
      </c>
      <c r="C139" s="22" t="s">
        <v>364</v>
      </c>
      <c r="D139" s="21" t="s">
        <v>244</v>
      </c>
      <c r="E139" s="63" t="s">
        <v>371</v>
      </c>
      <c r="F139" s="19" t="s">
        <v>41</v>
      </c>
      <c r="G139" s="50">
        <v>587942636</v>
      </c>
      <c r="H139" s="50">
        <v>588887191.39999998</v>
      </c>
      <c r="I139" s="12">
        <v>46</v>
      </c>
      <c r="J139" s="12" t="s">
        <v>372</v>
      </c>
      <c r="K139" s="22" t="s">
        <v>26</v>
      </c>
      <c r="L139" s="12"/>
      <c r="M139" s="22" t="s">
        <v>26</v>
      </c>
      <c r="N139" s="12"/>
      <c r="O139" s="22" t="s">
        <v>26</v>
      </c>
      <c r="P139" s="12"/>
      <c r="Q139" s="22" t="s">
        <v>27</v>
      </c>
      <c r="R139" s="22" t="s">
        <v>28</v>
      </c>
    </row>
    <row r="140" spans="1:18" s="24" customFormat="1">
      <c r="A140" s="21" t="s">
        <v>373</v>
      </c>
      <c r="B140" s="12">
        <v>2009</v>
      </c>
      <c r="C140" s="22" t="s">
        <v>364</v>
      </c>
      <c r="D140" s="21" t="s">
        <v>244</v>
      </c>
      <c r="E140" s="63" t="s">
        <v>76</v>
      </c>
      <c r="F140" s="19" t="s">
        <v>41</v>
      </c>
      <c r="G140" s="50">
        <v>512525992.42710215</v>
      </c>
      <c r="H140" s="50">
        <v>512566409.30000001</v>
      </c>
      <c r="I140" s="12">
        <v>101</v>
      </c>
      <c r="J140" s="12" t="s">
        <v>374</v>
      </c>
      <c r="K140" s="22" t="s">
        <v>26</v>
      </c>
      <c r="L140" s="22" t="s">
        <v>26</v>
      </c>
      <c r="M140" s="22" t="s">
        <v>26</v>
      </c>
      <c r="O140" s="22" t="s">
        <v>26</v>
      </c>
      <c r="P140" s="12"/>
      <c r="Q140" s="22" t="s">
        <v>27</v>
      </c>
      <c r="R140" s="22" t="s">
        <v>28</v>
      </c>
    </row>
    <row r="141" spans="1:18" s="24" customFormat="1">
      <c r="A141" s="21" t="s">
        <v>375</v>
      </c>
      <c r="B141" s="12">
        <v>2010</v>
      </c>
      <c r="C141" s="22" t="s">
        <v>364</v>
      </c>
      <c r="D141" s="21" t="s">
        <v>244</v>
      </c>
      <c r="E141" s="63" t="s">
        <v>159</v>
      </c>
      <c r="F141" s="19" t="s">
        <v>41</v>
      </c>
      <c r="G141" s="76">
        <v>943183886</v>
      </c>
      <c r="H141" s="76">
        <v>943184625.70000005</v>
      </c>
      <c r="I141" s="12">
        <v>150</v>
      </c>
      <c r="J141" s="12" t="s">
        <v>376</v>
      </c>
      <c r="K141" s="22" t="s">
        <v>26</v>
      </c>
      <c r="L141" s="22" t="s">
        <v>26</v>
      </c>
      <c r="M141" s="22" t="s">
        <v>26</v>
      </c>
      <c r="O141" s="22" t="s">
        <v>26</v>
      </c>
      <c r="P141" s="12"/>
      <c r="Q141" s="22" t="s">
        <v>27</v>
      </c>
      <c r="R141" s="22" t="s">
        <v>28</v>
      </c>
    </row>
    <row r="142" spans="1:18" s="24" customFormat="1">
      <c r="A142" s="21" t="s">
        <v>377</v>
      </c>
      <c r="B142" s="12">
        <v>2011</v>
      </c>
      <c r="C142" s="22" t="s">
        <v>364</v>
      </c>
      <c r="D142" s="21" t="s">
        <v>244</v>
      </c>
      <c r="E142" s="63" t="s">
        <v>378</v>
      </c>
      <c r="F142" s="19" t="s">
        <v>41</v>
      </c>
      <c r="G142" s="50">
        <v>1716796513</v>
      </c>
      <c r="H142" s="50">
        <v>1716856381</v>
      </c>
      <c r="I142" s="12">
        <v>200</v>
      </c>
      <c r="J142" s="12" t="s">
        <v>379</v>
      </c>
      <c r="K142" s="22" t="s">
        <v>26</v>
      </c>
      <c r="L142" s="22" t="s">
        <v>26</v>
      </c>
      <c r="M142" s="22" t="s">
        <v>26</v>
      </c>
      <c r="O142" s="22" t="s">
        <v>26</v>
      </c>
      <c r="P142" s="12"/>
      <c r="Q142" s="22" t="s">
        <v>27</v>
      </c>
      <c r="R142" s="22" t="s">
        <v>28</v>
      </c>
    </row>
    <row r="143" spans="1:18" s="24" customFormat="1">
      <c r="A143" s="21" t="s">
        <v>380</v>
      </c>
      <c r="B143" s="12">
        <v>2012</v>
      </c>
      <c r="C143" s="22" t="s">
        <v>364</v>
      </c>
      <c r="D143" s="21" t="s">
        <v>244</v>
      </c>
      <c r="E143" s="63" t="s">
        <v>180</v>
      </c>
      <c r="F143" s="19" t="s">
        <v>41</v>
      </c>
      <c r="G143" s="76">
        <v>1180619495</v>
      </c>
      <c r="H143" s="44">
        <v>2233069669</v>
      </c>
      <c r="I143" s="12">
        <v>199</v>
      </c>
      <c r="J143" s="12" t="s">
        <v>381</v>
      </c>
      <c r="K143" s="22" t="s">
        <v>26</v>
      </c>
      <c r="L143" s="22"/>
      <c r="M143" s="22" t="s">
        <v>26</v>
      </c>
      <c r="O143" s="22" t="s">
        <v>26</v>
      </c>
      <c r="P143" s="12"/>
      <c r="Q143" s="22" t="s">
        <v>27</v>
      </c>
      <c r="R143" s="22" t="s">
        <v>28</v>
      </c>
    </row>
    <row r="144" spans="1:18">
      <c r="A144" s="67" t="s">
        <v>382</v>
      </c>
      <c r="B144" s="66">
        <v>2013</v>
      </c>
      <c r="C144" s="67" t="s">
        <v>364</v>
      </c>
      <c r="D144" s="67" t="s">
        <v>244</v>
      </c>
      <c r="E144" s="10" t="s">
        <v>50</v>
      </c>
      <c r="F144" s="67" t="s">
        <v>41</v>
      </c>
      <c r="G144" s="56">
        <v>1054895582.33</v>
      </c>
      <c r="H144" s="56">
        <v>1054920348.0599999</v>
      </c>
      <c r="I144" s="29">
        <v>240</v>
      </c>
      <c r="J144" s="30" t="s">
        <v>383</v>
      </c>
      <c r="K144" t="s">
        <v>26</v>
      </c>
      <c r="L144"/>
      <c r="M144" t="s">
        <v>26</v>
      </c>
      <c r="N144"/>
      <c r="O144"/>
      <c r="P144"/>
      <c r="Q144"/>
      <c r="R144" t="s">
        <v>28</v>
      </c>
    </row>
    <row r="145" spans="1:18" s="24" customFormat="1">
      <c r="A145" s="21" t="s">
        <v>384</v>
      </c>
      <c r="B145" s="12">
        <v>2008</v>
      </c>
      <c r="C145" s="22" t="s">
        <v>385</v>
      </c>
      <c r="D145" s="21" t="s">
        <v>86</v>
      </c>
      <c r="E145" s="63" t="s">
        <v>309</v>
      </c>
      <c r="F145" s="19" t="s">
        <v>386</v>
      </c>
      <c r="G145" s="77">
        <v>25571802.530971412</v>
      </c>
      <c r="H145" s="76">
        <v>8484826</v>
      </c>
      <c r="I145" s="12">
        <v>6</v>
      </c>
      <c r="J145" s="12" t="s">
        <v>387</v>
      </c>
      <c r="K145" s="22" t="s">
        <v>26</v>
      </c>
      <c r="L145" s="22" t="s">
        <v>26</v>
      </c>
      <c r="M145" s="22" t="s">
        <v>26</v>
      </c>
      <c r="N145" s="21" t="s">
        <v>26</v>
      </c>
      <c r="O145" s="22" t="s">
        <v>26</v>
      </c>
      <c r="P145" s="22" t="s">
        <v>26</v>
      </c>
      <c r="Q145" s="22" t="s">
        <v>27</v>
      </c>
      <c r="R145" s="22" t="s">
        <v>28</v>
      </c>
    </row>
    <row r="146" spans="1:18" s="24" customFormat="1">
      <c r="A146" s="21" t="s">
        <v>388</v>
      </c>
      <c r="B146" s="12">
        <v>2009</v>
      </c>
      <c r="C146" s="22" t="s">
        <v>385</v>
      </c>
      <c r="D146" s="21" t="s">
        <v>86</v>
      </c>
      <c r="E146" s="63" t="s">
        <v>228</v>
      </c>
      <c r="F146" s="19" t="s">
        <v>35</v>
      </c>
      <c r="G146" s="77">
        <v>51049678.183363676</v>
      </c>
      <c r="H146" s="77">
        <v>42568813.472747095</v>
      </c>
      <c r="I146" s="12">
        <v>31</v>
      </c>
      <c r="J146" s="12" t="s">
        <v>389</v>
      </c>
      <c r="K146" s="22" t="s">
        <v>26</v>
      </c>
      <c r="L146" s="22"/>
      <c r="M146" s="22" t="s">
        <v>26</v>
      </c>
      <c r="N146" s="21"/>
      <c r="O146" s="22" t="s">
        <v>26</v>
      </c>
      <c r="P146" s="22"/>
      <c r="Q146" s="22" t="s">
        <v>27</v>
      </c>
      <c r="R146" s="22" t="s">
        <v>28</v>
      </c>
    </row>
    <row r="147" spans="1:18" s="24" customFormat="1">
      <c r="A147" s="21" t="s">
        <v>388</v>
      </c>
      <c r="B147" s="12">
        <v>2011</v>
      </c>
      <c r="C147" s="22" t="s">
        <v>385</v>
      </c>
      <c r="D147" s="21" t="s">
        <v>86</v>
      </c>
      <c r="E147" s="63" t="s">
        <v>150</v>
      </c>
      <c r="F147" s="19" t="s">
        <v>35</v>
      </c>
      <c r="G147" s="77">
        <v>115116240.28</v>
      </c>
      <c r="H147" s="77">
        <v>114608833.28</v>
      </c>
      <c r="I147" s="12">
        <v>37</v>
      </c>
      <c r="J147" s="12" t="s">
        <v>390</v>
      </c>
      <c r="K147" s="22" t="s">
        <v>26</v>
      </c>
      <c r="L147" s="22"/>
      <c r="M147" s="22" t="s">
        <v>26</v>
      </c>
      <c r="N147" s="21"/>
      <c r="O147" s="22" t="s">
        <v>26</v>
      </c>
      <c r="P147" s="22" t="s">
        <v>26</v>
      </c>
      <c r="Q147" s="22" t="s">
        <v>27</v>
      </c>
      <c r="R147" s="22" t="s">
        <v>28</v>
      </c>
    </row>
    <row r="148" spans="1:18" s="24" customFormat="1">
      <c r="A148" s="21" t="s">
        <v>391</v>
      </c>
      <c r="B148" s="12">
        <v>2010</v>
      </c>
      <c r="C148" s="22" t="s">
        <v>385</v>
      </c>
      <c r="D148" s="21" t="s">
        <v>86</v>
      </c>
      <c r="E148" s="63" t="s">
        <v>44</v>
      </c>
      <c r="F148" s="19" t="s">
        <v>35</v>
      </c>
      <c r="G148" s="77">
        <v>71555872.336879551</v>
      </c>
      <c r="H148" s="77">
        <v>56324644.57037691</v>
      </c>
      <c r="I148" s="12">
        <v>44</v>
      </c>
      <c r="J148" s="12" t="s">
        <v>392</v>
      </c>
      <c r="K148" s="22" t="s">
        <v>26</v>
      </c>
      <c r="L148" s="22"/>
      <c r="M148" s="22" t="s">
        <v>26</v>
      </c>
      <c r="N148" s="21"/>
      <c r="O148" s="22" t="s">
        <v>26</v>
      </c>
      <c r="P148" s="22"/>
      <c r="Q148" s="22" t="s">
        <v>27</v>
      </c>
      <c r="R148" s="22" t="s">
        <v>28</v>
      </c>
    </row>
    <row r="149" spans="1:18" s="40" customFormat="1">
      <c r="A149" s="33" t="s">
        <v>393</v>
      </c>
      <c r="B149" s="34">
        <v>2005</v>
      </c>
      <c r="C149" s="36" t="s">
        <v>394</v>
      </c>
      <c r="D149" s="33" t="s">
        <v>86</v>
      </c>
      <c r="E149" s="35" t="s">
        <v>395</v>
      </c>
      <c r="F149" s="35" t="s">
        <v>41</v>
      </c>
      <c r="G149" s="50">
        <v>14928853.70728069</v>
      </c>
      <c r="H149" s="50">
        <v>15079465.449712178</v>
      </c>
      <c r="I149" s="35">
        <v>13</v>
      </c>
      <c r="J149" s="54" t="s">
        <v>396</v>
      </c>
      <c r="K149" s="36" t="s">
        <v>26</v>
      </c>
      <c r="L149" s="36"/>
      <c r="M149" s="36" t="s">
        <v>26</v>
      </c>
      <c r="O149" s="36"/>
      <c r="P149" s="34"/>
      <c r="Q149" s="36"/>
      <c r="R149" s="36"/>
    </row>
    <row r="150" spans="1:18" s="40" customFormat="1">
      <c r="A150" s="33" t="s">
        <v>397</v>
      </c>
      <c r="B150" s="34">
        <v>2006</v>
      </c>
      <c r="C150" s="36" t="s">
        <v>394</v>
      </c>
      <c r="D150" s="33" t="s">
        <v>86</v>
      </c>
      <c r="E150" s="35" t="s">
        <v>395</v>
      </c>
      <c r="F150" s="35" t="s">
        <v>41</v>
      </c>
      <c r="G150" s="56">
        <v>25063833.699167486</v>
      </c>
      <c r="H150" s="56">
        <v>25374332.380495336</v>
      </c>
      <c r="I150" s="35">
        <v>13</v>
      </c>
      <c r="J150" s="54" t="s">
        <v>398</v>
      </c>
      <c r="K150" s="36" t="s">
        <v>26</v>
      </c>
      <c r="L150" s="36"/>
      <c r="M150" s="36" t="s">
        <v>26</v>
      </c>
      <c r="O150" s="36"/>
      <c r="P150" s="34"/>
      <c r="Q150" s="36"/>
      <c r="R150" s="36"/>
    </row>
    <row r="151" spans="1:18" s="40" customFormat="1">
      <c r="A151" s="33" t="s">
        <v>399</v>
      </c>
      <c r="B151" s="34">
        <v>2007</v>
      </c>
      <c r="C151" s="36" t="s">
        <v>394</v>
      </c>
      <c r="D151" s="33" t="s">
        <v>86</v>
      </c>
      <c r="E151" s="35" t="s">
        <v>400</v>
      </c>
      <c r="F151" s="35" t="s">
        <v>35</v>
      </c>
      <c r="G151" s="50">
        <v>147175593.54643524</v>
      </c>
      <c r="H151" s="50">
        <v>147175593.54643524</v>
      </c>
      <c r="I151" s="35">
        <v>68</v>
      </c>
      <c r="J151" s="54" t="s">
        <v>401</v>
      </c>
      <c r="K151" s="36" t="s">
        <v>26</v>
      </c>
      <c r="L151" s="36"/>
      <c r="M151" s="36" t="s">
        <v>26</v>
      </c>
      <c r="O151" s="36"/>
      <c r="P151" s="34"/>
      <c r="Q151" s="36"/>
      <c r="R151" s="36"/>
    </row>
    <row r="152" spans="1:18" s="40" customFormat="1">
      <c r="A152" s="33" t="s">
        <v>402</v>
      </c>
      <c r="B152" s="34">
        <v>2008</v>
      </c>
      <c r="C152" s="36" t="s">
        <v>394</v>
      </c>
      <c r="D152" s="33" t="s">
        <v>86</v>
      </c>
      <c r="E152" s="35" t="s">
        <v>400</v>
      </c>
      <c r="F152" s="35" t="s">
        <v>35</v>
      </c>
      <c r="G152" s="50">
        <v>418740295.82386595</v>
      </c>
      <c r="H152" s="50">
        <v>418740295.82386595</v>
      </c>
      <c r="I152" s="35">
        <v>63</v>
      </c>
      <c r="J152" s="54" t="s">
        <v>403</v>
      </c>
      <c r="K152" s="36" t="s">
        <v>26</v>
      </c>
      <c r="L152" s="36"/>
      <c r="M152" s="36" t="s">
        <v>26</v>
      </c>
      <c r="O152" s="36"/>
      <c r="P152" s="34"/>
      <c r="Q152" s="36"/>
      <c r="R152" s="36"/>
    </row>
    <row r="153" spans="1:18" s="40" customFormat="1">
      <c r="A153" s="33" t="s">
        <v>404</v>
      </c>
      <c r="B153" s="34">
        <v>2009</v>
      </c>
      <c r="C153" s="36" t="s">
        <v>394</v>
      </c>
      <c r="D153" s="33" t="s">
        <v>86</v>
      </c>
      <c r="E153" s="35" t="s">
        <v>400</v>
      </c>
      <c r="F153" s="35" t="s">
        <v>35</v>
      </c>
      <c r="G153" s="85">
        <v>143129702.9482843</v>
      </c>
      <c r="H153" s="85">
        <v>143129702.9482843</v>
      </c>
      <c r="I153" s="35">
        <v>39</v>
      </c>
      <c r="J153" s="54" t="s">
        <v>405</v>
      </c>
      <c r="K153" s="36" t="s">
        <v>26</v>
      </c>
      <c r="L153" s="36"/>
      <c r="M153" s="36" t="s">
        <v>26</v>
      </c>
      <c r="O153" s="36"/>
      <c r="P153" s="34"/>
      <c r="Q153" s="36"/>
      <c r="R153" s="36"/>
    </row>
    <row r="154" spans="1:18" s="24" customFormat="1">
      <c r="A154" s="21" t="s">
        <v>406</v>
      </c>
      <c r="B154" s="12">
        <v>2010</v>
      </c>
      <c r="C154" s="22" t="s">
        <v>394</v>
      </c>
      <c r="D154" s="21" t="s">
        <v>86</v>
      </c>
      <c r="E154" s="19" t="s">
        <v>79</v>
      </c>
      <c r="F154" s="19" t="s">
        <v>35</v>
      </c>
      <c r="G154" s="86">
        <v>109503726.04387245</v>
      </c>
      <c r="H154" s="86">
        <v>107544027.23628214</v>
      </c>
      <c r="I154" s="19">
        <v>73</v>
      </c>
      <c r="J154" s="52" t="s">
        <v>407</v>
      </c>
      <c r="K154" s="22" t="s">
        <v>26</v>
      </c>
      <c r="L154" s="22"/>
      <c r="M154" s="22" t="s">
        <v>26</v>
      </c>
      <c r="O154" s="22"/>
      <c r="P154" s="12"/>
      <c r="Q154" s="22"/>
      <c r="R154" s="22"/>
    </row>
    <row r="155" spans="1:18" s="24" customFormat="1">
      <c r="A155" s="21" t="s">
        <v>408</v>
      </c>
      <c r="B155" s="12">
        <v>2011</v>
      </c>
      <c r="C155" s="22" t="s">
        <v>394</v>
      </c>
      <c r="D155" s="21" t="s">
        <v>86</v>
      </c>
      <c r="E155" s="19" t="s">
        <v>95</v>
      </c>
      <c r="F155" s="19" t="s">
        <v>35</v>
      </c>
      <c r="G155" s="77">
        <v>119279040.34148772</v>
      </c>
      <c r="H155" s="76">
        <v>117840829.10229464</v>
      </c>
      <c r="I155" s="19">
        <v>113</v>
      </c>
      <c r="J155" s="52" t="s">
        <v>409</v>
      </c>
      <c r="K155" s="22"/>
      <c r="L155" s="22"/>
      <c r="M155" s="22" t="s">
        <v>26</v>
      </c>
      <c r="O155" s="22"/>
      <c r="P155" s="12"/>
      <c r="Q155" s="22"/>
      <c r="R155" s="22"/>
    </row>
    <row r="156" spans="1:18">
      <c r="A156" s="49" t="s">
        <v>410</v>
      </c>
      <c r="B156" s="27">
        <v>2012</v>
      </c>
      <c r="C156" s="27" t="s">
        <v>394</v>
      </c>
      <c r="D156" s="27" t="s">
        <v>86</v>
      </c>
      <c r="E156" s="10" t="s">
        <v>50</v>
      </c>
      <c r="F156" s="27" t="s">
        <v>41</v>
      </c>
      <c r="G156" s="50">
        <v>344759167</v>
      </c>
      <c r="H156" s="50">
        <v>340897169</v>
      </c>
      <c r="I156" s="29">
        <v>63</v>
      </c>
      <c r="J156" s="30" t="s">
        <v>411</v>
      </c>
      <c r="K156" t="s">
        <v>26</v>
      </c>
      <c r="L156"/>
      <c r="M156" t="s">
        <v>26</v>
      </c>
      <c r="N156"/>
      <c r="O156"/>
      <c r="P156"/>
      <c r="Q156"/>
      <c r="R156" t="s">
        <v>28</v>
      </c>
    </row>
    <row r="157" spans="1:18" s="24" customFormat="1">
      <c r="A157" s="21" t="s">
        <v>412</v>
      </c>
      <c r="B157" s="12">
        <v>1999</v>
      </c>
      <c r="C157" s="22" t="s">
        <v>413</v>
      </c>
      <c r="D157" s="21" t="s">
        <v>86</v>
      </c>
      <c r="E157" s="63" t="s">
        <v>102</v>
      </c>
      <c r="F157" s="19" t="s">
        <v>55</v>
      </c>
      <c r="G157" s="76">
        <v>8073000000</v>
      </c>
      <c r="H157" s="76">
        <v>8084000000</v>
      </c>
      <c r="I157" s="12">
        <v>24</v>
      </c>
      <c r="J157" s="12" t="s">
        <v>414</v>
      </c>
      <c r="K157" s="22" t="s">
        <v>26</v>
      </c>
      <c r="L157" s="22"/>
      <c r="M157" s="22"/>
      <c r="N157" s="21"/>
      <c r="O157" s="22"/>
      <c r="P157" s="22"/>
      <c r="Q157" s="22" t="s">
        <v>27</v>
      </c>
      <c r="R157" s="22" t="s">
        <v>28</v>
      </c>
    </row>
    <row r="158" spans="1:18" s="24" customFormat="1">
      <c r="A158" s="21" t="s">
        <v>415</v>
      </c>
      <c r="B158" s="12">
        <v>2000</v>
      </c>
      <c r="C158" s="22" t="s">
        <v>413</v>
      </c>
      <c r="D158" s="21" t="s">
        <v>86</v>
      </c>
      <c r="E158" s="63" t="s">
        <v>102</v>
      </c>
      <c r="F158" s="19" t="s">
        <v>55</v>
      </c>
      <c r="G158" s="50">
        <v>15807000000</v>
      </c>
      <c r="H158" s="50">
        <v>15807000000</v>
      </c>
      <c r="I158" s="12">
        <v>24</v>
      </c>
      <c r="J158" s="12" t="s">
        <v>414</v>
      </c>
      <c r="K158" s="22" t="s">
        <v>26</v>
      </c>
      <c r="L158" s="22"/>
      <c r="M158" s="22"/>
      <c r="N158" s="21"/>
      <c r="O158" s="22"/>
      <c r="P158" s="22"/>
      <c r="Q158" s="22" t="s">
        <v>27</v>
      </c>
      <c r="R158" s="22" t="s">
        <v>28</v>
      </c>
    </row>
    <row r="159" spans="1:18" s="24" customFormat="1">
      <c r="A159" s="21" t="s">
        <v>416</v>
      </c>
      <c r="B159" s="12">
        <v>2001</v>
      </c>
      <c r="C159" s="22" t="s">
        <v>413</v>
      </c>
      <c r="D159" s="21" t="s">
        <v>86</v>
      </c>
      <c r="E159" s="63" t="s">
        <v>102</v>
      </c>
      <c r="F159" s="19" t="s">
        <v>55</v>
      </c>
      <c r="G159" s="50">
        <v>15909000000</v>
      </c>
      <c r="H159" s="50">
        <v>15909000000</v>
      </c>
      <c r="I159" s="12">
        <v>24</v>
      </c>
      <c r="J159" s="12" t="s">
        <v>414</v>
      </c>
      <c r="K159" s="22" t="s">
        <v>26</v>
      </c>
      <c r="L159" s="22"/>
      <c r="M159" s="22"/>
      <c r="N159" s="21"/>
      <c r="O159" s="22"/>
      <c r="P159" s="22"/>
      <c r="Q159" s="22" t="s">
        <v>27</v>
      </c>
      <c r="R159" s="22" t="s">
        <v>28</v>
      </c>
    </row>
    <row r="160" spans="1:18" s="24" customFormat="1">
      <c r="A160" s="21" t="s">
        <v>417</v>
      </c>
      <c r="B160" s="12">
        <v>2002</v>
      </c>
      <c r="C160" s="22" t="s">
        <v>413</v>
      </c>
      <c r="D160" s="21" t="s">
        <v>86</v>
      </c>
      <c r="E160" s="63" t="s">
        <v>102</v>
      </c>
      <c r="F160" s="19" t="s">
        <v>55</v>
      </c>
      <c r="G160" s="50">
        <v>11875000000</v>
      </c>
      <c r="H160" s="50">
        <v>11875000000</v>
      </c>
      <c r="I160" s="12">
        <v>24</v>
      </c>
      <c r="J160" s="12" t="s">
        <v>414</v>
      </c>
      <c r="K160" s="22" t="s">
        <v>26</v>
      </c>
      <c r="L160" s="22"/>
      <c r="M160" s="22"/>
      <c r="N160" s="21"/>
      <c r="O160" s="22"/>
      <c r="P160" s="22"/>
      <c r="Q160" s="22" t="s">
        <v>27</v>
      </c>
      <c r="R160" s="22" t="s">
        <v>28</v>
      </c>
    </row>
    <row r="161" spans="1:18" s="24" customFormat="1">
      <c r="A161" s="21" t="s">
        <v>418</v>
      </c>
      <c r="B161" s="12">
        <v>2003</v>
      </c>
      <c r="C161" s="22" t="s">
        <v>413</v>
      </c>
      <c r="D161" s="21" t="s">
        <v>86</v>
      </c>
      <c r="E161" s="63" t="s">
        <v>102</v>
      </c>
      <c r="F161" s="19" t="s">
        <v>55</v>
      </c>
      <c r="G161" s="50">
        <v>17091000000</v>
      </c>
      <c r="H161" s="50">
        <v>17095000000</v>
      </c>
      <c r="I161" s="12">
        <v>24</v>
      </c>
      <c r="J161" s="12" t="s">
        <v>414</v>
      </c>
      <c r="K161" s="22" t="s">
        <v>26</v>
      </c>
      <c r="L161" s="22"/>
      <c r="M161" s="22"/>
      <c r="N161" s="21"/>
      <c r="O161" s="22"/>
      <c r="P161" s="22"/>
      <c r="Q161" s="22" t="s">
        <v>27</v>
      </c>
      <c r="R161" s="22" t="s">
        <v>28</v>
      </c>
    </row>
    <row r="162" spans="1:18" s="24" customFormat="1">
      <c r="A162" s="21" t="s">
        <v>419</v>
      </c>
      <c r="B162" s="12">
        <v>2004</v>
      </c>
      <c r="C162" s="22" t="s">
        <v>413</v>
      </c>
      <c r="D162" s="21" t="s">
        <v>86</v>
      </c>
      <c r="E162" s="63" t="s">
        <v>102</v>
      </c>
      <c r="F162" s="19" t="s">
        <v>55</v>
      </c>
      <c r="G162" s="50">
        <v>26596000000</v>
      </c>
      <c r="H162" s="50">
        <v>26597000000</v>
      </c>
      <c r="I162" s="12">
        <v>24</v>
      </c>
      <c r="J162" s="12" t="s">
        <v>414</v>
      </c>
      <c r="K162" s="22" t="s">
        <v>26</v>
      </c>
      <c r="L162" s="22"/>
      <c r="M162" s="22"/>
      <c r="N162" s="21"/>
      <c r="O162" s="22"/>
      <c r="P162" s="22"/>
      <c r="Q162" s="22" t="s">
        <v>27</v>
      </c>
      <c r="R162" s="22" t="s">
        <v>28</v>
      </c>
    </row>
    <row r="163" spans="1:18" s="24" customFormat="1">
      <c r="A163" s="21" t="s">
        <v>420</v>
      </c>
      <c r="B163" s="12">
        <v>2005</v>
      </c>
      <c r="C163" s="22" t="s">
        <v>413</v>
      </c>
      <c r="D163" s="21" t="s">
        <v>86</v>
      </c>
      <c r="E163" s="63" t="s">
        <v>421</v>
      </c>
      <c r="F163" s="19" t="s">
        <v>55</v>
      </c>
      <c r="G163" s="56">
        <v>37761759990.706177</v>
      </c>
      <c r="H163" s="56">
        <v>37589633076.178871</v>
      </c>
      <c r="I163" s="22" t="s">
        <v>265</v>
      </c>
      <c r="J163" s="12" t="s">
        <v>422</v>
      </c>
      <c r="K163" s="22" t="s">
        <v>26</v>
      </c>
      <c r="L163" s="22"/>
      <c r="M163" s="22"/>
      <c r="N163" s="21"/>
      <c r="O163" s="22"/>
      <c r="P163" s="22"/>
      <c r="Q163" s="22" t="s">
        <v>27</v>
      </c>
      <c r="R163" s="22" t="s">
        <v>28</v>
      </c>
    </row>
    <row r="164" spans="1:18" s="24" customFormat="1">
      <c r="A164" s="21" t="s">
        <v>423</v>
      </c>
      <c r="B164" s="12">
        <v>2006</v>
      </c>
      <c r="C164" s="22" t="s">
        <v>413</v>
      </c>
      <c r="D164" s="21" t="s">
        <v>86</v>
      </c>
      <c r="E164" s="63" t="s">
        <v>309</v>
      </c>
      <c r="F164" s="19" t="s">
        <v>55</v>
      </c>
      <c r="G164" s="50">
        <v>45464400000</v>
      </c>
      <c r="H164" s="50">
        <v>44748184080</v>
      </c>
      <c r="I164" s="22" t="s">
        <v>265</v>
      </c>
      <c r="J164" s="12" t="s">
        <v>424</v>
      </c>
      <c r="K164" s="22" t="s">
        <v>26</v>
      </c>
      <c r="L164" s="22"/>
      <c r="M164" s="22"/>
      <c r="N164" s="21"/>
      <c r="O164" s="22"/>
      <c r="P164" s="22"/>
      <c r="Q164" s="22" t="s">
        <v>27</v>
      </c>
      <c r="R164" s="22" t="s">
        <v>28</v>
      </c>
    </row>
    <row r="165" spans="1:18" s="24" customFormat="1">
      <c r="A165" s="21" t="s">
        <v>425</v>
      </c>
      <c r="B165" s="12">
        <v>2007</v>
      </c>
      <c r="C165" s="22" t="s">
        <v>413</v>
      </c>
      <c r="D165" s="21" t="s">
        <v>86</v>
      </c>
      <c r="E165" s="63" t="s">
        <v>309</v>
      </c>
      <c r="F165" s="19" t="s">
        <v>55</v>
      </c>
      <c r="G165" s="50">
        <v>43678500000</v>
      </c>
      <c r="H165" s="50">
        <v>43562165330</v>
      </c>
      <c r="I165" s="22" t="s">
        <v>265</v>
      </c>
      <c r="J165" s="12" t="s">
        <v>424</v>
      </c>
      <c r="K165" s="22" t="s">
        <v>26</v>
      </c>
      <c r="L165" s="22"/>
      <c r="M165" s="22"/>
      <c r="N165" s="21"/>
      <c r="O165" s="22"/>
      <c r="P165" s="22"/>
      <c r="Q165" s="22" t="s">
        <v>27</v>
      </c>
      <c r="R165" s="22" t="s">
        <v>28</v>
      </c>
    </row>
    <row r="166" spans="1:18" s="24" customFormat="1">
      <c r="A166" s="21" t="s">
        <v>426</v>
      </c>
      <c r="B166" s="12">
        <v>2008</v>
      </c>
      <c r="C166" s="22" t="s">
        <v>413</v>
      </c>
      <c r="D166" s="21" t="s">
        <v>86</v>
      </c>
      <c r="E166" s="63" t="s">
        <v>309</v>
      </c>
      <c r="F166" s="19" t="s">
        <v>55</v>
      </c>
      <c r="G166" s="50">
        <v>59398200000</v>
      </c>
      <c r="H166" s="50">
        <v>59266324980</v>
      </c>
      <c r="I166" s="22" t="s">
        <v>265</v>
      </c>
      <c r="J166" s="12" t="s">
        <v>424</v>
      </c>
      <c r="K166" s="22" t="s">
        <v>26</v>
      </c>
      <c r="L166" s="22"/>
      <c r="M166" s="22"/>
      <c r="N166" s="21"/>
      <c r="O166" s="22"/>
      <c r="P166" s="22"/>
      <c r="Q166" s="22" t="s">
        <v>27</v>
      </c>
      <c r="R166" s="22" t="s">
        <v>28</v>
      </c>
    </row>
    <row r="167" spans="1:18" s="24" customFormat="1">
      <c r="A167" s="21" t="s">
        <v>427</v>
      </c>
      <c r="B167" s="12">
        <v>2009</v>
      </c>
      <c r="C167" s="22" t="s">
        <v>413</v>
      </c>
      <c r="D167" s="21" t="s">
        <v>86</v>
      </c>
      <c r="E167" s="63" t="s">
        <v>180</v>
      </c>
      <c r="F167" s="19" t="s">
        <v>55</v>
      </c>
      <c r="G167" s="76">
        <v>30129486000</v>
      </c>
      <c r="H167" s="50">
        <v>30087646000</v>
      </c>
      <c r="I167" s="22" t="s">
        <v>265</v>
      </c>
      <c r="J167" s="12" t="s">
        <v>428</v>
      </c>
      <c r="K167" s="22" t="s">
        <v>26</v>
      </c>
      <c r="L167" s="22"/>
      <c r="M167" s="22"/>
      <c r="N167" s="21"/>
      <c r="O167" s="22"/>
      <c r="P167" s="22"/>
      <c r="Q167" s="22" t="s">
        <v>27</v>
      </c>
      <c r="R167" s="22" t="s">
        <v>28</v>
      </c>
    </row>
    <row r="168" spans="1:18" s="24" customFormat="1">
      <c r="A168" s="21" t="s">
        <v>429</v>
      </c>
      <c r="B168" s="12">
        <v>2010</v>
      </c>
      <c r="C168" s="22" t="s">
        <v>413</v>
      </c>
      <c r="D168" s="21" t="s">
        <v>86</v>
      </c>
      <c r="E168" s="63" t="s">
        <v>180</v>
      </c>
      <c r="F168" s="19" t="s">
        <v>55</v>
      </c>
      <c r="G168" s="76">
        <v>44944995000</v>
      </c>
      <c r="H168" s="50">
        <v>44965362000</v>
      </c>
      <c r="I168" s="22" t="s">
        <v>265</v>
      </c>
      <c r="J168" s="12" t="s">
        <v>428</v>
      </c>
      <c r="K168" s="22" t="s">
        <v>26</v>
      </c>
      <c r="L168" s="22"/>
      <c r="M168" s="22"/>
      <c r="N168" s="21"/>
      <c r="O168" s="22"/>
      <c r="P168" s="22"/>
      <c r="Q168" s="22" t="s">
        <v>27</v>
      </c>
      <c r="R168" s="22" t="s">
        <v>28</v>
      </c>
    </row>
    <row r="169" spans="1:18" s="24" customFormat="1">
      <c r="A169" s="21" t="s">
        <v>430</v>
      </c>
      <c r="B169" s="12">
        <v>2011</v>
      </c>
      <c r="C169" s="22" t="s">
        <v>413</v>
      </c>
      <c r="D169" s="21" t="s">
        <v>86</v>
      </c>
      <c r="E169" s="63" t="s">
        <v>431</v>
      </c>
      <c r="F169" s="19" t="s">
        <v>35</v>
      </c>
      <c r="G169" s="76">
        <v>68613385930</v>
      </c>
      <c r="H169" s="50">
        <v>68690659359</v>
      </c>
      <c r="I169" s="22" t="s">
        <v>265</v>
      </c>
      <c r="J169" s="22" t="s">
        <v>432</v>
      </c>
      <c r="K169" s="22" t="s">
        <v>26</v>
      </c>
      <c r="L169" s="22"/>
      <c r="M169" s="22"/>
      <c r="N169" s="21"/>
      <c r="O169" s="22"/>
      <c r="P169" s="22"/>
      <c r="Q169" s="22" t="s">
        <v>27</v>
      </c>
      <c r="R169" s="22" t="s">
        <v>28</v>
      </c>
    </row>
    <row r="170" spans="1:18">
      <c r="A170" s="49" t="s">
        <v>433</v>
      </c>
      <c r="B170" s="27">
        <v>2012</v>
      </c>
      <c r="C170" s="27" t="s">
        <v>413</v>
      </c>
      <c r="D170" s="27" t="s">
        <v>86</v>
      </c>
      <c r="E170" s="10" t="s">
        <v>50</v>
      </c>
      <c r="F170" s="27" t="s">
        <v>24</v>
      </c>
      <c r="G170" s="60">
        <v>177501338.81</v>
      </c>
      <c r="H170" s="60">
        <v>164593480.06999999</v>
      </c>
      <c r="I170" s="29">
        <v>58</v>
      </c>
      <c r="J170" s="30" t="s">
        <v>434</v>
      </c>
      <c r="K170" t="s">
        <v>26</v>
      </c>
      <c r="L170"/>
      <c r="M170" t="s">
        <v>26</v>
      </c>
      <c r="N170"/>
      <c r="O170"/>
      <c r="P170"/>
      <c r="Q170"/>
      <c r="R170" t="s">
        <v>28</v>
      </c>
    </row>
    <row r="171" spans="1:18" s="24" customFormat="1">
      <c r="A171" s="21" t="s">
        <v>435</v>
      </c>
      <c r="B171" s="12">
        <v>2008</v>
      </c>
      <c r="C171" s="22" t="s">
        <v>436</v>
      </c>
      <c r="D171" s="21" t="s">
        <v>39</v>
      </c>
      <c r="E171" s="19" t="s">
        <v>172</v>
      </c>
      <c r="F171" s="22" t="s">
        <v>55</v>
      </c>
      <c r="G171" s="76">
        <v>71008812.234042555</v>
      </c>
      <c r="H171" s="76">
        <v>71008812.234042555</v>
      </c>
      <c r="I171" s="12">
        <v>69</v>
      </c>
      <c r="J171" s="12" t="s">
        <v>437</v>
      </c>
      <c r="K171" s="22" t="s">
        <v>26</v>
      </c>
      <c r="L171" s="12"/>
      <c r="M171" s="22" t="s">
        <v>26</v>
      </c>
      <c r="N171" s="12"/>
      <c r="O171" s="22" t="s">
        <v>26</v>
      </c>
      <c r="P171" s="12"/>
      <c r="Q171" s="22" t="s">
        <v>27</v>
      </c>
      <c r="R171" s="22" t="s">
        <v>28</v>
      </c>
    </row>
    <row r="172" spans="1:18" s="24" customFormat="1">
      <c r="A172" s="21" t="s">
        <v>438</v>
      </c>
      <c r="B172" s="12">
        <v>2009</v>
      </c>
      <c r="C172" s="22" t="s">
        <v>436</v>
      </c>
      <c r="D172" s="21" t="s">
        <v>39</v>
      </c>
      <c r="E172" s="63" t="s">
        <v>439</v>
      </c>
      <c r="F172" s="22" t="s">
        <v>55</v>
      </c>
      <c r="G172" s="76">
        <v>42349871974.522293</v>
      </c>
      <c r="H172" s="76">
        <v>42349871974.522293</v>
      </c>
      <c r="I172" s="19">
        <v>64</v>
      </c>
      <c r="J172" s="23" t="s">
        <v>440</v>
      </c>
      <c r="K172" s="22" t="s">
        <v>26</v>
      </c>
      <c r="L172" s="12"/>
      <c r="M172" s="22" t="s">
        <v>26</v>
      </c>
      <c r="N172" s="12"/>
      <c r="O172" s="22" t="s">
        <v>26</v>
      </c>
      <c r="P172" s="12"/>
      <c r="Q172" s="22" t="s">
        <v>27</v>
      </c>
      <c r="R172" s="22" t="s">
        <v>28</v>
      </c>
    </row>
    <row r="173" spans="1:18" s="75" customFormat="1">
      <c r="A173" s="69" t="s">
        <v>441</v>
      </c>
      <c r="B173" s="70">
        <v>2010</v>
      </c>
      <c r="C173" s="71" t="s">
        <v>436</v>
      </c>
      <c r="D173" s="69" t="s">
        <v>39</v>
      </c>
      <c r="E173" s="72" t="s">
        <v>442</v>
      </c>
      <c r="F173" s="72" t="s">
        <v>55</v>
      </c>
      <c r="G173" s="87">
        <v>44013892000</v>
      </c>
      <c r="H173" s="87">
        <v>44013892000</v>
      </c>
      <c r="I173" s="72">
        <v>66</v>
      </c>
      <c r="J173" s="74" t="s">
        <v>443</v>
      </c>
      <c r="K173" s="71" t="s">
        <v>26</v>
      </c>
      <c r="L173" s="70"/>
      <c r="M173" s="71" t="s">
        <v>26</v>
      </c>
      <c r="N173" s="70"/>
      <c r="O173" s="71"/>
      <c r="P173" s="70"/>
      <c r="Q173" s="71"/>
      <c r="R173" s="71"/>
    </row>
    <row r="174" spans="1:18" s="24" customFormat="1">
      <c r="A174" s="21" t="s">
        <v>444</v>
      </c>
      <c r="B174" s="12">
        <v>2011</v>
      </c>
      <c r="C174" s="22" t="s">
        <v>436</v>
      </c>
      <c r="D174" s="21" t="s">
        <v>39</v>
      </c>
      <c r="E174" s="63" t="s">
        <v>439</v>
      </c>
      <c r="F174" s="22" t="s">
        <v>55</v>
      </c>
      <c r="G174" s="76">
        <v>60421715740</v>
      </c>
      <c r="H174" s="76">
        <v>60421715740</v>
      </c>
      <c r="I174" s="19">
        <v>64</v>
      </c>
      <c r="J174" s="12" t="s">
        <v>445</v>
      </c>
      <c r="K174" s="22" t="s">
        <v>26</v>
      </c>
      <c r="L174" s="12"/>
      <c r="M174" s="22" t="s">
        <v>26</v>
      </c>
      <c r="N174" s="12"/>
      <c r="O174" s="22" t="s">
        <v>26</v>
      </c>
      <c r="P174" s="12"/>
      <c r="Q174" s="22" t="s">
        <v>27</v>
      </c>
      <c r="R174" s="22" t="s">
        <v>28</v>
      </c>
    </row>
    <row r="175" spans="1:18" s="24" customFormat="1">
      <c r="A175" s="21" t="s">
        <v>446</v>
      </c>
      <c r="B175" s="12">
        <v>2012</v>
      </c>
      <c r="C175" s="22" t="s">
        <v>436</v>
      </c>
      <c r="D175" s="21" t="s">
        <v>39</v>
      </c>
      <c r="E175" s="63" t="s">
        <v>439</v>
      </c>
      <c r="F175" s="22" t="s">
        <v>55</v>
      </c>
      <c r="G175" s="50">
        <v>65229640210</v>
      </c>
      <c r="H175" s="50">
        <v>65229640210</v>
      </c>
      <c r="I175" s="19">
        <v>69</v>
      </c>
      <c r="J175" s="12" t="s">
        <v>447</v>
      </c>
      <c r="K175" s="22" t="s">
        <v>26</v>
      </c>
      <c r="L175" s="12"/>
      <c r="M175" s="22" t="s">
        <v>26</v>
      </c>
      <c r="N175" s="12"/>
      <c r="O175" s="22" t="s">
        <v>26</v>
      </c>
      <c r="P175" s="12"/>
      <c r="Q175" s="22" t="s">
        <v>27</v>
      </c>
      <c r="R175" s="22" t="s">
        <v>28</v>
      </c>
    </row>
    <row r="176" spans="1:18" s="24" customFormat="1">
      <c r="A176" s="21" t="s">
        <v>448</v>
      </c>
      <c r="B176" s="12">
        <v>2004</v>
      </c>
      <c r="C176" s="22" t="s">
        <v>449</v>
      </c>
      <c r="D176" s="21" t="s">
        <v>220</v>
      </c>
      <c r="E176" s="63" t="s">
        <v>368</v>
      </c>
      <c r="F176" s="19" t="s">
        <v>35</v>
      </c>
      <c r="G176" s="76">
        <v>884263514.49853373</v>
      </c>
      <c r="H176" s="76">
        <v>883327965.60997057</v>
      </c>
      <c r="I176" s="12">
        <v>33</v>
      </c>
      <c r="J176" s="12" t="s">
        <v>450</v>
      </c>
      <c r="K176" s="22"/>
      <c r="L176" s="12"/>
      <c r="M176" s="22" t="s">
        <v>26</v>
      </c>
      <c r="N176" s="12"/>
      <c r="O176" s="22"/>
      <c r="P176" s="12"/>
      <c r="Q176" s="22" t="s">
        <v>28</v>
      </c>
      <c r="R176" s="22" t="s">
        <v>28</v>
      </c>
    </row>
    <row r="177" spans="1:18" s="24" customFormat="1">
      <c r="A177" s="21" t="s">
        <v>451</v>
      </c>
      <c r="B177" s="12">
        <v>2005</v>
      </c>
      <c r="C177" s="22" t="s">
        <v>449</v>
      </c>
      <c r="D177" s="21" t="s">
        <v>220</v>
      </c>
      <c r="E177" s="63" t="s">
        <v>368</v>
      </c>
      <c r="F177" s="19" t="s">
        <v>35</v>
      </c>
      <c r="G177" s="76">
        <v>1756747244.267477</v>
      </c>
      <c r="H177" s="76">
        <v>1755425838.3039513</v>
      </c>
      <c r="I177" s="12">
        <v>33</v>
      </c>
      <c r="J177" s="12" t="s">
        <v>450</v>
      </c>
      <c r="K177" s="22"/>
      <c r="L177" s="12"/>
      <c r="M177" s="22" t="s">
        <v>26</v>
      </c>
      <c r="N177" s="12"/>
      <c r="O177" s="22"/>
      <c r="P177" s="12"/>
      <c r="Q177" s="22" t="s">
        <v>28</v>
      </c>
      <c r="R177" s="22" t="s">
        <v>28</v>
      </c>
    </row>
    <row r="178" spans="1:18" s="24" customFormat="1">
      <c r="A178" s="21" t="s">
        <v>452</v>
      </c>
      <c r="B178" s="12">
        <v>2006</v>
      </c>
      <c r="C178" s="22" t="s">
        <v>449</v>
      </c>
      <c r="D178" s="21" t="s">
        <v>220</v>
      </c>
      <c r="E178" s="63" t="s">
        <v>368</v>
      </c>
      <c r="F178" s="19" t="s">
        <v>35</v>
      </c>
      <c r="G178" s="20">
        <v>2926435259.9327216</v>
      </c>
      <c r="H178" s="20">
        <v>2926253811.7614679</v>
      </c>
      <c r="I178" s="12">
        <v>33</v>
      </c>
      <c r="J178" s="12" t="s">
        <v>450</v>
      </c>
      <c r="K178" s="22"/>
      <c r="L178" s="12"/>
      <c r="M178" s="22" t="s">
        <v>26</v>
      </c>
      <c r="N178" s="12"/>
      <c r="O178" s="22"/>
      <c r="P178" s="12"/>
      <c r="Q178" s="22" t="s">
        <v>28</v>
      </c>
      <c r="R178" s="22" t="s">
        <v>28</v>
      </c>
    </row>
    <row r="179" spans="1:18" s="24" customFormat="1">
      <c r="A179" s="21" t="s">
        <v>453</v>
      </c>
      <c r="B179" s="12">
        <v>2007</v>
      </c>
      <c r="C179" s="22" t="s">
        <v>449</v>
      </c>
      <c r="D179" s="21" t="s">
        <v>220</v>
      </c>
      <c r="E179" s="63" t="s">
        <v>368</v>
      </c>
      <c r="F179" s="19" t="s">
        <v>35</v>
      </c>
      <c r="G179" s="76">
        <v>3125388072.7948718</v>
      </c>
      <c r="H179" s="76">
        <v>3126093879.5</v>
      </c>
      <c r="I179" s="12">
        <v>33</v>
      </c>
      <c r="J179" s="12" t="s">
        <v>450</v>
      </c>
      <c r="K179" s="22"/>
      <c r="L179" s="12"/>
      <c r="M179" s="22" t="s">
        <v>26</v>
      </c>
      <c r="N179" s="12"/>
      <c r="O179" s="22"/>
      <c r="P179" s="12"/>
      <c r="Q179" s="22" t="s">
        <v>28</v>
      </c>
      <c r="R179" s="22" t="s">
        <v>28</v>
      </c>
    </row>
    <row r="180" spans="1:18" s="24" customFormat="1">
      <c r="A180" s="21" t="s">
        <v>454</v>
      </c>
      <c r="B180" s="12">
        <v>2008</v>
      </c>
      <c r="C180" s="22" t="s">
        <v>449</v>
      </c>
      <c r="D180" s="21" t="s">
        <v>220</v>
      </c>
      <c r="E180" s="63" t="s">
        <v>455</v>
      </c>
      <c r="F180" s="19" t="s">
        <v>35</v>
      </c>
      <c r="G180" s="56">
        <v>3573697357.7190704</v>
      </c>
      <c r="H180" s="50">
        <v>3573963810.1613121</v>
      </c>
      <c r="I180" s="12">
        <v>51</v>
      </c>
      <c r="J180" s="12" t="s">
        <v>456</v>
      </c>
      <c r="K180" s="22"/>
      <c r="L180" s="12"/>
      <c r="M180" s="22" t="s">
        <v>26</v>
      </c>
      <c r="N180" s="12"/>
      <c r="O180" s="22"/>
      <c r="P180" s="12"/>
      <c r="Q180" s="22" t="s">
        <v>28</v>
      </c>
      <c r="R180" s="22" t="s">
        <v>28</v>
      </c>
    </row>
    <row r="181" spans="1:18" s="24" customFormat="1">
      <c r="A181" s="21" t="s">
        <v>457</v>
      </c>
      <c r="B181" s="12">
        <v>2009</v>
      </c>
      <c r="C181" s="22" t="s">
        <v>449</v>
      </c>
      <c r="D181" s="21" t="s">
        <v>220</v>
      </c>
      <c r="E181" s="63" t="s">
        <v>44</v>
      </c>
      <c r="F181" s="19" t="s">
        <v>35</v>
      </c>
      <c r="G181" s="56">
        <v>2965369766.4701195</v>
      </c>
      <c r="H181" s="50">
        <v>2965945526.7968125</v>
      </c>
      <c r="I181" s="12">
        <v>51</v>
      </c>
      <c r="J181" s="12" t="s">
        <v>456</v>
      </c>
      <c r="K181" s="22"/>
      <c r="L181" s="12"/>
      <c r="M181" s="22" t="s">
        <v>26</v>
      </c>
      <c r="N181" s="12"/>
      <c r="O181" s="22"/>
      <c r="P181" s="12"/>
      <c r="Q181" s="22" t="s">
        <v>28</v>
      </c>
      <c r="R181" s="22" t="s">
        <v>28</v>
      </c>
    </row>
    <row r="182" spans="1:18" s="24" customFormat="1">
      <c r="A182" s="21" t="s">
        <v>458</v>
      </c>
      <c r="B182" s="12">
        <v>2010</v>
      </c>
      <c r="C182" s="22" t="s">
        <v>449</v>
      </c>
      <c r="D182" s="21" t="s">
        <v>220</v>
      </c>
      <c r="E182" s="63" t="s">
        <v>95</v>
      </c>
      <c r="F182" s="19" t="s">
        <v>35</v>
      </c>
      <c r="G182" s="56">
        <v>4358147652.2724705</v>
      </c>
      <c r="H182" s="76">
        <v>4358224746.2937012</v>
      </c>
      <c r="I182" s="12">
        <v>51</v>
      </c>
      <c r="J182" s="12" t="s">
        <v>456</v>
      </c>
      <c r="K182" s="22"/>
      <c r="L182" s="12"/>
      <c r="M182" s="22" t="s">
        <v>26</v>
      </c>
      <c r="N182" s="12"/>
      <c r="O182" s="22"/>
      <c r="P182" s="12"/>
      <c r="Q182" s="22" t="s">
        <v>28</v>
      </c>
      <c r="R182" s="22" t="s">
        <v>28</v>
      </c>
    </row>
    <row r="183" spans="1:18" s="75" customFormat="1">
      <c r="A183" s="69" t="s">
        <v>459</v>
      </c>
      <c r="B183" s="70">
        <v>2011</v>
      </c>
      <c r="C183" s="71" t="s">
        <v>449</v>
      </c>
      <c r="D183" s="69" t="s">
        <v>220</v>
      </c>
      <c r="E183" s="72" t="s">
        <v>460</v>
      </c>
      <c r="F183" s="72" t="s">
        <v>35</v>
      </c>
      <c r="G183" s="73">
        <v>5884323617</v>
      </c>
      <c r="H183" s="73">
        <v>5881394469</v>
      </c>
      <c r="I183" s="72">
        <v>59</v>
      </c>
      <c r="J183" s="74" t="s">
        <v>461</v>
      </c>
      <c r="K183" s="71" t="s">
        <v>26</v>
      </c>
      <c r="L183" s="70"/>
      <c r="M183" s="71" t="s">
        <v>26</v>
      </c>
      <c r="N183" s="70"/>
      <c r="O183" s="71"/>
      <c r="P183" s="70"/>
      <c r="Q183" s="71" t="s">
        <v>28</v>
      </c>
      <c r="R183" s="71" t="s">
        <v>28</v>
      </c>
    </row>
    <row r="184" spans="1:18" s="75" customFormat="1">
      <c r="A184" s="69" t="s">
        <v>462</v>
      </c>
      <c r="B184" s="70">
        <v>2012</v>
      </c>
      <c r="C184" s="71" t="s">
        <v>449</v>
      </c>
      <c r="D184" s="69" t="s">
        <v>220</v>
      </c>
      <c r="E184" s="72" t="s">
        <v>460</v>
      </c>
      <c r="F184" s="72" t="s">
        <v>35</v>
      </c>
      <c r="G184" s="73">
        <v>5480907241</v>
      </c>
      <c r="H184" s="73">
        <v>5478998767</v>
      </c>
      <c r="I184" s="72">
        <v>59</v>
      </c>
      <c r="J184" s="74" t="s">
        <v>463</v>
      </c>
      <c r="K184" s="71" t="s">
        <v>26</v>
      </c>
      <c r="L184" s="70"/>
      <c r="M184" s="71" t="s">
        <v>26</v>
      </c>
      <c r="N184" s="70"/>
      <c r="O184" s="71"/>
      <c r="P184" s="70"/>
      <c r="Q184" s="71" t="s">
        <v>28</v>
      </c>
      <c r="R184" s="71" t="s">
        <v>28</v>
      </c>
    </row>
    <row r="185" spans="1:18" s="24" customFormat="1">
      <c r="A185" s="21" t="s">
        <v>464</v>
      </c>
      <c r="B185" s="12">
        <v>2004</v>
      </c>
      <c r="C185" s="22" t="s">
        <v>465</v>
      </c>
      <c r="D185" s="21" t="s">
        <v>86</v>
      </c>
      <c r="E185" s="19" t="s">
        <v>466</v>
      </c>
      <c r="F185" s="19" t="s">
        <v>55</v>
      </c>
      <c r="G185" s="88">
        <v>802597372.72742176</v>
      </c>
      <c r="H185" s="20"/>
      <c r="I185" s="19">
        <v>17</v>
      </c>
      <c r="J185" s="52" t="s">
        <v>467</v>
      </c>
      <c r="K185" s="22"/>
      <c r="L185" s="12"/>
      <c r="M185" s="22" t="s">
        <v>26</v>
      </c>
      <c r="N185" s="12"/>
      <c r="O185" s="22"/>
      <c r="P185" s="12"/>
      <c r="Q185" s="22"/>
      <c r="R185" s="22"/>
    </row>
    <row r="186" spans="1:18" s="24" customFormat="1">
      <c r="A186" s="21" t="s">
        <v>468</v>
      </c>
      <c r="B186" s="12">
        <v>2005</v>
      </c>
      <c r="C186" s="22" t="s">
        <v>465</v>
      </c>
      <c r="D186" s="21" t="s">
        <v>86</v>
      </c>
      <c r="E186" s="19" t="s">
        <v>469</v>
      </c>
      <c r="F186" s="19" t="s">
        <v>55</v>
      </c>
      <c r="G186" s="88">
        <v>1738493617.9513669</v>
      </c>
      <c r="H186" s="20"/>
      <c r="I186" s="19">
        <v>17</v>
      </c>
      <c r="J186" s="52" t="s">
        <v>470</v>
      </c>
      <c r="K186" s="22"/>
      <c r="L186" s="12"/>
      <c r="M186" s="22" t="s">
        <v>26</v>
      </c>
      <c r="N186" s="12"/>
      <c r="O186" s="22"/>
      <c r="P186" s="12"/>
      <c r="Q186" s="22"/>
      <c r="R186" s="22"/>
    </row>
    <row r="187" spans="1:18" s="24" customFormat="1">
      <c r="A187" s="21" t="s">
        <v>471</v>
      </c>
      <c r="B187" s="12">
        <v>2006</v>
      </c>
      <c r="C187" s="22" t="s">
        <v>465</v>
      </c>
      <c r="D187" s="21" t="s">
        <v>86</v>
      </c>
      <c r="E187" s="19" t="s">
        <v>469</v>
      </c>
      <c r="F187" s="19" t="s">
        <v>55</v>
      </c>
      <c r="G187" s="88">
        <v>2581804427.3293929</v>
      </c>
      <c r="H187" s="20"/>
      <c r="I187" s="19">
        <v>17</v>
      </c>
      <c r="J187" s="52" t="s">
        <v>472</v>
      </c>
      <c r="K187" s="22"/>
      <c r="L187" s="12"/>
      <c r="M187" s="22" t="s">
        <v>26</v>
      </c>
      <c r="N187" s="12"/>
      <c r="O187" s="22"/>
      <c r="P187" s="12"/>
      <c r="Q187" s="22"/>
      <c r="R187" s="22"/>
    </row>
    <row r="188" spans="1:18" s="40" customFormat="1">
      <c r="A188" s="33" t="s">
        <v>473</v>
      </c>
      <c r="B188" s="34">
        <v>2007</v>
      </c>
      <c r="C188" s="36" t="s">
        <v>465</v>
      </c>
      <c r="D188" s="33" t="s">
        <v>86</v>
      </c>
      <c r="E188" s="35" t="s">
        <v>439</v>
      </c>
      <c r="F188" s="35" t="s">
        <v>55</v>
      </c>
      <c r="G188" s="18">
        <v>2553350325.8307009</v>
      </c>
      <c r="H188" s="18">
        <v>2443821662.9688482</v>
      </c>
      <c r="I188" s="35">
        <v>25</v>
      </c>
      <c r="J188" s="54" t="s">
        <v>474</v>
      </c>
      <c r="K188" s="36"/>
      <c r="L188" s="34"/>
      <c r="M188" s="36" t="s">
        <v>26</v>
      </c>
      <c r="N188" s="34"/>
      <c r="O188" s="36"/>
      <c r="P188" s="34"/>
      <c r="Q188" s="36"/>
      <c r="R188" s="36"/>
    </row>
    <row r="189" spans="1:18" s="40" customFormat="1">
      <c r="A189" s="33" t="s">
        <v>475</v>
      </c>
      <c r="B189" s="34">
        <v>2008</v>
      </c>
      <c r="C189" s="36" t="s">
        <v>465</v>
      </c>
      <c r="D189" s="33" t="s">
        <v>86</v>
      </c>
      <c r="E189" s="35" t="s">
        <v>439</v>
      </c>
      <c r="F189" s="35" t="s">
        <v>55</v>
      </c>
      <c r="G189" s="18">
        <v>4645910135.5534267</v>
      </c>
      <c r="H189" s="18">
        <v>4608048676.9085875</v>
      </c>
      <c r="I189" s="35">
        <v>25</v>
      </c>
      <c r="J189" s="54" t="s">
        <v>476</v>
      </c>
      <c r="K189" s="36"/>
      <c r="L189" s="34"/>
      <c r="M189" s="36" t="s">
        <v>26</v>
      </c>
      <c r="N189" s="34"/>
      <c r="O189" s="36"/>
      <c r="P189" s="34"/>
      <c r="Q189" s="36"/>
      <c r="R189" s="36"/>
    </row>
    <row r="190" spans="1:18" s="40" customFormat="1">
      <c r="A190" s="33" t="s">
        <v>477</v>
      </c>
      <c r="B190" s="34">
        <v>2009</v>
      </c>
      <c r="C190" s="36" t="s">
        <v>465</v>
      </c>
      <c r="D190" s="33" t="s">
        <v>86</v>
      </c>
      <c r="E190" s="35" t="s">
        <v>439</v>
      </c>
      <c r="F190" s="35" t="s">
        <v>55</v>
      </c>
      <c r="G190" s="18">
        <v>2343960552.7359438</v>
      </c>
      <c r="H190" s="18">
        <v>2293891127.9047532</v>
      </c>
      <c r="I190" s="35">
        <v>30</v>
      </c>
      <c r="J190" s="54" t="s">
        <v>478</v>
      </c>
      <c r="K190" s="36"/>
      <c r="L190" s="34"/>
      <c r="M190" s="36" t="s">
        <v>26</v>
      </c>
      <c r="N190" s="34"/>
      <c r="O190" s="36"/>
      <c r="P190" s="34"/>
      <c r="Q190" s="36"/>
      <c r="R190" s="36"/>
    </row>
    <row r="191" spans="1:18" s="24" customFormat="1">
      <c r="A191" s="21" t="s">
        <v>479</v>
      </c>
      <c r="B191" s="12">
        <v>2010</v>
      </c>
      <c r="C191" s="22" t="s">
        <v>465</v>
      </c>
      <c r="D191" s="21" t="s">
        <v>86</v>
      </c>
      <c r="E191" s="19" t="s">
        <v>455</v>
      </c>
      <c r="F191" s="19" t="s">
        <v>55</v>
      </c>
      <c r="G191" s="76">
        <v>3195780380.0319676</v>
      </c>
      <c r="H191" s="77">
        <v>3419011268.8920569</v>
      </c>
      <c r="I191" s="19">
        <v>16</v>
      </c>
      <c r="J191" s="52" t="s">
        <v>480</v>
      </c>
      <c r="K191" s="22"/>
      <c r="L191" s="12"/>
      <c r="M191" s="22"/>
      <c r="N191" s="12"/>
      <c r="O191" s="22"/>
      <c r="P191" s="12"/>
      <c r="Q191" s="22"/>
      <c r="R191" s="22"/>
    </row>
    <row r="192" spans="1:18" s="24" customFormat="1">
      <c r="A192" s="21" t="s">
        <v>481</v>
      </c>
      <c r="B192" s="12">
        <v>2011</v>
      </c>
      <c r="C192" s="22" t="s">
        <v>465</v>
      </c>
      <c r="D192" s="21" t="s">
        <v>86</v>
      </c>
      <c r="E192" s="19" t="s">
        <v>323</v>
      </c>
      <c r="F192" s="19" t="s">
        <v>55</v>
      </c>
      <c r="G192" s="89">
        <v>5529544307</v>
      </c>
      <c r="H192" s="90">
        <v>5551437090.9858561</v>
      </c>
      <c r="I192" s="19">
        <v>17</v>
      </c>
      <c r="J192" s="52" t="s">
        <v>482</v>
      </c>
      <c r="K192" s="22"/>
      <c r="L192" s="12"/>
      <c r="M192" s="22" t="s">
        <v>26</v>
      </c>
      <c r="N192" s="12"/>
      <c r="O192" s="22"/>
      <c r="P192" s="12"/>
      <c r="Q192" s="22"/>
      <c r="R192" s="22"/>
    </row>
    <row r="193" spans="1:18" s="24" customFormat="1">
      <c r="A193" s="21" t="s">
        <v>483</v>
      </c>
      <c r="B193" s="12">
        <v>2012</v>
      </c>
      <c r="C193" s="22" t="s">
        <v>465</v>
      </c>
      <c r="D193" s="21" t="s">
        <v>86</v>
      </c>
      <c r="E193" s="19" t="s">
        <v>95</v>
      </c>
      <c r="F193" s="19" t="s">
        <v>35</v>
      </c>
      <c r="G193" s="56">
        <v>3185676000</v>
      </c>
      <c r="H193" s="56">
        <v>3210830000</v>
      </c>
      <c r="I193" s="19">
        <v>21</v>
      </c>
      <c r="J193" s="52" t="s">
        <v>484</v>
      </c>
      <c r="K193" s="22" t="s">
        <v>26</v>
      </c>
      <c r="L193" s="12"/>
      <c r="M193" s="22" t="s">
        <v>26</v>
      </c>
      <c r="N193" s="12"/>
      <c r="O193" s="22"/>
      <c r="P193" s="12"/>
      <c r="Q193" s="22"/>
      <c r="R193" s="22"/>
    </row>
    <row r="194" spans="1:18">
      <c r="A194" s="49" t="s">
        <v>485</v>
      </c>
      <c r="B194" s="27">
        <v>2013</v>
      </c>
      <c r="C194" s="27" t="s">
        <v>465</v>
      </c>
      <c r="D194" s="27" t="s">
        <v>86</v>
      </c>
      <c r="E194" s="10" t="s">
        <v>50</v>
      </c>
      <c r="F194" s="27" t="s">
        <v>55</v>
      </c>
      <c r="G194" s="56">
        <v>3041615000</v>
      </c>
      <c r="H194" s="56">
        <v>3044743000</v>
      </c>
      <c r="I194" s="29">
        <v>96</v>
      </c>
      <c r="J194" s="30" t="s">
        <v>486</v>
      </c>
      <c r="K194" t="s">
        <v>26</v>
      </c>
      <c r="L194"/>
      <c r="M194" t="s">
        <v>26</v>
      </c>
      <c r="N194"/>
      <c r="O194"/>
      <c r="P194"/>
      <c r="Q194"/>
      <c r="R194" t="s">
        <v>28</v>
      </c>
    </row>
    <row r="195" spans="1:18" s="24" customFormat="1">
      <c r="A195" s="21" t="s">
        <v>487</v>
      </c>
      <c r="B195" s="12">
        <v>2006</v>
      </c>
      <c r="C195" s="22" t="s">
        <v>488</v>
      </c>
      <c r="D195" s="21" t="s">
        <v>86</v>
      </c>
      <c r="E195" s="63" t="s">
        <v>489</v>
      </c>
      <c r="F195" s="22" t="s">
        <v>24</v>
      </c>
      <c r="G195" s="18">
        <v>7255694.5761567</v>
      </c>
      <c r="H195" s="20">
        <v>7650039.54407294</v>
      </c>
      <c r="I195" s="12">
        <v>9</v>
      </c>
      <c r="J195" s="12" t="s">
        <v>490</v>
      </c>
      <c r="K195" s="22" t="s">
        <v>26</v>
      </c>
      <c r="L195" s="12"/>
      <c r="M195" s="22" t="s">
        <v>26</v>
      </c>
      <c r="N195" s="12"/>
      <c r="O195" s="22" t="s">
        <v>26</v>
      </c>
      <c r="P195" s="22"/>
      <c r="Q195" s="22" t="s">
        <v>28</v>
      </c>
      <c r="R195" s="22" t="s">
        <v>28</v>
      </c>
    </row>
    <row r="196" spans="1:18" s="24" customFormat="1">
      <c r="A196" s="21" t="s">
        <v>491</v>
      </c>
      <c r="B196" s="12">
        <v>2007</v>
      </c>
      <c r="C196" s="22" t="s">
        <v>488</v>
      </c>
      <c r="D196" s="21" t="s">
        <v>86</v>
      </c>
      <c r="E196" s="63" t="s">
        <v>489</v>
      </c>
      <c r="F196" s="22" t="s">
        <v>24</v>
      </c>
      <c r="G196" s="20">
        <v>10201528.665884711</v>
      </c>
      <c r="H196" s="38">
        <v>10475495.659182299</v>
      </c>
      <c r="I196" s="12">
        <v>9</v>
      </c>
      <c r="J196" s="12" t="s">
        <v>490</v>
      </c>
      <c r="K196" s="22" t="s">
        <v>26</v>
      </c>
      <c r="L196" s="12"/>
      <c r="M196" s="22" t="s">
        <v>26</v>
      </c>
      <c r="N196" s="12"/>
      <c r="O196" s="22" t="s">
        <v>26</v>
      </c>
      <c r="P196" s="22"/>
      <c r="Q196" s="22" t="s">
        <v>28</v>
      </c>
      <c r="R196" s="22" t="s">
        <v>28</v>
      </c>
    </row>
    <row r="197" spans="1:18" s="24" customFormat="1">
      <c r="A197" s="21" t="s">
        <v>492</v>
      </c>
      <c r="B197" s="12">
        <v>2008</v>
      </c>
      <c r="C197" s="22" t="s">
        <v>488</v>
      </c>
      <c r="D197" s="21" t="s">
        <v>86</v>
      </c>
      <c r="E197" s="63" t="s">
        <v>323</v>
      </c>
      <c r="F197" s="19" t="s">
        <v>35</v>
      </c>
      <c r="G197" s="38">
        <v>4427564.2110363245</v>
      </c>
      <c r="H197" s="20">
        <v>7434047.1408309368</v>
      </c>
      <c r="I197" s="12">
        <v>12</v>
      </c>
      <c r="J197" s="12" t="s">
        <v>493</v>
      </c>
      <c r="K197" s="22" t="s">
        <v>26</v>
      </c>
      <c r="L197" s="22" t="s">
        <v>26</v>
      </c>
      <c r="M197" s="22" t="s">
        <v>26</v>
      </c>
      <c r="N197" s="22" t="s">
        <v>26</v>
      </c>
      <c r="O197" s="22" t="s">
        <v>26</v>
      </c>
      <c r="P197" s="22"/>
      <c r="Q197" s="22" t="s">
        <v>28</v>
      </c>
      <c r="R197" s="22" t="s">
        <v>28</v>
      </c>
    </row>
    <row r="198" spans="1:18" s="24" customFormat="1">
      <c r="A198" s="21" t="s">
        <v>494</v>
      </c>
      <c r="B198" s="12">
        <v>2009</v>
      </c>
      <c r="C198" s="22" t="s">
        <v>488</v>
      </c>
      <c r="D198" s="21" t="s">
        <v>86</v>
      </c>
      <c r="E198" s="63" t="s">
        <v>323</v>
      </c>
      <c r="F198" s="19" t="s">
        <v>35</v>
      </c>
      <c r="G198" s="20">
        <v>5875777.9977596682</v>
      </c>
      <c r="H198" s="20">
        <v>6091293.3647605022</v>
      </c>
      <c r="I198" s="12">
        <v>12</v>
      </c>
      <c r="J198" s="12" t="s">
        <v>493</v>
      </c>
      <c r="K198" s="22" t="s">
        <v>26</v>
      </c>
      <c r="L198" s="22" t="s">
        <v>26</v>
      </c>
      <c r="M198" s="22" t="s">
        <v>26</v>
      </c>
      <c r="N198" s="22" t="s">
        <v>26</v>
      </c>
      <c r="O198" s="22" t="s">
        <v>26</v>
      </c>
      <c r="P198" s="22"/>
      <c r="Q198" s="22" t="s">
        <v>28</v>
      </c>
      <c r="R198" s="22" t="s">
        <v>28</v>
      </c>
    </row>
    <row r="199" spans="1:18" s="24" customFormat="1">
      <c r="A199" s="21" t="s">
        <v>495</v>
      </c>
      <c r="B199" s="12">
        <v>2010</v>
      </c>
      <c r="C199" s="22" t="s">
        <v>488</v>
      </c>
      <c r="D199" s="21" t="s">
        <v>86</v>
      </c>
      <c r="E199" s="63" t="s">
        <v>323</v>
      </c>
      <c r="F199" s="19" t="s">
        <v>35</v>
      </c>
      <c r="G199" s="20">
        <v>7586792.5651504043</v>
      </c>
      <c r="H199" s="20">
        <v>8273470.9751235368</v>
      </c>
      <c r="I199" s="12">
        <v>13</v>
      </c>
      <c r="J199" s="12" t="s">
        <v>493</v>
      </c>
      <c r="K199" s="22" t="s">
        <v>26</v>
      </c>
      <c r="L199" s="22" t="s">
        <v>26</v>
      </c>
      <c r="M199" s="22" t="s">
        <v>26</v>
      </c>
      <c r="N199" s="22" t="s">
        <v>26</v>
      </c>
      <c r="O199" s="22" t="s">
        <v>26</v>
      </c>
      <c r="P199" s="22"/>
      <c r="Q199" s="22" t="s">
        <v>28</v>
      </c>
      <c r="R199" s="22" t="s">
        <v>28</v>
      </c>
    </row>
    <row r="200" spans="1:18" s="24" customFormat="1">
      <c r="A200" s="21" t="s">
        <v>496</v>
      </c>
      <c r="B200" s="12">
        <v>2011</v>
      </c>
      <c r="C200" s="22" t="s">
        <v>488</v>
      </c>
      <c r="D200" s="21" t="s">
        <v>86</v>
      </c>
      <c r="E200" s="63" t="s">
        <v>95</v>
      </c>
      <c r="F200" s="19" t="s">
        <v>35</v>
      </c>
      <c r="G200" s="20">
        <v>27621406</v>
      </c>
      <c r="H200" s="20">
        <v>26293142</v>
      </c>
      <c r="I200" s="12">
        <v>19</v>
      </c>
      <c r="J200" s="12" t="s">
        <v>497</v>
      </c>
      <c r="K200" s="22" t="s">
        <v>26</v>
      </c>
      <c r="L200" s="22"/>
      <c r="M200" s="22" t="s">
        <v>26</v>
      </c>
      <c r="N200" s="22"/>
      <c r="O200" s="22" t="s">
        <v>26</v>
      </c>
      <c r="P200" s="22"/>
      <c r="Q200" s="22" t="s">
        <v>28</v>
      </c>
      <c r="R200" s="22" t="s">
        <v>28</v>
      </c>
    </row>
    <row r="201" spans="1:18" s="24" customFormat="1">
      <c r="A201" s="21" t="s">
        <v>498</v>
      </c>
      <c r="B201" s="12">
        <v>2009</v>
      </c>
      <c r="C201" s="22" t="s">
        <v>499</v>
      </c>
      <c r="D201" s="21" t="s">
        <v>86</v>
      </c>
      <c r="E201" s="63" t="s">
        <v>309</v>
      </c>
      <c r="F201" s="19" t="s">
        <v>386</v>
      </c>
      <c r="G201" s="18">
        <v>102252340</v>
      </c>
      <c r="H201" s="18">
        <v>138928383</v>
      </c>
      <c r="I201" s="12">
        <v>11</v>
      </c>
      <c r="J201" s="12" t="s">
        <v>500</v>
      </c>
      <c r="K201" s="22" t="s">
        <v>26</v>
      </c>
      <c r="L201" s="22" t="s">
        <v>26</v>
      </c>
      <c r="M201" s="22" t="s">
        <v>26</v>
      </c>
      <c r="N201" s="22" t="s">
        <v>26</v>
      </c>
      <c r="O201" s="22" t="s">
        <v>26</v>
      </c>
      <c r="P201" s="22"/>
      <c r="Q201" s="22" t="s">
        <v>27</v>
      </c>
      <c r="R201" s="22" t="s">
        <v>28</v>
      </c>
    </row>
    <row r="202" spans="1:18" s="24" customFormat="1">
      <c r="A202" s="21" t="s">
        <v>501</v>
      </c>
      <c r="B202" s="12">
        <v>2010</v>
      </c>
      <c r="C202" s="22" t="s">
        <v>499</v>
      </c>
      <c r="D202" s="21" t="s">
        <v>86</v>
      </c>
      <c r="E202" s="63" t="s">
        <v>159</v>
      </c>
      <c r="F202" s="19" t="s">
        <v>386</v>
      </c>
      <c r="G202" s="20">
        <v>305762430.10000002</v>
      </c>
      <c r="H202" s="20">
        <v>309407926.30000001</v>
      </c>
      <c r="I202" s="12">
        <v>22</v>
      </c>
      <c r="J202" s="12" t="s">
        <v>502</v>
      </c>
      <c r="K202" s="22" t="s">
        <v>26</v>
      </c>
      <c r="L202" s="22" t="s">
        <v>26</v>
      </c>
      <c r="M202" s="22" t="s">
        <v>26</v>
      </c>
      <c r="N202" s="22" t="s">
        <v>26</v>
      </c>
      <c r="O202" s="22" t="s">
        <v>26</v>
      </c>
      <c r="P202" s="22"/>
      <c r="Q202" s="22" t="s">
        <v>27</v>
      </c>
      <c r="R202" s="22" t="s">
        <v>28</v>
      </c>
    </row>
    <row r="203" spans="1:18" s="24" customFormat="1">
      <c r="A203" s="21" t="s">
        <v>503</v>
      </c>
      <c r="B203" s="12">
        <v>2011</v>
      </c>
      <c r="C203" s="22" t="s">
        <v>499</v>
      </c>
      <c r="D203" s="21" t="s">
        <v>86</v>
      </c>
      <c r="E203" s="63" t="s">
        <v>82</v>
      </c>
      <c r="F203" s="19" t="s">
        <v>386</v>
      </c>
      <c r="G203" s="20">
        <v>329804745</v>
      </c>
      <c r="H203" s="20">
        <v>337100430</v>
      </c>
      <c r="I203" s="12">
        <v>29</v>
      </c>
      <c r="J203" s="12" t="s">
        <v>504</v>
      </c>
      <c r="K203" s="22" t="s">
        <v>26</v>
      </c>
      <c r="L203" s="22" t="s">
        <v>26</v>
      </c>
      <c r="M203" s="22" t="s">
        <v>26</v>
      </c>
      <c r="N203" s="22" t="s">
        <v>26</v>
      </c>
      <c r="O203" s="22" t="s">
        <v>26</v>
      </c>
      <c r="P203" s="22"/>
      <c r="Q203" s="22" t="s">
        <v>27</v>
      </c>
      <c r="R203" s="22" t="s">
        <v>28</v>
      </c>
    </row>
    <row r="204" spans="1:18" s="24" customFormat="1">
      <c r="A204" s="21" t="s">
        <v>505</v>
      </c>
      <c r="B204" s="12">
        <v>2012</v>
      </c>
      <c r="C204" s="22" t="s">
        <v>499</v>
      </c>
      <c r="D204" s="21" t="s">
        <v>86</v>
      </c>
      <c r="E204" s="63" t="s">
        <v>47</v>
      </c>
      <c r="F204" s="19" t="s">
        <v>35</v>
      </c>
      <c r="G204" s="20">
        <v>468277747.69958961</v>
      </c>
      <c r="H204" s="20">
        <v>469605653.31086099</v>
      </c>
      <c r="I204" s="12">
        <v>44</v>
      </c>
      <c r="J204" s="12" t="s">
        <v>506</v>
      </c>
      <c r="K204" s="22" t="s">
        <v>26</v>
      </c>
      <c r="L204" s="22"/>
      <c r="M204" s="22" t="s">
        <v>26</v>
      </c>
      <c r="N204" s="22"/>
      <c r="O204" s="22" t="s">
        <v>26</v>
      </c>
      <c r="P204" s="22"/>
      <c r="Q204" s="22" t="s">
        <v>27</v>
      </c>
      <c r="R204" s="22" t="s">
        <v>28</v>
      </c>
    </row>
    <row r="205" spans="1:18" s="24" customFormat="1">
      <c r="A205" s="21" t="s">
        <v>507</v>
      </c>
      <c r="B205" s="12">
        <v>2008</v>
      </c>
      <c r="C205" s="22" t="s">
        <v>508</v>
      </c>
      <c r="D205" s="21" t="s">
        <v>244</v>
      </c>
      <c r="E205" s="63" t="s">
        <v>368</v>
      </c>
      <c r="F205" s="19" t="s">
        <v>55</v>
      </c>
      <c r="G205" s="20">
        <v>2509572538</v>
      </c>
      <c r="H205" s="20">
        <v>2509572538</v>
      </c>
      <c r="I205" s="12">
        <v>18</v>
      </c>
      <c r="J205" s="12" t="s">
        <v>509</v>
      </c>
      <c r="K205" s="22" t="s">
        <v>26</v>
      </c>
      <c r="L205" s="22"/>
      <c r="M205" s="22" t="s">
        <v>26</v>
      </c>
      <c r="N205" s="22"/>
      <c r="O205" s="22" t="s">
        <v>26</v>
      </c>
      <c r="P205" s="22"/>
      <c r="Q205" s="22" t="s">
        <v>27</v>
      </c>
      <c r="R205" s="22" t="s">
        <v>28</v>
      </c>
    </row>
    <row r="206" spans="1:18" s="24" customFormat="1">
      <c r="A206" s="21" t="s">
        <v>510</v>
      </c>
      <c r="B206" s="12">
        <v>2009</v>
      </c>
      <c r="C206" s="22" t="s">
        <v>508</v>
      </c>
      <c r="D206" s="21" t="s">
        <v>244</v>
      </c>
      <c r="E206" s="63" t="s">
        <v>511</v>
      </c>
      <c r="F206" s="19" t="s">
        <v>55</v>
      </c>
      <c r="G206" s="20">
        <v>1763889996</v>
      </c>
      <c r="H206" s="20">
        <v>1763889996</v>
      </c>
      <c r="I206" s="12">
        <v>18</v>
      </c>
      <c r="J206" s="12" t="s">
        <v>512</v>
      </c>
      <c r="K206" s="22" t="s">
        <v>26</v>
      </c>
      <c r="L206" s="22"/>
      <c r="M206" s="22" t="s">
        <v>26</v>
      </c>
      <c r="N206" s="22"/>
      <c r="O206" s="22" t="s">
        <v>26</v>
      </c>
      <c r="P206" s="22"/>
      <c r="Q206" s="22" t="s">
        <v>27</v>
      </c>
      <c r="R206" s="22" t="s">
        <v>28</v>
      </c>
    </row>
    <row r="207" spans="1:18" s="24" customFormat="1">
      <c r="A207" s="21" t="s">
        <v>513</v>
      </c>
      <c r="B207" s="12">
        <v>2010</v>
      </c>
      <c r="C207" s="22" t="s">
        <v>508</v>
      </c>
      <c r="D207" s="21" t="s">
        <v>244</v>
      </c>
      <c r="E207" s="63" t="s">
        <v>378</v>
      </c>
      <c r="F207" s="19" t="s">
        <v>55</v>
      </c>
      <c r="G207" s="20">
        <v>2149721568</v>
      </c>
      <c r="H207" s="20">
        <v>2149721568</v>
      </c>
      <c r="I207" s="12">
        <v>19</v>
      </c>
      <c r="J207" s="12" t="s">
        <v>512</v>
      </c>
      <c r="K207" s="22" t="s">
        <v>26</v>
      </c>
      <c r="L207" s="22"/>
      <c r="M207" s="22" t="s">
        <v>26</v>
      </c>
      <c r="N207" s="22"/>
      <c r="O207" s="22" t="s">
        <v>26</v>
      </c>
      <c r="P207" s="22" t="s">
        <v>26</v>
      </c>
      <c r="Q207" s="22" t="s">
        <v>27</v>
      </c>
      <c r="R207" s="22" t="s">
        <v>28</v>
      </c>
    </row>
    <row r="208" spans="1:18" s="24" customFormat="1">
      <c r="A208" s="21" t="s">
        <v>514</v>
      </c>
      <c r="B208" s="12">
        <v>2011</v>
      </c>
      <c r="C208" s="22" t="s">
        <v>508</v>
      </c>
      <c r="D208" s="21" t="s">
        <v>244</v>
      </c>
      <c r="E208" s="63" t="s">
        <v>44</v>
      </c>
      <c r="F208" s="19" t="s">
        <v>55</v>
      </c>
      <c r="G208" s="20">
        <v>3453285817</v>
      </c>
      <c r="H208" s="20">
        <v>3453285817</v>
      </c>
      <c r="I208" s="12">
        <v>20</v>
      </c>
      <c r="J208" s="12" t="s">
        <v>515</v>
      </c>
      <c r="K208" s="22" t="s">
        <v>26</v>
      </c>
      <c r="L208" s="22"/>
      <c r="M208" s="22" t="s">
        <v>26</v>
      </c>
      <c r="N208" s="22"/>
      <c r="O208" s="22" t="s">
        <v>26</v>
      </c>
      <c r="P208" s="22" t="s">
        <v>26</v>
      </c>
      <c r="Q208" s="22" t="s">
        <v>27</v>
      </c>
      <c r="R208" s="22" t="s">
        <v>28</v>
      </c>
    </row>
    <row r="209" spans="1:21" s="24" customFormat="1">
      <c r="A209" s="21" t="s">
        <v>516</v>
      </c>
      <c r="B209" s="12">
        <v>2010</v>
      </c>
      <c r="C209" s="22" t="s">
        <v>517</v>
      </c>
      <c r="D209" s="21" t="s">
        <v>86</v>
      </c>
      <c r="E209" s="19" t="s">
        <v>518</v>
      </c>
      <c r="F209" s="19" t="s">
        <v>519</v>
      </c>
      <c r="G209" s="20">
        <v>60128720.446464643</v>
      </c>
      <c r="H209" s="44">
        <v>65899109.789898992</v>
      </c>
      <c r="I209" s="19">
        <v>22</v>
      </c>
      <c r="J209" s="52" t="s">
        <v>520</v>
      </c>
      <c r="K209" s="22" t="s">
        <v>26</v>
      </c>
      <c r="L209" s="22"/>
      <c r="M209" s="22" t="s">
        <v>26</v>
      </c>
      <c r="N209" s="22"/>
      <c r="O209" s="22"/>
      <c r="P209" s="22"/>
      <c r="Q209" s="22"/>
      <c r="R209" s="22"/>
    </row>
    <row r="210" spans="1:21" s="24" customFormat="1">
      <c r="A210" s="91" t="s">
        <v>521</v>
      </c>
      <c r="B210" s="12">
        <v>2011</v>
      </c>
      <c r="C210" s="22" t="s">
        <v>517</v>
      </c>
      <c r="D210" s="21" t="s">
        <v>86</v>
      </c>
      <c r="E210" s="19" t="s">
        <v>212</v>
      </c>
      <c r="F210" s="19" t="s">
        <v>519</v>
      </c>
      <c r="G210" s="44">
        <v>31315792.572000001</v>
      </c>
      <c r="H210" s="44">
        <v>31297366.316</v>
      </c>
      <c r="I210" s="19">
        <v>25</v>
      </c>
      <c r="J210" s="52" t="s">
        <v>522</v>
      </c>
      <c r="K210" s="22" t="s">
        <v>26</v>
      </c>
      <c r="L210" s="22"/>
      <c r="M210" s="22" t="s">
        <v>26</v>
      </c>
      <c r="N210" s="22"/>
      <c r="O210" s="22"/>
      <c r="P210" s="22"/>
      <c r="Q210" s="22"/>
      <c r="R210" s="22"/>
    </row>
    <row r="211" spans="1:21">
      <c r="A211" s="49" t="s">
        <v>523</v>
      </c>
      <c r="B211" s="27">
        <v>2012</v>
      </c>
      <c r="C211" s="27" t="s">
        <v>517</v>
      </c>
      <c r="D211" s="27" t="s">
        <v>86</v>
      </c>
      <c r="E211" s="10" t="s">
        <v>50</v>
      </c>
      <c r="F211" s="27" t="s">
        <v>24</v>
      </c>
      <c r="G211" s="82">
        <v>31681601.940000001</v>
      </c>
      <c r="H211" s="56">
        <v>35222626.909999996</v>
      </c>
      <c r="I211" s="29">
        <v>27</v>
      </c>
      <c r="J211" s="30" t="s">
        <v>524</v>
      </c>
      <c r="K211" t="s">
        <v>26</v>
      </c>
      <c r="L211"/>
      <c r="M211" t="s">
        <v>26</v>
      </c>
      <c r="N211"/>
      <c r="O211"/>
      <c r="P211"/>
      <c r="Q211"/>
      <c r="R211" t="s">
        <v>28</v>
      </c>
    </row>
    <row r="212" spans="1:21" s="24" customFormat="1">
      <c r="A212" s="21" t="s">
        <v>525</v>
      </c>
      <c r="B212" s="12">
        <v>2011</v>
      </c>
      <c r="C212" s="22" t="s">
        <v>526</v>
      </c>
      <c r="D212" s="21" t="s">
        <v>220</v>
      </c>
      <c r="E212" s="63" t="s">
        <v>326</v>
      </c>
      <c r="F212" s="19" t="s">
        <v>55</v>
      </c>
      <c r="G212" s="20">
        <v>3593984496</v>
      </c>
      <c r="H212" s="20">
        <v>3605333333</v>
      </c>
      <c r="I212" s="12">
        <v>46</v>
      </c>
      <c r="J212" s="12" t="s">
        <v>527</v>
      </c>
      <c r="K212" s="22" t="s">
        <v>26</v>
      </c>
      <c r="L212" s="22"/>
      <c r="M212" s="22" t="s">
        <v>26</v>
      </c>
      <c r="N212" s="22"/>
      <c r="O212" s="22"/>
      <c r="P212" s="22" t="s">
        <v>26</v>
      </c>
      <c r="Q212" s="22" t="s">
        <v>27</v>
      </c>
      <c r="R212" s="22" t="s">
        <v>28</v>
      </c>
    </row>
    <row r="213" spans="1:21" s="24" customFormat="1">
      <c r="A213" s="21" t="s">
        <v>528</v>
      </c>
      <c r="B213" s="12">
        <v>2005</v>
      </c>
      <c r="C213" s="22" t="s">
        <v>529</v>
      </c>
      <c r="D213" s="21" t="s">
        <v>252</v>
      </c>
      <c r="E213" s="63" t="s">
        <v>530</v>
      </c>
      <c r="F213" s="19" t="s">
        <v>55</v>
      </c>
      <c r="G213" s="20">
        <v>4668154975</v>
      </c>
      <c r="H213" s="20">
        <v>4668248606</v>
      </c>
      <c r="I213" s="12">
        <v>12</v>
      </c>
      <c r="J213" s="12" t="s">
        <v>531</v>
      </c>
      <c r="K213" s="22"/>
      <c r="L213" s="22"/>
      <c r="M213" s="22" t="s">
        <v>26</v>
      </c>
      <c r="N213" s="22"/>
      <c r="O213" s="22"/>
      <c r="P213" s="22"/>
      <c r="Q213" s="22" t="s">
        <v>27</v>
      </c>
      <c r="R213" s="22" t="s">
        <v>28</v>
      </c>
    </row>
    <row r="214" spans="1:21" s="24" customFormat="1">
      <c r="A214" s="21" t="s">
        <v>532</v>
      </c>
      <c r="B214" s="12">
        <v>2006</v>
      </c>
      <c r="C214" s="22" t="s">
        <v>529</v>
      </c>
      <c r="D214" s="21" t="s">
        <v>252</v>
      </c>
      <c r="E214" s="63" t="s">
        <v>530</v>
      </c>
      <c r="F214" s="19" t="s">
        <v>55</v>
      </c>
      <c r="G214" s="20">
        <v>5122351269</v>
      </c>
      <c r="H214" s="20">
        <v>5121921597</v>
      </c>
      <c r="I214" s="12">
        <v>12</v>
      </c>
      <c r="J214" s="12" t="s">
        <v>531</v>
      </c>
      <c r="K214" s="22"/>
      <c r="L214" s="22"/>
      <c r="M214" s="22" t="s">
        <v>26</v>
      </c>
      <c r="N214" s="22"/>
      <c r="O214" s="22"/>
      <c r="P214" s="22"/>
      <c r="Q214" s="22" t="s">
        <v>27</v>
      </c>
      <c r="R214" s="22" t="s">
        <v>28</v>
      </c>
    </row>
    <row r="215" spans="1:21" s="24" customFormat="1">
      <c r="A215" s="21" t="s">
        <v>533</v>
      </c>
      <c r="B215" s="12">
        <v>2007</v>
      </c>
      <c r="C215" s="22" t="s">
        <v>529</v>
      </c>
      <c r="D215" s="21" t="s">
        <v>252</v>
      </c>
      <c r="E215" s="63" t="s">
        <v>530</v>
      </c>
      <c r="F215" s="19" t="s">
        <v>55</v>
      </c>
      <c r="G215" s="20">
        <v>5331162225</v>
      </c>
      <c r="H215" s="20">
        <v>5331078375</v>
      </c>
      <c r="I215" s="12">
        <v>12</v>
      </c>
      <c r="J215" s="12" t="s">
        <v>531</v>
      </c>
      <c r="K215" s="22"/>
      <c r="L215" s="22"/>
      <c r="M215" s="22" t="s">
        <v>26</v>
      </c>
      <c r="N215" s="22"/>
      <c r="O215" s="22"/>
      <c r="P215" s="22"/>
      <c r="Q215" s="22" t="s">
        <v>27</v>
      </c>
      <c r="R215" s="22" t="s">
        <v>28</v>
      </c>
    </row>
    <row r="216" spans="1:21" s="24" customFormat="1">
      <c r="A216" s="21" t="s">
        <v>534</v>
      </c>
      <c r="B216" s="12">
        <v>2008</v>
      </c>
      <c r="C216" s="22" t="s">
        <v>529</v>
      </c>
      <c r="D216" s="21" t="s">
        <v>252</v>
      </c>
      <c r="E216" s="63" t="s">
        <v>82</v>
      </c>
      <c r="F216" s="19" t="s">
        <v>55</v>
      </c>
      <c r="G216" s="18">
        <v>7591231594</v>
      </c>
      <c r="H216" s="20">
        <v>214794365</v>
      </c>
      <c r="I216" s="12">
        <v>12</v>
      </c>
      <c r="J216" s="52" t="s">
        <v>535</v>
      </c>
      <c r="K216" s="22"/>
      <c r="L216" s="22"/>
      <c r="M216" s="22" t="s">
        <v>26</v>
      </c>
      <c r="N216" s="22"/>
      <c r="O216" s="22"/>
      <c r="P216" s="22"/>
      <c r="Q216" s="22" t="s">
        <v>27</v>
      </c>
      <c r="R216" s="22" t="s">
        <v>28</v>
      </c>
    </row>
    <row r="217" spans="1:21" s="24" customFormat="1">
      <c r="A217" s="21" t="s">
        <v>536</v>
      </c>
      <c r="B217" s="12">
        <v>2009</v>
      </c>
      <c r="C217" s="22" t="s">
        <v>529</v>
      </c>
      <c r="D217" s="21" t="s">
        <v>252</v>
      </c>
      <c r="E217" s="63" t="s">
        <v>82</v>
      </c>
      <c r="F217" s="19" t="s">
        <v>55</v>
      </c>
      <c r="G217" s="18">
        <v>3625997931</v>
      </c>
      <c r="H217" s="20">
        <v>114590378</v>
      </c>
      <c r="I217" s="12">
        <v>12</v>
      </c>
      <c r="J217" s="52" t="s">
        <v>535</v>
      </c>
      <c r="K217" s="22"/>
      <c r="L217" s="22"/>
      <c r="M217" s="22" t="s">
        <v>26</v>
      </c>
      <c r="N217" s="22"/>
      <c r="O217" s="22"/>
      <c r="P217" s="22"/>
      <c r="Q217" s="22" t="s">
        <v>27</v>
      </c>
      <c r="R217" s="22" t="s">
        <v>28</v>
      </c>
    </row>
    <row r="218" spans="1:21" s="24" customFormat="1">
      <c r="A218" s="21" t="s">
        <v>537</v>
      </c>
      <c r="B218" s="12">
        <v>2010</v>
      </c>
      <c r="C218" s="22" t="s">
        <v>529</v>
      </c>
      <c r="D218" s="21" t="s">
        <v>252</v>
      </c>
      <c r="E218" s="63" t="s">
        <v>82</v>
      </c>
      <c r="F218" s="19" t="s">
        <v>55</v>
      </c>
      <c r="G218" s="20">
        <v>5081696110</v>
      </c>
      <c r="H218" s="20">
        <v>245902656</v>
      </c>
      <c r="I218" s="12">
        <v>13</v>
      </c>
      <c r="J218" s="52" t="s">
        <v>535</v>
      </c>
      <c r="K218" s="22"/>
      <c r="L218" s="22" t="s">
        <v>26</v>
      </c>
      <c r="M218" s="22" t="s">
        <v>26</v>
      </c>
      <c r="N218" s="22" t="s">
        <v>26</v>
      </c>
      <c r="O218" s="22"/>
      <c r="P218" s="22"/>
      <c r="Q218" s="22" t="s">
        <v>27</v>
      </c>
      <c r="R218" s="22" t="s">
        <v>28</v>
      </c>
    </row>
    <row r="219" spans="1:21" s="24" customFormat="1">
      <c r="A219" s="21" t="s">
        <v>538</v>
      </c>
      <c r="B219" s="12">
        <v>2011</v>
      </c>
      <c r="C219" s="22" t="s">
        <v>529</v>
      </c>
      <c r="D219" s="21" t="s">
        <v>252</v>
      </c>
      <c r="E219" s="63" t="s">
        <v>298</v>
      </c>
      <c r="F219" s="19" t="s">
        <v>55</v>
      </c>
      <c r="G219" s="20">
        <v>5539756725</v>
      </c>
      <c r="H219" s="38">
        <v>372118093</v>
      </c>
      <c r="I219" s="12">
        <v>40</v>
      </c>
      <c r="J219" s="12" t="s">
        <v>539</v>
      </c>
      <c r="K219" s="22"/>
      <c r="L219" s="22" t="s">
        <v>26</v>
      </c>
      <c r="M219" s="22" t="s">
        <v>26</v>
      </c>
      <c r="N219" s="22" t="s">
        <v>26</v>
      </c>
      <c r="O219" s="22"/>
      <c r="P219" s="22"/>
      <c r="Q219" s="22" t="s">
        <v>27</v>
      </c>
      <c r="R219" s="22" t="s">
        <v>28</v>
      </c>
    </row>
    <row r="220" spans="1:21" s="92" customFormat="1">
      <c r="A220" s="92" t="s">
        <v>540</v>
      </c>
      <c r="B220" s="93">
        <v>2008</v>
      </c>
      <c r="C220" s="93" t="s">
        <v>541</v>
      </c>
      <c r="D220" s="92" t="s">
        <v>86</v>
      </c>
      <c r="E220" s="94" t="s">
        <v>309</v>
      </c>
      <c r="F220" s="95" t="s">
        <v>24</v>
      </c>
      <c r="G220" s="96">
        <v>470370875</v>
      </c>
      <c r="H220" s="96">
        <v>473725116</v>
      </c>
      <c r="I220" s="93">
        <v>14</v>
      </c>
      <c r="J220" s="93" t="s">
        <v>542</v>
      </c>
      <c r="K220" s="93" t="s">
        <v>26</v>
      </c>
      <c r="L220" s="93"/>
      <c r="M220" s="93" t="s">
        <v>26</v>
      </c>
      <c r="N220" s="93"/>
      <c r="O220" s="93" t="s">
        <v>26</v>
      </c>
      <c r="P220" s="93"/>
      <c r="Q220" s="93" t="s">
        <v>27</v>
      </c>
      <c r="R220" s="93" t="s">
        <v>28</v>
      </c>
      <c r="T220" s="24"/>
      <c r="U220" s="24"/>
    </row>
    <row r="221" spans="1:21" s="92" customFormat="1">
      <c r="A221" s="92" t="s">
        <v>543</v>
      </c>
      <c r="B221" s="93">
        <v>2009</v>
      </c>
      <c r="C221" s="93" t="s">
        <v>541</v>
      </c>
      <c r="D221" s="92" t="s">
        <v>86</v>
      </c>
      <c r="E221" s="94" t="s">
        <v>518</v>
      </c>
      <c r="F221" s="95" t="s">
        <v>24</v>
      </c>
      <c r="G221" s="97">
        <v>533783358</v>
      </c>
      <c r="H221" s="44">
        <v>574901639</v>
      </c>
      <c r="I221" s="93">
        <v>28</v>
      </c>
      <c r="J221" s="93" t="s">
        <v>544</v>
      </c>
      <c r="K221" s="93" t="s">
        <v>26</v>
      </c>
      <c r="L221" s="93"/>
      <c r="M221" s="93" t="s">
        <v>26</v>
      </c>
      <c r="N221" s="93"/>
      <c r="O221" s="93" t="s">
        <v>26</v>
      </c>
      <c r="P221" s="93"/>
      <c r="Q221" s="93" t="s">
        <v>27</v>
      </c>
      <c r="R221" s="93" t="s">
        <v>28</v>
      </c>
      <c r="T221" s="24"/>
      <c r="U221" s="24"/>
    </row>
    <row r="222" spans="1:21" s="92" customFormat="1">
      <c r="A222" s="92" t="s">
        <v>545</v>
      </c>
      <c r="B222" s="93">
        <v>2010</v>
      </c>
      <c r="C222" s="93" t="s">
        <v>541</v>
      </c>
      <c r="D222" s="92" t="s">
        <v>86</v>
      </c>
      <c r="E222" s="94" t="s">
        <v>212</v>
      </c>
      <c r="F222" s="95" t="s">
        <v>24</v>
      </c>
      <c r="G222" s="98">
        <v>757063737</v>
      </c>
      <c r="H222" s="98">
        <v>758825945</v>
      </c>
      <c r="I222" s="93">
        <v>20</v>
      </c>
      <c r="J222" s="93" t="s">
        <v>546</v>
      </c>
      <c r="K222" s="93" t="s">
        <v>26</v>
      </c>
      <c r="L222" s="93"/>
      <c r="M222" s="93" t="s">
        <v>26</v>
      </c>
      <c r="N222" s="93"/>
      <c r="O222" s="93" t="s">
        <v>26</v>
      </c>
      <c r="P222" s="93"/>
      <c r="Q222" s="93" t="s">
        <v>27</v>
      </c>
      <c r="R222" s="93" t="s">
        <v>28</v>
      </c>
      <c r="T222" s="24"/>
      <c r="U222" s="24"/>
    </row>
    <row r="223" spans="1:21" s="92" customFormat="1">
      <c r="A223" s="92" t="s">
        <v>547</v>
      </c>
      <c r="B223" s="93">
        <v>2011</v>
      </c>
      <c r="C223" s="93" t="s">
        <v>541</v>
      </c>
      <c r="D223" s="92" t="s">
        <v>86</v>
      </c>
      <c r="E223" s="94" t="s">
        <v>460</v>
      </c>
      <c r="F223" s="19" t="s">
        <v>24</v>
      </c>
      <c r="G223" s="96">
        <v>1588841770</v>
      </c>
      <c r="H223" s="96">
        <v>1600810082</v>
      </c>
      <c r="I223" s="93">
        <v>25</v>
      </c>
      <c r="J223" s="93" t="s">
        <v>548</v>
      </c>
      <c r="K223" s="93" t="s">
        <v>26</v>
      </c>
      <c r="L223" s="93"/>
      <c r="M223" s="93" t="s">
        <v>26</v>
      </c>
      <c r="N223" s="93"/>
      <c r="O223" s="93" t="s">
        <v>26</v>
      </c>
      <c r="P223" s="93"/>
      <c r="Q223" s="93" t="s">
        <v>27</v>
      </c>
      <c r="R223" s="93" t="s">
        <v>28</v>
      </c>
      <c r="T223" s="24"/>
      <c r="U223" s="24"/>
    </row>
    <row r="224" spans="1:21">
      <c r="A224" s="49" t="s">
        <v>549</v>
      </c>
      <c r="B224" s="27">
        <v>2012</v>
      </c>
      <c r="C224" s="27" t="s">
        <v>541</v>
      </c>
      <c r="D224" s="27" t="s">
        <v>86</v>
      </c>
      <c r="E224" s="10" t="s">
        <v>550</v>
      </c>
      <c r="F224" s="27" t="s">
        <v>41</v>
      </c>
      <c r="G224" s="47">
        <v>1537626771.04</v>
      </c>
      <c r="H224" s="99">
        <v>1519219439.75</v>
      </c>
      <c r="I224" s="29">
        <v>29</v>
      </c>
      <c r="J224" s="100" t="s">
        <v>551</v>
      </c>
      <c r="K224" t="s">
        <v>26</v>
      </c>
      <c r="L224"/>
      <c r="M224" t="s">
        <v>26</v>
      </c>
      <c r="N224"/>
      <c r="O224"/>
      <c r="P224"/>
      <c r="Q224"/>
      <c r="R224" t="s">
        <v>28</v>
      </c>
    </row>
    <row r="225" spans="1:18">
      <c r="A225" s="49" t="s">
        <v>552</v>
      </c>
      <c r="B225" s="27">
        <v>2013</v>
      </c>
      <c r="C225" s="27" t="s">
        <v>541</v>
      </c>
      <c r="D225" s="27" t="s">
        <v>86</v>
      </c>
      <c r="E225" s="10" t="s">
        <v>50</v>
      </c>
      <c r="F225" s="27" t="s">
        <v>41</v>
      </c>
      <c r="G225" s="101">
        <v>1498550077.77</v>
      </c>
      <c r="H225" s="56">
        <v>1428239205.4400001</v>
      </c>
      <c r="I225" s="29">
        <v>29</v>
      </c>
      <c r="J225" s="30" t="s">
        <v>553</v>
      </c>
      <c r="K225" t="s">
        <v>26</v>
      </c>
      <c r="L225"/>
      <c r="M225" t="s">
        <v>26</v>
      </c>
      <c r="N225"/>
      <c r="O225"/>
      <c r="P225"/>
      <c r="Q225"/>
      <c r="R225" t="s">
        <v>28</v>
      </c>
    </row>
    <row r="227" spans="1:18">
      <c r="G227" s="8"/>
      <c r="H227" s="8"/>
    </row>
    <row r="228" spans="1:18">
      <c r="A228" s="8" t="s">
        <v>554</v>
      </c>
      <c r="E228" s="103"/>
      <c r="G228" s="11"/>
      <c r="H228" s="11"/>
    </row>
    <row r="229" spans="1:18">
      <c r="A229" s="104" t="s">
        <v>555</v>
      </c>
      <c r="I229" s="20"/>
      <c r="J229" s="105"/>
      <c r="K229" s="8"/>
      <c r="L229" s="8"/>
      <c r="M229" s="8"/>
      <c r="N229" s="8"/>
      <c r="O229" s="8"/>
      <c r="P229" s="8"/>
      <c r="Q229" s="8"/>
      <c r="R229" s="8"/>
    </row>
    <row r="230" spans="1:18">
      <c r="A230" s="8" t="s">
        <v>556</v>
      </c>
      <c r="J230" s="105"/>
      <c r="K230" s="8"/>
      <c r="L230" s="8"/>
      <c r="M230" s="8"/>
      <c r="N230" s="8"/>
      <c r="O230" s="8"/>
      <c r="P230" s="8"/>
      <c r="Q230" s="8"/>
      <c r="R230" s="8"/>
    </row>
    <row r="231" spans="1:18">
      <c r="A231" s="16" t="s">
        <v>557</v>
      </c>
      <c r="H231" s="20"/>
      <c r="J231" s="105"/>
      <c r="K231" s="8"/>
      <c r="L231" s="8"/>
      <c r="M231" s="8"/>
      <c r="N231" s="8"/>
      <c r="O231" s="8"/>
      <c r="P231" s="8"/>
      <c r="Q231" s="8"/>
      <c r="R231" s="8"/>
    </row>
  </sheetData>
  <mergeCells count="2">
    <mergeCell ref="B1:J1"/>
    <mergeCell ref="K1:R1"/>
  </mergeCells>
  <conditionalFormatting sqref="V3:V4 AN3:AN4 BF3:BF4 BX3:BX4 CP3:CP4 DH3:DH4 DZ3:DZ4 ER3:ER4 FJ3:FJ4 GB3:GB4 GT3:GT4 HL3:HL4 ID3:ID4 IV3:IV4 JN3:JN4 KF3:KF4 KX3:KX4 LP3:LP4 MH3:MH4 MZ3:MZ4 NR3:NR4 OJ3:OJ4 PB3:PB4 PT3:PT4 QL3:QL4 RD3:RD4 RV3:RV4 SN3:SN4 TF3:TF4 TX3:TX4 UP3:UP4 VH3:VH4 VZ3:VZ4 WR3:WR4 XJ3:XJ4 YB3:YB4 YT3:YT4 ZL3:ZL4 AAD3:AAD4 AAV3:AAV4 ABN3:ABN4 ACF3:ACF4 ACX3:ACX4 ADP3:ADP4 AEH3:AEH4 AEZ3:AEZ4 AFR3:AFR4 AGJ3:AGJ4 AHB3:AHB4 AHT3:AHT4 AIL3:AIL4 AJD3:AJD4 AJV3:AJV4 AKN3:AKN4 ALF3:ALF4 ALX3:ALX4 AMP3:AMP4 ANH3:ANH4 ANZ3:ANZ4 AOR3:AOR4 APJ3:APJ4 AQB3:AQB4 AQT3:AQT4 ARL3:ARL4 ASD3:ASD4 ASV3:ASV4 ATN3:ATN4 AUF3:AUF4 AUX3:AUX4 AVP3:AVP4 AWH3:AWH4 AWZ3:AWZ4 AXR3:AXR4 AYJ3:AYJ4 AZB3:AZB4 AZT3:AZT4 BAL3:BAL4 BBD3:BBD4 BBV3:BBV4 BCN3:BCN4 BDF3:BDF4 BDX3:BDX4 BEP3:BEP4 BFH3:BFH4 BFZ3:BFZ4 BGR3:BGR4 BHJ3:BHJ4 BIB3:BIB4 BIT3:BIT4 BJL3:BJL4 BKD3:BKD4 BKV3:BKV4 BLN3:BLN4 BMF3:BMF4 BMX3:BMX4 BNP3:BNP4 BOH3:BOH4 BOZ3:BOZ4 BPR3:BPR4 BQJ3:BQJ4 BRB3:BRB4 BRT3:BRT4 BSL3:BSL4 BTD3:BTD4 BTV3:BTV4 BUN3:BUN4 BVF3:BVF4 BVX3:BVX4 BWP3:BWP4 BXH3:BXH4 BXZ3:BXZ4 BYR3:BYR4 BZJ3:BZJ4 CAB3:CAB4 CAT3:CAT4 CBL3:CBL4 CCD3:CCD4 CCV3:CCV4 CDN3:CDN4 CEF3:CEF4 CEX3:CEX4 CFP3:CFP4 CGH3:CGH4 CGZ3:CGZ4 CHR3:CHR4 CIJ3:CIJ4 CJB3:CJB4 CJT3:CJT4 CKL3:CKL4 CLD3:CLD4 CLV3:CLV4 CMN3:CMN4 CNF3:CNF4 CNX3:CNX4 COP3:COP4 CPH3:CPH4 CPZ3:CPZ4 CQR3:CQR4 CRJ3:CRJ4 CSB3:CSB4 CST3:CST4 CTL3:CTL4 CUD3:CUD4 CUV3:CUV4 CVN3:CVN4 CWF3:CWF4 CWX3:CWX4 CXP3:CXP4 CYH3:CYH4 CYZ3:CYZ4 CZR3:CZR4 DAJ3:DAJ4 DBB3:DBB4 DBT3:DBT4 DCL3:DCL4 DDD3:DDD4 DDV3:DDV4 DEN3:DEN4 DFF3:DFF4 DFX3:DFX4 DGP3:DGP4 DHH3:DHH4 DHZ3:DHZ4 DIR3:DIR4 DJJ3:DJJ4 DKB3:DKB4 DKT3:DKT4 DLL3:DLL4 DMD3:DMD4 DMV3:DMV4 DNN3:DNN4 DOF3:DOF4 DOX3:DOX4 DPP3:DPP4 DQH3:DQH4 DQZ3:DQZ4 DRR3:DRR4 DSJ3:DSJ4 DTB3:DTB4 DTT3:DTT4 DUL3:DUL4 DVD3:DVD4 DVV3:DVV4 DWN3:DWN4 DXF3:DXF4 DXX3:DXX4 DYP3:DYP4 DZH3:DZH4 DZZ3:DZZ4 EAR3:EAR4 EBJ3:EBJ4 ECB3:ECB4 ECT3:ECT4 EDL3:EDL4 EED3:EED4 EEV3:EEV4 EFN3:EFN4 EGF3:EGF4 EGX3:EGX4 EHP3:EHP4 EIH3:EIH4 EIZ3:EIZ4 EJR3:EJR4 EKJ3:EKJ4 ELB3:ELB4 ELT3:ELT4 EML3:EML4 END3:END4 ENV3:ENV4 EON3:EON4 EPF3:EPF4 EPX3:EPX4 EQP3:EQP4 ERH3:ERH4 ERZ3:ERZ4 ESR3:ESR4 ETJ3:ETJ4 EUB3:EUB4 EUT3:EUT4 EVL3:EVL4 EWD3:EWD4 EWV3:EWV4 EXN3:EXN4 EYF3:EYF4 EYX3:EYX4 EZP3:EZP4 FAH3:FAH4 FAZ3:FAZ4 FBR3:FBR4 FCJ3:FCJ4 FDB3:FDB4 FDT3:FDT4 FEL3:FEL4 FFD3:FFD4 FFV3:FFV4 FGN3:FGN4 FHF3:FHF4 FHX3:FHX4 FIP3:FIP4 FJH3:FJH4 FJZ3:FJZ4 FKR3:FKR4 FLJ3:FLJ4 FMB3:FMB4 FMT3:FMT4 FNL3:FNL4 FOD3:FOD4 FOV3:FOV4 FPN3:FPN4 FQF3:FQF4 FQX3:FQX4 FRP3:FRP4 FSH3:FSH4 FSZ3:FSZ4 FTR3:FTR4 FUJ3:FUJ4 FVB3:FVB4 FVT3:FVT4 FWL3:FWL4 FXD3:FXD4 FXV3:FXV4 FYN3:FYN4 FZF3:FZF4 FZX3:FZX4 GAP3:GAP4 GBH3:GBH4 GBZ3:GBZ4 GCR3:GCR4 GDJ3:GDJ4 GEB3:GEB4 GET3:GET4 GFL3:GFL4 GGD3:GGD4 GGV3:GGV4 GHN3:GHN4 GIF3:GIF4 GIX3:GIX4 GJP3:GJP4 GKH3:GKH4 GKZ3:GKZ4 GLR3:GLR4 GMJ3:GMJ4 GNB3:GNB4 GNT3:GNT4 GOL3:GOL4 GPD3:GPD4 GPV3:GPV4 GQN3:GQN4 GRF3:GRF4 GRX3:GRX4 GSP3:GSP4 GTH3:GTH4 GTZ3:GTZ4 GUR3:GUR4 GVJ3:GVJ4 GWB3:GWB4 GWT3:GWT4 GXL3:GXL4 GYD3:GYD4 GYV3:GYV4 GZN3:GZN4 HAF3:HAF4 HAX3:HAX4 HBP3:HBP4 HCH3:HCH4 HCZ3:HCZ4 HDR3:HDR4 HEJ3:HEJ4 HFB3:HFB4 HFT3:HFT4 HGL3:HGL4 HHD3:HHD4 HHV3:HHV4 HIN3:HIN4 HJF3:HJF4 HJX3:HJX4 HKP3:HKP4 HLH3:HLH4 HLZ3:HLZ4 HMR3:HMR4 HNJ3:HNJ4 HOB3:HOB4 HOT3:HOT4 HPL3:HPL4 HQD3:HQD4 HQV3:HQV4 HRN3:HRN4 HSF3:HSF4 HSX3:HSX4 HTP3:HTP4 HUH3:HUH4 HUZ3:HUZ4 HVR3:HVR4 HWJ3:HWJ4 HXB3:HXB4 HXT3:HXT4 HYL3:HYL4 HZD3:HZD4 HZV3:HZV4 IAN3:IAN4 IBF3:IBF4 IBX3:IBX4 ICP3:ICP4 IDH3:IDH4 IDZ3:IDZ4 IER3:IER4 IFJ3:IFJ4 IGB3:IGB4 IGT3:IGT4 IHL3:IHL4 IID3:IID4 IIV3:IIV4 IJN3:IJN4 IKF3:IKF4 IKX3:IKX4 ILP3:ILP4 IMH3:IMH4 IMZ3:IMZ4 INR3:INR4 IOJ3:IOJ4 IPB3:IPB4 IPT3:IPT4 IQL3:IQL4 IRD3:IRD4 IRV3:IRV4 ISN3:ISN4 ITF3:ITF4 ITX3:ITX4 IUP3:IUP4 IVH3:IVH4 IVZ3:IVZ4 IWR3:IWR4 IXJ3:IXJ4 IYB3:IYB4 IYT3:IYT4 IZL3:IZL4 JAD3:JAD4 JAV3:JAV4 JBN3:JBN4 JCF3:JCF4 JCX3:JCX4 JDP3:JDP4 JEH3:JEH4 JEZ3:JEZ4 JFR3:JFR4 JGJ3:JGJ4 JHB3:JHB4 JHT3:JHT4 JIL3:JIL4 JJD3:JJD4 JJV3:JJV4 JKN3:JKN4 JLF3:JLF4 JLX3:JLX4 JMP3:JMP4 JNH3:JNH4 JNZ3:JNZ4 JOR3:JOR4 JPJ3:JPJ4 JQB3:JQB4 JQT3:JQT4 JRL3:JRL4 JSD3:JSD4 JSV3:JSV4 JTN3:JTN4 JUF3:JUF4 JUX3:JUX4 JVP3:JVP4 JWH3:JWH4 JWZ3:JWZ4 JXR3:JXR4 JYJ3:JYJ4 JZB3:JZB4 JZT3:JZT4 KAL3:KAL4 KBD3:KBD4 KBV3:KBV4 KCN3:KCN4 KDF3:KDF4 KDX3:KDX4 KEP3:KEP4 KFH3:KFH4 KFZ3:KFZ4 KGR3:KGR4 KHJ3:KHJ4 KIB3:KIB4 KIT3:KIT4 KJL3:KJL4 KKD3:KKD4 KKV3:KKV4 KLN3:KLN4 KMF3:KMF4 KMX3:KMX4 KNP3:KNP4 KOH3:KOH4 KOZ3:KOZ4 KPR3:KPR4 KQJ3:KQJ4 KRB3:KRB4 KRT3:KRT4 KSL3:KSL4 KTD3:KTD4 KTV3:KTV4 KUN3:KUN4 KVF3:KVF4 KVX3:KVX4 KWP3:KWP4 KXH3:KXH4 KXZ3:KXZ4 KYR3:KYR4 KZJ3:KZJ4 LAB3:LAB4 LAT3:LAT4 LBL3:LBL4 LCD3:LCD4 LCV3:LCV4 LDN3:LDN4 LEF3:LEF4 LEX3:LEX4 LFP3:LFP4 LGH3:LGH4 LGZ3:LGZ4 LHR3:LHR4 LIJ3:LIJ4 LJB3:LJB4 LJT3:LJT4 LKL3:LKL4 LLD3:LLD4 LLV3:LLV4 LMN3:LMN4 LNF3:LNF4 LNX3:LNX4 LOP3:LOP4 LPH3:LPH4 LPZ3:LPZ4 LQR3:LQR4 LRJ3:LRJ4 LSB3:LSB4 LST3:LST4 LTL3:LTL4 LUD3:LUD4 LUV3:LUV4 LVN3:LVN4 LWF3:LWF4 LWX3:LWX4 LXP3:LXP4 LYH3:LYH4 LYZ3:LYZ4 LZR3:LZR4 MAJ3:MAJ4 MBB3:MBB4 MBT3:MBT4 MCL3:MCL4 MDD3:MDD4 MDV3:MDV4 MEN3:MEN4 MFF3:MFF4 MFX3:MFX4 MGP3:MGP4 MHH3:MHH4 MHZ3:MHZ4 MIR3:MIR4 MJJ3:MJJ4 MKB3:MKB4 MKT3:MKT4 MLL3:MLL4 MMD3:MMD4 MMV3:MMV4 MNN3:MNN4 MOF3:MOF4 MOX3:MOX4 MPP3:MPP4 MQH3:MQH4 MQZ3:MQZ4 MRR3:MRR4 MSJ3:MSJ4 MTB3:MTB4 MTT3:MTT4 MUL3:MUL4 MVD3:MVD4 MVV3:MVV4 MWN3:MWN4 MXF3:MXF4 MXX3:MXX4 MYP3:MYP4 MZH3:MZH4 MZZ3:MZZ4 NAR3:NAR4 NBJ3:NBJ4 NCB3:NCB4 NCT3:NCT4 NDL3:NDL4 NED3:NED4 NEV3:NEV4 NFN3:NFN4 NGF3:NGF4 NGX3:NGX4 NHP3:NHP4 NIH3:NIH4 NIZ3:NIZ4 NJR3:NJR4 NKJ3:NKJ4 NLB3:NLB4 NLT3:NLT4 NML3:NML4 NND3:NND4 NNV3:NNV4 NON3:NON4 NPF3:NPF4 NPX3:NPX4 NQP3:NQP4 NRH3:NRH4 NRZ3:NRZ4 NSR3:NSR4 NTJ3:NTJ4 NUB3:NUB4 NUT3:NUT4 NVL3:NVL4 NWD3:NWD4 NWV3:NWV4 NXN3:NXN4 NYF3:NYF4 NYX3:NYX4 NZP3:NZP4 OAH3:OAH4 OAZ3:OAZ4 OBR3:OBR4 OCJ3:OCJ4 ODB3:ODB4 ODT3:ODT4 OEL3:OEL4 OFD3:OFD4 OFV3:OFV4 OGN3:OGN4 OHF3:OHF4 OHX3:OHX4 OIP3:OIP4 OJH3:OJH4 OJZ3:OJZ4 OKR3:OKR4 OLJ3:OLJ4 OMB3:OMB4 OMT3:OMT4 ONL3:ONL4 OOD3:OOD4 OOV3:OOV4 OPN3:OPN4 OQF3:OQF4 OQX3:OQX4 ORP3:ORP4 OSH3:OSH4 OSZ3:OSZ4 OTR3:OTR4 OUJ3:OUJ4 OVB3:OVB4 OVT3:OVT4 OWL3:OWL4 OXD3:OXD4 OXV3:OXV4 OYN3:OYN4 OZF3:OZF4 OZX3:OZX4 PAP3:PAP4 PBH3:PBH4 PBZ3:PBZ4 PCR3:PCR4 PDJ3:PDJ4 PEB3:PEB4 PET3:PET4 PFL3:PFL4 PGD3:PGD4 PGV3:PGV4 PHN3:PHN4 PIF3:PIF4 PIX3:PIX4 PJP3:PJP4 PKH3:PKH4 PKZ3:PKZ4 PLR3:PLR4 PMJ3:PMJ4 PNB3:PNB4 PNT3:PNT4 POL3:POL4 PPD3:PPD4 PPV3:PPV4 PQN3:PQN4 PRF3:PRF4 PRX3:PRX4 PSP3:PSP4 PTH3:PTH4 PTZ3:PTZ4 PUR3:PUR4 PVJ3:PVJ4 PWB3:PWB4 PWT3:PWT4 PXL3:PXL4 PYD3:PYD4 PYV3:PYV4 PZN3:PZN4 QAF3:QAF4 QAX3:QAX4 QBP3:QBP4 QCH3:QCH4 QCZ3:QCZ4 QDR3:QDR4 QEJ3:QEJ4 QFB3:QFB4 QFT3:QFT4 QGL3:QGL4 QHD3:QHD4 QHV3:QHV4 QIN3:QIN4 QJF3:QJF4 QJX3:QJX4 QKP3:QKP4 QLH3:QLH4 QLZ3:QLZ4 QMR3:QMR4 QNJ3:QNJ4 QOB3:QOB4 QOT3:QOT4 QPL3:QPL4 QQD3:QQD4 QQV3:QQV4 QRN3:QRN4 QSF3:QSF4 QSX3:QSX4 QTP3:QTP4 QUH3:QUH4 QUZ3:QUZ4 QVR3:QVR4 QWJ3:QWJ4 QXB3:QXB4 QXT3:QXT4 QYL3:QYL4 QZD3:QZD4 QZV3:QZV4 RAN3:RAN4 RBF3:RBF4 RBX3:RBX4 RCP3:RCP4 RDH3:RDH4 RDZ3:RDZ4 RER3:RER4 RFJ3:RFJ4 RGB3:RGB4 RGT3:RGT4 RHL3:RHL4 RID3:RID4 RIV3:RIV4 RJN3:RJN4 RKF3:RKF4 RKX3:RKX4 RLP3:RLP4 RMH3:RMH4 RMZ3:RMZ4 RNR3:RNR4 ROJ3:ROJ4 RPB3:RPB4 RPT3:RPT4 RQL3:RQL4 RRD3:RRD4 RRV3:RRV4 RSN3:RSN4 RTF3:RTF4 RTX3:RTX4 RUP3:RUP4 RVH3:RVH4 RVZ3:RVZ4 RWR3:RWR4 RXJ3:RXJ4 RYB3:RYB4 RYT3:RYT4 RZL3:RZL4 SAD3:SAD4 SAV3:SAV4 SBN3:SBN4 SCF3:SCF4 SCX3:SCX4 SDP3:SDP4 SEH3:SEH4 SEZ3:SEZ4 SFR3:SFR4 SGJ3:SGJ4 SHB3:SHB4 SHT3:SHT4 SIL3:SIL4 SJD3:SJD4 SJV3:SJV4 SKN3:SKN4 SLF3:SLF4 SLX3:SLX4 SMP3:SMP4 SNH3:SNH4 SNZ3:SNZ4 SOR3:SOR4 SPJ3:SPJ4 SQB3:SQB4 SQT3:SQT4 SRL3:SRL4 SSD3:SSD4 SSV3:SSV4 STN3:STN4 SUF3:SUF4 SUX3:SUX4 SVP3:SVP4 SWH3:SWH4 SWZ3:SWZ4 SXR3:SXR4 SYJ3:SYJ4 SZB3:SZB4 SZT3:SZT4 TAL3:TAL4 TBD3:TBD4 TBV3:TBV4 TCN3:TCN4 TDF3:TDF4 TDX3:TDX4 TEP3:TEP4 TFH3:TFH4 TFZ3:TFZ4 TGR3:TGR4 THJ3:THJ4 TIB3:TIB4 TIT3:TIT4 TJL3:TJL4 TKD3:TKD4 TKV3:TKV4 TLN3:TLN4 TMF3:TMF4 TMX3:TMX4 TNP3:TNP4 TOH3:TOH4 TOZ3:TOZ4 TPR3:TPR4 TQJ3:TQJ4 TRB3:TRB4 TRT3:TRT4 TSL3:TSL4 TTD3:TTD4 TTV3:TTV4 TUN3:TUN4 TVF3:TVF4 TVX3:TVX4 TWP3:TWP4 TXH3:TXH4 TXZ3:TXZ4 TYR3:TYR4 TZJ3:TZJ4 UAB3:UAB4 UAT3:UAT4 UBL3:UBL4 UCD3:UCD4 UCV3:UCV4 UDN3:UDN4 UEF3:UEF4 UEX3:UEX4 UFP3:UFP4 UGH3:UGH4 UGZ3:UGZ4 UHR3:UHR4 UIJ3:UIJ4 UJB3:UJB4 UJT3:UJT4 UKL3:UKL4 ULD3:ULD4 ULV3:ULV4 UMN3:UMN4 UNF3:UNF4 UNX3:UNX4 UOP3:UOP4 UPH3:UPH4 UPZ3:UPZ4 UQR3:UQR4 URJ3:URJ4 USB3:USB4 UST3:UST4 UTL3:UTL4 UUD3:UUD4 UUV3:UUV4 UVN3:UVN4 UWF3:UWF4 UWX3:UWX4 UXP3:UXP4 UYH3:UYH4 UYZ3:UYZ4 UZR3:UZR4 VAJ3:VAJ4 VBB3:VBB4 VBT3:VBT4 VCL3:VCL4 VDD3:VDD4 VDV3:VDV4 VEN3:VEN4 VFF3:VFF4 VFX3:VFX4 VGP3:VGP4 VHH3:VHH4 VHZ3:VHZ4 VIR3:VIR4 VJJ3:VJJ4 VKB3:VKB4 VKT3:VKT4 VLL3:VLL4 VMD3:VMD4 VMV3:VMV4 VNN3:VNN4 VOF3:VOF4 VOX3:VOX4 VPP3:VPP4 VQH3:VQH4 VQZ3:VQZ4 VRR3:VRR4 VSJ3:VSJ4 VTB3:VTB4 VTT3:VTT4 VUL3:VUL4 VVD3:VVD4 VVV3:VVV4 VWN3:VWN4 VXF3:VXF4 VXX3:VXX4 VYP3:VYP4 VZH3:VZH4 VZZ3:VZZ4 WAR3:WAR4 WBJ3:WBJ4 WCB3:WCB4 WCT3:WCT4 WDL3:WDL4 WED3:WED4 WEV3:WEV4 WFN3:WFN4 WGF3:WGF4 WGX3:WGX4 WHP3:WHP4 WIH3:WIH4 WIZ3:WIZ4 WJR3:WJR4 WKJ3:WKJ4 WLB3:WLB4 WLT3:WLT4 WML3:WML4 WND3:WND4 WNV3:WNV4 WON3:WON4 WPF3:WPF4 WPX3:WPX4 WQP3:WQP4 WRH3:WRH4 WRZ3:WRZ4 WSR3:WSR4 WTJ3:WTJ4 WUB3:WUB4 WUT3:WUT4 WVL3:WVL4 WWD3:WWD4 WWV3:WWV4 WXN3:WXN4 WYF3:WYF4 WYX3:WYX4 WZP3:WZP4 XAH3:XAH4 XAZ3:XAZ4 XBR3:XBR4 XCJ3:XCJ4 XDB3:XDB4 XDT3:XDT4 XEL3:XEL4 XFD3:XFD4 V56:V58 AN56:AN58 BF56:BF58 BX56:BX58 CP56:CP58 DH56:DH58 DZ56:DZ58 ER56:ER58 FJ56:FJ58 GB56:GB58 GT56:GT58 HL56:HL58 ID56:ID58 IV56:IV58 JN56:JN58 KF56:KF58 KX56:KX58 LP56:LP58 MH56:MH58 MZ56:MZ58 NR56:NR58 OJ56:OJ58 PB56:PB58 PT56:PT58 QL56:QL58 RD56:RD58 RV56:RV58 SN56:SN58 TF56:TF58 TX56:TX58 UP56:UP58 VH56:VH58 VZ56:VZ58 WR56:WR58 XJ56:XJ58 YB56:YB58 YT56:YT58 ZL56:ZL58 AAD56:AAD58 AAV56:AAV58 ABN56:ABN58 ACF56:ACF58 ACX56:ACX58 ADP56:ADP58 AEH56:AEH58 AEZ56:AEZ58 AFR56:AFR58 AGJ56:AGJ58 AHB56:AHB58 AHT56:AHT58 AIL56:AIL58 AJD56:AJD58 AJV56:AJV58 AKN56:AKN58 ALF56:ALF58 ALX56:ALX58 AMP56:AMP58 ANH56:ANH58 ANZ56:ANZ58 AOR56:AOR58 APJ56:APJ58 AQB56:AQB58 AQT56:AQT58 ARL56:ARL58 ASD56:ASD58 ASV56:ASV58 ATN56:ATN58 AUF56:AUF58 AUX56:AUX58 AVP56:AVP58 AWH56:AWH58 AWZ56:AWZ58 AXR56:AXR58 AYJ56:AYJ58 AZB56:AZB58 AZT56:AZT58 BAL56:BAL58 BBD56:BBD58 BBV56:BBV58 BCN56:BCN58 BDF56:BDF58 BDX56:BDX58 BEP56:BEP58 BFH56:BFH58 BFZ56:BFZ58 BGR56:BGR58 BHJ56:BHJ58 BIB56:BIB58 BIT56:BIT58 BJL56:BJL58 BKD56:BKD58 BKV56:BKV58 BLN56:BLN58 BMF56:BMF58 BMX56:BMX58 BNP56:BNP58 BOH56:BOH58 BOZ56:BOZ58 BPR56:BPR58 BQJ56:BQJ58 BRB56:BRB58 BRT56:BRT58 BSL56:BSL58 BTD56:BTD58 BTV56:BTV58 BUN56:BUN58 BVF56:BVF58 BVX56:BVX58 BWP56:BWP58 BXH56:BXH58 BXZ56:BXZ58 BYR56:BYR58 BZJ56:BZJ58 CAB56:CAB58 CAT56:CAT58 CBL56:CBL58 CCD56:CCD58 CCV56:CCV58 CDN56:CDN58 CEF56:CEF58 CEX56:CEX58 CFP56:CFP58 CGH56:CGH58 CGZ56:CGZ58 CHR56:CHR58 CIJ56:CIJ58 CJB56:CJB58 CJT56:CJT58 CKL56:CKL58 CLD56:CLD58 CLV56:CLV58 CMN56:CMN58 CNF56:CNF58 CNX56:CNX58 COP56:COP58 CPH56:CPH58 CPZ56:CPZ58 CQR56:CQR58 CRJ56:CRJ58 CSB56:CSB58 CST56:CST58 CTL56:CTL58 CUD56:CUD58 CUV56:CUV58 CVN56:CVN58 CWF56:CWF58 CWX56:CWX58 CXP56:CXP58 CYH56:CYH58 CYZ56:CYZ58 CZR56:CZR58 DAJ56:DAJ58 DBB56:DBB58 DBT56:DBT58 DCL56:DCL58 DDD56:DDD58 DDV56:DDV58 DEN56:DEN58 DFF56:DFF58 DFX56:DFX58 DGP56:DGP58 DHH56:DHH58 DHZ56:DHZ58 DIR56:DIR58 DJJ56:DJJ58 DKB56:DKB58 DKT56:DKT58 DLL56:DLL58 DMD56:DMD58 DMV56:DMV58 DNN56:DNN58 DOF56:DOF58 DOX56:DOX58 DPP56:DPP58 DQH56:DQH58 DQZ56:DQZ58 DRR56:DRR58 DSJ56:DSJ58 DTB56:DTB58 DTT56:DTT58 DUL56:DUL58 DVD56:DVD58 DVV56:DVV58 DWN56:DWN58 DXF56:DXF58 DXX56:DXX58 DYP56:DYP58 DZH56:DZH58 DZZ56:DZZ58 EAR56:EAR58 EBJ56:EBJ58 ECB56:ECB58 ECT56:ECT58 EDL56:EDL58 EED56:EED58 EEV56:EEV58 EFN56:EFN58 EGF56:EGF58 EGX56:EGX58 EHP56:EHP58 EIH56:EIH58 EIZ56:EIZ58 EJR56:EJR58 EKJ56:EKJ58 ELB56:ELB58 ELT56:ELT58 EML56:EML58 END56:END58 ENV56:ENV58 EON56:EON58 EPF56:EPF58 EPX56:EPX58 EQP56:EQP58 ERH56:ERH58 ERZ56:ERZ58 ESR56:ESR58 ETJ56:ETJ58 EUB56:EUB58 EUT56:EUT58 EVL56:EVL58 EWD56:EWD58 EWV56:EWV58 EXN56:EXN58 EYF56:EYF58 EYX56:EYX58 EZP56:EZP58 FAH56:FAH58 FAZ56:FAZ58 FBR56:FBR58 FCJ56:FCJ58 FDB56:FDB58 FDT56:FDT58 FEL56:FEL58 FFD56:FFD58 FFV56:FFV58 FGN56:FGN58 FHF56:FHF58 FHX56:FHX58 FIP56:FIP58 FJH56:FJH58 FJZ56:FJZ58 FKR56:FKR58 FLJ56:FLJ58 FMB56:FMB58 FMT56:FMT58 FNL56:FNL58 FOD56:FOD58 FOV56:FOV58 FPN56:FPN58 FQF56:FQF58 FQX56:FQX58 FRP56:FRP58 FSH56:FSH58 FSZ56:FSZ58 FTR56:FTR58 FUJ56:FUJ58 FVB56:FVB58 FVT56:FVT58 FWL56:FWL58 FXD56:FXD58 FXV56:FXV58 FYN56:FYN58 FZF56:FZF58 FZX56:FZX58 GAP56:GAP58 GBH56:GBH58 GBZ56:GBZ58 GCR56:GCR58 GDJ56:GDJ58 GEB56:GEB58 GET56:GET58 GFL56:GFL58 GGD56:GGD58 GGV56:GGV58 GHN56:GHN58 GIF56:GIF58 GIX56:GIX58 GJP56:GJP58 GKH56:GKH58 GKZ56:GKZ58 GLR56:GLR58 GMJ56:GMJ58 GNB56:GNB58 GNT56:GNT58 GOL56:GOL58 GPD56:GPD58 GPV56:GPV58 GQN56:GQN58 GRF56:GRF58 GRX56:GRX58 GSP56:GSP58 GTH56:GTH58 GTZ56:GTZ58 GUR56:GUR58 GVJ56:GVJ58 GWB56:GWB58 GWT56:GWT58 GXL56:GXL58 GYD56:GYD58 GYV56:GYV58 GZN56:GZN58 HAF56:HAF58 HAX56:HAX58 HBP56:HBP58 HCH56:HCH58 HCZ56:HCZ58 HDR56:HDR58 HEJ56:HEJ58 HFB56:HFB58 HFT56:HFT58 HGL56:HGL58 HHD56:HHD58 HHV56:HHV58 HIN56:HIN58 HJF56:HJF58 HJX56:HJX58 HKP56:HKP58 HLH56:HLH58 HLZ56:HLZ58 HMR56:HMR58 HNJ56:HNJ58 HOB56:HOB58 HOT56:HOT58 HPL56:HPL58 HQD56:HQD58 HQV56:HQV58 HRN56:HRN58 HSF56:HSF58 HSX56:HSX58 HTP56:HTP58 HUH56:HUH58 HUZ56:HUZ58 HVR56:HVR58 HWJ56:HWJ58 HXB56:HXB58 HXT56:HXT58 HYL56:HYL58 HZD56:HZD58 HZV56:HZV58 IAN56:IAN58 IBF56:IBF58 IBX56:IBX58 ICP56:ICP58 IDH56:IDH58 IDZ56:IDZ58 IER56:IER58 IFJ56:IFJ58 IGB56:IGB58 IGT56:IGT58 IHL56:IHL58 IID56:IID58 IIV56:IIV58 IJN56:IJN58 IKF56:IKF58 IKX56:IKX58 ILP56:ILP58 IMH56:IMH58 IMZ56:IMZ58 INR56:INR58 IOJ56:IOJ58 IPB56:IPB58 IPT56:IPT58 IQL56:IQL58 IRD56:IRD58 IRV56:IRV58 ISN56:ISN58 ITF56:ITF58 ITX56:ITX58 IUP56:IUP58 IVH56:IVH58 IVZ56:IVZ58 IWR56:IWR58 IXJ56:IXJ58 IYB56:IYB58 IYT56:IYT58 IZL56:IZL58 JAD56:JAD58 JAV56:JAV58 JBN56:JBN58 JCF56:JCF58 JCX56:JCX58 JDP56:JDP58 JEH56:JEH58 JEZ56:JEZ58 JFR56:JFR58 JGJ56:JGJ58 JHB56:JHB58 JHT56:JHT58 JIL56:JIL58 JJD56:JJD58 JJV56:JJV58 JKN56:JKN58 JLF56:JLF58 JLX56:JLX58 JMP56:JMP58 JNH56:JNH58 JNZ56:JNZ58 JOR56:JOR58 JPJ56:JPJ58 JQB56:JQB58 JQT56:JQT58 JRL56:JRL58 JSD56:JSD58 JSV56:JSV58 JTN56:JTN58 JUF56:JUF58 JUX56:JUX58 JVP56:JVP58 JWH56:JWH58 JWZ56:JWZ58 JXR56:JXR58 JYJ56:JYJ58 JZB56:JZB58 JZT56:JZT58 KAL56:KAL58 KBD56:KBD58 KBV56:KBV58 KCN56:KCN58 KDF56:KDF58 KDX56:KDX58 KEP56:KEP58 KFH56:KFH58 KFZ56:KFZ58 KGR56:KGR58 KHJ56:KHJ58 KIB56:KIB58 KIT56:KIT58 KJL56:KJL58 KKD56:KKD58 KKV56:KKV58 KLN56:KLN58 KMF56:KMF58 KMX56:KMX58 KNP56:KNP58 KOH56:KOH58 KOZ56:KOZ58 KPR56:KPR58 KQJ56:KQJ58 KRB56:KRB58 KRT56:KRT58 KSL56:KSL58 KTD56:KTD58 KTV56:KTV58 KUN56:KUN58 KVF56:KVF58 KVX56:KVX58 KWP56:KWP58 KXH56:KXH58 KXZ56:KXZ58 KYR56:KYR58 KZJ56:KZJ58 LAB56:LAB58 LAT56:LAT58 LBL56:LBL58 LCD56:LCD58 LCV56:LCV58 LDN56:LDN58 LEF56:LEF58 LEX56:LEX58 LFP56:LFP58 LGH56:LGH58 LGZ56:LGZ58 LHR56:LHR58 LIJ56:LIJ58 LJB56:LJB58 LJT56:LJT58 LKL56:LKL58 LLD56:LLD58 LLV56:LLV58 LMN56:LMN58 LNF56:LNF58 LNX56:LNX58 LOP56:LOP58 LPH56:LPH58 LPZ56:LPZ58 LQR56:LQR58 LRJ56:LRJ58 LSB56:LSB58 LST56:LST58 LTL56:LTL58 LUD56:LUD58 LUV56:LUV58 LVN56:LVN58 LWF56:LWF58 LWX56:LWX58 LXP56:LXP58 LYH56:LYH58 LYZ56:LYZ58 LZR56:LZR58 MAJ56:MAJ58 MBB56:MBB58 MBT56:MBT58 MCL56:MCL58 MDD56:MDD58 MDV56:MDV58 MEN56:MEN58 MFF56:MFF58 MFX56:MFX58 MGP56:MGP58 MHH56:MHH58 MHZ56:MHZ58 MIR56:MIR58 MJJ56:MJJ58 MKB56:MKB58 MKT56:MKT58 MLL56:MLL58 MMD56:MMD58 MMV56:MMV58 MNN56:MNN58 MOF56:MOF58 MOX56:MOX58 MPP56:MPP58 MQH56:MQH58 MQZ56:MQZ58 MRR56:MRR58 MSJ56:MSJ58 MTB56:MTB58 MTT56:MTT58 MUL56:MUL58 MVD56:MVD58 MVV56:MVV58 MWN56:MWN58 MXF56:MXF58 MXX56:MXX58 MYP56:MYP58 MZH56:MZH58 MZZ56:MZZ58 NAR56:NAR58 NBJ56:NBJ58 NCB56:NCB58 NCT56:NCT58 NDL56:NDL58 NED56:NED58 NEV56:NEV58 NFN56:NFN58 NGF56:NGF58 NGX56:NGX58 NHP56:NHP58 NIH56:NIH58 NIZ56:NIZ58 NJR56:NJR58 NKJ56:NKJ58 NLB56:NLB58 NLT56:NLT58 NML56:NML58 NND56:NND58 NNV56:NNV58 NON56:NON58 NPF56:NPF58 NPX56:NPX58 NQP56:NQP58 NRH56:NRH58 NRZ56:NRZ58 NSR56:NSR58 NTJ56:NTJ58 NUB56:NUB58 NUT56:NUT58 NVL56:NVL58 NWD56:NWD58 NWV56:NWV58 NXN56:NXN58 NYF56:NYF58 NYX56:NYX58 NZP56:NZP58 OAH56:OAH58 OAZ56:OAZ58 OBR56:OBR58 OCJ56:OCJ58 ODB56:ODB58 ODT56:ODT58 OEL56:OEL58 OFD56:OFD58 OFV56:OFV58 OGN56:OGN58 OHF56:OHF58 OHX56:OHX58 OIP56:OIP58 OJH56:OJH58 OJZ56:OJZ58 OKR56:OKR58 OLJ56:OLJ58 OMB56:OMB58 OMT56:OMT58 ONL56:ONL58 OOD56:OOD58 OOV56:OOV58 OPN56:OPN58 OQF56:OQF58 OQX56:OQX58 ORP56:ORP58 OSH56:OSH58 OSZ56:OSZ58 OTR56:OTR58 OUJ56:OUJ58 OVB56:OVB58 OVT56:OVT58 OWL56:OWL58 OXD56:OXD58 OXV56:OXV58 OYN56:OYN58 OZF56:OZF58 OZX56:OZX58 PAP56:PAP58 PBH56:PBH58 PBZ56:PBZ58 PCR56:PCR58 PDJ56:PDJ58 PEB56:PEB58 PET56:PET58 PFL56:PFL58 PGD56:PGD58 PGV56:PGV58 PHN56:PHN58 PIF56:PIF58 PIX56:PIX58 PJP56:PJP58 PKH56:PKH58 PKZ56:PKZ58 PLR56:PLR58 PMJ56:PMJ58 PNB56:PNB58 PNT56:PNT58 POL56:POL58 PPD56:PPD58 PPV56:PPV58 PQN56:PQN58 PRF56:PRF58 PRX56:PRX58 PSP56:PSP58 PTH56:PTH58 PTZ56:PTZ58 PUR56:PUR58 PVJ56:PVJ58 PWB56:PWB58 PWT56:PWT58 PXL56:PXL58 PYD56:PYD58 PYV56:PYV58 PZN56:PZN58 QAF56:QAF58 QAX56:QAX58 QBP56:QBP58 QCH56:QCH58 QCZ56:QCZ58 QDR56:QDR58 QEJ56:QEJ58 QFB56:QFB58 QFT56:QFT58 QGL56:QGL58 QHD56:QHD58 QHV56:QHV58 QIN56:QIN58 QJF56:QJF58 QJX56:QJX58 QKP56:QKP58 QLH56:QLH58 QLZ56:QLZ58 QMR56:QMR58 QNJ56:QNJ58 QOB56:QOB58 QOT56:QOT58 QPL56:QPL58 QQD56:QQD58 QQV56:QQV58 QRN56:QRN58 QSF56:QSF58 QSX56:QSX58 QTP56:QTP58 QUH56:QUH58 QUZ56:QUZ58 QVR56:QVR58 QWJ56:QWJ58 QXB56:QXB58 QXT56:QXT58 QYL56:QYL58 QZD56:QZD58 QZV56:QZV58 RAN56:RAN58 RBF56:RBF58 RBX56:RBX58 RCP56:RCP58 RDH56:RDH58 RDZ56:RDZ58 RER56:RER58 RFJ56:RFJ58 RGB56:RGB58 RGT56:RGT58 RHL56:RHL58 RID56:RID58 RIV56:RIV58 RJN56:RJN58 RKF56:RKF58 RKX56:RKX58 RLP56:RLP58 RMH56:RMH58 RMZ56:RMZ58 RNR56:RNR58 ROJ56:ROJ58 RPB56:RPB58 RPT56:RPT58 RQL56:RQL58 RRD56:RRD58 RRV56:RRV58 RSN56:RSN58 RTF56:RTF58 RTX56:RTX58 RUP56:RUP58 RVH56:RVH58 RVZ56:RVZ58 RWR56:RWR58 RXJ56:RXJ58 RYB56:RYB58 RYT56:RYT58 RZL56:RZL58 SAD56:SAD58 SAV56:SAV58 SBN56:SBN58 SCF56:SCF58 SCX56:SCX58 SDP56:SDP58 SEH56:SEH58 SEZ56:SEZ58 SFR56:SFR58 SGJ56:SGJ58 SHB56:SHB58 SHT56:SHT58 SIL56:SIL58 SJD56:SJD58 SJV56:SJV58 SKN56:SKN58 SLF56:SLF58 SLX56:SLX58 SMP56:SMP58 SNH56:SNH58 SNZ56:SNZ58 SOR56:SOR58 SPJ56:SPJ58 SQB56:SQB58 SQT56:SQT58 SRL56:SRL58 SSD56:SSD58 SSV56:SSV58 STN56:STN58 SUF56:SUF58 SUX56:SUX58 SVP56:SVP58 SWH56:SWH58 SWZ56:SWZ58 SXR56:SXR58 SYJ56:SYJ58 SZB56:SZB58 SZT56:SZT58 TAL56:TAL58 TBD56:TBD58 TBV56:TBV58 TCN56:TCN58 TDF56:TDF58 TDX56:TDX58 TEP56:TEP58 TFH56:TFH58 TFZ56:TFZ58 TGR56:TGR58 THJ56:THJ58 TIB56:TIB58 TIT56:TIT58 TJL56:TJL58 TKD56:TKD58 TKV56:TKV58 TLN56:TLN58 TMF56:TMF58 TMX56:TMX58 TNP56:TNP58 TOH56:TOH58 TOZ56:TOZ58 TPR56:TPR58 TQJ56:TQJ58 TRB56:TRB58 TRT56:TRT58 TSL56:TSL58 TTD56:TTD58 TTV56:TTV58 TUN56:TUN58 TVF56:TVF58 TVX56:TVX58 TWP56:TWP58 TXH56:TXH58 TXZ56:TXZ58 TYR56:TYR58 TZJ56:TZJ58 UAB56:UAB58 UAT56:UAT58 UBL56:UBL58 UCD56:UCD58 UCV56:UCV58 UDN56:UDN58 UEF56:UEF58 UEX56:UEX58 UFP56:UFP58 UGH56:UGH58 UGZ56:UGZ58 UHR56:UHR58 UIJ56:UIJ58 UJB56:UJB58 UJT56:UJT58 UKL56:UKL58 ULD56:ULD58 ULV56:ULV58 UMN56:UMN58 UNF56:UNF58 UNX56:UNX58 UOP56:UOP58 UPH56:UPH58 UPZ56:UPZ58 UQR56:UQR58 URJ56:URJ58 USB56:USB58 UST56:UST58 UTL56:UTL58 UUD56:UUD58 UUV56:UUV58 UVN56:UVN58 UWF56:UWF58 UWX56:UWX58 UXP56:UXP58 UYH56:UYH58 UYZ56:UYZ58 UZR56:UZR58 VAJ56:VAJ58 VBB56:VBB58 VBT56:VBT58 VCL56:VCL58 VDD56:VDD58 VDV56:VDV58 VEN56:VEN58 VFF56:VFF58 VFX56:VFX58 VGP56:VGP58 VHH56:VHH58 VHZ56:VHZ58 VIR56:VIR58 VJJ56:VJJ58 VKB56:VKB58 VKT56:VKT58 VLL56:VLL58 VMD56:VMD58 VMV56:VMV58 VNN56:VNN58 VOF56:VOF58 VOX56:VOX58 VPP56:VPP58 VQH56:VQH58 VQZ56:VQZ58 VRR56:VRR58 VSJ56:VSJ58 VTB56:VTB58 VTT56:VTT58 VUL56:VUL58 VVD56:VVD58 VVV56:VVV58 VWN56:VWN58 VXF56:VXF58 VXX56:VXX58 VYP56:VYP58 VZH56:VZH58 VZZ56:VZZ58 WAR56:WAR58 WBJ56:WBJ58 WCB56:WCB58 WCT56:WCT58 WDL56:WDL58 WED56:WED58 WEV56:WEV58 WFN56:WFN58 WGF56:WGF58 WGX56:WGX58 WHP56:WHP58 WIH56:WIH58 WIZ56:WIZ58 WJR56:WJR58 WKJ56:WKJ58 WLB56:WLB58 WLT56:WLT58 WML56:WML58 WND56:WND58 WNV56:WNV58 WON56:WON58 WPF56:WPF58 WPX56:WPX58 WQP56:WQP58 WRH56:WRH58 WRZ56:WRZ58 WSR56:WSR58 WTJ56:WTJ58 WUB56:WUB58 WUT56:WUT58 WVL56:WVL58 WWD56:WWD58 WWV56:WWV58 WXN56:WXN58 WYF56:WYF58 WYX56:WYX58 WZP56:WZP58 XAH56:XAH58 XAZ56:XAZ58 XBR56:XBR58 XCJ56:XCJ58 XDB56:XDB58 XDT56:XDT58 XEL56:XEL58 XFD56:XFD58">
    <cfRule type="cellIs" dxfId="48" priority="35" stopIfTrue="1" operator="equal">
      <formula>1</formula>
    </cfRule>
  </conditionalFormatting>
  <conditionalFormatting sqref="V5 AN5 BF5 BX5 CP5 DH5 DZ5 ER5 FJ5 GB5 GT5 HL5 ID5 IV5 JN5 KF5 KX5 LP5 MH5 MZ5 NR5 OJ5 PB5 PT5 QL5 RD5 RV5 SN5 TF5 TX5 UP5 VH5 VZ5 WR5 XJ5 YB5 YT5 ZL5 AAD5 AAV5 ABN5 ACF5 ACX5 ADP5 AEH5 AEZ5 AFR5 AGJ5 AHB5 AHT5 AIL5 AJD5 AJV5 AKN5 ALF5 ALX5 AMP5 ANH5 ANZ5 AOR5 APJ5 AQB5 AQT5 ARL5 ASD5 ASV5 ATN5 AUF5 AUX5 AVP5 AWH5 AWZ5 AXR5 AYJ5 AZB5 AZT5 BAL5 BBD5 BBV5 BCN5 BDF5 BDX5 BEP5 BFH5 BFZ5 BGR5 BHJ5 BIB5 BIT5 BJL5 BKD5 BKV5 BLN5 BMF5 BMX5 BNP5 BOH5 BOZ5 BPR5 BQJ5 BRB5 BRT5 BSL5 BTD5 BTV5 BUN5 BVF5 BVX5 BWP5 BXH5 BXZ5 BYR5 BZJ5 CAB5 CAT5 CBL5 CCD5 CCV5 CDN5 CEF5 CEX5 CFP5 CGH5 CGZ5 CHR5 CIJ5 CJB5 CJT5 CKL5 CLD5 CLV5 CMN5 CNF5 CNX5 COP5 CPH5 CPZ5 CQR5 CRJ5 CSB5 CST5 CTL5 CUD5 CUV5 CVN5 CWF5 CWX5 CXP5 CYH5 CYZ5 CZR5 DAJ5 DBB5 DBT5 DCL5 DDD5 DDV5 DEN5 DFF5 DFX5 DGP5 DHH5 DHZ5 DIR5 DJJ5 DKB5 DKT5 DLL5 DMD5 DMV5 DNN5 DOF5 DOX5 DPP5 DQH5 DQZ5 DRR5 DSJ5 DTB5 DTT5 DUL5 DVD5 DVV5 DWN5 DXF5 DXX5 DYP5 DZH5 DZZ5 EAR5 EBJ5 ECB5 ECT5 EDL5 EED5 EEV5 EFN5 EGF5 EGX5 EHP5 EIH5 EIZ5 EJR5 EKJ5 ELB5 ELT5 EML5 END5 ENV5 EON5 EPF5 EPX5 EQP5 ERH5 ERZ5 ESR5 ETJ5 EUB5 EUT5 EVL5 EWD5 EWV5 EXN5 EYF5 EYX5 EZP5 FAH5 FAZ5 FBR5 FCJ5 FDB5 FDT5 FEL5 FFD5 FFV5 FGN5 FHF5 FHX5 FIP5 FJH5 FJZ5 FKR5 FLJ5 FMB5 FMT5 FNL5 FOD5 FOV5 FPN5 FQF5 FQX5 FRP5 FSH5 FSZ5 FTR5 FUJ5 FVB5 FVT5 FWL5 FXD5 FXV5 FYN5 FZF5 FZX5 GAP5 GBH5 GBZ5 GCR5 GDJ5 GEB5 GET5 GFL5 GGD5 GGV5 GHN5 GIF5 GIX5 GJP5 GKH5 GKZ5 GLR5 GMJ5 GNB5 GNT5 GOL5 GPD5 GPV5 GQN5 GRF5 GRX5 GSP5 GTH5 GTZ5 GUR5 GVJ5 GWB5 GWT5 GXL5 GYD5 GYV5 GZN5 HAF5 HAX5 HBP5 HCH5 HCZ5 HDR5 HEJ5 HFB5 HFT5 HGL5 HHD5 HHV5 HIN5 HJF5 HJX5 HKP5 HLH5 HLZ5 HMR5 HNJ5 HOB5 HOT5 HPL5 HQD5 HQV5 HRN5 HSF5 HSX5 HTP5 HUH5 HUZ5 HVR5 HWJ5 HXB5 HXT5 HYL5 HZD5 HZV5 IAN5 IBF5 IBX5 ICP5 IDH5 IDZ5 IER5 IFJ5 IGB5 IGT5 IHL5 IID5 IIV5 IJN5 IKF5 IKX5 ILP5 IMH5 IMZ5 INR5 IOJ5 IPB5 IPT5 IQL5 IRD5 IRV5 ISN5 ITF5 ITX5 IUP5 IVH5 IVZ5 IWR5 IXJ5 IYB5 IYT5 IZL5 JAD5 JAV5 JBN5 JCF5 JCX5 JDP5 JEH5 JEZ5 JFR5 JGJ5 JHB5 JHT5 JIL5 JJD5 JJV5 JKN5 JLF5 JLX5 JMP5 JNH5 JNZ5 JOR5 JPJ5 JQB5 JQT5 JRL5 JSD5 JSV5 JTN5 JUF5 JUX5 JVP5 JWH5 JWZ5 JXR5 JYJ5 JZB5 JZT5 KAL5 KBD5 KBV5 KCN5 KDF5 KDX5 KEP5 KFH5 KFZ5 KGR5 KHJ5 KIB5 KIT5 KJL5 KKD5 KKV5 KLN5 KMF5 KMX5 KNP5 KOH5 KOZ5 KPR5 KQJ5 KRB5 KRT5 KSL5 KTD5 KTV5 KUN5 KVF5 KVX5 KWP5 KXH5 KXZ5 KYR5 KZJ5 LAB5 LAT5 LBL5 LCD5 LCV5 LDN5 LEF5 LEX5 LFP5 LGH5 LGZ5 LHR5 LIJ5 LJB5 LJT5 LKL5 LLD5 LLV5 LMN5 LNF5 LNX5 LOP5 LPH5 LPZ5 LQR5 LRJ5 LSB5 LST5 LTL5 LUD5 LUV5 LVN5 LWF5 LWX5 LXP5 LYH5 LYZ5 LZR5 MAJ5 MBB5 MBT5 MCL5 MDD5 MDV5 MEN5 MFF5 MFX5 MGP5 MHH5 MHZ5 MIR5 MJJ5 MKB5 MKT5 MLL5 MMD5 MMV5 MNN5 MOF5 MOX5 MPP5 MQH5 MQZ5 MRR5 MSJ5 MTB5 MTT5 MUL5 MVD5 MVV5 MWN5 MXF5 MXX5 MYP5 MZH5 MZZ5 NAR5 NBJ5 NCB5 NCT5 NDL5 NED5 NEV5 NFN5 NGF5 NGX5 NHP5 NIH5 NIZ5 NJR5 NKJ5 NLB5 NLT5 NML5 NND5 NNV5 NON5 NPF5 NPX5 NQP5 NRH5 NRZ5 NSR5 NTJ5 NUB5 NUT5 NVL5 NWD5 NWV5 NXN5 NYF5 NYX5 NZP5 OAH5 OAZ5 OBR5 OCJ5 ODB5 ODT5 OEL5 OFD5 OFV5 OGN5 OHF5 OHX5 OIP5 OJH5 OJZ5 OKR5 OLJ5 OMB5 OMT5 ONL5 OOD5 OOV5 OPN5 OQF5 OQX5 ORP5 OSH5 OSZ5 OTR5 OUJ5 OVB5 OVT5 OWL5 OXD5 OXV5 OYN5 OZF5 OZX5 PAP5 PBH5 PBZ5 PCR5 PDJ5 PEB5 PET5 PFL5 PGD5 PGV5 PHN5 PIF5 PIX5 PJP5 PKH5 PKZ5 PLR5 PMJ5 PNB5 PNT5 POL5 PPD5 PPV5 PQN5 PRF5 PRX5 PSP5 PTH5 PTZ5 PUR5 PVJ5 PWB5 PWT5 PXL5 PYD5 PYV5 PZN5 QAF5 QAX5 QBP5 QCH5 QCZ5 QDR5 QEJ5 QFB5 QFT5 QGL5 QHD5 QHV5 QIN5 QJF5 QJX5 QKP5 QLH5 QLZ5 QMR5 QNJ5 QOB5 QOT5 QPL5 QQD5 QQV5 QRN5 QSF5 QSX5 QTP5 QUH5 QUZ5 QVR5 QWJ5 QXB5 QXT5 QYL5 QZD5 QZV5 RAN5 RBF5 RBX5 RCP5 RDH5 RDZ5 RER5 RFJ5 RGB5 RGT5 RHL5 RID5 RIV5 RJN5 RKF5 RKX5 RLP5 RMH5 RMZ5 RNR5 ROJ5 RPB5 RPT5 RQL5 RRD5 RRV5 RSN5 RTF5 RTX5 RUP5 RVH5 RVZ5 RWR5 RXJ5 RYB5 RYT5 RZL5 SAD5 SAV5 SBN5 SCF5 SCX5 SDP5 SEH5 SEZ5 SFR5 SGJ5 SHB5 SHT5 SIL5 SJD5 SJV5 SKN5 SLF5 SLX5 SMP5 SNH5 SNZ5 SOR5 SPJ5 SQB5 SQT5 SRL5 SSD5 SSV5 STN5 SUF5 SUX5 SVP5 SWH5 SWZ5 SXR5 SYJ5 SZB5 SZT5 TAL5 TBD5 TBV5 TCN5 TDF5 TDX5 TEP5 TFH5 TFZ5 TGR5 THJ5 TIB5 TIT5 TJL5 TKD5 TKV5 TLN5 TMF5 TMX5 TNP5 TOH5 TOZ5 TPR5 TQJ5 TRB5 TRT5 TSL5 TTD5 TTV5 TUN5 TVF5 TVX5 TWP5 TXH5 TXZ5 TYR5 TZJ5 UAB5 UAT5 UBL5 UCD5 UCV5 UDN5 UEF5 UEX5 UFP5 UGH5 UGZ5 UHR5 UIJ5 UJB5 UJT5 UKL5 ULD5 ULV5 UMN5 UNF5 UNX5 UOP5 UPH5 UPZ5 UQR5 URJ5 USB5 UST5 UTL5 UUD5 UUV5 UVN5 UWF5 UWX5 UXP5 UYH5 UYZ5 UZR5 VAJ5 VBB5 VBT5 VCL5 VDD5 VDV5 VEN5 VFF5 VFX5 VGP5 VHH5 VHZ5 VIR5 VJJ5 VKB5 VKT5 VLL5 VMD5 VMV5 VNN5 VOF5 VOX5 VPP5 VQH5 VQZ5 VRR5 VSJ5 VTB5 VTT5 VUL5 VVD5 VVV5 VWN5 VXF5 VXX5 VYP5 VZH5 VZZ5 WAR5 WBJ5 WCB5 WCT5 WDL5 WED5 WEV5 WFN5 WGF5 WGX5 WHP5 WIH5 WIZ5 WJR5 WKJ5 WLB5 WLT5 WML5 WND5 WNV5 WON5 WPF5 WPX5 WQP5 WRH5 WRZ5 WSR5 WTJ5 WUB5 WUT5 WVL5 WWD5 WWV5 WXN5 WYF5 WYX5 WZP5 XAH5 XAZ5 XBR5 XCJ5 XDB5 XDT5 XEL5 XFD5 XFD7 XEL7 XDT7 XDB7 XCJ7 XBR7 XAZ7 XAH7 WZP7 WYX7 WYF7 WXN7 WWV7 WWD7 WVL7 WUT7 WUB7 WTJ7 WSR7 WRZ7 WRH7 WQP7 WPX7 WPF7 WON7 WNV7 WND7 WML7 WLT7 WLB7 WKJ7 WJR7 WIZ7 WIH7 WHP7 WGX7 WGF7 WFN7 WEV7 WED7 WDL7 WCT7 WCB7 WBJ7 WAR7 VZZ7 VZH7 VYP7 VXX7 VXF7 VWN7 VVV7 VVD7 VUL7 VTT7 VTB7 VSJ7 VRR7 VQZ7 VQH7 VPP7 VOX7 VOF7 VNN7 VMV7 VMD7 VLL7 VKT7 VKB7 VJJ7 VIR7 VHZ7 VHH7 VGP7 VFX7 VFF7 VEN7 VDV7 VDD7 VCL7 VBT7 VBB7 VAJ7 UZR7 UYZ7 UYH7 UXP7 UWX7 UWF7 UVN7 UUV7 UUD7 UTL7 UST7 USB7 URJ7 UQR7 UPZ7 UPH7 UOP7 UNX7 UNF7 UMN7 ULV7 ULD7 UKL7 UJT7 UJB7 UIJ7 UHR7 UGZ7 UGH7 UFP7 UEX7 UEF7 UDN7 UCV7 UCD7 UBL7 UAT7 UAB7 TZJ7 TYR7 TXZ7 TXH7 TWP7 TVX7 TVF7 TUN7 TTV7 TTD7 TSL7 TRT7 TRB7 TQJ7 TPR7 TOZ7 TOH7 TNP7 TMX7 TMF7 TLN7 TKV7 TKD7 TJL7 TIT7 TIB7 THJ7 TGR7 TFZ7 TFH7 TEP7 TDX7 TDF7 TCN7 TBV7 TBD7 TAL7 SZT7 SZB7 SYJ7 SXR7 SWZ7 SWH7 SVP7 SUX7 SUF7 STN7 SSV7 SSD7 SRL7 SQT7 SQB7 SPJ7 SOR7 SNZ7 SNH7 SMP7 SLX7 SLF7 SKN7 SJV7 SJD7 SIL7 SHT7 SHB7 SGJ7 SFR7 SEZ7 SEH7 SDP7 SCX7 SCF7 SBN7 SAV7 SAD7 RZL7 RYT7 RYB7 RXJ7 RWR7 RVZ7 RVH7 RUP7 RTX7 RTF7 RSN7 RRV7 RRD7 RQL7 RPT7 RPB7 ROJ7 RNR7 RMZ7 RMH7 RLP7 RKX7 RKF7 RJN7 RIV7 RID7 RHL7 RGT7 RGB7 RFJ7 RER7 RDZ7 RDH7 RCP7 RBX7 RBF7 RAN7 QZV7 QZD7 QYL7 QXT7 QXB7 QWJ7 QVR7 QUZ7 QUH7 QTP7 QSX7 QSF7 QRN7 QQV7 QQD7 QPL7 QOT7 QOB7 QNJ7 QMR7 QLZ7 QLH7 QKP7 QJX7 QJF7 QIN7 QHV7 QHD7 QGL7 QFT7 QFB7 QEJ7 QDR7 QCZ7 QCH7 QBP7 QAX7 QAF7 PZN7 PYV7 PYD7 PXL7 PWT7 PWB7 PVJ7 PUR7 PTZ7 PTH7 PSP7 PRX7 PRF7 PQN7 PPV7 PPD7 POL7 PNT7 PNB7 PMJ7 PLR7 PKZ7 PKH7 PJP7 PIX7 PIF7 PHN7 PGV7 PGD7 PFL7 PET7 PEB7 PDJ7 PCR7 PBZ7 PBH7 PAP7 OZX7 OZF7 OYN7 OXV7 OXD7 OWL7 OVT7 OVB7 OUJ7 OTR7 OSZ7 OSH7 ORP7 OQX7 OQF7 OPN7 OOV7 OOD7 ONL7 OMT7 OMB7 OLJ7 OKR7 OJZ7 OJH7 OIP7 OHX7 OHF7 OGN7 OFV7 OFD7 OEL7 ODT7 ODB7 OCJ7 OBR7 OAZ7 OAH7 NZP7 NYX7 NYF7 NXN7 NWV7 NWD7 NVL7 NUT7 NUB7 NTJ7 NSR7 NRZ7 NRH7 NQP7 NPX7 NPF7 NON7 NNV7 NND7 NML7 NLT7 NLB7 NKJ7 NJR7 NIZ7 NIH7 NHP7 NGX7 NGF7 NFN7 NEV7 NED7 NDL7 NCT7 NCB7 NBJ7 NAR7 MZZ7 MZH7 MYP7 MXX7 MXF7 MWN7 MVV7 MVD7 MUL7 MTT7 MTB7 MSJ7 MRR7 MQZ7 MQH7 MPP7 MOX7 MOF7 MNN7 MMV7 MMD7 MLL7 MKT7 MKB7 MJJ7 MIR7 MHZ7 MHH7 MGP7 MFX7 MFF7 MEN7 MDV7 MDD7 MCL7 MBT7 MBB7 MAJ7 LZR7 LYZ7 LYH7 LXP7 LWX7 LWF7 LVN7 LUV7 LUD7 LTL7 LST7 LSB7 LRJ7 LQR7 LPZ7 LPH7 LOP7 LNX7 LNF7 LMN7 LLV7 LLD7 LKL7 LJT7 LJB7 LIJ7 LHR7 LGZ7 LGH7 LFP7 LEX7 LEF7 LDN7 LCV7 LCD7 LBL7 LAT7 LAB7 KZJ7 KYR7 KXZ7 KXH7 KWP7 KVX7 KVF7 KUN7 KTV7 KTD7 KSL7 KRT7 KRB7 KQJ7 KPR7 KOZ7 KOH7 KNP7 KMX7 KMF7 KLN7 KKV7 KKD7 KJL7 KIT7 KIB7 KHJ7 KGR7 KFZ7 KFH7 KEP7 KDX7 KDF7 KCN7 KBV7 KBD7 KAL7 JZT7 JZB7 JYJ7 JXR7 JWZ7 JWH7 JVP7 JUX7 JUF7 JTN7 JSV7 JSD7 JRL7 JQT7 JQB7 JPJ7 JOR7 JNZ7 JNH7 JMP7 JLX7 JLF7 JKN7 JJV7 JJD7 JIL7 JHT7 JHB7 JGJ7 JFR7 JEZ7 JEH7 JDP7 JCX7 JCF7 JBN7 JAV7 JAD7 IZL7 IYT7 IYB7 IXJ7 IWR7 IVZ7 IVH7 IUP7 ITX7 ITF7 ISN7 IRV7 IRD7 IQL7 IPT7 IPB7 IOJ7 INR7 IMZ7 IMH7 ILP7 IKX7 IKF7 IJN7 IIV7 IID7 IHL7 IGT7 IGB7 IFJ7 IER7 IDZ7 IDH7 ICP7 IBX7 IBF7 IAN7 HZV7 HZD7 HYL7 HXT7 HXB7 HWJ7 HVR7 HUZ7 HUH7 HTP7 HSX7 HSF7 HRN7 HQV7 HQD7 HPL7 HOT7 HOB7 HNJ7 HMR7 HLZ7 HLH7 HKP7 HJX7 HJF7 HIN7 HHV7 HHD7 HGL7 HFT7 HFB7 HEJ7 HDR7 HCZ7 HCH7 HBP7 HAX7 HAF7 GZN7 GYV7 GYD7 GXL7 GWT7 GWB7 GVJ7 GUR7 GTZ7 GTH7 GSP7 GRX7 GRF7 GQN7 GPV7 GPD7 GOL7 GNT7 GNB7 GMJ7 GLR7 GKZ7 GKH7 GJP7 GIX7 GIF7 GHN7 GGV7 GGD7 GFL7 GET7 GEB7 GDJ7 GCR7 GBZ7 GBH7 GAP7 FZX7 FZF7 FYN7 FXV7 FXD7 FWL7 FVT7 FVB7 FUJ7 FTR7 FSZ7 FSH7 FRP7 FQX7 FQF7 FPN7 FOV7 FOD7 FNL7 FMT7 FMB7 FLJ7 FKR7 FJZ7 FJH7 FIP7 FHX7 FHF7 FGN7 FFV7 FFD7 FEL7 FDT7 FDB7 FCJ7 FBR7 FAZ7 FAH7 EZP7 EYX7 EYF7 EXN7 EWV7 EWD7 EVL7 EUT7 EUB7 ETJ7 ESR7 ERZ7 ERH7 EQP7 EPX7 EPF7 EON7 ENV7 END7 EML7 ELT7 ELB7 EKJ7 EJR7 EIZ7 EIH7 EHP7 EGX7 EGF7 EFN7 EEV7 EED7 EDL7 ECT7 ECB7 EBJ7 EAR7 DZZ7 DZH7 DYP7 DXX7 DXF7 DWN7 DVV7 DVD7 DUL7 DTT7 DTB7 DSJ7 DRR7 DQZ7 DQH7 DPP7 DOX7 DOF7 DNN7 DMV7 DMD7 DLL7 DKT7 DKB7 DJJ7 DIR7 DHZ7 DHH7 DGP7 DFX7 DFF7 DEN7 DDV7 DDD7 DCL7 DBT7 DBB7 DAJ7 CZR7 CYZ7 CYH7 CXP7 CWX7 CWF7 CVN7 CUV7 CUD7 CTL7 CST7 CSB7 CRJ7 CQR7 CPZ7 CPH7 COP7 CNX7 CNF7 CMN7 CLV7 CLD7 CKL7 CJT7 CJB7 CIJ7 CHR7 CGZ7 CGH7 CFP7 CEX7 CEF7 CDN7 CCV7 CCD7 CBL7 CAT7 CAB7 BZJ7 BYR7 BXZ7 BXH7 BWP7 BVX7 BVF7 BUN7 BTV7 BTD7 BSL7 BRT7 BRB7 BQJ7 BPR7 BOZ7 BOH7 BNP7 BMX7 BMF7 BLN7 BKV7 BKD7 BJL7 BIT7 BIB7 BHJ7 BGR7 BFZ7 BFH7 BEP7 BDX7 BDF7 BCN7 BBV7 BBD7 BAL7 AZT7 AZB7 AYJ7 AXR7 AWZ7 AWH7 AVP7 AUX7 AUF7 ATN7 ASV7 ASD7 ARL7 AQT7 AQB7 APJ7 AOR7 ANZ7 ANH7 AMP7 ALX7 ALF7 AKN7 AJV7 AJD7 AIL7 AHT7 AHB7 AGJ7 AFR7 AEZ7 AEH7 ADP7 ACX7 ACF7 ABN7 AAV7 AAD7 ZL7 YT7 YB7 XJ7 WR7 VZ7 VH7 UP7 TX7 TF7 SN7 RV7 RD7 QL7 PT7 PB7 OJ7 NR7 MZ7 MH7 LP7 KX7 KF7 JN7 IV7 ID7 HL7 GT7 GB7 FJ7 ER7 DZ7 DH7 CP7 BX7 BF7 AN7 V7">
    <cfRule type="cellIs" dxfId="47" priority="34" stopIfTrue="1" operator="equal">
      <formula>1</formula>
    </cfRule>
  </conditionalFormatting>
  <conditionalFormatting sqref="V8 AN8 BF8 BX8 CP8 DH8 DZ8 ER8 FJ8 GB8 GT8 HL8 ID8 IV8 JN8 KF8 KX8 LP8 MH8 MZ8 NR8 OJ8 PB8 PT8 QL8 RD8 RV8 SN8 TF8 TX8 UP8 VH8 VZ8 WR8 XJ8 YB8 YT8 ZL8 AAD8 AAV8 ABN8 ACF8 ACX8 ADP8 AEH8 AEZ8 AFR8 AGJ8 AHB8 AHT8 AIL8 AJD8 AJV8 AKN8 ALF8 ALX8 AMP8 ANH8 ANZ8 AOR8 APJ8 AQB8 AQT8 ARL8 ASD8 ASV8 ATN8 AUF8 AUX8 AVP8 AWH8 AWZ8 AXR8 AYJ8 AZB8 AZT8 BAL8 BBD8 BBV8 BCN8 BDF8 BDX8 BEP8 BFH8 BFZ8 BGR8 BHJ8 BIB8 BIT8 BJL8 BKD8 BKV8 BLN8 BMF8 BMX8 BNP8 BOH8 BOZ8 BPR8 BQJ8 BRB8 BRT8 BSL8 BTD8 BTV8 BUN8 BVF8 BVX8 BWP8 BXH8 BXZ8 BYR8 BZJ8 CAB8 CAT8 CBL8 CCD8 CCV8 CDN8 CEF8 CEX8 CFP8 CGH8 CGZ8 CHR8 CIJ8 CJB8 CJT8 CKL8 CLD8 CLV8 CMN8 CNF8 CNX8 COP8 CPH8 CPZ8 CQR8 CRJ8 CSB8 CST8 CTL8 CUD8 CUV8 CVN8 CWF8 CWX8 CXP8 CYH8 CYZ8 CZR8 DAJ8 DBB8 DBT8 DCL8 DDD8 DDV8 DEN8 DFF8 DFX8 DGP8 DHH8 DHZ8 DIR8 DJJ8 DKB8 DKT8 DLL8 DMD8 DMV8 DNN8 DOF8 DOX8 DPP8 DQH8 DQZ8 DRR8 DSJ8 DTB8 DTT8 DUL8 DVD8 DVV8 DWN8 DXF8 DXX8 DYP8 DZH8 DZZ8 EAR8 EBJ8 ECB8 ECT8 EDL8 EED8 EEV8 EFN8 EGF8 EGX8 EHP8 EIH8 EIZ8 EJR8 EKJ8 ELB8 ELT8 EML8 END8 ENV8 EON8 EPF8 EPX8 EQP8 ERH8 ERZ8 ESR8 ETJ8 EUB8 EUT8 EVL8 EWD8 EWV8 EXN8 EYF8 EYX8 EZP8 FAH8 FAZ8 FBR8 FCJ8 FDB8 FDT8 FEL8 FFD8 FFV8 FGN8 FHF8 FHX8 FIP8 FJH8 FJZ8 FKR8 FLJ8 FMB8 FMT8 FNL8 FOD8 FOV8 FPN8 FQF8 FQX8 FRP8 FSH8 FSZ8 FTR8 FUJ8 FVB8 FVT8 FWL8 FXD8 FXV8 FYN8 FZF8 FZX8 GAP8 GBH8 GBZ8 GCR8 GDJ8 GEB8 GET8 GFL8 GGD8 GGV8 GHN8 GIF8 GIX8 GJP8 GKH8 GKZ8 GLR8 GMJ8 GNB8 GNT8 GOL8 GPD8 GPV8 GQN8 GRF8 GRX8 GSP8 GTH8 GTZ8 GUR8 GVJ8 GWB8 GWT8 GXL8 GYD8 GYV8 GZN8 HAF8 HAX8 HBP8 HCH8 HCZ8 HDR8 HEJ8 HFB8 HFT8 HGL8 HHD8 HHV8 HIN8 HJF8 HJX8 HKP8 HLH8 HLZ8 HMR8 HNJ8 HOB8 HOT8 HPL8 HQD8 HQV8 HRN8 HSF8 HSX8 HTP8 HUH8 HUZ8 HVR8 HWJ8 HXB8 HXT8 HYL8 HZD8 HZV8 IAN8 IBF8 IBX8 ICP8 IDH8 IDZ8 IER8 IFJ8 IGB8 IGT8 IHL8 IID8 IIV8 IJN8 IKF8 IKX8 ILP8 IMH8 IMZ8 INR8 IOJ8 IPB8 IPT8 IQL8 IRD8 IRV8 ISN8 ITF8 ITX8 IUP8 IVH8 IVZ8 IWR8 IXJ8 IYB8 IYT8 IZL8 JAD8 JAV8 JBN8 JCF8 JCX8 JDP8 JEH8 JEZ8 JFR8 JGJ8 JHB8 JHT8 JIL8 JJD8 JJV8 JKN8 JLF8 JLX8 JMP8 JNH8 JNZ8 JOR8 JPJ8 JQB8 JQT8 JRL8 JSD8 JSV8 JTN8 JUF8 JUX8 JVP8 JWH8 JWZ8 JXR8 JYJ8 JZB8 JZT8 KAL8 KBD8 KBV8 KCN8 KDF8 KDX8 KEP8 KFH8 KFZ8 KGR8 KHJ8 KIB8 KIT8 KJL8 KKD8 KKV8 KLN8 KMF8 KMX8 KNP8 KOH8 KOZ8 KPR8 KQJ8 KRB8 KRT8 KSL8 KTD8 KTV8 KUN8 KVF8 KVX8 KWP8 KXH8 KXZ8 KYR8 KZJ8 LAB8 LAT8 LBL8 LCD8 LCV8 LDN8 LEF8 LEX8 LFP8 LGH8 LGZ8 LHR8 LIJ8 LJB8 LJT8 LKL8 LLD8 LLV8 LMN8 LNF8 LNX8 LOP8 LPH8 LPZ8 LQR8 LRJ8 LSB8 LST8 LTL8 LUD8 LUV8 LVN8 LWF8 LWX8 LXP8 LYH8 LYZ8 LZR8 MAJ8 MBB8 MBT8 MCL8 MDD8 MDV8 MEN8 MFF8 MFX8 MGP8 MHH8 MHZ8 MIR8 MJJ8 MKB8 MKT8 MLL8 MMD8 MMV8 MNN8 MOF8 MOX8 MPP8 MQH8 MQZ8 MRR8 MSJ8 MTB8 MTT8 MUL8 MVD8 MVV8 MWN8 MXF8 MXX8 MYP8 MZH8 MZZ8 NAR8 NBJ8 NCB8 NCT8 NDL8 NED8 NEV8 NFN8 NGF8 NGX8 NHP8 NIH8 NIZ8 NJR8 NKJ8 NLB8 NLT8 NML8 NND8 NNV8 NON8 NPF8 NPX8 NQP8 NRH8 NRZ8 NSR8 NTJ8 NUB8 NUT8 NVL8 NWD8 NWV8 NXN8 NYF8 NYX8 NZP8 OAH8 OAZ8 OBR8 OCJ8 ODB8 ODT8 OEL8 OFD8 OFV8 OGN8 OHF8 OHX8 OIP8 OJH8 OJZ8 OKR8 OLJ8 OMB8 OMT8 ONL8 OOD8 OOV8 OPN8 OQF8 OQX8 ORP8 OSH8 OSZ8 OTR8 OUJ8 OVB8 OVT8 OWL8 OXD8 OXV8 OYN8 OZF8 OZX8 PAP8 PBH8 PBZ8 PCR8 PDJ8 PEB8 PET8 PFL8 PGD8 PGV8 PHN8 PIF8 PIX8 PJP8 PKH8 PKZ8 PLR8 PMJ8 PNB8 PNT8 POL8 PPD8 PPV8 PQN8 PRF8 PRX8 PSP8 PTH8 PTZ8 PUR8 PVJ8 PWB8 PWT8 PXL8 PYD8 PYV8 PZN8 QAF8 QAX8 QBP8 QCH8 QCZ8 QDR8 QEJ8 QFB8 QFT8 QGL8 QHD8 QHV8 QIN8 QJF8 QJX8 QKP8 QLH8 QLZ8 QMR8 QNJ8 QOB8 QOT8 QPL8 QQD8 QQV8 QRN8 QSF8 QSX8 QTP8 QUH8 QUZ8 QVR8 QWJ8 QXB8 QXT8 QYL8 QZD8 QZV8 RAN8 RBF8 RBX8 RCP8 RDH8 RDZ8 RER8 RFJ8 RGB8 RGT8 RHL8 RID8 RIV8 RJN8 RKF8 RKX8 RLP8 RMH8 RMZ8 RNR8 ROJ8 RPB8 RPT8 RQL8 RRD8 RRV8 RSN8 RTF8 RTX8 RUP8 RVH8 RVZ8 RWR8 RXJ8 RYB8 RYT8 RZL8 SAD8 SAV8 SBN8 SCF8 SCX8 SDP8 SEH8 SEZ8 SFR8 SGJ8 SHB8 SHT8 SIL8 SJD8 SJV8 SKN8 SLF8 SLX8 SMP8 SNH8 SNZ8 SOR8 SPJ8 SQB8 SQT8 SRL8 SSD8 SSV8 STN8 SUF8 SUX8 SVP8 SWH8 SWZ8 SXR8 SYJ8 SZB8 SZT8 TAL8 TBD8 TBV8 TCN8 TDF8 TDX8 TEP8 TFH8 TFZ8 TGR8 THJ8 TIB8 TIT8 TJL8 TKD8 TKV8 TLN8 TMF8 TMX8 TNP8 TOH8 TOZ8 TPR8 TQJ8 TRB8 TRT8 TSL8 TTD8 TTV8 TUN8 TVF8 TVX8 TWP8 TXH8 TXZ8 TYR8 TZJ8 UAB8 UAT8 UBL8 UCD8 UCV8 UDN8 UEF8 UEX8 UFP8 UGH8 UGZ8 UHR8 UIJ8 UJB8 UJT8 UKL8 ULD8 ULV8 UMN8 UNF8 UNX8 UOP8 UPH8 UPZ8 UQR8 URJ8 USB8 UST8 UTL8 UUD8 UUV8 UVN8 UWF8 UWX8 UXP8 UYH8 UYZ8 UZR8 VAJ8 VBB8 VBT8 VCL8 VDD8 VDV8 VEN8 VFF8 VFX8 VGP8 VHH8 VHZ8 VIR8 VJJ8 VKB8 VKT8 VLL8 VMD8 VMV8 VNN8 VOF8 VOX8 VPP8 VQH8 VQZ8 VRR8 VSJ8 VTB8 VTT8 VUL8 VVD8 VVV8 VWN8 VXF8 VXX8 VYP8 VZH8 VZZ8 WAR8 WBJ8 WCB8 WCT8 WDL8 WED8 WEV8 WFN8 WGF8 WGX8 WHP8 WIH8 WIZ8 WJR8 WKJ8 WLB8 WLT8 WML8 WND8 WNV8 WON8 WPF8 WPX8 WQP8 WRH8 WRZ8 WSR8 WTJ8 WUB8 WUT8 WVL8 WWD8 WWV8 WXN8 WYF8 WYX8 WZP8 XAH8 XAZ8 XBR8 XCJ8 XDB8 XDT8 XEL8 XFD8">
    <cfRule type="cellIs" dxfId="46" priority="33" stopIfTrue="1" operator="equal">
      <formula>1</formula>
    </cfRule>
  </conditionalFormatting>
  <conditionalFormatting sqref="V9 AN9 BF9 BX9 CP9 DH9 DZ9 ER9 FJ9 GB9 GT9 HL9 ID9 IV9 JN9 KF9 KX9 LP9 MH9 MZ9 NR9 OJ9 PB9 PT9 QL9 RD9 RV9 SN9 TF9 TX9 UP9 VH9 VZ9 WR9 XJ9 YB9 YT9 ZL9 AAD9 AAV9 ABN9 ACF9 ACX9 ADP9 AEH9 AEZ9 AFR9 AGJ9 AHB9 AHT9 AIL9 AJD9 AJV9 AKN9 ALF9 ALX9 AMP9 ANH9 ANZ9 AOR9 APJ9 AQB9 AQT9 ARL9 ASD9 ASV9 ATN9 AUF9 AUX9 AVP9 AWH9 AWZ9 AXR9 AYJ9 AZB9 AZT9 BAL9 BBD9 BBV9 BCN9 BDF9 BDX9 BEP9 BFH9 BFZ9 BGR9 BHJ9 BIB9 BIT9 BJL9 BKD9 BKV9 BLN9 BMF9 BMX9 BNP9 BOH9 BOZ9 BPR9 BQJ9 BRB9 BRT9 BSL9 BTD9 BTV9 BUN9 BVF9 BVX9 BWP9 BXH9 BXZ9 BYR9 BZJ9 CAB9 CAT9 CBL9 CCD9 CCV9 CDN9 CEF9 CEX9 CFP9 CGH9 CGZ9 CHR9 CIJ9 CJB9 CJT9 CKL9 CLD9 CLV9 CMN9 CNF9 CNX9 COP9 CPH9 CPZ9 CQR9 CRJ9 CSB9 CST9 CTL9 CUD9 CUV9 CVN9 CWF9 CWX9 CXP9 CYH9 CYZ9 CZR9 DAJ9 DBB9 DBT9 DCL9 DDD9 DDV9 DEN9 DFF9 DFX9 DGP9 DHH9 DHZ9 DIR9 DJJ9 DKB9 DKT9 DLL9 DMD9 DMV9 DNN9 DOF9 DOX9 DPP9 DQH9 DQZ9 DRR9 DSJ9 DTB9 DTT9 DUL9 DVD9 DVV9 DWN9 DXF9 DXX9 DYP9 DZH9 DZZ9 EAR9 EBJ9 ECB9 ECT9 EDL9 EED9 EEV9 EFN9 EGF9 EGX9 EHP9 EIH9 EIZ9 EJR9 EKJ9 ELB9 ELT9 EML9 END9 ENV9 EON9 EPF9 EPX9 EQP9 ERH9 ERZ9 ESR9 ETJ9 EUB9 EUT9 EVL9 EWD9 EWV9 EXN9 EYF9 EYX9 EZP9 FAH9 FAZ9 FBR9 FCJ9 FDB9 FDT9 FEL9 FFD9 FFV9 FGN9 FHF9 FHX9 FIP9 FJH9 FJZ9 FKR9 FLJ9 FMB9 FMT9 FNL9 FOD9 FOV9 FPN9 FQF9 FQX9 FRP9 FSH9 FSZ9 FTR9 FUJ9 FVB9 FVT9 FWL9 FXD9 FXV9 FYN9 FZF9 FZX9 GAP9 GBH9 GBZ9 GCR9 GDJ9 GEB9 GET9 GFL9 GGD9 GGV9 GHN9 GIF9 GIX9 GJP9 GKH9 GKZ9 GLR9 GMJ9 GNB9 GNT9 GOL9 GPD9 GPV9 GQN9 GRF9 GRX9 GSP9 GTH9 GTZ9 GUR9 GVJ9 GWB9 GWT9 GXL9 GYD9 GYV9 GZN9 HAF9 HAX9 HBP9 HCH9 HCZ9 HDR9 HEJ9 HFB9 HFT9 HGL9 HHD9 HHV9 HIN9 HJF9 HJX9 HKP9 HLH9 HLZ9 HMR9 HNJ9 HOB9 HOT9 HPL9 HQD9 HQV9 HRN9 HSF9 HSX9 HTP9 HUH9 HUZ9 HVR9 HWJ9 HXB9 HXT9 HYL9 HZD9 HZV9 IAN9 IBF9 IBX9 ICP9 IDH9 IDZ9 IER9 IFJ9 IGB9 IGT9 IHL9 IID9 IIV9 IJN9 IKF9 IKX9 ILP9 IMH9 IMZ9 INR9 IOJ9 IPB9 IPT9 IQL9 IRD9 IRV9 ISN9 ITF9 ITX9 IUP9 IVH9 IVZ9 IWR9 IXJ9 IYB9 IYT9 IZL9 JAD9 JAV9 JBN9 JCF9 JCX9 JDP9 JEH9 JEZ9 JFR9 JGJ9 JHB9 JHT9 JIL9 JJD9 JJV9 JKN9 JLF9 JLX9 JMP9 JNH9 JNZ9 JOR9 JPJ9 JQB9 JQT9 JRL9 JSD9 JSV9 JTN9 JUF9 JUX9 JVP9 JWH9 JWZ9 JXR9 JYJ9 JZB9 JZT9 KAL9 KBD9 KBV9 KCN9 KDF9 KDX9 KEP9 KFH9 KFZ9 KGR9 KHJ9 KIB9 KIT9 KJL9 KKD9 KKV9 KLN9 KMF9 KMX9 KNP9 KOH9 KOZ9 KPR9 KQJ9 KRB9 KRT9 KSL9 KTD9 KTV9 KUN9 KVF9 KVX9 KWP9 KXH9 KXZ9 KYR9 KZJ9 LAB9 LAT9 LBL9 LCD9 LCV9 LDN9 LEF9 LEX9 LFP9 LGH9 LGZ9 LHR9 LIJ9 LJB9 LJT9 LKL9 LLD9 LLV9 LMN9 LNF9 LNX9 LOP9 LPH9 LPZ9 LQR9 LRJ9 LSB9 LST9 LTL9 LUD9 LUV9 LVN9 LWF9 LWX9 LXP9 LYH9 LYZ9 LZR9 MAJ9 MBB9 MBT9 MCL9 MDD9 MDV9 MEN9 MFF9 MFX9 MGP9 MHH9 MHZ9 MIR9 MJJ9 MKB9 MKT9 MLL9 MMD9 MMV9 MNN9 MOF9 MOX9 MPP9 MQH9 MQZ9 MRR9 MSJ9 MTB9 MTT9 MUL9 MVD9 MVV9 MWN9 MXF9 MXX9 MYP9 MZH9 MZZ9 NAR9 NBJ9 NCB9 NCT9 NDL9 NED9 NEV9 NFN9 NGF9 NGX9 NHP9 NIH9 NIZ9 NJR9 NKJ9 NLB9 NLT9 NML9 NND9 NNV9 NON9 NPF9 NPX9 NQP9 NRH9 NRZ9 NSR9 NTJ9 NUB9 NUT9 NVL9 NWD9 NWV9 NXN9 NYF9 NYX9 NZP9 OAH9 OAZ9 OBR9 OCJ9 ODB9 ODT9 OEL9 OFD9 OFV9 OGN9 OHF9 OHX9 OIP9 OJH9 OJZ9 OKR9 OLJ9 OMB9 OMT9 ONL9 OOD9 OOV9 OPN9 OQF9 OQX9 ORP9 OSH9 OSZ9 OTR9 OUJ9 OVB9 OVT9 OWL9 OXD9 OXV9 OYN9 OZF9 OZX9 PAP9 PBH9 PBZ9 PCR9 PDJ9 PEB9 PET9 PFL9 PGD9 PGV9 PHN9 PIF9 PIX9 PJP9 PKH9 PKZ9 PLR9 PMJ9 PNB9 PNT9 POL9 PPD9 PPV9 PQN9 PRF9 PRX9 PSP9 PTH9 PTZ9 PUR9 PVJ9 PWB9 PWT9 PXL9 PYD9 PYV9 PZN9 QAF9 QAX9 QBP9 QCH9 QCZ9 QDR9 QEJ9 QFB9 QFT9 QGL9 QHD9 QHV9 QIN9 QJF9 QJX9 QKP9 QLH9 QLZ9 QMR9 QNJ9 QOB9 QOT9 QPL9 QQD9 QQV9 QRN9 QSF9 QSX9 QTP9 QUH9 QUZ9 QVR9 QWJ9 QXB9 QXT9 QYL9 QZD9 QZV9 RAN9 RBF9 RBX9 RCP9 RDH9 RDZ9 RER9 RFJ9 RGB9 RGT9 RHL9 RID9 RIV9 RJN9 RKF9 RKX9 RLP9 RMH9 RMZ9 RNR9 ROJ9 RPB9 RPT9 RQL9 RRD9 RRV9 RSN9 RTF9 RTX9 RUP9 RVH9 RVZ9 RWR9 RXJ9 RYB9 RYT9 RZL9 SAD9 SAV9 SBN9 SCF9 SCX9 SDP9 SEH9 SEZ9 SFR9 SGJ9 SHB9 SHT9 SIL9 SJD9 SJV9 SKN9 SLF9 SLX9 SMP9 SNH9 SNZ9 SOR9 SPJ9 SQB9 SQT9 SRL9 SSD9 SSV9 STN9 SUF9 SUX9 SVP9 SWH9 SWZ9 SXR9 SYJ9 SZB9 SZT9 TAL9 TBD9 TBV9 TCN9 TDF9 TDX9 TEP9 TFH9 TFZ9 TGR9 THJ9 TIB9 TIT9 TJL9 TKD9 TKV9 TLN9 TMF9 TMX9 TNP9 TOH9 TOZ9 TPR9 TQJ9 TRB9 TRT9 TSL9 TTD9 TTV9 TUN9 TVF9 TVX9 TWP9 TXH9 TXZ9 TYR9 TZJ9 UAB9 UAT9 UBL9 UCD9 UCV9 UDN9 UEF9 UEX9 UFP9 UGH9 UGZ9 UHR9 UIJ9 UJB9 UJT9 UKL9 ULD9 ULV9 UMN9 UNF9 UNX9 UOP9 UPH9 UPZ9 UQR9 URJ9 USB9 UST9 UTL9 UUD9 UUV9 UVN9 UWF9 UWX9 UXP9 UYH9 UYZ9 UZR9 VAJ9 VBB9 VBT9 VCL9 VDD9 VDV9 VEN9 VFF9 VFX9 VGP9 VHH9 VHZ9 VIR9 VJJ9 VKB9 VKT9 VLL9 VMD9 VMV9 VNN9 VOF9 VOX9 VPP9 VQH9 VQZ9 VRR9 VSJ9 VTB9 VTT9 VUL9 VVD9 VVV9 VWN9 VXF9 VXX9 VYP9 VZH9 VZZ9 WAR9 WBJ9 WCB9 WCT9 WDL9 WED9 WEV9 WFN9 WGF9 WGX9 WHP9 WIH9 WIZ9 WJR9 WKJ9 WLB9 WLT9 WML9 WND9 WNV9 WON9 WPF9 WPX9 WQP9 WRH9 WRZ9 WSR9 WTJ9 WUB9 WUT9 WVL9 WWD9 WWV9 WXN9 WYF9 WYX9 WZP9 XAH9 XAZ9 XBR9 XCJ9 XDB9 XDT9 XEL9 XFD9">
    <cfRule type="cellIs" dxfId="45" priority="32" stopIfTrue="1" operator="equal">
      <formula>1</formula>
    </cfRule>
  </conditionalFormatting>
  <conditionalFormatting sqref="V10 AN10 BF10 BX10 CP10 DH10 DZ10 ER10 FJ10 GB10 GT10 HL10 ID10 IV10 JN10 KF10 KX10 LP10 MH10 MZ10 NR10 OJ10 PB10 PT10 QL10 RD10 RV10 SN10 TF10 TX10 UP10 VH10 VZ10 WR10 XJ10 YB10 YT10 ZL10 AAD10 AAV10 ABN10 ACF10 ACX10 ADP10 AEH10 AEZ10 AFR10 AGJ10 AHB10 AHT10 AIL10 AJD10 AJV10 AKN10 ALF10 ALX10 AMP10 ANH10 ANZ10 AOR10 APJ10 AQB10 AQT10 ARL10 ASD10 ASV10 ATN10 AUF10 AUX10 AVP10 AWH10 AWZ10 AXR10 AYJ10 AZB10 AZT10 BAL10 BBD10 BBV10 BCN10 BDF10 BDX10 BEP10 BFH10 BFZ10 BGR10 BHJ10 BIB10 BIT10 BJL10 BKD10 BKV10 BLN10 BMF10 BMX10 BNP10 BOH10 BOZ10 BPR10 BQJ10 BRB10 BRT10 BSL10 BTD10 BTV10 BUN10 BVF10 BVX10 BWP10 BXH10 BXZ10 BYR10 BZJ10 CAB10 CAT10 CBL10 CCD10 CCV10 CDN10 CEF10 CEX10 CFP10 CGH10 CGZ10 CHR10 CIJ10 CJB10 CJT10 CKL10 CLD10 CLV10 CMN10 CNF10 CNX10 COP10 CPH10 CPZ10 CQR10 CRJ10 CSB10 CST10 CTL10 CUD10 CUV10 CVN10 CWF10 CWX10 CXP10 CYH10 CYZ10 CZR10 DAJ10 DBB10 DBT10 DCL10 DDD10 DDV10 DEN10 DFF10 DFX10 DGP10 DHH10 DHZ10 DIR10 DJJ10 DKB10 DKT10 DLL10 DMD10 DMV10 DNN10 DOF10 DOX10 DPP10 DQH10 DQZ10 DRR10 DSJ10 DTB10 DTT10 DUL10 DVD10 DVV10 DWN10 DXF10 DXX10 DYP10 DZH10 DZZ10 EAR10 EBJ10 ECB10 ECT10 EDL10 EED10 EEV10 EFN10 EGF10 EGX10 EHP10 EIH10 EIZ10 EJR10 EKJ10 ELB10 ELT10 EML10 END10 ENV10 EON10 EPF10 EPX10 EQP10 ERH10 ERZ10 ESR10 ETJ10 EUB10 EUT10 EVL10 EWD10 EWV10 EXN10 EYF10 EYX10 EZP10 FAH10 FAZ10 FBR10 FCJ10 FDB10 FDT10 FEL10 FFD10 FFV10 FGN10 FHF10 FHX10 FIP10 FJH10 FJZ10 FKR10 FLJ10 FMB10 FMT10 FNL10 FOD10 FOV10 FPN10 FQF10 FQX10 FRP10 FSH10 FSZ10 FTR10 FUJ10 FVB10 FVT10 FWL10 FXD10 FXV10 FYN10 FZF10 FZX10 GAP10 GBH10 GBZ10 GCR10 GDJ10 GEB10 GET10 GFL10 GGD10 GGV10 GHN10 GIF10 GIX10 GJP10 GKH10 GKZ10 GLR10 GMJ10 GNB10 GNT10 GOL10 GPD10 GPV10 GQN10 GRF10 GRX10 GSP10 GTH10 GTZ10 GUR10 GVJ10 GWB10 GWT10 GXL10 GYD10 GYV10 GZN10 HAF10 HAX10 HBP10 HCH10 HCZ10 HDR10 HEJ10 HFB10 HFT10 HGL10 HHD10 HHV10 HIN10 HJF10 HJX10 HKP10 HLH10 HLZ10 HMR10 HNJ10 HOB10 HOT10 HPL10 HQD10 HQV10 HRN10 HSF10 HSX10 HTP10 HUH10 HUZ10 HVR10 HWJ10 HXB10 HXT10 HYL10 HZD10 HZV10 IAN10 IBF10 IBX10 ICP10 IDH10 IDZ10 IER10 IFJ10 IGB10 IGT10 IHL10 IID10 IIV10 IJN10 IKF10 IKX10 ILP10 IMH10 IMZ10 INR10 IOJ10 IPB10 IPT10 IQL10 IRD10 IRV10 ISN10 ITF10 ITX10 IUP10 IVH10 IVZ10 IWR10 IXJ10 IYB10 IYT10 IZL10 JAD10 JAV10 JBN10 JCF10 JCX10 JDP10 JEH10 JEZ10 JFR10 JGJ10 JHB10 JHT10 JIL10 JJD10 JJV10 JKN10 JLF10 JLX10 JMP10 JNH10 JNZ10 JOR10 JPJ10 JQB10 JQT10 JRL10 JSD10 JSV10 JTN10 JUF10 JUX10 JVP10 JWH10 JWZ10 JXR10 JYJ10 JZB10 JZT10 KAL10 KBD10 KBV10 KCN10 KDF10 KDX10 KEP10 KFH10 KFZ10 KGR10 KHJ10 KIB10 KIT10 KJL10 KKD10 KKV10 KLN10 KMF10 KMX10 KNP10 KOH10 KOZ10 KPR10 KQJ10 KRB10 KRT10 KSL10 KTD10 KTV10 KUN10 KVF10 KVX10 KWP10 KXH10 KXZ10 KYR10 KZJ10 LAB10 LAT10 LBL10 LCD10 LCV10 LDN10 LEF10 LEX10 LFP10 LGH10 LGZ10 LHR10 LIJ10 LJB10 LJT10 LKL10 LLD10 LLV10 LMN10 LNF10 LNX10 LOP10 LPH10 LPZ10 LQR10 LRJ10 LSB10 LST10 LTL10 LUD10 LUV10 LVN10 LWF10 LWX10 LXP10 LYH10 LYZ10 LZR10 MAJ10 MBB10 MBT10 MCL10 MDD10 MDV10 MEN10 MFF10 MFX10 MGP10 MHH10 MHZ10 MIR10 MJJ10 MKB10 MKT10 MLL10 MMD10 MMV10 MNN10 MOF10 MOX10 MPP10 MQH10 MQZ10 MRR10 MSJ10 MTB10 MTT10 MUL10 MVD10 MVV10 MWN10 MXF10 MXX10 MYP10 MZH10 MZZ10 NAR10 NBJ10 NCB10 NCT10 NDL10 NED10 NEV10 NFN10 NGF10 NGX10 NHP10 NIH10 NIZ10 NJR10 NKJ10 NLB10 NLT10 NML10 NND10 NNV10 NON10 NPF10 NPX10 NQP10 NRH10 NRZ10 NSR10 NTJ10 NUB10 NUT10 NVL10 NWD10 NWV10 NXN10 NYF10 NYX10 NZP10 OAH10 OAZ10 OBR10 OCJ10 ODB10 ODT10 OEL10 OFD10 OFV10 OGN10 OHF10 OHX10 OIP10 OJH10 OJZ10 OKR10 OLJ10 OMB10 OMT10 ONL10 OOD10 OOV10 OPN10 OQF10 OQX10 ORP10 OSH10 OSZ10 OTR10 OUJ10 OVB10 OVT10 OWL10 OXD10 OXV10 OYN10 OZF10 OZX10 PAP10 PBH10 PBZ10 PCR10 PDJ10 PEB10 PET10 PFL10 PGD10 PGV10 PHN10 PIF10 PIX10 PJP10 PKH10 PKZ10 PLR10 PMJ10 PNB10 PNT10 POL10 PPD10 PPV10 PQN10 PRF10 PRX10 PSP10 PTH10 PTZ10 PUR10 PVJ10 PWB10 PWT10 PXL10 PYD10 PYV10 PZN10 QAF10 QAX10 QBP10 QCH10 QCZ10 QDR10 QEJ10 QFB10 QFT10 QGL10 QHD10 QHV10 QIN10 QJF10 QJX10 QKP10 QLH10 QLZ10 QMR10 QNJ10 QOB10 QOT10 QPL10 QQD10 QQV10 QRN10 QSF10 QSX10 QTP10 QUH10 QUZ10 QVR10 QWJ10 QXB10 QXT10 QYL10 QZD10 QZV10 RAN10 RBF10 RBX10 RCP10 RDH10 RDZ10 RER10 RFJ10 RGB10 RGT10 RHL10 RID10 RIV10 RJN10 RKF10 RKX10 RLP10 RMH10 RMZ10 RNR10 ROJ10 RPB10 RPT10 RQL10 RRD10 RRV10 RSN10 RTF10 RTX10 RUP10 RVH10 RVZ10 RWR10 RXJ10 RYB10 RYT10 RZL10 SAD10 SAV10 SBN10 SCF10 SCX10 SDP10 SEH10 SEZ10 SFR10 SGJ10 SHB10 SHT10 SIL10 SJD10 SJV10 SKN10 SLF10 SLX10 SMP10 SNH10 SNZ10 SOR10 SPJ10 SQB10 SQT10 SRL10 SSD10 SSV10 STN10 SUF10 SUX10 SVP10 SWH10 SWZ10 SXR10 SYJ10 SZB10 SZT10 TAL10 TBD10 TBV10 TCN10 TDF10 TDX10 TEP10 TFH10 TFZ10 TGR10 THJ10 TIB10 TIT10 TJL10 TKD10 TKV10 TLN10 TMF10 TMX10 TNP10 TOH10 TOZ10 TPR10 TQJ10 TRB10 TRT10 TSL10 TTD10 TTV10 TUN10 TVF10 TVX10 TWP10 TXH10 TXZ10 TYR10 TZJ10 UAB10 UAT10 UBL10 UCD10 UCV10 UDN10 UEF10 UEX10 UFP10 UGH10 UGZ10 UHR10 UIJ10 UJB10 UJT10 UKL10 ULD10 ULV10 UMN10 UNF10 UNX10 UOP10 UPH10 UPZ10 UQR10 URJ10 USB10 UST10 UTL10 UUD10 UUV10 UVN10 UWF10 UWX10 UXP10 UYH10 UYZ10 UZR10 VAJ10 VBB10 VBT10 VCL10 VDD10 VDV10 VEN10 VFF10 VFX10 VGP10 VHH10 VHZ10 VIR10 VJJ10 VKB10 VKT10 VLL10 VMD10 VMV10 VNN10 VOF10 VOX10 VPP10 VQH10 VQZ10 VRR10 VSJ10 VTB10 VTT10 VUL10 VVD10 VVV10 VWN10 VXF10 VXX10 VYP10 VZH10 VZZ10 WAR10 WBJ10 WCB10 WCT10 WDL10 WED10 WEV10 WFN10 WGF10 WGX10 WHP10 WIH10 WIZ10 WJR10 WKJ10 WLB10 WLT10 WML10 WND10 WNV10 WON10 WPF10 WPX10 WQP10 WRH10 WRZ10 WSR10 WTJ10 WUB10 WUT10 WVL10 WWD10 WWV10 WXN10 WYF10 WYX10 WZP10 XAH10 XAZ10 XBR10 XCJ10 XDB10 XDT10 XEL10 XFD10">
    <cfRule type="cellIs" dxfId="44" priority="31" stopIfTrue="1" operator="equal">
      <formula>1</formula>
    </cfRule>
  </conditionalFormatting>
  <conditionalFormatting sqref="V11 AN11 BF11 BX11 CP11 DH11 DZ11 ER11 FJ11 GB11 GT11 HL11 ID11 IV11 JN11 KF11 KX11 LP11 MH11 MZ11 NR11 OJ11 PB11 PT11 QL11 RD11 RV11 SN11 TF11 TX11 UP11 VH11 VZ11 WR11 XJ11 YB11 YT11 ZL11 AAD11 AAV11 ABN11 ACF11 ACX11 ADP11 AEH11 AEZ11 AFR11 AGJ11 AHB11 AHT11 AIL11 AJD11 AJV11 AKN11 ALF11 ALX11 AMP11 ANH11 ANZ11 AOR11 APJ11 AQB11 AQT11 ARL11 ASD11 ASV11 ATN11 AUF11 AUX11 AVP11 AWH11 AWZ11 AXR11 AYJ11 AZB11 AZT11 BAL11 BBD11 BBV11 BCN11 BDF11 BDX11 BEP11 BFH11 BFZ11 BGR11 BHJ11 BIB11 BIT11 BJL11 BKD11 BKV11 BLN11 BMF11 BMX11 BNP11 BOH11 BOZ11 BPR11 BQJ11 BRB11 BRT11 BSL11 BTD11 BTV11 BUN11 BVF11 BVX11 BWP11 BXH11 BXZ11 BYR11 BZJ11 CAB11 CAT11 CBL11 CCD11 CCV11 CDN11 CEF11 CEX11 CFP11 CGH11 CGZ11 CHR11 CIJ11 CJB11 CJT11 CKL11 CLD11 CLV11 CMN11 CNF11 CNX11 COP11 CPH11 CPZ11 CQR11 CRJ11 CSB11 CST11 CTL11 CUD11 CUV11 CVN11 CWF11 CWX11 CXP11 CYH11 CYZ11 CZR11 DAJ11 DBB11 DBT11 DCL11 DDD11 DDV11 DEN11 DFF11 DFX11 DGP11 DHH11 DHZ11 DIR11 DJJ11 DKB11 DKT11 DLL11 DMD11 DMV11 DNN11 DOF11 DOX11 DPP11 DQH11 DQZ11 DRR11 DSJ11 DTB11 DTT11 DUL11 DVD11 DVV11 DWN11 DXF11 DXX11 DYP11 DZH11 DZZ11 EAR11 EBJ11 ECB11 ECT11 EDL11 EED11 EEV11 EFN11 EGF11 EGX11 EHP11 EIH11 EIZ11 EJR11 EKJ11 ELB11 ELT11 EML11 END11 ENV11 EON11 EPF11 EPX11 EQP11 ERH11 ERZ11 ESR11 ETJ11 EUB11 EUT11 EVL11 EWD11 EWV11 EXN11 EYF11 EYX11 EZP11 FAH11 FAZ11 FBR11 FCJ11 FDB11 FDT11 FEL11 FFD11 FFV11 FGN11 FHF11 FHX11 FIP11 FJH11 FJZ11 FKR11 FLJ11 FMB11 FMT11 FNL11 FOD11 FOV11 FPN11 FQF11 FQX11 FRP11 FSH11 FSZ11 FTR11 FUJ11 FVB11 FVT11 FWL11 FXD11 FXV11 FYN11 FZF11 FZX11 GAP11 GBH11 GBZ11 GCR11 GDJ11 GEB11 GET11 GFL11 GGD11 GGV11 GHN11 GIF11 GIX11 GJP11 GKH11 GKZ11 GLR11 GMJ11 GNB11 GNT11 GOL11 GPD11 GPV11 GQN11 GRF11 GRX11 GSP11 GTH11 GTZ11 GUR11 GVJ11 GWB11 GWT11 GXL11 GYD11 GYV11 GZN11 HAF11 HAX11 HBP11 HCH11 HCZ11 HDR11 HEJ11 HFB11 HFT11 HGL11 HHD11 HHV11 HIN11 HJF11 HJX11 HKP11 HLH11 HLZ11 HMR11 HNJ11 HOB11 HOT11 HPL11 HQD11 HQV11 HRN11 HSF11 HSX11 HTP11 HUH11 HUZ11 HVR11 HWJ11 HXB11 HXT11 HYL11 HZD11 HZV11 IAN11 IBF11 IBX11 ICP11 IDH11 IDZ11 IER11 IFJ11 IGB11 IGT11 IHL11 IID11 IIV11 IJN11 IKF11 IKX11 ILP11 IMH11 IMZ11 INR11 IOJ11 IPB11 IPT11 IQL11 IRD11 IRV11 ISN11 ITF11 ITX11 IUP11 IVH11 IVZ11 IWR11 IXJ11 IYB11 IYT11 IZL11 JAD11 JAV11 JBN11 JCF11 JCX11 JDP11 JEH11 JEZ11 JFR11 JGJ11 JHB11 JHT11 JIL11 JJD11 JJV11 JKN11 JLF11 JLX11 JMP11 JNH11 JNZ11 JOR11 JPJ11 JQB11 JQT11 JRL11 JSD11 JSV11 JTN11 JUF11 JUX11 JVP11 JWH11 JWZ11 JXR11 JYJ11 JZB11 JZT11 KAL11 KBD11 KBV11 KCN11 KDF11 KDX11 KEP11 KFH11 KFZ11 KGR11 KHJ11 KIB11 KIT11 KJL11 KKD11 KKV11 KLN11 KMF11 KMX11 KNP11 KOH11 KOZ11 KPR11 KQJ11 KRB11 KRT11 KSL11 KTD11 KTV11 KUN11 KVF11 KVX11 KWP11 KXH11 KXZ11 KYR11 KZJ11 LAB11 LAT11 LBL11 LCD11 LCV11 LDN11 LEF11 LEX11 LFP11 LGH11 LGZ11 LHR11 LIJ11 LJB11 LJT11 LKL11 LLD11 LLV11 LMN11 LNF11 LNX11 LOP11 LPH11 LPZ11 LQR11 LRJ11 LSB11 LST11 LTL11 LUD11 LUV11 LVN11 LWF11 LWX11 LXP11 LYH11 LYZ11 LZR11 MAJ11 MBB11 MBT11 MCL11 MDD11 MDV11 MEN11 MFF11 MFX11 MGP11 MHH11 MHZ11 MIR11 MJJ11 MKB11 MKT11 MLL11 MMD11 MMV11 MNN11 MOF11 MOX11 MPP11 MQH11 MQZ11 MRR11 MSJ11 MTB11 MTT11 MUL11 MVD11 MVV11 MWN11 MXF11 MXX11 MYP11 MZH11 MZZ11 NAR11 NBJ11 NCB11 NCT11 NDL11 NED11 NEV11 NFN11 NGF11 NGX11 NHP11 NIH11 NIZ11 NJR11 NKJ11 NLB11 NLT11 NML11 NND11 NNV11 NON11 NPF11 NPX11 NQP11 NRH11 NRZ11 NSR11 NTJ11 NUB11 NUT11 NVL11 NWD11 NWV11 NXN11 NYF11 NYX11 NZP11 OAH11 OAZ11 OBR11 OCJ11 ODB11 ODT11 OEL11 OFD11 OFV11 OGN11 OHF11 OHX11 OIP11 OJH11 OJZ11 OKR11 OLJ11 OMB11 OMT11 ONL11 OOD11 OOV11 OPN11 OQF11 OQX11 ORP11 OSH11 OSZ11 OTR11 OUJ11 OVB11 OVT11 OWL11 OXD11 OXV11 OYN11 OZF11 OZX11 PAP11 PBH11 PBZ11 PCR11 PDJ11 PEB11 PET11 PFL11 PGD11 PGV11 PHN11 PIF11 PIX11 PJP11 PKH11 PKZ11 PLR11 PMJ11 PNB11 PNT11 POL11 PPD11 PPV11 PQN11 PRF11 PRX11 PSP11 PTH11 PTZ11 PUR11 PVJ11 PWB11 PWT11 PXL11 PYD11 PYV11 PZN11 QAF11 QAX11 QBP11 QCH11 QCZ11 QDR11 QEJ11 QFB11 QFT11 QGL11 QHD11 QHV11 QIN11 QJF11 QJX11 QKP11 QLH11 QLZ11 QMR11 QNJ11 QOB11 QOT11 QPL11 QQD11 QQV11 QRN11 QSF11 QSX11 QTP11 QUH11 QUZ11 QVR11 QWJ11 QXB11 QXT11 QYL11 QZD11 QZV11 RAN11 RBF11 RBX11 RCP11 RDH11 RDZ11 RER11 RFJ11 RGB11 RGT11 RHL11 RID11 RIV11 RJN11 RKF11 RKX11 RLP11 RMH11 RMZ11 RNR11 ROJ11 RPB11 RPT11 RQL11 RRD11 RRV11 RSN11 RTF11 RTX11 RUP11 RVH11 RVZ11 RWR11 RXJ11 RYB11 RYT11 RZL11 SAD11 SAV11 SBN11 SCF11 SCX11 SDP11 SEH11 SEZ11 SFR11 SGJ11 SHB11 SHT11 SIL11 SJD11 SJV11 SKN11 SLF11 SLX11 SMP11 SNH11 SNZ11 SOR11 SPJ11 SQB11 SQT11 SRL11 SSD11 SSV11 STN11 SUF11 SUX11 SVP11 SWH11 SWZ11 SXR11 SYJ11 SZB11 SZT11 TAL11 TBD11 TBV11 TCN11 TDF11 TDX11 TEP11 TFH11 TFZ11 TGR11 THJ11 TIB11 TIT11 TJL11 TKD11 TKV11 TLN11 TMF11 TMX11 TNP11 TOH11 TOZ11 TPR11 TQJ11 TRB11 TRT11 TSL11 TTD11 TTV11 TUN11 TVF11 TVX11 TWP11 TXH11 TXZ11 TYR11 TZJ11 UAB11 UAT11 UBL11 UCD11 UCV11 UDN11 UEF11 UEX11 UFP11 UGH11 UGZ11 UHR11 UIJ11 UJB11 UJT11 UKL11 ULD11 ULV11 UMN11 UNF11 UNX11 UOP11 UPH11 UPZ11 UQR11 URJ11 USB11 UST11 UTL11 UUD11 UUV11 UVN11 UWF11 UWX11 UXP11 UYH11 UYZ11 UZR11 VAJ11 VBB11 VBT11 VCL11 VDD11 VDV11 VEN11 VFF11 VFX11 VGP11 VHH11 VHZ11 VIR11 VJJ11 VKB11 VKT11 VLL11 VMD11 VMV11 VNN11 VOF11 VOX11 VPP11 VQH11 VQZ11 VRR11 VSJ11 VTB11 VTT11 VUL11 VVD11 VVV11 VWN11 VXF11 VXX11 VYP11 VZH11 VZZ11 WAR11 WBJ11 WCB11 WCT11 WDL11 WED11 WEV11 WFN11 WGF11 WGX11 WHP11 WIH11 WIZ11 WJR11 WKJ11 WLB11 WLT11 WML11 WND11 WNV11 WON11 WPF11 WPX11 WQP11 WRH11 WRZ11 WSR11 WTJ11 WUB11 WUT11 WVL11 WWD11 WWV11 WXN11 WYF11 WYX11 WZP11 XAH11 XAZ11 XBR11 XCJ11 XDB11 XDT11 XEL11 XFD11">
    <cfRule type="cellIs" dxfId="43" priority="30" stopIfTrue="1" operator="equal">
      <formula>1</formula>
    </cfRule>
  </conditionalFormatting>
  <conditionalFormatting sqref="V12 AN12 BF12 BX12 CP12 DH12 DZ12 ER12 FJ12 GB12 GT12 HL12 ID12 IV12 JN12 KF12 KX12 LP12 MH12 MZ12 NR12 OJ12 PB12 PT12 QL12 RD12 RV12 SN12 TF12 TX12 UP12 VH12 VZ12 WR12 XJ12 YB12 YT12 ZL12 AAD12 AAV12 ABN12 ACF12 ACX12 ADP12 AEH12 AEZ12 AFR12 AGJ12 AHB12 AHT12 AIL12 AJD12 AJV12 AKN12 ALF12 ALX12 AMP12 ANH12 ANZ12 AOR12 APJ12 AQB12 AQT12 ARL12 ASD12 ASV12 ATN12 AUF12 AUX12 AVP12 AWH12 AWZ12 AXR12 AYJ12 AZB12 AZT12 BAL12 BBD12 BBV12 BCN12 BDF12 BDX12 BEP12 BFH12 BFZ12 BGR12 BHJ12 BIB12 BIT12 BJL12 BKD12 BKV12 BLN12 BMF12 BMX12 BNP12 BOH12 BOZ12 BPR12 BQJ12 BRB12 BRT12 BSL12 BTD12 BTV12 BUN12 BVF12 BVX12 BWP12 BXH12 BXZ12 BYR12 BZJ12 CAB12 CAT12 CBL12 CCD12 CCV12 CDN12 CEF12 CEX12 CFP12 CGH12 CGZ12 CHR12 CIJ12 CJB12 CJT12 CKL12 CLD12 CLV12 CMN12 CNF12 CNX12 COP12 CPH12 CPZ12 CQR12 CRJ12 CSB12 CST12 CTL12 CUD12 CUV12 CVN12 CWF12 CWX12 CXP12 CYH12 CYZ12 CZR12 DAJ12 DBB12 DBT12 DCL12 DDD12 DDV12 DEN12 DFF12 DFX12 DGP12 DHH12 DHZ12 DIR12 DJJ12 DKB12 DKT12 DLL12 DMD12 DMV12 DNN12 DOF12 DOX12 DPP12 DQH12 DQZ12 DRR12 DSJ12 DTB12 DTT12 DUL12 DVD12 DVV12 DWN12 DXF12 DXX12 DYP12 DZH12 DZZ12 EAR12 EBJ12 ECB12 ECT12 EDL12 EED12 EEV12 EFN12 EGF12 EGX12 EHP12 EIH12 EIZ12 EJR12 EKJ12 ELB12 ELT12 EML12 END12 ENV12 EON12 EPF12 EPX12 EQP12 ERH12 ERZ12 ESR12 ETJ12 EUB12 EUT12 EVL12 EWD12 EWV12 EXN12 EYF12 EYX12 EZP12 FAH12 FAZ12 FBR12 FCJ12 FDB12 FDT12 FEL12 FFD12 FFV12 FGN12 FHF12 FHX12 FIP12 FJH12 FJZ12 FKR12 FLJ12 FMB12 FMT12 FNL12 FOD12 FOV12 FPN12 FQF12 FQX12 FRP12 FSH12 FSZ12 FTR12 FUJ12 FVB12 FVT12 FWL12 FXD12 FXV12 FYN12 FZF12 FZX12 GAP12 GBH12 GBZ12 GCR12 GDJ12 GEB12 GET12 GFL12 GGD12 GGV12 GHN12 GIF12 GIX12 GJP12 GKH12 GKZ12 GLR12 GMJ12 GNB12 GNT12 GOL12 GPD12 GPV12 GQN12 GRF12 GRX12 GSP12 GTH12 GTZ12 GUR12 GVJ12 GWB12 GWT12 GXL12 GYD12 GYV12 GZN12 HAF12 HAX12 HBP12 HCH12 HCZ12 HDR12 HEJ12 HFB12 HFT12 HGL12 HHD12 HHV12 HIN12 HJF12 HJX12 HKP12 HLH12 HLZ12 HMR12 HNJ12 HOB12 HOT12 HPL12 HQD12 HQV12 HRN12 HSF12 HSX12 HTP12 HUH12 HUZ12 HVR12 HWJ12 HXB12 HXT12 HYL12 HZD12 HZV12 IAN12 IBF12 IBX12 ICP12 IDH12 IDZ12 IER12 IFJ12 IGB12 IGT12 IHL12 IID12 IIV12 IJN12 IKF12 IKX12 ILP12 IMH12 IMZ12 INR12 IOJ12 IPB12 IPT12 IQL12 IRD12 IRV12 ISN12 ITF12 ITX12 IUP12 IVH12 IVZ12 IWR12 IXJ12 IYB12 IYT12 IZL12 JAD12 JAV12 JBN12 JCF12 JCX12 JDP12 JEH12 JEZ12 JFR12 JGJ12 JHB12 JHT12 JIL12 JJD12 JJV12 JKN12 JLF12 JLX12 JMP12 JNH12 JNZ12 JOR12 JPJ12 JQB12 JQT12 JRL12 JSD12 JSV12 JTN12 JUF12 JUX12 JVP12 JWH12 JWZ12 JXR12 JYJ12 JZB12 JZT12 KAL12 KBD12 KBV12 KCN12 KDF12 KDX12 KEP12 KFH12 KFZ12 KGR12 KHJ12 KIB12 KIT12 KJL12 KKD12 KKV12 KLN12 KMF12 KMX12 KNP12 KOH12 KOZ12 KPR12 KQJ12 KRB12 KRT12 KSL12 KTD12 KTV12 KUN12 KVF12 KVX12 KWP12 KXH12 KXZ12 KYR12 KZJ12 LAB12 LAT12 LBL12 LCD12 LCV12 LDN12 LEF12 LEX12 LFP12 LGH12 LGZ12 LHR12 LIJ12 LJB12 LJT12 LKL12 LLD12 LLV12 LMN12 LNF12 LNX12 LOP12 LPH12 LPZ12 LQR12 LRJ12 LSB12 LST12 LTL12 LUD12 LUV12 LVN12 LWF12 LWX12 LXP12 LYH12 LYZ12 LZR12 MAJ12 MBB12 MBT12 MCL12 MDD12 MDV12 MEN12 MFF12 MFX12 MGP12 MHH12 MHZ12 MIR12 MJJ12 MKB12 MKT12 MLL12 MMD12 MMV12 MNN12 MOF12 MOX12 MPP12 MQH12 MQZ12 MRR12 MSJ12 MTB12 MTT12 MUL12 MVD12 MVV12 MWN12 MXF12 MXX12 MYP12 MZH12 MZZ12 NAR12 NBJ12 NCB12 NCT12 NDL12 NED12 NEV12 NFN12 NGF12 NGX12 NHP12 NIH12 NIZ12 NJR12 NKJ12 NLB12 NLT12 NML12 NND12 NNV12 NON12 NPF12 NPX12 NQP12 NRH12 NRZ12 NSR12 NTJ12 NUB12 NUT12 NVL12 NWD12 NWV12 NXN12 NYF12 NYX12 NZP12 OAH12 OAZ12 OBR12 OCJ12 ODB12 ODT12 OEL12 OFD12 OFV12 OGN12 OHF12 OHX12 OIP12 OJH12 OJZ12 OKR12 OLJ12 OMB12 OMT12 ONL12 OOD12 OOV12 OPN12 OQF12 OQX12 ORP12 OSH12 OSZ12 OTR12 OUJ12 OVB12 OVT12 OWL12 OXD12 OXV12 OYN12 OZF12 OZX12 PAP12 PBH12 PBZ12 PCR12 PDJ12 PEB12 PET12 PFL12 PGD12 PGV12 PHN12 PIF12 PIX12 PJP12 PKH12 PKZ12 PLR12 PMJ12 PNB12 PNT12 POL12 PPD12 PPV12 PQN12 PRF12 PRX12 PSP12 PTH12 PTZ12 PUR12 PVJ12 PWB12 PWT12 PXL12 PYD12 PYV12 PZN12 QAF12 QAX12 QBP12 QCH12 QCZ12 QDR12 QEJ12 QFB12 QFT12 QGL12 QHD12 QHV12 QIN12 QJF12 QJX12 QKP12 QLH12 QLZ12 QMR12 QNJ12 QOB12 QOT12 QPL12 QQD12 QQV12 QRN12 QSF12 QSX12 QTP12 QUH12 QUZ12 QVR12 QWJ12 QXB12 QXT12 QYL12 QZD12 QZV12 RAN12 RBF12 RBX12 RCP12 RDH12 RDZ12 RER12 RFJ12 RGB12 RGT12 RHL12 RID12 RIV12 RJN12 RKF12 RKX12 RLP12 RMH12 RMZ12 RNR12 ROJ12 RPB12 RPT12 RQL12 RRD12 RRV12 RSN12 RTF12 RTX12 RUP12 RVH12 RVZ12 RWR12 RXJ12 RYB12 RYT12 RZL12 SAD12 SAV12 SBN12 SCF12 SCX12 SDP12 SEH12 SEZ12 SFR12 SGJ12 SHB12 SHT12 SIL12 SJD12 SJV12 SKN12 SLF12 SLX12 SMP12 SNH12 SNZ12 SOR12 SPJ12 SQB12 SQT12 SRL12 SSD12 SSV12 STN12 SUF12 SUX12 SVP12 SWH12 SWZ12 SXR12 SYJ12 SZB12 SZT12 TAL12 TBD12 TBV12 TCN12 TDF12 TDX12 TEP12 TFH12 TFZ12 TGR12 THJ12 TIB12 TIT12 TJL12 TKD12 TKV12 TLN12 TMF12 TMX12 TNP12 TOH12 TOZ12 TPR12 TQJ12 TRB12 TRT12 TSL12 TTD12 TTV12 TUN12 TVF12 TVX12 TWP12 TXH12 TXZ12 TYR12 TZJ12 UAB12 UAT12 UBL12 UCD12 UCV12 UDN12 UEF12 UEX12 UFP12 UGH12 UGZ12 UHR12 UIJ12 UJB12 UJT12 UKL12 ULD12 ULV12 UMN12 UNF12 UNX12 UOP12 UPH12 UPZ12 UQR12 URJ12 USB12 UST12 UTL12 UUD12 UUV12 UVN12 UWF12 UWX12 UXP12 UYH12 UYZ12 UZR12 VAJ12 VBB12 VBT12 VCL12 VDD12 VDV12 VEN12 VFF12 VFX12 VGP12 VHH12 VHZ12 VIR12 VJJ12 VKB12 VKT12 VLL12 VMD12 VMV12 VNN12 VOF12 VOX12 VPP12 VQH12 VQZ12 VRR12 VSJ12 VTB12 VTT12 VUL12 VVD12 VVV12 VWN12 VXF12 VXX12 VYP12 VZH12 VZZ12 WAR12 WBJ12 WCB12 WCT12 WDL12 WED12 WEV12 WFN12 WGF12 WGX12 WHP12 WIH12 WIZ12 WJR12 WKJ12 WLB12 WLT12 WML12 WND12 WNV12 WON12 WPF12 WPX12 WQP12 WRH12 WRZ12 WSR12 WTJ12 WUB12 WUT12 WVL12 WWD12 WWV12 WXN12 WYF12 WYX12 WZP12 XAH12 XAZ12 XBR12 XCJ12 XDB12 XDT12 XEL12 XFD12">
    <cfRule type="cellIs" dxfId="42" priority="29" stopIfTrue="1" operator="equal">
      <formula>1</formula>
    </cfRule>
  </conditionalFormatting>
  <conditionalFormatting sqref="V13 AN13 BF13 BX13 CP13 DH13 DZ13 ER13 FJ13 GB13 GT13 HL13 ID13 IV13 JN13 KF13 KX13 LP13 MH13 MZ13 NR13 OJ13 PB13 PT13 QL13 RD13 RV13 SN13 TF13 TX13 UP13 VH13 VZ13 WR13 XJ13 YB13 YT13 ZL13 AAD13 AAV13 ABN13 ACF13 ACX13 ADP13 AEH13 AEZ13 AFR13 AGJ13 AHB13 AHT13 AIL13 AJD13 AJV13 AKN13 ALF13 ALX13 AMP13 ANH13 ANZ13 AOR13 APJ13 AQB13 AQT13 ARL13 ASD13 ASV13 ATN13 AUF13 AUX13 AVP13 AWH13 AWZ13 AXR13 AYJ13 AZB13 AZT13 BAL13 BBD13 BBV13 BCN13 BDF13 BDX13 BEP13 BFH13 BFZ13 BGR13 BHJ13 BIB13 BIT13 BJL13 BKD13 BKV13 BLN13 BMF13 BMX13 BNP13 BOH13 BOZ13 BPR13 BQJ13 BRB13 BRT13 BSL13 BTD13 BTV13 BUN13 BVF13 BVX13 BWP13 BXH13 BXZ13 BYR13 BZJ13 CAB13 CAT13 CBL13 CCD13 CCV13 CDN13 CEF13 CEX13 CFP13 CGH13 CGZ13 CHR13 CIJ13 CJB13 CJT13 CKL13 CLD13 CLV13 CMN13 CNF13 CNX13 COP13 CPH13 CPZ13 CQR13 CRJ13 CSB13 CST13 CTL13 CUD13 CUV13 CVN13 CWF13 CWX13 CXP13 CYH13 CYZ13 CZR13 DAJ13 DBB13 DBT13 DCL13 DDD13 DDV13 DEN13 DFF13 DFX13 DGP13 DHH13 DHZ13 DIR13 DJJ13 DKB13 DKT13 DLL13 DMD13 DMV13 DNN13 DOF13 DOX13 DPP13 DQH13 DQZ13 DRR13 DSJ13 DTB13 DTT13 DUL13 DVD13 DVV13 DWN13 DXF13 DXX13 DYP13 DZH13 DZZ13 EAR13 EBJ13 ECB13 ECT13 EDL13 EED13 EEV13 EFN13 EGF13 EGX13 EHP13 EIH13 EIZ13 EJR13 EKJ13 ELB13 ELT13 EML13 END13 ENV13 EON13 EPF13 EPX13 EQP13 ERH13 ERZ13 ESR13 ETJ13 EUB13 EUT13 EVL13 EWD13 EWV13 EXN13 EYF13 EYX13 EZP13 FAH13 FAZ13 FBR13 FCJ13 FDB13 FDT13 FEL13 FFD13 FFV13 FGN13 FHF13 FHX13 FIP13 FJH13 FJZ13 FKR13 FLJ13 FMB13 FMT13 FNL13 FOD13 FOV13 FPN13 FQF13 FQX13 FRP13 FSH13 FSZ13 FTR13 FUJ13 FVB13 FVT13 FWL13 FXD13 FXV13 FYN13 FZF13 FZX13 GAP13 GBH13 GBZ13 GCR13 GDJ13 GEB13 GET13 GFL13 GGD13 GGV13 GHN13 GIF13 GIX13 GJP13 GKH13 GKZ13 GLR13 GMJ13 GNB13 GNT13 GOL13 GPD13 GPV13 GQN13 GRF13 GRX13 GSP13 GTH13 GTZ13 GUR13 GVJ13 GWB13 GWT13 GXL13 GYD13 GYV13 GZN13 HAF13 HAX13 HBP13 HCH13 HCZ13 HDR13 HEJ13 HFB13 HFT13 HGL13 HHD13 HHV13 HIN13 HJF13 HJX13 HKP13 HLH13 HLZ13 HMR13 HNJ13 HOB13 HOT13 HPL13 HQD13 HQV13 HRN13 HSF13 HSX13 HTP13 HUH13 HUZ13 HVR13 HWJ13 HXB13 HXT13 HYL13 HZD13 HZV13 IAN13 IBF13 IBX13 ICP13 IDH13 IDZ13 IER13 IFJ13 IGB13 IGT13 IHL13 IID13 IIV13 IJN13 IKF13 IKX13 ILP13 IMH13 IMZ13 INR13 IOJ13 IPB13 IPT13 IQL13 IRD13 IRV13 ISN13 ITF13 ITX13 IUP13 IVH13 IVZ13 IWR13 IXJ13 IYB13 IYT13 IZL13 JAD13 JAV13 JBN13 JCF13 JCX13 JDP13 JEH13 JEZ13 JFR13 JGJ13 JHB13 JHT13 JIL13 JJD13 JJV13 JKN13 JLF13 JLX13 JMP13 JNH13 JNZ13 JOR13 JPJ13 JQB13 JQT13 JRL13 JSD13 JSV13 JTN13 JUF13 JUX13 JVP13 JWH13 JWZ13 JXR13 JYJ13 JZB13 JZT13 KAL13 KBD13 KBV13 KCN13 KDF13 KDX13 KEP13 KFH13 KFZ13 KGR13 KHJ13 KIB13 KIT13 KJL13 KKD13 KKV13 KLN13 KMF13 KMX13 KNP13 KOH13 KOZ13 KPR13 KQJ13 KRB13 KRT13 KSL13 KTD13 KTV13 KUN13 KVF13 KVX13 KWP13 KXH13 KXZ13 KYR13 KZJ13 LAB13 LAT13 LBL13 LCD13 LCV13 LDN13 LEF13 LEX13 LFP13 LGH13 LGZ13 LHR13 LIJ13 LJB13 LJT13 LKL13 LLD13 LLV13 LMN13 LNF13 LNX13 LOP13 LPH13 LPZ13 LQR13 LRJ13 LSB13 LST13 LTL13 LUD13 LUV13 LVN13 LWF13 LWX13 LXP13 LYH13 LYZ13 LZR13 MAJ13 MBB13 MBT13 MCL13 MDD13 MDV13 MEN13 MFF13 MFX13 MGP13 MHH13 MHZ13 MIR13 MJJ13 MKB13 MKT13 MLL13 MMD13 MMV13 MNN13 MOF13 MOX13 MPP13 MQH13 MQZ13 MRR13 MSJ13 MTB13 MTT13 MUL13 MVD13 MVV13 MWN13 MXF13 MXX13 MYP13 MZH13 MZZ13 NAR13 NBJ13 NCB13 NCT13 NDL13 NED13 NEV13 NFN13 NGF13 NGX13 NHP13 NIH13 NIZ13 NJR13 NKJ13 NLB13 NLT13 NML13 NND13 NNV13 NON13 NPF13 NPX13 NQP13 NRH13 NRZ13 NSR13 NTJ13 NUB13 NUT13 NVL13 NWD13 NWV13 NXN13 NYF13 NYX13 NZP13 OAH13 OAZ13 OBR13 OCJ13 ODB13 ODT13 OEL13 OFD13 OFV13 OGN13 OHF13 OHX13 OIP13 OJH13 OJZ13 OKR13 OLJ13 OMB13 OMT13 ONL13 OOD13 OOV13 OPN13 OQF13 OQX13 ORP13 OSH13 OSZ13 OTR13 OUJ13 OVB13 OVT13 OWL13 OXD13 OXV13 OYN13 OZF13 OZX13 PAP13 PBH13 PBZ13 PCR13 PDJ13 PEB13 PET13 PFL13 PGD13 PGV13 PHN13 PIF13 PIX13 PJP13 PKH13 PKZ13 PLR13 PMJ13 PNB13 PNT13 POL13 PPD13 PPV13 PQN13 PRF13 PRX13 PSP13 PTH13 PTZ13 PUR13 PVJ13 PWB13 PWT13 PXL13 PYD13 PYV13 PZN13 QAF13 QAX13 QBP13 QCH13 QCZ13 QDR13 QEJ13 QFB13 QFT13 QGL13 QHD13 QHV13 QIN13 QJF13 QJX13 QKP13 QLH13 QLZ13 QMR13 QNJ13 QOB13 QOT13 QPL13 QQD13 QQV13 QRN13 QSF13 QSX13 QTP13 QUH13 QUZ13 QVR13 QWJ13 QXB13 QXT13 QYL13 QZD13 QZV13 RAN13 RBF13 RBX13 RCP13 RDH13 RDZ13 RER13 RFJ13 RGB13 RGT13 RHL13 RID13 RIV13 RJN13 RKF13 RKX13 RLP13 RMH13 RMZ13 RNR13 ROJ13 RPB13 RPT13 RQL13 RRD13 RRV13 RSN13 RTF13 RTX13 RUP13 RVH13 RVZ13 RWR13 RXJ13 RYB13 RYT13 RZL13 SAD13 SAV13 SBN13 SCF13 SCX13 SDP13 SEH13 SEZ13 SFR13 SGJ13 SHB13 SHT13 SIL13 SJD13 SJV13 SKN13 SLF13 SLX13 SMP13 SNH13 SNZ13 SOR13 SPJ13 SQB13 SQT13 SRL13 SSD13 SSV13 STN13 SUF13 SUX13 SVP13 SWH13 SWZ13 SXR13 SYJ13 SZB13 SZT13 TAL13 TBD13 TBV13 TCN13 TDF13 TDX13 TEP13 TFH13 TFZ13 TGR13 THJ13 TIB13 TIT13 TJL13 TKD13 TKV13 TLN13 TMF13 TMX13 TNP13 TOH13 TOZ13 TPR13 TQJ13 TRB13 TRT13 TSL13 TTD13 TTV13 TUN13 TVF13 TVX13 TWP13 TXH13 TXZ13 TYR13 TZJ13 UAB13 UAT13 UBL13 UCD13 UCV13 UDN13 UEF13 UEX13 UFP13 UGH13 UGZ13 UHR13 UIJ13 UJB13 UJT13 UKL13 ULD13 ULV13 UMN13 UNF13 UNX13 UOP13 UPH13 UPZ13 UQR13 URJ13 USB13 UST13 UTL13 UUD13 UUV13 UVN13 UWF13 UWX13 UXP13 UYH13 UYZ13 UZR13 VAJ13 VBB13 VBT13 VCL13 VDD13 VDV13 VEN13 VFF13 VFX13 VGP13 VHH13 VHZ13 VIR13 VJJ13 VKB13 VKT13 VLL13 VMD13 VMV13 VNN13 VOF13 VOX13 VPP13 VQH13 VQZ13 VRR13 VSJ13 VTB13 VTT13 VUL13 VVD13 VVV13 VWN13 VXF13 VXX13 VYP13 VZH13 VZZ13 WAR13 WBJ13 WCB13 WCT13 WDL13 WED13 WEV13 WFN13 WGF13 WGX13 WHP13 WIH13 WIZ13 WJR13 WKJ13 WLB13 WLT13 WML13 WND13 WNV13 WON13 WPF13 WPX13 WQP13 WRH13 WRZ13 WSR13 WTJ13 WUB13 WUT13 WVL13 WWD13 WWV13 WXN13 WYF13 WYX13 WZP13 XAH13 XAZ13 XBR13 XCJ13 XDB13 XDT13 XEL13 XFD13">
    <cfRule type="cellIs" dxfId="41" priority="28" stopIfTrue="1" operator="equal">
      <formula>1</formula>
    </cfRule>
  </conditionalFormatting>
  <conditionalFormatting sqref="V14 AN14 BF14 BX14 CP14 DH14 DZ14 ER14 FJ14 GB14 GT14 HL14 ID14 IV14 JN14 KF14 KX14 LP14 MH14 MZ14 NR14 OJ14 PB14 PT14 QL14 RD14 RV14 SN14 TF14 TX14 UP14 VH14 VZ14 WR14 XJ14 YB14 YT14 ZL14 AAD14 AAV14 ABN14 ACF14 ACX14 ADP14 AEH14 AEZ14 AFR14 AGJ14 AHB14 AHT14 AIL14 AJD14 AJV14 AKN14 ALF14 ALX14 AMP14 ANH14 ANZ14 AOR14 APJ14 AQB14 AQT14 ARL14 ASD14 ASV14 ATN14 AUF14 AUX14 AVP14 AWH14 AWZ14 AXR14 AYJ14 AZB14 AZT14 BAL14 BBD14 BBV14 BCN14 BDF14 BDX14 BEP14 BFH14 BFZ14 BGR14 BHJ14 BIB14 BIT14 BJL14 BKD14 BKV14 BLN14 BMF14 BMX14 BNP14 BOH14 BOZ14 BPR14 BQJ14 BRB14 BRT14 BSL14 BTD14 BTV14 BUN14 BVF14 BVX14 BWP14 BXH14 BXZ14 BYR14 BZJ14 CAB14 CAT14 CBL14 CCD14 CCV14 CDN14 CEF14 CEX14 CFP14 CGH14 CGZ14 CHR14 CIJ14 CJB14 CJT14 CKL14 CLD14 CLV14 CMN14 CNF14 CNX14 COP14 CPH14 CPZ14 CQR14 CRJ14 CSB14 CST14 CTL14 CUD14 CUV14 CVN14 CWF14 CWX14 CXP14 CYH14 CYZ14 CZR14 DAJ14 DBB14 DBT14 DCL14 DDD14 DDV14 DEN14 DFF14 DFX14 DGP14 DHH14 DHZ14 DIR14 DJJ14 DKB14 DKT14 DLL14 DMD14 DMV14 DNN14 DOF14 DOX14 DPP14 DQH14 DQZ14 DRR14 DSJ14 DTB14 DTT14 DUL14 DVD14 DVV14 DWN14 DXF14 DXX14 DYP14 DZH14 DZZ14 EAR14 EBJ14 ECB14 ECT14 EDL14 EED14 EEV14 EFN14 EGF14 EGX14 EHP14 EIH14 EIZ14 EJR14 EKJ14 ELB14 ELT14 EML14 END14 ENV14 EON14 EPF14 EPX14 EQP14 ERH14 ERZ14 ESR14 ETJ14 EUB14 EUT14 EVL14 EWD14 EWV14 EXN14 EYF14 EYX14 EZP14 FAH14 FAZ14 FBR14 FCJ14 FDB14 FDT14 FEL14 FFD14 FFV14 FGN14 FHF14 FHX14 FIP14 FJH14 FJZ14 FKR14 FLJ14 FMB14 FMT14 FNL14 FOD14 FOV14 FPN14 FQF14 FQX14 FRP14 FSH14 FSZ14 FTR14 FUJ14 FVB14 FVT14 FWL14 FXD14 FXV14 FYN14 FZF14 FZX14 GAP14 GBH14 GBZ14 GCR14 GDJ14 GEB14 GET14 GFL14 GGD14 GGV14 GHN14 GIF14 GIX14 GJP14 GKH14 GKZ14 GLR14 GMJ14 GNB14 GNT14 GOL14 GPD14 GPV14 GQN14 GRF14 GRX14 GSP14 GTH14 GTZ14 GUR14 GVJ14 GWB14 GWT14 GXL14 GYD14 GYV14 GZN14 HAF14 HAX14 HBP14 HCH14 HCZ14 HDR14 HEJ14 HFB14 HFT14 HGL14 HHD14 HHV14 HIN14 HJF14 HJX14 HKP14 HLH14 HLZ14 HMR14 HNJ14 HOB14 HOT14 HPL14 HQD14 HQV14 HRN14 HSF14 HSX14 HTP14 HUH14 HUZ14 HVR14 HWJ14 HXB14 HXT14 HYL14 HZD14 HZV14 IAN14 IBF14 IBX14 ICP14 IDH14 IDZ14 IER14 IFJ14 IGB14 IGT14 IHL14 IID14 IIV14 IJN14 IKF14 IKX14 ILP14 IMH14 IMZ14 INR14 IOJ14 IPB14 IPT14 IQL14 IRD14 IRV14 ISN14 ITF14 ITX14 IUP14 IVH14 IVZ14 IWR14 IXJ14 IYB14 IYT14 IZL14 JAD14 JAV14 JBN14 JCF14 JCX14 JDP14 JEH14 JEZ14 JFR14 JGJ14 JHB14 JHT14 JIL14 JJD14 JJV14 JKN14 JLF14 JLX14 JMP14 JNH14 JNZ14 JOR14 JPJ14 JQB14 JQT14 JRL14 JSD14 JSV14 JTN14 JUF14 JUX14 JVP14 JWH14 JWZ14 JXR14 JYJ14 JZB14 JZT14 KAL14 KBD14 KBV14 KCN14 KDF14 KDX14 KEP14 KFH14 KFZ14 KGR14 KHJ14 KIB14 KIT14 KJL14 KKD14 KKV14 KLN14 KMF14 KMX14 KNP14 KOH14 KOZ14 KPR14 KQJ14 KRB14 KRT14 KSL14 KTD14 KTV14 KUN14 KVF14 KVX14 KWP14 KXH14 KXZ14 KYR14 KZJ14 LAB14 LAT14 LBL14 LCD14 LCV14 LDN14 LEF14 LEX14 LFP14 LGH14 LGZ14 LHR14 LIJ14 LJB14 LJT14 LKL14 LLD14 LLV14 LMN14 LNF14 LNX14 LOP14 LPH14 LPZ14 LQR14 LRJ14 LSB14 LST14 LTL14 LUD14 LUV14 LVN14 LWF14 LWX14 LXP14 LYH14 LYZ14 LZR14 MAJ14 MBB14 MBT14 MCL14 MDD14 MDV14 MEN14 MFF14 MFX14 MGP14 MHH14 MHZ14 MIR14 MJJ14 MKB14 MKT14 MLL14 MMD14 MMV14 MNN14 MOF14 MOX14 MPP14 MQH14 MQZ14 MRR14 MSJ14 MTB14 MTT14 MUL14 MVD14 MVV14 MWN14 MXF14 MXX14 MYP14 MZH14 MZZ14 NAR14 NBJ14 NCB14 NCT14 NDL14 NED14 NEV14 NFN14 NGF14 NGX14 NHP14 NIH14 NIZ14 NJR14 NKJ14 NLB14 NLT14 NML14 NND14 NNV14 NON14 NPF14 NPX14 NQP14 NRH14 NRZ14 NSR14 NTJ14 NUB14 NUT14 NVL14 NWD14 NWV14 NXN14 NYF14 NYX14 NZP14 OAH14 OAZ14 OBR14 OCJ14 ODB14 ODT14 OEL14 OFD14 OFV14 OGN14 OHF14 OHX14 OIP14 OJH14 OJZ14 OKR14 OLJ14 OMB14 OMT14 ONL14 OOD14 OOV14 OPN14 OQF14 OQX14 ORP14 OSH14 OSZ14 OTR14 OUJ14 OVB14 OVT14 OWL14 OXD14 OXV14 OYN14 OZF14 OZX14 PAP14 PBH14 PBZ14 PCR14 PDJ14 PEB14 PET14 PFL14 PGD14 PGV14 PHN14 PIF14 PIX14 PJP14 PKH14 PKZ14 PLR14 PMJ14 PNB14 PNT14 POL14 PPD14 PPV14 PQN14 PRF14 PRX14 PSP14 PTH14 PTZ14 PUR14 PVJ14 PWB14 PWT14 PXL14 PYD14 PYV14 PZN14 QAF14 QAX14 QBP14 QCH14 QCZ14 QDR14 QEJ14 QFB14 QFT14 QGL14 QHD14 QHV14 QIN14 QJF14 QJX14 QKP14 QLH14 QLZ14 QMR14 QNJ14 QOB14 QOT14 QPL14 QQD14 QQV14 QRN14 QSF14 QSX14 QTP14 QUH14 QUZ14 QVR14 QWJ14 QXB14 QXT14 QYL14 QZD14 QZV14 RAN14 RBF14 RBX14 RCP14 RDH14 RDZ14 RER14 RFJ14 RGB14 RGT14 RHL14 RID14 RIV14 RJN14 RKF14 RKX14 RLP14 RMH14 RMZ14 RNR14 ROJ14 RPB14 RPT14 RQL14 RRD14 RRV14 RSN14 RTF14 RTX14 RUP14 RVH14 RVZ14 RWR14 RXJ14 RYB14 RYT14 RZL14 SAD14 SAV14 SBN14 SCF14 SCX14 SDP14 SEH14 SEZ14 SFR14 SGJ14 SHB14 SHT14 SIL14 SJD14 SJV14 SKN14 SLF14 SLX14 SMP14 SNH14 SNZ14 SOR14 SPJ14 SQB14 SQT14 SRL14 SSD14 SSV14 STN14 SUF14 SUX14 SVP14 SWH14 SWZ14 SXR14 SYJ14 SZB14 SZT14 TAL14 TBD14 TBV14 TCN14 TDF14 TDX14 TEP14 TFH14 TFZ14 TGR14 THJ14 TIB14 TIT14 TJL14 TKD14 TKV14 TLN14 TMF14 TMX14 TNP14 TOH14 TOZ14 TPR14 TQJ14 TRB14 TRT14 TSL14 TTD14 TTV14 TUN14 TVF14 TVX14 TWP14 TXH14 TXZ14 TYR14 TZJ14 UAB14 UAT14 UBL14 UCD14 UCV14 UDN14 UEF14 UEX14 UFP14 UGH14 UGZ14 UHR14 UIJ14 UJB14 UJT14 UKL14 ULD14 ULV14 UMN14 UNF14 UNX14 UOP14 UPH14 UPZ14 UQR14 URJ14 USB14 UST14 UTL14 UUD14 UUV14 UVN14 UWF14 UWX14 UXP14 UYH14 UYZ14 UZR14 VAJ14 VBB14 VBT14 VCL14 VDD14 VDV14 VEN14 VFF14 VFX14 VGP14 VHH14 VHZ14 VIR14 VJJ14 VKB14 VKT14 VLL14 VMD14 VMV14 VNN14 VOF14 VOX14 VPP14 VQH14 VQZ14 VRR14 VSJ14 VTB14 VTT14 VUL14 VVD14 VVV14 VWN14 VXF14 VXX14 VYP14 VZH14 VZZ14 WAR14 WBJ14 WCB14 WCT14 WDL14 WED14 WEV14 WFN14 WGF14 WGX14 WHP14 WIH14 WIZ14 WJR14 WKJ14 WLB14 WLT14 WML14 WND14 WNV14 WON14 WPF14 WPX14 WQP14 WRH14 WRZ14 WSR14 WTJ14 WUB14 WUT14 WVL14 WWD14 WWV14 WXN14 WYF14 WYX14 WZP14 XAH14 XAZ14 XBR14 XCJ14 XDB14 XDT14 XEL14 XFD14">
    <cfRule type="cellIs" dxfId="40" priority="27" stopIfTrue="1" operator="equal">
      <formula>1</formula>
    </cfRule>
  </conditionalFormatting>
  <conditionalFormatting sqref="V15 AN15 BF15 BX15 CP15 DH15 DZ15 ER15 FJ15 GB15 GT15 HL15 ID15 IV15 JN15 KF15 KX15 LP15 MH15 MZ15 NR15 OJ15 PB15 PT15 QL15 RD15 RV15 SN15 TF15 TX15 UP15 VH15 VZ15 WR15 XJ15 YB15 YT15 ZL15 AAD15 AAV15 ABN15 ACF15 ACX15 ADP15 AEH15 AEZ15 AFR15 AGJ15 AHB15 AHT15 AIL15 AJD15 AJV15 AKN15 ALF15 ALX15 AMP15 ANH15 ANZ15 AOR15 APJ15 AQB15 AQT15 ARL15 ASD15 ASV15 ATN15 AUF15 AUX15 AVP15 AWH15 AWZ15 AXR15 AYJ15 AZB15 AZT15 BAL15 BBD15 BBV15 BCN15 BDF15 BDX15 BEP15 BFH15 BFZ15 BGR15 BHJ15 BIB15 BIT15 BJL15 BKD15 BKV15 BLN15 BMF15 BMX15 BNP15 BOH15 BOZ15 BPR15 BQJ15 BRB15 BRT15 BSL15 BTD15 BTV15 BUN15 BVF15 BVX15 BWP15 BXH15 BXZ15 BYR15 BZJ15 CAB15 CAT15 CBL15 CCD15 CCV15 CDN15 CEF15 CEX15 CFP15 CGH15 CGZ15 CHR15 CIJ15 CJB15 CJT15 CKL15 CLD15 CLV15 CMN15 CNF15 CNX15 COP15 CPH15 CPZ15 CQR15 CRJ15 CSB15 CST15 CTL15 CUD15 CUV15 CVN15 CWF15 CWX15 CXP15 CYH15 CYZ15 CZR15 DAJ15 DBB15 DBT15 DCL15 DDD15 DDV15 DEN15 DFF15 DFX15 DGP15 DHH15 DHZ15 DIR15 DJJ15 DKB15 DKT15 DLL15 DMD15 DMV15 DNN15 DOF15 DOX15 DPP15 DQH15 DQZ15 DRR15 DSJ15 DTB15 DTT15 DUL15 DVD15 DVV15 DWN15 DXF15 DXX15 DYP15 DZH15 DZZ15 EAR15 EBJ15 ECB15 ECT15 EDL15 EED15 EEV15 EFN15 EGF15 EGX15 EHP15 EIH15 EIZ15 EJR15 EKJ15 ELB15 ELT15 EML15 END15 ENV15 EON15 EPF15 EPX15 EQP15 ERH15 ERZ15 ESR15 ETJ15 EUB15 EUT15 EVL15 EWD15 EWV15 EXN15 EYF15 EYX15 EZP15 FAH15 FAZ15 FBR15 FCJ15 FDB15 FDT15 FEL15 FFD15 FFV15 FGN15 FHF15 FHX15 FIP15 FJH15 FJZ15 FKR15 FLJ15 FMB15 FMT15 FNL15 FOD15 FOV15 FPN15 FQF15 FQX15 FRP15 FSH15 FSZ15 FTR15 FUJ15 FVB15 FVT15 FWL15 FXD15 FXV15 FYN15 FZF15 FZX15 GAP15 GBH15 GBZ15 GCR15 GDJ15 GEB15 GET15 GFL15 GGD15 GGV15 GHN15 GIF15 GIX15 GJP15 GKH15 GKZ15 GLR15 GMJ15 GNB15 GNT15 GOL15 GPD15 GPV15 GQN15 GRF15 GRX15 GSP15 GTH15 GTZ15 GUR15 GVJ15 GWB15 GWT15 GXL15 GYD15 GYV15 GZN15 HAF15 HAX15 HBP15 HCH15 HCZ15 HDR15 HEJ15 HFB15 HFT15 HGL15 HHD15 HHV15 HIN15 HJF15 HJX15 HKP15 HLH15 HLZ15 HMR15 HNJ15 HOB15 HOT15 HPL15 HQD15 HQV15 HRN15 HSF15 HSX15 HTP15 HUH15 HUZ15 HVR15 HWJ15 HXB15 HXT15 HYL15 HZD15 HZV15 IAN15 IBF15 IBX15 ICP15 IDH15 IDZ15 IER15 IFJ15 IGB15 IGT15 IHL15 IID15 IIV15 IJN15 IKF15 IKX15 ILP15 IMH15 IMZ15 INR15 IOJ15 IPB15 IPT15 IQL15 IRD15 IRV15 ISN15 ITF15 ITX15 IUP15 IVH15 IVZ15 IWR15 IXJ15 IYB15 IYT15 IZL15 JAD15 JAV15 JBN15 JCF15 JCX15 JDP15 JEH15 JEZ15 JFR15 JGJ15 JHB15 JHT15 JIL15 JJD15 JJV15 JKN15 JLF15 JLX15 JMP15 JNH15 JNZ15 JOR15 JPJ15 JQB15 JQT15 JRL15 JSD15 JSV15 JTN15 JUF15 JUX15 JVP15 JWH15 JWZ15 JXR15 JYJ15 JZB15 JZT15 KAL15 KBD15 KBV15 KCN15 KDF15 KDX15 KEP15 KFH15 KFZ15 KGR15 KHJ15 KIB15 KIT15 KJL15 KKD15 KKV15 KLN15 KMF15 KMX15 KNP15 KOH15 KOZ15 KPR15 KQJ15 KRB15 KRT15 KSL15 KTD15 KTV15 KUN15 KVF15 KVX15 KWP15 KXH15 KXZ15 KYR15 KZJ15 LAB15 LAT15 LBL15 LCD15 LCV15 LDN15 LEF15 LEX15 LFP15 LGH15 LGZ15 LHR15 LIJ15 LJB15 LJT15 LKL15 LLD15 LLV15 LMN15 LNF15 LNX15 LOP15 LPH15 LPZ15 LQR15 LRJ15 LSB15 LST15 LTL15 LUD15 LUV15 LVN15 LWF15 LWX15 LXP15 LYH15 LYZ15 LZR15 MAJ15 MBB15 MBT15 MCL15 MDD15 MDV15 MEN15 MFF15 MFX15 MGP15 MHH15 MHZ15 MIR15 MJJ15 MKB15 MKT15 MLL15 MMD15 MMV15 MNN15 MOF15 MOX15 MPP15 MQH15 MQZ15 MRR15 MSJ15 MTB15 MTT15 MUL15 MVD15 MVV15 MWN15 MXF15 MXX15 MYP15 MZH15 MZZ15 NAR15 NBJ15 NCB15 NCT15 NDL15 NED15 NEV15 NFN15 NGF15 NGX15 NHP15 NIH15 NIZ15 NJR15 NKJ15 NLB15 NLT15 NML15 NND15 NNV15 NON15 NPF15 NPX15 NQP15 NRH15 NRZ15 NSR15 NTJ15 NUB15 NUT15 NVL15 NWD15 NWV15 NXN15 NYF15 NYX15 NZP15 OAH15 OAZ15 OBR15 OCJ15 ODB15 ODT15 OEL15 OFD15 OFV15 OGN15 OHF15 OHX15 OIP15 OJH15 OJZ15 OKR15 OLJ15 OMB15 OMT15 ONL15 OOD15 OOV15 OPN15 OQF15 OQX15 ORP15 OSH15 OSZ15 OTR15 OUJ15 OVB15 OVT15 OWL15 OXD15 OXV15 OYN15 OZF15 OZX15 PAP15 PBH15 PBZ15 PCR15 PDJ15 PEB15 PET15 PFL15 PGD15 PGV15 PHN15 PIF15 PIX15 PJP15 PKH15 PKZ15 PLR15 PMJ15 PNB15 PNT15 POL15 PPD15 PPV15 PQN15 PRF15 PRX15 PSP15 PTH15 PTZ15 PUR15 PVJ15 PWB15 PWT15 PXL15 PYD15 PYV15 PZN15 QAF15 QAX15 QBP15 QCH15 QCZ15 QDR15 QEJ15 QFB15 QFT15 QGL15 QHD15 QHV15 QIN15 QJF15 QJX15 QKP15 QLH15 QLZ15 QMR15 QNJ15 QOB15 QOT15 QPL15 QQD15 QQV15 QRN15 QSF15 QSX15 QTP15 QUH15 QUZ15 QVR15 QWJ15 QXB15 QXT15 QYL15 QZD15 QZV15 RAN15 RBF15 RBX15 RCP15 RDH15 RDZ15 RER15 RFJ15 RGB15 RGT15 RHL15 RID15 RIV15 RJN15 RKF15 RKX15 RLP15 RMH15 RMZ15 RNR15 ROJ15 RPB15 RPT15 RQL15 RRD15 RRV15 RSN15 RTF15 RTX15 RUP15 RVH15 RVZ15 RWR15 RXJ15 RYB15 RYT15 RZL15 SAD15 SAV15 SBN15 SCF15 SCX15 SDP15 SEH15 SEZ15 SFR15 SGJ15 SHB15 SHT15 SIL15 SJD15 SJV15 SKN15 SLF15 SLX15 SMP15 SNH15 SNZ15 SOR15 SPJ15 SQB15 SQT15 SRL15 SSD15 SSV15 STN15 SUF15 SUX15 SVP15 SWH15 SWZ15 SXR15 SYJ15 SZB15 SZT15 TAL15 TBD15 TBV15 TCN15 TDF15 TDX15 TEP15 TFH15 TFZ15 TGR15 THJ15 TIB15 TIT15 TJL15 TKD15 TKV15 TLN15 TMF15 TMX15 TNP15 TOH15 TOZ15 TPR15 TQJ15 TRB15 TRT15 TSL15 TTD15 TTV15 TUN15 TVF15 TVX15 TWP15 TXH15 TXZ15 TYR15 TZJ15 UAB15 UAT15 UBL15 UCD15 UCV15 UDN15 UEF15 UEX15 UFP15 UGH15 UGZ15 UHR15 UIJ15 UJB15 UJT15 UKL15 ULD15 ULV15 UMN15 UNF15 UNX15 UOP15 UPH15 UPZ15 UQR15 URJ15 USB15 UST15 UTL15 UUD15 UUV15 UVN15 UWF15 UWX15 UXP15 UYH15 UYZ15 UZR15 VAJ15 VBB15 VBT15 VCL15 VDD15 VDV15 VEN15 VFF15 VFX15 VGP15 VHH15 VHZ15 VIR15 VJJ15 VKB15 VKT15 VLL15 VMD15 VMV15 VNN15 VOF15 VOX15 VPP15 VQH15 VQZ15 VRR15 VSJ15 VTB15 VTT15 VUL15 VVD15 VVV15 VWN15 VXF15 VXX15 VYP15 VZH15 VZZ15 WAR15 WBJ15 WCB15 WCT15 WDL15 WED15 WEV15 WFN15 WGF15 WGX15 WHP15 WIH15 WIZ15 WJR15 WKJ15 WLB15 WLT15 WML15 WND15 WNV15 WON15 WPF15 WPX15 WQP15 WRH15 WRZ15 WSR15 WTJ15 WUB15 WUT15 WVL15 WWD15 WWV15 WXN15 WYF15 WYX15 WZP15 XAH15 XAZ15 XBR15 XCJ15 XDB15 XDT15 XEL15 XFD15">
    <cfRule type="cellIs" dxfId="39" priority="26" stopIfTrue="1" operator="equal">
      <formula>1</formula>
    </cfRule>
  </conditionalFormatting>
  <conditionalFormatting sqref="V16 AN16 BF16 BX16 CP16 DH16 DZ16 ER16 FJ16 GB16 GT16 HL16 ID16 IV16 JN16 KF16 KX16 LP16 MH16 MZ16 NR16 OJ16 PB16 PT16 QL16 RD16 RV16 SN16 TF16 TX16 UP16 VH16 VZ16 WR16 XJ16 YB16 YT16 ZL16 AAD16 AAV16 ABN16 ACF16 ACX16 ADP16 AEH16 AEZ16 AFR16 AGJ16 AHB16 AHT16 AIL16 AJD16 AJV16 AKN16 ALF16 ALX16 AMP16 ANH16 ANZ16 AOR16 APJ16 AQB16 AQT16 ARL16 ASD16 ASV16 ATN16 AUF16 AUX16 AVP16 AWH16 AWZ16 AXR16 AYJ16 AZB16 AZT16 BAL16 BBD16 BBV16 BCN16 BDF16 BDX16 BEP16 BFH16 BFZ16 BGR16 BHJ16 BIB16 BIT16 BJL16 BKD16 BKV16 BLN16 BMF16 BMX16 BNP16 BOH16 BOZ16 BPR16 BQJ16 BRB16 BRT16 BSL16 BTD16 BTV16 BUN16 BVF16 BVX16 BWP16 BXH16 BXZ16 BYR16 BZJ16 CAB16 CAT16 CBL16 CCD16 CCV16 CDN16 CEF16 CEX16 CFP16 CGH16 CGZ16 CHR16 CIJ16 CJB16 CJT16 CKL16 CLD16 CLV16 CMN16 CNF16 CNX16 COP16 CPH16 CPZ16 CQR16 CRJ16 CSB16 CST16 CTL16 CUD16 CUV16 CVN16 CWF16 CWX16 CXP16 CYH16 CYZ16 CZR16 DAJ16 DBB16 DBT16 DCL16 DDD16 DDV16 DEN16 DFF16 DFX16 DGP16 DHH16 DHZ16 DIR16 DJJ16 DKB16 DKT16 DLL16 DMD16 DMV16 DNN16 DOF16 DOX16 DPP16 DQH16 DQZ16 DRR16 DSJ16 DTB16 DTT16 DUL16 DVD16 DVV16 DWN16 DXF16 DXX16 DYP16 DZH16 DZZ16 EAR16 EBJ16 ECB16 ECT16 EDL16 EED16 EEV16 EFN16 EGF16 EGX16 EHP16 EIH16 EIZ16 EJR16 EKJ16 ELB16 ELT16 EML16 END16 ENV16 EON16 EPF16 EPX16 EQP16 ERH16 ERZ16 ESR16 ETJ16 EUB16 EUT16 EVL16 EWD16 EWV16 EXN16 EYF16 EYX16 EZP16 FAH16 FAZ16 FBR16 FCJ16 FDB16 FDT16 FEL16 FFD16 FFV16 FGN16 FHF16 FHX16 FIP16 FJH16 FJZ16 FKR16 FLJ16 FMB16 FMT16 FNL16 FOD16 FOV16 FPN16 FQF16 FQX16 FRP16 FSH16 FSZ16 FTR16 FUJ16 FVB16 FVT16 FWL16 FXD16 FXV16 FYN16 FZF16 FZX16 GAP16 GBH16 GBZ16 GCR16 GDJ16 GEB16 GET16 GFL16 GGD16 GGV16 GHN16 GIF16 GIX16 GJP16 GKH16 GKZ16 GLR16 GMJ16 GNB16 GNT16 GOL16 GPD16 GPV16 GQN16 GRF16 GRX16 GSP16 GTH16 GTZ16 GUR16 GVJ16 GWB16 GWT16 GXL16 GYD16 GYV16 GZN16 HAF16 HAX16 HBP16 HCH16 HCZ16 HDR16 HEJ16 HFB16 HFT16 HGL16 HHD16 HHV16 HIN16 HJF16 HJX16 HKP16 HLH16 HLZ16 HMR16 HNJ16 HOB16 HOT16 HPL16 HQD16 HQV16 HRN16 HSF16 HSX16 HTP16 HUH16 HUZ16 HVR16 HWJ16 HXB16 HXT16 HYL16 HZD16 HZV16 IAN16 IBF16 IBX16 ICP16 IDH16 IDZ16 IER16 IFJ16 IGB16 IGT16 IHL16 IID16 IIV16 IJN16 IKF16 IKX16 ILP16 IMH16 IMZ16 INR16 IOJ16 IPB16 IPT16 IQL16 IRD16 IRV16 ISN16 ITF16 ITX16 IUP16 IVH16 IVZ16 IWR16 IXJ16 IYB16 IYT16 IZL16 JAD16 JAV16 JBN16 JCF16 JCX16 JDP16 JEH16 JEZ16 JFR16 JGJ16 JHB16 JHT16 JIL16 JJD16 JJV16 JKN16 JLF16 JLX16 JMP16 JNH16 JNZ16 JOR16 JPJ16 JQB16 JQT16 JRL16 JSD16 JSV16 JTN16 JUF16 JUX16 JVP16 JWH16 JWZ16 JXR16 JYJ16 JZB16 JZT16 KAL16 KBD16 KBV16 KCN16 KDF16 KDX16 KEP16 KFH16 KFZ16 KGR16 KHJ16 KIB16 KIT16 KJL16 KKD16 KKV16 KLN16 KMF16 KMX16 KNP16 KOH16 KOZ16 KPR16 KQJ16 KRB16 KRT16 KSL16 KTD16 KTV16 KUN16 KVF16 KVX16 KWP16 KXH16 KXZ16 KYR16 KZJ16 LAB16 LAT16 LBL16 LCD16 LCV16 LDN16 LEF16 LEX16 LFP16 LGH16 LGZ16 LHR16 LIJ16 LJB16 LJT16 LKL16 LLD16 LLV16 LMN16 LNF16 LNX16 LOP16 LPH16 LPZ16 LQR16 LRJ16 LSB16 LST16 LTL16 LUD16 LUV16 LVN16 LWF16 LWX16 LXP16 LYH16 LYZ16 LZR16 MAJ16 MBB16 MBT16 MCL16 MDD16 MDV16 MEN16 MFF16 MFX16 MGP16 MHH16 MHZ16 MIR16 MJJ16 MKB16 MKT16 MLL16 MMD16 MMV16 MNN16 MOF16 MOX16 MPP16 MQH16 MQZ16 MRR16 MSJ16 MTB16 MTT16 MUL16 MVD16 MVV16 MWN16 MXF16 MXX16 MYP16 MZH16 MZZ16 NAR16 NBJ16 NCB16 NCT16 NDL16 NED16 NEV16 NFN16 NGF16 NGX16 NHP16 NIH16 NIZ16 NJR16 NKJ16 NLB16 NLT16 NML16 NND16 NNV16 NON16 NPF16 NPX16 NQP16 NRH16 NRZ16 NSR16 NTJ16 NUB16 NUT16 NVL16 NWD16 NWV16 NXN16 NYF16 NYX16 NZP16 OAH16 OAZ16 OBR16 OCJ16 ODB16 ODT16 OEL16 OFD16 OFV16 OGN16 OHF16 OHX16 OIP16 OJH16 OJZ16 OKR16 OLJ16 OMB16 OMT16 ONL16 OOD16 OOV16 OPN16 OQF16 OQX16 ORP16 OSH16 OSZ16 OTR16 OUJ16 OVB16 OVT16 OWL16 OXD16 OXV16 OYN16 OZF16 OZX16 PAP16 PBH16 PBZ16 PCR16 PDJ16 PEB16 PET16 PFL16 PGD16 PGV16 PHN16 PIF16 PIX16 PJP16 PKH16 PKZ16 PLR16 PMJ16 PNB16 PNT16 POL16 PPD16 PPV16 PQN16 PRF16 PRX16 PSP16 PTH16 PTZ16 PUR16 PVJ16 PWB16 PWT16 PXL16 PYD16 PYV16 PZN16 QAF16 QAX16 QBP16 QCH16 QCZ16 QDR16 QEJ16 QFB16 QFT16 QGL16 QHD16 QHV16 QIN16 QJF16 QJX16 QKP16 QLH16 QLZ16 QMR16 QNJ16 QOB16 QOT16 QPL16 QQD16 QQV16 QRN16 QSF16 QSX16 QTP16 QUH16 QUZ16 QVR16 QWJ16 QXB16 QXT16 QYL16 QZD16 QZV16 RAN16 RBF16 RBX16 RCP16 RDH16 RDZ16 RER16 RFJ16 RGB16 RGT16 RHL16 RID16 RIV16 RJN16 RKF16 RKX16 RLP16 RMH16 RMZ16 RNR16 ROJ16 RPB16 RPT16 RQL16 RRD16 RRV16 RSN16 RTF16 RTX16 RUP16 RVH16 RVZ16 RWR16 RXJ16 RYB16 RYT16 RZL16 SAD16 SAV16 SBN16 SCF16 SCX16 SDP16 SEH16 SEZ16 SFR16 SGJ16 SHB16 SHT16 SIL16 SJD16 SJV16 SKN16 SLF16 SLX16 SMP16 SNH16 SNZ16 SOR16 SPJ16 SQB16 SQT16 SRL16 SSD16 SSV16 STN16 SUF16 SUX16 SVP16 SWH16 SWZ16 SXR16 SYJ16 SZB16 SZT16 TAL16 TBD16 TBV16 TCN16 TDF16 TDX16 TEP16 TFH16 TFZ16 TGR16 THJ16 TIB16 TIT16 TJL16 TKD16 TKV16 TLN16 TMF16 TMX16 TNP16 TOH16 TOZ16 TPR16 TQJ16 TRB16 TRT16 TSL16 TTD16 TTV16 TUN16 TVF16 TVX16 TWP16 TXH16 TXZ16 TYR16 TZJ16 UAB16 UAT16 UBL16 UCD16 UCV16 UDN16 UEF16 UEX16 UFP16 UGH16 UGZ16 UHR16 UIJ16 UJB16 UJT16 UKL16 ULD16 ULV16 UMN16 UNF16 UNX16 UOP16 UPH16 UPZ16 UQR16 URJ16 USB16 UST16 UTL16 UUD16 UUV16 UVN16 UWF16 UWX16 UXP16 UYH16 UYZ16 UZR16 VAJ16 VBB16 VBT16 VCL16 VDD16 VDV16 VEN16 VFF16 VFX16 VGP16 VHH16 VHZ16 VIR16 VJJ16 VKB16 VKT16 VLL16 VMD16 VMV16 VNN16 VOF16 VOX16 VPP16 VQH16 VQZ16 VRR16 VSJ16 VTB16 VTT16 VUL16 VVD16 VVV16 VWN16 VXF16 VXX16 VYP16 VZH16 VZZ16 WAR16 WBJ16 WCB16 WCT16 WDL16 WED16 WEV16 WFN16 WGF16 WGX16 WHP16 WIH16 WIZ16 WJR16 WKJ16 WLB16 WLT16 WML16 WND16 WNV16 WON16 WPF16 WPX16 WQP16 WRH16 WRZ16 WSR16 WTJ16 WUB16 WUT16 WVL16 WWD16 WWV16 WXN16 WYF16 WYX16 WZP16 XAH16 XAZ16 XBR16 XCJ16 XDB16 XDT16 XEL16 XFD16">
    <cfRule type="cellIs" dxfId="38" priority="25" stopIfTrue="1" operator="equal">
      <formula>1</formula>
    </cfRule>
  </conditionalFormatting>
  <conditionalFormatting sqref="V17 AN17 BF17 BX17 CP17 DH17 DZ17 ER17 FJ17 GB17 GT17 HL17 ID17 IV17 JN17 KF17 KX17 LP17 MH17 MZ17 NR17 OJ17 PB17 PT17 QL17 RD17 RV17 SN17 TF17 TX17 UP17 VH17 VZ17 WR17 XJ17 YB17 YT17 ZL17 AAD17 AAV17 ABN17 ACF17 ACX17 ADP17 AEH17 AEZ17 AFR17 AGJ17 AHB17 AHT17 AIL17 AJD17 AJV17 AKN17 ALF17 ALX17 AMP17 ANH17 ANZ17 AOR17 APJ17 AQB17 AQT17 ARL17 ASD17 ASV17 ATN17 AUF17 AUX17 AVP17 AWH17 AWZ17 AXR17 AYJ17 AZB17 AZT17 BAL17 BBD17 BBV17 BCN17 BDF17 BDX17 BEP17 BFH17 BFZ17 BGR17 BHJ17 BIB17 BIT17 BJL17 BKD17 BKV17 BLN17 BMF17 BMX17 BNP17 BOH17 BOZ17 BPR17 BQJ17 BRB17 BRT17 BSL17 BTD17 BTV17 BUN17 BVF17 BVX17 BWP17 BXH17 BXZ17 BYR17 BZJ17 CAB17 CAT17 CBL17 CCD17 CCV17 CDN17 CEF17 CEX17 CFP17 CGH17 CGZ17 CHR17 CIJ17 CJB17 CJT17 CKL17 CLD17 CLV17 CMN17 CNF17 CNX17 COP17 CPH17 CPZ17 CQR17 CRJ17 CSB17 CST17 CTL17 CUD17 CUV17 CVN17 CWF17 CWX17 CXP17 CYH17 CYZ17 CZR17 DAJ17 DBB17 DBT17 DCL17 DDD17 DDV17 DEN17 DFF17 DFX17 DGP17 DHH17 DHZ17 DIR17 DJJ17 DKB17 DKT17 DLL17 DMD17 DMV17 DNN17 DOF17 DOX17 DPP17 DQH17 DQZ17 DRR17 DSJ17 DTB17 DTT17 DUL17 DVD17 DVV17 DWN17 DXF17 DXX17 DYP17 DZH17 DZZ17 EAR17 EBJ17 ECB17 ECT17 EDL17 EED17 EEV17 EFN17 EGF17 EGX17 EHP17 EIH17 EIZ17 EJR17 EKJ17 ELB17 ELT17 EML17 END17 ENV17 EON17 EPF17 EPX17 EQP17 ERH17 ERZ17 ESR17 ETJ17 EUB17 EUT17 EVL17 EWD17 EWV17 EXN17 EYF17 EYX17 EZP17 FAH17 FAZ17 FBR17 FCJ17 FDB17 FDT17 FEL17 FFD17 FFV17 FGN17 FHF17 FHX17 FIP17 FJH17 FJZ17 FKR17 FLJ17 FMB17 FMT17 FNL17 FOD17 FOV17 FPN17 FQF17 FQX17 FRP17 FSH17 FSZ17 FTR17 FUJ17 FVB17 FVT17 FWL17 FXD17 FXV17 FYN17 FZF17 FZX17 GAP17 GBH17 GBZ17 GCR17 GDJ17 GEB17 GET17 GFL17 GGD17 GGV17 GHN17 GIF17 GIX17 GJP17 GKH17 GKZ17 GLR17 GMJ17 GNB17 GNT17 GOL17 GPD17 GPV17 GQN17 GRF17 GRX17 GSP17 GTH17 GTZ17 GUR17 GVJ17 GWB17 GWT17 GXL17 GYD17 GYV17 GZN17 HAF17 HAX17 HBP17 HCH17 HCZ17 HDR17 HEJ17 HFB17 HFT17 HGL17 HHD17 HHV17 HIN17 HJF17 HJX17 HKP17 HLH17 HLZ17 HMR17 HNJ17 HOB17 HOT17 HPL17 HQD17 HQV17 HRN17 HSF17 HSX17 HTP17 HUH17 HUZ17 HVR17 HWJ17 HXB17 HXT17 HYL17 HZD17 HZV17 IAN17 IBF17 IBX17 ICP17 IDH17 IDZ17 IER17 IFJ17 IGB17 IGT17 IHL17 IID17 IIV17 IJN17 IKF17 IKX17 ILP17 IMH17 IMZ17 INR17 IOJ17 IPB17 IPT17 IQL17 IRD17 IRV17 ISN17 ITF17 ITX17 IUP17 IVH17 IVZ17 IWR17 IXJ17 IYB17 IYT17 IZL17 JAD17 JAV17 JBN17 JCF17 JCX17 JDP17 JEH17 JEZ17 JFR17 JGJ17 JHB17 JHT17 JIL17 JJD17 JJV17 JKN17 JLF17 JLX17 JMP17 JNH17 JNZ17 JOR17 JPJ17 JQB17 JQT17 JRL17 JSD17 JSV17 JTN17 JUF17 JUX17 JVP17 JWH17 JWZ17 JXR17 JYJ17 JZB17 JZT17 KAL17 KBD17 KBV17 KCN17 KDF17 KDX17 KEP17 KFH17 KFZ17 KGR17 KHJ17 KIB17 KIT17 KJL17 KKD17 KKV17 KLN17 KMF17 KMX17 KNP17 KOH17 KOZ17 KPR17 KQJ17 KRB17 KRT17 KSL17 KTD17 KTV17 KUN17 KVF17 KVX17 KWP17 KXH17 KXZ17 KYR17 KZJ17 LAB17 LAT17 LBL17 LCD17 LCV17 LDN17 LEF17 LEX17 LFP17 LGH17 LGZ17 LHR17 LIJ17 LJB17 LJT17 LKL17 LLD17 LLV17 LMN17 LNF17 LNX17 LOP17 LPH17 LPZ17 LQR17 LRJ17 LSB17 LST17 LTL17 LUD17 LUV17 LVN17 LWF17 LWX17 LXP17 LYH17 LYZ17 LZR17 MAJ17 MBB17 MBT17 MCL17 MDD17 MDV17 MEN17 MFF17 MFX17 MGP17 MHH17 MHZ17 MIR17 MJJ17 MKB17 MKT17 MLL17 MMD17 MMV17 MNN17 MOF17 MOX17 MPP17 MQH17 MQZ17 MRR17 MSJ17 MTB17 MTT17 MUL17 MVD17 MVV17 MWN17 MXF17 MXX17 MYP17 MZH17 MZZ17 NAR17 NBJ17 NCB17 NCT17 NDL17 NED17 NEV17 NFN17 NGF17 NGX17 NHP17 NIH17 NIZ17 NJR17 NKJ17 NLB17 NLT17 NML17 NND17 NNV17 NON17 NPF17 NPX17 NQP17 NRH17 NRZ17 NSR17 NTJ17 NUB17 NUT17 NVL17 NWD17 NWV17 NXN17 NYF17 NYX17 NZP17 OAH17 OAZ17 OBR17 OCJ17 ODB17 ODT17 OEL17 OFD17 OFV17 OGN17 OHF17 OHX17 OIP17 OJH17 OJZ17 OKR17 OLJ17 OMB17 OMT17 ONL17 OOD17 OOV17 OPN17 OQF17 OQX17 ORP17 OSH17 OSZ17 OTR17 OUJ17 OVB17 OVT17 OWL17 OXD17 OXV17 OYN17 OZF17 OZX17 PAP17 PBH17 PBZ17 PCR17 PDJ17 PEB17 PET17 PFL17 PGD17 PGV17 PHN17 PIF17 PIX17 PJP17 PKH17 PKZ17 PLR17 PMJ17 PNB17 PNT17 POL17 PPD17 PPV17 PQN17 PRF17 PRX17 PSP17 PTH17 PTZ17 PUR17 PVJ17 PWB17 PWT17 PXL17 PYD17 PYV17 PZN17 QAF17 QAX17 QBP17 QCH17 QCZ17 QDR17 QEJ17 QFB17 QFT17 QGL17 QHD17 QHV17 QIN17 QJF17 QJX17 QKP17 QLH17 QLZ17 QMR17 QNJ17 QOB17 QOT17 QPL17 QQD17 QQV17 QRN17 QSF17 QSX17 QTP17 QUH17 QUZ17 QVR17 QWJ17 QXB17 QXT17 QYL17 QZD17 QZV17 RAN17 RBF17 RBX17 RCP17 RDH17 RDZ17 RER17 RFJ17 RGB17 RGT17 RHL17 RID17 RIV17 RJN17 RKF17 RKX17 RLP17 RMH17 RMZ17 RNR17 ROJ17 RPB17 RPT17 RQL17 RRD17 RRV17 RSN17 RTF17 RTX17 RUP17 RVH17 RVZ17 RWR17 RXJ17 RYB17 RYT17 RZL17 SAD17 SAV17 SBN17 SCF17 SCX17 SDP17 SEH17 SEZ17 SFR17 SGJ17 SHB17 SHT17 SIL17 SJD17 SJV17 SKN17 SLF17 SLX17 SMP17 SNH17 SNZ17 SOR17 SPJ17 SQB17 SQT17 SRL17 SSD17 SSV17 STN17 SUF17 SUX17 SVP17 SWH17 SWZ17 SXR17 SYJ17 SZB17 SZT17 TAL17 TBD17 TBV17 TCN17 TDF17 TDX17 TEP17 TFH17 TFZ17 TGR17 THJ17 TIB17 TIT17 TJL17 TKD17 TKV17 TLN17 TMF17 TMX17 TNP17 TOH17 TOZ17 TPR17 TQJ17 TRB17 TRT17 TSL17 TTD17 TTV17 TUN17 TVF17 TVX17 TWP17 TXH17 TXZ17 TYR17 TZJ17 UAB17 UAT17 UBL17 UCD17 UCV17 UDN17 UEF17 UEX17 UFP17 UGH17 UGZ17 UHR17 UIJ17 UJB17 UJT17 UKL17 ULD17 ULV17 UMN17 UNF17 UNX17 UOP17 UPH17 UPZ17 UQR17 URJ17 USB17 UST17 UTL17 UUD17 UUV17 UVN17 UWF17 UWX17 UXP17 UYH17 UYZ17 UZR17 VAJ17 VBB17 VBT17 VCL17 VDD17 VDV17 VEN17 VFF17 VFX17 VGP17 VHH17 VHZ17 VIR17 VJJ17 VKB17 VKT17 VLL17 VMD17 VMV17 VNN17 VOF17 VOX17 VPP17 VQH17 VQZ17 VRR17 VSJ17 VTB17 VTT17 VUL17 VVD17 VVV17 VWN17 VXF17 VXX17 VYP17 VZH17 VZZ17 WAR17 WBJ17 WCB17 WCT17 WDL17 WED17 WEV17 WFN17 WGF17 WGX17 WHP17 WIH17 WIZ17 WJR17 WKJ17 WLB17 WLT17 WML17 WND17 WNV17 WON17 WPF17 WPX17 WQP17 WRH17 WRZ17 WSR17 WTJ17 WUB17 WUT17 WVL17 WWD17 WWV17 WXN17 WYF17 WYX17 WZP17 XAH17 XAZ17 XBR17 XCJ17 XDB17 XDT17 XEL17 XFD17">
    <cfRule type="cellIs" dxfId="37" priority="24" stopIfTrue="1" operator="equal">
      <formula>1</formula>
    </cfRule>
  </conditionalFormatting>
  <conditionalFormatting sqref="V18 AN18 BF18 BX18 CP18 DH18 DZ18 ER18 FJ18 GB18 GT18 HL18 ID18 IV18 JN18 KF18 KX18 LP18 MH18 MZ18 NR18 OJ18 PB18 PT18 QL18 RD18 RV18 SN18 TF18 TX18 UP18 VH18 VZ18 WR18 XJ18 YB18 YT18 ZL18 AAD18 AAV18 ABN18 ACF18 ACX18 ADP18 AEH18 AEZ18 AFR18 AGJ18 AHB18 AHT18 AIL18 AJD18 AJV18 AKN18 ALF18 ALX18 AMP18 ANH18 ANZ18 AOR18 APJ18 AQB18 AQT18 ARL18 ASD18 ASV18 ATN18 AUF18 AUX18 AVP18 AWH18 AWZ18 AXR18 AYJ18 AZB18 AZT18 BAL18 BBD18 BBV18 BCN18 BDF18 BDX18 BEP18 BFH18 BFZ18 BGR18 BHJ18 BIB18 BIT18 BJL18 BKD18 BKV18 BLN18 BMF18 BMX18 BNP18 BOH18 BOZ18 BPR18 BQJ18 BRB18 BRT18 BSL18 BTD18 BTV18 BUN18 BVF18 BVX18 BWP18 BXH18 BXZ18 BYR18 BZJ18 CAB18 CAT18 CBL18 CCD18 CCV18 CDN18 CEF18 CEX18 CFP18 CGH18 CGZ18 CHR18 CIJ18 CJB18 CJT18 CKL18 CLD18 CLV18 CMN18 CNF18 CNX18 COP18 CPH18 CPZ18 CQR18 CRJ18 CSB18 CST18 CTL18 CUD18 CUV18 CVN18 CWF18 CWX18 CXP18 CYH18 CYZ18 CZR18 DAJ18 DBB18 DBT18 DCL18 DDD18 DDV18 DEN18 DFF18 DFX18 DGP18 DHH18 DHZ18 DIR18 DJJ18 DKB18 DKT18 DLL18 DMD18 DMV18 DNN18 DOF18 DOX18 DPP18 DQH18 DQZ18 DRR18 DSJ18 DTB18 DTT18 DUL18 DVD18 DVV18 DWN18 DXF18 DXX18 DYP18 DZH18 DZZ18 EAR18 EBJ18 ECB18 ECT18 EDL18 EED18 EEV18 EFN18 EGF18 EGX18 EHP18 EIH18 EIZ18 EJR18 EKJ18 ELB18 ELT18 EML18 END18 ENV18 EON18 EPF18 EPX18 EQP18 ERH18 ERZ18 ESR18 ETJ18 EUB18 EUT18 EVL18 EWD18 EWV18 EXN18 EYF18 EYX18 EZP18 FAH18 FAZ18 FBR18 FCJ18 FDB18 FDT18 FEL18 FFD18 FFV18 FGN18 FHF18 FHX18 FIP18 FJH18 FJZ18 FKR18 FLJ18 FMB18 FMT18 FNL18 FOD18 FOV18 FPN18 FQF18 FQX18 FRP18 FSH18 FSZ18 FTR18 FUJ18 FVB18 FVT18 FWL18 FXD18 FXV18 FYN18 FZF18 FZX18 GAP18 GBH18 GBZ18 GCR18 GDJ18 GEB18 GET18 GFL18 GGD18 GGV18 GHN18 GIF18 GIX18 GJP18 GKH18 GKZ18 GLR18 GMJ18 GNB18 GNT18 GOL18 GPD18 GPV18 GQN18 GRF18 GRX18 GSP18 GTH18 GTZ18 GUR18 GVJ18 GWB18 GWT18 GXL18 GYD18 GYV18 GZN18 HAF18 HAX18 HBP18 HCH18 HCZ18 HDR18 HEJ18 HFB18 HFT18 HGL18 HHD18 HHV18 HIN18 HJF18 HJX18 HKP18 HLH18 HLZ18 HMR18 HNJ18 HOB18 HOT18 HPL18 HQD18 HQV18 HRN18 HSF18 HSX18 HTP18 HUH18 HUZ18 HVR18 HWJ18 HXB18 HXT18 HYL18 HZD18 HZV18 IAN18 IBF18 IBX18 ICP18 IDH18 IDZ18 IER18 IFJ18 IGB18 IGT18 IHL18 IID18 IIV18 IJN18 IKF18 IKX18 ILP18 IMH18 IMZ18 INR18 IOJ18 IPB18 IPT18 IQL18 IRD18 IRV18 ISN18 ITF18 ITX18 IUP18 IVH18 IVZ18 IWR18 IXJ18 IYB18 IYT18 IZL18 JAD18 JAV18 JBN18 JCF18 JCX18 JDP18 JEH18 JEZ18 JFR18 JGJ18 JHB18 JHT18 JIL18 JJD18 JJV18 JKN18 JLF18 JLX18 JMP18 JNH18 JNZ18 JOR18 JPJ18 JQB18 JQT18 JRL18 JSD18 JSV18 JTN18 JUF18 JUX18 JVP18 JWH18 JWZ18 JXR18 JYJ18 JZB18 JZT18 KAL18 KBD18 KBV18 KCN18 KDF18 KDX18 KEP18 KFH18 KFZ18 KGR18 KHJ18 KIB18 KIT18 KJL18 KKD18 KKV18 KLN18 KMF18 KMX18 KNP18 KOH18 KOZ18 KPR18 KQJ18 KRB18 KRT18 KSL18 KTD18 KTV18 KUN18 KVF18 KVX18 KWP18 KXH18 KXZ18 KYR18 KZJ18 LAB18 LAT18 LBL18 LCD18 LCV18 LDN18 LEF18 LEX18 LFP18 LGH18 LGZ18 LHR18 LIJ18 LJB18 LJT18 LKL18 LLD18 LLV18 LMN18 LNF18 LNX18 LOP18 LPH18 LPZ18 LQR18 LRJ18 LSB18 LST18 LTL18 LUD18 LUV18 LVN18 LWF18 LWX18 LXP18 LYH18 LYZ18 LZR18 MAJ18 MBB18 MBT18 MCL18 MDD18 MDV18 MEN18 MFF18 MFX18 MGP18 MHH18 MHZ18 MIR18 MJJ18 MKB18 MKT18 MLL18 MMD18 MMV18 MNN18 MOF18 MOX18 MPP18 MQH18 MQZ18 MRR18 MSJ18 MTB18 MTT18 MUL18 MVD18 MVV18 MWN18 MXF18 MXX18 MYP18 MZH18 MZZ18 NAR18 NBJ18 NCB18 NCT18 NDL18 NED18 NEV18 NFN18 NGF18 NGX18 NHP18 NIH18 NIZ18 NJR18 NKJ18 NLB18 NLT18 NML18 NND18 NNV18 NON18 NPF18 NPX18 NQP18 NRH18 NRZ18 NSR18 NTJ18 NUB18 NUT18 NVL18 NWD18 NWV18 NXN18 NYF18 NYX18 NZP18 OAH18 OAZ18 OBR18 OCJ18 ODB18 ODT18 OEL18 OFD18 OFV18 OGN18 OHF18 OHX18 OIP18 OJH18 OJZ18 OKR18 OLJ18 OMB18 OMT18 ONL18 OOD18 OOV18 OPN18 OQF18 OQX18 ORP18 OSH18 OSZ18 OTR18 OUJ18 OVB18 OVT18 OWL18 OXD18 OXV18 OYN18 OZF18 OZX18 PAP18 PBH18 PBZ18 PCR18 PDJ18 PEB18 PET18 PFL18 PGD18 PGV18 PHN18 PIF18 PIX18 PJP18 PKH18 PKZ18 PLR18 PMJ18 PNB18 PNT18 POL18 PPD18 PPV18 PQN18 PRF18 PRX18 PSP18 PTH18 PTZ18 PUR18 PVJ18 PWB18 PWT18 PXL18 PYD18 PYV18 PZN18 QAF18 QAX18 QBP18 QCH18 QCZ18 QDR18 QEJ18 QFB18 QFT18 QGL18 QHD18 QHV18 QIN18 QJF18 QJX18 QKP18 QLH18 QLZ18 QMR18 QNJ18 QOB18 QOT18 QPL18 QQD18 QQV18 QRN18 QSF18 QSX18 QTP18 QUH18 QUZ18 QVR18 QWJ18 QXB18 QXT18 QYL18 QZD18 QZV18 RAN18 RBF18 RBX18 RCP18 RDH18 RDZ18 RER18 RFJ18 RGB18 RGT18 RHL18 RID18 RIV18 RJN18 RKF18 RKX18 RLP18 RMH18 RMZ18 RNR18 ROJ18 RPB18 RPT18 RQL18 RRD18 RRV18 RSN18 RTF18 RTX18 RUP18 RVH18 RVZ18 RWR18 RXJ18 RYB18 RYT18 RZL18 SAD18 SAV18 SBN18 SCF18 SCX18 SDP18 SEH18 SEZ18 SFR18 SGJ18 SHB18 SHT18 SIL18 SJD18 SJV18 SKN18 SLF18 SLX18 SMP18 SNH18 SNZ18 SOR18 SPJ18 SQB18 SQT18 SRL18 SSD18 SSV18 STN18 SUF18 SUX18 SVP18 SWH18 SWZ18 SXR18 SYJ18 SZB18 SZT18 TAL18 TBD18 TBV18 TCN18 TDF18 TDX18 TEP18 TFH18 TFZ18 TGR18 THJ18 TIB18 TIT18 TJL18 TKD18 TKV18 TLN18 TMF18 TMX18 TNP18 TOH18 TOZ18 TPR18 TQJ18 TRB18 TRT18 TSL18 TTD18 TTV18 TUN18 TVF18 TVX18 TWP18 TXH18 TXZ18 TYR18 TZJ18 UAB18 UAT18 UBL18 UCD18 UCV18 UDN18 UEF18 UEX18 UFP18 UGH18 UGZ18 UHR18 UIJ18 UJB18 UJT18 UKL18 ULD18 ULV18 UMN18 UNF18 UNX18 UOP18 UPH18 UPZ18 UQR18 URJ18 USB18 UST18 UTL18 UUD18 UUV18 UVN18 UWF18 UWX18 UXP18 UYH18 UYZ18 UZR18 VAJ18 VBB18 VBT18 VCL18 VDD18 VDV18 VEN18 VFF18 VFX18 VGP18 VHH18 VHZ18 VIR18 VJJ18 VKB18 VKT18 VLL18 VMD18 VMV18 VNN18 VOF18 VOX18 VPP18 VQH18 VQZ18 VRR18 VSJ18 VTB18 VTT18 VUL18 VVD18 VVV18 VWN18 VXF18 VXX18 VYP18 VZH18 VZZ18 WAR18 WBJ18 WCB18 WCT18 WDL18 WED18 WEV18 WFN18 WGF18 WGX18 WHP18 WIH18 WIZ18 WJR18 WKJ18 WLB18 WLT18 WML18 WND18 WNV18 WON18 WPF18 WPX18 WQP18 WRH18 WRZ18 WSR18 WTJ18 WUB18 WUT18 WVL18 WWD18 WWV18 WXN18 WYF18 WYX18 WZP18 XAH18 XAZ18 XBR18 XCJ18 XDB18 XDT18 XEL18 XFD18">
    <cfRule type="cellIs" dxfId="36" priority="23" stopIfTrue="1" operator="equal">
      <formula>1</formula>
    </cfRule>
  </conditionalFormatting>
  <conditionalFormatting sqref="V19:V20 AN19:AN20 BF19:BF20 BX19:BX20 CP19:CP20 DH19:DH20 DZ19:DZ20 ER19:ER20 FJ19:FJ20 GB19:GB20 GT19:GT20 HL19:HL20 ID19:ID20 IV19:IV20 JN19:JN20 KF19:KF20 KX19:KX20 LP19:LP20 MH19:MH20 MZ19:MZ20 NR19:NR20 OJ19:OJ20 PB19:PB20 PT19:PT20 QL19:QL20 RD19:RD20 RV19:RV20 SN19:SN20 TF19:TF20 TX19:TX20 UP19:UP20 VH19:VH20 VZ19:VZ20 WR19:WR20 XJ19:XJ20 YB19:YB20 YT19:YT20 ZL19:ZL20 AAD19:AAD20 AAV19:AAV20 ABN19:ABN20 ACF19:ACF20 ACX19:ACX20 ADP19:ADP20 AEH19:AEH20 AEZ19:AEZ20 AFR19:AFR20 AGJ19:AGJ20 AHB19:AHB20 AHT19:AHT20 AIL19:AIL20 AJD19:AJD20 AJV19:AJV20 AKN19:AKN20 ALF19:ALF20 ALX19:ALX20 AMP19:AMP20 ANH19:ANH20 ANZ19:ANZ20 AOR19:AOR20 APJ19:APJ20 AQB19:AQB20 AQT19:AQT20 ARL19:ARL20 ASD19:ASD20 ASV19:ASV20 ATN19:ATN20 AUF19:AUF20 AUX19:AUX20 AVP19:AVP20 AWH19:AWH20 AWZ19:AWZ20 AXR19:AXR20 AYJ19:AYJ20 AZB19:AZB20 AZT19:AZT20 BAL19:BAL20 BBD19:BBD20 BBV19:BBV20 BCN19:BCN20 BDF19:BDF20 BDX19:BDX20 BEP19:BEP20 BFH19:BFH20 BFZ19:BFZ20 BGR19:BGR20 BHJ19:BHJ20 BIB19:BIB20 BIT19:BIT20 BJL19:BJL20 BKD19:BKD20 BKV19:BKV20 BLN19:BLN20 BMF19:BMF20 BMX19:BMX20 BNP19:BNP20 BOH19:BOH20 BOZ19:BOZ20 BPR19:BPR20 BQJ19:BQJ20 BRB19:BRB20 BRT19:BRT20 BSL19:BSL20 BTD19:BTD20 BTV19:BTV20 BUN19:BUN20 BVF19:BVF20 BVX19:BVX20 BWP19:BWP20 BXH19:BXH20 BXZ19:BXZ20 BYR19:BYR20 BZJ19:BZJ20 CAB19:CAB20 CAT19:CAT20 CBL19:CBL20 CCD19:CCD20 CCV19:CCV20 CDN19:CDN20 CEF19:CEF20 CEX19:CEX20 CFP19:CFP20 CGH19:CGH20 CGZ19:CGZ20 CHR19:CHR20 CIJ19:CIJ20 CJB19:CJB20 CJT19:CJT20 CKL19:CKL20 CLD19:CLD20 CLV19:CLV20 CMN19:CMN20 CNF19:CNF20 CNX19:CNX20 COP19:COP20 CPH19:CPH20 CPZ19:CPZ20 CQR19:CQR20 CRJ19:CRJ20 CSB19:CSB20 CST19:CST20 CTL19:CTL20 CUD19:CUD20 CUV19:CUV20 CVN19:CVN20 CWF19:CWF20 CWX19:CWX20 CXP19:CXP20 CYH19:CYH20 CYZ19:CYZ20 CZR19:CZR20 DAJ19:DAJ20 DBB19:DBB20 DBT19:DBT20 DCL19:DCL20 DDD19:DDD20 DDV19:DDV20 DEN19:DEN20 DFF19:DFF20 DFX19:DFX20 DGP19:DGP20 DHH19:DHH20 DHZ19:DHZ20 DIR19:DIR20 DJJ19:DJJ20 DKB19:DKB20 DKT19:DKT20 DLL19:DLL20 DMD19:DMD20 DMV19:DMV20 DNN19:DNN20 DOF19:DOF20 DOX19:DOX20 DPP19:DPP20 DQH19:DQH20 DQZ19:DQZ20 DRR19:DRR20 DSJ19:DSJ20 DTB19:DTB20 DTT19:DTT20 DUL19:DUL20 DVD19:DVD20 DVV19:DVV20 DWN19:DWN20 DXF19:DXF20 DXX19:DXX20 DYP19:DYP20 DZH19:DZH20 DZZ19:DZZ20 EAR19:EAR20 EBJ19:EBJ20 ECB19:ECB20 ECT19:ECT20 EDL19:EDL20 EED19:EED20 EEV19:EEV20 EFN19:EFN20 EGF19:EGF20 EGX19:EGX20 EHP19:EHP20 EIH19:EIH20 EIZ19:EIZ20 EJR19:EJR20 EKJ19:EKJ20 ELB19:ELB20 ELT19:ELT20 EML19:EML20 END19:END20 ENV19:ENV20 EON19:EON20 EPF19:EPF20 EPX19:EPX20 EQP19:EQP20 ERH19:ERH20 ERZ19:ERZ20 ESR19:ESR20 ETJ19:ETJ20 EUB19:EUB20 EUT19:EUT20 EVL19:EVL20 EWD19:EWD20 EWV19:EWV20 EXN19:EXN20 EYF19:EYF20 EYX19:EYX20 EZP19:EZP20 FAH19:FAH20 FAZ19:FAZ20 FBR19:FBR20 FCJ19:FCJ20 FDB19:FDB20 FDT19:FDT20 FEL19:FEL20 FFD19:FFD20 FFV19:FFV20 FGN19:FGN20 FHF19:FHF20 FHX19:FHX20 FIP19:FIP20 FJH19:FJH20 FJZ19:FJZ20 FKR19:FKR20 FLJ19:FLJ20 FMB19:FMB20 FMT19:FMT20 FNL19:FNL20 FOD19:FOD20 FOV19:FOV20 FPN19:FPN20 FQF19:FQF20 FQX19:FQX20 FRP19:FRP20 FSH19:FSH20 FSZ19:FSZ20 FTR19:FTR20 FUJ19:FUJ20 FVB19:FVB20 FVT19:FVT20 FWL19:FWL20 FXD19:FXD20 FXV19:FXV20 FYN19:FYN20 FZF19:FZF20 FZX19:FZX20 GAP19:GAP20 GBH19:GBH20 GBZ19:GBZ20 GCR19:GCR20 GDJ19:GDJ20 GEB19:GEB20 GET19:GET20 GFL19:GFL20 GGD19:GGD20 GGV19:GGV20 GHN19:GHN20 GIF19:GIF20 GIX19:GIX20 GJP19:GJP20 GKH19:GKH20 GKZ19:GKZ20 GLR19:GLR20 GMJ19:GMJ20 GNB19:GNB20 GNT19:GNT20 GOL19:GOL20 GPD19:GPD20 GPV19:GPV20 GQN19:GQN20 GRF19:GRF20 GRX19:GRX20 GSP19:GSP20 GTH19:GTH20 GTZ19:GTZ20 GUR19:GUR20 GVJ19:GVJ20 GWB19:GWB20 GWT19:GWT20 GXL19:GXL20 GYD19:GYD20 GYV19:GYV20 GZN19:GZN20 HAF19:HAF20 HAX19:HAX20 HBP19:HBP20 HCH19:HCH20 HCZ19:HCZ20 HDR19:HDR20 HEJ19:HEJ20 HFB19:HFB20 HFT19:HFT20 HGL19:HGL20 HHD19:HHD20 HHV19:HHV20 HIN19:HIN20 HJF19:HJF20 HJX19:HJX20 HKP19:HKP20 HLH19:HLH20 HLZ19:HLZ20 HMR19:HMR20 HNJ19:HNJ20 HOB19:HOB20 HOT19:HOT20 HPL19:HPL20 HQD19:HQD20 HQV19:HQV20 HRN19:HRN20 HSF19:HSF20 HSX19:HSX20 HTP19:HTP20 HUH19:HUH20 HUZ19:HUZ20 HVR19:HVR20 HWJ19:HWJ20 HXB19:HXB20 HXT19:HXT20 HYL19:HYL20 HZD19:HZD20 HZV19:HZV20 IAN19:IAN20 IBF19:IBF20 IBX19:IBX20 ICP19:ICP20 IDH19:IDH20 IDZ19:IDZ20 IER19:IER20 IFJ19:IFJ20 IGB19:IGB20 IGT19:IGT20 IHL19:IHL20 IID19:IID20 IIV19:IIV20 IJN19:IJN20 IKF19:IKF20 IKX19:IKX20 ILP19:ILP20 IMH19:IMH20 IMZ19:IMZ20 INR19:INR20 IOJ19:IOJ20 IPB19:IPB20 IPT19:IPT20 IQL19:IQL20 IRD19:IRD20 IRV19:IRV20 ISN19:ISN20 ITF19:ITF20 ITX19:ITX20 IUP19:IUP20 IVH19:IVH20 IVZ19:IVZ20 IWR19:IWR20 IXJ19:IXJ20 IYB19:IYB20 IYT19:IYT20 IZL19:IZL20 JAD19:JAD20 JAV19:JAV20 JBN19:JBN20 JCF19:JCF20 JCX19:JCX20 JDP19:JDP20 JEH19:JEH20 JEZ19:JEZ20 JFR19:JFR20 JGJ19:JGJ20 JHB19:JHB20 JHT19:JHT20 JIL19:JIL20 JJD19:JJD20 JJV19:JJV20 JKN19:JKN20 JLF19:JLF20 JLX19:JLX20 JMP19:JMP20 JNH19:JNH20 JNZ19:JNZ20 JOR19:JOR20 JPJ19:JPJ20 JQB19:JQB20 JQT19:JQT20 JRL19:JRL20 JSD19:JSD20 JSV19:JSV20 JTN19:JTN20 JUF19:JUF20 JUX19:JUX20 JVP19:JVP20 JWH19:JWH20 JWZ19:JWZ20 JXR19:JXR20 JYJ19:JYJ20 JZB19:JZB20 JZT19:JZT20 KAL19:KAL20 KBD19:KBD20 KBV19:KBV20 KCN19:KCN20 KDF19:KDF20 KDX19:KDX20 KEP19:KEP20 KFH19:KFH20 KFZ19:KFZ20 KGR19:KGR20 KHJ19:KHJ20 KIB19:KIB20 KIT19:KIT20 KJL19:KJL20 KKD19:KKD20 KKV19:KKV20 KLN19:KLN20 KMF19:KMF20 KMX19:KMX20 KNP19:KNP20 KOH19:KOH20 KOZ19:KOZ20 KPR19:KPR20 KQJ19:KQJ20 KRB19:KRB20 KRT19:KRT20 KSL19:KSL20 KTD19:KTD20 KTV19:KTV20 KUN19:KUN20 KVF19:KVF20 KVX19:KVX20 KWP19:KWP20 KXH19:KXH20 KXZ19:KXZ20 KYR19:KYR20 KZJ19:KZJ20 LAB19:LAB20 LAT19:LAT20 LBL19:LBL20 LCD19:LCD20 LCV19:LCV20 LDN19:LDN20 LEF19:LEF20 LEX19:LEX20 LFP19:LFP20 LGH19:LGH20 LGZ19:LGZ20 LHR19:LHR20 LIJ19:LIJ20 LJB19:LJB20 LJT19:LJT20 LKL19:LKL20 LLD19:LLD20 LLV19:LLV20 LMN19:LMN20 LNF19:LNF20 LNX19:LNX20 LOP19:LOP20 LPH19:LPH20 LPZ19:LPZ20 LQR19:LQR20 LRJ19:LRJ20 LSB19:LSB20 LST19:LST20 LTL19:LTL20 LUD19:LUD20 LUV19:LUV20 LVN19:LVN20 LWF19:LWF20 LWX19:LWX20 LXP19:LXP20 LYH19:LYH20 LYZ19:LYZ20 LZR19:LZR20 MAJ19:MAJ20 MBB19:MBB20 MBT19:MBT20 MCL19:MCL20 MDD19:MDD20 MDV19:MDV20 MEN19:MEN20 MFF19:MFF20 MFX19:MFX20 MGP19:MGP20 MHH19:MHH20 MHZ19:MHZ20 MIR19:MIR20 MJJ19:MJJ20 MKB19:MKB20 MKT19:MKT20 MLL19:MLL20 MMD19:MMD20 MMV19:MMV20 MNN19:MNN20 MOF19:MOF20 MOX19:MOX20 MPP19:MPP20 MQH19:MQH20 MQZ19:MQZ20 MRR19:MRR20 MSJ19:MSJ20 MTB19:MTB20 MTT19:MTT20 MUL19:MUL20 MVD19:MVD20 MVV19:MVV20 MWN19:MWN20 MXF19:MXF20 MXX19:MXX20 MYP19:MYP20 MZH19:MZH20 MZZ19:MZZ20 NAR19:NAR20 NBJ19:NBJ20 NCB19:NCB20 NCT19:NCT20 NDL19:NDL20 NED19:NED20 NEV19:NEV20 NFN19:NFN20 NGF19:NGF20 NGX19:NGX20 NHP19:NHP20 NIH19:NIH20 NIZ19:NIZ20 NJR19:NJR20 NKJ19:NKJ20 NLB19:NLB20 NLT19:NLT20 NML19:NML20 NND19:NND20 NNV19:NNV20 NON19:NON20 NPF19:NPF20 NPX19:NPX20 NQP19:NQP20 NRH19:NRH20 NRZ19:NRZ20 NSR19:NSR20 NTJ19:NTJ20 NUB19:NUB20 NUT19:NUT20 NVL19:NVL20 NWD19:NWD20 NWV19:NWV20 NXN19:NXN20 NYF19:NYF20 NYX19:NYX20 NZP19:NZP20 OAH19:OAH20 OAZ19:OAZ20 OBR19:OBR20 OCJ19:OCJ20 ODB19:ODB20 ODT19:ODT20 OEL19:OEL20 OFD19:OFD20 OFV19:OFV20 OGN19:OGN20 OHF19:OHF20 OHX19:OHX20 OIP19:OIP20 OJH19:OJH20 OJZ19:OJZ20 OKR19:OKR20 OLJ19:OLJ20 OMB19:OMB20 OMT19:OMT20 ONL19:ONL20 OOD19:OOD20 OOV19:OOV20 OPN19:OPN20 OQF19:OQF20 OQX19:OQX20 ORP19:ORP20 OSH19:OSH20 OSZ19:OSZ20 OTR19:OTR20 OUJ19:OUJ20 OVB19:OVB20 OVT19:OVT20 OWL19:OWL20 OXD19:OXD20 OXV19:OXV20 OYN19:OYN20 OZF19:OZF20 OZX19:OZX20 PAP19:PAP20 PBH19:PBH20 PBZ19:PBZ20 PCR19:PCR20 PDJ19:PDJ20 PEB19:PEB20 PET19:PET20 PFL19:PFL20 PGD19:PGD20 PGV19:PGV20 PHN19:PHN20 PIF19:PIF20 PIX19:PIX20 PJP19:PJP20 PKH19:PKH20 PKZ19:PKZ20 PLR19:PLR20 PMJ19:PMJ20 PNB19:PNB20 PNT19:PNT20 POL19:POL20 PPD19:PPD20 PPV19:PPV20 PQN19:PQN20 PRF19:PRF20 PRX19:PRX20 PSP19:PSP20 PTH19:PTH20 PTZ19:PTZ20 PUR19:PUR20 PVJ19:PVJ20 PWB19:PWB20 PWT19:PWT20 PXL19:PXL20 PYD19:PYD20 PYV19:PYV20 PZN19:PZN20 QAF19:QAF20 QAX19:QAX20 QBP19:QBP20 QCH19:QCH20 QCZ19:QCZ20 QDR19:QDR20 QEJ19:QEJ20 QFB19:QFB20 QFT19:QFT20 QGL19:QGL20 QHD19:QHD20 QHV19:QHV20 QIN19:QIN20 QJF19:QJF20 QJX19:QJX20 QKP19:QKP20 QLH19:QLH20 QLZ19:QLZ20 QMR19:QMR20 QNJ19:QNJ20 QOB19:QOB20 QOT19:QOT20 QPL19:QPL20 QQD19:QQD20 QQV19:QQV20 QRN19:QRN20 QSF19:QSF20 QSX19:QSX20 QTP19:QTP20 QUH19:QUH20 QUZ19:QUZ20 QVR19:QVR20 QWJ19:QWJ20 QXB19:QXB20 QXT19:QXT20 QYL19:QYL20 QZD19:QZD20 QZV19:QZV20 RAN19:RAN20 RBF19:RBF20 RBX19:RBX20 RCP19:RCP20 RDH19:RDH20 RDZ19:RDZ20 RER19:RER20 RFJ19:RFJ20 RGB19:RGB20 RGT19:RGT20 RHL19:RHL20 RID19:RID20 RIV19:RIV20 RJN19:RJN20 RKF19:RKF20 RKX19:RKX20 RLP19:RLP20 RMH19:RMH20 RMZ19:RMZ20 RNR19:RNR20 ROJ19:ROJ20 RPB19:RPB20 RPT19:RPT20 RQL19:RQL20 RRD19:RRD20 RRV19:RRV20 RSN19:RSN20 RTF19:RTF20 RTX19:RTX20 RUP19:RUP20 RVH19:RVH20 RVZ19:RVZ20 RWR19:RWR20 RXJ19:RXJ20 RYB19:RYB20 RYT19:RYT20 RZL19:RZL20 SAD19:SAD20 SAV19:SAV20 SBN19:SBN20 SCF19:SCF20 SCX19:SCX20 SDP19:SDP20 SEH19:SEH20 SEZ19:SEZ20 SFR19:SFR20 SGJ19:SGJ20 SHB19:SHB20 SHT19:SHT20 SIL19:SIL20 SJD19:SJD20 SJV19:SJV20 SKN19:SKN20 SLF19:SLF20 SLX19:SLX20 SMP19:SMP20 SNH19:SNH20 SNZ19:SNZ20 SOR19:SOR20 SPJ19:SPJ20 SQB19:SQB20 SQT19:SQT20 SRL19:SRL20 SSD19:SSD20 SSV19:SSV20 STN19:STN20 SUF19:SUF20 SUX19:SUX20 SVP19:SVP20 SWH19:SWH20 SWZ19:SWZ20 SXR19:SXR20 SYJ19:SYJ20 SZB19:SZB20 SZT19:SZT20 TAL19:TAL20 TBD19:TBD20 TBV19:TBV20 TCN19:TCN20 TDF19:TDF20 TDX19:TDX20 TEP19:TEP20 TFH19:TFH20 TFZ19:TFZ20 TGR19:TGR20 THJ19:THJ20 TIB19:TIB20 TIT19:TIT20 TJL19:TJL20 TKD19:TKD20 TKV19:TKV20 TLN19:TLN20 TMF19:TMF20 TMX19:TMX20 TNP19:TNP20 TOH19:TOH20 TOZ19:TOZ20 TPR19:TPR20 TQJ19:TQJ20 TRB19:TRB20 TRT19:TRT20 TSL19:TSL20 TTD19:TTD20 TTV19:TTV20 TUN19:TUN20 TVF19:TVF20 TVX19:TVX20 TWP19:TWP20 TXH19:TXH20 TXZ19:TXZ20 TYR19:TYR20 TZJ19:TZJ20 UAB19:UAB20 UAT19:UAT20 UBL19:UBL20 UCD19:UCD20 UCV19:UCV20 UDN19:UDN20 UEF19:UEF20 UEX19:UEX20 UFP19:UFP20 UGH19:UGH20 UGZ19:UGZ20 UHR19:UHR20 UIJ19:UIJ20 UJB19:UJB20 UJT19:UJT20 UKL19:UKL20 ULD19:ULD20 ULV19:ULV20 UMN19:UMN20 UNF19:UNF20 UNX19:UNX20 UOP19:UOP20 UPH19:UPH20 UPZ19:UPZ20 UQR19:UQR20 URJ19:URJ20 USB19:USB20 UST19:UST20 UTL19:UTL20 UUD19:UUD20 UUV19:UUV20 UVN19:UVN20 UWF19:UWF20 UWX19:UWX20 UXP19:UXP20 UYH19:UYH20 UYZ19:UYZ20 UZR19:UZR20 VAJ19:VAJ20 VBB19:VBB20 VBT19:VBT20 VCL19:VCL20 VDD19:VDD20 VDV19:VDV20 VEN19:VEN20 VFF19:VFF20 VFX19:VFX20 VGP19:VGP20 VHH19:VHH20 VHZ19:VHZ20 VIR19:VIR20 VJJ19:VJJ20 VKB19:VKB20 VKT19:VKT20 VLL19:VLL20 VMD19:VMD20 VMV19:VMV20 VNN19:VNN20 VOF19:VOF20 VOX19:VOX20 VPP19:VPP20 VQH19:VQH20 VQZ19:VQZ20 VRR19:VRR20 VSJ19:VSJ20 VTB19:VTB20 VTT19:VTT20 VUL19:VUL20 VVD19:VVD20 VVV19:VVV20 VWN19:VWN20 VXF19:VXF20 VXX19:VXX20 VYP19:VYP20 VZH19:VZH20 VZZ19:VZZ20 WAR19:WAR20 WBJ19:WBJ20 WCB19:WCB20 WCT19:WCT20 WDL19:WDL20 WED19:WED20 WEV19:WEV20 WFN19:WFN20 WGF19:WGF20 WGX19:WGX20 WHP19:WHP20 WIH19:WIH20 WIZ19:WIZ20 WJR19:WJR20 WKJ19:WKJ20 WLB19:WLB20 WLT19:WLT20 WML19:WML20 WND19:WND20 WNV19:WNV20 WON19:WON20 WPF19:WPF20 WPX19:WPX20 WQP19:WQP20 WRH19:WRH20 WRZ19:WRZ20 WSR19:WSR20 WTJ19:WTJ20 WUB19:WUB20 WUT19:WUT20 WVL19:WVL20 WWD19:WWD20 WWV19:WWV20 WXN19:WXN20 WYF19:WYF20 WYX19:WYX20 WZP19:WZP20 XAH19:XAH20 XAZ19:XAZ20 XBR19:XBR20 XCJ19:XCJ20 XDB19:XDB20 XDT19:XDT20 XEL19:XEL20 XFD19:XFD20">
    <cfRule type="cellIs" dxfId="35" priority="22" stopIfTrue="1" operator="equal">
      <formula>1</formula>
    </cfRule>
  </conditionalFormatting>
  <conditionalFormatting sqref="V21:V24 AN21:AN24 BF21:BF24 BX21:BX24 CP21:CP24 DH21:DH24 DZ21:DZ24 ER21:ER24 FJ21:FJ24 GB21:GB24 GT21:GT24 HL21:HL24 ID21:ID24 IV21:IV24 JN21:JN24 KF21:KF24 KX21:KX24 LP21:LP24 MH21:MH24 MZ21:MZ24 NR21:NR24 OJ21:OJ24 PB21:PB24 PT21:PT24 QL21:QL24 RD21:RD24 RV21:RV24 SN21:SN24 TF21:TF24 TX21:TX24 UP21:UP24 VH21:VH24 VZ21:VZ24 WR21:WR24 XJ21:XJ24 YB21:YB24 YT21:YT24 ZL21:ZL24 AAD21:AAD24 AAV21:AAV24 ABN21:ABN24 ACF21:ACF24 ACX21:ACX24 ADP21:ADP24 AEH21:AEH24 AEZ21:AEZ24 AFR21:AFR24 AGJ21:AGJ24 AHB21:AHB24 AHT21:AHT24 AIL21:AIL24 AJD21:AJD24 AJV21:AJV24 AKN21:AKN24 ALF21:ALF24 ALX21:ALX24 AMP21:AMP24 ANH21:ANH24 ANZ21:ANZ24 AOR21:AOR24 APJ21:APJ24 AQB21:AQB24 AQT21:AQT24 ARL21:ARL24 ASD21:ASD24 ASV21:ASV24 ATN21:ATN24 AUF21:AUF24 AUX21:AUX24 AVP21:AVP24 AWH21:AWH24 AWZ21:AWZ24 AXR21:AXR24 AYJ21:AYJ24 AZB21:AZB24 AZT21:AZT24 BAL21:BAL24 BBD21:BBD24 BBV21:BBV24 BCN21:BCN24 BDF21:BDF24 BDX21:BDX24 BEP21:BEP24 BFH21:BFH24 BFZ21:BFZ24 BGR21:BGR24 BHJ21:BHJ24 BIB21:BIB24 BIT21:BIT24 BJL21:BJL24 BKD21:BKD24 BKV21:BKV24 BLN21:BLN24 BMF21:BMF24 BMX21:BMX24 BNP21:BNP24 BOH21:BOH24 BOZ21:BOZ24 BPR21:BPR24 BQJ21:BQJ24 BRB21:BRB24 BRT21:BRT24 BSL21:BSL24 BTD21:BTD24 BTV21:BTV24 BUN21:BUN24 BVF21:BVF24 BVX21:BVX24 BWP21:BWP24 BXH21:BXH24 BXZ21:BXZ24 BYR21:BYR24 BZJ21:BZJ24 CAB21:CAB24 CAT21:CAT24 CBL21:CBL24 CCD21:CCD24 CCV21:CCV24 CDN21:CDN24 CEF21:CEF24 CEX21:CEX24 CFP21:CFP24 CGH21:CGH24 CGZ21:CGZ24 CHR21:CHR24 CIJ21:CIJ24 CJB21:CJB24 CJT21:CJT24 CKL21:CKL24 CLD21:CLD24 CLV21:CLV24 CMN21:CMN24 CNF21:CNF24 CNX21:CNX24 COP21:COP24 CPH21:CPH24 CPZ21:CPZ24 CQR21:CQR24 CRJ21:CRJ24 CSB21:CSB24 CST21:CST24 CTL21:CTL24 CUD21:CUD24 CUV21:CUV24 CVN21:CVN24 CWF21:CWF24 CWX21:CWX24 CXP21:CXP24 CYH21:CYH24 CYZ21:CYZ24 CZR21:CZR24 DAJ21:DAJ24 DBB21:DBB24 DBT21:DBT24 DCL21:DCL24 DDD21:DDD24 DDV21:DDV24 DEN21:DEN24 DFF21:DFF24 DFX21:DFX24 DGP21:DGP24 DHH21:DHH24 DHZ21:DHZ24 DIR21:DIR24 DJJ21:DJJ24 DKB21:DKB24 DKT21:DKT24 DLL21:DLL24 DMD21:DMD24 DMV21:DMV24 DNN21:DNN24 DOF21:DOF24 DOX21:DOX24 DPP21:DPP24 DQH21:DQH24 DQZ21:DQZ24 DRR21:DRR24 DSJ21:DSJ24 DTB21:DTB24 DTT21:DTT24 DUL21:DUL24 DVD21:DVD24 DVV21:DVV24 DWN21:DWN24 DXF21:DXF24 DXX21:DXX24 DYP21:DYP24 DZH21:DZH24 DZZ21:DZZ24 EAR21:EAR24 EBJ21:EBJ24 ECB21:ECB24 ECT21:ECT24 EDL21:EDL24 EED21:EED24 EEV21:EEV24 EFN21:EFN24 EGF21:EGF24 EGX21:EGX24 EHP21:EHP24 EIH21:EIH24 EIZ21:EIZ24 EJR21:EJR24 EKJ21:EKJ24 ELB21:ELB24 ELT21:ELT24 EML21:EML24 END21:END24 ENV21:ENV24 EON21:EON24 EPF21:EPF24 EPX21:EPX24 EQP21:EQP24 ERH21:ERH24 ERZ21:ERZ24 ESR21:ESR24 ETJ21:ETJ24 EUB21:EUB24 EUT21:EUT24 EVL21:EVL24 EWD21:EWD24 EWV21:EWV24 EXN21:EXN24 EYF21:EYF24 EYX21:EYX24 EZP21:EZP24 FAH21:FAH24 FAZ21:FAZ24 FBR21:FBR24 FCJ21:FCJ24 FDB21:FDB24 FDT21:FDT24 FEL21:FEL24 FFD21:FFD24 FFV21:FFV24 FGN21:FGN24 FHF21:FHF24 FHX21:FHX24 FIP21:FIP24 FJH21:FJH24 FJZ21:FJZ24 FKR21:FKR24 FLJ21:FLJ24 FMB21:FMB24 FMT21:FMT24 FNL21:FNL24 FOD21:FOD24 FOV21:FOV24 FPN21:FPN24 FQF21:FQF24 FQX21:FQX24 FRP21:FRP24 FSH21:FSH24 FSZ21:FSZ24 FTR21:FTR24 FUJ21:FUJ24 FVB21:FVB24 FVT21:FVT24 FWL21:FWL24 FXD21:FXD24 FXV21:FXV24 FYN21:FYN24 FZF21:FZF24 FZX21:FZX24 GAP21:GAP24 GBH21:GBH24 GBZ21:GBZ24 GCR21:GCR24 GDJ21:GDJ24 GEB21:GEB24 GET21:GET24 GFL21:GFL24 GGD21:GGD24 GGV21:GGV24 GHN21:GHN24 GIF21:GIF24 GIX21:GIX24 GJP21:GJP24 GKH21:GKH24 GKZ21:GKZ24 GLR21:GLR24 GMJ21:GMJ24 GNB21:GNB24 GNT21:GNT24 GOL21:GOL24 GPD21:GPD24 GPV21:GPV24 GQN21:GQN24 GRF21:GRF24 GRX21:GRX24 GSP21:GSP24 GTH21:GTH24 GTZ21:GTZ24 GUR21:GUR24 GVJ21:GVJ24 GWB21:GWB24 GWT21:GWT24 GXL21:GXL24 GYD21:GYD24 GYV21:GYV24 GZN21:GZN24 HAF21:HAF24 HAX21:HAX24 HBP21:HBP24 HCH21:HCH24 HCZ21:HCZ24 HDR21:HDR24 HEJ21:HEJ24 HFB21:HFB24 HFT21:HFT24 HGL21:HGL24 HHD21:HHD24 HHV21:HHV24 HIN21:HIN24 HJF21:HJF24 HJX21:HJX24 HKP21:HKP24 HLH21:HLH24 HLZ21:HLZ24 HMR21:HMR24 HNJ21:HNJ24 HOB21:HOB24 HOT21:HOT24 HPL21:HPL24 HQD21:HQD24 HQV21:HQV24 HRN21:HRN24 HSF21:HSF24 HSX21:HSX24 HTP21:HTP24 HUH21:HUH24 HUZ21:HUZ24 HVR21:HVR24 HWJ21:HWJ24 HXB21:HXB24 HXT21:HXT24 HYL21:HYL24 HZD21:HZD24 HZV21:HZV24 IAN21:IAN24 IBF21:IBF24 IBX21:IBX24 ICP21:ICP24 IDH21:IDH24 IDZ21:IDZ24 IER21:IER24 IFJ21:IFJ24 IGB21:IGB24 IGT21:IGT24 IHL21:IHL24 IID21:IID24 IIV21:IIV24 IJN21:IJN24 IKF21:IKF24 IKX21:IKX24 ILP21:ILP24 IMH21:IMH24 IMZ21:IMZ24 INR21:INR24 IOJ21:IOJ24 IPB21:IPB24 IPT21:IPT24 IQL21:IQL24 IRD21:IRD24 IRV21:IRV24 ISN21:ISN24 ITF21:ITF24 ITX21:ITX24 IUP21:IUP24 IVH21:IVH24 IVZ21:IVZ24 IWR21:IWR24 IXJ21:IXJ24 IYB21:IYB24 IYT21:IYT24 IZL21:IZL24 JAD21:JAD24 JAV21:JAV24 JBN21:JBN24 JCF21:JCF24 JCX21:JCX24 JDP21:JDP24 JEH21:JEH24 JEZ21:JEZ24 JFR21:JFR24 JGJ21:JGJ24 JHB21:JHB24 JHT21:JHT24 JIL21:JIL24 JJD21:JJD24 JJV21:JJV24 JKN21:JKN24 JLF21:JLF24 JLX21:JLX24 JMP21:JMP24 JNH21:JNH24 JNZ21:JNZ24 JOR21:JOR24 JPJ21:JPJ24 JQB21:JQB24 JQT21:JQT24 JRL21:JRL24 JSD21:JSD24 JSV21:JSV24 JTN21:JTN24 JUF21:JUF24 JUX21:JUX24 JVP21:JVP24 JWH21:JWH24 JWZ21:JWZ24 JXR21:JXR24 JYJ21:JYJ24 JZB21:JZB24 JZT21:JZT24 KAL21:KAL24 KBD21:KBD24 KBV21:KBV24 KCN21:KCN24 KDF21:KDF24 KDX21:KDX24 KEP21:KEP24 KFH21:KFH24 KFZ21:KFZ24 KGR21:KGR24 KHJ21:KHJ24 KIB21:KIB24 KIT21:KIT24 KJL21:KJL24 KKD21:KKD24 KKV21:KKV24 KLN21:KLN24 KMF21:KMF24 KMX21:KMX24 KNP21:KNP24 KOH21:KOH24 KOZ21:KOZ24 KPR21:KPR24 KQJ21:KQJ24 KRB21:KRB24 KRT21:KRT24 KSL21:KSL24 KTD21:KTD24 KTV21:KTV24 KUN21:KUN24 KVF21:KVF24 KVX21:KVX24 KWP21:KWP24 KXH21:KXH24 KXZ21:KXZ24 KYR21:KYR24 KZJ21:KZJ24 LAB21:LAB24 LAT21:LAT24 LBL21:LBL24 LCD21:LCD24 LCV21:LCV24 LDN21:LDN24 LEF21:LEF24 LEX21:LEX24 LFP21:LFP24 LGH21:LGH24 LGZ21:LGZ24 LHR21:LHR24 LIJ21:LIJ24 LJB21:LJB24 LJT21:LJT24 LKL21:LKL24 LLD21:LLD24 LLV21:LLV24 LMN21:LMN24 LNF21:LNF24 LNX21:LNX24 LOP21:LOP24 LPH21:LPH24 LPZ21:LPZ24 LQR21:LQR24 LRJ21:LRJ24 LSB21:LSB24 LST21:LST24 LTL21:LTL24 LUD21:LUD24 LUV21:LUV24 LVN21:LVN24 LWF21:LWF24 LWX21:LWX24 LXP21:LXP24 LYH21:LYH24 LYZ21:LYZ24 LZR21:LZR24 MAJ21:MAJ24 MBB21:MBB24 MBT21:MBT24 MCL21:MCL24 MDD21:MDD24 MDV21:MDV24 MEN21:MEN24 MFF21:MFF24 MFX21:MFX24 MGP21:MGP24 MHH21:MHH24 MHZ21:MHZ24 MIR21:MIR24 MJJ21:MJJ24 MKB21:MKB24 MKT21:MKT24 MLL21:MLL24 MMD21:MMD24 MMV21:MMV24 MNN21:MNN24 MOF21:MOF24 MOX21:MOX24 MPP21:MPP24 MQH21:MQH24 MQZ21:MQZ24 MRR21:MRR24 MSJ21:MSJ24 MTB21:MTB24 MTT21:MTT24 MUL21:MUL24 MVD21:MVD24 MVV21:MVV24 MWN21:MWN24 MXF21:MXF24 MXX21:MXX24 MYP21:MYP24 MZH21:MZH24 MZZ21:MZZ24 NAR21:NAR24 NBJ21:NBJ24 NCB21:NCB24 NCT21:NCT24 NDL21:NDL24 NED21:NED24 NEV21:NEV24 NFN21:NFN24 NGF21:NGF24 NGX21:NGX24 NHP21:NHP24 NIH21:NIH24 NIZ21:NIZ24 NJR21:NJR24 NKJ21:NKJ24 NLB21:NLB24 NLT21:NLT24 NML21:NML24 NND21:NND24 NNV21:NNV24 NON21:NON24 NPF21:NPF24 NPX21:NPX24 NQP21:NQP24 NRH21:NRH24 NRZ21:NRZ24 NSR21:NSR24 NTJ21:NTJ24 NUB21:NUB24 NUT21:NUT24 NVL21:NVL24 NWD21:NWD24 NWV21:NWV24 NXN21:NXN24 NYF21:NYF24 NYX21:NYX24 NZP21:NZP24 OAH21:OAH24 OAZ21:OAZ24 OBR21:OBR24 OCJ21:OCJ24 ODB21:ODB24 ODT21:ODT24 OEL21:OEL24 OFD21:OFD24 OFV21:OFV24 OGN21:OGN24 OHF21:OHF24 OHX21:OHX24 OIP21:OIP24 OJH21:OJH24 OJZ21:OJZ24 OKR21:OKR24 OLJ21:OLJ24 OMB21:OMB24 OMT21:OMT24 ONL21:ONL24 OOD21:OOD24 OOV21:OOV24 OPN21:OPN24 OQF21:OQF24 OQX21:OQX24 ORP21:ORP24 OSH21:OSH24 OSZ21:OSZ24 OTR21:OTR24 OUJ21:OUJ24 OVB21:OVB24 OVT21:OVT24 OWL21:OWL24 OXD21:OXD24 OXV21:OXV24 OYN21:OYN24 OZF21:OZF24 OZX21:OZX24 PAP21:PAP24 PBH21:PBH24 PBZ21:PBZ24 PCR21:PCR24 PDJ21:PDJ24 PEB21:PEB24 PET21:PET24 PFL21:PFL24 PGD21:PGD24 PGV21:PGV24 PHN21:PHN24 PIF21:PIF24 PIX21:PIX24 PJP21:PJP24 PKH21:PKH24 PKZ21:PKZ24 PLR21:PLR24 PMJ21:PMJ24 PNB21:PNB24 PNT21:PNT24 POL21:POL24 PPD21:PPD24 PPV21:PPV24 PQN21:PQN24 PRF21:PRF24 PRX21:PRX24 PSP21:PSP24 PTH21:PTH24 PTZ21:PTZ24 PUR21:PUR24 PVJ21:PVJ24 PWB21:PWB24 PWT21:PWT24 PXL21:PXL24 PYD21:PYD24 PYV21:PYV24 PZN21:PZN24 QAF21:QAF24 QAX21:QAX24 QBP21:QBP24 QCH21:QCH24 QCZ21:QCZ24 QDR21:QDR24 QEJ21:QEJ24 QFB21:QFB24 QFT21:QFT24 QGL21:QGL24 QHD21:QHD24 QHV21:QHV24 QIN21:QIN24 QJF21:QJF24 QJX21:QJX24 QKP21:QKP24 QLH21:QLH24 QLZ21:QLZ24 QMR21:QMR24 QNJ21:QNJ24 QOB21:QOB24 QOT21:QOT24 QPL21:QPL24 QQD21:QQD24 QQV21:QQV24 QRN21:QRN24 QSF21:QSF24 QSX21:QSX24 QTP21:QTP24 QUH21:QUH24 QUZ21:QUZ24 QVR21:QVR24 QWJ21:QWJ24 QXB21:QXB24 QXT21:QXT24 QYL21:QYL24 QZD21:QZD24 QZV21:QZV24 RAN21:RAN24 RBF21:RBF24 RBX21:RBX24 RCP21:RCP24 RDH21:RDH24 RDZ21:RDZ24 RER21:RER24 RFJ21:RFJ24 RGB21:RGB24 RGT21:RGT24 RHL21:RHL24 RID21:RID24 RIV21:RIV24 RJN21:RJN24 RKF21:RKF24 RKX21:RKX24 RLP21:RLP24 RMH21:RMH24 RMZ21:RMZ24 RNR21:RNR24 ROJ21:ROJ24 RPB21:RPB24 RPT21:RPT24 RQL21:RQL24 RRD21:RRD24 RRV21:RRV24 RSN21:RSN24 RTF21:RTF24 RTX21:RTX24 RUP21:RUP24 RVH21:RVH24 RVZ21:RVZ24 RWR21:RWR24 RXJ21:RXJ24 RYB21:RYB24 RYT21:RYT24 RZL21:RZL24 SAD21:SAD24 SAV21:SAV24 SBN21:SBN24 SCF21:SCF24 SCX21:SCX24 SDP21:SDP24 SEH21:SEH24 SEZ21:SEZ24 SFR21:SFR24 SGJ21:SGJ24 SHB21:SHB24 SHT21:SHT24 SIL21:SIL24 SJD21:SJD24 SJV21:SJV24 SKN21:SKN24 SLF21:SLF24 SLX21:SLX24 SMP21:SMP24 SNH21:SNH24 SNZ21:SNZ24 SOR21:SOR24 SPJ21:SPJ24 SQB21:SQB24 SQT21:SQT24 SRL21:SRL24 SSD21:SSD24 SSV21:SSV24 STN21:STN24 SUF21:SUF24 SUX21:SUX24 SVP21:SVP24 SWH21:SWH24 SWZ21:SWZ24 SXR21:SXR24 SYJ21:SYJ24 SZB21:SZB24 SZT21:SZT24 TAL21:TAL24 TBD21:TBD24 TBV21:TBV24 TCN21:TCN24 TDF21:TDF24 TDX21:TDX24 TEP21:TEP24 TFH21:TFH24 TFZ21:TFZ24 TGR21:TGR24 THJ21:THJ24 TIB21:TIB24 TIT21:TIT24 TJL21:TJL24 TKD21:TKD24 TKV21:TKV24 TLN21:TLN24 TMF21:TMF24 TMX21:TMX24 TNP21:TNP24 TOH21:TOH24 TOZ21:TOZ24 TPR21:TPR24 TQJ21:TQJ24 TRB21:TRB24 TRT21:TRT24 TSL21:TSL24 TTD21:TTD24 TTV21:TTV24 TUN21:TUN24 TVF21:TVF24 TVX21:TVX24 TWP21:TWP24 TXH21:TXH24 TXZ21:TXZ24 TYR21:TYR24 TZJ21:TZJ24 UAB21:UAB24 UAT21:UAT24 UBL21:UBL24 UCD21:UCD24 UCV21:UCV24 UDN21:UDN24 UEF21:UEF24 UEX21:UEX24 UFP21:UFP24 UGH21:UGH24 UGZ21:UGZ24 UHR21:UHR24 UIJ21:UIJ24 UJB21:UJB24 UJT21:UJT24 UKL21:UKL24 ULD21:ULD24 ULV21:ULV24 UMN21:UMN24 UNF21:UNF24 UNX21:UNX24 UOP21:UOP24 UPH21:UPH24 UPZ21:UPZ24 UQR21:UQR24 URJ21:URJ24 USB21:USB24 UST21:UST24 UTL21:UTL24 UUD21:UUD24 UUV21:UUV24 UVN21:UVN24 UWF21:UWF24 UWX21:UWX24 UXP21:UXP24 UYH21:UYH24 UYZ21:UYZ24 UZR21:UZR24 VAJ21:VAJ24 VBB21:VBB24 VBT21:VBT24 VCL21:VCL24 VDD21:VDD24 VDV21:VDV24 VEN21:VEN24 VFF21:VFF24 VFX21:VFX24 VGP21:VGP24 VHH21:VHH24 VHZ21:VHZ24 VIR21:VIR24 VJJ21:VJJ24 VKB21:VKB24 VKT21:VKT24 VLL21:VLL24 VMD21:VMD24 VMV21:VMV24 VNN21:VNN24 VOF21:VOF24 VOX21:VOX24 VPP21:VPP24 VQH21:VQH24 VQZ21:VQZ24 VRR21:VRR24 VSJ21:VSJ24 VTB21:VTB24 VTT21:VTT24 VUL21:VUL24 VVD21:VVD24 VVV21:VVV24 VWN21:VWN24 VXF21:VXF24 VXX21:VXX24 VYP21:VYP24 VZH21:VZH24 VZZ21:VZZ24 WAR21:WAR24 WBJ21:WBJ24 WCB21:WCB24 WCT21:WCT24 WDL21:WDL24 WED21:WED24 WEV21:WEV24 WFN21:WFN24 WGF21:WGF24 WGX21:WGX24 WHP21:WHP24 WIH21:WIH24 WIZ21:WIZ24 WJR21:WJR24 WKJ21:WKJ24 WLB21:WLB24 WLT21:WLT24 WML21:WML24 WND21:WND24 WNV21:WNV24 WON21:WON24 WPF21:WPF24 WPX21:WPX24 WQP21:WQP24 WRH21:WRH24 WRZ21:WRZ24 WSR21:WSR24 WTJ21:WTJ24 WUB21:WUB24 WUT21:WUT24 WVL21:WVL24 WWD21:WWD24 WWV21:WWV24 WXN21:WXN24 WYF21:WYF24 WYX21:WYX24 WZP21:WZP24 XAH21:XAH24 XAZ21:XAZ24 XBR21:XBR24 XCJ21:XCJ24 XDB21:XDB24 XDT21:XDT24 XEL21:XEL24 XFD21:XFD24">
    <cfRule type="cellIs" dxfId="34" priority="21" stopIfTrue="1" operator="equal">
      <formula>1</formula>
    </cfRule>
  </conditionalFormatting>
  <conditionalFormatting sqref="V25 AN25 BF25 BX25 CP25 DH25 DZ25 ER25 FJ25 GB25 GT25 HL25 ID25 IV25 JN25 KF25 KX25 LP25 MH25 MZ25 NR25 OJ25 PB25 PT25 QL25 RD25 RV25 SN25 TF25 TX25 UP25 VH25 VZ25 WR25 XJ25 YB25 YT25 ZL25 AAD25 AAV25 ABN25 ACF25 ACX25 ADP25 AEH25 AEZ25 AFR25 AGJ25 AHB25 AHT25 AIL25 AJD25 AJV25 AKN25 ALF25 ALX25 AMP25 ANH25 ANZ25 AOR25 APJ25 AQB25 AQT25 ARL25 ASD25 ASV25 ATN25 AUF25 AUX25 AVP25 AWH25 AWZ25 AXR25 AYJ25 AZB25 AZT25 BAL25 BBD25 BBV25 BCN25 BDF25 BDX25 BEP25 BFH25 BFZ25 BGR25 BHJ25 BIB25 BIT25 BJL25 BKD25 BKV25 BLN25 BMF25 BMX25 BNP25 BOH25 BOZ25 BPR25 BQJ25 BRB25 BRT25 BSL25 BTD25 BTV25 BUN25 BVF25 BVX25 BWP25 BXH25 BXZ25 BYR25 BZJ25 CAB25 CAT25 CBL25 CCD25 CCV25 CDN25 CEF25 CEX25 CFP25 CGH25 CGZ25 CHR25 CIJ25 CJB25 CJT25 CKL25 CLD25 CLV25 CMN25 CNF25 CNX25 COP25 CPH25 CPZ25 CQR25 CRJ25 CSB25 CST25 CTL25 CUD25 CUV25 CVN25 CWF25 CWX25 CXP25 CYH25 CYZ25 CZR25 DAJ25 DBB25 DBT25 DCL25 DDD25 DDV25 DEN25 DFF25 DFX25 DGP25 DHH25 DHZ25 DIR25 DJJ25 DKB25 DKT25 DLL25 DMD25 DMV25 DNN25 DOF25 DOX25 DPP25 DQH25 DQZ25 DRR25 DSJ25 DTB25 DTT25 DUL25 DVD25 DVV25 DWN25 DXF25 DXX25 DYP25 DZH25 DZZ25 EAR25 EBJ25 ECB25 ECT25 EDL25 EED25 EEV25 EFN25 EGF25 EGX25 EHP25 EIH25 EIZ25 EJR25 EKJ25 ELB25 ELT25 EML25 END25 ENV25 EON25 EPF25 EPX25 EQP25 ERH25 ERZ25 ESR25 ETJ25 EUB25 EUT25 EVL25 EWD25 EWV25 EXN25 EYF25 EYX25 EZP25 FAH25 FAZ25 FBR25 FCJ25 FDB25 FDT25 FEL25 FFD25 FFV25 FGN25 FHF25 FHX25 FIP25 FJH25 FJZ25 FKR25 FLJ25 FMB25 FMT25 FNL25 FOD25 FOV25 FPN25 FQF25 FQX25 FRP25 FSH25 FSZ25 FTR25 FUJ25 FVB25 FVT25 FWL25 FXD25 FXV25 FYN25 FZF25 FZX25 GAP25 GBH25 GBZ25 GCR25 GDJ25 GEB25 GET25 GFL25 GGD25 GGV25 GHN25 GIF25 GIX25 GJP25 GKH25 GKZ25 GLR25 GMJ25 GNB25 GNT25 GOL25 GPD25 GPV25 GQN25 GRF25 GRX25 GSP25 GTH25 GTZ25 GUR25 GVJ25 GWB25 GWT25 GXL25 GYD25 GYV25 GZN25 HAF25 HAX25 HBP25 HCH25 HCZ25 HDR25 HEJ25 HFB25 HFT25 HGL25 HHD25 HHV25 HIN25 HJF25 HJX25 HKP25 HLH25 HLZ25 HMR25 HNJ25 HOB25 HOT25 HPL25 HQD25 HQV25 HRN25 HSF25 HSX25 HTP25 HUH25 HUZ25 HVR25 HWJ25 HXB25 HXT25 HYL25 HZD25 HZV25 IAN25 IBF25 IBX25 ICP25 IDH25 IDZ25 IER25 IFJ25 IGB25 IGT25 IHL25 IID25 IIV25 IJN25 IKF25 IKX25 ILP25 IMH25 IMZ25 INR25 IOJ25 IPB25 IPT25 IQL25 IRD25 IRV25 ISN25 ITF25 ITX25 IUP25 IVH25 IVZ25 IWR25 IXJ25 IYB25 IYT25 IZL25 JAD25 JAV25 JBN25 JCF25 JCX25 JDP25 JEH25 JEZ25 JFR25 JGJ25 JHB25 JHT25 JIL25 JJD25 JJV25 JKN25 JLF25 JLX25 JMP25 JNH25 JNZ25 JOR25 JPJ25 JQB25 JQT25 JRL25 JSD25 JSV25 JTN25 JUF25 JUX25 JVP25 JWH25 JWZ25 JXR25 JYJ25 JZB25 JZT25 KAL25 KBD25 KBV25 KCN25 KDF25 KDX25 KEP25 KFH25 KFZ25 KGR25 KHJ25 KIB25 KIT25 KJL25 KKD25 KKV25 KLN25 KMF25 KMX25 KNP25 KOH25 KOZ25 KPR25 KQJ25 KRB25 KRT25 KSL25 KTD25 KTV25 KUN25 KVF25 KVX25 KWP25 KXH25 KXZ25 KYR25 KZJ25 LAB25 LAT25 LBL25 LCD25 LCV25 LDN25 LEF25 LEX25 LFP25 LGH25 LGZ25 LHR25 LIJ25 LJB25 LJT25 LKL25 LLD25 LLV25 LMN25 LNF25 LNX25 LOP25 LPH25 LPZ25 LQR25 LRJ25 LSB25 LST25 LTL25 LUD25 LUV25 LVN25 LWF25 LWX25 LXP25 LYH25 LYZ25 LZR25 MAJ25 MBB25 MBT25 MCL25 MDD25 MDV25 MEN25 MFF25 MFX25 MGP25 MHH25 MHZ25 MIR25 MJJ25 MKB25 MKT25 MLL25 MMD25 MMV25 MNN25 MOF25 MOX25 MPP25 MQH25 MQZ25 MRR25 MSJ25 MTB25 MTT25 MUL25 MVD25 MVV25 MWN25 MXF25 MXX25 MYP25 MZH25 MZZ25 NAR25 NBJ25 NCB25 NCT25 NDL25 NED25 NEV25 NFN25 NGF25 NGX25 NHP25 NIH25 NIZ25 NJR25 NKJ25 NLB25 NLT25 NML25 NND25 NNV25 NON25 NPF25 NPX25 NQP25 NRH25 NRZ25 NSR25 NTJ25 NUB25 NUT25 NVL25 NWD25 NWV25 NXN25 NYF25 NYX25 NZP25 OAH25 OAZ25 OBR25 OCJ25 ODB25 ODT25 OEL25 OFD25 OFV25 OGN25 OHF25 OHX25 OIP25 OJH25 OJZ25 OKR25 OLJ25 OMB25 OMT25 ONL25 OOD25 OOV25 OPN25 OQF25 OQX25 ORP25 OSH25 OSZ25 OTR25 OUJ25 OVB25 OVT25 OWL25 OXD25 OXV25 OYN25 OZF25 OZX25 PAP25 PBH25 PBZ25 PCR25 PDJ25 PEB25 PET25 PFL25 PGD25 PGV25 PHN25 PIF25 PIX25 PJP25 PKH25 PKZ25 PLR25 PMJ25 PNB25 PNT25 POL25 PPD25 PPV25 PQN25 PRF25 PRX25 PSP25 PTH25 PTZ25 PUR25 PVJ25 PWB25 PWT25 PXL25 PYD25 PYV25 PZN25 QAF25 QAX25 QBP25 QCH25 QCZ25 QDR25 QEJ25 QFB25 QFT25 QGL25 QHD25 QHV25 QIN25 QJF25 QJX25 QKP25 QLH25 QLZ25 QMR25 QNJ25 QOB25 QOT25 QPL25 QQD25 QQV25 QRN25 QSF25 QSX25 QTP25 QUH25 QUZ25 QVR25 QWJ25 QXB25 QXT25 QYL25 QZD25 QZV25 RAN25 RBF25 RBX25 RCP25 RDH25 RDZ25 RER25 RFJ25 RGB25 RGT25 RHL25 RID25 RIV25 RJN25 RKF25 RKX25 RLP25 RMH25 RMZ25 RNR25 ROJ25 RPB25 RPT25 RQL25 RRD25 RRV25 RSN25 RTF25 RTX25 RUP25 RVH25 RVZ25 RWR25 RXJ25 RYB25 RYT25 RZL25 SAD25 SAV25 SBN25 SCF25 SCX25 SDP25 SEH25 SEZ25 SFR25 SGJ25 SHB25 SHT25 SIL25 SJD25 SJV25 SKN25 SLF25 SLX25 SMP25 SNH25 SNZ25 SOR25 SPJ25 SQB25 SQT25 SRL25 SSD25 SSV25 STN25 SUF25 SUX25 SVP25 SWH25 SWZ25 SXR25 SYJ25 SZB25 SZT25 TAL25 TBD25 TBV25 TCN25 TDF25 TDX25 TEP25 TFH25 TFZ25 TGR25 THJ25 TIB25 TIT25 TJL25 TKD25 TKV25 TLN25 TMF25 TMX25 TNP25 TOH25 TOZ25 TPR25 TQJ25 TRB25 TRT25 TSL25 TTD25 TTV25 TUN25 TVF25 TVX25 TWP25 TXH25 TXZ25 TYR25 TZJ25 UAB25 UAT25 UBL25 UCD25 UCV25 UDN25 UEF25 UEX25 UFP25 UGH25 UGZ25 UHR25 UIJ25 UJB25 UJT25 UKL25 ULD25 ULV25 UMN25 UNF25 UNX25 UOP25 UPH25 UPZ25 UQR25 URJ25 USB25 UST25 UTL25 UUD25 UUV25 UVN25 UWF25 UWX25 UXP25 UYH25 UYZ25 UZR25 VAJ25 VBB25 VBT25 VCL25 VDD25 VDV25 VEN25 VFF25 VFX25 VGP25 VHH25 VHZ25 VIR25 VJJ25 VKB25 VKT25 VLL25 VMD25 VMV25 VNN25 VOF25 VOX25 VPP25 VQH25 VQZ25 VRR25 VSJ25 VTB25 VTT25 VUL25 VVD25 VVV25 VWN25 VXF25 VXX25 VYP25 VZH25 VZZ25 WAR25 WBJ25 WCB25 WCT25 WDL25 WED25 WEV25 WFN25 WGF25 WGX25 WHP25 WIH25 WIZ25 WJR25 WKJ25 WLB25 WLT25 WML25 WND25 WNV25 WON25 WPF25 WPX25 WQP25 WRH25 WRZ25 WSR25 WTJ25 WUB25 WUT25 WVL25 WWD25 WWV25 WXN25 WYF25 WYX25 WZP25 XAH25 XAZ25 XBR25 XCJ25 XDB25 XDT25 XEL25 XFD25">
    <cfRule type="cellIs" dxfId="33" priority="20" stopIfTrue="1" operator="equal">
      <formula>1</formula>
    </cfRule>
  </conditionalFormatting>
  <conditionalFormatting sqref="V26 AN26 BF26 BX26 CP26 DH26 DZ26 ER26 FJ26 GB26 GT26 HL26 ID26 IV26 JN26 KF26 KX26 LP26 MH26 MZ26 NR26 OJ26 PB26 PT26 QL26 RD26 RV26 SN26 TF26 TX26 UP26 VH26 VZ26 WR26 XJ26 YB26 YT26 ZL26 AAD26 AAV26 ABN26 ACF26 ACX26 ADP26 AEH26 AEZ26 AFR26 AGJ26 AHB26 AHT26 AIL26 AJD26 AJV26 AKN26 ALF26 ALX26 AMP26 ANH26 ANZ26 AOR26 APJ26 AQB26 AQT26 ARL26 ASD26 ASV26 ATN26 AUF26 AUX26 AVP26 AWH26 AWZ26 AXR26 AYJ26 AZB26 AZT26 BAL26 BBD26 BBV26 BCN26 BDF26 BDX26 BEP26 BFH26 BFZ26 BGR26 BHJ26 BIB26 BIT26 BJL26 BKD26 BKV26 BLN26 BMF26 BMX26 BNP26 BOH26 BOZ26 BPR26 BQJ26 BRB26 BRT26 BSL26 BTD26 BTV26 BUN26 BVF26 BVX26 BWP26 BXH26 BXZ26 BYR26 BZJ26 CAB26 CAT26 CBL26 CCD26 CCV26 CDN26 CEF26 CEX26 CFP26 CGH26 CGZ26 CHR26 CIJ26 CJB26 CJT26 CKL26 CLD26 CLV26 CMN26 CNF26 CNX26 COP26 CPH26 CPZ26 CQR26 CRJ26 CSB26 CST26 CTL26 CUD26 CUV26 CVN26 CWF26 CWX26 CXP26 CYH26 CYZ26 CZR26 DAJ26 DBB26 DBT26 DCL26 DDD26 DDV26 DEN26 DFF26 DFX26 DGP26 DHH26 DHZ26 DIR26 DJJ26 DKB26 DKT26 DLL26 DMD26 DMV26 DNN26 DOF26 DOX26 DPP26 DQH26 DQZ26 DRR26 DSJ26 DTB26 DTT26 DUL26 DVD26 DVV26 DWN26 DXF26 DXX26 DYP26 DZH26 DZZ26 EAR26 EBJ26 ECB26 ECT26 EDL26 EED26 EEV26 EFN26 EGF26 EGX26 EHP26 EIH26 EIZ26 EJR26 EKJ26 ELB26 ELT26 EML26 END26 ENV26 EON26 EPF26 EPX26 EQP26 ERH26 ERZ26 ESR26 ETJ26 EUB26 EUT26 EVL26 EWD26 EWV26 EXN26 EYF26 EYX26 EZP26 FAH26 FAZ26 FBR26 FCJ26 FDB26 FDT26 FEL26 FFD26 FFV26 FGN26 FHF26 FHX26 FIP26 FJH26 FJZ26 FKR26 FLJ26 FMB26 FMT26 FNL26 FOD26 FOV26 FPN26 FQF26 FQX26 FRP26 FSH26 FSZ26 FTR26 FUJ26 FVB26 FVT26 FWL26 FXD26 FXV26 FYN26 FZF26 FZX26 GAP26 GBH26 GBZ26 GCR26 GDJ26 GEB26 GET26 GFL26 GGD26 GGV26 GHN26 GIF26 GIX26 GJP26 GKH26 GKZ26 GLR26 GMJ26 GNB26 GNT26 GOL26 GPD26 GPV26 GQN26 GRF26 GRX26 GSP26 GTH26 GTZ26 GUR26 GVJ26 GWB26 GWT26 GXL26 GYD26 GYV26 GZN26 HAF26 HAX26 HBP26 HCH26 HCZ26 HDR26 HEJ26 HFB26 HFT26 HGL26 HHD26 HHV26 HIN26 HJF26 HJX26 HKP26 HLH26 HLZ26 HMR26 HNJ26 HOB26 HOT26 HPL26 HQD26 HQV26 HRN26 HSF26 HSX26 HTP26 HUH26 HUZ26 HVR26 HWJ26 HXB26 HXT26 HYL26 HZD26 HZV26 IAN26 IBF26 IBX26 ICP26 IDH26 IDZ26 IER26 IFJ26 IGB26 IGT26 IHL26 IID26 IIV26 IJN26 IKF26 IKX26 ILP26 IMH26 IMZ26 INR26 IOJ26 IPB26 IPT26 IQL26 IRD26 IRV26 ISN26 ITF26 ITX26 IUP26 IVH26 IVZ26 IWR26 IXJ26 IYB26 IYT26 IZL26 JAD26 JAV26 JBN26 JCF26 JCX26 JDP26 JEH26 JEZ26 JFR26 JGJ26 JHB26 JHT26 JIL26 JJD26 JJV26 JKN26 JLF26 JLX26 JMP26 JNH26 JNZ26 JOR26 JPJ26 JQB26 JQT26 JRL26 JSD26 JSV26 JTN26 JUF26 JUX26 JVP26 JWH26 JWZ26 JXR26 JYJ26 JZB26 JZT26 KAL26 KBD26 KBV26 KCN26 KDF26 KDX26 KEP26 KFH26 KFZ26 KGR26 KHJ26 KIB26 KIT26 KJL26 KKD26 KKV26 KLN26 KMF26 KMX26 KNP26 KOH26 KOZ26 KPR26 KQJ26 KRB26 KRT26 KSL26 KTD26 KTV26 KUN26 KVF26 KVX26 KWP26 KXH26 KXZ26 KYR26 KZJ26 LAB26 LAT26 LBL26 LCD26 LCV26 LDN26 LEF26 LEX26 LFP26 LGH26 LGZ26 LHR26 LIJ26 LJB26 LJT26 LKL26 LLD26 LLV26 LMN26 LNF26 LNX26 LOP26 LPH26 LPZ26 LQR26 LRJ26 LSB26 LST26 LTL26 LUD26 LUV26 LVN26 LWF26 LWX26 LXP26 LYH26 LYZ26 LZR26 MAJ26 MBB26 MBT26 MCL26 MDD26 MDV26 MEN26 MFF26 MFX26 MGP26 MHH26 MHZ26 MIR26 MJJ26 MKB26 MKT26 MLL26 MMD26 MMV26 MNN26 MOF26 MOX26 MPP26 MQH26 MQZ26 MRR26 MSJ26 MTB26 MTT26 MUL26 MVD26 MVV26 MWN26 MXF26 MXX26 MYP26 MZH26 MZZ26 NAR26 NBJ26 NCB26 NCT26 NDL26 NED26 NEV26 NFN26 NGF26 NGX26 NHP26 NIH26 NIZ26 NJR26 NKJ26 NLB26 NLT26 NML26 NND26 NNV26 NON26 NPF26 NPX26 NQP26 NRH26 NRZ26 NSR26 NTJ26 NUB26 NUT26 NVL26 NWD26 NWV26 NXN26 NYF26 NYX26 NZP26 OAH26 OAZ26 OBR26 OCJ26 ODB26 ODT26 OEL26 OFD26 OFV26 OGN26 OHF26 OHX26 OIP26 OJH26 OJZ26 OKR26 OLJ26 OMB26 OMT26 ONL26 OOD26 OOV26 OPN26 OQF26 OQX26 ORP26 OSH26 OSZ26 OTR26 OUJ26 OVB26 OVT26 OWL26 OXD26 OXV26 OYN26 OZF26 OZX26 PAP26 PBH26 PBZ26 PCR26 PDJ26 PEB26 PET26 PFL26 PGD26 PGV26 PHN26 PIF26 PIX26 PJP26 PKH26 PKZ26 PLR26 PMJ26 PNB26 PNT26 POL26 PPD26 PPV26 PQN26 PRF26 PRX26 PSP26 PTH26 PTZ26 PUR26 PVJ26 PWB26 PWT26 PXL26 PYD26 PYV26 PZN26 QAF26 QAX26 QBP26 QCH26 QCZ26 QDR26 QEJ26 QFB26 QFT26 QGL26 QHD26 QHV26 QIN26 QJF26 QJX26 QKP26 QLH26 QLZ26 QMR26 QNJ26 QOB26 QOT26 QPL26 QQD26 QQV26 QRN26 QSF26 QSX26 QTP26 QUH26 QUZ26 QVR26 QWJ26 QXB26 QXT26 QYL26 QZD26 QZV26 RAN26 RBF26 RBX26 RCP26 RDH26 RDZ26 RER26 RFJ26 RGB26 RGT26 RHL26 RID26 RIV26 RJN26 RKF26 RKX26 RLP26 RMH26 RMZ26 RNR26 ROJ26 RPB26 RPT26 RQL26 RRD26 RRV26 RSN26 RTF26 RTX26 RUP26 RVH26 RVZ26 RWR26 RXJ26 RYB26 RYT26 RZL26 SAD26 SAV26 SBN26 SCF26 SCX26 SDP26 SEH26 SEZ26 SFR26 SGJ26 SHB26 SHT26 SIL26 SJD26 SJV26 SKN26 SLF26 SLX26 SMP26 SNH26 SNZ26 SOR26 SPJ26 SQB26 SQT26 SRL26 SSD26 SSV26 STN26 SUF26 SUX26 SVP26 SWH26 SWZ26 SXR26 SYJ26 SZB26 SZT26 TAL26 TBD26 TBV26 TCN26 TDF26 TDX26 TEP26 TFH26 TFZ26 TGR26 THJ26 TIB26 TIT26 TJL26 TKD26 TKV26 TLN26 TMF26 TMX26 TNP26 TOH26 TOZ26 TPR26 TQJ26 TRB26 TRT26 TSL26 TTD26 TTV26 TUN26 TVF26 TVX26 TWP26 TXH26 TXZ26 TYR26 TZJ26 UAB26 UAT26 UBL26 UCD26 UCV26 UDN26 UEF26 UEX26 UFP26 UGH26 UGZ26 UHR26 UIJ26 UJB26 UJT26 UKL26 ULD26 ULV26 UMN26 UNF26 UNX26 UOP26 UPH26 UPZ26 UQR26 URJ26 USB26 UST26 UTL26 UUD26 UUV26 UVN26 UWF26 UWX26 UXP26 UYH26 UYZ26 UZR26 VAJ26 VBB26 VBT26 VCL26 VDD26 VDV26 VEN26 VFF26 VFX26 VGP26 VHH26 VHZ26 VIR26 VJJ26 VKB26 VKT26 VLL26 VMD26 VMV26 VNN26 VOF26 VOX26 VPP26 VQH26 VQZ26 VRR26 VSJ26 VTB26 VTT26 VUL26 VVD26 VVV26 VWN26 VXF26 VXX26 VYP26 VZH26 VZZ26 WAR26 WBJ26 WCB26 WCT26 WDL26 WED26 WEV26 WFN26 WGF26 WGX26 WHP26 WIH26 WIZ26 WJR26 WKJ26 WLB26 WLT26 WML26 WND26 WNV26 WON26 WPF26 WPX26 WQP26 WRH26 WRZ26 WSR26 WTJ26 WUB26 WUT26 WVL26 WWD26 WWV26 WXN26 WYF26 WYX26 WZP26 XAH26 XAZ26 XBR26 XCJ26 XDB26 XDT26 XEL26 XFD26">
    <cfRule type="cellIs" dxfId="32" priority="19" stopIfTrue="1" operator="equal">
      <formula>1</formula>
    </cfRule>
  </conditionalFormatting>
  <conditionalFormatting sqref="V27 AN27 BF27 BX27 CP27 DH27 DZ27 ER27 FJ27 GB27 GT27 HL27 ID27 IV27 JN27 KF27 KX27 LP27 MH27 MZ27 NR27 OJ27 PB27 PT27 QL27 RD27 RV27 SN27 TF27 TX27 UP27 VH27 VZ27 WR27 XJ27 YB27 YT27 ZL27 AAD27 AAV27 ABN27 ACF27 ACX27 ADP27 AEH27 AEZ27 AFR27 AGJ27 AHB27 AHT27 AIL27 AJD27 AJV27 AKN27 ALF27 ALX27 AMP27 ANH27 ANZ27 AOR27 APJ27 AQB27 AQT27 ARL27 ASD27 ASV27 ATN27 AUF27 AUX27 AVP27 AWH27 AWZ27 AXR27 AYJ27 AZB27 AZT27 BAL27 BBD27 BBV27 BCN27 BDF27 BDX27 BEP27 BFH27 BFZ27 BGR27 BHJ27 BIB27 BIT27 BJL27 BKD27 BKV27 BLN27 BMF27 BMX27 BNP27 BOH27 BOZ27 BPR27 BQJ27 BRB27 BRT27 BSL27 BTD27 BTV27 BUN27 BVF27 BVX27 BWP27 BXH27 BXZ27 BYR27 BZJ27 CAB27 CAT27 CBL27 CCD27 CCV27 CDN27 CEF27 CEX27 CFP27 CGH27 CGZ27 CHR27 CIJ27 CJB27 CJT27 CKL27 CLD27 CLV27 CMN27 CNF27 CNX27 COP27 CPH27 CPZ27 CQR27 CRJ27 CSB27 CST27 CTL27 CUD27 CUV27 CVN27 CWF27 CWX27 CXP27 CYH27 CYZ27 CZR27 DAJ27 DBB27 DBT27 DCL27 DDD27 DDV27 DEN27 DFF27 DFX27 DGP27 DHH27 DHZ27 DIR27 DJJ27 DKB27 DKT27 DLL27 DMD27 DMV27 DNN27 DOF27 DOX27 DPP27 DQH27 DQZ27 DRR27 DSJ27 DTB27 DTT27 DUL27 DVD27 DVV27 DWN27 DXF27 DXX27 DYP27 DZH27 DZZ27 EAR27 EBJ27 ECB27 ECT27 EDL27 EED27 EEV27 EFN27 EGF27 EGX27 EHP27 EIH27 EIZ27 EJR27 EKJ27 ELB27 ELT27 EML27 END27 ENV27 EON27 EPF27 EPX27 EQP27 ERH27 ERZ27 ESR27 ETJ27 EUB27 EUT27 EVL27 EWD27 EWV27 EXN27 EYF27 EYX27 EZP27 FAH27 FAZ27 FBR27 FCJ27 FDB27 FDT27 FEL27 FFD27 FFV27 FGN27 FHF27 FHX27 FIP27 FJH27 FJZ27 FKR27 FLJ27 FMB27 FMT27 FNL27 FOD27 FOV27 FPN27 FQF27 FQX27 FRP27 FSH27 FSZ27 FTR27 FUJ27 FVB27 FVT27 FWL27 FXD27 FXV27 FYN27 FZF27 FZX27 GAP27 GBH27 GBZ27 GCR27 GDJ27 GEB27 GET27 GFL27 GGD27 GGV27 GHN27 GIF27 GIX27 GJP27 GKH27 GKZ27 GLR27 GMJ27 GNB27 GNT27 GOL27 GPD27 GPV27 GQN27 GRF27 GRX27 GSP27 GTH27 GTZ27 GUR27 GVJ27 GWB27 GWT27 GXL27 GYD27 GYV27 GZN27 HAF27 HAX27 HBP27 HCH27 HCZ27 HDR27 HEJ27 HFB27 HFT27 HGL27 HHD27 HHV27 HIN27 HJF27 HJX27 HKP27 HLH27 HLZ27 HMR27 HNJ27 HOB27 HOT27 HPL27 HQD27 HQV27 HRN27 HSF27 HSX27 HTP27 HUH27 HUZ27 HVR27 HWJ27 HXB27 HXT27 HYL27 HZD27 HZV27 IAN27 IBF27 IBX27 ICP27 IDH27 IDZ27 IER27 IFJ27 IGB27 IGT27 IHL27 IID27 IIV27 IJN27 IKF27 IKX27 ILP27 IMH27 IMZ27 INR27 IOJ27 IPB27 IPT27 IQL27 IRD27 IRV27 ISN27 ITF27 ITX27 IUP27 IVH27 IVZ27 IWR27 IXJ27 IYB27 IYT27 IZL27 JAD27 JAV27 JBN27 JCF27 JCX27 JDP27 JEH27 JEZ27 JFR27 JGJ27 JHB27 JHT27 JIL27 JJD27 JJV27 JKN27 JLF27 JLX27 JMP27 JNH27 JNZ27 JOR27 JPJ27 JQB27 JQT27 JRL27 JSD27 JSV27 JTN27 JUF27 JUX27 JVP27 JWH27 JWZ27 JXR27 JYJ27 JZB27 JZT27 KAL27 KBD27 KBV27 KCN27 KDF27 KDX27 KEP27 KFH27 KFZ27 KGR27 KHJ27 KIB27 KIT27 KJL27 KKD27 KKV27 KLN27 KMF27 KMX27 KNP27 KOH27 KOZ27 KPR27 KQJ27 KRB27 KRT27 KSL27 KTD27 KTV27 KUN27 KVF27 KVX27 KWP27 KXH27 KXZ27 KYR27 KZJ27 LAB27 LAT27 LBL27 LCD27 LCV27 LDN27 LEF27 LEX27 LFP27 LGH27 LGZ27 LHR27 LIJ27 LJB27 LJT27 LKL27 LLD27 LLV27 LMN27 LNF27 LNX27 LOP27 LPH27 LPZ27 LQR27 LRJ27 LSB27 LST27 LTL27 LUD27 LUV27 LVN27 LWF27 LWX27 LXP27 LYH27 LYZ27 LZR27 MAJ27 MBB27 MBT27 MCL27 MDD27 MDV27 MEN27 MFF27 MFX27 MGP27 MHH27 MHZ27 MIR27 MJJ27 MKB27 MKT27 MLL27 MMD27 MMV27 MNN27 MOF27 MOX27 MPP27 MQH27 MQZ27 MRR27 MSJ27 MTB27 MTT27 MUL27 MVD27 MVV27 MWN27 MXF27 MXX27 MYP27 MZH27 MZZ27 NAR27 NBJ27 NCB27 NCT27 NDL27 NED27 NEV27 NFN27 NGF27 NGX27 NHP27 NIH27 NIZ27 NJR27 NKJ27 NLB27 NLT27 NML27 NND27 NNV27 NON27 NPF27 NPX27 NQP27 NRH27 NRZ27 NSR27 NTJ27 NUB27 NUT27 NVL27 NWD27 NWV27 NXN27 NYF27 NYX27 NZP27 OAH27 OAZ27 OBR27 OCJ27 ODB27 ODT27 OEL27 OFD27 OFV27 OGN27 OHF27 OHX27 OIP27 OJH27 OJZ27 OKR27 OLJ27 OMB27 OMT27 ONL27 OOD27 OOV27 OPN27 OQF27 OQX27 ORP27 OSH27 OSZ27 OTR27 OUJ27 OVB27 OVT27 OWL27 OXD27 OXV27 OYN27 OZF27 OZX27 PAP27 PBH27 PBZ27 PCR27 PDJ27 PEB27 PET27 PFL27 PGD27 PGV27 PHN27 PIF27 PIX27 PJP27 PKH27 PKZ27 PLR27 PMJ27 PNB27 PNT27 POL27 PPD27 PPV27 PQN27 PRF27 PRX27 PSP27 PTH27 PTZ27 PUR27 PVJ27 PWB27 PWT27 PXL27 PYD27 PYV27 PZN27 QAF27 QAX27 QBP27 QCH27 QCZ27 QDR27 QEJ27 QFB27 QFT27 QGL27 QHD27 QHV27 QIN27 QJF27 QJX27 QKP27 QLH27 QLZ27 QMR27 QNJ27 QOB27 QOT27 QPL27 QQD27 QQV27 QRN27 QSF27 QSX27 QTP27 QUH27 QUZ27 QVR27 QWJ27 QXB27 QXT27 QYL27 QZD27 QZV27 RAN27 RBF27 RBX27 RCP27 RDH27 RDZ27 RER27 RFJ27 RGB27 RGT27 RHL27 RID27 RIV27 RJN27 RKF27 RKX27 RLP27 RMH27 RMZ27 RNR27 ROJ27 RPB27 RPT27 RQL27 RRD27 RRV27 RSN27 RTF27 RTX27 RUP27 RVH27 RVZ27 RWR27 RXJ27 RYB27 RYT27 RZL27 SAD27 SAV27 SBN27 SCF27 SCX27 SDP27 SEH27 SEZ27 SFR27 SGJ27 SHB27 SHT27 SIL27 SJD27 SJV27 SKN27 SLF27 SLX27 SMP27 SNH27 SNZ27 SOR27 SPJ27 SQB27 SQT27 SRL27 SSD27 SSV27 STN27 SUF27 SUX27 SVP27 SWH27 SWZ27 SXR27 SYJ27 SZB27 SZT27 TAL27 TBD27 TBV27 TCN27 TDF27 TDX27 TEP27 TFH27 TFZ27 TGR27 THJ27 TIB27 TIT27 TJL27 TKD27 TKV27 TLN27 TMF27 TMX27 TNP27 TOH27 TOZ27 TPR27 TQJ27 TRB27 TRT27 TSL27 TTD27 TTV27 TUN27 TVF27 TVX27 TWP27 TXH27 TXZ27 TYR27 TZJ27 UAB27 UAT27 UBL27 UCD27 UCV27 UDN27 UEF27 UEX27 UFP27 UGH27 UGZ27 UHR27 UIJ27 UJB27 UJT27 UKL27 ULD27 ULV27 UMN27 UNF27 UNX27 UOP27 UPH27 UPZ27 UQR27 URJ27 USB27 UST27 UTL27 UUD27 UUV27 UVN27 UWF27 UWX27 UXP27 UYH27 UYZ27 UZR27 VAJ27 VBB27 VBT27 VCL27 VDD27 VDV27 VEN27 VFF27 VFX27 VGP27 VHH27 VHZ27 VIR27 VJJ27 VKB27 VKT27 VLL27 VMD27 VMV27 VNN27 VOF27 VOX27 VPP27 VQH27 VQZ27 VRR27 VSJ27 VTB27 VTT27 VUL27 VVD27 VVV27 VWN27 VXF27 VXX27 VYP27 VZH27 VZZ27 WAR27 WBJ27 WCB27 WCT27 WDL27 WED27 WEV27 WFN27 WGF27 WGX27 WHP27 WIH27 WIZ27 WJR27 WKJ27 WLB27 WLT27 WML27 WND27 WNV27 WON27 WPF27 WPX27 WQP27 WRH27 WRZ27 WSR27 WTJ27 WUB27 WUT27 WVL27 WWD27 WWV27 WXN27 WYF27 WYX27 WZP27 XAH27 XAZ27 XBR27 XCJ27 XDB27 XDT27 XEL27 XFD27">
    <cfRule type="cellIs" dxfId="31" priority="18" stopIfTrue="1" operator="equal">
      <formula>1</formula>
    </cfRule>
  </conditionalFormatting>
  <conditionalFormatting sqref="V28 AN28 BF28 BX28 CP28 DH28 DZ28 ER28 FJ28 GB28 GT28 HL28 ID28 IV28 JN28 KF28 KX28 LP28 MH28 MZ28 NR28 OJ28 PB28 PT28 QL28 RD28 RV28 SN28 TF28 TX28 UP28 VH28 VZ28 WR28 XJ28 YB28 YT28 ZL28 AAD28 AAV28 ABN28 ACF28 ACX28 ADP28 AEH28 AEZ28 AFR28 AGJ28 AHB28 AHT28 AIL28 AJD28 AJV28 AKN28 ALF28 ALX28 AMP28 ANH28 ANZ28 AOR28 APJ28 AQB28 AQT28 ARL28 ASD28 ASV28 ATN28 AUF28 AUX28 AVP28 AWH28 AWZ28 AXR28 AYJ28 AZB28 AZT28 BAL28 BBD28 BBV28 BCN28 BDF28 BDX28 BEP28 BFH28 BFZ28 BGR28 BHJ28 BIB28 BIT28 BJL28 BKD28 BKV28 BLN28 BMF28 BMX28 BNP28 BOH28 BOZ28 BPR28 BQJ28 BRB28 BRT28 BSL28 BTD28 BTV28 BUN28 BVF28 BVX28 BWP28 BXH28 BXZ28 BYR28 BZJ28 CAB28 CAT28 CBL28 CCD28 CCV28 CDN28 CEF28 CEX28 CFP28 CGH28 CGZ28 CHR28 CIJ28 CJB28 CJT28 CKL28 CLD28 CLV28 CMN28 CNF28 CNX28 COP28 CPH28 CPZ28 CQR28 CRJ28 CSB28 CST28 CTL28 CUD28 CUV28 CVN28 CWF28 CWX28 CXP28 CYH28 CYZ28 CZR28 DAJ28 DBB28 DBT28 DCL28 DDD28 DDV28 DEN28 DFF28 DFX28 DGP28 DHH28 DHZ28 DIR28 DJJ28 DKB28 DKT28 DLL28 DMD28 DMV28 DNN28 DOF28 DOX28 DPP28 DQH28 DQZ28 DRR28 DSJ28 DTB28 DTT28 DUL28 DVD28 DVV28 DWN28 DXF28 DXX28 DYP28 DZH28 DZZ28 EAR28 EBJ28 ECB28 ECT28 EDL28 EED28 EEV28 EFN28 EGF28 EGX28 EHP28 EIH28 EIZ28 EJR28 EKJ28 ELB28 ELT28 EML28 END28 ENV28 EON28 EPF28 EPX28 EQP28 ERH28 ERZ28 ESR28 ETJ28 EUB28 EUT28 EVL28 EWD28 EWV28 EXN28 EYF28 EYX28 EZP28 FAH28 FAZ28 FBR28 FCJ28 FDB28 FDT28 FEL28 FFD28 FFV28 FGN28 FHF28 FHX28 FIP28 FJH28 FJZ28 FKR28 FLJ28 FMB28 FMT28 FNL28 FOD28 FOV28 FPN28 FQF28 FQX28 FRP28 FSH28 FSZ28 FTR28 FUJ28 FVB28 FVT28 FWL28 FXD28 FXV28 FYN28 FZF28 FZX28 GAP28 GBH28 GBZ28 GCR28 GDJ28 GEB28 GET28 GFL28 GGD28 GGV28 GHN28 GIF28 GIX28 GJP28 GKH28 GKZ28 GLR28 GMJ28 GNB28 GNT28 GOL28 GPD28 GPV28 GQN28 GRF28 GRX28 GSP28 GTH28 GTZ28 GUR28 GVJ28 GWB28 GWT28 GXL28 GYD28 GYV28 GZN28 HAF28 HAX28 HBP28 HCH28 HCZ28 HDR28 HEJ28 HFB28 HFT28 HGL28 HHD28 HHV28 HIN28 HJF28 HJX28 HKP28 HLH28 HLZ28 HMR28 HNJ28 HOB28 HOT28 HPL28 HQD28 HQV28 HRN28 HSF28 HSX28 HTP28 HUH28 HUZ28 HVR28 HWJ28 HXB28 HXT28 HYL28 HZD28 HZV28 IAN28 IBF28 IBX28 ICP28 IDH28 IDZ28 IER28 IFJ28 IGB28 IGT28 IHL28 IID28 IIV28 IJN28 IKF28 IKX28 ILP28 IMH28 IMZ28 INR28 IOJ28 IPB28 IPT28 IQL28 IRD28 IRV28 ISN28 ITF28 ITX28 IUP28 IVH28 IVZ28 IWR28 IXJ28 IYB28 IYT28 IZL28 JAD28 JAV28 JBN28 JCF28 JCX28 JDP28 JEH28 JEZ28 JFR28 JGJ28 JHB28 JHT28 JIL28 JJD28 JJV28 JKN28 JLF28 JLX28 JMP28 JNH28 JNZ28 JOR28 JPJ28 JQB28 JQT28 JRL28 JSD28 JSV28 JTN28 JUF28 JUX28 JVP28 JWH28 JWZ28 JXR28 JYJ28 JZB28 JZT28 KAL28 KBD28 KBV28 KCN28 KDF28 KDX28 KEP28 KFH28 KFZ28 KGR28 KHJ28 KIB28 KIT28 KJL28 KKD28 KKV28 KLN28 KMF28 KMX28 KNP28 KOH28 KOZ28 KPR28 KQJ28 KRB28 KRT28 KSL28 KTD28 KTV28 KUN28 KVF28 KVX28 KWP28 KXH28 KXZ28 KYR28 KZJ28 LAB28 LAT28 LBL28 LCD28 LCV28 LDN28 LEF28 LEX28 LFP28 LGH28 LGZ28 LHR28 LIJ28 LJB28 LJT28 LKL28 LLD28 LLV28 LMN28 LNF28 LNX28 LOP28 LPH28 LPZ28 LQR28 LRJ28 LSB28 LST28 LTL28 LUD28 LUV28 LVN28 LWF28 LWX28 LXP28 LYH28 LYZ28 LZR28 MAJ28 MBB28 MBT28 MCL28 MDD28 MDV28 MEN28 MFF28 MFX28 MGP28 MHH28 MHZ28 MIR28 MJJ28 MKB28 MKT28 MLL28 MMD28 MMV28 MNN28 MOF28 MOX28 MPP28 MQH28 MQZ28 MRR28 MSJ28 MTB28 MTT28 MUL28 MVD28 MVV28 MWN28 MXF28 MXX28 MYP28 MZH28 MZZ28 NAR28 NBJ28 NCB28 NCT28 NDL28 NED28 NEV28 NFN28 NGF28 NGX28 NHP28 NIH28 NIZ28 NJR28 NKJ28 NLB28 NLT28 NML28 NND28 NNV28 NON28 NPF28 NPX28 NQP28 NRH28 NRZ28 NSR28 NTJ28 NUB28 NUT28 NVL28 NWD28 NWV28 NXN28 NYF28 NYX28 NZP28 OAH28 OAZ28 OBR28 OCJ28 ODB28 ODT28 OEL28 OFD28 OFV28 OGN28 OHF28 OHX28 OIP28 OJH28 OJZ28 OKR28 OLJ28 OMB28 OMT28 ONL28 OOD28 OOV28 OPN28 OQF28 OQX28 ORP28 OSH28 OSZ28 OTR28 OUJ28 OVB28 OVT28 OWL28 OXD28 OXV28 OYN28 OZF28 OZX28 PAP28 PBH28 PBZ28 PCR28 PDJ28 PEB28 PET28 PFL28 PGD28 PGV28 PHN28 PIF28 PIX28 PJP28 PKH28 PKZ28 PLR28 PMJ28 PNB28 PNT28 POL28 PPD28 PPV28 PQN28 PRF28 PRX28 PSP28 PTH28 PTZ28 PUR28 PVJ28 PWB28 PWT28 PXL28 PYD28 PYV28 PZN28 QAF28 QAX28 QBP28 QCH28 QCZ28 QDR28 QEJ28 QFB28 QFT28 QGL28 QHD28 QHV28 QIN28 QJF28 QJX28 QKP28 QLH28 QLZ28 QMR28 QNJ28 QOB28 QOT28 QPL28 QQD28 QQV28 QRN28 QSF28 QSX28 QTP28 QUH28 QUZ28 QVR28 QWJ28 QXB28 QXT28 QYL28 QZD28 QZV28 RAN28 RBF28 RBX28 RCP28 RDH28 RDZ28 RER28 RFJ28 RGB28 RGT28 RHL28 RID28 RIV28 RJN28 RKF28 RKX28 RLP28 RMH28 RMZ28 RNR28 ROJ28 RPB28 RPT28 RQL28 RRD28 RRV28 RSN28 RTF28 RTX28 RUP28 RVH28 RVZ28 RWR28 RXJ28 RYB28 RYT28 RZL28 SAD28 SAV28 SBN28 SCF28 SCX28 SDP28 SEH28 SEZ28 SFR28 SGJ28 SHB28 SHT28 SIL28 SJD28 SJV28 SKN28 SLF28 SLX28 SMP28 SNH28 SNZ28 SOR28 SPJ28 SQB28 SQT28 SRL28 SSD28 SSV28 STN28 SUF28 SUX28 SVP28 SWH28 SWZ28 SXR28 SYJ28 SZB28 SZT28 TAL28 TBD28 TBV28 TCN28 TDF28 TDX28 TEP28 TFH28 TFZ28 TGR28 THJ28 TIB28 TIT28 TJL28 TKD28 TKV28 TLN28 TMF28 TMX28 TNP28 TOH28 TOZ28 TPR28 TQJ28 TRB28 TRT28 TSL28 TTD28 TTV28 TUN28 TVF28 TVX28 TWP28 TXH28 TXZ28 TYR28 TZJ28 UAB28 UAT28 UBL28 UCD28 UCV28 UDN28 UEF28 UEX28 UFP28 UGH28 UGZ28 UHR28 UIJ28 UJB28 UJT28 UKL28 ULD28 ULV28 UMN28 UNF28 UNX28 UOP28 UPH28 UPZ28 UQR28 URJ28 USB28 UST28 UTL28 UUD28 UUV28 UVN28 UWF28 UWX28 UXP28 UYH28 UYZ28 UZR28 VAJ28 VBB28 VBT28 VCL28 VDD28 VDV28 VEN28 VFF28 VFX28 VGP28 VHH28 VHZ28 VIR28 VJJ28 VKB28 VKT28 VLL28 VMD28 VMV28 VNN28 VOF28 VOX28 VPP28 VQH28 VQZ28 VRR28 VSJ28 VTB28 VTT28 VUL28 VVD28 VVV28 VWN28 VXF28 VXX28 VYP28 VZH28 VZZ28 WAR28 WBJ28 WCB28 WCT28 WDL28 WED28 WEV28 WFN28 WGF28 WGX28 WHP28 WIH28 WIZ28 WJR28 WKJ28 WLB28 WLT28 WML28 WND28 WNV28 WON28 WPF28 WPX28 WQP28 WRH28 WRZ28 WSR28 WTJ28 WUB28 WUT28 WVL28 WWD28 WWV28 WXN28 WYF28 WYX28 WZP28 XAH28 XAZ28 XBR28 XCJ28 XDB28 XDT28 XEL28 XFD28">
    <cfRule type="cellIs" dxfId="30" priority="17" stopIfTrue="1" operator="equal">
      <formula>1</formula>
    </cfRule>
  </conditionalFormatting>
  <conditionalFormatting sqref="V29 AN29 BF29 BX29 CP29 DH29 DZ29 ER29 FJ29 GB29 GT29 HL29 ID29 IV29 JN29 KF29 KX29 LP29 MH29 MZ29 NR29 OJ29 PB29 PT29 QL29 RD29 RV29 SN29 TF29 TX29 UP29 VH29 VZ29 WR29 XJ29 YB29 YT29 ZL29 AAD29 AAV29 ABN29 ACF29 ACX29 ADP29 AEH29 AEZ29 AFR29 AGJ29 AHB29 AHT29 AIL29 AJD29 AJV29 AKN29 ALF29 ALX29 AMP29 ANH29 ANZ29 AOR29 APJ29 AQB29 AQT29 ARL29 ASD29 ASV29 ATN29 AUF29 AUX29 AVP29 AWH29 AWZ29 AXR29 AYJ29 AZB29 AZT29 BAL29 BBD29 BBV29 BCN29 BDF29 BDX29 BEP29 BFH29 BFZ29 BGR29 BHJ29 BIB29 BIT29 BJL29 BKD29 BKV29 BLN29 BMF29 BMX29 BNP29 BOH29 BOZ29 BPR29 BQJ29 BRB29 BRT29 BSL29 BTD29 BTV29 BUN29 BVF29 BVX29 BWP29 BXH29 BXZ29 BYR29 BZJ29 CAB29 CAT29 CBL29 CCD29 CCV29 CDN29 CEF29 CEX29 CFP29 CGH29 CGZ29 CHR29 CIJ29 CJB29 CJT29 CKL29 CLD29 CLV29 CMN29 CNF29 CNX29 COP29 CPH29 CPZ29 CQR29 CRJ29 CSB29 CST29 CTL29 CUD29 CUV29 CVN29 CWF29 CWX29 CXP29 CYH29 CYZ29 CZR29 DAJ29 DBB29 DBT29 DCL29 DDD29 DDV29 DEN29 DFF29 DFX29 DGP29 DHH29 DHZ29 DIR29 DJJ29 DKB29 DKT29 DLL29 DMD29 DMV29 DNN29 DOF29 DOX29 DPP29 DQH29 DQZ29 DRR29 DSJ29 DTB29 DTT29 DUL29 DVD29 DVV29 DWN29 DXF29 DXX29 DYP29 DZH29 DZZ29 EAR29 EBJ29 ECB29 ECT29 EDL29 EED29 EEV29 EFN29 EGF29 EGX29 EHP29 EIH29 EIZ29 EJR29 EKJ29 ELB29 ELT29 EML29 END29 ENV29 EON29 EPF29 EPX29 EQP29 ERH29 ERZ29 ESR29 ETJ29 EUB29 EUT29 EVL29 EWD29 EWV29 EXN29 EYF29 EYX29 EZP29 FAH29 FAZ29 FBR29 FCJ29 FDB29 FDT29 FEL29 FFD29 FFV29 FGN29 FHF29 FHX29 FIP29 FJH29 FJZ29 FKR29 FLJ29 FMB29 FMT29 FNL29 FOD29 FOV29 FPN29 FQF29 FQX29 FRP29 FSH29 FSZ29 FTR29 FUJ29 FVB29 FVT29 FWL29 FXD29 FXV29 FYN29 FZF29 FZX29 GAP29 GBH29 GBZ29 GCR29 GDJ29 GEB29 GET29 GFL29 GGD29 GGV29 GHN29 GIF29 GIX29 GJP29 GKH29 GKZ29 GLR29 GMJ29 GNB29 GNT29 GOL29 GPD29 GPV29 GQN29 GRF29 GRX29 GSP29 GTH29 GTZ29 GUR29 GVJ29 GWB29 GWT29 GXL29 GYD29 GYV29 GZN29 HAF29 HAX29 HBP29 HCH29 HCZ29 HDR29 HEJ29 HFB29 HFT29 HGL29 HHD29 HHV29 HIN29 HJF29 HJX29 HKP29 HLH29 HLZ29 HMR29 HNJ29 HOB29 HOT29 HPL29 HQD29 HQV29 HRN29 HSF29 HSX29 HTP29 HUH29 HUZ29 HVR29 HWJ29 HXB29 HXT29 HYL29 HZD29 HZV29 IAN29 IBF29 IBX29 ICP29 IDH29 IDZ29 IER29 IFJ29 IGB29 IGT29 IHL29 IID29 IIV29 IJN29 IKF29 IKX29 ILP29 IMH29 IMZ29 INR29 IOJ29 IPB29 IPT29 IQL29 IRD29 IRV29 ISN29 ITF29 ITX29 IUP29 IVH29 IVZ29 IWR29 IXJ29 IYB29 IYT29 IZL29 JAD29 JAV29 JBN29 JCF29 JCX29 JDP29 JEH29 JEZ29 JFR29 JGJ29 JHB29 JHT29 JIL29 JJD29 JJV29 JKN29 JLF29 JLX29 JMP29 JNH29 JNZ29 JOR29 JPJ29 JQB29 JQT29 JRL29 JSD29 JSV29 JTN29 JUF29 JUX29 JVP29 JWH29 JWZ29 JXR29 JYJ29 JZB29 JZT29 KAL29 KBD29 KBV29 KCN29 KDF29 KDX29 KEP29 KFH29 KFZ29 KGR29 KHJ29 KIB29 KIT29 KJL29 KKD29 KKV29 KLN29 KMF29 KMX29 KNP29 KOH29 KOZ29 KPR29 KQJ29 KRB29 KRT29 KSL29 KTD29 KTV29 KUN29 KVF29 KVX29 KWP29 KXH29 KXZ29 KYR29 KZJ29 LAB29 LAT29 LBL29 LCD29 LCV29 LDN29 LEF29 LEX29 LFP29 LGH29 LGZ29 LHR29 LIJ29 LJB29 LJT29 LKL29 LLD29 LLV29 LMN29 LNF29 LNX29 LOP29 LPH29 LPZ29 LQR29 LRJ29 LSB29 LST29 LTL29 LUD29 LUV29 LVN29 LWF29 LWX29 LXP29 LYH29 LYZ29 LZR29 MAJ29 MBB29 MBT29 MCL29 MDD29 MDV29 MEN29 MFF29 MFX29 MGP29 MHH29 MHZ29 MIR29 MJJ29 MKB29 MKT29 MLL29 MMD29 MMV29 MNN29 MOF29 MOX29 MPP29 MQH29 MQZ29 MRR29 MSJ29 MTB29 MTT29 MUL29 MVD29 MVV29 MWN29 MXF29 MXX29 MYP29 MZH29 MZZ29 NAR29 NBJ29 NCB29 NCT29 NDL29 NED29 NEV29 NFN29 NGF29 NGX29 NHP29 NIH29 NIZ29 NJR29 NKJ29 NLB29 NLT29 NML29 NND29 NNV29 NON29 NPF29 NPX29 NQP29 NRH29 NRZ29 NSR29 NTJ29 NUB29 NUT29 NVL29 NWD29 NWV29 NXN29 NYF29 NYX29 NZP29 OAH29 OAZ29 OBR29 OCJ29 ODB29 ODT29 OEL29 OFD29 OFV29 OGN29 OHF29 OHX29 OIP29 OJH29 OJZ29 OKR29 OLJ29 OMB29 OMT29 ONL29 OOD29 OOV29 OPN29 OQF29 OQX29 ORP29 OSH29 OSZ29 OTR29 OUJ29 OVB29 OVT29 OWL29 OXD29 OXV29 OYN29 OZF29 OZX29 PAP29 PBH29 PBZ29 PCR29 PDJ29 PEB29 PET29 PFL29 PGD29 PGV29 PHN29 PIF29 PIX29 PJP29 PKH29 PKZ29 PLR29 PMJ29 PNB29 PNT29 POL29 PPD29 PPV29 PQN29 PRF29 PRX29 PSP29 PTH29 PTZ29 PUR29 PVJ29 PWB29 PWT29 PXL29 PYD29 PYV29 PZN29 QAF29 QAX29 QBP29 QCH29 QCZ29 QDR29 QEJ29 QFB29 QFT29 QGL29 QHD29 QHV29 QIN29 QJF29 QJX29 QKP29 QLH29 QLZ29 QMR29 QNJ29 QOB29 QOT29 QPL29 QQD29 QQV29 QRN29 QSF29 QSX29 QTP29 QUH29 QUZ29 QVR29 QWJ29 QXB29 QXT29 QYL29 QZD29 QZV29 RAN29 RBF29 RBX29 RCP29 RDH29 RDZ29 RER29 RFJ29 RGB29 RGT29 RHL29 RID29 RIV29 RJN29 RKF29 RKX29 RLP29 RMH29 RMZ29 RNR29 ROJ29 RPB29 RPT29 RQL29 RRD29 RRV29 RSN29 RTF29 RTX29 RUP29 RVH29 RVZ29 RWR29 RXJ29 RYB29 RYT29 RZL29 SAD29 SAV29 SBN29 SCF29 SCX29 SDP29 SEH29 SEZ29 SFR29 SGJ29 SHB29 SHT29 SIL29 SJD29 SJV29 SKN29 SLF29 SLX29 SMP29 SNH29 SNZ29 SOR29 SPJ29 SQB29 SQT29 SRL29 SSD29 SSV29 STN29 SUF29 SUX29 SVP29 SWH29 SWZ29 SXR29 SYJ29 SZB29 SZT29 TAL29 TBD29 TBV29 TCN29 TDF29 TDX29 TEP29 TFH29 TFZ29 TGR29 THJ29 TIB29 TIT29 TJL29 TKD29 TKV29 TLN29 TMF29 TMX29 TNP29 TOH29 TOZ29 TPR29 TQJ29 TRB29 TRT29 TSL29 TTD29 TTV29 TUN29 TVF29 TVX29 TWP29 TXH29 TXZ29 TYR29 TZJ29 UAB29 UAT29 UBL29 UCD29 UCV29 UDN29 UEF29 UEX29 UFP29 UGH29 UGZ29 UHR29 UIJ29 UJB29 UJT29 UKL29 ULD29 ULV29 UMN29 UNF29 UNX29 UOP29 UPH29 UPZ29 UQR29 URJ29 USB29 UST29 UTL29 UUD29 UUV29 UVN29 UWF29 UWX29 UXP29 UYH29 UYZ29 UZR29 VAJ29 VBB29 VBT29 VCL29 VDD29 VDV29 VEN29 VFF29 VFX29 VGP29 VHH29 VHZ29 VIR29 VJJ29 VKB29 VKT29 VLL29 VMD29 VMV29 VNN29 VOF29 VOX29 VPP29 VQH29 VQZ29 VRR29 VSJ29 VTB29 VTT29 VUL29 VVD29 VVV29 VWN29 VXF29 VXX29 VYP29 VZH29 VZZ29 WAR29 WBJ29 WCB29 WCT29 WDL29 WED29 WEV29 WFN29 WGF29 WGX29 WHP29 WIH29 WIZ29 WJR29 WKJ29 WLB29 WLT29 WML29 WND29 WNV29 WON29 WPF29 WPX29 WQP29 WRH29 WRZ29 WSR29 WTJ29 WUB29 WUT29 WVL29 WWD29 WWV29 WXN29 WYF29 WYX29 WZP29 XAH29 XAZ29 XBR29 XCJ29 XDB29 XDT29 XEL29 XFD29">
    <cfRule type="cellIs" dxfId="29" priority="16" stopIfTrue="1" operator="equal">
      <formula>1</formula>
    </cfRule>
  </conditionalFormatting>
  <conditionalFormatting sqref="V30 AN30 BF30 BX30 CP30 DH30 DZ30 ER30 FJ30 GB30 GT30 HL30 ID30 IV30 JN30 KF30 KX30 LP30 MH30 MZ30 NR30 OJ30 PB30 PT30 QL30 RD30 RV30 SN30 TF30 TX30 UP30 VH30 VZ30 WR30 XJ30 YB30 YT30 ZL30 AAD30 AAV30 ABN30 ACF30 ACX30 ADP30 AEH30 AEZ30 AFR30 AGJ30 AHB30 AHT30 AIL30 AJD30 AJV30 AKN30 ALF30 ALX30 AMP30 ANH30 ANZ30 AOR30 APJ30 AQB30 AQT30 ARL30 ASD30 ASV30 ATN30 AUF30 AUX30 AVP30 AWH30 AWZ30 AXR30 AYJ30 AZB30 AZT30 BAL30 BBD30 BBV30 BCN30 BDF30 BDX30 BEP30 BFH30 BFZ30 BGR30 BHJ30 BIB30 BIT30 BJL30 BKD30 BKV30 BLN30 BMF30 BMX30 BNP30 BOH30 BOZ30 BPR30 BQJ30 BRB30 BRT30 BSL30 BTD30 BTV30 BUN30 BVF30 BVX30 BWP30 BXH30 BXZ30 BYR30 BZJ30 CAB30 CAT30 CBL30 CCD30 CCV30 CDN30 CEF30 CEX30 CFP30 CGH30 CGZ30 CHR30 CIJ30 CJB30 CJT30 CKL30 CLD30 CLV30 CMN30 CNF30 CNX30 COP30 CPH30 CPZ30 CQR30 CRJ30 CSB30 CST30 CTL30 CUD30 CUV30 CVN30 CWF30 CWX30 CXP30 CYH30 CYZ30 CZR30 DAJ30 DBB30 DBT30 DCL30 DDD30 DDV30 DEN30 DFF30 DFX30 DGP30 DHH30 DHZ30 DIR30 DJJ30 DKB30 DKT30 DLL30 DMD30 DMV30 DNN30 DOF30 DOX30 DPP30 DQH30 DQZ30 DRR30 DSJ30 DTB30 DTT30 DUL30 DVD30 DVV30 DWN30 DXF30 DXX30 DYP30 DZH30 DZZ30 EAR30 EBJ30 ECB30 ECT30 EDL30 EED30 EEV30 EFN30 EGF30 EGX30 EHP30 EIH30 EIZ30 EJR30 EKJ30 ELB30 ELT30 EML30 END30 ENV30 EON30 EPF30 EPX30 EQP30 ERH30 ERZ30 ESR30 ETJ30 EUB30 EUT30 EVL30 EWD30 EWV30 EXN30 EYF30 EYX30 EZP30 FAH30 FAZ30 FBR30 FCJ30 FDB30 FDT30 FEL30 FFD30 FFV30 FGN30 FHF30 FHX30 FIP30 FJH30 FJZ30 FKR30 FLJ30 FMB30 FMT30 FNL30 FOD30 FOV30 FPN30 FQF30 FQX30 FRP30 FSH30 FSZ30 FTR30 FUJ30 FVB30 FVT30 FWL30 FXD30 FXV30 FYN30 FZF30 FZX30 GAP30 GBH30 GBZ30 GCR30 GDJ30 GEB30 GET30 GFL30 GGD30 GGV30 GHN30 GIF30 GIX30 GJP30 GKH30 GKZ30 GLR30 GMJ30 GNB30 GNT30 GOL30 GPD30 GPV30 GQN30 GRF30 GRX30 GSP30 GTH30 GTZ30 GUR30 GVJ30 GWB30 GWT30 GXL30 GYD30 GYV30 GZN30 HAF30 HAX30 HBP30 HCH30 HCZ30 HDR30 HEJ30 HFB30 HFT30 HGL30 HHD30 HHV30 HIN30 HJF30 HJX30 HKP30 HLH30 HLZ30 HMR30 HNJ30 HOB30 HOT30 HPL30 HQD30 HQV30 HRN30 HSF30 HSX30 HTP30 HUH30 HUZ30 HVR30 HWJ30 HXB30 HXT30 HYL30 HZD30 HZV30 IAN30 IBF30 IBX30 ICP30 IDH30 IDZ30 IER30 IFJ30 IGB30 IGT30 IHL30 IID30 IIV30 IJN30 IKF30 IKX30 ILP30 IMH30 IMZ30 INR30 IOJ30 IPB30 IPT30 IQL30 IRD30 IRV30 ISN30 ITF30 ITX30 IUP30 IVH30 IVZ30 IWR30 IXJ30 IYB30 IYT30 IZL30 JAD30 JAV30 JBN30 JCF30 JCX30 JDP30 JEH30 JEZ30 JFR30 JGJ30 JHB30 JHT30 JIL30 JJD30 JJV30 JKN30 JLF30 JLX30 JMP30 JNH30 JNZ30 JOR30 JPJ30 JQB30 JQT30 JRL30 JSD30 JSV30 JTN30 JUF30 JUX30 JVP30 JWH30 JWZ30 JXR30 JYJ30 JZB30 JZT30 KAL30 KBD30 KBV30 KCN30 KDF30 KDX30 KEP30 KFH30 KFZ30 KGR30 KHJ30 KIB30 KIT30 KJL30 KKD30 KKV30 KLN30 KMF30 KMX30 KNP30 KOH30 KOZ30 KPR30 KQJ30 KRB30 KRT30 KSL30 KTD30 KTV30 KUN30 KVF30 KVX30 KWP30 KXH30 KXZ30 KYR30 KZJ30 LAB30 LAT30 LBL30 LCD30 LCV30 LDN30 LEF30 LEX30 LFP30 LGH30 LGZ30 LHR30 LIJ30 LJB30 LJT30 LKL30 LLD30 LLV30 LMN30 LNF30 LNX30 LOP30 LPH30 LPZ30 LQR30 LRJ30 LSB30 LST30 LTL30 LUD30 LUV30 LVN30 LWF30 LWX30 LXP30 LYH30 LYZ30 LZR30 MAJ30 MBB30 MBT30 MCL30 MDD30 MDV30 MEN30 MFF30 MFX30 MGP30 MHH30 MHZ30 MIR30 MJJ30 MKB30 MKT30 MLL30 MMD30 MMV30 MNN30 MOF30 MOX30 MPP30 MQH30 MQZ30 MRR30 MSJ30 MTB30 MTT30 MUL30 MVD30 MVV30 MWN30 MXF30 MXX30 MYP30 MZH30 MZZ30 NAR30 NBJ30 NCB30 NCT30 NDL30 NED30 NEV30 NFN30 NGF30 NGX30 NHP30 NIH30 NIZ30 NJR30 NKJ30 NLB30 NLT30 NML30 NND30 NNV30 NON30 NPF30 NPX30 NQP30 NRH30 NRZ30 NSR30 NTJ30 NUB30 NUT30 NVL30 NWD30 NWV30 NXN30 NYF30 NYX30 NZP30 OAH30 OAZ30 OBR30 OCJ30 ODB30 ODT30 OEL30 OFD30 OFV30 OGN30 OHF30 OHX30 OIP30 OJH30 OJZ30 OKR30 OLJ30 OMB30 OMT30 ONL30 OOD30 OOV30 OPN30 OQF30 OQX30 ORP30 OSH30 OSZ30 OTR30 OUJ30 OVB30 OVT30 OWL30 OXD30 OXV30 OYN30 OZF30 OZX30 PAP30 PBH30 PBZ30 PCR30 PDJ30 PEB30 PET30 PFL30 PGD30 PGV30 PHN30 PIF30 PIX30 PJP30 PKH30 PKZ30 PLR30 PMJ30 PNB30 PNT30 POL30 PPD30 PPV30 PQN30 PRF30 PRX30 PSP30 PTH30 PTZ30 PUR30 PVJ30 PWB30 PWT30 PXL30 PYD30 PYV30 PZN30 QAF30 QAX30 QBP30 QCH30 QCZ30 QDR30 QEJ30 QFB30 QFT30 QGL30 QHD30 QHV30 QIN30 QJF30 QJX30 QKP30 QLH30 QLZ30 QMR30 QNJ30 QOB30 QOT30 QPL30 QQD30 QQV30 QRN30 QSF30 QSX30 QTP30 QUH30 QUZ30 QVR30 QWJ30 QXB30 QXT30 QYL30 QZD30 QZV30 RAN30 RBF30 RBX30 RCP30 RDH30 RDZ30 RER30 RFJ30 RGB30 RGT30 RHL30 RID30 RIV30 RJN30 RKF30 RKX30 RLP30 RMH30 RMZ30 RNR30 ROJ30 RPB30 RPT30 RQL30 RRD30 RRV30 RSN30 RTF30 RTX30 RUP30 RVH30 RVZ30 RWR30 RXJ30 RYB30 RYT30 RZL30 SAD30 SAV30 SBN30 SCF30 SCX30 SDP30 SEH30 SEZ30 SFR30 SGJ30 SHB30 SHT30 SIL30 SJD30 SJV30 SKN30 SLF30 SLX30 SMP30 SNH30 SNZ30 SOR30 SPJ30 SQB30 SQT30 SRL30 SSD30 SSV30 STN30 SUF30 SUX30 SVP30 SWH30 SWZ30 SXR30 SYJ30 SZB30 SZT30 TAL30 TBD30 TBV30 TCN30 TDF30 TDX30 TEP30 TFH30 TFZ30 TGR30 THJ30 TIB30 TIT30 TJL30 TKD30 TKV30 TLN30 TMF30 TMX30 TNP30 TOH30 TOZ30 TPR30 TQJ30 TRB30 TRT30 TSL30 TTD30 TTV30 TUN30 TVF30 TVX30 TWP30 TXH30 TXZ30 TYR30 TZJ30 UAB30 UAT30 UBL30 UCD30 UCV30 UDN30 UEF30 UEX30 UFP30 UGH30 UGZ30 UHR30 UIJ30 UJB30 UJT30 UKL30 ULD30 ULV30 UMN30 UNF30 UNX30 UOP30 UPH30 UPZ30 UQR30 URJ30 USB30 UST30 UTL30 UUD30 UUV30 UVN30 UWF30 UWX30 UXP30 UYH30 UYZ30 UZR30 VAJ30 VBB30 VBT30 VCL30 VDD30 VDV30 VEN30 VFF30 VFX30 VGP30 VHH30 VHZ30 VIR30 VJJ30 VKB30 VKT30 VLL30 VMD30 VMV30 VNN30 VOF30 VOX30 VPP30 VQH30 VQZ30 VRR30 VSJ30 VTB30 VTT30 VUL30 VVD30 VVV30 VWN30 VXF30 VXX30 VYP30 VZH30 VZZ30 WAR30 WBJ30 WCB30 WCT30 WDL30 WED30 WEV30 WFN30 WGF30 WGX30 WHP30 WIH30 WIZ30 WJR30 WKJ30 WLB30 WLT30 WML30 WND30 WNV30 WON30 WPF30 WPX30 WQP30 WRH30 WRZ30 WSR30 WTJ30 WUB30 WUT30 WVL30 WWD30 WWV30 WXN30 WYF30 WYX30 WZP30 XAH30 XAZ30 XBR30 XCJ30 XDB30 XDT30 XEL30 XFD30">
    <cfRule type="cellIs" dxfId="28" priority="15" stopIfTrue="1" operator="equal">
      <formula>1</formula>
    </cfRule>
  </conditionalFormatting>
  <conditionalFormatting sqref="V31:V34 AN31:AN34 BF31:BF34 BX31:BX34 CP31:CP34 DH31:DH34 DZ31:DZ34 ER31:ER34 FJ31:FJ34 GB31:GB34 GT31:GT34 HL31:HL34 ID31:ID34 IV31:IV34 JN31:JN34 KF31:KF34 KX31:KX34 LP31:LP34 MH31:MH34 MZ31:MZ34 NR31:NR34 OJ31:OJ34 PB31:PB34 PT31:PT34 QL31:QL34 RD31:RD34 RV31:RV34 SN31:SN34 TF31:TF34 TX31:TX34 UP31:UP34 VH31:VH34 VZ31:VZ34 WR31:WR34 XJ31:XJ34 YB31:YB34 YT31:YT34 ZL31:ZL34 AAD31:AAD34 AAV31:AAV34 ABN31:ABN34 ACF31:ACF34 ACX31:ACX34 ADP31:ADP34 AEH31:AEH34 AEZ31:AEZ34 AFR31:AFR34 AGJ31:AGJ34 AHB31:AHB34 AHT31:AHT34 AIL31:AIL34 AJD31:AJD34 AJV31:AJV34 AKN31:AKN34 ALF31:ALF34 ALX31:ALX34 AMP31:AMP34 ANH31:ANH34 ANZ31:ANZ34 AOR31:AOR34 APJ31:APJ34 AQB31:AQB34 AQT31:AQT34 ARL31:ARL34 ASD31:ASD34 ASV31:ASV34 ATN31:ATN34 AUF31:AUF34 AUX31:AUX34 AVP31:AVP34 AWH31:AWH34 AWZ31:AWZ34 AXR31:AXR34 AYJ31:AYJ34 AZB31:AZB34 AZT31:AZT34 BAL31:BAL34 BBD31:BBD34 BBV31:BBV34 BCN31:BCN34 BDF31:BDF34 BDX31:BDX34 BEP31:BEP34 BFH31:BFH34 BFZ31:BFZ34 BGR31:BGR34 BHJ31:BHJ34 BIB31:BIB34 BIT31:BIT34 BJL31:BJL34 BKD31:BKD34 BKV31:BKV34 BLN31:BLN34 BMF31:BMF34 BMX31:BMX34 BNP31:BNP34 BOH31:BOH34 BOZ31:BOZ34 BPR31:BPR34 BQJ31:BQJ34 BRB31:BRB34 BRT31:BRT34 BSL31:BSL34 BTD31:BTD34 BTV31:BTV34 BUN31:BUN34 BVF31:BVF34 BVX31:BVX34 BWP31:BWP34 BXH31:BXH34 BXZ31:BXZ34 BYR31:BYR34 BZJ31:BZJ34 CAB31:CAB34 CAT31:CAT34 CBL31:CBL34 CCD31:CCD34 CCV31:CCV34 CDN31:CDN34 CEF31:CEF34 CEX31:CEX34 CFP31:CFP34 CGH31:CGH34 CGZ31:CGZ34 CHR31:CHR34 CIJ31:CIJ34 CJB31:CJB34 CJT31:CJT34 CKL31:CKL34 CLD31:CLD34 CLV31:CLV34 CMN31:CMN34 CNF31:CNF34 CNX31:CNX34 COP31:COP34 CPH31:CPH34 CPZ31:CPZ34 CQR31:CQR34 CRJ31:CRJ34 CSB31:CSB34 CST31:CST34 CTL31:CTL34 CUD31:CUD34 CUV31:CUV34 CVN31:CVN34 CWF31:CWF34 CWX31:CWX34 CXP31:CXP34 CYH31:CYH34 CYZ31:CYZ34 CZR31:CZR34 DAJ31:DAJ34 DBB31:DBB34 DBT31:DBT34 DCL31:DCL34 DDD31:DDD34 DDV31:DDV34 DEN31:DEN34 DFF31:DFF34 DFX31:DFX34 DGP31:DGP34 DHH31:DHH34 DHZ31:DHZ34 DIR31:DIR34 DJJ31:DJJ34 DKB31:DKB34 DKT31:DKT34 DLL31:DLL34 DMD31:DMD34 DMV31:DMV34 DNN31:DNN34 DOF31:DOF34 DOX31:DOX34 DPP31:DPP34 DQH31:DQH34 DQZ31:DQZ34 DRR31:DRR34 DSJ31:DSJ34 DTB31:DTB34 DTT31:DTT34 DUL31:DUL34 DVD31:DVD34 DVV31:DVV34 DWN31:DWN34 DXF31:DXF34 DXX31:DXX34 DYP31:DYP34 DZH31:DZH34 DZZ31:DZZ34 EAR31:EAR34 EBJ31:EBJ34 ECB31:ECB34 ECT31:ECT34 EDL31:EDL34 EED31:EED34 EEV31:EEV34 EFN31:EFN34 EGF31:EGF34 EGX31:EGX34 EHP31:EHP34 EIH31:EIH34 EIZ31:EIZ34 EJR31:EJR34 EKJ31:EKJ34 ELB31:ELB34 ELT31:ELT34 EML31:EML34 END31:END34 ENV31:ENV34 EON31:EON34 EPF31:EPF34 EPX31:EPX34 EQP31:EQP34 ERH31:ERH34 ERZ31:ERZ34 ESR31:ESR34 ETJ31:ETJ34 EUB31:EUB34 EUT31:EUT34 EVL31:EVL34 EWD31:EWD34 EWV31:EWV34 EXN31:EXN34 EYF31:EYF34 EYX31:EYX34 EZP31:EZP34 FAH31:FAH34 FAZ31:FAZ34 FBR31:FBR34 FCJ31:FCJ34 FDB31:FDB34 FDT31:FDT34 FEL31:FEL34 FFD31:FFD34 FFV31:FFV34 FGN31:FGN34 FHF31:FHF34 FHX31:FHX34 FIP31:FIP34 FJH31:FJH34 FJZ31:FJZ34 FKR31:FKR34 FLJ31:FLJ34 FMB31:FMB34 FMT31:FMT34 FNL31:FNL34 FOD31:FOD34 FOV31:FOV34 FPN31:FPN34 FQF31:FQF34 FQX31:FQX34 FRP31:FRP34 FSH31:FSH34 FSZ31:FSZ34 FTR31:FTR34 FUJ31:FUJ34 FVB31:FVB34 FVT31:FVT34 FWL31:FWL34 FXD31:FXD34 FXV31:FXV34 FYN31:FYN34 FZF31:FZF34 FZX31:FZX34 GAP31:GAP34 GBH31:GBH34 GBZ31:GBZ34 GCR31:GCR34 GDJ31:GDJ34 GEB31:GEB34 GET31:GET34 GFL31:GFL34 GGD31:GGD34 GGV31:GGV34 GHN31:GHN34 GIF31:GIF34 GIX31:GIX34 GJP31:GJP34 GKH31:GKH34 GKZ31:GKZ34 GLR31:GLR34 GMJ31:GMJ34 GNB31:GNB34 GNT31:GNT34 GOL31:GOL34 GPD31:GPD34 GPV31:GPV34 GQN31:GQN34 GRF31:GRF34 GRX31:GRX34 GSP31:GSP34 GTH31:GTH34 GTZ31:GTZ34 GUR31:GUR34 GVJ31:GVJ34 GWB31:GWB34 GWT31:GWT34 GXL31:GXL34 GYD31:GYD34 GYV31:GYV34 GZN31:GZN34 HAF31:HAF34 HAX31:HAX34 HBP31:HBP34 HCH31:HCH34 HCZ31:HCZ34 HDR31:HDR34 HEJ31:HEJ34 HFB31:HFB34 HFT31:HFT34 HGL31:HGL34 HHD31:HHD34 HHV31:HHV34 HIN31:HIN34 HJF31:HJF34 HJX31:HJX34 HKP31:HKP34 HLH31:HLH34 HLZ31:HLZ34 HMR31:HMR34 HNJ31:HNJ34 HOB31:HOB34 HOT31:HOT34 HPL31:HPL34 HQD31:HQD34 HQV31:HQV34 HRN31:HRN34 HSF31:HSF34 HSX31:HSX34 HTP31:HTP34 HUH31:HUH34 HUZ31:HUZ34 HVR31:HVR34 HWJ31:HWJ34 HXB31:HXB34 HXT31:HXT34 HYL31:HYL34 HZD31:HZD34 HZV31:HZV34 IAN31:IAN34 IBF31:IBF34 IBX31:IBX34 ICP31:ICP34 IDH31:IDH34 IDZ31:IDZ34 IER31:IER34 IFJ31:IFJ34 IGB31:IGB34 IGT31:IGT34 IHL31:IHL34 IID31:IID34 IIV31:IIV34 IJN31:IJN34 IKF31:IKF34 IKX31:IKX34 ILP31:ILP34 IMH31:IMH34 IMZ31:IMZ34 INR31:INR34 IOJ31:IOJ34 IPB31:IPB34 IPT31:IPT34 IQL31:IQL34 IRD31:IRD34 IRV31:IRV34 ISN31:ISN34 ITF31:ITF34 ITX31:ITX34 IUP31:IUP34 IVH31:IVH34 IVZ31:IVZ34 IWR31:IWR34 IXJ31:IXJ34 IYB31:IYB34 IYT31:IYT34 IZL31:IZL34 JAD31:JAD34 JAV31:JAV34 JBN31:JBN34 JCF31:JCF34 JCX31:JCX34 JDP31:JDP34 JEH31:JEH34 JEZ31:JEZ34 JFR31:JFR34 JGJ31:JGJ34 JHB31:JHB34 JHT31:JHT34 JIL31:JIL34 JJD31:JJD34 JJV31:JJV34 JKN31:JKN34 JLF31:JLF34 JLX31:JLX34 JMP31:JMP34 JNH31:JNH34 JNZ31:JNZ34 JOR31:JOR34 JPJ31:JPJ34 JQB31:JQB34 JQT31:JQT34 JRL31:JRL34 JSD31:JSD34 JSV31:JSV34 JTN31:JTN34 JUF31:JUF34 JUX31:JUX34 JVP31:JVP34 JWH31:JWH34 JWZ31:JWZ34 JXR31:JXR34 JYJ31:JYJ34 JZB31:JZB34 JZT31:JZT34 KAL31:KAL34 KBD31:KBD34 KBV31:KBV34 KCN31:KCN34 KDF31:KDF34 KDX31:KDX34 KEP31:KEP34 KFH31:KFH34 KFZ31:KFZ34 KGR31:KGR34 KHJ31:KHJ34 KIB31:KIB34 KIT31:KIT34 KJL31:KJL34 KKD31:KKD34 KKV31:KKV34 KLN31:KLN34 KMF31:KMF34 KMX31:KMX34 KNP31:KNP34 KOH31:KOH34 KOZ31:KOZ34 KPR31:KPR34 KQJ31:KQJ34 KRB31:KRB34 KRT31:KRT34 KSL31:KSL34 KTD31:KTD34 KTV31:KTV34 KUN31:KUN34 KVF31:KVF34 KVX31:KVX34 KWP31:KWP34 KXH31:KXH34 KXZ31:KXZ34 KYR31:KYR34 KZJ31:KZJ34 LAB31:LAB34 LAT31:LAT34 LBL31:LBL34 LCD31:LCD34 LCV31:LCV34 LDN31:LDN34 LEF31:LEF34 LEX31:LEX34 LFP31:LFP34 LGH31:LGH34 LGZ31:LGZ34 LHR31:LHR34 LIJ31:LIJ34 LJB31:LJB34 LJT31:LJT34 LKL31:LKL34 LLD31:LLD34 LLV31:LLV34 LMN31:LMN34 LNF31:LNF34 LNX31:LNX34 LOP31:LOP34 LPH31:LPH34 LPZ31:LPZ34 LQR31:LQR34 LRJ31:LRJ34 LSB31:LSB34 LST31:LST34 LTL31:LTL34 LUD31:LUD34 LUV31:LUV34 LVN31:LVN34 LWF31:LWF34 LWX31:LWX34 LXP31:LXP34 LYH31:LYH34 LYZ31:LYZ34 LZR31:LZR34 MAJ31:MAJ34 MBB31:MBB34 MBT31:MBT34 MCL31:MCL34 MDD31:MDD34 MDV31:MDV34 MEN31:MEN34 MFF31:MFF34 MFX31:MFX34 MGP31:MGP34 MHH31:MHH34 MHZ31:MHZ34 MIR31:MIR34 MJJ31:MJJ34 MKB31:MKB34 MKT31:MKT34 MLL31:MLL34 MMD31:MMD34 MMV31:MMV34 MNN31:MNN34 MOF31:MOF34 MOX31:MOX34 MPP31:MPP34 MQH31:MQH34 MQZ31:MQZ34 MRR31:MRR34 MSJ31:MSJ34 MTB31:MTB34 MTT31:MTT34 MUL31:MUL34 MVD31:MVD34 MVV31:MVV34 MWN31:MWN34 MXF31:MXF34 MXX31:MXX34 MYP31:MYP34 MZH31:MZH34 MZZ31:MZZ34 NAR31:NAR34 NBJ31:NBJ34 NCB31:NCB34 NCT31:NCT34 NDL31:NDL34 NED31:NED34 NEV31:NEV34 NFN31:NFN34 NGF31:NGF34 NGX31:NGX34 NHP31:NHP34 NIH31:NIH34 NIZ31:NIZ34 NJR31:NJR34 NKJ31:NKJ34 NLB31:NLB34 NLT31:NLT34 NML31:NML34 NND31:NND34 NNV31:NNV34 NON31:NON34 NPF31:NPF34 NPX31:NPX34 NQP31:NQP34 NRH31:NRH34 NRZ31:NRZ34 NSR31:NSR34 NTJ31:NTJ34 NUB31:NUB34 NUT31:NUT34 NVL31:NVL34 NWD31:NWD34 NWV31:NWV34 NXN31:NXN34 NYF31:NYF34 NYX31:NYX34 NZP31:NZP34 OAH31:OAH34 OAZ31:OAZ34 OBR31:OBR34 OCJ31:OCJ34 ODB31:ODB34 ODT31:ODT34 OEL31:OEL34 OFD31:OFD34 OFV31:OFV34 OGN31:OGN34 OHF31:OHF34 OHX31:OHX34 OIP31:OIP34 OJH31:OJH34 OJZ31:OJZ34 OKR31:OKR34 OLJ31:OLJ34 OMB31:OMB34 OMT31:OMT34 ONL31:ONL34 OOD31:OOD34 OOV31:OOV34 OPN31:OPN34 OQF31:OQF34 OQX31:OQX34 ORP31:ORP34 OSH31:OSH34 OSZ31:OSZ34 OTR31:OTR34 OUJ31:OUJ34 OVB31:OVB34 OVT31:OVT34 OWL31:OWL34 OXD31:OXD34 OXV31:OXV34 OYN31:OYN34 OZF31:OZF34 OZX31:OZX34 PAP31:PAP34 PBH31:PBH34 PBZ31:PBZ34 PCR31:PCR34 PDJ31:PDJ34 PEB31:PEB34 PET31:PET34 PFL31:PFL34 PGD31:PGD34 PGV31:PGV34 PHN31:PHN34 PIF31:PIF34 PIX31:PIX34 PJP31:PJP34 PKH31:PKH34 PKZ31:PKZ34 PLR31:PLR34 PMJ31:PMJ34 PNB31:PNB34 PNT31:PNT34 POL31:POL34 PPD31:PPD34 PPV31:PPV34 PQN31:PQN34 PRF31:PRF34 PRX31:PRX34 PSP31:PSP34 PTH31:PTH34 PTZ31:PTZ34 PUR31:PUR34 PVJ31:PVJ34 PWB31:PWB34 PWT31:PWT34 PXL31:PXL34 PYD31:PYD34 PYV31:PYV34 PZN31:PZN34 QAF31:QAF34 QAX31:QAX34 QBP31:QBP34 QCH31:QCH34 QCZ31:QCZ34 QDR31:QDR34 QEJ31:QEJ34 QFB31:QFB34 QFT31:QFT34 QGL31:QGL34 QHD31:QHD34 QHV31:QHV34 QIN31:QIN34 QJF31:QJF34 QJX31:QJX34 QKP31:QKP34 QLH31:QLH34 QLZ31:QLZ34 QMR31:QMR34 QNJ31:QNJ34 QOB31:QOB34 QOT31:QOT34 QPL31:QPL34 QQD31:QQD34 QQV31:QQV34 QRN31:QRN34 QSF31:QSF34 QSX31:QSX34 QTP31:QTP34 QUH31:QUH34 QUZ31:QUZ34 QVR31:QVR34 QWJ31:QWJ34 QXB31:QXB34 QXT31:QXT34 QYL31:QYL34 QZD31:QZD34 QZV31:QZV34 RAN31:RAN34 RBF31:RBF34 RBX31:RBX34 RCP31:RCP34 RDH31:RDH34 RDZ31:RDZ34 RER31:RER34 RFJ31:RFJ34 RGB31:RGB34 RGT31:RGT34 RHL31:RHL34 RID31:RID34 RIV31:RIV34 RJN31:RJN34 RKF31:RKF34 RKX31:RKX34 RLP31:RLP34 RMH31:RMH34 RMZ31:RMZ34 RNR31:RNR34 ROJ31:ROJ34 RPB31:RPB34 RPT31:RPT34 RQL31:RQL34 RRD31:RRD34 RRV31:RRV34 RSN31:RSN34 RTF31:RTF34 RTX31:RTX34 RUP31:RUP34 RVH31:RVH34 RVZ31:RVZ34 RWR31:RWR34 RXJ31:RXJ34 RYB31:RYB34 RYT31:RYT34 RZL31:RZL34 SAD31:SAD34 SAV31:SAV34 SBN31:SBN34 SCF31:SCF34 SCX31:SCX34 SDP31:SDP34 SEH31:SEH34 SEZ31:SEZ34 SFR31:SFR34 SGJ31:SGJ34 SHB31:SHB34 SHT31:SHT34 SIL31:SIL34 SJD31:SJD34 SJV31:SJV34 SKN31:SKN34 SLF31:SLF34 SLX31:SLX34 SMP31:SMP34 SNH31:SNH34 SNZ31:SNZ34 SOR31:SOR34 SPJ31:SPJ34 SQB31:SQB34 SQT31:SQT34 SRL31:SRL34 SSD31:SSD34 SSV31:SSV34 STN31:STN34 SUF31:SUF34 SUX31:SUX34 SVP31:SVP34 SWH31:SWH34 SWZ31:SWZ34 SXR31:SXR34 SYJ31:SYJ34 SZB31:SZB34 SZT31:SZT34 TAL31:TAL34 TBD31:TBD34 TBV31:TBV34 TCN31:TCN34 TDF31:TDF34 TDX31:TDX34 TEP31:TEP34 TFH31:TFH34 TFZ31:TFZ34 TGR31:TGR34 THJ31:THJ34 TIB31:TIB34 TIT31:TIT34 TJL31:TJL34 TKD31:TKD34 TKV31:TKV34 TLN31:TLN34 TMF31:TMF34 TMX31:TMX34 TNP31:TNP34 TOH31:TOH34 TOZ31:TOZ34 TPR31:TPR34 TQJ31:TQJ34 TRB31:TRB34 TRT31:TRT34 TSL31:TSL34 TTD31:TTD34 TTV31:TTV34 TUN31:TUN34 TVF31:TVF34 TVX31:TVX34 TWP31:TWP34 TXH31:TXH34 TXZ31:TXZ34 TYR31:TYR34 TZJ31:TZJ34 UAB31:UAB34 UAT31:UAT34 UBL31:UBL34 UCD31:UCD34 UCV31:UCV34 UDN31:UDN34 UEF31:UEF34 UEX31:UEX34 UFP31:UFP34 UGH31:UGH34 UGZ31:UGZ34 UHR31:UHR34 UIJ31:UIJ34 UJB31:UJB34 UJT31:UJT34 UKL31:UKL34 ULD31:ULD34 ULV31:ULV34 UMN31:UMN34 UNF31:UNF34 UNX31:UNX34 UOP31:UOP34 UPH31:UPH34 UPZ31:UPZ34 UQR31:UQR34 URJ31:URJ34 USB31:USB34 UST31:UST34 UTL31:UTL34 UUD31:UUD34 UUV31:UUV34 UVN31:UVN34 UWF31:UWF34 UWX31:UWX34 UXP31:UXP34 UYH31:UYH34 UYZ31:UYZ34 UZR31:UZR34 VAJ31:VAJ34 VBB31:VBB34 VBT31:VBT34 VCL31:VCL34 VDD31:VDD34 VDV31:VDV34 VEN31:VEN34 VFF31:VFF34 VFX31:VFX34 VGP31:VGP34 VHH31:VHH34 VHZ31:VHZ34 VIR31:VIR34 VJJ31:VJJ34 VKB31:VKB34 VKT31:VKT34 VLL31:VLL34 VMD31:VMD34 VMV31:VMV34 VNN31:VNN34 VOF31:VOF34 VOX31:VOX34 VPP31:VPP34 VQH31:VQH34 VQZ31:VQZ34 VRR31:VRR34 VSJ31:VSJ34 VTB31:VTB34 VTT31:VTT34 VUL31:VUL34 VVD31:VVD34 VVV31:VVV34 VWN31:VWN34 VXF31:VXF34 VXX31:VXX34 VYP31:VYP34 VZH31:VZH34 VZZ31:VZZ34 WAR31:WAR34 WBJ31:WBJ34 WCB31:WCB34 WCT31:WCT34 WDL31:WDL34 WED31:WED34 WEV31:WEV34 WFN31:WFN34 WGF31:WGF34 WGX31:WGX34 WHP31:WHP34 WIH31:WIH34 WIZ31:WIZ34 WJR31:WJR34 WKJ31:WKJ34 WLB31:WLB34 WLT31:WLT34 WML31:WML34 WND31:WND34 WNV31:WNV34 WON31:WON34 WPF31:WPF34 WPX31:WPX34 WQP31:WQP34 WRH31:WRH34 WRZ31:WRZ34 WSR31:WSR34 WTJ31:WTJ34 WUB31:WUB34 WUT31:WUT34 WVL31:WVL34 WWD31:WWD34 WWV31:WWV34 WXN31:WXN34 WYF31:WYF34 WYX31:WYX34 WZP31:WZP34 XAH31:XAH34 XAZ31:XAZ34 XBR31:XBR34 XCJ31:XCJ34 XDB31:XDB34 XDT31:XDT34 XEL31:XEL34 XFD31:XFD34">
    <cfRule type="cellIs" dxfId="27" priority="14" stopIfTrue="1" operator="equal">
      <formula>1</formula>
    </cfRule>
  </conditionalFormatting>
  <conditionalFormatting sqref="V35:V37 AN35:AN37 BF35:BF37 BX35:BX37 CP35:CP37 DH35:DH37 DZ35:DZ37 ER35:ER37 FJ35:FJ37 GB35:GB37 GT35:GT37 HL35:HL37 ID35:ID37 IV35:IV37 JN35:JN37 KF35:KF37 KX35:KX37 LP35:LP37 MH35:MH37 MZ35:MZ37 NR35:NR37 OJ35:OJ37 PB35:PB37 PT35:PT37 QL35:QL37 RD35:RD37 RV35:RV37 SN35:SN37 TF35:TF37 TX35:TX37 UP35:UP37 VH35:VH37 VZ35:VZ37 WR35:WR37 XJ35:XJ37 YB35:YB37 YT35:YT37 ZL35:ZL37 AAD35:AAD37 AAV35:AAV37 ABN35:ABN37 ACF35:ACF37 ACX35:ACX37 ADP35:ADP37 AEH35:AEH37 AEZ35:AEZ37 AFR35:AFR37 AGJ35:AGJ37 AHB35:AHB37 AHT35:AHT37 AIL35:AIL37 AJD35:AJD37 AJV35:AJV37 AKN35:AKN37 ALF35:ALF37 ALX35:ALX37 AMP35:AMP37 ANH35:ANH37 ANZ35:ANZ37 AOR35:AOR37 APJ35:APJ37 AQB35:AQB37 AQT35:AQT37 ARL35:ARL37 ASD35:ASD37 ASV35:ASV37 ATN35:ATN37 AUF35:AUF37 AUX35:AUX37 AVP35:AVP37 AWH35:AWH37 AWZ35:AWZ37 AXR35:AXR37 AYJ35:AYJ37 AZB35:AZB37 AZT35:AZT37 BAL35:BAL37 BBD35:BBD37 BBV35:BBV37 BCN35:BCN37 BDF35:BDF37 BDX35:BDX37 BEP35:BEP37 BFH35:BFH37 BFZ35:BFZ37 BGR35:BGR37 BHJ35:BHJ37 BIB35:BIB37 BIT35:BIT37 BJL35:BJL37 BKD35:BKD37 BKV35:BKV37 BLN35:BLN37 BMF35:BMF37 BMX35:BMX37 BNP35:BNP37 BOH35:BOH37 BOZ35:BOZ37 BPR35:BPR37 BQJ35:BQJ37 BRB35:BRB37 BRT35:BRT37 BSL35:BSL37 BTD35:BTD37 BTV35:BTV37 BUN35:BUN37 BVF35:BVF37 BVX35:BVX37 BWP35:BWP37 BXH35:BXH37 BXZ35:BXZ37 BYR35:BYR37 BZJ35:BZJ37 CAB35:CAB37 CAT35:CAT37 CBL35:CBL37 CCD35:CCD37 CCV35:CCV37 CDN35:CDN37 CEF35:CEF37 CEX35:CEX37 CFP35:CFP37 CGH35:CGH37 CGZ35:CGZ37 CHR35:CHR37 CIJ35:CIJ37 CJB35:CJB37 CJT35:CJT37 CKL35:CKL37 CLD35:CLD37 CLV35:CLV37 CMN35:CMN37 CNF35:CNF37 CNX35:CNX37 COP35:COP37 CPH35:CPH37 CPZ35:CPZ37 CQR35:CQR37 CRJ35:CRJ37 CSB35:CSB37 CST35:CST37 CTL35:CTL37 CUD35:CUD37 CUV35:CUV37 CVN35:CVN37 CWF35:CWF37 CWX35:CWX37 CXP35:CXP37 CYH35:CYH37 CYZ35:CYZ37 CZR35:CZR37 DAJ35:DAJ37 DBB35:DBB37 DBT35:DBT37 DCL35:DCL37 DDD35:DDD37 DDV35:DDV37 DEN35:DEN37 DFF35:DFF37 DFX35:DFX37 DGP35:DGP37 DHH35:DHH37 DHZ35:DHZ37 DIR35:DIR37 DJJ35:DJJ37 DKB35:DKB37 DKT35:DKT37 DLL35:DLL37 DMD35:DMD37 DMV35:DMV37 DNN35:DNN37 DOF35:DOF37 DOX35:DOX37 DPP35:DPP37 DQH35:DQH37 DQZ35:DQZ37 DRR35:DRR37 DSJ35:DSJ37 DTB35:DTB37 DTT35:DTT37 DUL35:DUL37 DVD35:DVD37 DVV35:DVV37 DWN35:DWN37 DXF35:DXF37 DXX35:DXX37 DYP35:DYP37 DZH35:DZH37 DZZ35:DZZ37 EAR35:EAR37 EBJ35:EBJ37 ECB35:ECB37 ECT35:ECT37 EDL35:EDL37 EED35:EED37 EEV35:EEV37 EFN35:EFN37 EGF35:EGF37 EGX35:EGX37 EHP35:EHP37 EIH35:EIH37 EIZ35:EIZ37 EJR35:EJR37 EKJ35:EKJ37 ELB35:ELB37 ELT35:ELT37 EML35:EML37 END35:END37 ENV35:ENV37 EON35:EON37 EPF35:EPF37 EPX35:EPX37 EQP35:EQP37 ERH35:ERH37 ERZ35:ERZ37 ESR35:ESR37 ETJ35:ETJ37 EUB35:EUB37 EUT35:EUT37 EVL35:EVL37 EWD35:EWD37 EWV35:EWV37 EXN35:EXN37 EYF35:EYF37 EYX35:EYX37 EZP35:EZP37 FAH35:FAH37 FAZ35:FAZ37 FBR35:FBR37 FCJ35:FCJ37 FDB35:FDB37 FDT35:FDT37 FEL35:FEL37 FFD35:FFD37 FFV35:FFV37 FGN35:FGN37 FHF35:FHF37 FHX35:FHX37 FIP35:FIP37 FJH35:FJH37 FJZ35:FJZ37 FKR35:FKR37 FLJ35:FLJ37 FMB35:FMB37 FMT35:FMT37 FNL35:FNL37 FOD35:FOD37 FOV35:FOV37 FPN35:FPN37 FQF35:FQF37 FQX35:FQX37 FRP35:FRP37 FSH35:FSH37 FSZ35:FSZ37 FTR35:FTR37 FUJ35:FUJ37 FVB35:FVB37 FVT35:FVT37 FWL35:FWL37 FXD35:FXD37 FXV35:FXV37 FYN35:FYN37 FZF35:FZF37 FZX35:FZX37 GAP35:GAP37 GBH35:GBH37 GBZ35:GBZ37 GCR35:GCR37 GDJ35:GDJ37 GEB35:GEB37 GET35:GET37 GFL35:GFL37 GGD35:GGD37 GGV35:GGV37 GHN35:GHN37 GIF35:GIF37 GIX35:GIX37 GJP35:GJP37 GKH35:GKH37 GKZ35:GKZ37 GLR35:GLR37 GMJ35:GMJ37 GNB35:GNB37 GNT35:GNT37 GOL35:GOL37 GPD35:GPD37 GPV35:GPV37 GQN35:GQN37 GRF35:GRF37 GRX35:GRX37 GSP35:GSP37 GTH35:GTH37 GTZ35:GTZ37 GUR35:GUR37 GVJ35:GVJ37 GWB35:GWB37 GWT35:GWT37 GXL35:GXL37 GYD35:GYD37 GYV35:GYV37 GZN35:GZN37 HAF35:HAF37 HAX35:HAX37 HBP35:HBP37 HCH35:HCH37 HCZ35:HCZ37 HDR35:HDR37 HEJ35:HEJ37 HFB35:HFB37 HFT35:HFT37 HGL35:HGL37 HHD35:HHD37 HHV35:HHV37 HIN35:HIN37 HJF35:HJF37 HJX35:HJX37 HKP35:HKP37 HLH35:HLH37 HLZ35:HLZ37 HMR35:HMR37 HNJ35:HNJ37 HOB35:HOB37 HOT35:HOT37 HPL35:HPL37 HQD35:HQD37 HQV35:HQV37 HRN35:HRN37 HSF35:HSF37 HSX35:HSX37 HTP35:HTP37 HUH35:HUH37 HUZ35:HUZ37 HVR35:HVR37 HWJ35:HWJ37 HXB35:HXB37 HXT35:HXT37 HYL35:HYL37 HZD35:HZD37 HZV35:HZV37 IAN35:IAN37 IBF35:IBF37 IBX35:IBX37 ICP35:ICP37 IDH35:IDH37 IDZ35:IDZ37 IER35:IER37 IFJ35:IFJ37 IGB35:IGB37 IGT35:IGT37 IHL35:IHL37 IID35:IID37 IIV35:IIV37 IJN35:IJN37 IKF35:IKF37 IKX35:IKX37 ILP35:ILP37 IMH35:IMH37 IMZ35:IMZ37 INR35:INR37 IOJ35:IOJ37 IPB35:IPB37 IPT35:IPT37 IQL35:IQL37 IRD35:IRD37 IRV35:IRV37 ISN35:ISN37 ITF35:ITF37 ITX35:ITX37 IUP35:IUP37 IVH35:IVH37 IVZ35:IVZ37 IWR35:IWR37 IXJ35:IXJ37 IYB35:IYB37 IYT35:IYT37 IZL35:IZL37 JAD35:JAD37 JAV35:JAV37 JBN35:JBN37 JCF35:JCF37 JCX35:JCX37 JDP35:JDP37 JEH35:JEH37 JEZ35:JEZ37 JFR35:JFR37 JGJ35:JGJ37 JHB35:JHB37 JHT35:JHT37 JIL35:JIL37 JJD35:JJD37 JJV35:JJV37 JKN35:JKN37 JLF35:JLF37 JLX35:JLX37 JMP35:JMP37 JNH35:JNH37 JNZ35:JNZ37 JOR35:JOR37 JPJ35:JPJ37 JQB35:JQB37 JQT35:JQT37 JRL35:JRL37 JSD35:JSD37 JSV35:JSV37 JTN35:JTN37 JUF35:JUF37 JUX35:JUX37 JVP35:JVP37 JWH35:JWH37 JWZ35:JWZ37 JXR35:JXR37 JYJ35:JYJ37 JZB35:JZB37 JZT35:JZT37 KAL35:KAL37 KBD35:KBD37 KBV35:KBV37 KCN35:KCN37 KDF35:KDF37 KDX35:KDX37 KEP35:KEP37 KFH35:KFH37 KFZ35:KFZ37 KGR35:KGR37 KHJ35:KHJ37 KIB35:KIB37 KIT35:KIT37 KJL35:KJL37 KKD35:KKD37 KKV35:KKV37 KLN35:KLN37 KMF35:KMF37 KMX35:KMX37 KNP35:KNP37 KOH35:KOH37 KOZ35:KOZ37 KPR35:KPR37 KQJ35:KQJ37 KRB35:KRB37 KRT35:KRT37 KSL35:KSL37 KTD35:KTD37 KTV35:KTV37 KUN35:KUN37 KVF35:KVF37 KVX35:KVX37 KWP35:KWP37 KXH35:KXH37 KXZ35:KXZ37 KYR35:KYR37 KZJ35:KZJ37 LAB35:LAB37 LAT35:LAT37 LBL35:LBL37 LCD35:LCD37 LCV35:LCV37 LDN35:LDN37 LEF35:LEF37 LEX35:LEX37 LFP35:LFP37 LGH35:LGH37 LGZ35:LGZ37 LHR35:LHR37 LIJ35:LIJ37 LJB35:LJB37 LJT35:LJT37 LKL35:LKL37 LLD35:LLD37 LLV35:LLV37 LMN35:LMN37 LNF35:LNF37 LNX35:LNX37 LOP35:LOP37 LPH35:LPH37 LPZ35:LPZ37 LQR35:LQR37 LRJ35:LRJ37 LSB35:LSB37 LST35:LST37 LTL35:LTL37 LUD35:LUD37 LUV35:LUV37 LVN35:LVN37 LWF35:LWF37 LWX35:LWX37 LXP35:LXP37 LYH35:LYH37 LYZ35:LYZ37 LZR35:LZR37 MAJ35:MAJ37 MBB35:MBB37 MBT35:MBT37 MCL35:MCL37 MDD35:MDD37 MDV35:MDV37 MEN35:MEN37 MFF35:MFF37 MFX35:MFX37 MGP35:MGP37 MHH35:MHH37 MHZ35:MHZ37 MIR35:MIR37 MJJ35:MJJ37 MKB35:MKB37 MKT35:MKT37 MLL35:MLL37 MMD35:MMD37 MMV35:MMV37 MNN35:MNN37 MOF35:MOF37 MOX35:MOX37 MPP35:MPP37 MQH35:MQH37 MQZ35:MQZ37 MRR35:MRR37 MSJ35:MSJ37 MTB35:MTB37 MTT35:MTT37 MUL35:MUL37 MVD35:MVD37 MVV35:MVV37 MWN35:MWN37 MXF35:MXF37 MXX35:MXX37 MYP35:MYP37 MZH35:MZH37 MZZ35:MZZ37 NAR35:NAR37 NBJ35:NBJ37 NCB35:NCB37 NCT35:NCT37 NDL35:NDL37 NED35:NED37 NEV35:NEV37 NFN35:NFN37 NGF35:NGF37 NGX35:NGX37 NHP35:NHP37 NIH35:NIH37 NIZ35:NIZ37 NJR35:NJR37 NKJ35:NKJ37 NLB35:NLB37 NLT35:NLT37 NML35:NML37 NND35:NND37 NNV35:NNV37 NON35:NON37 NPF35:NPF37 NPX35:NPX37 NQP35:NQP37 NRH35:NRH37 NRZ35:NRZ37 NSR35:NSR37 NTJ35:NTJ37 NUB35:NUB37 NUT35:NUT37 NVL35:NVL37 NWD35:NWD37 NWV35:NWV37 NXN35:NXN37 NYF35:NYF37 NYX35:NYX37 NZP35:NZP37 OAH35:OAH37 OAZ35:OAZ37 OBR35:OBR37 OCJ35:OCJ37 ODB35:ODB37 ODT35:ODT37 OEL35:OEL37 OFD35:OFD37 OFV35:OFV37 OGN35:OGN37 OHF35:OHF37 OHX35:OHX37 OIP35:OIP37 OJH35:OJH37 OJZ35:OJZ37 OKR35:OKR37 OLJ35:OLJ37 OMB35:OMB37 OMT35:OMT37 ONL35:ONL37 OOD35:OOD37 OOV35:OOV37 OPN35:OPN37 OQF35:OQF37 OQX35:OQX37 ORP35:ORP37 OSH35:OSH37 OSZ35:OSZ37 OTR35:OTR37 OUJ35:OUJ37 OVB35:OVB37 OVT35:OVT37 OWL35:OWL37 OXD35:OXD37 OXV35:OXV37 OYN35:OYN37 OZF35:OZF37 OZX35:OZX37 PAP35:PAP37 PBH35:PBH37 PBZ35:PBZ37 PCR35:PCR37 PDJ35:PDJ37 PEB35:PEB37 PET35:PET37 PFL35:PFL37 PGD35:PGD37 PGV35:PGV37 PHN35:PHN37 PIF35:PIF37 PIX35:PIX37 PJP35:PJP37 PKH35:PKH37 PKZ35:PKZ37 PLR35:PLR37 PMJ35:PMJ37 PNB35:PNB37 PNT35:PNT37 POL35:POL37 PPD35:PPD37 PPV35:PPV37 PQN35:PQN37 PRF35:PRF37 PRX35:PRX37 PSP35:PSP37 PTH35:PTH37 PTZ35:PTZ37 PUR35:PUR37 PVJ35:PVJ37 PWB35:PWB37 PWT35:PWT37 PXL35:PXL37 PYD35:PYD37 PYV35:PYV37 PZN35:PZN37 QAF35:QAF37 QAX35:QAX37 QBP35:QBP37 QCH35:QCH37 QCZ35:QCZ37 QDR35:QDR37 QEJ35:QEJ37 QFB35:QFB37 QFT35:QFT37 QGL35:QGL37 QHD35:QHD37 QHV35:QHV37 QIN35:QIN37 QJF35:QJF37 QJX35:QJX37 QKP35:QKP37 QLH35:QLH37 QLZ35:QLZ37 QMR35:QMR37 QNJ35:QNJ37 QOB35:QOB37 QOT35:QOT37 QPL35:QPL37 QQD35:QQD37 QQV35:QQV37 QRN35:QRN37 QSF35:QSF37 QSX35:QSX37 QTP35:QTP37 QUH35:QUH37 QUZ35:QUZ37 QVR35:QVR37 QWJ35:QWJ37 QXB35:QXB37 QXT35:QXT37 QYL35:QYL37 QZD35:QZD37 QZV35:QZV37 RAN35:RAN37 RBF35:RBF37 RBX35:RBX37 RCP35:RCP37 RDH35:RDH37 RDZ35:RDZ37 RER35:RER37 RFJ35:RFJ37 RGB35:RGB37 RGT35:RGT37 RHL35:RHL37 RID35:RID37 RIV35:RIV37 RJN35:RJN37 RKF35:RKF37 RKX35:RKX37 RLP35:RLP37 RMH35:RMH37 RMZ35:RMZ37 RNR35:RNR37 ROJ35:ROJ37 RPB35:RPB37 RPT35:RPT37 RQL35:RQL37 RRD35:RRD37 RRV35:RRV37 RSN35:RSN37 RTF35:RTF37 RTX35:RTX37 RUP35:RUP37 RVH35:RVH37 RVZ35:RVZ37 RWR35:RWR37 RXJ35:RXJ37 RYB35:RYB37 RYT35:RYT37 RZL35:RZL37 SAD35:SAD37 SAV35:SAV37 SBN35:SBN37 SCF35:SCF37 SCX35:SCX37 SDP35:SDP37 SEH35:SEH37 SEZ35:SEZ37 SFR35:SFR37 SGJ35:SGJ37 SHB35:SHB37 SHT35:SHT37 SIL35:SIL37 SJD35:SJD37 SJV35:SJV37 SKN35:SKN37 SLF35:SLF37 SLX35:SLX37 SMP35:SMP37 SNH35:SNH37 SNZ35:SNZ37 SOR35:SOR37 SPJ35:SPJ37 SQB35:SQB37 SQT35:SQT37 SRL35:SRL37 SSD35:SSD37 SSV35:SSV37 STN35:STN37 SUF35:SUF37 SUX35:SUX37 SVP35:SVP37 SWH35:SWH37 SWZ35:SWZ37 SXR35:SXR37 SYJ35:SYJ37 SZB35:SZB37 SZT35:SZT37 TAL35:TAL37 TBD35:TBD37 TBV35:TBV37 TCN35:TCN37 TDF35:TDF37 TDX35:TDX37 TEP35:TEP37 TFH35:TFH37 TFZ35:TFZ37 TGR35:TGR37 THJ35:THJ37 TIB35:TIB37 TIT35:TIT37 TJL35:TJL37 TKD35:TKD37 TKV35:TKV37 TLN35:TLN37 TMF35:TMF37 TMX35:TMX37 TNP35:TNP37 TOH35:TOH37 TOZ35:TOZ37 TPR35:TPR37 TQJ35:TQJ37 TRB35:TRB37 TRT35:TRT37 TSL35:TSL37 TTD35:TTD37 TTV35:TTV37 TUN35:TUN37 TVF35:TVF37 TVX35:TVX37 TWP35:TWP37 TXH35:TXH37 TXZ35:TXZ37 TYR35:TYR37 TZJ35:TZJ37 UAB35:UAB37 UAT35:UAT37 UBL35:UBL37 UCD35:UCD37 UCV35:UCV37 UDN35:UDN37 UEF35:UEF37 UEX35:UEX37 UFP35:UFP37 UGH35:UGH37 UGZ35:UGZ37 UHR35:UHR37 UIJ35:UIJ37 UJB35:UJB37 UJT35:UJT37 UKL35:UKL37 ULD35:ULD37 ULV35:ULV37 UMN35:UMN37 UNF35:UNF37 UNX35:UNX37 UOP35:UOP37 UPH35:UPH37 UPZ35:UPZ37 UQR35:UQR37 URJ35:URJ37 USB35:USB37 UST35:UST37 UTL35:UTL37 UUD35:UUD37 UUV35:UUV37 UVN35:UVN37 UWF35:UWF37 UWX35:UWX37 UXP35:UXP37 UYH35:UYH37 UYZ35:UYZ37 UZR35:UZR37 VAJ35:VAJ37 VBB35:VBB37 VBT35:VBT37 VCL35:VCL37 VDD35:VDD37 VDV35:VDV37 VEN35:VEN37 VFF35:VFF37 VFX35:VFX37 VGP35:VGP37 VHH35:VHH37 VHZ35:VHZ37 VIR35:VIR37 VJJ35:VJJ37 VKB35:VKB37 VKT35:VKT37 VLL35:VLL37 VMD35:VMD37 VMV35:VMV37 VNN35:VNN37 VOF35:VOF37 VOX35:VOX37 VPP35:VPP37 VQH35:VQH37 VQZ35:VQZ37 VRR35:VRR37 VSJ35:VSJ37 VTB35:VTB37 VTT35:VTT37 VUL35:VUL37 VVD35:VVD37 VVV35:VVV37 VWN35:VWN37 VXF35:VXF37 VXX35:VXX37 VYP35:VYP37 VZH35:VZH37 VZZ35:VZZ37 WAR35:WAR37 WBJ35:WBJ37 WCB35:WCB37 WCT35:WCT37 WDL35:WDL37 WED35:WED37 WEV35:WEV37 WFN35:WFN37 WGF35:WGF37 WGX35:WGX37 WHP35:WHP37 WIH35:WIH37 WIZ35:WIZ37 WJR35:WJR37 WKJ35:WKJ37 WLB35:WLB37 WLT35:WLT37 WML35:WML37 WND35:WND37 WNV35:WNV37 WON35:WON37 WPF35:WPF37 WPX35:WPX37 WQP35:WQP37 WRH35:WRH37 WRZ35:WRZ37 WSR35:WSR37 WTJ35:WTJ37 WUB35:WUB37 WUT35:WUT37 WVL35:WVL37 WWD35:WWD37 WWV35:WWV37 WXN35:WXN37 WYF35:WYF37 WYX35:WYX37 WZP35:WZP37 XAH35:XAH37 XAZ35:XAZ37 XBR35:XBR37 XCJ35:XCJ37 XDB35:XDB37 XDT35:XDT37 XEL35:XEL37 XFD35:XFD37">
    <cfRule type="cellIs" dxfId="26" priority="13" stopIfTrue="1" operator="equal">
      <formula>1</formula>
    </cfRule>
  </conditionalFormatting>
  <conditionalFormatting sqref="V38:V39 AN38:AN39 BF38:BF39 BX38:BX39 CP38:CP39 DH38:DH39 DZ38:DZ39 ER38:ER39 FJ38:FJ39 GB38:GB39 GT38:GT39 HL38:HL39 ID38:ID39 IV38:IV39 JN38:JN39 KF38:KF39 KX38:KX39 LP38:LP39 MH38:MH39 MZ38:MZ39 NR38:NR39 OJ38:OJ39 PB38:PB39 PT38:PT39 QL38:QL39 RD38:RD39 RV38:RV39 SN38:SN39 TF38:TF39 TX38:TX39 UP38:UP39 VH38:VH39 VZ38:VZ39 WR38:WR39 XJ38:XJ39 YB38:YB39 YT38:YT39 ZL38:ZL39 AAD38:AAD39 AAV38:AAV39 ABN38:ABN39 ACF38:ACF39 ACX38:ACX39 ADP38:ADP39 AEH38:AEH39 AEZ38:AEZ39 AFR38:AFR39 AGJ38:AGJ39 AHB38:AHB39 AHT38:AHT39 AIL38:AIL39 AJD38:AJD39 AJV38:AJV39 AKN38:AKN39 ALF38:ALF39 ALX38:ALX39 AMP38:AMP39 ANH38:ANH39 ANZ38:ANZ39 AOR38:AOR39 APJ38:APJ39 AQB38:AQB39 AQT38:AQT39 ARL38:ARL39 ASD38:ASD39 ASV38:ASV39 ATN38:ATN39 AUF38:AUF39 AUX38:AUX39 AVP38:AVP39 AWH38:AWH39 AWZ38:AWZ39 AXR38:AXR39 AYJ38:AYJ39 AZB38:AZB39 AZT38:AZT39 BAL38:BAL39 BBD38:BBD39 BBV38:BBV39 BCN38:BCN39 BDF38:BDF39 BDX38:BDX39 BEP38:BEP39 BFH38:BFH39 BFZ38:BFZ39 BGR38:BGR39 BHJ38:BHJ39 BIB38:BIB39 BIT38:BIT39 BJL38:BJL39 BKD38:BKD39 BKV38:BKV39 BLN38:BLN39 BMF38:BMF39 BMX38:BMX39 BNP38:BNP39 BOH38:BOH39 BOZ38:BOZ39 BPR38:BPR39 BQJ38:BQJ39 BRB38:BRB39 BRT38:BRT39 BSL38:BSL39 BTD38:BTD39 BTV38:BTV39 BUN38:BUN39 BVF38:BVF39 BVX38:BVX39 BWP38:BWP39 BXH38:BXH39 BXZ38:BXZ39 BYR38:BYR39 BZJ38:BZJ39 CAB38:CAB39 CAT38:CAT39 CBL38:CBL39 CCD38:CCD39 CCV38:CCV39 CDN38:CDN39 CEF38:CEF39 CEX38:CEX39 CFP38:CFP39 CGH38:CGH39 CGZ38:CGZ39 CHR38:CHR39 CIJ38:CIJ39 CJB38:CJB39 CJT38:CJT39 CKL38:CKL39 CLD38:CLD39 CLV38:CLV39 CMN38:CMN39 CNF38:CNF39 CNX38:CNX39 COP38:COP39 CPH38:CPH39 CPZ38:CPZ39 CQR38:CQR39 CRJ38:CRJ39 CSB38:CSB39 CST38:CST39 CTL38:CTL39 CUD38:CUD39 CUV38:CUV39 CVN38:CVN39 CWF38:CWF39 CWX38:CWX39 CXP38:CXP39 CYH38:CYH39 CYZ38:CYZ39 CZR38:CZR39 DAJ38:DAJ39 DBB38:DBB39 DBT38:DBT39 DCL38:DCL39 DDD38:DDD39 DDV38:DDV39 DEN38:DEN39 DFF38:DFF39 DFX38:DFX39 DGP38:DGP39 DHH38:DHH39 DHZ38:DHZ39 DIR38:DIR39 DJJ38:DJJ39 DKB38:DKB39 DKT38:DKT39 DLL38:DLL39 DMD38:DMD39 DMV38:DMV39 DNN38:DNN39 DOF38:DOF39 DOX38:DOX39 DPP38:DPP39 DQH38:DQH39 DQZ38:DQZ39 DRR38:DRR39 DSJ38:DSJ39 DTB38:DTB39 DTT38:DTT39 DUL38:DUL39 DVD38:DVD39 DVV38:DVV39 DWN38:DWN39 DXF38:DXF39 DXX38:DXX39 DYP38:DYP39 DZH38:DZH39 DZZ38:DZZ39 EAR38:EAR39 EBJ38:EBJ39 ECB38:ECB39 ECT38:ECT39 EDL38:EDL39 EED38:EED39 EEV38:EEV39 EFN38:EFN39 EGF38:EGF39 EGX38:EGX39 EHP38:EHP39 EIH38:EIH39 EIZ38:EIZ39 EJR38:EJR39 EKJ38:EKJ39 ELB38:ELB39 ELT38:ELT39 EML38:EML39 END38:END39 ENV38:ENV39 EON38:EON39 EPF38:EPF39 EPX38:EPX39 EQP38:EQP39 ERH38:ERH39 ERZ38:ERZ39 ESR38:ESR39 ETJ38:ETJ39 EUB38:EUB39 EUT38:EUT39 EVL38:EVL39 EWD38:EWD39 EWV38:EWV39 EXN38:EXN39 EYF38:EYF39 EYX38:EYX39 EZP38:EZP39 FAH38:FAH39 FAZ38:FAZ39 FBR38:FBR39 FCJ38:FCJ39 FDB38:FDB39 FDT38:FDT39 FEL38:FEL39 FFD38:FFD39 FFV38:FFV39 FGN38:FGN39 FHF38:FHF39 FHX38:FHX39 FIP38:FIP39 FJH38:FJH39 FJZ38:FJZ39 FKR38:FKR39 FLJ38:FLJ39 FMB38:FMB39 FMT38:FMT39 FNL38:FNL39 FOD38:FOD39 FOV38:FOV39 FPN38:FPN39 FQF38:FQF39 FQX38:FQX39 FRP38:FRP39 FSH38:FSH39 FSZ38:FSZ39 FTR38:FTR39 FUJ38:FUJ39 FVB38:FVB39 FVT38:FVT39 FWL38:FWL39 FXD38:FXD39 FXV38:FXV39 FYN38:FYN39 FZF38:FZF39 FZX38:FZX39 GAP38:GAP39 GBH38:GBH39 GBZ38:GBZ39 GCR38:GCR39 GDJ38:GDJ39 GEB38:GEB39 GET38:GET39 GFL38:GFL39 GGD38:GGD39 GGV38:GGV39 GHN38:GHN39 GIF38:GIF39 GIX38:GIX39 GJP38:GJP39 GKH38:GKH39 GKZ38:GKZ39 GLR38:GLR39 GMJ38:GMJ39 GNB38:GNB39 GNT38:GNT39 GOL38:GOL39 GPD38:GPD39 GPV38:GPV39 GQN38:GQN39 GRF38:GRF39 GRX38:GRX39 GSP38:GSP39 GTH38:GTH39 GTZ38:GTZ39 GUR38:GUR39 GVJ38:GVJ39 GWB38:GWB39 GWT38:GWT39 GXL38:GXL39 GYD38:GYD39 GYV38:GYV39 GZN38:GZN39 HAF38:HAF39 HAX38:HAX39 HBP38:HBP39 HCH38:HCH39 HCZ38:HCZ39 HDR38:HDR39 HEJ38:HEJ39 HFB38:HFB39 HFT38:HFT39 HGL38:HGL39 HHD38:HHD39 HHV38:HHV39 HIN38:HIN39 HJF38:HJF39 HJX38:HJX39 HKP38:HKP39 HLH38:HLH39 HLZ38:HLZ39 HMR38:HMR39 HNJ38:HNJ39 HOB38:HOB39 HOT38:HOT39 HPL38:HPL39 HQD38:HQD39 HQV38:HQV39 HRN38:HRN39 HSF38:HSF39 HSX38:HSX39 HTP38:HTP39 HUH38:HUH39 HUZ38:HUZ39 HVR38:HVR39 HWJ38:HWJ39 HXB38:HXB39 HXT38:HXT39 HYL38:HYL39 HZD38:HZD39 HZV38:HZV39 IAN38:IAN39 IBF38:IBF39 IBX38:IBX39 ICP38:ICP39 IDH38:IDH39 IDZ38:IDZ39 IER38:IER39 IFJ38:IFJ39 IGB38:IGB39 IGT38:IGT39 IHL38:IHL39 IID38:IID39 IIV38:IIV39 IJN38:IJN39 IKF38:IKF39 IKX38:IKX39 ILP38:ILP39 IMH38:IMH39 IMZ38:IMZ39 INR38:INR39 IOJ38:IOJ39 IPB38:IPB39 IPT38:IPT39 IQL38:IQL39 IRD38:IRD39 IRV38:IRV39 ISN38:ISN39 ITF38:ITF39 ITX38:ITX39 IUP38:IUP39 IVH38:IVH39 IVZ38:IVZ39 IWR38:IWR39 IXJ38:IXJ39 IYB38:IYB39 IYT38:IYT39 IZL38:IZL39 JAD38:JAD39 JAV38:JAV39 JBN38:JBN39 JCF38:JCF39 JCX38:JCX39 JDP38:JDP39 JEH38:JEH39 JEZ38:JEZ39 JFR38:JFR39 JGJ38:JGJ39 JHB38:JHB39 JHT38:JHT39 JIL38:JIL39 JJD38:JJD39 JJV38:JJV39 JKN38:JKN39 JLF38:JLF39 JLX38:JLX39 JMP38:JMP39 JNH38:JNH39 JNZ38:JNZ39 JOR38:JOR39 JPJ38:JPJ39 JQB38:JQB39 JQT38:JQT39 JRL38:JRL39 JSD38:JSD39 JSV38:JSV39 JTN38:JTN39 JUF38:JUF39 JUX38:JUX39 JVP38:JVP39 JWH38:JWH39 JWZ38:JWZ39 JXR38:JXR39 JYJ38:JYJ39 JZB38:JZB39 JZT38:JZT39 KAL38:KAL39 KBD38:KBD39 KBV38:KBV39 KCN38:KCN39 KDF38:KDF39 KDX38:KDX39 KEP38:KEP39 KFH38:KFH39 KFZ38:KFZ39 KGR38:KGR39 KHJ38:KHJ39 KIB38:KIB39 KIT38:KIT39 KJL38:KJL39 KKD38:KKD39 KKV38:KKV39 KLN38:KLN39 KMF38:KMF39 KMX38:KMX39 KNP38:KNP39 KOH38:KOH39 KOZ38:KOZ39 KPR38:KPR39 KQJ38:KQJ39 KRB38:KRB39 KRT38:KRT39 KSL38:KSL39 KTD38:KTD39 KTV38:KTV39 KUN38:KUN39 KVF38:KVF39 KVX38:KVX39 KWP38:KWP39 KXH38:KXH39 KXZ38:KXZ39 KYR38:KYR39 KZJ38:KZJ39 LAB38:LAB39 LAT38:LAT39 LBL38:LBL39 LCD38:LCD39 LCV38:LCV39 LDN38:LDN39 LEF38:LEF39 LEX38:LEX39 LFP38:LFP39 LGH38:LGH39 LGZ38:LGZ39 LHR38:LHR39 LIJ38:LIJ39 LJB38:LJB39 LJT38:LJT39 LKL38:LKL39 LLD38:LLD39 LLV38:LLV39 LMN38:LMN39 LNF38:LNF39 LNX38:LNX39 LOP38:LOP39 LPH38:LPH39 LPZ38:LPZ39 LQR38:LQR39 LRJ38:LRJ39 LSB38:LSB39 LST38:LST39 LTL38:LTL39 LUD38:LUD39 LUV38:LUV39 LVN38:LVN39 LWF38:LWF39 LWX38:LWX39 LXP38:LXP39 LYH38:LYH39 LYZ38:LYZ39 LZR38:LZR39 MAJ38:MAJ39 MBB38:MBB39 MBT38:MBT39 MCL38:MCL39 MDD38:MDD39 MDV38:MDV39 MEN38:MEN39 MFF38:MFF39 MFX38:MFX39 MGP38:MGP39 MHH38:MHH39 MHZ38:MHZ39 MIR38:MIR39 MJJ38:MJJ39 MKB38:MKB39 MKT38:MKT39 MLL38:MLL39 MMD38:MMD39 MMV38:MMV39 MNN38:MNN39 MOF38:MOF39 MOX38:MOX39 MPP38:MPP39 MQH38:MQH39 MQZ38:MQZ39 MRR38:MRR39 MSJ38:MSJ39 MTB38:MTB39 MTT38:MTT39 MUL38:MUL39 MVD38:MVD39 MVV38:MVV39 MWN38:MWN39 MXF38:MXF39 MXX38:MXX39 MYP38:MYP39 MZH38:MZH39 MZZ38:MZZ39 NAR38:NAR39 NBJ38:NBJ39 NCB38:NCB39 NCT38:NCT39 NDL38:NDL39 NED38:NED39 NEV38:NEV39 NFN38:NFN39 NGF38:NGF39 NGX38:NGX39 NHP38:NHP39 NIH38:NIH39 NIZ38:NIZ39 NJR38:NJR39 NKJ38:NKJ39 NLB38:NLB39 NLT38:NLT39 NML38:NML39 NND38:NND39 NNV38:NNV39 NON38:NON39 NPF38:NPF39 NPX38:NPX39 NQP38:NQP39 NRH38:NRH39 NRZ38:NRZ39 NSR38:NSR39 NTJ38:NTJ39 NUB38:NUB39 NUT38:NUT39 NVL38:NVL39 NWD38:NWD39 NWV38:NWV39 NXN38:NXN39 NYF38:NYF39 NYX38:NYX39 NZP38:NZP39 OAH38:OAH39 OAZ38:OAZ39 OBR38:OBR39 OCJ38:OCJ39 ODB38:ODB39 ODT38:ODT39 OEL38:OEL39 OFD38:OFD39 OFV38:OFV39 OGN38:OGN39 OHF38:OHF39 OHX38:OHX39 OIP38:OIP39 OJH38:OJH39 OJZ38:OJZ39 OKR38:OKR39 OLJ38:OLJ39 OMB38:OMB39 OMT38:OMT39 ONL38:ONL39 OOD38:OOD39 OOV38:OOV39 OPN38:OPN39 OQF38:OQF39 OQX38:OQX39 ORP38:ORP39 OSH38:OSH39 OSZ38:OSZ39 OTR38:OTR39 OUJ38:OUJ39 OVB38:OVB39 OVT38:OVT39 OWL38:OWL39 OXD38:OXD39 OXV38:OXV39 OYN38:OYN39 OZF38:OZF39 OZX38:OZX39 PAP38:PAP39 PBH38:PBH39 PBZ38:PBZ39 PCR38:PCR39 PDJ38:PDJ39 PEB38:PEB39 PET38:PET39 PFL38:PFL39 PGD38:PGD39 PGV38:PGV39 PHN38:PHN39 PIF38:PIF39 PIX38:PIX39 PJP38:PJP39 PKH38:PKH39 PKZ38:PKZ39 PLR38:PLR39 PMJ38:PMJ39 PNB38:PNB39 PNT38:PNT39 POL38:POL39 PPD38:PPD39 PPV38:PPV39 PQN38:PQN39 PRF38:PRF39 PRX38:PRX39 PSP38:PSP39 PTH38:PTH39 PTZ38:PTZ39 PUR38:PUR39 PVJ38:PVJ39 PWB38:PWB39 PWT38:PWT39 PXL38:PXL39 PYD38:PYD39 PYV38:PYV39 PZN38:PZN39 QAF38:QAF39 QAX38:QAX39 QBP38:QBP39 QCH38:QCH39 QCZ38:QCZ39 QDR38:QDR39 QEJ38:QEJ39 QFB38:QFB39 QFT38:QFT39 QGL38:QGL39 QHD38:QHD39 QHV38:QHV39 QIN38:QIN39 QJF38:QJF39 QJX38:QJX39 QKP38:QKP39 QLH38:QLH39 QLZ38:QLZ39 QMR38:QMR39 QNJ38:QNJ39 QOB38:QOB39 QOT38:QOT39 QPL38:QPL39 QQD38:QQD39 QQV38:QQV39 QRN38:QRN39 QSF38:QSF39 QSX38:QSX39 QTP38:QTP39 QUH38:QUH39 QUZ38:QUZ39 QVR38:QVR39 QWJ38:QWJ39 QXB38:QXB39 QXT38:QXT39 QYL38:QYL39 QZD38:QZD39 QZV38:QZV39 RAN38:RAN39 RBF38:RBF39 RBX38:RBX39 RCP38:RCP39 RDH38:RDH39 RDZ38:RDZ39 RER38:RER39 RFJ38:RFJ39 RGB38:RGB39 RGT38:RGT39 RHL38:RHL39 RID38:RID39 RIV38:RIV39 RJN38:RJN39 RKF38:RKF39 RKX38:RKX39 RLP38:RLP39 RMH38:RMH39 RMZ38:RMZ39 RNR38:RNR39 ROJ38:ROJ39 RPB38:RPB39 RPT38:RPT39 RQL38:RQL39 RRD38:RRD39 RRV38:RRV39 RSN38:RSN39 RTF38:RTF39 RTX38:RTX39 RUP38:RUP39 RVH38:RVH39 RVZ38:RVZ39 RWR38:RWR39 RXJ38:RXJ39 RYB38:RYB39 RYT38:RYT39 RZL38:RZL39 SAD38:SAD39 SAV38:SAV39 SBN38:SBN39 SCF38:SCF39 SCX38:SCX39 SDP38:SDP39 SEH38:SEH39 SEZ38:SEZ39 SFR38:SFR39 SGJ38:SGJ39 SHB38:SHB39 SHT38:SHT39 SIL38:SIL39 SJD38:SJD39 SJV38:SJV39 SKN38:SKN39 SLF38:SLF39 SLX38:SLX39 SMP38:SMP39 SNH38:SNH39 SNZ38:SNZ39 SOR38:SOR39 SPJ38:SPJ39 SQB38:SQB39 SQT38:SQT39 SRL38:SRL39 SSD38:SSD39 SSV38:SSV39 STN38:STN39 SUF38:SUF39 SUX38:SUX39 SVP38:SVP39 SWH38:SWH39 SWZ38:SWZ39 SXR38:SXR39 SYJ38:SYJ39 SZB38:SZB39 SZT38:SZT39 TAL38:TAL39 TBD38:TBD39 TBV38:TBV39 TCN38:TCN39 TDF38:TDF39 TDX38:TDX39 TEP38:TEP39 TFH38:TFH39 TFZ38:TFZ39 TGR38:TGR39 THJ38:THJ39 TIB38:TIB39 TIT38:TIT39 TJL38:TJL39 TKD38:TKD39 TKV38:TKV39 TLN38:TLN39 TMF38:TMF39 TMX38:TMX39 TNP38:TNP39 TOH38:TOH39 TOZ38:TOZ39 TPR38:TPR39 TQJ38:TQJ39 TRB38:TRB39 TRT38:TRT39 TSL38:TSL39 TTD38:TTD39 TTV38:TTV39 TUN38:TUN39 TVF38:TVF39 TVX38:TVX39 TWP38:TWP39 TXH38:TXH39 TXZ38:TXZ39 TYR38:TYR39 TZJ38:TZJ39 UAB38:UAB39 UAT38:UAT39 UBL38:UBL39 UCD38:UCD39 UCV38:UCV39 UDN38:UDN39 UEF38:UEF39 UEX38:UEX39 UFP38:UFP39 UGH38:UGH39 UGZ38:UGZ39 UHR38:UHR39 UIJ38:UIJ39 UJB38:UJB39 UJT38:UJT39 UKL38:UKL39 ULD38:ULD39 ULV38:ULV39 UMN38:UMN39 UNF38:UNF39 UNX38:UNX39 UOP38:UOP39 UPH38:UPH39 UPZ38:UPZ39 UQR38:UQR39 URJ38:URJ39 USB38:USB39 UST38:UST39 UTL38:UTL39 UUD38:UUD39 UUV38:UUV39 UVN38:UVN39 UWF38:UWF39 UWX38:UWX39 UXP38:UXP39 UYH38:UYH39 UYZ38:UYZ39 UZR38:UZR39 VAJ38:VAJ39 VBB38:VBB39 VBT38:VBT39 VCL38:VCL39 VDD38:VDD39 VDV38:VDV39 VEN38:VEN39 VFF38:VFF39 VFX38:VFX39 VGP38:VGP39 VHH38:VHH39 VHZ38:VHZ39 VIR38:VIR39 VJJ38:VJJ39 VKB38:VKB39 VKT38:VKT39 VLL38:VLL39 VMD38:VMD39 VMV38:VMV39 VNN38:VNN39 VOF38:VOF39 VOX38:VOX39 VPP38:VPP39 VQH38:VQH39 VQZ38:VQZ39 VRR38:VRR39 VSJ38:VSJ39 VTB38:VTB39 VTT38:VTT39 VUL38:VUL39 VVD38:VVD39 VVV38:VVV39 VWN38:VWN39 VXF38:VXF39 VXX38:VXX39 VYP38:VYP39 VZH38:VZH39 VZZ38:VZZ39 WAR38:WAR39 WBJ38:WBJ39 WCB38:WCB39 WCT38:WCT39 WDL38:WDL39 WED38:WED39 WEV38:WEV39 WFN38:WFN39 WGF38:WGF39 WGX38:WGX39 WHP38:WHP39 WIH38:WIH39 WIZ38:WIZ39 WJR38:WJR39 WKJ38:WKJ39 WLB38:WLB39 WLT38:WLT39 WML38:WML39 WND38:WND39 WNV38:WNV39 WON38:WON39 WPF38:WPF39 WPX38:WPX39 WQP38:WQP39 WRH38:WRH39 WRZ38:WRZ39 WSR38:WSR39 WTJ38:WTJ39 WUB38:WUB39 WUT38:WUT39 WVL38:WVL39 WWD38:WWD39 WWV38:WWV39 WXN38:WXN39 WYF38:WYF39 WYX38:WYX39 WZP38:WZP39 XAH38:XAH39 XAZ38:XAZ39 XBR38:XBR39 XCJ38:XCJ39 XDB38:XDB39 XDT38:XDT39 XEL38:XEL39 XFD38:XFD39">
    <cfRule type="cellIs" dxfId="25" priority="12" stopIfTrue="1" operator="equal">
      <formula>1</formula>
    </cfRule>
  </conditionalFormatting>
  <conditionalFormatting sqref="V40 AN40 BF40 BX40 CP40 DH40 DZ40 ER40 FJ40 GB40 GT40 HL40 ID40 IV40 JN40 KF40 KX40 LP40 MH40 MZ40 NR40 OJ40 PB40 PT40 QL40 RD40 RV40 SN40 TF40 TX40 UP40 VH40 VZ40 WR40 XJ40 YB40 YT40 ZL40 AAD40 AAV40 ABN40 ACF40 ACX40 ADP40 AEH40 AEZ40 AFR40 AGJ40 AHB40 AHT40 AIL40 AJD40 AJV40 AKN40 ALF40 ALX40 AMP40 ANH40 ANZ40 AOR40 APJ40 AQB40 AQT40 ARL40 ASD40 ASV40 ATN40 AUF40 AUX40 AVP40 AWH40 AWZ40 AXR40 AYJ40 AZB40 AZT40 BAL40 BBD40 BBV40 BCN40 BDF40 BDX40 BEP40 BFH40 BFZ40 BGR40 BHJ40 BIB40 BIT40 BJL40 BKD40 BKV40 BLN40 BMF40 BMX40 BNP40 BOH40 BOZ40 BPR40 BQJ40 BRB40 BRT40 BSL40 BTD40 BTV40 BUN40 BVF40 BVX40 BWP40 BXH40 BXZ40 BYR40 BZJ40 CAB40 CAT40 CBL40 CCD40 CCV40 CDN40 CEF40 CEX40 CFP40 CGH40 CGZ40 CHR40 CIJ40 CJB40 CJT40 CKL40 CLD40 CLV40 CMN40 CNF40 CNX40 COP40 CPH40 CPZ40 CQR40 CRJ40 CSB40 CST40 CTL40 CUD40 CUV40 CVN40 CWF40 CWX40 CXP40 CYH40 CYZ40 CZR40 DAJ40 DBB40 DBT40 DCL40 DDD40 DDV40 DEN40 DFF40 DFX40 DGP40 DHH40 DHZ40 DIR40 DJJ40 DKB40 DKT40 DLL40 DMD40 DMV40 DNN40 DOF40 DOX40 DPP40 DQH40 DQZ40 DRR40 DSJ40 DTB40 DTT40 DUL40 DVD40 DVV40 DWN40 DXF40 DXX40 DYP40 DZH40 DZZ40 EAR40 EBJ40 ECB40 ECT40 EDL40 EED40 EEV40 EFN40 EGF40 EGX40 EHP40 EIH40 EIZ40 EJR40 EKJ40 ELB40 ELT40 EML40 END40 ENV40 EON40 EPF40 EPX40 EQP40 ERH40 ERZ40 ESR40 ETJ40 EUB40 EUT40 EVL40 EWD40 EWV40 EXN40 EYF40 EYX40 EZP40 FAH40 FAZ40 FBR40 FCJ40 FDB40 FDT40 FEL40 FFD40 FFV40 FGN40 FHF40 FHX40 FIP40 FJH40 FJZ40 FKR40 FLJ40 FMB40 FMT40 FNL40 FOD40 FOV40 FPN40 FQF40 FQX40 FRP40 FSH40 FSZ40 FTR40 FUJ40 FVB40 FVT40 FWL40 FXD40 FXV40 FYN40 FZF40 FZX40 GAP40 GBH40 GBZ40 GCR40 GDJ40 GEB40 GET40 GFL40 GGD40 GGV40 GHN40 GIF40 GIX40 GJP40 GKH40 GKZ40 GLR40 GMJ40 GNB40 GNT40 GOL40 GPD40 GPV40 GQN40 GRF40 GRX40 GSP40 GTH40 GTZ40 GUR40 GVJ40 GWB40 GWT40 GXL40 GYD40 GYV40 GZN40 HAF40 HAX40 HBP40 HCH40 HCZ40 HDR40 HEJ40 HFB40 HFT40 HGL40 HHD40 HHV40 HIN40 HJF40 HJX40 HKP40 HLH40 HLZ40 HMR40 HNJ40 HOB40 HOT40 HPL40 HQD40 HQV40 HRN40 HSF40 HSX40 HTP40 HUH40 HUZ40 HVR40 HWJ40 HXB40 HXT40 HYL40 HZD40 HZV40 IAN40 IBF40 IBX40 ICP40 IDH40 IDZ40 IER40 IFJ40 IGB40 IGT40 IHL40 IID40 IIV40 IJN40 IKF40 IKX40 ILP40 IMH40 IMZ40 INR40 IOJ40 IPB40 IPT40 IQL40 IRD40 IRV40 ISN40 ITF40 ITX40 IUP40 IVH40 IVZ40 IWR40 IXJ40 IYB40 IYT40 IZL40 JAD40 JAV40 JBN40 JCF40 JCX40 JDP40 JEH40 JEZ40 JFR40 JGJ40 JHB40 JHT40 JIL40 JJD40 JJV40 JKN40 JLF40 JLX40 JMP40 JNH40 JNZ40 JOR40 JPJ40 JQB40 JQT40 JRL40 JSD40 JSV40 JTN40 JUF40 JUX40 JVP40 JWH40 JWZ40 JXR40 JYJ40 JZB40 JZT40 KAL40 KBD40 KBV40 KCN40 KDF40 KDX40 KEP40 KFH40 KFZ40 KGR40 KHJ40 KIB40 KIT40 KJL40 KKD40 KKV40 KLN40 KMF40 KMX40 KNP40 KOH40 KOZ40 KPR40 KQJ40 KRB40 KRT40 KSL40 KTD40 KTV40 KUN40 KVF40 KVX40 KWP40 KXH40 KXZ40 KYR40 KZJ40 LAB40 LAT40 LBL40 LCD40 LCV40 LDN40 LEF40 LEX40 LFP40 LGH40 LGZ40 LHR40 LIJ40 LJB40 LJT40 LKL40 LLD40 LLV40 LMN40 LNF40 LNX40 LOP40 LPH40 LPZ40 LQR40 LRJ40 LSB40 LST40 LTL40 LUD40 LUV40 LVN40 LWF40 LWX40 LXP40 LYH40 LYZ40 LZR40 MAJ40 MBB40 MBT40 MCL40 MDD40 MDV40 MEN40 MFF40 MFX40 MGP40 MHH40 MHZ40 MIR40 MJJ40 MKB40 MKT40 MLL40 MMD40 MMV40 MNN40 MOF40 MOX40 MPP40 MQH40 MQZ40 MRR40 MSJ40 MTB40 MTT40 MUL40 MVD40 MVV40 MWN40 MXF40 MXX40 MYP40 MZH40 MZZ40 NAR40 NBJ40 NCB40 NCT40 NDL40 NED40 NEV40 NFN40 NGF40 NGX40 NHP40 NIH40 NIZ40 NJR40 NKJ40 NLB40 NLT40 NML40 NND40 NNV40 NON40 NPF40 NPX40 NQP40 NRH40 NRZ40 NSR40 NTJ40 NUB40 NUT40 NVL40 NWD40 NWV40 NXN40 NYF40 NYX40 NZP40 OAH40 OAZ40 OBR40 OCJ40 ODB40 ODT40 OEL40 OFD40 OFV40 OGN40 OHF40 OHX40 OIP40 OJH40 OJZ40 OKR40 OLJ40 OMB40 OMT40 ONL40 OOD40 OOV40 OPN40 OQF40 OQX40 ORP40 OSH40 OSZ40 OTR40 OUJ40 OVB40 OVT40 OWL40 OXD40 OXV40 OYN40 OZF40 OZX40 PAP40 PBH40 PBZ40 PCR40 PDJ40 PEB40 PET40 PFL40 PGD40 PGV40 PHN40 PIF40 PIX40 PJP40 PKH40 PKZ40 PLR40 PMJ40 PNB40 PNT40 POL40 PPD40 PPV40 PQN40 PRF40 PRX40 PSP40 PTH40 PTZ40 PUR40 PVJ40 PWB40 PWT40 PXL40 PYD40 PYV40 PZN40 QAF40 QAX40 QBP40 QCH40 QCZ40 QDR40 QEJ40 QFB40 QFT40 QGL40 QHD40 QHV40 QIN40 QJF40 QJX40 QKP40 QLH40 QLZ40 QMR40 QNJ40 QOB40 QOT40 QPL40 QQD40 QQV40 QRN40 QSF40 QSX40 QTP40 QUH40 QUZ40 QVR40 QWJ40 QXB40 QXT40 QYL40 QZD40 QZV40 RAN40 RBF40 RBX40 RCP40 RDH40 RDZ40 RER40 RFJ40 RGB40 RGT40 RHL40 RID40 RIV40 RJN40 RKF40 RKX40 RLP40 RMH40 RMZ40 RNR40 ROJ40 RPB40 RPT40 RQL40 RRD40 RRV40 RSN40 RTF40 RTX40 RUP40 RVH40 RVZ40 RWR40 RXJ40 RYB40 RYT40 RZL40 SAD40 SAV40 SBN40 SCF40 SCX40 SDP40 SEH40 SEZ40 SFR40 SGJ40 SHB40 SHT40 SIL40 SJD40 SJV40 SKN40 SLF40 SLX40 SMP40 SNH40 SNZ40 SOR40 SPJ40 SQB40 SQT40 SRL40 SSD40 SSV40 STN40 SUF40 SUX40 SVP40 SWH40 SWZ40 SXR40 SYJ40 SZB40 SZT40 TAL40 TBD40 TBV40 TCN40 TDF40 TDX40 TEP40 TFH40 TFZ40 TGR40 THJ40 TIB40 TIT40 TJL40 TKD40 TKV40 TLN40 TMF40 TMX40 TNP40 TOH40 TOZ40 TPR40 TQJ40 TRB40 TRT40 TSL40 TTD40 TTV40 TUN40 TVF40 TVX40 TWP40 TXH40 TXZ40 TYR40 TZJ40 UAB40 UAT40 UBL40 UCD40 UCV40 UDN40 UEF40 UEX40 UFP40 UGH40 UGZ40 UHR40 UIJ40 UJB40 UJT40 UKL40 ULD40 ULV40 UMN40 UNF40 UNX40 UOP40 UPH40 UPZ40 UQR40 URJ40 USB40 UST40 UTL40 UUD40 UUV40 UVN40 UWF40 UWX40 UXP40 UYH40 UYZ40 UZR40 VAJ40 VBB40 VBT40 VCL40 VDD40 VDV40 VEN40 VFF40 VFX40 VGP40 VHH40 VHZ40 VIR40 VJJ40 VKB40 VKT40 VLL40 VMD40 VMV40 VNN40 VOF40 VOX40 VPP40 VQH40 VQZ40 VRR40 VSJ40 VTB40 VTT40 VUL40 VVD40 VVV40 VWN40 VXF40 VXX40 VYP40 VZH40 VZZ40 WAR40 WBJ40 WCB40 WCT40 WDL40 WED40 WEV40 WFN40 WGF40 WGX40 WHP40 WIH40 WIZ40 WJR40 WKJ40 WLB40 WLT40 WML40 WND40 WNV40 WON40 WPF40 WPX40 WQP40 WRH40 WRZ40 WSR40 WTJ40 WUB40 WUT40 WVL40 WWD40 WWV40 WXN40 WYF40 WYX40 WZP40 XAH40 XAZ40 XBR40 XCJ40 XDB40 XDT40 XEL40 XFD40">
    <cfRule type="cellIs" dxfId="24" priority="11" stopIfTrue="1" operator="equal">
      <formula>1</formula>
    </cfRule>
  </conditionalFormatting>
  <conditionalFormatting sqref="V41:V43 AN41:AN43 BF41:BF43 BX41:BX43 CP41:CP43 DH41:DH43 DZ41:DZ43 ER41:ER43 FJ41:FJ43 GB41:GB43 GT41:GT43 HL41:HL43 ID41:ID43 IV41:IV43 JN41:JN43 KF41:KF43 KX41:KX43 LP41:LP43 MH41:MH43 MZ41:MZ43 NR41:NR43 OJ41:OJ43 PB41:PB43 PT41:PT43 QL41:QL43 RD41:RD43 RV41:RV43 SN41:SN43 TF41:TF43 TX41:TX43 UP41:UP43 VH41:VH43 VZ41:VZ43 WR41:WR43 XJ41:XJ43 YB41:YB43 YT41:YT43 ZL41:ZL43 AAD41:AAD43 AAV41:AAV43 ABN41:ABN43 ACF41:ACF43 ACX41:ACX43 ADP41:ADP43 AEH41:AEH43 AEZ41:AEZ43 AFR41:AFR43 AGJ41:AGJ43 AHB41:AHB43 AHT41:AHT43 AIL41:AIL43 AJD41:AJD43 AJV41:AJV43 AKN41:AKN43 ALF41:ALF43 ALX41:ALX43 AMP41:AMP43 ANH41:ANH43 ANZ41:ANZ43 AOR41:AOR43 APJ41:APJ43 AQB41:AQB43 AQT41:AQT43 ARL41:ARL43 ASD41:ASD43 ASV41:ASV43 ATN41:ATN43 AUF41:AUF43 AUX41:AUX43 AVP41:AVP43 AWH41:AWH43 AWZ41:AWZ43 AXR41:AXR43 AYJ41:AYJ43 AZB41:AZB43 AZT41:AZT43 BAL41:BAL43 BBD41:BBD43 BBV41:BBV43 BCN41:BCN43 BDF41:BDF43 BDX41:BDX43 BEP41:BEP43 BFH41:BFH43 BFZ41:BFZ43 BGR41:BGR43 BHJ41:BHJ43 BIB41:BIB43 BIT41:BIT43 BJL41:BJL43 BKD41:BKD43 BKV41:BKV43 BLN41:BLN43 BMF41:BMF43 BMX41:BMX43 BNP41:BNP43 BOH41:BOH43 BOZ41:BOZ43 BPR41:BPR43 BQJ41:BQJ43 BRB41:BRB43 BRT41:BRT43 BSL41:BSL43 BTD41:BTD43 BTV41:BTV43 BUN41:BUN43 BVF41:BVF43 BVX41:BVX43 BWP41:BWP43 BXH41:BXH43 BXZ41:BXZ43 BYR41:BYR43 BZJ41:BZJ43 CAB41:CAB43 CAT41:CAT43 CBL41:CBL43 CCD41:CCD43 CCV41:CCV43 CDN41:CDN43 CEF41:CEF43 CEX41:CEX43 CFP41:CFP43 CGH41:CGH43 CGZ41:CGZ43 CHR41:CHR43 CIJ41:CIJ43 CJB41:CJB43 CJT41:CJT43 CKL41:CKL43 CLD41:CLD43 CLV41:CLV43 CMN41:CMN43 CNF41:CNF43 CNX41:CNX43 COP41:COP43 CPH41:CPH43 CPZ41:CPZ43 CQR41:CQR43 CRJ41:CRJ43 CSB41:CSB43 CST41:CST43 CTL41:CTL43 CUD41:CUD43 CUV41:CUV43 CVN41:CVN43 CWF41:CWF43 CWX41:CWX43 CXP41:CXP43 CYH41:CYH43 CYZ41:CYZ43 CZR41:CZR43 DAJ41:DAJ43 DBB41:DBB43 DBT41:DBT43 DCL41:DCL43 DDD41:DDD43 DDV41:DDV43 DEN41:DEN43 DFF41:DFF43 DFX41:DFX43 DGP41:DGP43 DHH41:DHH43 DHZ41:DHZ43 DIR41:DIR43 DJJ41:DJJ43 DKB41:DKB43 DKT41:DKT43 DLL41:DLL43 DMD41:DMD43 DMV41:DMV43 DNN41:DNN43 DOF41:DOF43 DOX41:DOX43 DPP41:DPP43 DQH41:DQH43 DQZ41:DQZ43 DRR41:DRR43 DSJ41:DSJ43 DTB41:DTB43 DTT41:DTT43 DUL41:DUL43 DVD41:DVD43 DVV41:DVV43 DWN41:DWN43 DXF41:DXF43 DXX41:DXX43 DYP41:DYP43 DZH41:DZH43 DZZ41:DZZ43 EAR41:EAR43 EBJ41:EBJ43 ECB41:ECB43 ECT41:ECT43 EDL41:EDL43 EED41:EED43 EEV41:EEV43 EFN41:EFN43 EGF41:EGF43 EGX41:EGX43 EHP41:EHP43 EIH41:EIH43 EIZ41:EIZ43 EJR41:EJR43 EKJ41:EKJ43 ELB41:ELB43 ELT41:ELT43 EML41:EML43 END41:END43 ENV41:ENV43 EON41:EON43 EPF41:EPF43 EPX41:EPX43 EQP41:EQP43 ERH41:ERH43 ERZ41:ERZ43 ESR41:ESR43 ETJ41:ETJ43 EUB41:EUB43 EUT41:EUT43 EVL41:EVL43 EWD41:EWD43 EWV41:EWV43 EXN41:EXN43 EYF41:EYF43 EYX41:EYX43 EZP41:EZP43 FAH41:FAH43 FAZ41:FAZ43 FBR41:FBR43 FCJ41:FCJ43 FDB41:FDB43 FDT41:FDT43 FEL41:FEL43 FFD41:FFD43 FFV41:FFV43 FGN41:FGN43 FHF41:FHF43 FHX41:FHX43 FIP41:FIP43 FJH41:FJH43 FJZ41:FJZ43 FKR41:FKR43 FLJ41:FLJ43 FMB41:FMB43 FMT41:FMT43 FNL41:FNL43 FOD41:FOD43 FOV41:FOV43 FPN41:FPN43 FQF41:FQF43 FQX41:FQX43 FRP41:FRP43 FSH41:FSH43 FSZ41:FSZ43 FTR41:FTR43 FUJ41:FUJ43 FVB41:FVB43 FVT41:FVT43 FWL41:FWL43 FXD41:FXD43 FXV41:FXV43 FYN41:FYN43 FZF41:FZF43 FZX41:FZX43 GAP41:GAP43 GBH41:GBH43 GBZ41:GBZ43 GCR41:GCR43 GDJ41:GDJ43 GEB41:GEB43 GET41:GET43 GFL41:GFL43 GGD41:GGD43 GGV41:GGV43 GHN41:GHN43 GIF41:GIF43 GIX41:GIX43 GJP41:GJP43 GKH41:GKH43 GKZ41:GKZ43 GLR41:GLR43 GMJ41:GMJ43 GNB41:GNB43 GNT41:GNT43 GOL41:GOL43 GPD41:GPD43 GPV41:GPV43 GQN41:GQN43 GRF41:GRF43 GRX41:GRX43 GSP41:GSP43 GTH41:GTH43 GTZ41:GTZ43 GUR41:GUR43 GVJ41:GVJ43 GWB41:GWB43 GWT41:GWT43 GXL41:GXL43 GYD41:GYD43 GYV41:GYV43 GZN41:GZN43 HAF41:HAF43 HAX41:HAX43 HBP41:HBP43 HCH41:HCH43 HCZ41:HCZ43 HDR41:HDR43 HEJ41:HEJ43 HFB41:HFB43 HFT41:HFT43 HGL41:HGL43 HHD41:HHD43 HHV41:HHV43 HIN41:HIN43 HJF41:HJF43 HJX41:HJX43 HKP41:HKP43 HLH41:HLH43 HLZ41:HLZ43 HMR41:HMR43 HNJ41:HNJ43 HOB41:HOB43 HOT41:HOT43 HPL41:HPL43 HQD41:HQD43 HQV41:HQV43 HRN41:HRN43 HSF41:HSF43 HSX41:HSX43 HTP41:HTP43 HUH41:HUH43 HUZ41:HUZ43 HVR41:HVR43 HWJ41:HWJ43 HXB41:HXB43 HXT41:HXT43 HYL41:HYL43 HZD41:HZD43 HZV41:HZV43 IAN41:IAN43 IBF41:IBF43 IBX41:IBX43 ICP41:ICP43 IDH41:IDH43 IDZ41:IDZ43 IER41:IER43 IFJ41:IFJ43 IGB41:IGB43 IGT41:IGT43 IHL41:IHL43 IID41:IID43 IIV41:IIV43 IJN41:IJN43 IKF41:IKF43 IKX41:IKX43 ILP41:ILP43 IMH41:IMH43 IMZ41:IMZ43 INR41:INR43 IOJ41:IOJ43 IPB41:IPB43 IPT41:IPT43 IQL41:IQL43 IRD41:IRD43 IRV41:IRV43 ISN41:ISN43 ITF41:ITF43 ITX41:ITX43 IUP41:IUP43 IVH41:IVH43 IVZ41:IVZ43 IWR41:IWR43 IXJ41:IXJ43 IYB41:IYB43 IYT41:IYT43 IZL41:IZL43 JAD41:JAD43 JAV41:JAV43 JBN41:JBN43 JCF41:JCF43 JCX41:JCX43 JDP41:JDP43 JEH41:JEH43 JEZ41:JEZ43 JFR41:JFR43 JGJ41:JGJ43 JHB41:JHB43 JHT41:JHT43 JIL41:JIL43 JJD41:JJD43 JJV41:JJV43 JKN41:JKN43 JLF41:JLF43 JLX41:JLX43 JMP41:JMP43 JNH41:JNH43 JNZ41:JNZ43 JOR41:JOR43 JPJ41:JPJ43 JQB41:JQB43 JQT41:JQT43 JRL41:JRL43 JSD41:JSD43 JSV41:JSV43 JTN41:JTN43 JUF41:JUF43 JUX41:JUX43 JVP41:JVP43 JWH41:JWH43 JWZ41:JWZ43 JXR41:JXR43 JYJ41:JYJ43 JZB41:JZB43 JZT41:JZT43 KAL41:KAL43 KBD41:KBD43 KBV41:KBV43 KCN41:KCN43 KDF41:KDF43 KDX41:KDX43 KEP41:KEP43 KFH41:KFH43 KFZ41:KFZ43 KGR41:KGR43 KHJ41:KHJ43 KIB41:KIB43 KIT41:KIT43 KJL41:KJL43 KKD41:KKD43 KKV41:KKV43 KLN41:KLN43 KMF41:KMF43 KMX41:KMX43 KNP41:KNP43 KOH41:KOH43 KOZ41:KOZ43 KPR41:KPR43 KQJ41:KQJ43 KRB41:KRB43 KRT41:KRT43 KSL41:KSL43 KTD41:KTD43 KTV41:KTV43 KUN41:KUN43 KVF41:KVF43 KVX41:KVX43 KWP41:KWP43 KXH41:KXH43 KXZ41:KXZ43 KYR41:KYR43 KZJ41:KZJ43 LAB41:LAB43 LAT41:LAT43 LBL41:LBL43 LCD41:LCD43 LCV41:LCV43 LDN41:LDN43 LEF41:LEF43 LEX41:LEX43 LFP41:LFP43 LGH41:LGH43 LGZ41:LGZ43 LHR41:LHR43 LIJ41:LIJ43 LJB41:LJB43 LJT41:LJT43 LKL41:LKL43 LLD41:LLD43 LLV41:LLV43 LMN41:LMN43 LNF41:LNF43 LNX41:LNX43 LOP41:LOP43 LPH41:LPH43 LPZ41:LPZ43 LQR41:LQR43 LRJ41:LRJ43 LSB41:LSB43 LST41:LST43 LTL41:LTL43 LUD41:LUD43 LUV41:LUV43 LVN41:LVN43 LWF41:LWF43 LWX41:LWX43 LXP41:LXP43 LYH41:LYH43 LYZ41:LYZ43 LZR41:LZR43 MAJ41:MAJ43 MBB41:MBB43 MBT41:MBT43 MCL41:MCL43 MDD41:MDD43 MDV41:MDV43 MEN41:MEN43 MFF41:MFF43 MFX41:MFX43 MGP41:MGP43 MHH41:MHH43 MHZ41:MHZ43 MIR41:MIR43 MJJ41:MJJ43 MKB41:MKB43 MKT41:MKT43 MLL41:MLL43 MMD41:MMD43 MMV41:MMV43 MNN41:MNN43 MOF41:MOF43 MOX41:MOX43 MPP41:MPP43 MQH41:MQH43 MQZ41:MQZ43 MRR41:MRR43 MSJ41:MSJ43 MTB41:MTB43 MTT41:MTT43 MUL41:MUL43 MVD41:MVD43 MVV41:MVV43 MWN41:MWN43 MXF41:MXF43 MXX41:MXX43 MYP41:MYP43 MZH41:MZH43 MZZ41:MZZ43 NAR41:NAR43 NBJ41:NBJ43 NCB41:NCB43 NCT41:NCT43 NDL41:NDL43 NED41:NED43 NEV41:NEV43 NFN41:NFN43 NGF41:NGF43 NGX41:NGX43 NHP41:NHP43 NIH41:NIH43 NIZ41:NIZ43 NJR41:NJR43 NKJ41:NKJ43 NLB41:NLB43 NLT41:NLT43 NML41:NML43 NND41:NND43 NNV41:NNV43 NON41:NON43 NPF41:NPF43 NPX41:NPX43 NQP41:NQP43 NRH41:NRH43 NRZ41:NRZ43 NSR41:NSR43 NTJ41:NTJ43 NUB41:NUB43 NUT41:NUT43 NVL41:NVL43 NWD41:NWD43 NWV41:NWV43 NXN41:NXN43 NYF41:NYF43 NYX41:NYX43 NZP41:NZP43 OAH41:OAH43 OAZ41:OAZ43 OBR41:OBR43 OCJ41:OCJ43 ODB41:ODB43 ODT41:ODT43 OEL41:OEL43 OFD41:OFD43 OFV41:OFV43 OGN41:OGN43 OHF41:OHF43 OHX41:OHX43 OIP41:OIP43 OJH41:OJH43 OJZ41:OJZ43 OKR41:OKR43 OLJ41:OLJ43 OMB41:OMB43 OMT41:OMT43 ONL41:ONL43 OOD41:OOD43 OOV41:OOV43 OPN41:OPN43 OQF41:OQF43 OQX41:OQX43 ORP41:ORP43 OSH41:OSH43 OSZ41:OSZ43 OTR41:OTR43 OUJ41:OUJ43 OVB41:OVB43 OVT41:OVT43 OWL41:OWL43 OXD41:OXD43 OXV41:OXV43 OYN41:OYN43 OZF41:OZF43 OZX41:OZX43 PAP41:PAP43 PBH41:PBH43 PBZ41:PBZ43 PCR41:PCR43 PDJ41:PDJ43 PEB41:PEB43 PET41:PET43 PFL41:PFL43 PGD41:PGD43 PGV41:PGV43 PHN41:PHN43 PIF41:PIF43 PIX41:PIX43 PJP41:PJP43 PKH41:PKH43 PKZ41:PKZ43 PLR41:PLR43 PMJ41:PMJ43 PNB41:PNB43 PNT41:PNT43 POL41:POL43 PPD41:PPD43 PPV41:PPV43 PQN41:PQN43 PRF41:PRF43 PRX41:PRX43 PSP41:PSP43 PTH41:PTH43 PTZ41:PTZ43 PUR41:PUR43 PVJ41:PVJ43 PWB41:PWB43 PWT41:PWT43 PXL41:PXL43 PYD41:PYD43 PYV41:PYV43 PZN41:PZN43 QAF41:QAF43 QAX41:QAX43 QBP41:QBP43 QCH41:QCH43 QCZ41:QCZ43 QDR41:QDR43 QEJ41:QEJ43 QFB41:QFB43 QFT41:QFT43 QGL41:QGL43 QHD41:QHD43 QHV41:QHV43 QIN41:QIN43 QJF41:QJF43 QJX41:QJX43 QKP41:QKP43 QLH41:QLH43 QLZ41:QLZ43 QMR41:QMR43 QNJ41:QNJ43 QOB41:QOB43 QOT41:QOT43 QPL41:QPL43 QQD41:QQD43 QQV41:QQV43 QRN41:QRN43 QSF41:QSF43 QSX41:QSX43 QTP41:QTP43 QUH41:QUH43 QUZ41:QUZ43 QVR41:QVR43 QWJ41:QWJ43 QXB41:QXB43 QXT41:QXT43 QYL41:QYL43 QZD41:QZD43 QZV41:QZV43 RAN41:RAN43 RBF41:RBF43 RBX41:RBX43 RCP41:RCP43 RDH41:RDH43 RDZ41:RDZ43 RER41:RER43 RFJ41:RFJ43 RGB41:RGB43 RGT41:RGT43 RHL41:RHL43 RID41:RID43 RIV41:RIV43 RJN41:RJN43 RKF41:RKF43 RKX41:RKX43 RLP41:RLP43 RMH41:RMH43 RMZ41:RMZ43 RNR41:RNR43 ROJ41:ROJ43 RPB41:RPB43 RPT41:RPT43 RQL41:RQL43 RRD41:RRD43 RRV41:RRV43 RSN41:RSN43 RTF41:RTF43 RTX41:RTX43 RUP41:RUP43 RVH41:RVH43 RVZ41:RVZ43 RWR41:RWR43 RXJ41:RXJ43 RYB41:RYB43 RYT41:RYT43 RZL41:RZL43 SAD41:SAD43 SAV41:SAV43 SBN41:SBN43 SCF41:SCF43 SCX41:SCX43 SDP41:SDP43 SEH41:SEH43 SEZ41:SEZ43 SFR41:SFR43 SGJ41:SGJ43 SHB41:SHB43 SHT41:SHT43 SIL41:SIL43 SJD41:SJD43 SJV41:SJV43 SKN41:SKN43 SLF41:SLF43 SLX41:SLX43 SMP41:SMP43 SNH41:SNH43 SNZ41:SNZ43 SOR41:SOR43 SPJ41:SPJ43 SQB41:SQB43 SQT41:SQT43 SRL41:SRL43 SSD41:SSD43 SSV41:SSV43 STN41:STN43 SUF41:SUF43 SUX41:SUX43 SVP41:SVP43 SWH41:SWH43 SWZ41:SWZ43 SXR41:SXR43 SYJ41:SYJ43 SZB41:SZB43 SZT41:SZT43 TAL41:TAL43 TBD41:TBD43 TBV41:TBV43 TCN41:TCN43 TDF41:TDF43 TDX41:TDX43 TEP41:TEP43 TFH41:TFH43 TFZ41:TFZ43 TGR41:TGR43 THJ41:THJ43 TIB41:TIB43 TIT41:TIT43 TJL41:TJL43 TKD41:TKD43 TKV41:TKV43 TLN41:TLN43 TMF41:TMF43 TMX41:TMX43 TNP41:TNP43 TOH41:TOH43 TOZ41:TOZ43 TPR41:TPR43 TQJ41:TQJ43 TRB41:TRB43 TRT41:TRT43 TSL41:TSL43 TTD41:TTD43 TTV41:TTV43 TUN41:TUN43 TVF41:TVF43 TVX41:TVX43 TWP41:TWP43 TXH41:TXH43 TXZ41:TXZ43 TYR41:TYR43 TZJ41:TZJ43 UAB41:UAB43 UAT41:UAT43 UBL41:UBL43 UCD41:UCD43 UCV41:UCV43 UDN41:UDN43 UEF41:UEF43 UEX41:UEX43 UFP41:UFP43 UGH41:UGH43 UGZ41:UGZ43 UHR41:UHR43 UIJ41:UIJ43 UJB41:UJB43 UJT41:UJT43 UKL41:UKL43 ULD41:ULD43 ULV41:ULV43 UMN41:UMN43 UNF41:UNF43 UNX41:UNX43 UOP41:UOP43 UPH41:UPH43 UPZ41:UPZ43 UQR41:UQR43 URJ41:URJ43 USB41:USB43 UST41:UST43 UTL41:UTL43 UUD41:UUD43 UUV41:UUV43 UVN41:UVN43 UWF41:UWF43 UWX41:UWX43 UXP41:UXP43 UYH41:UYH43 UYZ41:UYZ43 UZR41:UZR43 VAJ41:VAJ43 VBB41:VBB43 VBT41:VBT43 VCL41:VCL43 VDD41:VDD43 VDV41:VDV43 VEN41:VEN43 VFF41:VFF43 VFX41:VFX43 VGP41:VGP43 VHH41:VHH43 VHZ41:VHZ43 VIR41:VIR43 VJJ41:VJJ43 VKB41:VKB43 VKT41:VKT43 VLL41:VLL43 VMD41:VMD43 VMV41:VMV43 VNN41:VNN43 VOF41:VOF43 VOX41:VOX43 VPP41:VPP43 VQH41:VQH43 VQZ41:VQZ43 VRR41:VRR43 VSJ41:VSJ43 VTB41:VTB43 VTT41:VTT43 VUL41:VUL43 VVD41:VVD43 VVV41:VVV43 VWN41:VWN43 VXF41:VXF43 VXX41:VXX43 VYP41:VYP43 VZH41:VZH43 VZZ41:VZZ43 WAR41:WAR43 WBJ41:WBJ43 WCB41:WCB43 WCT41:WCT43 WDL41:WDL43 WED41:WED43 WEV41:WEV43 WFN41:WFN43 WGF41:WGF43 WGX41:WGX43 WHP41:WHP43 WIH41:WIH43 WIZ41:WIZ43 WJR41:WJR43 WKJ41:WKJ43 WLB41:WLB43 WLT41:WLT43 WML41:WML43 WND41:WND43 WNV41:WNV43 WON41:WON43 WPF41:WPF43 WPX41:WPX43 WQP41:WQP43 WRH41:WRH43 WRZ41:WRZ43 WSR41:WSR43 WTJ41:WTJ43 WUB41:WUB43 WUT41:WUT43 WVL41:WVL43 WWD41:WWD43 WWV41:WWV43 WXN41:WXN43 WYF41:WYF43 WYX41:WYX43 WZP41:WZP43 XAH41:XAH43 XAZ41:XAZ43 XBR41:XBR43 XCJ41:XCJ43 XDB41:XDB43 XDT41:XDT43 XEL41:XEL43 XFD41:XFD43">
    <cfRule type="cellIs" dxfId="23" priority="10" stopIfTrue="1" operator="equal">
      <formula>1</formula>
    </cfRule>
  </conditionalFormatting>
  <conditionalFormatting sqref="V44:V46 AN44:AN46 BF44:BF46 BX44:BX46 CP44:CP46 DH44:DH46 DZ44:DZ46 ER44:ER46 FJ44:FJ46 GB44:GB46 GT44:GT46 HL44:HL46 ID44:ID46 IV44:IV46 JN44:JN46 KF44:KF46 KX44:KX46 LP44:LP46 MH44:MH46 MZ44:MZ46 NR44:NR46 OJ44:OJ46 PB44:PB46 PT44:PT46 QL44:QL46 RD44:RD46 RV44:RV46 SN44:SN46 TF44:TF46 TX44:TX46 UP44:UP46 VH44:VH46 VZ44:VZ46 WR44:WR46 XJ44:XJ46 YB44:YB46 YT44:YT46 ZL44:ZL46 AAD44:AAD46 AAV44:AAV46 ABN44:ABN46 ACF44:ACF46 ACX44:ACX46 ADP44:ADP46 AEH44:AEH46 AEZ44:AEZ46 AFR44:AFR46 AGJ44:AGJ46 AHB44:AHB46 AHT44:AHT46 AIL44:AIL46 AJD44:AJD46 AJV44:AJV46 AKN44:AKN46 ALF44:ALF46 ALX44:ALX46 AMP44:AMP46 ANH44:ANH46 ANZ44:ANZ46 AOR44:AOR46 APJ44:APJ46 AQB44:AQB46 AQT44:AQT46 ARL44:ARL46 ASD44:ASD46 ASV44:ASV46 ATN44:ATN46 AUF44:AUF46 AUX44:AUX46 AVP44:AVP46 AWH44:AWH46 AWZ44:AWZ46 AXR44:AXR46 AYJ44:AYJ46 AZB44:AZB46 AZT44:AZT46 BAL44:BAL46 BBD44:BBD46 BBV44:BBV46 BCN44:BCN46 BDF44:BDF46 BDX44:BDX46 BEP44:BEP46 BFH44:BFH46 BFZ44:BFZ46 BGR44:BGR46 BHJ44:BHJ46 BIB44:BIB46 BIT44:BIT46 BJL44:BJL46 BKD44:BKD46 BKV44:BKV46 BLN44:BLN46 BMF44:BMF46 BMX44:BMX46 BNP44:BNP46 BOH44:BOH46 BOZ44:BOZ46 BPR44:BPR46 BQJ44:BQJ46 BRB44:BRB46 BRT44:BRT46 BSL44:BSL46 BTD44:BTD46 BTV44:BTV46 BUN44:BUN46 BVF44:BVF46 BVX44:BVX46 BWP44:BWP46 BXH44:BXH46 BXZ44:BXZ46 BYR44:BYR46 BZJ44:BZJ46 CAB44:CAB46 CAT44:CAT46 CBL44:CBL46 CCD44:CCD46 CCV44:CCV46 CDN44:CDN46 CEF44:CEF46 CEX44:CEX46 CFP44:CFP46 CGH44:CGH46 CGZ44:CGZ46 CHR44:CHR46 CIJ44:CIJ46 CJB44:CJB46 CJT44:CJT46 CKL44:CKL46 CLD44:CLD46 CLV44:CLV46 CMN44:CMN46 CNF44:CNF46 CNX44:CNX46 COP44:COP46 CPH44:CPH46 CPZ44:CPZ46 CQR44:CQR46 CRJ44:CRJ46 CSB44:CSB46 CST44:CST46 CTL44:CTL46 CUD44:CUD46 CUV44:CUV46 CVN44:CVN46 CWF44:CWF46 CWX44:CWX46 CXP44:CXP46 CYH44:CYH46 CYZ44:CYZ46 CZR44:CZR46 DAJ44:DAJ46 DBB44:DBB46 DBT44:DBT46 DCL44:DCL46 DDD44:DDD46 DDV44:DDV46 DEN44:DEN46 DFF44:DFF46 DFX44:DFX46 DGP44:DGP46 DHH44:DHH46 DHZ44:DHZ46 DIR44:DIR46 DJJ44:DJJ46 DKB44:DKB46 DKT44:DKT46 DLL44:DLL46 DMD44:DMD46 DMV44:DMV46 DNN44:DNN46 DOF44:DOF46 DOX44:DOX46 DPP44:DPP46 DQH44:DQH46 DQZ44:DQZ46 DRR44:DRR46 DSJ44:DSJ46 DTB44:DTB46 DTT44:DTT46 DUL44:DUL46 DVD44:DVD46 DVV44:DVV46 DWN44:DWN46 DXF44:DXF46 DXX44:DXX46 DYP44:DYP46 DZH44:DZH46 DZZ44:DZZ46 EAR44:EAR46 EBJ44:EBJ46 ECB44:ECB46 ECT44:ECT46 EDL44:EDL46 EED44:EED46 EEV44:EEV46 EFN44:EFN46 EGF44:EGF46 EGX44:EGX46 EHP44:EHP46 EIH44:EIH46 EIZ44:EIZ46 EJR44:EJR46 EKJ44:EKJ46 ELB44:ELB46 ELT44:ELT46 EML44:EML46 END44:END46 ENV44:ENV46 EON44:EON46 EPF44:EPF46 EPX44:EPX46 EQP44:EQP46 ERH44:ERH46 ERZ44:ERZ46 ESR44:ESR46 ETJ44:ETJ46 EUB44:EUB46 EUT44:EUT46 EVL44:EVL46 EWD44:EWD46 EWV44:EWV46 EXN44:EXN46 EYF44:EYF46 EYX44:EYX46 EZP44:EZP46 FAH44:FAH46 FAZ44:FAZ46 FBR44:FBR46 FCJ44:FCJ46 FDB44:FDB46 FDT44:FDT46 FEL44:FEL46 FFD44:FFD46 FFV44:FFV46 FGN44:FGN46 FHF44:FHF46 FHX44:FHX46 FIP44:FIP46 FJH44:FJH46 FJZ44:FJZ46 FKR44:FKR46 FLJ44:FLJ46 FMB44:FMB46 FMT44:FMT46 FNL44:FNL46 FOD44:FOD46 FOV44:FOV46 FPN44:FPN46 FQF44:FQF46 FQX44:FQX46 FRP44:FRP46 FSH44:FSH46 FSZ44:FSZ46 FTR44:FTR46 FUJ44:FUJ46 FVB44:FVB46 FVT44:FVT46 FWL44:FWL46 FXD44:FXD46 FXV44:FXV46 FYN44:FYN46 FZF44:FZF46 FZX44:FZX46 GAP44:GAP46 GBH44:GBH46 GBZ44:GBZ46 GCR44:GCR46 GDJ44:GDJ46 GEB44:GEB46 GET44:GET46 GFL44:GFL46 GGD44:GGD46 GGV44:GGV46 GHN44:GHN46 GIF44:GIF46 GIX44:GIX46 GJP44:GJP46 GKH44:GKH46 GKZ44:GKZ46 GLR44:GLR46 GMJ44:GMJ46 GNB44:GNB46 GNT44:GNT46 GOL44:GOL46 GPD44:GPD46 GPV44:GPV46 GQN44:GQN46 GRF44:GRF46 GRX44:GRX46 GSP44:GSP46 GTH44:GTH46 GTZ44:GTZ46 GUR44:GUR46 GVJ44:GVJ46 GWB44:GWB46 GWT44:GWT46 GXL44:GXL46 GYD44:GYD46 GYV44:GYV46 GZN44:GZN46 HAF44:HAF46 HAX44:HAX46 HBP44:HBP46 HCH44:HCH46 HCZ44:HCZ46 HDR44:HDR46 HEJ44:HEJ46 HFB44:HFB46 HFT44:HFT46 HGL44:HGL46 HHD44:HHD46 HHV44:HHV46 HIN44:HIN46 HJF44:HJF46 HJX44:HJX46 HKP44:HKP46 HLH44:HLH46 HLZ44:HLZ46 HMR44:HMR46 HNJ44:HNJ46 HOB44:HOB46 HOT44:HOT46 HPL44:HPL46 HQD44:HQD46 HQV44:HQV46 HRN44:HRN46 HSF44:HSF46 HSX44:HSX46 HTP44:HTP46 HUH44:HUH46 HUZ44:HUZ46 HVR44:HVR46 HWJ44:HWJ46 HXB44:HXB46 HXT44:HXT46 HYL44:HYL46 HZD44:HZD46 HZV44:HZV46 IAN44:IAN46 IBF44:IBF46 IBX44:IBX46 ICP44:ICP46 IDH44:IDH46 IDZ44:IDZ46 IER44:IER46 IFJ44:IFJ46 IGB44:IGB46 IGT44:IGT46 IHL44:IHL46 IID44:IID46 IIV44:IIV46 IJN44:IJN46 IKF44:IKF46 IKX44:IKX46 ILP44:ILP46 IMH44:IMH46 IMZ44:IMZ46 INR44:INR46 IOJ44:IOJ46 IPB44:IPB46 IPT44:IPT46 IQL44:IQL46 IRD44:IRD46 IRV44:IRV46 ISN44:ISN46 ITF44:ITF46 ITX44:ITX46 IUP44:IUP46 IVH44:IVH46 IVZ44:IVZ46 IWR44:IWR46 IXJ44:IXJ46 IYB44:IYB46 IYT44:IYT46 IZL44:IZL46 JAD44:JAD46 JAV44:JAV46 JBN44:JBN46 JCF44:JCF46 JCX44:JCX46 JDP44:JDP46 JEH44:JEH46 JEZ44:JEZ46 JFR44:JFR46 JGJ44:JGJ46 JHB44:JHB46 JHT44:JHT46 JIL44:JIL46 JJD44:JJD46 JJV44:JJV46 JKN44:JKN46 JLF44:JLF46 JLX44:JLX46 JMP44:JMP46 JNH44:JNH46 JNZ44:JNZ46 JOR44:JOR46 JPJ44:JPJ46 JQB44:JQB46 JQT44:JQT46 JRL44:JRL46 JSD44:JSD46 JSV44:JSV46 JTN44:JTN46 JUF44:JUF46 JUX44:JUX46 JVP44:JVP46 JWH44:JWH46 JWZ44:JWZ46 JXR44:JXR46 JYJ44:JYJ46 JZB44:JZB46 JZT44:JZT46 KAL44:KAL46 KBD44:KBD46 KBV44:KBV46 KCN44:KCN46 KDF44:KDF46 KDX44:KDX46 KEP44:KEP46 KFH44:KFH46 KFZ44:KFZ46 KGR44:KGR46 KHJ44:KHJ46 KIB44:KIB46 KIT44:KIT46 KJL44:KJL46 KKD44:KKD46 KKV44:KKV46 KLN44:KLN46 KMF44:KMF46 KMX44:KMX46 KNP44:KNP46 KOH44:KOH46 KOZ44:KOZ46 KPR44:KPR46 KQJ44:KQJ46 KRB44:KRB46 KRT44:KRT46 KSL44:KSL46 KTD44:KTD46 KTV44:KTV46 KUN44:KUN46 KVF44:KVF46 KVX44:KVX46 KWP44:KWP46 KXH44:KXH46 KXZ44:KXZ46 KYR44:KYR46 KZJ44:KZJ46 LAB44:LAB46 LAT44:LAT46 LBL44:LBL46 LCD44:LCD46 LCV44:LCV46 LDN44:LDN46 LEF44:LEF46 LEX44:LEX46 LFP44:LFP46 LGH44:LGH46 LGZ44:LGZ46 LHR44:LHR46 LIJ44:LIJ46 LJB44:LJB46 LJT44:LJT46 LKL44:LKL46 LLD44:LLD46 LLV44:LLV46 LMN44:LMN46 LNF44:LNF46 LNX44:LNX46 LOP44:LOP46 LPH44:LPH46 LPZ44:LPZ46 LQR44:LQR46 LRJ44:LRJ46 LSB44:LSB46 LST44:LST46 LTL44:LTL46 LUD44:LUD46 LUV44:LUV46 LVN44:LVN46 LWF44:LWF46 LWX44:LWX46 LXP44:LXP46 LYH44:LYH46 LYZ44:LYZ46 LZR44:LZR46 MAJ44:MAJ46 MBB44:MBB46 MBT44:MBT46 MCL44:MCL46 MDD44:MDD46 MDV44:MDV46 MEN44:MEN46 MFF44:MFF46 MFX44:MFX46 MGP44:MGP46 MHH44:MHH46 MHZ44:MHZ46 MIR44:MIR46 MJJ44:MJJ46 MKB44:MKB46 MKT44:MKT46 MLL44:MLL46 MMD44:MMD46 MMV44:MMV46 MNN44:MNN46 MOF44:MOF46 MOX44:MOX46 MPP44:MPP46 MQH44:MQH46 MQZ44:MQZ46 MRR44:MRR46 MSJ44:MSJ46 MTB44:MTB46 MTT44:MTT46 MUL44:MUL46 MVD44:MVD46 MVV44:MVV46 MWN44:MWN46 MXF44:MXF46 MXX44:MXX46 MYP44:MYP46 MZH44:MZH46 MZZ44:MZZ46 NAR44:NAR46 NBJ44:NBJ46 NCB44:NCB46 NCT44:NCT46 NDL44:NDL46 NED44:NED46 NEV44:NEV46 NFN44:NFN46 NGF44:NGF46 NGX44:NGX46 NHP44:NHP46 NIH44:NIH46 NIZ44:NIZ46 NJR44:NJR46 NKJ44:NKJ46 NLB44:NLB46 NLT44:NLT46 NML44:NML46 NND44:NND46 NNV44:NNV46 NON44:NON46 NPF44:NPF46 NPX44:NPX46 NQP44:NQP46 NRH44:NRH46 NRZ44:NRZ46 NSR44:NSR46 NTJ44:NTJ46 NUB44:NUB46 NUT44:NUT46 NVL44:NVL46 NWD44:NWD46 NWV44:NWV46 NXN44:NXN46 NYF44:NYF46 NYX44:NYX46 NZP44:NZP46 OAH44:OAH46 OAZ44:OAZ46 OBR44:OBR46 OCJ44:OCJ46 ODB44:ODB46 ODT44:ODT46 OEL44:OEL46 OFD44:OFD46 OFV44:OFV46 OGN44:OGN46 OHF44:OHF46 OHX44:OHX46 OIP44:OIP46 OJH44:OJH46 OJZ44:OJZ46 OKR44:OKR46 OLJ44:OLJ46 OMB44:OMB46 OMT44:OMT46 ONL44:ONL46 OOD44:OOD46 OOV44:OOV46 OPN44:OPN46 OQF44:OQF46 OQX44:OQX46 ORP44:ORP46 OSH44:OSH46 OSZ44:OSZ46 OTR44:OTR46 OUJ44:OUJ46 OVB44:OVB46 OVT44:OVT46 OWL44:OWL46 OXD44:OXD46 OXV44:OXV46 OYN44:OYN46 OZF44:OZF46 OZX44:OZX46 PAP44:PAP46 PBH44:PBH46 PBZ44:PBZ46 PCR44:PCR46 PDJ44:PDJ46 PEB44:PEB46 PET44:PET46 PFL44:PFL46 PGD44:PGD46 PGV44:PGV46 PHN44:PHN46 PIF44:PIF46 PIX44:PIX46 PJP44:PJP46 PKH44:PKH46 PKZ44:PKZ46 PLR44:PLR46 PMJ44:PMJ46 PNB44:PNB46 PNT44:PNT46 POL44:POL46 PPD44:PPD46 PPV44:PPV46 PQN44:PQN46 PRF44:PRF46 PRX44:PRX46 PSP44:PSP46 PTH44:PTH46 PTZ44:PTZ46 PUR44:PUR46 PVJ44:PVJ46 PWB44:PWB46 PWT44:PWT46 PXL44:PXL46 PYD44:PYD46 PYV44:PYV46 PZN44:PZN46 QAF44:QAF46 QAX44:QAX46 QBP44:QBP46 QCH44:QCH46 QCZ44:QCZ46 QDR44:QDR46 QEJ44:QEJ46 QFB44:QFB46 QFT44:QFT46 QGL44:QGL46 QHD44:QHD46 QHV44:QHV46 QIN44:QIN46 QJF44:QJF46 QJX44:QJX46 QKP44:QKP46 QLH44:QLH46 QLZ44:QLZ46 QMR44:QMR46 QNJ44:QNJ46 QOB44:QOB46 QOT44:QOT46 QPL44:QPL46 QQD44:QQD46 QQV44:QQV46 QRN44:QRN46 QSF44:QSF46 QSX44:QSX46 QTP44:QTP46 QUH44:QUH46 QUZ44:QUZ46 QVR44:QVR46 QWJ44:QWJ46 QXB44:QXB46 QXT44:QXT46 QYL44:QYL46 QZD44:QZD46 QZV44:QZV46 RAN44:RAN46 RBF44:RBF46 RBX44:RBX46 RCP44:RCP46 RDH44:RDH46 RDZ44:RDZ46 RER44:RER46 RFJ44:RFJ46 RGB44:RGB46 RGT44:RGT46 RHL44:RHL46 RID44:RID46 RIV44:RIV46 RJN44:RJN46 RKF44:RKF46 RKX44:RKX46 RLP44:RLP46 RMH44:RMH46 RMZ44:RMZ46 RNR44:RNR46 ROJ44:ROJ46 RPB44:RPB46 RPT44:RPT46 RQL44:RQL46 RRD44:RRD46 RRV44:RRV46 RSN44:RSN46 RTF44:RTF46 RTX44:RTX46 RUP44:RUP46 RVH44:RVH46 RVZ44:RVZ46 RWR44:RWR46 RXJ44:RXJ46 RYB44:RYB46 RYT44:RYT46 RZL44:RZL46 SAD44:SAD46 SAV44:SAV46 SBN44:SBN46 SCF44:SCF46 SCX44:SCX46 SDP44:SDP46 SEH44:SEH46 SEZ44:SEZ46 SFR44:SFR46 SGJ44:SGJ46 SHB44:SHB46 SHT44:SHT46 SIL44:SIL46 SJD44:SJD46 SJV44:SJV46 SKN44:SKN46 SLF44:SLF46 SLX44:SLX46 SMP44:SMP46 SNH44:SNH46 SNZ44:SNZ46 SOR44:SOR46 SPJ44:SPJ46 SQB44:SQB46 SQT44:SQT46 SRL44:SRL46 SSD44:SSD46 SSV44:SSV46 STN44:STN46 SUF44:SUF46 SUX44:SUX46 SVP44:SVP46 SWH44:SWH46 SWZ44:SWZ46 SXR44:SXR46 SYJ44:SYJ46 SZB44:SZB46 SZT44:SZT46 TAL44:TAL46 TBD44:TBD46 TBV44:TBV46 TCN44:TCN46 TDF44:TDF46 TDX44:TDX46 TEP44:TEP46 TFH44:TFH46 TFZ44:TFZ46 TGR44:TGR46 THJ44:THJ46 TIB44:TIB46 TIT44:TIT46 TJL44:TJL46 TKD44:TKD46 TKV44:TKV46 TLN44:TLN46 TMF44:TMF46 TMX44:TMX46 TNP44:TNP46 TOH44:TOH46 TOZ44:TOZ46 TPR44:TPR46 TQJ44:TQJ46 TRB44:TRB46 TRT44:TRT46 TSL44:TSL46 TTD44:TTD46 TTV44:TTV46 TUN44:TUN46 TVF44:TVF46 TVX44:TVX46 TWP44:TWP46 TXH44:TXH46 TXZ44:TXZ46 TYR44:TYR46 TZJ44:TZJ46 UAB44:UAB46 UAT44:UAT46 UBL44:UBL46 UCD44:UCD46 UCV44:UCV46 UDN44:UDN46 UEF44:UEF46 UEX44:UEX46 UFP44:UFP46 UGH44:UGH46 UGZ44:UGZ46 UHR44:UHR46 UIJ44:UIJ46 UJB44:UJB46 UJT44:UJT46 UKL44:UKL46 ULD44:ULD46 ULV44:ULV46 UMN44:UMN46 UNF44:UNF46 UNX44:UNX46 UOP44:UOP46 UPH44:UPH46 UPZ44:UPZ46 UQR44:UQR46 URJ44:URJ46 USB44:USB46 UST44:UST46 UTL44:UTL46 UUD44:UUD46 UUV44:UUV46 UVN44:UVN46 UWF44:UWF46 UWX44:UWX46 UXP44:UXP46 UYH44:UYH46 UYZ44:UYZ46 UZR44:UZR46 VAJ44:VAJ46 VBB44:VBB46 VBT44:VBT46 VCL44:VCL46 VDD44:VDD46 VDV44:VDV46 VEN44:VEN46 VFF44:VFF46 VFX44:VFX46 VGP44:VGP46 VHH44:VHH46 VHZ44:VHZ46 VIR44:VIR46 VJJ44:VJJ46 VKB44:VKB46 VKT44:VKT46 VLL44:VLL46 VMD44:VMD46 VMV44:VMV46 VNN44:VNN46 VOF44:VOF46 VOX44:VOX46 VPP44:VPP46 VQH44:VQH46 VQZ44:VQZ46 VRR44:VRR46 VSJ44:VSJ46 VTB44:VTB46 VTT44:VTT46 VUL44:VUL46 VVD44:VVD46 VVV44:VVV46 VWN44:VWN46 VXF44:VXF46 VXX44:VXX46 VYP44:VYP46 VZH44:VZH46 VZZ44:VZZ46 WAR44:WAR46 WBJ44:WBJ46 WCB44:WCB46 WCT44:WCT46 WDL44:WDL46 WED44:WED46 WEV44:WEV46 WFN44:WFN46 WGF44:WGF46 WGX44:WGX46 WHP44:WHP46 WIH44:WIH46 WIZ44:WIZ46 WJR44:WJR46 WKJ44:WKJ46 WLB44:WLB46 WLT44:WLT46 WML44:WML46 WND44:WND46 WNV44:WNV46 WON44:WON46 WPF44:WPF46 WPX44:WPX46 WQP44:WQP46 WRH44:WRH46 WRZ44:WRZ46 WSR44:WSR46 WTJ44:WTJ46 WUB44:WUB46 WUT44:WUT46 WVL44:WVL46 WWD44:WWD46 WWV44:WWV46 WXN44:WXN46 WYF44:WYF46 WYX44:WYX46 WZP44:WZP46 XAH44:XAH46 XAZ44:XAZ46 XBR44:XBR46 XCJ44:XCJ46 XDB44:XDB46 XDT44:XDT46 XEL44:XEL46 XFD44:XFD46">
    <cfRule type="cellIs" dxfId="22" priority="9" stopIfTrue="1" operator="equal">
      <formula>1</formula>
    </cfRule>
  </conditionalFormatting>
  <conditionalFormatting sqref="V47 AN47 BF47 BX47 CP47 DH47 DZ47 ER47 FJ47 GB47 GT47 HL47 ID47 IV47 JN47 KF47 KX47 LP47 MH47 MZ47 NR47 OJ47 PB47 PT47 QL47 RD47 RV47 SN47 TF47 TX47 UP47 VH47 VZ47 WR47 XJ47 YB47 YT47 ZL47 AAD47 AAV47 ABN47 ACF47 ACX47 ADP47 AEH47 AEZ47 AFR47 AGJ47 AHB47 AHT47 AIL47 AJD47 AJV47 AKN47 ALF47 ALX47 AMP47 ANH47 ANZ47 AOR47 APJ47 AQB47 AQT47 ARL47 ASD47 ASV47 ATN47 AUF47 AUX47 AVP47 AWH47 AWZ47 AXR47 AYJ47 AZB47 AZT47 BAL47 BBD47 BBV47 BCN47 BDF47 BDX47 BEP47 BFH47 BFZ47 BGR47 BHJ47 BIB47 BIT47 BJL47 BKD47 BKV47 BLN47 BMF47 BMX47 BNP47 BOH47 BOZ47 BPR47 BQJ47 BRB47 BRT47 BSL47 BTD47 BTV47 BUN47 BVF47 BVX47 BWP47 BXH47 BXZ47 BYR47 BZJ47 CAB47 CAT47 CBL47 CCD47 CCV47 CDN47 CEF47 CEX47 CFP47 CGH47 CGZ47 CHR47 CIJ47 CJB47 CJT47 CKL47 CLD47 CLV47 CMN47 CNF47 CNX47 COP47 CPH47 CPZ47 CQR47 CRJ47 CSB47 CST47 CTL47 CUD47 CUV47 CVN47 CWF47 CWX47 CXP47 CYH47 CYZ47 CZR47 DAJ47 DBB47 DBT47 DCL47 DDD47 DDV47 DEN47 DFF47 DFX47 DGP47 DHH47 DHZ47 DIR47 DJJ47 DKB47 DKT47 DLL47 DMD47 DMV47 DNN47 DOF47 DOX47 DPP47 DQH47 DQZ47 DRR47 DSJ47 DTB47 DTT47 DUL47 DVD47 DVV47 DWN47 DXF47 DXX47 DYP47 DZH47 DZZ47 EAR47 EBJ47 ECB47 ECT47 EDL47 EED47 EEV47 EFN47 EGF47 EGX47 EHP47 EIH47 EIZ47 EJR47 EKJ47 ELB47 ELT47 EML47 END47 ENV47 EON47 EPF47 EPX47 EQP47 ERH47 ERZ47 ESR47 ETJ47 EUB47 EUT47 EVL47 EWD47 EWV47 EXN47 EYF47 EYX47 EZP47 FAH47 FAZ47 FBR47 FCJ47 FDB47 FDT47 FEL47 FFD47 FFV47 FGN47 FHF47 FHX47 FIP47 FJH47 FJZ47 FKR47 FLJ47 FMB47 FMT47 FNL47 FOD47 FOV47 FPN47 FQF47 FQX47 FRP47 FSH47 FSZ47 FTR47 FUJ47 FVB47 FVT47 FWL47 FXD47 FXV47 FYN47 FZF47 FZX47 GAP47 GBH47 GBZ47 GCR47 GDJ47 GEB47 GET47 GFL47 GGD47 GGV47 GHN47 GIF47 GIX47 GJP47 GKH47 GKZ47 GLR47 GMJ47 GNB47 GNT47 GOL47 GPD47 GPV47 GQN47 GRF47 GRX47 GSP47 GTH47 GTZ47 GUR47 GVJ47 GWB47 GWT47 GXL47 GYD47 GYV47 GZN47 HAF47 HAX47 HBP47 HCH47 HCZ47 HDR47 HEJ47 HFB47 HFT47 HGL47 HHD47 HHV47 HIN47 HJF47 HJX47 HKP47 HLH47 HLZ47 HMR47 HNJ47 HOB47 HOT47 HPL47 HQD47 HQV47 HRN47 HSF47 HSX47 HTP47 HUH47 HUZ47 HVR47 HWJ47 HXB47 HXT47 HYL47 HZD47 HZV47 IAN47 IBF47 IBX47 ICP47 IDH47 IDZ47 IER47 IFJ47 IGB47 IGT47 IHL47 IID47 IIV47 IJN47 IKF47 IKX47 ILP47 IMH47 IMZ47 INR47 IOJ47 IPB47 IPT47 IQL47 IRD47 IRV47 ISN47 ITF47 ITX47 IUP47 IVH47 IVZ47 IWR47 IXJ47 IYB47 IYT47 IZL47 JAD47 JAV47 JBN47 JCF47 JCX47 JDP47 JEH47 JEZ47 JFR47 JGJ47 JHB47 JHT47 JIL47 JJD47 JJV47 JKN47 JLF47 JLX47 JMP47 JNH47 JNZ47 JOR47 JPJ47 JQB47 JQT47 JRL47 JSD47 JSV47 JTN47 JUF47 JUX47 JVP47 JWH47 JWZ47 JXR47 JYJ47 JZB47 JZT47 KAL47 KBD47 KBV47 KCN47 KDF47 KDX47 KEP47 KFH47 KFZ47 KGR47 KHJ47 KIB47 KIT47 KJL47 KKD47 KKV47 KLN47 KMF47 KMX47 KNP47 KOH47 KOZ47 KPR47 KQJ47 KRB47 KRT47 KSL47 KTD47 KTV47 KUN47 KVF47 KVX47 KWP47 KXH47 KXZ47 KYR47 KZJ47 LAB47 LAT47 LBL47 LCD47 LCV47 LDN47 LEF47 LEX47 LFP47 LGH47 LGZ47 LHR47 LIJ47 LJB47 LJT47 LKL47 LLD47 LLV47 LMN47 LNF47 LNX47 LOP47 LPH47 LPZ47 LQR47 LRJ47 LSB47 LST47 LTL47 LUD47 LUV47 LVN47 LWF47 LWX47 LXP47 LYH47 LYZ47 LZR47 MAJ47 MBB47 MBT47 MCL47 MDD47 MDV47 MEN47 MFF47 MFX47 MGP47 MHH47 MHZ47 MIR47 MJJ47 MKB47 MKT47 MLL47 MMD47 MMV47 MNN47 MOF47 MOX47 MPP47 MQH47 MQZ47 MRR47 MSJ47 MTB47 MTT47 MUL47 MVD47 MVV47 MWN47 MXF47 MXX47 MYP47 MZH47 MZZ47 NAR47 NBJ47 NCB47 NCT47 NDL47 NED47 NEV47 NFN47 NGF47 NGX47 NHP47 NIH47 NIZ47 NJR47 NKJ47 NLB47 NLT47 NML47 NND47 NNV47 NON47 NPF47 NPX47 NQP47 NRH47 NRZ47 NSR47 NTJ47 NUB47 NUT47 NVL47 NWD47 NWV47 NXN47 NYF47 NYX47 NZP47 OAH47 OAZ47 OBR47 OCJ47 ODB47 ODT47 OEL47 OFD47 OFV47 OGN47 OHF47 OHX47 OIP47 OJH47 OJZ47 OKR47 OLJ47 OMB47 OMT47 ONL47 OOD47 OOV47 OPN47 OQF47 OQX47 ORP47 OSH47 OSZ47 OTR47 OUJ47 OVB47 OVT47 OWL47 OXD47 OXV47 OYN47 OZF47 OZX47 PAP47 PBH47 PBZ47 PCR47 PDJ47 PEB47 PET47 PFL47 PGD47 PGV47 PHN47 PIF47 PIX47 PJP47 PKH47 PKZ47 PLR47 PMJ47 PNB47 PNT47 POL47 PPD47 PPV47 PQN47 PRF47 PRX47 PSP47 PTH47 PTZ47 PUR47 PVJ47 PWB47 PWT47 PXL47 PYD47 PYV47 PZN47 QAF47 QAX47 QBP47 QCH47 QCZ47 QDR47 QEJ47 QFB47 QFT47 QGL47 QHD47 QHV47 QIN47 QJF47 QJX47 QKP47 QLH47 QLZ47 QMR47 QNJ47 QOB47 QOT47 QPL47 QQD47 QQV47 QRN47 QSF47 QSX47 QTP47 QUH47 QUZ47 QVR47 QWJ47 QXB47 QXT47 QYL47 QZD47 QZV47 RAN47 RBF47 RBX47 RCP47 RDH47 RDZ47 RER47 RFJ47 RGB47 RGT47 RHL47 RID47 RIV47 RJN47 RKF47 RKX47 RLP47 RMH47 RMZ47 RNR47 ROJ47 RPB47 RPT47 RQL47 RRD47 RRV47 RSN47 RTF47 RTX47 RUP47 RVH47 RVZ47 RWR47 RXJ47 RYB47 RYT47 RZL47 SAD47 SAV47 SBN47 SCF47 SCX47 SDP47 SEH47 SEZ47 SFR47 SGJ47 SHB47 SHT47 SIL47 SJD47 SJV47 SKN47 SLF47 SLX47 SMP47 SNH47 SNZ47 SOR47 SPJ47 SQB47 SQT47 SRL47 SSD47 SSV47 STN47 SUF47 SUX47 SVP47 SWH47 SWZ47 SXR47 SYJ47 SZB47 SZT47 TAL47 TBD47 TBV47 TCN47 TDF47 TDX47 TEP47 TFH47 TFZ47 TGR47 THJ47 TIB47 TIT47 TJL47 TKD47 TKV47 TLN47 TMF47 TMX47 TNP47 TOH47 TOZ47 TPR47 TQJ47 TRB47 TRT47 TSL47 TTD47 TTV47 TUN47 TVF47 TVX47 TWP47 TXH47 TXZ47 TYR47 TZJ47 UAB47 UAT47 UBL47 UCD47 UCV47 UDN47 UEF47 UEX47 UFP47 UGH47 UGZ47 UHR47 UIJ47 UJB47 UJT47 UKL47 ULD47 ULV47 UMN47 UNF47 UNX47 UOP47 UPH47 UPZ47 UQR47 URJ47 USB47 UST47 UTL47 UUD47 UUV47 UVN47 UWF47 UWX47 UXP47 UYH47 UYZ47 UZR47 VAJ47 VBB47 VBT47 VCL47 VDD47 VDV47 VEN47 VFF47 VFX47 VGP47 VHH47 VHZ47 VIR47 VJJ47 VKB47 VKT47 VLL47 VMD47 VMV47 VNN47 VOF47 VOX47 VPP47 VQH47 VQZ47 VRR47 VSJ47 VTB47 VTT47 VUL47 VVD47 VVV47 VWN47 VXF47 VXX47 VYP47 VZH47 VZZ47 WAR47 WBJ47 WCB47 WCT47 WDL47 WED47 WEV47 WFN47 WGF47 WGX47 WHP47 WIH47 WIZ47 WJR47 WKJ47 WLB47 WLT47 WML47 WND47 WNV47 WON47 WPF47 WPX47 WQP47 WRH47 WRZ47 WSR47 WTJ47 WUB47 WUT47 WVL47 WWD47 WWV47 WXN47 WYF47 WYX47 WZP47 XAH47 XAZ47 XBR47 XCJ47 XDB47 XDT47 XEL47 XFD47">
    <cfRule type="cellIs" dxfId="21" priority="8" stopIfTrue="1" operator="equal">
      <formula>1</formula>
    </cfRule>
  </conditionalFormatting>
  <conditionalFormatting sqref="V48:V50 AN48:AN50 BF48:BF50 BX48:BX50 CP48:CP50 DH48:DH50 DZ48:DZ50 ER48:ER50 FJ48:FJ50 GB48:GB50 GT48:GT50 HL48:HL50 ID48:ID50 IV48:IV50 JN48:JN50 KF48:KF50 KX48:KX50 LP48:LP50 MH48:MH50 MZ48:MZ50 NR48:NR50 OJ48:OJ50 PB48:PB50 PT48:PT50 QL48:QL50 RD48:RD50 RV48:RV50 SN48:SN50 TF48:TF50 TX48:TX50 UP48:UP50 VH48:VH50 VZ48:VZ50 WR48:WR50 XJ48:XJ50 YB48:YB50 YT48:YT50 ZL48:ZL50 AAD48:AAD50 AAV48:AAV50 ABN48:ABN50 ACF48:ACF50 ACX48:ACX50 ADP48:ADP50 AEH48:AEH50 AEZ48:AEZ50 AFR48:AFR50 AGJ48:AGJ50 AHB48:AHB50 AHT48:AHT50 AIL48:AIL50 AJD48:AJD50 AJV48:AJV50 AKN48:AKN50 ALF48:ALF50 ALX48:ALX50 AMP48:AMP50 ANH48:ANH50 ANZ48:ANZ50 AOR48:AOR50 APJ48:APJ50 AQB48:AQB50 AQT48:AQT50 ARL48:ARL50 ASD48:ASD50 ASV48:ASV50 ATN48:ATN50 AUF48:AUF50 AUX48:AUX50 AVP48:AVP50 AWH48:AWH50 AWZ48:AWZ50 AXR48:AXR50 AYJ48:AYJ50 AZB48:AZB50 AZT48:AZT50 BAL48:BAL50 BBD48:BBD50 BBV48:BBV50 BCN48:BCN50 BDF48:BDF50 BDX48:BDX50 BEP48:BEP50 BFH48:BFH50 BFZ48:BFZ50 BGR48:BGR50 BHJ48:BHJ50 BIB48:BIB50 BIT48:BIT50 BJL48:BJL50 BKD48:BKD50 BKV48:BKV50 BLN48:BLN50 BMF48:BMF50 BMX48:BMX50 BNP48:BNP50 BOH48:BOH50 BOZ48:BOZ50 BPR48:BPR50 BQJ48:BQJ50 BRB48:BRB50 BRT48:BRT50 BSL48:BSL50 BTD48:BTD50 BTV48:BTV50 BUN48:BUN50 BVF48:BVF50 BVX48:BVX50 BWP48:BWP50 BXH48:BXH50 BXZ48:BXZ50 BYR48:BYR50 BZJ48:BZJ50 CAB48:CAB50 CAT48:CAT50 CBL48:CBL50 CCD48:CCD50 CCV48:CCV50 CDN48:CDN50 CEF48:CEF50 CEX48:CEX50 CFP48:CFP50 CGH48:CGH50 CGZ48:CGZ50 CHR48:CHR50 CIJ48:CIJ50 CJB48:CJB50 CJT48:CJT50 CKL48:CKL50 CLD48:CLD50 CLV48:CLV50 CMN48:CMN50 CNF48:CNF50 CNX48:CNX50 COP48:COP50 CPH48:CPH50 CPZ48:CPZ50 CQR48:CQR50 CRJ48:CRJ50 CSB48:CSB50 CST48:CST50 CTL48:CTL50 CUD48:CUD50 CUV48:CUV50 CVN48:CVN50 CWF48:CWF50 CWX48:CWX50 CXP48:CXP50 CYH48:CYH50 CYZ48:CYZ50 CZR48:CZR50 DAJ48:DAJ50 DBB48:DBB50 DBT48:DBT50 DCL48:DCL50 DDD48:DDD50 DDV48:DDV50 DEN48:DEN50 DFF48:DFF50 DFX48:DFX50 DGP48:DGP50 DHH48:DHH50 DHZ48:DHZ50 DIR48:DIR50 DJJ48:DJJ50 DKB48:DKB50 DKT48:DKT50 DLL48:DLL50 DMD48:DMD50 DMV48:DMV50 DNN48:DNN50 DOF48:DOF50 DOX48:DOX50 DPP48:DPP50 DQH48:DQH50 DQZ48:DQZ50 DRR48:DRR50 DSJ48:DSJ50 DTB48:DTB50 DTT48:DTT50 DUL48:DUL50 DVD48:DVD50 DVV48:DVV50 DWN48:DWN50 DXF48:DXF50 DXX48:DXX50 DYP48:DYP50 DZH48:DZH50 DZZ48:DZZ50 EAR48:EAR50 EBJ48:EBJ50 ECB48:ECB50 ECT48:ECT50 EDL48:EDL50 EED48:EED50 EEV48:EEV50 EFN48:EFN50 EGF48:EGF50 EGX48:EGX50 EHP48:EHP50 EIH48:EIH50 EIZ48:EIZ50 EJR48:EJR50 EKJ48:EKJ50 ELB48:ELB50 ELT48:ELT50 EML48:EML50 END48:END50 ENV48:ENV50 EON48:EON50 EPF48:EPF50 EPX48:EPX50 EQP48:EQP50 ERH48:ERH50 ERZ48:ERZ50 ESR48:ESR50 ETJ48:ETJ50 EUB48:EUB50 EUT48:EUT50 EVL48:EVL50 EWD48:EWD50 EWV48:EWV50 EXN48:EXN50 EYF48:EYF50 EYX48:EYX50 EZP48:EZP50 FAH48:FAH50 FAZ48:FAZ50 FBR48:FBR50 FCJ48:FCJ50 FDB48:FDB50 FDT48:FDT50 FEL48:FEL50 FFD48:FFD50 FFV48:FFV50 FGN48:FGN50 FHF48:FHF50 FHX48:FHX50 FIP48:FIP50 FJH48:FJH50 FJZ48:FJZ50 FKR48:FKR50 FLJ48:FLJ50 FMB48:FMB50 FMT48:FMT50 FNL48:FNL50 FOD48:FOD50 FOV48:FOV50 FPN48:FPN50 FQF48:FQF50 FQX48:FQX50 FRP48:FRP50 FSH48:FSH50 FSZ48:FSZ50 FTR48:FTR50 FUJ48:FUJ50 FVB48:FVB50 FVT48:FVT50 FWL48:FWL50 FXD48:FXD50 FXV48:FXV50 FYN48:FYN50 FZF48:FZF50 FZX48:FZX50 GAP48:GAP50 GBH48:GBH50 GBZ48:GBZ50 GCR48:GCR50 GDJ48:GDJ50 GEB48:GEB50 GET48:GET50 GFL48:GFL50 GGD48:GGD50 GGV48:GGV50 GHN48:GHN50 GIF48:GIF50 GIX48:GIX50 GJP48:GJP50 GKH48:GKH50 GKZ48:GKZ50 GLR48:GLR50 GMJ48:GMJ50 GNB48:GNB50 GNT48:GNT50 GOL48:GOL50 GPD48:GPD50 GPV48:GPV50 GQN48:GQN50 GRF48:GRF50 GRX48:GRX50 GSP48:GSP50 GTH48:GTH50 GTZ48:GTZ50 GUR48:GUR50 GVJ48:GVJ50 GWB48:GWB50 GWT48:GWT50 GXL48:GXL50 GYD48:GYD50 GYV48:GYV50 GZN48:GZN50 HAF48:HAF50 HAX48:HAX50 HBP48:HBP50 HCH48:HCH50 HCZ48:HCZ50 HDR48:HDR50 HEJ48:HEJ50 HFB48:HFB50 HFT48:HFT50 HGL48:HGL50 HHD48:HHD50 HHV48:HHV50 HIN48:HIN50 HJF48:HJF50 HJX48:HJX50 HKP48:HKP50 HLH48:HLH50 HLZ48:HLZ50 HMR48:HMR50 HNJ48:HNJ50 HOB48:HOB50 HOT48:HOT50 HPL48:HPL50 HQD48:HQD50 HQV48:HQV50 HRN48:HRN50 HSF48:HSF50 HSX48:HSX50 HTP48:HTP50 HUH48:HUH50 HUZ48:HUZ50 HVR48:HVR50 HWJ48:HWJ50 HXB48:HXB50 HXT48:HXT50 HYL48:HYL50 HZD48:HZD50 HZV48:HZV50 IAN48:IAN50 IBF48:IBF50 IBX48:IBX50 ICP48:ICP50 IDH48:IDH50 IDZ48:IDZ50 IER48:IER50 IFJ48:IFJ50 IGB48:IGB50 IGT48:IGT50 IHL48:IHL50 IID48:IID50 IIV48:IIV50 IJN48:IJN50 IKF48:IKF50 IKX48:IKX50 ILP48:ILP50 IMH48:IMH50 IMZ48:IMZ50 INR48:INR50 IOJ48:IOJ50 IPB48:IPB50 IPT48:IPT50 IQL48:IQL50 IRD48:IRD50 IRV48:IRV50 ISN48:ISN50 ITF48:ITF50 ITX48:ITX50 IUP48:IUP50 IVH48:IVH50 IVZ48:IVZ50 IWR48:IWR50 IXJ48:IXJ50 IYB48:IYB50 IYT48:IYT50 IZL48:IZL50 JAD48:JAD50 JAV48:JAV50 JBN48:JBN50 JCF48:JCF50 JCX48:JCX50 JDP48:JDP50 JEH48:JEH50 JEZ48:JEZ50 JFR48:JFR50 JGJ48:JGJ50 JHB48:JHB50 JHT48:JHT50 JIL48:JIL50 JJD48:JJD50 JJV48:JJV50 JKN48:JKN50 JLF48:JLF50 JLX48:JLX50 JMP48:JMP50 JNH48:JNH50 JNZ48:JNZ50 JOR48:JOR50 JPJ48:JPJ50 JQB48:JQB50 JQT48:JQT50 JRL48:JRL50 JSD48:JSD50 JSV48:JSV50 JTN48:JTN50 JUF48:JUF50 JUX48:JUX50 JVP48:JVP50 JWH48:JWH50 JWZ48:JWZ50 JXR48:JXR50 JYJ48:JYJ50 JZB48:JZB50 JZT48:JZT50 KAL48:KAL50 KBD48:KBD50 KBV48:KBV50 KCN48:KCN50 KDF48:KDF50 KDX48:KDX50 KEP48:KEP50 KFH48:KFH50 KFZ48:KFZ50 KGR48:KGR50 KHJ48:KHJ50 KIB48:KIB50 KIT48:KIT50 KJL48:KJL50 KKD48:KKD50 KKV48:KKV50 KLN48:KLN50 KMF48:KMF50 KMX48:KMX50 KNP48:KNP50 KOH48:KOH50 KOZ48:KOZ50 KPR48:KPR50 KQJ48:KQJ50 KRB48:KRB50 KRT48:KRT50 KSL48:KSL50 KTD48:KTD50 KTV48:KTV50 KUN48:KUN50 KVF48:KVF50 KVX48:KVX50 KWP48:KWP50 KXH48:KXH50 KXZ48:KXZ50 KYR48:KYR50 KZJ48:KZJ50 LAB48:LAB50 LAT48:LAT50 LBL48:LBL50 LCD48:LCD50 LCV48:LCV50 LDN48:LDN50 LEF48:LEF50 LEX48:LEX50 LFP48:LFP50 LGH48:LGH50 LGZ48:LGZ50 LHR48:LHR50 LIJ48:LIJ50 LJB48:LJB50 LJT48:LJT50 LKL48:LKL50 LLD48:LLD50 LLV48:LLV50 LMN48:LMN50 LNF48:LNF50 LNX48:LNX50 LOP48:LOP50 LPH48:LPH50 LPZ48:LPZ50 LQR48:LQR50 LRJ48:LRJ50 LSB48:LSB50 LST48:LST50 LTL48:LTL50 LUD48:LUD50 LUV48:LUV50 LVN48:LVN50 LWF48:LWF50 LWX48:LWX50 LXP48:LXP50 LYH48:LYH50 LYZ48:LYZ50 LZR48:LZR50 MAJ48:MAJ50 MBB48:MBB50 MBT48:MBT50 MCL48:MCL50 MDD48:MDD50 MDV48:MDV50 MEN48:MEN50 MFF48:MFF50 MFX48:MFX50 MGP48:MGP50 MHH48:MHH50 MHZ48:MHZ50 MIR48:MIR50 MJJ48:MJJ50 MKB48:MKB50 MKT48:MKT50 MLL48:MLL50 MMD48:MMD50 MMV48:MMV50 MNN48:MNN50 MOF48:MOF50 MOX48:MOX50 MPP48:MPP50 MQH48:MQH50 MQZ48:MQZ50 MRR48:MRR50 MSJ48:MSJ50 MTB48:MTB50 MTT48:MTT50 MUL48:MUL50 MVD48:MVD50 MVV48:MVV50 MWN48:MWN50 MXF48:MXF50 MXX48:MXX50 MYP48:MYP50 MZH48:MZH50 MZZ48:MZZ50 NAR48:NAR50 NBJ48:NBJ50 NCB48:NCB50 NCT48:NCT50 NDL48:NDL50 NED48:NED50 NEV48:NEV50 NFN48:NFN50 NGF48:NGF50 NGX48:NGX50 NHP48:NHP50 NIH48:NIH50 NIZ48:NIZ50 NJR48:NJR50 NKJ48:NKJ50 NLB48:NLB50 NLT48:NLT50 NML48:NML50 NND48:NND50 NNV48:NNV50 NON48:NON50 NPF48:NPF50 NPX48:NPX50 NQP48:NQP50 NRH48:NRH50 NRZ48:NRZ50 NSR48:NSR50 NTJ48:NTJ50 NUB48:NUB50 NUT48:NUT50 NVL48:NVL50 NWD48:NWD50 NWV48:NWV50 NXN48:NXN50 NYF48:NYF50 NYX48:NYX50 NZP48:NZP50 OAH48:OAH50 OAZ48:OAZ50 OBR48:OBR50 OCJ48:OCJ50 ODB48:ODB50 ODT48:ODT50 OEL48:OEL50 OFD48:OFD50 OFV48:OFV50 OGN48:OGN50 OHF48:OHF50 OHX48:OHX50 OIP48:OIP50 OJH48:OJH50 OJZ48:OJZ50 OKR48:OKR50 OLJ48:OLJ50 OMB48:OMB50 OMT48:OMT50 ONL48:ONL50 OOD48:OOD50 OOV48:OOV50 OPN48:OPN50 OQF48:OQF50 OQX48:OQX50 ORP48:ORP50 OSH48:OSH50 OSZ48:OSZ50 OTR48:OTR50 OUJ48:OUJ50 OVB48:OVB50 OVT48:OVT50 OWL48:OWL50 OXD48:OXD50 OXV48:OXV50 OYN48:OYN50 OZF48:OZF50 OZX48:OZX50 PAP48:PAP50 PBH48:PBH50 PBZ48:PBZ50 PCR48:PCR50 PDJ48:PDJ50 PEB48:PEB50 PET48:PET50 PFL48:PFL50 PGD48:PGD50 PGV48:PGV50 PHN48:PHN50 PIF48:PIF50 PIX48:PIX50 PJP48:PJP50 PKH48:PKH50 PKZ48:PKZ50 PLR48:PLR50 PMJ48:PMJ50 PNB48:PNB50 PNT48:PNT50 POL48:POL50 PPD48:PPD50 PPV48:PPV50 PQN48:PQN50 PRF48:PRF50 PRX48:PRX50 PSP48:PSP50 PTH48:PTH50 PTZ48:PTZ50 PUR48:PUR50 PVJ48:PVJ50 PWB48:PWB50 PWT48:PWT50 PXL48:PXL50 PYD48:PYD50 PYV48:PYV50 PZN48:PZN50 QAF48:QAF50 QAX48:QAX50 QBP48:QBP50 QCH48:QCH50 QCZ48:QCZ50 QDR48:QDR50 QEJ48:QEJ50 QFB48:QFB50 QFT48:QFT50 QGL48:QGL50 QHD48:QHD50 QHV48:QHV50 QIN48:QIN50 QJF48:QJF50 QJX48:QJX50 QKP48:QKP50 QLH48:QLH50 QLZ48:QLZ50 QMR48:QMR50 QNJ48:QNJ50 QOB48:QOB50 QOT48:QOT50 QPL48:QPL50 QQD48:QQD50 QQV48:QQV50 QRN48:QRN50 QSF48:QSF50 QSX48:QSX50 QTP48:QTP50 QUH48:QUH50 QUZ48:QUZ50 QVR48:QVR50 QWJ48:QWJ50 QXB48:QXB50 QXT48:QXT50 QYL48:QYL50 QZD48:QZD50 QZV48:QZV50 RAN48:RAN50 RBF48:RBF50 RBX48:RBX50 RCP48:RCP50 RDH48:RDH50 RDZ48:RDZ50 RER48:RER50 RFJ48:RFJ50 RGB48:RGB50 RGT48:RGT50 RHL48:RHL50 RID48:RID50 RIV48:RIV50 RJN48:RJN50 RKF48:RKF50 RKX48:RKX50 RLP48:RLP50 RMH48:RMH50 RMZ48:RMZ50 RNR48:RNR50 ROJ48:ROJ50 RPB48:RPB50 RPT48:RPT50 RQL48:RQL50 RRD48:RRD50 RRV48:RRV50 RSN48:RSN50 RTF48:RTF50 RTX48:RTX50 RUP48:RUP50 RVH48:RVH50 RVZ48:RVZ50 RWR48:RWR50 RXJ48:RXJ50 RYB48:RYB50 RYT48:RYT50 RZL48:RZL50 SAD48:SAD50 SAV48:SAV50 SBN48:SBN50 SCF48:SCF50 SCX48:SCX50 SDP48:SDP50 SEH48:SEH50 SEZ48:SEZ50 SFR48:SFR50 SGJ48:SGJ50 SHB48:SHB50 SHT48:SHT50 SIL48:SIL50 SJD48:SJD50 SJV48:SJV50 SKN48:SKN50 SLF48:SLF50 SLX48:SLX50 SMP48:SMP50 SNH48:SNH50 SNZ48:SNZ50 SOR48:SOR50 SPJ48:SPJ50 SQB48:SQB50 SQT48:SQT50 SRL48:SRL50 SSD48:SSD50 SSV48:SSV50 STN48:STN50 SUF48:SUF50 SUX48:SUX50 SVP48:SVP50 SWH48:SWH50 SWZ48:SWZ50 SXR48:SXR50 SYJ48:SYJ50 SZB48:SZB50 SZT48:SZT50 TAL48:TAL50 TBD48:TBD50 TBV48:TBV50 TCN48:TCN50 TDF48:TDF50 TDX48:TDX50 TEP48:TEP50 TFH48:TFH50 TFZ48:TFZ50 TGR48:TGR50 THJ48:THJ50 TIB48:TIB50 TIT48:TIT50 TJL48:TJL50 TKD48:TKD50 TKV48:TKV50 TLN48:TLN50 TMF48:TMF50 TMX48:TMX50 TNP48:TNP50 TOH48:TOH50 TOZ48:TOZ50 TPR48:TPR50 TQJ48:TQJ50 TRB48:TRB50 TRT48:TRT50 TSL48:TSL50 TTD48:TTD50 TTV48:TTV50 TUN48:TUN50 TVF48:TVF50 TVX48:TVX50 TWP48:TWP50 TXH48:TXH50 TXZ48:TXZ50 TYR48:TYR50 TZJ48:TZJ50 UAB48:UAB50 UAT48:UAT50 UBL48:UBL50 UCD48:UCD50 UCV48:UCV50 UDN48:UDN50 UEF48:UEF50 UEX48:UEX50 UFP48:UFP50 UGH48:UGH50 UGZ48:UGZ50 UHR48:UHR50 UIJ48:UIJ50 UJB48:UJB50 UJT48:UJT50 UKL48:UKL50 ULD48:ULD50 ULV48:ULV50 UMN48:UMN50 UNF48:UNF50 UNX48:UNX50 UOP48:UOP50 UPH48:UPH50 UPZ48:UPZ50 UQR48:UQR50 URJ48:URJ50 USB48:USB50 UST48:UST50 UTL48:UTL50 UUD48:UUD50 UUV48:UUV50 UVN48:UVN50 UWF48:UWF50 UWX48:UWX50 UXP48:UXP50 UYH48:UYH50 UYZ48:UYZ50 UZR48:UZR50 VAJ48:VAJ50 VBB48:VBB50 VBT48:VBT50 VCL48:VCL50 VDD48:VDD50 VDV48:VDV50 VEN48:VEN50 VFF48:VFF50 VFX48:VFX50 VGP48:VGP50 VHH48:VHH50 VHZ48:VHZ50 VIR48:VIR50 VJJ48:VJJ50 VKB48:VKB50 VKT48:VKT50 VLL48:VLL50 VMD48:VMD50 VMV48:VMV50 VNN48:VNN50 VOF48:VOF50 VOX48:VOX50 VPP48:VPP50 VQH48:VQH50 VQZ48:VQZ50 VRR48:VRR50 VSJ48:VSJ50 VTB48:VTB50 VTT48:VTT50 VUL48:VUL50 VVD48:VVD50 VVV48:VVV50 VWN48:VWN50 VXF48:VXF50 VXX48:VXX50 VYP48:VYP50 VZH48:VZH50 VZZ48:VZZ50 WAR48:WAR50 WBJ48:WBJ50 WCB48:WCB50 WCT48:WCT50 WDL48:WDL50 WED48:WED50 WEV48:WEV50 WFN48:WFN50 WGF48:WGF50 WGX48:WGX50 WHP48:WHP50 WIH48:WIH50 WIZ48:WIZ50 WJR48:WJR50 WKJ48:WKJ50 WLB48:WLB50 WLT48:WLT50 WML48:WML50 WND48:WND50 WNV48:WNV50 WON48:WON50 WPF48:WPF50 WPX48:WPX50 WQP48:WQP50 WRH48:WRH50 WRZ48:WRZ50 WSR48:WSR50 WTJ48:WTJ50 WUB48:WUB50 WUT48:WUT50 WVL48:WVL50 WWD48:WWD50 WWV48:WWV50 WXN48:WXN50 WYF48:WYF50 WYX48:WYX50 WZP48:WZP50 XAH48:XAH50 XAZ48:XAZ50 XBR48:XBR50 XCJ48:XCJ50 XDB48:XDB50 XDT48:XDT50 XEL48:XEL50 XFD48:XFD50">
    <cfRule type="cellIs" dxfId="20" priority="7" stopIfTrue="1" operator="equal">
      <formula>1</formula>
    </cfRule>
  </conditionalFormatting>
  <conditionalFormatting sqref="V51 AN51 BF51 BX51 CP51 DH51 DZ51 ER51 FJ51 GB51 GT51 HL51 ID51 IV51 JN51 KF51 KX51 LP51 MH51 MZ51 NR51 OJ51 PB51 PT51 QL51 RD51 RV51 SN51 TF51 TX51 UP51 VH51 VZ51 WR51 XJ51 YB51 YT51 ZL51 AAD51 AAV51 ABN51 ACF51 ACX51 ADP51 AEH51 AEZ51 AFR51 AGJ51 AHB51 AHT51 AIL51 AJD51 AJV51 AKN51 ALF51 ALX51 AMP51 ANH51 ANZ51 AOR51 APJ51 AQB51 AQT51 ARL51 ASD51 ASV51 ATN51 AUF51 AUX51 AVP51 AWH51 AWZ51 AXR51 AYJ51 AZB51 AZT51 BAL51 BBD51 BBV51 BCN51 BDF51 BDX51 BEP51 BFH51 BFZ51 BGR51 BHJ51 BIB51 BIT51 BJL51 BKD51 BKV51 BLN51 BMF51 BMX51 BNP51 BOH51 BOZ51 BPR51 BQJ51 BRB51 BRT51 BSL51 BTD51 BTV51 BUN51 BVF51 BVX51 BWP51 BXH51 BXZ51 BYR51 BZJ51 CAB51 CAT51 CBL51 CCD51 CCV51 CDN51 CEF51 CEX51 CFP51 CGH51 CGZ51 CHR51 CIJ51 CJB51 CJT51 CKL51 CLD51 CLV51 CMN51 CNF51 CNX51 COP51 CPH51 CPZ51 CQR51 CRJ51 CSB51 CST51 CTL51 CUD51 CUV51 CVN51 CWF51 CWX51 CXP51 CYH51 CYZ51 CZR51 DAJ51 DBB51 DBT51 DCL51 DDD51 DDV51 DEN51 DFF51 DFX51 DGP51 DHH51 DHZ51 DIR51 DJJ51 DKB51 DKT51 DLL51 DMD51 DMV51 DNN51 DOF51 DOX51 DPP51 DQH51 DQZ51 DRR51 DSJ51 DTB51 DTT51 DUL51 DVD51 DVV51 DWN51 DXF51 DXX51 DYP51 DZH51 DZZ51 EAR51 EBJ51 ECB51 ECT51 EDL51 EED51 EEV51 EFN51 EGF51 EGX51 EHP51 EIH51 EIZ51 EJR51 EKJ51 ELB51 ELT51 EML51 END51 ENV51 EON51 EPF51 EPX51 EQP51 ERH51 ERZ51 ESR51 ETJ51 EUB51 EUT51 EVL51 EWD51 EWV51 EXN51 EYF51 EYX51 EZP51 FAH51 FAZ51 FBR51 FCJ51 FDB51 FDT51 FEL51 FFD51 FFV51 FGN51 FHF51 FHX51 FIP51 FJH51 FJZ51 FKR51 FLJ51 FMB51 FMT51 FNL51 FOD51 FOV51 FPN51 FQF51 FQX51 FRP51 FSH51 FSZ51 FTR51 FUJ51 FVB51 FVT51 FWL51 FXD51 FXV51 FYN51 FZF51 FZX51 GAP51 GBH51 GBZ51 GCR51 GDJ51 GEB51 GET51 GFL51 GGD51 GGV51 GHN51 GIF51 GIX51 GJP51 GKH51 GKZ51 GLR51 GMJ51 GNB51 GNT51 GOL51 GPD51 GPV51 GQN51 GRF51 GRX51 GSP51 GTH51 GTZ51 GUR51 GVJ51 GWB51 GWT51 GXL51 GYD51 GYV51 GZN51 HAF51 HAX51 HBP51 HCH51 HCZ51 HDR51 HEJ51 HFB51 HFT51 HGL51 HHD51 HHV51 HIN51 HJF51 HJX51 HKP51 HLH51 HLZ51 HMR51 HNJ51 HOB51 HOT51 HPL51 HQD51 HQV51 HRN51 HSF51 HSX51 HTP51 HUH51 HUZ51 HVR51 HWJ51 HXB51 HXT51 HYL51 HZD51 HZV51 IAN51 IBF51 IBX51 ICP51 IDH51 IDZ51 IER51 IFJ51 IGB51 IGT51 IHL51 IID51 IIV51 IJN51 IKF51 IKX51 ILP51 IMH51 IMZ51 INR51 IOJ51 IPB51 IPT51 IQL51 IRD51 IRV51 ISN51 ITF51 ITX51 IUP51 IVH51 IVZ51 IWR51 IXJ51 IYB51 IYT51 IZL51 JAD51 JAV51 JBN51 JCF51 JCX51 JDP51 JEH51 JEZ51 JFR51 JGJ51 JHB51 JHT51 JIL51 JJD51 JJV51 JKN51 JLF51 JLX51 JMP51 JNH51 JNZ51 JOR51 JPJ51 JQB51 JQT51 JRL51 JSD51 JSV51 JTN51 JUF51 JUX51 JVP51 JWH51 JWZ51 JXR51 JYJ51 JZB51 JZT51 KAL51 KBD51 KBV51 KCN51 KDF51 KDX51 KEP51 KFH51 KFZ51 KGR51 KHJ51 KIB51 KIT51 KJL51 KKD51 KKV51 KLN51 KMF51 KMX51 KNP51 KOH51 KOZ51 KPR51 KQJ51 KRB51 KRT51 KSL51 KTD51 KTV51 KUN51 KVF51 KVX51 KWP51 KXH51 KXZ51 KYR51 KZJ51 LAB51 LAT51 LBL51 LCD51 LCV51 LDN51 LEF51 LEX51 LFP51 LGH51 LGZ51 LHR51 LIJ51 LJB51 LJT51 LKL51 LLD51 LLV51 LMN51 LNF51 LNX51 LOP51 LPH51 LPZ51 LQR51 LRJ51 LSB51 LST51 LTL51 LUD51 LUV51 LVN51 LWF51 LWX51 LXP51 LYH51 LYZ51 LZR51 MAJ51 MBB51 MBT51 MCL51 MDD51 MDV51 MEN51 MFF51 MFX51 MGP51 MHH51 MHZ51 MIR51 MJJ51 MKB51 MKT51 MLL51 MMD51 MMV51 MNN51 MOF51 MOX51 MPP51 MQH51 MQZ51 MRR51 MSJ51 MTB51 MTT51 MUL51 MVD51 MVV51 MWN51 MXF51 MXX51 MYP51 MZH51 MZZ51 NAR51 NBJ51 NCB51 NCT51 NDL51 NED51 NEV51 NFN51 NGF51 NGX51 NHP51 NIH51 NIZ51 NJR51 NKJ51 NLB51 NLT51 NML51 NND51 NNV51 NON51 NPF51 NPX51 NQP51 NRH51 NRZ51 NSR51 NTJ51 NUB51 NUT51 NVL51 NWD51 NWV51 NXN51 NYF51 NYX51 NZP51 OAH51 OAZ51 OBR51 OCJ51 ODB51 ODT51 OEL51 OFD51 OFV51 OGN51 OHF51 OHX51 OIP51 OJH51 OJZ51 OKR51 OLJ51 OMB51 OMT51 ONL51 OOD51 OOV51 OPN51 OQF51 OQX51 ORP51 OSH51 OSZ51 OTR51 OUJ51 OVB51 OVT51 OWL51 OXD51 OXV51 OYN51 OZF51 OZX51 PAP51 PBH51 PBZ51 PCR51 PDJ51 PEB51 PET51 PFL51 PGD51 PGV51 PHN51 PIF51 PIX51 PJP51 PKH51 PKZ51 PLR51 PMJ51 PNB51 PNT51 POL51 PPD51 PPV51 PQN51 PRF51 PRX51 PSP51 PTH51 PTZ51 PUR51 PVJ51 PWB51 PWT51 PXL51 PYD51 PYV51 PZN51 QAF51 QAX51 QBP51 QCH51 QCZ51 QDR51 QEJ51 QFB51 QFT51 QGL51 QHD51 QHV51 QIN51 QJF51 QJX51 QKP51 QLH51 QLZ51 QMR51 QNJ51 QOB51 QOT51 QPL51 QQD51 QQV51 QRN51 QSF51 QSX51 QTP51 QUH51 QUZ51 QVR51 QWJ51 QXB51 QXT51 QYL51 QZD51 QZV51 RAN51 RBF51 RBX51 RCP51 RDH51 RDZ51 RER51 RFJ51 RGB51 RGT51 RHL51 RID51 RIV51 RJN51 RKF51 RKX51 RLP51 RMH51 RMZ51 RNR51 ROJ51 RPB51 RPT51 RQL51 RRD51 RRV51 RSN51 RTF51 RTX51 RUP51 RVH51 RVZ51 RWR51 RXJ51 RYB51 RYT51 RZL51 SAD51 SAV51 SBN51 SCF51 SCX51 SDP51 SEH51 SEZ51 SFR51 SGJ51 SHB51 SHT51 SIL51 SJD51 SJV51 SKN51 SLF51 SLX51 SMP51 SNH51 SNZ51 SOR51 SPJ51 SQB51 SQT51 SRL51 SSD51 SSV51 STN51 SUF51 SUX51 SVP51 SWH51 SWZ51 SXR51 SYJ51 SZB51 SZT51 TAL51 TBD51 TBV51 TCN51 TDF51 TDX51 TEP51 TFH51 TFZ51 TGR51 THJ51 TIB51 TIT51 TJL51 TKD51 TKV51 TLN51 TMF51 TMX51 TNP51 TOH51 TOZ51 TPR51 TQJ51 TRB51 TRT51 TSL51 TTD51 TTV51 TUN51 TVF51 TVX51 TWP51 TXH51 TXZ51 TYR51 TZJ51 UAB51 UAT51 UBL51 UCD51 UCV51 UDN51 UEF51 UEX51 UFP51 UGH51 UGZ51 UHR51 UIJ51 UJB51 UJT51 UKL51 ULD51 ULV51 UMN51 UNF51 UNX51 UOP51 UPH51 UPZ51 UQR51 URJ51 USB51 UST51 UTL51 UUD51 UUV51 UVN51 UWF51 UWX51 UXP51 UYH51 UYZ51 UZR51 VAJ51 VBB51 VBT51 VCL51 VDD51 VDV51 VEN51 VFF51 VFX51 VGP51 VHH51 VHZ51 VIR51 VJJ51 VKB51 VKT51 VLL51 VMD51 VMV51 VNN51 VOF51 VOX51 VPP51 VQH51 VQZ51 VRR51 VSJ51 VTB51 VTT51 VUL51 VVD51 VVV51 VWN51 VXF51 VXX51 VYP51 VZH51 VZZ51 WAR51 WBJ51 WCB51 WCT51 WDL51 WED51 WEV51 WFN51 WGF51 WGX51 WHP51 WIH51 WIZ51 WJR51 WKJ51 WLB51 WLT51 WML51 WND51 WNV51 WON51 WPF51 WPX51 WQP51 WRH51 WRZ51 WSR51 WTJ51 WUB51 WUT51 WVL51 WWD51 WWV51 WXN51 WYF51 WYX51 WZP51 XAH51 XAZ51 XBR51 XCJ51 XDB51 XDT51 XEL51 XFD51">
    <cfRule type="cellIs" dxfId="19" priority="6" stopIfTrue="1" operator="equal">
      <formula>1</formula>
    </cfRule>
  </conditionalFormatting>
  <conditionalFormatting sqref="V52 AN52 BF52 BX52 CP52 DH52 DZ52 ER52 FJ52 GB52 GT52 HL52 ID52 IV52 JN52 KF52 KX52 LP52 MH52 MZ52 NR52 OJ52 PB52 PT52 QL52 RD52 RV52 SN52 TF52 TX52 UP52 VH52 VZ52 WR52 XJ52 YB52 YT52 ZL52 AAD52 AAV52 ABN52 ACF52 ACX52 ADP52 AEH52 AEZ52 AFR52 AGJ52 AHB52 AHT52 AIL52 AJD52 AJV52 AKN52 ALF52 ALX52 AMP52 ANH52 ANZ52 AOR52 APJ52 AQB52 AQT52 ARL52 ASD52 ASV52 ATN52 AUF52 AUX52 AVP52 AWH52 AWZ52 AXR52 AYJ52 AZB52 AZT52 BAL52 BBD52 BBV52 BCN52 BDF52 BDX52 BEP52 BFH52 BFZ52 BGR52 BHJ52 BIB52 BIT52 BJL52 BKD52 BKV52 BLN52 BMF52 BMX52 BNP52 BOH52 BOZ52 BPR52 BQJ52 BRB52 BRT52 BSL52 BTD52 BTV52 BUN52 BVF52 BVX52 BWP52 BXH52 BXZ52 BYR52 BZJ52 CAB52 CAT52 CBL52 CCD52 CCV52 CDN52 CEF52 CEX52 CFP52 CGH52 CGZ52 CHR52 CIJ52 CJB52 CJT52 CKL52 CLD52 CLV52 CMN52 CNF52 CNX52 COP52 CPH52 CPZ52 CQR52 CRJ52 CSB52 CST52 CTL52 CUD52 CUV52 CVN52 CWF52 CWX52 CXP52 CYH52 CYZ52 CZR52 DAJ52 DBB52 DBT52 DCL52 DDD52 DDV52 DEN52 DFF52 DFX52 DGP52 DHH52 DHZ52 DIR52 DJJ52 DKB52 DKT52 DLL52 DMD52 DMV52 DNN52 DOF52 DOX52 DPP52 DQH52 DQZ52 DRR52 DSJ52 DTB52 DTT52 DUL52 DVD52 DVV52 DWN52 DXF52 DXX52 DYP52 DZH52 DZZ52 EAR52 EBJ52 ECB52 ECT52 EDL52 EED52 EEV52 EFN52 EGF52 EGX52 EHP52 EIH52 EIZ52 EJR52 EKJ52 ELB52 ELT52 EML52 END52 ENV52 EON52 EPF52 EPX52 EQP52 ERH52 ERZ52 ESR52 ETJ52 EUB52 EUT52 EVL52 EWD52 EWV52 EXN52 EYF52 EYX52 EZP52 FAH52 FAZ52 FBR52 FCJ52 FDB52 FDT52 FEL52 FFD52 FFV52 FGN52 FHF52 FHX52 FIP52 FJH52 FJZ52 FKR52 FLJ52 FMB52 FMT52 FNL52 FOD52 FOV52 FPN52 FQF52 FQX52 FRP52 FSH52 FSZ52 FTR52 FUJ52 FVB52 FVT52 FWL52 FXD52 FXV52 FYN52 FZF52 FZX52 GAP52 GBH52 GBZ52 GCR52 GDJ52 GEB52 GET52 GFL52 GGD52 GGV52 GHN52 GIF52 GIX52 GJP52 GKH52 GKZ52 GLR52 GMJ52 GNB52 GNT52 GOL52 GPD52 GPV52 GQN52 GRF52 GRX52 GSP52 GTH52 GTZ52 GUR52 GVJ52 GWB52 GWT52 GXL52 GYD52 GYV52 GZN52 HAF52 HAX52 HBP52 HCH52 HCZ52 HDR52 HEJ52 HFB52 HFT52 HGL52 HHD52 HHV52 HIN52 HJF52 HJX52 HKP52 HLH52 HLZ52 HMR52 HNJ52 HOB52 HOT52 HPL52 HQD52 HQV52 HRN52 HSF52 HSX52 HTP52 HUH52 HUZ52 HVR52 HWJ52 HXB52 HXT52 HYL52 HZD52 HZV52 IAN52 IBF52 IBX52 ICP52 IDH52 IDZ52 IER52 IFJ52 IGB52 IGT52 IHL52 IID52 IIV52 IJN52 IKF52 IKX52 ILP52 IMH52 IMZ52 INR52 IOJ52 IPB52 IPT52 IQL52 IRD52 IRV52 ISN52 ITF52 ITX52 IUP52 IVH52 IVZ52 IWR52 IXJ52 IYB52 IYT52 IZL52 JAD52 JAV52 JBN52 JCF52 JCX52 JDP52 JEH52 JEZ52 JFR52 JGJ52 JHB52 JHT52 JIL52 JJD52 JJV52 JKN52 JLF52 JLX52 JMP52 JNH52 JNZ52 JOR52 JPJ52 JQB52 JQT52 JRL52 JSD52 JSV52 JTN52 JUF52 JUX52 JVP52 JWH52 JWZ52 JXR52 JYJ52 JZB52 JZT52 KAL52 KBD52 KBV52 KCN52 KDF52 KDX52 KEP52 KFH52 KFZ52 KGR52 KHJ52 KIB52 KIT52 KJL52 KKD52 KKV52 KLN52 KMF52 KMX52 KNP52 KOH52 KOZ52 KPR52 KQJ52 KRB52 KRT52 KSL52 KTD52 KTV52 KUN52 KVF52 KVX52 KWP52 KXH52 KXZ52 KYR52 KZJ52 LAB52 LAT52 LBL52 LCD52 LCV52 LDN52 LEF52 LEX52 LFP52 LGH52 LGZ52 LHR52 LIJ52 LJB52 LJT52 LKL52 LLD52 LLV52 LMN52 LNF52 LNX52 LOP52 LPH52 LPZ52 LQR52 LRJ52 LSB52 LST52 LTL52 LUD52 LUV52 LVN52 LWF52 LWX52 LXP52 LYH52 LYZ52 LZR52 MAJ52 MBB52 MBT52 MCL52 MDD52 MDV52 MEN52 MFF52 MFX52 MGP52 MHH52 MHZ52 MIR52 MJJ52 MKB52 MKT52 MLL52 MMD52 MMV52 MNN52 MOF52 MOX52 MPP52 MQH52 MQZ52 MRR52 MSJ52 MTB52 MTT52 MUL52 MVD52 MVV52 MWN52 MXF52 MXX52 MYP52 MZH52 MZZ52 NAR52 NBJ52 NCB52 NCT52 NDL52 NED52 NEV52 NFN52 NGF52 NGX52 NHP52 NIH52 NIZ52 NJR52 NKJ52 NLB52 NLT52 NML52 NND52 NNV52 NON52 NPF52 NPX52 NQP52 NRH52 NRZ52 NSR52 NTJ52 NUB52 NUT52 NVL52 NWD52 NWV52 NXN52 NYF52 NYX52 NZP52 OAH52 OAZ52 OBR52 OCJ52 ODB52 ODT52 OEL52 OFD52 OFV52 OGN52 OHF52 OHX52 OIP52 OJH52 OJZ52 OKR52 OLJ52 OMB52 OMT52 ONL52 OOD52 OOV52 OPN52 OQF52 OQX52 ORP52 OSH52 OSZ52 OTR52 OUJ52 OVB52 OVT52 OWL52 OXD52 OXV52 OYN52 OZF52 OZX52 PAP52 PBH52 PBZ52 PCR52 PDJ52 PEB52 PET52 PFL52 PGD52 PGV52 PHN52 PIF52 PIX52 PJP52 PKH52 PKZ52 PLR52 PMJ52 PNB52 PNT52 POL52 PPD52 PPV52 PQN52 PRF52 PRX52 PSP52 PTH52 PTZ52 PUR52 PVJ52 PWB52 PWT52 PXL52 PYD52 PYV52 PZN52 QAF52 QAX52 QBP52 QCH52 QCZ52 QDR52 QEJ52 QFB52 QFT52 QGL52 QHD52 QHV52 QIN52 QJF52 QJX52 QKP52 QLH52 QLZ52 QMR52 QNJ52 QOB52 QOT52 QPL52 QQD52 QQV52 QRN52 QSF52 QSX52 QTP52 QUH52 QUZ52 QVR52 QWJ52 QXB52 QXT52 QYL52 QZD52 QZV52 RAN52 RBF52 RBX52 RCP52 RDH52 RDZ52 RER52 RFJ52 RGB52 RGT52 RHL52 RID52 RIV52 RJN52 RKF52 RKX52 RLP52 RMH52 RMZ52 RNR52 ROJ52 RPB52 RPT52 RQL52 RRD52 RRV52 RSN52 RTF52 RTX52 RUP52 RVH52 RVZ52 RWR52 RXJ52 RYB52 RYT52 RZL52 SAD52 SAV52 SBN52 SCF52 SCX52 SDP52 SEH52 SEZ52 SFR52 SGJ52 SHB52 SHT52 SIL52 SJD52 SJV52 SKN52 SLF52 SLX52 SMP52 SNH52 SNZ52 SOR52 SPJ52 SQB52 SQT52 SRL52 SSD52 SSV52 STN52 SUF52 SUX52 SVP52 SWH52 SWZ52 SXR52 SYJ52 SZB52 SZT52 TAL52 TBD52 TBV52 TCN52 TDF52 TDX52 TEP52 TFH52 TFZ52 TGR52 THJ52 TIB52 TIT52 TJL52 TKD52 TKV52 TLN52 TMF52 TMX52 TNP52 TOH52 TOZ52 TPR52 TQJ52 TRB52 TRT52 TSL52 TTD52 TTV52 TUN52 TVF52 TVX52 TWP52 TXH52 TXZ52 TYR52 TZJ52 UAB52 UAT52 UBL52 UCD52 UCV52 UDN52 UEF52 UEX52 UFP52 UGH52 UGZ52 UHR52 UIJ52 UJB52 UJT52 UKL52 ULD52 ULV52 UMN52 UNF52 UNX52 UOP52 UPH52 UPZ52 UQR52 URJ52 USB52 UST52 UTL52 UUD52 UUV52 UVN52 UWF52 UWX52 UXP52 UYH52 UYZ52 UZR52 VAJ52 VBB52 VBT52 VCL52 VDD52 VDV52 VEN52 VFF52 VFX52 VGP52 VHH52 VHZ52 VIR52 VJJ52 VKB52 VKT52 VLL52 VMD52 VMV52 VNN52 VOF52 VOX52 VPP52 VQH52 VQZ52 VRR52 VSJ52 VTB52 VTT52 VUL52 VVD52 VVV52 VWN52 VXF52 VXX52 VYP52 VZH52 VZZ52 WAR52 WBJ52 WCB52 WCT52 WDL52 WED52 WEV52 WFN52 WGF52 WGX52 WHP52 WIH52 WIZ52 WJR52 WKJ52 WLB52 WLT52 WML52 WND52 WNV52 WON52 WPF52 WPX52 WQP52 WRH52 WRZ52 WSR52 WTJ52 WUB52 WUT52 WVL52 WWD52 WWV52 WXN52 WYF52 WYX52 WZP52 XAH52 XAZ52 XBR52 XCJ52 XDB52 XDT52 XEL52 XFD52">
    <cfRule type="cellIs" dxfId="18" priority="5" stopIfTrue="1" operator="equal">
      <formula>1</formula>
    </cfRule>
  </conditionalFormatting>
  <conditionalFormatting sqref="V53:V55 AN53:AN55 BF53:BF55 BX53:BX55 CP53:CP55 DH53:DH55 DZ53:DZ55 ER53:ER55 FJ53:FJ55 GB53:GB55 GT53:GT55 HL53:HL55 ID53:ID55 IV53:IV55 JN53:JN55 KF53:KF55 KX53:KX55 LP53:LP55 MH53:MH55 MZ53:MZ55 NR53:NR55 OJ53:OJ55 PB53:PB55 PT53:PT55 QL53:QL55 RD53:RD55 RV53:RV55 SN53:SN55 TF53:TF55 TX53:TX55 UP53:UP55 VH53:VH55 VZ53:VZ55 WR53:WR55 XJ53:XJ55 YB53:YB55 YT53:YT55 ZL53:ZL55 AAD53:AAD55 AAV53:AAV55 ABN53:ABN55 ACF53:ACF55 ACX53:ACX55 ADP53:ADP55 AEH53:AEH55 AEZ53:AEZ55 AFR53:AFR55 AGJ53:AGJ55 AHB53:AHB55 AHT53:AHT55 AIL53:AIL55 AJD53:AJD55 AJV53:AJV55 AKN53:AKN55 ALF53:ALF55 ALX53:ALX55 AMP53:AMP55 ANH53:ANH55 ANZ53:ANZ55 AOR53:AOR55 APJ53:APJ55 AQB53:AQB55 AQT53:AQT55 ARL53:ARL55 ASD53:ASD55 ASV53:ASV55 ATN53:ATN55 AUF53:AUF55 AUX53:AUX55 AVP53:AVP55 AWH53:AWH55 AWZ53:AWZ55 AXR53:AXR55 AYJ53:AYJ55 AZB53:AZB55 AZT53:AZT55 BAL53:BAL55 BBD53:BBD55 BBV53:BBV55 BCN53:BCN55 BDF53:BDF55 BDX53:BDX55 BEP53:BEP55 BFH53:BFH55 BFZ53:BFZ55 BGR53:BGR55 BHJ53:BHJ55 BIB53:BIB55 BIT53:BIT55 BJL53:BJL55 BKD53:BKD55 BKV53:BKV55 BLN53:BLN55 BMF53:BMF55 BMX53:BMX55 BNP53:BNP55 BOH53:BOH55 BOZ53:BOZ55 BPR53:BPR55 BQJ53:BQJ55 BRB53:BRB55 BRT53:BRT55 BSL53:BSL55 BTD53:BTD55 BTV53:BTV55 BUN53:BUN55 BVF53:BVF55 BVX53:BVX55 BWP53:BWP55 BXH53:BXH55 BXZ53:BXZ55 BYR53:BYR55 BZJ53:BZJ55 CAB53:CAB55 CAT53:CAT55 CBL53:CBL55 CCD53:CCD55 CCV53:CCV55 CDN53:CDN55 CEF53:CEF55 CEX53:CEX55 CFP53:CFP55 CGH53:CGH55 CGZ53:CGZ55 CHR53:CHR55 CIJ53:CIJ55 CJB53:CJB55 CJT53:CJT55 CKL53:CKL55 CLD53:CLD55 CLV53:CLV55 CMN53:CMN55 CNF53:CNF55 CNX53:CNX55 COP53:COP55 CPH53:CPH55 CPZ53:CPZ55 CQR53:CQR55 CRJ53:CRJ55 CSB53:CSB55 CST53:CST55 CTL53:CTL55 CUD53:CUD55 CUV53:CUV55 CVN53:CVN55 CWF53:CWF55 CWX53:CWX55 CXP53:CXP55 CYH53:CYH55 CYZ53:CYZ55 CZR53:CZR55 DAJ53:DAJ55 DBB53:DBB55 DBT53:DBT55 DCL53:DCL55 DDD53:DDD55 DDV53:DDV55 DEN53:DEN55 DFF53:DFF55 DFX53:DFX55 DGP53:DGP55 DHH53:DHH55 DHZ53:DHZ55 DIR53:DIR55 DJJ53:DJJ55 DKB53:DKB55 DKT53:DKT55 DLL53:DLL55 DMD53:DMD55 DMV53:DMV55 DNN53:DNN55 DOF53:DOF55 DOX53:DOX55 DPP53:DPP55 DQH53:DQH55 DQZ53:DQZ55 DRR53:DRR55 DSJ53:DSJ55 DTB53:DTB55 DTT53:DTT55 DUL53:DUL55 DVD53:DVD55 DVV53:DVV55 DWN53:DWN55 DXF53:DXF55 DXX53:DXX55 DYP53:DYP55 DZH53:DZH55 DZZ53:DZZ55 EAR53:EAR55 EBJ53:EBJ55 ECB53:ECB55 ECT53:ECT55 EDL53:EDL55 EED53:EED55 EEV53:EEV55 EFN53:EFN55 EGF53:EGF55 EGX53:EGX55 EHP53:EHP55 EIH53:EIH55 EIZ53:EIZ55 EJR53:EJR55 EKJ53:EKJ55 ELB53:ELB55 ELT53:ELT55 EML53:EML55 END53:END55 ENV53:ENV55 EON53:EON55 EPF53:EPF55 EPX53:EPX55 EQP53:EQP55 ERH53:ERH55 ERZ53:ERZ55 ESR53:ESR55 ETJ53:ETJ55 EUB53:EUB55 EUT53:EUT55 EVL53:EVL55 EWD53:EWD55 EWV53:EWV55 EXN53:EXN55 EYF53:EYF55 EYX53:EYX55 EZP53:EZP55 FAH53:FAH55 FAZ53:FAZ55 FBR53:FBR55 FCJ53:FCJ55 FDB53:FDB55 FDT53:FDT55 FEL53:FEL55 FFD53:FFD55 FFV53:FFV55 FGN53:FGN55 FHF53:FHF55 FHX53:FHX55 FIP53:FIP55 FJH53:FJH55 FJZ53:FJZ55 FKR53:FKR55 FLJ53:FLJ55 FMB53:FMB55 FMT53:FMT55 FNL53:FNL55 FOD53:FOD55 FOV53:FOV55 FPN53:FPN55 FQF53:FQF55 FQX53:FQX55 FRP53:FRP55 FSH53:FSH55 FSZ53:FSZ55 FTR53:FTR55 FUJ53:FUJ55 FVB53:FVB55 FVT53:FVT55 FWL53:FWL55 FXD53:FXD55 FXV53:FXV55 FYN53:FYN55 FZF53:FZF55 FZX53:FZX55 GAP53:GAP55 GBH53:GBH55 GBZ53:GBZ55 GCR53:GCR55 GDJ53:GDJ55 GEB53:GEB55 GET53:GET55 GFL53:GFL55 GGD53:GGD55 GGV53:GGV55 GHN53:GHN55 GIF53:GIF55 GIX53:GIX55 GJP53:GJP55 GKH53:GKH55 GKZ53:GKZ55 GLR53:GLR55 GMJ53:GMJ55 GNB53:GNB55 GNT53:GNT55 GOL53:GOL55 GPD53:GPD55 GPV53:GPV55 GQN53:GQN55 GRF53:GRF55 GRX53:GRX55 GSP53:GSP55 GTH53:GTH55 GTZ53:GTZ55 GUR53:GUR55 GVJ53:GVJ55 GWB53:GWB55 GWT53:GWT55 GXL53:GXL55 GYD53:GYD55 GYV53:GYV55 GZN53:GZN55 HAF53:HAF55 HAX53:HAX55 HBP53:HBP55 HCH53:HCH55 HCZ53:HCZ55 HDR53:HDR55 HEJ53:HEJ55 HFB53:HFB55 HFT53:HFT55 HGL53:HGL55 HHD53:HHD55 HHV53:HHV55 HIN53:HIN55 HJF53:HJF55 HJX53:HJX55 HKP53:HKP55 HLH53:HLH55 HLZ53:HLZ55 HMR53:HMR55 HNJ53:HNJ55 HOB53:HOB55 HOT53:HOT55 HPL53:HPL55 HQD53:HQD55 HQV53:HQV55 HRN53:HRN55 HSF53:HSF55 HSX53:HSX55 HTP53:HTP55 HUH53:HUH55 HUZ53:HUZ55 HVR53:HVR55 HWJ53:HWJ55 HXB53:HXB55 HXT53:HXT55 HYL53:HYL55 HZD53:HZD55 HZV53:HZV55 IAN53:IAN55 IBF53:IBF55 IBX53:IBX55 ICP53:ICP55 IDH53:IDH55 IDZ53:IDZ55 IER53:IER55 IFJ53:IFJ55 IGB53:IGB55 IGT53:IGT55 IHL53:IHL55 IID53:IID55 IIV53:IIV55 IJN53:IJN55 IKF53:IKF55 IKX53:IKX55 ILP53:ILP55 IMH53:IMH55 IMZ53:IMZ55 INR53:INR55 IOJ53:IOJ55 IPB53:IPB55 IPT53:IPT55 IQL53:IQL55 IRD53:IRD55 IRV53:IRV55 ISN53:ISN55 ITF53:ITF55 ITX53:ITX55 IUP53:IUP55 IVH53:IVH55 IVZ53:IVZ55 IWR53:IWR55 IXJ53:IXJ55 IYB53:IYB55 IYT53:IYT55 IZL53:IZL55 JAD53:JAD55 JAV53:JAV55 JBN53:JBN55 JCF53:JCF55 JCX53:JCX55 JDP53:JDP55 JEH53:JEH55 JEZ53:JEZ55 JFR53:JFR55 JGJ53:JGJ55 JHB53:JHB55 JHT53:JHT55 JIL53:JIL55 JJD53:JJD55 JJV53:JJV55 JKN53:JKN55 JLF53:JLF55 JLX53:JLX55 JMP53:JMP55 JNH53:JNH55 JNZ53:JNZ55 JOR53:JOR55 JPJ53:JPJ55 JQB53:JQB55 JQT53:JQT55 JRL53:JRL55 JSD53:JSD55 JSV53:JSV55 JTN53:JTN55 JUF53:JUF55 JUX53:JUX55 JVP53:JVP55 JWH53:JWH55 JWZ53:JWZ55 JXR53:JXR55 JYJ53:JYJ55 JZB53:JZB55 JZT53:JZT55 KAL53:KAL55 KBD53:KBD55 KBV53:KBV55 KCN53:KCN55 KDF53:KDF55 KDX53:KDX55 KEP53:KEP55 KFH53:KFH55 KFZ53:KFZ55 KGR53:KGR55 KHJ53:KHJ55 KIB53:KIB55 KIT53:KIT55 KJL53:KJL55 KKD53:KKD55 KKV53:KKV55 KLN53:KLN55 KMF53:KMF55 KMX53:KMX55 KNP53:KNP55 KOH53:KOH55 KOZ53:KOZ55 KPR53:KPR55 KQJ53:KQJ55 KRB53:KRB55 KRT53:KRT55 KSL53:KSL55 KTD53:KTD55 KTV53:KTV55 KUN53:KUN55 KVF53:KVF55 KVX53:KVX55 KWP53:KWP55 KXH53:KXH55 KXZ53:KXZ55 KYR53:KYR55 KZJ53:KZJ55 LAB53:LAB55 LAT53:LAT55 LBL53:LBL55 LCD53:LCD55 LCV53:LCV55 LDN53:LDN55 LEF53:LEF55 LEX53:LEX55 LFP53:LFP55 LGH53:LGH55 LGZ53:LGZ55 LHR53:LHR55 LIJ53:LIJ55 LJB53:LJB55 LJT53:LJT55 LKL53:LKL55 LLD53:LLD55 LLV53:LLV55 LMN53:LMN55 LNF53:LNF55 LNX53:LNX55 LOP53:LOP55 LPH53:LPH55 LPZ53:LPZ55 LQR53:LQR55 LRJ53:LRJ55 LSB53:LSB55 LST53:LST55 LTL53:LTL55 LUD53:LUD55 LUV53:LUV55 LVN53:LVN55 LWF53:LWF55 LWX53:LWX55 LXP53:LXP55 LYH53:LYH55 LYZ53:LYZ55 LZR53:LZR55 MAJ53:MAJ55 MBB53:MBB55 MBT53:MBT55 MCL53:MCL55 MDD53:MDD55 MDV53:MDV55 MEN53:MEN55 MFF53:MFF55 MFX53:MFX55 MGP53:MGP55 MHH53:MHH55 MHZ53:MHZ55 MIR53:MIR55 MJJ53:MJJ55 MKB53:MKB55 MKT53:MKT55 MLL53:MLL55 MMD53:MMD55 MMV53:MMV55 MNN53:MNN55 MOF53:MOF55 MOX53:MOX55 MPP53:MPP55 MQH53:MQH55 MQZ53:MQZ55 MRR53:MRR55 MSJ53:MSJ55 MTB53:MTB55 MTT53:MTT55 MUL53:MUL55 MVD53:MVD55 MVV53:MVV55 MWN53:MWN55 MXF53:MXF55 MXX53:MXX55 MYP53:MYP55 MZH53:MZH55 MZZ53:MZZ55 NAR53:NAR55 NBJ53:NBJ55 NCB53:NCB55 NCT53:NCT55 NDL53:NDL55 NED53:NED55 NEV53:NEV55 NFN53:NFN55 NGF53:NGF55 NGX53:NGX55 NHP53:NHP55 NIH53:NIH55 NIZ53:NIZ55 NJR53:NJR55 NKJ53:NKJ55 NLB53:NLB55 NLT53:NLT55 NML53:NML55 NND53:NND55 NNV53:NNV55 NON53:NON55 NPF53:NPF55 NPX53:NPX55 NQP53:NQP55 NRH53:NRH55 NRZ53:NRZ55 NSR53:NSR55 NTJ53:NTJ55 NUB53:NUB55 NUT53:NUT55 NVL53:NVL55 NWD53:NWD55 NWV53:NWV55 NXN53:NXN55 NYF53:NYF55 NYX53:NYX55 NZP53:NZP55 OAH53:OAH55 OAZ53:OAZ55 OBR53:OBR55 OCJ53:OCJ55 ODB53:ODB55 ODT53:ODT55 OEL53:OEL55 OFD53:OFD55 OFV53:OFV55 OGN53:OGN55 OHF53:OHF55 OHX53:OHX55 OIP53:OIP55 OJH53:OJH55 OJZ53:OJZ55 OKR53:OKR55 OLJ53:OLJ55 OMB53:OMB55 OMT53:OMT55 ONL53:ONL55 OOD53:OOD55 OOV53:OOV55 OPN53:OPN55 OQF53:OQF55 OQX53:OQX55 ORP53:ORP55 OSH53:OSH55 OSZ53:OSZ55 OTR53:OTR55 OUJ53:OUJ55 OVB53:OVB55 OVT53:OVT55 OWL53:OWL55 OXD53:OXD55 OXV53:OXV55 OYN53:OYN55 OZF53:OZF55 OZX53:OZX55 PAP53:PAP55 PBH53:PBH55 PBZ53:PBZ55 PCR53:PCR55 PDJ53:PDJ55 PEB53:PEB55 PET53:PET55 PFL53:PFL55 PGD53:PGD55 PGV53:PGV55 PHN53:PHN55 PIF53:PIF55 PIX53:PIX55 PJP53:PJP55 PKH53:PKH55 PKZ53:PKZ55 PLR53:PLR55 PMJ53:PMJ55 PNB53:PNB55 PNT53:PNT55 POL53:POL55 PPD53:PPD55 PPV53:PPV55 PQN53:PQN55 PRF53:PRF55 PRX53:PRX55 PSP53:PSP55 PTH53:PTH55 PTZ53:PTZ55 PUR53:PUR55 PVJ53:PVJ55 PWB53:PWB55 PWT53:PWT55 PXL53:PXL55 PYD53:PYD55 PYV53:PYV55 PZN53:PZN55 QAF53:QAF55 QAX53:QAX55 QBP53:QBP55 QCH53:QCH55 QCZ53:QCZ55 QDR53:QDR55 QEJ53:QEJ55 QFB53:QFB55 QFT53:QFT55 QGL53:QGL55 QHD53:QHD55 QHV53:QHV55 QIN53:QIN55 QJF53:QJF55 QJX53:QJX55 QKP53:QKP55 QLH53:QLH55 QLZ53:QLZ55 QMR53:QMR55 QNJ53:QNJ55 QOB53:QOB55 QOT53:QOT55 QPL53:QPL55 QQD53:QQD55 QQV53:QQV55 QRN53:QRN55 QSF53:QSF55 QSX53:QSX55 QTP53:QTP55 QUH53:QUH55 QUZ53:QUZ55 QVR53:QVR55 QWJ53:QWJ55 QXB53:QXB55 QXT53:QXT55 QYL53:QYL55 QZD53:QZD55 QZV53:QZV55 RAN53:RAN55 RBF53:RBF55 RBX53:RBX55 RCP53:RCP55 RDH53:RDH55 RDZ53:RDZ55 RER53:RER55 RFJ53:RFJ55 RGB53:RGB55 RGT53:RGT55 RHL53:RHL55 RID53:RID55 RIV53:RIV55 RJN53:RJN55 RKF53:RKF55 RKX53:RKX55 RLP53:RLP55 RMH53:RMH55 RMZ53:RMZ55 RNR53:RNR55 ROJ53:ROJ55 RPB53:RPB55 RPT53:RPT55 RQL53:RQL55 RRD53:RRD55 RRV53:RRV55 RSN53:RSN55 RTF53:RTF55 RTX53:RTX55 RUP53:RUP55 RVH53:RVH55 RVZ53:RVZ55 RWR53:RWR55 RXJ53:RXJ55 RYB53:RYB55 RYT53:RYT55 RZL53:RZL55 SAD53:SAD55 SAV53:SAV55 SBN53:SBN55 SCF53:SCF55 SCX53:SCX55 SDP53:SDP55 SEH53:SEH55 SEZ53:SEZ55 SFR53:SFR55 SGJ53:SGJ55 SHB53:SHB55 SHT53:SHT55 SIL53:SIL55 SJD53:SJD55 SJV53:SJV55 SKN53:SKN55 SLF53:SLF55 SLX53:SLX55 SMP53:SMP55 SNH53:SNH55 SNZ53:SNZ55 SOR53:SOR55 SPJ53:SPJ55 SQB53:SQB55 SQT53:SQT55 SRL53:SRL55 SSD53:SSD55 SSV53:SSV55 STN53:STN55 SUF53:SUF55 SUX53:SUX55 SVP53:SVP55 SWH53:SWH55 SWZ53:SWZ55 SXR53:SXR55 SYJ53:SYJ55 SZB53:SZB55 SZT53:SZT55 TAL53:TAL55 TBD53:TBD55 TBV53:TBV55 TCN53:TCN55 TDF53:TDF55 TDX53:TDX55 TEP53:TEP55 TFH53:TFH55 TFZ53:TFZ55 TGR53:TGR55 THJ53:THJ55 TIB53:TIB55 TIT53:TIT55 TJL53:TJL55 TKD53:TKD55 TKV53:TKV55 TLN53:TLN55 TMF53:TMF55 TMX53:TMX55 TNP53:TNP55 TOH53:TOH55 TOZ53:TOZ55 TPR53:TPR55 TQJ53:TQJ55 TRB53:TRB55 TRT53:TRT55 TSL53:TSL55 TTD53:TTD55 TTV53:TTV55 TUN53:TUN55 TVF53:TVF55 TVX53:TVX55 TWP53:TWP55 TXH53:TXH55 TXZ53:TXZ55 TYR53:TYR55 TZJ53:TZJ55 UAB53:UAB55 UAT53:UAT55 UBL53:UBL55 UCD53:UCD55 UCV53:UCV55 UDN53:UDN55 UEF53:UEF55 UEX53:UEX55 UFP53:UFP55 UGH53:UGH55 UGZ53:UGZ55 UHR53:UHR55 UIJ53:UIJ55 UJB53:UJB55 UJT53:UJT55 UKL53:UKL55 ULD53:ULD55 ULV53:ULV55 UMN53:UMN55 UNF53:UNF55 UNX53:UNX55 UOP53:UOP55 UPH53:UPH55 UPZ53:UPZ55 UQR53:UQR55 URJ53:URJ55 USB53:USB55 UST53:UST55 UTL53:UTL55 UUD53:UUD55 UUV53:UUV55 UVN53:UVN55 UWF53:UWF55 UWX53:UWX55 UXP53:UXP55 UYH53:UYH55 UYZ53:UYZ55 UZR53:UZR55 VAJ53:VAJ55 VBB53:VBB55 VBT53:VBT55 VCL53:VCL55 VDD53:VDD55 VDV53:VDV55 VEN53:VEN55 VFF53:VFF55 VFX53:VFX55 VGP53:VGP55 VHH53:VHH55 VHZ53:VHZ55 VIR53:VIR55 VJJ53:VJJ55 VKB53:VKB55 VKT53:VKT55 VLL53:VLL55 VMD53:VMD55 VMV53:VMV55 VNN53:VNN55 VOF53:VOF55 VOX53:VOX55 VPP53:VPP55 VQH53:VQH55 VQZ53:VQZ55 VRR53:VRR55 VSJ53:VSJ55 VTB53:VTB55 VTT53:VTT55 VUL53:VUL55 VVD53:VVD55 VVV53:VVV55 VWN53:VWN55 VXF53:VXF55 VXX53:VXX55 VYP53:VYP55 VZH53:VZH55 VZZ53:VZZ55 WAR53:WAR55 WBJ53:WBJ55 WCB53:WCB55 WCT53:WCT55 WDL53:WDL55 WED53:WED55 WEV53:WEV55 WFN53:WFN55 WGF53:WGF55 WGX53:WGX55 WHP53:WHP55 WIH53:WIH55 WIZ53:WIZ55 WJR53:WJR55 WKJ53:WKJ55 WLB53:WLB55 WLT53:WLT55 WML53:WML55 WND53:WND55 WNV53:WNV55 WON53:WON55 WPF53:WPF55 WPX53:WPX55 WQP53:WQP55 WRH53:WRH55 WRZ53:WRZ55 WSR53:WSR55 WTJ53:WTJ55 WUB53:WUB55 WUT53:WUT55 WVL53:WVL55 WWD53:WWD55 WWV53:WWV55 WXN53:WXN55 WYF53:WYF55 WYX53:WYX55 WZP53:WZP55 XAH53:XAH55 XAZ53:XAZ55 XBR53:XBR55 XCJ53:XCJ55 XDB53:XDB55 XDT53:XDT55 XEL53:XEL55 XFD53:XFD55">
    <cfRule type="cellIs" dxfId="17" priority="4" stopIfTrue="1" operator="equal">
      <formula>1</formula>
    </cfRule>
  </conditionalFormatting>
  <conditionalFormatting sqref="V59 AN59 BF59 BX59 CP59 DH59 DZ59 ER59 FJ59 GB59 GT59 HL59 ID59 IV59 JN59 KF59 KX59 LP59 MH59 MZ59 NR59 OJ59 PB59 PT59 QL59 RD59 RV59 SN59 TF59 TX59 UP59 VH59 VZ59 WR59 XJ59 YB59 YT59 ZL59 AAD59 AAV59 ABN59 ACF59 ACX59 ADP59 AEH59 AEZ59 AFR59 AGJ59 AHB59 AHT59 AIL59 AJD59 AJV59 AKN59 ALF59 ALX59 AMP59 ANH59 ANZ59 AOR59 APJ59 AQB59 AQT59 ARL59 ASD59 ASV59 ATN59 AUF59 AUX59 AVP59 AWH59 AWZ59 AXR59 AYJ59 AZB59 AZT59 BAL59 BBD59 BBV59 BCN59 BDF59 BDX59 BEP59 BFH59 BFZ59 BGR59 BHJ59 BIB59 BIT59 BJL59 BKD59 BKV59 BLN59 BMF59 BMX59 BNP59 BOH59 BOZ59 BPR59 BQJ59 BRB59 BRT59 BSL59 BTD59 BTV59 BUN59 BVF59 BVX59 BWP59 BXH59 BXZ59 BYR59 BZJ59 CAB59 CAT59 CBL59 CCD59 CCV59 CDN59 CEF59 CEX59 CFP59 CGH59 CGZ59 CHR59 CIJ59 CJB59 CJT59 CKL59 CLD59 CLV59 CMN59 CNF59 CNX59 COP59 CPH59 CPZ59 CQR59 CRJ59 CSB59 CST59 CTL59 CUD59 CUV59 CVN59 CWF59 CWX59 CXP59 CYH59 CYZ59 CZR59 DAJ59 DBB59 DBT59 DCL59 DDD59 DDV59 DEN59 DFF59 DFX59 DGP59 DHH59 DHZ59 DIR59 DJJ59 DKB59 DKT59 DLL59 DMD59 DMV59 DNN59 DOF59 DOX59 DPP59 DQH59 DQZ59 DRR59 DSJ59 DTB59 DTT59 DUL59 DVD59 DVV59 DWN59 DXF59 DXX59 DYP59 DZH59 DZZ59 EAR59 EBJ59 ECB59 ECT59 EDL59 EED59 EEV59 EFN59 EGF59 EGX59 EHP59 EIH59 EIZ59 EJR59 EKJ59 ELB59 ELT59 EML59 END59 ENV59 EON59 EPF59 EPX59 EQP59 ERH59 ERZ59 ESR59 ETJ59 EUB59 EUT59 EVL59 EWD59 EWV59 EXN59 EYF59 EYX59 EZP59 FAH59 FAZ59 FBR59 FCJ59 FDB59 FDT59 FEL59 FFD59 FFV59 FGN59 FHF59 FHX59 FIP59 FJH59 FJZ59 FKR59 FLJ59 FMB59 FMT59 FNL59 FOD59 FOV59 FPN59 FQF59 FQX59 FRP59 FSH59 FSZ59 FTR59 FUJ59 FVB59 FVT59 FWL59 FXD59 FXV59 FYN59 FZF59 FZX59 GAP59 GBH59 GBZ59 GCR59 GDJ59 GEB59 GET59 GFL59 GGD59 GGV59 GHN59 GIF59 GIX59 GJP59 GKH59 GKZ59 GLR59 GMJ59 GNB59 GNT59 GOL59 GPD59 GPV59 GQN59 GRF59 GRX59 GSP59 GTH59 GTZ59 GUR59 GVJ59 GWB59 GWT59 GXL59 GYD59 GYV59 GZN59 HAF59 HAX59 HBP59 HCH59 HCZ59 HDR59 HEJ59 HFB59 HFT59 HGL59 HHD59 HHV59 HIN59 HJF59 HJX59 HKP59 HLH59 HLZ59 HMR59 HNJ59 HOB59 HOT59 HPL59 HQD59 HQV59 HRN59 HSF59 HSX59 HTP59 HUH59 HUZ59 HVR59 HWJ59 HXB59 HXT59 HYL59 HZD59 HZV59 IAN59 IBF59 IBX59 ICP59 IDH59 IDZ59 IER59 IFJ59 IGB59 IGT59 IHL59 IID59 IIV59 IJN59 IKF59 IKX59 ILP59 IMH59 IMZ59 INR59 IOJ59 IPB59 IPT59 IQL59 IRD59 IRV59 ISN59 ITF59 ITX59 IUP59 IVH59 IVZ59 IWR59 IXJ59 IYB59 IYT59 IZL59 JAD59 JAV59 JBN59 JCF59 JCX59 JDP59 JEH59 JEZ59 JFR59 JGJ59 JHB59 JHT59 JIL59 JJD59 JJV59 JKN59 JLF59 JLX59 JMP59 JNH59 JNZ59 JOR59 JPJ59 JQB59 JQT59 JRL59 JSD59 JSV59 JTN59 JUF59 JUX59 JVP59 JWH59 JWZ59 JXR59 JYJ59 JZB59 JZT59 KAL59 KBD59 KBV59 KCN59 KDF59 KDX59 KEP59 KFH59 KFZ59 KGR59 KHJ59 KIB59 KIT59 KJL59 KKD59 KKV59 KLN59 KMF59 KMX59 KNP59 KOH59 KOZ59 KPR59 KQJ59 KRB59 KRT59 KSL59 KTD59 KTV59 KUN59 KVF59 KVX59 KWP59 KXH59 KXZ59 KYR59 KZJ59 LAB59 LAT59 LBL59 LCD59 LCV59 LDN59 LEF59 LEX59 LFP59 LGH59 LGZ59 LHR59 LIJ59 LJB59 LJT59 LKL59 LLD59 LLV59 LMN59 LNF59 LNX59 LOP59 LPH59 LPZ59 LQR59 LRJ59 LSB59 LST59 LTL59 LUD59 LUV59 LVN59 LWF59 LWX59 LXP59 LYH59 LYZ59 LZR59 MAJ59 MBB59 MBT59 MCL59 MDD59 MDV59 MEN59 MFF59 MFX59 MGP59 MHH59 MHZ59 MIR59 MJJ59 MKB59 MKT59 MLL59 MMD59 MMV59 MNN59 MOF59 MOX59 MPP59 MQH59 MQZ59 MRR59 MSJ59 MTB59 MTT59 MUL59 MVD59 MVV59 MWN59 MXF59 MXX59 MYP59 MZH59 MZZ59 NAR59 NBJ59 NCB59 NCT59 NDL59 NED59 NEV59 NFN59 NGF59 NGX59 NHP59 NIH59 NIZ59 NJR59 NKJ59 NLB59 NLT59 NML59 NND59 NNV59 NON59 NPF59 NPX59 NQP59 NRH59 NRZ59 NSR59 NTJ59 NUB59 NUT59 NVL59 NWD59 NWV59 NXN59 NYF59 NYX59 NZP59 OAH59 OAZ59 OBR59 OCJ59 ODB59 ODT59 OEL59 OFD59 OFV59 OGN59 OHF59 OHX59 OIP59 OJH59 OJZ59 OKR59 OLJ59 OMB59 OMT59 ONL59 OOD59 OOV59 OPN59 OQF59 OQX59 ORP59 OSH59 OSZ59 OTR59 OUJ59 OVB59 OVT59 OWL59 OXD59 OXV59 OYN59 OZF59 OZX59 PAP59 PBH59 PBZ59 PCR59 PDJ59 PEB59 PET59 PFL59 PGD59 PGV59 PHN59 PIF59 PIX59 PJP59 PKH59 PKZ59 PLR59 PMJ59 PNB59 PNT59 POL59 PPD59 PPV59 PQN59 PRF59 PRX59 PSP59 PTH59 PTZ59 PUR59 PVJ59 PWB59 PWT59 PXL59 PYD59 PYV59 PZN59 QAF59 QAX59 QBP59 QCH59 QCZ59 QDR59 QEJ59 QFB59 QFT59 QGL59 QHD59 QHV59 QIN59 QJF59 QJX59 QKP59 QLH59 QLZ59 QMR59 QNJ59 QOB59 QOT59 QPL59 QQD59 QQV59 QRN59 QSF59 QSX59 QTP59 QUH59 QUZ59 QVR59 QWJ59 QXB59 QXT59 QYL59 QZD59 QZV59 RAN59 RBF59 RBX59 RCP59 RDH59 RDZ59 RER59 RFJ59 RGB59 RGT59 RHL59 RID59 RIV59 RJN59 RKF59 RKX59 RLP59 RMH59 RMZ59 RNR59 ROJ59 RPB59 RPT59 RQL59 RRD59 RRV59 RSN59 RTF59 RTX59 RUP59 RVH59 RVZ59 RWR59 RXJ59 RYB59 RYT59 RZL59 SAD59 SAV59 SBN59 SCF59 SCX59 SDP59 SEH59 SEZ59 SFR59 SGJ59 SHB59 SHT59 SIL59 SJD59 SJV59 SKN59 SLF59 SLX59 SMP59 SNH59 SNZ59 SOR59 SPJ59 SQB59 SQT59 SRL59 SSD59 SSV59 STN59 SUF59 SUX59 SVP59 SWH59 SWZ59 SXR59 SYJ59 SZB59 SZT59 TAL59 TBD59 TBV59 TCN59 TDF59 TDX59 TEP59 TFH59 TFZ59 TGR59 THJ59 TIB59 TIT59 TJL59 TKD59 TKV59 TLN59 TMF59 TMX59 TNP59 TOH59 TOZ59 TPR59 TQJ59 TRB59 TRT59 TSL59 TTD59 TTV59 TUN59 TVF59 TVX59 TWP59 TXH59 TXZ59 TYR59 TZJ59 UAB59 UAT59 UBL59 UCD59 UCV59 UDN59 UEF59 UEX59 UFP59 UGH59 UGZ59 UHR59 UIJ59 UJB59 UJT59 UKL59 ULD59 ULV59 UMN59 UNF59 UNX59 UOP59 UPH59 UPZ59 UQR59 URJ59 USB59 UST59 UTL59 UUD59 UUV59 UVN59 UWF59 UWX59 UXP59 UYH59 UYZ59 UZR59 VAJ59 VBB59 VBT59 VCL59 VDD59 VDV59 VEN59 VFF59 VFX59 VGP59 VHH59 VHZ59 VIR59 VJJ59 VKB59 VKT59 VLL59 VMD59 VMV59 VNN59 VOF59 VOX59 VPP59 VQH59 VQZ59 VRR59 VSJ59 VTB59 VTT59 VUL59 VVD59 VVV59 VWN59 VXF59 VXX59 VYP59 VZH59 VZZ59 WAR59 WBJ59 WCB59 WCT59 WDL59 WED59 WEV59 WFN59 WGF59 WGX59 WHP59 WIH59 WIZ59 WJR59 WKJ59 WLB59 WLT59 WML59 WND59 WNV59 WON59 WPF59 WPX59 WQP59 WRH59 WRZ59 WSR59 WTJ59 WUB59 WUT59 WVL59 WWD59 WWV59 WXN59 WYF59 WYX59 WZP59 XAH59 XAZ59 XBR59 XCJ59 XDB59 XDT59 XEL59 XFD59">
    <cfRule type="cellIs" dxfId="16" priority="3" stopIfTrue="1" operator="equal">
      <formula>1</formula>
    </cfRule>
  </conditionalFormatting>
  <conditionalFormatting sqref="V60:V61 AN60:AN61 BF60:BF61 BX60:BX61 CP60:CP61 DH60:DH61 DZ60:DZ61 ER60:ER61 FJ60:FJ61 GB60:GB61 GT60:GT61 HL60:HL61 ID60:ID61 IV60:IV61 JN60:JN61 KF60:KF61 KX60:KX61 LP60:LP61 MH60:MH61 MZ60:MZ61 NR60:NR61 OJ60:OJ61 PB60:PB61 PT60:PT61 QL60:QL61 RD60:RD61 RV60:RV61 SN60:SN61 TF60:TF61 TX60:TX61 UP60:UP61 VH60:VH61 VZ60:VZ61 WR60:WR61 XJ60:XJ61 YB60:YB61 YT60:YT61 ZL60:ZL61 AAD60:AAD61 AAV60:AAV61 ABN60:ABN61 ACF60:ACF61 ACX60:ACX61 ADP60:ADP61 AEH60:AEH61 AEZ60:AEZ61 AFR60:AFR61 AGJ60:AGJ61 AHB60:AHB61 AHT60:AHT61 AIL60:AIL61 AJD60:AJD61 AJV60:AJV61 AKN60:AKN61 ALF60:ALF61 ALX60:ALX61 AMP60:AMP61 ANH60:ANH61 ANZ60:ANZ61 AOR60:AOR61 APJ60:APJ61 AQB60:AQB61 AQT60:AQT61 ARL60:ARL61 ASD60:ASD61 ASV60:ASV61 ATN60:ATN61 AUF60:AUF61 AUX60:AUX61 AVP60:AVP61 AWH60:AWH61 AWZ60:AWZ61 AXR60:AXR61 AYJ60:AYJ61 AZB60:AZB61 AZT60:AZT61 BAL60:BAL61 BBD60:BBD61 BBV60:BBV61 BCN60:BCN61 BDF60:BDF61 BDX60:BDX61 BEP60:BEP61 BFH60:BFH61 BFZ60:BFZ61 BGR60:BGR61 BHJ60:BHJ61 BIB60:BIB61 BIT60:BIT61 BJL60:BJL61 BKD60:BKD61 BKV60:BKV61 BLN60:BLN61 BMF60:BMF61 BMX60:BMX61 BNP60:BNP61 BOH60:BOH61 BOZ60:BOZ61 BPR60:BPR61 BQJ60:BQJ61 BRB60:BRB61 BRT60:BRT61 BSL60:BSL61 BTD60:BTD61 BTV60:BTV61 BUN60:BUN61 BVF60:BVF61 BVX60:BVX61 BWP60:BWP61 BXH60:BXH61 BXZ60:BXZ61 BYR60:BYR61 BZJ60:BZJ61 CAB60:CAB61 CAT60:CAT61 CBL60:CBL61 CCD60:CCD61 CCV60:CCV61 CDN60:CDN61 CEF60:CEF61 CEX60:CEX61 CFP60:CFP61 CGH60:CGH61 CGZ60:CGZ61 CHR60:CHR61 CIJ60:CIJ61 CJB60:CJB61 CJT60:CJT61 CKL60:CKL61 CLD60:CLD61 CLV60:CLV61 CMN60:CMN61 CNF60:CNF61 CNX60:CNX61 COP60:COP61 CPH60:CPH61 CPZ60:CPZ61 CQR60:CQR61 CRJ60:CRJ61 CSB60:CSB61 CST60:CST61 CTL60:CTL61 CUD60:CUD61 CUV60:CUV61 CVN60:CVN61 CWF60:CWF61 CWX60:CWX61 CXP60:CXP61 CYH60:CYH61 CYZ60:CYZ61 CZR60:CZR61 DAJ60:DAJ61 DBB60:DBB61 DBT60:DBT61 DCL60:DCL61 DDD60:DDD61 DDV60:DDV61 DEN60:DEN61 DFF60:DFF61 DFX60:DFX61 DGP60:DGP61 DHH60:DHH61 DHZ60:DHZ61 DIR60:DIR61 DJJ60:DJJ61 DKB60:DKB61 DKT60:DKT61 DLL60:DLL61 DMD60:DMD61 DMV60:DMV61 DNN60:DNN61 DOF60:DOF61 DOX60:DOX61 DPP60:DPP61 DQH60:DQH61 DQZ60:DQZ61 DRR60:DRR61 DSJ60:DSJ61 DTB60:DTB61 DTT60:DTT61 DUL60:DUL61 DVD60:DVD61 DVV60:DVV61 DWN60:DWN61 DXF60:DXF61 DXX60:DXX61 DYP60:DYP61 DZH60:DZH61 DZZ60:DZZ61 EAR60:EAR61 EBJ60:EBJ61 ECB60:ECB61 ECT60:ECT61 EDL60:EDL61 EED60:EED61 EEV60:EEV61 EFN60:EFN61 EGF60:EGF61 EGX60:EGX61 EHP60:EHP61 EIH60:EIH61 EIZ60:EIZ61 EJR60:EJR61 EKJ60:EKJ61 ELB60:ELB61 ELT60:ELT61 EML60:EML61 END60:END61 ENV60:ENV61 EON60:EON61 EPF60:EPF61 EPX60:EPX61 EQP60:EQP61 ERH60:ERH61 ERZ60:ERZ61 ESR60:ESR61 ETJ60:ETJ61 EUB60:EUB61 EUT60:EUT61 EVL60:EVL61 EWD60:EWD61 EWV60:EWV61 EXN60:EXN61 EYF60:EYF61 EYX60:EYX61 EZP60:EZP61 FAH60:FAH61 FAZ60:FAZ61 FBR60:FBR61 FCJ60:FCJ61 FDB60:FDB61 FDT60:FDT61 FEL60:FEL61 FFD60:FFD61 FFV60:FFV61 FGN60:FGN61 FHF60:FHF61 FHX60:FHX61 FIP60:FIP61 FJH60:FJH61 FJZ60:FJZ61 FKR60:FKR61 FLJ60:FLJ61 FMB60:FMB61 FMT60:FMT61 FNL60:FNL61 FOD60:FOD61 FOV60:FOV61 FPN60:FPN61 FQF60:FQF61 FQX60:FQX61 FRP60:FRP61 FSH60:FSH61 FSZ60:FSZ61 FTR60:FTR61 FUJ60:FUJ61 FVB60:FVB61 FVT60:FVT61 FWL60:FWL61 FXD60:FXD61 FXV60:FXV61 FYN60:FYN61 FZF60:FZF61 FZX60:FZX61 GAP60:GAP61 GBH60:GBH61 GBZ60:GBZ61 GCR60:GCR61 GDJ60:GDJ61 GEB60:GEB61 GET60:GET61 GFL60:GFL61 GGD60:GGD61 GGV60:GGV61 GHN60:GHN61 GIF60:GIF61 GIX60:GIX61 GJP60:GJP61 GKH60:GKH61 GKZ60:GKZ61 GLR60:GLR61 GMJ60:GMJ61 GNB60:GNB61 GNT60:GNT61 GOL60:GOL61 GPD60:GPD61 GPV60:GPV61 GQN60:GQN61 GRF60:GRF61 GRX60:GRX61 GSP60:GSP61 GTH60:GTH61 GTZ60:GTZ61 GUR60:GUR61 GVJ60:GVJ61 GWB60:GWB61 GWT60:GWT61 GXL60:GXL61 GYD60:GYD61 GYV60:GYV61 GZN60:GZN61 HAF60:HAF61 HAX60:HAX61 HBP60:HBP61 HCH60:HCH61 HCZ60:HCZ61 HDR60:HDR61 HEJ60:HEJ61 HFB60:HFB61 HFT60:HFT61 HGL60:HGL61 HHD60:HHD61 HHV60:HHV61 HIN60:HIN61 HJF60:HJF61 HJX60:HJX61 HKP60:HKP61 HLH60:HLH61 HLZ60:HLZ61 HMR60:HMR61 HNJ60:HNJ61 HOB60:HOB61 HOT60:HOT61 HPL60:HPL61 HQD60:HQD61 HQV60:HQV61 HRN60:HRN61 HSF60:HSF61 HSX60:HSX61 HTP60:HTP61 HUH60:HUH61 HUZ60:HUZ61 HVR60:HVR61 HWJ60:HWJ61 HXB60:HXB61 HXT60:HXT61 HYL60:HYL61 HZD60:HZD61 HZV60:HZV61 IAN60:IAN61 IBF60:IBF61 IBX60:IBX61 ICP60:ICP61 IDH60:IDH61 IDZ60:IDZ61 IER60:IER61 IFJ60:IFJ61 IGB60:IGB61 IGT60:IGT61 IHL60:IHL61 IID60:IID61 IIV60:IIV61 IJN60:IJN61 IKF60:IKF61 IKX60:IKX61 ILP60:ILP61 IMH60:IMH61 IMZ60:IMZ61 INR60:INR61 IOJ60:IOJ61 IPB60:IPB61 IPT60:IPT61 IQL60:IQL61 IRD60:IRD61 IRV60:IRV61 ISN60:ISN61 ITF60:ITF61 ITX60:ITX61 IUP60:IUP61 IVH60:IVH61 IVZ60:IVZ61 IWR60:IWR61 IXJ60:IXJ61 IYB60:IYB61 IYT60:IYT61 IZL60:IZL61 JAD60:JAD61 JAV60:JAV61 JBN60:JBN61 JCF60:JCF61 JCX60:JCX61 JDP60:JDP61 JEH60:JEH61 JEZ60:JEZ61 JFR60:JFR61 JGJ60:JGJ61 JHB60:JHB61 JHT60:JHT61 JIL60:JIL61 JJD60:JJD61 JJV60:JJV61 JKN60:JKN61 JLF60:JLF61 JLX60:JLX61 JMP60:JMP61 JNH60:JNH61 JNZ60:JNZ61 JOR60:JOR61 JPJ60:JPJ61 JQB60:JQB61 JQT60:JQT61 JRL60:JRL61 JSD60:JSD61 JSV60:JSV61 JTN60:JTN61 JUF60:JUF61 JUX60:JUX61 JVP60:JVP61 JWH60:JWH61 JWZ60:JWZ61 JXR60:JXR61 JYJ60:JYJ61 JZB60:JZB61 JZT60:JZT61 KAL60:KAL61 KBD60:KBD61 KBV60:KBV61 KCN60:KCN61 KDF60:KDF61 KDX60:KDX61 KEP60:KEP61 KFH60:KFH61 KFZ60:KFZ61 KGR60:KGR61 KHJ60:KHJ61 KIB60:KIB61 KIT60:KIT61 KJL60:KJL61 KKD60:KKD61 KKV60:KKV61 KLN60:KLN61 KMF60:KMF61 KMX60:KMX61 KNP60:KNP61 KOH60:KOH61 KOZ60:KOZ61 KPR60:KPR61 KQJ60:KQJ61 KRB60:KRB61 KRT60:KRT61 KSL60:KSL61 KTD60:KTD61 KTV60:KTV61 KUN60:KUN61 KVF60:KVF61 KVX60:KVX61 KWP60:KWP61 KXH60:KXH61 KXZ60:KXZ61 KYR60:KYR61 KZJ60:KZJ61 LAB60:LAB61 LAT60:LAT61 LBL60:LBL61 LCD60:LCD61 LCV60:LCV61 LDN60:LDN61 LEF60:LEF61 LEX60:LEX61 LFP60:LFP61 LGH60:LGH61 LGZ60:LGZ61 LHR60:LHR61 LIJ60:LIJ61 LJB60:LJB61 LJT60:LJT61 LKL60:LKL61 LLD60:LLD61 LLV60:LLV61 LMN60:LMN61 LNF60:LNF61 LNX60:LNX61 LOP60:LOP61 LPH60:LPH61 LPZ60:LPZ61 LQR60:LQR61 LRJ60:LRJ61 LSB60:LSB61 LST60:LST61 LTL60:LTL61 LUD60:LUD61 LUV60:LUV61 LVN60:LVN61 LWF60:LWF61 LWX60:LWX61 LXP60:LXP61 LYH60:LYH61 LYZ60:LYZ61 LZR60:LZR61 MAJ60:MAJ61 MBB60:MBB61 MBT60:MBT61 MCL60:MCL61 MDD60:MDD61 MDV60:MDV61 MEN60:MEN61 MFF60:MFF61 MFX60:MFX61 MGP60:MGP61 MHH60:MHH61 MHZ60:MHZ61 MIR60:MIR61 MJJ60:MJJ61 MKB60:MKB61 MKT60:MKT61 MLL60:MLL61 MMD60:MMD61 MMV60:MMV61 MNN60:MNN61 MOF60:MOF61 MOX60:MOX61 MPP60:MPP61 MQH60:MQH61 MQZ60:MQZ61 MRR60:MRR61 MSJ60:MSJ61 MTB60:MTB61 MTT60:MTT61 MUL60:MUL61 MVD60:MVD61 MVV60:MVV61 MWN60:MWN61 MXF60:MXF61 MXX60:MXX61 MYP60:MYP61 MZH60:MZH61 MZZ60:MZZ61 NAR60:NAR61 NBJ60:NBJ61 NCB60:NCB61 NCT60:NCT61 NDL60:NDL61 NED60:NED61 NEV60:NEV61 NFN60:NFN61 NGF60:NGF61 NGX60:NGX61 NHP60:NHP61 NIH60:NIH61 NIZ60:NIZ61 NJR60:NJR61 NKJ60:NKJ61 NLB60:NLB61 NLT60:NLT61 NML60:NML61 NND60:NND61 NNV60:NNV61 NON60:NON61 NPF60:NPF61 NPX60:NPX61 NQP60:NQP61 NRH60:NRH61 NRZ60:NRZ61 NSR60:NSR61 NTJ60:NTJ61 NUB60:NUB61 NUT60:NUT61 NVL60:NVL61 NWD60:NWD61 NWV60:NWV61 NXN60:NXN61 NYF60:NYF61 NYX60:NYX61 NZP60:NZP61 OAH60:OAH61 OAZ60:OAZ61 OBR60:OBR61 OCJ60:OCJ61 ODB60:ODB61 ODT60:ODT61 OEL60:OEL61 OFD60:OFD61 OFV60:OFV61 OGN60:OGN61 OHF60:OHF61 OHX60:OHX61 OIP60:OIP61 OJH60:OJH61 OJZ60:OJZ61 OKR60:OKR61 OLJ60:OLJ61 OMB60:OMB61 OMT60:OMT61 ONL60:ONL61 OOD60:OOD61 OOV60:OOV61 OPN60:OPN61 OQF60:OQF61 OQX60:OQX61 ORP60:ORP61 OSH60:OSH61 OSZ60:OSZ61 OTR60:OTR61 OUJ60:OUJ61 OVB60:OVB61 OVT60:OVT61 OWL60:OWL61 OXD60:OXD61 OXV60:OXV61 OYN60:OYN61 OZF60:OZF61 OZX60:OZX61 PAP60:PAP61 PBH60:PBH61 PBZ60:PBZ61 PCR60:PCR61 PDJ60:PDJ61 PEB60:PEB61 PET60:PET61 PFL60:PFL61 PGD60:PGD61 PGV60:PGV61 PHN60:PHN61 PIF60:PIF61 PIX60:PIX61 PJP60:PJP61 PKH60:PKH61 PKZ60:PKZ61 PLR60:PLR61 PMJ60:PMJ61 PNB60:PNB61 PNT60:PNT61 POL60:POL61 PPD60:PPD61 PPV60:PPV61 PQN60:PQN61 PRF60:PRF61 PRX60:PRX61 PSP60:PSP61 PTH60:PTH61 PTZ60:PTZ61 PUR60:PUR61 PVJ60:PVJ61 PWB60:PWB61 PWT60:PWT61 PXL60:PXL61 PYD60:PYD61 PYV60:PYV61 PZN60:PZN61 QAF60:QAF61 QAX60:QAX61 QBP60:QBP61 QCH60:QCH61 QCZ60:QCZ61 QDR60:QDR61 QEJ60:QEJ61 QFB60:QFB61 QFT60:QFT61 QGL60:QGL61 QHD60:QHD61 QHV60:QHV61 QIN60:QIN61 QJF60:QJF61 QJX60:QJX61 QKP60:QKP61 QLH60:QLH61 QLZ60:QLZ61 QMR60:QMR61 QNJ60:QNJ61 QOB60:QOB61 QOT60:QOT61 QPL60:QPL61 QQD60:QQD61 QQV60:QQV61 QRN60:QRN61 QSF60:QSF61 QSX60:QSX61 QTP60:QTP61 QUH60:QUH61 QUZ60:QUZ61 QVR60:QVR61 QWJ60:QWJ61 QXB60:QXB61 QXT60:QXT61 QYL60:QYL61 QZD60:QZD61 QZV60:QZV61 RAN60:RAN61 RBF60:RBF61 RBX60:RBX61 RCP60:RCP61 RDH60:RDH61 RDZ60:RDZ61 RER60:RER61 RFJ60:RFJ61 RGB60:RGB61 RGT60:RGT61 RHL60:RHL61 RID60:RID61 RIV60:RIV61 RJN60:RJN61 RKF60:RKF61 RKX60:RKX61 RLP60:RLP61 RMH60:RMH61 RMZ60:RMZ61 RNR60:RNR61 ROJ60:ROJ61 RPB60:RPB61 RPT60:RPT61 RQL60:RQL61 RRD60:RRD61 RRV60:RRV61 RSN60:RSN61 RTF60:RTF61 RTX60:RTX61 RUP60:RUP61 RVH60:RVH61 RVZ60:RVZ61 RWR60:RWR61 RXJ60:RXJ61 RYB60:RYB61 RYT60:RYT61 RZL60:RZL61 SAD60:SAD61 SAV60:SAV61 SBN60:SBN61 SCF60:SCF61 SCX60:SCX61 SDP60:SDP61 SEH60:SEH61 SEZ60:SEZ61 SFR60:SFR61 SGJ60:SGJ61 SHB60:SHB61 SHT60:SHT61 SIL60:SIL61 SJD60:SJD61 SJV60:SJV61 SKN60:SKN61 SLF60:SLF61 SLX60:SLX61 SMP60:SMP61 SNH60:SNH61 SNZ60:SNZ61 SOR60:SOR61 SPJ60:SPJ61 SQB60:SQB61 SQT60:SQT61 SRL60:SRL61 SSD60:SSD61 SSV60:SSV61 STN60:STN61 SUF60:SUF61 SUX60:SUX61 SVP60:SVP61 SWH60:SWH61 SWZ60:SWZ61 SXR60:SXR61 SYJ60:SYJ61 SZB60:SZB61 SZT60:SZT61 TAL60:TAL61 TBD60:TBD61 TBV60:TBV61 TCN60:TCN61 TDF60:TDF61 TDX60:TDX61 TEP60:TEP61 TFH60:TFH61 TFZ60:TFZ61 TGR60:TGR61 THJ60:THJ61 TIB60:TIB61 TIT60:TIT61 TJL60:TJL61 TKD60:TKD61 TKV60:TKV61 TLN60:TLN61 TMF60:TMF61 TMX60:TMX61 TNP60:TNP61 TOH60:TOH61 TOZ60:TOZ61 TPR60:TPR61 TQJ60:TQJ61 TRB60:TRB61 TRT60:TRT61 TSL60:TSL61 TTD60:TTD61 TTV60:TTV61 TUN60:TUN61 TVF60:TVF61 TVX60:TVX61 TWP60:TWP61 TXH60:TXH61 TXZ60:TXZ61 TYR60:TYR61 TZJ60:TZJ61 UAB60:UAB61 UAT60:UAT61 UBL60:UBL61 UCD60:UCD61 UCV60:UCV61 UDN60:UDN61 UEF60:UEF61 UEX60:UEX61 UFP60:UFP61 UGH60:UGH61 UGZ60:UGZ61 UHR60:UHR61 UIJ60:UIJ61 UJB60:UJB61 UJT60:UJT61 UKL60:UKL61 ULD60:ULD61 ULV60:ULV61 UMN60:UMN61 UNF60:UNF61 UNX60:UNX61 UOP60:UOP61 UPH60:UPH61 UPZ60:UPZ61 UQR60:UQR61 URJ60:URJ61 USB60:USB61 UST60:UST61 UTL60:UTL61 UUD60:UUD61 UUV60:UUV61 UVN60:UVN61 UWF60:UWF61 UWX60:UWX61 UXP60:UXP61 UYH60:UYH61 UYZ60:UYZ61 UZR60:UZR61 VAJ60:VAJ61 VBB60:VBB61 VBT60:VBT61 VCL60:VCL61 VDD60:VDD61 VDV60:VDV61 VEN60:VEN61 VFF60:VFF61 VFX60:VFX61 VGP60:VGP61 VHH60:VHH61 VHZ60:VHZ61 VIR60:VIR61 VJJ60:VJJ61 VKB60:VKB61 VKT60:VKT61 VLL60:VLL61 VMD60:VMD61 VMV60:VMV61 VNN60:VNN61 VOF60:VOF61 VOX60:VOX61 VPP60:VPP61 VQH60:VQH61 VQZ60:VQZ61 VRR60:VRR61 VSJ60:VSJ61 VTB60:VTB61 VTT60:VTT61 VUL60:VUL61 VVD60:VVD61 VVV60:VVV61 VWN60:VWN61 VXF60:VXF61 VXX60:VXX61 VYP60:VYP61 VZH60:VZH61 VZZ60:VZZ61 WAR60:WAR61 WBJ60:WBJ61 WCB60:WCB61 WCT60:WCT61 WDL60:WDL61 WED60:WED61 WEV60:WEV61 WFN60:WFN61 WGF60:WGF61 WGX60:WGX61 WHP60:WHP61 WIH60:WIH61 WIZ60:WIZ61 WJR60:WJR61 WKJ60:WKJ61 WLB60:WLB61 WLT60:WLT61 WML60:WML61 WND60:WND61 WNV60:WNV61 WON60:WON61 WPF60:WPF61 WPX60:WPX61 WQP60:WQP61 WRH60:WRH61 WRZ60:WRZ61 WSR60:WSR61 WTJ60:WTJ61 WUB60:WUB61 WUT60:WUT61 WVL60:WVL61 WWD60:WWD61 WWV60:WWV61 WXN60:WXN61 WYF60:WYF61 WYX60:WYX61 WZP60:WZP61 XAH60:XAH61 XAZ60:XAZ61 XBR60:XBR61 XCJ60:XCJ61 XDB60:XDB61 XDT60:XDT61 XEL60:XEL61 XFD60:XFD61">
    <cfRule type="cellIs" dxfId="15" priority="2" stopIfTrue="1" operator="equal">
      <formula>1</formula>
    </cfRule>
  </conditionalFormatting>
  <conditionalFormatting sqref="V6 AN6 BF6 BX6 CP6 DH6 DZ6 ER6 FJ6 GB6 GT6 HL6 ID6 IV6 JN6 KF6 KX6 LP6 MH6 MZ6 NR6 OJ6 PB6 PT6 QL6 RD6 RV6 SN6 TF6 TX6 UP6 VH6 VZ6 WR6 XJ6 YB6 YT6 ZL6 AAD6 AAV6 ABN6 ACF6 ACX6 ADP6 AEH6 AEZ6 AFR6 AGJ6 AHB6 AHT6 AIL6 AJD6 AJV6 AKN6 ALF6 ALX6 AMP6 ANH6 ANZ6 AOR6 APJ6 AQB6 AQT6 ARL6 ASD6 ASV6 ATN6 AUF6 AUX6 AVP6 AWH6 AWZ6 AXR6 AYJ6 AZB6 AZT6 BAL6 BBD6 BBV6 BCN6 BDF6 BDX6 BEP6 BFH6 BFZ6 BGR6 BHJ6 BIB6 BIT6 BJL6 BKD6 BKV6 BLN6 BMF6 BMX6 BNP6 BOH6 BOZ6 BPR6 BQJ6 BRB6 BRT6 BSL6 BTD6 BTV6 BUN6 BVF6 BVX6 BWP6 BXH6 BXZ6 BYR6 BZJ6 CAB6 CAT6 CBL6 CCD6 CCV6 CDN6 CEF6 CEX6 CFP6 CGH6 CGZ6 CHR6 CIJ6 CJB6 CJT6 CKL6 CLD6 CLV6 CMN6 CNF6 CNX6 COP6 CPH6 CPZ6 CQR6 CRJ6 CSB6 CST6 CTL6 CUD6 CUV6 CVN6 CWF6 CWX6 CXP6 CYH6 CYZ6 CZR6 DAJ6 DBB6 DBT6 DCL6 DDD6 DDV6 DEN6 DFF6 DFX6 DGP6 DHH6 DHZ6 DIR6 DJJ6 DKB6 DKT6 DLL6 DMD6 DMV6 DNN6 DOF6 DOX6 DPP6 DQH6 DQZ6 DRR6 DSJ6 DTB6 DTT6 DUL6 DVD6 DVV6 DWN6 DXF6 DXX6 DYP6 DZH6 DZZ6 EAR6 EBJ6 ECB6 ECT6 EDL6 EED6 EEV6 EFN6 EGF6 EGX6 EHP6 EIH6 EIZ6 EJR6 EKJ6 ELB6 ELT6 EML6 END6 ENV6 EON6 EPF6 EPX6 EQP6 ERH6 ERZ6 ESR6 ETJ6 EUB6 EUT6 EVL6 EWD6 EWV6 EXN6 EYF6 EYX6 EZP6 FAH6 FAZ6 FBR6 FCJ6 FDB6 FDT6 FEL6 FFD6 FFV6 FGN6 FHF6 FHX6 FIP6 FJH6 FJZ6 FKR6 FLJ6 FMB6 FMT6 FNL6 FOD6 FOV6 FPN6 FQF6 FQX6 FRP6 FSH6 FSZ6 FTR6 FUJ6 FVB6 FVT6 FWL6 FXD6 FXV6 FYN6 FZF6 FZX6 GAP6 GBH6 GBZ6 GCR6 GDJ6 GEB6 GET6 GFL6 GGD6 GGV6 GHN6 GIF6 GIX6 GJP6 GKH6 GKZ6 GLR6 GMJ6 GNB6 GNT6 GOL6 GPD6 GPV6 GQN6 GRF6 GRX6 GSP6 GTH6 GTZ6 GUR6 GVJ6 GWB6 GWT6 GXL6 GYD6 GYV6 GZN6 HAF6 HAX6 HBP6 HCH6 HCZ6 HDR6 HEJ6 HFB6 HFT6 HGL6 HHD6 HHV6 HIN6 HJF6 HJX6 HKP6 HLH6 HLZ6 HMR6 HNJ6 HOB6 HOT6 HPL6 HQD6 HQV6 HRN6 HSF6 HSX6 HTP6 HUH6 HUZ6 HVR6 HWJ6 HXB6 HXT6 HYL6 HZD6 HZV6 IAN6 IBF6 IBX6 ICP6 IDH6 IDZ6 IER6 IFJ6 IGB6 IGT6 IHL6 IID6 IIV6 IJN6 IKF6 IKX6 ILP6 IMH6 IMZ6 INR6 IOJ6 IPB6 IPT6 IQL6 IRD6 IRV6 ISN6 ITF6 ITX6 IUP6 IVH6 IVZ6 IWR6 IXJ6 IYB6 IYT6 IZL6 JAD6 JAV6 JBN6 JCF6 JCX6 JDP6 JEH6 JEZ6 JFR6 JGJ6 JHB6 JHT6 JIL6 JJD6 JJV6 JKN6 JLF6 JLX6 JMP6 JNH6 JNZ6 JOR6 JPJ6 JQB6 JQT6 JRL6 JSD6 JSV6 JTN6 JUF6 JUX6 JVP6 JWH6 JWZ6 JXR6 JYJ6 JZB6 JZT6 KAL6 KBD6 KBV6 KCN6 KDF6 KDX6 KEP6 KFH6 KFZ6 KGR6 KHJ6 KIB6 KIT6 KJL6 KKD6 KKV6 KLN6 KMF6 KMX6 KNP6 KOH6 KOZ6 KPR6 KQJ6 KRB6 KRT6 KSL6 KTD6 KTV6 KUN6 KVF6 KVX6 KWP6 KXH6 KXZ6 KYR6 KZJ6 LAB6 LAT6 LBL6 LCD6 LCV6 LDN6 LEF6 LEX6 LFP6 LGH6 LGZ6 LHR6 LIJ6 LJB6 LJT6 LKL6 LLD6 LLV6 LMN6 LNF6 LNX6 LOP6 LPH6 LPZ6 LQR6 LRJ6 LSB6 LST6 LTL6 LUD6 LUV6 LVN6 LWF6 LWX6 LXP6 LYH6 LYZ6 LZR6 MAJ6 MBB6 MBT6 MCL6 MDD6 MDV6 MEN6 MFF6 MFX6 MGP6 MHH6 MHZ6 MIR6 MJJ6 MKB6 MKT6 MLL6 MMD6 MMV6 MNN6 MOF6 MOX6 MPP6 MQH6 MQZ6 MRR6 MSJ6 MTB6 MTT6 MUL6 MVD6 MVV6 MWN6 MXF6 MXX6 MYP6 MZH6 MZZ6 NAR6 NBJ6 NCB6 NCT6 NDL6 NED6 NEV6 NFN6 NGF6 NGX6 NHP6 NIH6 NIZ6 NJR6 NKJ6 NLB6 NLT6 NML6 NND6 NNV6 NON6 NPF6 NPX6 NQP6 NRH6 NRZ6 NSR6 NTJ6 NUB6 NUT6 NVL6 NWD6 NWV6 NXN6 NYF6 NYX6 NZP6 OAH6 OAZ6 OBR6 OCJ6 ODB6 ODT6 OEL6 OFD6 OFV6 OGN6 OHF6 OHX6 OIP6 OJH6 OJZ6 OKR6 OLJ6 OMB6 OMT6 ONL6 OOD6 OOV6 OPN6 OQF6 OQX6 ORP6 OSH6 OSZ6 OTR6 OUJ6 OVB6 OVT6 OWL6 OXD6 OXV6 OYN6 OZF6 OZX6 PAP6 PBH6 PBZ6 PCR6 PDJ6 PEB6 PET6 PFL6 PGD6 PGV6 PHN6 PIF6 PIX6 PJP6 PKH6 PKZ6 PLR6 PMJ6 PNB6 PNT6 POL6 PPD6 PPV6 PQN6 PRF6 PRX6 PSP6 PTH6 PTZ6 PUR6 PVJ6 PWB6 PWT6 PXL6 PYD6 PYV6 PZN6 QAF6 QAX6 QBP6 QCH6 QCZ6 QDR6 QEJ6 QFB6 QFT6 QGL6 QHD6 QHV6 QIN6 QJF6 QJX6 QKP6 QLH6 QLZ6 QMR6 QNJ6 QOB6 QOT6 QPL6 QQD6 QQV6 QRN6 QSF6 QSX6 QTP6 QUH6 QUZ6 QVR6 QWJ6 QXB6 QXT6 QYL6 QZD6 QZV6 RAN6 RBF6 RBX6 RCP6 RDH6 RDZ6 RER6 RFJ6 RGB6 RGT6 RHL6 RID6 RIV6 RJN6 RKF6 RKX6 RLP6 RMH6 RMZ6 RNR6 ROJ6 RPB6 RPT6 RQL6 RRD6 RRV6 RSN6 RTF6 RTX6 RUP6 RVH6 RVZ6 RWR6 RXJ6 RYB6 RYT6 RZL6 SAD6 SAV6 SBN6 SCF6 SCX6 SDP6 SEH6 SEZ6 SFR6 SGJ6 SHB6 SHT6 SIL6 SJD6 SJV6 SKN6 SLF6 SLX6 SMP6 SNH6 SNZ6 SOR6 SPJ6 SQB6 SQT6 SRL6 SSD6 SSV6 STN6 SUF6 SUX6 SVP6 SWH6 SWZ6 SXR6 SYJ6 SZB6 SZT6 TAL6 TBD6 TBV6 TCN6 TDF6 TDX6 TEP6 TFH6 TFZ6 TGR6 THJ6 TIB6 TIT6 TJL6 TKD6 TKV6 TLN6 TMF6 TMX6 TNP6 TOH6 TOZ6 TPR6 TQJ6 TRB6 TRT6 TSL6 TTD6 TTV6 TUN6 TVF6 TVX6 TWP6 TXH6 TXZ6 TYR6 TZJ6 UAB6 UAT6 UBL6 UCD6 UCV6 UDN6 UEF6 UEX6 UFP6 UGH6 UGZ6 UHR6 UIJ6 UJB6 UJT6 UKL6 ULD6 ULV6 UMN6 UNF6 UNX6 UOP6 UPH6 UPZ6 UQR6 URJ6 USB6 UST6 UTL6 UUD6 UUV6 UVN6 UWF6 UWX6 UXP6 UYH6 UYZ6 UZR6 VAJ6 VBB6 VBT6 VCL6 VDD6 VDV6 VEN6 VFF6 VFX6 VGP6 VHH6 VHZ6 VIR6 VJJ6 VKB6 VKT6 VLL6 VMD6 VMV6 VNN6 VOF6 VOX6 VPP6 VQH6 VQZ6 VRR6 VSJ6 VTB6 VTT6 VUL6 VVD6 VVV6 VWN6 VXF6 VXX6 VYP6 VZH6 VZZ6 WAR6 WBJ6 WCB6 WCT6 WDL6 WED6 WEV6 WFN6 WGF6 WGX6 WHP6 WIH6 WIZ6 WJR6 WKJ6 WLB6 WLT6 WML6 WND6 WNV6 WON6 WPF6 WPX6 WQP6 WRH6 WRZ6 WSR6 WTJ6 WUB6 WUT6 WVL6 WWD6 WWV6 WXN6 WYF6 WYX6 WZP6 XAH6 XAZ6 XBR6 XCJ6 XDB6 XDT6 XEL6 XFD6">
    <cfRule type="cellIs" dxfId="14" priority="1" stopIfTrue="1" operator="equal">
      <formula>1</formula>
    </cfRule>
  </conditionalFormatting>
  <hyperlinks>
    <hyperlink ref="A229" r:id="rId1"/>
    <hyperlink ref="A231" r:id="rId2"/>
    <hyperlink ref="J67" r:id="rId3"/>
    <hyperlink ref="J5" r:id="rId4"/>
    <hyperlink ref="J11" r:id="rId5"/>
    <hyperlink ref="J172" r:id="rId6"/>
    <hyperlink ref="J89" r:id="rId7" display="http://eiti.org/files/EITI-2010-2011-oil-final.pdf; "/>
    <hyperlink ref="J87" r:id="rId8"/>
    <hyperlink ref="J88" r:id="rId9" display="http://eiti.org/files/EITI-2010-2011-oil-final.pdf; "/>
  </hyperlinks>
  <pageMargins left="0.7" right="0.7" top="0.75" bottom="0.75" header="0.3" footer="0.3"/>
  <pageSetup paperSize="9" orientation="portrait"/>
  <legacy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268"/>
  <sheetViews>
    <sheetView topLeftCell="A242" workbookViewId="0">
      <selection activeCell="B176" sqref="B176"/>
    </sheetView>
  </sheetViews>
  <sheetFormatPr defaultRowHeight="15"/>
  <cols>
    <col min="1" max="1" width="34.5703125" bestFit="1" customWidth="1"/>
  </cols>
  <sheetData>
    <row r="3" spans="1:1">
      <c r="A3" s="802" t="s">
        <v>3069</v>
      </c>
    </row>
    <row r="4" spans="1:1">
      <c r="A4" s="30" t="s">
        <v>21</v>
      </c>
    </row>
    <row r="5" spans="1:1">
      <c r="A5" s="803" t="s">
        <v>20</v>
      </c>
    </row>
    <row r="6" spans="1:1">
      <c r="A6" s="803" t="s">
        <v>29</v>
      </c>
    </row>
    <row r="7" spans="1:1">
      <c r="A7" s="803" t="s">
        <v>30</v>
      </c>
    </row>
    <row r="8" spans="1:1">
      <c r="A8" s="803" t="s">
        <v>33</v>
      </c>
    </row>
    <row r="9" spans="1:1">
      <c r="A9" s="30" t="s">
        <v>659</v>
      </c>
    </row>
    <row r="10" spans="1:1">
      <c r="A10" s="803" t="s">
        <v>37</v>
      </c>
    </row>
    <row r="11" spans="1:1">
      <c r="A11" s="803" t="s">
        <v>43</v>
      </c>
    </row>
    <row r="12" spans="1:1">
      <c r="A12" s="803" t="s">
        <v>46</v>
      </c>
    </row>
    <row r="13" spans="1:1">
      <c r="A13" s="803" t="s">
        <v>49</v>
      </c>
    </row>
    <row r="14" spans="1:1">
      <c r="A14" s="30" t="s">
        <v>53</v>
      </c>
    </row>
    <row r="15" spans="1:1">
      <c r="A15" s="803" t="s">
        <v>52</v>
      </c>
    </row>
    <row r="16" spans="1:1">
      <c r="A16" s="803" t="s">
        <v>57</v>
      </c>
    </row>
    <row r="17" spans="1:1">
      <c r="A17" s="803" t="s">
        <v>60</v>
      </c>
    </row>
    <row r="18" spans="1:1">
      <c r="A18" s="803" t="s">
        <v>63</v>
      </c>
    </row>
    <row r="19" spans="1:1">
      <c r="A19" s="803" t="s">
        <v>66</v>
      </c>
    </row>
    <row r="20" spans="1:1">
      <c r="A20" s="803" t="s">
        <v>69</v>
      </c>
    </row>
    <row r="21" spans="1:1">
      <c r="A21" s="803" t="s">
        <v>72</v>
      </c>
    </row>
    <row r="22" spans="1:1">
      <c r="A22" s="803" t="s">
        <v>75</v>
      </c>
    </row>
    <row r="23" spans="1:1">
      <c r="A23" s="803" t="s">
        <v>78</v>
      </c>
    </row>
    <row r="24" spans="1:1">
      <c r="A24" s="803" t="s">
        <v>81</v>
      </c>
    </row>
    <row r="25" spans="1:1">
      <c r="A25" s="30" t="s">
        <v>85</v>
      </c>
    </row>
    <row r="26" spans="1:1">
      <c r="A26" s="803" t="s">
        <v>84</v>
      </c>
    </row>
    <row r="27" spans="1:1">
      <c r="A27" s="803" t="s">
        <v>89</v>
      </c>
    </row>
    <row r="28" spans="1:1">
      <c r="A28" s="803" t="s">
        <v>91</v>
      </c>
    </row>
    <row r="29" spans="1:1">
      <c r="A29" s="803" t="s">
        <v>94</v>
      </c>
    </row>
    <row r="30" spans="1:1">
      <c r="A30" s="803" t="s">
        <v>97</v>
      </c>
    </row>
    <row r="31" spans="1:1">
      <c r="A31" s="30" t="s">
        <v>101</v>
      </c>
    </row>
    <row r="32" spans="1:1">
      <c r="A32" s="803" t="s">
        <v>100</v>
      </c>
    </row>
    <row r="33" spans="1:1">
      <c r="A33" s="803" t="s">
        <v>105</v>
      </c>
    </row>
    <row r="34" spans="1:1">
      <c r="A34" s="803" t="s">
        <v>106</v>
      </c>
    </row>
    <row r="35" spans="1:1">
      <c r="A35" s="803" t="s">
        <v>107</v>
      </c>
    </row>
    <row r="36" spans="1:1">
      <c r="A36" s="803" t="s">
        <v>108</v>
      </c>
    </row>
    <row r="37" spans="1:1">
      <c r="A37" s="803" t="s">
        <v>111</v>
      </c>
    </row>
    <row r="38" spans="1:1">
      <c r="A38" s="803" t="s">
        <v>114</v>
      </c>
    </row>
    <row r="39" spans="1:1">
      <c r="A39" s="803" t="s">
        <v>115</v>
      </c>
    </row>
    <row r="40" spans="1:1">
      <c r="A40" s="803" t="s">
        <v>116</v>
      </c>
    </row>
    <row r="41" spans="1:1">
      <c r="A41" s="803" t="s">
        <v>119</v>
      </c>
    </row>
    <row r="42" spans="1:1">
      <c r="A42" s="803" t="s">
        <v>121</v>
      </c>
    </row>
    <row r="43" spans="1:1">
      <c r="A43" s="803" t="s">
        <v>124</v>
      </c>
    </row>
    <row r="44" spans="1:1">
      <c r="A44" s="30" t="s">
        <v>975</v>
      </c>
    </row>
    <row r="45" spans="1:1">
      <c r="A45" s="803" t="s">
        <v>126</v>
      </c>
    </row>
    <row r="46" spans="1:1">
      <c r="A46" s="803" t="s">
        <v>130</v>
      </c>
    </row>
    <row r="47" spans="1:1">
      <c r="A47" s="803" t="s">
        <v>133</v>
      </c>
    </row>
    <row r="48" spans="1:1">
      <c r="A48" s="803" t="s">
        <v>134</v>
      </c>
    </row>
    <row r="49" spans="1:1">
      <c r="A49" s="803" t="s">
        <v>135</v>
      </c>
    </row>
    <row r="50" spans="1:1">
      <c r="A50" s="30" t="s">
        <v>996</v>
      </c>
    </row>
    <row r="51" spans="1:1">
      <c r="A51" s="803" t="s">
        <v>137</v>
      </c>
    </row>
    <row r="52" spans="1:1">
      <c r="A52" s="803" t="s">
        <v>140</v>
      </c>
    </row>
    <row r="53" spans="1:1">
      <c r="A53" s="803" t="s">
        <v>142</v>
      </c>
    </row>
    <row r="54" spans="1:1">
      <c r="A54" s="803" t="s">
        <v>144</v>
      </c>
    </row>
    <row r="55" spans="1:1">
      <c r="A55" s="803" t="s">
        <v>147</v>
      </c>
    </row>
    <row r="56" spans="1:1">
      <c r="A56" s="803" t="s">
        <v>149</v>
      </c>
    </row>
    <row r="57" spans="1:1">
      <c r="A57" s="30" t="s">
        <v>1027</v>
      </c>
    </row>
    <row r="58" spans="1:1">
      <c r="A58" s="803" t="s">
        <v>152</v>
      </c>
    </row>
    <row r="59" spans="1:1">
      <c r="A59" s="803" t="s">
        <v>156</v>
      </c>
    </row>
    <row r="60" spans="1:1">
      <c r="A60" s="803" t="s">
        <v>158</v>
      </c>
    </row>
    <row r="61" spans="1:1">
      <c r="A61" s="803" t="s">
        <v>161</v>
      </c>
    </row>
    <row r="62" spans="1:1">
      <c r="A62" s="803" t="s">
        <v>163</v>
      </c>
    </row>
    <row r="63" spans="1:1">
      <c r="A63" s="803" t="s">
        <v>165</v>
      </c>
    </row>
    <row r="64" spans="1:1">
      <c r="A64" s="803" t="s">
        <v>167</v>
      </c>
    </row>
    <row r="65" spans="1:1">
      <c r="A65" s="30" t="s">
        <v>1058</v>
      </c>
    </row>
    <row r="66" spans="1:1">
      <c r="A66" s="803" t="s">
        <v>170</v>
      </c>
    </row>
    <row r="67" spans="1:1">
      <c r="A67" s="803" t="s">
        <v>174</v>
      </c>
    </row>
    <row r="68" spans="1:1">
      <c r="A68" s="803" t="s">
        <v>177</v>
      </c>
    </row>
    <row r="69" spans="1:1">
      <c r="A69" s="803" t="s">
        <v>179</v>
      </c>
    </row>
    <row r="70" spans="1:1">
      <c r="A70" s="803" t="s">
        <v>182</v>
      </c>
    </row>
    <row r="71" spans="1:1">
      <c r="A71" s="803" t="s">
        <v>184</v>
      </c>
    </row>
    <row r="72" spans="1:1">
      <c r="A72" s="30" t="s">
        <v>188</v>
      </c>
    </row>
    <row r="73" spans="1:1">
      <c r="A73" s="803" t="s">
        <v>187</v>
      </c>
    </row>
    <row r="74" spans="1:1">
      <c r="A74" s="803" t="s">
        <v>189</v>
      </c>
    </row>
    <row r="75" spans="1:1">
      <c r="A75" s="30" t="s">
        <v>191</v>
      </c>
    </row>
    <row r="76" spans="1:1">
      <c r="A76" s="803" t="s">
        <v>190</v>
      </c>
    </row>
    <row r="77" spans="1:1">
      <c r="A77" s="803" t="s">
        <v>192</v>
      </c>
    </row>
    <row r="78" spans="1:1">
      <c r="A78" s="803" t="s">
        <v>193</v>
      </c>
    </row>
    <row r="79" spans="1:1">
      <c r="A79" s="30" t="s">
        <v>1129</v>
      </c>
    </row>
    <row r="80" spans="1:1">
      <c r="A80" s="803" t="s">
        <v>194</v>
      </c>
    </row>
    <row r="81" spans="1:1">
      <c r="A81" s="803" t="s">
        <v>198</v>
      </c>
    </row>
    <row r="82" spans="1:1">
      <c r="A82" s="803" t="s">
        <v>201</v>
      </c>
    </row>
    <row r="83" spans="1:1">
      <c r="A83" s="803" t="s">
        <v>204</v>
      </c>
    </row>
    <row r="84" spans="1:1">
      <c r="A84" s="803" t="s">
        <v>206</v>
      </c>
    </row>
    <row r="85" spans="1:1">
      <c r="A85" s="803" t="s">
        <v>208</v>
      </c>
    </row>
    <row r="86" spans="1:1">
      <c r="A86" s="803" t="s">
        <v>211</v>
      </c>
    </row>
    <row r="87" spans="1:1">
      <c r="A87" s="803" t="s">
        <v>214</v>
      </c>
    </row>
    <row r="88" spans="1:1">
      <c r="A88" s="803" t="s">
        <v>215</v>
      </c>
    </row>
    <row r="89" spans="1:1">
      <c r="A89" s="803" t="s">
        <v>217</v>
      </c>
    </row>
    <row r="90" spans="1:1">
      <c r="A90" s="30" t="s">
        <v>219</v>
      </c>
    </row>
    <row r="91" spans="1:1">
      <c r="A91" s="803" t="s">
        <v>218</v>
      </c>
    </row>
    <row r="92" spans="1:1">
      <c r="A92" s="803" t="s">
        <v>222</v>
      </c>
    </row>
    <row r="93" spans="1:1">
      <c r="A93" s="30" t="s">
        <v>225</v>
      </c>
    </row>
    <row r="94" spans="1:1">
      <c r="A94" s="803" t="s">
        <v>224</v>
      </c>
    </row>
    <row r="95" spans="1:1">
      <c r="A95" s="803" t="s">
        <v>227</v>
      </c>
    </row>
    <row r="96" spans="1:1">
      <c r="A96" s="803" t="s">
        <v>230</v>
      </c>
    </row>
    <row r="97" spans="1:1">
      <c r="A97" s="803" t="s">
        <v>232</v>
      </c>
    </row>
    <row r="98" spans="1:1">
      <c r="A98" s="803" t="s">
        <v>234</v>
      </c>
    </row>
    <row r="99" spans="1:1">
      <c r="A99" s="803" t="s">
        <v>236</v>
      </c>
    </row>
    <row r="100" spans="1:1">
      <c r="A100" s="803" t="s">
        <v>238</v>
      </c>
    </row>
    <row r="101" spans="1:1">
      <c r="A101" s="803" t="s">
        <v>240</v>
      </c>
    </row>
    <row r="102" spans="1:1">
      <c r="A102" s="30" t="s">
        <v>1305</v>
      </c>
    </row>
    <row r="103" spans="1:1">
      <c r="A103" s="803" t="s">
        <v>242</v>
      </c>
    </row>
    <row r="104" spans="1:1">
      <c r="A104" s="803" t="s">
        <v>246</v>
      </c>
    </row>
    <row r="105" spans="1:1">
      <c r="A105" s="803" t="s">
        <v>249</v>
      </c>
    </row>
    <row r="106" spans="1:1">
      <c r="A106" s="30" t="s">
        <v>1366</v>
      </c>
    </row>
    <row r="107" spans="1:1">
      <c r="A107" s="803" t="s">
        <v>250</v>
      </c>
    </row>
    <row r="108" spans="1:1">
      <c r="A108" s="803" t="s">
        <v>255</v>
      </c>
    </row>
    <row r="109" spans="1:1">
      <c r="A109" s="803" t="s">
        <v>257</v>
      </c>
    </row>
    <row r="110" spans="1:1">
      <c r="A110" s="803" t="s">
        <v>259</v>
      </c>
    </row>
    <row r="111" spans="1:1">
      <c r="A111" s="30" t="s">
        <v>1389</v>
      </c>
    </row>
    <row r="112" spans="1:1">
      <c r="A112" s="803" t="s">
        <v>1388</v>
      </c>
    </row>
    <row r="113" spans="1:1">
      <c r="A113" s="803" t="s">
        <v>266</v>
      </c>
    </row>
    <row r="114" spans="1:1">
      <c r="A114" s="803" t="s">
        <v>269</v>
      </c>
    </row>
    <row r="115" spans="1:1">
      <c r="A115" s="803" t="s">
        <v>271</v>
      </c>
    </row>
    <row r="116" spans="1:1">
      <c r="A116" s="803" t="s">
        <v>273</v>
      </c>
    </row>
    <row r="117" spans="1:1">
      <c r="A117" s="803" t="s">
        <v>275</v>
      </c>
    </row>
    <row r="118" spans="1:1">
      <c r="A118" s="803" t="s">
        <v>277</v>
      </c>
    </row>
    <row r="119" spans="1:1">
      <c r="A119" s="803" t="s">
        <v>279</v>
      </c>
    </row>
    <row r="120" spans="1:1">
      <c r="A120" s="803" t="s">
        <v>282</v>
      </c>
    </row>
    <row r="121" spans="1:1">
      <c r="A121" s="30" t="s">
        <v>1479</v>
      </c>
    </row>
    <row r="122" spans="1:1">
      <c r="A122" s="803" t="s">
        <v>284</v>
      </c>
    </row>
    <row r="123" spans="1:1">
      <c r="A123" s="803" t="s">
        <v>287</v>
      </c>
    </row>
    <row r="124" spans="1:1">
      <c r="A124" s="803" t="s">
        <v>288</v>
      </c>
    </row>
    <row r="125" spans="1:1">
      <c r="A125" s="803" t="s">
        <v>289</v>
      </c>
    </row>
    <row r="126" spans="1:1">
      <c r="A126" s="803" t="s">
        <v>290</v>
      </c>
    </row>
    <row r="127" spans="1:1">
      <c r="A127" s="803" t="s">
        <v>291</v>
      </c>
    </row>
    <row r="128" spans="1:1">
      <c r="A128" s="803" t="s">
        <v>294</v>
      </c>
    </row>
    <row r="129" spans="1:1">
      <c r="A129" s="803" t="s">
        <v>295</v>
      </c>
    </row>
    <row r="130" spans="1:1">
      <c r="A130" s="803" t="s">
        <v>297</v>
      </c>
    </row>
    <row r="131" spans="1:1">
      <c r="A131" s="30" t="s">
        <v>1586</v>
      </c>
    </row>
    <row r="132" spans="1:1">
      <c r="A132" s="803" t="s">
        <v>300</v>
      </c>
    </row>
    <row r="133" spans="1:1">
      <c r="A133" s="803" t="s">
        <v>305</v>
      </c>
    </row>
    <row r="134" spans="1:1">
      <c r="A134" s="803" t="s">
        <v>308</v>
      </c>
    </row>
    <row r="135" spans="1:1">
      <c r="A135" s="803" t="s">
        <v>311</v>
      </c>
    </row>
    <row r="136" spans="1:1">
      <c r="A136" s="803" t="s">
        <v>313</v>
      </c>
    </row>
    <row r="137" spans="1:1">
      <c r="A137" s="30" t="s">
        <v>316</v>
      </c>
    </row>
    <row r="138" spans="1:1">
      <c r="A138" s="803" t="s">
        <v>315</v>
      </c>
    </row>
    <row r="139" spans="1:1">
      <c r="A139" s="803" t="s">
        <v>318</v>
      </c>
    </row>
    <row r="140" spans="1:1">
      <c r="A140" s="803" t="s">
        <v>320</v>
      </c>
    </row>
    <row r="141" spans="1:1">
      <c r="A141" s="803" t="s">
        <v>322</v>
      </c>
    </row>
    <row r="142" spans="1:1">
      <c r="A142" s="803" t="s">
        <v>325</v>
      </c>
    </row>
    <row r="143" spans="1:1">
      <c r="A143" s="30" t="s">
        <v>329</v>
      </c>
    </row>
    <row r="144" spans="1:1">
      <c r="A144" s="803" t="s">
        <v>328</v>
      </c>
    </row>
    <row r="145" spans="1:1">
      <c r="A145" s="803" t="s">
        <v>331</v>
      </c>
    </row>
    <row r="146" spans="1:1">
      <c r="A146" s="803" t="s">
        <v>333</v>
      </c>
    </row>
    <row r="147" spans="1:1">
      <c r="A147" s="803" t="s">
        <v>335</v>
      </c>
    </row>
    <row r="148" spans="1:1">
      <c r="A148" s="803" t="s">
        <v>338</v>
      </c>
    </row>
    <row r="149" spans="1:1">
      <c r="A149" s="803" t="s">
        <v>340</v>
      </c>
    </row>
    <row r="150" spans="1:1">
      <c r="A150" s="803" t="s">
        <v>342</v>
      </c>
    </row>
    <row r="151" spans="1:1">
      <c r="A151" s="30" t="s">
        <v>345</v>
      </c>
    </row>
    <row r="152" spans="1:1">
      <c r="A152" s="803" t="s">
        <v>344</v>
      </c>
    </row>
    <row r="153" spans="1:1">
      <c r="A153" s="803" t="s">
        <v>347</v>
      </c>
    </row>
    <row r="154" spans="1:1">
      <c r="A154" s="803" t="s">
        <v>350</v>
      </c>
    </row>
    <row r="155" spans="1:1">
      <c r="A155" s="803" t="s">
        <v>353</v>
      </c>
    </row>
    <row r="156" spans="1:1">
      <c r="A156" s="803" t="s">
        <v>354</v>
      </c>
    </row>
    <row r="157" spans="1:1">
      <c r="A157" s="803" t="s">
        <v>357</v>
      </c>
    </row>
    <row r="158" spans="1:1">
      <c r="A158" s="803" t="s">
        <v>359</v>
      </c>
    </row>
    <row r="159" spans="1:1">
      <c r="A159" s="803" t="s">
        <v>361</v>
      </c>
    </row>
    <row r="160" spans="1:1">
      <c r="A160" s="30" t="s">
        <v>364</v>
      </c>
    </row>
    <row r="161" spans="1:1">
      <c r="A161" s="803" t="s">
        <v>382</v>
      </c>
    </row>
    <row r="162" spans="1:1">
      <c r="A162" s="30" t="s">
        <v>1744</v>
      </c>
    </row>
    <row r="163" spans="1:1">
      <c r="A163" s="803" t="s">
        <v>363</v>
      </c>
    </row>
    <row r="164" spans="1:1">
      <c r="A164" s="803" t="s">
        <v>1743</v>
      </c>
    </row>
    <row r="165" spans="1:1">
      <c r="A165" s="803" t="s">
        <v>367</v>
      </c>
    </row>
    <row r="166" spans="1:1">
      <c r="A166" s="803" t="s">
        <v>370</v>
      </c>
    </row>
    <row r="167" spans="1:1">
      <c r="A167" s="803" t="s">
        <v>373</v>
      </c>
    </row>
    <row r="168" spans="1:1">
      <c r="A168" s="803" t="s">
        <v>375</v>
      </c>
    </row>
    <row r="169" spans="1:1">
      <c r="A169" s="803" t="s">
        <v>377</v>
      </c>
    </row>
    <row r="170" spans="1:1">
      <c r="A170" s="803" t="s">
        <v>380</v>
      </c>
    </row>
    <row r="171" spans="1:1">
      <c r="A171" s="30" t="s">
        <v>1858</v>
      </c>
    </row>
    <row r="172" spans="1:1">
      <c r="A172" s="803" t="s">
        <v>384</v>
      </c>
    </row>
    <row r="173" spans="1:1">
      <c r="A173" s="803" t="s">
        <v>388</v>
      </c>
    </row>
    <row r="174" spans="1:1">
      <c r="A174" s="803" t="s">
        <v>391</v>
      </c>
    </row>
    <row r="175" spans="1:1">
      <c r="A175" s="803" t="s">
        <v>1907</v>
      </c>
    </row>
    <row r="176" spans="1:1">
      <c r="A176" s="30" t="s">
        <v>394</v>
      </c>
    </row>
    <row r="177" spans="1:1">
      <c r="A177" s="803" t="s">
        <v>393</v>
      </c>
    </row>
    <row r="178" spans="1:1">
      <c r="A178" s="803" t="s">
        <v>397</v>
      </c>
    </row>
    <row r="179" spans="1:1">
      <c r="A179" s="803" t="s">
        <v>399</v>
      </c>
    </row>
    <row r="180" spans="1:1">
      <c r="A180" s="803" t="s">
        <v>402</v>
      </c>
    </row>
    <row r="181" spans="1:1">
      <c r="A181" s="803" t="s">
        <v>404</v>
      </c>
    </row>
    <row r="182" spans="1:1">
      <c r="A182" s="803" t="s">
        <v>406</v>
      </c>
    </row>
    <row r="183" spans="1:1">
      <c r="A183" s="803" t="s">
        <v>408</v>
      </c>
    </row>
    <row r="184" spans="1:1">
      <c r="A184" s="803" t="s">
        <v>410</v>
      </c>
    </row>
    <row r="185" spans="1:1">
      <c r="A185" s="30" t="s">
        <v>413</v>
      </c>
    </row>
    <row r="186" spans="1:1">
      <c r="A186" s="803" t="s">
        <v>412</v>
      </c>
    </row>
    <row r="187" spans="1:1">
      <c r="A187" s="803" t="s">
        <v>415</v>
      </c>
    </row>
    <row r="188" spans="1:1">
      <c r="A188" s="803" t="s">
        <v>416</v>
      </c>
    </row>
    <row r="189" spans="1:1">
      <c r="A189" s="803" t="s">
        <v>417</v>
      </c>
    </row>
    <row r="190" spans="1:1">
      <c r="A190" s="803" t="s">
        <v>418</v>
      </c>
    </row>
    <row r="191" spans="1:1">
      <c r="A191" s="803" t="s">
        <v>419</v>
      </c>
    </row>
    <row r="192" spans="1:1">
      <c r="A192" s="803" t="s">
        <v>420</v>
      </c>
    </row>
    <row r="193" spans="1:1">
      <c r="A193" s="803" t="s">
        <v>423</v>
      </c>
    </row>
    <row r="194" spans="1:1">
      <c r="A194" s="803" t="s">
        <v>425</v>
      </c>
    </row>
    <row r="195" spans="1:1">
      <c r="A195" s="803" t="s">
        <v>426</v>
      </c>
    </row>
    <row r="196" spans="1:1">
      <c r="A196" s="803" t="s">
        <v>427</v>
      </c>
    </row>
    <row r="197" spans="1:1">
      <c r="A197" s="803" t="s">
        <v>429</v>
      </c>
    </row>
    <row r="198" spans="1:1">
      <c r="A198" s="803" t="s">
        <v>430</v>
      </c>
    </row>
    <row r="199" spans="1:1">
      <c r="A199" s="803" t="s">
        <v>433</v>
      </c>
    </row>
    <row r="200" spans="1:1">
      <c r="A200" s="30" t="s">
        <v>2006</v>
      </c>
    </row>
    <row r="201" spans="1:1">
      <c r="A201" s="803" t="s">
        <v>435</v>
      </c>
    </row>
    <row r="202" spans="1:1">
      <c r="A202" s="803" t="s">
        <v>438</v>
      </c>
    </row>
    <row r="203" spans="1:1">
      <c r="A203" s="803" t="s">
        <v>441</v>
      </c>
    </row>
    <row r="204" spans="1:1">
      <c r="A204" s="803" t="s">
        <v>444</v>
      </c>
    </row>
    <row r="205" spans="1:1">
      <c r="A205" s="803" t="s">
        <v>446</v>
      </c>
    </row>
    <row r="206" spans="1:1">
      <c r="A206" s="30" t="s">
        <v>449</v>
      </c>
    </row>
    <row r="207" spans="1:1">
      <c r="A207" s="803" t="s">
        <v>448</v>
      </c>
    </row>
    <row r="208" spans="1:1">
      <c r="A208" s="803" t="s">
        <v>451</v>
      </c>
    </row>
    <row r="209" spans="1:1">
      <c r="A209" s="803" t="s">
        <v>452</v>
      </c>
    </row>
    <row r="210" spans="1:1">
      <c r="A210" s="803" t="s">
        <v>453</v>
      </c>
    </row>
    <row r="211" spans="1:1">
      <c r="A211" s="803" t="s">
        <v>454</v>
      </c>
    </row>
    <row r="212" spans="1:1">
      <c r="A212" s="803" t="s">
        <v>457</v>
      </c>
    </row>
    <row r="213" spans="1:1">
      <c r="A213" s="803" t="s">
        <v>458</v>
      </c>
    </row>
    <row r="214" spans="1:1">
      <c r="A214" s="803" t="s">
        <v>459</v>
      </c>
    </row>
    <row r="215" spans="1:1">
      <c r="A215" s="803" t="s">
        <v>462</v>
      </c>
    </row>
    <row r="216" spans="1:1">
      <c r="A216" s="30" t="s">
        <v>465</v>
      </c>
    </row>
    <row r="217" spans="1:1">
      <c r="A217" s="803" t="s">
        <v>464</v>
      </c>
    </row>
    <row r="218" spans="1:1">
      <c r="A218" s="803" t="s">
        <v>468</v>
      </c>
    </row>
    <row r="219" spans="1:1">
      <c r="A219" s="803" t="s">
        <v>471</v>
      </c>
    </row>
    <row r="220" spans="1:1">
      <c r="A220" s="803" t="s">
        <v>473</v>
      </c>
    </row>
    <row r="221" spans="1:1">
      <c r="A221" s="803" t="s">
        <v>475</v>
      </c>
    </row>
    <row r="222" spans="1:1">
      <c r="A222" s="803" t="s">
        <v>477</v>
      </c>
    </row>
    <row r="223" spans="1:1">
      <c r="A223" s="803" t="s">
        <v>479</v>
      </c>
    </row>
    <row r="224" spans="1:1">
      <c r="A224" s="803" t="s">
        <v>481</v>
      </c>
    </row>
    <row r="225" spans="1:1">
      <c r="A225" s="803" t="s">
        <v>483</v>
      </c>
    </row>
    <row r="226" spans="1:1">
      <c r="A226" s="803" t="s">
        <v>485</v>
      </c>
    </row>
    <row r="227" spans="1:1">
      <c r="A227" s="30" t="s">
        <v>2189</v>
      </c>
    </row>
    <row r="228" spans="1:1">
      <c r="A228" s="803" t="s">
        <v>2188</v>
      </c>
    </row>
    <row r="229" spans="1:1">
      <c r="A229" s="803" t="s">
        <v>2209</v>
      </c>
    </row>
    <row r="230" spans="1:1">
      <c r="A230" s="803" t="s">
        <v>2212</v>
      </c>
    </row>
    <row r="231" spans="1:1">
      <c r="A231" s="803" t="s">
        <v>2228</v>
      </c>
    </row>
    <row r="232" spans="1:1">
      <c r="A232" s="803" t="s">
        <v>2235</v>
      </c>
    </row>
    <row r="233" spans="1:1">
      <c r="A233" s="803" t="s">
        <v>2244</v>
      </c>
    </row>
    <row r="234" spans="1:1">
      <c r="A234" s="30" t="s">
        <v>2253</v>
      </c>
    </row>
    <row r="235" spans="1:1">
      <c r="A235" s="803" t="s">
        <v>498</v>
      </c>
    </row>
    <row r="236" spans="1:1">
      <c r="A236" s="803" t="s">
        <v>501</v>
      </c>
    </row>
    <row r="237" spans="1:1">
      <c r="A237" s="803" t="s">
        <v>503</v>
      </c>
    </row>
    <row r="238" spans="1:1">
      <c r="A238" s="803" t="s">
        <v>505</v>
      </c>
    </row>
    <row r="239" spans="1:1">
      <c r="A239" s="30" t="s">
        <v>2321</v>
      </c>
    </row>
    <row r="240" spans="1:1">
      <c r="A240" s="803" t="s">
        <v>507</v>
      </c>
    </row>
    <row r="241" spans="1:1">
      <c r="A241" s="803" t="s">
        <v>510</v>
      </c>
    </row>
    <row r="242" spans="1:1">
      <c r="A242" s="803" t="s">
        <v>513</v>
      </c>
    </row>
    <row r="243" spans="1:1">
      <c r="A243" s="803" t="s">
        <v>514</v>
      </c>
    </row>
    <row r="244" spans="1:1">
      <c r="A244" s="30" t="s">
        <v>517</v>
      </c>
    </row>
    <row r="245" spans="1:1">
      <c r="A245" s="803" t="s">
        <v>516</v>
      </c>
    </row>
    <row r="246" spans="1:1">
      <c r="A246" s="803" t="s">
        <v>521</v>
      </c>
    </row>
    <row r="247" spans="1:1">
      <c r="A247" s="803" t="s">
        <v>523</v>
      </c>
    </row>
    <row r="248" spans="1:1">
      <c r="A248" s="30" t="s">
        <v>2352</v>
      </c>
    </row>
    <row r="249" spans="1:1">
      <c r="A249" s="803" t="s">
        <v>525</v>
      </c>
    </row>
    <row r="250" spans="1:1">
      <c r="A250" s="30" t="s">
        <v>2360</v>
      </c>
    </row>
    <row r="251" spans="1:1">
      <c r="A251" s="803" t="s">
        <v>528</v>
      </c>
    </row>
    <row r="252" spans="1:1">
      <c r="A252" s="803" t="s">
        <v>532</v>
      </c>
    </row>
    <row r="253" spans="1:1">
      <c r="A253" s="803" t="s">
        <v>533</v>
      </c>
    </row>
    <row r="254" spans="1:1">
      <c r="A254" s="803" t="s">
        <v>534</v>
      </c>
    </row>
    <row r="255" spans="1:1">
      <c r="A255" s="803" t="s">
        <v>536</v>
      </c>
    </row>
    <row r="256" spans="1:1">
      <c r="A256" s="803" t="s">
        <v>537</v>
      </c>
    </row>
    <row r="257" spans="1:1">
      <c r="A257" s="803" t="s">
        <v>538</v>
      </c>
    </row>
    <row r="258" spans="1:1">
      <c r="A258" s="30" t="s">
        <v>541</v>
      </c>
    </row>
    <row r="259" spans="1:1">
      <c r="A259" s="803" t="s">
        <v>549</v>
      </c>
    </row>
    <row r="260" spans="1:1">
      <c r="A260" s="803" t="s">
        <v>552</v>
      </c>
    </row>
    <row r="261" spans="1:1">
      <c r="A261" s="30" t="s">
        <v>2392</v>
      </c>
    </row>
    <row r="262" spans="1:1">
      <c r="A262" s="803" t="s">
        <v>540</v>
      </c>
    </row>
    <row r="263" spans="1:1">
      <c r="A263" s="803" t="s">
        <v>543</v>
      </c>
    </row>
    <row r="264" spans="1:1">
      <c r="A264" s="803" t="s">
        <v>545</v>
      </c>
    </row>
    <row r="265" spans="1:1">
      <c r="A265" s="803" t="s">
        <v>547</v>
      </c>
    </row>
    <row r="266" spans="1:1">
      <c r="A266" s="30" t="s">
        <v>3070</v>
      </c>
    </row>
    <row r="267" spans="1:1">
      <c r="A267" s="803" t="s">
        <v>3070</v>
      </c>
    </row>
    <row r="268" spans="1:1">
      <c r="A268" s="30" t="s">
        <v>3071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B2134"/>
  <sheetViews>
    <sheetView tabSelected="1" zoomScale="80" zoomScaleNormal="80" workbookViewId="0">
      <pane xSplit="1" ySplit="1" topLeftCell="AR2" activePane="bottomRight" state="frozen"/>
      <selection pane="topRight" activeCell="B1" sqref="B1"/>
      <selection pane="bottomLeft" activeCell="A2" sqref="A2"/>
      <selection pane="bottomRight" activeCell="BG2114" sqref="BG2114"/>
    </sheetView>
  </sheetViews>
  <sheetFormatPr defaultRowHeight="15" customHeight="1"/>
  <cols>
    <col min="1" max="1" width="30.7109375" style="146" customWidth="1"/>
    <col min="2" max="10" width="20.7109375" style="29" customWidth="1"/>
    <col min="11" max="11" width="35.7109375" style="29" customWidth="1"/>
    <col min="12" max="13" width="20.42578125" style="29" hidden="1" customWidth="1"/>
    <col min="14" max="14" width="20.28515625" style="677" customWidth="1"/>
    <col min="15" max="15" width="4.7109375" style="677" hidden="1" customWidth="1"/>
    <col min="16" max="16" width="13.140625" style="677" customWidth="1"/>
    <col min="17" max="17" width="16" style="677" customWidth="1"/>
    <col min="18" max="18" width="13.140625" style="677" customWidth="1"/>
    <col min="19" max="19" width="10.42578125" style="29" customWidth="1"/>
    <col min="20" max="20" width="13" style="190" customWidth="1"/>
    <col min="21" max="21" width="12" style="29" customWidth="1"/>
    <col min="22" max="22" width="20.7109375" style="29" customWidth="1"/>
    <col min="23" max="23" width="21.7109375" style="60" customWidth="1"/>
    <col min="24" max="28" width="20.7109375" style="29" customWidth="1"/>
    <col min="29" max="31" width="20.7109375" style="191" customWidth="1"/>
    <col min="32" max="32" width="20.7109375" style="192" customWidth="1"/>
    <col min="33" max="33" width="20.7109375" style="29" customWidth="1"/>
    <col min="34" max="34" width="20.7109375" style="193" customWidth="1"/>
    <col min="35" max="36" width="20.7109375" style="29" customWidth="1"/>
    <col min="37" max="37" width="20.7109375" style="60" customWidth="1"/>
    <col min="38" max="47" width="20.7109375" style="29" customWidth="1"/>
    <col min="48" max="48" width="21" style="146" customWidth="1"/>
    <col min="49" max="49" width="14.28515625" style="146" customWidth="1"/>
    <col min="50" max="50" width="11.42578125" style="146" customWidth="1"/>
    <col min="51" max="51" width="10.140625" style="129" bestFit="1" customWidth="1"/>
    <col min="52" max="53" width="12.28515625" style="146" customWidth="1"/>
    <col min="54" max="54" width="11.28515625" style="129" bestFit="1" customWidth="1"/>
    <col min="55" max="55" width="3.7109375" style="129" customWidth="1"/>
    <col min="56" max="56" width="10.140625" style="129" bestFit="1" customWidth="1"/>
    <col min="57" max="57" width="7.85546875" style="129" customWidth="1"/>
    <col min="58" max="58" width="10.7109375" style="129" bestFit="1" customWidth="1"/>
    <col min="59" max="59" width="10.5703125" style="129" customWidth="1"/>
    <col min="60" max="60" width="12.42578125" style="129" bestFit="1" customWidth="1"/>
    <col min="61" max="62" width="7.28515625" style="129" customWidth="1"/>
    <col min="63" max="63" width="12" style="129" bestFit="1" customWidth="1"/>
    <col min="64" max="64" width="12.42578125" style="129" bestFit="1" customWidth="1"/>
    <col min="65" max="65" width="12.42578125" style="129" customWidth="1"/>
    <col min="66" max="66" width="10.140625" style="129" bestFit="1" customWidth="1"/>
    <col min="67" max="67" width="13.140625" style="129" customWidth="1"/>
    <col min="68" max="70" width="12.42578125" style="129" bestFit="1" customWidth="1"/>
    <col min="71" max="71" width="10.85546875" style="129" bestFit="1" customWidth="1"/>
    <col min="72" max="72" width="10.85546875" style="129" customWidth="1"/>
    <col min="73" max="73" width="10" style="129" bestFit="1" customWidth="1"/>
    <col min="74" max="76" width="13.140625" style="129" bestFit="1" customWidth="1"/>
    <col min="77" max="78" width="10.5703125" style="129" customWidth="1"/>
    <col min="79" max="16384" width="9.140625" style="129"/>
  </cols>
  <sheetData>
    <row r="1" spans="1:80" s="114" customFormat="1" ht="107.25" customHeight="1" thickBot="1">
      <c r="A1" s="106" t="s">
        <v>2</v>
      </c>
      <c r="B1" s="107" t="s">
        <v>558</v>
      </c>
      <c r="C1" s="804" t="s">
        <v>559</v>
      </c>
      <c r="D1" s="804" t="s">
        <v>3096</v>
      </c>
      <c r="E1" s="107" t="s">
        <v>5</v>
      </c>
      <c r="F1" s="107" t="s">
        <v>560</v>
      </c>
      <c r="G1" s="107" t="s">
        <v>7</v>
      </c>
      <c r="H1" s="107" t="s">
        <v>24</v>
      </c>
      <c r="I1" s="107" t="s">
        <v>561</v>
      </c>
      <c r="J1" s="107" t="s">
        <v>103</v>
      </c>
      <c r="K1" s="107" t="s">
        <v>562</v>
      </c>
      <c r="L1" s="107" t="s">
        <v>563</v>
      </c>
      <c r="M1" s="107" t="s">
        <v>564</v>
      </c>
      <c r="N1" s="108" t="s">
        <v>565</v>
      </c>
      <c r="O1" s="108" t="s">
        <v>566</v>
      </c>
      <c r="P1" s="108" t="s">
        <v>567</v>
      </c>
      <c r="Q1" s="108" t="s">
        <v>568</v>
      </c>
      <c r="R1" s="108" t="s">
        <v>569</v>
      </c>
      <c r="S1" s="107" t="s">
        <v>570</v>
      </c>
      <c r="T1" s="109" t="s">
        <v>571</v>
      </c>
      <c r="U1" s="107" t="s">
        <v>572</v>
      </c>
      <c r="V1" s="107" t="s">
        <v>573</v>
      </c>
      <c r="W1" s="108" t="s">
        <v>574</v>
      </c>
      <c r="X1" s="107" t="s">
        <v>575</v>
      </c>
      <c r="Y1" s="107" t="s">
        <v>576</v>
      </c>
      <c r="Z1" s="107" t="s">
        <v>577</v>
      </c>
      <c r="AA1" s="107" t="s">
        <v>578</v>
      </c>
      <c r="AB1" s="107" t="s">
        <v>579</v>
      </c>
      <c r="AC1" s="110" t="s">
        <v>580</v>
      </c>
      <c r="AD1" s="110" t="s">
        <v>581</v>
      </c>
      <c r="AE1" s="110" t="s">
        <v>582</v>
      </c>
      <c r="AF1" s="111" t="s">
        <v>583</v>
      </c>
      <c r="AG1" s="107" t="s">
        <v>584</v>
      </c>
      <c r="AH1" s="112" t="s">
        <v>585</v>
      </c>
      <c r="AI1" s="107" t="s">
        <v>586</v>
      </c>
      <c r="AJ1" s="107" t="s">
        <v>587</v>
      </c>
      <c r="AK1" s="108" t="s">
        <v>588</v>
      </c>
      <c r="AL1" s="107" t="s">
        <v>589</v>
      </c>
      <c r="AM1" s="107" t="s">
        <v>590</v>
      </c>
      <c r="AN1" s="107" t="s">
        <v>591</v>
      </c>
      <c r="AO1" s="107" t="s">
        <v>592</v>
      </c>
      <c r="AP1" s="107" t="s">
        <v>593</v>
      </c>
      <c r="AQ1" s="107" t="s">
        <v>6</v>
      </c>
      <c r="AR1" s="107" t="s">
        <v>594</v>
      </c>
      <c r="AS1" s="107" t="s">
        <v>595</v>
      </c>
      <c r="AT1" s="107" t="s">
        <v>596</v>
      </c>
      <c r="AU1" s="107" t="s">
        <v>597</v>
      </c>
      <c r="AV1" s="113" t="s">
        <v>598</v>
      </c>
      <c r="AW1" s="800" t="s">
        <v>3075</v>
      </c>
      <c r="AX1" s="800" t="s">
        <v>3079</v>
      </c>
      <c r="AY1" s="800" t="s">
        <v>3060</v>
      </c>
      <c r="AZ1" s="799" t="s">
        <v>3076</v>
      </c>
      <c r="BA1" s="799" t="s">
        <v>3811</v>
      </c>
      <c r="BB1" s="799" t="s">
        <v>3058</v>
      </c>
      <c r="BC1" s="800" t="s">
        <v>3074</v>
      </c>
      <c r="BD1" s="800" t="s">
        <v>3078</v>
      </c>
      <c r="BE1" s="800" t="s">
        <v>3077</v>
      </c>
      <c r="BF1" s="800" t="s">
        <v>3059</v>
      </c>
      <c r="BG1" s="800" t="s">
        <v>3080</v>
      </c>
      <c r="BH1" s="800" t="s">
        <v>3061</v>
      </c>
      <c r="BI1" s="800" t="s">
        <v>3073</v>
      </c>
      <c r="BJ1" s="800" t="s">
        <v>3813</v>
      </c>
      <c r="BK1" s="800" t="s">
        <v>3062</v>
      </c>
      <c r="BL1" s="800" t="s">
        <v>3072</v>
      </c>
      <c r="BM1" s="800" t="s">
        <v>3812</v>
      </c>
      <c r="BN1" s="800" t="s">
        <v>3063</v>
      </c>
      <c r="BO1" s="800" t="s">
        <v>3064</v>
      </c>
      <c r="BP1" s="800" t="s">
        <v>3065</v>
      </c>
      <c r="BQ1" s="800" t="s">
        <v>3066</v>
      </c>
      <c r="BR1" s="800" t="s">
        <v>3067</v>
      </c>
      <c r="BS1" s="800" t="s">
        <v>3068</v>
      </c>
      <c r="BT1" s="800" t="s">
        <v>3081</v>
      </c>
      <c r="BU1" s="800" t="s">
        <v>3082</v>
      </c>
      <c r="BV1" s="800" t="s">
        <v>3083</v>
      </c>
      <c r="BW1" s="800" t="s">
        <v>3084</v>
      </c>
      <c r="BX1" s="800" t="s">
        <v>3085</v>
      </c>
      <c r="BY1" s="800" t="s">
        <v>3086</v>
      </c>
      <c r="BZ1" s="800" t="s">
        <v>3087</v>
      </c>
    </row>
    <row r="2" spans="1:80" ht="15" customHeight="1">
      <c r="A2" s="115" t="s">
        <v>20</v>
      </c>
      <c r="B2" s="116">
        <v>2008</v>
      </c>
      <c r="C2" s="117" t="s">
        <v>21</v>
      </c>
      <c r="D2" s="117" t="s">
        <v>3584</v>
      </c>
      <c r="E2" s="116" t="s">
        <v>22</v>
      </c>
      <c r="F2" s="117" t="s">
        <v>599</v>
      </c>
      <c r="G2" s="117" t="s">
        <v>24</v>
      </c>
      <c r="H2" s="117" t="str">
        <f>IF(G2="Mining","yes",IF(G2="Oil, Gas, Mining","yes",IF(G2="Gas, Mining","yes",IF(G2="Oil, Mining","yes",IF(G2="Oil, Mining, Other","yes","no")))))</f>
        <v>yes</v>
      </c>
      <c r="I2" s="117" t="str">
        <f>IF($G2="Gas","yes",IF($G2="Oil, Gas, Mining","yes",IF($G2="Gas, Mining","yes",IF($G2="Oil, Gas","yes",IF($G2="Oil, Gas, Other","yes","no")))))</f>
        <v>no</v>
      </c>
      <c r="J2" s="117" t="str">
        <f>IF($G2="Oil","yes",IF($G2="Oil, Gas, Mining","yes",IF($G2="Oil, Mining","yes",IF($G2="Oil, Gas","yes",IF($G2="Oil, Gas, Other","yes","no")))))</f>
        <v>no</v>
      </c>
      <c r="K2" s="117" t="s">
        <v>600</v>
      </c>
      <c r="L2" s="117" t="str">
        <f t="shared" ref="L2:L65" si="0">IF(LEFT(K2,5)="Total","Total","detailed")</f>
        <v>Total</v>
      </c>
      <c r="M2" s="117" t="str">
        <f t="shared" ref="M2:M65" si="1">L2&amp;" "&amp;G2</f>
        <v>Total Mining</v>
      </c>
      <c r="N2" s="118"/>
      <c r="O2" s="118"/>
      <c r="P2" s="118"/>
      <c r="Q2" s="118"/>
      <c r="R2" s="118"/>
      <c r="S2" s="117"/>
      <c r="T2" s="119"/>
      <c r="U2" s="117"/>
      <c r="V2" s="117"/>
      <c r="W2" s="89">
        <f>SUM(W3:W9)</f>
        <v>86293961.474685758</v>
      </c>
      <c r="X2" s="120" t="s">
        <v>601</v>
      </c>
      <c r="Y2" s="117" t="s">
        <v>602</v>
      </c>
      <c r="Z2" s="117" t="s">
        <v>603</v>
      </c>
      <c r="AA2" s="121">
        <v>89690970</v>
      </c>
      <c r="AB2" s="121">
        <v>89986645</v>
      </c>
      <c r="AC2" s="122"/>
      <c r="AD2" s="122"/>
      <c r="AE2" s="122"/>
      <c r="AF2" s="123">
        <f>AA2/W2</f>
        <v>1.0393655415426808</v>
      </c>
      <c r="AG2" s="117" t="s">
        <v>604</v>
      </c>
      <c r="AH2" s="124">
        <v>50.39</v>
      </c>
      <c r="AI2" s="117" t="s">
        <v>605</v>
      </c>
      <c r="AJ2" s="117"/>
      <c r="AK2" s="89"/>
      <c r="AL2" s="117"/>
      <c r="AM2" s="117"/>
      <c r="AN2" s="117">
        <v>5</v>
      </c>
      <c r="AO2" s="117" t="s">
        <v>606</v>
      </c>
      <c r="AP2" s="117">
        <v>4</v>
      </c>
      <c r="AQ2" s="125" t="s">
        <v>23</v>
      </c>
      <c r="AR2" s="126">
        <v>41884</v>
      </c>
      <c r="AS2" s="117" t="s">
        <v>607</v>
      </c>
      <c r="AT2" s="127" t="s">
        <v>25</v>
      </c>
      <c r="AU2" s="117">
        <v>10</v>
      </c>
      <c r="AV2" s="128" t="s">
        <v>608</v>
      </c>
      <c r="AW2" s="117">
        <f>VLOOKUP($D2,'WB Data'!$C$3:$M$578,2,FALSE)</f>
        <v>10190534636.64436</v>
      </c>
      <c r="AX2" s="117">
        <f>VLOOKUP($D2,'WB Data'!$C$3:$M$578,3,FALSE)</f>
        <v>27032197</v>
      </c>
      <c r="AY2" s="847">
        <f>IFERROR($BB2/$AW2,"..")</f>
        <v>8.8013998478037002E-3</v>
      </c>
      <c r="AZ2" s="117">
        <f>VLOOKUP($D2,'WB Data'!$C$3:$M$578,4,FALSE)/100</f>
        <v>7.9885051964663806E-2</v>
      </c>
      <c r="BA2" s="117">
        <f>IFERROR($AW2*$AZ2,"..")</f>
        <v>814071388.99604106</v>
      </c>
      <c r="BB2" s="129">
        <f>IFERROR(VLOOKUP($D2,'EITI Revenues'!$C$2:$G$224,5,FALSE),"..")</f>
        <v>89690970</v>
      </c>
      <c r="BC2" s="846">
        <f>IFERROR($BB2/$BA2,"..")</f>
        <v>0.11017580425054857</v>
      </c>
      <c r="BD2" s="129" t="str">
        <f>VLOOKUP($D2,'WB Data 2'!$C$2:$K$545,6,FALSE)</f>
        <v>..</v>
      </c>
      <c r="BE2" s="129" t="str">
        <f>IFERROR(VLOOKUP($D2,UNCTAD!$C$5:$V$529,4,FALSE),"..")</f>
        <v>..</v>
      </c>
      <c r="BF2" s="846" t="str">
        <f>IFERROR(($BD2/$BE2),"..")</f>
        <v>..</v>
      </c>
      <c r="BG2" s="117">
        <f>VLOOKUP($D2,'WB Data'!$C$3:$M$578,5,FALSE)</f>
        <v>4875070000</v>
      </c>
      <c r="BH2" s="129">
        <f>IFERROR($BB2/$BG2,"..")</f>
        <v>1.8397883517570005E-2</v>
      </c>
      <c r="BI2" s="117" t="str">
        <f>IFERROR(VLOOKUP($D2,'WB Data'!$C$3:$M$578,7,FALSE)/100,"..")</f>
        <v>..</v>
      </c>
      <c r="BJ2" s="117" t="str">
        <f>IFERROR($BI2*$AW2,"..")</f>
        <v>..</v>
      </c>
      <c r="BK2" s="846" t="str">
        <f>IFERROR($BB2/$BJ2,"..")</f>
        <v>..</v>
      </c>
      <c r="BL2" s="117" t="str">
        <f>IFERROR(VLOOKUP($D2,'WB Data'!$C$3:$M$578,7,FALSE)/100,"..")</f>
        <v>..</v>
      </c>
      <c r="BM2" s="117" t="str">
        <f>IFERROR($AW2*$BL2,"..")</f>
        <v>..</v>
      </c>
      <c r="BN2" s="846" t="str">
        <f>IFERROR($BB2/$BM2,"..")</f>
        <v>..</v>
      </c>
      <c r="BO2" s="801">
        <f t="shared" ref="BO2:BO65" si="2">_xlfn.IFNA(VLOOKUP($C2,CPI_2013,2,FALSE),"..")</f>
        <v>12</v>
      </c>
      <c r="BP2" s="117">
        <f>VLOOKUP($D2,'WB Data'!$C$3:$M$578,9,FALSE)</f>
        <v>36.299999999999997</v>
      </c>
      <c r="BQ2" s="117">
        <f>VLOOKUP($D2,'WB Data'!$C$3:$M$578,10,FALSE)</f>
        <v>58.607097560975618</v>
      </c>
      <c r="BR2" s="117">
        <f>VLOOKUP($D2,'WB Data'!$C$3:$M$578,11,FALSE)</f>
        <v>78.5</v>
      </c>
      <c r="BS2" s="129" t="str">
        <f>IFERROR(VLOOKUP($D2,'WB Data 2'!$C$2:$K$545,9,FALSE),"..")</f>
        <v>..</v>
      </c>
      <c r="BT2" s="129" t="str">
        <f>_xlfn.IFNA(VLOOKUP($C2,RGI!$A$2:$C$43,2,FALSE),"..")</f>
        <v>..</v>
      </c>
      <c r="BU2" s="129" t="str">
        <f>_xlfn.IFNA(VLOOKUP($C2,RGI!$A$2:$C$43,3,FALSE),"..")</f>
        <v>..</v>
      </c>
      <c r="BV2" s="129">
        <f>VLOOKUP($D2,WGI!$C$2:$O$478,7,FALSE)</f>
        <v>-1.23609569456687</v>
      </c>
      <c r="BW2" s="129">
        <f>VLOOKUP($D2,WGI!$C$2:$O$478,4,FALSE)</f>
        <v>-2.6893530851444698</v>
      </c>
      <c r="BX2" s="129">
        <f>VLOOKUP($D2,WGI!$C$2:$O$478,3,FALSE)</f>
        <v>-1.4784978583419</v>
      </c>
      <c r="BY2" s="129">
        <f>VLOOKUP($D2,WGI!$C$2:$O$478,5,FALSE)</f>
        <v>-1.6010792505378999</v>
      </c>
      <c r="BZ2" s="129">
        <f>VLOOKUP($D2,WGI!$C$2:$O$478,2,FALSE)</f>
        <v>-1.63716881377191</v>
      </c>
    </row>
    <row r="3" spans="1:80" ht="15" customHeight="1">
      <c r="A3" s="115" t="s">
        <v>20</v>
      </c>
      <c r="B3" s="116">
        <v>2008</v>
      </c>
      <c r="C3" s="117" t="s">
        <v>21</v>
      </c>
      <c r="D3" s="117" t="s">
        <v>3584</v>
      </c>
      <c r="E3" s="116" t="s">
        <v>22</v>
      </c>
      <c r="F3" s="117"/>
      <c r="G3" s="117" t="s">
        <v>24</v>
      </c>
      <c r="H3" s="117" t="str">
        <f>IF($G3="Mining","yes",IF($G3="Oil, Gas, Mining","yes",IF($G3="Gas, Mining","yes",IF($G3="Oil, Mining","yes",IF($G3="Oil, Mining, Other","yes","no")))))</f>
        <v>yes</v>
      </c>
      <c r="I3" s="117" t="str">
        <f>IF($G3="Gas","yes",IF($G3="Oil, Gas, Mining","yes",IF($G3="Gas, Mining","yes",IF($G3="Oil, Gas","yes",IF($G3="Oil, Gas, Other","yes","no")))))</f>
        <v>no</v>
      </c>
      <c r="J3" s="117" t="str">
        <f>IF($G3="Oil","yes",IF($G3="Oil, Gas, Mining","yes",IF($G3="Oil, Mining","yes",IF($G3="Oil, Gas","yes",IF($G3="Oil, Gas, Other","yes","no")))))</f>
        <v>no</v>
      </c>
      <c r="K3" s="117" t="s">
        <v>609</v>
      </c>
      <c r="L3" s="117" t="str">
        <f t="shared" si="0"/>
        <v>detailed</v>
      </c>
      <c r="M3" s="117" t="str">
        <f t="shared" si="1"/>
        <v>detailed Mining</v>
      </c>
      <c r="N3" s="118">
        <f>((37300/365)*286)+((31500/365)*79)</f>
        <v>36044.657534246573</v>
      </c>
      <c r="O3" s="118"/>
      <c r="P3" s="118"/>
      <c r="Q3" s="118"/>
      <c r="R3" s="118"/>
      <c r="S3" s="117" t="s">
        <v>610</v>
      </c>
      <c r="T3" s="119">
        <f>((103/365)*286)+((100/365)*79)</f>
        <v>102.35068493150685</v>
      </c>
      <c r="U3" s="117" t="s">
        <v>611</v>
      </c>
      <c r="V3" s="117" t="s">
        <v>612</v>
      </c>
      <c r="W3" s="89">
        <f>N3*T3</f>
        <v>3689195.3867517356</v>
      </c>
      <c r="X3" s="117"/>
      <c r="Y3" s="117"/>
      <c r="Z3" s="117"/>
      <c r="AA3" s="121"/>
      <c r="AB3" s="121"/>
      <c r="AC3" s="122"/>
      <c r="AD3" s="122"/>
      <c r="AE3" s="122"/>
      <c r="AF3" s="123"/>
      <c r="AG3" s="117"/>
      <c r="AH3" s="124"/>
      <c r="AI3" s="117"/>
      <c r="AJ3" s="117"/>
      <c r="AK3" s="89"/>
      <c r="AL3" s="117"/>
      <c r="AM3" s="117"/>
      <c r="AN3" s="117">
        <v>1</v>
      </c>
      <c r="AO3" s="117" t="s">
        <v>613</v>
      </c>
      <c r="AP3" s="117">
        <v>1</v>
      </c>
      <c r="AQ3" s="117"/>
      <c r="AR3" s="117"/>
      <c r="AS3" s="117"/>
      <c r="AT3" s="117"/>
      <c r="AU3" s="117"/>
      <c r="AV3" s="128"/>
      <c r="AW3" s="117">
        <f>VLOOKUP($D3,'WB Data'!$C$3:$M$578,2,FALSE)</f>
        <v>10190534636.64436</v>
      </c>
      <c r="AX3" s="117">
        <f>VLOOKUP($D3,'WB Data'!$C$3:$M$578,3,FALSE)</f>
        <v>27032197</v>
      </c>
      <c r="AY3" s="847">
        <f t="shared" ref="AY3:AY66" si="3">IFERROR($BB3/$AW3,"..")</f>
        <v>8.8013998478037002E-3</v>
      </c>
      <c r="AZ3" s="117">
        <f>VLOOKUP($D3,'WB Data'!$C$3:$M$578,4,FALSE)/100</f>
        <v>7.9885051964663806E-2</v>
      </c>
      <c r="BA3" s="117">
        <f t="shared" ref="BA3:BA66" si="4">IFERROR($AW3*$AZ3,"..")</f>
        <v>814071388.99604106</v>
      </c>
      <c r="BB3" s="129">
        <f>IFERROR(VLOOKUP($D3,'EITI Revenues'!$C$2:$G$224,5,FALSE),"..")</f>
        <v>89690970</v>
      </c>
      <c r="BC3" s="846">
        <f t="shared" ref="BC3:BC66" si="5">IFERROR($BB3/$BA3,"..")</f>
        <v>0.11017580425054857</v>
      </c>
      <c r="BD3" s="129" t="str">
        <f>VLOOKUP($D3,'WB Data 2'!$C$2:$K$545,6,FALSE)</f>
        <v>..</v>
      </c>
      <c r="BE3" s="129" t="str">
        <f>IFERROR(VLOOKUP($D3,UNCTAD!$C$5:$V$529,4,FALSE),"..")</f>
        <v>..</v>
      </c>
      <c r="BF3" s="846" t="str">
        <f t="shared" ref="BF3:BF66" si="6">IFERROR(($BD3/$BE3),"..")</f>
        <v>..</v>
      </c>
      <c r="BG3" s="117">
        <f>VLOOKUP($D3,'WB Data'!$C$3:$M$578,5,FALSE)</f>
        <v>4875070000</v>
      </c>
      <c r="BH3" s="129">
        <f>IFERROR($BB3/$BG3,"..")</f>
        <v>1.8397883517570005E-2</v>
      </c>
      <c r="BI3" s="117" t="str">
        <f>IFERROR(VLOOKUP($D3,'WB Data'!$C$3:$M$578,7,FALSE)/100,"..")</f>
        <v>..</v>
      </c>
      <c r="BJ3" s="117" t="str">
        <f>IFERROR($BI3*$AW3,"..")</f>
        <v>..</v>
      </c>
      <c r="BK3" s="846" t="str">
        <f>IFERROR($BB3/$BJ3,"..")</f>
        <v>..</v>
      </c>
      <c r="BL3" s="117" t="str">
        <f>IFERROR(VLOOKUP($D3,'WB Data'!$C$3:$M$578,7,FALSE)/100,"..")</f>
        <v>..</v>
      </c>
      <c r="BM3" s="117" t="str">
        <f>IFERROR($AW3*$BL3,"..")</f>
        <v>..</v>
      </c>
      <c r="BN3" s="846" t="str">
        <f>IFERROR($BB3/$BM3,"..")</f>
        <v>..</v>
      </c>
      <c r="BO3" s="801">
        <f t="shared" si="2"/>
        <v>12</v>
      </c>
      <c r="BP3" s="117">
        <f>VLOOKUP($D3,'WB Data'!$C$3:$M$578,9,FALSE)</f>
        <v>36.299999999999997</v>
      </c>
      <c r="BQ3" s="117">
        <f>VLOOKUP($D3,'WB Data'!$C$3:$M$578,10,FALSE)</f>
        <v>58.607097560975618</v>
      </c>
      <c r="BR3" s="117">
        <f>VLOOKUP($D3,'WB Data'!$C$3:$M$578,11,FALSE)</f>
        <v>78.5</v>
      </c>
      <c r="BS3" s="129" t="str">
        <f>IFERROR(VLOOKUP($D3,'WB Data 2'!$C$2:$K$545,9,FALSE),"..")</f>
        <v>..</v>
      </c>
      <c r="BT3" s="129" t="str">
        <f>_xlfn.IFNA(VLOOKUP($C3,RGI!$A$2:$C$43,2,FALSE),"..")</f>
        <v>..</v>
      </c>
      <c r="BU3" s="129" t="str">
        <f>_xlfn.IFNA(VLOOKUP($C3,RGI!$A$2:$C$43,3,FALSE),"..")</f>
        <v>..</v>
      </c>
      <c r="BV3" s="129">
        <f>VLOOKUP($D3,WGI!$C$2:$O$478,7,FALSE)</f>
        <v>-1.23609569456687</v>
      </c>
      <c r="BW3" s="129">
        <f>VLOOKUP($D3,WGI!$C$2:$O$478,4,FALSE)</f>
        <v>-2.6893530851444698</v>
      </c>
      <c r="BX3" s="129">
        <f>VLOOKUP($D3,WGI!$C$2:$O$478,3,FALSE)</f>
        <v>-1.4784978583419</v>
      </c>
      <c r="BY3" s="129">
        <f>VLOOKUP($D3,WGI!$C$2:$O$478,5,FALSE)</f>
        <v>-1.6010792505378999</v>
      </c>
      <c r="BZ3" s="129">
        <f>VLOOKUP($D3,WGI!$C$2:$O$478,2,FALSE)</f>
        <v>-1.63716881377191</v>
      </c>
    </row>
    <row r="4" spans="1:80" ht="15" customHeight="1">
      <c r="A4" s="115" t="s">
        <v>20</v>
      </c>
      <c r="B4" s="116">
        <v>2008</v>
      </c>
      <c r="C4" s="117" t="s">
        <v>21</v>
      </c>
      <c r="D4" s="117" t="s">
        <v>3584</v>
      </c>
      <c r="E4" s="116" t="s">
        <v>22</v>
      </c>
      <c r="F4" s="117"/>
      <c r="G4" s="117" t="s">
        <v>24</v>
      </c>
      <c r="H4" s="117" t="str">
        <f t="shared" ref="H4:H67" si="7">IF($G4="Mining","yes",IF($G4="Oil, Gas, Mining","yes",IF($G4="Gas, Mining","yes",IF($G4="Oil, Mining","yes",IF($G4="Oil, Mining, Other","yes","no")))))</f>
        <v>yes</v>
      </c>
      <c r="I4" s="117" t="str">
        <f t="shared" ref="I4:I67" si="8">IF($G4="Gas","yes",IF($G4="Oil, Gas, Mining","yes",IF($G4="Gas, Mining","yes",IF($G4="Oil, Gas","yes",IF($G4="Oil, Gas, Other","yes","no")))))</f>
        <v>no</v>
      </c>
      <c r="J4" s="117" t="str">
        <f t="shared" ref="J4:J67" si="9">IF($G4="Oil","yes",IF($G4="Oil, Gas, Mining","yes",IF($G4="Oil, Mining","yes",IF($G4="Oil, Gas","yes",IF($G4="Oil, Gas, Other","yes","no")))))</f>
        <v>no</v>
      </c>
      <c r="K4" s="117" t="s">
        <v>614</v>
      </c>
      <c r="L4" s="117" t="str">
        <f t="shared" si="0"/>
        <v>detailed</v>
      </c>
      <c r="M4" s="117" t="str">
        <f t="shared" si="1"/>
        <v>detailed Mining</v>
      </c>
      <c r="N4" s="118">
        <f>((6500/365)*286)+((6700/365)*79)</f>
        <v>6543.2876712328762</v>
      </c>
      <c r="O4" s="118"/>
      <c r="P4" s="118"/>
      <c r="Q4" s="118"/>
      <c r="R4" s="118"/>
      <c r="S4" s="117" t="s">
        <v>610</v>
      </c>
      <c r="T4" s="119">
        <f>((156/365)*286)+((227/365)*79)</f>
        <v>171.36712328767123</v>
      </c>
      <c r="U4" s="117" t="s">
        <v>611</v>
      </c>
      <c r="V4" s="117" t="s">
        <v>615</v>
      </c>
      <c r="W4" s="89">
        <f t="shared" ref="W4:W9" si="10">N4*T4</f>
        <v>1121304.3850628636</v>
      </c>
      <c r="X4" s="117"/>
      <c r="Y4" s="117"/>
      <c r="Z4" s="117"/>
      <c r="AA4" s="121"/>
      <c r="AB4" s="121"/>
      <c r="AC4" s="122"/>
      <c r="AD4" s="122"/>
      <c r="AE4" s="122"/>
      <c r="AF4" s="123"/>
      <c r="AG4" s="117"/>
      <c r="AH4" s="124"/>
      <c r="AI4" s="117"/>
      <c r="AJ4" s="117"/>
      <c r="AK4" s="89"/>
      <c r="AL4" s="117"/>
      <c r="AM4" s="117"/>
      <c r="AN4" s="117"/>
      <c r="AO4" s="117"/>
      <c r="AP4" s="117"/>
      <c r="AQ4" s="117"/>
      <c r="AR4" s="117"/>
      <c r="AS4" s="117"/>
      <c r="AT4" s="117"/>
      <c r="AU4" s="117"/>
      <c r="AV4" s="128"/>
      <c r="AW4" s="117">
        <f>VLOOKUP($D4,'WB Data'!$C$3:$M$578,2,FALSE)</f>
        <v>10190534636.64436</v>
      </c>
      <c r="AX4" s="117">
        <f>VLOOKUP($D4,'WB Data'!$C$3:$M$578,3,FALSE)</f>
        <v>27032197</v>
      </c>
      <c r="AY4" s="847">
        <f t="shared" si="3"/>
        <v>8.8013998478037002E-3</v>
      </c>
      <c r="AZ4" s="117">
        <f>VLOOKUP($D4,'WB Data'!$C$3:$M$578,4,FALSE)/100</f>
        <v>7.9885051964663806E-2</v>
      </c>
      <c r="BA4" s="117">
        <f t="shared" si="4"/>
        <v>814071388.99604106</v>
      </c>
      <c r="BB4" s="129">
        <f>IFERROR(VLOOKUP($D4,'EITI Revenues'!$C$2:$G$224,5,FALSE),"..")</f>
        <v>89690970</v>
      </c>
      <c r="BC4" s="846">
        <f t="shared" si="5"/>
        <v>0.11017580425054857</v>
      </c>
      <c r="BD4" s="129" t="str">
        <f>VLOOKUP($D4,'WB Data 2'!$C$2:$K$545,6,FALSE)</f>
        <v>..</v>
      </c>
      <c r="BE4" s="129" t="str">
        <f>IFERROR(VLOOKUP($D4,UNCTAD!$C$5:$V$529,4,FALSE),"..")</f>
        <v>..</v>
      </c>
      <c r="BF4" s="846" t="str">
        <f t="shared" si="6"/>
        <v>..</v>
      </c>
      <c r="BG4" s="117">
        <f>VLOOKUP($D4,'WB Data'!$C$3:$M$578,5,FALSE)</f>
        <v>4875070000</v>
      </c>
      <c r="BH4" s="129">
        <f>IFERROR($BB4/$BG4,"..")</f>
        <v>1.8397883517570005E-2</v>
      </c>
      <c r="BI4" s="117" t="str">
        <f>IFERROR(VLOOKUP($D4,'WB Data'!$C$3:$M$578,7,FALSE)/100,"..")</f>
        <v>..</v>
      </c>
      <c r="BJ4" s="117" t="str">
        <f>IFERROR($BI4*$AW4,"..")</f>
        <v>..</v>
      </c>
      <c r="BK4" s="846" t="str">
        <f>IFERROR($BB4/$BJ4,"..")</f>
        <v>..</v>
      </c>
      <c r="BL4" s="117" t="str">
        <f>IFERROR(VLOOKUP($D4,'WB Data'!$C$3:$M$578,7,FALSE)/100,"..")</f>
        <v>..</v>
      </c>
      <c r="BM4" s="117" t="str">
        <f>IFERROR($AW4*$BL4,"..")</f>
        <v>..</v>
      </c>
      <c r="BN4" s="846" t="str">
        <f>IFERROR($BB4/$BM4,"..")</f>
        <v>..</v>
      </c>
      <c r="BO4" s="801">
        <f t="shared" si="2"/>
        <v>12</v>
      </c>
      <c r="BP4" s="117">
        <f>VLOOKUP($D4,'WB Data'!$C$3:$M$578,9,FALSE)</f>
        <v>36.299999999999997</v>
      </c>
      <c r="BQ4" s="117">
        <f>VLOOKUP($D4,'WB Data'!$C$3:$M$578,10,FALSE)</f>
        <v>58.607097560975618</v>
      </c>
      <c r="BR4" s="117">
        <f>VLOOKUP($D4,'WB Data'!$C$3:$M$578,11,FALSE)</f>
        <v>78.5</v>
      </c>
      <c r="BS4" s="129" t="str">
        <f>IFERROR(VLOOKUP($D4,'WB Data 2'!$C$2:$K$545,9,FALSE),"..")</f>
        <v>..</v>
      </c>
      <c r="BT4" s="129" t="str">
        <f>_xlfn.IFNA(VLOOKUP($C4,RGI!$A$2:$C$43,2,FALSE),"..")</f>
        <v>..</v>
      </c>
      <c r="BU4" s="129" t="str">
        <f>_xlfn.IFNA(VLOOKUP($C4,RGI!$A$2:$C$43,3,FALSE),"..")</f>
        <v>..</v>
      </c>
      <c r="BV4" s="129">
        <f>VLOOKUP($D4,WGI!$C$2:$O$478,7,FALSE)</f>
        <v>-1.23609569456687</v>
      </c>
      <c r="BW4" s="129">
        <f>VLOOKUP($D4,WGI!$C$2:$O$478,4,FALSE)</f>
        <v>-2.6893530851444698</v>
      </c>
      <c r="BX4" s="129">
        <f>VLOOKUP($D4,WGI!$C$2:$O$478,3,FALSE)</f>
        <v>-1.4784978583419</v>
      </c>
      <c r="BY4" s="129">
        <f>VLOOKUP($D4,WGI!$C$2:$O$478,5,FALSE)</f>
        <v>-1.6010792505378999</v>
      </c>
      <c r="BZ4" s="129">
        <f>VLOOKUP($D4,WGI!$C$2:$O$478,2,FALSE)</f>
        <v>-1.63716881377191</v>
      </c>
    </row>
    <row r="5" spans="1:80" ht="15" customHeight="1">
      <c r="A5" s="115" t="s">
        <v>20</v>
      </c>
      <c r="B5" s="116">
        <v>2008</v>
      </c>
      <c r="C5" s="117" t="s">
        <v>21</v>
      </c>
      <c r="D5" s="117" t="s">
        <v>3584</v>
      </c>
      <c r="E5" s="116" t="s">
        <v>22</v>
      </c>
      <c r="F5" s="117"/>
      <c r="G5" s="117" t="s">
        <v>24</v>
      </c>
      <c r="H5" s="117" t="str">
        <f t="shared" si="7"/>
        <v>yes</v>
      </c>
      <c r="I5" s="117" t="str">
        <f t="shared" si="8"/>
        <v>no</v>
      </c>
      <c r="J5" s="117" t="str">
        <f t="shared" si="9"/>
        <v>no</v>
      </c>
      <c r="K5" s="117" t="s">
        <v>616</v>
      </c>
      <c r="L5" s="117" t="str">
        <f t="shared" si="0"/>
        <v>detailed</v>
      </c>
      <c r="M5" s="117" t="str">
        <f t="shared" si="1"/>
        <v>detailed Mining</v>
      </c>
      <c r="N5" s="118">
        <f>((383000/365)*286)+((551000/365)*79)*0.90718474</f>
        <v>408292.72478756169</v>
      </c>
      <c r="O5" s="118"/>
      <c r="P5" s="118"/>
      <c r="Q5" s="118"/>
      <c r="R5" s="118"/>
      <c r="S5" s="117" t="s">
        <v>610</v>
      </c>
      <c r="T5" s="119">
        <f>((138.17/365)*286)+((72.52/365)*79)</f>
        <v>123.9608219178082</v>
      </c>
      <c r="U5" s="117" t="s">
        <v>611</v>
      </c>
      <c r="V5" s="117" t="s">
        <v>617</v>
      </c>
      <c r="W5" s="89">
        <f t="shared" si="10"/>
        <v>50612301.74772761</v>
      </c>
      <c r="X5" s="117"/>
      <c r="Y5" s="117"/>
      <c r="Z5" s="117"/>
      <c r="AA5" s="121"/>
      <c r="AB5" s="121"/>
      <c r="AC5" s="122"/>
      <c r="AD5" s="122"/>
      <c r="AE5" s="122"/>
      <c r="AF5" s="123"/>
      <c r="AG5" s="117"/>
      <c r="AH5" s="124"/>
      <c r="AI5" s="117"/>
      <c r="AJ5" s="117"/>
      <c r="AK5" s="89"/>
      <c r="AL5" s="117"/>
      <c r="AM5" s="117"/>
      <c r="AN5" s="117">
        <v>3</v>
      </c>
      <c r="AO5" s="117" t="s">
        <v>618</v>
      </c>
      <c r="AP5" s="117">
        <v>3</v>
      </c>
      <c r="AQ5" s="117"/>
      <c r="AR5" s="117"/>
      <c r="AS5" s="117"/>
      <c r="AT5" s="117"/>
      <c r="AU5" s="117"/>
      <c r="AV5" s="128"/>
      <c r="AW5" s="117">
        <f>VLOOKUP($D5,'WB Data'!$C$3:$M$578,2,FALSE)</f>
        <v>10190534636.64436</v>
      </c>
      <c r="AX5" s="117">
        <f>VLOOKUP($D5,'WB Data'!$C$3:$M$578,3,FALSE)</f>
        <v>27032197</v>
      </c>
      <c r="AY5" s="847">
        <f t="shared" si="3"/>
        <v>8.8013998478037002E-3</v>
      </c>
      <c r="AZ5" s="117">
        <f>VLOOKUP($D5,'WB Data'!$C$3:$M$578,4,FALSE)/100</f>
        <v>7.9885051964663806E-2</v>
      </c>
      <c r="BA5" s="117">
        <f t="shared" si="4"/>
        <v>814071388.99604106</v>
      </c>
      <c r="BB5" s="129">
        <f>IFERROR(VLOOKUP($D5,'EITI Revenues'!$C$2:$G$224,5,FALSE),"..")</f>
        <v>89690970</v>
      </c>
      <c r="BC5" s="846">
        <f t="shared" si="5"/>
        <v>0.11017580425054857</v>
      </c>
      <c r="BD5" s="129" t="str">
        <f>VLOOKUP($D5,'WB Data 2'!$C$2:$K$545,6,FALSE)</f>
        <v>..</v>
      </c>
      <c r="BE5" s="129" t="str">
        <f>IFERROR(VLOOKUP($D5,UNCTAD!$C$5:$V$529,4,FALSE),"..")</f>
        <v>..</v>
      </c>
      <c r="BF5" s="846" t="str">
        <f t="shared" si="6"/>
        <v>..</v>
      </c>
      <c r="BG5" s="117">
        <f>VLOOKUP($D5,'WB Data'!$C$3:$M$578,5,FALSE)</f>
        <v>4875070000</v>
      </c>
      <c r="BH5" s="129">
        <f>IFERROR($BB5/$BG5,"..")</f>
        <v>1.8397883517570005E-2</v>
      </c>
      <c r="BI5" s="117" t="str">
        <f>IFERROR(VLOOKUP($D5,'WB Data'!$C$3:$M$578,7,FALSE)/100,"..")</f>
        <v>..</v>
      </c>
      <c r="BJ5" s="117" t="str">
        <f>IFERROR($BI5*$AW5,"..")</f>
        <v>..</v>
      </c>
      <c r="BK5" s="846" t="str">
        <f>IFERROR($BB5/$BJ5,"..")</f>
        <v>..</v>
      </c>
      <c r="BL5" s="117" t="str">
        <f>IFERROR(VLOOKUP($D5,'WB Data'!$C$3:$M$578,7,FALSE)/100,"..")</f>
        <v>..</v>
      </c>
      <c r="BM5" s="117" t="str">
        <f>IFERROR($AW5*$BL5,"..")</f>
        <v>..</v>
      </c>
      <c r="BN5" s="846" t="str">
        <f>IFERROR($BB5/$BM5,"..")</f>
        <v>..</v>
      </c>
      <c r="BO5" s="801">
        <f t="shared" si="2"/>
        <v>12</v>
      </c>
      <c r="BP5" s="117">
        <f>VLOOKUP($D5,'WB Data'!$C$3:$M$578,9,FALSE)</f>
        <v>36.299999999999997</v>
      </c>
      <c r="BQ5" s="117">
        <f>VLOOKUP($D5,'WB Data'!$C$3:$M$578,10,FALSE)</f>
        <v>58.607097560975618</v>
      </c>
      <c r="BR5" s="117">
        <f>VLOOKUP($D5,'WB Data'!$C$3:$M$578,11,FALSE)</f>
        <v>78.5</v>
      </c>
      <c r="BS5" s="129" t="str">
        <f>IFERROR(VLOOKUP($D5,'WB Data 2'!$C$2:$K$545,9,FALSE),"..")</f>
        <v>..</v>
      </c>
      <c r="BT5" s="129" t="str">
        <f>_xlfn.IFNA(VLOOKUP($C5,RGI!$A$2:$C$43,2,FALSE),"..")</f>
        <v>..</v>
      </c>
      <c r="BU5" s="129" t="str">
        <f>_xlfn.IFNA(VLOOKUP($C5,RGI!$A$2:$C$43,3,FALSE),"..")</f>
        <v>..</v>
      </c>
      <c r="BV5" s="129">
        <f>VLOOKUP($D5,WGI!$C$2:$O$478,7,FALSE)</f>
        <v>-1.23609569456687</v>
      </c>
      <c r="BW5" s="129">
        <f>VLOOKUP($D5,WGI!$C$2:$O$478,4,FALSE)</f>
        <v>-2.6893530851444698</v>
      </c>
      <c r="BX5" s="129">
        <f>VLOOKUP($D5,WGI!$C$2:$O$478,3,FALSE)</f>
        <v>-1.4784978583419</v>
      </c>
      <c r="BY5" s="129">
        <f>VLOOKUP($D5,WGI!$C$2:$O$478,5,FALSE)</f>
        <v>-1.6010792505378999</v>
      </c>
      <c r="BZ5" s="129">
        <f>VLOOKUP($D5,WGI!$C$2:$O$478,2,FALSE)</f>
        <v>-1.63716881377191</v>
      </c>
    </row>
    <row r="6" spans="1:80" ht="15" customHeight="1">
      <c r="A6" s="115" t="s">
        <v>20</v>
      </c>
      <c r="B6" s="116">
        <v>2008</v>
      </c>
      <c r="C6" s="117" t="s">
        <v>21</v>
      </c>
      <c r="D6" s="117" t="s">
        <v>3584</v>
      </c>
      <c r="E6" s="116" t="s">
        <v>22</v>
      </c>
      <c r="F6" s="117"/>
      <c r="G6" s="117" t="s">
        <v>24</v>
      </c>
      <c r="H6" s="117" t="str">
        <f t="shared" si="7"/>
        <v>yes</v>
      </c>
      <c r="I6" s="117" t="str">
        <f t="shared" si="8"/>
        <v>no</v>
      </c>
      <c r="J6" s="117" t="str">
        <f t="shared" si="9"/>
        <v>no</v>
      </c>
      <c r="K6" s="117" t="s">
        <v>619</v>
      </c>
      <c r="L6" s="117" t="str">
        <f t="shared" si="0"/>
        <v>detailed</v>
      </c>
      <c r="M6" s="117" t="str">
        <f t="shared" si="1"/>
        <v>detailed Mining</v>
      </c>
      <c r="N6" s="118">
        <v>0</v>
      </c>
      <c r="O6" s="118"/>
      <c r="P6" s="118"/>
      <c r="Q6" s="118"/>
      <c r="R6" s="118"/>
      <c r="S6" s="117" t="s">
        <v>610</v>
      </c>
      <c r="T6" s="119"/>
      <c r="U6" s="117"/>
      <c r="V6" s="117" t="s">
        <v>620</v>
      </c>
      <c r="W6" s="89">
        <f t="shared" si="10"/>
        <v>0</v>
      </c>
      <c r="X6" s="117"/>
      <c r="Y6" s="117"/>
      <c r="Z6" s="117"/>
      <c r="AA6" s="121">
        <f>4039997750/50.39</f>
        <v>80174593.173248664</v>
      </c>
      <c r="AB6" s="121">
        <f>4040883880/50.39</f>
        <v>80192178.606866434</v>
      </c>
      <c r="AC6" s="122"/>
      <c r="AD6" s="122"/>
      <c r="AE6" s="122"/>
      <c r="AF6" s="123"/>
      <c r="AG6" s="117"/>
      <c r="AH6" s="124"/>
      <c r="AI6" s="117"/>
      <c r="AJ6" s="117"/>
      <c r="AK6" s="89"/>
      <c r="AL6" s="117"/>
      <c r="AM6" s="117"/>
      <c r="AN6" s="117">
        <v>1</v>
      </c>
      <c r="AO6" s="117" t="s">
        <v>621</v>
      </c>
      <c r="AP6" s="117">
        <v>1</v>
      </c>
      <c r="AQ6" s="117"/>
      <c r="AR6" s="117"/>
      <c r="AS6" s="117"/>
      <c r="AT6" s="117"/>
      <c r="AU6" s="117">
        <v>28</v>
      </c>
      <c r="AV6" s="128"/>
      <c r="AW6" s="117">
        <f>VLOOKUP($D6,'WB Data'!$C$3:$M$578,2,FALSE)</f>
        <v>10190534636.64436</v>
      </c>
      <c r="AX6" s="117">
        <f>VLOOKUP($D6,'WB Data'!$C$3:$M$578,3,FALSE)</f>
        <v>27032197</v>
      </c>
      <c r="AY6" s="847">
        <f t="shared" si="3"/>
        <v>8.8013998478037002E-3</v>
      </c>
      <c r="AZ6" s="117">
        <f>VLOOKUP($D6,'WB Data'!$C$3:$M$578,4,FALSE)/100</f>
        <v>7.9885051964663806E-2</v>
      </c>
      <c r="BA6" s="117">
        <f t="shared" si="4"/>
        <v>814071388.99604106</v>
      </c>
      <c r="BB6" s="129">
        <f>IFERROR(VLOOKUP($D6,'EITI Revenues'!$C$2:$G$224,5,FALSE),"..")</f>
        <v>89690970</v>
      </c>
      <c r="BC6" s="846">
        <f t="shared" si="5"/>
        <v>0.11017580425054857</v>
      </c>
      <c r="BD6" s="129" t="str">
        <f>VLOOKUP($D6,'WB Data 2'!$C$2:$K$545,6,FALSE)</f>
        <v>..</v>
      </c>
      <c r="BE6" s="129" t="str">
        <f>IFERROR(VLOOKUP($D6,UNCTAD!$C$5:$V$529,4,FALSE),"..")</f>
        <v>..</v>
      </c>
      <c r="BF6" s="846" t="str">
        <f t="shared" si="6"/>
        <v>..</v>
      </c>
      <c r="BG6" s="117">
        <f>VLOOKUP($D6,'WB Data'!$C$3:$M$578,5,FALSE)</f>
        <v>4875070000</v>
      </c>
      <c r="BH6" s="129">
        <f>IFERROR($BB6/$BG6,"..")</f>
        <v>1.8397883517570005E-2</v>
      </c>
      <c r="BI6" s="117" t="str">
        <f>IFERROR(VLOOKUP($D6,'WB Data'!$C$3:$M$578,7,FALSE)/100,"..")</f>
        <v>..</v>
      </c>
      <c r="BJ6" s="117" t="str">
        <f>IFERROR($BI6*$AW6,"..")</f>
        <v>..</v>
      </c>
      <c r="BK6" s="846" t="str">
        <f>IFERROR($BB6/$BJ6,"..")</f>
        <v>..</v>
      </c>
      <c r="BL6" s="117" t="str">
        <f>IFERROR(VLOOKUP($D6,'WB Data'!$C$3:$M$578,7,FALSE)/100,"..")</f>
        <v>..</v>
      </c>
      <c r="BM6" s="117" t="str">
        <f>IFERROR($AW6*$BL6,"..")</f>
        <v>..</v>
      </c>
      <c r="BN6" s="846" t="str">
        <f>IFERROR($BB6/$BM6,"..")</f>
        <v>..</v>
      </c>
      <c r="BO6" s="801">
        <f t="shared" si="2"/>
        <v>12</v>
      </c>
      <c r="BP6" s="117">
        <f>VLOOKUP($D6,'WB Data'!$C$3:$M$578,9,FALSE)</f>
        <v>36.299999999999997</v>
      </c>
      <c r="BQ6" s="117">
        <f>VLOOKUP($D6,'WB Data'!$C$3:$M$578,10,FALSE)</f>
        <v>58.607097560975618</v>
      </c>
      <c r="BR6" s="117">
        <f>VLOOKUP($D6,'WB Data'!$C$3:$M$578,11,FALSE)</f>
        <v>78.5</v>
      </c>
      <c r="BS6" s="129" t="str">
        <f>IFERROR(VLOOKUP($D6,'WB Data 2'!$C$2:$K$545,9,FALSE),"..")</f>
        <v>..</v>
      </c>
      <c r="BT6" s="129" t="str">
        <f>_xlfn.IFNA(VLOOKUP($C6,RGI!$A$2:$C$43,2,FALSE),"..")</f>
        <v>..</v>
      </c>
      <c r="BU6" s="129" t="str">
        <f>_xlfn.IFNA(VLOOKUP($C6,RGI!$A$2:$C$43,3,FALSE),"..")</f>
        <v>..</v>
      </c>
      <c r="BV6" s="129">
        <f>VLOOKUP($D6,WGI!$C$2:$O$478,7,FALSE)</f>
        <v>-1.23609569456687</v>
      </c>
      <c r="BW6" s="129">
        <f>VLOOKUP($D6,WGI!$C$2:$O$478,4,FALSE)</f>
        <v>-2.6893530851444698</v>
      </c>
      <c r="BX6" s="129">
        <f>VLOOKUP($D6,WGI!$C$2:$O$478,3,FALSE)</f>
        <v>-1.4784978583419</v>
      </c>
      <c r="BY6" s="129">
        <f>VLOOKUP($D6,WGI!$C$2:$O$478,5,FALSE)</f>
        <v>-1.6010792505378999</v>
      </c>
      <c r="BZ6" s="129">
        <f>VLOOKUP($D6,WGI!$C$2:$O$478,2,FALSE)</f>
        <v>-1.63716881377191</v>
      </c>
    </row>
    <row r="7" spans="1:80" ht="15" customHeight="1">
      <c r="A7" s="115" t="s">
        <v>20</v>
      </c>
      <c r="B7" s="116">
        <v>2008</v>
      </c>
      <c r="C7" s="117" t="s">
        <v>21</v>
      </c>
      <c r="D7" s="117" t="s">
        <v>3584</v>
      </c>
      <c r="E7" s="116" t="s">
        <v>22</v>
      </c>
      <c r="F7" s="117"/>
      <c r="G7" s="117" t="s">
        <v>24</v>
      </c>
      <c r="H7" s="117" t="str">
        <f t="shared" si="7"/>
        <v>yes</v>
      </c>
      <c r="I7" s="117" t="str">
        <f t="shared" si="8"/>
        <v>no</v>
      </c>
      <c r="J7" s="117" t="str">
        <f t="shared" si="9"/>
        <v>no</v>
      </c>
      <c r="K7" s="117" t="s">
        <v>622</v>
      </c>
      <c r="L7" s="117" t="str">
        <f t="shared" si="0"/>
        <v>detailed</v>
      </c>
      <c r="M7" s="117" t="str">
        <f t="shared" si="1"/>
        <v>detailed Mining</v>
      </c>
      <c r="N7" s="118">
        <f>((48700/365)*286)+((46400/365)*79)</f>
        <v>48202.191780821915</v>
      </c>
      <c r="O7" s="118"/>
      <c r="P7" s="118"/>
      <c r="Q7" s="118"/>
      <c r="R7" s="118"/>
      <c r="S7" s="117" t="s">
        <v>610</v>
      </c>
      <c r="T7" s="119">
        <f>((25.65/365)*286)+((21.75/365)*79)</f>
        <v>24.805890410958902</v>
      </c>
      <c r="U7" s="117" t="s">
        <v>611</v>
      </c>
      <c r="V7" s="117" t="s">
        <v>623</v>
      </c>
      <c r="W7" s="89">
        <f t="shared" si="10"/>
        <v>1195698.2868830923</v>
      </c>
      <c r="X7" s="117"/>
      <c r="Y7" s="117"/>
      <c r="Z7" s="117"/>
      <c r="AA7" s="121"/>
      <c r="AB7" s="121"/>
      <c r="AC7" s="122"/>
      <c r="AD7" s="122"/>
      <c r="AE7" s="122"/>
      <c r="AF7" s="123"/>
      <c r="AG7" s="117"/>
      <c r="AH7" s="124"/>
      <c r="AI7" s="117"/>
      <c r="AJ7" s="117"/>
      <c r="AK7" s="89"/>
      <c r="AL7" s="117"/>
      <c r="AM7" s="117"/>
      <c r="AN7" s="117"/>
      <c r="AO7" s="117"/>
      <c r="AP7" s="117"/>
      <c r="AQ7" s="117"/>
      <c r="AR7" s="117"/>
      <c r="AS7" s="117"/>
      <c r="AT7" s="117"/>
      <c r="AU7" s="117"/>
      <c r="AV7" s="128"/>
      <c r="AW7" s="117">
        <f>VLOOKUP($D7,'WB Data'!$C$3:$M$578,2,FALSE)</f>
        <v>10190534636.64436</v>
      </c>
      <c r="AX7" s="117">
        <f>VLOOKUP($D7,'WB Data'!$C$3:$M$578,3,FALSE)</f>
        <v>27032197</v>
      </c>
      <c r="AY7" s="847">
        <f t="shared" si="3"/>
        <v>8.8013998478037002E-3</v>
      </c>
      <c r="AZ7" s="117">
        <f>VLOOKUP($D7,'WB Data'!$C$3:$M$578,4,FALSE)/100</f>
        <v>7.9885051964663806E-2</v>
      </c>
      <c r="BA7" s="117">
        <f t="shared" si="4"/>
        <v>814071388.99604106</v>
      </c>
      <c r="BB7" s="129">
        <f>IFERROR(VLOOKUP($D7,'EITI Revenues'!$C$2:$G$224,5,FALSE),"..")</f>
        <v>89690970</v>
      </c>
      <c r="BC7" s="846">
        <f t="shared" si="5"/>
        <v>0.11017580425054857</v>
      </c>
      <c r="BD7" s="129" t="str">
        <f>VLOOKUP($D7,'WB Data 2'!$C$2:$K$545,6,FALSE)</f>
        <v>..</v>
      </c>
      <c r="BE7" s="129" t="str">
        <f>IFERROR(VLOOKUP($D7,UNCTAD!$C$5:$V$529,4,FALSE),"..")</f>
        <v>..</v>
      </c>
      <c r="BF7" s="846" t="str">
        <f t="shared" si="6"/>
        <v>..</v>
      </c>
      <c r="BG7" s="117">
        <f>VLOOKUP($D7,'WB Data'!$C$3:$M$578,5,FALSE)</f>
        <v>4875070000</v>
      </c>
      <c r="BH7" s="129">
        <f>IFERROR($BB7/$BG7,"..")</f>
        <v>1.8397883517570005E-2</v>
      </c>
      <c r="BI7" s="117" t="str">
        <f>IFERROR(VLOOKUP($D7,'WB Data'!$C$3:$M$578,7,FALSE)/100,"..")</f>
        <v>..</v>
      </c>
      <c r="BJ7" s="117" t="str">
        <f>IFERROR($BI7*$AW7,"..")</f>
        <v>..</v>
      </c>
      <c r="BK7" s="846" t="str">
        <f>IFERROR($BB7/$BJ7,"..")</f>
        <v>..</v>
      </c>
      <c r="BL7" s="117" t="str">
        <f>IFERROR(VLOOKUP($D7,'WB Data'!$C$3:$M$578,7,FALSE)/100,"..")</f>
        <v>..</v>
      </c>
      <c r="BM7" s="117" t="str">
        <f>IFERROR($AW7*$BL7,"..")</f>
        <v>..</v>
      </c>
      <c r="BN7" s="846" t="str">
        <f>IFERROR($BB7/$BM7,"..")</f>
        <v>..</v>
      </c>
      <c r="BO7" s="801">
        <f t="shared" si="2"/>
        <v>12</v>
      </c>
      <c r="BP7" s="117">
        <f>VLOOKUP($D7,'WB Data'!$C$3:$M$578,9,FALSE)</f>
        <v>36.299999999999997</v>
      </c>
      <c r="BQ7" s="117">
        <f>VLOOKUP($D7,'WB Data'!$C$3:$M$578,10,FALSE)</f>
        <v>58.607097560975618</v>
      </c>
      <c r="BR7" s="117">
        <f>VLOOKUP($D7,'WB Data'!$C$3:$M$578,11,FALSE)</f>
        <v>78.5</v>
      </c>
      <c r="BS7" s="129" t="str">
        <f>IFERROR(VLOOKUP($D7,'WB Data 2'!$C$2:$K$545,9,FALSE),"..")</f>
        <v>..</v>
      </c>
      <c r="BT7" s="129" t="str">
        <f>_xlfn.IFNA(VLOOKUP($C7,RGI!$A$2:$C$43,2,FALSE),"..")</f>
        <v>..</v>
      </c>
      <c r="BU7" s="129" t="str">
        <f>_xlfn.IFNA(VLOOKUP($C7,RGI!$A$2:$C$43,3,FALSE),"..")</f>
        <v>..</v>
      </c>
      <c r="BV7" s="129">
        <f>VLOOKUP($D7,WGI!$C$2:$O$478,7,FALSE)</f>
        <v>-1.23609569456687</v>
      </c>
      <c r="BW7" s="129">
        <f>VLOOKUP($D7,WGI!$C$2:$O$478,4,FALSE)</f>
        <v>-2.6893530851444698</v>
      </c>
      <c r="BX7" s="129">
        <f>VLOOKUP($D7,WGI!$C$2:$O$478,3,FALSE)</f>
        <v>-1.4784978583419</v>
      </c>
      <c r="BY7" s="129">
        <f>VLOOKUP($D7,WGI!$C$2:$O$478,5,FALSE)</f>
        <v>-1.6010792505378999</v>
      </c>
      <c r="BZ7" s="129">
        <f>VLOOKUP($D7,WGI!$C$2:$O$478,2,FALSE)</f>
        <v>-1.63716881377191</v>
      </c>
    </row>
    <row r="8" spans="1:80" ht="15" customHeight="1">
      <c r="A8" s="115" t="s">
        <v>20</v>
      </c>
      <c r="B8" s="116">
        <v>2008</v>
      </c>
      <c r="C8" s="117" t="s">
        <v>21</v>
      </c>
      <c r="D8" s="117" t="s">
        <v>3584</v>
      </c>
      <c r="E8" s="116" t="s">
        <v>22</v>
      </c>
      <c r="F8" s="117"/>
      <c r="G8" s="117" t="s">
        <v>24</v>
      </c>
      <c r="H8" s="117" t="str">
        <f t="shared" si="7"/>
        <v>yes</v>
      </c>
      <c r="I8" s="117" t="str">
        <f t="shared" si="8"/>
        <v>no</v>
      </c>
      <c r="J8" s="117" t="str">
        <f t="shared" si="9"/>
        <v>no</v>
      </c>
      <c r="K8" s="117" t="s">
        <v>624</v>
      </c>
      <c r="L8" s="117" t="str">
        <f t="shared" si="0"/>
        <v>detailed</v>
      </c>
      <c r="M8" s="117" t="str">
        <f t="shared" si="1"/>
        <v>detailed Mining</v>
      </c>
      <c r="N8" s="118">
        <f>((158200/365)*286)+((180300/365)*79)</f>
        <v>162983.28767123289</v>
      </c>
      <c r="O8" s="118"/>
      <c r="P8" s="118">
        <f>75000*0.90718474</f>
        <v>68038.855500000005</v>
      </c>
      <c r="Q8" s="118"/>
      <c r="R8" s="118"/>
      <c r="S8" s="117" t="s">
        <v>610</v>
      </c>
      <c r="T8" s="119">
        <f>((31.39/365)*286)+((36.08/365)*79)</f>
        <v>32.405095890410962</v>
      </c>
      <c r="U8" s="117" t="s">
        <v>611</v>
      </c>
      <c r="V8" s="117" t="s">
        <v>625</v>
      </c>
      <c r="W8" s="89">
        <f t="shared" si="10"/>
        <v>5281489.0655207364</v>
      </c>
      <c r="X8" s="117"/>
      <c r="Y8" s="117"/>
      <c r="Z8" s="117"/>
      <c r="AA8" s="121"/>
      <c r="AB8" s="121"/>
      <c r="AC8" s="122"/>
      <c r="AD8" s="122"/>
      <c r="AE8" s="122"/>
      <c r="AF8" s="123"/>
      <c r="AG8" s="117"/>
      <c r="AH8" s="124"/>
      <c r="AI8" s="117"/>
      <c r="AJ8" s="117"/>
      <c r="AK8" s="89"/>
      <c r="AL8" s="117"/>
      <c r="AM8" s="117"/>
      <c r="AN8" s="117">
        <v>1</v>
      </c>
      <c r="AO8" s="117" t="s">
        <v>626</v>
      </c>
      <c r="AP8" s="117"/>
      <c r="AQ8" s="117"/>
      <c r="AR8" s="117"/>
      <c r="AS8" s="117"/>
      <c r="AT8" s="117"/>
      <c r="AU8" s="117">
        <v>7</v>
      </c>
      <c r="AV8" s="128"/>
      <c r="AW8" s="117">
        <f>VLOOKUP($D8,'WB Data'!$C$3:$M$578,2,FALSE)</f>
        <v>10190534636.64436</v>
      </c>
      <c r="AX8" s="117">
        <f>VLOOKUP($D8,'WB Data'!$C$3:$M$578,3,FALSE)</f>
        <v>27032197</v>
      </c>
      <c r="AY8" s="847">
        <f t="shared" si="3"/>
        <v>8.8013998478037002E-3</v>
      </c>
      <c r="AZ8" s="117">
        <f>VLOOKUP($D8,'WB Data'!$C$3:$M$578,4,FALSE)/100</f>
        <v>7.9885051964663806E-2</v>
      </c>
      <c r="BA8" s="117">
        <f t="shared" si="4"/>
        <v>814071388.99604106</v>
      </c>
      <c r="BB8" s="129">
        <f>IFERROR(VLOOKUP($D8,'EITI Revenues'!$C$2:$G$224,5,FALSE),"..")</f>
        <v>89690970</v>
      </c>
      <c r="BC8" s="846">
        <f t="shared" si="5"/>
        <v>0.11017580425054857</v>
      </c>
      <c r="BD8" s="129" t="str">
        <f>VLOOKUP($D8,'WB Data 2'!$C$2:$K$545,6,FALSE)</f>
        <v>..</v>
      </c>
      <c r="BE8" s="129" t="str">
        <f>IFERROR(VLOOKUP($D8,UNCTAD!$C$5:$V$529,4,FALSE),"..")</f>
        <v>..</v>
      </c>
      <c r="BF8" s="846" t="str">
        <f t="shared" si="6"/>
        <v>..</v>
      </c>
      <c r="BG8" s="117">
        <f>VLOOKUP($D8,'WB Data'!$C$3:$M$578,5,FALSE)</f>
        <v>4875070000</v>
      </c>
      <c r="BH8" s="129">
        <f>IFERROR($BB8/$BG8,"..")</f>
        <v>1.8397883517570005E-2</v>
      </c>
      <c r="BI8" s="117" t="str">
        <f>IFERROR(VLOOKUP($D8,'WB Data'!$C$3:$M$578,7,FALSE)/100,"..")</f>
        <v>..</v>
      </c>
      <c r="BJ8" s="117" t="str">
        <f>IFERROR($BI8*$AW8,"..")</f>
        <v>..</v>
      </c>
      <c r="BK8" s="846" t="str">
        <f>IFERROR($BB8/$BJ8,"..")</f>
        <v>..</v>
      </c>
      <c r="BL8" s="117" t="str">
        <f>IFERROR(VLOOKUP($D8,'WB Data'!$C$3:$M$578,7,FALSE)/100,"..")</f>
        <v>..</v>
      </c>
      <c r="BM8" s="117" t="str">
        <f>IFERROR($AW8*$BL8,"..")</f>
        <v>..</v>
      </c>
      <c r="BN8" s="846" t="str">
        <f>IFERROR($BB8/$BM8,"..")</f>
        <v>..</v>
      </c>
      <c r="BO8" s="801">
        <f t="shared" si="2"/>
        <v>12</v>
      </c>
      <c r="BP8" s="117">
        <f>VLOOKUP($D8,'WB Data'!$C$3:$M$578,9,FALSE)</f>
        <v>36.299999999999997</v>
      </c>
      <c r="BQ8" s="117">
        <f>VLOOKUP($D8,'WB Data'!$C$3:$M$578,10,FALSE)</f>
        <v>58.607097560975618</v>
      </c>
      <c r="BR8" s="117">
        <f>VLOOKUP($D8,'WB Data'!$C$3:$M$578,11,FALSE)</f>
        <v>78.5</v>
      </c>
      <c r="BS8" s="129" t="str">
        <f>IFERROR(VLOOKUP($D8,'WB Data 2'!$C$2:$K$545,9,FALSE),"..")</f>
        <v>..</v>
      </c>
      <c r="BT8" s="129" t="str">
        <f>_xlfn.IFNA(VLOOKUP($C8,RGI!$A$2:$C$43,2,FALSE),"..")</f>
        <v>..</v>
      </c>
      <c r="BU8" s="129" t="str">
        <f>_xlfn.IFNA(VLOOKUP($C8,RGI!$A$2:$C$43,3,FALSE),"..")</f>
        <v>..</v>
      </c>
      <c r="BV8" s="129">
        <f>VLOOKUP($D8,WGI!$C$2:$O$478,7,FALSE)</f>
        <v>-1.23609569456687</v>
      </c>
      <c r="BW8" s="129">
        <f>VLOOKUP($D8,WGI!$C$2:$O$478,4,FALSE)</f>
        <v>-2.6893530851444698</v>
      </c>
      <c r="BX8" s="129">
        <f>VLOOKUP($D8,WGI!$C$2:$O$478,3,FALSE)</f>
        <v>-1.4784978583419</v>
      </c>
      <c r="BY8" s="129">
        <f>VLOOKUP($D8,WGI!$C$2:$O$478,5,FALSE)</f>
        <v>-1.6010792505378999</v>
      </c>
      <c r="BZ8" s="129">
        <f>VLOOKUP($D8,WGI!$C$2:$O$478,2,FALSE)</f>
        <v>-1.63716881377191</v>
      </c>
    </row>
    <row r="9" spans="1:80" ht="15" customHeight="1">
      <c r="A9" s="115" t="s">
        <v>20</v>
      </c>
      <c r="B9" s="116">
        <v>2008</v>
      </c>
      <c r="C9" s="117" t="s">
        <v>21</v>
      </c>
      <c r="D9" s="117" t="s">
        <v>3584</v>
      </c>
      <c r="E9" s="116" t="s">
        <v>22</v>
      </c>
      <c r="F9" s="117"/>
      <c r="G9" s="117" t="s">
        <v>24</v>
      </c>
      <c r="H9" s="117" t="str">
        <f t="shared" si="7"/>
        <v>yes</v>
      </c>
      <c r="I9" s="117" t="str">
        <f t="shared" si="8"/>
        <v>no</v>
      </c>
      <c r="J9" s="117" t="str">
        <f t="shared" si="9"/>
        <v>no</v>
      </c>
      <c r="K9" s="117" t="s">
        <v>627</v>
      </c>
      <c r="L9" s="117" t="str">
        <f t="shared" si="0"/>
        <v>detailed</v>
      </c>
      <c r="M9" s="117" t="str">
        <f t="shared" si="1"/>
        <v>detailed Mining</v>
      </c>
      <c r="N9" s="118">
        <v>200000</v>
      </c>
      <c r="O9" s="118"/>
      <c r="P9" s="118"/>
      <c r="Q9" s="118"/>
      <c r="R9" s="118"/>
      <c r="S9" s="117" t="s">
        <v>610</v>
      </c>
      <c r="T9" s="119">
        <f>((125/365)*286)+((111/365)*79)</f>
        <v>121.96986301369864</v>
      </c>
      <c r="U9" s="117" t="s">
        <v>611</v>
      </c>
      <c r="V9" s="117" t="s">
        <v>628</v>
      </c>
      <c r="W9" s="89">
        <f t="shared" si="10"/>
        <v>24393972.602739729</v>
      </c>
      <c r="X9" s="117"/>
      <c r="Y9" s="117"/>
      <c r="Z9" s="117"/>
      <c r="AA9" s="121"/>
      <c r="AB9" s="121"/>
      <c r="AC9" s="122"/>
      <c r="AD9" s="122"/>
      <c r="AE9" s="122"/>
      <c r="AF9" s="123"/>
      <c r="AG9" s="117"/>
      <c r="AH9" s="124"/>
      <c r="AI9" s="117"/>
      <c r="AJ9" s="117"/>
      <c r="AK9" s="89"/>
      <c r="AL9" s="117"/>
      <c r="AM9" s="117"/>
      <c r="AN9" s="117"/>
      <c r="AO9" s="117"/>
      <c r="AP9" s="117"/>
      <c r="AQ9" s="117"/>
      <c r="AR9" s="117"/>
      <c r="AS9" s="117"/>
      <c r="AT9" s="117"/>
      <c r="AU9" s="117"/>
      <c r="AV9" s="128"/>
      <c r="AW9" s="117">
        <f>VLOOKUP($D9,'WB Data'!$C$3:$M$578,2,FALSE)</f>
        <v>10190534636.64436</v>
      </c>
      <c r="AX9" s="117">
        <f>VLOOKUP($D9,'WB Data'!$C$3:$M$578,3,FALSE)</f>
        <v>27032197</v>
      </c>
      <c r="AY9" s="847">
        <f t="shared" si="3"/>
        <v>8.8013998478037002E-3</v>
      </c>
      <c r="AZ9" s="117">
        <f>VLOOKUP($D9,'WB Data'!$C$3:$M$578,4,FALSE)/100</f>
        <v>7.9885051964663806E-2</v>
      </c>
      <c r="BA9" s="117">
        <f t="shared" si="4"/>
        <v>814071388.99604106</v>
      </c>
      <c r="BB9" s="129">
        <f>IFERROR(VLOOKUP($D9,'EITI Revenues'!$C$2:$G$224,5,FALSE),"..")</f>
        <v>89690970</v>
      </c>
      <c r="BC9" s="846">
        <f t="shared" si="5"/>
        <v>0.11017580425054857</v>
      </c>
      <c r="BD9" s="129" t="str">
        <f>VLOOKUP($D9,'WB Data 2'!$C$2:$K$545,6,FALSE)</f>
        <v>..</v>
      </c>
      <c r="BE9" s="129" t="str">
        <f>IFERROR(VLOOKUP($D9,UNCTAD!$C$5:$V$529,4,FALSE),"..")</f>
        <v>..</v>
      </c>
      <c r="BF9" s="846" t="str">
        <f t="shared" si="6"/>
        <v>..</v>
      </c>
      <c r="BG9" s="117">
        <f>VLOOKUP($D9,'WB Data'!$C$3:$M$578,5,FALSE)</f>
        <v>4875070000</v>
      </c>
      <c r="BH9" s="129">
        <f>IFERROR($BB9/$BG9,"..")</f>
        <v>1.8397883517570005E-2</v>
      </c>
      <c r="BI9" s="117" t="str">
        <f>IFERROR(VLOOKUP($D9,'WB Data'!$C$3:$M$578,7,FALSE)/100,"..")</f>
        <v>..</v>
      </c>
      <c r="BJ9" s="117" t="str">
        <f>IFERROR($BI9*$AW9,"..")</f>
        <v>..</v>
      </c>
      <c r="BK9" s="846" t="str">
        <f>IFERROR($BB9/$BJ9,"..")</f>
        <v>..</v>
      </c>
      <c r="BL9" s="117" t="str">
        <f>IFERROR(VLOOKUP($D9,'WB Data'!$C$3:$M$578,7,FALSE)/100,"..")</f>
        <v>..</v>
      </c>
      <c r="BM9" s="117" t="str">
        <f>IFERROR($AW9*$BL9,"..")</f>
        <v>..</v>
      </c>
      <c r="BN9" s="846" t="str">
        <f>IFERROR($BB9/$BM9,"..")</f>
        <v>..</v>
      </c>
      <c r="BO9" s="801">
        <f t="shared" si="2"/>
        <v>12</v>
      </c>
      <c r="BP9" s="117">
        <f>VLOOKUP($D9,'WB Data'!$C$3:$M$578,9,FALSE)</f>
        <v>36.299999999999997</v>
      </c>
      <c r="BQ9" s="117">
        <f>VLOOKUP($D9,'WB Data'!$C$3:$M$578,10,FALSE)</f>
        <v>58.607097560975618</v>
      </c>
      <c r="BR9" s="117">
        <f>VLOOKUP($D9,'WB Data'!$C$3:$M$578,11,FALSE)</f>
        <v>78.5</v>
      </c>
      <c r="BS9" s="129" t="str">
        <f>IFERROR(VLOOKUP($D9,'WB Data 2'!$C$2:$K$545,9,FALSE),"..")</f>
        <v>..</v>
      </c>
      <c r="BT9" s="129" t="str">
        <f>_xlfn.IFNA(VLOOKUP($C9,RGI!$A$2:$C$43,2,FALSE),"..")</f>
        <v>..</v>
      </c>
      <c r="BU9" s="129" t="str">
        <f>_xlfn.IFNA(VLOOKUP($C9,RGI!$A$2:$C$43,3,FALSE),"..")</f>
        <v>..</v>
      </c>
      <c r="BV9" s="129">
        <f>VLOOKUP($D9,WGI!$C$2:$O$478,7,FALSE)</f>
        <v>-1.23609569456687</v>
      </c>
      <c r="BW9" s="129">
        <f>VLOOKUP($D9,WGI!$C$2:$O$478,4,FALSE)</f>
        <v>-2.6893530851444698</v>
      </c>
      <c r="BX9" s="129">
        <f>VLOOKUP($D9,WGI!$C$2:$O$478,3,FALSE)</f>
        <v>-1.4784978583419</v>
      </c>
      <c r="BY9" s="129">
        <f>VLOOKUP($D9,WGI!$C$2:$O$478,5,FALSE)</f>
        <v>-1.6010792505378999</v>
      </c>
      <c r="BZ9" s="129">
        <f>VLOOKUP($D9,WGI!$C$2:$O$478,2,FALSE)</f>
        <v>-1.63716881377191</v>
      </c>
    </row>
    <row r="10" spans="1:80" s="144" customFormat="1" ht="15" customHeight="1">
      <c r="A10" s="130" t="s">
        <v>29</v>
      </c>
      <c r="B10" s="131">
        <v>2009</v>
      </c>
      <c r="C10" s="132" t="s">
        <v>21</v>
      </c>
      <c r="D10" s="117" t="s">
        <v>3618</v>
      </c>
      <c r="E10" s="131" t="s">
        <v>22</v>
      </c>
      <c r="F10" s="132" t="s">
        <v>599</v>
      </c>
      <c r="G10" s="132" t="s">
        <v>24</v>
      </c>
      <c r="H10" s="117" t="str">
        <f t="shared" si="7"/>
        <v>yes</v>
      </c>
      <c r="I10" s="117" t="str">
        <f t="shared" si="8"/>
        <v>no</v>
      </c>
      <c r="J10" s="117" t="str">
        <f t="shared" si="9"/>
        <v>no</v>
      </c>
      <c r="K10" s="132" t="s">
        <v>600</v>
      </c>
      <c r="L10" s="117" t="str">
        <f t="shared" si="0"/>
        <v>Total</v>
      </c>
      <c r="M10" s="117" t="str">
        <f t="shared" si="1"/>
        <v>Total Mining</v>
      </c>
      <c r="N10" s="133"/>
      <c r="O10" s="133"/>
      <c r="P10" s="133"/>
      <c r="Q10" s="133"/>
      <c r="R10" s="133"/>
      <c r="S10" s="132"/>
      <c r="T10" s="134"/>
      <c r="U10" s="132"/>
      <c r="V10" s="132"/>
      <c r="W10" s="135">
        <f>SUM(W11:W17)</f>
        <v>80652289.499833688</v>
      </c>
      <c r="X10" s="136" t="s">
        <v>601</v>
      </c>
      <c r="Y10" s="132" t="s">
        <v>602</v>
      </c>
      <c r="Z10" s="132" t="s">
        <v>603</v>
      </c>
      <c r="AA10" s="137">
        <v>7788994</v>
      </c>
      <c r="AB10" s="137">
        <v>13964717</v>
      </c>
      <c r="AC10" s="138"/>
      <c r="AD10" s="138"/>
      <c r="AE10" s="138"/>
      <c r="AF10" s="139">
        <f>AA10/W10</f>
        <v>9.6574989356204968E-2</v>
      </c>
      <c r="AG10" s="132" t="s">
        <v>604</v>
      </c>
      <c r="AH10" s="140">
        <v>45.7</v>
      </c>
      <c r="AI10" s="132" t="s">
        <v>605</v>
      </c>
      <c r="AJ10" s="132"/>
      <c r="AK10" s="135"/>
      <c r="AL10" s="132"/>
      <c r="AM10" s="132"/>
      <c r="AN10" s="132">
        <v>6</v>
      </c>
      <c r="AO10" s="132" t="s">
        <v>629</v>
      </c>
      <c r="AP10" s="132">
        <v>5</v>
      </c>
      <c r="AQ10" s="136" t="s">
        <v>23</v>
      </c>
      <c r="AR10" s="141">
        <v>41885</v>
      </c>
      <c r="AS10" s="132" t="s">
        <v>607</v>
      </c>
      <c r="AT10" s="142" t="s">
        <v>25</v>
      </c>
      <c r="AU10" s="132">
        <v>14</v>
      </c>
      <c r="AV10" s="143" t="s">
        <v>630</v>
      </c>
      <c r="AW10" s="117">
        <f>VLOOKUP($D10,'WB Data'!$C$3:$M$578,2,FALSE)</f>
        <v>12486950468.17728</v>
      </c>
      <c r="AX10" s="117">
        <f>VLOOKUP($D10,'WB Data'!$C$3:$M$578,3,FALSE)</f>
        <v>27708187</v>
      </c>
      <c r="AY10" s="847">
        <f t="shared" si="3"/>
        <v>6.2377071326182325E-4</v>
      </c>
      <c r="AZ10" s="117">
        <f>VLOOKUP($D10,'WB Data'!$C$3:$M$578,4,FALSE)/100</f>
        <v>0.10516781151629283</v>
      </c>
      <c r="BA10" s="117">
        <f t="shared" si="4"/>
        <v>1313225253.2505527</v>
      </c>
      <c r="BB10" s="129">
        <f>IFERROR(VLOOKUP($D10,'EITI Revenues'!$C$2:$G$224,5,FALSE),"..")</f>
        <v>7788994</v>
      </c>
      <c r="BC10" s="846">
        <f t="shared" si="5"/>
        <v>5.9311941959083875E-3</v>
      </c>
      <c r="BD10" s="129" t="str">
        <f>VLOOKUP($D10,'WB Data 2'!$C$2:$K$545,6,FALSE)</f>
        <v>..</v>
      </c>
      <c r="BE10" s="129">
        <f>IFERROR(VLOOKUP($D10,UNCTAD!$C$5:$V$529,4,FALSE),"..")</f>
        <v>4410774000</v>
      </c>
      <c r="BF10" s="846" t="str">
        <f t="shared" si="6"/>
        <v>..</v>
      </c>
      <c r="BG10" s="117">
        <f>VLOOKUP($D10,'WB Data'!$C$3:$M$578,5,FALSE)</f>
        <v>6235260000</v>
      </c>
      <c r="BH10" s="129">
        <f>IFERROR($BB10/$BG10,"..")</f>
        <v>1.2491851181827222E-3</v>
      </c>
      <c r="BI10" s="117" t="str">
        <f>IFERROR(VLOOKUP($D10,'WB Data'!$C$3:$M$578,7,FALSE)/100,"..")</f>
        <v>..</v>
      </c>
      <c r="BJ10" s="117" t="str">
        <f>IFERROR($BI10*$AW10,"..")</f>
        <v>..</v>
      </c>
      <c r="BK10" s="846" t="str">
        <f>IFERROR($BB10/$BJ10,"..")</f>
        <v>..</v>
      </c>
      <c r="BL10" s="117" t="str">
        <f>IFERROR(VLOOKUP($D10,'WB Data'!$C$3:$M$578,7,FALSE)/100,"..")</f>
        <v>..</v>
      </c>
      <c r="BM10" s="117" t="str">
        <f>IFERROR($AW10*$BL10,"..")</f>
        <v>..</v>
      </c>
      <c r="BN10" s="846" t="str">
        <f>IFERROR($BB10/$BM10,"..")</f>
        <v>..</v>
      </c>
      <c r="BO10" s="801">
        <f t="shared" si="2"/>
        <v>12</v>
      </c>
      <c r="BP10" s="117" t="str">
        <f>VLOOKUP($D10,'WB Data'!$C$3:$M$578,9,FALSE)</f>
        <v>..</v>
      </c>
      <c r="BQ10" s="117">
        <f>VLOOKUP($D10,'WB Data'!$C$3:$M$578,10,FALSE)</f>
        <v>59.112341463414637</v>
      </c>
      <c r="BR10" s="117">
        <f>VLOOKUP($D10,'WB Data'!$C$3:$M$578,11,FALSE)</f>
        <v>76.900000000000006</v>
      </c>
      <c r="BS10" s="129" t="str">
        <f>IFERROR(VLOOKUP($D10,'WB Data 2'!$C$2:$K$545,9,FALSE),"..")</f>
        <v>..</v>
      </c>
      <c r="BT10" s="129" t="str">
        <f>_xlfn.IFNA(VLOOKUP($C10,RGI!$A$2:$C$43,2,FALSE),"..")</f>
        <v>..</v>
      </c>
      <c r="BU10" s="129" t="str">
        <f>_xlfn.IFNA(VLOOKUP($C10,RGI!$A$2:$C$43,3,FALSE),"..")</f>
        <v>..</v>
      </c>
      <c r="BV10" s="129">
        <f>VLOOKUP($D10,WGI!$C$2:$O$478,7,FALSE)</f>
        <v>-1.4604511925908701</v>
      </c>
      <c r="BW10" s="129">
        <f>VLOOKUP($D10,WGI!$C$2:$O$478,4,FALSE)</f>
        <v>-2.7044499801217099</v>
      </c>
      <c r="BX10" s="129">
        <f>VLOOKUP($D10,WGI!$C$2:$O$478,3,FALSE)</f>
        <v>-1.49946594356579</v>
      </c>
      <c r="BY10" s="129">
        <f>VLOOKUP($D10,WGI!$C$2:$O$478,5,FALSE)</f>
        <v>-1.67010510633739</v>
      </c>
      <c r="BZ10" s="129">
        <f>VLOOKUP($D10,WGI!$C$2:$O$478,2,FALSE)</f>
        <v>-1.51327923804473</v>
      </c>
      <c r="CB10" s="129"/>
    </row>
    <row r="11" spans="1:80" s="120" customFormat="1" ht="15" customHeight="1">
      <c r="A11" s="145" t="s">
        <v>29</v>
      </c>
      <c r="B11" s="116">
        <v>2009</v>
      </c>
      <c r="C11" s="117" t="s">
        <v>21</v>
      </c>
      <c r="D11" s="117" t="s">
        <v>3618</v>
      </c>
      <c r="E11" s="116" t="s">
        <v>22</v>
      </c>
      <c r="F11" s="117"/>
      <c r="G11" s="117" t="s">
        <v>24</v>
      </c>
      <c r="H11" s="117" t="str">
        <f t="shared" si="7"/>
        <v>yes</v>
      </c>
      <c r="I11" s="117" t="str">
        <f t="shared" si="8"/>
        <v>no</v>
      </c>
      <c r="J11" s="117" t="str">
        <f t="shared" si="9"/>
        <v>no</v>
      </c>
      <c r="K11" s="117" t="s">
        <v>609</v>
      </c>
      <c r="L11" s="117" t="str">
        <f t="shared" si="0"/>
        <v>detailed</v>
      </c>
      <c r="M11" s="117" t="str">
        <f t="shared" si="1"/>
        <v>detailed Mining</v>
      </c>
      <c r="N11" s="118">
        <f>((31500/365)*286)+((35600/365)*79)</f>
        <v>32387.397260273974</v>
      </c>
      <c r="O11" s="118"/>
      <c r="P11" s="118"/>
      <c r="Q11" s="118"/>
      <c r="R11" s="118"/>
      <c r="S11" s="117" t="s">
        <v>610</v>
      </c>
      <c r="T11" s="119">
        <f>((99/365)*286)+((92/365)*79)</f>
        <v>97.484931506849307</v>
      </c>
      <c r="U11" s="117" t="s">
        <v>611</v>
      </c>
      <c r="V11" s="117" t="s">
        <v>631</v>
      </c>
      <c r="W11" s="89">
        <f t="shared" ref="W11:W17" si="11">N11*T11</f>
        <v>3157283.2036029273</v>
      </c>
      <c r="X11" s="117"/>
      <c r="Y11" s="117"/>
      <c r="Z11" s="117"/>
      <c r="AA11" s="121"/>
      <c r="AB11" s="121"/>
      <c r="AC11" s="122"/>
      <c r="AD11" s="122"/>
      <c r="AE11" s="122"/>
      <c r="AF11" s="123"/>
      <c r="AG11" s="117"/>
      <c r="AH11" s="124"/>
      <c r="AI11" s="117"/>
      <c r="AJ11" s="117"/>
      <c r="AK11" s="89"/>
      <c r="AL11" s="117"/>
      <c r="AM11" s="117"/>
      <c r="AN11" s="117">
        <v>1</v>
      </c>
      <c r="AO11" s="117" t="s">
        <v>613</v>
      </c>
      <c r="AP11" s="117">
        <v>1</v>
      </c>
      <c r="AQ11" s="117"/>
      <c r="AR11" s="117"/>
      <c r="AS11" s="117"/>
      <c r="AT11" s="117"/>
      <c r="AU11" s="117"/>
      <c r="AV11" s="128"/>
      <c r="AW11" s="117">
        <f>VLOOKUP($D11,'WB Data'!$C$3:$M$578,2,FALSE)</f>
        <v>12486950468.17728</v>
      </c>
      <c r="AX11" s="117">
        <f>VLOOKUP($D11,'WB Data'!$C$3:$M$578,3,FALSE)</f>
        <v>27708187</v>
      </c>
      <c r="AY11" s="847">
        <f t="shared" si="3"/>
        <v>6.2377071326182325E-4</v>
      </c>
      <c r="AZ11" s="117">
        <f>VLOOKUP($D11,'WB Data'!$C$3:$M$578,4,FALSE)/100</f>
        <v>0.10516781151629283</v>
      </c>
      <c r="BA11" s="117">
        <f t="shared" si="4"/>
        <v>1313225253.2505527</v>
      </c>
      <c r="BB11" s="129">
        <f>IFERROR(VLOOKUP($D11,'EITI Revenues'!$C$2:$G$224,5,FALSE),"..")</f>
        <v>7788994</v>
      </c>
      <c r="BC11" s="846">
        <f t="shared" si="5"/>
        <v>5.9311941959083875E-3</v>
      </c>
      <c r="BD11" s="129" t="str">
        <f>VLOOKUP($D11,'WB Data 2'!$C$2:$K$545,6,FALSE)</f>
        <v>..</v>
      </c>
      <c r="BE11" s="129">
        <f>IFERROR(VLOOKUP($D11,UNCTAD!$C$5:$V$529,4,FALSE),"..")</f>
        <v>4410774000</v>
      </c>
      <c r="BF11" s="846" t="str">
        <f t="shared" si="6"/>
        <v>..</v>
      </c>
      <c r="BG11" s="117">
        <f>VLOOKUP($D11,'WB Data'!$C$3:$M$578,5,FALSE)</f>
        <v>6235260000</v>
      </c>
      <c r="BH11" s="129">
        <f>IFERROR($BB11/$BG11,"..")</f>
        <v>1.2491851181827222E-3</v>
      </c>
      <c r="BI11" s="117" t="str">
        <f>IFERROR(VLOOKUP($D11,'WB Data'!$C$3:$M$578,7,FALSE)/100,"..")</f>
        <v>..</v>
      </c>
      <c r="BJ11" s="117" t="str">
        <f>IFERROR($BI11*$AW11,"..")</f>
        <v>..</v>
      </c>
      <c r="BK11" s="846" t="str">
        <f>IFERROR($BB11/$BJ11,"..")</f>
        <v>..</v>
      </c>
      <c r="BL11" s="117" t="str">
        <f>IFERROR(VLOOKUP($D11,'WB Data'!$C$3:$M$578,7,FALSE)/100,"..")</f>
        <v>..</v>
      </c>
      <c r="BM11" s="117" t="str">
        <f>IFERROR($AW11*$BL11,"..")</f>
        <v>..</v>
      </c>
      <c r="BN11" s="846" t="str">
        <f>IFERROR($BB11/$BM11,"..")</f>
        <v>..</v>
      </c>
      <c r="BO11" s="801">
        <f t="shared" si="2"/>
        <v>12</v>
      </c>
      <c r="BP11" s="117" t="str">
        <f>VLOOKUP($D11,'WB Data'!$C$3:$M$578,9,FALSE)</f>
        <v>..</v>
      </c>
      <c r="BQ11" s="117">
        <f>VLOOKUP($D11,'WB Data'!$C$3:$M$578,10,FALSE)</f>
        <v>59.112341463414637</v>
      </c>
      <c r="BR11" s="117">
        <f>VLOOKUP($D11,'WB Data'!$C$3:$M$578,11,FALSE)</f>
        <v>76.900000000000006</v>
      </c>
      <c r="BS11" s="129" t="str">
        <f>IFERROR(VLOOKUP($D11,'WB Data 2'!$C$2:$K$545,9,FALSE),"..")</f>
        <v>..</v>
      </c>
      <c r="BT11" s="129" t="str">
        <f>_xlfn.IFNA(VLOOKUP($C11,RGI!$A$2:$C$43,2,FALSE),"..")</f>
        <v>..</v>
      </c>
      <c r="BU11" s="129" t="str">
        <f>_xlfn.IFNA(VLOOKUP($C11,RGI!$A$2:$C$43,3,FALSE),"..")</f>
        <v>..</v>
      </c>
      <c r="BV11" s="129">
        <f>VLOOKUP($D11,WGI!$C$2:$O$478,7,FALSE)</f>
        <v>-1.4604511925908701</v>
      </c>
      <c r="BW11" s="129">
        <f>VLOOKUP($D11,WGI!$C$2:$O$478,4,FALSE)</f>
        <v>-2.7044499801217099</v>
      </c>
      <c r="BX11" s="129">
        <f>VLOOKUP($D11,WGI!$C$2:$O$478,3,FALSE)</f>
        <v>-1.49946594356579</v>
      </c>
      <c r="BY11" s="129">
        <f>VLOOKUP($D11,WGI!$C$2:$O$478,5,FALSE)</f>
        <v>-1.67010510633739</v>
      </c>
      <c r="BZ11" s="129">
        <f>VLOOKUP($D11,WGI!$C$2:$O$478,2,FALSE)</f>
        <v>-1.51327923804473</v>
      </c>
      <c r="CB11" s="129"/>
    </row>
    <row r="12" spans="1:80" s="120" customFormat="1" ht="15" customHeight="1">
      <c r="A12" s="145" t="s">
        <v>29</v>
      </c>
      <c r="B12" s="116">
        <v>2009</v>
      </c>
      <c r="C12" s="117" t="s">
        <v>21</v>
      </c>
      <c r="D12" s="117" t="s">
        <v>3618</v>
      </c>
      <c r="E12" s="116" t="s">
        <v>22</v>
      </c>
      <c r="F12" s="117"/>
      <c r="G12" s="117" t="s">
        <v>24</v>
      </c>
      <c r="H12" s="117" t="str">
        <f t="shared" si="7"/>
        <v>yes</v>
      </c>
      <c r="I12" s="117" t="str">
        <f t="shared" si="8"/>
        <v>no</v>
      </c>
      <c r="J12" s="117" t="str">
        <f t="shared" si="9"/>
        <v>no</v>
      </c>
      <c r="K12" s="117" t="s">
        <v>614</v>
      </c>
      <c r="L12" s="117" t="str">
        <f t="shared" si="0"/>
        <v>detailed</v>
      </c>
      <c r="M12" s="117" t="str">
        <f t="shared" si="1"/>
        <v>detailed Mining</v>
      </c>
      <c r="N12" s="118">
        <f>((6700/365)*286)+((5727/365)*79)</f>
        <v>6489.4054794520553</v>
      </c>
      <c r="O12" s="118"/>
      <c r="P12" s="118"/>
      <c r="Q12" s="118"/>
      <c r="R12" s="118"/>
      <c r="S12" s="117" t="s">
        <v>610</v>
      </c>
      <c r="T12" s="119">
        <f>((227/365)*286)+((227/365)*79)</f>
        <v>227</v>
      </c>
      <c r="U12" s="117" t="s">
        <v>611</v>
      </c>
      <c r="V12" s="117" t="s">
        <v>632</v>
      </c>
      <c r="W12" s="89">
        <f t="shared" si="11"/>
        <v>1473095.0438356164</v>
      </c>
      <c r="X12" s="117"/>
      <c r="Y12" s="117"/>
      <c r="Z12" s="117"/>
      <c r="AA12" s="121"/>
      <c r="AB12" s="121"/>
      <c r="AC12" s="122"/>
      <c r="AD12" s="122"/>
      <c r="AE12" s="122"/>
      <c r="AF12" s="123"/>
      <c r="AG12" s="117"/>
      <c r="AH12" s="124"/>
      <c r="AI12" s="117"/>
      <c r="AJ12" s="117"/>
      <c r="AK12" s="89"/>
      <c r="AL12" s="117"/>
      <c r="AM12" s="117"/>
      <c r="AN12" s="117"/>
      <c r="AO12" s="117"/>
      <c r="AP12" s="117"/>
      <c r="AQ12" s="117"/>
      <c r="AR12" s="117"/>
      <c r="AS12" s="117"/>
      <c r="AT12" s="117"/>
      <c r="AU12" s="117"/>
      <c r="AV12" s="128"/>
      <c r="AW12" s="117">
        <f>VLOOKUP($D12,'WB Data'!$C$3:$M$578,2,FALSE)</f>
        <v>12486950468.17728</v>
      </c>
      <c r="AX12" s="117">
        <f>VLOOKUP($D12,'WB Data'!$C$3:$M$578,3,FALSE)</f>
        <v>27708187</v>
      </c>
      <c r="AY12" s="847">
        <f t="shared" si="3"/>
        <v>6.2377071326182325E-4</v>
      </c>
      <c r="AZ12" s="117">
        <f>VLOOKUP($D12,'WB Data'!$C$3:$M$578,4,FALSE)/100</f>
        <v>0.10516781151629283</v>
      </c>
      <c r="BA12" s="117">
        <f t="shared" si="4"/>
        <v>1313225253.2505527</v>
      </c>
      <c r="BB12" s="129">
        <f>IFERROR(VLOOKUP($D12,'EITI Revenues'!$C$2:$G$224,5,FALSE),"..")</f>
        <v>7788994</v>
      </c>
      <c r="BC12" s="846">
        <f t="shared" si="5"/>
        <v>5.9311941959083875E-3</v>
      </c>
      <c r="BD12" s="129" t="str">
        <f>VLOOKUP($D12,'WB Data 2'!$C$2:$K$545,6,FALSE)</f>
        <v>..</v>
      </c>
      <c r="BE12" s="129">
        <f>IFERROR(VLOOKUP($D12,UNCTAD!$C$5:$V$529,4,FALSE),"..")</f>
        <v>4410774000</v>
      </c>
      <c r="BF12" s="846" t="str">
        <f t="shared" si="6"/>
        <v>..</v>
      </c>
      <c r="BG12" s="117">
        <f>VLOOKUP($D12,'WB Data'!$C$3:$M$578,5,FALSE)</f>
        <v>6235260000</v>
      </c>
      <c r="BH12" s="129">
        <f>IFERROR($BB12/$BG12,"..")</f>
        <v>1.2491851181827222E-3</v>
      </c>
      <c r="BI12" s="117" t="str">
        <f>IFERROR(VLOOKUP($D12,'WB Data'!$C$3:$M$578,7,FALSE)/100,"..")</f>
        <v>..</v>
      </c>
      <c r="BJ12" s="117" t="str">
        <f>IFERROR($BI12*$AW12,"..")</f>
        <v>..</v>
      </c>
      <c r="BK12" s="846" t="str">
        <f>IFERROR($BB12/$BJ12,"..")</f>
        <v>..</v>
      </c>
      <c r="BL12" s="117" t="str">
        <f>IFERROR(VLOOKUP($D12,'WB Data'!$C$3:$M$578,7,FALSE)/100,"..")</f>
        <v>..</v>
      </c>
      <c r="BM12" s="117" t="str">
        <f>IFERROR($AW12*$BL12,"..")</f>
        <v>..</v>
      </c>
      <c r="BN12" s="846" t="str">
        <f>IFERROR($BB12/$BM12,"..")</f>
        <v>..</v>
      </c>
      <c r="BO12" s="801">
        <f t="shared" si="2"/>
        <v>12</v>
      </c>
      <c r="BP12" s="117" t="str">
        <f>VLOOKUP($D12,'WB Data'!$C$3:$M$578,9,FALSE)</f>
        <v>..</v>
      </c>
      <c r="BQ12" s="117">
        <f>VLOOKUP($D12,'WB Data'!$C$3:$M$578,10,FALSE)</f>
        <v>59.112341463414637</v>
      </c>
      <c r="BR12" s="117">
        <f>VLOOKUP($D12,'WB Data'!$C$3:$M$578,11,FALSE)</f>
        <v>76.900000000000006</v>
      </c>
      <c r="BS12" s="129" t="str">
        <f>IFERROR(VLOOKUP($D12,'WB Data 2'!$C$2:$K$545,9,FALSE),"..")</f>
        <v>..</v>
      </c>
      <c r="BT12" s="129" t="str">
        <f>_xlfn.IFNA(VLOOKUP($C12,RGI!$A$2:$C$43,2,FALSE),"..")</f>
        <v>..</v>
      </c>
      <c r="BU12" s="129" t="str">
        <f>_xlfn.IFNA(VLOOKUP($C12,RGI!$A$2:$C$43,3,FALSE),"..")</f>
        <v>..</v>
      </c>
      <c r="BV12" s="129">
        <f>VLOOKUP($D12,WGI!$C$2:$O$478,7,FALSE)</f>
        <v>-1.4604511925908701</v>
      </c>
      <c r="BW12" s="129">
        <f>VLOOKUP($D12,WGI!$C$2:$O$478,4,FALSE)</f>
        <v>-2.7044499801217099</v>
      </c>
      <c r="BX12" s="129">
        <f>VLOOKUP($D12,WGI!$C$2:$O$478,3,FALSE)</f>
        <v>-1.49946594356579</v>
      </c>
      <c r="BY12" s="129">
        <f>VLOOKUP($D12,WGI!$C$2:$O$478,5,FALSE)</f>
        <v>-1.67010510633739</v>
      </c>
      <c r="BZ12" s="129">
        <f>VLOOKUP($D12,WGI!$C$2:$O$478,2,FALSE)</f>
        <v>-1.51327923804473</v>
      </c>
      <c r="CB12" s="129"/>
    </row>
    <row r="13" spans="1:80" s="120" customFormat="1" ht="15" customHeight="1">
      <c r="A13" s="145" t="s">
        <v>29</v>
      </c>
      <c r="B13" s="116">
        <v>2009</v>
      </c>
      <c r="C13" s="117" t="s">
        <v>21</v>
      </c>
      <c r="D13" s="117" t="s">
        <v>3618</v>
      </c>
      <c r="E13" s="116" t="s">
        <v>22</v>
      </c>
      <c r="F13" s="117"/>
      <c r="G13" s="117" t="s">
        <v>24</v>
      </c>
      <c r="H13" s="117" t="str">
        <f t="shared" si="7"/>
        <v>yes</v>
      </c>
      <c r="I13" s="117" t="str">
        <f t="shared" si="8"/>
        <v>no</v>
      </c>
      <c r="J13" s="117" t="str">
        <f t="shared" si="9"/>
        <v>no</v>
      </c>
      <c r="K13" s="117" t="s">
        <v>616</v>
      </c>
      <c r="L13" s="117" t="str">
        <f t="shared" si="0"/>
        <v>detailed</v>
      </c>
      <c r="M13" s="117" t="str">
        <f t="shared" si="1"/>
        <v>detailed Mining</v>
      </c>
      <c r="N13" s="118">
        <f>((551000/365)*286)+((799000/365)*79)*0.90718474</f>
        <v>588625.77526997263</v>
      </c>
      <c r="O13" s="118"/>
      <c r="P13" s="118"/>
      <c r="Q13" s="118"/>
      <c r="R13" s="118"/>
      <c r="S13" s="117" t="s">
        <v>610</v>
      </c>
      <c r="T13" s="119">
        <f>((72.52/365)*286)+((89.85/365)*79)</f>
        <v>76.270876712328757</v>
      </c>
      <c r="U13" s="117" t="s">
        <v>611</v>
      </c>
      <c r="V13" s="117" t="s">
        <v>617</v>
      </c>
      <c r="W13" s="89">
        <f t="shared" si="11"/>
        <v>44895003.935315013</v>
      </c>
      <c r="X13" s="117"/>
      <c r="Y13" s="117"/>
      <c r="Z13" s="117"/>
      <c r="AA13" s="121"/>
      <c r="AB13" s="121"/>
      <c r="AC13" s="122"/>
      <c r="AD13" s="122"/>
      <c r="AE13" s="122"/>
      <c r="AF13" s="123"/>
      <c r="AG13" s="117"/>
      <c r="AH13" s="124"/>
      <c r="AI13" s="117"/>
      <c r="AJ13" s="117"/>
      <c r="AK13" s="89"/>
      <c r="AL13" s="117"/>
      <c r="AM13" s="117"/>
      <c r="AN13" s="117">
        <v>4</v>
      </c>
      <c r="AO13" s="117" t="s">
        <v>618</v>
      </c>
      <c r="AP13" s="117">
        <v>4</v>
      </c>
      <c r="AQ13" s="117"/>
      <c r="AR13" s="117"/>
      <c r="AS13" s="117"/>
      <c r="AT13" s="117"/>
      <c r="AU13" s="117"/>
      <c r="AV13" s="128"/>
      <c r="AW13" s="117">
        <f>VLOOKUP($D13,'WB Data'!$C$3:$M$578,2,FALSE)</f>
        <v>12486950468.17728</v>
      </c>
      <c r="AX13" s="117">
        <f>VLOOKUP($D13,'WB Data'!$C$3:$M$578,3,FALSE)</f>
        <v>27708187</v>
      </c>
      <c r="AY13" s="847">
        <f t="shared" si="3"/>
        <v>6.2377071326182325E-4</v>
      </c>
      <c r="AZ13" s="117">
        <f>VLOOKUP($D13,'WB Data'!$C$3:$M$578,4,FALSE)/100</f>
        <v>0.10516781151629283</v>
      </c>
      <c r="BA13" s="117">
        <f t="shared" si="4"/>
        <v>1313225253.2505527</v>
      </c>
      <c r="BB13" s="129">
        <f>IFERROR(VLOOKUP($D13,'EITI Revenues'!$C$2:$G$224,5,FALSE),"..")</f>
        <v>7788994</v>
      </c>
      <c r="BC13" s="846">
        <f t="shared" si="5"/>
        <v>5.9311941959083875E-3</v>
      </c>
      <c r="BD13" s="129" t="str">
        <f>VLOOKUP($D13,'WB Data 2'!$C$2:$K$545,6,FALSE)</f>
        <v>..</v>
      </c>
      <c r="BE13" s="129">
        <f>IFERROR(VLOOKUP($D13,UNCTAD!$C$5:$V$529,4,FALSE),"..")</f>
        <v>4410774000</v>
      </c>
      <c r="BF13" s="846" t="str">
        <f t="shared" si="6"/>
        <v>..</v>
      </c>
      <c r="BG13" s="117">
        <f>VLOOKUP($D13,'WB Data'!$C$3:$M$578,5,FALSE)</f>
        <v>6235260000</v>
      </c>
      <c r="BH13" s="129">
        <f>IFERROR($BB13/$BG13,"..")</f>
        <v>1.2491851181827222E-3</v>
      </c>
      <c r="BI13" s="117" t="str">
        <f>IFERROR(VLOOKUP($D13,'WB Data'!$C$3:$M$578,7,FALSE)/100,"..")</f>
        <v>..</v>
      </c>
      <c r="BJ13" s="117" t="str">
        <f>IFERROR($BI13*$AW13,"..")</f>
        <v>..</v>
      </c>
      <c r="BK13" s="846" t="str">
        <f>IFERROR($BB13/$BJ13,"..")</f>
        <v>..</v>
      </c>
      <c r="BL13" s="117" t="str">
        <f>IFERROR(VLOOKUP($D13,'WB Data'!$C$3:$M$578,7,FALSE)/100,"..")</f>
        <v>..</v>
      </c>
      <c r="BM13" s="117" t="str">
        <f>IFERROR($AW13*$BL13,"..")</f>
        <v>..</v>
      </c>
      <c r="BN13" s="846" t="str">
        <f>IFERROR($BB13/$BM13,"..")</f>
        <v>..</v>
      </c>
      <c r="BO13" s="801">
        <f t="shared" si="2"/>
        <v>12</v>
      </c>
      <c r="BP13" s="117" t="str">
        <f>VLOOKUP($D13,'WB Data'!$C$3:$M$578,9,FALSE)</f>
        <v>..</v>
      </c>
      <c r="BQ13" s="117">
        <f>VLOOKUP($D13,'WB Data'!$C$3:$M$578,10,FALSE)</f>
        <v>59.112341463414637</v>
      </c>
      <c r="BR13" s="117">
        <f>VLOOKUP($D13,'WB Data'!$C$3:$M$578,11,FALSE)</f>
        <v>76.900000000000006</v>
      </c>
      <c r="BS13" s="129" t="str">
        <f>IFERROR(VLOOKUP($D13,'WB Data 2'!$C$2:$K$545,9,FALSE),"..")</f>
        <v>..</v>
      </c>
      <c r="BT13" s="129" t="str">
        <f>_xlfn.IFNA(VLOOKUP($C13,RGI!$A$2:$C$43,2,FALSE),"..")</f>
        <v>..</v>
      </c>
      <c r="BU13" s="129" t="str">
        <f>_xlfn.IFNA(VLOOKUP($C13,RGI!$A$2:$C$43,3,FALSE),"..")</f>
        <v>..</v>
      </c>
      <c r="BV13" s="129">
        <f>VLOOKUP($D13,WGI!$C$2:$O$478,7,FALSE)</f>
        <v>-1.4604511925908701</v>
      </c>
      <c r="BW13" s="129">
        <f>VLOOKUP($D13,WGI!$C$2:$O$478,4,FALSE)</f>
        <v>-2.7044499801217099</v>
      </c>
      <c r="BX13" s="129">
        <f>VLOOKUP($D13,WGI!$C$2:$O$478,3,FALSE)</f>
        <v>-1.49946594356579</v>
      </c>
      <c r="BY13" s="129">
        <f>VLOOKUP($D13,WGI!$C$2:$O$478,5,FALSE)</f>
        <v>-1.67010510633739</v>
      </c>
      <c r="BZ13" s="129">
        <f>VLOOKUP($D13,WGI!$C$2:$O$478,2,FALSE)</f>
        <v>-1.51327923804473</v>
      </c>
      <c r="CB13" s="129"/>
    </row>
    <row r="14" spans="1:80" s="120" customFormat="1" ht="15" customHeight="1">
      <c r="A14" s="145" t="s">
        <v>29</v>
      </c>
      <c r="B14" s="116">
        <v>2009</v>
      </c>
      <c r="C14" s="117" t="s">
        <v>21</v>
      </c>
      <c r="D14" s="117" t="s">
        <v>3618</v>
      </c>
      <c r="E14" s="116" t="s">
        <v>22</v>
      </c>
      <c r="F14" s="117"/>
      <c r="G14" s="117" t="s">
        <v>24</v>
      </c>
      <c r="H14" s="117" t="str">
        <f t="shared" si="7"/>
        <v>yes</v>
      </c>
      <c r="I14" s="117" t="str">
        <f t="shared" si="8"/>
        <v>no</v>
      </c>
      <c r="J14" s="117" t="str">
        <f t="shared" si="9"/>
        <v>no</v>
      </c>
      <c r="K14" s="117" t="s">
        <v>619</v>
      </c>
      <c r="L14" s="117" t="str">
        <f t="shared" si="0"/>
        <v>detailed</v>
      </c>
      <c r="M14" s="117" t="str">
        <f t="shared" si="1"/>
        <v>detailed Mining</v>
      </c>
      <c r="N14" s="118">
        <v>0</v>
      </c>
      <c r="O14" s="118"/>
      <c r="P14" s="118"/>
      <c r="Q14" s="118"/>
      <c r="R14" s="118"/>
      <c r="S14" s="117" t="s">
        <v>610</v>
      </c>
      <c r="T14" s="119"/>
      <c r="U14" s="117"/>
      <c r="V14" s="117" t="s">
        <v>620</v>
      </c>
      <c r="W14" s="89">
        <f t="shared" si="11"/>
        <v>0</v>
      </c>
      <c r="X14" s="117"/>
      <c r="Y14" s="117"/>
      <c r="Z14" s="117"/>
      <c r="AA14" s="121">
        <v>125043.85</v>
      </c>
      <c r="AB14" s="121">
        <v>139146.85</v>
      </c>
      <c r="AC14" s="122"/>
      <c r="AD14" s="122"/>
      <c r="AE14" s="122"/>
      <c r="AF14" s="123"/>
      <c r="AG14" s="117"/>
      <c r="AH14" s="124"/>
      <c r="AI14" s="117"/>
      <c r="AJ14" s="117"/>
      <c r="AK14" s="89"/>
      <c r="AL14" s="117"/>
      <c r="AM14" s="117"/>
      <c r="AN14" s="117">
        <v>1</v>
      </c>
      <c r="AO14" s="117" t="s">
        <v>621</v>
      </c>
      <c r="AP14" s="117">
        <v>1</v>
      </c>
      <c r="AQ14" s="117"/>
      <c r="AR14" s="117"/>
      <c r="AS14" s="117"/>
      <c r="AT14" s="146"/>
      <c r="AU14" s="117">
        <v>29</v>
      </c>
      <c r="AV14" s="128"/>
      <c r="AW14" s="117">
        <f>VLOOKUP($D14,'WB Data'!$C$3:$M$578,2,FALSE)</f>
        <v>12486950468.17728</v>
      </c>
      <c r="AX14" s="117">
        <f>VLOOKUP($D14,'WB Data'!$C$3:$M$578,3,FALSE)</f>
        <v>27708187</v>
      </c>
      <c r="AY14" s="847">
        <f t="shared" si="3"/>
        <v>6.2377071326182325E-4</v>
      </c>
      <c r="AZ14" s="117">
        <f>VLOOKUP($D14,'WB Data'!$C$3:$M$578,4,FALSE)/100</f>
        <v>0.10516781151629283</v>
      </c>
      <c r="BA14" s="117">
        <f t="shared" si="4"/>
        <v>1313225253.2505527</v>
      </c>
      <c r="BB14" s="129">
        <f>IFERROR(VLOOKUP($D14,'EITI Revenues'!$C$2:$G$224,5,FALSE),"..")</f>
        <v>7788994</v>
      </c>
      <c r="BC14" s="846">
        <f t="shared" si="5"/>
        <v>5.9311941959083875E-3</v>
      </c>
      <c r="BD14" s="129" t="str">
        <f>VLOOKUP($D14,'WB Data 2'!$C$2:$K$545,6,FALSE)</f>
        <v>..</v>
      </c>
      <c r="BE14" s="129">
        <f>IFERROR(VLOOKUP($D14,UNCTAD!$C$5:$V$529,4,FALSE),"..")</f>
        <v>4410774000</v>
      </c>
      <c r="BF14" s="846" t="str">
        <f t="shared" si="6"/>
        <v>..</v>
      </c>
      <c r="BG14" s="117">
        <f>VLOOKUP($D14,'WB Data'!$C$3:$M$578,5,FALSE)</f>
        <v>6235260000</v>
      </c>
      <c r="BH14" s="129">
        <f>IFERROR($BB14/$BG14,"..")</f>
        <v>1.2491851181827222E-3</v>
      </c>
      <c r="BI14" s="117" t="str">
        <f>IFERROR(VLOOKUP($D14,'WB Data'!$C$3:$M$578,7,FALSE)/100,"..")</f>
        <v>..</v>
      </c>
      <c r="BJ14" s="117" t="str">
        <f>IFERROR($BI14*$AW14,"..")</f>
        <v>..</v>
      </c>
      <c r="BK14" s="846" t="str">
        <f>IFERROR($BB14/$BJ14,"..")</f>
        <v>..</v>
      </c>
      <c r="BL14" s="117" t="str">
        <f>IFERROR(VLOOKUP($D14,'WB Data'!$C$3:$M$578,7,FALSE)/100,"..")</f>
        <v>..</v>
      </c>
      <c r="BM14" s="117" t="str">
        <f>IFERROR($AW14*$BL14,"..")</f>
        <v>..</v>
      </c>
      <c r="BN14" s="846" t="str">
        <f>IFERROR($BB14/$BM14,"..")</f>
        <v>..</v>
      </c>
      <c r="BO14" s="801">
        <f t="shared" si="2"/>
        <v>12</v>
      </c>
      <c r="BP14" s="117" t="str">
        <f>VLOOKUP($D14,'WB Data'!$C$3:$M$578,9,FALSE)</f>
        <v>..</v>
      </c>
      <c r="BQ14" s="117">
        <f>VLOOKUP($D14,'WB Data'!$C$3:$M$578,10,FALSE)</f>
        <v>59.112341463414637</v>
      </c>
      <c r="BR14" s="117">
        <f>VLOOKUP($D14,'WB Data'!$C$3:$M$578,11,FALSE)</f>
        <v>76.900000000000006</v>
      </c>
      <c r="BS14" s="129" t="str">
        <f>IFERROR(VLOOKUP($D14,'WB Data 2'!$C$2:$K$545,9,FALSE),"..")</f>
        <v>..</v>
      </c>
      <c r="BT14" s="129" t="str">
        <f>_xlfn.IFNA(VLOOKUP($C14,RGI!$A$2:$C$43,2,FALSE),"..")</f>
        <v>..</v>
      </c>
      <c r="BU14" s="129" t="str">
        <f>_xlfn.IFNA(VLOOKUP($C14,RGI!$A$2:$C$43,3,FALSE),"..")</f>
        <v>..</v>
      </c>
      <c r="BV14" s="129">
        <f>VLOOKUP($D14,WGI!$C$2:$O$478,7,FALSE)</f>
        <v>-1.4604511925908701</v>
      </c>
      <c r="BW14" s="129">
        <f>VLOOKUP($D14,WGI!$C$2:$O$478,4,FALSE)</f>
        <v>-2.7044499801217099</v>
      </c>
      <c r="BX14" s="129">
        <f>VLOOKUP($D14,WGI!$C$2:$O$478,3,FALSE)</f>
        <v>-1.49946594356579</v>
      </c>
      <c r="BY14" s="129">
        <f>VLOOKUP($D14,WGI!$C$2:$O$478,5,FALSE)</f>
        <v>-1.67010510633739</v>
      </c>
      <c r="BZ14" s="129">
        <f>VLOOKUP($D14,WGI!$C$2:$O$478,2,FALSE)</f>
        <v>-1.51327923804473</v>
      </c>
      <c r="CB14" s="129"/>
    </row>
    <row r="15" spans="1:80" s="120" customFormat="1" ht="15" customHeight="1">
      <c r="A15" s="145" t="s">
        <v>29</v>
      </c>
      <c r="B15" s="116">
        <v>2009</v>
      </c>
      <c r="C15" s="117" t="s">
        <v>21</v>
      </c>
      <c r="D15" s="117" t="s">
        <v>3618</v>
      </c>
      <c r="E15" s="116" t="s">
        <v>22</v>
      </c>
      <c r="F15" s="117"/>
      <c r="G15" s="117" t="s">
        <v>24</v>
      </c>
      <c r="H15" s="117" t="str">
        <f t="shared" si="7"/>
        <v>yes</v>
      </c>
      <c r="I15" s="117" t="str">
        <f t="shared" si="8"/>
        <v>no</v>
      </c>
      <c r="J15" s="117" t="str">
        <f t="shared" si="9"/>
        <v>no</v>
      </c>
      <c r="K15" s="117" t="s">
        <v>622</v>
      </c>
      <c r="L15" s="117" t="str">
        <f t="shared" si="0"/>
        <v>detailed</v>
      </c>
      <c r="M15" s="117" t="str">
        <f t="shared" si="1"/>
        <v>detailed Mining</v>
      </c>
      <c r="N15" s="118">
        <f>((46400/365)*286)+((63100/365)*79)</f>
        <v>50014.520547945198</v>
      </c>
      <c r="O15" s="118"/>
      <c r="P15" s="118"/>
      <c r="Q15" s="118"/>
      <c r="R15" s="118"/>
      <c r="S15" s="117" t="s">
        <v>610</v>
      </c>
      <c r="T15" s="119">
        <f>((14.14/365)*286)+((13.87/365)*79)</f>
        <v>14.081561643835617</v>
      </c>
      <c r="U15" s="117" t="s">
        <v>611</v>
      </c>
      <c r="V15" s="117" t="s">
        <v>623</v>
      </c>
      <c r="W15" s="89">
        <f t="shared" si="11"/>
        <v>704282.55418277346</v>
      </c>
      <c r="X15" s="117"/>
      <c r="Y15" s="117"/>
      <c r="Z15" s="117"/>
      <c r="AA15" s="121"/>
      <c r="AB15" s="121"/>
      <c r="AC15" s="122"/>
      <c r="AD15" s="122"/>
      <c r="AE15" s="122"/>
      <c r="AF15" s="123"/>
      <c r="AG15" s="117"/>
      <c r="AH15" s="124"/>
      <c r="AI15" s="117"/>
      <c r="AJ15" s="117"/>
      <c r="AK15" s="89"/>
      <c r="AL15" s="117"/>
      <c r="AM15" s="117"/>
      <c r="AN15" s="117"/>
      <c r="AO15" s="117"/>
      <c r="AP15" s="117"/>
      <c r="AQ15" s="117"/>
      <c r="AR15" s="117"/>
      <c r="AS15" s="117"/>
      <c r="AT15" s="117"/>
      <c r="AU15" s="117"/>
      <c r="AV15" s="128"/>
      <c r="AW15" s="117">
        <f>VLOOKUP($D15,'WB Data'!$C$3:$M$578,2,FALSE)</f>
        <v>12486950468.17728</v>
      </c>
      <c r="AX15" s="117">
        <f>VLOOKUP($D15,'WB Data'!$C$3:$M$578,3,FALSE)</f>
        <v>27708187</v>
      </c>
      <c r="AY15" s="847">
        <f t="shared" si="3"/>
        <v>6.2377071326182325E-4</v>
      </c>
      <c r="AZ15" s="117">
        <f>VLOOKUP($D15,'WB Data'!$C$3:$M$578,4,FALSE)/100</f>
        <v>0.10516781151629283</v>
      </c>
      <c r="BA15" s="117">
        <f t="shared" si="4"/>
        <v>1313225253.2505527</v>
      </c>
      <c r="BB15" s="129">
        <f>IFERROR(VLOOKUP($D15,'EITI Revenues'!$C$2:$G$224,5,FALSE),"..")</f>
        <v>7788994</v>
      </c>
      <c r="BC15" s="846">
        <f t="shared" si="5"/>
        <v>5.9311941959083875E-3</v>
      </c>
      <c r="BD15" s="129" t="str">
        <f>VLOOKUP($D15,'WB Data 2'!$C$2:$K$545,6,FALSE)</f>
        <v>..</v>
      </c>
      <c r="BE15" s="129">
        <f>IFERROR(VLOOKUP($D15,UNCTAD!$C$5:$V$529,4,FALSE),"..")</f>
        <v>4410774000</v>
      </c>
      <c r="BF15" s="846" t="str">
        <f t="shared" si="6"/>
        <v>..</v>
      </c>
      <c r="BG15" s="117">
        <f>VLOOKUP($D15,'WB Data'!$C$3:$M$578,5,FALSE)</f>
        <v>6235260000</v>
      </c>
      <c r="BH15" s="129">
        <f>IFERROR($BB15/$BG15,"..")</f>
        <v>1.2491851181827222E-3</v>
      </c>
      <c r="BI15" s="117" t="str">
        <f>IFERROR(VLOOKUP($D15,'WB Data'!$C$3:$M$578,7,FALSE)/100,"..")</f>
        <v>..</v>
      </c>
      <c r="BJ15" s="117" t="str">
        <f>IFERROR($BI15*$AW15,"..")</f>
        <v>..</v>
      </c>
      <c r="BK15" s="846" t="str">
        <f>IFERROR($BB15/$BJ15,"..")</f>
        <v>..</v>
      </c>
      <c r="BL15" s="117" t="str">
        <f>IFERROR(VLOOKUP($D15,'WB Data'!$C$3:$M$578,7,FALSE)/100,"..")</f>
        <v>..</v>
      </c>
      <c r="BM15" s="117" t="str">
        <f>IFERROR($AW15*$BL15,"..")</f>
        <v>..</v>
      </c>
      <c r="BN15" s="846" t="str">
        <f>IFERROR($BB15/$BM15,"..")</f>
        <v>..</v>
      </c>
      <c r="BO15" s="801">
        <f t="shared" si="2"/>
        <v>12</v>
      </c>
      <c r="BP15" s="117" t="str">
        <f>VLOOKUP($D15,'WB Data'!$C$3:$M$578,9,FALSE)</f>
        <v>..</v>
      </c>
      <c r="BQ15" s="117">
        <f>VLOOKUP($D15,'WB Data'!$C$3:$M$578,10,FALSE)</f>
        <v>59.112341463414637</v>
      </c>
      <c r="BR15" s="117">
        <f>VLOOKUP($D15,'WB Data'!$C$3:$M$578,11,FALSE)</f>
        <v>76.900000000000006</v>
      </c>
      <c r="BS15" s="129" t="str">
        <f>IFERROR(VLOOKUP($D15,'WB Data 2'!$C$2:$K$545,9,FALSE),"..")</f>
        <v>..</v>
      </c>
      <c r="BT15" s="129" t="str">
        <f>_xlfn.IFNA(VLOOKUP($C15,RGI!$A$2:$C$43,2,FALSE),"..")</f>
        <v>..</v>
      </c>
      <c r="BU15" s="129" t="str">
        <f>_xlfn.IFNA(VLOOKUP($C15,RGI!$A$2:$C$43,3,FALSE),"..")</f>
        <v>..</v>
      </c>
      <c r="BV15" s="129">
        <f>VLOOKUP($D15,WGI!$C$2:$O$478,7,FALSE)</f>
        <v>-1.4604511925908701</v>
      </c>
      <c r="BW15" s="129">
        <f>VLOOKUP($D15,WGI!$C$2:$O$478,4,FALSE)</f>
        <v>-2.7044499801217099</v>
      </c>
      <c r="BX15" s="129">
        <f>VLOOKUP($D15,WGI!$C$2:$O$478,3,FALSE)</f>
        <v>-1.49946594356579</v>
      </c>
      <c r="BY15" s="129">
        <f>VLOOKUP($D15,WGI!$C$2:$O$478,5,FALSE)</f>
        <v>-1.67010510633739</v>
      </c>
      <c r="BZ15" s="129">
        <f>VLOOKUP($D15,WGI!$C$2:$O$478,2,FALSE)</f>
        <v>-1.51327923804473</v>
      </c>
      <c r="CB15" s="129"/>
    </row>
    <row r="16" spans="1:80" s="120" customFormat="1" ht="15" customHeight="1">
      <c r="A16" s="145" t="s">
        <v>29</v>
      </c>
      <c r="B16" s="116">
        <v>2009</v>
      </c>
      <c r="C16" s="117" t="s">
        <v>21</v>
      </c>
      <c r="D16" s="117" t="s">
        <v>3618</v>
      </c>
      <c r="E16" s="116" t="s">
        <v>22</v>
      </c>
      <c r="F16" s="117"/>
      <c r="G16" s="117" t="s">
        <v>24</v>
      </c>
      <c r="H16" s="117" t="str">
        <f t="shared" si="7"/>
        <v>yes</v>
      </c>
      <c r="I16" s="117" t="str">
        <f t="shared" si="8"/>
        <v>no</v>
      </c>
      <c r="J16" s="117" t="str">
        <f t="shared" si="9"/>
        <v>no</v>
      </c>
      <c r="K16" s="117" t="s">
        <v>624</v>
      </c>
      <c r="L16" s="117" t="str">
        <f t="shared" si="0"/>
        <v>detailed</v>
      </c>
      <c r="M16" s="117" t="str">
        <f t="shared" si="1"/>
        <v>detailed Mining</v>
      </c>
      <c r="N16" s="118">
        <f>((180300/365)*286)+((186100/365)*79)</f>
        <v>181555.34246575343</v>
      </c>
      <c r="O16" s="118"/>
      <c r="P16" s="118">
        <f>75000*0.90718474</f>
        <v>68038.855500000005</v>
      </c>
      <c r="Q16" s="118"/>
      <c r="R16" s="118"/>
      <c r="S16" s="117" t="s">
        <v>610</v>
      </c>
      <c r="T16" s="119">
        <f>((36.08/365)*286)+((35.67/365)*79)</f>
        <v>35.9912602739726</v>
      </c>
      <c r="U16" s="117" t="s">
        <v>611</v>
      </c>
      <c r="V16" s="117" t="s">
        <v>625</v>
      </c>
      <c r="W16" s="89">
        <f t="shared" si="11"/>
        <v>6534405.5848151622</v>
      </c>
      <c r="X16" s="117"/>
      <c r="Y16" s="117"/>
      <c r="Z16" s="117"/>
      <c r="AA16" s="121"/>
      <c r="AB16" s="121"/>
      <c r="AC16" s="122"/>
      <c r="AD16" s="122"/>
      <c r="AE16" s="122"/>
      <c r="AF16" s="123"/>
      <c r="AG16" s="117"/>
      <c r="AH16" s="124"/>
      <c r="AI16" s="117"/>
      <c r="AJ16" s="117"/>
      <c r="AK16" s="89"/>
      <c r="AL16" s="117"/>
      <c r="AM16" s="117"/>
      <c r="AN16" s="117">
        <v>1</v>
      </c>
      <c r="AO16" s="117" t="s">
        <v>626</v>
      </c>
      <c r="AP16" s="117"/>
      <c r="AQ16" s="117"/>
      <c r="AR16" s="117"/>
      <c r="AS16" s="117"/>
      <c r="AT16" s="117"/>
      <c r="AU16" s="117">
        <v>7</v>
      </c>
      <c r="AV16" s="128"/>
      <c r="AW16" s="117">
        <f>VLOOKUP($D16,'WB Data'!$C$3:$M$578,2,FALSE)</f>
        <v>12486950468.17728</v>
      </c>
      <c r="AX16" s="117">
        <f>VLOOKUP($D16,'WB Data'!$C$3:$M$578,3,FALSE)</f>
        <v>27708187</v>
      </c>
      <c r="AY16" s="847">
        <f t="shared" si="3"/>
        <v>6.2377071326182325E-4</v>
      </c>
      <c r="AZ16" s="117">
        <f>VLOOKUP($D16,'WB Data'!$C$3:$M$578,4,FALSE)/100</f>
        <v>0.10516781151629283</v>
      </c>
      <c r="BA16" s="117">
        <f t="shared" si="4"/>
        <v>1313225253.2505527</v>
      </c>
      <c r="BB16" s="129">
        <f>IFERROR(VLOOKUP($D16,'EITI Revenues'!$C$2:$G$224,5,FALSE),"..")</f>
        <v>7788994</v>
      </c>
      <c r="BC16" s="846">
        <f t="shared" si="5"/>
        <v>5.9311941959083875E-3</v>
      </c>
      <c r="BD16" s="129" t="str">
        <f>VLOOKUP($D16,'WB Data 2'!$C$2:$K$545,6,FALSE)</f>
        <v>..</v>
      </c>
      <c r="BE16" s="129">
        <f>IFERROR(VLOOKUP($D16,UNCTAD!$C$5:$V$529,4,FALSE),"..")</f>
        <v>4410774000</v>
      </c>
      <c r="BF16" s="846" t="str">
        <f t="shared" si="6"/>
        <v>..</v>
      </c>
      <c r="BG16" s="117">
        <f>VLOOKUP($D16,'WB Data'!$C$3:$M$578,5,FALSE)</f>
        <v>6235260000</v>
      </c>
      <c r="BH16" s="129">
        <f>IFERROR($BB16/$BG16,"..")</f>
        <v>1.2491851181827222E-3</v>
      </c>
      <c r="BI16" s="117" t="str">
        <f>IFERROR(VLOOKUP($D16,'WB Data'!$C$3:$M$578,7,FALSE)/100,"..")</f>
        <v>..</v>
      </c>
      <c r="BJ16" s="117" t="str">
        <f>IFERROR($BI16*$AW16,"..")</f>
        <v>..</v>
      </c>
      <c r="BK16" s="846" t="str">
        <f>IFERROR($BB16/$BJ16,"..")</f>
        <v>..</v>
      </c>
      <c r="BL16" s="117" t="str">
        <f>IFERROR(VLOOKUP($D16,'WB Data'!$C$3:$M$578,7,FALSE)/100,"..")</f>
        <v>..</v>
      </c>
      <c r="BM16" s="117" t="str">
        <f>IFERROR($AW16*$BL16,"..")</f>
        <v>..</v>
      </c>
      <c r="BN16" s="846" t="str">
        <f>IFERROR($BB16/$BM16,"..")</f>
        <v>..</v>
      </c>
      <c r="BO16" s="801">
        <f t="shared" si="2"/>
        <v>12</v>
      </c>
      <c r="BP16" s="117" t="str">
        <f>VLOOKUP($D16,'WB Data'!$C$3:$M$578,9,FALSE)</f>
        <v>..</v>
      </c>
      <c r="BQ16" s="117">
        <f>VLOOKUP($D16,'WB Data'!$C$3:$M$578,10,FALSE)</f>
        <v>59.112341463414637</v>
      </c>
      <c r="BR16" s="117">
        <f>VLOOKUP($D16,'WB Data'!$C$3:$M$578,11,FALSE)</f>
        <v>76.900000000000006</v>
      </c>
      <c r="BS16" s="129" t="str">
        <f>IFERROR(VLOOKUP($D16,'WB Data 2'!$C$2:$K$545,9,FALSE),"..")</f>
        <v>..</v>
      </c>
      <c r="BT16" s="129" t="str">
        <f>_xlfn.IFNA(VLOOKUP($C16,RGI!$A$2:$C$43,2,FALSE),"..")</f>
        <v>..</v>
      </c>
      <c r="BU16" s="129" t="str">
        <f>_xlfn.IFNA(VLOOKUP($C16,RGI!$A$2:$C$43,3,FALSE),"..")</f>
        <v>..</v>
      </c>
      <c r="BV16" s="129">
        <f>VLOOKUP($D16,WGI!$C$2:$O$478,7,FALSE)</f>
        <v>-1.4604511925908701</v>
      </c>
      <c r="BW16" s="129">
        <f>VLOOKUP($D16,WGI!$C$2:$O$478,4,FALSE)</f>
        <v>-2.7044499801217099</v>
      </c>
      <c r="BX16" s="129">
        <f>VLOOKUP($D16,WGI!$C$2:$O$478,3,FALSE)</f>
        <v>-1.49946594356579</v>
      </c>
      <c r="BY16" s="129">
        <f>VLOOKUP($D16,WGI!$C$2:$O$478,5,FALSE)</f>
        <v>-1.67010510633739</v>
      </c>
      <c r="BZ16" s="129">
        <f>VLOOKUP($D16,WGI!$C$2:$O$478,2,FALSE)</f>
        <v>-1.51327923804473</v>
      </c>
      <c r="CB16" s="129"/>
    </row>
    <row r="17" spans="1:80" s="158" customFormat="1" ht="15" customHeight="1">
      <c r="A17" s="147" t="s">
        <v>29</v>
      </c>
      <c r="B17" s="148">
        <v>2009</v>
      </c>
      <c r="C17" s="149" t="s">
        <v>21</v>
      </c>
      <c r="D17" s="117" t="s">
        <v>3618</v>
      </c>
      <c r="E17" s="148" t="s">
        <v>22</v>
      </c>
      <c r="F17" s="149"/>
      <c r="G17" s="149" t="s">
        <v>24</v>
      </c>
      <c r="H17" s="117" t="str">
        <f t="shared" si="7"/>
        <v>yes</v>
      </c>
      <c r="I17" s="117" t="str">
        <f t="shared" si="8"/>
        <v>no</v>
      </c>
      <c r="J17" s="117" t="str">
        <f t="shared" si="9"/>
        <v>no</v>
      </c>
      <c r="K17" s="149" t="s">
        <v>627</v>
      </c>
      <c r="L17" s="117" t="str">
        <f t="shared" si="0"/>
        <v>detailed</v>
      </c>
      <c r="M17" s="117" t="str">
        <f t="shared" si="1"/>
        <v>detailed Mining</v>
      </c>
      <c r="N17" s="150">
        <v>200000</v>
      </c>
      <c r="O17" s="150"/>
      <c r="P17" s="150"/>
      <c r="Q17" s="150"/>
      <c r="R17" s="150"/>
      <c r="S17" s="149" t="s">
        <v>610</v>
      </c>
      <c r="T17" s="151">
        <f>((111/365)*286)+((150/365)*79)</f>
        <v>119.44109589041096</v>
      </c>
      <c r="U17" s="149" t="s">
        <v>611</v>
      </c>
      <c r="V17" s="149" t="s">
        <v>628</v>
      </c>
      <c r="W17" s="152">
        <f t="shared" si="11"/>
        <v>23888219.178082194</v>
      </c>
      <c r="X17" s="149"/>
      <c r="Y17" s="149"/>
      <c r="Z17" s="149"/>
      <c r="AA17" s="153"/>
      <c r="AB17" s="153"/>
      <c r="AC17" s="154"/>
      <c r="AD17" s="154"/>
      <c r="AE17" s="154"/>
      <c r="AF17" s="155"/>
      <c r="AG17" s="149"/>
      <c r="AH17" s="156"/>
      <c r="AI17" s="149"/>
      <c r="AJ17" s="149"/>
      <c r="AK17" s="152"/>
      <c r="AL17" s="149"/>
      <c r="AM17" s="149"/>
      <c r="AN17" s="149"/>
      <c r="AO17" s="149"/>
      <c r="AP17" s="149"/>
      <c r="AQ17" s="149"/>
      <c r="AR17" s="149"/>
      <c r="AS17" s="149"/>
      <c r="AT17" s="149"/>
      <c r="AU17" s="149"/>
      <c r="AV17" s="157"/>
      <c r="AW17" s="117">
        <f>VLOOKUP($D17,'WB Data'!$C$3:$M$578,2,FALSE)</f>
        <v>12486950468.17728</v>
      </c>
      <c r="AX17" s="117">
        <f>VLOOKUP($D17,'WB Data'!$C$3:$M$578,3,FALSE)</f>
        <v>27708187</v>
      </c>
      <c r="AY17" s="847">
        <f t="shared" si="3"/>
        <v>6.2377071326182325E-4</v>
      </c>
      <c r="AZ17" s="117">
        <f>VLOOKUP($D17,'WB Data'!$C$3:$M$578,4,FALSE)/100</f>
        <v>0.10516781151629283</v>
      </c>
      <c r="BA17" s="117">
        <f t="shared" si="4"/>
        <v>1313225253.2505527</v>
      </c>
      <c r="BB17" s="129">
        <f>IFERROR(VLOOKUP($D17,'EITI Revenues'!$C$2:$G$224,5,FALSE),"..")</f>
        <v>7788994</v>
      </c>
      <c r="BC17" s="846">
        <f t="shared" si="5"/>
        <v>5.9311941959083875E-3</v>
      </c>
      <c r="BD17" s="129" t="str">
        <f>VLOOKUP($D17,'WB Data 2'!$C$2:$K$545,6,FALSE)</f>
        <v>..</v>
      </c>
      <c r="BE17" s="129">
        <f>IFERROR(VLOOKUP($D17,UNCTAD!$C$5:$V$529,4,FALSE),"..")</f>
        <v>4410774000</v>
      </c>
      <c r="BF17" s="846" t="str">
        <f t="shared" si="6"/>
        <v>..</v>
      </c>
      <c r="BG17" s="117">
        <f>VLOOKUP($D17,'WB Data'!$C$3:$M$578,5,FALSE)</f>
        <v>6235260000</v>
      </c>
      <c r="BH17" s="129">
        <f>IFERROR($BB17/$BG17,"..")</f>
        <v>1.2491851181827222E-3</v>
      </c>
      <c r="BI17" s="117" t="str">
        <f>IFERROR(VLOOKUP($D17,'WB Data'!$C$3:$M$578,7,FALSE)/100,"..")</f>
        <v>..</v>
      </c>
      <c r="BJ17" s="117" t="str">
        <f>IFERROR($BI17*$AW17,"..")</f>
        <v>..</v>
      </c>
      <c r="BK17" s="846" t="str">
        <f>IFERROR($BB17/$BJ17,"..")</f>
        <v>..</v>
      </c>
      <c r="BL17" s="117" t="str">
        <f>IFERROR(VLOOKUP($D17,'WB Data'!$C$3:$M$578,7,FALSE)/100,"..")</f>
        <v>..</v>
      </c>
      <c r="BM17" s="117" t="str">
        <f>IFERROR($AW17*$BL17,"..")</f>
        <v>..</v>
      </c>
      <c r="BN17" s="846" t="str">
        <f>IFERROR($BB17/$BM17,"..")</f>
        <v>..</v>
      </c>
      <c r="BO17" s="801">
        <f t="shared" si="2"/>
        <v>12</v>
      </c>
      <c r="BP17" s="117" t="str">
        <f>VLOOKUP($D17,'WB Data'!$C$3:$M$578,9,FALSE)</f>
        <v>..</v>
      </c>
      <c r="BQ17" s="117">
        <f>VLOOKUP($D17,'WB Data'!$C$3:$M$578,10,FALSE)</f>
        <v>59.112341463414637</v>
      </c>
      <c r="BR17" s="117">
        <f>VLOOKUP($D17,'WB Data'!$C$3:$M$578,11,FALSE)</f>
        <v>76.900000000000006</v>
      </c>
      <c r="BS17" s="129" t="str">
        <f>IFERROR(VLOOKUP($D17,'WB Data 2'!$C$2:$K$545,9,FALSE),"..")</f>
        <v>..</v>
      </c>
      <c r="BT17" s="129" t="str">
        <f>_xlfn.IFNA(VLOOKUP($C17,RGI!$A$2:$C$43,2,FALSE),"..")</f>
        <v>..</v>
      </c>
      <c r="BU17" s="129" t="str">
        <f>_xlfn.IFNA(VLOOKUP($C17,RGI!$A$2:$C$43,3,FALSE),"..")</f>
        <v>..</v>
      </c>
      <c r="BV17" s="129">
        <f>VLOOKUP($D17,WGI!$C$2:$O$478,7,FALSE)</f>
        <v>-1.4604511925908701</v>
      </c>
      <c r="BW17" s="129">
        <f>VLOOKUP($D17,WGI!$C$2:$O$478,4,FALSE)</f>
        <v>-2.7044499801217099</v>
      </c>
      <c r="BX17" s="129">
        <f>VLOOKUP($D17,WGI!$C$2:$O$478,3,FALSE)</f>
        <v>-1.49946594356579</v>
      </c>
      <c r="BY17" s="129">
        <f>VLOOKUP($D17,WGI!$C$2:$O$478,5,FALSE)</f>
        <v>-1.67010510633739</v>
      </c>
      <c r="BZ17" s="129">
        <f>VLOOKUP($D17,WGI!$C$2:$O$478,2,FALSE)</f>
        <v>-1.51327923804473</v>
      </c>
      <c r="CB17" s="129"/>
    </row>
    <row r="18" spans="1:80" ht="15" customHeight="1">
      <c r="A18" s="145" t="s">
        <v>30</v>
      </c>
      <c r="B18" s="116">
        <v>2010</v>
      </c>
      <c r="C18" s="117" t="s">
        <v>21</v>
      </c>
      <c r="D18" s="117" t="s">
        <v>3652</v>
      </c>
      <c r="E18" s="116" t="s">
        <v>22</v>
      </c>
      <c r="F18" s="117" t="s">
        <v>599</v>
      </c>
      <c r="G18" s="117" t="s">
        <v>24</v>
      </c>
      <c r="H18" s="117" t="str">
        <f t="shared" si="7"/>
        <v>yes</v>
      </c>
      <c r="I18" s="117" t="str">
        <f t="shared" si="8"/>
        <v>no</v>
      </c>
      <c r="J18" s="117" t="str">
        <f t="shared" si="9"/>
        <v>no</v>
      </c>
      <c r="K18" s="117" t="s">
        <v>600</v>
      </c>
      <c r="L18" s="117" t="str">
        <f t="shared" si="0"/>
        <v>Total</v>
      </c>
      <c r="M18" s="117" t="str">
        <f t="shared" si="1"/>
        <v>Total Mining</v>
      </c>
      <c r="N18" s="118"/>
      <c r="O18" s="118"/>
      <c r="P18" s="118"/>
      <c r="Q18" s="118"/>
      <c r="R18" s="118"/>
      <c r="S18" s="117"/>
      <c r="T18" s="119"/>
      <c r="U18" s="117"/>
      <c r="V18" s="117"/>
      <c r="W18" s="89">
        <f>SUM(W19:W25)</f>
        <v>116777080.83738995</v>
      </c>
      <c r="X18" s="125" t="s">
        <v>633</v>
      </c>
      <c r="Y18" s="117" t="s">
        <v>602</v>
      </c>
      <c r="Z18" s="117" t="s">
        <v>603</v>
      </c>
      <c r="AA18" s="159">
        <v>23383829.469999999</v>
      </c>
      <c r="AB18" s="159">
        <v>24969535.890000001</v>
      </c>
      <c r="AC18" s="122"/>
      <c r="AD18" s="122"/>
      <c r="AE18" s="122"/>
      <c r="AF18" s="139">
        <f>AA18/W18</f>
        <v>0.20024331232051926</v>
      </c>
      <c r="AG18" s="117" t="s">
        <v>604</v>
      </c>
      <c r="AH18" s="124">
        <v>45.7</v>
      </c>
      <c r="AI18" s="117" t="s">
        <v>605</v>
      </c>
      <c r="AJ18" s="117"/>
      <c r="AK18" s="89"/>
      <c r="AL18" s="117"/>
      <c r="AM18" s="117"/>
      <c r="AN18" s="117">
        <v>6</v>
      </c>
      <c r="AO18" s="117" t="s">
        <v>629</v>
      </c>
      <c r="AP18" s="117">
        <v>5</v>
      </c>
      <c r="AQ18" s="125" t="s">
        <v>31</v>
      </c>
      <c r="AR18" s="126">
        <v>41885</v>
      </c>
      <c r="AS18" s="117" t="s">
        <v>607</v>
      </c>
      <c r="AT18" s="127" t="s">
        <v>32</v>
      </c>
      <c r="AU18" s="117">
        <v>10</v>
      </c>
      <c r="AV18" s="128" t="s">
        <v>634</v>
      </c>
      <c r="AW18" s="117">
        <f>VLOOKUP($D18,'WB Data'!$C$3:$M$578,2,FALSE)</f>
        <v>15936784437.224018</v>
      </c>
      <c r="AX18" s="117">
        <f>VLOOKUP($D18,'WB Data'!$C$3:$M$578,3,FALSE)</f>
        <v>28397812</v>
      </c>
      <c r="AY18" s="847">
        <f t="shared" si="3"/>
        <v>1.4672865509419641E-3</v>
      </c>
      <c r="AZ18" s="117">
        <f>VLOOKUP($D18,'WB Data'!$C$3:$M$578,4,FALSE)/100</f>
        <v>0.11036184539599427</v>
      </c>
      <c r="BA18" s="117">
        <f t="shared" si="4"/>
        <v>1758812940.1702046</v>
      </c>
      <c r="BB18" s="129">
        <f>IFERROR(VLOOKUP($D18,'EITI Revenues'!$C$2:$G$224,5,FALSE),"..")</f>
        <v>23383829.469999999</v>
      </c>
      <c r="BC18" s="846">
        <f t="shared" si="5"/>
        <v>1.3295233925068284E-2</v>
      </c>
      <c r="BD18" s="129" t="str">
        <f>VLOOKUP($D18,'WB Data 2'!$C$2:$K$545,6,FALSE)</f>
        <v>..</v>
      </c>
      <c r="BE18" s="129">
        <f>IFERROR(VLOOKUP($D18,UNCTAD!$C$5:$V$529,4,FALSE),"..")</f>
        <v>5975839000</v>
      </c>
      <c r="BF18" s="846" t="str">
        <f t="shared" si="6"/>
        <v>..</v>
      </c>
      <c r="BG18" s="117">
        <f>VLOOKUP($D18,'WB Data'!$C$3:$M$578,5,FALSE)</f>
        <v>6426380000</v>
      </c>
      <c r="BH18" s="129">
        <f>IFERROR($BB18/$BG18,"..")</f>
        <v>3.6387249851393784E-3</v>
      </c>
      <c r="BI18" s="117" t="str">
        <f>IFERROR(VLOOKUP($D18,'WB Data'!$C$3:$M$578,7,FALSE)/100,"..")</f>
        <v>..</v>
      </c>
      <c r="BJ18" s="117" t="str">
        <f>IFERROR($BI18*$AW18,"..")</f>
        <v>..</v>
      </c>
      <c r="BK18" s="846" t="str">
        <f>IFERROR($BB18/$BJ18,"..")</f>
        <v>..</v>
      </c>
      <c r="BL18" s="117" t="str">
        <f>IFERROR(VLOOKUP($D18,'WB Data'!$C$3:$M$578,7,FALSE)/100,"..")</f>
        <v>..</v>
      </c>
      <c r="BM18" s="117" t="str">
        <f>IFERROR($AW18*$BL18,"..")</f>
        <v>..</v>
      </c>
      <c r="BN18" s="846" t="str">
        <f>IFERROR($BB18/$BM18,"..")</f>
        <v>..</v>
      </c>
      <c r="BO18" s="801">
        <f t="shared" si="2"/>
        <v>12</v>
      </c>
      <c r="BP18" s="117" t="str">
        <f>VLOOKUP($D18,'WB Data'!$C$3:$M$578,9,FALSE)</f>
        <v>..</v>
      </c>
      <c r="BQ18" s="117">
        <f>VLOOKUP($D18,'WB Data'!$C$3:$M$578,10,FALSE)</f>
        <v>59.60009756097562</v>
      </c>
      <c r="BR18" s="117">
        <f>VLOOKUP($D18,'WB Data'!$C$3:$M$578,11,FALSE)</f>
        <v>75.3</v>
      </c>
      <c r="BS18" s="129" t="str">
        <f>IFERROR(VLOOKUP($D18,'WB Data 2'!$C$2:$K$545,9,FALSE),"..")</f>
        <v>..</v>
      </c>
      <c r="BT18" s="129" t="str">
        <f>_xlfn.IFNA(VLOOKUP($C18,RGI!$A$2:$C$43,2,FALSE),"..")</f>
        <v>..</v>
      </c>
      <c r="BU18" s="129" t="str">
        <f>_xlfn.IFNA(VLOOKUP($C18,RGI!$A$2:$C$43,3,FALSE),"..")</f>
        <v>..</v>
      </c>
      <c r="BV18" s="129">
        <f>VLOOKUP($D18,WGI!$C$2:$O$478,7,FALSE)</f>
        <v>-1.4815815982603</v>
      </c>
      <c r="BW18" s="129">
        <f>VLOOKUP($D18,WGI!$C$2:$O$478,4,FALSE)</f>
        <v>-2.54981934179348</v>
      </c>
      <c r="BX18" s="129">
        <f>VLOOKUP($D18,WGI!$C$2:$O$478,3,FALSE)</f>
        <v>-1.46557142586881</v>
      </c>
      <c r="BY18" s="129">
        <f>VLOOKUP($D18,WGI!$C$2:$O$478,5,FALSE)</f>
        <v>-1.5292580860895</v>
      </c>
      <c r="BZ18" s="129">
        <f>VLOOKUP($D18,WGI!$C$2:$O$478,2,FALSE)</f>
        <v>-1.62446565845433</v>
      </c>
    </row>
    <row r="19" spans="1:80" ht="15" customHeight="1">
      <c r="A19" s="145" t="s">
        <v>30</v>
      </c>
      <c r="B19" s="116">
        <v>2010</v>
      </c>
      <c r="C19" s="117" t="s">
        <v>21</v>
      </c>
      <c r="D19" s="117" t="s">
        <v>3652</v>
      </c>
      <c r="E19" s="116" t="s">
        <v>22</v>
      </c>
      <c r="F19" s="117"/>
      <c r="G19" s="117" t="s">
        <v>24</v>
      </c>
      <c r="H19" s="117" t="str">
        <f t="shared" si="7"/>
        <v>yes</v>
      </c>
      <c r="I19" s="117" t="str">
        <f t="shared" si="8"/>
        <v>no</v>
      </c>
      <c r="J19" s="117" t="str">
        <f t="shared" si="9"/>
        <v>no</v>
      </c>
      <c r="K19" s="117" t="s">
        <v>609</v>
      </c>
      <c r="L19" s="117" t="str">
        <f t="shared" si="0"/>
        <v>detailed</v>
      </c>
      <c r="M19" s="117" t="str">
        <f t="shared" si="1"/>
        <v>detailed Mining</v>
      </c>
      <c r="N19" s="118">
        <f>((35600/365)*286)+((38000/365)*79)</f>
        <v>36119.452054794521</v>
      </c>
      <c r="O19" s="118"/>
      <c r="P19" s="118"/>
      <c r="Q19" s="118"/>
      <c r="R19" s="118"/>
      <c r="S19" s="117" t="s">
        <v>610</v>
      </c>
      <c r="T19" s="119">
        <f>((92/365)*286)+((89.5/365)*79)</f>
        <v>91.458904109589042</v>
      </c>
      <c r="U19" s="117" t="s">
        <v>611</v>
      </c>
      <c r="V19" s="117" t="s">
        <v>631</v>
      </c>
      <c r="W19" s="89">
        <f t="shared" ref="W19:W25" si="12">N19*T19</f>
        <v>3303445.5019703512</v>
      </c>
      <c r="X19" s="117"/>
      <c r="Y19" s="117"/>
      <c r="Z19" s="117"/>
      <c r="AA19" s="121"/>
      <c r="AB19" s="121"/>
      <c r="AC19" s="122"/>
      <c r="AD19" s="122"/>
      <c r="AE19" s="122"/>
      <c r="AF19" s="123"/>
      <c r="AG19" s="117"/>
      <c r="AH19" s="124"/>
      <c r="AI19" s="117"/>
      <c r="AJ19" s="117"/>
      <c r="AK19" s="89"/>
      <c r="AL19" s="117"/>
      <c r="AM19" s="117"/>
      <c r="AN19" s="117">
        <v>1</v>
      </c>
      <c r="AO19" s="117" t="s">
        <v>613</v>
      </c>
      <c r="AP19" s="117">
        <v>1</v>
      </c>
      <c r="AQ19" s="117"/>
      <c r="AR19" s="117"/>
      <c r="AS19" s="117"/>
      <c r="AT19" s="117"/>
      <c r="AU19" s="117"/>
      <c r="AV19" s="128"/>
      <c r="AW19" s="117">
        <f>VLOOKUP($D19,'WB Data'!$C$3:$M$578,2,FALSE)</f>
        <v>15936784437.224018</v>
      </c>
      <c r="AX19" s="117">
        <f>VLOOKUP($D19,'WB Data'!$C$3:$M$578,3,FALSE)</f>
        <v>28397812</v>
      </c>
      <c r="AY19" s="847">
        <f t="shared" si="3"/>
        <v>1.4672865509419641E-3</v>
      </c>
      <c r="AZ19" s="117">
        <f>VLOOKUP($D19,'WB Data'!$C$3:$M$578,4,FALSE)/100</f>
        <v>0.11036184539599427</v>
      </c>
      <c r="BA19" s="117">
        <f t="shared" si="4"/>
        <v>1758812940.1702046</v>
      </c>
      <c r="BB19" s="129">
        <f>IFERROR(VLOOKUP($D19,'EITI Revenues'!$C$2:$G$224,5,FALSE),"..")</f>
        <v>23383829.469999999</v>
      </c>
      <c r="BC19" s="846">
        <f t="shared" si="5"/>
        <v>1.3295233925068284E-2</v>
      </c>
      <c r="BD19" s="129" t="str">
        <f>VLOOKUP($D19,'WB Data 2'!$C$2:$K$545,6,FALSE)</f>
        <v>..</v>
      </c>
      <c r="BE19" s="129">
        <f>IFERROR(VLOOKUP($D19,UNCTAD!$C$5:$V$529,4,FALSE),"..")</f>
        <v>5975839000</v>
      </c>
      <c r="BF19" s="846" t="str">
        <f t="shared" si="6"/>
        <v>..</v>
      </c>
      <c r="BG19" s="117">
        <f>VLOOKUP($D19,'WB Data'!$C$3:$M$578,5,FALSE)</f>
        <v>6426380000</v>
      </c>
      <c r="BH19" s="129">
        <f>IFERROR($BB19/$BG19,"..")</f>
        <v>3.6387249851393784E-3</v>
      </c>
      <c r="BI19" s="117" t="str">
        <f>IFERROR(VLOOKUP($D19,'WB Data'!$C$3:$M$578,7,FALSE)/100,"..")</f>
        <v>..</v>
      </c>
      <c r="BJ19" s="117" t="str">
        <f>IFERROR($BI19*$AW19,"..")</f>
        <v>..</v>
      </c>
      <c r="BK19" s="846" t="str">
        <f>IFERROR($BB19/$BJ19,"..")</f>
        <v>..</v>
      </c>
      <c r="BL19" s="117" t="str">
        <f>IFERROR(VLOOKUP($D19,'WB Data'!$C$3:$M$578,7,FALSE)/100,"..")</f>
        <v>..</v>
      </c>
      <c r="BM19" s="117" t="str">
        <f>IFERROR($AW19*$BL19,"..")</f>
        <v>..</v>
      </c>
      <c r="BN19" s="846" t="str">
        <f>IFERROR($BB19/$BM19,"..")</f>
        <v>..</v>
      </c>
      <c r="BO19" s="801">
        <f t="shared" si="2"/>
        <v>12</v>
      </c>
      <c r="BP19" s="117" t="str">
        <f>VLOOKUP($D19,'WB Data'!$C$3:$M$578,9,FALSE)</f>
        <v>..</v>
      </c>
      <c r="BQ19" s="117">
        <f>VLOOKUP($D19,'WB Data'!$C$3:$M$578,10,FALSE)</f>
        <v>59.60009756097562</v>
      </c>
      <c r="BR19" s="117">
        <f>VLOOKUP($D19,'WB Data'!$C$3:$M$578,11,FALSE)</f>
        <v>75.3</v>
      </c>
      <c r="BS19" s="129" t="str">
        <f>IFERROR(VLOOKUP($D19,'WB Data 2'!$C$2:$K$545,9,FALSE),"..")</f>
        <v>..</v>
      </c>
      <c r="BT19" s="129" t="str">
        <f>_xlfn.IFNA(VLOOKUP($C19,RGI!$A$2:$C$43,2,FALSE),"..")</f>
        <v>..</v>
      </c>
      <c r="BU19" s="129" t="str">
        <f>_xlfn.IFNA(VLOOKUP($C19,RGI!$A$2:$C$43,3,FALSE),"..")</f>
        <v>..</v>
      </c>
      <c r="BV19" s="129">
        <f>VLOOKUP($D19,WGI!$C$2:$O$478,7,FALSE)</f>
        <v>-1.4815815982603</v>
      </c>
      <c r="BW19" s="129">
        <f>VLOOKUP($D19,WGI!$C$2:$O$478,4,FALSE)</f>
        <v>-2.54981934179348</v>
      </c>
      <c r="BX19" s="129">
        <f>VLOOKUP($D19,WGI!$C$2:$O$478,3,FALSE)</f>
        <v>-1.46557142586881</v>
      </c>
      <c r="BY19" s="129">
        <f>VLOOKUP($D19,WGI!$C$2:$O$478,5,FALSE)</f>
        <v>-1.5292580860895</v>
      </c>
      <c r="BZ19" s="129">
        <f>VLOOKUP($D19,WGI!$C$2:$O$478,2,FALSE)</f>
        <v>-1.62446565845433</v>
      </c>
    </row>
    <row r="20" spans="1:80" ht="15" customHeight="1">
      <c r="A20" s="145" t="s">
        <v>30</v>
      </c>
      <c r="B20" s="116">
        <v>2010</v>
      </c>
      <c r="C20" s="117" t="s">
        <v>21</v>
      </c>
      <c r="D20" s="117" t="s">
        <v>3652</v>
      </c>
      <c r="E20" s="116" t="s">
        <v>22</v>
      </c>
      <c r="F20" s="117"/>
      <c r="G20" s="117" t="s">
        <v>24</v>
      </c>
      <c r="H20" s="117" t="str">
        <f t="shared" si="7"/>
        <v>yes</v>
      </c>
      <c r="I20" s="117" t="str">
        <f t="shared" si="8"/>
        <v>no</v>
      </c>
      <c r="J20" s="117" t="str">
        <f t="shared" si="9"/>
        <v>no</v>
      </c>
      <c r="K20" s="117" t="s">
        <v>614</v>
      </c>
      <c r="L20" s="117" t="str">
        <f t="shared" si="0"/>
        <v>detailed</v>
      </c>
      <c r="M20" s="117" t="str">
        <f t="shared" si="1"/>
        <v>detailed Mining</v>
      </c>
      <c r="N20" s="118">
        <f>((5727/365)*286)+((6204/365)*79)</f>
        <v>5830.2410958904111</v>
      </c>
      <c r="O20" s="118"/>
      <c r="P20" s="118"/>
      <c r="Q20" s="118"/>
      <c r="R20" s="118"/>
      <c r="S20" s="117" t="s">
        <v>610</v>
      </c>
      <c r="T20" s="119">
        <f>((227/365)*286)+((212/365)*79)</f>
        <v>223.75342465753425</v>
      </c>
      <c r="U20" s="117" t="s">
        <v>611</v>
      </c>
      <c r="V20" s="117" t="s">
        <v>632</v>
      </c>
      <c r="W20" s="89">
        <f t="shared" si="12"/>
        <v>1304536.4117845751</v>
      </c>
      <c r="X20" s="117"/>
      <c r="Y20" s="117"/>
      <c r="Z20" s="117"/>
      <c r="AA20" s="121"/>
      <c r="AB20" s="121"/>
      <c r="AC20" s="122"/>
      <c r="AD20" s="122"/>
      <c r="AE20" s="122"/>
      <c r="AF20" s="123"/>
      <c r="AG20" s="117"/>
      <c r="AH20" s="124"/>
      <c r="AI20" s="117"/>
      <c r="AJ20" s="117"/>
      <c r="AK20" s="89"/>
      <c r="AL20" s="117"/>
      <c r="AM20" s="117"/>
      <c r="AN20" s="117"/>
      <c r="AO20" s="117"/>
      <c r="AP20" s="117"/>
      <c r="AQ20" s="117"/>
      <c r="AR20" s="117"/>
      <c r="AS20" s="117"/>
      <c r="AT20" s="117"/>
      <c r="AU20" s="117"/>
      <c r="AV20" s="128"/>
      <c r="AW20" s="117">
        <f>VLOOKUP($D20,'WB Data'!$C$3:$M$578,2,FALSE)</f>
        <v>15936784437.224018</v>
      </c>
      <c r="AX20" s="117">
        <f>VLOOKUP($D20,'WB Data'!$C$3:$M$578,3,FALSE)</f>
        <v>28397812</v>
      </c>
      <c r="AY20" s="847">
        <f t="shared" si="3"/>
        <v>1.4672865509419641E-3</v>
      </c>
      <c r="AZ20" s="117">
        <f>VLOOKUP($D20,'WB Data'!$C$3:$M$578,4,FALSE)/100</f>
        <v>0.11036184539599427</v>
      </c>
      <c r="BA20" s="117">
        <f t="shared" si="4"/>
        <v>1758812940.1702046</v>
      </c>
      <c r="BB20" s="129">
        <f>IFERROR(VLOOKUP($D20,'EITI Revenues'!$C$2:$G$224,5,FALSE),"..")</f>
        <v>23383829.469999999</v>
      </c>
      <c r="BC20" s="846">
        <f t="shared" si="5"/>
        <v>1.3295233925068284E-2</v>
      </c>
      <c r="BD20" s="129" t="str">
        <f>VLOOKUP($D20,'WB Data 2'!$C$2:$K$545,6,FALSE)</f>
        <v>..</v>
      </c>
      <c r="BE20" s="129">
        <f>IFERROR(VLOOKUP($D20,UNCTAD!$C$5:$V$529,4,FALSE),"..")</f>
        <v>5975839000</v>
      </c>
      <c r="BF20" s="846" t="str">
        <f t="shared" si="6"/>
        <v>..</v>
      </c>
      <c r="BG20" s="117">
        <f>VLOOKUP($D20,'WB Data'!$C$3:$M$578,5,FALSE)</f>
        <v>6426380000</v>
      </c>
      <c r="BH20" s="129">
        <f>IFERROR($BB20/$BG20,"..")</f>
        <v>3.6387249851393784E-3</v>
      </c>
      <c r="BI20" s="117" t="str">
        <f>IFERROR(VLOOKUP($D20,'WB Data'!$C$3:$M$578,7,FALSE)/100,"..")</f>
        <v>..</v>
      </c>
      <c r="BJ20" s="117" t="str">
        <f>IFERROR($BI20*$AW20,"..")</f>
        <v>..</v>
      </c>
      <c r="BK20" s="846" t="str">
        <f>IFERROR($BB20/$BJ20,"..")</f>
        <v>..</v>
      </c>
      <c r="BL20" s="117" t="str">
        <f>IFERROR(VLOOKUP($D20,'WB Data'!$C$3:$M$578,7,FALSE)/100,"..")</f>
        <v>..</v>
      </c>
      <c r="BM20" s="117" t="str">
        <f>IFERROR($AW20*$BL20,"..")</f>
        <v>..</v>
      </c>
      <c r="BN20" s="846" t="str">
        <f>IFERROR($BB20/$BM20,"..")</f>
        <v>..</v>
      </c>
      <c r="BO20" s="801">
        <f t="shared" si="2"/>
        <v>12</v>
      </c>
      <c r="BP20" s="117" t="str">
        <f>VLOOKUP($D20,'WB Data'!$C$3:$M$578,9,FALSE)</f>
        <v>..</v>
      </c>
      <c r="BQ20" s="117">
        <f>VLOOKUP($D20,'WB Data'!$C$3:$M$578,10,FALSE)</f>
        <v>59.60009756097562</v>
      </c>
      <c r="BR20" s="117">
        <f>VLOOKUP($D20,'WB Data'!$C$3:$M$578,11,FALSE)</f>
        <v>75.3</v>
      </c>
      <c r="BS20" s="129" t="str">
        <f>IFERROR(VLOOKUP($D20,'WB Data 2'!$C$2:$K$545,9,FALSE),"..")</f>
        <v>..</v>
      </c>
      <c r="BT20" s="129" t="str">
        <f>_xlfn.IFNA(VLOOKUP($C20,RGI!$A$2:$C$43,2,FALSE),"..")</f>
        <v>..</v>
      </c>
      <c r="BU20" s="129" t="str">
        <f>_xlfn.IFNA(VLOOKUP($C20,RGI!$A$2:$C$43,3,FALSE),"..")</f>
        <v>..</v>
      </c>
      <c r="BV20" s="129">
        <f>VLOOKUP($D20,WGI!$C$2:$O$478,7,FALSE)</f>
        <v>-1.4815815982603</v>
      </c>
      <c r="BW20" s="129">
        <f>VLOOKUP($D20,WGI!$C$2:$O$478,4,FALSE)</f>
        <v>-2.54981934179348</v>
      </c>
      <c r="BX20" s="129">
        <f>VLOOKUP($D20,WGI!$C$2:$O$478,3,FALSE)</f>
        <v>-1.46557142586881</v>
      </c>
      <c r="BY20" s="129">
        <f>VLOOKUP($D20,WGI!$C$2:$O$478,5,FALSE)</f>
        <v>-1.5292580860895</v>
      </c>
      <c r="BZ20" s="129">
        <f>VLOOKUP($D20,WGI!$C$2:$O$478,2,FALSE)</f>
        <v>-1.62446565845433</v>
      </c>
    </row>
    <row r="21" spans="1:80" ht="15" customHeight="1">
      <c r="A21" s="145" t="s">
        <v>30</v>
      </c>
      <c r="B21" s="116">
        <v>2010</v>
      </c>
      <c r="C21" s="117" t="s">
        <v>21</v>
      </c>
      <c r="D21" s="117" t="s">
        <v>3652</v>
      </c>
      <c r="E21" s="116" t="s">
        <v>22</v>
      </c>
      <c r="F21" s="117"/>
      <c r="G21" s="117" t="s">
        <v>24</v>
      </c>
      <c r="H21" s="117" t="str">
        <f t="shared" si="7"/>
        <v>yes</v>
      </c>
      <c r="I21" s="117" t="str">
        <f t="shared" si="8"/>
        <v>no</v>
      </c>
      <c r="J21" s="117" t="str">
        <f t="shared" si="9"/>
        <v>no</v>
      </c>
      <c r="K21" s="117" t="s">
        <v>616</v>
      </c>
      <c r="L21" s="117" t="str">
        <f t="shared" si="0"/>
        <v>detailed</v>
      </c>
      <c r="M21" s="117" t="str">
        <f t="shared" si="1"/>
        <v>detailed Mining</v>
      </c>
      <c r="N21" s="118">
        <f>((799000/365)*286)+((799000/365)*79)*0.90718474</f>
        <v>782949.06294120545</v>
      </c>
      <c r="O21" s="118"/>
      <c r="P21" s="118"/>
      <c r="Q21" s="118"/>
      <c r="R21" s="118"/>
      <c r="S21" s="117" t="s">
        <v>610</v>
      </c>
      <c r="T21" s="119">
        <f>((89.85/365)*286)+((111.55/365)*79)</f>
        <v>94.546712328767114</v>
      </c>
      <c r="U21" s="117" t="s">
        <v>611</v>
      </c>
      <c r="V21" s="117" t="s">
        <v>617</v>
      </c>
      <c r="W21" s="89">
        <f t="shared" si="12"/>
        <v>74025259.821979925</v>
      </c>
      <c r="X21" s="117"/>
      <c r="Y21" s="117"/>
      <c r="Z21" s="117"/>
      <c r="AA21" s="121"/>
      <c r="AB21" s="121"/>
      <c r="AC21" s="122"/>
      <c r="AD21" s="122"/>
      <c r="AE21" s="122"/>
      <c r="AF21" s="123"/>
      <c r="AG21" s="117"/>
      <c r="AH21" s="124"/>
      <c r="AI21" s="117"/>
      <c r="AJ21" s="117"/>
      <c r="AK21" s="89"/>
      <c r="AL21" s="117"/>
      <c r="AM21" s="117"/>
      <c r="AN21" s="117">
        <v>4</v>
      </c>
      <c r="AO21" s="117" t="s">
        <v>635</v>
      </c>
      <c r="AP21" s="117">
        <v>4</v>
      </c>
      <c r="AQ21" s="117"/>
      <c r="AR21" s="117"/>
      <c r="AS21" s="117"/>
      <c r="AT21" s="117"/>
      <c r="AU21" s="117"/>
      <c r="AV21" s="128"/>
      <c r="AW21" s="117">
        <f>VLOOKUP($D21,'WB Data'!$C$3:$M$578,2,FALSE)</f>
        <v>15936784437.224018</v>
      </c>
      <c r="AX21" s="117">
        <f>VLOOKUP($D21,'WB Data'!$C$3:$M$578,3,FALSE)</f>
        <v>28397812</v>
      </c>
      <c r="AY21" s="847">
        <f t="shared" si="3"/>
        <v>1.4672865509419641E-3</v>
      </c>
      <c r="AZ21" s="117">
        <f>VLOOKUP($D21,'WB Data'!$C$3:$M$578,4,FALSE)/100</f>
        <v>0.11036184539599427</v>
      </c>
      <c r="BA21" s="117">
        <f t="shared" si="4"/>
        <v>1758812940.1702046</v>
      </c>
      <c r="BB21" s="129">
        <f>IFERROR(VLOOKUP($D21,'EITI Revenues'!$C$2:$G$224,5,FALSE),"..")</f>
        <v>23383829.469999999</v>
      </c>
      <c r="BC21" s="846">
        <f t="shared" si="5"/>
        <v>1.3295233925068284E-2</v>
      </c>
      <c r="BD21" s="129" t="str">
        <f>VLOOKUP($D21,'WB Data 2'!$C$2:$K$545,6,FALSE)</f>
        <v>..</v>
      </c>
      <c r="BE21" s="129">
        <f>IFERROR(VLOOKUP($D21,UNCTAD!$C$5:$V$529,4,FALSE),"..")</f>
        <v>5975839000</v>
      </c>
      <c r="BF21" s="846" t="str">
        <f t="shared" si="6"/>
        <v>..</v>
      </c>
      <c r="BG21" s="117">
        <f>VLOOKUP($D21,'WB Data'!$C$3:$M$578,5,FALSE)</f>
        <v>6426380000</v>
      </c>
      <c r="BH21" s="129">
        <f>IFERROR($BB21/$BG21,"..")</f>
        <v>3.6387249851393784E-3</v>
      </c>
      <c r="BI21" s="117" t="str">
        <f>IFERROR(VLOOKUP($D21,'WB Data'!$C$3:$M$578,7,FALSE)/100,"..")</f>
        <v>..</v>
      </c>
      <c r="BJ21" s="117" t="str">
        <f>IFERROR($BI21*$AW21,"..")</f>
        <v>..</v>
      </c>
      <c r="BK21" s="846" t="str">
        <f>IFERROR($BB21/$BJ21,"..")</f>
        <v>..</v>
      </c>
      <c r="BL21" s="117" t="str">
        <f>IFERROR(VLOOKUP($D21,'WB Data'!$C$3:$M$578,7,FALSE)/100,"..")</f>
        <v>..</v>
      </c>
      <c r="BM21" s="117" t="str">
        <f>IFERROR($AW21*$BL21,"..")</f>
        <v>..</v>
      </c>
      <c r="BN21" s="846" t="str">
        <f>IFERROR($BB21/$BM21,"..")</f>
        <v>..</v>
      </c>
      <c r="BO21" s="801">
        <f t="shared" si="2"/>
        <v>12</v>
      </c>
      <c r="BP21" s="117" t="str">
        <f>VLOOKUP($D21,'WB Data'!$C$3:$M$578,9,FALSE)</f>
        <v>..</v>
      </c>
      <c r="BQ21" s="117">
        <f>VLOOKUP($D21,'WB Data'!$C$3:$M$578,10,FALSE)</f>
        <v>59.60009756097562</v>
      </c>
      <c r="BR21" s="117">
        <f>VLOOKUP($D21,'WB Data'!$C$3:$M$578,11,FALSE)</f>
        <v>75.3</v>
      </c>
      <c r="BS21" s="129" t="str">
        <f>IFERROR(VLOOKUP($D21,'WB Data 2'!$C$2:$K$545,9,FALSE),"..")</f>
        <v>..</v>
      </c>
      <c r="BT21" s="129" t="str">
        <f>_xlfn.IFNA(VLOOKUP($C21,RGI!$A$2:$C$43,2,FALSE),"..")</f>
        <v>..</v>
      </c>
      <c r="BU21" s="129" t="str">
        <f>_xlfn.IFNA(VLOOKUP($C21,RGI!$A$2:$C$43,3,FALSE),"..")</f>
        <v>..</v>
      </c>
      <c r="BV21" s="129">
        <f>VLOOKUP($D21,WGI!$C$2:$O$478,7,FALSE)</f>
        <v>-1.4815815982603</v>
      </c>
      <c r="BW21" s="129">
        <f>VLOOKUP($D21,WGI!$C$2:$O$478,4,FALSE)</f>
        <v>-2.54981934179348</v>
      </c>
      <c r="BX21" s="129">
        <f>VLOOKUP($D21,WGI!$C$2:$O$478,3,FALSE)</f>
        <v>-1.46557142586881</v>
      </c>
      <c r="BY21" s="129">
        <f>VLOOKUP($D21,WGI!$C$2:$O$478,5,FALSE)</f>
        <v>-1.5292580860895</v>
      </c>
      <c r="BZ21" s="129">
        <f>VLOOKUP($D21,WGI!$C$2:$O$478,2,FALSE)</f>
        <v>-1.62446565845433</v>
      </c>
    </row>
    <row r="22" spans="1:80" ht="15" customHeight="1">
      <c r="A22" s="145" t="s">
        <v>30</v>
      </c>
      <c r="B22" s="116">
        <v>2010</v>
      </c>
      <c r="C22" s="117" t="s">
        <v>21</v>
      </c>
      <c r="D22" s="117" t="s">
        <v>3652</v>
      </c>
      <c r="E22" s="116" t="s">
        <v>22</v>
      </c>
      <c r="F22" s="117"/>
      <c r="G22" s="117" t="s">
        <v>24</v>
      </c>
      <c r="H22" s="117" t="str">
        <f t="shared" si="7"/>
        <v>yes</v>
      </c>
      <c r="I22" s="117" t="str">
        <f t="shared" si="8"/>
        <v>no</v>
      </c>
      <c r="J22" s="117" t="str">
        <f t="shared" si="9"/>
        <v>no</v>
      </c>
      <c r="K22" s="117" t="s">
        <v>619</v>
      </c>
      <c r="L22" s="117" t="str">
        <f t="shared" si="0"/>
        <v>detailed</v>
      </c>
      <c r="M22" s="117" t="str">
        <f t="shared" si="1"/>
        <v>detailed Mining</v>
      </c>
      <c r="N22" s="118">
        <v>0</v>
      </c>
      <c r="O22" s="118"/>
      <c r="P22" s="118"/>
      <c r="Q22" s="118"/>
      <c r="R22" s="118"/>
      <c r="S22" s="117" t="s">
        <v>610</v>
      </c>
      <c r="T22" s="119"/>
      <c r="U22" s="117"/>
      <c r="V22" s="117" t="s">
        <v>620</v>
      </c>
      <c r="W22" s="89">
        <f t="shared" si="12"/>
        <v>0</v>
      </c>
      <c r="X22" s="117"/>
      <c r="Y22" s="117"/>
      <c r="Z22" s="117"/>
      <c r="AA22" s="121">
        <v>629151.18000000005</v>
      </c>
      <c r="AB22" s="121">
        <v>2058584.22</v>
      </c>
      <c r="AC22" s="122"/>
      <c r="AD22" s="122"/>
      <c r="AE22" s="122"/>
      <c r="AF22" s="123"/>
      <c r="AG22" s="117"/>
      <c r="AH22" s="124"/>
      <c r="AI22" s="117"/>
      <c r="AJ22" s="117"/>
      <c r="AK22" s="89"/>
      <c r="AL22" s="117"/>
      <c r="AM22" s="117"/>
      <c r="AN22" s="117">
        <v>1</v>
      </c>
      <c r="AO22" s="117" t="s">
        <v>621</v>
      </c>
      <c r="AP22" s="117">
        <v>1</v>
      </c>
      <c r="AQ22" s="117"/>
      <c r="AR22" s="117"/>
      <c r="AS22" s="117"/>
      <c r="AT22" s="117"/>
      <c r="AU22" s="117">
        <v>20</v>
      </c>
      <c r="AV22" s="128"/>
      <c r="AW22" s="117">
        <f>VLOOKUP($D22,'WB Data'!$C$3:$M$578,2,FALSE)</f>
        <v>15936784437.224018</v>
      </c>
      <c r="AX22" s="117">
        <f>VLOOKUP($D22,'WB Data'!$C$3:$M$578,3,FALSE)</f>
        <v>28397812</v>
      </c>
      <c r="AY22" s="847">
        <f t="shared" si="3"/>
        <v>1.4672865509419641E-3</v>
      </c>
      <c r="AZ22" s="117">
        <f>VLOOKUP($D22,'WB Data'!$C$3:$M$578,4,FALSE)/100</f>
        <v>0.11036184539599427</v>
      </c>
      <c r="BA22" s="117">
        <f t="shared" si="4"/>
        <v>1758812940.1702046</v>
      </c>
      <c r="BB22" s="129">
        <f>IFERROR(VLOOKUP($D22,'EITI Revenues'!$C$2:$G$224,5,FALSE),"..")</f>
        <v>23383829.469999999</v>
      </c>
      <c r="BC22" s="846">
        <f t="shared" si="5"/>
        <v>1.3295233925068284E-2</v>
      </c>
      <c r="BD22" s="129" t="str">
        <f>VLOOKUP($D22,'WB Data 2'!$C$2:$K$545,6,FALSE)</f>
        <v>..</v>
      </c>
      <c r="BE22" s="129">
        <f>IFERROR(VLOOKUP($D22,UNCTAD!$C$5:$V$529,4,FALSE),"..")</f>
        <v>5975839000</v>
      </c>
      <c r="BF22" s="846" t="str">
        <f t="shared" si="6"/>
        <v>..</v>
      </c>
      <c r="BG22" s="117">
        <f>VLOOKUP($D22,'WB Data'!$C$3:$M$578,5,FALSE)</f>
        <v>6426380000</v>
      </c>
      <c r="BH22" s="129">
        <f>IFERROR($BB22/$BG22,"..")</f>
        <v>3.6387249851393784E-3</v>
      </c>
      <c r="BI22" s="117" t="str">
        <f>IFERROR(VLOOKUP($D22,'WB Data'!$C$3:$M$578,7,FALSE)/100,"..")</f>
        <v>..</v>
      </c>
      <c r="BJ22" s="117" t="str">
        <f>IFERROR($BI22*$AW22,"..")</f>
        <v>..</v>
      </c>
      <c r="BK22" s="846" t="str">
        <f>IFERROR($BB22/$BJ22,"..")</f>
        <v>..</v>
      </c>
      <c r="BL22" s="117" t="str">
        <f>IFERROR(VLOOKUP($D22,'WB Data'!$C$3:$M$578,7,FALSE)/100,"..")</f>
        <v>..</v>
      </c>
      <c r="BM22" s="117" t="str">
        <f>IFERROR($AW22*$BL22,"..")</f>
        <v>..</v>
      </c>
      <c r="BN22" s="846" t="str">
        <f>IFERROR($BB22/$BM22,"..")</f>
        <v>..</v>
      </c>
      <c r="BO22" s="801">
        <f t="shared" si="2"/>
        <v>12</v>
      </c>
      <c r="BP22" s="117" t="str">
        <f>VLOOKUP($D22,'WB Data'!$C$3:$M$578,9,FALSE)</f>
        <v>..</v>
      </c>
      <c r="BQ22" s="117">
        <f>VLOOKUP($D22,'WB Data'!$C$3:$M$578,10,FALSE)</f>
        <v>59.60009756097562</v>
      </c>
      <c r="BR22" s="117">
        <f>VLOOKUP($D22,'WB Data'!$C$3:$M$578,11,FALSE)</f>
        <v>75.3</v>
      </c>
      <c r="BS22" s="129" t="str">
        <f>IFERROR(VLOOKUP($D22,'WB Data 2'!$C$2:$K$545,9,FALSE),"..")</f>
        <v>..</v>
      </c>
      <c r="BT22" s="129" t="str">
        <f>_xlfn.IFNA(VLOOKUP($C22,RGI!$A$2:$C$43,2,FALSE),"..")</f>
        <v>..</v>
      </c>
      <c r="BU22" s="129" t="str">
        <f>_xlfn.IFNA(VLOOKUP($C22,RGI!$A$2:$C$43,3,FALSE),"..")</f>
        <v>..</v>
      </c>
      <c r="BV22" s="129">
        <f>VLOOKUP($D22,WGI!$C$2:$O$478,7,FALSE)</f>
        <v>-1.4815815982603</v>
      </c>
      <c r="BW22" s="129">
        <f>VLOOKUP($D22,WGI!$C$2:$O$478,4,FALSE)</f>
        <v>-2.54981934179348</v>
      </c>
      <c r="BX22" s="129">
        <f>VLOOKUP($D22,WGI!$C$2:$O$478,3,FALSE)</f>
        <v>-1.46557142586881</v>
      </c>
      <c r="BY22" s="129">
        <f>VLOOKUP($D22,WGI!$C$2:$O$478,5,FALSE)</f>
        <v>-1.5292580860895</v>
      </c>
      <c r="BZ22" s="129">
        <f>VLOOKUP($D22,WGI!$C$2:$O$478,2,FALSE)</f>
        <v>-1.62446565845433</v>
      </c>
    </row>
    <row r="23" spans="1:80" ht="15" customHeight="1">
      <c r="A23" s="145" t="s">
        <v>30</v>
      </c>
      <c r="B23" s="116">
        <v>2010</v>
      </c>
      <c r="C23" s="117" t="s">
        <v>21</v>
      </c>
      <c r="D23" s="117" t="s">
        <v>3652</v>
      </c>
      <c r="E23" s="116" t="s">
        <v>22</v>
      </c>
      <c r="F23" s="117"/>
      <c r="G23" s="117" t="s">
        <v>24</v>
      </c>
      <c r="H23" s="117" t="str">
        <f t="shared" si="7"/>
        <v>yes</v>
      </c>
      <c r="I23" s="117" t="str">
        <f t="shared" si="8"/>
        <v>no</v>
      </c>
      <c r="J23" s="117" t="str">
        <f t="shared" si="9"/>
        <v>no</v>
      </c>
      <c r="K23" s="117" t="s">
        <v>622</v>
      </c>
      <c r="L23" s="117" t="str">
        <f t="shared" si="0"/>
        <v>detailed</v>
      </c>
      <c r="M23" s="117" t="str">
        <f t="shared" si="1"/>
        <v>detailed Mining</v>
      </c>
      <c r="N23" s="118">
        <f>((63100/365)*286)+((62000/365)*79)</f>
        <v>62861.917808219179</v>
      </c>
      <c r="O23" s="118"/>
      <c r="P23" s="118"/>
      <c r="Q23" s="118"/>
      <c r="R23" s="118"/>
      <c r="S23" s="117" t="s">
        <v>610</v>
      </c>
      <c r="T23" s="119">
        <f>((18.3/365)*286)+((18.5/365)*79)</f>
        <v>18.343287671232879</v>
      </c>
      <c r="U23" s="117" t="s">
        <v>611</v>
      </c>
      <c r="V23" s="117" t="s">
        <v>623</v>
      </c>
      <c r="W23" s="89">
        <f t="shared" si="12"/>
        <v>1153094.2419215615</v>
      </c>
      <c r="X23" s="117"/>
      <c r="Y23" s="117"/>
      <c r="Z23" s="117"/>
      <c r="AA23" s="121"/>
      <c r="AB23" s="121"/>
      <c r="AC23" s="122"/>
      <c r="AD23" s="122"/>
      <c r="AE23" s="122"/>
      <c r="AF23" s="123"/>
      <c r="AG23" s="117"/>
      <c r="AH23" s="124"/>
      <c r="AI23" s="117"/>
      <c r="AJ23" s="117"/>
      <c r="AK23" s="89"/>
      <c r="AL23" s="117"/>
      <c r="AM23" s="117"/>
      <c r="AN23" s="117"/>
      <c r="AO23" s="117"/>
      <c r="AP23" s="117"/>
      <c r="AQ23" s="117"/>
      <c r="AR23" s="117"/>
      <c r="AS23" s="117"/>
      <c r="AT23" s="117"/>
      <c r="AU23" s="117"/>
      <c r="AV23" s="128"/>
      <c r="AW23" s="117">
        <f>VLOOKUP($D23,'WB Data'!$C$3:$M$578,2,FALSE)</f>
        <v>15936784437.224018</v>
      </c>
      <c r="AX23" s="117">
        <f>VLOOKUP($D23,'WB Data'!$C$3:$M$578,3,FALSE)</f>
        <v>28397812</v>
      </c>
      <c r="AY23" s="847">
        <f t="shared" si="3"/>
        <v>1.4672865509419641E-3</v>
      </c>
      <c r="AZ23" s="117">
        <f>VLOOKUP($D23,'WB Data'!$C$3:$M$578,4,FALSE)/100</f>
        <v>0.11036184539599427</v>
      </c>
      <c r="BA23" s="117">
        <f t="shared" si="4"/>
        <v>1758812940.1702046</v>
      </c>
      <c r="BB23" s="129">
        <f>IFERROR(VLOOKUP($D23,'EITI Revenues'!$C$2:$G$224,5,FALSE),"..")</f>
        <v>23383829.469999999</v>
      </c>
      <c r="BC23" s="846">
        <f t="shared" si="5"/>
        <v>1.3295233925068284E-2</v>
      </c>
      <c r="BD23" s="129" t="str">
        <f>VLOOKUP($D23,'WB Data 2'!$C$2:$K$545,6,FALSE)</f>
        <v>..</v>
      </c>
      <c r="BE23" s="129">
        <f>IFERROR(VLOOKUP($D23,UNCTAD!$C$5:$V$529,4,FALSE),"..")</f>
        <v>5975839000</v>
      </c>
      <c r="BF23" s="846" t="str">
        <f t="shared" si="6"/>
        <v>..</v>
      </c>
      <c r="BG23" s="117">
        <f>VLOOKUP($D23,'WB Data'!$C$3:$M$578,5,FALSE)</f>
        <v>6426380000</v>
      </c>
      <c r="BH23" s="129">
        <f>IFERROR($BB23/$BG23,"..")</f>
        <v>3.6387249851393784E-3</v>
      </c>
      <c r="BI23" s="117" t="str">
        <f>IFERROR(VLOOKUP($D23,'WB Data'!$C$3:$M$578,7,FALSE)/100,"..")</f>
        <v>..</v>
      </c>
      <c r="BJ23" s="117" t="str">
        <f>IFERROR($BI23*$AW23,"..")</f>
        <v>..</v>
      </c>
      <c r="BK23" s="846" t="str">
        <f>IFERROR($BB23/$BJ23,"..")</f>
        <v>..</v>
      </c>
      <c r="BL23" s="117" t="str">
        <f>IFERROR(VLOOKUP($D23,'WB Data'!$C$3:$M$578,7,FALSE)/100,"..")</f>
        <v>..</v>
      </c>
      <c r="BM23" s="117" t="str">
        <f>IFERROR($AW23*$BL23,"..")</f>
        <v>..</v>
      </c>
      <c r="BN23" s="846" t="str">
        <f>IFERROR($BB23/$BM23,"..")</f>
        <v>..</v>
      </c>
      <c r="BO23" s="801">
        <f t="shared" si="2"/>
        <v>12</v>
      </c>
      <c r="BP23" s="117" t="str">
        <f>VLOOKUP($D23,'WB Data'!$C$3:$M$578,9,FALSE)</f>
        <v>..</v>
      </c>
      <c r="BQ23" s="117">
        <f>VLOOKUP($D23,'WB Data'!$C$3:$M$578,10,FALSE)</f>
        <v>59.60009756097562</v>
      </c>
      <c r="BR23" s="117">
        <f>VLOOKUP($D23,'WB Data'!$C$3:$M$578,11,FALSE)</f>
        <v>75.3</v>
      </c>
      <c r="BS23" s="129" t="str">
        <f>IFERROR(VLOOKUP($D23,'WB Data 2'!$C$2:$K$545,9,FALSE),"..")</f>
        <v>..</v>
      </c>
      <c r="BT23" s="129" t="str">
        <f>_xlfn.IFNA(VLOOKUP($C23,RGI!$A$2:$C$43,2,FALSE),"..")</f>
        <v>..</v>
      </c>
      <c r="BU23" s="129" t="str">
        <f>_xlfn.IFNA(VLOOKUP($C23,RGI!$A$2:$C$43,3,FALSE),"..")</f>
        <v>..</v>
      </c>
      <c r="BV23" s="129">
        <f>VLOOKUP($D23,WGI!$C$2:$O$478,7,FALSE)</f>
        <v>-1.4815815982603</v>
      </c>
      <c r="BW23" s="129">
        <f>VLOOKUP($D23,WGI!$C$2:$O$478,4,FALSE)</f>
        <v>-2.54981934179348</v>
      </c>
      <c r="BX23" s="129">
        <f>VLOOKUP($D23,WGI!$C$2:$O$478,3,FALSE)</f>
        <v>-1.46557142586881</v>
      </c>
      <c r="BY23" s="129">
        <f>VLOOKUP($D23,WGI!$C$2:$O$478,5,FALSE)</f>
        <v>-1.5292580860895</v>
      </c>
      <c r="BZ23" s="129">
        <f>VLOOKUP($D23,WGI!$C$2:$O$478,2,FALSE)</f>
        <v>-1.62446565845433</v>
      </c>
    </row>
    <row r="24" spans="1:80" ht="15" customHeight="1">
      <c r="A24" s="145" t="s">
        <v>30</v>
      </c>
      <c r="B24" s="116">
        <v>2010</v>
      </c>
      <c r="C24" s="117" t="s">
        <v>21</v>
      </c>
      <c r="D24" s="117" t="s">
        <v>3652</v>
      </c>
      <c r="E24" s="116" t="s">
        <v>22</v>
      </c>
      <c r="F24" s="117"/>
      <c r="G24" s="117" t="s">
        <v>24</v>
      </c>
      <c r="H24" s="117" t="str">
        <f t="shared" si="7"/>
        <v>yes</v>
      </c>
      <c r="I24" s="117" t="str">
        <f t="shared" si="8"/>
        <v>no</v>
      </c>
      <c r="J24" s="117" t="str">
        <f t="shared" si="9"/>
        <v>no</v>
      </c>
      <c r="K24" s="117" t="s">
        <v>624</v>
      </c>
      <c r="L24" s="117" t="str">
        <f t="shared" si="0"/>
        <v>detailed</v>
      </c>
      <c r="M24" s="117" t="str">
        <f t="shared" si="1"/>
        <v>detailed Mining</v>
      </c>
      <c r="N24" s="118">
        <f>((186100/365)*286)+((190000/365)*79)</f>
        <v>186944.10958904109</v>
      </c>
      <c r="O24" s="118"/>
      <c r="P24" s="118">
        <f>75000*0.90718474</f>
        <v>68038.855500000005</v>
      </c>
      <c r="Q24" s="118"/>
      <c r="R24" s="118"/>
      <c r="S24" s="117" t="s">
        <v>610</v>
      </c>
      <c r="T24" s="119">
        <f>((35.67/365)*286)+((38.29/365)*79)</f>
        <v>36.237068493150687</v>
      </c>
      <c r="U24" s="117" t="s">
        <v>611</v>
      </c>
      <c r="V24" s="117" t="s">
        <v>625</v>
      </c>
      <c r="W24" s="89">
        <f t="shared" si="12"/>
        <v>6774306.5035691503</v>
      </c>
      <c r="X24" s="117"/>
      <c r="Y24" s="117"/>
      <c r="Z24" s="117"/>
      <c r="AA24" s="121"/>
      <c r="AB24" s="121"/>
      <c r="AC24" s="122"/>
      <c r="AD24" s="122"/>
      <c r="AE24" s="122"/>
      <c r="AF24" s="123"/>
      <c r="AG24" s="117"/>
      <c r="AH24" s="124"/>
      <c r="AI24" s="117"/>
      <c r="AJ24" s="117"/>
      <c r="AK24" s="89"/>
      <c r="AL24" s="117"/>
      <c r="AM24" s="117"/>
      <c r="AN24" s="117">
        <v>1</v>
      </c>
      <c r="AO24" s="117" t="s">
        <v>626</v>
      </c>
      <c r="AP24" s="117"/>
      <c r="AQ24" s="117"/>
      <c r="AR24" s="117"/>
      <c r="AS24" s="117"/>
      <c r="AT24" s="117"/>
      <c r="AU24" s="117">
        <v>7</v>
      </c>
      <c r="AV24" s="128"/>
      <c r="AW24" s="117">
        <f>VLOOKUP($D24,'WB Data'!$C$3:$M$578,2,FALSE)</f>
        <v>15936784437.224018</v>
      </c>
      <c r="AX24" s="117">
        <f>VLOOKUP($D24,'WB Data'!$C$3:$M$578,3,FALSE)</f>
        <v>28397812</v>
      </c>
      <c r="AY24" s="847">
        <f t="shared" si="3"/>
        <v>1.4672865509419641E-3</v>
      </c>
      <c r="AZ24" s="117">
        <f>VLOOKUP($D24,'WB Data'!$C$3:$M$578,4,FALSE)/100</f>
        <v>0.11036184539599427</v>
      </c>
      <c r="BA24" s="117">
        <f t="shared" si="4"/>
        <v>1758812940.1702046</v>
      </c>
      <c r="BB24" s="129">
        <f>IFERROR(VLOOKUP($D24,'EITI Revenues'!$C$2:$G$224,5,FALSE),"..")</f>
        <v>23383829.469999999</v>
      </c>
      <c r="BC24" s="846">
        <f t="shared" si="5"/>
        <v>1.3295233925068284E-2</v>
      </c>
      <c r="BD24" s="129" t="str">
        <f>VLOOKUP($D24,'WB Data 2'!$C$2:$K$545,6,FALSE)</f>
        <v>..</v>
      </c>
      <c r="BE24" s="129">
        <f>IFERROR(VLOOKUP($D24,UNCTAD!$C$5:$V$529,4,FALSE),"..")</f>
        <v>5975839000</v>
      </c>
      <c r="BF24" s="846" t="str">
        <f t="shared" si="6"/>
        <v>..</v>
      </c>
      <c r="BG24" s="117">
        <f>VLOOKUP($D24,'WB Data'!$C$3:$M$578,5,FALSE)</f>
        <v>6426380000</v>
      </c>
      <c r="BH24" s="129">
        <f>IFERROR($BB24/$BG24,"..")</f>
        <v>3.6387249851393784E-3</v>
      </c>
      <c r="BI24" s="117" t="str">
        <f>IFERROR(VLOOKUP($D24,'WB Data'!$C$3:$M$578,7,FALSE)/100,"..")</f>
        <v>..</v>
      </c>
      <c r="BJ24" s="117" t="str">
        <f>IFERROR($BI24*$AW24,"..")</f>
        <v>..</v>
      </c>
      <c r="BK24" s="846" t="str">
        <f>IFERROR($BB24/$BJ24,"..")</f>
        <v>..</v>
      </c>
      <c r="BL24" s="117" t="str">
        <f>IFERROR(VLOOKUP($D24,'WB Data'!$C$3:$M$578,7,FALSE)/100,"..")</f>
        <v>..</v>
      </c>
      <c r="BM24" s="117" t="str">
        <f>IFERROR($AW24*$BL24,"..")</f>
        <v>..</v>
      </c>
      <c r="BN24" s="846" t="str">
        <f>IFERROR($BB24/$BM24,"..")</f>
        <v>..</v>
      </c>
      <c r="BO24" s="801">
        <f t="shared" si="2"/>
        <v>12</v>
      </c>
      <c r="BP24" s="117" t="str">
        <f>VLOOKUP($D24,'WB Data'!$C$3:$M$578,9,FALSE)</f>
        <v>..</v>
      </c>
      <c r="BQ24" s="117">
        <f>VLOOKUP($D24,'WB Data'!$C$3:$M$578,10,FALSE)</f>
        <v>59.60009756097562</v>
      </c>
      <c r="BR24" s="117">
        <f>VLOOKUP($D24,'WB Data'!$C$3:$M$578,11,FALSE)</f>
        <v>75.3</v>
      </c>
      <c r="BS24" s="129" t="str">
        <f>IFERROR(VLOOKUP($D24,'WB Data 2'!$C$2:$K$545,9,FALSE),"..")</f>
        <v>..</v>
      </c>
      <c r="BT24" s="129" t="str">
        <f>_xlfn.IFNA(VLOOKUP($C24,RGI!$A$2:$C$43,2,FALSE),"..")</f>
        <v>..</v>
      </c>
      <c r="BU24" s="129" t="str">
        <f>_xlfn.IFNA(VLOOKUP($C24,RGI!$A$2:$C$43,3,FALSE),"..")</f>
        <v>..</v>
      </c>
      <c r="BV24" s="129">
        <f>VLOOKUP($D24,WGI!$C$2:$O$478,7,FALSE)</f>
        <v>-1.4815815982603</v>
      </c>
      <c r="BW24" s="129">
        <f>VLOOKUP($D24,WGI!$C$2:$O$478,4,FALSE)</f>
        <v>-2.54981934179348</v>
      </c>
      <c r="BX24" s="129">
        <f>VLOOKUP($D24,WGI!$C$2:$O$478,3,FALSE)</f>
        <v>-1.46557142586881</v>
      </c>
      <c r="BY24" s="129">
        <f>VLOOKUP($D24,WGI!$C$2:$O$478,5,FALSE)</f>
        <v>-1.5292580860895</v>
      </c>
      <c r="BZ24" s="129">
        <f>VLOOKUP($D24,WGI!$C$2:$O$478,2,FALSE)</f>
        <v>-1.62446565845433</v>
      </c>
    </row>
    <row r="25" spans="1:80" ht="15" customHeight="1">
      <c r="A25" s="145" t="s">
        <v>30</v>
      </c>
      <c r="B25" s="116">
        <v>2010</v>
      </c>
      <c r="C25" s="117" t="s">
        <v>21</v>
      </c>
      <c r="D25" s="117" t="s">
        <v>3652</v>
      </c>
      <c r="E25" s="116" t="s">
        <v>22</v>
      </c>
      <c r="F25" s="117"/>
      <c r="G25" s="117" t="s">
        <v>24</v>
      </c>
      <c r="H25" s="117" t="str">
        <f t="shared" si="7"/>
        <v>yes</v>
      </c>
      <c r="I25" s="117" t="str">
        <f t="shared" si="8"/>
        <v>no</v>
      </c>
      <c r="J25" s="117" t="str">
        <f t="shared" si="9"/>
        <v>no</v>
      </c>
      <c r="K25" s="117" t="s">
        <v>627</v>
      </c>
      <c r="L25" s="117" t="str">
        <f t="shared" si="0"/>
        <v>detailed</v>
      </c>
      <c r="M25" s="117" t="str">
        <f t="shared" si="1"/>
        <v>detailed Mining</v>
      </c>
      <c r="N25" s="118">
        <v>200000</v>
      </c>
      <c r="O25" s="118"/>
      <c r="P25" s="118"/>
      <c r="Q25" s="118"/>
      <c r="R25" s="118"/>
      <c r="S25" s="117" t="s">
        <v>610</v>
      </c>
      <c r="T25" s="119">
        <f>((150/365)*286)+((155/365)*79)</f>
        <v>151.08219178082192</v>
      </c>
      <c r="U25" s="117" t="s">
        <v>611</v>
      </c>
      <c r="V25" s="117" t="s">
        <v>628</v>
      </c>
      <c r="W25" s="89">
        <f t="shared" si="12"/>
        <v>30216438.356164385</v>
      </c>
      <c r="X25" s="117"/>
      <c r="Y25" s="117"/>
      <c r="Z25" s="117"/>
      <c r="AA25" s="121"/>
      <c r="AB25" s="121"/>
      <c r="AC25" s="122"/>
      <c r="AD25" s="122"/>
      <c r="AE25" s="122"/>
      <c r="AF25" s="123"/>
      <c r="AG25" s="117"/>
      <c r="AH25" s="124"/>
      <c r="AI25" s="117"/>
      <c r="AJ25" s="117"/>
      <c r="AK25" s="89"/>
      <c r="AL25" s="117"/>
      <c r="AM25" s="117"/>
      <c r="AN25" s="117"/>
      <c r="AO25" s="117"/>
      <c r="AP25" s="117"/>
      <c r="AQ25" s="117"/>
      <c r="AR25" s="117"/>
      <c r="AS25" s="117"/>
      <c r="AT25" s="117"/>
      <c r="AU25" s="117"/>
      <c r="AV25" s="128"/>
      <c r="AW25" s="117">
        <f>VLOOKUP($D25,'WB Data'!$C$3:$M$578,2,FALSE)</f>
        <v>15936784437.224018</v>
      </c>
      <c r="AX25" s="117">
        <f>VLOOKUP($D25,'WB Data'!$C$3:$M$578,3,FALSE)</f>
        <v>28397812</v>
      </c>
      <c r="AY25" s="847">
        <f t="shared" si="3"/>
        <v>1.4672865509419641E-3</v>
      </c>
      <c r="AZ25" s="117">
        <f>VLOOKUP($D25,'WB Data'!$C$3:$M$578,4,FALSE)/100</f>
        <v>0.11036184539599427</v>
      </c>
      <c r="BA25" s="117">
        <f t="shared" si="4"/>
        <v>1758812940.1702046</v>
      </c>
      <c r="BB25" s="129">
        <f>IFERROR(VLOOKUP($D25,'EITI Revenues'!$C$2:$G$224,5,FALSE),"..")</f>
        <v>23383829.469999999</v>
      </c>
      <c r="BC25" s="846">
        <f t="shared" si="5"/>
        <v>1.3295233925068284E-2</v>
      </c>
      <c r="BD25" s="129" t="str">
        <f>VLOOKUP($D25,'WB Data 2'!$C$2:$K$545,6,FALSE)</f>
        <v>..</v>
      </c>
      <c r="BE25" s="129">
        <f>IFERROR(VLOOKUP($D25,UNCTAD!$C$5:$V$529,4,FALSE),"..")</f>
        <v>5975839000</v>
      </c>
      <c r="BF25" s="846" t="str">
        <f t="shared" si="6"/>
        <v>..</v>
      </c>
      <c r="BG25" s="117">
        <f>VLOOKUP($D25,'WB Data'!$C$3:$M$578,5,FALSE)</f>
        <v>6426380000</v>
      </c>
      <c r="BH25" s="129">
        <f>IFERROR($BB25/$BG25,"..")</f>
        <v>3.6387249851393784E-3</v>
      </c>
      <c r="BI25" s="117" t="str">
        <f>IFERROR(VLOOKUP($D25,'WB Data'!$C$3:$M$578,7,FALSE)/100,"..")</f>
        <v>..</v>
      </c>
      <c r="BJ25" s="117" t="str">
        <f>IFERROR($BI25*$AW25,"..")</f>
        <v>..</v>
      </c>
      <c r="BK25" s="846" t="str">
        <f>IFERROR($BB25/$BJ25,"..")</f>
        <v>..</v>
      </c>
      <c r="BL25" s="117" t="str">
        <f>IFERROR(VLOOKUP($D25,'WB Data'!$C$3:$M$578,7,FALSE)/100,"..")</f>
        <v>..</v>
      </c>
      <c r="BM25" s="117" t="str">
        <f>IFERROR($AW25*$BL25,"..")</f>
        <v>..</v>
      </c>
      <c r="BN25" s="846" t="str">
        <f>IFERROR($BB25/$BM25,"..")</f>
        <v>..</v>
      </c>
      <c r="BO25" s="801">
        <f t="shared" si="2"/>
        <v>12</v>
      </c>
      <c r="BP25" s="117" t="str">
        <f>VLOOKUP($D25,'WB Data'!$C$3:$M$578,9,FALSE)</f>
        <v>..</v>
      </c>
      <c r="BQ25" s="117">
        <f>VLOOKUP($D25,'WB Data'!$C$3:$M$578,10,FALSE)</f>
        <v>59.60009756097562</v>
      </c>
      <c r="BR25" s="117">
        <f>VLOOKUP($D25,'WB Data'!$C$3:$M$578,11,FALSE)</f>
        <v>75.3</v>
      </c>
      <c r="BS25" s="129" t="str">
        <f>IFERROR(VLOOKUP($D25,'WB Data 2'!$C$2:$K$545,9,FALSE),"..")</f>
        <v>..</v>
      </c>
      <c r="BT25" s="129" t="str">
        <f>_xlfn.IFNA(VLOOKUP($C25,RGI!$A$2:$C$43,2,FALSE),"..")</f>
        <v>..</v>
      </c>
      <c r="BU25" s="129" t="str">
        <f>_xlfn.IFNA(VLOOKUP($C25,RGI!$A$2:$C$43,3,FALSE),"..")</f>
        <v>..</v>
      </c>
      <c r="BV25" s="129">
        <f>VLOOKUP($D25,WGI!$C$2:$O$478,7,FALSE)</f>
        <v>-1.4815815982603</v>
      </c>
      <c r="BW25" s="129">
        <f>VLOOKUP($D25,WGI!$C$2:$O$478,4,FALSE)</f>
        <v>-2.54981934179348</v>
      </c>
      <c r="BX25" s="129">
        <f>VLOOKUP($D25,WGI!$C$2:$O$478,3,FALSE)</f>
        <v>-1.46557142586881</v>
      </c>
      <c r="BY25" s="129">
        <f>VLOOKUP($D25,WGI!$C$2:$O$478,5,FALSE)</f>
        <v>-1.5292580860895</v>
      </c>
      <c r="BZ25" s="129">
        <f>VLOOKUP($D25,WGI!$C$2:$O$478,2,FALSE)</f>
        <v>-1.62446565845433</v>
      </c>
    </row>
    <row r="26" spans="1:80" s="144" customFormat="1" ht="15" customHeight="1">
      <c r="A26" s="130" t="s">
        <v>33</v>
      </c>
      <c r="B26" s="131">
        <v>2011</v>
      </c>
      <c r="C26" s="132" t="s">
        <v>21</v>
      </c>
      <c r="D26" s="117" t="s">
        <v>3686</v>
      </c>
      <c r="E26" s="131" t="s">
        <v>22</v>
      </c>
      <c r="F26" s="132" t="s">
        <v>599</v>
      </c>
      <c r="G26" s="132" t="s">
        <v>35</v>
      </c>
      <c r="H26" s="117" t="str">
        <f t="shared" si="7"/>
        <v>yes</v>
      </c>
      <c r="I26" s="117" t="str">
        <f t="shared" si="8"/>
        <v>yes</v>
      </c>
      <c r="J26" s="117" t="str">
        <f t="shared" si="9"/>
        <v>yes</v>
      </c>
      <c r="K26" s="132" t="s">
        <v>636</v>
      </c>
      <c r="L26" s="117" t="str">
        <f t="shared" si="0"/>
        <v>Total</v>
      </c>
      <c r="M26" s="117" t="str">
        <f t="shared" si="1"/>
        <v>Total Oil, Gas, Mining</v>
      </c>
      <c r="N26" s="133"/>
      <c r="O26" s="133"/>
      <c r="P26" s="133"/>
      <c r="Q26" s="133"/>
      <c r="R26" s="133"/>
      <c r="S26" s="132"/>
      <c r="T26" s="134"/>
      <c r="U26" s="132"/>
      <c r="V26" s="132"/>
      <c r="W26" s="135">
        <f>+W27+W30</f>
        <v>156067920.43296844</v>
      </c>
      <c r="X26" s="136" t="s">
        <v>637</v>
      </c>
      <c r="Y26" s="132" t="s">
        <v>602</v>
      </c>
      <c r="Z26" s="132" t="s">
        <v>603</v>
      </c>
      <c r="AA26" s="160">
        <v>101776402</v>
      </c>
      <c r="AB26" s="160">
        <v>101712176</v>
      </c>
      <c r="AC26" s="138"/>
      <c r="AD26" s="160"/>
      <c r="AE26" s="138"/>
      <c r="AF26" s="139">
        <f>AA26/W26</f>
        <v>0.65212890463106554</v>
      </c>
      <c r="AG26" s="132" t="s">
        <v>604</v>
      </c>
      <c r="AH26" s="140">
        <v>47.63</v>
      </c>
      <c r="AI26" s="132" t="s">
        <v>605</v>
      </c>
      <c r="AJ26" s="132"/>
      <c r="AK26" s="135"/>
      <c r="AL26" s="132"/>
      <c r="AM26" s="132"/>
      <c r="AN26" s="132">
        <v>14</v>
      </c>
      <c r="AO26" s="132" t="s">
        <v>638</v>
      </c>
      <c r="AP26" s="132">
        <v>14</v>
      </c>
      <c r="AQ26" s="161" t="s">
        <v>34</v>
      </c>
      <c r="AR26" s="141">
        <v>41914</v>
      </c>
      <c r="AS26" s="132" t="s">
        <v>607</v>
      </c>
      <c r="AT26" s="142" t="s">
        <v>36</v>
      </c>
      <c r="AU26" s="132">
        <v>5</v>
      </c>
      <c r="AV26" s="143" t="s">
        <v>639</v>
      </c>
      <c r="AW26" s="117">
        <f>VLOOKUP($D26,'WB Data'!$C$3:$M$578,2,FALSE)</f>
        <v>17870159081.787025</v>
      </c>
      <c r="AX26" s="117">
        <f>VLOOKUP($D26,'WB Data'!$C$3:$M$578,3,FALSE)</f>
        <v>29105480</v>
      </c>
      <c r="AY26" s="847">
        <f t="shared" si="3"/>
        <v>5.6953271391819256E-3</v>
      </c>
      <c r="AZ26" s="117">
        <f>VLOOKUP($D26,'WB Data'!$C$3:$M$578,4,FALSE)/100</f>
        <v>0.11429836990904028</v>
      </c>
      <c r="BA26" s="117">
        <f t="shared" si="4"/>
        <v>2042530053.0634892</v>
      </c>
      <c r="BB26" s="129">
        <f>IFERROR(VLOOKUP($D26,'EITI Revenues'!$C$2:$G$224,5,FALSE),"..")</f>
        <v>101776402</v>
      </c>
      <c r="BC26" s="846">
        <f t="shared" si="5"/>
        <v>4.9828594613504286E-2</v>
      </c>
      <c r="BD26" s="129" t="str">
        <f>VLOOKUP($D26,'WB Data 2'!$C$2:$K$545,6,FALSE)</f>
        <v>..</v>
      </c>
      <c r="BE26" s="129">
        <f>IFERROR(VLOOKUP($D26,UNCTAD!$C$5:$V$529,4,FALSE),"..")</f>
        <v>6315776000</v>
      </c>
      <c r="BF26" s="846" t="str">
        <f t="shared" si="6"/>
        <v>..</v>
      </c>
      <c r="BG26" s="117">
        <f>VLOOKUP($D26,'WB Data'!$C$3:$M$578,5,FALSE)</f>
        <v>6884700000</v>
      </c>
      <c r="BH26" s="129">
        <f>IFERROR($BB26/$BG26,"..")</f>
        <v>1.4782982846020887E-2</v>
      </c>
      <c r="BI26" s="117" t="str">
        <f>IFERROR(VLOOKUP($D26,'WB Data'!$C$3:$M$578,7,FALSE)/100,"..")</f>
        <v>..</v>
      </c>
      <c r="BJ26" s="117" t="str">
        <f>IFERROR($BI26*$AW26,"..")</f>
        <v>..</v>
      </c>
      <c r="BK26" s="846" t="str">
        <f>IFERROR($BB26/$BJ26,"..")</f>
        <v>..</v>
      </c>
      <c r="BL26" s="117" t="str">
        <f>IFERROR(VLOOKUP($D26,'WB Data'!$C$3:$M$578,7,FALSE)/100,"..")</f>
        <v>..</v>
      </c>
      <c r="BM26" s="117" t="str">
        <f>IFERROR($AW26*$BL26,"..")</f>
        <v>..</v>
      </c>
      <c r="BN26" s="846" t="str">
        <f>IFERROR($BB26/$BM26,"..")</f>
        <v>..</v>
      </c>
      <c r="BO26" s="801">
        <f t="shared" si="2"/>
        <v>12</v>
      </c>
      <c r="BP26" s="117">
        <f>VLOOKUP($D26,'WB Data'!$C$3:$M$578,9,FALSE)</f>
        <v>35.799999999999997</v>
      </c>
      <c r="BQ26" s="117">
        <f>VLOOKUP($D26,'WB Data'!$C$3:$M$578,10,FALSE)</f>
        <v>60.065365853658541</v>
      </c>
      <c r="BR26" s="117">
        <f>VLOOKUP($D26,'WB Data'!$C$3:$M$578,11,FALSE)</f>
        <v>73.599999999999994</v>
      </c>
      <c r="BS26" s="129" t="str">
        <f>IFERROR(VLOOKUP($D26,'WB Data 2'!$C$2:$K$545,9,FALSE),"..")</f>
        <v>..</v>
      </c>
      <c r="BT26" s="129" t="str">
        <f>_xlfn.IFNA(VLOOKUP($C26,RGI!$A$2:$C$43,2,FALSE),"..")</f>
        <v>..</v>
      </c>
      <c r="BU26" s="129" t="str">
        <f>_xlfn.IFNA(VLOOKUP($C26,RGI!$A$2:$C$43,3,FALSE),"..")</f>
        <v>..</v>
      </c>
      <c r="BV26" s="129">
        <f>VLOOKUP($D26,WGI!$C$2:$O$478,7,FALSE)</f>
        <v>-1.41068579570898</v>
      </c>
      <c r="BW26" s="129">
        <f>VLOOKUP($D26,WGI!$C$2:$O$478,4,FALSE)</f>
        <v>-2.4839237712058702</v>
      </c>
      <c r="BX26" s="129">
        <f>VLOOKUP($D26,WGI!$C$2:$O$478,3,FALSE)</f>
        <v>-1.4576805129002399</v>
      </c>
      <c r="BY26" s="129">
        <f>VLOOKUP($D26,WGI!$C$2:$O$478,5,FALSE)</f>
        <v>-1.5398129724722101</v>
      </c>
      <c r="BZ26" s="129">
        <f>VLOOKUP($D26,WGI!$C$2:$O$478,2,FALSE)</f>
        <v>-1.54901259715108</v>
      </c>
      <c r="CB26" s="129"/>
    </row>
    <row r="27" spans="1:80" s="120" customFormat="1" ht="15" customHeight="1">
      <c r="A27" s="145" t="s">
        <v>33</v>
      </c>
      <c r="B27" s="116">
        <v>2011</v>
      </c>
      <c r="C27" s="117" t="s">
        <v>21</v>
      </c>
      <c r="D27" s="117" t="s">
        <v>3686</v>
      </c>
      <c r="E27" s="116" t="s">
        <v>22</v>
      </c>
      <c r="F27" s="117"/>
      <c r="G27" s="117" t="s">
        <v>55</v>
      </c>
      <c r="H27" s="117" t="str">
        <f t="shared" si="7"/>
        <v>no</v>
      </c>
      <c r="I27" s="117" t="str">
        <f t="shared" si="8"/>
        <v>yes</v>
      </c>
      <c r="J27" s="117" t="str">
        <f t="shared" si="9"/>
        <v>yes</v>
      </c>
      <c r="K27" s="117" t="s">
        <v>640</v>
      </c>
      <c r="L27" s="117" t="str">
        <f t="shared" si="0"/>
        <v>Total</v>
      </c>
      <c r="M27" s="117" t="str">
        <f t="shared" si="1"/>
        <v>Total Oil, Gas</v>
      </c>
      <c r="N27" s="118"/>
      <c r="O27" s="118"/>
      <c r="P27" s="118"/>
      <c r="Q27" s="118"/>
      <c r="R27" s="118"/>
      <c r="S27" s="117"/>
      <c r="T27" s="119"/>
      <c r="U27" s="117"/>
      <c r="V27" s="117"/>
      <c r="W27" s="89">
        <f>SUM(W28:W29)</f>
        <v>27100818.034893151</v>
      </c>
      <c r="X27" s="117"/>
      <c r="Y27" s="117"/>
      <c r="Z27" s="117"/>
      <c r="AA27" s="121">
        <v>2359935.6498005502</v>
      </c>
      <c r="AB27" s="121">
        <v>2374092.2947722021</v>
      </c>
      <c r="AC27" s="122"/>
      <c r="AD27" s="122"/>
      <c r="AE27" s="122"/>
      <c r="AF27" s="123">
        <f>AA27/W27</f>
        <v>8.7079867728053789E-2</v>
      </c>
      <c r="AG27" s="117"/>
      <c r="AH27" s="124"/>
      <c r="AI27" s="117"/>
      <c r="AJ27" s="117"/>
      <c r="AK27" s="89"/>
      <c r="AL27" s="117"/>
      <c r="AM27" s="117"/>
      <c r="AN27" s="117">
        <v>3</v>
      </c>
      <c r="AO27" s="117" t="s">
        <v>641</v>
      </c>
      <c r="AP27" s="117">
        <v>3</v>
      </c>
      <c r="AQ27" s="117"/>
      <c r="AR27" s="117"/>
      <c r="AS27" s="117"/>
      <c r="AT27" s="117"/>
      <c r="AU27" s="117">
        <v>5</v>
      </c>
      <c r="AV27" s="128"/>
      <c r="AW27" s="117">
        <f>VLOOKUP($D27,'WB Data'!$C$3:$M$578,2,FALSE)</f>
        <v>17870159081.787025</v>
      </c>
      <c r="AX27" s="117">
        <f>VLOOKUP($D27,'WB Data'!$C$3:$M$578,3,FALSE)</f>
        <v>29105480</v>
      </c>
      <c r="AY27" s="847">
        <f t="shared" si="3"/>
        <v>5.6953271391819256E-3</v>
      </c>
      <c r="AZ27" s="117">
        <f>VLOOKUP($D27,'WB Data'!$C$3:$M$578,4,FALSE)/100</f>
        <v>0.11429836990904028</v>
      </c>
      <c r="BA27" s="117">
        <f t="shared" si="4"/>
        <v>2042530053.0634892</v>
      </c>
      <c r="BB27" s="129">
        <f>IFERROR(VLOOKUP($D27,'EITI Revenues'!$C$2:$G$224,5,FALSE),"..")</f>
        <v>101776402</v>
      </c>
      <c r="BC27" s="846">
        <f t="shared" si="5"/>
        <v>4.9828594613504286E-2</v>
      </c>
      <c r="BD27" s="129" t="str">
        <f>VLOOKUP($D27,'WB Data 2'!$C$2:$K$545,6,FALSE)</f>
        <v>..</v>
      </c>
      <c r="BE27" s="129">
        <f>IFERROR(VLOOKUP($D27,UNCTAD!$C$5:$V$529,4,FALSE),"..")</f>
        <v>6315776000</v>
      </c>
      <c r="BF27" s="846" t="str">
        <f t="shared" si="6"/>
        <v>..</v>
      </c>
      <c r="BG27" s="117">
        <f>VLOOKUP($D27,'WB Data'!$C$3:$M$578,5,FALSE)</f>
        <v>6884700000</v>
      </c>
      <c r="BH27" s="129">
        <f>IFERROR($BB27/$BG27,"..")</f>
        <v>1.4782982846020887E-2</v>
      </c>
      <c r="BI27" s="117" t="str">
        <f>IFERROR(VLOOKUP($D27,'WB Data'!$C$3:$M$578,7,FALSE)/100,"..")</f>
        <v>..</v>
      </c>
      <c r="BJ27" s="117" t="str">
        <f>IFERROR($BI27*$AW27,"..")</f>
        <v>..</v>
      </c>
      <c r="BK27" s="846" t="str">
        <f>IFERROR($BB27/$BJ27,"..")</f>
        <v>..</v>
      </c>
      <c r="BL27" s="117" t="str">
        <f>IFERROR(VLOOKUP($D27,'WB Data'!$C$3:$M$578,7,FALSE)/100,"..")</f>
        <v>..</v>
      </c>
      <c r="BM27" s="117" t="str">
        <f>IFERROR($AW27*$BL27,"..")</f>
        <v>..</v>
      </c>
      <c r="BN27" s="846" t="str">
        <f>IFERROR($BB27/$BM27,"..")</f>
        <v>..</v>
      </c>
      <c r="BO27" s="801">
        <f t="shared" si="2"/>
        <v>12</v>
      </c>
      <c r="BP27" s="117">
        <f>VLOOKUP($D27,'WB Data'!$C$3:$M$578,9,FALSE)</f>
        <v>35.799999999999997</v>
      </c>
      <c r="BQ27" s="117">
        <f>VLOOKUP($D27,'WB Data'!$C$3:$M$578,10,FALSE)</f>
        <v>60.065365853658541</v>
      </c>
      <c r="BR27" s="117">
        <f>VLOOKUP($D27,'WB Data'!$C$3:$M$578,11,FALSE)</f>
        <v>73.599999999999994</v>
      </c>
      <c r="BS27" s="129" t="str">
        <f>IFERROR(VLOOKUP($D27,'WB Data 2'!$C$2:$K$545,9,FALSE),"..")</f>
        <v>..</v>
      </c>
      <c r="BT27" s="129" t="str">
        <f>_xlfn.IFNA(VLOOKUP($C27,RGI!$A$2:$C$43,2,FALSE),"..")</f>
        <v>..</v>
      </c>
      <c r="BU27" s="129" t="str">
        <f>_xlfn.IFNA(VLOOKUP($C27,RGI!$A$2:$C$43,3,FALSE),"..")</f>
        <v>..</v>
      </c>
      <c r="BV27" s="129">
        <f>VLOOKUP($D27,WGI!$C$2:$O$478,7,FALSE)</f>
        <v>-1.41068579570898</v>
      </c>
      <c r="BW27" s="129">
        <f>VLOOKUP($D27,WGI!$C$2:$O$478,4,FALSE)</f>
        <v>-2.4839237712058702</v>
      </c>
      <c r="BX27" s="129">
        <f>VLOOKUP($D27,WGI!$C$2:$O$478,3,FALSE)</f>
        <v>-1.4576805129002399</v>
      </c>
      <c r="BY27" s="129">
        <f>VLOOKUP($D27,WGI!$C$2:$O$478,5,FALSE)</f>
        <v>-1.5398129724722101</v>
      </c>
      <c r="BZ27" s="129">
        <f>VLOOKUP($D27,WGI!$C$2:$O$478,2,FALSE)</f>
        <v>-1.54901259715108</v>
      </c>
      <c r="CB27" s="129"/>
    </row>
    <row r="28" spans="1:80" s="120" customFormat="1" ht="15" customHeight="1">
      <c r="A28" s="145" t="s">
        <v>33</v>
      </c>
      <c r="B28" s="116">
        <v>2011</v>
      </c>
      <c r="C28" s="117" t="s">
        <v>21</v>
      </c>
      <c r="D28" s="117" t="s">
        <v>3686</v>
      </c>
      <c r="E28" s="116" t="s">
        <v>22</v>
      </c>
      <c r="F28" s="117"/>
      <c r="G28" s="117" t="s">
        <v>561</v>
      </c>
      <c r="H28" s="117" t="str">
        <f t="shared" si="7"/>
        <v>no</v>
      </c>
      <c r="I28" s="117" t="str">
        <f t="shared" si="8"/>
        <v>yes</v>
      </c>
      <c r="J28" s="117" t="str">
        <f t="shared" si="9"/>
        <v>no</v>
      </c>
      <c r="K28" s="117" t="s">
        <v>561</v>
      </c>
      <c r="L28" s="117" t="str">
        <f t="shared" si="0"/>
        <v>detailed</v>
      </c>
      <c r="M28" s="117" t="str">
        <f t="shared" si="1"/>
        <v>detailed Gas</v>
      </c>
      <c r="N28" s="118">
        <f>5000000000*0.0283168</f>
        <v>141584000</v>
      </c>
      <c r="O28" s="118"/>
      <c r="P28" s="118"/>
      <c r="Q28" s="118"/>
      <c r="R28" s="118"/>
      <c r="S28" s="117" t="s">
        <v>642</v>
      </c>
      <c r="T28" s="119">
        <f>((0.19666/365)*286)+((0.172411/365)*79)</f>
        <v>0.19141158630136987</v>
      </c>
      <c r="U28" s="117" t="s">
        <v>643</v>
      </c>
      <c r="V28" s="117" t="s">
        <v>644</v>
      </c>
      <c r="W28" s="89">
        <f>N28*T28</f>
        <v>27100818.034893151</v>
      </c>
      <c r="X28" s="117"/>
      <c r="Y28" s="117"/>
      <c r="Z28" s="117"/>
      <c r="AA28" s="121">
        <v>1198115.6414024774</v>
      </c>
      <c r="AB28" s="121">
        <v>1212272.2863741338</v>
      </c>
      <c r="AC28" s="122"/>
      <c r="AD28" s="122"/>
      <c r="AE28" s="122"/>
      <c r="AF28" s="123">
        <f>AA28/W28</f>
        <v>4.4209574775929864E-2</v>
      </c>
      <c r="AG28" s="117"/>
      <c r="AH28" s="124"/>
      <c r="AI28" s="117"/>
      <c r="AJ28" s="117"/>
      <c r="AK28" s="89"/>
      <c r="AL28" s="117"/>
      <c r="AM28" s="117"/>
      <c r="AN28" s="117">
        <v>2</v>
      </c>
      <c r="AO28" s="117" t="s">
        <v>645</v>
      </c>
      <c r="AP28" s="117">
        <v>2</v>
      </c>
      <c r="AQ28" s="117"/>
      <c r="AR28" s="117"/>
      <c r="AS28" s="117"/>
      <c r="AT28" s="117"/>
      <c r="AU28" s="117">
        <v>5</v>
      </c>
      <c r="AV28" s="128"/>
      <c r="AW28" s="117">
        <f>VLOOKUP($D28,'WB Data'!$C$3:$M$578,2,FALSE)</f>
        <v>17870159081.787025</v>
      </c>
      <c r="AX28" s="117">
        <f>VLOOKUP($D28,'WB Data'!$C$3:$M$578,3,FALSE)</f>
        <v>29105480</v>
      </c>
      <c r="AY28" s="847">
        <f t="shared" si="3"/>
        <v>5.6953271391819256E-3</v>
      </c>
      <c r="AZ28" s="117">
        <f>VLOOKUP($D28,'WB Data'!$C$3:$M$578,4,FALSE)/100</f>
        <v>0.11429836990904028</v>
      </c>
      <c r="BA28" s="117">
        <f t="shared" si="4"/>
        <v>2042530053.0634892</v>
      </c>
      <c r="BB28" s="129">
        <f>IFERROR(VLOOKUP($D28,'EITI Revenues'!$C$2:$G$224,5,FALSE),"..")</f>
        <v>101776402</v>
      </c>
      <c r="BC28" s="846">
        <f t="shared" si="5"/>
        <v>4.9828594613504286E-2</v>
      </c>
      <c r="BD28" s="129" t="str">
        <f>VLOOKUP($D28,'WB Data 2'!$C$2:$K$545,6,FALSE)</f>
        <v>..</v>
      </c>
      <c r="BE28" s="129">
        <f>IFERROR(VLOOKUP($D28,UNCTAD!$C$5:$V$529,4,FALSE),"..")</f>
        <v>6315776000</v>
      </c>
      <c r="BF28" s="846" t="str">
        <f t="shared" si="6"/>
        <v>..</v>
      </c>
      <c r="BG28" s="117">
        <f>VLOOKUP($D28,'WB Data'!$C$3:$M$578,5,FALSE)</f>
        <v>6884700000</v>
      </c>
      <c r="BH28" s="129">
        <f>IFERROR($BB28/$BG28,"..")</f>
        <v>1.4782982846020887E-2</v>
      </c>
      <c r="BI28" s="117" t="str">
        <f>IFERROR(VLOOKUP($D28,'WB Data'!$C$3:$M$578,7,FALSE)/100,"..")</f>
        <v>..</v>
      </c>
      <c r="BJ28" s="117" t="str">
        <f>IFERROR($BI28*$AW28,"..")</f>
        <v>..</v>
      </c>
      <c r="BK28" s="846" t="str">
        <f>IFERROR($BB28/$BJ28,"..")</f>
        <v>..</v>
      </c>
      <c r="BL28" s="117" t="str">
        <f>IFERROR(VLOOKUP($D28,'WB Data'!$C$3:$M$578,7,FALSE)/100,"..")</f>
        <v>..</v>
      </c>
      <c r="BM28" s="117" t="str">
        <f>IFERROR($AW28*$BL28,"..")</f>
        <v>..</v>
      </c>
      <c r="BN28" s="846" t="str">
        <f>IFERROR($BB28/$BM28,"..")</f>
        <v>..</v>
      </c>
      <c r="BO28" s="801">
        <f t="shared" si="2"/>
        <v>12</v>
      </c>
      <c r="BP28" s="117">
        <f>VLOOKUP($D28,'WB Data'!$C$3:$M$578,9,FALSE)</f>
        <v>35.799999999999997</v>
      </c>
      <c r="BQ28" s="117">
        <f>VLOOKUP($D28,'WB Data'!$C$3:$M$578,10,FALSE)</f>
        <v>60.065365853658541</v>
      </c>
      <c r="BR28" s="117">
        <f>VLOOKUP($D28,'WB Data'!$C$3:$M$578,11,FALSE)</f>
        <v>73.599999999999994</v>
      </c>
      <c r="BS28" s="129" t="str">
        <f>IFERROR(VLOOKUP($D28,'WB Data 2'!$C$2:$K$545,9,FALSE),"..")</f>
        <v>..</v>
      </c>
      <c r="BT28" s="129" t="str">
        <f>_xlfn.IFNA(VLOOKUP($C28,RGI!$A$2:$C$43,2,FALSE),"..")</f>
        <v>..</v>
      </c>
      <c r="BU28" s="129" t="str">
        <f>_xlfn.IFNA(VLOOKUP($C28,RGI!$A$2:$C$43,3,FALSE),"..")</f>
        <v>..</v>
      </c>
      <c r="BV28" s="129">
        <f>VLOOKUP($D28,WGI!$C$2:$O$478,7,FALSE)</f>
        <v>-1.41068579570898</v>
      </c>
      <c r="BW28" s="129">
        <f>VLOOKUP($D28,WGI!$C$2:$O$478,4,FALSE)</f>
        <v>-2.4839237712058702</v>
      </c>
      <c r="BX28" s="129">
        <f>VLOOKUP($D28,WGI!$C$2:$O$478,3,FALSE)</f>
        <v>-1.4576805129002399</v>
      </c>
      <c r="BY28" s="129">
        <f>VLOOKUP($D28,WGI!$C$2:$O$478,5,FALSE)</f>
        <v>-1.5398129724722101</v>
      </c>
      <c r="BZ28" s="129">
        <f>VLOOKUP($D28,WGI!$C$2:$O$478,2,FALSE)</f>
        <v>-1.54901259715108</v>
      </c>
      <c r="CB28" s="129"/>
    </row>
    <row r="29" spans="1:80" s="120" customFormat="1" ht="15" customHeight="1">
      <c r="A29" s="145" t="s">
        <v>33</v>
      </c>
      <c r="B29" s="116">
        <v>2011</v>
      </c>
      <c r="C29" s="117" t="s">
        <v>21</v>
      </c>
      <c r="D29" s="117" t="s">
        <v>3686</v>
      </c>
      <c r="E29" s="116" t="s">
        <v>22</v>
      </c>
      <c r="F29" s="117"/>
      <c r="G29" s="117" t="s">
        <v>103</v>
      </c>
      <c r="H29" s="117" t="str">
        <f t="shared" si="7"/>
        <v>no</v>
      </c>
      <c r="I29" s="117" t="str">
        <f t="shared" si="8"/>
        <v>no</v>
      </c>
      <c r="J29" s="117" t="str">
        <f t="shared" si="9"/>
        <v>yes</v>
      </c>
      <c r="K29" s="117" t="s">
        <v>103</v>
      </c>
      <c r="L29" s="117" t="str">
        <f t="shared" si="0"/>
        <v>detailed</v>
      </c>
      <c r="M29" s="117" t="str">
        <f t="shared" si="1"/>
        <v>detailed Oil</v>
      </c>
      <c r="N29" s="118">
        <v>0</v>
      </c>
      <c r="O29" s="118"/>
      <c r="P29" s="118"/>
      <c r="Q29" s="118"/>
      <c r="R29" s="118"/>
      <c r="S29" s="117" t="s">
        <v>646</v>
      </c>
      <c r="T29" s="119"/>
      <c r="U29" s="117"/>
      <c r="V29" s="117" t="s">
        <v>647</v>
      </c>
      <c r="W29" s="89">
        <f>N29*T29</f>
        <v>0</v>
      </c>
      <c r="X29" s="117"/>
      <c r="Y29" s="117"/>
      <c r="Z29" s="117"/>
      <c r="AA29" s="121">
        <v>1161820.0083980684</v>
      </c>
      <c r="AB29" s="121">
        <v>1161820.0083980684</v>
      </c>
      <c r="AC29" s="122"/>
      <c r="AD29" s="122"/>
      <c r="AE29" s="122"/>
      <c r="AF29" s="123"/>
      <c r="AG29" s="117"/>
      <c r="AH29" s="124"/>
      <c r="AI29" s="117"/>
      <c r="AJ29" s="117"/>
      <c r="AK29" s="89"/>
      <c r="AL29" s="117"/>
      <c r="AM29" s="117"/>
      <c r="AN29" s="117">
        <v>1</v>
      </c>
      <c r="AO29" s="117" t="s">
        <v>648</v>
      </c>
      <c r="AP29" s="117">
        <v>1</v>
      </c>
      <c r="AQ29" s="117"/>
      <c r="AR29" s="117"/>
      <c r="AS29" s="117"/>
      <c r="AT29" s="117"/>
      <c r="AU29" s="117">
        <v>5</v>
      </c>
      <c r="AV29" s="128"/>
      <c r="AW29" s="117">
        <f>VLOOKUP($D29,'WB Data'!$C$3:$M$578,2,FALSE)</f>
        <v>17870159081.787025</v>
      </c>
      <c r="AX29" s="117">
        <f>VLOOKUP($D29,'WB Data'!$C$3:$M$578,3,FALSE)</f>
        <v>29105480</v>
      </c>
      <c r="AY29" s="847">
        <f t="shared" si="3"/>
        <v>5.6953271391819256E-3</v>
      </c>
      <c r="AZ29" s="117">
        <f>VLOOKUP($D29,'WB Data'!$C$3:$M$578,4,FALSE)/100</f>
        <v>0.11429836990904028</v>
      </c>
      <c r="BA29" s="117">
        <f t="shared" si="4"/>
        <v>2042530053.0634892</v>
      </c>
      <c r="BB29" s="129">
        <f>IFERROR(VLOOKUP($D29,'EITI Revenues'!$C$2:$G$224,5,FALSE),"..")</f>
        <v>101776402</v>
      </c>
      <c r="BC29" s="846">
        <f t="shared" si="5"/>
        <v>4.9828594613504286E-2</v>
      </c>
      <c r="BD29" s="129" t="str">
        <f>VLOOKUP($D29,'WB Data 2'!$C$2:$K$545,6,FALSE)</f>
        <v>..</v>
      </c>
      <c r="BE29" s="129">
        <f>IFERROR(VLOOKUP($D29,UNCTAD!$C$5:$V$529,4,FALSE),"..")</f>
        <v>6315776000</v>
      </c>
      <c r="BF29" s="846" t="str">
        <f t="shared" si="6"/>
        <v>..</v>
      </c>
      <c r="BG29" s="117">
        <f>VLOOKUP($D29,'WB Data'!$C$3:$M$578,5,FALSE)</f>
        <v>6884700000</v>
      </c>
      <c r="BH29" s="129">
        <f>IFERROR($BB29/$BG29,"..")</f>
        <v>1.4782982846020887E-2</v>
      </c>
      <c r="BI29" s="117" t="str">
        <f>IFERROR(VLOOKUP($D29,'WB Data'!$C$3:$M$578,7,FALSE)/100,"..")</f>
        <v>..</v>
      </c>
      <c r="BJ29" s="117" t="str">
        <f>IFERROR($BI29*$AW29,"..")</f>
        <v>..</v>
      </c>
      <c r="BK29" s="846" t="str">
        <f>IFERROR($BB29/$BJ29,"..")</f>
        <v>..</v>
      </c>
      <c r="BL29" s="117" t="str">
        <f>IFERROR(VLOOKUP($D29,'WB Data'!$C$3:$M$578,7,FALSE)/100,"..")</f>
        <v>..</v>
      </c>
      <c r="BM29" s="117" t="str">
        <f>IFERROR($AW29*$BL29,"..")</f>
        <v>..</v>
      </c>
      <c r="BN29" s="846" t="str">
        <f>IFERROR($BB29/$BM29,"..")</f>
        <v>..</v>
      </c>
      <c r="BO29" s="801">
        <f t="shared" si="2"/>
        <v>12</v>
      </c>
      <c r="BP29" s="117">
        <f>VLOOKUP($D29,'WB Data'!$C$3:$M$578,9,FALSE)</f>
        <v>35.799999999999997</v>
      </c>
      <c r="BQ29" s="117">
        <f>VLOOKUP($D29,'WB Data'!$C$3:$M$578,10,FALSE)</f>
        <v>60.065365853658541</v>
      </c>
      <c r="BR29" s="117">
        <f>VLOOKUP($D29,'WB Data'!$C$3:$M$578,11,FALSE)</f>
        <v>73.599999999999994</v>
      </c>
      <c r="BS29" s="129" t="str">
        <f>IFERROR(VLOOKUP($D29,'WB Data 2'!$C$2:$K$545,9,FALSE),"..")</f>
        <v>..</v>
      </c>
      <c r="BT29" s="129" t="str">
        <f>_xlfn.IFNA(VLOOKUP($C29,RGI!$A$2:$C$43,2,FALSE),"..")</f>
        <v>..</v>
      </c>
      <c r="BU29" s="129" t="str">
        <f>_xlfn.IFNA(VLOOKUP($C29,RGI!$A$2:$C$43,3,FALSE),"..")</f>
        <v>..</v>
      </c>
      <c r="BV29" s="129">
        <f>VLOOKUP($D29,WGI!$C$2:$O$478,7,FALSE)</f>
        <v>-1.41068579570898</v>
      </c>
      <c r="BW29" s="129">
        <f>VLOOKUP($D29,WGI!$C$2:$O$478,4,FALSE)</f>
        <v>-2.4839237712058702</v>
      </c>
      <c r="BX29" s="129">
        <f>VLOOKUP($D29,WGI!$C$2:$O$478,3,FALSE)</f>
        <v>-1.4576805129002399</v>
      </c>
      <c r="BY29" s="129">
        <f>VLOOKUP($D29,WGI!$C$2:$O$478,5,FALSE)</f>
        <v>-1.5398129724722101</v>
      </c>
      <c r="BZ29" s="129">
        <f>VLOOKUP($D29,WGI!$C$2:$O$478,2,FALSE)</f>
        <v>-1.54901259715108</v>
      </c>
      <c r="CB29" s="129"/>
    </row>
    <row r="30" spans="1:80" s="120" customFormat="1" ht="15" customHeight="1">
      <c r="A30" s="145" t="s">
        <v>33</v>
      </c>
      <c r="B30" s="116">
        <v>2011</v>
      </c>
      <c r="C30" s="117" t="s">
        <v>21</v>
      </c>
      <c r="D30" s="117" t="s">
        <v>3686</v>
      </c>
      <c r="E30" s="116" t="s">
        <v>22</v>
      </c>
      <c r="F30" s="117"/>
      <c r="G30" s="117" t="s">
        <v>24</v>
      </c>
      <c r="H30" s="117" t="str">
        <f t="shared" si="7"/>
        <v>yes</v>
      </c>
      <c r="I30" s="117" t="str">
        <f t="shared" si="8"/>
        <v>no</v>
      </c>
      <c r="J30" s="117" t="str">
        <f t="shared" si="9"/>
        <v>no</v>
      </c>
      <c r="K30" s="117" t="s">
        <v>600</v>
      </c>
      <c r="L30" s="117" t="str">
        <f t="shared" si="0"/>
        <v>Total</v>
      </c>
      <c r="M30" s="117" t="str">
        <f t="shared" si="1"/>
        <v>Total Mining</v>
      </c>
      <c r="N30" s="118"/>
      <c r="O30" s="118"/>
      <c r="P30" s="118"/>
      <c r="Q30" s="118"/>
      <c r="R30" s="118"/>
      <c r="S30" s="117"/>
      <c r="T30" s="119"/>
      <c r="U30" s="117"/>
      <c r="V30" s="117"/>
      <c r="W30" s="89">
        <f>SUM(W31:W39)</f>
        <v>128967102.39807528</v>
      </c>
      <c r="X30" s="117"/>
      <c r="Y30" s="117"/>
      <c r="Z30" s="117"/>
      <c r="AA30" s="121">
        <f>AA26-AA27</f>
        <v>99416466.350199446</v>
      </c>
      <c r="AB30" s="121">
        <f>AB26-AB27</f>
        <v>99338083.705227792</v>
      </c>
      <c r="AC30" s="122"/>
      <c r="AD30" s="122"/>
      <c r="AE30" s="122"/>
      <c r="AF30" s="123">
        <f>AA30/W30</f>
        <v>0.77086686838428298</v>
      </c>
      <c r="AG30" s="117"/>
      <c r="AH30" s="124"/>
      <c r="AI30" s="117"/>
      <c r="AJ30" s="117"/>
      <c r="AK30" s="89"/>
      <c r="AL30" s="117"/>
      <c r="AM30" s="117"/>
      <c r="AN30" s="117">
        <v>11</v>
      </c>
      <c r="AO30" s="117" t="s">
        <v>649</v>
      </c>
      <c r="AP30" s="117">
        <v>11</v>
      </c>
      <c r="AQ30" s="117"/>
      <c r="AR30" s="117"/>
      <c r="AS30" s="117"/>
      <c r="AT30" s="117"/>
      <c r="AU30" s="117">
        <v>5</v>
      </c>
      <c r="AV30" s="128"/>
      <c r="AW30" s="117">
        <f>VLOOKUP($D30,'WB Data'!$C$3:$M$578,2,FALSE)</f>
        <v>17870159081.787025</v>
      </c>
      <c r="AX30" s="117">
        <f>VLOOKUP($D30,'WB Data'!$C$3:$M$578,3,FALSE)</f>
        <v>29105480</v>
      </c>
      <c r="AY30" s="847">
        <f t="shared" si="3"/>
        <v>5.6953271391819256E-3</v>
      </c>
      <c r="AZ30" s="117">
        <f>VLOOKUP($D30,'WB Data'!$C$3:$M$578,4,FALSE)/100</f>
        <v>0.11429836990904028</v>
      </c>
      <c r="BA30" s="117">
        <f t="shared" si="4"/>
        <v>2042530053.0634892</v>
      </c>
      <c r="BB30" s="129">
        <f>IFERROR(VLOOKUP($D30,'EITI Revenues'!$C$2:$G$224,5,FALSE),"..")</f>
        <v>101776402</v>
      </c>
      <c r="BC30" s="846">
        <f t="shared" si="5"/>
        <v>4.9828594613504286E-2</v>
      </c>
      <c r="BD30" s="129" t="str">
        <f>VLOOKUP($D30,'WB Data 2'!$C$2:$K$545,6,FALSE)</f>
        <v>..</v>
      </c>
      <c r="BE30" s="129">
        <f>IFERROR(VLOOKUP($D30,UNCTAD!$C$5:$V$529,4,FALSE),"..")</f>
        <v>6315776000</v>
      </c>
      <c r="BF30" s="846" t="str">
        <f t="shared" si="6"/>
        <v>..</v>
      </c>
      <c r="BG30" s="117">
        <f>VLOOKUP($D30,'WB Data'!$C$3:$M$578,5,FALSE)</f>
        <v>6884700000</v>
      </c>
      <c r="BH30" s="129">
        <f>IFERROR($BB30/$BG30,"..")</f>
        <v>1.4782982846020887E-2</v>
      </c>
      <c r="BI30" s="117" t="str">
        <f>IFERROR(VLOOKUP($D30,'WB Data'!$C$3:$M$578,7,FALSE)/100,"..")</f>
        <v>..</v>
      </c>
      <c r="BJ30" s="117" t="str">
        <f>IFERROR($BI30*$AW30,"..")</f>
        <v>..</v>
      </c>
      <c r="BK30" s="846" t="str">
        <f>IFERROR($BB30/$BJ30,"..")</f>
        <v>..</v>
      </c>
      <c r="BL30" s="117" t="str">
        <f>IFERROR(VLOOKUP($D30,'WB Data'!$C$3:$M$578,7,FALSE)/100,"..")</f>
        <v>..</v>
      </c>
      <c r="BM30" s="117" t="str">
        <f>IFERROR($AW30*$BL30,"..")</f>
        <v>..</v>
      </c>
      <c r="BN30" s="846" t="str">
        <f>IFERROR($BB30/$BM30,"..")</f>
        <v>..</v>
      </c>
      <c r="BO30" s="801">
        <f t="shared" si="2"/>
        <v>12</v>
      </c>
      <c r="BP30" s="117">
        <f>VLOOKUP($D30,'WB Data'!$C$3:$M$578,9,FALSE)</f>
        <v>35.799999999999997</v>
      </c>
      <c r="BQ30" s="117">
        <f>VLOOKUP($D30,'WB Data'!$C$3:$M$578,10,FALSE)</f>
        <v>60.065365853658541</v>
      </c>
      <c r="BR30" s="117">
        <f>VLOOKUP($D30,'WB Data'!$C$3:$M$578,11,FALSE)</f>
        <v>73.599999999999994</v>
      </c>
      <c r="BS30" s="129" t="str">
        <f>IFERROR(VLOOKUP($D30,'WB Data 2'!$C$2:$K$545,9,FALSE),"..")</f>
        <v>..</v>
      </c>
      <c r="BT30" s="129" t="str">
        <f>_xlfn.IFNA(VLOOKUP($C30,RGI!$A$2:$C$43,2,FALSE),"..")</f>
        <v>..</v>
      </c>
      <c r="BU30" s="129" t="str">
        <f>_xlfn.IFNA(VLOOKUP($C30,RGI!$A$2:$C$43,3,FALSE),"..")</f>
        <v>..</v>
      </c>
      <c r="BV30" s="129">
        <f>VLOOKUP($D30,WGI!$C$2:$O$478,7,FALSE)</f>
        <v>-1.41068579570898</v>
      </c>
      <c r="BW30" s="129">
        <f>VLOOKUP($D30,WGI!$C$2:$O$478,4,FALSE)</f>
        <v>-2.4839237712058702</v>
      </c>
      <c r="BX30" s="129">
        <f>VLOOKUP($D30,WGI!$C$2:$O$478,3,FALSE)</f>
        <v>-1.4576805129002399</v>
      </c>
      <c r="BY30" s="129">
        <f>VLOOKUP($D30,WGI!$C$2:$O$478,5,FALSE)</f>
        <v>-1.5398129724722101</v>
      </c>
      <c r="BZ30" s="129">
        <f>VLOOKUP($D30,WGI!$C$2:$O$478,2,FALSE)</f>
        <v>-1.54901259715108</v>
      </c>
      <c r="CB30" s="129"/>
    </row>
    <row r="31" spans="1:80" s="120" customFormat="1" ht="15" customHeight="1">
      <c r="A31" s="145" t="s">
        <v>33</v>
      </c>
      <c r="B31" s="116">
        <v>2011</v>
      </c>
      <c r="C31" s="117" t="s">
        <v>21</v>
      </c>
      <c r="D31" s="117" t="s">
        <v>3686</v>
      </c>
      <c r="E31" s="116" t="s">
        <v>22</v>
      </c>
      <c r="F31" s="117"/>
      <c r="G31" s="117" t="s">
        <v>24</v>
      </c>
      <c r="H31" s="117" t="str">
        <f t="shared" si="7"/>
        <v>yes</v>
      </c>
      <c r="I31" s="117" t="str">
        <f t="shared" si="8"/>
        <v>no</v>
      </c>
      <c r="J31" s="117" t="str">
        <f t="shared" si="9"/>
        <v>no</v>
      </c>
      <c r="K31" s="117" t="s">
        <v>609</v>
      </c>
      <c r="L31" s="117" t="str">
        <f t="shared" si="0"/>
        <v>detailed</v>
      </c>
      <c r="M31" s="117" t="str">
        <f t="shared" si="1"/>
        <v>detailed Mining</v>
      </c>
      <c r="N31" s="118">
        <f>((38000/365)*286)+((37000/365)*79)</f>
        <v>37783.561643835616</v>
      </c>
      <c r="O31" s="118"/>
      <c r="P31" s="118"/>
      <c r="Q31" s="118"/>
      <c r="R31" s="118"/>
      <c r="S31" s="117" t="s">
        <v>610</v>
      </c>
      <c r="T31" s="119">
        <f>((89.5/365)*286)+((89.5/365)*79)</f>
        <v>89.5</v>
      </c>
      <c r="U31" s="117" t="s">
        <v>611</v>
      </c>
      <c r="V31" s="117" t="s">
        <v>631</v>
      </c>
      <c r="W31" s="89">
        <f>N31*T31</f>
        <v>3381628.7671232875</v>
      </c>
      <c r="X31" s="117"/>
      <c r="Y31" s="117"/>
      <c r="Z31" s="117"/>
      <c r="AA31" s="121"/>
      <c r="AB31" s="121"/>
      <c r="AC31" s="122"/>
      <c r="AD31" s="122"/>
      <c r="AE31" s="122"/>
      <c r="AF31" s="123"/>
      <c r="AG31" s="117"/>
      <c r="AH31" s="124"/>
      <c r="AI31" s="117"/>
      <c r="AJ31" s="117"/>
      <c r="AK31" s="89"/>
      <c r="AL31" s="117"/>
      <c r="AM31" s="117"/>
      <c r="AN31" s="117">
        <v>1</v>
      </c>
      <c r="AO31" s="117" t="s">
        <v>650</v>
      </c>
      <c r="AP31" s="117">
        <v>1</v>
      </c>
      <c r="AQ31" s="117"/>
      <c r="AR31" s="117"/>
      <c r="AS31" s="117"/>
      <c r="AT31" s="117"/>
      <c r="AU31" s="117">
        <v>5</v>
      </c>
      <c r="AV31" s="128"/>
      <c r="AW31" s="117">
        <f>VLOOKUP($D31,'WB Data'!$C$3:$M$578,2,FALSE)</f>
        <v>17870159081.787025</v>
      </c>
      <c r="AX31" s="117">
        <f>VLOOKUP($D31,'WB Data'!$C$3:$M$578,3,FALSE)</f>
        <v>29105480</v>
      </c>
      <c r="AY31" s="847">
        <f t="shared" si="3"/>
        <v>5.6953271391819256E-3</v>
      </c>
      <c r="AZ31" s="117">
        <f>VLOOKUP($D31,'WB Data'!$C$3:$M$578,4,FALSE)/100</f>
        <v>0.11429836990904028</v>
      </c>
      <c r="BA31" s="117">
        <f t="shared" si="4"/>
        <v>2042530053.0634892</v>
      </c>
      <c r="BB31" s="129">
        <f>IFERROR(VLOOKUP($D31,'EITI Revenues'!$C$2:$G$224,5,FALSE),"..")</f>
        <v>101776402</v>
      </c>
      <c r="BC31" s="846">
        <f t="shared" si="5"/>
        <v>4.9828594613504286E-2</v>
      </c>
      <c r="BD31" s="129" t="str">
        <f>VLOOKUP($D31,'WB Data 2'!$C$2:$K$545,6,FALSE)</f>
        <v>..</v>
      </c>
      <c r="BE31" s="129">
        <f>IFERROR(VLOOKUP($D31,UNCTAD!$C$5:$V$529,4,FALSE),"..")</f>
        <v>6315776000</v>
      </c>
      <c r="BF31" s="846" t="str">
        <f t="shared" si="6"/>
        <v>..</v>
      </c>
      <c r="BG31" s="117">
        <f>VLOOKUP($D31,'WB Data'!$C$3:$M$578,5,FALSE)</f>
        <v>6884700000</v>
      </c>
      <c r="BH31" s="129">
        <f>IFERROR($BB31/$BG31,"..")</f>
        <v>1.4782982846020887E-2</v>
      </c>
      <c r="BI31" s="117" t="str">
        <f>IFERROR(VLOOKUP($D31,'WB Data'!$C$3:$M$578,7,FALSE)/100,"..")</f>
        <v>..</v>
      </c>
      <c r="BJ31" s="117" t="str">
        <f>IFERROR($BI31*$AW31,"..")</f>
        <v>..</v>
      </c>
      <c r="BK31" s="846" t="str">
        <f>IFERROR($BB31/$BJ31,"..")</f>
        <v>..</v>
      </c>
      <c r="BL31" s="117" t="str">
        <f>IFERROR(VLOOKUP($D31,'WB Data'!$C$3:$M$578,7,FALSE)/100,"..")</f>
        <v>..</v>
      </c>
      <c r="BM31" s="117" t="str">
        <f>IFERROR($AW31*$BL31,"..")</f>
        <v>..</v>
      </c>
      <c r="BN31" s="846" t="str">
        <f>IFERROR($BB31/$BM31,"..")</f>
        <v>..</v>
      </c>
      <c r="BO31" s="801">
        <f t="shared" si="2"/>
        <v>12</v>
      </c>
      <c r="BP31" s="117">
        <f>VLOOKUP($D31,'WB Data'!$C$3:$M$578,9,FALSE)</f>
        <v>35.799999999999997</v>
      </c>
      <c r="BQ31" s="117">
        <f>VLOOKUP($D31,'WB Data'!$C$3:$M$578,10,FALSE)</f>
        <v>60.065365853658541</v>
      </c>
      <c r="BR31" s="117">
        <f>VLOOKUP($D31,'WB Data'!$C$3:$M$578,11,FALSE)</f>
        <v>73.599999999999994</v>
      </c>
      <c r="BS31" s="129" t="str">
        <f>IFERROR(VLOOKUP($D31,'WB Data 2'!$C$2:$K$545,9,FALSE),"..")</f>
        <v>..</v>
      </c>
      <c r="BT31" s="129" t="str">
        <f>_xlfn.IFNA(VLOOKUP($C31,RGI!$A$2:$C$43,2,FALSE),"..")</f>
        <v>..</v>
      </c>
      <c r="BU31" s="129" t="str">
        <f>_xlfn.IFNA(VLOOKUP($C31,RGI!$A$2:$C$43,3,FALSE),"..")</f>
        <v>..</v>
      </c>
      <c r="BV31" s="129">
        <f>VLOOKUP($D31,WGI!$C$2:$O$478,7,FALSE)</f>
        <v>-1.41068579570898</v>
      </c>
      <c r="BW31" s="129">
        <f>VLOOKUP($D31,WGI!$C$2:$O$478,4,FALSE)</f>
        <v>-2.4839237712058702</v>
      </c>
      <c r="BX31" s="129">
        <f>VLOOKUP($D31,WGI!$C$2:$O$478,3,FALSE)</f>
        <v>-1.4576805129002399</v>
      </c>
      <c r="BY31" s="129">
        <f>VLOOKUP($D31,WGI!$C$2:$O$478,5,FALSE)</f>
        <v>-1.5398129724722101</v>
      </c>
      <c r="BZ31" s="129">
        <f>VLOOKUP($D31,WGI!$C$2:$O$478,2,FALSE)</f>
        <v>-1.54901259715108</v>
      </c>
      <c r="CB31" s="129"/>
    </row>
    <row r="32" spans="1:80" s="120" customFormat="1" ht="15" customHeight="1">
      <c r="A32" s="145" t="s">
        <v>33</v>
      </c>
      <c r="B32" s="116">
        <v>2011</v>
      </c>
      <c r="C32" s="117" t="s">
        <v>21</v>
      </c>
      <c r="D32" s="117" t="s">
        <v>3686</v>
      </c>
      <c r="E32" s="116" t="s">
        <v>22</v>
      </c>
      <c r="F32" s="117"/>
      <c r="G32" s="117" t="s">
        <v>24</v>
      </c>
      <c r="H32" s="117" t="str">
        <f t="shared" si="7"/>
        <v>yes</v>
      </c>
      <c r="I32" s="117" t="str">
        <f t="shared" si="8"/>
        <v>no</v>
      </c>
      <c r="J32" s="117" t="str">
        <f t="shared" si="9"/>
        <v>no</v>
      </c>
      <c r="K32" s="117" t="s">
        <v>614</v>
      </c>
      <c r="L32" s="117" t="str">
        <f t="shared" si="0"/>
        <v>detailed</v>
      </c>
      <c r="M32" s="117" t="str">
        <f t="shared" si="1"/>
        <v>detailed Mining</v>
      </c>
      <c r="N32" s="118">
        <f>((6204/365)*286)+((6000/365)*79)</f>
        <v>6159.8465753424662</v>
      </c>
      <c r="O32" s="118"/>
      <c r="P32" s="118"/>
      <c r="Q32" s="118"/>
      <c r="R32" s="118"/>
      <c r="S32" s="117" t="s">
        <v>610</v>
      </c>
      <c r="T32" s="119">
        <f>((212/365)*286)+((355/365)*79)</f>
        <v>242.95068493150683</v>
      </c>
      <c r="U32" s="117" t="s">
        <v>611</v>
      </c>
      <c r="V32" s="117" t="s">
        <v>632</v>
      </c>
      <c r="W32" s="89">
        <f>N32*T32</f>
        <v>1496538.9445524488</v>
      </c>
      <c r="X32" s="117"/>
      <c r="Y32" s="117"/>
      <c r="Z32" s="117"/>
      <c r="AA32" s="121"/>
      <c r="AB32" s="121"/>
      <c r="AC32" s="122"/>
      <c r="AD32" s="122"/>
      <c r="AE32" s="122"/>
      <c r="AF32" s="123"/>
      <c r="AG32" s="117"/>
      <c r="AH32" s="124"/>
      <c r="AI32" s="117"/>
      <c r="AJ32" s="117"/>
      <c r="AK32" s="89"/>
      <c r="AL32" s="117"/>
      <c r="AM32" s="117"/>
      <c r="AN32" s="117"/>
      <c r="AO32" s="117"/>
      <c r="AP32" s="117"/>
      <c r="AQ32" s="117"/>
      <c r="AR32" s="117"/>
      <c r="AS32" s="117"/>
      <c r="AT32" s="117"/>
      <c r="AU32" s="117"/>
      <c r="AV32" s="128"/>
      <c r="AW32" s="117">
        <f>VLOOKUP($D32,'WB Data'!$C$3:$M$578,2,FALSE)</f>
        <v>17870159081.787025</v>
      </c>
      <c r="AX32" s="117">
        <f>VLOOKUP($D32,'WB Data'!$C$3:$M$578,3,FALSE)</f>
        <v>29105480</v>
      </c>
      <c r="AY32" s="847">
        <f t="shared" si="3"/>
        <v>5.6953271391819256E-3</v>
      </c>
      <c r="AZ32" s="117">
        <f>VLOOKUP($D32,'WB Data'!$C$3:$M$578,4,FALSE)/100</f>
        <v>0.11429836990904028</v>
      </c>
      <c r="BA32" s="117">
        <f t="shared" si="4"/>
        <v>2042530053.0634892</v>
      </c>
      <c r="BB32" s="129">
        <f>IFERROR(VLOOKUP($D32,'EITI Revenues'!$C$2:$G$224,5,FALSE),"..")</f>
        <v>101776402</v>
      </c>
      <c r="BC32" s="846">
        <f t="shared" si="5"/>
        <v>4.9828594613504286E-2</v>
      </c>
      <c r="BD32" s="129" t="str">
        <f>VLOOKUP($D32,'WB Data 2'!$C$2:$K$545,6,FALSE)</f>
        <v>..</v>
      </c>
      <c r="BE32" s="129">
        <f>IFERROR(VLOOKUP($D32,UNCTAD!$C$5:$V$529,4,FALSE),"..")</f>
        <v>6315776000</v>
      </c>
      <c r="BF32" s="846" t="str">
        <f t="shared" si="6"/>
        <v>..</v>
      </c>
      <c r="BG32" s="117">
        <f>VLOOKUP($D32,'WB Data'!$C$3:$M$578,5,FALSE)</f>
        <v>6884700000</v>
      </c>
      <c r="BH32" s="129">
        <f>IFERROR($BB32/$BG32,"..")</f>
        <v>1.4782982846020887E-2</v>
      </c>
      <c r="BI32" s="117" t="str">
        <f>IFERROR(VLOOKUP($D32,'WB Data'!$C$3:$M$578,7,FALSE)/100,"..")</f>
        <v>..</v>
      </c>
      <c r="BJ32" s="117" t="str">
        <f>IFERROR($BI32*$AW32,"..")</f>
        <v>..</v>
      </c>
      <c r="BK32" s="846" t="str">
        <f>IFERROR($BB32/$BJ32,"..")</f>
        <v>..</v>
      </c>
      <c r="BL32" s="117" t="str">
        <f>IFERROR(VLOOKUP($D32,'WB Data'!$C$3:$M$578,7,FALSE)/100,"..")</f>
        <v>..</v>
      </c>
      <c r="BM32" s="117" t="str">
        <f>IFERROR($AW32*$BL32,"..")</f>
        <v>..</v>
      </c>
      <c r="BN32" s="846" t="str">
        <f>IFERROR($BB32/$BM32,"..")</f>
        <v>..</v>
      </c>
      <c r="BO32" s="801">
        <f t="shared" si="2"/>
        <v>12</v>
      </c>
      <c r="BP32" s="117">
        <f>VLOOKUP($D32,'WB Data'!$C$3:$M$578,9,FALSE)</f>
        <v>35.799999999999997</v>
      </c>
      <c r="BQ32" s="117">
        <f>VLOOKUP($D32,'WB Data'!$C$3:$M$578,10,FALSE)</f>
        <v>60.065365853658541</v>
      </c>
      <c r="BR32" s="117">
        <f>VLOOKUP($D32,'WB Data'!$C$3:$M$578,11,FALSE)</f>
        <v>73.599999999999994</v>
      </c>
      <c r="BS32" s="129" t="str">
        <f>IFERROR(VLOOKUP($D32,'WB Data 2'!$C$2:$K$545,9,FALSE),"..")</f>
        <v>..</v>
      </c>
      <c r="BT32" s="129" t="str">
        <f>_xlfn.IFNA(VLOOKUP($C32,RGI!$A$2:$C$43,2,FALSE),"..")</f>
        <v>..</v>
      </c>
      <c r="BU32" s="129" t="str">
        <f>_xlfn.IFNA(VLOOKUP($C32,RGI!$A$2:$C$43,3,FALSE),"..")</f>
        <v>..</v>
      </c>
      <c r="BV32" s="129">
        <f>VLOOKUP($D32,WGI!$C$2:$O$478,7,FALSE)</f>
        <v>-1.41068579570898</v>
      </c>
      <c r="BW32" s="129">
        <f>VLOOKUP($D32,WGI!$C$2:$O$478,4,FALSE)</f>
        <v>-2.4839237712058702</v>
      </c>
      <c r="BX32" s="129">
        <f>VLOOKUP($D32,WGI!$C$2:$O$478,3,FALSE)</f>
        <v>-1.4576805129002399</v>
      </c>
      <c r="BY32" s="129">
        <f>VLOOKUP($D32,WGI!$C$2:$O$478,5,FALSE)</f>
        <v>-1.5398129724722101</v>
      </c>
      <c r="BZ32" s="129">
        <f>VLOOKUP($D32,WGI!$C$2:$O$478,2,FALSE)</f>
        <v>-1.54901259715108</v>
      </c>
      <c r="CB32" s="129"/>
    </row>
    <row r="33" spans="1:80" s="120" customFormat="1" ht="15" customHeight="1">
      <c r="A33" s="145" t="s">
        <v>33</v>
      </c>
      <c r="B33" s="116">
        <v>2011</v>
      </c>
      <c r="C33" s="117" t="s">
        <v>21</v>
      </c>
      <c r="D33" s="117" t="s">
        <v>3686</v>
      </c>
      <c r="E33" s="116" t="s">
        <v>22</v>
      </c>
      <c r="F33" s="117"/>
      <c r="G33" s="117" t="s">
        <v>24</v>
      </c>
      <c r="H33" s="117" t="str">
        <f t="shared" si="7"/>
        <v>yes</v>
      </c>
      <c r="I33" s="117" t="str">
        <f t="shared" si="8"/>
        <v>no</v>
      </c>
      <c r="J33" s="117" t="str">
        <f t="shared" si="9"/>
        <v>no</v>
      </c>
      <c r="K33" s="117" t="s">
        <v>616</v>
      </c>
      <c r="L33" s="117" t="str">
        <f t="shared" si="0"/>
        <v>detailed</v>
      </c>
      <c r="M33" s="117" t="str">
        <f t="shared" si="1"/>
        <v>detailed Mining</v>
      </c>
      <c r="N33" s="118">
        <f>((799000/365)*286)+((827000/365)*79)*0.90718474</f>
        <v>788446.85100936983</v>
      </c>
      <c r="O33" s="118"/>
      <c r="P33" s="118"/>
      <c r="Q33" s="118"/>
      <c r="R33" s="118"/>
      <c r="S33" s="117" t="s">
        <v>610</v>
      </c>
      <c r="T33" s="119">
        <f>((111.55/365)*286)+((90.02/365)*79)</f>
        <v>106.89008219178081</v>
      </c>
      <c r="U33" s="117" t="s">
        <v>611</v>
      </c>
      <c r="V33" s="117" t="s">
        <v>617</v>
      </c>
      <c r="W33" s="89">
        <f>N33*T33</f>
        <v>84277148.708242297</v>
      </c>
      <c r="X33" s="117"/>
      <c r="Y33" s="117"/>
      <c r="Z33" s="117"/>
      <c r="AA33" s="121"/>
      <c r="AB33" s="121"/>
      <c r="AC33" s="122"/>
      <c r="AD33" s="122"/>
      <c r="AE33" s="122"/>
      <c r="AF33" s="123"/>
      <c r="AG33" s="117"/>
      <c r="AH33" s="124"/>
      <c r="AI33" s="117"/>
      <c r="AJ33" s="117"/>
      <c r="AK33" s="89"/>
      <c r="AL33" s="117"/>
      <c r="AM33" s="117"/>
      <c r="AN33" s="117">
        <v>4</v>
      </c>
      <c r="AO33" s="117" t="s">
        <v>651</v>
      </c>
      <c r="AP33" s="117">
        <v>4</v>
      </c>
      <c r="AQ33" s="117"/>
      <c r="AR33" s="117"/>
      <c r="AS33" s="117"/>
      <c r="AT33" s="117"/>
      <c r="AU33" s="117">
        <v>5</v>
      </c>
      <c r="AV33" s="128"/>
      <c r="AW33" s="117">
        <f>VLOOKUP($D33,'WB Data'!$C$3:$M$578,2,FALSE)</f>
        <v>17870159081.787025</v>
      </c>
      <c r="AX33" s="117">
        <f>VLOOKUP($D33,'WB Data'!$C$3:$M$578,3,FALSE)</f>
        <v>29105480</v>
      </c>
      <c r="AY33" s="847">
        <f t="shared" si="3"/>
        <v>5.6953271391819256E-3</v>
      </c>
      <c r="AZ33" s="117">
        <f>VLOOKUP($D33,'WB Data'!$C$3:$M$578,4,FALSE)/100</f>
        <v>0.11429836990904028</v>
      </c>
      <c r="BA33" s="117">
        <f t="shared" si="4"/>
        <v>2042530053.0634892</v>
      </c>
      <c r="BB33" s="129">
        <f>IFERROR(VLOOKUP($D33,'EITI Revenues'!$C$2:$G$224,5,FALSE),"..")</f>
        <v>101776402</v>
      </c>
      <c r="BC33" s="846">
        <f t="shared" si="5"/>
        <v>4.9828594613504286E-2</v>
      </c>
      <c r="BD33" s="129" t="str">
        <f>VLOOKUP($D33,'WB Data 2'!$C$2:$K$545,6,FALSE)</f>
        <v>..</v>
      </c>
      <c r="BE33" s="129">
        <f>IFERROR(VLOOKUP($D33,UNCTAD!$C$5:$V$529,4,FALSE),"..")</f>
        <v>6315776000</v>
      </c>
      <c r="BF33" s="846" t="str">
        <f t="shared" si="6"/>
        <v>..</v>
      </c>
      <c r="BG33" s="117">
        <f>VLOOKUP($D33,'WB Data'!$C$3:$M$578,5,FALSE)</f>
        <v>6884700000</v>
      </c>
      <c r="BH33" s="129">
        <f>IFERROR($BB33/$BG33,"..")</f>
        <v>1.4782982846020887E-2</v>
      </c>
      <c r="BI33" s="117" t="str">
        <f>IFERROR(VLOOKUP($D33,'WB Data'!$C$3:$M$578,7,FALSE)/100,"..")</f>
        <v>..</v>
      </c>
      <c r="BJ33" s="117" t="str">
        <f>IFERROR($BI33*$AW33,"..")</f>
        <v>..</v>
      </c>
      <c r="BK33" s="846" t="str">
        <f>IFERROR($BB33/$BJ33,"..")</f>
        <v>..</v>
      </c>
      <c r="BL33" s="117" t="str">
        <f>IFERROR(VLOOKUP($D33,'WB Data'!$C$3:$M$578,7,FALSE)/100,"..")</f>
        <v>..</v>
      </c>
      <c r="BM33" s="117" t="str">
        <f>IFERROR($AW33*$BL33,"..")</f>
        <v>..</v>
      </c>
      <c r="BN33" s="846" t="str">
        <f>IFERROR($BB33/$BM33,"..")</f>
        <v>..</v>
      </c>
      <c r="BO33" s="801">
        <f t="shared" si="2"/>
        <v>12</v>
      </c>
      <c r="BP33" s="117">
        <f>VLOOKUP($D33,'WB Data'!$C$3:$M$578,9,FALSE)</f>
        <v>35.799999999999997</v>
      </c>
      <c r="BQ33" s="117">
        <f>VLOOKUP($D33,'WB Data'!$C$3:$M$578,10,FALSE)</f>
        <v>60.065365853658541</v>
      </c>
      <c r="BR33" s="117">
        <f>VLOOKUP($D33,'WB Data'!$C$3:$M$578,11,FALSE)</f>
        <v>73.599999999999994</v>
      </c>
      <c r="BS33" s="129" t="str">
        <f>IFERROR(VLOOKUP($D33,'WB Data 2'!$C$2:$K$545,9,FALSE),"..")</f>
        <v>..</v>
      </c>
      <c r="BT33" s="129" t="str">
        <f>_xlfn.IFNA(VLOOKUP($C33,RGI!$A$2:$C$43,2,FALSE),"..")</f>
        <v>..</v>
      </c>
      <c r="BU33" s="129" t="str">
        <f>_xlfn.IFNA(VLOOKUP($C33,RGI!$A$2:$C$43,3,FALSE),"..")</f>
        <v>..</v>
      </c>
      <c r="BV33" s="129">
        <f>VLOOKUP($D33,WGI!$C$2:$O$478,7,FALSE)</f>
        <v>-1.41068579570898</v>
      </c>
      <c r="BW33" s="129">
        <f>VLOOKUP($D33,WGI!$C$2:$O$478,4,FALSE)</f>
        <v>-2.4839237712058702</v>
      </c>
      <c r="BX33" s="129">
        <f>VLOOKUP($D33,WGI!$C$2:$O$478,3,FALSE)</f>
        <v>-1.4576805129002399</v>
      </c>
      <c r="BY33" s="129">
        <f>VLOOKUP($D33,WGI!$C$2:$O$478,5,FALSE)</f>
        <v>-1.5398129724722101</v>
      </c>
      <c r="BZ33" s="129">
        <f>VLOOKUP($D33,WGI!$C$2:$O$478,2,FALSE)</f>
        <v>-1.54901259715108</v>
      </c>
      <c r="CB33" s="129"/>
    </row>
    <row r="34" spans="1:80" s="120" customFormat="1" ht="15" customHeight="1">
      <c r="A34" s="145" t="s">
        <v>33</v>
      </c>
      <c r="B34" s="116">
        <v>2011</v>
      </c>
      <c r="C34" s="117" t="s">
        <v>21</v>
      </c>
      <c r="D34" s="117" t="s">
        <v>3686</v>
      </c>
      <c r="E34" s="116" t="s">
        <v>22</v>
      </c>
      <c r="F34" s="117"/>
      <c r="G34" s="117" t="s">
        <v>24</v>
      </c>
      <c r="H34" s="117" t="str">
        <f t="shared" si="7"/>
        <v>yes</v>
      </c>
      <c r="I34" s="117" t="str">
        <f t="shared" si="8"/>
        <v>no</v>
      </c>
      <c r="J34" s="117" t="str">
        <f t="shared" si="9"/>
        <v>no</v>
      </c>
      <c r="K34" s="117" t="s">
        <v>652</v>
      </c>
      <c r="L34" s="117" t="str">
        <f t="shared" si="0"/>
        <v>detailed</v>
      </c>
      <c r="M34" s="117" t="str">
        <f t="shared" si="1"/>
        <v>detailed Mining</v>
      </c>
      <c r="N34" s="118"/>
      <c r="O34" s="118"/>
      <c r="P34" s="118"/>
      <c r="Q34" s="118"/>
      <c r="R34" s="118"/>
      <c r="S34" s="117"/>
      <c r="T34" s="119"/>
      <c r="U34" s="117"/>
      <c r="V34" s="117"/>
      <c r="W34" s="89"/>
      <c r="X34" s="117"/>
      <c r="Y34" s="117"/>
      <c r="Z34" s="117"/>
      <c r="AA34" s="121">
        <v>1705831.114843586</v>
      </c>
      <c r="AB34" s="121">
        <v>1193060.9069913919</v>
      </c>
      <c r="AC34" s="122"/>
      <c r="AD34" s="122"/>
      <c r="AE34" s="122"/>
      <c r="AF34" s="123"/>
      <c r="AG34" s="117"/>
      <c r="AH34" s="124"/>
      <c r="AI34" s="117"/>
      <c r="AJ34" s="117"/>
      <c r="AK34" s="89"/>
      <c r="AL34" s="117"/>
      <c r="AM34" s="117"/>
      <c r="AN34" s="117">
        <v>4</v>
      </c>
      <c r="AO34" s="117" t="s">
        <v>653</v>
      </c>
      <c r="AP34" s="117">
        <v>4</v>
      </c>
      <c r="AQ34" s="117"/>
      <c r="AR34" s="117"/>
      <c r="AS34" s="117"/>
      <c r="AT34" s="117"/>
      <c r="AU34" s="117">
        <v>5</v>
      </c>
      <c r="AV34" s="128" t="s">
        <v>654</v>
      </c>
      <c r="AW34" s="117">
        <f>VLOOKUP($D34,'WB Data'!$C$3:$M$578,2,FALSE)</f>
        <v>17870159081.787025</v>
      </c>
      <c r="AX34" s="117">
        <f>VLOOKUP($D34,'WB Data'!$C$3:$M$578,3,FALSE)</f>
        <v>29105480</v>
      </c>
      <c r="AY34" s="847">
        <f t="shared" si="3"/>
        <v>5.6953271391819256E-3</v>
      </c>
      <c r="AZ34" s="117">
        <f>VLOOKUP($D34,'WB Data'!$C$3:$M$578,4,FALSE)/100</f>
        <v>0.11429836990904028</v>
      </c>
      <c r="BA34" s="117">
        <f t="shared" si="4"/>
        <v>2042530053.0634892</v>
      </c>
      <c r="BB34" s="129">
        <f>IFERROR(VLOOKUP($D34,'EITI Revenues'!$C$2:$G$224,5,FALSE),"..")</f>
        <v>101776402</v>
      </c>
      <c r="BC34" s="846">
        <f t="shared" si="5"/>
        <v>4.9828594613504286E-2</v>
      </c>
      <c r="BD34" s="129" t="str">
        <f>VLOOKUP($D34,'WB Data 2'!$C$2:$K$545,6,FALSE)</f>
        <v>..</v>
      </c>
      <c r="BE34" s="129">
        <f>IFERROR(VLOOKUP($D34,UNCTAD!$C$5:$V$529,4,FALSE),"..")</f>
        <v>6315776000</v>
      </c>
      <c r="BF34" s="846" t="str">
        <f t="shared" si="6"/>
        <v>..</v>
      </c>
      <c r="BG34" s="117">
        <f>VLOOKUP($D34,'WB Data'!$C$3:$M$578,5,FALSE)</f>
        <v>6884700000</v>
      </c>
      <c r="BH34" s="129">
        <f>IFERROR($BB34/$BG34,"..")</f>
        <v>1.4782982846020887E-2</v>
      </c>
      <c r="BI34" s="117" t="str">
        <f>IFERROR(VLOOKUP($D34,'WB Data'!$C$3:$M$578,7,FALSE)/100,"..")</f>
        <v>..</v>
      </c>
      <c r="BJ34" s="117" t="str">
        <f>IFERROR($BI34*$AW34,"..")</f>
        <v>..</v>
      </c>
      <c r="BK34" s="846" t="str">
        <f>IFERROR($BB34/$BJ34,"..")</f>
        <v>..</v>
      </c>
      <c r="BL34" s="117" t="str">
        <f>IFERROR(VLOOKUP($D34,'WB Data'!$C$3:$M$578,7,FALSE)/100,"..")</f>
        <v>..</v>
      </c>
      <c r="BM34" s="117" t="str">
        <f>IFERROR($AW34*$BL34,"..")</f>
        <v>..</v>
      </c>
      <c r="BN34" s="846" t="str">
        <f>IFERROR($BB34/$BM34,"..")</f>
        <v>..</v>
      </c>
      <c r="BO34" s="801">
        <f t="shared" si="2"/>
        <v>12</v>
      </c>
      <c r="BP34" s="117">
        <f>VLOOKUP($D34,'WB Data'!$C$3:$M$578,9,FALSE)</f>
        <v>35.799999999999997</v>
      </c>
      <c r="BQ34" s="117">
        <f>VLOOKUP($D34,'WB Data'!$C$3:$M$578,10,FALSE)</f>
        <v>60.065365853658541</v>
      </c>
      <c r="BR34" s="117">
        <f>VLOOKUP($D34,'WB Data'!$C$3:$M$578,11,FALSE)</f>
        <v>73.599999999999994</v>
      </c>
      <c r="BS34" s="129" t="str">
        <f>IFERROR(VLOOKUP($D34,'WB Data 2'!$C$2:$K$545,9,FALSE),"..")</f>
        <v>..</v>
      </c>
      <c r="BT34" s="129" t="str">
        <f>_xlfn.IFNA(VLOOKUP($C34,RGI!$A$2:$C$43,2,FALSE),"..")</f>
        <v>..</v>
      </c>
      <c r="BU34" s="129" t="str">
        <f>_xlfn.IFNA(VLOOKUP($C34,RGI!$A$2:$C$43,3,FALSE),"..")</f>
        <v>..</v>
      </c>
      <c r="BV34" s="129">
        <f>VLOOKUP($D34,WGI!$C$2:$O$478,7,FALSE)</f>
        <v>-1.41068579570898</v>
      </c>
      <c r="BW34" s="129">
        <f>VLOOKUP($D34,WGI!$C$2:$O$478,4,FALSE)</f>
        <v>-2.4839237712058702</v>
      </c>
      <c r="BX34" s="129">
        <f>VLOOKUP($D34,WGI!$C$2:$O$478,3,FALSE)</f>
        <v>-1.4576805129002399</v>
      </c>
      <c r="BY34" s="129">
        <f>VLOOKUP($D34,WGI!$C$2:$O$478,5,FALSE)</f>
        <v>-1.5398129724722101</v>
      </c>
      <c r="BZ34" s="129">
        <f>VLOOKUP($D34,WGI!$C$2:$O$478,2,FALSE)</f>
        <v>-1.54901259715108</v>
      </c>
      <c r="CB34" s="129"/>
    </row>
    <row r="35" spans="1:80" s="120" customFormat="1" ht="15" customHeight="1">
      <c r="A35" s="145" t="s">
        <v>33</v>
      </c>
      <c r="B35" s="116">
        <v>2011</v>
      </c>
      <c r="C35" s="117" t="s">
        <v>21</v>
      </c>
      <c r="D35" s="117" t="s">
        <v>3686</v>
      </c>
      <c r="E35" s="116" t="s">
        <v>22</v>
      </c>
      <c r="F35" s="117"/>
      <c r="G35" s="117" t="s">
        <v>24</v>
      </c>
      <c r="H35" s="117" t="str">
        <f t="shared" si="7"/>
        <v>yes</v>
      </c>
      <c r="I35" s="117" t="str">
        <f t="shared" si="8"/>
        <v>no</v>
      </c>
      <c r="J35" s="117" t="str">
        <f t="shared" si="9"/>
        <v>no</v>
      </c>
      <c r="K35" s="117" t="s">
        <v>619</v>
      </c>
      <c r="L35" s="117" t="str">
        <f t="shared" si="0"/>
        <v>detailed</v>
      </c>
      <c r="M35" s="117" t="str">
        <f t="shared" si="1"/>
        <v>detailed Mining</v>
      </c>
      <c r="N35" s="118">
        <v>0</v>
      </c>
      <c r="O35" s="118"/>
      <c r="P35" s="118"/>
      <c r="Q35" s="118"/>
      <c r="R35" s="118"/>
      <c r="S35" s="117" t="s">
        <v>610</v>
      </c>
      <c r="T35" s="119"/>
      <c r="U35" s="117"/>
      <c r="V35" s="117" t="s">
        <v>620</v>
      </c>
      <c r="W35" s="89">
        <f>N35*T35</f>
        <v>0</v>
      </c>
      <c r="X35" s="117"/>
      <c r="Y35" s="117"/>
      <c r="Z35" s="117"/>
      <c r="AA35" s="121">
        <v>55719496.829729199</v>
      </c>
      <c r="AB35" s="121">
        <v>55704544.194835201</v>
      </c>
      <c r="AC35" s="122"/>
      <c r="AD35" s="122"/>
      <c r="AE35" s="122"/>
      <c r="AF35" s="123"/>
      <c r="AG35" s="117"/>
      <c r="AH35" s="124"/>
      <c r="AI35" s="117"/>
      <c r="AJ35" s="117"/>
      <c r="AK35" s="89"/>
      <c r="AL35" s="117"/>
      <c r="AM35" s="117"/>
      <c r="AN35" s="117">
        <v>1</v>
      </c>
      <c r="AO35" s="117" t="s">
        <v>655</v>
      </c>
      <c r="AP35" s="117">
        <v>1</v>
      </c>
      <c r="AQ35" s="117"/>
      <c r="AR35" s="117"/>
      <c r="AS35" s="117"/>
      <c r="AT35" s="117"/>
      <c r="AU35" s="117">
        <v>5</v>
      </c>
      <c r="AV35" s="128"/>
      <c r="AW35" s="117">
        <f>VLOOKUP($D35,'WB Data'!$C$3:$M$578,2,FALSE)</f>
        <v>17870159081.787025</v>
      </c>
      <c r="AX35" s="117">
        <f>VLOOKUP($D35,'WB Data'!$C$3:$M$578,3,FALSE)</f>
        <v>29105480</v>
      </c>
      <c r="AY35" s="847">
        <f t="shared" si="3"/>
        <v>5.6953271391819256E-3</v>
      </c>
      <c r="AZ35" s="117">
        <f>VLOOKUP($D35,'WB Data'!$C$3:$M$578,4,FALSE)/100</f>
        <v>0.11429836990904028</v>
      </c>
      <c r="BA35" s="117">
        <f t="shared" si="4"/>
        <v>2042530053.0634892</v>
      </c>
      <c r="BB35" s="129">
        <f>IFERROR(VLOOKUP($D35,'EITI Revenues'!$C$2:$G$224,5,FALSE),"..")</f>
        <v>101776402</v>
      </c>
      <c r="BC35" s="846">
        <f t="shared" si="5"/>
        <v>4.9828594613504286E-2</v>
      </c>
      <c r="BD35" s="129" t="str">
        <f>VLOOKUP($D35,'WB Data 2'!$C$2:$K$545,6,FALSE)</f>
        <v>..</v>
      </c>
      <c r="BE35" s="129">
        <f>IFERROR(VLOOKUP($D35,UNCTAD!$C$5:$V$529,4,FALSE),"..")</f>
        <v>6315776000</v>
      </c>
      <c r="BF35" s="846" t="str">
        <f t="shared" si="6"/>
        <v>..</v>
      </c>
      <c r="BG35" s="117">
        <f>VLOOKUP($D35,'WB Data'!$C$3:$M$578,5,FALSE)</f>
        <v>6884700000</v>
      </c>
      <c r="BH35" s="129">
        <f>IFERROR($BB35/$BG35,"..")</f>
        <v>1.4782982846020887E-2</v>
      </c>
      <c r="BI35" s="117" t="str">
        <f>IFERROR(VLOOKUP($D35,'WB Data'!$C$3:$M$578,7,FALSE)/100,"..")</f>
        <v>..</v>
      </c>
      <c r="BJ35" s="117" t="str">
        <f>IFERROR($BI35*$AW35,"..")</f>
        <v>..</v>
      </c>
      <c r="BK35" s="846" t="str">
        <f>IFERROR($BB35/$BJ35,"..")</f>
        <v>..</v>
      </c>
      <c r="BL35" s="117" t="str">
        <f>IFERROR(VLOOKUP($D35,'WB Data'!$C$3:$M$578,7,FALSE)/100,"..")</f>
        <v>..</v>
      </c>
      <c r="BM35" s="117" t="str">
        <f>IFERROR($AW35*$BL35,"..")</f>
        <v>..</v>
      </c>
      <c r="BN35" s="846" t="str">
        <f>IFERROR($BB35/$BM35,"..")</f>
        <v>..</v>
      </c>
      <c r="BO35" s="801">
        <f t="shared" si="2"/>
        <v>12</v>
      </c>
      <c r="BP35" s="117">
        <f>VLOOKUP($D35,'WB Data'!$C$3:$M$578,9,FALSE)</f>
        <v>35.799999999999997</v>
      </c>
      <c r="BQ35" s="117">
        <f>VLOOKUP($D35,'WB Data'!$C$3:$M$578,10,FALSE)</f>
        <v>60.065365853658541</v>
      </c>
      <c r="BR35" s="117">
        <f>VLOOKUP($D35,'WB Data'!$C$3:$M$578,11,FALSE)</f>
        <v>73.599999999999994</v>
      </c>
      <c r="BS35" s="129" t="str">
        <f>IFERROR(VLOOKUP($D35,'WB Data 2'!$C$2:$K$545,9,FALSE),"..")</f>
        <v>..</v>
      </c>
      <c r="BT35" s="129" t="str">
        <f>_xlfn.IFNA(VLOOKUP($C35,RGI!$A$2:$C$43,2,FALSE),"..")</f>
        <v>..</v>
      </c>
      <c r="BU35" s="129" t="str">
        <f>_xlfn.IFNA(VLOOKUP($C35,RGI!$A$2:$C$43,3,FALSE),"..")</f>
        <v>..</v>
      </c>
      <c r="BV35" s="129">
        <f>VLOOKUP($D35,WGI!$C$2:$O$478,7,FALSE)</f>
        <v>-1.41068579570898</v>
      </c>
      <c r="BW35" s="129">
        <f>VLOOKUP($D35,WGI!$C$2:$O$478,4,FALSE)</f>
        <v>-2.4839237712058702</v>
      </c>
      <c r="BX35" s="129">
        <f>VLOOKUP($D35,WGI!$C$2:$O$478,3,FALSE)</f>
        <v>-1.4576805129002399</v>
      </c>
      <c r="BY35" s="129">
        <f>VLOOKUP($D35,WGI!$C$2:$O$478,5,FALSE)</f>
        <v>-1.5398129724722101</v>
      </c>
      <c r="BZ35" s="129">
        <f>VLOOKUP($D35,WGI!$C$2:$O$478,2,FALSE)</f>
        <v>-1.54901259715108</v>
      </c>
      <c r="CB35" s="129"/>
    </row>
    <row r="36" spans="1:80" s="120" customFormat="1" ht="15" customHeight="1">
      <c r="A36" s="145" t="s">
        <v>33</v>
      </c>
      <c r="B36" s="116">
        <v>2011</v>
      </c>
      <c r="C36" s="117" t="s">
        <v>21</v>
      </c>
      <c r="D36" s="117" t="s">
        <v>3686</v>
      </c>
      <c r="E36" s="116" t="s">
        <v>22</v>
      </c>
      <c r="F36" s="117"/>
      <c r="G36" s="117" t="s">
        <v>24</v>
      </c>
      <c r="H36" s="117" t="str">
        <f t="shared" si="7"/>
        <v>yes</v>
      </c>
      <c r="I36" s="117" t="str">
        <f t="shared" si="8"/>
        <v>no</v>
      </c>
      <c r="J36" s="117" t="str">
        <f t="shared" si="9"/>
        <v>no</v>
      </c>
      <c r="K36" s="117" t="s">
        <v>622</v>
      </c>
      <c r="L36" s="117" t="str">
        <f t="shared" si="0"/>
        <v>detailed</v>
      </c>
      <c r="M36" s="117" t="str">
        <f t="shared" si="1"/>
        <v>detailed Mining</v>
      </c>
      <c r="N36" s="118">
        <f>((62000/365)*286)+((65000/365)*79)</f>
        <v>62649.315068493153</v>
      </c>
      <c r="O36" s="118"/>
      <c r="P36" s="118"/>
      <c r="Q36" s="118"/>
      <c r="R36" s="118"/>
      <c r="S36" s="117" t="s">
        <v>610</v>
      </c>
      <c r="T36" s="119">
        <v>18.5</v>
      </c>
      <c r="U36" s="117" t="s">
        <v>611</v>
      </c>
      <c r="V36" s="117" t="s">
        <v>623</v>
      </c>
      <c r="W36" s="89">
        <f>N36*T36</f>
        <v>1159012.3287671234</v>
      </c>
      <c r="X36" s="117"/>
      <c r="Y36" s="117"/>
      <c r="Z36" s="117"/>
      <c r="AA36" s="121"/>
      <c r="AB36" s="121"/>
      <c r="AC36" s="122"/>
      <c r="AD36" s="122"/>
      <c r="AE36" s="122"/>
      <c r="AF36" s="123"/>
      <c r="AG36" s="117"/>
      <c r="AH36" s="124"/>
      <c r="AI36" s="117"/>
      <c r="AJ36" s="117"/>
      <c r="AK36" s="89"/>
      <c r="AL36" s="117"/>
      <c r="AM36" s="117"/>
      <c r="AN36" s="117"/>
      <c r="AO36" s="117"/>
      <c r="AP36" s="117"/>
      <c r="AQ36" s="117"/>
      <c r="AR36" s="117"/>
      <c r="AS36" s="117"/>
      <c r="AT36" s="117"/>
      <c r="AU36" s="117"/>
      <c r="AV36" s="128"/>
      <c r="AW36" s="117">
        <f>VLOOKUP($D36,'WB Data'!$C$3:$M$578,2,FALSE)</f>
        <v>17870159081.787025</v>
      </c>
      <c r="AX36" s="117">
        <f>VLOOKUP($D36,'WB Data'!$C$3:$M$578,3,FALSE)</f>
        <v>29105480</v>
      </c>
      <c r="AY36" s="847">
        <f t="shared" si="3"/>
        <v>5.6953271391819256E-3</v>
      </c>
      <c r="AZ36" s="117">
        <f>VLOOKUP($D36,'WB Data'!$C$3:$M$578,4,FALSE)/100</f>
        <v>0.11429836990904028</v>
      </c>
      <c r="BA36" s="117">
        <f t="shared" si="4"/>
        <v>2042530053.0634892</v>
      </c>
      <c r="BB36" s="129">
        <f>IFERROR(VLOOKUP($D36,'EITI Revenues'!$C$2:$G$224,5,FALSE),"..")</f>
        <v>101776402</v>
      </c>
      <c r="BC36" s="846">
        <f t="shared" si="5"/>
        <v>4.9828594613504286E-2</v>
      </c>
      <c r="BD36" s="129" t="str">
        <f>VLOOKUP($D36,'WB Data 2'!$C$2:$K$545,6,FALSE)</f>
        <v>..</v>
      </c>
      <c r="BE36" s="129">
        <f>IFERROR(VLOOKUP($D36,UNCTAD!$C$5:$V$529,4,FALSE),"..")</f>
        <v>6315776000</v>
      </c>
      <c r="BF36" s="846" t="str">
        <f t="shared" si="6"/>
        <v>..</v>
      </c>
      <c r="BG36" s="117">
        <f>VLOOKUP($D36,'WB Data'!$C$3:$M$578,5,FALSE)</f>
        <v>6884700000</v>
      </c>
      <c r="BH36" s="129">
        <f>IFERROR($BB36/$BG36,"..")</f>
        <v>1.4782982846020887E-2</v>
      </c>
      <c r="BI36" s="117" t="str">
        <f>IFERROR(VLOOKUP($D36,'WB Data'!$C$3:$M$578,7,FALSE)/100,"..")</f>
        <v>..</v>
      </c>
      <c r="BJ36" s="117" t="str">
        <f>IFERROR($BI36*$AW36,"..")</f>
        <v>..</v>
      </c>
      <c r="BK36" s="846" t="str">
        <f>IFERROR($BB36/$BJ36,"..")</f>
        <v>..</v>
      </c>
      <c r="BL36" s="117" t="str">
        <f>IFERROR(VLOOKUP($D36,'WB Data'!$C$3:$M$578,7,FALSE)/100,"..")</f>
        <v>..</v>
      </c>
      <c r="BM36" s="117" t="str">
        <f>IFERROR($AW36*$BL36,"..")</f>
        <v>..</v>
      </c>
      <c r="BN36" s="846" t="str">
        <f>IFERROR($BB36/$BM36,"..")</f>
        <v>..</v>
      </c>
      <c r="BO36" s="801">
        <f t="shared" si="2"/>
        <v>12</v>
      </c>
      <c r="BP36" s="117">
        <f>VLOOKUP($D36,'WB Data'!$C$3:$M$578,9,FALSE)</f>
        <v>35.799999999999997</v>
      </c>
      <c r="BQ36" s="117">
        <f>VLOOKUP($D36,'WB Data'!$C$3:$M$578,10,FALSE)</f>
        <v>60.065365853658541</v>
      </c>
      <c r="BR36" s="117">
        <f>VLOOKUP($D36,'WB Data'!$C$3:$M$578,11,FALSE)</f>
        <v>73.599999999999994</v>
      </c>
      <c r="BS36" s="129" t="str">
        <f>IFERROR(VLOOKUP($D36,'WB Data 2'!$C$2:$K$545,9,FALSE),"..")</f>
        <v>..</v>
      </c>
      <c r="BT36" s="129" t="str">
        <f>_xlfn.IFNA(VLOOKUP($C36,RGI!$A$2:$C$43,2,FALSE),"..")</f>
        <v>..</v>
      </c>
      <c r="BU36" s="129" t="str">
        <f>_xlfn.IFNA(VLOOKUP($C36,RGI!$A$2:$C$43,3,FALSE),"..")</f>
        <v>..</v>
      </c>
      <c r="BV36" s="129">
        <f>VLOOKUP($D36,WGI!$C$2:$O$478,7,FALSE)</f>
        <v>-1.41068579570898</v>
      </c>
      <c r="BW36" s="129">
        <f>VLOOKUP($D36,WGI!$C$2:$O$478,4,FALSE)</f>
        <v>-2.4839237712058702</v>
      </c>
      <c r="BX36" s="129">
        <f>VLOOKUP($D36,WGI!$C$2:$O$478,3,FALSE)</f>
        <v>-1.4576805129002399</v>
      </c>
      <c r="BY36" s="129">
        <f>VLOOKUP($D36,WGI!$C$2:$O$478,5,FALSE)</f>
        <v>-1.5398129724722101</v>
      </c>
      <c r="BZ36" s="129">
        <f>VLOOKUP($D36,WGI!$C$2:$O$478,2,FALSE)</f>
        <v>-1.54901259715108</v>
      </c>
      <c r="CB36" s="129"/>
    </row>
    <row r="37" spans="1:80" s="120" customFormat="1" ht="15" customHeight="1">
      <c r="A37" s="145" t="s">
        <v>33</v>
      </c>
      <c r="B37" s="116">
        <v>2011</v>
      </c>
      <c r="C37" s="117" t="s">
        <v>21</v>
      </c>
      <c r="D37" s="117" t="s">
        <v>3686</v>
      </c>
      <c r="E37" s="116" t="s">
        <v>22</v>
      </c>
      <c r="F37" s="117"/>
      <c r="G37" s="117" t="s">
        <v>24</v>
      </c>
      <c r="H37" s="117" t="str">
        <f t="shared" si="7"/>
        <v>yes</v>
      </c>
      <c r="I37" s="117" t="str">
        <f t="shared" si="8"/>
        <v>no</v>
      </c>
      <c r="J37" s="117" t="str">
        <f t="shared" si="9"/>
        <v>no</v>
      </c>
      <c r="K37" s="117" t="s">
        <v>656</v>
      </c>
      <c r="L37" s="117" t="str">
        <f t="shared" si="0"/>
        <v>detailed</v>
      </c>
      <c r="M37" s="117" t="str">
        <f t="shared" si="1"/>
        <v>detailed Mining</v>
      </c>
      <c r="N37" s="118">
        <f>((30000/365)*286)+((32000/365)*79)</f>
        <v>30432.876712328765</v>
      </c>
      <c r="O37" s="118"/>
      <c r="P37" s="118"/>
      <c r="Q37" s="118"/>
      <c r="R37" s="118"/>
      <c r="S37" s="117" t="s">
        <v>610</v>
      </c>
      <c r="T37" s="119">
        <f>((15.3/365)*286)+((15.52/365)*79)</f>
        <v>15.347616438356166</v>
      </c>
      <c r="U37" s="117" t="s">
        <v>611</v>
      </c>
      <c r="V37" s="117" t="s">
        <v>657</v>
      </c>
      <c r="W37" s="89">
        <f>N37*T37</f>
        <v>467072.11889660353</v>
      </c>
      <c r="X37" s="117"/>
      <c r="Y37" s="117"/>
      <c r="Z37" s="117"/>
      <c r="AA37" s="121">
        <v>358637.16145286581</v>
      </c>
      <c r="AB37" s="121">
        <v>358145.28658408567</v>
      </c>
      <c r="AC37" s="122"/>
      <c r="AD37" s="122"/>
      <c r="AE37" s="122"/>
      <c r="AF37" s="123">
        <f>AA37/W37</f>
        <v>0.76784108265785367</v>
      </c>
      <c r="AG37" s="117"/>
      <c r="AH37" s="124"/>
      <c r="AI37" s="117"/>
      <c r="AJ37" s="117"/>
      <c r="AK37" s="89"/>
      <c r="AL37" s="117"/>
      <c r="AM37" s="117"/>
      <c r="AN37" s="117">
        <v>1</v>
      </c>
      <c r="AO37" s="117" t="s">
        <v>658</v>
      </c>
      <c r="AP37" s="117">
        <v>1</v>
      </c>
      <c r="AQ37" s="117"/>
      <c r="AR37" s="117"/>
      <c r="AS37" s="117"/>
      <c r="AT37" s="117"/>
      <c r="AU37" s="117">
        <v>5</v>
      </c>
      <c r="AV37" s="128"/>
      <c r="AW37" s="117">
        <f>VLOOKUP($D37,'WB Data'!$C$3:$M$578,2,FALSE)</f>
        <v>17870159081.787025</v>
      </c>
      <c r="AX37" s="117">
        <f>VLOOKUP($D37,'WB Data'!$C$3:$M$578,3,FALSE)</f>
        <v>29105480</v>
      </c>
      <c r="AY37" s="847">
        <f t="shared" si="3"/>
        <v>5.6953271391819256E-3</v>
      </c>
      <c r="AZ37" s="117">
        <f>VLOOKUP($D37,'WB Data'!$C$3:$M$578,4,FALSE)/100</f>
        <v>0.11429836990904028</v>
      </c>
      <c r="BA37" s="117">
        <f t="shared" si="4"/>
        <v>2042530053.0634892</v>
      </c>
      <c r="BB37" s="129">
        <f>IFERROR(VLOOKUP($D37,'EITI Revenues'!$C$2:$G$224,5,FALSE),"..")</f>
        <v>101776402</v>
      </c>
      <c r="BC37" s="846">
        <f t="shared" si="5"/>
        <v>4.9828594613504286E-2</v>
      </c>
      <c r="BD37" s="129" t="str">
        <f>VLOOKUP($D37,'WB Data 2'!$C$2:$K$545,6,FALSE)</f>
        <v>..</v>
      </c>
      <c r="BE37" s="129">
        <f>IFERROR(VLOOKUP($D37,UNCTAD!$C$5:$V$529,4,FALSE),"..")</f>
        <v>6315776000</v>
      </c>
      <c r="BF37" s="846" t="str">
        <f t="shared" si="6"/>
        <v>..</v>
      </c>
      <c r="BG37" s="117">
        <f>VLOOKUP($D37,'WB Data'!$C$3:$M$578,5,FALSE)</f>
        <v>6884700000</v>
      </c>
      <c r="BH37" s="129">
        <f>IFERROR($BB37/$BG37,"..")</f>
        <v>1.4782982846020887E-2</v>
      </c>
      <c r="BI37" s="117" t="str">
        <f>IFERROR(VLOOKUP($D37,'WB Data'!$C$3:$M$578,7,FALSE)/100,"..")</f>
        <v>..</v>
      </c>
      <c r="BJ37" s="117" t="str">
        <f>IFERROR($BI37*$AW37,"..")</f>
        <v>..</v>
      </c>
      <c r="BK37" s="846" t="str">
        <f>IFERROR($BB37/$BJ37,"..")</f>
        <v>..</v>
      </c>
      <c r="BL37" s="117" t="str">
        <f>IFERROR(VLOOKUP($D37,'WB Data'!$C$3:$M$578,7,FALSE)/100,"..")</f>
        <v>..</v>
      </c>
      <c r="BM37" s="117" t="str">
        <f>IFERROR($AW37*$BL37,"..")</f>
        <v>..</v>
      </c>
      <c r="BN37" s="846" t="str">
        <f>IFERROR($BB37/$BM37,"..")</f>
        <v>..</v>
      </c>
      <c r="BO37" s="801">
        <f t="shared" si="2"/>
        <v>12</v>
      </c>
      <c r="BP37" s="117">
        <f>VLOOKUP($D37,'WB Data'!$C$3:$M$578,9,FALSE)</f>
        <v>35.799999999999997</v>
      </c>
      <c r="BQ37" s="117">
        <f>VLOOKUP($D37,'WB Data'!$C$3:$M$578,10,FALSE)</f>
        <v>60.065365853658541</v>
      </c>
      <c r="BR37" s="117">
        <f>VLOOKUP($D37,'WB Data'!$C$3:$M$578,11,FALSE)</f>
        <v>73.599999999999994</v>
      </c>
      <c r="BS37" s="129" t="str">
        <f>IFERROR(VLOOKUP($D37,'WB Data 2'!$C$2:$K$545,9,FALSE),"..")</f>
        <v>..</v>
      </c>
      <c r="BT37" s="129" t="str">
        <f>_xlfn.IFNA(VLOOKUP($C37,RGI!$A$2:$C$43,2,FALSE),"..")</f>
        <v>..</v>
      </c>
      <c r="BU37" s="129" t="str">
        <f>_xlfn.IFNA(VLOOKUP($C37,RGI!$A$2:$C$43,3,FALSE),"..")</f>
        <v>..</v>
      </c>
      <c r="BV37" s="129">
        <f>VLOOKUP($D37,WGI!$C$2:$O$478,7,FALSE)</f>
        <v>-1.41068579570898</v>
      </c>
      <c r="BW37" s="129">
        <f>VLOOKUP($D37,WGI!$C$2:$O$478,4,FALSE)</f>
        <v>-2.4839237712058702</v>
      </c>
      <c r="BX37" s="129">
        <f>VLOOKUP($D37,WGI!$C$2:$O$478,3,FALSE)</f>
        <v>-1.4576805129002399</v>
      </c>
      <c r="BY37" s="129">
        <f>VLOOKUP($D37,WGI!$C$2:$O$478,5,FALSE)</f>
        <v>-1.5398129724722101</v>
      </c>
      <c r="BZ37" s="129">
        <f>VLOOKUP($D37,WGI!$C$2:$O$478,2,FALSE)</f>
        <v>-1.54901259715108</v>
      </c>
      <c r="CB37" s="129"/>
    </row>
    <row r="38" spans="1:80" s="120" customFormat="1" ht="15" customHeight="1">
      <c r="A38" s="145" t="s">
        <v>33</v>
      </c>
      <c r="B38" s="116">
        <v>2011</v>
      </c>
      <c r="C38" s="117" t="s">
        <v>21</v>
      </c>
      <c r="D38" s="117" t="s">
        <v>3686</v>
      </c>
      <c r="E38" s="116" t="s">
        <v>22</v>
      </c>
      <c r="F38" s="117"/>
      <c r="G38" s="117" t="s">
        <v>24</v>
      </c>
      <c r="H38" s="117" t="str">
        <f t="shared" si="7"/>
        <v>yes</v>
      </c>
      <c r="I38" s="117" t="str">
        <f t="shared" si="8"/>
        <v>no</v>
      </c>
      <c r="J38" s="117" t="str">
        <f t="shared" si="9"/>
        <v>no</v>
      </c>
      <c r="K38" s="117" t="s">
        <v>624</v>
      </c>
      <c r="L38" s="117" t="str">
        <f t="shared" si="0"/>
        <v>detailed</v>
      </c>
      <c r="M38" s="117" t="str">
        <f t="shared" si="1"/>
        <v>detailed Mining</v>
      </c>
      <c r="N38" s="118">
        <f>((190000/365)*286)+((180000/365)*79)</f>
        <v>187835.61643835617</v>
      </c>
      <c r="O38" s="118"/>
      <c r="P38" s="118"/>
      <c r="Q38" s="118"/>
      <c r="R38" s="118"/>
      <c r="S38" s="117" t="s">
        <v>610</v>
      </c>
      <c r="T38" s="119">
        <f>((38.29/365)*286)+((36/365)*79)</f>
        <v>37.794356164383558</v>
      </c>
      <c r="U38" s="117" t="s">
        <v>611</v>
      </c>
      <c r="V38" s="117" t="s">
        <v>625</v>
      </c>
      <c r="W38" s="89">
        <f>N38*T38</f>
        <v>7099126.1880277721</v>
      </c>
      <c r="X38" s="117"/>
      <c r="Y38" s="117"/>
      <c r="Z38" s="117"/>
      <c r="AA38" s="121"/>
      <c r="AB38" s="121"/>
      <c r="AC38" s="122"/>
      <c r="AD38" s="122"/>
      <c r="AE38" s="122"/>
      <c r="AF38" s="123"/>
      <c r="AG38" s="117"/>
      <c r="AH38" s="124"/>
      <c r="AI38" s="117"/>
      <c r="AJ38" s="117"/>
      <c r="AK38" s="89"/>
      <c r="AL38" s="117"/>
      <c r="AM38" s="117"/>
      <c r="AN38" s="117"/>
      <c r="AO38" s="117"/>
      <c r="AP38" s="117"/>
      <c r="AQ38" s="117"/>
      <c r="AR38" s="117"/>
      <c r="AS38" s="117"/>
      <c r="AT38" s="117"/>
      <c r="AU38" s="117"/>
      <c r="AV38" s="128"/>
      <c r="AW38" s="117">
        <f>VLOOKUP($D38,'WB Data'!$C$3:$M$578,2,FALSE)</f>
        <v>17870159081.787025</v>
      </c>
      <c r="AX38" s="117">
        <f>VLOOKUP($D38,'WB Data'!$C$3:$M$578,3,FALSE)</f>
        <v>29105480</v>
      </c>
      <c r="AY38" s="847">
        <f t="shared" si="3"/>
        <v>5.6953271391819256E-3</v>
      </c>
      <c r="AZ38" s="117">
        <f>VLOOKUP($D38,'WB Data'!$C$3:$M$578,4,FALSE)/100</f>
        <v>0.11429836990904028</v>
      </c>
      <c r="BA38" s="117">
        <f t="shared" si="4"/>
        <v>2042530053.0634892</v>
      </c>
      <c r="BB38" s="129">
        <f>IFERROR(VLOOKUP($D38,'EITI Revenues'!$C$2:$G$224,5,FALSE),"..")</f>
        <v>101776402</v>
      </c>
      <c r="BC38" s="846">
        <f t="shared" si="5"/>
        <v>4.9828594613504286E-2</v>
      </c>
      <c r="BD38" s="129" t="str">
        <f>VLOOKUP($D38,'WB Data 2'!$C$2:$K$545,6,FALSE)</f>
        <v>..</v>
      </c>
      <c r="BE38" s="129">
        <f>IFERROR(VLOOKUP($D38,UNCTAD!$C$5:$V$529,4,FALSE),"..")</f>
        <v>6315776000</v>
      </c>
      <c r="BF38" s="846" t="str">
        <f t="shared" si="6"/>
        <v>..</v>
      </c>
      <c r="BG38" s="117">
        <f>VLOOKUP($D38,'WB Data'!$C$3:$M$578,5,FALSE)</f>
        <v>6884700000</v>
      </c>
      <c r="BH38" s="129">
        <f>IFERROR($BB38/$BG38,"..")</f>
        <v>1.4782982846020887E-2</v>
      </c>
      <c r="BI38" s="117" t="str">
        <f>IFERROR(VLOOKUP($D38,'WB Data'!$C$3:$M$578,7,FALSE)/100,"..")</f>
        <v>..</v>
      </c>
      <c r="BJ38" s="117" t="str">
        <f>IFERROR($BI38*$AW38,"..")</f>
        <v>..</v>
      </c>
      <c r="BK38" s="846" t="str">
        <f>IFERROR($BB38/$BJ38,"..")</f>
        <v>..</v>
      </c>
      <c r="BL38" s="117" t="str">
        <f>IFERROR(VLOOKUP($D38,'WB Data'!$C$3:$M$578,7,FALSE)/100,"..")</f>
        <v>..</v>
      </c>
      <c r="BM38" s="117" t="str">
        <f>IFERROR($AW38*$BL38,"..")</f>
        <v>..</v>
      </c>
      <c r="BN38" s="846" t="str">
        <f>IFERROR($BB38/$BM38,"..")</f>
        <v>..</v>
      </c>
      <c r="BO38" s="801">
        <f t="shared" si="2"/>
        <v>12</v>
      </c>
      <c r="BP38" s="117">
        <f>VLOOKUP($D38,'WB Data'!$C$3:$M$578,9,FALSE)</f>
        <v>35.799999999999997</v>
      </c>
      <c r="BQ38" s="117">
        <f>VLOOKUP($D38,'WB Data'!$C$3:$M$578,10,FALSE)</f>
        <v>60.065365853658541</v>
      </c>
      <c r="BR38" s="117">
        <f>VLOOKUP($D38,'WB Data'!$C$3:$M$578,11,FALSE)</f>
        <v>73.599999999999994</v>
      </c>
      <c r="BS38" s="129" t="str">
        <f>IFERROR(VLOOKUP($D38,'WB Data 2'!$C$2:$K$545,9,FALSE),"..")</f>
        <v>..</v>
      </c>
      <c r="BT38" s="129" t="str">
        <f>_xlfn.IFNA(VLOOKUP($C38,RGI!$A$2:$C$43,2,FALSE),"..")</f>
        <v>..</v>
      </c>
      <c r="BU38" s="129" t="str">
        <f>_xlfn.IFNA(VLOOKUP($C38,RGI!$A$2:$C$43,3,FALSE),"..")</f>
        <v>..</v>
      </c>
      <c r="BV38" s="129">
        <f>VLOOKUP($D38,WGI!$C$2:$O$478,7,FALSE)</f>
        <v>-1.41068579570898</v>
      </c>
      <c r="BW38" s="129">
        <f>VLOOKUP($D38,WGI!$C$2:$O$478,4,FALSE)</f>
        <v>-2.4839237712058702</v>
      </c>
      <c r="BX38" s="129">
        <f>VLOOKUP($D38,WGI!$C$2:$O$478,3,FALSE)</f>
        <v>-1.4576805129002399</v>
      </c>
      <c r="BY38" s="129">
        <f>VLOOKUP($D38,WGI!$C$2:$O$478,5,FALSE)</f>
        <v>-1.5398129724722101</v>
      </c>
      <c r="BZ38" s="129">
        <f>VLOOKUP($D38,WGI!$C$2:$O$478,2,FALSE)</f>
        <v>-1.54901259715108</v>
      </c>
      <c r="CB38" s="129"/>
    </row>
    <row r="39" spans="1:80" s="173" customFormat="1" ht="15" customHeight="1" thickBot="1">
      <c r="A39" s="162" t="s">
        <v>33</v>
      </c>
      <c r="B39" s="163">
        <v>2011</v>
      </c>
      <c r="C39" s="164" t="s">
        <v>21</v>
      </c>
      <c r="D39" s="117" t="s">
        <v>3686</v>
      </c>
      <c r="E39" s="163" t="s">
        <v>22</v>
      </c>
      <c r="F39" s="164"/>
      <c r="G39" s="117" t="s">
        <v>24</v>
      </c>
      <c r="H39" s="117" t="str">
        <f t="shared" si="7"/>
        <v>yes</v>
      </c>
      <c r="I39" s="117" t="str">
        <f t="shared" si="8"/>
        <v>no</v>
      </c>
      <c r="J39" s="117" t="str">
        <f t="shared" si="9"/>
        <v>no</v>
      </c>
      <c r="K39" s="164" t="s">
        <v>627</v>
      </c>
      <c r="L39" s="117" t="str">
        <f t="shared" si="0"/>
        <v>detailed</v>
      </c>
      <c r="M39" s="117" t="str">
        <f t="shared" si="1"/>
        <v>detailed Mining</v>
      </c>
      <c r="N39" s="165">
        <v>200000</v>
      </c>
      <c r="O39" s="165"/>
      <c r="P39" s="165"/>
      <c r="Q39" s="165"/>
      <c r="R39" s="165"/>
      <c r="S39" s="164" t="s">
        <v>610</v>
      </c>
      <c r="T39" s="166">
        <f>((155/365)*286)+((157/365)*79)</f>
        <v>155.43287671232875</v>
      </c>
      <c r="U39" s="164" t="s">
        <v>611</v>
      </c>
      <c r="V39" s="164" t="s">
        <v>628</v>
      </c>
      <c r="W39" s="167">
        <f>N39*T39</f>
        <v>31086575.342465751</v>
      </c>
      <c r="X39" s="164"/>
      <c r="Y39" s="164"/>
      <c r="Z39" s="164"/>
      <c r="AA39" s="168"/>
      <c r="AB39" s="168"/>
      <c r="AC39" s="169"/>
      <c r="AD39" s="169"/>
      <c r="AE39" s="169"/>
      <c r="AF39" s="170"/>
      <c r="AG39" s="164"/>
      <c r="AH39" s="171"/>
      <c r="AI39" s="164"/>
      <c r="AJ39" s="164"/>
      <c r="AK39" s="167"/>
      <c r="AL39" s="164"/>
      <c r="AM39" s="164"/>
      <c r="AN39" s="164"/>
      <c r="AO39" s="164"/>
      <c r="AP39" s="164"/>
      <c r="AQ39" s="164"/>
      <c r="AR39" s="164"/>
      <c r="AS39" s="164"/>
      <c r="AT39" s="164"/>
      <c r="AU39" s="164"/>
      <c r="AV39" s="172"/>
      <c r="AW39" s="117">
        <f>VLOOKUP($D39,'WB Data'!$C$3:$M$578,2,FALSE)</f>
        <v>17870159081.787025</v>
      </c>
      <c r="AX39" s="117">
        <f>VLOOKUP($D39,'WB Data'!$C$3:$M$578,3,FALSE)</f>
        <v>29105480</v>
      </c>
      <c r="AY39" s="847">
        <f t="shared" si="3"/>
        <v>5.6953271391819256E-3</v>
      </c>
      <c r="AZ39" s="117">
        <f>VLOOKUP($D39,'WB Data'!$C$3:$M$578,4,FALSE)/100</f>
        <v>0.11429836990904028</v>
      </c>
      <c r="BA39" s="117">
        <f t="shared" si="4"/>
        <v>2042530053.0634892</v>
      </c>
      <c r="BB39" s="129">
        <f>IFERROR(VLOOKUP($D39,'EITI Revenues'!$C$2:$G$224,5,FALSE),"..")</f>
        <v>101776402</v>
      </c>
      <c r="BC39" s="846">
        <f t="shared" si="5"/>
        <v>4.9828594613504286E-2</v>
      </c>
      <c r="BD39" s="129" t="str">
        <f>VLOOKUP($D39,'WB Data 2'!$C$2:$K$545,6,FALSE)</f>
        <v>..</v>
      </c>
      <c r="BE39" s="129">
        <f>IFERROR(VLOOKUP($D39,UNCTAD!$C$5:$V$529,4,FALSE),"..")</f>
        <v>6315776000</v>
      </c>
      <c r="BF39" s="846" t="str">
        <f t="shared" si="6"/>
        <v>..</v>
      </c>
      <c r="BG39" s="117">
        <f>VLOOKUP($D39,'WB Data'!$C$3:$M$578,5,FALSE)</f>
        <v>6884700000</v>
      </c>
      <c r="BH39" s="129">
        <f>IFERROR($BB39/$BG39,"..")</f>
        <v>1.4782982846020887E-2</v>
      </c>
      <c r="BI39" s="117" t="str">
        <f>IFERROR(VLOOKUP($D39,'WB Data'!$C$3:$M$578,7,FALSE)/100,"..")</f>
        <v>..</v>
      </c>
      <c r="BJ39" s="117" t="str">
        <f>IFERROR($BI39*$AW39,"..")</f>
        <v>..</v>
      </c>
      <c r="BK39" s="846" t="str">
        <f>IFERROR($BB39/$BJ39,"..")</f>
        <v>..</v>
      </c>
      <c r="BL39" s="117" t="str">
        <f>IFERROR(VLOOKUP($D39,'WB Data'!$C$3:$M$578,7,FALSE)/100,"..")</f>
        <v>..</v>
      </c>
      <c r="BM39" s="117" t="str">
        <f>IFERROR($AW39*$BL39,"..")</f>
        <v>..</v>
      </c>
      <c r="BN39" s="846" t="str">
        <f>IFERROR($BB39/$BM39,"..")</f>
        <v>..</v>
      </c>
      <c r="BO39" s="801">
        <f t="shared" si="2"/>
        <v>12</v>
      </c>
      <c r="BP39" s="117">
        <f>VLOOKUP($D39,'WB Data'!$C$3:$M$578,9,FALSE)</f>
        <v>35.799999999999997</v>
      </c>
      <c r="BQ39" s="117">
        <f>VLOOKUP($D39,'WB Data'!$C$3:$M$578,10,FALSE)</f>
        <v>60.065365853658541</v>
      </c>
      <c r="BR39" s="117">
        <f>VLOOKUP($D39,'WB Data'!$C$3:$M$578,11,FALSE)</f>
        <v>73.599999999999994</v>
      </c>
      <c r="BS39" s="129" t="str">
        <f>IFERROR(VLOOKUP($D39,'WB Data 2'!$C$2:$K$545,9,FALSE),"..")</f>
        <v>..</v>
      </c>
      <c r="BT39" s="129" t="str">
        <f>_xlfn.IFNA(VLOOKUP($C39,RGI!$A$2:$C$43,2,FALSE),"..")</f>
        <v>..</v>
      </c>
      <c r="BU39" s="129" t="str">
        <f>_xlfn.IFNA(VLOOKUP($C39,RGI!$A$2:$C$43,3,FALSE),"..")</f>
        <v>..</v>
      </c>
      <c r="BV39" s="129">
        <f>VLOOKUP($D39,WGI!$C$2:$O$478,7,FALSE)</f>
        <v>-1.41068579570898</v>
      </c>
      <c r="BW39" s="129">
        <f>VLOOKUP($D39,WGI!$C$2:$O$478,4,FALSE)</f>
        <v>-2.4839237712058702</v>
      </c>
      <c r="BX39" s="129">
        <f>VLOOKUP($D39,WGI!$C$2:$O$478,3,FALSE)</f>
        <v>-1.4576805129002399</v>
      </c>
      <c r="BY39" s="129">
        <f>VLOOKUP($D39,WGI!$C$2:$O$478,5,FALSE)</f>
        <v>-1.5398129724722101</v>
      </c>
      <c r="BZ39" s="129">
        <f>VLOOKUP($D39,WGI!$C$2:$O$478,2,FALSE)</f>
        <v>-1.54901259715108</v>
      </c>
      <c r="CB39" s="129"/>
    </row>
    <row r="40" spans="1:80" ht="15" customHeight="1">
      <c r="A40" s="145" t="s">
        <v>37</v>
      </c>
      <c r="B40" s="117">
        <v>2009</v>
      </c>
      <c r="C40" s="117" t="s">
        <v>38</v>
      </c>
      <c r="D40" s="117" t="s">
        <v>3619</v>
      </c>
      <c r="E40" s="174" t="s">
        <v>39</v>
      </c>
      <c r="F40" s="117" t="s">
        <v>660</v>
      </c>
      <c r="G40" s="175" t="s">
        <v>41</v>
      </c>
      <c r="H40" s="117" t="str">
        <f t="shared" si="7"/>
        <v>yes</v>
      </c>
      <c r="I40" s="117" t="str">
        <f t="shared" si="8"/>
        <v>no</v>
      </c>
      <c r="J40" s="117" t="str">
        <f t="shared" si="9"/>
        <v>yes</v>
      </c>
      <c r="K40" s="176" t="s">
        <v>661</v>
      </c>
      <c r="L40" s="117" t="str">
        <f t="shared" si="0"/>
        <v>Total</v>
      </c>
      <c r="M40" s="117" t="str">
        <f t="shared" si="1"/>
        <v>Total Oil, Mining</v>
      </c>
      <c r="N40" s="118"/>
      <c r="O40" s="118"/>
      <c r="P40" s="118"/>
      <c r="Q40" s="118"/>
      <c r="R40" s="118"/>
      <c r="S40" s="117" t="s">
        <v>610</v>
      </c>
      <c r="T40" s="119"/>
      <c r="U40" s="117"/>
      <c r="V40" s="117"/>
      <c r="W40" s="89">
        <f>W41+W42</f>
        <v>228971998.28485578</v>
      </c>
      <c r="X40" s="120" t="s">
        <v>662</v>
      </c>
      <c r="Y40" s="117" t="s">
        <v>663</v>
      </c>
      <c r="Z40" s="117" t="s">
        <v>664</v>
      </c>
      <c r="AA40" s="177">
        <v>33298711.201804318</v>
      </c>
      <c r="AB40" s="177">
        <v>33961855.117602833</v>
      </c>
      <c r="AC40" s="122"/>
      <c r="AD40" s="177">
        <f>AA40</f>
        <v>33298711.201804318</v>
      </c>
      <c r="AE40" s="178" t="s">
        <v>665</v>
      </c>
      <c r="AF40" s="123">
        <f>AA40/W40</f>
        <v>0.14542700177852574</v>
      </c>
      <c r="AG40" s="117" t="s">
        <v>666</v>
      </c>
      <c r="AH40" s="124">
        <v>93.11</v>
      </c>
      <c r="AI40" s="117" t="s">
        <v>667</v>
      </c>
      <c r="AJ40" s="117" t="s">
        <v>668</v>
      </c>
      <c r="AK40" s="121">
        <v>8300000</v>
      </c>
      <c r="AL40" s="120"/>
      <c r="AM40" s="117"/>
      <c r="AN40" s="117">
        <v>46</v>
      </c>
      <c r="AO40" s="117" t="s">
        <v>669</v>
      </c>
      <c r="AP40" s="117">
        <v>41</v>
      </c>
      <c r="AQ40" s="125" t="s">
        <v>40</v>
      </c>
      <c r="AR40" s="126">
        <v>41885</v>
      </c>
      <c r="AS40" s="117" t="s">
        <v>670</v>
      </c>
      <c r="AT40" s="117" t="s">
        <v>42</v>
      </c>
      <c r="AU40" s="117" t="s">
        <v>671</v>
      </c>
      <c r="AV40" s="128" t="s">
        <v>672</v>
      </c>
      <c r="AW40" s="117">
        <f>VLOOKUP($D40,'WB Data'!$C$3:$M$578,2,FALSE)</f>
        <v>12044208085.864004</v>
      </c>
      <c r="AX40" s="117">
        <f>VLOOKUP($D40,'WB Data'!$C$3:$M$578,3,FALSE)</f>
        <v>2884303</v>
      </c>
      <c r="AY40" s="847">
        <f t="shared" si="3"/>
        <v>2.7647073983125725E-3</v>
      </c>
      <c r="AZ40" s="117" t="e">
        <f>VLOOKUP($D40,'WB Data'!$C$3:$M$578,4,FALSE)/100</f>
        <v>#VALUE!</v>
      </c>
      <c r="BA40" s="117" t="str">
        <f t="shared" si="4"/>
        <v>..</v>
      </c>
      <c r="BB40" s="129">
        <f>IFERROR(VLOOKUP($D40,'EITI Revenues'!$C$2:$G$224,5,FALSE),"..")</f>
        <v>33298711.201804318</v>
      </c>
      <c r="BC40" s="846" t="str">
        <f t="shared" si="5"/>
        <v>..</v>
      </c>
      <c r="BD40" s="129">
        <f>VLOOKUP($D40,'WB Data 2'!$C$2:$K$545,6,FALSE)</f>
        <v>230772715.06897581</v>
      </c>
      <c r="BE40" s="129">
        <f>IFERROR(VLOOKUP($D40,UNCTAD!$C$5:$V$529,4,FALSE),"..")</f>
        <v>3533290000</v>
      </c>
      <c r="BF40" s="846">
        <f t="shared" si="6"/>
        <v>6.5313833585405046E-2</v>
      </c>
      <c r="BG40" s="117">
        <f>VLOOKUP($D40,'WB Data'!$C$3:$M$578,5,FALSE)</f>
        <v>356960000</v>
      </c>
      <c r="BH40" s="129">
        <f>IFERROR($BB40/$BG40,"..")</f>
        <v>9.3284152851311961E-2</v>
      </c>
      <c r="BI40" s="117" t="str">
        <f>IFERROR(VLOOKUP($D40,'WB Data'!$C$3:$M$578,7,FALSE)/100,"..")</f>
        <v>..</v>
      </c>
      <c r="BJ40" s="117" t="str">
        <f>IFERROR($BI40*$AW40,"..")</f>
        <v>..</v>
      </c>
      <c r="BK40" s="846" t="str">
        <f>IFERROR($BB40/$BJ40,"..")</f>
        <v>..</v>
      </c>
      <c r="BL40" s="117" t="str">
        <f>IFERROR(VLOOKUP($D40,'WB Data'!$C$3:$M$578,7,FALSE)/100,"..")</f>
        <v>..</v>
      </c>
      <c r="BM40" s="117" t="str">
        <f>IFERROR($AW40*$BL40,"..")</f>
        <v>..</v>
      </c>
      <c r="BN40" s="846" t="str">
        <f>IFERROR($BB40/$BM40,"..")</f>
        <v>..</v>
      </c>
      <c r="BO40" s="801">
        <f t="shared" si="2"/>
        <v>33</v>
      </c>
      <c r="BP40" s="117" t="str">
        <f>VLOOKUP($D40,'WB Data'!$C$3:$M$578,9,FALSE)</f>
        <v>..</v>
      </c>
      <c r="BQ40" s="117">
        <f>VLOOKUP($D40,'WB Data'!$C$3:$M$578,10,FALSE)</f>
        <v>76.801878048780495</v>
      </c>
      <c r="BR40" s="117">
        <f>VLOOKUP($D40,'WB Data'!$C$3:$M$578,11,FALSE)</f>
        <v>15.4</v>
      </c>
      <c r="BS40" s="129" t="str">
        <f>IFERROR(VLOOKUP($D40,'WB Data 2'!$C$2:$K$545,9,FALSE),"..")</f>
        <v>..</v>
      </c>
      <c r="BT40" s="129" t="str">
        <f>_xlfn.IFNA(VLOOKUP($C40,RGI!$A$2:$C$43,2,FALSE),"..")</f>
        <v>..</v>
      </c>
      <c r="BU40" s="129" t="str">
        <f>_xlfn.IFNA(VLOOKUP($C40,RGI!$A$2:$C$43,3,FALSE),"..")</f>
        <v>..</v>
      </c>
      <c r="BV40" s="129">
        <f>VLOOKUP($D40,WGI!$C$2:$O$478,7,FALSE)</f>
        <v>0.12659891494021</v>
      </c>
      <c r="BW40" s="129">
        <f>VLOOKUP($D40,WGI!$C$2:$O$478,4,FALSE)</f>
        <v>-5.1232554674726698E-2</v>
      </c>
      <c r="BX40" s="129">
        <f>VLOOKUP($D40,WGI!$C$2:$O$478,3,FALSE)</f>
        <v>-0.23899343497433401</v>
      </c>
      <c r="BY40" s="129">
        <f>VLOOKUP($D40,WGI!$C$2:$O$478,5,FALSE)</f>
        <v>0.24766539822603401</v>
      </c>
      <c r="BZ40" s="129">
        <f>VLOOKUP($D40,WGI!$C$2:$O$478,2,FALSE)</f>
        <v>-0.49327831391160298</v>
      </c>
    </row>
    <row r="41" spans="1:80" ht="15" customHeight="1">
      <c r="A41" s="145" t="s">
        <v>37</v>
      </c>
      <c r="B41" s="117">
        <v>2009</v>
      </c>
      <c r="C41" s="117" t="s">
        <v>38</v>
      </c>
      <c r="D41" s="117" t="s">
        <v>3619</v>
      </c>
      <c r="E41" s="174" t="s">
        <v>39</v>
      </c>
      <c r="F41" s="117"/>
      <c r="G41" s="117" t="s">
        <v>103</v>
      </c>
      <c r="H41" s="117" t="str">
        <f t="shared" si="7"/>
        <v>no</v>
      </c>
      <c r="I41" s="117" t="str">
        <f t="shared" si="8"/>
        <v>no</v>
      </c>
      <c r="J41" s="117" t="str">
        <f t="shared" si="9"/>
        <v>yes</v>
      </c>
      <c r="K41" s="176" t="s">
        <v>103</v>
      </c>
      <c r="L41" s="117" t="str">
        <f t="shared" si="0"/>
        <v>detailed</v>
      </c>
      <c r="M41" s="117" t="str">
        <f t="shared" si="1"/>
        <v>detailed Oil</v>
      </c>
      <c r="N41" s="118">
        <v>3467500</v>
      </c>
      <c r="O41" s="118"/>
      <c r="P41" s="118">
        <v>3467500</v>
      </c>
      <c r="Q41" s="118"/>
      <c r="R41" s="118"/>
      <c r="S41" s="117" t="s">
        <v>646</v>
      </c>
      <c r="T41" s="119">
        <f>62.08273385*0.6535</f>
        <v>40.571066570974999</v>
      </c>
      <c r="U41" s="117" t="s">
        <v>673</v>
      </c>
      <c r="V41" s="117" t="s">
        <v>674</v>
      </c>
      <c r="W41" s="89">
        <f>N41*T41</f>
        <v>140680173.33485579</v>
      </c>
      <c r="X41" s="120"/>
      <c r="Y41" s="117"/>
      <c r="Z41" s="117"/>
      <c r="AA41" s="177">
        <v>31300000</v>
      </c>
      <c r="AB41" s="177">
        <v>31903000</v>
      </c>
      <c r="AC41" s="178" t="s">
        <v>675</v>
      </c>
      <c r="AD41" s="177">
        <f>AA41</f>
        <v>31300000</v>
      </c>
      <c r="AE41" s="178" t="s">
        <v>665</v>
      </c>
      <c r="AF41" s="123">
        <f>AD41/W41</f>
        <v>0.22249048503443178</v>
      </c>
      <c r="AG41" s="117"/>
      <c r="AH41" s="124"/>
      <c r="AI41" s="117"/>
      <c r="AJ41" s="117" t="s">
        <v>668</v>
      </c>
      <c r="AK41" s="121">
        <v>8300000</v>
      </c>
      <c r="AL41" s="120"/>
      <c r="AM41" s="117"/>
      <c r="AN41" s="117">
        <v>9</v>
      </c>
      <c r="AO41" s="117" t="s">
        <v>676</v>
      </c>
      <c r="AP41" s="117">
        <v>9</v>
      </c>
      <c r="AQ41" s="117"/>
      <c r="AR41" s="117"/>
      <c r="AS41" s="117"/>
      <c r="AT41" s="117"/>
      <c r="AU41" s="117" t="s">
        <v>677</v>
      </c>
      <c r="AV41" s="128"/>
      <c r="AW41" s="117">
        <f>VLOOKUP($D41,'WB Data'!$C$3:$M$578,2,FALSE)</f>
        <v>12044208085.864004</v>
      </c>
      <c r="AX41" s="117">
        <f>VLOOKUP($D41,'WB Data'!$C$3:$M$578,3,FALSE)</f>
        <v>2884303</v>
      </c>
      <c r="AY41" s="847">
        <f t="shared" si="3"/>
        <v>2.7647073983125725E-3</v>
      </c>
      <c r="AZ41" s="117" t="e">
        <f>VLOOKUP($D41,'WB Data'!$C$3:$M$578,4,FALSE)/100</f>
        <v>#VALUE!</v>
      </c>
      <c r="BA41" s="117" t="str">
        <f t="shared" si="4"/>
        <v>..</v>
      </c>
      <c r="BB41" s="129">
        <f>IFERROR(VLOOKUP($D41,'EITI Revenues'!$C$2:$G$224,5,FALSE),"..")</f>
        <v>33298711.201804318</v>
      </c>
      <c r="BC41" s="846" t="str">
        <f t="shared" si="5"/>
        <v>..</v>
      </c>
      <c r="BD41" s="129">
        <f>VLOOKUP($D41,'WB Data 2'!$C$2:$K$545,6,FALSE)</f>
        <v>230772715.06897581</v>
      </c>
      <c r="BE41" s="129">
        <f>IFERROR(VLOOKUP($D41,UNCTAD!$C$5:$V$529,4,FALSE),"..")</f>
        <v>3533290000</v>
      </c>
      <c r="BF41" s="846">
        <f t="shared" si="6"/>
        <v>6.5313833585405046E-2</v>
      </c>
      <c r="BG41" s="117">
        <f>VLOOKUP($D41,'WB Data'!$C$3:$M$578,5,FALSE)</f>
        <v>356960000</v>
      </c>
      <c r="BH41" s="129">
        <f>IFERROR($BB41/$BG41,"..")</f>
        <v>9.3284152851311961E-2</v>
      </c>
      <c r="BI41" s="117" t="str">
        <f>IFERROR(VLOOKUP($D41,'WB Data'!$C$3:$M$578,7,FALSE)/100,"..")</f>
        <v>..</v>
      </c>
      <c r="BJ41" s="117" t="str">
        <f>IFERROR($BI41*$AW41,"..")</f>
        <v>..</v>
      </c>
      <c r="BK41" s="846" t="str">
        <f>IFERROR($BB41/$BJ41,"..")</f>
        <v>..</v>
      </c>
      <c r="BL41" s="117" t="str">
        <f>IFERROR(VLOOKUP($D41,'WB Data'!$C$3:$M$578,7,FALSE)/100,"..")</f>
        <v>..</v>
      </c>
      <c r="BM41" s="117" t="str">
        <f>IFERROR($AW41*$BL41,"..")</f>
        <v>..</v>
      </c>
      <c r="BN41" s="846" t="str">
        <f>IFERROR($BB41/$BM41,"..")</f>
        <v>..</v>
      </c>
      <c r="BO41" s="801">
        <f t="shared" si="2"/>
        <v>33</v>
      </c>
      <c r="BP41" s="117" t="str">
        <f>VLOOKUP($D41,'WB Data'!$C$3:$M$578,9,FALSE)</f>
        <v>..</v>
      </c>
      <c r="BQ41" s="117">
        <f>VLOOKUP($D41,'WB Data'!$C$3:$M$578,10,FALSE)</f>
        <v>76.801878048780495</v>
      </c>
      <c r="BR41" s="117">
        <f>VLOOKUP($D41,'WB Data'!$C$3:$M$578,11,FALSE)</f>
        <v>15.4</v>
      </c>
      <c r="BS41" s="129" t="str">
        <f>IFERROR(VLOOKUP($D41,'WB Data 2'!$C$2:$K$545,9,FALSE),"..")</f>
        <v>..</v>
      </c>
      <c r="BT41" s="129" t="str">
        <f>_xlfn.IFNA(VLOOKUP($C41,RGI!$A$2:$C$43,2,FALSE),"..")</f>
        <v>..</v>
      </c>
      <c r="BU41" s="129" t="str">
        <f>_xlfn.IFNA(VLOOKUP($C41,RGI!$A$2:$C$43,3,FALSE),"..")</f>
        <v>..</v>
      </c>
      <c r="BV41" s="129">
        <f>VLOOKUP($D41,WGI!$C$2:$O$478,7,FALSE)</f>
        <v>0.12659891494021</v>
      </c>
      <c r="BW41" s="129">
        <f>VLOOKUP($D41,WGI!$C$2:$O$478,4,FALSE)</f>
        <v>-5.1232554674726698E-2</v>
      </c>
      <c r="BX41" s="129">
        <f>VLOOKUP($D41,WGI!$C$2:$O$478,3,FALSE)</f>
        <v>-0.23899343497433401</v>
      </c>
      <c r="BY41" s="129">
        <f>VLOOKUP($D41,WGI!$C$2:$O$478,5,FALSE)</f>
        <v>0.24766539822603401</v>
      </c>
      <c r="BZ41" s="129">
        <f>VLOOKUP($D41,WGI!$C$2:$O$478,2,FALSE)</f>
        <v>-0.49327831391160298</v>
      </c>
    </row>
    <row r="42" spans="1:80" ht="15" customHeight="1">
      <c r="A42" s="145" t="s">
        <v>37</v>
      </c>
      <c r="B42" s="117">
        <v>2009</v>
      </c>
      <c r="C42" s="117" t="s">
        <v>38</v>
      </c>
      <c r="D42" s="117" t="s">
        <v>3619</v>
      </c>
      <c r="E42" s="174" t="s">
        <v>39</v>
      </c>
      <c r="F42" s="117"/>
      <c r="G42" s="117" t="s">
        <v>24</v>
      </c>
      <c r="H42" s="117" t="str">
        <f t="shared" si="7"/>
        <v>yes</v>
      </c>
      <c r="I42" s="117" t="str">
        <f t="shared" si="8"/>
        <v>no</v>
      </c>
      <c r="J42" s="117" t="str">
        <f t="shared" si="9"/>
        <v>no</v>
      </c>
      <c r="K42" s="176" t="s">
        <v>600</v>
      </c>
      <c r="L42" s="117" t="str">
        <f t="shared" si="0"/>
        <v>Total</v>
      </c>
      <c r="M42" s="117" t="str">
        <f t="shared" si="1"/>
        <v>Total Mining</v>
      </c>
      <c r="N42" s="118"/>
      <c r="O42" s="118"/>
      <c r="P42" s="118"/>
      <c r="Q42" s="118"/>
      <c r="R42" s="118"/>
      <c r="S42" s="117"/>
      <c r="T42" s="119"/>
      <c r="U42" s="117"/>
      <c r="V42" s="117"/>
      <c r="W42" s="89">
        <f>SUM(W43:W49)</f>
        <v>88291824.949999988</v>
      </c>
      <c r="X42" s="120"/>
      <c r="Y42" s="117"/>
      <c r="Z42" s="117"/>
      <c r="AA42" s="177">
        <f>186100000/93.11</f>
        <v>1998711.2018043175</v>
      </c>
      <c r="AB42" s="177">
        <f>191700000/93.11</f>
        <v>2058855.1176028354</v>
      </c>
      <c r="AC42" s="122" t="s">
        <v>675</v>
      </c>
      <c r="AD42" s="177">
        <f>AA42</f>
        <v>1998711.2018043175</v>
      </c>
      <c r="AE42" s="178" t="s">
        <v>665</v>
      </c>
      <c r="AF42" s="123">
        <f>AA42/W42</f>
        <v>2.2637556794597866E-2</v>
      </c>
      <c r="AG42" s="117"/>
      <c r="AH42" s="124"/>
      <c r="AI42" s="117"/>
      <c r="AJ42" s="117"/>
      <c r="AK42" s="89"/>
      <c r="AL42" s="117"/>
      <c r="AM42" s="117"/>
      <c r="AN42" s="117">
        <v>36</v>
      </c>
      <c r="AO42" s="117" t="s">
        <v>678</v>
      </c>
      <c r="AP42" s="117">
        <v>32</v>
      </c>
      <c r="AQ42" s="117"/>
      <c r="AR42" s="117"/>
      <c r="AS42" s="117"/>
      <c r="AT42" s="117"/>
      <c r="AU42" s="117">
        <v>16</v>
      </c>
      <c r="AV42" s="128"/>
      <c r="AW42" s="117">
        <f>VLOOKUP($D42,'WB Data'!$C$3:$M$578,2,FALSE)</f>
        <v>12044208085.864004</v>
      </c>
      <c r="AX42" s="117">
        <f>VLOOKUP($D42,'WB Data'!$C$3:$M$578,3,FALSE)</f>
        <v>2884303</v>
      </c>
      <c r="AY42" s="847">
        <f t="shared" si="3"/>
        <v>2.7647073983125725E-3</v>
      </c>
      <c r="AZ42" s="117" t="e">
        <f>VLOOKUP($D42,'WB Data'!$C$3:$M$578,4,FALSE)/100</f>
        <v>#VALUE!</v>
      </c>
      <c r="BA42" s="117" t="str">
        <f t="shared" si="4"/>
        <v>..</v>
      </c>
      <c r="BB42" s="129">
        <f>IFERROR(VLOOKUP($D42,'EITI Revenues'!$C$2:$G$224,5,FALSE),"..")</f>
        <v>33298711.201804318</v>
      </c>
      <c r="BC42" s="846" t="str">
        <f t="shared" si="5"/>
        <v>..</v>
      </c>
      <c r="BD42" s="129">
        <f>VLOOKUP($D42,'WB Data 2'!$C$2:$K$545,6,FALSE)</f>
        <v>230772715.06897581</v>
      </c>
      <c r="BE42" s="129">
        <f>IFERROR(VLOOKUP($D42,UNCTAD!$C$5:$V$529,4,FALSE),"..")</f>
        <v>3533290000</v>
      </c>
      <c r="BF42" s="846">
        <f t="shared" si="6"/>
        <v>6.5313833585405046E-2</v>
      </c>
      <c r="BG42" s="117">
        <f>VLOOKUP($D42,'WB Data'!$C$3:$M$578,5,FALSE)</f>
        <v>356960000</v>
      </c>
      <c r="BH42" s="129">
        <f>IFERROR($BB42/$BG42,"..")</f>
        <v>9.3284152851311961E-2</v>
      </c>
      <c r="BI42" s="117" t="str">
        <f>IFERROR(VLOOKUP($D42,'WB Data'!$C$3:$M$578,7,FALSE)/100,"..")</f>
        <v>..</v>
      </c>
      <c r="BJ42" s="117" t="str">
        <f>IFERROR($BI42*$AW42,"..")</f>
        <v>..</v>
      </c>
      <c r="BK42" s="846" t="str">
        <f>IFERROR($BB42/$BJ42,"..")</f>
        <v>..</v>
      </c>
      <c r="BL42" s="117" t="str">
        <f>IFERROR(VLOOKUP($D42,'WB Data'!$C$3:$M$578,7,FALSE)/100,"..")</f>
        <v>..</v>
      </c>
      <c r="BM42" s="117" t="str">
        <f>IFERROR($AW42*$BL42,"..")</f>
        <v>..</v>
      </c>
      <c r="BN42" s="846" t="str">
        <f>IFERROR($BB42/$BM42,"..")</f>
        <v>..</v>
      </c>
      <c r="BO42" s="801">
        <f t="shared" si="2"/>
        <v>33</v>
      </c>
      <c r="BP42" s="117" t="str">
        <f>VLOOKUP($D42,'WB Data'!$C$3:$M$578,9,FALSE)</f>
        <v>..</v>
      </c>
      <c r="BQ42" s="117">
        <f>VLOOKUP($D42,'WB Data'!$C$3:$M$578,10,FALSE)</f>
        <v>76.801878048780495</v>
      </c>
      <c r="BR42" s="117">
        <f>VLOOKUP($D42,'WB Data'!$C$3:$M$578,11,FALSE)</f>
        <v>15.4</v>
      </c>
      <c r="BS42" s="129" t="str">
        <f>IFERROR(VLOOKUP($D42,'WB Data 2'!$C$2:$K$545,9,FALSE),"..")</f>
        <v>..</v>
      </c>
      <c r="BT42" s="129" t="str">
        <f>_xlfn.IFNA(VLOOKUP($C42,RGI!$A$2:$C$43,2,FALSE),"..")</f>
        <v>..</v>
      </c>
      <c r="BU42" s="129" t="str">
        <f>_xlfn.IFNA(VLOOKUP($C42,RGI!$A$2:$C$43,3,FALSE),"..")</f>
        <v>..</v>
      </c>
      <c r="BV42" s="129">
        <f>VLOOKUP($D42,WGI!$C$2:$O$478,7,FALSE)</f>
        <v>0.12659891494021</v>
      </c>
      <c r="BW42" s="129">
        <f>VLOOKUP($D42,WGI!$C$2:$O$478,4,FALSE)</f>
        <v>-5.1232554674726698E-2</v>
      </c>
      <c r="BX42" s="129">
        <f>VLOOKUP($D42,WGI!$C$2:$O$478,3,FALSE)</f>
        <v>-0.23899343497433401</v>
      </c>
      <c r="BY42" s="129">
        <f>VLOOKUP($D42,WGI!$C$2:$O$478,5,FALSE)</f>
        <v>0.24766539822603401</v>
      </c>
      <c r="BZ42" s="129">
        <f>VLOOKUP($D42,WGI!$C$2:$O$478,2,FALSE)</f>
        <v>-0.49327831391160298</v>
      </c>
    </row>
    <row r="43" spans="1:80" ht="15" customHeight="1">
      <c r="A43" s="145" t="s">
        <v>37</v>
      </c>
      <c r="B43" s="117">
        <v>2009</v>
      </c>
      <c r="C43" s="117" t="s">
        <v>38</v>
      </c>
      <c r="D43" s="117" t="s">
        <v>3619</v>
      </c>
      <c r="E43" s="174" t="s">
        <v>39</v>
      </c>
      <c r="F43" s="117"/>
      <c r="G43" s="117" t="s">
        <v>24</v>
      </c>
      <c r="H43" s="117" t="str">
        <f t="shared" si="7"/>
        <v>yes</v>
      </c>
      <c r="I43" s="117" t="str">
        <f t="shared" si="8"/>
        <v>no</v>
      </c>
      <c r="J43" s="117" t="str">
        <f t="shared" si="9"/>
        <v>no</v>
      </c>
      <c r="K43" s="176" t="s">
        <v>614</v>
      </c>
      <c r="L43" s="117" t="str">
        <f t="shared" si="0"/>
        <v>detailed</v>
      </c>
      <c r="M43" s="117" t="str">
        <f t="shared" si="1"/>
        <v>detailed Mining</v>
      </c>
      <c r="N43" s="118">
        <v>283558</v>
      </c>
      <c r="O43" s="118"/>
      <c r="P43" s="118"/>
      <c r="Q43" s="118"/>
      <c r="R43" s="118"/>
      <c r="S43" s="117" t="s">
        <v>610</v>
      </c>
      <c r="T43" s="119">
        <v>227</v>
      </c>
      <c r="U43" s="117" t="s">
        <v>611</v>
      </c>
      <c r="V43" s="117" t="s">
        <v>679</v>
      </c>
      <c r="W43" s="89">
        <f>N43*T43</f>
        <v>64367666</v>
      </c>
      <c r="X43" s="117"/>
      <c r="Y43" s="117"/>
      <c r="Z43" s="117"/>
      <c r="AA43" s="121"/>
      <c r="AB43" s="121"/>
      <c r="AC43" s="122"/>
      <c r="AD43" s="122"/>
      <c r="AE43" s="122"/>
      <c r="AF43" s="123"/>
      <c r="AG43" s="117"/>
      <c r="AH43" s="124"/>
      <c r="AI43" s="117"/>
      <c r="AJ43" s="117"/>
      <c r="AK43" s="89"/>
      <c r="AL43" s="117"/>
      <c r="AM43" s="117"/>
      <c r="AN43" s="117">
        <v>28</v>
      </c>
      <c r="AO43" s="117" t="s">
        <v>680</v>
      </c>
      <c r="AP43" s="117">
        <v>23</v>
      </c>
      <c r="AQ43" s="117"/>
      <c r="AR43" s="117"/>
      <c r="AS43" s="117"/>
      <c r="AT43" s="117"/>
      <c r="AU43" s="117"/>
      <c r="AV43" s="128"/>
      <c r="AW43" s="117">
        <f>VLOOKUP($D43,'WB Data'!$C$3:$M$578,2,FALSE)</f>
        <v>12044208085.864004</v>
      </c>
      <c r="AX43" s="117">
        <f>VLOOKUP($D43,'WB Data'!$C$3:$M$578,3,FALSE)</f>
        <v>2884303</v>
      </c>
      <c r="AY43" s="847">
        <f t="shared" si="3"/>
        <v>2.7647073983125725E-3</v>
      </c>
      <c r="AZ43" s="117" t="e">
        <f>VLOOKUP($D43,'WB Data'!$C$3:$M$578,4,FALSE)/100</f>
        <v>#VALUE!</v>
      </c>
      <c r="BA43" s="117" t="str">
        <f t="shared" si="4"/>
        <v>..</v>
      </c>
      <c r="BB43" s="129">
        <f>IFERROR(VLOOKUP($D43,'EITI Revenues'!$C$2:$G$224,5,FALSE),"..")</f>
        <v>33298711.201804318</v>
      </c>
      <c r="BC43" s="846" t="str">
        <f t="shared" si="5"/>
        <v>..</v>
      </c>
      <c r="BD43" s="129">
        <f>VLOOKUP($D43,'WB Data 2'!$C$2:$K$545,6,FALSE)</f>
        <v>230772715.06897581</v>
      </c>
      <c r="BE43" s="129">
        <f>IFERROR(VLOOKUP($D43,UNCTAD!$C$5:$V$529,4,FALSE),"..")</f>
        <v>3533290000</v>
      </c>
      <c r="BF43" s="846">
        <f t="shared" si="6"/>
        <v>6.5313833585405046E-2</v>
      </c>
      <c r="BG43" s="117">
        <f>VLOOKUP($D43,'WB Data'!$C$3:$M$578,5,FALSE)</f>
        <v>356960000</v>
      </c>
      <c r="BH43" s="129">
        <f>IFERROR($BB43/$BG43,"..")</f>
        <v>9.3284152851311961E-2</v>
      </c>
      <c r="BI43" s="117" t="str">
        <f>IFERROR(VLOOKUP($D43,'WB Data'!$C$3:$M$578,7,FALSE)/100,"..")</f>
        <v>..</v>
      </c>
      <c r="BJ43" s="117" t="str">
        <f>IFERROR($BI43*$AW43,"..")</f>
        <v>..</v>
      </c>
      <c r="BK43" s="846" t="str">
        <f>IFERROR($BB43/$BJ43,"..")</f>
        <v>..</v>
      </c>
      <c r="BL43" s="117" t="str">
        <f>IFERROR(VLOOKUP($D43,'WB Data'!$C$3:$M$578,7,FALSE)/100,"..")</f>
        <v>..</v>
      </c>
      <c r="BM43" s="117" t="str">
        <f>IFERROR($AW43*$BL43,"..")</f>
        <v>..</v>
      </c>
      <c r="BN43" s="846" t="str">
        <f>IFERROR($BB43/$BM43,"..")</f>
        <v>..</v>
      </c>
      <c r="BO43" s="801">
        <f t="shared" si="2"/>
        <v>33</v>
      </c>
      <c r="BP43" s="117" t="str">
        <f>VLOOKUP($D43,'WB Data'!$C$3:$M$578,9,FALSE)</f>
        <v>..</v>
      </c>
      <c r="BQ43" s="117">
        <f>VLOOKUP($D43,'WB Data'!$C$3:$M$578,10,FALSE)</f>
        <v>76.801878048780495</v>
      </c>
      <c r="BR43" s="117">
        <f>VLOOKUP($D43,'WB Data'!$C$3:$M$578,11,FALSE)</f>
        <v>15.4</v>
      </c>
      <c r="BS43" s="129" t="str">
        <f>IFERROR(VLOOKUP($D43,'WB Data 2'!$C$2:$K$545,9,FALSE),"..")</f>
        <v>..</v>
      </c>
      <c r="BT43" s="129" t="str">
        <f>_xlfn.IFNA(VLOOKUP($C43,RGI!$A$2:$C$43,2,FALSE),"..")</f>
        <v>..</v>
      </c>
      <c r="BU43" s="129" t="str">
        <f>_xlfn.IFNA(VLOOKUP($C43,RGI!$A$2:$C$43,3,FALSE),"..")</f>
        <v>..</v>
      </c>
      <c r="BV43" s="129">
        <f>VLOOKUP($D43,WGI!$C$2:$O$478,7,FALSE)</f>
        <v>0.12659891494021</v>
      </c>
      <c r="BW43" s="129">
        <f>VLOOKUP($D43,WGI!$C$2:$O$478,4,FALSE)</f>
        <v>-5.1232554674726698E-2</v>
      </c>
      <c r="BX43" s="129">
        <f>VLOOKUP($D43,WGI!$C$2:$O$478,3,FALSE)</f>
        <v>-0.23899343497433401</v>
      </c>
      <c r="BY43" s="129">
        <f>VLOOKUP($D43,WGI!$C$2:$O$478,5,FALSE)</f>
        <v>0.24766539822603401</v>
      </c>
      <c r="BZ43" s="129">
        <f>VLOOKUP($D43,WGI!$C$2:$O$478,2,FALSE)</f>
        <v>-0.49327831391160298</v>
      </c>
    </row>
    <row r="44" spans="1:80" ht="15" customHeight="1">
      <c r="A44" s="145" t="s">
        <v>37</v>
      </c>
      <c r="B44" s="117">
        <v>2009</v>
      </c>
      <c r="C44" s="117" t="s">
        <v>38</v>
      </c>
      <c r="D44" s="117" t="s">
        <v>3619</v>
      </c>
      <c r="E44" s="174" t="s">
        <v>39</v>
      </c>
      <c r="F44" s="117"/>
      <c r="G44" s="117" t="s">
        <v>24</v>
      </c>
      <c r="H44" s="117" t="str">
        <f t="shared" si="7"/>
        <v>yes</v>
      </c>
      <c r="I44" s="117" t="str">
        <f t="shared" si="8"/>
        <v>no</v>
      </c>
      <c r="J44" s="117" t="str">
        <f t="shared" si="9"/>
        <v>no</v>
      </c>
      <c r="K44" s="176" t="s">
        <v>619</v>
      </c>
      <c r="L44" s="117" t="str">
        <f t="shared" si="0"/>
        <v>detailed</v>
      </c>
      <c r="M44" s="117" t="str">
        <f t="shared" si="1"/>
        <v>detailed Mining</v>
      </c>
      <c r="N44" s="179"/>
      <c r="O44" s="179"/>
      <c r="P44" s="179"/>
      <c r="Q44" s="179"/>
      <c r="R44" s="179"/>
      <c r="S44" s="117"/>
      <c r="T44" s="180">
        <v>5149.7385833333301</v>
      </c>
      <c r="U44" s="117" t="s">
        <v>611</v>
      </c>
      <c r="V44" s="117" t="s">
        <v>681</v>
      </c>
      <c r="W44" s="89">
        <f>N46*T44</f>
        <v>9269529.4499999937</v>
      </c>
      <c r="X44" s="117"/>
      <c r="Y44" s="117"/>
      <c r="Z44" s="117"/>
      <c r="AA44" s="177"/>
      <c r="AB44" s="177"/>
      <c r="AC44" s="122"/>
      <c r="AD44" s="122"/>
      <c r="AE44" s="122"/>
      <c r="AF44" s="123"/>
      <c r="AG44" s="117"/>
      <c r="AH44" s="124"/>
      <c r="AI44" s="117"/>
      <c r="AJ44" s="117"/>
      <c r="AK44" s="89"/>
      <c r="AL44" s="117"/>
      <c r="AM44" s="117"/>
      <c r="AN44" s="117">
        <v>3</v>
      </c>
      <c r="AO44" s="117" t="s">
        <v>682</v>
      </c>
      <c r="AP44" s="117">
        <v>3</v>
      </c>
      <c r="AQ44" s="117"/>
      <c r="AR44" s="117"/>
      <c r="AS44" s="117"/>
      <c r="AT44" s="117"/>
      <c r="AU44" s="117"/>
      <c r="AV44" s="128"/>
      <c r="AW44" s="117">
        <f>VLOOKUP($D44,'WB Data'!$C$3:$M$578,2,FALSE)</f>
        <v>12044208085.864004</v>
      </c>
      <c r="AX44" s="117">
        <f>VLOOKUP($D44,'WB Data'!$C$3:$M$578,3,FALSE)</f>
        <v>2884303</v>
      </c>
      <c r="AY44" s="847">
        <f t="shared" si="3"/>
        <v>2.7647073983125725E-3</v>
      </c>
      <c r="AZ44" s="117" t="e">
        <f>VLOOKUP($D44,'WB Data'!$C$3:$M$578,4,FALSE)/100</f>
        <v>#VALUE!</v>
      </c>
      <c r="BA44" s="117" t="str">
        <f t="shared" si="4"/>
        <v>..</v>
      </c>
      <c r="BB44" s="129">
        <f>IFERROR(VLOOKUP($D44,'EITI Revenues'!$C$2:$G$224,5,FALSE),"..")</f>
        <v>33298711.201804318</v>
      </c>
      <c r="BC44" s="846" t="str">
        <f t="shared" si="5"/>
        <v>..</v>
      </c>
      <c r="BD44" s="129">
        <f>VLOOKUP($D44,'WB Data 2'!$C$2:$K$545,6,FALSE)</f>
        <v>230772715.06897581</v>
      </c>
      <c r="BE44" s="129">
        <f>IFERROR(VLOOKUP($D44,UNCTAD!$C$5:$V$529,4,FALSE),"..")</f>
        <v>3533290000</v>
      </c>
      <c r="BF44" s="846">
        <f t="shared" si="6"/>
        <v>6.5313833585405046E-2</v>
      </c>
      <c r="BG44" s="117">
        <f>VLOOKUP($D44,'WB Data'!$C$3:$M$578,5,FALSE)</f>
        <v>356960000</v>
      </c>
      <c r="BH44" s="129">
        <f>IFERROR($BB44/$BG44,"..")</f>
        <v>9.3284152851311961E-2</v>
      </c>
      <c r="BI44" s="117" t="str">
        <f>IFERROR(VLOOKUP($D44,'WB Data'!$C$3:$M$578,7,FALSE)/100,"..")</f>
        <v>..</v>
      </c>
      <c r="BJ44" s="117" t="str">
        <f>IFERROR($BI44*$AW44,"..")</f>
        <v>..</v>
      </c>
      <c r="BK44" s="846" t="str">
        <f>IFERROR($BB44/$BJ44,"..")</f>
        <v>..</v>
      </c>
      <c r="BL44" s="117" t="str">
        <f>IFERROR(VLOOKUP($D44,'WB Data'!$C$3:$M$578,7,FALSE)/100,"..")</f>
        <v>..</v>
      </c>
      <c r="BM44" s="117" t="str">
        <f>IFERROR($AW44*$BL44,"..")</f>
        <v>..</v>
      </c>
      <c r="BN44" s="846" t="str">
        <f>IFERROR($BB44/$BM44,"..")</f>
        <v>..</v>
      </c>
      <c r="BO44" s="801">
        <f t="shared" si="2"/>
        <v>33</v>
      </c>
      <c r="BP44" s="117" t="str">
        <f>VLOOKUP($D44,'WB Data'!$C$3:$M$578,9,FALSE)</f>
        <v>..</v>
      </c>
      <c r="BQ44" s="117">
        <f>VLOOKUP($D44,'WB Data'!$C$3:$M$578,10,FALSE)</f>
        <v>76.801878048780495</v>
      </c>
      <c r="BR44" s="117">
        <f>VLOOKUP($D44,'WB Data'!$C$3:$M$578,11,FALSE)</f>
        <v>15.4</v>
      </c>
      <c r="BS44" s="129" t="str">
        <f>IFERROR(VLOOKUP($D44,'WB Data 2'!$C$2:$K$545,9,FALSE),"..")</f>
        <v>..</v>
      </c>
      <c r="BT44" s="129" t="str">
        <f>_xlfn.IFNA(VLOOKUP($C44,RGI!$A$2:$C$43,2,FALSE),"..")</f>
        <v>..</v>
      </c>
      <c r="BU44" s="129" t="str">
        <f>_xlfn.IFNA(VLOOKUP($C44,RGI!$A$2:$C$43,3,FALSE),"..")</f>
        <v>..</v>
      </c>
      <c r="BV44" s="129">
        <f>VLOOKUP($D44,WGI!$C$2:$O$478,7,FALSE)</f>
        <v>0.12659891494021</v>
      </c>
      <c r="BW44" s="129">
        <f>VLOOKUP($D44,WGI!$C$2:$O$478,4,FALSE)</f>
        <v>-5.1232554674726698E-2</v>
      </c>
      <c r="BX44" s="129">
        <f>VLOOKUP($D44,WGI!$C$2:$O$478,3,FALSE)</f>
        <v>-0.23899343497433401</v>
      </c>
      <c r="BY44" s="129">
        <f>VLOOKUP($D44,WGI!$C$2:$O$478,5,FALSE)</f>
        <v>0.24766539822603401</v>
      </c>
      <c r="BZ44" s="129">
        <f>VLOOKUP($D44,WGI!$C$2:$O$478,2,FALSE)</f>
        <v>-0.49327831391160298</v>
      </c>
    </row>
    <row r="45" spans="1:80" ht="15" customHeight="1">
      <c r="A45" s="145" t="s">
        <v>37</v>
      </c>
      <c r="B45" s="117">
        <v>2009</v>
      </c>
      <c r="C45" s="117" t="s">
        <v>38</v>
      </c>
      <c r="D45" s="117" t="s">
        <v>3619</v>
      </c>
      <c r="E45" s="174" t="s">
        <v>39</v>
      </c>
      <c r="F45" s="117"/>
      <c r="G45" s="117" t="s">
        <v>24</v>
      </c>
      <c r="H45" s="117" t="str">
        <f t="shared" si="7"/>
        <v>yes</v>
      </c>
      <c r="I45" s="117" t="str">
        <f t="shared" si="8"/>
        <v>no</v>
      </c>
      <c r="J45" s="117" t="str">
        <f t="shared" si="9"/>
        <v>no</v>
      </c>
      <c r="K45" s="176" t="s">
        <v>683</v>
      </c>
      <c r="L45" s="117" t="str">
        <f t="shared" si="0"/>
        <v>detailed</v>
      </c>
      <c r="M45" s="117" t="str">
        <f t="shared" si="1"/>
        <v>detailed Mining</v>
      </c>
      <c r="N45" s="118">
        <v>114286</v>
      </c>
      <c r="O45" s="118"/>
      <c r="P45" s="118"/>
      <c r="Q45" s="118"/>
      <c r="R45" s="118"/>
      <c r="S45" s="117" t="s">
        <v>610</v>
      </c>
      <c r="T45" s="119"/>
      <c r="U45" s="117"/>
      <c r="V45" s="117" t="s">
        <v>684</v>
      </c>
      <c r="W45" s="89"/>
      <c r="X45" s="117"/>
      <c r="Y45" s="117"/>
      <c r="Z45" s="117"/>
      <c r="AA45" s="121"/>
      <c r="AB45" s="121"/>
      <c r="AC45" s="122"/>
      <c r="AD45" s="122"/>
      <c r="AE45" s="122"/>
      <c r="AF45" s="123"/>
      <c r="AG45" s="117"/>
      <c r="AH45" s="124"/>
      <c r="AI45" s="117"/>
      <c r="AJ45" s="117"/>
      <c r="AK45" s="89"/>
      <c r="AL45" s="117"/>
      <c r="AM45" s="117"/>
      <c r="AN45" s="117"/>
      <c r="AO45" s="117"/>
      <c r="AP45" s="117"/>
      <c r="AQ45" s="117"/>
      <c r="AR45" s="117"/>
      <c r="AS45" s="117"/>
      <c r="AT45" s="117"/>
      <c r="AU45" s="117"/>
      <c r="AV45" s="128"/>
      <c r="AW45" s="117">
        <f>VLOOKUP($D45,'WB Data'!$C$3:$M$578,2,FALSE)</f>
        <v>12044208085.864004</v>
      </c>
      <c r="AX45" s="117">
        <f>VLOOKUP($D45,'WB Data'!$C$3:$M$578,3,FALSE)</f>
        <v>2884303</v>
      </c>
      <c r="AY45" s="847">
        <f t="shared" si="3"/>
        <v>2.7647073983125725E-3</v>
      </c>
      <c r="AZ45" s="117" t="e">
        <f>VLOOKUP($D45,'WB Data'!$C$3:$M$578,4,FALSE)/100</f>
        <v>#VALUE!</v>
      </c>
      <c r="BA45" s="117" t="str">
        <f t="shared" si="4"/>
        <v>..</v>
      </c>
      <c r="BB45" s="129">
        <f>IFERROR(VLOOKUP($D45,'EITI Revenues'!$C$2:$G$224,5,FALSE),"..")</f>
        <v>33298711.201804318</v>
      </c>
      <c r="BC45" s="846" t="str">
        <f t="shared" si="5"/>
        <v>..</v>
      </c>
      <c r="BD45" s="129">
        <f>VLOOKUP($D45,'WB Data 2'!$C$2:$K$545,6,FALSE)</f>
        <v>230772715.06897581</v>
      </c>
      <c r="BE45" s="129">
        <f>IFERROR(VLOOKUP($D45,UNCTAD!$C$5:$V$529,4,FALSE),"..")</f>
        <v>3533290000</v>
      </c>
      <c r="BF45" s="846">
        <f t="shared" si="6"/>
        <v>6.5313833585405046E-2</v>
      </c>
      <c r="BG45" s="117">
        <f>VLOOKUP($D45,'WB Data'!$C$3:$M$578,5,FALSE)</f>
        <v>356960000</v>
      </c>
      <c r="BH45" s="129">
        <f>IFERROR($BB45/$BG45,"..")</f>
        <v>9.3284152851311961E-2</v>
      </c>
      <c r="BI45" s="117" t="str">
        <f>IFERROR(VLOOKUP($D45,'WB Data'!$C$3:$M$578,7,FALSE)/100,"..")</f>
        <v>..</v>
      </c>
      <c r="BJ45" s="117" t="str">
        <f>IFERROR($BI45*$AW45,"..")</f>
        <v>..</v>
      </c>
      <c r="BK45" s="846" t="str">
        <f>IFERROR($BB45/$BJ45,"..")</f>
        <v>..</v>
      </c>
      <c r="BL45" s="117" t="str">
        <f>IFERROR(VLOOKUP($D45,'WB Data'!$C$3:$M$578,7,FALSE)/100,"..")</f>
        <v>..</v>
      </c>
      <c r="BM45" s="117" t="str">
        <f>IFERROR($AW45*$BL45,"..")</f>
        <v>..</v>
      </c>
      <c r="BN45" s="846" t="str">
        <f>IFERROR($BB45/$BM45,"..")</f>
        <v>..</v>
      </c>
      <c r="BO45" s="801">
        <f t="shared" si="2"/>
        <v>33</v>
      </c>
      <c r="BP45" s="117" t="str">
        <f>VLOOKUP($D45,'WB Data'!$C$3:$M$578,9,FALSE)</f>
        <v>..</v>
      </c>
      <c r="BQ45" s="117">
        <f>VLOOKUP($D45,'WB Data'!$C$3:$M$578,10,FALSE)</f>
        <v>76.801878048780495</v>
      </c>
      <c r="BR45" s="117">
        <f>VLOOKUP($D45,'WB Data'!$C$3:$M$578,11,FALSE)</f>
        <v>15.4</v>
      </c>
      <c r="BS45" s="129" t="str">
        <f>IFERROR(VLOOKUP($D45,'WB Data 2'!$C$2:$K$545,9,FALSE),"..")</f>
        <v>..</v>
      </c>
      <c r="BT45" s="129" t="str">
        <f>_xlfn.IFNA(VLOOKUP($C45,RGI!$A$2:$C$43,2,FALSE),"..")</f>
        <v>..</v>
      </c>
      <c r="BU45" s="129" t="str">
        <f>_xlfn.IFNA(VLOOKUP($C45,RGI!$A$2:$C$43,3,FALSE),"..")</f>
        <v>..</v>
      </c>
      <c r="BV45" s="129">
        <f>VLOOKUP($D45,WGI!$C$2:$O$478,7,FALSE)</f>
        <v>0.12659891494021</v>
      </c>
      <c r="BW45" s="129">
        <f>VLOOKUP($D45,WGI!$C$2:$O$478,4,FALSE)</f>
        <v>-5.1232554674726698E-2</v>
      </c>
      <c r="BX45" s="129">
        <f>VLOOKUP($D45,WGI!$C$2:$O$478,3,FALSE)</f>
        <v>-0.23899343497433401</v>
      </c>
      <c r="BY45" s="129">
        <f>VLOOKUP($D45,WGI!$C$2:$O$478,5,FALSE)</f>
        <v>0.24766539822603401</v>
      </c>
      <c r="BZ45" s="129">
        <f>VLOOKUP($D45,WGI!$C$2:$O$478,2,FALSE)</f>
        <v>-0.49327831391160298</v>
      </c>
    </row>
    <row r="46" spans="1:80" ht="15" customHeight="1">
      <c r="A46" s="145" t="s">
        <v>37</v>
      </c>
      <c r="B46" s="117">
        <v>2009</v>
      </c>
      <c r="C46" s="117" t="s">
        <v>38</v>
      </c>
      <c r="D46" s="117" t="s">
        <v>3619</v>
      </c>
      <c r="E46" s="174" t="s">
        <v>39</v>
      </c>
      <c r="F46" s="117"/>
      <c r="G46" s="117" t="s">
        <v>24</v>
      </c>
      <c r="H46" s="117" t="str">
        <f t="shared" si="7"/>
        <v>yes</v>
      </c>
      <c r="I46" s="117" t="str">
        <f t="shared" si="8"/>
        <v>no</v>
      </c>
      <c r="J46" s="117" t="str">
        <f t="shared" si="9"/>
        <v>no</v>
      </c>
      <c r="K46" s="176" t="s">
        <v>685</v>
      </c>
      <c r="L46" s="117" t="str">
        <f t="shared" si="0"/>
        <v>detailed</v>
      </c>
      <c r="M46" s="117" t="str">
        <f t="shared" si="1"/>
        <v>detailed Mining</v>
      </c>
      <c r="N46" s="118">
        <v>1800</v>
      </c>
      <c r="O46" s="118"/>
      <c r="P46" s="118"/>
      <c r="Q46" s="118"/>
      <c r="R46" s="118"/>
      <c r="S46" s="117" t="s">
        <v>610</v>
      </c>
      <c r="T46" s="119"/>
      <c r="U46" s="117"/>
      <c r="V46" s="117" t="s">
        <v>684</v>
      </c>
      <c r="W46" s="89"/>
      <c r="X46" s="117"/>
      <c r="Y46" s="117"/>
      <c r="Z46" s="117"/>
      <c r="AA46" s="121"/>
      <c r="AB46" s="121"/>
      <c r="AC46" s="122"/>
      <c r="AD46" s="122"/>
      <c r="AE46" s="122"/>
      <c r="AF46" s="123"/>
      <c r="AG46" s="117"/>
      <c r="AH46" s="124"/>
      <c r="AI46" s="117"/>
      <c r="AJ46" s="117"/>
      <c r="AK46" s="89"/>
      <c r="AL46" s="117"/>
      <c r="AM46" s="117"/>
      <c r="AN46" s="117"/>
      <c r="AO46" s="117"/>
      <c r="AP46" s="117"/>
      <c r="AQ46" s="117"/>
      <c r="AR46" s="117"/>
      <c r="AS46" s="117"/>
      <c r="AT46" s="117"/>
      <c r="AU46" s="117"/>
      <c r="AV46" s="128"/>
      <c r="AW46" s="117">
        <f>VLOOKUP($D46,'WB Data'!$C$3:$M$578,2,FALSE)</f>
        <v>12044208085.864004</v>
      </c>
      <c r="AX46" s="117">
        <f>VLOOKUP($D46,'WB Data'!$C$3:$M$578,3,FALSE)</f>
        <v>2884303</v>
      </c>
      <c r="AY46" s="847">
        <f t="shared" si="3"/>
        <v>2.7647073983125725E-3</v>
      </c>
      <c r="AZ46" s="117" t="e">
        <f>VLOOKUP($D46,'WB Data'!$C$3:$M$578,4,FALSE)/100</f>
        <v>#VALUE!</v>
      </c>
      <c r="BA46" s="117" t="str">
        <f t="shared" si="4"/>
        <v>..</v>
      </c>
      <c r="BB46" s="129">
        <f>IFERROR(VLOOKUP($D46,'EITI Revenues'!$C$2:$G$224,5,FALSE),"..")</f>
        <v>33298711.201804318</v>
      </c>
      <c r="BC46" s="846" t="str">
        <f t="shared" si="5"/>
        <v>..</v>
      </c>
      <c r="BD46" s="129">
        <f>VLOOKUP($D46,'WB Data 2'!$C$2:$K$545,6,FALSE)</f>
        <v>230772715.06897581</v>
      </c>
      <c r="BE46" s="129">
        <f>IFERROR(VLOOKUP($D46,UNCTAD!$C$5:$V$529,4,FALSE),"..")</f>
        <v>3533290000</v>
      </c>
      <c r="BF46" s="846">
        <f t="shared" si="6"/>
        <v>6.5313833585405046E-2</v>
      </c>
      <c r="BG46" s="117">
        <f>VLOOKUP($D46,'WB Data'!$C$3:$M$578,5,FALSE)</f>
        <v>356960000</v>
      </c>
      <c r="BH46" s="129">
        <f>IFERROR($BB46/$BG46,"..")</f>
        <v>9.3284152851311961E-2</v>
      </c>
      <c r="BI46" s="117" t="str">
        <f>IFERROR(VLOOKUP($D46,'WB Data'!$C$3:$M$578,7,FALSE)/100,"..")</f>
        <v>..</v>
      </c>
      <c r="BJ46" s="117" t="str">
        <f>IFERROR($BI46*$AW46,"..")</f>
        <v>..</v>
      </c>
      <c r="BK46" s="846" t="str">
        <f>IFERROR($BB46/$BJ46,"..")</f>
        <v>..</v>
      </c>
      <c r="BL46" s="117" t="str">
        <f>IFERROR(VLOOKUP($D46,'WB Data'!$C$3:$M$578,7,FALSE)/100,"..")</f>
        <v>..</v>
      </c>
      <c r="BM46" s="117" t="str">
        <f>IFERROR($AW46*$BL46,"..")</f>
        <v>..</v>
      </c>
      <c r="BN46" s="846" t="str">
        <f>IFERROR($BB46/$BM46,"..")</f>
        <v>..</v>
      </c>
      <c r="BO46" s="801">
        <f t="shared" si="2"/>
        <v>33</v>
      </c>
      <c r="BP46" s="117" t="str">
        <f>VLOOKUP($D46,'WB Data'!$C$3:$M$578,9,FALSE)</f>
        <v>..</v>
      </c>
      <c r="BQ46" s="117">
        <f>VLOOKUP($D46,'WB Data'!$C$3:$M$578,10,FALSE)</f>
        <v>76.801878048780495</v>
      </c>
      <c r="BR46" s="117">
        <f>VLOOKUP($D46,'WB Data'!$C$3:$M$578,11,FALSE)</f>
        <v>15.4</v>
      </c>
      <c r="BS46" s="129" t="str">
        <f>IFERROR(VLOOKUP($D46,'WB Data 2'!$C$2:$K$545,9,FALSE),"..")</f>
        <v>..</v>
      </c>
      <c r="BT46" s="129" t="str">
        <f>_xlfn.IFNA(VLOOKUP($C46,RGI!$A$2:$C$43,2,FALSE),"..")</f>
        <v>..</v>
      </c>
      <c r="BU46" s="129" t="str">
        <f>_xlfn.IFNA(VLOOKUP($C46,RGI!$A$2:$C$43,3,FALSE),"..")</f>
        <v>..</v>
      </c>
      <c r="BV46" s="129">
        <f>VLOOKUP($D46,WGI!$C$2:$O$478,7,FALSE)</f>
        <v>0.12659891494021</v>
      </c>
      <c r="BW46" s="129">
        <f>VLOOKUP($D46,WGI!$C$2:$O$478,4,FALSE)</f>
        <v>-5.1232554674726698E-2</v>
      </c>
      <c r="BX46" s="129">
        <f>VLOOKUP($D46,WGI!$C$2:$O$478,3,FALSE)</f>
        <v>-0.23899343497433401</v>
      </c>
      <c r="BY46" s="129">
        <f>VLOOKUP($D46,WGI!$C$2:$O$478,5,FALSE)</f>
        <v>0.24766539822603401</v>
      </c>
      <c r="BZ46" s="129">
        <f>VLOOKUP($D46,WGI!$C$2:$O$478,2,FALSE)</f>
        <v>-0.49327831391160298</v>
      </c>
    </row>
    <row r="47" spans="1:80" ht="15" customHeight="1">
      <c r="A47" s="145" t="s">
        <v>37</v>
      </c>
      <c r="B47" s="117">
        <v>2009</v>
      </c>
      <c r="C47" s="117" t="s">
        <v>38</v>
      </c>
      <c r="D47" s="117" t="s">
        <v>3619</v>
      </c>
      <c r="E47" s="174" t="s">
        <v>39</v>
      </c>
      <c r="F47" s="117"/>
      <c r="G47" s="117" t="s">
        <v>24</v>
      </c>
      <c r="H47" s="117" t="str">
        <f t="shared" si="7"/>
        <v>yes</v>
      </c>
      <c r="I47" s="117" t="str">
        <f t="shared" si="8"/>
        <v>no</v>
      </c>
      <c r="J47" s="117" t="str">
        <f t="shared" si="9"/>
        <v>no</v>
      </c>
      <c r="K47" s="176" t="s">
        <v>686</v>
      </c>
      <c r="L47" s="117" t="str">
        <f t="shared" si="0"/>
        <v>detailed</v>
      </c>
      <c r="M47" s="117" t="str">
        <f t="shared" si="1"/>
        <v>detailed Mining</v>
      </c>
      <c r="N47" s="179"/>
      <c r="O47" s="179"/>
      <c r="P47" s="179"/>
      <c r="Q47" s="179"/>
      <c r="R47" s="179"/>
      <c r="S47" s="117"/>
      <c r="T47" s="180">
        <v>14654.629499999999</v>
      </c>
      <c r="U47" s="117" t="s">
        <v>611</v>
      </c>
      <c r="V47" s="117" t="s">
        <v>687</v>
      </c>
      <c r="W47" s="89">
        <f>N49*T47</f>
        <v>14654629.5</v>
      </c>
      <c r="X47" s="117"/>
      <c r="Y47" s="117"/>
      <c r="Z47" s="117"/>
      <c r="AA47" s="177"/>
      <c r="AB47" s="177"/>
      <c r="AC47" s="122"/>
      <c r="AD47" s="122"/>
      <c r="AE47" s="122"/>
      <c r="AF47" s="123"/>
      <c r="AG47" s="117"/>
      <c r="AH47" s="124"/>
      <c r="AI47" s="117"/>
      <c r="AJ47" s="117"/>
      <c r="AK47" s="89"/>
      <c r="AL47" s="117"/>
      <c r="AM47" s="117"/>
      <c r="AN47" s="117">
        <v>7</v>
      </c>
      <c r="AO47" s="117" t="s">
        <v>688</v>
      </c>
      <c r="AP47" s="117">
        <v>6</v>
      </c>
      <c r="AQ47" s="117"/>
      <c r="AR47" s="117"/>
      <c r="AS47" s="117"/>
      <c r="AT47" s="117"/>
      <c r="AU47" s="117"/>
      <c r="AV47" s="128"/>
      <c r="AW47" s="117">
        <f>VLOOKUP($D47,'WB Data'!$C$3:$M$578,2,FALSE)</f>
        <v>12044208085.864004</v>
      </c>
      <c r="AX47" s="117">
        <f>VLOOKUP($D47,'WB Data'!$C$3:$M$578,3,FALSE)</f>
        <v>2884303</v>
      </c>
      <c r="AY47" s="847">
        <f t="shared" si="3"/>
        <v>2.7647073983125725E-3</v>
      </c>
      <c r="AZ47" s="117" t="e">
        <f>VLOOKUP($D47,'WB Data'!$C$3:$M$578,4,FALSE)/100</f>
        <v>#VALUE!</v>
      </c>
      <c r="BA47" s="117" t="str">
        <f t="shared" si="4"/>
        <v>..</v>
      </c>
      <c r="BB47" s="129">
        <f>IFERROR(VLOOKUP($D47,'EITI Revenues'!$C$2:$G$224,5,FALSE),"..")</f>
        <v>33298711.201804318</v>
      </c>
      <c r="BC47" s="846" t="str">
        <f t="shared" si="5"/>
        <v>..</v>
      </c>
      <c r="BD47" s="129">
        <f>VLOOKUP($D47,'WB Data 2'!$C$2:$K$545,6,FALSE)</f>
        <v>230772715.06897581</v>
      </c>
      <c r="BE47" s="129">
        <f>IFERROR(VLOOKUP($D47,UNCTAD!$C$5:$V$529,4,FALSE),"..")</f>
        <v>3533290000</v>
      </c>
      <c r="BF47" s="846">
        <f t="shared" si="6"/>
        <v>6.5313833585405046E-2</v>
      </c>
      <c r="BG47" s="117">
        <f>VLOOKUP($D47,'WB Data'!$C$3:$M$578,5,FALSE)</f>
        <v>356960000</v>
      </c>
      <c r="BH47" s="129">
        <f>IFERROR($BB47/$BG47,"..")</f>
        <v>9.3284152851311961E-2</v>
      </c>
      <c r="BI47" s="117" t="str">
        <f>IFERROR(VLOOKUP($D47,'WB Data'!$C$3:$M$578,7,FALSE)/100,"..")</f>
        <v>..</v>
      </c>
      <c r="BJ47" s="117" t="str">
        <f>IFERROR($BI47*$AW47,"..")</f>
        <v>..</v>
      </c>
      <c r="BK47" s="846" t="str">
        <f>IFERROR($BB47/$BJ47,"..")</f>
        <v>..</v>
      </c>
      <c r="BL47" s="117" t="str">
        <f>IFERROR(VLOOKUP($D47,'WB Data'!$C$3:$M$578,7,FALSE)/100,"..")</f>
        <v>..</v>
      </c>
      <c r="BM47" s="117" t="str">
        <f>IFERROR($AW47*$BL47,"..")</f>
        <v>..</v>
      </c>
      <c r="BN47" s="846" t="str">
        <f>IFERROR($BB47/$BM47,"..")</f>
        <v>..</v>
      </c>
      <c r="BO47" s="801">
        <f t="shared" si="2"/>
        <v>33</v>
      </c>
      <c r="BP47" s="117" t="str">
        <f>VLOOKUP($D47,'WB Data'!$C$3:$M$578,9,FALSE)</f>
        <v>..</v>
      </c>
      <c r="BQ47" s="117">
        <f>VLOOKUP($D47,'WB Data'!$C$3:$M$578,10,FALSE)</f>
        <v>76.801878048780495</v>
      </c>
      <c r="BR47" s="117">
        <f>VLOOKUP($D47,'WB Data'!$C$3:$M$578,11,FALSE)</f>
        <v>15.4</v>
      </c>
      <c r="BS47" s="129" t="str">
        <f>IFERROR(VLOOKUP($D47,'WB Data 2'!$C$2:$K$545,9,FALSE),"..")</f>
        <v>..</v>
      </c>
      <c r="BT47" s="129" t="str">
        <f>_xlfn.IFNA(VLOOKUP($C47,RGI!$A$2:$C$43,2,FALSE),"..")</f>
        <v>..</v>
      </c>
      <c r="BU47" s="129" t="str">
        <f>_xlfn.IFNA(VLOOKUP($C47,RGI!$A$2:$C$43,3,FALSE),"..")</f>
        <v>..</v>
      </c>
      <c r="BV47" s="129">
        <f>VLOOKUP($D47,WGI!$C$2:$O$478,7,FALSE)</f>
        <v>0.12659891494021</v>
      </c>
      <c r="BW47" s="129">
        <f>VLOOKUP($D47,WGI!$C$2:$O$478,4,FALSE)</f>
        <v>-5.1232554674726698E-2</v>
      </c>
      <c r="BX47" s="129">
        <f>VLOOKUP($D47,WGI!$C$2:$O$478,3,FALSE)</f>
        <v>-0.23899343497433401</v>
      </c>
      <c r="BY47" s="129">
        <f>VLOOKUP($D47,WGI!$C$2:$O$478,5,FALSE)</f>
        <v>0.24766539822603401</v>
      </c>
      <c r="BZ47" s="129">
        <f>VLOOKUP($D47,WGI!$C$2:$O$478,2,FALSE)</f>
        <v>-0.49327831391160298</v>
      </c>
    </row>
    <row r="48" spans="1:80" ht="15" customHeight="1">
      <c r="A48" s="145" t="s">
        <v>37</v>
      </c>
      <c r="B48" s="117">
        <v>2009</v>
      </c>
      <c r="C48" s="117" t="s">
        <v>38</v>
      </c>
      <c r="D48" s="117" t="s">
        <v>3619</v>
      </c>
      <c r="E48" s="174" t="s">
        <v>39</v>
      </c>
      <c r="F48" s="117"/>
      <c r="G48" s="117" t="s">
        <v>24</v>
      </c>
      <c r="H48" s="117" t="str">
        <f t="shared" si="7"/>
        <v>yes</v>
      </c>
      <c r="I48" s="117" t="str">
        <f t="shared" si="8"/>
        <v>no</v>
      </c>
      <c r="J48" s="117" t="str">
        <f t="shared" si="9"/>
        <v>no</v>
      </c>
      <c r="K48" s="176" t="s">
        <v>689</v>
      </c>
      <c r="L48" s="117" t="str">
        <f t="shared" si="0"/>
        <v>detailed</v>
      </c>
      <c r="M48" s="117" t="str">
        <f t="shared" si="1"/>
        <v>detailed Mining</v>
      </c>
      <c r="N48" s="118">
        <v>68840</v>
      </c>
      <c r="O48" s="118"/>
      <c r="P48" s="118"/>
      <c r="Q48" s="118"/>
      <c r="R48" s="118"/>
      <c r="S48" s="117" t="s">
        <v>610</v>
      </c>
      <c r="T48" s="119"/>
      <c r="U48" s="117"/>
      <c r="V48" s="117" t="s">
        <v>684</v>
      </c>
      <c r="W48" s="89"/>
      <c r="X48" s="117"/>
      <c r="Y48" s="117"/>
      <c r="Z48" s="117"/>
      <c r="AA48" s="121"/>
      <c r="AB48" s="121"/>
      <c r="AC48" s="122"/>
      <c r="AD48" s="122"/>
      <c r="AE48" s="122"/>
      <c r="AF48" s="123"/>
      <c r="AG48" s="117"/>
      <c r="AH48" s="124"/>
      <c r="AI48" s="117"/>
      <c r="AJ48" s="117"/>
      <c r="AK48" s="89"/>
      <c r="AL48" s="117"/>
      <c r="AM48" s="117"/>
      <c r="AN48" s="117"/>
      <c r="AO48" s="117"/>
      <c r="AP48" s="117"/>
      <c r="AQ48" s="117"/>
      <c r="AR48" s="117"/>
      <c r="AS48" s="117"/>
      <c r="AT48" s="117"/>
      <c r="AU48" s="117"/>
      <c r="AV48" s="128"/>
      <c r="AW48" s="117">
        <f>VLOOKUP($D48,'WB Data'!$C$3:$M$578,2,FALSE)</f>
        <v>12044208085.864004</v>
      </c>
      <c r="AX48" s="117">
        <f>VLOOKUP($D48,'WB Data'!$C$3:$M$578,3,FALSE)</f>
        <v>2884303</v>
      </c>
      <c r="AY48" s="847">
        <f t="shared" si="3"/>
        <v>2.7647073983125725E-3</v>
      </c>
      <c r="AZ48" s="117" t="e">
        <f>VLOOKUP($D48,'WB Data'!$C$3:$M$578,4,FALSE)/100</f>
        <v>#VALUE!</v>
      </c>
      <c r="BA48" s="117" t="str">
        <f t="shared" si="4"/>
        <v>..</v>
      </c>
      <c r="BB48" s="129">
        <f>IFERROR(VLOOKUP($D48,'EITI Revenues'!$C$2:$G$224,5,FALSE),"..")</f>
        <v>33298711.201804318</v>
      </c>
      <c r="BC48" s="846" t="str">
        <f t="shared" si="5"/>
        <v>..</v>
      </c>
      <c r="BD48" s="129">
        <f>VLOOKUP($D48,'WB Data 2'!$C$2:$K$545,6,FALSE)</f>
        <v>230772715.06897581</v>
      </c>
      <c r="BE48" s="129">
        <f>IFERROR(VLOOKUP($D48,UNCTAD!$C$5:$V$529,4,FALSE),"..")</f>
        <v>3533290000</v>
      </c>
      <c r="BF48" s="846">
        <f t="shared" si="6"/>
        <v>6.5313833585405046E-2</v>
      </c>
      <c r="BG48" s="117">
        <f>VLOOKUP($D48,'WB Data'!$C$3:$M$578,5,FALSE)</f>
        <v>356960000</v>
      </c>
      <c r="BH48" s="129">
        <f>IFERROR($BB48/$BG48,"..")</f>
        <v>9.3284152851311961E-2</v>
      </c>
      <c r="BI48" s="117" t="str">
        <f>IFERROR(VLOOKUP($D48,'WB Data'!$C$3:$M$578,7,FALSE)/100,"..")</f>
        <v>..</v>
      </c>
      <c r="BJ48" s="117" t="str">
        <f>IFERROR($BI48*$AW48,"..")</f>
        <v>..</v>
      </c>
      <c r="BK48" s="846" t="str">
        <f>IFERROR($BB48/$BJ48,"..")</f>
        <v>..</v>
      </c>
      <c r="BL48" s="117" t="str">
        <f>IFERROR(VLOOKUP($D48,'WB Data'!$C$3:$M$578,7,FALSE)/100,"..")</f>
        <v>..</v>
      </c>
      <c r="BM48" s="117" t="str">
        <f>IFERROR($AW48*$BL48,"..")</f>
        <v>..</v>
      </c>
      <c r="BN48" s="846" t="str">
        <f>IFERROR($BB48/$BM48,"..")</f>
        <v>..</v>
      </c>
      <c r="BO48" s="801">
        <f t="shared" si="2"/>
        <v>33</v>
      </c>
      <c r="BP48" s="117" t="str">
        <f>VLOOKUP($D48,'WB Data'!$C$3:$M$578,9,FALSE)</f>
        <v>..</v>
      </c>
      <c r="BQ48" s="117">
        <f>VLOOKUP($D48,'WB Data'!$C$3:$M$578,10,FALSE)</f>
        <v>76.801878048780495</v>
      </c>
      <c r="BR48" s="117">
        <f>VLOOKUP($D48,'WB Data'!$C$3:$M$578,11,FALSE)</f>
        <v>15.4</v>
      </c>
      <c r="BS48" s="129" t="str">
        <f>IFERROR(VLOOKUP($D48,'WB Data 2'!$C$2:$K$545,9,FALSE),"..")</f>
        <v>..</v>
      </c>
      <c r="BT48" s="129" t="str">
        <f>_xlfn.IFNA(VLOOKUP($C48,RGI!$A$2:$C$43,2,FALSE),"..")</f>
        <v>..</v>
      </c>
      <c r="BU48" s="129" t="str">
        <f>_xlfn.IFNA(VLOOKUP($C48,RGI!$A$2:$C$43,3,FALSE),"..")</f>
        <v>..</v>
      </c>
      <c r="BV48" s="129">
        <f>VLOOKUP($D48,WGI!$C$2:$O$478,7,FALSE)</f>
        <v>0.12659891494021</v>
      </c>
      <c r="BW48" s="129">
        <f>VLOOKUP($D48,WGI!$C$2:$O$478,4,FALSE)</f>
        <v>-5.1232554674726698E-2</v>
      </c>
      <c r="BX48" s="129">
        <f>VLOOKUP($D48,WGI!$C$2:$O$478,3,FALSE)</f>
        <v>-0.23899343497433401</v>
      </c>
      <c r="BY48" s="129">
        <f>VLOOKUP($D48,WGI!$C$2:$O$478,5,FALSE)</f>
        <v>0.24766539822603401</v>
      </c>
      <c r="BZ48" s="129">
        <f>VLOOKUP($D48,WGI!$C$2:$O$478,2,FALSE)</f>
        <v>-0.49327831391160298</v>
      </c>
    </row>
    <row r="49" spans="1:80" ht="15" customHeight="1">
      <c r="A49" s="145" t="s">
        <v>37</v>
      </c>
      <c r="B49" s="117">
        <v>2009</v>
      </c>
      <c r="C49" s="117" t="s">
        <v>38</v>
      </c>
      <c r="D49" s="117" t="s">
        <v>3619</v>
      </c>
      <c r="E49" s="174" t="s">
        <v>39</v>
      </c>
      <c r="F49" s="117"/>
      <c r="G49" s="117" t="s">
        <v>24</v>
      </c>
      <c r="H49" s="117" t="str">
        <f t="shared" si="7"/>
        <v>yes</v>
      </c>
      <c r="I49" s="117" t="str">
        <f t="shared" si="8"/>
        <v>no</v>
      </c>
      <c r="J49" s="117" t="str">
        <f t="shared" si="9"/>
        <v>no</v>
      </c>
      <c r="K49" s="176" t="s">
        <v>690</v>
      </c>
      <c r="L49" s="117" t="str">
        <f t="shared" si="0"/>
        <v>detailed</v>
      </c>
      <c r="M49" s="117" t="str">
        <f t="shared" si="1"/>
        <v>detailed Mining</v>
      </c>
      <c r="N49" s="118">
        <v>1000</v>
      </c>
      <c r="O49" s="118"/>
      <c r="P49" s="118"/>
      <c r="Q49" s="118"/>
      <c r="R49" s="118"/>
      <c r="S49" s="117" t="s">
        <v>610</v>
      </c>
      <c r="T49" s="119"/>
      <c r="U49" s="117"/>
      <c r="V49" s="117" t="s">
        <v>684</v>
      </c>
      <c r="W49" s="89"/>
      <c r="X49" s="117"/>
      <c r="Y49" s="117"/>
      <c r="Z49" s="117"/>
      <c r="AA49" s="121"/>
      <c r="AB49" s="121"/>
      <c r="AC49" s="122"/>
      <c r="AD49" s="122"/>
      <c r="AE49" s="122"/>
      <c r="AF49" s="123"/>
      <c r="AG49" s="117"/>
      <c r="AH49" s="124"/>
      <c r="AI49" s="117"/>
      <c r="AJ49" s="117"/>
      <c r="AK49" s="89"/>
      <c r="AL49" s="117"/>
      <c r="AM49" s="117"/>
      <c r="AN49" s="117"/>
      <c r="AO49" s="117"/>
      <c r="AP49" s="117"/>
      <c r="AQ49" s="117"/>
      <c r="AR49" s="117"/>
      <c r="AS49" s="117"/>
      <c r="AT49" s="117"/>
      <c r="AU49" s="117"/>
      <c r="AV49" s="128"/>
      <c r="AW49" s="117">
        <f>VLOOKUP($D49,'WB Data'!$C$3:$M$578,2,FALSE)</f>
        <v>12044208085.864004</v>
      </c>
      <c r="AX49" s="117">
        <f>VLOOKUP($D49,'WB Data'!$C$3:$M$578,3,FALSE)</f>
        <v>2884303</v>
      </c>
      <c r="AY49" s="847">
        <f t="shared" si="3"/>
        <v>2.7647073983125725E-3</v>
      </c>
      <c r="AZ49" s="117" t="e">
        <f>VLOOKUP($D49,'WB Data'!$C$3:$M$578,4,FALSE)/100</f>
        <v>#VALUE!</v>
      </c>
      <c r="BA49" s="117" t="str">
        <f t="shared" si="4"/>
        <v>..</v>
      </c>
      <c r="BB49" s="129">
        <f>IFERROR(VLOOKUP($D49,'EITI Revenues'!$C$2:$G$224,5,FALSE),"..")</f>
        <v>33298711.201804318</v>
      </c>
      <c r="BC49" s="846" t="str">
        <f t="shared" si="5"/>
        <v>..</v>
      </c>
      <c r="BD49" s="129">
        <f>VLOOKUP($D49,'WB Data 2'!$C$2:$K$545,6,FALSE)</f>
        <v>230772715.06897581</v>
      </c>
      <c r="BE49" s="129">
        <f>IFERROR(VLOOKUP($D49,UNCTAD!$C$5:$V$529,4,FALSE),"..")</f>
        <v>3533290000</v>
      </c>
      <c r="BF49" s="846">
        <f t="shared" si="6"/>
        <v>6.5313833585405046E-2</v>
      </c>
      <c r="BG49" s="117">
        <f>VLOOKUP($D49,'WB Data'!$C$3:$M$578,5,FALSE)</f>
        <v>356960000</v>
      </c>
      <c r="BH49" s="129">
        <f>IFERROR($BB49/$BG49,"..")</f>
        <v>9.3284152851311961E-2</v>
      </c>
      <c r="BI49" s="117" t="str">
        <f>IFERROR(VLOOKUP($D49,'WB Data'!$C$3:$M$578,7,FALSE)/100,"..")</f>
        <v>..</v>
      </c>
      <c r="BJ49" s="117" t="str">
        <f>IFERROR($BI49*$AW49,"..")</f>
        <v>..</v>
      </c>
      <c r="BK49" s="846" t="str">
        <f>IFERROR($BB49/$BJ49,"..")</f>
        <v>..</v>
      </c>
      <c r="BL49" s="117" t="str">
        <f>IFERROR(VLOOKUP($D49,'WB Data'!$C$3:$M$578,7,FALSE)/100,"..")</f>
        <v>..</v>
      </c>
      <c r="BM49" s="117" t="str">
        <f>IFERROR($AW49*$BL49,"..")</f>
        <v>..</v>
      </c>
      <c r="BN49" s="846" t="str">
        <f>IFERROR($BB49/$BM49,"..")</f>
        <v>..</v>
      </c>
      <c r="BO49" s="801">
        <f t="shared" si="2"/>
        <v>33</v>
      </c>
      <c r="BP49" s="117" t="str">
        <f>VLOOKUP($D49,'WB Data'!$C$3:$M$578,9,FALSE)</f>
        <v>..</v>
      </c>
      <c r="BQ49" s="117">
        <f>VLOOKUP($D49,'WB Data'!$C$3:$M$578,10,FALSE)</f>
        <v>76.801878048780495</v>
      </c>
      <c r="BR49" s="117">
        <f>VLOOKUP($D49,'WB Data'!$C$3:$M$578,11,FALSE)</f>
        <v>15.4</v>
      </c>
      <c r="BS49" s="129" t="str">
        <f>IFERROR(VLOOKUP($D49,'WB Data 2'!$C$2:$K$545,9,FALSE),"..")</f>
        <v>..</v>
      </c>
      <c r="BT49" s="129" t="str">
        <f>_xlfn.IFNA(VLOOKUP($C49,RGI!$A$2:$C$43,2,FALSE),"..")</f>
        <v>..</v>
      </c>
      <c r="BU49" s="129" t="str">
        <f>_xlfn.IFNA(VLOOKUP($C49,RGI!$A$2:$C$43,3,FALSE),"..")</f>
        <v>..</v>
      </c>
      <c r="BV49" s="129">
        <f>VLOOKUP($D49,WGI!$C$2:$O$478,7,FALSE)</f>
        <v>0.12659891494021</v>
      </c>
      <c r="BW49" s="129">
        <f>VLOOKUP($D49,WGI!$C$2:$O$478,4,FALSE)</f>
        <v>-5.1232554674726698E-2</v>
      </c>
      <c r="BX49" s="129">
        <f>VLOOKUP($D49,WGI!$C$2:$O$478,3,FALSE)</f>
        <v>-0.23899343497433401</v>
      </c>
      <c r="BY49" s="129">
        <f>VLOOKUP($D49,WGI!$C$2:$O$478,5,FALSE)</f>
        <v>0.24766539822603401</v>
      </c>
      <c r="BZ49" s="129">
        <f>VLOOKUP($D49,WGI!$C$2:$O$478,2,FALSE)</f>
        <v>-0.49327831391160298</v>
      </c>
    </row>
    <row r="50" spans="1:80" s="144" customFormat="1" ht="15" customHeight="1">
      <c r="A50" s="130" t="s">
        <v>43</v>
      </c>
      <c r="B50" s="132">
        <v>2010</v>
      </c>
      <c r="C50" s="117" t="s">
        <v>38</v>
      </c>
      <c r="D50" s="117" t="s">
        <v>3653</v>
      </c>
      <c r="E50" s="181" t="s">
        <v>39</v>
      </c>
      <c r="F50" s="132" t="s">
        <v>660</v>
      </c>
      <c r="G50" s="132" t="s">
        <v>41</v>
      </c>
      <c r="H50" s="117" t="str">
        <f t="shared" si="7"/>
        <v>yes</v>
      </c>
      <c r="I50" s="117" t="str">
        <f t="shared" si="8"/>
        <v>no</v>
      </c>
      <c r="J50" s="117" t="str">
        <f t="shared" si="9"/>
        <v>yes</v>
      </c>
      <c r="K50" s="182" t="s">
        <v>661</v>
      </c>
      <c r="L50" s="117" t="str">
        <f t="shared" si="0"/>
        <v>Total</v>
      </c>
      <c r="M50" s="117" t="str">
        <f t="shared" si="1"/>
        <v>Total Oil, Mining</v>
      </c>
      <c r="N50" s="133"/>
      <c r="O50" s="133"/>
      <c r="P50" s="133"/>
      <c r="Q50" s="133"/>
      <c r="R50" s="133"/>
      <c r="S50" s="132"/>
      <c r="T50" s="134"/>
      <c r="U50" s="132"/>
      <c r="V50" s="132"/>
      <c r="W50" s="135">
        <f>W51+W52</f>
        <v>493928693.16890663</v>
      </c>
      <c r="X50" s="136" t="s">
        <v>691</v>
      </c>
      <c r="Y50" s="132" t="s">
        <v>602</v>
      </c>
      <c r="Z50" s="132" t="s">
        <v>603</v>
      </c>
      <c r="AA50" s="183">
        <v>62819643</v>
      </c>
      <c r="AB50" s="183">
        <v>61621520</v>
      </c>
      <c r="AC50" s="138"/>
      <c r="AD50" s="160">
        <f>AD51+AD52</f>
        <v>63004400.010309279</v>
      </c>
      <c r="AE50" s="184" t="s">
        <v>665</v>
      </c>
      <c r="AF50" s="139">
        <f>AD50/W50</f>
        <v>0.12755768369335033</v>
      </c>
      <c r="AG50" s="132" t="s">
        <v>666</v>
      </c>
      <c r="AH50" s="140">
        <v>102.17</v>
      </c>
      <c r="AI50" s="132" t="s">
        <v>667</v>
      </c>
      <c r="AJ50" s="132"/>
      <c r="AK50" s="137"/>
      <c r="AL50" s="132"/>
      <c r="AM50" s="132"/>
      <c r="AN50" s="132">
        <v>69</v>
      </c>
      <c r="AO50" s="132" t="s">
        <v>692</v>
      </c>
      <c r="AP50" s="132">
        <v>62</v>
      </c>
      <c r="AQ50" s="136" t="s">
        <v>44</v>
      </c>
      <c r="AR50" s="141">
        <v>41886</v>
      </c>
      <c r="AS50" s="132" t="s">
        <v>670</v>
      </c>
      <c r="AT50" s="132" t="s">
        <v>45</v>
      </c>
      <c r="AU50" s="132" t="s">
        <v>693</v>
      </c>
      <c r="AV50" s="143" t="s">
        <v>694</v>
      </c>
      <c r="AW50" s="117">
        <f>VLOOKUP($D50,'WB Data'!$C$3:$M$578,2,FALSE)</f>
        <v>11926957254.628792</v>
      </c>
      <c r="AX50" s="117">
        <f>VLOOKUP($D50,'WB Data'!$C$3:$M$578,3,FALSE)</f>
        <v>2856673</v>
      </c>
      <c r="AY50" s="847">
        <f t="shared" si="3"/>
        <v>5.2670301116087273E-3</v>
      </c>
      <c r="AZ50" s="117" t="e">
        <f>VLOOKUP($D50,'WB Data'!$C$3:$M$578,4,FALSE)/100</f>
        <v>#VALUE!</v>
      </c>
      <c r="BA50" s="117" t="str">
        <f t="shared" si="4"/>
        <v>..</v>
      </c>
      <c r="BB50" s="129">
        <f>IFERROR(VLOOKUP($D50,'EITI Revenues'!$C$2:$G$224,5,FALSE),"..")</f>
        <v>62819643</v>
      </c>
      <c r="BC50" s="846" t="str">
        <f t="shared" si="5"/>
        <v>..</v>
      </c>
      <c r="BD50" s="129">
        <f>VLOOKUP($D50,'WB Data 2'!$C$2:$K$545,6,FALSE)</f>
        <v>475780592.88736832</v>
      </c>
      <c r="BE50" s="129">
        <f>IFERROR(VLOOKUP($D50,UNCTAD!$C$5:$V$529,4,FALSE),"..")</f>
        <v>3855530000</v>
      </c>
      <c r="BF50" s="846">
        <f t="shared" si="6"/>
        <v>0.12340212445172734</v>
      </c>
      <c r="BG50" s="117">
        <f>VLOOKUP($D50,'WB Data'!$C$3:$M$578,5,FALSE)</f>
        <v>340700000</v>
      </c>
      <c r="BH50" s="129">
        <f>IFERROR($BB50/$BG50,"..")</f>
        <v>0.18438404167889638</v>
      </c>
      <c r="BI50" s="117" t="str">
        <f>IFERROR(VLOOKUP($D50,'WB Data'!$C$3:$M$578,7,FALSE)/100,"..")</f>
        <v>..</v>
      </c>
      <c r="BJ50" s="117" t="str">
        <f>IFERROR($BI50*$AW50,"..")</f>
        <v>..</v>
      </c>
      <c r="BK50" s="846" t="str">
        <f>IFERROR($BB50/$BJ50,"..")</f>
        <v>..</v>
      </c>
      <c r="BL50" s="117" t="str">
        <f>IFERROR(VLOOKUP($D50,'WB Data'!$C$3:$M$578,7,FALSE)/100,"..")</f>
        <v>..</v>
      </c>
      <c r="BM50" s="117" t="str">
        <f>IFERROR($AW50*$BL50,"..")</f>
        <v>..</v>
      </c>
      <c r="BN50" s="846" t="str">
        <f>IFERROR($BB50/$BM50,"..")</f>
        <v>..</v>
      </c>
      <c r="BO50" s="801">
        <f t="shared" si="2"/>
        <v>33</v>
      </c>
      <c r="BP50" s="117" t="str">
        <f>VLOOKUP($D50,'WB Data'!$C$3:$M$578,9,FALSE)</f>
        <v>..</v>
      </c>
      <c r="BQ50" s="117">
        <f>VLOOKUP($D50,'WB Data'!$C$3:$M$578,10,FALSE)</f>
        <v>76.978512195121951</v>
      </c>
      <c r="BR50" s="117">
        <f>VLOOKUP($D50,'WB Data'!$C$3:$M$578,11,FALSE)</f>
        <v>14.8</v>
      </c>
      <c r="BS50" s="129" t="str">
        <f>IFERROR(VLOOKUP($D50,'WB Data 2'!$C$2:$K$545,9,FALSE),"..")</f>
        <v>..</v>
      </c>
      <c r="BT50" s="129" t="str">
        <f>_xlfn.IFNA(VLOOKUP($C50,RGI!$A$2:$C$43,2,FALSE),"..")</f>
        <v>..</v>
      </c>
      <c r="BU50" s="129" t="str">
        <f>_xlfn.IFNA(VLOOKUP($C50,RGI!$A$2:$C$43,3,FALSE),"..")</f>
        <v>..</v>
      </c>
      <c r="BV50" s="129">
        <f>VLOOKUP($D50,WGI!$C$2:$O$478,7,FALSE)</f>
        <v>0.11205761285367399</v>
      </c>
      <c r="BW50" s="129">
        <f>VLOOKUP($D50,WGI!$C$2:$O$478,4,FALSE)</f>
        <v>-0.19131423887818599</v>
      </c>
      <c r="BX50" s="129">
        <f>VLOOKUP($D50,WGI!$C$2:$O$478,3,FALSE)</f>
        <v>-0.27142752356988198</v>
      </c>
      <c r="BY50" s="129">
        <f>VLOOKUP($D50,WGI!$C$2:$O$478,5,FALSE)</f>
        <v>0.23225209582522999</v>
      </c>
      <c r="BZ50" s="129">
        <f>VLOOKUP($D50,WGI!$C$2:$O$478,2,FALSE)</f>
        <v>-0.48857776519914198</v>
      </c>
      <c r="CB50" s="129"/>
    </row>
    <row r="51" spans="1:80" s="120" customFormat="1" ht="15" customHeight="1">
      <c r="A51" s="145" t="s">
        <v>43</v>
      </c>
      <c r="B51" s="117">
        <v>2010</v>
      </c>
      <c r="C51" s="117" t="s">
        <v>38</v>
      </c>
      <c r="D51" s="117" t="s">
        <v>3653</v>
      </c>
      <c r="E51" s="174" t="s">
        <v>39</v>
      </c>
      <c r="F51" s="117"/>
      <c r="G51" s="117" t="s">
        <v>103</v>
      </c>
      <c r="H51" s="117" t="str">
        <f t="shared" si="7"/>
        <v>no</v>
      </c>
      <c r="I51" s="117" t="str">
        <f t="shared" si="8"/>
        <v>no</v>
      </c>
      <c r="J51" s="117" t="str">
        <f t="shared" si="9"/>
        <v>yes</v>
      </c>
      <c r="K51" s="176" t="s">
        <v>103</v>
      </c>
      <c r="L51" s="117" t="str">
        <f t="shared" si="0"/>
        <v>detailed</v>
      </c>
      <c r="M51" s="117" t="str">
        <f t="shared" si="1"/>
        <v>detailed Oil</v>
      </c>
      <c r="N51" s="118">
        <v>5475000</v>
      </c>
      <c r="O51" s="118"/>
      <c r="P51" s="118">
        <v>5475000</v>
      </c>
      <c r="Q51" s="118"/>
      <c r="R51" s="118"/>
      <c r="S51" s="117" t="s">
        <v>646</v>
      </c>
      <c r="T51" s="119">
        <f>79.511386935*0.6535</f>
        <v>51.960691362022501</v>
      </c>
      <c r="U51" s="117" t="s">
        <v>673</v>
      </c>
      <c r="V51" s="117" t="s">
        <v>674</v>
      </c>
      <c r="W51" s="89">
        <f>N51*T51</f>
        <v>284484785.20707321</v>
      </c>
      <c r="X51" s="117"/>
      <c r="Y51" s="117"/>
      <c r="Z51" s="117"/>
      <c r="AA51" s="121">
        <v>56845833</v>
      </c>
      <c r="AB51" s="121">
        <v>55623141</v>
      </c>
      <c r="AC51" s="178" t="s">
        <v>675</v>
      </c>
      <c r="AD51" s="121">
        <f>AA51</f>
        <v>56845833</v>
      </c>
      <c r="AE51" s="178" t="s">
        <v>665</v>
      </c>
      <c r="AF51" s="123">
        <f>AD51/W51</f>
        <v>0.19982029252855321</v>
      </c>
      <c r="AG51" s="117"/>
      <c r="AH51" s="124"/>
      <c r="AI51" s="117"/>
      <c r="AJ51" s="117"/>
      <c r="AK51" s="121"/>
      <c r="AL51" s="117"/>
      <c r="AM51" s="117"/>
      <c r="AN51" s="117">
        <v>9</v>
      </c>
      <c r="AO51" s="117" t="s">
        <v>695</v>
      </c>
      <c r="AP51" s="117">
        <v>8</v>
      </c>
      <c r="AQ51" s="117"/>
      <c r="AR51" s="117"/>
      <c r="AS51" s="117"/>
      <c r="AT51" s="117"/>
      <c r="AU51" s="117" t="s">
        <v>696</v>
      </c>
      <c r="AV51" s="128"/>
      <c r="AW51" s="117">
        <f>VLOOKUP($D51,'WB Data'!$C$3:$M$578,2,FALSE)</f>
        <v>11926957254.628792</v>
      </c>
      <c r="AX51" s="117">
        <f>VLOOKUP($D51,'WB Data'!$C$3:$M$578,3,FALSE)</f>
        <v>2856673</v>
      </c>
      <c r="AY51" s="847">
        <f t="shared" si="3"/>
        <v>5.2670301116087273E-3</v>
      </c>
      <c r="AZ51" s="117" t="e">
        <f>VLOOKUP($D51,'WB Data'!$C$3:$M$578,4,FALSE)/100</f>
        <v>#VALUE!</v>
      </c>
      <c r="BA51" s="117" t="str">
        <f t="shared" si="4"/>
        <v>..</v>
      </c>
      <c r="BB51" s="129">
        <f>IFERROR(VLOOKUP($D51,'EITI Revenues'!$C$2:$G$224,5,FALSE),"..")</f>
        <v>62819643</v>
      </c>
      <c r="BC51" s="846" t="str">
        <f t="shared" si="5"/>
        <v>..</v>
      </c>
      <c r="BD51" s="129">
        <f>VLOOKUP($D51,'WB Data 2'!$C$2:$K$545,6,FALSE)</f>
        <v>475780592.88736832</v>
      </c>
      <c r="BE51" s="129">
        <f>IFERROR(VLOOKUP($D51,UNCTAD!$C$5:$V$529,4,FALSE),"..")</f>
        <v>3855530000</v>
      </c>
      <c r="BF51" s="846">
        <f t="shared" si="6"/>
        <v>0.12340212445172734</v>
      </c>
      <c r="BG51" s="117">
        <f>VLOOKUP($D51,'WB Data'!$C$3:$M$578,5,FALSE)</f>
        <v>340700000</v>
      </c>
      <c r="BH51" s="129">
        <f>IFERROR($BB51/$BG51,"..")</f>
        <v>0.18438404167889638</v>
      </c>
      <c r="BI51" s="117" t="str">
        <f>IFERROR(VLOOKUP($D51,'WB Data'!$C$3:$M$578,7,FALSE)/100,"..")</f>
        <v>..</v>
      </c>
      <c r="BJ51" s="117" t="str">
        <f>IFERROR($BI51*$AW51,"..")</f>
        <v>..</v>
      </c>
      <c r="BK51" s="846" t="str">
        <f>IFERROR($BB51/$BJ51,"..")</f>
        <v>..</v>
      </c>
      <c r="BL51" s="117" t="str">
        <f>IFERROR(VLOOKUP($D51,'WB Data'!$C$3:$M$578,7,FALSE)/100,"..")</f>
        <v>..</v>
      </c>
      <c r="BM51" s="117" t="str">
        <f>IFERROR($AW51*$BL51,"..")</f>
        <v>..</v>
      </c>
      <c r="BN51" s="846" t="str">
        <f>IFERROR($BB51/$BM51,"..")</f>
        <v>..</v>
      </c>
      <c r="BO51" s="801">
        <f t="shared" si="2"/>
        <v>33</v>
      </c>
      <c r="BP51" s="117" t="str">
        <f>VLOOKUP($D51,'WB Data'!$C$3:$M$578,9,FALSE)</f>
        <v>..</v>
      </c>
      <c r="BQ51" s="117">
        <f>VLOOKUP($D51,'WB Data'!$C$3:$M$578,10,FALSE)</f>
        <v>76.978512195121951</v>
      </c>
      <c r="BR51" s="117">
        <f>VLOOKUP($D51,'WB Data'!$C$3:$M$578,11,FALSE)</f>
        <v>14.8</v>
      </c>
      <c r="BS51" s="129" t="str">
        <f>IFERROR(VLOOKUP($D51,'WB Data 2'!$C$2:$K$545,9,FALSE),"..")</f>
        <v>..</v>
      </c>
      <c r="BT51" s="129" t="str">
        <f>_xlfn.IFNA(VLOOKUP($C51,RGI!$A$2:$C$43,2,FALSE),"..")</f>
        <v>..</v>
      </c>
      <c r="BU51" s="129" t="str">
        <f>_xlfn.IFNA(VLOOKUP($C51,RGI!$A$2:$C$43,3,FALSE),"..")</f>
        <v>..</v>
      </c>
      <c r="BV51" s="129">
        <f>VLOOKUP($D51,WGI!$C$2:$O$478,7,FALSE)</f>
        <v>0.11205761285367399</v>
      </c>
      <c r="BW51" s="129">
        <f>VLOOKUP($D51,WGI!$C$2:$O$478,4,FALSE)</f>
        <v>-0.19131423887818599</v>
      </c>
      <c r="BX51" s="129">
        <f>VLOOKUP($D51,WGI!$C$2:$O$478,3,FALSE)</f>
        <v>-0.27142752356988198</v>
      </c>
      <c r="BY51" s="129">
        <f>VLOOKUP($D51,WGI!$C$2:$O$478,5,FALSE)</f>
        <v>0.23225209582522999</v>
      </c>
      <c r="BZ51" s="129">
        <f>VLOOKUP($D51,WGI!$C$2:$O$478,2,FALSE)</f>
        <v>-0.48857776519914198</v>
      </c>
      <c r="CB51" s="129"/>
    </row>
    <row r="52" spans="1:80" s="120" customFormat="1" ht="15" customHeight="1">
      <c r="A52" s="145" t="s">
        <v>43</v>
      </c>
      <c r="B52" s="117">
        <v>2010</v>
      </c>
      <c r="C52" s="117" t="s">
        <v>38</v>
      </c>
      <c r="D52" s="117" t="s">
        <v>3653</v>
      </c>
      <c r="E52" s="174" t="s">
        <v>39</v>
      </c>
      <c r="F52" s="117"/>
      <c r="G52" s="117" t="s">
        <v>24</v>
      </c>
      <c r="H52" s="117" t="str">
        <f t="shared" si="7"/>
        <v>yes</v>
      </c>
      <c r="I52" s="117" t="str">
        <f t="shared" si="8"/>
        <v>no</v>
      </c>
      <c r="J52" s="117" t="str">
        <f t="shared" si="9"/>
        <v>no</v>
      </c>
      <c r="K52" s="176" t="s">
        <v>600</v>
      </c>
      <c r="L52" s="117" t="str">
        <f t="shared" si="0"/>
        <v>Total</v>
      </c>
      <c r="M52" s="117" t="str">
        <f t="shared" si="1"/>
        <v>Total Mining</v>
      </c>
      <c r="N52" s="118"/>
      <c r="O52" s="118"/>
      <c r="P52" s="118"/>
      <c r="Q52" s="118"/>
      <c r="R52" s="118"/>
      <c r="S52" s="117"/>
      <c r="T52" s="119"/>
      <c r="U52" s="117"/>
      <c r="V52" s="117"/>
      <c r="W52" s="89">
        <f>SUM(W53:W60)</f>
        <v>209443907.96183342</v>
      </c>
      <c r="X52" s="117"/>
      <c r="Y52" s="117"/>
      <c r="Z52" s="117"/>
      <c r="AA52" s="121">
        <v>5973810</v>
      </c>
      <c r="AB52" s="121">
        <v>5998379</v>
      </c>
      <c r="AC52" s="122" t="s">
        <v>697</v>
      </c>
      <c r="AD52" s="121">
        <f>(AA52/97)*100</f>
        <v>6158567.010309279</v>
      </c>
      <c r="AE52" s="178" t="s">
        <v>665</v>
      </c>
      <c r="AF52" s="123">
        <f>AD52/W52</f>
        <v>2.940437404095584E-2</v>
      </c>
      <c r="AG52" s="117"/>
      <c r="AH52" s="124"/>
      <c r="AI52" s="117"/>
      <c r="AJ52" s="117"/>
      <c r="AK52" s="89"/>
      <c r="AL52" s="117"/>
      <c r="AM52" s="117"/>
      <c r="AN52" s="117">
        <v>60</v>
      </c>
      <c r="AO52" s="117" t="s">
        <v>698</v>
      </c>
      <c r="AP52" s="117">
        <v>54</v>
      </c>
      <c r="AQ52" s="117"/>
      <c r="AR52" s="117"/>
      <c r="AS52" s="117"/>
      <c r="AT52" s="117"/>
      <c r="AU52" s="117">
        <v>15</v>
      </c>
      <c r="AV52" s="128"/>
      <c r="AW52" s="117">
        <f>VLOOKUP($D52,'WB Data'!$C$3:$M$578,2,FALSE)</f>
        <v>11926957254.628792</v>
      </c>
      <c r="AX52" s="117">
        <f>VLOOKUP($D52,'WB Data'!$C$3:$M$578,3,FALSE)</f>
        <v>2856673</v>
      </c>
      <c r="AY52" s="847">
        <f t="shared" si="3"/>
        <v>5.2670301116087273E-3</v>
      </c>
      <c r="AZ52" s="117" t="e">
        <f>VLOOKUP($D52,'WB Data'!$C$3:$M$578,4,FALSE)/100</f>
        <v>#VALUE!</v>
      </c>
      <c r="BA52" s="117" t="str">
        <f t="shared" si="4"/>
        <v>..</v>
      </c>
      <c r="BB52" s="129">
        <f>IFERROR(VLOOKUP($D52,'EITI Revenues'!$C$2:$G$224,5,FALSE),"..")</f>
        <v>62819643</v>
      </c>
      <c r="BC52" s="846" t="str">
        <f t="shared" si="5"/>
        <v>..</v>
      </c>
      <c r="BD52" s="129">
        <f>VLOOKUP($D52,'WB Data 2'!$C$2:$K$545,6,FALSE)</f>
        <v>475780592.88736832</v>
      </c>
      <c r="BE52" s="129">
        <f>IFERROR(VLOOKUP($D52,UNCTAD!$C$5:$V$529,4,FALSE),"..")</f>
        <v>3855530000</v>
      </c>
      <c r="BF52" s="846">
        <f t="shared" si="6"/>
        <v>0.12340212445172734</v>
      </c>
      <c r="BG52" s="117">
        <f>VLOOKUP($D52,'WB Data'!$C$3:$M$578,5,FALSE)</f>
        <v>340700000</v>
      </c>
      <c r="BH52" s="129">
        <f>IFERROR($BB52/$BG52,"..")</f>
        <v>0.18438404167889638</v>
      </c>
      <c r="BI52" s="117" t="str">
        <f>IFERROR(VLOOKUP($D52,'WB Data'!$C$3:$M$578,7,FALSE)/100,"..")</f>
        <v>..</v>
      </c>
      <c r="BJ52" s="117" t="str">
        <f>IFERROR($BI52*$AW52,"..")</f>
        <v>..</v>
      </c>
      <c r="BK52" s="846" t="str">
        <f>IFERROR($BB52/$BJ52,"..")</f>
        <v>..</v>
      </c>
      <c r="BL52" s="117" t="str">
        <f>IFERROR(VLOOKUP($D52,'WB Data'!$C$3:$M$578,7,FALSE)/100,"..")</f>
        <v>..</v>
      </c>
      <c r="BM52" s="117" t="str">
        <f>IFERROR($AW52*$BL52,"..")</f>
        <v>..</v>
      </c>
      <c r="BN52" s="846" t="str">
        <f>IFERROR($BB52/$BM52,"..")</f>
        <v>..</v>
      </c>
      <c r="BO52" s="801">
        <f t="shared" si="2"/>
        <v>33</v>
      </c>
      <c r="BP52" s="117" t="str">
        <f>VLOOKUP($D52,'WB Data'!$C$3:$M$578,9,FALSE)</f>
        <v>..</v>
      </c>
      <c r="BQ52" s="117">
        <f>VLOOKUP($D52,'WB Data'!$C$3:$M$578,10,FALSE)</f>
        <v>76.978512195121951</v>
      </c>
      <c r="BR52" s="117">
        <f>VLOOKUP($D52,'WB Data'!$C$3:$M$578,11,FALSE)</f>
        <v>14.8</v>
      </c>
      <c r="BS52" s="129" t="str">
        <f>IFERROR(VLOOKUP($D52,'WB Data 2'!$C$2:$K$545,9,FALSE),"..")</f>
        <v>..</v>
      </c>
      <c r="BT52" s="129" t="str">
        <f>_xlfn.IFNA(VLOOKUP($C52,RGI!$A$2:$C$43,2,FALSE),"..")</f>
        <v>..</v>
      </c>
      <c r="BU52" s="129" t="str">
        <f>_xlfn.IFNA(VLOOKUP($C52,RGI!$A$2:$C$43,3,FALSE),"..")</f>
        <v>..</v>
      </c>
      <c r="BV52" s="129">
        <f>VLOOKUP($D52,WGI!$C$2:$O$478,7,FALSE)</f>
        <v>0.11205761285367399</v>
      </c>
      <c r="BW52" s="129">
        <f>VLOOKUP($D52,WGI!$C$2:$O$478,4,FALSE)</f>
        <v>-0.19131423887818599</v>
      </c>
      <c r="BX52" s="129">
        <f>VLOOKUP($D52,WGI!$C$2:$O$478,3,FALSE)</f>
        <v>-0.27142752356988198</v>
      </c>
      <c r="BY52" s="129">
        <f>VLOOKUP($D52,WGI!$C$2:$O$478,5,FALSE)</f>
        <v>0.23225209582522999</v>
      </c>
      <c r="BZ52" s="129">
        <f>VLOOKUP($D52,WGI!$C$2:$O$478,2,FALSE)</f>
        <v>-0.48857776519914198</v>
      </c>
      <c r="CB52" s="129"/>
    </row>
    <row r="53" spans="1:80" s="120" customFormat="1" ht="15" customHeight="1">
      <c r="A53" s="145" t="s">
        <v>43</v>
      </c>
      <c r="B53" s="117">
        <v>2010</v>
      </c>
      <c r="C53" s="117" t="s">
        <v>38</v>
      </c>
      <c r="D53" s="117" t="s">
        <v>3653</v>
      </c>
      <c r="E53" s="174" t="s">
        <v>39</v>
      </c>
      <c r="F53" s="117"/>
      <c r="G53" s="117" t="s">
        <v>24</v>
      </c>
      <c r="H53" s="117" t="str">
        <f t="shared" si="7"/>
        <v>yes</v>
      </c>
      <c r="I53" s="117" t="str">
        <f t="shared" si="8"/>
        <v>no</v>
      </c>
      <c r="J53" s="117" t="str">
        <f t="shared" si="9"/>
        <v>no</v>
      </c>
      <c r="K53" s="176" t="s">
        <v>614</v>
      </c>
      <c r="L53" s="117" t="str">
        <f t="shared" si="0"/>
        <v>detailed</v>
      </c>
      <c r="M53" s="117" t="str">
        <f t="shared" si="1"/>
        <v>detailed Mining</v>
      </c>
      <c r="N53" s="118">
        <v>328322</v>
      </c>
      <c r="O53" s="118"/>
      <c r="P53" s="185">
        <v>330000</v>
      </c>
      <c r="Q53" s="185"/>
      <c r="R53" s="185"/>
      <c r="S53" s="117" t="s">
        <v>610</v>
      </c>
      <c r="T53" s="119">
        <v>212</v>
      </c>
      <c r="U53" s="117" t="s">
        <v>611</v>
      </c>
      <c r="V53" s="117" t="s">
        <v>679</v>
      </c>
      <c r="W53" s="89">
        <f>N53*T53</f>
        <v>69604264</v>
      </c>
      <c r="X53" s="117"/>
      <c r="Y53" s="117"/>
      <c r="Z53" s="117"/>
      <c r="AA53" s="121"/>
      <c r="AB53" s="121"/>
      <c r="AC53" s="122"/>
      <c r="AD53" s="122"/>
      <c r="AE53" s="122"/>
      <c r="AF53" s="123"/>
      <c r="AG53" s="117"/>
      <c r="AH53" s="124"/>
      <c r="AI53" s="117"/>
      <c r="AJ53" s="117"/>
      <c r="AK53" s="89"/>
      <c r="AL53" s="117"/>
      <c r="AM53" s="117"/>
      <c r="AN53" s="117">
        <v>38</v>
      </c>
      <c r="AO53" s="117" t="s">
        <v>699</v>
      </c>
      <c r="AP53" s="117">
        <v>34</v>
      </c>
      <c r="AQ53" s="117"/>
      <c r="AR53" s="117"/>
      <c r="AS53" s="117"/>
      <c r="AT53" s="117"/>
      <c r="AU53" s="117">
        <v>8</v>
      </c>
      <c r="AV53" s="128" t="s">
        <v>700</v>
      </c>
      <c r="AW53" s="117">
        <f>VLOOKUP($D53,'WB Data'!$C$3:$M$578,2,FALSE)</f>
        <v>11926957254.628792</v>
      </c>
      <c r="AX53" s="117">
        <f>VLOOKUP($D53,'WB Data'!$C$3:$M$578,3,FALSE)</f>
        <v>2856673</v>
      </c>
      <c r="AY53" s="847">
        <f t="shared" si="3"/>
        <v>5.2670301116087273E-3</v>
      </c>
      <c r="AZ53" s="117" t="e">
        <f>VLOOKUP($D53,'WB Data'!$C$3:$M$578,4,FALSE)/100</f>
        <v>#VALUE!</v>
      </c>
      <c r="BA53" s="117" t="str">
        <f t="shared" si="4"/>
        <v>..</v>
      </c>
      <c r="BB53" s="129">
        <f>IFERROR(VLOOKUP($D53,'EITI Revenues'!$C$2:$G$224,5,FALSE),"..")</f>
        <v>62819643</v>
      </c>
      <c r="BC53" s="846" t="str">
        <f t="shared" si="5"/>
        <v>..</v>
      </c>
      <c r="BD53" s="129">
        <f>VLOOKUP($D53,'WB Data 2'!$C$2:$K$545,6,FALSE)</f>
        <v>475780592.88736832</v>
      </c>
      <c r="BE53" s="129">
        <f>IFERROR(VLOOKUP($D53,UNCTAD!$C$5:$V$529,4,FALSE),"..")</f>
        <v>3855530000</v>
      </c>
      <c r="BF53" s="846">
        <f t="shared" si="6"/>
        <v>0.12340212445172734</v>
      </c>
      <c r="BG53" s="117">
        <f>VLOOKUP($D53,'WB Data'!$C$3:$M$578,5,FALSE)</f>
        <v>340700000</v>
      </c>
      <c r="BH53" s="129">
        <f>IFERROR($BB53/$BG53,"..")</f>
        <v>0.18438404167889638</v>
      </c>
      <c r="BI53" s="117" t="str">
        <f>IFERROR(VLOOKUP($D53,'WB Data'!$C$3:$M$578,7,FALSE)/100,"..")</f>
        <v>..</v>
      </c>
      <c r="BJ53" s="117" t="str">
        <f>IFERROR($BI53*$AW53,"..")</f>
        <v>..</v>
      </c>
      <c r="BK53" s="846" t="str">
        <f>IFERROR($BB53/$BJ53,"..")</f>
        <v>..</v>
      </c>
      <c r="BL53" s="117" t="str">
        <f>IFERROR(VLOOKUP($D53,'WB Data'!$C$3:$M$578,7,FALSE)/100,"..")</f>
        <v>..</v>
      </c>
      <c r="BM53" s="117" t="str">
        <f>IFERROR($AW53*$BL53,"..")</f>
        <v>..</v>
      </c>
      <c r="BN53" s="846" t="str">
        <f>IFERROR($BB53/$BM53,"..")</f>
        <v>..</v>
      </c>
      <c r="BO53" s="801">
        <f t="shared" si="2"/>
        <v>33</v>
      </c>
      <c r="BP53" s="117" t="str">
        <f>VLOOKUP($D53,'WB Data'!$C$3:$M$578,9,FALSE)</f>
        <v>..</v>
      </c>
      <c r="BQ53" s="117">
        <f>VLOOKUP($D53,'WB Data'!$C$3:$M$578,10,FALSE)</f>
        <v>76.978512195121951</v>
      </c>
      <c r="BR53" s="117">
        <f>VLOOKUP($D53,'WB Data'!$C$3:$M$578,11,FALSE)</f>
        <v>14.8</v>
      </c>
      <c r="BS53" s="129" t="str">
        <f>IFERROR(VLOOKUP($D53,'WB Data 2'!$C$2:$K$545,9,FALSE),"..")</f>
        <v>..</v>
      </c>
      <c r="BT53" s="129" t="str">
        <f>_xlfn.IFNA(VLOOKUP($C53,RGI!$A$2:$C$43,2,FALSE),"..")</f>
        <v>..</v>
      </c>
      <c r="BU53" s="129" t="str">
        <f>_xlfn.IFNA(VLOOKUP($C53,RGI!$A$2:$C$43,3,FALSE),"..")</f>
        <v>..</v>
      </c>
      <c r="BV53" s="129">
        <f>VLOOKUP($D53,WGI!$C$2:$O$478,7,FALSE)</f>
        <v>0.11205761285367399</v>
      </c>
      <c r="BW53" s="129">
        <f>VLOOKUP($D53,WGI!$C$2:$O$478,4,FALSE)</f>
        <v>-0.19131423887818599</v>
      </c>
      <c r="BX53" s="129">
        <f>VLOOKUP($D53,WGI!$C$2:$O$478,3,FALSE)</f>
        <v>-0.27142752356988198</v>
      </c>
      <c r="BY53" s="129">
        <f>VLOOKUP($D53,WGI!$C$2:$O$478,5,FALSE)</f>
        <v>0.23225209582522999</v>
      </c>
      <c r="BZ53" s="129">
        <f>VLOOKUP($D53,WGI!$C$2:$O$478,2,FALSE)</f>
        <v>-0.48857776519914198</v>
      </c>
      <c r="CB53" s="129"/>
    </row>
    <row r="54" spans="1:80" s="120" customFormat="1" ht="15" customHeight="1">
      <c r="A54" s="145" t="s">
        <v>43</v>
      </c>
      <c r="B54" s="117">
        <v>2010</v>
      </c>
      <c r="C54" s="117" t="s">
        <v>38</v>
      </c>
      <c r="D54" s="117" t="s">
        <v>3653</v>
      </c>
      <c r="E54" s="174" t="s">
        <v>39</v>
      </c>
      <c r="F54" s="117"/>
      <c r="G54" s="117" t="s">
        <v>24</v>
      </c>
      <c r="H54" s="117" t="str">
        <f t="shared" si="7"/>
        <v>yes</v>
      </c>
      <c r="I54" s="117" t="str">
        <f t="shared" si="8"/>
        <v>no</v>
      </c>
      <c r="J54" s="117" t="str">
        <f t="shared" si="9"/>
        <v>no</v>
      </c>
      <c r="K54" s="176" t="s">
        <v>619</v>
      </c>
      <c r="L54" s="117" t="str">
        <f t="shared" si="0"/>
        <v>detailed</v>
      </c>
      <c r="M54" s="117" t="str">
        <f t="shared" si="1"/>
        <v>detailed Mining</v>
      </c>
      <c r="N54" s="118"/>
      <c r="O54" s="118"/>
      <c r="P54" s="185">
        <v>140000</v>
      </c>
      <c r="Q54" s="185"/>
      <c r="R54" s="185"/>
      <c r="S54" s="117" t="s">
        <v>610</v>
      </c>
      <c r="T54" s="186">
        <v>7534.7795833333303</v>
      </c>
      <c r="U54" s="117" t="s">
        <v>611</v>
      </c>
      <c r="V54" s="117" t="s">
        <v>681</v>
      </c>
      <c r="W54" s="89">
        <f>N56*T54</f>
        <v>16576515.083333327</v>
      </c>
      <c r="X54" s="117"/>
      <c r="Y54" s="117"/>
      <c r="Z54" s="117"/>
      <c r="AA54" s="121"/>
      <c r="AB54" s="121"/>
      <c r="AC54" s="122"/>
      <c r="AD54" s="122"/>
      <c r="AE54" s="122"/>
      <c r="AF54" s="123"/>
      <c r="AG54" s="117"/>
      <c r="AH54" s="124"/>
      <c r="AI54" s="117"/>
      <c r="AJ54" s="117"/>
      <c r="AK54" s="89"/>
      <c r="AL54" s="117"/>
      <c r="AM54" s="117"/>
      <c r="AN54" s="117">
        <v>4</v>
      </c>
      <c r="AO54" s="117" t="s">
        <v>701</v>
      </c>
      <c r="AP54" s="117">
        <v>3</v>
      </c>
      <c r="AQ54" s="117"/>
      <c r="AR54" s="117"/>
      <c r="AS54" s="117"/>
      <c r="AT54" s="117"/>
      <c r="AU54" s="117">
        <v>8</v>
      </c>
      <c r="AV54" s="128"/>
      <c r="AW54" s="117">
        <f>VLOOKUP($D54,'WB Data'!$C$3:$M$578,2,FALSE)</f>
        <v>11926957254.628792</v>
      </c>
      <c r="AX54" s="117">
        <f>VLOOKUP($D54,'WB Data'!$C$3:$M$578,3,FALSE)</f>
        <v>2856673</v>
      </c>
      <c r="AY54" s="847">
        <f t="shared" si="3"/>
        <v>5.2670301116087273E-3</v>
      </c>
      <c r="AZ54" s="117" t="e">
        <f>VLOOKUP($D54,'WB Data'!$C$3:$M$578,4,FALSE)/100</f>
        <v>#VALUE!</v>
      </c>
      <c r="BA54" s="117" t="str">
        <f t="shared" si="4"/>
        <v>..</v>
      </c>
      <c r="BB54" s="129">
        <f>IFERROR(VLOOKUP($D54,'EITI Revenues'!$C$2:$G$224,5,FALSE),"..")</f>
        <v>62819643</v>
      </c>
      <c r="BC54" s="846" t="str">
        <f t="shared" si="5"/>
        <v>..</v>
      </c>
      <c r="BD54" s="129">
        <f>VLOOKUP($D54,'WB Data 2'!$C$2:$K$545,6,FALSE)</f>
        <v>475780592.88736832</v>
      </c>
      <c r="BE54" s="129">
        <f>IFERROR(VLOOKUP($D54,UNCTAD!$C$5:$V$529,4,FALSE),"..")</f>
        <v>3855530000</v>
      </c>
      <c r="BF54" s="846">
        <f t="shared" si="6"/>
        <v>0.12340212445172734</v>
      </c>
      <c r="BG54" s="117">
        <f>VLOOKUP($D54,'WB Data'!$C$3:$M$578,5,FALSE)</f>
        <v>340700000</v>
      </c>
      <c r="BH54" s="129">
        <f>IFERROR($BB54/$BG54,"..")</f>
        <v>0.18438404167889638</v>
      </c>
      <c r="BI54" s="117" t="str">
        <f>IFERROR(VLOOKUP($D54,'WB Data'!$C$3:$M$578,7,FALSE)/100,"..")</f>
        <v>..</v>
      </c>
      <c r="BJ54" s="117" t="str">
        <f>IFERROR($BI54*$AW54,"..")</f>
        <v>..</v>
      </c>
      <c r="BK54" s="846" t="str">
        <f>IFERROR($BB54/$BJ54,"..")</f>
        <v>..</v>
      </c>
      <c r="BL54" s="117" t="str">
        <f>IFERROR(VLOOKUP($D54,'WB Data'!$C$3:$M$578,7,FALSE)/100,"..")</f>
        <v>..</v>
      </c>
      <c r="BM54" s="117" t="str">
        <f>IFERROR($AW54*$BL54,"..")</f>
        <v>..</v>
      </c>
      <c r="BN54" s="846" t="str">
        <f>IFERROR($BB54/$BM54,"..")</f>
        <v>..</v>
      </c>
      <c r="BO54" s="801">
        <f t="shared" si="2"/>
        <v>33</v>
      </c>
      <c r="BP54" s="117" t="str">
        <f>VLOOKUP($D54,'WB Data'!$C$3:$M$578,9,FALSE)</f>
        <v>..</v>
      </c>
      <c r="BQ54" s="117">
        <f>VLOOKUP($D54,'WB Data'!$C$3:$M$578,10,FALSE)</f>
        <v>76.978512195121951</v>
      </c>
      <c r="BR54" s="117">
        <f>VLOOKUP($D54,'WB Data'!$C$3:$M$578,11,FALSE)</f>
        <v>14.8</v>
      </c>
      <c r="BS54" s="129" t="str">
        <f>IFERROR(VLOOKUP($D54,'WB Data 2'!$C$2:$K$545,9,FALSE),"..")</f>
        <v>..</v>
      </c>
      <c r="BT54" s="129" t="str">
        <f>_xlfn.IFNA(VLOOKUP($C54,RGI!$A$2:$C$43,2,FALSE),"..")</f>
        <v>..</v>
      </c>
      <c r="BU54" s="129" t="str">
        <f>_xlfn.IFNA(VLOOKUP($C54,RGI!$A$2:$C$43,3,FALSE),"..")</f>
        <v>..</v>
      </c>
      <c r="BV54" s="129">
        <f>VLOOKUP($D54,WGI!$C$2:$O$478,7,FALSE)</f>
        <v>0.11205761285367399</v>
      </c>
      <c r="BW54" s="129">
        <f>VLOOKUP($D54,WGI!$C$2:$O$478,4,FALSE)</f>
        <v>-0.19131423887818599</v>
      </c>
      <c r="BX54" s="129">
        <f>VLOOKUP($D54,WGI!$C$2:$O$478,3,FALSE)</f>
        <v>-0.27142752356988198</v>
      </c>
      <c r="BY54" s="129">
        <f>VLOOKUP($D54,WGI!$C$2:$O$478,5,FALSE)</f>
        <v>0.23225209582522999</v>
      </c>
      <c r="BZ54" s="129">
        <f>VLOOKUP($D54,WGI!$C$2:$O$478,2,FALSE)</f>
        <v>-0.48857776519914198</v>
      </c>
      <c r="CB54" s="129"/>
    </row>
    <row r="55" spans="1:80" s="120" customFormat="1" ht="15" customHeight="1">
      <c r="A55" s="145" t="s">
        <v>43</v>
      </c>
      <c r="B55" s="117">
        <v>2010</v>
      </c>
      <c r="C55" s="117" t="s">
        <v>38</v>
      </c>
      <c r="D55" s="117" t="s">
        <v>3653</v>
      </c>
      <c r="E55" s="174" t="s">
        <v>39</v>
      </c>
      <c r="F55" s="117"/>
      <c r="G55" s="117" t="s">
        <v>24</v>
      </c>
      <c r="H55" s="117" t="str">
        <f t="shared" si="7"/>
        <v>yes</v>
      </c>
      <c r="I55" s="117" t="str">
        <f t="shared" si="8"/>
        <v>no</v>
      </c>
      <c r="J55" s="117" t="str">
        <f t="shared" si="9"/>
        <v>no</v>
      </c>
      <c r="K55" s="176" t="s">
        <v>683</v>
      </c>
      <c r="L55" s="117" t="str">
        <f t="shared" si="0"/>
        <v>detailed</v>
      </c>
      <c r="M55" s="117" t="str">
        <f t="shared" si="1"/>
        <v>detailed Mining</v>
      </c>
      <c r="N55" s="118">
        <v>139926</v>
      </c>
      <c r="O55" s="118"/>
      <c r="P55" s="118"/>
      <c r="Q55" s="118"/>
      <c r="R55" s="118"/>
      <c r="S55" s="117" t="s">
        <v>610</v>
      </c>
      <c r="T55" s="119"/>
      <c r="U55" s="117"/>
      <c r="V55" s="117" t="s">
        <v>684</v>
      </c>
      <c r="W55" s="89"/>
      <c r="X55" s="117"/>
      <c r="Y55" s="117"/>
      <c r="Z55" s="117"/>
      <c r="AA55" s="121"/>
      <c r="AB55" s="121"/>
      <c r="AC55" s="122"/>
      <c r="AD55" s="122"/>
      <c r="AE55" s="122"/>
      <c r="AF55" s="123"/>
      <c r="AG55" s="117"/>
      <c r="AH55" s="124"/>
      <c r="AI55" s="117"/>
      <c r="AJ55" s="117"/>
      <c r="AK55" s="89"/>
      <c r="AL55" s="117"/>
      <c r="AM55" s="117"/>
      <c r="AN55" s="117"/>
      <c r="AO55" s="117"/>
      <c r="AP55" s="117"/>
      <c r="AQ55" s="117"/>
      <c r="AR55" s="117"/>
      <c r="AS55" s="117"/>
      <c r="AT55" s="117"/>
      <c r="AU55" s="117"/>
      <c r="AV55" s="128"/>
      <c r="AW55" s="117">
        <f>VLOOKUP($D55,'WB Data'!$C$3:$M$578,2,FALSE)</f>
        <v>11926957254.628792</v>
      </c>
      <c r="AX55" s="117">
        <f>VLOOKUP($D55,'WB Data'!$C$3:$M$578,3,FALSE)</f>
        <v>2856673</v>
      </c>
      <c r="AY55" s="847">
        <f t="shared" si="3"/>
        <v>5.2670301116087273E-3</v>
      </c>
      <c r="AZ55" s="117" t="e">
        <f>VLOOKUP($D55,'WB Data'!$C$3:$M$578,4,FALSE)/100</f>
        <v>#VALUE!</v>
      </c>
      <c r="BA55" s="117" t="str">
        <f t="shared" si="4"/>
        <v>..</v>
      </c>
      <c r="BB55" s="129">
        <f>IFERROR(VLOOKUP($D55,'EITI Revenues'!$C$2:$G$224,5,FALSE),"..")</f>
        <v>62819643</v>
      </c>
      <c r="BC55" s="846" t="str">
        <f t="shared" si="5"/>
        <v>..</v>
      </c>
      <c r="BD55" s="129">
        <f>VLOOKUP($D55,'WB Data 2'!$C$2:$K$545,6,FALSE)</f>
        <v>475780592.88736832</v>
      </c>
      <c r="BE55" s="129">
        <f>IFERROR(VLOOKUP($D55,UNCTAD!$C$5:$V$529,4,FALSE),"..")</f>
        <v>3855530000</v>
      </c>
      <c r="BF55" s="846">
        <f t="shared" si="6"/>
        <v>0.12340212445172734</v>
      </c>
      <c r="BG55" s="117">
        <f>VLOOKUP($D55,'WB Data'!$C$3:$M$578,5,FALSE)</f>
        <v>340700000</v>
      </c>
      <c r="BH55" s="129">
        <f>IFERROR($BB55/$BG55,"..")</f>
        <v>0.18438404167889638</v>
      </c>
      <c r="BI55" s="117" t="str">
        <f>IFERROR(VLOOKUP($D55,'WB Data'!$C$3:$M$578,7,FALSE)/100,"..")</f>
        <v>..</v>
      </c>
      <c r="BJ55" s="117" t="str">
        <f>IFERROR($BI55*$AW55,"..")</f>
        <v>..</v>
      </c>
      <c r="BK55" s="846" t="str">
        <f>IFERROR($BB55/$BJ55,"..")</f>
        <v>..</v>
      </c>
      <c r="BL55" s="117" t="str">
        <f>IFERROR(VLOOKUP($D55,'WB Data'!$C$3:$M$578,7,FALSE)/100,"..")</f>
        <v>..</v>
      </c>
      <c r="BM55" s="117" t="str">
        <f>IFERROR($AW55*$BL55,"..")</f>
        <v>..</v>
      </c>
      <c r="BN55" s="846" t="str">
        <f>IFERROR($BB55/$BM55,"..")</f>
        <v>..</v>
      </c>
      <c r="BO55" s="801">
        <f t="shared" si="2"/>
        <v>33</v>
      </c>
      <c r="BP55" s="117" t="str">
        <f>VLOOKUP($D55,'WB Data'!$C$3:$M$578,9,FALSE)</f>
        <v>..</v>
      </c>
      <c r="BQ55" s="117">
        <f>VLOOKUP($D55,'WB Data'!$C$3:$M$578,10,FALSE)</f>
        <v>76.978512195121951</v>
      </c>
      <c r="BR55" s="117">
        <f>VLOOKUP($D55,'WB Data'!$C$3:$M$578,11,FALSE)</f>
        <v>14.8</v>
      </c>
      <c r="BS55" s="129" t="str">
        <f>IFERROR(VLOOKUP($D55,'WB Data 2'!$C$2:$K$545,9,FALSE),"..")</f>
        <v>..</v>
      </c>
      <c r="BT55" s="129" t="str">
        <f>_xlfn.IFNA(VLOOKUP($C55,RGI!$A$2:$C$43,2,FALSE),"..")</f>
        <v>..</v>
      </c>
      <c r="BU55" s="129" t="str">
        <f>_xlfn.IFNA(VLOOKUP($C55,RGI!$A$2:$C$43,3,FALSE),"..")</f>
        <v>..</v>
      </c>
      <c r="BV55" s="129">
        <f>VLOOKUP($D55,WGI!$C$2:$O$478,7,FALSE)</f>
        <v>0.11205761285367399</v>
      </c>
      <c r="BW55" s="129">
        <f>VLOOKUP($D55,WGI!$C$2:$O$478,4,FALSE)</f>
        <v>-0.19131423887818599</v>
      </c>
      <c r="BX55" s="129">
        <f>VLOOKUP($D55,WGI!$C$2:$O$478,3,FALSE)</f>
        <v>-0.27142752356988198</v>
      </c>
      <c r="BY55" s="129">
        <f>VLOOKUP($D55,WGI!$C$2:$O$478,5,FALSE)</f>
        <v>0.23225209582522999</v>
      </c>
      <c r="BZ55" s="129">
        <f>VLOOKUP($D55,WGI!$C$2:$O$478,2,FALSE)</f>
        <v>-0.48857776519914198</v>
      </c>
      <c r="CB55" s="129"/>
    </row>
    <row r="56" spans="1:80" s="120" customFormat="1" ht="15" customHeight="1">
      <c r="A56" s="145" t="s">
        <v>43</v>
      </c>
      <c r="B56" s="117">
        <v>2010</v>
      </c>
      <c r="C56" s="117" t="s">
        <v>38</v>
      </c>
      <c r="D56" s="117" t="s">
        <v>3653</v>
      </c>
      <c r="E56" s="174" t="s">
        <v>39</v>
      </c>
      <c r="F56" s="117"/>
      <c r="G56" s="117" t="s">
        <v>24</v>
      </c>
      <c r="H56" s="117" t="str">
        <f t="shared" si="7"/>
        <v>yes</v>
      </c>
      <c r="I56" s="117" t="str">
        <f t="shared" si="8"/>
        <v>no</v>
      </c>
      <c r="J56" s="117" t="str">
        <f t="shared" si="9"/>
        <v>no</v>
      </c>
      <c r="K56" s="176" t="s">
        <v>702</v>
      </c>
      <c r="L56" s="117" t="str">
        <f t="shared" si="0"/>
        <v>detailed</v>
      </c>
      <c r="M56" s="117" t="str">
        <f t="shared" si="1"/>
        <v>detailed Mining</v>
      </c>
      <c r="N56" s="118">
        <v>2200</v>
      </c>
      <c r="O56" s="118"/>
      <c r="P56" s="118"/>
      <c r="Q56" s="118"/>
      <c r="R56" s="118"/>
      <c r="S56" s="117" t="s">
        <v>610</v>
      </c>
      <c r="T56" s="119"/>
      <c r="U56" s="117"/>
      <c r="V56" s="117" t="s">
        <v>684</v>
      </c>
      <c r="W56" s="89"/>
      <c r="X56" s="117"/>
      <c r="Y56" s="117"/>
      <c r="Z56" s="117"/>
      <c r="AA56" s="121"/>
      <c r="AB56" s="121"/>
      <c r="AC56" s="122"/>
      <c r="AD56" s="122"/>
      <c r="AE56" s="122"/>
      <c r="AF56" s="123"/>
      <c r="AG56" s="117"/>
      <c r="AH56" s="124"/>
      <c r="AI56" s="117"/>
      <c r="AJ56" s="117"/>
      <c r="AK56" s="89"/>
      <c r="AL56" s="117"/>
      <c r="AM56" s="117"/>
      <c r="AN56" s="117"/>
      <c r="AO56" s="117"/>
      <c r="AP56" s="117"/>
      <c r="AQ56" s="117"/>
      <c r="AR56" s="117"/>
      <c r="AS56" s="117"/>
      <c r="AT56" s="117"/>
      <c r="AU56" s="117"/>
      <c r="AV56" s="128"/>
      <c r="AW56" s="117">
        <f>VLOOKUP($D56,'WB Data'!$C$3:$M$578,2,FALSE)</f>
        <v>11926957254.628792</v>
      </c>
      <c r="AX56" s="117">
        <f>VLOOKUP($D56,'WB Data'!$C$3:$M$578,3,FALSE)</f>
        <v>2856673</v>
      </c>
      <c r="AY56" s="847">
        <f t="shared" si="3"/>
        <v>5.2670301116087273E-3</v>
      </c>
      <c r="AZ56" s="117" t="e">
        <f>VLOOKUP($D56,'WB Data'!$C$3:$M$578,4,FALSE)/100</f>
        <v>#VALUE!</v>
      </c>
      <c r="BA56" s="117" t="str">
        <f t="shared" si="4"/>
        <v>..</v>
      </c>
      <c r="BB56" s="129">
        <f>IFERROR(VLOOKUP($D56,'EITI Revenues'!$C$2:$G$224,5,FALSE),"..")</f>
        <v>62819643</v>
      </c>
      <c r="BC56" s="846" t="str">
        <f t="shared" si="5"/>
        <v>..</v>
      </c>
      <c r="BD56" s="129">
        <f>VLOOKUP($D56,'WB Data 2'!$C$2:$K$545,6,FALSE)</f>
        <v>475780592.88736832</v>
      </c>
      <c r="BE56" s="129">
        <f>IFERROR(VLOOKUP($D56,UNCTAD!$C$5:$V$529,4,FALSE),"..")</f>
        <v>3855530000</v>
      </c>
      <c r="BF56" s="846">
        <f t="shared" si="6"/>
        <v>0.12340212445172734</v>
      </c>
      <c r="BG56" s="117">
        <f>VLOOKUP($D56,'WB Data'!$C$3:$M$578,5,FALSE)</f>
        <v>340700000</v>
      </c>
      <c r="BH56" s="129">
        <f>IFERROR($BB56/$BG56,"..")</f>
        <v>0.18438404167889638</v>
      </c>
      <c r="BI56" s="117" t="str">
        <f>IFERROR(VLOOKUP($D56,'WB Data'!$C$3:$M$578,7,FALSE)/100,"..")</f>
        <v>..</v>
      </c>
      <c r="BJ56" s="117" t="str">
        <f>IFERROR($BI56*$AW56,"..")</f>
        <v>..</v>
      </c>
      <c r="BK56" s="846" t="str">
        <f>IFERROR($BB56/$BJ56,"..")</f>
        <v>..</v>
      </c>
      <c r="BL56" s="117" t="str">
        <f>IFERROR(VLOOKUP($D56,'WB Data'!$C$3:$M$578,7,FALSE)/100,"..")</f>
        <v>..</v>
      </c>
      <c r="BM56" s="117" t="str">
        <f>IFERROR($AW56*$BL56,"..")</f>
        <v>..</v>
      </c>
      <c r="BN56" s="846" t="str">
        <f>IFERROR($BB56/$BM56,"..")</f>
        <v>..</v>
      </c>
      <c r="BO56" s="801">
        <f t="shared" si="2"/>
        <v>33</v>
      </c>
      <c r="BP56" s="117" t="str">
        <f>VLOOKUP($D56,'WB Data'!$C$3:$M$578,9,FALSE)</f>
        <v>..</v>
      </c>
      <c r="BQ56" s="117">
        <f>VLOOKUP($D56,'WB Data'!$C$3:$M$578,10,FALSE)</f>
        <v>76.978512195121951</v>
      </c>
      <c r="BR56" s="117">
        <f>VLOOKUP($D56,'WB Data'!$C$3:$M$578,11,FALSE)</f>
        <v>14.8</v>
      </c>
      <c r="BS56" s="129" t="str">
        <f>IFERROR(VLOOKUP($D56,'WB Data 2'!$C$2:$K$545,9,FALSE),"..")</f>
        <v>..</v>
      </c>
      <c r="BT56" s="129" t="str">
        <f>_xlfn.IFNA(VLOOKUP($C56,RGI!$A$2:$C$43,2,FALSE),"..")</f>
        <v>..</v>
      </c>
      <c r="BU56" s="129" t="str">
        <f>_xlfn.IFNA(VLOOKUP($C56,RGI!$A$2:$C$43,3,FALSE),"..")</f>
        <v>..</v>
      </c>
      <c r="BV56" s="129">
        <f>VLOOKUP($D56,WGI!$C$2:$O$478,7,FALSE)</f>
        <v>0.11205761285367399</v>
      </c>
      <c r="BW56" s="129">
        <f>VLOOKUP($D56,WGI!$C$2:$O$478,4,FALSE)</f>
        <v>-0.19131423887818599</v>
      </c>
      <c r="BX56" s="129">
        <f>VLOOKUP($D56,WGI!$C$2:$O$478,3,FALSE)</f>
        <v>-0.27142752356988198</v>
      </c>
      <c r="BY56" s="129">
        <f>VLOOKUP($D56,WGI!$C$2:$O$478,5,FALSE)</f>
        <v>0.23225209582522999</v>
      </c>
      <c r="BZ56" s="129">
        <f>VLOOKUP($D56,WGI!$C$2:$O$478,2,FALSE)</f>
        <v>-0.48857776519914198</v>
      </c>
      <c r="CB56" s="129"/>
    </row>
    <row r="57" spans="1:80" s="120" customFormat="1" ht="15" customHeight="1">
      <c r="A57" s="145" t="s">
        <v>43</v>
      </c>
      <c r="B57" s="117">
        <v>2010</v>
      </c>
      <c r="C57" s="117" t="s">
        <v>38</v>
      </c>
      <c r="D57" s="117" t="s">
        <v>3653</v>
      </c>
      <c r="E57" s="174" t="s">
        <v>39</v>
      </c>
      <c r="F57" s="117"/>
      <c r="G57" s="117" t="s">
        <v>24</v>
      </c>
      <c r="H57" s="117" t="str">
        <f t="shared" si="7"/>
        <v>yes</v>
      </c>
      <c r="I57" s="117" t="str">
        <f t="shared" si="8"/>
        <v>no</v>
      </c>
      <c r="J57" s="117" t="str">
        <f t="shared" si="9"/>
        <v>no</v>
      </c>
      <c r="K57" s="176" t="s">
        <v>703</v>
      </c>
      <c r="L57" s="117" t="str">
        <f t="shared" si="0"/>
        <v>detailed</v>
      </c>
      <c r="M57" s="117" t="str">
        <f t="shared" si="1"/>
        <v>detailed Mining</v>
      </c>
      <c r="N57" s="118">
        <f>2363445*2.71</f>
        <v>6404935.9500000002</v>
      </c>
      <c r="O57" s="118"/>
      <c r="P57" s="185"/>
      <c r="Q57" s="185"/>
      <c r="R57" s="185"/>
      <c r="S57" s="117" t="s">
        <v>610</v>
      </c>
      <c r="T57" s="119">
        <v>9.0299999999999994</v>
      </c>
      <c r="U57" s="117" t="s">
        <v>611</v>
      </c>
      <c r="V57" s="117" t="s">
        <v>704</v>
      </c>
      <c r="W57" s="89">
        <f>N57*T57</f>
        <v>57836571.6285</v>
      </c>
      <c r="X57" s="117"/>
      <c r="Y57" s="117"/>
      <c r="Z57" s="117"/>
      <c r="AA57" s="121"/>
      <c r="AB57" s="121"/>
      <c r="AC57" s="122"/>
      <c r="AD57" s="122"/>
      <c r="AE57" s="122"/>
      <c r="AF57" s="123"/>
      <c r="AG57" s="117"/>
      <c r="AH57" s="124"/>
      <c r="AI57" s="117"/>
      <c r="AJ57" s="117"/>
      <c r="AK57" s="89"/>
      <c r="AL57" s="117"/>
      <c r="AM57" s="117"/>
      <c r="AN57" s="117">
        <v>9</v>
      </c>
      <c r="AO57" s="117" t="s">
        <v>705</v>
      </c>
      <c r="AP57" s="117">
        <v>9</v>
      </c>
      <c r="AQ57" s="117"/>
      <c r="AR57" s="117"/>
      <c r="AS57" s="117"/>
      <c r="AT57" s="117"/>
      <c r="AU57" s="117">
        <v>8</v>
      </c>
      <c r="AV57" s="128" t="s">
        <v>706</v>
      </c>
      <c r="AW57" s="117">
        <f>VLOOKUP($D57,'WB Data'!$C$3:$M$578,2,FALSE)</f>
        <v>11926957254.628792</v>
      </c>
      <c r="AX57" s="117">
        <f>VLOOKUP($D57,'WB Data'!$C$3:$M$578,3,FALSE)</f>
        <v>2856673</v>
      </c>
      <c r="AY57" s="847">
        <f t="shared" si="3"/>
        <v>5.2670301116087273E-3</v>
      </c>
      <c r="AZ57" s="117" t="e">
        <f>VLOOKUP($D57,'WB Data'!$C$3:$M$578,4,FALSE)/100</f>
        <v>#VALUE!</v>
      </c>
      <c r="BA57" s="117" t="str">
        <f t="shared" si="4"/>
        <v>..</v>
      </c>
      <c r="BB57" s="129">
        <f>IFERROR(VLOOKUP($D57,'EITI Revenues'!$C$2:$G$224,5,FALSE),"..")</f>
        <v>62819643</v>
      </c>
      <c r="BC57" s="846" t="str">
        <f t="shared" si="5"/>
        <v>..</v>
      </c>
      <c r="BD57" s="129">
        <f>VLOOKUP($D57,'WB Data 2'!$C$2:$K$545,6,FALSE)</f>
        <v>475780592.88736832</v>
      </c>
      <c r="BE57" s="129">
        <f>IFERROR(VLOOKUP($D57,UNCTAD!$C$5:$V$529,4,FALSE),"..")</f>
        <v>3855530000</v>
      </c>
      <c r="BF57" s="846">
        <f t="shared" si="6"/>
        <v>0.12340212445172734</v>
      </c>
      <c r="BG57" s="117">
        <f>VLOOKUP($D57,'WB Data'!$C$3:$M$578,5,FALSE)</f>
        <v>340700000</v>
      </c>
      <c r="BH57" s="129">
        <f>IFERROR($BB57/$BG57,"..")</f>
        <v>0.18438404167889638</v>
      </c>
      <c r="BI57" s="117" t="str">
        <f>IFERROR(VLOOKUP($D57,'WB Data'!$C$3:$M$578,7,FALSE)/100,"..")</f>
        <v>..</v>
      </c>
      <c r="BJ57" s="117" t="str">
        <f>IFERROR($BI57*$AW57,"..")</f>
        <v>..</v>
      </c>
      <c r="BK57" s="846" t="str">
        <f>IFERROR($BB57/$BJ57,"..")</f>
        <v>..</v>
      </c>
      <c r="BL57" s="117" t="str">
        <f>IFERROR(VLOOKUP($D57,'WB Data'!$C$3:$M$578,7,FALSE)/100,"..")</f>
        <v>..</v>
      </c>
      <c r="BM57" s="117" t="str">
        <f>IFERROR($AW57*$BL57,"..")</f>
        <v>..</v>
      </c>
      <c r="BN57" s="846" t="str">
        <f>IFERROR($BB57/$BM57,"..")</f>
        <v>..</v>
      </c>
      <c r="BO57" s="801">
        <f t="shared" si="2"/>
        <v>33</v>
      </c>
      <c r="BP57" s="117" t="str">
        <f>VLOOKUP($D57,'WB Data'!$C$3:$M$578,9,FALSE)</f>
        <v>..</v>
      </c>
      <c r="BQ57" s="117">
        <f>VLOOKUP($D57,'WB Data'!$C$3:$M$578,10,FALSE)</f>
        <v>76.978512195121951</v>
      </c>
      <c r="BR57" s="117">
        <f>VLOOKUP($D57,'WB Data'!$C$3:$M$578,11,FALSE)</f>
        <v>14.8</v>
      </c>
      <c r="BS57" s="129" t="str">
        <f>IFERROR(VLOOKUP($D57,'WB Data 2'!$C$2:$K$545,9,FALSE),"..")</f>
        <v>..</v>
      </c>
      <c r="BT57" s="129" t="str">
        <f>_xlfn.IFNA(VLOOKUP($C57,RGI!$A$2:$C$43,2,FALSE),"..")</f>
        <v>..</v>
      </c>
      <c r="BU57" s="129" t="str">
        <f>_xlfn.IFNA(VLOOKUP($C57,RGI!$A$2:$C$43,3,FALSE),"..")</f>
        <v>..</v>
      </c>
      <c r="BV57" s="129">
        <f>VLOOKUP($D57,WGI!$C$2:$O$478,7,FALSE)</f>
        <v>0.11205761285367399</v>
      </c>
      <c r="BW57" s="129">
        <f>VLOOKUP($D57,WGI!$C$2:$O$478,4,FALSE)</f>
        <v>-0.19131423887818599</v>
      </c>
      <c r="BX57" s="129">
        <f>VLOOKUP($D57,WGI!$C$2:$O$478,3,FALSE)</f>
        <v>-0.27142752356988198</v>
      </c>
      <c r="BY57" s="129">
        <f>VLOOKUP($D57,WGI!$C$2:$O$478,5,FALSE)</f>
        <v>0.23225209582522999</v>
      </c>
      <c r="BZ57" s="129">
        <f>VLOOKUP($D57,WGI!$C$2:$O$478,2,FALSE)</f>
        <v>-0.48857776519914198</v>
      </c>
      <c r="CB57" s="129"/>
    </row>
    <row r="58" spans="1:80" s="120" customFormat="1" ht="15" customHeight="1">
      <c r="A58" s="145" t="s">
        <v>43</v>
      </c>
      <c r="B58" s="117">
        <v>2010</v>
      </c>
      <c r="C58" s="117" t="s">
        <v>38</v>
      </c>
      <c r="D58" s="117" t="s">
        <v>3653</v>
      </c>
      <c r="E58" s="174" t="s">
        <v>39</v>
      </c>
      <c r="F58" s="117"/>
      <c r="G58" s="117" t="s">
        <v>24</v>
      </c>
      <c r="H58" s="117" t="str">
        <f t="shared" si="7"/>
        <v>yes</v>
      </c>
      <c r="I58" s="117" t="str">
        <f t="shared" si="8"/>
        <v>no</v>
      </c>
      <c r="J58" s="117" t="str">
        <f t="shared" si="9"/>
        <v>no</v>
      </c>
      <c r="K58" s="176" t="s">
        <v>686</v>
      </c>
      <c r="L58" s="117" t="str">
        <f t="shared" si="0"/>
        <v>detailed</v>
      </c>
      <c r="M58" s="117" t="str">
        <f t="shared" si="1"/>
        <v>detailed Mining</v>
      </c>
      <c r="N58" s="118"/>
      <c r="O58" s="118"/>
      <c r="P58" s="185">
        <v>270000</v>
      </c>
      <c r="Q58" s="185"/>
      <c r="R58" s="185"/>
      <c r="S58" s="117" t="s">
        <v>610</v>
      </c>
      <c r="T58" s="186">
        <v>21808.852416666701</v>
      </c>
      <c r="U58" s="117" t="s">
        <v>611</v>
      </c>
      <c r="V58" s="117" t="s">
        <v>687</v>
      </c>
      <c r="W58" s="89">
        <f>N60*T58</f>
        <v>65426557.250000104</v>
      </c>
      <c r="X58" s="117"/>
      <c r="Y58" s="117"/>
      <c r="Z58" s="117"/>
      <c r="AA58" s="121"/>
      <c r="AB58" s="121"/>
      <c r="AC58" s="122"/>
      <c r="AD58" s="122"/>
      <c r="AE58" s="122"/>
      <c r="AF58" s="123"/>
      <c r="AG58" s="117"/>
      <c r="AH58" s="124"/>
      <c r="AI58" s="117"/>
      <c r="AJ58" s="117"/>
      <c r="AK58" s="89"/>
      <c r="AL58" s="117"/>
      <c r="AM58" s="117"/>
      <c r="AN58" s="117">
        <v>3</v>
      </c>
      <c r="AO58" s="117" t="s">
        <v>707</v>
      </c>
      <c r="AP58" s="117">
        <v>3</v>
      </c>
      <c r="AQ58" s="117"/>
      <c r="AR58" s="117"/>
      <c r="AS58" s="117"/>
      <c r="AT58" s="117"/>
      <c r="AU58" s="117">
        <v>8</v>
      </c>
      <c r="AV58" s="128"/>
      <c r="AW58" s="117">
        <f>VLOOKUP($D58,'WB Data'!$C$3:$M$578,2,FALSE)</f>
        <v>11926957254.628792</v>
      </c>
      <c r="AX58" s="117">
        <f>VLOOKUP($D58,'WB Data'!$C$3:$M$578,3,FALSE)</f>
        <v>2856673</v>
      </c>
      <c r="AY58" s="847">
        <f t="shared" si="3"/>
        <v>5.2670301116087273E-3</v>
      </c>
      <c r="AZ58" s="117" t="e">
        <f>VLOOKUP($D58,'WB Data'!$C$3:$M$578,4,FALSE)/100</f>
        <v>#VALUE!</v>
      </c>
      <c r="BA58" s="117" t="str">
        <f t="shared" si="4"/>
        <v>..</v>
      </c>
      <c r="BB58" s="129">
        <f>IFERROR(VLOOKUP($D58,'EITI Revenues'!$C$2:$G$224,5,FALSE),"..")</f>
        <v>62819643</v>
      </c>
      <c r="BC58" s="846" t="str">
        <f t="shared" si="5"/>
        <v>..</v>
      </c>
      <c r="BD58" s="129">
        <f>VLOOKUP($D58,'WB Data 2'!$C$2:$K$545,6,FALSE)</f>
        <v>475780592.88736832</v>
      </c>
      <c r="BE58" s="129">
        <f>IFERROR(VLOOKUP($D58,UNCTAD!$C$5:$V$529,4,FALSE),"..")</f>
        <v>3855530000</v>
      </c>
      <c r="BF58" s="846">
        <f t="shared" si="6"/>
        <v>0.12340212445172734</v>
      </c>
      <c r="BG58" s="117">
        <f>VLOOKUP($D58,'WB Data'!$C$3:$M$578,5,FALSE)</f>
        <v>340700000</v>
      </c>
      <c r="BH58" s="129">
        <f>IFERROR($BB58/$BG58,"..")</f>
        <v>0.18438404167889638</v>
      </c>
      <c r="BI58" s="117" t="str">
        <f>IFERROR(VLOOKUP($D58,'WB Data'!$C$3:$M$578,7,FALSE)/100,"..")</f>
        <v>..</v>
      </c>
      <c r="BJ58" s="117" t="str">
        <f>IFERROR($BI58*$AW58,"..")</f>
        <v>..</v>
      </c>
      <c r="BK58" s="846" t="str">
        <f>IFERROR($BB58/$BJ58,"..")</f>
        <v>..</v>
      </c>
      <c r="BL58" s="117" t="str">
        <f>IFERROR(VLOOKUP($D58,'WB Data'!$C$3:$M$578,7,FALSE)/100,"..")</f>
        <v>..</v>
      </c>
      <c r="BM58" s="117" t="str">
        <f>IFERROR($AW58*$BL58,"..")</f>
        <v>..</v>
      </c>
      <c r="BN58" s="846" t="str">
        <f>IFERROR($BB58/$BM58,"..")</f>
        <v>..</v>
      </c>
      <c r="BO58" s="801">
        <f t="shared" si="2"/>
        <v>33</v>
      </c>
      <c r="BP58" s="117" t="str">
        <f>VLOOKUP($D58,'WB Data'!$C$3:$M$578,9,FALSE)</f>
        <v>..</v>
      </c>
      <c r="BQ58" s="117">
        <f>VLOOKUP($D58,'WB Data'!$C$3:$M$578,10,FALSE)</f>
        <v>76.978512195121951</v>
      </c>
      <c r="BR58" s="117">
        <f>VLOOKUP($D58,'WB Data'!$C$3:$M$578,11,FALSE)</f>
        <v>14.8</v>
      </c>
      <c r="BS58" s="129" t="str">
        <f>IFERROR(VLOOKUP($D58,'WB Data 2'!$C$2:$K$545,9,FALSE),"..")</f>
        <v>..</v>
      </c>
      <c r="BT58" s="129" t="str">
        <f>_xlfn.IFNA(VLOOKUP($C58,RGI!$A$2:$C$43,2,FALSE),"..")</f>
        <v>..</v>
      </c>
      <c r="BU58" s="129" t="str">
        <f>_xlfn.IFNA(VLOOKUP($C58,RGI!$A$2:$C$43,3,FALSE),"..")</f>
        <v>..</v>
      </c>
      <c r="BV58" s="129">
        <f>VLOOKUP($D58,WGI!$C$2:$O$478,7,FALSE)</f>
        <v>0.11205761285367399</v>
      </c>
      <c r="BW58" s="129">
        <f>VLOOKUP($D58,WGI!$C$2:$O$478,4,FALSE)</f>
        <v>-0.19131423887818599</v>
      </c>
      <c r="BX58" s="129">
        <f>VLOOKUP($D58,WGI!$C$2:$O$478,3,FALSE)</f>
        <v>-0.27142752356988198</v>
      </c>
      <c r="BY58" s="129">
        <f>VLOOKUP($D58,WGI!$C$2:$O$478,5,FALSE)</f>
        <v>0.23225209582522999</v>
      </c>
      <c r="BZ58" s="129">
        <f>VLOOKUP($D58,WGI!$C$2:$O$478,2,FALSE)</f>
        <v>-0.48857776519914198</v>
      </c>
      <c r="CB58" s="129"/>
    </row>
    <row r="59" spans="1:80" s="120" customFormat="1" ht="15" customHeight="1">
      <c r="A59" s="145" t="s">
        <v>43</v>
      </c>
      <c r="B59" s="117">
        <v>2010</v>
      </c>
      <c r="C59" s="117" t="s">
        <v>38</v>
      </c>
      <c r="D59" s="117" t="s">
        <v>3653</v>
      </c>
      <c r="E59" s="174" t="s">
        <v>39</v>
      </c>
      <c r="F59" s="117"/>
      <c r="G59" s="117" t="s">
        <v>24</v>
      </c>
      <c r="H59" s="117" t="str">
        <f t="shared" si="7"/>
        <v>yes</v>
      </c>
      <c r="I59" s="117" t="str">
        <f t="shared" si="8"/>
        <v>no</v>
      </c>
      <c r="J59" s="117" t="str">
        <f t="shared" si="9"/>
        <v>no</v>
      </c>
      <c r="K59" s="176" t="s">
        <v>689</v>
      </c>
      <c r="L59" s="117" t="str">
        <f t="shared" si="0"/>
        <v>detailed</v>
      </c>
      <c r="M59" s="117" t="str">
        <f t="shared" si="1"/>
        <v>detailed Mining</v>
      </c>
      <c r="N59" s="118">
        <v>269300</v>
      </c>
      <c r="O59" s="118"/>
      <c r="P59" s="118"/>
      <c r="Q59" s="118"/>
      <c r="R59" s="118"/>
      <c r="S59" s="117" t="s">
        <v>610</v>
      </c>
      <c r="T59" s="119"/>
      <c r="U59" s="117"/>
      <c r="V59" s="117" t="s">
        <v>684</v>
      </c>
      <c r="W59" s="89"/>
      <c r="X59" s="117"/>
      <c r="Y59" s="117"/>
      <c r="Z59" s="117"/>
      <c r="AA59" s="121"/>
      <c r="AB59" s="121"/>
      <c r="AC59" s="122"/>
      <c r="AD59" s="122"/>
      <c r="AE59" s="122"/>
      <c r="AF59" s="123"/>
      <c r="AG59" s="117"/>
      <c r="AH59" s="124"/>
      <c r="AI59" s="117"/>
      <c r="AJ59" s="117"/>
      <c r="AK59" s="89"/>
      <c r="AL59" s="117"/>
      <c r="AM59" s="117"/>
      <c r="AN59" s="117"/>
      <c r="AO59" s="117"/>
      <c r="AP59" s="117"/>
      <c r="AQ59" s="117"/>
      <c r="AR59" s="117"/>
      <c r="AS59" s="117"/>
      <c r="AT59" s="117"/>
      <c r="AU59" s="117"/>
      <c r="AV59" s="128"/>
      <c r="AW59" s="117">
        <f>VLOOKUP($D59,'WB Data'!$C$3:$M$578,2,FALSE)</f>
        <v>11926957254.628792</v>
      </c>
      <c r="AX59" s="117">
        <f>VLOOKUP($D59,'WB Data'!$C$3:$M$578,3,FALSE)</f>
        <v>2856673</v>
      </c>
      <c r="AY59" s="847">
        <f t="shared" si="3"/>
        <v>5.2670301116087273E-3</v>
      </c>
      <c r="AZ59" s="117" t="e">
        <f>VLOOKUP($D59,'WB Data'!$C$3:$M$578,4,FALSE)/100</f>
        <v>#VALUE!</v>
      </c>
      <c r="BA59" s="117" t="str">
        <f t="shared" si="4"/>
        <v>..</v>
      </c>
      <c r="BB59" s="129">
        <f>IFERROR(VLOOKUP($D59,'EITI Revenues'!$C$2:$G$224,5,FALSE),"..")</f>
        <v>62819643</v>
      </c>
      <c r="BC59" s="846" t="str">
        <f t="shared" si="5"/>
        <v>..</v>
      </c>
      <c r="BD59" s="129">
        <f>VLOOKUP($D59,'WB Data 2'!$C$2:$K$545,6,FALSE)</f>
        <v>475780592.88736832</v>
      </c>
      <c r="BE59" s="129">
        <f>IFERROR(VLOOKUP($D59,UNCTAD!$C$5:$V$529,4,FALSE),"..")</f>
        <v>3855530000</v>
      </c>
      <c r="BF59" s="846">
        <f t="shared" si="6"/>
        <v>0.12340212445172734</v>
      </c>
      <c r="BG59" s="117">
        <f>VLOOKUP($D59,'WB Data'!$C$3:$M$578,5,FALSE)</f>
        <v>340700000</v>
      </c>
      <c r="BH59" s="129">
        <f>IFERROR($BB59/$BG59,"..")</f>
        <v>0.18438404167889638</v>
      </c>
      <c r="BI59" s="117" t="str">
        <f>IFERROR(VLOOKUP($D59,'WB Data'!$C$3:$M$578,7,FALSE)/100,"..")</f>
        <v>..</v>
      </c>
      <c r="BJ59" s="117" t="str">
        <f>IFERROR($BI59*$AW59,"..")</f>
        <v>..</v>
      </c>
      <c r="BK59" s="846" t="str">
        <f>IFERROR($BB59/$BJ59,"..")</f>
        <v>..</v>
      </c>
      <c r="BL59" s="117" t="str">
        <f>IFERROR(VLOOKUP($D59,'WB Data'!$C$3:$M$578,7,FALSE)/100,"..")</f>
        <v>..</v>
      </c>
      <c r="BM59" s="117" t="str">
        <f>IFERROR($AW59*$BL59,"..")</f>
        <v>..</v>
      </c>
      <c r="BN59" s="846" t="str">
        <f>IFERROR($BB59/$BM59,"..")</f>
        <v>..</v>
      </c>
      <c r="BO59" s="801">
        <f t="shared" si="2"/>
        <v>33</v>
      </c>
      <c r="BP59" s="117" t="str">
        <f>VLOOKUP($D59,'WB Data'!$C$3:$M$578,9,FALSE)</f>
        <v>..</v>
      </c>
      <c r="BQ59" s="117">
        <f>VLOOKUP($D59,'WB Data'!$C$3:$M$578,10,FALSE)</f>
        <v>76.978512195121951</v>
      </c>
      <c r="BR59" s="117">
        <f>VLOOKUP($D59,'WB Data'!$C$3:$M$578,11,FALSE)</f>
        <v>14.8</v>
      </c>
      <c r="BS59" s="129" t="str">
        <f>IFERROR(VLOOKUP($D59,'WB Data 2'!$C$2:$K$545,9,FALSE),"..")</f>
        <v>..</v>
      </c>
      <c r="BT59" s="129" t="str">
        <f>_xlfn.IFNA(VLOOKUP($C59,RGI!$A$2:$C$43,2,FALSE),"..")</f>
        <v>..</v>
      </c>
      <c r="BU59" s="129" t="str">
        <f>_xlfn.IFNA(VLOOKUP($C59,RGI!$A$2:$C$43,3,FALSE),"..")</f>
        <v>..</v>
      </c>
      <c r="BV59" s="129">
        <f>VLOOKUP($D59,WGI!$C$2:$O$478,7,FALSE)</f>
        <v>0.11205761285367399</v>
      </c>
      <c r="BW59" s="129">
        <f>VLOOKUP($D59,WGI!$C$2:$O$478,4,FALSE)</f>
        <v>-0.19131423887818599</v>
      </c>
      <c r="BX59" s="129">
        <f>VLOOKUP($D59,WGI!$C$2:$O$478,3,FALSE)</f>
        <v>-0.27142752356988198</v>
      </c>
      <c r="BY59" s="129">
        <f>VLOOKUP($D59,WGI!$C$2:$O$478,5,FALSE)</f>
        <v>0.23225209582522999</v>
      </c>
      <c r="BZ59" s="129">
        <f>VLOOKUP($D59,WGI!$C$2:$O$478,2,FALSE)</f>
        <v>-0.48857776519914198</v>
      </c>
      <c r="CB59" s="129"/>
    </row>
    <row r="60" spans="1:80" s="158" customFormat="1" ht="15" customHeight="1">
      <c r="A60" s="147" t="s">
        <v>43</v>
      </c>
      <c r="B60" s="149">
        <v>2010</v>
      </c>
      <c r="C60" s="117" t="s">
        <v>38</v>
      </c>
      <c r="D60" s="117" t="s">
        <v>3653</v>
      </c>
      <c r="E60" s="187" t="s">
        <v>39</v>
      </c>
      <c r="F60" s="149"/>
      <c r="G60" s="149" t="s">
        <v>24</v>
      </c>
      <c r="H60" s="149" t="str">
        <f t="shared" si="7"/>
        <v>yes</v>
      </c>
      <c r="I60" s="149" t="str">
        <f t="shared" si="8"/>
        <v>no</v>
      </c>
      <c r="J60" s="149" t="str">
        <f t="shared" si="9"/>
        <v>no</v>
      </c>
      <c r="K60" s="188" t="s">
        <v>708</v>
      </c>
      <c r="L60" s="149" t="str">
        <f t="shared" si="0"/>
        <v>detailed</v>
      </c>
      <c r="M60" s="149" t="str">
        <f t="shared" si="1"/>
        <v>detailed Mining</v>
      </c>
      <c r="N60" s="150">
        <v>3000</v>
      </c>
      <c r="O60" s="150"/>
      <c r="P60" s="150"/>
      <c r="Q60" s="150"/>
      <c r="R60" s="150"/>
      <c r="S60" s="149" t="s">
        <v>610</v>
      </c>
      <c r="T60" s="151"/>
      <c r="U60" s="149"/>
      <c r="V60" s="149" t="s">
        <v>684</v>
      </c>
      <c r="W60" s="152"/>
      <c r="X60" s="149"/>
      <c r="Y60" s="149"/>
      <c r="Z60" s="149"/>
      <c r="AA60" s="153"/>
      <c r="AB60" s="153"/>
      <c r="AC60" s="154"/>
      <c r="AD60" s="154"/>
      <c r="AE60" s="154"/>
      <c r="AF60" s="155"/>
      <c r="AG60" s="149"/>
      <c r="AH60" s="156"/>
      <c r="AI60" s="149"/>
      <c r="AJ60" s="149"/>
      <c r="AK60" s="152"/>
      <c r="AL60" s="149"/>
      <c r="AM60" s="149"/>
      <c r="AN60" s="149"/>
      <c r="AO60" s="149"/>
      <c r="AP60" s="149"/>
      <c r="AQ60" s="149"/>
      <c r="AR60" s="149"/>
      <c r="AS60" s="149"/>
      <c r="AT60" s="149"/>
      <c r="AU60" s="149"/>
      <c r="AV60" s="157"/>
      <c r="AW60" s="117">
        <f>VLOOKUP($D60,'WB Data'!$C$3:$M$578,2,FALSE)</f>
        <v>11926957254.628792</v>
      </c>
      <c r="AX60" s="117">
        <f>VLOOKUP($D60,'WB Data'!$C$3:$M$578,3,FALSE)</f>
        <v>2856673</v>
      </c>
      <c r="AY60" s="847">
        <f t="shared" si="3"/>
        <v>5.2670301116087273E-3</v>
      </c>
      <c r="AZ60" s="117" t="e">
        <f>VLOOKUP($D60,'WB Data'!$C$3:$M$578,4,FALSE)/100</f>
        <v>#VALUE!</v>
      </c>
      <c r="BA60" s="117" t="str">
        <f t="shared" si="4"/>
        <v>..</v>
      </c>
      <c r="BB60" s="129">
        <f>IFERROR(VLOOKUP($D60,'EITI Revenues'!$C$2:$G$224,5,FALSE),"..")</f>
        <v>62819643</v>
      </c>
      <c r="BC60" s="846" t="str">
        <f t="shared" si="5"/>
        <v>..</v>
      </c>
      <c r="BD60" s="129">
        <f>VLOOKUP($D60,'WB Data 2'!$C$2:$K$545,6,FALSE)</f>
        <v>475780592.88736832</v>
      </c>
      <c r="BE60" s="129">
        <f>IFERROR(VLOOKUP($D60,UNCTAD!$C$5:$V$529,4,FALSE),"..")</f>
        <v>3855530000</v>
      </c>
      <c r="BF60" s="846">
        <f t="shared" si="6"/>
        <v>0.12340212445172734</v>
      </c>
      <c r="BG60" s="117">
        <f>VLOOKUP($D60,'WB Data'!$C$3:$M$578,5,FALSE)</f>
        <v>340700000</v>
      </c>
      <c r="BH60" s="129">
        <f>IFERROR($BB60/$BG60,"..")</f>
        <v>0.18438404167889638</v>
      </c>
      <c r="BI60" s="117" t="str">
        <f>IFERROR(VLOOKUP($D60,'WB Data'!$C$3:$M$578,7,FALSE)/100,"..")</f>
        <v>..</v>
      </c>
      <c r="BJ60" s="117" t="str">
        <f>IFERROR($BI60*$AW60,"..")</f>
        <v>..</v>
      </c>
      <c r="BK60" s="846" t="str">
        <f>IFERROR($BB60/$BJ60,"..")</f>
        <v>..</v>
      </c>
      <c r="BL60" s="117" t="str">
        <f>IFERROR(VLOOKUP($D60,'WB Data'!$C$3:$M$578,7,FALSE)/100,"..")</f>
        <v>..</v>
      </c>
      <c r="BM60" s="117" t="str">
        <f>IFERROR($AW60*$BL60,"..")</f>
        <v>..</v>
      </c>
      <c r="BN60" s="846" t="str">
        <f>IFERROR($BB60/$BM60,"..")</f>
        <v>..</v>
      </c>
      <c r="BO60" s="801">
        <f t="shared" si="2"/>
        <v>33</v>
      </c>
      <c r="BP60" s="117" t="str">
        <f>VLOOKUP($D60,'WB Data'!$C$3:$M$578,9,FALSE)</f>
        <v>..</v>
      </c>
      <c r="BQ60" s="117">
        <f>VLOOKUP($D60,'WB Data'!$C$3:$M$578,10,FALSE)</f>
        <v>76.978512195121951</v>
      </c>
      <c r="BR60" s="117">
        <f>VLOOKUP($D60,'WB Data'!$C$3:$M$578,11,FALSE)</f>
        <v>14.8</v>
      </c>
      <c r="BS60" s="129" t="str">
        <f>IFERROR(VLOOKUP($D60,'WB Data 2'!$C$2:$K$545,9,FALSE),"..")</f>
        <v>..</v>
      </c>
      <c r="BT60" s="129" t="str">
        <f>_xlfn.IFNA(VLOOKUP($C60,RGI!$A$2:$C$43,2,FALSE),"..")</f>
        <v>..</v>
      </c>
      <c r="BU60" s="129" t="str">
        <f>_xlfn.IFNA(VLOOKUP($C60,RGI!$A$2:$C$43,3,FALSE),"..")</f>
        <v>..</v>
      </c>
      <c r="BV60" s="129">
        <f>VLOOKUP($D60,WGI!$C$2:$O$478,7,FALSE)</f>
        <v>0.11205761285367399</v>
      </c>
      <c r="BW60" s="129">
        <f>VLOOKUP($D60,WGI!$C$2:$O$478,4,FALSE)</f>
        <v>-0.19131423887818599</v>
      </c>
      <c r="BX60" s="129">
        <f>VLOOKUP($D60,WGI!$C$2:$O$478,3,FALSE)</f>
        <v>-0.27142752356988198</v>
      </c>
      <c r="BY60" s="129">
        <f>VLOOKUP($D60,WGI!$C$2:$O$478,5,FALSE)</f>
        <v>0.23225209582522999</v>
      </c>
      <c r="BZ60" s="129">
        <f>VLOOKUP($D60,WGI!$C$2:$O$478,2,FALSE)</f>
        <v>-0.48857776519914198</v>
      </c>
      <c r="CB60" s="129"/>
    </row>
    <row r="61" spans="1:80" ht="15" customHeight="1">
      <c r="A61" s="145" t="s">
        <v>46</v>
      </c>
      <c r="B61" s="117">
        <v>2011</v>
      </c>
      <c r="C61" s="117" t="s">
        <v>38</v>
      </c>
      <c r="D61" s="117" t="s">
        <v>3687</v>
      </c>
      <c r="E61" s="174" t="s">
        <v>39</v>
      </c>
      <c r="F61" s="117" t="s">
        <v>660</v>
      </c>
      <c r="G61" s="117" t="s">
        <v>41</v>
      </c>
      <c r="H61" s="117" t="str">
        <f t="shared" si="7"/>
        <v>yes</v>
      </c>
      <c r="I61" s="117" t="str">
        <f t="shared" si="8"/>
        <v>no</v>
      </c>
      <c r="J61" s="117" t="str">
        <f t="shared" si="9"/>
        <v>yes</v>
      </c>
      <c r="K61" s="176" t="s">
        <v>709</v>
      </c>
      <c r="L61" s="117" t="str">
        <f t="shared" si="0"/>
        <v>Total</v>
      </c>
      <c r="M61" s="117" t="str">
        <f t="shared" si="1"/>
        <v>Total Oil, Mining</v>
      </c>
      <c r="N61" s="118"/>
      <c r="O61" s="118"/>
      <c r="P61" s="118"/>
      <c r="Q61" s="118"/>
      <c r="R61" s="118"/>
      <c r="S61" s="117"/>
      <c r="T61" s="119"/>
      <c r="U61" s="117"/>
      <c r="V61" s="117"/>
      <c r="W61" s="89">
        <f>W62+W63</f>
        <v>673969009.50999999</v>
      </c>
      <c r="X61" s="125" t="s">
        <v>710</v>
      </c>
      <c r="Y61" s="117" t="s">
        <v>602</v>
      </c>
      <c r="Z61" s="117" t="s">
        <v>603</v>
      </c>
      <c r="AA61" s="159">
        <v>87672150.568453237</v>
      </c>
      <c r="AB61" s="159">
        <v>87847635.425623387</v>
      </c>
      <c r="AC61" s="122"/>
      <c r="AD61" s="177">
        <f>9316000000/AH61</f>
        <v>89003534.919270083</v>
      </c>
      <c r="AE61" s="122" t="s">
        <v>596</v>
      </c>
      <c r="AF61" s="123">
        <f>AD61/W61</f>
        <v>0.13205879448964411</v>
      </c>
      <c r="AG61" s="117" t="s">
        <v>666</v>
      </c>
      <c r="AH61" s="124">
        <v>104.67</v>
      </c>
      <c r="AI61" s="117" t="s">
        <v>605</v>
      </c>
      <c r="AJ61" s="117"/>
      <c r="AK61" s="177"/>
      <c r="AL61" s="117"/>
      <c r="AM61" s="117"/>
      <c r="AN61" s="117">
        <v>67</v>
      </c>
      <c r="AO61" s="117" t="s">
        <v>711</v>
      </c>
      <c r="AP61" s="117">
        <v>63</v>
      </c>
      <c r="AQ61" s="125" t="s">
        <v>47</v>
      </c>
      <c r="AR61" s="126">
        <v>41887</v>
      </c>
      <c r="AS61" s="117" t="s">
        <v>712</v>
      </c>
      <c r="AT61" s="117" t="s">
        <v>48</v>
      </c>
      <c r="AU61" s="117" t="s">
        <v>713</v>
      </c>
      <c r="AV61" s="128" t="s">
        <v>714</v>
      </c>
      <c r="AW61" s="117">
        <f>VLOOKUP($D61,'WB Data'!$C$3:$M$578,2,FALSE)</f>
        <v>12890866742.653254</v>
      </c>
      <c r="AX61" s="117">
        <f>VLOOKUP($D61,'WB Data'!$C$3:$M$578,3,FALSE)</f>
        <v>2829337</v>
      </c>
      <c r="AY61" s="847">
        <f t="shared" si="3"/>
        <v>6.8011059549909041E-3</v>
      </c>
      <c r="AZ61" s="117" t="e">
        <f>VLOOKUP($D61,'WB Data'!$C$3:$M$578,4,FALSE)/100</f>
        <v>#VALUE!</v>
      </c>
      <c r="BA61" s="117" t="str">
        <f t="shared" si="4"/>
        <v>..</v>
      </c>
      <c r="BB61" s="129">
        <f>IFERROR(VLOOKUP($D61,'EITI Revenues'!$C$2:$G$224,5,FALSE),"..")</f>
        <v>87672150.568453237</v>
      </c>
      <c r="BC61" s="846" t="str">
        <f t="shared" si="5"/>
        <v>..</v>
      </c>
      <c r="BD61" s="129">
        <f>VLOOKUP($D61,'WB Data 2'!$C$2:$K$545,6,FALSE)</f>
        <v>645705290.5322727</v>
      </c>
      <c r="BE61" s="129">
        <f>IFERROR(VLOOKUP($D61,UNCTAD!$C$5:$V$529,4,FALSE),"..")</f>
        <v>4391290000</v>
      </c>
      <c r="BF61" s="846">
        <f t="shared" si="6"/>
        <v>0.14704227926925179</v>
      </c>
      <c r="BG61" s="117">
        <f>VLOOKUP($D61,'WB Data'!$C$3:$M$578,5,FALSE)</f>
        <v>350750000</v>
      </c>
      <c r="BH61" s="129">
        <f>IFERROR($BB61/$BG61,"..")</f>
        <v>0.24995623825645968</v>
      </c>
      <c r="BI61" s="117" t="str">
        <f>IFERROR(VLOOKUP($D61,'WB Data'!$C$3:$M$578,7,FALSE)/100,"..")</f>
        <v>..</v>
      </c>
      <c r="BJ61" s="117" t="str">
        <f>IFERROR($BI61*$AW61,"..")</f>
        <v>..</v>
      </c>
      <c r="BK61" s="846" t="str">
        <f>IFERROR($BB61/$BJ61,"..")</f>
        <v>..</v>
      </c>
      <c r="BL61" s="117" t="str">
        <f>IFERROR(VLOOKUP($D61,'WB Data'!$C$3:$M$578,7,FALSE)/100,"..")</f>
        <v>..</v>
      </c>
      <c r="BM61" s="117" t="str">
        <f>IFERROR($AW61*$BL61,"..")</f>
        <v>..</v>
      </c>
      <c r="BN61" s="846" t="str">
        <f>IFERROR($BB61/$BM61,"..")</f>
        <v>..</v>
      </c>
      <c r="BO61" s="801">
        <f t="shared" si="2"/>
        <v>33</v>
      </c>
      <c r="BP61" s="117" t="str">
        <f>VLOOKUP($D61,'WB Data'!$C$3:$M$578,9,FALSE)</f>
        <v>..</v>
      </c>
      <c r="BQ61" s="117">
        <f>VLOOKUP($D61,'WB Data'!$C$3:$M$578,10,FALSE)</f>
        <v>77.163219512195127</v>
      </c>
      <c r="BR61" s="117">
        <f>VLOOKUP($D61,'WB Data'!$C$3:$M$578,11,FALSE)</f>
        <v>14.2</v>
      </c>
      <c r="BS61" s="129" t="str">
        <f>IFERROR(VLOOKUP($D61,'WB Data 2'!$C$2:$K$545,9,FALSE),"..")</f>
        <v>..</v>
      </c>
      <c r="BT61" s="129" t="str">
        <f>_xlfn.IFNA(VLOOKUP($C61,RGI!$A$2:$C$43,2,FALSE),"..")</f>
        <v>..</v>
      </c>
      <c r="BU61" s="129" t="str">
        <f>_xlfn.IFNA(VLOOKUP($C61,RGI!$A$2:$C$43,3,FALSE),"..")</f>
        <v>..</v>
      </c>
      <c r="BV61" s="129">
        <f>VLOOKUP($D61,WGI!$C$2:$O$478,7,FALSE)</f>
        <v>6.5167090365740102E-2</v>
      </c>
      <c r="BW61" s="129">
        <f>VLOOKUP($D61,WGI!$C$2:$O$478,4,FALSE)</f>
        <v>-0.29043318113751998</v>
      </c>
      <c r="BX61" s="129">
        <f>VLOOKUP($D61,WGI!$C$2:$O$478,3,FALSE)</f>
        <v>-0.20149568880232799</v>
      </c>
      <c r="BY61" s="129">
        <f>VLOOKUP($D61,WGI!$C$2:$O$478,5,FALSE)</f>
        <v>0.23524327870851999</v>
      </c>
      <c r="BZ61" s="129">
        <f>VLOOKUP($D61,WGI!$C$2:$O$478,2,FALSE)</f>
        <v>-0.64690618884304496</v>
      </c>
    </row>
    <row r="62" spans="1:80" ht="15" customHeight="1">
      <c r="A62" s="145" t="s">
        <v>46</v>
      </c>
      <c r="B62" s="117">
        <v>2011</v>
      </c>
      <c r="C62" s="117" t="s">
        <v>38</v>
      </c>
      <c r="D62" s="117" t="s">
        <v>3687</v>
      </c>
      <c r="E62" s="174" t="s">
        <v>39</v>
      </c>
      <c r="F62" s="117"/>
      <c r="G62" s="117" t="s">
        <v>103</v>
      </c>
      <c r="H62" s="117" t="str">
        <f t="shared" si="7"/>
        <v>no</v>
      </c>
      <c r="I62" s="117" t="str">
        <f t="shared" si="8"/>
        <v>no</v>
      </c>
      <c r="J62" s="117" t="str">
        <f t="shared" si="9"/>
        <v>yes</v>
      </c>
      <c r="K62" s="176" t="s">
        <v>103</v>
      </c>
      <c r="L62" s="117" t="str">
        <f t="shared" si="0"/>
        <v>detailed</v>
      </c>
      <c r="M62" s="117" t="str">
        <f t="shared" si="1"/>
        <v>detailed Oil</v>
      </c>
      <c r="N62" s="118">
        <f>894500*7.33</f>
        <v>6556685</v>
      </c>
      <c r="O62" s="118"/>
      <c r="P62" s="118">
        <f>894500*7.33</f>
        <v>6556685</v>
      </c>
      <c r="Q62" s="118"/>
      <c r="R62" s="118"/>
      <c r="S62" s="117" t="s">
        <v>646</v>
      </c>
      <c r="T62" s="119">
        <f>510.34/7.33</f>
        <v>69.623465211459745</v>
      </c>
      <c r="U62" s="117" t="s">
        <v>673</v>
      </c>
      <c r="V62" s="117" t="s">
        <v>715</v>
      </c>
      <c r="W62" s="89">
        <f>N62*T62</f>
        <v>456499129.99999994</v>
      </c>
      <c r="X62" s="117"/>
      <c r="Y62" s="117"/>
      <c r="Z62" s="117"/>
      <c r="AA62" s="177">
        <v>78907738.607050732</v>
      </c>
      <c r="AB62" s="177">
        <v>78947148.17999427</v>
      </c>
      <c r="AC62" s="178"/>
      <c r="AD62" s="177">
        <f>AD61*0.81</f>
        <v>72092863.284608766</v>
      </c>
      <c r="AE62" s="122" t="s">
        <v>596</v>
      </c>
      <c r="AF62" s="123">
        <f>AD62/W62</f>
        <v>0.1579255217520541</v>
      </c>
      <c r="AG62" s="117"/>
      <c r="AH62" s="124"/>
      <c r="AI62" s="117"/>
      <c r="AJ62" s="117"/>
      <c r="AK62" s="177"/>
      <c r="AL62" s="117"/>
      <c r="AM62" s="117"/>
      <c r="AN62" s="117">
        <v>9</v>
      </c>
      <c r="AO62" s="117" t="s">
        <v>716</v>
      </c>
      <c r="AP62" s="117">
        <v>7</v>
      </c>
      <c r="AQ62" s="117"/>
      <c r="AR62" s="117"/>
      <c r="AS62" s="117"/>
      <c r="AT62" s="117"/>
      <c r="AU62" s="117" t="s">
        <v>713</v>
      </c>
      <c r="AV62" s="128"/>
      <c r="AW62" s="117">
        <f>VLOOKUP($D62,'WB Data'!$C$3:$M$578,2,FALSE)</f>
        <v>12890866742.653254</v>
      </c>
      <c r="AX62" s="117">
        <f>VLOOKUP($D62,'WB Data'!$C$3:$M$578,3,FALSE)</f>
        <v>2829337</v>
      </c>
      <c r="AY62" s="847">
        <f t="shared" si="3"/>
        <v>6.8011059549909041E-3</v>
      </c>
      <c r="AZ62" s="117" t="e">
        <f>VLOOKUP($D62,'WB Data'!$C$3:$M$578,4,FALSE)/100</f>
        <v>#VALUE!</v>
      </c>
      <c r="BA62" s="117" t="str">
        <f t="shared" si="4"/>
        <v>..</v>
      </c>
      <c r="BB62" s="129">
        <f>IFERROR(VLOOKUP($D62,'EITI Revenues'!$C$2:$G$224,5,FALSE),"..")</f>
        <v>87672150.568453237</v>
      </c>
      <c r="BC62" s="846" t="str">
        <f t="shared" si="5"/>
        <v>..</v>
      </c>
      <c r="BD62" s="129">
        <f>VLOOKUP($D62,'WB Data 2'!$C$2:$K$545,6,FALSE)</f>
        <v>645705290.5322727</v>
      </c>
      <c r="BE62" s="129">
        <f>IFERROR(VLOOKUP($D62,UNCTAD!$C$5:$V$529,4,FALSE),"..")</f>
        <v>4391290000</v>
      </c>
      <c r="BF62" s="846">
        <f t="shared" si="6"/>
        <v>0.14704227926925179</v>
      </c>
      <c r="BG62" s="117">
        <f>VLOOKUP($D62,'WB Data'!$C$3:$M$578,5,FALSE)</f>
        <v>350750000</v>
      </c>
      <c r="BH62" s="129">
        <f>IFERROR($BB62/$BG62,"..")</f>
        <v>0.24995623825645968</v>
      </c>
      <c r="BI62" s="117" t="str">
        <f>IFERROR(VLOOKUP($D62,'WB Data'!$C$3:$M$578,7,FALSE)/100,"..")</f>
        <v>..</v>
      </c>
      <c r="BJ62" s="117" t="str">
        <f>IFERROR($BI62*$AW62,"..")</f>
        <v>..</v>
      </c>
      <c r="BK62" s="846" t="str">
        <f>IFERROR($BB62/$BJ62,"..")</f>
        <v>..</v>
      </c>
      <c r="BL62" s="117" t="str">
        <f>IFERROR(VLOOKUP($D62,'WB Data'!$C$3:$M$578,7,FALSE)/100,"..")</f>
        <v>..</v>
      </c>
      <c r="BM62" s="117" t="str">
        <f>IFERROR($AW62*$BL62,"..")</f>
        <v>..</v>
      </c>
      <c r="BN62" s="846" t="str">
        <f>IFERROR($BB62/$BM62,"..")</f>
        <v>..</v>
      </c>
      <c r="BO62" s="801">
        <f t="shared" si="2"/>
        <v>33</v>
      </c>
      <c r="BP62" s="117" t="str">
        <f>VLOOKUP($D62,'WB Data'!$C$3:$M$578,9,FALSE)</f>
        <v>..</v>
      </c>
      <c r="BQ62" s="117">
        <f>VLOOKUP($D62,'WB Data'!$C$3:$M$578,10,FALSE)</f>
        <v>77.163219512195127</v>
      </c>
      <c r="BR62" s="117">
        <f>VLOOKUP($D62,'WB Data'!$C$3:$M$578,11,FALSE)</f>
        <v>14.2</v>
      </c>
      <c r="BS62" s="129" t="str">
        <f>IFERROR(VLOOKUP($D62,'WB Data 2'!$C$2:$K$545,9,FALSE),"..")</f>
        <v>..</v>
      </c>
      <c r="BT62" s="129" t="str">
        <f>_xlfn.IFNA(VLOOKUP($C62,RGI!$A$2:$C$43,2,FALSE),"..")</f>
        <v>..</v>
      </c>
      <c r="BU62" s="129" t="str">
        <f>_xlfn.IFNA(VLOOKUP($C62,RGI!$A$2:$C$43,3,FALSE),"..")</f>
        <v>..</v>
      </c>
      <c r="BV62" s="129">
        <f>VLOOKUP($D62,WGI!$C$2:$O$478,7,FALSE)</f>
        <v>6.5167090365740102E-2</v>
      </c>
      <c r="BW62" s="129">
        <f>VLOOKUP($D62,WGI!$C$2:$O$478,4,FALSE)</f>
        <v>-0.29043318113751998</v>
      </c>
      <c r="BX62" s="129">
        <f>VLOOKUP($D62,WGI!$C$2:$O$478,3,FALSE)</f>
        <v>-0.20149568880232799</v>
      </c>
      <c r="BY62" s="129">
        <f>VLOOKUP($D62,WGI!$C$2:$O$478,5,FALSE)</f>
        <v>0.23524327870851999</v>
      </c>
      <c r="BZ62" s="129">
        <f>VLOOKUP($D62,WGI!$C$2:$O$478,2,FALSE)</f>
        <v>-0.64690618884304496</v>
      </c>
    </row>
    <row r="63" spans="1:80" ht="15" customHeight="1">
      <c r="A63" s="145" t="s">
        <v>46</v>
      </c>
      <c r="B63" s="117">
        <v>2011</v>
      </c>
      <c r="C63" s="117" t="s">
        <v>38</v>
      </c>
      <c r="D63" s="117" t="s">
        <v>3687</v>
      </c>
      <c r="E63" s="174" t="s">
        <v>39</v>
      </c>
      <c r="F63" s="117"/>
      <c r="G63" s="117" t="s">
        <v>24</v>
      </c>
      <c r="H63" s="117" t="str">
        <f t="shared" si="7"/>
        <v>yes</v>
      </c>
      <c r="I63" s="117" t="str">
        <f t="shared" si="8"/>
        <v>no</v>
      </c>
      <c r="J63" s="117" t="str">
        <f t="shared" si="9"/>
        <v>no</v>
      </c>
      <c r="K63" s="176" t="s">
        <v>600</v>
      </c>
      <c r="L63" s="117" t="str">
        <f t="shared" si="0"/>
        <v>Total</v>
      </c>
      <c r="M63" s="117" t="str">
        <f t="shared" si="1"/>
        <v>Total Mining</v>
      </c>
      <c r="N63" s="118"/>
      <c r="O63" s="118"/>
      <c r="P63" s="118"/>
      <c r="Q63" s="118"/>
      <c r="R63" s="118"/>
      <c r="S63" s="117"/>
      <c r="T63" s="119"/>
      <c r="U63" s="117"/>
      <c r="V63" s="117"/>
      <c r="W63" s="89">
        <v>217469879.50999999</v>
      </c>
      <c r="X63" s="117"/>
      <c r="Y63" s="117"/>
      <c r="Z63" s="117"/>
      <c r="AA63" s="177">
        <v>8764411.9614025038</v>
      </c>
      <c r="AB63" s="177">
        <v>8900487.2456291206</v>
      </c>
      <c r="AC63" s="122"/>
      <c r="AD63" s="177">
        <f>AD61*0.19</f>
        <v>16910671.634661317</v>
      </c>
      <c r="AE63" s="122" t="s">
        <v>596</v>
      </c>
      <c r="AF63" s="123">
        <f>AD63/W63</f>
        <v>7.7760983142880283E-2</v>
      </c>
      <c r="AG63" s="117"/>
      <c r="AH63" s="189"/>
      <c r="AI63" s="177"/>
      <c r="AJ63" s="117"/>
      <c r="AK63" s="89"/>
      <c r="AL63" s="117"/>
      <c r="AM63" s="117"/>
      <c r="AN63" s="117">
        <v>58</v>
      </c>
      <c r="AO63" s="117" t="s">
        <v>698</v>
      </c>
      <c r="AP63" s="117">
        <v>56</v>
      </c>
      <c r="AQ63" s="117"/>
      <c r="AR63" s="117"/>
      <c r="AS63" s="117"/>
      <c r="AT63" s="117"/>
      <c r="AU63" s="117" t="s">
        <v>717</v>
      </c>
      <c r="AV63" s="128"/>
      <c r="AW63" s="117">
        <f>VLOOKUP($D63,'WB Data'!$C$3:$M$578,2,FALSE)</f>
        <v>12890866742.653254</v>
      </c>
      <c r="AX63" s="117">
        <f>VLOOKUP($D63,'WB Data'!$C$3:$M$578,3,FALSE)</f>
        <v>2829337</v>
      </c>
      <c r="AY63" s="847">
        <f t="shared" si="3"/>
        <v>6.8011059549909041E-3</v>
      </c>
      <c r="AZ63" s="117" t="e">
        <f>VLOOKUP($D63,'WB Data'!$C$3:$M$578,4,FALSE)/100</f>
        <v>#VALUE!</v>
      </c>
      <c r="BA63" s="117" t="str">
        <f t="shared" si="4"/>
        <v>..</v>
      </c>
      <c r="BB63" s="129">
        <f>IFERROR(VLOOKUP($D63,'EITI Revenues'!$C$2:$G$224,5,FALSE),"..")</f>
        <v>87672150.568453237</v>
      </c>
      <c r="BC63" s="846" t="str">
        <f t="shared" si="5"/>
        <v>..</v>
      </c>
      <c r="BD63" s="129">
        <f>VLOOKUP($D63,'WB Data 2'!$C$2:$K$545,6,FALSE)</f>
        <v>645705290.5322727</v>
      </c>
      <c r="BE63" s="129">
        <f>IFERROR(VLOOKUP($D63,UNCTAD!$C$5:$V$529,4,FALSE),"..")</f>
        <v>4391290000</v>
      </c>
      <c r="BF63" s="846">
        <f t="shared" si="6"/>
        <v>0.14704227926925179</v>
      </c>
      <c r="BG63" s="117">
        <f>VLOOKUP($D63,'WB Data'!$C$3:$M$578,5,FALSE)</f>
        <v>350750000</v>
      </c>
      <c r="BH63" s="129">
        <f>IFERROR($BB63/$BG63,"..")</f>
        <v>0.24995623825645968</v>
      </c>
      <c r="BI63" s="117" t="str">
        <f>IFERROR(VLOOKUP($D63,'WB Data'!$C$3:$M$578,7,FALSE)/100,"..")</f>
        <v>..</v>
      </c>
      <c r="BJ63" s="117" t="str">
        <f>IFERROR($BI63*$AW63,"..")</f>
        <v>..</v>
      </c>
      <c r="BK63" s="846" t="str">
        <f>IFERROR($BB63/$BJ63,"..")</f>
        <v>..</v>
      </c>
      <c r="BL63" s="117" t="str">
        <f>IFERROR(VLOOKUP($D63,'WB Data'!$C$3:$M$578,7,FALSE)/100,"..")</f>
        <v>..</v>
      </c>
      <c r="BM63" s="117" t="str">
        <f>IFERROR($AW63*$BL63,"..")</f>
        <v>..</v>
      </c>
      <c r="BN63" s="846" t="str">
        <f>IFERROR($BB63/$BM63,"..")</f>
        <v>..</v>
      </c>
      <c r="BO63" s="801">
        <f t="shared" si="2"/>
        <v>33</v>
      </c>
      <c r="BP63" s="117" t="str">
        <f>VLOOKUP($D63,'WB Data'!$C$3:$M$578,9,FALSE)</f>
        <v>..</v>
      </c>
      <c r="BQ63" s="117">
        <f>VLOOKUP($D63,'WB Data'!$C$3:$M$578,10,FALSE)</f>
        <v>77.163219512195127</v>
      </c>
      <c r="BR63" s="117">
        <f>VLOOKUP($D63,'WB Data'!$C$3:$M$578,11,FALSE)</f>
        <v>14.2</v>
      </c>
      <c r="BS63" s="129" t="str">
        <f>IFERROR(VLOOKUP($D63,'WB Data 2'!$C$2:$K$545,9,FALSE),"..")</f>
        <v>..</v>
      </c>
      <c r="BT63" s="129" t="str">
        <f>_xlfn.IFNA(VLOOKUP($C63,RGI!$A$2:$C$43,2,FALSE),"..")</f>
        <v>..</v>
      </c>
      <c r="BU63" s="129" t="str">
        <f>_xlfn.IFNA(VLOOKUP($C63,RGI!$A$2:$C$43,3,FALSE),"..")</f>
        <v>..</v>
      </c>
      <c r="BV63" s="129">
        <f>VLOOKUP($D63,WGI!$C$2:$O$478,7,FALSE)</f>
        <v>6.5167090365740102E-2</v>
      </c>
      <c r="BW63" s="129">
        <f>VLOOKUP($D63,WGI!$C$2:$O$478,4,FALSE)</f>
        <v>-0.29043318113751998</v>
      </c>
      <c r="BX63" s="129">
        <f>VLOOKUP($D63,WGI!$C$2:$O$478,3,FALSE)</f>
        <v>-0.20149568880232799</v>
      </c>
      <c r="BY63" s="129">
        <f>VLOOKUP($D63,WGI!$C$2:$O$478,5,FALSE)</f>
        <v>0.23524327870851999</v>
      </c>
      <c r="BZ63" s="129">
        <f>VLOOKUP($D63,WGI!$C$2:$O$478,2,FALSE)</f>
        <v>-0.64690618884304496</v>
      </c>
    </row>
    <row r="64" spans="1:80" ht="15" customHeight="1">
      <c r="A64" s="145" t="s">
        <v>46</v>
      </c>
      <c r="B64" s="117">
        <v>2011</v>
      </c>
      <c r="C64" s="117" t="s">
        <v>38</v>
      </c>
      <c r="D64" s="117" t="s">
        <v>3687</v>
      </c>
      <c r="E64" s="174" t="s">
        <v>39</v>
      </c>
      <c r="F64" s="117"/>
      <c r="G64" s="117" t="s">
        <v>24</v>
      </c>
      <c r="H64" s="117" t="str">
        <f t="shared" si="7"/>
        <v>yes</v>
      </c>
      <c r="I64" s="117" t="str">
        <f t="shared" si="8"/>
        <v>no</v>
      </c>
      <c r="J64" s="117" t="str">
        <f t="shared" si="9"/>
        <v>no</v>
      </c>
      <c r="K64" s="176" t="s">
        <v>718</v>
      </c>
      <c r="L64" s="117" t="str">
        <f t="shared" si="0"/>
        <v>detailed</v>
      </c>
      <c r="M64" s="117" t="str">
        <f t="shared" si="1"/>
        <v>detailed Mining</v>
      </c>
      <c r="N64" s="118"/>
      <c r="O64" s="118"/>
      <c r="P64" s="118"/>
      <c r="Q64" s="118"/>
      <c r="R64" s="118"/>
      <c r="S64" s="117"/>
      <c r="T64" s="119"/>
      <c r="U64" s="117"/>
      <c r="V64" s="117"/>
      <c r="W64" s="89"/>
      <c r="X64" s="117"/>
      <c r="Y64" s="117"/>
      <c r="Z64" s="117"/>
      <c r="AA64" s="177"/>
      <c r="AB64" s="177"/>
      <c r="AC64" s="122"/>
      <c r="AD64" s="177"/>
      <c r="AE64" s="122"/>
      <c r="AF64" s="123"/>
      <c r="AG64" s="117"/>
      <c r="AH64" s="189"/>
      <c r="AI64" s="177"/>
      <c r="AJ64" s="117"/>
      <c r="AK64" s="89"/>
      <c r="AL64" s="117"/>
      <c r="AM64" s="117"/>
      <c r="AN64" s="117"/>
      <c r="AO64" s="117"/>
      <c r="AP64" s="117"/>
      <c r="AQ64" s="117"/>
      <c r="AR64" s="117"/>
      <c r="AS64" s="117"/>
      <c r="AT64" s="117"/>
      <c r="AU64" s="117"/>
      <c r="AV64" s="128"/>
      <c r="AW64" s="117">
        <f>VLOOKUP($D64,'WB Data'!$C$3:$M$578,2,FALSE)</f>
        <v>12890866742.653254</v>
      </c>
      <c r="AX64" s="117">
        <f>VLOOKUP($D64,'WB Data'!$C$3:$M$578,3,FALSE)</f>
        <v>2829337</v>
      </c>
      <c r="AY64" s="847">
        <f t="shared" si="3"/>
        <v>6.8011059549909041E-3</v>
      </c>
      <c r="AZ64" s="117" t="e">
        <f>VLOOKUP($D64,'WB Data'!$C$3:$M$578,4,FALSE)/100</f>
        <v>#VALUE!</v>
      </c>
      <c r="BA64" s="117" t="str">
        <f t="shared" si="4"/>
        <v>..</v>
      </c>
      <c r="BB64" s="129">
        <f>IFERROR(VLOOKUP($D64,'EITI Revenues'!$C$2:$G$224,5,FALSE),"..")</f>
        <v>87672150.568453237</v>
      </c>
      <c r="BC64" s="846" t="str">
        <f t="shared" si="5"/>
        <v>..</v>
      </c>
      <c r="BD64" s="129">
        <f>VLOOKUP($D64,'WB Data 2'!$C$2:$K$545,6,FALSE)</f>
        <v>645705290.5322727</v>
      </c>
      <c r="BE64" s="129">
        <f>IFERROR(VLOOKUP($D64,UNCTAD!$C$5:$V$529,4,FALSE),"..")</f>
        <v>4391290000</v>
      </c>
      <c r="BF64" s="846">
        <f t="shared" si="6"/>
        <v>0.14704227926925179</v>
      </c>
      <c r="BG64" s="117">
        <f>VLOOKUP($D64,'WB Data'!$C$3:$M$578,5,FALSE)</f>
        <v>350750000</v>
      </c>
      <c r="BH64" s="129">
        <f>IFERROR($BB64/$BG64,"..")</f>
        <v>0.24995623825645968</v>
      </c>
      <c r="BI64" s="117" t="str">
        <f>IFERROR(VLOOKUP($D64,'WB Data'!$C$3:$M$578,7,FALSE)/100,"..")</f>
        <v>..</v>
      </c>
      <c r="BJ64" s="117" t="str">
        <f>IFERROR($BI64*$AW64,"..")</f>
        <v>..</v>
      </c>
      <c r="BK64" s="846" t="str">
        <f>IFERROR($BB64/$BJ64,"..")</f>
        <v>..</v>
      </c>
      <c r="BL64" s="117" t="str">
        <f>IFERROR(VLOOKUP($D64,'WB Data'!$C$3:$M$578,7,FALSE)/100,"..")</f>
        <v>..</v>
      </c>
      <c r="BM64" s="117" t="str">
        <f>IFERROR($AW64*$BL64,"..")</f>
        <v>..</v>
      </c>
      <c r="BN64" s="846" t="str">
        <f>IFERROR($BB64/$BM64,"..")</f>
        <v>..</v>
      </c>
      <c r="BO64" s="801">
        <f t="shared" si="2"/>
        <v>33</v>
      </c>
      <c r="BP64" s="117" t="str">
        <f>VLOOKUP($D64,'WB Data'!$C$3:$M$578,9,FALSE)</f>
        <v>..</v>
      </c>
      <c r="BQ64" s="117">
        <f>VLOOKUP($D64,'WB Data'!$C$3:$M$578,10,FALSE)</f>
        <v>77.163219512195127</v>
      </c>
      <c r="BR64" s="117">
        <f>VLOOKUP($D64,'WB Data'!$C$3:$M$578,11,FALSE)</f>
        <v>14.2</v>
      </c>
      <c r="BS64" s="129" t="str">
        <f>IFERROR(VLOOKUP($D64,'WB Data 2'!$C$2:$K$545,9,FALSE),"..")</f>
        <v>..</v>
      </c>
      <c r="BT64" s="129" t="str">
        <f>_xlfn.IFNA(VLOOKUP($C64,RGI!$A$2:$C$43,2,FALSE),"..")</f>
        <v>..</v>
      </c>
      <c r="BU64" s="129" t="str">
        <f>_xlfn.IFNA(VLOOKUP($C64,RGI!$A$2:$C$43,3,FALSE),"..")</f>
        <v>..</v>
      </c>
      <c r="BV64" s="129">
        <f>VLOOKUP($D64,WGI!$C$2:$O$478,7,FALSE)</f>
        <v>6.5167090365740102E-2</v>
      </c>
      <c r="BW64" s="129">
        <f>VLOOKUP($D64,WGI!$C$2:$O$478,4,FALSE)</f>
        <v>-0.29043318113751998</v>
      </c>
      <c r="BX64" s="129">
        <f>VLOOKUP($D64,WGI!$C$2:$O$478,3,FALSE)</f>
        <v>-0.20149568880232799</v>
      </c>
      <c r="BY64" s="129">
        <f>VLOOKUP($D64,WGI!$C$2:$O$478,5,FALSE)</f>
        <v>0.23524327870851999</v>
      </c>
      <c r="BZ64" s="129">
        <f>VLOOKUP($D64,WGI!$C$2:$O$478,2,FALSE)</f>
        <v>-0.64690618884304496</v>
      </c>
    </row>
    <row r="65" spans="1:80" ht="15" customHeight="1">
      <c r="A65" s="145" t="s">
        <v>46</v>
      </c>
      <c r="B65" s="117">
        <v>2011</v>
      </c>
      <c r="C65" s="117" t="s">
        <v>38</v>
      </c>
      <c r="D65" s="117" t="s">
        <v>3687</v>
      </c>
      <c r="E65" s="174" t="s">
        <v>39</v>
      </c>
      <c r="F65" s="117"/>
      <c r="G65" s="117" t="s">
        <v>24</v>
      </c>
      <c r="H65" s="117" t="str">
        <f t="shared" si="7"/>
        <v>yes</v>
      </c>
      <c r="I65" s="117" t="str">
        <f t="shared" si="8"/>
        <v>no</v>
      </c>
      <c r="J65" s="117" t="str">
        <f t="shared" si="9"/>
        <v>no</v>
      </c>
      <c r="K65" s="176" t="s">
        <v>614</v>
      </c>
      <c r="L65" s="117" t="str">
        <f t="shared" si="0"/>
        <v>detailed</v>
      </c>
      <c r="M65" s="117" t="str">
        <f t="shared" si="1"/>
        <v>detailed Mining</v>
      </c>
      <c r="N65" s="118"/>
      <c r="O65" s="118"/>
      <c r="P65" s="118"/>
      <c r="Q65" s="118"/>
      <c r="R65" s="118"/>
      <c r="S65" s="117"/>
      <c r="T65" s="119"/>
      <c r="U65" s="117"/>
      <c r="V65" s="117"/>
      <c r="W65" s="89">
        <v>143000000</v>
      </c>
      <c r="X65" s="117"/>
      <c r="Y65" s="117"/>
      <c r="Z65" s="117"/>
      <c r="AA65" s="177"/>
      <c r="AB65" s="177"/>
      <c r="AC65" s="122"/>
      <c r="AD65" s="122"/>
      <c r="AE65" s="122"/>
      <c r="AF65" s="123"/>
      <c r="AG65" s="117"/>
      <c r="AH65" s="189"/>
      <c r="AI65" s="177"/>
      <c r="AJ65" s="117"/>
      <c r="AK65" s="177"/>
      <c r="AL65" s="177"/>
      <c r="AM65" s="117"/>
      <c r="AN65" s="117"/>
      <c r="AO65" s="117"/>
      <c r="AP65" s="117"/>
      <c r="AQ65" s="117"/>
      <c r="AR65" s="117"/>
      <c r="AS65" s="117"/>
      <c r="AT65" s="117"/>
      <c r="AU65" s="117"/>
      <c r="AV65" s="128" t="s">
        <v>719</v>
      </c>
      <c r="AW65" s="117">
        <f>VLOOKUP($D65,'WB Data'!$C$3:$M$578,2,FALSE)</f>
        <v>12890866742.653254</v>
      </c>
      <c r="AX65" s="117">
        <f>VLOOKUP($D65,'WB Data'!$C$3:$M$578,3,FALSE)</f>
        <v>2829337</v>
      </c>
      <c r="AY65" s="847">
        <f t="shared" si="3"/>
        <v>6.8011059549909041E-3</v>
      </c>
      <c r="AZ65" s="117" t="e">
        <f>VLOOKUP($D65,'WB Data'!$C$3:$M$578,4,FALSE)/100</f>
        <v>#VALUE!</v>
      </c>
      <c r="BA65" s="117" t="str">
        <f t="shared" si="4"/>
        <v>..</v>
      </c>
      <c r="BB65" s="129">
        <f>IFERROR(VLOOKUP($D65,'EITI Revenues'!$C$2:$G$224,5,FALSE),"..")</f>
        <v>87672150.568453237</v>
      </c>
      <c r="BC65" s="846" t="str">
        <f t="shared" si="5"/>
        <v>..</v>
      </c>
      <c r="BD65" s="129">
        <f>VLOOKUP($D65,'WB Data 2'!$C$2:$K$545,6,FALSE)</f>
        <v>645705290.5322727</v>
      </c>
      <c r="BE65" s="129">
        <f>IFERROR(VLOOKUP($D65,UNCTAD!$C$5:$V$529,4,FALSE),"..")</f>
        <v>4391290000</v>
      </c>
      <c r="BF65" s="846">
        <f t="shared" si="6"/>
        <v>0.14704227926925179</v>
      </c>
      <c r="BG65" s="117">
        <f>VLOOKUP($D65,'WB Data'!$C$3:$M$578,5,FALSE)</f>
        <v>350750000</v>
      </c>
      <c r="BH65" s="129">
        <f>IFERROR($BB65/$BG65,"..")</f>
        <v>0.24995623825645968</v>
      </c>
      <c r="BI65" s="117" t="str">
        <f>IFERROR(VLOOKUP($D65,'WB Data'!$C$3:$M$578,7,FALSE)/100,"..")</f>
        <v>..</v>
      </c>
      <c r="BJ65" s="117" t="str">
        <f>IFERROR($BI65*$AW65,"..")</f>
        <v>..</v>
      </c>
      <c r="BK65" s="846" t="str">
        <f>IFERROR($BB65/$BJ65,"..")</f>
        <v>..</v>
      </c>
      <c r="BL65" s="117" t="str">
        <f>IFERROR(VLOOKUP($D65,'WB Data'!$C$3:$M$578,7,FALSE)/100,"..")</f>
        <v>..</v>
      </c>
      <c r="BM65" s="117" t="str">
        <f>IFERROR($AW65*$BL65,"..")</f>
        <v>..</v>
      </c>
      <c r="BN65" s="846" t="str">
        <f>IFERROR($BB65/$BM65,"..")</f>
        <v>..</v>
      </c>
      <c r="BO65" s="801">
        <f t="shared" si="2"/>
        <v>33</v>
      </c>
      <c r="BP65" s="117" t="str">
        <f>VLOOKUP($D65,'WB Data'!$C$3:$M$578,9,FALSE)</f>
        <v>..</v>
      </c>
      <c r="BQ65" s="117">
        <f>VLOOKUP($D65,'WB Data'!$C$3:$M$578,10,FALSE)</f>
        <v>77.163219512195127</v>
      </c>
      <c r="BR65" s="117">
        <f>VLOOKUP($D65,'WB Data'!$C$3:$M$578,11,FALSE)</f>
        <v>14.2</v>
      </c>
      <c r="BS65" s="129" t="str">
        <f>IFERROR(VLOOKUP($D65,'WB Data 2'!$C$2:$K$545,9,FALSE),"..")</f>
        <v>..</v>
      </c>
      <c r="BT65" s="129" t="str">
        <f>_xlfn.IFNA(VLOOKUP($C65,RGI!$A$2:$C$43,2,FALSE),"..")</f>
        <v>..</v>
      </c>
      <c r="BU65" s="129" t="str">
        <f>_xlfn.IFNA(VLOOKUP($C65,RGI!$A$2:$C$43,3,FALSE),"..")</f>
        <v>..</v>
      </c>
      <c r="BV65" s="129">
        <f>VLOOKUP($D65,WGI!$C$2:$O$478,7,FALSE)</f>
        <v>6.5167090365740102E-2</v>
      </c>
      <c r="BW65" s="129">
        <f>VLOOKUP($D65,WGI!$C$2:$O$478,4,FALSE)</f>
        <v>-0.29043318113751998</v>
      </c>
      <c r="BX65" s="129">
        <f>VLOOKUP($D65,WGI!$C$2:$O$478,3,FALSE)</f>
        <v>-0.20149568880232799</v>
      </c>
      <c r="BY65" s="129">
        <f>VLOOKUP($D65,WGI!$C$2:$O$478,5,FALSE)</f>
        <v>0.23524327870851999</v>
      </c>
      <c r="BZ65" s="129">
        <f>VLOOKUP($D65,WGI!$C$2:$O$478,2,FALSE)</f>
        <v>-0.64690618884304496</v>
      </c>
    </row>
    <row r="66" spans="1:80" ht="15" customHeight="1">
      <c r="A66" s="145" t="s">
        <v>46</v>
      </c>
      <c r="B66" s="117">
        <v>2011</v>
      </c>
      <c r="C66" s="117" t="s">
        <v>38</v>
      </c>
      <c r="D66" s="117" t="s">
        <v>3687</v>
      </c>
      <c r="E66" s="174" t="s">
        <v>39</v>
      </c>
      <c r="F66" s="117"/>
      <c r="G66" s="117" t="s">
        <v>24</v>
      </c>
      <c r="H66" s="117" t="str">
        <f t="shared" si="7"/>
        <v>yes</v>
      </c>
      <c r="I66" s="117" t="str">
        <f t="shared" si="8"/>
        <v>no</v>
      </c>
      <c r="J66" s="117" t="str">
        <f t="shared" si="9"/>
        <v>no</v>
      </c>
      <c r="K66" s="176" t="s">
        <v>619</v>
      </c>
      <c r="L66" s="117" t="str">
        <f t="shared" ref="L66:L129" si="13">IF(LEFT(K66,5)="Total","Total","detailed")</f>
        <v>detailed</v>
      </c>
      <c r="M66" s="117" t="str">
        <f t="shared" ref="M66:M102" si="14">L66&amp;" "&amp;G66</f>
        <v>detailed Mining</v>
      </c>
      <c r="N66" s="118"/>
      <c r="O66" s="118"/>
      <c r="P66" s="118"/>
      <c r="Q66" s="118"/>
      <c r="R66" s="118"/>
      <c r="S66" s="117"/>
      <c r="T66" s="119"/>
      <c r="U66" s="117"/>
      <c r="V66" s="117"/>
      <c r="W66" s="89"/>
      <c r="X66" s="117"/>
      <c r="Y66" s="117"/>
      <c r="Z66" s="117"/>
      <c r="AA66" s="121"/>
      <c r="AB66" s="121"/>
      <c r="AC66" s="122"/>
      <c r="AD66" s="122"/>
      <c r="AE66" s="122"/>
      <c r="AF66" s="123"/>
      <c r="AG66" s="117"/>
      <c r="AH66" s="124"/>
      <c r="AI66" s="117"/>
      <c r="AJ66" s="117"/>
      <c r="AK66" s="117"/>
      <c r="AL66" s="117"/>
      <c r="AM66" s="117"/>
      <c r="AN66" s="117"/>
      <c r="AO66" s="117"/>
      <c r="AP66" s="117"/>
      <c r="AQ66" s="117"/>
      <c r="AR66" s="117"/>
      <c r="AS66" s="117"/>
      <c r="AT66" s="117"/>
      <c r="AU66" s="117"/>
      <c r="AV66" s="128"/>
      <c r="AW66" s="117">
        <f>VLOOKUP($D66,'WB Data'!$C$3:$M$578,2,FALSE)</f>
        <v>12890866742.653254</v>
      </c>
      <c r="AX66" s="117">
        <f>VLOOKUP($D66,'WB Data'!$C$3:$M$578,3,FALSE)</f>
        <v>2829337</v>
      </c>
      <c r="AY66" s="847">
        <f t="shared" si="3"/>
        <v>6.8011059549909041E-3</v>
      </c>
      <c r="AZ66" s="117" t="e">
        <f>VLOOKUP($D66,'WB Data'!$C$3:$M$578,4,FALSE)/100</f>
        <v>#VALUE!</v>
      </c>
      <c r="BA66" s="117" t="str">
        <f t="shared" si="4"/>
        <v>..</v>
      </c>
      <c r="BB66" s="129">
        <f>IFERROR(VLOOKUP($D66,'EITI Revenues'!$C$2:$G$224,5,FALSE),"..")</f>
        <v>87672150.568453237</v>
      </c>
      <c r="BC66" s="846" t="str">
        <f t="shared" si="5"/>
        <v>..</v>
      </c>
      <c r="BD66" s="129">
        <f>VLOOKUP($D66,'WB Data 2'!$C$2:$K$545,6,FALSE)</f>
        <v>645705290.5322727</v>
      </c>
      <c r="BE66" s="129">
        <f>IFERROR(VLOOKUP($D66,UNCTAD!$C$5:$V$529,4,FALSE),"..")</f>
        <v>4391290000</v>
      </c>
      <c r="BF66" s="846">
        <f t="shared" si="6"/>
        <v>0.14704227926925179</v>
      </c>
      <c r="BG66" s="117">
        <f>VLOOKUP($D66,'WB Data'!$C$3:$M$578,5,FALSE)</f>
        <v>350750000</v>
      </c>
      <c r="BH66" s="129">
        <f>IFERROR($BB66/$BG66,"..")</f>
        <v>0.24995623825645968</v>
      </c>
      <c r="BI66" s="117" t="str">
        <f>IFERROR(VLOOKUP($D66,'WB Data'!$C$3:$M$578,7,FALSE)/100,"..")</f>
        <v>..</v>
      </c>
      <c r="BJ66" s="117" t="str">
        <f>IFERROR($BI66*$AW66,"..")</f>
        <v>..</v>
      </c>
      <c r="BK66" s="846" t="str">
        <f>IFERROR($BB66/$BJ66,"..")</f>
        <v>..</v>
      </c>
      <c r="BL66" s="117" t="str">
        <f>IFERROR(VLOOKUP($D66,'WB Data'!$C$3:$M$578,7,FALSE)/100,"..")</f>
        <v>..</v>
      </c>
      <c r="BM66" s="117" t="str">
        <f>IFERROR($AW66*$BL66,"..")</f>
        <v>..</v>
      </c>
      <c r="BN66" s="846" t="str">
        <f>IFERROR($BB66/$BM66,"..")</f>
        <v>..</v>
      </c>
      <c r="BO66" s="801">
        <f t="shared" ref="BO66:BO129" si="15">_xlfn.IFNA(VLOOKUP($C66,CPI_2013,2,FALSE),"..")</f>
        <v>33</v>
      </c>
      <c r="BP66" s="117" t="str">
        <f>VLOOKUP($D66,'WB Data'!$C$3:$M$578,9,FALSE)</f>
        <v>..</v>
      </c>
      <c r="BQ66" s="117">
        <f>VLOOKUP($D66,'WB Data'!$C$3:$M$578,10,FALSE)</f>
        <v>77.163219512195127</v>
      </c>
      <c r="BR66" s="117">
        <f>VLOOKUP($D66,'WB Data'!$C$3:$M$578,11,FALSE)</f>
        <v>14.2</v>
      </c>
      <c r="BS66" s="129" t="str">
        <f>IFERROR(VLOOKUP($D66,'WB Data 2'!$C$2:$K$545,9,FALSE),"..")</f>
        <v>..</v>
      </c>
      <c r="BT66" s="129" t="str">
        <f>_xlfn.IFNA(VLOOKUP($C66,RGI!$A$2:$C$43,2,FALSE),"..")</f>
        <v>..</v>
      </c>
      <c r="BU66" s="129" t="str">
        <f>_xlfn.IFNA(VLOOKUP($C66,RGI!$A$2:$C$43,3,FALSE),"..")</f>
        <v>..</v>
      </c>
      <c r="BV66" s="129">
        <f>VLOOKUP($D66,WGI!$C$2:$O$478,7,FALSE)</f>
        <v>6.5167090365740102E-2</v>
      </c>
      <c r="BW66" s="129">
        <f>VLOOKUP($D66,WGI!$C$2:$O$478,4,FALSE)</f>
        <v>-0.29043318113751998</v>
      </c>
      <c r="BX66" s="129">
        <f>VLOOKUP($D66,WGI!$C$2:$O$478,3,FALSE)</f>
        <v>-0.20149568880232799</v>
      </c>
      <c r="BY66" s="129">
        <f>VLOOKUP($D66,WGI!$C$2:$O$478,5,FALSE)</f>
        <v>0.23524327870851999</v>
      </c>
      <c r="BZ66" s="129">
        <f>VLOOKUP($D66,WGI!$C$2:$O$478,2,FALSE)</f>
        <v>-0.64690618884304496</v>
      </c>
    </row>
    <row r="67" spans="1:80" ht="15" customHeight="1">
      <c r="A67" s="145" t="s">
        <v>46</v>
      </c>
      <c r="B67" s="117">
        <v>2011</v>
      </c>
      <c r="C67" s="117" t="s">
        <v>38</v>
      </c>
      <c r="D67" s="117" t="s">
        <v>3687</v>
      </c>
      <c r="E67" s="174" t="s">
        <v>39</v>
      </c>
      <c r="F67" s="117"/>
      <c r="G67" s="117" t="s">
        <v>24</v>
      </c>
      <c r="H67" s="117" t="str">
        <f t="shared" si="7"/>
        <v>yes</v>
      </c>
      <c r="I67" s="117" t="str">
        <f t="shared" si="8"/>
        <v>no</v>
      </c>
      <c r="J67" s="117" t="str">
        <f t="shared" si="9"/>
        <v>no</v>
      </c>
      <c r="K67" s="176" t="s">
        <v>703</v>
      </c>
      <c r="L67" s="117" t="str">
        <f t="shared" si="13"/>
        <v>detailed</v>
      </c>
      <c r="M67" s="117" t="str">
        <f t="shared" si="14"/>
        <v>detailed Mining</v>
      </c>
      <c r="N67" s="118"/>
      <c r="O67" s="118"/>
      <c r="P67" s="118"/>
      <c r="Q67" s="118"/>
      <c r="R67" s="118"/>
      <c r="S67" s="117"/>
      <c r="T67" s="119"/>
      <c r="U67" s="117"/>
      <c r="V67" s="117"/>
      <c r="W67" s="89"/>
      <c r="X67" s="117"/>
      <c r="Y67" s="117"/>
      <c r="Z67" s="117"/>
      <c r="AA67" s="121"/>
      <c r="AB67" s="121"/>
      <c r="AC67" s="122"/>
      <c r="AD67" s="122"/>
      <c r="AE67" s="122"/>
      <c r="AF67" s="123"/>
      <c r="AG67" s="117"/>
      <c r="AH67" s="124"/>
      <c r="AI67" s="117"/>
      <c r="AJ67" s="117"/>
      <c r="AK67" s="89"/>
      <c r="AL67" s="117"/>
      <c r="AM67" s="117"/>
      <c r="AN67" s="117"/>
      <c r="AO67" s="117"/>
      <c r="AP67" s="117"/>
      <c r="AQ67" s="117"/>
      <c r="AR67" s="117"/>
      <c r="AS67" s="117"/>
      <c r="AT67" s="117"/>
      <c r="AU67" s="117"/>
      <c r="AV67" s="128"/>
      <c r="AW67" s="117">
        <f>VLOOKUP($D67,'WB Data'!$C$3:$M$578,2,FALSE)</f>
        <v>12890866742.653254</v>
      </c>
      <c r="AX67" s="117">
        <f>VLOOKUP($D67,'WB Data'!$C$3:$M$578,3,FALSE)</f>
        <v>2829337</v>
      </c>
      <c r="AY67" s="847">
        <f t="shared" ref="AY67:AY130" si="16">IFERROR($BB67/$AW67,"..")</f>
        <v>6.8011059549909041E-3</v>
      </c>
      <c r="AZ67" s="117" t="e">
        <f>VLOOKUP($D67,'WB Data'!$C$3:$M$578,4,FALSE)/100</f>
        <v>#VALUE!</v>
      </c>
      <c r="BA67" s="117" t="str">
        <f t="shared" ref="BA67:BA130" si="17">IFERROR($AW67*$AZ67,"..")</f>
        <v>..</v>
      </c>
      <c r="BB67" s="129">
        <f>IFERROR(VLOOKUP($D67,'EITI Revenues'!$C$2:$G$224,5,FALSE),"..")</f>
        <v>87672150.568453237</v>
      </c>
      <c r="BC67" s="846" t="str">
        <f t="shared" ref="BC67:BC130" si="18">IFERROR($BB67/$BA67,"..")</f>
        <v>..</v>
      </c>
      <c r="BD67" s="129">
        <f>VLOOKUP($D67,'WB Data 2'!$C$2:$K$545,6,FALSE)</f>
        <v>645705290.5322727</v>
      </c>
      <c r="BE67" s="129">
        <f>IFERROR(VLOOKUP($D67,UNCTAD!$C$5:$V$529,4,FALSE),"..")</f>
        <v>4391290000</v>
      </c>
      <c r="BF67" s="846">
        <f t="shared" ref="BF67:BF130" si="19">IFERROR(($BD67/$BE67),"..")</f>
        <v>0.14704227926925179</v>
      </c>
      <c r="BG67" s="117">
        <f>VLOOKUP($D67,'WB Data'!$C$3:$M$578,5,FALSE)</f>
        <v>350750000</v>
      </c>
      <c r="BH67" s="129">
        <f>IFERROR($BB67/$BG67,"..")</f>
        <v>0.24995623825645968</v>
      </c>
      <c r="BI67" s="117" t="str">
        <f>IFERROR(VLOOKUP($D67,'WB Data'!$C$3:$M$578,7,FALSE)/100,"..")</f>
        <v>..</v>
      </c>
      <c r="BJ67" s="117" t="str">
        <f>IFERROR($BI67*$AW67,"..")</f>
        <v>..</v>
      </c>
      <c r="BK67" s="846" t="str">
        <f>IFERROR($BB67/$BJ67,"..")</f>
        <v>..</v>
      </c>
      <c r="BL67" s="117" t="str">
        <f>IFERROR(VLOOKUP($D67,'WB Data'!$C$3:$M$578,7,FALSE)/100,"..")</f>
        <v>..</v>
      </c>
      <c r="BM67" s="117" t="str">
        <f>IFERROR($AW67*$BL67,"..")</f>
        <v>..</v>
      </c>
      <c r="BN67" s="846" t="str">
        <f>IFERROR($BB67/$BM67,"..")</f>
        <v>..</v>
      </c>
      <c r="BO67" s="801">
        <f t="shared" si="15"/>
        <v>33</v>
      </c>
      <c r="BP67" s="117" t="str">
        <f>VLOOKUP($D67,'WB Data'!$C$3:$M$578,9,FALSE)</f>
        <v>..</v>
      </c>
      <c r="BQ67" s="117">
        <f>VLOOKUP($D67,'WB Data'!$C$3:$M$578,10,FALSE)</f>
        <v>77.163219512195127</v>
      </c>
      <c r="BR67" s="117">
        <f>VLOOKUP($D67,'WB Data'!$C$3:$M$578,11,FALSE)</f>
        <v>14.2</v>
      </c>
      <c r="BS67" s="129" t="str">
        <f>IFERROR(VLOOKUP($D67,'WB Data 2'!$C$2:$K$545,9,FALSE),"..")</f>
        <v>..</v>
      </c>
      <c r="BT67" s="129" t="str">
        <f>_xlfn.IFNA(VLOOKUP($C67,RGI!$A$2:$C$43,2,FALSE),"..")</f>
        <v>..</v>
      </c>
      <c r="BU67" s="129" t="str">
        <f>_xlfn.IFNA(VLOOKUP($C67,RGI!$A$2:$C$43,3,FALSE),"..")</f>
        <v>..</v>
      </c>
      <c r="BV67" s="129">
        <f>VLOOKUP($D67,WGI!$C$2:$O$478,7,FALSE)</f>
        <v>6.5167090365740102E-2</v>
      </c>
      <c r="BW67" s="129">
        <f>VLOOKUP($D67,WGI!$C$2:$O$478,4,FALSE)</f>
        <v>-0.29043318113751998</v>
      </c>
      <c r="BX67" s="129">
        <f>VLOOKUP($D67,WGI!$C$2:$O$478,3,FALSE)</f>
        <v>-0.20149568880232799</v>
      </c>
      <c r="BY67" s="129">
        <f>VLOOKUP($D67,WGI!$C$2:$O$478,5,FALSE)</f>
        <v>0.23524327870851999</v>
      </c>
      <c r="BZ67" s="129">
        <f>VLOOKUP($D67,WGI!$C$2:$O$478,2,FALSE)</f>
        <v>-0.64690618884304496</v>
      </c>
    </row>
    <row r="68" spans="1:80" s="158" customFormat="1" ht="15" customHeight="1">
      <c r="A68" s="147" t="s">
        <v>46</v>
      </c>
      <c r="B68" s="149">
        <v>2011</v>
      </c>
      <c r="C68" s="117" t="s">
        <v>38</v>
      </c>
      <c r="D68" s="117" t="s">
        <v>3687</v>
      </c>
      <c r="E68" s="187" t="s">
        <v>39</v>
      </c>
      <c r="F68" s="149"/>
      <c r="G68" s="149" t="s">
        <v>24</v>
      </c>
      <c r="H68" s="149" t="str">
        <f t="shared" ref="H68:H102" si="20">IF($G68="Mining","yes",IF($G68="Oil, Gas, Mining","yes",IF($G68="Gas, Mining","yes",IF($G68="Oil, Mining","yes",IF($G68="Oil, Mining, Other","yes","no")))))</f>
        <v>yes</v>
      </c>
      <c r="I68" s="149" t="str">
        <f t="shared" ref="I68:I102" si="21">IF($G68="Gas","yes",IF($G68="Oil, Gas, Mining","yes",IF($G68="Gas, Mining","yes",IF($G68="Oil, Gas","yes",IF($G68="Oil, Gas, Other","yes","no")))))</f>
        <v>no</v>
      </c>
      <c r="J68" s="149" t="str">
        <f t="shared" ref="J68:J102" si="22">IF($G68="Oil","yes",IF($G68="Oil, Gas, Mining","yes",IF($G68="Oil, Mining","yes",IF($G68="Oil, Gas","yes",IF($G68="Oil, Gas, Other","yes","no")))))</f>
        <v>no</v>
      </c>
      <c r="K68" s="188" t="s">
        <v>686</v>
      </c>
      <c r="L68" s="149" t="str">
        <f t="shared" si="13"/>
        <v>detailed</v>
      </c>
      <c r="M68" s="149" t="str">
        <f t="shared" si="14"/>
        <v>detailed Mining</v>
      </c>
      <c r="N68" s="150"/>
      <c r="O68" s="150"/>
      <c r="P68" s="150"/>
      <c r="Q68" s="150"/>
      <c r="R68" s="150"/>
      <c r="S68" s="149"/>
      <c r="T68" s="151"/>
      <c r="U68" s="149"/>
      <c r="V68" s="149"/>
      <c r="W68" s="152"/>
      <c r="X68" s="149"/>
      <c r="Y68" s="149"/>
      <c r="Z68" s="149"/>
      <c r="AA68" s="153"/>
      <c r="AB68" s="153"/>
      <c r="AC68" s="154"/>
      <c r="AD68" s="154"/>
      <c r="AE68" s="154"/>
      <c r="AF68" s="155"/>
      <c r="AG68" s="149"/>
      <c r="AH68" s="156"/>
      <c r="AI68" s="149"/>
      <c r="AJ68" s="149"/>
      <c r="AK68" s="152"/>
      <c r="AL68" s="149"/>
      <c r="AM68" s="149"/>
      <c r="AN68" s="149"/>
      <c r="AO68" s="149"/>
      <c r="AP68" s="149"/>
      <c r="AQ68" s="149"/>
      <c r="AR68" s="149"/>
      <c r="AS68" s="149"/>
      <c r="AT68" s="149"/>
      <c r="AU68" s="149"/>
      <c r="AV68" s="157"/>
      <c r="AW68" s="117">
        <f>VLOOKUP($D68,'WB Data'!$C$3:$M$578,2,FALSE)</f>
        <v>12890866742.653254</v>
      </c>
      <c r="AX68" s="117">
        <f>VLOOKUP($D68,'WB Data'!$C$3:$M$578,3,FALSE)</f>
        <v>2829337</v>
      </c>
      <c r="AY68" s="847">
        <f t="shared" si="16"/>
        <v>6.8011059549909041E-3</v>
      </c>
      <c r="AZ68" s="117" t="e">
        <f>VLOOKUP($D68,'WB Data'!$C$3:$M$578,4,FALSE)/100</f>
        <v>#VALUE!</v>
      </c>
      <c r="BA68" s="117" t="str">
        <f t="shared" si="17"/>
        <v>..</v>
      </c>
      <c r="BB68" s="129">
        <f>IFERROR(VLOOKUP($D68,'EITI Revenues'!$C$2:$G$224,5,FALSE),"..")</f>
        <v>87672150.568453237</v>
      </c>
      <c r="BC68" s="846" t="str">
        <f t="shared" si="18"/>
        <v>..</v>
      </c>
      <c r="BD68" s="129">
        <f>VLOOKUP($D68,'WB Data 2'!$C$2:$K$545,6,FALSE)</f>
        <v>645705290.5322727</v>
      </c>
      <c r="BE68" s="129">
        <f>IFERROR(VLOOKUP($D68,UNCTAD!$C$5:$V$529,4,FALSE),"..")</f>
        <v>4391290000</v>
      </c>
      <c r="BF68" s="846">
        <f t="shared" si="19"/>
        <v>0.14704227926925179</v>
      </c>
      <c r="BG68" s="117">
        <f>VLOOKUP($D68,'WB Data'!$C$3:$M$578,5,FALSE)</f>
        <v>350750000</v>
      </c>
      <c r="BH68" s="129">
        <f>IFERROR($BB68/$BG68,"..")</f>
        <v>0.24995623825645968</v>
      </c>
      <c r="BI68" s="117" t="str">
        <f>IFERROR(VLOOKUP($D68,'WB Data'!$C$3:$M$578,7,FALSE)/100,"..")</f>
        <v>..</v>
      </c>
      <c r="BJ68" s="117" t="str">
        <f>IFERROR($BI68*$AW68,"..")</f>
        <v>..</v>
      </c>
      <c r="BK68" s="846" t="str">
        <f>IFERROR($BB68/$BJ68,"..")</f>
        <v>..</v>
      </c>
      <c r="BL68" s="117" t="str">
        <f>IFERROR(VLOOKUP($D68,'WB Data'!$C$3:$M$578,7,FALSE)/100,"..")</f>
        <v>..</v>
      </c>
      <c r="BM68" s="117" t="str">
        <f>IFERROR($AW68*$BL68,"..")</f>
        <v>..</v>
      </c>
      <c r="BN68" s="846" t="str">
        <f>IFERROR($BB68/$BM68,"..")</f>
        <v>..</v>
      </c>
      <c r="BO68" s="801">
        <f t="shared" si="15"/>
        <v>33</v>
      </c>
      <c r="BP68" s="117" t="str">
        <f>VLOOKUP($D68,'WB Data'!$C$3:$M$578,9,FALSE)</f>
        <v>..</v>
      </c>
      <c r="BQ68" s="117">
        <f>VLOOKUP($D68,'WB Data'!$C$3:$M$578,10,FALSE)</f>
        <v>77.163219512195127</v>
      </c>
      <c r="BR68" s="117">
        <f>VLOOKUP($D68,'WB Data'!$C$3:$M$578,11,FALSE)</f>
        <v>14.2</v>
      </c>
      <c r="BS68" s="129" t="str">
        <f>IFERROR(VLOOKUP($D68,'WB Data 2'!$C$2:$K$545,9,FALSE),"..")</f>
        <v>..</v>
      </c>
      <c r="BT68" s="129" t="str">
        <f>_xlfn.IFNA(VLOOKUP($C68,RGI!$A$2:$C$43,2,FALSE),"..")</f>
        <v>..</v>
      </c>
      <c r="BU68" s="129" t="str">
        <f>_xlfn.IFNA(VLOOKUP($C68,RGI!$A$2:$C$43,3,FALSE),"..")</f>
        <v>..</v>
      </c>
      <c r="BV68" s="129">
        <f>VLOOKUP($D68,WGI!$C$2:$O$478,7,FALSE)</f>
        <v>6.5167090365740102E-2</v>
      </c>
      <c r="BW68" s="129">
        <f>VLOOKUP($D68,WGI!$C$2:$O$478,4,FALSE)</f>
        <v>-0.29043318113751998</v>
      </c>
      <c r="BX68" s="129">
        <f>VLOOKUP($D68,WGI!$C$2:$O$478,3,FALSE)</f>
        <v>-0.20149568880232799</v>
      </c>
      <c r="BY68" s="129">
        <f>VLOOKUP($D68,WGI!$C$2:$O$478,5,FALSE)</f>
        <v>0.23524327870851999</v>
      </c>
      <c r="BZ68" s="129">
        <f>VLOOKUP($D68,WGI!$C$2:$O$478,2,FALSE)</f>
        <v>-0.64690618884304496</v>
      </c>
      <c r="CB68" s="129"/>
    </row>
    <row r="69" spans="1:80" ht="15" customHeight="1">
      <c r="A69" s="289" t="s">
        <v>49</v>
      </c>
      <c r="B69" s="146">
        <v>2012</v>
      </c>
      <c r="C69" s="117" t="s">
        <v>38</v>
      </c>
      <c r="D69" s="117" t="s">
        <v>3721</v>
      </c>
      <c r="E69" s="146" t="s">
        <v>39</v>
      </c>
      <c r="F69" s="146" t="s">
        <v>660</v>
      </c>
      <c r="G69" s="146" t="s">
        <v>41</v>
      </c>
      <c r="H69" s="146"/>
      <c r="I69" s="146"/>
      <c r="J69" s="146"/>
      <c r="K69" s="146" t="s">
        <v>709</v>
      </c>
      <c r="L69" s="146"/>
      <c r="M69" s="146"/>
      <c r="N69" s="754"/>
      <c r="O69" s="754"/>
      <c r="P69" s="754"/>
      <c r="Q69" s="146"/>
      <c r="R69" s="754"/>
      <c r="S69" s="146"/>
      <c r="T69" s="119"/>
      <c r="U69" s="146"/>
      <c r="V69" s="146"/>
      <c r="W69" s="89">
        <f>SUM(W70:W71)</f>
        <v>633200000</v>
      </c>
      <c r="X69" s="146" t="s">
        <v>720</v>
      </c>
      <c r="Y69" s="146" t="s">
        <v>602</v>
      </c>
      <c r="Z69" s="146" t="s">
        <v>664</v>
      </c>
      <c r="AA69" s="755">
        <v>92136623.819999993</v>
      </c>
      <c r="AB69" s="755">
        <v>92418128.930000007</v>
      </c>
      <c r="AC69" s="756"/>
      <c r="AD69" s="757">
        <v>111288355.06999999</v>
      </c>
      <c r="AE69" s="122" t="s">
        <v>596</v>
      </c>
      <c r="AF69" s="758">
        <f>AA69/W69</f>
        <v>0.14550951329753631</v>
      </c>
      <c r="AG69" s="146" t="s">
        <v>721</v>
      </c>
      <c r="AH69" s="759">
        <v>106.57</v>
      </c>
      <c r="AI69" s="146" t="s">
        <v>722</v>
      </c>
      <c r="AJ69" s="146"/>
      <c r="AK69" s="760"/>
      <c r="AL69" s="146"/>
      <c r="AM69" s="146"/>
      <c r="AN69" s="146">
        <v>78</v>
      </c>
      <c r="AO69" s="146" t="s">
        <v>723</v>
      </c>
      <c r="AP69" s="146">
        <v>74</v>
      </c>
      <c r="AQ69" s="239" t="s">
        <v>50</v>
      </c>
      <c r="AR69" s="146"/>
      <c r="AS69" s="146" t="s">
        <v>712</v>
      </c>
      <c r="AT69" s="146" t="s">
        <v>51</v>
      </c>
      <c r="AU69" s="146"/>
      <c r="AV69" s="128" t="s">
        <v>724</v>
      </c>
      <c r="AW69" s="117">
        <f>VLOOKUP($D69,'WB Data'!$C$3:$M$578,2,FALSE)</f>
        <v>12344529628.061665</v>
      </c>
      <c r="AX69" s="117">
        <f>VLOOKUP($D69,'WB Data'!$C$3:$M$578,3,FALSE)</f>
        <v>2801681</v>
      </c>
      <c r="AY69" s="847">
        <f t="shared" si="16"/>
        <v>7.4637614065548863E-3</v>
      </c>
      <c r="AZ69" s="117" t="e">
        <f>VLOOKUP($D69,'WB Data'!$C$3:$M$578,4,FALSE)/100</f>
        <v>#VALUE!</v>
      </c>
      <c r="BA69" s="117" t="str">
        <f t="shared" si="17"/>
        <v>..</v>
      </c>
      <c r="BB69" s="129">
        <f>IFERROR(VLOOKUP($D69,'EITI Revenues'!$C$2:$G$224,5,FALSE),"..")</f>
        <v>92136623.819999993</v>
      </c>
      <c r="BC69" s="846" t="str">
        <f t="shared" si="18"/>
        <v>..</v>
      </c>
      <c r="BD69" s="129">
        <f>VLOOKUP($D69,'WB Data 2'!$C$2:$K$545,6,FALSE)</f>
        <v>738064575.97141182</v>
      </c>
      <c r="BE69" s="129">
        <f>IFERROR(VLOOKUP($D69,UNCTAD!$C$5:$V$529,4,FALSE),"..")</f>
        <v>4101210000</v>
      </c>
      <c r="BF69" s="846">
        <f t="shared" si="19"/>
        <v>0.17996263931166945</v>
      </c>
      <c r="BG69" s="117">
        <f>VLOOKUP($D69,'WB Data'!$C$3:$M$578,5,FALSE)</f>
        <v>341620000</v>
      </c>
      <c r="BH69" s="129">
        <f>IFERROR($BB69/$BG69,"..")</f>
        <v>0.26970500503483402</v>
      </c>
      <c r="BI69" s="117" t="str">
        <f>IFERROR(VLOOKUP($D69,'WB Data'!$C$3:$M$578,7,FALSE)/100,"..")</f>
        <v>..</v>
      </c>
      <c r="BJ69" s="117" t="str">
        <f>IFERROR($BI69*$AW69,"..")</f>
        <v>..</v>
      </c>
      <c r="BK69" s="846" t="str">
        <f>IFERROR($BB69/$BJ69,"..")</f>
        <v>..</v>
      </c>
      <c r="BL69" s="117" t="str">
        <f>IFERROR(VLOOKUP($D69,'WB Data'!$C$3:$M$578,7,FALSE)/100,"..")</f>
        <v>..</v>
      </c>
      <c r="BM69" s="117" t="str">
        <f>IFERROR($AW69*$BL69,"..")</f>
        <v>..</v>
      </c>
      <c r="BN69" s="846" t="str">
        <f>IFERROR($BB69/$BM69,"..")</f>
        <v>..</v>
      </c>
      <c r="BO69" s="801">
        <f t="shared" si="15"/>
        <v>33</v>
      </c>
      <c r="BP69" s="117">
        <f>VLOOKUP($D69,'WB Data'!$C$3:$M$578,9,FALSE)</f>
        <v>14.3</v>
      </c>
      <c r="BQ69" s="117">
        <f>VLOOKUP($D69,'WB Data'!$C$3:$M$578,10,FALSE)</f>
        <v>77.350463414634149</v>
      </c>
      <c r="BR69" s="117">
        <f>VLOOKUP($D69,'WB Data'!$C$3:$M$578,11,FALSE)</f>
        <v>13.8</v>
      </c>
      <c r="BS69" s="129" t="str">
        <f>IFERROR(VLOOKUP($D69,'WB Data 2'!$C$2:$K$545,9,FALSE),"..")</f>
        <v>..</v>
      </c>
      <c r="BT69" s="129" t="str">
        <f>_xlfn.IFNA(VLOOKUP($C69,RGI!$A$2:$C$43,2,FALSE),"..")</f>
        <v>..</v>
      </c>
      <c r="BU69" s="129" t="str">
        <f>_xlfn.IFNA(VLOOKUP($C69,RGI!$A$2:$C$43,3,FALSE),"..")</f>
        <v>..</v>
      </c>
      <c r="BV69" s="129">
        <f>VLOOKUP($D69,WGI!$C$2:$O$478,7,FALSE)</f>
        <v>9.0010047163042693E-3</v>
      </c>
      <c r="BW69" s="129">
        <f>VLOOKUP($D69,WGI!$C$2:$O$478,4,FALSE)</f>
        <v>-0.158012773720207</v>
      </c>
      <c r="BX69" s="129">
        <f>VLOOKUP($D69,WGI!$C$2:$O$478,3,FALSE)</f>
        <v>-0.28033541860251798</v>
      </c>
      <c r="BY69" s="129">
        <f>VLOOKUP($D69,WGI!$C$2:$O$478,5,FALSE)</f>
        <v>0.16802785689462801</v>
      </c>
      <c r="BZ69" s="129">
        <f>VLOOKUP($D69,WGI!$C$2:$O$478,2,FALSE)</f>
        <v>-0.72284815498795696</v>
      </c>
    </row>
    <row r="70" spans="1:80" ht="15" customHeight="1">
      <c r="A70" s="289" t="s">
        <v>49</v>
      </c>
      <c r="B70" s="146">
        <v>2012</v>
      </c>
      <c r="C70" s="117" t="s">
        <v>38</v>
      </c>
      <c r="D70" s="117" t="s">
        <v>3721</v>
      </c>
      <c r="E70" s="146" t="s">
        <v>39</v>
      </c>
      <c r="F70" s="146"/>
      <c r="G70" s="146" t="s">
        <v>103</v>
      </c>
      <c r="H70" s="146"/>
      <c r="I70" s="146"/>
      <c r="J70" s="146"/>
      <c r="K70" s="146" t="s">
        <v>103</v>
      </c>
      <c r="L70" s="146"/>
      <c r="M70" s="146"/>
      <c r="N70" s="754"/>
      <c r="O70" s="754"/>
      <c r="P70" s="754"/>
      <c r="Q70" s="760">
        <v>1029300</v>
      </c>
      <c r="R70" s="754"/>
      <c r="S70" s="146" t="s">
        <v>610</v>
      </c>
      <c r="T70" s="119"/>
      <c r="U70" s="146"/>
      <c r="V70" s="146" t="s">
        <v>725</v>
      </c>
      <c r="W70" s="760">
        <v>484000000</v>
      </c>
      <c r="X70" s="146"/>
      <c r="Y70" s="146"/>
      <c r="Z70" s="146"/>
      <c r="AA70" s="146"/>
      <c r="AB70" s="146"/>
      <c r="AC70" s="756"/>
      <c r="AD70" s="756"/>
      <c r="AE70" s="756"/>
      <c r="AF70" s="758"/>
      <c r="AG70" s="146"/>
      <c r="AH70" s="759"/>
      <c r="AI70" s="146"/>
      <c r="AJ70" s="146"/>
      <c r="AK70" s="760"/>
      <c r="AL70" s="146"/>
      <c r="AM70" s="146"/>
      <c r="AN70" s="146"/>
      <c r="AO70" s="146"/>
      <c r="AP70" s="146"/>
      <c r="AQ70" s="146"/>
      <c r="AR70" s="146"/>
      <c r="AS70" s="146"/>
      <c r="AT70" s="146"/>
      <c r="AU70" s="146"/>
      <c r="AV70" s="128"/>
      <c r="AW70" s="117">
        <f>VLOOKUP($D70,'WB Data'!$C$3:$M$578,2,FALSE)</f>
        <v>12344529628.061665</v>
      </c>
      <c r="AX70" s="117">
        <f>VLOOKUP($D70,'WB Data'!$C$3:$M$578,3,FALSE)</f>
        <v>2801681</v>
      </c>
      <c r="AY70" s="847">
        <f t="shared" si="16"/>
        <v>7.4637614065548863E-3</v>
      </c>
      <c r="AZ70" s="117" t="e">
        <f>VLOOKUP($D70,'WB Data'!$C$3:$M$578,4,FALSE)/100</f>
        <v>#VALUE!</v>
      </c>
      <c r="BA70" s="117" t="str">
        <f t="shared" si="17"/>
        <v>..</v>
      </c>
      <c r="BB70" s="129">
        <f>IFERROR(VLOOKUP($D70,'EITI Revenues'!$C$2:$G$224,5,FALSE),"..")</f>
        <v>92136623.819999993</v>
      </c>
      <c r="BC70" s="846" t="str">
        <f t="shared" si="18"/>
        <v>..</v>
      </c>
      <c r="BD70" s="129">
        <f>VLOOKUP($D70,'WB Data 2'!$C$2:$K$545,6,FALSE)</f>
        <v>738064575.97141182</v>
      </c>
      <c r="BE70" s="129">
        <f>IFERROR(VLOOKUP($D70,UNCTAD!$C$5:$V$529,4,FALSE),"..")</f>
        <v>4101210000</v>
      </c>
      <c r="BF70" s="846">
        <f t="shared" si="19"/>
        <v>0.17996263931166945</v>
      </c>
      <c r="BG70" s="117">
        <f>VLOOKUP($D70,'WB Data'!$C$3:$M$578,5,FALSE)</f>
        <v>341620000</v>
      </c>
      <c r="BH70" s="129">
        <f>IFERROR($BB70/$BG70,"..")</f>
        <v>0.26970500503483402</v>
      </c>
      <c r="BI70" s="117" t="str">
        <f>IFERROR(VLOOKUP($D70,'WB Data'!$C$3:$M$578,7,FALSE)/100,"..")</f>
        <v>..</v>
      </c>
      <c r="BJ70" s="117" t="str">
        <f>IFERROR($BI70*$AW70,"..")</f>
        <v>..</v>
      </c>
      <c r="BK70" s="846" t="str">
        <f>IFERROR($BB70/$BJ70,"..")</f>
        <v>..</v>
      </c>
      <c r="BL70" s="117" t="str">
        <f>IFERROR(VLOOKUP($D70,'WB Data'!$C$3:$M$578,7,FALSE)/100,"..")</f>
        <v>..</v>
      </c>
      <c r="BM70" s="117" t="str">
        <f>IFERROR($AW70*$BL70,"..")</f>
        <v>..</v>
      </c>
      <c r="BN70" s="846" t="str">
        <f>IFERROR($BB70/$BM70,"..")</f>
        <v>..</v>
      </c>
      <c r="BO70" s="801">
        <f t="shared" si="15"/>
        <v>33</v>
      </c>
      <c r="BP70" s="117">
        <f>VLOOKUP($D70,'WB Data'!$C$3:$M$578,9,FALSE)</f>
        <v>14.3</v>
      </c>
      <c r="BQ70" s="117">
        <f>VLOOKUP($D70,'WB Data'!$C$3:$M$578,10,FALSE)</f>
        <v>77.350463414634149</v>
      </c>
      <c r="BR70" s="117">
        <f>VLOOKUP($D70,'WB Data'!$C$3:$M$578,11,FALSE)</f>
        <v>13.8</v>
      </c>
      <c r="BS70" s="129" t="str">
        <f>IFERROR(VLOOKUP($D70,'WB Data 2'!$C$2:$K$545,9,FALSE),"..")</f>
        <v>..</v>
      </c>
      <c r="BT70" s="129" t="str">
        <f>_xlfn.IFNA(VLOOKUP($C70,RGI!$A$2:$C$43,2,FALSE),"..")</f>
        <v>..</v>
      </c>
      <c r="BU70" s="129" t="str">
        <f>_xlfn.IFNA(VLOOKUP($C70,RGI!$A$2:$C$43,3,FALSE),"..")</f>
        <v>..</v>
      </c>
      <c r="BV70" s="129">
        <f>VLOOKUP($D70,WGI!$C$2:$O$478,7,FALSE)</f>
        <v>9.0010047163042693E-3</v>
      </c>
      <c r="BW70" s="129">
        <f>VLOOKUP($D70,WGI!$C$2:$O$478,4,FALSE)</f>
        <v>-0.158012773720207</v>
      </c>
      <c r="BX70" s="129">
        <f>VLOOKUP($D70,WGI!$C$2:$O$478,3,FALSE)</f>
        <v>-0.28033541860251798</v>
      </c>
      <c r="BY70" s="129">
        <f>VLOOKUP($D70,WGI!$C$2:$O$478,5,FALSE)</f>
        <v>0.16802785689462801</v>
      </c>
      <c r="BZ70" s="129">
        <f>VLOOKUP($D70,WGI!$C$2:$O$478,2,FALSE)</f>
        <v>-0.72284815498795696</v>
      </c>
    </row>
    <row r="71" spans="1:80" ht="15" customHeight="1">
      <c r="A71" s="761" t="s">
        <v>49</v>
      </c>
      <c r="B71" s="146">
        <v>2012</v>
      </c>
      <c r="C71" s="117" t="s">
        <v>38</v>
      </c>
      <c r="D71" s="117" t="s">
        <v>3721</v>
      </c>
      <c r="E71" s="146" t="s">
        <v>39</v>
      </c>
      <c r="F71" s="146"/>
      <c r="G71" s="146" t="s">
        <v>24</v>
      </c>
      <c r="H71" s="146"/>
      <c r="I71" s="146"/>
      <c r="J71" s="146"/>
      <c r="K71" s="146" t="s">
        <v>600</v>
      </c>
      <c r="L71" s="146"/>
      <c r="M71" s="146"/>
      <c r="N71" s="754"/>
      <c r="O71" s="754"/>
      <c r="P71" s="754"/>
      <c r="Q71" s="146"/>
      <c r="R71" s="754"/>
      <c r="S71" s="146"/>
      <c r="T71" s="119"/>
      <c r="U71" s="146"/>
      <c r="V71" s="146"/>
      <c r="W71" s="760">
        <v>149200000</v>
      </c>
      <c r="X71" s="146"/>
      <c r="Y71" s="146"/>
      <c r="Z71" s="146"/>
      <c r="AA71" s="146"/>
      <c r="AB71" s="146"/>
      <c r="AC71" s="756"/>
      <c r="AD71" s="756"/>
      <c r="AE71" s="756"/>
      <c r="AF71" s="758"/>
      <c r="AG71" s="146"/>
      <c r="AH71" s="759"/>
      <c r="AI71" s="146"/>
      <c r="AJ71" s="146"/>
      <c r="AK71" s="760"/>
      <c r="AL71" s="146"/>
      <c r="AM71" s="146"/>
      <c r="AN71" s="146"/>
      <c r="AO71" s="146"/>
      <c r="AP71" s="146"/>
      <c r="AQ71" s="146"/>
      <c r="AR71" s="146"/>
      <c r="AS71" s="146"/>
      <c r="AT71" s="146"/>
      <c r="AU71" s="146"/>
      <c r="AV71" s="128"/>
      <c r="AW71" s="117">
        <f>VLOOKUP($D71,'WB Data'!$C$3:$M$578,2,FALSE)</f>
        <v>12344529628.061665</v>
      </c>
      <c r="AX71" s="117">
        <f>VLOOKUP($D71,'WB Data'!$C$3:$M$578,3,FALSE)</f>
        <v>2801681</v>
      </c>
      <c r="AY71" s="847">
        <f t="shared" si="16"/>
        <v>7.4637614065548863E-3</v>
      </c>
      <c r="AZ71" s="117" t="e">
        <f>VLOOKUP($D71,'WB Data'!$C$3:$M$578,4,FALSE)/100</f>
        <v>#VALUE!</v>
      </c>
      <c r="BA71" s="117" t="str">
        <f t="shared" si="17"/>
        <v>..</v>
      </c>
      <c r="BB71" s="129">
        <f>IFERROR(VLOOKUP($D71,'EITI Revenues'!$C$2:$G$224,5,FALSE),"..")</f>
        <v>92136623.819999993</v>
      </c>
      <c r="BC71" s="846" t="str">
        <f t="shared" si="18"/>
        <v>..</v>
      </c>
      <c r="BD71" s="129">
        <f>VLOOKUP($D71,'WB Data 2'!$C$2:$K$545,6,FALSE)</f>
        <v>738064575.97141182</v>
      </c>
      <c r="BE71" s="129">
        <f>IFERROR(VLOOKUP($D71,UNCTAD!$C$5:$V$529,4,FALSE),"..")</f>
        <v>4101210000</v>
      </c>
      <c r="BF71" s="846">
        <f t="shared" si="19"/>
        <v>0.17996263931166945</v>
      </c>
      <c r="BG71" s="117">
        <f>VLOOKUP($D71,'WB Data'!$C$3:$M$578,5,FALSE)</f>
        <v>341620000</v>
      </c>
      <c r="BH71" s="129">
        <f>IFERROR($BB71/$BG71,"..")</f>
        <v>0.26970500503483402</v>
      </c>
      <c r="BI71" s="117" t="str">
        <f>IFERROR(VLOOKUP($D71,'WB Data'!$C$3:$M$578,7,FALSE)/100,"..")</f>
        <v>..</v>
      </c>
      <c r="BJ71" s="117" t="str">
        <f>IFERROR($BI71*$AW71,"..")</f>
        <v>..</v>
      </c>
      <c r="BK71" s="846" t="str">
        <f>IFERROR($BB71/$BJ71,"..")</f>
        <v>..</v>
      </c>
      <c r="BL71" s="117" t="str">
        <f>IFERROR(VLOOKUP($D71,'WB Data'!$C$3:$M$578,7,FALSE)/100,"..")</f>
        <v>..</v>
      </c>
      <c r="BM71" s="117" t="str">
        <f>IFERROR($AW71*$BL71,"..")</f>
        <v>..</v>
      </c>
      <c r="BN71" s="846" t="str">
        <f>IFERROR($BB71/$BM71,"..")</f>
        <v>..</v>
      </c>
      <c r="BO71" s="801">
        <f t="shared" si="15"/>
        <v>33</v>
      </c>
      <c r="BP71" s="117">
        <f>VLOOKUP($D71,'WB Data'!$C$3:$M$578,9,FALSE)</f>
        <v>14.3</v>
      </c>
      <c r="BQ71" s="117">
        <f>VLOOKUP($D71,'WB Data'!$C$3:$M$578,10,FALSE)</f>
        <v>77.350463414634149</v>
      </c>
      <c r="BR71" s="117">
        <f>VLOOKUP($D71,'WB Data'!$C$3:$M$578,11,FALSE)</f>
        <v>13.8</v>
      </c>
      <c r="BS71" s="129" t="str">
        <f>IFERROR(VLOOKUP($D71,'WB Data 2'!$C$2:$K$545,9,FALSE),"..")</f>
        <v>..</v>
      </c>
      <c r="BT71" s="129" t="str">
        <f>_xlfn.IFNA(VLOOKUP($C71,RGI!$A$2:$C$43,2,FALSE),"..")</f>
        <v>..</v>
      </c>
      <c r="BU71" s="129" t="str">
        <f>_xlfn.IFNA(VLOOKUP($C71,RGI!$A$2:$C$43,3,FALSE),"..")</f>
        <v>..</v>
      </c>
      <c r="BV71" s="129">
        <f>VLOOKUP($D71,WGI!$C$2:$O$478,7,FALSE)</f>
        <v>9.0010047163042693E-3</v>
      </c>
      <c r="BW71" s="129">
        <f>VLOOKUP($D71,WGI!$C$2:$O$478,4,FALSE)</f>
        <v>-0.158012773720207</v>
      </c>
      <c r="BX71" s="129">
        <f>VLOOKUP($D71,WGI!$C$2:$O$478,3,FALSE)</f>
        <v>-0.28033541860251798</v>
      </c>
      <c r="BY71" s="129">
        <f>VLOOKUP($D71,WGI!$C$2:$O$478,5,FALSE)</f>
        <v>0.16802785689462801</v>
      </c>
      <c r="BZ71" s="129">
        <f>VLOOKUP($D71,WGI!$C$2:$O$478,2,FALSE)</f>
        <v>-0.72284815498795696</v>
      </c>
    </row>
    <row r="72" spans="1:80" ht="15" customHeight="1">
      <c r="A72" s="761" t="s">
        <v>49</v>
      </c>
      <c r="B72" s="146">
        <v>2012</v>
      </c>
      <c r="C72" s="117" t="s">
        <v>38</v>
      </c>
      <c r="D72" s="117" t="s">
        <v>3721</v>
      </c>
      <c r="E72" s="146" t="s">
        <v>39</v>
      </c>
      <c r="F72" s="146"/>
      <c r="G72" s="146" t="s">
        <v>24</v>
      </c>
      <c r="H72" s="146"/>
      <c r="I72" s="146"/>
      <c r="J72" s="146"/>
      <c r="K72" s="146" t="s">
        <v>726</v>
      </c>
      <c r="L72" s="146"/>
      <c r="M72" s="146"/>
      <c r="N72" s="754"/>
      <c r="O72" s="754"/>
      <c r="P72" s="754"/>
      <c r="Q72" s="760">
        <v>360000</v>
      </c>
      <c r="R72" s="754"/>
      <c r="S72" s="146" t="s">
        <v>610</v>
      </c>
      <c r="T72" s="119"/>
      <c r="U72" s="146"/>
      <c r="V72" s="146" t="s">
        <v>725</v>
      </c>
      <c r="W72" s="760">
        <v>92000000</v>
      </c>
      <c r="X72" s="146"/>
      <c r="Y72" s="146"/>
      <c r="Z72" s="146"/>
      <c r="AA72" s="146"/>
      <c r="AB72" s="146"/>
      <c r="AC72" s="756"/>
      <c r="AD72" s="756"/>
      <c r="AE72" s="756"/>
      <c r="AF72" s="758"/>
      <c r="AG72" s="146"/>
      <c r="AH72" s="759"/>
      <c r="AI72" s="146"/>
      <c r="AJ72" s="146"/>
      <c r="AK72" s="760"/>
      <c r="AL72" s="146"/>
      <c r="AM72" s="146"/>
      <c r="AN72" s="146"/>
      <c r="AO72" s="146"/>
      <c r="AP72" s="146"/>
      <c r="AQ72" s="146"/>
      <c r="AR72" s="146"/>
      <c r="AS72" s="146"/>
      <c r="AT72" s="146"/>
      <c r="AU72" s="146"/>
      <c r="AV72" s="128"/>
      <c r="AW72" s="117">
        <f>VLOOKUP($D72,'WB Data'!$C$3:$M$578,2,FALSE)</f>
        <v>12344529628.061665</v>
      </c>
      <c r="AX72" s="117">
        <f>VLOOKUP($D72,'WB Data'!$C$3:$M$578,3,FALSE)</f>
        <v>2801681</v>
      </c>
      <c r="AY72" s="847">
        <f t="shared" si="16"/>
        <v>7.4637614065548863E-3</v>
      </c>
      <c r="AZ72" s="117" t="e">
        <f>VLOOKUP($D72,'WB Data'!$C$3:$M$578,4,FALSE)/100</f>
        <v>#VALUE!</v>
      </c>
      <c r="BA72" s="117" t="str">
        <f t="shared" si="17"/>
        <v>..</v>
      </c>
      <c r="BB72" s="129">
        <f>IFERROR(VLOOKUP($D72,'EITI Revenues'!$C$2:$G$224,5,FALSE),"..")</f>
        <v>92136623.819999993</v>
      </c>
      <c r="BC72" s="846" t="str">
        <f t="shared" si="18"/>
        <v>..</v>
      </c>
      <c r="BD72" s="129">
        <f>VLOOKUP($D72,'WB Data 2'!$C$2:$K$545,6,FALSE)</f>
        <v>738064575.97141182</v>
      </c>
      <c r="BE72" s="129">
        <f>IFERROR(VLOOKUP($D72,UNCTAD!$C$5:$V$529,4,FALSE),"..")</f>
        <v>4101210000</v>
      </c>
      <c r="BF72" s="846">
        <f t="shared" si="19"/>
        <v>0.17996263931166945</v>
      </c>
      <c r="BG72" s="117">
        <f>VLOOKUP($D72,'WB Data'!$C$3:$M$578,5,FALSE)</f>
        <v>341620000</v>
      </c>
      <c r="BH72" s="129">
        <f>IFERROR($BB72/$BG72,"..")</f>
        <v>0.26970500503483402</v>
      </c>
      <c r="BI72" s="117" t="str">
        <f>IFERROR(VLOOKUP($D72,'WB Data'!$C$3:$M$578,7,FALSE)/100,"..")</f>
        <v>..</v>
      </c>
      <c r="BJ72" s="117" t="str">
        <f>IFERROR($BI72*$AW72,"..")</f>
        <v>..</v>
      </c>
      <c r="BK72" s="846" t="str">
        <f>IFERROR($BB72/$BJ72,"..")</f>
        <v>..</v>
      </c>
      <c r="BL72" s="117" t="str">
        <f>IFERROR(VLOOKUP($D72,'WB Data'!$C$3:$M$578,7,FALSE)/100,"..")</f>
        <v>..</v>
      </c>
      <c r="BM72" s="117" t="str">
        <f>IFERROR($AW72*$BL72,"..")</f>
        <v>..</v>
      </c>
      <c r="BN72" s="846" t="str">
        <f>IFERROR($BB72/$BM72,"..")</f>
        <v>..</v>
      </c>
      <c r="BO72" s="801">
        <f t="shared" si="15"/>
        <v>33</v>
      </c>
      <c r="BP72" s="117">
        <f>VLOOKUP($D72,'WB Data'!$C$3:$M$578,9,FALSE)</f>
        <v>14.3</v>
      </c>
      <c r="BQ72" s="117">
        <f>VLOOKUP($D72,'WB Data'!$C$3:$M$578,10,FALSE)</f>
        <v>77.350463414634149</v>
      </c>
      <c r="BR72" s="117">
        <f>VLOOKUP($D72,'WB Data'!$C$3:$M$578,11,FALSE)</f>
        <v>13.8</v>
      </c>
      <c r="BS72" s="129" t="str">
        <f>IFERROR(VLOOKUP($D72,'WB Data 2'!$C$2:$K$545,9,FALSE),"..")</f>
        <v>..</v>
      </c>
      <c r="BT72" s="129" t="str">
        <f>_xlfn.IFNA(VLOOKUP($C72,RGI!$A$2:$C$43,2,FALSE),"..")</f>
        <v>..</v>
      </c>
      <c r="BU72" s="129" t="str">
        <f>_xlfn.IFNA(VLOOKUP($C72,RGI!$A$2:$C$43,3,FALSE),"..")</f>
        <v>..</v>
      </c>
      <c r="BV72" s="129">
        <f>VLOOKUP($D72,WGI!$C$2:$O$478,7,FALSE)</f>
        <v>9.0010047163042693E-3</v>
      </c>
      <c r="BW72" s="129">
        <f>VLOOKUP($D72,WGI!$C$2:$O$478,4,FALSE)</f>
        <v>-0.158012773720207</v>
      </c>
      <c r="BX72" s="129">
        <f>VLOOKUP($D72,WGI!$C$2:$O$478,3,FALSE)</f>
        <v>-0.28033541860251798</v>
      </c>
      <c r="BY72" s="129">
        <f>VLOOKUP($D72,WGI!$C$2:$O$478,5,FALSE)</f>
        <v>0.16802785689462801</v>
      </c>
      <c r="BZ72" s="129">
        <f>VLOOKUP($D72,WGI!$C$2:$O$478,2,FALSE)</f>
        <v>-0.72284815498795696</v>
      </c>
    </row>
    <row r="73" spans="1:80" ht="15" customHeight="1">
      <c r="A73" s="761" t="s">
        <v>49</v>
      </c>
      <c r="B73" s="146">
        <v>2012</v>
      </c>
      <c r="C73" s="117" t="s">
        <v>38</v>
      </c>
      <c r="D73" s="117" t="s">
        <v>3721</v>
      </c>
      <c r="E73" s="146" t="s">
        <v>39</v>
      </c>
      <c r="F73" s="146"/>
      <c r="G73" s="146" t="s">
        <v>24</v>
      </c>
      <c r="H73" s="146"/>
      <c r="I73" s="146"/>
      <c r="J73" s="146"/>
      <c r="K73" s="146" t="s">
        <v>619</v>
      </c>
      <c r="L73" s="146"/>
      <c r="M73" s="146"/>
      <c r="N73" s="754"/>
      <c r="O73" s="754"/>
      <c r="P73" s="754"/>
      <c r="Q73" s="760">
        <v>480000</v>
      </c>
      <c r="R73" s="754"/>
      <c r="S73" s="146" t="s">
        <v>610</v>
      </c>
      <c r="T73" s="119"/>
      <c r="U73" s="146"/>
      <c r="V73" s="146" t="s">
        <v>725</v>
      </c>
      <c r="W73" s="146"/>
      <c r="X73" s="146"/>
      <c r="Y73" s="146"/>
      <c r="Z73" s="146"/>
      <c r="AA73" s="146"/>
      <c r="AB73" s="146"/>
      <c r="AC73" s="756"/>
      <c r="AD73" s="756"/>
      <c r="AE73" s="756"/>
      <c r="AF73" s="758"/>
      <c r="AG73" s="146"/>
      <c r="AH73" s="759"/>
      <c r="AI73" s="146"/>
      <c r="AJ73" s="146"/>
      <c r="AK73" s="760"/>
      <c r="AL73" s="146"/>
      <c r="AM73" s="146"/>
      <c r="AN73" s="146"/>
      <c r="AO73" s="146"/>
      <c r="AP73" s="146"/>
      <c r="AQ73" s="146"/>
      <c r="AR73" s="146"/>
      <c r="AS73" s="146"/>
      <c r="AT73" s="146"/>
      <c r="AU73" s="146"/>
      <c r="AV73" s="128"/>
      <c r="AW73" s="117">
        <f>VLOOKUP($D73,'WB Data'!$C$3:$M$578,2,FALSE)</f>
        <v>12344529628.061665</v>
      </c>
      <c r="AX73" s="117">
        <f>VLOOKUP($D73,'WB Data'!$C$3:$M$578,3,FALSE)</f>
        <v>2801681</v>
      </c>
      <c r="AY73" s="847">
        <f t="shared" si="16"/>
        <v>7.4637614065548863E-3</v>
      </c>
      <c r="AZ73" s="117" t="e">
        <f>VLOOKUP($D73,'WB Data'!$C$3:$M$578,4,FALSE)/100</f>
        <v>#VALUE!</v>
      </c>
      <c r="BA73" s="117" t="str">
        <f t="shared" si="17"/>
        <v>..</v>
      </c>
      <c r="BB73" s="129">
        <f>IFERROR(VLOOKUP($D73,'EITI Revenues'!$C$2:$G$224,5,FALSE),"..")</f>
        <v>92136623.819999993</v>
      </c>
      <c r="BC73" s="846" t="str">
        <f t="shared" si="18"/>
        <v>..</v>
      </c>
      <c r="BD73" s="129">
        <f>VLOOKUP($D73,'WB Data 2'!$C$2:$K$545,6,FALSE)</f>
        <v>738064575.97141182</v>
      </c>
      <c r="BE73" s="129">
        <f>IFERROR(VLOOKUP($D73,UNCTAD!$C$5:$V$529,4,FALSE),"..")</f>
        <v>4101210000</v>
      </c>
      <c r="BF73" s="846">
        <f t="shared" si="19"/>
        <v>0.17996263931166945</v>
      </c>
      <c r="BG73" s="117">
        <f>VLOOKUP($D73,'WB Data'!$C$3:$M$578,5,FALSE)</f>
        <v>341620000</v>
      </c>
      <c r="BH73" s="129">
        <f>IFERROR($BB73/$BG73,"..")</f>
        <v>0.26970500503483402</v>
      </c>
      <c r="BI73" s="117" t="str">
        <f>IFERROR(VLOOKUP($D73,'WB Data'!$C$3:$M$578,7,FALSE)/100,"..")</f>
        <v>..</v>
      </c>
      <c r="BJ73" s="117" t="str">
        <f>IFERROR($BI73*$AW73,"..")</f>
        <v>..</v>
      </c>
      <c r="BK73" s="846" t="str">
        <f>IFERROR($BB73/$BJ73,"..")</f>
        <v>..</v>
      </c>
      <c r="BL73" s="117" t="str">
        <f>IFERROR(VLOOKUP($D73,'WB Data'!$C$3:$M$578,7,FALSE)/100,"..")</f>
        <v>..</v>
      </c>
      <c r="BM73" s="117" t="str">
        <f>IFERROR($AW73*$BL73,"..")</f>
        <v>..</v>
      </c>
      <c r="BN73" s="846" t="str">
        <f>IFERROR($BB73/$BM73,"..")</f>
        <v>..</v>
      </c>
      <c r="BO73" s="801">
        <f t="shared" si="15"/>
        <v>33</v>
      </c>
      <c r="BP73" s="117">
        <f>VLOOKUP($D73,'WB Data'!$C$3:$M$578,9,FALSE)</f>
        <v>14.3</v>
      </c>
      <c r="BQ73" s="117">
        <f>VLOOKUP($D73,'WB Data'!$C$3:$M$578,10,FALSE)</f>
        <v>77.350463414634149</v>
      </c>
      <c r="BR73" s="117">
        <f>VLOOKUP($D73,'WB Data'!$C$3:$M$578,11,FALSE)</f>
        <v>13.8</v>
      </c>
      <c r="BS73" s="129" t="str">
        <f>IFERROR(VLOOKUP($D73,'WB Data 2'!$C$2:$K$545,9,FALSE),"..")</f>
        <v>..</v>
      </c>
      <c r="BT73" s="129" t="str">
        <f>_xlfn.IFNA(VLOOKUP($C73,RGI!$A$2:$C$43,2,FALSE),"..")</f>
        <v>..</v>
      </c>
      <c r="BU73" s="129" t="str">
        <f>_xlfn.IFNA(VLOOKUP($C73,RGI!$A$2:$C$43,3,FALSE),"..")</f>
        <v>..</v>
      </c>
      <c r="BV73" s="129">
        <f>VLOOKUP($D73,WGI!$C$2:$O$478,7,FALSE)</f>
        <v>9.0010047163042693E-3</v>
      </c>
      <c r="BW73" s="129">
        <f>VLOOKUP($D73,WGI!$C$2:$O$478,4,FALSE)</f>
        <v>-0.158012773720207</v>
      </c>
      <c r="BX73" s="129">
        <f>VLOOKUP($D73,WGI!$C$2:$O$478,3,FALSE)</f>
        <v>-0.28033541860251798</v>
      </c>
      <c r="BY73" s="129">
        <f>VLOOKUP($D73,WGI!$C$2:$O$478,5,FALSE)</f>
        <v>0.16802785689462801</v>
      </c>
      <c r="BZ73" s="129">
        <f>VLOOKUP($D73,WGI!$C$2:$O$478,2,FALSE)</f>
        <v>-0.72284815498795696</v>
      </c>
    </row>
    <row r="74" spans="1:80" ht="15" customHeight="1">
      <c r="A74" s="761" t="s">
        <v>49</v>
      </c>
      <c r="B74" s="146">
        <v>2012</v>
      </c>
      <c r="C74" s="117" t="s">
        <v>38</v>
      </c>
      <c r="D74" s="117" t="s">
        <v>3721</v>
      </c>
      <c r="E74" s="146" t="s">
        <v>39</v>
      </c>
      <c r="F74" s="146"/>
      <c r="G74" s="146" t="s">
        <v>24</v>
      </c>
      <c r="H74" s="146"/>
      <c r="I74" s="146"/>
      <c r="J74" s="146"/>
      <c r="K74" s="146" t="s">
        <v>727</v>
      </c>
      <c r="L74" s="146"/>
      <c r="M74" s="146"/>
      <c r="N74" s="754"/>
      <c r="O74" s="754"/>
      <c r="P74" s="754"/>
      <c r="Q74" s="760">
        <v>75000</v>
      </c>
      <c r="R74" s="754"/>
      <c r="S74" s="146" t="s">
        <v>610</v>
      </c>
      <c r="T74" s="119"/>
      <c r="U74" s="146"/>
      <c r="V74" s="146" t="s">
        <v>725</v>
      </c>
      <c r="W74" s="146"/>
      <c r="X74" s="146"/>
      <c r="Y74" s="146"/>
      <c r="Z74" s="146"/>
      <c r="AA74" s="146"/>
      <c r="AB74" s="146"/>
      <c r="AC74" s="756"/>
      <c r="AD74" s="756"/>
      <c r="AE74" s="756"/>
      <c r="AF74" s="758"/>
      <c r="AG74" s="146"/>
      <c r="AH74" s="759"/>
      <c r="AI74" s="146"/>
      <c r="AJ74" s="146"/>
      <c r="AK74" s="760"/>
      <c r="AL74" s="146"/>
      <c r="AM74" s="146"/>
      <c r="AN74" s="146"/>
      <c r="AO74" s="146"/>
      <c r="AP74" s="146"/>
      <c r="AQ74" s="146"/>
      <c r="AR74" s="146"/>
      <c r="AS74" s="146"/>
      <c r="AT74" s="146"/>
      <c r="AU74" s="146"/>
      <c r="AV74" s="128"/>
      <c r="AW74" s="117">
        <f>VLOOKUP($D74,'WB Data'!$C$3:$M$578,2,FALSE)</f>
        <v>12344529628.061665</v>
      </c>
      <c r="AX74" s="117">
        <f>VLOOKUP($D74,'WB Data'!$C$3:$M$578,3,FALSE)</f>
        <v>2801681</v>
      </c>
      <c r="AY74" s="847">
        <f t="shared" si="16"/>
        <v>7.4637614065548863E-3</v>
      </c>
      <c r="AZ74" s="117" t="e">
        <f>VLOOKUP($D74,'WB Data'!$C$3:$M$578,4,FALSE)/100</f>
        <v>#VALUE!</v>
      </c>
      <c r="BA74" s="117" t="str">
        <f t="shared" si="17"/>
        <v>..</v>
      </c>
      <c r="BB74" s="129">
        <f>IFERROR(VLOOKUP($D74,'EITI Revenues'!$C$2:$G$224,5,FALSE),"..")</f>
        <v>92136623.819999993</v>
      </c>
      <c r="BC74" s="846" t="str">
        <f t="shared" si="18"/>
        <v>..</v>
      </c>
      <c r="BD74" s="129">
        <f>VLOOKUP($D74,'WB Data 2'!$C$2:$K$545,6,FALSE)</f>
        <v>738064575.97141182</v>
      </c>
      <c r="BE74" s="129">
        <f>IFERROR(VLOOKUP($D74,UNCTAD!$C$5:$V$529,4,FALSE),"..")</f>
        <v>4101210000</v>
      </c>
      <c r="BF74" s="846">
        <f t="shared" si="19"/>
        <v>0.17996263931166945</v>
      </c>
      <c r="BG74" s="117">
        <f>VLOOKUP($D74,'WB Data'!$C$3:$M$578,5,FALSE)</f>
        <v>341620000</v>
      </c>
      <c r="BH74" s="129">
        <f>IFERROR($BB74/$BG74,"..")</f>
        <v>0.26970500503483402</v>
      </c>
      <c r="BI74" s="117" t="str">
        <f>IFERROR(VLOOKUP($D74,'WB Data'!$C$3:$M$578,7,FALSE)/100,"..")</f>
        <v>..</v>
      </c>
      <c r="BJ74" s="117" t="str">
        <f>IFERROR($BI74*$AW74,"..")</f>
        <v>..</v>
      </c>
      <c r="BK74" s="846" t="str">
        <f>IFERROR($BB74/$BJ74,"..")</f>
        <v>..</v>
      </c>
      <c r="BL74" s="117" t="str">
        <f>IFERROR(VLOOKUP($D74,'WB Data'!$C$3:$M$578,7,FALSE)/100,"..")</f>
        <v>..</v>
      </c>
      <c r="BM74" s="117" t="str">
        <f>IFERROR($AW74*$BL74,"..")</f>
        <v>..</v>
      </c>
      <c r="BN74" s="846" t="str">
        <f>IFERROR($BB74/$BM74,"..")</f>
        <v>..</v>
      </c>
      <c r="BO74" s="801">
        <f t="shared" si="15"/>
        <v>33</v>
      </c>
      <c r="BP74" s="117">
        <f>VLOOKUP($D74,'WB Data'!$C$3:$M$578,9,FALSE)</f>
        <v>14.3</v>
      </c>
      <c r="BQ74" s="117">
        <f>VLOOKUP($D74,'WB Data'!$C$3:$M$578,10,FALSE)</f>
        <v>77.350463414634149</v>
      </c>
      <c r="BR74" s="117">
        <f>VLOOKUP($D74,'WB Data'!$C$3:$M$578,11,FALSE)</f>
        <v>13.8</v>
      </c>
      <c r="BS74" s="129" t="str">
        <f>IFERROR(VLOOKUP($D74,'WB Data 2'!$C$2:$K$545,9,FALSE),"..")</f>
        <v>..</v>
      </c>
      <c r="BT74" s="129" t="str">
        <f>_xlfn.IFNA(VLOOKUP($C74,RGI!$A$2:$C$43,2,FALSE),"..")</f>
        <v>..</v>
      </c>
      <c r="BU74" s="129" t="str">
        <f>_xlfn.IFNA(VLOOKUP($C74,RGI!$A$2:$C$43,3,FALSE),"..")</f>
        <v>..</v>
      </c>
      <c r="BV74" s="129">
        <f>VLOOKUP($D74,WGI!$C$2:$O$478,7,FALSE)</f>
        <v>9.0010047163042693E-3</v>
      </c>
      <c r="BW74" s="129">
        <f>VLOOKUP($D74,WGI!$C$2:$O$478,4,FALSE)</f>
        <v>-0.158012773720207</v>
      </c>
      <c r="BX74" s="129">
        <f>VLOOKUP($D74,WGI!$C$2:$O$478,3,FALSE)</f>
        <v>-0.28033541860251798</v>
      </c>
      <c r="BY74" s="129">
        <f>VLOOKUP($D74,WGI!$C$2:$O$478,5,FALSE)</f>
        <v>0.16802785689462801</v>
      </c>
      <c r="BZ74" s="129">
        <f>VLOOKUP($D74,WGI!$C$2:$O$478,2,FALSE)</f>
        <v>-0.72284815498795696</v>
      </c>
    </row>
    <row r="75" spans="1:80" ht="15" customHeight="1">
      <c r="A75" s="761" t="s">
        <v>49</v>
      </c>
      <c r="B75" s="146">
        <v>2012</v>
      </c>
      <c r="C75" s="117" t="s">
        <v>38</v>
      </c>
      <c r="D75" s="117" t="s">
        <v>3721</v>
      </c>
      <c r="E75" s="146" t="s">
        <v>39</v>
      </c>
      <c r="F75" s="146"/>
      <c r="G75" s="146" t="s">
        <v>24</v>
      </c>
      <c r="H75" s="146"/>
      <c r="I75" s="146"/>
      <c r="J75" s="146"/>
      <c r="K75" s="146" t="s">
        <v>616</v>
      </c>
      <c r="L75" s="146"/>
      <c r="M75" s="146"/>
      <c r="N75" s="754"/>
      <c r="O75" s="754"/>
      <c r="P75" s="754"/>
      <c r="Q75" s="760">
        <v>1000</v>
      </c>
      <c r="R75" s="754"/>
      <c r="S75" s="146" t="s">
        <v>610</v>
      </c>
      <c r="T75" s="119"/>
      <c r="U75" s="146"/>
      <c r="V75" s="146" t="s">
        <v>725</v>
      </c>
      <c r="W75" s="146"/>
      <c r="X75" s="146"/>
      <c r="Y75" s="146"/>
      <c r="Z75" s="146"/>
      <c r="AA75" s="146"/>
      <c r="AB75" s="146"/>
      <c r="AC75" s="756"/>
      <c r="AD75" s="756"/>
      <c r="AE75" s="756"/>
      <c r="AF75" s="758"/>
      <c r="AG75" s="146"/>
      <c r="AH75" s="759"/>
      <c r="AI75" s="146"/>
      <c r="AJ75" s="146"/>
      <c r="AK75" s="760"/>
      <c r="AL75" s="146"/>
      <c r="AM75" s="146"/>
      <c r="AN75" s="146"/>
      <c r="AO75" s="146"/>
      <c r="AP75" s="146"/>
      <c r="AQ75" s="146"/>
      <c r="AR75" s="146"/>
      <c r="AS75" s="146"/>
      <c r="AT75" s="146"/>
      <c r="AU75" s="146"/>
      <c r="AV75" s="128"/>
      <c r="AW75" s="117">
        <f>VLOOKUP($D75,'WB Data'!$C$3:$M$578,2,FALSE)</f>
        <v>12344529628.061665</v>
      </c>
      <c r="AX75" s="117">
        <f>VLOOKUP($D75,'WB Data'!$C$3:$M$578,3,FALSE)</f>
        <v>2801681</v>
      </c>
      <c r="AY75" s="847">
        <f t="shared" si="16"/>
        <v>7.4637614065548863E-3</v>
      </c>
      <c r="AZ75" s="117" t="e">
        <f>VLOOKUP($D75,'WB Data'!$C$3:$M$578,4,FALSE)/100</f>
        <v>#VALUE!</v>
      </c>
      <c r="BA75" s="117" t="str">
        <f t="shared" si="17"/>
        <v>..</v>
      </c>
      <c r="BB75" s="129">
        <f>IFERROR(VLOOKUP($D75,'EITI Revenues'!$C$2:$G$224,5,FALSE),"..")</f>
        <v>92136623.819999993</v>
      </c>
      <c r="BC75" s="846" t="str">
        <f t="shared" si="18"/>
        <v>..</v>
      </c>
      <c r="BD75" s="129">
        <f>VLOOKUP($D75,'WB Data 2'!$C$2:$K$545,6,FALSE)</f>
        <v>738064575.97141182</v>
      </c>
      <c r="BE75" s="129">
        <f>IFERROR(VLOOKUP($D75,UNCTAD!$C$5:$V$529,4,FALSE),"..")</f>
        <v>4101210000</v>
      </c>
      <c r="BF75" s="846">
        <f t="shared" si="19"/>
        <v>0.17996263931166945</v>
      </c>
      <c r="BG75" s="117">
        <f>VLOOKUP($D75,'WB Data'!$C$3:$M$578,5,FALSE)</f>
        <v>341620000</v>
      </c>
      <c r="BH75" s="129">
        <f>IFERROR($BB75/$BG75,"..")</f>
        <v>0.26970500503483402</v>
      </c>
      <c r="BI75" s="117" t="str">
        <f>IFERROR(VLOOKUP($D75,'WB Data'!$C$3:$M$578,7,FALSE)/100,"..")</f>
        <v>..</v>
      </c>
      <c r="BJ75" s="117" t="str">
        <f>IFERROR($BI75*$AW75,"..")</f>
        <v>..</v>
      </c>
      <c r="BK75" s="846" t="str">
        <f>IFERROR($BB75/$BJ75,"..")</f>
        <v>..</v>
      </c>
      <c r="BL75" s="117" t="str">
        <f>IFERROR(VLOOKUP($D75,'WB Data'!$C$3:$M$578,7,FALSE)/100,"..")</f>
        <v>..</v>
      </c>
      <c r="BM75" s="117" t="str">
        <f>IFERROR($AW75*$BL75,"..")</f>
        <v>..</v>
      </c>
      <c r="BN75" s="846" t="str">
        <f>IFERROR($BB75/$BM75,"..")</f>
        <v>..</v>
      </c>
      <c r="BO75" s="801">
        <f t="shared" si="15"/>
        <v>33</v>
      </c>
      <c r="BP75" s="117">
        <f>VLOOKUP($D75,'WB Data'!$C$3:$M$578,9,FALSE)</f>
        <v>14.3</v>
      </c>
      <c r="BQ75" s="117">
        <f>VLOOKUP($D75,'WB Data'!$C$3:$M$578,10,FALSE)</f>
        <v>77.350463414634149</v>
      </c>
      <c r="BR75" s="117">
        <f>VLOOKUP($D75,'WB Data'!$C$3:$M$578,11,FALSE)</f>
        <v>13.8</v>
      </c>
      <c r="BS75" s="129" t="str">
        <f>IFERROR(VLOOKUP($D75,'WB Data 2'!$C$2:$K$545,9,FALSE),"..")</f>
        <v>..</v>
      </c>
      <c r="BT75" s="129" t="str">
        <f>_xlfn.IFNA(VLOOKUP($C75,RGI!$A$2:$C$43,2,FALSE),"..")</f>
        <v>..</v>
      </c>
      <c r="BU75" s="129" t="str">
        <f>_xlfn.IFNA(VLOOKUP($C75,RGI!$A$2:$C$43,3,FALSE),"..")</f>
        <v>..</v>
      </c>
      <c r="BV75" s="129">
        <f>VLOOKUP($D75,WGI!$C$2:$O$478,7,FALSE)</f>
        <v>9.0010047163042693E-3</v>
      </c>
      <c r="BW75" s="129">
        <f>VLOOKUP($D75,WGI!$C$2:$O$478,4,FALSE)</f>
        <v>-0.158012773720207</v>
      </c>
      <c r="BX75" s="129">
        <f>VLOOKUP($D75,WGI!$C$2:$O$478,3,FALSE)</f>
        <v>-0.28033541860251798</v>
      </c>
      <c r="BY75" s="129">
        <f>VLOOKUP($D75,WGI!$C$2:$O$478,5,FALSE)</f>
        <v>0.16802785689462801</v>
      </c>
      <c r="BZ75" s="129">
        <f>VLOOKUP($D75,WGI!$C$2:$O$478,2,FALSE)</f>
        <v>-0.72284815498795696</v>
      </c>
    </row>
    <row r="76" spans="1:80" ht="15" customHeight="1">
      <c r="A76" s="761" t="s">
        <v>49</v>
      </c>
      <c r="B76" s="146">
        <v>2012</v>
      </c>
      <c r="C76" s="117" t="s">
        <v>38</v>
      </c>
      <c r="D76" s="117" t="s">
        <v>3721</v>
      </c>
      <c r="E76" s="146" t="s">
        <v>39</v>
      </c>
      <c r="F76" s="146"/>
      <c r="G76" s="146" t="s">
        <v>24</v>
      </c>
      <c r="H76" s="146"/>
      <c r="I76" s="146"/>
      <c r="J76" s="146"/>
      <c r="K76" s="146" t="s">
        <v>703</v>
      </c>
      <c r="L76" s="146"/>
      <c r="M76" s="146"/>
      <c r="N76" s="754"/>
      <c r="O76" s="754"/>
      <c r="P76" s="754"/>
      <c r="Q76" s="760">
        <v>2727000</v>
      </c>
      <c r="R76" s="754"/>
      <c r="S76" s="117" t="s">
        <v>642</v>
      </c>
      <c r="T76" s="119"/>
      <c r="U76" s="146"/>
      <c r="V76" s="146" t="s">
        <v>725</v>
      </c>
      <c r="W76" s="146"/>
      <c r="X76" s="146"/>
      <c r="Y76" s="146"/>
      <c r="Z76" s="146"/>
      <c r="AA76" s="146"/>
      <c r="AB76" s="146"/>
      <c r="AC76" s="756"/>
      <c r="AD76" s="756"/>
      <c r="AE76" s="756"/>
      <c r="AF76" s="758"/>
      <c r="AG76" s="146"/>
      <c r="AH76" s="759"/>
      <c r="AI76" s="146"/>
      <c r="AJ76" s="146"/>
      <c r="AK76" s="760"/>
      <c r="AL76" s="146"/>
      <c r="AM76" s="146"/>
      <c r="AN76" s="146"/>
      <c r="AO76" s="146"/>
      <c r="AP76" s="146"/>
      <c r="AQ76" s="146"/>
      <c r="AR76" s="146"/>
      <c r="AS76" s="146"/>
      <c r="AT76" s="146"/>
      <c r="AU76" s="146"/>
      <c r="AV76" s="128"/>
      <c r="AW76" s="117">
        <f>VLOOKUP($D76,'WB Data'!$C$3:$M$578,2,FALSE)</f>
        <v>12344529628.061665</v>
      </c>
      <c r="AX76" s="117">
        <f>VLOOKUP($D76,'WB Data'!$C$3:$M$578,3,FALSE)</f>
        <v>2801681</v>
      </c>
      <c r="AY76" s="847">
        <f t="shared" si="16"/>
        <v>7.4637614065548863E-3</v>
      </c>
      <c r="AZ76" s="117" t="e">
        <f>VLOOKUP($D76,'WB Data'!$C$3:$M$578,4,FALSE)/100</f>
        <v>#VALUE!</v>
      </c>
      <c r="BA76" s="117" t="str">
        <f t="shared" si="17"/>
        <v>..</v>
      </c>
      <c r="BB76" s="129">
        <f>IFERROR(VLOOKUP($D76,'EITI Revenues'!$C$2:$G$224,5,FALSE),"..")</f>
        <v>92136623.819999993</v>
      </c>
      <c r="BC76" s="846" t="str">
        <f t="shared" si="18"/>
        <v>..</v>
      </c>
      <c r="BD76" s="129">
        <f>VLOOKUP($D76,'WB Data 2'!$C$2:$K$545,6,FALSE)</f>
        <v>738064575.97141182</v>
      </c>
      <c r="BE76" s="129">
        <f>IFERROR(VLOOKUP($D76,UNCTAD!$C$5:$V$529,4,FALSE),"..")</f>
        <v>4101210000</v>
      </c>
      <c r="BF76" s="846">
        <f t="shared" si="19"/>
        <v>0.17996263931166945</v>
      </c>
      <c r="BG76" s="117">
        <f>VLOOKUP($D76,'WB Data'!$C$3:$M$578,5,FALSE)</f>
        <v>341620000</v>
      </c>
      <c r="BH76" s="129">
        <f>IFERROR($BB76/$BG76,"..")</f>
        <v>0.26970500503483402</v>
      </c>
      <c r="BI76" s="117" t="str">
        <f>IFERROR(VLOOKUP($D76,'WB Data'!$C$3:$M$578,7,FALSE)/100,"..")</f>
        <v>..</v>
      </c>
      <c r="BJ76" s="117" t="str">
        <f>IFERROR($BI76*$AW76,"..")</f>
        <v>..</v>
      </c>
      <c r="BK76" s="846" t="str">
        <f>IFERROR($BB76/$BJ76,"..")</f>
        <v>..</v>
      </c>
      <c r="BL76" s="117" t="str">
        <f>IFERROR(VLOOKUP($D76,'WB Data'!$C$3:$M$578,7,FALSE)/100,"..")</f>
        <v>..</v>
      </c>
      <c r="BM76" s="117" t="str">
        <f>IFERROR($AW76*$BL76,"..")</f>
        <v>..</v>
      </c>
      <c r="BN76" s="846" t="str">
        <f>IFERROR($BB76/$BM76,"..")</f>
        <v>..</v>
      </c>
      <c r="BO76" s="801">
        <f t="shared" si="15"/>
        <v>33</v>
      </c>
      <c r="BP76" s="117">
        <f>VLOOKUP($D76,'WB Data'!$C$3:$M$578,9,FALSE)</f>
        <v>14.3</v>
      </c>
      <c r="BQ76" s="117">
        <f>VLOOKUP($D76,'WB Data'!$C$3:$M$578,10,FALSE)</f>
        <v>77.350463414634149</v>
      </c>
      <c r="BR76" s="117">
        <f>VLOOKUP($D76,'WB Data'!$C$3:$M$578,11,FALSE)</f>
        <v>13.8</v>
      </c>
      <c r="BS76" s="129" t="str">
        <f>IFERROR(VLOOKUP($D76,'WB Data 2'!$C$2:$K$545,9,FALSE),"..")</f>
        <v>..</v>
      </c>
      <c r="BT76" s="129" t="str">
        <f>_xlfn.IFNA(VLOOKUP($C76,RGI!$A$2:$C$43,2,FALSE),"..")</f>
        <v>..</v>
      </c>
      <c r="BU76" s="129" t="str">
        <f>_xlfn.IFNA(VLOOKUP($C76,RGI!$A$2:$C$43,3,FALSE),"..")</f>
        <v>..</v>
      </c>
      <c r="BV76" s="129">
        <f>VLOOKUP($D76,WGI!$C$2:$O$478,7,FALSE)</f>
        <v>9.0010047163042693E-3</v>
      </c>
      <c r="BW76" s="129">
        <f>VLOOKUP($D76,WGI!$C$2:$O$478,4,FALSE)</f>
        <v>-0.158012773720207</v>
      </c>
      <c r="BX76" s="129">
        <f>VLOOKUP($D76,WGI!$C$2:$O$478,3,FALSE)</f>
        <v>-0.28033541860251798</v>
      </c>
      <c r="BY76" s="129">
        <f>VLOOKUP($D76,WGI!$C$2:$O$478,5,FALSE)</f>
        <v>0.16802785689462801</v>
      </c>
      <c r="BZ76" s="129">
        <f>VLOOKUP($D76,WGI!$C$2:$O$478,2,FALSE)</f>
        <v>-0.72284815498795696</v>
      </c>
    </row>
    <row r="77" spans="1:80" ht="15" customHeight="1">
      <c r="A77" s="761" t="s">
        <v>49</v>
      </c>
      <c r="B77" s="146">
        <v>2012</v>
      </c>
      <c r="C77" s="117" t="s">
        <v>38</v>
      </c>
      <c r="D77" s="117" t="s">
        <v>3721</v>
      </c>
      <c r="E77" s="146" t="s">
        <v>39</v>
      </c>
      <c r="F77" s="146"/>
      <c r="G77" s="146" t="s">
        <v>24</v>
      </c>
      <c r="H77" s="146"/>
      <c r="I77" s="146"/>
      <c r="J77" s="146"/>
      <c r="K77" s="146" t="s">
        <v>728</v>
      </c>
      <c r="L77" s="146"/>
      <c r="M77" s="146"/>
      <c r="N77" s="754"/>
      <c r="O77" s="754"/>
      <c r="P77" s="754"/>
      <c r="Q77" s="760">
        <v>961000</v>
      </c>
      <c r="R77" s="754"/>
      <c r="S77" s="146" t="s">
        <v>610</v>
      </c>
      <c r="T77" s="119"/>
      <c r="U77" s="146"/>
      <c r="V77" s="146" t="s">
        <v>725</v>
      </c>
      <c r="W77" s="146"/>
      <c r="X77" s="146"/>
      <c r="Y77" s="146"/>
      <c r="Z77" s="146"/>
      <c r="AA77" s="146"/>
      <c r="AB77" s="146"/>
      <c r="AC77" s="756"/>
      <c r="AD77" s="756"/>
      <c r="AE77" s="756"/>
      <c r="AF77" s="758"/>
      <c r="AG77" s="146"/>
      <c r="AH77" s="759"/>
      <c r="AI77" s="146"/>
      <c r="AJ77" s="146"/>
      <c r="AK77" s="760"/>
      <c r="AL77" s="146"/>
      <c r="AM77" s="146"/>
      <c r="AN77" s="146"/>
      <c r="AO77" s="146"/>
      <c r="AP77" s="146"/>
      <c r="AQ77" s="146"/>
      <c r="AR77" s="146"/>
      <c r="AS77" s="146"/>
      <c r="AT77" s="146"/>
      <c r="AU77" s="146"/>
      <c r="AV77" s="128"/>
      <c r="AW77" s="117">
        <f>VLOOKUP($D77,'WB Data'!$C$3:$M$578,2,FALSE)</f>
        <v>12344529628.061665</v>
      </c>
      <c r="AX77" s="117">
        <f>VLOOKUP($D77,'WB Data'!$C$3:$M$578,3,FALSE)</f>
        <v>2801681</v>
      </c>
      <c r="AY77" s="847">
        <f t="shared" si="16"/>
        <v>7.4637614065548863E-3</v>
      </c>
      <c r="AZ77" s="117" t="e">
        <f>VLOOKUP($D77,'WB Data'!$C$3:$M$578,4,FALSE)/100</f>
        <v>#VALUE!</v>
      </c>
      <c r="BA77" s="117" t="str">
        <f t="shared" si="17"/>
        <v>..</v>
      </c>
      <c r="BB77" s="129">
        <f>IFERROR(VLOOKUP($D77,'EITI Revenues'!$C$2:$G$224,5,FALSE),"..")</f>
        <v>92136623.819999993</v>
      </c>
      <c r="BC77" s="846" t="str">
        <f t="shared" si="18"/>
        <v>..</v>
      </c>
      <c r="BD77" s="129">
        <f>VLOOKUP($D77,'WB Data 2'!$C$2:$K$545,6,FALSE)</f>
        <v>738064575.97141182</v>
      </c>
      <c r="BE77" s="129">
        <f>IFERROR(VLOOKUP($D77,UNCTAD!$C$5:$V$529,4,FALSE),"..")</f>
        <v>4101210000</v>
      </c>
      <c r="BF77" s="846">
        <f t="shared" si="19"/>
        <v>0.17996263931166945</v>
      </c>
      <c r="BG77" s="117">
        <f>VLOOKUP($D77,'WB Data'!$C$3:$M$578,5,FALSE)</f>
        <v>341620000</v>
      </c>
      <c r="BH77" s="129">
        <f>IFERROR($BB77/$BG77,"..")</f>
        <v>0.26970500503483402</v>
      </c>
      <c r="BI77" s="117" t="str">
        <f>IFERROR(VLOOKUP($D77,'WB Data'!$C$3:$M$578,7,FALSE)/100,"..")</f>
        <v>..</v>
      </c>
      <c r="BJ77" s="117" t="str">
        <f>IFERROR($BI77*$AW77,"..")</f>
        <v>..</v>
      </c>
      <c r="BK77" s="846" t="str">
        <f>IFERROR($BB77/$BJ77,"..")</f>
        <v>..</v>
      </c>
      <c r="BL77" s="117" t="str">
        <f>IFERROR(VLOOKUP($D77,'WB Data'!$C$3:$M$578,7,FALSE)/100,"..")</f>
        <v>..</v>
      </c>
      <c r="BM77" s="117" t="str">
        <f>IFERROR($AW77*$BL77,"..")</f>
        <v>..</v>
      </c>
      <c r="BN77" s="846" t="str">
        <f>IFERROR($BB77/$BM77,"..")</f>
        <v>..</v>
      </c>
      <c r="BO77" s="801">
        <f t="shared" si="15"/>
        <v>33</v>
      </c>
      <c r="BP77" s="117">
        <f>VLOOKUP($D77,'WB Data'!$C$3:$M$578,9,FALSE)</f>
        <v>14.3</v>
      </c>
      <c r="BQ77" s="117">
        <f>VLOOKUP($D77,'WB Data'!$C$3:$M$578,10,FALSE)</f>
        <v>77.350463414634149</v>
      </c>
      <c r="BR77" s="117">
        <f>VLOOKUP($D77,'WB Data'!$C$3:$M$578,11,FALSE)</f>
        <v>13.8</v>
      </c>
      <c r="BS77" s="129" t="str">
        <f>IFERROR(VLOOKUP($D77,'WB Data 2'!$C$2:$K$545,9,FALSE),"..")</f>
        <v>..</v>
      </c>
      <c r="BT77" s="129" t="str">
        <f>_xlfn.IFNA(VLOOKUP($C77,RGI!$A$2:$C$43,2,FALSE),"..")</f>
        <v>..</v>
      </c>
      <c r="BU77" s="129" t="str">
        <f>_xlfn.IFNA(VLOOKUP($C77,RGI!$A$2:$C$43,3,FALSE),"..")</f>
        <v>..</v>
      </c>
      <c r="BV77" s="129">
        <f>VLOOKUP($D77,WGI!$C$2:$O$478,7,FALSE)</f>
        <v>9.0010047163042693E-3</v>
      </c>
      <c r="BW77" s="129">
        <f>VLOOKUP($D77,WGI!$C$2:$O$478,4,FALSE)</f>
        <v>-0.158012773720207</v>
      </c>
      <c r="BX77" s="129">
        <f>VLOOKUP($D77,WGI!$C$2:$O$478,3,FALSE)</f>
        <v>-0.28033541860251798</v>
      </c>
      <c r="BY77" s="129">
        <f>VLOOKUP($D77,WGI!$C$2:$O$478,5,FALSE)</f>
        <v>0.16802785689462801</v>
      </c>
      <c r="BZ77" s="129">
        <f>VLOOKUP($D77,WGI!$C$2:$O$478,2,FALSE)</f>
        <v>-0.72284815498795696</v>
      </c>
    </row>
    <row r="78" spans="1:80" ht="15" customHeight="1" thickBot="1">
      <c r="A78" s="761" t="s">
        <v>49</v>
      </c>
      <c r="B78" s="146">
        <v>2012</v>
      </c>
      <c r="C78" s="117" t="s">
        <v>38</v>
      </c>
      <c r="D78" s="117" t="s">
        <v>3721</v>
      </c>
      <c r="E78" s="146" t="s">
        <v>39</v>
      </c>
      <c r="F78" s="146"/>
      <c r="G78" s="146" t="s">
        <v>24</v>
      </c>
      <c r="H78" s="146"/>
      <c r="I78" s="146"/>
      <c r="J78" s="146"/>
      <c r="K78" s="146" t="s">
        <v>622</v>
      </c>
      <c r="L78" s="146"/>
      <c r="M78" s="146"/>
      <c r="N78" s="754"/>
      <c r="O78" s="754"/>
      <c r="P78" s="754"/>
      <c r="Q78" s="760">
        <v>91000</v>
      </c>
      <c r="R78" s="754"/>
      <c r="S78" s="146" t="s">
        <v>610</v>
      </c>
      <c r="T78" s="119"/>
      <c r="U78" s="146"/>
      <c r="V78" s="146" t="s">
        <v>725</v>
      </c>
      <c r="W78" s="146"/>
      <c r="X78" s="146"/>
      <c r="Y78" s="146"/>
      <c r="Z78" s="146"/>
      <c r="AA78" s="146"/>
      <c r="AB78" s="146"/>
      <c r="AC78" s="756"/>
      <c r="AD78" s="756"/>
      <c r="AE78" s="756"/>
      <c r="AF78" s="758"/>
      <c r="AG78" s="146"/>
      <c r="AH78" s="759"/>
      <c r="AI78" s="146"/>
      <c r="AJ78" s="146"/>
      <c r="AK78" s="760"/>
      <c r="AL78" s="146"/>
      <c r="AM78" s="146"/>
      <c r="AN78" s="146"/>
      <c r="AO78" s="146"/>
      <c r="AP78" s="146"/>
      <c r="AQ78" s="146"/>
      <c r="AR78" s="146"/>
      <c r="AS78" s="146"/>
      <c r="AT78" s="146"/>
      <c r="AU78" s="146"/>
      <c r="AV78" s="128"/>
      <c r="AW78" s="117">
        <f>VLOOKUP($D78,'WB Data'!$C$3:$M$578,2,FALSE)</f>
        <v>12344529628.061665</v>
      </c>
      <c r="AX78" s="117">
        <f>VLOOKUP($D78,'WB Data'!$C$3:$M$578,3,FALSE)</f>
        <v>2801681</v>
      </c>
      <c r="AY78" s="847">
        <f t="shared" si="16"/>
        <v>7.4637614065548863E-3</v>
      </c>
      <c r="AZ78" s="117" t="e">
        <f>VLOOKUP($D78,'WB Data'!$C$3:$M$578,4,FALSE)/100</f>
        <v>#VALUE!</v>
      </c>
      <c r="BA78" s="117" t="str">
        <f t="shared" si="17"/>
        <v>..</v>
      </c>
      <c r="BB78" s="129">
        <f>IFERROR(VLOOKUP($D78,'EITI Revenues'!$C$2:$G$224,5,FALSE),"..")</f>
        <v>92136623.819999993</v>
      </c>
      <c r="BC78" s="846" t="str">
        <f t="shared" si="18"/>
        <v>..</v>
      </c>
      <c r="BD78" s="129">
        <f>VLOOKUP($D78,'WB Data 2'!$C$2:$K$545,6,FALSE)</f>
        <v>738064575.97141182</v>
      </c>
      <c r="BE78" s="129">
        <f>IFERROR(VLOOKUP($D78,UNCTAD!$C$5:$V$529,4,FALSE),"..")</f>
        <v>4101210000</v>
      </c>
      <c r="BF78" s="846">
        <f t="shared" si="19"/>
        <v>0.17996263931166945</v>
      </c>
      <c r="BG78" s="117">
        <f>VLOOKUP($D78,'WB Data'!$C$3:$M$578,5,FALSE)</f>
        <v>341620000</v>
      </c>
      <c r="BH78" s="129">
        <f>IFERROR($BB78/$BG78,"..")</f>
        <v>0.26970500503483402</v>
      </c>
      <c r="BI78" s="117" t="str">
        <f>IFERROR(VLOOKUP($D78,'WB Data'!$C$3:$M$578,7,FALSE)/100,"..")</f>
        <v>..</v>
      </c>
      <c r="BJ78" s="117" t="str">
        <f>IFERROR($BI78*$AW78,"..")</f>
        <v>..</v>
      </c>
      <c r="BK78" s="846" t="str">
        <f>IFERROR($BB78/$BJ78,"..")</f>
        <v>..</v>
      </c>
      <c r="BL78" s="117" t="str">
        <f>IFERROR(VLOOKUP($D78,'WB Data'!$C$3:$M$578,7,FALSE)/100,"..")</f>
        <v>..</v>
      </c>
      <c r="BM78" s="117" t="str">
        <f>IFERROR($AW78*$BL78,"..")</f>
        <v>..</v>
      </c>
      <c r="BN78" s="846" t="str">
        <f>IFERROR($BB78/$BM78,"..")</f>
        <v>..</v>
      </c>
      <c r="BO78" s="801">
        <f t="shared" si="15"/>
        <v>33</v>
      </c>
      <c r="BP78" s="117">
        <f>VLOOKUP($D78,'WB Data'!$C$3:$M$578,9,FALSE)</f>
        <v>14.3</v>
      </c>
      <c r="BQ78" s="117">
        <f>VLOOKUP($D78,'WB Data'!$C$3:$M$578,10,FALSE)</f>
        <v>77.350463414634149</v>
      </c>
      <c r="BR78" s="117">
        <f>VLOOKUP($D78,'WB Data'!$C$3:$M$578,11,FALSE)</f>
        <v>13.8</v>
      </c>
      <c r="BS78" s="129" t="str">
        <f>IFERROR(VLOOKUP($D78,'WB Data 2'!$C$2:$K$545,9,FALSE),"..")</f>
        <v>..</v>
      </c>
      <c r="BT78" s="129" t="str">
        <f>_xlfn.IFNA(VLOOKUP($C78,RGI!$A$2:$C$43,2,FALSE),"..")</f>
        <v>..</v>
      </c>
      <c r="BU78" s="129" t="str">
        <f>_xlfn.IFNA(VLOOKUP($C78,RGI!$A$2:$C$43,3,FALSE),"..")</f>
        <v>..</v>
      </c>
      <c r="BV78" s="129">
        <f>VLOOKUP($D78,WGI!$C$2:$O$478,7,FALSE)</f>
        <v>9.0010047163042693E-3</v>
      </c>
      <c r="BW78" s="129">
        <f>VLOOKUP($D78,WGI!$C$2:$O$478,4,FALSE)</f>
        <v>-0.158012773720207</v>
      </c>
      <c r="BX78" s="129">
        <f>VLOOKUP($D78,WGI!$C$2:$O$478,3,FALSE)</f>
        <v>-0.28033541860251798</v>
      </c>
      <c r="BY78" s="129">
        <f>VLOOKUP($D78,WGI!$C$2:$O$478,5,FALSE)</f>
        <v>0.16802785689462801</v>
      </c>
      <c r="BZ78" s="129">
        <f>VLOOKUP($D78,WGI!$C$2:$O$478,2,FALSE)</f>
        <v>-0.72284815498795696</v>
      </c>
    </row>
    <row r="79" spans="1:80" s="210" customFormat="1" ht="15" customHeight="1">
      <c r="A79" s="194" t="s">
        <v>52</v>
      </c>
      <c r="B79" s="175">
        <v>2003</v>
      </c>
      <c r="C79" s="117" t="s">
        <v>53</v>
      </c>
      <c r="D79" s="117" t="s">
        <v>3416</v>
      </c>
      <c r="E79" s="195" t="s">
        <v>39</v>
      </c>
      <c r="F79" s="175" t="s">
        <v>729</v>
      </c>
      <c r="G79" s="175" t="s">
        <v>55</v>
      </c>
      <c r="H79" s="117" t="str">
        <f t="shared" si="20"/>
        <v>no</v>
      </c>
      <c r="I79" s="117" t="str">
        <f t="shared" si="21"/>
        <v>yes</v>
      </c>
      <c r="J79" s="117" t="str">
        <f t="shared" si="22"/>
        <v>yes</v>
      </c>
      <c r="K79" s="196" t="s">
        <v>709</v>
      </c>
      <c r="L79" s="117" t="str">
        <f t="shared" si="13"/>
        <v>Total</v>
      </c>
      <c r="M79" s="117" t="str">
        <f t="shared" si="14"/>
        <v>Total Oil, Gas</v>
      </c>
      <c r="N79" s="197"/>
      <c r="O79" s="197"/>
      <c r="P79" s="197"/>
      <c r="Q79" s="197"/>
      <c r="R79" s="197"/>
      <c r="S79" s="175"/>
      <c r="T79" s="198"/>
      <c r="U79" s="175"/>
      <c r="V79" s="175"/>
      <c r="W79" s="199">
        <f>SUM(W80:W81)</f>
        <v>3997703028.0599999</v>
      </c>
      <c r="X79" s="200" t="s">
        <v>730</v>
      </c>
      <c r="Y79" s="175" t="s">
        <v>731</v>
      </c>
      <c r="Z79" s="175" t="s">
        <v>732</v>
      </c>
      <c r="AA79" s="201">
        <v>622338949.75102043</v>
      </c>
      <c r="AB79" s="201">
        <v>263638775.51020396</v>
      </c>
      <c r="AC79" s="202"/>
      <c r="AD79" s="202"/>
      <c r="AE79" s="202"/>
      <c r="AF79" s="203">
        <f>AA79/W79</f>
        <v>0.15567413221612619</v>
      </c>
      <c r="AG79" s="175" t="s">
        <v>733</v>
      </c>
      <c r="AH79" s="204">
        <v>0.98</v>
      </c>
      <c r="AI79" s="175" t="s">
        <v>667</v>
      </c>
      <c r="AJ79" s="175" t="s">
        <v>734</v>
      </c>
      <c r="AK79" s="199">
        <f>SUM(AK80:AK81)</f>
        <v>363048976</v>
      </c>
      <c r="AL79" s="175"/>
      <c r="AM79" s="175"/>
      <c r="AN79" s="205">
        <v>21</v>
      </c>
      <c r="AO79" s="175" t="s">
        <v>735</v>
      </c>
      <c r="AP79" s="175">
        <v>21</v>
      </c>
      <c r="AQ79" s="200" t="s">
        <v>54</v>
      </c>
      <c r="AR79" s="206">
        <v>41887</v>
      </c>
      <c r="AS79" s="175" t="s">
        <v>712</v>
      </c>
      <c r="AT79" s="207" t="s">
        <v>56</v>
      </c>
      <c r="AU79" s="208" t="s">
        <v>736</v>
      </c>
      <c r="AV79" s="209" t="s">
        <v>737</v>
      </c>
      <c r="AW79" s="117">
        <f>VLOOKUP($D79,'WB Data'!$C$3:$M$578,2,FALSE)</f>
        <v>7275766111.2430887</v>
      </c>
      <c r="AX79" s="117">
        <f>VLOOKUP($D79,'WB Data'!$C$3:$M$578,3,FALSE)</f>
        <v>8234100</v>
      </c>
      <c r="AY79" s="847">
        <f t="shared" si="16"/>
        <v>8.5535865259513094E-2</v>
      </c>
      <c r="AZ79" s="117" t="e">
        <f>VLOOKUP($D79,'WB Data'!$C$3:$M$578,4,FALSE)/100</f>
        <v>#VALUE!</v>
      </c>
      <c r="BA79" s="117" t="str">
        <f t="shared" si="17"/>
        <v>..</v>
      </c>
      <c r="BB79" s="129">
        <f>IFERROR(VLOOKUP($D79,'EITI Revenues'!$C$2:$G$224,5,FALSE),"..")</f>
        <v>622338949.75102043</v>
      </c>
      <c r="BC79" s="846" t="str">
        <f t="shared" si="18"/>
        <v>..</v>
      </c>
      <c r="BD79" s="129">
        <f>VLOOKUP($D79,'WB Data 2'!$C$2:$K$545,6,FALSE)</f>
        <v>2255926500.3063512</v>
      </c>
      <c r="BE79" s="129">
        <f>IFERROR(VLOOKUP($D79,UNCTAD!$C$5:$V$529,4,FALSE),"..")</f>
        <v>3056613000</v>
      </c>
      <c r="BF79" s="846">
        <f t="shared" si="19"/>
        <v>0.73804780006705173</v>
      </c>
      <c r="BG79" s="117">
        <f>VLOOKUP($D79,'WB Data'!$C$3:$M$578,5,FALSE)</f>
        <v>300700000</v>
      </c>
      <c r="BH79" s="129">
        <f>IFERROR($BB79/$BG79,"..")</f>
        <v>2.0696340197905569</v>
      </c>
      <c r="BI79" s="117">
        <f>IFERROR(VLOOKUP($D79,'WB Data'!$C$3:$M$578,7,FALSE)/100,"..")</f>
        <v>3.2861500000000002E-2</v>
      </c>
      <c r="BJ79" s="117">
        <f>IFERROR($BI79*$AW79,"..")</f>
        <v>239092588.06461477</v>
      </c>
      <c r="BK79" s="846">
        <f>IFERROR($BB79/$BJ79,"..")</f>
        <v>2.6029202945548162</v>
      </c>
      <c r="BL79" s="117">
        <f>IFERROR(VLOOKUP($D79,'WB Data'!$C$3:$M$578,7,FALSE)/100,"..")</f>
        <v>3.2861500000000002E-2</v>
      </c>
      <c r="BM79" s="117">
        <f>IFERROR($AW79*$BL79,"..")</f>
        <v>239092588.06461477</v>
      </c>
      <c r="BN79" s="846">
        <f>IFERROR($BB79/$BM79,"..")</f>
        <v>2.6029202945548162</v>
      </c>
      <c r="BO79" s="801">
        <f t="shared" si="15"/>
        <v>29</v>
      </c>
      <c r="BP79" s="117" t="str">
        <f>VLOOKUP($D79,'WB Data'!$C$3:$M$578,9,FALSE)</f>
        <v>..</v>
      </c>
      <c r="BQ79" s="117">
        <f>VLOOKUP($D79,'WB Data'!$C$3:$M$578,10,FALSE)</f>
        <v>68.003682926829285</v>
      </c>
      <c r="BR79" s="117">
        <f>VLOOKUP($D79,'WB Data'!$C$3:$M$578,11,FALSE)</f>
        <v>49.8</v>
      </c>
      <c r="BS79" s="129">
        <f>IFERROR(VLOOKUP($D79,'WB Data 2'!$C$2:$K$545,9,FALSE),"..")</f>
        <v>83.346299999999999</v>
      </c>
      <c r="BT79" s="129">
        <f>_xlfn.IFNA(VLOOKUP($C79,RGI!$A$2:$C$43,2,FALSE),"..")</f>
        <v>75.099999999999994</v>
      </c>
      <c r="BU79" s="129">
        <f>_xlfn.IFNA(VLOOKUP($C79,RGI!$A$2:$C$43,3,FALSE),"..")</f>
        <v>48.092853423547197</v>
      </c>
      <c r="BV79" s="129">
        <f>VLOOKUP($D79,WGI!$C$2:$O$478,7,FALSE)</f>
        <v>-1.06133295704847</v>
      </c>
      <c r="BW79" s="129">
        <f>VLOOKUP($D79,WGI!$C$2:$O$478,4,FALSE)</f>
        <v>-1.00493522862547</v>
      </c>
      <c r="BX79" s="129">
        <f>VLOOKUP($D79,WGI!$C$2:$O$478,3,FALSE)</f>
        <v>-0.80206008572976895</v>
      </c>
      <c r="BY79" s="129">
        <f>VLOOKUP($D79,WGI!$C$2:$O$478,5,FALSE)</f>
        <v>-0.59636023494211399</v>
      </c>
      <c r="BZ79" s="129">
        <f>VLOOKUP($D79,WGI!$C$2:$O$478,2,FALSE)</f>
        <v>-0.94683881369947598</v>
      </c>
      <c r="CB79" s="129"/>
    </row>
    <row r="80" spans="1:80" s="120" customFormat="1" ht="15" customHeight="1">
      <c r="A80" s="145" t="s">
        <v>52</v>
      </c>
      <c r="B80" s="117">
        <v>2003</v>
      </c>
      <c r="C80" s="117" t="s">
        <v>53</v>
      </c>
      <c r="D80" s="117" t="s">
        <v>3416</v>
      </c>
      <c r="E80" s="174" t="s">
        <v>39</v>
      </c>
      <c r="F80" s="117"/>
      <c r="G80" s="117" t="s">
        <v>561</v>
      </c>
      <c r="H80" s="117" t="str">
        <f t="shared" si="20"/>
        <v>no</v>
      </c>
      <c r="I80" s="117" t="str">
        <f t="shared" si="21"/>
        <v>yes</v>
      </c>
      <c r="J80" s="117" t="str">
        <f t="shared" si="22"/>
        <v>no</v>
      </c>
      <c r="K80" s="176" t="s">
        <v>561</v>
      </c>
      <c r="L80" s="117" t="str">
        <f t="shared" si="13"/>
        <v>detailed</v>
      </c>
      <c r="M80" s="117" t="str">
        <f t="shared" si="14"/>
        <v>detailed Gas</v>
      </c>
      <c r="N80" s="118">
        <v>4600000000</v>
      </c>
      <c r="O80" s="118">
        <f>N80*0.0066</f>
        <v>30360000</v>
      </c>
      <c r="P80" s="118"/>
      <c r="Q80" s="118"/>
      <c r="R80" s="118"/>
      <c r="S80" s="117" t="s">
        <v>642</v>
      </c>
      <c r="T80" s="119">
        <v>0.16410100000000002</v>
      </c>
      <c r="U80" s="117" t="s">
        <v>643</v>
      </c>
      <c r="V80" s="117" t="s">
        <v>738</v>
      </c>
      <c r="W80" s="89">
        <f>N80*T80</f>
        <v>754864600.00000012</v>
      </c>
      <c r="X80" s="117"/>
      <c r="Y80" s="117"/>
      <c r="Z80" s="117"/>
      <c r="AA80" s="211">
        <f>W80/W81</f>
        <v>0.23277897334268094</v>
      </c>
      <c r="AB80" s="179"/>
      <c r="AC80" s="212"/>
      <c r="AD80" s="212"/>
      <c r="AE80" s="212"/>
      <c r="AF80" s="213"/>
      <c r="AG80" s="117"/>
      <c r="AH80" s="124"/>
      <c r="AI80" s="117"/>
      <c r="AJ80" s="117" t="s">
        <v>739</v>
      </c>
      <c r="AK80" s="89">
        <f>1052200000*T80</f>
        <v>172667072.20000002</v>
      </c>
      <c r="AL80" s="117"/>
      <c r="AM80" s="117"/>
      <c r="AN80" s="214"/>
      <c r="AO80" s="117"/>
      <c r="AP80" s="117"/>
      <c r="AQ80" s="125"/>
      <c r="AR80" s="126"/>
      <c r="AS80" s="117"/>
      <c r="AT80" s="127"/>
      <c r="AU80" s="215"/>
      <c r="AV80" s="128"/>
      <c r="AW80" s="117">
        <f>VLOOKUP($D80,'WB Data'!$C$3:$M$578,2,FALSE)</f>
        <v>7275766111.2430887</v>
      </c>
      <c r="AX80" s="117">
        <f>VLOOKUP($D80,'WB Data'!$C$3:$M$578,3,FALSE)</f>
        <v>8234100</v>
      </c>
      <c r="AY80" s="847">
        <f t="shared" si="16"/>
        <v>8.5535865259513094E-2</v>
      </c>
      <c r="AZ80" s="117" t="e">
        <f>VLOOKUP($D80,'WB Data'!$C$3:$M$578,4,FALSE)/100</f>
        <v>#VALUE!</v>
      </c>
      <c r="BA80" s="117" t="str">
        <f t="shared" si="17"/>
        <v>..</v>
      </c>
      <c r="BB80" s="129">
        <f>IFERROR(VLOOKUP($D80,'EITI Revenues'!$C$2:$G$224,5,FALSE),"..")</f>
        <v>622338949.75102043</v>
      </c>
      <c r="BC80" s="846" t="str">
        <f t="shared" si="18"/>
        <v>..</v>
      </c>
      <c r="BD80" s="129">
        <f>VLOOKUP($D80,'WB Data 2'!$C$2:$K$545,6,FALSE)</f>
        <v>2255926500.3063512</v>
      </c>
      <c r="BE80" s="129">
        <f>IFERROR(VLOOKUP($D80,UNCTAD!$C$5:$V$529,4,FALSE),"..")</f>
        <v>3056613000</v>
      </c>
      <c r="BF80" s="846">
        <f t="shared" si="19"/>
        <v>0.73804780006705173</v>
      </c>
      <c r="BG80" s="117">
        <f>VLOOKUP($D80,'WB Data'!$C$3:$M$578,5,FALSE)</f>
        <v>300700000</v>
      </c>
      <c r="BH80" s="129">
        <f>IFERROR($BB80/$BG80,"..")</f>
        <v>2.0696340197905569</v>
      </c>
      <c r="BI80" s="117">
        <f>IFERROR(VLOOKUP($D80,'WB Data'!$C$3:$M$578,7,FALSE)/100,"..")</f>
        <v>3.2861500000000002E-2</v>
      </c>
      <c r="BJ80" s="117">
        <f>IFERROR($BI80*$AW80,"..")</f>
        <v>239092588.06461477</v>
      </c>
      <c r="BK80" s="846">
        <f>IFERROR($BB80/$BJ80,"..")</f>
        <v>2.6029202945548162</v>
      </c>
      <c r="BL80" s="117">
        <f>IFERROR(VLOOKUP($D80,'WB Data'!$C$3:$M$578,7,FALSE)/100,"..")</f>
        <v>3.2861500000000002E-2</v>
      </c>
      <c r="BM80" s="117">
        <f>IFERROR($AW80*$BL80,"..")</f>
        <v>239092588.06461477</v>
      </c>
      <c r="BN80" s="846">
        <f>IFERROR($BB80/$BM80,"..")</f>
        <v>2.6029202945548162</v>
      </c>
      <c r="BO80" s="801">
        <f t="shared" si="15"/>
        <v>29</v>
      </c>
      <c r="BP80" s="117" t="str">
        <f>VLOOKUP($D80,'WB Data'!$C$3:$M$578,9,FALSE)</f>
        <v>..</v>
      </c>
      <c r="BQ80" s="117">
        <f>VLOOKUP($D80,'WB Data'!$C$3:$M$578,10,FALSE)</f>
        <v>68.003682926829285</v>
      </c>
      <c r="BR80" s="117">
        <f>VLOOKUP($D80,'WB Data'!$C$3:$M$578,11,FALSE)</f>
        <v>49.8</v>
      </c>
      <c r="BS80" s="129">
        <f>IFERROR(VLOOKUP($D80,'WB Data 2'!$C$2:$K$545,9,FALSE),"..")</f>
        <v>83.346299999999999</v>
      </c>
      <c r="BT80" s="129">
        <f>_xlfn.IFNA(VLOOKUP($C80,RGI!$A$2:$C$43,2,FALSE),"..")</f>
        <v>75.099999999999994</v>
      </c>
      <c r="BU80" s="129">
        <f>_xlfn.IFNA(VLOOKUP($C80,RGI!$A$2:$C$43,3,FALSE),"..")</f>
        <v>48.092853423547197</v>
      </c>
      <c r="BV80" s="129">
        <f>VLOOKUP($D80,WGI!$C$2:$O$478,7,FALSE)</f>
        <v>-1.06133295704847</v>
      </c>
      <c r="BW80" s="129">
        <f>VLOOKUP($D80,WGI!$C$2:$O$478,4,FALSE)</f>
        <v>-1.00493522862547</v>
      </c>
      <c r="BX80" s="129">
        <f>VLOOKUP($D80,WGI!$C$2:$O$478,3,FALSE)</f>
        <v>-0.80206008572976895</v>
      </c>
      <c r="BY80" s="129">
        <f>VLOOKUP($D80,WGI!$C$2:$O$478,5,FALSE)</f>
        <v>-0.59636023494211399</v>
      </c>
      <c r="BZ80" s="129">
        <f>VLOOKUP($D80,WGI!$C$2:$O$478,2,FALSE)</f>
        <v>-0.94683881369947598</v>
      </c>
      <c r="CB80" s="129"/>
    </row>
    <row r="81" spans="1:80" s="158" customFormat="1" ht="15" customHeight="1">
      <c r="A81" s="147" t="s">
        <v>52</v>
      </c>
      <c r="B81" s="149">
        <v>2003</v>
      </c>
      <c r="C81" s="149" t="s">
        <v>53</v>
      </c>
      <c r="D81" s="117" t="s">
        <v>3416</v>
      </c>
      <c r="E81" s="187" t="s">
        <v>39</v>
      </c>
      <c r="F81" s="149"/>
      <c r="G81" s="117" t="s">
        <v>103</v>
      </c>
      <c r="H81" s="117" t="str">
        <f t="shared" si="20"/>
        <v>no</v>
      </c>
      <c r="I81" s="117" t="str">
        <f t="shared" si="21"/>
        <v>no</v>
      </c>
      <c r="J81" s="117" t="str">
        <f t="shared" si="22"/>
        <v>yes</v>
      </c>
      <c r="K81" s="188" t="s">
        <v>103</v>
      </c>
      <c r="L81" s="117" t="str">
        <f t="shared" si="13"/>
        <v>detailed</v>
      </c>
      <c r="M81" s="117" t="str">
        <f t="shared" si="14"/>
        <v>detailed Oil</v>
      </c>
      <c r="N81" s="150">
        <v>112420000</v>
      </c>
      <c r="O81" s="211">
        <f>O80/N81</f>
        <v>0.27005870841487278</v>
      </c>
      <c r="P81" s="211"/>
      <c r="Q81" s="211"/>
      <c r="R81" s="211"/>
      <c r="S81" s="149" t="s">
        <v>646</v>
      </c>
      <c r="T81" s="151">
        <v>28.845742999999999</v>
      </c>
      <c r="U81" s="149" t="s">
        <v>673</v>
      </c>
      <c r="V81" s="149" t="s">
        <v>740</v>
      </c>
      <c r="W81" s="152">
        <f>N81*T81</f>
        <v>3242838428.0599999</v>
      </c>
      <c r="X81" s="149"/>
      <c r="Y81" s="149"/>
      <c r="Z81" s="149"/>
      <c r="AA81" s="216"/>
      <c r="AB81" s="216"/>
      <c r="AC81" s="217"/>
      <c r="AD81" s="217"/>
      <c r="AE81" s="217"/>
      <c r="AF81" s="213"/>
      <c r="AG81" s="149"/>
      <c r="AH81" s="156"/>
      <c r="AI81" s="149"/>
      <c r="AJ81" s="149" t="s">
        <v>741</v>
      </c>
      <c r="AK81" s="152">
        <f>6600000*T81</f>
        <v>190381903.79999998</v>
      </c>
      <c r="AL81" s="149"/>
      <c r="AM81" s="149"/>
      <c r="AN81" s="218"/>
      <c r="AO81" s="149"/>
      <c r="AP81" s="149"/>
      <c r="AQ81" s="219"/>
      <c r="AR81" s="220"/>
      <c r="AS81" s="149"/>
      <c r="AT81" s="221"/>
      <c r="AU81" s="222"/>
      <c r="AV81" s="157"/>
      <c r="AW81" s="117">
        <f>VLOOKUP($D81,'WB Data'!$C$3:$M$578,2,FALSE)</f>
        <v>7275766111.2430887</v>
      </c>
      <c r="AX81" s="117">
        <f>VLOOKUP($D81,'WB Data'!$C$3:$M$578,3,FALSE)</f>
        <v>8234100</v>
      </c>
      <c r="AY81" s="847">
        <f t="shared" si="16"/>
        <v>8.5535865259513094E-2</v>
      </c>
      <c r="AZ81" s="117" t="e">
        <f>VLOOKUP($D81,'WB Data'!$C$3:$M$578,4,FALSE)/100</f>
        <v>#VALUE!</v>
      </c>
      <c r="BA81" s="117" t="str">
        <f t="shared" si="17"/>
        <v>..</v>
      </c>
      <c r="BB81" s="129">
        <f>IFERROR(VLOOKUP($D81,'EITI Revenues'!$C$2:$G$224,5,FALSE),"..")</f>
        <v>622338949.75102043</v>
      </c>
      <c r="BC81" s="846" t="str">
        <f t="shared" si="18"/>
        <v>..</v>
      </c>
      <c r="BD81" s="129">
        <f>VLOOKUP($D81,'WB Data 2'!$C$2:$K$545,6,FALSE)</f>
        <v>2255926500.3063512</v>
      </c>
      <c r="BE81" s="129">
        <f>IFERROR(VLOOKUP($D81,UNCTAD!$C$5:$V$529,4,FALSE),"..")</f>
        <v>3056613000</v>
      </c>
      <c r="BF81" s="846">
        <f t="shared" si="19"/>
        <v>0.73804780006705173</v>
      </c>
      <c r="BG81" s="117">
        <f>VLOOKUP($D81,'WB Data'!$C$3:$M$578,5,FALSE)</f>
        <v>300700000</v>
      </c>
      <c r="BH81" s="129">
        <f>IFERROR($BB81/$BG81,"..")</f>
        <v>2.0696340197905569</v>
      </c>
      <c r="BI81" s="117">
        <f>IFERROR(VLOOKUP($D81,'WB Data'!$C$3:$M$578,7,FALSE)/100,"..")</f>
        <v>3.2861500000000002E-2</v>
      </c>
      <c r="BJ81" s="117">
        <f>IFERROR($BI81*$AW81,"..")</f>
        <v>239092588.06461477</v>
      </c>
      <c r="BK81" s="846">
        <f>IFERROR($BB81/$BJ81,"..")</f>
        <v>2.6029202945548162</v>
      </c>
      <c r="BL81" s="117">
        <f>IFERROR(VLOOKUP($D81,'WB Data'!$C$3:$M$578,7,FALSE)/100,"..")</f>
        <v>3.2861500000000002E-2</v>
      </c>
      <c r="BM81" s="117">
        <f>IFERROR($AW81*$BL81,"..")</f>
        <v>239092588.06461477</v>
      </c>
      <c r="BN81" s="846">
        <f>IFERROR($BB81/$BM81,"..")</f>
        <v>2.6029202945548162</v>
      </c>
      <c r="BO81" s="801">
        <f t="shared" si="15"/>
        <v>29</v>
      </c>
      <c r="BP81" s="117" t="str">
        <f>VLOOKUP($D81,'WB Data'!$C$3:$M$578,9,FALSE)</f>
        <v>..</v>
      </c>
      <c r="BQ81" s="117">
        <f>VLOOKUP($D81,'WB Data'!$C$3:$M$578,10,FALSE)</f>
        <v>68.003682926829285</v>
      </c>
      <c r="BR81" s="117">
        <f>VLOOKUP($D81,'WB Data'!$C$3:$M$578,11,FALSE)</f>
        <v>49.8</v>
      </c>
      <c r="BS81" s="129">
        <f>IFERROR(VLOOKUP($D81,'WB Data 2'!$C$2:$K$545,9,FALSE),"..")</f>
        <v>83.346299999999999</v>
      </c>
      <c r="BT81" s="129">
        <f>_xlfn.IFNA(VLOOKUP($C81,RGI!$A$2:$C$43,2,FALSE),"..")</f>
        <v>75.099999999999994</v>
      </c>
      <c r="BU81" s="129">
        <f>_xlfn.IFNA(VLOOKUP($C81,RGI!$A$2:$C$43,3,FALSE),"..")</f>
        <v>48.092853423547197</v>
      </c>
      <c r="BV81" s="129">
        <f>VLOOKUP($D81,WGI!$C$2:$O$478,7,FALSE)</f>
        <v>-1.06133295704847</v>
      </c>
      <c r="BW81" s="129">
        <f>VLOOKUP($D81,WGI!$C$2:$O$478,4,FALSE)</f>
        <v>-1.00493522862547</v>
      </c>
      <c r="BX81" s="129">
        <f>VLOOKUP($D81,WGI!$C$2:$O$478,3,FALSE)</f>
        <v>-0.80206008572976895</v>
      </c>
      <c r="BY81" s="129">
        <f>VLOOKUP($D81,WGI!$C$2:$O$478,5,FALSE)</f>
        <v>-0.59636023494211399</v>
      </c>
      <c r="BZ81" s="129">
        <f>VLOOKUP($D81,WGI!$C$2:$O$478,2,FALSE)</f>
        <v>-0.94683881369947598</v>
      </c>
      <c r="CB81" s="129"/>
    </row>
    <row r="82" spans="1:80" ht="15" customHeight="1">
      <c r="A82" s="145" t="s">
        <v>57</v>
      </c>
      <c r="B82" s="117">
        <v>2004</v>
      </c>
      <c r="C82" s="117" t="s">
        <v>53</v>
      </c>
      <c r="D82" s="117" t="s">
        <v>3450</v>
      </c>
      <c r="E82" s="174" t="s">
        <v>39</v>
      </c>
      <c r="F82" s="117" t="s">
        <v>729</v>
      </c>
      <c r="G82" s="132" t="s">
        <v>55</v>
      </c>
      <c r="H82" s="117" t="str">
        <f t="shared" si="20"/>
        <v>no</v>
      </c>
      <c r="I82" s="117" t="str">
        <f t="shared" si="21"/>
        <v>yes</v>
      </c>
      <c r="J82" s="117" t="str">
        <f t="shared" si="22"/>
        <v>yes</v>
      </c>
      <c r="K82" s="176" t="s">
        <v>709</v>
      </c>
      <c r="L82" s="117" t="str">
        <f t="shared" si="13"/>
        <v>Total</v>
      </c>
      <c r="M82" s="117" t="str">
        <f t="shared" si="14"/>
        <v>Total Oil, Gas</v>
      </c>
      <c r="N82" s="118"/>
      <c r="O82" s="118"/>
      <c r="P82" s="118"/>
      <c r="Q82" s="118"/>
      <c r="R82" s="118"/>
      <c r="S82" s="117"/>
      <c r="T82" s="119"/>
      <c r="U82" s="117"/>
      <c r="V82" s="117"/>
      <c r="W82" s="89">
        <f>SUM(W83:W84)</f>
        <v>5093724575.55375</v>
      </c>
      <c r="X82" s="125" t="s">
        <v>742</v>
      </c>
      <c r="Y82" s="117" t="s">
        <v>731</v>
      </c>
      <c r="Z82" s="117" t="s">
        <v>732</v>
      </c>
      <c r="AA82" s="223">
        <v>1099837402.0408163</v>
      </c>
      <c r="AB82" s="223">
        <v>645018367.34693873</v>
      </c>
      <c r="AC82" s="212"/>
      <c r="AD82" s="212"/>
      <c r="AE82" s="212"/>
      <c r="AF82" s="224">
        <f>AA82/W82</f>
        <v>0.21592007689604037</v>
      </c>
      <c r="AG82" s="117" t="s">
        <v>743</v>
      </c>
      <c r="AH82" s="124">
        <v>0.98</v>
      </c>
      <c r="AI82" s="117" t="s">
        <v>667</v>
      </c>
      <c r="AJ82" s="117" t="s">
        <v>744</v>
      </c>
      <c r="AK82" s="89">
        <f>SUM(AK83:AK84)</f>
        <v>445467623.32500005</v>
      </c>
      <c r="AL82" s="117"/>
      <c r="AM82" s="117"/>
      <c r="AN82" s="214">
        <v>21</v>
      </c>
      <c r="AO82" s="117" t="s">
        <v>735</v>
      </c>
      <c r="AP82" s="117">
        <v>21</v>
      </c>
      <c r="AQ82" s="125" t="s">
        <v>58</v>
      </c>
      <c r="AR82" s="126">
        <v>41887</v>
      </c>
      <c r="AS82" s="117" t="s">
        <v>712</v>
      </c>
      <c r="AT82" s="117" t="s">
        <v>59</v>
      </c>
      <c r="AU82" s="215" t="s">
        <v>745</v>
      </c>
      <c r="AV82" s="128" t="s">
        <v>746</v>
      </c>
      <c r="AW82" s="117">
        <f>VLOOKUP($D82,'WB Data'!$C$3:$M$578,2,FALSE)</f>
        <v>8680511918.4935722</v>
      </c>
      <c r="AX82" s="117">
        <f>VLOOKUP($D82,'WB Data'!$C$3:$M$578,3,FALSE)</f>
        <v>8306500</v>
      </c>
      <c r="AY82" s="847">
        <f t="shared" si="16"/>
        <v>0.12670190564425646</v>
      </c>
      <c r="AZ82" s="117" t="e">
        <f>VLOOKUP($D82,'WB Data'!$C$3:$M$578,4,FALSE)/100</f>
        <v>#VALUE!</v>
      </c>
      <c r="BA82" s="117" t="str">
        <f t="shared" si="17"/>
        <v>..</v>
      </c>
      <c r="BB82" s="129">
        <f>IFERROR(VLOOKUP($D82,'EITI Revenues'!$C$2:$G$224,5,FALSE),"..")</f>
        <v>1099837402.0408163</v>
      </c>
      <c r="BC82" s="846" t="str">
        <f t="shared" si="18"/>
        <v>..</v>
      </c>
      <c r="BD82" s="129">
        <f>VLOOKUP($D82,'WB Data 2'!$C$2:$K$545,6,FALSE)</f>
        <v>3023784327.574739</v>
      </c>
      <c r="BE82" s="129">
        <f>IFERROR(VLOOKUP($D82,UNCTAD!$C$5:$V$529,4,FALSE),"..")</f>
        <v>4235001000</v>
      </c>
      <c r="BF82" s="846">
        <f t="shared" si="19"/>
        <v>0.71399849198966869</v>
      </c>
      <c r="BG82" s="117">
        <f>VLOOKUP($D82,'WB Data'!$C$3:$M$578,5,FALSE)</f>
        <v>175760000</v>
      </c>
      <c r="BH82" s="129">
        <f>IFERROR($BB82/$BG82,"..")</f>
        <v>6.2576092514839345</v>
      </c>
      <c r="BI82" s="117">
        <f>IFERROR(VLOOKUP($D82,'WB Data'!$C$3:$M$578,7,FALSE)/100,"..")</f>
        <v>3.4476599999999996E-2</v>
      </c>
      <c r="BJ82" s="117">
        <f>IFERROR($BI82*$AW82,"..")</f>
        <v>299274537.20913547</v>
      </c>
      <c r="BK82" s="846">
        <f>IFERROR($BB82/$BJ82,"..")</f>
        <v>3.6750116207589056</v>
      </c>
      <c r="BL82" s="117">
        <f>IFERROR(VLOOKUP($D82,'WB Data'!$C$3:$M$578,7,FALSE)/100,"..")</f>
        <v>3.4476599999999996E-2</v>
      </c>
      <c r="BM82" s="117">
        <f>IFERROR($AW82*$BL82,"..")</f>
        <v>299274537.20913547</v>
      </c>
      <c r="BN82" s="846">
        <f>IFERROR($BB82/$BM82,"..")</f>
        <v>3.6750116207589056</v>
      </c>
      <c r="BO82" s="801">
        <f t="shared" si="15"/>
        <v>29</v>
      </c>
      <c r="BP82" s="117" t="str">
        <f>VLOOKUP($D82,'WB Data'!$C$3:$M$578,9,FALSE)</f>
        <v>..</v>
      </c>
      <c r="BQ82" s="117">
        <f>VLOOKUP($D82,'WB Data'!$C$3:$M$578,10,FALSE)</f>
        <v>68.470195121951221</v>
      </c>
      <c r="BR82" s="117">
        <f>VLOOKUP($D82,'WB Data'!$C$3:$M$578,11,FALSE)</f>
        <v>46.7</v>
      </c>
      <c r="BS82" s="129">
        <f>IFERROR(VLOOKUP($D82,'WB Data 2'!$C$2:$K$545,9,FALSE),"..")</f>
        <v>84.283259999999999</v>
      </c>
      <c r="BT82" s="129">
        <f>_xlfn.IFNA(VLOOKUP($C82,RGI!$A$2:$C$43,2,FALSE),"..")</f>
        <v>75.099999999999994</v>
      </c>
      <c r="BU82" s="129">
        <f>_xlfn.IFNA(VLOOKUP($C82,RGI!$A$2:$C$43,3,FALSE),"..")</f>
        <v>48.092853423547197</v>
      </c>
      <c r="BV82" s="129">
        <f>VLOOKUP($D82,WGI!$C$2:$O$478,7,FALSE)</f>
        <v>-1.0443625579526301</v>
      </c>
      <c r="BW82" s="129">
        <f>VLOOKUP($D82,WGI!$C$2:$O$478,4,FALSE)</f>
        <v>-1.0866114775606099</v>
      </c>
      <c r="BX82" s="129">
        <f>VLOOKUP($D82,WGI!$C$2:$O$478,3,FALSE)</f>
        <v>-0.75060073325910404</v>
      </c>
      <c r="BY82" s="129">
        <f>VLOOKUP($D82,WGI!$C$2:$O$478,5,FALSE)</f>
        <v>-0.58775702093830895</v>
      </c>
      <c r="BZ82" s="129">
        <f>VLOOKUP($D82,WGI!$C$2:$O$478,2,FALSE)</f>
        <v>-1.11152906579656</v>
      </c>
    </row>
    <row r="83" spans="1:80" ht="15" customHeight="1">
      <c r="A83" s="145" t="s">
        <v>57</v>
      </c>
      <c r="B83" s="117">
        <v>2004</v>
      </c>
      <c r="C83" s="117" t="s">
        <v>53</v>
      </c>
      <c r="D83" s="117" t="s">
        <v>3450</v>
      </c>
      <c r="E83" s="174" t="s">
        <v>39</v>
      </c>
      <c r="F83" s="117"/>
      <c r="G83" s="117" t="s">
        <v>561</v>
      </c>
      <c r="H83" s="117" t="str">
        <f t="shared" si="20"/>
        <v>no</v>
      </c>
      <c r="I83" s="117" t="str">
        <f t="shared" si="21"/>
        <v>yes</v>
      </c>
      <c r="J83" s="117" t="str">
        <f t="shared" si="22"/>
        <v>no</v>
      </c>
      <c r="K83" s="176" t="s">
        <v>561</v>
      </c>
      <c r="L83" s="117" t="str">
        <f t="shared" si="13"/>
        <v>detailed</v>
      </c>
      <c r="M83" s="117" t="str">
        <f t="shared" si="14"/>
        <v>detailed Gas</v>
      </c>
      <c r="N83" s="118">
        <v>4500000000</v>
      </c>
      <c r="O83" s="118">
        <f>N83*0.0066</f>
        <v>29700000</v>
      </c>
      <c r="P83" s="118"/>
      <c r="Q83" s="118"/>
      <c r="R83" s="118"/>
      <c r="S83" s="117" t="s">
        <v>642</v>
      </c>
      <c r="T83" s="119">
        <v>0.18254599999999999</v>
      </c>
      <c r="U83" s="117" t="s">
        <v>643</v>
      </c>
      <c r="V83" s="117" t="s">
        <v>738</v>
      </c>
      <c r="W83" s="89">
        <f>N83*T83</f>
        <v>821456999.99999988</v>
      </c>
      <c r="X83" s="117"/>
      <c r="Y83" s="117"/>
      <c r="Z83" s="117"/>
      <c r="AA83" s="211">
        <f>W83/W84</f>
        <v>0.1922765804043832</v>
      </c>
      <c r="AB83" s="179"/>
      <c r="AC83" s="212"/>
      <c r="AD83" s="212"/>
      <c r="AE83" s="212"/>
      <c r="AF83" s="213"/>
      <c r="AG83" s="117"/>
      <c r="AH83" s="124"/>
      <c r="AI83" s="117"/>
      <c r="AJ83" s="89" t="s">
        <v>747</v>
      </c>
      <c r="AK83" s="89">
        <f>1050000000*T83</f>
        <v>191673300</v>
      </c>
      <c r="AL83" s="117"/>
      <c r="AM83" s="117"/>
      <c r="AN83" s="214"/>
      <c r="AO83" s="117"/>
      <c r="AP83" s="117"/>
      <c r="AQ83" s="125"/>
      <c r="AR83" s="126"/>
      <c r="AS83" s="117"/>
      <c r="AT83" s="127"/>
      <c r="AU83" s="215"/>
      <c r="AV83" s="128"/>
      <c r="AW83" s="117">
        <f>VLOOKUP($D83,'WB Data'!$C$3:$M$578,2,FALSE)</f>
        <v>8680511918.4935722</v>
      </c>
      <c r="AX83" s="117">
        <f>VLOOKUP($D83,'WB Data'!$C$3:$M$578,3,FALSE)</f>
        <v>8306500</v>
      </c>
      <c r="AY83" s="847">
        <f t="shared" si="16"/>
        <v>0.12670190564425646</v>
      </c>
      <c r="AZ83" s="117" t="e">
        <f>VLOOKUP($D83,'WB Data'!$C$3:$M$578,4,FALSE)/100</f>
        <v>#VALUE!</v>
      </c>
      <c r="BA83" s="117" t="str">
        <f t="shared" si="17"/>
        <v>..</v>
      </c>
      <c r="BB83" s="129">
        <f>IFERROR(VLOOKUP($D83,'EITI Revenues'!$C$2:$G$224,5,FALSE),"..")</f>
        <v>1099837402.0408163</v>
      </c>
      <c r="BC83" s="846" t="str">
        <f t="shared" si="18"/>
        <v>..</v>
      </c>
      <c r="BD83" s="129">
        <f>VLOOKUP($D83,'WB Data 2'!$C$2:$K$545,6,FALSE)</f>
        <v>3023784327.574739</v>
      </c>
      <c r="BE83" s="129">
        <f>IFERROR(VLOOKUP($D83,UNCTAD!$C$5:$V$529,4,FALSE),"..")</f>
        <v>4235001000</v>
      </c>
      <c r="BF83" s="846">
        <f t="shared" si="19"/>
        <v>0.71399849198966869</v>
      </c>
      <c r="BG83" s="117">
        <f>VLOOKUP($D83,'WB Data'!$C$3:$M$578,5,FALSE)</f>
        <v>175760000</v>
      </c>
      <c r="BH83" s="129">
        <f>IFERROR($BB83/$BG83,"..")</f>
        <v>6.2576092514839345</v>
      </c>
      <c r="BI83" s="117">
        <f>IFERROR(VLOOKUP($D83,'WB Data'!$C$3:$M$578,7,FALSE)/100,"..")</f>
        <v>3.4476599999999996E-2</v>
      </c>
      <c r="BJ83" s="117">
        <f>IFERROR($BI83*$AW83,"..")</f>
        <v>299274537.20913547</v>
      </c>
      <c r="BK83" s="846">
        <f>IFERROR($BB83/$BJ83,"..")</f>
        <v>3.6750116207589056</v>
      </c>
      <c r="BL83" s="117">
        <f>IFERROR(VLOOKUP($D83,'WB Data'!$C$3:$M$578,7,FALSE)/100,"..")</f>
        <v>3.4476599999999996E-2</v>
      </c>
      <c r="BM83" s="117">
        <f>IFERROR($AW83*$BL83,"..")</f>
        <v>299274537.20913547</v>
      </c>
      <c r="BN83" s="846">
        <f>IFERROR($BB83/$BM83,"..")</f>
        <v>3.6750116207589056</v>
      </c>
      <c r="BO83" s="801">
        <f t="shared" si="15"/>
        <v>29</v>
      </c>
      <c r="BP83" s="117" t="str">
        <f>VLOOKUP($D83,'WB Data'!$C$3:$M$578,9,FALSE)</f>
        <v>..</v>
      </c>
      <c r="BQ83" s="117">
        <f>VLOOKUP($D83,'WB Data'!$C$3:$M$578,10,FALSE)</f>
        <v>68.470195121951221</v>
      </c>
      <c r="BR83" s="117">
        <f>VLOOKUP($D83,'WB Data'!$C$3:$M$578,11,FALSE)</f>
        <v>46.7</v>
      </c>
      <c r="BS83" s="129">
        <f>IFERROR(VLOOKUP($D83,'WB Data 2'!$C$2:$K$545,9,FALSE),"..")</f>
        <v>84.283259999999999</v>
      </c>
      <c r="BT83" s="129">
        <f>_xlfn.IFNA(VLOOKUP($C83,RGI!$A$2:$C$43,2,FALSE),"..")</f>
        <v>75.099999999999994</v>
      </c>
      <c r="BU83" s="129">
        <f>_xlfn.IFNA(VLOOKUP($C83,RGI!$A$2:$C$43,3,FALSE),"..")</f>
        <v>48.092853423547197</v>
      </c>
      <c r="BV83" s="129">
        <f>VLOOKUP($D83,WGI!$C$2:$O$478,7,FALSE)</f>
        <v>-1.0443625579526301</v>
      </c>
      <c r="BW83" s="129">
        <f>VLOOKUP($D83,WGI!$C$2:$O$478,4,FALSE)</f>
        <v>-1.0866114775606099</v>
      </c>
      <c r="BX83" s="129">
        <f>VLOOKUP($D83,WGI!$C$2:$O$478,3,FALSE)</f>
        <v>-0.75060073325910404</v>
      </c>
      <c r="BY83" s="129">
        <f>VLOOKUP($D83,WGI!$C$2:$O$478,5,FALSE)</f>
        <v>-0.58775702093830895</v>
      </c>
      <c r="BZ83" s="129">
        <f>VLOOKUP($D83,WGI!$C$2:$O$478,2,FALSE)</f>
        <v>-1.11152906579656</v>
      </c>
    </row>
    <row r="84" spans="1:80" ht="15" customHeight="1">
      <c r="A84" s="145" t="s">
        <v>57</v>
      </c>
      <c r="B84" s="117">
        <v>2004</v>
      </c>
      <c r="C84" s="117" t="s">
        <v>53</v>
      </c>
      <c r="D84" s="117" t="s">
        <v>3450</v>
      </c>
      <c r="E84" s="174" t="s">
        <v>39</v>
      </c>
      <c r="F84" s="117"/>
      <c r="G84" s="117" t="s">
        <v>103</v>
      </c>
      <c r="H84" s="117" t="str">
        <f t="shared" si="20"/>
        <v>no</v>
      </c>
      <c r="I84" s="117" t="str">
        <f t="shared" si="21"/>
        <v>no</v>
      </c>
      <c r="J84" s="117" t="str">
        <f t="shared" si="22"/>
        <v>yes</v>
      </c>
      <c r="K84" s="176" t="s">
        <v>103</v>
      </c>
      <c r="L84" s="117" t="str">
        <f t="shared" si="13"/>
        <v>detailed</v>
      </c>
      <c r="M84" s="117" t="str">
        <f t="shared" si="14"/>
        <v>detailed Oil</v>
      </c>
      <c r="N84" s="118">
        <v>112785000</v>
      </c>
      <c r="O84" s="211">
        <f>O83/N84</f>
        <v>0.26333289001196969</v>
      </c>
      <c r="P84" s="118"/>
      <c r="Q84" s="118"/>
      <c r="R84" s="118"/>
      <c r="S84" s="117" t="s">
        <v>646</v>
      </c>
      <c r="T84" s="119">
        <v>37.879749750000002</v>
      </c>
      <c r="U84" s="117" t="s">
        <v>673</v>
      </c>
      <c r="V84" s="117" t="s">
        <v>740</v>
      </c>
      <c r="W84" s="89">
        <f>N84*T84</f>
        <v>4272267575.55375</v>
      </c>
      <c r="X84" s="117"/>
      <c r="Y84" s="117"/>
      <c r="Z84" s="117"/>
      <c r="AA84" s="179"/>
      <c r="AB84" s="179"/>
      <c r="AC84" s="212"/>
      <c r="AD84" s="212"/>
      <c r="AE84" s="212"/>
      <c r="AF84" s="213"/>
      <c r="AG84" s="117"/>
      <c r="AH84" s="124"/>
      <c r="AI84" s="117"/>
      <c r="AJ84" s="117" t="s">
        <v>748</v>
      </c>
      <c r="AK84" s="89">
        <f>6700000*T84</f>
        <v>253794323.32500002</v>
      </c>
      <c r="AL84" s="117"/>
      <c r="AM84" s="117"/>
      <c r="AN84" s="214"/>
      <c r="AO84" s="117"/>
      <c r="AP84" s="117"/>
      <c r="AQ84" s="125"/>
      <c r="AR84" s="126"/>
      <c r="AS84" s="117"/>
      <c r="AT84" s="127"/>
      <c r="AU84" s="215"/>
      <c r="AV84" s="128"/>
      <c r="AW84" s="117">
        <f>VLOOKUP($D84,'WB Data'!$C$3:$M$578,2,FALSE)</f>
        <v>8680511918.4935722</v>
      </c>
      <c r="AX84" s="117">
        <f>VLOOKUP($D84,'WB Data'!$C$3:$M$578,3,FALSE)</f>
        <v>8306500</v>
      </c>
      <c r="AY84" s="847">
        <f t="shared" si="16"/>
        <v>0.12670190564425646</v>
      </c>
      <c r="AZ84" s="117" t="e">
        <f>VLOOKUP($D84,'WB Data'!$C$3:$M$578,4,FALSE)/100</f>
        <v>#VALUE!</v>
      </c>
      <c r="BA84" s="117" t="str">
        <f t="shared" si="17"/>
        <v>..</v>
      </c>
      <c r="BB84" s="129">
        <f>IFERROR(VLOOKUP($D84,'EITI Revenues'!$C$2:$G$224,5,FALSE),"..")</f>
        <v>1099837402.0408163</v>
      </c>
      <c r="BC84" s="846" t="str">
        <f t="shared" si="18"/>
        <v>..</v>
      </c>
      <c r="BD84" s="129">
        <f>VLOOKUP($D84,'WB Data 2'!$C$2:$K$545,6,FALSE)</f>
        <v>3023784327.574739</v>
      </c>
      <c r="BE84" s="129">
        <f>IFERROR(VLOOKUP($D84,UNCTAD!$C$5:$V$529,4,FALSE),"..")</f>
        <v>4235001000</v>
      </c>
      <c r="BF84" s="846">
        <f t="shared" si="19"/>
        <v>0.71399849198966869</v>
      </c>
      <c r="BG84" s="117">
        <f>VLOOKUP($D84,'WB Data'!$C$3:$M$578,5,FALSE)</f>
        <v>175760000</v>
      </c>
      <c r="BH84" s="129">
        <f>IFERROR($BB84/$BG84,"..")</f>
        <v>6.2576092514839345</v>
      </c>
      <c r="BI84" s="117">
        <f>IFERROR(VLOOKUP($D84,'WB Data'!$C$3:$M$578,7,FALSE)/100,"..")</f>
        <v>3.4476599999999996E-2</v>
      </c>
      <c r="BJ84" s="117">
        <f>IFERROR($BI84*$AW84,"..")</f>
        <v>299274537.20913547</v>
      </c>
      <c r="BK84" s="846">
        <f>IFERROR($BB84/$BJ84,"..")</f>
        <v>3.6750116207589056</v>
      </c>
      <c r="BL84" s="117">
        <f>IFERROR(VLOOKUP($D84,'WB Data'!$C$3:$M$578,7,FALSE)/100,"..")</f>
        <v>3.4476599999999996E-2</v>
      </c>
      <c r="BM84" s="117">
        <f>IFERROR($AW84*$BL84,"..")</f>
        <v>299274537.20913547</v>
      </c>
      <c r="BN84" s="846">
        <f>IFERROR($BB84/$BM84,"..")</f>
        <v>3.6750116207589056</v>
      </c>
      <c r="BO84" s="801">
        <f t="shared" si="15"/>
        <v>29</v>
      </c>
      <c r="BP84" s="117" t="str">
        <f>VLOOKUP($D84,'WB Data'!$C$3:$M$578,9,FALSE)</f>
        <v>..</v>
      </c>
      <c r="BQ84" s="117">
        <f>VLOOKUP($D84,'WB Data'!$C$3:$M$578,10,FALSE)</f>
        <v>68.470195121951221</v>
      </c>
      <c r="BR84" s="117">
        <f>VLOOKUP($D84,'WB Data'!$C$3:$M$578,11,FALSE)</f>
        <v>46.7</v>
      </c>
      <c r="BS84" s="129">
        <f>IFERROR(VLOOKUP($D84,'WB Data 2'!$C$2:$K$545,9,FALSE),"..")</f>
        <v>84.283259999999999</v>
      </c>
      <c r="BT84" s="129">
        <f>_xlfn.IFNA(VLOOKUP($C84,RGI!$A$2:$C$43,2,FALSE),"..")</f>
        <v>75.099999999999994</v>
      </c>
      <c r="BU84" s="129">
        <f>_xlfn.IFNA(VLOOKUP($C84,RGI!$A$2:$C$43,3,FALSE),"..")</f>
        <v>48.092853423547197</v>
      </c>
      <c r="BV84" s="129">
        <f>VLOOKUP($D84,WGI!$C$2:$O$478,7,FALSE)</f>
        <v>-1.0443625579526301</v>
      </c>
      <c r="BW84" s="129">
        <f>VLOOKUP($D84,WGI!$C$2:$O$478,4,FALSE)</f>
        <v>-1.0866114775606099</v>
      </c>
      <c r="BX84" s="129">
        <f>VLOOKUP($D84,WGI!$C$2:$O$478,3,FALSE)</f>
        <v>-0.75060073325910404</v>
      </c>
      <c r="BY84" s="129">
        <f>VLOOKUP($D84,WGI!$C$2:$O$478,5,FALSE)</f>
        <v>-0.58775702093830895</v>
      </c>
      <c r="BZ84" s="129">
        <f>VLOOKUP($D84,WGI!$C$2:$O$478,2,FALSE)</f>
        <v>-1.11152906579656</v>
      </c>
    </row>
    <row r="85" spans="1:80" s="144" customFormat="1" ht="15" customHeight="1">
      <c r="A85" s="130" t="s">
        <v>60</v>
      </c>
      <c r="B85" s="132">
        <v>2005</v>
      </c>
      <c r="C85" s="132" t="s">
        <v>53</v>
      </c>
      <c r="D85" s="117" t="s">
        <v>3484</v>
      </c>
      <c r="E85" s="181" t="s">
        <v>39</v>
      </c>
      <c r="F85" s="132" t="s">
        <v>729</v>
      </c>
      <c r="G85" s="132" t="s">
        <v>55</v>
      </c>
      <c r="H85" s="117" t="str">
        <f t="shared" si="20"/>
        <v>no</v>
      </c>
      <c r="I85" s="117" t="str">
        <f t="shared" si="21"/>
        <v>yes</v>
      </c>
      <c r="J85" s="117" t="str">
        <f t="shared" si="22"/>
        <v>yes</v>
      </c>
      <c r="K85" s="182" t="s">
        <v>709</v>
      </c>
      <c r="L85" s="117" t="str">
        <f t="shared" si="13"/>
        <v>Total</v>
      </c>
      <c r="M85" s="117" t="str">
        <f t="shared" si="14"/>
        <v>Total Oil, Gas</v>
      </c>
      <c r="N85" s="133"/>
      <c r="O85" s="133"/>
      <c r="P85" s="133"/>
      <c r="Q85" s="133"/>
      <c r="R85" s="133"/>
      <c r="S85" s="132"/>
      <c r="T85" s="134"/>
      <c r="U85" s="132"/>
      <c r="V85" s="132"/>
      <c r="W85" s="135">
        <f>SUM(W86:W87)</f>
        <v>10226484962.86375</v>
      </c>
      <c r="X85" s="136" t="s">
        <v>749</v>
      </c>
      <c r="Y85" s="132" t="s">
        <v>731</v>
      </c>
      <c r="Z85" s="132" t="s">
        <v>732</v>
      </c>
      <c r="AA85" s="225">
        <f>66200000+((447200000000/5000)/AH85)+AK85</f>
        <v>1468619689.6725025</v>
      </c>
      <c r="AB85" s="225">
        <f>62500000+((447200000000/5000)/AH85)</f>
        <v>157145502.64550266</v>
      </c>
      <c r="AC85" s="226"/>
      <c r="AD85" s="226"/>
      <c r="AE85" s="226"/>
      <c r="AF85" s="227">
        <f>AA85/W85</f>
        <v>0.1436094312958576</v>
      </c>
      <c r="AG85" s="132" t="s">
        <v>743</v>
      </c>
      <c r="AH85" s="140">
        <v>0.94499999999999995</v>
      </c>
      <c r="AI85" s="132" t="s">
        <v>667</v>
      </c>
      <c r="AJ85" s="132" t="s">
        <v>750</v>
      </c>
      <c r="AK85" s="135">
        <f>SUM(AK86:AK87)</f>
        <v>1307774187.027</v>
      </c>
      <c r="AL85" s="132"/>
      <c r="AM85" s="132"/>
      <c r="AN85" s="228">
        <v>22</v>
      </c>
      <c r="AO85" s="132" t="s">
        <v>751</v>
      </c>
      <c r="AP85" s="132">
        <v>22</v>
      </c>
      <c r="AQ85" s="136" t="s">
        <v>61</v>
      </c>
      <c r="AR85" s="141">
        <v>41887</v>
      </c>
      <c r="AS85" s="132" t="s">
        <v>607</v>
      </c>
      <c r="AT85" s="132" t="s">
        <v>62</v>
      </c>
      <c r="AU85" s="229" t="s">
        <v>745</v>
      </c>
      <c r="AV85" s="143" t="s">
        <v>752</v>
      </c>
      <c r="AW85" s="117">
        <f>VLOOKUP($D85,'WB Data'!$C$3:$M$578,2,FALSE)</f>
        <v>13245421880.834042</v>
      </c>
      <c r="AX85" s="117">
        <f>VLOOKUP($D85,'WB Data'!$C$3:$M$578,3,FALSE)</f>
        <v>8391850</v>
      </c>
      <c r="AY85" s="847">
        <f t="shared" si="16"/>
        <v>0.11139702266958618</v>
      </c>
      <c r="AZ85" s="117" t="e">
        <f>VLOOKUP($D85,'WB Data'!$C$3:$M$578,4,FALSE)/100</f>
        <v>#VALUE!</v>
      </c>
      <c r="BA85" s="117" t="str">
        <f t="shared" si="17"/>
        <v>..</v>
      </c>
      <c r="BB85" s="129">
        <f>IFERROR(VLOOKUP($D85,'EITI Revenues'!$C$2:$G$224,5,FALSE),"..")</f>
        <v>1475500561.5275025</v>
      </c>
      <c r="BC85" s="846" t="str">
        <f t="shared" si="18"/>
        <v>..</v>
      </c>
      <c r="BD85" s="129">
        <f>VLOOKUP($D85,'WB Data 2'!$C$2:$K$545,6,FALSE)</f>
        <v>5978567875.921525</v>
      </c>
      <c r="BE85" s="129">
        <f>IFERROR(VLOOKUP($D85,UNCTAD!$C$5:$V$529,4,FALSE),"..")</f>
        <v>8331918000</v>
      </c>
      <c r="BF85" s="846">
        <f t="shared" si="19"/>
        <v>0.71755001380492767</v>
      </c>
      <c r="BG85" s="117">
        <f>VLOOKUP($D85,'WB Data'!$C$3:$M$578,5,FALSE)</f>
        <v>216510000</v>
      </c>
      <c r="BH85" s="129">
        <f>IFERROR($BB85/$BG85,"..")</f>
        <v>6.8149303105053001</v>
      </c>
      <c r="BI85" s="117">
        <f>IFERROR(VLOOKUP($D85,'WB Data'!$C$3:$M$578,7,FALSE)/100,"..")</f>
        <v>2.9746199999999997E-2</v>
      </c>
      <c r="BJ85" s="117">
        <f>IFERROR($BI85*$AW85,"..")</f>
        <v>394000968.35166556</v>
      </c>
      <c r="BK85" s="846">
        <f>IFERROR($BB85/$BJ85,"..")</f>
        <v>3.7449160790146703</v>
      </c>
      <c r="BL85" s="117">
        <f>IFERROR(VLOOKUP($D85,'WB Data'!$C$3:$M$578,7,FALSE)/100,"..")</f>
        <v>2.9746199999999997E-2</v>
      </c>
      <c r="BM85" s="117">
        <f>IFERROR($AW85*$BL85,"..")</f>
        <v>394000968.35166556</v>
      </c>
      <c r="BN85" s="846">
        <f>IFERROR($BB85/$BM85,"..")</f>
        <v>3.7449160790146703</v>
      </c>
      <c r="BO85" s="801">
        <f t="shared" si="15"/>
        <v>29</v>
      </c>
      <c r="BP85" s="117" t="str">
        <f>VLOOKUP($D85,'WB Data'!$C$3:$M$578,9,FALSE)</f>
        <v>..</v>
      </c>
      <c r="BQ85" s="117">
        <f>VLOOKUP($D85,'WB Data'!$C$3:$M$578,10,FALSE)</f>
        <v>68.93726829268293</v>
      </c>
      <c r="BR85" s="117">
        <f>VLOOKUP($D85,'WB Data'!$C$3:$M$578,11,FALSE)</f>
        <v>43.9</v>
      </c>
      <c r="BS85" s="129">
        <f>IFERROR(VLOOKUP($D85,'WB Data 2'!$C$2:$K$545,9,FALSE),"..")</f>
        <v>83.953540000000004</v>
      </c>
      <c r="BT85" s="129">
        <f>_xlfn.IFNA(VLOOKUP($C85,RGI!$A$2:$C$43,2,FALSE),"..")</f>
        <v>75.099999999999994</v>
      </c>
      <c r="BU85" s="129">
        <f>_xlfn.IFNA(VLOOKUP($C85,RGI!$A$2:$C$43,3,FALSE),"..")</f>
        <v>48.092853423547197</v>
      </c>
      <c r="BV85" s="129">
        <f>VLOOKUP($D85,WGI!$C$2:$O$478,7,FALSE)</f>
        <v>-1.08231167670484</v>
      </c>
      <c r="BW85" s="129">
        <f>VLOOKUP($D85,WGI!$C$2:$O$478,4,FALSE)</f>
        <v>-1.11490753511908</v>
      </c>
      <c r="BX85" s="129">
        <f>VLOOKUP($D85,WGI!$C$2:$O$478,3,FALSE)</f>
        <v>-0.68064907347091697</v>
      </c>
      <c r="BY85" s="129">
        <f>VLOOKUP($D85,WGI!$C$2:$O$478,5,FALSE)</f>
        <v>-0.54876070503903296</v>
      </c>
      <c r="BZ85" s="129">
        <f>VLOOKUP($D85,WGI!$C$2:$O$478,2,FALSE)</f>
        <v>-0.98911060474203205</v>
      </c>
      <c r="CB85" s="129"/>
    </row>
    <row r="86" spans="1:80" s="120" customFormat="1" ht="15" customHeight="1">
      <c r="A86" s="145" t="s">
        <v>60</v>
      </c>
      <c r="B86" s="117">
        <v>2005</v>
      </c>
      <c r="C86" s="117" t="s">
        <v>53</v>
      </c>
      <c r="D86" s="117" t="s">
        <v>3484</v>
      </c>
      <c r="E86" s="174" t="s">
        <v>39</v>
      </c>
      <c r="F86" s="117"/>
      <c r="G86" s="117" t="s">
        <v>561</v>
      </c>
      <c r="H86" s="117" t="str">
        <f t="shared" si="20"/>
        <v>no</v>
      </c>
      <c r="I86" s="117" t="str">
        <f t="shared" si="21"/>
        <v>yes</v>
      </c>
      <c r="J86" s="117" t="str">
        <f t="shared" si="22"/>
        <v>no</v>
      </c>
      <c r="K86" s="176" t="s">
        <v>561</v>
      </c>
      <c r="L86" s="117" t="str">
        <f t="shared" si="13"/>
        <v>detailed</v>
      </c>
      <c r="M86" s="117" t="str">
        <f t="shared" si="14"/>
        <v>detailed Gas</v>
      </c>
      <c r="N86" s="118">
        <v>5200000000</v>
      </c>
      <c r="O86" s="118">
        <f>N86*0.0066</f>
        <v>34320000</v>
      </c>
      <c r="P86" s="118"/>
      <c r="Q86" s="118"/>
      <c r="R86" s="118"/>
      <c r="S86" s="117" t="s">
        <v>642</v>
      </c>
      <c r="T86" s="119">
        <v>0.27869799999999995</v>
      </c>
      <c r="U86" s="117" t="s">
        <v>643</v>
      </c>
      <c r="V86" s="117" t="s">
        <v>738</v>
      </c>
      <c r="W86" s="89">
        <f>N86*T86</f>
        <v>1449229599.9999998</v>
      </c>
      <c r="X86" s="117"/>
      <c r="Y86" s="117"/>
      <c r="Z86" s="117"/>
      <c r="AA86" s="211">
        <f>W86/W87</f>
        <v>0.16511193306869454</v>
      </c>
      <c r="AB86" s="179"/>
      <c r="AC86" s="212"/>
      <c r="AD86" s="212"/>
      <c r="AE86" s="212"/>
      <c r="AF86" s="213"/>
      <c r="AG86" s="117"/>
      <c r="AH86" s="124"/>
      <c r="AI86" s="117"/>
      <c r="AJ86" s="117" t="s">
        <v>753</v>
      </c>
      <c r="AK86" s="89">
        <f>1919709000*T86</f>
        <v>535019058.88199991</v>
      </c>
      <c r="AL86" s="117"/>
      <c r="AM86" s="117"/>
      <c r="AN86" s="214"/>
      <c r="AO86" s="117"/>
      <c r="AP86" s="117"/>
      <c r="AQ86" s="125"/>
      <c r="AR86" s="126"/>
      <c r="AS86" s="117"/>
      <c r="AT86" s="127"/>
      <c r="AU86" s="215"/>
      <c r="AV86" s="128"/>
      <c r="AW86" s="117">
        <f>VLOOKUP($D86,'WB Data'!$C$3:$M$578,2,FALSE)</f>
        <v>13245421880.834042</v>
      </c>
      <c r="AX86" s="117">
        <f>VLOOKUP($D86,'WB Data'!$C$3:$M$578,3,FALSE)</f>
        <v>8391850</v>
      </c>
      <c r="AY86" s="847">
        <f t="shared" si="16"/>
        <v>0.11139702266958618</v>
      </c>
      <c r="AZ86" s="117" t="e">
        <f>VLOOKUP($D86,'WB Data'!$C$3:$M$578,4,FALSE)/100</f>
        <v>#VALUE!</v>
      </c>
      <c r="BA86" s="117" t="str">
        <f t="shared" si="17"/>
        <v>..</v>
      </c>
      <c r="BB86" s="129">
        <f>IFERROR(VLOOKUP($D86,'EITI Revenues'!$C$2:$G$224,5,FALSE),"..")</f>
        <v>1475500561.5275025</v>
      </c>
      <c r="BC86" s="846" t="str">
        <f t="shared" si="18"/>
        <v>..</v>
      </c>
      <c r="BD86" s="129">
        <f>VLOOKUP($D86,'WB Data 2'!$C$2:$K$545,6,FALSE)</f>
        <v>5978567875.921525</v>
      </c>
      <c r="BE86" s="129">
        <f>IFERROR(VLOOKUP($D86,UNCTAD!$C$5:$V$529,4,FALSE),"..")</f>
        <v>8331918000</v>
      </c>
      <c r="BF86" s="846">
        <f t="shared" si="19"/>
        <v>0.71755001380492767</v>
      </c>
      <c r="BG86" s="117">
        <f>VLOOKUP($D86,'WB Data'!$C$3:$M$578,5,FALSE)</f>
        <v>216510000</v>
      </c>
      <c r="BH86" s="129">
        <f>IFERROR($BB86/$BG86,"..")</f>
        <v>6.8149303105053001</v>
      </c>
      <c r="BI86" s="117">
        <f>IFERROR(VLOOKUP($D86,'WB Data'!$C$3:$M$578,7,FALSE)/100,"..")</f>
        <v>2.9746199999999997E-2</v>
      </c>
      <c r="BJ86" s="117">
        <f>IFERROR($BI86*$AW86,"..")</f>
        <v>394000968.35166556</v>
      </c>
      <c r="BK86" s="846">
        <f>IFERROR($BB86/$BJ86,"..")</f>
        <v>3.7449160790146703</v>
      </c>
      <c r="BL86" s="117">
        <f>IFERROR(VLOOKUP($D86,'WB Data'!$C$3:$M$578,7,FALSE)/100,"..")</f>
        <v>2.9746199999999997E-2</v>
      </c>
      <c r="BM86" s="117">
        <f>IFERROR($AW86*$BL86,"..")</f>
        <v>394000968.35166556</v>
      </c>
      <c r="BN86" s="846">
        <f>IFERROR($BB86/$BM86,"..")</f>
        <v>3.7449160790146703</v>
      </c>
      <c r="BO86" s="801">
        <f t="shared" si="15"/>
        <v>29</v>
      </c>
      <c r="BP86" s="117" t="str">
        <f>VLOOKUP($D86,'WB Data'!$C$3:$M$578,9,FALSE)</f>
        <v>..</v>
      </c>
      <c r="BQ86" s="117">
        <f>VLOOKUP($D86,'WB Data'!$C$3:$M$578,10,FALSE)</f>
        <v>68.93726829268293</v>
      </c>
      <c r="BR86" s="117">
        <f>VLOOKUP($D86,'WB Data'!$C$3:$M$578,11,FALSE)</f>
        <v>43.9</v>
      </c>
      <c r="BS86" s="129">
        <f>IFERROR(VLOOKUP($D86,'WB Data 2'!$C$2:$K$545,9,FALSE),"..")</f>
        <v>83.953540000000004</v>
      </c>
      <c r="BT86" s="129">
        <f>_xlfn.IFNA(VLOOKUP($C86,RGI!$A$2:$C$43,2,FALSE),"..")</f>
        <v>75.099999999999994</v>
      </c>
      <c r="BU86" s="129">
        <f>_xlfn.IFNA(VLOOKUP($C86,RGI!$A$2:$C$43,3,FALSE),"..")</f>
        <v>48.092853423547197</v>
      </c>
      <c r="BV86" s="129">
        <f>VLOOKUP($D86,WGI!$C$2:$O$478,7,FALSE)</f>
        <v>-1.08231167670484</v>
      </c>
      <c r="BW86" s="129">
        <f>VLOOKUP($D86,WGI!$C$2:$O$478,4,FALSE)</f>
        <v>-1.11490753511908</v>
      </c>
      <c r="BX86" s="129">
        <f>VLOOKUP($D86,WGI!$C$2:$O$478,3,FALSE)</f>
        <v>-0.68064907347091697</v>
      </c>
      <c r="BY86" s="129">
        <f>VLOOKUP($D86,WGI!$C$2:$O$478,5,FALSE)</f>
        <v>-0.54876070503903296</v>
      </c>
      <c r="BZ86" s="129">
        <f>VLOOKUP($D86,WGI!$C$2:$O$478,2,FALSE)</f>
        <v>-0.98911060474203205</v>
      </c>
      <c r="CB86" s="129"/>
    </row>
    <row r="87" spans="1:80" s="158" customFormat="1" ht="15" customHeight="1">
      <c r="A87" s="147" t="s">
        <v>60</v>
      </c>
      <c r="B87" s="149">
        <v>2005</v>
      </c>
      <c r="C87" s="149" t="s">
        <v>53</v>
      </c>
      <c r="D87" s="117" t="s">
        <v>3484</v>
      </c>
      <c r="E87" s="187" t="s">
        <v>39</v>
      </c>
      <c r="F87" s="149"/>
      <c r="G87" s="117" t="s">
        <v>103</v>
      </c>
      <c r="H87" s="117" t="str">
        <f t="shared" si="20"/>
        <v>no</v>
      </c>
      <c r="I87" s="117" t="str">
        <f t="shared" si="21"/>
        <v>no</v>
      </c>
      <c r="J87" s="117" t="str">
        <f t="shared" si="22"/>
        <v>yes</v>
      </c>
      <c r="K87" s="188" t="s">
        <v>103</v>
      </c>
      <c r="L87" s="117" t="str">
        <f t="shared" si="13"/>
        <v>detailed</v>
      </c>
      <c r="M87" s="117" t="str">
        <f t="shared" si="14"/>
        <v>detailed Oil</v>
      </c>
      <c r="N87" s="150">
        <v>162425000</v>
      </c>
      <c r="O87" s="211">
        <f>O86/N87</f>
        <v>0.21129752193319995</v>
      </c>
      <c r="P87" s="150"/>
      <c r="Q87" s="150"/>
      <c r="R87" s="150"/>
      <c r="S87" s="149" t="s">
        <v>646</v>
      </c>
      <c r="T87" s="151">
        <v>54.038820149999999</v>
      </c>
      <c r="U87" s="149" t="s">
        <v>673</v>
      </c>
      <c r="V87" s="149" t="s">
        <v>740</v>
      </c>
      <c r="W87" s="152">
        <f>N87*T87</f>
        <v>8777255362.8637505</v>
      </c>
      <c r="X87" s="149"/>
      <c r="Y87" s="149"/>
      <c r="Z87" s="149"/>
      <c r="AA87" s="216"/>
      <c r="AB87" s="216"/>
      <c r="AC87" s="217"/>
      <c r="AD87" s="217"/>
      <c r="AE87" s="217"/>
      <c r="AF87" s="230"/>
      <c r="AG87" s="149"/>
      <c r="AH87" s="156"/>
      <c r="AI87" s="149"/>
      <c r="AJ87" s="149" t="s">
        <v>754</v>
      </c>
      <c r="AK87" s="152">
        <f>14300000*T87</f>
        <v>772755128.14499998</v>
      </c>
      <c r="AL87" s="149"/>
      <c r="AM87" s="149"/>
      <c r="AN87" s="218"/>
      <c r="AO87" s="149"/>
      <c r="AP87" s="149"/>
      <c r="AQ87" s="219"/>
      <c r="AR87" s="220"/>
      <c r="AS87" s="149"/>
      <c r="AT87" s="221"/>
      <c r="AU87" s="222"/>
      <c r="AV87" s="157"/>
      <c r="AW87" s="117">
        <f>VLOOKUP($D87,'WB Data'!$C$3:$M$578,2,FALSE)</f>
        <v>13245421880.834042</v>
      </c>
      <c r="AX87" s="117">
        <f>VLOOKUP($D87,'WB Data'!$C$3:$M$578,3,FALSE)</f>
        <v>8391850</v>
      </c>
      <c r="AY87" s="847">
        <f t="shared" si="16"/>
        <v>0.11139702266958618</v>
      </c>
      <c r="AZ87" s="117" t="e">
        <f>VLOOKUP($D87,'WB Data'!$C$3:$M$578,4,FALSE)/100</f>
        <v>#VALUE!</v>
      </c>
      <c r="BA87" s="117" t="str">
        <f t="shared" si="17"/>
        <v>..</v>
      </c>
      <c r="BB87" s="129">
        <f>IFERROR(VLOOKUP($D87,'EITI Revenues'!$C$2:$G$224,5,FALSE),"..")</f>
        <v>1475500561.5275025</v>
      </c>
      <c r="BC87" s="846" t="str">
        <f t="shared" si="18"/>
        <v>..</v>
      </c>
      <c r="BD87" s="129">
        <f>VLOOKUP($D87,'WB Data 2'!$C$2:$K$545,6,FALSE)</f>
        <v>5978567875.921525</v>
      </c>
      <c r="BE87" s="129">
        <f>IFERROR(VLOOKUP($D87,UNCTAD!$C$5:$V$529,4,FALSE),"..")</f>
        <v>8331918000</v>
      </c>
      <c r="BF87" s="846">
        <f t="shared" si="19"/>
        <v>0.71755001380492767</v>
      </c>
      <c r="BG87" s="117">
        <f>VLOOKUP($D87,'WB Data'!$C$3:$M$578,5,FALSE)</f>
        <v>216510000</v>
      </c>
      <c r="BH87" s="129">
        <f>IFERROR($BB87/$BG87,"..")</f>
        <v>6.8149303105053001</v>
      </c>
      <c r="BI87" s="117">
        <f>IFERROR(VLOOKUP($D87,'WB Data'!$C$3:$M$578,7,FALSE)/100,"..")</f>
        <v>2.9746199999999997E-2</v>
      </c>
      <c r="BJ87" s="117">
        <f>IFERROR($BI87*$AW87,"..")</f>
        <v>394000968.35166556</v>
      </c>
      <c r="BK87" s="846">
        <f>IFERROR($BB87/$BJ87,"..")</f>
        <v>3.7449160790146703</v>
      </c>
      <c r="BL87" s="117">
        <f>IFERROR(VLOOKUP($D87,'WB Data'!$C$3:$M$578,7,FALSE)/100,"..")</f>
        <v>2.9746199999999997E-2</v>
      </c>
      <c r="BM87" s="117">
        <f>IFERROR($AW87*$BL87,"..")</f>
        <v>394000968.35166556</v>
      </c>
      <c r="BN87" s="846">
        <f>IFERROR($BB87/$BM87,"..")</f>
        <v>3.7449160790146703</v>
      </c>
      <c r="BO87" s="801">
        <f t="shared" si="15"/>
        <v>29</v>
      </c>
      <c r="BP87" s="117" t="str">
        <f>VLOOKUP($D87,'WB Data'!$C$3:$M$578,9,FALSE)</f>
        <v>..</v>
      </c>
      <c r="BQ87" s="117">
        <f>VLOOKUP($D87,'WB Data'!$C$3:$M$578,10,FALSE)</f>
        <v>68.93726829268293</v>
      </c>
      <c r="BR87" s="117">
        <f>VLOOKUP($D87,'WB Data'!$C$3:$M$578,11,FALSE)</f>
        <v>43.9</v>
      </c>
      <c r="BS87" s="129">
        <f>IFERROR(VLOOKUP($D87,'WB Data 2'!$C$2:$K$545,9,FALSE),"..")</f>
        <v>83.953540000000004</v>
      </c>
      <c r="BT87" s="129">
        <f>_xlfn.IFNA(VLOOKUP($C87,RGI!$A$2:$C$43,2,FALSE),"..")</f>
        <v>75.099999999999994</v>
      </c>
      <c r="BU87" s="129">
        <f>_xlfn.IFNA(VLOOKUP($C87,RGI!$A$2:$C$43,3,FALSE),"..")</f>
        <v>48.092853423547197</v>
      </c>
      <c r="BV87" s="129">
        <f>VLOOKUP($D87,WGI!$C$2:$O$478,7,FALSE)</f>
        <v>-1.08231167670484</v>
      </c>
      <c r="BW87" s="129">
        <f>VLOOKUP($D87,WGI!$C$2:$O$478,4,FALSE)</f>
        <v>-1.11490753511908</v>
      </c>
      <c r="BX87" s="129">
        <f>VLOOKUP($D87,WGI!$C$2:$O$478,3,FALSE)</f>
        <v>-0.68064907347091697</v>
      </c>
      <c r="BY87" s="129">
        <f>VLOOKUP($D87,WGI!$C$2:$O$478,5,FALSE)</f>
        <v>-0.54876070503903296</v>
      </c>
      <c r="BZ87" s="129">
        <f>VLOOKUP($D87,WGI!$C$2:$O$478,2,FALSE)</f>
        <v>-0.98911060474203205</v>
      </c>
      <c r="CB87" s="129"/>
    </row>
    <row r="88" spans="1:80" ht="15" customHeight="1">
      <c r="A88" s="145" t="s">
        <v>63</v>
      </c>
      <c r="B88" s="117">
        <v>2006</v>
      </c>
      <c r="C88" s="117" t="s">
        <v>53</v>
      </c>
      <c r="D88" s="117" t="s">
        <v>3518</v>
      </c>
      <c r="E88" s="174" t="s">
        <v>39</v>
      </c>
      <c r="F88" s="117" t="s">
        <v>729</v>
      </c>
      <c r="G88" s="132" t="s">
        <v>55</v>
      </c>
      <c r="H88" s="117" t="str">
        <f t="shared" si="20"/>
        <v>no</v>
      </c>
      <c r="I88" s="117" t="str">
        <f t="shared" si="21"/>
        <v>yes</v>
      </c>
      <c r="J88" s="117" t="str">
        <f t="shared" si="22"/>
        <v>yes</v>
      </c>
      <c r="K88" s="176" t="s">
        <v>709</v>
      </c>
      <c r="L88" s="117" t="str">
        <f t="shared" si="13"/>
        <v>Total</v>
      </c>
      <c r="M88" s="117" t="str">
        <f t="shared" si="14"/>
        <v>Total Oil, Gas</v>
      </c>
      <c r="N88" s="118"/>
      <c r="O88" s="118"/>
      <c r="P88" s="118"/>
      <c r="Q88" s="118"/>
      <c r="R88" s="118"/>
      <c r="S88" s="117"/>
      <c r="T88" s="119"/>
      <c r="U88" s="117"/>
      <c r="V88" s="117"/>
      <c r="W88" s="89">
        <f>SUM(W89:W90)</f>
        <v>16795972539.984999</v>
      </c>
      <c r="X88" s="125" t="s">
        <v>755</v>
      </c>
      <c r="Y88" s="117" t="s">
        <v>731</v>
      </c>
      <c r="Z88" s="117" t="s">
        <v>732</v>
      </c>
      <c r="AA88" s="223">
        <v>3510790699.9586</v>
      </c>
      <c r="AB88" s="223">
        <v>1687436394</v>
      </c>
      <c r="AC88" s="212"/>
      <c r="AD88" s="212"/>
      <c r="AE88" s="212"/>
      <c r="AF88" s="224">
        <f>AA88/W88</f>
        <v>0.20902574659494744</v>
      </c>
      <c r="AG88" s="117" t="s">
        <v>743</v>
      </c>
      <c r="AH88" s="124">
        <v>0.89300000000000002</v>
      </c>
      <c r="AI88" s="117" t="s">
        <v>667</v>
      </c>
      <c r="AJ88" s="117" t="s">
        <v>756</v>
      </c>
      <c r="AK88" s="89">
        <f>SUM(AK89:AK90)</f>
        <v>1816979853.4586</v>
      </c>
      <c r="AL88" s="117"/>
      <c r="AM88" s="117"/>
      <c r="AN88" s="214">
        <v>25</v>
      </c>
      <c r="AO88" s="117" t="s">
        <v>757</v>
      </c>
      <c r="AP88" s="117">
        <v>25</v>
      </c>
      <c r="AQ88" s="125" t="s">
        <v>64</v>
      </c>
      <c r="AR88" s="126">
        <v>41887</v>
      </c>
      <c r="AS88" s="117" t="s">
        <v>607</v>
      </c>
      <c r="AT88" s="117" t="s">
        <v>65</v>
      </c>
      <c r="AU88" s="215" t="s">
        <v>758</v>
      </c>
      <c r="AV88" s="128" t="s">
        <v>759</v>
      </c>
      <c r="AW88" s="117">
        <f>VLOOKUP($D88,'WB Data'!$C$3:$M$578,2,FALSE)</f>
        <v>20982270733.248421</v>
      </c>
      <c r="AX88" s="117">
        <f>VLOOKUP($D88,'WB Data'!$C$3:$M$578,3,FALSE)</f>
        <v>8484550</v>
      </c>
      <c r="AY88" s="847">
        <f t="shared" si="16"/>
        <v>0.16732177106052756</v>
      </c>
      <c r="AZ88" s="117" t="e">
        <f>VLOOKUP($D88,'WB Data'!$C$3:$M$578,4,FALSE)/100</f>
        <v>#VALUE!</v>
      </c>
      <c r="BA88" s="117" t="str">
        <f t="shared" si="17"/>
        <v>..</v>
      </c>
      <c r="BB88" s="129">
        <f>IFERROR(VLOOKUP($D88,'EITI Revenues'!$C$2:$G$224,5,FALSE),"..")</f>
        <v>3510790699.9586</v>
      </c>
      <c r="BC88" s="846" t="str">
        <f t="shared" si="18"/>
        <v>..</v>
      </c>
      <c r="BD88" s="129">
        <f>VLOOKUP($D88,'WB Data 2'!$C$2:$K$545,6,FALSE)</f>
        <v>11183800340.626717</v>
      </c>
      <c r="BE88" s="129">
        <f>IFERROR(VLOOKUP($D88,UNCTAD!$C$5:$V$529,4,FALSE),"..")</f>
        <v>13954470000</v>
      </c>
      <c r="BF88" s="846">
        <f t="shared" si="19"/>
        <v>0.80144930911935153</v>
      </c>
      <c r="BG88" s="117">
        <f>VLOOKUP($D88,'WB Data'!$C$3:$M$578,5,FALSE)</f>
        <v>206390000</v>
      </c>
      <c r="BH88" s="129">
        <f>IFERROR($BB88/$BG88,"..")</f>
        <v>17.010469014771065</v>
      </c>
      <c r="BI88" s="117">
        <f>IFERROR(VLOOKUP($D88,'WB Data'!$C$3:$M$578,7,FALSE)/100,"..")</f>
        <v>2.5555100000000001E-2</v>
      </c>
      <c r="BJ88" s="117">
        <f>IFERROR($BI88*$AW88,"..")</f>
        <v>536204026.81523675</v>
      </c>
      <c r="BK88" s="846">
        <f>IFERROR($BB88/$BJ88,"..")</f>
        <v>6.5474903663271737</v>
      </c>
      <c r="BL88" s="117">
        <f>IFERROR(VLOOKUP($D88,'WB Data'!$C$3:$M$578,7,FALSE)/100,"..")</f>
        <v>2.5555100000000001E-2</v>
      </c>
      <c r="BM88" s="117">
        <f>IFERROR($AW88*$BL88,"..")</f>
        <v>536204026.81523675</v>
      </c>
      <c r="BN88" s="846">
        <f>IFERROR($BB88/$BM88,"..")</f>
        <v>6.5474903663271737</v>
      </c>
      <c r="BO88" s="801">
        <f t="shared" si="15"/>
        <v>29</v>
      </c>
      <c r="BP88" s="117" t="str">
        <f>VLOOKUP($D88,'WB Data'!$C$3:$M$578,9,FALSE)</f>
        <v>..</v>
      </c>
      <c r="BQ88" s="117">
        <f>VLOOKUP($D88,'WB Data'!$C$3:$M$578,10,FALSE)</f>
        <v>69.374731707317096</v>
      </c>
      <c r="BR88" s="117">
        <f>VLOOKUP($D88,'WB Data'!$C$3:$M$578,11,FALSE)</f>
        <v>41.5</v>
      </c>
      <c r="BS88" s="129">
        <f>IFERROR(VLOOKUP($D88,'WB Data 2'!$C$2:$K$545,9,FALSE),"..")</f>
        <v>83.772009999999995</v>
      </c>
      <c r="BT88" s="129">
        <f>_xlfn.IFNA(VLOOKUP($C88,RGI!$A$2:$C$43,2,FALSE),"..")</f>
        <v>75.099999999999994</v>
      </c>
      <c r="BU88" s="129">
        <f>_xlfn.IFNA(VLOOKUP($C88,RGI!$A$2:$C$43,3,FALSE),"..")</f>
        <v>48.092853423547197</v>
      </c>
      <c r="BV88" s="129">
        <f>VLOOKUP($D88,WGI!$C$2:$O$478,7,FALSE)</f>
        <v>-1.2204446980110599</v>
      </c>
      <c r="BW88" s="129">
        <f>VLOOKUP($D88,WGI!$C$2:$O$478,4,FALSE)</f>
        <v>-1.0848389073723499</v>
      </c>
      <c r="BX88" s="129">
        <f>VLOOKUP($D88,WGI!$C$2:$O$478,3,FALSE)</f>
        <v>-0.67500074406877697</v>
      </c>
      <c r="BY88" s="129">
        <f>VLOOKUP($D88,WGI!$C$2:$O$478,5,FALSE)</f>
        <v>-0.49545094100609999</v>
      </c>
      <c r="BZ88" s="129">
        <f>VLOOKUP($D88,WGI!$C$2:$O$478,2,FALSE)</f>
        <v>-0.98963096081231505</v>
      </c>
    </row>
    <row r="89" spans="1:80" ht="15" customHeight="1">
      <c r="A89" s="145" t="s">
        <v>63</v>
      </c>
      <c r="B89" s="117">
        <v>2006</v>
      </c>
      <c r="C89" s="117" t="s">
        <v>53</v>
      </c>
      <c r="D89" s="117" t="s">
        <v>3518</v>
      </c>
      <c r="E89" s="174" t="s">
        <v>39</v>
      </c>
      <c r="F89" s="117"/>
      <c r="G89" s="117" t="s">
        <v>561</v>
      </c>
      <c r="H89" s="117" t="str">
        <f t="shared" si="20"/>
        <v>no</v>
      </c>
      <c r="I89" s="117" t="str">
        <f t="shared" si="21"/>
        <v>yes</v>
      </c>
      <c r="J89" s="117" t="str">
        <f t="shared" si="22"/>
        <v>no</v>
      </c>
      <c r="K89" s="176" t="s">
        <v>561</v>
      </c>
      <c r="L89" s="117" t="str">
        <f t="shared" si="13"/>
        <v>detailed</v>
      </c>
      <c r="M89" s="117" t="str">
        <f t="shared" si="14"/>
        <v>detailed Gas</v>
      </c>
      <c r="N89" s="118">
        <v>6100000000</v>
      </c>
      <c r="O89" s="118">
        <f>N89*0.0066</f>
        <v>40260000</v>
      </c>
      <c r="P89" s="118"/>
      <c r="Q89" s="118"/>
      <c r="R89" s="118"/>
      <c r="S89" s="117" t="s">
        <v>642</v>
      </c>
      <c r="T89" s="119">
        <v>0.243474</v>
      </c>
      <c r="U89" s="117" t="s">
        <v>643</v>
      </c>
      <c r="V89" s="117" t="s">
        <v>738</v>
      </c>
      <c r="W89" s="89">
        <f>N89*T89</f>
        <v>1485191400</v>
      </c>
      <c r="X89" s="117"/>
      <c r="Y89" s="117"/>
      <c r="Z89" s="117"/>
      <c r="AA89" s="211">
        <f>W89/W90</f>
        <v>9.7002980215120174E-2</v>
      </c>
      <c r="AB89" s="179"/>
      <c r="AC89" s="212"/>
      <c r="AD89" s="212"/>
      <c r="AE89" s="212"/>
      <c r="AF89" s="213"/>
      <c r="AG89" s="117"/>
      <c r="AH89" s="124"/>
      <c r="AI89" s="117"/>
      <c r="AJ89" s="117" t="s">
        <v>760</v>
      </c>
      <c r="AK89" s="89">
        <f>2395468900*T89</f>
        <v>583234394.95860004</v>
      </c>
      <c r="AL89" s="117"/>
      <c r="AM89" s="117"/>
      <c r="AN89" s="214"/>
      <c r="AO89" s="117"/>
      <c r="AP89" s="117"/>
      <c r="AQ89" s="125"/>
      <c r="AR89" s="126"/>
      <c r="AS89" s="117"/>
      <c r="AT89" s="127"/>
      <c r="AU89" s="215"/>
      <c r="AV89" s="128"/>
      <c r="AW89" s="117">
        <f>VLOOKUP($D89,'WB Data'!$C$3:$M$578,2,FALSE)</f>
        <v>20982270733.248421</v>
      </c>
      <c r="AX89" s="117">
        <f>VLOOKUP($D89,'WB Data'!$C$3:$M$578,3,FALSE)</f>
        <v>8484550</v>
      </c>
      <c r="AY89" s="847">
        <f t="shared" si="16"/>
        <v>0.16732177106052756</v>
      </c>
      <c r="AZ89" s="117" t="e">
        <f>VLOOKUP($D89,'WB Data'!$C$3:$M$578,4,FALSE)/100</f>
        <v>#VALUE!</v>
      </c>
      <c r="BA89" s="117" t="str">
        <f t="shared" si="17"/>
        <v>..</v>
      </c>
      <c r="BB89" s="129">
        <f>IFERROR(VLOOKUP($D89,'EITI Revenues'!$C$2:$G$224,5,FALSE),"..")</f>
        <v>3510790699.9586</v>
      </c>
      <c r="BC89" s="846" t="str">
        <f t="shared" si="18"/>
        <v>..</v>
      </c>
      <c r="BD89" s="129">
        <f>VLOOKUP($D89,'WB Data 2'!$C$2:$K$545,6,FALSE)</f>
        <v>11183800340.626717</v>
      </c>
      <c r="BE89" s="129">
        <f>IFERROR(VLOOKUP($D89,UNCTAD!$C$5:$V$529,4,FALSE),"..")</f>
        <v>13954470000</v>
      </c>
      <c r="BF89" s="846">
        <f t="shared" si="19"/>
        <v>0.80144930911935153</v>
      </c>
      <c r="BG89" s="117">
        <f>VLOOKUP($D89,'WB Data'!$C$3:$M$578,5,FALSE)</f>
        <v>206390000</v>
      </c>
      <c r="BH89" s="129">
        <f>IFERROR($BB89/$BG89,"..")</f>
        <v>17.010469014771065</v>
      </c>
      <c r="BI89" s="117">
        <f>IFERROR(VLOOKUP($D89,'WB Data'!$C$3:$M$578,7,FALSE)/100,"..")</f>
        <v>2.5555100000000001E-2</v>
      </c>
      <c r="BJ89" s="117">
        <f>IFERROR($BI89*$AW89,"..")</f>
        <v>536204026.81523675</v>
      </c>
      <c r="BK89" s="846">
        <f>IFERROR($BB89/$BJ89,"..")</f>
        <v>6.5474903663271737</v>
      </c>
      <c r="BL89" s="117">
        <f>IFERROR(VLOOKUP($D89,'WB Data'!$C$3:$M$578,7,FALSE)/100,"..")</f>
        <v>2.5555100000000001E-2</v>
      </c>
      <c r="BM89" s="117">
        <f>IFERROR($AW89*$BL89,"..")</f>
        <v>536204026.81523675</v>
      </c>
      <c r="BN89" s="846">
        <f>IFERROR($BB89/$BM89,"..")</f>
        <v>6.5474903663271737</v>
      </c>
      <c r="BO89" s="801">
        <f t="shared" si="15"/>
        <v>29</v>
      </c>
      <c r="BP89" s="117" t="str">
        <f>VLOOKUP($D89,'WB Data'!$C$3:$M$578,9,FALSE)</f>
        <v>..</v>
      </c>
      <c r="BQ89" s="117">
        <f>VLOOKUP($D89,'WB Data'!$C$3:$M$578,10,FALSE)</f>
        <v>69.374731707317096</v>
      </c>
      <c r="BR89" s="117">
        <f>VLOOKUP($D89,'WB Data'!$C$3:$M$578,11,FALSE)</f>
        <v>41.5</v>
      </c>
      <c r="BS89" s="129">
        <f>IFERROR(VLOOKUP($D89,'WB Data 2'!$C$2:$K$545,9,FALSE),"..")</f>
        <v>83.772009999999995</v>
      </c>
      <c r="BT89" s="129">
        <f>_xlfn.IFNA(VLOOKUP($C89,RGI!$A$2:$C$43,2,FALSE),"..")</f>
        <v>75.099999999999994</v>
      </c>
      <c r="BU89" s="129">
        <f>_xlfn.IFNA(VLOOKUP($C89,RGI!$A$2:$C$43,3,FALSE),"..")</f>
        <v>48.092853423547197</v>
      </c>
      <c r="BV89" s="129">
        <f>VLOOKUP($D89,WGI!$C$2:$O$478,7,FALSE)</f>
        <v>-1.2204446980110599</v>
      </c>
      <c r="BW89" s="129">
        <f>VLOOKUP($D89,WGI!$C$2:$O$478,4,FALSE)</f>
        <v>-1.0848389073723499</v>
      </c>
      <c r="BX89" s="129">
        <f>VLOOKUP($D89,WGI!$C$2:$O$478,3,FALSE)</f>
        <v>-0.67500074406877697</v>
      </c>
      <c r="BY89" s="129">
        <f>VLOOKUP($D89,WGI!$C$2:$O$478,5,FALSE)</f>
        <v>-0.49545094100609999</v>
      </c>
      <c r="BZ89" s="129">
        <f>VLOOKUP($D89,WGI!$C$2:$O$478,2,FALSE)</f>
        <v>-0.98963096081231505</v>
      </c>
    </row>
    <row r="90" spans="1:80" ht="15" customHeight="1">
      <c r="A90" s="145" t="s">
        <v>63</v>
      </c>
      <c r="B90" s="117">
        <v>2006</v>
      </c>
      <c r="C90" s="117" t="s">
        <v>53</v>
      </c>
      <c r="D90" s="117" t="s">
        <v>3518</v>
      </c>
      <c r="E90" s="174" t="s">
        <v>39</v>
      </c>
      <c r="F90" s="117"/>
      <c r="G90" s="117" t="s">
        <v>103</v>
      </c>
      <c r="H90" s="117" t="str">
        <f t="shared" si="20"/>
        <v>no</v>
      </c>
      <c r="I90" s="117" t="str">
        <f t="shared" si="21"/>
        <v>no</v>
      </c>
      <c r="J90" s="117" t="str">
        <f t="shared" si="22"/>
        <v>yes</v>
      </c>
      <c r="K90" s="176" t="s">
        <v>103</v>
      </c>
      <c r="L90" s="117" t="str">
        <f t="shared" si="13"/>
        <v>detailed</v>
      </c>
      <c r="M90" s="117" t="str">
        <f t="shared" si="14"/>
        <v>detailed Oil</v>
      </c>
      <c r="N90" s="118">
        <v>235790000</v>
      </c>
      <c r="O90" s="211">
        <f>O89/N90</f>
        <v>0.17074515458670853</v>
      </c>
      <c r="P90" s="118"/>
      <c r="Q90" s="118"/>
      <c r="R90" s="118"/>
      <c r="S90" s="117" t="s">
        <v>646</v>
      </c>
      <c r="T90" s="119">
        <v>64.933971499999998</v>
      </c>
      <c r="U90" s="117" t="s">
        <v>673</v>
      </c>
      <c r="V90" s="117" t="s">
        <v>740</v>
      </c>
      <c r="W90" s="89">
        <f>N90*T90</f>
        <v>15310781139.984999</v>
      </c>
      <c r="X90" s="117"/>
      <c r="Y90" s="117"/>
      <c r="Z90" s="117"/>
      <c r="AA90" s="179"/>
      <c r="AB90" s="179"/>
      <c r="AC90" s="212"/>
      <c r="AD90" s="212"/>
      <c r="AE90" s="212"/>
      <c r="AF90" s="213"/>
      <c r="AG90" s="117"/>
      <c r="AH90" s="124"/>
      <c r="AI90" s="117"/>
      <c r="AJ90" s="117" t="s">
        <v>761</v>
      </c>
      <c r="AK90" s="89">
        <f>19000000*T90</f>
        <v>1233745458.5</v>
      </c>
      <c r="AL90" s="117"/>
      <c r="AM90" s="117"/>
      <c r="AN90" s="214"/>
      <c r="AO90" s="117"/>
      <c r="AP90" s="117"/>
      <c r="AQ90" s="125"/>
      <c r="AR90" s="126"/>
      <c r="AS90" s="117"/>
      <c r="AT90" s="127"/>
      <c r="AU90" s="215"/>
      <c r="AV90" s="128"/>
      <c r="AW90" s="117">
        <f>VLOOKUP($D90,'WB Data'!$C$3:$M$578,2,FALSE)</f>
        <v>20982270733.248421</v>
      </c>
      <c r="AX90" s="117">
        <f>VLOOKUP($D90,'WB Data'!$C$3:$M$578,3,FALSE)</f>
        <v>8484550</v>
      </c>
      <c r="AY90" s="847">
        <f t="shared" si="16"/>
        <v>0.16732177106052756</v>
      </c>
      <c r="AZ90" s="117" t="e">
        <f>VLOOKUP($D90,'WB Data'!$C$3:$M$578,4,FALSE)/100</f>
        <v>#VALUE!</v>
      </c>
      <c r="BA90" s="117" t="str">
        <f t="shared" si="17"/>
        <v>..</v>
      </c>
      <c r="BB90" s="129">
        <f>IFERROR(VLOOKUP($D90,'EITI Revenues'!$C$2:$G$224,5,FALSE),"..")</f>
        <v>3510790699.9586</v>
      </c>
      <c r="BC90" s="846" t="str">
        <f t="shared" si="18"/>
        <v>..</v>
      </c>
      <c r="BD90" s="129">
        <f>VLOOKUP($D90,'WB Data 2'!$C$2:$K$545,6,FALSE)</f>
        <v>11183800340.626717</v>
      </c>
      <c r="BE90" s="129">
        <f>IFERROR(VLOOKUP($D90,UNCTAD!$C$5:$V$529,4,FALSE),"..")</f>
        <v>13954470000</v>
      </c>
      <c r="BF90" s="846">
        <f t="shared" si="19"/>
        <v>0.80144930911935153</v>
      </c>
      <c r="BG90" s="117">
        <f>VLOOKUP($D90,'WB Data'!$C$3:$M$578,5,FALSE)</f>
        <v>206390000</v>
      </c>
      <c r="BH90" s="129">
        <f>IFERROR($BB90/$BG90,"..")</f>
        <v>17.010469014771065</v>
      </c>
      <c r="BI90" s="117">
        <f>IFERROR(VLOOKUP($D90,'WB Data'!$C$3:$M$578,7,FALSE)/100,"..")</f>
        <v>2.5555100000000001E-2</v>
      </c>
      <c r="BJ90" s="117">
        <f>IFERROR($BI90*$AW90,"..")</f>
        <v>536204026.81523675</v>
      </c>
      <c r="BK90" s="846">
        <f>IFERROR($BB90/$BJ90,"..")</f>
        <v>6.5474903663271737</v>
      </c>
      <c r="BL90" s="117">
        <f>IFERROR(VLOOKUP($D90,'WB Data'!$C$3:$M$578,7,FALSE)/100,"..")</f>
        <v>2.5555100000000001E-2</v>
      </c>
      <c r="BM90" s="117">
        <f>IFERROR($AW90*$BL90,"..")</f>
        <v>536204026.81523675</v>
      </c>
      <c r="BN90" s="846">
        <f>IFERROR($BB90/$BM90,"..")</f>
        <v>6.5474903663271737</v>
      </c>
      <c r="BO90" s="801">
        <f t="shared" si="15"/>
        <v>29</v>
      </c>
      <c r="BP90" s="117" t="str">
        <f>VLOOKUP($D90,'WB Data'!$C$3:$M$578,9,FALSE)</f>
        <v>..</v>
      </c>
      <c r="BQ90" s="117">
        <f>VLOOKUP($D90,'WB Data'!$C$3:$M$578,10,FALSE)</f>
        <v>69.374731707317096</v>
      </c>
      <c r="BR90" s="117">
        <f>VLOOKUP($D90,'WB Data'!$C$3:$M$578,11,FALSE)</f>
        <v>41.5</v>
      </c>
      <c r="BS90" s="129">
        <f>IFERROR(VLOOKUP($D90,'WB Data 2'!$C$2:$K$545,9,FALSE),"..")</f>
        <v>83.772009999999995</v>
      </c>
      <c r="BT90" s="129">
        <f>_xlfn.IFNA(VLOOKUP($C90,RGI!$A$2:$C$43,2,FALSE),"..")</f>
        <v>75.099999999999994</v>
      </c>
      <c r="BU90" s="129">
        <f>_xlfn.IFNA(VLOOKUP($C90,RGI!$A$2:$C$43,3,FALSE),"..")</f>
        <v>48.092853423547197</v>
      </c>
      <c r="BV90" s="129">
        <f>VLOOKUP($D90,WGI!$C$2:$O$478,7,FALSE)</f>
        <v>-1.2204446980110599</v>
      </c>
      <c r="BW90" s="129">
        <f>VLOOKUP($D90,WGI!$C$2:$O$478,4,FALSE)</f>
        <v>-1.0848389073723499</v>
      </c>
      <c r="BX90" s="129">
        <f>VLOOKUP($D90,WGI!$C$2:$O$478,3,FALSE)</f>
        <v>-0.67500074406877697</v>
      </c>
      <c r="BY90" s="129">
        <f>VLOOKUP($D90,WGI!$C$2:$O$478,5,FALSE)</f>
        <v>-0.49545094100609999</v>
      </c>
      <c r="BZ90" s="129">
        <f>VLOOKUP($D90,WGI!$C$2:$O$478,2,FALSE)</f>
        <v>-0.98963096081231505</v>
      </c>
    </row>
    <row r="91" spans="1:80" s="144" customFormat="1" ht="15" customHeight="1">
      <c r="A91" s="130" t="s">
        <v>66</v>
      </c>
      <c r="B91" s="132">
        <v>2007</v>
      </c>
      <c r="C91" s="132" t="s">
        <v>53</v>
      </c>
      <c r="D91" s="117" t="s">
        <v>3552</v>
      </c>
      <c r="E91" s="181" t="s">
        <v>39</v>
      </c>
      <c r="F91" s="132" t="s">
        <v>729</v>
      </c>
      <c r="G91" s="132" t="s">
        <v>55</v>
      </c>
      <c r="H91" s="117" t="str">
        <f t="shared" si="20"/>
        <v>no</v>
      </c>
      <c r="I91" s="117" t="str">
        <f t="shared" si="21"/>
        <v>yes</v>
      </c>
      <c r="J91" s="117" t="str">
        <f t="shared" si="22"/>
        <v>yes</v>
      </c>
      <c r="K91" s="182" t="s">
        <v>709</v>
      </c>
      <c r="L91" s="117" t="str">
        <f t="shared" si="13"/>
        <v>Total</v>
      </c>
      <c r="M91" s="117" t="str">
        <f t="shared" si="14"/>
        <v>Total Oil, Gas</v>
      </c>
      <c r="N91" s="133"/>
      <c r="O91" s="133"/>
      <c r="P91" s="133"/>
      <c r="Q91" s="133"/>
      <c r="R91" s="133"/>
      <c r="S91" s="132"/>
      <c r="T91" s="134"/>
      <c r="U91" s="132"/>
      <c r="V91" s="132"/>
      <c r="W91" s="135">
        <f>SUM(W92:W93)</f>
        <v>24669210601.398998</v>
      </c>
      <c r="X91" s="136" t="s">
        <v>755</v>
      </c>
      <c r="Y91" s="132" t="s">
        <v>731</v>
      </c>
      <c r="Z91" s="132" t="s">
        <v>732</v>
      </c>
      <c r="AA91" s="231">
        <v>5563486877.5584002</v>
      </c>
      <c r="AB91" s="231">
        <v>2818365735</v>
      </c>
      <c r="AC91" s="226"/>
      <c r="AD91" s="226"/>
      <c r="AE91" s="226"/>
      <c r="AF91" s="224">
        <f>AA91/W91</f>
        <v>0.22552350650583416</v>
      </c>
      <c r="AG91" s="132" t="s">
        <v>743</v>
      </c>
      <c r="AH91" s="140">
        <v>0.85799999999999998</v>
      </c>
      <c r="AI91" s="132" t="s">
        <v>667</v>
      </c>
      <c r="AJ91" s="132" t="s">
        <v>762</v>
      </c>
      <c r="AK91" s="135">
        <f>SUM(AK92:AK93)</f>
        <v>2727736601.1259003</v>
      </c>
      <c r="AL91" s="132"/>
      <c r="AM91" s="132"/>
      <c r="AN91" s="228">
        <v>25</v>
      </c>
      <c r="AO91" s="132" t="s">
        <v>763</v>
      </c>
      <c r="AP91" s="132">
        <v>25</v>
      </c>
      <c r="AQ91" s="136" t="s">
        <v>67</v>
      </c>
      <c r="AR91" s="141">
        <v>41888</v>
      </c>
      <c r="AS91" s="132" t="s">
        <v>607</v>
      </c>
      <c r="AT91" s="142" t="s">
        <v>68</v>
      </c>
      <c r="AU91" s="229" t="s">
        <v>764</v>
      </c>
      <c r="AV91" s="143" t="s">
        <v>765</v>
      </c>
      <c r="AW91" s="117">
        <f>VLOOKUP($D91,'WB Data'!$C$3:$M$578,2,FALSE)</f>
        <v>33050343782.775902</v>
      </c>
      <c r="AX91" s="117">
        <f>VLOOKUP($D91,'WB Data'!$C$3:$M$578,3,FALSE)</f>
        <v>8581300</v>
      </c>
      <c r="AY91" s="847">
        <f t="shared" si="16"/>
        <v>0.16833370672706274</v>
      </c>
      <c r="AZ91" s="117" t="e">
        <f>VLOOKUP($D91,'WB Data'!$C$3:$M$578,4,FALSE)/100</f>
        <v>#VALUE!</v>
      </c>
      <c r="BA91" s="117" t="str">
        <f t="shared" si="17"/>
        <v>..</v>
      </c>
      <c r="BB91" s="129">
        <f>IFERROR(VLOOKUP($D91,'EITI Revenues'!$C$2:$G$224,5,FALSE),"..")</f>
        <v>5563486877.5584002</v>
      </c>
      <c r="BC91" s="846" t="str">
        <f t="shared" si="18"/>
        <v>..</v>
      </c>
      <c r="BD91" s="129">
        <f>VLOOKUP($D91,'WB Data 2'!$C$2:$K$545,6,FALSE)</f>
        <v>17688499176.930767</v>
      </c>
      <c r="BE91" s="129">
        <f>IFERROR(VLOOKUP($D91,UNCTAD!$C$5:$V$529,4,FALSE),"..")</f>
        <v>22516840000</v>
      </c>
      <c r="BF91" s="846">
        <f t="shared" si="19"/>
        <v>0.78556756529472016</v>
      </c>
      <c r="BG91" s="117">
        <f>VLOOKUP($D91,'WB Data'!$C$3:$M$578,5,FALSE)</f>
        <v>225210000</v>
      </c>
      <c r="BH91" s="129">
        <f>IFERROR($BB91/$BG91,"..")</f>
        <v>24.703551696453978</v>
      </c>
      <c r="BI91" s="117">
        <f>IFERROR(VLOOKUP($D91,'WB Data'!$C$3:$M$578,7,FALSE)/100,"..")</f>
        <v>2.5492799999999999E-2</v>
      </c>
      <c r="BJ91" s="117">
        <f>IFERROR($BI91*$AW91,"..")</f>
        <v>842545803.98554945</v>
      </c>
      <c r="BK91" s="846">
        <f>IFERROR($BB91/$BJ91,"..")</f>
        <v>6.6031862614959032</v>
      </c>
      <c r="BL91" s="117">
        <f>IFERROR(VLOOKUP($D91,'WB Data'!$C$3:$M$578,7,FALSE)/100,"..")</f>
        <v>2.5492799999999999E-2</v>
      </c>
      <c r="BM91" s="117">
        <f>IFERROR($AW91*$BL91,"..")</f>
        <v>842545803.98554945</v>
      </c>
      <c r="BN91" s="846">
        <f>IFERROR($BB91/$BM91,"..")</f>
        <v>6.6031862614959032</v>
      </c>
      <c r="BO91" s="801">
        <f t="shared" si="15"/>
        <v>29</v>
      </c>
      <c r="BP91" s="117">
        <f>VLOOKUP($D91,'WB Data'!$C$3:$M$578,9,FALSE)</f>
        <v>15.8</v>
      </c>
      <c r="BQ91" s="117">
        <f>VLOOKUP($D91,'WB Data'!$C$3:$M$578,10,FALSE)</f>
        <v>69.756</v>
      </c>
      <c r="BR91" s="117">
        <f>VLOOKUP($D91,'WB Data'!$C$3:$M$578,11,FALSE)</f>
        <v>39.299999999999997</v>
      </c>
      <c r="BS91" s="129">
        <f>IFERROR(VLOOKUP($D91,'WB Data 2'!$C$2:$K$545,9,FALSE),"..")</f>
        <v>83.458410000000001</v>
      </c>
      <c r="BT91" s="129">
        <f>_xlfn.IFNA(VLOOKUP($C91,RGI!$A$2:$C$43,2,FALSE),"..")</f>
        <v>75.099999999999994</v>
      </c>
      <c r="BU91" s="129">
        <f>_xlfn.IFNA(VLOOKUP($C91,RGI!$A$2:$C$43,3,FALSE),"..")</f>
        <v>48.092853423547197</v>
      </c>
      <c r="BV91" s="129">
        <f>VLOOKUP($D91,WGI!$C$2:$O$478,7,FALSE)</f>
        <v>-1.1761588258531499</v>
      </c>
      <c r="BW91" s="129">
        <f>VLOOKUP($D91,WGI!$C$2:$O$478,4,FALSE)</f>
        <v>-0.646004170107213</v>
      </c>
      <c r="BX91" s="129">
        <f>VLOOKUP($D91,WGI!$C$2:$O$478,3,FALSE)</f>
        <v>-0.765335682556191</v>
      </c>
      <c r="BY91" s="129">
        <f>VLOOKUP($D91,WGI!$C$2:$O$478,5,FALSE)</f>
        <v>-0.440990286727518</v>
      </c>
      <c r="BZ91" s="129">
        <f>VLOOKUP($D91,WGI!$C$2:$O$478,2,FALSE)</f>
        <v>-1.0177770519759499</v>
      </c>
      <c r="CB91" s="129"/>
    </row>
    <row r="92" spans="1:80" s="120" customFormat="1" ht="15" customHeight="1">
      <c r="A92" s="145" t="s">
        <v>66</v>
      </c>
      <c r="B92" s="117">
        <v>2007</v>
      </c>
      <c r="C92" s="117" t="s">
        <v>53</v>
      </c>
      <c r="D92" s="117" t="s">
        <v>3552</v>
      </c>
      <c r="E92" s="174" t="s">
        <v>39</v>
      </c>
      <c r="F92" s="117"/>
      <c r="G92" s="117" t="s">
        <v>561</v>
      </c>
      <c r="H92" s="117" t="str">
        <f t="shared" si="20"/>
        <v>no</v>
      </c>
      <c r="I92" s="117" t="str">
        <f t="shared" si="21"/>
        <v>yes</v>
      </c>
      <c r="J92" s="117" t="str">
        <f t="shared" si="22"/>
        <v>no</v>
      </c>
      <c r="K92" s="176" t="s">
        <v>561</v>
      </c>
      <c r="L92" s="117" t="str">
        <f t="shared" si="13"/>
        <v>detailed</v>
      </c>
      <c r="M92" s="117" t="str">
        <f t="shared" si="14"/>
        <v>detailed Gas</v>
      </c>
      <c r="N92" s="118">
        <v>9800000000</v>
      </c>
      <c r="O92" s="118">
        <f>N92*0.0066</f>
        <v>64680000</v>
      </c>
      <c r="P92" s="118"/>
      <c r="Q92" s="118"/>
      <c r="R92" s="118"/>
      <c r="S92" s="117" t="s">
        <v>642</v>
      </c>
      <c r="T92" s="119">
        <v>0.22764700000000004</v>
      </c>
      <c r="U92" s="117" t="s">
        <v>643</v>
      </c>
      <c r="V92" s="117" t="s">
        <v>738</v>
      </c>
      <c r="W92" s="89">
        <f>N92*T92</f>
        <v>2230940600.0000005</v>
      </c>
      <c r="X92" s="117"/>
      <c r="Y92" s="117"/>
      <c r="Z92" s="117"/>
      <c r="AA92" s="211">
        <f>W92/W93</f>
        <v>9.94256954685412E-2</v>
      </c>
      <c r="AB92" s="179"/>
      <c r="AC92" s="212"/>
      <c r="AD92" s="212"/>
      <c r="AE92" s="212"/>
      <c r="AF92" s="213"/>
      <c r="AG92" s="117"/>
      <c r="AH92" s="124"/>
      <c r="AI92" s="117"/>
      <c r="AJ92" s="117" t="s">
        <v>766</v>
      </c>
      <c r="AK92" s="89">
        <f>2423507200*T92</f>
        <v>551704143.55840015</v>
      </c>
      <c r="AL92" s="117"/>
      <c r="AM92" s="117"/>
      <c r="AN92" s="214"/>
      <c r="AO92" s="117"/>
      <c r="AP92" s="117"/>
      <c r="AQ92" s="125"/>
      <c r="AR92" s="126"/>
      <c r="AS92" s="117"/>
      <c r="AT92" s="127"/>
      <c r="AU92" s="215"/>
      <c r="AV92" s="128"/>
      <c r="AW92" s="117">
        <f>VLOOKUP($D92,'WB Data'!$C$3:$M$578,2,FALSE)</f>
        <v>33050343782.775902</v>
      </c>
      <c r="AX92" s="117">
        <f>VLOOKUP($D92,'WB Data'!$C$3:$M$578,3,FALSE)</f>
        <v>8581300</v>
      </c>
      <c r="AY92" s="847">
        <f t="shared" si="16"/>
        <v>0.16833370672706274</v>
      </c>
      <c r="AZ92" s="117" t="e">
        <f>VLOOKUP($D92,'WB Data'!$C$3:$M$578,4,FALSE)/100</f>
        <v>#VALUE!</v>
      </c>
      <c r="BA92" s="117" t="str">
        <f t="shared" si="17"/>
        <v>..</v>
      </c>
      <c r="BB92" s="129">
        <f>IFERROR(VLOOKUP($D92,'EITI Revenues'!$C$2:$G$224,5,FALSE),"..")</f>
        <v>5563486877.5584002</v>
      </c>
      <c r="BC92" s="846" t="str">
        <f t="shared" si="18"/>
        <v>..</v>
      </c>
      <c r="BD92" s="129">
        <f>VLOOKUP($D92,'WB Data 2'!$C$2:$K$545,6,FALSE)</f>
        <v>17688499176.930767</v>
      </c>
      <c r="BE92" s="129">
        <f>IFERROR(VLOOKUP($D92,UNCTAD!$C$5:$V$529,4,FALSE),"..")</f>
        <v>22516840000</v>
      </c>
      <c r="BF92" s="846">
        <f t="shared" si="19"/>
        <v>0.78556756529472016</v>
      </c>
      <c r="BG92" s="117">
        <f>VLOOKUP($D92,'WB Data'!$C$3:$M$578,5,FALSE)</f>
        <v>225210000</v>
      </c>
      <c r="BH92" s="129">
        <f>IFERROR($BB92/$BG92,"..")</f>
        <v>24.703551696453978</v>
      </c>
      <c r="BI92" s="117">
        <f>IFERROR(VLOOKUP($D92,'WB Data'!$C$3:$M$578,7,FALSE)/100,"..")</f>
        <v>2.5492799999999999E-2</v>
      </c>
      <c r="BJ92" s="117">
        <f>IFERROR($BI92*$AW92,"..")</f>
        <v>842545803.98554945</v>
      </c>
      <c r="BK92" s="846">
        <f>IFERROR($BB92/$BJ92,"..")</f>
        <v>6.6031862614959032</v>
      </c>
      <c r="BL92" s="117">
        <f>IFERROR(VLOOKUP($D92,'WB Data'!$C$3:$M$578,7,FALSE)/100,"..")</f>
        <v>2.5492799999999999E-2</v>
      </c>
      <c r="BM92" s="117">
        <f>IFERROR($AW92*$BL92,"..")</f>
        <v>842545803.98554945</v>
      </c>
      <c r="BN92" s="846">
        <f>IFERROR($BB92/$BM92,"..")</f>
        <v>6.6031862614959032</v>
      </c>
      <c r="BO92" s="801">
        <f t="shared" si="15"/>
        <v>29</v>
      </c>
      <c r="BP92" s="117">
        <f>VLOOKUP($D92,'WB Data'!$C$3:$M$578,9,FALSE)</f>
        <v>15.8</v>
      </c>
      <c r="BQ92" s="117">
        <f>VLOOKUP($D92,'WB Data'!$C$3:$M$578,10,FALSE)</f>
        <v>69.756</v>
      </c>
      <c r="BR92" s="117">
        <f>VLOOKUP($D92,'WB Data'!$C$3:$M$578,11,FALSE)</f>
        <v>39.299999999999997</v>
      </c>
      <c r="BS92" s="129">
        <f>IFERROR(VLOOKUP($D92,'WB Data 2'!$C$2:$K$545,9,FALSE),"..")</f>
        <v>83.458410000000001</v>
      </c>
      <c r="BT92" s="129">
        <f>_xlfn.IFNA(VLOOKUP($C92,RGI!$A$2:$C$43,2,FALSE),"..")</f>
        <v>75.099999999999994</v>
      </c>
      <c r="BU92" s="129">
        <f>_xlfn.IFNA(VLOOKUP($C92,RGI!$A$2:$C$43,3,FALSE),"..")</f>
        <v>48.092853423547197</v>
      </c>
      <c r="BV92" s="129">
        <f>VLOOKUP($D92,WGI!$C$2:$O$478,7,FALSE)</f>
        <v>-1.1761588258531499</v>
      </c>
      <c r="BW92" s="129">
        <f>VLOOKUP($D92,WGI!$C$2:$O$478,4,FALSE)</f>
        <v>-0.646004170107213</v>
      </c>
      <c r="BX92" s="129">
        <f>VLOOKUP($D92,WGI!$C$2:$O$478,3,FALSE)</f>
        <v>-0.765335682556191</v>
      </c>
      <c r="BY92" s="129">
        <f>VLOOKUP($D92,WGI!$C$2:$O$478,5,FALSE)</f>
        <v>-0.440990286727518</v>
      </c>
      <c r="BZ92" s="129">
        <f>VLOOKUP($D92,WGI!$C$2:$O$478,2,FALSE)</f>
        <v>-1.0177770519759499</v>
      </c>
      <c r="CB92" s="129"/>
    </row>
    <row r="93" spans="1:80" s="158" customFormat="1" ht="15" customHeight="1">
      <c r="A93" s="147" t="s">
        <v>66</v>
      </c>
      <c r="B93" s="149">
        <v>2007</v>
      </c>
      <c r="C93" s="149" t="s">
        <v>53</v>
      </c>
      <c r="D93" s="117" t="s">
        <v>3552</v>
      </c>
      <c r="E93" s="187" t="s">
        <v>39</v>
      </c>
      <c r="F93" s="149"/>
      <c r="G93" s="117" t="s">
        <v>103</v>
      </c>
      <c r="H93" s="117" t="str">
        <f t="shared" si="20"/>
        <v>no</v>
      </c>
      <c r="I93" s="117" t="str">
        <f t="shared" si="21"/>
        <v>no</v>
      </c>
      <c r="J93" s="117" t="str">
        <f t="shared" si="22"/>
        <v>yes</v>
      </c>
      <c r="K93" s="188" t="s">
        <v>103</v>
      </c>
      <c r="L93" s="117" t="str">
        <f t="shared" si="13"/>
        <v>detailed</v>
      </c>
      <c r="M93" s="117" t="str">
        <f t="shared" si="14"/>
        <v>detailed Oil</v>
      </c>
      <c r="N93" s="150">
        <v>312440000</v>
      </c>
      <c r="O93" s="211">
        <f>O92/N93</f>
        <v>0.20701574702342851</v>
      </c>
      <c r="P93" s="150"/>
      <c r="Q93" s="150"/>
      <c r="R93" s="150"/>
      <c r="S93" s="149" t="s">
        <v>646</v>
      </c>
      <c r="T93" s="151">
        <v>71.816252724999998</v>
      </c>
      <c r="U93" s="149" t="s">
        <v>673</v>
      </c>
      <c r="V93" s="149" t="s">
        <v>740</v>
      </c>
      <c r="W93" s="152">
        <f>N93*T93</f>
        <v>22438270001.398998</v>
      </c>
      <c r="X93" s="149"/>
      <c r="Y93" s="149"/>
      <c r="Z93" s="149"/>
      <c r="AA93" s="216"/>
      <c r="AB93" s="216"/>
      <c r="AC93" s="217"/>
      <c r="AD93" s="217"/>
      <c r="AE93" s="217"/>
      <c r="AF93" s="230"/>
      <c r="AG93" s="149"/>
      <c r="AH93" s="156"/>
      <c r="AI93" s="149"/>
      <c r="AJ93" s="149" t="s">
        <v>767</v>
      </c>
      <c r="AK93" s="152">
        <f>30300000*T93</f>
        <v>2176032457.5675001</v>
      </c>
      <c r="AL93" s="149"/>
      <c r="AM93" s="149"/>
      <c r="AN93" s="218"/>
      <c r="AO93" s="149"/>
      <c r="AP93" s="149"/>
      <c r="AQ93" s="219"/>
      <c r="AR93" s="220"/>
      <c r="AS93" s="149"/>
      <c r="AT93" s="221"/>
      <c r="AU93" s="222"/>
      <c r="AV93" s="157"/>
      <c r="AW93" s="117">
        <f>VLOOKUP($D93,'WB Data'!$C$3:$M$578,2,FALSE)</f>
        <v>33050343782.775902</v>
      </c>
      <c r="AX93" s="117">
        <f>VLOOKUP($D93,'WB Data'!$C$3:$M$578,3,FALSE)</f>
        <v>8581300</v>
      </c>
      <c r="AY93" s="847">
        <f t="shared" si="16"/>
        <v>0.16833370672706274</v>
      </c>
      <c r="AZ93" s="117" t="e">
        <f>VLOOKUP($D93,'WB Data'!$C$3:$M$578,4,FALSE)/100</f>
        <v>#VALUE!</v>
      </c>
      <c r="BA93" s="117" t="str">
        <f t="shared" si="17"/>
        <v>..</v>
      </c>
      <c r="BB93" s="129">
        <f>IFERROR(VLOOKUP($D93,'EITI Revenues'!$C$2:$G$224,5,FALSE),"..")</f>
        <v>5563486877.5584002</v>
      </c>
      <c r="BC93" s="846" t="str">
        <f t="shared" si="18"/>
        <v>..</v>
      </c>
      <c r="BD93" s="129">
        <f>VLOOKUP($D93,'WB Data 2'!$C$2:$K$545,6,FALSE)</f>
        <v>17688499176.930767</v>
      </c>
      <c r="BE93" s="129">
        <f>IFERROR(VLOOKUP($D93,UNCTAD!$C$5:$V$529,4,FALSE),"..")</f>
        <v>22516840000</v>
      </c>
      <c r="BF93" s="846">
        <f t="shared" si="19"/>
        <v>0.78556756529472016</v>
      </c>
      <c r="BG93" s="117">
        <f>VLOOKUP($D93,'WB Data'!$C$3:$M$578,5,FALSE)</f>
        <v>225210000</v>
      </c>
      <c r="BH93" s="129">
        <f>IFERROR($BB93/$BG93,"..")</f>
        <v>24.703551696453978</v>
      </c>
      <c r="BI93" s="117">
        <f>IFERROR(VLOOKUP($D93,'WB Data'!$C$3:$M$578,7,FALSE)/100,"..")</f>
        <v>2.5492799999999999E-2</v>
      </c>
      <c r="BJ93" s="117">
        <f>IFERROR($BI93*$AW93,"..")</f>
        <v>842545803.98554945</v>
      </c>
      <c r="BK93" s="846">
        <f>IFERROR($BB93/$BJ93,"..")</f>
        <v>6.6031862614959032</v>
      </c>
      <c r="BL93" s="117">
        <f>IFERROR(VLOOKUP($D93,'WB Data'!$C$3:$M$578,7,FALSE)/100,"..")</f>
        <v>2.5492799999999999E-2</v>
      </c>
      <c r="BM93" s="117">
        <f>IFERROR($AW93*$BL93,"..")</f>
        <v>842545803.98554945</v>
      </c>
      <c r="BN93" s="846">
        <f>IFERROR($BB93/$BM93,"..")</f>
        <v>6.6031862614959032</v>
      </c>
      <c r="BO93" s="801">
        <f t="shared" si="15"/>
        <v>29</v>
      </c>
      <c r="BP93" s="117">
        <f>VLOOKUP($D93,'WB Data'!$C$3:$M$578,9,FALSE)</f>
        <v>15.8</v>
      </c>
      <c r="BQ93" s="117">
        <f>VLOOKUP($D93,'WB Data'!$C$3:$M$578,10,FALSE)</f>
        <v>69.756</v>
      </c>
      <c r="BR93" s="117">
        <f>VLOOKUP($D93,'WB Data'!$C$3:$M$578,11,FALSE)</f>
        <v>39.299999999999997</v>
      </c>
      <c r="BS93" s="129">
        <f>IFERROR(VLOOKUP($D93,'WB Data 2'!$C$2:$K$545,9,FALSE),"..")</f>
        <v>83.458410000000001</v>
      </c>
      <c r="BT93" s="129">
        <f>_xlfn.IFNA(VLOOKUP($C93,RGI!$A$2:$C$43,2,FALSE),"..")</f>
        <v>75.099999999999994</v>
      </c>
      <c r="BU93" s="129">
        <f>_xlfn.IFNA(VLOOKUP($C93,RGI!$A$2:$C$43,3,FALSE),"..")</f>
        <v>48.092853423547197</v>
      </c>
      <c r="BV93" s="129">
        <f>VLOOKUP($D93,WGI!$C$2:$O$478,7,FALSE)</f>
        <v>-1.1761588258531499</v>
      </c>
      <c r="BW93" s="129">
        <f>VLOOKUP($D93,WGI!$C$2:$O$478,4,FALSE)</f>
        <v>-0.646004170107213</v>
      </c>
      <c r="BX93" s="129">
        <f>VLOOKUP($D93,WGI!$C$2:$O$478,3,FALSE)</f>
        <v>-0.765335682556191</v>
      </c>
      <c r="BY93" s="129">
        <f>VLOOKUP($D93,WGI!$C$2:$O$478,5,FALSE)</f>
        <v>-0.440990286727518</v>
      </c>
      <c r="BZ93" s="129">
        <f>VLOOKUP($D93,WGI!$C$2:$O$478,2,FALSE)</f>
        <v>-1.0177770519759499</v>
      </c>
      <c r="CB93" s="129"/>
    </row>
    <row r="94" spans="1:80" ht="15" customHeight="1">
      <c r="A94" s="145" t="s">
        <v>69</v>
      </c>
      <c r="B94" s="117">
        <v>2008</v>
      </c>
      <c r="C94" s="117" t="s">
        <v>53</v>
      </c>
      <c r="D94" s="117" t="s">
        <v>3586</v>
      </c>
      <c r="E94" s="174" t="s">
        <v>39</v>
      </c>
      <c r="F94" s="117" t="s">
        <v>729</v>
      </c>
      <c r="G94" s="132" t="s">
        <v>55</v>
      </c>
      <c r="H94" s="117" t="str">
        <f t="shared" si="20"/>
        <v>no</v>
      </c>
      <c r="I94" s="117" t="str">
        <f t="shared" si="21"/>
        <v>yes</v>
      </c>
      <c r="J94" s="117" t="str">
        <f t="shared" si="22"/>
        <v>yes</v>
      </c>
      <c r="K94" s="176" t="s">
        <v>709</v>
      </c>
      <c r="L94" s="117" t="str">
        <f t="shared" si="13"/>
        <v>Total</v>
      </c>
      <c r="M94" s="117" t="str">
        <f t="shared" si="14"/>
        <v>Total Oil, Gas</v>
      </c>
      <c r="N94" s="118"/>
      <c r="O94" s="118"/>
      <c r="P94" s="118"/>
      <c r="Q94" s="118"/>
      <c r="R94" s="118"/>
      <c r="S94" s="117"/>
      <c r="T94" s="119"/>
      <c r="U94" s="117"/>
      <c r="V94" s="117"/>
      <c r="W94" s="89">
        <f>SUM(W95:W96)</f>
        <v>36968547850</v>
      </c>
      <c r="X94" s="125" t="s">
        <v>755</v>
      </c>
      <c r="Y94" s="117" t="s">
        <v>731</v>
      </c>
      <c r="Z94" s="117" t="s">
        <v>732</v>
      </c>
      <c r="AA94" s="223">
        <v>19134087707.225998</v>
      </c>
      <c r="AB94" s="223">
        <v>3822950670</v>
      </c>
      <c r="AC94" s="212"/>
      <c r="AD94" s="212"/>
      <c r="AE94" s="212"/>
      <c r="AF94" s="224">
        <f>AA94/W94</f>
        <v>0.51757747653120212</v>
      </c>
      <c r="AG94" s="117" t="s">
        <v>743</v>
      </c>
      <c r="AH94" s="124">
        <v>0.82099999999999995</v>
      </c>
      <c r="AI94" s="117" t="s">
        <v>667</v>
      </c>
      <c r="AJ94" s="117" t="s">
        <v>768</v>
      </c>
      <c r="AK94" s="89">
        <f>SUM(AK95:AK96)</f>
        <v>15463469853.226</v>
      </c>
      <c r="AL94" s="117"/>
      <c r="AM94" s="117"/>
      <c r="AN94" s="214">
        <v>26</v>
      </c>
      <c r="AO94" s="117" t="s">
        <v>769</v>
      </c>
      <c r="AP94" s="117">
        <v>26</v>
      </c>
      <c r="AQ94" s="125" t="s">
        <v>70</v>
      </c>
      <c r="AR94" s="126">
        <v>41888</v>
      </c>
      <c r="AS94" s="117" t="s">
        <v>607</v>
      </c>
      <c r="AT94" s="127" t="s">
        <v>71</v>
      </c>
      <c r="AU94" s="215" t="s">
        <v>770</v>
      </c>
      <c r="AV94" s="128" t="s">
        <v>771</v>
      </c>
      <c r="AW94" s="117">
        <f>VLOOKUP($D94,'WB Data'!$C$3:$M$578,2,FALSE)</f>
        <v>48852482960.077896</v>
      </c>
      <c r="AX94" s="117">
        <f>VLOOKUP($D94,'WB Data'!$C$3:$M$578,3,FALSE)</f>
        <v>8763400</v>
      </c>
      <c r="AY94" s="847">
        <f t="shared" si="16"/>
        <v>0.39167073089943694</v>
      </c>
      <c r="AZ94" s="117">
        <f>VLOOKUP($D94,'WB Data'!$C$3:$M$578,4,FALSE)/100</f>
        <v>0.49301894501858629</v>
      </c>
      <c r="BA94" s="117">
        <f t="shared" si="17"/>
        <v>24085199610.516068</v>
      </c>
      <c r="BB94" s="129">
        <f>IFERROR(VLOOKUP($D94,'EITI Revenues'!$C$2:$G$224,5,FALSE),"..")</f>
        <v>19134087707.225998</v>
      </c>
      <c r="BC94" s="846">
        <f t="shared" si="18"/>
        <v>0.79443342868836686</v>
      </c>
      <c r="BD94" s="129">
        <f>VLOOKUP($D94,'WB Data 2'!$C$2:$K$545,6,FALSE)</f>
        <v>29782230645.345722</v>
      </c>
      <c r="BE94" s="129">
        <f>IFERROR(VLOOKUP($D94,UNCTAD!$C$5:$V$529,4,FALSE),"..")</f>
        <v>32134200000</v>
      </c>
      <c r="BF94" s="846">
        <f t="shared" si="19"/>
        <v>0.92680790700704307</v>
      </c>
      <c r="BG94" s="117">
        <f>VLOOKUP($D94,'WB Data'!$C$3:$M$578,5,FALSE)</f>
        <v>235100000</v>
      </c>
      <c r="BH94" s="129">
        <f>IFERROR($BB94/$BG94,"..")</f>
        <v>81.387017044772435</v>
      </c>
      <c r="BI94" s="117">
        <f>IFERROR(VLOOKUP($D94,'WB Data'!$C$3:$M$578,7,FALSE)/100,"..")</f>
        <v>2.4409299999999998E-2</v>
      </c>
      <c r="BJ94" s="117">
        <f>IFERROR($BI94*$AW94,"..")</f>
        <v>1192454912.3174293</v>
      </c>
      <c r="BK94" s="846">
        <f>IFERROR($BB94/$BJ94,"..")</f>
        <v>16.045963255785171</v>
      </c>
      <c r="BL94" s="117">
        <f>IFERROR(VLOOKUP($D94,'WB Data'!$C$3:$M$578,7,FALSE)/100,"..")</f>
        <v>2.4409299999999998E-2</v>
      </c>
      <c r="BM94" s="117">
        <f>IFERROR($AW94*$BL94,"..")</f>
        <v>1192454912.3174293</v>
      </c>
      <c r="BN94" s="846">
        <f>IFERROR($BB94/$BM94,"..")</f>
        <v>16.045963255785171</v>
      </c>
      <c r="BO94" s="801">
        <f t="shared" si="15"/>
        <v>29</v>
      </c>
      <c r="BP94" s="117">
        <f>VLOOKUP($D94,'WB Data'!$C$3:$M$578,9,FALSE)</f>
        <v>13.2</v>
      </c>
      <c r="BQ94" s="117">
        <f>VLOOKUP($D94,'WB Data'!$C$3:$M$578,10,FALSE)</f>
        <v>70.062926829268307</v>
      </c>
      <c r="BR94" s="117">
        <f>VLOOKUP($D94,'WB Data'!$C$3:$M$578,11,FALSE)</f>
        <v>37.200000000000003</v>
      </c>
      <c r="BS94" s="129">
        <f>IFERROR(VLOOKUP($D94,'WB Data 2'!$C$2:$K$545,9,FALSE),"..")</f>
        <v>83.98751</v>
      </c>
      <c r="BT94" s="129">
        <f>_xlfn.IFNA(VLOOKUP($C94,RGI!$A$2:$C$43,2,FALSE),"..")</f>
        <v>75.099999999999994</v>
      </c>
      <c r="BU94" s="129">
        <f>_xlfn.IFNA(VLOOKUP($C94,RGI!$A$2:$C$43,3,FALSE),"..")</f>
        <v>48.092853423547197</v>
      </c>
      <c r="BV94" s="129">
        <f>VLOOKUP($D94,WGI!$C$2:$O$478,7,FALSE)</f>
        <v>-1.27822417198566</v>
      </c>
      <c r="BW94" s="129">
        <f>VLOOKUP($D94,WGI!$C$2:$O$478,4,FALSE)</f>
        <v>-0.330871761407457</v>
      </c>
      <c r="BX94" s="129">
        <f>VLOOKUP($D94,WGI!$C$2:$O$478,3,FALSE)</f>
        <v>-0.76347305820546196</v>
      </c>
      <c r="BY94" s="129">
        <f>VLOOKUP($D94,WGI!$C$2:$O$478,5,FALSE)</f>
        <v>-0.34868577278742402</v>
      </c>
      <c r="BZ94" s="129">
        <f>VLOOKUP($D94,WGI!$C$2:$O$478,2,FALSE)</f>
        <v>-1.0413134474119401</v>
      </c>
    </row>
    <row r="95" spans="1:80" ht="15" customHeight="1">
      <c r="A95" s="145" t="s">
        <v>69</v>
      </c>
      <c r="B95" s="117">
        <v>2008</v>
      </c>
      <c r="C95" s="117" t="s">
        <v>53</v>
      </c>
      <c r="D95" s="117" t="s">
        <v>3586</v>
      </c>
      <c r="E95" s="174" t="s">
        <v>39</v>
      </c>
      <c r="F95" s="117"/>
      <c r="G95" s="117" t="s">
        <v>561</v>
      </c>
      <c r="H95" s="117" t="str">
        <f t="shared" si="20"/>
        <v>no</v>
      </c>
      <c r="I95" s="117" t="str">
        <f t="shared" si="21"/>
        <v>yes</v>
      </c>
      <c r="J95" s="117" t="str">
        <f t="shared" si="22"/>
        <v>no</v>
      </c>
      <c r="K95" s="176" t="s">
        <v>561</v>
      </c>
      <c r="L95" s="117" t="str">
        <f t="shared" si="13"/>
        <v>detailed</v>
      </c>
      <c r="M95" s="117" t="str">
        <f t="shared" si="14"/>
        <v>detailed Gas</v>
      </c>
      <c r="N95" s="118">
        <v>14800000000</v>
      </c>
      <c r="O95" s="118">
        <f>N95*0.0066</f>
        <v>97680000</v>
      </c>
      <c r="P95" s="118"/>
      <c r="Q95" s="118"/>
      <c r="R95" s="118"/>
      <c r="S95" s="117" t="s">
        <v>642</v>
      </c>
      <c r="T95" s="119">
        <v>0.32879700000000006</v>
      </c>
      <c r="U95" s="117" t="s">
        <v>643</v>
      </c>
      <c r="V95" s="117" t="s">
        <v>738</v>
      </c>
      <c r="W95" s="89">
        <f>N95*T95</f>
        <v>4866195600.000001</v>
      </c>
      <c r="X95" s="117"/>
      <c r="Y95" s="117"/>
      <c r="Z95" s="117"/>
      <c r="AA95" s="211">
        <f>W95/W96</f>
        <v>0.15158377062540646</v>
      </c>
      <c r="AB95" s="179"/>
      <c r="AC95" s="212"/>
      <c r="AD95" s="212"/>
      <c r="AE95" s="212"/>
      <c r="AF95" s="213"/>
      <c r="AG95" s="117"/>
      <c r="AH95" s="124"/>
      <c r="AI95" s="117"/>
      <c r="AJ95" s="117" t="s">
        <v>772</v>
      </c>
      <c r="AK95" s="89">
        <f>2139058000*T95</f>
        <v>703315853.22600019</v>
      </c>
      <c r="AL95" s="117"/>
      <c r="AM95" s="117"/>
      <c r="AN95" s="214"/>
      <c r="AO95" s="117"/>
      <c r="AP95" s="117"/>
      <c r="AQ95" s="125"/>
      <c r="AR95" s="126"/>
      <c r="AS95" s="117"/>
      <c r="AT95" s="127"/>
      <c r="AU95" s="215"/>
      <c r="AV95" s="128"/>
      <c r="AW95" s="117">
        <f>VLOOKUP($D95,'WB Data'!$C$3:$M$578,2,FALSE)</f>
        <v>48852482960.077896</v>
      </c>
      <c r="AX95" s="117">
        <f>VLOOKUP($D95,'WB Data'!$C$3:$M$578,3,FALSE)</f>
        <v>8763400</v>
      </c>
      <c r="AY95" s="847">
        <f t="shared" si="16"/>
        <v>0.39167073089943694</v>
      </c>
      <c r="AZ95" s="117">
        <f>VLOOKUP($D95,'WB Data'!$C$3:$M$578,4,FALSE)/100</f>
        <v>0.49301894501858629</v>
      </c>
      <c r="BA95" s="117">
        <f t="shared" si="17"/>
        <v>24085199610.516068</v>
      </c>
      <c r="BB95" s="129">
        <f>IFERROR(VLOOKUP($D95,'EITI Revenues'!$C$2:$G$224,5,FALSE),"..")</f>
        <v>19134087707.225998</v>
      </c>
      <c r="BC95" s="846">
        <f t="shared" si="18"/>
        <v>0.79443342868836686</v>
      </c>
      <c r="BD95" s="129">
        <f>VLOOKUP($D95,'WB Data 2'!$C$2:$K$545,6,FALSE)</f>
        <v>29782230645.345722</v>
      </c>
      <c r="BE95" s="129">
        <f>IFERROR(VLOOKUP($D95,UNCTAD!$C$5:$V$529,4,FALSE),"..")</f>
        <v>32134200000</v>
      </c>
      <c r="BF95" s="846">
        <f t="shared" si="19"/>
        <v>0.92680790700704307</v>
      </c>
      <c r="BG95" s="117">
        <f>VLOOKUP($D95,'WB Data'!$C$3:$M$578,5,FALSE)</f>
        <v>235100000</v>
      </c>
      <c r="BH95" s="129">
        <f>IFERROR($BB95/$BG95,"..")</f>
        <v>81.387017044772435</v>
      </c>
      <c r="BI95" s="117">
        <f>IFERROR(VLOOKUP($D95,'WB Data'!$C$3:$M$578,7,FALSE)/100,"..")</f>
        <v>2.4409299999999998E-2</v>
      </c>
      <c r="BJ95" s="117">
        <f>IFERROR($BI95*$AW95,"..")</f>
        <v>1192454912.3174293</v>
      </c>
      <c r="BK95" s="846">
        <f>IFERROR($BB95/$BJ95,"..")</f>
        <v>16.045963255785171</v>
      </c>
      <c r="BL95" s="117">
        <f>IFERROR(VLOOKUP($D95,'WB Data'!$C$3:$M$578,7,FALSE)/100,"..")</f>
        <v>2.4409299999999998E-2</v>
      </c>
      <c r="BM95" s="117">
        <f>IFERROR($AW95*$BL95,"..")</f>
        <v>1192454912.3174293</v>
      </c>
      <c r="BN95" s="846">
        <f>IFERROR($BB95/$BM95,"..")</f>
        <v>16.045963255785171</v>
      </c>
      <c r="BO95" s="801">
        <f t="shared" si="15"/>
        <v>29</v>
      </c>
      <c r="BP95" s="117">
        <f>VLOOKUP($D95,'WB Data'!$C$3:$M$578,9,FALSE)</f>
        <v>13.2</v>
      </c>
      <c r="BQ95" s="117">
        <f>VLOOKUP($D95,'WB Data'!$C$3:$M$578,10,FALSE)</f>
        <v>70.062926829268307</v>
      </c>
      <c r="BR95" s="117">
        <f>VLOOKUP($D95,'WB Data'!$C$3:$M$578,11,FALSE)</f>
        <v>37.200000000000003</v>
      </c>
      <c r="BS95" s="129">
        <f>IFERROR(VLOOKUP($D95,'WB Data 2'!$C$2:$K$545,9,FALSE),"..")</f>
        <v>83.98751</v>
      </c>
      <c r="BT95" s="129">
        <f>_xlfn.IFNA(VLOOKUP($C95,RGI!$A$2:$C$43,2,FALSE),"..")</f>
        <v>75.099999999999994</v>
      </c>
      <c r="BU95" s="129">
        <f>_xlfn.IFNA(VLOOKUP($C95,RGI!$A$2:$C$43,3,FALSE),"..")</f>
        <v>48.092853423547197</v>
      </c>
      <c r="BV95" s="129">
        <f>VLOOKUP($D95,WGI!$C$2:$O$478,7,FALSE)</f>
        <v>-1.27822417198566</v>
      </c>
      <c r="BW95" s="129">
        <f>VLOOKUP($D95,WGI!$C$2:$O$478,4,FALSE)</f>
        <v>-0.330871761407457</v>
      </c>
      <c r="BX95" s="129">
        <f>VLOOKUP($D95,WGI!$C$2:$O$478,3,FALSE)</f>
        <v>-0.76347305820546196</v>
      </c>
      <c r="BY95" s="129">
        <f>VLOOKUP($D95,WGI!$C$2:$O$478,5,FALSE)</f>
        <v>-0.34868577278742402</v>
      </c>
      <c r="BZ95" s="129">
        <f>VLOOKUP($D95,WGI!$C$2:$O$478,2,FALSE)</f>
        <v>-1.0413134474119401</v>
      </c>
    </row>
    <row r="96" spans="1:80" ht="15" customHeight="1">
      <c r="A96" s="145" t="s">
        <v>69</v>
      </c>
      <c r="B96" s="117">
        <v>2008</v>
      </c>
      <c r="C96" s="117" t="s">
        <v>53</v>
      </c>
      <c r="D96" s="117" t="s">
        <v>3586</v>
      </c>
      <c r="E96" s="174" t="s">
        <v>39</v>
      </c>
      <c r="F96" s="117"/>
      <c r="G96" s="149" t="s">
        <v>103</v>
      </c>
      <c r="H96" s="117" t="str">
        <f t="shared" si="20"/>
        <v>no</v>
      </c>
      <c r="I96" s="117" t="str">
        <f t="shared" si="21"/>
        <v>no</v>
      </c>
      <c r="J96" s="117" t="str">
        <f t="shared" si="22"/>
        <v>yes</v>
      </c>
      <c r="K96" s="176" t="s">
        <v>103</v>
      </c>
      <c r="L96" s="117" t="str">
        <f t="shared" si="13"/>
        <v>detailed</v>
      </c>
      <c r="M96" s="117" t="str">
        <f t="shared" si="14"/>
        <v>detailed Oil</v>
      </c>
      <c r="N96" s="118">
        <v>326675000</v>
      </c>
      <c r="O96" s="211">
        <f>O95/N96</f>
        <v>0.29901278028621719</v>
      </c>
      <c r="P96" s="118"/>
      <c r="Q96" s="118"/>
      <c r="R96" s="118"/>
      <c r="S96" s="117" t="s">
        <v>646</v>
      </c>
      <c r="T96" s="119">
        <v>98.27</v>
      </c>
      <c r="U96" s="117" t="s">
        <v>673</v>
      </c>
      <c r="V96" s="117" t="s">
        <v>740</v>
      </c>
      <c r="W96" s="89">
        <f>N96*T96</f>
        <v>32102352250</v>
      </c>
      <c r="X96" s="117"/>
      <c r="Y96" s="117"/>
      <c r="Z96" s="117"/>
      <c r="AA96" s="179"/>
      <c r="AB96" s="179"/>
      <c r="AC96" s="212"/>
      <c r="AD96" s="212"/>
      <c r="AE96" s="212"/>
      <c r="AF96" s="213"/>
      <c r="AG96" s="117"/>
      <c r="AH96" s="124"/>
      <c r="AI96" s="117"/>
      <c r="AJ96" s="117" t="s">
        <v>773</v>
      </c>
      <c r="AK96" s="89">
        <f>150200000*T96</f>
        <v>14760154000</v>
      </c>
      <c r="AL96" s="117"/>
      <c r="AM96" s="117"/>
      <c r="AN96" s="214"/>
      <c r="AO96" s="117"/>
      <c r="AP96" s="117"/>
      <c r="AQ96" s="125"/>
      <c r="AR96" s="126"/>
      <c r="AS96" s="117"/>
      <c r="AT96" s="127"/>
      <c r="AU96" s="215"/>
      <c r="AV96" s="128"/>
      <c r="AW96" s="117">
        <f>VLOOKUP($D96,'WB Data'!$C$3:$M$578,2,FALSE)</f>
        <v>48852482960.077896</v>
      </c>
      <c r="AX96" s="117">
        <f>VLOOKUP($D96,'WB Data'!$C$3:$M$578,3,FALSE)</f>
        <v>8763400</v>
      </c>
      <c r="AY96" s="847">
        <f t="shared" si="16"/>
        <v>0.39167073089943694</v>
      </c>
      <c r="AZ96" s="117">
        <f>VLOOKUP($D96,'WB Data'!$C$3:$M$578,4,FALSE)/100</f>
        <v>0.49301894501858629</v>
      </c>
      <c r="BA96" s="117">
        <f t="shared" si="17"/>
        <v>24085199610.516068</v>
      </c>
      <c r="BB96" s="129">
        <f>IFERROR(VLOOKUP($D96,'EITI Revenues'!$C$2:$G$224,5,FALSE),"..")</f>
        <v>19134087707.225998</v>
      </c>
      <c r="BC96" s="846">
        <f t="shared" si="18"/>
        <v>0.79443342868836686</v>
      </c>
      <c r="BD96" s="129">
        <f>VLOOKUP($D96,'WB Data 2'!$C$2:$K$545,6,FALSE)</f>
        <v>29782230645.345722</v>
      </c>
      <c r="BE96" s="129">
        <f>IFERROR(VLOOKUP($D96,UNCTAD!$C$5:$V$529,4,FALSE),"..")</f>
        <v>32134200000</v>
      </c>
      <c r="BF96" s="846">
        <f t="shared" si="19"/>
        <v>0.92680790700704307</v>
      </c>
      <c r="BG96" s="117">
        <f>VLOOKUP($D96,'WB Data'!$C$3:$M$578,5,FALSE)</f>
        <v>235100000</v>
      </c>
      <c r="BH96" s="129">
        <f>IFERROR($BB96/$BG96,"..")</f>
        <v>81.387017044772435</v>
      </c>
      <c r="BI96" s="117">
        <f>IFERROR(VLOOKUP($D96,'WB Data'!$C$3:$M$578,7,FALSE)/100,"..")</f>
        <v>2.4409299999999998E-2</v>
      </c>
      <c r="BJ96" s="117">
        <f>IFERROR($BI96*$AW96,"..")</f>
        <v>1192454912.3174293</v>
      </c>
      <c r="BK96" s="846">
        <f>IFERROR($BB96/$BJ96,"..")</f>
        <v>16.045963255785171</v>
      </c>
      <c r="BL96" s="117">
        <f>IFERROR(VLOOKUP($D96,'WB Data'!$C$3:$M$578,7,FALSE)/100,"..")</f>
        <v>2.4409299999999998E-2</v>
      </c>
      <c r="BM96" s="117">
        <f>IFERROR($AW96*$BL96,"..")</f>
        <v>1192454912.3174293</v>
      </c>
      <c r="BN96" s="846">
        <f>IFERROR($BB96/$BM96,"..")</f>
        <v>16.045963255785171</v>
      </c>
      <c r="BO96" s="801">
        <f t="shared" si="15"/>
        <v>29</v>
      </c>
      <c r="BP96" s="117">
        <f>VLOOKUP($D96,'WB Data'!$C$3:$M$578,9,FALSE)</f>
        <v>13.2</v>
      </c>
      <c r="BQ96" s="117">
        <f>VLOOKUP($D96,'WB Data'!$C$3:$M$578,10,FALSE)</f>
        <v>70.062926829268307</v>
      </c>
      <c r="BR96" s="117">
        <f>VLOOKUP($D96,'WB Data'!$C$3:$M$578,11,FALSE)</f>
        <v>37.200000000000003</v>
      </c>
      <c r="BS96" s="129">
        <f>IFERROR(VLOOKUP($D96,'WB Data 2'!$C$2:$K$545,9,FALSE),"..")</f>
        <v>83.98751</v>
      </c>
      <c r="BT96" s="129">
        <f>_xlfn.IFNA(VLOOKUP($C96,RGI!$A$2:$C$43,2,FALSE),"..")</f>
        <v>75.099999999999994</v>
      </c>
      <c r="BU96" s="129">
        <f>_xlfn.IFNA(VLOOKUP($C96,RGI!$A$2:$C$43,3,FALSE),"..")</f>
        <v>48.092853423547197</v>
      </c>
      <c r="BV96" s="129">
        <f>VLOOKUP($D96,WGI!$C$2:$O$478,7,FALSE)</f>
        <v>-1.27822417198566</v>
      </c>
      <c r="BW96" s="129">
        <f>VLOOKUP($D96,WGI!$C$2:$O$478,4,FALSE)</f>
        <v>-0.330871761407457</v>
      </c>
      <c r="BX96" s="129">
        <f>VLOOKUP($D96,WGI!$C$2:$O$478,3,FALSE)</f>
        <v>-0.76347305820546196</v>
      </c>
      <c r="BY96" s="129">
        <f>VLOOKUP($D96,WGI!$C$2:$O$478,5,FALSE)</f>
        <v>-0.34868577278742402</v>
      </c>
      <c r="BZ96" s="129">
        <f>VLOOKUP($D96,WGI!$C$2:$O$478,2,FALSE)</f>
        <v>-1.0413134474119401</v>
      </c>
    </row>
    <row r="97" spans="1:80" s="144" customFormat="1" ht="15" customHeight="1">
      <c r="A97" s="130" t="s">
        <v>72</v>
      </c>
      <c r="B97" s="132">
        <v>2009</v>
      </c>
      <c r="C97" s="132" t="s">
        <v>53</v>
      </c>
      <c r="D97" s="117" t="s">
        <v>3620</v>
      </c>
      <c r="E97" s="181" t="s">
        <v>774</v>
      </c>
      <c r="F97" s="132" t="s">
        <v>729</v>
      </c>
      <c r="G97" s="132" t="s">
        <v>35</v>
      </c>
      <c r="H97" s="117" t="str">
        <f t="shared" si="20"/>
        <v>yes</v>
      </c>
      <c r="I97" s="117" t="str">
        <f t="shared" si="21"/>
        <v>yes</v>
      </c>
      <c r="J97" s="117" t="str">
        <f t="shared" si="22"/>
        <v>yes</v>
      </c>
      <c r="K97" s="182" t="s">
        <v>709</v>
      </c>
      <c r="L97" s="117" t="str">
        <f t="shared" si="13"/>
        <v>Total</v>
      </c>
      <c r="M97" s="117" t="str">
        <f t="shared" si="14"/>
        <v>Total Oil, Gas, Mining</v>
      </c>
      <c r="N97" s="133"/>
      <c r="O97" s="133"/>
      <c r="P97" s="133"/>
      <c r="Q97" s="133"/>
      <c r="R97" s="133"/>
      <c r="S97" s="132"/>
      <c r="T97" s="134"/>
      <c r="U97" s="132"/>
      <c r="V97" s="132"/>
      <c r="W97" s="135">
        <f>W98+W101</f>
        <v>25121419965.22678</v>
      </c>
      <c r="X97" s="136" t="s">
        <v>775</v>
      </c>
      <c r="Y97" s="132" t="s">
        <v>731</v>
      </c>
      <c r="Z97" s="132" t="s">
        <v>732</v>
      </c>
      <c r="AA97" s="231">
        <v>14160319906.428267</v>
      </c>
      <c r="AB97" s="231">
        <v>1706355915.317559</v>
      </c>
      <c r="AC97" s="226"/>
      <c r="AD97" s="226"/>
      <c r="AE97" s="226"/>
      <c r="AF97" s="224">
        <f>AA97/W97</f>
        <v>0.5636751396230415</v>
      </c>
      <c r="AG97" s="132" t="s">
        <v>743</v>
      </c>
      <c r="AH97" s="140">
        <v>0.80300000000000005</v>
      </c>
      <c r="AI97" s="132" t="s">
        <v>667</v>
      </c>
      <c r="AJ97" s="132" t="s">
        <v>776</v>
      </c>
      <c r="AK97" s="135">
        <f>AK98+AK101</f>
        <v>12525823317.62826</v>
      </c>
      <c r="AL97" s="132"/>
      <c r="AM97" s="132"/>
      <c r="AN97" s="228">
        <v>30</v>
      </c>
      <c r="AO97" s="132" t="s">
        <v>777</v>
      </c>
      <c r="AP97" s="132">
        <v>30</v>
      </c>
      <c r="AQ97" s="136" t="s">
        <v>73</v>
      </c>
      <c r="AR97" s="141">
        <v>41888</v>
      </c>
      <c r="AS97" s="132" t="s">
        <v>607</v>
      </c>
      <c r="AT97" s="142" t="s">
        <v>74</v>
      </c>
      <c r="AU97" s="229" t="s">
        <v>778</v>
      </c>
      <c r="AV97" s="143" t="s">
        <v>779</v>
      </c>
      <c r="AW97" s="117">
        <f>VLOOKUP($D97,'WB Data'!$C$3:$M$578,2,FALSE)</f>
        <v>44291490420.502617</v>
      </c>
      <c r="AX97" s="117">
        <f>VLOOKUP($D97,'WB Data'!$C$3:$M$578,3,FALSE)</f>
        <v>8947243</v>
      </c>
      <c r="AY97" s="847">
        <f t="shared" si="16"/>
        <v>0.31970746010103618</v>
      </c>
      <c r="AZ97" s="117">
        <f>VLOOKUP($D97,'WB Data'!$C$3:$M$578,4,FALSE)/100</f>
        <v>0.40889850146763479</v>
      </c>
      <c r="BA97" s="117">
        <f t="shared" si="17"/>
        <v>18110724060.71162</v>
      </c>
      <c r="BB97" s="129">
        <f>IFERROR(VLOOKUP($D97,'EITI Revenues'!$C$2:$G$224,5,FALSE),"..")</f>
        <v>14160319906.428267</v>
      </c>
      <c r="BC97" s="846">
        <f t="shared" si="18"/>
        <v>0.78187486369729764</v>
      </c>
      <c r="BD97" s="129">
        <f>VLOOKUP($D97,'WB Data 2'!$C$2:$K$545,6,FALSE)</f>
        <v>19642744326.633522</v>
      </c>
      <c r="BE97" s="129">
        <f>IFERROR(VLOOKUP($D97,UNCTAD!$C$5:$V$529,4,FALSE),"..")</f>
        <v>22875714000</v>
      </c>
      <c r="BF97" s="846">
        <f t="shared" si="19"/>
        <v>0.85867240369561892</v>
      </c>
      <c r="BG97" s="117">
        <f>VLOOKUP($D97,'WB Data'!$C$3:$M$578,5,FALSE)</f>
        <v>231770000</v>
      </c>
      <c r="BH97" s="129">
        <f>IFERROR($BB97/$BG97,"..")</f>
        <v>61.096431403668582</v>
      </c>
      <c r="BI97" s="117">
        <f>IFERROR(VLOOKUP($D97,'WB Data'!$C$3:$M$578,7,FALSE)/100,"..")</f>
        <v>3.2243099999999997E-2</v>
      </c>
      <c r="BJ97" s="117">
        <f>IFERROR($BI97*$AW97,"..")</f>
        <v>1428094954.7773077</v>
      </c>
      <c r="BK97" s="846">
        <f>IFERROR($BB97/$BJ97,"..")</f>
        <v>9.9155310779992067</v>
      </c>
      <c r="BL97" s="117">
        <f>IFERROR(VLOOKUP($D97,'WB Data'!$C$3:$M$578,7,FALSE)/100,"..")</f>
        <v>3.2243099999999997E-2</v>
      </c>
      <c r="BM97" s="117">
        <f>IFERROR($AW97*$BL97,"..")</f>
        <v>1428094954.7773077</v>
      </c>
      <c r="BN97" s="846">
        <f>IFERROR($BB97/$BM97,"..")</f>
        <v>9.9155310779992067</v>
      </c>
      <c r="BO97" s="801">
        <f t="shared" si="15"/>
        <v>29</v>
      </c>
      <c r="BP97" s="117">
        <f>VLOOKUP($D97,'WB Data'!$C$3:$M$578,9,FALSE)</f>
        <v>10.9</v>
      </c>
      <c r="BQ97" s="117">
        <f>VLOOKUP($D97,'WB Data'!$C$3:$M$578,10,FALSE)</f>
        <v>70.292658536585378</v>
      </c>
      <c r="BR97" s="117">
        <f>VLOOKUP($D97,'WB Data'!$C$3:$M$578,11,FALSE)</f>
        <v>35.4</v>
      </c>
      <c r="BS97" s="129">
        <f>IFERROR(VLOOKUP($D97,'WB Data 2'!$C$2:$K$545,9,FALSE),"..")</f>
        <v>85.518900000000002</v>
      </c>
      <c r="BT97" s="129">
        <f>_xlfn.IFNA(VLOOKUP($C97,RGI!$A$2:$C$43,2,FALSE),"..")</f>
        <v>75.099999999999994</v>
      </c>
      <c r="BU97" s="129">
        <f>_xlfn.IFNA(VLOOKUP($C97,RGI!$A$2:$C$43,3,FALSE),"..")</f>
        <v>48.092853423547197</v>
      </c>
      <c r="BV97" s="129">
        <f>VLOOKUP($D97,WGI!$C$2:$O$478,7,FALSE)</f>
        <v>-1.2105021934254301</v>
      </c>
      <c r="BW97" s="129">
        <f>VLOOKUP($D97,WGI!$C$2:$O$478,4,FALSE)</f>
        <v>-0.29472612189219599</v>
      </c>
      <c r="BX97" s="129">
        <f>VLOOKUP($D97,WGI!$C$2:$O$478,3,FALSE)</f>
        <v>-0.62995240665947005</v>
      </c>
      <c r="BY97" s="129">
        <f>VLOOKUP($D97,WGI!$C$2:$O$478,5,FALSE)</f>
        <v>-0.29879621133696899</v>
      </c>
      <c r="BZ97" s="129">
        <f>VLOOKUP($D97,WGI!$C$2:$O$478,2,FALSE)</f>
        <v>-1.1100440172816699</v>
      </c>
      <c r="CB97" s="129"/>
    </row>
    <row r="98" spans="1:80" s="120" customFormat="1" ht="15" customHeight="1">
      <c r="A98" s="145" t="s">
        <v>72</v>
      </c>
      <c r="B98" s="117">
        <v>2009</v>
      </c>
      <c r="C98" s="117" t="s">
        <v>53</v>
      </c>
      <c r="D98" s="117" t="s">
        <v>3620</v>
      </c>
      <c r="E98" s="174" t="s">
        <v>774</v>
      </c>
      <c r="F98" s="117"/>
      <c r="G98" s="117" t="s">
        <v>55</v>
      </c>
      <c r="H98" s="117" t="str">
        <f t="shared" si="20"/>
        <v>no</v>
      </c>
      <c r="I98" s="117" t="str">
        <f t="shared" si="21"/>
        <v>yes</v>
      </c>
      <c r="J98" s="117" t="str">
        <f t="shared" si="22"/>
        <v>yes</v>
      </c>
      <c r="K98" s="176" t="s">
        <v>640</v>
      </c>
      <c r="L98" s="117" t="str">
        <f t="shared" si="13"/>
        <v>Total</v>
      </c>
      <c r="M98" s="117" t="str">
        <f t="shared" si="14"/>
        <v>Total Oil, Gas</v>
      </c>
      <c r="N98" s="118"/>
      <c r="O98" s="118"/>
      <c r="P98" s="118"/>
      <c r="Q98" s="118"/>
      <c r="R98" s="118"/>
      <c r="S98" s="117"/>
      <c r="T98" s="119"/>
      <c r="U98" s="117"/>
      <c r="V98" s="117"/>
      <c r="W98" s="89">
        <f>SUM(W99:W100)</f>
        <v>25111003200</v>
      </c>
      <c r="X98" s="117"/>
      <c r="Y98" s="117"/>
      <c r="Z98" s="117"/>
      <c r="AA98" s="179"/>
      <c r="AB98" s="179"/>
      <c r="AC98" s="212"/>
      <c r="AD98" s="212"/>
      <c r="AE98" s="212"/>
      <c r="AF98" s="213"/>
      <c r="AG98" s="117"/>
      <c r="AH98" s="124"/>
      <c r="AI98" s="117"/>
      <c r="AJ98" s="117" t="s">
        <v>780</v>
      </c>
      <c r="AK98" s="89">
        <f>SUM(AK99:AK100)</f>
        <v>12524581772.5788</v>
      </c>
      <c r="AL98" s="117"/>
      <c r="AM98" s="117"/>
      <c r="AN98" s="214"/>
      <c r="AO98" s="117"/>
      <c r="AP98" s="117"/>
      <c r="AR98" s="126"/>
      <c r="AS98" s="117"/>
      <c r="AT98" s="127"/>
      <c r="AU98" s="215"/>
      <c r="AV98" s="128"/>
      <c r="AW98" s="117">
        <f>VLOOKUP($D98,'WB Data'!$C$3:$M$578,2,FALSE)</f>
        <v>44291490420.502617</v>
      </c>
      <c r="AX98" s="117">
        <f>VLOOKUP($D98,'WB Data'!$C$3:$M$578,3,FALSE)</f>
        <v>8947243</v>
      </c>
      <c r="AY98" s="847">
        <f t="shared" si="16"/>
        <v>0.31970746010103618</v>
      </c>
      <c r="AZ98" s="117">
        <f>VLOOKUP($D98,'WB Data'!$C$3:$M$578,4,FALSE)/100</f>
        <v>0.40889850146763479</v>
      </c>
      <c r="BA98" s="117">
        <f t="shared" si="17"/>
        <v>18110724060.71162</v>
      </c>
      <c r="BB98" s="129">
        <f>IFERROR(VLOOKUP($D98,'EITI Revenues'!$C$2:$G$224,5,FALSE),"..")</f>
        <v>14160319906.428267</v>
      </c>
      <c r="BC98" s="846">
        <f t="shared" si="18"/>
        <v>0.78187486369729764</v>
      </c>
      <c r="BD98" s="129">
        <f>VLOOKUP($D98,'WB Data 2'!$C$2:$K$545,6,FALSE)</f>
        <v>19642744326.633522</v>
      </c>
      <c r="BE98" s="129">
        <f>IFERROR(VLOOKUP($D98,UNCTAD!$C$5:$V$529,4,FALSE),"..")</f>
        <v>22875714000</v>
      </c>
      <c r="BF98" s="846">
        <f t="shared" si="19"/>
        <v>0.85867240369561892</v>
      </c>
      <c r="BG98" s="117">
        <f>VLOOKUP($D98,'WB Data'!$C$3:$M$578,5,FALSE)</f>
        <v>231770000</v>
      </c>
      <c r="BH98" s="129">
        <f>IFERROR($BB98/$BG98,"..")</f>
        <v>61.096431403668582</v>
      </c>
      <c r="BI98" s="117">
        <f>IFERROR(VLOOKUP($D98,'WB Data'!$C$3:$M$578,7,FALSE)/100,"..")</f>
        <v>3.2243099999999997E-2</v>
      </c>
      <c r="BJ98" s="117">
        <f>IFERROR($BI98*$AW98,"..")</f>
        <v>1428094954.7773077</v>
      </c>
      <c r="BK98" s="846">
        <f>IFERROR($BB98/$BJ98,"..")</f>
        <v>9.9155310779992067</v>
      </c>
      <c r="BL98" s="117">
        <f>IFERROR(VLOOKUP($D98,'WB Data'!$C$3:$M$578,7,FALSE)/100,"..")</f>
        <v>3.2243099999999997E-2</v>
      </c>
      <c r="BM98" s="117">
        <f>IFERROR($AW98*$BL98,"..")</f>
        <v>1428094954.7773077</v>
      </c>
      <c r="BN98" s="846">
        <f>IFERROR($BB98/$BM98,"..")</f>
        <v>9.9155310779992067</v>
      </c>
      <c r="BO98" s="801">
        <f t="shared" si="15"/>
        <v>29</v>
      </c>
      <c r="BP98" s="117">
        <f>VLOOKUP($D98,'WB Data'!$C$3:$M$578,9,FALSE)</f>
        <v>10.9</v>
      </c>
      <c r="BQ98" s="117">
        <f>VLOOKUP($D98,'WB Data'!$C$3:$M$578,10,FALSE)</f>
        <v>70.292658536585378</v>
      </c>
      <c r="BR98" s="117">
        <f>VLOOKUP($D98,'WB Data'!$C$3:$M$578,11,FALSE)</f>
        <v>35.4</v>
      </c>
      <c r="BS98" s="129">
        <f>IFERROR(VLOOKUP($D98,'WB Data 2'!$C$2:$K$545,9,FALSE),"..")</f>
        <v>85.518900000000002</v>
      </c>
      <c r="BT98" s="129">
        <f>_xlfn.IFNA(VLOOKUP($C98,RGI!$A$2:$C$43,2,FALSE),"..")</f>
        <v>75.099999999999994</v>
      </c>
      <c r="BU98" s="129">
        <f>_xlfn.IFNA(VLOOKUP($C98,RGI!$A$2:$C$43,3,FALSE),"..")</f>
        <v>48.092853423547197</v>
      </c>
      <c r="BV98" s="129">
        <f>VLOOKUP($D98,WGI!$C$2:$O$478,7,FALSE)</f>
        <v>-1.2105021934254301</v>
      </c>
      <c r="BW98" s="129">
        <f>VLOOKUP($D98,WGI!$C$2:$O$478,4,FALSE)</f>
        <v>-0.29472612189219599</v>
      </c>
      <c r="BX98" s="129">
        <f>VLOOKUP($D98,WGI!$C$2:$O$478,3,FALSE)</f>
        <v>-0.62995240665947005</v>
      </c>
      <c r="BY98" s="129">
        <f>VLOOKUP($D98,WGI!$C$2:$O$478,5,FALSE)</f>
        <v>-0.29879621133696899</v>
      </c>
      <c r="BZ98" s="129">
        <f>VLOOKUP($D98,WGI!$C$2:$O$478,2,FALSE)</f>
        <v>-1.1100440172816699</v>
      </c>
      <c r="CB98" s="129"/>
    </row>
    <row r="99" spans="1:80" s="120" customFormat="1" ht="15" customHeight="1">
      <c r="A99" s="145" t="s">
        <v>72</v>
      </c>
      <c r="B99" s="117">
        <v>2009</v>
      </c>
      <c r="C99" s="117" t="s">
        <v>53</v>
      </c>
      <c r="D99" s="117" t="s">
        <v>3620</v>
      </c>
      <c r="E99" s="174" t="s">
        <v>774</v>
      </c>
      <c r="F99" s="117"/>
      <c r="G99" s="117" t="s">
        <v>561</v>
      </c>
      <c r="H99" s="117" t="str">
        <f t="shared" si="20"/>
        <v>no</v>
      </c>
      <c r="I99" s="117" t="str">
        <f t="shared" si="21"/>
        <v>yes</v>
      </c>
      <c r="J99" s="117" t="str">
        <f t="shared" si="22"/>
        <v>no</v>
      </c>
      <c r="K99" s="176" t="s">
        <v>561</v>
      </c>
      <c r="L99" s="117" t="str">
        <f t="shared" si="13"/>
        <v>detailed</v>
      </c>
      <c r="M99" s="117" t="str">
        <f t="shared" si="14"/>
        <v>detailed Gas</v>
      </c>
      <c r="N99" s="118">
        <v>14800000000</v>
      </c>
      <c r="O99" s="118">
        <f>N99*0.0066</f>
        <v>97680000</v>
      </c>
      <c r="P99" s="118"/>
      <c r="Q99" s="118"/>
      <c r="R99" s="118"/>
      <c r="S99" s="117" t="s">
        <v>642</v>
      </c>
      <c r="T99" s="119">
        <v>0.14422800000000002</v>
      </c>
      <c r="U99" s="117" t="s">
        <v>643</v>
      </c>
      <c r="V99" s="117" t="s">
        <v>738</v>
      </c>
      <c r="W99" s="89">
        <f>N99*T99</f>
        <v>2134574400.0000002</v>
      </c>
      <c r="X99" s="117"/>
      <c r="Y99" s="117"/>
      <c r="Z99" s="117"/>
      <c r="AA99" s="211">
        <f>W99/W100</f>
        <v>9.2902792621976149E-2</v>
      </c>
      <c r="AB99" s="179"/>
      <c r="AC99" s="212"/>
      <c r="AD99" s="212"/>
      <c r="AE99" s="212"/>
      <c r="AF99" s="213"/>
      <c r="AG99" s="117"/>
      <c r="AH99" s="124"/>
      <c r="AI99" s="117"/>
      <c r="AJ99" s="117" t="s">
        <v>781</v>
      </c>
      <c r="AK99" s="89">
        <f>3938027100*T99</f>
        <v>567973772.57880008</v>
      </c>
      <c r="AL99" s="117"/>
      <c r="AM99" s="117"/>
      <c r="AN99" s="214"/>
      <c r="AO99" s="117"/>
      <c r="AP99" s="117"/>
      <c r="AQ99" s="125"/>
      <c r="AR99" s="126"/>
      <c r="AS99" s="117"/>
      <c r="AT99" s="127"/>
      <c r="AU99" s="215"/>
      <c r="AV99" s="128"/>
      <c r="AW99" s="117">
        <f>VLOOKUP($D99,'WB Data'!$C$3:$M$578,2,FALSE)</f>
        <v>44291490420.502617</v>
      </c>
      <c r="AX99" s="117">
        <f>VLOOKUP($D99,'WB Data'!$C$3:$M$578,3,FALSE)</f>
        <v>8947243</v>
      </c>
      <c r="AY99" s="847">
        <f t="shared" si="16"/>
        <v>0.31970746010103618</v>
      </c>
      <c r="AZ99" s="117">
        <f>VLOOKUP($D99,'WB Data'!$C$3:$M$578,4,FALSE)/100</f>
        <v>0.40889850146763479</v>
      </c>
      <c r="BA99" s="117">
        <f t="shared" si="17"/>
        <v>18110724060.71162</v>
      </c>
      <c r="BB99" s="129">
        <f>IFERROR(VLOOKUP($D99,'EITI Revenues'!$C$2:$G$224,5,FALSE),"..")</f>
        <v>14160319906.428267</v>
      </c>
      <c r="BC99" s="846">
        <f t="shared" si="18"/>
        <v>0.78187486369729764</v>
      </c>
      <c r="BD99" s="129">
        <f>VLOOKUP($D99,'WB Data 2'!$C$2:$K$545,6,FALSE)</f>
        <v>19642744326.633522</v>
      </c>
      <c r="BE99" s="129">
        <f>IFERROR(VLOOKUP($D99,UNCTAD!$C$5:$V$529,4,FALSE),"..")</f>
        <v>22875714000</v>
      </c>
      <c r="BF99" s="846">
        <f t="shared" si="19"/>
        <v>0.85867240369561892</v>
      </c>
      <c r="BG99" s="117">
        <f>VLOOKUP($D99,'WB Data'!$C$3:$M$578,5,FALSE)</f>
        <v>231770000</v>
      </c>
      <c r="BH99" s="129">
        <f>IFERROR($BB99/$BG99,"..")</f>
        <v>61.096431403668582</v>
      </c>
      <c r="BI99" s="117">
        <f>IFERROR(VLOOKUP($D99,'WB Data'!$C$3:$M$578,7,FALSE)/100,"..")</f>
        <v>3.2243099999999997E-2</v>
      </c>
      <c r="BJ99" s="117">
        <f>IFERROR($BI99*$AW99,"..")</f>
        <v>1428094954.7773077</v>
      </c>
      <c r="BK99" s="846">
        <f>IFERROR($BB99/$BJ99,"..")</f>
        <v>9.9155310779992067</v>
      </c>
      <c r="BL99" s="117">
        <f>IFERROR(VLOOKUP($D99,'WB Data'!$C$3:$M$578,7,FALSE)/100,"..")</f>
        <v>3.2243099999999997E-2</v>
      </c>
      <c r="BM99" s="117">
        <f>IFERROR($AW99*$BL99,"..")</f>
        <v>1428094954.7773077</v>
      </c>
      <c r="BN99" s="846">
        <f>IFERROR($BB99/$BM99,"..")</f>
        <v>9.9155310779992067</v>
      </c>
      <c r="BO99" s="801">
        <f t="shared" si="15"/>
        <v>29</v>
      </c>
      <c r="BP99" s="117">
        <f>VLOOKUP($D99,'WB Data'!$C$3:$M$578,9,FALSE)</f>
        <v>10.9</v>
      </c>
      <c r="BQ99" s="117">
        <f>VLOOKUP($D99,'WB Data'!$C$3:$M$578,10,FALSE)</f>
        <v>70.292658536585378</v>
      </c>
      <c r="BR99" s="117">
        <f>VLOOKUP($D99,'WB Data'!$C$3:$M$578,11,FALSE)</f>
        <v>35.4</v>
      </c>
      <c r="BS99" s="129">
        <f>IFERROR(VLOOKUP($D99,'WB Data 2'!$C$2:$K$545,9,FALSE),"..")</f>
        <v>85.518900000000002</v>
      </c>
      <c r="BT99" s="129">
        <f>_xlfn.IFNA(VLOOKUP($C99,RGI!$A$2:$C$43,2,FALSE),"..")</f>
        <v>75.099999999999994</v>
      </c>
      <c r="BU99" s="129">
        <f>_xlfn.IFNA(VLOOKUP($C99,RGI!$A$2:$C$43,3,FALSE),"..")</f>
        <v>48.092853423547197</v>
      </c>
      <c r="BV99" s="129">
        <f>VLOOKUP($D99,WGI!$C$2:$O$478,7,FALSE)</f>
        <v>-1.2105021934254301</v>
      </c>
      <c r="BW99" s="129">
        <f>VLOOKUP($D99,WGI!$C$2:$O$478,4,FALSE)</f>
        <v>-0.29472612189219599</v>
      </c>
      <c r="BX99" s="129">
        <f>VLOOKUP($D99,WGI!$C$2:$O$478,3,FALSE)</f>
        <v>-0.62995240665947005</v>
      </c>
      <c r="BY99" s="129">
        <f>VLOOKUP($D99,WGI!$C$2:$O$478,5,FALSE)</f>
        <v>-0.29879621133696899</v>
      </c>
      <c r="BZ99" s="129">
        <f>VLOOKUP($D99,WGI!$C$2:$O$478,2,FALSE)</f>
        <v>-1.1100440172816699</v>
      </c>
      <c r="CB99" s="129"/>
    </row>
    <row r="100" spans="1:80" s="120" customFormat="1" ht="15" customHeight="1">
      <c r="A100" s="145" t="s">
        <v>72</v>
      </c>
      <c r="B100" s="117">
        <v>2009</v>
      </c>
      <c r="C100" s="117" t="s">
        <v>53</v>
      </c>
      <c r="D100" s="117" t="s">
        <v>3620</v>
      </c>
      <c r="E100" s="174" t="s">
        <v>774</v>
      </c>
      <c r="F100" s="117"/>
      <c r="G100" s="117" t="s">
        <v>103</v>
      </c>
      <c r="H100" s="117" t="str">
        <f t="shared" si="20"/>
        <v>no</v>
      </c>
      <c r="I100" s="117" t="str">
        <f t="shared" si="21"/>
        <v>no</v>
      </c>
      <c r="J100" s="117" t="str">
        <f t="shared" si="22"/>
        <v>yes</v>
      </c>
      <c r="K100" s="176" t="s">
        <v>103</v>
      </c>
      <c r="L100" s="117" t="str">
        <f t="shared" si="13"/>
        <v>detailed</v>
      </c>
      <c r="M100" s="117" t="str">
        <f t="shared" si="14"/>
        <v>detailed Oil</v>
      </c>
      <c r="N100" s="118">
        <v>370110000</v>
      </c>
      <c r="O100" s="211">
        <f>O99/N100</f>
        <v>0.26392153684039882</v>
      </c>
      <c r="P100" s="118"/>
      <c r="Q100" s="118"/>
      <c r="R100" s="118"/>
      <c r="S100" s="117" t="s">
        <v>646</v>
      </c>
      <c r="T100" s="119">
        <v>62.08</v>
      </c>
      <c r="U100" s="117" t="s">
        <v>673</v>
      </c>
      <c r="V100" s="117" t="s">
        <v>740</v>
      </c>
      <c r="W100" s="89">
        <f>N100*T100</f>
        <v>22976428800</v>
      </c>
      <c r="X100" s="117"/>
      <c r="Y100" s="117"/>
      <c r="Z100" s="117"/>
      <c r="AA100" s="179"/>
      <c r="AB100" s="179"/>
      <c r="AC100" s="212"/>
      <c r="AD100" s="212"/>
      <c r="AE100" s="212"/>
      <c r="AF100" s="213"/>
      <c r="AG100" s="117"/>
      <c r="AH100" s="124"/>
      <c r="AI100" s="117"/>
      <c r="AJ100" s="117" t="s">
        <v>782</v>
      </c>
      <c r="AK100" s="89">
        <f>192600000*T100</f>
        <v>11956608000</v>
      </c>
      <c r="AL100" s="117"/>
      <c r="AM100" s="117"/>
      <c r="AN100" s="214"/>
      <c r="AO100" s="117"/>
      <c r="AP100" s="117"/>
      <c r="AQ100" s="125"/>
      <c r="AR100" s="126"/>
      <c r="AS100" s="117"/>
      <c r="AT100" s="127"/>
      <c r="AU100" s="215"/>
      <c r="AV100" s="128"/>
      <c r="AW100" s="117">
        <f>VLOOKUP($D100,'WB Data'!$C$3:$M$578,2,FALSE)</f>
        <v>44291490420.502617</v>
      </c>
      <c r="AX100" s="117">
        <f>VLOOKUP($D100,'WB Data'!$C$3:$M$578,3,FALSE)</f>
        <v>8947243</v>
      </c>
      <c r="AY100" s="847">
        <f t="shared" si="16"/>
        <v>0.31970746010103618</v>
      </c>
      <c r="AZ100" s="117">
        <f>VLOOKUP($D100,'WB Data'!$C$3:$M$578,4,FALSE)/100</f>
        <v>0.40889850146763479</v>
      </c>
      <c r="BA100" s="117">
        <f t="shared" si="17"/>
        <v>18110724060.71162</v>
      </c>
      <c r="BB100" s="129">
        <f>IFERROR(VLOOKUP($D100,'EITI Revenues'!$C$2:$G$224,5,FALSE),"..")</f>
        <v>14160319906.428267</v>
      </c>
      <c r="BC100" s="846">
        <f t="shared" si="18"/>
        <v>0.78187486369729764</v>
      </c>
      <c r="BD100" s="129">
        <f>VLOOKUP($D100,'WB Data 2'!$C$2:$K$545,6,FALSE)</f>
        <v>19642744326.633522</v>
      </c>
      <c r="BE100" s="129">
        <f>IFERROR(VLOOKUP($D100,UNCTAD!$C$5:$V$529,4,FALSE),"..")</f>
        <v>22875714000</v>
      </c>
      <c r="BF100" s="846">
        <f t="shared" si="19"/>
        <v>0.85867240369561892</v>
      </c>
      <c r="BG100" s="117">
        <f>VLOOKUP($D100,'WB Data'!$C$3:$M$578,5,FALSE)</f>
        <v>231770000</v>
      </c>
      <c r="BH100" s="129">
        <f>IFERROR($BB100/$BG100,"..")</f>
        <v>61.096431403668582</v>
      </c>
      <c r="BI100" s="117">
        <f>IFERROR(VLOOKUP($D100,'WB Data'!$C$3:$M$578,7,FALSE)/100,"..")</f>
        <v>3.2243099999999997E-2</v>
      </c>
      <c r="BJ100" s="117">
        <f>IFERROR($BI100*$AW100,"..")</f>
        <v>1428094954.7773077</v>
      </c>
      <c r="BK100" s="846">
        <f>IFERROR($BB100/$BJ100,"..")</f>
        <v>9.9155310779992067</v>
      </c>
      <c r="BL100" s="117">
        <f>IFERROR(VLOOKUP($D100,'WB Data'!$C$3:$M$578,7,FALSE)/100,"..")</f>
        <v>3.2243099999999997E-2</v>
      </c>
      <c r="BM100" s="117">
        <f>IFERROR($AW100*$BL100,"..")</f>
        <v>1428094954.7773077</v>
      </c>
      <c r="BN100" s="846">
        <f>IFERROR($BB100/$BM100,"..")</f>
        <v>9.9155310779992067</v>
      </c>
      <c r="BO100" s="801">
        <f t="shared" si="15"/>
        <v>29</v>
      </c>
      <c r="BP100" s="117">
        <f>VLOOKUP($D100,'WB Data'!$C$3:$M$578,9,FALSE)</f>
        <v>10.9</v>
      </c>
      <c r="BQ100" s="117">
        <f>VLOOKUP($D100,'WB Data'!$C$3:$M$578,10,FALSE)</f>
        <v>70.292658536585378</v>
      </c>
      <c r="BR100" s="117">
        <f>VLOOKUP($D100,'WB Data'!$C$3:$M$578,11,FALSE)</f>
        <v>35.4</v>
      </c>
      <c r="BS100" s="129">
        <f>IFERROR(VLOOKUP($D100,'WB Data 2'!$C$2:$K$545,9,FALSE),"..")</f>
        <v>85.518900000000002</v>
      </c>
      <c r="BT100" s="129">
        <f>_xlfn.IFNA(VLOOKUP($C100,RGI!$A$2:$C$43,2,FALSE),"..")</f>
        <v>75.099999999999994</v>
      </c>
      <c r="BU100" s="129">
        <f>_xlfn.IFNA(VLOOKUP($C100,RGI!$A$2:$C$43,3,FALSE),"..")</f>
        <v>48.092853423547197</v>
      </c>
      <c r="BV100" s="129">
        <f>VLOOKUP($D100,WGI!$C$2:$O$478,7,FALSE)</f>
        <v>-1.2105021934254301</v>
      </c>
      <c r="BW100" s="129">
        <f>VLOOKUP($D100,WGI!$C$2:$O$478,4,FALSE)</f>
        <v>-0.29472612189219599</v>
      </c>
      <c r="BX100" s="129">
        <f>VLOOKUP($D100,WGI!$C$2:$O$478,3,FALSE)</f>
        <v>-0.62995240665947005</v>
      </c>
      <c r="BY100" s="129">
        <f>VLOOKUP($D100,WGI!$C$2:$O$478,5,FALSE)</f>
        <v>-0.29879621133696899</v>
      </c>
      <c r="BZ100" s="129">
        <f>VLOOKUP($D100,WGI!$C$2:$O$478,2,FALSE)</f>
        <v>-1.1100440172816699</v>
      </c>
      <c r="CB100" s="129"/>
    </row>
    <row r="101" spans="1:80" s="120" customFormat="1" ht="15" customHeight="1">
      <c r="A101" s="145" t="s">
        <v>72</v>
      </c>
      <c r="B101" s="117">
        <v>2009</v>
      </c>
      <c r="C101" s="117" t="s">
        <v>53</v>
      </c>
      <c r="D101" s="117" t="s">
        <v>3620</v>
      </c>
      <c r="E101" s="174" t="s">
        <v>774</v>
      </c>
      <c r="F101" s="117"/>
      <c r="G101" s="117" t="s">
        <v>24</v>
      </c>
      <c r="H101" s="117" t="str">
        <f t="shared" si="20"/>
        <v>yes</v>
      </c>
      <c r="I101" s="117" t="str">
        <f t="shared" si="21"/>
        <v>no</v>
      </c>
      <c r="J101" s="117" t="str">
        <f t="shared" si="22"/>
        <v>no</v>
      </c>
      <c r="K101" s="176" t="s">
        <v>600</v>
      </c>
      <c r="L101" s="117" t="str">
        <f t="shared" si="13"/>
        <v>Total</v>
      </c>
      <c r="M101" s="117" t="str">
        <f t="shared" si="14"/>
        <v>Total Mining</v>
      </c>
      <c r="N101" s="118"/>
      <c r="O101" s="118"/>
      <c r="P101" s="118"/>
      <c r="Q101" s="118"/>
      <c r="R101" s="118"/>
      <c r="S101" s="117"/>
      <c r="T101" s="119"/>
      <c r="U101" s="117"/>
      <c r="V101" s="117"/>
      <c r="W101" s="89">
        <f>SUM(W102:W102)</f>
        <v>10416765.226779317</v>
      </c>
      <c r="X101" s="117"/>
      <c r="Y101" s="117"/>
      <c r="Z101" s="117"/>
      <c r="AA101" s="179"/>
      <c r="AB101" s="179"/>
      <c r="AC101" s="212"/>
      <c r="AD101" s="212"/>
      <c r="AE101" s="212"/>
      <c r="AF101" s="213"/>
      <c r="AG101" s="117"/>
      <c r="AH101" s="124"/>
      <c r="AI101" s="117"/>
      <c r="AJ101" s="117" t="s">
        <v>783</v>
      </c>
      <c r="AK101" s="89">
        <f>SUM(AK102:AK102)</f>
        <v>1241545.049459148</v>
      </c>
      <c r="AL101" s="117"/>
      <c r="AM101" s="117"/>
      <c r="AN101" s="214"/>
      <c r="AO101" s="117"/>
      <c r="AP101" s="117"/>
      <c r="AQ101" s="232"/>
      <c r="AR101" s="126"/>
      <c r="AS101" s="117"/>
      <c r="AT101" s="127"/>
      <c r="AU101" s="215"/>
      <c r="AV101" s="128"/>
      <c r="AW101" s="117">
        <f>VLOOKUP($D101,'WB Data'!$C$3:$M$578,2,FALSE)</f>
        <v>44291490420.502617</v>
      </c>
      <c r="AX101" s="117">
        <f>VLOOKUP($D101,'WB Data'!$C$3:$M$578,3,FALSE)</f>
        <v>8947243</v>
      </c>
      <c r="AY101" s="847">
        <f t="shared" si="16"/>
        <v>0.31970746010103618</v>
      </c>
      <c r="AZ101" s="117">
        <f>VLOOKUP($D101,'WB Data'!$C$3:$M$578,4,FALSE)/100</f>
        <v>0.40889850146763479</v>
      </c>
      <c r="BA101" s="117">
        <f t="shared" si="17"/>
        <v>18110724060.71162</v>
      </c>
      <c r="BB101" s="129">
        <f>IFERROR(VLOOKUP($D101,'EITI Revenues'!$C$2:$G$224,5,FALSE),"..")</f>
        <v>14160319906.428267</v>
      </c>
      <c r="BC101" s="846">
        <f t="shared" si="18"/>
        <v>0.78187486369729764</v>
      </c>
      <c r="BD101" s="129">
        <f>VLOOKUP($D101,'WB Data 2'!$C$2:$K$545,6,FALSE)</f>
        <v>19642744326.633522</v>
      </c>
      <c r="BE101" s="129">
        <f>IFERROR(VLOOKUP($D101,UNCTAD!$C$5:$V$529,4,FALSE),"..")</f>
        <v>22875714000</v>
      </c>
      <c r="BF101" s="846">
        <f t="shared" si="19"/>
        <v>0.85867240369561892</v>
      </c>
      <c r="BG101" s="117">
        <f>VLOOKUP($D101,'WB Data'!$C$3:$M$578,5,FALSE)</f>
        <v>231770000</v>
      </c>
      <c r="BH101" s="129">
        <f>IFERROR($BB101/$BG101,"..")</f>
        <v>61.096431403668582</v>
      </c>
      <c r="BI101" s="117">
        <f>IFERROR(VLOOKUP($D101,'WB Data'!$C$3:$M$578,7,FALSE)/100,"..")</f>
        <v>3.2243099999999997E-2</v>
      </c>
      <c r="BJ101" s="117">
        <f>IFERROR($BI101*$AW101,"..")</f>
        <v>1428094954.7773077</v>
      </c>
      <c r="BK101" s="846">
        <f>IFERROR($BB101/$BJ101,"..")</f>
        <v>9.9155310779992067</v>
      </c>
      <c r="BL101" s="117">
        <f>IFERROR(VLOOKUP($D101,'WB Data'!$C$3:$M$578,7,FALSE)/100,"..")</f>
        <v>3.2243099999999997E-2</v>
      </c>
      <c r="BM101" s="117">
        <f>IFERROR($AW101*$BL101,"..")</f>
        <v>1428094954.7773077</v>
      </c>
      <c r="BN101" s="846">
        <f>IFERROR($BB101/$BM101,"..")</f>
        <v>9.9155310779992067</v>
      </c>
      <c r="BO101" s="801">
        <f t="shared" si="15"/>
        <v>29</v>
      </c>
      <c r="BP101" s="117">
        <f>VLOOKUP($D101,'WB Data'!$C$3:$M$578,9,FALSE)</f>
        <v>10.9</v>
      </c>
      <c r="BQ101" s="117">
        <f>VLOOKUP($D101,'WB Data'!$C$3:$M$578,10,FALSE)</f>
        <v>70.292658536585378</v>
      </c>
      <c r="BR101" s="117">
        <f>VLOOKUP($D101,'WB Data'!$C$3:$M$578,11,FALSE)</f>
        <v>35.4</v>
      </c>
      <c r="BS101" s="129">
        <f>IFERROR(VLOOKUP($D101,'WB Data 2'!$C$2:$K$545,9,FALSE),"..")</f>
        <v>85.518900000000002</v>
      </c>
      <c r="BT101" s="129">
        <f>_xlfn.IFNA(VLOOKUP($C101,RGI!$A$2:$C$43,2,FALSE),"..")</f>
        <v>75.099999999999994</v>
      </c>
      <c r="BU101" s="129">
        <f>_xlfn.IFNA(VLOOKUP($C101,RGI!$A$2:$C$43,3,FALSE),"..")</f>
        <v>48.092853423547197</v>
      </c>
      <c r="BV101" s="129">
        <f>VLOOKUP($D101,WGI!$C$2:$O$478,7,FALSE)</f>
        <v>-1.2105021934254301</v>
      </c>
      <c r="BW101" s="129">
        <f>VLOOKUP($D101,WGI!$C$2:$O$478,4,FALSE)</f>
        <v>-0.29472612189219599</v>
      </c>
      <c r="BX101" s="129">
        <f>VLOOKUP($D101,WGI!$C$2:$O$478,3,FALSE)</f>
        <v>-0.62995240665947005</v>
      </c>
      <c r="BY101" s="129">
        <f>VLOOKUP($D101,WGI!$C$2:$O$478,5,FALSE)</f>
        <v>-0.29879621133696899</v>
      </c>
      <c r="BZ101" s="129">
        <f>VLOOKUP($D101,WGI!$C$2:$O$478,2,FALSE)</f>
        <v>-1.1100440172816699</v>
      </c>
      <c r="CB101" s="129"/>
    </row>
    <row r="102" spans="1:80" s="120" customFormat="1" ht="15" customHeight="1">
      <c r="A102" s="145" t="s">
        <v>72</v>
      </c>
      <c r="B102" s="117">
        <v>2009</v>
      </c>
      <c r="C102" s="117" t="s">
        <v>53</v>
      </c>
      <c r="D102" s="117" t="s">
        <v>3620</v>
      </c>
      <c r="E102" s="174" t="s">
        <v>774</v>
      </c>
      <c r="F102" s="117"/>
      <c r="G102" s="117" t="s">
        <v>24</v>
      </c>
      <c r="H102" s="117" t="str">
        <f t="shared" si="20"/>
        <v>yes</v>
      </c>
      <c r="I102" s="117" t="str">
        <f t="shared" si="21"/>
        <v>no</v>
      </c>
      <c r="J102" s="117" t="str">
        <f t="shared" si="22"/>
        <v>no</v>
      </c>
      <c r="K102" s="176" t="s">
        <v>784</v>
      </c>
      <c r="L102" s="117" t="str">
        <f t="shared" si="13"/>
        <v>detailed</v>
      </c>
      <c r="M102" s="117" t="str">
        <f t="shared" si="14"/>
        <v>detailed Mining</v>
      </c>
      <c r="N102" s="118">
        <f>333*32.150743126506</f>
        <v>10706.197461126498</v>
      </c>
      <c r="O102" s="118"/>
      <c r="P102" s="118"/>
      <c r="Q102" s="118"/>
      <c r="R102" s="118"/>
      <c r="S102" s="117" t="s">
        <v>785</v>
      </c>
      <c r="T102" s="119">
        <v>972.96591666666995</v>
      </c>
      <c r="U102" s="117" t="s">
        <v>786</v>
      </c>
      <c r="V102" s="233" t="s">
        <v>787</v>
      </c>
      <c r="W102" s="89">
        <f>N102*T102</f>
        <v>10416765.226779317</v>
      </c>
      <c r="X102" s="117"/>
      <c r="Y102" s="117"/>
      <c r="Z102" s="117"/>
      <c r="AA102" s="179"/>
      <c r="AB102" s="179"/>
      <c r="AC102" s="212"/>
      <c r="AD102" s="212"/>
      <c r="AE102" s="212"/>
      <c r="AF102" s="213"/>
      <c r="AG102" s="117"/>
      <c r="AH102" s="124"/>
      <c r="AI102" s="117"/>
      <c r="AJ102" s="117" t="s">
        <v>788</v>
      </c>
      <c r="AK102" s="89">
        <v>1241545.049459148</v>
      </c>
      <c r="AL102" s="117"/>
      <c r="AM102" s="117"/>
      <c r="AN102" s="214"/>
      <c r="AO102" s="117"/>
      <c r="AP102" s="117"/>
      <c r="AQ102" s="232"/>
      <c r="AR102" s="126"/>
      <c r="AS102" s="117"/>
      <c r="AT102" s="127"/>
      <c r="AU102" s="215"/>
      <c r="AV102" s="128"/>
      <c r="AW102" s="117">
        <f>VLOOKUP($D102,'WB Data'!$C$3:$M$578,2,FALSE)</f>
        <v>44291490420.502617</v>
      </c>
      <c r="AX102" s="117">
        <f>VLOOKUP($D102,'WB Data'!$C$3:$M$578,3,FALSE)</f>
        <v>8947243</v>
      </c>
      <c r="AY102" s="847">
        <f t="shared" si="16"/>
        <v>0.31970746010103618</v>
      </c>
      <c r="AZ102" s="117">
        <f>VLOOKUP($D102,'WB Data'!$C$3:$M$578,4,FALSE)/100</f>
        <v>0.40889850146763479</v>
      </c>
      <c r="BA102" s="117">
        <f t="shared" si="17"/>
        <v>18110724060.71162</v>
      </c>
      <c r="BB102" s="129">
        <f>IFERROR(VLOOKUP($D102,'EITI Revenues'!$C$2:$G$224,5,FALSE),"..")</f>
        <v>14160319906.428267</v>
      </c>
      <c r="BC102" s="846">
        <f t="shared" si="18"/>
        <v>0.78187486369729764</v>
      </c>
      <c r="BD102" s="129">
        <f>VLOOKUP($D102,'WB Data 2'!$C$2:$K$545,6,FALSE)</f>
        <v>19642744326.633522</v>
      </c>
      <c r="BE102" s="129">
        <f>IFERROR(VLOOKUP($D102,UNCTAD!$C$5:$V$529,4,FALSE),"..")</f>
        <v>22875714000</v>
      </c>
      <c r="BF102" s="846">
        <f t="shared" si="19"/>
        <v>0.85867240369561892</v>
      </c>
      <c r="BG102" s="117">
        <f>VLOOKUP($D102,'WB Data'!$C$3:$M$578,5,FALSE)</f>
        <v>231770000</v>
      </c>
      <c r="BH102" s="129">
        <f>IFERROR($BB102/$BG102,"..")</f>
        <v>61.096431403668582</v>
      </c>
      <c r="BI102" s="117">
        <f>IFERROR(VLOOKUP($D102,'WB Data'!$C$3:$M$578,7,FALSE)/100,"..")</f>
        <v>3.2243099999999997E-2</v>
      </c>
      <c r="BJ102" s="117">
        <f>IFERROR($BI102*$AW102,"..")</f>
        <v>1428094954.7773077</v>
      </c>
      <c r="BK102" s="846">
        <f>IFERROR($BB102/$BJ102,"..")</f>
        <v>9.9155310779992067</v>
      </c>
      <c r="BL102" s="117">
        <f>IFERROR(VLOOKUP($D102,'WB Data'!$C$3:$M$578,7,FALSE)/100,"..")</f>
        <v>3.2243099999999997E-2</v>
      </c>
      <c r="BM102" s="117">
        <f>IFERROR($AW102*$BL102,"..")</f>
        <v>1428094954.7773077</v>
      </c>
      <c r="BN102" s="846">
        <f>IFERROR($BB102/$BM102,"..")</f>
        <v>9.9155310779992067</v>
      </c>
      <c r="BO102" s="801">
        <f t="shared" si="15"/>
        <v>29</v>
      </c>
      <c r="BP102" s="117">
        <f>VLOOKUP($D102,'WB Data'!$C$3:$M$578,9,FALSE)</f>
        <v>10.9</v>
      </c>
      <c r="BQ102" s="117">
        <f>VLOOKUP($D102,'WB Data'!$C$3:$M$578,10,FALSE)</f>
        <v>70.292658536585378</v>
      </c>
      <c r="BR102" s="117">
        <f>VLOOKUP($D102,'WB Data'!$C$3:$M$578,11,FALSE)</f>
        <v>35.4</v>
      </c>
      <c r="BS102" s="129">
        <f>IFERROR(VLOOKUP($D102,'WB Data 2'!$C$2:$K$545,9,FALSE),"..")</f>
        <v>85.518900000000002</v>
      </c>
      <c r="BT102" s="129">
        <f>_xlfn.IFNA(VLOOKUP($C102,RGI!$A$2:$C$43,2,FALSE),"..")</f>
        <v>75.099999999999994</v>
      </c>
      <c r="BU102" s="129">
        <f>_xlfn.IFNA(VLOOKUP($C102,RGI!$A$2:$C$43,3,FALSE),"..")</f>
        <v>48.092853423547197</v>
      </c>
      <c r="BV102" s="129">
        <f>VLOOKUP($D102,WGI!$C$2:$O$478,7,FALSE)</f>
        <v>-1.2105021934254301</v>
      </c>
      <c r="BW102" s="129">
        <f>VLOOKUP($D102,WGI!$C$2:$O$478,4,FALSE)</f>
        <v>-0.29472612189219599</v>
      </c>
      <c r="BX102" s="129">
        <f>VLOOKUP($D102,WGI!$C$2:$O$478,3,FALSE)</f>
        <v>-0.62995240665947005</v>
      </c>
      <c r="BY102" s="129">
        <f>VLOOKUP($D102,WGI!$C$2:$O$478,5,FALSE)</f>
        <v>-0.29879621133696899</v>
      </c>
      <c r="BZ102" s="129">
        <f>VLOOKUP($D102,WGI!$C$2:$O$478,2,FALSE)</f>
        <v>-1.1100440172816699</v>
      </c>
      <c r="CB102" s="129"/>
    </row>
    <row r="103" spans="1:80" s="158" customFormat="1" ht="15" customHeight="1">
      <c r="A103" s="147"/>
      <c r="B103" s="149"/>
      <c r="C103" s="149" t="s">
        <v>865</v>
      </c>
      <c r="D103" s="117" t="s">
        <v>3121</v>
      </c>
      <c r="E103" s="187"/>
      <c r="F103" s="149"/>
      <c r="G103" s="149"/>
      <c r="H103" s="149"/>
      <c r="I103" s="149"/>
      <c r="J103" s="149"/>
      <c r="K103" s="234" t="s">
        <v>789</v>
      </c>
      <c r="L103" s="149" t="str">
        <f t="shared" si="13"/>
        <v>detailed</v>
      </c>
      <c r="M103" s="149"/>
      <c r="N103" s="150"/>
      <c r="O103" s="150"/>
      <c r="P103" s="150"/>
      <c r="Q103" s="150"/>
      <c r="R103" s="150"/>
      <c r="S103" s="149"/>
      <c r="T103" s="151"/>
      <c r="U103" s="149"/>
      <c r="V103" s="235"/>
      <c r="W103" s="152"/>
      <c r="X103" s="149"/>
      <c r="Y103" s="149"/>
      <c r="Z103" s="149"/>
      <c r="AA103" s="216"/>
      <c r="AB103" s="216"/>
      <c r="AC103" s="217"/>
      <c r="AD103" s="217"/>
      <c r="AE103" s="217"/>
      <c r="AF103" s="230"/>
      <c r="AG103" s="149"/>
      <c r="AH103" s="156"/>
      <c r="AI103" s="149"/>
      <c r="AJ103" s="149"/>
      <c r="AK103" s="152"/>
      <c r="AL103" s="149"/>
      <c r="AM103" s="149"/>
      <c r="AN103" s="218"/>
      <c r="AO103" s="149"/>
      <c r="AP103" s="149"/>
      <c r="AQ103" s="236"/>
      <c r="AR103" s="220"/>
      <c r="AS103" s="149"/>
      <c r="AT103" s="221"/>
      <c r="AU103" s="222"/>
      <c r="AV103" s="157"/>
      <c r="AW103" s="117" t="e">
        <f>VLOOKUP($D103,'WB Data'!$C$3:$M$578,2,FALSE)</f>
        <v>#N/A</v>
      </c>
      <c r="AX103" s="117" t="e">
        <f>VLOOKUP($D103,'WB Data'!$C$3:$M$578,3,FALSE)</f>
        <v>#N/A</v>
      </c>
      <c r="AY103" s="847" t="str">
        <f t="shared" si="16"/>
        <v>..</v>
      </c>
      <c r="AZ103" s="117" t="e">
        <f>VLOOKUP($D103,'WB Data'!$C$3:$M$578,4,FALSE)/100</f>
        <v>#N/A</v>
      </c>
      <c r="BA103" s="117" t="str">
        <f t="shared" si="17"/>
        <v>..</v>
      </c>
      <c r="BB103" s="129" t="str">
        <f>IFERROR(VLOOKUP($D103,'EITI Revenues'!$C$2:$G$224,5,FALSE),"..")</f>
        <v>..</v>
      </c>
      <c r="BC103" s="846" t="str">
        <f t="shared" si="18"/>
        <v>..</v>
      </c>
      <c r="BD103" s="129" t="e">
        <f>VLOOKUP($D103,'WB Data 2'!$C$2:$K$545,6,FALSE)</f>
        <v>#N/A</v>
      </c>
      <c r="BE103" s="129" t="str">
        <f>IFERROR(VLOOKUP($D103,UNCTAD!$C$5:$V$529,4,FALSE),"..")</f>
        <v>..</v>
      </c>
      <c r="BF103" s="846" t="str">
        <f t="shared" si="19"/>
        <v>..</v>
      </c>
      <c r="BG103" s="117" t="e">
        <f>VLOOKUP($D103,'WB Data'!$C$3:$M$578,5,FALSE)</f>
        <v>#N/A</v>
      </c>
      <c r="BH103" s="129" t="str">
        <f>IFERROR($BB103/$BG103,"..")</f>
        <v>..</v>
      </c>
      <c r="BI103" s="117" t="str">
        <f>IFERROR(VLOOKUP($D103,'WB Data'!$C$3:$M$578,7,FALSE)/100,"..")</f>
        <v>..</v>
      </c>
      <c r="BJ103" s="117" t="str">
        <f>IFERROR($BI103*$AW103,"..")</f>
        <v>..</v>
      </c>
      <c r="BK103" s="846" t="str">
        <f>IFERROR($BB103/$BJ103,"..")</f>
        <v>..</v>
      </c>
      <c r="BL103" s="117" t="str">
        <f>IFERROR(VLOOKUP($D103,'WB Data'!$C$3:$M$578,7,FALSE)/100,"..")</f>
        <v>..</v>
      </c>
      <c r="BM103" s="117" t="str">
        <f>IFERROR($AW103*$BL103,"..")</f>
        <v>..</v>
      </c>
      <c r="BN103" s="846" t="str">
        <f>IFERROR($BB103/$BM103,"..")</f>
        <v>..</v>
      </c>
      <c r="BO103" s="801" t="str">
        <f t="shared" si="15"/>
        <v>..</v>
      </c>
      <c r="BP103" s="117" t="e">
        <f>VLOOKUP($D103,'WB Data'!$C$3:$M$578,9,FALSE)</f>
        <v>#N/A</v>
      </c>
      <c r="BQ103" s="117" t="e">
        <f>VLOOKUP($D103,'WB Data'!$C$3:$M$578,10,FALSE)</f>
        <v>#N/A</v>
      </c>
      <c r="BR103" s="117" t="e">
        <f>VLOOKUP($D103,'WB Data'!$C$3:$M$578,11,FALSE)</f>
        <v>#N/A</v>
      </c>
      <c r="BS103" s="129" t="str">
        <f>IFERROR(VLOOKUP($D103,'WB Data 2'!$C$2:$K$545,9,FALSE),"..")</f>
        <v>..</v>
      </c>
      <c r="BT103" s="129" t="str">
        <f>_xlfn.IFNA(VLOOKUP($C103,RGI!$A$2:$C$43,2,FALSE),"..")</f>
        <v>..</v>
      </c>
      <c r="BU103" s="129" t="str">
        <f>_xlfn.IFNA(VLOOKUP($C103,RGI!$A$2:$C$43,3,FALSE),"..")</f>
        <v>..</v>
      </c>
      <c r="BV103" s="129" t="e">
        <f>VLOOKUP($D103,WGI!$C$2:$O$478,7,FALSE)</f>
        <v>#N/A</v>
      </c>
      <c r="BW103" s="129" t="e">
        <f>VLOOKUP($D103,WGI!$C$2:$O$478,4,FALSE)</f>
        <v>#N/A</v>
      </c>
      <c r="BX103" s="129" t="e">
        <f>VLOOKUP($D103,WGI!$C$2:$O$478,3,FALSE)</f>
        <v>#N/A</v>
      </c>
      <c r="BY103" s="129" t="e">
        <f>VLOOKUP($D103,WGI!$C$2:$O$478,5,FALSE)</f>
        <v>#N/A</v>
      </c>
      <c r="BZ103" s="129" t="e">
        <f>VLOOKUP($D103,WGI!$C$2:$O$478,2,FALSE)</f>
        <v>#N/A</v>
      </c>
      <c r="CB103" s="129"/>
    </row>
    <row r="104" spans="1:80" ht="15" customHeight="1">
      <c r="A104" s="145" t="s">
        <v>75</v>
      </c>
      <c r="B104" s="117">
        <v>2010</v>
      </c>
      <c r="C104" s="117" t="s">
        <v>53</v>
      </c>
      <c r="D104" s="117" t="s">
        <v>3654</v>
      </c>
      <c r="E104" s="174" t="s">
        <v>39</v>
      </c>
      <c r="F104" s="117" t="s">
        <v>729</v>
      </c>
      <c r="G104" s="117" t="s">
        <v>35</v>
      </c>
      <c r="H104" s="117" t="str">
        <f t="shared" ref="H104:H167" si="23">IF($G104="Mining","yes",IF($G104="Oil, Gas, Mining","yes",IF($G104="Gas, Mining","yes",IF($G104="Oil, Mining","yes",IF($G104="Oil, Mining, Other","yes","no")))))</f>
        <v>yes</v>
      </c>
      <c r="I104" s="117" t="str">
        <f t="shared" ref="I104:I167" si="24">IF($G104="Gas","yes",IF($G104="Oil, Gas, Mining","yes",IF($G104="Gas, Mining","yes",IF($G104="Oil, Gas","yes",IF($G104="Oil, Gas, Other","yes","no")))))</f>
        <v>yes</v>
      </c>
      <c r="J104" s="117" t="str">
        <f t="shared" ref="J104:J167" si="25">IF($G104="Oil","yes",IF($G104="Oil, Gas, Mining","yes",IF($G104="Oil, Mining","yes",IF($G104="Oil, Gas","yes",IF($G104="Oil, Gas, Other","yes","no")))))</f>
        <v>yes</v>
      </c>
      <c r="K104" s="176" t="s">
        <v>709</v>
      </c>
      <c r="L104" s="117" t="str">
        <f t="shared" si="13"/>
        <v>Total</v>
      </c>
      <c r="M104" s="117" t="str">
        <f t="shared" ref="M104:M167" si="26">L104&amp;" "&amp;G104</f>
        <v>Total Oil, Gas, Mining</v>
      </c>
      <c r="N104" s="118"/>
      <c r="O104" s="118"/>
      <c r="P104" s="118"/>
      <c r="Q104" s="118"/>
      <c r="R104" s="118"/>
      <c r="S104" s="117"/>
      <c r="T104" s="119"/>
      <c r="U104" s="117"/>
      <c r="V104" s="117"/>
      <c r="W104" s="89">
        <f>W105+W108</f>
        <v>32393445472.50486</v>
      </c>
      <c r="X104" s="125" t="s">
        <v>775</v>
      </c>
      <c r="Y104" s="117" t="s">
        <v>731</v>
      </c>
      <c r="Z104" s="117" t="s">
        <v>732</v>
      </c>
      <c r="AA104" s="223">
        <v>19732689646.414902</v>
      </c>
      <c r="AB104" s="223">
        <v>1985246699.8754668</v>
      </c>
      <c r="AC104" s="212"/>
      <c r="AD104" s="212"/>
      <c r="AE104" s="212"/>
      <c r="AF104" s="213">
        <f>AA104/W104</f>
        <v>0.60915686363661914</v>
      </c>
      <c r="AG104" s="117" t="s">
        <v>743</v>
      </c>
      <c r="AH104" s="124">
        <v>0.80300000000000005</v>
      </c>
      <c r="AI104" s="117" t="s">
        <v>667</v>
      </c>
      <c r="AJ104" s="117" t="s">
        <v>790</v>
      </c>
      <c r="AK104" s="89">
        <f>AK105+AK108</f>
        <v>17742682049.192646</v>
      </c>
      <c r="AL104" s="117"/>
      <c r="AM104" s="117"/>
      <c r="AN104" s="214">
        <v>31</v>
      </c>
      <c r="AO104" s="117" t="s">
        <v>791</v>
      </c>
      <c r="AP104" s="117">
        <v>31</v>
      </c>
      <c r="AQ104" s="120" t="s">
        <v>76</v>
      </c>
      <c r="AR104" s="126">
        <v>41890</v>
      </c>
      <c r="AS104" s="117" t="s">
        <v>607</v>
      </c>
      <c r="AT104" s="127" t="s">
        <v>77</v>
      </c>
      <c r="AU104" s="215" t="s">
        <v>792</v>
      </c>
      <c r="AV104" s="128" t="s">
        <v>779</v>
      </c>
      <c r="AW104" s="117">
        <f>VLOOKUP($D104,'WB Data'!$C$3:$M$578,2,FALSE)</f>
        <v>52902703376.105644</v>
      </c>
      <c r="AX104" s="117">
        <f>VLOOKUP($D104,'WB Data'!$C$3:$M$578,3,FALSE)</f>
        <v>9054332</v>
      </c>
      <c r="AY104" s="847">
        <f t="shared" si="16"/>
        <v>0.37299964627757543</v>
      </c>
      <c r="AZ104" s="117">
        <f>VLOOKUP($D104,'WB Data'!$C$3:$M$578,4,FALSE)/100</f>
        <v>0.46828917932414932</v>
      </c>
      <c r="BA104" s="117">
        <f t="shared" si="17"/>
        <v>24773763548.025417</v>
      </c>
      <c r="BB104" s="129">
        <f>IFERROR(VLOOKUP($D104,'EITI Revenues'!$C$2:$G$224,5,FALSE),"..")</f>
        <v>19732689646.414902</v>
      </c>
      <c r="BC104" s="846">
        <f t="shared" si="18"/>
        <v>0.79651562057423797</v>
      </c>
      <c r="BD104" s="129">
        <f>VLOOKUP($D104,'WB Data 2'!$C$2:$K$545,6,FALSE)</f>
        <v>25052627485.610779</v>
      </c>
      <c r="BE104" s="129">
        <f>IFERROR(VLOOKUP($D104,UNCTAD!$C$5:$V$529,4,FALSE),"..")</f>
        <v>28589945000</v>
      </c>
      <c r="BF104" s="846">
        <f t="shared" si="19"/>
        <v>0.87627407067802265</v>
      </c>
      <c r="BG104" s="117">
        <f>VLOOKUP($D104,'WB Data'!$C$3:$M$578,5,FALSE)</f>
        <v>159110000</v>
      </c>
      <c r="BH104" s="129">
        <f>IFERROR($BB104/$BG104,"..")</f>
        <v>124.01916690600781</v>
      </c>
      <c r="BI104" s="117">
        <f>IFERROR(VLOOKUP($D104,'WB Data'!$C$3:$M$578,7,FALSE)/100,"..")</f>
        <v>2.78062E-2</v>
      </c>
      <c r="BJ104" s="117">
        <f>IFERROR($BI104*$AW104,"..")</f>
        <v>1471023150.6166687</v>
      </c>
      <c r="BK104" s="846">
        <f>IFERROR($BB104/$BJ104,"..")</f>
        <v>13.414261793325785</v>
      </c>
      <c r="BL104" s="117">
        <f>IFERROR(VLOOKUP($D104,'WB Data'!$C$3:$M$578,7,FALSE)/100,"..")</f>
        <v>2.78062E-2</v>
      </c>
      <c r="BM104" s="117">
        <f>IFERROR($AW104*$BL104,"..")</f>
        <v>1471023150.6166687</v>
      </c>
      <c r="BN104" s="846">
        <f>IFERROR($BB104/$BM104,"..")</f>
        <v>13.414261793325785</v>
      </c>
      <c r="BO104" s="801">
        <f t="shared" si="15"/>
        <v>29</v>
      </c>
      <c r="BP104" s="117">
        <f>VLOOKUP($D104,'WB Data'!$C$3:$M$578,9,FALSE)</f>
        <v>9.1</v>
      </c>
      <c r="BQ104" s="117">
        <f>VLOOKUP($D104,'WB Data'!$C$3:$M$578,10,FALSE)</f>
        <v>70.450292682926829</v>
      </c>
      <c r="BR104" s="117">
        <f>VLOOKUP($D104,'WB Data'!$C$3:$M$578,11,FALSE)</f>
        <v>33.799999999999997</v>
      </c>
      <c r="BS104" s="129">
        <f>IFERROR(VLOOKUP($D104,'WB Data 2'!$C$2:$K$545,9,FALSE),"..")</f>
        <v>84.726050000000001</v>
      </c>
      <c r="BT104" s="129">
        <f>_xlfn.IFNA(VLOOKUP($C104,RGI!$A$2:$C$43,2,FALSE),"..")</f>
        <v>75.099999999999994</v>
      </c>
      <c r="BU104" s="129">
        <f>_xlfn.IFNA(VLOOKUP($C104,RGI!$A$2:$C$43,3,FALSE),"..")</f>
        <v>48.092853423547197</v>
      </c>
      <c r="BV104" s="129">
        <f>VLOOKUP($D104,WGI!$C$2:$O$478,7,FALSE)</f>
        <v>-1.2560356657365599</v>
      </c>
      <c r="BW104" s="129">
        <f>VLOOKUP($D104,WGI!$C$2:$O$478,4,FALSE)</f>
        <v>-0.25327806107414602</v>
      </c>
      <c r="BX104" s="129">
        <f>VLOOKUP($D104,WGI!$C$2:$O$478,3,FALSE)</f>
        <v>-0.79394637716512195</v>
      </c>
      <c r="BY104" s="129">
        <f>VLOOKUP($D104,WGI!$C$2:$O$478,5,FALSE)</f>
        <v>-0.36834713846671502</v>
      </c>
      <c r="BZ104" s="129">
        <f>VLOOKUP($D104,WGI!$C$2:$O$478,2,FALSE)</f>
        <v>-1.1790171369459901</v>
      </c>
    </row>
    <row r="105" spans="1:80" ht="15" customHeight="1">
      <c r="A105" s="145" t="s">
        <v>75</v>
      </c>
      <c r="B105" s="117">
        <v>2010</v>
      </c>
      <c r="C105" s="117" t="s">
        <v>53</v>
      </c>
      <c r="D105" s="117" t="s">
        <v>3654</v>
      </c>
      <c r="E105" s="174" t="s">
        <v>39</v>
      </c>
      <c r="F105" s="117"/>
      <c r="G105" s="117" t="s">
        <v>55</v>
      </c>
      <c r="H105" s="117" t="str">
        <f t="shared" si="23"/>
        <v>no</v>
      </c>
      <c r="I105" s="117" t="str">
        <f t="shared" si="24"/>
        <v>yes</v>
      </c>
      <c r="J105" s="117" t="str">
        <f t="shared" si="25"/>
        <v>yes</v>
      </c>
      <c r="K105" s="176" t="s">
        <v>640</v>
      </c>
      <c r="L105" s="117" t="str">
        <f t="shared" si="13"/>
        <v>Total</v>
      </c>
      <c r="M105" s="117" t="str">
        <f t="shared" si="26"/>
        <v>Total Oil, Gas</v>
      </c>
      <c r="N105" s="118"/>
      <c r="O105" s="118"/>
      <c r="P105" s="118"/>
      <c r="Q105" s="118"/>
      <c r="R105" s="118"/>
      <c r="S105" s="117"/>
      <c r="T105" s="119"/>
      <c r="U105" s="117"/>
      <c r="V105" s="117"/>
      <c r="W105" s="89">
        <f>SUM(W106:W107)</f>
        <v>32317663228.760803</v>
      </c>
      <c r="X105" s="117"/>
      <c r="Y105" s="117"/>
      <c r="Z105" s="117"/>
      <c r="AA105" s="179"/>
      <c r="AB105" s="179"/>
      <c r="AC105" s="212"/>
      <c r="AD105" s="212"/>
      <c r="AE105" s="212"/>
      <c r="AF105" s="213"/>
      <c r="AG105" s="117"/>
      <c r="AH105" s="124"/>
      <c r="AI105" s="117"/>
      <c r="AJ105" s="117" t="s">
        <v>793</v>
      </c>
      <c r="AK105" s="89">
        <f>SUM(AK106:AK107)</f>
        <v>17733196887.557014</v>
      </c>
      <c r="AL105" s="117"/>
      <c r="AM105" s="117"/>
      <c r="AN105" s="214"/>
      <c r="AO105" s="117"/>
      <c r="AP105" s="117"/>
      <c r="AQ105" s="232"/>
      <c r="AR105" s="126"/>
      <c r="AS105" s="117"/>
      <c r="AT105" s="127"/>
      <c r="AU105" s="215"/>
      <c r="AV105" s="128"/>
      <c r="AW105" s="117">
        <f>VLOOKUP($D105,'WB Data'!$C$3:$M$578,2,FALSE)</f>
        <v>52902703376.105644</v>
      </c>
      <c r="AX105" s="117">
        <f>VLOOKUP($D105,'WB Data'!$C$3:$M$578,3,FALSE)</f>
        <v>9054332</v>
      </c>
      <c r="AY105" s="847">
        <f t="shared" si="16"/>
        <v>0.37299964627757543</v>
      </c>
      <c r="AZ105" s="117">
        <f>VLOOKUP($D105,'WB Data'!$C$3:$M$578,4,FALSE)/100</f>
        <v>0.46828917932414932</v>
      </c>
      <c r="BA105" s="117">
        <f t="shared" si="17"/>
        <v>24773763548.025417</v>
      </c>
      <c r="BB105" s="129">
        <f>IFERROR(VLOOKUP($D105,'EITI Revenues'!$C$2:$G$224,5,FALSE),"..")</f>
        <v>19732689646.414902</v>
      </c>
      <c r="BC105" s="846">
        <f t="shared" si="18"/>
        <v>0.79651562057423797</v>
      </c>
      <c r="BD105" s="129">
        <f>VLOOKUP($D105,'WB Data 2'!$C$2:$K$545,6,FALSE)</f>
        <v>25052627485.610779</v>
      </c>
      <c r="BE105" s="129">
        <f>IFERROR(VLOOKUP($D105,UNCTAD!$C$5:$V$529,4,FALSE),"..")</f>
        <v>28589945000</v>
      </c>
      <c r="BF105" s="846">
        <f t="shared" si="19"/>
        <v>0.87627407067802265</v>
      </c>
      <c r="BG105" s="117">
        <f>VLOOKUP($D105,'WB Data'!$C$3:$M$578,5,FALSE)</f>
        <v>159110000</v>
      </c>
      <c r="BH105" s="129">
        <f>IFERROR($BB105/$BG105,"..")</f>
        <v>124.01916690600781</v>
      </c>
      <c r="BI105" s="117">
        <f>IFERROR(VLOOKUP($D105,'WB Data'!$C$3:$M$578,7,FALSE)/100,"..")</f>
        <v>2.78062E-2</v>
      </c>
      <c r="BJ105" s="117">
        <f>IFERROR($BI105*$AW105,"..")</f>
        <v>1471023150.6166687</v>
      </c>
      <c r="BK105" s="846">
        <f>IFERROR($BB105/$BJ105,"..")</f>
        <v>13.414261793325785</v>
      </c>
      <c r="BL105" s="117">
        <f>IFERROR(VLOOKUP($D105,'WB Data'!$C$3:$M$578,7,FALSE)/100,"..")</f>
        <v>2.78062E-2</v>
      </c>
      <c r="BM105" s="117">
        <f>IFERROR($AW105*$BL105,"..")</f>
        <v>1471023150.6166687</v>
      </c>
      <c r="BN105" s="846">
        <f>IFERROR($BB105/$BM105,"..")</f>
        <v>13.414261793325785</v>
      </c>
      <c r="BO105" s="801">
        <f t="shared" si="15"/>
        <v>29</v>
      </c>
      <c r="BP105" s="117">
        <f>VLOOKUP($D105,'WB Data'!$C$3:$M$578,9,FALSE)</f>
        <v>9.1</v>
      </c>
      <c r="BQ105" s="117">
        <f>VLOOKUP($D105,'WB Data'!$C$3:$M$578,10,FALSE)</f>
        <v>70.450292682926829</v>
      </c>
      <c r="BR105" s="117">
        <f>VLOOKUP($D105,'WB Data'!$C$3:$M$578,11,FALSE)</f>
        <v>33.799999999999997</v>
      </c>
      <c r="BS105" s="129">
        <f>IFERROR(VLOOKUP($D105,'WB Data 2'!$C$2:$K$545,9,FALSE),"..")</f>
        <v>84.726050000000001</v>
      </c>
      <c r="BT105" s="129">
        <f>_xlfn.IFNA(VLOOKUP($C105,RGI!$A$2:$C$43,2,FALSE),"..")</f>
        <v>75.099999999999994</v>
      </c>
      <c r="BU105" s="129">
        <f>_xlfn.IFNA(VLOOKUP($C105,RGI!$A$2:$C$43,3,FALSE),"..")</f>
        <v>48.092853423547197</v>
      </c>
      <c r="BV105" s="129">
        <f>VLOOKUP($D105,WGI!$C$2:$O$478,7,FALSE)</f>
        <v>-1.2560356657365599</v>
      </c>
      <c r="BW105" s="129">
        <f>VLOOKUP($D105,WGI!$C$2:$O$478,4,FALSE)</f>
        <v>-0.25327806107414602</v>
      </c>
      <c r="BX105" s="129">
        <f>VLOOKUP($D105,WGI!$C$2:$O$478,3,FALSE)</f>
        <v>-0.79394637716512195</v>
      </c>
      <c r="BY105" s="129">
        <f>VLOOKUP($D105,WGI!$C$2:$O$478,5,FALSE)</f>
        <v>-0.36834713846671502</v>
      </c>
      <c r="BZ105" s="129">
        <f>VLOOKUP($D105,WGI!$C$2:$O$478,2,FALSE)</f>
        <v>-1.1790171369459901</v>
      </c>
    </row>
    <row r="106" spans="1:80" ht="15" customHeight="1">
      <c r="A106" s="145" t="s">
        <v>75</v>
      </c>
      <c r="B106" s="117">
        <v>2010</v>
      </c>
      <c r="C106" s="117" t="s">
        <v>53</v>
      </c>
      <c r="D106" s="117" t="s">
        <v>3654</v>
      </c>
      <c r="E106" s="174" t="s">
        <v>39</v>
      </c>
      <c r="F106" s="117"/>
      <c r="G106" s="117" t="s">
        <v>561</v>
      </c>
      <c r="H106" s="117" t="str">
        <f t="shared" si="23"/>
        <v>no</v>
      </c>
      <c r="I106" s="117" t="str">
        <f t="shared" si="24"/>
        <v>yes</v>
      </c>
      <c r="J106" s="117" t="str">
        <f t="shared" si="25"/>
        <v>no</v>
      </c>
      <c r="K106" s="176" t="s">
        <v>561</v>
      </c>
      <c r="L106" s="117" t="str">
        <f t="shared" si="13"/>
        <v>detailed</v>
      </c>
      <c r="M106" s="117" t="str">
        <f t="shared" si="26"/>
        <v>detailed Gas</v>
      </c>
      <c r="N106" s="118">
        <v>15100000000</v>
      </c>
      <c r="O106" s="118">
        <f>N106*0.0066</f>
        <v>99660000</v>
      </c>
      <c r="P106" s="118"/>
      <c r="Q106" s="118"/>
      <c r="R106" s="118"/>
      <c r="S106" s="117" t="s">
        <v>642</v>
      </c>
      <c r="T106" s="119">
        <v>0.1741077336927683</v>
      </c>
      <c r="U106" s="117" t="s">
        <v>643</v>
      </c>
      <c r="V106" s="117" t="s">
        <v>738</v>
      </c>
      <c r="W106" s="89">
        <f>N106*T106</f>
        <v>2629026778.7608013</v>
      </c>
      <c r="X106" s="117"/>
      <c r="Y106" s="117"/>
      <c r="Z106" s="117"/>
      <c r="AA106" s="211">
        <f>W106/W107</f>
        <v>8.8553301637428389E-2</v>
      </c>
      <c r="AB106" s="179"/>
      <c r="AC106" s="212"/>
      <c r="AD106" s="212"/>
      <c r="AE106" s="212"/>
      <c r="AF106" s="213"/>
      <c r="AG106" s="117"/>
      <c r="AH106" s="124"/>
      <c r="AI106" s="117"/>
      <c r="AJ106" s="117" t="s">
        <v>794</v>
      </c>
      <c r="AK106" s="89">
        <f>3484870400*T106</f>
        <v>606742887.55701089</v>
      </c>
      <c r="AL106" s="117"/>
      <c r="AM106" s="117"/>
      <c r="AN106" s="214"/>
      <c r="AO106" s="117"/>
      <c r="AP106" s="117"/>
      <c r="AQ106" s="125"/>
      <c r="AR106" s="126"/>
      <c r="AS106" s="117"/>
      <c r="AT106" s="127"/>
      <c r="AU106" s="215"/>
      <c r="AV106" s="128"/>
      <c r="AW106" s="117">
        <f>VLOOKUP($D106,'WB Data'!$C$3:$M$578,2,FALSE)</f>
        <v>52902703376.105644</v>
      </c>
      <c r="AX106" s="117">
        <f>VLOOKUP($D106,'WB Data'!$C$3:$M$578,3,FALSE)</f>
        <v>9054332</v>
      </c>
      <c r="AY106" s="847">
        <f t="shared" si="16"/>
        <v>0.37299964627757543</v>
      </c>
      <c r="AZ106" s="117">
        <f>VLOOKUP($D106,'WB Data'!$C$3:$M$578,4,FALSE)/100</f>
        <v>0.46828917932414932</v>
      </c>
      <c r="BA106" s="117">
        <f t="shared" si="17"/>
        <v>24773763548.025417</v>
      </c>
      <c r="BB106" s="129">
        <f>IFERROR(VLOOKUP($D106,'EITI Revenues'!$C$2:$G$224,5,FALSE),"..")</f>
        <v>19732689646.414902</v>
      </c>
      <c r="BC106" s="846">
        <f t="shared" si="18"/>
        <v>0.79651562057423797</v>
      </c>
      <c r="BD106" s="129">
        <f>VLOOKUP($D106,'WB Data 2'!$C$2:$K$545,6,FALSE)</f>
        <v>25052627485.610779</v>
      </c>
      <c r="BE106" s="129">
        <f>IFERROR(VLOOKUP($D106,UNCTAD!$C$5:$V$529,4,FALSE),"..")</f>
        <v>28589945000</v>
      </c>
      <c r="BF106" s="846">
        <f t="shared" si="19"/>
        <v>0.87627407067802265</v>
      </c>
      <c r="BG106" s="117">
        <f>VLOOKUP($D106,'WB Data'!$C$3:$M$578,5,FALSE)</f>
        <v>159110000</v>
      </c>
      <c r="BH106" s="129">
        <f>IFERROR($BB106/$BG106,"..")</f>
        <v>124.01916690600781</v>
      </c>
      <c r="BI106" s="117">
        <f>IFERROR(VLOOKUP($D106,'WB Data'!$C$3:$M$578,7,FALSE)/100,"..")</f>
        <v>2.78062E-2</v>
      </c>
      <c r="BJ106" s="117">
        <f>IFERROR($BI106*$AW106,"..")</f>
        <v>1471023150.6166687</v>
      </c>
      <c r="BK106" s="846">
        <f>IFERROR($BB106/$BJ106,"..")</f>
        <v>13.414261793325785</v>
      </c>
      <c r="BL106" s="117">
        <f>IFERROR(VLOOKUP($D106,'WB Data'!$C$3:$M$578,7,FALSE)/100,"..")</f>
        <v>2.78062E-2</v>
      </c>
      <c r="BM106" s="117">
        <f>IFERROR($AW106*$BL106,"..")</f>
        <v>1471023150.6166687</v>
      </c>
      <c r="BN106" s="846">
        <f>IFERROR($BB106/$BM106,"..")</f>
        <v>13.414261793325785</v>
      </c>
      <c r="BO106" s="801">
        <f t="shared" si="15"/>
        <v>29</v>
      </c>
      <c r="BP106" s="117">
        <f>VLOOKUP($D106,'WB Data'!$C$3:$M$578,9,FALSE)</f>
        <v>9.1</v>
      </c>
      <c r="BQ106" s="117">
        <f>VLOOKUP($D106,'WB Data'!$C$3:$M$578,10,FALSE)</f>
        <v>70.450292682926829</v>
      </c>
      <c r="BR106" s="117">
        <f>VLOOKUP($D106,'WB Data'!$C$3:$M$578,11,FALSE)</f>
        <v>33.799999999999997</v>
      </c>
      <c r="BS106" s="129">
        <f>IFERROR(VLOOKUP($D106,'WB Data 2'!$C$2:$K$545,9,FALSE),"..")</f>
        <v>84.726050000000001</v>
      </c>
      <c r="BT106" s="129">
        <f>_xlfn.IFNA(VLOOKUP($C106,RGI!$A$2:$C$43,2,FALSE),"..")</f>
        <v>75.099999999999994</v>
      </c>
      <c r="BU106" s="129">
        <f>_xlfn.IFNA(VLOOKUP($C106,RGI!$A$2:$C$43,3,FALSE),"..")</f>
        <v>48.092853423547197</v>
      </c>
      <c r="BV106" s="129">
        <f>VLOOKUP($D106,WGI!$C$2:$O$478,7,FALSE)</f>
        <v>-1.2560356657365599</v>
      </c>
      <c r="BW106" s="129">
        <f>VLOOKUP($D106,WGI!$C$2:$O$478,4,FALSE)</f>
        <v>-0.25327806107414602</v>
      </c>
      <c r="BX106" s="129">
        <f>VLOOKUP($D106,WGI!$C$2:$O$478,3,FALSE)</f>
        <v>-0.79394637716512195</v>
      </c>
      <c r="BY106" s="129">
        <f>VLOOKUP($D106,WGI!$C$2:$O$478,5,FALSE)</f>
        <v>-0.36834713846671502</v>
      </c>
      <c r="BZ106" s="129">
        <f>VLOOKUP($D106,WGI!$C$2:$O$478,2,FALSE)</f>
        <v>-1.1790171369459901</v>
      </c>
    </row>
    <row r="107" spans="1:80" ht="15" customHeight="1">
      <c r="A107" s="145" t="s">
        <v>75</v>
      </c>
      <c r="B107" s="117">
        <v>2010</v>
      </c>
      <c r="C107" s="117" t="s">
        <v>53</v>
      </c>
      <c r="D107" s="117" t="s">
        <v>3654</v>
      </c>
      <c r="E107" s="174" t="s">
        <v>39</v>
      </c>
      <c r="F107" s="117"/>
      <c r="G107" s="117" t="s">
        <v>103</v>
      </c>
      <c r="H107" s="117" t="str">
        <f t="shared" si="23"/>
        <v>no</v>
      </c>
      <c r="I107" s="117" t="str">
        <f t="shared" si="24"/>
        <v>no</v>
      </c>
      <c r="J107" s="117" t="str">
        <f t="shared" si="25"/>
        <v>yes</v>
      </c>
      <c r="K107" s="176" t="s">
        <v>103</v>
      </c>
      <c r="L107" s="117" t="str">
        <f t="shared" si="13"/>
        <v>detailed</v>
      </c>
      <c r="M107" s="117" t="str">
        <f t="shared" si="26"/>
        <v>detailed Oil</v>
      </c>
      <c r="N107" s="118">
        <v>373395000</v>
      </c>
      <c r="O107" s="211">
        <f>O106/N107</f>
        <v>0.26690234202386215</v>
      </c>
      <c r="P107" s="118"/>
      <c r="Q107" s="118"/>
      <c r="R107" s="118"/>
      <c r="S107" s="117" t="s">
        <v>646</v>
      </c>
      <c r="T107" s="119">
        <v>79.510000000000005</v>
      </c>
      <c r="U107" s="117" t="s">
        <v>673</v>
      </c>
      <c r="V107" s="117" t="s">
        <v>740</v>
      </c>
      <c r="W107" s="89">
        <f>N107*T107</f>
        <v>29688636450.000004</v>
      </c>
      <c r="X107" s="117"/>
      <c r="Y107" s="117"/>
      <c r="Z107" s="117"/>
      <c r="AA107" s="179"/>
      <c r="AB107" s="179"/>
      <c r="AC107" s="212"/>
      <c r="AD107" s="212"/>
      <c r="AE107" s="212"/>
      <c r="AF107" s="213"/>
      <c r="AG107" s="117"/>
      <c r="AH107" s="124"/>
      <c r="AI107" s="117"/>
      <c r="AJ107" s="117" t="s">
        <v>795</v>
      </c>
      <c r="AK107" s="89">
        <f>215400000*T107</f>
        <v>17126454000.000002</v>
      </c>
      <c r="AL107" s="117"/>
      <c r="AM107" s="117"/>
      <c r="AN107" s="214"/>
      <c r="AO107" s="117"/>
      <c r="AP107" s="117"/>
      <c r="AQ107" s="125"/>
      <c r="AR107" s="126"/>
      <c r="AS107" s="117"/>
      <c r="AT107" s="127"/>
      <c r="AU107" s="215"/>
      <c r="AV107" s="128"/>
      <c r="AW107" s="117">
        <f>VLOOKUP($D107,'WB Data'!$C$3:$M$578,2,FALSE)</f>
        <v>52902703376.105644</v>
      </c>
      <c r="AX107" s="117">
        <f>VLOOKUP($D107,'WB Data'!$C$3:$M$578,3,FALSE)</f>
        <v>9054332</v>
      </c>
      <c r="AY107" s="847">
        <f t="shared" si="16"/>
        <v>0.37299964627757543</v>
      </c>
      <c r="AZ107" s="117">
        <f>VLOOKUP($D107,'WB Data'!$C$3:$M$578,4,FALSE)/100</f>
        <v>0.46828917932414932</v>
      </c>
      <c r="BA107" s="117">
        <f t="shared" si="17"/>
        <v>24773763548.025417</v>
      </c>
      <c r="BB107" s="129">
        <f>IFERROR(VLOOKUP($D107,'EITI Revenues'!$C$2:$G$224,5,FALSE),"..")</f>
        <v>19732689646.414902</v>
      </c>
      <c r="BC107" s="846">
        <f t="shared" si="18"/>
        <v>0.79651562057423797</v>
      </c>
      <c r="BD107" s="129">
        <f>VLOOKUP($D107,'WB Data 2'!$C$2:$K$545,6,FALSE)</f>
        <v>25052627485.610779</v>
      </c>
      <c r="BE107" s="129">
        <f>IFERROR(VLOOKUP($D107,UNCTAD!$C$5:$V$529,4,FALSE),"..")</f>
        <v>28589945000</v>
      </c>
      <c r="BF107" s="846">
        <f t="shared" si="19"/>
        <v>0.87627407067802265</v>
      </c>
      <c r="BG107" s="117">
        <f>VLOOKUP($D107,'WB Data'!$C$3:$M$578,5,FALSE)</f>
        <v>159110000</v>
      </c>
      <c r="BH107" s="129">
        <f>IFERROR($BB107/$BG107,"..")</f>
        <v>124.01916690600781</v>
      </c>
      <c r="BI107" s="117">
        <f>IFERROR(VLOOKUP($D107,'WB Data'!$C$3:$M$578,7,FALSE)/100,"..")</f>
        <v>2.78062E-2</v>
      </c>
      <c r="BJ107" s="117">
        <f>IFERROR($BI107*$AW107,"..")</f>
        <v>1471023150.6166687</v>
      </c>
      <c r="BK107" s="846">
        <f>IFERROR($BB107/$BJ107,"..")</f>
        <v>13.414261793325785</v>
      </c>
      <c r="BL107" s="117">
        <f>IFERROR(VLOOKUP($D107,'WB Data'!$C$3:$M$578,7,FALSE)/100,"..")</f>
        <v>2.78062E-2</v>
      </c>
      <c r="BM107" s="117">
        <f>IFERROR($AW107*$BL107,"..")</f>
        <v>1471023150.6166687</v>
      </c>
      <c r="BN107" s="846">
        <f>IFERROR($BB107/$BM107,"..")</f>
        <v>13.414261793325785</v>
      </c>
      <c r="BO107" s="801">
        <f t="shared" si="15"/>
        <v>29</v>
      </c>
      <c r="BP107" s="117">
        <f>VLOOKUP($D107,'WB Data'!$C$3:$M$578,9,FALSE)</f>
        <v>9.1</v>
      </c>
      <c r="BQ107" s="117">
        <f>VLOOKUP($D107,'WB Data'!$C$3:$M$578,10,FALSE)</f>
        <v>70.450292682926829</v>
      </c>
      <c r="BR107" s="117">
        <f>VLOOKUP($D107,'WB Data'!$C$3:$M$578,11,FALSE)</f>
        <v>33.799999999999997</v>
      </c>
      <c r="BS107" s="129">
        <f>IFERROR(VLOOKUP($D107,'WB Data 2'!$C$2:$K$545,9,FALSE),"..")</f>
        <v>84.726050000000001</v>
      </c>
      <c r="BT107" s="129">
        <f>_xlfn.IFNA(VLOOKUP($C107,RGI!$A$2:$C$43,2,FALSE),"..")</f>
        <v>75.099999999999994</v>
      </c>
      <c r="BU107" s="129">
        <f>_xlfn.IFNA(VLOOKUP($C107,RGI!$A$2:$C$43,3,FALSE),"..")</f>
        <v>48.092853423547197</v>
      </c>
      <c r="BV107" s="129">
        <f>VLOOKUP($D107,WGI!$C$2:$O$478,7,FALSE)</f>
        <v>-1.2560356657365599</v>
      </c>
      <c r="BW107" s="129">
        <f>VLOOKUP($D107,WGI!$C$2:$O$478,4,FALSE)</f>
        <v>-0.25327806107414602</v>
      </c>
      <c r="BX107" s="129">
        <f>VLOOKUP($D107,WGI!$C$2:$O$478,3,FALSE)</f>
        <v>-0.79394637716512195</v>
      </c>
      <c r="BY107" s="129">
        <f>VLOOKUP($D107,WGI!$C$2:$O$478,5,FALSE)</f>
        <v>-0.36834713846671502</v>
      </c>
      <c r="BZ107" s="129">
        <f>VLOOKUP($D107,WGI!$C$2:$O$478,2,FALSE)</f>
        <v>-1.1790171369459901</v>
      </c>
    </row>
    <row r="108" spans="1:80" ht="15" customHeight="1">
      <c r="A108" s="145" t="s">
        <v>75</v>
      </c>
      <c r="B108" s="117">
        <v>2010</v>
      </c>
      <c r="C108" s="117" t="s">
        <v>53</v>
      </c>
      <c r="D108" s="117" t="s">
        <v>3654</v>
      </c>
      <c r="E108" s="174" t="s">
        <v>39</v>
      </c>
      <c r="F108" s="117"/>
      <c r="G108" s="117" t="s">
        <v>24</v>
      </c>
      <c r="H108" s="117" t="str">
        <f t="shared" si="23"/>
        <v>yes</v>
      </c>
      <c r="I108" s="117" t="str">
        <f t="shared" si="24"/>
        <v>no</v>
      </c>
      <c r="J108" s="117" t="str">
        <f t="shared" si="25"/>
        <v>no</v>
      </c>
      <c r="K108" s="176" t="s">
        <v>600</v>
      </c>
      <c r="L108" s="117" t="str">
        <f t="shared" si="13"/>
        <v>Total</v>
      </c>
      <c r="M108" s="117" t="str">
        <f t="shared" si="26"/>
        <v>Total Mining</v>
      </c>
      <c r="N108" s="118"/>
      <c r="O108" s="118"/>
      <c r="P108" s="118"/>
      <c r="Q108" s="118"/>
      <c r="R108" s="118"/>
      <c r="S108" s="117"/>
      <c r="T108" s="119"/>
      <c r="U108" s="117"/>
      <c r="V108" s="117"/>
      <c r="W108" s="89">
        <f>SUM(W109:W110)</f>
        <v>75782243.744054854</v>
      </c>
      <c r="X108" s="117"/>
      <c r="Y108" s="117"/>
      <c r="Z108" s="117"/>
      <c r="AA108" s="179"/>
      <c r="AB108" s="179"/>
      <c r="AC108" s="212"/>
      <c r="AD108" s="212"/>
      <c r="AE108" s="212"/>
      <c r="AF108" s="213"/>
      <c r="AG108" s="117"/>
      <c r="AH108" s="124"/>
      <c r="AI108" s="117"/>
      <c r="AJ108" s="117" t="s">
        <v>796</v>
      </c>
      <c r="AK108" s="89">
        <f>SUM(AK109:AK110)</f>
        <v>9485161.6356334239</v>
      </c>
      <c r="AL108" s="117"/>
      <c r="AM108" s="117"/>
      <c r="AN108" s="214"/>
      <c r="AO108" s="117"/>
      <c r="AP108" s="117"/>
      <c r="AQ108" s="232"/>
      <c r="AR108" s="126"/>
      <c r="AS108" s="117"/>
      <c r="AT108" s="127"/>
      <c r="AU108" s="215"/>
      <c r="AV108" s="128"/>
      <c r="AW108" s="117">
        <f>VLOOKUP($D108,'WB Data'!$C$3:$M$578,2,FALSE)</f>
        <v>52902703376.105644</v>
      </c>
      <c r="AX108" s="117">
        <f>VLOOKUP($D108,'WB Data'!$C$3:$M$578,3,FALSE)</f>
        <v>9054332</v>
      </c>
      <c r="AY108" s="847">
        <f t="shared" si="16"/>
        <v>0.37299964627757543</v>
      </c>
      <c r="AZ108" s="117">
        <f>VLOOKUP($D108,'WB Data'!$C$3:$M$578,4,FALSE)/100</f>
        <v>0.46828917932414932</v>
      </c>
      <c r="BA108" s="117">
        <f t="shared" si="17"/>
        <v>24773763548.025417</v>
      </c>
      <c r="BB108" s="129">
        <f>IFERROR(VLOOKUP($D108,'EITI Revenues'!$C$2:$G$224,5,FALSE),"..")</f>
        <v>19732689646.414902</v>
      </c>
      <c r="BC108" s="846">
        <f t="shared" si="18"/>
        <v>0.79651562057423797</v>
      </c>
      <c r="BD108" s="129">
        <f>VLOOKUP($D108,'WB Data 2'!$C$2:$K$545,6,FALSE)</f>
        <v>25052627485.610779</v>
      </c>
      <c r="BE108" s="129">
        <f>IFERROR(VLOOKUP($D108,UNCTAD!$C$5:$V$529,4,FALSE),"..")</f>
        <v>28589945000</v>
      </c>
      <c r="BF108" s="846">
        <f t="shared" si="19"/>
        <v>0.87627407067802265</v>
      </c>
      <c r="BG108" s="117">
        <f>VLOOKUP($D108,'WB Data'!$C$3:$M$578,5,FALSE)</f>
        <v>159110000</v>
      </c>
      <c r="BH108" s="129">
        <f>IFERROR($BB108/$BG108,"..")</f>
        <v>124.01916690600781</v>
      </c>
      <c r="BI108" s="117">
        <f>IFERROR(VLOOKUP($D108,'WB Data'!$C$3:$M$578,7,FALSE)/100,"..")</f>
        <v>2.78062E-2</v>
      </c>
      <c r="BJ108" s="117">
        <f>IFERROR($BI108*$AW108,"..")</f>
        <v>1471023150.6166687</v>
      </c>
      <c r="BK108" s="846">
        <f>IFERROR($BB108/$BJ108,"..")</f>
        <v>13.414261793325785</v>
      </c>
      <c r="BL108" s="117">
        <f>IFERROR(VLOOKUP($D108,'WB Data'!$C$3:$M$578,7,FALSE)/100,"..")</f>
        <v>2.78062E-2</v>
      </c>
      <c r="BM108" s="117">
        <f>IFERROR($AW108*$BL108,"..")</f>
        <v>1471023150.6166687</v>
      </c>
      <c r="BN108" s="846">
        <f>IFERROR($BB108/$BM108,"..")</f>
        <v>13.414261793325785</v>
      </c>
      <c r="BO108" s="801">
        <f t="shared" si="15"/>
        <v>29</v>
      </c>
      <c r="BP108" s="117">
        <f>VLOOKUP($D108,'WB Data'!$C$3:$M$578,9,FALSE)</f>
        <v>9.1</v>
      </c>
      <c r="BQ108" s="117">
        <f>VLOOKUP($D108,'WB Data'!$C$3:$M$578,10,FALSE)</f>
        <v>70.450292682926829</v>
      </c>
      <c r="BR108" s="117">
        <f>VLOOKUP($D108,'WB Data'!$C$3:$M$578,11,FALSE)</f>
        <v>33.799999999999997</v>
      </c>
      <c r="BS108" s="129">
        <f>IFERROR(VLOOKUP($D108,'WB Data 2'!$C$2:$K$545,9,FALSE),"..")</f>
        <v>84.726050000000001</v>
      </c>
      <c r="BT108" s="129">
        <f>_xlfn.IFNA(VLOOKUP($C108,RGI!$A$2:$C$43,2,FALSE),"..")</f>
        <v>75.099999999999994</v>
      </c>
      <c r="BU108" s="129">
        <f>_xlfn.IFNA(VLOOKUP($C108,RGI!$A$2:$C$43,3,FALSE),"..")</f>
        <v>48.092853423547197</v>
      </c>
      <c r="BV108" s="129">
        <f>VLOOKUP($D108,WGI!$C$2:$O$478,7,FALSE)</f>
        <v>-1.2560356657365599</v>
      </c>
      <c r="BW108" s="129">
        <f>VLOOKUP($D108,WGI!$C$2:$O$478,4,FALSE)</f>
        <v>-0.25327806107414602</v>
      </c>
      <c r="BX108" s="129">
        <f>VLOOKUP($D108,WGI!$C$2:$O$478,3,FALSE)</f>
        <v>-0.79394637716512195</v>
      </c>
      <c r="BY108" s="129">
        <f>VLOOKUP($D108,WGI!$C$2:$O$478,5,FALSE)</f>
        <v>-0.36834713846671502</v>
      </c>
      <c r="BZ108" s="129">
        <f>VLOOKUP($D108,WGI!$C$2:$O$478,2,FALSE)</f>
        <v>-1.1790171369459901</v>
      </c>
    </row>
    <row r="109" spans="1:80" ht="15" customHeight="1">
      <c r="A109" s="145" t="s">
        <v>75</v>
      </c>
      <c r="B109" s="117">
        <v>2010</v>
      </c>
      <c r="C109" s="117" t="s">
        <v>53</v>
      </c>
      <c r="D109" s="117" t="s">
        <v>3654</v>
      </c>
      <c r="E109" s="174" t="s">
        <v>39</v>
      </c>
      <c r="F109" s="117"/>
      <c r="G109" s="117" t="s">
        <v>24</v>
      </c>
      <c r="H109" s="117" t="str">
        <f t="shared" si="23"/>
        <v>yes</v>
      </c>
      <c r="I109" s="117" t="str">
        <f t="shared" si="24"/>
        <v>no</v>
      </c>
      <c r="J109" s="117" t="str">
        <f t="shared" si="25"/>
        <v>no</v>
      </c>
      <c r="K109" s="176" t="s">
        <v>784</v>
      </c>
      <c r="L109" s="117" t="str">
        <f t="shared" si="13"/>
        <v>detailed</v>
      </c>
      <c r="M109" s="117" t="str">
        <f t="shared" si="26"/>
        <v>detailed Mining</v>
      </c>
      <c r="N109" s="118">
        <f>1900*32.150743126506</f>
        <v>61086.411940361402</v>
      </c>
      <c r="O109" s="118"/>
      <c r="P109" s="118"/>
      <c r="Q109" s="118"/>
      <c r="R109" s="118"/>
      <c r="S109" s="117" t="s">
        <v>785</v>
      </c>
      <c r="T109" s="119">
        <v>1224.66425</v>
      </c>
      <c r="U109" s="117" t="s">
        <v>786</v>
      </c>
      <c r="V109" s="233" t="s">
        <v>787</v>
      </c>
      <c r="W109" s="89">
        <f>N109*T109</f>
        <v>74810344.864133745</v>
      </c>
      <c r="X109" s="117"/>
      <c r="Y109" s="117"/>
      <c r="Z109" s="117"/>
      <c r="AA109" s="179"/>
      <c r="AB109" s="179"/>
      <c r="AC109" s="212"/>
      <c r="AD109" s="212"/>
      <c r="AE109" s="212"/>
      <c r="AF109" s="213"/>
      <c r="AG109" s="117"/>
      <c r="AH109" s="124"/>
      <c r="AI109" s="117"/>
      <c r="AJ109" s="117" t="s">
        <v>797</v>
      </c>
      <c r="AK109" s="89">
        <v>9376335.6606334411</v>
      </c>
      <c r="AL109" s="117"/>
      <c r="AM109" s="117"/>
      <c r="AN109" s="214"/>
      <c r="AO109" s="117"/>
      <c r="AP109" s="117"/>
      <c r="AQ109" s="232"/>
      <c r="AR109" s="126"/>
      <c r="AS109" s="117"/>
      <c r="AT109" s="127"/>
      <c r="AU109" s="215"/>
      <c r="AV109" s="128"/>
      <c r="AW109" s="117">
        <f>VLOOKUP($D109,'WB Data'!$C$3:$M$578,2,FALSE)</f>
        <v>52902703376.105644</v>
      </c>
      <c r="AX109" s="117">
        <f>VLOOKUP($D109,'WB Data'!$C$3:$M$578,3,FALSE)</f>
        <v>9054332</v>
      </c>
      <c r="AY109" s="847">
        <f t="shared" si="16"/>
        <v>0.37299964627757543</v>
      </c>
      <c r="AZ109" s="117">
        <f>VLOOKUP($D109,'WB Data'!$C$3:$M$578,4,FALSE)/100</f>
        <v>0.46828917932414932</v>
      </c>
      <c r="BA109" s="117">
        <f t="shared" si="17"/>
        <v>24773763548.025417</v>
      </c>
      <c r="BB109" s="129">
        <f>IFERROR(VLOOKUP($D109,'EITI Revenues'!$C$2:$G$224,5,FALSE),"..")</f>
        <v>19732689646.414902</v>
      </c>
      <c r="BC109" s="846">
        <f t="shared" si="18"/>
        <v>0.79651562057423797</v>
      </c>
      <c r="BD109" s="129">
        <f>VLOOKUP($D109,'WB Data 2'!$C$2:$K$545,6,FALSE)</f>
        <v>25052627485.610779</v>
      </c>
      <c r="BE109" s="129">
        <f>IFERROR(VLOOKUP($D109,UNCTAD!$C$5:$V$529,4,FALSE),"..")</f>
        <v>28589945000</v>
      </c>
      <c r="BF109" s="846">
        <f t="shared" si="19"/>
        <v>0.87627407067802265</v>
      </c>
      <c r="BG109" s="117">
        <f>VLOOKUP($D109,'WB Data'!$C$3:$M$578,5,FALSE)</f>
        <v>159110000</v>
      </c>
      <c r="BH109" s="129">
        <f>IFERROR($BB109/$BG109,"..")</f>
        <v>124.01916690600781</v>
      </c>
      <c r="BI109" s="117">
        <f>IFERROR(VLOOKUP($D109,'WB Data'!$C$3:$M$578,7,FALSE)/100,"..")</f>
        <v>2.78062E-2</v>
      </c>
      <c r="BJ109" s="117">
        <f>IFERROR($BI109*$AW109,"..")</f>
        <v>1471023150.6166687</v>
      </c>
      <c r="BK109" s="846">
        <f>IFERROR($BB109/$BJ109,"..")</f>
        <v>13.414261793325785</v>
      </c>
      <c r="BL109" s="117">
        <f>IFERROR(VLOOKUP($D109,'WB Data'!$C$3:$M$578,7,FALSE)/100,"..")</f>
        <v>2.78062E-2</v>
      </c>
      <c r="BM109" s="117">
        <f>IFERROR($AW109*$BL109,"..")</f>
        <v>1471023150.6166687</v>
      </c>
      <c r="BN109" s="846">
        <f>IFERROR($BB109/$BM109,"..")</f>
        <v>13.414261793325785</v>
      </c>
      <c r="BO109" s="801">
        <f t="shared" si="15"/>
        <v>29</v>
      </c>
      <c r="BP109" s="117">
        <f>VLOOKUP($D109,'WB Data'!$C$3:$M$578,9,FALSE)</f>
        <v>9.1</v>
      </c>
      <c r="BQ109" s="117">
        <f>VLOOKUP($D109,'WB Data'!$C$3:$M$578,10,FALSE)</f>
        <v>70.450292682926829</v>
      </c>
      <c r="BR109" s="117">
        <f>VLOOKUP($D109,'WB Data'!$C$3:$M$578,11,FALSE)</f>
        <v>33.799999999999997</v>
      </c>
      <c r="BS109" s="129">
        <f>IFERROR(VLOOKUP($D109,'WB Data 2'!$C$2:$K$545,9,FALSE),"..")</f>
        <v>84.726050000000001</v>
      </c>
      <c r="BT109" s="129">
        <f>_xlfn.IFNA(VLOOKUP($C109,RGI!$A$2:$C$43,2,FALSE),"..")</f>
        <v>75.099999999999994</v>
      </c>
      <c r="BU109" s="129">
        <f>_xlfn.IFNA(VLOOKUP($C109,RGI!$A$2:$C$43,3,FALSE),"..")</f>
        <v>48.092853423547197</v>
      </c>
      <c r="BV109" s="129">
        <f>VLOOKUP($D109,WGI!$C$2:$O$478,7,FALSE)</f>
        <v>-1.2560356657365599</v>
      </c>
      <c r="BW109" s="129">
        <f>VLOOKUP($D109,WGI!$C$2:$O$478,4,FALSE)</f>
        <v>-0.25327806107414602</v>
      </c>
      <c r="BX109" s="129">
        <f>VLOOKUP($D109,WGI!$C$2:$O$478,3,FALSE)</f>
        <v>-0.79394637716512195</v>
      </c>
      <c r="BY109" s="129">
        <f>VLOOKUP($D109,WGI!$C$2:$O$478,5,FALSE)</f>
        <v>-0.36834713846671502</v>
      </c>
      <c r="BZ109" s="129">
        <f>VLOOKUP($D109,WGI!$C$2:$O$478,2,FALSE)</f>
        <v>-1.1790171369459901</v>
      </c>
    </row>
    <row r="110" spans="1:80" ht="15" customHeight="1">
      <c r="A110" s="145" t="s">
        <v>75</v>
      </c>
      <c r="B110" s="117">
        <v>2010</v>
      </c>
      <c r="C110" s="117" t="s">
        <v>53</v>
      </c>
      <c r="D110" s="117" t="s">
        <v>3654</v>
      </c>
      <c r="E110" s="174" t="s">
        <v>39</v>
      </c>
      <c r="F110" s="117"/>
      <c r="G110" s="117" t="s">
        <v>24</v>
      </c>
      <c r="H110" s="117" t="str">
        <f t="shared" si="23"/>
        <v>yes</v>
      </c>
      <c r="I110" s="117" t="str">
        <f t="shared" si="24"/>
        <v>no</v>
      </c>
      <c r="J110" s="117" t="str">
        <f t="shared" si="25"/>
        <v>no</v>
      </c>
      <c r="K110" s="176" t="s">
        <v>789</v>
      </c>
      <c r="L110" s="117" t="str">
        <f t="shared" si="13"/>
        <v>detailed</v>
      </c>
      <c r="M110" s="117" t="str">
        <f t="shared" si="26"/>
        <v>detailed Mining</v>
      </c>
      <c r="N110" s="118">
        <f>1500*32.150743126506</f>
        <v>48226.114689759001</v>
      </c>
      <c r="O110" s="118"/>
      <c r="P110" s="118"/>
      <c r="Q110" s="118"/>
      <c r="R110" s="118"/>
      <c r="S110" s="117" t="s">
        <v>785</v>
      </c>
      <c r="T110" s="119">
        <f>20.15295833333/1</f>
        <v>20.152958333330002</v>
      </c>
      <c r="U110" s="117" t="s">
        <v>786</v>
      </c>
      <c r="V110" s="117" t="s">
        <v>798</v>
      </c>
      <c r="W110" s="89">
        <f>N110*T110</f>
        <v>971898.87992110709</v>
      </c>
      <c r="X110" s="117"/>
      <c r="Y110" s="117"/>
      <c r="Z110" s="117"/>
      <c r="AA110" s="179"/>
      <c r="AB110" s="179"/>
      <c r="AC110" s="212"/>
      <c r="AD110" s="212"/>
      <c r="AE110" s="212"/>
      <c r="AF110" s="213"/>
      <c r="AG110" s="117"/>
      <c r="AH110" s="124"/>
      <c r="AI110" s="117"/>
      <c r="AJ110" s="117" t="s">
        <v>799</v>
      </c>
      <c r="AK110" s="89">
        <v>108825.97499998201</v>
      </c>
      <c r="AL110" s="117"/>
      <c r="AM110" s="117"/>
      <c r="AN110" s="214"/>
      <c r="AO110" s="117"/>
      <c r="AP110" s="117"/>
      <c r="AQ110" s="232"/>
      <c r="AR110" s="126"/>
      <c r="AS110" s="117"/>
      <c r="AT110" s="127"/>
      <c r="AU110" s="215"/>
      <c r="AV110" s="128"/>
      <c r="AW110" s="117">
        <f>VLOOKUP($D110,'WB Data'!$C$3:$M$578,2,FALSE)</f>
        <v>52902703376.105644</v>
      </c>
      <c r="AX110" s="117">
        <f>VLOOKUP($D110,'WB Data'!$C$3:$M$578,3,FALSE)</f>
        <v>9054332</v>
      </c>
      <c r="AY110" s="847">
        <f t="shared" si="16"/>
        <v>0.37299964627757543</v>
      </c>
      <c r="AZ110" s="117">
        <f>VLOOKUP($D110,'WB Data'!$C$3:$M$578,4,FALSE)/100</f>
        <v>0.46828917932414932</v>
      </c>
      <c r="BA110" s="117">
        <f t="shared" si="17"/>
        <v>24773763548.025417</v>
      </c>
      <c r="BB110" s="129">
        <f>IFERROR(VLOOKUP($D110,'EITI Revenues'!$C$2:$G$224,5,FALSE),"..")</f>
        <v>19732689646.414902</v>
      </c>
      <c r="BC110" s="846">
        <f t="shared" si="18"/>
        <v>0.79651562057423797</v>
      </c>
      <c r="BD110" s="129">
        <f>VLOOKUP($D110,'WB Data 2'!$C$2:$K$545,6,FALSE)</f>
        <v>25052627485.610779</v>
      </c>
      <c r="BE110" s="129">
        <f>IFERROR(VLOOKUP($D110,UNCTAD!$C$5:$V$529,4,FALSE),"..")</f>
        <v>28589945000</v>
      </c>
      <c r="BF110" s="846">
        <f t="shared" si="19"/>
        <v>0.87627407067802265</v>
      </c>
      <c r="BG110" s="117">
        <f>VLOOKUP($D110,'WB Data'!$C$3:$M$578,5,FALSE)</f>
        <v>159110000</v>
      </c>
      <c r="BH110" s="129">
        <f>IFERROR($BB110/$BG110,"..")</f>
        <v>124.01916690600781</v>
      </c>
      <c r="BI110" s="117">
        <f>IFERROR(VLOOKUP($D110,'WB Data'!$C$3:$M$578,7,FALSE)/100,"..")</f>
        <v>2.78062E-2</v>
      </c>
      <c r="BJ110" s="117">
        <f>IFERROR($BI110*$AW110,"..")</f>
        <v>1471023150.6166687</v>
      </c>
      <c r="BK110" s="846">
        <f>IFERROR($BB110/$BJ110,"..")</f>
        <v>13.414261793325785</v>
      </c>
      <c r="BL110" s="117">
        <f>IFERROR(VLOOKUP($D110,'WB Data'!$C$3:$M$578,7,FALSE)/100,"..")</f>
        <v>2.78062E-2</v>
      </c>
      <c r="BM110" s="117">
        <f>IFERROR($AW110*$BL110,"..")</f>
        <v>1471023150.6166687</v>
      </c>
      <c r="BN110" s="846">
        <f>IFERROR($BB110/$BM110,"..")</f>
        <v>13.414261793325785</v>
      </c>
      <c r="BO110" s="801">
        <f t="shared" si="15"/>
        <v>29</v>
      </c>
      <c r="BP110" s="117">
        <f>VLOOKUP($D110,'WB Data'!$C$3:$M$578,9,FALSE)</f>
        <v>9.1</v>
      </c>
      <c r="BQ110" s="117">
        <f>VLOOKUP($D110,'WB Data'!$C$3:$M$578,10,FALSE)</f>
        <v>70.450292682926829</v>
      </c>
      <c r="BR110" s="117">
        <f>VLOOKUP($D110,'WB Data'!$C$3:$M$578,11,FALSE)</f>
        <v>33.799999999999997</v>
      </c>
      <c r="BS110" s="129">
        <f>IFERROR(VLOOKUP($D110,'WB Data 2'!$C$2:$K$545,9,FALSE),"..")</f>
        <v>84.726050000000001</v>
      </c>
      <c r="BT110" s="129">
        <f>_xlfn.IFNA(VLOOKUP($C110,RGI!$A$2:$C$43,2,FALSE),"..")</f>
        <v>75.099999999999994</v>
      </c>
      <c r="BU110" s="129">
        <f>_xlfn.IFNA(VLOOKUP($C110,RGI!$A$2:$C$43,3,FALSE),"..")</f>
        <v>48.092853423547197</v>
      </c>
      <c r="BV110" s="129">
        <f>VLOOKUP($D110,WGI!$C$2:$O$478,7,FALSE)</f>
        <v>-1.2560356657365599</v>
      </c>
      <c r="BW110" s="129">
        <f>VLOOKUP($D110,WGI!$C$2:$O$478,4,FALSE)</f>
        <v>-0.25327806107414602</v>
      </c>
      <c r="BX110" s="129">
        <f>VLOOKUP($D110,WGI!$C$2:$O$478,3,FALSE)</f>
        <v>-0.79394637716512195</v>
      </c>
      <c r="BY110" s="129">
        <f>VLOOKUP($D110,WGI!$C$2:$O$478,5,FALSE)</f>
        <v>-0.36834713846671502</v>
      </c>
      <c r="BZ110" s="129">
        <f>VLOOKUP($D110,WGI!$C$2:$O$478,2,FALSE)</f>
        <v>-1.1790171369459901</v>
      </c>
    </row>
    <row r="111" spans="1:80" s="144" customFormat="1" ht="15" customHeight="1">
      <c r="A111" s="130" t="s">
        <v>78</v>
      </c>
      <c r="B111" s="132">
        <v>2011</v>
      </c>
      <c r="C111" s="132" t="s">
        <v>53</v>
      </c>
      <c r="D111" s="117" t="s">
        <v>3688</v>
      </c>
      <c r="E111" s="181" t="s">
        <v>39</v>
      </c>
      <c r="F111" s="132" t="s">
        <v>729</v>
      </c>
      <c r="G111" s="132" t="s">
        <v>35</v>
      </c>
      <c r="H111" s="117" t="str">
        <f t="shared" si="23"/>
        <v>yes</v>
      </c>
      <c r="I111" s="117" t="str">
        <f t="shared" si="24"/>
        <v>yes</v>
      </c>
      <c r="J111" s="117" t="str">
        <f t="shared" si="25"/>
        <v>yes</v>
      </c>
      <c r="K111" s="182" t="s">
        <v>709</v>
      </c>
      <c r="L111" s="117" t="str">
        <f t="shared" si="13"/>
        <v>Total</v>
      </c>
      <c r="M111" s="117" t="str">
        <f t="shared" si="26"/>
        <v>Total Oil, Gas, Mining</v>
      </c>
      <c r="N111" s="133"/>
      <c r="O111" s="133"/>
      <c r="P111" s="133"/>
      <c r="Q111" s="133"/>
      <c r="R111" s="133"/>
      <c r="S111" s="132"/>
      <c r="T111" s="134"/>
      <c r="U111" s="132"/>
      <c r="V111" s="132"/>
      <c r="W111" s="135">
        <f>W112+W115</f>
        <v>40062322533.943047</v>
      </c>
      <c r="X111" s="136" t="s">
        <v>800</v>
      </c>
      <c r="Y111" s="132" t="s">
        <v>663</v>
      </c>
      <c r="Z111" s="132" t="s">
        <v>664</v>
      </c>
      <c r="AA111" s="237">
        <f>23795722532+AK115</f>
        <v>23901723060.05368</v>
      </c>
      <c r="AB111" s="237">
        <f>23789422532+AK115</f>
        <v>23895423060.05368</v>
      </c>
      <c r="AC111" s="226" t="s">
        <v>801</v>
      </c>
      <c r="AD111" s="238">
        <f>(AA111/99.99)*100</f>
        <v>23904113471.400822</v>
      </c>
      <c r="AE111" s="226" t="s">
        <v>665</v>
      </c>
      <c r="AF111" s="224">
        <f>AD111/W111</f>
        <v>0.59667318216880505</v>
      </c>
      <c r="AG111" s="132" t="s">
        <v>743</v>
      </c>
      <c r="AH111" s="140">
        <v>0.79</v>
      </c>
      <c r="AI111" s="132" t="s">
        <v>667</v>
      </c>
      <c r="AJ111" s="132" t="s">
        <v>802</v>
      </c>
      <c r="AK111" s="135">
        <f>AK112+AK115</f>
        <v>20860320528.05368</v>
      </c>
      <c r="AL111" s="132"/>
      <c r="AM111" s="132"/>
      <c r="AN111" s="228">
        <v>31</v>
      </c>
      <c r="AO111" s="132" t="s">
        <v>803</v>
      </c>
      <c r="AP111" s="132">
        <v>31</v>
      </c>
      <c r="AQ111" s="136" t="s">
        <v>79</v>
      </c>
      <c r="AR111" s="141">
        <v>41890</v>
      </c>
      <c r="AS111" s="132" t="s">
        <v>607</v>
      </c>
      <c r="AT111" s="142" t="s">
        <v>80</v>
      </c>
      <c r="AU111" s="229" t="s">
        <v>804</v>
      </c>
      <c r="AV111" s="143" t="s">
        <v>805</v>
      </c>
      <c r="AW111" s="117">
        <f>VLOOKUP($D111,'WB Data'!$C$3:$M$578,2,FALSE)</f>
        <v>65951627200.202614</v>
      </c>
      <c r="AX111" s="117">
        <f>VLOOKUP($D111,'WB Data'!$C$3:$M$578,3,FALSE)</f>
        <v>9173082</v>
      </c>
      <c r="AY111" s="847">
        <f t="shared" si="16"/>
        <v>0.36241293921771467</v>
      </c>
      <c r="AZ111" s="117">
        <f>VLOOKUP($D111,'WB Data'!$C$3:$M$578,4,FALSE)/100</f>
        <v>0.45481356322721855</v>
      </c>
      <c r="BA111" s="117">
        <f t="shared" si="17"/>
        <v>29995694567.557297</v>
      </c>
      <c r="BB111" s="129">
        <f>IFERROR(VLOOKUP($D111,'EITI Revenues'!$C$2:$G$224,5,FALSE),"..")</f>
        <v>23901723059.816406</v>
      </c>
      <c r="BC111" s="846">
        <f t="shared" si="18"/>
        <v>0.79683845979909396</v>
      </c>
      <c r="BD111" s="129">
        <f>VLOOKUP($D111,'WB Data 2'!$C$2:$K$545,6,FALSE)</f>
        <v>32749741527.378426</v>
      </c>
      <c r="BE111" s="129">
        <f>IFERROR(VLOOKUP($D111,UNCTAD!$C$5:$V$529,4,FALSE),"..")</f>
        <v>37226526000</v>
      </c>
      <c r="BF111" s="846">
        <f t="shared" si="19"/>
        <v>0.87974208303451218</v>
      </c>
      <c r="BG111" s="117">
        <f>VLOOKUP($D111,'WB Data'!$C$3:$M$578,5,FALSE)</f>
        <v>286410000</v>
      </c>
      <c r="BH111" s="129">
        <f>IFERROR($BB111/$BG111,"..")</f>
        <v>83.452823085145099</v>
      </c>
      <c r="BI111" s="117">
        <f>IFERROR(VLOOKUP($D111,'WB Data'!$C$3:$M$578,7,FALSE)/100,"..")</f>
        <v>2.4356399999999997E-2</v>
      </c>
      <c r="BJ111" s="117">
        <f>IFERROR($BI111*$AW111,"..")</f>
        <v>1606344212.7390146</v>
      </c>
      <c r="BK111" s="846">
        <f>IFERROR($BB111/$BJ111,"..")</f>
        <v>14.879577409539781</v>
      </c>
      <c r="BL111" s="117">
        <f>IFERROR(VLOOKUP($D111,'WB Data'!$C$3:$M$578,7,FALSE)/100,"..")</f>
        <v>2.4356399999999997E-2</v>
      </c>
      <c r="BM111" s="117">
        <f>IFERROR($AW111*$BL111,"..")</f>
        <v>1606344212.7390146</v>
      </c>
      <c r="BN111" s="846">
        <f>IFERROR($BB111/$BM111,"..")</f>
        <v>14.879577409539781</v>
      </c>
      <c r="BO111" s="801">
        <f t="shared" si="15"/>
        <v>29</v>
      </c>
      <c r="BP111" s="117">
        <f>VLOOKUP($D111,'WB Data'!$C$3:$M$578,9,FALSE)</f>
        <v>7.6</v>
      </c>
      <c r="BQ111" s="117">
        <f>VLOOKUP($D111,'WB Data'!$C$3:$M$578,10,FALSE)</f>
        <v>70.551292682926842</v>
      </c>
      <c r="BR111" s="117">
        <f>VLOOKUP($D111,'WB Data'!$C$3:$M$578,11,FALSE)</f>
        <v>32.4</v>
      </c>
      <c r="BS111" s="129">
        <f>IFERROR(VLOOKUP($D111,'WB Data 2'!$C$2:$K$545,9,FALSE),"..")</f>
        <v>87.268079999999998</v>
      </c>
      <c r="BT111" s="129">
        <f>_xlfn.IFNA(VLOOKUP($C111,RGI!$A$2:$C$43,2,FALSE),"..")</f>
        <v>75.099999999999994</v>
      </c>
      <c r="BU111" s="129">
        <f>_xlfn.IFNA(VLOOKUP($C111,RGI!$A$2:$C$43,3,FALSE),"..")</f>
        <v>48.092853423547197</v>
      </c>
      <c r="BV111" s="129">
        <f>VLOOKUP($D111,WGI!$C$2:$O$478,7,FALSE)</f>
        <v>-1.2659435619088599</v>
      </c>
      <c r="BW111" s="129">
        <f>VLOOKUP($D111,WGI!$C$2:$O$478,4,FALSE)</f>
        <v>-0.52623108297866805</v>
      </c>
      <c r="BX111" s="129">
        <f>VLOOKUP($D111,WGI!$C$2:$O$478,3,FALSE)</f>
        <v>-0.75540487024948</v>
      </c>
      <c r="BY111" s="129">
        <f>VLOOKUP($D111,WGI!$C$2:$O$478,5,FALSE)</f>
        <v>-0.36687326629287698</v>
      </c>
      <c r="BZ111" s="129">
        <f>VLOOKUP($D111,WGI!$C$2:$O$478,2,FALSE)</f>
        <v>-1.1177505725186601</v>
      </c>
      <c r="CB111" s="129"/>
    </row>
    <row r="112" spans="1:80" s="120" customFormat="1" ht="15" customHeight="1">
      <c r="A112" s="145" t="s">
        <v>78</v>
      </c>
      <c r="B112" s="117">
        <v>2011</v>
      </c>
      <c r="C112" s="117" t="s">
        <v>53</v>
      </c>
      <c r="D112" s="117" t="s">
        <v>3688</v>
      </c>
      <c r="E112" s="174" t="s">
        <v>39</v>
      </c>
      <c r="F112" s="117"/>
      <c r="G112" s="117" t="s">
        <v>55</v>
      </c>
      <c r="H112" s="117" t="str">
        <f t="shared" si="23"/>
        <v>no</v>
      </c>
      <c r="I112" s="117" t="str">
        <f t="shared" si="24"/>
        <v>yes</v>
      </c>
      <c r="J112" s="117" t="str">
        <f t="shared" si="25"/>
        <v>yes</v>
      </c>
      <c r="K112" s="176" t="s">
        <v>640</v>
      </c>
      <c r="L112" s="117" t="str">
        <f t="shared" si="13"/>
        <v>Total</v>
      </c>
      <c r="M112" s="117" t="str">
        <f t="shared" si="26"/>
        <v>Total Oil, Gas</v>
      </c>
      <c r="N112" s="118"/>
      <c r="O112" s="118"/>
      <c r="P112" s="118"/>
      <c r="Q112" s="118"/>
      <c r="R112" s="118"/>
      <c r="S112" s="117"/>
      <c r="T112" s="119"/>
      <c r="U112" s="117"/>
      <c r="V112" s="117"/>
      <c r="W112" s="89">
        <f>SUM(W113:W114)</f>
        <v>39971393256.34037</v>
      </c>
      <c r="X112" s="117"/>
      <c r="Y112" s="117"/>
      <c r="Z112" s="117"/>
      <c r="AA112" s="179"/>
      <c r="AB112" s="179"/>
      <c r="AC112" s="212"/>
      <c r="AD112" s="179"/>
      <c r="AE112" s="179"/>
      <c r="AF112" s="213"/>
      <c r="AG112" s="117"/>
      <c r="AH112" s="124"/>
      <c r="AI112" s="117"/>
      <c r="AJ112" s="117" t="s">
        <v>806</v>
      </c>
      <c r="AK112" s="89">
        <f>SUM(AK113:AK114)</f>
        <v>20754320000</v>
      </c>
      <c r="AL112" s="117"/>
      <c r="AM112" s="117"/>
      <c r="AN112" s="214"/>
      <c r="AO112" s="117"/>
      <c r="AP112" s="117"/>
      <c r="AQ112" s="232"/>
      <c r="AR112" s="126"/>
      <c r="AS112" s="117"/>
      <c r="AT112" s="127"/>
      <c r="AU112" s="215"/>
      <c r="AV112" s="128"/>
      <c r="AW112" s="117">
        <f>VLOOKUP($D112,'WB Data'!$C$3:$M$578,2,FALSE)</f>
        <v>65951627200.202614</v>
      </c>
      <c r="AX112" s="117">
        <f>VLOOKUP($D112,'WB Data'!$C$3:$M$578,3,FALSE)</f>
        <v>9173082</v>
      </c>
      <c r="AY112" s="847">
        <f t="shared" si="16"/>
        <v>0.36241293921771467</v>
      </c>
      <c r="AZ112" s="117">
        <f>VLOOKUP($D112,'WB Data'!$C$3:$M$578,4,FALSE)/100</f>
        <v>0.45481356322721855</v>
      </c>
      <c r="BA112" s="117">
        <f t="shared" si="17"/>
        <v>29995694567.557297</v>
      </c>
      <c r="BB112" s="129">
        <f>IFERROR(VLOOKUP($D112,'EITI Revenues'!$C$2:$G$224,5,FALSE),"..")</f>
        <v>23901723059.816406</v>
      </c>
      <c r="BC112" s="846">
        <f t="shared" si="18"/>
        <v>0.79683845979909396</v>
      </c>
      <c r="BD112" s="129">
        <f>VLOOKUP($D112,'WB Data 2'!$C$2:$K$545,6,FALSE)</f>
        <v>32749741527.378426</v>
      </c>
      <c r="BE112" s="129">
        <f>IFERROR(VLOOKUP($D112,UNCTAD!$C$5:$V$529,4,FALSE),"..")</f>
        <v>37226526000</v>
      </c>
      <c r="BF112" s="846">
        <f t="shared" si="19"/>
        <v>0.87974208303451218</v>
      </c>
      <c r="BG112" s="117">
        <f>VLOOKUP($D112,'WB Data'!$C$3:$M$578,5,FALSE)</f>
        <v>286410000</v>
      </c>
      <c r="BH112" s="129">
        <f>IFERROR($BB112/$BG112,"..")</f>
        <v>83.452823085145099</v>
      </c>
      <c r="BI112" s="117">
        <f>IFERROR(VLOOKUP($D112,'WB Data'!$C$3:$M$578,7,FALSE)/100,"..")</f>
        <v>2.4356399999999997E-2</v>
      </c>
      <c r="BJ112" s="117">
        <f>IFERROR($BI112*$AW112,"..")</f>
        <v>1606344212.7390146</v>
      </c>
      <c r="BK112" s="846">
        <f>IFERROR($BB112/$BJ112,"..")</f>
        <v>14.879577409539781</v>
      </c>
      <c r="BL112" s="117">
        <f>IFERROR(VLOOKUP($D112,'WB Data'!$C$3:$M$578,7,FALSE)/100,"..")</f>
        <v>2.4356399999999997E-2</v>
      </c>
      <c r="BM112" s="117">
        <f>IFERROR($AW112*$BL112,"..")</f>
        <v>1606344212.7390146</v>
      </c>
      <c r="BN112" s="846">
        <f>IFERROR($BB112/$BM112,"..")</f>
        <v>14.879577409539781</v>
      </c>
      <c r="BO112" s="801">
        <f t="shared" si="15"/>
        <v>29</v>
      </c>
      <c r="BP112" s="117">
        <f>VLOOKUP($D112,'WB Data'!$C$3:$M$578,9,FALSE)</f>
        <v>7.6</v>
      </c>
      <c r="BQ112" s="117">
        <f>VLOOKUP($D112,'WB Data'!$C$3:$M$578,10,FALSE)</f>
        <v>70.551292682926842</v>
      </c>
      <c r="BR112" s="117">
        <f>VLOOKUP($D112,'WB Data'!$C$3:$M$578,11,FALSE)</f>
        <v>32.4</v>
      </c>
      <c r="BS112" s="129">
        <f>IFERROR(VLOOKUP($D112,'WB Data 2'!$C$2:$K$545,9,FALSE),"..")</f>
        <v>87.268079999999998</v>
      </c>
      <c r="BT112" s="129">
        <f>_xlfn.IFNA(VLOOKUP($C112,RGI!$A$2:$C$43,2,FALSE),"..")</f>
        <v>75.099999999999994</v>
      </c>
      <c r="BU112" s="129">
        <f>_xlfn.IFNA(VLOOKUP($C112,RGI!$A$2:$C$43,3,FALSE),"..")</f>
        <v>48.092853423547197</v>
      </c>
      <c r="BV112" s="129">
        <f>VLOOKUP($D112,WGI!$C$2:$O$478,7,FALSE)</f>
        <v>-1.2659435619088599</v>
      </c>
      <c r="BW112" s="129">
        <f>VLOOKUP($D112,WGI!$C$2:$O$478,4,FALSE)</f>
        <v>-0.52623108297866805</v>
      </c>
      <c r="BX112" s="129">
        <f>VLOOKUP($D112,WGI!$C$2:$O$478,3,FALSE)</f>
        <v>-0.75540487024948</v>
      </c>
      <c r="BY112" s="129">
        <f>VLOOKUP($D112,WGI!$C$2:$O$478,5,FALSE)</f>
        <v>-0.36687326629287698</v>
      </c>
      <c r="BZ112" s="129">
        <f>VLOOKUP($D112,WGI!$C$2:$O$478,2,FALSE)</f>
        <v>-1.1177505725186601</v>
      </c>
      <c r="CB112" s="129"/>
    </row>
    <row r="113" spans="1:80" s="120" customFormat="1" ht="15" customHeight="1">
      <c r="A113" s="145" t="s">
        <v>78</v>
      </c>
      <c r="B113" s="117">
        <v>2011</v>
      </c>
      <c r="C113" s="117" t="s">
        <v>53</v>
      </c>
      <c r="D113" s="117" t="s">
        <v>3688</v>
      </c>
      <c r="E113" s="174" t="s">
        <v>39</v>
      </c>
      <c r="F113" s="117"/>
      <c r="G113" s="117" t="s">
        <v>561</v>
      </c>
      <c r="H113" s="117" t="str">
        <f t="shared" si="23"/>
        <v>no</v>
      </c>
      <c r="I113" s="117" t="str">
        <f t="shared" si="24"/>
        <v>yes</v>
      </c>
      <c r="J113" s="117" t="str">
        <f t="shared" si="25"/>
        <v>no</v>
      </c>
      <c r="K113" s="176" t="s">
        <v>561</v>
      </c>
      <c r="L113" s="117" t="str">
        <f t="shared" si="13"/>
        <v>detailed</v>
      </c>
      <c r="M113" s="117" t="str">
        <f t="shared" si="26"/>
        <v>detailed Gas</v>
      </c>
      <c r="N113" s="118">
        <v>14800000000</v>
      </c>
      <c r="O113" s="118">
        <f>N113*0.0066</f>
        <v>97680000</v>
      </c>
      <c r="P113" s="118"/>
      <c r="Q113" s="118"/>
      <c r="R113" s="118"/>
      <c r="S113" s="117" t="s">
        <v>642</v>
      </c>
      <c r="T113" s="119">
        <v>0.1804744092121873</v>
      </c>
      <c r="U113" s="117" t="s">
        <v>643</v>
      </c>
      <c r="V113" s="117" t="s">
        <v>807</v>
      </c>
      <c r="W113" s="89">
        <f>N113*T113</f>
        <v>2671021256.3403721</v>
      </c>
      <c r="X113" s="117"/>
      <c r="Y113" s="177"/>
      <c r="Z113" s="177"/>
      <c r="AA113" s="211">
        <f>W113/W114</f>
        <v>7.1608434798998033E-2</v>
      </c>
      <c r="AB113" s="179"/>
      <c r="AC113" s="212"/>
      <c r="AD113" s="212"/>
      <c r="AE113" s="212"/>
      <c r="AF113" s="213"/>
      <c r="AG113" s="177"/>
      <c r="AH113" s="124"/>
      <c r="AI113" s="117"/>
      <c r="AJ113" s="117" t="s">
        <v>808</v>
      </c>
      <c r="AK113" s="89">
        <v>616000000</v>
      </c>
      <c r="AL113" s="117"/>
      <c r="AM113" s="117"/>
      <c r="AN113" s="214"/>
      <c r="AO113" s="117"/>
      <c r="AP113" s="117"/>
      <c r="AQ113" s="125"/>
      <c r="AR113" s="126"/>
      <c r="AS113" s="117"/>
      <c r="AT113" s="127"/>
      <c r="AU113" s="215"/>
      <c r="AV113" s="128"/>
      <c r="AW113" s="117">
        <f>VLOOKUP($D113,'WB Data'!$C$3:$M$578,2,FALSE)</f>
        <v>65951627200.202614</v>
      </c>
      <c r="AX113" s="117">
        <f>VLOOKUP($D113,'WB Data'!$C$3:$M$578,3,FALSE)</f>
        <v>9173082</v>
      </c>
      <c r="AY113" s="847">
        <f t="shared" si="16"/>
        <v>0.36241293921771467</v>
      </c>
      <c r="AZ113" s="117">
        <f>VLOOKUP($D113,'WB Data'!$C$3:$M$578,4,FALSE)/100</f>
        <v>0.45481356322721855</v>
      </c>
      <c r="BA113" s="117">
        <f t="shared" si="17"/>
        <v>29995694567.557297</v>
      </c>
      <c r="BB113" s="129">
        <f>IFERROR(VLOOKUP($D113,'EITI Revenues'!$C$2:$G$224,5,FALSE),"..")</f>
        <v>23901723059.816406</v>
      </c>
      <c r="BC113" s="846">
        <f t="shared" si="18"/>
        <v>0.79683845979909396</v>
      </c>
      <c r="BD113" s="129">
        <f>VLOOKUP($D113,'WB Data 2'!$C$2:$K$545,6,FALSE)</f>
        <v>32749741527.378426</v>
      </c>
      <c r="BE113" s="129">
        <f>IFERROR(VLOOKUP($D113,UNCTAD!$C$5:$V$529,4,FALSE),"..")</f>
        <v>37226526000</v>
      </c>
      <c r="BF113" s="846">
        <f t="shared" si="19"/>
        <v>0.87974208303451218</v>
      </c>
      <c r="BG113" s="117">
        <f>VLOOKUP($D113,'WB Data'!$C$3:$M$578,5,FALSE)</f>
        <v>286410000</v>
      </c>
      <c r="BH113" s="129">
        <f>IFERROR($BB113/$BG113,"..")</f>
        <v>83.452823085145099</v>
      </c>
      <c r="BI113" s="117">
        <f>IFERROR(VLOOKUP($D113,'WB Data'!$C$3:$M$578,7,FALSE)/100,"..")</f>
        <v>2.4356399999999997E-2</v>
      </c>
      <c r="BJ113" s="117">
        <f>IFERROR($BI113*$AW113,"..")</f>
        <v>1606344212.7390146</v>
      </c>
      <c r="BK113" s="846">
        <f>IFERROR($BB113/$BJ113,"..")</f>
        <v>14.879577409539781</v>
      </c>
      <c r="BL113" s="117">
        <f>IFERROR(VLOOKUP($D113,'WB Data'!$C$3:$M$578,7,FALSE)/100,"..")</f>
        <v>2.4356399999999997E-2</v>
      </c>
      <c r="BM113" s="117">
        <f>IFERROR($AW113*$BL113,"..")</f>
        <v>1606344212.7390146</v>
      </c>
      <c r="BN113" s="846">
        <f>IFERROR($BB113/$BM113,"..")</f>
        <v>14.879577409539781</v>
      </c>
      <c r="BO113" s="801">
        <f t="shared" si="15"/>
        <v>29</v>
      </c>
      <c r="BP113" s="117">
        <f>VLOOKUP($D113,'WB Data'!$C$3:$M$578,9,FALSE)</f>
        <v>7.6</v>
      </c>
      <c r="BQ113" s="117">
        <f>VLOOKUP($D113,'WB Data'!$C$3:$M$578,10,FALSE)</f>
        <v>70.551292682926842</v>
      </c>
      <c r="BR113" s="117">
        <f>VLOOKUP($D113,'WB Data'!$C$3:$M$578,11,FALSE)</f>
        <v>32.4</v>
      </c>
      <c r="BS113" s="129">
        <f>IFERROR(VLOOKUP($D113,'WB Data 2'!$C$2:$K$545,9,FALSE),"..")</f>
        <v>87.268079999999998</v>
      </c>
      <c r="BT113" s="129">
        <f>_xlfn.IFNA(VLOOKUP($C113,RGI!$A$2:$C$43,2,FALSE),"..")</f>
        <v>75.099999999999994</v>
      </c>
      <c r="BU113" s="129">
        <f>_xlfn.IFNA(VLOOKUP($C113,RGI!$A$2:$C$43,3,FALSE),"..")</f>
        <v>48.092853423547197</v>
      </c>
      <c r="BV113" s="129">
        <f>VLOOKUP($D113,WGI!$C$2:$O$478,7,FALSE)</f>
        <v>-1.2659435619088599</v>
      </c>
      <c r="BW113" s="129">
        <f>VLOOKUP($D113,WGI!$C$2:$O$478,4,FALSE)</f>
        <v>-0.52623108297866805</v>
      </c>
      <c r="BX113" s="129">
        <f>VLOOKUP($D113,WGI!$C$2:$O$478,3,FALSE)</f>
        <v>-0.75540487024948</v>
      </c>
      <c r="BY113" s="129">
        <f>VLOOKUP($D113,WGI!$C$2:$O$478,5,FALSE)</f>
        <v>-0.36687326629287698</v>
      </c>
      <c r="BZ113" s="129">
        <f>VLOOKUP($D113,WGI!$C$2:$O$478,2,FALSE)</f>
        <v>-1.1177505725186601</v>
      </c>
      <c r="CB113" s="129"/>
    </row>
    <row r="114" spans="1:80" s="120" customFormat="1" ht="15" customHeight="1">
      <c r="A114" s="145" t="s">
        <v>78</v>
      </c>
      <c r="B114" s="117">
        <v>2011</v>
      </c>
      <c r="C114" s="117" t="s">
        <v>53</v>
      </c>
      <c r="D114" s="117" t="s">
        <v>3688</v>
      </c>
      <c r="E114" s="174" t="s">
        <v>39</v>
      </c>
      <c r="F114" s="117"/>
      <c r="G114" s="117" t="s">
        <v>103</v>
      </c>
      <c r="H114" s="117" t="str">
        <f t="shared" si="23"/>
        <v>no</v>
      </c>
      <c r="I114" s="117" t="str">
        <f t="shared" si="24"/>
        <v>no</v>
      </c>
      <c r="J114" s="117" t="str">
        <f t="shared" si="25"/>
        <v>yes</v>
      </c>
      <c r="K114" s="176" t="s">
        <v>103</v>
      </c>
      <c r="L114" s="117" t="str">
        <f t="shared" si="13"/>
        <v>detailed</v>
      </c>
      <c r="M114" s="117" t="str">
        <f t="shared" si="26"/>
        <v>detailed Oil</v>
      </c>
      <c r="N114" s="118">
        <v>335435000</v>
      </c>
      <c r="O114" s="211">
        <f>O113/N114</f>
        <v>0.29120395903826374</v>
      </c>
      <c r="P114" s="118"/>
      <c r="Q114" s="118"/>
      <c r="R114" s="118"/>
      <c r="S114" s="117" t="s">
        <v>646</v>
      </c>
      <c r="T114" s="119">
        <v>111.2</v>
      </c>
      <c r="U114" s="117" t="s">
        <v>673</v>
      </c>
      <c r="V114" s="117" t="s">
        <v>807</v>
      </c>
      <c r="W114" s="89">
        <f>N114*T114</f>
        <v>37300372000</v>
      </c>
      <c r="X114" s="117"/>
      <c r="Y114" s="177"/>
      <c r="Z114" s="177"/>
      <c r="AA114" s="179"/>
      <c r="AB114" s="179"/>
      <c r="AC114" s="212"/>
      <c r="AD114" s="212"/>
      <c r="AE114" s="212"/>
      <c r="AF114" s="213"/>
      <c r="AG114" s="177"/>
      <c r="AH114" s="124"/>
      <c r="AI114" s="117"/>
      <c r="AJ114" s="117" t="s">
        <v>809</v>
      </c>
      <c r="AK114" s="89">
        <v>20138320000</v>
      </c>
      <c r="AL114" s="117"/>
      <c r="AM114" s="117"/>
      <c r="AN114" s="214"/>
      <c r="AO114" s="117"/>
      <c r="AP114" s="117"/>
      <c r="AQ114" s="125"/>
      <c r="AR114" s="126"/>
      <c r="AS114" s="117"/>
      <c r="AT114" s="127"/>
      <c r="AU114" s="215"/>
      <c r="AV114" s="128"/>
      <c r="AW114" s="117">
        <f>VLOOKUP($D114,'WB Data'!$C$3:$M$578,2,FALSE)</f>
        <v>65951627200.202614</v>
      </c>
      <c r="AX114" s="117">
        <f>VLOOKUP($D114,'WB Data'!$C$3:$M$578,3,FALSE)</f>
        <v>9173082</v>
      </c>
      <c r="AY114" s="847">
        <f t="shared" si="16"/>
        <v>0.36241293921771467</v>
      </c>
      <c r="AZ114" s="117">
        <f>VLOOKUP($D114,'WB Data'!$C$3:$M$578,4,FALSE)/100</f>
        <v>0.45481356322721855</v>
      </c>
      <c r="BA114" s="117">
        <f t="shared" si="17"/>
        <v>29995694567.557297</v>
      </c>
      <c r="BB114" s="129">
        <f>IFERROR(VLOOKUP($D114,'EITI Revenues'!$C$2:$G$224,5,FALSE),"..")</f>
        <v>23901723059.816406</v>
      </c>
      <c r="BC114" s="846">
        <f t="shared" si="18"/>
        <v>0.79683845979909396</v>
      </c>
      <c r="BD114" s="129">
        <f>VLOOKUP($D114,'WB Data 2'!$C$2:$K$545,6,FALSE)</f>
        <v>32749741527.378426</v>
      </c>
      <c r="BE114" s="129">
        <f>IFERROR(VLOOKUP($D114,UNCTAD!$C$5:$V$529,4,FALSE),"..")</f>
        <v>37226526000</v>
      </c>
      <c r="BF114" s="846">
        <f t="shared" si="19"/>
        <v>0.87974208303451218</v>
      </c>
      <c r="BG114" s="117">
        <f>VLOOKUP($D114,'WB Data'!$C$3:$M$578,5,FALSE)</f>
        <v>286410000</v>
      </c>
      <c r="BH114" s="129">
        <f>IFERROR($BB114/$BG114,"..")</f>
        <v>83.452823085145099</v>
      </c>
      <c r="BI114" s="117">
        <f>IFERROR(VLOOKUP($D114,'WB Data'!$C$3:$M$578,7,FALSE)/100,"..")</f>
        <v>2.4356399999999997E-2</v>
      </c>
      <c r="BJ114" s="117">
        <f>IFERROR($BI114*$AW114,"..")</f>
        <v>1606344212.7390146</v>
      </c>
      <c r="BK114" s="846">
        <f>IFERROR($BB114/$BJ114,"..")</f>
        <v>14.879577409539781</v>
      </c>
      <c r="BL114" s="117">
        <f>IFERROR(VLOOKUP($D114,'WB Data'!$C$3:$M$578,7,FALSE)/100,"..")</f>
        <v>2.4356399999999997E-2</v>
      </c>
      <c r="BM114" s="117">
        <f>IFERROR($AW114*$BL114,"..")</f>
        <v>1606344212.7390146</v>
      </c>
      <c r="BN114" s="846">
        <f>IFERROR($BB114/$BM114,"..")</f>
        <v>14.879577409539781</v>
      </c>
      <c r="BO114" s="801">
        <f t="shared" si="15"/>
        <v>29</v>
      </c>
      <c r="BP114" s="117">
        <f>VLOOKUP($D114,'WB Data'!$C$3:$M$578,9,FALSE)</f>
        <v>7.6</v>
      </c>
      <c r="BQ114" s="117">
        <f>VLOOKUP($D114,'WB Data'!$C$3:$M$578,10,FALSE)</f>
        <v>70.551292682926842</v>
      </c>
      <c r="BR114" s="117">
        <f>VLOOKUP($D114,'WB Data'!$C$3:$M$578,11,FALSE)</f>
        <v>32.4</v>
      </c>
      <c r="BS114" s="129">
        <f>IFERROR(VLOOKUP($D114,'WB Data 2'!$C$2:$K$545,9,FALSE),"..")</f>
        <v>87.268079999999998</v>
      </c>
      <c r="BT114" s="129">
        <f>_xlfn.IFNA(VLOOKUP($C114,RGI!$A$2:$C$43,2,FALSE),"..")</f>
        <v>75.099999999999994</v>
      </c>
      <c r="BU114" s="129">
        <f>_xlfn.IFNA(VLOOKUP($C114,RGI!$A$2:$C$43,3,FALSE),"..")</f>
        <v>48.092853423547197</v>
      </c>
      <c r="BV114" s="129">
        <f>VLOOKUP($D114,WGI!$C$2:$O$478,7,FALSE)</f>
        <v>-1.2659435619088599</v>
      </c>
      <c r="BW114" s="129">
        <f>VLOOKUP($D114,WGI!$C$2:$O$478,4,FALSE)</f>
        <v>-0.52623108297866805</v>
      </c>
      <c r="BX114" s="129">
        <f>VLOOKUP($D114,WGI!$C$2:$O$478,3,FALSE)</f>
        <v>-0.75540487024948</v>
      </c>
      <c r="BY114" s="129">
        <f>VLOOKUP($D114,WGI!$C$2:$O$478,5,FALSE)</f>
        <v>-0.36687326629287698</v>
      </c>
      <c r="BZ114" s="129">
        <f>VLOOKUP($D114,WGI!$C$2:$O$478,2,FALSE)</f>
        <v>-1.1177505725186601</v>
      </c>
      <c r="CB114" s="129"/>
    </row>
    <row r="115" spans="1:80" s="120" customFormat="1" ht="15" customHeight="1">
      <c r="A115" s="145" t="s">
        <v>78</v>
      </c>
      <c r="B115" s="117">
        <v>2011</v>
      </c>
      <c r="C115" s="117" t="s">
        <v>53</v>
      </c>
      <c r="D115" s="117" t="s">
        <v>3688</v>
      </c>
      <c r="E115" s="174" t="s">
        <v>39</v>
      </c>
      <c r="F115" s="117"/>
      <c r="G115" s="117" t="s">
        <v>24</v>
      </c>
      <c r="H115" s="117" t="str">
        <f t="shared" si="23"/>
        <v>yes</v>
      </c>
      <c r="I115" s="117" t="str">
        <f t="shared" si="24"/>
        <v>no</v>
      </c>
      <c r="J115" s="117" t="str">
        <f t="shared" si="25"/>
        <v>no</v>
      </c>
      <c r="K115" s="176" t="s">
        <v>600</v>
      </c>
      <c r="L115" s="117" t="str">
        <f t="shared" si="13"/>
        <v>Total</v>
      </c>
      <c r="M115" s="117" t="str">
        <f t="shared" si="26"/>
        <v>Total Mining</v>
      </c>
      <c r="N115" s="118"/>
      <c r="O115" s="118"/>
      <c r="P115" s="118"/>
      <c r="Q115" s="118"/>
      <c r="R115" s="118"/>
      <c r="S115" s="117"/>
      <c r="T115" s="119"/>
      <c r="U115" s="117"/>
      <c r="V115" s="117"/>
      <c r="W115" s="89">
        <f>SUM(W116:W117)</f>
        <v>90929277.602674365</v>
      </c>
      <c r="X115" s="117"/>
      <c r="Y115" s="117"/>
      <c r="Z115" s="117"/>
      <c r="AA115" s="179"/>
      <c r="AB115" s="179"/>
      <c r="AC115" s="212"/>
      <c r="AD115" s="212"/>
      <c r="AE115" s="212"/>
      <c r="AF115" s="213"/>
      <c r="AG115" s="117"/>
      <c r="AH115" s="124"/>
      <c r="AI115" s="117"/>
      <c r="AJ115" s="117" t="s">
        <v>810</v>
      </c>
      <c r="AK115" s="89">
        <f>SUM(AK116:AK117)</f>
        <v>106000528.05368179</v>
      </c>
      <c r="AL115" s="117"/>
      <c r="AM115" s="117"/>
      <c r="AN115" s="214"/>
      <c r="AO115" s="117"/>
      <c r="AP115" s="117"/>
      <c r="AQ115" s="232"/>
      <c r="AR115" s="126"/>
      <c r="AS115" s="117"/>
      <c r="AT115" s="127"/>
      <c r="AU115" s="215"/>
      <c r="AV115" s="128"/>
      <c r="AW115" s="117">
        <f>VLOOKUP($D115,'WB Data'!$C$3:$M$578,2,FALSE)</f>
        <v>65951627200.202614</v>
      </c>
      <c r="AX115" s="117">
        <f>VLOOKUP($D115,'WB Data'!$C$3:$M$578,3,FALSE)</f>
        <v>9173082</v>
      </c>
      <c r="AY115" s="847">
        <f t="shared" si="16"/>
        <v>0.36241293921771467</v>
      </c>
      <c r="AZ115" s="117">
        <f>VLOOKUP($D115,'WB Data'!$C$3:$M$578,4,FALSE)/100</f>
        <v>0.45481356322721855</v>
      </c>
      <c r="BA115" s="117">
        <f t="shared" si="17"/>
        <v>29995694567.557297</v>
      </c>
      <c r="BB115" s="129">
        <f>IFERROR(VLOOKUP($D115,'EITI Revenues'!$C$2:$G$224,5,FALSE),"..")</f>
        <v>23901723059.816406</v>
      </c>
      <c r="BC115" s="846">
        <f t="shared" si="18"/>
        <v>0.79683845979909396</v>
      </c>
      <c r="BD115" s="129">
        <f>VLOOKUP($D115,'WB Data 2'!$C$2:$K$545,6,FALSE)</f>
        <v>32749741527.378426</v>
      </c>
      <c r="BE115" s="129">
        <f>IFERROR(VLOOKUP($D115,UNCTAD!$C$5:$V$529,4,FALSE),"..")</f>
        <v>37226526000</v>
      </c>
      <c r="BF115" s="846">
        <f t="shared" si="19"/>
        <v>0.87974208303451218</v>
      </c>
      <c r="BG115" s="117">
        <f>VLOOKUP($D115,'WB Data'!$C$3:$M$578,5,FALSE)</f>
        <v>286410000</v>
      </c>
      <c r="BH115" s="129">
        <f>IFERROR($BB115/$BG115,"..")</f>
        <v>83.452823085145099</v>
      </c>
      <c r="BI115" s="117">
        <f>IFERROR(VLOOKUP($D115,'WB Data'!$C$3:$M$578,7,FALSE)/100,"..")</f>
        <v>2.4356399999999997E-2</v>
      </c>
      <c r="BJ115" s="117">
        <f>IFERROR($BI115*$AW115,"..")</f>
        <v>1606344212.7390146</v>
      </c>
      <c r="BK115" s="846">
        <f>IFERROR($BB115/$BJ115,"..")</f>
        <v>14.879577409539781</v>
      </c>
      <c r="BL115" s="117">
        <f>IFERROR(VLOOKUP($D115,'WB Data'!$C$3:$M$578,7,FALSE)/100,"..")</f>
        <v>2.4356399999999997E-2</v>
      </c>
      <c r="BM115" s="117">
        <f>IFERROR($AW115*$BL115,"..")</f>
        <v>1606344212.7390146</v>
      </c>
      <c r="BN115" s="846">
        <f>IFERROR($BB115/$BM115,"..")</f>
        <v>14.879577409539781</v>
      </c>
      <c r="BO115" s="801">
        <f t="shared" si="15"/>
        <v>29</v>
      </c>
      <c r="BP115" s="117">
        <f>VLOOKUP($D115,'WB Data'!$C$3:$M$578,9,FALSE)</f>
        <v>7.6</v>
      </c>
      <c r="BQ115" s="117">
        <f>VLOOKUP($D115,'WB Data'!$C$3:$M$578,10,FALSE)</f>
        <v>70.551292682926842</v>
      </c>
      <c r="BR115" s="117">
        <f>VLOOKUP($D115,'WB Data'!$C$3:$M$578,11,FALSE)</f>
        <v>32.4</v>
      </c>
      <c r="BS115" s="129">
        <f>IFERROR(VLOOKUP($D115,'WB Data 2'!$C$2:$K$545,9,FALSE),"..")</f>
        <v>87.268079999999998</v>
      </c>
      <c r="BT115" s="129">
        <f>_xlfn.IFNA(VLOOKUP($C115,RGI!$A$2:$C$43,2,FALSE),"..")</f>
        <v>75.099999999999994</v>
      </c>
      <c r="BU115" s="129">
        <f>_xlfn.IFNA(VLOOKUP($C115,RGI!$A$2:$C$43,3,FALSE),"..")</f>
        <v>48.092853423547197</v>
      </c>
      <c r="BV115" s="129">
        <f>VLOOKUP($D115,WGI!$C$2:$O$478,7,FALSE)</f>
        <v>-1.2659435619088599</v>
      </c>
      <c r="BW115" s="129">
        <f>VLOOKUP($D115,WGI!$C$2:$O$478,4,FALSE)</f>
        <v>-0.52623108297866805</v>
      </c>
      <c r="BX115" s="129">
        <f>VLOOKUP($D115,WGI!$C$2:$O$478,3,FALSE)</f>
        <v>-0.75540487024948</v>
      </c>
      <c r="BY115" s="129">
        <f>VLOOKUP($D115,WGI!$C$2:$O$478,5,FALSE)</f>
        <v>-0.36687326629287698</v>
      </c>
      <c r="BZ115" s="129">
        <f>VLOOKUP($D115,WGI!$C$2:$O$478,2,FALSE)</f>
        <v>-1.1177505725186601</v>
      </c>
      <c r="CB115" s="129"/>
    </row>
    <row r="116" spans="1:80" s="120" customFormat="1" ht="15" customHeight="1">
      <c r="A116" s="145" t="s">
        <v>78</v>
      </c>
      <c r="B116" s="117">
        <v>2011</v>
      </c>
      <c r="C116" s="117" t="s">
        <v>53</v>
      </c>
      <c r="D116" s="117" t="s">
        <v>3688</v>
      </c>
      <c r="E116" s="174" t="s">
        <v>39</v>
      </c>
      <c r="F116" s="117"/>
      <c r="G116" s="117" t="s">
        <v>24</v>
      </c>
      <c r="H116" s="117" t="str">
        <f t="shared" si="23"/>
        <v>yes</v>
      </c>
      <c r="I116" s="117" t="str">
        <f t="shared" si="24"/>
        <v>no</v>
      </c>
      <c r="J116" s="117" t="str">
        <f t="shared" si="25"/>
        <v>no</v>
      </c>
      <c r="K116" s="176" t="s">
        <v>784</v>
      </c>
      <c r="L116" s="117" t="str">
        <f t="shared" si="13"/>
        <v>detailed</v>
      </c>
      <c r="M116" s="117" t="str">
        <f t="shared" si="26"/>
        <v>detailed Mining</v>
      </c>
      <c r="N116" s="118">
        <f>1775*32.150743126506</f>
        <v>57067.569049548154</v>
      </c>
      <c r="O116" s="118"/>
      <c r="P116" s="118"/>
      <c r="Q116" s="118"/>
      <c r="R116" s="118"/>
      <c r="S116" s="117" t="s">
        <v>785</v>
      </c>
      <c r="T116" s="119">
        <v>1569.2108333333299</v>
      </c>
      <c r="U116" s="117" t="s">
        <v>786</v>
      </c>
      <c r="V116" s="233" t="s">
        <v>787</v>
      </c>
      <c r="W116" s="89">
        <f>N116*T116</f>
        <v>89551047.584548801</v>
      </c>
      <c r="X116" s="117"/>
      <c r="Y116" s="117"/>
      <c r="Z116" s="117"/>
      <c r="AA116" s="179"/>
      <c r="AB116" s="179"/>
      <c r="AC116" s="212"/>
      <c r="AD116" s="212"/>
      <c r="AE116" s="212"/>
      <c r="AF116" s="213"/>
      <c r="AG116" s="117"/>
      <c r="AH116" s="124"/>
      <c r="AI116" s="117"/>
      <c r="AJ116" s="117" t="s">
        <v>811</v>
      </c>
      <c r="AK116" s="89">
        <v>105840001.48038979</v>
      </c>
      <c r="AL116" s="117"/>
      <c r="AM116" s="117"/>
      <c r="AN116" s="214"/>
      <c r="AO116" s="117"/>
      <c r="AP116" s="117"/>
      <c r="AQ116" s="232"/>
      <c r="AR116" s="126"/>
      <c r="AS116" s="117"/>
      <c r="AT116" s="127"/>
      <c r="AU116" s="215"/>
      <c r="AV116" s="128"/>
      <c r="AW116" s="117">
        <f>VLOOKUP($D116,'WB Data'!$C$3:$M$578,2,FALSE)</f>
        <v>65951627200.202614</v>
      </c>
      <c r="AX116" s="117">
        <f>VLOOKUP($D116,'WB Data'!$C$3:$M$578,3,FALSE)</f>
        <v>9173082</v>
      </c>
      <c r="AY116" s="847">
        <f t="shared" si="16"/>
        <v>0.36241293921771467</v>
      </c>
      <c r="AZ116" s="117">
        <f>VLOOKUP($D116,'WB Data'!$C$3:$M$578,4,FALSE)/100</f>
        <v>0.45481356322721855</v>
      </c>
      <c r="BA116" s="117">
        <f t="shared" si="17"/>
        <v>29995694567.557297</v>
      </c>
      <c r="BB116" s="129">
        <f>IFERROR(VLOOKUP($D116,'EITI Revenues'!$C$2:$G$224,5,FALSE),"..")</f>
        <v>23901723059.816406</v>
      </c>
      <c r="BC116" s="846">
        <f t="shared" si="18"/>
        <v>0.79683845979909396</v>
      </c>
      <c r="BD116" s="129">
        <f>VLOOKUP($D116,'WB Data 2'!$C$2:$K$545,6,FALSE)</f>
        <v>32749741527.378426</v>
      </c>
      <c r="BE116" s="129">
        <f>IFERROR(VLOOKUP($D116,UNCTAD!$C$5:$V$529,4,FALSE),"..")</f>
        <v>37226526000</v>
      </c>
      <c r="BF116" s="846">
        <f t="shared" si="19"/>
        <v>0.87974208303451218</v>
      </c>
      <c r="BG116" s="117">
        <f>VLOOKUP($D116,'WB Data'!$C$3:$M$578,5,FALSE)</f>
        <v>286410000</v>
      </c>
      <c r="BH116" s="129">
        <f>IFERROR($BB116/$BG116,"..")</f>
        <v>83.452823085145099</v>
      </c>
      <c r="BI116" s="117">
        <f>IFERROR(VLOOKUP($D116,'WB Data'!$C$3:$M$578,7,FALSE)/100,"..")</f>
        <v>2.4356399999999997E-2</v>
      </c>
      <c r="BJ116" s="117">
        <f>IFERROR($BI116*$AW116,"..")</f>
        <v>1606344212.7390146</v>
      </c>
      <c r="BK116" s="846">
        <f>IFERROR($BB116/$BJ116,"..")</f>
        <v>14.879577409539781</v>
      </c>
      <c r="BL116" s="117">
        <f>IFERROR(VLOOKUP($D116,'WB Data'!$C$3:$M$578,7,FALSE)/100,"..")</f>
        <v>2.4356399999999997E-2</v>
      </c>
      <c r="BM116" s="117">
        <f>IFERROR($AW116*$BL116,"..")</f>
        <v>1606344212.7390146</v>
      </c>
      <c r="BN116" s="846">
        <f>IFERROR($BB116/$BM116,"..")</f>
        <v>14.879577409539781</v>
      </c>
      <c r="BO116" s="801">
        <f t="shared" si="15"/>
        <v>29</v>
      </c>
      <c r="BP116" s="117">
        <f>VLOOKUP($D116,'WB Data'!$C$3:$M$578,9,FALSE)</f>
        <v>7.6</v>
      </c>
      <c r="BQ116" s="117">
        <f>VLOOKUP($D116,'WB Data'!$C$3:$M$578,10,FALSE)</f>
        <v>70.551292682926842</v>
      </c>
      <c r="BR116" s="117">
        <f>VLOOKUP($D116,'WB Data'!$C$3:$M$578,11,FALSE)</f>
        <v>32.4</v>
      </c>
      <c r="BS116" s="129">
        <f>IFERROR(VLOOKUP($D116,'WB Data 2'!$C$2:$K$545,9,FALSE),"..")</f>
        <v>87.268079999999998</v>
      </c>
      <c r="BT116" s="129">
        <f>_xlfn.IFNA(VLOOKUP($C116,RGI!$A$2:$C$43,2,FALSE),"..")</f>
        <v>75.099999999999994</v>
      </c>
      <c r="BU116" s="129">
        <f>_xlfn.IFNA(VLOOKUP($C116,RGI!$A$2:$C$43,3,FALSE),"..")</f>
        <v>48.092853423547197</v>
      </c>
      <c r="BV116" s="129">
        <f>VLOOKUP($D116,WGI!$C$2:$O$478,7,FALSE)</f>
        <v>-1.2659435619088599</v>
      </c>
      <c r="BW116" s="129">
        <f>VLOOKUP($D116,WGI!$C$2:$O$478,4,FALSE)</f>
        <v>-0.52623108297866805</v>
      </c>
      <c r="BX116" s="129">
        <f>VLOOKUP($D116,WGI!$C$2:$O$478,3,FALSE)</f>
        <v>-0.75540487024948</v>
      </c>
      <c r="BY116" s="129">
        <f>VLOOKUP($D116,WGI!$C$2:$O$478,5,FALSE)</f>
        <v>-0.36687326629287698</v>
      </c>
      <c r="BZ116" s="129">
        <f>VLOOKUP($D116,WGI!$C$2:$O$478,2,FALSE)</f>
        <v>-1.1177505725186601</v>
      </c>
      <c r="CB116" s="129"/>
    </row>
    <row r="117" spans="1:80" s="158" customFormat="1" ht="15" customHeight="1">
      <c r="A117" s="147" t="s">
        <v>78</v>
      </c>
      <c r="B117" s="149">
        <v>2011</v>
      </c>
      <c r="C117" s="149" t="s">
        <v>53</v>
      </c>
      <c r="D117" s="117" t="s">
        <v>3688</v>
      </c>
      <c r="E117" s="187" t="s">
        <v>39</v>
      </c>
      <c r="F117" s="149"/>
      <c r="G117" s="149" t="s">
        <v>24</v>
      </c>
      <c r="H117" s="149" t="str">
        <f t="shared" si="23"/>
        <v>yes</v>
      </c>
      <c r="I117" s="149" t="str">
        <f t="shared" si="24"/>
        <v>no</v>
      </c>
      <c r="J117" s="149" t="str">
        <f t="shared" si="25"/>
        <v>no</v>
      </c>
      <c r="K117" s="188" t="s">
        <v>789</v>
      </c>
      <c r="L117" s="149" t="str">
        <f t="shared" si="13"/>
        <v>detailed</v>
      </c>
      <c r="M117" s="149" t="str">
        <f t="shared" si="26"/>
        <v>detailed Mining</v>
      </c>
      <c r="N117" s="150">
        <f>1217*32.150743126506</f>
        <v>39127.454384957804</v>
      </c>
      <c r="O117" s="150"/>
      <c r="P117" s="150"/>
      <c r="Q117" s="150"/>
      <c r="R117" s="150"/>
      <c r="S117" s="149" t="s">
        <v>785</v>
      </c>
      <c r="T117" s="151">
        <f>35.22411666667/1</f>
        <v>35.22411666667</v>
      </c>
      <c r="U117" s="149" t="s">
        <v>786</v>
      </c>
      <c r="V117" s="149" t="s">
        <v>798</v>
      </c>
      <c r="W117" s="152">
        <f>N117*T117</f>
        <v>1378230.0181255622</v>
      </c>
      <c r="X117" s="149"/>
      <c r="Y117" s="149"/>
      <c r="Z117" s="149"/>
      <c r="AA117" s="216"/>
      <c r="AB117" s="216"/>
      <c r="AC117" s="217"/>
      <c r="AD117" s="217"/>
      <c r="AE117" s="217"/>
      <c r="AF117" s="230"/>
      <c r="AG117" s="149"/>
      <c r="AH117" s="156"/>
      <c r="AI117" s="149"/>
      <c r="AJ117" s="149" t="s">
        <v>812</v>
      </c>
      <c r="AK117" s="152">
        <v>160526.57329200301</v>
      </c>
      <c r="AL117" s="149"/>
      <c r="AM117" s="149"/>
      <c r="AN117" s="218"/>
      <c r="AO117" s="149"/>
      <c r="AP117" s="149"/>
      <c r="AQ117" s="236"/>
      <c r="AR117" s="220"/>
      <c r="AS117" s="149"/>
      <c r="AT117" s="221"/>
      <c r="AU117" s="222"/>
      <c r="AV117" s="157"/>
      <c r="AW117" s="117">
        <f>VLOOKUP($D117,'WB Data'!$C$3:$M$578,2,FALSE)</f>
        <v>65951627200.202614</v>
      </c>
      <c r="AX117" s="117">
        <f>VLOOKUP($D117,'WB Data'!$C$3:$M$578,3,FALSE)</f>
        <v>9173082</v>
      </c>
      <c r="AY117" s="847">
        <f t="shared" si="16"/>
        <v>0.36241293921771467</v>
      </c>
      <c r="AZ117" s="117">
        <f>VLOOKUP($D117,'WB Data'!$C$3:$M$578,4,FALSE)/100</f>
        <v>0.45481356322721855</v>
      </c>
      <c r="BA117" s="117">
        <f t="shared" si="17"/>
        <v>29995694567.557297</v>
      </c>
      <c r="BB117" s="129">
        <f>IFERROR(VLOOKUP($D117,'EITI Revenues'!$C$2:$G$224,5,FALSE),"..")</f>
        <v>23901723059.816406</v>
      </c>
      <c r="BC117" s="846">
        <f t="shared" si="18"/>
        <v>0.79683845979909396</v>
      </c>
      <c r="BD117" s="129">
        <f>VLOOKUP($D117,'WB Data 2'!$C$2:$K$545,6,FALSE)</f>
        <v>32749741527.378426</v>
      </c>
      <c r="BE117" s="129">
        <f>IFERROR(VLOOKUP($D117,UNCTAD!$C$5:$V$529,4,FALSE),"..")</f>
        <v>37226526000</v>
      </c>
      <c r="BF117" s="846">
        <f t="shared" si="19"/>
        <v>0.87974208303451218</v>
      </c>
      <c r="BG117" s="117">
        <f>VLOOKUP($D117,'WB Data'!$C$3:$M$578,5,FALSE)</f>
        <v>286410000</v>
      </c>
      <c r="BH117" s="129">
        <f>IFERROR($BB117/$BG117,"..")</f>
        <v>83.452823085145099</v>
      </c>
      <c r="BI117" s="117">
        <f>IFERROR(VLOOKUP($D117,'WB Data'!$C$3:$M$578,7,FALSE)/100,"..")</f>
        <v>2.4356399999999997E-2</v>
      </c>
      <c r="BJ117" s="117">
        <f>IFERROR($BI117*$AW117,"..")</f>
        <v>1606344212.7390146</v>
      </c>
      <c r="BK117" s="846">
        <f>IFERROR($BB117/$BJ117,"..")</f>
        <v>14.879577409539781</v>
      </c>
      <c r="BL117" s="117">
        <f>IFERROR(VLOOKUP($D117,'WB Data'!$C$3:$M$578,7,FALSE)/100,"..")</f>
        <v>2.4356399999999997E-2</v>
      </c>
      <c r="BM117" s="117">
        <f>IFERROR($AW117*$BL117,"..")</f>
        <v>1606344212.7390146</v>
      </c>
      <c r="BN117" s="846">
        <f>IFERROR($BB117/$BM117,"..")</f>
        <v>14.879577409539781</v>
      </c>
      <c r="BO117" s="801">
        <f t="shared" si="15"/>
        <v>29</v>
      </c>
      <c r="BP117" s="117">
        <f>VLOOKUP($D117,'WB Data'!$C$3:$M$578,9,FALSE)</f>
        <v>7.6</v>
      </c>
      <c r="BQ117" s="117">
        <f>VLOOKUP($D117,'WB Data'!$C$3:$M$578,10,FALSE)</f>
        <v>70.551292682926842</v>
      </c>
      <c r="BR117" s="117">
        <f>VLOOKUP($D117,'WB Data'!$C$3:$M$578,11,FALSE)</f>
        <v>32.4</v>
      </c>
      <c r="BS117" s="129">
        <f>IFERROR(VLOOKUP($D117,'WB Data 2'!$C$2:$K$545,9,FALSE),"..")</f>
        <v>87.268079999999998</v>
      </c>
      <c r="BT117" s="129">
        <f>_xlfn.IFNA(VLOOKUP($C117,RGI!$A$2:$C$43,2,FALSE),"..")</f>
        <v>75.099999999999994</v>
      </c>
      <c r="BU117" s="129">
        <f>_xlfn.IFNA(VLOOKUP($C117,RGI!$A$2:$C$43,3,FALSE),"..")</f>
        <v>48.092853423547197</v>
      </c>
      <c r="BV117" s="129">
        <f>VLOOKUP($D117,WGI!$C$2:$O$478,7,FALSE)</f>
        <v>-1.2659435619088599</v>
      </c>
      <c r="BW117" s="129">
        <f>VLOOKUP($D117,WGI!$C$2:$O$478,4,FALSE)</f>
        <v>-0.52623108297866805</v>
      </c>
      <c r="BX117" s="129">
        <f>VLOOKUP($D117,WGI!$C$2:$O$478,3,FALSE)</f>
        <v>-0.75540487024948</v>
      </c>
      <c r="BY117" s="129">
        <f>VLOOKUP($D117,WGI!$C$2:$O$478,5,FALSE)</f>
        <v>-0.36687326629287698</v>
      </c>
      <c r="BZ117" s="129">
        <f>VLOOKUP($D117,WGI!$C$2:$O$478,2,FALSE)</f>
        <v>-1.1177505725186601</v>
      </c>
      <c r="CB117" s="129"/>
    </row>
    <row r="118" spans="1:80" ht="15" customHeight="1">
      <c r="A118" s="145" t="s">
        <v>81</v>
      </c>
      <c r="B118" s="117">
        <v>2012</v>
      </c>
      <c r="C118" s="117" t="s">
        <v>53</v>
      </c>
      <c r="D118" s="117" t="s">
        <v>3722</v>
      </c>
      <c r="E118" s="174" t="s">
        <v>39</v>
      </c>
      <c r="F118" s="117" t="s">
        <v>729</v>
      </c>
      <c r="G118" s="117" t="s">
        <v>35</v>
      </c>
      <c r="H118" s="117" t="str">
        <f t="shared" si="23"/>
        <v>yes</v>
      </c>
      <c r="I118" s="117" t="str">
        <f t="shared" si="24"/>
        <v>yes</v>
      </c>
      <c r="J118" s="117" t="str">
        <f t="shared" si="25"/>
        <v>yes</v>
      </c>
      <c r="K118" s="176" t="s">
        <v>709</v>
      </c>
      <c r="L118" s="117" t="str">
        <f t="shared" si="13"/>
        <v>Total</v>
      </c>
      <c r="M118" s="117" t="str">
        <f t="shared" si="26"/>
        <v>Total Oil, Gas, Mining</v>
      </c>
      <c r="N118" s="118"/>
      <c r="O118" s="118"/>
      <c r="P118" s="118"/>
      <c r="Q118" s="118"/>
      <c r="R118" s="118"/>
      <c r="S118" s="117"/>
      <c r="T118" s="119"/>
      <c r="U118" s="117"/>
      <c r="V118" s="117"/>
      <c r="W118" s="89">
        <f>W119+W122</f>
        <v>38643272028.813194</v>
      </c>
      <c r="X118" s="125" t="s">
        <v>755</v>
      </c>
      <c r="Y118" s="117" t="s">
        <v>663</v>
      </c>
      <c r="Z118" s="117" t="s">
        <v>664</v>
      </c>
      <c r="AA118" s="159">
        <f>21817488036.4+AK122</f>
        <v>21826952015.597061</v>
      </c>
      <c r="AB118" s="159">
        <f>21810988036.4+AK122</f>
        <v>21820452015.597061</v>
      </c>
      <c r="AC118" s="212" t="s">
        <v>813</v>
      </c>
      <c r="AD118" s="179">
        <f>AA118</f>
        <v>21826952015.597061</v>
      </c>
      <c r="AE118" s="212" t="s">
        <v>665</v>
      </c>
      <c r="AF118" s="213">
        <f>AD118/W118</f>
        <v>0.56483188067828338</v>
      </c>
      <c r="AG118" s="117" t="s">
        <v>743</v>
      </c>
      <c r="AH118" s="124">
        <v>0.79</v>
      </c>
      <c r="AI118" s="117" t="s">
        <v>667</v>
      </c>
      <c r="AJ118" s="117" t="s">
        <v>814</v>
      </c>
      <c r="AK118" s="89">
        <f>AK119+AK122</f>
        <v>18694605180.19706</v>
      </c>
      <c r="AL118" s="117"/>
      <c r="AM118" s="117"/>
      <c r="AN118" s="214">
        <v>26</v>
      </c>
      <c r="AO118" s="117" t="s">
        <v>815</v>
      </c>
      <c r="AP118" s="117">
        <v>26</v>
      </c>
      <c r="AQ118" s="239" t="s">
        <v>82</v>
      </c>
      <c r="AR118" s="126">
        <v>41890</v>
      </c>
      <c r="AS118" s="117" t="s">
        <v>607</v>
      </c>
      <c r="AT118" s="127" t="s">
        <v>83</v>
      </c>
      <c r="AU118" s="215" t="s">
        <v>816</v>
      </c>
      <c r="AV118" s="128" t="s">
        <v>817</v>
      </c>
      <c r="AW118" s="117">
        <f>VLOOKUP($D118,'WB Data'!$C$3:$M$578,2,FALSE)</f>
        <v>68730906313.64563</v>
      </c>
      <c r="AX118" s="117">
        <f>VLOOKUP($D118,'WB Data'!$C$3:$M$578,3,FALSE)</f>
        <v>9295784</v>
      </c>
      <c r="AY118" s="847">
        <f t="shared" si="16"/>
        <v>0.31757113627995942</v>
      </c>
      <c r="AZ118" s="117">
        <f>VLOOKUP($D118,'WB Data'!$C$3:$M$578,4,FALSE)/100</f>
        <v>0.41846282063153994</v>
      </c>
      <c r="BA118" s="117">
        <f t="shared" si="17"/>
        <v>28761328920.570267</v>
      </c>
      <c r="BB118" s="129">
        <f>IFERROR(VLOOKUP($D118,'EITI Revenues'!$C$2:$G$224,5,FALSE),"..")</f>
        <v>21826952015.575878</v>
      </c>
      <c r="BC118" s="846">
        <f t="shared" si="18"/>
        <v>0.75889928715933275</v>
      </c>
      <c r="BD118" s="129">
        <f>VLOOKUP($D118,'WB Data 2'!$C$2:$K$545,6,FALSE)</f>
        <v>30415888396.684139</v>
      </c>
      <c r="BE118" s="129">
        <f>IFERROR(VLOOKUP($D118,UNCTAD!$C$5:$V$529,4,FALSE),"..")</f>
        <v>36914840000</v>
      </c>
      <c r="BF118" s="846">
        <f t="shared" si="19"/>
        <v>0.82394745302117356</v>
      </c>
      <c r="BG118" s="117">
        <f>VLOOKUP($D118,'WB Data'!$C$3:$M$578,5,FALSE)</f>
        <v>337610000</v>
      </c>
      <c r="BH118" s="129">
        <f>IFERROR($BB118/$BG118,"..")</f>
        <v>64.651378856005095</v>
      </c>
      <c r="BI118" s="117" t="str">
        <f>IFERROR(VLOOKUP($D118,'WB Data'!$C$3:$M$578,7,FALSE)/100,"..")</f>
        <v>..</v>
      </c>
      <c r="BJ118" s="117" t="str">
        <f>IFERROR($BI118*$AW118,"..")</f>
        <v>..</v>
      </c>
      <c r="BK118" s="846" t="str">
        <f>IFERROR($BB118/$BJ118,"..")</f>
        <v>..</v>
      </c>
      <c r="BL118" s="117" t="str">
        <f>IFERROR(VLOOKUP($D118,'WB Data'!$C$3:$M$578,7,FALSE)/100,"..")</f>
        <v>..</v>
      </c>
      <c r="BM118" s="117" t="str">
        <f>IFERROR($AW118*$BL118,"..")</f>
        <v>..</v>
      </c>
      <c r="BN118" s="846" t="str">
        <f>IFERROR($BB118/$BM118,"..")</f>
        <v>..</v>
      </c>
      <c r="BO118" s="801">
        <f t="shared" si="15"/>
        <v>29</v>
      </c>
      <c r="BP118" s="117">
        <f>VLOOKUP($D118,'WB Data'!$C$3:$M$578,9,FALSE)</f>
        <v>6</v>
      </c>
      <c r="BQ118" s="117">
        <f>VLOOKUP($D118,'WB Data'!$C$3:$M$578,10,FALSE)</f>
        <v>70.624951219512212</v>
      </c>
      <c r="BR118" s="117">
        <f>VLOOKUP($D118,'WB Data'!$C$3:$M$578,11,FALSE)</f>
        <v>31.1</v>
      </c>
      <c r="BS118" s="129">
        <f>IFERROR(VLOOKUP($D118,'WB Data 2'!$C$2:$K$545,9,FALSE),"..")</f>
        <v>89.278999999999996</v>
      </c>
      <c r="BT118" s="129">
        <f>_xlfn.IFNA(VLOOKUP($C118,RGI!$A$2:$C$43,2,FALSE),"..")</f>
        <v>75.099999999999994</v>
      </c>
      <c r="BU118" s="129">
        <f>_xlfn.IFNA(VLOOKUP($C118,RGI!$A$2:$C$43,3,FALSE),"..")</f>
        <v>48.092853423547197</v>
      </c>
      <c r="BV118" s="129">
        <f>VLOOKUP($D118,WGI!$C$2:$O$478,7,FALSE)</f>
        <v>-1.2614219475900701</v>
      </c>
      <c r="BW118" s="129">
        <f>VLOOKUP($D118,WGI!$C$2:$O$478,4,FALSE)</f>
        <v>-0.68701515765162102</v>
      </c>
      <c r="BX118" s="129">
        <f>VLOOKUP($D118,WGI!$C$2:$O$478,3,FALSE)</f>
        <v>-0.77809627870641895</v>
      </c>
      <c r="BY118" s="129">
        <f>VLOOKUP($D118,WGI!$C$2:$O$478,5,FALSE)</f>
        <v>-0.46929324870817302</v>
      </c>
      <c r="BZ118" s="129">
        <f>VLOOKUP($D118,WGI!$C$2:$O$478,2,FALSE)</f>
        <v>-1.0737569533471101</v>
      </c>
    </row>
    <row r="119" spans="1:80" ht="15" customHeight="1">
      <c r="A119" s="145" t="s">
        <v>81</v>
      </c>
      <c r="B119" s="117">
        <v>2012</v>
      </c>
      <c r="C119" s="117" t="s">
        <v>53</v>
      </c>
      <c r="D119" s="117" t="s">
        <v>3722</v>
      </c>
      <c r="E119" s="174" t="s">
        <v>39</v>
      </c>
      <c r="F119" s="117"/>
      <c r="G119" s="117" t="s">
        <v>55</v>
      </c>
      <c r="H119" s="117" t="str">
        <f t="shared" si="23"/>
        <v>no</v>
      </c>
      <c r="I119" s="117" t="str">
        <f t="shared" si="24"/>
        <v>yes</v>
      </c>
      <c r="J119" s="117" t="str">
        <f t="shared" si="25"/>
        <v>yes</v>
      </c>
      <c r="K119" s="176" t="s">
        <v>640</v>
      </c>
      <c r="L119" s="117" t="str">
        <f t="shared" si="13"/>
        <v>Total</v>
      </c>
      <c r="M119" s="117" t="str">
        <f t="shared" si="26"/>
        <v>Total Oil, Gas</v>
      </c>
      <c r="N119" s="118"/>
      <c r="O119" s="118"/>
      <c r="P119" s="118"/>
      <c r="Q119" s="118"/>
      <c r="R119" s="118"/>
      <c r="S119" s="117"/>
      <c r="T119" s="119"/>
      <c r="U119" s="117"/>
      <c r="V119" s="117"/>
      <c r="W119" s="89">
        <f>SUM(W120:W121)</f>
        <v>38558722363.32077</v>
      </c>
      <c r="X119" s="117"/>
      <c r="Y119" s="117"/>
      <c r="Z119" s="117"/>
      <c r="AA119" s="179"/>
      <c r="AB119" s="179"/>
      <c r="AC119" s="212"/>
      <c r="AD119" s="212"/>
      <c r="AE119" s="212"/>
      <c r="AF119" s="213"/>
      <c r="AG119" s="117"/>
      <c r="AH119" s="124"/>
      <c r="AI119" s="117"/>
      <c r="AJ119" s="117" t="s">
        <v>818</v>
      </c>
      <c r="AK119" s="89">
        <v>18685141201</v>
      </c>
      <c r="AL119" s="117"/>
      <c r="AM119" s="117"/>
      <c r="AN119" s="214"/>
      <c r="AO119" s="117"/>
      <c r="AP119" s="117"/>
      <c r="AQ119" s="232"/>
      <c r="AR119" s="126"/>
      <c r="AS119" s="117"/>
      <c r="AT119" s="127"/>
      <c r="AU119" s="215"/>
      <c r="AV119" s="128"/>
      <c r="AW119" s="117">
        <f>VLOOKUP($D119,'WB Data'!$C$3:$M$578,2,FALSE)</f>
        <v>68730906313.64563</v>
      </c>
      <c r="AX119" s="117">
        <f>VLOOKUP($D119,'WB Data'!$C$3:$M$578,3,FALSE)</f>
        <v>9295784</v>
      </c>
      <c r="AY119" s="847">
        <f t="shared" si="16"/>
        <v>0.31757113627995942</v>
      </c>
      <c r="AZ119" s="117">
        <f>VLOOKUP($D119,'WB Data'!$C$3:$M$578,4,FALSE)/100</f>
        <v>0.41846282063153994</v>
      </c>
      <c r="BA119" s="117">
        <f t="shared" si="17"/>
        <v>28761328920.570267</v>
      </c>
      <c r="BB119" s="129">
        <f>IFERROR(VLOOKUP($D119,'EITI Revenues'!$C$2:$G$224,5,FALSE),"..")</f>
        <v>21826952015.575878</v>
      </c>
      <c r="BC119" s="846">
        <f t="shared" si="18"/>
        <v>0.75889928715933275</v>
      </c>
      <c r="BD119" s="129">
        <f>VLOOKUP($D119,'WB Data 2'!$C$2:$K$545,6,FALSE)</f>
        <v>30415888396.684139</v>
      </c>
      <c r="BE119" s="129">
        <f>IFERROR(VLOOKUP($D119,UNCTAD!$C$5:$V$529,4,FALSE),"..")</f>
        <v>36914840000</v>
      </c>
      <c r="BF119" s="846">
        <f t="shared" si="19"/>
        <v>0.82394745302117356</v>
      </c>
      <c r="BG119" s="117">
        <f>VLOOKUP($D119,'WB Data'!$C$3:$M$578,5,FALSE)</f>
        <v>337610000</v>
      </c>
      <c r="BH119" s="129">
        <f>IFERROR($BB119/$BG119,"..")</f>
        <v>64.651378856005095</v>
      </c>
      <c r="BI119" s="117" t="str">
        <f>IFERROR(VLOOKUP($D119,'WB Data'!$C$3:$M$578,7,FALSE)/100,"..")</f>
        <v>..</v>
      </c>
      <c r="BJ119" s="117" t="str">
        <f>IFERROR($BI119*$AW119,"..")</f>
        <v>..</v>
      </c>
      <c r="BK119" s="846" t="str">
        <f>IFERROR($BB119/$BJ119,"..")</f>
        <v>..</v>
      </c>
      <c r="BL119" s="117" t="str">
        <f>IFERROR(VLOOKUP($D119,'WB Data'!$C$3:$M$578,7,FALSE)/100,"..")</f>
        <v>..</v>
      </c>
      <c r="BM119" s="117" t="str">
        <f>IFERROR($AW119*$BL119,"..")</f>
        <v>..</v>
      </c>
      <c r="BN119" s="846" t="str">
        <f>IFERROR($BB119/$BM119,"..")</f>
        <v>..</v>
      </c>
      <c r="BO119" s="801">
        <f t="shared" si="15"/>
        <v>29</v>
      </c>
      <c r="BP119" s="117">
        <f>VLOOKUP($D119,'WB Data'!$C$3:$M$578,9,FALSE)</f>
        <v>6</v>
      </c>
      <c r="BQ119" s="117">
        <f>VLOOKUP($D119,'WB Data'!$C$3:$M$578,10,FALSE)</f>
        <v>70.624951219512212</v>
      </c>
      <c r="BR119" s="117">
        <f>VLOOKUP($D119,'WB Data'!$C$3:$M$578,11,FALSE)</f>
        <v>31.1</v>
      </c>
      <c r="BS119" s="129">
        <f>IFERROR(VLOOKUP($D119,'WB Data 2'!$C$2:$K$545,9,FALSE),"..")</f>
        <v>89.278999999999996</v>
      </c>
      <c r="BT119" s="129">
        <f>_xlfn.IFNA(VLOOKUP($C119,RGI!$A$2:$C$43,2,FALSE),"..")</f>
        <v>75.099999999999994</v>
      </c>
      <c r="BU119" s="129">
        <f>_xlfn.IFNA(VLOOKUP($C119,RGI!$A$2:$C$43,3,FALSE),"..")</f>
        <v>48.092853423547197</v>
      </c>
      <c r="BV119" s="129">
        <f>VLOOKUP($D119,WGI!$C$2:$O$478,7,FALSE)</f>
        <v>-1.2614219475900701</v>
      </c>
      <c r="BW119" s="129">
        <f>VLOOKUP($D119,WGI!$C$2:$O$478,4,FALSE)</f>
        <v>-0.68701515765162102</v>
      </c>
      <c r="BX119" s="129">
        <f>VLOOKUP($D119,WGI!$C$2:$O$478,3,FALSE)</f>
        <v>-0.77809627870641895</v>
      </c>
      <c r="BY119" s="129">
        <f>VLOOKUP($D119,WGI!$C$2:$O$478,5,FALSE)</f>
        <v>-0.46929324870817302</v>
      </c>
      <c r="BZ119" s="129">
        <f>VLOOKUP($D119,WGI!$C$2:$O$478,2,FALSE)</f>
        <v>-1.0737569533471101</v>
      </c>
    </row>
    <row r="120" spans="1:80" ht="15" customHeight="1">
      <c r="A120" s="145" t="s">
        <v>81</v>
      </c>
      <c r="B120" s="117">
        <v>2012</v>
      </c>
      <c r="C120" s="117" t="s">
        <v>53</v>
      </c>
      <c r="D120" s="117" t="s">
        <v>3722</v>
      </c>
      <c r="E120" s="174" t="s">
        <v>39</v>
      </c>
      <c r="F120" s="117"/>
      <c r="G120" s="117" t="s">
        <v>561</v>
      </c>
      <c r="H120" s="117" t="str">
        <f t="shared" si="23"/>
        <v>no</v>
      </c>
      <c r="I120" s="117" t="str">
        <f t="shared" si="24"/>
        <v>yes</v>
      </c>
      <c r="J120" s="117" t="str">
        <f t="shared" si="25"/>
        <v>no</v>
      </c>
      <c r="K120" s="176" t="s">
        <v>561</v>
      </c>
      <c r="L120" s="117" t="str">
        <f t="shared" si="13"/>
        <v>detailed</v>
      </c>
      <c r="M120" s="117" t="str">
        <f t="shared" si="26"/>
        <v>detailed Gas</v>
      </c>
      <c r="N120" s="118">
        <v>15600000000</v>
      </c>
      <c r="O120" s="118">
        <f>N120*0.0066</f>
        <v>102960000</v>
      </c>
      <c r="P120" s="118"/>
      <c r="Q120" s="118"/>
      <c r="R120" s="118"/>
      <c r="S120" s="117" t="s">
        <v>642</v>
      </c>
      <c r="T120" s="119">
        <v>0.18234125405902388</v>
      </c>
      <c r="U120" s="117" t="s">
        <v>643</v>
      </c>
      <c r="V120" s="117" t="s">
        <v>819</v>
      </c>
      <c r="W120" s="89">
        <f>N120*T120</f>
        <v>2844523563.3207726</v>
      </c>
      <c r="X120" s="117"/>
      <c r="Y120" s="89"/>
      <c r="Z120" s="89"/>
      <c r="AA120" s="211">
        <f>W120/W121</f>
        <v>7.9646853601564566E-2</v>
      </c>
      <c r="AB120" s="89"/>
      <c r="AC120" s="240"/>
      <c r="AD120" s="240"/>
      <c r="AE120" s="240"/>
      <c r="AF120" s="241"/>
      <c r="AG120" s="89"/>
      <c r="AH120" s="124"/>
      <c r="AI120" s="117"/>
      <c r="AJ120" s="117" t="s">
        <v>820</v>
      </c>
      <c r="AK120" s="89">
        <v>641773201</v>
      </c>
      <c r="AL120" s="117"/>
      <c r="AM120" s="117"/>
      <c r="AN120" s="214"/>
      <c r="AO120" s="117"/>
      <c r="AP120" s="117"/>
      <c r="AQ120" s="125"/>
      <c r="AR120" s="126"/>
      <c r="AS120" s="117"/>
      <c r="AT120" s="127"/>
      <c r="AU120" s="215"/>
      <c r="AV120" s="128"/>
      <c r="AW120" s="117">
        <f>VLOOKUP($D120,'WB Data'!$C$3:$M$578,2,FALSE)</f>
        <v>68730906313.64563</v>
      </c>
      <c r="AX120" s="117">
        <f>VLOOKUP($D120,'WB Data'!$C$3:$M$578,3,FALSE)</f>
        <v>9295784</v>
      </c>
      <c r="AY120" s="847">
        <f t="shared" si="16"/>
        <v>0.31757113627995942</v>
      </c>
      <c r="AZ120" s="117">
        <f>VLOOKUP($D120,'WB Data'!$C$3:$M$578,4,FALSE)/100</f>
        <v>0.41846282063153994</v>
      </c>
      <c r="BA120" s="117">
        <f t="shared" si="17"/>
        <v>28761328920.570267</v>
      </c>
      <c r="BB120" s="129">
        <f>IFERROR(VLOOKUP($D120,'EITI Revenues'!$C$2:$G$224,5,FALSE),"..")</f>
        <v>21826952015.575878</v>
      </c>
      <c r="BC120" s="846">
        <f t="shared" si="18"/>
        <v>0.75889928715933275</v>
      </c>
      <c r="BD120" s="129">
        <f>VLOOKUP($D120,'WB Data 2'!$C$2:$K$545,6,FALSE)</f>
        <v>30415888396.684139</v>
      </c>
      <c r="BE120" s="129">
        <f>IFERROR(VLOOKUP($D120,UNCTAD!$C$5:$V$529,4,FALSE),"..")</f>
        <v>36914840000</v>
      </c>
      <c r="BF120" s="846">
        <f t="shared" si="19"/>
        <v>0.82394745302117356</v>
      </c>
      <c r="BG120" s="117">
        <f>VLOOKUP($D120,'WB Data'!$C$3:$M$578,5,FALSE)</f>
        <v>337610000</v>
      </c>
      <c r="BH120" s="129">
        <f>IFERROR($BB120/$BG120,"..")</f>
        <v>64.651378856005095</v>
      </c>
      <c r="BI120" s="117" t="str">
        <f>IFERROR(VLOOKUP($D120,'WB Data'!$C$3:$M$578,7,FALSE)/100,"..")</f>
        <v>..</v>
      </c>
      <c r="BJ120" s="117" t="str">
        <f>IFERROR($BI120*$AW120,"..")</f>
        <v>..</v>
      </c>
      <c r="BK120" s="846" t="str">
        <f>IFERROR($BB120/$BJ120,"..")</f>
        <v>..</v>
      </c>
      <c r="BL120" s="117" t="str">
        <f>IFERROR(VLOOKUP($D120,'WB Data'!$C$3:$M$578,7,FALSE)/100,"..")</f>
        <v>..</v>
      </c>
      <c r="BM120" s="117" t="str">
        <f>IFERROR($AW120*$BL120,"..")</f>
        <v>..</v>
      </c>
      <c r="BN120" s="846" t="str">
        <f>IFERROR($BB120/$BM120,"..")</f>
        <v>..</v>
      </c>
      <c r="BO120" s="801">
        <f t="shared" si="15"/>
        <v>29</v>
      </c>
      <c r="BP120" s="117">
        <f>VLOOKUP($D120,'WB Data'!$C$3:$M$578,9,FALSE)</f>
        <v>6</v>
      </c>
      <c r="BQ120" s="117">
        <f>VLOOKUP($D120,'WB Data'!$C$3:$M$578,10,FALSE)</f>
        <v>70.624951219512212</v>
      </c>
      <c r="BR120" s="117">
        <f>VLOOKUP($D120,'WB Data'!$C$3:$M$578,11,FALSE)</f>
        <v>31.1</v>
      </c>
      <c r="BS120" s="129">
        <f>IFERROR(VLOOKUP($D120,'WB Data 2'!$C$2:$K$545,9,FALSE),"..")</f>
        <v>89.278999999999996</v>
      </c>
      <c r="BT120" s="129">
        <f>_xlfn.IFNA(VLOOKUP($C120,RGI!$A$2:$C$43,2,FALSE),"..")</f>
        <v>75.099999999999994</v>
      </c>
      <c r="BU120" s="129">
        <f>_xlfn.IFNA(VLOOKUP($C120,RGI!$A$2:$C$43,3,FALSE),"..")</f>
        <v>48.092853423547197</v>
      </c>
      <c r="BV120" s="129">
        <f>VLOOKUP($D120,WGI!$C$2:$O$478,7,FALSE)</f>
        <v>-1.2614219475900701</v>
      </c>
      <c r="BW120" s="129">
        <f>VLOOKUP($D120,WGI!$C$2:$O$478,4,FALSE)</f>
        <v>-0.68701515765162102</v>
      </c>
      <c r="BX120" s="129">
        <f>VLOOKUP($D120,WGI!$C$2:$O$478,3,FALSE)</f>
        <v>-0.77809627870641895</v>
      </c>
      <c r="BY120" s="129">
        <f>VLOOKUP($D120,WGI!$C$2:$O$478,5,FALSE)</f>
        <v>-0.46929324870817302</v>
      </c>
      <c r="BZ120" s="129">
        <f>VLOOKUP($D120,WGI!$C$2:$O$478,2,FALSE)</f>
        <v>-1.0737569533471101</v>
      </c>
    </row>
    <row r="121" spans="1:80" ht="15" customHeight="1">
      <c r="A121" s="145" t="s">
        <v>81</v>
      </c>
      <c r="B121" s="117">
        <v>2012</v>
      </c>
      <c r="C121" s="117" t="s">
        <v>53</v>
      </c>
      <c r="D121" s="117" t="s">
        <v>3722</v>
      </c>
      <c r="E121" s="174" t="s">
        <v>39</v>
      </c>
      <c r="F121" s="117"/>
      <c r="G121" s="117" t="s">
        <v>103</v>
      </c>
      <c r="H121" s="117" t="str">
        <f t="shared" si="23"/>
        <v>no</v>
      </c>
      <c r="I121" s="117" t="str">
        <f t="shared" si="24"/>
        <v>no</v>
      </c>
      <c r="J121" s="117" t="str">
        <f t="shared" si="25"/>
        <v>yes</v>
      </c>
      <c r="K121" s="176" t="s">
        <v>103</v>
      </c>
      <c r="L121" s="117" t="str">
        <f t="shared" si="13"/>
        <v>detailed</v>
      </c>
      <c r="M121" s="117" t="str">
        <f t="shared" si="26"/>
        <v>detailed Oil</v>
      </c>
      <c r="N121" s="118">
        <v>318280000</v>
      </c>
      <c r="O121" s="211">
        <f>O120/N121</f>
        <v>0.32348875204222699</v>
      </c>
      <c r="P121" s="118"/>
      <c r="Q121" s="118"/>
      <c r="R121" s="118"/>
      <c r="S121" s="117" t="s">
        <v>646</v>
      </c>
      <c r="T121" s="119">
        <v>112.21</v>
      </c>
      <c r="U121" s="117" t="s">
        <v>673</v>
      </c>
      <c r="V121" s="117" t="s">
        <v>819</v>
      </c>
      <c r="W121" s="89">
        <f>N121*T121</f>
        <v>35714198800</v>
      </c>
      <c r="X121" s="117"/>
      <c r="Y121" s="89"/>
      <c r="Z121" s="89"/>
      <c r="AA121" s="89"/>
      <c r="AB121" s="89"/>
      <c r="AC121" s="240"/>
      <c r="AD121" s="240"/>
      <c r="AE121" s="240"/>
      <c r="AF121" s="241"/>
      <c r="AG121" s="89"/>
      <c r="AH121" s="124"/>
      <c r="AI121" s="117"/>
      <c r="AJ121" s="117" t="s">
        <v>821</v>
      </c>
      <c r="AK121" s="89">
        <v>18043368000</v>
      </c>
      <c r="AL121" s="117"/>
      <c r="AM121" s="117"/>
      <c r="AN121" s="214"/>
      <c r="AO121" s="117"/>
      <c r="AP121" s="117"/>
      <c r="AQ121" s="125"/>
      <c r="AR121" s="126"/>
      <c r="AS121" s="117"/>
      <c r="AT121" s="127"/>
      <c r="AU121" s="215"/>
      <c r="AV121" s="128"/>
      <c r="AW121" s="117">
        <f>VLOOKUP($D121,'WB Data'!$C$3:$M$578,2,FALSE)</f>
        <v>68730906313.64563</v>
      </c>
      <c r="AX121" s="117">
        <f>VLOOKUP($D121,'WB Data'!$C$3:$M$578,3,FALSE)</f>
        <v>9295784</v>
      </c>
      <c r="AY121" s="847">
        <f t="shared" si="16"/>
        <v>0.31757113627995942</v>
      </c>
      <c r="AZ121" s="117">
        <f>VLOOKUP($D121,'WB Data'!$C$3:$M$578,4,FALSE)/100</f>
        <v>0.41846282063153994</v>
      </c>
      <c r="BA121" s="117">
        <f t="shared" si="17"/>
        <v>28761328920.570267</v>
      </c>
      <c r="BB121" s="129">
        <f>IFERROR(VLOOKUP($D121,'EITI Revenues'!$C$2:$G$224,5,FALSE),"..")</f>
        <v>21826952015.575878</v>
      </c>
      <c r="BC121" s="846">
        <f t="shared" si="18"/>
        <v>0.75889928715933275</v>
      </c>
      <c r="BD121" s="129">
        <f>VLOOKUP($D121,'WB Data 2'!$C$2:$K$545,6,FALSE)</f>
        <v>30415888396.684139</v>
      </c>
      <c r="BE121" s="129">
        <f>IFERROR(VLOOKUP($D121,UNCTAD!$C$5:$V$529,4,FALSE),"..")</f>
        <v>36914840000</v>
      </c>
      <c r="BF121" s="846">
        <f t="shared" si="19"/>
        <v>0.82394745302117356</v>
      </c>
      <c r="BG121" s="117">
        <f>VLOOKUP($D121,'WB Data'!$C$3:$M$578,5,FALSE)</f>
        <v>337610000</v>
      </c>
      <c r="BH121" s="129">
        <f>IFERROR($BB121/$BG121,"..")</f>
        <v>64.651378856005095</v>
      </c>
      <c r="BI121" s="117" t="str">
        <f>IFERROR(VLOOKUP($D121,'WB Data'!$C$3:$M$578,7,FALSE)/100,"..")</f>
        <v>..</v>
      </c>
      <c r="BJ121" s="117" t="str">
        <f>IFERROR($BI121*$AW121,"..")</f>
        <v>..</v>
      </c>
      <c r="BK121" s="846" t="str">
        <f>IFERROR($BB121/$BJ121,"..")</f>
        <v>..</v>
      </c>
      <c r="BL121" s="117" t="str">
        <f>IFERROR(VLOOKUP($D121,'WB Data'!$C$3:$M$578,7,FALSE)/100,"..")</f>
        <v>..</v>
      </c>
      <c r="BM121" s="117" t="str">
        <f>IFERROR($AW121*$BL121,"..")</f>
        <v>..</v>
      </c>
      <c r="BN121" s="846" t="str">
        <f>IFERROR($BB121/$BM121,"..")</f>
        <v>..</v>
      </c>
      <c r="BO121" s="801">
        <f t="shared" si="15"/>
        <v>29</v>
      </c>
      <c r="BP121" s="117">
        <f>VLOOKUP($D121,'WB Data'!$C$3:$M$578,9,FALSE)</f>
        <v>6</v>
      </c>
      <c r="BQ121" s="117">
        <f>VLOOKUP($D121,'WB Data'!$C$3:$M$578,10,FALSE)</f>
        <v>70.624951219512212</v>
      </c>
      <c r="BR121" s="117">
        <f>VLOOKUP($D121,'WB Data'!$C$3:$M$578,11,FALSE)</f>
        <v>31.1</v>
      </c>
      <c r="BS121" s="129">
        <f>IFERROR(VLOOKUP($D121,'WB Data 2'!$C$2:$K$545,9,FALSE),"..")</f>
        <v>89.278999999999996</v>
      </c>
      <c r="BT121" s="129">
        <f>_xlfn.IFNA(VLOOKUP($C121,RGI!$A$2:$C$43,2,FALSE),"..")</f>
        <v>75.099999999999994</v>
      </c>
      <c r="BU121" s="129">
        <f>_xlfn.IFNA(VLOOKUP($C121,RGI!$A$2:$C$43,3,FALSE),"..")</f>
        <v>48.092853423547197</v>
      </c>
      <c r="BV121" s="129">
        <f>VLOOKUP($D121,WGI!$C$2:$O$478,7,FALSE)</f>
        <v>-1.2614219475900701</v>
      </c>
      <c r="BW121" s="129">
        <f>VLOOKUP($D121,WGI!$C$2:$O$478,4,FALSE)</f>
        <v>-0.68701515765162102</v>
      </c>
      <c r="BX121" s="129">
        <f>VLOOKUP($D121,WGI!$C$2:$O$478,3,FALSE)</f>
        <v>-0.77809627870641895</v>
      </c>
      <c r="BY121" s="129">
        <f>VLOOKUP($D121,WGI!$C$2:$O$478,5,FALSE)</f>
        <v>-0.46929324870817302</v>
      </c>
      <c r="BZ121" s="129">
        <f>VLOOKUP($D121,WGI!$C$2:$O$478,2,FALSE)</f>
        <v>-1.0737569533471101</v>
      </c>
    </row>
    <row r="122" spans="1:80" ht="15" customHeight="1">
      <c r="A122" s="145" t="s">
        <v>81</v>
      </c>
      <c r="B122" s="117">
        <v>2012</v>
      </c>
      <c r="C122" s="117" t="s">
        <v>53</v>
      </c>
      <c r="D122" s="117" t="s">
        <v>3722</v>
      </c>
      <c r="E122" s="174" t="s">
        <v>39</v>
      </c>
      <c r="F122" s="117"/>
      <c r="G122" s="117" t="s">
        <v>24</v>
      </c>
      <c r="H122" s="117" t="str">
        <f t="shared" si="23"/>
        <v>yes</v>
      </c>
      <c r="I122" s="117" t="str">
        <f t="shared" si="24"/>
        <v>no</v>
      </c>
      <c r="J122" s="117" t="str">
        <f t="shared" si="25"/>
        <v>no</v>
      </c>
      <c r="K122" s="176" t="s">
        <v>600</v>
      </c>
      <c r="L122" s="117" t="str">
        <f t="shared" si="13"/>
        <v>Total</v>
      </c>
      <c r="M122" s="117" t="str">
        <f t="shared" si="26"/>
        <v>Total Mining</v>
      </c>
      <c r="N122" s="118"/>
      <c r="O122" s="118"/>
      <c r="P122" s="118"/>
      <c r="Q122" s="118"/>
      <c r="R122" s="118"/>
      <c r="S122" s="117"/>
      <c r="T122" s="119"/>
      <c r="U122" s="117"/>
      <c r="V122" s="117"/>
      <c r="W122" s="89">
        <f>SUM(W123:W124)</f>
        <v>84549665.492422342</v>
      </c>
      <c r="X122" s="117"/>
      <c r="Y122" s="89"/>
      <c r="Z122" s="89"/>
      <c r="AA122" s="89"/>
      <c r="AB122" s="89"/>
      <c r="AC122" s="240"/>
      <c r="AD122" s="240"/>
      <c r="AE122" s="240"/>
      <c r="AF122" s="241"/>
      <c r="AG122" s="89"/>
      <c r="AH122" s="124"/>
      <c r="AI122" s="117"/>
      <c r="AJ122" s="117" t="s">
        <v>822</v>
      </c>
      <c r="AK122" s="89">
        <f>SUM(AK123:AK124)</f>
        <v>9463979.1970597226</v>
      </c>
      <c r="AL122" s="117"/>
      <c r="AM122" s="117"/>
      <c r="AN122" s="214"/>
      <c r="AO122" s="117"/>
      <c r="AP122" s="117"/>
      <c r="AQ122" s="232"/>
      <c r="AR122" s="126"/>
      <c r="AS122" s="117"/>
      <c r="AT122" s="127"/>
      <c r="AU122" s="215"/>
      <c r="AV122" s="128"/>
      <c r="AW122" s="117">
        <f>VLOOKUP($D122,'WB Data'!$C$3:$M$578,2,FALSE)</f>
        <v>68730906313.64563</v>
      </c>
      <c r="AX122" s="117">
        <f>VLOOKUP($D122,'WB Data'!$C$3:$M$578,3,FALSE)</f>
        <v>9295784</v>
      </c>
      <c r="AY122" s="847">
        <f t="shared" si="16"/>
        <v>0.31757113627995942</v>
      </c>
      <c r="AZ122" s="117">
        <f>VLOOKUP($D122,'WB Data'!$C$3:$M$578,4,FALSE)/100</f>
        <v>0.41846282063153994</v>
      </c>
      <c r="BA122" s="117">
        <f t="shared" si="17"/>
        <v>28761328920.570267</v>
      </c>
      <c r="BB122" s="129">
        <f>IFERROR(VLOOKUP($D122,'EITI Revenues'!$C$2:$G$224,5,FALSE),"..")</f>
        <v>21826952015.575878</v>
      </c>
      <c r="BC122" s="846">
        <f t="shared" si="18"/>
        <v>0.75889928715933275</v>
      </c>
      <c r="BD122" s="129">
        <f>VLOOKUP($D122,'WB Data 2'!$C$2:$K$545,6,FALSE)</f>
        <v>30415888396.684139</v>
      </c>
      <c r="BE122" s="129">
        <f>IFERROR(VLOOKUP($D122,UNCTAD!$C$5:$V$529,4,FALSE),"..")</f>
        <v>36914840000</v>
      </c>
      <c r="BF122" s="846">
        <f t="shared" si="19"/>
        <v>0.82394745302117356</v>
      </c>
      <c r="BG122" s="117">
        <f>VLOOKUP($D122,'WB Data'!$C$3:$M$578,5,FALSE)</f>
        <v>337610000</v>
      </c>
      <c r="BH122" s="129">
        <f>IFERROR($BB122/$BG122,"..")</f>
        <v>64.651378856005095</v>
      </c>
      <c r="BI122" s="117" t="str">
        <f>IFERROR(VLOOKUP($D122,'WB Data'!$C$3:$M$578,7,FALSE)/100,"..")</f>
        <v>..</v>
      </c>
      <c r="BJ122" s="117" t="str">
        <f>IFERROR($BI122*$AW122,"..")</f>
        <v>..</v>
      </c>
      <c r="BK122" s="846" t="str">
        <f>IFERROR($BB122/$BJ122,"..")</f>
        <v>..</v>
      </c>
      <c r="BL122" s="117" t="str">
        <f>IFERROR(VLOOKUP($D122,'WB Data'!$C$3:$M$578,7,FALSE)/100,"..")</f>
        <v>..</v>
      </c>
      <c r="BM122" s="117" t="str">
        <f>IFERROR($AW122*$BL122,"..")</f>
        <v>..</v>
      </c>
      <c r="BN122" s="846" t="str">
        <f>IFERROR($BB122/$BM122,"..")</f>
        <v>..</v>
      </c>
      <c r="BO122" s="801">
        <f t="shared" si="15"/>
        <v>29</v>
      </c>
      <c r="BP122" s="117">
        <f>VLOOKUP($D122,'WB Data'!$C$3:$M$578,9,FALSE)</f>
        <v>6</v>
      </c>
      <c r="BQ122" s="117">
        <f>VLOOKUP($D122,'WB Data'!$C$3:$M$578,10,FALSE)</f>
        <v>70.624951219512212</v>
      </c>
      <c r="BR122" s="117">
        <f>VLOOKUP($D122,'WB Data'!$C$3:$M$578,11,FALSE)</f>
        <v>31.1</v>
      </c>
      <c r="BS122" s="129">
        <f>IFERROR(VLOOKUP($D122,'WB Data 2'!$C$2:$K$545,9,FALSE),"..")</f>
        <v>89.278999999999996</v>
      </c>
      <c r="BT122" s="129">
        <f>_xlfn.IFNA(VLOOKUP($C122,RGI!$A$2:$C$43,2,FALSE),"..")</f>
        <v>75.099999999999994</v>
      </c>
      <c r="BU122" s="129">
        <f>_xlfn.IFNA(VLOOKUP($C122,RGI!$A$2:$C$43,3,FALSE),"..")</f>
        <v>48.092853423547197</v>
      </c>
      <c r="BV122" s="129">
        <f>VLOOKUP($D122,WGI!$C$2:$O$478,7,FALSE)</f>
        <v>-1.2614219475900701</v>
      </c>
      <c r="BW122" s="129">
        <f>VLOOKUP($D122,WGI!$C$2:$O$478,4,FALSE)</f>
        <v>-0.68701515765162102</v>
      </c>
      <c r="BX122" s="129">
        <f>VLOOKUP($D122,WGI!$C$2:$O$478,3,FALSE)</f>
        <v>-0.77809627870641895</v>
      </c>
      <c r="BY122" s="129">
        <f>VLOOKUP($D122,WGI!$C$2:$O$478,5,FALSE)</f>
        <v>-0.46929324870817302</v>
      </c>
      <c r="BZ122" s="129">
        <f>VLOOKUP($D122,WGI!$C$2:$O$478,2,FALSE)</f>
        <v>-1.0737569533471101</v>
      </c>
    </row>
    <row r="123" spans="1:80" ht="15" customHeight="1">
      <c r="A123" s="145" t="s">
        <v>81</v>
      </c>
      <c r="B123" s="117">
        <v>2012</v>
      </c>
      <c r="C123" s="117" t="s">
        <v>53</v>
      </c>
      <c r="D123" s="117" t="s">
        <v>3722</v>
      </c>
      <c r="E123" s="174" t="s">
        <v>39</v>
      </c>
      <c r="F123" s="117"/>
      <c r="G123" s="117" t="s">
        <v>24</v>
      </c>
      <c r="H123" s="117" t="str">
        <f t="shared" si="23"/>
        <v>yes</v>
      </c>
      <c r="I123" s="117" t="str">
        <f t="shared" si="24"/>
        <v>no</v>
      </c>
      <c r="J123" s="117" t="str">
        <f t="shared" si="25"/>
        <v>no</v>
      </c>
      <c r="K123" s="176" t="s">
        <v>784</v>
      </c>
      <c r="L123" s="117" t="str">
        <f t="shared" si="13"/>
        <v>detailed</v>
      </c>
      <c r="M123" s="117" t="str">
        <f t="shared" si="26"/>
        <v>detailed Mining</v>
      </c>
      <c r="N123" s="118">
        <f>1563*32.150743126506</f>
        <v>50251.611506728877</v>
      </c>
      <c r="O123" s="118"/>
      <c r="P123" s="118"/>
      <c r="Q123" s="118"/>
      <c r="R123" s="118"/>
      <c r="S123" s="117" t="s">
        <v>785</v>
      </c>
      <c r="T123" s="119">
        <v>1669.51766666667</v>
      </c>
      <c r="U123" s="117" t="s">
        <v>786</v>
      </c>
      <c r="V123" s="233" t="s">
        <v>787</v>
      </c>
      <c r="W123" s="89">
        <f>N123*T123</f>
        <v>83895953.188953981</v>
      </c>
      <c r="X123" s="117"/>
      <c r="Y123" s="89"/>
      <c r="Z123" s="89"/>
      <c r="AA123" s="89"/>
      <c r="AB123" s="89"/>
      <c r="AC123" s="240"/>
      <c r="AD123" s="240"/>
      <c r="AE123" s="240"/>
      <c r="AF123" s="241"/>
      <c r="AG123" s="89"/>
      <c r="AH123" s="124"/>
      <c r="AI123" s="117"/>
      <c r="AJ123" s="117" t="s">
        <v>823</v>
      </c>
      <c r="AK123" s="89">
        <v>9282344.3151817229</v>
      </c>
      <c r="AL123" s="117"/>
      <c r="AM123" s="117"/>
      <c r="AN123" s="214"/>
      <c r="AO123" s="117"/>
      <c r="AP123" s="117"/>
      <c r="AQ123" s="232"/>
      <c r="AR123" s="126"/>
      <c r="AS123" s="117"/>
      <c r="AT123" s="127"/>
      <c r="AU123" s="215"/>
      <c r="AV123" s="128"/>
      <c r="AW123" s="117">
        <f>VLOOKUP($D123,'WB Data'!$C$3:$M$578,2,FALSE)</f>
        <v>68730906313.64563</v>
      </c>
      <c r="AX123" s="117">
        <f>VLOOKUP($D123,'WB Data'!$C$3:$M$578,3,FALSE)</f>
        <v>9295784</v>
      </c>
      <c r="AY123" s="847">
        <f t="shared" si="16"/>
        <v>0.31757113627995942</v>
      </c>
      <c r="AZ123" s="117">
        <f>VLOOKUP($D123,'WB Data'!$C$3:$M$578,4,FALSE)/100</f>
        <v>0.41846282063153994</v>
      </c>
      <c r="BA123" s="117">
        <f t="shared" si="17"/>
        <v>28761328920.570267</v>
      </c>
      <c r="BB123" s="129">
        <f>IFERROR(VLOOKUP($D123,'EITI Revenues'!$C$2:$G$224,5,FALSE),"..")</f>
        <v>21826952015.575878</v>
      </c>
      <c r="BC123" s="846">
        <f t="shared" si="18"/>
        <v>0.75889928715933275</v>
      </c>
      <c r="BD123" s="129">
        <f>VLOOKUP($D123,'WB Data 2'!$C$2:$K$545,6,FALSE)</f>
        <v>30415888396.684139</v>
      </c>
      <c r="BE123" s="129">
        <f>IFERROR(VLOOKUP($D123,UNCTAD!$C$5:$V$529,4,FALSE),"..")</f>
        <v>36914840000</v>
      </c>
      <c r="BF123" s="846">
        <f t="shared" si="19"/>
        <v>0.82394745302117356</v>
      </c>
      <c r="BG123" s="117">
        <f>VLOOKUP($D123,'WB Data'!$C$3:$M$578,5,FALSE)</f>
        <v>337610000</v>
      </c>
      <c r="BH123" s="129">
        <f>IFERROR($BB123/$BG123,"..")</f>
        <v>64.651378856005095</v>
      </c>
      <c r="BI123" s="117" t="str">
        <f>IFERROR(VLOOKUP($D123,'WB Data'!$C$3:$M$578,7,FALSE)/100,"..")</f>
        <v>..</v>
      </c>
      <c r="BJ123" s="117" t="str">
        <f>IFERROR($BI123*$AW123,"..")</f>
        <v>..</v>
      </c>
      <c r="BK123" s="846" t="str">
        <f>IFERROR($BB123/$BJ123,"..")</f>
        <v>..</v>
      </c>
      <c r="BL123" s="117" t="str">
        <f>IFERROR(VLOOKUP($D123,'WB Data'!$C$3:$M$578,7,FALSE)/100,"..")</f>
        <v>..</v>
      </c>
      <c r="BM123" s="117" t="str">
        <f>IFERROR($AW123*$BL123,"..")</f>
        <v>..</v>
      </c>
      <c r="BN123" s="846" t="str">
        <f>IFERROR($BB123/$BM123,"..")</f>
        <v>..</v>
      </c>
      <c r="BO123" s="801">
        <f t="shared" si="15"/>
        <v>29</v>
      </c>
      <c r="BP123" s="117">
        <f>VLOOKUP($D123,'WB Data'!$C$3:$M$578,9,FALSE)</f>
        <v>6</v>
      </c>
      <c r="BQ123" s="117">
        <f>VLOOKUP($D123,'WB Data'!$C$3:$M$578,10,FALSE)</f>
        <v>70.624951219512212</v>
      </c>
      <c r="BR123" s="117">
        <f>VLOOKUP($D123,'WB Data'!$C$3:$M$578,11,FALSE)</f>
        <v>31.1</v>
      </c>
      <c r="BS123" s="129">
        <f>IFERROR(VLOOKUP($D123,'WB Data 2'!$C$2:$K$545,9,FALSE),"..")</f>
        <v>89.278999999999996</v>
      </c>
      <c r="BT123" s="129">
        <f>_xlfn.IFNA(VLOOKUP($C123,RGI!$A$2:$C$43,2,FALSE),"..")</f>
        <v>75.099999999999994</v>
      </c>
      <c r="BU123" s="129">
        <f>_xlfn.IFNA(VLOOKUP($C123,RGI!$A$2:$C$43,3,FALSE),"..")</f>
        <v>48.092853423547197</v>
      </c>
      <c r="BV123" s="129">
        <f>VLOOKUP($D123,WGI!$C$2:$O$478,7,FALSE)</f>
        <v>-1.2614219475900701</v>
      </c>
      <c r="BW123" s="129">
        <f>VLOOKUP($D123,WGI!$C$2:$O$478,4,FALSE)</f>
        <v>-0.68701515765162102</v>
      </c>
      <c r="BX123" s="129">
        <f>VLOOKUP($D123,WGI!$C$2:$O$478,3,FALSE)</f>
        <v>-0.77809627870641895</v>
      </c>
      <c r="BY123" s="129">
        <f>VLOOKUP($D123,WGI!$C$2:$O$478,5,FALSE)</f>
        <v>-0.46929324870817302</v>
      </c>
      <c r="BZ123" s="129">
        <f>VLOOKUP($D123,WGI!$C$2:$O$478,2,FALSE)</f>
        <v>-1.0737569533471101</v>
      </c>
    </row>
    <row r="124" spans="1:80" s="173" customFormat="1" ht="15" customHeight="1" thickBot="1">
      <c r="A124" s="162" t="s">
        <v>81</v>
      </c>
      <c r="B124" s="164">
        <v>2012</v>
      </c>
      <c r="C124" s="164" t="s">
        <v>53</v>
      </c>
      <c r="D124" s="117" t="s">
        <v>3722</v>
      </c>
      <c r="E124" s="242" t="s">
        <v>39</v>
      </c>
      <c r="F124" s="164"/>
      <c r="G124" s="164" t="s">
        <v>24</v>
      </c>
      <c r="H124" s="164" t="str">
        <f t="shared" si="23"/>
        <v>yes</v>
      </c>
      <c r="I124" s="164" t="str">
        <f t="shared" si="24"/>
        <v>no</v>
      </c>
      <c r="J124" s="164" t="str">
        <f t="shared" si="25"/>
        <v>no</v>
      </c>
      <c r="K124" s="243" t="s">
        <v>789</v>
      </c>
      <c r="L124" s="164" t="str">
        <f t="shared" si="13"/>
        <v>detailed</v>
      </c>
      <c r="M124" s="164" t="str">
        <f t="shared" si="26"/>
        <v>detailed Mining</v>
      </c>
      <c r="N124" s="165">
        <f>653*32.150743126506</f>
        <v>20994.435261608418</v>
      </c>
      <c r="O124" s="165"/>
      <c r="P124" s="165"/>
      <c r="Q124" s="165"/>
      <c r="R124" s="165"/>
      <c r="S124" s="164" t="s">
        <v>785</v>
      </c>
      <c r="T124" s="166">
        <f>31.13740833333/1</f>
        <v>31.137408333330001</v>
      </c>
      <c r="U124" s="164" t="s">
        <v>786</v>
      </c>
      <c r="V124" s="164" t="s">
        <v>798</v>
      </c>
      <c r="W124" s="167">
        <f>N124*T124</f>
        <v>653712.30346836313</v>
      </c>
      <c r="X124" s="164"/>
      <c r="Y124" s="164"/>
      <c r="Z124" s="164"/>
      <c r="AA124" s="244"/>
      <c r="AB124" s="244"/>
      <c r="AC124" s="245"/>
      <c r="AD124" s="245"/>
      <c r="AE124" s="245"/>
      <c r="AF124" s="246"/>
      <c r="AG124" s="164"/>
      <c r="AH124" s="171"/>
      <c r="AI124" s="164"/>
      <c r="AJ124" s="164" t="s">
        <v>824</v>
      </c>
      <c r="AK124" s="167">
        <v>181634.881877999</v>
      </c>
      <c r="AL124" s="164"/>
      <c r="AM124" s="164"/>
      <c r="AN124" s="247"/>
      <c r="AO124" s="164"/>
      <c r="AP124" s="164"/>
      <c r="AQ124" s="248"/>
      <c r="AR124" s="249"/>
      <c r="AS124" s="164"/>
      <c r="AT124" s="250"/>
      <c r="AU124" s="251"/>
      <c r="AV124" s="172"/>
      <c r="AW124" s="117">
        <f>VLOOKUP($D124,'WB Data'!$C$3:$M$578,2,FALSE)</f>
        <v>68730906313.64563</v>
      </c>
      <c r="AX124" s="117">
        <f>VLOOKUP($D124,'WB Data'!$C$3:$M$578,3,FALSE)</f>
        <v>9295784</v>
      </c>
      <c r="AY124" s="847">
        <f t="shared" si="16"/>
        <v>0.31757113627995942</v>
      </c>
      <c r="AZ124" s="117">
        <f>VLOOKUP($D124,'WB Data'!$C$3:$M$578,4,FALSE)/100</f>
        <v>0.41846282063153994</v>
      </c>
      <c r="BA124" s="117">
        <f t="shared" si="17"/>
        <v>28761328920.570267</v>
      </c>
      <c r="BB124" s="129">
        <f>IFERROR(VLOOKUP($D124,'EITI Revenues'!$C$2:$G$224,5,FALSE),"..")</f>
        <v>21826952015.575878</v>
      </c>
      <c r="BC124" s="846">
        <f t="shared" si="18"/>
        <v>0.75889928715933275</v>
      </c>
      <c r="BD124" s="129">
        <f>VLOOKUP($D124,'WB Data 2'!$C$2:$K$545,6,FALSE)</f>
        <v>30415888396.684139</v>
      </c>
      <c r="BE124" s="129">
        <f>IFERROR(VLOOKUP($D124,UNCTAD!$C$5:$V$529,4,FALSE),"..")</f>
        <v>36914840000</v>
      </c>
      <c r="BF124" s="846">
        <f t="shared" si="19"/>
        <v>0.82394745302117356</v>
      </c>
      <c r="BG124" s="117">
        <f>VLOOKUP($D124,'WB Data'!$C$3:$M$578,5,FALSE)</f>
        <v>337610000</v>
      </c>
      <c r="BH124" s="129">
        <f>IFERROR($BB124/$BG124,"..")</f>
        <v>64.651378856005095</v>
      </c>
      <c r="BI124" s="117" t="str">
        <f>IFERROR(VLOOKUP($D124,'WB Data'!$C$3:$M$578,7,FALSE)/100,"..")</f>
        <v>..</v>
      </c>
      <c r="BJ124" s="117" t="str">
        <f>IFERROR($BI124*$AW124,"..")</f>
        <v>..</v>
      </c>
      <c r="BK124" s="846" t="str">
        <f>IFERROR($BB124/$BJ124,"..")</f>
        <v>..</v>
      </c>
      <c r="BL124" s="117" t="str">
        <f>IFERROR(VLOOKUP($D124,'WB Data'!$C$3:$M$578,7,FALSE)/100,"..")</f>
        <v>..</v>
      </c>
      <c r="BM124" s="117" t="str">
        <f>IFERROR($AW124*$BL124,"..")</f>
        <v>..</v>
      </c>
      <c r="BN124" s="846" t="str">
        <f>IFERROR($BB124/$BM124,"..")</f>
        <v>..</v>
      </c>
      <c r="BO124" s="801">
        <f t="shared" si="15"/>
        <v>29</v>
      </c>
      <c r="BP124" s="117">
        <f>VLOOKUP($D124,'WB Data'!$C$3:$M$578,9,FALSE)</f>
        <v>6</v>
      </c>
      <c r="BQ124" s="117">
        <f>VLOOKUP($D124,'WB Data'!$C$3:$M$578,10,FALSE)</f>
        <v>70.624951219512212</v>
      </c>
      <c r="BR124" s="117">
        <f>VLOOKUP($D124,'WB Data'!$C$3:$M$578,11,FALSE)</f>
        <v>31.1</v>
      </c>
      <c r="BS124" s="129">
        <f>IFERROR(VLOOKUP($D124,'WB Data 2'!$C$2:$K$545,9,FALSE),"..")</f>
        <v>89.278999999999996</v>
      </c>
      <c r="BT124" s="129">
        <f>_xlfn.IFNA(VLOOKUP($C124,RGI!$A$2:$C$43,2,FALSE),"..")</f>
        <v>75.099999999999994</v>
      </c>
      <c r="BU124" s="129">
        <f>_xlfn.IFNA(VLOOKUP($C124,RGI!$A$2:$C$43,3,FALSE),"..")</f>
        <v>48.092853423547197</v>
      </c>
      <c r="BV124" s="129">
        <f>VLOOKUP($D124,WGI!$C$2:$O$478,7,FALSE)</f>
        <v>-1.2614219475900701</v>
      </c>
      <c r="BW124" s="129">
        <f>VLOOKUP($D124,WGI!$C$2:$O$478,4,FALSE)</f>
        <v>-0.68701515765162102</v>
      </c>
      <c r="BX124" s="129">
        <f>VLOOKUP($D124,WGI!$C$2:$O$478,3,FALSE)</f>
        <v>-0.77809627870641895</v>
      </c>
      <c r="BY124" s="129">
        <f>VLOOKUP($D124,WGI!$C$2:$O$478,5,FALSE)</f>
        <v>-0.46929324870817302</v>
      </c>
      <c r="BZ124" s="129">
        <f>VLOOKUP($D124,WGI!$C$2:$O$478,2,FALSE)</f>
        <v>-1.0737569533471101</v>
      </c>
      <c r="CB124" s="129"/>
    </row>
    <row r="125" spans="1:80" s="158" customFormat="1" ht="15" customHeight="1">
      <c r="A125" s="252" t="s">
        <v>84</v>
      </c>
      <c r="B125" s="253">
        <v>2008</v>
      </c>
      <c r="C125" s="253" t="s">
        <v>98</v>
      </c>
      <c r="D125" s="117" t="s">
        <v>3587</v>
      </c>
      <c r="E125" s="253" t="s">
        <v>86</v>
      </c>
      <c r="F125" s="253" t="s">
        <v>825</v>
      </c>
      <c r="G125" s="253" t="s">
        <v>24</v>
      </c>
      <c r="H125" s="117" t="str">
        <f t="shared" si="23"/>
        <v>yes</v>
      </c>
      <c r="I125" s="117" t="str">
        <f t="shared" si="24"/>
        <v>no</v>
      </c>
      <c r="J125" s="117" t="str">
        <f t="shared" si="25"/>
        <v>no</v>
      </c>
      <c r="K125" s="254" t="s">
        <v>784</v>
      </c>
      <c r="L125" s="117" t="str">
        <f t="shared" si="13"/>
        <v>detailed</v>
      </c>
      <c r="M125" s="117" t="str">
        <f t="shared" si="26"/>
        <v>detailed Mining</v>
      </c>
      <c r="N125" s="255"/>
      <c r="O125" s="255"/>
      <c r="P125" s="255">
        <v>30700</v>
      </c>
      <c r="Q125" s="255"/>
      <c r="R125" s="255"/>
      <c r="S125" s="253" t="s">
        <v>785</v>
      </c>
      <c r="T125" s="256">
        <v>836</v>
      </c>
      <c r="U125" s="253" t="s">
        <v>786</v>
      </c>
      <c r="V125" s="253" t="s">
        <v>826</v>
      </c>
      <c r="W125" s="257">
        <f>P125*T125</f>
        <v>25665200</v>
      </c>
      <c r="X125" s="253" t="s">
        <v>827</v>
      </c>
      <c r="Y125" s="253" t="s">
        <v>602</v>
      </c>
      <c r="Z125" s="253"/>
      <c r="AA125" s="258">
        <f>1677550568/439.16</f>
        <v>3819907.477912378</v>
      </c>
      <c r="AB125" s="258">
        <v>3534509.260861645</v>
      </c>
      <c r="AC125" s="259"/>
      <c r="AD125" s="259"/>
      <c r="AE125" s="259"/>
      <c r="AF125" s="260">
        <f>AA125/W125</f>
        <v>0.14883606899273638</v>
      </c>
      <c r="AG125" s="253"/>
      <c r="AH125" s="261">
        <v>439.16</v>
      </c>
      <c r="AI125" s="253" t="s">
        <v>722</v>
      </c>
      <c r="AJ125" s="253"/>
      <c r="AK125" s="257"/>
      <c r="AL125" s="253"/>
      <c r="AM125" s="253"/>
      <c r="AN125" s="262"/>
      <c r="AO125" s="253" t="s">
        <v>828</v>
      </c>
      <c r="AP125" s="253">
        <v>1</v>
      </c>
      <c r="AQ125" s="253" t="s">
        <v>87</v>
      </c>
      <c r="AR125" s="263">
        <v>41922</v>
      </c>
      <c r="AS125" s="253" t="s">
        <v>829</v>
      </c>
      <c r="AT125" s="264" t="s">
        <v>830</v>
      </c>
      <c r="AU125" s="253"/>
      <c r="AV125" s="265" t="s">
        <v>831</v>
      </c>
      <c r="AW125" s="117">
        <f>VLOOKUP($D125,'WB Data'!$C$3:$M$578,2,FALSE)</f>
        <v>8350710389.3123074</v>
      </c>
      <c r="AX125" s="117">
        <f>VLOOKUP($D125,'WB Data'!$C$3:$M$578,3,FALSE)</f>
        <v>14659646</v>
      </c>
      <c r="AY125" s="847" t="str">
        <f t="shared" si="16"/>
        <v>..</v>
      </c>
      <c r="AZ125" s="117">
        <f>VLOOKUP($D125,'WB Data'!$C$3:$M$578,4,FALSE)/100</f>
        <v>0.12938296754532433</v>
      </c>
      <c r="BA125" s="117">
        <f t="shared" si="17"/>
        <v>1080439691.280797</v>
      </c>
      <c r="BB125" s="129" t="str">
        <f>IFERROR(VLOOKUP($D125,'EITI Revenues'!$C$2:$G$224,5,FALSE),"..")</f>
        <v>..</v>
      </c>
      <c r="BC125" s="846" t="str">
        <f t="shared" si="18"/>
        <v>..</v>
      </c>
      <c r="BD125" s="129">
        <f>VLOOKUP($D125,'WB Data 2'!$C$2:$K$545,6,FALSE)</f>
        <v>2656810.1947893212</v>
      </c>
      <c r="BE125" s="129">
        <f>IFERROR(VLOOKUP($D125,UNCTAD!$C$5:$V$529,4,FALSE),"..")</f>
        <v>983937000</v>
      </c>
      <c r="BF125" s="846">
        <f t="shared" si="19"/>
        <v>2.7001832381436221E-3</v>
      </c>
      <c r="BG125" s="117">
        <f>VLOOKUP($D125,'WB Data'!$C$3:$M$578,5,FALSE)</f>
        <v>1001160000</v>
      </c>
      <c r="BH125" s="129" t="str">
        <f>IFERROR($BB125/$BG125,"..")</f>
        <v>..</v>
      </c>
      <c r="BI125" s="117" t="str">
        <f>IFERROR(VLOOKUP($D125,'WB Data'!$C$3:$M$578,7,FALSE)/100,"..")</f>
        <v>..</v>
      </c>
      <c r="BJ125" s="117" t="str">
        <f>IFERROR($BI125*$AW125,"..")</f>
        <v>..</v>
      </c>
      <c r="BK125" s="846" t="str">
        <f>IFERROR($BB125/$BJ125,"..")</f>
        <v>..</v>
      </c>
      <c r="BL125" s="117" t="str">
        <f>IFERROR(VLOOKUP($D125,'WB Data'!$C$3:$M$578,7,FALSE)/100,"..")</f>
        <v>..</v>
      </c>
      <c r="BM125" s="117" t="str">
        <f>IFERROR($AW125*$BL125,"..")</f>
        <v>..</v>
      </c>
      <c r="BN125" s="846" t="str">
        <f>IFERROR($BB125/$BM125,"..")</f>
        <v>..</v>
      </c>
      <c r="BO125" s="801">
        <f t="shared" si="15"/>
        <v>38</v>
      </c>
      <c r="BP125" s="117" t="str">
        <f>VLOOKUP($D125,'WB Data'!$C$3:$M$578,9,FALSE)</f>
        <v>..</v>
      </c>
      <c r="BQ125" s="117">
        <f>VLOOKUP($D125,'WB Data'!$C$3:$M$578,10,FALSE)</f>
        <v>54.094195121951223</v>
      </c>
      <c r="BR125" s="117">
        <f>VLOOKUP($D125,'WB Data'!$C$3:$M$578,11,FALSE)</f>
        <v>76</v>
      </c>
      <c r="BS125" s="129">
        <f>IFERROR(VLOOKUP($D125,'WB Data 2'!$C$2:$K$545,9,FALSE),"..")</f>
        <v>61.005960000000002</v>
      </c>
      <c r="BT125" s="129" t="str">
        <f>_xlfn.IFNA(VLOOKUP($C125,RGI!$A$2:$C$43,2,FALSE),"..")</f>
        <v>..</v>
      </c>
      <c r="BU125" s="129" t="str">
        <f>_xlfn.IFNA(VLOOKUP($C125,RGI!$A$2:$C$43,3,FALSE),"..")</f>
        <v>..</v>
      </c>
      <c r="BV125" s="129">
        <f>VLOOKUP($D125,WGI!$C$2:$O$478,7,FALSE)</f>
        <v>-0.32039984365782598</v>
      </c>
      <c r="BW125" s="129">
        <f>VLOOKUP($D125,WGI!$C$2:$O$478,4,FALSE)</f>
        <v>9.6509614616367798E-2</v>
      </c>
      <c r="BX125" s="129">
        <f>VLOOKUP($D125,WGI!$C$2:$O$478,3,FALSE)</f>
        <v>-0.46605870146327699</v>
      </c>
      <c r="BY125" s="129">
        <f>VLOOKUP($D125,WGI!$C$2:$O$478,5,FALSE)</f>
        <v>-0.174582172741268</v>
      </c>
      <c r="BZ125" s="129">
        <f>VLOOKUP($D125,WGI!$C$2:$O$478,2,FALSE)</f>
        <v>-0.32813469454549499</v>
      </c>
      <c r="CB125" s="129"/>
    </row>
    <row r="126" spans="1:80" ht="15" customHeight="1">
      <c r="A126" s="266" t="s">
        <v>89</v>
      </c>
      <c r="B126" s="267">
        <v>2009</v>
      </c>
      <c r="C126" s="267" t="s">
        <v>98</v>
      </c>
      <c r="D126" s="117" t="s">
        <v>3621</v>
      </c>
      <c r="E126" s="267" t="s">
        <v>86</v>
      </c>
      <c r="F126" s="267" t="s">
        <v>825</v>
      </c>
      <c r="G126" s="267" t="s">
        <v>24</v>
      </c>
      <c r="H126" s="117" t="str">
        <f t="shared" si="23"/>
        <v>yes</v>
      </c>
      <c r="I126" s="117" t="str">
        <f t="shared" si="24"/>
        <v>no</v>
      </c>
      <c r="J126" s="117" t="str">
        <f t="shared" si="25"/>
        <v>no</v>
      </c>
      <c r="K126" s="268" t="s">
        <v>784</v>
      </c>
      <c r="L126" s="117" t="str">
        <f t="shared" si="13"/>
        <v>detailed</v>
      </c>
      <c r="M126" s="117" t="str">
        <f t="shared" si="26"/>
        <v>detailed Mining</v>
      </c>
      <c r="N126" s="269"/>
      <c r="O126" s="269"/>
      <c r="P126" s="269">
        <f>99500+65601+54430.62+153543</f>
        <v>373074.62</v>
      </c>
      <c r="Q126" s="269"/>
      <c r="R126" s="269"/>
      <c r="S126" s="267" t="s">
        <v>785</v>
      </c>
      <c r="T126" s="270">
        <v>936</v>
      </c>
      <c r="U126" s="253" t="s">
        <v>786</v>
      </c>
      <c r="V126" s="253" t="s">
        <v>832</v>
      </c>
      <c r="W126" s="257">
        <f>P126*T126</f>
        <v>349197844.31999999</v>
      </c>
      <c r="X126" s="267" t="s">
        <v>827</v>
      </c>
      <c r="Y126" s="267" t="s">
        <v>602</v>
      </c>
      <c r="Z126" s="267"/>
      <c r="AA126" s="271">
        <v>23106501.168264665</v>
      </c>
      <c r="AB126" s="271">
        <v>27534866.675304484</v>
      </c>
      <c r="AC126" s="272"/>
      <c r="AD126" s="272"/>
      <c r="AE126" s="272"/>
      <c r="AF126" s="273">
        <f>AA126/W126</f>
        <v>6.6170228551268473E-2</v>
      </c>
      <c r="AG126" s="267"/>
      <c r="AH126" s="274">
        <v>463.08</v>
      </c>
      <c r="AI126" s="267" t="s">
        <v>722</v>
      </c>
      <c r="AJ126" s="267"/>
      <c r="AK126" s="275"/>
      <c r="AL126" s="267"/>
      <c r="AM126" s="267"/>
      <c r="AN126" s="276"/>
      <c r="AO126" s="267" t="s">
        <v>833</v>
      </c>
      <c r="AP126" s="267">
        <v>4</v>
      </c>
      <c r="AQ126" s="267" t="s">
        <v>87</v>
      </c>
      <c r="AR126" s="277">
        <v>41922</v>
      </c>
      <c r="AS126" s="267" t="s">
        <v>829</v>
      </c>
      <c r="AT126" s="267" t="s">
        <v>834</v>
      </c>
      <c r="AU126" s="267"/>
      <c r="AV126" s="278"/>
      <c r="AW126" s="117">
        <f>VLOOKUP($D126,'WB Data'!$C$3:$M$578,2,FALSE)</f>
        <v>8348156389.0769367</v>
      </c>
      <c r="AX126" s="117">
        <f>VLOOKUP($D126,'WB Data'!$C$3:$M$578,3,FALSE)</f>
        <v>15094967</v>
      </c>
      <c r="AY126" s="847" t="str">
        <f t="shared" si="16"/>
        <v>..</v>
      </c>
      <c r="AZ126" s="117">
        <f>VLOOKUP($D126,'WB Data'!$C$3:$M$578,4,FALSE)/100</f>
        <v>0.13675978338358424</v>
      </c>
      <c r="BA126" s="117">
        <f t="shared" si="17"/>
        <v>1141692059.4224467</v>
      </c>
      <c r="BB126" s="129" t="str">
        <f>IFERROR(VLOOKUP($D126,'EITI Revenues'!$C$2:$G$224,5,FALSE),"..")</f>
        <v>..</v>
      </c>
      <c r="BC126" s="846" t="str">
        <f t="shared" si="18"/>
        <v>..</v>
      </c>
      <c r="BD126" s="129">
        <f>VLOOKUP($D126,'WB Data 2'!$C$2:$K$545,6,FALSE)</f>
        <v>5984518.6217454951</v>
      </c>
      <c r="BE126" s="129">
        <f>IFERROR(VLOOKUP($D126,UNCTAD!$C$5:$V$529,4,FALSE),"..")</f>
        <v>1053019000</v>
      </c>
      <c r="BF126" s="846">
        <f t="shared" si="19"/>
        <v>5.68320098853439E-3</v>
      </c>
      <c r="BG126" s="117">
        <f>VLOOKUP($D126,'WB Data'!$C$3:$M$578,5,FALSE)</f>
        <v>1082820000</v>
      </c>
      <c r="BH126" s="129" t="str">
        <f>IFERROR($BB126/$BG126,"..")</f>
        <v>..</v>
      </c>
      <c r="BI126" s="117" t="str">
        <f>IFERROR(VLOOKUP($D126,'WB Data'!$C$3:$M$578,7,FALSE)/100,"..")</f>
        <v>..</v>
      </c>
      <c r="BJ126" s="117" t="str">
        <f>IFERROR($BI126*$AW126,"..")</f>
        <v>..</v>
      </c>
      <c r="BK126" s="846" t="str">
        <f>IFERROR($BB126/$BJ126,"..")</f>
        <v>..</v>
      </c>
      <c r="BL126" s="117" t="str">
        <f>IFERROR(VLOOKUP($D126,'WB Data'!$C$3:$M$578,7,FALSE)/100,"..")</f>
        <v>..</v>
      </c>
      <c r="BM126" s="117" t="str">
        <f>IFERROR($AW126*$BL126,"..")</f>
        <v>..</v>
      </c>
      <c r="BN126" s="846" t="str">
        <f>IFERROR($BB126/$BM126,"..")</f>
        <v>..</v>
      </c>
      <c r="BO126" s="801">
        <f t="shared" si="15"/>
        <v>38</v>
      </c>
      <c r="BP126" s="117">
        <f>VLOOKUP($D126,'WB Data'!$C$3:$M$578,9,FALSE)</f>
        <v>46.7</v>
      </c>
      <c r="BQ126" s="117">
        <f>VLOOKUP($D126,'WB Data'!$C$3:$M$578,10,FALSE)</f>
        <v>54.55768292682928</v>
      </c>
      <c r="BR126" s="117">
        <f>VLOOKUP($D126,'WB Data'!$C$3:$M$578,11,FALSE)</f>
        <v>72.8</v>
      </c>
      <c r="BS126" s="129">
        <f>IFERROR(VLOOKUP($D126,'WB Data 2'!$C$2:$K$545,9,FALSE),"..")</f>
        <v>63.94896</v>
      </c>
      <c r="BT126" s="129" t="str">
        <f>_xlfn.IFNA(VLOOKUP($C126,RGI!$A$2:$C$43,2,FALSE),"..")</f>
        <v>..</v>
      </c>
      <c r="BU126" s="129" t="str">
        <f>_xlfn.IFNA(VLOOKUP($C126,RGI!$A$2:$C$43,3,FALSE),"..")</f>
        <v>..</v>
      </c>
      <c r="BV126" s="129">
        <f>VLOOKUP($D126,WGI!$C$2:$O$478,7,FALSE)</f>
        <v>-0.31541443073540698</v>
      </c>
      <c r="BW126" s="129">
        <f>VLOOKUP($D126,WGI!$C$2:$O$478,4,FALSE)</f>
        <v>1.49903608102732E-2</v>
      </c>
      <c r="BX126" s="129">
        <f>VLOOKUP($D126,WGI!$C$2:$O$478,3,FALSE)</f>
        <v>-0.58295663304072698</v>
      </c>
      <c r="BY126" s="129">
        <f>VLOOKUP($D126,WGI!$C$2:$O$478,5,FALSE)</f>
        <v>-8.8949113075699707E-2</v>
      </c>
      <c r="BZ126" s="129">
        <f>VLOOKUP($D126,WGI!$C$2:$O$478,2,FALSE)</f>
        <v>-0.38107729593023998</v>
      </c>
    </row>
    <row r="127" spans="1:80" s="144" customFormat="1" ht="15" customHeight="1">
      <c r="A127" s="279" t="s">
        <v>91</v>
      </c>
      <c r="B127" s="132">
        <v>2010</v>
      </c>
      <c r="C127" s="132" t="s">
        <v>98</v>
      </c>
      <c r="D127" s="117" t="s">
        <v>3655</v>
      </c>
      <c r="E127" s="132" t="s">
        <v>86</v>
      </c>
      <c r="F127" s="132" t="s">
        <v>825</v>
      </c>
      <c r="G127" s="132" t="s">
        <v>24</v>
      </c>
      <c r="H127" s="117" t="str">
        <f t="shared" si="23"/>
        <v>yes</v>
      </c>
      <c r="I127" s="117" t="str">
        <f t="shared" si="24"/>
        <v>no</v>
      </c>
      <c r="J127" s="117" t="str">
        <f t="shared" si="25"/>
        <v>no</v>
      </c>
      <c r="K127" s="182" t="s">
        <v>709</v>
      </c>
      <c r="L127" s="117" t="str">
        <f t="shared" si="13"/>
        <v>Total</v>
      </c>
      <c r="M127" s="117" t="str">
        <f t="shared" si="26"/>
        <v>Total Mining</v>
      </c>
      <c r="N127" s="238"/>
      <c r="O127" s="238"/>
      <c r="P127" s="238"/>
      <c r="Q127" s="238"/>
      <c r="R127" s="238"/>
      <c r="S127" s="132"/>
      <c r="T127" s="134"/>
      <c r="U127" s="132"/>
      <c r="V127" s="132"/>
      <c r="W127" s="135">
        <f>SUM(W128:W132)</f>
        <v>830328589.97850001</v>
      </c>
      <c r="X127" s="132" t="s">
        <v>835</v>
      </c>
      <c r="Y127" s="132" t="s">
        <v>602</v>
      </c>
      <c r="Z127" s="132"/>
      <c r="AA127" s="160">
        <v>47170416</v>
      </c>
      <c r="AB127" s="160">
        <v>46949862</v>
      </c>
      <c r="AC127" s="138"/>
      <c r="AD127" s="138"/>
      <c r="AE127" s="138"/>
      <c r="AF127" s="224">
        <f>AA127/W127</f>
        <v>5.680933617042068E-2</v>
      </c>
      <c r="AG127" s="132" t="s">
        <v>836</v>
      </c>
      <c r="AH127" s="140">
        <v>486.41</v>
      </c>
      <c r="AI127" s="132" t="s">
        <v>722</v>
      </c>
      <c r="AJ127" s="132"/>
      <c r="AK127" s="135"/>
      <c r="AL127" s="132"/>
      <c r="AM127" s="132"/>
      <c r="AN127" s="132">
        <v>9</v>
      </c>
      <c r="AO127" s="132" t="s">
        <v>837</v>
      </c>
      <c r="AP127" s="132">
        <v>9</v>
      </c>
      <c r="AQ127" s="132" t="s">
        <v>92</v>
      </c>
      <c r="AR127" s="141">
        <v>41940</v>
      </c>
      <c r="AS127" s="132" t="s">
        <v>838</v>
      </c>
      <c r="AT127" s="132" t="s">
        <v>839</v>
      </c>
      <c r="AU127" s="132">
        <v>19</v>
      </c>
      <c r="AV127" s="143" t="s">
        <v>840</v>
      </c>
      <c r="AW127" s="117">
        <f>VLOOKUP($D127,'WB Data'!$C$3:$M$578,2,FALSE)</f>
        <v>9209288383.0871105</v>
      </c>
      <c r="AX127" s="117">
        <f>VLOOKUP($D127,'WB Data'!$C$3:$M$578,3,FALSE)</f>
        <v>15540284</v>
      </c>
      <c r="AY127" s="847" t="str">
        <f t="shared" si="16"/>
        <v>..</v>
      </c>
      <c r="AZ127" s="117">
        <f>VLOOKUP($D127,'WB Data'!$C$3:$M$578,4,FALSE)/100</f>
        <v>0.14936569973414765</v>
      </c>
      <c r="BA127" s="117">
        <f t="shared" si="17"/>
        <v>1375551803.3933635</v>
      </c>
      <c r="BB127" s="129" t="str">
        <f>IFERROR(VLOOKUP($D127,'EITI Revenues'!$C$2:$G$224,5,FALSE),"..")</f>
        <v>..</v>
      </c>
      <c r="BC127" s="846" t="str">
        <f t="shared" si="18"/>
        <v>..</v>
      </c>
      <c r="BD127" s="129">
        <f>VLOOKUP($D127,'WB Data 2'!$C$2:$K$545,6,FALSE)</f>
        <v>27009828.889089957</v>
      </c>
      <c r="BE127" s="129">
        <f>IFERROR(VLOOKUP($D127,UNCTAD!$C$5:$V$529,4,FALSE),"..")</f>
        <v>1889094000</v>
      </c>
      <c r="BF127" s="846">
        <f t="shared" si="19"/>
        <v>1.4297768607115346E-2</v>
      </c>
      <c r="BG127" s="117">
        <f>VLOOKUP($D127,'WB Data'!$C$3:$M$578,5,FALSE)</f>
        <v>1062339999.9999999</v>
      </c>
      <c r="BH127" s="129" t="str">
        <f>IFERROR($BB127/$BG127,"..")</f>
        <v>..</v>
      </c>
      <c r="BI127" s="117">
        <f>IFERROR(VLOOKUP($D127,'WB Data'!$C$3:$M$578,7,FALSE)/100,"..")</f>
        <v>3.8408699999999997E-2</v>
      </c>
      <c r="BJ127" s="117">
        <f>IFERROR($BI127*$AW127,"..")</f>
        <v>353716794.71947789</v>
      </c>
      <c r="BK127" s="846" t="str">
        <f>IFERROR($BB127/$BJ127,"..")</f>
        <v>..</v>
      </c>
      <c r="BL127" s="117">
        <f>IFERROR(VLOOKUP($D127,'WB Data'!$C$3:$M$578,7,FALSE)/100,"..")</f>
        <v>3.8408699999999997E-2</v>
      </c>
      <c r="BM127" s="117">
        <f>IFERROR($AW127*$BL127,"..")</f>
        <v>353716794.71947789</v>
      </c>
      <c r="BN127" s="846" t="str">
        <f>IFERROR($BB127/$BM127,"..")</f>
        <v>..</v>
      </c>
      <c r="BO127" s="801">
        <f t="shared" si="15"/>
        <v>38</v>
      </c>
      <c r="BP127" s="117" t="str">
        <f>VLOOKUP($D127,'WB Data'!$C$3:$M$578,9,FALSE)</f>
        <v>..</v>
      </c>
      <c r="BQ127" s="117">
        <f>VLOOKUP($D127,'WB Data'!$C$3:$M$578,10,FALSE)</f>
        <v>55.006756097560981</v>
      </c>
      <c r="BR127" s="117">
        <f>VLOOKUP($D127,'WB Data'!$C$3:$M$578,11,FALSE)</f>
        <v>70</v>
      </c>
      <c r="BS127" s="129">
        <f>IFERROR(VLOOKUP($D127,'WB Data 2'!$C$2:$K$545,9,FALSE),"..")</f>
        <v>60.47345</v>
      </c>
      <c r="BT127" s="129" t="str">
        <f>_xlfn.IFNA(VLOOKUP($C127,RGI!$A$2:$C$43,2,FALSE),"..")</f>
        <v>..</v>
      </c>
      <c r="BU127" s="129" t="str">
        <f>_xlfn.IFNA(VLOOKUP($C127,RGI!$A$2:$C$43,3,FALSE),"..")</f>
        <v>..</v>
      </c>
      <c r="BV127" s="129">
        <f>VLOOKUP($D127,WGI!$C$2:$O$478,7,FALSE)</f>
        <v>-0.27747271998626299</v>
      </c>
      <c r="BW127" s="129">
        <f>VLOOKUP($D127,WGI!$C$2:$O$478,4,FALSE)</f>
        <v>-0.147422711271252</v>
      </c>
      <c r="BX127" s="129">
        <f>VLOOKUP($D127,WGI!$C$2:$O$478,3,FALSE)</f>
        <v>-0.56076503759166096</v>
      </c>
      <c r="BY127" s="129">
        <f>VLOOKUP($D127,WGI!$C$2:$O$478,5,FALSE)</f>
        <v>-0.13907055862802301</v>
      </c>
      <c r="BZ127" s="129">
        <f>VLOOKUP($D127,WGI!$C$2:$O$478,2,FALSE)</f>
        <v>-0.38862232467318197</v>
      </c>
      <c r="CB127" s="129"/>
    </row>
    <row r="128" spans="1:80" s="120" customFormat="1" ht="15" customHeight="1">
      <c r="A128" s="280" t="s">
        <v>91</v>
      </c>
      <c r="B128" s="117">
        <v>2010</v>
      </c>
      <c r="C128" s="132" t="s">
        <v>98</v>
      </c>
      <c r="D128" s="117" t="s">
        <v>3655</v>
      </c>
      <c r="E128" s="117" t="s">
        <v>86</v>
      </c>
      <c r="F128" s="117"/>
      <c r="G128" s="117" t="s">
        <v>24</v>
      </c>
      <c r="H128" s="117" t="str">
        <f t="shared" si="23"/>
        <v>yes</v>
      </c>
      <c r="I128" s="117" t="str">
        <f t="shared" si="24"/>
        <v>no</v>
      </c>
      <c r="J128" s="117" t="str">
        <f t="shared" si="25"/>
        <v>no</v>
      </c>
      <c r="K128" s="176" t="s">
        <v>784</v>
      </c>
      <c r="L128" s="117" t="str">
        <f t="shared" si="13"/>
        <v>detailed</v>
      </c>
      <c r="M128" s="117" t="str">
        <f t="shared" si="26"/>
        <v>detailed Mining</v>
      </c>
      <c r="N128" s="179">
        <f>22939*32.150743126506</f>
        <v>737505.89657892112</v>
      </c>
      <c r="O128" s="179"/>
      <c r="P128" s="179">
        <v>677802</v>
      </c>
      <c r="Q128" s="179"/>
      <c r="R128" s="179"/>
      <c r="S128" s="117" t="s">
        <v>785</v>
      </c>
      <c r="T128" s="119">
        <v>1224.66425</v>
      </c>
      <c r="U128" s="117" t="s">
        <v>786</v>
      </c>
      <c r="V128" s="117" t="s">
        <v>841</v>
      </c>
      <c r="W128" s="89">
        <f>P128*T128</f>
        <v>830079877.97850001</v>
      </c>
      <c r="X128" s="117"/>
      <c r="Y128" s="117"/>
      <c r="Z128" s="117"/>
      <c r="AA128" s="177">
        <v>47058992.602948129</v>
      </c>
      <c r="AB128" s="177">
        <v>46838542.653317161</v>
      </c>
      <c r="AC128" s="240"/>
      <c r="AD128" s="240"/>
      <c r="AE128" s="240"/>
      <c r="AF128" s="213">
        <f>AA128/W128</f>
        <v>5.6692125482611697E-2</v>
      </c>
      <c r="AG128" s="117"/>
      <c r="AH128" s="124"/>
      <c r="AI128" s="117"/>
      <c r="AJ128" s="117"/>
      <c r="AK128" s="89"/>
      <c r="AL128" s="117"/>
      <c r="AM128" s="117"/>
      <c r="AO128" s="117"/>
      <c r="AP128" s="117"/>
      <c r="AQ128" s="117"/>
      <c r="AR128" s="117"/>
      <c r="AS128" s="117"/>
      <c r="AT128" s="117"/>
      <c r="AU128" s="117"/>
      <c r="AV128" s="281" t="s">
        <v>842</v>
      </c>
      <c r="AW128" s="117">
        <f>VLOOKUP($D128,'WB Data'!$C$3:$M$578,2,FALSE)</f>
        <v>9209288383.0871105</v>
      </c>
      <c r="AX128" s="117">
        <f>VLOOKUP($D128,'WB Data'!$C$3:$M$578,3,FALSE)</f>
        <v>15540284</v>
      </c>
      <c r="AY128" s="847" t="str">
        <f t="shared" si="16"/>
        <v>..</v>
      </c>
      <c r="AZ128" s="117">
        <f>VLOOKUP($D128,'WB Data'!$C$3:$M$578,4,FALSE)/100</f>
        <v>0.14936569973414765</v>
      </c>
      <c r="BA128" s="117">
        <f t="shared" si="17"/>
        <v>1375551803.3933635</v>
      </c>
      <c r="BB128" s="129" t="str">
        <f>IFERROR(VLOOKUP($D128,'EITI Revenues'!$C$2:$G$224,5,FALSE),"..")</f>
        <v>..</v>
      </c>
      <c r="BC128" s="846" t="str">
        <f t="shared" si="18"/>
        <v>..</v>
      </c>
      <c r="BD128" s="129">
        <f>VLOOKUP($D128,'WB Data 2'!$C$2:$K$545,6,FALSE)</f>
        <v>27009828.889089957</v>
      </c>
      <c r="BE128" s="129">
        <f>IFERROR(VLOOKUP($D128,UNCTAD!$C$5:$V$529,4,FALSE),"..")</f>
        <v>1889094000</v>
      </c>
      <c r="BF128" s="846">
        <f t="shared" si="19"/>
        <v>1.4297768607115346E-2</v>
      </c>
      <c r="BG128" s="117">
        <f>VLOOKUP($D128,'WB Data'!$C$3:$M$578,5,FALSE)</f>
        <v>1062339999.9999999</v>
      </c>
      <c r="BH128" s="129" t="str">
        <f>IFERROR($BB128/$BG128,"..")</f>
        <v>..</v>
      </c>
      <c r="BI128" s="117">
        <f>IFERROR(VLOOKUP($D128,'WB Data'!$C$3:$M$578,7,FALSE)/100,"..")</f>
        <v>3.8408699999999997E-2</v>
      </c>
      <c r="BJ128" s="117">
        <f>IFERROR($BI128*$AW128,"..")</f>
        <v>353716794.71947789</v>
      </c>
      <c r="BK128" s="846" t="str">
        <f>IFERROR($BB128/$BJ128,"..")</f>
        <v>..</v>
      </c>
      <c r="BL128" s="117">
        <f>IFERROR(VLOOKUP($D128,'WB Data'!$C$3:$M$578,7,FALSE)/100,"..")</f>
        <v>3.8408699999999997E-2</v>
      </c>
      <c r="BM128" s="117">
        <f>IFERROR($AW128*$BL128,"..")</f>
        <v>353716794.71947789</v>
      </c>
      <c r="BN128" s="846" t="str">
        <f>IFERROR($BB128/$BM128,"..")</f>
        <v>..</v>
      </c>
      <c r="BO128" s="801">
        <f t="shared" si="15"/>
        <v>38</v>
      </c>
      <c r="BP128" s="117" t="str">
        <f>VLOOKUP($D128,'WB Data'!$C$3:$M$578,9,FALSE)</f>
        <v>..</v>
      </c>
      <c r="BQ128" s="117">
        <f>VLOOKUP($D128,'WB Data'!$C$3:$M$578,10,FALSE)</f>
        <v>55.006756097560981</v>
      </c>
      <c r="BR128" s="117">
        <f>VLOOKUP($D128,'WB Data'!$C$3:$M$578,11,FALSE)</f>
        <v>70</v>
      </c>
      <c r="BS128" s="129">
        <f>IFERROR(VLOOKUP($D128,'WB Data 2'!$C$2:$K$545,9,FALSE),"..")</f>
        <v>60.47345</v>
      </c>
      <c r="BT128" s="129" t="str">
        <f>_xlfn.IFNA(VLOOKUP($C128,RGI!$A$2:$C$43,2,FALSE),"..")</f>
        <v>..</v>
      </c>
      <c r="BU128" s="129" t="str">
        <f>_xlfn.IFNA(VLOOKUP($C128,RGI!$A$2:$C$43,3,FALSE),"..")</f>
        <v>..</v>
      </c>
      <c r="BV128" s="129">
        <f>VLOOKUP($D128,WGI!$C$2:$O$478,7,FALSE)</f>
        <v>-0.27747271998626299</v>
      </c>
      <c r="BW128" s="129">
        <f>VLOOKUP($D128,WGI!$C$2:$O$478,4,FALSE)</f>
        <v>-0.147422711271252</v>
      </c>
      <c r="BX128" s="129">
        <f>VLOOKUP($D128,WGI!$C$2:$O$478,3,FALSE)</f>
        <v>-0.56076503759166096</v>
      </c>
      <c r="BY128" s="129">
        <f>VLOOKUP($D128,WGI!$C$2:$O$478,5,FALSE)</f>
        <v>-0.13907055862802301</v>
      </c>
      <c r="BZ128" s="129">
        <f>VLOOKUP($D128,WGI!$C$2:$O$478,2,FALSE)</f>
        <v>-0.38862232467318197</v>
      </c>
      <c r="CB128" s="129"/>
    </row>
    <row r="129" spans="1:80" s="120" customFormat="1" ht="15" customHeight="1">
      <c r="A129" s="280" t="s">
        <v>91</v>
      </c>
      <c r="B129" s="117">
        <v>2010</v>
      </c>
      <c r="C129" s="132" t="s">
        <v>98</v>
      </c>
      <c r="D129" s="117" t="s">
        <v>3655</v>
      </c>
      <c r="E129" s="117" t="s">
        <v>86</v>
      </c>
      <c r="F129" s="117"/>
      <c r="G129" s="117" t="s">
        <v>24</v>
      </c>
      <c r="H129" s="117" t="str">
        <f t="shared" si="23"/>
        <v>yes</v>
      </c>
      <c r="I129" s="117" t="str">
        <f t="shared" si="24"/>
        <v>no</v>
      </c>
      <c r="J129" s="117" t="str">
        <f t="shared" si="25"/>
        <v>no</v>
      </c>
      <c r="K129" s="176" t="s">
        <v>843</v>
      </c>
      <c r="L129" s="117" t="str">
        <f t="shared" si="13"/>
        <v>detailed</v>
      </c>
      <c r="M129" s="117" t="str">
        <f t="shared" si="26"/>
        <v>detailed Mining</v>
      </c>
      <c r="N129" s="179"/>
      <c r="O129" s="179"/>
      <c r="P129" s="185">
        <v>60167</v>
      </c>
      <c r="Q129" s="185"/>
      <c r="R129" s="185"/>
      <c r="S129" s="117" t="s">
        <v>610</v>
      </c>
      <c r="T129" s="119">
        <v>9.64</v>
      </c>
      <c r="U129" s="117" t="s">
        <v>611</v>
      </c>
      <c r="V129" s="117" t="s">
        <v>844</v>
      </c>
      <c r="W129" s="89">
        <f>N131*T129</f>
        <v>248712.00000000003</v>
      </c>
      <c r="X129" s="117"/>
      <c r="Y129" s="117"/>
      <c r="Z129" s="117"/>
      <c r="AA129" s="177">
        <v>104904.98345017577</v>
      </c>
      <c r="AB129" s="177">
        <v>104904.98345017577</v>
      </c>
      <c r="AC129" s="240"/>
      <c r="AD129" s="240"/>
      <c r="AE129" s="240"/>
      <c r="AF129" s="213">
        <f>AA129/W129</f>
        <v>0.4217930113954122</v>
      </c>
      <c r="AG129" s="117"/>
      <c r="AH129" s="124"/>
      <c r="AI129" s="117"/>
      <c r="AJ129" s="117"/>
      <c r="AK129" s="89"/>
      <c r="AL129" s="117"/>
      <c r="AM129" s="117"/>
      <c r="AO129" s="117"/>
      <c r="AP129" s="117"/>
      <c r="AQ129" s="117"/>
      <c r="AR129" s="117"/>
      <c r="AS129" s="117"/>
      <c r="AT129" s="127"/>
      <c r="AU129" s="117"/>
      <c r="AV129" s="128" t="s">
        <v>845</v>
      </c>
      <c r="AW129" s="117">
        <f>VLOOKUP($D129,'WB Data'!$C$3:$M$578,2,FALSE)</f>
        <v>9209288383.0871105</v>
      </c>
      <c r="AX129" s="117">
        <f>VLOOKUP($D129,'WB Data'!$C$3:$M$578,3,FALSE)</f>
        <v>15540284</v>
      </c>
      <c r="AY129" s="847" t="str">
        <f t="shared" si="16"/>
        <v>..</v>
      </c>
      <c r="AZ129" s="117">
        <f>VLOOKUP($D129,'WB Data'!$C$3:$M$578,4,FALSE)/100</f>
        <v>0.14936569973414765</v>
      </c>
      <c r="BA129" s="117">
        <f t="shared" si="17"/>
        <v>1375551803.3933635</v>
      </c>
      <c r="BB129" s="129" t="str">
        <f>IFERROR(VLOOKUP($D129,'EITI Revenues'!$C$2:$G$224,5,FALSE),"..")</f>
        <v>..</v>
      </c>
      <c r="BC129" s="846" t="str">
        <f t="shared" si="18"/>
        <v>..</v>
      </c>
      <c r="BD129" s="129">
        <f>VLOOKUP($D129,'WB Data 2'!$C$2:$K$545,6,FALSE)</f>
        <v>27009828.889089957</v>
      </c>
      <c r="BE129" s="129">
        <f>IFERROR(VLOOKUP($D129,UNCTAD!$C$5:$V$529,4,FALSE),"..")</f>
        <v>1889094000</v>
      </c>
      <c r="BF129" s="846">
        <f t="shared" si="19"/>
        <v>1.4297768607115346E-2</v>
      </c>
      <c r="BG129" s="117">
        <f>VLOOKUP($D129,'WB Data'!$C$3:$M$578,5,FALSE)</f>
        <v>1062339999.9999999</v>
      </c>
      <c r="BH129" s="129" t="str">
        <f>IFERROR($BB129/$BG129,"..")</f>
        <v>..</v>
      </c>
      <c r="BI129" s="117">
        <f>IFERROR(VLOOKUP($D129,'WB Data'!$C$3:$M$578,7,FALSE)/100,"..")</f>
        <v>3.8408699999999997E-2</v>
      </c>
      <c r="BJ129" s="117">
        <f>IFERROR($BI129*$AW129,"..")</f>
        <v>353716794.71947789</v>
      </c>
      <c r="BK129" s="846" t="str">
        <f>IFERROR($BB129/$BJ129,"..")</f>
        <v>..</v>
      </c>
      <c r="BL129" s="117">
        <f>IFERROR(VLOOKUP($D129,'WB Data'!$C$3:$M$578,7,FALSE)/100,"..")</f>
        <v>3.8408699999999997E-2</v>
      </c>
      <c r="BM129" s="117">
        <f>IFERROR($AW129*$BL129,"..")</f>
        <v>353716794.71947789</v>
      </c>
      <c r="BN129" s="846" t="str">
        <f>IFERROR($BB129/$BM129,"..")</f>
        <v>..</v>
      </c>
      <c r="BO129" s="801">
        <f t="shared" si="15"/>
        <v>38</v>
      </c>
      <c r="BP129" s="117" t="str">
        <f>VLOOKUP($D129,'WB Data'!$C$3:$M$578,9,FALSE)</f>
        <v>..</v>
      </c>
      <c r="BQ129" s="117">
        <f>VLOOKUP($D129,'WB Data'!$C$3:$M$578,10,FALSE)</f>
        <v>55.006756097560981</v>
      </c>
      <c r="BR129" s="117">
        <f>VLOOKUP($D129,'WB Data'!$C$3:$M$578,11,FALSE)</f>
        <v>70</v>
      </c>
      <c r="BS129" s="129">
        <f>IFERROR(VLOOKUP($D129,'WB Data 2'!$C$2:$K$545,9,FALSE),"..")</f>
        <v>60.47345</v>
      </c>
      <c r="BT129" s="129" t="str">
        <f>_xlfn.IFNA(VLOOKUP($C129,RGI!$A$2:$C$43,2,FALSE),"..")</f>
        <v>..</v>
      </c>
      <c r="BU129" s="129" t="str">
        <f>_xlfn.IFNA(VLOOKUP($C129,RGI!$A$2:$C$43,3,FALSE),"..")</f>
        <v>..</v>
      </c>
      <c r="BV129" s="129">
        <f>VLOOKUP($D129,WGI!$C$2:$O$478,7,FALSE)</f>
        <v>-0.27747271998626299</v>
      </c>
      <c r="BW129" s="129">
        <f>VLOOKUP($D129,WGI!$C$2:$O$478,4,FALSE)</f>
        <v>-0.147422711271252</v>
      </c>
      <c r="BX129" s="129">
        <f>VLOOKUP($D129,WGI!$C$2:$O$478,3,FALSE)</f>
        <v>-0.56076503759166096</v>
      </c>
      <c r="BY129" s="129">
        <f>VLOOKUP($D129,WGI!$C$2:$O$478,5,FALSE)</f>
        <v>-0.13907055862802301</v>
      </c>
      <c r="BZ129" s="129">
        <f>VLOOKUP($D129,WGI!$C$2:$O$478,2,FALSE)</f>
        <v>-0.38862232467318197</v>
      </c>
      <c r="CB129" s="129"/>
    </row>
    <row r="130" spans="1:80" s="120" customFormat="1" ht="15" customHeight="1">
      <c r="A130" s="280" t="s">
        <v>91</v>
      </c>
      <c r="B130" s="117">
        <v>2010</v>
      </c>
      <c r="C130" s="132" t="s">
        <v>98</v>
      </c>
      <c r="D130" s="117" t="s">
        <v>3655</v>
      </c>
      <c r="E130" s="117" t="s">
        <v>86</v>
      </c>
      <c r="F130" s="117"/>
      <c r="G130" s="117" t="s">
        <v>24</v>
      </c>
      <c r="H130" s="117" t="str">
        <f t="shared" si="23"/>
        <v>yes</v>
      </c>
      <c r="I130" s="117" t="str">
        <f t="shared" si="24"/>
        <v>no</v>
      </c>
      <c r="J130" s="117" t="str">
        <f t="shared" si="25"/>
        <v>no</v>
      </c>
      <c r="K130" s="176" t="s">
        <v>846</v>
      </c>
      <c r="L130" s="117" t="str">
        <f t="shared" ref="L130:L193" si="27">IF(LEFT(K130,5)="Total","Total","detailed")</f>
        <v>detailed</v>
      </c>
      <c r="M130" s="117" t="str">
        <f t="shared" si="26"/>
        <v>detailed Mining</v>
      </c>
      <c r="N130" s="179">
        <v>57355</v>
      </c>
      <c r="O130" s="179"/>
      <c r="P130" s="179"/>
      <c r="Q130" s="179"/>
      <c r="R130" s="179"/>
      <c r="S130" s="117" t="s">
        <v>610</v>
      </c>
      <c r="T130" s="119"/>
      <c r="U130" s="117"/>
      <c r="V130" s="117" t="s">
        <v>847</v>
      </c>
      <c r="W130" s="89"/>
      <c r="X130" s="117"/>
      <c r="Y130" s="117"/>
      <c r="Z130" s="117"/>
      <c r="AA130" s="117"/>
      <c r="AB130" s="117"/>
      <c r="AC130" s="240"/>
      <c r="AD130" s="240"/>
      <c r="AE130" s="240"/>
      <c r="AF130" s="241"/>
      <c r="AG130" s="117"/>
      <c r="AH130" s="124"/>
      <c r="AI130" s="117"/>
      <c r="AJ130" s="117"/>
      <c r="AK130" s="89"/>
      <c r="AL130" s="117"/>
      <c r="AM130" s="117"/>
      <c r="AO130" s="117"/>
      <c r="AP130" s="117"/>
      <c r="AQ130" s="117"/>
      <c r="AR130" s="117"/>
      <c r="AS130" s="117"/>
      <c r="AT130" s="127"/>
      <c r="AU130" s="117"/>
      <c r="AV130" s="128"/>
      <c r="AW130" s="117">
        <f>VLOOKUP($D130,'WB Data'!$C$3:$M$578,2,FALSE)</f>
        <v>9209288383.0871105</v>
      </c>
      <c r="AX130" s="117">
        <f>VLOOKUP($D130,'WB Data'!$C$3:$M$578,3,FALSE)</f>
        <v>15540284</v>
      </c>
      <c r="AY130" s="847" t="str">
        <f t="shared" si="16"/>
        <v>..</v>
      </c>
      <c r="AZ130" s="117">
        <f>VLOOKUP($D130,'WB Data'!$C$3:$M$578,4,FALSE)/100</f>
        <v>0.14936569973414765</v>
      </c>
      <c r="BA130" s="117">
        <f t="shared" si="17"/>
        <v>1375551803.3933635</v>
      </c>
      <c r="BB130" s="129" t="str">
        <f>IFERROR(VLOOKUP($D130,'EITI Revenues'!$C$2:$G$224,5,FALSE),"..")</f>
        <v>..</v>
      </c>
      <c r="BC130" s="846" t="str">
        <f t="shared" si="18"/>
        <v>..</v>
      </c>
      <c r="BD130" s="129">
        <f>VLOOKUP($D130,'WB Data 2'!$C$2:$K$545,6,FALSE)</f>
        <v>27009828.889089957</v>
      </c>
      <c r="BE130" s="129">
        <f>IFERROR(VLOOKUP($D130,UNCTAD!$C$5:$V$529,4,FALSE),"..")</f>
        <v>1889094000</v>
      </c>
      <c r="BF130" s="846">
        <f t="shared" si="19"/>
        <v>1.4297768607115346E-2</v>
      </c>
      <c r="BG130" s="117">
        <f>VLOOKUP($D130,'WB Data'!$C$3:$M$578,5,FALSE)</f>
        <v>1062339999.9999999</v>
      </c>
      <c r="BH130" s="129" t="str">
        <f>IFERROR($BB130/$BG130,"..")</f>
        <v>..</v>
      </c>
      <c r="BI130" s="117">
        <f>IFERROR(VLOOKUP($D130,'WB Data'!$C$3:$M$578,7,FALSE)/100,"..")</f>
        <v>3.8408699999999997E-2</v>
      </c>
      <c r="BJ130" s="117">
        <f>IFERROR($BI130*$AW130,"..")</f>
        <v>353716794.71947789</v>
      </c>
      <c r="BK130" s="846" t="str">
        <f>IFERROR($BB130/$BJ130,"..")</f>
        <v>..</v>
      </c>
      <c r="BL130" s="117">
        <f>IFERROR(VLOOKUP($D130,'WB Data'!$C$3:$M$578,7,FALSE)/100,"..")</f>
        <v>3.8408699999999997E-2</v>
      </c>
      <c r="BM130" s="117">
        <f>IFERROR($AW130*$BL130,"..")</f>
        <v>353716794.71947789</v>
      </c>
      <c r="BN130" s="846" t="str">
        <f>IFERROR($BB130/$BM130,"..")</f>
        <v>..</v>
      </c>
      <c r="BO130" s="801">
        <f t="shared" ref="BO130:BO193" si="28">_xlfn.IFNA(VLOOKUP($C130,CPI_2013,2,FALSE),"..")</f>
        <v>38</v>
      </c>
      <c r="BP130" s="117" t="str">
        <f>VLOOKUP($D130,'WB Data'!$C$3:$M$578,9,FALSE)</f>
        <v>..</v>
      </c>
      <c r="BQ130" s="117">
        <f>VLOOKUP($D130,'WB Data'!$C$3:$M$578,10,FALSE)</f>
        <v>55.006756097560981</v>
      </c>
      <c r="BR130" s="117">
        <f>VLOOKUP($D130,'WB Data'!$C$3:$M$578,11,FALSE)</f>
        <v>70</v>
      </c>
      <c r="BS130" s="129">
        <f>IFERROR(VLOOKUP($D130,'WB Data 2'!$C$2:$K$545,9,FALSE),"..")</f>
        <v>60.47345</v>
      </c>
      <c r="BT130" s="129" t="str">
        <f>_xlfn.IFNA(VLOOKUP($C130,RGI!$A$2:$C$43,2,FALSE),"..")</f>
        <v>..</v>
      </c>
      <c r="BU130" s="129" t="str">
        <f>_xlfn.IFNA(VLOOKUP($C130,RGI!$A$2:$C$43,3,FALSE),"..")</f>
        <v>..</v>
      </c>
      <c r="BV130" s="129">
        <f>VLOOKUP($D130,WGI!$C$2:$O$478,7,FALSE)</f>
        <v>-0.27747271998626299</v>
      </c>
      <c r="BW130" s="129">
        <f>VLOOKUP($D130,WGI!$C$2:$O$478,4,FALSE)</f>
        <v>-0.147422711271252</v>
      </c>
      <c r="BX130" s="129">
        <f>VLOOKUP($D130,WGI!$C$2:$O$478,3,FALSE)</f>
        <v>-0.56076503759166096</v>
      </c>
      <c r="BY130" s="129">
        <f>VLOOKUP($D130,WGI!$C$2:$O$478,5,FALSE)</f>
        <v>-0.13907055862802301</v>
      </c>
      <c r="BZ130" s="129">
        <f>VLOOKUP($D130,WGI!$C$2:$O$478,2,FALSE)</f>
        <v>-0.38862232467318197</v>
      </c>
      <c r="CB130" s="129"/>
    </row>
    <row r="131" spans="1:80" s="120" customFormat="1" ht="15" customHeight="1">
      <c r="A131" s="280" t="s">
        <v>91</v>
      </c>
      <c r="B131" s="117">
        <v>2010</v>
      </c>
      <c r="C131" s="132" t="s">
        <v>98</v>
      </c>
      <c r="D131" s="117" t="s">
        <v>3655</v>
      </c>
      <c r="E131" s="117" t="s">
        <v>86</v>
      </c>
      <c r="F131" s="117"/>
      <c r="G131" s="117" t="s">
        <v>24</v>
      </c>
      <c r="H131" s="117" t="str">
        <f t="shared" si="23"/>
        <v>yes</v>
      </c>
      <c r="I131" s="117" t="str">
        <f t="shared" si="24"/>
        <v>no</v>
      </c>
      <c r="J131" s="117" t="str">
        <f t="shared" si="25"/>
        <v>no</v>
      </c>
      <c r="K131" s="176" t="s">
        <v>848</v>
      </c>
      <c r="L131" s="117" t="str">
        <f t="shared" si="27"/>
        <v>detailed</v>
      </c>
      <c r="M131" s="117" t="str">
        <f t="shared" si="26"/>
        <v>detailed Mining</v>
      </c>
      <c r="N131" s="179">
        <v>25800</v>
      </c>
      <c r="O131" s="179"/>
      <c r="P131" s="179"/>
      <c r="Q131" s="179"/>
      <c r="R131" s="179"/>
      <c r="S131" s="117" t="s">
        <v>610</v>
      </c>
      <c r="T131" s="119"/>
      <c r="U131" s="117"/>
      <c r="V131" s="117" t="s">
        <v>847</v>
      </c>
      <c r="W131" s="89"/>
      <c r="X131" s="117"/>
      <c r="Y131" s="117"/>
      <c r="Z131" s="117"/>
      <c r="AA131" s="117"/>
      <c r="AB131" s="117"/>
      <c r="AC131" s="240"/>
      <c r="AD131" s="240"/>
      <c r="AE131" s="240"/>
      <c r="AF131" s="241"/>
      <c r="AG131" s="117"/>
      <c r="AH131" s="124"/>
      <c r="AI131" s="117"/>
      <c r="AJ131" s="117"/>
      <c r="AK131" s="89"/>
      <c r="AL131" s="117"/>
      <c r="AM131" s="117"/>
      <c r="AO131" s="117"/>
      <c r="AP131" s="117"/>
      <c r="AQ131" s="117"/>
      <c r="AR131" s="117"/>
      <c r="AS131" s="117"/>
      <c r="AT131" s="127"/>
      <c r="AU131" s="117"/>
      <c r="AV131" s="128"/>
      <c r="AW131" s="117">
        <f>VLOOKUP($D131,'WB Data'!$C$3:$M$578,2,FALSE)</f>
        <v>9209288383.0871105</v>
      </c>
      <c r="AX131" s="117">
        <f>VLOOKUP($D131,'WB Data'!$C$3:$M$578,3,FALSE)</f>
        <v>15540284</v>
      </c>
      <c r="AY131" s="847" t="str">
        <f t="shared" ref="AY131:AY194" si="29">IFERROR($BB131/$AW131,"..")</f>
        <v>..</v>
      </c>
      <c r="AZ131" s="117">
        <f>VLOOKUP($D131,'WB Data'!$C$3:$M$578,4,FALSE)/100</f>
        <v>0.14936569973414765</v>
      </c>
      <c r="BA131" s="117">
        <f t="shared" ref="BA131:BA194" si="30">IFERROR($AW131*$AZ131,"..")</f>
        <v>1375551803.3933635</v>
      </c>
      <c r="BB131" s="129" t="str">
        <f>IFERROR(VLOOKUP($D131,'EITI Revenues'!$C$2:$G$224,5,FALSE),"..")</f>
        <v>..</v>
      </c>
      <c r="BC131" s="846" t="str">
        <f t="shared" ref="BC131:BC194" si="31">IFERROR($BB131/$BA131,"..")</f>
        <v>..</v>
      </c>
      <c r="BD131" s="129">
        <f>VLOOKUP($D131,'WB Data 2'!$C$2:$K$545,6,FALSE)</f>
        <v>27009828.889089957</v>
      </c>
      <c r="BE131" s="129">
        <f>IFERROR(VLOOKUP($D131,UNCTAD!$C$5:$V$529,4,FALSE),"..")</f>
        <v>1889094000</v>
      </c>
      <c r="BF131" s="846">
        <f t="shared" ref="BF131:BF194" si="32">IFERROR(($BD131/$BE131),"..")</f>
        <v>1.4297768607115346E-2</v>
      </c>
      <c r="BG131" s="117">
        <f>VLOOKUP($D131,'WB Data'!$C$3:$M$578,5,FALSE)</f>
        <v>1062339999.9999999</v>
      </c>
      <c r="BH131" s="129" t="str">
        <f>IFERROR($BB131/$BG131,"..")</f>
        <v>..</v>
      </c>
      <c r="BI131" s="117">
        <f>IFERROR(VLOOKUP($D131,'WB Data'!$C$3:$M$578,7,FALSE)/100,"..")</f>
        <v>3.8408699999999997E-2</v>
      </c>
      <c r="BJ131" s="117">
        <f>IFERROR($BI131*$AW131,"..")</f>
        <v>353716794.71947789</v>
      </c>
      <c r="BK131" s="846" t="str">
        <f>IFERROR($BB131/$BJ131,"..")</f>
        <v>..</v>
      </c>
      <c r="BL131" s="117">
        <f>IFERROR(VLOOKUP($D131,'WB Data'!$C$3:$M$578,7,FALSE)/100,"..")</f>
        <v>3.8408699999999997E-2</v>
      </c>
      <c r="BM131" s="117">
        <f>IFERROR($AW131*$BL131,"..")</f>
        <v>353716794.71947789</v>
      </c>
      <c r="BN131" s="846" t="str">
        <f>IFERROR($BB131/$BM131,"..")</f>
        <v>..</v>
      </c>
      <c r="BO131" s="801">
        <f t="shared" si="28"/>
        <v>38</v>
      </c>
      <c r="BP131" s="117" t="str">
        <f>VLOOKUP($D131,'WB Data'!$C$3:$M$578,9,FALSE)</f>
        <v>..</v>
      </c>
      <c r="BQ131" s="117">
        <f>VLOOKUP($D131,'WB Data'!$C$3:$M$578,10,FALSE)</f>
        <v>55.006756097560981</v>
      </c>
      <c r="BR131" s="117">
        <f>VLOOKUP($D131,'WB Data'!$C$3:$M$578,11,FALSE)</f>
        <v>70</v>
      </c>
      <c r="BS131" s="129">
        <f>IFERROR(VLOOKUP($D131,'WB Data 2'!$C$2:$K$545,9,FALSE),"..")</f>
        <v>60.47345</v>
      </c>
      <c r="BT131" s="129" t="str">
        <f>_xlfn.IFNA(VLOOKUP($C131,RGI!$A$2:$C$43,2,FALSE),"..")</f>
        <v>..</v>
      </c>
      <c r="BU131" s="129" t="str">
        <f>_xlfn.IFNA(VLOOKUP($C131,RGI!$A$2:$C$43,3,FALSE),"..")</f>
        <v>..</v>
      </c>
      <c r="BV131" s="129">
        <f>VLOOKUP($D131,WGI!$C$2:$O$478,7,FALSE)</f>
        <v>-0.27747271998626299</v>
      </c>
      <c r="BW131" s="129">
        <f>VLOOKUP($D131,WGI!$C$2:$O$478,4,FALSE)</f>
        <v>-0.147422711271252</v>
      </c>
      <c r="BX131" s="129">
        <f>VLOOKUP($D131,WGI!$C$2:$O$478,3,FALSE)</f>
        <v>-0.56076503759166096</v>
      </c>
      <c r="BY131" s="129">
        <f>VLOOKUP($D131,WGI!$C$2:$O$478,5,FALSE)</f>
        <v>-0.13907055862802301</v>
      </c>
      <c r="BZ131" s="129">
        <f>VLOOKUP($D131,WGI!$C$2:$O$478,2,FALSE)</f>
        <v>-0.38862232467318197</v>
      </c>
      <c r="CB131" s="129"/>
    </row>
    <row r="132" spans="1:80" s="158" customFormat="1" ht="15" customHeight="1">
      <c r="A132" s="282" t="s">
        <v>91</v>
      </c>
      <c r="B132" s="149">
        <v>2010</v>
      </c>
      <c r="C132" s="132" t="s">
        <v>98</v>
      </c>
      <c r="D132" s="117" t="s">
        <v>3655</v>
      </c>
      <c r="E132" s="149" t="s">
        <v>86</v>
      </c>
      <c r="F132" s="149"/>
      <c r="G132" s="149" t="s">
        <v>24</v>
      </c>
      <c r="H132" s="117" t="str">
        <f t="shared" si="23"/>
        <v>yes</v>
      </c>
      <c r="I132" s="117" t="str">
        <f t="shared" si="24"/>
        <v>no</v>
      </c>
      <c r="J132" s="117" t="str">
        <f t="shared" si="25"/>
        <v>no</v>
      </c>
      <c r="K132" s="188" t="s">
        <v>849</v>
      </c>
      <c r="L132" s="117" t="str">
        <f t="shared" si="27"/>
        <v>detailed</v>
      </c>
      <c r="M132" s="117" t="str">
        <f t="shared" si="26"/>
        <v>detailed Mining</v>
      </c>
      <c r="N132" s="216"/>
      <c r="O132" s="216"/>
      <c r="P132" s="216">
        <v>0</v>
      </c>
      <c r="Q132" s="216"/>
      <c r="R132" s="216"/>
      <c r="S132" s="149" t="s">
        <v>610</v>
      </c>
      <c r="T132" s="151"/>
      <c r="U132" s="149"/>
      <c r="V132" s="152"/>
      <c r="W132" s="149"/>
      <c r="X132" s="149"/>
      <c r="Y132" s="149"/>
      <c r="Z132" s="283"/>
      <c r="AA132" s="284">
        <v>6518.4309533109927</v>
      </c>
      <c r="AB132" s="284">
        <v>6414.3418104068578</v>
      </c>
      <c r="AC132" s="156"/>
      <c r="AD132" s="156"/>
      <c r="AE132" s="156"/>
      <c r="AF132" s="285"/>
      <c r="AG132" s="149"/>
      <c r="AH132" s="283"/>
      <c r="AI132" s="152"/>
      <c r="AJ132" s="149"/>
      <c r="AK132" s="152"/>
      <c r="AM132" s="149"/>
      <c r="AN132" s="149"/>
      <c r="AO132" s="149"/>
      <c r="AP132" s="149"/>
      <c r="AQ132" s="149"/>
      <c r="AR132" s="221"/>
      <c r="AS132" s="149"/>
      <c r="AV132" s="157" t="s">
        <v>850</v>
      </c>
      <c r="AW132" s="117">
        <f>VLOOKUP($D132,'WB Data'!$C$3:$M$578,2,FALSE)</f>
        <v>9209288383.0871105</v>
      </c>
      <c r="AX132" s="117">
        <f>VLOOKUP($D132,'WB Data'!$C$3:$M$578,3,FALSE)</f>
        <v>15540284</v>
      </c>
      <c r="AY132" s="847" t="str">
        <f t="shared" si="29"/>
        <v>..</v>
      </c>
      <c r="AZ132" s="117">
        <f>VLOOKUP($D132,'WB Data'!$C$3:$M$578,4,FALSE)/100</f>
        <v>0.14936569973414765</v>
      </c>
      <c r="BA132" s="117">
        <f t="shared" si="30"/>
        <v>1375551803.3933635</v>
      </c>
      <c r="BB132" s="129" t="str">
        <f>IFERROR(VLOOKUP($D132,'EITI Revenues'!$C$2:$G$224,5,FALSE),"..")</f>
        <v>..</v>
      </c>
      <c r="BC132" s="846" t="str">
        <f t="shared" si="31"/>
        <v>..</v>
      </c>
      <c r="BD132" s="129">
        <f>VLOOKUP($D132,'WB Data 2'!$C$2:$K$545,6,FALSE)</f>
        <v>27009828.889089957</v>
      </c>
      <c r="BE132" s="129">
        <f>IFERROR(VLOOKUP($D132,UNCTAD!$C$5:$V$529,4,FALSE),"..")</f>
        <v>1889094000</v>
      </c>
      <c r="BF132" s="846">
        <f t="shared" si="32"/>
        <v>1.4297768607115346E-2</v>
      </c>
      <c r="BG132" s="117">
        <f>VLOOKUP($D132,'WB Data'!$C$3:$M$578,5,FALSE)</f>
        <v>1062339999.9999999</v>
      </c>
      <c r="BH132" s="129" t="str">
        <f>IFERROR($BB132/$BG132,"..")</f>
        <v>..</v>
      </c>
      <c r="BI132" s="117">
        <f>IFERROR(VLOOKUP($D132,'WB Data'!$C$3:$M$578,7,FALSE)/100,"..")</f>
        <v>3.8408699999999997E-2</v>
      </c>
      <c r="BJ132" s="117">
        <f>IFERROR($BI132*$AW132,"..")</f>
        <v>353716794.71947789</v>
      </c>
      <c r="BK132" s="846" t="str">
        <f>IFERROR($BB132/$BJ132,"..")</f>
        <v>..</v>
      </c>
      <c r="BL132" s="117">
        <f>IFERROR(VLOOKUP($D132,'WB Data'!$C$3:$M$578,7,FALSE)/100,"..")</f>
        <v>3.8408699999999997E-2</v>
      </c>
      <c r="BM132" s="117">
        <f>IFERROR($AW132*$BL132,"..")</f>
        <v>353716794.71947789</v>
      </c>
      <c r="BN132" s="846" t="str">
        <f>IFERROR($BB132/$BM132,"..")</f>
        <v>..</v>
      </c>
      <c r="BO132" s="801">
        <f t="shared" si="28"/>
        <v>38</v>
      </c>
      <c r="BP132" s="117" t="str">
        <f>VLOOKUP($D132,'WB Data'!$C$3:$M$578,9,FALSE)</f>
        <v>..</v>
      </c>
      <c r="BQ132" s="117">
        <f>VLOOKUP($D132,'WB Data'!$C$3:$M$578,10,FALSE)</f>
        <v>55.006756097560981</v>
      </c>
      <c r="BR132" s="117">
        <f>VLOOKUP($D132,'WB Data'!$C$3:$M$578,11,FALSE)</f>
        <v>70</v>
      </c>
      <c r="BS132" s="129">
        <f>IFERROR(VLOOKUP($D132,'WB Data 2'!$C$2:$K$545,9,FALSE),"..")</f>
        <v>60.47345</v>
      </c>
      <c r="BT132" s="129" t="str">
        <f>_xlfn.IFNA(VLOOKUP($C132,RGI!$A$2:$C$43,2,FALSE),"..")</f>
        <v>..</v>
      </c>
      <c r="BU132" s="129" t="str">
        <f>_xlfn.IFNA(VLOOKUP($C132,RGI!$A$2:$C$43,3,FALSE),"..")</f>
        <v>..</v>
      </c>
      <c r="BV132" s="129">
        <f>VLOOKUP($D132,WGI!$C$2:$O$478,7,FALSE)</f>
        <v>-0.27747271998626299</v>
      </c>
      <c r="BW132" s="129">
        <f>VLOOKUP($D132,WGI!$C$2:$O$478,4,FALSE)</f>
        <v>-0.147422711271252</v>
      </c>
      <c r="BX132" s="129">
        <f>VLOOKUP($D132,WGI!$C$2:$O$478,3,FALSE)</f>
        <v>-0.56076503759166096</v>
      </c>
      <c r="BY132" s="129">
        <f>VLOOKUP($D132,WGI!$C$2:$O$478,5,FALSE)</f>
        <v>-0.13907055862802301</v>
      </c>
      <c r="BZ132" s="129">
        <f>VLOOKUP($D132,WGI!$C$2:$O$478,2,FALSE)</f>
        <v>-0.38862232467318197</v>
      </c>
      <c r="CB132" s="129"/>
    </row>
    <row r="133" spans="1:80" ht="15" customHeight="1">
      <c r="A133" s="280" t="s">
        <v>94</v>
      </c>
      <c r="B133" s="117">
        <v>2011</v>
      </c>
      <c r="C133" s="132" t="s">
        <v>98</v>
      </c>
      <c r="D133" s="117" t="s">
        <v>3689</v>
      </c>
      <c r="E133" s="117" t="s">
        <v>86</v>
      </c>
      <c r="F133" s="117" t="s">
        <v>825</v>
      </c>
      <c r="G133" s="117" t="s">
        <v>24</v>
      </c>
      <c r="H133" s="117" t="str">
        <f t="shared" si="23"/>
        <v>yes</v>
      </c>
      <c r="I133" s="117" t="str">
        <f t="shared" si="24"/>
        <v>no</v>
      </c>
      <c r="J133" s="117" t="str">
        <f t="shared" si="25"/>
        <v>no</v>
      </c>
      <c r="K133" s="176" t="s">
        <v>709</v>
      </c>
      <c r="L133" s="117" t="str">
        <f t="shared" si="27"/>
        <v>Total</v>
      </c>
      <c r="M133" s="117" t="str">
        <f t="shared" si="26"/>
        <v>Total Mining</v>
      </c>
      <c r="N133" s="179"/>
      <c r="O133" s="179"/>
      <c r="P133" s="179"/>
      <c r="Q133" s="179"/>
      <c r="R133" s="179"/>
      <c r="S133" s="117"/>
      <c r="T133" s="119"/>
      <c r="U133" s="117"/>
      <c r="V133" s="117"/>
      <c r="W133" s="89">
        <f>SUM(W134:W138)</f>
        <v>1574992826.7458298</v>
      </c>
      <c r="X133" s="117" t="s">
        <v>835</v>
      </c>
      <c r="Y133" s="117" t="s">
        <v>851</v>
      </c>
      <c r="Z133" s="117" t="s">
        <v>732</v>
      </c>
      <c r="AA133" s="286">
        <v>236414921.89335009</v>
      </c>
      <c r="AB133" s="286">
        <v>238824617.91727158</v>
      </c>
      <c r="AC133" s="122"/>
      <c r="AD133" s="122"/>
      <c r="AE133" s="122"/>
      <c r="AF133" s="224">
        <f>AA133/W133</f>
        <v>0.1501053959603223</v>
      </c>
      <c r="AG133" s="117" t="s">
        <v>836</v>
      </c>
      <c r="AH133" s="124">
        <v>461.51</v>
      </c>
      <c r="AI133" s="117" t="s">
        <v>722</v>
      </c>
      <c r="AJ133" s="89" t="s">
        <v>852</v>
      </c>
      <c r="AK133" s="287">
        <f>645892142/AH133</f>
        <v>1399519.2780221447</v>
      </c>
      <c r="AL133" s="117"/>
      <c r="AM133" s="117"/>
      <c r="AN133" s="117">
        <v>18</v>
      </c>
      <c r="AO133" s="117" t="s">
        <v>853</v>
      </c>
      <c r="AP133" s="117">
        <v>18</v>
      </c>
      <c r="AQ133" s="117" t="s">
        <v>95</v>
      </c>
      <c r="AR133" s="126">
        <v>41941</v>
      </c>
      <c r="AS133" s="117" t="s">
        <v>854</v>
      </c>
      <c r="AT133" s="117" t="s">
        <v>855</v>
      </c>
      <c r="AU133" s="117" t="s">
        <v>856</v>
      </c>
      <c r="AV133" s="128" t="s">
        <v>857</v>
      </c>
      <c r="AW133" s="117">
        <f>VLOOKUP($D133,'WB Data'!$C$3:$M$578,2,FALSE)</f>
        <v>10395757480.230143</v>
      </c>
      <c r="AX133" s="117">
        <f>VLOOKUP($D133,'WB Data'!$C$3:$M$578,3,FALSE)</f>
        <v>15995313</v>
      </c>
      <c r="AY133" s="847" t="str">
        <f t="shared" si="29"/>
        <v>..</v>
      </c>
      <c r="AZ133" s="117">
        <f>VLOOKUP($D133,'WB Data'!$C$3:$M$578,4,FALSE)/100</f>
        <v>0.1617839328923581</v>
      </c>
      <c r="BA133" s="117">
        <f t="shared" si="30"/>
        <v>1681866530.546783</v>
      </c>
      <c r="BB133" s="129" t="str">
        <f>IFERROR(VLOOKUP($D133,'EITI Revenues'!$C$2:$G$224,5,FALSE),"..")</f>
        <v>..</v>
      </c>
      <c r="BC133" s="846" t="str">
        <f t="shared" si="31"/>
        <v>..</v>
      </c>
      <c r="BD133" s="129">
        <f>VLOOKUP($D133,'WB Data 2'!$C$2:$K$545,6,FALSE)</f>
        <v>36156714.476357318</v>
      </c>
      <c r="BE133" s="129">
        <f>IFERROR(VLOOKUP($D133,UNCTAD!$C$5:$V$529,4,FALSE),"..")</f>
        <v>2814570660</v>
      </c>
      <c r="BF133" s="846">
        <f t="shared" si="32"/>
        <v>1.2846262838665887E-2</v>
      </c>
      <c r="BG133" s="117">
        <f>VLOOKUP($D133,'WB Data'!$C$3:$M$578,5,FALSE)</f>
        <v>995120000</v>
      </c>
      <c r="BH133" s="129" t="str">
        <f>IFERROR($BB133/$BG133,"..")</f>
        <v>..</v>
      </c>
      <c r="BI133" s="117">
        <f>IFERROR(VLOOKUP($D133,'WB Data'!$C$3:$M$578,7,FALSE)/100,"..")</f>
        <v>3.4270099999999998E-2</v>
      </c>
      <c r="BJ133" s="117">
        <f>IFERROR($BI133*$AW133,"..")</f>
        <v>356263648.423235</v>
      </c>
      <c r="BK133" s="846" t="str">
        <f>IFERROR($BB133/$BJ133,"..")</f>
        <v>..</v>
      </c>
      <c r="BL133" s="117">
        <f>IFERROR(VLOOKUP($D133,'WB Data'!$C$3:$M$578,7,FALSE)/100,"..")</f>
        <v>3.4270099999999998E-2</v>
      </c>
      <c r="BM133" s="117">
        <f>IFERROR($AW133*$BL133,"..")</f>
        <v>356263648.423235</v>
      </c>
      <c r="BN133" s="846" t="str">
        <f>IFERROR($BB133/$BM133,"..")</f>
        <v>..</v>
      </c>
      <c r="BO133" s="801">
        <f t="shared" si="28"/>
        <v>38</v>
      </c>
      <c r="BP133" s="117" t="str">
        <f>VLOOKUP($D133,'WB Data'!$C$3:$M$578,9,FALSE)</f>
        <v>..</v>
      </c>
      <c r="BQ133" s="117">
        <f>VLOOKUP($D133,'WB Data'!$C$3:$M$578,10,FALSE)</f>
        <v>55.440487804878053</v>
      </c>
      <c r="BR133" s="117">
        <f>VLOOKUP($D133,'WB Data'!$C$3:$M$578,11,FALSE)</f>
        <v>67.7</v>
      </c>
      <c r="BS133" s="129">
        <f>IFERROR(VLOOKUP($D133,'WB Data 2'!$C$2:$K$545,9,FALSE),"..")</f>
        <v>65.402839999999998</v>
      </c>
      <c r="BT133" s="129" t="str">
        <f>_xlfn.IFNA(VLOOKUP($C133,RGI!$A$2:$C$43,2,FALSE),"..")</f>
        <v>..</v>
      </c>
      <c r="BU133" s="129" t="str">
        <f>_xlfn.IFNA(VLOOKUP($C133,RGI!$A$2:$C$43,3,FALSE),"..")</f>
        <v>..</v>
      </c>
      <c r="BV133" s="129">
        <f>VLOOKUP($D133,WGI!$C$2:$O$478,7,FALSE)</f>
        <v>-0.31756973387542697</v>
      </c>
      <c r="BW133" s="129">
        <f>VLOOKUP($D133,WGI!$C$2:$O$478,4,FALSE)</f>
        <v>-0.58153952411309695</v>
      </c>
      <c r="BX133" s="129">
        <f>VLOOKUP($D133,WGI!$C$2:$O$478,3,FALSE)</f>
        <v>-0.54611704938971195</v>
      </c>
      <c r="BY133" s="129">
        <f>VLOOKUP($D133,WGI!$C$2:$O$478,5,FALSE)</f>
        <v>-0.158104704864233</v>
      </c>
      <c r="BZ133" s="129">
        <f>VLOOKUP($D133,WGI!$C$2:$O$478,2,FALSE)</f>
        <v>-0.38715664218622903</v>
      </c>
    </row>
    <row r="134" spans="1:80" ht="15" customHeight="1">
      <c r="A134" s="280" t="s">
        <v>94</v>
      </c>
      <c r="B134" s="117">
        <v>2011</v>
      </c>
      <c r="C134" s="132" t="s">
        <v>98</v>
      </c>
      <c r="D134" s="117" t="s">
        <v>3689</v>
      </c>
      <c r="E134" s="117" t="s">
        <v>86</v>
      </c>
      <c r="F134" s="117"/>
      <c r="G134" s="117" t="s">
        <v>24</v>
      </c>
      <c r="H134" s="117" t="str">
        <f t="shared" si="23"/>
        <v>yes</v>
      </c>
      <c r="I134" s="117" t="str">
        <f t="shared" si="24"/>
        <v>no</v>
      </c>
      <c r="J134" s="117" t="str">
        <f t="shared" si="25"/>
        <v>no</v>
      </c>
      <c r="K134" s="176" t="s">
        <v>784</v>
      </c>
      <c r="L134" s="117" t="str">
        <f t="shared" si="27"/>
        <v>detailed</v>
      </c>
      <c r="M134" s="117" t="str">
        <f t="shared" si="26"/>
        <v>detailed Mining</v>
      </c>
      <c r="N134" s="179">
        <f>31774*32.150743126506</f>
        <v>1021557.7121016016</v>
      </c>
      <c r="O134" s="179"/>
      <c r="P134" s="179">
        <v>1003435</v>
      </c>
      <c r="Q134" s="179"/>
      <c r="R134" s="179"/>
      <c r="S134" s="117" t="s">
        <v>785</v>
      </c>
      <c r="T134" s="119">
        <v>1569.2108333333299</v>
      </c>
      <c r="U134" s="117" t="s">
        <v>786</v>
      </c>
      <c r="V134" s="117" t="s">
        <v>841</v>
      </c>
      <c r="W134" s="89">
        <f>P134*T134</f>
        <v>1574601072.5458298</v>
      </c>
      <c r="X134" s="117"/>
      <c r="Y134" s="117"/>
      <c r="Z134" s="117"/>
      <c r="AA134" s="89">
        <v>234778154.99989167</v>
      </c>
      <c r="AB134" s="89">
        <v>237381624.65602046</v>
      </c>
      <c r="AC134" s="240"/>
      <c r="AD134" s="240"/>
      <c r="AE134" s="240"/>
      <c r="AF134" s="213">
        <f>AA134/W134</f>
        <v>0.1491032611963741</v>
      </c>
      <c r="AG134" s="117"/>
      <c r="AH134" s="124"/>
      <c r="AI134" s="117"/>
      <c r="AJ134" s="117"/>
      <c r="AK134" s="89"/>
      <c r="AL134" s="117"/>
      <c r="AM134" s="117"/>
      <c r="AN134" s="120"/>
      <c r="AO134" s="117"/>
      <c r="AP134" s="117"/>
      <c r="AQ134" s="117"/>
      <c r="AR134" s="117"/>
      <c r="AS134" s="117"/>
      <c r="AT134" s="117"/>
      <c r="AU134" s="117"/>
      <c r="AV134" s="281" t="s">
        <v>858</v>
      </c>
      <c r="AW134" s="117">
        <f>VLOOKUP($D134,'WB Data'!$C$3:$M$578,2,FALSE)</f>
        <v>10395757480.230143</v>
      </c>
      <c r="AX134" s="117">
        <f>VLOOKUP($D134,'WB Data'!$C$3:$M$578,3,FALSE)</f>
        <v>15995313</v>
      </c>
      <c r="AY134" s="847" t="str">
        <f t="shared" si="29"/>
        <v>..</v>
      </c>
      <c r="AZ134" s="117">
        <f>VLOOKUP($D134,'WB Data'!$C$3:$M$578,4,FALSE)/100</f>
        <v>0.1617839328923581</v>
      </c>
      <c r="BA134" s="117">
        <f t="shared" si="30"/>
        <v>1681866530.546783</v>
      </c>
      <c r="BB134" s="129" t="str">
        <f>IFERROR(VLOOKUP($D134,'EITI Revenues'!$C$2:$G$224,5,FALSE),"..")</f>
        <v>..</v>
      </c>
      <c r="BC134" s="846" t="str">
        <f t="shared" si="31"/>
        <v>..</v>
      </c>
      <c r="BD134" s="129">
        <f>VLOOKUP($D134,'WB Data 2'!$C$2:$K$545,6,FALSE)</f>
        <v>36156714.476357318</v>
      </c>
      <c r="BE134" s="129">
        <f>IFERROR(VLOOKUP($D134,UNCTAD!$C$5:$V$529,4,FALSE),"..")</f>
        <v>2814570660</v>
      </c>
      <c r="BF134" s="846">
        <f t="shared" si="32"/>
        <v>1.2846262838665887E-2</v>
      </c>
      <c r="BG134" s="117">
        <f>VLOOKUP($D134,'WB Data'!$C$3:$M$578,5,FALSE)</f>
        <v>995120000</v>
      </c>
      <c r="BH134" s="129" t="str">
        <f>IFERROR($BB134/$BG134,"..")</f>
        <v>..</v>
      </c>
      <c r="BI134" s="117">
        <f>IFERROR(VLOOKUP($D134,'WB Data'!$C$3:$M$578,7,FALSE)/100,"..")</f>
        <v>3.4270099999999998E-2</v>
      </c>
      <c r="BJ134" s="117">
        <f>IFERROR($BI134*$AW134,"..")</f>
        <v>356263648.423235</v>
      </c>
      <c r="BK134" s="846" t="str">
        <f>IFERROR($BB134/$BJ134,"..")</f>
        <v>..</v>
      </c>
      <c r="BL134" s="117">
        <f>IFERROR(VLOOKUP($D134,'WB Data'!$C$3:$M$578,7,FALSE)/100,"..")</f>
        <v>3.4270099999999998E-2</v>
      </c>
      <c r="BM134" s="117">
        <f>IFERROR($AW134*$BL134,"..")</f>
        <v>356263648.423235</v>
      </c>
      <c r="BN134" s="846" t="str">
        <f>IFERROR($BB134/$BM134,"..")</f>
        <v>..</v>
      </c>
      <c r="BO134" s="801">
        <f t="shared" si="28"/>
        <v>38</v>
      </c>
      <c r="BP134" s="117" t="str">
        <f>VLOOKUP($D134,'WB Data'!$C$3:$M$578,9,FALSE)</f>
        <v>..</v>
      </c>
      <c r="BQ134" s="117">
        <f>VLOOKUP($D134,'WB Data'!$C$3:$M$578,10,FALSE)</f>
        <v>55.440487804878053</v>
      </c>
      <c r="BR134" s="117">
        <f>VLOOKUP($D134,'WB Data'!$C$3:$M$578,11,FALSE)</f>
        <v>67.7</v>
      </c>
      <c r="BS134" s="129">
        <f>IFERROR(VLOOKUP($D134,'WB Data 2'!$C$2:$K$545,9,FALSE),"..")</f>
        <v>65.402839999999998</v>
      </c>
      <c r="BT134" s="129" t="str">
        <f>_xlfn.IFNA(VLOOKUP($C134,RGI!$A$2:$C$43,2,FALSE),"..")</f>
        <v>..</v>
      </c>
      <c r="BU134" s="129" t="str">
        <f>_xlfn.IFNA(VLOOKUP($C134,RGI!$A$2:$C$43,3,FALSE),"..")</f>
        <v>..</v>
      </c>
      <c r="BV134" s="129">
        <f>VLOOKUP($D134,WGI!$C$2:$O$478,7,FALSE)</f>
        <v>-0.31756973387542697</v>
      </c>
      <c r="BW134" s="129">
        <f>VLOOKUP($D134,WGI!$C$2:$O$478,4,FALSE)</f>
        <v>-0.58153952411309695</v>
      </c>
      <c r="BX134" s="129">
        <f>VLOOKUP($D134,WGI!$C$2:$O$478,3,FALSE)</f>
        <v>-0.54611704938971195</v>
      </c>
      <c r="BY134" s="129">
        <f>VLOOKUP($D134,WGI!$C$2:$O$478,5,FALSE)</f>
        <v>-0.158104704864233</v>
      </c>
      <c r="BZ134" s="129">
        <f>VLOOKUP($D134,WGI!$C$2:$O$478,2,FALSE)</f>
        <v>-0.38715664218622903</v>
      </c>
    </row>
    <row r="135" spans="1:80" ht="15" customHeight="1">
      <c r="A135" s="280" t="s">
        <v>94</v>
      </c>
      <c r="B135" s="117">
        <v>2011</v>
      </c>
      <c r="C135" s="132" t="s">
        <v>98</v>
      </c>
      <c r="D135" s="117" t="s">
        <v>3689</v>
      </c>
      <c r="E135" s="117" t="s">
        <v>86</v>
      </c>
      <c r="F135" s="117"/>
      <c r="G135" s="117" t="s">
        <v>24</v>
      </c>
      <c r="H135" s="117" t="str">
        <f t="shared" si="23"/>
        <v>yes</v>
      </c>
      <c r="I135" s="117" t="str">
        <f t="shared" si="24"/>
        <v>no</v>
      </c>
      <c r="J135" s="117" t="str">
        <f t="shared" si="25"/>
        <v>no</v>
      </c>
      <c r="K135" s="176" t="s">
        <v>843</v>
      </c>
      <c r="L135" s="117" t="str">
        <f t="shared" si="27"/>
        <v>detailed</v>
      </c>
      <c r="M135" s="117" t="str">
        <f t="shared" si="26"/>
        <v>detailed Mining</v>
      </c>
      <c r="N135" s="179"/>
      <c r="O135" s="179"/>
      <c r="P135" s="179">
        <v>49715</v>
      </c>
      <c r="Q135" s="179"/>
      <c r="R135" s="179"/>
      <c r="S135" s="117"/>
      <c r="T135" s="119">
        <v>7.88</v>
      </c>
      <c r="U135" s="117" t="s">
        <v>611</v>
      </c>
      <c r="V135" s="117" t="s">
        <v>844</v>
      </c>
      <c r="W135" s="89">
        <f>P135*T135</f>
        <v>391754.2</v>
      </c>
      <c r="X135" s="117"/>
      <c r="Y135" s="117"/>
      <c r="Z135" s="117"/>
      <c r="AA135" s="117"/>
      <c r="AB135" s="117"/>
      <c r="AC135" s="240"/>
      <c r="AD135" s="240"/>
      <c r="AE135" s="240"/>
      <c r="AF135" s="241"/>
      <c r="AG135" s="117"/>
      <c r="AH135" s="124"/>
      <c r="AI135" s="117"/>
      <c r="AJ135" s="117"/>
      <c r="AK135" s="89"/>
      <c r="AL135" s="117"/>
      <c r="AM135" s="117"/>
      <c r="AN135" s="120"/>
      <c r="AO135" s="117"/>
      <c r="AP135" s="117"/>
      <c r="AQ135" s="117"/>
      <c r="AR135" s="117"/>
      <c r="AS135" s="117"/>
      <c r="AT135" s="127"/>
      <c r="AU135" s="117"/>
      <c r="AV135" s="128"/>
      <c r="AW135" s="117">
        <f>VLOOKUP($D135,'WB Data'!$C$3:$M$578,2,FALSE)</f>
        <v>10395757480.230143</v>
      </c>
      <c r="AX135" s="117">
        <f>VLOOKUP($D135,'WB Data'!$C$3:$M$578,3,FALSE)</f>
        <v>15995313</v>
      </c>
      <c r="AY135" s="847" t="str">
        <f t="shared" si="29"/>
        <v>..</v>
      </c>
      <c r="AZ135" s="117">
        <f>VLOOKUP($D135,'WB Data'!$C$3:$M$578,4,FALSE)/100</f>
        <v>0.1617839328923581</v>
      </c>
      <c r="BA135" s="117">
        <f t="shared" si="30"/>
        <v>1681866530.546783</v>
      </c>
      <c r="BB135" s="129" t="str">
        <f>IFERROR(VLOOKUP($D135,'EITI Revenues'!$C$2:$G$224,5,FALSE),"..")</f>
        <v>..</v>
      </c>
      <c r="BC135" s="846" t="str">
        <f t="shared" si="31"/>
        <v>..</v>
      </c>
      <c r="BD135" s="129">
        <f>VLOOKUP($D135,'WB Data 2'!$C$2:$K$545,6,FALSE)</f>
        <v>36156714.476357318</v>
      </c>
      <c r="BE135" s="129">
        <f>IFERROR(VLOOKUP($D135,UNCTAD!$C$5:$V$529,4,FALSE),"..")</f>
        <v>2814570660</v>
      </c>
      <c r="BF135" s="846">
        <f t="shared" si="32"/>
        <v>1.2846262838665887E-2</v>
      </c>
      <c r="BG135" s="117">
        <f>VLOOKUP($D135,'WB Data'!$C$3:$M$578,5,FALSE)</f>
        <v>995120000</v>
      </c>
      <c r="BH135" s="129" t="str">
        <f>IFERROR($BB135/$BG135,"..")</f>
        <v>..</v>
      </c>
      <c r="BI135" s="117">
        <f>IFERROR(VLOOKUP($D135,'WB Data'!$C$3:$M$578,7,FALSE)/100,"..")</f>
        <v>3.4270099999999998E-2</v>
      </c>
      <c r="BJ135" s="117">
        <f>IFERROR($BI135*$AW135,"..")</f>
        <v>356263648.423235</v>
      </c>
      <c r="BK135" s="846" t="str">
        <f>IFERROR($BB135/$BJ135,"..")</f>
        <v>..</v>
      </c>
      <c r="BL135" s="117">
        <f>IFERROR(VLOOKUP($D135,'WB Data'!$C$3:$M$578,7,FALSE)/100,"..")</f>
        <v>3.4270099999999998E-2</v>
      </c>
      <c r="BM135" s="117">
        <f>IFERROR($AW135*$BL135,"..")</f>
        <v>356263648.423235</v>
      </c>
      <c r="BN135" s="846" t="str">
        <f>IFERROR($BB135/$BM135,"..")</f>
        <v>..</v>
      </c>
      <c r="BO135" s="801">
        <f t="shared" si="28"/>
        <v>38</v>
      </c>
      <c r="BP135" s="117" t="str">
        <f>VLOOKUP($D135,'WB Data'!$C$3:$M$578,9,FALSE)</f>
        <v>..</v>
      </c>
      <c r="BQ135" s="117">
        <f>VLOOKUP($D135,'WB Data'!$C$3:$M$578,10,FALSE)</f>
        <v>55.440487804878053</v>
      </c>
      <c r="BR135" s="117">
        <f>VLOOKUP($D135,'WB Data'!$C$3:$M$578,11,FALSE)</f>
        <v>67.7</v>
      </c>
      <c r="BS135" s="129">
        <f>IFERROR(VLOOKUP($D135,'WB Data 2'!$C$2:$K$545,9,FALSE),"..")</f>
        <v>65.402839999999998</v>
      </c>
      <c r="BT135" s="129" t="str">
        <f>_xlfn.IFNA(VLOOKUP($C135,RGI!$A$2:$C$43,2,FALSE),"..")</f>
        <v>..</v>
      </c>
      <c r="BU135" s="129" t="str">
        <f>_xlfn.IFNA(VLOOKUP($C135,RGI!$A$2:$C$43,3,FALSE),"..")</f>
        <v>..</v>
      </c>
      <c r="BV135" s="129">
        <f>VLOOKUP($D135,WGI!$C$2:$O$478,7,FALSE)</f>
        <v>-0.31756973387542697</v>
      </c>
      <c r="BW135" s="129">
        <f>VLOOKUP($D135,WGI!$C$2:$O$478,4,FALSE)</f>
        <v>-0.58153952411309695</v>
      </c>
      <c r="BX135" s="129">
        <f>VLOOKUP($D135,WGI!$C$2:$O$478,3,FALSE)</f>
        <v>-0.54611704938971195</v>
      </c>
      <c r="BY135" s="129">
        <f>VLOOKUP($D135,WGI!$C$2:$O$478,5,FALSE)</f>
        <v>-0.158104704864233</v>
      </c>
      <c r="BZ135" s="129">
        <f>VLOOKUP($D135,WGI!$C$2:$O$478,2,FALSE)</f>
        <v>-0.38715664218622903</v>
      </c>
    </row>
    <row r="136" spans="1:80" ht="15" customHeight="1">
      <c r="A136" s="280" t="s">
        <v>94</v>
      </c>
      <c r="B136" s="117">
        <v>2011</v>
      </c>
      <c r="C136" s="132" t="s">
        <v>98</v>
      </c>
      <c r="D136" s="117" t="s">
        <v>3689</v>
      </c>
      <c r="E136" s="117" t="s">
        <v>86</v>
      </c>
      <c r="F136" s="117"/>
      <c r="G136" s="117" t="s">
        <v>24</v>
      </c>
      <c r="H136" s="117" t="str">
        <f t="shared" si="23"/>
        <v>yes</v>
      </c>
      <c r="I136" s="117" t="str">
        <f t="shared" si="24"/>
        <v>no</v>
      </c>
      <c r="J136" s="117" t="str">
        <f t="shared" si="25"/>
        <v>no</v>
      </c>
      <c r="K136" s="176" t="s">
        <v>846</v>
      </c>
      <c r="L136" s="117" t="str">
        <f t="shared" si="27"/>
        <v>detailed</v>
      </c>
      <c r="M136" s="117" t="str">
        <f t="shared" si="26"/>
        <v>detailed Mining</v>
      </c>
      <c r="N136" s="179">
        <v>49715</v>
      </c>
      <c r="O136" s="179"/>
      <c r="P136" s="179"/>
      <c r="Q136" s="179"/>
      <c r="R136" s="179"/>
      <c r="S136" s="117" t="s">
        <v>610</v>
      </c>
      <c r="T136" s="119"/>
      <c r="U136" s="117"/>
      <c r="V136" s="117" t="s">
        <v>847</v>
      </c>
      <c r="W136" s="89"/>
      <c r="X136" s="117"/>
      <c r="Y136" s="117"/>
      <c r="Z136" s="117"/>
      <c r="AA136" s="117"/>
      <c r="AB136" s="117"/>
      <c r="AC136" s="240"/>
      <c r="AD136" s="240"/>
      <c r="AE136" s="240"/>
      <c r="AF136" s="241"/>
      <c r="AG136" s="117"/>
      <c r="AH136" s="124"/>
      <c r="AI136" s="117"/>
      <c r="AJ136" s="117"/>
      <c r="AK136" s="89"/>
      <c r="AL136" s="117"/>
      <c r="AM136" s="117"/>
      <c r="AN136" s="120"/>
      <c r="AO136" s="117"/>
      <c r="AP136" s="117"/>
      <c r="AQ136" s="117"/>
      <c r="AR136" s="117"/>
      <c r="AS136" s="117"/>
      <c r="AT136" s="127"/>
      <c r="AU136" s="117"/>
      <c r="AV136" s="128"/>
      <c r="AW136" s="117">
        <f>VLOOKUP($D136,'WB Data'!$C$3:$M$578,2,FALSE)</f>
        <v>10395757480.230143</v>
      </c>
      <c r="AX136" s="117">
        <f>VLOOKUP($D136,'WB Data'!$C$3:$M$578,3,FALSE)</f>
        <v>15995313</v>
      </c>
      <c r="AY136" s="847" t="str">
        <f t="shared" si="29"/>
        <v>..</v>
      </c>
      <c r="AZ136" s="117">
        <f>VLOOKUP($D136,'WB Data'!$C$3:$M$578,4,FALSE)/100</f>
        <v>0.1617839328923581</v>
      </c>
      <c r="BA136" s="117">
        <f t="shared" si="30"/>
        <v>1681866530.546783</v>
      </c>
      <c r="BB136" s="129" t="str">
        <f>IFERROR(VLOOKUP($D136,'EITI Revenues'!$C$2:$G$224,5,FALSE),"..")</f>
        <v>..</v>
      </c>
      <c r="BC136" s="846" t="str">
        <f t="shared" si="31"/>
        <v>..</v>
      </c>
      <c r="BD136" s="129">
        <f>VLOOKUP($D136,'WB Data 2'!$C$2:$K$545,6,FALSE)</f>
        <v>36156714.476357318</v>
      </c>
      <c r="BE136" s="129">
        <f>IFERROR(VLOOKUP($D136,UNCTAD!$C$5:$V$529,4,FALSE),"..")</f>
        <v>2814570660</v>
      </c>
      <c r="BF136" s="846">
        <f t="shared" si="32"/>
        <v>1.2846262838665887E-2</v>
      </c>
      <c r="BG136" s="117">
        <f>VLOOKUP($D136,'WB Data'!$C$3:$M$578,5,FALSE)</f>
        <v>995120000</v>
      </c>
      <c r="BH136" s="129" t="str">
        <f>IFERROR($BB136/$BG136,"..")</f>
        <v>..</v>
      </c>
      <c r="BI136" s="117">
        <f>IFERROR(VLOOKUP($D136,'WB Data'!$C$3:$M$578,7,FALSE)/100,"..")</f>
        <v>3.4270099999999998E-2</v>
      </c>
      <c r="BJ136" s="117">
        <f>IFERROR($BI136*$AW136,"..")</f>
        <v>356263648.423235</v>
      </c>
      <c r="BK136" s="846" t="str">
        <f>IFERROR($BB136/$BJ136,"..")</f>
        <v>..</v>
      </c>
      <c r="BL136" s="117">
        <f>IFERROR(VLOOKUP($D136,'WB Data'!$C$3:$M$578,7,FALSE)/100,"..")</f>
        <v>3.4270099999999998E-2</v>
      </c>
      <c r="BM136" s="117">
        <f>IFERROR($AW136*$BL136,"..")</f>
        <v>356263648.423235</v>
      </c>
      <c r="BN136" s="846" t="str">
        <f>IFERROR($BB136/$BM136,"..")</f>
        <v>..</v>
      </c>
      <c r="BO136" s="801">
        <f t="shared" si="28"/>
        <v>38</v>
      </c>
      <c r="BP136" s="117" t="str">
        <f>VLOOKUP($D136,'WB Data'!$C$3:$M$578,9,FALSE)</f>
        <v>..</v>
      </c>
      <c r="BQ136" s="117">
        <f>VLOOKUP($D136,'WB Data'!$C$3:$M$578,10,FALSE)</f>
        <v>55.440487804878053</v>
      </c>
      <c r="BR136" s="117">
        <f>VLOOKUP($D136,'WB Data'!$C$3:$M$578,11,FALSE)</f>
        <v>67.7</v>
      </c>
      <c r="BS136" s="129">
        <f>IFERROR(VLOOKUP($D136,'WB Data 2'!$C$2:$K$545,9,FALSE),"..")</f>
        <v>65.402839999999998</v>
      </c>
      <c r="BT136" s="129" t="str">
        <f>_xlfn.IFNA(VLOOKUP($C136,RGI!$A$2:$C$43,2,FALSE),"..")</f>
        <v>..</v>
      </c>
      <c r="BU136" s="129" t="str">
        <f>_xlfn.IFNA(VLOOKUP($C136,RGI!$A$2:$C$43,3,FALSE),"..")</f>
        <v>..</v>
      </c>
      <c r="BV136" s="129">
        <f>VLOOKUP($D136,WGI!$C$2:$O$478,7,FALSE)</f>
        <v>-0.31756973387542697</v>
      </c>
      <c r="BW136" s="129">
        <f>VLOOKUP($D136,WGI!$C$2:$O$478,4,FALSE)</f>
        <v>-0.58153952411309695</v>
      </c>
      <c r="BX136" s="129">
        <f>VLOOKUP($D136,WGI!$C$2:$O$478,3,FALSE)</f>
        <v>-0.54611704938971195</v>
      </c>
      <c r="BY136" s="129">
        <f>VLOOKUP($D136,WGI!$C$2:$O$478,5,FALSE)</f>
        <v>-0.158104704864233</v>
      </c>
      <c r="BZ136" s="129">
        <f>VLOOKUP($D136,WGI!$C$2:$O$478,2,FALSE)</f>
        <v>-0.38715664218622903</v>
      </c>
    </row>
    <row r="137" spans="1:80" ht="15" customHeight="1">
      <c r="A137" s="280" t="s">
        <v>94</v>
      </c>
      <c r="B137" s="117">
        <v>2011</v>
      </c>
      <c r="C137" s="132" t="s">
        <v>98</v>
      </c>
      <c r="D137" s="117" t="s">
        <v>3689</v>
      </c>
      <c r="E137" s="117" t="s">
        <v>86</v>
      </c>
      <c r="F137" s="117"/>
      <c r="G137" s="117" t="s">
        <v>24</v>
      </c>
      <c r="H137" s="117" t="str">
        <f t="shared" si="23"/>
        <v>yes</v>
      </c>
      <c r="I137" s="117" t="str">
        <f t="shared" si="24"/>
        <v>no</v>
      </c>
      <c r="J137" s="117" t="str">
        <f t="shared" si="25"/>
        <v>no</v>
      </c>
      <c r="K137" s="176" t="s">
        <v>848</v>
      </c>
      <c r="L137" s="117" t="str">
        <f t="shared" si="27"/>
        <v>detailed</v>
      </c>
      <c r="M137" s="117" t="str">
        <f t="shared" si="26"/>
        <v>detailed Mining</v>
      </c>
      <c r="N137" s="179">
        <v>22400</v>
      </c>
      <c r="O137" s="179"/>
      <c r="P137" s="179"/>
      <c r="Q137" s="179"/>
      <c r="R137" s="179"/>
      <c r="S137" s="117" t="s">
        <v>610</v>
      </c>
      <c r="T137" s="119"/>
      <c r="U137" s="117"/>
      <c r="V137" s="117" t="s">
        <v>847</v>
      </c>
      <c r="W137" s="89"/>
      <c r="X137" s="117"/>
      <c r="Y137" s="117"/>
      <c r="Z137" s="117"/>
      <c r="AA137" s="117"/>
      <c r="AB137" s="117"/>
      <c r="AC137" s="240"/>
      <c r="AD137" s="240"/>
      <c r="AE137" s="240"/>
      <c r="AF137" s="241"/>
      <c r="AG137" s="117"/>
      <c r="AH137" s="124"/>
      <c r="AI137" s="117"/>
      <c r="AJ137" s="117"/>
      <c r="AK137" s="89"/>
      <c r="AL137" s="117"/>
      <c r="AM137" s="117"/>
      <c r="AN137" s="120"/>
      <c r="AO137" s="117"/>
      <c r="AP137" s="117"/>
      <c r="AQ137" s="117"/>
      <c r="AR137" s="117"/>
      <c r="AS137" s="117"/>
      <c r="AT137" s="127"/>
      <c r="AU137" s="117"/>
      <c r="AV137" s="128"/>
      <c r="AW137" s="117">
        <f>VLOOKUP($D137,'WB Data'!$C$3:$M$578,2,FALSE)</f>
        <v>10395757480.230143</v>
      </c>
      <c r="AX137" s="117">
        <f>VLOOKUP($D137,'WB Data'!$C$3:$M$578,3,FALSE)</f>
        <v>15995313</v>
      </c>
      <c r="AY137" s="847" t="str">
        <f t="shared" si="29"/>
        <v>..</v>
      </c>
      <c r="AZ137" s="117">
        <f>VLOOKUP($D137,'WB Data'!$C$3:$M$578,4,FALSE)/100</f>
        <v>0.1617839328923581</v>
      </c>
      <c r="BA137" s="117">
        <f t="shared" si="30"/>
        <v>1681866530.546783</v>
      </c>
      <c r="BB137" s="129" t="str">
        <f>IFERROR(VLOOKUP($D137,'EITI Revenues'!$C$2:$G$224,5,FALSE),"..")</f>
        <v>..</v>
      </c>
      <c r="BC137" s="846" t="str">
        <f t="shared" si="31"/>
        <v>..</v>
      </c>
      <c r="BD137" s="129">
        <f>VLOOKUP($D137,'WB Data 2'!$C$2:$K$545,6,FALSE)</f>
        <v>36156714.476357318</v>
      </c>
      <c r="BE137" s="129">
        <f>IFERROR(VLOOKUP($D137,UNCTAD!$C$5:$V$529,4,FALSE),"..")</f>
        <v>2814570660</v>
      </c>
      <c r="BF137" s="846">
        <f t="shared" si="32"/>
        <v>1.2846262838665887E-2</v>
      </c>
      <c r="BG137" s="117">
        <f>VLOOKUP($D137,'WB Data'!$C$3:$M$578,5,FALSE)</f>
        <v>995120000</v>
      </c>
      <c r="BH137" s="129" t="str">
        <f>IFERROR($BB137/$BG137,"..")</f>
        <v>..</v>
      </c>
      <c r="BI137" s="117">
        <f>IFERROR(VLOOKUP($D137,'WB Data'!$C$3:$M$578,7,FALSE)/100,"..")</f>
        <v>3.4270099999999998E-2</v>
      </c>
      <c r="BJ137" s="117">
        <f>IFERROR($BI137*$AW137,"..")</f>
        <v>356263648.423235</v>
      </c>
      <c r="BK137" s="846" t="str">
        <f>IFERROR($BB137/$BJ137,"..")</f>
        <v>..</v>
      </c>
      <c r="BL137" s="117">
        <f>IFERROR(VLOOKUP($D137,'WB Data'!$C$3:$M$578,7,FALSE)/100,"..")</f>
        <v>3.4270099999999998E-2</v>
      </c>
      <c r="BM137" s="117">
        <f>IFERROR($AW137*$BL137,"..")</f>
        <v>356263648.423235</v>
      </c>
      <c r="BN137" s="846" t="str">
        <f>IFERROR($BB137/$BM137,"..")</f>
        <v>..</v>
      </c>
      <c r="BO137" s="801">
        <f t="shared" si="28"/>
        <v>38</v>
      </c>
      <c r="BP137" s="117" t="str">
        <f>VLOOKUP($D137,'WB Data'!$C$3:$M$578,9,FALSE)</f>
        <v>..</v>
      </c>
      <c r="BQ137" s="117">
        <f>VLOOKUP($D137,'WB Data'!$C$3:$M$578,10,FALSE)</f>
        <v>55.440487804878053</v>
      </c>
      <c r="BR137" s="117">
        <f>VLOOKUP($D137,'WB Data'!$C$3:$M$578,11,FALSE)</f>
        <v>67.7</v>
      </c>
      <c r="BS137" s="129">
        <f>IFERROR(VLOOKUP($D137,'WB Data 2'!$C$2:$K$545,9,FALSE),"..")</f>
        <v>65.402839999999998</v>
      </c>
      <c r="BT137" s="129" t="str">
        <f>_xlfn.IFNA(VLOOKUP($C137,RGI!$A$2:$C$43,2,FALSE),"..")</f>
        <v>..</v>
      </c>
      <c r="BU137" s="129" t="str">
        <f>_xlfn.IFNA(VLOOKUP($C137,RGI!$A$2:$C$43,3,FALSE),"..")</f>
        <v>..</v>
      </c>
      <c r="BV137" s="129">
        <f>VLOOKUP($D137,WGI!$C$2:$O$478,7,FALSE)</f>
        <v>-0.31756973387542697</v>
      </c>
      <c r="BW137" s="129">
        <f>VLOOKUP($D137,WGI!$C$2:$O$478,4,FALSE)</f>
        <v>-0.58153952411309695</v>
      </c>
      <c r="BX137" s="129">
        <f>VLOOKUP($D137,WGI!$C$2:$O$478,3,FALSE)</f>
        <v>-0.54611704938971195</v>
      </c>
      <c r="BY137" s="129">
        <f>VLOOKUP($D137,WGI!$C$2:$O$478,5,FALSE)</f>
        <v>-0.158104704864233</v>
      </c>
      <c r="BZ137" s="129">
        <f>VLOOKUP($D137,WGI!$C$2:$O$478,2,FALSE)</f>
        <v>-0.38715664218622903</v>
      </c>
    </row>
    <row r="138" spans="1:80" s="158" customFormat="1" ht="15" customHeight="1">
      <c r="A138" s="282" t="s">
        <v>94</v>
      </c>
      <c r="B138" s="149">
        <v>2011</v>
      </c>
      <c r="C138" s="132" t="s">
        <v>98</v>
      </c>
      <c r="D138" s="117" t="s">
        <v>3689</v>
      </c>
      <c r="E138" s="149" t="s">
        <v>86</v>
      </c>
      <c r="F138" s="149"/>
      <c r="G138" s="149" t="s">
        <v>24</v>
      </c>
      <c r="H138" s="149" t="str">
        <f t="shared" si="23"/>
        <v>yes</v>
      </c>
      <c r="I138" s="149" t="str">
        <f t="shared" si="24"/>
        <v>no</v>
      </c>
      <c r="J138" s="149" t="str">
        <f t="shared" si="25"/>
        <v>no</v>
      </c>
      <c r="K138" s="188" t="s">
        <v>849</v>
      </c>
      <c r="L138" s="149" t="str">
        <f t="shared" si="27"/>
        <v>detailed</v>
      </c>
      <c r="M138" s="149" t="str">
        <f t="shared" si="26"/>
        <v>detailed Mining</v>
      </c>
      <c r="N138" s="216"/>
      <c r="O138" s="216"/>
      <c r="P138" s="216">
        <v>0</v>
      </c>
      <c r="Q138" s="216"/>
      <c r="R138" s="216"/>
      <c r="S138" s="149" t="s">
        <v>610</v>
      </c>
      <c r="T138" s="151"/>
      <c r="U138" s="149"/>
      <c r="V138" s="149"/>
      <c r="W138" s="152"/>
      <c r="X138" s="149"/>
      <c r="Y138" s="149"/>
      <c r="Z138" s="149"/>
      <c r="AA138" s="152">
        <v>1449364.1459556674</v>
      </c>
      <c r="AB138" s="152">
        <v>1442993.2612511106</v>
      </c>
      <c r="AC138" s="288"/>
      <c r="AD138" s="288"/>
      <c r="AE138" s="288"/>
      <c r="AF138" s="285"/>
      <c r="AG138" s="149"/>
      <c r="AH138" s="156"/>
      <c r="AI138" s="149"/>
      <c r="AJ138" s="149"/>
      <c r="AK138" s="152"/>
      <c r="AL138" s="149"/>
      <c r="AM138" s="149"/>
      <c r="AO138" s="149"/>
      <c r="AP138" s="149"/>
      <c r="AQ138" s="149"/>
      <c r="AR138" s="149"/>
      <c r="AS138" s="149"/>
      <c r="AT138" s="221"/>
      <c r="AU138" s="149"/>
      <c r="AV138" s="157" t="s">
        <v>859</v>
      </c>
      <c r="AW138" s="117">
        <f>VLOOKUP($D138,'WB Data'!$C$3:$M$578,2,FALSE)</f>
        <v>10395757480.230143</v>
      </c>
      <c r="AX138" s="117">
        <f>VLOOKUP($D138,'WB Data'!$C$3:$M$578,3,FALSE)</f>
        <v>15995313</v>
      </c>
      <c r="AY138" s="847" t="str">
        <f t="shared" si="29"/>
        <v>..</v>
      </c>
      <c r="AZ138" s="117">
        <f>VLOOKUP($D138,'WB Data'!$C$3:$M$578,4,FALSE)/100</f>
        <v>0.1617839328923581</v>
      </c>
      <c r="BA138" s="117">
        <f t="shared" si="30"/>
        <v>1681866530.546783</v>
      </c>
      <c r="BB138" s="129" t="str">
        <f>IFERROR(VLOOKUP($D138,'EITI Revenues'!$C$2:$G$224,5,FALSE),"..")</f>
        <v>..</v>
      </c>
      <c r="BC138" s="846" t="str">
        <f t="shared" si="31"/>
        <v>..</v>
      </c>
      <c r="BD138" s="129">
        <f>VLOOKUP($D138,'WB Data 2'!$C$2:$K$545,6,FALSE)</f>
        <v>36156714.476357318</v>
      </c>
      <c r="BE138" s="129">
        <f>IFERROR(VLOOKUP($D138,UNCTAD!$C$5:$V$529,4,FALSE),"..")</f>
        <v>2814570660</v>
      </c>
      <c r="BF138" s="846">
        <f t="shared" si="32"/>
        <v>1.2846262838665887E-2</v>
      </c>
      <c r="BG138" s="117">
        <f>VLOOKUP($D138,'WB Data'!$C$3:$M$578,5,FALSE)</f>
        <v>995120000</v>
      </c>
      <c r="BH138" s="129" t="str">
        <f>IFERROR($BB138/$BG138,"..")</f>
        <v>..</v>
      </c>
      <c r="BI138" s="117">
        <f>IFERROR(VLOOKUP($D138,'WB Data'!$C$3:$M$578,7,FALSE)/100,"..")</f>
        <v>3.4270099999999998E-2</v>
      </c>
      <c r="BJ138" s="117">
        <f>IFERROR($BI138*$AW138,"..")</f>
        <v>356263648.423235</v>
      </c>
      <c r="BK138" s="846" t="str">
        <f>IFERROR($BB138/$BJ138,"..")</f>
        <v>..</v>
      </c>
      <c r="BL138" s="117">
        <f>IFERROR(VLOOKUP($D138,'WB Data'!$C$3:$M$578,7,FALSE)/100,"..")</f>
        <v>3.4270099999999998E-2</v>
      </c>
      <c r="BM138" s="117">
        <f>IFERROR($AW138*$BL138,"..")</f>
        <v>356263648.423235</v>
      </c>
      <c r="BN138" s="846" t="str">
        <f>IFERROR($BB138/$BM138,"..")</f>
        <v>..</v>
      </c>
      <c r="BO138" s="801">
        <f t="shared" si="28"/>
        <v>38</v>
      </c>
      <c r="BP138" s="117" t="str">
        <f>VLOOKUP($D138,'WB Data'!$C$3:$M$578,9,FALSE)</f>
        <v>..</v>
      </c>
      <c r="BQ138" s="117">
        <f>VLOOKUP($D138,'WB Data'!$C$3:$M$578,10,FALSE)</f>
        <v>55.440487804878053</v>
      </c>
      <c r="BR138" s="117">
        <f>VLOOKUP($D138,'WB Data'!$C$3:$M$578,11,FALSE)</f>
        <v>67.7</v>
      </c>
      <c r="BS138" s="129">
        <f>IFERROR(VLOOKUP($D138,'WB Data 2'!$C$2:$K$545,9,FALSE),"..")</f>
        <v>65.402839999999998</v>
      </c>
      <c r="BT138" s="129" t="str">
        <f>_xlfn.IFNA(VLOOKUP($C138,RGI!$A$2:$C$43,2,FALSE),"..")</f>
        <v>..</v>
      </c>
      <c r="BU138" s="129" t="str">
        <f>_xlfn.IFNA(VLOOKUP($C138,RGI!$A$2:$C$43,3,FALSE),"..")</f>
        <v>..</v>
      </c>
      <c r="BV138" s="129">
        <f>VLOOKUP($D138,WGI!$C$2:$O$478,7,FALSE)</f>
        <v>-0.31756973387542697</v>
      </c>
      <c r="BW138" s="129">
        <f>VLOOKUP($D138,WGI!$C$2:$O$478,4,FALSE)</f>
        <v>-0.58153952411309695</v>
      </c>
      <c r="BX138" s="129">
        <f>VLOOKUP($D138,WGI!$C$2:$O$478,3,FALSE)</f>
        <v>-0.54611704938971195</v>
      </c>
      <c r="BY138" s="129">
        <f>VLOOKUP($D138,WGI!$C$2:$O$478,5,FALSE)</f>
        <v>-0.158104704864233</v>
      </c>
      <c r="BZ138" s="129">
        <f>VLOOKUP($D138,WGI!$C$2:$O$478,2,FALSE)</f>
        <v>-0.38715664218622903</v>
      </c>
      <c r="CB138" s="129"/>
    </row>
    <row r="139" spans="1:80" ht="15" customHeight="1" thickBot="1">
      <c r="A139" s="289" t="s">
        <v>97</v>
      </c>
      <c r="B139" s="117">
        <v>2012</v>
      </c>
      <c r="C139" s="132" t="s">
        <v>98</v>
      </c>
      <c r="D139" s="117" t="s">
        <v>3723</v>
      </c>
      <c r="E139" s="117" t="s">
        <v>86</v>
      </c>
      <c r="F139" s="117" t="s">
        <v>825</v>
      </c>
      <c r="G139" s="117" t="s">
        <v>24</v>
      </c>
      <c r="H139" s="117" t="s">
        <v>784</v>
      </c>
      <c r="I139" s="117"/>
      <c r="J139" s="117"/>
      <c r="K139" s="176" t="s">
        <v>784</v>
      </c>
      <c r="L139" s="117"/>
      <c r="M139" s="117"/>
      <c r="N139" s="179"/>
      <c r="O139" s="179"/>
      <c r="P139" s="179">
        <f>29120.87*32.150743126506</f>
        <v>936257.61099037481</v>
      </c>
      <c r="Q139" s="179"/>
      <c r="R139" s="179"/>
      <c r="S139" s="117" t="s">
        <v>785</v>
      </c>
      <c r="T139" s="119">
        <v>1668.85</v>
      </c>
      <c r="U139" s="146" t="s">
        <v>786</v>
      </c>
      <c r="V139" s="146" t="s">
        <v>860</v>
      </c>
      <c r="W139" s="757">
        <v>1591231109.1400001</v>
      </c>
      <c r="X139" s="117"/>
      <c r="Y139" s="117"/>
      <c r="Z139" s="117"/>
      <c r="AA139" s="757">
        <v>366304044.26999998</v>
      </c>
      <c r="AB139" s="757">
        <v>371460985.86000001</v>
      </c>
      <c r="AC139" s="762">
        <v>0.98</v>
      </c>
      <c r="AD139" s="757">
        <v>379240089.45999998</v>
      </c>
      <c r="AE139" s="756"/>
      <c r="AF139" s="241">
        <f>AA139/W139</f>
        <v>0.23020166094413111</v>
      </c>
      <c r="AG139" s="117" t="s">
        <v>836</v>
      </c>
      <c r="AH139" s="124">
        <v>503</v>
      </c>
      <c r="AI139" s="146" t="s">
        <v>722</v>
      </c>
      <c r="AJ139" s="146"/>
      <c r="AK139" s="760"/>
      <c r="AL139" s="146"/>
      <c r="AM139" s="146"/>
      <c r="AN139" s="146">
        <v>26</v>
      </c>
      <c r="AO139" s="146" t="s">
        <v>861</v>
      </c>
      <c r="AP139" s="146">
        <v>26</v>
      </c>
      <c r="AQ139" s="239" t="s">
        <v>50</v>
      </c>
      <c r="AR139" s="146"/>
      <c r="AS139" s="146" t="s">
        <v>607</v>
      </c>
      <c r="AT139" s="146" t="s">
        <v>99</v>
      </c>
      <c r="AU139" s="146"/>
      <c r="AV139" s="128" t="s">
        <v>862</v>
      </c>
      <c r="AW139" s="117">
        <f>VLOOKUP($D139,'WB Data'!$C$3:$M$578,2,FALSE)</f>
        <v>10726305449.611792</v>
      </c>
      <c r="AX139" s="117">
        <f>VLOOKUP($D139,'WB Data'!$C$3:$M$578,3,FALSE)</f>
        <v>16460141</v>
      </c>
      <c r="AY139" s="847">
        <f t="shared" si="29"/>
        <v>3.4150066487548827E-2</v>
      </c>
      <c r="AZ139" s="117">
        <f>VLOOKUP($D139,'WB Data'!$C$3:$M$578,4,FALSE)/100</f>
        <v>0.18239616678000739</v>
      </c>
      <c r="BA139" s="117">
        <f t="shared" si="30"/>
        <v>1956436997.7206945</v>
      </c>
      <c r="BB139" s="129">
        <f>IFERROR(VLOOKUP($D139,'EITI Revenues'!$C$2:$G$224,5,FALSE),"..")</f>
        <v>366304044.26999998</v>
      </c>
      <c r="BC139" s="846">
        <f t="shared" si="31"/>
        <v>0.18723017643642742</v>
      </c>
      <c r="BD139" s="129" t="str">
        <f>VLOOKUP($D139,'WB Data 2'!$C$2:$K$545,6,FALSE)</f>
        <v>..</v>
      </c>
      <c r="BE139" s="129">
        <f>IFERROR(VLOOKUP($D139,UNCTAD!$C$5:$V$529,4,FALSE),"..")</f>
        <v>3289065142</v>
      </c>
      <c r="BF139" s="846" t="str">
        <f t="shared" si="32"/>
        <v>..</v>
      </c>
      <c r="BG139" s="117">
        <f>VLOOKUP($D139,'WB Data'!$C$3:$M$578,5,FALSE)</f>
        <v>1158540000</v>
      </c>
      <c r="BH139" s="129">
        <f>IFERROR($BB139/$BG139,"..")</f>
        <v>0.3161772957947071</v>
      </c>
      <c r="BI139" s="117" t="str">
        <f>IFERROR(VLOOKUP($D139,'WB Data'!$C$3:$M$578,7,FALSE)/100,"..")</f>
        <v>..</v>
      </c>
      <c r="BJ139" s="117" t="str">
        <f>IFERROR($BI139*$AW139,"..")</f>
        <v>..</v>
      </c>
      <c r="BK139" s="846" t="str">
        <f>IFERROR($BB139/$BJ139,"..")</f>
        <v>..</v>
      </c>
      <c r="BL139" s="117" t="str">
        <f>IFERROR(VLOOKUP($D139,'WB Data'!$C$3:$M$578,7,FALSE)/100,"..")</f>
        <v>..</v>
      </c>
      <c r="BM139" s="117" t="str">
        <f>IFERROR($AW139*$BL139,"..")</f>
        <v>..</v>
      </c>
      <c r="BN139" s="846" t="str">
        <f>IFERROR($BB139/$BM139,"..")</f>
        <v>..</v>
      </c>
      <c r="BO139" s="801">
        <f t="shared" si="28"/>
        <v>38</v>
      </c>
      <c r="BP139" s="117" t="str">
        <f>VLOOKUP($D139,'WB Data'!$C$3:$M$578,9,FALSE)</f>
        <v>..</v>
      </c>
      <c r="BQ139" s="117">
        <f>VLOOKUP($D139,'WB Data'!$C$3:$M$578,10,FALSE)</f>
        <v>55.86202439024391</v>
      </c>
      <c r="BR139" s="117">
        <f>VLOOKUP($D139,'WB Data'!$C$3:$M$578,11,FALSE)</f>
        <v>65.7</v>
      </c>
      <c r="BS139" s="129">
        <f>IFERROR(VLOOKUP($D139,'WB Data 2'!$C$2:$K$545,9,FALSE),"..")</f>
        <v>66.759569999999997</v>
      </c>
      <c r="BT139" s="129" t="str">
        <f>_xlfn.IFNA(VLOOKUP($C139,RGI!$A$2:$C$43,2,FALSE),"..")</f>
        <v>..</v>
      </c>
      <c r="BU139" s="129" t="str">
        <f>_xlfn.IFNA(VLOOKUP($C139,RGI!$A$2:$C$43,3,FALSE),"..")</f>
        <v>..</v>
      </c>
      <c r="BV139" s="129">
        <f>VLOOKUP($D139,WGI!$C$2:$O$478,7,FALSE)</f>
        <v>-0.34532467437041098</v>
      </c>
      <c r="BW139" s="129">
        <f>VLOOKUP($D139,WGI!$C$2:$O$478,4,FALSE)</f>
        <v>-0.616862403726255</v>
      </c>
      <c r="BX139" s="129">
        <f>VLOOKUP($D139,WGI!$C$2:$O$478,3,FALSE)</f>
        <v>-0.63266125667306905</v>
      </c>
      <c r="BY139" s="129">
        <f>VLOOKUP($D139,WGI!$C$2:$O$478,5,FALSE)</f>
        <v>-0.11938249105543799</v>
      </c>
      <c r="BZ139" s="129">
        <f>VLOOKUP($D139,WGI!$C$2:$O$478,2,FALSE)</f>
        <v>-0.51926766111056399</v>
      </c>
    </row>
    <row r="140" spans="1:80" s="210" customFormat="1" ht="15" customHeight="1">
      <c r="A140" s="290" t="s">
        <v>100</v>
      </c>
      <c r="B140" s="175">
        <v>2001</v>
      </c>
      <c r="C140" s="175" t="s">
        <v>101</v>
      </c>
      <c r="D140" s="117" t="s">
        <v>3788</v>
      </c>
      <c r="E140" s="175" t="s">
        <v>86</v>
      </c>
      <c r="F140" s="175" t="s">
        <v>863</v>
      </c>
      <c r="G140" s="175" t="s">
        <v>55</v>
      </c>
      <c r="H140" s="117" t="str">
        <f t="shared" si="23"/>
        <v>no</v>
      </c>
      <c r="I140" s="117" t="str">
        <f t="shared" si="24"/>
        <v>yes</v>
      </c>
      <c r="J140" s="117" t="str">
        <f t="shared" si="25"/>
        <v>yes</v>
      </c>
      <c r="K140" s="196" t="s">
        <v>709</v>
      </c>
      <c r="L140" s="117" t="str">
        <f t="shared" si="27"/>
        <v>Total</v>
      </c>
      <c r="M140" s="117" t="str">
        <f t="shared" si="26"/>
        <v>Total Oil, Gas</v>
      </c>
      <c r="N140" s="197"/>
      <c r="O140" s="197"/>
      <c r="P140" s="197"/>
      <c r="Q140" s="197"/>
      <c r="R140" s="197"/>
      <c r="S140" s="175"/>
      <c r="T140" s="198"/>
      <c r="U140" s="175"/>
      <c r="V140" s="175"/>
      <c r="W140" s="199">
        <f>SUM(W141:W142)</f>
        <v>1128787165.5095637</v>
      </c>
      <c r="X140" s="210" t="s">
        <v>775</v>
      </c>
      <c r="Y140" s="175" t="s">
        <v>731</v>
      </c>
      <c r="Z140" s="175" t="s">
        <v>732</v>
      </c>
      <c r="AA140" s="291">
        <v>731900794.85081637</v>
      </c>
      <c r="AB140" s="292">
        <v>143175130</v>
      </c>
      <c r="AC140" s="293"/>
      <c r="AD140" s="293"/>
      <c r="AE140" s="293"/>
      <c r="AF140" s="203">
        <f>AA140/W140</f>
        <v>0.64839574475531658</v>
      </c>
      <c r="AG140" s="175" t="s">
        <v>864</v>
      </c>
      <c r="AH140" s="204" t="s">
        <v>865</v>
      </c>
      <c r="AI140" s="175" t="s">
        <v>667</v>
      </c>
      <c r="AJ140" s="175" t="s">
        <v>866</v>
      </c>
      <c r="AK140" s="199">
        <v>583993394.85081637</v>
      </c>
      <c r="AL140" s="199"/>
      <c r="AM140" s="175"/>
      <c r="AN140" s="175">
        <v>5</v>
      </c>
      <c r="AO140" s="175" t="s">
        <v>867</v>
      </c>
      <c r="AP140" s="175">
        <v>4</v>
      </c>
      <c r="AQ140" s="175" t="s">
        <v>102</v>
      </c>
      <c r="AR140" s="206">
        <v>41890</v>
      </c>
      <c r="AS140" s="175" t="s">
        <v>868</v>
      </c>
      <c r="AT140" s="175" t="s">
        <v>104</v>
      </c>
      <c r="AU140" s="175">
        <v>23</v>
      </c>
      <c r="AV140" s="209" t="s">
        <v>869</v>
      </c>
      <c r="AW140" s="117">
        <f>VLOOKUP($D140,'WB Data'!$C$3:$M$578,2,FALSE)</f>
        <v>9633109256.7360611</v>
      </c>
      <c r="AX140" s="117">
        <f>VLOOKUP($D140,'WB Data'!$C$3:$M$578,3,FALSE)</f>
        <v>16350440</v>
      </c>
      <c r="AY140" s="847">
        <f t="shared" si="29"/>
        <v>7.5977628338329745E-2</v>
      </c>
      <c r="AZ140" s="117" t="e">
        <f>VLOOKUP($D140,'WB Data'!$C$3:$M$578,4,FALSE)/100</f>
        <v>#VALUE!</v>
      </c>
      <c r="BA140" s="117" t="str">
        <f t="shared" si="30"/>
        <v>..</v>
      </c>
      <c r="BB140" s="129">
        <f>IFERROR(VLOOKUP($D140,'EITI Revenues'!$C$2:$G$224,5,FALSE),"..")</f>
        <v>731900794.85081637</v>
      </c>
      <c r="BC140" s="846" t="str">
        <f t="shared" si="31"/>
        <v>..</v>
      </c>
      <c r="BD140" s="129">
        <f>VLOOKUP($D140,'WB Data 2'!$C$2:$K$545,6,FALSE)</f>
        <v>1001772693.4319685</v>
      </c>
      <c r="BE140" s="129" t="str">
        <f>IFERROR(VLOOKUP($D140,UNCTAD!$C$5:$V$529,4,FALSE),"..")</f>
        <v>..</v>
      </c>
      <c r="BF140" s="846" t="str">
        <f t="shared" si="32"/>
        <v>..</v>
      </c>
      <c r="BG140" s="117">
        <f>VLOOKUP($D140,'WB Data'!$C$3:$M$578,5,FALSE)</f>
        <v>457760000</v>
      </c>
      <c r="BH140" s="129">
        <f>IFERROR($BB140/$BG140,"..")</f>
        <v>1.5988745081501581</v>
      </c>
      <c r="BI140" s="117">
        <f>IFERROR(VLOOKUP($D140,'WB Data'!$C$3:$M$578,7,FALSE)/100,"..")</f>
        <v>2.6099500000000001E-2</v>
      </c>
      <c r="BJ140" s="117">
        <f>IFERROR($BI140*$AW140,"..")</f>
        <v>251419335.04618284</v>
      </c>
      <c r="BK140" s="846">
        <f>IFERROR($BB140/$BJ140,"..")</f>
        <v>2.9110760105875495</v>
      </c>
      <c r="BL140" s="117">
        <f>IFERROR(VLOOKUP($D140,'WB Data'!$C$3:$M$578,7,FALSE)/100,"..")</f>
        <v>2.6099500000000001E-2</v>
      </c>
      <c r="BM140" s="117">
        <f>IFERROR($AW140*$BL140,"..")</f>
        <v>251419335.04618284</v>
      </c>
      <c r="BN140" s="846">
        <f>IFERROR($BB140/$BM140,"..")</f>
        <v>2.9110760105875495</v>
      </c>
      <c r="BO140" s="801">
        <f t="shared" si="28"/>
        <v>27</v>
      </c>
      <c r="BP140" s="117">
        <f>VLOOKUP($D140,'WB Data'!$C$3:$M$578,9,FALSE)</f>
        <v>40.200000000000003</v>
      </c>
      <c r="BQ140" s="117">
        <f>VLOOKUP($D140,'WB Data'!$C$3:$M$578,10,FALSE)</f>
        <v>51.75719512195122</v>
      </c>
      <c r="BR140" s="117">
        <f>VLOOKUP($D140,'WB Data'!$C$3:$M$578,11,FALSE)</f>
        <v>89.8</v>
      </c>
      <c r="BS140" s="129" t="str">
        <f>IFERROR(VLOOKUP($D140,'WB Data 2'!$C$2:$K$545,9,FALSE),"..")</f>
        <v>..</v>
      </c>
      <c r="BT140" s="129">
        <f>_xlfn.IFNA(VLOOKUP($C140,RGI!$A$2:$C$43,2,FALSE),"..")</f>
        <v>41.8</v>
      </c>
      <c r="BU140" s="129">
        <f>_xlfn.IFNA(VLOOKUP($C140,RGI!$A$2:$C$43,3,FALSE),"..")</f>
        <v>34.155297028034767</v>
      </c>
      <c r="BV140" s="129" t="e">
        <f>VLOOKUP($D140,WGI!$C$2:$O$478,7,FALSE)</f>
        <v>#N/A</v>
      </c>
      <c r="BW140" s="129" t="e">
        <f>VLOOKUP($D140,WGI!$C$2:$O$478,4,FALSE)</f>
        <v>#N/A</v>
      </c>
      <c r="BX140" s="129" t="e">
        <f>VLOOKUP($D140,WGI!$C$2:$O$478,3,FALSE)</f>
        <v>#N/A</v>
      </c>
      <c r="BY140" s="129" t="e">
        <f>VLOOKUP($D140,WGI!$C$2:$O$478,5,FALSE)</f>
        <v>#N/A</v>
      </c>
      <c r="BZ140" s="129" t="e">
        <f>VLOOKUP($D140,WGI!$C$2:$O$478,2,FALSE)</f>
        <v>#N/A</v>
      </c>
      <c r="CB140" s="129"/>
    </row>
    <row r="141" spans="1:80" s="120" customFormat="1" ht="15" customHeight="1">
      <c r="A141" s="294" t="s">
        <v>100</v>
      </c>
      <c r="B141" s="117">
        <v>2001</v>
      </c>
      <c r="C141" s="117" t="s">
        <v>101</v>
      </c>
      <c r="D141" s="117" t="s">
        <v>3788</v>
      </c>
      <c r="E141" s="117" t="s">
        <v>86</v>
      </c>
      <c r="F141" s="117"/>
      <c r="G141" s="117" t="s">
        <v>561</v>
      </c>
      <c r="H141" s="117" t="str">
        <f t="shared" si="23"/>
        <v>no</v>
      </c>
      <c r="I141" s="117" t="str">
        <f t="shared" si="24"/>
        <v>yes</v>
      </c>
      <c r="J141" s="117" t="str">
        <f t="shared" si="25"/>
        <v>no</v>
      </c>
      <c r="K141" s="176" t="s">
        <v>561</v>
      </c>
      <c r="L141" s="117" t="str">
        <f t="shared" si="27"/>
        <v>detailed</v>
      </c>
      <c r="M141" s="117" t="str">
        <f t="shared" si="26"/>
        <v>detailed Gas</v>
      </c>
      <c r="N141" s="179">
        <f>63000000000*0.0283168</f>
        <v>1783958400</v>
      </c>
      <c r="O141" s="118">
        <f>N141*0.0066</f>
        <v>11774125.439999999</v>
      </c>
      <c r="P141" s="179"/>
      <c r="Q141" s="179"/>
      <c r="R141" s="179"/>
      <c r="S141" s="117" t="s">
        <v>642</v>
      </c>
      <c r="T141" s="119">
        <v>0.12911500000000001</v>
      </c>
      <c r="U141" s="117" t="s">
        <v>643</v>
      </c>
      <c r="V141" s="117" t="s">
        <v>870</v>
      </c>
      <c r="W141" s="89">
        <f>N141*T141</f>
        <v>230335788.81600001</v>
      </c>
      <c r="X141" s="117"/>
      <c r="Y141" s="117"/>
      <c r="Z141" s="117"/>
      <c r="AA141" s="211">
        <f>W141/W142</f>
        <v>0.25636978782721709</v>
      </c>
      <c r="AB141" s="177"/>
      <c r="AC141" s="177"/>
      <c r="AD141" s="177"/>
      <c r="AE141" s="122"/>
      <c r="AF141" s="123"/>
      <c r="AG141" s="117"/>
      <c r="AH141" s="124"/>
      <c r="AI141" s="117"/>
      <c r="AJ141" s="117"/>
      <c r="AK141" s="117"/>
      <c r="AL141" s="117"/>
      <c r="AM141" s="117"/>
      <c r="AN141" s="117"/>
      <c r="AO141" s="117"/>
      <c r="AP141" s="117"/>
      <c r="AQ141" s="117"/>
      <c r="AR141" s="126"/>
      <c r="AS141" s="117"/>
      <c r="AT141" s="117"/>
      <c r="AU141" s="117"/>
      <c r="AV141" s="128"/>
      <c r="AW141" s="117">
        <f>VLOOKUP($D141,'WB Data'!$C$3:$M$578,2,FALSE)</f>
        <v>9633109256.7360611</v>
      </c>
      <c r="AX141" s="117">
        <f>VLOOKUP($D141,'WB Data'!$C$3:$M$578,3,FALSE)</f>
        <v>16350440</v>
      </c>
      <c r="AY141" s="847">
        <f t="shared" si="29"/>
        <v>7.5977628338329745E-2</v>
      </c>
      <c r="AZ141" s="117" t="e">
        <f>VLOOKUP($D141,'WB Data'!$C$3:$M$578,4,FALSE)/100</f>
        <v>#VALUE!</v>
      </c>
      <c r="BA141" s="117" t="str">
        <f t="shared" si="30"/>
        <v>..</v>
      </c>
      <c r="BB141" s="129">
        <f>IFERROR(VLOOKUP($D141,'EITI Revenues'!$C$2:$G$224,5,FALSE),"..")</f>
        <v>731900794.85081637</v>
      </c>
      <c r="BC141" s="846" t="str">
        <f t="shared" si="31"/>
        <v>..</v>
      </c>
      <c r="BD141" s="129">
        <f>VLOOKUP($D141,'WB Data 2'!$C$2:$K$545,6,FALSE)</f>
        <v>1001772693.4319685</v>
      </c>
      <c r="BE141" s="129" t="str">
        <f>IFERROR(VLOOKUP($D141,UNCTAD!$C$5:$V$529,4,FALSE),"..")</f>
        <v>..</v>
      </c>
      <c r="BF141" s="846" t="str">
        <f t="shared" si="32"/>
        <v>..</v>
      </c>
      <c r="BG141" s="117">
        <f>VLOOKUP($D141,'WB Data'!$C$3:$M$578,5,FALSE)</f>
        <v>457760000</v>
      </c>
      <c r="BH141" s="129">
        <f>IFERROR($BB141/$BG141,"..")</f>
        <v>1.5988745081501581</v>
      </c>
      <c r="BI141" s="117">
        <f>IFERROR(VLOOKUP($D141,'WB Data'!$C$3:$M$578,7,FALSE)/100,"..")</f>
        <v>2.6099500000000001E-2</v>
      </c>
      <c r="BJ141" s="117">
        <f>IFERROR($BI141*$AW141,"..")</f>
        <v>251419335.04618284</v>
      </c>
      <c r="BK141" s="846">
        <f>IFERROR($BB141/$BJ141,"..")</f>
        <v>2.9110760105875495</v>
      </c>
      <c r="BL141" s="117">
        <f>IFERROR(VLOOKUP($D141,'WB Data'!$C$3:$M$578,7,FALSE)/100,"..")</f>
        <v>2.6099500000000001E-2</v>
      </c>
      <c r="BM141" s="117">
        <f>IFERROR($AW141*$BL141,"..")</f>
        <v>251419335.04618284</v>
      </c>
      <c r="BN141" s="846">
        <f>IFERROR($BB141/$BM141,"..")</f>
        <v>2.9110760105875495</v>
      </c>
      <c r="BO141" s="801">
        <f t="shared" si="28"/>
        <v>27</v>
      </c>
      <c r="BP141" s="117">
        <f>VLOOKUP($D141,'WB Data'!$C$3:$M$578,9,FALSE)</f>
        <v>40.200000000000003</v>
      </c>
      <c r="BQ141" s="117">
        <f>VLOOKUP($D141,'WB Data'!$C$3:$M$578,10,FALSE)</f>
        <v>51.75719512195122</v>
      </c>
      <c r="BR141" s="117">
        <f>VLOOKUP($D141,'WB Data'!$C$3:$M$578,11,FALSE)</f>
        <v>89.8</v>
      </c>
      <c r="BS141" s="129" t="str">
        <f>IFERROR(VLOOKUP($D141,'WB Data 2'!$C$2:$K$545,9,FALSE),"..")</f>
        <v>..</v>
      </c>
      <c r="BT141" s="129">
        <f>_xlfn.IFNA(VLOOKUP($C141,RGI!$A$2:$C$43,2,FALSE),"..")</f>
        <v>41.8</v>
      </c>
      <c r="BU141" s="129">
        <f>_xlfn.IFNA(VLOOKUP($C141,RGI!$A$2:$C$43,3,FALSE),"..")</f>
        <v>34.155297028034767</v>
      </c>
      <c r="BV141" s="129" t="e">
        <f>VLOOKUP($D141,WGI!$C$2:$O$478,7,FALSE)</f>
        <v>#N/A</v>
      </c>
      <c r="BW141" s="129" t="e">
        <f>VLOOKUP($D141,WGI!$C$2:$O$478,4,FALSE)</f>
        <v>#N/A</v>
      </c>
      <c r="BX141" s="129" t="e">
        <f>VLOOKUP($D141,WGI!$C$2:$O$478,3,FALSE)</f>
        <v>#N/A</v>
      </c>
      <c r="BY141" s="129" t="e">
        <f>VLOOKUP($D141,WGI!$C$2:$O$478,5,FALSE)</f>
        <v>#N/A</v>
      </c>
      <c r="BZ141" s="129" t="e">
        <f>VLOOKUP($D141,WGI!$C$2:$O$478,2,FALSE)</f>
        <v>#N/A</v>
      </c>
      <c r="CB141" s="129"/>
    </row>
    <row r="142" spans="1:80" s="158" customFormat="1" ht="15" customHeight="1">
      <c r="A142" s="295" t="s">
        <v>100</v>
      </c>
      <c r="B142" s="149">
        <v>2001</v>
      </c>
      <c r="C142" s="149" t="s">
        <v>101</v>
      </c>
      <c r="D142" s="117" t="s">
        <v>3788</v>
      </c>
      <c r="E142" s="149" t="s">
        <v>86</v>
      </c>
      <c r="F142" s="149"/>
      <c r="G142" s="117" t="s">
        <v>103</v>
      </c>
      <c r="H142" s="117" t="str">
        <f t="shared" si="23"/>
        <v>no</v>
      </c>
      <c r="I142" s="117" t="str">
        <f t="shared" si="24"/>
        <v>no</v>
      </c>
      <c r="J142" s="117" t="str">
        <f t="shared" si="25"/>
        <v>yes</v>
      </c>
      <c r="K142" s="188" t="s">
        <v>103</v>
      </c>
      <c r="L142" s="117" t="str">
        <f t="shared" si="27"/>
        <v>detailed</v>
      </c>
      <c r="M142" s="117" t="str">
        <f t="shared" si="26"/>
        <v>detailed Oil</v>
      </c>
      <c r="N142" s="150">
        <f>((39400000/365)*184)+((37400000/365)*181)</f>
        <v>38408219.17808219</v>
      </c>
      <c r="O142" s="211">
        <f>O141/N142</f>
        <v>0.30655223522362507</v>
      </c>
      <c r="P142" s="150">
        <f>((39400000/365)*184)+((37400000/365)*181)</f>
        <v>38408219.17808219</v>
      </c>
      <c r="Q142" s="150"/>
      <c r="R142" s="150"/>
      <c r="S142" s="149" t="s">
        <v>646</v>
      </c>
      <c r="T142" s="151">
        <f>((23.05/365)*184)+((23.74/365)*181)</f>
        <v>23.392164383561646</v>
      </c>
      <c r="U142" s="149" t="s">
        <v>673</v>
      </c>
      <c r="V142" s="149" t="s">
        <v>871</v>
      </c>
      <c r="W142" s="152">
        <f>N142*T142</f>
        <v>898451376.69356358</v>
      </c>
      <c r="X142" s="149"/>
      <c r="Y142" s="149"/>
      <c r="Z142" s="149"/>
      <c r="AA142" s="284"/>
      <c r="AB142" s="284"/>
      <c r="AC142" s="154"/>
      <c r="AD142" s="154"/>
      <c r="AE142" s="122"/>
      <c r="AF142" s="123"/>
      <c r="AG142" s="149"/>
      <c r="AH142" s="156"/>
      <c r="AI142" s="149"/>
      <c r="AJ142" s="149"/>
      <c r="AK142" s="149"/>
      <c r="AL142" s="149"/>
      <c r="AM142" s="149"/>
      <c r="AN142" s="149"/>
      <c r="AO142" s="149"/>
      <c r="AP142" s="149"/>
      <c r="AQ142" s="149"/>
      <c r="AR142" s="220"/>
      <c r="AS142" s="149"/>
      <c r="AT142" s="149"/>
      <c r="AU142" s="149" t="s">
        <v>872</v>
      </c>
      <c r="AV142" s="157"/>
      <c r="AW142" s="117">
        <f>VLOOKUP($D142,'WB Data'!$C$3:$M$578,2,FALSE)</f>
        <v>9633109256.7360611</v>
      </c>
      <c r="AX142" s="117">
        <f>VLOOKUP($D142,'WB Data'!$C$3:$M$578,3,FALSE)</f>
        <v>16350440</v>
      </c>
      <c r="AY142" s="847">
        <f t="shared" si="29"/>
        <v>7.5977628338329745E-2</v>
      </c>
      <c r="AZ142" s="117" t="e">
        <f>VLOOKUP($D142,'WB Data'!$C$3:$M$578,4,FALSE)/100</f>
        <v>#VALUE!</v>
      </c>
      <c r="BA142" s="117" t="str">
        <f t="shared" si="30"/>
        <v>..</v>
      </c>
      <c r="BB142" s="129">
        <f>IFERROR(VLOOKUP($D142,'EITI Revenues'!$C$2:$G$224,5,FALSE),"..")</f>
        <v>731900794.85081637</v>
      </c>
      <c r="BC142" s="846" t="str">
        <f t="shared" si="31"/>
        <v>..</v>
      </c>
      <c r="BD142" s="129">
        <f>VLOOKUP($D142,'WB Data 2'!$C$2:$K$545,6,FALSE)</f>
        <v>1001772693.4319685</v>
      </c>
      <c r="BE142" s="129" t="str">
        <f>IFERROR(VLOOKUP($D142,UNCTAD!$C$5:$V$529,4,FALSE),"..")</f>
        <v>..</v>
      </c>
      <c r="BF142" s="846" t="str">
        <f t="shared" si="32"/>
        <v>..</v>
      </c>
      <c r="BG142" s="117">
        <f>VLOOKUP($D142,'WB Data'!$C$3:$M$578,5,FALSE)</f>
        <v>457760000</v>
      </c>
      <c r="BH142" s="129">
        <f>IFERROR($BB142/$BG142,"..")</f>
        <v>1.5988745081501581</v>
      </c>
      <c r="BI142" s="117">
        <f>IFERROR(VLOOKUP($D142,'WB Data'!$C$3:$M$578,7,FALSE)/100,"..")</f>
        <v>2.6099500000000001E-2</v>
      </c>
      <c r="BJ142" s="117">
        <f>IFERROR($BI142*$AW142,"..")</f>
        <v>251419335.04618284</v>
      </c>
      <c r="BK142" s="846">
        <f>IFERROR($BB142/$BJ142,"..")</f>
        <v>2.9110760105875495</v>
      </c>
      <c r="BL142" s="117">
        <f>IFERROR(VLOOKUP($D142,'WB Data'!$C$3:$M$578,7,FALSE)/100,"..")</f>
        <v>2.6099500000000001E-2</v>
      </c>
      <c r="BM142" s="117">
        <f>IFERROR($AW142*$BL142,"..")</f>
        <v>251419335.04618284</v>
      </c>
      <c r="BN142" s="846">
        <f>IFERROR($BB142/$BM142,"..")</f>
        <v>2.9110760105875495</v>
      </c>
      <c r="BO142" s="801">
        <f t="shared" si="28"/>
        <v>27</v>
      </c>
      <c r="BP142" s="117">
        <f>VLOOKUP($D142,'WB Data'!$C$3:$M$578,9,FALSE)</f>
        <v>40.200000000000003</v>
      </c>
      <c r="BQ142" s="117">
        <f>VLOOKUP($D142,'WB Data'!$C$3:$M$578,10,FALSE)</f>
        <v>51.75719512195122</v>
      </c>
      <c r="BR142" s="117">
        <f>VLOOKUP($D142,'WB Data'!$C$3:$M$578,11,FALSE)</f>
        <v>89.8</v>
      </c>
      <c r="BS142" s="129" t="str">
        <f>IFERROR(VLOOKUP($D142,'WB Data 2'!$C$2:$K$545,9,FALSE),"..")</f>
        <v>..</v>
      </c>
      <c r="BT142" s="129">
        <f>_xlfn.IFNA(VLOOKUP($C142,RGI!$A$2:$C$43,2,FALSE),"..")</f>
        <v>41.8</v>
      </c>
      <c r="BU142" s="129">
        <f>_xlfn.IFNA(VLOOKUP($C142,RGI!$A$2:$C$43,3,FALSE),"..")</f>
        <v>34.155297028034767</v>
      </c>
      <c r="BV142" s="129" t="e">
        <f>VLOOKUP($D142,WGI!$C$2:$O$478,7,FALSE)</f>
        <v>#N/A</v>
      </c>
      <c r="BW142" s="129" t="e">
        <f>VLOOKUP($D142,WGI!$C$2:$O$478,4,FALSE)</f>
        <v>#N/A</v>
      </c>
      <c r="BX142" s="129" t="e">
        <f>VLOOKUP($D142,WGI!$C$2:$O$478,3,FALSE)</f>
        <v>#N/A</v>
      </c>
      <c r="BY142" s="129" t="e">
        <f>VLOOKUP($D142,WGI!$C$2:$O$478,5,FALSE)</f>
        <v>#N/A</v>
      </c>
      <c r="BZ142" s="129" t="e">
        <f>VLOOKUP($D142,WGI!$C$2:$O$478,2,FALSE)</f>
        <v>#N/A</v>
      </c>
      <c r="CB142" s="129"/>
    </row>
    <row r="143" spans="1:80" ht="15" customHeight="1">
      <c r="A143" s="294" t="s">
        <v>105</v>
      </c>
      <c r="B143" s="117">
        <v>2002</v>
      </c>
      <c r="C143" s="117" t="s">
        <v>101</v>
      </c>
      <c r="D143" s="117" t="s">
        <v>3388</v>
      </c>
      <c r="E143" s="117" t="s">
        <v>86</v>
      </c>
      <c r="F143" s="117" t="s">
        <v>863</v>
      </c>
      <c r="G143" s="132" t="s">
        <v>55</v>
      </c>
      <c r="H143" s="117" t="str">
        <f t="shared" si="23"/>
        <v>no</v>
      </c>
      <c r="I143" s="117" t="str">
        <f t="shared" si="24"/>
        <v>yes</v>
      </c>
      <c r="J143" s="117" t="str">
        <f t="shared" si="25"/>
        <v>yes</v>
      </c>
      <c r="K143" s="176" t="s">
        <v>709</v>
      </c>
      <c r="L143" s="117" t="str">
        <f t="shared" si="27"/>
        <v>Total</v>
      </c>
      <c r="M143" s="117" t="str">
        <f t="shared" si="26"/>
        <v>Total Oil, Gas</v>
      </c>
      <c r="N143" s="118"/>
      <c r="O143" s="118"/>
      <c r="P143" s="118"/>
      <c r="Q143" s="118"/>
      <c r="R143" s="118"/>
      <c r="S143" s="117"/>
      <c r="T143" s="119"/>
      <c r="U143" s="117"/>
      <c r="V143" s="117"/>
      <c r="W143" s="89">
        <f>SUM(W144:W145)</f>
        <v>606431056.06825197</v>
      </c>
      <c r="X143" s="120" t="s">
        <v>775</v>
      </c>
      <c r="Y143" s="117" t="s">
        <v>731</v>
      </c>
      <c r="Z143" s="117" t="s">
        <v>732</v>
      </c>
      <c r="AA143" s="286">
        <v>338323283.56164378</v>
      </c>
      <c r="AB143" s="177">
        <v>49056250</v>
      </c>
      <c r="AC143" s="178"/>
      <c r="AD143" s="178"/>
      <c r="AE143" s="184"/>
      <c r="AF143" s="224">
        <f>AA143/W143</f>
        <v>0.55789241031806014</v>
      </c>
      <c r="AG143" s="117" t="s">
        <v>864</v>
      </c>
      <c r="AH143" s="124" t="s">
        <v>865</v>
      </c>
      <c r="AI143" s="117" t="s">
        <v>667</v>
      </c>
      <c r="AJ143" s="117" t="s">
        <v>873</v>
      </c>
      <c r="AK143" s="89">
        <v>290931423.56164378</v>
      </c>
      <c r="AL143" s="89"/>
      <c r="AM143" s="117"/>
      <c r="AN143" s="117">
        <v>5</v>
      </c>
      <c r="AO143" s="117" t="s">
        <v>867</v>
      </c>
      <c r="AP143" s="117">
        <v>4</v>
      </c>
      <c r="AQ143" s="117" t="s">
        <v>102</v>
      </c>
      <c r="AR143" s="126">
        <v>41890</v>
      </c>
      <c r="AS143" s="117" t="s">
        <v>868</v>
      </c>
      <c r="AT143" s="117" t="s">
        <v>874</v>
      </c>
      <c r="AU143" s="117">
        <v>23</v>
      </c>
      <c r="AV143" s="128" t="s">
        <v>875</v>
      </c>
      <c r="AW143" s="117">
        <f>VLOOKUP($D143,'WB Data'!$C$3:$M$578,2,FALSE)</f>
        <v>10879778327.819414</v>
      </c>
      <c r="AX143" s="117">
        <f>VLOOKUP($D143,'WB Data'!$C$3:$M$578,3,FALSE)</f>
        <v>16782044</v>
      </c>
      <c r="AY143" s="847">
        <f t="shared" si="29"/>
        <v>3.1096523602558768E-2</v>
      </c>
      <c r="AZ143" s="117" t="e">
        <f>VLOOKUP($D143,'WB Data'!$C$3:$M$578,4,FALSE)/100</f>
        <v>#VALUE!</v>
      </c>
      <c r="BA143" s="117" t="str">
        <f t="shared" si="30"/>
        <v>..</v>
      </c>
      <c r="BB143" s="129">
        <f>IFERROR(VLOOKUP($D143,'EITI Revenues'!$C$2:$G$224,5,FALSE),"..")</f>
        <v>338323283.56164378</v>
      </c>
      <c r="BC143" s="846" t="str">
        <f t="shared" si="31"/>
        <v>..</v>
      </c>
      <c r="BD143" s="129">
        <f>VLOOKUP($D143,'WB Data 2'!$C$2:$K$545,6,FALSE)</f>
        <v>964276858.97462368</v>
      </c>
      <c r="BE143" s="129" t="str">
        <f>IFERROR(VLOOKUP($D143,UNCTAD!$C$5:$V$529,4,FALSE),"..")</f>
        <v>..</v>
      </c>
      <c r="BF143" s="846" t="str">
        <f t="shared" si="32"/>
        <v>..</v>
      </c>
      <c r="BG143" s="117">
        <f>VLOOKUP($D143,'WB Data'!$C$3:$M$578,5,FALSE)</f>
        <v>605850000</v>
      </c>
      <c r="BH143" s="129">
        <f>IFERROR($BB143/$BG143,"..")</f>
        <v>0.55842747142303173</v>
      </c>
      <c r="BI143" s="117" t="str">
        <f>IFERROR(VLOOKUP($D143,'WB Data'!$C$3:$M$578,7,FALSE)/100,"..")</f>
        <v>..</v>
      </c>
      <c r="BJ143" s="117" t="str">
        <f>IFERROR($BI143*$AW143,"..")</f>
        <v>..</v>
      </c>
      <c r="BK143" s="846" t="str">
        <f>IFERROR($BB143/$BJ143,"..")</f>
        <v>..</v>
      </c>
      <c r="BL143" s="117" t="str">
        <f>IFERROR(VLOOKUP($D143,'WB Data'!$C$3:$M$578,7,FALSE)/100,"..")</f>
        <v>..</v>
      </c>
      <c r="BM143" s="117" t="str">
        <f>IFERROR($AW143*$BL143,"..")</f>
        <v>..</v>
      </c>
      <c r="BN143" s="846" t="str">
        <f>IFERROR($BB143/$BM143,"..")</f>
        <v>..</v>
      </c>
      <c r="BO143" s="801">
        <f t="shared" si="28"/>
        <v>27</v>
      </c>
      <c r="BP143" s="117" t="str">
        <f>VLOOKUP($D143,'WB Data'!$C$3:$M$578,9,FALSE)</f>
        <v>..</v>
      </c>
      <c r="BQ143" s="117">
        <f>VLOOKUP($D143,'WB Data'!$C$3:$M$578,10,FALSE)</f>
        <v>51.655268292682933</v>
      </c>
      <c r="BR143" s="117">
        <f>VLOOKUP($D143,'WB Data'!$C$3:$M$578,11,FALSE)</f>
        <v>86.7</v>
      </c>
      <c r="BS143" s="129" t="str">
        <f>IFERROR(VLOOKUP($D143,'WB Data 2'!$C$2:$K$545,9,FALSE),"..")</f>
        <v>..</v>
      </c>
      <c r="BT143" s="129">
        <f>_xlfn.IFNA(VLOOKUP($C143,RGI!$A$2:$C$43,2,FALSE),"..")</f>
        <v>41.8</v>
      </c>
      <c r="BU143" s="129">
        <f>_xlfn.IFNA(VLOOKUP($C143,RGI!$A$2:$C$43,3,FALSE),"..")</f>
        <v>34.155297028034767</v>
      </c>
      <c r="BV143" s="129">
        <f>VLOOKUP($D143,WGI!$C$2:$O$478,7,FALSE)</f>
        <v>-1.17189450149964</v>
      </c>
      <c r="BW143" s="129">
        <f>VLOOKUP($D143,WGI!$C$2:$O$478,4,FALSE)</f>
        <v>-0.72211372928394602</v>
      </c>
      <c r="BX143" s="129">
        <f>VLOOKUP($D143,WGI!$C$2:$O$478,3,FALSE)</f>
        <v>-0.81811574150029898</v>
      </c>
      <c r="BY143" s="129">
        <f>VLOOKUP($D143,WGI!$C$2:$O$478,5,FALSE)</f>
        <v>-0.88629562661994599</v>
      </c>
      <c r="BZ143" s="129">
        <f>VLOOKUP($D143,WGI!$C$2:$O$478,2,FALSE)</f>
        <v>-1.08671016605835</v>
      </c>
    </row>
    <row r="144" spans="1:80" ht="15" customHeight="1">
      <c r="A144" s="294" t="s">
        <v>105</v>
      </c>
      <c r="B144" s="117">
        <v>2002</v>
      </c>
      <c r="C144" s="117" t="s">
        <v>101</v>
      </c>
      <c r="D144" s="117" t="s">
        <v>3388</v>
      </c>
      <c r="E144" s="117" t="s">
        <v>86</v>
      </c>
      <c r="F144" s="117"/>
      <c r="G144" s="117" t="s">
        <v>561</v>
      </c>
      <c r="H144" s="117" t="str">
        <f t="shared" si="23"/>
        <v>no</v>
      </c>
      <c r="I144" s="117" t="str">
        <f t="shared" si="24"/>
        <v>yes</v>
      </c>
      <c r="J144" s="117" t="str">
        <f t="shared" si="25"/>
        <v>no</v>
      </c>
      <c r="K144" s="176" t="s">
        <v>561</v>
      </c>
      <c r="L144" s="117" t="str">
        <f t="shared" si="27"/>
        <v>detailed</v>
      </c>
      <c r="M144" s="117" t="str">
        <f t="shared" si="26"/>
        <v>detailed Gas</v>
      </c>
      <c r="N144" s="179">
        <f>57000000000*0.0283168</f>
        <v>1614057600</v>
      </c>
      <c r="O144" s="118">
        <f>N144*0.0066</f>
        <v>10652780.16</v>
      </c>
      <c r="P144" s="179"/>
      <c r="Q144" s="179"/>
      <c r="R144" s="179"/>
      <c r="S144" s="117" t="s">
        <v>642</v>
      </c>
      <c r="T144" s="119">
        <v>9.8412999999999987E-2</v>
      </c>
      <c r="U144" s="117" t="s">
        <v>643</v>
      </c>
      <c r="V144" s="117" t="s">
        <v>870</v>
      </c>
      <c r="W144" s="89">
        <f>N144*T144</f>
        <v>158844250.58879998</v>
      </c>
      <c r="X144" s="117"/>
      <c r="Y144" s="117"/>
      <c r="Z144" s="117"/>
      <c r="AA144" s="211">
        <f>W144/W145</f>
        <v>0.3548903780097965</v>
      </c>
      <c r="AB144" s="177"/>
      <c r="AC144" s="177"/>
      <c r="AD144" s="177"/>
      <c r="AE144" s="122"/>
      <c r="AF144" s="123"/>
      <c r="AG144" s="117"/>
      <c r="AH144" s="124"/>
      <c r="AI144" s="117"/>
      <c r="AJ144" s="117"/>
      <c r="AK144" s="117"/>
      <c r="AL144" s="117"/>
      <c r="AM144" s="117"/>
      <c r="AN144" s="117"/>
      <c r="AO144" s="117"/>
      <c r="AP144" s="117"/>
      <c r="AQ144" s="117"/>
      <c r="AR144" s="126"/>
      <c r="AS144" s="117"/>
      <c r="AT144" s="117"/>
      <c r="AU144" s="117"/>
      <c r="AV144" s="128"/>
      <c r="AW144" s="117">
        <f>VLOOKUP($D144,'WB Data'!$C$3:$M$578,2,FALSE)</f>
        <v>10879778327.819414</v>
      </c>
      <c r="AX144" s="117">
        <f>VLOOKUP($D144,'WB Data'!$C$3:$M$578,3,FALSE)</f>
        <v>16782044</v>
      </c>
      <c r="AY144" s="847">
        <f t="shared" si="29"/>
        <v>3.1096523602558768E-2</v>
      </c>
      <c r="AZ144" s="117" t="e">
        <f>VLOOKUP($D144,'WB Data'!$C$3:$M$578,4,FALSE)/100</f>
        <v>#VALUE!</v>
      </c>
      <c r="BA144" s="117" t="str">
        <f t="shared" si="30"/>
        <v>..</v>
      </c>
      <c r="BB144" s="129">
        <f>IFERROR(VLOOKUP($D144,'EITI Revenues'!$C$2:$G$224,5,FALSE),"..")</f>
        <v>338323283.56164378</v>
      </c>
      <c r="BC144" s="846" t="str">
        <f t="shared" si="31"/>
        <v>..</v>
      </c>
      <c r="BD144" s="129">
        <f>VLOOKUP($D144,'WB Data 2'!$C$2:$K$545,6,FALSE)</f>
        <v>964276858.97462368</v>
      </c>
      <c r="BE144" s="129" t="str">
        <f>IFERROR(VLOOKUP($D144,UNCTAD!$C$5:$V$529,4,FALSE),"..")</f>
        <v>..</v>
      </c>
      <c r="BF144" s="846" t="str">
        <f t="shared" si="32"/>
        <v>..</v>
      </c>
      <c r="BG144" s="117">
        <f>VLOOKUP($D144,'WB Data'!$C$3:$M$578,5,FALSE)</f>
        <v>605850000</v>
      </c>
      <c r="BH144" s="129">
        <f>IFERROR($BB144/$BG144,"..")</f>
        <v>0.55842747142303173</v>
      </c>
      <c r="BI144" s="117" t="str">
        <f>IFERROR(VLOOKUP($D144,'WB Data'!$C$3:$M$578,7,FALSE)/100,"..")</f>
        <v>..</v>
      </c>
      <c r="BJ144" s="117" t="str">
        <f>IFERROR($BI144*$AW144,"..")</f>
        <v>..</v>
      </c>
      <c r="BK144" s="846" t="str">
        <f>IFERROR($BB144/$BJ144,"..")</f>
        <v>..</v>
      </c>
      <c r="BL144" s="117" t="str">
        <f>IFERROR(VLOOKUP($D144,'WB Data'!$C$3:$M$578,7,FALSE)/100,"..")</f>
        <v>..</v>
      </c>
      <c r="BM144" s="117" t="str">
        <f>IFERROR($AW144*$BL144,"..")</f>
        <v>..</v>
      </c>
      <c r="BN144" s="846" t="str">
        <f>IFERROR($BB144/$BM144,"..")</f>
        <v>..</v>
      </c>
      <c r="BO144" s="801">
        <f t="shared" si="28"/>
        <v>27</v>
      </c>
      <c r="BP144" s="117" t="str">
        <f>VLOOKUP($D144,'WB Data'!$C$3:$M$578,9,FALSE)</f>
        <v>..</v>
      </c>
      <c r="BQ144" s="117">
        <f>VLOOKUP($D144,'WB Data'!$C$3:$M$578,10,FALSE)</f>
        <v>51.655268292682933</v>
      </c>
      <c r="BR144" s="117">
        <f>VLOOKUP($D144,'WB Data'!$C$3:$M$578,11,FALSE)</f>
        <v>86.7</v>
      </c>
      <c r="BS144" s="129" t="str">
        <f>IFERROR(VLOOKUP($D144,'WB Data 2'!$C$2:$K$545,9,FALSE),"..")</f>
        <v>..</v>
      </c>
      <c r="BT144" s="129">
        <f>_xlfn.IFNA(VLOOKUP($C144,RGI!$A$2:$C$43,2,FALSE),"..")</f>
        <v>41.8</v>
      </c>
      <c r="BU144" s="129">
        <f>_xlfn.IFNA(VLOOKUP($C144,RGI!$A$2:$C$43,3,FALSE),"..")</f>
        <v>34.155297028034767</v>
      </c>
      <c r="BV144" s="129">
        <f>VLOOKUP($D144,WGI!$C$2:$O$478,7,FALSE)</f>
        <v>-1.17189450149964</v>
      </c>
      <c r="BW144" s="129">
        <f>VLOOKUP($D144,WGI!$C$2:$O$478,4,FALSE)</f>
        <v>-0.72211372928394602</v>
      </c>
      <c r="BX144" s="129">
        <f>VLOOKUP($D144,WGI!$C$2:$O$478,3,FALSE)</f>
        <v>-0.81811574150029898</v>
      </c>
      <c r="BY144" s="129">
        <f>VLOOKUP($D144,WGI!$C$2:$O$478,5,FALSE)</f>
        <v>-0.88629562661994599</v>
      </c>
      <c r="BZ144" s="129">
        <f>VLOOKUP($D144,WGI!$C$2:$O$478,2,FALSE)</f>
        <v>-1.08671016605835</v>
      </c>
    </row>
    <row r="145" spans="1:80" ht="15" customHeight="1">
      <c r="A145" s="294" t="s">
        <v>105</v>
      </c>
      <c r="B145" s="117">
        <v>2002</v>
      </c>
      <c r="C145" s="117" t="s">
        <v>101</v>
      </c>
      <c r="D145" s="117" t="s">
        <v>3388</v>
      </c>
      <c r="E145" s="117" t="s">
        <v>86</v>
      </c>
      <c r="F145" s="117"/>
      <c r="G145" s="117" t="s">
        <v>103</v>
      </c>
      <c r="H145" s="117" t="str">
        <f t="shared" si="23"/>
        <v>no</v>
      </c>
      <c r="I145" s="117" t="str">
        <f t="shared" si="24"/>
        <v>no</v>
      </c>
      <c r="J145" s="117" t="str">
        <f t="shared" si="25"/>
        <v>yes</v>
      </c>
      <c r="K145" s="176" t="s">
        <v>103</v>
      </c>
      <c r="L145" s="117" t="str">
        <f t="shared" si="27"/>
        <v>detailed</v>
      </c>
      <c r="M145" s="117" t="str">
        <f t="shared" si="26"/>
        <v>detailed Oil</v>
      </c>
      <c r="N145" s="118">
        <f>(37400000/365)*184</f>
        <v>18853698.630136985</v>
      </c>
      <c r="O145" s="211">
        <f>O144/N145</f>
        <v>0.56502336061381075</v>
      </c>
      <c r="P145" s="118">
        <f>(37400000/365)*184</f>
        <v>18853698.630136985</v>
      </c>
      <c r="Q145" s="118"/>
      <c r="R145" s="118"/>
      <c r="S145" s="117" t="s">
        <v>646</v>
      </c>
      <c r="T145" s="119">
        <v>23.74</v>
      </c>
      <c r="U145" s="117" t="s">
        <v>673</v>
      </c>
      <c r="V145" s="117" t="s">
        <v>871</v>
      </c>
      <c r="W145" s="89">
        <f>N145*T145</f>
        <v>447586805.47945201</v>
      </c>
      <c r="X145" s="117"/>
      <c r="Y145" s="117"/>
      <c r="Z145" s="117"/>
      <c r="AA145" s="177"/>
      <c r="AB145" s="177"/>
      <c r="AC145" s="122"/>
      <c r="AD145" s="122"/>
      <c r="AE145" s="122"/>
      <c r="AF145" s="123"/>
      <c r="AG145" s="117"/>
      <c r="AH145" s="124"/>
      <c r="AI145" s="117"/>
      <c r="AJ145" s="117"/>
      <c r="AK145" s="117"/>
      <c r="AL145" s="117"/>
      <c r="AM145" s="117"/>
      <c r="AN145" s="117"/>
      <c r="AO145" s="117"/>
      <c r="AP145" s="117"/>
      <c r="AQ145" s="117"/>
      <c r="AR145" s="126"/>
      <c r="AS145" s="117"/>
      <c r="AT145" s="117"/>
      <c r="AU145" s="117" t="s">
        <v>872</v>
      </c>
      <c r="AV145" s="128"/>
      <c r="AW145" s="117">
        <f>VLOOKUP($D145,'WB Data'!$C$3:$M$578,2,FALSE)</f>
        <v>10879778327.819414</v>
      </c>
      <c r="AX145" s="117">
        <f>VLOOKUP($D145,'WB Data'!$C$3:$M$578,3,FALSE)</f>
        <v>16782044</v>
      </c>
      <c r="AY145" s="847">
        <f t="shared" si="29"/>
        <v>3.1096523602558768E-2</v>
      </c>
      <c r="AZ145" s="117" t="e">
        <f>VLOOKUP($D145,'WB Data'!$C$3:$M$578,4,FALSE)/100</f>
        <v>#VALUE!</v>
      </c>
      <c r="BA145" s="117" t="str">
        <f t="shared" si="30"/>
        <v>..</v>
      </c>
      <c r="BB145" s="129">
        <f>IFERROR(VLOOKUP($D145,'EITI Revenues'!$C$2:$G$224,5,FALSE),"..")</f>
        <v>338323283.56164378</v>
      </c>
      <c r="BC145" s="846" t="str">
        <f t="shared" si="31"/>
        <v>..</v>
      </c>
      <c r="BD145" s="129">
        <f>VLOOKUP($D145,'WB Data 2'!$C$2:$K$545,6,FALSE)</f>
        <v>964276858.97462368</v>
      </c>
      <c r="BE145" s="129" t="str">
        <f>IFERROR(VLOOKUP($D145,UNCTAD!$C$5:$V$529,4,FALSE),"..")</f>
        <v>..</v>
      </c>
      <c r="BF145" s="846" t="str">
        <f t="shared" si="32"/>
        <v>..</v>
      </c>
      <c r="BG145" s="117">
        <f>VLOOKUP($D145,'WB Data'!$C$3:$M$578,5,FALSE)</f>
        <v>605850000</v>
      </c>
      <c r="BH145" s="129">
        <f>IFERROR($BB145/$BG145,"..")</f>
        <v>0.55842747142303173</v>
      </c>
      <c r="BI145" s="117" t="str">
        <f>IFERROR(VLOOKUP($D145,'WB Data'!$C$3:$M$578,7,FALSE)/100,"..")</f>
        <v>..</v>
      </c>
      <c r="BJ145" s="117" t="str">
        <f>IFERROR($BI145*$AW145,"..")</f>
        <v>..</v>
      </c>
      <c r="BK145" s="846" t="str">
        <f>IFERROR($BB145/$BJ145,"..")</f>
        <v>..</v>
      </c>
      <c r="BL145" s="117" t="str">
        <f>IFERROR(VLOOKUP($D145,'WB Data'!$C$3:$M$578,7,FALSE)/100,"..")</f>
        <v>..</v>
      </c>
      <c r="BM145" s="117" t="str">
        <f>IFERROR($AW145*$BL145,"..")</f>
        <v>..</v>
      </c>
      <c r="BN145" s="846" t="str">
        <f>IFERROR($BB145/$BM145,"..")</f>
        <v>..</v>
      </c>
      <c r="BO145" s="801">
        <f t="shared" si="28"/>
        <v>27</v>
      </c>
      <c r="BP145" s="117" t="str">
        <f>VLOOKUP($D145,'WB Data'!$C$3:$M$578,9,FALSE)</f>
        <v>..</v>
      </c>
      <c r="BQ145" s="117">
        <f>VLOOKUP($D145,'WB Data'!$C$3:$M$578,10,FALSE)</f>
        <v>51.655268292682933</v>
      </c>
      <c r="BR145" s="117">
        <f>VLOOKUP($D145,'WB Data'!$C$3:$M$578,11,FALSE)</f>
        <v>86.7</v>
      </c>
      <c r="BS145" s="129" t="str">
        <f>IFERROR(VLOOKUP($D145,'WB Data 2'!$C$2:$K$545,9,FALSE),"..")</f>
        <v>..</v>
      </c>
      <c r="BT145" s="129">
        <f>_xlfn.IFNA(VLOOKUP($C145,RGI!$A$2:$C$43,2,FALSE),"..")</f>
        <v>41.8</v>
      </c>
      <c r="BU145" s="129">
        <f>_xlfn.IFNA(VLOOKUP($C145,RGI!$A$2:$C$43,3,FALSE),"..")</f>
        <v>34.155297028034767</v>
      </c>
      <c r="BV145" s="129">
        <f>VLOOKUP($D145,WGI!$C$2:$O$478,7,FALSE)</f>
        <v>-1.17189450149964</v>
      </c>
      <c r="BW145" s="129">
        <f>VLOOKUP($D145,WGI!$C$2:$O$478,4,FALSE)</f>
        <v>-0.72211372928394602</v>
      </c>
      <c r="BX145" s="129">
        <f>VLOOKUP($D145,WGI!$C$2:$O$478,3,FALSE)</f>
        <v>-0.81811574150029898</v>
      </c>
      <c r="BY145" s="129">
        <f>VLOOKUP($D145,WGI!$C$2:$O$478,5,FALSE)</f>
        <v>-0.88629562661994599</v>
      </c>
      <c r="BZ145" s="129">
        <f>VLOOKUP($D145,WGI!$C$2:$O$478,2,FALSE)</f>
        <v>-1.08671016605835</v>
      </c>
    </row>
    <row r="146" spans="1:80" s="144" customFormat="1" ht="15" customHeight="1">
      <c r="A146" s="296" t="s">
        <v>106</v>
      </c>
      <c r="B146" s="132">
        <v>2003</v>
      </c>
      <c r="C146" s="132" t="s">
        <v>101</v>
      </c>
      <c r="D146" s="117" t="s">
        <v>3422</v>
      </c>
      <c r="E146" s="132" t="s">
        <v>86</v>
      </c>
      <c r="F146" s="132" t="s">
        <v>863</v>
      </c>
      <c r="G146" s="132" t="s">
        <v>55</v>
      </c>
      <c r="H146" s="117" t="str">
        <f t="shared" si="23"/>
        <v>no</v>
      </c>
      <c r="I146" s="117" t="str">
        <f t="shared" si="24"/>
        <v>yes</v>
      </c>
      <c r="J146" s="117" t="str">
        <f t="shared" si="25"/>
        <v>yes</v>
      </c>
      <c r="K146" s="182" t="s">
        <v>709</v>
      </c>
      <c r="L146" s="117" t="str">
        <f t="shared" si="27"/>
        <v>Total</v>
      </c>
      <c r="M146" s="117" t="str">
        <f t="shared" si="26"/>
        <v>Total Oil, Gas</v>
      </c>
      <c r="N146" s="133"/>
      <c r="O146" s="133"/>
      <c r="P146" s="133"/>
      <c r="Q146" s="133"/>
      <c r="R146" s="133"/>
      <c r="S146" s="132"/>
      <c r="T146" s="134"/>
      <c r="U146" s="132"/>
      <c r="V146" s="132"/>
      <c r="W146" s="135">
        <f>SUM(W147:W148)</f>
        <v>1211753205.4304001</v>
      </c>
      <c r="X146" s="144" t="s">
        <v>755</v>
      </c>
      <c r="Y146" s="132" t="s">
        <v>731</v>
      </c>
      <c r="Z146" s="132" t="s">
        <v>732</v>
      </c>
      <c r="AA146" s="297">
        <v>753768010</v>
      </c>
      <c r="AB146" s="160">
        <v>120983440</v>
      </c>
      <c r="AC146" s="184"/>
      <c r="AD146" s="184"/>
      <c r="AE146" s="184"/>
      <c r="AF146" s="224">
        <f>AA146/W146</f>
        <v>0.62204746529411548</v>
      </c>
      <c r="AG146" s="132" t="s">
        <v>864</v>
      </c>
      <c r="AH146" s="140" t="s">
        <v>865</v>
      </c>
      <c r="AI146" s="132" t="s">
        <v>667</v>
      </c>
      <c r="AJ146" s="132" t="s">
        <v>876</v>
      </c>
      <c r="AK146" s="135">
        <v>627556800</v>
      </c>
      <c r="AL146" s="135"/>
      <c r="AM146" s="132"/>
      <c r="AN146" s="132">
        <v>5</v>
      </c>
      <c r="AO146" s="132" t="s">
        <v>867</v>
      </c>
      <c r="AP146" s="132">
        <v>4</v>
      </c>
      <c r="AQ146" s="132" t="s">
        <v>102</v>
      </c>
      <c r="AR146" s="141">
        <v>41890</v>
      </c>
      <c r="AS146" s="132" t="s">
        <v>877</v>
      </c>
      <c r="AT146" s="132" t="s">
        <v>878</v>
      </c>
      <c r="AU146" s="132">
        <v>23</v>
      </c>
      <c r="AV146" s="143" t="s">
        <v>879</v>
      </c>
      <c r="AW146" s="117">
        <f>VLOOKUP($D146,'WB Data'!$C$3:$M$578,2,FALSE)</f>
        <v>13621738512.258066</v>
      </c>
      <c r="AX146" s="117">
        <f>VLOOKUP($D146,'WB Data'!$C$3:$M$578,3,FALSE)</f>
        <v>17223277</v>
      </c>
      <c r="AY146" s="847">
        <f t="shared" si="29"/>
        <v>5.533566874167286E-2</v>
      </c>
      <c r="AZ146" s="117" t="e">
        <f>VLOOKUP($D146,'WB Data'!$C$3:$M$578,4,FALSE)/100</f>
        <v>#VALUE!</v>
      </c>
      <c r="BA146" s="117" t="str">
        <f t="shared" si="30"/>
        <v>..</v>
      </c>
      <c r="BB146" s="129">
        <f>IFERROR(VLOOKUP($D146,'EITI Revenues'!$C$2:$G$224,5,FALSE),"..")</f>
        <v>753768010</v>
      </c>
      <c r="BC146" s="846" t="str">
        <f t="shared" si="31"/>
        <v>..</v>
      </c>
      <c r="BD146" s="129">
        <f>VLOOKUP($D146,'WB Data 2'!$C$2:$K$545,6,FALSE)</f>
        <v>1209086079.2969851</v>
      </c>
      <c r="BE146" s="129" t="str">
        <f>IFERROR(VLOOKUP($D146,UNCTAD!$C$5:$V$529,4,FALSE),"..")</f>
        <v>..</v>
      </c>
      <c r="BF146" s="846" t="str">
        <f t="shared" si="32"/>
        <v>..</v>
      </c>
      <c r="BG146" s="117">
        <f>VLOOKUP($D146,'WB Data'!$C$3:$M$578,5,FALSE)</f>
        <v>885980000</v>
      </c>
      <c r="BH146" s="129">
        <f>IFERROR($BB146/$BG146,"..")</f>
        <v>0.85077316643716561</v>
      </c>
      <c r="BI146" s="117">
        <f>IFERROR(VLOOKUP($D146,'WB Data'!$C$3:$M$578,7,FALSE)/100,"..")</f>
        <v>3.3017999999999999E-2</v>
      </c>
      <c r="BJ146" s="117">
        <f>IFERROR($BI146*$AW146,"..")</f>
        <v>449762562.1977368</v>
      </c>
      <c r="BK146" s="846">
        <f>IFERROR($BB146/$BJ146,"..")</f>
        <v>1.6759243061867122</v>
      </c>
      <c r="BL146" s="117">
        <f>IFERROR(VLOOKUP($D146,'WB Data'!$C$3:$M$578,7,FALSE)/100,"..")</f>
        <v>3.3017999999999999E-2</v>
      </c>
      <c r="BM146" s="117">
        <f>IFERROR($AW146*$BL146,"..")</f>
        <v>449762562.1977368</v>
      </c>
      <c r="BN146" s="846">
        <f>IFERROR($BB146/$BM146,"..")</f>
        <v>1.6759243061867122</v>
      </c>
      <c r="BO146" s="801">
        <f t="shared" si="28"/>
        <v>27</v>
      </c>
      <c r="BP146" s="117" t="str">
        <f>VLOOKUP($D146,'WB Data'!$C$3:$M$578,9,FALSE)</f>
        <v>..</v>
      </c>
      <c r="BQ146" s="117">
        <f>VLOOKUP($D146,'WB Data'!$C$3:$M$578,10,FALSE)</f>
        <v>51.639048780487812</v>
      </c>
      <c r="BR146" s="117">
        <f>VLOOKUP($D146,'WB Data'!$C$3:$M$578,11,FALSE)</f>
        <v>83.6</v>
      </c>
      <c r="BS146" s="129" t="str">
        <f>IFERROR(VLOOKUP($D146,'WB Data 2'!$C$2:$K$545,9,FALSE),"..")</f>
        <v>..</v>
      </c>
      <c r="BT146" s="129">
        <f>_xlfn.IFNA(VLOOKUP($C146,RGI!$A$2:$C$43,2,FALSE),"..")</f>
        <v>41.8</v>
      </c>
      <c r="BU146" s="129">
        <f>_xlfn.IFNA(VLOOKUP($C146,RGI!$A$2:$C$43,3,FALSE),"..")</f>
        <v>34.155297028034767</v>
      </c>
      <c r="BV146" s="129">
        <f>VLOOKUP($D146,WGI!$C$2:$O$478,7,FALSE)</f>
        <v>-1.1150972263310801</v>
      </c>
      <c r="BW146" s="129">
        <f>VLOOKUP($D146,WGI!$C$2:$O$478,4,FALSE)</f>
        <v>-0.47007963485950599</v>
      </c>
      <c r="BX146" s="129">
        <f>VLOOKUP($D146,WGI!$C$2:$O$478,3,FALSE)</f>
        <v>-0.65344354487143197</v>
      </c>
      <c r="BY146" s="129">
        <f>VLOOKUP($D146,WGI!$C$2:$O$478,5,FALSE)</f>
        <v>-0.83103053297366403</v>
      </c>
      <c r="BZ146" s="129">
        <f>VLOOKUP($D146,WGI!$C$2:$O$478,2,FALSE)</f>
        <v>-0.86248062128245095</v>
      </c>
      <c r="CB146" s="129"/>
    </row>
    <row r="147" spans="1:80" s="120" customFormat="1" ht="15" customHeight="1">
      <c r="A147" s="294" t="s">
        <v>106</v>
      </c>
      <c r="B147" s="117">
        <v>2003</v>
      </c>
      <c r="C147" s="117" t="s">
        <v>101</v>
      </c>
      <c r="D147" s="117" t="s">
        <v>3422</v>
      </c>
      <c r="E147" s="117" t="s">
        <v>86</v>
      </c>
      <c r="F147" s="117"/>
      <c r="G147" s="117" t="s">
        <v>561</v>
      </c>
      <c r="H147" s="117" t="str">
        <f t="shared" si="23"/>
        <v>no</v>
      </c>
      <c r="I147" s="117" t="str">
        <f t="shared" si="24"/>
        <v>yes</v>
      </c>
      <c r="J147" s="117" t="str">
        <f t="shared" si="25"/>
        <v>no</v>
      </c>
      <c r="K147" s="176" t="s">
        <v>561</v>
      </c>
      <c r="L147" s="117" t="str">
        <f t="shared" si="27"/>
        <v>detailed</v>
      </c>
      <c r="M147" s="117" t="str">
        <f t="shared" si="26"/>
        <v>detailed Gas</v>
      </c>
      <c r="N147" s="179">
        <f>53000000000*0.0283168</f>
        <v>1500790400</v>
      </c>
      <c r="O147" s="118">
        <f>N147*0.0066</f>
        <v>9905216.6400000006</v>
      </c>
      <c r="P147" s="179"/>
      <c r="Q147" s="179"/>
      <c r="R147" s="179"/>
      <c r="S147" s="117" t="s">
        <v>642</v>
      </c>
      <c r="T147" s="119">
        <v>0.16410100000000002</v>
      </c>
      <c r="U147" s="117" t="s">
        <v>643</v>
      </c>
      <c r="V147" s="117" t="s">
        <v>880</v>
      </c>
      <c r="W147" s="89">
        <f>N147*T147</f>
        <v>246281205.43040004</v>
      </c>
      <c r="X147" s="117"/>
      <c r="Y147" s="117"/>
      <c r="Z147" s="117"/>
      <c r="AA147" s="211">
        <f>W147/W148</f>
        <v>0.25508891550495516</v>
      </c>
      <c r="AB147" s="177"/>
      <c r="AC147" s="122"/>
      <c r="AD147" s="122"/>
      <c r="AE147" s="122"/>
      <c r="AF147" s="123"/>
      <c r="AG147" s="117"/>
      <c r="AH147" s="124"/>
      <c r="AI147" s="117"/>
      <c r="AJ147" s="117"/>
      <c r="AK147" s="117"/>
      <c r="AL147" s="117"/>
      <c r="AM147" s="117"/>
      <c r="AN147" s="117"/>
      <c r="AO147" s="117"/>
      <c r="AP147" s="117"/>
      <c r="AQ147" s="117"/>
      <c r="AR147" s="126"/>
      <c r="AS147" s="117"/>
      <c r="AT147" s="117"/>
      <c r="AU147" s="117"/>
      <c r="AV147" s="128"/>
      <c r="AW147" s="117">
        <f>VLOOKUP($D147,'WB Data'!$C$3:$M$578,2,FALSE)</f>
        <v>13621738512.258066</v>
      </c>
      <c r="AX147" s="117">
        <f>VLOOKUP($D147,'WB Data'!$C$3:$M$578,3,FALSE)</f>
        <v>17223277</v>
      </c>
      <c r="AY147" s="847">
        <f t="shared" si="29"/>
        <v>5.533566874167286E-2</v>
      </c>
      <c r="AZ147" s="117" t="e">
        <f>VLOOKUP($D147,'WB Data'!$C$3:$M$578,4,FALSE)/100</f>
        <v>#VALUE!</v>
      </c>
      <c r="BA147" s="117" t="str">
        <f t="shared" si="30"/>
        <v>..</v>
      </c>
      <c r="BB147" s="129">
        <f>IFERROR(VLOOKUP($D147,'EITI Revenues'!$C$2:$G$224,5,FALSE),"..")</f>
        <v>753768010</v>
      </c>
      <c r="BC147" s="846" t="str">
        <f t="shared" si="31"/>
        <v>..</v>
      </c>
      <c r="BD147" s="129">
        <f>VLOOKUP($D147,'WB Data 2'!$C$2:$K$545,6,FALSE)</f>
        <v>1209086079.2969851</v>
      </c>
      <c r="BE147" s="129" t="str">
        <f>IFERROR(VLOOKUP($D147,UNCTAD!$C$5:$V$529,4,FALSE),"..")</f>
        <v>..</v>
      </c>
      <c r="BF147" s="846" t="str">
        <f t="shared" si="32"/>
        <v>..</v>
      </c>
      <c r="BG147" s="117">
        <f>VLOOKUP($D147,'WB Data'!$C$3:$M$578,5,FALSE)</f>
        <v>885980000</v>
      </c>
      <c r="BH147" s="129">
        <f>IFERROR($BB147/$BG147,"..")</f>
        <v>0.85077316643716561</v>
      </c>
      <c r="BI147" s="117">
        <f>IFERROR(VLOOKUP($D147,'WB Data'!$C$3:$M$578,7,FALSE)/100,"..")</f>
        <v>3.3017999999999999E-2</v>
      </c>
      <c r="BJ147" s="117">
        <f>IFERROR($BI147*$AW147,"..")</f>
        <v>449762562.1977368</v>
      </c>
      <c r="BK147" s="846">
        <f>IFERROR($BB147/$BJ147,"..")</f>
        <v>1.6759243061867122</v>
      </c>
      <c r="BL147" s="117">
        <f>IFERROR(VLOOKUP($D147,'WB Data'!$C$3:$M$578,7,FALSE)/100,"..")</f>
        <v>3.3017999999999999E-2</v>
      </c>
      <c r="BM147" s="117">
        <f>IFERROR($AW147*$BL147,"..")</f>
        <v>449762562.1977368</v>
      </c>
      <c r="BN147" s="846">
        <f>IFERROR($BB147/$BM147,"..")</f>
        <v>1.6759243061867122</v>
      </c>
      <c r="BO147" s="801">
        <f t="shared" si="28"/>
        <v>27</v>
      </c>
      <c r="BP147" s="117" t="str">
        <f>VLOOKUP($D147,'WB Data'!$C$3:$M$578,9,FALSE)</f>
        <v>..</v>
      </c>
      <c r="BQ147" s="117">
        <f>VLOOKUP($D147,'WB Data'!$C$3:$M$578,10,FALSE)</f>
        <v>51.639048780487812</v>
      </c>
      <c r="BR147" s="117">
        <f>VLOOKUP($D147,'WB Data'!$C$3:$M$578,11,FALSE)</f>
        <v>83.6</v>
      </c>
      <c r="BS147" s="129" t="str">
        <f>IFERROR(VLOOKUP($D147,'WB Data 2'!$C$2:$K$545,9,FALSE),"..")</f>
        <v>..</v>
      </c>
      <c r="BT147" s="129">
        <f>_xlfn.IFNA(VLOOKUP($C147,RGI!$A$2:$C$43,2,FALSE),"..")</f>
        <v>41.8</v>
      </c>
      <c r="BU147" s="129">
        <f>_xlfn.IFNA(VLOOKUP($C147,RGI!$A$2:$C$43,3,FALSE),"..")</f>
        <v>34.155297028034767</v>
      </c>
      <c r="BV147" s="129">
        <f>VLOOKUP($D147,WGI!$C$2:$O$478,7,FALSE)</f>
        <v>-1.1150972263310801</v>
      </c>
      <c r="BW147" s="129">
        <f>VLOOKUP($D147,WGI!$C$2:$O$478,4,FALSE)</f>
        <v>-0.47007963485950599</v>
      </c>
      <c r="BX147" s="129">
        <f>VLOOKUP($D147,WGI!$C$2:$O$478,3,FALSE)</f>
        <v>-0.65344354487143197</v>
      </c>
      <c r="BY147" s="129">
        <f>VLOOKUP($D147,WGI!$C$2:$O$478,5,FALSE)</f>
        <v>-0.83103053297366403</v>
      </c>
      <c r="BZ147" s="129">
        <f>VLOOKUP($D147,WGI!$C$2:$O$478,2,FALSE)</f>
        <v>-0.86248062128245095</v>
      </c>
      <c r="CB147" s="129"/>
    </row>
    <row r="148" spans="1:80" s="158" customFormat="1" ht="15" customHeight="1">
      <c r="A148" s="295" t="s">
        <v>106</v>
      </c>
      <c r="B148" s="149">
        <v>2003</v>
      </c>
      <c r="C148" s="149" t="s">
        <v>101</v>
      </c>
      <c r="D148" s="117" t="s">
        <v>3422</v>
      </c>
      <c r="E148" s="149" t="s">
        <v>86</v>
      </c>
      <c r="F148" s="149"/>
      <c r="G148" s="117" t="s">
        <v>103</v>
      </c>
      <c r="H148" s="117" t="str">
        <f t="shared" si="23"/>
        <v>no</v>
      </c>
      <c r="I148" s="117" t="str">
        <f t="shared" si="24"/>
        <v>no</v>
      </c>
      <c r="J148" s="117" t="str">
        <f t="shared" si="25"/>
        <v>yes</v>
      </c>
      <c r="K148" s="188" t="s">
        <v>103</v>
      </c>
      <c r="L148" s="117" t="str">
        <f t="shared" si="27"/>
        <v>detailed</v>
      </c>
      <c r="M148" s="117" t="str">
        <f t="shared" si="26"/>
        <v>detailed Oil</v>
      </c>
      <c r="N148" s="150">
        <v>35600000</v>
      </c>
      <c r="O148" s="211">
        <f>O147/N148</f>
        <v>0.27823642247191011</v>
      </c>
      <c r="P148" s="150">
        <v>35600000</v>
      </c>
      <c r="Q148" s="150"/>
      <c r="R148" s="150"/>
      <c r="S148" s="149" t="s">
        <v>646</v>
      </c>
      <c r="T148" s="151">
        <v>27.12</v>
      </c>
      <c r="U148" s="149" t="s">
        <v>673</v>
      </c>
      <c r="V148" s="149" t="s">
        <v>881</v>
      </c>
      <c r="W148" s="152">
        <f>N148*T148</f>
        <v>965472000</v>
      </c>
      <c r="X148" s="149"/>
      <c r="Y148" s="149"/>
      <c r="Z148" s="149"/>
      <c r="AA148" s="284"/>
      <c r="AB148" s="284"/>
      <c r="AC148" s="154"/>
      <c r="AD148" s="154"/>
      <c r="AE148" s="122"/>
      <c r="AF148" s="155"/>
      <c r="AG148" s="149"/>
      <c r="AH148" s="156"/>
      <c r="AI148" s="149"/>
      <c r="AJ148" s="149"/>
      <c r="AK148" s="149"/>
      <c r="AL148" s="149"/>
      <c r="AM148" s="149"/>
      <c r="AN148" s="149"/>
      <c r="AO148" s="149"/>
      <c r="AP148" s="149"/>
      <c r="AQ148" s="149"/>
      <c r="AR148" s="220"/>
      <c r="AS148" s="149"/>
      <c r="AT148" s="149"/>
      <c r="AU148" s="149" t="s">
        <v>872</v>
      </c>
      <c r="AV148" s="157"/>
      <c r="AW148" s="117">
        <f>VLOOKUP($D148,'WB Data'!$C$3:$M$578,2,FALSE)</f>
        <v>13621738512.258066</v>
      </c>
      <c r="AX148" s="117">
        <f>VLOOKUP($D148,'WB Data'!$C$3:$M$578,3,FALSE)</f>
        <v>17223277</v>
      </c>
      <c r="AY148" s="847">
        <f t="shared" si="29"/>
        <v>5.533566874167286E-2</v>
      </c>
      <c r="AZ148" s="117" t="e">
        <f>VLOOKUP($D148,'WB Data'!$C$3:$M$578,4,FALSE)/100</f>
        <v>#VALUE!</v>
      </c>
      <c r="BA148" s="117" t="str">
        <f t="shared" si="30"/>
        <v>..</v>
      </c>
      <c r="BB148" s="129">
        <f>IFERROR(VLOOKUP($D148,'EITI Revenues'!$C$2:$G$224,5,FALSE),"..")</f>
        <v>753768010</v>
      </c>
      <c r="BC148" s="846" t="str">
        <f t="shared" si="31"/>
        <v>..</v>
      </c>
      <c r="BD148" s="129">
        <f>VLOOKUP($D148,'WB Data 2'!$C$2:$K$545,6,FALSE)</f>
        <v>1209086079.2969851</v>
      </c>
      <c r="BE148" s="129" t="str">
        <f>IFERROR(VLOOKUP($D148,UNCTAD!$C$5:$V$529,4,FALSE),"..")</f>
        <v>..</v>
      </c>
      <c r="BF148" s="846" t="str">
        <f t="shared" si="32"/>
        <v>..</v>
      </c>
      <c r="BG148" s="117">
        <f>VLOOKUP($D148,'WB Data'!$C$3:$M$578,5,FALSE)</f>
        <v>885980000</v>
      </c>
      <c r="BH148" s="129">
        <f>IFERROR($BB148/$BG148,"..")</f>
        <v>0.85077316643716561</v>
      </c>
      <c r="BI148" s="117">
        <f>IFERROR(VLOOKUP($D148,'WB Data'!$C$3:$M$578,7,FALSE)/100,"..")</f>
        <v>3.3017999999999999E-2</v>
      </c>
      <c r="BJ148" s="117">
        <f>IFERROR($BI148*$AW148,"..")</f>
        <v>449762562.1977368</v>
      </c>
      <c r="BK148" s="846">
        <f>IFERROR($BB148/$BJ148,"..")</f>
        <v>1.6759243061867122</v>
      </c>
      <c r="BL148" s="117">
        <f>IFERROR(VLOOKUP($D148,'WB Data'!$C$3:$M$578,7,FALSE)/100,"..")</f>
        <v>3.3017999999999999E-2</v>
      </c>
      <c r="BM148" s="117">
        <f>IFERROR($AW148*$BL148,"..")</f>
        <v>449762562.1977368</v>
      </c>
      <c r="BN148" s="846">
        <f>IFERROR($BB148/$BM148,"..")</f>
        <v>1.6759243061867122</v>
      </c>
      <c r="BO148" s="801">
        <f t="shared" si="28"/>
        <v>27</v>
      </c>
      <c r="BP148" s="117" t="str">
        <f>VLOOKUP($D148,'WB Data'!$C$3:$M$578,9,FALSE)</f>
        <v>..</v>
      </c>
      <c r="BQ148" s="117">
        <f>VLOOKUP($D148,'WB Data'!$C$3:$M$578,10,FALSE)</f>
        <v>51.639048780487812</v>
      </c>
      <c r="BR148" s="117">
        <f>VLOOKUP($D148,'WB Data'!$C$3:$M$578,11,FALSE)</f>
        <v>83.6</v>
      </c>
      <c r="BS148" s="129" t="str">
        <f>IFERROR(VLOOKUP($D148,'WB Data 2'!$C$2:$K$545,9,FALSE),"..")</f>
        <v>..</v>
      </c>
      <c r="BT148" s="129">
        <f>_xlfn.IFNA(VLOOKUP($C148,RGI!$A$2:$C$43,2,FALSE),"..")</f>
        <v>41.8</v>
      </c>
      <c r="BU148" s="129">
        <f>_xlfn.IFNA(VLOOKUP($C148,RGI!$A$2:$C$43,3,FALSE),"..")</f>
        <v>34.155297028034767</v>
      </c>
      <c r="BV148" s="129">
        <f>VLOOKUP($D148,WGI!$C$2:$O$478,7,FALSE)</f>
        <v>-1.1150972263310801</v>
      </c>
      <c r="BW148" s="129">
        <f>VLOOKUP($D148,WGI!$C$2:$O$478,4,FALSE)</f>
        <v>-0.47007963485950599</v>
      </c>
      <c r="BX148" s="129">
        <f>VLOOKUP($D148,WGI!$C$2:$O$478,3,FALSE)</f>
        <v>-0.65344354487143197</v>
      </c>
      <c r="BY148" s="129">
        <f>VLOOKUP($D148,WGI!$C$2:$O$478,5,FALSE)</f>
        <v>-0.83103053297366403</v>
      </c>
      <c r="BZ148" s="129">
        <f>VLOOKUP($D148,WGI!$C$2:$O$478,2,FALSE)</f>
        <v>-0.86248062128245095</v>
      </c>
      <c r="CB148" s="129"/>
    </row>
    <row r="149" spans="1:80" ht="15" customHeight="1">
      <c r="A149" s="294" t="s">
        <v>107</v>
      </c>
      <c r="B149" s="117">
        <v>2004</v>
      </c>
      <c r="C149" s="117" t="s">
        <v>101</v>
      </c>
      <c r="D149" s="117" t="s">
        <v>3456</v>
      </c>
      <c r="E149" s="117" t="s">
        <v>86</v>
      </c>
      <c r="F149" s="117" t="s">
        <v>863</v>
      </c>
      <c r="G149" s="132" t="s">
        <v>55</v>
      </c>
      <c r="H149" s="117" t="str">
        <f t="shared" si="23"/>
        <v>no</v>
      </c>
      <c r="I149" s="117" t="str">
        <f t="shared" si="24"/>
        <v>yes</v>
      </c>
      <c r="J149" s="117" t="str">
        <f t="shared" si="25"/>
        <v>yes</v>
      </c>
      <c r="K149" s="176" t="s">
        <v>709</v>
      </c>
      <c r="L149" s="117" t="str">
        <f t="shared" si="27"/>
        <v>Total</v>
      </c>
      <c r="M149" s="117" t="str">
        <f t="shared" si="26"/>
        <v>Total Oil, Gas</v>
      </c>
      <c r="N149" s="118"/>
      <c r="O149" s="118"/>
      <c r="P149" s="118"/>
      <c r="Q149" s="118"/>
      <c r="R149" s="118"/>
      <c r="S149" s="117"/>
      <c r="T149" s="119"/>
      <c r="U149" s="117"/>
      <c r="V149" s="117"/>
      <c r="W149" s="89">
        <f>SUM(W150:W151)</f>
        <v>1525801114.368</v>
      </c>
      <c r="X149" s="120" t="s">
        <v>755</v>
      </c>
      <c r="Y149" s="117" t="s">
        <v>731</v>
      </c>
      <c r="Z149" s="117" t="s">
        <v>732</v>
      </c>
      <c r="AA149" s="286">
        <v>954798250</v>
      </c>
      <c r="AB149" s="177">
        <v>172493250</v>
      </c>
      <c r="AC149" s="122"/>
      <c r="AD149" s="122"/>
      <c r="AE149" s="184"/>
      <c r="AF149" s="224">
        <f>AA149/W149</f>
        <v>0.62576848385347106</v>
      </c>
      <c r="AG149" s="117" t="s">
        <v>864</v>
      </c>
      <c r="AH149" s="124" t="s">
        <v>865</v>
      </c>
      <c r="AI149" s="117" t="s">
        <v>667</v>
      </c>
      <c r="AJ149" s="117" t="s">
        <v>882</v>
      </c>
      <c r="AK149" s="89">
        <v>790175100</v>
      </c>
      <c r="AL149" s="89"/>
      <c r="AM149" s="117"/>
      <c r="AN149" s="117">
        <v>5</v>
      </c>
      <c r="AO149" s="117" t="s">
        <v>867</v>
      </c>
      <c r="AP149" s="117">
        <v>4</v>
      </c>
      <c r="AQ149" s="117" t="s">
        <v>102</v>
      </c>
      <c r="AR149" s="126">
        <v>41890</v>
      </c>
      <c r="AS149" s="117" t="s">
        <v>868</v>
      </c>
      <c r="AT149" s="117" t="s">
        <v>883</v>
      </c>
      <c r="AU149" s="117">
        <v>23</v>
      </c>
      <c r="AV149" s="128" t="s">
        <v>884</v>
      </c>
      <c r="AW149" s="117">
        <f>VLOOKUP($D149,'WB Data'!$C$3:$M$578,2,FALSE)</f>
        <v>15775356736.764538</v>
      </c>
      <c r="AX149" s="117">
        <f>VLOOKUP($D149,'WB Data'!$C$3:$M$578,3,FALSE)</f>
        <v>17674960</v>
      </c>
      <c r="AY149" s="847">
        <f t="shared" si="29"/>
        <v>6.0524669326484294E-2</v>
      </c>
      <c r="AZ149" s="117" t="e">
        <f>VLOOKUP($D149,'WB Data'!$C$3:$M$578,4,FALSE)/100</f>
        <v>#VALUE!</v>
      </c>
      <c r="BA149" s="117" t="str">
        <f t="shared" si="30"/>
        <v>..</v>
      </c>
      <c r="BB149" s="129">
        <f>IFERROR(VLOOKUP($D149,'EITI Revenues'!$C$2:$G$224,5,FALSE),"..")</f>
        <v>954798250</v>
      </c>
      <c r="BC149" s="846" t="str">
        <f t="shared" si="31"/>
        <v>..</v>
      </c>
      <c r="BD149" s="129">
        <f>VLOOKUP($D149,'WB Data 2'!$C$2:$K$545,6,FALSE)</f>
        <v>1281647908.7828979</v>
      </c>
      <c r="BE149" s="129" t="str">
        <f>IFERROR(VLOOKUP($D149,UNCTAD!$C$5:$V$529,4,FALSE),"..")</f>
        <v>..</v>
      </c>
      <c r="BF149" s="846" t="str">
        <f t="shared" si="32"/>
        <v>..</v>
      </c>
      <c r="BG149" s="117">
        <f>VLOOKUP($D149,'WB Data'!$C$3:$M$578,5,FALSE)</f>
        <v>790660000</v>
      </c>
      <c r="BH149" s="129">
        <f>IFERROR($BB149/$BG149,"..")</f>
        <v>1.2075965016568437</v>
      </c>
      <c r="BI149" s="117">
        <f>IFERROR(VLOOKUP($D149,'WB Data'!$C$3:$M$578,7,FALSE)/100,"..")</f>
        <v>3.3299099999999998E-2</v>
      </c>
      <c r="BJ149" s="117">
        <f>IFERROR($BI149*$AW149,"..")</f>
        <v>525305181.51319599</v>
      </c>
      <c r="BK149" s="846">
        <f>IFERROR($BB149/$BJ149,"..")</f>
        <v>1.8176067619390404</v>
      </c>
      <c r="BL149" s="117">
        <f>IFERROR(VLOOKUP($D149,'WB Data'!$C$3:$M$578,7,FALSE)/100,"..")</f>
        <v>3.3299099999999998E-2</v>
      </c>
      <c r="BM149" s="117">
        <f>IFERROR($AW149*$BL149,"..")</f>
        <v>525305181.51319599</v>
      </c>
      <c r="BN149" s="846">
        <f>IFERROR($BB149/$BM149,"..")</f>
        <v>1.8176067619390404</v>
      </c>
      <c r="BO149" s="801">
        <f t="shared" si="28"/>
        <v>27</v>
      </c>
      <c r="BP149" s="117" t="str">
        <f>VLOOKUP($D149,'WB Data'!$C$3:$M$578,9,FALSE)</f>
        <v>..</v>
      </c>
      <c r="BQ149" s="117">
        <f>VLOOKUP($D149,'WB Data'!$C$3:$M$578,10,FALSE)</f>
        <v>51.716487804878049</v>
      </c>
      <c r="BR149" s="117">
        <f>VLOOKUP($D149,'WB Data'!$C$3:$M$578,11,FALSE)</f>
        <v>80.7</v>
      </c>
      <c r="BS149" s="129" t="str">
        <f>IFERROR(VLOOKUP($D149,'WB Data 2'!$C$2:$K$545,9,FALSE),"..")</f>
        <v>..</v>
      </c>
      <c r="BT149" s="129">
        <f>_xlfn.IFNA(VLOOKUP($C149,RGI!$A$2:$C$43,2,FALSE),"..")</f>
        <v>41.8</v>
      </c>
      <c r="BU149" s="129">
        <f>_xlfn.IFNA(VLOOKUP($C149,RGI!$A$2:$C$43,3,FALSE),"..")</f>
        <v>34.155297028034767</v>
      </c>
      <c r="BV149" s="129">
        <f>VLOOKUP($D149,WGI!$C$2:$O$478,7,FALSE)</f>
        <v>-0.98623903413653502</v>
      </c>
      <c r="BW149" s="129">
        <f>VLOOKUP($D149,WGI!$C$2:$O$478,4,FALSE)</f>
        <v>-0.39775625190285202</v>
      </c>
      <c r="BX149" s="129">
        <f>VLOOKUP($D149,WGI!$C$2:$O$478,3,FALSE)</f>
        <v>-0.69789056431586705</v>
      </c>
      <c r="BY149" s="129">
        <f>VLOOKUP($D149,WGI!$C$2:$O$478,5,FALSE)</f>
        <v>-0.67993853266652604</v>
      </c>
      <c r="BZ149" s="129">
        <f>VLOOKUP($D149,WGI!$C$2:$O$478,2,FALSE)</f>
        <v>-1.0729613994724601</v>
      </c>
    </row>
    <row r="150" spans="1:80" ht="15" customHeight="1">
      <c r="A150" s="294" t="s">
        <v>107</v>
      </c>
      <c r="B150" s="117">
        <v>2004</v>
      </c>
      <c r="C150" s="117" t="s">
        <v>101</v>
      </c>
      <c r="D150" s="117" t="s">
        <v>3456</v>
      </c>
      <c r="E150" s="117" t="s">
        <v>86</v>
      </c>
      <c r="F150" s="117"/>
      <c r="G150" s="117" t="s">
        <v>561</v>
      </c>
      <c r="H150" s="117" t="str">
        <f t="shared" si="23"/>
        <v>no</v>
      </c>
      <c r="I150" s="117" t="str">
        <f t="shared" si="24"/>
        <v>yes</v>
      </c>
      <c r="J150" s="117" t="str">
        <f t="shared" si="25"/>
        <v>no</v>
      </c>
      <c r="K150" s="176" t="s">
        <v>561</v>
      </c>
      <c r="L150" s="117" t="str">
        <f t="shared" si="27"/>
        <v>detailed</v>
      </c>
      <c r="M150" s="117" t="str">
        <f t="shared" si="26"/>
        <v>detailed Gas</v>
      </c>
      <c r="N150" s="179">
        <f>60000000000*0.0283168</f>
        <v>1699008000</v>
      </c>
      <c r="O150" s="118">
        <f>N150*0.0066</f>
        <v>11213452.800000001</v>
      </c>
      <c r="P150" s="179"/>
      <c r="Q150" s="179"/>
      <c r="R150" s="179"/>
      <c r="S150" s="117" t="s">
        <v>642</v>
      </c>
      <c r="T150" s="119">
        <v>0.18254599999999999</v>
      </c>
      <c r="U150" s="117" t="s">
        <v>643</v>
      </c>
      <c r="V150" s="117" t="s">
        <v>880</v>
      </c>
      <c r="W150" s="89">
        <f>N150*T150</f>
        <v>310147114.36799997</v>
      </c>
      <c r="X150" s="117"/>
      <c r="Y150" s="117"/>
      <c r="Z150" s="117"/>
      <c r="AA150" s="211">
        <f>W150/W151</f>
        <v>0.25512778666298136</v>
      </c>
      <c r="AB150" s="177"/>
      <c r="AC150" s="122"/>
      <c r="AD150" s="122"/>
      <c r="AE150" s="122"/>
      <c r="AF150" s="123"/>
      <c r="AG150" s="117"/>
      <c r="AH150" s="124"/>
      <c r="AI150" s="117"/>
      <c r="AJ150" s="117"/>
      <c r="AK150" s="117"/>
      <c r="AL150" s="117"/>
      <c r="AM150" s="117"/>
      <c r="AN150" s="117"/>
      <c r="AO150" s="117"/>
      <c r="AP150" s="117"/>
      <c r="AQ150" s="117"/>
      <c r="AR150" s="126"/>
      <c r="AS150" s="117"/>
      <c r="AT150" s="117"/>
      <c r="AU150" s="117"/>
      <c r="AV150" s="128"/>
      <c r="AW150" s="117">
        <f>VLOOKUP($D150,'WB Data'!$C$3:$M$578,2,FALSE)</f>
        <v>15775356736.764538</v>
      </c>
      <c r="AX150" s="117">
        <f>VLOOKUP($D150,'WB Data'!$C$3:$M$578,3,FALSE)</f>
        <v>17674960</v>
      </c>
      <c r="AY150" s="847">
        <f t="shared" si="29"/>
        <v>6.0524669326484294E-2</v>
      </c>
      <c r="AZ150" s="117" t="e">
        <f>VLOOKUP($D150,'WB Data'!$C$3:$M$578,4,FALSE)/100</f>
        <v>#VALUE!</v>
      </c>
      <c r="BA150" s="117" t="str">
        <f t="shared" si="30"/>
        <v>..</v>
      </c>
      <c r="BB150" s="129">
        <f>IFERROR(VLOOKUP($D150,'EITI Revenues'!$C$2:$G$224,5,FALSE),"..")</f>
        <v>954798250</v>
      </c>
      <c r="BC150" s="846" t="str">
        <f t="shared" si="31"/>
        <v>..</v>
      </c>
      <c r="BD150" s="129">
        <f>VLOOKUP($D150,'WB Data 2'!$C$2:$K$545,6,FALSE)</f>
        <v>1281647908.7828979</v>
      </c>
      <c r="BE150" s="129" t="str">
        <f>IFERROR(VLOOKUP($D150,UNCTAD!$C$5:$V$529,4,FALSE),"..")</f>
        <v>..</v>
      </c>
      <c r="BF150" s="846" t="str">
        <f t="shared" si="32"/>
        <v>..</v>
      </c>
      <c r="BG150" s="117">
        <f>VLOOKUP($D150,'WB Data'!$C$3:$M$578,5,FALSE)</f>
        <v>790660000</v>
      </c>
      <c r="BH150" s="129">
        <f>IFERROR($BB150/$BG150,"..")</f>
        <v>1.2075965016568437</v>
      </c>
      <c r="BI150" s="117">
        <f>IFERROR(VLOOKUP($D150,'WB Data'!$C$3:$M$578,7,FALSE)/100,"..")</f>
        <v>3.3299099999999998E-2</v>
      </c>
      <c r="BJ150" s="117">
        <f>IFERROR($BI150*$AW150,"..")</f>
        <v>525305181.51319599</v>
      </c>
      <c r="BK150" s="846">
        <f>IFERROR($BB150/$BJ150,"..")</f>
        <v>1.8176067619390404</v>
      </c>
      <c r="BL150" s="117">
        <f>IFERROR(VLOOKUP($D150,'WB Data'!$C$3:$M$578,7,FALSE)/100,"..")</f>
        <v>3.3299099999999998E-2</v>
      </c>
      <c r="BM150" s="117">
        <f>IFERROR($AW150*$BL150,"..")</f>
        <v>525305181.51319599</v>
      </c>
      <c r="BN150" s="846">
        <f>IFERROR($BB150/$BM150,"..")</f>
        <v>1.8176067619390404</v>
      </c>
      <c r="BO150" s="801">
        <f t="shared" si="28"/>
        <v>27</v>
      </c>
      <c r="BP150" s="117" t="str">
        <f>VLOOKUP($D150,'WB Data'!$C$3:$M$578,9,FALSE)</f>
        <v>..</v>
      </c>
      <c r="BQ150" s="117">
        <f>VLOOKUP($D150,'WB Data'!$C$3:$M$578,10,FALSE)</f>
        <v>51.716487804878049</v>
      </c>
      <c r="BR150" s="117">
        <f>VLOOKUP($D150,'WB Data'!$C$3:$M$578,11,FALSE)</f>
        <v>80.7</v>
      </c>
      <c r="BS150" s="129" t="str">
        <f>IFERROR(VLOOKUP($D150,'WB Data 2'!$C$2:$K$545,9,FALSE),"..")</f>
        <v>..</v>
      </c>
      <c r="BT150" s="129">
        <f>_xlfn.IFNA(VLOOKUP($C150,RGI!$A$2:$C$43,2,FALSE),"..")</f>
        <v>41.8</v>
      </c>
      <c r="BU150" s="129">
        <f>_xlfn.IFNA(VLOOKUP($C150,RGI!$A$2:$C$43,3,FALSE),"..")</f>
        <v>34.155297028034767</v>
      </c>
      <c r="BV150" s="129">
        <f>VLOOKUP($D150,WGI!$C$2:$O$478,7,FALSE)</f>
        <v>-0.98623903413653502</v>
      </c>
      <c r="BW150" s="129">
        <f>VLOOKUP($D150,WGI!$C$2:$O$478,4,FALSE)</f>
        <v>-0.39775625190285202</v>
      </c>
      <c r="BX150" s="129">
        <f>VLOOKUP($D150,WGI!$C$2:$O$478,3,FALSE)</f>
        <v>-0.69789056431586705</v>
      </c>
      <c r="BY150" s="129">
        <f>VLOOKUP($D150,WGI!$C$2:$O$478,5,FALSE)</f>
        <v>-0.67993853266652604</v>
      </c>
      <c r="BZ150" s="129">
        <f>VLOOKUP($D150,WGI!$C$2:$O$478,2,FALSE)</f>
        <v>-1.0729613994724601</v>
      </c>
    </row>
    <row r="151" spans="1:80" ht="15" customHeight="1">
      <c r="A151" s="294" t="s">
        <v>107</v>
      </c>
      <c r="B151" s="117">
        <v>2004</v>
      </c>
      <c r="C151" s="117" t="s">
        <v>101</v>
      </c>
      <c r="D151" s="117" t="s">
        <v>3456</v>
      </c>
      <c r="E151" s="117" t="s">
        <v>86</v>
      </c>
      <c r="F151" s="117"/>
      <c r="G151" s="117" t="s">
        <v>103</v>
      </c>
      <c r="H151" s="117" t="str">
        <f t="shared" si="23"/>
        <v>no</v>
      </c>
      <c r="I151" s="117" t="str">
        <f t="shared" si="24"/>
        <v>no</v>
      </c>
      <c r="J151" s="117" t="str">
        <f t="shared" si="25"/>
        <v>yes</v>
      </c>
      <c r="K151" s="176" t="s">
        <v>103</v>
      </c>
      <c r="L151" s="117" t="str">
        <f t="shared" si="27"/>
        <v>detailed</v>
      </c>
      <c r="M151" s="117" t="str">
        <f t="shared" si="26"/>
        <v>detailed Oil</v>
      </c>
      <c r="N151" s="118">
        <v>32600000</v>
      </c>
      <c r="O151" s="211">
        <f>O150/N151</f>
        <v>0.34397094478527612</v>
      </c>
      <c r="P151" s="118">
        <v>32600000</v>
      </c>
      <c r="Q151" s="118"/>
      <c r="R151" s="118"/>
      <c r="S151" s="117" t="s">
        <v>646</v>
      </c>
      <c r="T151" s="119">
        <v>37.29</v>
      </c>
      <c r="U151" s="117" t="s">
        <v>673</v>
      </c>
      <c r="V151" s="117" t="s">
        <v>881</v>
      </c>
      <c r="W151" s="89">
        <f>N151*T151</f>
        <v>1215654000</v>
      </c>
      <c r="X151" s="117"/>
      <c r="Y151" s="117"/>
      <c r="Z151" s="117"/>
      <c r="AA151" s="177"/>
      <c r="AB151" s="177"/>
      <c r="AC151" s="122"/>
      <c r="AD151" s="122"/>
      <c r="AE151" s="122"/>
      <c r="AF151" s="123"/>
      <c r="AG151" s="117"/>
      <c r="AH151" s="124"/>
      <c r="AI151" s="117"/>
      <c r="AJ151" s="117"/>
      <c r="AK151" s="117"/>
      <c r="AL151" s="117"/>
      <c r="AM151" s="117"/>
      <c r="AN151" s="117"/>
      <c r="AO151" s="117"/>
      <c r="AP151" s="117"/>
      <c r="AQ151" s="117"/>
      <c r="AR151" s="126"/>
      <c r="AS151" s="117"/>
      <c r="AT151" s="117"/>
      <c r="AU151" s="117" t="s">
        <v>872</v>
      </c>
      <c r="AV151" s="128"/>
      <c r="AW151" s="117">
        <f>VLOOKUP($D151,'WB Data'!$C$3:$M$578,2,FALSE)</f>
        <v>15775356736.764538</v>
      </c>
      <c r="AX151" s="117">
        <f>VLOOKUP($D151,'WB Data'!$C$3:$M$578,3,FALSE)</f>
        <v>17674960</v>
      </c>
      <c r="AY151" s="847">
        <f t="shared" si="29"/>
        <v>6.0524669326484294E-2</v>
      </c>
      <c r="AZ151" s="117" t="e">
        <f>VLOOKUP($D151,'WB Data'!$C$3:$M$578,4,FALSE)/100</f>
        <v>#VALUE!</v>
      </c>
      <c r="BA151" s="117" t="str">
        <f t="shared" si="30"/>
        <v>..</v>
      </c>
      <c r="BB151" s="129">
        <f>IFERROR(VLOOKUP($D151,'EITI Revenues'!$C$2:$G$224,5,FALSE),"..")</f>
        <v>954798250</v>
      </c>
      <c r="BC151" s="846" t="str">
        <f t="shared" si="31"/>
        <v>..</v>
      </c>
      <c r="BD151" s="129">
        <f>VLOOKUP($D151,'WB Data 2'!$C$2:$K$545,6,FALSE)</f>
        <v>1281647908.7828979</v>
      </c>
      <c r="BE151" s="129" t="str">
        <f>IFERROR(VLOOKUP($D151,UNCTAD!$C$5:$V$529,4,FALSE),"..")</f>
        <v>..</v>
      </c>
      <c r="BF151" s="846" t="str">
        <f t="shared" si="32"/>
        <v>..</v>
      </c>
      <c r="BG151" s="117">
        <f>VLOOKUP($D151,'WB Data'!$C$3:$M$578,5,FALSE)</f>
        <v>790660000</v>
      </c>
      <c r="BH151" s="129">
        <f>IFERROR($BB151/$BG151,"..")</f>
        <v>1.2075965016568437</v>
      </c>
      <c r="BI151" s="117">
        <f>IFERROR(VLOOKUP($D151,'WB Data'!$C$3:$M$578,7,FALSE)/100,"..")</f>
        <v>3.3299099999999998E-2</v>
      </c>
      <c r="BJ151" s="117">
        <f>IFERROR($BI151*$AW151,"..")</f>
        <v>525305181.51319599</v>
      </c>
      <c r="BK151" s="846">
        <f>IFERROR($BB151/$BJ151,"..")</f>
        <v>1.8176067619390404</v>
      </c>
      <c r="BL151" s="117">
        <f>IFERROR(VLOOKUP($D151,'WB Data'!$C$3:$M$578,7,FALSE)/100,"..")</f>
        <v>3.3299099999999998E-2</v>
      </c>
      <c r="BM151" s="117">
        <f>IFERROR($AW151*$BL151,"..")</f>
        <v>525305181.51319599</v>
      </c>
      <c r="BN151" s="846">
        <f>IFERROR($BB151/$BM151,"..")</f>
        <v>1.8176067619390404</v>
      </c>
      <c r="BO151" s="801">
        <f t="shared" si="28"/>
        <v>27</v>
      </c>
      <c r="BP151" s="117" t="str">
        <f>VLOOKUP($D151,'WB Data'!$C$3:$M$578,9,FALSE)</f>
        <v>..</v>
      </c>
      <c r="BQ151" s="117">
        <f>VLOOKUP($D151,'WB Data'!$C$3:$M$578,10,FALSE)</f>
        <v>51.716487804878049</v>
      </c>
      <c r="BR151" s="117">
        <f>VLOOKUP($D151,'WB Data'!$C$3:$M$578,11,FALSE)</f>
        <v>80.7</v>
      </c>
      <c r="BS151" s="129" t="str">
        <f>IFERROR(VLOOKUP($D151,'WB Data 2'!$C$2:$K$545,9,FALSE),"..")</f>
        <v>..</v>
      </c>
      <c r="BT151" s="129">
        <f>_xlfn.IFNA(VLOOKUP($C151,RGI!$A$2:$C$43,2,FALSE),"..")</f>
        <v>41.8</v>
      </c>
      <c r="BU151" s="129">
        <f>_xlfn.IFNA(VLOOKUP($C151,RGI!$A$2:$C$43,3,FALSE),"..")</f>
        <v>34.155297028034767</v>
      </c>
      <c r="BV151" s="129">
        <f>VLOOKUP($D151,WGI!$C$2:$O$478,7,FALSE)</f>
        <v>-0.98623903413653502</v>
      </c>
      <c r="BW151" s="129">
        <f>VLOOKUP($D151,WGI!$C$2:$O$478,4,FALSE)</f>
        <v>-0.39775625190285202</v>
      </c>
      <c r="BX151" s="129">
        <f>VLOOKUP($D151,WGI!$C$2:$O$478,3,FALSE)</f>
        <v>-0.69789056431586705</v>
      </c>
      <c r="BY151" s="129">
        <f>VLOOKUP($D151,WGI!$C$2:$O$478,5,FALSE)</f>
        <v>-0.67993853266652604</v>
      </c>
      <c r="BZ151" s="129">
        <f>VLOOKUP($D151,WGI!$C$2:$O$478,2,FALSE)</f>
        <v>-1.0729613994724601</v>
      </c>
    </row>
    <row r="152" spans="1:80" s="144" customFormat="1" ht="15" customHeight="1">
      <c r="A152" s="296" t="s">
        <v>108</v>
      </c>
      <c r="B152" s="132">
        <v>2005</v>
      </c>
      <c r="C152" s="132" t="s">
        <v>101</v>
      </c>
      <c r="D152" s="117" t="s">
        <v>3490</v>
      </c>
      <c r="E152" s="132" t="s">
        <v>86</v>
      </c>
      <c r="F152" s="132" t="s">
        <v>863</v>
      </c>
      <c r="G152" s="132" t="s">
        <v>55</v>
      </c>
      <c r="H152" s="117" t="str">
        <f t="shared" si="23"/>
        <v>no</v>
      </c>
      <c r="I152" s="117" t="str">
        <f t="shared" si="24"/>
        <v>yes</v>
      </c>
      <c r="J152" s="117" t="str">
        <f t="shared" si="25"/>
        <v>yes</v>
      </c>
      <c r="K152" s="182" t="s">
        <v>709</v>
      </c>
      <c r="L152" s="117" t="str">
        <f t="shared" si="27"/>
        <v>Total</v>
      </c>
      <c r="M152" s="117" t="str">
        <f t="shared" si="26"/>
        <v>Total Oil, Gas</v>
      </c>
      <c r="N152" s="133"/>
      <c r="O152" s="133"/>
      <c r="P152" s="133"/>
      <c r="Q152" s="133"/>
      <c r="R152" s="133"/>
      <c r="S152" s="132"/>
      <c r="T152" s="134"/>
      <c r="U152" s="132"/>
      <c r="V152" s="132"/>
      <c r="W152" s="135">
        <f>SUM(W153:W154)</f>
        <v>2027648359.2159998</v>
      </c>
      <c r="X152" s="144" t="s">
        <v>885</v>
      </c>
      <c r="Y152" s="132" t="s">
        <v>731</v>
      </c>
      <c r="Z152" s="132" t="s">
        <v>732</v>
      </c>
      <c r="AA152" s="297">
        <v>1188024922.5</v>
      </c>
      <c r="AB152" s="160">
        <v>204854380</v>
      </c>
      <c r="AC152" s="138"/>
      <c r="AD152" s="138"/>
      <c r="AE152" s="138"/>
      <c r="AF152" s="224">
        <f>AA152/W152</f>
        <v>0.58591269886626474</v>
      </c>
      <c r="AG152" s="132" t="s">
        <v>864</v>
      </c>
      <c r="AH152" s="140" t="s">
        <v>865</v>
      </c>
      <c r="AI152" s="132" t="s">
        <v>667</v>
      </c>
      <c r="AJ152" s="132" t="s">
        <v>886</v>
      </c>
      <c r="AK152" s="135">
        <v>984541382.5</v>
      </c>
      <c r="AL152" s="135"/>
      <c r="AM152" s="132"/>
      <c r="AN152" s="132">
        <v>13</v>
      </c>
      <c r="AO152" s="132" t="s">
        <v>887</v>
      </c>
      <c r="AP152" s="132">
        <v>10</v>
      </c>
      <c r="AQ152" s="229" t="s">
        <v>109</v>
      </c>
      <c r="AR152" s="141">
        <v>41890</v>
      </c>
      <c r="AS152" s="132" t="s">
        <v>868</v>
      </c>
      <c r="AT152" s="132" t="s">
        <v>110</v>
      </c>
      <c r="AU152" s="132">
        <v>22</v>
      </c>
      <c r="AV152" s="143" t="s">
        <v>888</v>
      </c>
      <c r="AW152" s="117">
        <f>VLOOKUP($D152,'WB Data'!$C$3:$M$578,2,FALSE)</f>
        <v>16587857509.442152</v>
      </c>
      <c r="AX152" s="117">
        <f>VLOOKUP($D152,'WB Data'!$C$3:$M$578,3,FALSE)</f>
        <v>18137734</v>
      </c>
      <c r="AY152" s="847">
        <f t="shared" si="29"/>
        <v>7.1620154792368551E-2</v>
      </c>
      <c r="AZ152" s="117" t="e">
        <f>VLOOKUP($D152,'WB Data'!$C$3:$M$578,4,FALSE)/100</f>
        <v>#VALUE!</v>
      </c>
      <c r="BA152" s="117" t="str">
        <f t="shared" si="30"/>
        <v>..</v>
      </c>
      <c r="BB152" s="129">
        <f>IFERROR(VLOOKUP($D152,'EITI Revenues'!$C$2:$G$224,5,FALSE),"..")</f>
        <v>1188024922.5</v>
      </c>
      <c r="BC152" s="846" t="str">
        <f t="shared" si="31"/>
        <v>..</v>
      </c>
      <c r="BD152" s="129">
        <f>VLOOKUP($D152,'WB Data 2'!$C$2:$K$545,6,FALSE)</f>
        <v>1578971206.1015685</v>
      </c>
      <c r="BE152" s="129" t="str">
        <f>IFERROR(VLOOKUP($D152,UNCTAD!$C$5:$V$529,4,FALSE),"..")</f>
        <v>..</v>
      </c>
      <c r="BF152" s="846" t="str">
        <f t="shared" si="32"/>
        <v>..</v>
      </c>
      <c r="BG152" s="117">
        <f>VLOOKUP($D152,'WB Data'!$C$3:$M$578,5,FALSE)</f>
        <v>413930000</v>
      </c>
      <c r="BH152" s="129">
        <f>IFERROR($BB152/$BG152,"..")</f>
        <v>2.8701107010847244</v>
      </c>
      <c r="BI152" s="117">
        <f>IFERROR(VLOOKUP($D152,'WB Data'!$C$3:$M$578,7,FALSE)/100,"..")</f>
        <v>3.1232199999999998E-2</v>
      </c>
      <c r="BJ152" s="117">
        <f>IFERROR($BI152*$AW152,"..")</f>
        <v>518075283.30639917</v>
      </c>
      <c r="BK152" s="846">
        <f>IFERROR($BB152/$BJ152,"..")</f>
        <v>2.2931511322407179</v>
      </c>
      <c r="BL152" s="117">
        <f>IFERROR(VLOOKUP($D152,'WB Data'!$C$3:$M$578,7,FALSE)/100,"..")</f>
        <v>3.1232199999999998E-2</v>
      </c>
      <c r="BM152" s="117">
        <f>IFERROR($AW152*$BL152,"..")</f>
        <v>518075283.30639917</v>
      </c>
      <c r="BN152" s="846">
        <f>IFERROR($BB152/$BM152,"..")</f>
        <v>2.2931511322407179</v>
      </c>
      <c r="BO152" s="801">
        <f t="shared" si="28"/>
        <v>27</v>
      </c>
      <c r="BP152" s="117" t="str">
        <f>VLOOKUP($D152,'WB Data'!$C$3:$M$578,9,FALSE)</f>
        <v>..</v>
      </c>
      <c r="BQ152" s="117">
        <f>VLOOKUP($D152,'WB Data'!$C$3:$M$578,10,FALSE)</f>
        <v>51.889048780487805</v>
      </c>
      <c r="BR152" s="117">
        <f>VLOOKUP($D152,'WB Data'!$C$3:$M$578,11,FALSE)</f>
        <v>78</v>
      </c>
      <c r="BS152" s="129" t="str">
        <f>IFERROR(VLOOKUP($D152,'WB Data 2'!$C$2:$K$545,9,FALSE),"..")</f>
        <v>..</v>
      </c>
      <c r="BT152" s="129">
        <f>_xlfn.IFNA(VLOOKUP($C152,RGI!$A$2:$C$43,2,FALSE),"..")</f>
        <v>41.8</v>
      </c>
      <c r="BU152" s="129">
        <f>_xlfn.IFNA(VLOOKUP($C152,RGI!$A$2:$C$43,3,FALSE),"..")</f>
        <v>34.155297028034767</v>
      </c>
      <c r="BV152" s="129">
        <f>VLOOKUP($D152,WGI!$C$2:$O$478,7,FALSE)</f>
        <v>-1.0165791068904999</v>
      </c>
      <c r="BW152" s="129">
        <f>VLOOKUP($D152,WGI!$C$2:$O$478,4,FALSE)</f>
        <v>-0.176222749066622</v>
      </c>
      <c r="BX152" s="129">
        <f>VLOOKUP($D152,WGI!$C$2:$O$478,3,FALSE)</f>
        <v>-0.88054905805443695</v>
      </c>
      <c r="BY152" s="129">
        <f>VLOOKUP($D152,WGI!$C$2:$O$478,5,FALSE)</f>
        <v>-0.86135757300024196</v>
      </c>
      <c r="BZ152" s="129">
        <f>VLOOKUP($D152,WGI!$C$2:$O$478,2,FALSE)</f>
        <v>-1.16071758946795</v>
      </c>
      <c r="CB152" s="129"/>
    </row>
    <row r="153" spans="1:80" s="120" customFormat="1" ht="15" customHeight="1">
      <c r="A153" s="294" t="s">
        <v>108</v>
      </c>
      <c r="B153" s="117">
        <v>2005</v>
      </c>
      <c r="C153" s="117" t="s">
        <v>101</v>
      </c>
      <c r="D153" s="117" t="s">
        <v>3490</v>
      </c>
      <c r="E153" s="117" t="s">
        <v>86</v>
      </c>
      <c r="F153" s="117"/>
      <c r="G153" s="117" t="s">
        <v>561</v>
      </c>
      <c r="H153" s="117" t="str">
        <f t="shared" si="23"/>
        <v>no</v>
      </c>
      <c r="I153" s="117" t="str">
        <f t="shared" si="24"/>
        <v>yes</v>
      </c>
      <c r="J153" s="117" t="str">
        <f t="shared" si="25"/>
        <v>no</v>
      </c>
      <c r="K153" s="176" t="s">
        <v>561</v>
      </c>
      <c r="L153" s="117" t="str">
        <f t="shared" si="27"/>
        <v>detailed</v>
      </c>
      <c r="M153" s="117" t="str">
        <f t="shared" si="26"/>
        <v>detailed Gas</v>
      </c>
      <c r="N153" s="179">
        <f>65000000000*0.0283168</f>
        <v>1840592000</v>
      </c>
      <c r="O153" s="118">
        <f>N153*0.0066</f>
        <v>12147907.199999999</v>
      </c>
      <c r="P153" s="179"/>
      <c r="Q153" s="179"/>
      <c r="R153" s="179"/>
      <c r="S153" s="117" t="s">
        <v>642</v>
      </c>
      <c r="T153" s="119">
        <v>0.27869799999999995</v>
      </c>
      <c r="U153" s="117" t="s">
        <v>643</v>
      </c>
      <c r="V153" s="117" t="s">
        <v>880</v>
      </c>
      <c r="W153" s="89">
        <f>N153*T153</f>
        <v>512969309.2159999</v>
      </c>
      <c r="X153" s="117"/>
      <c r="Y153" s="117"/>
      <c r="Z153" s="117"/>
      <c r="AA153" s="211">
        <f>W153/W154</f>
        <v>0.33866534908236823</v>
      </c>
      <c r="AB153" s="177"/>
      <c r="AC153" s="122"/>
      <c r="AD153" s="122"/>
      <c r="AE153" s="122"/>
      <c r="AF153" s="123"/>
      <c r="AG153" s="117"/>
      <c r="AH153" s="124"/>
      <c r="AI153" s="117"/>
      <c r="AJ153" s="117"/>
      <c r="AK153" s="117"/>
      <c r="AL153" s="117"/>
      <c r="AM153" s="117"/>
      <c r="AN153" s="117"/>
      <c r="AO153" s="117"/>
      <c r="AP153" s="117"/>
      <c r="AQ153" s="117"/>
      <c r="AR153" s="126"/>
      <c r="AS153" s="117"/>
      <c r="AT153" s="117"/>
      <c r="AU153" s="117"/>
      <c r="AV153" s="128"/>
      <c r="AW153" s="117">
        <f>VLOOKUP($D153,'WB Data'!$C$3:$M$578,2,FALSE)</f>
        <v>16587857509.442152</v>
      </c>
      <c r="AX153" s="117">
        <f>VLOOKUP($D153,'WB Data'!$C$3:$M$578,3,FALSE)</f>
        <v>18137734</v>
      </c>
      <c r="AY153" s="847">
        <f t="shared" si="29"/>
        <v>7.1620154792368551E-2</v>
      </c>
      <c r="AZ153" s="117" t="e">
        <f>VLOOKUP($D153,'WB Data'!$C$3:$M$578,4,FALSE)/100</f>
        <v>#VALUE!</v>
      </c>
      <c r="BA153" s="117" t="str">
        <f t="shared" si="30"/>
        <v>..</v>
      </c>
      <c r="BB153" s="129">
        <f>IFERROR(VLOOKUP($D153,'EITI Revenues'!$C$2:$G$224,5,FALSE),"..")</f>
        <v>1188024922.5</v>
      </c>
      <c r="BC153" s="846" t="str">
        <f t="shared" si="31"/>
        <v>..</v>
      </c>
      <c r="BD153" s="129">
        <f>VLOOKUP($D153,'WB Data 2'!$C$2:$K$545,6,FALSE)</f>
        <v>1578971206.1015685</v>
      </c>
      <c r="BE153" s="129" t="str">
        <f>IFERROR(VLOOKUP($D153,UNCTAD!$C$5:$V$529,4,FALSE),"..")</f>
        <v>..</v>
      </c>
      <c r="BF153" s="846" t="str">
        <f t="shared" si="32"/>
        <v>..</v>
      </c>
      <c r="BG153" s="117">
        <f>VLOOKUP($D153,'WB Data'!$C$3:$M$578,5,FALSE)</f>
        <v>413930000</v>
      </c>
      <c r="BH153" s="129">
        <f>IFERROR($BB153/$BG153,"..")</f>
        <v>2.8701107010847244</v>
      </c>
      <c r="BI153" s="117">
        <f>IFERROR(VLOOKUP($D153,'WB Data'!$C$3:$M$578,7,FALSE)/100,"..")</f>
        <v>3.1232199999999998E-2</v>
      </c>
      <c r="BJ153" s="117">
        <f>IFERROR($BI153*$AW153,"..")</f>
        <v>518075283.30639917</v>
      </c>
      <c r="BK153" s="846">
        <f>IFERROR($BB153/$BJ153,"..")</f>
        <v>2.2931511322407179</v>
      </c>
      <c r="BL153" s="117">
        <f>IFERROR(VLOOKUP($D153,'WB Data'!$C$3:$M$578,7,FALSE)/100,"..")</f>
        <v>3.1232199999999998E-2</v>
      </c>
      <c r="BM153" s="117">
        <f>IFERROR($AW153*$BL153,"..")</f>
        <v>518075283.30639917</v>
      </c>
      <c r="BN153" s="846">
        <f>IFERROR($BB153/$BM153,"..")</f>
        <v>2.2931511322407179</v>
      </c>
      <c r="BO153" s="801">
        <f t="shared" si="28"/>
        <v>27</v>
      </c>
      <c r="BP153" s="117" t="str">
        <f>VLOOKUP($D153,'WB Data'!$C$3:$M$578,9,FALSE)</f>
        <v>..</v>
      </c>
      <c r="BQ153" s="117">
        <f>VLOOKUP($D153,'WB Data'!$C$3:$M$578,10,FALSE)</f>
        <v>51.889048780487805</v>
      </c>
      <c r="BR153" s="117">
        <f>VLOOKUP($D153,'WB Data'!$C$3:$M$578,11,FALSE)</f>
        <v>78</v>
      </c>
      <c r="BS153" s="129" t="str">
        <f>IFERROR(VLOOKUP($D153,'WB Data 2'!$C$2:$K$545,9,FALSE),"..")</f>
        <v>..</v>
      </c>
      <c r="BT153" s="129">
        <f>_xlfn.IFNA(VLOOKUP($C153,RGI!$A$2:$C$43,2,FALSE),"..")</f>
        <v>41.8</v>
      </c>
      <c r="BU153" s="129">
        <f>_xlfn.IFNA(VLOOKUP($C153,RGI!$A$2:$C$43,3,FALSE),"..")</f>
        <v>34.155297028034767</v>
      </c>
      <c r="BV153" s="129">
        <f>VLOOKUP($D153,WGI!$C$2:$O$478,7,FALSE)</f>
        <v>-1.0165791068904999</v>
      </c>
      <c r="BW153" s="129">
        <f>VLOOKUP($D153,WGI!$C$2:$O$478,4,FALSE)</f>
        <v>-0.176222749066622</v>
      </c>
      <c r="BX153" s="129">
        <f>VLOOKUP($D153,WGI!$C$2:$O$478,3,FALSE)</f>
        <v>-0.88054905805443695</v>
      </c>
      <c r="BY153" s="129">
        <f>VLOOKUP($D153,WGI!$C$2:$O$478,5,FALSE)</f>
        <v>-0.86135757300024196</v>
      </c>
      <c r="BZ153" s="129">
        <f>VLOOKUP($D153,WGI!$C$2:$O$478,2,FALSE)</f>
        <v>-1.16071758946795</v>
      </c>
      <c r="CB153" s="129"/>
    </row>
    <row r="154" spans="1:80" s="158" customFormat="1" ht="15" customHeight="1">
      <c r="A154" s="295" t="s">
        <v>108</v>
      </c>
      <c r="B154" s="149">
        <v>2005</v>
      </c>
      <c r="C154" s="149" t="s">
        <v>101</v>
      </c>
      <c r="D154" s="117" t="s">
        <v>3490</v>
      </c>
      <c r="E154" s="149" t="s">
        <v>86</v>
      </c>
      <c r="F154" s="149"/>
      <c r="G154" s="149" t="s">
        <v>103</v>
      </c>
      <c r="H154" s="117" t="str">
        <f t="shared" si="23"/>
        <v>no</v>
      </c>
      <c r="I154" s="117" t="str">
        <f t="shared" si="24"/>
        <v>no</v>
      </c>
      <c r="J154" s="117" t="str">
        <f t="shared" si="25"/>
        <v>yes</v>
      </c>
      <c r="K154" s="188" t="s">
        <v>103</v>
      </c>
      <c r="L154" s="117" t="str">
        <f t="shared" si="27"/>
        <v>detailed</v>
      </c>
      <c r="M154" s="117" t="str">
        <f t="shared" si="26"/>
        <v>detailed Oil</v>
      </c>
      <c r="N154" s="150">
        <v>30083000</v>
      </c>
      <c r="O154" s="211">
        <f>O153/N154</f>
        <v>0.40381302396702456</v>
      </c>
      <c r="P154" s="150">
        <v>30083000</v>
      </c>
      <c r="Q154" s="150"/>
      <c r="R154" s="150"/>
      <c r="S154" s="149" t="s">
        <v>646</v>
      </c>
      <c r="T154" s="151">
        <v>50.35</v>
      </c>
      <c r="U154" s="149" t="s">
        <v>673</v>
      </c>
      <c r="V154" s="149" t="s">
        <v>881</v>
      </c>
      <c r="W154" s="152">
        <f>N154*T154</f>
        <v>1514679050</v>
      </c>
      <c r="X154" s="149"/>
      <c r="Y154" s="149"/>
      <c r="Z154" s="149"/>
      <c r="AA154" s="284"/>
      <c r="AB154" s="284"/>
      <c r="AC154" s="154"/>
      <c r="AD154" s="154"/>
      <c r="AE154" s="154"/>
      <c r="AF154" s="155"/>
      <c r="AG154" s="149"/>
      <c r="AH154" s="156"/>
      <c r="AI154" s="149"/>
      <c r="AJ154" s="149"/>
      <c r="AK154" s="149"/>
      <c r="AL154" s="149"/>
      <c r="AM154" s="149"/>
      <c r="AN154" s="149"/>
      <c r="AO154" s="149"/>
      <c r="AP154" s="149"/>
      <c r="AQ154" s="149"/>
      <c r="AR154" s="220"/>
      <c r="AS154" s="149"/>
      <c r="AT154" s="149"/>
      <c r="AU154" s="149" t="s">
        <v>889</v>
      </c>
      <c r="AV154" s="157"/>
      <c r="AW154" s="117">
        <f>VLOOKUP($D154,'WB Data'!$C$3:$M$578,2,FALSE)</f>
        <v>16587857509.442152</v>
      </c>
      <c r="AX154" s="117">
        <f>VLOOKUP($D154,'WB Data'!$C$3:$M$578,3,FALSE)</f>
        <v>18137734</v>
      </c>
      <c r="AY154" s="847">
        <f t="shared" si="29"/>
        <v>7.1620154792368551E-2</v>
      </c>
      <c r="AZ154" s="117" t="e">
        <f>VLOOKUP($D154,'WB Data'!$C$3:$M$578,4,FALSE)/100</f>
        <v>#VALUE!</v>
      </c>
      <c r="BA154" s="117" t="str">
        <f t="shared" si="30"/>
        <v>..</v>
      </c>
      <c r="BB154" s="129">
        <f>IFERROR(VLOOKUP($D154,'EITI Revenues'!$C$2:$G$224,5,FALSE),"..")</f>
        <v>1188024922.5</v>
      </c>
      <c r="BC154" s="846" t="str">
        <f t="shared" si="31"/>
        <v>..</v>
      </c>
      <c r="BD154" s="129">
        <f>VLOOKUP($D154,'WB Data 2'!$C$2:$K$545,6,FALSE)</f>
        <v>1578971206.1015685</v>
      </c>
      <c r="BE154" s="129" t="str">
        <f>IFERROR(VLOOKUP($D154,UNCTAD!$C$5:$V$529,4,FALSE),"..")</f>
        <v>..</v>
      </c>
      <c r="BF154" s="846" t="str">
        <f t="shared" si="32"/>
        <v>..</v>
      </c>
      <c r="BG154" s="117">
        <f>VLOOKUP($D154,'WB Data'!$C$3:$M$578,5,FALSE)</f>
        <v>413930000</v>
      </c>
      <c r="BH154" s="129">
        <f>IFERROR($BB154/$BG154,"..")</f>
        <v>2.8701107010847244</v>
      </c>
      <c r="BI154" s="117">
        <f>IFERROR(VLOOKUP($D154,'WB Data'!$C$3:$M$578,7,FALSE)/100,"..")</f>
        <v>3.1232199999999998E-2</v>
      </c>
      <c r="BJ154" s="117">
        <f>IFERROR($BI154*$AW154,"..")</f>
        <v>518075283.30639917</v>
      </c>
      <c r="BK154" s="846">
        <f>IFERROR($BB154/$BJ154,"..")</f>
        <v>2.2931511322407179</v>
      </c>
      <c r="BL154" s="117">
        <f>IFERROR(VLOOKUP($D154,'WB Data'!$C$3:$M$578,7,FALSE)/100,"..")</f>
        <v>3.1232199999999998E-2</v>
      </c>
      <c r="BM154" s="117">
        <f>IFERROR($AW154*$BL154,"..")</f>
        <v>518075283.30639917</v>
      </c>
      <c r="BN154" s="846">
        <f>IFERROR($BB154/$BM154,"..")</f>
        <v>2.2931511322407179</v>
      </c>
      <c r="BO154" s="801">
        <f t="shared" si="28"/>
        <v>27</v>
      </c>
      <c r="BP154" s="117" t="str">
        <f>VLOOKUP($D154,'WB Data'!$C$3:$M$578,9,FALSE)</f>
        <v>..</v>
      </c>
      <c r="BQ154" s="117">
        <f>VLOOKUP($D154,'WB Data'!$C$3:$M$578,10,FALSE)</f>
        <v>51.889048780487805</v>
      </c>
      <c r="BR154" s="117">
        <f>VLOOKUP($D154,'WB Data'!$C$3:$M$578,11,FALSE)</f>
        <v>78</v>
      </c>
      <c r="BS154" s="129" t="str">
        <f>IFERROR(VLOOKUP($D154,'WB Data 2'!$C$2:$K$545,9,FALSE),"..")</f>
        <v>..</v>
      </c>
      <c r="BT154" s="129">
        <f>_xlfn.IFNA(VLOOKUP($C154,RGI!$A$2:$C$43,2,FALSE),"..")</f>
        <v>41.8</v>
      </c>
      <c r="BU154" s="129">
        <f>_xlfn.IFNA(VLOOKUP($C154,RGI!$A$2:$C$43,3,FALSE),"..")</f>
        <v>34.155297028034767</v>
      </c>
      <c r="BV154" s="129">
        <f>VLOOKUP($D154,WGI!$C$2:$O$478,7,FALSE)</f>
        <v>-1.0165791068904999</v>
      </c>
      <c r="BW154" s="129">
        <f>VLOOKUP($D154,WGI!$C$2:$O$478,4,FALSE)</f>
        <v>-0.176222749066622</v>
      </c>
      <c r="BX154" s="129">
        <f>VLOOKUP($D154,WGI!$C$2:$O$478,3,FALSE)</f>
        <v>-0.88054905805443695</v>
      </c>
      <c r="BY154" s="129">
        <f>VLOOKUP($D154,WGI!$C$2:$O$478,5,FALSE)</f>
        <v>-0.86135757300024196</v>
      </c>
      <c r="BZ154" s="129">
        <f>VLOOKUP($D154,WGI!$C$2:$O$478,2,FALSE)</f>
        <v>-1.16071758946795</v>
      </c>
      <c r="CB154" s="129"/>
    </row>
    <row r="155" spans="1:80" ht="15" customHeight="1">
      <c r="A155" s="294" t="s">
        <v>111</v>
      </c>
      <c r="B155" s="117">
        <v>2006</v>
      </c>
      <c r="C155" s="117" t="s">
        <v>101</v>
      </c>
      <c r="D155" s="117" t="s">
        <v>3524</v>
      </c>
      <c r="E155" s="117" t="s">
        <v>86</v>
      </c>
      <c r="F155" s="117" t="s">
        <v>863</v>
      </c>
      <c r="G155" s="117" t="s">
        <v>35</v>
      </c>
      <c r="H155" s="117" t="str">
        <f t="shared" si="23"/>
        <v>yes</v>
      </c>
      <c r="I155" s="117" t="str">
        <f t="shared" si="24"/>
        <v>yes</v>
      </c>
      <c r="J155" s="117" t="str">
        <f t="shared" si="25"/>
        <v>yes</v>
      </c>
      <c r="K155" s="176" t="s">
        <v>709</v>
      </c>
      <c r="L155" s="117" t="str">
        <f t="shared" si="27"/>
        <v>Total</v>
      </c>
      <c r="M155" s="117" t="str">
        <f t="shared" si="26"/>
        <v>Total Oil, Gas, Mining</v>
      </c>
      <c r="N155" s="118"/>
      <c r="O155" s="118"/>
      <c r="P155" s="118"/>
      <c r="Q155" s="118"/>
      <c r="R155" s="118"/>
      <c r="S155" s="117"/>
      <c r="T155" s="119"/>
      <c r="U155" s="117"/>
      <c r="V155" s="117"/>
      <c r="W155" s="298">
        <f>W156+W159</f>
        <v>2454548872.1367373</v>
      </c>
      <c r="X155" s="125" t="s">
        <v>890</v>
      </c>
      <c r="Y155" s="117" t="s">
        <v>731</v>
      </c>
      <c r="Z155" s="117" t="s">
        <v>732</v>
      </c>
      <c r="AA155" s="286">
        <f>231191297+AK155</f>
        <v>1599006845.6187501</v>
      </c>
      <c r="AB155" s="286">
        <v>238822368</v>
      </c>
      <c r="AC155" s="122"/>
      <c r="AD155" s="122"/>
      <c r="AE155" s="122"/>
      <c r="AF155" s="227">
        <f>AA155/W155</f>
        <v>0.65144632635763344</v>
      </c>
      <c r="AG155" s="117" t="s">
        <v>891</v>
      </c>
      <c r="AH155" s="124">
        <v>479.23899999999998</v>
      </c>
      <c r="AI155" s="117" t="s">
        <v>667</v>
      </c>
      <c r="AJ155" s="117" t="s">
        <v>892</v>
      </c>
      <c r="AK155" s="89">
        <v>1367815548.6187501</v>
      </c>
      <c r="AL155" s="89" t="s">
        <v>893</v>
      </c>
      <c r="AM155" s="177">
        <v>50135480</v>
      </c>
      <c r="AN155" s="117">
        <v>21</v>
      </c>
      <c r="AO155" s="117" t="s">
        <v>894</v>
      </c>
      <c r="AP155" s="117">
        <v>10</v>
      </c>
      <c r="AQ155" s="215" t="s">
        <v>112</v>
      </c>
      <c r="AR155" s="126">
        <v>41891</v>
      </c>
      <c r="AS155" s="117" t="s">
        <v>877</v>
      </c>
      <c r="AT155" s="117" t="s">
        <v>113</v>
      </c>
      <c r="AU155" s="117" t="s">
        <v>895</v>
      </c>
      <c r="AV155" s="128" t="s">
        <v>896</v>
      </c>
      <c r="AW155" s="117">
        <f>VLOOKUP($D155,'WB Data'!$C$3:$M$578,2,FALSE)</f>
        <v>17953066391.113693</v>
      </c>
      <c r="AX155" s="117">
        <f>VLOOKUP($D155,'WB Data'!$C$3:$M$578,3,FALSE)</f>
        <v>18611937</v>
      </c>
      <c r="AY155" s="847">
        <f t="shared" si="29"/>
        <v>8.906594621686563E-2</v>
      </c>
      <c r="AZ155" s="117" t="e">
        <f>VLOOKUP($D155,'WB Data'!$C$3:$M$578,4,FALSE)/100</f>
        <v>#VALUE!</v>
      </c>
      <c r="BA155" s="117" t="str">
        <f t="shared" si="30"/>
        <v>..</v>
      </c>
      <c r="BB155" s="129">
        <f>IFERROR(VLOOKUP($D155,'EITI Revenues'!$C$2:$G$224,5,FALSE),"..")</f>
        <v>1599006845.6187501</v>
      </c>
      <c r="BC155" s="846" t="str">
        <f t="shared" si="31"/>
        <v>..</v>
      </c>
      <c r="BD155" s="129">
        <f>VLOOKUP($D155,'WB Data 2'!$C$2:$K$545,6,FALSE)</f>
        <v>2378886306.9864264</v>
      </c>
      <c r="BE155" s="129" t="str">
        <f>IFERROR(VLOOKUP($D155,UNCTAD!$C$5:$V$529,4,FALSE),"..")</f>
        <v>..</v>
      </c>
      <c r="BF155" s="846" t="str">
        <f t="shared" si="32"/>
        <v>..</v>
      </c>
      <c r="BG155" s="117">
        <f>VLOOKUP($D155,'WB Data'!$C$3:$M$578,5,FALSE)</f>
        <v>1718930000</v>
      </c>
      <c r="BH155" s="129">
        <f>IFERROR($BB155/$BG155,"..")</f>
        <v>0.93023383478021215</v>
      </c>
      <c r="BI155" s="117">
        <f>IFERROR(VLOOKUP($D155,'WB Data'!$C$3:$M$578,7,FALSE)/100,"..")</f>
        <v>2.9556800000000001E-2</v>
      </c>
      <c r="BJ155" s="117">
        <f>IFERROR($BI155*$AW155,"..")</f>
        <v>530635192.70886922</v>
      </c>
      <c r="BK155" s="846">
        <f>IFERROR($BB155/$BJ155,"..")</f>
        <v>3.0133825791988857</v>
      </c>
      <c r="BL155" s="117">
        <f>IFERROR(VLOOKUP($D155,'WB Data'!$C$3:$M$578,7,FALSE)/100,"..")</f>
        <v>2.9556800000000001E-2</v>
      </c>
      <c r="BM155" s="117">
        <f>IFERROR($AW155*$BL155,"..")</f>
        <v>530635192.70886922</v>
      </c>
      <c r="BN155" s="846">
        <f>IFERROR($BB155/$BM155,"..")</f>
        <v>3.0133825791988857</v>
      </c>
      <c r="BO155" s="801">
        <f t="shared" si="28"/>
        <v>27</v>
      </c>
      <c r="BP155" s="117" t="str">
        <f>VLOOKUP($D155,'WB Data'!$C$3:$M$578,9,FALSE)</f>
        <v>..</v>
      </c>
      <c r="BQ155" s="117">
        <f>VLOOKUP($D155,'WB Data'!$C$3:$M$578,10,FALSE)</f>
        <v>52.15024390243903</v>
      </c>
      <c r="BR155" s="117">
        <f>VLOOKUP($D155,'WB Data'!$C$3:$M$578,11,FALSE)</f>
        <v>75.5</v>
      </c>
      <c r="BS155" s="129" t="str">
        <f>IFERROR(VLOOKUP($D155,'WB Data 2'!$C$2:$K$545,9,FALSE),"..")</f>
        <v>..</v>
      </c>
      <c r="BT155" s="129">
        <f>_xlfn.IFNA(VLOOKUP($C155,RGI!$A$2:$C$43,2,FALSE),"..")</f>
        <v>41.8</v>
      </c>
      <c r="BU155" s="129">
        <f>_xlfn.IFNA(VLOOKUP($C155,RGI!$A$2:$C$43,3,FALSE),"..")</f>
        <v>34.155297028034767</v>
      </c>
      <c r="BV155" s="129">
        <f>VLOOKUP($D155,WGI!$C$2:$O$478,7,FALSE)</f>
        <v>-1.0252529637096699</v>
      </c>
      <c r="BW155" s="129">
        <f>VLOOKUP($D155,WGI!$C$2:$O$478,4,FALSE)</f>
        <v>-0.26351750966880499</v>
      </c>
      <c r="BX155" s="129">
        <f>VLOOKUP($D155,WGI!$C$2:$O$478,3,FALSE)</f>
        <v>-0.92944433305378604</v>
      </c>
      <c r="BY155" s="129">
        <f>VLOOKUP($D155,WGI!$C$2:$O$478,5,FALSE)</f>
        <v>-0.83400093790035601</v>
      </c>
      <c r="BZ155" s="129">
        <f>VLOOKUP($D155,WGI!$C$2:$O$478,2,FALSE)</f>
        <v>-1.0266473517350001</v>
      </c>
    </row>
    <row r="156" spans="1:80" ht="15" customHeight="1">
      <c r="A156" s="294" t="s">
        <v>111</v>
      </c>
      <c r="B156" s="117">
        <v>2006</v>
      </c>
      <c r="C156" s="117" t="s">
        <v>101</v>
      </c>
      <c r="D156" s="117" t="s">
        <v>3524</v>
      </c>
      <c r="E156" s="117" t="s">
        <v>86</v>
      </c>
      <c r="F156" s="117"/>
      <c r="G156" s="117" t="s">
        <v>55</v>
      </c>
      <c r="H156" s="117" t="str">
        <f t="shared" si="23"/>
        <v>no</v>
      </c>
      <c r="I156" s="117" t="str">
        <f t="shared" si="24"/>
        <v>yes</v>
      </c>
      <c r="J156" s="117" t="str">
        <f t="shared" si="25"/>
        <v>yes</v>
      </c>
      <c r="K156" s="176" t="s">
        <v>640</v>
      </c>
      <c r="L156" s="117" t="str">
        <f t="shared" si="27"/>
        <v>Total</v>
      </c>
      <c r="M156" s="117" t="str">
        <f t="shared" si="26"/>
        <v>Total Oil, Gas</v>
      </c>
      <c r="N156" s="118"/>
      <c r="O156" s="118"/>
      <c r="P156" s="118"/>
      <c r="Q156" s="118"/>
      <c r="R156" s="118"/>
      <c r="S156" s="117"/>
      <c r="T156" s="119"/>
      <c r="U156" s="117"/>
      <c r="V156" s="117"/>
      <c r="W156" s="89">
        <f>SUM(W157:W158)</f>
        <v>2443535938.7367373</v>
      </c>
      <c r="X156" s="117"/>
      <c r="Y156" s="117"/>
      <c r="Z156" s="117"/>
      <c r="AA156" s="177">
        <f>230970070+AK156</f>
        <v>1598785618.6187501</v>
      </c>
      <c r="AB156" s="177">
        <v>238374040</v>
      </c>
      <c r="AC156" s="122"/>
      <c r="AD156" s="122"/>
      <c r="AE156" s="122"/>
      <c r="AF156" s="213">
        <f>AA156/W156</f>
        <v>0.65429183719937123</v>
      </c>
      <c r="AG156" s="117"/>
      <c r="AH156" s="124"/>
      <c r="AI156" s="117"/>
      <c r="AJ156" s="117" t="s">
        <v>892</v>
      </c>
      <c r="AK156" s="89">
        <v>1367815548.6187501</v>
      </c>
      <c r="AL156" s="89"/>
      <c r="AM156" s="117"/>
      <c r="AN156" s="117">
        <v>12</v>
      </c>
      <c r="AO156" s="117" t="s">
        <v>897</v>
      </c>
      <c r="AP156" s="117">
        <v>7</v>
      </c>
      <c r="AQ156" s="117"/>
      <c r="AR156" s="126"/>
      <c r="AS156" s="117"/>
      <c r="AT156" s="117"/>
      <c r="AU156" s="117">
        <v>15</v>
      </c>
      <c r="AV156" s="128"/>
      <c r="AW156" s="117">
        <f>VLOOKUP($D156,'WB Data'!$C$3:$M$578,2,FALSE)</f>
        <v>17953066391.113693</v>
      </c>
      <c r="AX156" s="117">
        <f>VLOOKUP($D156,'WB Data'!$C$3:$M$578,3,FALSE)</f>
        <v>18611937</v>
      </c>
      <c r="AY156" s="847">
        <f t="shared" si="29"/>
        <v>8.906594621686563E-2</v>
      </c>
      <c r="AZ156" s="117" t="e">
        <f>VLOOKUP($D156,'WB Data'!$C$3:$M$578,4,FALSE)/100</f>
        <v>#VALUE!</v>
      </c>
      <c r="BA156" s="117" t="str">
        <f t="shared" si="30"/>
        <v>..</v>
      </c>
      <c r="BB156" s="129">
        <f>IFERROR(VLOOKUP($D156,'EITI Revenues'!$C$2:$G$224,5,FALSE),"..")</f>
        <v>1599006845.6187501</v>
      </c>
      <c r="BC156" s="846" t="str">
        <f t="shared" si="31"/>
        <v>..</v>
      </c>
      <c r="BD156" s="129">
        <f>VLOOKUP($D156,'WB Data 2'!$C$2:$K$545,6,FALSE)</f>
        <v>2378886306.9864264</v>
      </c>
      <c r="BE156" s="129" t="str">
        <f>IFERROR(VLOOKUP($D156,UNCTAD!$C$5:$V$529,4,FALSE),"..")</f>
        <v>..</v>
      </c>
      <c r="BF156" s="846" t="str">
        <f t="shared" si="32"/>
        <v>..</v>
      </c>
      <c r="BG156" s="117">
        <f>VLOOKUP($D156,'WB Data'!$C$3:$M$578,5,FALSE)</f>
        <v>1718930000</v>
      </c>
      <c r="BH156" s="129">
        <f>IFERROR($BB156/$BG156,"..")</f>
        <v>0.93023383478021215</v>
      </c>
      <c r="BI156" s="117">
        <f>IFERROR(VLOOKUP($D156,'WB Data'!$C$3:$M$578,7,FALSE)/100,"..")</f>
        <v>2.9556800000000001E-2</v>
      </c>
      <c r="BJ156" s="117">
        <f>IFERROR($BI156*$AW156,"..")</f>
        <v>530635192.70886922</v>
      </c>
      <c r="BK156" s="846">
        <f>IFERROR($BB156/$BJ156,"..")</f>
        <v>3.0133825791988857</v>
      </c>
      <c r="BL156" s="117">
        <f>IFERROR(VLOOKUP($D156,'WB Data'!$C$3:$M$578,7,FALSE)/100,"..")</f>
        <v>2.9556800000000001E-2</v>
      </c>
      <c r="BM156" s="117">
        <f>IFERROR($AW156*$BL156,"..")</f>
        <v>530635192.70886922</v>
      </c>
      <c r="BN156" s="846">
        <f>IFERROR($BB156/$BM156,"..")</f>
        <v>3.0133825791988857</v>
      </c>
      <c r="BO156" s="801">
        <f t="shared" si="28"/>
        <v>27</v>
      </c>
      <c r="BP156" s="117" t="str">
        <f>VLOOKUP($D156,'WB Data'!$C$3:$M$578,9,FALSE)</f>
        <v>..</v>
      </c>
      <c r="BQ156" s="117">
        <f>VLOOKUP($D156,'WB Data'!$C$3:$M$578,10,FALSE)</f>
        <v>52.15024390243903</v>
      </c>
      <c r="BR156" s="117">
        <f>VLOOKUP($D156,'WB Data'!$C$3:$M$578,11,FALSE)</f>
        <v>75.5</v>
      </c>
      <c r="BS156" s="129" t="str">
        <f>IFERROR(VLOOKUP($D156,'WB Data 2'!$C$2:$K$545,9,FALSE),"..")</f>
        <v>..</v>
      </c>
      <c r="BT156" s="129">
        <f>_xlfn.IFNA(VLOOKUP($C156,RGI!$A$2:$C$43,2,FALSE),"..")</f>
        <v>41.8</v>
      </c>
      <c r="BU156" s="129">
        <f>_xlfn.IFNA(VLOOKUP($C156,RGI!$A$2:$C$43,3,FALSE),"..")</f>
        <v>34.155297028034767</v>
      </c>
      <c r="BV156" s="129">
        <f>VLOOKUP($D156,WGI!$C$2:$O$478,7,FALSE)</f>
        <v>-1.0252529637096699</v>
      </c>
      <c r="BW156" s="129">
        <f>VLOOKUP($D156,WGI!$C$2:$O$478,4,FALSE)</f>
        <v>-0.26351750966880499</v>
      </c>
      <c r="BX156" s="129">
        <f>VLOOKUP($D156,WGI!$C$2:$O$478,3,FALSE)</f>
        <v>-0.92944433305378604</v>
      </c>
      <c r="BY156" s="129">
        <f>VLOOKUP($D156,WGI!$C$2:$O$478,5,FALSE)</f>
        <v>-0.83400093790035601</v>
      </c>
      <c r="BZ156" s="129">
        <f>VLOOKUP($D156,WGI!$C$2:$O$478,2,FALSE)</f>
        <v>-1.0266473517350001</v>
      </c>
    </row>
    <row r="157" spans="1:80" ht="15" customHeight="1">
      <c r="A157" s="294" t="s">
        <v>111</v>
      </c>
      <c r="B157" s="117">
        <v>2006</v>
      </c>
      <c r="C157" s="117" t="s">
        <v>101</v>
      </c>
      <c r="D157" s="117" t="s">
        <v>3524</v>
      </c>
      <c r="E157" s="117" t="s">
        <v>86</v>
      </c>
      <c r="F157" s="117"/>
      <c r="G157" s="117" t="s">
        <v>561</v>
      </c>
      <c r="H157" s="117" t="str">
        <f t="shared" si="23"/>
        <v>no</v>
      </c>
      <c r="I157" s="117" t="str">
        <f t="shared" si="24"/>
        <v>yes</v>
      </c>
      <c r="J157" s="117" t="str">
        <f t="shared" si="25"/>
        <v>no</v>
      </c>
      <c r="K157" s="176" t="s">
        <v>561</v>
      </c>
      <c r="L157" s="117" t="str">
        <f t="shared" si="27"/>
        <v>detailed</v>
      </c>
      <c r="M157" s="117" t="str">
        <f t="shared" si="26"/>
        <v>detailed Gas</v>
      </c>
      <c r="N157" s="179">
        <f>69000000000*0.0283168</f>
        <v>1953859200</v>
      </c>
      <c r="O157" s="118">
        <f>N157*0.0066</f>
        <v>12895470.720000001</v>
      </c>
      <c r="P157" s="179"/>
      <c r="Q157" s="179"/>
      <c r="R157" s="179"/>
      <c r="S157" s="117" t="s">
        <v>642</v>
      </c>
      <c r="T157" s="119">
        <v>0.243474</v>
      </c>
      <c r="U157" s="117" t="s">
        <v>643</v>
      </c>
      <c r="V157" s="117" t="s">
        <v>880</v>
      </c>
      <c r="W157" s="89">
        <f>N157*T157</f>
        <v>475713914.86079997</v>
      </c>
      <c r="X157" s="117"/>
      <c r="Y157" s="117"/>
      <c r="Z157" s="117"/>
      <c r="AA157" s="211">
        <f>W157/W158</f>
        <v>0.24174641257638024</v>
      </c>
      <c r="AB157" s="177"/>
      <c r="AC157" s="122"/>
      <c r="AD157" s="122"/>
      <c r="AE157" s="122"/>
      <c r="AF157" s="123"/>
      <c r="AG157" s="117"/>
      <c r="AH157" s="124"/>
      <c r="AI157" s="117"/>
      <c r="AJ157" s="117"/>
      <c r="AK157" s="117"/>
      <c r="AL157" s="117"/>
      <c r="AM157" s="117"/>
      <c r="AN157" s="117"/>
      <c r="AO157" s="117"/>
      <c r="AP157" s="117"/>
      <c r="AQ157" s="117"/>
      <c r="AR157" s="126"/>
      <c r="AS157" s="117"/>
      <c r="AT157" s="117"/>
      <c r="AU157" s="117"/>
      <c r="AV157" s="128"/>
      <c r="AW157" s="117">
        <f>VLOOKUP($D157,'WB Data'!$C$3:$M$578,2,FALSE)</f>
        <v>17953066391.113693</v>
      </c>
      <c r="AX157" s="117">
        <f>VLOOKUP($D157,'WB Data'!$C$3:$M$578,3,FALSE)</f>
        <v>18611937</v>
      </c>
      <c r="AY157" s="847">
        <f t="shared" si="29"/>
        <v>8.906594621686563E-2</v>
      </c>
      <c r="AZ157" s="117" t="e">
        <f>VLOOKUP($D157,'WB Data'!$C$3:$M$578,4,FALSE)/100</f>
        <v>#VALUE!</v>
      </c>
      <c r="BA157" s="117" t="str">
        <f t="shared" si="30"/>
        <v>..</v>
      </c>
      <c r="BB157" s="129">
        <f>IFERROR(VLOOKUP($D157,'EITI Revenues'!$C$2:$G$224,5,FALSE),"..")</f>
        <v>1599006845.6187501</v>
      </c>
      <c r="BC157" s="846" t="str">
        <f t="shared" si="31"/>
        <v>..</v>
      </c>
      <c r="BD157" s="129">
        <f>VLOOKUP($D157,'WB Data 2'!$C$2:$K$545,6,FALSE)</f>
        <v>2378886306.9864264</v>
      </c>
      <c r="BE157" s="129" t="str">
        <f>IFERROR(VLOOKUP($D157,UNCTAD!$C$5:$V$529,4,FALSE),"..")</f>
        <v>..</v>
      </c>
      <c r="BF157" s="846" t="str">
        <f t="shared" si="32"/>
        <v>..</v>
      </c>
      <c r="BG157" s="117">
        <f>VLOOKUP($D157,'WB Data'!$C$3:$M$578,5,FALSE)</f>
        <v>1718930000</v>
      </c>
      <c r="BH157" s="129">
        <f>IFERROR($BB157/$BG157,"..")</f>
        <v>0.93023383478021215</v>
      </c>
      <c r="BI157" s="117">
        <f>IFERROR(VLOOKUP($D157,'WB Data'!$C$3:$M$578,7,FALSE)/100,"..")</f>
        <v>2.9556800000000001E-2</v>
      </c>
      <c r="BJ157" s="117">
        <f>IFERROR($BI157*$AW157,"..")</f>
        <v>530635192.70886922</v>
      </c>
      <c r="BK157" s="846">
        <f>IFERROR($BB157/$BJ157,"..")</f>
        <v>3.0133825791988857</v>
      </c>
      <c r="BL157" s="117">
        <f>IFERROR(VLOOKUP($D157,'WB Data'!$C$3:$M$578,7,FALSE)/100,"..")</f>
        <v>2.9556800000000001E-2</v>
      </c>
      <c r="BM157" s="117">
        <f>IFERROR($AW157*$BL157,"..")</f>
        <v>530635192.70886922</v>
      </c>
      <c r="BN157" s="846">
        <f>IFERROR($BB157/$BM157,"..")</f>
        <v>3.0133825791988857</v>
      </c>
      <c r="BO157" s="801">
        <f t="shared" si="28"/>
        <v>27</v>
      </c>
      <c r="BP157" s="117" t="str">
        <f>VLOOKUP($D157,'WB Data'!$C$3:$M$578,9,FALSE)</f>
        <v>..</v>
      </c>
      <c r="BQ157" s="117">
        <f>VLOOKUP($D157,'WB Data'!$C$3:$M$578,10,FALSE)</f>
        <v>52.15024390243903</v>
      </c>
      <c r="BR157" s="117">
        <f>VLOOKUP($D157,'WB Data'!$C$3:$M$578,11,FALSE)</f>
        <v>75.5</v>
      </c>
      <c r="BS157" s="129" t="str">
        <f>IFERROR(VLOOKUP($D157,'WB Data 2'!$C$2:$K$545,9,FALSE),"..")</f>
        <v>..</v>
      </c>
      <c r="BT157" s="129">
        <f>_xlfn.IFNA(VLOOKUP($C157,RGI!$A$2:$C$43,2,FALSE),"..")</f>
        <v>41.8</v>
      </c>
      <c r="BU157" s="129">
        <f>_xlfn.IFNA(VLOOKUP($C157,RGI!$A$2:$C$43,3,FALSE),"..")</f>
        <v>34.155297028034767</v>
      </c>
      <c r="BV157" s="129">
        <f>VLOOKUP($D157,WGI!$C$2:$O$478,7,FALSE)</f>
        <v>-1.0252529637096699</v>
      </c>
      <c r="BW157" s="129">
        <f>VLOOKUP($D157,WGI!$C$2:$O$478,4,FALSE)</f>
        <v>-0.26351750966880499</v>
      </c>
      <c r="BX157" s="129">
        <f>VLOOKUP($D157,WGI!$C$2:$O$478,3,FALSE)</f>
        <v>-0.92944433305378604</v>
      </c>
      <c r="BY157" s="129">
        <f>VLOOKUP($D157,WGI!$C$2:$O$478,5,FALSE)</f>
        <v>-0.83400093790035601</v>
      </c>
      <c r="BZ157" s="129">
        <f>VLOOKUP($D157,WGI!$C$2:$O$478,2,FALSE)</f>
        <v>-1.0266473517350001</v>
      </c>
    </row>
    <row r="158" spans="1:80" ht="15" customHeight="1">
      <c r="A158" s="294" t="s">
        <v>111</v>
      </c>
      <c r="B158" s="117">
        <v>2006</v>
      </c>
      <c r="C158" s="117" t="s">
        <v>101</v>
      </c>
      <c r="D158" s="117" t="s">
        <v>3524</v>
      </c>
      <c r="E158" s="117" t="s">
        <v>86</v>
      </c>
      <c r="F158" s="117"/>
      <c r="G158" s="117" t="s">
        <v>103</v>
      </c>
      <c r="H158" s="117" t="str">
        <f t="shared" si="23"/>
        <v>no</v>
      </c>
      <c r="I158" s="117" t="str">
        <f t="shared" si="24"/>
        <v>no</v>
      </c>
      <c r="J158" s="117" t="str">
        <f t="shared" si="25"/>
        <v>yes</v>
      </c>
      <c r="K158" s="176" t="s">
        <v>103</v>
      </c>
      <c r="L158" s="117" t="str">
        <f t="shared" si="27"/>
        <v>detailed</v>
      </c>
      <c r="M158" s="117" t="str">
        <f t="shared" si="26"/>
        <v>detailed Oil</v>
      </c>
      <c r="N158" s="118">
        <v>31910000</v>
      </c>
      <c r="O158" s="211">
        <f>O157/N158</f>
        <v>0.40412004763397058</v>
      </c>
      <c r="P158" s="118">
        <v>31910000</v>
      </c>
      <c r="Q158" s="118"/>
      <c r="R158" s="118"/>
      <c r="S158" s="117" t="s">
        <v>646</v>
      </c>
      <c r="T158" s="119">
        <f>64.9340625*0.9497</f>
        <v>61.667879156249995</v>
      </c>
      <c r="U158" s="117" t="s">
        <v>673</v>
      </c>
      <c r="V158" s="117" t="s">
        <v>898</v>
      </c>
      <c r="W158" s="89">
        <f>N158*T158</f>
        <v>1967822023.8759375</v>
      </c>
      <c r="X158" s="117"/>
      <c r="Y158" s="117"/>
      <c r="Z158" s="117"/>
      <c r="AA158" s="177"/>
      <c r="AB158" s="177"/>
      <c r="AC158" s="122"/>
      <c r="AD158" s="122"/>
      <c r="AE158" s="122"/>
      <c r="AF158" s="123"/>
      <c r="AG158" s="117"/>
      <c r="AH158" s="124"/>
      <c r="AI158" s="117"/>
      <c r="AJ158" s="117"/>
      <c r="AK158" s="117"/>
      <c r="AL158" s="117"/>
      <c r="AM158" s="117"/>
      <c r="AN158" s="117"/>
      <c r="AO158" s="117"/>
      <c r="AP158" s="117"/>
      <c r="AQ158" s="117"/>
      <c r="AR158" s="126"/>
      <c r="AS158" s="117"/>
      <c r="AT158" s="117"/>
      <c r="AU158" s="117">
        <v>50</v>
      </c>
      <c r="AV158" s="128"/>
      <c r="AW158" s="117">
        <f>VLOOKUP($D158,'WB Data'!$C$3:$M$578,2,FALSE)</f>
        <v>17953066391.113693</v>
      </c>
      <c r="AX158" s="117">
        <f>VLOOKUP($D158,'WB Data'!$C$3:$M$578,3,FALSE)</f>
        <v>18611937</v>
      </c>
      <c r="AY158" s="847">
        <f t="shared" si="29"/>
        <v>8.906594621686563E-2</v>
      </c>
      <c r="AZ158" s="117" t="e">
        <f>VLOOKUP($D158,'WB Data'!$C$3:$M$578,4,FALSE)/100</f>
        <v>#VALUE!</v>
      </c>
      <c r="BA158" s="117" t="str">
        <f t="shared" si="30"/>
        <v>..</v>
      </c>
      <c r="BB158" s="129">
        <f>IFERROR(VLOOKUP($D158,'EITI Revenues'!$C$2:$G$224,5,FALSE),"..")</f>
        <v>1599006845.6187501</v>
      </c>
      <c r="BC158" s="846" t="str">
        <f t="shared" si="31"/>
        <v>..</v>
      </c>
      <c r="BD158" s="129">
        <f>VLOOKUP($D158,'WB Data 2'!$C$2:$K$545,6,FALSE)</f>
        <v>2378886306.9864264</v>
      </c>
      <c r="BE158" s="129" t="str">
        <f>IFERROR(VLOOKUP($D158,UNCTAD!$C$5:$V$529,4,FALSE),"..")</f>
        <v>..</v>
      </c>
      <c r="BF158" s="846" t="str">
        <f t="shared" si="32"/>
        <v>..</v>
      </c>
      <c r="BG158" s="117">
        <f>VLOOKUP($D158,'WB Data'!$C$3:$M$578,5,FALSE)</f>
        <v>1718930000</v>
      </c>
      <c r="BH158" s="129">
        <f>IFERROR($BB158/$BG158,"..")</f>
        <v>0.93023383478021215</v>
      </c>
      <c r="BI158" s="117">
        <f>IFERROR(VLOOKUP($D158,'WB Data'!$C$3:$M$578,7,FALSE)/100,"..")</f>
        <v>2.9556800000000001E-2</v>
      </c>
      <c r="BJ158" s="117">
        <f>IFERROR($BI158*$AW158,"..")</f>
        <v>530635192.70886922</v>
      </c>
      <c r="BK158" s="846">
        <f>IFERROR($BB158/$BJ158,"..")</f>
        <v>3.0133825791988857</v>
      </c>
      <c r="BL158" s="117">
        <f>IFERROR(VLOOKUP($D158,'WB Data'!$C$3:$M$578,7,FALSE)/100,"..")</f>
        <v>2.9556800000000001E-2</v>
      </c>
      <c r="BM158" s="117">
        <f>IFERROR($AW158*$BL158,"..")</f>
        <v>530635192.70886922</v>
      </c>
      <c r="BN158" s="846">
        <f>IFERROR($BB158/$BM158,"..")</f>
        <v>3.0133825791988857</v>
      </c>
      <c r="BO158" s="801">
        <f t="shared" si="28"/>
        <v>27</v>
      </c>
      <c r="BP158" s="117" t="str">
        <f>VLOOKUP($D158,'WB Data'!$C$3:$M$578,9,FALSE)</f>
        <v>..</v>
      </c>
      <c r="BQ158" s="117">
        <f>VLOOKUP($D158,'WB Data'!$C$3:$M$578,10,FALSE)</f>
        <v>52.15024390243903</v>
      </c>
      <c r="BR158" s="117">
        <f>VLOOKUP($D158,'WB Data'!$C$3:$M$578,11,FALSE)</f>
        <v>75.5</v>
      </c>
      <c r="BS158" s="129" t="str">
        <f>IFERROR(VLOOKUP($D158,'WB Data 2'!$C$2:$K$545,9,FALSE),"..")</f>
        <v>..</v>
      </c>
      <c r="BT158" s="129">
        <f>_xlfn.IFNA(VLOOKUP($C158,RGI!$A$2:$C$43,2,FALSE),"..")</f>
        <v>41.8</v>
      </c>
      <c r="BU158" s="129">
        <f>_xlfn.IFNA(VLOOKUP($C158,RGI!$A$2:$C$43,3,FALSE),"..")</f>
        <v>34.155297028034767</v>
      </c>
      <c r="BV158" s="129">
        <f>VLOOKUP($D158,WGI!$C$2:$O$478,7,FALSE)</f>
        <v>-1.0252529637096699</v>
      </c>
      <c r="BW158" s="129">
        <f>VLOOKUP($D158,WGI!$C$2:$O$478,4,FALSE)</f>
        <v>-0.26351750966880499</v>
      </c>
      <c r="BX158" s="129">
        <f>VLOOKUP($D158,WGI!$C$2:$O$478,3,FALSE)</f>
        <v>-0.92944433305378604</v>
      </c>
      <c r="BY158" s="129">
        <f>VLOOKUP($D158,WGI!$C$2:$O$478,5,FALSE)</f>
        <v>-0.83400093790035601</v>
      </c>
      <c r="BZ158" s="129">
        <f>VLOOKUP($D158,WGI!$C$2:$O$478,2,FALSE)</f>
        <v>-1.0266473517350001</v>
      </c>
    </row>
    <row r="159" spans="1:80" ht="15" customHeight="1">
      <c r="A159" s="294" t="s">
        <v>111</v>
      </c>
      <c r="B159" s="117">
        <v>2006</v>
      </c>
      <c r="C159" s="117" t="s">
        <v>101</v>
      </c>
      <c r="D159" s="117" t="s">
        <v>3524</v>
      </c>
      <c r="E159" s="117" t="s">
        <v>86</v>
      </c>
      <c r="F159" s="117"/>
      <c r="G159" s="117" t="s">
        <v>24</v>
      </c>
      <c r="H159" s="117" t="str">
        <f t="shared" si="23"/>
        <v>yes</v>
      </c>
      <c r="I159" s="117" t="str">
        <f t="shared" si="24"/>
        <v>no</v>
      </c>
      <c r="J159" s="117" t="str">
        <f t="shared" si="25"/>
        <v>no</v>
      </c>
      <c r="K159" s="176" t="s">
        <v>600</v>
      </c>
      <c r="L159" s="117" t="str">
        <f t="shared" si="27"/>
        <v>Total</v>
      </c>
      <c r="M159" s="117" t="str">
        <f t="shared" si="26"/>
        <v>Total Mining</v>
      </c>
      <c r="N159" s="118"/>
      <c r="O159" s="118"/>
      <c r="P159" s="118"/>
      <c r="Q159" s="118"/>
      <c r="R159" s="118"/>
      <c r="S159" s="117"/>
      <c r="T159" s="119"/>
      <c r="U159" s="117"/>
      <c r="V159" s="117"/>
      <c r="W159" s="89">
        <f>SUM(W160:W164)</f>
        <v>11012933.4</v>
      </c>
      <c r="X159" s="117"/>
      <c r="Y159" s="117"/>
      <c r="Z159" s="117"/>
      <c r="AA159" s="179">
        <v>221227</v>
      </c>
      <c r="AB159" s="179">
        <v>448328</v>
      </c>
      <c r="AC159" s="212"/>
      <c r="AD159" s="212"/>
      <c r="AE159" s="212"/>
      <c r="AF159" s="213">
        <f>AA159/W159</f>
        <v>2.0087926800683276E-2</v>
      </c>
      <c r="AG159" s="117"/>
      <c r="AH159" s="124"/>
      <c r="AI159" s="117"/>
      <c r="AJ159" s="117"/>
      <c r="AK159" s="89"/>
      <c r="AL159" s="117"/>
      <c r="AM159" s="117"/>
      <c r="AN159" s="214">
        <v>9</v>
      </c>
      <c r="AO159" s="117" t="s">
        <v>899</v>
      </c>
      <c r="AP159" s="117">
        <v>3</v>
      </c>
      <c r="AQ159" s="232"/>
      <c r="AR159" s="126"/>
      <c r="AS159" s="117"/>
      <c r="AT159" s="127"/>
      <c r="AU159" s="215" t="s">
        <v>900</v>
      </c>
      <c r="AV159" s="128"/>
      <c r="AW159" s="117">
        <f>VLOOKUP($D159,'WB Data'!$C$3:$M$578,2,FALSE)</f>
        <v>17953066391.113693</v>
      </c>
      <c r="AX159" s="117">
        <f>VLOOKUP($D159,'WB Data'!$C$3:$M$578,3,FALSE)</f>
        <v>18611937</v>
      </c>
      <c r="AY159" s="847">
        <f t="shared" si="29"/>
        <v>8.906594621686563E-2</v>
      </c>
      <c r="AZ159" s="117" t="e">
        <f>VLOOKUP($D159,'WB Data'!$C$3:$M$578,4,FALSE)/100</f>
        <v>#VALUE!</v>
      </c>
      <c r="BA159" s="117" t="str">
        <f t="shared" si="30"/>
        <v>..</v>
      </c>
      <c r="BB159" s="129">
        <f>IFERROR(VLOOKUP($D159,'EITI Revenues'!$C$2:$G$224,5,FALSE),"..")</f>
        <v>1599006845.6187501</v>
      </c>
      <c r="BC159" s="846" t="str">
        <f t="shared" si="31"/>
        <v>..</v>
      </c>
      <c r="BD159" s="129">
        <f>VLOOKUP($D159,'WB Data 2'!$C$2:$K$545,6,FALSE)</f>
        <v>2378886306.9864264</v>
      </c>
      <c r="BE159" s="129" t="str">
        <f>IFERROR(VLOOKUP($D159,UNCTAD!$C$5:$V$529,4,FALSE),"..")</f>
        <v>..</v>
      </c>
      <c r="BF159" s="846" t="str">
        <f t="shared" si="32"/>
        <v>..</v>
      </c>
      <c r="BG159" s="117">
        <f>VLOOKUP($D159,'WB Data'!$C$3:$M$578,5,FALSE)</f>
        <v>1718930000</v>
      </c>
      <c r="BH159" s="129">
        <f>IFERROR($BB159/$BG159,"..")</f>
        <v>0.93023383478021215</v>
      </c>
      <c r="BI159" s="117">
        <f>IFERROR(VLOOKUP($D159,'WB Data'!$C$3:$M$578,7,FALSE)/100,"..")</f>
        <v>2.9556800000000001E-2</v>
      </c>
      <c r="BJ159" s="117">
        <f>IFERROR($BI159*$AW159,"..")</f>
        <v>530635192.70886922</v>
      </c>
      <c r="BK159" s="846">
        <f>IFERROR($BB159/$BJ159,"..")</f>
        <v>3.0133825791988857</v>
      </c>
      <c r="BL159" s="117">
        <f>IFERROR(VLOOKUP($D159,'WB Data'!$C$3:$M$578,7,FALSE)/100,"..")</f>
        <v>2.9556800000000001E-2</v>
      </c>
      <c r="BM159" s="117">
        <f>IFERROR($AW159*$BL159,"..")</f>
        <v>530635192.70886922</v>
      </c>
      <c r="BN159" s="846">
        <f>IFERROR($BB159/$BM159,"..")</f>
        <v>3.0133825791988857</v>
      </c>
      <c r="BO159" s="801">
        <f t="shared" si="28"/>
        <v>27</v>
      </c>
      <c r="BP159" s="117" t="str">
        <f>VLOOKUP($D159,'WB Data'!$C$3:$M$578,9,FALSE)</f>
        <v>..</v>
      </c>
      <c r="BQ159" s="117">
        <f>VLOOKUP($D159,'WB Data'!$C$3:$M$578,10,FALSE)</f>
        <v>52.15024390243903</v>
      </c>
      <c r="BR159" s="117">
        <f>VLOOKUP($D159,'WB Data'!$C$3:$M$578,11,FALSE)</f>
        <v>75.5</v>
      </c>
      <c r="BS159" s="129" t="str">
        <f>IFERROR(VLOOKUP($D159,'WB Data 2'!$C$2:$K$545,9,FALSE),"..")</f>
        <v>..</v>
      </c>
      <c r="BT159" s="129">
        <f>_xlfn.IFNA(VLOOKUP($C159,RGI!$A$2:$C$43,2,FALSE),"..")</f>
        <v>41.8</v>
      </c>
      <c r="BU159" s="129">
        <f>_xlfn.IFNA(VLOOKUP($C159,RGI!$A$2:$C$43,3,FALSE),"..")</f>
        <v>34.155297028034767</v>
      </c>
      <c r="BV159" s="129">
        <f>VLOOKUP($D159,WGI!$C$2:$O$478,7,FALSE)</f>
        <v>-1.0252529637096699</v>
      </c>
      <c r="BW159" s="129">
        <f>VLOOKUP($D159,WGI!$C$2:$O$478,4,FALSE)</f>
        <v>-0.26351750966880499</v>
      </c>
      <c r="BX159" s="129">
        <f>VLOOKUP($D159,WGI!$C$2:$O$478,3,FALSE)</f>
        <v>-0.92944433305378604</v>
      </c>
      <c r="BY159" s="129">
        <f>VLOOKUP($D159,WGI!$C$2:$O$478,5,FALSE)</f>
        <v>-0.83400093790035601</v>
      </c>
      <c r="BZ159" s="129">
        <f>VLOOKUP($D159,WGI!$C$2:$O$478,2,FALSE)</f>
        <v>-1.0266473517350001</v>
      </c>
    </row>
    <row r="160" spans="1:80" ht="15" customHeight="1">
      <c r="A160" s="294" t="s">
        <v>111</v>
      </c>
      <c r="B160" s="117">
        <v>2006</v>
      </c>
      <c r="C160" s="117" t="s">
        <v>101</v>
      </c>
      <c r="D160" s="117" t="s">
        <v>3524</v>
      </c>
      <c r="E160" s="117" t="s">
        <v>86</v>
      </c>
      <c r="F160" s="117"/>
      <c r="G160" s="117" t="s">
        <v>24</v>
      </c>
      <c r="H160" s="117" t="str">
        <f t="shared" si="23"/>
        <v>yes</v>
      </c>
      <c r="I160" s="117" t="str">
        <f t="shared" si="24"/>
        <v>no</v>
      </c>
      <c r="J160" s="117" t="str">
        <f t="shared" si="25"/>
        <v>no</v>
      </c>
      <c r="K160" s="176" t="s">
        <v>728</v>
      </c>
      <c r="L160" s="117" t="str">
        <f t="shared" si="27"/>
        <v>detailed</v>
      </c>
      <c r="M160" s="117" t="str">
        <f t="shared" si="26"/>
        <v>detailed Mining</v>
      </c>
      <c r="N160" s="118">
        <v>10000</v>
      </c>
      <c r="O160" s="118"/>
      <c r="P160" s="118"/>
      <c r="Q160" s="118"/>
      <c r="R160" s="118"/>
      <c r="S160" s="117" t="s">
        <v>610</v>
      </c>
      <c r="T160" s="119">
        <f>10*0.1417</f>
        <v>1.4169999999999998</v>
      </c>
      <c r="U160" s="117" t="s">
        <v>611</v>
      </c>
      <c r="V160" s="117" t="s">
        <v>901</v>
      </c>
      <c r="W160" s="89">
        <f>N160*T160</f>
        <v>14169.999999999998</v>
      </c>
      <c r="X160" s="117"/>
      <c r="Y160" s="117"/>
      <c r="Z160" s="117"/>
      <c r="AA160" s="179"/>
      <c r="AB160" s="179"/>
      <c r="AC160" s="212"/>
      <c r="AD160" s="212"/>
      <c r="AE160" s="212"/>
      <c r="AF160" s="213"/>
      <c r="AG160" s="117"/>
      <c r="AH160" s="124"/>
      <c r="AI160" s="117"/>
      <c r="AJ160" s="117"/>
      <c r="AK160" s="89"/>
      <c r="AL160" s="117"/>
      <c r="AM160" s="117"/>
      <c r="AN160" s="214"/>
      <c r="AO160" s="117"/>
      <c r="AP160" s="117"/>
      <c r="AQ160" s="232"/>
      <c r="AR160" s="126"/>
      <c r="AS160" s="117"/>
      <c r="AT160" s="127"/>
      <c r="AU160" s="215"/>
      <c r="AV160" s="128"/>
      <c r="AW160" s="117">
        <f>VLOOKUP($D160,'WB Data'!$C$3:$M$578,2,FALSE)</f>
        <v>17953066391.113693</v>
      </c>
      <c r="AX160" s="117">
        <f>VLOOKUP($D160,'WB Data'!$C$3:$M$578,3,FALSE)</f>
        <v>18611937</v>
      </c>
      <c r="AY160" s="847">
        <f t="shared" si="29"/>
        <v>8.906594621686563E-2</v>
      </c>
      <c r="AZ160" s="117" t="e">
        <f>VLOOKUP($D160,'WB Data'!$C$3:$M$578,4,FALSE)/100</f>
        <v>#VALUE!</v>
      </c>
      <c r="BA160" s="117" t="str">
        <f t="shared" si="30"/>
        <v>..</v>
      </c>
      <c r="BB160" s="129">
        <f>IFERROR(VLOOKUP($D160,'EITI Revenues'!$C$2:$G$224,5,FALSE),"..")</f>
        <v>1599006845.6187501</v>
      </c>
      <c r="BC160" s="846" t="str">
        <f t="shared" si="31"/>
        <v>..</v>
      </c>
      <c r="BD160" s="129">
        <f>VLOOKUP($D160,'WB Data 2'!$C$2:$K$545,6,FALSE)</f>
        <v>2378886306.9864264</v>
      </c>
      <c r="BE160" s="129" t="str">
        <f>IFERROR(VLOOKUP($D160,UNCTAD!$C$5:$V$529,4,FALSE),"..")</f>
        <v>..</v>
      </c>
      <c r="BF160" s="846" t="str">
        <f t="shared" si="32"/>
        <v>..</v>
      </c>
      <c r="BG160" s="117">
        <f>VLOOKUP($D160,'WB Data'!$C$3:$M$578,5,FALSE)</f>
        <v>1718930000</v>
      </c>
      <c r="BH160" s="129">
        <f>IFERROR($BB160/$BG160,"..")</f>
        <v>0.93023383478021215</v>
      </c>
      <c r="BI160" s="117">
        <f>IFERROR(VLOOKUP($D160,'WB Data'!$C$3:$M$578,7,FALSE)/100,"..")</f>
        <v>2.9556800000000001E-2</v>
      </c>
      <c r="BJ160" s="117">
        <f>IFERROR($BI160*$AW160,"..")</f>
        <v>530635192.70886922</v>
      </c>
      <c r="BK160" s="846">
        <f>IFERROR($BB160/$BJ160,"..")</f>
        <v>3.0133825791988857</v>
      </c>
      <c r="BL160" s="117">
        <f>IFERROR(VLOOKUP($D160,'WB Data'!$C$3:$M$578,7,FALSE)/100,"..")</f>
        <v>2.9556800000000001E-2</v>
      </c>
      <c r="BM160" s="117">
        <f>IFERROR($AW160*$BL160,"..")</f>
        <v>530635192.70886922</v>
      </c>
      <c r="BN160" s="846">
        <f>IFERROR($BB160/$BM160,"..")</f>
        <v>3.0133825791988857</v>
      </c>
      <c r="BO160" s="801">
        <f t="shared" si="28"/>
        <v>27</v>
      </c>
      <c r="BP160" s="117" t="str">
        <f>VLOOKUP($D160,'WB Data'!$C$3:$M$578,9,FALSE)</f>
        <v>..</v>
      </c>
      <c r="BQ160" s="117">
        <f>VLOOKUP($D160,'WB Data'!$C$3:$M$578,10,FALSE)</f>
        <v>52.15024390243903</v>
      </c>
      <c r="BR160" s="117">
        <f>VLOOKUP($D160,'WB Data'!$C$3:$M$578,11,FALSE)</f>
        <v>75.5</v>
      </c>
      <c r="BS160" s="129" t="str">
        <f>IFERROR(VLOOKUP($D160,'WB Data 2'!$C$2:$K$545,9,FALSE),"..")</f>
        <v>..</v>
      </c>
      <c r="BT160" s="129">
        <f>_xlfn.IFNA(VLOOKUP($C160,RGI!$A$2:$C$43,2,FALSE),"..")</f>
        <v>41.8</v>
      </c>
      <c r="BU160" s="129">
        <f>_xlfn.IFNA(VLOOKUP($C160,RGI!$A$2:$C$43,3,FALSE),"..")</f>
        <v>34.155297028034767</v>
      </c>
      <c r="BV160" s="129">
        <f>VLOOKUP($D160,WGI!$C$2:$O$478,7,FALSE)</f>
        <v>-1.0252529637096699</v>
      </c>
      <c r="BW160" s="129">
        <f>VLOOKUP($D160,WGI!$C$2:$O$478,4,FALSE)</f>
        <v>-0.26351750966880499</v>
      </c>
      <c r="BX160" s="129">
        <f>VLOOKUP($D160,WGI!$C$2:$O$478,3,FALSE)</f>
        <v>-0.92944433305378604</v>
      </c>
      <c r="BY160" s="129">
        <f>VLOOKUP($D160,WGI!$C$2:$O$478,5,FALSE)</f>
        <v>-0.83400093790035601</v>
      </c>
      <c r="BZ160" s="129">
        <f>VLOOKUP($D160,WGI!$C$2:$O$478,2,FALSE)</f>
        <v>-1.0266473517350001</v>
      </c>
    </row>
    <row r="161" spans="1:80" ht="15" customHeight="1">
      <c r="A161" s="294" t="s">
        <v>111</v>
      </c>
      <c r="B161" s="117">
        <v>2006</v>
      </c>
      <c r="C161" s="117" t="s">
        <v>101</v>
      </c>
      <c r="D161" s="117" t="s">
        <v>3524</v>
      </c>
      <c r="E161" s="117" t="s">
        <v>86</v>
      </c>
      <c r="F161" s="117"/>
      <c r="G161" s="117" t="s">
        <v>24</v>
      </c>
      <c r="H161" s="117" t="str">
        <f t="shared" si="23"/>
        <v>yes</v>
      </c>
      <c r="I161" s="117" t="str">
        <f t="shared" si="24"/>
        <v>no</v>
      </c>
      <c r="J161" s="117" t="str">
        <f t="shared" si="25"/>
        <v>no</v>
      </c>
      <c r="K161" s="176" t="s">
        <v>784</v>
      </c>
      <c r="L161" s="117" t="str">
        <f t="shared" si="27"/>
        <v>detailed</v>
      </c>
      <c r="M161" s="117" t="str">
        <f t="shared" si="26"/>
        <v>detailed Mining</v>
      </c>
      <c r="N161" s="118">
        <f>2000*32.150743126506</f>
        <v>64301.486253012001</v>
      </c>
      <c r="O161" s="118"/>
      <c r="P161" s="118"/>
      <c r="Q161" s="118"/>
      <c r="R161" s="118"/>
      <c r="S161" s="117" t="s">
        <v>785</v>
      </c>
      <c r="T161" s="119">
        <v>604.33583333333002</v>
      </c>
      <c r="U161" s="117" t="s">
        <v>786</v>
      </c>
      <c r="V161" s="233" t="s">
        <v>902</v>
      </c>
      <c r="W161" s="89"/>
      <c r="X161" s="117"/>
      <c r="Y161" s="117"/>
      <c r="Z161" s="117"/>
      <c r="AA161" s="179"/>
      <c r="AB161" s="179"/>
      <c r="AC161" s="212"/>
      <c r="AD161" s="212"/>
      <c r="AE161" s="212"/>
      <c r="AF161" s="213"/>
      <c r="AG161" s="117"/>
      <c r="AH161" s="124"/>
      <c r="AI161" s="117"/>
      <c r="AJ161" s="117"/>
      <c r="AK161" s="89"/>
      <c r="AL161" s="117"/>
      <c r="AM161" s="117"/>
      <c r="AN161" s="214"/>
      <c r="AO161" s="117"/>
      <c r="AP161" s="117"/>
      <c r="AQ161" s="232"/>
      <c r="AR161" s="126"/>
      <c r="AS161" s="117"/>
      <c r="AT161" s="127"/>
      <c r="AU161" s="215"/>
      <c r="AV161" s="128" t="s">
        <v>903</v>
      </c>
      <c r="AW161" s="117">
        <f>VLOOKUP($D161,'WB Data'!$C$3:$M$578,2,FALSE)</f>
        <v>17953066391.113693</v>
      </c>
      <c r="AX161" s="117">
        <f>VLOOKUP($D161,'WB Data'!$C$3:$M$578,3,FALSE)</f>
        <v>18611937</v>
      </c>
      <c r="AY161" s="847">
        <f t="shared" si="29"/>
        <v>8.906594621686563E-2</v>
      </c>
      <c r="AZ161" s="117" t="e">
        <f>VLOOKUP($D161,'WB Data'!$C$3:$M$578,4,FALSE)/100</f>
        <v>#VALUE!</v>
      </c>
      <c r="BA161" s="117" t="str">
        <f t="shared" si="30"/>
        <v>..</v>
      </c>
      <c r="BB161" s="129">
        <f>IFERROR(VLOOKUP($D161,'EITI Revenues'!$C$2:$G$224,5,FALSE),"..")</f>
        <v>1599006845.6187501</v>
      </c>
      <c r="BC161" s="846" t="str">
        <f t="shared" si="31"/>
        <v>..</v>
      </c>
      <c r="BD161" s="129">
        <f>VLOOKUP($D161,'WB Data 2'!$C$2:$K$545,6,FALSE)</f>
        <v>2378886306.9864264</v>
      </c>
      <c r="BE161" s="129" t="str">
        <f>IFERROR(VLOOKUP($D161,UNCTAD!$C$5:$V$529,4,FALSE),"..")</f>
        <v>..</v>
      </c>
      <c r="BF161" s="846" t="str">
        <f t="shared" si="32"/>
        <v>..</v>
      </c>
      <c r="BG161" s="117">
        <f>VLOOKUP($D161,'WB Data'!$C$3:$M$578,5,FALSE)</f>
        <v>1718930000</v>
      </c>
      <c r="BH161" s="129">
        <f>IFERROR($BB161/$BG161,"..")</f>
        <v>0.93023383478021215</v>
      </c>
      <c r="BI161" s="117">
        <f>IFERROR(VLOOKUP($D161,'WB Data'!$C$3:$M$578,7,FALSE)/100,"..")</f>
        <v>2.9556800000000001E-2</v>
      </c>
      <c r="BJ161" s="117">
        <f>IFERROR($BI161*$AW161,"..")</f>
        <v>530635192.70886922</v>
      </c>
      <c r="BK161" s="846">
        <f>IFERROR($BB161/$BJ161,"..")</f>
        <v>3.0133825791988857</v>
      </c>
      <c r="BL161" s="117">
        <f>IFERROR(VLOOKUP($D161,'WB Data'!$C$3:$M$578,7,FALSE)/100,"..")</f>
        <v>2.9556800000000001E-2</v>
      </c>
      <c r="BM161" s="117">
        <f>IFERROR($AW161*$BL161,"..")</f>
        <v>530635192.70886922</v>
      </c>
      <c r="BN161" s="846">
        <f>IFERROR($BB161/$BM161,"..")</f>
        <v>3.0133825791988857</v>
      </c>
      <c r="BO161" s="801">
        <f t="shared" si="28"/>
        <v>27</v>
      </c>
      <c r="BP161" s="117" t="str">
        <f>VLOOKUP($D161,'WB Data'!$C$3:$M$578,9,FALSE)</f>
        <v>..</v>
      </c>
      <c r="BQ161" s="117">
        <f>VLOOKUP($D161,'WB Data'!$C$3:$M$578,10,FALSE)</f>
        <v>52.15024390243903</v>
      </c>
      <c r="BR161" s="117">
        <f>VLOOKUP($D161,'WB Data'!$C$3:$M$578,11,FALSE)</f>
        <v>75.5</v>
      </c>
      <c r="BS161" s="129" t="str">
        <f>IFERROR(VLOOKUP($D161,'WB Data 2'!$C$2:$K$545,9,FALSE),"..")</f>
        <v>..</v>
      </c>
      <c r="BT161" s="129">
        <f>_xlfn.IFNA(VLOOKUP($C161,RGI!$A$2:$C$43,2,FALSE),"..")</f>
        <v>41.8</v>
      </c>
      <c r="BU161" s="129">
        <f>_xlfn.IFNA(VLOOKUP($C161,RGI!$A$2:$C$43,3,FALSE),"..")</f>
        <v>34.155297028034767</v>
      </c>
      <c r="BV161" s="129">
        <f>VLOOKUP($D161,WGI!$C$2:$O$478,7,FALSE)</f>
        <v>-1.0252529637096699</v>
      </c>
      <c r="BW161" s="129">
        <f>VLOOKUP($D161,WGI!$C$2:$O$478,4,FALSE)</f>
        <v>-0.26351750966880499</v>
      </c>
      <c r="BX161" s="129">
        <f>VLOOKUP($D161,WGI!$C$2:$O$478,3,FALSE)</f>
        <v>-0.92944433305378604</v>
      </c>
      <c r="BY161" s="129">
        <f>VLOOKUP($D161,WGI!$C$2:$O$478,5,FALSE)</f>
        <v>-0.83400093790035601</v>
      </c>
      <c r="BZ161" s="129">
        <f>VLOOKUP($D161,WGI!$C$2:$O$478,2,FALSE)</f>
        <v>-1.0266473517350001</v>
      </c>
    </row>
    <row r="162" spans="1:80" ht="15" customHeight="1">
      <c r="A162" s="294" t="s">
        <v>111</v>
      </c>
      <c r="B162" s="117">
        <v>2006</v>
      </c>
      <c r="C162" s="117" t="s">
        <v>101</v>
      </c>
      <c r="D162" s="117" t="s">
        <v>3524</v>
      </c>
      <c r="E162" s="117" t="s">
        <v>86</v>
      </c>
      <c r="F162" s="117"/>
      <c r="G162" s="117" t="s">
        <v>24</v>
      </c>
      <c r="H162" s="117" t="str">
        <f t="shared" si="23"/>
        <v>yes</v>
      </c>
      <c r="I162" s="117" t="str">
        <f t="shared" si="24"/>
        <v>no</v>
      </c>
      <c r="J162" s="117" t="str">
        <f t="shared" si="25"/>
        <v>no</v>
      </c>
      <c r="K162" s="176" t="s">
        <v>703</v>
      </c>
      <c r="L162" s="117" t="str">
        <f t="shared" si="27"/>
        <v>detailed</v>
      </c>
      <c r="M162" s="117" t="str">
        <f t="shared" si="26"/>
        <v>detailed Mining</v>
      </c>
      <c r="N162" s="118">
        <v>100000</v>
      </c>
      <c r="O162" s="118"/>
      <c r="P162" s="118"/>
      <c r="Q162" s="118"/>
      <c r="R162" s="118"/>
      <c r="S162" s="117" t="s">
        <v>610</v>
      </c>
      <c r="T162" s="119">
        <f>7.52*1.8433</f>
        <v>13.861615999999998</v>
      </c>
      <c r="U162" s="117" t="s">
        <v>611</v>
      </c>
      <c r="V162" s="117" t="s">
        <v>904</v>
      </c>
      <c r="W162" s="89">
        <f>N162*T162</f>
        <v>1386161.5999999999</v>
      </c>
      <c r="X162" s="117"/>
      <c r="Y162" s="117"/>
      <c r="Z162" s="117"/>
      <c r="AA162" s="179"/>
      <c r="AB162" s="179"/>
      <c r="AC162" s="212"/>
      <c r="AD162" s="212"/>
      <c r="AE162" s="212"/>
      <c r="AF162" s="213"/>
      <c r="AG162" s="117"/>
      <c r="AH162" s="124"/>
      <c r="AI162" s="117"/>
      <c r="AJ162" s="117"/>
      <c r="AK162" s="89"/>
      <c r="AL162" s="117"/>
      <c r="AM162" s="117"/>
      <c r="AN162" s="214"/>
      <c r="AO162" s="117"/>
      <c r="AP162" s="117"/>
      <c r="AQ162" s="232"/>
      <c r="AR162" s="126"/>
      <c r="AS162" s="117"/>
      <c r="AT162" s="127"/>
      <c r="AU162" s="215"/>
      <c r="AV162" s="128"/>
      <c r="AW162" s="117">
        <f>VLOOKUP($D162,'WB Data'!$C$3:$M$578,2,FALSE)</f>
        <v>17953066391.113693</v>
      </c>
      <c r="AX162" s="117">
        <f>VLOOKUP($D162,'WB Data'!$C$3:$M$578,3,FALSE)</f>
        <v>18611937</v>
      </c>
      <c r="AY162" s="847">
        <f t="shared" si="29"/>
        <v>8.906594621686563E-2</v>
      </c>
      <c r="AZ162" s="117" t="e">
        <f>VLOOKUP($D162,'WB Data'!$C$3:$M$578,4,FALSE)/100</f>
        <v>#VALUE!</v>
      </c>
      <c r="BA162" s="117" t="str">
        <f t="shared" si="30"/>
        <v>..</v>
      </c>
      <c r="BB162" s="129">
        <f>IFERROR(VLOOKUP($D162,'EITI Revenues'!$C$2:$G$224,5,FALSE),"..")</f>
        <v>1599006845.6187501</v>
      </c>
      <c r="BC162" s="846" t="str">
        <f t="shared" si="31"/>
        <v>..</v>
      </c>
      <c r="BD162" s="129">
        <f>VLOOKUP($D162,'WB Data 2'!$C$2:$K$545,6,FALSE)</f>
        <v>2378886306.9864264</v>
      </c>
      <c r="BE162" s="129" t="str">
        <f>IFERROR(VLOOKUP($D162,UNCTAD!$C$5:$V$529,4,FALSE),"..")</f>
        <v>..</v>
      </c>
      <c r="BF162" s="846" t="str">
        <f t="shared" si="32"/>
        <v>..</v>
      </c>
      <c r="BG162" s="117">
        <f>VLOOKUP($D162,'WB Data'!$C$3:$M$578,5,FALSE)</f>
        <v>1718930000</v>
      </c>
      <c r="BH162" s="129">
        <f>IFERROR($BB162/$BG162,"..")</f>
        <v>0.93023383478021215</v>
      </c>
      <c r="BI162" s="117">
        <f>IFERROR(VLOOKUP($D162,'WB Data'!$C$3:$M$578,7,FALSE)/100,"..")</f>
        <v>2.9556800000000001E-2</v>
      </c>
      <c r="BJ162" s="117">
        <f>IFERROR($BI162*$AW162,"..")</f>
        <v>530635192.70886922</v>
      </c>
      <c r="BK162" s="846">
        <f>IFERROR($BB162/$BJ162,"..")</f>
        <v>3.0133825791988857</v>
      </c>
      <c r="BL162" s="117">
        <f>IFERROR(VLOOKUP($D162,'WB Data'!$C$3:$M$578,7,FALSE)/100,"..")</f>
        <v>2.9556800000000001E-2</v>
      </c>
      <c r="BM162" s="117">
        <f>IFERROR($AW162*$BL162,"..")</f>
        <v>530635192.70886922</v>
      </c>
      <c r="BN162" s="846">
        <f>IFERROR($BB162/$BM162,"..")</f>
        <v>3.0133825791988857</v>
      </c>
      <c r="BO162" s="801">
        <f t="shared" si="28"/>
        <v>27</v>
      </c>
      <c r="BP162" s="117" t="str">
        <f>VLOOKUP($D162,'WB Data'!$C$3:$M$578,9,FALSE)</f>
        <v>..</v>
      </c>
      <c r="BQ162" s="117">
        <f>VLOOKUP($D162,'WB Data'!$C$3:$M$578,10,FALSE)</f>
        <v>52.15024390243903</v>
      </c>
      <c r="BR162" s="117">
        <f>VLOOKUP($D162,'WB Data'!$C$3:$M$578,11,FALSE)</f>
        <v>75.5</v>
      </c>
      <c r="BS162" s="129" t="str">
        <f>IFERROR(VLOOKUP($D162,'WB Data 2'!$C$2:$K$545,9,FALSE),"..")</f>
        <v>..</v>
      </c>
      <c r="BT162" s="129">
        <f>_xlfn.IFNA(VLOOKUP($C162,RGI!$A$2:$C$43,2,FALSE),"..")</f>
        <v>41.8</v>
      </c>
      <c r="BU162" s="129">
        <f>_xlfn.IFNA(VLOOKUP($C162,RGI!$A$2:$C$43,3,FALSE),"..")</f>
        <v>34.155297028034767</v>
      </c>
      <c r="BV162" s="129">
        <f>VLOOKUP($D162,WGI!$C$2:$O$478,7,FALSE)</f>
        <v>-1.0252529637096699</v>
      </c>
      <c r="BW162" s="129">
        <f>VLOOKUP($D162,WGI!$C$2:$O$478,4,FALSE)</f>
        <v>-0.26351750966880499</v>
      </c>
      <c r="BX162" s="129">
        <f>VLOOKUP($D162,WGI!$C$2:$O$478,3,FALSE)</f>
        <v>-0.92944433305378604</v>
      </c>
      <c r="BY162" s="129">
        <f>VLOOKUP($D162,WGI!$C$2:$O$478,5,FALSE)</f>
        <v>-0.83400093790035601</v>
      </c>
      <c r="BZ162" s="129">
        <f>VLOOKUP($D162,WGI!$C$2:$O$478,2,FALSE)</f>
        <v>-1.0266473517350001</v>
      </c>
    </row>
    <row r="163" spans="1:80" ht="15" customHeight="1">
      <c r="A163" s="294" t="s">
        <v>111</v>
      </c>
      <c r="B163" s="117">
        <v>2006</v>
      </c>
      <c r="C163" s="117" t="s">
        <v>101</v>
      </c>
      <c r="D163" s="117" t="s">
        <v>3524</v>
      </c>
      <c r="E163" s="117" t="s">
        <v>86</v>
      </c>
      <c r="F163" s="117"/>
      <c r="G163" s="117" t="s">
        <v>24</v>
      </c>
      <c r="H163" s="117" t="str">
        <f t="shared" si="23"/>
        <v>yes</v>
      </c>
      <c r="I163" s="117" t="str">
        <f t="shared" si="24"/>
        <v>no</v>
      </c>
      <c r="J163" s="117" t="str">
        <f t="shared" si="25"/>
        <v>no</v>
      </c>
      <c r="K163" s="176" t="s">
        <v>905</v>
      </c>
      <c r="L163" s="117" t="str">
        <f t="shared" si="27"/>
        <v>detailed</v>
      </c>
      <c r="M163" s="117" t="str">
        <f t="shared" si="26"/>
        <v>detailed Mining</v>
      </c>
      <c r="N163" s="118">
        <v>600000</v>
      </c>
      <c r="O163" s="118"/>
      <c r="P163" s="118"/>
      <c r="Q163" s="118"/>
      <c r="R163" s="118"/>
      <c r="S163" s="117" t="s">
        <v>610</v>
      </c>
      <c r="T163" s="119">
        <v>14.76</v>
      </c>
      <c r="U163" s="117" t="s">
        <v>611</v>
      </c>
      <c r="V163" s="117" t="s">
        <v>906</v>
      </c>
      <c r="W163" s="89">
        <f>N163*T163</f>
        <v>8856000</v>
      </c>
      <c r="X163" s="117"/>
      <c r="Y163" s="117"/>
      <c r="Z163" s="117"/>
      <c r="AA163" s="179"/>
      <c r="AB163" s="179"/>
      <c r="AC163" s="212"/>
      <c r="AD163" s="212"/>
      <c r="AE163" s="212"/>
      <c r="AF163" s="213"/>
      <c r="AG163" s="117"/>
      <c r="AH163" s="124"/>
      <c r="AI163" s="117"/>
      <c r="AJ163" s="117"/>
      <c r="AK163" s="89"/>
      <c r="AL163" s="117"/>
      <c r="AM163" s="117"/>
      <c r="AN163" s="214"/>
      <c r="AO163" s="117"/>
      <c r="AP163" s="117"/>
      <c r="AQ163" s="232"/>
      <c r="AR163" s="126"/>
      <c r="AS163" s="117"/>
      <c r="AT163" s="127"/>
      <c r="AU163" s="215"/>
      <c r="AV163" s="128"/>
      <c r="AW163" s="117">
        <f>VLOOKUP($D163,'WB Data'!$C$3:$M$578,2,FALSE)</f>
        <v>17953066391.113693</v>
      </c>
      <c r="AX163" s="117">
        <f>VLOOKUP($D163,'WB Data'!$C$3:$M$578,3,FALSE)</f>
        <v>18611937</v>
      </c>
      <c r="AY163" s="847">
        <f t="shared" si="29"/>
        <v>8.906594621686563E-2</v>
      </c>
      <c r="AZ163" s="117" t="e">
        <f>VLOOKUP($D163,'WB Data'!$C$3:$M$578,4,FALSE)/100</f>
        <v>#VALUE!</v>
      </c>
      <c r="BA163" s="117" t="str">
        <f t="shared" si="30"/>
        <v>..</v>
      </c>
      <c r="BB163" s="129">
        <f>IFERROR(VLOOKUP($D163,'EITI Revenues'!$C$2:$G$224,5,FALSE),"..")</f>
        <v>1599006845.6187501</v>
      </c>
      <c r="BC163" s="846" t="str">
        <f t="shared" si="31"/>
        <v>..</v>
      </c>
      <c r="BD163" s="129">
        <f>VLOOKUP($D163,'WB Data 2'!$C$2:$K$545,6,FALSE)</f>
        <v>2378886306.9864264</v>
      </c>
      <c r="BE163" s="129" t="str">
        <f>IFERROR(VLOOKUP($D163,UNCTAD!$C$5:$V$529,4,FALSE),"..")</f>
        <v>..</v>
      </c>
      <c r="BF163" s="846" t="str">
        <f t="shared" si="32"/>
        <v>..</v>
      </c>
      <c r="BG163" s="117">
        <f>VLOOKUP($D163,'WB Data'!$C$3:$M$578,5,FALSE)</f>
        <v>1718930000</v>
      </c>
      <c r="BH163" s="129">
        <f>IFERROR($BB163/$BG163,"..")</f>
        <v>0.93023383478021215</v>
      </c>
      <c r="BI163" s="117">
        <f>IFERROR(VLOOKUP($D163,'WB Data'!$C$3:$M$578,7,FALSE)/100,"..")</f>
        <v>2.9556800000000001E-2</v>
      </c>
      <c r="BJ163" s="117">
        <f>IFERROR($BI163*$AW163,"..")</f>
        <v>530635192.70886922</v>
      </c>
      <c r="BK163" s="846">
        <f>IFERROR($BB163/$BJ163,"..")</f>
        <v>3.0133825791988857</v>
      </c>
      <c r="BL163" s="117">
        <f>IFERROR(VLOOKUP($D163,'WB Data'!$C$3:$M$578,7,FALSE)/100,"..")</f>
        <v>2.9556800000000001E-2</v>
      </c>
      <c r="BM163" s="117">
        <f>IFERROR($AW163*$BL163,"..")</f>
        <v>530635192.70886922</v>
      </c>
      <c r="BN163" s="846">
        <f>IFERROR($BB163/$BM163,"..")</f>
        <v>3.0133825791988857</v>
      </c>
      <c r="BO163" s="801">
        <f t="shared" si="28"/>
        <v>27</v>
      </c>
      <c r="BP163" s="117" t="str">
        <f>VLOOKUP($D163,'WB Data'!$C$3:$M$578,9,FALSE)</f>
        <v>..</v>
      </c>
      <c r="BQ163" s="117">
        <f>VLOOKUP($D163,'WB Data'!$C$3:$M$578,10,FALSE)</f>
        <v>52.15024390243903</v>
      </c>
      <c r="BR163" s="117">
        <f>VLOOKUP($D163,'WB Data'!$C$3:$M$578,11,FALSE)</f>
        <v>75.5</v>
      </c>
      <c r="BS163" s="129" t="str">
        <f>IFERROR(VLOOKUP($D163,'WB Data 2'!$C$2:$K$545,9,FALSE),"..")</f>
        <v>..</v>
      </c>
      <c r="BT163" s="129">
        <f>_xlfn.IFNA(VLOOKUP($C163,RGI!$A$2:$C$43,2,FALSE),"..")</f>
        <v>41.8</v>
      </c>
      <c r="BU163" s="129">
        <f>_xlfn.IFNA(VLOOKUP($C163,RGI!$A$2:$C$43,3,FALSE),"..")</f>
        <v>34.155297028034767</v>
      </c>
      <c r="BV163" s="129">
        <f>VLOOKUP($D163,WGI!$C$2:$O$478,7,FALSE)</f>
        <v>-1.0252529637096699</v>
      </c>
      <c r="BW163" s="129">
        <f>VLOOKUP($D163,WGI!$C$2:$O$478,4,FALSE)</f>
        <v>-0.26351750966880499</v>
      </c>
      <c r="BX163" s="129">
        <f>VLOOKUP($D163,WGI!$C$2:$O$478,3,FALSE)</f>
        <v>-0.92944433305378604</v>
      </c>
      <c r="BY163" s="129">
        <f>VLOOKUP($D163,WGI!$C$2:$O$478,5,FALSE)</f>
        <v>-0.83400093790035601</v>
      </c>
      <c r="BZ163" s="129">
        <f>VLOOKUP($D163,WGI!$C$2:$O$478,2,FALSE)</f>
        <v>-1.0266473517350001</v>
      </c>
    </row>
    <row r="164" spans="1:80" ht="15" customHeight="1">
      <c r="A164" s="294" t="s">
        <v>111</v>
      </c>
      <c r="B164" s="117">
        <v>2006</v>
      </c>
      <c r="C164" s="117" t="s">
        <v>101</v>
      </c>
      <c r="D164" s="117" t="s">
        <v>3524</v>
      </c>
      <c r="E164" s="117" t="s">
        <v>86</v>
      </c>
      <c r="F164" s="117"/>
      <c r="G164" s="117" t="s">
        <v>24</v>
      </c>
      <c r="H164" s="117" t="str">
        <f t="shared" si="23"/>
        <v>yes</v>
      </c>
      <c r="I164" s="117" t="str">
        <f t="shared" si="24"/>
        <v>no</v>
      </c>
      <c r="J164" s="117" t="str">
        <f t="shared" si="25"/>
        <v>no</v>
      </c>
      <c r="K164" s="176" t="s">
        <v>907</v>
      </c>
      <c r="L164" s="117" t="str">
        <f t="shared" si="27"/>
        <v>detailed</v>
      </c>
      <c r="M164" s="117" t="str">
        <f t="shared" si="26"/>
        <v>detailed Mining</v>
      </c>
      <c r="N164" s="118">
        <v>600000</v>
      </c>
      <c r="O164" s="118"/>
      <c r="P164" s="118"/>
      <c r="Q164" s="118"/>
      <c r="R164" s="118"/>
      <c r="S164" s="117" t="s">
        <v>610</v>
      </c>
      <c r="T164" s="119">
        <f>6.47*0.1949</f>
        <v>1.2610029999999999</v>
      </c>
      <c r="U164" s="117" t="s">
        <v>611</v>
      </c>
      <c r="V164" s="117" t="s">
        <v>908</v>
      </c>
      <c r="W164" s="89">
        <f>N164*T164</f>
        <v>756601.79999999993</v>
      </c>
      <c r="X164" s="117"/>
      <c r="Y164" s="117"/>
      <c r="Z164" s="117"/>
      <c r="AA164" s="179"/>
      <c r="AB164" s="179"/>
      <c r="AC164" s="212"/>
      <c r="AD164" s="212"/>
      <c r="AE164" s="212"/>
      <c r="AF164" s="213"/>
      <c r="AG164" s="117"/>
      <c r="AH164" s="124"/>
      <c r="AI164" s="117"/>
      <c r="AJ164" s="117"/>
      <c r="AK164" s="89"/>
      <c r="AL164" s="117"/>
      <c r="AM164" s="117"/>
      <c r="AN164" s="214"/>
      <c r="AO164" s="117"/>
      <c r="AP164" s="117"/>
      <c r="AQ164" s="232"/>
      <c r="AR164" s="126"/>
      <c r="AS164" s="117"/>
      <c r="AT164" s="127"/>
      <c r="AU164" s="215"/>
      <c r="AV164" s="128"/>
      <c r="AW164" s="117">
        <f>VLOOKUP($D164,'WB Data'!$C$3:$M$578,2,FALSE)</f>
        <v>17953066391.113693</v>
      </c>
      <c r="AX164" s="117">
        <f>VLOOKUP($D164,'WB Data'!$C$3:$M$578,3,FALSE)</f>
        <v>18611937</v>
      </c>
      <c r="AY164" s="847">
        <f t="shared" si="29"/>
        <v>8.906594621686563E-2</v>
      </c>
      <c r="AZ164" s="117" t="e">
        <f>VLOOKUP($D164,'WB Data'!$C$3:$M$578,4,FALSE)/100</f>
        <v>#VALUE!</v>
      </c>
      <c r="BA164" s="117" t="str">
        <f t="shared" si="30"/>
        <v>..</v>
      </c>
      <c r="BB164" s="129">
        <f>IFERROR(VLOOKUP($D164,'EITI Revenues'!$C$2:$G$224,5,FALSE),"..")</f>
        <v>1599006845.6187501</v>
      </c>
      <c r="BC164" s="846" t="str">
        <f t="shared" si="31"/>
        <v>..</v>
      </c>
      <c r="BD164" s="129">
        <f>VLOOKUP($D164,'WB Data 2'!$C$2:$K$545,6,FALSE)</f>
        <v>2378886306.9864264</v>
      </c>
      <c r="BE164" s="129" t="str">
        <f>IFERROR(VLOOKUP($D164,UNCTAD!$C$5:$V$529,4,FALSE),"..")</f>
        <v>..</v>
      </c>
      <c r="BF164" s="846" t="str">
        <f t="shared" si="32"/>
        <v>..</v>
      </c>
      <c r="BG164" s="117">
        <f>VLOOKUP($D164,'WB Data'!$C$3:$M$578,5,FALSE)</f>
        <v>1718930000</v>
      </c>
      <c r="BH164" s="129">
        <f>IFERROR($BB164/$BG164,"..")</f>
        <v>0.93023383478021215</v>
      </c>
      <c r="BI164" s="117">
        <f>IFERROR(VLOOKUP($D164,'WB Data'!$C$3:$M$578,7,FALSE)/100,"..")</f>
        <v>2.9556800000000001E-2</v>
      </c>
      <c r="BJ164" s="117">
        <f>IFERROR($BI164*$AW164,"..")</f>
        <v>530635192.70886922</v>
      </c>
      <c r="BK164" s="846">
        <f>IFERROR($BB164/$BJ164,"..")</f>
        <v>3.0133825791988857</v>
      </c>
      <c r="BL164" s="117">
        <f>IFERROR(VLOOKUP($D164,'WB Data'!$C$3:$M$578,7,FALSE)/100,"..")</f>
        <v>2.9556800000000001E-2</v>
      </c>
      <c r="BM164" s="117">
        <f>IFERROR($AW164*$BL164,"..")</f>
        <v>530635192.70886922</v>
      </c>
      <c r="BN164" s="846">
        <f>IFERROR($BB164/$BM164,"..")</f>
        <v>3.0133825791988857</v>
      </c>
      <c r="BO164" s="801">
        <f t="shared" si="28"/>
        <v>27</v>
      </c>
      <c r="BP164" s="117" t="str">
        <f>VLOOKUP($D164,'WB Data'!$C$3:$M$578,9,FALSE)</f>
        <v>..</v>
      </c>
      <c r="BQ164" s="117">
        <f>VLOOKUP($D164,'WB Data'!$C$3:$M$578,10,FALSE)</f>
        <v>52.15024390243903</v>
      </c>
      <c r="BR164" s="117">
        <f>VLOOKUP($D164,'WB Data'!$C$3:$M$578,11,FALSE)</f>
        <v>75.5</v>
      </c>
      <c r="BS164" s="129" t="str">
        <f>IFERROR(VLOOKUP($D164,'WB Data 2'!$C$2:$K$545,9,FALSE),"..")</f>
        <v>..</v>
      </c>
      <c r="BT164" s="129">
        <f>_xlfn.IFNA(VLOOKUP($C164,RGI!$A$2:$C$43,2,FALSE),"..")</f>
        <v>41.8</v>
      </c>
      <c r="BU164" s="129">
        <f>_xlfn.IFNA(VLOOKUP($C164,RGI!$A$2:$C$43,3,FALSE),"..")</f>
        <v>34.155297028034767</v>
      </c>
      <c r="BV164" s="129">
        <f>VLOOKUP($D164,WGI!$C$2:$O$478,7,FALSE)</f>
        <v>-1.0252529637096699</v>
      </c>
      <c r="BW164" s="129">
        <f>VLOOKUP($D164,WGI!$C$2:$O$478,4,FALSE)</f>
        <v>-0.26351750966880499</v>
      </c>
      <c r="BX164" s="129">
        <f>VLOOKUP($D164,WGI!$C$2:$O$478,3,FALSE)</f>
        <v>-0.92944433305378604</v>
      </c>
      <c r="BY164" s="129">
        <f>VLOOKUP($D164,WGI!$C$2:$O$478,5,FALSE)</f>
        <v>-0.83400093790035601</v>
      </c>
      <c r="BZ164" s="129">
        <f>VLOOKUP($D164,WGI!$C$2:$O$478,2,FALSE)</f>
        <v>-1.0266473517350001</v>
      </c>
    </row>
    <row r="165" spans="1:80" s="144" customFormat="1" ht="15" customHeight="1">
      <c r="A165" s="296" t="s">
        <v>114</v>
      </c>
      <c r="B165" s="132">
        <v>2007</v>
      </c>
      <c r="C165" s="132" t="s">
        <v>101</v>
      </c>
      <c r="D165" s="117" t="s">
        <v>3558</v>
      </c>
      <c r="E165" s="132" t="s">
        <v>86</v>
      </c>
      <c r="F165" s="132" t="s">
        <v>863</v>
      </c>
      <c r="G165" s="132" t="s">
        <v>35</v>
      </c>
      <c r="H165" s="117" t="str">
        <f t="shared" si="23"/>
        <v>yes</v>
      </c>
      <c r="I165" s="117" t="str">
        <f t="shared" si="24"/>
        <v>yes</v>
      </c>
      <c r="J165" s="117" t="str">
        <f t="shared" si="25"/>
        <v>yes</v>
      </c>
      <c r="K165" s="182" t="s">
        <v>709</v>
      </c>
      <c r="L165" s="117" t="str">
        <f t="shared" si="27"/>
        <v>Total</v>
      </c>
      <c r="M165" s="117" t="str">
        <f t="shared" si="26"/>
        <v>Total Oil, Gas, Mining</v>
      </c>
      <c r="N165" s="133"/>
      <c r="O165" s="133"/>
      <c r="P165" s="133"/>
      <c r="Q165" s="133"/>
      <c r="R165" s="133"/>
      <c r="S165" s="132"/>
      <c r="T165" s="134"/>
      <c r="U165" s="132"/>
      <c r="V165" s="132"/>
      <c r="W165" s="299">
        <f>W166+W169</f>
        <v>2586780987.5624003</v>
      </c>
      <c r="X165" s="136" t="s">
        <v>890</v>
      </c>
      <c r="Y165" s="132" t="s">
        <v>731</v>
      </c>
      <c r="Z165" s="132" t="s">
        <v>732</v>
      </c>
      <c r="AA165" s="297">
        <f>301649074.411023+AK165</f>
        <v>1803241787.7304473</v>
      </c>
      <c r="AB165" s="297">
        <v>302485747.04919499</v>
      </c>
      <c r="AC165" s="138"/>
      <c r="AD165" s="138"/>
      <c r="AE165" s="138"/>
      <c r="AF165" s="227">
        <f>AA165/W165</f>
        <v>0.69709874798086213</v>
      </c>
      <c r="AG165" s="132" t="s">
        <v>891</v>
      </c>
      <c r="AH165" s="140">
        <v>447.81</v>
      </c>
      <c r="AI165" s="132" t="s">
        <v>667</v>
      </c>
      <c r="AJ165" s="132" t="s">
        <v>909</v>
      </c>
      <c r="AK165" s="135">
        <v>1501592713.3194242</v>
      </c>
      <c r="AL165" s="135" t="s">
        <v>893</v>
      </c>
      <c r="AM165" s="160">
        <v>84148920</v>
      </c>
      <c r="AN165" s="132">
        <v>21</v>
      </c>
      <c r="AO165" s="132" t="s">
        <v>867</v>
      </c>
      <c r="AP165" s="132">
        <v>10</v>
      </c>
      <c r="AQ165" s="229" t="s">
        <v>112</v>
      </c>
      <c r="AR165" s="141">
        <v>41891</v>
      </c>
      <c r="AS165" s="132" t="s">
        <v>877</v>
      </c>
      <c r="AT165" s="132" t="s">
        <v>113</v>
      </c>
      <c r="AU165" s="132" t="s">
        <v>895</v>
      </c>
      <c r="AV165" s="143" t="s">
        <v>910</v>
      </c>
      <c r="AW165" s="117">
        <f>VLOOKUP($D165,'WB Data'!$C$3:$M$578,2,FALSE)</f>
        <v>20431781120.178547</v>
      </c>
      <c r="AX165" s="117">
        <f>VLOOKUP($D165,'WB Data'!$C$3:$M$578,3,FALSE)</f>
        <v>19097676</v>
      </c>
      <c r="AY165" s="847">
        <f t="shared" si="29"/>
        <v>8.8256710324170179E-2</v>
      </c>
      <c r="AZ165" s="117" t="e">
        <f>VLOOKUP($D165,'WB Data'!$C$3:$M$578,4,FALSE)/100</f>
        <v>#VALUE!</v>
      </c>
      <c r="BA165" s="117" t="str">
        <f t="shared" si="30"/>
        <v>..</v>
      </c>
      <c r="BB165" s="129">
        <f>IFERROR(VLOOKUP($D165,'EITI Revenues'!$C$2:$G$224,5,FALSE),"..")</f>
        <v>1803241787.7304473</v>
      </c>
      <c r="BC165" s="846" t="str">
        <f t="shared" si="31"/>
        <v>..</v>
      </c>
      <c r="BD165" s="129">
        <f>VLOOKUP($D165,'WB Data 2'!$C$2:$K$545,6,FALSE)</f>
        <v>2690916051.0000005</v>
      </c>
      <c r="BE165" s="129" t="str">
        <f>IFERROR(VLOOKUP($D165,UNCTAD!$C$5:$V$529,4,FALSE),"..")</f>
        <v>..</v>
      </c>
      <c r="BF165" s="846" t="str">
        <f t="shared" si="32"/>
        <v>..</v>
      </c>
      <c r="BG165" s="117">
        <f>VLOOKUP($D165,'WB Data'!$C$3:$M$578,5,FALSE)</f>
        <v>1926290000</v>
      </c>
      <c r="BH165" s="129">
        <f>IFERROR($BB165/$BG165,"..")</f>
        <v>0.9361216575543907</v>
      </c>
      <c r="BI165" s="117">
        <f>IFERROR(VLOOKUP($D165,'WB Data'!$C$3:$M$578,7,FALSE)/100,"..")</f>
        <v>3.3662499999999998E-2</v>
      </c>
      <c r="BJ165" s="117">
        <f>IFERROR($BI165*$AW165,"..")</f>
        <v>687784831.95801032</v>
      </c>
      <c r="BK165" s="846">
        <f>IFERROR($BB165/$BJ165,"..")</f>
        <v>2.621810926822731</v>
      </c>
      <c r="BL165" s="117">
        <f>IFERROR(VLOOKUP($D165,'WB Data'!$C$3:$M$578,7,FALSE)/100,"..")</f>
        <v>3.3662499999999998E-2</v>
      </c>
      <c r="BM165" s="117">
        <f>IFERROR($AW165*$BL165,"..")</f>
        <v>687784831.95801032</v>
      </c>
      <c r="BN165" s="846">
        <f>IFERROR($BB165/$BM165,"..")</f>
        <v>2.621810926822731</v>
      </c>
      <c r="BO165" s="801">
        <f t="shared" si="28"/>
        <v>27</v>
      </c>
      <c r="BP165" s="117">
        <f>VLOOKUP($D165,'WB Data'!$C$3:$M$578,9,FALSE)</f>
        <v>39.9</v>
      </c>
      <c r="BQ165" s="117">
        <f>VLOOKUP($D165,'WB Data'!$C$3:$M$578,10,FALSE)</f>
        <v>52.479146341463419</v>
      </c>
      <c r="BR165" s="117">
        <f>VLOOKUP($D165,'WB Data'!$C$3:$M$578,11,FALSE)</f>
        <v>73.3</v>
      </c>
      <c r="BS165" s="129" t="str">
        <f>IFERROR(VLOOKUP($D165,'WB Data 2'!$C$2:$K$545,9,FALSE),"..")</f>
        <v>..</v>
      </c>
      <c r="BT165" s="129">
        <f>_xlfn.IFNA(VLOOKUP($C165,RGI!$A$2:$C$43,2,FALSE),"..")</f>
        <v>41.8</v>
      </c>
      <c r="BU165" s="129">
        <f>_xlfn.IFNA(VLOOKUP($C165,RGI!$A$2:$C$43,3,FALSE),"..")</f>
        <v>34.155297028034767</v>
      </c>
      <c r="BV165" s="129">
        <f>VLOOKUP($D165,WGI!$C$2:$O$478,7,FALSE)</f>
        <v>-1.06182229722642</v>
      </c>
      <c r="BW165" s="129">
        <f>VLOOKUP($D165,WGI!$C$2:$O$478,4,FALSE)</f>
        <v>-0.33743375540982901</v>
      </c>
      <c r="BX165" s="129">
        <f>VLOOKUP($D165,WGI!$C$2:$O$478,3,FALSE)</f>
        <v>-0.82628211126179196</v>
      </c>
      <c r="BY165" s="129">
        <f>VLOOKUP($D165,WGI!$C$2:$O$478,5,FALSE)</f>
        <v>-0.83224265002023101</v>
      </c>
      <c r="BZ165" s="129">
        <f>VLOOKUP($D165,WGI!$C$2:$O$478,2,FALSE)</f>
        <v>-0.95124802612315695</v>
      </c>
      <c r="CB165" s="129"/>
    </row>
    <row r="166" spans="1:80" s="120" customFormat="1" ht="15" customHeight="1">
      <c r="A166" s="294" t="s">
        <v>114</v>
      </c>
      <c r="B166" s="117">
        <v>2007</v>
      </c>
      <c r="C166" s="117" t="s">
        <v>101</v>
      </c>
      <c r="D166" s="117" t="s">
        <v>3558</v>
      </c>
      <c r="E166" s="117" t="s">
        <v>86</v>
      </c>
      <c r="F166" s="117"/>
      <c r="G166" s="117" t="s">
        <v>55</v>
      </c>
      <c r="H166" s="117" t="str">
        <f t="shared" si="23"/>
        <v>no</v>
      </c>
      <c r="I166" s="117" t="str">
        <f t="shared" si="24"/>
        <v>yes</v>
      </c>
      <c r="J166" s="117" t="str">
        <f t="shared" si="25"/>
        <v>yes</v>
      </c>
      <c r="K166" s="176" t="s">
        <v>640</v>
      </c>
      <c r="L166" s="117" t="str">
        <f t="shared" si="27"/>
        <v>Total</v>
      </c>
      <c r="M166" s="117" t="str">
        <f t="shared" si="26"/>
        <v>Total Oil, Gas</v>
      </c>
      <c r="N166" s="118"/>
      <c r="O166" s="118"/>
      <c r="P166" s="118"/>
      <c r="Q166" s="118"/>
      <c r="R166" s="118"/>
      <c r="S166" s="117"/>
      <c r="T166" s="119"/>
      <c r="U166" s="117"/>
      <c r="V166" s="117"/>
      <c r="W166" s="89">
        <f>SUM(W167:W168)</f>
        <v>2575591048.2624002</v>
      </c>
      <c r="X166" s="117"/>
      <c r="Y166" s="146"/>
      <c r="Z166" s="146"/>
      <c r="AA166" s="177">
        <f>301290200+AK166</f>
        <v>1802882913.3194242</v>
      </c>
      <c r="AB166" s="177">
        <v>302066810</v>
      </c>
      <c r="AC166" s="122"/>
      <c r="AD166" s="122"/>
      <c r="AE166" s="122"/>
      <c r="AF166" s="213">
        <f>AA166/W166</f>
        <v>0.69998803363434703</v>
      </c>
      <c r="AG166" s="117"/>
      <c r="AH166" s="124"/>
      <c r="AI166" s="117"/>
      <c r="AJ166" s="117" t="s">
        <v>909</v>
      </c>
      <c r="AK166" s="89">
        <v>1501592713.3194242</v>
      </c>
      <c r="AL166" s="117"/>
      <c r="AM166" s="117"/>
      <c r="AN166" s="117">
        <v>12</v>
      </c>
      <c r="AO166" s="117" t="s">
        <v>897</v>
      </c>
      <c r="AP166" s="117">
        <v>7</v>
      </c>
      <c r="AQ166" s="117"/>
      <c r="AR166" s="126"/>
      <c r="AS166" s="117"/>
      <c r="AT166" s="117"/>
      <c r="AU166" s="117">
        <v>15</v>
      </c>
      <c r="AV166" s="128"/>
      <c r="AW166" s="117">
        <f>VLOOKUP($D166,'WB Data'!$C$3:$M$578,2,FALSE)</f>
        <v>20431781120.178547</v>
      </c>
      <c r="AX166" s="117">
        <f>VLOOKUP($D166,'WB Data'!$C$3:$M$578,3,FALSE)</f>
        <v>19097676</v>
      </c>
      <c r="AY166" s="847">
        <f t="shared" si="29"/>
        <v>8.8256710324170179E-2</v>
      </c>
      <c r="AZ166" s="117" t="e">
        <f>VLOOKUP($D166,'WB Data'!$C$3:$M$578,4,FALSE)/100</f>
        <v>#VALUE!</v>
      </c>
      <c r="BA166" s="117" t="str">
        <f t="shared" si="30"/>
        <v>..</v>
      </c>
      <c r="BB166" s="129">
        <f>IFERROR(VLOOKUP($D166,'EITI Revenues'!$C$2:$G$224,5,FALSE),"..")</f>
        <v>1803241787.7304473</v>
      </c>
      <c r="BC166" s="846" t="str">
        <f t="shared" si="31"/>
        <v>..</v>
      </c>
      <c r="BD166" s="129">
        <f>VLOOKUP($D166,'WB Data 2'!$C$2:$K$545,6,FALSE)</f>
        <v>2690916051.0000005</v>
      </c>
      <c r="BE166" s="129" t="str">
        <f>IFERROR(VLOOKUP($D166,UNCTAD!$C$5:$V$529,4,FALSE),"..")</f>
        <v>..</v>
      </c>
      <c r="BF166" s="846" t="str">
        <f t="shared" si="32"/>
        <v>..</v>
      </c>
      <c r="BG166" s="117">
        <f>VLOOKUP($D166,'WB Data'!$C$3:$M$578,5,FALSE)</f>
        <v>1926290000</v>
      </c>
      <c r="BH166" s="129">
        <f>IFERROR($BB166/$BG166,"..")</f>
        <v>0.9361216575543907</v>
      </c>
      <c r="BI166" s="117">
        <f>IFERROR(VLOOKUP($D166,'WB Data'!$C$3:$M$578,7,FALSE)/100,"..")</f>
        <v>3.3662499999999998E-2</v>
      </c>
      <c r="BJ166" s="117">
        <f>IFERROR($BI166*$AW166,"..")</f>
        <v>687784831.95801032</v>
      </c>
      <c r="BK166" s="846">
        <f>IFERROR($BB166/$BJ166,"..")</f>
        <v>2.621810926822731</v>
      </c>
      <c r="BL166" s="117">
        <f>IFERROR(VLOOKUP($D166,'WB Data'!$C$3:$M$578,7,FALSE)/100,"..")</f>
        <v>3.3662499999999998E-2</v>
      </c>
      <c r="BM166" s="117">
        <f>IFERROR($AW166*$BL166,"..")</f>
        <v>687784831.95801032</v>
      </c>
      <c r="BN166" s="846">
        <f>IFERROR($BB166/$BM166,"..")</f>
        <v>2.621810926822731</v>
      </c>
      <c r="BO166" s="801">
        <f t="shared" si="28"/>
        <v>27</v>
      </c>
      <c r="BP166" s="117">
        <f>VLOOKUP($D166,'WB Data'!$C$3:$M$578,9,FALSE)</f>
        <v>39.9</v>
      </c>
      <c r="BQ166" s="117">
        <f>VLOOKUP($D166,'WB Data'!$C$3:$M$578,10,FALSE)</f>
        <v>52.479146341463419</v>
      </c>
      <c r="BR166" s="117">
        <f>VLOOKUP($D166,'WB Data'!$C$3:$M$578,11,FALSE)</f>
        <v>73.3</v>
      </c>
      <c r="BS166" s="129" t="str">
        <f>IFERROR(VLOOKUP($D166,'WB Data 2'!$C$2:$K$545,9,FALSE),"..")</f>
        <v>..</v>
      </c>
      <c r="BT166" s="129">
        <f>_xlfn.IFNA(VLOOKUP($C166,RGI!$A$2:$C$43,2,FALSE),"..")</f>
        <v>41.8</v>
      </c>
      <c r="BU166" s="129">
        <f>_xlfn.IFNA(VLOOKUP($C166,RGI!$A$2:$C$43,3,FALSE),"..")</f>
        <v>34.155297028034767</v>
      </c>
      <c r="BV166" s="129">
        <f>VLOOKUP($D166,WGI!$C$2:$O$478,7,FALSE)</f>
        <v>-1.06182229722642</v>
      </c>
      <c r="BW166" s="129">
        <f>VLOOKUP($D166,WGI!$C$2:$O$478,4,FALSE)</f>
        <v>-0.33743375540982901</v>
      </c>
      <c r="BX166" s="129">
        <f>VLOOKUP($D166,WGI!$C$2:$O$478,3,FALSE)</f>
        <v>-0.82628211126179196</v>
      </c>
      <c r="BY166" s="129">
        <f>VLOOKUP($D166,WGI!$C$2:$O$478,5,FALSE)</f>
        <v>-0.83224265002023101</v>
      </c>
      <c r="BZ166" s="129">
        <f>VLOOKUP($D166,WGI!$C$2:$O$478,2,FALSE)</f>
        <v>-0.95124802612315695</v>
      </c>
      <c r="CB166" s="129"/>
    </row>
    <row r="167" spans="1:80" s="120" customFormat="1" ht="15" customHeight="1">
      <c r="A167" s="294" t="s">
        <v>114</v>
      </c>
      <c r="B167" s="117">
        <v>2007</v>
      </c>
      <c r="C167" s="117" t="s">
        <v>101</v>
      </c>
      <c r="D167" s="117" t="s">
        <v>3558</v>
      </c>
      <c r="E167" s="117" t="s">
        <v>86</v>
      </c>
      <c r="F167" s="117"/>
      <c r="G167" s="117" t="s">
        <v>561</v>
      </c>
      <c r="H167" s="117" t="str">
        <f t="shared" si="23"/>
        <v>no</v>
      </c>
      <c r="I167" s="117" t="str">
        <f t="shared" si="24"/>
        <v>yes</v>
      </c>
      <c r="J167" s="117" t="str">
        <f t="shared" si="25"/>
        <v>no</v>
      </c>
      <c r="K167" s="176" t="s">
        <v>561</v>
      </c>
      <c r="L167" s="117" t="str">
        <f t="shared" si="27"/>
        <v>detailed</v>
      </c>
      <c r="M167" s="117" t="str">
        <f t="shared" si="26"/>
        <v>detailed Gas</v>
      </c>
      <c r="N167" s="179">
        <f>69000000000*0.0283168</f>
        <v>1953859200</v>
      </c>
      <c r="O167" s="118">
        <f>N167*0.0066</f>
        <v>12895470.720000001</v>
      </c>
      <c r="P167" s="179"/>
      <c r="Q167" s="179"/>
      <c r="R167" s="179"/>
      <c r="S167" s="117" t="s">
        <v>642</v>
      </c>
      <c r="T167" s="119">
        <v>0.22764700000000004</v>
      </c>
      <c r="U167" s="117" t="s">
        <v>643</v>
      </c>
      <c r="V167" s="117" t="s">
        <v>880</v>
      </c>
      <c r="W167" s="89">
        <f>N167*T167</f>
        <v>444790185.30240011</v>
      </c>
      <c r="X167" s="117"/>
      <c r="Y167" s="117"/>
      <c r="Z167" s="117"/>
      <c r="AA167" s="211">
        <f>W167/W168</f>
        <v>0.20874319746826095</v>
      </c>
      <c r="AB167" s="177"/>
      <c r="AC167" s="122"/>
      <c r="AD167" s="122"/>
      <c r="AE167" s="122"/>
      <c r="AF167" s="123"/>
      <c r="AG167" s="117"/>
      <c r="AH167" s="124"/>
      <c r="AI167" s="117"/>
      <c r="AJ167" s="117"/>
      <c r="AK167" s="117"/>
      <c r="AL167" s="117"/>
      <c r="AM167" s="117"/>
      <c r="AN167" s="117"/>
      <c r="AO167" s="117"/>
      <c r="AP167" s="117"/>
      <c r="AQ167" s="117"/>
      <c r="AR167" s="126"/>
      <c r="AS167" s="117"/>
      <c r="AT167" s="117"/>
      <c r="AU167" s="117"/>
      <c r="AV167" s="128"/>
      <c r="AW167" s="117">
        <f>VLOOKUP($D167,'WB Data'!$C$3:$M$578,2,FALSE)</f>
        <v>20431781120.178547</v>
      </c>
      <c r="AX167" s="117">
        <f>VLOOKUP($D167,'WB Data'!$C$3:$M$578,3,FALSE)</f>
        <v>19097676</v>
      </c>
      <c r="AY167" s="847">
        <f t="shared" si="29"/>
        <v>8.8256710324170179E-2</v>
      </c>
      <c r="AZ167" s="117" t="e">
        <f>VLOOKUP($D167,'WB Data'!$C$3:$M$578,4,FALSE)/100</f>
        <v>#VALUE!</v>
      </c>
      <c r="BA167" s="117" t="str">
        <f t="shared" si="30"/>
        <v>..</v>
      </c>
      <c r="BB167" s="129">
        <f>IFERROR(VLOOKUP($D167,'EITI Revenues'!$C$2:$G$224,5,FALSE),"..")</f>
        <v>1803241787.7304473</v>
      </c>
      <c r="BC167" s="846" t="str">
        <f t="shared" si="31"/>
        <v>..</v>
      </c>
      <c r="BD167" s="129">
        <f>VLOOKUP($D167,'WB Data 2'!$C$2:$K$545,6,FALSE)</f>
        <v>2690916051.0000005</v>
      </c>
      <c r="BE167" s="129" t="str">
        <f>IFERROR(VLOOKUP($D167,UNCTAD!$C$5:$V$529,4,FALSE),"..")</f>
        <v>..</v>
      </c>
      <c r="BF167" s="846" t="str">
        <f t="shared" si="32"/>
        <v>..</v>
      </c>
      <c r="BG167" s="117">
        <f>VLOOKUP($D167,'WB Data'!$C$3:$M$578,5,FALSE)</f>
        <v>1926290000</v>
      </c>
      <c r="BH167" s="129">
        <f>IFERROR($BB167/$BG167,"..")</f>
        <v>0.9361216575543907</v>
      </c>
      <c r="BI167" s="117">
        <f>IFERROR(VLOOKUP($D167,'WB Data'!$C$3:$M$578,7,FALSE)/100,"..")</f>
        <v>3.3662499999999998E-2</v>
      </c>
      <c r="BJ167" s="117">
        <f>IFERROR($BI167*$AW167,"..")</f>
        <v>687784831.95801032</v>
      </c>
      <c r="BK167" s="846">
        <f>IFERROR($BB167/$BJ167,"..")</f>
        <v>2.621810926822731</v>
      </c>
      <c r="BL167" s="117">
        <f>IFERROR(VLOOKUP($D167,'WB Data'!$C$3:$M$578,7,FALSE)/100,"..")</f>
        <v>3.3662499999999998E-2</v>
      </c>
      <c r="BM167" s="117">
        <f>IFERROR($AW167*$BL167,"..")</f>
        <v>687784831.95801032</v>
      </c>
      <c r="BN167" s="846">
        <f>IFERROR($BB167/$BM167,"..")</f>
        <v>2.621810926822731</v>
      </c>
      <c r="BO167" s="801">
        <f t="shared" si="28"/>
        <v>27</v>
      </c>
      <c r="BP167" s="117">
        <f>VLOOKUP($D167,'WB Data'!$C$3:$M$578,9,FALSE)</f>
        <v>39.9</v>
      </c>
      <c r="BQ167" s="117">
        <f>VLOOKUP($D167,'WB Data'!$C$3:$M$578,10,FALSE)</f>
        <v>52.479146341463419</v>
      </c>
      <c r="BR167" s="117">
        <f>VLOOKUP($D167,'WB Data'!$C$3:$M$578,11,FALSE)</f>
        <v>73.3</v>
      </c>
      <c r="BS167" s="129" t="str">
        <f>IFERROR(VLOOKUP($D167,'WB Data 2'!$C$2:$K$545,9,FALSE),"..")</f>
        <v>..</v>
      </c>
      <c r="BT167" s="129">
        <f>_xlfn.IFNA(VLOOKUP($C167,RGI!$A$2:$C$43,2,FALSE),"..")</f>
        <v>41.8</v>
      </c>
      <c r="BU167" s="129">
        <f>_xlfn.IFNA(VLOOKUP($C167,RGI!$A$2:$C$43,3,FALSE),"..")</f>
        <v>34.155297028034767</v>
      </c>
      <c r="BV167" s="129">
        <f>VLOOKUP($D167,WGI!$C$2:$O$478,7,FALSE)</f>
        <v>-1.06182229722642</v>
      </c>
      <c r="BW167" s="129">
        <f>VLOOKUP($D167,WGI!$C$2:$O$478,4,FALSE)</f>
        <v>-0.33743375540982901</v>
      </c>
      <c r="BX167" s="129">
        <f>VLOOKUP($D167,WGI!$C$2:$O$478,3,FALSE)</f>
        <v>-0.82628211126179196</v>
      </c>
      <c r="BY167" s="129">
        <f>VLOOKUP($D167,WGI!$C$2:$O$478,5,FALSE)</f>
        <v>-0.83224265002023101</v>
      </c>
      <c r="BZ167" s="129">
        <f>VLOOKUP($D167,WGI!$C$2:$O$478,2,FALSE)</f>
        <v>-0.95124802612315695</v>
      </c>
      <c r="CB167" s="129"/>
    </row>
    <row r="168" spans="1:80" s="120" customFormat="1" ht="15" customHeight="1">
      <c r="A168" s="294" t="s">
        <v>114</v>
      </c>
      <c r="B168" s="117">
        <v>2007</v>
      </c>
      <c r="C168" s="117" t="s">
        <v>101</v>
      </c>
      <c r="D168" s="117" t="s">
        <v>3558</v>
      </c>
      <c r="E168" s="117" t="s">
        <v>86</v>
      </c>
      <c r="F168" s="117"/>
      <c r="G168" s="117" t="s">
        <v>103</v>
      </c>
      <c r="H168" s="117" t="str">
        <f t="shared" ref="H168:H231" si="33">IF($G168="Mining","yes",IF($G168="Oil, Gas, Mining","yes",IF($G168="Gas, Mining","yes",IF($G168="Oil, Mining","yes",IF($G168="Oil, Mining, Other","yes","no")))))</f>
        <v>no</v>
      </c>
      <c r="I168" s="117" t="str">
        <f t="shared" ref="I168:I231" si="34">IF($G168="Gas","yes",IF($G168="Oil, Gas, Mining","yes",IF($G168="Gas, Mining","yes",IF($G168="Oil, Gas","yes",IF($G168="Oil, Gas, Other","yes","no")))))</f>
        <v>no</v>
      </c>
      <c r="J168" s="117" t="str">
        <f t="shared" ref="J168:J231" si="35">IF($G168="Oil","yes",IF($G168="Oil, Gas, Mining","yes",IF($G168="Oil, Mining","yes",IF($G168="Oil, Gas","yes",IF($G168="Oil, Gas, Other","yes","no")))))</f>
        <v>yes</v>
      </c>
      <c r="K168" s="176" t="s">
        <v>103</v>
      </c>
      <c r="L168" s="117" t="str">
        <f t="shared" si="27"/>
        <v>detailed</v>
      </c>
      <c r="M168" s="117" t="str">
        <f t="shared" ref="M168:M231" si="36">L168&amp;" "&amp;G168</f>
        <v>detailed Oil</v>
      </c>
      <c r="N168" s="118">
        <v>31240000</v>
      </c>
      <c r="O168" s="211">
        <f>O167/N168</f>
        <v>0.41278715492957746</v>
      </c>
      <c r="P168" s="118">
        <v>31240000</v>
      </c>
      <c r="Q168" s="118"/>
      <c r="R168" s="118"/>
      <c r="S168" s="117" t="s">
        <v>646</v>
      </c>
      <c r="T168" s="119">
        <f>71.82*0.9497</f>
        <v>68.207453999999998</v>
      </c>
      <c r="U168" s="117" t="s">
        <v>673</v>
      </c>
      <c r="V168" s="117" t="s">
        <v>898</v>
      </c>
      <c r="W168" s="89">
        <f>N168*T168</f>
        <v>2130800862.96</v>
      </c>
      <c r="X168" s="117"/>
      <c r="Y168" s="117"/>
      <c r="Z168" s="117"/>
      <c r="AA168" s="177"/>
      <c r="AB168" s="177"/>
      <c r="AC168" s="122"/>
      <c r="AD168" s="122"/>
      <c r="AE168" s="122"/>
      <c r="AF168" s="123"/>
      <c r="AG168" s="117"/>
      <c r="AH168" s="124"/>
      <c r="AI168" s="117"/>
      <c r="AJ168" s="117"/>
      <c r="AK168" s="117"/>
      <c r="AL168" s="117"/>
      <c r="AM168" s="117"/>
      <c r="AN168" s="117"/>
      <c r="AO168" s="117"/>
      <c r="AP168" s="117"/>
      <c r="AQ168" s="117"/>
      <c r="AR168" s="126"/>
      <c r="AS168" s="117"/>
      <c r="AT168" s="117"/>
      <c r="AU168" s="117">
        <v>50</v>
      </c>
      <c r="AV168" s="128"/>
      <c r="AW168" s="117">
        <f>VLOOKUP($D168,'WB Data'!$C$3:$M$578,2,FALSE)</f>
        <v>20431781120.178547</v>
      </c>
      <c r="AX168" s="117">
        <f>VLOOKUP($D168,'WB Data'!$C$3:$M$578,3,FALSE)</f>
        <v>19097676</v>
      </c>
      <c r="AY168" s="847">
        <f t="shared" si="29"/>
        <v>8.8256710324170179E-2</v>
      </c>
      <c r="AZ168" s="117" t="e">
        <f>VLOOKUP($D168,'WB Data'!$C$3:$M$578,4,FALSE)/100</f>
        <v>#VALUE!</v>
      </c>
      <c r="BA168" s="117" t="str">
        <f t="shared" si="30"/>
        <v>..</v>
      </c>
      <c r="BB168" s="129">
        <f>IFERROR(VLOOKUP($D168,'EITI Revenues'!$C$2:$G$224,5,FALSE),"..")</f>
        <v>1803241787.7304473</v>
      </c>
      <c r="BC168" s="846" t="str">
        <f t="shared" si="31"/>
        <v>..</v>
      </c>
      <c r="BD168" s="129">
        <f>VLOOKUP($D168,'WB Data 2'!$C$2:$K$545,6,FALSE)</f>
        <v>2690916051.0000005</v>
      </c>
      <c r="BE168" s="129" t="str">
        <f>IFERROR(VLOOKUP($D168,UNCTAD!$C$5:$V$529,4,FALSE),"..")</f>
        <v>..</v>
      </c>
      <c r="BF168" s="846" t="str">
        <f t="shared" si="32"/>
        <v>..</v>
      </c>
      <c r="BG168" s="117">
        <f>VLOOKUP($D168,'WB Data'!$C$3:$M$578,5,FALSE)</f>
        <v>1926290000</v>
      </c>
      <c r="BH168" s="129">
        <f>IFERROR($BB168/$BG168,"..")</f>
        <v>0.9361216575543907</v>
      </c>
      <c r="BI168" s="117">
        <f>IFERROR(VLOOKUP($D168,'WB Data'!$C$3:$M$578,7,FALSE)/100,"..")</f>
        <v>3.3662499999999998E-2</v>
      </c>
      <c r="BJ168" s="117">
        <f>IFERROR($BI168*$AW168,"..")</f>
        <v>687784831.95801032</v>
      </c>
      <c r="BK168" s="846">
        <f>IFERROR($BB168/$BJ168,"..")</f>
        <v>2.621810926822731</v>
      </c>
      <c r="BL168" s="117">
        <f>IFERROR(VLOOKUP($D168,'WB Data'!$C$3:$M$578,7,FALSE)/100,"..")</f>
        <v>3.3662499999999998E-2</v>
      </c>
      <c r="BM168" s="117">
        <f>IFERROR($AW168*$BL168,"..")</f>
        <v>687784831.95801032</v>
      </c>
      <c r="BN168" s="846">
        <f>IFERROR($BB168/$BM168,"..")</f>
        <v>2.621810926822731</v>
      </c>
      <c r="BO168" s="801">
        <f t="shared" si="28"/>
        <v>27</v>
      </c>
      <c r="BP168" s="117">
        <f>VLOOKUP($D168,'WB Data'!$C$3:$M$578,9,FALSE)</f>
        <v>39.9</v>
      </c>
      <c r="BQ168" s="117">
        <f>VLOOKUP($D168,'WB Data'!$C$3:$M$578,10,FALSE)</f>
        <v>52.479146341463419</v>
      </c>
      <c r="BR168" s="117">
        <f>VLOOKUP($D168,'WB Data'!$C$3:$M$578,11,FALSE)</f>
        <v>73.3</v>
      </c>
      <c r="BS168" s="129" t="str">
        <f>IFERROR(VLOOKUP($D168,'WB Data 2'!$C$2:$K$545,9,FALSE),"..")</f>
        <v>..</v>
      </c>
      <c r="BT168" s="129">
        <f>_xlfn.IFNA(VLOOKUP($C168,RGI!$A$2:$C$43,2,FALSE),"..")</f>
        <v>41.8</v>
      </c>
      <c r="BU168" s="129">
        <f>_xlfn.IFNA(VLOOKUP($C168,RGI!$A$2:$C$43,3,FALSE),"..")</f>
        <v>34.155297028034767</v>
      </c>
      <c r="BV168" s="129">
        <f>VLOOKUP($D168,WGI!$C$2:$O$478,7,FALSE)</f>
        <v>-1.06182229722642</v>
      </c>
      <c r="BW168" s="129">
        <f>VLOOKUP($D168,WGI!$C$2:$O$478,4,FALSE)</f>
        <v>-0.33743375540982901</v>
      </c>
      <c r="BX168" s="129">
        <f>VLOOKUP($D168,WGI!$C$2:$O$478,3,FALSE)</f>
        <v>-0.82628211126179196</v>
      </c>
      <c r="BY168" s="129">
        <f>VLOOKUP($D168,WGI!$C$2:$O$478,5,FALSE)</f>
        <v>-0.83224265002023101</v>
      </c>
      <c r="BZ168" s="129">
        <f>VLOOKUP($D168,WGI!$C$2:$O$478,2,FALSE)</f>
        <v>-0.95124802612315695</v>
      </c>
      <c r="CB168" s="129"/>
    </row>
    <row r="169" spans="1:80" s="120" customFormat="1" ht="15" customHeight="1">
      <c r="A169" s="294" t="s">
        <v>114</v>
      </c>
      <c r="B169" s="117">
        <v>2007</v>
      </c>
      <c r="C169" s="117" t="s">
        <v>101</v>
      </c>
      <c r="D169" s="117" t="s">
        <v>3558</v>
      </c>
      <c r="E169" s="117" t="s">
        <v>86</v>
      </c>
      <c r="F169" s="117"/>
      <c r="G169" s="117" t="s">
        <v>24</v>
      </c>
      <c r="H169" s="117" t="str">
        <f t="shared" si="33"/>
        <v>yes</v>
      </c>
      <c r="I169" s="117" t="str">
        <f t="shared" si="34"/>
        <v>no</v>
      </c>
      <c r="J169" s="117" t="str">
        <f t="shared" si="35"/>
        <v>no</v>
      </c>
      <c r="K169" s="176" t="s">
        <v>600</v>
      </c>
      <c r="L169" s="117" t="str">
        <f t="shared" si="27"/>
        <v>Total</v>
      </c>
      <c r="M169" s="117" t="str">
        <f t="shared" si="36"/>
        <v>Total Mining</v>
      </c>
      <c r="N169" s="118"/>
      <c r="O169" s="118"/>
      <c r="P169" s="118"/>
      <c r="Q169" s="118"/>
      <c r="R169" s="118"/>
      <c r="S169" s="117"/>
      <c r="T169" s="119"/>
      <c r="U169" s="117"/>
      <c r="V169" s="117"/>
      <c r="W169" s="89">
        <f>SUM(W170:W174)</f>
        <v>11189939.300000001</v>
      </c>
      <c r="X169" s="117"/>
      <c r="Y169" s="117"/>
      <c r="Z169" s="117"/>
      <c r="AA169" s="179">
        <v>358874.41102253186</v>
      </c>
      <c r="AB169" s="179">
        <v>418937.0491949711</v>
      </c>
      <c r="AC169" s="212"/>
      <c r="AD169" s="212"/>
      <c r="AE169" s="212"/>
      <c r="AF169" s="213">
        <f>AA169/W169</f>
        <v>3.2071166911739356E-2</v>
      </c>
      <c r="AG169" s="117"/>
      <c r="AH169" s="124"/>
      <c r="AI169" s="117"/>
      <c r="AJ169" s="117"/>
      <c r="AK169" s="89"/>
      <c r="AL169" s="117"/>
      <c r="AM169" s="117"/>
      <c r="AN169" s="214">
        <v>9</v>
      </c>
      <c r="AO169" s="117" t="s">
        <v>899</v>
      </c>
      <c r="AP169" s="117">
        <v>3</v>
      </c>
      <c r="AQ169" s="232"/>
      <c r="AR169" s="126"/>
      <c r="AS169" s="117"/>
      <c r="AT169" s="127"/>
      <c r="AU169" s="215" t="s">
        <v>900</v>
      </c>
      <c r="AV169" s="128"/>
      <c r="AW169" s="117">
        <f>VLOOKUP($D169,'WB Data'!$C$3:$M$578,2,FALSE)</f>
        <v>20431781120.178547</v>
      </c>
      <c r="AX169" s="117">
        <f>VLOOKUP($D169,'WB Data'!$C$3:$M$578,3,FALSE)</f>
        <v>19097676</v>
      </c>
      <c r="AY169" s="847">
        <f t="shared" si="29"/>
        <v>8.8256710324170179E-2</v>
      </c>
      <c r="AZ169" s="117" t="e">
        <f>VLOOKUP($D169,'WB Data'!$C$3:$M$578,4,FALSE)/100</f>
        <v>#VALUE!</v>
      </c>
      <c r="BA169" s="117" t="str">
        <f t="shared" si="30"/>
        <v>..</v>
      </c>
      <c r="BB169" s="129">
        <f>IFERROR(VLOOKUP($D169,'EITI Revenues'!$C$2:$G$224,5,FALSE),"..")</f>
        <v>1803241787.7304473</v>
      </c>
      <c r="BC169" s="846" t="str">
        <f t="shared" si="31"/>
        <v>..</v>
      </c>
      <c r="BD169" s="129">
        <f>VLOOKUP($D169,'WB Data 2'!$C$2:$K$545,6,FALSE)</f>
        <v>2690916051.0000005</v>
      </c>
      <c r="BE169" s="129" t="str">
        <f>IFERROR(VLOOKUP($D169,UNCTAD!$C$5:$V$529,4,FALSE),"..")</f>
        <v>..</v>
      </c>
      <c r="BF169" s="846" t="str">
        <f t="shared" si="32"/>
        <v>..</v>
      </c>
      <c r="BG169" s="117">
        <f>VLOOKUP($D169,'WB Data'!$C$3:$M$578,5,FALSE)</f>
        <v>1926290000</v>
      </c>
      <c r="BH169" s="129">
        <f>IFERROR($BB169/$BG169,"..")</f>
        <v>0.9361216575543907</v>
      </c>
      <c r="BI169" s="117">
        <f>IFERROR(VLOOKUP($D169,'WB Data'!$C$3:$M$578,7,FALSE)/100,"..")</f>
        <v>3.3662499999999998E-2</v>
      </c>
      <c r="BJ169" s="117">
        <f>IFERROR($BI169*$AW169,"..")</f>
        <v>687784831.95801032</v>
      </c>
      <c r="BK169" s="846">
        <f>IFERROR($BB169/$BJ169,"..")</f>
        <v>2.621810926822731</v>
      </c>
      <c r="BL169" s="117">
        <f>IFERROR(VLOOKUP($D169,'WB Data'!$C$3:$M$578,7,FALSE)/100,"..")</f>
        <v>3.3662499999999998E-2</v>
      </c>
      <c r="BM169" s="117">
        <f>IFERROR($AW169*$BL169,"..")</f>
        <v>687784831.95801032</v>
      </c>
      <c r="BN169" s="846">
        <f>IFERROR($BB169/$BM169,"..")</f>
        <v>2.621810926822731</v>
      </c>
      <c r="BO169" s="801">
        <f t="shared" si="28"/>
        <v>27</v>
      </c>
      <c r="BP169" s="117">
        <f>VLOOKUP($D169,'WB Data'!$C$3:$M$578,9,FALSE)</f>
        <v>39.9</v>
      </c>
      <c r="BQ169" s="117">
        <f>VLOOKUP($D169,'WB Data'!$C$3:$M$578,10,FALSE)</f>
        <v>52.479146341463419</v>
      </c>
      <c r="BR169" s="117">
        <f>VLOOKUP($D169,'WB Data'!$C$3:$M$578,11,FALSE)</f>
        <v>73.3</v>
      </c>
      <c r="BS169" s="129" t="str">
        <f>IFERROR(VLOOKUP($D169,'WB Data 2'!$C$2:$K$545,9,FALSE),"..")</f>
        <v>..</v>
      </c>
      <c r="BT169" s="129">
        <f>_xlfn.IFNA(VLOOKUP($C169,RGI!$A$2:$C$43,2,FALSE),"..")</f>
        <v>41.8</v>
      </c>
      <c r="BU169" s="129">
        <f>_xlfn.IFNA(VLOOKUP($C169,RGI!$A$2:$C$43,3,FALSE),"..")</f>
        <v>34.155297028034767</v>
      </c>
      <c r="BV169" s="129">
        <f>VLOOKUP($D169,WGI!$C$2:$O$478,7,FALSE)</f>
        <v>-1.06182229722642</v>
      </c>
      <c r="BW169" s="129">
        <f>VLOOKUP($D169,WGI!$C$2:$O$478,4,FALSE)</f>
        <v>-0.33743375540982901</v>
      </c>
      <c r="BX169" s="129">
        <f>VLOOKUP($D169,WGI!$C$2:$O$478,3,FALSE)</f>
        <v>-0.82628211126179196</v>
      </c>
      <c r="BY169" s="129">
        <f>VLOOKUP($D169,WGI!$C$2:$O$478,5,FALSE)</f>
        <v>-0.83224265002023101</v>
      </c>
      <c r="BZ169" s="129">
        <f>VLOOKUP($D169,WGI!$C$2:$O$478,2,FALSE)</f>
        <v>-0.95124802612315695</v>
      </c>
      <c r="CB169" s="129"/>
    </row>
    <row r="170" spans="1:80" s="120" customFormat="1" ht="15" customHeight="1">
      <c r="A170" s="294" t="s">
        <v>114</v>
      </c>
      <c r="B170" s="117">
        <v>2007</v>
      </c>
      <c r="C170" s="117" t="s">
        <v>101</v>
      </c>
      <c r="D170" s="117" t="s">
        <v>3558</v>
      </c>
      <c r="E170" s="117" t="s">
        <v>86</v>
      </c>
      <c r="F170" s="117"/>
      <c r="G170" s="117" t="s">
        <v>24</v>
      </c>
      <c r="H170" s="117" t="str">
        <f t="shared" si="33"/>
        <v>yes</v>
      </c>
      <c r="I170" s="117" t="str">
        <f t="shared" si="34"/>
        <v>no</v>
      </c>
      <c r="J170" s="117" t="str">
        <f t="shared" si="35"/>
        <v>no</v>
      </c>
      <c r="K170" s="176" t="s">
        <v>728</v>
      </c>
      <c r="L170" s="117" t="str">
        <f t="shared" si="27"/>
        <v>detailed</v>
      </c>
      <c r="M170" s="117" t="str">
        <f t="shared" si="36"/>
        <v>detailed Mining</v>
      </c>
      <c r="N170" s="118">
        <v>10000</v>
      </c>
      <c r="O170" s="118"/>
      <c r="P170" s="118"/>
      <c r="Q170" s="118"/>
      <c r="R170" s="118"/>
      <c r="S170" s="117" t="s">
        <v>610</v>
      </c>
      <c r="T170" s="119">
        <f>11*0.1417</f>
        <v>1.5587</v>
      </c>
      <c r="U170" s="117" t="s">
        <v>611</v>
      </c>
      <c r="V170" s="117" t="s">
        <v>901</v>
      </c>
      <c r="W170" s="89">
        <f>N170*T170</f>
        <v>15587</v>
      </c>
      <c r="X170" s="117"/>
      <c r="Y170" s="117"/>
      <c r="Z170" s="117"/>
      <c r="AA170" s="179"/>
      <c r="AB170" s="179"/>
      <c r="AC170" s="212"/>
      <c r="AD170" s="212"/>
      <c r="AE170" s="212"/>
      <c r="AF170" s="213"/>
      <c r="AG170" s="117"/>
      <c r="AH170" s="124"/>
      <c r="AI170" s="117"/>
      <c r="AJ170" s="117"/>
      <c r="AK170" s="89"/>
      <c r="AL170" s="117"/>
      <c r="AM170" s="117"/>
      <c r="AN170" s="214"/>
      <c r="AO170" s="117"/>
      <c r="AP170" s="117"/>
      <c r="AQ170" s="232"/>
      <c r="AR170" s="126"/>
      <c r="AS170" s="117"/>
      <c r="AT170" s="127"/>
      <c r="AU170" s="215"/>
      <c r="AV170" s="128"/>
      <c r="AW170" s="117">
        <f>VLOOKUP($D170,'WB Data'!$C$3:$M$578,2,FALSE)</f>
        <v>20431781120.178547</v>
      </c>
      <c r="AX170" s="117">
        <f>VLOOKUP($D170,'WB Data'!$C$3:$M$578,3,FALSE)</f>
        <v>19097676</v>
      </c>
      <c r="AY170" s="847">
        <f t="shared" si="29"/>
        <v>8.8256710324170179E-2</v>
      </c>
      <c r="AZ170" s="117" t="e">
        <f>VLOOKUP($D170,'WB Data'!$C$3:$M$578,4,FALSE)/100</f>
        <v>#VALUE!</v>
      </c>
      <c r="BA170" s="117" t="str">
        <f t="shared" si="30"/>
        <v>..</v>
      </c>
      <c r="BB170" s="129">
        <f>IFERROR(VLOOKUP($D170,'EITI Revenues'!$C$2:$G$224,5,FALSE),"..")</f>
        <v>1803241787.7304473</v>
      </c>
      <c r="BC170" s="846" t="str">
        <f t="shared" si="31"/>
        <v>..</v>
      </c>
      <c r="BD170" s="129">
        <f>VLOOKUP($D170,'WB Data 2'!$C$2:$K$545,6,FALSE)</f>
        <v>2690916051.0000005</v>
      </c>
      <c r="BE170" s="129" t="str">
        <f>IFERROR(VLOOKUP($D170,UNCTAD!$C$5:$V$529,4,FALSE),"..")</f>
        <v>..</v>
      </c>
      <c r="BF170" s="846" t="str">
        <f t="shared" si="32"/>
        <v>..</v>
      </c>
      <c r="BG170" s="117">
        <f>VLOOKUP($D170,'WB Data'!$C$3:$M$578,5,FALSE)</f>
        <v>1926290000</v>
      </c>
      <c r="BH170" s="129">
        <f>IFERROR($BB170/$BG170,"..")</f>
        <v>0.9361216575543907</v>
      </c>
      <c r="BI170" s="117">
        <f>IFERROR(VLOOKUP($D170,'WB Data'!$C$3:$M$578,7,FALSE)/100,"..")</f>
        <v>3.3662499999999998E-2</v>
      </c>
      <c r="BJ170" s="117">
        <f>IFERROR($BI170*$AW170,"..")</f>
        <v>687784831.95801032</v>
      </c>
      <c r="BK170" s="846">
        <f>IFERROR($BB170/$BJ170,"..")</f>
        <v>2.621810926822731</v>
      </c>
      <c r="BL170" s="117">
        <f>IFERROR(VLOOKUP($D170,'WB Data'!$C$3:$M$578,7,FALSE)/100,"..")</f>
        <v>3.3662499999999998E-2</v>
      </c>
      <c r="BM170" s="117">
        <f>IFERROR($AW170*$BL170,"..")</f>
        <v>687784831.95801032</v>
      </c>
      <c r="BN170" s="846">
        <f>IFERROR($BB170/$BM170,"..")</f>
        <v>2.621810926822731</v>
      </c>
      <c r="BO170" s="801">
        <f t="shared" si="28"/>
        <v>27</v>
      </c>
      <c r="BP170" s="117">
        <f>VLOOKUP($D170,'WB Data'!$C$3:$M$578,9,FALSE)</f>
        <v>39.9</v>
      </c>
      <c r="BQ170" s="117">
        <f>VLOOKUP($D170,'WB Data'!$C$3:$M$578,10,FALSE)</f>
        <v>52.479146341463419</v>
      </c>
      <c r="BR170" s="117">
        <f>VLOOKUP($D170,'WB Data'!$C$3:$M$578,11,FALSE)</f>
        <v>73.3</v>
      </c>
      <c r="BS170" s="129" t="str">
        <f>IFERROR(VLOOKUP($D170,'WB Data 2'!$C$2:$K$545,9,FALSE),"..")</f>
        <v>..</v>
      </c>
      <c r="BT170" s="129">
        <f>_xlfn.IFNA(VLOOKUP($C170,RGI!$A$2:$C$43,2,FALSE),"..")</f>
        <v>41.8</v>
      </c>
      <c r="BU170" s="129">
        <f>_xlfn.IFNA(VLOOKUP($C170,RGI!$A$2:$C$43,3,FALSE),"..")</f>
        <v>34.155297028034767</v>
      </c>
      <c r="BV170" s="129">
        <f>VLOOKUP($D170,WGI!$C$2:$O$478,7,FALSE)</f>
        <v>-1.06182229722642</v>
      </c>
      <c r="BW170" s="129">
        <f>VLOOKUP($D170,WGI!$C$2:$O$478,4,FALSE)</f>
        <v>-0.33743375540982901</v>
      </c>
      <c r="BX170" s="129">
        <f>VLOOKUP($D170,WGI!$C$2:$O$478,3,FALSE)</f>
        <v>-0.82628211126179196</v>
      </c>
      <c r="BY170" s="129">
        <f>VLOOKUP($D170,WGI!$C$2:$O$478,5,FALSE)</f>
        <v>-0.83224265002023101</v>
      </c>
      <c r="BZ170" s="129">
        <f>VLOOKUP($D170,WGI!$C$2:$O$478,2,FALSE)</f>
        <v>-0.95124802612315695</v>
      </c>
      <c r="CB170" s="129"/>
    </row>
    <row r="171" spans="1:80" s="120" customFormat="1" ht="15" customHeight="1">
      <c r="A171" s="294" t="s">
        <v>114</v>
      </c>
      <c r="B171" s="117">
        <v>2007</v>
      </c>
      <c r="C171" s="117" t="s">
        <v>101</v>
      </c>
      <c r="D171" s="117" t="s">
        <v>3558</v>
      </c>
      <c r="E171" s="117" t="s">
        <v>86</v>
      </c>
      <c r="F171" s="117"/>
      <c r="G171" s="117" t="s">
        <v>24</v>
      </c>
      <c r="H171" s="117" t="str">
        <f t="shared" si="33"/>
        <v>yes</v>
      </c>
      <c r="I171" s="117" t="str">
        <f t="shared" si="34"/>
        <v>no</v>
      </c>
      <c r="J171" s="117" t="str">
        <f t="shared" si="35"/>
        <v>no</v>
      </c>
      <c r="K171" s="176" t="s">
        <v>784</v>
      </c>
      <c r="L171" s="117" t="str">
        <f t="shared" si="27"/>
        <v>detailed</v>
      </c>
      <c r="M171" s="117" t="str">
        <f t="shared" si="36"/>
        <v>detailed Mining</v>
      </c>
      <c r="N171" s="118">
        <f>2000*32.150743126506</f>
        <v>64301.486253012001</v>
      </c>
      <c r="O171" s="118"/>
      <c r="P171" s="118"/>
      <c r="Q171" s="118"/>
      <c r="R171" s="118"/>
      <c r="S171" s="117" t="s">
        <v>785</v>
      </c>
      <c r="T171" s="119">
        <v>696.72024999999996</v>
      </c>
      <c r="U171" s="117" t="s">
        <v>786</v>
      </c>
      <c r="V171" s="233" t="s">
        <v>902</v>
      </c>
      <c r="W171" s="89"/>
      <c r="X171" s="117"/>
      <c r="Y171" s="117"/>
      <c r="Z171" s="117"/>
      <c r="AA171" s="179"/>
      <c r="AB171" s="179"/>
      <c r="AC171" s="212"/>
      <c r="AD171" s="212"/>
      <c r="AE171" s="212"/>
      <c r="AF171" s="213"/>
      <c r="AG171" s="117"/>
      <c r="AH171" s="124"/>
      <c r="AI171" s="117"/>
      <c r="AJ171" s="117"/>
      <c r="AK171" s="89"/>
      <c r="AL171" s="117"/>
      <c r="AM171" s="117"/>
      <c r="AN171" s="214"/>
      <c r="AO171" s="117"/>
      <c r="AP171" s="117"/>
      <c r="AQ171" s="232"/>
      <c r="AR171" s="126"/>
      <c r="AS171" s="117"/>
      <c r="AT171" s="127"/>
      <c r="AU171" s="215"/>
      <c r="AV171" s="128" t="s">
        <v>903</v>
      </c>
      <c r="AW171" s="117">
        <f>VLOOKUP($D171,'WB Data'!$C$3:$M$578,2,FALSE)</f>
        <v>20431781120.178547</v>
      </c>
      <c r="AX171" s="117">
        <f>VLOOKUP($D171,'WB Data'!$C$3:$M$578,3,FALSE)</f>
        <v>19097676</v>
      </c>
      <c r="AY171" s="847">
        <f t="shared" si="29"/>
        <v>8.8256710324170179E-2</v>
      </c>
      <c r="AZ171" s="117" t="e">
        <f>VLOOKUP($D171,'WB Data'!$C$3:$M$578,4,FALSE)/100</f>
        <v>#VALUE!</v>
      </c>
      <c r="BA171" s="117" t="str">
        <f t="shared" si="30"/>
        <v>..</v>
      </c>
      <c r="BB171" s="129">
        <f>IFERROR(VLOOKUP($D171,'EITI Revenues'!$C$2:$G$224,5,FALSE),"..")</f>
        <v>1803241787.7304473</v>
      </c>
      <c r="BC171" s="846" t="str">
        <f t="shared" si="31"/>
        <v>..</v>
      </c>
      <c r="BD171" s="129">
        <f>VLOOKUP($D171,'WB Data 2'!$C$2:$K$545,6,FALSE)</f>
        <v>2690916051.0000005</v>
      </c>
      <c r="BE171" s="129" t="str">
        <f>IFERROR(VLOOKUP($D171,UNCTAD!$C$5:$V$529,4,FALSE),"..")</f>
        <v>..</v>
      </c>
      <c r="BF171" s="846" t="str">
        <f t="shared" si="32"/>
        <v>..</v>
      </c>
      <c r="BG171" s="117">
        <f>VLOOKUP($D171,'WB Data'!$C$3:$M$578,5,FALSE)</f>
        <v>1926290000</v>
      </c>
      <c r="BH171" s="129">
        <f>IFERROR($BB171/$BG171,"..")</f>
        <v>0.9361216575543907</v>
      </c>
      <c r="BI171" s="117">
        <f>IFERROR(VLOOKUP($D171,'WB Data'!$C$3:$M$578,7,FALSE)/100,"..")</f>
        <v>3.3662499999999998E-2</v>
      </c>
      <c r="BJ171" s="117">
        <f>IFERROR($BI171*$AW171,"..")</f>
        <v>687784831.95801032</v>
      </c>
      <c r="BK171" s="846">
        <f>IFERROR($BB171/$BJ171,"..")</f>
        <v>2.621810926822731</v>
      </c>
      <c r="BL171" s="117">
        <f>IFERROR(VLOOKUP($D171,'WB Data'!$C$3:$M$578,7,FALSE)/100,"..")</f>
        <v>3.3662499999999998E-2</v>
      </c>
      <c r="BM171" s="117">
        <f>IFERROR($AW171*$BL171,"..")</f>
        <v>687784831.95801032</v>
      </c>
      <c r="BN171" s="846">
        <f>IFERROR($BB171/$BM171,"..")</f>
        <v>2.621810926822731</v>
      </c>
      <c r="BO171" s="801">
        <f t="shared" si="28"/>
        <v>27</v>
      </c>
      <c r="BP171" s="117">
        <f>VLOOKUP($D171,'WB Data'!$C$3:$M$578,9,FALSE)</f>
        <v>39.9</v>
      </c>
      <c r="BQ171" s="117">
        <f>VLOOKUP($D171,'WB Data'!$C$3:$M$578,10,FALSE)</f>
        <v>52.479146341463419</v>
      </c>
      <c r="BR171" s="117">
        <f>VLOOKUP($D171,'WB Data'!$C$3:$M$578,11,FALSE)</f>
        <v>73.3</v>
      </c>
      <c r="BS171" s="129" t="str">
        <f>IFERROR(VLOOKUP($D171,'WB Data 2'!$C$2:$K$545,9,FALSE),"..")</f>
        <v>..</v>
      </c>
      <c r="BT171" s="129">
        <f>_xlfn.IFNA(VLOOKUP($C171,RGI!$A$2:$C$43,2,FALSE),"..")</f>
        <v>41.8</v>
      </c>
      <c r="BU171" s="129">
        <f>_xlfn.IFNA(VLOOKUP($C171,RGI!$A$2:$C$43,3,FALSE),"..")</f>
        <v>34.155297028034767</v>
      </c>
      <c r="BV171" s="129">
        <f>VLOOKUP($D171,WGI!$C$2:$O$478,7,FALSE)</f>
        <v>-1.06182229722642</v>
      </c>
      <c r="BW171" s="129">
        <f>VLOOKUP($D171,WGI!$C$2:$O$478,4,FALSE)</f>
        <v>-0.33743375540982901</v>
      </c>
      <c r="BX171" s="129">
        <f>VLOOKUP($D171,WGI!$C$2:$O$478,3,FALSE)</f>
        <v>-0.82628211126179196</v>
      </c>
      <c r="BY171" s="129">
        <f>VLOOKUP($D171,WGI!$C$2:$O$478,5,FALSE)</f>
        <v>-0.83224265002023101</v>
      </c>
      <c r="BZ171" s="129">
        <f>VLOOKUP($D171,WGI!$C$2:$O$478,2,FALSE)</f>
        <v>-0.95124802612315695</v>
      </c>
      <c r="CB171" s="129"/>
    </row>
    <row r="172" spans="1:80" s="120" customFormat="1" ht="15" customHeight="1">
      <c r="A172" s="294" t="s">
        <v>114</v>
      </c>
      <c r="B172" s="117">
        <v>2007</v>
      </c>
      <c r="C172" s="117" t="s">
        <v>101</v>
      </c>
      <c r="D172" s="117" t="s">
        <v>3558</v>
      </c>
      <c r="E172" s="117" t="s">
        <v>86</v>
      </c>
      <c r="F172" s="117"/>
      <c r="G172" s="117" t="s">
        <v>24</v>
      </c>
      <c r="H172" s="117" t="str">
        <f t="shared" si="33"/>
        <v>yes</v>
      </c>
      <c r="I172" s="117" t="str">
        <f t="shared" si="34"/>
        <v>no</v>
      </c>
      <c r="J172" s="117" t="str">
        <f t="shared" si="35"/>
        <v>no</v>
      </c>
      <c r="K172" s="176" t="s">
        <v>703</v>
      </c>
      <c r="L172" s="117" t="str">
        <f t="shared" si="27"/>
        <v>detailed</v>
      </c>
      <c r="M172" s="117" t="str">
        <f t="shared" si="36"/>
        <v>detailed Mining</v>
      </c>
      <c r="N172" s="118">
        <v>100000</v>
      </c>
      <c r="O172" s="118"/>
      <c r="P172" s="118"/>
      <c r="Q172" s="118"/>
      <c r="R172" s="118"/>
      <c r="S172" s="117" t="s">
        <v>610</v>
      </c>
      <c r="T172" s="119">
        <f>8.13*1.8433</f>
        <v>14.986029</v>
      </c>
      <c r="U172" s="117" t="s">
        <v>611</v>
      </c>
      <c r="V172" s="117" t="s">
        <v>911</v>
      </c>
      <c r="W172" s="89">
        <f>N172*T172</f>
        <v>1498602.9000000001</v>
      </c>
      <c r="X172" s="117"/>
      <c r="Y172" s="117"/>
      <c r="Z172" s="117"/>
      <c r="AA172" s="179"/>
      <c r="AB172" s="179"/>
      <c r="AC172" s="212"/>
      <c r="AD172" s="212"/>
      <c r="AE172" s="212"/>
      <c r="AF172" s="213"/>
      <c r="AG172" s="117"/>
      <c r="AH172" s="124"/>
      <c r="AI172" s="117"/>
      <c r="AJ172" s="117"/>
      <c r="AK172" s="89"/>
      <c r="AL172" s="117"/>
      <c r="AM172" s="117"/>
      <c r="AN172" s="214"/>
      <c r="AO172" s="117"/>
      <c r="AP172" s="117"/>
      <c r="AQ172" s="232"/>
      <c r="AR172" s="126"/>
      <c r="AS172" s="117"/>
      <c r="AT172" s="127"/>
      <c r="AU172" s="215"/>
      <c r="AV172" s="128"/>
      <c r="AW172" s="117">
        <f>VLOOKUP($D172,'WB Data'!$C$3:$M$578,2,FALSE)</f>
        <v>20431781120.178547</v>
      </c>
      <c r="AX172" s="117">
        <f>VLOOKUP($D172,'WB Data'!$C$3:$M$578,3,FALSE)</f>
        <v>19097676</v>
      </c>
      <c r="AY172" s="847">
        <f t="shared" si="29"/>
        <v>8.8256710324170179E-2</v>
      </c>
      <c r="AZ172" s="117" t="e">
        <f>VLOOKUP($D172,'WB Data'!$C$3:$M$578,4,FALSE)/100</f>
        <v>#VALUE!</v>
      </c>
      <c r="BA172" s="117" t="str">
        <f t="shared" si="30"/>
        <v>..</v>
      </c>
      <c r="BB172" s="129">
        <f>IFERROR(VLOOKUP($D172,'EITI Revenues'!$C$2:$G$224,5,FALSE),"..")</f>
        <v>1803241787.7304473</v>
      </c>
      <c r="BC172" s="846" t="str">
        <f t="shared" si="31"/>
        <v>..</v>
      </c>
      <c r="BD172" s="129">
        <f>VLOOKUP($D172,'WB Data 2'!$C$2:$K$545,6,FALSE)</f>
        <v>2690916051.0000005</v>
      </c>
      <c r="BE172" s="129" t="str">
        <f>IFERROR(VLOOKUP($D172,UNCTAD!$C$5:$V$529,4,FALSE),"..")</f>
        <v>..</v>
      </c>
      <c r="BF172" s="846" t="str">
        <f t="shared" si="32"/>
        <v>..</v>
      </c>
      <c r="BG172" s="117">
        <f>VLOOKUP($D172,'WB Data'!$C$3:$M$578,5,FALSE)</f>
        <v>1926290000</v>
      </c>
      <c r="BH172" s="129">
        <f>IFERROR($BB172/$BG172,"..")</f>
        <v>0.9361216575543907</v>
      </c>
      <c r="BI172" s="117">
        <f>IFERROR(VLOOKUP($D172,'WB Data'!$C$3:$M$578,7,FALSE)/100,"..")</f>
        <v>3.3662499999999998E-2</v>
      </c>
      <c r="BJ172" s="117">
        <f>IFERROR($BI172*$AW172,"..")</f>
        <v>687784831.95801032</v>
      </c>
      <c r="BK172" s="846">
        <f>IFERROR($BB172/$BJ172,"..")</f>
        <v>2.621810926822731</v>
      </c>
      <c r="BL172" s="117">
        <f>IFERROR(VLOOKUP($D172,'WB Data'!$C$3:$M$578,7,FALSE)/100,"..")</f>
        <v>3.3662499999999998E-2</v>
      </c>
      <c r="BM172" s="117">
        <f>IFERROR($AW172*$BL172,"..")</f>
        <v>687784831.95801032</v>
      </c>
      <c r="BN172" s="846">
        <f>IFERROR($BB172/$BM172,"..")</f>
        <v>2.621810926822731</v>
      </c>
      <c r="BO172" s="801">
        <f t="shared" si="28"/>
        <v>27</v>
      </c>
      <c r="BP172" s="117">
        <f>VLOOKUP($D172,'WB Data'!$C$3:$M$578,9,FALSE)</f>
        <v>39.9</v>
      </c>
      <c r="BQ172" s="117">
        <f>VLOOKUP($D172,'WB Data'!$C$3:$M$578,10,FALSE)</f>
        <v>52.479146341463419</v>
      </c>
      <c r="BR172" s="117">
        <f>VLOOKUP($D172,'WB Data'!$C$3:$M$578,11,FALSE)</f>
        <v>73.3</v>
      </c>
      <c r="BS172" s="129" t="str">
        <f>IFERROR(VLOOKUP($D172,'WB Data 2'!$C$2:$K$545,9,FALSE),"..")</f>
        <v>..</v>
      </c>
      <c r="BT172" s="129">
        <f>_xlfn.IFNA(VLOOKUP($C172,RGI!$A$2:$C$43,2,FALSE),"..")</f>
        <v>41.8</v>
      </c>
      <c r="BU172" s="129">
        <f>_xlfn.IFNA(VLOOKUP($C172,RGI!$A$2:$C$43,3,FALSE),"..")</f>
        <v>34.155297028034767</v>
      </c>
      <c r="BV172" s="129">
        <f>VLOOKUP($D172,WGI!$C$2:$O$478,7,FALSE)</f>
        <v>-1.06182229722642</v>
      </c>
      <c r="BW172" s="129">
        <f>VLOOKUP($D172,WGI!$C$2:$O$478,4,FALSE)</f>
        <v>-0.33743375540982901</v>
      </c>
      <c r="BX172" s="129">
        <f>VLOOKUP($D172,WGI!$C$2:$O$478,3,FALSE)</f>
        <v>-0.82628211126179196</v>
      </c>
      <c r="BY172" s="129">
        <f>VLOOKUP($D172,WGI!$C$2:$O$478,5,FALSE)</f>
        <v>-0.83224265002023101</v>
      </c>
      <c r="BZ172" s="129">
        <f>VLOOKUP($D172,WGI!$C$2:$O$478,2,FALSE)</f>
        <v>-0.95124802612315695</v>
      </c>
      <c r="CB172" s="129"/>
    </row>
    <row r="173" spans="1:80" s="120" customFormat="1" ht="15" customHeight="1">
      <c r="A173" s="294" t="s">
        <v>114</v>
      </c>
      <c r="B173" s="117">
        <v>2007</v>
      </c>
      <c r="C173" s="117" t="s">
        <v>101</v>
      </c>
      <c r="D173" s="117" t="s">
        <v>3558</v>
      </c>
      <c r="E173" s="117" t="s">
        <v>86</v>
      </c>
      <c r="F173" s="117"/>
      <c r="G173" s="117" t="s">
        <v>24</v>
      </c>
      <c r="H173" s="117" t="str">
        <f t="shared" si="33"/>
        <v>yes</v>
      </c>
      <c r="I173" s="117" t="str">
        <f t="shared" si="34"/>
        <v>no</v>
      </c>
      <c r="J173" s="117" t="str">
        <f t="shared" si="35"/>
        <v>no</v>
      </c>
      <c r="K173" s="176" t="s">
        <v>905</v>
      </c>
      <c r="L173" s="117" t="str">
        <f t="shared" si="27"/>
        <v>detailed</v>
      </c>
      <c r="M173" s="117" t="str">
        <f t="shared" si="36"/>
        <v>detailed Mining</v>
      </c>
      <c r="N173" s="118">
        <v>600000</v>
      </c>
      <c r="O173" s="118"/>
      <c r="P173" s="118"/>
      <c r="Q173" s="118"/>
      <c r="R173" s="118"/>
      <c r="S173" s="117" t="s">
        <v>610</v>
      </c>
      <c r="T173" s="119">
        <v>14.76</v>
      </c>
      <c r="U173" s="117" t="s">
        <v>611</v>
      </c>
      <c r="V173" s="117" t="s">
        <v>906</v>
      </c>
      <c r="W173" s="89">
        <f>N173*T173</f>
        <v>8856000</v>
      </c>
      <c r="X173" s="117"/>
      <c r="Y173" s="117"/>
      <c r="Z173" s="117"/>
      <c r="AA173" s="179"/>
      <c r="AB173" s="179"/>
      <c r="AC173" s="212"/>
      <c r="AD173" s="212"/>
      <c r="AE173" s="212"/>
      <c r="AF173" s="213"/>
      <c r="AG173" s="117"/>
      <c r="AH173" s="124"/>
      <c r="AI173" s="117"/>
      <c r="AJ173" s="117"/>
      <c r="AK173" s="89"/>
      <c r="AL173" s="117"/>
      <c r="AM173" s="117"/>
      <c r="AN173" s="214"/>
      <c r="AO173" s="117"/>
      <c r="AP173" s="117"/>
      <c r="AQ173" s="232"/>
      <c r="AR173" s="126"/>
      <c r="AS173" s="117"/>
      <c r="AT173" s="127"/>
      <c r="AU173" s="215"/>
      <c r="AV173" s="128"/>
      <c r="AW173" s="117">
        <f>VLOOKUP($D173,'WB Data'!$C$3:$M$578,2,FALSE)</f>
        <v>20431781120.178547</v>
      </c>
      <c r="AX173" s="117">
        <f>VLOOKUP($D173,'WB Data'!$C$3:$M$578,3,FALSE)</f>
        <v>19097676</v>
      </c>
      <c r="AY173" s="847">
        <f t="shared" si="29"/>
        <v>8.8256710324170179E-2</v>
      </c>
      <c r="AZ173" s="117" t="e">
        <f>VLOOKUP($D173,'WB Data'!$C$3:$M$578,4,FALSE)/100</f>
        <v>#VALUE!</v>
      </c>
      <c r="BA173" s="117" t="str">
        <f t="shared" si="30"/>
        <v>..</v>
      </c>
      <c r="BB173" s="129">
        <f>IFERROR(VLOOKUP($D173,'EITI Revenues'!$C$2:$G$224,5,FALSE),"..")</f>
        <v>1803241787.7304473</v>
      </c>
      <c r="BC173" s="846" t="str">
        <f t="shared" si="31"/>
        <v>..</v>
      </c>
      <c r="BD173" s="129">
        <f>VLOOKUP($D173,'WB Data 2'!$C$2:$K$545,6,FALSE)</f>
        <v>2690916051.0000005</v>
      </c>
      <c r="BE173" s="129" t="str">
        <f>IFERROR(VLOOKUP($D173,UNCTAD!$C$5:$V$529,4,FALSE),"..")</f>
        <v>..</v>
      </c>
      <c r="BF173" s="846" t="str">
        <f t="shared" si="32"/>
        <v>..</v>
      </c>
      <c r="BG173" s="117">
        <f>VLOOKUP($D173,'WB Data'!$C$3:$M$578,5,FALSE)</f>
        <v>1926290000</v>
      </c>
      <c r="BH173" s="129">
        <f>IFERROR($BB173/$BG173,"..")</f>
        <v>0.9361216575543907</v>
      </c>
      <c r="BI173" s="117">
        <f>IFERROR(VLOOKUP($D173,'WB Data'!$C$3:$M$578,7,FALSE)/100,"..")</f>
        <v>3.3662499999999998E-2</v>
      </c>
      <c r="BJ173" s="117">
        <f>IFERROR($BI173*$AW173,"..")</f>
        <v>687784831.95801032</v>
      </c>
      <c r="BK173" s="846">
        <f>IFERROR($BB173/$BJ173,"..")</f>
        <v>2.621810926822731</v>
      </c>
      <c r="BL173" s="117">
        <f>IFERROR(VLOOKUP($D173,'WB Data'!$C$3:$M$578,7,FALSE)/100,"..")</f>
        <v>3.3662499999999998E-2</v>
      </c>
      <c r="BM173" s="117">
        <f>IFERROR($AW173*$BL173,"..")</f>
        <v>687784831.95801032</v>
      </c>
      <c r="BN173" s="846">
        <f>IFERROR($BB173/$BM173,"..")</f>
        <v>2.621810926822731</v>
      </c>
      <c r="BO173" s="801">
        <f t="shared" si="28"/>
        <v>27</v>
      </c>
      <c r="BP173" s="117">
        <f>VLOOKUP($D173,'WB Data'!$C$3:$M$578,9,FALSE)</f>
        <v>39.9</v>
      </c>
      <c r="BQ173" s="117">
        <f>VLOOKUP($D173,'WB Data'!$C$3:$M$578,10,FALSE)</f>
        <v>52.479146341463419</v>
      </c>
      <c r="BR173" s="117">
        <f>VLOOKUP($D173,'WB Data'!$C$3:$M$578,11,FALSE)</f>
        <v>73.3</v>
      </c>
      <c r="BS173" s="129" t="str">
        <f>IFERROR(VLOOKUP($D173,'WB Data 2'!$C$2:$K$545,9,FALSE),"..")</f>
        <v>..</v>
      </c>
      <c r="BT173" s="129">
        <f>_xlfn.IFNA(VLOOKUP($C173,RGI!$A$2:$C$43,2,FALSE),"..")</f>
        <v>41.8</v>
      </c>
      <c r="BU173" s="129">
        <f>_xlfn.IFNA(VLOOKUP($C173,RGI!$A$2:$C$43,3,FALSE),"..")</f>
        <v>34.155297028034767</v>
      </c>
      <c r="BV173" s="129">
        <f>VLOOKUP($D173,WGI!$C$2:$O$478,7,FALSE)</f>
        <v>-1.06182229722642</v>
      </c>
      <c r="BW173" s="129">
        <f>VLOOKUP($D173,WGI!$C$2:$O$478,4,FALSE)</f>
        <v>-0.33743375540982901</v>
      </c>
      <c r="BX173" s="129">
        <f>VLOOKUP($D173,WGI!$C$2:$O$478,3,FALSE)</f>
        <v>-0.82628211126179196</v>
      </c>
      <c r="BY173" s="129">
        <f>VLOOKUP($D173,WGI!$C$2:$O$478,5,FALSE)</f>
        <v>-0.83224265002023101</v>
      </c>
      <c r="BZ173" s="129">
        <f>VLOOKUP($D173,WGI!$C$2:$O$478,2,FALSE)</f>
        <v>-0.95124802612315695</v>
      </c>
      <c r="CB173" s="129"/>
    </row>
    <row r="174" spans="1:80" s="158" customFormat="1" ht="15" customHeight="1">
      <c r="A174" s="295" t="s">
        <v>114</v>
      </c>
      <c r="B174" s="149">
        <v>2007</v>
      </c>
      <c r="C174" s="149" t="s">
        <v>101</v>
      </c>
      <c r="D174" s="117" t="s">
        <v>3558</v>
      </c>
      <c r="E174" s="149" t="s">
        <v>86</v>
      </c>
      <c r="F174" s="149"/>
      <c r="G174" s="149" t="s">
        <v>24</v>
      </c>
      <c r="H174" s="149" t="str">
        <f t="shared" si="33"/>
        <v>yes</v>
      </c>
      <c r="I174" s="149" t="str">
        <f t="shared" si="34"/>
        <v>no</v>
      </c>
      <c r="J174" s="149" t="str">
        <f t="shared" si="35"/>
        <v>no</v>
      </c>
      <c r="K174" s="188" t="s">
        <v>907</v>
      </c>
      <c r="L174" s="149" t="str">
        <f t="shared" si="27"/>
        <v>detailed</v>
      </c>
      <c r="M174" s="149" t="str">
        <f t="shared" si="36"/>
        <v>detailed Mining</v>
      </c>
      <c r="N174" s="150">
        <v>600000</v>
      </c>
      <c r="O174" s="150"/>
      <c r="P174" s="150"/>
      <c r="Q174" s="150"/>
      <c r="R174" s="150"/>
      <c r="S174" s="149" t="s">
        <v>610</v>
      </c>
      <c r="T174" s="151">
        <f>7.01*0.1949</f>
        <v>1.3662489999999998</v>
      </c>
      <c r="U174" s="149" t="s">
        <v>611</v>
      </c>
      <c r="V174" s="149" t="s">
        <v>908</v>
      </c>
      <c r="W174" s="152">
        <f>N174*T174</f>
        <v>819749.39999999991</v>
      </c>
      <c r="X174" s="149"/>
      <c r="Y174" s="149"/>
      <c r="Z174" s="149"/>
      <c r="AA174" s="216"/>
      <c r="AB174" s="216"/>
      <c r="AC174" s="217"/>
      <c r="AD174" s="217"/>
      <c r="AE174" s="217"/>
      <c r="AF174" s="230"/>
      <c r="AG174" s="149"/>
      <c r="AH174" s="156"/>
      <c r="AI174" s="149"/>
      <c r="AJ174" s="149"/>
      <c r="AK174" s="152"/>
      <c r="AL174" s="149"/>
      <c r="AM174" s="149"/>
      <c r="AN174" s="218"/>
      <c r="AO174" s="149"/>
      <c r="AP174" s="149"/>
      <c r="AQ174" s="236"/>
      <c r="AR174" s="220"/>
      <c r="AS174" s="149"/>
      <c r="AT174" s="221"/>
      <c r="AU174" s="222"/>
      <c r="AV174" s="157"/>
      <c r="AW174" s="117">
        <f>VLOOKUP($D174,'WB Data'!$C$3:$M$578,2,FALSE)</f>
        <v>20431781120.178547</v>
      </c>
      <c r="AX174" s="117">
        <f>VLOOKUP($D174,'WB Data'!$C$3:$M$578,3,FALSE)</f>
        <v>19097676</v>
      </c>
      <c r="AY174" s="847">
        <f t="shared" si="29"/>
        <v>8.8256710324170179E-2</v>
      </c>
      <c r="AZ174" s="117" t="e">
        <f>VLOOKUP($D174,'WB Data'!$C$3:$M$578,4,FALSE)/100</f>
        <v>#VALUE!</v>
      </c>
      <c r="BA174" s="117" t="str">
        <f t="shared" si="30"/>
        <v>..</v>
      </c>
      <c r="BB174" s="129">
        <f>IFERROR(VLOOKUP($D174,'EITI Revenues'!$C$2:$G$224,5,FALSE),"..")</f>
        <v>1803241787.7304473</v>
      </c>
      <c r="BC174" s="846" t="str">
        <f t="shared" si="31"/>
        <v>..</v>
      </c>
      <c r="BD174" s="129">
        <f>VLOOKUP($D174,'WB Data 2'!$C$2:$K$545,6,FALSE)</f>
        <v>2690916051.0000005</v>
      </c>
      <c r="BE174" s="129" t="str">
        <f>IFERROR(VLOOKUP($D174,UNCTAD!$C$5:$V$529,4,FALSE),"..")</f>
        <v>..</v>
      </c>
      <c r="BF174" s="846" t="str">
        <f t="shared" si="32"/>
        <v>..</v>
      </c>
      <c r="BG174" s="117">
        <f>VLOOKUP($D174,'WB Data'!$C$3:$M$578,5,FALSE)</f>
        <v>1926290000</v>
      </c>
      <c r="BH174" s="129">
        <f>IFERROR($BB174/$BG174,"..")</f>
        <v>0.9361216575543907</v>
      </c>
      <c r="BI174" s="117">
        <f>IFERROR(VLOOKUP($D174,'WB Data'!$C$3:$M$578,7,FALSE)/100,"..")</f>
        <v>3.3662499999999998E-2</v>
      </c>
      <c r="BJ174" s="117">
        <f>IFERROR($BI174*$AW174,"..")</f>
        <v>687784831.95801032</v>
      </c>
      <c r="BK174" s="846">
        <f>IFERROR($BB174/$BJ174,"..")</f>
        <v>2.621810926822731</v>
      </c>
      <c r="BL174" s="117">
        <f>IFERROR(VLOOKUP($D174,'WB Data'!$C$3:$M$578,7,FALSE)/100,"..")</f>
        <v>3.3662499999999998E-2</v>
      </c>
      <c r="BM174" s="117">
        <f>IFERROR($AW174*$BL174,"..")</f>
        <v>687784831.95801032</v>
      </c>
      <c r="BN174" s="846">
        <f>IFERROR($BB174/$BM174,"..")</f>
        <v>2.621810926822731</v>
      </c>
      <c r="BO174" s="801">
        <f t="shared" si="28"/>
        <v>27</v>
      </c>
      <c r="BP174" s="117">
        <f>VLOOKUP($D174,'WB Data'!$C$3:$M$578,9,FALSE)</f>
        <v>39.9</v>
      </c>
      <c r="BQ174" s="117">
        <f>VLOOKUP($D174,'WB Data'!$C$3:$M$578,10,FALSE)</f>
        <v>52.479146341463419</v>
      </c>
      <c r="BR174" s="117">
        <f>VLOOKUP($D174,'WB Data'!$C$3:$M$578,11,FALSE)</f>
        <v>73.3</v>
      </c>
      <c r="BS174" s="129" t="str">
        <f>IFERROR(VLOOKUP($D174,'WB Data 2'!$C$2:$K$545,9,FALSE),"..")</f>
        <v>..</v>
      </c>
      <c r="BT174" s="129">
        <f>_xlfn.IFNA(VLOOKUP($C174,RGI!$A$2:$C$43,2,FALSE),"..")</f>
        <v>41.8</v>
      </c>
      <c r="BU174" s="129">
        <f>_xlfn.IFNA(VLOOKUP($C174,RGI!$A$2:$C$43,3,FALSE),"..")</f>
        <v>34.155297028034767</v>
      </c>
      <c r="BV174" s="129">
        <f>VLOOKUP($D174,WGI!$C$2:$O$478,7,FALSE)</f>
        <v>-1.06182229722642</v>
      </c>
      <c r="BW174" s="129">
        <f>VLOOKUP($D174,WGI!$C$2:$O$478,4,FALSE)</f>
        <v>-0.33743375540982901</v>
      </c>
      <c r="BX174" s="129">
        <f>VLOOKUP($D174,WGI!$C$2:$O$478,3,FALSE)</f>
        <v>-0.82628211126179196</v>
      </c>
      <c r="BY174" s="129">
        <f>VLOOKUP($D174,WGI!$C$2:$O$478,5,FALSE)</f>
        <v>-0.83224265002023101</v>
      </c>
      <c r="BZ174" s="129">
        <f>VLOOKUP($D174,WGI!$C$2:$O$478,2,FALSE)</f>
        <v>-0.95124802612315695</v>
      </c>
      <c r="CB174" s="129"/>
    </row>
    <row r="175" spans="1:80" ht="15" customHeight="1">
      <c r="A175" s="294" t="s">
        <v>115</v>
      </c>
      <c r="B175" s="117">
        <v>2008</v>
      </c>
      <c r="C175" s="117" t="s">
        <v>101</v>
      </c>
      <c r="D175" s="117" t="s">
        <v>3592</v>
      </c>
      <c r="E175" s="117" t="s">
        <v>86</v>
      </c>
      <c r="F175" s="117" t="s">
        <v>863</v>
      </c>
      <c r="G175" s="117" t="s">
        <v>35</v>
      </c>
      <c r="H175" s="117" t="str">
        <f t="shared" si="33"/>
        <v>yes</v>
      </c>
      <c r="I175" s="117" t="str">
        <f t="shared" si="34"/>
        <v>yes</v>
      </c>
      <c r="J175" s="117" t="str">
        <f t="shared" si="35"/>
        <v>yes</v>
      </c>
      <c r="K175" s="176" t="s">
        <v>709</v>
      </c>
      <c r="L175" s="117" t="str">
        <f t="shared" si="27"/>
        <v>Total</v>
      </c>
      <c r="M175" s="117" t="str">
        <f t="shared" si="36"/>
        <v>Total Oil, Gas, Mining</v>
      </c>
      <c r="N175" s="118"/>
      <c r="O175" s="118"/>
      <c r="P175" s="118"/>
      <c r="Q175" s="118"/>
      <c r="R175" s="118"/>
      <c r="S175" s="117"/>
      <c r="T175" s="119"/>
      <c r="U175" s="117"/>
      <c r="V175" s="117"/>
      <c r="W175" s="298">
        <f>W176+W179</f>
        <v>3320522035.4024</v>
      </c>
      <c r="X175" s="125" t="s">
        <v>890</v>
      </c>
      <c r="Y175" s="117" t="s">
        <v>731</v>
      </c>
      <c r="Z175" s="117" t="s">
        <v>732</v>
      </c>
      <c r="AA175" s="286">
        <f>367736879.431585+AK175</f>
        <v>2362223467.224865</v>
      </c>
      <c r="AB175" s="286">
        <v>370036064.80442196</v>
      </c>
      <c r="AC175" s="122"/>
      <c r="AD175" s="122"/>
      <c r="AE175" s="122"/>
      <c r="AF175" s="300">
        <f>AA175/W175</f>
        <v>0.71140123210734763</v>
      </c>
      <c r="AG175" s="117" t="s">
        <v>891</v>
      </c>
      <c r="AH175" s="124">
        <v>472.19</v>
      </c>
      <c r="AI175" s="117" t="s">
        <v>667</v>
      </c>
      <c r="AJ175" s="117" t="s">
        <v>912</v>
      </c>
      <c r="AK175" s="89">
        <v>1994486587.7932799</v>
      </c>
      <c r="AL175" s="89" t="s">
        <v>893</v>
      </c>
      <c r="AM175" s="177">
        <v>46132150</v>
      </c>
      <c r="AN175" s="117">
        <v>21</v>
      </c>
      <c r="AO175" s="117" t="s">
        <v>867</v>
      </c>
      <c r="AP175" s="117">
        <v>10</v>
      </c>
      <c r="AQ175" s="215" t="s">
        <v>112</v>
      </c>
      <c r="AR175" s="126">
        <v>41891</v>
      </c>
      <c r="AS175" s="117" t="s">
        <v>877</v>
      </c>
      <c r="AT175" s="117" t="s">
        <v>113</v>
      </c>
      <c r="AU175" s="117" t="s">
        <v>895</v>
      </c>
      <c r="AV175" s="128" t="s">
        <v>913</v>
      </c>
      <c r="AW175" s="117">
        <f>VLOOKUP($D175,'WB Data'!$C$3:$M$578,2,FALSE)</f>
        <v>23322256428.012459</v>
      </c>
      <c r="AX175" s="117">
        <f>VLOOKUP($D175,'WB Data'!$C$3:$M$578,3,FALSE)</f>
        <v>19595026</v>
      </c>
      <c r="AY175" s="847">
        <f t="shared" si="29"/>
        <v>0.1012862316524223</v>
      </c>
      <c r="AZ175" s="117" t="e">
        <f>VLOOKUP($D175,'WB Data'!$C$3:$M$578,4,FALSE)/100</f>
        <v>#VALUE!</v>
      </c>
      <c r="BA175" s="117" t="str">
        <f t="shared" si="30"/>
        <v>..</v>
      </c>
      <c r="BB175" s="129">
        <f>IFERROR(VLOOKUP($D175,'EITI Revenues'!$C$2:$G$224,5,FALSE),"..")</f>
        <v>2362223467.224865</v>
      </c>
      <c r="BC175" s="846" t="str">
        <f t="shared" si="31"/>
        <v>..</v>
      </c>
      <c r="BD175" s="129">
        <f>VLOOKUP($D175,'WB Data 2'!$C$2:$K$545,6,FALSE)</f>
        <v>593994236.01505387</v>
      </c>
      <c r="BE175" s="129" t="str">
        <f>IFERROR(VLOOKUP($D175,UNCTAD!$C$5:$V$529,4,FALSE),"..")</f>
        <v>..</v>
      </c>
      <c r="BF175" s="846" t="str">
        <f t="shared" si="32"/>
        <v>..</v>
      </c>
      <c r="BG175" s="117">
        <f>VLOOKUP($D175,'WB Data'!$C$3:$M$578,5,FALSE)</f>
        <v>548590000</v>
      </c>
      <c r="BH175" s="129">
        <f>IFERROR($BB175/$BG175,"..")</f>
        <v>4.3059907530667072</v>
      </c>
      <c r="BI175" s="117">
        <f>IFERROR(VLOOKUP($D175,'WB Data'!$C$3:$M$578,7,FALSE)/100,"..")</f>
        <v>2.9053800000000001E-2</v>
      </c>
      <c r="BJ175" s="117">
        <f>IFERROR($BI175*$AW175,"..")</f>
        <v>677600173.80818844</v>
      </c>
      <c r="BK175" s="846">
        <f>IFERROR($BB175/$BJ175,"..")</f>
        <v>3.4861612474933499</v>
      </c>
      <c r="BL175" s="117">
        <f>IFERROR(VLOOKUP($D175,'WB Data'!$C$3:$M$578,7,FALSE)/100,"..")</f>
        <v>2.9053800000000001E-2</v>
      </c>
      <c r="BM175" s="117">
        <f>IFERROR($AW175*$BL175,"..")</f>
        <v>677600173.80818844</v>
      </c>
      <c r="BN175" s="846">
        <f>IFERROR($BB175/$BM175,"..")</f>
        <v>3.4861612474933499</v>
      </c>
      <c r="BO175" s="801">
        <f t="shared" si="28"/>
        <v>27</v>
      </c>
      <c r="BP175" s="117" t="str">
        <f>VLOOKUP($D175,'WB Data'!$C$3:$M$578,9,FALSE)</f>
        <v>..</v>
      </c>
      <c r="BQ175" s="117">
        <f>VLOOKUP($D175,'WB Data'!$C$3:$M$578,10,FALSE)</f>
        <v>52.855829268292695</v>
      </c>
      <c r="BR175" s="117">
        <f>VLOOKUP($D175,'WB Data'!$C$3:$M$578,11,FALSE)</f>
        <v>70.8</v>
      </c>
      <c r="BS175" s="129">
        <f>IFERROR(VLOOKUP($D175,'WB Data 2'!$C$2:$K$545,9,FALSE),"..")</f>
        <v>82.138900000000007</v>
      </c>
      <c r="BT175" s="129">
        <f>_xlfn.IFNA(VLOOKUP($C175,RGI!$A$2:$C$43,2,FALSE),"..")</f>
        <v>41.8</v>
      </c>
      <c r="BU175" s="129">
        <f>_xlfn.IFNA(VLOOKUP($C175,RGI!$A$2:$C$43,3,FALSE),"..")</f>
        <v>34.155297028034767</v>
      </c>
      <c r="BV175" s="129">
        <f>VLOOKUP($D175,WGI!$C$2:$O$478,7,FALSE)</f>
        <v>-1.0847112975143101</v>
      </c>
      <c r="BW175" s="129">
        <f>VLOOKUP($D175,WGI!$C$2:$O$478,4,FALSE)</f>
        <v>-0.55077856681117598</v>
      </c>
      <c r="BX175" s="129">
        <f>VLOOKUP($D175,WGI!$C$2:$O$478,3,FALSE)</f>
        <v>-0.785223800045872</v>
      </c>
      <c r="BY175" s="129">
        <f>VLOOKUP($D175,WGI!$C$2:$O$478,5,FALSE)</f>
        <v>-0.80780618656282699</v>
      </c>
      <c r="BZ175" s="129">
        <f>VLOOKUP($D175,WGI!$C$2:$O$478,2,FALSE)</f>
        <v>-0.94371128670100402</v>
      </c>
    </row>
    <row r="176" spans="1:80" ht="15" customHeight="1">
      <c r="A176" s="294" t="s">
        <v>115</v>
      </c>
      <c r="B176" s="117">
        <v>2008</v>
      </c>
      <c r="C176" s="117" t="s">
        <v>101</v>
      </c>
      <c r="D176" s="117" t="s">
        <v>3592</v>
      </c>
      <c r="E176" s="117" t="s">
        <v>86</v>
      </c>
      <c r="F176" s="117"/>
      <c r="G176" s="117" t="s">
        <v>55</v>
      </c>
      <c r="H176" s="117" t="str">
        <f t="shared" si="33"/>
        <v>no</v>
      </c>
      <c r="I176" s="117" t="str">
        <f t="shared" si="34"/>
        <v>yes</v>
      </c>
      <c r="J176" s="117" t="str">
        <f t="shared" si="35"/>
        <v>yes</v>
      </c>
      <c r="K176" s="176" t="s">
        <v>640</v>
      </c>
      <c r="L176" s="117" t="str">
        <f t="shared" si="27"/>
        <v>Total</v>
      </c>
      <c r="M176" s="117" t="str">
        <f t="shared" si="36"/>
        <v>Total Oil, Gas</v>
      </c>
      <c r="N176" s="118"/>
      <c r="O176" s="118"/>
      <c r="P176" s="118"/>
      <c r="Q176" s="118"/>
      <c r="R176" s="118"/>
      <c r="S176" s="117"/>
      <c r="T176" s="119"/>
      <c r="U176" s="117"/>
      <c r="V176" s="117"/>
      <c r="W176" s="89">
        <f>SUM(W177:W178)</f>
        <v>3309929668.6023998</v>
      </c>
      <c r="X176" s="117"/>
      <c r="Y176" s="117"/>
      <c r="Z176" s="117"/>
      <c r="AA176" s="177">
        <f>367413520+AK176</f>
        <v>2361900107.7932796</v>
      </c>
      <c r="AB176" s="177">
        <v>369686000</v>
      </c>
      <c r="AC176" s="122"/>
      <c r="AD176" s="122"/>
      <c r="AE176" s="122"/>
      <c r="AF176" s="213">
        <f>AA176/W176</f>
        <v>0.71358014951132764</v>
      </c>
      <c r="AG176" s="117"/>
      <c r="AH176" s="124"/>
      <c r="AI176" s="117"/>
      <c r="AJ176" s="117" t="s">
        <v>912</v>
      </c>
      <c r="AK176" s="89">
        <v>1994486587.7932799</v>
      </c>
      <c r="AL176" s="117"/>
      <c r="AM176" s="117"/>
      <c r="AN176" s="117">
        <v>12</v>
      </c>
      <c r="AO176" s="117" t="s">
        <v>897</v>
      </c>
      <c r="AP176" s="117">
        <v>7</v>
      </c>
      <c r="AQ176" s="117"/>
      <c r="AR176" s="126"/>
      <c r="AS176" s="117"/>
      <c r="AT176" s="117"/>
      <c r="AU176" s="117">
        <v>15</v>
      </c>
      <c r="AV176" s="128"/>
      <c r="AW176" s="117">
        <f>VLOOKUP($D176,'WB Data'!$C$3:$M$578,2,FALSE)</f>
        <v>23322256428.012459</v>
      </c>
      <c r="AX176" s="117">
        <f>VLOOKUP($D176,'WB Data'!$C$3:$M$578,3,FALSE)</f>
        <v>19595026</v>
      </c>
      <c r="AY176" s="847">
        <f t="shared" si="29"/>
        <v>0.1012862316524223</v>
      </c>
      <c r="AZ176" s="117" t="e">
        <f>VLOOKUP($D176,'WB Data'!$C$3:$M$578,4,FALSE)/100</f>
        <v>#VALUE!</v>
      </c>
      <c r="BA176" s="117" t="str">
        <f t="shared" si="30"/>
        <v>..</v>
      </c>
      <c r="BB176" s="129">
        <f>IFERROR(VLOOKUP($D176,'EITI Revenues'!$C$2:$G$224,5,FALSE),"..")</f>
        <v>2362223467.224865</v>
      </c>
      <c r="BC176" s="846" t="str">
        <f t="shared" si="31"/>
        <v>..</v>
      </c>
      <c r="BD176" s="129">
        <f>VLOOKUP($D176,'WB Data 2'!$C$2:$K$545,6,FALSE)</f>
        <v>593994236.01505387</v>
      </c>
      <c r="BE176" s="129" t="str">
        <f>IFERROR(VLOOKUP($D176,UNCTAD!$C$5:$V$529,4,FALSE),"..")</f>
        <v>..</v>
      </c>
      <c r="BF176" s="846" t="str">
        <f t="shared" si="32"/>
        <v>..</v>
      </c>
      <c r="BG176" s="117">
        <f>VLOOKUP($D176,'WB Data'!$C$3:$M$578,5,FALSE)</f>
        <v>548590000</v>
      </c>
      <c r="BH176" s="129">
        <f>IFERROR($BB176/$BG176,"..")</f>
        <v>4.3059907530667072</v>
      </c>
      <c r="BI176" s="117">
        <f>IFERROR(VLOOKUP($D176,'WB Data'!$C$3:$M$578,7,FALSE)/100,"..")</f>
        <v>2.9053800000000001E-2</v>
      </c>
      <c r="BJ176" s="117">
        <f>IFERROR($BI176*$AW176,"..")</f>
        <v>677600173.80818844</v>
      </c>
      <c r="BK176" s="846">
        <f>IFERROR($BB176/$BJ176,"..")</f>
        <v>3.4861612474933499</v>
      </c>
      <c r="BL176" s="117">
        <f>IFERROR(VLOOKUP($D176,'WB Data'!$C$3:$M$578,7,FALSE)/100,"..")</f>
        <v>2.9053800000000001E-2</v>
      </c>
      <c r="BM176" s="117">
        <f>IFERROR($AW176*$BL176,"..")</f>
        <v>677600173.80818844</v>
      </c>
      <c r="BN176" s="846">
        <f>IFERROR($BB176/$BM176,"..")</f>
        <v>3.4861612474933499</v>
      </c>
      <c r="BO176" s="801">
        <f t="shared" si="28"/>
        <v>27</v>
      </c>
      <c r="BP176" s="117" t="str">
        <f>VLOOKUP($D176,'WB Data'!$C$3:$M$578,9,FALSE)</f>
        <v>..</v>
      </c>
      <c r="BQ176" s="117">
        <f>VLOOKUP($D176,'WB Data'!$C$3:$M$578,10,FALSE)</f>
        <v>52.855829268292695</v>
      </c>
      <c r="BR176" s="117">
        <f>VLOOKUP($D176,'WB Data'!$C$3:$M$578,11,FALSE)</f>
        <v>70.8</v>
      </c>
      <c r="BS176" s="129">
        <f>IFERROR(VLOOKUP($D176,'WB Data 2'!$C$2:$K$545,9,FALSE),"..")</f>
        <v>82.138900000000007</v>
      </c>
      <c r="BT176" s="129">
        <f>_xlfn.IFNA(VLOOKUP($C176,RGI!$A$2:$C$43,2,FALSE),"..")</f>
        <v>41.8</v>
      </c>
      <c r="BU176" s="129">
        <f>_xlfn.IFNA(VLOOKUP($C176,RGI!$A$2:$C$43,3,FALSE),"..")</f>
        <v>34.155297028034767</v>
      </c>
      <c r="BV176" s="129">
        <f>VLOOKUP($D176,WGI!$C$2:$O$478,7,FALSE)</f>
        <v>-1.0847112975143101</v>
      </c>
      <c r="BW176" s="129">
        <f>VLOOKUP($D176,WGI!$C$2:$O$478,4,FALSE)</f>
        <v>-0.55077856681117598</v>
      </c>
      <c r="BX176" s="129">
        <f>VLOOKUP($D176,WGI!$C$2:$O$478,3,FALSE)</f>
        <v>-0.785223800045872</v>
      </c>
      <c r="BY176" s="129">
        <f>VLOOKUP($D176,WGI!$C$2:$O$478,5,FALSE)</f>
        <v>-0.80780618656282699</v>
      </c>
      <c r="BZ176" s="129">
        <f>VLOOKUP($D176,WGI!$C$2:$O$478,2,FALSE)</f>
        <v>-0.94371128670100402</v>
      </c>
    </row>
    <row r="177" spans="1:80" ht="15" customHeight="1">
      <c r="A177" s="294" t="s">
        <v>115</v>
      </c>
      <c r="B177" s="117">
        <v>2008</v>
      </c>
      <c r="C177" s="117" t="s">
        <v>101</v>
      </c>
      <c r="D177" s="117" t="s">
        <v>3592</v>
      </c>
      <c r="E177" s="117" t="s">
        <v>86</v>
      </c>
      <c r="F177" s="117"/>
      <c r="G177" s="117" t="s">
        <v>561</v>
      </c>
      <c r="H177" s="117" t="str">
        <f t="shared" si="33"/>
        <v>no</v>
      </c>
      <c r="I177" s="117" t="str">
        <f t="shared" si="34"/>
        <v>yes</v>
      </c>
      <c r="J177" s="117" t="str">
        <f t="shared" si="35"/>
        <v>no</v>
      </c>
      <c r="K177" s="176" t="s">
        <v>561</v>
      </c>
      <c r="L177" s="117" t="str">
        <f t="shared" si="27"/>
        <v>detailed</v>
      </c>
      <c r="M177" s="117" t="str">
        <f t="shared" si="36"/>
        <v>detailed Gas</v>
      </c>
      <c r="N177" s="179">
        <f>69000000000*0.0283168</f>
        <v>1953859200</v>
      </c>
      <c r="O177" s="118">
        <f>N177*0.0066</f>
        <v>12895470.720000001</v>
      </c>
      <c r="P177" s="179"/>
      <c r="Q177" s="179"/>
      <c r="R177" s="179"/>
      <c r="S177" s="117" t="s">
        <v>642</v>
      </c>
      <c r="T177" s="119">
        <v>0.22764700000000004</v>
      </c>
      <c r="U177" s="117" t="s">
        <v>643</v>
      </c>
      <c r="V177" s="117" t="s">
        <v>880</v>
      </c>
      <c r="W177" s="89">
        <f>N177*T177</f>
        <v>444790185.30240011</v>
      </c>
      <c r="X177" s="117"/>
      <c r="Y177" s="117"/>
      <c r="Z177" s="117"/>
      <c r="AA177" s="211">
        <f>W177/W178</f>
        <v>0.15524207037561094</v>
      </c>
      <c r="AB177" s="177"/>
      <c r="AC177" s="122"/>
      <c r="AD177" s="122"/>
      <c r="AE177" s="122"/>
      <c r="AF177" s="123"/>
      <c r="AG177" s="117"/>
      <c r="AH177" s="124"/>
      <c r="AI177" s="117"/>
      <c r="AJ177" s="117"/>
      <c r="AK177" s="117"/>
      <c r="AL177" s="117"/>
      <c r="AM177" s="117"/>
      <c r="AN177" s="117"/>
      <c r="AO177" s="117"/>
      <c r="AP177" s="117"/>
      <c r="AQ177" s="117"/>
      <c r="AR177" s="126"/>
      <c r="AS177" s="117"/>
      <c r="AT177" s="117"/>
      <c r="AU177" s="117"/>
      <c r="AV177" s="128"/>
      <c r="AW177" s="117">
        <f>VLOOKUP($D177,'WB Data'!$C$3:$M$578,2,FALSE)</f>
        <v>23322256428.012459</v>
      </c>
      <c r="AX177" s="117">
        <f>VLOOKUP($D177,'WB Data'!$C$3:$M$578,3,FALSE)</f>
        <v>19595026</v>
      </c>
      <c r="AY177" s="847">
        <f t="shared" si="29"/>
        <v>0.1012862316524223</v>
      </c>
      <c r="AZ177" s="117" t="e">
        <f>VLOOKUP($D177,'WB Data'!$C$3:$M$578,4,FALSE)/100</f>
        <v>#VALUE!</v>
      </c>
      <c r="BA177" s="117" t="str">
        <f t="shared" si="30"/>
        <v>..</v>
      </c>
      <c r="BB177" s="129">
        <f>IFERROR(VLOOKUP($D177,'EITI Revenues'!$C$2:$G$224,5,FALSE),"..")</f>
        <v>2362223467.224865</v>
      </c>
      <c r="BC177" s="846" t="str">
        <f t="shared" si="31"/>
        <v>..</v>
      </c>
      <c r="BD177" s="129">
        <f>VLOOKUP($D177,'WB Data 2'!$C$2:$K$545,6,FALSE)</f>
        <v>593994236.01505387</v>
      </c>
      <c r="BE177" s="129" t="str">
        <f>IFERROR(VLOOKUP($D177,UNCTAD!$C$5:$V$529,4,FALSE),"..")</f>
        <v>..</v>
      </c>
      <c r="BF177" s="846" t="str">
        <f t="shared" si="32"/>
        <v>..</v>
      </c>
      <c r="BG177" s="117">
        <f>VLOOKUP($D177,'WB Data'!$C$3:$M$578,5,FALSE)</f>
        <v>548590000</v>
      </c>
      <c r="BH177" s="129">
        <f>IFERROR($BB177/$BG177,"..")</f>
        <v>4.3059907530667072</v>
      </c>
      <c r="BI177" s="117">
        <f>IFERROR(VLOOKUP($D177,'WB Data'!$C$3:$M$578,7,FALSE)/100,"..")</f>
        <v>2.9053800000000001E-2</v>
      </c>
      <c r="BJ177" s="117">
        <f>IFERROR($BI177*$AW177,"..")</f>
        <v>677600173.80818844</v>
      </c>
      <c r="BK177" s="846">
        <f>IFERROR($BB177/$BJ177,"..")</f>
        <v>3.4861612474933499</v>
      </c>
      <c r="BL177" s="117">
        <f>IFERROR(VLOOKUP($D177,'WB Data'!$C$3:$M$578,7,FALSE)/100,"..")</f>
        <v>2.9053800000000001E-2</v>
      </c>
      <c r="BM177" s="117">
        <f>IFERROR($AW177*$BL177,"..")</f>
        <v>677600173.80818844</v>
      </c>
      <c r="BN177" s="846">
        <f>IFERROR($BB177/$BM177,"..")</f>
        <v>3.4861612474933499</v>
      </c>
      <c r="BO177" s="801">
        <f t="shared" si="28"/>
        <v>27</v>
      </c>
      <c r="BP177" s="117" t="str">
        <f>VLOOKUP($D177,'WB Data'!$C$3:$M$578,9,FALSE)</f>
        <v>..</v>
      </c>
      <c r="BQ177" s="117">
        <f>VLOOKUP($D177,'WB Data'!$C$3:$M$578,10,FALSE)</f>
        <v>52.855829268292695</v>
      </c>
      <c r="BR177" s="117">
        <f>VLOOKUP($D177,'WB Data'!$C$3:$M$578,11,FALSE)</f>
        <v>70.8</v>
      </c>
      <c r="BS177" s="129">
        <f>IFERROR(VLOOKUP($D177,'WB Data 2'!$C$2:$K$545,9,FALSE),"..")</f>
        <v>82.138900000000007</v>
      </c>
      <c r="BT177" s="129">
        <f>_xlfn.IFNA(VLOOKUP($C177,RGI!$A$2:$C$43,2,FALSE),"..")</f>
        <v>41.8</v>
      </c>
      <c r="BU177" s="129">
        <f>_xlfn.IFNA(VLOOKUP($C177,RGI!$A$2:$C$43,3,FALSE),"..")</f>
        <v>34.155297028034767</v>
      </c>
      <c r="BV177" s="129">
        <f>VLOOKUP($D177,WGI!$C$2:$O$478,7,FALSE)</f>
        <v>-1.0847112975143101</v>
      </c>
      <c r="BW177" s="129">
        <f>VLOOKUP($D177,WGI!$C$2:$O$478,4,FALSE)</f>
        <v>-0.55077856681117598</v>
      </c>
      <c r="BX177" s="129">
        <f>VLOOKUP($D177,WGI!$C$2:$O$478,3,FALSE)</f>
        <v>-0.785223800045872</v>
      </c>
      <c r="BY177" s="129">
        <f>VLOOKUP($D177,WGI!$C$2:$O$478,5,FALSE)</f>
        <v>-0.80780618656282699</v>
      </c>
      <c r="BZ177" s="129">
        <f>VLOOKUP($D177,WGI!$C$2:$O$478,2,FALSE)</f>
        <v>-0.94371128670100402</v>
      </c>
    </row>
    <row r="178" spans="1:80" ht="15" customHeight="1">
      <c r="A178" s="294" t="s">
        <v>115</v>
      </c>
      <c r="B178" s="117">
        <v>2008</v>
      </c>
      <c r="C178" s="117" t="s">
        <v>101</v>
      </c>
      <c r="D178" s="117" t="s">
        <v>3592</v>
      </c>
      <c r="E178" s="117" t="s">
        <v>86</v>
      </c>
      <c r="F178" s="117"/>
      <c r="G178" s="117" t="s">
        <v>103</v>
      </c>
      <c r="H178" s="117" t="str">
        <f t="shared" si="33"/>
        <v>no</v>
      </c>
      <c r="I178" s="117" t="str">
        <f t="shared" si="34"/>
        <v>no</v>
      </c>
      <c r="J178" s="117" t="str">
        <f t="shared" si="35"/>
        <v>yes</v>
      </c>
      <c r="K178" s="176" t="s">
        <v>103</v>
      </c>
      <c r="L178" s="117" t="str">
        <f t="shared" si="27"/>
        <v>detailed</v>
      </c>
      <c r="M178" s="117" t="str">
        <f t="shared" si="36"/>
        <v>detailed Oil</v>
      </c>
      <c r="N178" s="118">
        <v>30700000</v>
      </c>
      <c r="O178" s="211">
        <f>O177/N178</f>
        <v>0.42004790618892512</v>
      </c>
      <c r="P178" s="118">
        <v>30700000</v>
      </c>
      <c r="Q178" s="118"/>
      <c r="R178" s="118"/>
      <c r="S178" s="117" t="s">
        <v>646</v>
      </c>
      <c r="T178" s="119">
        <f>98.27*0.9497</f>
        <v>93.327018999999993</v>
      </c>
      <c r="U178" s="117" t="s">
        <v>673</v>
      </c>
      <c r="V178" s="117" t="s">
        <v>898</v>
      </c>
      <c r="W178" s="89">
        <f>N178*T178</f>
        <v>2865139483.2999997</v>
      </c>
      <c r="X178" s="117"/>
      <c r="Y178" s="117"/>
      <c r="Z178" s="117"/>
      <c r="AA178" s="177"/>
      <c r="AB178" s="177"/>
      <c r="AC178" s="122"/>
      <c r="AD178" s="122"/>
      <c r="AE178" s="122"/>
      <c r="AF178" s="123"/>
      <c r="AG178" s="117"/>
      <c r="AH178" s="124"/>
      <c r="AI178" s="117"/>
      <c r="AJ178" s="117"/>
      <c r="AK178" s="117"/>
      <c r="AL178" s="117"/>
      <c r="AM178" s="117"/>
      <c r="AN178" s="117"/>
      <c r="AO178" s="117"/>
      <c r="AP178" s="117"/>
      <c r="AQ178" s="117"/>
      <c r="AR178" s="126"/>
      <c r="AS178" s="117"/>
      <c r="AT178" s="117"/>
      <c r="AU178" s="117">
        <v>50</v>
      </c>
      <c r="AV178" s="128"/>
      <c r="AW178" s="117">
        <f>VLOOKUP($D178,'WB Data'!$C$3:$M$578,2,FALSE)</f>
        <v>23322256428.012459</v>
      </c>
      <c r="AX178" s="117">
        <f>VLOOKUP($D178,'WB Data'!$C$3:$M$578,3,FALSE)</f>
        <v>19595026</v>
      </c>
      <c r="AY178" s="847">
        <f t="shared" si="29"/>
        <v>0.1012862316524223</v>
      </c>
      <c r="AZ178" s="117" t="e">
        <f>VLOOKUP($D178,'WB Data'!$C$3:$M$578,4,FALSE)/100</f>
        <v>#VALUE!</v>
      </c>
      <c r="BA178" s="117" t="str">
        <f t="shared" si="30"/>
        <v>..</v>
      </c>
      <c r="BB178" s="129">
        <f>IFERROR(VLOOKUP($D178,'EITI Revenues'!$C$2:$G$224,5,FALSE),"..")</f>
        <v>2362223467.224865</v>
      </c>
      <c r="BC178" s="846" t="str">
        <f t="shared" si="31"/>
        <v>..</v>
      </c>
      <c r="BD178" s="129">
        <f>VLOOKUP($D178,'WB Data 2'!$C$2:$K$545,6,FALSE)</f>
        <v>593994236.01505387</v>
      </c>
      <c r="BE178" s="129" t="str">
        <f>IFERROR(VLOOKUP($D178,UNCTAD!$C$5:$V$529,4,FALSE),"..")</f>
        <v>..</v>
      </c>
      <c r="BF178" s="846" t="str">
        <f t="shared" si="32"/>
        <v>..</v>
      </c>
      <c r="BG178" s="117">
        <f>VLOOKUP($D178,'WB Data'!$C$3:$M$578,5,FALSE)</f>
        <v>548590000</v>
      </c>
      <c r="BH178" s="129">
        <f>IFERROR($BB178/$BG178,"..")</f>
        <v>4.3059907530667072</v>
      </c>
      <c r="BI178" s="117">
        <f>IFERROR(VLOOKUP($D178,'WB Data'!$C$3:$M$578,7,FALSE)/100,"..")</f>
        <v>2.9053800000000001E-2</v>
      </c>
      <c r="BJ178" s="117">
        <f>IFERROR($BI178*$AW178,"..")</f>
        <v>677600173.80818844</v>
      </c>
      <c r="BK178" s="846">
        <f>IFERROR($BB178/$BJ178,"..")</f>
        <v>3.4861612474933499</v>
      </c>
      <c r="BL178" s="117">
        <f>IFERROR(VLOOKUP($D178,'WB Data'!$C$3:$M$578,7,FALSE)/100,"..")</f>
        <v>2.9053800000000001E-2</v>
      </c>
      <c r="BM178" s="117">
        <f>IFERROR($AW178*$BL178,"..")</f>
        <v>677600173.80818844</v>
      </c>
      <c r="BN178" s="846">
        <f>IFERROR($BB178/$BM178,"..")</f>
        <v>3.4861612474933499</v>
      </c>
      <c r="BO178" s="801">
        <f t="shared" si="28"/>
        <v>27</v>
      </c>
      <c r="BP178" s="117" t="str">
        <f>VLOOKUP($D178,'WB Data'!$C$3:$M$578,9,FALSE)</f>
        <v>..</v>
      </c>
      <c r="BQ178" s="117">
        <f>VLOOKUP($D178,'WB Data'!$C$3:$M$578,10,FALSE)</f>
        <v>52.855829268292695</v>
      </c>
      <c r="BR178" s="117">
        <f>VLOOKUP($D178,'WB Data'!$C$3:$M$578,11,FALSE)</f>
        <v>70.8</v>
      </c>
      <c r="BS178" s="129">
        <f>IFERROR(VLOOKUP($D178,'WB Data 2'!$C$2:$K$545,9,FALSE),"..")</f>
        <v>82.138900000000007</v>
      </c>
      <c r="BT178" s="129">
        <f>_xlfn.IFNA(VLOOKUP($C178,RGI!$A$2:$C$43,2,FALSE),"..")</f>
        <v>41.8</v>
      </c>
      <c r="BU178" s="129">
        <f>_xlfn.IFNA(VLOOKUP($C178,RGI!$A$2:$C$43,3,FALSE),"..")</f>
        <v>34.155297028034767</v>
      </c>
      <c r="BV178" s="129">
        <f>VLOOKUP($D178,WGI!$C$2:$O$478,7,FALSE)</f>
        <v>-1.0847112975143101</v>
      </c>
      <c r="BW178" s="129">
        <f>VLOOKUP($D178,WGI!$C$2:$O$478,4,FALSE)</f>
        <v>-0.55077856681117598</v>
      </c>
      <c r="BX178" s="129">
        <f>VLOOKUP($D178,WGI!$C$2:$O$478,3,FALSE)</f>
        <v>-0.785223800045872</v>
      </c>
      <c r="BY178" s="129">
        <f>VLOOKUP($D178,WGI!$C$2:$O$478,5,FALSE)</f>
        <v>-0.80780618656282699</v>
      </c>
      <c r="BZ178" s="129">
        <f>VLOOKUP($D178,WGI!$C$2:$O$478,2,FALSE)</f>
        <v>-0.94371128670100402</v>
      </c>
    </row>
    <row r="179" spans="1:80" ht="15" customHeight="1">
      <c r="A179" s="294" t="s">
        <v>115</v>
      </c>
      <c r="B179" s="117">
        <v>2008</v>
      </c>
      <c r="C179" s="117" t="s">
        <v>101</v>
      </c>
      <c r="D179" s="117" t="s">
        <v>3592</v>
      </c>
      <c r="E179" s="117" t="s">
        <v>86</v>
      </c>
      <c r="F179" s="117"/>
      <c r="G179" s="117" t="s">
        <v>24</v>
      </c>
      <c r="H179" s="117" t="str">
        <f t="shared" si="33"/>
        <v>yes</v>
      </c>
      <c r="I179" s="117" t="str">
        <f t="shared" si="34"/>
        <v>no</v>
      </c>
      <c r="J179" s="117" t="str">
        <f t="shared" si="35"/>
        <v>no</v>
      </c>
      <c r="K179" s="176" t="s">
        <v>600</v>
      </c>
      <c r="L179" s="117" t="str">
        <f t="shared" si="27"/>
        <v>Total</v>
      </c>
      <c r="M179" s="117" t="str">
        <f t="shared" si="36"/>
        <v>Total Mining</v>
      </c>
      <c r="N179" s="118"/>
      <c r="O179" s="118"/>
      <c r="P179" s="118"/>
      <c r="Q179" s="118"/>
      <c r="R179" s="118"/>
      <c r="S179" s="117"/>
      <c r="T179" s="119"/>
      <c r="U179" s="117"/>
      <c r="V179" s="117"/>
      <c r="W179" s="89">
        <f>SUM(W180:W184)</f>
        <v>10592366.800000001</v>
      </c>
      <c r="X179" s="117"/>
      <c r="Y179" s="117"/>
      <c r="Z179" s="117"/>
      <c r="AA179" s="179">
        <f>152687090/472.19</f>
        <v>323359.43158474343</v>
      </c>
      <c r="AB179" s="179">
        <f>165297100/472.19</f>
        <v>350064.80442194879</v>
      </c>
      <c r="AC179" s="212"/>
      <c r="AD179" s="212"/>
      <c r="AE179" s="212"/>
      <c r="AF179" s="213">
        <f>AA179/W179</f>
        <v>3.0527590074084614E-2</v>
      </c>
      <c r="AG179" s="117"/>
      <c r="AH179" s="124"/>
      <c r="AI179" s="117"/>
      <c r="AJ179" s="117"/>
      <c r="AK179" s="89"/>
      <c r="AL179" s="117"/>
      <c r="AM179" s="117"/>
      <c r="AN179" s="214">
        <v>9</v>
      </c>
      <c r="AO179" s="117" t="s">
        <v>899</v>
      </c>
      <c r="AP179" s="117">
        <v>3</v>
      </c>
      <c r="AQ179" s="232"/>
      <c r="AR179" s="126"/>
      <c r="AS179" s="117"/>
      <c r="AT179" s="127"/>
      <c r="AU179" s="215" t="s">
        <v>900</v>
      </c>
      <c r="AV179" s="128"/>
      <c r="AW179" s="117">
        <f>VLOOKUP($D179,'WB Data'!$C$3:$M$578,2,FALSE)</f>
        <v>23322256428.012459</v>
      </c>
      <c r="AX179" s="117">
        <f>VLOOKUP($D179,'WB Data'!$C$3:$M$578,3,FALSE)</f>
        <v>19595026</v>
      </c>
      <c r="AY179" s="847">
        <f t="shared" si="29"/>
        <v>0.1012862316524223</v>
      </c>
      <c r="AZ179" s="117" t="e">
        <f>VLOOKUP($D179,'WB Data'!$C$3:$M$578,4,FALSE)/100</f>
        <v>#VALUE!</v>
      </c>
      <c r="BA179" s="117" t="str">
        <f t="shared" si="30"/>
        <v>..</v>
      </c>
      <c r="BB179" s="129">
        <f>IFERROR(VLOOKUP($D179,'EITI Revenues'!$C$2:$G$224,5,FALSE),"..")</f>
        <v>2362223467.224865</v>
      </c>
      <c r="BC179" s="846" t="str">
        <f t="shared" si="31"/>
        <v>..</v>
      </c>
      <c r="BD179" s="129">
        <f>VLOOKUP($D179,'WB Data 2'!$C$2:$K$545,6,FALSE)</f>
        <v>593994236.01505387</v>
      </c>
      <c r="BE179" s="129" t="str">
        <f>IFERROR(VLOOKUP($D179,UNCTAD!$C$5:$V$529,4,FALSE),"..")</f>
        <v>..</v>
      </c>
      <c r="BF179" s="846" t="str">
        <f t="shared" si="32"/>
        <v>..</v>
      </c>
      <c r="BG179" s="117">
        <f>VLOOKUP($D179,'WB Data'!$C$3:$M$578,5,FALSE)</f>
        <v>548590000</v>
      </c>
      <c r="BH179" s="129">
        <f>IFERROR($BB179/$BG179,"..")</f>
        <v>4.3059907530667072</v>
      </c>
      <c r="BI179" s="117">
        <f>IFERROR(VLOOKUP($D179,'WB Data'!$C$3:$M$578,7,FALSE)/100,"..")</f>
        <v>2.9053800000000001E-2</v>
      </c>
      <c r="BJ179" s="117">
        <f>IFERROR($BI179*$AW179,"..")</f>
        <v>677600173.80818844</v>
      </c>
      <c r="BK179" s="846">
        <f>IFERROR($BB179/$BJ179,"..")</f>
        <v>3.4861612474933499</v>
      </c>
      <c r="BL179" s="117">
        <f>IFERROR(VLOOKUP($D179,'WB Data'!$C$3:$M$578,7,FALSE)/100,"..")</f>
        <v>2.9053800000000001E-2</v>
      </c>
      <c r="BM179" s="117">
        <f>IFERROR($AW179*$BL179,"..")</f>
        <v>677600173.80818844</v>
      </c>
      <c r="BN179" s="846">
        <f>IFERROR($BB179/$BM179,"..")</f>
        <v>3.4861612474933499</v>
      </c>
      <c r="BO179" s="801">
        <f t="shared" si="28"/>
        <v>27</v>
      </c>
      <c r="BP179" s="117" t="str">
        <f>VLOOKUP($D179,'WB Data'!$C$3:$M$578,9,FALSE)</f>
        <v>..</v>
      </c>
      <c r="BQ179" s="117">
        <f>VLOOKUP($D179,'WB Data'!$C$3:$M$578,10,FALSE)</f>
        <v>52.855829268292695</v>
      </c>
      <c r="BR179" s="117">
        <f>VLOOKUP($D179,'WB Data'!$C$3:$M$578,11,FALSE)</f>
        <v>70.8</v>
      </c>
      <c r="BS179" s="129">
        <f>IFERROR(VLOOKUP($D179,'WB Data 2'!$C$2:$K$545,9,FALSE),"..")</f>
        <v>82.138900000000007</v>
      </c>
      <c r="BT179" s="129">
        <f>_xlfn.IFNA(VLOOKUP($C179,RGI!$A$2:$C$43,2,FALSE),"..")</f>
        <v>41.8</v>
      </c>
      <c r="BU179" s="129">
        <f>_xlfn.IFNA(VLOOKUP($C179,RGI!$A$2:$C$43,3,FALSE),"..")</f>
        <v>34.155297028034767</v>
      </c>
      <c r="BV179" s="129">
        <f>VLOOKUP($D179,WGI!$C$2:$O$478,7,FALSE)</f>
        <v>-1.0847112975143101</v>
      </c>
      <c r="BW179" s="129">
        <f>VLOOKUP($D179,WGI!$C$2:$O$478,4,FALSE)</f>
        <v>-0.55077856681117598</v>
      </c>
      <c r="BX179" s="129">
        <f>VLOOKUP($D179,WGI!$C$2:$O$478,3,FALSE)</f>
        <v>-0.785223800045872</v>
      </c>
      <c r="BY179" s="129">
        <f>VLOOKUP($D179,WGI!$C$2:$O$478,5,FALSE)</f>
        <v>-0.80780618656282699</v>
      </c>
      <c r="BZ179" s="129">
        <f>VLOOKUP($D179,WGI!$C$2:$O$478,2,FALSE)</f>
        <v>-0.94371128670100402</v>
      </c>
    </row>
    <row r="180" spans="1:80" ht="15" customHeight="1">
      <c r="A180" s="294" t="s">
        <v>115</v>
      </c>
      <c r="B180" s="117">
        <v>2008</v>
      </c>
      <c r="C180" s="117" t="s">
        <v>101</v>
      </c>
      <c r="D180" s="117" t="s">
        <v>3592</v>
      </c>
      <c r="E180" s="117" t="s">
        <v>86</v>
      </c>
      <c r="F180" s="117"/>
      <c r="G180" s="117" t="s">
        <v>24</v>
      </c>
      <c r="H180" s="117" t="str">
        <f t="shared" si="33"/>
        <v>yes</v>
      </c>
      <c r="I180" s="117" t="str">
        <f t="shared" si="34"/>
        <v>no</v>
      </c>
      <c r="J180" s="117" t="str">
        <f t="shared" si="35"/>
        <v>no</v>
      </c>
      <c r="K180" s="176" t="s">
        <v>728</v>
      </c>
      <c r="L180" s="117" t="str">
        <f t="shared" si="27"/>
        <v>detailed</v>
      </c>
      <c r="M180" s="117" t="str">
        <f t="shared" si="36"/>
        <v>detailed Mining</v>
      </c>
      <c r="N180" s="118">
        <v>10000</v>
      </c>
      <c r="O180" s="118"/>
      <c r="P180" s="118"/>
      <c r="Q180" s="118"/>
      <c r="R180" s="118"/>
      <c r="S180" s="117" t="s">
        <v>610</v>
      </c>
      <c r="T180" s="119">
        <f>11*0.1417</f>
        <v>1.5587</v>
      </c>
      <c r="U180" s="117" t="s">
        <v>611</v>
      </c>
      <c r="V180" s="117" t="s">
        <v>914</v>
      </c>
      <c r="W180" s="89">
        <f>N180*T180</f>
        <v>15587</v>
      </c>
      <c r="X180" s="117"/>
      <c r="Y180" s="117"/>
      <c r="Z180" s="117"/>
      <c r="AA180" s="179"/>
      <c r="AB180" s="179"/>
      <c r="AC180" s="212"/>
      <c r="AD180" s="212"/>
      <c r="AE180" s="212"/>
      <c r="AF180" s="213"/>
      <c r="AG180" s="117"/>
      <c r="AH180" s="124"/>
      <c r="AI180" s="117"/>
      <c r="AJ180" s="117"/>
      <c r="AK180" s="89"/>
      <c r="AL180" s="117"/>
      <c r="AM180" s="117"/>
      <c r="AN180" s="214"/>
      <c r="AO180" s="117"/>
      <c r="AP180" s="117"/>
      <c r="AQ180" s="232"/>
      <c r="AR180" s="126"/>
      <c r="AS180" s="117"/>
      <c r="AT180" s="127"/>
      <c r="AU180" s="215"/>
      <c r="AV180" s="128"/>
      <c r="AW180" s="117">
        <f>VLOOKUP($D180,'WB Data'!$C$3:$M$578,2,FALSE)</f>
        <v>23322256428.012459</v>
      </c>
      <c r="AX180" s="117">
        <f>VLOOKUP($D180,'WB Data'!$C$3:$M$578,3,FALSE)</f>
        <v>19595026</v>
      </c>
      <c r="AY180" s="847">
        <f t="shared" si="29"/>
        <v>0.1012862316524223</v>
      </c>
      <c r="AZ180" s="117" t="e">
        <f>VLOOKUP($D180,'WB Data'!$C$3:$M$578,4,FALSE)/100</f>
        <v>#VALUE!</v>
      </c>
      <c r="BA180" s="117" t="str">
        <f t="shared" si="30"/>
        <v>..</v>
      </c>
      <c r="BB180" s="129">
        <f>IFERROR(VLOOKUP($D180,'EITI Revenues'!$C$2:$G$224,5,FALSE),"..")</f>
        <v>2362223467.224865</v>
      </c>
      <c r="BC180" s="846" t="str">
        <f t="shared" si="31"/>
        <v>..</v>
      </c>
      <c r="BD180" s="129">
        <f>VLOOKUP($D180,'WB Data 2'!$C$2:$K$545,6,FALSE)</f>
        <v>593994236.01505387</v>
      </c>
      <c r="BE180" s="129" t="str">
        <f>IFERROR(VLOOKUP($D180,UNCTAD!$C$5:$V$529,4,FALSE),"..")</f>
        <v>..</v>
      </c>
      <c r="BF180" s="846" t="str">
        <f t="shared" si="32"/>
        <v>..</v>
      </c>
      <c r="BG180" s="117">
        <f>VLOOKUP($D180,'WB Data'!$C$3:$M$578,5,FALSE)</f>
        <v>548590000</v>
      </c>
      <c r="BH180" s="129">
        <f>IFERROR($BB180/$BG180,"..")</f>
        <v>4.3059907530667072</v>
      </c>
      <c r="BI180" s="117">
        <f>IFERROR(VLOOKUP($D180,'WB Data'!$C$3:$M$578,7,FALSE)/100,"..")</f>
        <v>2.9053800000000001E-2</v>
      </c>
      <c r="BJ180" s="117">
        <f>IFERROR($BI180*$AW180,"..")</f>
        <v>677600173.80818844</v>
      </c>
      <c r="BK180" s="846">
        <f>IFERROR($BB180/$BJ180,"..")</f>
        <v>3.4861612474933499</v>
      </c>
      <c r="BL180" s="117">
        <f>IFERROR(VLOOKUP($D180,'WB Data'!$C$3:$M$578,7,FALSE)/100,"..")</f>
        <v>2.9053800000000001E-2</v>
      </c>
      <c r="BM180" s="117">
        <f>IFERROR($AW180*$BL180,"..")</f>
        <v>677600173.80818844</v>
      </c>
      <c r="BN180" s="846">
        <f>IFERROR($BB180/$BM180,"..")</f>
        <v>3.4861612474933499</v>
      </c>
      <c r="BO180" s="801">
        <f t="shared" si="28"/>
        <v>27</v>
      </c>
      <c r="BP180" s="117" t="str">
        <f>VLOOKUP($D180,'WB Data'!$C$3:$M$578,9,FALSE)</f>
        <v>..</v>
      </c>
      <c r="BQ180" s="117">
        <f>VLOOKUP($D180,'WB Data'!$C$3:$M$578,10,FALSE)</f>
        <v>52.855829268292695</v>
      </c>
      <c r="BR180" s="117">
        <f>VLOOKUP($D180,'WB Data'!$C$3:$M$578,11,FALSE)</f>
        <v>70.8</v>
      </c>
      <c r="BS180" s="129">
        <f>IFERROR(VLOOKUP($D180,'WB Data 2'!$C$2:$K$545,9,FALSE),"..")</f>
        <v>82.138900000000007</v>
      </c>
      <c r="BT180" s="129">
        <f>_xlfn.IFNA(VLOOKUP($C180,RGI!$A$2:$C$43,2,FALSE),"..")</f>
        <v>41.8</v>
      </c>
      <c r="BU180" s="129">
        <f>_xlfn.IFNA(VLOOKUP($C180,RGI!$A$2:$C$43,3,FALSE),"..")</f>
        <v>34.155297028034767</v>
      </c>
      <c r="BV180" s="129">
        <f>VLOOKUP($D180,WGI!$C$2:$O$478,7,FALSE)</f>
        <v>-1.0847112975143101</v>
      </c>
      <c r="BW180" s="129">
        <f>VLOOKUP($D180,WGI!$C$2:$O$478,4,FALSE)</f>
        <v>-0.55077856681117598</v>
      </c>
      <c r="BX180" s="129">
        <f>VLOOKUP($D180,WGI!$C$2:$O$478,3,FALSE)</f>
        <v>-0.785223800045872</v>
      </c>
      <c r="BY180" s="129">
        <f>VLOOKUP($D180,WGI!$C$2:$O$478,5,FALSE)</f>
        <v>-0.80780618656282699</v>
      </c>
      <c r="BZ180" s="129">
        <f>VLOOKUP($D180,WGI!$C$2:$O$478,2,FALSE)</f>
        <v>-0.94371128670100402</v>
      </c>
    </row>
    <row r="181" spans="1:80" ht="15" customHeight="1">
      <c r="A181" s="294" t="s">
        <v>115</v>
      </c>
      <c r="B181" s="117">
        <v>2008</v>
      </c>
      <c r="C181" s="117" t="s">
        <v>101</v>
      </c>
      <c r="D181" s="117" t="s">
        <v>3592</v>
      </c>
      <c r="E181" s="117" t="s">
        <v>86</v>
      </c>
      <c r="F181" s="117"/>
      <c r="G181" s="117" t="s">
        <v>24</v>
      </c>
      <c r="H181" s="117" t="str">
        <f t="shared" si="33"/>
        <v>yes</v>
      </c>
      <c r="I181" s="117" t="str">
        <f t="shared" si="34"/>
        <v>no</v>
      </c>
      <c r="J181" s="117" t="str">
        <f t="shared" si="35"/>
        <v>no</v>
      </c>
      <c r="K181" s="176" t="s">
        <v>784</v>
      </c>
      <c r="L181" s="117" t="str">
        <f t="shared" si="27"/>
        <v>detailed</v>
      </c>
      <c r="M181" s="117" t="str">
        <f t="shared" si="36"/>
        <v>detailed Mining</v>
      </c>
      <c r="N181" s="118">
        <f>1800*32.150743126506</f>
        <v>57871.337627710804</v>
      </c>
      <c r="O181" s="118"/>
      <c r="P181" s="118"/>
      <c r="Q181" s="118"/>
      <c r="R181" s="118"/>
      <c r="S181" s="117" t="s">
        <v>785</v>
      </c>
      <c r="T181" s="119">
        <v>871.70725000000004</v>
      </c>
      <c r="U181" s="117" t="s">
        <v>786</v>
      </c>
      <c r="V181" s="233" t="s">
        <v>841</v>
      </c>
      <c r="W181" s="89"/>
      <c r="X181" s="117"/>
      <c r="Y181" s="117"/>
      <c r="Z181" s="117"/>
      <c r="AA181" s="179"/>
      <c r="AB181" s="179"/>
      <c r="AC181" s="212"/>
      <c r="AD181" s="212"/>
      <c r="AE181" s="212"/>
      <c r="AF181" s="213"/>
      <c r="AG181" s="117"/>
      <c r="AH181" s="124"/>
      <c r="AI181" s="117"/>
      <c r="AJ181" s="117"/>
      <c r="AK181" s="89"/>
      <c r="AL181" s="117"/>
      <c r="AM181" s="117"/>
      <c r="AN181" s="214"/>
      <c r="AO181" s="117"/>
      <c r="AP181" s="117"/>
      <c r="AQ181" s="232"/>
      <c r="AR181" s="126"/>
      <c r="AS181" s="117"/>
      <c r="AT181" s="127"/>
      <c r="AU181" s="215"/>
      <c r="AV181" s="128" t="s">
        <v>903</v>
      </c>
      <c r="AW181" s="117">
        <f>VLOOKUP($D181,'WB Data'!$C$3:$M$578,2,FALSE)</f>
        <v>23322256428.012459</v>
      </c>
      <c r="AX181" s="117">
        <f>VLOOKUP($D181,'WB Data'!$C$3:$M$578,3,FALSE)</f>
        <v>19595026</v>
      </c>
      <c r="AY181" s="847">
        <f t="shared" si="29"/>
        <v>0.1012862316524223</v>
      </c>
      <c r="AZ181" s="117" t="e">
        <f>VLOOKUP($D181,'WB Data'!$C$3:$M$578,4,FALSE)/100</f>
        <v>#VALUE!</v>
      </c>
      <c r="BA181" s="117" t="str">
        <f t="shared" si="30"/>
        <v>..</v>
      </c>
      <c r="BB181" s="129">
        <f>IFERROR(VLOOKUP($D181,'EITI Revenues'!$C$2:$G$224,5,FALSE),"..")</f>
        <v>2362223467.224865</v>
      </c>
      <c r="BC181" s="846" t="str">
        <f t="shared" si="31"/>
        <v>..</v>
      </c>
      <c r="BD181" s="129">
        <f>VLOOKUP($D181,'WB Data 2'!$C$2:$K$545,6,FALSE)</f>
        <v>593994236.01505387</v>
      </c>
      <c r="BE181" s="129" t="str">
        <f>IFERROR(VLOOKUP($D181,UNCTAD!$C$5:$V$529,4,FALSE),"..")</f>
        <v>..</v>
      </c>
      <c r="BF181" s="846" t="str">
        <f t="shared" si="32"/>
        <v>..</v>
      </c>
      <c r="BG181" s="117">
        <f>VLOOKUP($D181,'WB Data'!$C$3:$M$578,5,FALSE)</f>
        <v>548590000</v>
      </c>
      <c r="BH181" s="129">
        <f>IFERROR($BB181/$BG181,"..")</f>
        <v>4.3059907530667072</v>
      </c>
      <c r="BI181" s="117">
        <f>IFERROR(VLOOKUP($D181,'WB Data'!$C$3:$M$578,7,FALSE)/100,"..")</f>
        <v>2.9053800000000001E-2</v>
      </c>
      <c r="BJ181" s="117">
        <f>IFERROR($BI181*$AW181,"..")</f>
        <v>677600173.80818844</v>
      </c>
      <c r="BK181" s="846">
        <f>IFERROR($BB181/$BJ181,"..")</f>
        <v>3.4861612474933499</v>
      </c>
      <c r="BL181" s="117">
        <f>IFERROR(VLOOKUP($D181,'WB Data'!$C$3:$M$578,7,FALSE)/100,"..")</f>
        <v>2.9053800000000001E-2</v>
      </c>
      <c r="BM181" s="117">
        <f>IFERROR($AW181*$BL181,"..")</f>
        <v>677600173.80818844</v>
      </c>
      <c r="BN181" s="846">
        <f>IFERROR($BB181/$BM181,"..")</f>
        <v>3.4861612474933499</v>
      </c>
      <c r="BO181" s="801">
        <f t="shared" si="28"/>
        <v>27</v>
      </c>
      <c r="BP181" s="117" t="str">
        <f>VLOOKUP($D181,'WB Data'!$C$3:$M$578,9,FALSE)</f>
        <v>..</v>
      </c>
      <c r="BQ181" s="117">
        <f>VLOOKUP($D181,'WB Data'!$C$3:$M$578,10,FALSE)</f>
        <v>52.855829268292695</v>
      </c>
      <c r="BR181" s="117">
        <f>VLOOKUP($D181,'WB Data'!$C$3:$M$578,11,FALSE)</f>
        <v>70.8</v>
      </c>
      <c r="BS181" s="129">
        <f>IFERROR(VLOOKUP($D181,'WB Data 2'!$C$2:$K$545,9,FALSE),"..")</f>
        <v>82.138900000000007</v>
      </c>
      <c r="BT181" s="129">
        <f>_xlfn.IFNA(VLOOKUP($C181,RGI!$A$2:$C$43,2,FALSE),"..")</f>
        <v>41.8</v>
      </c>
      <c r="BU181" s="129">
        <f>_xlfn.IFNA(VLOOKUP($C181,RGI!$A$2:$C$43,3,FALSE),"..")</f>
        <v>34.155297028034767</v>
      </c>
      <c r="BV181" s="129">
        <f>VLOOKUP($D181,WGI!$C$2:$O$478,7,FALSE)</f>
        <v>-1.0847112975143101</v>
      </c>
      <c r="BW181" s="129">
        <f>VLOOKUP($D181,WGI!$C$2:$O$478,4,FALSE)</f>
        <v>-0.55077856681117598</v>
      </c>
      <c r="BX181" s="129">
        <f>VLOOKUP($D181,WGI!$C$2:$O$478,3,FALSE)</f>
        <v>-0.785223800045872</v>
      </c>
      <c r="BY181" s="129">
        <f>VLOOKUP($D181,WGI!$C$2:$O$478,5,FALSE)</f>
        <v>-0.80780618656282699</v>
      </c>
      <c r="BZ181" s="129">
        <f>VLOOKUP($D181,WGI!$C$2:$O$478,2,FALSE)</f>
        <v>-0.94371128670100402</v>
      </c>
    </row>
    <row r="182" spans="1:80" ht="15" customHeight="1">
      <c r="A182" s="294" t="s">
        <v>115</v>
      </c>
      <c r="B182" s="117">
        <v>2008</v>
      </c>
      <c r="C182" s="117" t="s">
        <v>101</v>
      </c>
      <c r="D182" s="117" t="s">
        <v>3592</v>
      </c>
      <c r="E182" s="117" t="s">
        <v>86</v>
      </c>
      <c r="F182" s="117"/>
      <c r="G182" s="117" t="s">
        <v>24</v>
      </c>
      <c r="H182" s="117" t="str">
        <f t="shared" si="33"/>
        <v>yes</v>
      </c>
      <c r="I182" s="117" t="str">
        <f t="shared" si="34"/>
        <v>no</v>
      </c>
      <c r="J182" s="117" t="str">
        <f t="shared" si="35"/>
        <v>no</v>
      </c>
      <c r="K182" s="176" t="s">
        <v>703</v>
      </c>
      <c r="L182" s="117" t="str">
        <f t="shared" si="27"/>
        <v>detailed</v>
      </c>
      <c r="M182" s="117" t="str">
        <f t="shared" si="36"/>
        <v>detailed Mining</v>
      </c>
      <c r="N182" s="118">
        <v>100000</v>
      </c>
      <c r="O182" s="118"/>
      <c r="P182" s="118"/>
      <c r="Q182" s="118"/>
      <c r="R182" s="118"/>
      <c r="S182" s="117" t="s">
        <v>610</v>
      </c>
      <c r="T182" s="119">
        <f>8.6*1.8433</f>
        <v>15.852379999999998</v>
      </c>
      <c r="U182" s="117" t="s">
        <v>611</v>
      </c>
      <c r="V182" s="117" t="s">
        <v>915</v>
      </c>
      <c r="W182" s="89">
        <f>N182*T182</f>
        <v>1585237.9999999998</v>
      </c>
      <c r="X182" s="117"/>
      <c r="Y182" s="117"/>
      <c r="Z182" s="117"/>
      <c r="AA182" s="179"/>
      <c r="AB182" s="179"/>
      <c r="AC182" s="212"/>
      <c r="AD182" s="212"/>
      <c r="AE182" s="212"/>
      <c r="AF182" s="213"/>
      <c r="AG182" s="117"/>
      <c r="AH182" s="124"/>
      <c r="AI182" s="117"/>
      <c r="AJ182" s="117"/>
      <c r="AK182" s="89"/>
      <c r="AL182" s="117"/>
      <c r="AM182" s="117"/>
      <c r="AN182" s="214"/>
      <c r="AO182" s="117"/>
      <c r="AP182" s="117"/>
      <c r="AQ182" s="232"/>
      <c r="AR182" s="126"/>
      <c r="AS182" s="117"/>
      <c r="AT182" s="127"/>
      <c r="AU182" s="215"/>
      <c r="AV182" s="128"/>
      <c r="AW182" s="117">
        <f>VLOOKUP($D182,'WB Data'!$C$3:$M$578,2,FALSE)</f>
        <v>23322256428.012459</v>
      </c>
      <c r="AX182" s="117">
        <f>VLOOKUP($D182,'WB Data'!$C$3:$M$578,3,FALSE)</f>
        <v>19595026</v>
      </c>
      <c r="AY182" s="847">
        <f t="shared" si="29"/>
        <v>0.1012862316524223</v>
      </c>
      <c r="AZ182" s="117" t="e">
        <f>VLOOKUP($D182,'WB Data'!$C$3:$M$578,4,FALSE)/100</f>
        <v>#VALUE!</v>
      </c>
      <c r="BA182" s="117" t="str">
        <f t="shared" si="30"/>
        <v>..</v>
      </c>
      <c r="BB182" s="129">
        <f>IFERROR(VLOOKUP($D182,'EITI Revenues'!$C$2:$G$224,5,FALSE),"..")</f>
        <v>2362223467.224865</v>
      </c>
      <c r="BC182" s="846" t="str">
        <f t="shared" si="31"/>
        <v>..</v>
      </c>
      <c r="BD182" s="129">
        <f>VLOOKUP($D182,'WB Data 2'!$C$2:$K$545,6,FALSE)</f>
        <v>593994236.01505387</v>
      </c>
      <c r="BE182" s="129" t="str">
        <f>IFERROR(VLOOKUP($D182,UNCTAD!$C$5:$V$529,4,FALSE),"..")</f>
        <v>..</v>
      </c>
      <c r="BF182" s="846" t="str">
        <f t="shared" si="32"/>
        <v>..</v>
      </c>
      <c r="BG182" s="117">
        <f>VLOOKUP($D182,'WB Data'!$C$3:$M$578,5,FALSE)</f>
        <v>548590000</v>
      </c>
      <c r="BH182" s="129">
        <f>IFERROR($BB182/$BG182,"..")</f>
        <v>4.3059907530667072</v>
      </c>
      <c r="BI182" s="117">
        <f>IFERROR(VLOOKUP($D182,'WB Data'!$C$3:$M$578,7,FALSE)/100,"..")</f>
        <v>2.9053800000000001E-2</v>
      </c>
      <c r="BJ182" s="117">
        <f>IFERROR($BI182*$AW182,"..")</f>
        <v>677600173.80818844</v>
      </c>
      <c r="BK182" s="846">
        <f>IFERROR($BB182/$BJ182,"..")</f>
        <v>3.4861612474933499</v>
      </c>
      <c r="BL182" s="117">
        <f>IFERROR(VLOOKUP($D182,'WB Data'!$C$3:$M$578,7,FALSE)/100,"..")</f>
        <v>2.9053800000000001E-2</v>
      </c>
      <c r="BM182" s="117">
        <f>IFERROR($AW182*$BL182,"..")</f>
        <v>677600173.80818844</v>
      </c>
      <c r="BN182" s="846">
        <f>IFERROR($BB182/$BM182,"..")</f>
        <v>3.4861612474933499</v>
      </c>
      <c r="BO182" s="801">
        <f t="shared" si="28"/>
        <v>27</v>
      </c>
      <c r="BP182" s="117" t="str">
        <f>VLOOKUP($D182,'WB Data'!$C$3:$M$578,9,FALSE)</f>
        <v>..</v>
      </c>
      <c r="BQ182" s="117">
        <f>VLOOKUP($D182,'WB Data'!$C$3:$M$578,10,FALSE)</f>
        <v>52.855829268292695</v>
      </c>
      <c r="BR182" s="117">
        <f>VLOOKUP($D182,'WB Data'!$C$3:$M$578,11,FALSE)</f>
        <v>70.8</v>
      </c>
      <c r="BS182" s="129">
        <f>IFERROR(VLOOKUP($D182,'WB Data 2'!$C$2:$K$545,9,FALSE),"..")</f>
        <v>82.138900000000007</v>
      </c>
      <c r="BT182" s="129">
        <f>_xlfn.IFNA(VLOOKUP($C182,RGI!$A$2:$C$43,2,FALSE),"..")</f>
        <v>41.8</v>
      </c>
      <c r="BU182" s="129">
        <f>_xlfn.IFNA(VLOOKUP($C182,RGI!$A$2:$C$43,3,FALSE),"..")</f>
        <v>34.155297028034767</v>
      </c>
      <c r="BV182" s="129">
        <f>VLOOKUP($D182,WGI!$C$2:$O$478,7,FALSE)</f>
        <v>-1.0847112975143101</v>
      </c>
      <c r="BW182" s="129">
        <f>VLOOKUP($D182,WGI!$C$2:$O$478,4,FALSE)</f>
        <v>-0.55077856681117598</v>
      </c>
      <c r="BX182" s="129">
        <f>VLOOKUP($D182,WGI!$C$2:$O$478,3,FALSE)</f>
        <v>-0.785223800045872</v>
      </c>
      <c r="BY182" s="129">
        <f>VLOOKUP($D182,WGI!$C$2:$O$478,5,FALSE)</f>
        <v>-0.80780618656282699</v>
      </c>
      <c r="BZ182" s="129">
        <f>VLOOKUP($D182,WGI!$C$2:$O$478,2,FALSE)</f>
        <v>-0.94371128670100402</v>
      </c>
    </row>
    <row r="183" spans="1:80" ht="15" customHeight="1">
      <c r="A183" s="294" t="s">
        <v>115</v>
      </c>
      <c r="B183" s="117">
        <v>2008</v>
      </c>
      <c r="C183" s="117" t="s">
        <v>101</v>
      </c>
      <c r="D183" s="117" t="s">
        <v>3592</v>
      </c>
      <c r="E183" s="117" t="s">
        <v>86</v>
      </c>
      <c r="F183" s="117"/>
      <c r="G183" s="117" t="s">
        <v>24</v>
      </c>
      <c r="H183" s="117" t="str">
        <f t="shared" si="33"/>
        <v>yes</v>
      </c>
      <c r="I183" s="117" t="str">
        <f t="shared" si="34"/>
        <v>no</v>
      </c>
      <c r="J183" s="117" t="str">
        <f t="shared" si="35"/>
        <v>no</v>
      </c>
      <c r="K183" s="176" t="s">
        <v>905</v>
      </c>
      <c r="L183" s="117" t="str">
        <f t="shared" si="27"/>
        <v>detailed</v>
      </c>
      <c r="M183" s="117" t="str">
        <f t="shared" si="36"/>
        <v>detailed Mining</v>
      </c>
      <c r="N183" s="118">
        <v>550000</v>
      </c>
      <c r="O183" s="118"/>
      <c r="P183" s="118"/>
      <c r="Q183" s="118"/>
      <c r="R183" s="118"/>
      <c r="S183" s="117" t="s">
        <v>610</v>
      </c>
      <c r="T183" s="119">
        <v>14.76</v>
      </c>
      <c r="U183" s="117" t="s">
        <v>611</v>
      </c>
      <c r="V183" s="117" t="s">
        <v>916</v>
      </c>
      <c r="W183" s="89">
        <f>N183*T183</f>
        <v>8118000</v>
      </c>
      <c r="X183" s="117"/>
      <c r="Y183" s="117"/>
      <c r="Z183" s="117"/>
      <c r="AA183" s="179"/>
      <c r="AB183" s="179"/>
      <c r="AC183" s="212"/>
      <c r="AD183" s="212"/>
      <c r="AE183" s="212"/>
      <c r="AF183" s="213"/>
      <c r="AG183" s="117"/>
      <c r="AH183" s="124"/>
      <c r="AI183" s="117"/>
      <c r="AJ183" s="117"/>
      <c r="AK183" s="89"/>
      <c r="AL183" s="117"/>
      <c r="AM183" s="117"/>
      <c r="AN183" s="214"/>
      <c r="AO183" s="117"/>
      <c r="AP183" s="117"/>
      <c r="AQ183" s="232"/>
      <c r="AR183" s="126"/>
      <c r="AS183" s="117"/>
      <c r="AT183" s="127"/>
      <c r="AU183" s="215"/>
      <c r="AV183" s="128"/>
      <c r="AW183" s="117">
        <f>VLOOKUP($D183,'WB Data'!$C$3:$M$578,2,FALSE)</f>
        <v>23322256428.012459</v>
      </c>
      <c r="AX183" s="117">
        <f>VLOOKUP($D183,'WB Data'!$C$3:$M$578,3,FALSE)</f>
        <v>19595026</v>
      </c>
      <c r="AY183" s="847">
        <f t="shared" si="29"/>
        <v>0.1012862316524223</v>
      </c>
      <c r="AZ183" s="117" t="e">
        <f>VLOOKUP($D183,'WB Data'!$C$3:$M$578,4,FALSE)/100</f>
        <v>#VALUE!</v>
      </c>
      <c r="BA183" s="117" t="str">
        <f t="shared" si="30"/>
        <v>..</v>
      </c>
      <c r="BB183" s="129">
        <f>IFERROR(VLOOKUP($D183,'EITI Revenues'!$C$2:$G$224,5,FALSE),"..")</f>
        <v>2362223467.224865</v>
      </c>
      <c r="BC183" s="846" t="str">
        <f t="shared" si="31"/>
        <v>..</v>
      </c>
      <c r="BD183" s="129">
        <f>VLOOKUP($D183,'WB Data 2'!$C$2:$K$545,6,FALSE)</f>
        <v>593994236.01505387</v>
      </c>
      <c r="BE183" s="129" t="str">
        <f>IFERROR(VLOOKUP($D183,UNCTAD!$C$5:$V$529,4,FALSE),"..")</f>
        <v>..</v>
      </c>
      <c r="BF183" s="846" t="str">
        <f t="shared" si="32"/>
        <v>..</v>
      </c>
      <c r="BG183" s="117">
        <f>VLOOKUP($D183,'WB Data'!$C$3:$M$578,5,FALSE)</f>
        <v>548590000</v>
      </c>
      <c r="BH183" s="129">
        <f>IFERROR($BB183/$BG183,"..")</f>
        <v>4.3059907530667072</v>
      </c>
      <c r="BI183" s="117">
        <f>IFERROR(VLOOKUP($D183,'WB Data'!$C$3:$M$578,7,FALSE)/100,"..")</f>
        <v>2.9053800000000001E-2</v>
      </c>
      <c r="BJ183" s="117">
        <f>IFERROR($BI183*$AW183,"..")</f>
        <v>677600173.80818844</v>
      </c>
      <c r="BK183" s="846">
        <f>IFERROR($BB183/$BJ183,"..")</f>
        <v>3.4861612474933499</v>
      </c>
      <c r="BL183" s="117">
        <f>IFERROR(VLOOKUP($D183,'WB Data'!$C$3:$M$578,7,FALSE)/100,"..")</f>
        <v>2.9053800000000001E-2</v>
      </c>
      <c r="BM183" s="117">
        <f>IFERROR($AW183*$BL183,"..")</f>
        <v>677600173.80818844</v>
      </c>
      <c r="BN183" s="846">
        <f>IFERROR($BB183/$BM183,"..")</f>
        <v>3.4861612474933499</v>
      </c>
      <c r="BO183" s="801">
        <f t="shared" si="28"/>
        <v>27</v>
      </c>
      <c r="BP183" s="117" t="str">
        <f>VLOOKUP($D183,'WB Data'!$C$3:$M$578,9,FALSE)</f>
        <v>..</v>
      </c>
      <c r="BQ183" s="117">
        <f>VLOOKUP($D183,'WB Data'!$C$3:$M$578,10,FALSE)</f>
        <v>52.855829268292695</v>
      </c>
      <c r="BR183" s="117">
        <f>VLOOKUP($D183,'WB Data'!$C$3:$M$578,11,FALSE)</f>
        <v>70.8</v>
      </c>
      <c r="BS183" s="129">
        <f>IFERROR(VLOOKUP($D183,'WB Data 2'!$C$2:$K$545,9,FALSE),"..")</f>
        <v>82.138900000000007</v>
      </c>
      <c r="BT183" s="129">
        <f>_xlfn.IFNA(VLOOKUP($C183,RGI!$A$2:$C$43,2,FALSE),"..")</f>
        <v>41.8</v>
      </c>
      <c r="BU183" s="129">
        <f>_xlfn.IFNA(VLOOKUP($C183,RGI!$A$2:$C$43,3,FALSE),"..")</f>
        <v>34.155297028034767</v>
      </c>
      <c r="BV183" s="129">
        <f>VLOOKUP($D183,WGI!$C$2:$O$478,7,FALSE)</f>
        <v>-1.0847112975143101</v>
      </c>
      <c r="BW183" s="129">
        <f>VLOOKUP($D183,WGI!$C$2:$O$478,4,FALSE)</f>
        <v>-0.55077856681117598</v>
      </c>
      <c r="BX183" s="129">
        <f>VLOOKUP($D183,WGI!$C$2:$O$478,3,FALSE)</f>
        <v>-0.785223800045872</v>
      </c>
      <c r="BY183" s="129">
        <f>VLOOKUP($D183,WGI!$C$2:$O$478,5,FALSE)</f>
        <v>-0.80780618656282699</v>
      </c>
      <c r="BZ183" s="129">
        <f>VLOOKUP($D183,WGI!$C$2:$O$478,2,FALSE)</f>
        <v>-0.94371128670100402</v>
      </c>
    </row>
    <row r="184" spans="1:80" ht="15" customHeight="1">
      <c r="A184" s="294" t="s">
        <v>115</v>
      </c>
      <c r="B184" s="117">
        <v>2008</v>
      </c>
      <c r="C184" s="117" t="s">
        <v>101</v>
      </c>
      <c r="D184" s="117" t="s">
        <v>3592</v>
      </c>
      <c r="E184" s="117" t="s">
        <v>86</v>
      </c>
      <c r="F184" s="117"/>
      <c r="G184" s="117" t="s">
        <v>24</v>
      </c>
      <c r="H184" s="117" t="str">
        <f t="shared" si="33"/>
        <v>yes</v>
      </c>
      <c r="I184" s="117" t="str">
        <f t="shared" si="34"/>
        <v>no</v>
      </c>
      <c r="J184" s="117" t="str">
        <f t="shared" si="35"/>
        <v>no</v>
      </c>
      <c r="K184" s="176" t="s">
        <v>907</v>
      </c>
      <c r="L184" s="117" t="str">
        <f t="shared" si="27"/>
        <v>detailed</v>
      </c>
      <c r="M184" s="117" t="str">
        <f t="shared" si="36"/>
        <v>detailed Mining</v>
      </c>
      <c r="N184" s="118">
        <v>600000</v>
      </c>
      <c r="O184" s="118"/>
      <c r="P184" s="118"/>
      <c r="Q184" s="118"/>
      <c r="R184" s="118"/>
      <c r="S184" s="117" t="s">
        <v>610</v>
      </c>
      <c r="T184" s="119">
        <f>7.47*0.1949</f>
        <v>1.4559029999999999</v>
      </c>
      <c r="U184" s="117" t="s">
        <v>611</v>
      </c>
      <c r="V184" s="117" t="s">
        <v>917</v>
      </c>
      <c r="W184" s="89">
        <f>N184*T184</f>
        <v>873541.79999999993</v>
      </c>
      <c r="X184" s="117"/>
      <c r="Y184" s="117"/>
      <c r="Z184" s="117"/>
      <c r="AA184" s="179"/>
      <c r="AB184" s="179"/>
      <c r="AC184" s="212"/>
      <c r="AD184" s="212"/>
      <c r="AE184" s="212"/>
      <c r="AF184" s="213"/>
      <c r="AG184" s="117"/>
      <c r="AH184" s="124"/>
      <c r="AI184" s="117"/>
      <c r="AJ184" s="117"/>
      <c r="AK184" s="89"/>
      <c r="AL184" s="117"/>
      <c r="AM184" s="117"/>
      <c r="AN184" s="214"/>
      <c r="AO184" s="117"/>
      <c r="AP184" s="117"/>
      <c r="AQ184" s="232"/>
      <c r="AR184" s="126"/>
      <c r="AS184" s="117"/>
      <c r="AT184" s="127"/>
      <c r="AU184" s="215"/>
      <c r="AV184" s="128"/>
      <c r="AW184" s="117">
        <f>VLOOKUP($D184,'WB Data'!$C$3:$M$578,2,FALSE)</f>
        <v>23322256428.012459</v>
      </c>
      <c r="AX184" s="117">
        <f>VLOOKUP($D184,'WB Data'!$C$3:$M$578,3,FALSE)</f>
        <v>19595026</v>
      </c>
      <c r="AY184" s="847">
        <f t="shared" si="29"/>
        <v>0.1012862316524223</v>
      </c>
      <c r="AZ184" s="117" t="e">
        <f>VLOOKUP($D184,'WB Data'!$C$3:$M$578,4,FALSE)/100</f>
        <v>#VALUE!</v>
      </c>
      <c r="BA184" s="117" t="str">
        <f t="shared" si="30"/>
        <v>..</v>
      </c>
      <c r="BB184" s="129">
        <f>IFERROR(VLOOKUP($D184,'EITI Revenues'!$C$2:$G$224,5,FALSE),"..")</f>
        <v>2362223467.224865</v>
      </c>
      <c r="BC184" s="846" t="str">
        <f t="shared" si="31"/>
        <v>..</v>
      </c>
      <c r="BD184" s="129">
        <f>VLOOKUP($D184,'WB Data 2'!$C$2:$K$545,6,FALSE)</f>
        <v>593994236.01505387</v>
      </c>
      <c r="BE184" s="129" t="str">
        <f>IFERROR(VLOOKUP($D184,UNCTAD!$C$5:$V$529,4,FALSE),"..")</f>
        <v>..</v>
      </c>
      <c r="BF184" s="846" t="str">
        <f t="shared" si="32"/>
        <v>..</v>
      </c>
      <c r="BG184" s="117">
        <f>VLOOKUP($D184,'WB Data'!$C$3:$M$578,5,FALSE)</f>
        <v>548590000</v>
      </c>
      <c r="BH184" s="129">
        <f>IFERROR($BB184/$BG184,"..")</f>
        <v>4.3059907530667072</v>
      </c>
      <c r="BI184" s="117">
        <f>IFERROR(VLOOKUP($D184,'WB Data'!$C$3:$M$578,7,FALSE)/100,"..")</f>
        <v>2.9053800000000001E-2</v>
      </c>
      <c r="BJ184" s="117">
        <f>IFERROR($BI184*$AW184,"..")</f>
        <v>677600173.80818844</v>
      </c>
      <c r="BK184" s="846">
        <f>IFERROR($BB184/$BJ184,"..")</f>
        <v>3.4861612474933499</v>
      </c>
      <c r="BL184" s="117">
        <f>IFERROR(VLOOKUP($D184,'WB Data'!$C$3:$M$578,7,FALSE)/100,"..")</f>
        <v>2.9053800000000001E-2</v>
      </c>
      <c r="BM184" s="117">
        <f>IFERROR($AW184*$BL184,"..")</f>
        <v>677600173.80818844</v>
      </c>
      <c r="BN184" s="846">
        <f>IFERROR($BB184/$BM184,"..")</f>
        <v>3.4861612474933499</v>
      </c>
      <c r="BO184" s="801">
        <f t="shared" si="28"/>
        <v>27</v>
      </c>
      <c r="BP184" s="117" t="str">
        <f>VLOOKUP($D184,'WB Data'!$C$3:$M$578,9,FALSE)</f>
        <v>..</v>
      </c>
      <c r="BQ184" s="117">
        <f>VLOOKUP($D184,'WB Data'!$C$3:$M$578,10,FALSE)</f>
        <v>52.855829268292695</v>
      </c>
      <c r="BR184" s="117">
        <f>VLOOKUP($D184,'WB Data'!$C$3:$M$578,11,FALSE)</f>
        <v>70.8</v>
      </c>
      <c r="BS184" s="129">
        <f>IFERROR(VLOOKUP($D184,'WB Data 2'!$C$2:$K$545,9,FALSE),"..")</f>
        <v>82.138900000000007</v>
      </c>
      <c r="BT184" s="129">
        <f>_xlfn.IFNA(VLOOKUP($C184,RGI!$A$2:$C$43,2,FALSE),"..")</f>
        <v>41.8</v>
      </c>
      <c r="BU184" s="129">
        <f>_xlfn.IFNA(VLOOKUP($C184,RGI!$A$2:$C$43,3,FALSE),"..")</f>
        <v>34.155297028034767</v>
      </c>
      <c r="BV184" s="129">
        <f>VLOOKUP($D184,WGI!$C$2:$O$478,7,FALSE)</f>
        <v>-1.0847112975143101</v>
      </c>
      <c r="BW184" s="129">
        <f>VLOOKUP($D184,WGI!$C$2:$O$478,4,FALSE)</f>
        <v>-0.55077856681117598</v>
      </c>
      <c r="BX184" s="129">
        <f>VLOOKUP($D184,WGI!$C$2:$O$478,3,FALSE)</f>
        <v>-0.785223800045872</v>
      </c>
      <c r="BY184" s="129">
        <f>VLOOKUP($D184,WGI!$C$2:$O$478,5,FALSE)</f>
        <v>-0.80780618656282699</v>
      </c>
      <c r="BZ184" s="129">
        <f>VLOOKUP($D184,WGI!$C$2:$O$478,2,FALSE)</f>
        <v>-0.94371128670100402</v>
      </c>
    </row>
    <row r="185" spans="1:80" s="144" customFormat="1" ht="15" customHeight="1">
      <c r="A185" s="279" t="s">
        <v>116</v>
      </c>
      <c r="B185" s="132">
        <v>2009</v>
      </c>
      <c r="C185" s="132" t="s">
        <v>101</v>
      </c>
      <c r="D185" s="117" t="s">
        <v>3626</v>
      </c>
      <c r="E185" s="132" t="s">
        <v>86</v>
      </c>
      <c r="F185" s="132" t="s">
        <v>863</v>
      </c>
      <c r="G185" s="132" t="s">
        <v>41</v>
      </c>
      <c r="H185" s="117" t="str">
        <f t="shared" si="33"/>
        <v>yes</v>
      </c>
      <c r="I185" s="117" t="str">
        <f t="shared" si="34"/>
        <v>no</v>
      </c>
      <c r="J185" s="117" t="str">
        <f t="shared" si="35"/>
        <v>yes</v>
      </c>
      <c r="K185" s="182" t="s">
        <v>709</v>
      </c>
      <c r="L185" s="117" t="str">
        <f t="shared" si="27"/>
        <v>Total</v>
      </c>
      <c r="M185" s="117" t="str">
        <f t="shared" si="36"/>
        <v>Total Oil, Mining</v>
      </c>
      <c r="N185" s="238"/>
      <c r="O185" s="238"/>
      <c r="P185" s="238"/>
      <c r="Q185" s="238"/>
      <c r="R185" s="238"/>
      <c r="S185" s="132"/>
      <c r="T185" s="134"/>
      <c r="U185" s="132"/>
      <c r="V185" s="132"/>
      <c r="W185" s="299">
        <f>W186+W187</f>
        <v>1677208987.1750062</v>
      </c>
      <c r="X185" s="132" t="s">
        <v>918</v>
      </c>
      <c r="Y185" s="132" t="s">
        <v>663</v>
      </c>
      <c r="Z185" s="301" t="s">
        <v>732</v>
      </c>
      <c r="AA185" s="302">
        <v>3501213151.7658243</v>
      </c>
      <c r="AB185" s="297">
        <v>1237959455.9556208</v>
      </c>
      <c r="AC185" s="138"/>
      <c r="AD185" s="138"/>
      <c r="AE185" s="138"/>
      <c r="AF185" s="224">
        <f>AA185/W185</f>
        <v>2.0875234860642293</v>
      </c>
      <c r="AG185" s="132" t="s">
        <v>919</v>
      </c>
      <c r="AH185" s="140">
        <v>462.94</v>
      </c>
      <c r="AI185" s="132" t="s">
        <v>722</v>
      </c>
      <c r="AJ185" s="303" t="s">
        <v>920</v>
      </c>
      <c r="AK185" s="299">
        <v>2242706663.5578494</v>
      </c>
      <c r="AL185" s="132"/>
      <c r="AM185" s="132"/>
      <c r="AN185" s="132">
        <v>21</v>
      </c>
      <c r="AO185" s="132" t="s">
        <v>921</v>
      </c>
      <c r="AP185" s="132">
        <v>20</v>
      </c>
      <c r="AQ185" s="132" t="s">
        <v>117</v>
      </c>
      <c r="AR185" s="141">
        <v>41943</v>
      </c>
      <c r="AS185" s="132" t="s">
        <v>838</v>
      </c>
      <c r="AT185" s="132" t="s">
        <v>922</v>
      </c>
      <c r="AU185" s="132" t="s">
        <v>923</v>
      </c>
      <c r="AV185" s="143" t="s">
        <v>924</v>
      </c>
      <c r="AW185" s="117">
        <f>VLOOKUP($D185,'WB Data'!$C$3:$M$578,2,FALSE)</f>
        <v>23381142604.436356</v>
      </c>
      <c r="AX185" s="117">
        <f>VLOOKUP($D185,'WB Data'!$C$3:$M$578,3,FALSE)</f>
        <v>20103945</v>
      </c>
      <c r="AY185" s="847">
        <f t="shared" si="29"/>
        <v>0.14974516904496796</v>
      </c>
      <c r="AZ185" s="117" t="e">
        <f>VLOOKUP($D185,'WB Data'!$C$3:$M$578,4,FALSE)/100</f>
        <v>#VALUE!</v>
      </c>
      <c r="BA185" s="117" t="str">
        <f t="shared" si="30"/>
        <v>..</v>
      </c>
      <c r="BB185" s="129">
        <f>IFERROR(VLOOKUP($D185,'EITI Revenues'!$C$2:$G$224,5,FALSE),"..")</f>
        <v>3501213151.7658243</v>
      </c>
      <c r="BC185" s="846" t="str">
        <f t="shared" si="31"/>
        <v>..</v>
      </c>
      <c r="BD185" s="129">
        <f>VLOOKUP($D185,'WB Data 2'!$C$2:$K$545,6,FALSE)</f>
        <v>226296094.45937017</v>
      </c>
      <c r="BE185" s="129" t="str">
        <f>IFERROR(VLOOKUP($D185,UNCTAD!$C$5:$V$529,4,FALSE),"..")</f>
        <v>..</v>
      </c>
      <c r="BF185" s="846" t="str">
        <f t="shared" si="32"/>
        <v>..</v>
      </c>
      <c r="BG185" s="117">
        <f>VLOOKUP($D185,'WB Data'!$C$3:$M$578,5,FALSE)</f>
        <v>648340000</v>
      </c>
      <c r="BH185" s="129">
        <f>IFERROR($BB185/$BG185,"..")</f>
        <v>5.4002732389885315</v>
      </c>
      <c r="BI185" s="117">
        <f>IFERROR(VLOOKUP($D185,'WB Data'!$C$3:$M$578,7,FALSE)/100,"..")</f>
        <v>3.6499299999999998E-2</v>
      </c>
      <c r="BJ185" s="117">
        <f>IFERROR($BI185*$AW185,"..")</f>
        <v>853395338.2621038</v>
      </c>
      <c r="BK185" s="846">
        <f>IFERROR($BB185/$BJ185,"..")</f>
        <v>4.102686052745339</v>
      </c>
      <c r="BL185" s="117">
        <f>IFERROR(VLOOKUP($D185,'WB Data'!$C$3:$M$578,7,FALSE)/100,"..")</f>
        <v>3.6499299999999998E-2</v>
      </c>
      <c r="BM185" s="117">
        <f>IFERROR($AW185*$BL185,"..")</f>
        <v>853395338.2621038</v>
      </c>
      <c r="BN185" s="846">
        <f>IFERROR($BB185/$BM185,"..")</f>
        <v>4.102686052745339</v>
      </c>
      <c r="BO185" s="801">
        <f t="shared" si="28"/>
        <v>27</v>
      </c>
      <c r="BP185" s="117" t="str">
        <f>VLOOKUP($D185,'WB Data'!$C$3:$M$578,9,FALSE)</f>
        <v>..</v>
      </c>
      <c r="BQ185" s="117">
        <f>VLOOKUP($D185,'WB Data'!$C$3:$M$578,10,FALSE)</f>
        <v>53.264853658536587</v>
      </c>
      <c r="BR185" s="117">
        <f>VLOOKUP($D185,'WB Data'!$C$3:$M$578,11,FALSE)</f>
        <v>68.7</v>
      </c>
      <c r="BS185" s="129">
        <f>IFERROR(VLOOKUP($D185,'WB Data 2'!$C$2:$K$545,9,FALSE),"..")</f>
        <v>84.947630000000004</v>
      </c>
      <c r="BT185" s="129">
        <f>_xlfn.IFNA(VLOOKUP($C185,RGI!$A$2:$C$43,2,FALSE),"..")</f>
        <v>41.8</v>
      </c>
      <c r="BU185" s="129">
        <f>_xlfn.IFNA(VLOOKUP($C185,RGI!$A$2:$C$43,3,FALSE),"..")</f>
        <v>34.155297028034767</v>
      </c>
      <c r="BV185" s="129">
        <f>VLOOKUP($D185,WGI!$C$2:$O$478,7,FALSE)</f>
        <v>-1.0619175557573799</v>
      </c>
      <c r="BW185" s="129">
        <f>VLOOKUP($D185,WGI!$C$2:$O$478,4,FALSE)</f>
        <v>-0.48204843823879501</v>
      </c>
      <c r="BX185" s="129">
        <f>VLOOKUP($D185,WGI!$C$2:$O$478,3,FALSE)</f>
        <v>-0.81857389962537597</v>
      </c>
      <c r="BY185" s="129">
        <f>VLOOKUP($D185,WGI!$C$2:$O$478,5,FALSE)</f>
        <v>-0.73985067148075101</v>
      </c>
      <c r="BZ185" s="129">
        <f>VLOOKUP($D185,WGI!$C$2:$O$478,2,FALSE)</f>
        <v>-0.92234563308804896</v>
      </c>
      <c r="CB185" s="129"/>
    </row>
    <row r="186" spans="1:80" s="120" customFormat="1" ht="15" customHeight="1">
      <c r="A186" s="280" t="s">
        <v>116</v>
      </c>
      <c r="B186" s="117">
        <v>2009</v>
      </c>
      <c r="C186" s="117" t="s">
        <v>101</v>
      </c>
      <c r="D186" s="117" t="s">
        <v>3626</v>
      </c>
      <c r="E186" s="117" t="s">
        <v>86</v>
      </c>
      <c r="F186" s="117"/>
      <c r="G186" s="117" t="s">
        <v>103</v>
      </c>
      <c r="H186" s="117" t="str">
        <f t="shared" si="33"/>
        <v>no</v>
      </c>
      <c r="I186" s="117" t="str">
        <f t="shared" si="34"/>
        <v>no</v>
      </c>
      <c r="J186" s="117" t="str">
        <f t="shared" si="35"/>
        <v>yes</v>
      </c>
      <c r="K186" s="176" t="s">
        <v>103</v>
      </c>
      <c r="L186" s="117" t="str">
        <f t="shared" si="27"/>
        <v>detailed</v>
      </c>
      <c r="M186" s="117" t="str">
        <f t="shared" si="36"/>
        <v>detailed Oil</v>
      </c>
      <c r="N186" s="179">
        <v>28251000</v>
      </c>
      <c r="O186" s="179"/>
      <c r="P186" s="179">
        <v>26834639</v>
      </c>
      <c r="Q186" s="179"/>
      <c r="R186" s="179"/>
      <c r="S186" s="117" t="s">
        <v>646</v>
      </c>
      <c r="T186" s="119">
        <f>62.08273385*0.9497</f>
        <v>58.959972337344993</v>
      </c>
      <c r="U186" s="117" t="s">
        <v>673</v>
      </c>
      <c r="V186" s="117" t="s">
        <v>925</v>
      </c>
      <c r="W186" s="89">
        <f>N186*T186</f>
        <v>1665678178.5023334</v>
      </c>
      <c r="X186" s="117"/>
      <c r="Y186" s="117"/>
      <c r="Z186" s="117"/>
      <c r="AA186" s="304">
        <f>1237834458.92556+AK186</f>
        <v>3480541122.4834094</v>
      </c>
      <c r="AB186" s="177">
        <v>1235666520.26613</v>
      </c>
      <c r="AC186" s="122"/>
      <c r="AD186" s="122"/>
      <c r="AE186" s="122"/>
      <c r="AF186" s="300">
        <f>AA186/W186</f>
        <v>2.0895639790471887</v>
      </c>
      <c r="AG186" s="117"/>
      <c r="AH186" s="124"/>
      <c r="AI186" s="117"/>
      <c r="AJ186" s="303" t="s">
        <v>920</v>
      </c>
      <c r="AK186" s="298">
        <v>2242706663.5578494</v>
      </c>
      <c r="AL186" s="117"/>
      <c r="AM186" s="117"/>
      <c r="AN186" s="117">
        <v>17</v>
      </c>
      <c r="AO186" s="117" t="s">
        <v>926</v>
      </c>
      <c r="AP186" s="117"/>
      <c r="AQ186" s="117"/>
      <c r="AR186" s="126"/>
      <c r="AS186" s="117"/>
      <c r="AT186" s="117"/>
      <c r="AU186" s="117"/>
      <c r="AV186" s="128" t="s">
        <v>927</v>
      </c>
      <c r="AW186" s="117">
        <f>VLOOKUP($D186,'WB Data'!$C$3:$M$578,2,FALSE)</f>
        <v>23381142604.436356</v>
      </c>
      <c r="AX186" s="117">
        <f>VLOOKUP($D186,'WB Data'!$C$3:$M$578,3,FALSE)</f>
        <v>20103945</v>
      </c>
      <c r="AY186" s="847">
        <f t="shared" si="29"/>
        <v>0.14974516904496796</v>
      </c>
      <c r="AZ186" s="117" t="e">
        <f>VLOOKUP($D186,'WB Data'!$C$3:$M$578,4,FALSE)/100</f>
        <v>#VALUE!</v>
      </c>
      <c r="BA186" s="117" t="str">
        <f t="shared" si="30"/>
        <v>..</v>
      </c>
      <c r="BB186" s="129">
        <f>IFERROR(VLOOKUP($D186,'EITI Revenues'!$C$2:$G$224,5,FALSE),"..")</f>
        <v>3501213151.7658243</v>
      </c>
      <c r="BC186" s="846" t="str">
        <f t="shared" si="31"/>
        <v>..</v>
      </c>
      <c r="BD186" s="129">
        <f>VLOOKUP($D186,'WB Data 2'!$C$2:$K$545,6,FALSE)</f>
        <v>226296094.45937017</v>
      </c>
      <c r="BE186" s="129" t="str">
        <f>IFERROR(VLOOKUP($D186,UNCTAD!$C$5:$V$529,4,FALSE),"..")</f>
        <v>..</v>
      </c>
      <c r="BF186" s="846" t="str">
        <f t="shared" si="32"/>
        <v>..</v>
      </c>
      <c r="BG186" s="117">
        <f>VLOOKUP($D186,'WB Data'!$C$3:$M$578,5,FALSE)</f>
        <v>648340000</v>
      </c>
      <c r="BH186" s="129">
        <f>IFERROR($BB186/$BG186,"..")</f>
        <v>5.4002732389885315</v>
      </c>
      <c r="BI186" s="117">
        <f>IFERROR(VLOOKUP($D186,'WB Data'!$C$3:$M$578,7,FALSE)/100,"..")</f>
        <v>3.6499299999999998E-2</v>
      </c>
      <c r="BJ186" s="117">
        <f>IFERROR($BI186*$AW186,"..")</f>
        <v>853395338.2621038</v>
      </c>
      <c r="BK186" s="846">
        <f>IFERROR($BB186/$BJ186,"..")</f>
        <v>4.102686052745339</v>
      </c>
      <c r="BL186" s="117">
        <f>IFERROR(VLOOKUP($D186,'WB Data'!$C$3:$M$578,7,FALSE)/100,"..")</f>
        <v>3.6499299999999998E-2</v>
      </c>
      <c r="BM186" s="117">
        <f>IFERROR($AW186*$BL186,"..")</f>
        <v>853395338.2621038</v>
      </c>
      <c r="BN186" s="846">
        <f>IFERROR($BB186/$BM186,"..")</f>
        <v>4.102686052745339</v>
      </c>
      <c r="BO186" s="801">
        <f t="shared" si="28"/>
        <v>27</v>
      </c>
      <c r="BP186" s="117" t="str">
        <f>VLOOKUP($D186,'WB Data'!$C$3:$M$578,9,FALSE)</f>
        <v>..</v>
      </c>
      <c r="BQ186" s="117">
        <f>VLOOKUP($D186,'WB Data'!$C$3:$M$578,10,FALSE)</f>
        <v>53.264853658536587</v>
      </c>
      <c r="BR186" s="117">
        <f>VLOOKUP($D186,'WB Data'!$C$3:$M$578,11,FALSE)</f>
        <v>68.7</v>
      </c>
      <c r="BS186" s="129">
        <f>IFERROR(VLOOKUP($D186,'WB Data 2'!$C$2:$K$545,9,FALSE),"..")</f>
        <v>84.947630000000004</v>
      </c>
      <c r="BT186" s="129">
        <f>_xlfn.IFNA(VLOOKUP($C186,RGI!$A$2:$C$43,2,FALSE),"..")</f>
        <v>41.8</v>
      </c>
      <c r="BU186" s="129">
        <f>_xlfn.IFNA(VLOOKUP($C186,RGI!$A$2:$C$43,3,FALSE),"..")</f>
        <v>34.155297028034767</v>
      </c>
      <c r="BV186" s="129">
        <f>VLOOKUP($D186,WGI!$C$2:$O$478,7,FALSE)</f>
        <v>-1.0619175557573799</v>
      </c>
      <c r="BW186" s="129">
        <f>VLOOKUP($D186,WGI!$C$2:$O$478,4,FALSE)</f>
        <v>-0.48204843823879501</v>
      </c>
      <c r="BX186" s="129">
        <f>VLOOKUP($D186,WGI!$C$2:$O$478,3,FALSE)</f>
        <v>-0.81857389962537597</v>
      </c>
      <c r="BY186" s="129">
        <f>VLOOKUP($D186,WGI!$C$2:$O$478,5,FALSE)</f>
        <v>-0.73985067148075101</v>
      </c>
      <c r="BZ186" s="129">
        <f>VLOOKUP($D186,WGI!$C$2:$O$478,2,FALSE)</f>
        <v>-0.92234563308804896</v>
      </c>
      <c r="CB186" s="129"/>
    </row>
    <row r="187" spans="1:80" s="120" customFormat="1" ht="15" customHeight="1">
      <c r="A187" s="280" t="s">
        <v>116</v>
      </c>
      <c r="B187" s="117">
        <v>2009</v>
      </c>
      <c r="C187" s="117" t="s">
        <v>101</v>
      </c>
      <c r="D187" s="117" t="s">
        <v>3626</v>
      </c>
      <c r="E187" s="117" t="s">
        <v>86</v>
      </c>
      <c r="F187" s="117"/>
      <c r="G187" s="117" t="s">
        <v>24</v>
      </c>
      <c r="H187" s="117" t="str">
        <f t="shared" si="33"/>
        <v>yes</v>
      </c>
      <c r="I187" s="117" t="str">
        <f t="shared" si="34"/>
        <v>no</v>
      </c>
      <c r="J187" s="117" t="str">
        <f t="shared" si="35"/>
        <v>no</v>
      </c>
      <c r="K187" s="176" t="s">
        <v>600</v>
      </c>
      <c r="L187" s="117" t="str">
        <f t="shared" si="27"/>
        <v>Total</v>
      </c>
      <c r="M187" s="117" t="str">
        <f t="shared" si="36"/>
        <v>Total Mining</v>
      </c>
      <c r="N187" s="179"/>
      <c r="O187" s="179"/>
      <c r="P187" s="179"/>
      <c r="Q187" s="179"/>
      <c r="R187" s="179"/>
      <c r="S187" s="117"/>
      <c r="T187" s="119"/>
      <c r="U187" s="117"/>
      <c r="V187" s="117"/>
      <c r="W187" s="89">
        <f>SUM(W188:W192)</f>
        <v>11530808.672672672</v>
      </c>
      <c r="X187" s="117"/>
      <c r="Y187" s="117"/>
      <c r="Z187" s="117"/>
      <c r="AA187" s="177">
        <v>612115.84654598869</v>
      </c>
      <c r="AB187" s="177">
        <v>621249.01067092933</v>
      </c>
      <c r="AC187" s="122"/>
      <c r="AD187" s="122"/>
      <c r="AE187" s="122"/>
      <c r="AF187" s="213">
        <f>AA187/W187</f>
        <v>5.3085248738595991E-2</v>
      </c>
      <c r="AG187" s="117"/>
      <c r="AH187" s="124"/>
      <c r="AI187" s="117"/>
      <c r="AJ187" s="117"/>
      <c r="AK187" s="117"/>
      <c r="AL187" s="117"/>
      <c r="AM187" s="117"/>
      <c r="AN187" s="117">
        <v>4</v>
      </c>
      <c r="AO187" s="117" t="s">
        <v>928</v>
      </c>
      <c r="AP187" s="117"/>
      <c r="AQ187" s="117"/>
      <c r="AR187" s="126"/>
      <c r="AS187" s="117"/>
      <c r="AT187" s="117"/>
      <c r="AU187" s="117"/>
      <c r="AV187" s="128"/>
      <c r="AW187" s="117">
        <f>VLOOKUP($D187,'WB Data'!$C$3:$M$578,2,FALSE)</f>
        <v>23381142604.436356</v>
      </c>
      <c r="AX187" s="117">
        <f>VLOOKUP($D187,'WB Data'!$C$3:$M$578,3,FALSE)</f>
        <v>20103945</v>
      </c>
      <c r="AY187" s="847">
        <f t="shared" si="29"/>
        <v>0.14974516904496796</v>
      </c>
      <c r="AZ187" s="117" t="e">
        <f>VLOOKUP($D187,'WB Data'!$C$3:$M$578,4,FALSE)/100</f>
        <v>#VALUE!</v>
      </c>
      <c r="BA187" s="117" t="str">
        <f t="shared" si="30"/>
        <v>..</v>
      </c>
      <c r="BB187" s="129">
        <f>IFERROR(VLOOKUP($D187,'EITI Revenues'!$C$2:$G$224,5,FALSE),"..")</f>
        <v>3501213151.7658243</v>
      </c>
      <c r="BC187" s="846" t="str">
        <f t="shared" si="31"/>
        <v>..</v>
      </c>
      <c r="BD187" s="129">
        <f>VLOOKUP($D187,'WB Data 2'!$C$2:$K$545,6,FALSE)</f>
        <v>226296094.45937017</v>
      </c>
      <c r="BE187" s="129" t="str">
        <f>IFERROR(VLOOKUP($D187,UNCTAD!$C$5:$V$529,4,FALSE),"..")</f>
        <v>..</v>
      </c>
      <c r="BF187" s="846" t="str">
        <f t="shared" si="32"/>
        <v>..</v>
      </c>
      <c r="BG187" s="117">
        <f>VLOOKUP($D187,'WB Data'!$C$3:$M$578,5,FALSE)</f>
        <v>648340000</v>
      </c>
      <c r="BH187" s="129">
        <f>IFERROR($BB187/$BG187,"..")</f>
        <v>5.4002732389885315</v>
      </c>
      <c r="BI187" s="117">
        <f>IFERROR(VLOOKUP($D187,'WB Data'!$C$3:$M$578,7,FALSE)/100,"..")</f>
        <v>3.6499299999999998E-2</v>
      </c>
      <c r="BJ187" s="117">
        <f>IFERROR($BI187*$AW187,"..")</f>
        <v>853395338.2621038</v>
      </c>
      <c r="BK187" s="846">
        <f>IFERROR($BB187/$BJ187,"..")</f>
        <v>4.102686052745339</v>
      </c>
      <c r="BL187" s="117">
        <f>IFERROR(VLOOKUP($D187,'WB Data'!$C$3:$M$578,7,FALSE)/100,"..")</f>
        <v>3.6499299999999998E-2</v>
      </c>
      <c r="BM187" s="117">
        <f>IFERROR($AW187*$BL187,"..")</f>
        <v>853395338.2621038</v>
      </c>
      <c r="BN187" s="846">
        <f>IFERROR($BB187/$BM187,"..")</f>
        <v>4.102686052745339</v>
      </c>
      <c r="BO187" s="801">
        <f t="shared" si="28"/>
        <v>27</v>
      </c>
      <c r="BP187" s="117" t="str">
        <f>VLOOKUP($D187,'WB Data'!$C$3:$M$578,9,FALSE)</f>
        <v>..</v>
      </c>
      <c r="BQ187" s="117">
        <f>VLOOKUP($D187,'WB Data'!$C$3:$M$578,10,FALSE)</f>
        <v>53.264853658536587</v>
      </c>
      <c r="BR187" s="117">
        <f>VLOOKUP($D187,'WB Data'!$C$3:$M$578,11,FALSE)</f>
        <v>68.7</v>
      </c>
      <c r="BS187" s="129">
        <f>IFERROR(VLOOKUP($D187,'WB Data 2'!$C$2:$K$545,9,FALSE),"..")</f>
        <v>84.947630000000004</v>
      </c>
      <c r="BT187" s="129">
        <f>_xlfn.IFNA(VLOOKUP($C187,RGI!$A$2:$C$43,2,FALSE),"..")</f>
        <v>41.8</v>
      </c>
      <c r="BU187" s="129">
        <f>_xlfn.IFNA(VLOOKUP($C187,RGI!$A$2:$C$43,3,FALSE),"..")</f>
        <v>34.155297028034767</v>
      </c>
      <c r="BV187" s="129">
        <f>VLOOKUP($D187,WGI!$C$2:$O$478,7,FALSE)</f>
        <v>-1.0619175557573799</v>
      </c>
      <c r="BW187" s="129">
        <f>VLOOKUP($D187,WGI!$C$2:$O$478,4,FALSE)</f>
        <v>-0.48204843823879501</v>
      </c>
      <c r="BX187" s="129">
        <f>VLOOKUP($D187,WGI!$C$2:$O$478,3,FALSE)</f>
        <v>-0.81857389962537597</v>
      </c>
      <c r="BY187" s="129">
        <f>VLOOKUP($D187,WGI!$C$2:$O$478,5,FALSE)</f>
        <v>-0.73985067148075101</v>
      </c>
      <c r="BZ187" s="129">
        <f>VLOOKUP($D187,WGI!$C$2:$O$478,2,FALSE)</f>
        <v>-0.92234563308804896</v>
      </c>
      <c r="CB187" s="129"/>
    </row>
    <row r="188" spans="1:80" s="120" customFormat="1" ht="15" customHeight="1">
      <c r="A188" s="280" t="s">
        <v>116</v>
      </c>
      <c r="B188" s="117">
        <v>2009</v>
      </c>
      <c r="C188" s="117" t="s">
        <v>101</v>
      </c>
      <c r="D188" s="117" t="s">
        <v>3626</v>
      </c>
      <c r="E188" s="117" t="s">
        <v>86</v>
      </c>
      <c r="F188" s="117"/>
      <c r="G188" s="117" t="s">
        <v>24</v>
      </c>
      <c r="H188" s="117" t="str">
        <f t="shared" si="33"/>
        <v>yes</v>
      </c>
      <c r="I188" s="117" t="str">
        <f t="shared" si="34"/>
        <v>no</v>
      </c>
      <c r="J188" s="117" t="str">
        <f t="shared" si="35"/>
        <v>no</v>
      </c>
      <c r="K188" s="176" t="s">
        <v>728</v>
      </c>
      <c r="L188" s="117" t="str">
        <f t="shared" si="27"/>
        <v>detailed</v>
      </c>
      <c r="M188" s="117" t="str">
        <f t="shared" si="36"/>
        <v>detailed Mining</v>
      </c>
      <c r="N188" s="179">
        <v>10000</v>
      </c>
      <c r="O188" s="179"/>
      <c r="P188" s="179">
        <v>9091</v>
      </c>
      <c r="Q188" s="179"/>
      <c r="R188" s="179"/>
      <c r="S188" s="117" t="s">
        <v>610</v>
      </c>
      <c r="T188" s="119">
        <f>13*0.1417</f>
        <v>1.8420999999999998</v>
      </c>
      <c r="U188" s="117" t="s">
        <v>611</v>
      </c>
      <c r="V188" s="117" t="s">
        <v>929</v>
      </c>
      <c r="W188" s="89">
        <f>P188*T188</f>
        <v>16746.5311</v>
      </c>
      <c r="X188" s="117"/>
      <c r="Y188" s="117"/>
      <c r="Z188" s="117"/>
      <c r="AA188" s="179"/>
      <c r="AB188" s="179"/>
      <c r="AC188" s="212"/>
      <c r="AD188" s="212"/>
      <c r="AE188" s="212"/>
      <c r="AF188" s="213"/>
      <c r="AG188" s="117"/>
      <c r="AH188" s="124"/>
      <c r="AI188" s="117"/>
      <c r="AJ188" s="117"/>
      <c r="AK188" s="89"/>
      <c r="AL188" s="117"/>
      <c r="AM188" s="117"/>
      <c r="AN188" s="214"/>
      <c r="AO188" s="117"/>
      <c r="AP188" s="117"/>
      <c r="AQ188" s="232"/>
      <c r="AR188" s="126"/>
      <c r="AS188" s="117"/>
      <c r="AT188" s="127"/>
      <c r="AU188" s="215"/>
      <c r="AV188" s="128"/>
      <c r="AW188" s="117">
        <f>VLOOKUP($D188,'WB Data'!$C$3:$M$578,2,FALSE)</f>
        <v>23381142604.436356</v>
      </c>
      <c r="AX188" s="117">
        <f>VLOOKUP($D188,'WB Data'!$C$3:$M$578,3,FALSE)</f>
        <v>20103945</v>
      </c>
      <c r="AY188" s="847">
        <f t="shared" si="29"/>
        <v>0.14974516904496796</v>
      </c>
      <c r="AZ188" s="117" t="e">
        <f>VLOOKUP($D188,'WB Data'!$C$3:$M$578,4,FALSE)/100</f>
        <v>#VALUE!</v>
      </c>
      <c r="BA188" s="117" t="str">
        <f t="shared" si="30"/>
        <v>..</v>
      </c>
      <c r="BB188" s="129">
        <f>IFERROR(VLOOKUP($D188,'EITI Revenues'!$C$2:$G$224,5,FALSE),"..")</f>
        <v>3501213151.7658243</v>
      </c>
      <c r="BC188" s="846" t="str">
        <f t="shared" si="31"/>
        <v>..</v>
      </c>
      <c r="BD188" s="129">
        <f>VLOOKUP($D188,'WB Data 2'!$C$2:$K$545,6,FALSE)</f>
        <v>226296094.45937017</v>
      </c>
      <c r="BE188" s="129" t="str">
        <f>IFERROR(VLOOKUP($D188,UNCTAD!$C$5:$V$529,4,FALSE),"..")</f>
        <v>..</v>
      </c>
      <c r="BF188" s="846" t="str">
        <f t="shared" si="32"/>
        <v>..</v>
      </c>
      <c r="BG188" s="117">
        <f>VLOOKUP($D188,'WB Data'!$C$3:$M$578,5,FALSE)</f>
        <v>648340000</v>
      </c>
      <c r="BH188" s="129">
        <f>IFERROR($BB188/$BG188,"..")</f>
        <v>5.4002732389885315</v>
      </c>
      <c r="BI188" s="117">
        <f>IFERROR(VLOOKUP($D188,'WB Data'!$C$3:$M$578,7,FALSE)/100,"..")</f>
        <v>3.6499299999999998E-2</v>
      </c>
      <c r="BJ188" s="117">
        <f>IFERROR($BI188*$AW188,"..")</f>
        <v>853395338.2621038</v>
      </c>
      <c r="BK188" s="846">
        <f>IFERROR($BB188/$BJ188,"..")</f>
        <v>4.102686052745339</v>
      </c>
      <c r="BL188" s="117">
        <f>IFERROR(VLOOKUP($D188,'WB Data'!$C$3:$M$578,7,FALSE)/100,"..")</f>
        <v>3.6499299999999998E-2</v>
      </c>
      <c r="BM188" s="117">
        <f>IFERROR($AW188*$BL188,"..")</f>
        <v>853395338.2621038</v>
      </c>
      <c r="BN188" s="846">
        <f>IFERROR($BB188/$BM188,"..")</f>
        <v>4.102686052745339</v>
      </c>
      <c r="BO188" s="801">
        <f t="shared" si="28"/>
        <v>27</v>
      </c>
      <c r="BP188" s="117" t="str">
        <f>VLOOKUP($D188,'WB Data'!$C$3:$M$578,9,FALSE)</f>
        <v>..</v>
      </c>
      <c r="BQ188" s="117">
        <f>VLOOKUP($D188,'WB Data'!$C$3:$M$578,10,FALSE)</f>
        <v>53.264853658536587</v>
      </c>
      <c r="BR188" s="117">
        <f>VLOOKUP($D188,'WB Data'!$C$3:$M$578,11,FALSE)</f>
        <v>68.7</v>
      </c>
      <c r="BS188" s="129">
        <f>IFERROR(VLOOKUP($D188,'WB Data 2'!$C$2:$K$545,9,FALSE),"..")</f>
        <v>84.947630000000004</v>
      </c>
      <c r="BT188" s="129">
        <f>_xlfn.IFNA(VLOOKUP($C188,RGI!$A$2:$C$43,2,FALSE),"..")</f>
        <v>41.8</v>
      </c>
      <c r="BU188" s="129">
        <f>_xlfn.IFNA(VLOOKUP($C188,RGI!$A$2:$C$43,3,FALSE),"..")</f>
        <v>34.155297028034767</v>
      </c>
      <c r="BV188" s="129">
        <f>VLOOKUP($D188,WGI!$C$2:$O$478,7,FALSE)</f>
        <v>-1.0619175557573799</v>
      </c>
      <c r="BW188" s="129">
        <f>VLOOKUP($D188,WGI!$C$2:$O$478,4,FALSE)</f>
        <v>-0.48204843823879501</v>
      </c>
      <c r="BX188" s="129">
        <f>VLOOKUP($D188,WGI!$C$2:$O$478,3,FALSE)</f>
        <v>-0.81857389962537597</v>
      </c>
      <c r="BY188" s="129">
        <f>VLOOKUP($D188,WGI!$C$2:$O$478,5,FALSE)</f>
        <v>-0.73985067148075101</v>
      </c>
      <c r="BZ188" s="129">
        <f>VLOOKUP($D188,WGI!$C$2:$O$478,2,FALSE)</f>
        <v>-0.92234563308804896</v>
      </c>
      <c r="CB188" s="129"/>
    </row>
    <row r="189" spans="1:80" s="120" customFormat="1" ht="15" customHeight="1">
      <c r="A189" s="280" t="s">
        <v>116</v>
      </c>
      <c r="B189" s="117">
        <v>2009</v>
      </c>
      <c r="C189" s="117" t="s">
        <v>101</v>
      </c>
      <c r="D189" s="117" t="s">
        <v>3626</v>
      </c>
      <c r="E189" s="117" t="s">
        <v>86</v>
      </c>
      <c r="F189" s="117"/>
      <c r="G189" s="117" t="s">
        <v>24</v>
      </c>
      <c r="H189" s="117" t="str">
        <f t="shared" si="33"/>
        <v>yes</v>
      </c>
      <c r="I189" s="117" t="str">
        <f t="shared" si="34"/>
        <v>no</v>
      </c>
      <c r="J189" s="117" t="str">
        <f t="shared" si="35"/>
        <v>no</v>
      </c>
      <c r="K189" s="176" t="s">
        <v>784</v>
      </c>
      <c r="L189" s="117" t="str">
        <f t="shared" si="27"/>
        <v>detailed</v>
      </c>
      <c r="M189" s="117" t="str">
        <f t="shared" si="36"/>
        <v>detailed Mining</v>
      </c>
      <c r="N189" s="179">
        <f>1800*32.150743126506</f>
        <v>57871.337627710804</v>
      </c>
      <c r="O189" s="179"/>
      <c r="P189" s="179">
        <v>2023</v>
      </c>
      <c r="Q189" s="179"/>
      <c r="R189" s="179"/>
      <c r="S189" s="117" t="s">
        <v>785</v>
      </c>
      <c r="T189" s="119">
        <v>972.96591666666995</v>
      </c>
      <c r="U189" s="117" t="s">
        <v>786</v>
      </c>
      <c r="V189" s="233" t="s">
        <v>841</v>
      </c>
      <c r="W189" s="89">
        <f>P189*T189</f>
        <v>1968310.0494166734</v>
      </c>
      <c r="X189" s="117"/>
      <c r="Y189" s="117"/>
      <c r="Z189" s="117"/>
      <c r="AA189" s="179"/>
      <c r="AB189" s="179"/>
      <c r="AC189" s="212"/>
      <c r="AD189" s="212"/>
      <c r="AE189" s="212"/>
      <c r="AF189" s="213"/>
      <c r="AG189" s="117"/>
      <c r="AH189" s="124"/>
      <c r="AI189" s="117"/>
      <c r="AJ189" s="117"/>
      <c r="AK189" s="89"/>
      <c r="AL189" s="117"/>
      <c r="AM189" s="117"/>
      <c r="AN189" s="214"/>
      <c r="AO189" s="117"/>
      <c r="AP189" s="117"/>
      <c r="AQ189" s="232"/>
      <c r="AR189" s="126"/>
      <c r="AS189" s="117"/>
      <c r="AT189" s="127"/>
      <c r="AU189" s="215"/>
      <c r="AV189" s="128" t="s">
        <v>930</v>
      </c>
      <c r="AW189" s="117">
        <f>VLOOKUP($D189,'WB Data'!$C$3:$M$578,2,FALSE)</f>
        <v>23381142604.436356</v>
      </c>
      <c r="AX189" s="117">
        <f>VLOOKUP($D189,'WB Data'!$C$3:$M$578,3,FALSE)</f>
        <v>20103945</v>
      </c>
      <c r="AY189" s="847">
        <f t="shared" si="29"/>
        <v>0.14974516904496796</v>
      </c>
      <c r="AZ189" s="117" t="e">
        <f>VLOOKUP($D189,'WB Data'!$C$3:$M$578,4,FALSE)/100</f>
        <v>#VALUE!</v>
      </c>
      <c r="BA189" s="117" t="str">
        <f t="shared" si="30"/>
        <v>..</v>
      </c>
      <c r="BB189" s="129">
        <f>IFERROR(VLOOKUP($D189,'EITI Revenues'!$C$2:$G$224,5,FALSE),"..")</f>
        <v>3501213151.7658243</v>
      </c>
      <c r="BC189" s="846" t="str">
        <f t="shared" si="31"/>
        <v>..</v>
      </c>
      <c r="BD189" s="129">
        <f>VLOOKUP($D189,'WB Data 2'!$C$2:$K$545,6,FALSE)</f>
        <v>226296094.45937017</v>
      </c>
      <c r="BE189" s="129" t="str">
        <f>IFERROR(VLOOKUP($D189,UNCTAD!$C$5:$V$529,4,FALSE),"..")</f>
        <v>..</v>
      </c>
      <c r="BF189" s="846" t="str">
        <f t="shared" si="32"/>
        <v>..</v>
      </c>
      <c r="BG189" s="117">
        <f>VLOOKUP($D189,'WB Data'!$C$3:$M$578,5,FALSE)</f>
        <v>648340000</v>
      </c>
      <c r="BH189" s="129">
        <f>IFERROR($BB189/$BG189,"..")</f>
        <v>5.4002732389885315</v>
      </c>
      <c r="BI189" s="117">
        <f>IFERROR(VLOOKUP($D189,'WB Data'!$C$3:$M$578,7,FALSE)/100,"..")</f>
        <v>3.6499299999999998E-2</v>
      </c>
      <c r="BJ189" s="117">
        <f>IFERROR($BI189*$AW189,"..")</f>
        <v>853395338.2621038</v>
      </c>
      <c r="BK189" s="846">
        <f>IFERROR($BB189/$BJ189,"..")</f>
        <v>4.102686052745339</v>
      </c>
      <c r="BL189" s="117">
        <f>IFERROR(VLOOKUP($D189,'WB Data'!$C$3:$M$578,7,FALSE)/100,"..")</f>
        <v>3.6499299999999998E-2</v>
      </c>
      <c r="BM189" s="117">
        <f>IFERROR($AW189*$BL189,"..")</f>
        <v>853395338.2621038</v>
      </c>
      <c r="BN189" s="846">
        <f>IFERROR($BB189/$BM189,"..")</f>
        <v>4.102686052745339</v>
      </c>
      <c r="BO189" s="801">
        <f t="shared" si="28"/>
        <v>27</v>
      </c>
      <c r="BP189" s="117" t="str">
        <f>VLOOKUP($D189,'WB Data'!$C$3:$M$578,9,FALSE)</f>
        <v>..</v>
      </c>
      <c r="BQ189" s="117">
        <f>VLOOKUP($D189,'WB Data'!$C$3:$M$578,10,FALSE)</f>
        <v>53.264853658536587</v>
      </c>
      <c r="BR189" s="117">
        <f>VLOOKUP($D189,'WB Data'!$C$3:$M$578,11,FALSE)</f>
        <v>68.7</v>
      </c>
      <c r="BS189" s="129">
        <f>IFERROR(VLOOKUP($D189,'WB Data 2'!$C$2:$K$545,9,FALSE),"..")</f>
        <v>84.947630000000004</v>
      </c>
      <c r="BT189" s="129">
        <f>_xlfn.IFNA(VLOOKUP($C189,RGI!$A$2:$C$43,2,FALSE),"..")</f>
        <v>41.8</v>
      </c>
      <c r="BU189" s="129">
        <f>_xlfn.IFNA(VLOOKUP($C189,RGI!$A$2:$C$43,3,FALSE),"..")</f>
        <v>34.155297028034767</v>
      </c>
      <c r="BV189" s="129">
        <f>VLOOKUP($D189,WGI!$C$2:$O$478,7,FALSE)</f>
        <v>-1.0619175557573799</v>
      </c>
      <c r="BW189" s="129">
        <f>VLOOKUP($D189,WGI!$C$2:$O$478,4,FALSE)</f>
        <v>-0.48204843823879501</v>
      </c>
      <c r="BX189" s="129">
        <f>VLOOKUP($D189,WGI!$C$2:$O$478,3,FALSE)</f>
        <v>-0.81857389962537597</v>
      </c>
      <c r="BY189" s="129">
        <f>VLOOKUP($D189,WGI!$C$2:$O$478,5,FALSE)</f>
        <v>-0.73985067148075101</v>
      </c>
      <c r="BZ189" s="129">
        <f>VLOOKUP($D189,WGI!$C$2:$O$478,2,FALSE)</f>
        <v>-0.92234563308804896</v>
      </c>
      <c r="CB189" s="129"/>
    </row>
    <row r="190" spans="1:80" s="120" customFormat="1" ht="15" customHeight="1">
      <c r="A190" s="280" t="s">
        <v>116</v>
      </c>
      <c r="B190" s="117">
        <v>2009</v>
      </c>
      <c r="C190" s="117" t="s">
        <v>101</v>
      </c>
      <c r="D190" s="117" t="s">
        <v>3626</v>
      </c>
      <c r="E190" s="117" t="s">
        <v>86</v>
      </c>
      <c r="F190" s="117"/>
      <c r="G190" s="117" t="s">
        <v>24</v>
      </c>
      <c r="H190" s="117" t="str">
        <f t="shared" si="33"/>
        <v>yes</v>
      </c>
      <c r="I190" s="117" t="str">
        <f t="shared" si="34"/>
        <v>no</v>
      </c>
      <c r="J190" s="117" t="str">
        <f t="shared" si="35"/>
        <v>no</v>
      </c>
      <c r="K190" s="176" t="s">
        <v>703</v>
      </c>
      <c r="L190" s="117" t="str">
        <f t="shared" si="27"/>
        <v>detailed</v>
      </c>
      <c r="M190" s="117" t="str">
        <f t="shared" si="36"/>
        <v>detailed Mining</v>
      </c>
      <c r="N190" s="179">
        <v>100000</v>
      </c>
      <c r="O190" s="179"/>
      <c r="P190" s="179">
        <v>186178</v>
      </c>
      <c r="Q190" s="179"/>
      <c r="R190" s="179"/>
      <c r="S190" s="117" t="s">
        <v>610</v>
      </c>
      <c r="T190" s="119">
        <f>8.94*1.8433</f>
        <v>16.479101999999997</v>
      </c>
      <c r="U190" s="117" t="s">
        <v>611</v>
      </c>
      <c r="V190" s="117" t="s">
        <v>931</v>
      </c>
      <c r="W190" s="89">
        <f>P190*T190</f>
        <v>3068046.2521559997</v>
      </c>
      <c r="X190" s="117"/>
      <c r="Y190" s="117"/>
      <c r="Z190" s="117"/>
      <c r="AA190" s="179"/>
      <c r="AB190" s="179"/>
      <c r="AC190" s="212"/>
      <c r="AD190" s="212"/>
      <c r="AE190" s="212"/>
      <c r="AF190" s="213"/>
      <c r="AG190" s="117"/>
      <c r="AH190" s="124"/>
      <c r="AI190" s="117"/>
      <c r="AJ190" s="117"/>
      <c r="AK190" s="89"/>
      <c r="AL190" s="117"/>
      <c r="AM190" s="117"/>
      <c r="AN190" s="214"/>
      <c r="AO190" s="117"/>
      <c r="AP190" s="117"/>
      <c r="AQ190" s="232"/>
      <c r="AR190" s="126"/>
      <c r="AS190" s="117"/>
      <c r="AT190" s="127"/>
      <c r="AU190" s="215"/>
      <c r="AV190" s="128"/>
      <c r="AW190" s="117">
        <f>VLOOKUP($D190,'WB Data'!$C$3:$M$578,2,FALSE)</f>
        <v>23381142604.436356</v>
      </c>
      <c r="AX190" s="117">
        <f>VLOOKUP($D190,'WB Data'!$C$3:$M$578,3,FALSE)</f>
        <v>20103945</v>
      </c>
      <c r="AY190" s="847">
        <f t="shared" si="29"/>
        <v>0.14974516904496796</v>
      </c>
      <c r="AZ190" s="117" t="e">
        <f>VLOOKUP($D190,'WB Data'!$C$3:$M$578,4,FALSE)/100</f>
        <v>#VALUE!</v>
      </c>
      <c r="BA190" s="117" t="str">
        <f t="shared" si="30"/>
        <v>..</v>
      </c>
      <c r="BB190" s="129">
        <f>IFERROR(VLOOKUP($D190,'EITI Revenues'!$C$2:$G$224,5,FALSE),"..")</f>
        <v>3501213151.7658243</v>
      </c>
      <c r="BC190" s="846" t="str">
        <f t="shared" si="31"/>
        <v>..</v>
      </c>
      <c r="BD190" s="129">
        <f>VLOOKUP($D190,'WB Data 2'!$C$2:$K$545,6,FALSE)</f>
        <v>226296094.45937017</v>
      </c>
      <c r="BE190" s="129" t="str">
        <f>IFERROR(VLOOKUP($D190,UNCTAD!$C$5:$V$529,4,FALSE),"..")</f>
        <v>..</v>
      </c>
      <c r="BF190" s="846" t="str">
        <f t="shared" si="32"/>
        <v>..</v>
      </c>
      <c r="BG190" s="117">
        <f>VLOOKUP($D190,'WB Data'!$C$3:$M$578,5,FALSE)</f>
        <v>648340000</v>
      </c>
      <c r="BH190" s="129">
        <f>IFERROR($BB190/$BG190,"..")</f>
        <v>5.4002732389885315</v>
      </c>
      <c r="BI190" s="117">
        <f>IFERROR(VLOOKUP($D190,'WB Data'!$C$3:$M$578,7,FALSE)/100,"..")</f>
        <v>3.6499299999999998E-2</v>
      </c>
      <c r="BJ190" s="117">
        <f>IFERROR($BI190*$AW190,"..")</f>
        <v>853395338.2621038</v>
      </c>
      <c r="BK190" s="846">
        <f>IFERROR($BB190/$BJ190,"..")</f>
        <v>4.102686052745339</v>
      </c>
      <c r="BL190" s="117">
        <f>IFERROR(VLOOKUP($D190,'WB Data'!$C$3:$M$578,7,FALSE)/100,"..")</f>
        <v>3.6499299999999998E-2</v>
      </c>
      <c r="BM190" s="117">
        <f>IFERROR($AW190*$BL190,"..")</f>
        <v>853395338.2621038</v>
      </c>
      <c r="BN190" s="846">
        <f>IFERROR($BB190/$BM190,"..")</f>
        <v>4.102686052745339</v>
      </c>
      <c r="BO190" s="801">
        <f t="shared" si="28"/>
        <v>27</v>
      </c>
      <c r="BP190" s="117" t="str">
        <f>VLOOKUP($D190,'WB Data'!$C$3:$M$578,9,FALSE)</f>
        <v>..</v>
      </c>
      <c r="BQ190" s="117">
        <f>VLOOKUP($D190,'WB Data'!$C$3:$M$578,10,FALSE)</f>
        <v>53.264853658536587</v>
      </c>
      <c r="BR190" s="117">
        <f>VLOOKUP($D190,'WB Data'!$C$3:$M$578,11,FALSE)</f>
        <v>68.7</v>
      </c>
      <c r="BS190" s="129">
        <f>IFERROR(VLOOKUP($D190,'WB Data 2'!$C$2:$K$545,9,FALSE),"..")</f>
        <v>84.947630000000004</v>
      </c>
      <c r="BT190" s="129">
        <f>_xlfn.IFNA(VLOOKUP($C190,RGI!$A$2:$C$43,2,FALSE),"..")</f>
        <v>41.8</v>
      </c>
      <c r="BU190" s="129">
        <f>_xlfn.IFNA(VLOOKUP($C190,RGI!$A$2:$C$43,3,FALSE),"..")</f>
        <v>34.155297028034767</v>
      </c>
      <c r="BV190" s="129">
        <f>VLOOKUP($D190,WGI!$C$2:$O$478,7,FALSE)</f>
        <v>-1.0619175557573799</v>
      </c>
      <c r="BW190" s="129">
        <f>VLOOKUP($D190,WGI!$C$2:$O$478,4,FALSE)</f>
        <v>-0.48204843823879501</v>
      </c>
      <c r="BX190" s="129">
        <f>VLOOKUP($D190,WGI!$C$2:$O$478,3,FALSE)</f>
        <v>-0.81857389962537597</v>
      </c>
      <c r="BY190" s="129">
        <f>VLOOKUP($D190,WGI!$C$2:$O$478,5,FALSE)</f>
        <v>-0.73985067148075101</v>
      </c>
      <c r="BZ190" s="129">
        <f>VLOOKUP($D190,WGI!$C$2:$O$478,2,FALSE)</f>
        <v>-0.92234563308804896</v>
      </c>
      <c r="CB190" s="129"/>
    </row>
    <row r="191" spans="1:80" s="120" customFormat="1" ht="15" customHeight="1">
      <c r="A191" s="280" t="s">
        <v>116</v>
      </c>
      <c r="B191" s="117">
        <v>2009</v>
      </c>
      <c r="C191" s="117" t="s">
        <v>101</v>
      </c>
      <c r="D191" s="117" t="s">
        <v>3626</v>
      </c>
      <c r="E191" s="117" t="s">
        <v>86</v>
      </c>
      <c r="F191" s="117"/>
      <c r="G191" s="117" t="s">
        <v>24</v>
      </c>
      <c r="H191" s="117" t="str">
        <f t="shared" si="33"/>
        <v>yes</v>
      </c>
      <c r="I191" s="117" t="str">
        <f t="shared" si="34"/>
        <v>no</v>
      </c>
      <c r="J191" s="117" t="str">
        <f t="shared" si="35"/>
        <v>no</v>
      </c>
      <c r="K191" s="176" t="s">
        <v>905</v>
      </c>
      <c r="L191" s="117" t="str">
        <f t="shared" si="27"/>
        <v>detailed</v>
      </c>
      <c r="M191" s="117" t="str">
        <f t="shared" si="36"/>
        <v>detailed Mining</v>
      </c>
      <c r="N191" s="179">
        <v>550000</v>
      </c>
      <c r="O191" s="179"/>
      <c r="P191" s="179">
        <v>379369</v>
      </c>
      <c r="Q191" s="179"/>
      <c r="R191" s="179"/>
      <c r="S191" s="117" t="s">
        <v>610</v>
      </c>
      <c r="T191" s="119">
        <v>14.76</v>
      </c>
      <c r="U191" s="117" t="s">
        <v>611</v>
      </c>
      <c r="V191" s="117" t="s">
        <v>916</v>
      </c>
      <c r="W191" s="89">
        <f>P191*T191</f>
        <v>5599486.4399999995</v>
      </c>
      <c r="X191" s="117"/>
      <c r="Y191" s="117"/>
      <c r="Z191" s="117"/>
      <c r="AA191" s="179"/>
      <c r="AB191" s="179"/>
      <c r="AC191" s="212"/>
      <c r="AD191" s="212"/>
      <c r="AE191" s="212"/>
      <c r="AF191" s="213"/>
      <c r="AG191" s="117"/>
      <c r="AH191" s="124"/>
      <c r="AI191" s="117"/>
      <c r="AJ191" s="117"/>
      <c r="AK191" s="89"/>
      <c r="AL191" s="117"/>
      <c r="AM191" s="117"/>
      <c r="AN191" s="214"/>
      <c r="AO191" s="117"/>
      <c r="AP191" s="117"/>
      <c r="AQ191" s="232"/>
      <c r="AR191" s="126"/>
      <c r="AS191" s="117"/>
      <c r="AT191" s="127"/>
      <c r="AU191" s="215"/>
      <c r="AV191" s="128"/>
      <c r="AW191" s="117">
        <f>VLOOKUP($D191,'WB Data'!$C$3:$M$578,2,FALSE)</f>
        <v>23381142604.436356</v>
      </c>
      <c r="AX191" s="117">
        <f>VLOOKUP($D191,'WB Data'!$C$3:$M$578,3,FALSE)</f>
        <v>20103945</v>
      </c>
      <c r="AY191" s="847">
        <f t="shared" si="29"/>
        <v>0.14974516904496796</v>
      </c>
      <c r="AZ191" s="117" t="e">
        <f>VLOOKUP($D191,'WB Data'!$C$3:$M$578,4,FALSE)/100</f>
        <v>#VALUE!</v>
      </c>
      <c r="BA191" s="117" t="str">
        <f t="shared" si="30"/>
        <v>..</v>
      </c>
      <c r="BB191" s="129">
        <f>IFERROR(VLOOKUP($D191,'EITI Revenues'!$C$2:$G$224,5,FALSE),"..")</f>
        <v>3501213151.7658243</v>
      </c>
      <c r="BC191" s="846" t="str">
        <f t="shared" si="31"/>
        <v>..</v>
      </c>
      <c r="BD191" s="129">
        <f>VLOOKUP($D191,'WB Data 2'!$C$2:$K$545,6,FALSE)</f>
        <v>226296094.45937017</v>
      </c>
      <c r="BE191" s="129" t="str">
        <f>IFERROR(VLOOKUP($D191,UNCTAD!$C$5:$V$529,4,FALSE),"..")</f>
        <v>..</v>
      </c>
      <c r="BF191" s="846" t="str">
        <f t="shared" si="32"/>
        <v>..</v>
      </c>
      <c r="BG191" s="117">
        <f>VLOOKUP($D191,'WB Data'!$C$3:$M$578,5,FALSE)</f>
        <v>648340000</v>
      </c>
      <c r="BH191" s="129">
        <f>IFERROR($BB191/$BG191,"..")</f>
        <v>5.4002732389885315</v>
      </c>
      <c r="BI191" s="117">
        <f>IFERROR(VLOOKUP($D191,'WB Data'!$C$3:$M$578,7,FALSE)/100,"..")</f>
        <v>3.6499299999999998E-2</v>
      </c>
      <c r="BJ191" s="117">
        <f>IFERROR($BI191*$AW191,"..")</f>
        <v>853395338.2621038</v>
      </c>
      <c r="BK191" s="846">
        <f>IFERROR($BB191/$BJ191,"..")</f>
        <v>4.102686052745339</v>
      </c>
      <c r="BL191" s="117">
        <f>IFERROR(VLOOKUP($D191,'WB Data'!$C$3:$M$578,7,FALSE)/100,"..")</f>
        <v>3.6499299999999998E-2</v>
      </c>
      <c r="BM191" s="117">
        <f>IFERROR($AW191*$BL191,"..")</f>
        <v>853395338.2621038</v>
      </c>
      <c r="BN191" s="846">
        <f>IFERROR($BB191/$BM191,"..")</f>
        <v>4.102686052745339</v>
      </c>
      <c r="BO191" s="801">
        <f t="shared" si="28"/>
        <v>27</v>
      </c>
      <c r="BP191" s="117" t="str">
        <f>VLOOKUP($D191,'WB Data'!$C$3:$M$578,9,FALSE)</f>
        <v>..</v>
      </c>
      <c r="BQ191" s="117">
        <f>VLOOKUP($D191,'WB Data'!$C$3:$M$578,10,FALSE)</f>
        <v>53.264853658536587</v>
      </c>
      <c r="BR191" s="117">
        <f>VLOOKUP($D191,'WB Data'!$C$3:$M$578,11,FALSE)</f>
        <v>68.7</v>
      </c>
      <c r="BS191" s="129">
        <f>IFERROR(VLOOKUP($D191,'WB Data 2'!$C$2:$K$545,9,FALSE),"..")</f>
        <v>84.947630000000004</v>
      </c>
      <c r="BT191" s="129">
        <f>_xlfn.IFNA(VLOOKUP($C191,RGI!$A$2:$C$43,2,FALSE),"..")</f>
        <v>41.8</v>
      </c>
      <c r="BU191" s="129">
        <f>_xlfn.IFNA(VLOOKUP($C191,RGI!$A$2:$C$43,3,FALSE),"..")</f>
        <v>34.155297028034767</v>
      </c>
      <c r="BV191" s="129">
        <f>VLOOKUP($D191,WGI!$C$2:$O$478,7,FALSE)</f>
        <v>-1.0619175557573799</v>
      </c>
      <c r="BW191" s="129">
        <f>VLOOKUP($D191,WGI!$C$2:$O$478,4,FALSE)</f>
        <v>-0.48204843823879501</v>
      </c>
      <c r="BX191" s="129">
        <f>VLOOKUP($D191,WGI!$C$2:$O$478,3,FALSE)</f>
        <v>-0.81857389962537597</v>
      </c>
      <c r="BY191" s="129">
        <f>VLOOKUP($D191,WGI!$C$2:$O$478,5,FALSE)</f>
        <v>-0.73985067148075101</v>
      </c>
      <c r="BZ191" s="129">
        <f>VLOOKUP($D191,WGI!$C$2:$O$478,2,FALSE)</f>
        <v>-0.92234563308804896</v>
      </c>
      <c r="CB191" s="129"/>
    </row>
    <row r="192" spans="1:80" s="158" customFormat="1" ht="15" customHeight="1">
      <c r="A192" s="282" t="s">
        <v>116</v>
      </c>
      <c r="B192" s="149">
        <v>2009</v>
      </c>
      <c r="C192" s="149" t="s">
        <v>101</v>
      </c>
      <c r="D192" s="117" t="s">
        <v>3626</v>
      </c>
      <c r="E192" s="149" t="s">
        <v>86</v>
      </c>
      <c r="F192" s="149"/>
      <c r="G192" s="149" t="s">
        <v>24</v>
      </c>
      <c r="H192" s="149" t="str">
        <f t="shared" si="33"/>
        <v>yes</v>
      </c>
      <c r="I192" s="149" t="str">
        <f t="shared" si="34"/>
        <v>no</v>
      </c>
      <c r="J192" s="149" t="str">
        <f t="shared" si="35"/>
        <v>no</v>
      </c>
      <c r="K192" s="188" t="s">
        <v>907</v>
      </c>
      <c r="L192" s="149" t="str">
        <f t="shared" si="27"/>
        <v>detailed</v>
      </c>
      <c r="M192" s="149" t="str">
        <f t="shared" si="36"/>
        <v>detailed Mining</v>
      </c>
      <c r="N192" s="216">
        <v>600000</v>
      </c>
      <c r="O192" s="216"/>
      <c r="P192" s="216"/>
      <c r="Q192" s="216"/>
      <c r="R192" s="216"/>
      <c r="S192" s="149" t="s">
        <v>610</v>
      </c>
      <c r="T192" s="151">
        <f>7.51*0.1949</f>
        <v>1.4636989999999999</v>
      </c>
      <c r="U192" s="149" t="s">
        <v>611</v>
      </c>
      <c r="V192" s="149" t="s">
        <v>932</v>
      </c>
      <c r="W192" s="152">
        <f>N192*T192</f>
        <v>878219.39999999991</v>
      </c>
      <c r="X192" s="149"/>
      <c r="Y192" s="149"/>
      <c r="Z192" s="149"/>
      <c r="AA192" s="216"/>
      <c r="AB192" s="216"/>
      <c r="AC192" s="217"/>
      <c r="AD192" s="217"/>
      <c r="AE192" s="217"/>
      <c r="AF192" s="230"/>
      <c r="AG192" s="149"/>
      <c r="AH192" s="156"/>
      <c r="AI192" s="149"/>
      <c r="AJ192" s="149"/>
      <c r="AK192" s="152"/>
      <c r="AL192" s="149"/>
      <c r="AM192" s="149"/>
      <c r="AN192" s="218"/>
      <c r="AO192" s="149"/>
      <c r="AP192" s="149"/>
      <c r="AQ192" s="236"/>
      <c r="AR192" s="220"/>
      <c r="AS192" s="149"/>
      <c r="AT192" s="221"/>
      <c r="AU192" s="222"/>
      <c r="AV192" s="157"/>
      <c r="AW192" s="117">
        <f>VLOOKUP($D192,'WB Data'!$C$3:$M$578,2,FALSE)</f>
        <v>23381142604.436356</v>
      </c>
      <c r="AX192" s="117">
        <f>VLOOKUP($D192,'WB Data'!$C$3:$M$578,3,FALSE)</f>
        <v>20103945</v>
      </c>
      <c r="AY192" s="847">
        <f t="shared" si="29"/>
        <v>0.14974516904496796</v>
      </c>
      <c r="AZ192" s="117" t="e">
        <f>VLOOKUP($D192,'WB Data'!$C$3:$M$578,4,FALSE)/100</f>
        <v>#VALUE!</v>
      </c>
      <c r="BA192" s="117" t="str">
        <f t="shared" si="30"/>
        <v>..</v>
      </c>
      <c r="BB192" s="129">
        <f>IFERROR(VLOOKUP($D192,'EITI Revenues'!$C$2:$G$224,5,FALSE),"..")</f>
        <v>3501213151.7658243</v>
      </c>
      <c r="BC192" s="846" t="str">
        <f t="shared" si="31"/>
        <v>..</v>
      </c>
      <c r="BD192" s="129">
        <f>VLOOKUP($D192,'WB Data 2'!$C$2:$K$545,6,FALSE)</f>
        <v>226296094.45937017</v>
      </c>
      <c r="BE192" s="129" t="str">
        <f>IFERROR(VLOOKUP($D192,UNCTAD!$C$5:$V$529,4,FALSE),"..")</f>
        <v>..</v>
      </c>
      <c r="BF192" s="846" t="str">
        <f t="shared" si="32"/>
        <v>..</v>
      </c>
      <c r="BG192" s="117">
        <f>VLOOKUP($D192,'WB Data'!$C$3:$M$578,5,FALSE)</f>
        <v>648340000</v>
      </c>
      <c r="BH192" s="129">
        <f>IFERROR($BB192/$BG192,"..")</f>
        <v>5.4002732389885315</v>
      </c>
      <c r="BI192" s="117">
        <f>IFERROR(VLOOKUP($D192,'WB Data'!$C$3:$M$578,7,FALSE)/100,"..")</f>
        <v>3.6499299999999998E-2</v>
      </c>
      <c r="BJ192" s="117">
        <f>IFERROR($BI192*$AW192,"..")</f>
        <v>853395338.2621038</v>
      </c>
      <c r="BK192" s="846">
        <f>IFERROR($BB192/$BJ192,"..")</f>
        <v>4.102686052745339</v>
      </c>
      <c r="BL192" s="117">
        <f>IFERROR(VLOOKUP($D192,'WB Data'!$C$3:$M$578,7,FALSE)/100,"..")</f>
        <v>3.6499299999999998E-2</v>
      </c>
      <c r="BM192" s="117">
        <f>IFERROR($AW192*$BL192,"..")</f>
        <v>853395338.2621038</v>
      </c>
      <c r="BN192" s="846">
        <f>IFERROR($BB192/$BM192,"..")</f>
        <v>4.102686052745339</v>
      </c>
      <c r="BO192" s="801">
        <f t="shared" si="28"/>
        <v>27</v>
      </c>
      <c r="BP192" s="117" t="str">
        <f>VLOOKUP($D192,'WB Data'!$C$3:$M$578,9,FALSE)</f>
        <v>..</v>
      </c>
      <c r="BQ192" s="117">
        <f>VLOOKUP($D192,'WB Data'!$C$3:$M$578,10,FALSE)</f>
        <v>53.264853658536587</v>
      </c>
      <c r="BR192" s="117">
        <f>VLOOKUP($D192,'WB Data'!$C$3:$M$578,11,FALSE)</f>
        <v>68.7</v>
      </c>
      <c r="BS192" s="129">
        <f>IFERROR(VLOOKUP($D192,'WB Data 2'!$C$2:$K$545,9,FALSE),"..")</f>
        <v>84.947630000000004</v>
      </c>
      <c r="BT192" s="129">
        <f>_xlfn.IFNA(VLOOKUP($C192,RGI!$A$2:$C$43,2,FALSE),"..")</f>
        <v>41.8</v>
      </c>
      <c r="BU192" s="129">
        <f>_xlfn.IFNA(VLOOKUP($C192,RGI!$A$2:$C$43,3,FALSE),"..")</f>
        <v>34.155297028034767</v>
      </c>
      <c r="BV192" s="129">
        <f>VLOOKUP($D192,WGI!$C$2:$O$478,7,FALSE)</f>
        <v>-1.0619175557573799</v>
      </c>
      <c r="BW192" s="129">
        <f>VLOOKUP($D192,WGI!$C$2:$O$478,4,FALSE)</f>
        <v>-0.48204843823879501</v>
      </c>
      <c r="BX192" s="129">
        <f>VLOOKUP($D192,WGI!$C$2:$O$478,3,FALSE)</f>
        <v>-0.81857389962537597</v>
      </c>
      <c r="BY192" s="129">
        <f>VLOOKUP($D192,WGI!$C$2:$O$478,5,FALSE)</f>
        <v>-0.73985067148075101</v>
      </c>
      <c r="BZ192" s="129">
        <f>VLOOKUP($D192,WGI!$C$2:$O$478,2,FALSE)</f>
        <v>-0.92234563308804896</v>
      </c>
      <c r="CB192" s="129"/>
    </row>
    <row r="193" spans="1:80" ht="15" customHeight="1">
      <c r="A193" s="280" t="s">
        <v>119</v>
      </c>
      <c r="B193" s="117">
        <v>2010</v>
      </c>
      <c r="C193" s="117" t="s">
        <v>101</v>
      </c>
      <c r="D193" s="117" t="s">
        <v>3660</v>
      </c>
      <c r="E193" s="117" t="s">
        <v>86</v>
      </c>
      <c r="F193" s="117" t="s">
        <v>863</v>
      </c>
      <c r="G193" s="117" t="s">
        <v>41</v>
      </c>
      <c r="H193" s="117" t="str">
        <f t="shared" si="33"/>
        <v>yes</v>
      </c>
      <c r="I193" s="117" t="str">
        <f t="shared" si="34"/>
        <v>no</v>
      </c>
      <c r="J193" s="117" t="str">
        <f t="shared" si="35"/>
        <v>yes</v>
      </c>
      <c r="K193" s="176" t="s">
        <v>709</v>
      </c>
      <c r="L193" s="117" t="str">
        <f t="shared" si="27"/>
        <v>Total</v>
      </c>
      <c r="M193" s="117" t="str">
        <f t="shared" si="36"/>
        <v>Total Oil, Mining</v>
      </c>
      <c r="N193" s="179"/>
      <c r="O193" s="179"/>
      <c r="P193" s="179"/>
      <c r="Q193" s="179"/>
      <c r="R193" s="179"/>
      <c r="S193" s="117"/>
      <c r="T193" s="119"/>
      <c r="U193" s="117"/>
      <c r="V193" s="117"/>
      <c r="W193" s="298">
        <f>W194+W195</f>
        <v>1844926523.6494939</v>
      </c>
      <c r="X193" s="117" t="s">
        <v>918</v>
      </c>
      <c r="Y193" s="117" t="s">
        <v>933</v>
      </c>
      <c r="Z193" s="303" t="s">
        <v>732</v>
      </c>
      <c r="AA193" s="304">
        <v>3676246858.7772026</v>
      </c>
      <c r="AB193" s="286">
        <v>1056689895.4541755</v>
      </c>
      <c r="AC193" s="122"/>
      <c r="AD193" s="122"/>
      <c r="AE193" s="122"/>
      <c r="AF193" s="300">
        <f>AA193/W193</f>
        <v>1.9926250783717552</v>
      </c>
      <c r="AG193" s="117" t="s">
        <v>919</v>
      </c>
      <c r="AH193" s="124">
        <v>485.72</v>
      </c>
      <c r="AI193" s="117" t="s">
        <v>722</v>
      </c>
      <c r="AJ193" s="303" t="s">
        <v>934</v>
      </c>
      <c r="AK193" s="298">
        <v>2596901583.7401447</v>
      </c>
      <c r="AL193" s="117"/>
      <c r="AM193" s="117"/>
      <c r="AN193" s="117">
        <v>21</v>
      </c>
      <c r="AO193" s="117" t="s">
        <v>921</v>
      </c>
      <c r="AP193" s="117">
        <v>20</v>
      </c>
      <c r="AQ193" s="117" t="s">
        <v>117</v>
      </c>
      <c r="AR193" s="126">
        <v>41943</v>
      </c>
      <c r="AS193" s="117" t="s">
        <v>838</v>
      </c>
      <c r="AT193" s="117" t="s">
        <v>935</v>
      </c>
      <c r="AU193" s="117" t="s">
        <v>936</v>
      </c>
      <c r="AV193" s="128" t="s">
        <v>937</v>
      </c>
      <c r="AW193" s="117">
        <f>VLOOKUP($D193,'WB Data'!$C$3:$M$578,2,FALSE)</f>
        <v>23622482954.803967</v>
      </c>
      <c r="AX193" s="117">
        <f>VLOOKUP($D193,'WB Data'!$C$3:$M$578,3,FALSE)</f>
        <v>20624343</v>
      </c>
      <c r="AY193" s="847">
        <f t="shared" si="29"/>
        <v>0.15562491317321855</v>
      </c>
      <c r="AZ193" s="117" t="e">
        <f>VLOOKUP($D193,'WB Data'!$C$3:$M$578,4,FALSE)/100</f>
        <v>#VALUE!</v>
      </c>
      <c r="BA193" s="117" t="str">
        <f t="shared" si="30"/>
        <v>..</v>
      </c>
      <c r="BB193" s="129">
        <f>IFERROR(VLOOKUP($D193,'EITI Revenues'!$C$2:$G$224,5,FALSE),"..")</f>
        <v>3676246858.7772026</v>
      </c>
      <c r="BC193" s="846" t="str">
        <f t="shared" si="31"/>
        <v>..</v>
      </c>
      <c r="BD193" s="129">
        <f>VLOOKUP($D193,'WB Data 2'!$C$2:$K$545,6,FALSE)</f>
        <v>2036570434.3154187</v>
      </c>
      <c r="BE193" s="129" t="str">
        <f>IFERROR(VLOOKUP($D193,UNCTAD!$C$5:$V$529,4,FALSE),"..")</f>
        <v>..</v>
      </c>
      <c r="BF193" s="846" t="str">
        <f t="shared" si="32"/>
        <v>..</v>
      </c>
      <c r="BG193" s="117">
        <f>VLOOKUP($D193,'WB Data'!$C$3:$M$578,5,FALSE)</f>
        <v>540500000</v>
      </c>
      <c r="BH193" s="129">
        <f>IFERROR($BB193/$BG193,"..")</f>
        <v>6.8015668062482932</v>
      </c>
      <c r="BI193" s="117">
        <f>IFERROR(VLOOKUP($D193,'WB Data'!$C$3:$M$578,7,FALSE)/100,"..")</f>
        <v>3.4795099999999995E-2</v>
      </c>
      <c r="BJ193" s="117">
        <f>IFERROR($BI193*$AW193,"..")</f>
        <v>821946656.66069937</v>
      </c>
      <c r="BK193" s="846">
        <f>IFERROR($BB193/$BJ193,"..")</f>
        <v>4.472610027653853</v>
      </c>
      <c r="BL193" s="117">
        <f>IFERROR(VLOOKUP($D193,'WB Data'!$C$3:$M$578,7,FALSE)/100,"..")</f>
        <v>3.4795099999999995E-2</v>
      </c>
      <c r="BM193" s="117">
        <f>IFERROR($AW193*$BL193,"..")</f>
        <v>821946656.66069937</v>
      </c>
      <c r="BN193" s="846">
        <f>IFERROR($BB193/$BM193,"..")</f>
        <v>4.472610027653853</v>
      </c>
      <c r="BO193" s="801">
        <f t="shared" si="28"/>
        <v>27</v>
      </c>
      <c r="BP193" s="117" t="str">
        <f>VLOOKUP($D193,'WB Data'!$C$3:$M$578,9,FALSE)</f>
        <v>..</v>
      </c>
      <c r="BQ193" s="117">
        <f>VLOOKUP($D193,'WB Data'!$C$3:$M$578,10,FALSE)</f>
        <v>53.694829268292686</v>
      </c>
      <c r="BR193" s="117">
        <f>VLOOKUP($D193,'WB Data'!$C$3:$M$578,11,FALSE)</f>
        <v>66</v>
      </c>
      <c r="BS193" s="129" t="str">
        <f>IFERROR(VLOOKUP($D193,'WB Data 2'!$C$2:$K$545,9,FALSE),"..")</f>
        <v>..</v>
      </c>
      <c r="BT193" s="129">
        <f>_xlfn.IFNA(VLOOKUP($C193,RGI!$A$2:$C$43,2,FALSE),"..")</f>
        <v>41.8</v>
      </c>
      <c r="BU193" s="129">
        <f>_xlfn.IFNA(VLOOKUP($C193,RGI!$A$2:$C$43,3,FALSE),"..")</f>
        <v>34.155297028034767</v>
      </c>
      <c r="BV193" s="129">
        <f>VLOOKUP($D193,WGI!$C$2:$O$478,7,FALSE)</f>
        <v>-1.07973605973121</v>
      </c>
      <c r="BW193" s="129">
        <f>VLOOKUP($D193,WGI!$C$2:$O$478,4,FALSE)</f>
        <v>-0.72685652050563199</v>
      </c>
      <c r="BX193" s="129">
        <f>VLOOKUP($D193,WGI!$C$2:$O$478,3,FALSE)</f>
        <v>-0.87505469664290703</v>
      </c>
      <c r="BY193" s="129">
        <f>VLOOKUP($D193,WGI!$C$2:$O$478,5,FALSE)</f>
        <v>-0.72577823591609703</v>
      </c>
      <c r="BZ193" s="129">
        <f>VLOOKUP($D193,WGI!$C$2:$O$478,2,FALSE)</f>
        <v>-0.98466655509401002</v>
      </c>
    </row>
    <row r="194" spans="1:80" ht="15" customHeight="1">
      <c r="A194" s="280" t="s">
        <v>119</v>
      </c>
      <c r="B194" s="117">
        <v>2010</v>
      </c>
      <c r="C194" s="117" t="s">
        <v>101</v>
      </c>
      <c r="D194" s="117" t="s">
        <v>3660</v>
      </c>
      <c r="E194" s="117" t="s">
        <v>86</v>
      </c>
      <c r="F194" s="117"/>
      <c r="G194" s="117" t="s">
        <v>103</v>
      </c>
      <c r="H194" s="117" t="str">
        <f t="shared" si="33"/>
        <v>no</v>
      </c>
      <c r="I194" s="117" t="str">
        <f t="shared" si="34"/>
        <v>no</v>
      </c>
      <c r="J194" s="117" t="str">
        <f t="shared" si="35"/>
        <v>yes</v>
      </c>
      <c r="K194" s="176" t="s">
        <v>103</v>
      </c>
      <c r="L194" s="117" t="str">
        <f t="shared" ref="L194:L257" si="37">IF(LEFT(K194,5)="Total","Total","detailed")</f>
        <v>detailed</v>
      </c>
      <c r="M194" s="117" t="str">
        <f t="shared" si="36"/>
        <v>detailed Oil</v>
      </c>
      <c r="N194" s="179">
        <v>24272500</v>
      </c>
      <c r="O194" s="179"/>
      <c r="P194" s="179">
        <v>23699577</v>
      </c>
      <c r="Q194" s="179"/>
      <c r="R194" s="179"/>
      <c r="S194" s="117" t="s">
        <v>646</v>
      </c>
      <c r="T194" s="119">
        <f>79.51386935*0.9497</f>
        <v>75.514321721694998</v>
      </c>
      <c r="U194" s="117" t="s">
        <v>673</v>
      </c>
      <c r="V194" s="117" t="s">
        <v>925</v>
      </c>
      <c r="W194" s="89">
        <f>N194*T194</f>
        <v>1832921373.9898419</v>
      </c>
      <c r="X194" s="117"/>
      <c r="Y194" s="117"/>
      <c r="Z194" s="117"/>
      <c r="AA194" s="304">
        <f>1056405147.55209+AK194</f>
        <v>3653306731.2922349</v>
      </c>
      <c r="AB194" s="177">
        <v>1054766766.42304</v>
      </c>
      <c r="AC194" s="122"/>
      <c r="AD194" s="122"/>
      <c r="AE194" s="122"/>
      <c r="AF194" s="300">
        <f>AA194/W194</f>
        <v>1.9931606358759617</v>
      </c>
      <c r="AG194" s="117"/>
      <c r="AH194" s="124"/>
      <c r="AI194" s="117"/>
      <c r="AJ194" s="303" t="s">
        <v>934</v>
      </c>
      <c r="AK194" s="298">
        <v>2596901583.7401447</v>
      </c>
      <c r="AL194" s="117"/>
      <c r="AM194" s="117"/>
      <c r="AN194" s="117">
        <v>17</v>
      </c>
      <c r="AO194" s="117" t="s">
        <v>926</v>
      </c>
      <c r="AP194" s="117"/>
      <c r="AQ194" s="117"/>
      <c r="AR194" s="126"/>
      <c r="AS194" s="117"/>
      <c r="AT194" s="117"/>
      <c r="AU194" s="117"/>
      <c r="AV194" s="128" t="s">
        <v>938</v>
      </c>
      <c r="AW194" s="117">
        <f>VLOOKUP($D194,'WB Data'!$C$3:$M$578,2,FALSE)</f>
        <v>23622482954.803967</v>
      </c>
      <c r="AX194" s="117">
        <f>VLOOKUP($D194,'WB Data'!$C$3:$M$578,3,FALSE)</f>
        <v>20624343</v>
      </c>
      <c r="AY194" s="847">
        <f t="shared" si="29"/>
        <v>0.15562491317321855</v>
      </c>
      <c r="AZ194" s="117" t="e">
        <f>VLOOKUP($D194,'WB Data'!$C$3:$M$578,4,FALSE)/100</f>
        <v>#VALUE!</v>
      </c>
      <c r="BA194" s="117" t="str">
        <f t="shared" si="30"/>
        <v>..</v>
      </c>
      <c r="BB194" s="129">
        <f>IFERROR(VLOOKUP($D194,'EITI Revenues'!$C$2:$G$224,5,FALSE),"..")</f>
        <v>3676246858.7772026</v>
      </c>
      <c r="BC194" s="846" t="str">
        <f t="shared" si="31"/>
        <v>..</v>
      </c>
      <c r="BD194" s="129">
        <f>VLOOKUP($D194,'WB Data 2'!$C$2:$K$545,6,FALSE)</f>
        <v>2036570434.3154187</v>
      </c>
      <c r="BE194" s="129" t="str">
        <f>IFERROR(VLOOKUP($D194,UNCTAD!$C$5:$V$529,4,FALSE),"..")</f>
        <v>..</v>
      </c>
      <c r="BF194" s="846" t="str">
        <f t="shared" si="32"/>
        <v>..</v>
      </c>
      <c r="BG194" s="117">
        <f>VLOOKUP($D194,'WB Data'!$C$3:$M$578,5,FALSE)</f>
        <v>540500000</v>
      </c>
      <c r="BH194" s="129">
        <f>IFERROR($BB194/$BG194,"..")</f>
        <v>6.8015668062482932</v>
      </c>
      <c r="BI194" s="117">
        <f>IFERROR(VLOOKUP($D194,'WB Data'!$C$3:$M$578,7,FALSE)/100,"..")</f>
        <v>3.4795099999999995E-2</v>
      </c>
      <c r="BJ194" s="117">
        <f>IFERROR($BI194*$AW194,"..")</f>
        <v>821946656.66069937</v>
      </c>
      <c r="BK194" s="846">
        <f>IFERROR($BB194/$BJ194,"..")</f>
        <v>4.472610027653853</v>
      </c>
      <c r="BL194" s="117">
        <f>IFERROR(VLOOKUP($D194,'WB Data'!$C$3:$M$578,7,FALSE)/100,"..")</f>
        <v>3.4795099999999995E-2</v>
      </c>
      <c r="BM194" s="117">
        <f>IFERROR($AW194*$BL194,"..")</f>
        <v>821946656.66069937</v>
      </c>
      <c r="BN194" s="846">
        <f>IFERROR($BB194/$BM194,"..")</f>
        <v>4.472610027653853</v>
      </c>
      <c r="BO194" s="801">
        <f t="shared" ref="BO194:BO257" si="38">_xlfn.IFNA(VLOOKUP($C194,CPI_2013,2,FALSE),"..")</f>
        <v>27</v>
      </c>
      <c r="BP194" s="117" t="str">
        <f>VLOOKUP($D194,'WB Data'!$C$3:$M$578,9,FALSE)</f>
        <v>..</v>
      </c>
      <c r="BQ194" s="117">
        <f>VLOOKUP($D194,'WB Data'!$C$3:$M$578,10,FALSE)</f>
        <v>53.694829268292686</v>
      </c>
      <c r="BR194" s="117">
        <f>VLOOKUP($D194,'WB Data'!$C$3:$M$578,11,FALSE)</f>
        <v>66</v>
      </c>
      <c r="BS194" s="129" t="str">
        <f>IFERROR(VLOOKUP($D194,'WB Data 2'!$C$2:$K$545,9,FALSE),"..")</f>
        <v>..</v>
      </c>
      <c r="BT194" s="129">
        <f>_xlfn.IFNA(VLOOKUP($C194,RGI!$A$2:$C$43,2,FALSE),"..")</f>
        <v>41.8</v>
      </c>
      <c r="BU194" s="129">
        <f>_xlfn.IFNA(VLOOKUP($C194,RGI!$A$2:$C$43,3,FALSE),"..")</f>
        <v>34.155297028034767</v>
      </c>
      <c r="BV194" s="129">
        <f>VLOOKUP($D194,WGI!$C$2:$O$478,7,FALSE)</f>
        <v>-1.07973605973121</v>
      </c>
      <c r="BW194" s="129">
        <f>VLOOKUP($D194,WGI!$C$2:$O$478,4,FALSE)</f>
        <v>-0.72685652050563199</v>
      </c>
      <c r="BX194" s="129">
        <f>VLOOKUP($D194,WGI!$C$2:$O$478,3,FALSE)</f>
        <v>-0.87505469664290703</v>
      </c>
      <c r="BY194" s="129">
        <f>VLOOKUP($D194,WGI!$C$2:$O$478,5,FALSE)</f>
        <v>-0.72577823591609703</v>
      </c>
      <c r="BZ194" s="129">
        <f>VLOOKUP($D194,WGI!$C$2:$O$478,2,FALSE)</f>
        <v>-0.98466655509401002</v>
      </c>
    </row>
    <row r="195" spans="1:80" ht="15" customHeight="1">
      <c r="A195" s="280" t="s">
        <v>119</v>
      </c>
      <c r="B195" s="117">
        <v>2010</v>
      </c>
      <c r="C195" s="117" t="s">
        <v>101</v>
      </c>
      <c r="D195" s="117" t="s">
        <v>3660</v>
      </c>
      <c r="E195" s="117" t="s">
        <v>86</v>
      </c>
      <c r="F195" s="117"/>
      <c r="G195" s="117" t="s">
        <v>24</v>
      </c>
      <c r="H195" s="117" t="str">
        <f t="shared" si="33"/>
        <v>yes</v>
      </c>
      <c r="I195" s="117" t="str">
        <f t="shared" si="34"/>
        <v>no</v>
      </c>
      <c r="J195" s="117" t="str">
        <f t="shared" si="35"/>
        <v>no</v>
      </c>
      <c r="K195" s="176" t="s">
        <v>600</v>
      </c>
      <c r="L195" s="117" t="str">
        <f t="shared" si="37"/>
        <v>Total</v>
      </c>
      <c r="M195" s="117" t="str">
        <f t="shared" si="36"/>
        <v>Total Mining</v>
      </c>
      <c r="N195" s="179"/>
      <c r="O195" s="179"/>
      <c r="P195" s="179"/>
      <c r="Q195" s="179"/>
      <c r="R195" s="179"/>
      <c r="S195" s="117"/>
      <c r="T195" s="119"/>
      <c r="U195" s="117"/>
      <c r="V195" s="117"/>
      <c r="W195" s="89">
        <f>SUM(W196:W200)</f>
        <v>12005149.659652</v>
      </c>
      <c r="X195" s="117"/>
      <c r="Y195" s="117"/>
      <c r="Z195" s="117"/>
      <c r="AA195" s="177">
        <v>870871.80680227291</v>
      </c>
      <c r="AB195" s="177">
        <v>867927.72379148472</v>
      </c>
      <c r="AC195" s="122"/>
      <c r="AD195" s="122"/>
      <c r="AE195" s="122"/>
      <c r="AF195" s="213">
        <f>AA195/W195</f>
        <v>7.2541520221874295E-2</v>
      </c>
      <c r="AG195" s="117"/>
      <c r="AH195" s="124"/>
      <c r="AI195" s="117"/>
      <c r="AJ195" s="117"/>
      <c r="AK195" s="117"/>
      <c r="AL195" s="117"/>
      <c r="AM195" s="117"/>
      <c r="AN195" s="117">
        <v>4</v>
      </c>
      <c r="AO195" s="117" t="s">
        <v>939</v>
      </c>
      <c r="AP195" s="117"/>
      <c r="AQ195" s="117"/>
      <c r="AR195" s="126"/>
      <c r="AS195" s="117"/>
      <c r="AT195" s="117"/>
      <c r="AU195" s="117"/>
      <c r="AV195" s="128" t="s">
        <v>940</v>
      </c>
      <c r="AW195" s="117">
        <f>VLOOKUP($D195,'WB Data'!$C$3:$M$578,2,FALSE)</f>
        <v>23622482954.803967</v>
      </c>
      <c r="AX195" s="117">
        <f>VLOOKUP($D195,'WB Data'!$C$3:$M$578,3,FALSE)</f>
        <v>20624343</v>
      </c>
      <c r="AY195" s="847">
        <f t="shared" ref="AY195:AY258" si="39">IFERROR($BB195/$AW195,"..")</f>
        <v>0.15562491317321855</v>
      </c>
      <c r="AZ195" s="117" t="e">
        <f>VLOOKUP($D195,'WB Data'!$C$3:$M$578,4,FALSE)/100</f>
        <v>#VALUE!</v>
      </c>
      <c r="BA195" s="117" t="str">
        <f t="shared" ref="BA195:BA258" si="40">IFERROR($AW195*$AZ195,"..")</f>
        <v>..</v>
      </c>
      <c r="BB195" s="129">
        <f>IFERROR(VLOOKUP($D195,'EITI Revenues'!$C$2:$G$224,5,FALSE),"..")</f>
        <v>3676246858.7772026</v>
      </c>
      <c r="BC195" s="846" t="str">
        <f t="shared" ref="BC195:BC258" si="41">IFERROR($BB195/$BA195,"..")</f>
        <v>..</v>
      </c>
      <c r="BD195" s="129">
        <f>VLOOKUP($D195,'WB Data 2'!$C$2:$K$545,6,FALSE)</f>
        <v>2036570434.3154187</v>
      </c>
      <c r="BE195" s="129" t="str">
        <f>IFERROR(VLOOKUP($D195,UNCTAD!$C$5:$V$529,4,FALSE),"..")</f>
        <v>..</v>
      </c>
      <c r="BF195" s="846" t="str">
        <f t="shared" ref="BF195:BF258" si="42">IFERROR(($BD195/$BE195),"..")</f>
        <v>..</v>
      </c>
      <c r="BG195" s="117">
        <f>VLOOKUP($D195,'WB Data'!$C$3:$M$578,5,FALSE)</f>
        <v>540500000</v>
      </c>
      <c r="BH195" s="129">
        <f>IFERROR($BB195/$BG195,"..")</f>
        <v>6.8015668062482932</v>
      </c>
      <c r="BI195" s="117">
        <f>IFERROR(VLOOKUP($D195,'WB Data'!$C$3:$M$578,7,FALSE)/100,"..")</f>
        <v>3.4795099999999995E-2</v>
      </c>
      <c r="BJ195" s="117">
        <f>IFERROR($BI195*$AW195,"..")</f>
        <v>821946656.66069937</v>
      </c>
      <c r="BK195" s="846">
        <f>IFERROR($BB195/$BJ195,"..")</f>
        <v>4.472610027653853</v>
      </c>
      <c r="BL195" s="117">
        <f>IFERROR(VLOOKUP($D195,'WB Data'!$C$3:$M$578,7,FALSE)/100,"..")</f>
        <v>3.4795099999999995E-2</v>
      </c>
      <c r="BM195" s="117">
        <f>IFERROR($AW195*$BL195,"..")</f>
        <v>821946656.66069937</v>
      </c>
      <c r="BN195" s="846">
        <f>IFERROR($BB195/$BM195,"..")</f>
        <v>4.472610027653853</v>
      </c>
      <c r="BO195" s="801">
        <f t="shared" si="38"/>
        <v>27</v>
      </c>
      <c r="BP195" s="117" t="str">
        <f>VLOOKUP($D195,'WB Data'!$C$3:$M$578,9,FALSE)</f>
        <v>..</v>
      </c>
      <c r="BQ195" s="117">
        <f>VLOOKUP($D195,'WB Data'!$C$3:$M$578,10,FALSE)</f>
        <v>53.694829268292686</v>
      </c>
      <c r="BR195" s="117">
        <f>VLOOKUP($D195,'WB Data'!$C$3:$M$578,11,FALSE)</f>
        <v>66</v>
      </c>
      <c r="BS195" s="129" t="str">
        <f>IFERROR(VLOOKUP($D195,'WB Data 2'!$C$2:$K$545,9,FALSE),"..")</f>
        <v>..</v>
      </c>
      <c r="BT195" s="129">
        <f>_xlfn.IFNA(VLOOKUP($C195,RGI!$A$2:$C$43,2,FALSE),"..")</f>
        <v>41.8</v>
      </c>
      <c r="BU195" s="129">
        <f>_xlfn.IFNA(VLOOKUP($C195,RGI!$A$2:$C$43,3,FALSE),"..")</f>
        <v>34.155297028034767</v>
      </c>
      <c r="BV195" s="129">
        <f>VLOOKUP($D195,WGI!$C$2:$O$478,7,FALSE)</f>
        <v>-1.07973605973121</v>
      </c>
      <c r="BW195" s="129">
        <f>VLOOKUP($D195,WGI!$C$2:$O$478,4,FALSE)</f>
        <v>-0.72685652050563199</v>
      </c>
      <c r="BX195" s="129">
        <f>VLOOKUP($D195,WGI!$C$2:$O$478,3,FALSE)</f>
        <v>-0.87505469664290703</v>
      </c>
      <c r="BY195" s="129">
        <f>VLOOKUP($D195,WGI!$C$2:$O$478,5,FALSE)</f>
        <v>-0.72577823591609703</v>
      </c>
      <c r="BZ195" s="129">
        <f>VLOOKUP($D195,WGI!$C$2:$O$478,2,FALSE)</f>
        <v>-0.98466655509401002</v>
      </c>
    </row>
    <row r="196" spans="1:80" ht="15" customHeight="1">
      <c r="A196" s="280" t="s">
        <v>119</v>
      </c>
      <c r="B196" s="117">
        <v>2010</v>
      </c>
      <c r="C196" s="117" t="s">
        <v>101</v>
      </c>
      <c r="D196" s="117" t="s">
        <v>3660</v>
      </c>
      <c r="E196" s="117" t="s">
        <v>86</v>
      </c>
      <c r="F196" s="117"/>
      <c r="G196" s="117" t="s">
        <v>24</v>
      </c>
      <c r="H196" s="117" t="str">
        <f t="shared" si="33"/>
        <v>yes</v>
      </c>
      <c r="I196" s="117" t="str">
        <f t="shared" si="34"/>
        <v>no</v>
      </c>
      <c r="J196" s="117" t="str">
        <f t="shared" si="35"/>
        <v>no</v>
      </c>
      <c r="K196" s="176" t="s">
        <v>728</v>
      </c>
      <c r="L196" s="117" t="str">
        <f t="shared" si="37"/>
        <v>detailed</v>
      </c>
      <c r="M196" s="117" t="str">
        <f t="shared" si="36"/>
        <v>detailed Mining</v>
      </c>
      <c r="N196" s="179">
        <v>12000</v>
      </c>
      <c r="O196" s="179"/>
      <c r="P196" s="305">
        <v>9966</v>
      </c>
      <c r="Q196" s="305"/>
      <c r="R196" s="305"/>
      <c r="S196" s="117" t="s">
        <v>610</v>
      </c>
      <c r="T196" s="119">
        <f>12*0.1417</f>
        <v>1.7003999999999999</v>
      </c>
      <c r="U196" s="117" t="s">
        <v>611</v>
      </c>
      <c r="V196" s="117" t="s">
        <v>929</v>
      </c>
      <c r="W196" s="89">
        <f>P196*T196</f>
        <v>16946.186399999999</v>
      </c>
      <c r="X196" s="117"/>
      <c r="Y196" s="117"/>
      <c r="Z196" s="117"/>
      <c r="AA196" s="179"/>
      <c r="AB196" s="179"/>
      <c r="AC196" s="212"/>
      <c r="AD196" s="212"/>
      <c r="AE196" s="212"/>
      <c r="AF196" s="213"/>
      <c r="AG196" s="117"/>
      <c r="AH196" s="124"/>
      <c r="AI196" s="117"/>
      <c r="AJ196" s="117"/>
      <c r="AK196" s="89"/>
      <c r="AL196" s="117"/>
      <c r="AM196" s="117"/>
      <c r="AN196" s="214"/>
      <c r="AO196" s="117"/>
      <c r="AP196" s="117"/>
      <c r="AQ196" s="232"/>
      <c r="AR196" s="126"/>
      <c r="AS196" s="117"/>
      <c r="AT196" s="127"/>
      <c r="AU196" s="215"/>
      <c r="AV196" s="128"/>
      <c r="AW196" s="117">
        <f>VLOOKUP($D196,'WB Data'!$C$3:$M$578,2,FALSE)</f>
        <v>23622482954.803967</v>
      </c>
      <c r="AX196" s="117">
        <f>VLOOKUP($D196,'WB Data'!$C$3:$M$578,3,FALSE)</f>
        <v>20624343</v>
      </c>
      <c r="AY196" s="847">
        <f t="shared" si="39"/>
        <v>0.15562491317321855</v>
      </c>
      <c r="AZ196" s="117" t="e">
        <f>VLOOKUP($D196,'WB Data'!$C$3:$M$578,4,FALSE)/100</f>
        <v>#VALUE!</v>
      </c>
      <c r="BA196" s="117" t="str">
        <f t="shared" si="40"/>
        <v>..</v>
      </c>
      <c r="BB196" s="129">
        <f>IFERROR(VLOOKUP($D196,'EITI Revenues'!$C$2:$G$224,5,FALSE),"..")</f>
        <v>3676246858.7772026</v>
      </c>
      <c r="BC196" s="846" t="str">
        <f t="shared" si="41"/>
        <v>..</v>
      </c>
      <c r="BD196" s="129">
        <f>VLOOKUP($D196,'WB Data 2'!$C$2:$K$545,6,FALSE)</f>
        <v>2036570434.3154187</v>
      </c>
      <c r="BE196" s="129" t="str">
        <f>IFERROR(VLOOKUP($D196,UNCTAD!$C$5:$V$529,4,FALSE),"..")</f>
        <v>..</v>
      </c>
      <c r="BF196" s="846" t="str">
        <f t="shared" si="42"/>
        <v>..</v>
      </c>
      <c r="BG196" s="117">
        <f>VLOOKUP($D196,'WB Data'!$C$3:$M$578,5,FALSE)</f>
        <v>540500000</v>
      </c>
      <c r="BH196" s="129">
        <f>IFERROR($BB196/$BG196,"..")</f>
        <v>6.8015668062482932</v>
      </c>
      <c r="BI196" s="117">
        <f>IFERROR(VLOOKUP($D196,'WB Data'!$C$3:$M$578,7,FALSE)/100,"..")</f>
        <v>3.4795099999999995E-2</v>
      </c>
      <c r="BJ196" s="117">
        <f>IFERROR($BI196*$AW196,"..")</f>
        <v>821946656.66069937</v>
      </c>
      <c r="BK196" s="846">
        <f>IFERROR($BB196/$BJ196,"..")</f>
        <v>4.472610027653853</v>
      </c>
      <c r="BL196" s="117">
        <f>IFERROR(VLOOKUP($D196,'WB Data'!$C$3:$M$578,7,FALSE)/100,"..")</f>
        <v>3.4795099999999995E-2</v>
      </c>
      <c r="BM196" s="117">
        <f>IFERROR($AW196*$BL196,"..")</f>
        <v>821946656.66069937</v>
      </c>
      <c r="BN196" s="846">
        <f>IFERROR($BB196/$BM196,"..")</f>
        <v>4.472610027653853</v>
      </c>
      <c r="BO196" s="801">
        <f t="shared" si="38"/>
        <v>27</v>
      </c>
      <c r="BP196" s="117" t="str">
        <f>VLOOKUP($D196,'WB Data'!$C$3:$M$578,9,FALSE)</f>
        <v>..</v>
      </c>
      <c r="BQ196" s="117">
        <f>VLOOKUP($D196,'WB Data'!$C$3:$M$578,10,FALSE)</f>
        <v>53.694829268292686</v>
      </c>
      <c r="BR196" s="117">
        <f>VLOOKUP($D196,'WB Data'!$C$3:$M$578,11,FALSE)</f>
        <v>66</v>
      </c>
      <c r="BS196" s="129" t="str">
        <f>IFERROR(VLOOKUP($D196,'WB Data 2'!$C$2:$K$545,9,FALSE),"..")</f>
        <v>..</v>
      </c>
      <c r="BT196" s="129">
        <f>_xlfn.IFNA(VLOOKUP($C196,RGI!$A$2:$C$43,2,FALSE),"..")</f>
        <v>41.8</v>
      </c>
      <c r="BU196" s="129">
        <f>_xlfn.IFNA(VLOOKUP($C196,RGI!$A$2:$C$43,3,FALSE),"..")</f>
        <v>34.155297028034767</v>
      </c>
      <c r="BV196" s="129">
        <f>VLOOKUP($D196,WGI!$C$2:$O$478,7,FALSE)</f>
        <v>-1.07973605973121</v>
      </c>
      <c r="BW196" s="129">
        <f>VLOOKUP($D196,WGI!$C$2:$O$478,4,FALSE)</f>
        <v>-0.72685652050563199</v>
      </c>
      <c r="BX196" s="129">
        <f>VLOOKUP($D196,WGI!$C$2:$O$478,3,FALSE)</f>
        <v>-0.87505469664290703</v>
      </c>
      <c r="BY196" s="129">
        <f>VLOOKUP($D196,WGI!$C$2:$O$478,5,FALSE)</f>
        <v>-0.72577823591609703</v>
      </c>
      <c r="BZ196" s="129">
        <f>VLOOKUP($D196,WGI!$C$2:$O$478,2,FALSE)</f>
        <v>-0.98466655509401002</v>
      </c>
    </row>
    <row r="197" spans="1:80" ht="15" customHeight="1">
      <c r="A197" s="280" t="s">
        <v>119</v>
      </c>
      <c r="B197" s="117">
        <v>2010</v>
      </c>
      <c r="C197" s="117" t="s">
        <v>101</v>
      </c>
      <c r="D197" s="117" t="s">
        <v>3660</v>
      </c>
      <c r="E197" s="117" t="s">
        <v>86</v>
      </c>
      <c r="F197" s="117"/>
      <c r="G197" s="117" t="s">
        <v>24</v>
      </c>
      <c r="H197" s="117" t="str">
        <f t="shared" si="33"/>
        <v>yes</v>
      </c>
      <c r="I197" s="117" t="str">
        <f t="shared" si="34"/>
        <v>no</v>
      </c>
      <c r="J197" s="117" t="str">
        <f t="shared" si="35"/>
        <v>no</v>
      </c>
      <c r="K197" s="176" t="s">
        <v>784</v>
      </c>
      <c r="L197" s="117" t="str">
        <f t="shared" si="37"/>
        <v>detailed</v>
      </c>
      <c r="M197" s="117" t="str">
        <f t="shared" si="36"/>
        <v>detailed Mining</v>
      </c>
      <c r="N197" s="179">
        <f>1600*32.150743126506</f>
        <v>51441.189002409599</v>
      </c>
      <c r="O197" s="179"/>
      <c r="P197" s="305">
        <v>1676</v>
      </c>
      <c r="Q197" s="305"/>
      <c r="R197" s="305"/>
      <c r="S197" s="117" t="s">
        <v>785</v>
      </c>
      <c r="T197" s="119">
        <v>1224.66425</v>
      </c>
      <c r="U197" s="117" t="s">
        <v>786</v>
      </c>
      <c r="V197" s="233" t="s">
        <v>841</v>
      </c>
      <c r="W197" s="89">
        <f>P197*T197</f>
        <v>2052537.2830000001</v>
      </c>
      <c r="X197" s="117"/>
      <c r="Y197" s="117"/>
      <c r="Z197" s="117"/>
      <c r="AA197" s="179"/>
      <c r="AB197" s="179"/>
      <c r="AC197" s="212"/>
      <c r="AD197" s="212"/>
      <c r="AE197" s="212"/>
      <c r="AF197" s="213"/>
      <c r="AG197" s="117"/>
      <c r="AH197" s="124"/>
      <c r="AI197" s="117"/>
      <c r="AJ197" s="117"/>
      <c r="AK197" s="89"/>
      <c r="AL197" s="117"/>
      <c r="AM197" s="117"/>
      <c r="AN197" s="214"/>
      <c r="AO197" s="117"/>
      <c r="AP197" s="117"/>
      <c r="AQ197" s="232"/>
      <c r="AR197" s="126"/>
      <c r="AS197" s="117"/>
      <c r="AT197" s="127"/>
      <c r="AU197" s="215"/>
      <c r="AV197" s="128"/>
      <c r="AW197" s="117">
        <f>VLOOKUP($D197,'WB Data'!$C$3:$M$578,2,FALSE)</f>
        <v>23622482954.803967</v>
      </c>
      <c r="AX197" s="117">
        <f>VLOOKUP($D197,'WB Data'!$C$3:$M$578,3,FALSE)</f>
        <v>20624343</v>
      </c>
      <c r="AY197" s="847">
        <f t="shared" si="39"/>
        <v>0.15562491317321855</v>
      </c>
      <c r="AZ197" s="117" t="e">
        <f>VLOOKUP($D197,'WB Data'!$C$3:$M$578,4,FALSE)/100</f>
        <v>#VALUE!</v>
      </c>
      <c r="BA197" s="117" t="str">
        <f t="shared" si="40"/>
        <v>..</v>
      </c>
      <c r="BB197" s="129">
        <f>IFERROR(VLOOKUP($D197,'EITI Revenues'!$C$2:$G$224,5,FALSE),"..")</f>
        <v>3676246858.7772026</v>
      </c>
      <c r="BC197" s="846" t="str">
        <f t="shared" si="41"/>
        <v>..</v>
      </c>
      <c r="BD197" s="129">
        <f>VLOOKUP($D197,'WB Data 2'!$C$2:$K$545,6,FALSE)</f>
        <v>2036570434.3154187</v>
      </c>
      <c r="BE197" s="129" t="str">
        <f>IFERROR(VLOOKUP($D197,UNCTAD!$C$5:$V$529,4,FALSE),"..")</f>
        <v>..</v>
      </c>
      <c r="BF197" s="846" t="str">
        <f t="shared" si="42"/>
        <v>..</v>
      </c>
      <c r="BG197" s="117">
        <f>VLOOKUP($D197,'WB Data'!$C$3:$M$578,5,FALSE)</f>
        <v>540500000</v>
      </c>
      <c r="BH197" s="129">
        <f>IFERROR($BB197/$BG197,"..")</f>
        <v>6.8015668062482932</v>
      </c>
      <c r="BI197" s="117">
        <f>IFERROR(VLOOKUP($D197,'WB Data'!$C$3:$M$578,7,FALSE)/100,"..")</f>
        <v>3.4795099999999995E-2</v>
      </c>
      <c r="BJ197" s="117">
        <f>IFERROR($BI197*$AW197,"..")</f>
        <v>821946656.66069937</v>
      </c>
      <c r="BK197" s="846">
        <f>IFERROR($BB197/$BJ197,"..")</f>
        <v>4.472610027653853</v>
      </c>
      <c r="BL197" s="117">
        <f>IFERROR(VLOOKUP($D197,'WB Data'!$C$3:$M$578,7,FALSE)/100,"..")</f>
        <v>3.4795099999999995E-2</v>
      </c>
      <c r="BM197" s="117">
        <f>IFERROR($AW197*$BL197,"..")</f>
        <v>821946656.66069937</v>
      </c>
      <c r="BN197" s="846">
        <f>IFERROR($BB197/$BM197,"..")</f>
        <v>4.472610027653853</v>
      </c>
      <c r="BO197" s="801">
        <f t="shared" si="38"/>
        <v>27</v>
      </c>
      <c r="BP197" s="117" t="str">
        <f>VLOOKUP($D197,'WB Data'!$C$3:$M$578,9,FALSE)</f>
        <v>..</v>
      </c>
      <c r="BQ197" s="117">
        <f>VLOOKUP($D197,'WB Data'!$C$3:$M$578,10,FALSE)</f>
        <v>53.694829268292686</v>
      </c>
      <c r="BR197" s="117">
        <f>VLOOKUP($D197,'WB Data'!$C$3:$M$578,11,FALSE)</f>
        <v>66</v>
      </c>
      <c r="BS197" s="129" t="str">
        <f>IFERROR(VLOOKUP($D197,'WB Data 2'!$C$2:$K$545,9,FALSE),"..")</f>
        <v>..</v>
      </c>
      <c r="BT197" s="129">
        <f>_xlfn.IFNA(VLOOKUP($C197,RGI!$A$2:$C$43,2,FALSE),"..")</f>
        <v>41.8</v>
      </c>
      <c r="BU197" s="129">
        <f>_xlfn.IFNA(VLOOKUP($C197,RGI!$A$2:$C$43,3,FALSE),"..")</f>
        <v>34.155297028034767</v>
      </c>
      <c r="BV197" s="129">
        <f>VLOOKUP($D197,WGI!$C$2:$O$478,7,FALSE)</f>
        <v>-1.07973605973121</v>
      </c>
      <c r="BW197" s="129">
        <f>VLOOKUP($D197,WGI!$C$2:$O$478,4,FALSE)</f>
        <v>-0.72685652050563199</v>
      </c>
      <c r="BX197" s="129">
        <f>VLOOKUP($D197,WGI!$C$2:$O$478,3,FALSE)</f>
        <v>-0.87505469664290703</v>
      </c>
      <c r="BY197" s="129">
        <f>VLOOKUP($D197,WGI!$C$2:$O$478,5,FALSE)</f>
        <v>-0.72577823591609703</v>
      </c>
      <c r="BZ197" s="129">
        <f>VLOOKUP($D197,WGI!$C$2:$O$478,2,FALSE)</f>
        <v>-0.98466655509401002</v>
      </c>
    </row>
    <row r="198" spans="1:80" ht="15" customHeight="1">
      <c r="A198" s="280" t="s">
        <v>119</v>
      </c>
      <c r="B198" s="117">
        <v>2010</v>
      </c>
      <c r="C198" s="117" t="s">
        <v>101</v>
      </c>
      <c r="D198" s="117" t="s">
        <v>3660</v>
      </c>
      <c r="E198" s="117" t="s">
        <v>86</v>
      </c>
      <c r="F198" s="117"/>
      <c r="G198" s="117" t="s">
        <v>24</v>
      </c>
      <c r="H198" s="117" t="str">
        <f t="shared" si="33"/>
        <v>yes</v>
      </c>
      <c r="I198" s="117" t="str">
        <f t="shared" si="34"/>
        <v>no</v>
      </c>
      <c r="J198" s="117" t="str">
        <f t="shared" si="35"/>
        <v>no</v>
      </c>
      <c r="K198" s="176" t="s">
        <v>703</v>
      </c>
      <c r="L198" s="117" t="str">
        <f t="shared" si="37"/>
        <v>detailed</v>
      </c>
      <c r="M198" s="117" t="str">
        <f t="shared" si="36"/>
        <v>detailed Mining</v>
      </c>
      <c r="N198" s="179">
        <v>100000</v>
      </c>
      <c r="O198" s="179"/>
      <c r="P198" s="179">
        <v>189748</v>
      </c>
      <c r="Q198" s="179"/>
      <c r="R198" s="179"/>
      <c r="S198" s="117" t="s">
        <v>610</v>
      </c>
      <c r="T198" s="119">
        <f>9.03*1.8433</f>
        <v>16.644998999999999</v>
      </c>
      <c r="U198" s="117" t="s">
        <v>611</v>
      </c>
      <c r="V198" s="117" t="s">
        <v>931</v>
      </c>
      <c r="W198" s="89">
        <f>P198*T198</f>
        <v>3158355.2702519996</v>
      </c>
      <c r="X198" s="117"/>
      <c r="Y198" s="117"/>
      <c r="Z198" s="117"/>
      <c r="AA198" s="179"/>
      <c r="AB198" s="179"/>
      <c r="AC198" s="212"/>
      <c r="AD198" s="212"/>
      <c r="AE198" s="212"/>
      <c r="AF198" s="213"/>
      <c r="AG198" s="117"/>
      <c r="AH198" s="124"/>
      <c r="AI198" s="117"/>
      <c r="AJ198" s="117"/>
      <c r="AK198" s="89"/>
      <c r="AL198" s="117"/>
      <c r="AM198" s="117"/>
      <c r="AN198" s="214"/>
      <c r="AO198" s="117"/>
      <c r="AP198" s="117"/>
      <c r="AQ198" s="232"/>
      <c r="AR198" s="126"/>
      <c r="AS198" s="117"/>
      <c r="AT198" s="127"/>
      <c r="AU198" s="215"/>
      <c r="AV198" s="128"/>
      <c r="AW198" s="117">
        <f>VLOOKUP($D198,'WB Data'!$C$3:$M$578,2,FALSE)</f>
        <v>23622482954.803967</v>
      </c>
      <c r="AX198" s="117">
        <f>VLOOKUP($D198,'WB Data'!$C$3:$M$578,3,FALSE)</f>
        <v>20624343</v>
      </c>
      <c r="AY198" s="847">
        <f t="shared" si="39"/>
        <v>0.15562491317321855</v>
      </c>
      <c r="AZ198" s="117" t="e">
        <f>VLOOKUP($D198,'WB Data'!$C$3:$M$578,4,FALSE)/100</f>
        <v>#VALUE!</v>
      </c>
      <c r="BA198" s="117" t="str">
        <f t="shared" si="40"/>
        <v>..</v>
      </c>
      <c r="BB198" s="129">
        <f>IFERROR(VLOOKUP($D198,'EITI Revenues'!$C$2:$G$224,5,FALSE),"..")</f>
        <v>3676246858.7772026</v>
      </c>
      <c r="BC198" s="846" t="str">
        <f t="shared" si="41"/>
        <v>..</v>
      </c>
      <c r="BD198" s="129">
        <f>VLOOKUP($D198,'WB Data 2'!$C$2:$K$545,6,FALSE)</f>
        <v>2036570434.3154187</v>
      </c>
      <c r="BE198" s="129" t="str">
        <f>IFERROR(VLOOKUP($D198,UNCTAD!$C$5:$V$529,4,FALSE),"..")</f>
        <v>..</v>
      </c>
      <c r="BF198" s="846" t="str">
        <f t="shared" si="42"/>
        <v>..</v>
      </c>
      <c r="BG198" s="117">
        <f>VLOOKUP($D198,'WB Data'!$C$3:$M$578,5,FALSE)</f>
        <v>540500000</v>
      </c>
      <c r="BH198" s="129">
        <f>IFERROR($BB198/$BG198,"..")</f>
        <v>6.8015668062482932</v>
      </c>
      <c r="BI198" s="117">
        <f>IFERROR(VLOOKUP($D198,'WB Data'!$C$3:$M$578,7,FALSE)/100,"..")</f>
        <v>3.4795099999999995E-2</v>
      </c>
      <c r="BJ198" s="117">
        <f>IFERROR($BI198*$AW198,"..")</f>
        <v>821946656.66069937</v>
      </c>
      <c r="BK198" s="846">
        <f>IFERROR($BB198/$BJ198,"..")</f>
        <v>4.472610027653853</v>
      </c>
      <c r="BL198" s="117">
        <f>IFERROR(VLOOKUP($D198,'WB Data'!$C$3:$M$578,7,FALSE)/100,"..")</f>
        <v>3.4795099999999995E-2</v>
      </c>
      <c r="BM198" s="117">
        <f>IFERROR($AW198*$BL198,"..")</f>
        <v>821946656.66069937</v>
      </c>
      <c r="BN198" s="846">
        <f>IFERROR($BB198/$BM198,"..")</f>
        <v>4.472610027653853</v>
      </c>
      <c r="BO198" s="801">
        <f t="shared" si="38"/>
        <v>27</v>
      </c>
      <c r="BP198" s="117" t="str">
        <f>VLOOKUP($D198,'WB Data'!$C$3:$M$578,9,FALSE)</f>
        <v>..</v>
      </c>
      <c r="BQ198" s="117">
        <f>VLOOKUP($D198,'WB Data'!$C$3:$M$578,10,FALSE)</f>
        <v>53.694829268292686</v>
      </c>
      <c r="BR198" s="117">
        <f>VLOOKUP($D198,'WB Data'!$C$3:$M$578,11,FALSE)</f>
        <v>66</v>
      </c>
      <c r="BS198" s="129" t="str">
        <f>IFERROR(VLOOKUP($D198,'WB Data 2'!$C$2:$K$545,9,FALSE),"..")</f>
        <v>..</v>
      </c>
      <c r="BT198" s="129">
        <f>_xlfn.IFNA(VLOOKUP($C198,RGI!$A$2:$C$43,2,FALSE),"..")</f>
        <v>41.8</v>
      </c>
      <c r="BU198" s="129">
        <f>_xlfn.IFNA(VLOOKUP($C198,RGI!$A$2:$C$43,3,FALSE),"..")</f>
        <v>34.155297028034767</v>
      </c>
      <c r="BV198" s="129">
        <f>VLOOKUP($D198,WGI!$C$2:$O$478,7,FALSE)</f>
        <v>-1.07973605973121</v>
      </c>
      <c r="BW198" s="129">
        <f>VLOOKUP($D198,WGI!$C$2:$O$478,4,FALSE)</f>
        <v>-0.72685652050563199</v>
      </c>
      <c r="BX198" s="129">
        <f>VLOOKUP($D198,WGI!$C$2:$O$478,3,FALSE)</f>
        <v>-0.87505469664290703</v>
      </c>
      <c r="BY198" s="129">
        <f>VLOOKUP($D198,WGI!$C$2:$O$478,5,FALSE)</f>
        <v>-0.72577823591609703</v>
      </c>
      <c r="BZ198" s="129">
        <f>VLOOKUP($D198,WGI!$C$2:$O$478,2,FALSE)</f>
        <v>-0.98466655509401002</v>
      </c>
    </row>
    <row r="199" spans="1:80" ht="15" customHeight="1">
      <c r="A199" s="280" t="s">
        <v>119</v>
      </c>
      <c r="B199" s="117">
        <v>2010</v>
      </c>
      <c r="C199" s="117" t="s">
        <v>101</v>
      </c>
      <c r="D199" s="117" t="s">
        <v>3660</v>
      </c>
      <c r="E199" s="117" t="s">
        <v>86</v>
      </c>
      <c r="F199" s="117"/>
      <c r="G199" s="117" t="s">
        <v>24</v>
      </c>
      <c r="H199" s="117" t="str">
        <f t="shared" si="33"/>
        <v>yes</v>
      </c>
      <c r="I199" s="117" t="str">
        <f t="shared" si="34"/>
        <v>no</v>
      </c>
      <c r="J199" s="117" t="str">
        <f t="shared" si="35"/>
        <v>no</v>
      </c>
      <c r="K199" s="176" t="s">
        <v>905</v>
      </c>
      <c r="L199" s="117" t="str">
        <f t="shared" si="37"/>
        <v>detailed</v>
      </c>
      <c r="M199" s="117" t="str">
        <f t="shared" si="36"/>
        <v>detailed Mining</v>
      </c>
      <c r="N199" s="179">
        <v>600000</v>
      </c>
      <c r="O199" s="179"/>
      <c r="P199" s="305">
        <v>401252</v>
      </c>
      <c r="Q199" s="305"/>
      <c r="R199" s="305"/>
      <c r="S199" s="117" t="s">
        <v>610</v>
      </c>
      <c r="T199" s="119">
        <v>14.76</v>
      </c>
      <c r="U199" s="117" t="s">
        <v>611</v>
      </c>
      <c r="V199" s="117" t="s">
        <v>916</v>
      </c>
      <c r="W199" s="89">
        <f>P199*T199</f>
        <v>5922479.5199999996</v>
      </c>
      <c r="X199" s="117"/>
      <c r="Y199" s="117"/>
      <c r="Z199" s="117"/>
      <c r="AA199" s="179"/>
      <c r="AB199" s="179"/>
      <c r="AC199" s="212"/>
      <c r="AD199" s="212"/>
      <c r="AE199" s="212"/>
      <c r="AF199" s="213"/>
      <c r="AG199" s="117"/>
      <c r="AH199" s="124"/>
      <c r="AI199" s="117"/>
      <c r="AJ199" s="117"/>
      <c r="AK199" s="89"/>
      <c r="AL199" s="117"/>
      <c r="AM199" s="117"/>
      <c r="AN199" s="214"/>
      <c r="AO199" s="117"/>
      <c r="AP199" s="117"/>
      <c r="AQ199" s="232"/>
      <c r="AR199" s="126"/>
      <c r="AS199" s="117"/>
      <c r="AT199" s="127"/>
      <c r="AU199" s="215"/>
      <c r="AV199" s="128"/>
      <c r="AW199" s="117">
        <f>VLOOKUP($D199,'WB Data'!$C$3:$M$578,2,FALSE)</f>
        <v>23622482954.803967</v>
      </c>
      <c r="AX199" s="117">
        <f>VLOOKUP($D199,'WB Data'!$C$3:$M$578,3,FALSE)</f>
        <v>20624343</v>
      </c>
      <c r="AY199" s="847">
        <f t="shared" si="39"/>
        <v>0.15562491317321855</v>
      </c>
      <c r="AZ199" s="117" t="e">
        <f>VLOOKUP($D199,'WB Data'!$C$3:$M$578,4,FALSE)/100</f>
        <v>#VALUE!</v>
      </c>
      <c r="BA199" s="117" t="str">
        <f t="shared" si="40"/>
        <v>..</v>
      </c>
      <c r="BB199" s="129">
        <f>IFERROR(VLOOKUP($D199,'EITI Revenues'!$C$2:$G$224,5,FALSE),"..")</f>
        <v>3676246858.7772026</v>
      </c>
      <c r="BC199" s="846" t="str">
        <f t="shared" si="41"/>
        <v>..</v>
      </c>
      <c r="BD199" s="129">
        <f>VLOOKUP($D199,'WB Data 2'!$C$2:$K$545,6,FALSE)</f>
        <v>2036570434.3154187</v>
      </c>
      <c r="BE199" s="129" t="str">
        <f>IFERROR(VLOOKUP($D199,UNCTAD!$C$5:$V$529,4,FALSE),"..")</f>
        <v>..</v>
      </c>
      <c r="BF199" s="846" t="str">
        <f t="shared" si="42"/>
        <v>..</v>
      </c>
      <c r="BG199" s="117">
        <f>VLOOKUP($D199,'WB Data'!$C$3:$M$578,5,FALSE)</f>
        <v>540500000</v>
      </c>
      <c r="BH199" s="129">
        <f>IFERROR($BB199/$BG199,"..")</f>
        <v>6.8015668062482932</v>
      </c>
      <c r="BI199" s="117">
        <f>IFERROR(VLOOKUP($D199,'WB Data'!$C$3:$M$578,7,FALSE)/100,"..")</f>
        <v>3.4795099999999995E-2</v>
      </c>
      <c r="BJ199" s="117">
        <f>IFERROR($BI199*$AW199,"..")</f>
        <v>821946656.66069937</v>
      </c>
      <c r="BK199" s="846">
        <f>IFERROR($BB199/$BJ199,"..")</f>
        <v>4.472610027653853</v>
      </c>
      <c r="BL199" s="117">
        <f>IFERROR(VLOOKUP($D199,'WB Data'!$C$3:$M$578,7,FALSE)/100,"..")</f>
        <v>3.4795099999999995E-2</v>
      </c>
      <c r="BM199" s="117">
        <f>IFERROR($AW199*$BL199,"..")</f>
        <v>821946656.66069937</v>
      </c>
      <c r="BN199" s="846">
        <f>IFERROR($BB199/$BM199,"..")</f>
        <v>4.472610027653853</v>
      </c>
      <c r="BO199" s="801">
        <f t="shared" si="38"/>
        <v>27</v>
      </c>
      <c r="BP199" s="117" t="str">
        <f>VLOOKUP($D199,'WB Data'!$C$3:$M$578,9,FALSE)</f>
        <v>..</v>
      </c>
      <c r="BQ199" s="117">
        <f>VLOOKUP($D199,'WB Data'!$C$3:$M$578,10,FALSE)</f>
        <v>53.694829268292686</v>
      </c>
      <c r="BR199" s="117">
        <f>VLOOKUP($D199,'WB Data'!$C$3:$M$578,11,FALSE)</f>
        <v>66</v>
      </c>
      <c r="BS199" s="129" t="str">
        <f>IFERROR(VLOOKUP($D199,'WB Data 2'!$C$2:$K$545,9,FALSE),"..")</f>
        <v>..</v>
      </c>
      <c r="BT199" s="129">
        <f>_xlfn.IFNA(VLOOKUP($C199,RGI!$A$2:$C$43,2,FALSE),"..")</f>
        <v>41.8</v>
      </c>
      <c r="BU199" s="129">
        <f>_xlfn.IFNA(VLOOKUP($C199,RGI!$A$2:$C$43,3,FALSE),"..")</f>
        <v>34.155297028034767</v>
      </c>
      <c r="BV199" s="129">
        <f>VLOOKUP($D199,WGI!$C$2:$O$478,7,FALSE)</f>
        <v>-1.07973605973121</v>
      </c>
      <c r="BW199" s="129">
        <f>VLOOKUP($D199,WGI!$C$2:$O$478,4,FALSE)</f>
        <v>-0.72685652050563199</v>
      </c>
      <c r="BX199" s="129">
        <f>VLOOKUP($D199,WGI!$C$2:$O$478,3,FALSE)</f>
        <v>-0.87505469664290703</v>
      </c>
      <c r="BY199" s="129">
        <f>VLOOKUP($D199,WGI!$C$2:$O$478,5,FALSE)</f>
        <v>-0.72577823591609703</v>
      </c>
      <c r="BZ199" s="129">
        <f>VLOOKUP($D199,WGI!$C$2:$O$478,2,FALSE)</f>
        <v>-0.98466655509401002</v>
      </c>
    </row>
    <row r="200" spans="1:80" ht="15" customHeight="1">
      <c r="A200" s="280" t="s">
        <v>119</v>
      </c>
      <c r="B200" s="117">
        <v>2010</v>
      </c>
      <c r="C200" s="117" t="s">
        <v>101</v>
      </c>
      <c r="D200" s="117" t="s">
        <v>3660</v>
      </c>
      <c r="E200" s="117" t="s">
        <v>86</v>
      </c>
      <c r="F200" s="117"/>
      <c r="G200" s="117" t="s">
        <v>24</v>
      </c>
      <c r="H200" s="117" t="str">
        <f t="shared" si="33"/>
        <v>yes</v>
      </c>
      <c r="I200" s="117" t="str">
        <f t="shared" si="34"/>
        <v>no</v>
      </c>
      <c r="J200" s="117" t="str">
        <f t="shared" si="35"/>
        <v>no</v>
      </c>
      <c r="K200" s="176" t="s">
        <v>907</v>
      </c>
      <c r="L200" s="117" t="str">
        <f t="shared" si="37"/>
        <v>detailed</v>
      </c>
      <c r="M200" s="117" t="str">
        <f t="shared" si="36"/>
        <v>detailed Mining</v>
      </c>
      <c r="N200" s="179">
        <v>600000</v>
      </c>
      <c r="O200" s="179"/>
      <c r="P200" s="179"/>
      <c r="Q200" s="179"/>
      <c r="R200" s="179"/>
      <c r="S200" s="117" t="s">
        <v>610</v>
      </c>
      <c r="T200" s="119">
        <f>7.31*0.1949</f>
        <v>1.4247189999999998</v>
      </c>
      <c r="U200" s="117" t="s">
        <v>611</v>
      </c>
      <c r="V200" s="117" t="s">
        <v>932</v>
      </c>
      <c r="W200" s="89">
        <f>N200*T200</f>
        <v>854831.39999999991</v>
      </c>
      <c r="X200" s="117"/>
      <c r="Y200" s="117"/>
      <c r="Z200" s="117"/>
      <c r="AA200" s="179"/>
      <c r="AB200" s="179"/>
      <c r="AC200" s="212"/>
      <c r="AD200" s="212"/>
      <c r="AE200" s="212"/>
      <c r="AF200" s="213"/>
      <c r="AG200" s="117"/>
      <c r="AH200" s="124"/>
      <c r="AI200" s="117"/>
      <c r="AJ200" s="117"/>
      <c r="AK200" s="89"/>
      <c r="AL200" s="117"/>
      <c r="AM200" s="117"/>
      <c r="AN200" s="214"/>
      <c r="AO200" s="117"/>
      <c r="AP200" s="117"/>
      <c r="AQ200" s="232"/>
      <c r="AR200" s="126"/>
      <c r="AS200" s="117"/>
      <c r="AT200" s="127"/>
      <c r="AU200" s="215"/>
      <c r="AV200" s="128"/>
      <c r="AW200" s="117">
        <f>VLOOKUP($D200,'WB Data'!$C$3:$M$578,2,FALSE)</f>
        <v>23622482954.803967</v>
      </c>
      <c r="AX200" s="117">
        <f>VLOOKUP($D200,'WB Data'!$C$3:$M$578,3,FALSE)</f>
        <v>20624343</v>
      </c>
      <c r="AY200" s="847">
        <f t="shared" si="39"/>
        <v>0.15562491317321855</v>
      </c>
      <c r="AZ200" s="117" t="e">
        <f>VLOOKUP($D200,'WB Data'!$C$3:$M$578,4,FALSE)/100</f>
        <v>#VALUE!</v>
      </c>
      <c r="BA200" s="117" t="str">
        <f t="shared" si="40"/>
        <v>..</v>
      </c>
      <c r="BB200" s="129">
        <f>IFERROR(VLOOKUP($D200,'EITI Revenues'!$C$2:$G$224,5,FALSE),"..")</f>
        <v>3676246858.7772026</v>
      </c>
      <c r="BC200" s="846" t="str">
        <f t="shared" si="41"/>
        <v>..</v>
      </c>
      <c r="BD200" s="129">
        <f>VLOOKUP($D200,'WB Data 2'!$C$2:$K$545,6,FALSE)</f>
        <v>2036570434.3154187</v>
      </c>
      <c r="BE200" s="129" t="str">
        <f>IFERROR(VLOOKUP($D200,UNCTAD!$C$5:$V$529,4,FALSE),"..")</f>
        <v>..</v>
      </c>
      <c r="BF200" s="846" t="str">
        <f t="shared" si="42"/>
        <v>..</v>
      </c>
      <c r="BG200" s="117">
        <f>VLOOKUP($D200,'WB Data'!$C$3:$M$578,5,FALSE)</f>
        <v>540500000</v>
      </c>
      <c r="BH200" s="129">
        <f>IFERROR($BB200/$BG200,"..")</f>
        <v>6.8015668062482932</v>
      </c>
      <c r="BI200" s="117">
        <f>IFERROR(VLOOKUP($D200,'WB Data'!$C$3:$M$578,7,FALSE)/100,"..")</f>
        <v>3.4795099999999995E-2</v>
      </c>
      <c r="BJ200" s="117">
        <f>IFERROR($BI200*$AW200,"..")</f>
        <v>821946656.66069937</v>
      </c>
      <c r="BK200" s="846">
        <f>IFERROR($BB200/$BJ200,"..")</f>
        <v>4.472610027653853</v>
      </c>
      <c r="BL200" s="117">
        <f>IFERROR(VLOOKUP($D200,'WB Data'!$C$3:$M$578,7,FALSE)/100,"..")</f>
        <v>3.4795099999999995E-2</v>
      </c>
      <c r="BM200" s="117">
        <f>IFERROR($AW200*$BL200,"..")</f>
        <v>821946656.66069937</v>
      </c>
      <c r="BN200" s="846">
        <f>IFERROR($BB200/$BM200,"..")</f>
        <v>4.472610027653853</v>
      </c>
      <c r="BO200" s="801">
        <f t="shared" si="38"/>
        <v>27</v>
      </c>
      <c r="BP200" s="117" t="str">
        <f>VLOOKUP($D200,'WB Data'!$C$3:$M$578,9,FALSE)</f>
        <v>..</v>
      </c>
      <c r="BQ200" s="117">
        <f>VLOOKUP($D200,'WB Data'!$C$3:$M$578,10,FALSE)</f>
        <v>53.694829268292686</v>
      </c>
      <c r="BR200" s="117">
        <f>VLOOKUP($D200,'WB Data'!$C$3:$M$578,11,FALSE)</f>
        <v>66</v>
      </c>
      <c r="BS200" s="129" t="str">
        <f>IFERROR(VLOOKUP($D200,'WB Data 2'!$C$2:$K$545,9,FALSE),"..")</f>
        <v>..</v>
      </c>
      <c r="BT200" s="129">
        <f>_xlfn.IFNA(VLOOKUP($C200,RGI!$A$2:$C$43,2,FALSE),"..")</f>
        <v>41.8</v>
      </c>
      <c r="BU200" s="129">
        <f>_xlfn.IFNA(VLOOKUP($C200,RGI!$A$2:$C$43,3,FALSE),"..")</f>
        <v>34.155297028034767</v>
      </c>
      <c r="BV200" s="129">
        <f>VLOOKUP($D200,WGI!$C$2:$O$478,7,FALSE)</f>
        <v>-1.07973605973121</v>
      </c>
      <c r="BW200" s="129">
        <f>VLOOKUP($D200,WGI!$C$2:$O$478,4,FALSE)</f>
        <v>-0.72685652050563199</v>
      </c>
      <c r="BX200" s="129">
        <f>VLOOKUP($D200,WGI!$C$2:$O$478,3,FALSE)</f>
        <v>-0.87505469664290703</v>
      </c>
      <c r="BY200" s="129">
        <f>VLOOKUP($D200,WGI!$C$2:$O$478,5,FALSE)</f>
        <v>-0.72577823591609703</v>
      </c>
      <c r="BZ200" s="129">
        <f>VLOOKUP($D200,WGI!$C$2:$O$478,2,FALSE)</f>
        <v>-0.98466655509401002</v>
      </c>
    </row>
    <row r="201" spans="1:80" s="144" customFormat="1" ht="15" customHeight="1">
      <c r="A201" s="279" t="s">
        <v>121</v>
      </c>
      <c r="B201" s="132">
        <v>2011</v>
      </c>
      <c r="C201" s="132" t="s">
        <v>101</v>
      </c>
      <c r="D201" s="117" t="s">
        <v>3694</v>
      </c>
      <c r="E201" s="132" t="s">
        <v>86</v>
      </c>
      <c r="F201" s="132" t="s">
        <v>863</v>
      </c>
      <c r="G201" s="132" t="s">
        <v>35</v>
      </c>
      <c r="H201" s="117" t="str">
        <f t="shared" si="33"/>
        <v>yes</v>
      </c>
      <c r="I201" s="117" t="str">
        <f t="shared" si="34"/>
        <v>yes</v>
      </c>
      <c r="J201" s="117" t="str">
        <f t="shared" si="35"/>
        <v>yes</v>
      </c>
      <c r="K201" s="182" t="s">
        <v>709</v>
      </c>
      <c r="L201" s="117" t="str">
        <f t="shared" si="37"/>
        <v>Total</v>
      </c>
      <c r="M201" s="117" t="str">
        <f t="shared" si="36"/>
        <v>Total Oil, Gas, Mining</v>
      </c>
      <c r="N201" s="238"/>
      <c r="O201" s="238"/>
      <c r="P201" s="238"/>
      <c r="Q201" s="238"/>
      <c r="R201" s="238"/>
      <c r="S201" s="132"/>
      <c r="T201" s="134"/>
      <c r="U201" s="132"/>
      <c r="V201" s="132"/>
      <c r="W201" s="299">
        <f>W202+W205</f>
        <v>2650172583.6000004</v>
      </c>
      <c r="X201" s="132" t="s">
        <v>918</v>
      </c>
      <c r="Y201" s="132" t="s">
        <v>663</v>
      </c>
      <c r="Z201" s="132" t="s">
        <v>664</v>
      </c>
      <c r="AA201" s="183">
        <f>AA202+AA205</f>
        <v>1566909552.6100264</v>
      </c>
      <c r="AB201" s="183">
        <f>AB202+AB205</f>
        <v>1566523264.9798601</v>
      </c>
      <c r="AC201" s="138" t="s">
        <v>941</v>
      </c>
      <c r="AD201" s="160">
        <f>AA201+((229595160+54775033)/AH201)</f>
        <v>1567525726.0255537</v>
      </c>
      <c r="AE201" s="138" t="s">
        <v>665</v>
      </c>
      <c r="AF201" s="306">
        <f>AD201/W201</f>
        <v>0.59148062119645928</v>
      </c>
      <c r="AG201" s="132" t="s">
        <v>919</v>
      </c>
      <c r="AH201" s="140">
        <v>461.51</v>
      </c>
      <c r="AI201" s="132" t="s">
        <v>722</v>
      </c>
      <c r="AJ201" s="132" t="s">
        <v>942</v>
      </c>
      <c r="AK201" s="132" t="s">
        <v>943</v>
      </c>
      <c r="AL201" s="135" t="s">
        <v>893</v>
      </c>
      <c r="AM201" s="160">
        <v>66233584.539999999</v>
      </c>
      <c r="AN201" s="132">
        <v>22</v>
      </c>
      <c r="AO201" s="132" t="s">
        <v>944</v>
      </c>
      <c r="AP201" s="132">
        <v>22</v>
      </c>
      <c r="AQ201" s="132" t="s">
        <v>122</v>
      </c>
      <c r="AR201" s="141">
        <v>41922</v>
      </c>
      <c r="AS201" s="132" t="s">
        <v>838</v>
      </c>
      <c r="AT201" s="132" t="s">
        <v>945</v>
      </c>
      <c r="AU201" s="132" t="s">
        <v>946</v>
      </c>
      <c r="AV201" s="143" t="s">
        <v>947</v>
      </c>
      <c r="AW201" s="117">
        <f>VLOOKUP($D201,'WB Data'!$C$3:$M$578,2,FALSE)</f>
        <v>26587310733.573769</v>
      </c>
      <c r="AX201" s="117">
        <f>VLOOKUP($D201,'WB Data'!$C$3:$M$578,3,FALSE)</f>
        <v>21156272</v>
      </c>
      <c r="AY201" s="847">
        <f t="shared" si="39"/>
        <v>5.8900847012799851E-2</v>
      </c>
      <c r="AZ201" s="117" t="e">
        <f>VLOOKUP($D201,'WB Data'!$C$3:$M$578,4,FALSE)/100</f>
        <v>#VALUE!</v>
      </c>
      <c r="BA201" s="117" t="str">
        <f t="shared" si="40"/>
        <v>..</v>
      </c>
      <c r="BB201" s="129">
        <f>IFERROR(VLOOKUP($D201,'EITI Revenues'!$C$2:$G$224,5,FALSE),"..")</f>
        <v>1566015122</v>
      </c>
      <c r="BC201" s="846" t="str">
        <f t="shared" si="41"/>
        <v>..</v>
      </c>
      <c r="BD201" s="129">
        <f>VLOOKUP($D201,'WB Data 2'!$C$2:$K$545,6,FALSE)</f>
        <v>260369548.2083627</v>
      </c>
      <c r="BE201" s="129" t="str">
        <f>IFERROR(VLOOKUP($D201,UNCTAD!$C$5:$V$529,4,FALSE),"..")</f>
        <v>..</v>
      </c>
      <c r="BF201" s="846" t="str">
        <f t="shared" si="42"/>
        <v>..</v>
      </c>
      <c r="BG201" s="117">
        <f>VLOOKUP($D201,'WB Data'!$C$3:$M$578,5,FALSE)</f>
        <v>611840000</v>
      </c>
      <c r="BH201" s="129">
        <f>IFERROR($BB201/$BG201,"..")</f>
        <v>2.5595173934361926</v>
      </c>
      <c r="BI201" s="117">
        <f>IFERROR(VLOOKUP($D201,'WB Data'!$C$3:$M$578,7,FALSE)/100,"..")</f>
        <v>3.1847199999999999E-2</v>
      </c>
      <c r="BJ201" s="117">
        <f>IFERROR($BI201*$AW201,"..")</f>
        <v>846731402.39427054</v>
      </c>
      <c r="BK201" s="846">
        <f>IFERROR($BB201/$BJ201,"..")</f>
        <v>1.849482749277797</v>
      </c>
      <c r="BL201" s="117">
        <f>IFERROR(VLOOKUP($D201,'WB Data'!$C$3:$M$578,7,FALSE)/100,"..")</f>
        <v>3.1847199999999999E-2</v>
      </c>
      <c r="BM201" s="117">
        <f>IFERROR($AW201*$BL201,"..")</f>
        <v>846731402.39427054</v>
      </c>
      <c r="BN201" s="846">
        <f>IFERROR($BB201/$BM201,"..")</f>
        <v>1.849482749277797</v>
      </c>
      <c r="BO201" s="801">
        <f t="shared" si="38"/>
        <v>27</v>
      </c>
      <c r="BP201" s="117" t="str">
        <f>VLOOKUP($D201,'WB Data'!$C$3:$M$578,9,FALSE)</f>
        <v>..</v>
      </c>
      <c r="BQ201" s="117">
        <f>VLOOKUP($D201,'WB Data'!$C$3:$M$578,10,FALSE)</f>
        <v>54.137365853658544</v>
      </c>
      <c r="BR201" s="117">
        <f>VLOOKUP($D201,'WB Data'!$C$3:$M$578,11,FALSE)</f>
        <v>64.3</v>
      </c>
      <c r="BS201" s="129" t="str">
        <f>IFERROR(VLOOKUP($D201,'WB Data 2'!$C$2:$K$545,9,FALSE),"..")</f>
        <v>..</v>
      </c>
      <c r="BT201" s="129">
        <f>_xlfn.IFNA(VLOOKUP($C201,RGI!$A$2:$C$43,2,FALSE),"..")</f>
        <v>41.8</v>
      </c>
      <c r="BU201" s="129">
        <f>_xlfn.IFNA(VLOOKUP($C201,RGI!$A$2:$C$43,3,FALSE),"..")</f>
        <v>34.155297028034767</v>
      </c>
      <c r="BV201" s="129">
        <f>VLOOKUP($D201,WGI!$C$2:$O$478,7,FALSE)</f>
        <v>-1.04895192292356</v>
      </c>
      <c r="BW201" s="129">
        <f>VLOOKUP($D201,WGI!$C$2:$O$478,4,FALSE)</f>
        <v>-0.66230852929665596</v>
      </c>
      <c r="BX201" s="129">
        <f>VLOOKUP($D201,WGI!$C$2:$O$478,3,FALSE)</f>
        <v>-0.87489524530902296</v>
      </c>
      <c r="BY201" s="129">
        <f>VLOOKUP($D201,WGI!$C$2:$O$478,5,FALSE)</f>
        <v>-0.78985038430656396</v>
      </c>
      <c r="BZ201" s="129">
        <f>VLOOKUP($D201,WGI!$C$2:$O$478,2,FALSE)</f>
        <v>-1.0381540956325599</v>
      </c>
      <c r="CB201" s="129"/>
    </row>
    <row r="202" spans="1:80" s="120" customFormat="1" ht="15" customHeight="1">
      <c r="A202" s="280" t="s">
        <v>121</v>
      </c>
      <c r="B202" s="117">
        <v>2011</v>
      </c>
      <c r="C202" s="117" t="s">
        <v>101</v>
      </c>
      <c r="D202" s="117" t="s">
        <v>3694</v>
      </c>
      <c r="E202" s="117" t="s">
        <v>86</v>
      </c>
      <c r="F202" s="117"/>
      <c r="G202" s="117" t="s">
        <v>55</v>
      </c>
      <c r="H202" s="117" t="str">
        <f t="shared" si="33"/>
        <v>no</v>
      </c>
      <c r="I202" s="117" t="str">
        <f t="shared" si="34"/>
        <v>yes</v>
      </c>
      <c r="J202" s="117" t="str">
        <f t="shared" si="35"/>
        <v>yes</v>
      </c>
      <c r="K202" s="176" t="s">
        <v>640</v>
      </c>
      <c r="L202" s="117" t="str">
        <f t="shared" si="37"/>
        <v>Total</v>
      </c>
      <c r="M202" s="117" t="str">
        <f t="shared" si="36"/>
        <v>Total Oil, Gas</v>
      </c>
      <c r="N202" s="179"/>
      <c r="O202" s="179"/>
      <c r="P202" s="179"/>
      <c r="Q202" s="179"/>
      <c r="R202" s="179"/>
      <c r="S202" s="117"/>
      <c r="T202" s="119"/>
      <c r="U202" s="117"/>
      <c r="V202" s="117"/>
      <c r="W202" s="89">
        <f>SUM(W203:W204)</f>
        <v>2638418491.9848757</v>
      </c>
      <c r="X202" s="117"/>
      <c r="Y202" s="117"/>
      <c r="Z202" s="117"/>
      <c r="AA202" s="177">
        <f>1498696750.23726+AM202</f>
        <v>1564930334.7772601</v>
      </c>
      <c r="AB202" s="177">
        <f>1499177300.43986+AM202</f>
        <v>1565410884.9798601</v>
      </c>
      <c r="AC202" s="122"/>
      <c r="AD202" s="122"/>
      <c r="AE202" s="122"/>
      <c r="AF202" s="123">
        <f>AA202/W202</f>
        <v>0.59313196126061374</v>
      </c>
      <c r="AG202" s="117"/>
      <c r="AH202" s="124"/>
      <c r="AI202" s="117"/>
      <c r="AJ202" s="117" t="s">
        <v>942</v>
      </c>
      <c r="AK202" s="117" t="s">
        <v>943</v>
      </c>
      <c r="AL202" s="89" t="s">
        <v>893</v>
      </c>
      <c r="AM202" s="177">
        <v>66233584.539999999</v>
      </c>
      <c r="AN202" s="117">
        <v>18</v>
      </c>
      <c r="AO202" s="117" t="s">
        <v>948</v>
      </c>
      <c r="AP202" s="117">
        <v>18</v>
      </c>
      <c r="AQ202" s="117"/>
      <c r="AR202" s="126"/>
      <c r="AS202" s="117"/>
      <c r="AT202" s="117"/>
      <c r="AU202" s="117" t="s">
        <v>949</v>
      </c>
      <c r="AV202" s="128"/>
      <c r="AW202" s="117">
        <f>VLOOKUP($D202,'WB Data'!$C$3:$M$578,2,FALSE)</f>
        <v>26587310733.573769</v>
      </c>
      <c r="AX202" s="117">
        <f>VLOOKUP($D202,'WB Data'!$C$3:$M$578,3,FALSE)</f>
        <v>21156272</v>
      </c>
      <c r="AY202" s="847">
        <f t="shared" si="39"/>
        <v>5.8900847012799851E-2</v>
      </c>
      <c r="AZ202" s="117" t="e">
        <f>VLOOKUP($D202,'WB Data'!$C$3:$M$578,4,FALSE)/100</f>
        <v>#VALUE!</v>
      </c>
      <c r="BA202" s="117" t="str">
        <f t="shared" si="40"/>
        <v>..</v>
      </c>
      <c r="BB202" s="129">
        <f>IFERROR(VLOOKUP($D202,'EITI Revenues'!$C$2:$G$224,5,FALSE),"..")</f>
        <v>1566015122</v>
      </c>
      <c r="BC202" s="846" t="str">
        <f t="shared" si="41"/>
        <v>..</v>
      </c>
      <c r="BD202" s="129">
        <f>VLOOKUP($D202,'WB Data 2'!$C$2:$K$545,6,FALSE)</f>
        <v>260369548.2083627</v>
      </c>
      <c r="BE202" s="129" t="str">
        <f>IFERROR(VLOOKUP($D202,UNCTAD!$C$5:$V$529,4,FALSE),"..")</f>
        <v>..</v>
      </c>
      <c r="BF202" s="846" t="str">
        <f t="shared" si="42"/>
        <v>..</v>
      </c>
      <c r="BG202" s="117">
        <f>VLOOKUP($D202,'WB Data'!$C$3:$M$578,5,FALSE)</f>
        <v>611840000</v>
      </c>
      <c r="BH202" s="129">
        <f>IFERROR($BB202/$BG202,"..")</f>
        <v>2.5595173934361926</v>
      </c>
      <c r="BI202" s="117">
        <f>IFERROR(VLOOKUP($D202,'WB Data'!$C$3:$M$578,7,FALSE)/100,"..")</f>
        <v>3.1847199999999999E-2</v>
      </c>
      <c r="BJ202" s="117">
        <f>IFERROR($BI202*$AW202,"..")</f>
        <v>846731402.39427054</v>
      </c>
      <c r="BK202" s="846">
        <f>IFERROR($BB202/$BJ202,"..")</f>
        <v>1.849482749277797</v>
      </c>
      <c r="BL202" s="117">
        <f>IFERROR(VLOOKUP($D202,'WB Data'!$C$3:$M$578,7,FALSE)/100,"..")</f>
        <v>3.1847199999999999E-2</v>
      </c>
      <c r="BM202" s="117">
        <f>IFERROR($AW202*$BL202,"..")</f>
        <v>846731402.39427054</v>
      </c>
      <c r="BN202" s="846">
        <f>IFERROR($BB202/$BM202,"..")</f>
        <v>1.849482749277797</v>
      </c>
      <c r="BO202" s="801">
        <f t="shared" si="38"/>
        <v>27</v>
      </c>
      <c r="BP202" s="117" t="str">
        <f>VLOOKUP($D202,'WB Data'!$C$3:$M$578,9,FALSE)</f>
        <v>..</v>
      </c>
      <c r="BQ202" s="117">
        <f>VLOOKUP($D202,'WB Data'!$C$3:$M$578,10,FALSE)</f>
        <v>54.137365853658544</v>
      </c>
      <c r="BR202" s="117">
        <f>VLOOKUP($D202,'WB Data'!$C$3:$M$578,11,FALSE)</f>
        <v>64.3</v>
      </c>
      <c r="BS202" s="129" t="str">
        <f>IFERROR(VLOOKUP($D202,'WB Data 2'!$C$2:$K$545,9,FALSE),"..")</f>
        <v>..</v>
      </c>
      <c r="BT202" s="129">
        <f>_xlfn.IFNA(VLOOKUP($C202,RGI!$A$2:$C$43,2,FALSE),"..")</f>
        <v>41.8</v>
      </c>
      <c r="BU202" s="129">
        <f>_xlfn.IFNA(VLOOKUP($C202,RGI!$A$2:$C$43,3,FALSE),"..")</f>
        <v>34.155297028034767</v>
      </c>
      <c r="BV202" s="129">
        <f>VLOOKUP($D202,WGI!$C$2:$O$478,7,FALSE)</f>
        <v>-1.04895192292356</v>
      </c>
      <c r="BW202" s="129">
        <f>VLOOKUP($D202,WGI!$C$2:$O$478,4,FALSE)</f>
        <v>-0.66230852929665596</v>
      </c>
      <c r="BX202" s="129">
        <f>VLOOKUP($D202,WGI!$C$2:$O$478,3,FALSE)</f>
        <v>-0.87489524530902296</v>
      </c>
      <c r="BY202" s="129">
        <f>VLOOKUP($D202,WGI!$C$2:$O$478,5,FALSE)</f>
        <v>-0.78985038430656396</v>
      </c>
      <c r="BZ202" s="129">
        <f>VLOOKUP($D202,WGI!$C$2:$O$478,2,FALSE)</f>
        <v>-1.0381540956325599</v>
      </c>
      <c r="CB202" s="129"/>
    </row>
    <row r="203" spans="1:80" s="120" customFormat="1" ht="15" customHeight="1">
      <c r="A203" s="280" t="s">
        <v>121</v>
      </c>
      <c r="B203" s="117">
        <v>2011</v>
      </c>
      <c r="C203" s="117" t="s">
        <v>101</v>
      </c>
      <c r="D203" s="117" t="s">
        <v>3694</v>
      </c>
      <c r="E203" s="117" t="s">
        <v>86</v>
      </c>
      <c r="F203" s="117"/>
      <c r="G203" s="117" t="s">
        <v>561</v>
      </c>
      <c r="H203" s="117" t="str">
        <f t="shared" si="33"/>
        <v>no</v>
      </c>
      <c r="I203" s="117" t="str">
        <f t="shared" si="34"/>
        <v>yes</v>
      </c>
      <c r="J203" s="117" t="str">
        <f t="shared" si="35"/>
        <v>no</v>
      </c>
      <c r="K203" s="176" t="s">
        <v>561</v>
      </c>
      <c r="L203" s="117" t="str">
        <f t="shared" si="37"/>
        <v>detailed</v>
      </c>
      <c r="M203" s="117" t="str">
        <f t="shared" si="36"/>
        <v>detailed Gas</v>
      </c>
      <c r="N203" s="179">
        <f>85000000000*0.0283168</f>
        <v>2406928000</v>
      </c>
      <c r="O203" s="118">
        <f>N203*0.0066</f>
        <v>15885724.800000001</v>
      </c>
      <c r="P203" s="179"/>
      <c r="Q203" s="179"/>
      <c r="R203" s="179"/>
      <c r="S203" s="117" t="s">
        <v>642</v>
      </c>
      <c r="T203" s="119">
        <v>0.19666043794616025</v>
      </c>
      <c r="U203" s="117" t="s">
        <v>643</v>
      </c>
      <c r="V203" s="117" t="s">
        <v>880</v>
      </c>
      <c r="W203" s="89">
        <f>N203*T203</f>
        <v>473347514.58487558</v>
      </c>
      <c r="X203" s="117"/>
      <c r="Y203" s="117"/>
      <c r="Z203" s="117"/>
      <c r="AA203" s="211">
        <f>W203/W204</f>
        <v>0.21862909785678769</v>
      </c>
      <c r="AB203" s="177"/>
      <c r="AC203" s="122"/>
      <c r="AD203" s="122"/>
      <c r="AE203" s="122"/>
      <c r="AF203" s="123"/>
      <c r="AG203" s="117"/>
      <c r="AH203" s="124"/>
      <c r="AI203" s="117"/>
      <c r="AJ203" s="117"/>
      <c r="AK203" s="117"/>
      <c r="AL203" s="117"/>
      <c r="AM203" s="117"/>
      <c r="AN203" s="117"/>
      <c r="AO203" s="117"/>
      <c r="AP203" s="117"/>
      <c r="AQ203" s="117"/>
      <c r="AR203" s="126"/>
      <c r="AS203" s="117"/>
      <c r="AT203" s="117"/>
      <c r="AU203" s="117"/>
      <c r="AV203" s="128"/>
      <c r="AW203" s="117">
        <f>VLOOKUP($D203,'WB Data'!$C$3:$M$578,2,FALSE)</f>
        <v>26587310733.573769</v>
      </c>
      <c r="AX203" s="117">
        <f>VLOOKUP($D203,'WB Data'!$C$3:$M$578,3,FALSE)</f>
        <v>21156272</v>
      </c>
      <c r="AY203" s="847">
        <f t="shared" si="39"/>
        <v>5.8900847012799851E-2</v>
      </c>
      <c r="AZ203" s="117" t="e">
        <f>VLOOKUP($D203,'WB Data'!$C$3:$M$578,4,FALSE)/100</f>
        <v>#VALUE!</v>
      </c>
      <c r="BA203" s="117" t="str">
        <f t="shared" si="40"/>
        <v>..</v>
      </c>
      <c r="BB203" s="129">
        <f>IFERROR(VLOOKUP($D203,'EITI Revenues'!$C$2:$G$224,5,FALSE),"..")</f>
        <v>1566015122</v>
      </c>
      <c r="BC203" s="846" t="str">
        <f t="shared" si="41"/>
        <v>..</v>
      </c>
      <c r="BD203" s="129">
        <f>VLOOKUP($D203,'WB Data 2'!$C$2:$K$545,6,FALSE)</f>
        <v>260369548.2083627</v>
      </c>
      <c r="BE203" s="129" t="str">
        <f>IFERROR(VLOOKUP($D203,UNCTAD!$C$5:$V$529,4,FALSE),"..")</f>
        <v>..</v>
      </c>
      <c r="BF203" s="846" t="str">
        <f t="shared" si="42"/>
        <v>..</v>
      </c>
      <c r="BG203" s="117">
        <f>VLOOKUP($D203,'WB Data'!$C$3:$M$578,5,FALSE)</f>
        <v>611840000</v>
      </c>
      <c r="BH203" s="129">
        <f>IFERROR($BB203/$BG203,"..")</f>
        <v>2.5595173934361926</v>
      </c>
      <c r="BI203" s="117">
        <f>IFERROR(VLOOKUP($D203,'WB Data'!$C$3:$M$578,7,FALSE)/100,"..")</f>
        <v>3.1847199999999999E-2</v>
      </c>
      <c r="BJ203" s="117">
        <f>IFERROR($BI203*$AW203,"..")</f>
        <v>846731402.39427054</v>
      </c>
      <c r="BK203" s="846">
        <f>IFERROR($BB203/$BJ203,"..")</f>
        <v>1.849482749277797</v>
      </c>
      <c r="BL203" s="117">
        <f>IFERROR(VLOOKUP($D203,'WB Data'!$C$3:$M$578,7,FALSE)/100,"..")</f>
        <v>3.1847199999999999E-2</v>
      </c>
      <c r="BM203" s="117">
        <f>IFERROR($AW203*$BL203,"..")</f>
        <v>846731402.39427054</v>
      </c>
      <c r="BN203" s="846">
        <f>IFERROR($BB203/$BM203,"..")</f>
        <v>1.849482749277797</v>
      </c>
      <c r="BO203" s="801">
        <f t="shared" si="38"/>
        <v>27</v>
      </c>
      <c r="BP203" s="117" t="str">
        <f>VLOOKUP($D203,'WB Data'!$C$3:$M$578,9,FALSE)</f>
        <v>..</v>
      </c>
      <c r="BQ203" s="117">
        <f>VLOOKUP($D203,'WB Data'!$C$3:$M$578,10,FALSE)</f>
        <v>54.137365853658544</v>
      </c>
      <c r="BR203" s="117">
        <f>VLOOKUP($D203,'WB Data'!$C$3:$M$578,11,FALSE)</f>
        <v>64.3</v>
      </c>
      <c r="BS203" s="129" t="str">
        <f>IFERROR(VLOOKUP($D203,'WB Data 2'!$C$2:$K$545,9,FALSE),"..")</f>
        <v>..</v>
      </c>
      <c r="BT203" s="129">
        <f>_xlfn.IFNA(VLOOKUP($C203,RGI!$A$2:$C$43,2,FALSE),"..")</f>
        <v>41.8</v>
      </c>
      <c r="BU203" s="129">
        <f>_xlfn.IFNA(VLOOKUP($C203,RGI!$A$2:$C$43,3,FALSE),"..")</f>
        <v>34.155297028034767</v>
      </c>
      <c r="BV203" s="129">
        <f>VLOOKUP($D203,WGI!$C$2:$O$478,7,FALSE)</f>
        <v>-1.04895192292356</v>
      </c>
      <c r="BW203" s="129">
        <f>VLOOKUP($D203,WGI!$C$2:$O$478,4,FALSE)</f>
        <v>-0.66230852929665596</v>
      </c>
      <c r="BX203" s="129">
        <f>VLOOKUP($D203,WGI!$C$2:$O$478,3,FALSE)</f>
        <v>-0.87489524530902296</v>
      </c>
      <c r="BY203" s="129">
        <f>VLOOKUP($D203,WGI!$C$2:$O$478,5,FALSE)</f>
        <v>-0.78985038430656396</v>
      </c>
      <c r="BZ203" s="129">
        <f>VLOOKUP($D203,WGI!$C$2:$O$478,2,FALSE)</f>
        <v>-1.0381540956325599</v>
      </c>
      <c r="CB203" s="129"/>
    </row>
    <row r="204" spans="1:80" s="120" customFormat="1" ht="15" customHeight="1">
      <c r="A204" s="280" t="s">
        <v>121</v>
      </c>
      <c r="B204" s="117">
        <v>2011</v>
      </c>
      <c r="C204" s="117" t="s">
        <v>101</v>
      </c>
      <c r="D204" s="117" t="s">
        <v>3694</v>
      </c>
      <c r="E204" s="117" t="s">
        <v>86</v>
      </c>
      <c r="F204" s="117"/>
      <c r="G204" s="117" t="s">
        <v>103</v>
      </c>
      <c r="H204" s="117" t="str">
        <f t="shared" si="33"/>
        <v>no</v>
      </c>
      <c r="I204" s="117" t="str">
        <f t="shared" si="34"/>
        <v>no</v>
      </c>
      <c r="J204" s="117" t="str">
        <f t="shared" si="35"/>
        <v>yes</v>
      </c>
      <c r="K204" s="176" t="s">
        <v>103</v>
      </c>
      <c r="L204" s="117" t="str">
        <f t="shared" si="37"/>
        <v>detailed</v>
      </c>
      <c r="M204" s="117" t="str">
        <f t="shared" si="36"/>
        <v>detailed Oil</v>
      </c>
      <c r="N204" s="118">
        <v>21400000</v>
      </c>
      <c r="O204" s="211">
        <f>O203/N204</f>
        <v>0.74232358878504678</v>
      </c>
      <c r="P204" s="89">
        <v>21426672</v>
      </c>
      <c r="Q204" s="89"/>
      <c r="R204" s="89"/>
      <c r="S204" s="117" t="s">
        <v>646</v>
      </c>
      <c r="T204" s="119">
        <f>106.53*0.9497</f>
        <v>101.171541</v>
      </c>
      <c r="U204" s="117" t="s">
        <v>673</v>
      </c>
      <c r="V204" s="117" t="s">
        <v>898</v>
      </c>
      <c r="W204" s="89">
        <f>N204*T204</f>
        <v>2165070977.4000001</v>
      </c>
      <c r="X204" s="117"/>
      <c r="Y204" s="117"/>
      <c r="Z204" s="117"/>
      <c r="AA204" s="177"/>
      <c r="AB204" s="177"/>
      <c r="AC204" s="122"/>
      <c r="AD204" s="177"/>
      <c r="AE204" s="122"/>
      <c r="AF204" s="123"/>
      <c r="AG204" s="117"/>
      <c r="AH204" s="124"/>
      <c r="AI204" s="117"/>
      <c r="AJ204" s="117" t="s">
        <v>942</v>
      </c>
      <c r="AK204" s="117" t="s">
        <v>943</v>
      </c>
      <c r="AL204" s="117"/>
      <c r="AM204" s="117"/>
      <c r="AN204" s="117">
        <v>10</v>
      </c>
      <c r="AO204" s="117"/>
      <c r="AP204" s="117"/>
      <c r="AQ204" s="117"/>
      <c r="AR204" s="126"/>
      <c r="AS204" s="117"/>
      <c r="AT204" s="117"/>
      <c r="AU204" s="117">
        <v>50</v>
      </c>
      <c r="AV204" s="128"/>
      <c r="AW204" s="117">
        <f>VLOOKUP($D204,'WB Data'!$C$3:$M$578,2,FALSE)</f>
        <v>26587310733.573769</v>
      </c>
      <c r="AX204" s="117">
        <f>VLOOKUP($D204,'WB Data'!$C$3:$M$578,3,FALSE)</f>
        <v>21156272</v>
      </c>
      <c r="AY204" s="847">
        <f t="shared" si="39"/>
        <v>5.8900847012799851E-2</v>
      </c>
      <c r="AZ204" s="117" t="e">
        <f>VLOOKUP($D204,'WB Data'!$C$3:$M$578,4,FALSE)/100</f>
        <v>#VALUE!</v>
      </c>
      <c r="BA204" s="117" t="str">
        <f t="shared" si="40"/>
        <v>..</v>
      </c>
      <c r="BB204" s="129">
        <f>IFERROR(VLOOKUP($D204,'EITI Revenues'!$C$2:$G$224,5,FALSE),"..")</f>
        <v>1566015122</v>
      </c>
      <c r="BC204" s="846" t="str">
        <f t="shared" si="41"/>
        <v>..</v>
      </c>
      <c r="BD204" s="129">
        <f>VLOOKUP($D204,'WB Data 2'!$C$2:$K$545,6,FALSE)</f>
        <v>260369548.2083627</v>
      </c>
      <c r="BE204" s="129" t="str">
        <f>IFERROR(VLOOKUP($D204,UNCTAD!$C$5:$V$529,4,FALSE),"..")</f>
        <v>..</v>
      </c>
      <c r="BF204" s="846" t="str">
        <f t="shared" si="42"/>
        <v>..</v>
      </c>
      <c r="BG204" s="117">
        <f>VLOOKUP($D204,'WB Data'!$C$3:$M$578,5,FALSE)</f>
        <v>611840000</v>
      </c>
      <c r="BH204" s="129">
        <f>IFERROR($BB204/$BG204,"..")</f>
        <v>2.5595173934361926</v>
      </c>
      <c r="BI204" s="117">
        <f>IFERROR(VLOOKUP($D204,'WB Data'!$C$3:$M$578,7,FALSE)/100,"..")</f>
        <v>3.1847199999999999E-2</v>
      </c>
      <c r="BJ204" s="117">
        <f>IFERROR($BI204*$AW204,"..")</f>
        <v>846731402.39427054</v>
      </c>
      <c r="BK204" s="846">
        <f>IFERROR($BB204/$BJ204,"..")</f>
        <v>1.849482749277797</v>
      </c>
      <c r="BL204" s="117">
        <f>IFERROR(VLOOKUP($D204,'WB Data'!$C$3:$M$578,7,FALSE)/100,"..")</f>
        <v>3.1847199999999999E-2</v>
      </c>
      <c r="BM204" s="117">
        <f>IFERROR($AW204*$BL204,"..")</f>
        <v>846731402.39427054</v>
      </c>
      <c r="BN204" s="846">
        <f>IFERROR($BB204/$BM204,"..")</f>
        <v>1.849482749277797</v>
      </c>
      <c r="BO204" s="801">
        <f t="shared" si="38"/>
        <v>27</v>
      </c>
      <c r="BP204" s="117" t="str">
        <f>VLOOKUP($D204,'WB Data'!$C$3:$M$578,9,FALSE)</f>
        <v>..</v>
      </c>
      <c r="BQ204" s="117">
        <f>VLOOKUP($D204,'WB Data'!$C$3:$M$578,10,FALSE)</f>
        <v>54.137365853658544</v>
      </c>
      <c r="BR204" s="117">
        <f>VLOOKUP($D204,'WB Data'!$C$3:$M$578,11,FALSE)</f>
        <v>64.3</v>
      </c>
      <c r="BS204" s="129" t="str">
        <f>IFERROR(VLOOKUP($D204,'WB Data 2'!$C$2:$K$545,9,FALSE),"..")</f>
        <v>..</v>
      </c>
      <c r="BT204" s="129">
        <f>_xlfn.IFNA(VLOOKUP($C204,RGI!$A$2:$C$43,2,FALSE),"..")</f>
        <v>41.8</v>
      </c>
      <c r="BU204" s="129">
        <f>_xlfn.IFNA(VLOOKUP($C204,RGI!$A$2:$C$43,3,FALSE),"..")</f>
        <v>34.155297028034767</v>
      </c>
      <c r="BV204" s="129">
        <f>VLOOKUP($D204,WGI!$C$2:$O$478,7,FALSE)</f>
        <v>-1.04895192292356</v>
      </c>
      <c r="BW204" s="129">
        <f>VLOOKUP($D204,WGI!$C$2:$O$478,4,FALSE)</f>
        <v>-0.66230852929665596</v>
      </c>
      <c r="BX204" s="129">
        <f>VLOOKUP($D204,WGI!$C$2:$O$478,3,FALSE)</f>
        <v>-0.87489524530902296</v>
      </c>
      <c r="BY204" s="129">
        <f>VLOOKUP($D204,WGI!$C$2:$O$478,5,FALSE)</f>
        <v>-0.78985038430656396</v>
      </c>
      <c r="BZ204" s="129">
        <f>VLOOKUP($D204,WGI!$C$2:$O$478,2,FALSE)</f>
        <v>-1.0381540956325599</v>
      </c>
      <c r="CB204" s="129"/>
    </row>
    <row r="205" spans="1:80" s="120" customFormat="1" ht="15" customHeight="1">
      <c r="A205" s="280" t="s">
        <v>121</v>
      </c>
      <c r="B205" s="117">
        <v>2011</v>
      </c>
      <c r="C205" s="117" t="s">
        <v>101</v>
      </c>
      <c r="D205" s="117" t="s">
        <v>3694</v>
      </c>
      <c r="E205" s="117" t="s">
        <v>86</v>
      </c>
      <c r="F205" s="117"/>
      <c r="G205" s="117" t="s">
        <v>24</v>
      </c>
      <c r="H205" s="117" t="str">
        <f t="shared" si="33"/>
        <v>yes</v>
      </c>
      <c r="I205" s="117" t="str">
        <f t="shared" si="34"/>
        <v>no</v>
      </c>
      <c r="J205" s="117" t="str">
        <f t="shared" si="35"/>
        <v>no</v>
      </c>
      <c r="K205" s="176" t="s">
        <v>600</v>
      </c>
      <c r="L205" s="117" t="str">
        <f t="shared" si="37"/>
        <v>Total</v>
      </c>
      <c r="M205" s="117" t="str">
        <f t="shared" si="36"/>
        <v>Total Mining</v>
      </c>
      <c r="N205" s="179"/>
      <c r="O205" s="179"/>
      <c r="P205" s="179"/>
      <c r="Q205" s="179"/>
      <c r="R205" s="179"/>
      <c r="S205" s="117"/>
      <c r="T205" s="119"/>
      <c r="U205" s="117"/>
      <c r="V205" s="117"/>
      <c r="W205" s="89">
        <f>SUM(W206:W212)</f>
        <v>11754091.615124667</v>
      </c>
      <c r="X205" s="117"/>
      <c r="Y205" s="117"/>
      <c r="Z205" s="117"/>
      <c r="AA205" s="177">
        <v>1979217.8327663539</v>
      </c>
      <c r="AB205" s="177">
        <v>1112380</v>
      </c>
      <c r="AC205" s="122"/>
      <c r="AD205" s="122"/>
      <c r="AE205" s="122"/>
      <c r="AF205" s="123">
        <f>AA205/W205</f>
        <v>0.16838543526575717</v>
      </c>
      <c r="AG205" s="117"/>
      <c r="AH205" s="124"/>
      <c r="AI205" s="117"/>
      <c r="AJ205" s="117"/>
      <c r="AK205" s="117"/>
      <c r="AL205" s="117"/>
      <c r="AM205" s="117"/>
      <c r="AN205" s="117">
        <v>4</v>
      </c>
      <c r="AO205" s="117" t="s">
        <v>939</v>
      </c>
      <c r="AP205" s="117">
        <v>4</v>
      </c>
      <c r="AQ205" s="117"/>
      <c r="AR205" s="126"/>
      <c r="AS205" s="117"/>
      <c r="AT205" s="117"/>
      <c r="AU205" s="117" t="s">
        <v>950</v>
      </c>
      <c r="AV205" s="128"/>
      <c r="AW205" s="117">
        <f>VLOOKUP($D205,'WB Data'!$C$3:$M$578,2,FALSE)</f>
        <v>26587310733.573769</v>
      </c>
      <c r="AX205" s="117">
        <f>VLOOKUP($D205,'WB Data'!$C$3:$M$578,3,FALSE)</f>
        <v>21156272</v>
      </c>
      <c r="AY205" s="847">
        <f t="shared" si="39"/>
        <v>5.8900847012799851E-2</v>
      </c>
      <c r="AZ205" s="117" t="e">
        <f>VLOOKUP($D205,'WB Data'!$C$3:$M$578,4,FALSE)/100</f>
        <v>#VALUE!</v>
      </c>
      <c r="BA205" s="117" t="str">
        <f t="shared" si="40"/>
        <v>..</v>
      </c>
      <c r="BB205" s="129">
        <f>IFERROR(VLOOKUP($D205,'EITI Revenues'!$C$2:$G$224,5,FALSE),"..")</f>
        <v>1566015122</v>
      </c>
      <c r="BC205" s="846" t="str">
        <f t="shared" si="41"/>
        <v>..</v>
      </c>
      <c r="BD205" s="129">
        <f>VLOOKUP($D205,'WB Data 2'!$C$2:$K$545,6,FALSE)</f>
        <v>260369548.2083627</v>
      </c>
      <c r="BE205" s="129" t="str">
        <f>IFERROR(VLOOKUP($D205,UNCTAD!$C$5:$V$529,4,FALSE),"..")</f>
        <v>..</v>
      </c>
      <c r="BF205" s="846" t="str">
        <f t="shared" si="42"/>
        <v>..</v>
      </c>
      <c r="BG205" s="117">
        <f>VLOOKUP($D205,'WB Data'!$C$3:$M$578,5,FALSE)</f>
        <v>611840000</v>
      </c>
      <c r="BH205" s="129">
        <f>IFERROR($BB205/$BG205,"..")</f>
        <v>2.5595173934361926</v>
      </c>
      <c r="BI205" s="117">
        <f>IFERROR(VLOOKUP($D205,'WB Data'!$C$3:$M$578,7,FALSE)/100,"..")</f>
        <v>3.1847199999999999E-2</v>
      </c>
      <c r="BJ205" s="117">
        <f>IFERROR($BI205*$AW205,"..")</f>
        <v>846731402.39427054</v>
      </c>
      <c r="BK205" s="846">
        <f>IFERROR($BB205/$BJ205,"..")</f>
        <v>1.849482749277797</v>
      </c>
      <c r="BL205" s="117">
        <f>IFERROR(VLOOKUP($D205,'WB Data'!$C$3:$M$578,7,FALSE)/100,"..")</f>
        <v>3.1847199999999999E-2</v>
      </c>
      <c r="BM205" s="117">
        <f>IFERROR($AW205*$BL205,"..")</f>
        <v>846731402.39427054</v>
      </c>
      <c r="BN205" s="846">
        <f>IFERROR($BB205/$BM205,"..")</f>
        <v>1.849482749277797</v>
      </c>
      <c r="BO205" s="801">
        <f t="shared" si="38"/>
        <v>27</v>
      </c>
      <c r="BP205" s="117" t="str">
        <f>VLOOKUP($D205,'WB Data'!$C$3:$M$578,9,FALSE)</f>
        <v>..</v>
      </c>
      <c r="BQ205" s="117">
        <f>VLOOKUP($D205,'WB Data'!$C$3:$M$578,10,FALSE)</f>
        <v>54.137365853658544</v>
      </c>
      <c r="BR205" s="117">
        <f>VLOOKUP($D205,'WB Data'!$C$3:$M$578,11,FALSE)</f>
        <v>64.3</v>
      </c>
      <c r="BS205" s="129" t="str">
        <f>IFERROR(VLOOKUP($D205,'WB Data 2'!$C$2:$K$545,9,FALSE),"..")</f>
        <v>..</v>
      </c>
      <c r="BT205" s="129">
        <f>_xlfn.IFNA(VLOOKUP($C205,RGI!$A$2:$C$43,2,FALSE),"..")</f>
        <v>41.8</v>
      </c>
      <c r="BU205" s="129">
        <f>_xlfn.IFNA(VLOOKUP($C205,RGI!$A$2:$C$43,3,FALSE),"..")</f>
        <v>34.155297028034767</v>
      </c>
      <c r="BV205" s="129">
        <f>VLOOKUP($D205,WGI!$C$2:$O$478,7,FALSE)</f>
        <v>-1.04895192292356</v>
      </c>
      <c r="BW205" s="129">
        <f>VLOOKUP($D205,WGI!$C$2:$O$478,4,FALSE)</f>
        <v>-0.66230852929665596</v>
      </c>
      <c r="BX205" s="129">
        <f>VLOOKUP($D205,WGI!$C$2:$O$478,3,FALSE)</f>
        <v>-0.87489524530902296</v>
      </c>
      <c r="BY205" s="129">
        <f>VLOOKUP($D205,WGI!$C$2:$O$478,5,FALSE)</f>
        <v>-0.78985038430656396</v>
      </c>
      <c r="BZ205" s="129">
        <f>VLOOKUP($D205,WGI!$C$2:$O$478,2,FALSE)</f>
        <v>-1.0381540956325599</v>
      </c>
      <c r="CB205" s="129"/>
    </row>
    <row r="206" spans="1:80" s="120" customFormat="1" ht="15" customHeight="1">
      <c r="A206" s="280" t="s">
        <v>121</v>
      </c>
      <c r="B206" s="117">
        <v>2011</v>
      </c>
      <c r="C206" s="117" t="s">
        <v>101</v>
      </c>
      <c r="D206" s="117" t="s">
        <v>3694</v>
      </c>
      <c r="E206" s="117" t="s">
        <v>86</v>
      </c>
      <c r="F206" s="117"/>
      <c r="G206" s="117" t="s">
        <v>24</v>
      </c>
      <c r="H206" s="117" t="str">
        <f t="shared" si="33"/>
        <v>yes</v>
      </c>
      <c r="I206" s="117" t="str">
        <f t="shared" si="34"/>
        <v>no</v>
      </c>
      <c r="J206" s="117" t="str">
        <f t="shared" si="35"/>
        <v>no</v>
      </c>
      <c r="K206" s="176" t="s">
        <v>728</v>
      </c>
      <c r="L206" s="117" t="str">
        <f t="shared" si="37"/>
        <v>detailed</v>
      </c>
      <c r="M206" s="117" t="str">
        <f t="shared" si="36"/>
        <v>detailed Mining</v>
      </c>
      <c r="N206" s="179">
        <v>12000</v>
      </c>
      <c r="O206" s="179"/>
      <c r="P206" s="179">
        <f>13223*0.90718474</f>
        <v>11995.703817020001</v>
      </c>
      <c r="Q206" s="179"/>
      <c r="R206" s="179"/>
      <c r="S206" s="117" t="s">
        <v>610</v>
      </c>
      <c r="T206" s="119">
        <v>1.7</v>
      </c>
      <c r="U206" s="117" t="s">
        <v>611</v>
      </c>
      <c r="V206" s="117" t="s">
        <v>951</v>
      </c>
      <c r="W206" s="89">
        <f>P206*T206</f>
        <v>20392.696488934002</v>
      </c>
      <c r="X206" s="117"/>
      <c r="Y206" s="117"/>
      <c r="Z206" s="117"/>
      <c r="AA206" s="177"/>
      <c r="AB206" s="177"/>
      <c r="AC206" s="122"/>
      <c r="AD206" s="122"/>
      <c r="AE206" s="122"/>
      <c r="AF206" s="123"/>
      <c r="AG206" s="117"/>
      <c r="AH206" s="124"/>
      <c r="AI206" s="117"/>
      <c r="AJ206" s="117"/>
      <c r="AK206" s="117"/>
      <c r="AL206" s="117"/>
      <c r="AM206" s="117"/>
      <c r="AN206" s="117">
        <v>1</v>
      </c>
      <c r="AO206" s="117" t="s">
        <v>952</v>
      </c>
      <c r="AP206" s="117">
        <v>1</v>
      </c>
      <c r="AQ206" s="117"/>
      <c r="AR206" s="126"/>
      <c r="AS206" s="117"/>
      <c r="AT206" s="117"/>
      <c r="AU206" s="117" t="s">
        <v>953</v>
      </c>
      <c r="AV206" s="128"/>
      <c r="AW206" s="117">
        <f>VLOOKUP($D206,'WB Data'!$C$3:$M$578,2,FALSE)</f>
        <v>26587310733.573769</v>
      </c>
      <c r="AX206" s="117">
        <f>VLOOKUP($D206,'WB Data'!$C$3:$M$578,3,FALSE)</f>
        <v>21156272</v>
      </c>
      <c r="AY206" s="847">
        <f t="shared" si="39"/>
        <v>5.8900847012799851E-2</v>
      </c>
      <c r="AZ206" s="117" t="e">
        <f>VLOOKUP($D206,'WB Data'!$C$3:$M$578,4,FALSE)/100</f>
        <v>#VALUE!</v>
      </c>
      <c r="BA206" s="117" t="str">
        <f t="shared" si="40"/>
        <v>..</v>
      </c>
      <c r="BB206" s="129">
        <f>IFERROR(VLOOKUP($D206,'EITI Revenues'!$C$2:$G$224,5,FALSE),"..")</f>
        <v>1566015122</v>
      </c>
      <c r="BC206" s="846" t="str">
        <f t="shared" si="41"/>
        <v>..</v>
      </c>
      <c r="BD206" s="129">
        <f>VLOOKUP($D206,'WB Data 2'!$C$2:$K$545,6,FALSE)</f>
        <v>260369548.2083627</v>
      </c>
      <c r="BE206" s="129" t="str">
        <f>IFERROR(VLOOKUP($D206,UNCTAD!$C$5:$V$529,4,FALSE),"..")</f>
        <v>..</v>
      </c>
      <c r="BF206" s="846" t="str">
        <f t="shared" si="42"/>
        <v>..</v>
      </c>
      <c r="BG206" s="117">
        <f>VLOOKUP($D206,'WB Data'!$C$3:$M$578,5,FALSE)</f>
        <v>611840000</v>
      </c>
      <c r="BH206" s="129">
        <f>IFERROR($BB206/$BG206,"..")</f>
        <v>2.5595173934361926</v>
      </c>
      <c r="BI206" s="117">
        <f>IFERROR(VLOOKUP($D206,'WB Data'!$C$3:$M$578,7,FALSE)/100,"..")</f>
        <v>3.1847199999999999E-2</v>
      </c>
      <c r="BJ206" s="117">
        <f>IFERROR($BI206*$AW206,"..")</f>
        <v>846731402.39427054</v>
      </c>
      <c r="BK206" s="846">
        <f>IFERROR($BB206/$BJ206,"..")</f>
        <v>1.849482749277797</v>
      </c>
      <c r="BL206" s="117">
        <f>IFERROR(VLOOKUP($D206,'WB Data'!$C$3:$M$578,7,FALSE)/100,"..")</f>
        <v>3.1847199999999999E-2</v>
      </c>
      <c r="BM206" s="117">
        <f>IFERROR($AW206*$BL206,"..")</f>
        <v>846731402.39427054</v>
      </c>
      <c r="BN206" s="846">
        <f>IFERROR($BB206/$BM206,"..")</f>
        <v>1.849482749277797</v>
      </c>
      <c r="BO206" s="801">
        <f t="shared" si="38"/>
        <v>27</v>
      </c>
      <c r="BP206" s="117" t="str">
        <f>VLOOKUP($D206,'WB Data'!$C$3:$M$578,9,FALSE)</f>
        <v>..</v>
      </c>
      <c r="BQ206" s="117">
        <f>VLOOKUP($D206,'WB Data'!$C$3:$M$578,10,FALSE)</f>
        <v>54.137365853658544</v>
      </c>
      <c r="BR206" s="117">
        <f>VLOOKUP($D206,'WB Data'!$C$3:$M$578,11,FALSE)</f>
        <v>64.3</v>
      </c>
      <c r="BS206" s="129" t="str">
        <f>IFERROR(VLOOKUP($D206,'WB Data 2'!$C$2:$K$545,9,FALSE),"..")</f>
        <v>..</v>
      </c>
      <c r="BT206" s="129">
        <f>_xlfn.IFNA(VLOOKUP($C206,RGI!$A$2:$C$43,2,FALSE),"..")</f>
        <v>41.8</v>
      </c>
      <c r="BU206" s="129">
        <f>_xlfn.IFNA(VLOOKUP($C206,RGI!$A$2:$C$43,3,FALSE),"..")</f>
        <v>34.155297028034767</v>
      </c>
      <c r="BV206" s="129">
        <f>VLOOKUP($D206,WGI!$C$2:$O$478,7,FALSE)</f>
        <v>-1.04895192292356</v>
      </c>
      <c r="BW206" s="129">
        <f>VLOOKUP($D206,WGI!$C$2:$O$478,4,FALSE)</f>
        <v>-0.66230852929665596</v>
      </c>
      <c r="BX206" s="129">
        <f>VLOOKUP($D206,WGI!$C$2:$O$478,3,FALSE)</f>
        <v>-0.87489524530902296</v>
      </c>
      <c r="BY206" s="129">
        <f>VLOOKUP($D206,WGI!$C$2:$O$478,5,FALSE)</f>
        <v>-0.78985038430656396</v>
      </c>
      <c r="BZ206" s="129">
        <f>VLOOKUP($D206,WGI!$C$2:$O$478,2,FALSE)</f>
        <v>-1.0381540956325599</v>
      </c>
      <c r="CB206" s="129"/>
    </row>
    <row r="207" spans="1:80" s="120" customFormat="1" ht="15" customHeight="1">
      <c r="A207" s="280" t="s">
        <v>121</v>
      </c>
      <c r="B207" s="117">
        <v>2011</v>
      </c>
      <c r="C207" s="117" t="s">
        <v>101</v>
      </c>
      <c r="D207" s="117" t="s">
        <v>3694</v>
      </c>
      <c r="E207" s="117" t="s">
        <v>86</v>
      </c>
      <c r="F207" s="117"/>
      <c r="G207" s="117" t="s">
        <v>24</v>
      </c>
      <c r="H207" s="117" t="str">
        <f t="shared" si="33"/>
        <v>yes</v>
      </c>
      <c r="I207" s="117" t="str">
        <f t="shared" si="34"/>
        <v>no</v>
      </c>
      <c r="J207" s="117" t="str">
        <f t="shared" si="35"/>
        <v>no</v>
      </c>
      <c r="K207" s="176" t="s">
        <v>784</v>
      </c>
      <c r="L207" s="117" t="str">
        <f t="shared" si="37"/>
        <v>detailed</v>
      </c>
      <c r="M207" s="117" t="str">
        <f t="shared" si="36"/>
        <v>detailed Mining</v>
      </c>
      <c r="N207" s="179">
        <f>1600*32.150743126506</f>
        <v>51441.189002409599</v>
      </c>
      <c r="O207" s="179"/>
      <c r="P207" s="179">
        <f>40.104*32.150743126506</f>
        <v>1289.3734023453967</v>
      </c>
      <c r="Q207" s="179"/>
      <c r="R207" s="179"/>
      <c r="S207" s="117" t="s">
        <v>785</v>
      </c>
      <c r="T207" s="119">
        <v>1569.2108333333299</v>
      </c>
      <c r="U207" s="117" t="s">
        <v>786</v>
      </c>
      <c r="V207" s="233" t="s">
        <v>841</v>
      </c>
      <c r="W207" s="89">
        <f t="shared" ref="W207:W212" si="43">P207*T207</f>
        <v>2023298.7111722508</v>
      </c>
      <c r="X207" s="117"/>
      <c r="Y207" s="117"/>
      <c r="Z207" s="117"/>
      <c r="AA207" s="177"/>
      <c r="AB207" s="177"/>
      <c r="AC207" s="122"/>
      <c r="AD207" s="122"/>
      <c r="AE207" s="122"/>
      <c r="AF207" s="123"/>
      <c r="AG207" s="117"/>
      <c r="AH207" s="124"/>
      <c r="AI207" s="117"/>
      <c r="AJ207" s="117"/>
      <c r="AK207" s="117"/>
      <c r="AL207" s="117"/>
      <c r="AM207" s="117"/>
      <c r="AN207" s="117">
        <v>1</v>
      </c>
      <c r="AO207" s="117" t="s">
        <v>954</v>
      </c>
      <c r="AP207" s="117">
        <v>1</v>
      </c>
      <c r="AQ207" s="117"/>
      <c r="AR207" s="126"/>
      <c r="AS207" s="117"/>
      <c r="AT207" s="117"/>
      <c r="AU207" s="117">
        <v>11</v>
      </c>
      <c r="AV207" s="128"/>
      <c r="AW207" s="117">
        <f>VLOOKUP($D207,'WB Data'!$C$3:$M$578,2,FALSE)</f>
        <v>26587310733.573769</v>
      </c>
      <c r="AX207" s="117">
        <f>VLOOKUP($D207,'WB Data'!$C$3:$M$578,3,FALSE)</f>
        <v>21156272</v>
      </c>
      <c r="AY207" s="847">
        <f t="shared" si="39"/>
        <v>5.8900847012799851E-2</v>
      </c>
      <c r="AZ207" s="117" t="e">
        <f>VLOOKUP($D207,'WB Data'!$C$3:$M$578,4,FALSE)/100</f>
        <v>#VALUE!</v>
      </c>
      <c r="BA207" s="117" t="str">
        <f t="shared" si="40"/>
        <v>..</v>
      </c>
      <c r="BB207" s="129">
        <f>IFERROR(VLOOKUP($D207,'EITI Revenues'!$C$2:$G$224,5,FALSE),"..")</f>
        <v>1566015122</v>
      </c>
      <c r="BC207" s="846" t="str">
        <f t="shared" si="41"/>
        <v>..</v>
      </c>
      <c r="BD207" s="129">
        <f>VLOOKUP($D207,'WB Data 2'!$C$2:$K$545,6,FALSE)</f>
        <v>260369548.2083627</v>
      </c>
      <c r="BE207" s="129" t="str">
        <f>IFERROR(VLOOKUP($D207,UNCTAD!$C$5:$V$529,4,FALSE),"..")</f>
        <v>..</v>
      </c>
      <c r="BF207" s="846" t="str">
        <f t="shared" si="42"/>
        <v>..</v>
      </c>
      <c r="BG207" s="117">
        <f>VLOOKUP($D207,'WB Data'!$C$3:$M$578,5,FALSE)</f>
        <v>611840000</v>
      </c>
      <c r="BH207" s="129">
        <f>IFERROR($BB207/$BG207,"..")</f>
        <v>2.5595173934361926</v>
      </c>
      <c r="BI207" s="117">
        <f>IFERROR(VLOOKUP($D207,'WB Data'!$C$3:$M$578,7,FALSE)/100,"..")</f>
        <v>3.1847199999999999E-2</v>
      </c>
      <c r="BJ207" s="117">
        <f>IFERROR($BI207*$AW207,"..")</f>
        <v>846731402.39427054</v>
      </c>
      <c r="BK207" s="846">
        <f>IFERROR($BB207/$BJ207,"..")</f>
        <v>1.849482749277797</v>
      </c>
      <c r="BL207" s="117">
        <f>IFERROR(VLOOKUP($D207,'WB Data'!$C$3:$M$578,7,FALSE)/100,"..")</f>
        <v>3.1847199999999999E-2</v>
      </c>
      <c r="BM207" s="117">
        <f>IFERROR($AW207*$BL207,"..")</f>
        <v>846731402.39427054</v>
      </c>
      <c r="BN207" s="846">
        <f>IFERROR($BB207/$BM207,"..")</f>
        <v>1.849482749277797</v>
      </c>
      <c r="BO207" s="801">
        <f t="shared" si="38"/>
        <v>27</v>
      </c>
      <c r="BP207" s="117" t="str">
        <f>VLOOKUP($D207,'WB Data'!$C$3:$M$578,9,FALSE)</f>
        <v>..</v>
      </c>
      <c r="BQ207" s="117">
        <f>VLOOKUP($D207,'WB Data'!$C$3:$M$578,10,FALSE)</f>
        <v>54.137365853658544</v>
      </c>
      <c r="BR207" s="117">
        <f>VLOOKUP($D207,'WB Data'!$C$3:$M$578,11,FALSE)</f>
        <v>64.3</v>
      </c>
      <c r="BS207" s="129" t="str">
        <f>IFERROR(VLOOKUP($D207,'WB Data 2'!$C$2:$K$545,9,FALSE),"..")</f>
        <v>..</v>
      </c>
      <c r="BT207" s="129">
        <f>_xlfn.IFNA(VLOOKUP($C207,RGI!$A$2:$C$43,2,FALSE),"..")</f>
        <v>41.8</v>
      </c>
      <c r="BU207" s="129">
        <f>_xlfn.IFNA(VLOOKUP($C207,RGI!$A$2:$C$43,3,FALSE),"..")</f>
        <v>34.155297028034767</v>
      </c>
      <c r="BV207" s="129">
        <f>VLOOKUP($D207,WGI!$C$2:$O$478,7,FALSE)</f>
        <v>-1.04895192292356</v>
      </c>
      <c r="BW207" s="129">
        <f>VLOOKUP($D207,WGI!$C$2:$O$478,4,FALSE)</f>
        <v>-0.66230852929665596</v>
      </c>
      <c r="BX207" s="129">
        <f>VLOOKUP($D207,WGI!$C$2:$O$478,3,FALSE)</f>
        <v>-0.87489524530902296</v>
      </c>
      <c r="BY207" s="129">
        <f>VLOOKUP($D207,WGI!$C$2:$O$478,5,FALSE)</f>
        <v>-0.78985038430656396</v>
      </c>
      <c r="BZ207" s="129">
        <f>VLOOKUP($D207,WGI!$C$2:$O$478,2,FALSE)</f>
        <v>-1.0381540956325599</v>
      </c>
      <c r="CB207" s="129"/>
    </row>
    <row r="208" spans="1:80" s="120" customFormat="1" ht="15" customHeight="1">
      <c r="A208" s="280" t="s">
        <v>121</v>
      </c>
      <c r="B208" s="117">
        <v>2011</v>
      </c>
      <c r="C208" s="117" t="s">
        <v>101</v>
      </c>
      <c r="D208" s="117" t="s">
        <v>3694</v>
      </c>
      <c r="E208" s="117" t="s">
        <v>86</v>
      </c>
      <c r="F208" s="117"/>
      <c r="G208" s="117" t="s">
        <v>24</v>
      </c>
      <c r="H208" s="117" t="str">
        <f t="shared" si="33"/>
        <v>yes</v>
      </c>
      <c r="I208" s="117" t="str">
        <f t="shared" si="34"/>
        <v>no</v>
      </c>
      <c r="J208" s="117" t="str">
        <f t="shared" si="35"/>
        <v>no</v>
      </c>
      <c r="K208" s="176" t="s">
        <v>955</v>
      </c>
      <c r="L208" s="117" t="str">
        <f t="shared" si="37"/>
        <v>detailed</v>
      </c>
      <c r="M208" s="117" t="str">
        <f t="shared" si="36"/>
        <v>detailed Mining</v>
      </c>
      <c r="N208" s="179">
        <f>3821*2.69</f>
        <v>10278.49</v>
      </c>
      <c r="O208" s="179"/>
      <c r="P208" s="179">
        <f>3821*2.69</f>
        <v>10278.49</v>
      </c>
      <c r="Q208" s="179"/>
      <c r="R208" s="179"/>
      <c r="S208" s="117" t="s">
        <v>610</v>
      </c>
      <c r="T208" s="119">
        <v>12</v>
      </c>
      <c r="U208" s="117" t="s">
        <v>611</v>
      </c>
      <c r="V208" s="117" t="s">
        <v>956</v>
      </c>
      <c r="W208" s="89">
        <f t="shared" si="43"/>
        <v>123341.88</v>
      </c>
      <c r="X208" s="117"/>
      <c r="Y208" s="117"/>
      <c r="Z208" s="117"/>
      <c r="AA208" s="177"/>
      <c r="AB208" s="177"/>
      <c r="AC208" s="122"/>
      <c r="AD208" s="122"/>
      <c r="AE208" s="122"/>
      <c r="AF208" s="123"/>
      <c r="AG208" s="117"/>
      <c r="AH208" s="124"/>
      <c r="AI208" s="117"/>
      <c r="AJ208" s="117"/>
      <c r="AK208" s="117"/>
      <c r="AL208" s="117"/>
      <c r="AM208" s="117"/>
      <c r="AN208" s="117"/>
      <c r="AO208" s="117"/>
      <c r="AP208" s="117"/>
      <c r="AQ208" s="117"/>
      <c r="AR208" s="126"/>
      <c r="AS208" s="117"/>
      <c r="AT208" s="117"/>
      <c r="AU208" s="117">
        <v>11</v>
      </c>
      <c r="AV208" s="128" t="s">
        <v>957</v>
      </c>
      <c r="AW208" s="117">
        <f>VLOOKUP($D208,'WB Data'!$C$3:$M$578,2,FALSE)</f>
        <v>26587310733.573769</v>
      </c>
      <c r="AX208" s="117">
        <f>VLOOKUP($D208,'WB Data'!$C$3:$M$578,3,FALSE)</f>
        <v>21156272</v>
      </c>
      <c r="AY208" s="847">
        <f t="shared" si="39"/>
        <v>5.8900847012799851E-2</v>
      </c>
      <c r="AZ208" s="117" t="e">
        <f>VLOOKUP($D208,'WB Data'!$C$3:$M$578,4,FALSE)/100</f>
        <v>#VALUE!</v>
      </c>
      <c r="BA208" s="117" t="str">
        <f t="shared" si="40"/>
        <v>..</v>
      </c>
      <c r="BB208" s="129">
        <f>IFERROR(VLOOKUP($D208,'EITI Revenues'!$C$2:$G$224,5,FALSE),"..")</f>
        <v>1566015122</v>
      </c>
      <c r="BC208" s="846" t="str">
        <f t="shared" si="41"/>
        <v>..</v>
      </c>
      <c r="BD208" s="129">
        <f>VLOOKUP($D208,'WB Data 2'!$C$2:$K$545,6,FALSE)</f>
        <v>260369548.2083627</v>
      </c>
      <c r="BE208" s="129" t="str">
        <f>IFERROR(VLOOKUP($D208,UNCTAD!$C$5:$V$529,4,FALSE),"..")</f>
        <v>..</v>
      </c>
      <c r="BF208" s="846" t="str">
        <f t="shared" si="42"/>
        <v>..</v>
      </c>
      <c r="BG208" s="117">
        <f>VLOOKUP($D208,'WB Data'!$C$3:$M$578,5,FALSE)</f>
        <v>611840000</v>
      </c>
      <c r="BH208" s="129">
        <f>IFERROR($BB208/$BG208,"..")</f>
        <v>2.5595173934361926</v>
      </c>
      <c r="BI208" s="117">
        <f>IFERROR(VLOOKUP($D208,'WB Data'!$C$3:$M$578,7,FALSE)/100,"..")</f>
        <v>3.1847199999999999E-2</v>
      </c>
      <c r="BJ208" s="117">
        <f>IFERROR($BI208*$AW208,"..")</f>
        <v>846731402.39427054</v>
      </c>
      <c r="BK208" s="846">
        <f>IFERROR($BB208/$BJ208,"..")</f>
        <v>1.849482749277797</v>
      </c>
      <c r="BL208" s="117">
        <f>IFERROR(VLOOKUP($D208,'WB Data'!$C$3:$M$578,7,FALSE)/100,"..")</f>
        <v>3.1847199999999999E-2</v>
      </c>
      <c r="BM208" s="117">
        <f>IFERROR($AW208*$BL208,"..")</f>
        <v>846731402.39427054</v>
      </c>
      <c r="BN208" s="846">
        <f>IFERROR($BB208/$BM208,"..")</f>
        <v>1.849482749277797</v>
      </c>
      <c r="BO208" s="801">
        <f t="shared" si="38"/>
        <v>27</v>
      </c>
      <c r="BP208" s="117" t="str">
        <f>VLOOKUP($D208,'WB Data'!$C$3:$M$578,9,FALSE)</f>
        <v>..</v>
      </c>
      <c r="BQ208" s="117">
        <f>VLOOKUP($D208,'WB Data'!$C$3:$M$578,10,FALSE)</f>
        <v>54.137365853658544</v>
      </c>
      <c r="BR208" s="117">
        <f>VLOOKUP($D208,'WB Data'!$C$3:$M$578,11,FALSE)</f>
        <v>64.3</v>
      </c>
      <c r="BS208" s="129" t="str">
        <f>IFERROR(VLOOKUP($D208,'WB Data 2'!$C$2:$K$545,9,FALSE),"..")</f>
        <v>..</v>
      </c>
      <c r="BT208" s="129">
        <f>_xlfn.IFNA(VLOOKUP($C208,RGI!$A$2:$C$43,2,FALSE),"..")</f>
        <v>41.8</v>
      </c>
      <c r="BU208" s="129">
        <f>_xlfn.IFNA(VLOOKUP($C208,RGI!$A$2:$C$43,3,FALSE),"..")</f>
        <v>34.155297028034767</v>
      </c>
      <c r="BV208" s="129">
        <f>VLOOKUP($D208,WGI!$C$2:$O$478,7,FALSE)</f>
        <v>-1.04895192292356</v>
      </c>
      <c r="BW208" s="129">
        <f>VLOOKUP($D208,WGI!$C$2:$O$478,4,FALSE)</f>
        <v>-0.66230852929665596</v>
      </c>
      <c r="BX208" s="129">
        <f>VLOOKUP($D208,WGI!$C$2:$O$478,3,FALSE)</f>
        <v>-0.87489524530902296</v>
      </c>
      <c r="BY208" s="129">
        <f>VLOOKUP($D208,WGI!$C$2:$O$478,5,FALSE)</f>
        <v>-0.78985038430656396</v>
      </c>
      <c r="BZ208" s="129">
        <f>VLOOKUP($D208,WGI!$C$2:$O$478,2,FALSE)</f>
        <v>-1.0381540956325599</v>
      </c>
      <c r="CB208" s="129"/>
    </row>
    <row r="209" spans="1:80" s="120" customFormat="1" ht="15" customHeight="1">
      <c r="A209" s="280" t="s">
        <v>121</v>
      </c>
      <c r="B209" s="117">
        <v>2011</v>
      </c>
      <c r="C209" s="117" t="s">
        <v>101</v>
      </c>
      <c r="D209" s="117" t="s">
        <v>3694</v>
      </c>
      <c r="E209" s="117" t="s">
        <v>86</v>
      </c>
      <c r="F209" s="117"/>
      <c r="G209" s="117" t="s">
        <v>24</v>
      </c>
      <c r="H209" s="117" t="str">
        <f t="shared" si="33"/>
        <v>yes</v>
      </c>
      <c r="I209" s="117" t="str">
        <f t="shared" si="34"/>
        <v>no</v>
      </c>
      <c r="J209" s="117" t="str">
        <f t="shared" si="35"/>
        <v>no</v>
      </c>
      <c r="K209" s="176" t="s">
        <v>703</v>
      </c>
      <c r="L209" s="117" t="str">
        <f t="shared" si="37"/>
        <v>detailed</v>
      </c>
      <c r="M209" s="117" t="str">
        <f t="shared" si="36"/>
        <v>detailed Mining</v>
      </c>
      <c r="N209" s="179">
        <v>100000</v>
      </c>
      <c r="O209" s="179"/>
      <c r="P209" s="179">
        <f>182926*0.90718474</f>
        <v>165947.67574924001</v>
      </c>
      <c r="Q209" s="179"/>
      <c r="R209" s="179"/>
      <c r="S209" s="117" t="s">
        <v>610</v>
      </c>
      <c r="T209" s="119">
        <v>16.7</v>
      </c>
      <c r="U209" s="117" t="s">
        <v>611</v>
      </c>
      <c r="V209" s="117" t="s">
        <v>958</v>
      </c>
      <c r="W209" s="89">
        <f t="shared" si="43"/>
        <v>2771326.1850123079</v>
      </c>
      <c r="X209" s="117"/>
      <c r="Y209" s="117"/>
      <c r="Z209" s="117"/>
      <c r="AA209" s="177"/>
      <c r="AB209" s="177"/>
      <c r="AC209" s="122"/>
      <c r="AD209" s="177"/>
      <c r="AE209" s="122"/>
      <c r="AF209" s="123"/>
      <c r="AG209" s="117"/>
      <c r="AH209" s="124"/>
      <c r="AI209" s="117"/>
      <c r="AJ209" s="117"/>
      <c r="AK209" s="117"/>
      <c r="AL209" s="117"/>
      <c r="AM209" s="117"/>
      <c r="AN209" s="117">
        <v>1</v>
      </c>
      <c r="AO209" s="117" t="s">
        <v>952</v>
      </c>
      <c r="AP209" s="117">
        <v>1</v>
      </c>
      <c r="AQ209" s="117"/>
      <c r="AR209" s="126"/>
      <c r="AS209" s="117"/>
      <c r="AT209" s="117"/>
      <c r="AU209" s="117" t="s">
        <v>953</v>
      </c>
      <c r="AV209" s="128"/>
      <c r="AW209" s="117">
        <f>VLOOKUP($D209,'WB Data'!$C$3:$M$578,2,FALSE)</f>
        <v>26587310733.573769</v>
      </c>
      <c r="AX209" s="117">
        <f>VLOOKUP($D209,'WB Data'!$C$3:$M$578,3,FALSE)</f>
        <v>21156272</v>
      </c>
      <c r="AY209" s="847">
        <f t="shared" si="39"/>
        <v>5.8900847012799851E-2</v>
      </c>
      <c r="AZ209" s="117" t="e">
        <f>VLOOKUP($D209,'WB Data'!$C$3:$M$578,4,FALSE)/100</f>
        <v>#VALUE!</v>
      </c>
      <c r="BA209" s="117" t="str">
        <f t="shared" si="40"/>
        <v>..</v>
      </c>
      <c r="BB209" s="129">
        <f>IFERROR(VLOOKUP($D209,'EITI Revenues'!$C$2:$G$224,5,FALSE),"..")</f>
        <v>1566015122</v>
      </c>
      <c r="BC209" s="846" t="str">
        <f t="shared" si="41"/>
        <v>..</v>
      </c>
      <c r="BD209" s="129">
        <f>VLOOKUP($D209,'WB Data 2'!$C$2:$K$545,6,FALSE)</f>
        <v>260369548.2083627</v>
      </c>
      <c r="BE209" s="129" t="str">
        <f>IFERROR(VLOOKUP($D209,UNCTAD!$C$5:$V$529,4,FALSE),"..")</f>
        <v>..</v>
      </c>
      <c r="BF209" s="846" t="str">
        <f t="shared" si="42"/>
        <v>..</v>
      </c>
      <c r="BG209" s="117">
        <f>VLOOKUP($D209,'WB Data'!$C$3:$M$578,5,FALSE)</f>
        <v>611840000</v>
      </c>
      <c r="BH209" s="129">
        <f>IFERROR($BB209/$BG209,"..")</f>
        <v>2.5595173934361926</v>
      </c>
      <c r="BI209" s="117">
        <f>IFERROR(VLOOKUP($D209,'WB Data'!$C$3:$M$578,7,FALSE)/100,"..")</f>
        <v>3.1847199999999999E-2</v>
      </c>
      <c r="BJ209" s="117">
        <f>IFERROR($BI209*$AW209,"..")</f>
        <v>846731402.39427054</v>
      </c>
      <c r="BK209" s="846">
        <f>IFERROR($BB209/$BJ209,"..")</f>
        <v>1.849482749277797</v>
      </c>
      <c r="BL209" s="117">
        <f>IFERROR(VLOOKUP($D209,'WB Data'!$C$3:$M$578,7,FALSE)/100,"..")</f>
        <v>3.1847199999999999E-2</v>
      </c>
      <c r="BM209" s="117">
        <f>IFERROR($AW209*$BL209,"..")</f>
        <v>846731402.39427054</v>
      </c>
      <c r="BN209" s="846">
        <f>IFERROR($BB209/$BM209,"..")</f>
        <v>1.849482749277797</v>
      </c>
      <c r="BO209" s="801">
        <f t="shared" si="38"/>
        <v>27</v>
      </c>
      <c r="BP209" s="117" t="str">
        <f>VLOOKUP($D209,'WB Data'!$C$3:$M$578,9,FALSE)</f>
        <v>..</v>
      </c>
      <c r="BQ209" s="117">
        <f>VLOOKUP($D209,'WB Data'!$C$3:$M$578,10,FALSE)</f>
        <v>54.137365853658544</v>
      </c>
      <c r="BR209" s="117">
        <f>VLOOKUP($D209,'WB Data'!$C$3:$M$578,11,FALSE)</f>
        <v>64.3</v>
      </c>
      <c r="BS209" s="129" t="str">
        <f>IFERROR(VLOOKUP($D209,'WB Data 2'!$C$2:$K$545,9,FALSE),"..")</f>
        <v>..</v>
      </c>
      <c r="BT209" s="129">
        <f>_xlfn.IFNA(VLOOKUP($C209,RGI!$A$2:$C$43,2,FALSE),"..")</f>
        <v>41.8</v>
      </c>
      <c r="BU209" s="129">
        <f>_xlfn.IFNA(VLOOKUP($C209,RGI!$A$2:$C$43,3,FALSE),"..")</f>
        <v>34.155297028034767</v>
      </c>
      <c r="BV209" s="129">
        <f>VLOOKUP($D209,WGI!$C$2:$O$478,7,FALSE)</f>
        <v>-1.04895192292356</v>
      </c>
      <c r="BW209" s="129">
        <f>VLOOKUP($D209,WGI!$C$2:$O$478,4,FALSE)</f>
        <v>-0.66230852929665596</v>
      </c>
      <c r="BX209" s="129">
        <f>VLOOKUP($D209,WGI!$C$2:$O$478,3,FALSE)</f>
        <v>-0.87489524530902296</v>
      </c>
      <c r="BY209" s="129">
        <f>VLOOKUP($D209,WGI!$C$2:$O$478,5,FALSE)</f>
        <v>-0.78985038430656396</v>
      </c>
      <c r="BZ209" s="129">
        <f>VLOOKUP($D209,WGI!$C$2:$O$478,2,FALSE)</f>
        <v>-1.0381540956325599</v>
      </c>
      <c r="CB209" s="129"/>
    </row>
    <row r="210" spans="1:80" s="120" customFormat="1" ht="15" customHeight="1">
      <c r="A210" s="280" t="s">
        <v>121</v>
      </c>
      <c r="B210" s="117">
        <v>2011</v>
      </c>
      <c r="C210" s="117" t="s">
        <v>101</v>
      </c>
      <c r="D210" s="117" t="s">
        <v>3694</v>
      </c>
      <c r="E210" s="117" t="s">
        <v>86</v>
      </c>
      <c r="F210" s="117"/>
      <c r="G210" s="117" t="s">
        <v>24</v>
      </c>
      <c r="H210" s="117" t="str">
        <f t="shared" si="33"/>
        <v>yes</v>
      </c>
      <c r="I210" s="117" t="str">
        <f t="shared" si="34"/>
        <v>no</v>
      </c>
      <c r="J210" s="117" t="str">
        <f t="shared" si="35"/>
        <v>no</v>
      </c>
      <c r="K210" s="176" t="s">
        <v>656</v>
      </c>
      <c r="L210" s="117" t="str">
        <f t="shared" si="37"/>
        <v>detailed</v>
      </c>
      <c r="M210" s="117" t="str">
        <f t="shared" si="36"/>
        <v>detailed Mining</v>
      </c>
      <c r="N210" s="179">
        <v>500</v>
      </c>
      <c r="O210" s="179"/>
      <c r="P210" s="179">
        <f>4420*2.71</f>
        <v>11978.2</v>
      </c>
      <c r="Q210" s="179"/>
      <c r="R210" s="179"/>
      <c r="S210" s="117" t="s">
        <v>610</v>
      </c>
      <c r="T210" s="119">
        <v>15.3</v>
      </c>
      <c r="U210" s="117" t="s">
        <v>611</v>
      </c>
      <c r="V210" s="117" t="s">
        <v>959</v>
      </c>
      <c r="W210" s="89">
        <f t="shared" si="43"/>
        <v>183266.46000000002</v>
      </c>
      <c r="X210" s="117"/>
      <c r="Y210" s="117"/>
      <c r="Z210" s="117"/>
      <c r="AA210" s="177"/>
      <c r="AB210" s="177"/>
      <c r="AC210" s="122"/>
      <c r="AD210" s="122"/>
      <c r="AE210" s="122"/>
      <c r="AF210" s="123"/>
      <c r="AG210" s="117"/>
      <c r="AH210" s="124"/>
      <c r="AI210" s="117"/>
      <c r="AJ210" s="117"/>
      <c r="AK210" s="117"/>
      <c r="AL210" s="117"/>
      <c r="AM210" s="117"/>
      <c r="AN210" s="117">
        <v>1</v>
      </c>
      <c r="AO210" s="117" t="s">
        <v>952</v>
      </c>
      <c r="AP210" s="117">
        <v>1</v>
      </c>
      <c r="AQ210" s="117"/>
      <c r="AR210" s="126"/>
      <c r="AS210" s="117"/>
      <c r="AT210" s="117"/>
      <c r="AU210" s="117">
        <v>11</v>
      </c>
      <c r="AV210" s="128"/>
      <c r="AW210" s="117">
        <f>VLOOKUP($D210,'WB Data'!$C$3:$M$578,2,FALSE)</f>
        <v>26587310733.573769</v>
      </c>
      <c r="AX210" s="117">
        <f>VLOOKUP($D210,'WB Data'!$C$3:$M$578,3,FALSE)</f>
        <v>21156272</v>
      </c>
      <c r="AY210" s="847">
        <f t="shared" si="39"/>
        <v>5.8900847012799851E-2</v>
      </c>
      <c r="AZ210" s="117" t="e">
        <f>VLOOKUP($D210,'WB Data'!$C$3:$M$578,4,FALSE)/100</f>
        <v>#VALUE!</v>
      </c>
      <c r="BA210" s="117" t="str">
        <f t="shared" si="40"/>
        <v>..</v>
      </c>
      <c r="BB210" s="129">
        <f>IFERROR(VLOOKUP($D210,'EITI Revenues'!$C$2:$G$224,5,FALSE),"..")</f>
        <v>1566015122</v>
      </c>
      <c r="BC210" s="846" t="str">
        <f t="shared" si="41"/>
        <v>..</v>
      </c>
      <c r="BD210" s="129">
        <f>VLOOKUP($D210,'WB Data 2'!$C$2:$K$545,6,FALSE)</f>
        <v>260369548.2083627</v>
      </c>
      <c r="BE210" s="129" t="str">
        <f>IFERROR(VLOOKUP($D210,UNCTAD!$C$5:$V$529,4,FALSE),"..")</f>
        <v>..</v>
      </c>
      <c r="BF210" s="846" t="str">
        <f t="shared" si="42"/>
        <v>..</v>
      </c>
      <c r="BG210" s="117">
        <f>VLOOKUP($D210,'WB Data'!$C$3:$M$578,5,FALSE)</f>
        <v>611840000</v>
      </c>
      <c r="BH210" s="129">
        <f>IFERROR($BB210/$BG210,"..")</f>
        <v>2.5595173934361926</v>
      </c>
      <c r="BI210" s="117">
        <f>IFERROR(VLOOKUP($D210,'WB Data'!$C$3:$M$578,7,FALSE)/100,"..")</f>
        <v>3.1847199999999999E-2</v>
      </c>
      <c r="BJ210" s="117">
        <f>IFERROR($BI210*$AW210,"..")</f>
        <v>846731402.39427054</v>
      </c>
      <c r="BK210" s="846">
        <f>IFERROR($BB210/$BJ210,"..")</f>
        <v>1.849482749277797</v>
      </c>
      <c r="BL210" s="117">
        <f>IFERROR(VLOOKUP($D210,'WB Data'!$C$3:$M$578,7,FALSE)/100,"..")</f>
        <v>3.1847199999999999E-2</v>
      </c>
      <c r="BM210" s="117">
        <f>IFERROR($AW210*$BL210,"..")</f>
        <v>846731402.39427054</v>
      </c>
      <c r="BN210" s="846">
        <f>IFERROR($BB210/$BM210,"..")</f>
        <v>1.849482749277797</v>
      </c>
      <c r="BO210" s="801">
        <f t="shared" si="38"/>
        <v>27</v>
      </c>
      <c r="BP210" s="117" t="str">
        <f>VLOOKUP($D210,'WB Data'!$C$3:$M$578,9,FALSE)</f>
        <v>..</v>
      </c>
      <c r="BQ210" s="117">
        <f>VLOOKUP($D210,'WB Data'!$C$3:$M$578,10,FALSE)</f>
        <v>54.137365853658544</v>
      </c>
      <c r="BR210" s="117">
        <f>VLOOKUP($D210,'WB Data'!$C$3:$M$578,11,FALSE)</f>
        <v>64.3</v>
      </c>
      <c r="BS210" s="129" t="str">
        <f>IFERROR(VLOOKUP($D210,'WB Data 2'!$C$2:$K$545,9,FALSE),"..")</f>
        <v>..</v>
      </c>
      <c r="BT210" s="129">
        <f>_xlfn.IFNA(VLOOKUP($C210,RGI!$A$2:$C$43,2,FALSE),"..")</f>
        <v>41.8</v>
      </c>
      <c r="BU210" s="129">
        <f>_xlfn.IFNA(VLOOKUP($C210,RGI!$A$2:$C$43,3,FALSE),"..")</f>
        <v>34.155297028034767</v>
      </c>
      <c r="BV210" s="129">
        <f>VLOOKUP($D210,WGI!$C$2:$O$478,7,FALSE)</f>
        <v>-1.04895192292356</v>
      </c>
      <c r="BW210" s="129">
        <f>VLOOKUP($D210,WGI!$C$2:$O$478,4,FALSE)</f>
        <v>-0.66230852929665596</v>
      </c>
      <c r="BX210" s="129">
        <f>VLOOKUP($D210,WGI!$C$2:$O$478,3,FALSE)</f>
        <v>-0.87489524530902296</v>
      </c>
      <c r="BY210" s="129">
        <f>VLOOKUP($D210,WGI!$C$2:$O$478,5,FALSE)</f>
        <v>-0.78985038430656396</v>
      </c>
      <c r="BZ210" s="129">
        <f>VLOOKUP($D210,WGI!$C$2:$O$478,2,FALSE)</f>
        <v>-1.0381540956325599</v>
      </c>
      <c r="CB210" s="129"/>
    </row>
    <row r="211" spans="1:80" s="120" customFormat="1" ht="15" customHeight="1">
      <c r="A211" s="280" t="s">
        <v>121</v>
      </c>
      <c r="B211" s="117">
        <v>2011</v>
      </c>
      <c r="C211" s="117" t="s">
        <v>101</v>
      </c>
      <c r="D211" s="117" t="s">
        <v>3694</v>
      </c>
      <c r="E211" s="117" t="s">
        <v>86</v>
      </c>
      <c r="F211" s="117"/>
      <c r="G211" s="117" t="s">
        <v>24</v>
      </c>
      <c r="H211" s="117" t="str">
        <f t="shared" si="33"/>
        <v>yes</v>
      </c>
      <c r="I211" s="117" t="str">
        <f t="shared" si="34"/>
        <v>no</v>
      </c>
      <c r="J211" s="117" t="str">
        <f t="shared" si="35"/>
        <v>no</v>
      </c>
      <c r="K211" s="176" t="s">
        <v>905</v>
      </c>
      <c r="L211" s="117" t="str">
        <f t="shared" si="37"/>
        <v>detailed</v>
      </c>
      <c r="M211" s="117" t="str">
        <f t="shared" si="36"/>
        <v>detailed Mining</v>
      </c>
      <c r="N211" s="179">
        <v>600000</v>
      </c>
      <c r="O211" s="179"/>
      <c r="P211" s="179">
        <f>424202*0.90718474</f>
        <v>384829.58107747999</v>
      </c>
      <c r="Q211" s="179"/>
      <c r="R211" s="179"/>
      <c r="S211" s="117" t="s">
        <v>610</v>
      </c>
      <c r="T211" s="119">
        <v>14.76</v>
      </c>
      <c r="U211" s="117" t="s">
        <v>611</v>
      </c>
      <c r="V211" s="117" t="s">
        <v>960</v>
      </c>
      <c r="W211" s="89">
        <f t="shared" si="43"/>
        <v>5680084.6167036043</v>
      </c>
      <c r="X211" s="117"/>
      <c r="Y211" s="117"/>
      <c r="Z211" s="117"/>
      <c r="AA211" s="177"/>
      <c r="AB211" s="177"/>
      <c r="AC211" s="122"/>
      <c r="AD211" s="122"/>
      <c r="AE211" s="122"/>
      <c r="AF211" s="123"/>
      <c r="AG211" s="117"/>
      <c r="AH211" s="124"/>
      <c r="AI211" s="117"/>
      <c r="AJ211" s="117"/>
      <c r="AK211" s="117"/>
      <c r="AL211" s="117"/>
      <c r="AM211" s="117"/>
      <c r="AN211" s="117">
        <v>1</v>
      </c>
      <c r="AO211" s="117" t="s">
        <v>952</v>
      </c>
      <c r="AP211" s="117">
        <v>1</v>
      </c>
      <c r="AQ211" s="117"/>
      <c r="AR211" s="126"/>
      <c r="AS211" s="117"/>
      <c r="AT211" s="117"/>
      <c r="AU211" s="117" t="s">
        <v>953</v>
      </c>
      <c r="AV211" s="128"/>
      <c r="AW211" s="117">
        <f>VLOOKUP($D211,'WB Data'!$C$3:$M$578,2,FALSE)</f>
        <v>26587310733.573769</v>
      </c>
      <c r="AX211" s="117">
        <f>VLOOKUP($D211,'WB Data'!$C$3:$M$578,3,FALSE)</f>
        <v>21156272</v>
      </c>
      <c r="AY211" s="847">
        <f t="shared" si="39"/>
        <v>5.8900847012799851E-2</v>
      </c>
      <c r="AZ211" s="117" t="e">
        <f>VLOOKUP($D211,'WB Data'!$C$3:$M$578,4,FALSE)/100</f>
        <v>#VALUE!</v>
      </c>
      <c r="BA211" s="117" t="str">
        <f t="shared" si="40"/>
        <v>..</v>
      </c>
      <c r="BB211" s="129">
        <f>IFERROR(VLOOKUP($D211,'EITI Revenues'!$C$2:$G$224,5,FALSE),"..")</f>
        <v>1566015122</v>
      </c>
      <c r="BC211" s="846" t="str">
        <f t="shared" si="41"/>
        <v>..</v>
      </c>
      <c r="BD211" s="129">
        <f>VLOOKUP($D211,'WB Data 2'!$C$2:$K$545,6,FALSE)</f>
        <v>260369548.2083627</v>
      </c>
      <c r="BE211" s="129" t="str">
        <f>IFERROR(VLOOKUP($D211,UNCTAD!$C$5:$V$529,4,FALSE),"..")</f>
        <v>..</v>
      </c>
      <c r="BF211" s="846" t="str">
        <f t="shared" si="42"/>
        <v>..</v>
      </c>
      <c r="BG211" s="117">
        <f>VLOOKUP($D211,'WB Data'!$C$3:$M$578,5,FALSE)</f>
        <v>611840000</v>
      </c>
      <c r="BH211" s="129">
        <f>IFERROR($BB211/$BG211,"..")</f>
        <v>2.5595173934361926</v>
      </c>
      <c r="BI211" s="117">
        <f>IFERROR(VLOOKUP($D211,'WB Data'!$C$3:$M$578,7,FALSE)/100,"..")</f>
        <v>3.1847199999999999E-2</v>
      </c>
      <c r="BJ211" s="117">
        <f>IFERROR($BI211*$AW211,"..")</f>
        <v>846731402.39427054</v>
      </c>
      <c r="BK211" s="846">
        <f>IFERROR($BB211/$BJ211,"..")</f>
        <v>1.849482749277797</v>
      </c>
      <c r="BL211" s="117">
        <f>IFERROR(VLOOKUP($D211,'WB Data'!$C$3:$M$578,7,FALSE)/100,"..")</f>
        <v>3.1847199999999999E-2</v>
      </c>
      <c r="BM211" s="117">
        <f>IFERROR($AW211*$BL211,"..")</f>
        <v>846731402.39427054</v>
      </c>
      <c r="BN211" s="846">
        <f>IFERROR($BB211/$BM211,"..")</f>
        <v>1.849482749277797</v>
      </c>
      <c r="BO211" s="801">
        <f t="shared" si="38"/>
        <v>27</v>
      </c>
      <c r="BP211" s="117" t="str">
        <f>VLOOKUP($D211,'WB Data'!$C$3:$M$578,9,FALSE)</f>
        <v>..</v>
      </c>
      <c r="BQ211" s="117">
        <f>VLOOKUP($D211,'WB Data'!$C$3:$M$578,10,FALSE)</f>
        <v>54.137365853658544</v>
      </c>
      <c r="BR211" s="117">
        <f>VLOOKUP($D211,'WB Data'!$C$3:$M$578,11,FALSE)</f>
        <v>64.3</v>
      </c>
      <c r="BS211" s="129" t="str">
        <f>IFERROR(VLOOKUP($D211,'WB Data 2'!$C$2:$K$545,9,FALSE),"..")</f>
        <v>..</v>
      </c>
      <c r="BT211" s="129">
        <f>_xlfn.IFNA(VLOOKUP($C211,RGI!$A$2:$C$43,2,FALSE),"..")</f>
        <v>41.8</v>
      </c>
      <c r="BU211" s="129">
        <f>_xlfn.IFNA(VLOOKUP($C211,RGI!$A$2:$C$43,3,FALSE),"..")</f>
        <v>34.155297028034767</v>
      </c>
      <c r="BV211" s="129">
        <f>VLOOKUP($D211,WGI!$C$2:$O$478,7,FALSE)</f>
        <v>-1.04895192292356</v>
      </c>
      <c r="BW211" s="129">
        <f>VLOOKUP($D211,WGI!$C$2:$O$478,4,FALSE)</f>
        <v>-0.66230852929665596</v>
      </c>
      <c r="BX211" s="129">
        <f>VLOOKUP($D211,WGI!$C$2:$O$478,3,FALSE)</f>
        <v>-0.87489524530902296</v>
      </c>
      <c r="BY211" s="129">
        <f>VLOOKUP($D211,WGI!$C$2:$O$478,5,FALSE)</f>
        <v>-0.78985038430656396</v>
      </c>
      <c r="BZ211" s="129">
        <f>VLOOKUP($D211,WGI!$C$2:$O$478,2,FALSE)</f>
        <v>-1.0381540956325599</v>
      </c>
      <c r="CB211" s="129"/>
    </row>
    <row r="212" spans="1:80" s="158" customFormat="1" ht="15" customHeight="1">
      <c r="A212" s="282" t="s">
        <v>121</v>
      </c>
      <c r="B212" s="149">
        <v>2011</v>
      </c>
      <c r="C212" s="149" t="s">
        <v>101</v>
      </c>
      <c r="D212" s="117" t="s">
        <v>3694</v>
      </c>
      <c r="E212" s="149" t="s">
        <v>86</v>
      </c>
      <c r="F212" s="149"/>
      <c r="G212" s="149" t="s">
        <v>24</v>
      </c>
      <c r="H212" s="149" t="str">
        <f t="shared" si="33"/>
        <v>yes</v>
      </c>
      <c r="I212" s="149" t="str">
        <f t="shared" si="34"/>
        <v>no</v>
      </c>
      <c r="J212" s="149" t="str">
        <f t="shared" si="35"/>
        <v>no</v>
      </c>
      <c r="K212" s="188" t="s">
        <v>907</v>
      </c>
      <c r="L212" s="149" t="str">
        <f t="shared" si="37"/>
        <v>detailed</v>
      </c>
      <c r="M212" s="149" t="str">
        <f t="shared" si="36"/>
        <v>detailed Mining</v>
      </c>
      <c r="N212" s="216">
        <v>600000</v>
      </c>
      <c r="O212" s="216"/>
      <c r="P212" s="216">
        <f>(7126*0.90718474)+(403657*1.6)</f>
        <v>652315.7984572401</v>
      </c>
      <c r="Q212" s="216"/>
      <c r="R212" s="216"/>
      <c r="S212" s="149" t="s">
        <v>610</v>
      </c>
      <c r="T212" s="151">
        <v>1.46</v>
      </c>
      <c r="U212" s="149" t="s">
        <v>611</v>
      </c>
      <c r="V212" s="149" t="s">
        <v>961</v>
      </c>
      <c r="W212" s="152">
        <f t="shared" si="43"/>
        <v>952381.06574757048</v>
      </c>
      <c r="X212" s="149"/>
      <c r="Y212" s="149"/>
      <c r="Z212" s="149"/>
      <c r="AA212" s="284"/>
      <c r="AB212" s="284"/>
      <c r="AC212" s="154"/>
      <c r="AD212" s="154"/>
      <c r="AE212" s="154"/>
      <c r="AF212" s="155"/>
      <c r="AG212" s="149"/>
      <c r="AH212" s="156"/>
      <c r="AI212" s="149"/>
      <c r="AJ212" s="149"/>
      <c r="AK212" s="149"/>
      <c r="AL212" s="149"/>
      <c r="AM212" s="149"/>
      <c r="AN212" s="149">
        <v>2</v>
      </c>
      <c r="AO212" s="149" t="s">
        <v>962</v>
      </c>
      <c r="AP212" s="149">
        <v>2</v>
      </c>
      <c r="AQ212" s="149"/>
      <c r="AR212" s="220"/>
      <c r="AS212" s="149"/>
      <c r="AT212" s="149"/>
      <c r="AU212" s="149" t="s">
        <v>953</v>
      </c>
      <c r="AV212" s="157"/>
      <c r="AW212" s="117">
        <f>VLOOKUP($D212,'WB Data'!$C$3:$M$578,2,FALSE)</f>
        <v>26587310733.573769</v>
      </c>
      <c r="AX212" s="117">
        <f>VLOOKUP($D212,'WB Data'!$C$3:$M$578,3,FALSE)</f>
        <v>21156272</v>
      </c>
      <c r="AY212" s="847">
        <f t="shared" si="39"/>
        <v>5.8900847012799851E-2</v>
      </c>
      <c r="AZ212" s="117" t="e">
        <f>VLOOKUP($D212,'WB Data'!$C$3:$M$578,4,FALSE)/100</f>
        <v>#VALUE!</v>
      </c>
      <c r="BA212" s="117" t="str">
        <f t="shared" si="40"/>
        <v>..</v>
      </c>
      <c r="BB212" s="129">
        <f>IFERROR(VLOOKUP($D212,'EITI Revenues'!$C$2:$G$224,5,FALSE),"..")</f>
        <v>1566015122</v>
      </c>
      <c r="BC212" s="846" t="str">
        <f t="shared" si="41"/>
        <v>..</v>
      </c>
      <c r="BD212" s="129">
        <f>VLOOKUP($D212,'WB Data 2'!$C$2:$K$545,6,FALSE)</f>
        <v>260369548.2083627</v>
      </c>
      <c r="BE212" s="129" t="str">
        <f>IFERROR(VLOOKUP($D212,UNCTAD!$C$5:$V$529,4,FALSE),"..")</f>
        <v>..</v>
      </c>
      <c r="BF212" s="846" t="str">
        <f t="shared" si="42"/>
        <v>..</v>
      </c>
      <c r="BG212" s="117">
        <f>VLOOKUP($D212,'WB Data'!$C$3:$M$578,5,FALSE)</f>
        <v>611840000</v>
      </c>
      <c r="BH212" s="129">
        <f>IFERROR($BB212/$BG212,"..")</f>
        <v>2.5595173934361926</v>
      </c>
      <c r="BI212" s="117">
        <f>IFERROR(VLOOKUP($D212,'WB Data'!$C$3:$M$578,7,FALSE)/100,"..")</f>
        <v>3.1847199999999999E-2</v>
      </c>
      <c r="BJ212" s="117">
        <f>IFERROR($BI212*$AW212,"..")</f>
        <v>846731402.39427054</v>
      </c>
      <c r="BK212" s="846">
        <f>IFERROR($BB212/$BJ212,"..")</f>
        <v>1.849482749277797</v>
      </c>
      <c r="BL212" s="117">
        <f>IFERROR(VLOOKUP($D212,'WB Data'!$C$3:$M$578,7,FALSE)/100,"..")</f>
        <v>3.1847199999999999E-2</v>
      </c>
      <c r="BM212" s="117">
        <f>IFERROR($AW212*$BL212,"..")</f>
        <v>846731402.39427054</v>
      </c>
      <c r="BN212" s="846">
        <f>IFERROR($BB212/$BM212,"..")</f>
        <v>1.849482749277797</v>
      </c>
      <c r="BO212" s="801">
        <f t="shared" si="38"/>
        <v>27</v>
      </c>
      <c r="BP212" s="117" t="str">
        <f>VLOOKUP($D212,'WB Data'!$C$3:$M$578,9,FALSE)</f>
        <v>..</v>
      </c>
      <c r="BQ212" s="117">
        <f>VLOOKUP($D212,'WB Data'!$C$3:$M$578,10,FALSE)</f>
        <v>54.137365853658544</v>
      </c>
      <c r="BR212" s="117">
        <f>VLOOKUP($D212,'WB Data'!$C$3:$M$578,11,FALSE)</f>
        <v>64.3</v>
      </c>
      <c r="BS212" s="129" t="str">
        <f>IFERROR(VLOOKUP($D212,'WB Data 2'!$C$2:$K$545,9,FALSE),"..")</f>
        <v>..</v>
      </c>
      <c r="BT212" s="129">
        <f>_xlfn.IFNA(VLOOKUP($C212,RGI!$A$2:$C$43,2,FALSE),"..")</f>
        <v>41.8</v>
      </c>
      <c r="BU212" s="129">
        <f>_xlfn.IFNA(VLOOKUP($C212,RGI!$A$2:$C$43,3,FALSE),"..")</f>
        <v>34.155297028034767</v>
      </c>
      <c r="BV212" s="129">
        <f>VLOOKUP($D212,WGI!$C$2:$O$478,7,FALSE)</f>
        <v>-1.04895192292356</v>
      </c>
      <c r="BW212" s="129">
        <f>VLOOKUP($D212,WGI!$C$2:$O$478,4,FALSE)</f>
        <v>-0.66230852929665596</v>
      </c>
      <c r="BX212" s="129">
        <f>VLOOKUP($D212,WGI!$C$2:$O$478,3,FALSE)</f>
        <v>-0.87489524530902296</v>
      </c>
      <c r="BY212" s="129">
        <f>VLOOKUP($D212,WGI!$C$2:$O$478,5,FALSE)</f>
        <v>-0.78985038430656396</v>
      </c>
      <c r="BZ212" s="129">
        <f>VLOOKUP($D212,WGI!$C$2:$O$478,2,FALSE)</f>
        <v>-1.0381540956325599</v>
      </c>
      <c r="CB212" s="129"/>
    </row>
    <row r="213" spans="1:80" ht="15" customHeight="1">
      <c r="A213" s="289" t="s">
        <v>124</v>
      </c>
      <c r="B213" s="146">
        <v>2012</v>
      </c>
      <c r="C213" s="146" t="s">
        <v>101</v>
      </c>
      <c r="D213" s="117" t="s">
        <v>3728</v>
      </c>
      <c r="E213" s="146" t="s">
        <v>86</v>
      </c>
      <c r="F213" s="146" t="s">
        <v>863</v>
      </c>
      <c r="G213" s="146" t="s">
        <v>35</v>
      </c>
      <c r="H213" s="146"/>
      <c r="I213" s="146"/>
      <c r="J213" s="146"/>
      <c r="K213" s="146" t="s">
        <v>709</v>
      </c>
      <c r="L213" s="146"/>
      <c r="M213" s="146"/>
      <c r="N213" s="754"/>
      <c r="O213" s="754"/>
      <c r="P213" s="754"/>
      <c r="Q213" s="146"/>
      <c r="R213" s="754"/>
      <c r="S213" s="146"/>
      <c r="T213" s="119"/>
      <c r="U213" s="146"/>
      <c r="V213" s="146" t="s">
        <v>963</v>
      </c>
      <c r="W213" s="146"/>
      <c r="X213" s="146" t="s">
        <v>964</v>
      </c>
      <c r="Y213" s="146" t="s">
        <v>663</v>
      </c>
      <c r="Z213" s="146" t="s">
        <v>664</v>
      </c>
      <c r="AA213" s="597">
        <v>1529320794.4000001</v>
      </c>
      <c r="AB213" s="597">
        <v>1527058697.25</v>
      </c>
      <c r="AC213" s="758">
        <v>0.999</v>
      </c>
      <c r="AD213" s="757">
        <v>1613179399.4100001</v>
      </c>
      <c r="AE213" s="138" t="s">
        <v>665</v>
      </c>
      <c r="AF213" s="758"/>
      <c r="AG213" s="117" t="s">
        <v>836</v>
      </c>
      <c r="AH213" s="759">
        <v>503.07299999999998</v>
      </c>
      <c r="AI213" s="146" t="s">
        <v>722</v>
      </c>
      <c r="AJ213" s="146"/>
      <c r="AK213" s="760"/>
      <c r="AL213" s="146"/>
      <c r="AM213" s="146"/>
      <c r="AN213" s="146">
        <v>26</v>
      </c>
      <c r="AO213" s="146" t="s">
        <v>965</v>
      </c>
      <c r="AP213" s="146">
        <v>22</v>
      </c>
      <c r="AQ213" s="239" t="s">
        <v>50</v>
      </c>
      <c r="AR213" s="146"/>
      <c r="AS213" s="146" t="s">
        <v>607</v>
      </c>
      <c r="AT213" s="146" t="s">
        <v>125</v>
      </c>
      <c r="AU213" s="146"/>
      <c r="AV213" s="128"/>
      <c r="AW213" s="117">
        <f>VLOOKUP($D213,'WB Data'!$C$3:$M$578,2,FALSE)</f>
        <v>26472054176.16637</v>
      </c>
      <c r="AX213" s="117">
        <f>VLOOKUP($D213,'WB Data'!$C$3:$M$578,3,FALSE)</f>
        <v>21699631</v>
      </c>
      <c r="AY213" s="847">
        <f t="shared" si="39"/>
        <v>5.7771141756611244E-2</v>
      </c>
      <c r="AZ213" s="117" t="e">
        <f>VLOOKUP($D213,'WB Data'!$C$3:$M$578,4,FALSE)/100</f>
        <v>#VALUE!</v>
      </c>
      <c r="BA213" s="117" t="str">
        <f t="shared" si="40"/>
        <v>..</v>
      </c>
      <c r="BB213" s="129">
        <f>IFERROR(VLOOKUP($D213,'EITI Revenues'!$C$2:$G$224,5,FALSE),"..")</f>
        <v>1529320794.4000001</v>
      </c>
      <c r="BC213" s="846" t="str">
        <f t="shared" si="41"/>
        <v>..</v>
      </c>
      <c r="BD213" s="129">
        <f>VLOOKUP($D213,'WB Data 2'!$C$2:$K$545,6,FALSE)</f>
        <v>2445584780.7393465</v>
      </c>
      <c r="BE213" s="129" t="str">
        <f>IFERROR(VLOOKUP($D213,UNCTAD!$C$5:$V$529,4,FALSE),"..")</f>
        <v>..</v>
      </c>
      <c r="BF213" s="846" t="str">
        <f t="shared" si="42"/>
        <v>..</v>
      </c>
      <c r="BG213" s="117">
        <f>VLOOKUP($D213,'WB Data'!$C$3:$M$578,5,FALSE)</f>
        <v>596240000</v>
      </c>
      <c r="BH213" s="129">
        <f>IFERROR($BB213/$BG213,"..")</f>
        <v>2.5649416248490544</v>
      </c>
      <c r="BI213" s="117">
        <f>IFERROR(VLOOKUP($D213,'WB Data'!$C$3:$M$578,7,FALSE)/100,"..")</f>
        <v>3.10012E-2</v>
      </c>
      <c r="BJ213" s="117">
        <f>IFERROR($BI213*$AW213,"..")</f>
        <v>820665445.92616892</v>
      </c>
      <c r="BK213" s="846">
        <f>IFERROR($BB213/$BJ213,"..")</f>
        <v>1.8635130819649317</v>
      </c>
      <c r="BL213" s="117">
        <f>IFERROR(VLOOKUP($D213,'WB Data'!$C$3:$M$578,7,FALSE)/100,"..")</f>
        <v>3.10012E-2</v>
      </c>
      <c r="BM213" s="117">
        <f>IFERROR($AW213*$BL213,"..")</f>
        <v>820665445.92616892</v>
      </c>
      <c r="BN213" s="846">
        <f>IFERROR($BB213/$BM213,"..")</f>
        <v>1.8635130819649317</v>
      </c>
      <c r="BO213" s="801">
        <f t="shared" si="38"/>
        <v>27</v>
      </c>
      <c r="BP213" s="117" t="str">
        <f>VLOOKUP($D213,'WB Data'!$C$3:$M$578,9,FALSE)</f>
        <v>..</v>
      </c>
      <c r="BQ213" s="117">
        <f>VLOOKUP($D213,'WB Data'!$C$3:$M$578,10,FALSE)</f>
        <v>54.58751219512196</v>
      </c>
      <c r="BR213" s="117">
        <f>VLOOKUP($D213,'WB Data'!$C$3:$M$578,11,FALSE)</f>
        <v>62.4</v>
      </c>
      <c r="BS213" s="129">
        <f>IFERROR(VLOOKUP($D213,'WB Data 2'!$C$2:$K$545,9,FALSE),"..")</f>
        <v>91.526619999999994</v>
      </c>
      <c r="BT213" s="129">
        <f>_xlfn.IFNA(VLOOKUP($C213,RGI!$A$2:$C$43,2,FALSE),"..")</f>
        <v>41.8</v>
      </c>
      <c r="BU213" s="129">
        <f>_xlfn.IFNA(VLOOKUP($C213,RGI!$A$2:$C$43,3,FALSE),"..")</f>
        <v>34.155297028034767</v>
      </c>
      <c r="BV213" s="129">
        <f>VLOOKUP($D213,WGI!$C$2:$O$478,7,FALSE)</f>
        <v>-1.0290642182071199</v>
      </c>
      <c r="BW213" s="129">
        <f>VLOOKUP($D213,WGI!$C$2:$O$478,4,FALSE)</f>
        <v>-0.57547351507469302</v>
      </c>
      <c r="BX213" s="129">
        <f>VLOOKUP($D213,WGI!$C$2:$O$478,3,FALSE)</f>
        <v>-0.90271364431252499</v>
      </c>
      <c r="BY213" s="129">
        <f>VLOOKUP($D213,WGI!$C$2:$O$478,5,FALSE)</f>
        <v>-0.93336778112607699</v>
      </c>
      <c r="BZ213" s="129">
        <f>VLOOKUP($D213,WGI!$C$2:$O$478,2,FALSE)</f>
        <v>-1.2383914999271299</v>
      </c>
    </row>
    <row r="214" spans="1:80" ht="15" customHeight="1">
      <c r="A214" s="289" t="s">
        <v>124</v>
      </c>
      <c r="B214" s="146">
        <v>2012</v>
      </c>
      <c r="C214" s="146" t="s">
        <v>101</v>
      </c>
      <c r="D214" s="117" t="s">
        <v>3728</v>
      </c>
      <c r="E214" s="146" t="s">
        <v>86</v>
      </c>
      <c r="F214" s="146"/>
      <c r="G214" s="146" t="s">
        <v>103</v>
      </c>
      <c r="H214" s="146"/>
      <c r="I214" s="146"/>
      <c r="J214" s="146"/>
      <c r="K214" s="146" t="s">
        <v>103</v>
      </c>
      <c r="L214" s="146"/>
      <c r="M214" s="146"/>
      <c r="N214" s="754"/>
      <c r="O214" s="754"/>
      <c r="P214" s="754"/>
      <c r="Q214" s="146"/>
      <c r="R214" s="754">
        <v>21877929</v>
      </c>
      <c r="S214" s="146" t="s">
        <v>646</v>
      </c>
      <c r="T214" s="119"/>
      <c r="U214" s="146"/>
      <c r="V214" s="146"/>
      <c r="W214" s="146"/>
      <c r="X214" s="146"/>
      <c r="Y214" s="146"/>
      <c r="Z214" s="146"/>
      <c r="AA214" s="760"/>
      <c r="AB214" s="760"/>
      <c r="AC214" s="756"/>
      <c r="AD214" s="756"/>
      <c r="AE214" s="756"/>
      <c r="AF214" s="758"/>
      <c r="AG214" s="117"/>
      <c r="AH214" s="759"/>
      <c r="AI214" s="146"/>
      <c r="AJ214" s="146"/>
      <c r="AK214" s="760"/>
      <c r="AL214" s="146"/>
      <c r="AM214" s="146"/>
      <c r="AN214" s="146"/>
      <c r="AO214" s="146"/>
      <c r="AP214" s="146"/>
      <c r="AQ214" s="239"/>
      <c r="AR214" s="146"/>
      <c r="AS214" s="146"/>
      <c r="AT214" s="146"/>
      <c r="AU214" s="146"/>
      <c r="AV214" s="128"/>
      <c r="AW214" s="117">
        <f>VLOOKUP($D214,'WB Data'!$C$3:$M$578,2,FALSE)</f>
        <v>26472054176.16637</v>
      </c>
      <c r="AX214" s="117">
        <f>VLOOKUP($D214,'WB Data'!$C$3:$M$578,3,FALSE)</f>
        <v>21699631</v>
      </c>
      <c r="AY214" s="847">
        <f t="shared" si="39"/>
        <v>5.7771141756611244E-2</v>
      </c>
      <c r="AZ214" s="117" t="e">
        <f>VLOOKUP($D214,'WB Data'!$C$3:$M$578,4,FALSE)/100</f>
        <v>#VALUE!</v>
      </c>
      <c r="BA214" s="117" t="str">
        <f t="shared" si="40"/>
        <v>..</v>
      </c>
      <c r="BB214" s="129">
        <f>IFERROR(VLOOKUP($D214,'EITI Revenues'!$C$2:$G$224,5,FALSE),"..")</f>
        <v>1529320794.4000001</v>
      </c>
      <c r="BC214" s="846" t="str">
        <f t="shared" si="41"/>
        <v>..</v>
      </c>
      <c r="BD214" s="129">
        <f>VLOOKUP($D214,'WB Data 2'!$C$2:$K$545,6,FALSE)</f>
        <v>2445584780.7393465</v>
      </c>
      <c r="BE214" s="129" t="str">
        <f>IFERROR(VLOOKUP($D214,UNCTAD!$C$5:$V$529,4,FALSE),"..")</f>
        <v>..</v>
      </c>
      <c r="BF214" s="846" t="str">
        <f t="shared" si="42"/>
        <v>..</v>
      </c>
      <c r="BG214" s="117">
        <f>VLOOKUP($D214,'WB Data'!$C$3:$M$578,5,FALSE)</f>
        <v>596240000</v>
      </c>
      <c r="BH214" s="129">
        <f>IFERROR($BB214/$BG214,"..")</f>
        <v>2.5649416248490544</v>
      </c>
      <c r="BI214" s="117">
        <f>IFERROR(VLOOKUP($D214,'WB Data'!$C$3:$M$578,7,FALSE)/100,"..")</f>
        <v>3.10012E-2</v>
      </c>
      <c r="BJ214" s="117">
        <f>IFERROR($BI214*$AW214,"..")</f>
        <v>820665445.92616892</v>
      </c>
      <c r="BK214" s="846">
        <f>IFERROR($BB214/$BJ214,"..")</f>
        <v>1.8635130819649317</v>
      </c>
      <c r="BL214" s="117">
        <f>IFERROR(VLOOKUP($D214,'WB Data'!$C$3:$M$578,7,FALSE)/100,"..")</f>
        <v>3.10012E-2</v>
      </c>
      <c r="BM214" s="117">
        <f>IFERROR($AW214*$BL214,"..")</f>
        <v>820665445.92616892</v>
      </c>
      <c r="BN214" s="846">
        <f>IFERROR($BB214/$BM214,"..")</f>
        <v>1.8635130819649317</v>
      </c>
      <c r="BO214" s="801">
        <f t="shared" si="38"/>
        <v>27</v>
      </c>
      <c r="BP214" s="117" t="str">
        <f>VLOOKUP($D214,'WB Data'!$C$3:$M$578,9,FALSE)</f>
        <v>..</v>
      </c>
      <c r="BQ214" s="117">
        <f>VLOOKUP($D214,'WB Data'!$C$3:$M$578,10,FALSE)</f>
        <v>54.58751219512196</v>
      </c>
      <c r="BR214" s="117">
        <f>VLOOKUP($D214,'WB Data'!$C$3:$M$578,11,FALSE)</f>
        <v>62.4</v>
      </c>
      <c r="BS214" s="129">
        <f>IFERROR(VLOOKUP($D214,'WB Data 2'!$C$2:$K$545,9,FALSE),"..")</f>
        <v>91.526619999999994</v>
      </c>
      <c r="BT214" s="129">
        <f>_xlfn.IFNA(VLOOKUP($C214,RGI!$A$2:$C$43,2,FALSE),"..")</f>
        <v>41.8</v>
      </c>
      <c r="BU214" s="129">
        <f>_xlfn.IFNA(VLOOKUP($C214,RGI!$A$2:$C$43,3,FALSE),"..")</f>
        <v>34.155297028034767</v>
      </c>
      <c r="BV214" s="129">
        <f>VLOOKUP($D214,WGI!$C$2:$O$478,7,FALSE)</f>
        <v>-1.0290642182071199</v>
      </c>
      <c r="BW214" s="129">
        <f>VLOOKUP($D214,WGI!$C$2:$O$478,4,FALSE)</f>
        <v>-0.57547351507469302</v>
      </c>
      <c r="BX214" s="129">
        <f>VLOOKUP($D214,WGI!$C$2:$O$478,3,FALSE)</f>
        <v>-0.90271364431252499</v>
      </c>
      <c r="BY214" s="129">
        <f>VLOOKUP($D214,WGI!$C$2:$O$478,5,FALSE)</f>
        <v>-0.93336778112607699</v>
      </c>
      <c r="BZ214" s="129">
        <f>VLOOKUP($D214,WGI!$C$2:$O$478,2,FALSE)</f>
        <v>-1.2383914999271299</v>
      </c>
    </row>
    <row r="215" spans="1:80" ht="15" customHeight="1">
      <c r="A215" s="289" t="s">
        <v>124</v>
      </c>
      <c r="B215" s="146">
        <v>2012</v>
      </c>
      <c r="C215" s="146" t="s">
        <v>101</v>
      </c>
      <c r="D215" s="117" t="s">
        <v>3728</v>
      </c>
      <c r="E215" s="146" t="s">
        <v>86</v>
      </c>
      <c r="F215" s="146"/>
      <c r="G215" s="146" t="s">
        <v>561</v>
      </c>
      <c r="H215" s="146"/>
      <c r="I215" s="146"/>
      <c r="J215" s="146"/>
      <c r="K215" s="146" t="s">
        <v>561</v>
      </c>
      <c r="L215" s="146"/>
      <c r="M215" s="146"/>
      <c r="N215" s="754"/>
      <c r="O215" s="754"/>
      <c r="P215" s="754"/>
      <c r="Q215" s="146"/>
      <c r="R215" s="754">
        <v>89450000</v>
      </c>
      <c r="S215" s="117" t="s">
        <v>966</v>
      </c>
      <c r="T215" s="119"/>
      <c r="U215" s="146"/>
      <c r="V215" s="146"/>
      <c r="W215" s="146"/>
      <c r="X215" s="146"/>
      <c r="Y215" s="146"/>
      <c r="Z215" s="146"/>
      <c r="AA215" s="760"/>
      <c r="AB215" s="760"/>
      <c r="AC215" s="756"/>
      <c r="AD215" s="756"/>
      <c r="AE215" s="756"/>
      <c r="AF215" s="758"/>
      <c r="AG215" s="117"/>
      <c r="AH215" s="759"/>
      <c r="AI215" s="146"/>
      <c r="AJ215" s="146"/>
      <c r="AK215" s="760"/>
      <c r="AL215" s="146"/>
      <c r="AM215" s="146"/>
      <c r="AN215" s="146"/>
      <c r="AO215" s="146"/>
      <c r="AP215" s="146"/>
      <c r="AQ215" s="239"/>
      <c r="AR215" s="146"/>
      <c r="AS215" s="146"/>
      <c r="AT215" s="146"/>
      <c r="AU215" s="146"/>
      <c r="AV215" s="128"/>
      <c r="AW215" s="117">
        <f>VLOOKUP($D215,'WB Data'!$C$3:$M$578,2,FALSE)</f>
        <v>26472054176.16637</v>
      </c>
      <c r="AX215" s="117">
        <f>VLOOKUP($D215,'WB Data'!$C$3:$M$578,3,FALSE)</f>
        <v>21699631</v>
      </c>
      <c r="AY215" s="847">
        <f t="shared" si="39"/>
        <v>5.7771141756611244E-2</v>
      </c>
      <c r="AZ215" s="117" t="e">
        <f>VLOOKUP($D215,'WB Data'!$C$3:$M$578,4,FALSE)/100</f>
        <v>#VALUE!</v>
      </c>
      <c r="BA215" s="117" t="str">
        <f t="shared" si="40"/>
        <v>..</v>
      </c>
      <c r="BB215" s="129">
        <f>IFERROR(VLOOKUP($D215,'EITI Revenues'!$C$2:$G$224,5,FALSE),"..")</f>
        <v>1529320794.4000001</v>
      </c>
      <c r="BC215" s="846" t="str">
        <f t="shared" si="41"/>
        <v>..</v>
      </c>
      <c r="BD215" s="129">
        <f>VLOOKUP($D215,'WB Data 2'!$C$2:$K$545,6,FALSE)</f>
        <v>2445584780.7393465</v>
      </c>
      <c r="BE215" s="129" t="str">
        <f>IFERROR(VLOOKUP($D215,UNCTAD!$C$5:$V$529,4,FALSE),"..")</f>
        <v>..</v>
      </c>
      <c r="BF215" s="846" t="str">
        <f t="shared" si="42"/>
        <v>..</v>
      </c>
      <c r="BG215" s="117">
        <f>VLOOKUP($D215,'WB Data'!$C$3:$M$578,5,FALSE)</f>
        <v>596240000</v>
      </c>
      <c r="BH215" s="129">
        <f>IFERROR($BB215/$BG215,"..")</f>
        <v>2.5649416248490544</v>
      </c>
      <c r="BI215" s="117">
        <f>IFERROR(VLOOKUP($D215,'WB Data'!$C$3:$M$578,7,FALSE)/100,"..")</f>
        <v>3.10012E-2</v>
      </c>
      <c r="BJ215" s="117">
        <f>IFERROR($BI215*$AW215,"..")</f>
        <v>820665445.92616892</v>
      </c>
      <c r="BK215" s="846">
        <f>IFERROR($BB215/$BJ215,"..")</f>
        <v>1.8635130819649317</v>
      </c>
      <c r="BL215" s="117">
        <f>IFERROR(VLOOKUP($D215,'WB Data'!$C$3:$M$578,7,FALSE)/100,"..")</f>
        <v>3.10012E-2</v>
      </c>
      <c r="BM215" s="117">
        <f>IFERROR($AW215*$BL215,"..")</f>
        <v>820665445.92616892</v>
      </c>
      <c r="BN215" s="846">
        <f>IFERROR($BB215/$BM215,"..")</f>
        <v>1.8635130819649317</v>
      </c>
      <c r="BO215" s="801">
        <f t="shared" si="38"/>
        <v>27</v>
      </c>
      <c r="BP215" s="117" t="str">
        <f>VLOOKUP($D215,'WB Data'!$C$3:$M$578,9,FALSE)</f>
        <v>..</v>
      </c>
      <c r="BQ215" s="117">
        <f>VLOOKUP($D215,'WB Data'!$C$3:$M$578,10,FALSE)</f>
        <v>54.58751219512196</v>
      </c>
      <c r="BR215" s="117">
        <f>VLOOKUP($D215,'WB Data'!$C$3:$M$578,11,FALSE)</f>
        <v>62.4</v>
      </c>
      <c r="BS215" s="129">
        <f>IFERROR(VLOOKUP($D215,'WB Data 2'!$C$2:$K$545,9,FALSE),"..")</f>
        <v>91.526619999999994</v>
      </c>
      <c r="BT215" s="129">
        <f>_xlfn.IFNA(VLOOKUP($C215,RGI!$A$2:$C$43,2,FALSE),"..")</f>
        <v>41.8</v>
      </c>
      <c r="BU215" s="129">
        <f>_xlfn.IFNA(VLOOKUP($C215,RGI!$A$2:$C$43,3,FALSE),"..")</f>
        <v>34.155297028034767</v>
      </c>
      <c r="BV215" s="129">
        <f>VLOOKUP($D215,WGI!$C$2:$O$478,7,FALSE)</f>
        <v>-1.0290642182071199</v>
      </c>
      <c r="BW215" s="129">
        <f>VLOOKUP($D215,WGI!$C$2:$O$478,4,FALSE)</f>
        <v>-0.57547351507469302</v>
      </c>
      <c r="BX215" s="129">
        <f>VLOOKUP($D215,WGI!$C$2:$O$478,3,FALSE)</f>
        <v>-0.90271364431252499</v>
      </c>
      <c r="BY215" s="129">
        <f>VLOOKUP($D215,WGI!$C$2:$O$478,5,FALSE)</f>
        <v>-0.93336778112607699</v>
      </c>
      <c r="BZ215" s="129">
        <f>VLOOKUP($D215,WGI!$C$2:$O$478,2,FALSE)</f>
        <v>-1.2383914999271299</v>
      </c>
    </row>
    <row r="216" spans="1:80" ht="15" customHeight="1">
      <c r="A216" s="289" t="s">
        <v>124</v>
      </c>
      <c r="B216" s="146">
        <v>2012</v>
      </c>
      <c r="C216" s="146" t="s">
        <v>101</v>
      </c>
      <c r="D216" s="117" t="s">
        <v>3728</v>
      </c>
      <c r="E216" s="146" t="s">
        <v>86</v>
      </c>
      <c r="F216" s="146"/>
      <c r="G216" s="146" t="s">
        <v>24</v>
      </c>
      <c r="H216" s="146"/>
      <c r="I216" s="146"/>
      <c r="J216" s="146"/>
      <c r="K216" s="146" t="s">
        <v>600</v>
      </c>
      <c r="L216" s="146"/>
      <c r="M216" s="146"/>
      <c r="N216" s="754"/>
      <c r="O216" s="754"/>
      <c r="P216" s="754"/>
      <c r="Q216" s="146"/>
      <c r="R216" s="754"/>
      <c r="S216" s="146"/>
      <c r="T216" s="119"/>
      <c r="U216" s="146"/>
      <c r="V216" s="146"/>
      <c r="W216" s="146"/>
      <c r="X216" s="146"/>
      <c r="Y216" s="146"/>
      <c r="Z216" s="146"/>
      <c r="AA216" s="146"/>
      <c r="AB216" s="146"/>
      <c r="AC216" s="756"/>
      <c r="AD216" s="756"/>
      <c r="AE216" s="756"/>
      <c r="AF216" s="758"/>
      <c r="AG216" s="146"/>
      <c r="AH216" s="759"/>
      <c r="AI216" s="146"/>
      <c r="AJ216" s="146"/>
      <c r="AK216" s="760"/>
      <c r="AL216" s="146"/>
      <c r="AM216" s="146"/>
      <c r="AN216" s="146"/>
      <c r="AO216" s="146"/>
      <c r="AP216" s="146"/>
      <c r="AQ216" s="146"/>
      <c r="AR216" s="146"/>
      <c r="AS216" s="146"/>
      <c r="AT216" s="146"/>
      <c r="AU216" s="146"/>
      <c r="AV216" s="128"/>
      <c r="AW216" s="117">
        <f>VLOOKUP($D216,'WB Data'!$C$3:$M$578,2,FALSE)</f>
        <v>26472054176.16637</v>
      </c>
      <c r="AX216" s="117">
        <f>VLOOKUP($D216,'WB Data'!$C$3:$M$578,3,FALSE)</f>
        <v>21699631</v>
      </c>
      <c r="AY216" s="847">
        <f t="shared" si="39"/>
        <v>5.7771141756611244E-2</v>
      </c>
      <c r="AZ216" s="117" t="e">
        <f>VLOOKUP($D216,'WB Data'!$C$3:$M$578,4,FALSE)/100</f>
        <v>#VALUE!</v>
      </c>
      <c r="BA216" s="117" t="str">
        <f t="shared" si="40"/>
        <v>..</v>
      </c>
      <c r="BB216" s="129">
        <f>IFERROR(VLOOKUP($D216,'EITI Revenues'!$C$2:$G$224,5,FALSE),"..")</f>
        <v>1529320794.4000001</v>
      </c>
      <c r="BC216" s="846" t="str">
        <f t="shared" si="41"/>
        <v>..</v>
      </c>
      <c r="BD216" s="129">
        <f>VLOOKUP($D216,'WB Data 2'!$C$2:$K$545,6,FALSE)</f>
        <v>2445584780.7393465</v>
      </c>
      <c r="BE216" s="129" t="str">
        <f>IFERROR(VLOOKUP($D216,UNCTAD!$C$5:$V$529,4,FALSE),"..")</f>
        <v>..</v>
      </c>
      <c r="BF216" s="846" t="str">
        <f t="shared" si="42"/>
        <v>..</v>
      </c>
      <c r="BG216" s="117">
        <f>VLOOKUP($D216,'WB Data'!$C$3:$M$578,5,FALSE)</f>
        <v>596240000</v>
      </c>
      <c r="BH216" s="129">
        <f>IFERROR($BB216/$BG216,"..")</f>
        <v>2.5649416248490544</v>
      </c>
      <c r="BI216" s="117">
        <f>IFERROR(VLOOKUP($D216,'WB Data'!$C$3:$M$578,7,FALSE)/100,"..")</f>
        <v>3.10012E-2</v>
      </c>
      <c r="BJ216" s="117">
        <f>IFERROR($BI216*$AW216,"..")</f>
        <v>820665445.92616892</v>
      </c>
      <c r="BK216" s="846">
        <f>IFERROR($BB216/$BJ216,"..")</f>
        <v>1.8635130819649317</v>
      </c>
      <c r="BL216" s="117">
        <f>IFERROR(VLOOKUP($D216,'WB Data'!$C$3:$M$578,7,FALSE)/100,"..")</f>
        <v>3.10012E-2</v>
      </c>
      <c r="BM216" s="117">
        <f>IFERROR($AW216*$BL216,"..")</f>
        <v>820665445.92616892</v>
      </c>
      <c r="BN216" s="846">
        <f>IFERROR($BB216/$BM216,"..")</f>
        <v>1.8635130819649317</v>
      </c>
      <c r="BO216" s="801">
        <f t="shared" si="38"/>
        <v>27</v>
      </c>
      <c r="BP216" s="117" t="str">
        <f>VLOOKUP($D216,'WB Data'!$C$3:$M$578,9,FALSE)</f>
        <v>..</v>
      </c>
      <c r="BQ216" s="117">
        <f>VLOOKUP($D216,'WB Data'!$C$3:$M$578,10,FALSE)</f>
        <v>54.58751219512196</v>
      </c>
      <c r="BR216" s="117">
        <f>VLOOKUP($D216,'WB Data'!$C$3:$M$578,11,FALSE)</f>
        <v>62.4</v>
      </c>
      <c r="BS216" s="129">
        <f>IFERROR(VLOOKUP($D216,'WB Data 2'!$C$2:$K$545,9,FALSE),"..")</f>
        <v>91.526619999999994</v>
      </c>
      <c r="BT216" s="129">
        <f>_xlfn.IFNA(VLOOKUP($C216,RGI!$A$2:$C$43,2,FALSE),"..")</f>
        <v>41.8</v>
      </c>
      <c r="BU216" s="129">
        <f>_xlfn.IFNA(VLOOKUP($C216,RGI!$A$2:$C$43,3,FALSE),"..")</f>
        <v>34.155297028034767</v>
      </c>
      <c r="BV216" s="129">
        <f>VLOOKUP($D216,WGI!$C$2:$O$478,7,FALSE)</f>
        <v>-1.0290642182071199</v>
      </c>
      <c r="BW216" s="129">
        <f>VLOOKUP($D216,WGI!$C$2:$O$478,4,FALSE)</f>
        <v>-0.57547351507469302</v>
      </c>
      <c r="BX216" s="129">
        <f>VLOOKUP($D216,WGI!$C$2:$O$478,3,FALSE)</f>
        <v>-0.90271364431252499</v>
      </c>
      <c r="BY216" s="129">
        <f>VLOOKUP($D216,WGI!$C$2:$O$478,5,FALSE)</f>
        <v>-0.93336778112607699</v>
      </c>
      <c r="BZ216" s="129">
        <f>VLOOKUP($D216,WGI!$C$2:$O$478,2,FALSE)</f>
        <v>-1.2383914999271299</v>
      </c>
    </row>
    <row r="217" spans="1:80" ht="15" customHeight="1">
      <c r="A217" s="289" t="s">
        <v>124</v>
      </c>
      <c r="B217" s="146">
        <v>2012</v>
      </c>
      <c r="C217" s="146" t="s">
        <v>101</v>
      </c>
      <c r="D217" s="117" t="s">
        <v>3728</v>
      </c>
      <c r="E217" s="146" t="s">
        <v>86</v>
      </c>
      <c r="F217" s="146"/>
      <c r="G217" s="146" t="s">
        <v>24</v>
      </c>
      <c r="H217" s="146"/>
      <c r="I217" s="146"/>
      <c r="J217" s="146"/>
      <c r="K217" s="146" t="s">
        <v>784</v>
      </c>
      <c r="L217" s="146"/>
      <c r="M217" s="146"/>
      <c r="N217" s="754"/>
      <c r="O217" s="754"/>
      <c r="P217" s="754"/>
      <c r="Q217" s="146"/>
      <c r="R217" s="754">
        <v>151.6</v>
      </c>
      <c r="S217" s="146" t="s">
        <v>967</v>
      </c>
      <c r="T217" s="119"/>
      <c r="U217" s="146"/>
      <c r="V217" s="146"/>
      <c r="W217" s="146"/>
      <c r="X217" s="146"/>
      <c r="Y217" s="146"/>
      <c r="Z217" s="146"/>
      <c r="AA217" s="146"/>
      <c r="AB217" s="146"/>
      <c r="AC217" s="756"/>
      <c r="AD217" s="756"/>
      <c r="AE217" s="756"/>
      <c r="AF217" s="758"/>
      <c r="AG217" s="146"/>
      <c r="AH217" s="759"/>
      <c r="AI217" s="146"/>
      <c r="AJ217" s="146"/>
      <c r="AK217" s="760"/>
      <c r="AL217" s="146"/>
      <c r="AM217" s="146"/>
      <c r="AN217" s="146"/>
      <c r="AO217" s="146"/>
      <c r="AP217" s="146"/>
      <c r="AQ217" s="146"/>
      <c r="AR217" s="146"/>
      <c r="AS217" s="146"/>
      <c r="AT217" s="146"/>
      <c r="AU217" s="146"/>
      <c r="AV217" s="128"/>
      <c r="AW217" s="117">
        <f>VLOOKUP($D217,'WB Data'!$C$3:$M$578,2,FALSE)</f>
        <v>26472054176.16637</v>
      </c>
      <c r="AX217" s="117">
        <f>VLOOKUP($D217,'WB Data'!$C$3:$M$578,3,FALSE)</f>
        <v>21699631</v>
      </c>
      <c r="AY217" s="847">
        <f t="shared" si="39"/>
        <v>5.7771141756611244E-2</v>
      </c>
      <c r="AZ217" s="117" t="e">
        <f>VLOOKUP($D217,'WB Data'!$C$3:$M$578,4,FALSE)/100</f>
        <v>#VALUE!</v>
      </c>
      <c r="BA217" s="117" t="str">
        <f t="shared" si="40"/>
        <v>..</v>
      </c>
      <c r="BB217" s="129">
        <f>IFERROR(VLOOKUP($D217,'EITI Revenues'!$C$2:$G$224,5,FALSE),"..")</f>
        <v>1529320794.4000001</v>
      </c>
      <c r="BC217" s="846" t="str">
        <f t="shared" si="41"/>
        <v>..</v>
      </c>
      <c r="BD217" s="129">
        <f>VLOOKUP($D217,'WB Data 2'!$C$2:$K$545,6,FALSE)</f>
        <v>2445584780.7393465</v>
      </c>
      <c r="BE217" s="129" t="str">
        <f>IFERROR(VLOOKUP($D217,UNCTAD!$C$5:$V$529,4,FALSE),"..")</f>
        <v>..</v>
      </c>
      <c r="BF217" s="846" t="str">
        <f t="shared" si="42"/>
        <v>..</v>
      </c>
      <c r="BG217" s="117">
        <f>VLOOKUP($D217,'WB Data'!$C$3:$M$578,5,FALSE)</f>
        <v>596240000</v>
      </c>
      <c r="BH217" s="129">
        <f>IFERROR($BB217/$BG217,"..")</f>
        <v>2.5649416248490544</v>
      </c>
      <c r="BI217" s="117">
        <f>IFERROR(VLOOKUP($D217,'WB Data'!$C$3:$M$578,7,FALSE)/100,"..")</f>
        <v>3.10012E-2</v>
      </c>
      <c r="BJ217" s="117">
        <f>IFERROR($BI217*$AW217,"..")</f>
        <v>820665445.92616892</v>
      </c>
      <c r="BK217" s="846">
        <f>IFERROR($BB217/$BJ217,"..")</f>
        <v>1.8635130819649317</v>
      </c>
      <c r="BL217" s="117">
        <f>IFERROR(VLOOKUP($D217,'WB Data'!$C$3:$M$578,7,FALSE)/100,"..")</f>
        <v>3.10012E-2</v>
      </c>
      <c r="BM217" s="117">
        <f>IFERROR($AW217*$BL217,"..")</f>
        <v>820665445.92616892</v>
      </c>
      <c r="BN217" s="846">
        <f>IFERROR($BB217/$BM217,"..")</f>
        <v>1.8635130819649317</v>
      </c>
      <c r="BO217" s="801">
        <f t="shared" si="38"/>
        <v>27</v>
      </c>
      <c r="BP217" s="117" t="str">
        <f>VLOOKUP($D217,'WB Data'!$C$3:$M$578,9,FALSE)</f>
        <v>..</v>
      </c>
      <c r="BQ217" s="117">
        <f>VLOOKUP($D217,'WB Data'!$C$3:$M$578,10,FALSE)</f>
        <v>54.58751219512196</v>
      </c>
      <c r="BR217" s="117">
        <f>VLOOKUP($D217,'WB Data'!$C$3:$M$578,11,FALSE)</f>
        <v>62.4</v>
      </c>
      <c r="BS217" s="129">
        <f>IFERROR(VLOOKUP($D217,'WB Data 2'!$C$2:$K$545,9,FALSE),"..")</f>
        <v>91.526619999999994</v>
      </c>
      <c r="BT217" s="129">
        <f>_xlfn.IFNA(VLOOKUP($C217,RGI!$A$2:$C$43,2,FALSE),"..")</f>
        <v>41.8</v>
      </c>
      <c r="BU217" s="129">
        <f>_xlfn.IFNA(VLOOKUP($C217,RGI!$A$2:$C$43,3,FALSE),"..")</f>
        <v>34.155297028034767</v>
      </c>
      <c r="BV217" s="129">
        <f>VLOOKUP($D217,WGI!$C$2:$O$478,7,FALSE)</f>
        <v>-1.0290642182071199</v>
      </c>
      <c r="BW217" s="129">
        <f>VLOOKUP($D217,WGI!$C$2:$O$478,4,FALSE)</f>
        <v>-0.57547351507469302</v>
      </c>
      <c r="BX217" s="129">
        <f>VLOOKUP($D217,WGI!$C$2:$O$478,3,FALSE)</f>
        <v>-0.90271364431252499</v>
      </c>
      <c r="BY217" s="129">
        <f>VLOOKUP($D217,WGI!$C$2:$O$478,5,FALSE)</f>
        <v>-0.93336778112607699</v>
      </c>
      <c r="BZ217" s="129">
        <f>VLOOKUP($D217,WGI!$C$2:$O$478,2,FALSE)</f>
        <v>-1.2383914999271299</v>
      </c>
    </row>
    <row r="218" spans="1:80" ht="15" customHeight="1">
      <c r="A218" s="289" t="s">
        <v>124</v>
      </c>
      <c r="B218" s="146">
        <v>2012</v>
      </c>
      <c r="C218" s="146" t="s">
        <v>101</v>
      </c>
      <c r="D218" s="117" t="s">
        <v>3728</v>
      </c>
      <c r="E218" s="146" t="s">
        <v>86</v>
      </c>
      <c r="F218" s="146"/>
      <c r="G218" s="146" t="s">
        <v>24</v>
      </c>
      <c r="H218" s="146"/>
      <c r="I218" s="146"/>
      <c r="J218" s="146"/>
      <c r="K218" s="146" t="s">
        <v>656</v>
      </c>
      <c r="L218" s="146"/>
      <c r="M218" s="146"/>
      <c r="N218" s="754"/>
      <c r="O218" s="754"/>
      <c r="P218" s="754"/>
      <c r="Q218" s="146"/>
      <c r="R218" s="754">
        <v>2198</v>
      </c>
      <c r="S218" s="117" t="s">
        <v>642</v>
      </c>
      <c r="T218" s="119"/>
      <c r="U218" s="146"/>
      <c r="V218" s="146"/>
      <c r="W218" s="146"/>
      <c r="X218" s="146"/>
      <c r="Y218" s="146"/>
      <c r="Z218" s="146"/>
      <c r="AA218" s="146"/>
      <c r="AB218" s="146"/>
      <c r="AC218" s="756"/>
      <c r="AD218" s="756"/>
      <c r="AE218" s="756"/>
      <c r="AF218" s="758"/>
      <c r="AG218" s="146"/>
      <c r="AH218" s="759"/>
      <c r="AI218" s="146"/>
      <c r="AJ218" s="146"/>
      <c r="AK218" s="760"/>
      <c r="AL218" s="146"/>
      <c r="AM218" s="146"/>
      <c r="AN218" s="146"/>
      <c r="AO218" s="146"/>
      <c r="AP218" s="146"/>
      <c r="AQ218" s="146"/>
      <c r="AR218" s="146"/>
      <c r="AS218" s="146"/>
      <c r="AT218" s="146"/>
      <c r="AU218" s="146"/>
      <c r="AV218" s="128"/>
      <c r="AW218" s="117">
        <f>VLOOKUP($D218,'WB Data'!$C$3:$M$578,2,FALSE)</f>
        <v>26472054176.16637</v>
      </c>
      <c r="AX218" s="117">
        <f>VLOOKUP($D218,'WB Data'!$C$3:$M$578,3,FALSE)</f>
        <v>21699631</v>
      </c>
      <c r="AY218" s="847">
        <f t="shared" si="39"/>
        <v>5.7771141756611244E-2</v>
      </c>
      <c r="AZ218" s="117" t="e">
        <f>VLOOKUP($D218,'WB Data'!$C$3:$M$578,4,FALSE)/100</f>
        <v>#VALUE!</v>
      </c>
      <c r="BA218" s="117" t="str">
        <f t="shared" si="40"/>
        <v>..</v>
      </c>
      <c r="BB218" s="129">
        <f>IFERROR(VLOOKUP($D218,'EITI Revenues'!$C$2:$G$224,5,FALSE),"..")</f>
        <v>1529320794.4000001</v>
      </c>
      <c r="BC218" s="846" t="str">
        <f t="shared" si="41"/>
        <v>..</v>
      </c>
      <c r="BD218" s="129">
        <f>VLOOKUP($D218,'WB Data 2'!$C$2:$K$545,6,FALSE)</f>
        <v>2445584780.7393465</v>
      </c>
      <c r="BE218" s="129" t="str">
        <f>IFERROR(VLOOKUP($D218,UNCTAD!$C$5:$V$529,4,FALSE),"..")</f>
        <v>..</v>
      </c>
      <c r="BF218" s="846" t="str">
        <f t="shared" si="42"/>
        <v>..</v>
      </c>
      <c r="BG218" s="117">
        <f>VLOOKUP($D218,'WB Data'!$C$3:$M$578,5,FALSE)</f>
        <v>596240000</v>
      </c>
      <c r="BH218" s="129">
        <f>IFERROR($BB218/$BG218,"..")</f>
        <v>2.5649416248490544</v>
      </c>
      <c r="BI218" s="117">
        <f>IFERROR(VLOOKUP($D218,'WB Data'!$C$3:$M$578,7,FALSE)/100,"..")</f>
        <v>3.10012E-2</v>
      </c>
      <c r="BJ218" s="117">
        <f>IFERROR($BI218*$AW218,"..")</f>
        <v>820665445.92616892</v>
      </c>
      <c r="BK218" s="846">
        <f>IFERROR($BB218/$BJ218,"..")</f>
        <v>1.8635130819649317</v>
      </c>
      <c r="BL218" s="117">
        <f>IFERROR(VLOOKUP($D218,'WB Data'!$C$3:$M$578,7,FALSE)/100,"..")</f>
        <v>3.10012E-2</v>
      </c>
      <c r="BM218" s="117">
        <f>IFERROR($AW218*$BL218,"..")</f>
        <v>820665445.92616892</v>
      </c>
      <c r="BN218" s="846">
        <f>IFERROR($BB218/$BM218,"..")</f>
        <v>1.8635130819649317</v>
      </c>
      <c r="BO218" s="801">
        <f t="shared" si="38"/>
        <v>27</v>
      </c>
      <c r="BP218" s="117" t="str">
        <f>VLOOKUP($D218,'WB Data'!$C$3:$M$578,9,FALSE)</f>
        <v>..</v>
      </c>
      <c r="BQ218" s="117">
        <f>VLOOKUP($D218,'WB Data'!$C$3:$M$578,10,FALSE)</f>
        <v>54.58751219512196</v>
      </c>
      <c r="BR218" s="117">
        <f>VLOOKUP($D218,'WB Data'!$C$3:$M$578,11,FALSE)</f>
        <v>62.4</v>
      </c>
      <c r="BS218" s="129">
        <f>IFERROR(VLOOKUP($D218,'WB Data 2'!$C$2:$K$545,9,FALSE),"..")</f>
        <v>91.526619999999994</v>
      </c>
      <c r="BT218" s="129">
        <f>_xlfn.IFNA(VLOOKUP($C218,RGI!$A$2:$C$43,2,FALSE),"..")</f>
        <v>41.8</v>
      </c>
      <c r="BU218" s="129">
        <f>_xlfn.IFNA(VLOOKUP($C218,RGI!$A$2:$C$43,3,FALSE),"..")</f>
        <v>34.155297028034767</v>
      </c>
      <c r="BV218" s="129">
        <f>VLOOKUP($D218,WGI!$C$2:$O$478,7,FALSE)</f>
        <v>-1.0290642182071199</v>
      </c>
      <c r="BW218" s="129">
        <f>VLOOKUP($D218,WGI!$C$2:$O$478,4,FALSE)</f>
        <v>-0.57547351507469302</v>
      </c>
      <c r="BX218" s="129">
        <f>VLOOKUP($D218,WGI!$C$2:$O$478,3,FALSE)</f>
        <v>-0.90271364431252499</v>
      </c>
      <c r="BY218" s="129">
        <f>VLOOKUP($D218,WGI!$C$2:$O$478,5,FALSE)</f>
        <v>-0.93336778112607699</v>
      </c>
      <c r="BZ218" s="129">
        <f>VLOOKUP($D218,WGI!$C$2:$O$478,2,FALSE)</f>
        <v>-1.2383914999271299</v>
      </c>
    </row>
    <row r="219" spans="1:80" ht="15" customHeight="1">
      <c r="A219" s="289" t="s">
        <v>124</v>
      </c>
      <c r="B219" s="146">
        <v>2012</v>
      </c>
      <c r="C219" s="146" t="s">
        <v>101</v>
      </c>
      <c r="D219" s="117" t="s">
        <v>3728</v>
      </c>
      <c r="E219" s="146" t="s">
        <v>86</v>
      </c>
      <c r="F219" s="146"/>
      <c r="G219" s="146" t="s">
        <v>24</v>
      </c>
      <c r="H219" s="146"/>
      <c r="I219" s="146"/>
      <c r="J219" s="146"/>
      <c r="K219" s="146" t="s">
        <v>955</v>
      </c>
      <c r="L219" s="146"/>
      <c r="M219" s="146"/>
      <c r="N219" s="754"/>
      <c r="O219" s="754"/>
      <c r="P219" s="754"/>
      <c r="Q219" s="146"/>
      <c r="R219" s="754">
        <v>2615</v>
      </c>
      <c r="S219" s="117" t="s">
        <v>642</v>
      </c>
      <c r="T219" s="119"/>
      <c r="U219" s="146"/>
      <c r="V219" s="146"/>
      <c r="W219" s="146"/>
      <c r="X219" s="146"/>
      <c r="Y219" s="146"/>
      <c r="Z219" s="146"/>
      <c r="AA219" s="146"/>
      <c r="AB219" s="146"/>
      <c r="AC219" s="756"/>
      <c r="AD219" s="756"/>
      <c r="AE219" s="756"/>
      <c r="AF219" s="758"/>
      <c r="AG219" s="146"/>
      <c r="AH219" s="759"/>
      <c r="AI219" s="146"/>
      <c r="AJ219" s="146"/>
      <c r="AK219" s="760"/>
      <c r="AL219" s="146"/>
      <c r="AM219" s="146"/>
      <c r="AN219" s="146"/>
      <c r="AO219" s="146"/>
      <c r="AP219" s="146"/>
      <c r="AQ219" s="146"/>
      <c r="AR219" s="146"/>
      <c r="AS219" s="146"/>
      <c r="AT219" s="146"/>
      <c r="AU219" s="146"/>
      <c r="AV219" s="128"/>
      <c r="AW219" s="117">
        <f>VLOOKUP($D219,'WB Data'!$C$3:$M$578,2,FALSE)</f>
        <v>26472054176.16637</v>
      </c>
      <c r="AX219" s="117">
        <f>VLOOKUP($D219,'WB Data'!$C$3:$M$578,3,FALSE)</f>
        <v>21699631</v>
      </c>
      <c r="AY219" s="847">
        <f t="shared" si="39"/>
        <v>5.7771141756611244E-2</v>
      </c>
      <c r="AZ219" s="117" t="e">
        <f>VLOOKUP($D219,'WB Data'!$C$3:$M$578,4,FALSE)/100</f>
        <v>#VALUE!</v>
      </c>
      <c r="BA219" s="117" t="str">
        <f t="shared" si="40"/>
        <v>..</v>
      </c>
      <c r="BB219" s="129">
        <f>IFERROR(VLOOKUP($D219,'EITI Revenues'!$C$2:$G$224,5,FALSE),"..")</f>
        <v>1529320794.4000001</v>
      </c>
      <c r="BC219" s="846" t="str">
        <f t="shared" si="41"/>
        <v>..</v>
      </c>
      <c r="BD219" s="129">
        <f>VLOOKUP($D219,'WB Data 2'!$C$2:$K$545,6,FALSE)</f>
        <v>2445584780.7393465</v>
      </c>
      <c r="BE219" s="129" t="str">
        <f>IFERROR(VLOOKUP($D219,UNCTAD!$C$5:$V$529,4,FALSE),"..")</f>
        <v>..</v>
      </c>
      <c r="BF219" s="846" t="str">
        <f t="shared" si="42"/>
        <v>..</v>
      </c>
      <c r="BG219" s="117">
        <f>VLOOKUP($D219,'WB Data'!$C$3:$M$578,5,FALSE)</f>
        <v>596240000</v>
      </c>
      <c r="BH219" s="129">
        <f>IFERROR($BB219/$BG219,"..")</f>
        <v>2.5649416248490544</v>
      </c>
      <c r="BI219" s="117">
        <f>IFERROR(VLOOKUP($D219,'WB Data'!$C$3:$M$578,7,FALSE)/100,"..")</f>
        <v>3.10012E-2</v>
      </c>
      <c r="BJ219" s="117">
        <f>IFERROR($BI219*$AW219,"..")</f>
        <v>820665445.92616892</v>
      </c>
      <c r="BK219" s="846">
        <f>IFERROR($BB219/$BJ219,"..")</f>
        <v>1.8635130819649317</v>
      </c>
      <c r="BL219" s="117">
        <f>IFERROR(VLOOKUP($D219,'WB Data'!$C$3:$M$578,7,FALSE)/100,"..")</f>
        <v>3.10012E-2</v>
      </c>
      <c r="BM219" s="117">
        <f>IFERROR($AW219*$BL219,"..")</f>
        <v>820665445.92616892</v>
      </c>
      <c r="BN219" s="846">
        <f>IFERROR($BB219/$BM219,"..")</f>
        <v>1.8635130819649317</v>
      </c>
      <c r="BO219" s="801">
        <f t="shared" si="38"/>
        <v>27</v>
      </c>
      <c r="BP219" s="117" t="str">
        <f>VLOOKUP($D219,'WB Data'!$C$3:$M$578,9,FALSE)</f>
        <v>..</v>
      </c>
      <c r="BQ219" s="117">
        <f>VLOOKUP($D219,'WB Data'!$C$3:$M$578,10,FALSE)</f>
        <v>54.58751219512196</v>
      </c>
      <c r="BR219" s="117">
        <f>VLOOKUP($D219,'WB Data'!$C$3:$M$578,11,FALSE)</f>
        <v>62.4</v>
      </c>
      <c r="BS219" s="129">
        <f>IFERROR(VLOOKUP($D219,'WB Data 2'!$C$2:$K$545,9,FALSE),"..")</f>
        <v>91.526619999999994</v>
      </c>
      <c r="BT219" s="129">
        <f>_xlfn.IFNA(VLOOKUP($C219,RGI!$A$2:$C$43,2,FALSE),"..")</f>
        <v>41.8</v>
      </c>
      <c r="BU219" s="129">
        <f>_xlfn.IFNA(VLOOKUP($C219,RGI!$A$2:$C$43,3,FALSE),"..")</f>
        <v>34.155297028034767</v>
      </c>
      <c r="BV219" s="129">
        <f>VLOOKUP($D219,WGI!$C$2:$O$478,7,FALSE)</f>
        <v>-1.0290642182071199</v>
      </c>
      <c r="BW219" s="129">
        <f>VLOOKUP($D219,WGI!$C$2:$O$478,4,FALSE)</f>
        <v>-0.57547351507469302</v>
      </c>
      <c r="BX219" s="129">
        <f>VLOOKUP($D219,WGI!$C$2:$O$478,3,FALSE)</f>
        <v>-0.90271364431252499</v>
      </c>
      <c r="BY219" s="129">
        <f>VLOOKUP($D219,WGI!$C$2:$O$478,5,FALSE)</f>
        <v>-0.93336778112607699</v>
      </c>
      <c r="BZ219" s="129">
        <f>VLOOKUP($D219,WGI!$C$2:$O$478,2,FALSE)</f>
        <v>-1.2383914999271299</v>
      </c>
    </row>
    <row r="220" spans="1:80" ht="15" customHeight="1">
      <c r="A220" s="289" t="s">
        <v>124</v>
      </c>
      <c r="B220" s="146">
        <v>2012</v>
      </c>
      <c r="C220" s="146" t="s">
        <v>101</v>
      </c>
      <c r="D220" s="117" t="s">
        <v>3728</v>
      </c>
      <c r="E220" s="146" t="s">
        <v>86</v>
      </c>
      <c r="F220" s="146"/>
      <c r="G220" s="146" t="s">
        <v>24</v>
      </c>
      <c r="H220" s="146"/>
      <c r="I220" s="146"/>
      <c r="J220" s="146"/>
      <c r="K220" s="146" t="s">
        <v>968</v>
      </c>
      <c r="L220" s="146"/>
      <c r="M220" s="146"/>
      <c r="N220" s="754"/>
      <c r="O220" s="754"/>
      <c r="P220" s="754"/>
      <c r="Q220" s="146"/>
      <c r="R220" s="754">
        <v>1.3</v>
      </c>
      <c r="S220" s="146" t="s">
        <v>967</v>
      </c>
      <c r="T220" s="119"/>
      <c r="U220" s="146"/>
      <c r="V220" s="146"/>
      <c r="W220" s="146"/>
      <c r="X220" s="146"/>
      <c r="Y220" s="146"/>
      <c r="Z220" s="146"/>
      <c r="AA220" s="146"/>
      <c r="AB220" s="146"/>
      <c r="AC220" s="756"/>
      <c r="AD220" s="756"/>
      <c r="AE220" s="756"/>
      <c r="AF220" s="758"/>
      <c r="AG220" s="146"/>
      <c r="AH220" s="759"/>
      <c r="AI220" s="146"/>
      <c r="AJ220" s="146"/>
      <c r="AK220" s="760"/>
      <c r="AL220" s="146"/>
      <c r="AM220" s="146"/>
      <c r="AN220" s="146"/>
      <c r="AO220" s="146"/>
      <c r="AP220" s="146"/>
      <c r="AQ220" s="146"/>
      <c r="AR220" s="146"/>
      <c r="AS220" s="146"/>
      <c r="AT220" s="146"/>
      <c r="AU220" s="146"/>
      <c r="AV220" s="128"/>
      <c r="AW220" s="117">
        <f>VLOOKUP($D220,'WB Data'!$C$3:$M$578,2,FALSE)</f>
        <v>26472054176.16637</v>
      </c>
      <c r="AX220" s="117">
        <f>VLOOKUP($D220,'WB Data'!$C$3:$M$578,3,FALSE)</f>
        <v>21699631</v>
      </c>
      <c r="AY220" s="847">
        <f t="shared" si="39"/>
        <v>5.7771141756611244E-2</v>
      </c>
      <c r="AZ220" s="117" t="e">
        <f>VLOOKUP($D220,'WB Data'!$C$3:$M$578,4,FALSE)/100</f>
        <v>#VALUE!</v>
      </c>
      <c r="BA220" s="117" t="str">
        <f t="shared" si="40"/>
        <v>..</v>
      </c>
      <c r="BB220" s="129">
        <f>IFERROR(VLOOKUP($D220,'EITI Revenues'!$C$2:$G$224,5,FALSE),"..")</f>
        <v>1529320794.4000001</v>
      </c>
      <c r="BC220" s="846" t="str">
        <f t="shared" si="41"/>
        <v>..</v>
      </c>
      <c r="BD220" s="129">
        <f>VLOOKUP($D220,'WB Data 2'!$C$2:$K$545,6,FALSE)</f>
        <v>2445584780.7393465</v>
      </c>
      <c r="BE220" s="129" t="str">
        <f>IFERROR(VLOOKUP($D220,UNCTAD!$C$5:$V$529,4,FALSE),"..")</f>
        <v>..</v>
      </c>
      <c r="BF220" s="846" t="str">
        <f t="shared" si="42"/>
        <v>..</v>
      </c>
      <c r="BG220" s="117">
        <f>VLOOKUP($D220,'WB Data'!$C$3:$M$578,5,FALSE)</f>
        <v>596240000</v>
      </c>
      <c r="BH220" s="129">
        <f>IFERROR($BB220/$BG220,"..")</f>
        <v>2.5649416248490544</v>
      </c>
      <c r="BI220" s="117">
        <f>IFERROR(VLOOKUP($D220,'WB Data'!$C$3:$M$578,7,FALSE)/100,"..")</f>
        <v>3.10012E-2</v>
      </c>
      <c r="BJ220" s="117">
        <f>IFERROR($BI220*$AW220,"..")</f>
        <v>820665445.92616892</v>
      </c>
      <c r="BK220" s="846">
        <f>IFERROR($BB220/$BJ220,"..")</f>
        <v>1.8635130819649317</v>
      </c>
      <c r="BL220" s="117">
        <f>IFERROR(VLOOKUP($D220,'WB Data'!$C$3:$M$578,7,FALSE)/100,"..")</f>
        <v>3.10012E-2</v>
      </c>
      <c r="BM220" s="117">
        <f>IFERROR($AW220*$BL220,"..")</f>
        <v>820665445.92616892</v>
      </c>
      <c r="BN220" s="846">
        <f>IFERROR($BB220/$BM220,"..")</f>
        <v>1.8635130819649317</v>
      </c>
      <c r="BO220" s="801">
        <f t="shared" si="38"/>
        <v>27</v>
      </c>
      <c r="BP220" s="117" t="str">
        <f>VLOOKUP($D220,'WB Data'!$C$3:$M$578,9,FALSE)</f>
        <v>..</v>
      </c>
      <c r="BQ220" s="117">
        <f>VLOOKUP($D220,'WB Data'!$C$3:$M$578,10,FALSE)</f>
        <v>54.58751219512196</v>
      </c>
      <c r="BR220" s="117">
        <f>VLOOKUP($D220,'WB Data'!$C$3:$M$578,11,FALSE)</f>
        <v>62.4</v>
      </c>
      <c r="BS220" s="129">
        <f>IFERROR(VLOOKUP($D220,'WB Data 2'!$C$2:$K$545,9,FALSE),"..")</f>
        <v>91.526619999999994</v>
      </c>
      <c r="BT220" s="129">
        <f>_xlfn.IFNA(VLOOKUP($C220,RGI!$A$2:$C$43,2,FALSE),"..")</f>
        <v>41.8</v>
      </c>
      <c r="BU220" s="129">
        <f>_xlfn.IFNA(VLOOKUP($C220,RGI!$A$2:$C$43,3,FALSE),"..")</f>
        <v>34.155297028034767</v>
      </c>
      <c r="BV220" s="129">
        <f>VLOOKUP($D220,WGI!$C$2:$O$478,7,FALSE)</f>
        <v>-1.0290642182071199</v>
      </c>
      <c r="BW220" s="129">
        <f>VLOOKUP($D220,WGI!$C$2:$O$478,4,FALSE)</f>
        <v>-0.57547351507469302</v>
      </c>
      <c r="BX220" s="129">
        <f>VLOOKUP($D220,WGI!$C$2:$O$478,3,FALSE)</f>
        <v>-0.90271364431252499</v>
      </c>
      <c r="BY220" s="129">
        <f>VLOOKUP($D220,WGI!$C$2:$O$478,5,FALSE)</f>
        <v>-0.93336778112607699</v>
      </c>
      <c r="BZ220" s="129">
        <f>VLOOKUP($D220,WGI!$C$2:$O$478,2,FALSE)</f>
        <v>-1.2383914999271299</v>
      </c>
    </row>
    <row r="221" spans="1:80" ht="15" customHeight="1">
      <c r="A221" s="289" t="s">
        <v>124</v>
      </c>
      <c r="B221" s="146">
        <v>2012</v>
      </c>
      <c r="C221" s="146" t="s">
        <v>101</v>
      </c>
      <c r="D221" s="117" t="s">
        <v>3728</v>
      </c>
      <c r="E221" s="146" t="s">
        <v>86</v>
      </c>
      <c r="F221" s="146"/>
      <c r="G221" s="146" t="s">
        <v>24</v>
      </c>
      <c r="H221" s="146"/>
      <c r="I221" s="146"/>
      <c r="J221" s="146"/>
      <c r="K221" s="146" t="s">
        <v>969</v>
      </c>
      <c r="L221" s="146"/>
      <c r="M221" s="146"/>
      <c r="N221" s="754"/>
      <c r="O221" s="754"/>
      <c r="P221" s="754"/>
      <c r="Q221" s="146"/>
      <c r="R221" s="754">
        <v>148.5</v>
      </c>
      <c r="S221" s="117" t="s">
        <v>642</v>
      </c>
      <c r="T221" s="119"/>
      <c r="U221" s="146"/>
      <c r="V221" s="146"/>
      <c r="W221" s="146"/>
      <c r="X221" s="146"/>
      <c r="Y221" s="146"/>
      <c r="Z221" s="146"/>
      <c r="AA221" s="146"/>
      <c r="AB221" s="146"/>
      <c r="AC221" s="756"/>
      <c r="AD221" s="756"/>
      <c r="AE221" s="756"/>
      <c r="AF221" s="758"/>
      <c r="AG221" s="146"/>
      <c r="AH221" s="759"/>
      <c r="AI221" s="146"/>
      <c r="AJ221" s="146"/>
      <c r="AK221" s="760"/>
      <c r="AL221" s="146"/>
      <c r="AM221" s="146"/>
      <c r="AN221" s="146"/>
      <c r="AO221" s="146"/>
      <c r="AP221" s="146"/>
      <c r="AQ221" s="146"/>
      <c r="AR221" s="146"/>
      <c r="AS221" s="146"/>
      <c r="AT221" s="146"/>
      <c r="AU221" s="146"/>
      <c r="AV221" s="128"/>
      <c r="AW221" s="117">
        <f>VLOOKUP($D221,'WB Data'!$C$3:$M$578,2,FALSE)</f>
        <v>26472054176.16637</v>
      </c>
      <c r="AX221" s="117">
        <f>VLOOKUP($D221,'WB Data'!$C$3:$M$578,3,FALSE)</f>
        <v>21699631</v>
      </c>
      <c r="AY221" s="847">
        <f t="shared" si="39"/>
        <v>5.7771141756611244E-2</v>
      </c>
      <c r="AZ221" s="117" t="e">
        <f>VLOOKUP($D221,'WB Data'!$C$3:$M$578,4,FALSE)/100</f>
        <v>#VALUE!</v>
      </c>
      <c r="BA221" s="117" t="str">
        <f t="shared" si="40"/>
        <v>..</v>
      </c>
      <c r="BB221" s="129">
        <f>IFERROR(VLOOKUP($D221,'EITI Revenues'!$C$2:$G$224,5,FALSE),"..")</f>
        <v>1529320794.4000001</v>
      </c>
      <c r="BC221" s="846" t="str">
        <f t="shared" si="41"/>
        <v>..</v>
      </c>
      <c r="BD221" s="129">
        <f>VLOOKUP($D221,'WB Data 2'!$C$2:$K$545,6,FALSE)</f>
        <v>2445584780.7393465</v>
      </c>
      <c r="BE221" s="129" t="str">
        <f>IFERROR(VLOOKUP($D221,UNCTAD!$C$5:$V$529,4,FALSE),"..")</f>
        <v>..</v>
      </c>
      <c r="BF221" s="846" t="str">
        <f t="shared" si="42"/>
        <v>..</v>
      </c>
      <c r="BG221" s="117">
        <f>VLOOKUP($D221,'WB Data'!$C$3:$M$578,5,FALSE)</f>
        <v>596240000</v>
      </c>
      <c r="BH221" s="129">
        <f>IFERROR($BB221/$BG221,"..")</f>
        <v>2.5649416248490544</v>
      </c>
      <c r="BI221" s="117">
        <f>IFERROR(VLOOKUP($D221,'WB Data'!$C$3:$M$578,7,FALSE)/100,"..")</f>
        <v>3.10012E-2</v>
      </c>
      <c r="BJ221" s="117">
        <f>IFERROR($BI221*$AW221,"..")</f>
        <v>820665445.92616892</v>
      </c>
      <c r="BK221" s="846">
        <f>IFERROR($BB221/$BJ221,"..")</f>
        <v>1.8635130819649317</v>
      </c>
      <c r="BL221" s="117">
        <f>IFERROR(VLOOKUP($D221,'WB Data'!$C$3:$M$578,7,FALSE)/100,"..")</f>
        <v>3.10012E-2</v>
      </c>
      <c r="BM221" s="117">
        <f>IFERROR($AW221*$BL221,"..")</f>
        <v>820665445.92616892</v>
      </c>
      <c r="BN221" s="846">
        <f>IFERROR($BB221/$BM221,"..")</f>
        <v>1.8635130819649317</v>
      </c>
      <c r="BO221" s="801">
        <f t="shared" si="38"/>
        <v>27</v>
      </c>
      <c r="BP221" s="117" t="str">
        <f>VLOOKUP($D221,'WB Data'!$C$3:$M$578,9,FALSE)</f>
        <v>..</v>
      </c>
      <c r="BQ221" s="117">
        <f>VLOOKUP($D221,'WB Data'!$C$3:$M$578,10,FALSE)</f>
        <v>54.58751219512196</v>
      </c>
      <c r="BR221" s="117">
        <f>VLOOKUP($D221,'WB Data'!$C$3:$M$578,11,FALSE)</f>
        <v>62.4</v>
      </c>
      <c r="BS221" s="129">
        <f>IFERROR(VLOOKUP($D221,'WB Data 2'!$C$2:$K$545,9,FALSE),"..")</f>
        <v>91.526619999999994</v>
      </c>
      <c r="BT221" s="129">
        <f>_xlfn.IFNA(VLOOKUP($C221,RGI!$A$2:$C$43,2,FALSE),"..")</f>
        <v>41.8</v>
      </c>
      <c r="BU221" s="129">
        <f>_xlfn.IFNA(VLOOKUP($C221,RGI!$A$2:$C$43,3,FALSE),"..")</f>
        <v>34.155297028034767</v>
      </c>
      <c r="BV221" s="129">
        <f>VLOOKUP($D221,WGI!$C$2:$O$478,7,FALSE)</f>
        <v>-1.0290642182071199</v>
      </c>
      <c r="BW221" s="129">
        <f>VLOOKUP($D221,WGI!$C$2:$O$478,4,FALSE)</f>
        <v>-0.57547351507469302</v>
      </c>
      <c r="BX221" s="129">
        <f>VLOOKUP($D221,WGI!$C$2:$O$478,3,FALSE)</f>
        <v>-0.90271364431252499</v>
      </c>
      <c r="BY221" s="129">
        <f>VLOOKUP($D221,WGI!$C$2:$O$478,5,FALSE)</f>
        <v>-0.93336778112607699</v>
      </c>
      <c r="BZ221" s="129">
        <f>VLOOKUP($D221,WGI!$C$2:$O$478,2,FALSE)</f>
        <v>-1.2383914999271299</v>
      </c>
    </row>
    <row r="222" spans="1:80" ht="15" customHeight="1">
      <c r="A222" s="289" t="s">
        <v>124</v>
      </c>
      <c r="B222" s="146">
        <v>2012</v>
      </c>
      <c r="C222" s="146" t="s">
        <v>101</v>
      </c>
      <c r="D222" s="117" t="s">
        <v>3728</v>
      </c>
      <c r="E222" s="146" t="s">
        <v>86</v>
      </c>
      <c r="F222" s="146"/>
      <c r="G222" s="146" t="s">
        <v>24</v>
      </c>
      <c r="H222" s="146"/>
      <c r="I222" s="146"/>
      <c r="J222" s="146"/>
      <c r="K222" s="146" t="s">
        <v>970</v>
      </c>
      <c r="L222" s="146"/>
      <c r="M222" s="146"/>
      <c r="N222" s="754"/>
      <c r="O222" s="754"/>
      <c r="P222" s="754"/>
      <c r="Q222" s="146"/>
      <c r="R222" s="754">
        <v>89211.8</v>
      </c>
      <c r="S222" s="117" t="s">
        <v>642</v>
      </c>
      <c r="T222" s="119"/>
      <c r="U222" s="146"/>
      <c r="V222" s="146"/>
      <c r="W222" s="146"/>
      <c r="X222" s="146"/>
      <c r="Y222" s="146"/>
      <c r="Z222" s="146"/>
      <c r="AA222" s="146"/>
      <c r="AB222" s="146"/>
      <c r="AC222" s="756"/>
      <c r="AD222" s="756"/>
      <c r="AE222" s="756"/>
      <c r="AF222" s="758"/>
      <c r="AG222" s="146"/>
      <c r="AH222" s="759"/>
      <c r="AI222" s="146"/>
      <c r="AJ222" s="146"/>
      <c r="AK222" s="760"/>
      <c r="AL222" s="146"/>
      <c r="AM222" s="146"/>
      <c r="AN222" s="146"/>
      <c r="AO222" s="146"/>
      <c r="AP222" s="146"/>
      <c r="AQ222" s="146"/>
      <c r="AR222" s="146"/>
      <c r="AS222" s="146"/>
      <c r="AT222" s="146"/>
      <c r="AU222" s="146"/>
      <c r="AV222" s="128"/>
      <c r="AW222" s="117">
        <f>VLOOKUP($D222,'WB Data'!$C$3:$M$578,2,FALSE)</f>
        <v>26472054176.16637</v>
      </c>
      <c r="AX222" s="117">
        <f>VLOOKUP($D222,'WB Data'!$C$3:$M$578,3,FALSE)</f>
        <v>21699631</v>
      </c>
      <c r="AY222" s="847">
        <f t="shared" si="39"/>
        <v>5.7771141756611244E-2</v>
      </c>
      <c r="AZ222" s="117" t="e">
        <f>VLOOKUP($D222,'WB Data'!$C$3:$M$578,4,FALSE)/100</f>
        <v>#VALUE!</v>
      </c>
      <c r="BA222" s="117" t="str">
        <f t="shared" si="40"/>
        <v>..</v>
      </c>
      <c r="BB222" s="129">
        <f>IFERROR(VLOOKUP($D222,'EITI Revenues'!$C$2:$G$224,5,FALSE),"..")</f>
        <v>1529320794.4000001</v>
      </c>
      <c r="BC222" s="846" t="str">
        <f t="shared" si="41"/>
        <v>..</v>
      </c>
      <c r="BD222" s="129">
        <f>VLOOKUP($D222,'WB Data 2'!$C$2:$K$545,6,FALSE)</f>
        <v>2445584780.7393465</v>
      </c>
      <c r="BE222" s="129" t="str">
        <f>IFERROR(VLOOKUP($D222,UNCTAD!$C$5:$V$529,4,FALSE),"..")</f>
        <v>..</v>
      </c>
      <c r="BF222" s="846" t="str">
        <f t="shared" si="42"/>
        <v>..</v>
      </c>
      <c r="BG222" s="117">
        <f>VLOOKUP($D222,'WB Data'!$C$3:$M$578,5,FALSE)</f>
        <v>596240000</v>
      </c>
      <c r="BH222" s="129">
        <f>IFERROR($BB222/$BG222,"..")</f>
        <v>2.5649416248490544</v>
      </c>
      <c r="BI222" s="117">
        <f>IFERROR(VLOOKUP($D222,'WB Data'!$C$3:$M$578,7,FALSE)/100,"..")</f>
        <v>3.10012E-2</v>
      </c>
      <c r="BJ222" s="117">
        <f>IFERROR($BI222*$AW222,"..")</f>
        <v>820665445.92616892</v>
      </c>
      <c r="BK222" s="846">
        <f>IFERROR($BB222/$BJ222,"..")</f>
        <v>1.8635130819649317</v>
      </c>
      <c r="BL222" s="117">
        <f>IFERROR(VLOOKUP($D222,'WB Data'!$C$3:$M$578,7,FALSE)/100,"..")</f>
        <v>3.10012E-2</v>
      </c>
      <c r="BM222" s="117">
        <f>IFERROR($AW222*$BL222,"..")</f>
        <v>820665445.92616892</v>
      </c>
      <c r="BN222" s="846">
        <f>IFERROR($BB222/$BM222,"..")</f>
        <v>1.8635130819649317</v>
      </c>
      <c r="BO222" s="801">
        <f t="shared" si="38"/>
        <v>27</v>
      </c>
      <c r="BP222" s="117" t="str">
        <f>VLOOKUP($D222,'WB Data'!$C$3:$M$578,9,FALSE)</f>
        <v>..</v>
      </c>
      <c r="BQ222" s="117">
        <f>VLOOKUP($D222,'WB Data'!$C$3:$M$578,10,FALSE)</f>
        <v>54.58751219512196</v>
      </c>
      <c r="BR222" s="117">
        <f>VLOOKUP($D222,'WB Data'!$C$3:$M$578,11,FALSE)</f>
        <v>62.4</v>
      </c>
      <c r="BS222" s="129">
        <f>IFERROR(VLOOKUP($D222,'WB Data 2'!$C$2:$K$545,9,FALSE),"..")</f>
        <v>91.526619999999994</v>
      </c>
      <c r="BT222" s="129">
        <f>_xlfn.IFNA(VLOOKUP($C222,RGI!$A$2:$C$43,2,FALSE),"..")</f>
        <v>41.8</v>
      </c>
      <c r="BU222" s="129">
        <f>_xlfn.IFNA(VLOOKUP($C222,RGI!$A$2:$C$43,3,FALSE),"..")</f>
        <v>34.155297028034767</v>
      </c>
      <c r="BV222" s="129">
        <f>VLOOKUP($D222,WGI!$C$2:$O$478,7,FALSE)</f>
        <v>-1.0290642182071199</v>
      </c>
      <c r="BW222" s="129">
        <f>VLOOKUP($D222,WGI!$C$2:$O$478,4,FALSE)</f>
        <v>-0.57547351507469302</v>
      </c>
      <c r="BX222" s="129">
        <f>VLOOKUP($D222,WGI!$C$2:$O$478,3,FALSE)</f>
        <v>-0.90271364431252499</v>
      </c>
      <c r="BY222" s="129">
        <f>VLOOKUP($D222,WGI!$C$2:$O$478,5,FALSE)</f>
        <v>-0.93336778112607699</v>
      </c>
      <c r="BZ222" s="129">
        <f>VLOOKUP($D222,WGI!$C$2:$O$478,2,FALSE)</f>
        <v>-1.2383914999271299</v>
      </c>
    </row>
    <row r="223" spans="1:80" ht="15" customHeight="1">
      <c r="A223" s="289" t="s">
        <v>124</v>
      </c>
      <c r="B223" s="146">
        <v>2012</v>
      </c>
      <c r="C223" s="146" t="s">
        <v>101</v>
      </c>
      <c r="D223" s="117" t="s">
        <v>3728</v>
      </c>
      <c r="E223" s="146" t="s">
        <v>86</v>
      </c>
      <c r="F223" s="146"/>
      <c r="G223" s="146" t="s">
        <v>24</v>
      </c>
      <c r="H223" s="146"/>
      <c r="I223" s="146"/>
      <c r="J223" s="146"/>
      <c r="K223" s="146" t="s">
        <v>971</v>
      </c>
      <c r="L223" s="146"/>
      <c r="M223" s="146"/>
      <c r="N223" s="754"/>
      <c r="O223" s="754"/>
      <c r="P223" s="754"/>
      <c r="Q223" s="146"/>
      <c r="R223" s="754">
        <v>314900</v>
      </c>
      <c r="S223" s="146" t="s">
        <v>967</v>
      </c>
      <c r="T223" s="119"/>
      <c r="U223" s="146"/>
      <c r="V223" s="146"/>
      <c r="W223" s="146"/>
      <c r="X223" s="146"/>
      <c r="Y223" s="146"/>
      <c r="Z223" s="146"/>
      <c r="AA223" s="146"/>
      <c r="AB223" s="146"/>
      <c r="AC223" s="756"/>
      <c r="AD223" s="756"/>
      <c r="AE223" s="756"/>
      <c r="AF223" s="758"/>
      <c r="AG223" s="146"/>
      <c r="AH223" s="759"/>
      <c r="AI223" s="146"/>
      <c r="AJ223" s="146"/>
      <c r="AK223" s="760"/>
      <c r="AL223" s="146"/>
      <c r="AM223" s="146"/>
      <c r="AN223" s="146"/>
      <c r="AO223" s="146"/>
      <c r="AP223" s="146"/>
      <c r="AQ223" s="146"/>
      <c r="AR223" s="146"/>
      <c r="AS223" s="146"/>
      <c r="AT223" s="146"/>
      <c r="AU223" s="146"/>
      <c r="AV223" s="128"/>
      <c r="AW223" s="117">
        <f>VLOOKUP($D223,'WB Data'!$C$3:$M$578,2,FALSE)</f>
        <v>26472054176.16637</v>
      </c>
      <c r="AX223" s="117">
        <f>VLOOKUP($D223,'WB Data'!$C$3:$M$578,3,FALSE)</f>
        <v>21699631</v>
      </c>
      <c r="AY223" s="847">
        <f t="shared" si="39"/>
        <v>5.7771141756611244E-2</v>
      </c>
      <c r="AZ223" s="117" t="e">
        <f>VLOOKUP($D223,'WB Data'!$C$3:$M$578,4,FALSE)/100</f>
        <v>#VALUE!</v>
      </c>
      <c r="BA223" s="117" t="str">
        <f t="shared" si="40"/>
        <v>..</v>
      </c>
      <c r="BB223" s="129">
        <f>IFERROR(VLOOKUP($D223,'EITI Revenues'!$C$2:$G$224,5,FALSE),"..")</f>
        <v>1529320794.4000001</v>
      </c>
      <c r="BC223" s="846" t="str">
        <f t="shared" si="41"/>
        <v>..</v>
      </c>
      <c r="BD223" s="129">
        <f>VLOOKUP($D223,'WB Data 2'!$C$2:$K$545,6,FALSE)</f>
        <v>2445584780.7393465</v>
      </c>
      <c r="BE223" s="129" t="str">
        <f>IFERROR(VLOOKUP($D223,UNCTAD!$C$5:$V$529,4,FALSE),"..")</f>
        <v>..</v>
      </c>
      <c r="BF223" s="846" t="str">
        <f t="shared" si="42"/>
        <v>..</v>
      </c>
      <c r="BG223" s="117">
        <f>VLOOKUP($D223,'WB Data'!$C$3:$M$578,5,FALSE)</f>
        <v>596240000</v>
      </c>
      <c r="BH223" s="129">
        <f>IFERROR($BB223/$BG223,"..")</f>
        <v>2.5649416248490544</v>
      </c>
      <c r="BI223" s="117">
        <f>IFERROR(VLOOKUP($D223,'WB Data'!$C$3:$M$578,7,FALSE)/100,"..")</f>
        <v>3.10012E-2</v>
      </c>
      <c r="BJ223" s="117">
        <f>IFERROR($BI223*$AW223,"..")</f>
        <v>820665445.92616892</v>
      </c>
      <c r="BK223" s="846">
        <f>IFERROR($BB223/$BJ223,"..")</f>
        <v>1.8635130819649317</v>
      </c>
      <c r="BL223" s="117">
        <f>IFERROR(VLOOKUP($D223,'WB Data'!$C$3:$M$578,7,FALSE)/100,"..")</f>
        <v>3.10012E-2</v>
      </c>
      <c r="BM223" s="117">
        <f>IFERROR($AW223*$BL223,"..")</f>
        <v>820665445.92616892</v>
      </c>
      <c r="BN223" s="846">
        <f>IFERROR($BB223/$BM223,"..")</f>
        <v>1.8635130819649317</v>
      </c>
      <c r="BO223" s="801">
        <f t="shared" si="38"/>
        <v>27</v>
      </c>
      <c r="BP223" s="117" t="str">
        <f>VLOOKUP($D223,'WB Data'!$C$3:$M$578,9,FALSE)</f>
        <v>..</v>
      </c>
      <c r="BQ223" s="117">
        <f>VLOOKUP($D223,'WB Data'!$C$3:$M$578,10,FALSE)</f>
        <v>54.58751219512196</v>
      </c>
      <c r="BR223" s="117">
        <f>VLOOKUP($D223,'WB Data'!$C$3:$M$578,11,FALSE)</f>
        <v>62.4</v>
      </c>
      <c r="BS223" s="129">
        <f>IFERROR(VLOOKUP($D223,'WB Data 2'!$C$2:$K$545,9,FALSE),"..")</f>
        <v>91.526619999999994</v>
      </c>
      <c r="BT223" s="129">
        <f>_xlfn.IFNA(VLOOKUP($C223,RGI!$A$2:$C$43,2,FALSE),"..")</f>
        <v>41.8</v>
      </c>
      <c r="BU223" s="129">
        <f>_xlfn.IFNA(VLOOKUP($C223,RGI!$A$2:$C$43,3,FALSE),"..")</f>
        <v>34.155297028034767</v>
      </c>
      <c r="BV223" s="129">
        <f>VLOOKUP($D223,WGI!$C$2:$O$478,7,FALSE)</f>
        <v>-1.0290642182071199</v>
      </c>
      <c r="BW223" s="129">
        <f>VLOOKUP($D223,WGI!$C$2:$O$478,4,FALSE)</f>
        <v>-0.57547351507469302</v>
      </c>
      <c r="BX223" s="129">
        <f>VLOOKUP($D223,WGI!$C$2:$O$478,3,FALSE)</f>
        <v>-0.90271364431252499</v>
      </c>
      <c r="BY223" s="129">
        <f>VLOOKUP($D223,WGI!$C$2:$O$478,5,FALSE)</f>
        <v>-0.93336778112607699</v>
      </c>
      <c r="BZ223" s="129">
        <f>VLOOKUP($D223,WGI!$C$2:$O$478,2,FALSE)</f>
        <v>-1.2383914999271299</v>
      </c>
    </row>
    <row r="224" spans="1:80" ht="15" customHeight="1">
      <c r="A224" s="289" t="s">
        <v>124</v>
      </c>
      <c r="B224" s="146">
        <v>2012</v>
      </c>
      <c r="C224" s="146" t="s">
        <v>101</v>
      </c>
      <c r="D224" s="117" t="s">
        <v>3728</v>
      </c>
      <c r="E224" s="146" t="s">
        <v>86</v>
      </c>
      <c r="F224" s="146"/>
      <c r="G224" s="146" t="s">
        <v>24</v>
      </c>
      <c r="H224" s="146"/>
      <c r="I224" s="146"/>
      <c r="J224" s="146"/>
      <c r="K224" s="146" t="s">
        <v>972</v>
      </c>
      <c r="L224" s="146"/>
      <c r="M224" s="146"/>
      <c r="N224" s="754"/>
      <c r="O224" s="754"/>
      <c r="P224" s="754"/>
      <c r="Q224" s="146"/>
      <c r="R224" s="754">
        <v>400205</v>
      </c>
      <c r="S224" s="146" t="s">
        <v>610</v>
      </c>
      <c r="T224" s="119"/>
      <c r="U224" s="146"/>
      <c r="V224" s="146"/>
      <c r="W224" s="146"/>
      <c r="X224" s="146"/>
      <c r="Y224" s="146"/>
      <c r="Z224" s="146"/>
      <c r="AA224" s="146"/>
      <c r="AB224" s="146"/>
      <c r="AC224" s="756"/>
      <c r="AD224" s="756"/>
      <c r="AE224" s="756"/>
      <c r="AF224" s="758"/>
      <c r="AG224" s="146"/>
      <c r="AH224" s="759"/>
      <c r="AI224" s="146"/>
      <c r="AJ224" s="146"/>
      <c r="AK224" s="760"/>
      <c r="AL224" s="146"/>
      <c r="AM224" s="146"/>
      <c r="AN224" s="146"/>
      <c r="AO224" s="146"/>
      <c r="AP224" s="146"/>
      <c r="AQ224" s="146"/>
      <c r="AR224" s="146"/>
      <c r="AS224" s="146"/>
      <c r="AT224" s="146"/>
      <c r="AU224" s="146"/>
      <c r="AV224" s="128"/>
      <c r="AW224" s="117">
        <f>VLOOKUP($D224,'WB Data'!$C$3:$M$578,2,FALSE)</f>
        <v>26472054176.16637</v>
      </c>
      <c r="AX224" s="117">
        <f>VLOOKUP($D224,'WB Data'!$C$3:$M$578,3,FALSE)</f>
        <v>21699631</v>
      </c>
      <c r="AY224" s="847">
        <f t="shared" si="39"/>
        <v>5.7771141756611244E-2</v>
      </c>
      <c r="AZ224" s="117" t="e">
        <f>VLOOKUP($D224,'WB Data'!$C$3:$M$578,4,FALSE)/100</f>
        <v>#VALUE!</v>
      </c>
      <c r="BA224" s="117" t="str">
        <f t="shared" si="40"/>
        <v>..</v>
      </c>
      <c r="BB224" s="129">
        <f>IFERROR(VLOOKUP($D224,'EITI Revenues'!$C$2:$G$224,5,FALSE),"..")</f>
        <v>1529320794.4000001</v>
      </c>
      <c r="BC224" s="846" t="str">
        <f t="shared" si="41"/>
        <v>..</v>
      </c>
      <c r="BD224" s="129">
        <f>VLOOKUP($D224,'WB Data 2'!$C$2:$K$545,6,FALSE)</f>
        <v>2445584780.7393465</v>
      </c>
      <c r="BE224" s="129" t="str">
        <f>IFERROR(VLOOKUP($D224,UNCTAD!$C$5:$V$529,4,FALSE),"..")</f>
        <v>..</v>
      </c>
      <c r="BF224" s="846" t="str">
        <f t="shared" si="42"/>
        <v>..</v>
      </c>
      <c r="BG224" s="117">
        <f>VLOOKUP($D224,'WB Data'!$C$3:$M$578,5,FALSE)</f>
        <v>596240000</v>
      </c>
      <c r="BH224" s="129">
        <f>IFERROR($BB224/$BG224,"..")</f>
        <v>2.5649416248490544</v>
      </c>
      <c r="BI224" s="117">
        <f>IFERROR(VLOOKUP($D224,'WB Data'!$C$3:$M$578,7,FALSE)/100,"..")</f>
        <v>3.10012E-2</v>
      </c>
      <c r="BJ224" s="117">
        <f>IFERROR($BI224*$AW224,"..")</f>
        <v>820665445.92616892</v>
      </c>
      <c r="BK224" s="846">
        <f>IFERROR($BB224/$BJ224,"..")</f>
        <v>1.8635130819649317</v>
      </c>
      <c r="BL224" s="117">
        <f>IFERROR(VLOOKUP($D224,'WB Data'!$C$3:$M$578,7,FALSE)/100,"..")</f>
        <v>3.10012E-2</v>
      </c>
      <c r="BM224" s="117">
        <f>IFERROR($AW224*$BL224,"..")</f>
        <v>820665445.92616892</v>
      </c>
      <c r="BN224" s="846">
        <f>IFERROR($BB224/$BM224,"..")</f>
        <v>1.8635130819649317</v>
      </c>
      <c r="BO224" s="801">
        <f t="shared" si="38"/>
        <v>27</v>
      </c>
      <c r="BP224" s="117" t="str">
        <f>VLOOKUP($D224,'WB Data'!$C$3:$M$578,9,FALSE)</f>
        <v>..</v>
      </c>
      <c r="BQ224" s="117">
        <f>VLOOKUP($D224,'WB Data'!$C$3:$M$578,10,FALSE)</f>
        <v>54.58751219512196</v>
      </c>
      <c r="BR224" s="117">
        <f>VLOOKUP($D224,'WB Data'!$C$3:$M$578,11,FALSE)</f>
        <v>62.4</v>
      </c>
      <c r="BS224" s="129">
        <f>IFERROR(VLOOKUP($D224,'WB Data 2'!$C$2:$K$545,9,FALSE),"..")</f>
        <v>91.526619999999994</v>
      </c>
      <c r="BT224" s="129">
        <f>_xlfn.IFNA(VLOOKUP($C224,RGI!$A$2:$C$43,2,FALSE),"..")</f>
        <v>41.8</v>
      </c>
      <c r="BU224" s="129">
        <f>_xlfn.IFNA(VLOOKUP($C224,RGI!$A$2:$C$43,3,FALSE),"..")</f>
        <v>34.155297028034767</v>
      </c>
      <c r="BV224" s="129">
        <f>VLOOKUP($D224,WGI!$C$2:$O$478,7,FALSE)</f>
        <v>-1.0290642182071199</v>
      </c>
      <c r="BW224" s="129">
        <f>VLOOKUP($D224,WGI!$C$2:$O$478,4,FALSE)</f>
        <v>-0.57547351507469302</v>
      </c>
      <c r="BX224" s="129">
        <f>VLOOKUP($D224,WGI!$C$2:$O$478,3,FALSE)</f>
        <v>-0.90271364431252499</v>
      </c>
      <c r="BY224" s="129">
        <f>VLOOKUP($D224,WGI!$C$2:$O$478,5,FALSE)</f>
        <v>-0.93336778112607699</v>
      </c>
      <c r="BZ224" s="129">
        <f>VLOOKUP($D224,WGI!$C$2:$O$478,2,FALSE)</f>
        <v>-1.2383914999271299</v>
      </c>
    </row>
    <row r="225" spans="1:80" ht="15" customHeight="1">
      <c r="A225" s="289" t="s">
        <v>124</v>
      </c>
      <c r="B225" s="146">
        <v>2012</v>
      </c>
      <c r="C225" s="146" t="s">
        <v>101</v>
      </c>
      <c r="D225" s="117" t="s">
        <v>3728</v>
      </c>
      <c r="E225" s="146" t="s">
        <v>86</v>
      </c>
      <c r="F225" s="146"/>
      <c r="G225" s="763" t="s">
        <v>24</v>
      </c>
      <c r="H225" s="146"/>
      <c r="I225" s="146"/>
      <c r="J225" s="146"/>
      <c r="K225" s="146" t="s">
        <v>703</v>
      </c>
      <c r="L225" s="146"/>
      <c r="M225" s="146"/>
      <c r="N225" s="754"/>
      <c r="O225" s="754"/>
      <c r="P225" s="754"/>
      <c r="Q225" s="146"/>
      <c r="R225" s="754">
        <v>164936</v>
      </c>
      <c r="S225" s="146" t="s">
        <v>610</v>
      </c>
      <c r="T225" s="119"/>
      <c r="U225" s="146"/>
      <c r="V225" s="146"/>
      <c r="W225" s="146"/>
      <c r="X225" s="146"/>
      <c r="Y225" s="146"/>
      <c r="Z225" s="146"/>
      <c r="AA225" s="146"/>
      <c r="AB225" s="146"/>
      <c r="AC225" s="756"/>
      <c r="AD225" s="756"/>
      <c r="AE225" s="756"/>
      <c r="AF225" s="758"/>
      <c r="AG225" s="146"/>
      <c r="AH225" s="759"/>
      <c r="AI225" s="146"/>
      <c r="AJ225" s="146"/>
      <c r="AK225" s="760"/>
      <c r="AL225" s="146"/>
      <c r="AM225" s="146"/>
      <c r="AN225" s="146"/>
      <c r="AO225" s="146"/>
      <c r="AP225" s="146"/>
      <c r="AQ225" s="146"/>
      <c r="AR225" s="146"/>
      <c r="AS225" s="146"/>
      <c r="AT225" s="146"/>
      <c r="AU225" s="146"/>
      <c r="AV225" s="128"/>
      <c r="AW225" s="117">
        <f>VLOOKUP($D225,'WB Data'!$C$3:$M$578,2,FALSE)</f>
        <v>26472054176.16637</v>
      </c>
      <c r="AX225" s="117">
        <f>VLOOKUP($D225,'WB Data'!$C$3:$M$578,3,FALSE)</f>
        <v>21699631</v>
      </c>
      <c r="AY225" s="847">
        <f t="shared" si="39"/>
        <v>5.7771141756611244E-2</v>
      </c>
      <c r="AZ225" s="117" t="e">
        <f>VLOOKUP($D225,'WB Data'!$C$3:$M$578,4,FALSE)/100</f>
        <v>#VALUE!</v>
      </c>
      <c r="BA225" s="117" t="str">
        <f t="shared" si="40"/>
        <v>..</v>
      </c>
      <c r="BB225" s="129">
        <f>IFERROR(VLOOKUP($D225,'EITI Revenues'!$C$2:$G$224,5,FALSE),"..")</f>
        <v>1529320794.4000001</v>
      </c>
      <c r="BC225" s="846" t="str">
        <f t="shared" si="41"/>
        <v>..</v>
      </c>
      <c r="BD225" s="129">
        <f>VLOOKUP($D225,'WB Data 2'!$C$2:$K$545,6,FALSE)</f>
        <v>2445584780.7393465</v>
      </c>
      <c r="BE225" s="129" t="str">
        <f>IFERROR(VLOOKUP($D225,UNCTAD!$C$5:$V$529,4,FALSE),"..")</f>
        <v>..</v>
      </c>
      <c r="BF225" s="846" t="str">
        <f t="shared" si="42"/>
        <v>..</v>
      </c>
      <c r="BG225" s="117">
        <f>VLOOKUP($D225,'WB Data'!$C$3:$M$578,5,FALSE)</f>
        <v>596240000</v>
      </c>
      <c r="BH225" s="129">
        <f>IFERROR($BB225/$BG225,"..")</f>
        <v>2.5649416248490544</v>
      </c>
      <c r="BI225" s="117">
        <f>IFERROR(VLOOKUP($D225,'WB Data'!$C$3:$M$578,7,FALSE)/100,"..")</f>
        <v>3.10012E-2</v>
      </c>
      <c r="BJ225" s="117">
        <f>IFERROR($BI225*$AW225,"..")</f>
        <v>820665445.92616892</v>
      </c>
      <c r="BK225" s="846">
        <f>IFERROR($BB225/$BJ225,"..")</f>
        <v>1.8635130819649317</v>
      </c>
      <c r="BL225" s="117">
        <f>IFERROR(VLOOKUP($D225,'WB Data'!$C$3:$M$578,7,FALSE)/100,"..")</f>
        <v>3.10012E-2</v>
      </c>
      <c r="BM225" s="117">
        <f>IFERROR($AW225*$BL225,"..")</f>
        <v>820665445.92616892</v>
      </c>
      <c r="BN225" s="846">
        <f>IFERROR($BB225/$BM225,"..")</f>
        <v>1.8635130819649317</v>
      </c>
      <c r="BO225" s="801">
        <f t="shared" si="38"/>
        <v>27</v>
      </c>
      <c r="BP225" s="117" t="str">
        <f>VLOOKUP($D225,'WB Data'!$C$3:$M$578,9,FALSE)</f>
        <v>..</v>
      </c>
      <c r="BQ225" s="117">
        <f>VLOOKUP($D225,'WB Data'!$C$3:$M$578,10,FALSE)</f>
        <v>54.58751219512196</v>
      </c>
      <c r="BR225" s="117">
        <f>VLOOKUP($D225,'WB Data'!$C$3:$M$578,11,FALSE)</f>
        <v>62.4</v>
      </c>
      <c r="BS225" s="129">
        <f>IFERROR(VLOOKUP($D225,'WB Data 2'!$C$2:$K$545,9,FALSE),"..")</f>
        <v>91.526619999999994</v>
      </c>
      <c r="BT225" s="129">
        <f>_xlfn.IFNA(VLOOKUP($C225,RGI!$A$2:$C$43,2,FALSE),"..")</f>
        <v>41.8</v>
      </c>
      <c r="BU225" s="129">
        <f>_xlfn.IFNA(VLOOKUP($C225,RGI!$A$2:$C$43,3,FALSE),"..")</f>
        <v>34.155297028034767</v>
      </c>
      <c r="BV225" s="129">
        <f>VLOOKUP($D225,WGI!$C$2:$O$478,7,FALSE)</f>
        <v>-1.0290642182071199</v>
      </c>
      <c r="BW225" s="129">
        <f>VLOOKUP($D225,WGI!$C$2:$O$478,4,FALSE)</f>
        <v>-0.57547351507469302</v>
      </c>
      <c r="BX225" s="129">
        <f>VLOOKUP($D225,WGI!$C$2:$O$478,3,FALSE)</f>
        <v>-0.90271364431252499</v>
      </c>
      <c r="BY225" s="129">
        <f>VLOOKUP($D225,WGI!$C$2:$O$478,5,FALSE)</f>
        <v>-0.93336778112607699</v>
      </c>
      <c r="BZ225" s="129">
        <f>VLOOKUP($D225,WGI!$C$2:$O$478,2,FALSE)</f>
        <v>-1.2383914999271299</v>
      </c>
    </row>
    <row r="226" spans="1:80" ht="15" customHeight="1">
      <c r="A226" s="289" t="s">
        <v>124</v>
      </c>
      <c r="B226" s="146">
        <v>2012</v>
      </c>
      <c r="C226" s="146" t="s">
        <v>101</v>
      </c>
      <c r="D226" s="117" t="s">
        <v>3728</v>
      </c>
      <c r="E226" s="146" t="s">
        <v>86</v>
      </c>
      <c r="F226" s="146"/>
      <c r="G226" s="763" t="s">
        <v>24</v>
      </c>
      <c r="H226" s="146"/>
      <c r="I226" s="146"/>
      <c r="J226" s="146"/>
      <c r="K226" s="146" t="s">
        <v>970</v>
      </c>
      <c r="L226" s="146"/>
      <c r="M226" s="146"/>
      <c r="N226" s="754"/>
      <c r="O226" s="754"/>
      <c r="P226" s="754"/>
      <c r="Q226" s="146"/>
      <c r="R226" s="754">
        <v>12472</v>
      </c>
      <c r="S226" s="146" t="s">
        <v>610</v>
      </c>
      <c r="T226" s="119"/>
      <c r="U226" s="146"/>
      <c r="V226" s="146"/>
      <c r="W226" s="146"/>
      <c r="X226" s="146"/>
      <c r="Y226" s="146"/>
      <c r="Z226" s="146"/>
      <c r="AA226" s="146"/>
      <c r="AB226" s="146"/>
      <c r="AC226" s="756"/>
      <c r="AD226" s="756"/>
      <c r="AE226" s="756"/>
      <c r="AF226" s="758"/>
      <c r="AG226" s="146"/>
      <c r="AH226" s="759"/>
      <c r="AI226" s="146"/>
      <c r="AJ226" s="146"/>
      <c r="AK226" s="760"/>
      <c r="AL226" s="146"/>
      <c r="AM226" s="146"/>
      <c r="AN226" s="146"/>
      <c r="AO226" s="146"/>
      <c r="AP226" s="146"/>
      <c r="AQ226" s="146"/>
      <c r="AR226" s="146"/>
      <c r="AS226" s="146"/>
      <c r="AT226" s="146"/>
      <c r="AU226" s="146"/>
      <c r="AV226" s="128"/>
      <c r="AW226" s="117">
        <f>VLOOKUP($D226,'WB Data'!$C$3:$M$578,2,FALSE)</f>
        <v>26472054176.16637</v>
      </c>
      <c r="AX226" s="117">
        <f>VLOOKUP($D226,'WB Data'!$C$3:$M$578,3,FALSE)</f>
        <v>21699631</v>
      </c>
      <c r="AY226" s="847">
        <f t="shared" si="39"/>
        <v>5.7771141756611244E-2</v>
      </c>
      <c r="AZ226" s="117" t="e">
        <f>VLOOKUP($D226,'WB Data'!$C$3:$M$578,4,FALSE)/100</f>
        <v>#VALUE!</v>
      </c>
      <c r="BA226" s="117" t="str">
        <f t="shared" si="40"/>
        <v>..</v>
      </c>
      <c r="BB226" s="129">
        <f>IFERROR(VLOOKUP($D226,'EITI Revenues'!$C$2:$G$224,5,FALSE),"..")</f>
        <v>1529320794.4000001</v>
      </c>
      <c r="BC226" s="846" t="str">
        <f t="shared" si="41"/>
        <v>..</v>
      </c>
      <c r="BD226" s="129">
        <f>VLOOKUP($D226,'WB Data 2'!$C$2:$K$545,6,FALSE)</f>
        <v>2445584780.7393465</v>
      </c>
      <c r="BE226" s="129" t="str">
        <f>IFERROR(VLOOKUP($D226,UNCTAD!$C$5:$V$529,4,FALSE),"..")</f>
        <v>..</v>
      </c>
      <c r="BF226" s="846" t="str">
        <f t="shared" si="42"/>
        <v>..</v>
      </c>
      <c r="BG226" s="117">
        <f>VLOOKUP($D226,'WB Data'!$C$3:$M$578,5,FALSE)</f>
        <v>596240000</v>
      </c>
      <c r="BH226" s="129">
        <f>IFERROR($BB226/$BG226,"..")</f>
        <v>2.5649416248490544</v>
      </c>
      <c r="BI226" s="117">
        <f>IFERROR(VLOOKUP($D226,'WB Data'!$C$3:$M$578,7,FALSE)/100,"..")</f>
        <v>3.10012E-2</v>
      </c>
      <c r="BJ226" s="117">
        <f>IFERROR($BI226*$AW226,"..")</f>
        <v>820665445.92616892</v>
      </c>
      <c r="BK226" s="846">
        <f>IFERROR($BB226/$BJ226,"..")</f>
        <v>1.8635130819649317</v>
      </c>
      <c r="BL226" s="117">
        <f>IFERROR(VLOOKUP($D226,'WB Data'!$C$3:$M$578,7,FALSE)/100,"..")</f>
        <v>3.10012E-2</v>
      </c>
      <c r="BM226" s="117">
        <f>IFERROR($AW226*$BL226,"..")</f>
        <v>820665445.92616892</v>
      </c>
      <c r="BN226" s="846">
        <f>IFERROR($BB226/$BM226,"..")</f>
        <v>1.8635130819649317</v>
      </c>
      <c r="BO226" s="801">
        <f t="shared" si="38"/>
        <v>27</v>
      </c>
      <c r="BP226" s="117" t="str">
        <f>VLOOKUP($D226,'WB Data'!$C$3:$M$578,9,FALSE)</f>
        <v>..</v>
      </c>
      <c r="BQ226" s="117">
        <f>VLOOKUP($D226,'WB Data'!$C$3:$M$578,10,FALSE)</f>
        <v>54.58751219512196</v>
      </c>
      <c r="BR226" s="117">
        <f>VLOOKUP($D226,'WB Data'!$C$3:$M$578,11,FALSE)</f>
        <v>62.4</v>
      </c>
      <c r="BS226" s="129">
        <f>IFERROR(VLOOKUP($D226,'WB Data 2'!$C$2:$K$545,9,FALSE),"..")</f>
        <v>91.526619999999994</v>
      </c>
      <c r="BT226" s="129">
        <f>_xlfn.IFNA(VLOOKUP($C226,RGI!$A$2:$C$43,2,FALSE),"..")</f>
        <v>41.8</v>
      </c>
      <c r="BU226" s="129">
        <f>_xlfn.IFNA(VLOOKUP($C226,RGI!$A$2:$C$43,3,FALSE),"..")</f>
        <v>34.155297028034767</v>
      </c>
      <c r="BV226" s="129">
        <f>VLOOKUP($D226,WGI!$C$2:$O$478,7,FALSE)</f>
        <v>-1.0290642182071199</v>
      </c>
      <c r="BW226" s="129">
        <f>VLOOKUP($D226,WGI!$C$2:$O$478,4,FALSE)</f>
        <v>-0.57547351507469302</v>
      </c>
      <c r="BX226" s="129">
        <f>VLOOKUP($D226,WGI!$C$2:$O$478,3,FALSE)</f>
        <v>-0.90271364431252499</v>
      </c>
      <c r="BY226" s="129">
        <f>VLOOKUP($D226,WGI!$C$2:$O$478,5,FALSE)</f>
        <v>-0.93336778112607699</v>
      </c>
      <c r="BZ226" s="129">
        <f>VLOOKUP($D226,WGI!$C$2:$O$478,2,FALSE)</f>
        <v>-1.2383914999271299</v>
      </c>
    </row>
    <row r="227" spans="1:80" ht="15" customHeight="1">
      <c r="A227" s="289" t="s">
        <v>124</v>
      </c>
      <c r="B227" s="146">
        <v>2012</v>
      </c>
      <c r="C227" s="146" t="s">
        <v>101</v>
      </c>
      <c r="D227" s="117" t="s">
        <v>3728</v>
      </c>
      <c r="E227" s="146" t="s">
        <v>86</v>
      </c>
      <c r="F227" s="146"/>
      <c r="G227" s="763" t="s">
        <v>24</v>
      </c>
      <c r="H227" s="146"/>
      <c r="I227" s="146"/>
      <c r="J227" s="146"/>
      <c r="K227" s="146" t="s">
        <v>973</v>
      </c>
      <c r="L227" s="146"/>
      <c r="M227" s="146"/>
      <c r="N227" s="754"/>
      <c r="O227" s="754"/>
      <c r="P227" s="754"/>
      <c r="Q227" s="146"/>
      <c r="R227" s="754">
        <v>8922</v>
      </c>
      <c r="S227" s="146" t="s">
        <v>610</v>
      </c>
      <c r="T227" s="119"/>
      <c r="U227" s="146"/>
      <c r="V227" s="146"/>
      <c r="W227" s="146"/>
      <c r="X227" s="146"/>
      <c r="Y227" s="146"/>
      <c r="Z227" s="146"/>
      <c r="AA227" s="146"/>
      <c r="AB227" s="146"/>
      <c r="AC227" s="756"/>
      <c r="AD227" s="756"/>
      <c r="AE227" s="756"/>
      <c r="AF227" s="758"/>
      <c r="AG227" s="146"/>
      <c r="AH227" s="759"/>
      <c r="AI227" s="146"/>
      <c r="AJ227" s="146"/>
      <c r="AK227" s="760"/>
      <c r="AL227" s="146"/>
      <c r="AM227" s="146"/>
      <c r="AN227" s="146"/>
      <c r="AO227" s="146"/>
      <c r="AP227" s="146"/>
      <c r="AQ227" s="146"/>
      <c r="AR227" s="146"/>
      <c r="AS227" s="146"/>
      <c r="AT227" s="146"/>
      <c r="AU227" s="146"/>
      <c r="AV227" s="128"/>
      <c r="AW227" s="117">
        <f>VLOOKUP($D227,'WB Data'!$C$3:$M$578,2,FALSE)</f>
        <v>26472054176.16637</v>
      </c>
      <c r="AX227" s="117">
        <f>VLOOKUP($D227,'WB Data'!$C$3:$M$578,3,FALSE)</f>
        <v>21699631</v>
      </c>
      <c r="AY227" s="847">
        <f t="shared" si="39"/>
        <v>5.7771141756611244E-2</v>
      </c>
      <c r="AZ227" s="117" t="e">
        <f>VLOOKUP($D227,'WB Data'!$C$3:$M$578,4,FALSE)/100</f>
        <v>#VALUE!</v>
      </c>
      <c r="BA227" s="117" t="str">
        <f t="shared" si="40"/>
        <v>..</v>
      </c>
      <c r="BB227" s="129">
        <f>IFERROR(VLOOKUP($D227,'EITI Revenues'!$C$2:$G$224,5,FALSE),"..")</f>
        <v>1529320794.4000001</v>
      </c>
      <c r="BC227" s="846" t="str">
        <f t="shared" si="41"/>
        <v>..</v>
      </c>
      <c r="BD227" s="129">
        <f>VLOOKUP($D227,'WB Data 2'!$C$2:$K$545,6,FALSE)</f>
        <v>2445584780.7393465</v>
      </c>
      <c r="BE227" s="129" t="str">
        <f>IFERROR(VLOOKUP($D227,UNCTAD!$C$5:$V$529,4,FALSE),"..")</f>
        <v>..</v>
      </c>
      <c r="BF227" s="846" t="str">
        <f t="shared" si="42"/>
        <v>..</v>
      </c>
      <c r="BG227" s="117">
        <f>VLOOKUP($D227,'WB Data'!$C$3:$M$578,5,FALSE)</f>
        <v>596240000</v>
      </c>
      <c r="BH227" s="129">
        <f>IFERROR($BB227/$BG227,"..")</f>
        <v>2.5649416248490544</v>
      </c>
      <c r="BI227" s="117">
        <f>IFERROR(VLOOKUP($D227,'WB Data'!$C$3:$M$578,7,FALSE)/100,"..")</f>
        <v>3.10012E-2</v>
      </c>
      <c r="BJ227" s="117">
        <f>IFERROR($BI227*$AW227,"..")</f>
        <v>820665445.92616892</v>
      </c>
      <c r="BK227" s="846">
        <f>IFERROR($BB227/$BJ227,"..")</f>
        <v>1.8635130819649317</v>
      </c>
      <c r="BL227" s="117">
        <f>IFERROR(VLOOKUP($D227,'WB Data'!$C$3:$M$578,7,FALSE)/100,"..")</f>
        <v>3.10012E-2</v>
      </c>
      <c r="BM227" s="117">
        <f>IFERROR($AW227*$BL227,"..")</f>
        <v>820665445.92616892</v>
      </c>
      <c r="BN227" s="846">
        <f>IFERROR($BB227/$BM227,"..")</f>
        <v>1.8635130819649317</v>
      </c>
      <c r="BO227" s="801">
        <f t="shared" si="38"/>
        <v>27</v>
      </c>
      <c r="BP227" s="117" t="str">
        <f>VLOOKUP($D227,'WB Data'!$C$3:$M$578,9,FALSE)</f>
        <v>..</v>
      </c>
      <c r="BQ227" s="117">
        <f>VLOOKUP($D227,'WB Data'!$C$3:$M$578,10,FALSE)</f>
        <v>54.58751219512196</v>
      </c>
      <c r="BR227" s="117">
        <f>VLOOKUP($D227,'WB Data'!$C$3:$M$578,11,FALSE)</f>
        <v>62.4</v>
      </c>
      <c r="BS227" s="129">
        <f>IFERROR(VLOOKUP($D227,'WB Data 2'!$C$2:$K$545,9,FALSE),"..")</f>
        <v>91.526619999999994</v>
      </c>
      <c r="BT227" s="129">
        <f>_xlfn.IFNA(VLOOKUP($C227,RGI!$A$2:$C$43,2,FALSE),"..")</f>
        <v>41.8</v>
      </c>
      <c r="BU227" s="129">
        <f>_xlfn.IFNA(VLOOKUP($C227,RGI!$A$2:$C$43,3,FALSE),"..")</f>
        <v>34.155297028034767</v>
      </c>
      <c r="BV227" s="129">
        <f>VLOOKUP($D227,WGI!$C$2:$O$478,7,FALSE)</f>
        <v>-1.0290642182071199</v>
      </c>
      <c r="BW227" s="129">
        <f>VLOOKUP($D227,WGI!$C$2:$O$478,4,FALSE)</f>
        <v>-0.57547351507469302</v>
      </c>
      <c r="BX227" s="129">
        <f>VLOOKUP($D227,WGI!$C$2:$O$478,3,FALSE)</f>
        <v>-0.90271364431252499</v>
      </c>
      <c r="BY227" s="129">
        <f>VLOOKUP($D227,WGI!$C$2:$O$478,5,FALSE)</f>
        <v>-0.93336778112607699</v>
      </c>
      <c r="BZ227" s="129">
        <f>VLOOKUP($D227,WGI!$C$2:$O$478,2,FALSE)</f>
        <v>-1.2383914999271299</v>
      </c>
    </row>
    <row r="228" spans="1:80" s="173" customFormat="1" ht="15" customHeight="1" thickBot="1">
      <c r="A228" s="764" t="s">
        <v>124</v>
      </c>
      <c r="B228" s="307">
        <v>2012</v>
      </c>
      <c r="C228" s="307" t="s">
        <v>101</v>
      </c>
      <c r="D228" s="117" t="s">
        <v>3728</v>
      </c>
      <c r="E228" s="307" t="s">
        <v>86</v>
      </c>
      <c r="F228" s="307"/>
      <c r="G228" s="308" t="s">
        <v>24</v>
      </c>
      <c r="H228" s="307"/>
      <c r="I228" s="307"/>
      <c r="J228" s="307"/>
      <c r="K228" s="307" t="s">
        <v>974</v>
      </c>
      <c r="L228" s="307"/>
      <c r="M228" s="307"/>
      <c r="N228" s="309"/>
      <c r="O228" s="309"/>
      <c r="P228" s="309"/>
      <c r="Q228" s="307"/>
      <c r="R228" s="309">
        <v>250456</v>
      </c>
      <c r="S228" s="308" t="s">
        <v>642</v>
      </c>
      <c r="T228" s="166"/>
      <c r="U228" s="307"/>
      <c r="V228" s="307"/>
      <c r="W228" s="307"/>
      <c r="X228" s="307"/>
      <c r="Y228" s="307"/>
      <c r="Z228" s="307"/>
      <c r="AA228" s="307"/>
      <c r="AB228" s="310"/>
      <c r="AC228" s="311"/>
      <c r="AD228" s="311"/>
      <c r="AE228" s="311"/>
      <c r="AF228" s="312"/>
      <c r="AG228" s="307"/>
      <c r="AH228" s="313"/>
      <c r="AI228" s="307"/>
      <c r="AJ228" s="307"/>
      <c r="AK228" s="314"/>
      <c r="AL228" s="307"/>
      <c r="AM228" s="307"/>
      <c r="AN228" s="307"/>
      <c r="AO228" s="307"/>
      <c r="AP228" s="307"/>
      <c r="AQ228" s="307"/>
      <c r="AR228" s="307"/>
      <c r="AS228" s="307"/>
      <c r="AT228" s="307"/>
      <c r="AU228" s="307"/>
      <c r="AV228" s="172"/>
      <c r="AW228" s="117">
        <f>VLOOKUP($D228,'WB Data'!$C$3:$M$578,2,FALSE)</f>
        <v>26472054176.16637</v>
      </c>
      <c r="AX228" s="117">
        <f>VLOOKUP($D228,'WB Data'!$C$3:$M$578,3,FALSE)</f>
        <v>21699631</v>
      </c>
      <c r="AY228" s="847">
        <f t="shared" si="39"/>
        <v>5.7771141756611244E-2</v>
      </c>
      <c r="AZ228" s="117" t="e">
        <f>VLOOKUP($D228,'WB Data'!$C$3:$M$578,4,FALSE)/100</f>
        <v>#VALUE!</v>
      </c>
      <c r="BA228" s="117" t="str">
        <f t="shared" si="40"/>
        <v>..</v>
      </c>
      <c r="BB228" s="129">
        <f>IFERROR(VLOOKUP($D228,'EITI Revenues'!$C$2:$G$224,5,FALSE),"..")</f>
        <v>1529320794.4000001</v>
      </c>
      <c r="BC228" s="846" t="str">
        <f t="shared" si="41"/>
        <v>..</v>
      </c>
      <c r="BD228" s="129">
        <f>VLOOKUP($D228,'WB Data 2'!$C$2:$K$545,6,FALSE)</f>
        <v>2445584780.7393465</v>
      </c>
      <c r="BE228" s="129" t="str">
        <f>IFERROR(VLOOKUP($D228,UNCTAD!$C$5:$V$529,4,FALSE),"..")</f>
        <v>..</v>
      </c>
      <c r="BF228" s="846" t="str">
        <f t="shared" si="42"/>
        <v>..</v>
      </c>
      <c r="BG228" s="117">
        <f>VLOOKUP($D228,'WB Data'!$C$3:$M$578,5,FALSE)</f>
        <v>596240000</v>
      </c>
      <c r="BH228" s="129">
        <f>IFERROR($BB228/$BG228,"..")</f>
        <v>2.5649416248490544</v>
      </c>
      <c r="BI228" s="117">
        <f>IFERROR(VLOOKUP($D228,'WB Data'!$C$3:$M$578,7,FALSE)/100,"..")</f>
        <v>3.10012E-2</v>
      </c>
      <c r="BJ228" s="117">
        <f>IFERROR($BI228*$AW228,"..")</f>
        <v>820665445.92616892</v>
      </c>
      <c r="BK228" s="846">
        <f>IFERROR($BB228/$BJ228,"..")</f>
        <v>1.8635130819649317</v>
      </c>
      <c r="BL228" s="117">
        <f>IFERROR(VLOOKUP($D228,'WB Data'!$C$3:$M$578,7,FALSE)/100,"..")</f>
        <v>3.10012E-2</v>
      </c>
      <c r="BM228" s="117">
        <f>IFERROR($AW228*$BL228,"..")</f>
        <v>820665445.92616892</v>
      </c>
      <c r="BN228" s="846">
        <f>IFERROR($BB228/$BM228,"..")</f>
        <v>1.8635130819649317</v>
      </c>
      <c r="BO228" s="801">
        <f t="shared" si="38"/>
        <v>27</v>
      </c>
      <c r="BP228" s="117" t="str">
        <f>VLOOKUP($D228,'WB Data'!$C$3:$M$578,9,FALSE)</f>
        <v>..</v>
      </c>
      <c r="BQ228" s="117">
        <f>VLOOKUP($D228,'WB Data'!$C$3:$M$578,10,FALSE)</f>
        <v>54.58751219512196</v>
      </c>
      <c r="BR228" s="117">
        <f>VLOOKUP($D228,'WB Data'!$C$3:$M$578,11,FALSE)</f>
        <v>62.4</v>
      </c>
      <c r="BS228" s="129">
        <f>IFERROR(VLOOKUP($D228,'WB Data 2'!$C$2:$K$545,9,FALSE),"..")</f>
        <v>91.526619999999994</v>
      </c>
      <c r="BT228" s="129">
        <f>_xlfn.IFNA(VLOOKUP($C228,RGI!$A$2:$C$43,2,FALSE),"..")</f>
        <v>41.8</v>
      </c>
      <c r="BU228" s="129">
        <f>_xlfn.IFNA(VLOOKUP($C228,RGI!$A$2:$C$43,3,FALSE),"..")</f>
        <v>34.155297028034767</v>
      </c>
      <c r="BV228" s="129">
        <f>VLOOKUP($D228,WGI!$C$2:$O$478,7,FALSE)</f>
        <v>-1.0290642182071199</v>
      </c>
      <c r="BW228" s="129">
        <f>VLOOKUP($D228,WGI!$C$2:$O$478,4,FALSE)</f>
        <v>-0.57547351507469302</v>
      </c>
      <c r="BX228" s="129">
        <f>VLOOKUP($D228,WGI!$C$2:$O$478,3,FALSE)</f>
        <v>-0.90271364431252499</v>
      </c>
      <c r="BY228" s="129">
        <f>VLOOKUP($D228,WGI!$C$2:$O$478,5,FALSE)</f>
        <v>-0.93336778112607699</v>
      </c>
      <c r="BZ228" s="129">
        <f>VLOOKUP($D228,WGI!$C$2:$O$478,2,FALSE)</f>
        <v>-1.2383914999271299</v>
      </c>
      <c r="CB228" s="129"/>
    </row>
    <row r="229" spans="1:80" ht="15" customHeight="1">
      <c r="A229" s="315" t="s">
        <v>126</v>
      </c>
      <c r="B229" s="267">
        <v>2006</v>
      </c>
      <c r="C229" s="267" t="s">
        <v>127</v>
      </c>
      <c r="D229" s="117" t="s">
        <v>3520</v>
      </c>
      <c r="E229" s="316" t="s">
        <v>86</v>
      </c>
      <c r="F229" s="267" t="s">
        <v>976</v>
      </c>
      <c r="G229" s="267" t="s">
        <v>24</v>
      </c>
      <c r="H229" s="117" t="str">
        <f t="shared" si="33"/>
        <v>yes</v>
      </c>
      <c r="I229" s="117" t="str">
        <f t="shared" si="34"/>
        <v>no</v>
      </c>
      <c r="J229" s="117" t="str">
        <f t="shared" si="35"/>
        <v>no</v>
      </c>
      <c r="K229" s="268" t="s">
        <v>709</v>
      </c>
      <c r="L229" s="117" t="str">
        <f t="shared" si="37"/>
        <v>Total</v>
      </c>
      <c r="M229" s="117" t="str">
        <f t="shared" si="36"/>
        <v>Total Mining</v>
      </c>
      <c r="N229" s="269"/>
      <c r="O229" s="269"/>
      <c r="P229" s="269"/>
      <c r="Q229" s="269"/>
      <c r="R229" s="269"/>
      <c r="S229" s="267"/>
      <c r="T229" s="270"/>
      <c r="U229" s="267"/>
      <c r="V229" s="267"/>
      <c r="W229" s="275">
        <f>SUM(W230:W231)</f>
        <v>59259645.581396423</v>
      </c>
      <c r="X229" s="267" t="s">
        <v>977</v>
      </c>
      <c r="Y229" s="267" t="s">
        <v>602</v>
      </c>
      <c r="Z229" s="267"/>
      <c r="AA229" s="271">
        <v>10973706.76241657</v>
      </c>
      <c r="AB229" s="271">
        <v>10087128.761307349</v>
      </c>
      <c r="AC229" s="272"/>
      <c r="AD229" s="272"/>
      <c r="AE229" s="272"/>
      <c r="AF229" s="317">
        <f>AA229/W229</f>
        <v>0.1851800943922888</v>
      </c>
      <c r="AG229" s="267"/>
      <c r="AH229" s="274">
        <v>522.89</v>
      </c>
      <c r="AI229" s="267" t="s">
        <v>722</v>
      </c>
      <c r="AJ229" s="267"/>
      <c r="AK229" s="275"/>
      <c r="AL229" s="267"/>
      <c r="AM229" s="267"/>
      <c r="AN229" s="267"/>
      <c r="AO229" s="267"/>
      <c r="AP229" s="267">
        <v>17</v>
      </c>
      <c r="AQ229" s="267" t="s">
        <v>128</v>
      </c>
      <c r="AR229" s="277">
        <v>41922</v>
      </c>
      <c r="AS229" s="267" t="s">
        <v>978</v>
      </c>
      <c r="AT229" s="267" t="s">
        <v>979</v>
      </c>
      <c r="AU229" s="267"/>
      <c r="AV229" s="278"/>
      <c r="AW229" s="117">
        <f>VLOOKUP($D229,'WB Data'!$C$3:$M$578,2,FALSE)</f>
        <v>1473721520.6993546</v>
      </c>
      <c r="AX229" s="117">
        <f>VLOOKUP($D229,'WB Data'!$C$3:$M$578,3,FALSE)</f>
        <v>4032102</v>
      </c>
      <c r="AY229" s="847">
        <f t="shared" si="39"/>
        <v>7.4462553530527231E-3</v>
      </c>
      <c r="AZ229" s="117" t="e">
        <f>VLOOKUP($D229,'WB Data'!$C$3:$M$578,4,FALSE)/100</f>
        <v>#VALUE!</v>
      </c>
      <c r="BA229" s="117" t="str">
        <f t="shared" si="40"/>
        <v>..</v>
      </c>
      <c r="BB229" s="129">
        <f>IFERROR(VLOOKUP($D229,'EITI Revenues'!$C$2:$G$224,5,FALSE),"..")</f>
        <v>10973706.76241657</v>
      </c>
      <c r="BC229" s="846" t="str">
        <f t="shared" si="41"/>
        <v>..</v>
      </c>
      <c r="BD229" s="129">
        <f>VLOOKUP($D229,'WB Data 2'!$C$2:$K$545,6,FALSE)</f>
        <v>24795745.488468166</v>
      </c>
      <c r="BE229" s="129">
        <f>IFERROR(VLOOKUP($D229,UNCTAD!$C$5:$V$529,4,FALSE),"..")</f>
        <v>209221824.84999999</v>
      </c>
      <c r="BF229" s="846">
        <f t="shared" si="42"/>
        <v>0.11851414404900296</v>
      </c>
      <c r="BG229" s="117">
        <f>VLOOKUP($D229,'WB Data'!$C$3:$M$578,5,FALSE)</f>
        <v>133660000</v>
      </c>
      <c r="BH229" s="129">
        <f>IFERROR($BB229/$BG229,"..")</f>
        <v>8.2101651671529025E-2</v>
      </c>
      <c r="BI229" s="117">
        <f>IFERROR(VLOOKUP($D229,'WB Data'!$C$3:$M$578,7,FALSE)/100,"..")</f>
        <v>1.4024200000000001E-2</v>
      </c>
      <c r="BJ229" s="117">
        <f>IFERROR($BI229*$AW229,"..")</f>
        <v>20667765.350591891</v>
      </c>
      <c r="BK229" s="846">
        <f>IFERROR($BB229/$BJ229,"..")</f>
        <v>0.53095758425098927</v>
      </c>
      <c r="BL229" s="117">
        <f>IFERROR(VLOOKUP($D229,'WB Data'!$C$3:$M$578,7,FALSE)/100,"..")</f>
        <v>1.4024200000000001E-2</v>
      </c>
      <c r="BM229" s="117">
        <f>IFERROR($AW229*$BL229,"..")</f>
        <v>20667765.350591891</v>
      </c>
      <c r="BN229" s="846">
        <f>IFERROR($BB229/$BM229,"..")</f>
        <v>0.53095758425098927</v>
      </c>
      <c r="BO229" s="801">
        <f t="shared" si="38"/>
        <v>24</v>
      </c>
      <c r="BP229" s="117" t="str">
        <f>VLOOKUP($D229,'WB Data'!$C$3:$M$578,9,FALSE)</f>
        <v>..</v>
      </c>
      <c r="BQ229" s="117">
        <f>VLOOKUP($D229,'WB Data'!$C$3:$M$578,10,FALSE)</f>
        <v>45.508195121951218</v>
      </c>
      <c r="BR229" s="117">
        <f>VLOOKUP($D229,'WB Data'!$C$3:$M$578,11,FALSE)</f>
        <v>109.3</v>
      </c>
      <c r="BS229" s="129">
        <f>IFERROR(VLOOKUP($D229,'WB Data 2'!$C$2:$K$545,9,FALSE),"..")</f>
        <v>49.943449999999999</v>
      </c>
      <c r="BT229" s="129" t="str">
        <f>_xlfn.IFNA(VLOOKUP($C229,RGI!$A$2:$C$43,2,FALSE),"..")</f>
        <v>..</v>
      </c>
      <c r="BU229" s="129" t="str">
        <f>_xlfn.IFNA(VLOOKUP($C229,RGI!$A$2:$C$43,3,FALSE),"..")</f>
        <v>..</v>
      </c>
      <c r="BV229" s="129">
        <f>VLOOKUP($D229,WGI!$C$2:$O$478,7,FALSE)</f>
        <v>-1.01288987959902</v>
      </c>
      <c r="BW229" s="129">
        <f>VLOOKUP($D229,WGI!$C$2:$O$478,4,FALSE)</f>
        <v>-1.83942548667351</v>
      </c>
      <c r="BX229" s="129">
        <f>VLOOKUP($D229,WGI!$C$2:$O$478,3,FALSE)</f>
        <v>-1.4106291847243999</v>
      </c>
      <c r="BY229" s="129">
        <f>VLOOKUP($D229,WGI!$C$2:$O$478,5,FALSE)</f>
        <v>-1.19137800216339</v>
      </c>
      <c r="BZ229" s="129">
        <f>VLOOKUP($D229,WGI!$C$2:$O$478,2,FALSE)</f>
        <v>-0.99707513756548405</v>
      </c>
    </row>
    <row r="230" spans="1:80" ht="15" customHeight="1">
      <c r="A230" s="315" t="s">
        <v>126</v>
      </c>
      <c r="B230" s="267">
        <v>2006</v>
      </c>
      <c r="C230" s="267" t="s">
        <v>127</v>
      </c>
      <c r="D230" s="117" t="s">
        <v>3520</v>
      </c>
      <c r="E230" s="316" t="s">
        <v>86</v>
      </c>
      <c r="F230" s="267"/>
      <c r="G230" s="267" t="s">
        <v>24</v>
      </c>
      <c r="H230" s="117" t="str">
        <f t="shared" si="33"/>
        <v>yes</v>
      </c>
      <c r="I230" s="117" t="str">
        <f t="shared" si="34"/>
        <v>no</v>
      </c>
      <c r="J230" s="117" t="str">
        <f t="shared" si="35"/>
        <v>no</v>
      </c>
      <c r="K230" s="268" t="s">
        <v>980</v>
      </c>
      <c r="L230" s="117" t="str">
        <f t="shared" si="37"/>
        <v>detailed</v>
      </c>
      <c r="M230" s="117" t="str">
        <f t="shared" si="36"/>
        <v>detailed Mining</v>
      </c>
      <c r="N230" s="269">
        <v>419528</v>
      </c>
      <c r="O230" s="269"/>
      <c r="P230" s="269"/>
      <c r="Q230" s="269"/>
      <c r="R230" s="269"/>
      <c r="S230" s="267" t="s">
        <v>981</v>
      </c>
      <c r="T230" s="270">
        <v>140.79</v>
      </c>
      <c r="U230" s="267" t="s">
        <v>982</v>
      </c>
      <c r="V230" s="267" t="s">
        <v>983</v>
      </c>
      <c r="W230" s="275">
        <f>N230*T230</f>
        <v>59065347.119999997</v>
      </c>
      <c r="X230" s="267"/>
      <c r="Y230" s="267"/>
      <c r="Z230" s="267"/>
      <c r="AA230" s="271"/>
      <c r="AB230" s="271"/>
      <c r="AC230" s="272"/>
      <c r="AD230" s="272"/>
      <c r="AE230" s="272"/>
      <c r="AF230" s="317"/>
      <c r="AG230" s="267"/>
      <c r="AH230" s="274"/>
      <c r="AI230" s="267"/>
      <c r="AJ230" s="267"/>
      <c r="AK230" s="275"/>
      <c r="AL230" s="267"/>
      <c r="AM230" s="267"/>
      <c r="AN230" s="267"/>
      <c r="AO230" s="267"/>
      <c r="AP230" s="267"/>
      <c r="AQ230" s="267"/>
      <c r="AR230" s="277"/>
      <c r="AS230" s="267"/>
      <c r="AT230" s="267"/>
      <c r="AU230" s="267"/>
      <c r="AV230" s="278"/>
      <c r="AW230" s="117">
        <f>VLOOKUP($D230,'WB Data'!$C$3:$M$578,2,FALSE)</f>
        <v>1473721520.6993546</v>
      </c>
      <c r="AX230" s="117">
        <f>VLOOKUP($D230,'WB Data'!$C$3:$M$578,3,FALSE)</f>
        <v>4032102</v>
      </c>
      <c r="AY230" s="847">
        <f t="shared" si="39"/>
        <v>7.4462553530527231E-3</v>
      </c>
      <c r="AZ230" s="117" t="e">
        <f>VLOOKUP($D230,'WB Data'!$C$3:$M$578,4,FALSE)/100</f>
        <v>#VALUE!</v>
      </c>
      <c r="BA230" s="117" t="str">
        <f t="shared" si="40"/>
        <v>..</v>
      </c>
      <c r="BB230" s="129">
        <f>IFERROR(VLOOKUP($D230,'EITI Revenues'!$C$2:$G$224,5,FALSE),"..")</f>
        <v>10973706.76241657</v>
      </c>
      <c r="BC230" s="846" t="str">
        <f t="shared" si="41"/>
        <v>..</v>
      </c>
      <c r="BD230" s="129">
        <f>VLOOKUP($D230,'WB Data 2'!$C$2:$K$545,6,FALSE)</f>
        <v>24795745.488468166</v>
      </c>
      <c r="BE230" s="129">
        <f>IFERROR(VLOOKUP($D230,UNCTAD!$C$5:$V$529,4,FALSE),"..")</f>
        <v>209221824.84999999</v>
      </c>
      <c r="BF230" s="846">
        <f t="shared" si="42"/>
        <v>0.11851414404900296</v>
      </c>
      <c r="BG230" s="117">
        <f>VLOOKUP($D230,'WB Data'!$C$3:$M$578,5,FALSE)</f>
        <v>133660000</v>
      </c>
      <c r="BH230" s="129">
        <f>IFERROR($BB230/$BG230,"..")</f>
        <v>8.2101651671529025E-2</v>
      </c>
      <c r="BI230" s="117">
        <f>IFERROR(VLOOKUP($D230,'WB Data'!$C$3:$M$578,7,FALSE)/100,"..")</f>
        <v>1.4024200000000001E-2</v>
      </c>
      <c r="BJ230" s="117">
        <f>IFERROR($BI230*$AW230,"..")</f>
        <v>20667765.350591891</v>
      </c>
      <c r="BK230" s="846">
        <f>IFERROR($BB230/$BJ230,"..")</f>
        <v>0.53095758425098927</v>
      </c>
      <c r="BL230" s="117">
        <f>IFERROR(VLOOKUP($D230,'WB Data'!$C$3:$M$578,7,FALSE)/100,"..")</f>
        <v>1.4024200000000001E-2</v>
      </c>
      <c r="BM230" s="117">
        <f>IFERROR($AW230*$BL230,"..")</f>
        <v>20667765.350591891</v>
      </c>
      <c r="BN230" s="846">
        <f>IFERROR($BB230/$BM230,"..")</f>
        <v>0.53095758425098927</v>
      </c>
      <c r="BO230" s="801">
        <f t="shared" si="38"/>
        <v>24</v>
      </c>
      <c r="BP230" s="117" t="str">
        <f>VLOOKUP($D230,'WB Data'!$C$3:$M$578,9,FALSE)</f>
        <v>..</v>
      </c>
      <c r="BQ230" s="117">
        <f>VLOOKUP($D230,'WB Data'!$C$3:$M$578,10,FALSE)</f>
        <v>45.508195121951218</v>
      </c>
      <c r="BR230" s="117">
        <f>VLOOKUP($D230,'WB Data'!$C$3:$M$578,11,FALSE)</f>
        <v>109.3</v>
      </c>
      <c r="BS230" s="129">
        <f>IFERROR(VLOOKUP($D230,'WB Data 2'!$C$2:$K$545,9,FALSE),"..")</f>
        <v>49.943449999999999</v>
      </c>
      <c r="BT230" s="129" t="str">
        <f>_xlfn.IFNA(VLOOKUP($C230,RGI!$A$2:$C$43,2,FALSE),"..")</f>
        <v>..</v>
      </c>
      <c r="BU230" s="129" t="str">
        <f>_xlfn.IFNA(VLOOKUP($C230,RGI!$A$2:$C$43,3,FALSE),"..")</f>
        <v>..</v>
      </c>
      <c r="BV230" s="129">
        <f>VLOOKUP($D230,WGI!$C$2:$O$478,7,FALSE)</f>
        <v>-1.01288987959902</v>
      </c>
      <c r="BW230" s="129">
        <f>VLOOKUP($D230,WGI!$C$2:$O$478,4,FALSE)</f>
        <v>-1.83942548667351</v>
      </c>
      <c r="BX230" s="129">
        <f>VLOOKUP($D230,WGI!$C$2:$O$478,3,FALSE)</f>
        <v>-1.4106291847243999</v>
      </c>
      <c r="BY230" s="129">
        <f>VLOOKUP($D230,WGI!$C$2:$O$478,5,FALSE)</f>
        <v>-1.19137800216339</v>
      </c>
      <c r="BZ230" s="129">
        <f>VLOOKUP($D230,WGI!$C$2:$O$478,2,FALSE)</f>
        <v>-0.99707513756548405</v>
      </c>
    </row>
    <row r="231" spans="1:80" ht="15" customHeight="1">
      <c r="A231" s="315" t="s">
        <v>126</v>
      </c>
      <c r="B231" s="267">
        <v>2006</v>
      </c>
      <c r="C231" s="267" t="s">
        <v>127</v>
      </c>
      <c r="D231" s="117" t="s">
        <v>3520</v>
      </c>
      <c r="E231" s="316" t="s">
        <v>86</v>
      </c>
      <c r="F231" s="267"/>
      <c r="G231" s="267" t="s">
        <v>24</v>
      </c>
      <c r="H231" s="117" t="str">
        <f t="shared" si="33"/>
        <v>yes</v>
      </c>
      <c r="I231" s="117" t="str">
        <f t="shared" si="34"/>
        <v>no</v>
      </c>
      <c r="J231" s="117" t="str">
        <f t="shared" si="35"/>
        <v>no</v>
      </c>
      <c r="K231" s="268" t="s">
        <v>784</v>
      </c>
      <c r="L231" s="117" t="str">
        <f t="shared" si="37"/>
        <v>detailed</v>
      </c>
      <c r="M231" s="117" t="str">
        <f t="shared" si="36"/>
        <v>detailed Mining</v>
      </c>
      <c r="N231" s="269">
        <f>10*32.150743126506</f>
        <v>321.50743126506001</v>
      </c>
      <c r="O231" s="269"/>
      <c r="P231" s="269"/>
      <c r="Q231" s="269"/>
      <c r="R231" s="269"/>
      <c r="S231" s="267" t="s">
        <v>785</v>
      </c>
      <c r="T231" s="270">
        <v>604.33583333333002</v>
      </c>
      <c r="U231" s="267" t="s">
        <v>786</v>
      </c>
      <c r="V231" s="267" t="s">
        <v>984</v>
      </c>
      <c r="W231" s="275">
        <f>N231*T231</f>
        <v>194298.46139642835</v>
      </c>
      <c r="X231" s="267"/>
      <c r="Y231" s="267"/>
      <c r="Z231" s="267"/>
      <c r="AA231" s="271"/>
      <c r="AB231" s="271"/>
      <c r="AC231" s="272"/>
      <c r="AD231" s="272"/>
      <c r="AE231" s="272"/>
      <c r="AF231" s="317"/>
      <c r="AG231" s="267"/>
      <c r="AH231" s="274"/>
      <c r="AI231" s="267"/>
      <c r="AJ231" s="267"/>
      <c r="AK231" s="275"/>
      <c r="AL231" s="267"/>
      <c r="AM231" s="267"/>
      <c r="AN231" s="267"/>
      <c r="AO231" s="267"/>
      <c r="AP231" s="267"/>
      <c r="AQ231" s="267"/>
      <c r="AR231" s="277"/>
      <c r="AS231" s="267"/>
      <c r="AT231" s="267"/>
      <c r="AU231" s="267"/>
      <c r="AV231" s="278"/>
      <c r="AW231" s="117">
        <f>VLOOKUP($D231,'WB Data'!$C$3:$M$578,2,FALSE)</f>
        <v>1473721520.6993546</v>
      </c>
      <c r="AX231" s="117">
        <f>VLOOKUP($D231,'WB Data'!$C$3:$M$578,3,FALSE)</f>
        <v>4032102</v>
      </c>
      <c r="AY231" s="847">
        <f t="shared" si="39"/>
        <v>7.4462553530527231E-3</v>
      </c>
      <c r="AZ231" s="117" t="e">
        <f>VLOOKUP($D231,'WB Data'!$C$3:$M$578,4,FALSE)/100</f>
        <v>#VALUE!</v>
      </c>
      <c r="BA231" s="117" t="str">
        <f t="shared" si="40"/>
        <v>..</v>
      </c>
      <c r="BB231" s="129">
        <f>IFERROR(VLOOKUP($D231,'EITI Revenues'!$C$2:$G$224,5,FALSE),"..")</f>
        <v>10973706.76241657</v>
      </c>
      <c r="BC231" s="846" t="str">
        <f t="shared" si="41"/>
        <v>..</v>
      </c>
      <c r="BD231" s="129">
        <f>VLOOKUP($D231,'WB Data 2'!$C$2:$K$545,6,FALSE)</f>
        <v>24795745.488468166</v>
      </c>
      <c r="BE231" s="129">
        <f>IFERROR(VLOOKUP($D231,UNCTAD!$C$5:$V$529,4,FALSE),"..")</f>
        <v>209221824.84999999</v>
      </c>
      <c r="BF231" s="846">
        <f t="shared" si="42"/>
        <v>0.11851414404900296</v>
      </c>
      <c r="BG231" s="117">
        <f>VLOOKUP($D231,'WB Data'!$C$3:$M$578,5,FALSE)</f>
        <v>133660000</v>
      </c>
      <c r="BH231" s="129">
        <f>IFERROR($BB231/$BG231,"..")</f>
        <v>8.2101651671529025E-2</v>
      </c>
      <c r="BI231" s="117">
        <f>IFERROR(VLOOKUP($D231,'WB Data'!$C$3:$M$578,7,FALSE)/100,"..")</f>
        <v>1.4024200000000001E-2</v>
      </c>
      <c r="BJ231" s="117">
        <f>IFERROR($BI231*$AW231,"..")</f>
        <v>20667765.350591891</v>
      </c>
      <c r="BK231" s="846">
        <f>IFERROR($BB231/$BJ231,"..")</f>
        <v>0.53095758425098927</v>
      </c>
      <c r="BL231" s="117">
        <f>IFERROR(VLOOKUP($D231,'WB Data'!$C$3:$M$578,7,FALSE)/100,"..")</f>
        <v>1.4024200000000001E-2</v>
      </c>
      <c r="BM231" s="117">
        <f>IFERROR($AW231*$BL231,"..")</f>
        <v>20667765.350591891</v>
      </c>
      <c r="BN231" s="846">
        <f>IFERROR($BB231/$BM231,"..")</f>
        <v>0.53095758425098927</v>
      </c>
      <c r="BO231" s="801">
        <f t="shared" si="38"/>
        <v>24</v>
      </c>
      <c r="BP231" s="117" t="str">
        <f>VLOOKUP($D231,'WB Data'!$C$3:$M$578,9,FALSE)</f>
        <v>..</v>
      </c>
      <c r="BQ231" s="117">
        <f>VLOOKUP($D231,'WB Data'!$C$3:$M$578,10,FALSE)</f>
        <v>45.508195121951218</v>
      </c>
      <c r="BR231" s="117">
        <f>VLOOKUP($D231,'WB Data'!$C$3:$M$578,11,FALSE)</f>
        <v>109.3</v>
      </c>
      <c r="BS231" s="129">
        <f>IFERROR(VLOOKUP($D231,'WB Data 2'!$C$2:$K$545,9,FALSE),"..")</f>
        <v>49.943449999999999</v>
      </c>
      <c r="BT231" s="129" t="str">
        <f>_xlfn.IFNA(VLOOKUP($C231,RGI!$A$2:$C$43,2,FALSE),"..")</f>
        <v>..</v>
      </c>
      <c r="BU231" s="129" t="str">
        <f>_xlfn.IFNA(VLOOKUP($C231,RGI!$A$2:$C$43,3,FALSE),"..")</f>
        <v>..</v>
      </c>
      <c r="BV231" s="129">
        <f>VLOOKUP($D231,WGI!$C$2:$O$478,7,FALSE)</f>
        <v>-1.01288987959902</v>
      </c>
      <c r="BW231" s="129">
        <f>VLOOKUP($D231,WGI!$C$2:$O$478,4,FALSE)</f>
        <v>-1.83942548667351</v>
      </c>
      <c r="BX231" s="129">
        <f>VLOOKUP($D231,WGI!$C$2:$O$478,3,FALSE)</f>
        <v>-1.4106291847243999</v>
      </c>
      <c r="BY231" s="129">
        <f>VLOOKUP($D231,WGI!$C$2:$O$478,5,FALSE)</f>
        <v>-1.19137800216339</v>
      </c>
      <c r="BZ231" s="129">
        <f>VLOOKUP($D231,WGI!$C$2:$O$478,2,FALSE)</f>
        <v>-0.99707513756548405</v>
      </c>
    </row>
    <row r="232" spans="1:80" s="144" customFormat="1" ht="15" customHeight="1">
      <c r="A232" s="318" t="s">
        <v>130</v>
      </c>
      <c r="B232" s="319">
        <v>2007</v>
      </c>
      <c r="C232" s="267" t="s">
        <v>127</v>
      </c>
      <c r="D232" s="117" t="s">
        <v>3554</v>
      </c>
      <c r="E232" s="320" t="s">
        <v>86</v>
      </c>
      <c r="F232" s="319" t="s">
        <v>976</v>
      </c>
      <c r="G232" s="319" t="s">
        <v>24</v>
      </c>
      <c r="H232" s="117" t="str">
        <f t="shared" ref="H232:H295" si="44">IF($G232="Mining","yes",IF($G232="Oil, Gas, Mining","yes",IF($G232="Gas, Mining","yes",IF($G232="Oil, Mining","yes",IF($G232="Oil, Mining, Other","yes","no")))))</f>
        <v>yes</v>
      </c>
      <c r="I232" s="117" t="str">
        <f t="shared" ref="I232:I295" si="45">IF($G232="Gas","yes",IF($G232="Oil, Gas, Mining","yes",IF($G232="Gas, Mining","yes",IF($G232="Oil, Gas","yes",IF($G232="Oil, Gas, Other","yes","no")))))</f>
        <v>no</v>
      </c>
      <c r="J232" s="117" t="str">
        <f t="shared" ref="J232:J295" si="46">IF($G232="Oil","yes",IF($G232="Oil, Gas, Mining","yes",IF($G232="Oil, Mining","yes",IF($G232="Oil, Gas","yes",IF($G232="Oil, Gas, Other","yes","no")))))</f>
        <v>no</v>
      </c>
      <c r="K232" s="321" t="s">
        <v>709</v>
      </c>
      <c r="L232" s="117" t="str">
        <f t="shared" si="37"/>
        <v>Total</v>
      </c>
      <c r="M232" s="117" t="str">
        <f t="shared" ref="M232:M295" si="47">L232&amp;" "&amp;G232</f>
        <v>Total Mining</v>
      </c>
      <c r="N232" s="322"/>
      <c r="O232" s="322"/>
      <c r="P232" s="322"/>
      <c r="Q232" s="322"/>
      <c r="R232" s="322"/>
      <c r="S232" s="319"/>
      <c r="T232" s="323"/>
      <c r="U232" s="319"/>
      <c r="V232" s="319"/>
      <c r="W232" s="324">
        <f>SUM(W233:W234)</f>
        <v>60081654.517887853</v>
      </c>
      <c r="X232" s="319" t="s">
        <v>985</v>
      </c>
      <c r="Y232" s="319" t="s">
        <v>602</v>
      </c>
      <c r="Z232" s="319"/>
      <c r="AA232" s="183">
        <v>3520131.5240083509</v>
      </c>
      <c r="AB232" s="325">
        <v>3732496.8684759918</v>
      </c>
      <c r="AC232" s="326"/>
      <c r="AD232" s="326"/>
      <c r="AE232" s="326"/>
      <c r="AF232" s="327">
        <f>AA232/W232</f>
        <v>5.8589124288518341E-2</v>
      </c>
      <c r="AG232" s="319"/>
      <c r="AH232" s="328">
        <v>479</v>
      </c>
      <c r="AI232" s="319" t="s">
        <v>722</v>
      </c>
      <c r="AJ232" s="319"/>
      <c r="AK232" s="324"/>
      <c r="AL232" s="319"/>
      <c r="AM232" s="319"/>
      <c r="AN232" s="319"/>
      <c r="AO232" s="319"/>
      <c r="AP232" s="319">
        <v>9</v>
      </c>
      <c r="AQ232" s="319" t="s">
        <v>131</v>
      </c>
      <c r="AR232" s="329">
        <v>41922</v>
      </c>
      <c r="AS232" s="319" t="s">
        <v>670</v>
      </c>
      <c r="AT232" s="319" t="s">
        <v>986</v>
      </c>
      <c r="AU232" s="319"/>
      <c r="AV232" s="330"/>
      <c r="AW232" s="117">
        <f>VLOOKUP($D232,'WB Data'!$C$3:$M$578,2,FALSE)</f>
        <v>1698125679.6518774</v>
      </c>
      <c r="AX232" s="117">
        <f>VLOOKUP($D232,'WB Data'!$C$3:$M$578,3,FALSE)</f>
        <v>4106897</v>
      </c>
      <c r="AY232" s="847">
        <f t="shared" si="39"/>
        <v>2.0729511167453707E-3</v>
      </c>
      <c r="AZ232" s="117" t="e">
        <f>VLOOKUP($D232,'WB Data'!$C$3:$M$578,4,FALSE)/100</f>
        <v>#VALUE!</v>
      </c>
      <c r="BA232" s="117" t="str">
        <f t="shared" si="40"/>
        <v>..</v>
      </c>
      <c r="BB232" s="129">
        <f>IFERROR(VLOOKUP($D232,'EITI Revenues'!$C$2:$G$224,5,FALSE),"..")</f>
        <v>3520131.5240083509</v>
      </c>
      <c r="BC232" s="846" t="str">
        <f t="shared" si="41"/>
        <v>..</v>
      </c>
      <c r="BD232" s="129" t="str">
        <f>VLOOKUP($D232,'WB Data 2'!$C$2:$K$545,6,FALSE)</f>
        <v>..</v>
      </c>
      <c r="BE232" s="129">
        <f>IFERROR(VLOOKUP($D232,UNCTAD!$C$5:$V$529,4,FALSE),"..")</f>
        <v>239532452.66999999</v>
      </c>
      <c r="BF232" s="846" t="str">
        <f t="shared" si="42"/>
        <v>..</v>
      </c>
      <c r="BG232" s="117">
        <f>VLOOKUP($D232,'WB Data'!$C$3:$M$578,5,FALSE)</f>
        <v>176920000</v>
      </c>
      <c r="BH232" s="129">
        <f>IFERROR($BB232/$BG232,"..")</f>
        <v>1.9896741600770693E-2</v>
      </c>
      <c r="BI232" s="117">
        <f>IFERROR(VLOOKUP($D232,'WB Data'!$C$3:$M$578,7,FALSE)/100,"..")</f>
        <v>1.3128899999999999E-2</v>
      </c>
      <c r="BJ232" s="117">
        <f>IFERROR($BI232*$AW232,"..")</f>
        <v>22294522.235581532</v>
      </c>
      <c r="BK232" s="846">
        <f>IFERROR($BB232/$BJ232,"..")</f>
        <v>0.15789221616017876</v>
      </c>
      <c r="BL232" s="117">
        <f>IFERROR(VLOOKUP($D232,'WB Data'!$C$3:$M$578,7,FALSE)/100,"..")</f>
        <v>1.3128899999999999E-2</v>
      </c>
      <c r="BM232" s="117">
        <f>IFERROR($AW232*$BL232,"..")</f>
        <v>22294522.235581532</v>
      </c>
      <c r="BN232" s="846">
        <f>IFERROR($BB232/$BM232,"..")</f>
        <v>0.15789221616017876</v>
      </c>
      <c r="BO232" s="801">
        <f t="shared" si="38"/>
        <v>24</v>
      </c>
      <c r="BP232" s="117" t="str">
        <f>VLOOKUP($D232,'WB Data'!$C$3:$M$578,9,FALSE)</f>
        <v>..</v>
      </c>
      <c r="BQ232" s="117">
        <f>VLOOKUP($D232,'WB Data'!$C$3:$M$578,10,FALSE)</f>
        <v>46.091243902439032</v>
      </c>
      <c r="BR232" s="117">
        <f>VLOOKUP($D232,'WB Data'!$C$3:$M$578,11,FALSE)</f>
        <v>108.1</v>
      </c>
      <c r="BS232" s="129">
        <f>IFERROR(VLOOKUP($D232,'WB Data 2'!$C$2:$K$545,9,FALSE),"..")</f>
        <v>58.44265</v>
      </c>
      <c r="BT232" s="129" t="str">
        <f>_xlfn.IFNA(VLOOKUP($C232,RGI!$A$2:$C$43,2,FALSE),"..")</f>
        <v>..</v>
      </c>
      <c r="BU232" s="129" t="str">
        <f>_xlfn.IFNA(VLOOKUP($C232,RGI!$A$2:$C$43,3,FALSE),"..")</f>
        <v>..</v>
      </c>
      <c r="BV232" s="129">
        <f>VLOOKUP($D232,WGI!$C$2:$O$478,7,FALSE)</f>
        <v>-1.0784161192199799</v>
      </c>
      <c r="BW232" s="129">
        <f>VLOOKUP($D232,WGI!$C$2:$O$478,4,FALSE)</f>
        <v>-1.82965362559411</v>
      </c>
      <c r="BX232" s="129">
        <f>VLOOKUP($D232,WGI!$C$2:$O$478,3,FALSE)</f>
        <v>-1.4448443549579899</v>
      </c>
      <c r="BY232" s="129">
        <f>VLOOKUP($D232,WGI!$C$2:$O$478,5,FALSE)</f>
        <v>-1.2154097682502301</v>
      </c>
      <c r="BZ232" s="129">
        <f>VLOOKUP($D232,WGI!$C$2:$O$478,2,FALSE)</f>
        <v>-0.97239702284773</v>
      </c>
      <c r="CB232" s="129"/>
    </row>
    <row r="233" spans="1:80" s="120" customFormat="1" ht="15" customHeight="1">
      <c r="A233" s="315" t="s">
        <v>130</v>
      </c>
      <c r="B233" s="267">
        <v>2007</v>
      </c>
      <c r="C233" s="267" t="s">
        <v>127</v>
      </c>
      <c r="D233" s="117" t="s">
        <v>3554</v>
      </c>
      <c r="E233" s="316" t="s">
        <v>86</v>
      </c>
      <c r="F233" s="267"/>
      <c r="G233" s="267" t="s">
        <v>24</v>
      </c>
      <c r="H233" s="117" t="str">
        <f t="shared" si="44"/>
        <v>yes</v>
      </c>
      <c r="I233" s="117" t="str">
        <f t="shared" si="45"/>
        <v>no</v>
      </c>
      <c r="J233" s="117" t="str">
        <f t="shared" si="46"/>
        <v>no</v>
      </c>
      <c r="K233" s="268" t="s">
        <v>980</v>
      </c>
      <c r="L233" s="117" t="str">
        <f t="shared" si="37"/>
        <v>detailed</v>
      </c>
      <c r="M233" s="117" t="str">
        <f t="shared" si="47"/>
        <v>detailed Mining</v>
      </c>
      <c r="N233" s="269">
        <v>467711</v>
      </c>
      <c r="O233" s="269"/>
      <c r="P233" s="269"/>
      <c r="Q233" s="269"/>
      <c r="R233" s="269"/>
      <c r="S233" s="267" t="s">
        <v>981</v>
      </c>
      <c r="T233" s="270">
        <v>127.98</v>
      </c>
      <c r="U233" s="267" t="s">
        <v>982</v>
      </c>
      <c r="V233" s="267" t="s">
        <v>987</v>
      </c>
      <c r="W233" s="275">
        <f>N233*T233</f>
        <v>59857653.780000001</v>
      </c>
      <c r="X233" s="267"/>
      <c r="Y233" s="267"/>
      <c r="Z233" s="267"/>
      <c r="AA233" s="271"/>
      <c r="AB233" s="271"/>
      <c r="AC233" s="272"/>
      <c r="AD233" s="272"/>
      <c r="AE233" s="272"/>
      <c r="AF233" s="317"/>
      <c r="AG233" s="267"/>
      <c r="AH233" s="274"/>
      <c r="AI233" s="267"/>
      <c r="AJ233" s="267"/>
      <c r="AK233" s="275"/>
      <c r="AL233" s="267"/>
      <c r="AM233" s="267"/>
      <c r="AN233" s="267"/>
      <c r="AO233" s="267"/>
      <c r="AP233" s="267"/>
      <c r="AQ233" s="267"/>
      <c r="AR233" s="277"/>
      <c r="AS233" s="267"/>
      <c r="AT233" s="267"/>
      <c r="AU233" s="267"/>
      <c r="AV233" s="278"/>
      <c r="AW233" s="117">
        <f>VLOOKUP($D233,'WB Data'!$C$3:$M$578,2,FALSE)</f>
        <v>1698125679.6518774</v>
      </c>
      <c r="AX233" s="117">
        <f>VLOOKUP($D233,'WB Data'!$C$3:$M$578,3,FALSE)</f>
        <v>4106897</v>
      </c>
      <c r="AY233" s="847">
        <f t="shared" si="39"/>
        <v>2.0729511167453707E-3</v>
      </c>
      <c r="AZ233" s="117" t="e">
        <f>VLOOKUP($D233,'WB Data'!$C$3:$M$578,4,FALSE)/100</f>
        <v>#VALUE!</v>
      </c>
      <c r="BA233" s="117" t="str">
        <f t="shared" si="40"/>
        <v>..</v>
      </c>
      <c r="BB233" s="129">
        <f>IFERROR(VLOOKUP($D233,'EITI Revenues'!$C$2:$G$224,5,FALSE),"..")</f>
        <v>3520131.5240083509</v>
      </c>
      <c r="BC233" s="846" t="str">
        <f t="shared" si="41"/>
        <v>..</v>
      </c>
      <c r="BD233" s="129" t="str">
        <f>VLOOKUP($D233,'WB Data 2'!$C$2:$K$545,6,FALSE)</f>
        <v>..</v>
      </c>
      <c r="BE233" s="129">
        <f>IFERROR(VLOOKUP($D233,UNCTAD!$C$5:$V$529,4,FALSE),"..")</f>
        <v>239532452.66999999</v>
      </c>
      <c r="BF233" s="846" t="str">
        <f t="shared" si="42"/>
        <v>..</v>
      </c>
      <c r="BG233" s="117">
        <f>VLOOKUP($D233,'WB Data'!$C$3:$M$578,5,FALSE)</f>
        <v>176920000</v>
      </c>
      <c r="BH233" s="129">
        <f>IFERROR($BB233/$BG233,"..")</f>
        <v>1.9896741600770693E-2</v>
      </c>
      <c r="BI233" s="117">
        <f>IFERROR(VLOOKUP($D233,'WB Data'!$C$3:$M$578,7,FALSE)/100,"..")</f>
        <v>1.3128899999999999E-2</v>
      </c>
      <c r="BJ233" s="117">
        <f>IFERROR($BI233*$AW233,"..")</f>
        <v>22294522.235581532</v>
      </c>
      <c r="BK233" s="846">
        <f>IFERROR($BB233/$BJ233,"..")</f>
        <v>0.15789221616017876</v>
      </c>
      <c r="BL233" s="117">
        <f>IFERROR(VLOOKUP($D233,'WB Data'!$C$3:$M$578,7,FALSE)/100,"..")</f>
        <v>1.3128899999999999E-2</v>
      </c>
      <c r="BM233" s="117">
        <f>IFERROR($AW233*$BL233,"..")</f>
        <v>22294522.235581532</v>
      </c>
      <c r="BN233" s="846">
        <f>IFERROR($BB233/$BM233,"..")</f>
        <v>0.15789221616017876</v>
      </c>
      <c r="BO233" s="801">
        <f t="shared" si="38"/>
        <v>24</v>
      </c>
      <c r="BP233" s="117" t="str">
        <f>VLOOKUP($D233,'WB Data'!$C$3:$M$578,9,FALSE)</f>
        <v>..</v>
      </c>
      <c r="BQ233" s="117">
        <f>VLOOKUP($D233,'WB Data'!$C$3:$M$578,10,FALSE)</f>
        <v>46.091243902439032</v>
      </c>
      <c r="BR233" s="117">
        <f>VLOOKUP($D233,'WB Data'!$C$3:$M$578,11,FALSE)</f>
        <v>108.1</v>
      </c>
      <c r="BS233" s="129">
        <f>IFERROR(VLOOKUP($D233,'WB Data 2'!$C$2:$K$545,9,FALSE),"..")</f>
        <v>58.44265</v>
      </c>
      <c r="BT233" s="129" t="str">
        <f>_xlfn.IFNA(VLOOKUP($C233,RGI!$A$2:$C$43,2,FALSE),"..")</f>
        <v>..</v>
      </c>
      <c r="BU233" s="129" t="str">
        <f>_xlfn.IFNA(VLOOKUP($C233,RGI!$A$2:$C$43,3,FALSE),"..")</f>
        <v>..</v>
      </c>
      <c r="BV233" s="129">
        <f>VLOOKUP($D233,WGI!$C$2:$O$478,7,FALSE)</f>
        <v>-1.0784161192199799</v>
      </c>
      <c r="BW233" s="129">
        <f>VLOOKUP($D233,WGI!$C$2:$O$478,4,FALSE)</f>
        <v>-1.82965362559411</v>
      </c>
      <c r="BX233" s="129">
        <f>VLOOKUP($D233,WGI!$C$2:$O$478,3,FALSE)</f>
        <v>-1.4448443549579899</v>
      </c>
      <c r="BY233" s="129">
        <f>VLOOKUP($D233,WGI!$C$2:$O$478,5,FALSE)</f>
        <v>-1.2154097682502301</v>
      </c>
      <c r="BZ233" s="129">
        <f>VLOOKUP($D233,WGI!$C$2:$O$478,2,FALSE)</f>
        <v>-0.97239702284773</v>
      </c>
      <c r="CB233" s="129"/>
    </row>
    <row r="234" spans="1:80" s="158" customFormat="1" ht="15" customHeight="1">
      <c r="A234" s="331" t="s">
        <v>130</v>
      </c>
      <c r="B234" s="253">
        <v>2007</v>
      </c>
      <c r="C234" s="267" t="s">
        <v>127</v>
      </c>
      <c r="D234" s="117" t="s">
        <v>3554</v>
      </c>
      <c r="E234" s="332" t="s">
        <v>86</v>
      </c>
      <c r="F234" s="253"/>
      <c r="G234" s="253" t="s">
        <v>24</v>
      </c>
      <c r="H234" s="149" t="str">
        <f t="shared" si="44"/>
        <v>yes</v>
      </c>
      <c r="I234" s="149" t="str">
        <f t="shared" si="45"/>
        <v>no</v>
      </c>
      <c r="J234" s="149" t="str">
        <f t="shared" si="46"/>
        <v>no</v>
      </c>
      <c r="K234" s="254" t="s">
        <v>784</v>
      </c>
      <c r="L234" s="149" t="str">
        <f t="shared" si="37"/>
        <v>detailed</v>
      </c>
      <c r="M234" s="149" t="str">
        <f t="shared" si="47"/>
        <v>detailed Mining</v>
      </c>
      <c r="N234" s="255">
        <f>10*32.150743126506</f>
        <v>321.50743126506001</v>
      </c>
      <c r="O234" s="255"/>
      <c r="P234" s="255"/>
      <c r="Q234" s="255"/>
      <c r="R234" s="255"/>
      <c r="S234" s="253" t="s">
        <v>785</v>
      </c>
      <c r="T234" s="256">
        <v>696.72024999999996</v>
      </c>
      <c r="U234" s="253" t="s">
        <v>786</v>
      </c>
      <c r="V234" s="253" t="s">
        <v>984</v>
      </c>
      <c r="W234" s="257">
        <f>N234*T234</f>
        <v>224000.73788785041</v>
      </c>
      <c r="X234" s="253"/>
      <c r="Y234" s="253"/>
      <c r="Z234" s="253"/>
      <c r="AA234" s="258"/>
      <c r="AB234" s="258"/>
      <c r="AC234" s="259"/>
      <c r="AD234" s="259"/>
      <c r="AE234" s="259"/>
      <c r="AF234" s="333"/>
      <c r="AG234" s="253"/>
      <c r="AH234" s="261"/>
      <c r="AI234" s="253"/>
      <c r="AJ234" s="253"/>
      <c r="AK234" s="257"/>
      <c r="AL234" s="253"/>
      <c r="AM234" s="253"/>
      <c r="AN234" s="253"/>
      <c r="AO234" s="253"/>
      <c r="AP234" s="253"/>
      <c r="AQ234" s="253"/>
      <c r="AR234" s="263"/>
      <c r="AS234" s="253"/>
      <c r="AT234" s="253"/>
      <c r="AU234" s="253"/>
      <c r="AV234" s="265"/>
      <c r="AW234" s="117">
        <f>VLOOKUP($D234,'WB Data'!$C$3:$M$578,2,FALSE)</f>
        <v>1698125679.6518774</v>
      </c>
      <c r="AX234" s="117">
        <f>VLOOKUP($D234,'WB Data'!$C$3:$M$578,3,FALSE)</f>
        <v>4106897</v>
      </c>
      <c r="AY234" s="847">
        <f t="shared" si="39"/>
        <v>2.0729511167453707E-3</v>
      </c>
      <c r="AZ234" s="117" t="e">
        <f>VLOOKUP($D234,'WB Data'!$C$3:$M$578,4,FALSE)/100</f>
        <v>#VALUE!</v>
      </c>
      <c r="BA234" s="117" t="str">
        <f t="shared" si="40"/>
        <v>..</v>
      </c>
      <c r="BB234" s="129">
        <f>IFERROR(VLOOKUP($D234,'EITI Revenues'!$C$2:$G$224,5,FALSE),"..")</f>
        <v>3520131.5240083509</v>
      </c>
      <c r="BC234" s="846" t="str">
        <f t="shared" si="41"/>
        <v>..</v>
      </c>
      <c r="BD234" s="129" t="str">
        <f>VLOOKUP($D234,'WB Data 2'!$C$2:$K$545,6,FALSE)</f>
        <v>..</v>
      </c>
      <c r="BE234" s="129">
        <f>IFERROR(VLOOKUP($D234,UNCTAD!$C$5:$V$529,4,FALSE),"..")</f>
        <v>239532452.66999999</v>
      </c>
      <c r="BF234" s="846" t="str">
        <f t="shared" si="42"/>
        <v>..</v>
      </c>
      <c r="BG234" s="117">
        <f>VLOOKUP($D234,'WB Data'!$C$3:$M$578,5,FALSE)</f>
        <v>176920000</v>
      </c>
      <c r="BH234" s="129">
        <f>IFERROR($BB234/$BG234,"..")</f>
        <v>1.9896741600770693E-2</v>
      </c>
      <c r="BI234" s="117">
        <f>IFERROR(VLOOKUP($D234,'WB Data'!$C$3:$M$578,7,FALSE)/100,"..")</f>
        <v>1.3128899999999999E-2</v>
      </c>
      <c r="BJ234" s="117">
        <f>IFERROR($BI234*$AW234,"..")</f>
        <v>22294522.235581532</v>
      </c>
      <c r="BK234" s="846">
        <f>IFERROR($BB234/$BJ234,"..")</f>
        <v>0.15789221616017876</v>
      </c>
      <c r="BL234" s="117">
        <f>IFERROR(VLOOKUP($D234,'WB Data'!$C$3:$M$578,7,FALSE)/100,"..")</f>
        <v>1.3128899999999999E-2</v>
      </c>
      <c r="BM234" s="117">
        <f>IFERROR($AW234*$BL234,"..")</f>
        <v>22294522.235581532</v>
      </c>
      <c r="BN234" s="846">
        <f>IFERROR($BB234/$BM234,"..")</f>
        <v>0.15789221616017876</v>
      </c>
      <c r="BO234" s="801">
        <f t="shared" si="38"/>
        <v>24</v>
      </c>
      <c r="BP234" s="117" t="str">
        <f>VLOOKUP($D234,'WB Data'!$C$3:$M$578,9,FALSE)</f>
        <v>..</v>
      </c>
      <c r="BQ234" s="117">
        <f>VLOOKUP($D234,'WB Data'!$C$3:$M$578,10,FALSE)</f>
        <v>46.091243902439032</v>
      </c>
      <c r="BR234" s="117">
        <f>VLOOKUP($D234,'WB Data'!$C$3:$M$578,11,FALSE)</f>
        <v>108.1</v>
      </c>
      <c r="BS234" s="129">
        <f>IFERROR(VLOOKUP($D234,'WB Data 2'!$C$2:$K$545,9,FALSE),"..")</f>
        <v>58.44265</v>
      </c>
      <c r="BT234" s="129" t="str">
        <f>_xlfn.IFNA(VLOOKUP($C234,RGI!$A$2:$C$43,2,FALSE),"..")</f>
        <v>..</v>
      </c>
      <c r="BU234" s="129" t="str">
        <f>_xlfn.IFNA(VLOOKUP($C234,RGI!$A$2:$C$43,3,FALSE),"..")</f>
        <v>..</v>
      </c>
      <c r="BV234" s="129">
        <f>VLOOKUP($D234,WGI!$C$2:$O$478,7,FALSE)</f>
        <v>-1.0784161192199799</v>
      </c>
      <c r="BW234" s="129">
        <f>VLOOKUP($D234,WGI!$C$2:$O$478,4,FALSE)</f>
        <v>-1.82965362559411</v>
      </c>
      <c r="BX234" s="129">
        <f>VLOOKUP($D234,WGI!$C$2:$O$478,3,FALSE)</f>
        <v>-1.4448443549579899</v>
      </c>
      <c r="BY234" s="129">
        <f>VLOOKUP($D234,WGI!$C$2:$O$478,5,FALSE)</f>
        <v>-1.2154097682502301</v>
      </c>
      <c r="BZ234" s="129">
        <f>VLOOKUP($D234,WGI!$C$2:$O$478,2,FALSE)</f>
        <v>-0.97239702284773</v>
      </c>
      <c r="CB234" s="129"/>
    </row>
    <row r="235" spans="1:80" ht="15" customHeight="1">
      <c r="A235" s="315" t="s">
        <v>133</v>
      </c>
      <c r="B235" s="267">
        <v>2008</v>
      </c>
      <c r="C235" s="267" t="s">
        <v>127</v>
      </c>
      <c r="D235" s="117" t="s">
        <v>3588</v>
      </c>
      <c r="E235" s="316" t="s">
        <v>86</v>
      </c>
      <c r="F235" s="267" t="s">
        <v>976</v>
      </c>
      <c r="G235" s="267" t="s">
        <v>24</v>
      </c>
      <c r="H235" s="117" t="str">
        <f t="shared" si="44"/>
        <v>yes</v>
      </c>
      <c r="I235" s="117" t="str">
        <f t="shared" si="45"/>
        <v>no</v>
      </c>
      <c r="J235" s="117" t="str">
        <f t="shared" si="46"/>
        <v>no</v>
      </c>
      <c r="K235" s="268" t="s">
        <v>709</v>
      </c>
      <c r="L235" s="117" t="str">
        <f t="shared" si="37"/>
        <v>Total</v>
      </c>
      <c r="M235" s="117" t="str">
        <f t="shared" si="47"/>
        <v>Total Mining</v>
      </c>
      <c r="N235" s="269"/>
      <c r="O235" s="269"/>
      <c r="P235" s="269"/>
      <c r="Q235" s="269"/>
      <c r="R235" s="269"/>
      <c r="S235" s="267"/>
      <c r="T235" s="270"/>
      <c r="U235" s="267"/>
      <c r="V235" s="267"/>
      <c r="W235" s="275">
        <f>SUM(W236:W237)</f>
        <v>48956006.852679312</v>
      </c>
      <c r="X235" s="267" t="s">
        <v>985</v>
      </c>
      <c r="Y235" s="267" t="s">
        <v>602</v>
      </c>
      <c r="Z235" s="267"/>
      <c r="AA235" s="334">
        <v>4042178.5714285714</v>
      </c>
      <c r="AB235" s="334">
        <v>4091267.8571428573</v>
      </c>
      <c r="AC235" s="272"/>
      <c r="AD235" s="272"/>
      <c r="AE235" s="272"/>
      <c r="AF235" s="317">
        <f>AA235/W235</f>
        <v>8.2567570994760309E-2</v>
      </c>
      <c r="AG235" s="267"/>
      <c r="AH235" s="274">
        <v>448</v>
      </c>
      <c r="AI235" s="267" t="s">
        <v>722</v>
      </c>
      <c r="AJ235" s="267"/>
      <c r="AK235" s="275"/>
      <c r="AL235" s="267"/>
      <c r="AM235" s="267"/>
      <c r="AN235" s="267"/>
      <c r="AO235" s="267"/>
      <c r="AP235" s="267">
        <v>9</v>
      </c>
      <c r="AQ235" s="267" t="s">
        <v>131</v>
      </c>
      <c r="AR235" s="277">
        <v>41922</v>
      </c>
      <c r="AS235" s="267" t="s">
        <v>670</v>
      </c>
      <c r="AT235" s="267" t="s">
        <v>988</v>
      </c>
      <c r="AU235" s="267"/>
      <c r="AV235" s="278"/>
      <c r="AW235" s="117">
        <f>VLOOKUP($D235,'WB Data'!$C$3:$M$578,2,FALSE)</f>
        <v>1985370254.9617152</v>
      </c>
      <c r="AX235" s="117">
        <f>VLOOKUP($D235,'WB Data'!$C$3:$M$578,3,FALSE)</f>
        <v>4185106</v>
      </c>
      <c r="AY235" s="847">
        <f t="shared" si="39"/>
        <v>2.0359822362234991E-3</v>
      </c>
      <c r="AZ235" s="117">
        <f>VLOOKUP($D235,'WB Data'!$C$3:$M$578,4,FALSE)/100</f>
        <v>9.394049358782959E-2</v>
      </c>
      <c r="BA235" s="117">
        <f t="shared" si="40"/>
        <v>186506661.70569861</v>
      </c>
      <c r="BB235" s="129">
        <f>IFERROR(VLOOKUP($D235,'EITI Revenues'!$C$2:$G$224,5,FALSE),"..")</f>
        <v>4042178.5714285714</v>
      </c>
      <c r="BC235" s="846">
        <f t="shared" si="41"/>
        <v>2.1673105584866435E-2</v>
      </c>
      <c r="BD235" s="129">
        <f>VLOOKUP($D235,'WB Data 2'!$C$2:$K$545,6,FALSE)</f>
        <v>53678294.556385092</v>
      </c>
      <c r="BE235" s="129">
        <f>IFERROR(VLOOKUP($D235,UNCTAD!$C$5:$V$529,4,FALSE),"..")</f>
        <v>218175321.84</v>
      </c>
      <c r="BF235" s="846">
        <f t="shared" si="42"/>
        <v>0.2460328423200418</v>
      </c>
      <c r="BG235" s="117">
        <f>VLOOKUP($D235,'WB Data'!$C$3:$M$578,5,FALSE)</f>
        <v>257279999.99999997</v>
      </c>
      <c r="BH235" s="129">
        <f>IFERROR($BB235/$BG235,"..")</f>
        <v>1.5711204024520257E-2</v>
      </c>
      <c r="BI235" s="117">
        <f>IFERROR(VLOOKUP($D235,'WB Data'!$C$3:$M$578,7,FALSE)/100,"..")</f>
        <v>1.2900199999999999E-2</v>
      </c>
      <c r="BJ235" s="117">
        <f>IFERROR($BI235*$AW235,"..")</f>
        <v>25611673.363057118</v>
      </c>
      <c r="BK235" s="846">
        <f>IFERROR($BB235/$BJ235,"..")</f>
        <v>0.15782563341835779</v>
      </c>
      <c r="BL235" s="117">
        <f>IFERROR(VLOOKUP($D235,'WB Data'!$C$3:$M$578,7,FALSE)/100,"..")</f>
        <v>1.2900199999999999E-2</v>
      </c>
      <c r="BM235" s="117">
        <f>IFERROR($AW235*$BL235,"..")</f>
        <v>25611673.363057118</v>
      </c>
      <c r="BN235" s="846">
        <f>IFERROR($BB235/$BM235,"..")</f>
        <v>0.15782563341835779</v>
      </c>
      <c r="BO235" s="801">
        <f t="shared" si="38"/>
        <v>24</v>
      </c>
      <c r="BP235" s="117">
        <f>VLOOKUP($D235,'WB Data'!$C$3:$M$578,9,FALSE)</f>
        <v>62</v>
      </c>
      <c r="BQ235" s="117">
        <f>VLOOKUP($D235,'WB Data'!$C$3:$M$578,10,FALSE)</f>
        <v>46.729121951219518</v>
      </c>
      <c r="BR235" s="117">
        <f>VLOOKUP($D235,'WB Data'!$C$3:$M$578,11,FALSE)</f>
        <v>106.6</v>
      </c>
      <c r="BS235" s="129">
        <f>IFERROR(VLOOKUP($D235,'WB Data 2'!$C$2:$K$545,9,FALSE),"..")</f>
        <v>67.964089999999999</v>
      </c>
      <c r="BT235" s="129" t="str">
        <f>_xlfn.IFNA(VLOOKUP($C235,RGI!$A$2:$C$43,2,FALSE),"..")</f>
        <v>..</v>
      </c>
      <c r="BU235" s="129" t="str">
        <f>_xlfn.IFNA(VLOOKUP($C235,RGI!$A$2:$C$43,3,FALSE),"..")</f>
        <v>..</v>
      </c>
      <c r="BV235" s="129">
        <f>VLOOKUP($D235,WGI!$C$2:$O$478,7,FALSE)</f>
        <v>-1.0134969403359499</v>
      </c>
      <c r="BW235" s="129">
        <f>VLOOKUP($D235,WGI!$C$2:$O$478,4,FALSE)</f>
        <v>-1.8300974771612499</v>
      </c>
      <c r="BX235" s="129">
        <f>VLOOKUP($D235,WGI!$C$2:$O$478,3,FALSE)</f>
        <v>-1.39840587306251</v>
      </c>
      <c r="BY235" s="129">
        <f>VLOOKUP($D235,WGI!$C$2:$O$478,5,FALSE)</f>
        <v>-1.2167425797851701</v>
      </c>
      <c r="BZ235" s="129">
        <f>VLOOKUP($D235,WGI!$C$2:$O$478,2,FALSE)</f>
        <v>-0.97780164101929401</v>
      </c>
    </row>
    <row r="236" spans="1:80" ht="15" customHeight="1">
      <c r="A236" s="315" t="s">
        <v>133</v>
      </c>
      <c r="B236" s="267">
        <v>2008</v>
      </c>
      <c r="C236" s="267" t="s">
        <v>127</v>
      </c>
      <c r="D236" s="117" t="s">
        <v>3588</v>
      </c>
      <c r="E236" s="316" t="s">
        <v>86</v>
      </c>
      <c r="F236" s="267"/>
      <c r="G236" s="267" t="s">
        <v>24</v>
      </c>
      <c r="H236" s="117" t="str">
        <f t="shared" si="44"/>
        <v>yes</v>
      </c>
      <c r="I236" s="117" t="str">
        <f t="shared" si="45"/>
        <v>no</v>
      </c>
      <c r="J236" s="117" t="str">
        <f t="shared" si="46"/>
        <v>no</v>
      </c>
      <c r="K236" s="268" t="s">
        <v>980</v>
      </c>
      <c r="L236" s="117" t="str">
        <f t="shared" si="37"/>
        <v>detailed</v>
      </c>
      <c r="M236" s="117" t="str">
        <f t="shared" si="47"/>
        <v>detailed Mining</v>
      </c>
      <c r="N236" s="269">
        <v>377209</v>
      </c>
      <c r="O236" s="269"/>
      <c r="P236" s="269"/>
      <c r="Q236" s="269"/>
      <c r="R236" s="269"/>
      <c r="S236" s="267" t="s">
        <v>981</v>
      </c>
      <c r="T236" s="270">
        <v>126.59</v>
      </c>
      <c r="U236" s="267" t="s">
        <v>982</v>
      </c>
      <c r="V236" s="267" t="s">
        <v>989</v>
      </c>
      <c r="W236" s="275">
        <f>N236*T236</f>
        <v>47750887.310000002</v>
      </c>
      <c r="X236" s="267"/>
      <c r="Y236" s="267"/>
      <c r="Z236" s="267"/>
      <c r="AA236" s="271"/>
      <c r="AB236" s="271"/>
      <c r="AC236" s="272"/>
      <c r="AD236" s="272"/>
      <c r="AE236" s="272"/>
      <c r="AF236" s="317"/>
      <c r="AG236" s="267"/>
      <c r="AH236" s="274"/>
      <c r="AI236" s="267"/>
      <c r="AJ236" s="267"/>
      <c r="AK236" s="275"/>
      <c r="AL236" s="267"/>
      <c r="AM236" s="267"/>
      <c r="AN236" s="267"/>
      <c r="AO236" s="267"/>
      <c r="AP236" s="267"/>
      <c r="AQ236" s="267"/>
      <c r="AR236" s="277"/>
      <c r="AS236" s="267"/>
      <c r="AT236" s="267"/>
      <c r="AU236" s="267"/>
      <c r="AV236" s="278"/>
      <c r="AW236" s="117">
        <f>VLOOKUP($D236,'WB Data'!$C$3:$M$578,2,FALSE)</f>
        <v>1985370254.9617152</v>
      </c>
      <c r="AX236" s="117">
        <f>VLOOKUP($D236,'WB Data'!$C$3:$M$578,3,FALSE)</f>
        <v>4185106</v>
      </c>
      <c r="AY236" s="847">
        <f t="shared" si="39"/>
        <v>2.0359822362234991E-3</v>
      </c>
      <c r="AZ236" s="117">
        <f>VLOOKUP($D236,'WB Data'!$C$3:$M$578,4,FALSE)/100</f>
        <v>9.394049358782959E-2</v>
      </c>
      <c r="BA236" s="117">
        <f t="shared" si="40"/>
        <v>186506661.70569861</v>
      </c>
      <c r="BB236" s="129">
        <f>IFERROR(VLOOKUP($D236,'EITI Revenues'!$C$2:$G$224,5,FALSE),"..")</f>
        <v>4042178.5714285714</v>
      </c>
      <c r="BC236" s="846">
        <f t="shared" si="41"/>
        <v>2.1673105584866435E-2</v>
      </c>
      <c r="BD236" s="129">
        <f>VLOOKUP($D236,'WB Data 2'!$C$2:$K$545,6,FALSE)</f>
        <v>53678294.556385092</v>
      </c>
      <c r="BE236" s="129">
        <f>IFERROR(VLOOKUP($D236,UNCTAD!$C$5:$V$529,4,FALSE),"..")</f>
        <v>218175321.84</v>
      </c>
      <c r="BF236" s="846">
        <f t="shared" si="42"/>
        <v>0.2460328423200418</v>
      </c>
      <c r="BG236" s="117">
        <f>VLOOKUP($D236,'WB Data'!$C$3:$M$578,5,FALSE)</f>
        <v>257279999.99999997</v>
      </c>
      <c r="BH236" s="129">
        <f>IFERROR($BB236/$BG236,"..")</f>
        <v>1.5711204024520257E-2</v>
      </c>
      <c r="BI236" s="117">
        <f>IFERROR(VLOOKUP($D236,'WB Data'!$C$3:$M$578,7,FALSE)/100,"..")</f>
        <v>1.2900199999999999E-2</v>
      </c>
      <c r="BJ236" s="117">
        <f>IFERROR($BI236*$AW236,"..")</f>
        <v>25611673.363057118</v>
      </c>
      <c r="BK236" s="846">
        <f>IFERROR($BB236/$BJ236,"..")</f>
        <v>0.15782563341835779</v>
      </c>
      <c r="BL236" s="117">
        <f>IFERROR(VLOOKUP($D236,'WB Data'!$C$3:$M$578,7,FALSE)/100,"..")</f>
        <v>1.2900199999999999E-2</v>
      </c>
      <c r="BM236" s="117">
        <f>IFERROR($AW236*$BL236,"..")</f>
        <v>25611673.363057118</v>
      </c>
      <c r="BN236" s="846">
        <f>IFERROR($BB236/$BM236,"..")</f>
        <v>0.15782563341835779</v>
      </c>
      <c r="BO236" s="801">
        <f t="shared" si="38"/>
        <v>24</v>
      </c>
      <c r="BP236" s="117">
        <f>VLOOKUP($D236,'WB Data'!$C$3:$M$578,9,FALSE)</f>
        <v>62</v>
      </c>
      <c r="BQ236" s="117">
        <f>VLOOKUP($D236,'WB Data'!$C$3:$M$578,10,FALSE)</f>
        <v>46.729121951219518</v>
      </c>
      <c r="BR236" s="117">
        <f>VLOOKUP($D236,'WB Data'!$C$3:$M$578,11,FALSE)</f>
        <v>106.6</v>
      </c>
      <c r="BS236" s="129">
        <f>IFERROR(VLOOKUP($D236,'WB Data 2'!$C$2:$K$545,9,FALSE),"..")</f>
        <v>67.964089999999999</v>
      </c>
      <c r="BT236" s="129" t="str">
        <f>_xlfn.IFNA(VLOOKUP($C236,RGI!$A$2:$C$43,2,FALSE),"..")</f>
        <v>..</v>
      </c>
      <c r="BU236" s="129" t="str">
        <f>_xlfn.IFNA(VLOOKUP($C236,RGI!$A$2:$C$43,3,FALSE),"..")</f>
        <v>..</v>
      </c>
      <c r="BV236" s="129">
        <f>VLOOKUP($D236,WGI!$C$2:$O$478,7,FALSE)</f>
        <v>-1.0134969403359499</v>
      </c>
      <c r="BW236" s="129">
        <f>VLOOKUP($D236,WGI!$C$2:$O$478,4,FALSE)</f>
        <v>-1.8300974771612499</v>
      </c>
      <c r="BX236" s="129">
        <f>VLOOKUP($D236,WGI!$C$2:$O$478,3,FALSE)</f>
        <v>-1.39840587306251</v>
      </c>
      <c r="BY236" s="129">
        <f>VLOOKUP($D236,WGI!$C$2:$O$478,5,FALSE)</f>
        <v>-1.2167425797851701</v>
      </c>
      <c r="BZ236" s="129">
        <f>VLOOKUP($D236,WGI!$C$2:$O$478,2,FALSE)</f>
        <v>-0.97780164101929401</v>
      </c>
    </row>
    <row r="237" spans="1:80" ht="15" customHeight="1">
      <c r="A237" s="315" t="s">
        <v>133</v>
      </c>
      <c r="B237" s="267">
        <v>2008</v>
      </c>
      <c r="C237" s="267" t="s">
        <v>127</v>
      </c>
      <c r="D237" s="117" t="s">
        <v>3588</v>
      </c>
      <c r="E237" s="316" t="s">
        <v>86</v>
      </c>
      <c r="F237" s="267"/>
      <c r="G237" s="267" t="s">
        <v>24</v>
      </c>
      <c r="H237" s="117" t="str">
        <f t="shared" si="44"/>
        <v>yes</v>
      </c>
      <c r="I237" s="117" t="str">
        <f t="shared" si="45"/>
        <v>no</v>
      </c>
      <c r="J237" s="117" t="str">
        <f t="shared" si="46"/>
        <v>no</v>
      </c>
      <c r="K237" s="268" t="s">
        <v>784</v>
      </c>
      <c r="L237" s="117" t="str">
        <f t="shared" si="37"/>
        <v>detailed</v>
      </c>
      <c r="M237" s="117" t="str">
        <f t="shared" si="47"/>
        <v>detailed Mining</v>
      </c>
      <c r="N237" s="269">
        <f>43*32.150743126506</f>
        <v>1382.4819544397581</v>
      </c>
      <c r="O237" s="269"/>
      <c r="P237" s="269"/>
      <c r="Q237" s="269"/>
      <c r="R237" s="269"/>
      <c r="S237" s="267" t="s">
        <v>785</v>
      </c>
      <c r="T237" s="270">
        <v>871.70725000000004</v>
      </c>
      <c r="U237" s="267" t="s">
        <v>786</v>
      </c>
      <c r="V237" s="267" t="s">
        <v>984</v>
      </c>
      <c r="W237" s="275">
        <f>N237*T237</f>
        <v>1205119.5426793068</v>
      </c>
      <c r="X237" s="267"/>
      <c r="Y237" s="267"/>
      <c r="Z237" s="267"/>
      <c r="AA237" s="271"/>
      <c r="AB237" s="271"/>
      <c r="AC237" s="272"/>
      <c r="AD237" s="272"/>
      <c r="AE237" s="272"/>
      <c r="AF237" s="317"/>
      <c r="AG237" s="267"/>
      <c r="AH237" s="274"/>
      <c r="AI237" s="267"/>
      <c r="AJ237" s="267"/>
      <c r="AK237" s="275"/>
      <c r="AL237" s="267"/>
      <c r="AM237" s="267"/>
      <c r="AN237" s="267"/>
      <c r="AO237" s="267"/>
      <c r="AP237" s="267"/>
      <c r="AQ237" s="267"/>
      <c r="AR237" s="277"/>
      <c r="AS237" s="267"/>
      <c r="AT237" s="267"/>
      <c r="AU237" s="267"/>
      <c r="AV237" s="278"/>
      <c r="AW237" s="117">
        <f>VLOOKUP($D237,'WB Data'!$C$3:$M$578,2,FALSE)</f>
        <v>1985370254.9617152</v>
      </c>
      <c r="AX237" s="117">
        <f>VLOOKUP($D237,'WB Data'!$C$3:$M$578,3,FALSE)</f>
        <v>4185106</v>
      </c>
      <c r="AY237" s="847">
        <f t="shared" si="39"/>
        <v>2.0359822362234991E-3</v>
      </c>
      <c r="AZ237" s="117">
        <f>VLOOKUP($D237,'WB Data'!$C$3:$M$578,4,FALSE)/100</f>
        <v>9.394049358782959E-2</v>
      </c>
      <c r="BA237" s="117">
        <f t="shared" si="40"/>
        <v>186506661.70569861</v>
      </c>
      <c r="BB237" s="129">
        <f>IFERROR(VLOOKUP($D237,'EITI Revenues'!$C$2:$G$224,5,FALSE),"..")</f>
        <v>4042178.5714285714</v>
      </c>
      <c r="BC237" s="846">
        <f t="shared" si="41"/>
        <v>2.1673105584866435E-2</v>
      </c>
      <c r="BD237" s="129">
        <f>VLOOKUP($D237,'WB Data 2'!$C$2:$K$545,6,FALSE)</f>
        <v>53678294.556385092</v>
      </c>
      <c r="BE237" s="129">
        <f>IFERROR(VLOOKUP($D237,UNCTAD!$C$5:$V$529,4,FALSE),"..")</f>
        <v>218175321.84</v>
      </c>
      <c r="BF237" s="846">
        <f t="shared" si="42"/>
        <v>0.2460328423200418</v>
      </c>
      <c r="BG237" s="117">
        <f>VLOOKUP($D237,'WB Data'!$C$3:$M$578,5,FALSE)</f>
        <v>257279999.99999997</v>
      </c>
      <c r="BH237" s="129">
        <f>IFERROR($BB237/$BG237,"..")</f>
        <v>1.5711204024520257E-2</v>
      </c>
      <c r="BI237" s="117">
        <f>IFERROR(VLOOKUP($D237,'WB Data'!$C$3:$M$578,7,FALSE)/100,"..")</f>
        <v>1.2900199999999999E-2</v>
      </c>
      <c r="BJ237" s="117">
        <f>IFERROR($BI237*$AW237,"..")</f>
        <v>25611673.363057118</v>
      </c>
      <c r="BK237" s="846">
        <f>IFERROR($BB237/$BJ237,"..")</f>
        <v>0.15782563341835779</v>
      </c>
      <c r="BL237" s="117">
        <f>IFERROR(VLOOKUP($D237,'WB Data'!$C$3:$M$578,7,FALSE)/100,"..")</f>
        <v>1.2900199999999999E-2</v>
      </c>
      <c r="BM237" s="117">
        <f>IFERROR($AW237*$BL237,"..")</f>
        <v>25611673.363057118</v>
      </c>
      <c r="BN237" s="846">
        <f>IFERROR($BB237/$BM237,"..")</f>
        <v>0.15782563341835779</v>
      </c>
      <c r="BO237" s="801">
        <f t="shared" si="38"/>
        <v>24</v>
      </c>
      <c r="BP237" s="117">
        <f>VLOOKUP($D237,'WB Data'!$C$3:$M$578,9,FALSE)</f>
        <v>62</v>
      </c>
      <c r="BQ237" s="117">
        <f>VLOOKUP($D237,'WB Data'!$C$3:$M$578,10,FALSE)</f>
        <v>46.729121951219518</v>
      </c>
      <c r="BR237" s="117">
        <f>VLOOKUP($D237,'WB Data'!$C$3:$M$578,11,FALSE)</f>
        <v>106.6</v>
      </c>
      <c r="BS237" s="129">
        <f>IFERROR(VLOOKUP($D237,'WB Data 2'!$C$2:$K$545,9,FALSE),"..")</f>
        <v>67.964089999999999</v>
      </c>
      <c r="BT237" s="129" t="str">
        <f>_xlfn.IFNA(VLOOKUP($C237,RGI!$A$2:$C$43,2,FALSE),"..")</f>
        <v>..</v>
      </c>
      <c r="BU237" s="129" t="str">
        <f>_xlfn.IFNA(VLOOKUP($C237,RGI!$A$2:$C$43,3,FALSE),"..")</f>
        <v>..</v>
      </c>
      <c r="BV237" s="129">
        <f>VLOOKUP($D237,WGI!$C$2:$O$478,7,FALSE)</f>
        <v>-1.0134969403359499</v>
      </c>
      <c r="BW237" s="129">
        <f>VLOOKUP($D237,WGI!$C$2:$O$478,4,FALSE)</f>
        <v>-1.8300974771612499</v>
      </c>
      <c r="BX237" s="129">
        <f>VLOOKUP($D237,WGI!$C$2:$O$478,3,FALSE)</f>
        <v>-1.39840587306251</v>
      </c>
      <c r="BY237" s="129">
        <f>VLOOKUP($D237,WGI!$C$2:$O$478,5,FALSE)</f>
        <v>-1.2167425797851701</v>
      </c>
      <c r="BZ237" s="129">
        <f>VLOOKUP($D237,WGI!$C$2:$O$478,2,FALSE)</f>
        <v>-0.97780164101929401</v>
      </c>
    </row>
    <row r="238" spans="1:80" s="144" customFormat="1" ht="15" customHeight="1">
      <c r="A238" s="318" t="s">
        <v>134</v>
      </c>
      <c r="B238" s="319">
        <v>2009</v>
      </c>
      <c r="C238" s="267" t="s">
        <v>127</v>
      </c>
      <c r="D238" s="117" t="s">
        <v>3622</v>
      </c>
      <c r="E238" s="320" t="s">
        <v>86</v>
      </c>
      <c r="F238" s="319" t="s">
        <v>976</v>
      </c>
      <c r="G238" s="319" t="s">
        <v>24</v>
      </c>
      <c r="H238" s="117" t="str">
        <f t="shared" si="44"/>
        <v>yes</v>
      </c>
      <c r="I238" s="117" t="str">
        <f t="shared" si="45"/>
        <v>no</v>
      </c>
      <c r="J238" s="117" t="str">
        <f t="shared" si="46"/>
        <v>no</v>
      </c>
      <c r="K238" s="321" t="s">
        <v>709</v>
      </c>
      <c r="L238" s="117" t="str">
        <f t="shared" si="37"/>
        <v>Total</v>
      </c>
      <c r="M238" s="117" t="str">
        <f t="shared" si="47"/>
        <v>Total Mining</v>
      </c>
      <c r="N238" s="322"/>
      <c r="O238" s="322"/>
      <c r="P238" s="322"/>
      <c r="Q238" s="322"/>
      <c r="R238" s="322"/>
      <c r="S238" s="319"/>
      <c r="T238" s="323"/>
      <c r="U238" s="319"/>
      <c r="V238" s="319"/>
      <c r="W238" s="324">
        <f>SUM(W239:W240)</f>
        <v>48996158.582713328</v>
      </c>
      <c r="X238" s="319" t="s">
        <v>985</v>
      </c>
      <c r="Y238" s="319" t="s">
        <v>602</v>
      </c>
      <c r="Z238" s="319"/>
      <c r="AA238" s="325">
        <v>6056423.7288135597</v>
      </c>
      <c r="AB238" s="325">
        <v>6254457.6271186443</v>
      </c>
      <c r="AC238" s="326"/>
      <c r="AD238" s="326"/>
      <c r="AE238" s="326"/>
      <c r="AF238" s="327">
        <f>AA238/W238</f>
        <v>0.12361017483828556</v>
      </c>
      <c r="AG238" s="319"/>
      <c r="AH238" s="328">
        <v>472</v>
      </c>
      <c r="AI238" s="319" t="s">
        <v>722</v>
      </c>
      <c r="AJ238" s="319"/>
      <c r="AK238" s="324"/>
      <c r="AL238" s="319"/>
      <c r="AM238" s="319"/>
      <c r="AN238" s="319"/>
      <c r="AO238" s="319"/>
      <c r="AP238" s="319">
        <v>9</v>
      </c>
      <c r="AQ238" s="319" t="s">
        <v>131</v>
      </c>
      <c r="AR238" s="329">
        <v>41922</v>
      </c>
      <c r="AS238" s="319" t="s">
        <v>670</v>
      </c>
      <c r="AT238" s="319" t="s">
        <v>990</v>
      </c>
      <c r="AU238" s="319"/>
      <c r="AV238" s="330"/>
      <c r="AW238" s="117">
        <f>VLOOKUP($D238,'WB Data'!$C$3:$M$578,2,FALSE)</f>
        <v>1981728179.4988189</v>
      </c>
      <c r="AX238" s="117">
        <f>VLOOKUP($D238,'WB Data'!$C$3:$M$578,3,FALSE)</f>
        <v>4266247</v>
      </c>
      <c r="AY238" s="847">
        <f t="shared" si="39"/>
        <v>3.0561324158721081E-3</v>
      </c>
      <c r="AZ238" s="117">
        <f>VLOOKUP($D238,'WB Data'!$C$3:$M$578,4,FALSE)/100</f>
        <v>9.4661457671727831E-2</v>
      </c>
      <c r="BA238" s="117">
        <f t="shared" si="40"/>
        <v>187593278.18049771</v>
      </c>
      <c r="BB238" s="129">
        <f>IFERROR(VLOOKUP($D238,'EITI Revenues'!$C$2:$G$224,5,FALSE),"..")</f>
        <v>6056423.7288135597</v>
      </c>
      <c r="BC238" s="846">
        <f t="shared" si="41"/>
        <v>3.228486536168005E-2</v>
      </c>
      <c r="BD238" s="129" t="str">
        <f>VLOOKUP($D238,'WB Data 2'!$C$2:$K$545,6,FALSE)</f>
        <v>..</v>
      </c>
      <c r="BE238" s="129">
        <f>IFERROR(VLOOKUP($D238,UNCTAD!$C$5:$V$529,4,FALSE),"..")</f>
        <v>188696827.09</v>
      </c>
      <c r="BF238" s="846" t="str">
        <f t="shared" si="42"/>
        <v>..</v>
      </c>
      <c r="BG238" s="117">
        <f>VLOOKUP($D238,'WB Data'!$C$3:$M$578,5,FALSE)</f>
        <v>242030000</v>
      </c>
      <c r="BH238" s="129">
        <f>IFERROR($BB238/$BG238,"..")</f>
        <v>2.5023442254322025E-2</v>
      </c>
      <c r="BI238" s="117">
        <f>IFERROR(VLOOKUP($D238,'WB Data'!$C$3:$M$578,7,FALSE)/100,"..")</f>
        <v>1.3035600000000001E-2</v>
      </c>
      <c r="BJ238" s="117">
        <f>IFERROR($BI238*$AW238,"..")</f>
        <v>25833015.856674805</v>
      </c>
      <c r="BK238" s="846">
        <f>IFERROR($BB238/$BJ238,"..")</f>
        <v>0.23444509005125255</v>
      </c>
      <c r="BL238" s="117">
        <f>IFERROR(VLOOKUP($D238,'WB Data'!$C$3:$M$578,7,FALSE)/100,"..")</f>
        <v>1.3035600000000001E-2</v>
      </c>
      <c r="BM238" s="117">
        <f>IFERROR($AW238*$BL238,"..")</f>
        <v>25833015.856674805</v>
      </c>
      <c r="BN238" s="846">
        <f>IFERROR($BB238/$BM238,"..")</f>
        <v>0.23444509005125255</v>
      </c>
      <c r="BO238" s="801">
        <f t="shared" si="38"/>
        <v>24</v>
      </c>
      <c r="BP238" s="117" t="str">
        <f>VLOOKUP($D238,'WB Data'!$C$3:$M$578,9,FALSE)</f>
        <v>..</v>
      </c>
      <c r="BQ238" s="117">
        <f>VLOOKUP($D238,'WB Data'!$C$3:$M$578,10,FALSE)</f>
        <v>47.404926829268305</v>
      </c>
      <c r="BR238" s="117">
        <f>VLOOKUP($D238,'WB Data'!$C$3:$M$578,11,FALSE)</f>
        <v>104.7</v>
      </c>
      <c r="BS238" s="129">
        <f>IFERROR(VLOOKUP($D238,'WB Data 2'!$C$2:$K$545,9,FALSE),"..")</f>
        <v>68.580860000000001</v>
      </c>
      <c r="BT238" s="129" t="str">
        <f>_xlfn.IFNA(VLOOKUP($C238,RGI!$A$2:$C$43,2,FALSE),"..")</f>
        <v>..</v>
      </c>
      <c r="BU238" s="129" t="str">
        <f>_xlfn.IFNA(VLOOKUP($C238,RGI!$A$2:$C$43,3,FALSE),"..")</f>
        <v>..</v>
      </c>
      <c r="BV238" s="129">
        <f>VLOOKUP($D238,WGI!$C$2:$O$478,7,FALSE)</f>
        <v>-1.0063690701110299</v>
      </c>
      <c r="BW238" s="129">
        <f>VLOOKUP($D238,WGI!$C$2:$O$478,4,FALSE)</f>
        <v>-1.8827085057566999</v>
      </c>
      <c r="BX238" s="129">
        <f>VLOOKUP($D238,WGI!$C$2:$O$478,3,FALSE)</f>
        <v>-1.42257862478012</v>
      </c>
      <c r="BY238" s="129">
        <f>VLOOKUP($D238,WGI!$C$2:$O$478,5,FALSE)</f>
        <v>-1.25343581149015</v>
      </c>
      <c r="BZ238" s="129">
        <f>VLOOKUP($D238,WGI!$C$2:$O$478,2,FALSE)</f>
        <v>-0.90743974432085805</v>
      </c>
      <c r="CB238" s="129"/>
    </row>
    <row r="239" spans="1:80" s="120" customFormat="1" ht="15" customHeight="1">
      <c r="A239" s="315" t="s">
        <v>134</v>
      </c>
      <c r="B239" s="267">
        <v>2009</v>
      </c>
      <c r="C239" s="267" t="s">
        <v>127</v>
      </c>
      <c r="D239" s="117" t="s">
        <v>3622</v>
      </c>
      <c r="E239" s="316" t="s">
        <v>86</v>
      </c>
      <c r="F239" s="267"/>
      <c r="G239" s="267" t="s">
        <v>24</v>
      </c>
      <c r="H239" s="117" t="str">
        <f t="shared" si="44"/>
        <v>yes</v>
      </c>
      <c r="I239" s="117" t="str">
        <f t="shared" si="45"/>
        <v>no</v>
      </c>
      <c r="J239" s="117" t="str">
        <f t="shared" si="46"/>
        <v>no</v>
      </c>
      <c r="K239" s="268" t="s">
        <v>980</v>
      </c>
      <c r="L239" s="117" t="str">
        <f t="shared" si="37"/>
        <v>detailed</v>
      </c>
      <c r="M239" s="117" t="str">
        <f t="shared" si="47"/>
        <v>detailed Mining</v>
      </c>
      <c r="N239" s="269">
        <v>311779</v>
      </c>
      <c r="O239" s="269"/>
      <c r="P239" s="269"/>
      <c r="Q239" s="269"/>
      <c r="R239" s="269"/>
      <c r="S239" s="267" t="s">
        <v>981</v>
      </c>
      <c r="T239" s="270">
        <v>151.03</v>
      </c>
      <c r="U239" s="267" t="s">
        <v>982</v>
      </c>
      <c r="V239" s="267" t="s">
        <v>991</v>
      </c>
      <c r="W239" s="275">
        <f>N239*T239</f>
        <v>47087982.369999997</v>
      </c>
      <c r="X239" s="267"/>
      <c r="Y239" s="267"/>
      <c r="Z239" s="267"/>
      <c r="AA239" s="271"/>
      <c r="AB239" s="271"/>
      <c r="AC239" s="272"/>
      <c r="AD239" s="272"/>
      <c r="AE239" s="272"/>
      <c r="AF239" s="317"/>
      <c r="AG239" s="267"/>
      <c r="AH239" s="274"/>
      <c r="AI239" s="267"/>
      <c r="AJ239" s="267"/>
      <c r="AK239" s="275"/>
      <c r="AL239" s="267"/>
      <c r="AM239" s="267"/>
      <c r="AN239" s="267"/>
      <c r="AO239" s="267"/>
      <c r="AP239" s="267"/>
      <c r="AQ239" s="267"/>
      <c r="AR239" s="277"/>
      <c r="AS239" s="267"/>
      <c r="AT239" s="267"/>
      <c r="AU239" s="267"/>
      <c r="AV239" s="278"/>
      <c r="AW239" s="117">
        <f>VLOOKUP($D239,'WB Data'!$C$3:$M$578,2,FALSE)</f>
        <v>1981728179.4988189</v>
      </c>
      <c r="AX239" s="117">
        <f>VLOOKUP($D239,'WB Data'!$C$3:$M$578,3,FALSE)</f>
        <v>4266247</v>
      </c>
      <c r="AY239" s="847">
        <f t="shared" si="39"/>
        <v>3.0561324158721081E-3</v>
      </c>
      <c r="AZ239" s="117">
        <f>VLOOKUP($D239,'WB Data'!$C$3:$M$578,4,FALSE)/100</f>
        <v>9.4661457671727831E-2</v>
      </c>
      <c r="BA239" s="117">
        <f t="shared" si="40"/>
        <v>187593278.18049771</v>
      </c>
      <c r="BB239" s="129">
        <f>IFERROR(VLOOKUP($D239,'EITI Revenues'!$C$2:$G$224,5,FALSE),"..")</f>
        <v>6056423.7288135597</v>
      </c>
      <c r="BC239" s="846">
        <f t="shared" si="41"/>
        <v>3.228486536168005E-2</v>
      </c>
      <c r="BD239" s="129" t="str">
        <f>VLOOKUP($D239,'WB Data 2'!$C$2:$K$545,6,FALSE)</f>
        <v>..</v>
      </c>
      <c r="BE239" s="129">
        <f>IFERROR(VLOOKUP($D239,UNCTAD!$C$5:$V$529,4,FALSE),"..")</f>
        <v>188696827.09</v>
      </c>
      <c r="BF239" s="846" t="str">
        <f t="shared" si="42"/>
        <v>..</v>
      </c>
      <c r="BG239" s="117">
        <f>VLOOKUP($D239,'WB Data'!$C$3:$M$578,5,FALSE)</f>
        <v>242030000</v>
      </c>
      <c r="BH239" s="129">
        <f>IFERROR($BB239/$BG239,"..")</f>
        <v>2.5023442254322025E-2</v>
      </c>
      <c r="BI239" s="117">
        <f>IFERROR(VLOOKUP($D239,'WB Data'!$C$3:$M$578,7,FALSE)/100,"..")</f>
        <v>1.3035600000000001E-2</v>
      </c>
      <c r="BJ239" s="117">
        <f>IFERROR($BI239*$AW239,"..")</f>
        <v>25833015.856674805</v>
      </c>
      <c r="BK239" s="846">
        <f>IFERROR($BB239/$BJ239,"..")</f>
        <v>0.23444509005125255</v>
      </c>
      <c r="BL239" s="117">
        <f>IFERROR(VLOOKUP($D239,'WB Data'!$C$3:$M$578,7,FALSE)/100,"..")</f>
        <v>1.3035600000000001E-2</v>
      </c>
      <c r="BM239" s="117">
        <f>IFERROR($AW239*$BL239,"..")</f>
        <v>25833015.856674805</v>
      </c>
      <c r="BN239" s="846">
        <f>IFERROR($BB239/$BM239,"..")</f>
        <v>0.23444509005125255</v>
      </c>
      <c r="BO239" s="801">
        <f t="shared" si="38"/>
        <v>24</v>
      </c>
      <c r="BP239" s="117" t="str">
        <f>VLOOKUP($D239,'WB Data'!$C$3:$M$578,9,FALSE)</f>
        <v>..</v>
      </c>
      <c r="BQ239" s="117">
        <f>VLOOKUP($D239,'WB Data'!$C$3:$M$578,10,FALSE)</f>
        <v>47.404926829268305</v>
      </c>
      <c r="BR239" s="117">
        <f>VLOOKUP($D239,'WB Data'!$C$3:$M$578,11,FALSE)</f>
        <v>104.7</v>
      </c>
      <c r="BS239" s="129">
        <f>IFERROR(VLOOKUP($D239,'WB Data 2'!$C$2:$K$545,9,FALSE),"..")</f>
        <v>68.580860000000001</v>
      </c>
      <c r="BT239" s="129" t="str">
        <f>_xlfn.IFNA(VLOOKUP($C239,RGI!$A$2:$C$43,2,FALSE),"..")</f>
        <v>..</v>
      </c>
      <c r="BU239" s="129" t="str">
        <f>_xlfn.IFNA(VLOOKUP($C239,RGI!$A$2:$C$43,3,FALSE),"..")</f>
        <v>..</v>
      </c>
      <c r="BV239" s="129">
        <f>VLOOKUP($D239,WGI!$C$2:$O$478,7,FALSE)</f>
        <v>-1.0063690701110299</v>
      </c>
      <c r="BW239" s="129">
        <f>VLOOKUP($D239,WGI!$C$2:$O$478,4,FALSE)</f>
        <v>-1.8827085057566999</v>
      </c>
      <c r="BX239" s="129">
        <f>VLOOKUP($D239,WGI!$C$2:$O$478,3,FALSE)</f>
        <v>-1.42257862478012</v>
      </c>
      <c r="BY239" s="129">
        <f>VLOOKUP($D239,WGI!$C$2:$O$478,5,FALSE)</f>
        <v>-1.25343581149015</v>
      </c>
      <c r="BZ239" s="129">
        <f>VLOOKUP($D239,WGI!$C$2:$O$478,2,FALSE)</f>
        <v>-0.90743974432085805</v>
      </c>
      <c r="CB239" s="129"/>
    </row>
    <row r="240" spans="1:80" s="158" customFormat="1" ht="15" customHeight="1">
      <c r="A240" s="331" t="s">
        <v>134</v>
      </c>
      <c r="B240" s="253">
        <v>2009</v>
      </c>
      <c r="C240" s="267" t="s">
        <v>127</v>
      </c>
      <c r="D240" s="117" t="s">
        <v>3622</v>
      </c>
      <c r="E240" s="332" t="s">
        <v>86</v>
      </c>
      <c r="F240" s="253"/>
      <c r="G240" s="253" t="s">
        <v>24</v>
      </c>
      <c r="H240" s="149" t="str">
        <f t="shared" si="44"/>
        <v>yes</v>
      </c>
      <c r="I240" s="149" t="str">
        <f t="shared" si="45"/>
        <v>no</v>
      </c>
      <c r="J240" s="149" t="str">
        <f t="shared" si="46"/>
        <v>no</v>
      </c>
      <c r="K240" s="254" t="s">
        <v>784</v>
      </c>
      <c r="L240" s="149" t="str">
        <f t="shared" si="37"/>
        <v>detailed</v>
      </c>
      <c r="M240" s="149" t="str">
        <f t="shared" si="47"/>
        <v>detailed Mining</v>
      </c>
      <c r="N240" s="255">
        <f>61*32.150743126506</f>
        <v>1961.195330716866</v>
      </c>
      <c r="O240" s="255"/>
      <c r="P240" s="255"/>
      <c r="Q240" s="255"/>
      <c r="R240" s="255"/>
      <c r="S240" s="253" t="s">
        <v>785</v>
      </c>
      <c r="T240" s="256">
        <v>972.96591666666995</v>
      </c>
      <c r="U240" s="253" t="s">
        <v>786</v>
      </c>
      <c r="V240" s="253" t="s">
        <v>787</v>
      </c>
      <c r="W240" s="257">
        <f>N240*T240</f>
        <v>1908176.2127133284</v>
      </c>
      <c r="X240" s="253"/>
      <c r="Y240" s="253"/>
      <c r="Z240" s="253"/>
      <c r="AA240" s="258"/>
      <c r="AB240" s="258"/>
      <c r="AC240" s="259"/>
      <c r="AD240" s="259"/>
      <c r="AE240" s="259"/>
      <c r="AF240" s="333"/>
      <c r="AG240" s="253"/>
      <c r="AH240" s="261"/>
      <c r="AI240" s="253"/>
      <c r="AJ240" s="253"/>
      <c r="AK240" s="257"/>
      <c r="AL240" s="253"/>
      <c r="AM240" s="253"/>
      <c r="AN240" s="253"/>
      <c r="AO240" s="253"/>
      <c r="AP240" s="253"/>
      <c r="AQ240" s="253"/>
      <c r="AR240" s="263"/>
      <c r="AS240" s="253"/>
      <c r="AT240" s="253"/>
      <c r="AU240" s="253"/>
      <c r="AV240" s="265"/>
      <c r="AW240" s="117">
        <f>VLOOKUP($D240,'WB Data'!$C$3:$M$578,2,FALSE)</f>
        <v>1981728179.4988189</v>
      </c>
      <c r="AX240" s="117">
        <f>VLOOKUP($D240,'WB Data'!$C$3:$M$578,3,FALSE)</f>
        <v>4266247</v>
      </c>
      <c r="AY240" s="847">
        <f t="shared" si="39"/>
        <v>3.0561324158721081E-3</v>
      </c>
      <c r="AZ240" s="117">
        <f>VLOOKUP($D240,'WB Data'!$C$3:$M$578,4,FALSE)/100</f>
        <v>9.4661457671727831E-2</v>
      </c>
      <c r="BA240" s="117">
        <f t="shared" si="40"/>
        <v>187593278.18049771</v>
      </c>
      <c r="BB240" s="129">
        <f>IFERROR(VLOOKUP($D240,'EITI Revenues'!$C$2:$G$224,5,FALSE),"..")</f>
        <v>6056423.7288135597</v>
      </c>
      <c r="BC240" s="846">
        <f t="shared" si="41"/>
        <v>3.228486536168005E-2</v>
      </c>
      <c r="BD240" s="129" t="str">
        <f>VLOOKUP($D240,'WB Data 2'!$C$2:$K$545,6,FALSE)</f>
        <v>..</v>
      </c>
      <c r="BE240" s="129">
        <f>IFERROR(VLOOKUP($D240,UNCTAD!$C$5:$V$529,4,FALSE),"..")</f>
        <v>188696827.09</v>
      </c>
      <c r="BF240" s="846" t="str">
        <f t="shared" si="42"/>
        <v>..</v>
      </c>
      <c r="BG240" s="117">
        <f>VLOOKUP($D240,'WB Data'!$C$3:$M$578,5,FALSE)</f>
        <v>242030000</v>
      </c>
      <c r="BH240" s="129">
        <f>IFERROR($BB240/$BG240,"..")</f>
        <v>2.5023442254322025E-2</v>
      </c>
      <c r="BI240" s="117">
        <f>IFERROR(VLOOKUP($D240,'WB Data'!$C$3:$M$578,7,FALSE)/100,"..")</f>
        <v>1.3035600000000001E-2</v>
      </c>
      <c r="BJ240" s="117">
        <f>IFERROR($BI240*$AW240,"..")</f>
        <v>25833015.856674805</v>
      </c>
      <c r="BK240" s="846">
        <f>IFERROR($BB240/$BJ240,"..")</f>
        <v>0.23444509005125255</v>
      </c>
      <c r="BL240" s="117">
        <f>IFERROR(VLOOKUP($D240,'WB Data'!$C$3:$M$578,7,FALSE)/100,"..")</f>
        <v>1.3035600000000001E-2</v>
      </c>
      <c r="BM240" s="117">
        <f>IFERROR($AW240*$BL240,"..")</f>
        <v>25833015.856674805</v>
      </c>
      <c r="BN240" s="846">
        <f>IFERROR($BB240/$BM240,"..")</f>
        <v>0.23444509005125255</v>
      </c>
      <c r="BO240" s="801">
        <f t="shared" si="38"/>
        <v>24</v>
      </c>
      <c r="BP240" s="117" t="str">
        <f>VLOOKUP($D240,'WB Data'!$C$3:$M$578,9,FALSE)</f>
        <v>..</v>
      </c>
      <c r="BQ240" s="117">
        <f>VLOOKUP($D240,'WB Data'!$C$3:$M$578,10,FALSE)</f>
        <v>47.404926829268305</v>
      </c>
      <c r="BR240" s="117">
        <f>VLOOKUP($D240,'WB Data'!$C$3:$M$578,11,FALSE)</f>
        <v>104.7</v>
      </c>
      <c r="BS240" s="129">
        <f>IFERROR(VLOOKUP($D240,'WB Data 2'!$C$2:$K$545,9,FALSE),"..")</f>
        <v>68.580860000000001</v>
      </c>
      <c r="BT240" s="129" t="str">
        <f>_xlfn.IFNA(VLOOKUP($C240,RGI!$A$2:$C$43,2,FALSE),"..")</f>
        <v>..</v>
      </c>
      <c r="BU240" s="129" t="str">
        <f>_xlfn.IFNA(VLOOKUP($C240,RGI!$A$2:$C$43,3,FALSE),"..")</f>
        <v>..</v>
      </c>
      <c r="BV240" s="129">
        <f>VLOOKUP($D240,WGI!$C$2:$O$478,7,FALSE)</f>
        <v>-1.0063690701110299</v>
      </c>
      <c r="BW240" s="129">
        <f>VLOOKUP($D240,WGI!$C$2:$O$478,4,FALSE)</f>
        <v>-1.8827085057566999</v>
      </c>
      <c r="BX240" s="129">
        <f>VLOOKUP($D240,WGI!$C$2:$O$478,3,FALSE)</f>
        <v>-1.42257862478012</v>
      </c>
      <c r="BY240" s="129">
        <f>VLOOKUP($D240,WGI!$C$2:$O$478,5,FALSE)</f>
        <v>-1.25343581149015</v>
      </c>
      <c r="BZ240" s="129">
        <f>VLOOKUP($D240,WGI!$C$2:$O$478,2,FALSE)</f>
        <v>-0.90743974432085805</v>
      </c>
      <c r="CB240" s="129"/>
    </row>
    <row r="241" spans="1:80" ht="15" customHeight="1">
      <c r="A241" s="294" t="s">
        <v>135</v>
      </c>
      <c r="B241" s="117">
        <v>2010</v>
      </c>
      <c r="C241" s="117" t="s">
        <v>127</v>
      </c>
      <c r="D241" s="117" t="s">
        <v>3656</v>
      </c>
      <c r="E241" s="174" t="s">
        <v>86</v>
      </c>
      <c r="F241" s="117" t="s">
        <v>976</v>
      </c>
      <c r="G241" s="117" t="s">
        <v>24</v>
      </c>
      <c r="H241" s="117" t="str">
        <f t="shared" si="44"/>
        <v>yes</v>
      </c>
      <c r="I241" s="117" t="str">
        <f t="shared" si="45"/>
        <v>no</v>
      </c>
      <c r="J241" s="117" t="str">
        <f t="shared" si="46"/>
        <v>no</v>
      </c>
      <c r="K241" s="176" t="s">
        <v>709</v>
      </c>
      <c r="L241" s="117" t="str">
        <f t="shared" si="37"/>
        <v>Total</v>
      </c>
      <c r="M241" s="117" t="str">
        <f t="shared" si="47"/>
        <v>Total Mining</v>
      </c>
      <c r="N241" s="179"/>
      <c r="O241" s="179"/>
      <c r="P241" s="179"/>
      <c r="Q241" s="179"/>
      <c r="R241" s="179"/>
      <c r="S241" s="117"/>
      <c r="T241" s="119"/>
      <c r="U241" s="117"/>
      <c r="V241" s="117"/>
      <c r="W241" s="89">
        <f>SUM(W242:W243)</f>
        <v>51253868.353077903</v>
      </c>
      <c r="X241" s="117" t="s">
        <v>601</v>
      </c>
      <c r="Y241" s="117" t="s">
        <v>602</v>
      </c>
      <c r="Z241" s="117"/>
      <c r="AA241" s="335">
        <v>20633575</v>
      </c>
      <c r="AB241" s="177">
        <v>20380882</v>
      </c>
      <c r="AC241" s="122"/>
      <c r="AD241" s="122"/>
      <c r="AE241" s="122"/>
      <c r="AF241" s="123">
        <f>AA241/W241</f>
        <v>0.4025759550061534</v>
      </c>
      <c r="AG241" s="117" t="s">
        <v>864</v>
      </c>
      <c r="AH241" s="124" t="s">
        <v>865</v>
      </c>
      <c r="AI241" s="117" t="s">
        <v>722</v>
      </c>
      <c r="AJ241" s="117"/>
      <c r="AK241" s="89"/>
      <c r="AL241" s="117"/>
      <c r="AM241" s="117"/>
      <c r="AN241" s="117">
        <v>11</v>
      </c>
      <c r="AO241" s="117" t="s">
        <v>992</v>
      </c>
      <c r="AP241" s="117">
        <v>8</v>
      </c>
      <c r="AQ241" s="117" t="s">
        <v>44</v>
      </c>
      <c r="AR241" s="126">
        <v>41943</v>
      </c>
      <c r="AS241" s="117" t="s">
        <v>670</v>
      </c>
      <c r="AT241" s="117" t="s">
        <v>993</v>
      </c>
      <c r="AU241" s="117" t="s">
        <v>693</v>
      </c>
      <c r="AV241" s="128" t="s">
        <v>994</v>
      </c>
      <c r="AW241" s="117">
        <f>VLOOKUP($D241,'WB Data'!$C$3:$M$578,2,FALSE)</f>
        <v>1986014759.1978452</v>
      </c>
      <c r="AX241" s="117">
        <f>VLOOKUP($D241,'WB Data'!$C$3:$M$578,3,FALSE)</f>
        <v>4349921</v>
      </c>
      <c r="AY241" s="847">
        <f t="shared" si="39"/>
        <v>1.038943688834112E-2</v>
      </c>
      <c r="AZ241" s="117">
        <f>VLOOKUP($D241,'WB Data'!$C$3:$M$578,4,FALSE)/100</f>
        <v>9.9236488854090157E-2</v>
      </c>
      <c r="BA241" s="117">
        <f t="shared" si="40"/>
        <v>197085131.51519552</v>
      </c>
      <c r="BB241" s="129">
        <f>IFERROR(VLOOKUP($D241,'EITI Revenues'!$C$2:$G$224,5,FALSE),"..")</f>
        <v>20633575</v>
      </c>
      <c r="BC241" s="846">
        <f t="shared" si="41"/>
        <v>0.10469371708240266</v>
      </c>
      <c r="BD241" s="129" t="str">
        <f>VLOOKUP($D241,'WB Data 2'!$C$2:$K$545,6,FALSE)</f>
        <v>..</v>
      </c>
      <c r="BE241" s="129">
        <f>IFERROR(VLOOKUP($D241,UNCTAD!$C$5:$V$529,4,FALSE),"..")</f>
        <v>210993040.25</v>
      </c>
      <c r="BF241" s="846" t="str">
        <f t="shared" si="42"/>
        <v>..</v>
      </c>
      <c r="BG241" s="117">
        <f>VLOOKUP($D241,'WB Data'!$C$3:$M$578,5,FALSE)</f>
        <v>261010000</v>
      </c>
      <c r="BH241" s="129">
        <f>IFERROR($BB241/$BG241,"..")</f>
        <v>7.90528140684265E-2</v>
      </c>
      <c r="BI241" s="117">
        <f>IFERROR(VLOOKUP($D241,'WB Data'!$C$3:$M$578,7,FALSE)/100,"..")</f>
        <v>1.2045500000000001E-2</v>
      </c>
      <c r="BJ241" s="117">
        <f>IFERROR($BI241*$AW241,"..")</f>
        <v>23922540.781917647</v>
      </c>
      <c r="BK241" s="846">
        <f>IFERROR($BB241/$BJ241,"..")</f>
        <v>0.86251603406592658</v>
      </c>
      <c r="BL241" s="117">
        <f>IFERROR(VLOOKUP($D241,'WB Data'!$C$3:$M$578,7,FALSE)/100,"..")</f>
        <v>1.2045500000000001E-2</v>
      </c>
      <c r="BM241" s="117">
        <f>IFERROR($AW241*$BL241,"..")</f>
        <v>23922540.781917647</v>
      </c>
      <c r="BN241" s="846">
        <f>IFERROR($BB241/$BM241,"..")</f>
        <v>0.86251603406592658</v>
      </c>
      <c r="BO241" s="801">
        <f t="shared" si="38"/>
        <v>24</v>
      </c>
      <c r="BP241" s="117" t="str">
        <f>VLOOKUP($D241,'WB Data'!$C$3:$M$578,9,FALSE)</f>
        <v>..</v>
      </c>
      <c r="BQ241" s="117">
        <f>VLOOKUP($D241,'WB Data'!$C$3:$M$578,10,FALSE)</f>
        <v>48.098731707317079</v>
      </c>
      <c r="BR241" s="117">
        <f>VLOOKUP($D241,'WB Data'!$C$3:$M$578,11,FALSE)</f>
        <v>102.7</v>
      </c>
      <c r="BS241" s="129">
        <f>IFERROR(VLOOKUP($D241,'WB Data 2'!$C$2:$K$545,9,FALSE),"..")</f>
        <v>71.136049999999997</v>
      </c>
      <c r="BT241" s="129" t="str">
        <f>_xlfn.IFNA(VLOOKUP($C241,RGI!$A$2:$C$43,2,FALSE),"..")</f>
        <v>..</v>
      </c>
      <c r="BU241" s="129" t="str">
        <f>_xlfn.IFNA(VLOOKUP($C241,RGI!$A$2:$C$43,3,FALSE),"..")</f>
        <v>..</v>
      </c>
      <c r="BV241" s="129">
        <f>VLOOKUP($D241,WGI!$C$2:$O$478,7,FALSE)</f>
        <v>-1.1234595341889699</v>
      </c>
      <c r="BW241" s="129">
        <f>VLOOKUP($D241,WGI!$C$2:$O$478,4,FALSE)</f>
        <v>-2.01191097721741</v>
      </c>
      <c r="BX241" s="129">
        <f>VLOOKUP($D241,WGI!$C$2:$O$478,3,FALSE)</f>
        <v>-1.39027354989652</v>
      </c>
      <c r="BY241" s="129">
        <f>VLOOKUP($D241,WGI!$C$2:$O$478,5,FALSE)</f>
        <v>-1.15169270004266</v>
      </c>
      <c r="BZ241" s="129">
        <f>VLOOKUP($D241,WGI!$C$2:$O$478,2,FALSE)</f>
        <v>-0.83611629178666902</v>
      </c>
    </row>
    <row r="242" spans="1:80" ht="15" customHeight="1">
      <c r="A242" s="294" t="s">
        <v>135</v>
      </c>
      <c r="B242" s="117">
        <v>2010</v>
      </c>
      <c r="C242" s="117" t="s">
        <v>127</v>
      </c>
      <c r="D242" s="117" t="s">
        <v>3656</v>
      </c>
      <c r="E242" s="174" t="s">
        <v>86</v>
      </c>
      <c r="F242" s="117"/>
      <c r="G242" s="117" t="s">
        <v>24</v>
      </c>
      <c r="H242" s="117" t="str">
        <f t="shared" si="44"/>
        <v>yes</v>
      </c>
      <c r="I242" s="117" t="str">
        <f t="shared" si="45"/>
        <v>no</v>
      </c>
      <c r="J242" s="117" t="str">
        <f t="shared" si="46"/>
        <v>no</v>
      </c>
      <c r="K242" s="176" t="s">
        <v>980</v>
      </c>
      <c r="L242" s="117" t="str">
        <f t="shared" si="37"/>
        <v>detailed</v>
      </c>
      <c r="M242" s="117" t="str">
        <f t="shared" si="47"/>
        <v>detailed Mining</v>
      </c>
      <c r="N242" s="179">
        <v>301557</v>
      </c>
      <c r="O242" s="179"/>
      <c r="P242" s="179"/>
      <c r="Q242" s="179"/>
      <c r="R242" s="179"/>
      <c r="S242" s="117" t="s">
        <v>981</v>
      </c>
      <c r="T242" s="119">
        <v>162.13</v>
      </c>
      <c r="U242" s="117" t="s">
        <v>982</v>
      </c>
      <c r="V242" s="117" t="s">
        <v>995</v>
      </c>
      <c r="W242" s="89">
        <f>N242*T242</f>
        <v>48891436.409999996</v>
      </c>
      <c r="X242" s="117"/>
      <c r="Y242" s="117"/>
      <c r="Z242" s="117"/>
      <c r="AA242" s="177"/>
      <c r="AB242" s="177"/>
      <c r="AC242" s="122"/>
      <c r="AD242" s="122"/>
      <c r="AE242" s="122"/>
      <c r="AF242" s="123"/>
      <c r="AG242" s="117"/>
      <c r="AH242" s="124"/>
      <c r="AI242" s="117"/>
      <c r="AJ242" s="117"/>
      <c r="AK242" s="89"/>
      <c r="AL242" s="117"/>
      <c r="AM242" s="117"/>
      <c r="AN242" s="117"/>
      <c r="AO242" s="117"/>
      <c r="AP242" s="117"/>
      <c r="AQ242" s="117"/>
      <c r="AR242" s="126"/>
      <c r="AS242" s="117"/>
      <c r="AT242" s="117"/>
      <c r="AU242" s="117"/>
      <c r="AV242" s="128"/>
      <c r="AW242" s="117">
        <f>VLOOKUP($D242,'WB Data'!$C$3:$M$578,2,FALSE)</f>
        <v>1986014759.1978452</v>
      </c>
      <c r="AX242" s="117">
        <f>VLOOKUP($D242,'WB Data'!$C$3:$M$578,3,FALSE)</f>
        <v>4349921</v>
      </c>
      <c r="AY242" s="847">
        <f t="shared" si="39"/>
        <v>1.038943688834112E-2</v>
      </c>
      <c r="AZ242" s="117">
        <f>VLOOKUP($D242,'WB Data'!$C$3:$M$578,4,FALSE)/100</f>
        <v>9.9236488854090157E-2</v>
      </c>
      <c r="BA242" s="117">
        <f t="shared" si="40"/>
        <v>197085131.51519552</v>
      </c>
      <c r="BB242" s="129">
        <f>IFERROR(VLOOKUP($D242,'EITI Revenues'!$C$2:$G$224,5,FALSE),"..")</f>
        <v>20633575</v>
      </c>
      <c r="BC242" s="846">
        <f t="shared" si="41"/>
        <v>0.10469371708240266</v>
      </c>
      <c r="BD242" s="129" t="str">
        <f>VLOOKUP($D242,'WB Data 2'!$C$2:$K$545,6,FALSE)</f>
        <v>..</v>
      </c>
      <c r="BE242" s="129">
        <f>IFERROR(VLOOKUP($D242,UNCTAD!$C$5:$V$529,4,FALSE),"..")</f>
        <v>210993040.25</v>
      </c>
      <c r="BF242" s="846" t="str">
        <f t="shared" si="42"/>
        <v>..</v>
      </c>
      <c r="BG242" s="117">
        <f>VLOOKUP($D242,'WB Data'!$C$3:$M$578,5,FALSE)</f>
        <v>261010000</v>
      </c>
      <c r="BH242" s="129">
        <f>IFERROR($BB242/$BG242,"..")</f>
        <v>7.90528140684265E-2</v>
      </c>
      <c r="BI242" s="117">
        <f>IFERROR(VLOOKUP($D242,'WB Data'!$C$3:$M$578,7,FALSE)/100,"..")</f>
        <v>1.2045500000000001E-2</v>
      </c>
      <c r="BJ242" s="117">
        <f>IFERROR($BI242*$AW242,"..")</f>
        <v>23922540.781917647</v>
      </c>
      <c r="BK242" s="846">
        <f>IFERROR($BB242/$BJ242,"..")</f>
        <v>0.86251603406592658</v>
      </c>
      <c r="BL242" s="117">
        <f>IFERROR(VLOOKUP($D242,'WB Data'!$C$3:$M$578,7,FALSE)/100,"..")</f>
        <v>1.2045500000000001E-2</v>
      </c>
      <c r="BM242" s="117">
        <f>IFERROR($AW242*$BL242,"..")</f>
        <v>23922540.781917647</v>
      </c>
      <c r="BN242" s="846">
        <f>IFERROR($BB242/$BM242,"..")</f>
        <v>0.86251603406592658</v>
      </c>
      <c r="BO242" s="801">
        <f t="shared" si="38"/>
        <v>24</v>
      </c>
      <c r="BP242" s="117" t="str">
        <f>VLOOKUP($D242,'WB Data'!$C$3:$M$578,9,FALSE)</f>
        <v>..</v>
      </c>
      <c r="BQ242" s="117">
        <f>VLOOKUP($D242,'WB Data'!$C$3:$M$578,10,FALSE)</f>
        <v>48.098731707317079</v>
      </c>
      <c r="BR242" s="117">
        <f>VLOOKUP($D242,'WB Data'!$C$3:$M$578,11,FALSE)</f>
        <v>102.7</v>
      </c>
      <c r="BS242" s="129">
        <f>IFERROR(VLOOKUP($D242,'WB Data 2'!$C$2:$K$545,9,FALSE),"..")</f>
        <v>71.136049999999997</v>
      </c>
      <c r="BT242" s="129" t="str">
        <f>_xlfn.IFNA(VLOOKUP($C242,RGI!$A$2:$C$43,2,FALSE),"..")</f>
        <v>..</v>
      </c>
      <c r="BU242" s="129" t="str">
        <f>_xlfn.IFNA(VLOOKUP($C242,RGI!$A$2:$C$43,3,FALSE),"..")</f>
        <v>..</v>
      </c>
      <c r="BV242" s="129">
        <f>VLOOKUP($D242,WGI!$C$2:$O$478,7,FALSE)</f>
        <v>-1.1234595341889699</v>
      </c>
      <c r="BW242" s="129">
        <f>VLOOKUP($D242,WGI!$C$2:$O$478,4,FALSE)</f>
        <v>-2.01191097721741</v>
      </c>
      <c r="BX242" s="129">
        <f>VLOOKUP($D242,WGI!$C$2:$O$478,3,FALSE)</f>
        <v>-1.39027354989652</v>
      </c>
      <c r="BY242" s="129">
        <f>VLOOKUP($D242,WGI!$C$2:$O$478,5,FALSE)</f>
        <v>-1.15169270004266</v>
      </c>
      <c r="BZ242" s="129">
        <f>VLOOKUP($D242,WGI!$C$2:$O$478,2,FALSE)</f>
        <v>-0.83611629178666902</v>
      </c>
    </row>
    <row r="243" spans="1:80" ht="15" customHeight="1" thickBot="1">
      <c r="A243" s="294" t="s">
        <v>135</v>
      </c>
      <c r="B243" s="117">
        <v>2010</v>
      </c>
      <c r="C243" s="117" t="s">
        <v>127</v>
      </c>
      <c r="D243" s="117" t="s">
        <v>3656</v>
      </c>
      <c r="E243" s="174" t="s">
        <v>86</v>
      </c>
      <c r="F243" s="117"/>
      <c r="G243" s="117" t="s">
        <v>24</v>
      </c>
      <c r="H243" s="117" t="str">
        <f t="shared" si="44"/>
        <v>yes</v>
      </c>
      <c r="I243" s="117" t="str">
        <f t="shared" si="45"/>
        <v>no</v>
      </c>
      <c r="J243" s="117" t="str">
        <f t="shared" si="46"/>
        <v>no</v>
      </c>
      <c r="K243" s="176" t="s">
        <v>784</v>
      </c>
      <c r="L243" s="117" t="str">
        <f t="shared" si="37"/>
        <v>detailed</v>
      </c>
      <c r="M243" s="117" t="str">
        <f t="shared" si="47"/>
        <v>detailed Mining</v>
      </c>
      <c r="N243" s="179">
        <f>60*32.150743126506</f>
        <v>1929.0445875903602</v>
      </c>
      <c r="O243" s="179"/>
      <c r="P243" s="179"/>
      <c r="Q243" s="179"/>
      <c r="R243" s="179"/>
      <c r="S243" s="117" t="s">
        <v>785</v>
      </c>
      <c r="T243" s="119">
        <v>1224.66425</v>
      </c>
      <c r="U243" s="117" t="s">
        <v>786</v>
      </c>
      <c r="V243" s="117" t="s">
        <v>787</v>
      </c>
      <c r="W243" s="89">
        <f>N243*T243</f>
        <v>2362431.9430779079</v>
      </c>
      <c r="X243" s="117"/>
      <c r="Y243" s="117"/>
      <c r="Z243" s="117"/>
      <c r="AA243" s="177"/>
      <c r="AB243" s="177"/>
      <c r="AC243" s="122"/>
      <c r="AD243" s="122"/>
      <c r="AE243" s="122"/>
      <c r="AF243" s="123"/>
      <c r="AG243" s="117"/>
      <c r="AH243" s="124"/>
      <c r="AI243" s="117"/>
      <c r="AJ243" s="117"/>
      <c r="AK243" s="89"/>
      <c r="AL243" s="117"/>
      <c r="AM243" s="117"/>
      <c r="AN243" s="117"/>
      <c r="AO243" s="117"/>
      <c r="AP243" s="117"/>
      <c r="AQ243" s="117"/>
      <c r="AR243" s="126"/>
      <c r="AS243" s="117"/>
      <c r="AT243" s="117"/>
      <c r="AU243" s="117"/>
      <c r="AV243" s="128"/>
      <c r="AW243" s="117">
        <f>VLOOKUP($D243,'WB Data'!$C$3:$M$578,2,FALSE)</f>
        <v>1986014759.1978452</v>
      </c>
      <c r="AX243" s="117">
        <f>VLOOKUP($D243,'WB Data'!$C$3:$M$578,3,FALSE)</f>
        <v>4349921</v>
      </c>
      <c r="AY243" s="847">
        <f t="shared" si="39"/>
        <v>1.038943688834112E-2</v>
      </c>
      <c r="AZ243" s="117">
        <f>VLOOKUP($D243,'WB Data'!$C$3:$M$578,4,FALSE)/100</f>
        <v>9.9236488854090157E-2</v>
      </c>
      <c r="BA243" s="117">
        <f t="shared" si="40"/>
        <v>197085131.51519552</v>
      </c>
      <c r="BB243" s="129">
        <f>IFERROR(VLOOKUP($D243,'EITI Revenues'!$C$2:$G$224,5,FALSE),"..")</f>
        <v>20633575</v>
      </c>
      <c r="BC243" s="846">
        <f t="shared" si="41"/>
        <v>0.10469371708240266</v>
      </c>
      <c r="BD243" s="129" t="str">
        <f>VLOOKUP($D243,'WB Data 2'!$C$2:$K$545,6,FALSE)</f>
        <v>..</v>
      </c>
      <c r="BE243" s="129">
        <f>IFERROR(VLOOKUP($D243,UNCTAD!$C$5:$V$529,4,FALSE),"..")</f>
        <v>210993040.25</v>
      </c>
      <c r="BF243" s="846" t="str">
        <f t="shared" si="42"/>
        <v>..</v>
      </c>
      <c r="BG243" s="117">
        <f>VLOOKUP($D243,'WB Data'!$C$3:$M$578,5,FALSE)</f>
        <v>261010000</v>
      </c>
      <c r="BH243" s="129">
        <f>IFERROR($BB243/$BG243,"..")</f>
        <v>7.90528140684265E-2</v>
      </c>
      <c r="BI243" s="117">
        <f>IFERROR(VLOOKUP($D243,'WB Data'!$C$3:$M$578,7,FALSE)/100,"..")</f>
        <v>1.2045500000000001E-2</v>
      </c>
      <c r="BJ243" s="117">
        <f>IFERROR($BI243*$AW243,"..")</f>
        <v>23922540.781917647</v>
      </c>
      <c r="BK243" s="846">
        <f>IFERROR($BB243/$BJ243,"..")</f>
        <v>0.86251603406592658</v>
      </c>
      <c r="BL243" s="117">
        <f>IFERROR(VLOOKUP($D243,'WB Data'!$C$3:$M$578,7,FALSE)/100,"..")</f>
        <v>1.2045500000000001E-2</v>
      </c>
      <c r="BM243" s="117">
        <f>IFERROR($AW243*$BL243,"..")</f>
        <v>23922540.781917647</v>
      </c>
      <c r="BN243" s="846">
        <f>IFERROR($BB243/$BM243,"..")</f>
        <v>0.86251603406592658</v>
      </c>
      <c r="BO243" s="801">
        <f t="shared" si="38"/>
        <v>24</v>
      </c>
      <c r="BP243" s="117" t="str">
        <f>VLOOKUP($D243,'WB Data'!$C$3:$M$578,9,FALSE)</f>
        <v>..</v>
      </c>
      <c r="BQ243" s="117">
        <f>VLOOKUP($D243,'WB Data'!$C$3:$M$578,10,FALSE)</f>
        <v>48.098731707317079</v>
      </c>
      <c r="BR243" s="117">
        <f>VLOOKUP($D243,'WB Data'!$C$3:$M$578,11,FALSE)</f>
        <v>102.7</v>
      </c>
      <c r="BS243" s="129">
        <f>IFERROR(VLOOKUP($D243,'WB Data 2'!$C$2:$K$545,9,FALSE),"..")</f>
        <v>71.136049999999997</v>
      </c>
      <c r="BT243" s="129" t="str">
        <f>_xlfn.IFNA(VLOOKUP($C243,RGI!$A$2:$C$43,2,FALSE),"..")</f>
        <v>..</v>
      </c>
      <c r="BU243" s="129" t="str">
        <f>_xlfn.IFNA(VLOOKUP($C243,RGI!$A$2:$C$43,3,FALSE),"..")</f>
        <v>..</v>
      </c>
      <c r="BV243" s="129">
        <f>VLOOKUP($D243,WGI!$C$2:$O$478,7,FALSE)</f>
        <v>-1.1234595341889699</v>
      </c>
      <c r="BW243" s="129">
        <f>VLOOKUP($D243,WGI!$C$2:$O$478,4,FALSE)</f>
        <v>-2.01191097721741</v>
      </c>
      <c r="BX243" s="129">
        <f>VLOOKUP($D243,WGI!$C$2:$O$478,3,FALSE)</f>
        <v>-1.39027354989652</v>
      </c>
      <c r="BY243" s="129">
        <f>VLOOKUP($D243,WGI!$C$2:$O$478,5,FALSE)</f>
        <v>-1.15169270004266</v>
      </c>
      <c r="BZ243" s="129">
        <f>VLOOKUP($D243,WGI!$C$2:$O$478,2,FALSE)</f>
        <v>-0.83611629178666902</v>
      </c>
    </row>
    <row r="244" spans="1:80" s="210" customFormat="1" ht="15" customHeight="1" thickBot="1">
      <c r="A244" s="336" t="s">
        <v>137</v>
      </c>
      <c r="B244" s="175">
        <v>2007</v>
      </c>
      <c r="C244" s="117" t="s">
        <v>138</v>
      </c>
      <c r="D244" s="117" t="s">
        <v>3555</v>
      </c>
      <c r="E244" s="195" t="s">
        <v>86</v>
      </c>
      <c r="F244" s="175" t="s">
        <v>997</v>
      </c>
      <c r="G244" s="175" t="s">
        <v>41</v>
      </c>
      <c r="H244" s="117" t="str">
        <f t="shared" si="44"/>
        <v>yes</v>
      </c>
      <c r="I244" s="117" t="str">
        <f t="shared" si="45"/>
        <v>no</v>
      </c>
      <c r="J244" s="117" t="str">
        <f t="shared" si="46"/>
        <v>yes</v>
      </c>
      <c r="K244" s="196" t="s">
        <v>709</v>
      </c>
      <c r="L244" s="117" t="str">
        <f t="shared" si="37"/>
        <v>Total</v>
      </c>
      <c r="M244" s="117" t="str">
        <f t="shared" si="47"/>
        <v>Total Oil, Mining</v>
      </c>
      <c r="N244" s="337"/>
      <c r="O244" s="337"/>
      <c r="P244" s="337"/>
      <c r="Q244" s="337"/>
      <c r="R244" s="337"/>
      <c r="S244" s="175"/>
      <c r="T244" s="198"/>
      <c r="U244" s="175"/>
      <c r="V244" s="175"/>
      <c r="W244" s="199">
        <f>W245+W246</f>
        <v>3777152243.2259998</v>
      </c>
      <c r="X244" s="175" t="s">
        <v>998</v>
      </c>
      <c r="Y244" s="175" t="s">
        <v>602</v>
      </c>
      <c r="Z244" s="175"/>
      <c r="AA244" s="292">
        <v>1183293262</v>
      </c>
      <c r="AB244" s="292">
        <v>1213159503</v>
      </c>
      <c r="AC244" s="338"/>
      <c r="AD244" s="338"/>
      <c r="AE244" s="338"/>
      <c r="AF244" s="339">
        <f t="shared" ref="AF244:AF254" si="48">AA244/W244</f>
        <v>0.31327656017099537</v>
      </c>
      <c r="AG244" s="175" t="s">
        <v>864</v>
      </c>
      <c r="AH244" s="204" t="s">
        <v>865</v>
      </c>
      <c r="AI244" s="175" t="s">
        <v>667</v>
      </c>
      <c r="AJ244" s="175"/>
      <c r="AK244" s="199"/>
      <c r="AL244" s="175" t="s">
        <v>999</v>
      </c>
      <c r="AM244" s="292">
        <v>1460000</v>
      </c>
      <c r="AN244" s="175">
        <v>8</v>
      </c>
      <c r="AO244" s="175" t="s">
        <v>1000</v>
      </c>
      <c r="AP244" s="175">
        <v>8</v>
      </c>
      <c r="AQ244" s="175" t="s">
        <v>31</v>
      </c>
      <c r="AR244" s="206">
        <v>41943</v>
      </c>
      <c r="AS244" s="175" t="s">
        <v>670</v>
      </c>
      <c r="AT244" s="175" t="s">
        <v>139</v>
      </c>
      <c r="AU244" s="175" t="s">
        <v>1001</v>
      </c>
      <c r="AV244" s="209" t="s">
        <v>1002</v>
      </c>
      <c r="AW244" s="117">
        <f>VLOOKUP($D244,'WB Data'!$C$3:$M$578,2,FALSE)</f>
        <v>8638711756.6281834</v>
      </c>
      <c r="AX244" s="117">
        <f>VLOOKUP($D244,'WB Data'!$C$3:$M$578,3,FALSE)</f>
        <v>10694366</v>
      </c>
      <c r="AY244" s="847">
        <f t="shared" si="39"/>
        <v>0.13697566203573122</v>
      </c>
      <c r="AZ244" s="117" t="e">
        <f>VLOOKUP($D244,'WB Data'!$C$3:$M$578,4,FALSE)/100</f>
        <v>#VALUE!</v>
      </c>
      <c r="BA244" s="117" t="str">
        <f t="shared" si="40"/>
        <v>..</v>
      </c>
      <c r="BB244" s="129">
        <f>IFERROR(VLOOKUP($D244,'EITI Revenues'!$C$2:$G$224,5,FALSE),"..")</f>
        <v>1183293262</v>
      </c>
      <c r="BC244" s="846" t="str">
        <f t="shared" si="41"/>
        <v>..</v>
      </c>
      <c r="BD244" s="129" t="str">
        <f>VLOOKUP($D244,'WB Data 2'!$C$2:$K$545,6,FALSE)</f>
        <v>..</v>
      </c>
      <c r="BE244" s="129" t="str">
        <f>IFERROR(VLOOKUP($D244,UNCTAD!$C$5:$V$529,4,FALSE),"..")</f>
        <v>..</v>
      </c>
      <c r="BF244" s="846" t="str">
        <f t="shared" si="42"/>
        <v>..</v>
      </c>
      <c r="BG244" s="117">
        <f>VLOOKUP($D244,'WB Data'!$C$3:$M$578,5,FALSE)</f>
        <v>359100000</v>
      </c>
      <c r="BH244" s="129">
        <f>IFERROR($BB244/$BG244,"..")</f>
        <v>3.2951636368699528</v>
      </c>
      <c r="BI244" s="117" t="str">
        <f>IFERROR(VLOOKUP($D244,'WB Data'!$C$3:$M$578,7,FALSE)/100,"..")</f>
        <v>..</v>
      </c>
      <c r="BJ244" s="117" t="str">
        <f>IFERROR($BI244*$AW244,"..")</f>
        <v>..</v>
      </c>
      <c r="BK244" s="846" t="str">
        <f>IFERROR($BB244/$BJ244,"..")</f>
        <v>..</v>
      </c>
      <c r="BL244" s="117" t="str">
        <f>IFERROR(VLOOKUP($D244,'WB Data'!$C$3:$M$578,7,FALSE)/100,"..")</f>
        <v>..</v>
      </c>
      <c r="BM244" s="117" t="str">
        <f>IFERROR($AW244*$BL244,"..")</f>
        <v>..</v>
      </c>
      <c r="BN244" s="846" t="str">
        <f>IFERROR($BB244/$BM244,"..")</f>
        <v>..</v>
      </c>
      <c r="BO244" s="801">
        <f t="shared" si="38"/>
        <v>22</v>
      </c>
      <c r="BP244" s="117" t="str">
        <f>VLOOKUP($D244,'WB Data'!$C$3:$M$578,9,FALSE)</f>
        <v>..</v>
      </c>
      <c r="BQ244" s="117">
        <f>VLOOKUP($D244,'WB Data'!$C$3:$M$578,10,FALSE)</f>
        <v>48.427170731707321</v>
      </c>
      <c r="BR244" s="117">
        <f>VLOOKUP($D244,'WB Data'!$C$3:$M$578,11,FALSE)</f>
        <v>98.5</v>
      </c>
      <c r="BS244" s="129" t="str">
        <f>IFERROR(VLOOKUP($D244,'WB Data 2'!$C$2:$K$545,9,FALSE),"..")</f>
        <v>..</v>
      </c>
      <c r="BT244" s="129" t="str">
        <f>_xlfn.IFNA(VLOOKUP($C244,RGI!$A$2:$C$43,2,FALSE),"..")</f>
        <v>..</v>
      </c>
      <c r="BU244" s="129" t="str">
        <f>_xlfn.IFNA(VLOOKUP($C244,RGI!$A$2:$C$43,3,FALSE),"..")</f>
        <v>..</v>
      </c>
      <c r="BV244" s="129">
        <f>VLOOKUP($D244,WGI!$C$2:$O$478,7,FALSE)</f>
        <v>-1.4648943624977599</v>
      </c>
      <c r="BW244" s="129">
        <f>VLOOKUP($D244,WGI!$C$2:$O$478,4,FALSE)</f>
        <v>-1.8599906508256501</v>
      </c>
      <c r="BX244" s="129">
        <f>VLOOKUP($D244,WGI!$C$2:$O$478,3,FALSE)</f>
        <v>-1.5925588530702399</v>
      </c>
      <c r="BY244" s="129">
        <f>VLOOKUP($D244,WGI!$C$2:$O$478,5,FALSE)</f>
        <v>-1.12431131640479</v>
      </c>
      <c r="BZ244" s="129">
        <f>VLOOKUP($D244,WGI!$C$2:$O$478,2,FALSE)</f>
        <v>-1.3006011246601099</v>
      </c>
      <c r="CB244" s="129"/>
    </row>
    <row r="245" spans="1:80" ht="15" customHeight="1">
      <c r="A245" s="280" t="s">
        <v>137</v>
      </c>
      <c r="B245" s="117">
        <v>2007</v>
      </c>
      <c r="C245" s="117" t="s">
        <v>138</v>
      </c>
      <c r="D245" s="117" t="s">
        <v>3555</v>
      </c>
      <c r="E245" s="174" t="s">
        <v>86</v>
      </c>
      <c r="F245" s="117"/>
      <c r="G245" s="117" t="s">
        <v>103</v>
      </c>
      <c r="H245" s="117" t="str">
        <f t="shared" si="44"/>
        <v>no</v>
      </c>
      <c r="I245" s="117" t="str">
        <f t="shared" si="45"/>
        <v>no</v>
      </c>
      <c r="J245" s="117" t="str">
        <f t="shared" si="46"/>
        <v>yes</v>
      </c>
      <c r="K245" s="176" t="s">
        <v>103</v>
      </c>
      <c r="L245" s="117" t="str">
        <f t="shared" si="37"/>
        <v>detailed</v>
      </c>
      <c r="M245" s="117" t="str">
        <f t="shared" si="47"/>
        <v>detailed Oil</v>
      </c>
      <c r="N245" s="179">
        <v>52560000</v>
      </c>
      <c r="O245" s="179"/>
      <c r="P245" s="179"/>
      <c r="Q245" s="179"/>
      <c r="R245" s="179"/>
      <c r="S245" s="117" t="s">
        <v>646</v>
      </c>
      <c r="T245" s="119">
        <v>71.816252724999998</v>
      </c>
      <c r="U245" s="117" t="s">
        <v>673</v>
      </c>
      <c r="V245" s="117" t="s">
        <v>1003</v>
      </c>
      <c r="W245" s="89">
        <f>N245*T245</f>
        <v>3774662243.2259998</v>
      </c>
      <c r="X245" s="117"/>
      <c r="Y245" s="117"/>
      <c r="Z245" s="117"/>
      <c r="AA245" s="177">
        <v>1179397379</v>
      </c>
      <c r="AB245" s="177">
        <v>1213159503</v>
      </c>
      <c r="AC245" s="122"/>
      <c r="AD245" s="122"/>
      <c r="AE245" s="122"/>
      <c r="AF245" s="123">
        <f t="shared" si="48"/>
        <v>0.31245110237784685</v>
      </c>
      <c r="AG245" s="117"/>
      <c r="AH245" s="124"/>
      <c r="AI245" s="117"/>
      <c r="AJ245" s="117"/>
      <c r="AK245" s="89"/>
      <c r="AL245" s="175" t="s">
        <v>999</v>
      </c>
      <c r="AM245" s="292">
        <v>1460000</v>
      </c>
      <c r="AN245" s="117">
        <v>8</v>
      </c>
      <c r="AO245" s="117" t="s">
        <v>1004</v>
      </c>
      <c r="AP245" s="117">
        <v>8</v>
      </c>
      <c r="AQ245" s="117"/>
      <c r="AR245" s="126"/>
      <c r="AS245" s="117"/>
      <c r="AT245" s="117"/>
      <c r="AU245" s="117"/>
      <c r="AV245" s="128" t="s">
        <v>1005</v>
      </c>
      <c r="AW245" s="117">
        <f>VLOOKUP($D245,'WB Data'!$C$3:$M$578,2,FALSE)</f>
        <v>8638711756.6281834</v>
      </c>
      <c r="AX245" s="117">
        <f>VLOOKUP($D245,'WB Data'!$C$3:$M$578,3,FALSE)</f>
        <v>10694366</v>
      </c>
      <c r="AY245" s="847">
        <f t="shared" si="39"/>
        <v>0.13697566203573122</v>
      </c>
      <c r="AZ245" s="117" t="e">
        <f>VLOOKUP($D245,'WB Data'!$C$3:$M$578,4,FALSE)/100</f>
        <v>#VALUE!</v>
      </c>
      <c r="BA245" s="117" t="str">
        <f t="shared" si="40"/>
        <v>..</v>
      </c>
      <c r="BB245" s="129">
        <f>IFERROR(VLOOKUP($D245,'EITI Revenues'!$C$2:$G$224,5,FALSE),"..")</f>
        <v>1183293262</v>
      </c>
      <c r="BC245" s="846" t="str">
        <f t="shared" si="41"/>
        <v>..</v>
      </c>
      <c r="BD245" s="129" t="str">
        <f>VLOOKUP($D245,'WB Data 2'!$C$2:$K$545,6,FALSE)</f>
        <v>..</v>
      </c>
      <c r="BE245" s="129" t="str">
        <f>IFERROR(VLOOKUP($D245,UNCTAD!$C$5:$V$529,4,FALSE),"..")</f>
        <v>..</v>
      </c>
      <c r="BF245" s="846" t="str">
        <f t="shared" si="42"/>
        <v>..</v>
      </c>
      <c r="BG245" s="117">
        <f>VLOOKUP($D245,'WB Data'!$C$3:$M$578,5,FALSE)</f>
        <v>359100000</v>
      </c>
      <c r="BH245" s="129">
        <f>IFERROR($BB245/$BG245,"..")</f>
        <v>3.2951636368699528</v>
      </c>
      <c r="BI245" s="117" t="str">
        <f>IFERROR(VLOOKUP($D245,'WB Data'!$C$3:$M$578,7,FALSE)/100,"..")</f>
        <v>..</v>
      </c>
      <c r="BJ245" s="117" t="str">
        <f>IFERROR($BI245*$AW245,"..")</f>
        <v>..</v>
      </c>
      <c r="BK245" s="846" t="str">
        <f>IFERROR($BB245/$BJ245,"..")</f>
        <v>..</v>
      </c>
      <c r="BL245" s="117" t="str">
        <f>IFERROR(VLOOKUP($D245,'WB Data'!$C$3:$M$578,7,FALSE)/100,"..")</f>
        <v>..</v>
      </c>
      <c r="BM245" s="117" t="str">
        <f>IFERROR($AW245*$BL245,"..")</f>
        <v>..</v>
      </c>
      <c r="BN245" s="846" t="str">
        <f>IFERROR($BB245/$BM245,"..")</f>
        <v>..</v>
      </c>
      <c r="BO245" s="801">
        <f t="shared" si="38"/>
        <v>22</v>
      </c>
      <c r="BP245" s="117" t="str">
        <f>VLOOKUP($D245,'WB Data'!$C$3:$M$578,9,FALSE)</f>
        <v>..</v>
      </c>
      <c r="BQ245" s="117">
        <f>VLOOKUP($D245,'WB Data'!$C$3:$M$578,10,FALSE)</f>
        <v>48.427170731707321</v>
      </c>
      <c r="BR245" s="117">
        <f>VLOOKUP($D245,'WB Data'!$C$3:$M$578,11,FALSE)</f>
        <v>98.5</v>
      </c>
      <c r="BS245" s="129" t="str">
        <f>IFERROR(VLOOKUP($D245,'WB Data 2'!$C$2:$K$545,9,FALSE),"..")</f>
        <v>..</v>
      </c>
      <c r="BT245" s="129" t="str">
        <f>_xlfn.IFNA(VLOOKUP($C245,RGI!$A$2:$C$43,2,FALSE),"..")</f>
        <v>..</v>
      </c>
      <c r="BU245" s="129" t="str">
        <f>_xlfn.IFNA(VLOOKUP($C245,RGI!$A$2:$C$43,3,FALSE),"..")</f>
        <v>..</v>
      </c>
      <c r="BV245" s="129">
        <f>VLOOKUP($D245,WGI!$C$2:$O$478,7,FALSE)</f>
        <v>-1.4648943624977599</v>
      </c>
      <c r="BW245" s="129">
        <f>VLOOKUP($D245,WGI!$C$2:$O$478,4,FALSE)</f>
        <v>-1.8599906508256501</v>
      </c>
      <c r="BX245" s="129">
        <f>VLOOKUP($D245,WGI!$C$2:$O$478,3,FALSE)</f>
        <v>-1.5925588530702399</v>
      </c>
      <c r="BY245" s="129">
        <f>VLOOKUP($D245,WGI!$C$2:$O$478,5,FALSE)</f>
        <v>-1.12431131640479</v>
      </c>
      <c r="BZ245" s="129">
        <f>VLOOKUP($D245,WGI!$C$2:$O$478,2,FALSE)</f>
        <v>-1.3006011246601099</v>
      </c>
    </row>
    <row r="246" spans="1:80" ht="15" customHeight="1">
      <c r="A246" s="280" t="s">
        <v>137</v>
      </c>
      <c r="B246" s="117">
        <v>2007</v>
      </c>
      <c r="C246" s="117" t="s">
        <v>138</v>
      </c>
      <c r="D246" s="117" t="s">
        <v>3555</v>
      </c>
      <c r="E246" s="174" t="s">
        <v>86</v>
      </c>
      <c r="F246" s="117"/>
      <c r="G246" s="117" t="s">
        <v>24</v>
      </c>
      <c r="H246" s="117" t="str">
        <f t="shared" si="44"/>
        <v>yes</v>
      </c>
      <c r="I246" s="117" t="str">
        <f t="shared" si="45"/>
        <v>no</v>
      </c>
      <c r="J246" s="117" t="str">
        <f t="shared" si="46"/>
        <v>no</v>
      </c>
      <c r="K246" s="176" t="s">
        <v>1006</v>
      </c>
      <c r="L246" s="117" t="str">
        <f t="shared" si="37"/>
        <v>detailed</v>
      </c>
      <c r="M246" s="117" t="str">
        <f t="shared" si="47"/>
        <v>detailed Mining</v>
      </c>
      <c r="N246" s="179">
        <v>300000</v>
      </c>
      <c r="O246" s="179"/>
      <c r="P246" s="179"/>
      <c r="Q246" s="179"/>
      <c r="R246" s="179"/>
      <c r="S246" s="117" t="s">
        <v>610</v>
      </c>
      <c r="T246" s="119">
        <v>8.3000000000000007</v>
      </c>
      <c r="U246" s="117" t="s">
        <v>611</v>
      </c>
      <c r="V246" s="117" t="s">
        <v>1007</v>
      </c>
      <c r="W246" s="89">
        <f>N246*T246</f>
        <v>2490000</v>
      </c>
      <c r="X246" s="117"/>
      <c r="Y246" s="117"/>
      <c r="Z246" s="117"/>
      <c r="AA246" s="177">
        <v>3895883</v>
      </c>
      <c r="AB246" s="177">
        <v>0</v>
      </c>
      <c r="AC246" s="122"/>
      <c r="AD246" s="122"/>
      <c r="AE246" s="122"/>
      <c r="AF246" s="123">
        <f t="shared" si="48"/>
        <v>1.5646116465863453</v>
      </c>
      <c r="AG246" s="117"/>
      <c r="AH246" s="124"/>
      <c r="AI246" s="117"/>
      <c r="AJ246" s="117"/>
      <c r="AK246" s="89"/>
      <c r="AL246" s="117"/>
      <c r="AM246" s="117"/>
      <c r="AN246" s="117">
        <v>0</v>
      </c>
      <c r="AO246" s="117"/>
      <c r="AP246" s="117">
        <v>0</v>
      </c>
      <c r="AQ246" s="117"/>
      <c r="AR246" s="126"/>
      <c r="AS246" s="117"/>
      <c r="AT246" s="117"/>
      <c r="AU246" s="117"/>
      <c r="AV246" s="128" t="s">
        <v>1008</v>
      </c>
      <c r="AW246" s="117">
        <f>VLOOKUP($D246,'WB Data'!$C$3:$M$578,2,FALSE)</f>
        <v>8638711756.6281834</v>
      </c>
      <c r="AX246" s="117">
        <f>VLOOKUP($D246,'WB Data'!$C$3:$M$578,3,FALSE)</f>
        <v>10694366</v>
      </c>
      <c r="AY246" s="847">
        <f t="shared" si="39"/>
        <v>0.13697566203573122</v>
      </c>
      <c r="AZ246" s="117" t="e">
        <f>VLOOKUP($D246,'WB Data'!$C$3:$M$578,4,FALSE)/100</f>
        <v>#VALUE!</v>
      </c>
      <c r="BA246" s="117" t="str">
        <f t="shared" si="40"/>
        <v>..</v>
      </c>
      <c r="BB246" s="129">
        <f>IFERROR(VLOOKUP($D246,'EITI Revenues'!$C$2:$G$224,5,FALSE),"..")</f>
        <v>1183293262</v>
      </c>
      <c r="BC246" s="846" t="str">
        <f t="shared" si="41"/>
        <v>..</v>
      </c>
      <c r="BD246" s="129" t="str">
        <f>VLOOKUP($D246,'WB Data 2'!$C$2:$K$545,6,FALSE)</f>
        <v>..</v>
      </c>
      <c r="BE246" s="129" t="str">
        <f>IFERROR(VLOOKUP($D246,UNCTAD!$C$5:$V$529,4,FALSE),"..")</f>
        <v>..</v>
      </c>
      <c r="BF246" s="846" t="str">
        <f t="shared" si="42"/>
        <v>..</v>
      </c>
      <c r="BG246" s="117">
        <f>VLOOKUP($D246,'WB Data'!$C$3:$M$578,5,FALSE)</f>
        <v>359100000</v>
      </c>
      <c r="BH246" s="129">
        <f>IFERROR($BB246/$BG246,"..")</f>
        <v>3.2951636368699528</v>
      </c>
      <c r="BI246" s="117" t="str">
        <f>IFERROR(VLOOKUP($D246,'WB Data'!$C$3:$M$578,7,FALSE)/100,"..")</f>
        <v>..</v>
      </c>
      <c r="BJ246" s="117" t="str">
        <f>IFERROR($BI246*$AW246,"..")</f>
        <v>..</v>
      </c>
      <c r="BK246" s="846" t="str">
        <f>IFERROR($BB246/$BJ246,"..")</f>
        <v>..</v>
      </c>
      <c r="BL246" s="117" t="str">
        <f>IFERROR(VLOOKUP($D246,'WB Data'!$C$3:$M$578,7,FALSE)/100,"..")</f>
        <v>..</v>
      </c>
      <c r="BM246" s="117" t="str">
        <f>IFERROR($AW246*$BL246,"..")</f>
        <v>..</v>
      </c>
      <c r="BN246" s="846" t="str">
        <f>IFERROR($BB246/$BM246,"..")</f>
        <v>..</v>
      </c>
      <c r="BO246" s="801">
        <f t="shared" si="38"/>
        <v>22</v>
      </c>
      <c r="BP246" s="117" t="str">
        <f>VLOOKUP($D246,'WB Data'!$C$3:$M$578,9,FALSE)</f>
        <v>..</v>
      </c>
      <c r="BQ246" s="117">
        <f>VLOOKUP($D246,'WB Data'!$C$3:$M$578,10,FALSE)</f>
        <v>48.427170731707321</v>
      </c>
      <c r="BR246" s="117">
        <f>VLOOKUP($D246,'WB Data'!$C$3:$M$578,11,FALSE)</f>
        <v>98.5</v>
      </c>
      <c r="BS246" s="129" t="str">
        <f>IFERROR(VLOOKUP($D246,'WB Data 2'!$C$2:$K$545,9,FALSE),"..")</f>
        <v>..</v>
      </c>
      <c r="BT246" s="129" t="str">
        <f>_xlfn.IFNA(VLOOKUP($C246,RGI!$A$2:$C$43,2,FALSE),"..")</f>
        <v>..</v>
      </c>
      <c r="BU246" s="129" t="str">
        <f>_xlfn.IFNA(VLOOKUP($C246,RGI!$A$2:$C$43,3,FALSE),"..")</f>
        <v>..</v>
      </c>
      <c r="BV246" s="129">
        <f>VLOOKUP($D246,WGI!$C$2:$O$478,7,FALSE)</f>
        <v>-1.4648943624977599</v>
      </c>
      <c r="BW246" s="129">
        <f>VLOOKUP($D246,WGI!$C$2:$O$478,4,FALSE)</f>
        <v>-1.8599906508256501</v>
      </c>
      <c r="BX246" s="129">
        <f>VLOOKUP($D246,WGI!$C$2:$O$478,3,FALSE)</f>
        <v>-1.5925588530702399</v>
      </c>
      <c r="BY246" s="129">
        <f>VLOOKUP($D246,WGI!$C$2:$O$478,5,FALSE)</f>
        <v>-1.12431131640479</v>
      </c>
      <c r="BZ246" s="129">
        <f>VLOOKUP($D246,WGI!$C$2:$O$478,2,FALSE)</f>
        <v>-1.3006011246601099</v>
      </c>
    </row>
    <row r="247" spans="1:80" s="144" customFormat="1" ht="15" customHeight="1">
      <c r="A247" s="279" t="s">
        <v>140</v>
      </c>
      <c r="B247" s="132">
        <v>2008</v>
      </c>
      <c r="C247" s="117" t="s">
        <v>138</v>
      </c>
      <c r="D247" s="117" t="s">
        <v>3589</v>
      </c>
      <c r="E247" s="181" t="s">
        <v>86</v>
      </c>
      <c r="F247" s="132" t="s">
        <v>997</v>
      </c>
      <c r="G247" s="132" t="s">
        <v>41</v>
      </c>
      <c r="H247" s="117" t="str">
        <f t="shared" si="44"/>
        <v>yes</v>
      </c>
      <c r="I247" s="117" t="str">
        <f t="shared" si="45"/>
        <v>no</v>
      </c>
      <c r="J247" s="117" t="str">
        <f t="shared" si="46"/>
        <v>yes</v>
      </c>
      <c r="K247" s="182" t="s">
        <v>709</v>
      </c>
      <c r="L247" s="117" t="str">
        <f t="shared" si="37"/>
        <v>Total</v>
      </c>
      <c r="M247" s="117" t="str">
        <f t="shared" si="47"/>
        <v>Total Oil, Mining</v>
      </c>
      <c r="N247" s="238"/>
      <c r="O247" s="238"/>
      <c r="P247" s="238"/>
      <c r="Q247" s="238"/>
      <c r="R247" s="238"/>
      <c r="S247" s="132"/>
      <c r="T247" s="134"/>
      <c r="U247" s="132"/>
      <c r="V247" s="132"/>
      <c r="W247" s="135">
        <f>W248+W249</f>
        <v>4558118712.0570002</v>
      </c>
      <c r="X247" s="132" t="s">
        <v>998</v>
      </c>
      <c r="Y247" s="132" t="s">
        <v>602</v>
      </c>
      <c r="Z247" s="132"/>
      <c r="AA247" s="160">
        <v>1908801646</v>
      </c>
      <c r="AB247" s="160">
        <v>1870701903</v>
      </c>
      <c r="AC247" s="138"/>
      <c r="AD247" s="138"/>
      <c r="AE247" s="138"/>
      <c r="AF247" s="139">
        <f t="shared" si="48"/>
        <v>0.41876962110506133</v>
      </c>
      <c r="AG247" s="132" t="s">
        <v>864</v>
      </c>
      <c r="AH247" s="140" t="s">
        <v>865</v>
      </c>
      <c r="AI247" s="132" t="s">
        <v>667</v>
      </c>
      <c r="AJ247" s="132"/>
      <c r="AK247" s="135"/>
      <c r="AL247" s="132" t="s">
        <v>999</v>
      </c>
      <c r="AM247" s="160">
        <v>1600000</v>
      </c>
      <c r="AN247" s="132">
        <v>8</v>
      </c>
      <c r="AO247" s="132" t="s">
        <v>1000</v>
      </c>
      <c r="AP247" s="132">
        <v>8</v>
      </c>
      <c r="AQ247" s="132" t="s">
        <v>31</v>
      </c>
      <c r="AR247" s="141">
        <v>41943</v>
      </c>
      <c r="AS247" s="132" t="s">
        <v>670</v>
      </c>
      <c r="AT247" s="132" t="s">
        <v>141</v>
      </c>
      <c r="AU247" s="132" t="s">
        <v>1009</v>
      </c>
      <c r="AV247" s="143" t="s">
        <v>1002</v>
      </c>
      <c r="AW247" s="117">
        <f>VLOOKUP($D247,'WB Data'!$C$3:$M$578,2,FALSE)</f>
        <v>10351933631.718803</v>
      </c>
      <c r="AX247" s="117">
        <f>VLOOKUP($D247,'WB Data'!$C$3:$M$578,3,FALSE)</f>
        <v>11030628</v>
      </c>
      <c r="AY247" s="847">
        <f t="shared" si="39"/>
        <v>0.18439083111500479</v>
      </c>
      <c r="AZ247" s="117" t="e">
        <f>VLOOKUP($D247,'WB Data'!$C$3:$M$578,4,FALSE)/100</f>
        <v>#VALUE!</v>
      </c>
      <c r="BA247" s="117" t="str">
        <f t="shared" si="40"/>
        <v>..</v>
      </c>
      <c r="BB247" s="129">
        <f>IFERROR(VLOOKUP($D247,'EITI Revenues'!$C$2:$G$224,5,FALSE),"..")</f>
        <v>1908801646</v>
      </c>
      <c r="BC247" s="846" t="str">
        <f t="shared" si="41"/>
        <v>..</v>
      </c>
      <c r="BD247" s="129" t="str">
        <f>VLOOKUP($D247,'WB Data 2'!$C$2:$K$545,6,FALSE)</f>
        <v>..</v>
      </c>
      <c r="BE247" s="129" t="str">
        <f>IFERROR(VLOOKUP($D247,UNCTAD!$C$5:$V$529,4,FALSE),"..")</f>
        <v>..</v>
      </c>
      <c r="BF247" s="846" t="str">
        <f t="shared" si="42"/>
        <v>..</v>
      </c>
      <c r="BG247" s="117">
        <f>VLOOKUP($D247,'WB Data'!$C$3:$M$578,5,FALSE)</f>
        <v>421720000</v>
      </c>
      <c r="BH247" s="129">
        <f>IFERROR($BB247/$BG247,"..")</f>
        <v>4.5262298349615859</v>
      </c>
      <c r="BI247" s="117" t="str">
        <f>IFERROR(VLOOKUP($D247,'WB Data'!$C$3:$M$578,7,FALSE)/100,"..")</f>
        <v>..</v>
      </c>
      <c r="BJ247" s="117" t="str">
        <f>IFERROR($BI247*$AW247,"..")</f>
        <v>..</v>
      </c>
      <c r="BK247" s="846" t="str">
        <f>IFERROR($BB247/$BJ247,"..")</f>
        <v>..</v>
      </c>
      <c r="BL247" s="117" t="str">
        <f>IFERROR(VLOOKUP($D247,'WB Data'!$C$3:$M$578,7,FALSE)/100,"..")</f>
        <v>..</v>
      </c>
      <c r="BM247" s="117" t="str">
        <f>IFERROR($AW247*$BL247,"..")</f>
        <v>..</v>
      </c>
      <c r="BN247" s="846" t="str">
        <f>IFERROR($BB247/$BM247,"..")</f>
        <v>..</v>
      </c>
      <c r="BO247" s="801">
        <f t="shared" si="38"/>
        <v>22</v>
      </c>
      <c r="BP247" s="117" t="str">
        <f>VLOOKUP($D247,'WB Data'!$C$3:$M$578,9,FALSE)</f>
        <v>..</v>
      </c>
      <c r="BQ247" s="117">
        <f>VLOOKUP($D247,'WB Data'!$C$3:$M$578,10,FALSE)</f>
        <v>48.857170731707328</v>
      </c>
      <c r="BR247" s="117">
        <f>VLOOKUP($D247,'WB Data'!$C$3:$M$578,11,FALSE)</f>
        <v>97.1</v>
      </c>
      <c r="BS247" s="129" t="str">
        <f>IFERROR(VLOOKUP($D247,'WB Data 2'!$C$2:$K$545,9,FALSE),"..")</f>
        <v>..</v>
      </c>
      <c r="BT247" s="129" t="str">
        <f>_xlfn.IFNA(VLOOKUP($C247,RGI!$A$2:$C$43,2,FALSE),"..")</f>
        <v>..</v>
      </c>
      <c r="BU247" s="129" t="str">
        <f>_xlfn.IFNA(VLOOKUP($C247,RGI!$A$2:$C$43,3,FALSE),"..")</f>
        <v>..</v>
      </c>
      <c r="BV247" s="129">
        <f>VLOOKUP($D247,WGI!$C$2:$O$478,7,FALSE)</f>
        <v>-1.46188010412278</v>
      </c>
      <c r="BW247" s="129">
        <f>VLOOKUP($D247,WGI!$C$2:$O$478,4,FALSE)</f>
        <v>-1.9704273188371499</v>
      </c>
      <c r="BX247" s="129">
        <f>VLOOKUP($D247,WGI!$C$2:$O$478,3,FALSE)</f>
        <v>-1.53957262103561</v>
      </c>
      <c r="BY247" s="129">
        <f>VLOOKUP($D247,WGI!$C$2:$O$478,5,FALSE)</f>
        <v>-1.15922780407378</v>
      </c>
      <c r="BZ247" s="129">
        <f>VLOOKUP($D247,WGI!$C$2:$O$478,2,FALSE)</f>
        <v>-1.44671379698743</v>
      </c>
      <c r="CB247" s="129"/>
    </row>
    <row r="248" spans="1:80" ht="15" customHeight="1">
      <c r="A248" s="280" t="s">
        <v>140</v>
      </c>
      <c r="B248" s="117">
        <v>2008</v>
      </c>
      <c r="C248" s="117" t="s">
        <v>138</v>
      </c>
      <c r="D248" s="117" t="s">
        <v>3589</v>
      </c>
      <c r="E248" s="174" t="s">
        <v>86</v>
      </c>
      <c r="F248" s="117"/>
      <c r="G248" s="117" t="s">
        <v>103</v>
      </c>
      <c r="H248" s="117" t="str">
        <f t="shared" si="44"/>
        <v>no</v>
      </c>
      <c r="I248" s="117" t="str">
        <f t="shared" si="45"/>
        <v>no</v>
      </c>
      <c r="J248" s="117" t="str">
        <f t="shared" si="46"/>
        <v>yes</v>
      </c>
      <c r="K248" s="176" t="s">
        <v>103</v>
      </c>
      <c r="L248" s="117" t="str">
        <f t="shared" si="37"/>
        <v>detailed</v>
      </c>
      <c r="M248" s="117" t="str">
        <f t="shared" si="47"/>
        <v>detailed Oil</v>
      </c>
      <c r="N248" s="179">
        <v>46355000</v>
      </c>
      <c r="O248" s="179"/>
      <c r="P248" s="179"/>
      <c r="Q248" s="179"/>
      <c r="R248" s="179"/>
      <c r="S248" s="117" t="s">
        <v>646</v>
      </c>
      <c r="T248" s="119">
        <v>98.2715934</v>
      </c>
      <c r="U248" s="117" t="s">
        <v>673</v>
      </c>
      <c r="V248" s="117" t="s">
        <v>1003</v>
      </c>
      <c r="W248" s="89">
        <f>N248*T248</f>
        <v>4555379712.0570002</v>
      </c>
      <c r="X248" s="117"/>
      <c r="Y248" s="117"/>
      <c r="Z248" s="117"/>
      <c r="AA248" s="177">
        <v>1906479325</v>
      </c>
      <c r="AB248" s="177">
        <v>1870701903</v>
      </c>
      <c r="AC248" s="122"/>
      <c r="AD248" s="122"/>
      <c r="AE248" s="122"/>
      <c r="AF248" s="123">
        <f t="shared" si="48"/>
        <v>0.41851161604684795</v>
      </c>
      <c r="AG248" s="117"/>
      <c r="AH248" s="124"/>
      <c r="AI248" s="117"/>
      <c r="AJ248" s="117"/>
      <c r="AK248" s="89"/>
      <c r="AL248" s="117" t="s">
        <v>999</v>
      </c>
      <c r="AM248" s="177">
        <v>1600000</v>
      </c>
      <c r="AN248" s="117">
        <v>8</v>
      </c>
      <c r="AO248" s="117" t="s">
        <v>1004</v>
      </c>
      <c r="AP248" s="117">
        <v>8</v>
      </c>
      <c r="AQ248" s="117"/>
      <c r="AR248" s="126"/>
      <c r="AS248" s="117"/>
      <c r="AT248" s="117"/>
      <c r="AU248" s="117"/>
      <c r="AV248" s="128" t="s">
        <v>1005</v>
      </c>
      <c r="AW248" s="117">
        <f>VLOOKUP($D248,'WB Data'!$C$3:$M$578,2,FALSE)</f>
        <v>10351933631.718803</v>
      </c>
      <c r="AX248" s="117">
        <f>VLOOKUP($D248,'WB Data'!$C$3:$M$578,3,FALSE)</f>
        <v>11030628</v>
      </c>
      <c r="AY248" s="847">
        <f t="shared" si="39"/>
        <v>0.18439083111500479</v>
      </c>
      <c r="AZ248" s="117" t="e">
        <f>VLOOKUP($D248,'WB Data'!$C$3:$M$578,4,FALSE)/100</f>
        <v>#VALUE!</v>
      </c>
      <c r="BA248" s="117" t="str">
        <f t="shared" si="40"/>
        <v>..</v>
      </c>
      <c r="BB248" s="129">
        <f>IFERROR(VLOOKUP($D248,'EITI Revenues'!$C$2:$G$224,5,FALSE),"..")</f>
        <v>1908801646</v>
      </c>
      <c r="BC248" s="846" t="str">
        <f t="shared" si="41"/>
        <v>..</v>
      </c>
      <c r="BD248" s="129" t="str">
        <f>VLOOKUP($D248,'WB Data 2'!$C$2:$K$545,6,FALSE)</f>
        <v>..</v>
      </c>
      <c r="BE248" s="129" t="str">
        <f>IFERROR(VLOOKUP($D248,UNCTAD!$C$5:$V$529,4,FALSE),"..")</f>
        <v>..</v>
      </c>
      <c r="BF248" s="846" t="str">
        <f t="shared" si="42"/>
        <v>..</v>
      </c>
      <c r="BG248" s="117">
        <f>VLOOKUP($D248,'WB Data'!$C$3:$M$578,5,FALSE)</f>
        <v>421720000</v>
      </c>
      <c r="BH248" s="129">
        <f>IFERROR($BB248/$BG248,"..")</f>
        <v>4.5262298349615859</v>
      </c>
      <c r="BI248" s="117" t="str">
        <f>IFERROR(VLOOKUP($D248,'WB Data'!$C$3:$M$578,7,FALSE)/100,"..")</f>
        <v>..</v>
      </c>
      <c r="BJ248" s="117" t="str">
        <f>IFERROR($BI248*$AW248,"..")</f>
        <v>..</v>
      </c>
      <c r="BK248" s="846" t="str">
        <f>IFERROR($BB248/$BJ248,"..")</f>
        <v>..</v>
      </c>
      <c r="BL248" s="117" t="str">
        <f>IFERROR(VLOOKUP($D248,'WB Data'!$C$3:$M$578,7,FALSE)/100,"..")</f>
        <v>..</v>
      </c>
      <c r="BM248" s="117" t="str">
        <f>IFERROR($AW248*$BL248,"..")</f>
        <v>..</v>
      </c>
      <c r="BN248" s="846" t="str">
        <f>IFERROR($BB248/$BM248,"..")</f>
        <v>..</v>
      </c>
      <c r="BO248" s="801">
        <f t="shared" si="38"/>
        <v>22</v>
      </c>
      <c r="BP248" s="117" t="str">
        <f>VLOOKUP($D248,'WB Data'!$C$3:$M$578,9,FALSE)</f>
        <v>..</v>
      </c>
      <c r="BQ248" s="117">
        <f>VLOOKUP($D248,'WB Data'!$C$3:$M$578,10,FALSE)</f>
        <v>48.857170731707328</v>
      </c>
      <c r="BR248" s="117">
        <f>VLOOKUP($D248,'WB Data'!$C$3:$M$578,11,FALSE)</f>
        <v>97.1</v>
      </c>
      <c r="BS248" s="129" t="str">
        <f>IFERROR(VLOOKUP($D248,'WB Data 2'!$C$2:$K$545,9,FALSE),"..")</f>
        <v>..</v>
      </c>
      <c r="BT248" s="129" t="str">
        <f>_xlfn.IFNA(VLOOKUP($C248,RGI!$A$2:$C$43,2,FALSE),"..")</f>
        <v>..</v>
      </c>
      <c r="BU248" s="129" t="str">
        <f>_xlfn.IFNA(VLOOKUP($C248,RGI!$A$2:$C$43,3,FALSE),"..")</f>
        <v>..</v>
      </c>
      <c r="BV248" s="129">
        <f>VLOOKUP($D248,WGI!$C$2:$O$478,7,FALSE)</f>
        <v>-1.46188010412278</v>
      </c>
      <c r="BW248" s="129">
        <f>VLOOKUP($D248,WGI!$C$2:$O$478,4,FALSE)</f>
        <v>-1.9704273188371499</v>
      </c>
      <c r="BX248" s="129">
        <f>VLOOKUP($D248,WGI!$C$2:$O$478,3,FALSE)</f>
        <v>-1.53957262103561</v>
      </c>
      <c r="BY248" s="129">
        <f>VLOOKUP($D248,WGI!$C$2:$O$478,5,FALSE)</f>
        <v>-1.15922780407378</v>
      </c>
      <c r="BZ248" s="129">
        <f>VLOOKUP($D248,WGI!$C$2:$O$478,2,FALSE)</f>
        <v>-1.44671379698743</v>
      </c>
    </row>
    <row r="249" spans="1:80" ht="15" customHeight="1">
      <c r="A249" s="280" t="s">
        <v>140</v>
      </c>
      <c r="B249" s="117">
        <v>2008</v>
      </c>
      <c r="C249" s="117" t="s">
        <v>138</v>
      </c>
      <c r="D249" s="117" t="s">
        <v>3589</v>
      </c>
      <c r="E249" s="174" t="s">
        <v>86</v>
      </c>
      <c r="F249" s="117"/>
      <c r="G249" s="117" t="s">
        <v>24</v>
      </c>
      <c r="H249" s="117" t="str">
        <f t="shared" si="44"/>
        <v>yes</v>
      </c>
      <c r="I249" s="117" t="str">
        <f t="shared" si="45"/>
        <v>no</v>
      </c>
      <c r="J249" s="117" t="str">
        <f t="shared" si="46"/>
        <v>no</v>
      </c>
      <c r="K249" s="176" t="s">
        <v>1006</v>
      </c>
      <c r="L249" s="117" t="str">
        <f t="shared" si="37"/>
        <v>detailed</v>
      </c>
      <c r="M249" s="117" t="str">
        <f t="shared" si="47"/>
        <v>detailed Mining</v>
      </c>
      <c r="N249" s="179">
        <v>300000</v>
      </c>
      <c r="O249" s="179"/>
      <c r="P249" s="179"/>
      <c r="Q249" s="179"/>
      <c r="R249" s="179"/>
      <c r="S249" s="117" t="s">
        <v>610</v>
      </c>
      <c r="T249" s="119">
        <v>9.1300000000000008</v>
      </c>
      <c r="U249" s="117" t="s">
        <v>611</v>
      </c>
      <c r="V249" s="117" t="s">
        <v>1010</v>
      </c>
      <c r="W249" s="89">
        <f>N249*T249</f>
        <v>2739000.0000000005</v>
      </c>
      <c r="X249" s="117"/>
      <c r="Y249" s="117"/>
      <c r="Z249" s="117"/>
      <c r="AA249" s="177">
        <v>2322321</v>
      </c>
      <c r="AB249" s="340">
        <v>0</v>
      </c>
      <c r="AC249" s="122"/>
      <c r="AD249" s="122"/>
      <c r="AE249" s="122"/>
      <c r="AF249" s="123">
        <f t="shared" si="48"/>
        <v>0.84787185104052565</v>
      </c>
      <c r="AG249" s="117"/>
      <c r="AH249" s="124"/>
      <c r="AI249" s="117"/>
      <c r="AJ249" s="117"/>
      <c r="AK249" s="89"/>
      <c r="AL249" s="117"/>
      <c r="AM249" s="117"/>
      <c r="AN249" s="117">
        <v>0</v>
      </c>
      <c r="AO249" s="117"/>
      <c r="AP249" s="117">
        <v>0</v>
      </c>
      <c r="AQ249" s="117"/>
      <c r="AR249" s="126"/>
      <c r="AS249" s="117"/>
      <c r="AT249" s="117"/>
      <c r="AU249" s="117"/>
      <c r="AV249" s="128" t="s">
        <v>1008</v>
      </c>
      <c r="AW249" s="117">
        <f>VLOOKUP($D249,'WB Data'!$C$3:$M$578,2,FALSE)</f>
        <v>10351933631.718803</v>
      </c>
      <c r="AX249" s="117">
        <f>VLOOKUP($D249,'WB Data'!$C$3:$M$578,3,FALSE)</f>
        <v>11030628</v>
      </c>
      <c r="AY249" s="847">
        <f t="shared" si="39"/>
        <v>0.18439083111500479</v>
      </c>
      <c r="AZ249" s="117" t="e">
        <f>VLOOKUP($D249,'WB Data'!$C$3:$M$578,4,FALSE)/100</f>
        <v>#VALUE!</v>
      </c>
      <c r="BA249" s="117" t="str">
        <f t="shared" si="40"/>
        <v>..</v>
      </c>
      <c r="BB249" s="129">
        <f>IFERROR(VLOOKUP($D249,'EITI Revenues'!$C$2:$G$224,5,FALSE),"..")</f>
        <v>1908801646</v>
      </c>
      <c r="BC249" s="846" t="str">
        <f t="shared" si="41"/>
        <v>..</v>
      </c>
      <c r="BD249" s="129" t="str">
        <f>VLOOKUP($D249,'WB Data 2'!$C$2:$K$545,6,FALSE)</f>
        <v>..</v>
      </c>
      <c r="BE249" s="129" t="str">
        <f>IFERROR(VLOOKUP($D249,UNCTAD!$C$5:$V$529,4,FALSE),"..")</f>
        <v>..</v>
      </c>
      <c r="BF249" s="846" t="str">
        <f t="shared" si="42"/>
        <v>..</v>
      </c>
      <c r="BG249" s="117">
        <f>VLOOKUP($D249,'WB Data'!$C$3:$M$578,5,FALSE)</f>
        <v>421720000</v>
      </c>
      <c r="BH249" s="129">
        <f>IFERROR($BB249/$BG249,"..")</f>
        <v>4.5262298349615859</v>
      </c>
      <c r="BI249" s="117" t="str">
        <f>IFERROR(VLOOKUP($D249,'WB Data'!$C$3:$M$578,7,FALSE)/100,"..")</f>
        <v>..</v>
      </c>
      <c r="BJ249" s="117" t="str">
        <f>IFERROR($BI249*$AW249,"..")</f>
        <v>..</v>
      </c>
      <c r="BK249" s="846" t="str">
        <f>IFERROR($BB249/$BJ249,"..")</f>
        <v>..</v>
      </c>
      <c r="BL249" s="117" t="str">
        <f>IFERROR(VLOOKUP($D249,'WB Data'!$C$3:$M$578,7,FALSE)/100,"..")</f>
        <v>..</v>
      </c>
      <c r="BM249" s="117" t="str">
        <f>IFERROR($AW249*$BL249,"..")</f>
        <v>..</v>
      </c>
      <c r="BN249" s="846" t="str">
        <f>IFERROR($BB249/$BM249,"..")</f>
        <v>..</v>
      </c>
      <c r="BO249" s="801">
        <f t="shared" si="38"/>
        <v>22</v>
      </c>
      <c r="BP249" s="117" t="str">
        <f>VLOOKUP($D249,'WB Data'!$C$3:$M$578,9,FALSE)</f>
        <v>..</v>
      </c>
      <c r="BQ249" s="117">
        <f>VLOOKUP($D249,'WB Data'!$C$3:$M$578,10,FALSE)</f>
        <v>48.857170731707328</v>
      </c>
      <c r="BR249" s="117">
        <f>VLOOKUP($D249,'WB Data'!$C$3:$M$578,11,FALSE)</f>
        <v>97.1</v>
      </c>
      <c r="BS249" s="129" t="str">
        <f>IFERROR(VLOOKUP($D249,'WB Data 2'!$C$2:$K$545,9,FALSE),"..")</f>
        <v>..</v>
      </c>
      <c r="BT249" s="129" t="str">
        <f>_xlfn.IFNA(VLOOKUP($C249,RGI!$A$2:$C$43,2,FALSE),"..")</f>
        <v>..</v>
      </c>
      <c r="BU249" s="129" t="str">
        <f>_xlfn.IFNA(VLOOKUP($C249,RGI!$A$2:$C$43,3,FALSE),"..")</f>
        <v>..</v>
      </c>
      <c r="BV249" s="129">
        <f>VLOOKUP($D249,WGI!$C$2:$O$478,7,FALSE)</f>
        <v>-1.46188010412278</v>
      </c>
      <c r="BW249" s="129">
        <f>VLOOKUP($D249,WGI!$C$2:$O$478,4,FALSE)</f>
        <v>-1.9704273188371499</v>
      </c>
      <c r="BX249" s="129">
        <f>VLOOKUP($D249,WGI!$C$2:$O$478,3,FALSE)</f>
        <v>-1.53957262103561</v>
      </c>
      <c r="BY249" s="129">
        <f>VLOOKUP($D249,WGI!$C$2:$O$478,5,FALSE)</f>
        <v>-1.15922780407378</v>
      </c>
      <c r="BZ249" s="129">
        <f>VLOOKUP($D249,WGI!$C$2:$O$478,2,FALSE)</f>
        <v>-1.44671379698743</v>
      </c>
    </row>
    <row r="250" spans="1:80" s="144" customFormat="1" ht="15" customHeight="1">
      <c r="A250" s="279" t="s">
        <v>142</v>
      </c>
      <c r="B250" s="132">
        <v>2009</v>
      </c>
      <c r="C250" s="117" t="s">
        <v>138</v>
      </c>
      <c r="D250" s="117" t="s">
        <v>3623</v>
      </c>
      <c r="E250" s="181" t="s">
        <v>86</v>
      </c>
      <c r="F250" s="132" t="s">
        <v>997</v>
      </c>
      <c r="G250" s="132" t="s">
        <v>41</v>
      </c>
      <c r="H250" s="117" t="str">
        <f t="shared" si="44"/>
        <v>yes</v>
      </c>
      <c r="I250" s="117" t="str">
        <f t="shared" si="45"/>
        <v>no</v>
      </c>
      <c r="J250" s="117" t="str">
        <f t="shared" si="46"/>
        <v>yes</v>
      </c>
      <c r="K250" s="182" t="s">
        <v>709</v>
      </c>
      <c r="L250" s="117" t="str">
        <f t="shared" si="37"/>
        <v>Total</v>
      </c>
      <c r="M250" s="117" t="str">
        <f t="shared" si="47"/>
        <v>Total Oil, Mining</v>
      </c>
      <c r="N250" s="238"/>
      <c r="O250" s="238"/>
      <c r="P250" s="238"/>
      <c r="Q250" s="238"/>
      <c r="R250" s="238"/>
      <c r="S250" s="132"/>
      <c r="T250" s="134"/>
      <c r="U250" s="132"/>
      <c r="V250" s="132"/>
      <c r="W250" s="135">
        <f>W251+W252</f>
        <v>2677207346.9194999</v>
      </c>
      <c r="X250" s="132" t="s">
        <v>998</v>
      </c>
      <c r="Y250" s="132" t="s">
        <v>602</v>
      </c>
      <c r="Z250" s="132"/>
      <c r="AA250" s="160">
        <v>614882373</v>
      </c>
      <c r="AB250" s="160">
        <v>638651484</v>
      </c>
      <c r="AC250" s="138"/>
      <c r="AD250" s="138"/>
      <c r="AE250" s="138"/>
      <c r="AF250" s="139">
        <f t="shared" si="48"/>
        <v>0.22967304856215484</v>
      </c>
      <c r="AG250" s="132" t="s">
        <v>864</v>
      </c>
      <c r="AH250" s="140" t="s">
        <v>865</v>
      </c>
      <c r="AI250" s="132" t="s">
        <v>667</v>
      </c>
      <c r="AJ250" s="132"/>
      <c r="AK250" s="135"/>
      <c r="AL250" s="132" t="s">
        <v>999</v>
      </c>
      <c r="AM250" s="160">
        <v>2400000</v>
      </c>
      <c r="AN250" s="132">
        <v>8</v>
      </c>
      <c r="AO250" s="132" t="s">
        <v>1000</v>
      </c>
      <c r="AP250" s="132">
        <v>8</v>
      </c>
      <c r="AQ250" s="132" t="s">
        <v>31</v>
      </c>
      <c r="AR250" s="141">
        <v>41944</v>
      </c>
      <c r="AS250" s="132" t="s">
        <v>670</v>
      </c>
      <c r="AT250" s="132" t="s">
        <v>143</v>
      </c>
      <c r="AU250" s="132" t="s">
        <v>1009</v>
      </c>
      <c r="AV250" s="143" t="s">
        <v>1002</v>
      </c>
      <c r="AW250" s="117">
        <f>VLOOKUP($D250,'WB Data'!$C$3:$M$578,2,FALSE)</f>
        <v>9253484289.6743355</v>
      </c>
      <c r="AX250" s="117">
        <f>VLOOKUP($D250,'WB Data'!$C$3:$M$578,3,FALSE)</f>
        <v>11371325</v>
      </c>
      <c r="AY250" s="847">
        <f t="shared" si="39"/>
        <v>6.6448740144955706E-2</v>
      </c>
      <c r="AZ250" s="117" t="e">
        <f>VLOOKUP($D250,'WB Data'!$C$3:$M$578,4,FALSE)/100</f>
        <v>#VALUE!</v>
      </c>
      <c r="BA250" s="117" t="str">
        <f t="shared" si="40"/>
        <v>..</v>
      </c>
      <c r="BB250" s="129">
        <f>IFERROR(VLOOKUP($D250,'EITI Revenues'!$C$2:$G$224,5,FALSE),"..")</f>
        <v>614882373</v>
      </c>
      <c r="BC250" s="846" t="str">
        <f t="shared" si="41"/>
        <v>..</v>
      </c>
      <c r="BD250" s="129" t="str">
        <f>VLOOKUP($D250,'WB Data 2'!$C$2:$K$545,6,FALSE)</f>
        <v>..</v>
      </c>
      <c r="BE250" s="129" t="str">
        <f>IFERROR(VLOOKUP($D250,UNCTAD!$C$5:$V$529,4,FALSE),"..")</f>
        <v>..</v>
      </c>
      <c r="BF250" s="846" t="str">
        <f t="shared" si="42"/>
        <v>..</v>
      </c>
      <c r="BG250" s="117">
        <f>VLOOKUP($D250,'WB Data'!$C$3:$M$578,5,FALSE)</f>
        <v>560730000</v>
      </c>
      <c r="BH250" s="129">
        <f>IFERROR($BB250/$BG250,"..")</f>
        <v>1.0965747739553795</v>
      </c>
      <c r="BI250" s="117">
        <f>IFERROR(VLOOKUP($D250,'WB Data'!$C$3:$M$578,7,FALSE)/100,"..")</f>
        <v>2.31174E-2</v>
      </c>
      <c r="BJ250" s="117">
        <f>IFERROR($BI250*$AW250,"..")</f>
        <v>213916497.71811748</v>
      </c>
      <c r="BK250" s="846">
        <f>IFERROR($BB250/$BJ250,"..")</f>
        <v>2.8744037021877769</v>
      </c>
      <c r="BL250" s="117">
        <f>IFERROR(VLOOKUP($D250,'WB Data'!$C$3:$M$578,7,FALSE)/100,"..")</f>
        <v>2.31174E-2</v>
      </c>
      <c r="BM250" s="117">
        <f>IFERROR($AW250*$BL250,"..")</f>
        <v>213916497.71811748</v>
      </c>
      <c r="BN250" s="846">
        <f>IFERROR($BB250/$BM250,"..")</f>
        <v>2.8744037021877769</v>
      </c>
      <c r="BO250" s="801">
        <f t="shared" si="38"/>
        <v>22</v>
      </c>
      <c r="BP250" s="117" t="str">
        <f>VLOOKUP($D250,'WB Data'!$C$3:$M$578,9,FALSE)</f>
        <v>..</v>
      </c>
      <c r="BQ250" s="117">
        <f>VLOOKUP($D250,'WB Data'!$C$3:$M$578,10,FALSE)</f>
        <v>49.30753658536586</v>
      </c>
      <c r="BR250" s="117">
        <f>VLOOKUP($D250,'WB Data'!$C$3:$M$578,11,FALSE)</f>
        <v>95.4</v>
      </c>
      <c r="BS250" s="129" t="str">
        <f>IFERROR(VLOOKUP($D250,'WB Data 2'!$C$2:$K$545,9,FALSE),"..")</f>
        <v>..</v>
      </c>
      <c r="BT250" s="129" t="str">
        <f>_xlfn.IFNA(VLOOKUP($C250,RGI!$A$2:$C$43,2,FALSE),"..")</f>
        <v>..</v>
      </c>
      <c r="BU250" s="129" t="str">
        <f>_xlfn.IFNA(VLOOKUP($C250,RGI!$A$2:$C$43,3,FALSE),"..")</f>
        <v>..</v>
      </c>
      <c r="BV250" s="129">
        <f>VLOOKUP($D250,WGI!$C$2:$O$478,7,FALSE)</f>
        <v>-1.4195605227997199</v>
      </c>
      <c r="BW250" s="129">
        <f>VLOOKUP($D250,WGI!$C$2:$O$478,4,FALSE)</f>
        <v>-1.68920009121452</v>
      </c>
      <c r="BX250" s="129">
        <f>VLOOKUP($D250,WGI!$C$2:$O$478,3,FALSE)</f>
        <v>-1.4231168712779201</v>
      </c>
      <c r="BY250" s="129">
        <f>VLOOKUP($D250,WGI!$C$2:$O$478,5,FALSE)</f>
        <v>-1.0416083218118199</v>
      </c>
      <c r="BZ250" s="129">
        <f>VLOOKUP($D250,WGI!$C$2:$O$478,2,FALSE)</f>
        <v>-1.3555364140761601</v>
      </c>
      <c r="CB250" s="129"/>
    </row>
    <row r="251" spans="1:80" s="120" customFormat="1" ht="15" customHeight="1">
      <c r="A251" s="280" t="s">
        <v>142</v>
      </c>
      <c r="B251" s="117">
        <v>2009</v>
      </c>
      <c r="C251" s="117" t="s">
        <v>138</v>
      </c>
      <c r="D251" s="117" t="s">
        <v>3623</v>
      </c>
      <c r="E251" s="174" t="s">
        <v>86</v>
      </c>
      <c r="F251" s="117"/>
      <c r="G251" s="117" t="s">
        <v>103</v>
      </c>
      <c r="H251" s="117" t="str">
        <f t="shared" si="44"/>
        <v>no</v>
      </c>
      <c r="I251" s="117" t="str">
        <f t="shared" si="45"/>
        <v>no</v>
      </c>
      <c r="J251" s="117" t="str">
        <f t="shared" si="46"/>
        <v>yes</v>
      </c>
      <c r="K251" s="176" t="s">
        <v>103</v>
      </c>
      <c r="L251" s="117" t="str">
        <f t="shared" si="37"/>
        <v>detailed</v>
      </c>
      <c r="M251" s="117" t="str">
        <f t="shared" si="47"/>
        <v>detailed Oil</v>
      </c>
      <c r="N251" s="179">
        <v>43070000</v>
      </c>
      <c r="O251" s="179"/>
      <c r="P251" s="179"/>
      <c r="Q251" s="179"/>
      <c r="R251" s="179"/>
      <c r="S251" s="117" t="s">
        <v>646</v>
      </c>
      <c r="T251" s="119">
        <v>62.082733849999997</v>
      </c>
      <c r="U251" s="117" t="s">
        <v>673</v>
      </c>
      <c r="V251" s="117" t="s">
        <v>1003</v>
      </c>
      <c r="W251" s="89">
        <f>N251*T251</f>
        <v>2673903346.9194999</v>
      </c>
      <c r="X251" s="117"/>
      <c r="Y251" s="117"/>
      <c r="Z251" s="117"/>
      <c r="AA251" s="177">
        <v>606704418</v>
      </c>
      <c r="AB251" s="177">
        <v>638651484</v>
      </c>
      <c r="AC251" s="122"/>
      <c r="AD251" s="122"/>
      <c r="AE251" s="122"/>
      <c r="AF251" s="123">
        <f t="shared" si="48"/>
        <v>0.22689841003376601</v>
      </c>
      <c r="AG251" s="117"/>
      <c r="AH251" s="124"/>
      <c r="AI251" s="117"/>
      <c r="AJ251" s="117"/>
      <c r="AK251" s="89"/>
      <c r="AL251" s="117" t="s">
        <v>999</v>
      </c>
      <c r="AM251" s="177">
        <v>2400000</v>
      </c>
      <c r="AN251" s="117">
        <v>8</v>
      </c>
      <c r="AO251" s="117" t="s">
        <v>1011</v>
      </c>
      <c r="AP251" s="117">
        <v>8</v>
      </c>
      <c r="AQ251" s="117"/>
      <c r="AR251" s="126"/>
      <c r="AS251" s="117"/>
      <c r="AT251" s="117"/>
      <c r="AU251" s="117"/>
      <c r="AV251" s="128" t="s">
        <v>1005</v>
      </c>
      <c r="AW251" s="117">
        <f>VLOOKUP($D251,'WB Data'!$C$3:$M$578,2,FALSE)</f>
        <v>9253484289.6743355</v>
      </c>
      <c r="AX251" s="117">
        <f>VLOOKUP($D251,'WB Data'!$C$3:$M$578,3,FALSE)</f>
        <v>11371325</v>
      </c>
      <c r="AY251" s="847">
        <f t="shared" si="39"/>
        <v>6.6448740144955706E-2</v>
      </c>
      <c r="AZ251" s="117" t="e">
        <f>VLOOKUP($D251,'WB Data'!$C$3:$M$578,4,FALSE)/100</f>
        <v>#VALUE!</v>
      </c>
      <c r="BA251" s="117" t="str">
        <f t="shared" si="40"/>
        <v>..</v>
      </c>
      <c r="BB251" s="129">
        <f>IFERROR(VLOOKUP($D251,'EITI Revenues'!$C$2:$G$224,5,FALSE),"..")</f>
        <v>614882373</v>
      </c>
      <c r="BC251" s="846" t="str">
        <f t="shared" si="41"/>
        <v>..</v>
      </c>
      <c r="BD251" s="129" t="str">
        <f>VLOOKUP($D251,'WB Data 2'!$C$2:$K$545,6,FALSE)</f>
        <v>..</v>
      </c>
      <c r="BE251" s="129" t="str">
        <f>IFERROR(VLOOKUP($D251,UNCTAD!$C$5:$V$529,4,FALSE),"..")</f>
        <v>..</v>
      </c>
      <c r="BF251" s="846" t="str">
        <f t="shared" si="42"/>
        <v>..</v>
      </c>
      <c r="BG251" s="117">
        <f>VLOOKUP($D251,'WB Data'!$C$3:$M$578,5,FALSE)</f>
        <v>560730000</v>
      </c>
      <c r="BH251" s="129">
        <f>IFERROR($BB251/$BG251,"..")</f>
        <v>1.0965747739553795</v>
      </c>
      <c r="BI251" s="117">
        <f>IFERROR(VLOOKUP($D251,'WB Data'!$C$3:$M$578,7,FALSE)/100,"..")</f>
        <v>2.31174E-2</v>
      </c>
      <c r="BJ251" s="117">
        <f>IFERROR($BI251*$AW251,"..")</f>
        <v>213916497.71811748</v>
      </c>
      <c r="BK251" s="846">
        <f>IFERROR($BB251/$BJ251,"..")</f>
        <v>2.8744037021877769</v>
      </c>
      <c r="BL251" s="117">
        <f>IFERROR(VLOOKUP($D251,'WB Data'!$C$3:$M$578,7,FALSE)/100,"..")</f>
        <v>2.31174E-2</v>
      </c>
      <c r="BM251" s="117">
        <f>IFERROR($AW251*$BL251,"..")</f>
        <v>213916497.71811748</v>
      </c>
      <c r="BN251" s="846">
        <f>IFERROR($BB251/$BM251,"..")</f>
        <v>2.8744037021877769</v>
      </c>
      <c r="BO251" s="801">
        <f t="shared" si="38"/>
        <v>22</v>
      </c>
      <c r="BP251" s="117" t="str">
        <f>VLOOKUP($D251,'WB Data'!$C$3:$M$578,9,FALSE)</f>
        <v>..</v>
      </c>
      <c r="BQ251" s="117">
        <f>VLOOKUP($D251,'WB Data'!$C$3:$M$578,10,FALSE)</f>
        <v>49.30753658536586</v>
      </c>
      <c r="BR251" s="117">
        <f>VLOOKUP($D251,'WB Data'!$C$3:$M$578,11,FALSE)</f>
        <v>95.4</v>
      </c>
      <c r="BS251" s="129" t="str">
        <f>IFERROR(VLOOKUP($D251,'WB Data 2'!$C$2:$K$545,9,FALSE),"..")</f>
        <v>..</v>
      </c>
      <c r="BT251" s="129" t="str">
        <f>_xlfn.IFNA(VLOOKUP($C251,RGI!$A$2:$C$43,2,FALSE),"..")</f>
        <v>..</v>
      </c>
      <c r="BU251" s="129" t="str">
        <f>_xlfn.IFNA(VLOOKUP($C251,RGI!$A$2:$C$43,3,FALSE),"..")</f>
        <v>..</v>
      </c>
      <c r="BV251" s="129">
        <f>VLOOKUP($D251,WGI!$C$2:$O$478,7,FALSE)</f>
        <v>-1.4195605227997199</v>
      </c>
      <c r="BW251" s="129">
        <f>VLOOKUP($D251,WGI!$C$2:$O$478,4,FALSE)</f>
        <v>-1.68920009121452</v>
      </c>
      <c r="BX251" s="129">
        <f>VLOOKUP($D251,WGI!$C$2:$O$478,3,FALSE)</f>
        <v>-1.4231168712779201</v>
      </c>
      <c r="BY251" s="129">
        <f>VLOOKUP($D251,WGI!$C$2:$O$478,5,FALSE)</f>
        <v>-1.0416083218118199</v>
      </c>
      <c r="BZ251" s="129">
        <f>VLOOKUP($D251,WGI!$C$2:$O$478,2,FALSE)</f>
        <v>-1.3555364140761601</v>
      </c>
      <c r="CB251" s="129"/>
    </row>
    <row r="252" spans="1:80" s="158" customFormat="1" ht="15" customHeight="1">
      <c r="A252" s="282" t="s">
        <v>142</v>
      </c>
      <c r="B252" s="149">
        <v>2009</v>
      </c>
      <c r="C252" s="117" t="s">
        <v>138</v>
      </c>
      <c r="D252" s="117" t="s">
        <v>3623</v>
      </c>
      <c r="E252" s="187" t="s">
        <v>86</v>
      </c>
      <c r="F252" s="149"/>
      <c r="G252" s="149" t="s">
        <v>24</v>
      </c>
      <c r="H252" s="149" t="str">
        <f t="shared" si="44"/>
        <v>yes</v>
      </c>
      <c r="I252" s="149" t="str">
        <f t="shared" si="45"/>
        <v>no</v>
      </c>
      <c r="J252" s="149" t="str">
        <f t="shared" si="46"/>
        <v>no</v>
      </c>
      <c r="K252" s="188" t="s">
        <v>1006</v>
      </c>
      <c r="L252" s="149" t="str">
        <f t="shared" si="37"/>
        <v>detailed</v>
      </c>
      <c r="M252" s="149" t="str">
        <f t="shared" si="47"/>
        <v>detailed Mining</v>
      </c>
      <c r="N252" s="216">
        <v>350000</v>
      </c>
      <c r="O252" s="216"/>
      <c r="P252" s="216"/>
      <c r="Q252" s="216"/>
      <c r="R252" s="216"/>
      <c r="S252" s="149" t="s">
        <v>610</v>
      </c>
      <c r="T252" s="151">
        <v>9.44</v>
      </c>
      <c r="U252" s="149" t="s">
        <v>611</v>
      </c>
      <c r="V252" s="149" t="s">
        <v>1010</v>
      </c>
      <c r="W252" s="152">
        <f>N252*T252</f>
        <v>3304000</v>
      </c>
      <c r="X252" s="149"/>
      <c r="Y252" s="149"/>
      <c r="Z252" s="149"/>
      <c r="AA252" s="284">
        <v>8177955</v>
      </c>
      <c r="AB252" s="284">
        <v>0</v>
      </c>
      <c r="AC252" s="154"/>
      <c r="AD252" s="154"/>
      <c r="AE252" s="154"/>
      <c r="AF252" s="155">
        <f t="shared" si="48"/>
        <v>2.4751679782082325</v>
      </c>
      <c r="AG252" s="149"/>
      <c r="AH252" s="156"/>
      <c r="AI252" s="149"/>
      <c r="AJ252" s="149"/>
      <c r="AK252" s="152"/>
      <c r="AL252" s="149"/>
      <c r="AM252" s="149"/>
      <c r="AN252" s="149"/>
      <c r="AO252" s="149"/>
      <c r="AP252" s="149"/>
      <c r="AQ252" s="149"/>
      <c r="AR252" s="220"/>
      <c r="AS252" s="149"/>
      <c r="AT252" s="149"/>
      <c r="AU252" s="149"/>
      <c r="AV252" s="157"/>
      <c r="AW252" s="117">
        <f>VLOOKUP($D252,'WB Data'!$C$3:$M$578,2,FALSE)</f>
        <v>9253484289.6743355</v>
      </c>
      <c r="AX252" s="117">
        <f>VLOOKUP($D252,'WB Data'!$C$3:$M$578,3,FALSE)</f>
        <v>11371325</v>
      </c>
      <c r="AY252" s="847">
        <f t="shared" si="39"/>
        <v>6.6448740144955706E-2</v>
      </c>
      <c r="AZ252" s="117" t="e">
        <f>VLOOKUP($D252,'WB Data'!$C$3:$M$578,4,FALSE)/100</f>
        <v>#VALUE!</v>
      </c>
      <c r="BA252" s="117" t="str">
        <f t="shared" si="40"/>
        <v>..</v>
      </c>
      <c r="BB252" s="129">
        <f>IFERROR(VLOOKUP($D252,'EITI Revenues'!$C$2:$G$224,5,FALSE),"..")</f>
        <v>614882373</v>
      </c>
      <c r="BC252" s="846" t="str">
        <f t="shared" si="41"/>
        <v>..</v>
      </c>
      <c r="BD252" s="129" t="str">
        <f>VLOOKUP($D252,'WB Data 2'!$C$2:$K$545,6,FALSE)</f>
        <v>..</v>
      </c>
      <c r="BE252" s="129" t="str">
        <f>IFERROR(VLOOKUP($D252,UNCTAD!$C$5:$V$529,4,FALSE),"..")</f>
        <v>..</v>
      </c>
      <c r="BF252" s="846" t="str">
        <f t="shared" si="42"/>
        <v>..</v>
      </c>
      <c r="BG252" s="117">
        <f>VLOOKUP($D252,'WB Data'!$C$3:$M$578,5,FALSE)</f>
        <v>560730000</v>
      </c>
      <c r="BH252" s="129">
        <f>IFERROR($BB252/$BG252,"..")</f>
        <v>1.0965747739553795</v>
      </c>
      <c r="BI252" s="117">
        <f>IFERROR(VLOOKUP($D252,'WB Data'!$C$3:$M$578,7,FALSE)/100,"..")</f>
        <v>2.31174E-2</v>
      </c>
      <c r="BJ252" s="117">
        <f>IFERROR($BI252*$AW252,"..")</f>
        <v>213916497.71811748</v>
      </c>
      <c r="BK252" s="846">
        <f>IFERROR($BB252/$BJ252,"..")</f>
        <v>2.8744037021877769</v>
      </c>
      <c r="BL252" s="117">
        <f>IFERROR(VLOOKUP($D252,'WB Data'!$C$3:$M$578,7,FALSE)/100,"..")</f>
        <v>2.31174E-2</v>
      </c>
      <c r="BM252" s="117">
        <f>IFERROR($AW252*$BL252,"..")</f>
        <v>213916497.71811748</v>
      </c>
      <c r="BN252" s="846">
        <f>IFERROR($BB252/$BM252,"..")</f>
        <v>2.8744037021877769</v>
      </c>
      <c r="BO252" s="801">
        <f t="shared" si="38"/>
        <v>22</v>
      </c>
      <c r="BP252" s="117" t="str">
        <f>VLOOKUP($D252,'WB Data'!$C$3:$M$578,9,FALSE)</f>
        <v>..</v>
      </c>
      <c r="BQ252" s="117">
        <f>VLOOKUP($D252,'WB Data'!$C$3:$M$578,10,FALSE)</f>
        <v>49.30753658536586</v>
      </c>
      <c r="BR252" s="117">
        <f>VLOOKUP($D252,'WB Data'!$C$3:$M$578,11,FALSE)</f>
        <v>95.4</v>
      </c>
      <c r="BS252" s="129" t="str">
        <f>IFERROR(VLOOKUP($D252,'WB Data 2'!$C$2:$K$545,9,FALSE),"..")</f>
        <v>..</v>
      </c>
      <c r="BT252" s="129" t="str">
        <f>_xlfn.IFNA(VLOOKUP($C252,RGI!$A$2:$C$43,2,FALSE),"..")</f>
        <v>..</v>
      </c>
      <c r="BU252" s="129" t="str">
        <f>_xlfn.IFNA(VLOOKUP($C252,RGI!$A$2:$C$43,3,FALSE),"..")</f>
        <v>..</v>
      </c>
      <c r="BV252" s="129">
        <f>VLOOKUP($D252,WGI!$C$2:$O$478,7,FALSE)</f>
        <v>-1.4195605227997199</v>
      </c>
      <c r="BW252" s="129">
        <f>VLOOKUP($D252,WGI!$C$2:$O$478,4,FALSE)</f>
        <v>-1.68920009121452</v>
      </c>
      <c r="BX252" s="129">
        <f>VLOOKUP($D252,WGI!$C$2:$O$478,3,FALSE)</f>
        <v>-1.4231168712779201</v>
      </c>
      <c r="BY252" s="129">
        <f>VLOOKUP($D252,WGI!$C$2:$O$478,5,FALSE)</f>
        <v>-1.0416083218118199</v>
      </c>
      <c r="BZ252" s="129">
        <f>VLOOKUP($D252,WGI!$C$2:$O$478,2,FALSE)</f>
        <v>-1.3555364140761601</v>
      </c>
      <c r="CB252" s="129"/>
    </row>
    <row r="253" spans="1:80" ht="15" customHeight="1">
      <c r="A253" s="280" t="s">
        <v>144</v>
      </c>
      <c r="B253" s="117">
        <v>2010</v>
      </c>
      <c r="C253" s="117" t="s">
        <v>138</v>
      </c>
      <c r="D253" s="117" t="s">
        <v>3657</v>
      </c>
      <c r="E253" s="174" t="s">
        <v>86</v>
      </c>
      <c r="F253" s="117" t="s">
        <v>997</v>
      </c>
      <c r="G253" s="117" t="s">
        <v>41</v>
      </c>
      <c r="H253" s="117" t="str">
        <f t="shared" si="44"/>
        <v>yes</v>
      </c>
      <c r="I253" s="117" t="str">
        <f t="shared" si="45"/>
        <v>no</v>
      </c>
      <c r="J253" s="117" t="str">
        <f t="shared" si="46"/>
        <v>yes</v>
      </c>
      <c r="K253" s="176" t="s">
        <v>709</v>
      </c>
      <c r="L253" s="117" t="str">
        <f t="shared" si="37"/>
        <v>Total</v>
      </c>
      <c r="M253" s="117" t="str">
        <f t="shared" si="47"/>
        <v>Total Oil, Mining</v>
      </c>
      <c r="N253" s="179"/>
      <c r="O253" s="179"/>
      <c r="P253" s="179"/>
      <c r="Q253" s="179"/>
      <c r="R253" s="179"/>
      <c r="S253" s="117"/>
      <c r="T253" s="119"/>
      <c r="U253" s="117"/>
      <c r="V253" s="117"/>
      <c r="W253" s="89">
        <f>W254+W255</f>
        <v>3543699602.1554995</v>
      </c>
      <c r="X253" s="117" t="s">
        <v>835</v>
      </c>
      <c r="Y253" s="117" t="s">
        <v>602</v>
      </c>
      <c r="Z253" s="117"/>
      <c r="AA253" s="177">
        <v>1347744000</v>
      </c>
      <c r="AB253" s="159">
        <v>1358346169.1603303</v>
      </c>
      <c r="AC253" s="122"/>
      <c r="AD253" s="122"/>
      <c r="AE253" s="122"/>
      <c r="AF253" s="123">
        <f t="shared" si="48"/>
        <v>0.38032117597671594</v>
      </c>
      <c r="AG253" s="117" t="s">
        <v>891</v>
      </c>
      <c r="AH253" s="124">
        <v>489.24</v>
      </c>
      <c r="AI253" s="117" t="s">
        <v>722</v>
      </c>
      <c r="AJ253" s="117"/>
      <c r="AK253" s="89"/>
      <c r="AL253" s="117" t="s">
        <v>999</v>
      </c>
      <c r="AM253" s="177">
        <v>1800000</v>
      </c>
      <c r="AN253" s="117">
        <v>9</v>
      </c>
      <c r="AO253" s="117" t="s">
        <v>1012</v>
      </c>
      <c r="AP253" s="117">
        <v>9</v>
      </c>
      <c r="AQ253" s="117" t="s">
        <v>145</v>
      </c>
      <c r="AR253" s="126">
        <v>41944</v>
      </c>
      <c r="AS253" s="117" t="s">
        <v>670</v>
      </c>
      <c r="AT253" s="117" t="s">
        <v>146</v>
      </c>
      <c r="AU253" s="117"/>
      <c r="AV253" s="128" t="s">
        <v>1013</v>
      </c>
      <c r="AW253" s="117">
        <f>VLOOKUP($D253,'WB Data'!$C$3:$M$578,2,FALSE)</f>
        <v>10657705072.288368</v>
      </c>
      <c r="AX253" s="117">
        <f>VLOOKUP($D253,'WB Data'!$C$3:$M$578,3,FALSE)</f>
        <v>11720781</v>
      </c>
      <c r="AY253" s="847">
        <f t="shared" si="39"/>
        <v>0.12645724298604741</v>
      </c>
      <c r="AZ253" s="117" t="e">
        <f>VLOOKUP($D253,'WB Data'!$C$3:$M$578,4,FALSE)/100</f>
        <v>#VALUE!</v>
      </c>
      <c r="BA253" s="117" t="str">
        <f t="shared" si="40"/>
        <v>..</v>
      </c>
      <c r="BB253" s="129">
        <f>IFERROR(VLOOKUP($D253,'EITI Revenues'!$C$2:$G$224,5,FALSE),"..")</f>
        <v>1347744000</v>
      </c>
      <c r="BC253" s="846" t="str">
        <f t="shared" si="41"/>
        <v>..</v>
      </c>
      <c r="BD253" s="129" t="str">
        <f>VLOOKUP($D253,'WB Data 2'!$C$2:$K$545,6,FALSE)</f>
        <v>..</v>
      </c>
      <c r="BE253" s="129" t="str">
        <f>IFERROR(VLOOKUP($D253,UNCTAD!$C$5:$V$529,4,FALSE),"..")</f>
        <v>..</v>
      </c>
      <c r="BF253" s="846" t="str">
        <f t="shared" si="42"/>
        <v>..</v>
      </c>
      <c r="BG253" s="117">
        <f>VLOOKUP($D253,'WB Data'!$C$3:$M$578,5,FALSE)</f>
        <v>486040000</v>
      </c>
      <c r="BH253" s="129">
        <f>IFERROR($BB253/$BG253,"..")</f>
        <v>2.7729075796230762</v>
      </c>
      <c r="BI253" s="117">
        <f>IFERROR(VLOOKUP($D253,'WB Data'!$C$3:$M$578,7,FALSE)/100,"..")</f>
        <v>1.9819400000000001E-2</v>
      </c>
      <c r="BJ253" s="117">
        <f>IFERROR($BI253*$AW253,"..")</f>
        <v>211229319.90971211</v>
      </c>
      <c r="BK253" s="846">
        <f>IFERROR($BB253/$BJ253,"..")</f>
        <v>6.3804778644180642</v>
      </c>
      <c r="BL253" s="117">
        <f>IFERROR(VLOOKUP($D253,'WB Data'!$C$3:$M$578,7,FALSE)/100,"..")</f>
        <v>1.9819400000000001E-2</v>
      </c>
      <c r="BM253" s="117">
        <f>IFERROR($AW253*$BL253,"..")</f>
        <v>211229319.90971211</v>
      </c>
      <c r="BN253" s="846">
        <f>IFERROR($BB253/$BM253,"..")</f>
        <v>6.3804778644180642</v>
      </c>
      <c r="BO253" s="801">
        <f t="shared" si="38"/>
        <v>22</v>
      </c>
      <c r="BP253" s="117" t="str">
        <f>VLOOKUP($D253,'WB Data'!$C$3:$M$578,9,FALSE)</f>
        <v>..</v>
      </c>
      <c r="BQ253" s="117">
        <f>VLOOKUP($D253,'WB Data'!$C$3:$M$578,10,FALSE)</f>
        <v>49.76985365853659</v>
      </c>
      <c r="BR253" s="117">
        <f>VLOOKUP($D253,'WB Data'!$C$3:$M$578,11,FALSE)</f>
        <v>93.7</v>
      </c>
      <c r="BS253" s="129" t="str">
        <f>IFERROR(VLOOKUP($D253,'WB Data 2'!$C$2:$K$545,9,FALSE),"..")</f>
        <v>..</v>
      </c>
      <c r="BT253" s="129" t="str">
        <f>_xlfn.IFNA(VLOOKUP($C253,RGI!$A$2:$C$43,2,FALSE),"..")</f>
        <v>..</v>
      </c>
      <c r="BU253" s="129" t="str">
        <f>_xlfn.IFNA(VLOOKUP($C253,RGI!$A$2:$C$43,3,FALSE),"..")</f>
        <v>..</v>
      </c>
      <c r="BV253" s="129">
        <f>VLOOKUP($D253,WGI!$C$2:$O$478,7,FALSE)</f>
        <v>-1.37058406323075</v>
      </c>
      <c r="BW253" s="129">
        <f>VLOOKUP($D253,WGI!$C$2:$O$478,4,FALSE)</f>
        <v>-1.5122881189823201</v>
      </c>
      <c r="BX253" s="129">
        <f>VLOOKUP($D253,WGI!$C$2:$O$478,3,FALSE)</f>
        <v>-1.44544760515034</v>
      </c>
      <c r="BY253" s="129">
        <f>VLOOKUP($D253,WGI!$C$2:$O$478,5,FALSE)</f>
        <v>-1.0552521529166401</v>
      </c>
      <c r="BZ253" s="129">
        <f>VLOOKUP($D253,WGI!$C$2:$O$478,2,FALSE)</f>
        <v>-1.3353702560987399</v>
      </c>
    </row>
    <row r="254" spans="1:80" ht="15" customHeight="1">
      <c r="A254" s="280" t="s">
        <v>144</v>
      </c>
      <c r="B254" s="117">
        <v>2010</v>
      </c>
      <c r="C254" s="117" t="s">
        <v>138</v>
      </c>
      <c r="D254" s="117" t="s">
        <v>3657</v>
      </c>
      <c r="E254" s="174" t="s">
        <v>86</v>
      </c>
      <c r="F254" s="117"/>
      <c r="G254" s="117" t="s">
        <v>103</v>
      </c>
      <c r="H254" s="117" t="str">
        <f t="shared" si="44"/>
        <v>no</v>
      </c>
      <c r="I254" s="117" t="str">
        <f t="shared" si="45"/>
        <v>no</v>
      </c>
      <c r="J254" s="117" t="str">
        <f t="shared" si="46"/>
        <v>yes</v>
      </c>
      <c r="K254" s="176" t="s">
        <v>103</v>
      </c>
      <c r="L254" s="117" t="str">
        <f t="shared" si="37"/>
        <v>detailed</v>
      </c>
      <c r="M254" s="117" t="str">
        <f t="shared" si="47"/>
        <v>detailed Oil</v>
      </c>
      <c r="N254" s="179">
        <v>44530000</v>
      </c>
      <c r="O254" s="179"/>
      <c r="P254" s="179"/>
      <c r="Q254" s="179"/>
      <c r="R254" s="179"/>
      <c r="S254" s="117" t="s">
        <v>646</v>
      </c>
      <c r="T254" s="119">
        <v>79.513869349999993</v>
      </c>
      <c r="U254" s="117" t="s">
        <v>673</v>
      </c>
      <c r="V254" s="117" t="s">
        <v>1003</v>
      </c>
      <c r="W254" s="89">
        <f>N254*T254</f>
        <v>3540752602.1554995</v>
      </c>
      <c r="X254" s="117"/>
      <c r="Y254" s="117"/>
      <c r="Z254" s="117"/>
      <c r="AA254" s="177">
        <v>1347744000</v>
      </c>
      <c r="AB254" s="177">
        <v>1353645000</v>
      </c>
      <c r="AC254" s="122"/>
      <c r="AD254" s="122"/>
      <c r="AE254" s="122"/>
      <c r="AF254" s="123">
        <f t="shared" si="48"/>
        <v>0.38063772068670815</v>
      </c>
      <c r="AG254" s="117"/>
      <c r="AH254" s="124"/>
      <c r="AI254" s="117"/>
      <c r="AJ254" s="117"/>
      <c r="AK254" s="89"/>
      <c r="AL254" s="117" t="s">
        <v>999</v>
      </c>
      <c r="AM254" s="177">
        <v>1800000</v>
      </c>
      <c r="AN254" s="117">
        <v>8</v>
      </c>
      <c r="AO254" s="117" t="s">
        <v>1004</v>
      </c>
      <c r="AP254" s="117">
        <v>8</v>
      </c>
      <c r="AQ254" s="117"/>
      <c r="AR254" s="126"/>
      <c r="AS254" s="117"/>
      <c r="AT254" s="117"/>
      <c r="AU254" s="117"/>
      <c r="AV254" s="128"/>
      <c r="AW254" s="117">
        <f>VLOOKUP($D254,'WB Data'!$C$3:$M$578,2,FALSE)</f>
        <v>10657705072.288368</v>
      </c>
      <c r="AX254" s="117">
        <f>VLOOKUP($D254,'WB Data'!$C$3:$M$578,3,FALSE)</f>
        <v>11720781</v>
      </c>
      <c r="AY254" s="847">
        <f t="shared" si="39"/>
        <v>0.12645724298604741</v>
      </c>
      <c r="AZ254" s="117" t="e">
        <f>VLOOKUP($D254,'WB Data'!$C$3:$M$578,4,FALSE)/100</f>
        <v>#VALUE!</v>
      </c>
      <c r="BA254" s="117" t="str">
        <f t="shared" si="40"/>
        <v>..</v>
      </c>
      <c r="BB254" s="129">
        <f>IFERROR(VLOOKUP($D254,'EITI Revenues'!$C$2:$G$224,5,FALSE),"..")</f>
        <v>1347744000</v>
      </c>
      <c r="BC254" s="846" t="str">
        <f t="shared" si="41"/>
        <v>..</v>
      </c>
      <c r="BD254" s="129" t="str">
        <f>VLOOKUP($D254,'WB Data 2'!$C$2:$K$545,6,FALSE)</f>
        <v>..</v>
      </c>
      <c r="BE254" s="129" t="str">
        <f>IFERROR(VLOOKUP($D254,UNCTAD!$C$5:$V$529,4,FALSE),"..")</f>
        <v>..</v>
      </c>
      <c r="BF254" s="846" t="str">
        <f t="shared" si="42"/>
        <v>..</v>
      </c>
      <c r="BG254" s="117">
        <f>VLOOKUP($D254,'WB Data'!$C$3:$M$578,5,FALSE)</f>
        <v>486040000</v>
      </c>
      <c r="BH254" s="129">
        <f>IFERROR($BB254/$BG254,"..")</f>
        <v>2.7729075796230762</v>
      </c>
      <c r="BI254" s="117">
        <f>IFERROR(VLOOKUP($D254,'WB Data'!$C$3:$M$578,7,FALSE)/100,"..")</f>
        <v>1.9819400000000001E-2</v>
      </c>
      <c r="BJ254" s="117">
        <f>IFERROR($BI254*$AW254,"..")</f>
        <v>211229319.90971211</v>
      </c>
      <c r="BK254" s="846">
        <f>IFERROR($BB254/$BJ254,"..")</f>
        <v>6.3804778644180642</v>
      </c>
      <c r="BL254" s="117">
        <f>IFERROR(VLOOKUP($D254,'WB Data'!$C$3:$M$578,7,FALSE)/100,"..")</f>
        <v>1.9819400000000001E-2</v>
      </c>
      <c r="BM254" s="117">
        <f>IFERROR($AW254*$BL254,"..")</f>
        <v>211229319.90971211</v>
      </c>
      <c r="BN254" s="846">
        <f>IFERROR($BB254/$BM254,"..")</f>
        <v>6.3804778644180642</v>
      </c>
      <c r="BO254" s="801">
        <f t="shared" si="38"/>
        <v>22</v>
      </c>
      <c r="BP254" s="117" t="str">
        <f>VLOOKUP($D254,'WB Data'!$C$3:$M$578,9,FALSE)</f>
        <v>..</v>
      </c>
      <c r="BQ254" s="117">
        <f>VLOOKUP($D254,'WB Data'!$C$3:$M$578,10,FALSE)</f>
        <v>49.76985365853659</v>
      </c>
      <c r="BR254" s="117">
        <f>VLOOKUP($D254,'WB Data'!$C$3:$M$578,11,FALSE)</f>
        <v>93.7</v>
      </c>
      <c r="BS254" s="129" t="str">
        <f>IFERROR(VLOOKUP($D254,'WB Data 2'!$C$2:$K$545,9,FALSE),"..")</f>
        <v>..</v>
      </c>
      <c r="BT254" s="129" t="str">
        <f>_xlfn.IFNA(VLOOKUP($C254,RGI!$A$2:$C$43,2,FALSE),"..")</f>
        <v>..</v>
      </c>
      <c r="BU254" s="129" t="str">
        <f>_xlfn.IFNA(VLOOKUP($C254,RGI!$A$2:$C$43,3,FALSE),"..")</f>
        <v>..</v>
      </c>
      <c r="BV254" s="129">
        <f>VLOOKUP($D254,WGI!$C$2:$O$478,7,FALSE)</f>
        <v>-1.37058406323075</v>
      </c>
      <c r="BW254" s="129">
        <f>VLOOKUP($D254,WGI!$C$2:$O$478,4,FALSE)</f>
        <v>-1.5122881189823201</v>
      </c>
      <c r="BX254" s="129">
        <f>VLOOKUP($D254,WGI!$C$2:$O$478,3,FALSE)</f>
        <v>-1.44544760515034</v>
      </c>
      <c r="BY254" s="129">
        <f>VLOOKUP($D254,WGI!$C$2:$O$478,5,FALSE)</f>
        <v>-1.0552521529166401</v>
      </c>
      <c r="BZ254" s="129">
        <f>VLOOKUP($D254,WGI!$C$2:$O$478,2,FALSE)</f>
        <v>-1.3353702560987399</v>
      </c>
    </row>
    <row r="255" spans="1:80" ht="15" customHeight="1">
      <c r="A255" s="280" t="s">
        <v>144</v>
      </c>
      <c r="B255" s="117">
        <v>2010</v>
      </c>
      <c r="C255" s="117" t="s">
        <v>138</v>
      </c>
      <c r="D255" s="117" t="s">
        <v>3657</v>
      </c>
      <c r="E255" s="174" t="s">
        <v>86</v>
      </c>
      <c r="F255" s="117"/>
      <c r="G255" s="117" t="s">
        <v>24</v>
      </c>
      <c r="H255" s="117" t="str">
        <f t="shared" si="44"/>
        <v>yes</v>
      </c>
      <c r="I255" s="117" t="str">
        <f t="shared" si="45"/>
        <v>no</v>
      </c>
      <c r="J255" s="117" t="str">
        <f t="shared" si="46"/>
        <v>no</v>
      </c>
      <c r="K255" s="176" t="s">
        <v>1006</v>
      </c>
      <c r="L255" s="117" t="str">
        <f t="shared" si="37"/>
        <v>detailed</v>
      </c>
      <c r="M255" s="117" t="str">
        <f t="shared" si="47"/>
        <v>detailed Mining</v>
      </c>
      <c r="N255" s="179">
        <v>350000</v>
      </c>
      <c r="O255" s="179"/>
      <c r="P255" s="179"/>
      <c r="Q255" s="179"/>
      <c r="R255" s="179"/>
      <c r="S255" s="117" t="s">
        <v>610</v>
      </c>
      <c r="T255" s="119">
        <v>8.42</v>
      </c>
      <c r="U255" s="117" t="s">
        <v>611</v>
      </c>
      <c r="V255" s="117" t="s">
        <v>1014</v>
      </c>
      <c r="W255" s="89">
        <f>N255*T255</f>
        <v>2947000</v>
      </c>
      <c r="X255" s="117"/>
      <c r="Y255" s="117"/>
      <c r="Z255" s="117"/>
      <c r="AA255" s="177">
        <v>0</v>
      </c>
      <c r="AB255" s="177">
        <v>4701169.1603303086</v>
      </c>
      <c r="AC255" s="122"/>
      <c r="AD255" s="122"/>
      <c r="AE255" s="122"/>
      <c r="AF255" s="123">
        <f>AB255/W255</f>
        <v>1.5952389414083166</v>
      </c>
      <c r="AG255" s="117"/>
      <c r="AH255" s="124"/>
      <c r="AI255" s="117"/>
      <c r="AJ255" s="117"/>
      <c r="AK255" s="89"/>
      <c r="AL255" s="117"/>
      <c r="AM255" s="117"/>
      <c r="AN255" s="117"/>
      <c r="AO255" s="117"/>
      <c r="AP255" s="117"/>
      <c r="AQ255" s="117"/>
      <c r="AR255" s="126"/>
      <c r="AS255" s="117"/>
      <c r="AT255" s="117"/>
      <c r="AU255" s="117"/>
      <c r="AV255" s="128"/>
      <c r="AW255" s="117">
        <f>VLOOKUP($D255,'WB Data'!$C$3:$M$578,2,FALSE)</f>
        <v>10657705072.288368</v>
      </c>
      <c r="AX255" s="117">
        <f>VLOOKUP($D255,'WB Data'!$C$3:$M$578,3,FALSE)</f>
        <v>11720781</v>
      </c>
      <c r="AY255" s="847">
        <f t="shared" si="39"/>
        <v>0.12645724298604741</v>
      </c>
      <c r="AZ255" s="117" t="e">
        <f>VLOOKUP($D255,'WB Data'!$C$3:$M$578,4,FALSE)/100</f>
        <v>#VALUE!</v>
      </c>
      <c r="BA255" s="117" t="str">
        <f t="shared" si="40"/>
        <v>..</v>
      </c>
      <c r="BB255" s="129">
        <f>IFERROR(VLOOKUP($D255,'EITI Revenues'!$C$2:$G$224,5,FALSE),"..")</f>
        <v>1347744000</v>
      </c>
      <c r="BC255" s="846" t="str">
        <f t="shared" si="41"/>
        <v>..</v>
      </c>
      <c r="BD255" s="129" t="str">
        <f>VLOOKUP($D255,'WB Data 2'!$C$2:$K$545,6,FALSE)</f>
        <v>..</v>
      </c>
      <c r="BE255" s="129" t="str">
        <f>IFERROR(VLOOKUP($D255,UNCTAD!$C$5:$V$529,4,FALSE),"..")</f>
        <v>..</v>
      </c>
      <c r="BF255" s="846" t="str">
        <f t="shared" si="42"/>
        <v>..</v>
      </c>
      <c r="BG255" s="117">
        <f>VLOOKUP($D255,'WB Data'!$C$3:$M$578,5,FALSE)</f>
        <v>486040000</v>
      </c>
      <c r="BH255" s="129">
        <f>IFERROR($BB255/$BG255,"..")</f>
        <v>2.7729075796230762</v>
      </c>
      <c r="BI255" s="117">
        <f>IFERROR(VLOOKUP($D255,'WB Data'!$C$3:$M$578,7,FALSE)/100,"..")</f>
        <v>1.9819400000000001E-2</v>
      </c>
      <c r="BJ255" s="117">
        <f>IFERROR($BI255*$AW255,"..")</f>
        <v>211229319.90971211</v>
      </c>
      <c r="BK255" s="846">
        <f>IFERROR($BB255/$BJ255,"..")</f>
        <v>6.3804778644180642</v>
      </c>
      <c r="BL255" s="117">
        <f>IFERROR(VLOOKUP($D255,'WB Data'!$C$3:$M$578,7,FALSE)/100,"..")</f>
        <v>1.9819400000000001E-2</v>
      </c>
      <c r="BM255" s="117">
        <f>IFERROR($AW255*$BL255,"..")</f>
        <v>211229319.90971211</v>
      </c>
      <c r="BN255" s="846">
        <f>IFERROR($BB255/$BM255,"..")</f>
        <v>6.3804778644180642</v>
      </c>
      <c r="BO255" s="801">
        <f t="shared" si="38"/>
        <v>22</v>
      </c>
      <c r="BP255" s="117" t="str">
        <f>VLOOKUP($D255,'WB Data'!$C$3:$M$578,9,FALSE)</f>
        <v>..</v>
      </c>
      <c r="BQ255" s="117">
        <f>VLOOKUP($D255,'WB Data'!$C$3:$M$578,10,FALSE)</f>
        <v>49.76985365853659</v>
      </c>
      <c r="BR255" s="117">
        <f>VLOOKUP($D255,'WB Data'!$C$3:$M$578,11,FALSE)</f>
        <v>93.7</v>
      </c>
      <c r="BS255" s="129" t="str">
        <f>IFERROR(VLOOKUP($D255,'WB Data 2'!$C$2:$K$545,9,FALSE),"..")</f>
        <v>..</v>
      </c>
      <c r="BT255" s="129" t="str">
        <f>_xlfn.IFNA(VLOOKUP($C255,RGI!$A$2:$C$43,2,FALSE),"..")</f>
        <v>..</v>
      </c>
      <c r="BU255" s="129" t="str">
        <f>_xlfn.IFNA(VLOOKUP($C255,RGI!$A$2:$C$43,3,FALSE),"..")</f>
        <v>..</v>
      </c>
      <c r="BV255" s="129">
        <f>VLOOKUP($D255,WGI!$C$2:$O$478,7,FALSE)</f>
        <v>-1.37058406323075</v>
      </c>
      <c r="BW255" s="129">
        <f>VLOOKUP($D255,WGI!$C$2:$O$478,4,FALSE)</f>
        <v>-1.5122881189823201</v>
      </c>
      <c r="BX255" s="129">
        <f>VLOOKUP($D255,WGI!$C$2:$O$478,3,FALSE)</f>
        <v>-1.44544760515034</v>
      </c>
      <c r="BY255" s="129">
        <f>VLOOKUP($D255,WGI!$C$2:$O$478,5,FALSE)</f>
        <v>-1.0552521529166401</v>
      </c>
      <c r="BZ255" s="129">
        <f>VLOOKUP($D255,WGI!$C$2:$O$478,2,FALSE)</f>
        <v>-1.3353702560987399</v>
      </c>
    </row>
    <row r="256" spans="1:80" s="144" customFormat="1" ht="15" customHeight="1">
      <c r="A256" s="279" t="s">
        <v>147</v>
      </c>
      <c r="B256" s="132">
        <v>2011</v>
      </c>
      <c r="C256" s="117" t="s">
        <v>138</v>
      </c>
      <c r="D256" s="117" t="s">
        <v>3691</v>
      </c>
      <c r="E256" s="181" t="s">
        <v>86</v>
      </c>
      <c r="F256" s="132" t="s">
        <v>997</v>
      </c>
      <c r="G256" s="132" t="s">
        <v>41</v>
      </c>
      <c r="H256" s="117" t="str">
        <f t="shared" si="44"/>
        <v>yes</v>
      </c>
      <c r="I256" s="117" t="str">
        <f t="shared" si="45"/>
        <v>no</v>
      </c>
      <c r="J256" s="117" t="str">
        <f t="shared" si="46"/>
        <v>yes</v>
      </c>
      <c r="K256" s="182" t="s">
        <v>709</v>
      </c>
      <c r="L256" s="117" t="str">
        <f t="shared" si="37"/>
        <v>Total</v>
      </c>
      <c r="M256" s="117" t="str">
        <f t="shared" si="47"/>
        <v>Total Oil, Mining</v>
      </c>
      <c r="N256" s="238"/>
      <c r="O256" s="238"/>
      <c r="P256" s="238"/>
      <c r="Q256" s="238"/>
      <c r="R256" s="238"/>
      <c r="S256" s="132"/>
      <c r="T256" s="134"/>
      <c r="U256" s="132"/>
      <c r="V256" s="132"/>
      <c r="W256" s="135">
        <f>W257+W258</f>
        <v>4435771495.2557497</v>
      </c>
      <c r="X256" s="132" t="s">
        <v>710</v>
      </c>
      <c r="Y256" s="132" t="s">
        <v>602</v>
      </c>
      <c r="Z256" s="132"/>
      <c r="AA256" s="183">
        <v>2146562000</v>
      </c>
      <c r="AB256" s="183">
        <v>2225298411.1675129</v>
      </c>
      <c r="AC256" s="138"/>
      <c r="AD256" s="138"/>
      <c r="AE256" s="138"/>
      <c r="AF256" s="139">
        <f>AA256/W256</f>
        <v>0.48392077957483637</v>
      </c>
      <c r="AG256" s="132" t="s">
        <v>891</v>
      </c>
      <c r="AH256" s="140">
        <v>492.5</v>
      </c>
      <c r="AI256" s="132" t="s">
        <v>722</v>
      </c>
      <c r="AJ256" s="132"/>
      <c r="AK256" s="135"/>
      <c r="AL256" s="132" t="s">
        <v>999</v>
      </c>
      <c r="AM256" s="160">
        <v>3800000</v>
      </c>
      <c r="AN256" s="132">
        <v>12</v>
      </c>
      <c r="AO256" s="132" t="s">
        <v>1015</v>
      </c>
      <c r="AP256" s="132">
        <v>12</v>
      </c>
      <c r="AQ256" s="132" t="s">
        <v>145</v>
      </c>
      <c r="AR256" s="141">
        <v>41946</v>
      </c>
      <c r="AS256" s="132" t="s">
        <v>670</v>
      </c>
      <c r="AT256" s="132" t="s">
        <v>148</v>
      </c>
      <c r="AU256" s="132" t="s">
        <v>1016</v>
      </c>
      <c r="AV256" s="143" t="s">
        <v>1017</v>
      </c>
      <c r="AW256" s="117">
        <f>VLOOKUP($D256,'WB Data'!$C$3:$M$578,2,FALSE)</f>
        <v>12156380062.047134</v>
      </c>
      <c r="AX256" s="117">
        <f>VLOOKUP($D256,'WB Data'!$C$3:$M$578,3,FALSE)</f>
        <v>12080037</v>
      </c>
      <c r="AY256" s="847">
        <f t="shared" si="39"/>
        <v>0.17657904647960793</v>
      </c>
      <c r="AZ256" s="117" t="e">
        <f>VLOOKUP($D256,'WB Data'!$C$3:$M$578,4,FALSE)/100</f>
        <v>#VALUE!</v>
      </c>
      <c r="BA256" s="117" t="str">
        <f t="shared" si="40"/>
        <v>..</v>
      </c>
      <c r="BB256" s="129">
        <f>IFERROR(VLOOKUP($D256,'EITI Revenues'!$C$2:$G$224,5,FALSE),"..")</f>
        <v>2146562000</v>
      </c>
      <c r="BC256" s="846" t="str">
        <f t="shared" si="41"/>
        <v>..</v>
      </c>
      <c r="BD256" s="129" t="str">
        <f>VLOOKUP($D256,'WB Data 2'!$C$2:$K$545,6,FALSE)</f>
        <v>..</v>
      </c>
      <c r="BE256" s="129" t="str">
        <f>IFERROR(VLOOKUP($D256,UNCTAD!$C$5:$V$529,4,FALSE),"..")</f>
        <v>..</v>
      </c>
      <c r="BF256" s="846" t="str">
        <f t="shared" si="42"/>
        <v>..</v>
      </c>
      <c r="BG256" s="117">
        <f>VLOOKUP($D256,'WB Data'!$C$3:$M$578,5,FALSE)</f>
        <v>460190000</v>
      </c>
      <c r="BH256" s="129">
        <f>IFERROR($BB256/$BG256,"..")</f>
        <v>4.6645124839740104</v>
      </c>
      <c r="BI256" s="117">
        <f>IFERROR(VLOOKUP($D256,'WB Data'!$C$3:$M$578,7,FALSE)/100,"..")</f>
        <v>2.2578999999999998E-2</v>
      </c>
      <c r="BJ256" s="117">
        <f>IFERROR($BI256*$AW256,"..")</f>
        <v>274478905.42096221</v>
      </c>
      <c r="BK256" s="846">
        <f>IFERROR($BB256/$BJ256,"..")</f>
        <v>7.8204989804512133</v>
      </c>
      <c r="BL256" s="117">
        <f>IFERROR(VLOOKUP($D256,'WB Data'!$C$3:$M$578,7,FALSE)/100,"..")</f>
        <v>2.2578999999999998E-2</v>
      </c>
      <c r="BM256" s="117">
        <f>IFERROR($AW256*$BL256,"..")</f>
        <v>274478905.42096221</v>
      </c>
      <c r="BN256" s="846">
        <f>IFERROR($BB256/$BM256,"..")</f>
        <v>7.8204989804512133</v>
      </c>
      <c r="BO256" s="801">
        <f t="shared" si="38"/>
        <v>22</v>
      </c>
      <c r="BP256" s="117">
        <f>VLOOKUP($D256,'WB Data'!$C$3:$M$578,9,FALSE)</f>
        <v>46.7</v>
      </c>
      <c r="BQ256" s="117">
        <f>VLOOKUP($D256,'WB Data'!$C$3:$M$578,10,FALSE)</f>
        <v>50.236195121951226</v>
      </c>
      <c r="BR256" s="117">
        <f>VLOOKUP($D256,'WB Data'!$C$3:$M$578,11,FALSE)</f>
        <v>91.9</v>
      </c>
      <c r="BS256" s="129">
        <f>IFERROR(VLOOKUP($D256,'WB Data 2'!$C$2:$K$545,9,FALSE),"..")</f>
        <v>63.789839999999998</v>
      </c>
      <c r="BT256" s="129" t="str">
        <f>_xlfn.IFNA(VLOOKUP($C256,RGI!$A$2:$C$43,2,FALSE),"..")</f>
        <v>..</v>
      </c>
      <c r="BU256" s="129" t="str">
        <f>_xlfn.IFNA(VLOOKUP($C256,RGI!$A$2:$C$43,3,FALSE),"..")</f>
        <v>..</v>
      </c>
      <c r="BV256" s="129">
        <f>VLOOKUP($D256,WGI!$C$2:$O$478,7,FALSE)</f>
        <v>-1.34910253217376</v>
      </c>
      <c r="BW256" s="129">
        <f>VLOOKUP($D256,WGI!$C$2:$O$478,4,FALSE)</f>
        <v>-1.3134404667769399</v>
      </c>
      <c r="BX256" s="129">
        <f>VLOOKUP($D256,WGI!$C$2:$O$478,3,FALSE)</f>
        <v>-1.3489423700241401</v>
      </c>
      <c r="BY256" s="129">
        <f>VLOOKUP($D256,WGI!$C$2:$O$478,5,FALSE)</f>
        <v>-1.01005915682657</v>
      </c>
      <c r="BZ256" s="129">
        <f>VLOOKUP($D256,WGI!$C$2:$O$478,2,FALSE)</f>
        <v>-1.2624685415010499</v>
      </c>
      <c r="CB256" s="129"/>
    </row>
    <row r="257" spans="1:80" ht="15" customHeight="1">
      <c r="A257" s="280" t="s">
        <v>147</v>
      </c>
      <c r="B257" s="117">
        <v>2011</v>
      </c>
      <c r="C257" s="117" t="s">
        <v>138</v>
      </c>
      <c r="D257" s="117" t="s">
        <v>3691</v>
      </c>
      <c r="E257" s="174" t="s">
        <v>86</v>
      </c>
      <c r="F257" s="117"/>
      <c r="G257" s="117" t="s">
        <v>103</v>
      </c>
      <c r="H257" s="117" t="str">
        <f t="shared" si="44"/>
        <v>no</v>
      </c>
      <c r="I257" s="117" t="str">
        <f t="shared" si="45"/>
        <v>no</v>
      </c>
      <c r="J257" s="117" t="str">
        <f t="shared" si="46"/>
        <v>yes</v>
      </c>
      <c r="K257" s="176" t="s">
        <v>103</v>
      </c>
      <c r="L257" s="117" t="str">
        <f t="shared" si="37"/>
        <v>detailed</v>
      </c>
      <c r="M257" s="117" t="str">
        <f t="shared" si="47"/>
        <v>detailed Oil</v>
      </c>
      <c r="N257" s="179">
        <v>41610000</v>
      </c>
      <c r="O257" s="179"/>
      <c r="P257" s="179"/>
      <c r="Q257" s="179"/>
      <c r="R257" s="179"/>
      <c r="S257" s="117" t="s">
        <v>646</v>
      </c>
      <c r="T257" s="119">
        <v>106.530653575</v>
      </c>
      <c r="U257" s="117" t="s">
        <v>673</v>
      </c>
      <c r="V257" s="117" t="s">
        <v>1003</v>
      </c>
      <c r="W257" s="89">
        <f>N257*T257</f>
        <v>4432740495.2557497</v>
      </c>
      <c r="X257" s="117"/>
      <c r="Y257" s="117"/>
      <c r="Z257" s="117"/>
      <c r="AA257" s="177">
        <v>2146562000</v>
      </c>
      <c r="AB257" s="177">
        <v>2223471000</v>
      </c>
      <c r="AC257" s="122"/>
      <c r="AD257" s="122"/>
      <c r="AE257" s="122"/>
      <c r="AF257" s="123">
        <f>AA257/W257</f>
        <v>0.48425167281897308</v>
      </c>
      <c r="AG257" s="117"/>
      <c r="AH257" s="124"/>
      <c r="AI257" s="117"/>
      <c r="AJ257" s="117"/>
      <c r="AK257" s="89"/>
      <c r="AL257" s="117" t="s">
        <v>999</v>
      </c>
      <c r="AM257" s="177">
        <v>3800000</v>
      </c>
      <c r="AN257" s="117">
        <v>11</v>
      </c>
      <c r="AO257" s="117" t="s">
        <v>1018</v>
      </c>
      <c r="AP257" s="117">
        <v>11</v>
      </c>
      <c r="AQ257" s="117"/>
      <c r="AR257" s="126"/>
      <c r="AS257" s="117"/>
      <c r="AT257" s="117"/>
      <c r="AU257" s="117"/>
      <c r="AV257" s="128"/>
      <c r="AW257" s="117">
        <f>VLOOKUP($D257,'WB Data'!$C$3:$M$578,2,FALSE)</f>
        <v>12156380062.047134</v>
      </c>
      <c r="AX257" s="117">
        <f>VLOOKUP($D257,'WB Data'!$C$3:$M$578,3,FALSE)</f>
        <v>12080037</v>
      </c>
      <c r="AY257" s="847">
        <f t="shared" si="39"/>
        <v>0.17657904647960793</v>
      </c>
      <c r="AZ257" s="117" t="e">
        <f>VLOOKUP($D257,'WB Data'!$C$3:$M$578,4,FALSE)/100</f>
        <v>#VALUE!</v>
      </c>
      <c r="BA257" s="117" t="str">
        <f t="shared" si="40"/>
        <v>..</v>
      </c>
      <c r="BB257" s="129">
        <f>IFERROR(VLOOKUP($D257,'EITI Revenues'!$C$2:$G$224,5,FALSE),"..")</f>
        <v>2146562000</v>
      </c>
      <c r="BC257" s="846" t="str">
        <f t="shared" si="41"/>
        <v>..</v>
      </c>
      <c r="BD257" s="129" t="str">
        <f>VLOOKUP($D257,'WB Data 2'!$C$2:$K$545,6,FALSE)</f>
        <v>..</v>
      </c>
      <c r="BE257" s="129" t="str">
        <f>IFERROR(VLOOKUP($D257,UNCTAD!$C$5:$V$529,4,FALSE),"..")</f>
        <v>..</v>
      </c>
      <c r="BF257" s="846" t="str">
        <f t="shared" si="42"/>
        <v>..</v>
      </c>
      <c r="BG257" s="117">
        <f>VLOOKUP($D257,'WB Data'!$C$3:$M$578,5,FALSE)</f>
        <v>460190000</v>
      </c>
      <c r="BH257" s="129">
        <f>IFERROR($BB257/$BG257,"..")</f>
        <v>4.6645124839740104</v>
      </c>
      <c r="BI257" s="117">
        <f>IFERROR(VLOOKUP($D257,'WB Data'!$C$3:$M$578,7,FALSE)/100,"..")</f>
        <v>2.2578999999999998E-2</v>
      </c>
      <c r="BJ257" s="117">
        <f>IFERROR($BI257*$AW257,"..")</f>
        <v>274478905.42096221</v>
      </c>
      <c r="BK257" s="846">
        <f>IFERROR($BB257/$BJ257,"..")</f>
        <v>7.8204989804512133</v>
      </c>
      <c r="BL257" s="117">
        <f>IFERROR(VLOOKUP($D257,'WB Data'!$C$3:$M$578,7,FALSE)/100,"..")</f>
        <v>2.2578999999999998E-2</v>
      </c>
      <c r="BM257" s="117">
        <f>IFERROR($AW257*$BL257,"..")</f>
        <v>274478905.42096221</v>
      </c>
      <c r="BN257" s="846">
        <f>IFERROR($BB257/$BM257,"..")</f>
        <v>7.8204989804512133</v>
      </c>
      <c r="BO257" s="801">
        <f t="shared" si="38"/>
        <v>22</v>
      </c>
      <c r="BP257" s="117">
        <f>VLOOKUP($D257,'WB Data'!$C$3:$M$578,9,FALSE)</f>
        <v>46.7</v>
      </c>
      <c r="BQ257" s="117">
        <f>VLOOKUP($D257,'WB Data'!$C$3:$M$578,10,FALSE)</f>
        <v>50.236195121951226</v>
      </c>
      <c r="BR257" s="117">
        <f>VLOOKUP($D257,'WB Data'!$C$3:$M$578,11,FALSE)</f>
        <v>91.9</v>
      </c>
      <c r="BS257" s="129">
        <f>IFERROR(VLOOKUP($D257,'WB Data 2'!$C$2:$K$545,9,FALSE),"..")</f>
        <v>63.789839999999998</v>
      </c>
      <c r="BT257" s="129" t="str">
        <f>_xlfn.IFNA(VLOOKUP($C257,RGI!$A$2:$C$43,2,FALSE),"..")</f>
        <v>..</v>
      </c>
      <c r="BU257" s="129" t="str">
        <f>_xlfn.IFNA(VLOOKUP($C257,RGI!$A$2:$C$43,3,FALSE),"..")</f>
        <v>..</v>
      </c>
      <c r="BV257" s="129">
        <f>VLOOKUP($D257,WGI!$C$2:$O$478,7,FALSE)</f>
        <v>-1.34910253217376</v>
      </c>
      <c r="BW257" s="129">
        <f>VLOOKUP($D257,WGI!$C$2:$O$478,4,FALSE)</f>
        <v>-1.3134404667769399</v>
      </c>
      <c r="BX257" s="129">
        <f>VLOOKUP($D257,WGI!$C$2:$O$478,3,FALSE)</f>
        <v>-1.3489423700241401</v>
      </c>
      <c r="BY257" s="129">
        <f>VLOOKUP($D257,WGI!$C$2:$O$478,5,FALSE)</f>
        <v>-1.01005915682657</v>
      </c>
      <c r="BZ257" s="129">
        <f>VLOOKUP($D257,WGI!$C$2:$O$478,2,FALSE)</f>
        <v>-1.2624685415010499</v>
      </c>
    </row>
    <row r="258" spans="1:80" ht="15" customHeight="1">
      <c r="A258" s="280" t="s">
        <v>147</v>
      </c>
      <c r="B258" s="117">
        <v>2011</v>
      </c>
      <c r="C258" s="117" t="s">
        <v>138</v>
      </c>
      <c r="D258" s="117" t="s">
        <v>3691</v>
      </c>
      <c r="E258" s="174" t="s">
        <v>86</v>
      </c>
      <c r="F258" s="117"/>
      <c r="G258" s="117" t="s">
        <v>24</v>
      </c>
      <c r="H258" s="117" t="str">
        <f t="shared" si="44"/>
        <v>yes</v>
      </c>
      <c r="I258" s="117" t="str">
        <f t="shared" si="45"/>
        <v>no</v>
      </c>
      <c r="J258" s="117" t="str">
        <f t="shared" si="46"/>
        <v>no</v>
      </c>
      <c r="K258" s="176" t="s">
        <v>1006</v>
      </c>
      <c r="L258" s="117" t="str">
        <f t="shared" ref="L258:L321" si="49">IF(LEFT(K258,5)="Total","Total","detailed")</f>
        <v>detailed</v>
      </c>
      <c r="M258" s="117" t="str">
        <f t="shared" si="47"/>
        <v>detailed Mining</v>
      </c>
      <c r="N258" s="179">
        <v>350000</v>
      </c>
      <c r="O258" s="179"/>
      <c r="P258" s="179"/>
      <c r="Q258" s="179"/>
      <c r="R258" s="179"/>
      <c r="S258" s="117" t="s">
        <v>610</v>
      </c>
      <c r="T258" s="119">
        <v>8.66</v>
      </c>
      <c r="U258" s="117" t="s">
        <v>611</v>
      </c>
      <c r="V258" s="117" t="s">
        <v>1019</v>
      </c>
      <c r="W258" s="89">
        <f>N258*T258</f>
        <v>3031000</v>
      </c>
      <c r="X258" s="117"/>
      <c r="Y258" s="117"/>
      <c r="Z258" s="117"/>
      <c r="AA258" s="177"/>
      <c r="AB258" s="177">
        <v>1827411.1675126904</v>
      </c>
      <c r="AC258" s="122"/>
      <c r="AD258" s="122"/>
      <c r="AE258" s="122"/>
      <c r="AF258" s="123">
        <f>AB258/W258</f>
        <v>0.60290701666535484</v>
      </c>
      <c r="AG258" s="117"/>
      <c r="AH258" s="124"/>
      <c r="AI258" s="117"/>
      <c r="AJ258" s="117"/>
      <c r="AK258" s="89"/>
      <c r="AL258" s="117"/>
      <c r="AM258" s="117"/>
      <c r="AN258" s="117"/>
      <c r="AO258" s="117"/>
      <c r="AP258" s="117"/>
      <c r="AQ258" s="117"/>
      <c r="AR258" s="126"/>
      <c r="AS258" s="117"/>
      <c r="AT258" s="117"/>
      <c r="AU258" s="117"/>
      <c r="AV258" s="128"/>
      <c r="AW258" s="117">
        <f>VLOOKUP($D258,'WB Data'!$C$3:$M$578,2,FALSE)</f>
        <v>12156380062.047134</v>
      </c>
      <c r="AX258" s="117">
        <f>VLOOKUP($D258,'WB Data'!$C$3:$M$578,3,FALSE)</f>
        <v>12080037</v>
      </c>
      <c r="AY258" s="847">
        <f t="shared" si="39"/>
        <v>0.17657904647960793</v>
      </c>
      <c r="AZ258" s="117" t="e">
        <f>VLOOKUP($D258,'WB Data'!$C$3:$M$578,4,FALSE)/100</f>
        <v>#VALUE!</v>
      </c>
      <c r="BA258" s="117" t="str">
        <f t="shared" si="40"/>
        <v>..</v>
      </c>
      <c r="BB258" s="129">
        <f>IFERROR(VLOOKUP($D258,'EITI Revenues'!$C$2:$G$224,5,FALSE),"..")</f>
        <v>2146562000</v>
      </c>
      <c r="BC258" s="846" t="str">
        <f t="shared" si="41"/>
        <v>..</v>
      </c>
      <c r="BD258" s="129" t="str">
        <f>VLOOKUP($D258,'WB Data 2'!$C$2:$K$545,6,FALSE)</f>
        <v>..</v>
      </c>
      <c r="BE258" s="129" t="str">
        <f>IFERROR(VLOOKUP($D258,UNCTAD!$C$5:$V$529,4,FALSE),"..")</f>
        <v>..</v>
      </c>
      <c r="BF258" s="846" t="str">
        <f t="shared" si="42"/>
        <v>..</v>
      </c>
      <c r="BG258" s="117">
        <f>VLOOKUP($D258,'WB Data'!$C$3:$M$578,5,FALSE)</f>
        <v>460190000</v>
      </c>
      <c r="BH258" s="129">
        <f>IFERROR($BB258/$BG258,"..")</f>
        <v>4.6645124839740104</v>
      </c>
      <c r="BI258" s="117">
        <f>IFERROR(VLOOKUP($D258,'WB Data'!$C$3:$M$578,7,FALSE)/100,"..")</f>
        <v>2.2578999999999998E-2</v>
      </c>
      <c r="BJ258" s="117">
        <f>IFERROR($BI258*$AW258,"..")</f>
        <v>274478905.42096221</v>
      </c>
      <c r="BK258" s="846">
        <f>IFERROR($BB258/$BJ258,"..")</f>
        <v>7.8204989804512133</v>
      </c>
      <c r="BL258" s="117">
        <f>IFERROR(VLOOKUP($D258,'WB Data'!$C$3:$M$578,7,FALSE)/100,"..")</f>
        <v>2.2578999999999998E-2</v>
      </c>
      <c r="BM258" s="117">
        <f>IFERROR($AW258*$BL258,"..")</f>
        <v>274478905.42096221</v>
      </c>
      <c r="BN258" s="846">
        <f>IFERROR($BB258/$BM258,"..")</f>
        <v>7.8204989804512133</v>
      </c>
      <c r="BO258" s="801">
        <f t="shared" ref="BO258:BO321" si="50">_xlfn.IFNA(VLOOKUP($C258,CPI_2013,2,FALSE),"..")</f>
        <v>22</v>
      </c>
      <c r="BP258" s="117">
        <f>VLOOKUP($D258,'WB Data'!$C$3:$M$578,9,FALSE)</f>
        <v>46.7</v>
      </c>
      <c r="BQ258" s="117">
        <f>VLOOKUP($D258,'WB Data'!$C$3:$M$578,10,FALSE)</f>
        <v>50.236195121951226</v>
      </c>
      <c r="BR258" s="117">
        <f>VLOOKUP($D258,'WB Data'!$C$3:$M$578,11,FALSE)</f>
        <v>91.9</v>
      </c>
      <c r="BS258" s="129">
        <f>IFERROR(VLOOKUP($D258,'WB Data 2'!$C$2:$K$545,9,FALSE),"..")</f>
        <v>63.789839999999998</v>
      </c>
      <c r="BT258" s="129" t="str">
        <f>_xlfn.IFNA(VLOOKUP($C258,RGI!$A$2:$C$43,2,FALSE),"..")</f>
        <v>..</v>
      </c>
      <c r="BU258" s="129" t="str">
        <f>_xlfn.IFNA(VLOOKUP($C258,RGI!$A$2:$C$43,3,FALSE),"..")</f>
        <v>..</v>
      </c>
      <c r="BV258" s="129">
        <f>VLOOKUP($D258,WGI!$C$2:$O$478,7,FALSE)</f>
        <v>-1.34910253217376</v>
      </c>
      <c r="BW258" s="129">
        <f>VLOOKUP($D258,WGI!$C$2:$O$478,4,FALSE)</f>
        <v>-1.3134404667769399</v>
      </c>
      <c r="BX258" s="129">
        <f>VLOOKUP($D258,WGI!$C$2:$O$478,3,FALSE)</f>
        <v>-1.3489423700241401</v>
      </c>
      <c r="BY258" s="129">
        <f>VLOOKUP($D258,WGI!$C$2:$O$478,5,FALSE)</f>
        <v>-1.01005915682657</v>
      </c>
      <c r="BZ258" s="129">
        <f>VLOOKUP($D258,WGI!$C$2:$O$478,2,FALSE)</f>
        <v>-1.2624685415010499</v>
      </c>
    </row>
    <row r="259" spans="1:80" s="144" customFormat="1" ht="15" customHeight="1">
      <c r="A259" s="279" t="s">
        <v>149</v>
      </c>
      <c r="B259" s="132">
        <v>2012</v>
      </c>
      <c r="C259" s="117" t="s">
        <v>138</v>
      </c>
      <c r="D259" s="117" t="s">
        <v>3725</v>
      </c>
      <c r="E259" s="181" t="s">
        <v>86</v>
      </c>
      <c r="F259" s="132" t="s">
        <v>997</v>
      </c>
      <c r="G259" s="132" t="s">
        <v>41</v>
      </c>
      <c r="H259" s="117" t="str">
        <f t="shared" si="44"/>
        <v>yes</v>
      </c>
      <c r="I259" s="117" t="str">
        <f t="shared" si="45"/>
        <v>no</v>
      </c>
      <c r="J259" s="117" t="str">
        <f t="shared" si="46"/>
        <v>yes</v>
      </c>
      <c r="K259" s="182" t="s">
        <v>709</v>
      </c>
      <c r="L259" s="117" t="str">
        <f t="shared" si="49"/>
        <v>Total</v>
      </c>
      <c r="M259" s="117" t="str">
        <f t="shared" si="47"/>
        <v>Total Oil, Mining</v>
      </c>
      <c r="N259" s="238"/>
      <c r="O259" s="238"/>
      <c r="P259" s="238"/>
      <c r="Q259" s="238"/>
      <c r="R259" s="238"/>
      <c r="S259" s="132"/>
      <c r="T259" s="134"/>
      <c r="U259" s="132"/>
      <c r="V259" s="132"/>
      <c r="W259" s="135">
        <f>W260+W261</f>
        <v>3954577097.9020705</v>
      </c>
      <c r="X259" s="132" t="s">
        <v>943</v>
      </c>
      <c r="Y259" s="132" t="s">
        <v>602</v>
      </c>
      <c r="Z259" s="132"/>
      <c r="AA259" s="325">
        <v>2109663000</v>
      </c>
      <c r="AB259" s="325">
        <v>2107958000</v>
      </c>
      <c r="AC259" s="138"/>
      <c r="AD259" s="138"/>
      <c r="AE259" s="138"/>
      <c r="AF259" s="139">
        <f>AA259/W259</f>
        <v>0.5334737312667871</v>
      </c>
      <c r="AG259" s="132" t="s">
        <v>891</v>
      </c>
      <c r="AH259" s="140">
        <v>503.03</v>
      </c>
      <c r="AI259" s="132" t="s">
        <v>722</v>
      </c>
      <c r="AJ259" s="132" t="s">
        <v>1020</v>
      </c>
      <c r="AK259" s="135" t="s">
        <v>1021</v>
      </c>
      <c r="AL259" s="132" t="s">
        <v>999</v>
      </c>
      <c r="AM259" s="160">
        <v>3500000</v>
      </c>
      <c r="AN259" s="132">
        <v>24</v>
      </c>
      <c r="AO259" s="132" t="s">
        <v>1022</v>
      </c>
      <c r="AP259" s="132">
        <v>22</v>
      </c>
      <c r="AQ259" s="132" t="s">
        <v>150</v>
      </c>
      <c r="AR259" s="141">
        <v>41947</v>
      </c>
      <c r="AS259" s="132" t="s">
        <v>1023</v>
      </c>
      <c r="AT259" s="132" t="s">
        <v>151</v>
      </c>
      <c r="AU259" s="132" t="s">
        <v>1024</v>
      </c>
      <c r="AV259" s="143" t="s">
        <v>1025</v>
      </c>
      <c r="AW259" s="117">
        <f>VLOOKUP($D259,'WB Data'!$C$3:$M$578,2,FALSE)</f>
        <v>12887072081.636263</v>
      </c>
      <c r="AX259" s="117">
        <f>VLOOKUP($D259,'WB Data'!$C$3:$M$578,3,FALSE)</f>
        <v>12448175</v>
      </c>
      <c r="AY259" s="847">
        <f t="shared" ref="AY259:AY322" si="51">IFERROR($BB259/$AW259,"..")</f>
        <v>0.16370382555756896</v>
      </c>
      <c r="AZ259" s="117" t="e">
        <f>VLOOKUP($D259,'WB Data'!$C$3:$M$578,4,FALSE)/100</f>
        <v>#VALUE!</v>
      </c>
      <c r="BA259" s="117" t="str">
        <f t="shared" ref="BA259:BA322" si="52">IFERROR($AW259*$AZ259,"..")</f>
        <v>..</v>
      </c>
      <c r="BB259" s="129">
        <f>IFERROR(VLOOKUP($D259,'EITI Revenues'!$C$2:$G$224,5,FALSE),"..")</f>
        <v>2109663000</v>
      </c>
      <c r="BC259" s="846" t="str">
        <f t="shared" ref="BC259:BC322" si="53">IFERROR($BB259/$BA259,"..")</f>
        <v>..</v>
      </c>
      <c r="BD259" s="129" t="str">
        <f>VLOOKUP($D259,'WB Data 2'!$C$2:$K$545,6,FALSE)</f>
        <v>..</v>
      </c>
      <c r="BE259" s="129" t="str">
        <f>IFERROR(VLOOKUP($D259,UNCTAD!$C$5:$V$529,4,FALSE),"..")</f>
        <v>..</v>
      </c>
      <c r="BF259" s="846" t="str">
        <f t="shared" ref="BF259:BF322" si="54">IFERROR(($BD259/$BE259),"..")</f>
        <v>..</v>
      </c>
      <c r="BG259" s="117">
        <f>VLOOKUP($D259,'WB Data'!$C$3:$M$578,5,FALSE)</f>
        <v>478590000</v>
      </c>
      <c r="BH259" s="129">
        <f>IFERROR($BB259/$BG259,"..")</f>
        <v>4.4080799849558074</v>
      </c>
      <c r="BI259" s="117" t="str">
        <f>IFERROR(VLOOKUP($D259,'WB Data'!$C$3:$M$578,7,FALSE)/100,"..")</f>
        <v>..</v>
      </c>
      <c r="BJ259" s="117" t="str">
        <f>IFERROR($BI259*$AW259,"..")</f>
        <v>..</v>
      </c>
      <c r="BK259" s="846" t="str">
        <f>IFERROR($BB259/$BJ259,"..")</f>
        <v>..</v>
      </c>
      <c r="BL259" s="117" t="str">
        <f>IFERROR(VLOOKUP($D259,'WB Data'!$C$3:$M$578,7,FALSE)/100,"..")</f>
        <v>..</v>
      </c>
      <c r="BM259" s="117" t="str">
        <f>IFERROR($AW259*$BL259,"..")</f>
        <v>..</v>
      </c>
      <c r="BN259" s="846" t="str">
        <f>IFERROR($BB259/$BM259,"..")</f>
        <v>..</v>
      </c>
      <c r="BO259" s="801">
        <f t="shared" si="50"/>
        <v>22</v>
      </c>
      <c r="BP259" s="117" t="str">
        <f>VLOOKUP($D259,'WB Data'!$C$3:$M$578,9,FALSE)</f>
        <v>..</v>
      </c>
      <c r="BQ259" s="117">
        <f>VLOOKUP($D259,'WB Data'!$C$3:$M$578,10,FALSE)</f>
        <v>50.700585365853662</v>
      </c>
      <c r="BR259" s="117">
        <f>VLOOKUP($D259,'WB Data'!$C$3:$M$578,11,FALSE)</f>
        <v>90.2</v>
      </c>
      <c r="BS259" s="129" t="str">
        <f>IFERROR(VLOOKUP($D259,'WB Data 2'!$C$2:$K$545,9,FALSE),"..")</f>
        <v>..</v>
      </c>
      <c r="BT259" s="129" t="str">
        <f>_xlfn.IFNA(VLOOKUP($C259,RGI!$A$2:$C$43,2,FALSE),"..")</f>
        <v>..</v>
      </c>
      <c r="BU259" s="129" t="str">
        <f>_xlfn.IFNA(VLOOKUP($C259,RGI!$A$2:$C$43,3,FALSE),"..")</f>
        <v>..</v>
      </c>
      <c r="BV259" s="129">
        <f>VLOOKUP($D259,WGI!$C$2:$O$478,7,FALSE)</f>
        <v>-1.3280709279366301</v>
      </c>
      <c r="BW259" s="129">
        <f>VLOOKUP($D259,WGI!$C$2:$O$478,4,FALSE)</f>
        <v>-1.0650432341870599</v>
      </c>
      <c r="BX259" s="129">
        <f>VLOOKUP($D259,WGI!$C$2:$O$478,3,FALSE)</f>
        <v>-1.49279000067873</v>
      </c>
      <c r="BY259" s="129">
        <f>VLOOKUP($D259,WGI!$C$2:$O$478,5,FALSE)</f>
        <v>-1.0795600268782799</v>
      </c>
      <c r="BZ259" s="129">
        <f>VLOOKUP($D259,WGI!$C$2:$O$478,2,FALSE)</f>
        <v>-1.25043989711329</v>
      </c>
      <c r="CB259" s="129"/>
    </row>
    <row r="260" spans="1:80" s="120" customFormat="1" ht="15" customHeight="1">
      <c r="A260" s="280" t="s">
        <v>149</v>
      </c>
      <c r="B260" s="117">
        <v>2012</v>
      </c>
      <c r="C260" s="117" t="s">
        <v>138</v>
      </c>
      <c r="D260" s="117" t="s">
        <v>3725</v>
      </c>
      <c r="E260" s="174" t="s">
        <v>86</v>
      </c>
      <c r="F260" s="117"/>
      <c r="G260" s="117" t="s">
        <v>103</v>
      </c>
      <c r="H260" s="117" t="str">
        <f t="shared" si="44"/>
        <v>no</v>
      </c>
      <c r="I260" s="117" t="str">
        <f t="shared" si="45"/>
        <v>no</v>
      </c>
      <c r="J260" s="117" t="str">
        <f t="shared" si="46"/>
        <v>yes</v>
      </c>
      <c r="K260" s="176" t="s">
        <v>103</v>
      </c>
      <c r="L260" s="117" t="str">
        <f t="shared" si="49"/>
        <v>detailed</v>
      </c>
      <c r="M260" s="117" t="str">
        <f t="shared" si="47"/>
        <v>detailed Oil</v>
      </c>
      <c r="N260" s="179">
        <v>36865000</v>
      </c>
      <c r="O260" s="179"/>
      <c r="P260" s="179"/>
      <c r="Q260" s="179"/>
      <c r="R260" s="179"/>
      <c r="S260" s="117" t="s">
        <v>646</v>
      </c>
      <c r="T260" s="119">
        <v>107.27185943041016</v>
      </c>
      <c r="U260" s="117" t="s">
        <v>673</v>
      </c>
      <c r="V260" s="117" t="s">
        <v>1003</v>
      </c>
      <c r="W260" s="89">
        <f>N260*T260</f>
        <v>3954577097.9020705</v>
      </c>
      <c r="X260" s="117"/>
      <c r="Y260" s="117"/>
      <c r="Z260" s="117"/>
      <c r="AA260" s="177">
        <v>2109663000</v>
      </c>
      <c r="AB260" s="177">
        <v>2105905000</v>
      </c>
      <c r="AC260" s="122"/>
      <c r="AD260" s="122"/>
      <c r="AE260" s="122"/>
      <c r="AF260" s="123">
        <f>AA260/W260</f>
        <v>0.5334737312667871</v>
      </c>
      <c r="AG260" s="117"/>
      <c r="AH260" s="124"/>
      <c r="AI260" s="117"/>
      <c r="AJ260" s="117"/>
      <c r="AK260" s="89"/>
      <c r="AL260" s="117" t="s">
        <v>999</v>
      </c>
      <c r="AM260" s="177">
        <v>3500000</v>
      </c>
      <c r="AN260" s="117">
        <v>19</v>
      </c>
      <c r="AO260" s="117" t="s">
        <v>1026</v>
      </c>
      <c r="AP260" s="117"/>
      <c r="AQ260" s="117"/>
      <c r="AR260" s="126"/>
      <c r="AS260" s="117"/>
      <c r="AT260" s="117"/>
      <c r="AU260" s="117"/>
      <c r="AV260" s="128"/>
      <c r="AW260" s="117">
        <f>VLOOKUP($D260,'WB Data'!$C$3:$M$578,2,FALSE)</f>
        <v>12887072081.636263</v>
      </c>
      <c r="AX260" s="117">
        <f>VLOOKUP($D260,'WB Data'!$C$3:$M$578,3,FALSE)</f>
        <v>12448175</v>
      </c>
      <c r="AY260" s="847">
        <f t="shared" si="51"/>
        <v>0.16370382555756896</v>
      </c>
      <c r="AZ260" s="117" t="e">
        <f>VLOOKUP($D260,'WB Data'!$C$3:$M$578,4,FALSE)/100</f>
        <v>#VALUE!</v>
      </c>
      <c r="BA260" s="117" t="str">
        <f t="shared" si="52"/>
        <v>..</v>
      </c>
      <c r="BB260" s="129">
        <f>IFERROR(VLOOKUP($D260,'EITI Revenues'!$C$2:$G$224,5,FALSE),"..")</f>
        <v>2109663000</v>
      </c>
      <c r="BC260" s="846" t="str">
        <f t="shared" si="53"/>
        <v>..</v>
      </c>
      <c r="BD260" s="129" t="str">
        <f>VLOOKUP($D260,'WB Data 2'!$C$2:$K$545,6,FALSE)</f>
        <v>..</v>
      </c>
      <c r="BE260" s="129" t="str">
        <f>IFERROR(VLOOKUP($D260,UNCTAD!$C$5:$V$529,4,FALSE),"..")</f>
        <v>..</v>
      </c>
      <c r="BF260" s="846" t="str">
        <f t="shared" si="54"/>
        <v>..</v>
      </c>
      <c r="BG260" s="117">
        <f>VLOOKUP($D260,'WB Data'!$C$3:$M$578,5,FALSE)</f>
        <v>478590000</v>
      </c>
      <c r="BH260" s="129">
        <f>IFERROR($BB260/$BG260,"..")</f>
        <v>4.4080799849558074</v>
      </c>
      <c r="BI260" s="117" t="str">
        <f>IFERROR(VLOOKUP($D260,'WB Data'!$C$3:$M$578,7,FALSE)/100,"..")</f>
        <v>..</v>
      </c>
      <c r="BJ260" s="117" t="str">
        <f>IFERROR($BI260*$AW260,"..")</f>
        <v>..</v>
      </c>
      <c r="BK260" s="846" t="str">
        <f>IFERROR($BB260/$BJ260,"..")</f>
        <v>..</v>
      </c>
      <c r="BL260" s="117" t="str">
        <f>IFERROR(VLOOKUP($D260,'WB Data'!$C$3:$M$578,7,FALSE)/100,"..")</f>
        <v>..</v>
      </c>
      <c r="BM260" s="117" t="str">
        <f>IFERROR($AW260*$BL260,"..")</f>
        <v>..</v>
      </c>
      <c r="BN260" s="846" t="str">
        <f>IFERROR($BB260/$BM260,"..")</f>
        <v>..</v>
      </c>
      <c r="BO260" s="801">
        <f t="shared" si="50"/>
        <v>22</v>
      </c>
      <c r="BP260" s="117" t="str">
        <f>VLOOKUP($D260,'WB Data'!$C$3:$M$578,9,FALSE)</f>
        <v>..</v>
      </c>
      <c r="BQ260" s="117">
        <f>VLOOKUP($D260,'WB Data'!$C$3:$M$578,10,FALSE)</f>
        <v>50.700585365853662</v>
      </c>
      <c r="BR260" s="117">
        <f>VLOOKUP($D260,'WB Data'!$C$3:$M$578,11,FALSE)</f>
        <v>90.2</v>
      </c>
      <c r="BS260" s="129" t="str">
        <f>IFERROR(VLOOKUP($D260,'WB Data 2'!$C$2:$K$545,9,FALSE),"..")</f>
        <v>..</v>
      </c>
      <c r="BT260" s="129" t="str">
        <f>_xlfn.IFNA(VLOOKUP($C260,RGI!$A$2:$C$43,2,FALSE),"..")</f>
        <v>..</v>
      </c>
      <c r="BU260" s="129" t="str">
        <f>_xlfn.IFNA(VLOOKUP($C260,RGI!$A$2:$C$43,3,FALSE),"..")</f>
        <v>..</v>
      </c>
      <c r="BV260" s="129">
        <f>VLOOKUP($D260,WGI!$C$2:$O$478,7,FALSE)</f>
        <v>-1.3280709279366301</v>
      </c>
      <c r="BW260" s="129">
        <f>VLOOKUP($D260,WGI!$C$2:$O$478,4,FALSE)</f>
        <v>-1.0650432341870599</v>
      </c>
      <c r="BX260" s="129">
        <f>VLOOKUP($D260,WGI!$C$2:$O$478,3,FALSE)</f>
        <v>-1.49279000067873</v>
      </c>
      <c r="BY260" s="129">
        <f>VLOOKUP($D260,WGI!$C$2:$O$478,5,FALSE)</f>
        <v>-1.0795600268782799</v>
      </c>
      <c r="BZ260" s="129">
        <f>VLOOKUP($D260,WGI!$C$2:$O$478,2,FALSE)</f>
        <v>-1.25043989711329</v>
      </c>
      <c r="CB260" s="129"/>
    </row>
    <row r="261" spans="1:80" s="173" customFormat="1" ht="15" customHeight="1" thickBot="1">
      <c r="A261" s="341" t="s">
        <v>149</v>
      </c>
      <c r="B261" s="164">
        <v>2012</v>
      </c>
      <c r="C261" s="117" t="s">
        <v>138</v>
      </c>
      <c r="D261" s="117" t="s">
        <v>3725</v>
      </c>
      <c r="E261" s="242" t="s">
        <v>86</v>
      </c>
      <c r="F261" s="164"/>
      <c r="G261" s="164" t="s">
        <v>24</v>
      </c>
      <c r="H261" s="164" t="str">
        <f t="shared" si="44"/>
        <v>yes</v>
      </c>
      <c r="I261" s="164" t="str">
        <f t="shared" si="45"/>
        <v>no</v>
      </c>
      <c r="J261" s="164" t="str">
        <f t="shared" si="46"/>
        <v>no</v>
      </c>
      <c r="K261" s="243" t="s">
        <v>1006</v>
      </c>
      <c r="L261" s="164" t="str">
        <f t="shared" si="49"/>
        <v>detailed</v>
      </c>
      <c r="M261" s="164" t="str">
        <f t="shared" si="47"/>
        <v>detailed Mining</v>
      </c>
      <c r="N261" s="244"/>
      <c r="O261" s="244"/>
      <c r="P261" s="244"/>
      <c r="Q261" s="244"/>
      <c r="R261" s="244"/>
      <c r="S261" s="164"/>
      <c r="T261" s="166"/>
      <c r="U261" s="164"/>
      <c r="V261" s="164"/>
      <c r="W261" s="167">
        <v>0</v>
      </c>
      <c r="X261" s="164"/>
      <c r="Y261" s="164"/>
      <c r="Z261" s="164"/>
      <c r="AA261" s="342"/>
      <c r="AB261" s="342">
        <f>2053000</f>
        <v>2053000</v>
      </c>
      <c r="AC261" s="169"/>
      <c r="AD261" s="169"/>
      <c r="AE261" s="169"/>
      <c r="AF261" s="170"/>
      <c r="AG261" s="164"/>
      <c r="AH261" s="171"/>
      <c r="AI261" s="164"/>
      <c r="AJ261" s="164"/>
      <c r="AK261" s="167"/>
      <c r="AL261" s="164"/>
      <c r="AM261" s="164"/>
      <c r="AN261" s="164"/>
      <c r="AO261" s="164"/>
      <c r="AP261" s="164"/>
      <c r="AQ261" s="164"/>
      <c r="AR261" s="249"/>
      <c r="AS261" s="164"/>
      <c r="AT261" s="164"/>
      <c r="AU261" s="164"/>
      <c r="AV261" s="172" t="s">
        <v>957</v>
      </c>
      <c r="AW261" s="117">
        <f>VLOOKUP($D261,'WB Data'!$C$3:$M$578,2,FALSE)</f>
        <v>12887072081.636263</v>
      </c>
      <c r="AX261" s="117">
        <f>VLOOKUP($D261,'WB Data'!$C$3:$M$578,3,FALSE)</f>
        <v>12448175</v>
      </c>
      <c r="AY261" s="847">
        <f t="shared" si="51"/>
        <v>0.16370382555756896</v>
      </c>
      <c r="AZ261" s="117" t="e">
        <f>VLOOKUP($D261,'WB Data'!$C$3:$M$578,4,FALSE)/100</f>
        <v>#VALUE!</v>
      </c>
      <c r="BA261" s="117" t="str">
        <f t="shared" si="52"/>
        <v>..</v>
      </c>
      <c r="BB261" s="129">
        <f>IFERROR(VLOOKUP($D261,'EITI Revenues'!$C$2:$G$224,5,FALSE),"..")</f>
        <v>2109663000</v>
      </c>
      <c r="BC261" s="846" t="str">
        <f t="shared" si="53"/>
        <v>..</v>
      </c>
      <c r="BD261" s="129" t="str">
        <f>VLOOKUP($D261,'WB Data 2'!$C$2:$K$545,6,FALSE)</f>
        <v>..</v>
      </c>
      <c r="BE261" s="129" t="str">
        <f>IFERROR(VLOOKUP($D261,UNCTAD!$C$5:$V$529,4,FALSE),"..")</f>
        <v>..</v>
      </c>
      <c r="BF261" s="846" t="str">
        <f t="shared" si="54"/>
        <v>..</v>
      </c>
      <c r="BG261" s="117">
        <f>VLOOKUP($D261,'WB Data'!$C$3:$M$578,5,FALSE)</f>
        <v>478590000</v>
      </c>
      <c r="BH261" s="129">
        <f>IFERROR($BB261/$BG261,"..")</f>
        <v>4.4080799849558074</v>
      </c>
      <c r="BI261" s="117" t="str">
        <f>IFERROR(VLOOKUP($D261,'WB Data'!$C$3:$M$578,7,FALSE)/100,"..")</f>
        <v>..</v>
      </c>
      <c r="BJ261" s="117" t="str">
        <f>IFERROR($BI261*$AW261,"..")</f>
        <v>..</v>
      </c>
      <c r="BK261" s="846" t="str">
        <f>IFERROR($BB261/$BJ261,"..")</f>
        <v>..</v>
      </c>
      <c r="BL261" s="117" t="str">
        <f>IFERROR(VLOOKUP($D261,'WB Data'!$C$3:$M$578,7,FALSE)/100,"..")</f>
        <v>..</v>
      </c>
      <c r="BM261" s="117" t="str">
        <f>IFERROR($AW261*$BL261,"..")</f>
        <v>..</v>
      </c>
      <c r="BN261" s="846" t="str">
        <f>IFERROR($BB261/$BM261,"..")</f>
        <v>..</v>
      </c>
      <c r="BO261" s="801">
        <f t="shared" si="50"/>
        <v>22</v>
      </c>
      <c r="BP261" s="117" t="str">
        <f>VLOOKUP($D261,'WB Data'!$C$3:$M$578,9,FALSE)</f>
        <v>..</v>
      </c>
      <c r="BQ261" s="117">
        <f>VLOOKUP($D261,'WB Data'!$C$3:$M$578,10,FALSE)</f>
        <v>50.700585365853662</v>
      </c>
      <c r="BR261" s="117">
        <f>VLOOKUP($D261,'WB Data'!$C$3:$M$578,11,FALSE)</f>
        <v>90.2</v>
      </c>
      <c r="BS261" s="129" t="str">
        <f>IFERROR(VLOOKUP($D261,'WB Data 2'!$C$2:$K$545,9,FALSE),"..")</f>
        <v>..</v>
      </c>
      <c r="BT261" s="129" t="str">
        <f>_xlfn.IFNA(VLOOKUP($C261,RGI!$A$2:$C$43,2,FALSE),"..")</f>
        <v>..</v>
      </c>
      <c r="BU261" s="129" t="str">
        <f>_xlfn.IFNA(VLOOKUP($C261,RGI!$A$2:$C$43,3,FALSE),"..")</f>
        <v>..</v>
      </c>
      <c r="BV261" s="129">
        <f>VLOOKUP($D261,WGI!$C$2:$O$478,7,FALSE)</f>
        <v>-1.3280709279366301</v>
      </c>
      <c r="BW261" s="129">
        <f>VLOOKUP($D261,WGI!$C$2:$O$478,4,FALSE)</f>
        <v>-1.0650432341870599</v>
      </c>
      <c r="BX261" s="129">
        <f>VLOOKUP($D261,WGI!$C$2:$O$478,3,FALSE)</f>
        <v>-1.49279000067873</v>
      </c>
      <c r="BY261" s="129">
        <f>VLOOKUP($D261,WGI!$C$2:$O$478,5,FALSE)</f>
        <v>-1.0795600268782799</v>
      </c>
      <c r="BZ261" s="129">
        <f>VLOOKUP($D261,WGI!$C$2:$O$478,2,FALSE)</f>
        <v>-1.25043989711329</v>
      </c>
      <c r="CB261" s="129"/>
    </row>
    <row r="262" spans="1:80" ht="15" customHeight="1">
      <c r="A262" s="315" t="s">
        <v>152</v>
      </c>
      <c r="B262" s="267">
        <v>2006</v>
      </c>
      <c r="C262" s="267" t="s">
        <v>3791</v>
      </c>
      <c r="D262" s="117" t="s">
        <v>3792</v>
      </c>
      <c r="E262" s="267" t="s">
        <v>86</v>
      </c>
      <c r="F262" s="267" t="s">
        <v>1028</v>
      </c>
      <c r="G262" s="267" t="s">
        <v>55</v>
      </c>
      <c r="H262" s="117" t="str">
        <f t="shared" si="44"/>
        <v>no</v>
      </c>
      <c r="I262" s="117" t="str">
        <f t="shared" si="45"/>
        <v>yes</v>
      </c>
      <c r="J262" s="117" t="str">
        <f t="shared" si="46"/>
        <v>yes</v>
      </c>
      <c r="K262" s="268" t="s">
        <v>709</v>
      </c>
      <c r="L262" s="117" t="str">
        <f t="shared" si="49"/>
        <v>Total</v>
      </c>
      <c r="M262" s="117" t="str">
        <f t="shared" si="47"/>
        <v>Total Oil, Gas</v>
      </c>
      <c r="N262" s="269"/>
      <c r="O262" s="269"/>
      <c r="P262" s="269"/>
      <c r="Q262" s="269"/>
      <c r="R262" s="269"/>
      <c r="S262" s="267"/>
      <c r="T262" s="270"/>
      <c r="U262" s="267"/>
      <c r="V262" s="267"/>
      <c r="W262" s="275">
        <f>SUM(W263:W264)</f>
        <v>1817411656.9384499</v>
      </c>
      <c r="X262" s="267" t="s">
        <v>885</v>
      </c>
      <c r="Y262" s="267" t="s">
        <v>663</v>
      </c>
      <c r="Z262" s="267"/>
      <c r="AA262" s="334">
        <v>84482680</v>
      </c>
      <c r="AB262" s="334">
        <v>69730440</v>
      </c>
      <c r="AC262" s="272"/>
      <c r="AD262" s="272"/>
      <c r="AE262" s="272"/>
      <c r="AF262" s="317">
        <f>AA262/W262</f>
        <v>4.6485164589687218E-2</v>
      </c>
      <c r="AG262" s="267"/>
      <c r="AH262" s="274">
        <v>522.89</v>
      </c>
      <c r="AI262" s="267" t="s">
        <v>667</v>
      </c>
      <c r="AJ262" s="267"/>
      <c r="AK262" s="275"/>
      <c r="AL262" s="267"/>
      <c r="AM262" s="267"/>
      <c r="AN262" s="267"/>
      <c r="AO262" s="267"/>
      <c r="AP262" s="267">
        <v>5</v>
      </c>
      <c r="AQ262" s="267" t="s">
        <v>154</v>
      </c>
      <c r="AR262" s="277">
        <v>41922</v>
      </c>
      <c r="AS262" s="267" t="s">
        <v>1029</v>
      </c>
      <c r="AT262" s="267" t="s">
        <v>155</v>
      </c>
      <c r="AU262" s="267"/>
      <c r="AV262" s="278"/>
      <c r="AW262" s="117" t="e">
        <f>VLOOKUP($D262,'WB Data'!$C$3:$M$578,2,FALSE)</f>
        <v>#N/A</v>
      </c>
      <c r="AX262" s="117" t="e">
        <f>VLOOKUP($D262,'WB Data'!$C$3:$M$578,3,FALSE)</f>
        <v>#N/A</v>
      </c>
      <c r="AY262" s="847" t="str">
        <f t="shared" si="51"/>
        <v>..</v>
      </c>
      <c r="AZ262" s="117" t="e">
        <f>VLOOKUP($D262,'WB Data'!$C$3:$M$578,4,FALSE)/100</f>
        <v>#N/A</v>
      </c>
      <c r="BA262" s="117" t="str">
        <f t="shared" si="52"/>
        <v>..</v>
      </c>
      <c r="BB262" s="129" t="str">
        <f>IFERROR(VLOOKUP($D262,'EITI Revenues'!$C$2:$G$224,5,FALSE),"..")</f>
        <v>..</v>
      </c>
      <c r="BC262" s="846" t="str">
        <f t="shared" si="53"/>
        <v>..</v>
      </c>
      <c r="BD262" s="129" t="e">
        <f>VLOOKUP($D262,'WB Data 2'!$C$2:$K$545,6,FALSE)</f>
        <v>#N/A</v>
      </c>
      <c r="BE262" s="129" t="str">
        <f>IFERROR(VLOOKUP($D262,UNCTAD!$C$5:$V$529,4,FALSE),"..")</f>
        <v>..</v>
      </c>
      <c r="BF262" s="846" t="str">
        <f t="shared" si="54"/>
        <v>..</v>
      </c>
      <c r="BG262" s="117" t="e">
        <f>VLOOKUP($D262,'WB Data'!$C$3:$M$578,5,FALSE)</f>
        <v>#N/A</v>
      </c>
      <c r="BH262" s="129" t="str">
        <f>IFERROR($BB262/$BG262,"..")</f>
        <v>..</v>
      </c>
      <c r="BI262" s="117" t="str">
        <f>IFERROR(VLOOKUP($D262,'WB Data'!$C$3:$M$578,7,FALSE)/100,"..")</f>
        <v>..</v>
      </c>
      <c r="BJ262" s="117" t="str">
        <f>IFERROR($BI262*$AW262,"..")</f>
        <v>..</v>
      </c>
      <c r="BK262" s="846" t="str">
        <f>IFERROR($BB262/$BJ262,"..")</f>
        <v>..</v>
      </c>
      <c r="BL262" s="117" t="str">
        <f>IFERROR(VLOOKUP($D262,'WB Data'!$C$3:$M$578,7,FALSE)/100,"..")</f>
        <v>..</v>
      </c>
      <c r="BM262" s="117" t="str">
        <f>IFERROR($AW262*$BL262,"..")</f>
        <v>..</v>
      </c>
      <c r="BN262" s="846" t="str">
        <f>IFERROR($BB262/$BM262,"..")</f>
        <v>..</v>
      </c>
      <c r="BO262" s="801" t="str">
        <f t="shared" si="50"/>
        <v>..</v>
      </c>
      <c r="BP262" s="117" t="e">
        <f>VLOOKUP($D262,'WB Data'!$C$3:$M$578,9,FALSE)</f>
        <v>#N/A</v>
      </c>
      <c r="BQ262" s="117" t="e">
        <f>VLOOKUP($D262,'WB Data'!$C$3:$M$578,10,FALSE)</f>
        <v>#N/A</v>
      </c>
      <c r="BR262" s="117" t="e">
        <f>VLOOKUP($D262,'WB Data'!$C$3:$M$578,11,FALSE)</f>
        <v>#N/A</v>
      </c>
      <c r="BS262" s="129" t="str">
        <f>IFERROR(VLOOKUP($D262,'WB Data 2'!$C$2:$K$545,9,FALSE),"..")</f>
        <v>..</v>
      </c>
      <c r="BT262" s="129" t="str">
        <f>_xlfn.IFNA(VLOOKUP($C262,RGI!$A$2:$C$43,2,FALSE),"..")</f>
        <v>..</v>
      </c>
      <c r="BU262" s="129" t="str">
        <f>_xlfn.IFNA(VLOOKUP($C262,RGI!$A$2:$C$43,3,FALSE),"..")</f>
        <v>..</v>
      </c>
      <c r="BV262" s="129" t="e">
        <f>VLOOKUP($D262,WGI!$C$2:$O$478,7,FALSE)</f>
        <v>#N/A</v>
      </c>
      <c r="BW262" s="129" t="e">
        <f>VLOOKUP($D262,WGI!$C$2:$O$478,4,FALSE)</f>
        <v>#N/A</v>
      </c>
      <c r="BX262" s="129" t="e">
        <f>VLOOKUP($D262,WGI!$C$2:$O$478,3,FALSE)</f>
        <v>#N/A</v>
      </c>
      <c r="BY262" s="129" t="e">
        <f>VLOOKUP($D262,WGI!$C$2:$O$478,5,FALSE)</f>
        <v>#N/A</v>
      </c>
      <c r="BZ262" s="129" t="e">
        <f>VLOOKUP($D262,WGI!$C$2:$O$478,2,FALSE)</f>
        <v>#N/A</v>
      </c>
    </row>
    <row r="263" spans="1:80" ht="15" customHeight="1">
      <c r="A263" s="315" t="s">
        <v>152</v>
      </c>
      <c r="B263" s="267">
        <v>2006</v>
      </c>
      <c r="C263" s="267" t="s">
        <v>3791</v>
      </c>
      <c r="D263" s="117" t="s">
        <v>3792</v>
      </c>
      <c r="E263" s="267" t="s">
        <v>86</v>
      </c>
      <c r="F263" s="267"/>
      <c r="G263" s="267" t="s">
        <v>561</v>
      </c>
      <c r="H263" s="117" t="str">
        <f t="shared" si="44"/>
        <v>no</v>
      </c>
      <c r="I263" s="117" t="str">
        <f t="shared" si="45"/>
        <v>yes</v>
      </c>
      <c r="J263" s="117" t="str">
        <f t="shared" si="46"/>
        <v>no</v>
      </c>
      <c r="K263" s="268" t="s">
        <v>561</v>
      </c>
      <c r="L263" s="117" t="str">
        <f t="shared" si="49"/>
        <v>detailed</v>
      </c>
      <c r="M263" s="117" t="str">
        <f t="shared" si="47"/>
        <v>detailed Gas</v>
      </c>
      <c r="N263" s="269">
        <f>46000000000*0.0283168</f>
        <v>1302572800</v>
      </c>
      <c r="O263" s="269">
        <f>N263*0.0066</f>
        <v>8596980.4800000004</v>
      </c>
      <c r="P263" s="269"/>
      <c r="Q263" s="269"/>
      <c r="R263" s="269"/>
      <c r="S263" s="267" t="s">
        <v>642</v>
      </c>
      <c r="T263" s="270">
        <v>0.243474</v>
      </c>
      <c r="U263" s="267" t="s">
        <v>643</v>
      </c>
      <c r="V263" s="267" t="s">
        <v>880</v>
      </c>
      <c r="W263" s="275">
        <f>N263*T263</f>
        <v>317142609.90719998</v>
      </c>
      <c r="X263" s="267"/>
      <c r="Y263" s="267"/>
      <c r="Z263" s="267"/>
      <c r="AA263" s="271"/>
      <c r="AB263" s="271"/>
      <c r="AC263" s="272"/>
      <c r="AD263" s="272"/>
      <c r="AE263" s="272"/>
      <c r="AF263" s="317"/>
      <c r="AG263" s="267"/>
      <c r="AH263" s="274"/>
      <c r="AI263" s="267"/>
      <c r="AJ263" s="267"/>
      <c r="AK263" s="275"/>
      <c r="AL263" s="267"/>
      <c r="AM263" s="267"/>
      <c r="AN263" s="267"/>
      <c r="AO263" s="267"/>
      <c r="AP263" s="267"/>
      <c r="AQ263" s="267"/>
      <c r="AR263" s="267"/>
      <c r="AS263" s="267"/>
      <c r="AT263" s="267"/>
      <c r="AU263" s="267"/>
      <c r="AV263" s="278"/>
      <c r="AW263" s="117" t="e">
        <f>VLOOKUP($D263,'WB Data'!$C$3:$M$578,2,FALSE)</f>
        <v>#N/A</v>
      </c>
      <c r="AX263" s="117" t="e">
        <f>VLOOKUP($D263,'WB Data'!$C$3:$M$578,3,FALSE)</f>
        <v>#N/A</v>
      </c>
      <c r="AY263" s="847" t="str">
        <f t="shared" si="51"/>
        <v>..</v>
      </c>
      <c r="AZ263" s="117" t="e">
        <f>VLOOKUP($D263,'WB Data'!$C$3:$M$578,4,FALSE)/100</f>
        <v>#N/A</v>
      </c>
      <c r="BA263" s="117" t="str">
        <f t="shared" si="52"/>
        <v>..</v>
      </c>
      <c r="BB263" s="129" t="str">
        <f>IFERROR(VLOOKUP($D263,'EITI Revenues'!$C$2:$G$224,5,FALSE),"..")</f>
        <v>..</v>
      </c>
      <c r="BC263" s="846" t="str">
        <f t="shared" si="53"/>
        <v>..</v>
      </c>
      <c r="BD263" s="129" t="e">
        <f>VLOOKUP($D263,'WB Data 2'!$C$2:$K$545,6,FALSE)</f>
        <v>#N/A</v>
      </c>
      <c r="BE263" s="129" t="str">
        <f>IFERROR(VLOOKUP($D263,UNCTAD!$C$5:$V$529,4,FALSE),"..")</f>
        <v>..</v>
      </c>
      <c r="BF263" s="846" t="str">
        <f t="shared" si="54"/>
        <v>..</v>
      </c>
      <c r="BG263" s="117" t="e">
        <f>VLOOKUP($D263,'WB Data'!$C$3:$M$578,5,FALSE)</f>
        <v>#N/A</v>
      </c>
      <c r="BH263" s="129" t="str">
        <f>IFERROR($BB263/$BG263,"..")</f>
        <v>..</v>
      </c>
      <c r="BI263" s="117" t="str">
        <f>IFERROR(VLOOKUP($D263,'WB Data'!$C$3:$M$578,7,FALSE)/100,"..")</f>
        <v>..</v>
      </c>
      <c r="BJ263" s="117" t="str">
        <f>IFERROR($BI263*$AW263,"..")</f>
        <v>..</v>
      </c>
      <c r="BK263" s="846" t="str">
        <f>IFERROR($BB263/$BJ263,"..")</f>
        <v>..</v>
      </c>
      <c r="BL263" s="117" t="str">
        <f>IFERROR(VLOOKUP($D263,'WB Data'!$C$3:$M$578,7,FALSE)/100,"..")</f>
        <v>..</v>
      </c>
      <c r="BM263" s="117" t="str">
        <f>IFERROR($AW263*$BL263,"..")</f>
        <v>..</v>
      </c>
      <c r="BN263" s="846" t="str">
        <f>IFERROR($BB263/$BM263,"..")</f>
        <v>..</v>
      </c>
      <c r="BO263" s="801" t="str">
        <f t="shared" si="50"/>
        <v>..</v>
      </c>
      <c r="BP263" s="117" t="e">
        <f>VLOOKUP($D263,'WB Data'!$C$3:$M$578,9,FALSE)</f>
        <v>#N/A</v>
      </c>
      <c r="BQ263" s="117" t="e">
        <f>VLOOKUP($D263,'WB Data'!$C$3:$M$578,10,FALSE)</f>
        <v>#N/A</v>
      </c>
      <c r="BR263" s="117" t="e">
        <f>VLOOKUP($D263,'WB Data'!$C$3:$M$578,11,FALSE)</f>
        <v>#N/A</v>
      </c>
      <c r="BS263" s="129" t="str">
        <f>IFERROR(VLOOKUP($D263,'WB Data 2'!$C$2:$K$545,9,FALSE),"..")</f>
        <v>..</v>
      </c>
      <c r="BT263" s="129" t="str">
        <f>_xlfn.IFNA(VLOOKUP($C263,RGI!$A$2:$C$43,2,FALSE),"..")</f>
        <v>..</v>
      </c>
      <c r="BU263" s="129" t="str">
        <f>_xlfn.IFNA(VLOOKUP($C263,RGI!$A$2:$C$43,3,FALSE),"..")</f>
        <v>..</v>
      </c>
      <c r="BV263" s="129" t="e">
        <f>VLOOKUP($D263,WGI!$C$2:$O$478,7,FALSE)</f>
        <v>#N/A</v>
      </c>
      <c r="BW263" s="129" t="e">
        <f>VLOOKUP($D263,WGI!$C$2:$O$478,4,FALSE)</f>
        <v>#N/A</v>
      </c>
      <c r="BX263" s="129" t="e">
        <f>VLOOKUP($D263,WGI!$C$2:$O$478,3,FALSE)</f>
        <v>#N/A</v>
      </c>
      <c r="BY263" s="129" t="e">
        <f>VLOOKUP($D263,WGI!$C$2:$O$478,5,FALSE)</f>
        <v>#N/A</v>
      </c>
      <c r="BZ263" s="129" t="e">
        <f>VLOOKUP($D263,WGI!$C$2:$O$478,2,FALSE)</f>
        <v>#N/A</v>
      </c>
    </row>
    <row r="264" spans="1:80" ht="15" customHeight="1">
      <c r="A264" s="331" t="s">
        <v>152</v>
      </c>
      <c r="B264" s="253">
        <v>2006</v>
      </c>
      <c r="C264" s="253" t="s">
        <v>3791</v>
      </c>
      <c r="D264" s="117" t="s">
        <v>3792</v>
      </c>
      <c r="E264" s="253" t="s">
        <v>86</v>
      </c>
      <c r="F264" s="267"/>
      <c r="G264" s="253" t="s">
        <v>103</v>
      </c>
      <c r="H264" s="117" t="str">
        <f t="shared" si="44"/>
        <v>no</v>
      </c>
      <c r="I264" s="117" t="str">
        <f t="shared" si="45"/>
        <v>no</v>
      </c>
      <c r="J264" s="117" t="str">
        <f t="shared" si="46"/>
        <v>yes</v>
      </c>
      <c r="K264" s="268" t="s">
        <v>103</v>
      </c>
      <c r="L264" s="117" t="str">
        <f t="shared" si="49"/>
        <v>detailed</v>
      </c>
      <c r="M264" s="117" t="str">
        <f t="shared" si="47"/>
        <v>detailed Oil</v>
      </c>
      <c r="N264" s="269">
        <v>23104500</v>
      </c>
      <c r="O264" s="343">
        <f>O263/N264</f>
        <v>0.37209117184963969</v>
      </c>
      <c r="P264" s="343"/>
      <c r="Q264" s="343"/>
      <c r="R264" s="343"/>
      <c r="S264" s="267" t="s">
        <v>646</v>
      </c>
      <c r="T264" s="270">
        <v>64.934062499999996</v>
      </c>
      <c r="U264" s="267" t="s">
        <v>673</v>
      </c>
      <c r="V264" s="267" t="s">
        <v>1030</v>
      </c>
      <c r="W264" s="275">
        <f>N264*T264</f>
        <v>1500269047.03125</v>
      </c>
      <c r="X264" s="267"/>
      <c r="Y264" s="267"/>
      <c r="Z264" s="267"/>
      <c r="AA264" s="271"/>
      <c r="AB264" s="271"/>
      <c r="AC264" s="272"/>
      <c r="AD264" s="272"/>
      <c r="AE264" s="272"/>
      <c r="AF264" s="317"/>
      <c r="AG264" s="267"/>
      <c r="AH264" s="274"/>
      <c r="AI264" s="267"/>
      <c r="AJ264" s="267"/>
      <c r="AK264" s="275"/>
      <c r="AL264" s="267"/>
      <c r="AM264" s="267"/>
      <c r="AN264" s="267"/>
      <c r="AO264" s="267"/>
      <c r="AP264" s="267"/>
      <c r="AQ264" s="267"/>
      <c r="AR264" s="267"/>
      <c r="AS264" s="267"/>
      <c r="AT264" s="267"/>
      <c r="AU264" s="267"/>
      <c r="AV264" s="278"/>
      <c r="AW264" s="117" t="e">
        <f>VLOOKUP($D264,'WB Data'!$C$3:$M$578,2,FALSE)</f>
        <v>#N/A</v>
      </c>
      <c r="AX264" s="117" t="e">
        <f>VLOOKUP($D264,'WB Data'!$C$3:$M$578,3,FALSE)</f>
        <v>#N/A</v>
      </c>
      <c r="AY264" s="847" t="str">
        <f t="shared" si="51"/>
        <v>..</v>
      </c>
      <c r="AZ264" s="117" t="e">
        <f>VLOOKUP($D264,'WB Data'!$C$3:$M$578,4,FALSE)/100</f>
        <v>#N/A</v>
      </c>
      <c r="BA264" s="117" t="str">
        <f t="shared" si="52"/>
        <v>..</v>
      </c>
      <c r="BB264" s="129" t="str">
        <f>IFERROR(VLOOKUP($D264,'EITI Revenues'!$C$2:$G$224,5,FALSE),"..")</f>
        <v>..</v>
      </c>
      <c r="BC264" s="846" t="str">
        <f t="shared" si="53"/>
        <v>..</v>
      </c>
      <c r="BD264" s="129" t="e">
        <f>VLOOKUP($D264,'WB Data 2'!$C$2:$K$545,6,FALSE)</f>
        <v>#N/A</v>
      </c>
      <c r="BE264" s="129" t="str">
        <f>IFERROR(VLOOKUP($D264,UNCTAD!$C$5:$V$529,4,FALSE),"..")</f>
        <v>..</v>
      </c>
      <c r="BF264" s="846" t="str">
        <f t="shared" si="54"/>
        <v>..</v>
      </c>
      <c r="BG264" s="117" t="e">
        <f>VLOOKUP($D264,'WB Data'!$C$3:$M$578,5,FALSE)</f>
        <v>#N/A</v>
      </c>
      <c r="BH264" s="129" t="str">
        <f>IFERROR($BB264/$BG264,"..")</f>
        <v>..</v>
      </c>
      <c r="BI264" s="117" t="str">
        <f>IFERROR(VLOOKUP($D264,'WB Data'!$C$3:$M$578,7,FALSE)/100,"..")</f>
        <v>..</v>
      </c>
      <c r="BJ264" s="117" t="str">
        <f>IFERROR($BI264*$AW264,"..")</f>
        <v>..</v>
      </c>
      <c r="BK264" s="846" t="str">
        <f>IFERROR($BB264/$BJ264,"..")</f>
        <v>..</v>
      </c>
      <c r="BL264" s="117" t="str">
        <f>IFERROR(VLOOKUP($D264,'WB Data'!$C$3:$M$578,7,FALSE)/100,"..")</f>
        <v>..</v>
      </c>
      <c r="BM264" s="117" t="str">
        <f>IFERROR($AW264*$BL264,"..")</f>
        <v>..</v>
      </c>
      <c r="BN264" s="846" t="str">
        <f>IFERROR($BB264/$BM264,"..")</f>
        <v>..</v>
      </c>
      <c r="BO264" s="801" t="str">
        <f t="shared" si="50"/>
        <v>..</v>
      </c>
      <c r="BP264" s="117" t="e">
        <f>VLOOKUP($D264,'WB Data'!$C$3:$M$578,9,FALSE)</f>
        <v>#N/A</v>
      </c>
      <c r="BQ264" s="117" t="e">
        <f>VLOOKUP($D264,'WB Data'!$C$3:$M$578,10,FALSE)</f>
        <v>#N/A</v>
      </c>
      <c r="BR264" s="117" t="e">
        <f>VLOOKUP($D264,'WB Data'!$C$3:$M$578,11,FALSE)</f>
        <v>#N/A</v>
      </c>
      <c r="BS264" s="129" t="str">
        <f>IFERROR(VLOOKUP($D264,'WB Data 2'!$C$2:$K$545,9,FALSE),"..")</f>
        <v>..</v>
      </c>
      <c r="BT264" s="129" t="str">
        <f>_xlfn.IFNA(VLOOKUP($C264,RGI!$A$2:$C$43,2,FALSE),"..")</f>
        <v>..</v>
      </c>
      <c r="BU264" s="129" t="str">
        <f>_xlfn.IFNA(VLOOKUP($C264,RGI!$A$2:$C$43,3,FALSE),"..")</f>
        <v>..</v>
      </c>
      <c r="BV264" s="129" t="e">
        <f>VLOOKUP($D264,WGI!$C$2:$O$478,7,FALSE)</f>
        <v>#N/A</v>
      </c>
      <c r="BW264" s="129" t="e">
        <f>VLOOKUP($D264,WGI!$C$2:$O$478,4,FALSE)</f>
        <v>#N/A</v>
      </c>
      <c r="BX264" s="129" t="e">
        <f>VLOOKUP($D264,WGI!$C$2:$O$478,3,FALSE)</f>
        <v>#N/A</v>
      </c>
      <c r="BY264" s="129" t="e">
        <f>VLOOKUP($D264,WGI!$C$2:$O$478,5,FALSE)</f>
        <v>#N/A</v>
      </c>
      <c r="BZ264" s="129" t="e">
        <f>VLOOKUP($D264,WGI!$C$2:$O$478,2,FALSE)</f>
        <v>#N/A</v>
      </c>
    </row>
    <row r="265" spans="1:80" s="144" customFormat="1" ht="15" customHeight="1">
      <c r="A265" s="318" t="s">
        <v>156</v>
      </c>
      <c r="B265" s="319">
        <v>2007</v>
      </c>
      <c r="C265" s="319" t="s">
        <v>3791</v>
      </c>
      <c r="D265" s="117" t="s">
        <v>3793</v>
      </c>
      <c r="E265" s="319" t="s">
        <v>86</v>
      </c>
      <c r="F265" s="319" t="s">
        <v>1028</v>
      </c>
      <c r="G265" s="267" t="s">
        <v>55</v>
      </c>
      <c r="H265" s="117" t="str">
        <f t="shared" si="44"/>
        <v>no</v>
      </c>
      <c r="I265" s="117" t="str">
        <f t="shared" si="45"/>
        <v>yes</v>
      </c>
      <c r="J265" s="117" t="str">
        <f t="shared" si="46"/>
        <v>yes</v>
      </c>
      <c r="K265" s="321" t="s">
        <v>709</v>
      </c>
      <c r="L265" s="117" t="str">
        <f t="shared" si="49"/>
        <v>Total</v>
      </c>
      <c r="M265" s="117" t="str">
        <f t="shared" si="47"/>
        <v>Total Oil, Gas</v>
      </c>
      <c r="N265" s="322"/>
      <c r="O265" s="322"/>
      <c r="P265" s="322"/>
      <c r="Q265" s="322"/>
      <c r="R265" s="322"/>
      <c r="S265" s="319"/>
      <c r="T265" s="323"/>
      <c r="U265" s="319"/>
      <c r="V265" s="319"/>
      <c r="W265" s="324">
        <f>SUM(W266:W267)</f>
        <v>1731008332.1887999</v>
      </c>
      <c r="X265" s="319" t="s">
        <v>885</v>
      </c>
      <c r="Y265" s="319" t="s">
        <v>663</v>
      </c>
      <c r="Z265" s="319"/>
      <c r="AA265" s="325">
        <v>121454480.00000001</v>
      </c>
      <c r="AB265" s="325">
        <v>95440290.000000015</v>
      </c>
      <c r="AC265" s="326"/>
      <c r="AD265" s="326"/>
      <c r="AE265" s="326"/>
      <c r="AF265" s="327">
        <f>AA265/W265</f>
        <v>7.0164006574379129E-2</v>
      </c>
      <c r="AG265" s="319"/>
      <c r="AH265" s="328">
        <v>522.89</v>
      </c>
      <c r="AI265" s="319" t="s">
        <v>667</v>
      </c>
      <c r="AJ265" s="319"/>
      <c r="AK265" s="324"/>
      <c r="AL265" s="319"/>
      <c r="AM265" s="319"/>
      <c r="AN265" s="319"/>
      <c r="AO265" s="319"/>
      <c r="AP265" s="319">
        <v>5</v>
      </c>
      <c r="AQ265" s="319" t="s">
        <v>154</v>
      </c>
      <c r="AR265" s="329">
        <v>41922</v>
      </c>
      <c r="AS265" s="319" t="s">
        <v>1029</v>
      </c>
      <c r="AT265" s="319" t="s">
        <v>157</v>
      </c>
      <c r="AU265" s="319"/>
      <c r="AV265" s="330"/>
      <c r="AW265" s="117" t="e">
        <f>VLOOKUP($D265,'WB Data'!$C$3:$M$578,2,FALSE)</f>
        <v>#N/A</v>
      </c>
      <c r="AX265" s="117" t="e">
        <f>VLOOKUP($D265,'WB Data'!$C$3:$M$578,3,FALSE)</f>
        <v>#N/A</v>
      </c>
      <c r="AY265" s="847" t="str">
        <f t="shared" si="51"/>
        <v>..</v>
      </c>
      <c r="AZ265" s="117" t="e">
        <f>VLOOKUP($D265,'WB Data'!$C$3:$M$578,4,FALSE)/100</f>
        <v>#N/A</v>
      </c>
      <c r="BA265" s="117" t="str">
        <f t="shared" si="52"/>
        <v>..</v>
      </c>
      <c r="BB265" s="129" t="str">
        <f>IFERROR(VLOOKUP($D265,'EITI Revenues'!$C$2:$G$224,5,FALSE),"..")</f>
        <v>..</v>
      </c>
      <c r="BC265" s="846" t="str">
        <f t="shared" si="53"/>
        <v>..</v>
      </c>
      <c r="BD265" s="129" t="e">
        <f>VLOOKUP($D265,'WB Data 2'!$C$2:$K$545,6,FALSE)</f>
        <v>#N/A</v>
      </c>
      <c r="BE265" s="129" t="str">
        <f>IFERROR(VLOOKUP($D265,UNCTAD!$C$5:$V$529,4,FALSE),"..")</f>
        <v>..</v>
      </c>
      <c r="BF265" s="846" t="str">
        <f t="shared" si="54"/>
        <v>..</v>
      </c>
      <c r="BG265" s="117" t="e">
        <f>VLOOKUP($D265,'WB Data'!$C$3:$M$578,5,FALSE)</f>
        <v>#N/A</v>
      </c>
      <c r="BH265" s="129" t="str">
        <f>IFERROR($BB265/$BG265,"..")</f>
        <v>..</v>
      </c>
      <c r="BI265" s="117" t="str">
        <f>IFERROR(VLOOKUP($D265,'WB Data'!$C$3:$M$578,7,FALSE)/100,"..")</f>
        <v>..</v>
      </c>
      <c r="BJ265" s="117" t="str">
        <f>IFERROR($BI265*$AW265,"..")</f>
        <v>..</v>
      </c>
      <c r="BK265" s="846" t="str">
        <f>IFERROR($BB265/$BJ265,"..")</f>
        <v>..</v>
      </c>
      <c r="BL265" s="117" t="str">
        <f>IFERROR(VLOOKUP($D265,'WB Data'!$C$3:$M$578,7,FALSE)/100,"..")</f>
        <v>..</v>
      </c>
      <c r="BM265" s="117" t="str">
        <f>IFERROR($AW265*$BL265,"..")</f>
        <v>..</v>
      </c>
      <c r="BN265" s="846" t="str">
        <f>IFERROR($BB265/$BM265,"..")</f>
        <v>..</v>
      </c>
      <c r="BO265" s="801" t="str">
        <f t="shared" si="50"/>
        <v>..</v>
      </c>
      <c r="BP265" s="117" t="e">
        <f>VLOOKUP($D265,'WB Data'!$C$3:$M$578,9,FALSE)</f>
        <v>#N/A</v>
      </c>
      <c r="BQ265" s="117" t="e">
        <f>VLOOKUP($D265,'WB Data'!$C$3:$M$578,10,FALSE)</f>
        <v>#N/A</v>
      </c>
      <c r="BR265" s="117" t="e">
        <f>VLOOKUP($D265,'WB Data'!$C$3:$M$578,11,FALSE)</f>
        <v>#N/A</v>
      </c>
      <c r="BS265" s="129" t="str">
        <f>IFERROR(VLOOKUP($D265,'WB Data 2'!$C$2:$K$545,9,FALSE),"..")</f>
        <v>..</v>
      </c>
      <c r="BT265" s="129" t="str">
        <f>_xlfn.IFNA(VLOOKUP($C265,RGI!$A$2:$C$43,2,FALSE),"..")</f>
        <v>..</v>
      </c>
      <c r="BU265" s="129" t="str">
        <f>_xlfn.IFNA(VLOOKUP($C265,RGI!$A$2:$C$43,3,FALSE),"..")</f>
        <v>..</v>
      </c>
      <c r="BV265" s="129" t="e">
        <f>VLOOKUP($D265,WGI!$C$2:$O$478,7,FALSE)</f>
        <v>#N/A</v>
      </c>
      <c r="BW265" s="129" t="e">
        <f>VLOOKUP($D265,WGI!$C$2:$O$478,4,FALSE)</f>
        <v>#N/A</v>
      </c>
      <c r="BX265" s="129" t="e">
        <f>VLOOKUP($D265,WGI!$C$2:$O$478,3,FALSE)</f>
        <v>#N/A</v>
      </c>
      <c r="BY265" s="129" t="e">
        <f>VLOOKUP($D265,WGI!$C$2:$O$478,5,FALSE)</f>
        <v>#N/A</v>
      </c>
      <c r="BZ265" s="129" t="e">
        <f>VLOOKUP($D265,WGI!$C$2:$O$478,2,FALSE)</f>
        <v>#N/A</v>
      </c>
      <c r="CB265" s="129"/>
    </row>
    <row r="266" spans="1:80" s="120" customFormat="1" ht="15" customHeight="1">
      <c r="A266" s="315" t="s">
        <v>156</v>
      </c>
      <c r="B266" s="267">
        <v>2007</v>
      </c>
      <c r="C266" s="267" t="s">
        <v>3791</v>
      </c>
      <c r="D266" s="117" t="s">
        <v>3793</v>
      </c>
      <c r="E266" s="267" t="s">
        <v>86</v>
      </c>
      <c r="F266" s="267"/>
      <c r="G266" s="267" t="s">
        <v>561</v>
      </c>
      <c r="H266" s="117" t="str">
        <f t="shared" si="44"/>
        <v>no</v>
      </c>
      <c r="I266" s="117" t="str">
        <f t="shared" si="45"/>
        <v>yes</v>
      </c>
      <c r="J266" s="117" t="str">
        <f t="shared" si="46"/>
        <v>no</v>
      </c>
      <c r="K266" s="268" t="s">
        <v>561</v>
      </c>
      <c r="L266" s="117" t="str">
        <f t="shared" si="49"/>
        <v>detailed</v>
      </c>
      <c r="M266" s="117" t="str">
        <f t="shared" si="47"/>
        <v>detailed Gas</v>
      </c>
      <c r="N266" s="269">
        <f>53000000000*0.0283168</f>
        <v>1500790400</v>
      </c>
      <c r="O266" s="269"/>
      <c r="P266" s="269"/>
      <c r="Q266" s="269"/>
      <c r="R266" s="269"/>
      <c r="S266" s="267" t="s">
        <v>642</v>
      </c>
      <c r="T266" s="270">
        <v>0.22764700000000004</v>
      </c>
      <c r="U266" s="267" t="s">
        <v>643</v>
      </c>
      <c r="V266" s="267" t="s">
        <v>880</v>
      </c>
      <c r="W266" s="275">
        <f>N266*T266</f>
        <v>341650432.18880004</v>
      </c>
      <c r="X266" s="267"/>
      <c r="Y266" s="267"/>
      <c r="Z266" s="267"/>
      <c r="AA266" s="271"/>
      <c r="AB266" s="271"/>
      <c r="AC266" s="272"/>
      <c r="AD266" s="272"/>
      <c r="AE266" s="272"/>
      <c r="AF266" s="317"/>
      <c r="AG266" s="267"/>
      <c r="AH266" s="274"/>
      <c r="AI266" s="267"/>
      <c r="AJ266" s="267"/>
      <c r="AK266" s="275"/>
      <c r="AL266" s="267"/>
      <c r="AM266" s="267"/>
      <c r="AN266" s="267"/>
      <c r="AO266" s="267"/>
      <c r="AP266" s="267"/>
      <c r="AQ266" s="267"/>
      <c r="AR266" s="267"/>
      <c r="AS266" s="267"/>
      <c r="AT266" s="267"/>
      <c r="AU266" s="267"/>
      <c r="AV266" s="278"/>
      <c r="AW266" s="117" t="e">
        <f>VLOOKUP($D266,'WB Data'!$C$3:$M$578,2,FALSE)</f>
        <v>#N/A</v>
      </c>
      <c r="AX266" s="117" t="e">
        <f>VLOOKUP($D266,'WB Data'!$C$3:$M$578,3,FALSE)</f>
        <v>#N/A</v>
      </c>
      <c r="AY266" s="847" t="str">
        <f t="shared" si="51"/>
        <v>..</v>
      </c>
      <c r="AZ266" s="117" t="e">
        <f>VLOOKUP($D266,'WB Data'!$C$3:$M$578,4,FALSE)/100</f>
        <v>#N/A</v>
      </c>
      <c r="BA266" s="117" t="str">
        <f t="shared" si="52"/>
        <v>..</v>
      </c>
      <c r="BB266" s="129" t="str">
        <f>IFERROR(VLOOKUP($D266,'EITI Revenues'!$C$2:$G$224,5,FALSE),"..")</f>
        <v>..</v>
      </c>
      <c r="BC266" s="846" t="str">
        <f t="shared" si="53"/>
        <v>..</v>
      </c>
      <c r="BD266" s="129" t="e">
        <f>VLOOKUP($D266,'WB Data 2'!$C$2:$K$545,6,FALSE)</f>
        <v>#N/A</v>
      </c>
      <c r="BE266" s="129" t="str">
        <f>IFERROR(VLOOKUP($D266,UNCTAD!$C$5:$V$529,4,FALSE),"..")</f>
        <v>..</v>
      </c>
      <c r="BF266" s="846" t="str">
        <f t="shared" si="54"/>
        <v>..</v>
      </c>
      <c r="BG266" s="117" t="e">
        <f>VLOOKUP($D266,'WB Data'!$C$3:$M$578,5,FALSE)</f>
        <v>#N/A</v>
      </c>
      <c r="BH266" s="129" t="str">
        <f>IFERROR($BB266/$BG266,"..")</f>
        <v>..</v>
      </c>
      <c r="BI266" s="117" t="str">
        <f>IFERROR(VLOOKUP($D266,'WB Data'!$C$3:$M$578,7,FALSE)/100,"..")</f>
        <v>..</v>
      </c>
      <c r="BJ266" s="117" t="str">
        <f>IFERROR($BI266*$AW266,"..")</f>
        <v>..</v>
      </c>
      <c r="BK266" s="846" t="str">
        <f>IFERROR($BB266/$BJ266,"..")</f>
        <v>..</v>
      </c>
      <c r="BL266" s="117" t="str">
        <f>IFERROR(VLOOKUP($D266,'WB Data'!$C$3:$M$578,7,FALSE)/100,"..")</f>
        <v>..</v>
      </c>
      <c r="BM266" s="117" t="str">
        <f>IFERROR($AW266*$BL266,"..")</f>
        <v>..</v>
      </c>
      <c r="BN266" s="846" t="str">
        <f>IFERROR($BB266/$BM266,"..")</f>
        <v>..</v>
      </c>
      <c r="BO266" s="801" t="str">
        <f t="shared" si="50"/>
        <v>..</v>
      </c>
      <c r="BP266" s="117" t="e">
        <f>VLOOKUP($D266,'WB Data'!$C$3:$M$578,9,FALSE)</f>
        <v>#N/A</v>
      </c>
      <c r="BQ266" s="117" t="e">
        <f>VLOOKUP($D266,'WB Data'!$C$3:$M$578,10,FALSE)</f>
        <v>#N/A</v>
      </c>
      <c r="BR266" s="117" t="e">
        <f>VLOOKUP($D266,'WB Data'!$C$3:$M$578,11,FALSE)</f>
        <v>#N/A</v>
      </c>
      <c r="BS266" s="129" t="str">
        <f>IFERROR(VLOOKUP($D266,'WB Data 2'!$C$2:$K$545,9,FALSE),"..")</f>
        <v>..</v>
      </c>
      <c r="BT266" s="129" t="str">
        <f>_xlfn.IFNA(VLOOKUP($C266,RGI!$A$2:$C$43,2,FALSE),"..")</f>
        <v>..</v>
      </c>
      <c r="BU266" s="129" t="str">
        <f>_xlfn.IFNA(VLOOKUP($C266,RGI!$A$2:$C$43,3,FALSE),"..")</f>
        <v>..</v>
      </c>
      <c r="BV266" s="129" t="e">
        <f>VLOOKUP($D266,WGI!$C$2:$O$478,7,FALSE)</f>
        <v>#N/A</v>
      </c>
      <c r="BW266" s="129" t="e">
        <f>VLOOKUP($D266,WGI!$C$2:$O$478,4,FALSE)</f>
        <v>#N/A</v>
      </c>
      <c r="BX266" s="129" t="e">
        <f>VLOOKUP($D266,WGI!$C$2:$O$478,3,FALSE)</f>
        <v>#N/A</v>
      </c>
      <c r="BY266" s="129" t="e">
        <f>VLOOKUP($D266,WGI!$C$2:$O$478,5,FALSE)</f>
        <v>#N/A</v>
      </c>
      <c r="BZ266" s="129" t="e">
        <f>VLOOKUP($D266,WGI!$C$2:$O$478,2,FALSE)</f>
        <v>#N/A</v>
      </c>
      <c r="CB266" s="129"/>
    </row>
    <row r="267" spans="1:80" s="158" customFormat="1" ht="15" customHeight="1">
      <c r="A267" s="331" t="s">
        <v>156</v>
      </c>
      <c r="B267" s="253">
        <v>2007</v>
      </c>
      <c r="C267" s="253" t="s">
        <v>3791</v>
      </c>
      <c r="D267" s="117" t="s">
        <v>3793</v>
      </c>
      <c r="E267" s="253" t="s">
        <v>86</v>
      </c>
      <c r="F267" s="253"/>
      <c r="G267" s="253" t="s">
        <v>103</v>
      </c>
      <c r="H267" s="117" t="str">
        <f t="shared" si="44"/>
        <v>no</v>
      </c>
      <c r="I267" s="117" t="str">
        <f t="shared" si="45"/>
        <v>no</v>
      </c>
      <c r="J267" s="117" t="str">
        <f t="shared" si="46"/>
        <v>yes</v>
      </c>
      <c r="K267" s="254" t="s">
        <v>103</v>
      </c>
      <c r="L267" s="117" t="str">
        <f t="shared" si="49"/>
        <v>detailed</v>
      </c>
      <c r="M267" s="117" t="str">
        <f t="shared" si="47"/>
        <v>detailed Oil</v>
      </c>
      <c r="N267" s="255">
        <v>19345000</v>
      </c>
      <c r="O267" s="255"/>
      <c r="P267" s="255"/>
      <c r="Q267" s="255"/>
      <c r="R267" s="255"/>
      <c r="S267" s="253" t="s">
        <v>646</v>
      </c>
      <c r="T267" s="256">
        <v>71.819999999999993</v>
      </c>
      <c r="U267" s="253" t="s">
        <v>673</v>
      </c>
      <c r="V267" s="253" t="s">
        <v>1030</v>
      </c>
      <c r="W267" s="257">
        <f>N267*T267</f>
        <v>1389357899.9999998</v>
      </c>
      <c r="X267" s="253"/>
      <c r="Y267" s="253"/>
      <c r="Z267" s="253"/>
      <c r="AA267" s="258"/>
      <c r="AB267" s="258"/>
      <c r="AC267" s="259"/>
      <c r="AD267" s="259"/>
      <c r="AE267" s="259"/>
      <c r="AF267" s="333"/>
      <c r="AG267" s="253"/>
      <c r="AH267" s="261"/>
      <c r="AI267" s="253"/>
      <c r="AJ267" s="253"/>
      <c r="AK267" s="257"/>
      <c r="AL267" s="253"/>
      <c r="AM267" s="253"/>
      <c r="AN267" s="253"/>
      <c r="AO267" s="253"/>
      <c r="AP267" s="253"/>
      <c r="AQ267" s="253"/>
      <c r="AR267" s="253"/>
      <c r="AS267" s="253"/>
      <c r="AT267" s="253"/>
      <c r="AU267" s="253"/>
      <c r="AV267" s="265"/>
      <c r="AW267" s="117" t="e">
        <f>VLOOKUP($D267,'WB Data'!$C$3:$M$578,2,FALSE)</f>
        <v>#N/A</v>
      </c>
      <c r="AX267" s="117" t="e">
        <f>VLOOKUP($D267,'WB Data'!$C$3:$M$578,3,FALSE)</f>
        <v>#N/A</v>
      </c>
      <c r="AY267" s="847" t="str">
        <f t="shared" si="51"/>
        <v>..</v>
      </c>
      <c r="AZ267" s="117" t="e">
        <f>VLOOKUP($D267,'WB Data'!$C$3:$M$578,4,FALSE)/100</f>
        <v>#N/A</v>
      </c>
      <c r="BA267" s="117" t="str">
        <f t="shared" si="52"/>
        <v>..</v>
      </c>
      <c r="BB267" s="129" t="str">
        <f>IFERROR(VLOOKUP($D267,'EITI Revenues'!$C$2:$G$224,5,FALSE),"..")</f>
        <v>..</v>
      </c>
      <c r="BC267" s="846" t="str">
        <f t="shared" si="53"/>
        <v>..</v>
      </c>
      <c r="BD267" s="129" t="e">
        <f>VLOOKUP($D267,'WB Data 2'!$C$2:$K$545,6,FALSE)</f>
        <v>#N/A</v>
      </c>
      <c r="BE267" s="129" t="str">
        <f>IFERROR(VLOOKUP($D267,UNCTAD!$C$5:$V$529,4,FALSE),"..")</f>
        <v>..</v>
      </c>
      <c r="BF267" s="846" t="str">
        <f t="shared" si="54"/>
        <v>..</v>
      </c>
      <c r="BG267" s="117" t="e">
        <f>VLOOKUP($D267,'WB Data'!$C$3:$M$578,5,FALSE)</f>
        <v>#N/A</v>
      </c>
      <c r="BH267" s="129" t="str">
        <f>IFERROR($BB267/$BG267,"..")</f>
        <v>..</v>
      </c>
      <c r="BI267" s="117" t="str">
        <f>IFERROR(VLOOKUP($D267,'WB Data'!$C$3:$M$578,7,FALSE)/100,"..")</f>
        <v>..</v>
      </c>
      <c r="BJ267" s="117" t="str">
        <f>IFERROR($BI267*$AW267,"..")</f>
        <v>..</v>
      </c>
      <c r="BK267" s="846" t="str">
        <f>IFERROR($BB267/$BJ267,"..")</f>
        <v>..</v>
      </c>
      <c r="BL267" s="117" t="str">
        <f>IFERROR(VLOOKUP($D267,'WB Data'!$C$3:$M$578,7,FALSE)/100,"..")</f>
        <v>..</v>
      </c>
      <c r="BM267" s="117" t="str">
        <f>IFERROR($AW267*$BL267,"..")</f>
        <v>..</v>
      </c>
      <c r="BN267" s="846" t="str">
        <f>IFERROR($BB267/$BM267,"..")</f>
        <v>..</v>
      </c>
      <c r="BO267" s="801" t="str">
        <f t="shared" si="50"/>
        <v>..</v>
      </c>
      <c r="BP267" s="117" t="e">
        <f>VLOOKUP($D267,'WB Data'!$C$3:$M$578,9,FALSE)</f>
        <v>#N/A</v>
      </c>
      <c r="BQ267" s="117" t="e">
        <f>VLOOKUP($D267,'WB Data'!$C$3:$M$578,10,FALSE)</f>
        <v>#N/A</v>
      </c>
      <c r="BR267" s="117" t="e">
        <f>VLOOKUP($D267,'WB Data'!$C$3:$M$578,11,FALSE)</f>
        <v>#N/A</v>
      </c>
      <c r="BS267" s="129" t="str">
        <f>IFERROR(VLOOKUP($D267,'WB Data 2'!$C$2:$K$545,9,FALSE),"..")</f>
        <v>..</v>
      </c>
      <c r="BT267" s="129" t="str">
        <f>_xlfn.IFNA(VLOOKUP($C267,RGI!$A$2:$C$43,2,FALSE),"..")</f>
        <v>..</v>
      </c>
      <c r="BU267" s="129" t="str">
        <f>_xlfn.IFNA(VLOOKUP($C267,RGI!$A$2:$C$43,3,FALSE),"..")</f>
        <v>..</v>
      </c>
      <c r="BV267" s="129" t="e">
        <f>VLOOKUP($D267,WGI!$C$2:$O$478,7,FALSE)</f>
        <v>#N/A</v>
      </c>
      <c r="BW267" s="129" t="e">
        <f>VLOOKUP($D267,WGI!$C$2:$O$478,4,FALSE)</f>
        <v>#N/A</v>
      </c>
      <c r="BX267" s="129" t="e">
        <f>VLOOKUP($D267,WGI!$C$2:$O$478,3,FALSE)</f>
        <v>#N/A</v>
      </c>
      <c r="BY267" s="129" t="e">
        <f>VLOOKUP($D267,WGI!$C$2:$O$478,5,FALSE)</f>
        <v>#N/A</v>
      </c>
      <c r="BZ267" s="129" t="e">
        <f>VLOOKUP($D267,WGI!$C$2:$O$478,2,FALSE)</f>
        <v>#N/A</v>
      </c>
      <c r="CB267" s="129"/>
    </row>
    <row r="268" spans="1:80" ht="15" customHeight="1">
      <c r="A268" s="296" t="s">
        <v>158</v>
      </c>
      <c r="B268" s="132">
        <v>2008</v>
      </c>
      <c r="C268" s="132" t="s">
        <v>3791</v>
      </c>
      <c r="D268" s="117" t="s">
        <v>3794</v>
      </c>
      <c r="E268" s="132" t="s">
        <v>86</v>
      </c>
      <c r="F268" s="117" t="s">
        <v>1028</v>
      </c>
      <c r="G268" s="117" t="s">
        <v>35</v>
      </c>
      <c r="H268" s="117" t="str">
        <f t="shared" si="44"/>
        <v>yes</v>
      </c>
      <c r="I268" s="117" t="str">
        <f t="shared" si="45"/>
        <v>yes</v>
      </c>
      <c r="J268" s="117" t="str">
        <f t="shared" si="46"/>
        <v>yes</v>
      </c>
      <c r="K268" s="176" t="s">
        <v>709</v>
      </c>
      <c r="L268" s="117" t="str">
        <f t="shared" si="49"/>
        <v>Total</v>
      </c>
      <c r="M268" s="117" t="str">
        <f t="shared" si="47"/>
        <v>Total Oil, Gas, Mining</v>
      </c>
      <c r="N268" s="179"/>
      <c r="O268" s="179"/>
      <c r="P268" s="179"/>
      <c r="Q268" s="179"/>
      <c r="R268" s="179"/>
      <c r="S268" s="117"/>
      <c r="T268" s="119"/>
      <c r="U268" s="117"/>
      <c r="V268" s="117"/>
      <c r="W268" s="89">
        <f>W269+W272</f>
        <v>2764258626.8351002</v>
      </c>
      <c r="X268" s="117" t="s">
        <v>1031</v>
      </c>
      <c r="Y268" s="117" t="s">
        <v>663</v>
      </c>
      <c r="Z268" s="117" t="s">
        <v>664</v>
      </c>
      <c r="AA268" s="177">
        <v>594748911.30207145</v>
      </c>
      <c r="AB268" s="177">
        <v>665559303.05941272</v>
      </c>
      <c r="AC268" s="122"/>
      <c r="AD268" s="122"/>
      <c r="AE268" s="122"/>
      <c r="AF268" s="123">
        <f>AA268/W268</f>
        <v>0.21515675325322978</v>
      </c>
      <c r="AG268" s="117" t="s">
        <v>836</v>
      </c>
      <c r="AH268" s="124">
        <v>439.3</v>
      </c>
      <c r="AI268" s="117" t="s">
        <v>667</v>
      </c>
      <c r="AJ268" s="177"/>
      <c r="AK268" s="89"/>
      <c r="AL268" s="117"/>
      <c r="AM268" s="117"/>
      <c r="AN268" s="117">
        <v>22</v>
      </c>
      <c r="AO268" s="117" t="s">
        <v>1032</v>
      </c>
      <c r="AP268" s="117">
        <v>17</v>
      </c>
      <c r="AQ268" s="117" t="s">
        <v>159</v>
      </c>
      <c r="AR268" s="126">
        <v>41948</v>
      </c>
      <c r="AS268" s="117" t="s">
        <v>670</v>
      </c>
      <c r="AT268" s="127" t="s">
        <v>160</v>
      </c>
      <c r="AU268" s="117" t="s">
        <v>1033</v>
      </c>
      <c r="AV268" s="128" t="s">
        <v>1034</v>
      </c>
      <c r="AW268" s="117" t="e">
        <f>VLOOKUP($D268,'WB Data'!$C$3:$M$578,2,FALSE)</f>
        <v>#N/A</v>
      </c>
      <c r="AX268" s="117" t="e">
        <f>VLOOKUP($D268,'WB Data'!$C$3:$M$578,3,FALSE)</f>
        <v>#N/A</v>
      </c>
      <c r="AY268" s="847" t="str">
        <f t="shared" si="51"/>
        <v>..</v>
      </c>
      <c r="AZ268" s="117" t="e">
        <f>VLOOKUP($D268,'WB Data'!$C$3:$M$578,4,FALSE)/100</f>
        <v>#N/A</v>
      </c>
      <c r="BA268" s="117" t="str">
        <f t="shared" si="52"/>
        <v>..</v>
      </c>
      <c r="BB268" s="129" t="str">
        <f>IFERROR(VLOOKUP($D268,'EITI Revenues'!$C$2:$G$224,5,FALSE),"..")</f>
        <v>..</v>
      </c>
      <c r="BC268" s="846" t="str">
        <f t="shared" si="53"/>
        <v>..</v>
      </c>
      <c r="BD268" s="129" t="e">
        <f>VLOOKUP($D268,'WB Data 2'!$C$2:$K$545,6,FALSE)</f>
        <v>#N/A</v>
      </c>
      <c r="BE268" s="129" t="str">
        <f>IFERROR(VLOOKUP($D268,UNCTAD!$C$5:$V$529,4,FALSE),"..")</f>
        <v>..</v>
      </c>
      <c r="BF268" s="846" t="str">
        <f t="shared" si="54"/>
        <v>..</v>
      </c>
      <c r="BG268" s="117" t="e">
        <f>VLOOKUP($D268,'WB Data'!$C$3:$M$578,5,FALSE)</f>
        <v>#N/A</v>
      </c>
      <c r="BH268" s="129" t="str">
        <f>IFERROR($BB268/$BG268,"..")</f>
        <v>..</v>
      </c>
      <c r="BI268" s="117" t="str">
        <f>IFERROR(VLOOKUP($D268,'WB Data'!$C$3:$M$578,7,FALSE)/100,"..")</f>
        <v>..</v>
      </c>
      <c r="BJ268" s="117" t="str">
        <f>IFERROR($BI268*$AW268,"..")</f>
        <v>..</v>
      </c>
      <c r="BK268" s="846" t="str">
        <f>IFERROR($BB268/$BJ268,"..")</f>
        <v>..</v>
      </c>
      <c r="BL268" s="117" t="str">
        <f>IFERROR(VLOOKUP($D268,'WB Data'!$C$3:$M$578,7,FALSE)/100,"..")</f>
        <v>..</v>
      </c>
      <c r="BM268" s="117" t="str">
        <f>IFERROR($AW268*$BL268,"..")</f>
        <v>..</v>
      </c>
      <c r="BN268" s="846" t="str">
        <f>IFERROR($BB268/$BM268,"..")</f>
        <v>..</v>
      </c>
      <c r="BO268" s="801" t="str">
        <f t="shared" si="50"/>
        <v>..</v>
      </c>
      <c r="BP268" s="117" t="e">
        <f>VLOOKUP($D268,'WB Data'!$C$3:$M$578,9,FALSE)</f>
        <v>#N/A</v>
      </c>
      <c r="BQ268" s="117" t="e">
        <f>VLOOKUP($D268,'WB Data'!$C$3:$M$578,10,FALSE)</f>
        <v>#N/A</v>
      </c>
      <c r="BR268" s="117" t="e">
        <f>VLOOKUP($D268,'WB Data'!$C$3:$M$578,11,FALSE)</f>
        <v>#N/A</v>
      </c>
      <c r="BS268" s="129" t="str">
        <f>IFERROR(VLOOKUP($D268,'WB Data 2'!$C$2:$K$545,9,FALSE),"..")</f>
        <v>..</v>
      </c>
      <c r="BT268" s="129" t="str">
        <f>_xlfn.IFNA(VLOOKUP($C268,RGI!$A$2:$C$43,2,FALSE),"..")</f>
        <v>..</v>
      </c>
      <c r="BU268" s="129" t="str">
        <f>_xlfn.IFNA(VLOOKUP($C268,RGI!$A$2:$C$43,3,FALSE),"..")</f>
        <v>..</v>
      </c>
      <c r="BV268" s="129" t="e">
        <f>VLOOKUP($D268,WGI!$C$2:$O$478,7,FALSE)</f>
        <v>#N/A</v>
      </c>
      <c r="BW268" s="129" t="e">
        <f>VLOOKUP($D268,WGI!$C$2:$O$478,4,FALSE)</f>
        <v>#N/A</v>
      </c>
      <c r="BX268" s="129" t="e">
        <f>VLOOKUP($D268,WGI!$C$2:$O$478,3,FALSE)</f>
        <v>#N/A</v>
      </c>
      <c r="BY268" s="129" t="e">
        <f>VLOOKUP($D268,WGI!$C$2:$O$478,5,FALSE)</f>
        <v>#N/A</v>
      </c>
      <c r="BZ268" s="129" t="e">
        <f>VLOOKUP($D268,WGI!$C$2:$O$478,2,FALSE)</f>
        <v>#N/A</v>
      </c>
    </row>
    <row r="269" spans="1:80" ht="15" customHeight="1">
      <c r="A269" s="294" t="s">
        <v>158</v>
      </c>
      <c r="B269" s="117">
        <v>2008</v>
      </c>
      <c r="C269" s="132" t="s">
        <v>3791</v>
      </c>
      <c r="D269" s="117" t="s">
        <v>3794</v>
      </c>
      <c r="E269" s="117" t="s">
        <v>86</v>
      </c>
      <c r="F269" s="117"/>
      <c r="G269" s="117" t="s">
        <v>55</v>
      </c>
      <c r="H269" s="117" t="str">
        <f t="shared" si="44"/>
        <v>no</v>
      </c>
      <c r="I269" s="117" t="str">
        <f t="shared" si="45"/>
        <v>yes</v>
      </c>
      <c r="J269" s="117" t="str">
        <f t="shared" si="46"/>
        <v>yes</v>
      </c>
      <c r="K269" s="176" t="s">
        <v>640</v>
      </c>
      <c r="L269" s="117" t="str">
        <f t="shared" si="49"/>
        <v>Total</v>
      </c>
      <c r="M269" s="117" t="str">
        <f t="shared" si="47"/>
        <v>Total Oil, Gas</v>
      </c>
      <c r="N269" s="179"/>
      <c r="O269" s="179"/>
      <c r="P269" s="179"/>
      <c r="Q269" s="179"/>
      <c r="R269" s="179"/>
      <c r="S269" s="117"/>
      <c r="T269" s="119"/>
      <c r="U269" s="117"/>
      <c r="V269" s="117"/>
      <c r="W269" s="89">
        <f>SUM(W270:W271)</f>
        <v>2679258279.0081</v>
      </c>
      <c r="X269" s="117"/>
      <c r="Y269" s="117"/>
      <c r="Z269" s="117"/>
      <c r="AA269" s="177">
        <v>589778446.23719549</v>
      </c>
      <c r="AB269" s="177">
        <v>660341840.62371957</v>
      </c>
      <c r="AC269" s="122"/>
      <c r="AD269" s="122"/>
      <c r="AE269" s="122"/>
      <c r="AF269" s="123">
        <f>AA269/W269</f>
        <v>0.22012750725008115</v>
      </c>
      <c r="AG269" s="117"/>
      <c r="AH269" s="124"/>
      <c r="AI269" s="117"/>
      <c r="AJ269" s="177"/>
      <c r="AK269" s="89"/>
      <c r="AL269" s="117"/>
      <c r="AM269" s="117"/>
      <c r="AN269" s="117"/>
      <c r="AO269" s="117"/>
      <c r="AP269" s="117"/>
      <c r="AQ269" s="117"/>
      <c r="AR269" s="126"/>
      <c r="AS269" s="117"/>
      <c r="AT269" s="117"/>
      <c r="AU269" s="117"/>
      <c r="AV269" s="128"/>
      <c r="AW269" s="117" t="e">
        <f>VLOOKUP($D269,'WB Data'!$C$3:$M$578,2,FALSE)</f>
        <v>#N/A</v>
      </c>
      <c r="AX269" s="117" t="e">
        <f>VLOOKUP($D269,'WB Data'!$C$3:$M$578,3,FALSE)</f>
        <v>#N/A</v>
      </c>
      <c r="AY269" s="847" t="str">
        <f t="shared" si="51"/>
        <v>..</v>
      </c>
      <c r="AZ269" s="117" t="e">
        <f>VLOOKUP($D269,'WB Data'!$C$3:$M$578,4,FALSE)/100</f>
        <v>#N/A</v>
      </c>
      <c r="BA269" s="117" t="str">
        <f t="shared" si="52"/>
        <v>..</v>
      </c>
      <c r="BB269" s="129" t="str">
        <f>IFERROR(VLOOKUP($D269,'EITI Revenues'!$C$2:$G$224,5,FALSE),"..")</f>
        <v>..</v>
      </c>
      <c r="BC269" s="846" t="str">
        <f t="shared" si="53"/>
        <v>..</v>
      </c>
      <c r="BD269" s="129" t="e">
        <f>VLOOKUP($D269,'WB Data 2'!$C$2:$K$545,6,FALSE)</f>
        <v>#N/A</v>
      </c>
      <c r="BE269" s="129" t="str">
        <f>IFERROR(VLOOKUP($D269,UNCTAD!$C$5:$V$529,4,FALSE),"..")</f>
        <v>..</v>
      </c>
      <c r="BF269" s="846" t="str">
        <f t="shared" si="54"/>
        <v>..</v>
      </c>
      <c r="BG269" s="117" t="e">
        <f>VLOOKUP($D269,'WB Data'!$C$3:$M$578,5,FALSE)</f>
        <v>#N/A</v>
      </c>
      <c r="BH269" s="129" t="str">
        <f>IFERROR($BB269/$BG269,"..")</f>
        <v>..</v>
      </c>
      <c r="BI269" s="117" t="str">
        <f>IFERROR(VLOOKUP($D269,'WB Data'!$C$3:$M$578,7,FALSE)/100,"..")</f>
        <v>..</v>
      </c>
      <c r="BJ269" s="117" t="str">
        <f>IFERROR($BI269*$AW269,"..")</f>
        <v>..</v>
      </c>
      <c r="BK269" s="846" t="str">
        <f>IFERROR($BB269/$BJ269,"..")</f>
        <v>..</v>
      </c>
      <c r="BL269" s="117" t="str">
        <f>IFERROR(VLOOKUP($D269,'WB Data'!$C$3:$M$578,7,FALSE)/100,"..")</f>
        <v>..</v>
      </c>
      <c r="BM269" s="117" t="str">
        <f>IFERROR($AW269*$BL269,"..")</f>
        <v>..</v>
      </c>
      <c r="BN269" s="846" t="str">
        <f>IFERROR($BB269/$BM269,"..")</f>
        <v>..</v>
      </c>
      <c r="BO269" s="801" t="str">
        <f t="shared" si="50"/>
        <v>..</v>
      </c>
      <c r="BP269" s="117" t="e">
        <f>VLOOKUP($D269,'WB Data'!$C$3:$M$578,9,FALSE)</f>
        <v>#N/A</v>
      </c>
      <c r="BQ269" s="117" t="e">
        <f>VLOOKUP($D269,'WB Data'!$C$3:$M$578,10,FALSE)</f>
        <v>#N/A</v>
      </c>
      <c r="BR269" s="117" t="e">
        <f>VLOOKUP($D269,'WB Data'!$C$3:$M$578,11,FALSE)</f>
        <v>#N/A</v>
      </c>
      <c r="BS269" s="129" t="str">
        <f>IFERROR(VLOOKUP($D269,'WB Data 2'!$C$2:$K$545,9,FALSE),"..")</f>
        <v>..</v>
      </c>
      <c r="BT269" s="129" t="str">
        <f>_xlfn.IFNA(VLOOKUP($C269,RGI!$A$2:$C$43,2,FALSE),"..")</f>
        <v>..</v>
      </c>
      <c r="BU269" s="129" t="str">
        <f>_xlfn.IFNA(VLOOKUP($C269,RGI!$A$2:$C$43,3,FALSE),"..")</f>
        <v>..</v>
      </c>
      <c r="BV269" s="129" t="e">
        <f>VLOOKUP($D269,WGI!$C$2:$O$478,7,FALSE)</f>
        <v>#N/A</v>
      </c>
      <c r="BW269" s="129" t="e">
        <f>VLOOKUP($D269,WGI!$C$2:$O$478,4,FALSE)</f>
        <v>#N/A</v>
      </c>
      <c r="BX269" s="129" t="e">
        <f>VLOOKUP($D269,WGI!$C$2:$O$478,3,FALSE)</f>
        <v>#N/A</v>
      </c>
      <c r="BY269" s="129" t="e">
        <f>VLOOKUP($D269,WGI!$C$2:$O$478,5,FALSE)</f>
        <v>#N/A</v>
      </c>
      <c r="BZ269" s="129" t="e">
        <f>VLOOKUP($D269,WGI!$C$2:$O$478,2,FALSE)</f>
        <v>#N/A</v>
      </c>
    </row>
    <row r="270" spans="1:80" ht="15" customHeight="1">
      <c r="A270" s="294" t="s">
        <v>158</v>
      </c>
      <c r="B270" s="117">
        <v>2008</v>
      </c>
      <c r="C270" s="132" t="s">
        <v>3791</v>
      </c>
      <c r="D270" s="117" t="s">
        <v>3794</v>
      </c>
      <c r="E270" s="117" t="s">
        <v>86</v>
      </c>
      <c r="F270" s="117"/>
      <c r="G270" s="117" t="s">
        <v>561</v>
      </c>
      <c r="H270" s="117" t="str">
        <f t="shared" si="44"/>
        <v>no</v>
      </c>
      <c r="I270" s="117" t="str">
        <f t="shared" si="45"/>
        <v>yes</v>
      </c>
      <c r="J270" s="117" t="str">
        <f t="shared" si="46"/>
        <v>no</v>
      </c>
      <c r="K270" s="176" t="s">
        <v>561</v>
      </c>
      <c r="L270" s="117" t="str">
        <f t="shared" si="49"/>
        <v>detailed</v>
      </c>
      <c r="M270" s="117" t="str">
        <f t="shared" si="47"/>
        <v>detailed Gas</v>
      </c>
      <c r="N270" s="179">
        <f>57000000000*0.0283168</f>
        <v>1614057600</v>
      </c>
      <c r="O270" s="179"/>
      <c r="P270" s="179"/>
      <c r="Q270" s="179"/>
      <c r="R270" s="179"/>
      <c r="S270" s="117" t="s">
        <v>642</v>
      </c>
      <c r="T270" s="119">
        <v>0.32879700000000006</v>
      </c>
      <c r="U270" s="117" t="s">
        <v>643</v>
      </c>
      <c r="V270" s="117" t="s">
        <v>880</v>
      </c>
      <c r="W270" s="89">
        <f>N270*T270</f>
        <v>530697296.70720011</v>
      </c>
      <c r="X270" s="117"/>
      <c r="Y270" s="117"/>
      <c r="Z270" s="117"/>
      <c r="AA270" s="177"/>
      <c r="AB270" s="177"/>
      <c r="AC270" s="122"/>
      <c r="AD270" s="122"/>
      <c r="AE270" s="122"/>
      <c r="AF270" s="123"/>
      <c r="AG270" s="117"/>
      <c r="AH270" s="124"/>
      <c r="AI270" s="117"/>
      <c r="AJ270" s="177">
        <f>(28495000000+10968000000)*0.0283168</f>
        <v>1117465878.4000001</v>
      </c>
      <c r="AK270" s="89" t="s">
        <v>943</v>
      </c>
      <c r="AL270" s="117"/>
      <c r="AM270" s="117"/>
      <c r="AN270" s="117"/>
      <c r="AO270" s="117"/>
      <c r="AP270" s="117"/>
      <c r="AQ270" s="117"/>
      <c r="AR270" s="117"/>
      <c r="AS270" s="117"/>
      <c r="AT270" s="117"/>
      <c r="AU270" s="117"/>
      <c r="AV270" s="128" t="s">
        <v>1035</v>
      </c>
      <c r="AW270" s="117" t="e">
        <f>VLOOKUP($D270,'WB Data'!$C$3:$M$578,2,FALSE)</f>
        <v>#N/A</v>
      </c>
      <c r="AX270" s="117" t="e">
        <f>VLOOKUP($D270,'WB Data'!$C$3:$M$578,3,FALSE)</f>
        <v>#N/A</v>
      </c>
      <c r="AY270" s="847" t="str">
        <f t="shared" si="51"/>
        <v>..</v>
      </c>
      <c r="AZ270" s="117" t="e">
        <f>VLOOKUP($D270,'WB Data'!$C$3:$M$578,4,FALSE)/100</f>
        <v>#N/A</v>
      </c>
      <c r="BA270" s="117" t="str">
        <f t="shared" si="52"/>
        <v>..</v>
      </c>
      <c r="BB270" s="129" t="str">
        <f>IFERROR(VLOOKUP($D270,'EITI Revenues'!$C$2:$G$224,5,FALSE),"..")</f>
        <v>..</v>
      </c>
      <c r="BC270" s="846" t="str">
        <f t="shared" si="53"/>
        <v>..</v>
      </c>
      <c r="BD270" s="129" t="e">
        <f>VLOOKUP($D270,'WB Data 2'!$C$2:$K$545,6,FALSE)</f>
        <v>#N/A</v>
      </c>
      <c r="BE270" s="129" t="str">
        <f>IFERROR(VLOOKUP($D270,UNCTAD!$C$5:$V$529,4,FALSE),"..")</f>
        <v>..</v>
      </c>
      <c r="BF270" s="846" t="str">
        <f t="shared" si="54"/>
        <v>..</v>
      </c>
      <c r="BG270" s="117" t="e">
        <f>VLOOKUP($D270,'WB Data'!$C$3:$M$578,5,FALSE)</f>
        <v>#N/A</v>
      </c>
      <c r="BH270" s="129" t="str">
        <f>IFERROR($BB270/$BG270,"..")</f>
        <v>..</v>
      </c>
      <c r="BI270" s="117" t="str">
        <f>IFERROR(VLOOKUP($D270,'WB Data'!$C$3:$M$578,7,FALSE)/100,"..")</f>
        <v>..</v>
      </c>
      <c r="BJ270" s="117" t="str">
        <f>IFERROR($BI270*$AW270,"..")</f>
        <v>..</v>
      </c>
      <c r="BK270" s="846" t="str">
        <f>IFERROR($BB270/$BJ270,"..")</f>
        <v>..</v>
      </c>
      <c r="BL270" s="117" t="str">
        <f>IFERROR(VLOOKUP($D270,'WB Data'!$C$3:$M$578,7,FALSE)/100,"..")</f>
        <v>..</v>
      </c>
      <c r="BM270" s="117" t="str">
        <f>IFERROR($AW270*$BL270,"..")</f>
        <v>..</v>
      </c>
      <c r="BN270" s="846" t="str">
        <f>IFERROR($BB270/$BM270,"..")</f>
        <v>..</v>
      </c>
      <c r="BO270" s="801" t="str">
        <f t="shared" si="50"/>
        <v>..</v>
      </c>
      <c r="BP270" s="117" t="e">
        <f>VLOOKUP($D270,'WB Data'!$C$3:$M$578,9,FALSE)</f>
        <v>#N/A</v>
      </c>
      <c r="BQ270" s="117" t="e">
        <f>VLOOKUP($D270,'WB Data'!$C$3:$M$578,10,FALSE)</f>
        <v>#N/A</v>
      </c>
      <c r="BR270" s="117" t="e">
        <f>VLOOKUP($D270,'WB Data'!$C$3:$M$578,11,FALSE)</f>
        <v>#N/A</v>
      </c>
      <c r="BS270" s="129" t="str">
        <f>IFERROR(VLOOKUP($D270,'WB Data 2'!$C$2:$K$545,9,FALSE),"..")</f>
        <v>..</v>
      </c>
      <c r="BT270" s="129" t="str">
        <f>_xlfn.IFNA(VLOOKUP($C270,RGI!$A$2:$C$43,2,FALSE),"..")</f>
        <v>..</v>
      </c>
      <c r="BU270" s="129" t="str">
        <f>_xlfn.IFNA(VLOOKUP($C270,RGI!$A$2:$C$43,3,FALSE),"..")</f>
        <v>..</v>
      </c>
      <c r="BV270" s="129" t="e">
        <f>VLOOKUP($D270,WGI!$C$2:$O$478,7,FALSE)</f>
        <v>#N/A</v>
      </c>
      <c r="BW270" s="129" t="e">
        <f>VLOOKUP($D270,WGI!$C$2:$O$478,4,FALSE)</f>
        <v>#N/A</v>
      </c>
      <c r="BX270" s="129" t="e">
        <f>VLOOKUP($D270,WGI!$C$2:$O$478,3,FALSE)</f>
        <v>#N/A</v>
      </c>
      <c r="BY270" s="129" t="e">
        <f>VLOOKUP($D270,WGI!$C$2:$O$478,5,FALSE)</f>
        <v>#N/A</v>
      </c>
      <c r="BZ270" s="129" t="e">
        <f>VLOOKUP($D270,WGI!$C$2:$O$478,2,FALSE)</f>
        <v>#N/A</v>
      </c>
    </row>
    <row r="271" spans="1:80" ht="15" customHeight="1">
      <c r="A271" s="294" t="s">
        <v>158</v>
      </c>
      <c r="B271" s="117">
        <v>2008</v>
      </c>
      <c r="C271" s="132" t="s">
        <v>3791</v>
      </c>
      <c r="D271" s="117" t="s">
        <v>3794</v>
      </c>
      <c r="E271" s="117" t="s">
        <v>86</v>
      </c>
      <c r="F271" s="117"/>
      <c r="G271" s="117" t="s">
        <v>103</v>
      </c>
      <c r="H271" s="117" t="str">
        <f t="shared" si="44"/>
        <v>no</v>
      </c>
      <c r="I271" s="117" t="str">
        <f t="shared" si="45"/>
        <v>no</v>
      </c>
      <c r="J271" s="117" t="str">
        <f t="shared" si="46"/>
        <v>yes</v>
      </c>
      <c r="K271" s="176" t="s">
        <v>103</v>
      </c>
      <c r="L271" s="117" t="str">
        <f t="shared" si="49"/>
        <v>detailed</v>
      </c>
      <c r="M271" s="117" t="str">
        <f t="shared" si="47"/>
        <v>detailed Oil</v>
      </c>
      <c r="N271" s="179">
        <v>21863500</v>
      </c>
      <c r="O271" s="179"/>
      <c r="P271" s="179"/>
      <c r="Q271" s="179"/>
      <c r="R271" s="179"/>
      <c r="S271" s="117" t="s">
        <v>646</v>
      </c>
      <c r="T271" s="119">
        <v>98.2715934</v>
      </c>
      <c r="U271" s="117" t="s">
        <v>673</v>
      </c>
      <c r="V271" s="117" t="s">
        <v>1030</v>
      </c>
      <c r="W271" s="89">
        <f>N271*T271</f>
        <v>2148560982.3009</v>
      </c>
      <c r="X271" s="117"/>
      <c r="Y271" s="117"/>
      <c r="Z271" s="117"/>
      <c r="AA271" s="177"/>
      <c r="AB271" s="177"/>
      <c r="AC271" s="122"/>
      <c r="AD271" s="122"/>
      <c r="AE271" s="122"/>
      <c r="AF271" s="123"/>
      <c r="AG271" s="117"/>
      <c r="AH271" s="124"/>
      <c r="AI271" s="117"/>
      <c r="AJ271" s="177">
        <f>4873983+803594</f>
        <v>5677577</v>
      </c>
      <c r="AK271" s="89" t="s">
        <v>943</v>
      </c>
      <c r="AL271" s="117"/>
      <c r="AM271" s="117"/>
      <c r="AN271" s="117"/>
      <c r="AO271" s="117"/>
      <c r="AP271" s="117"/>
      <c r="AQ271" s="117"/>
      <c r="AR271" s="117"/>
      <c r="AS271" s="117"/>
      <c r="AT271" s="117"/>
      <c r="AU271" s="117"/>
      <c r="AV271" s="128" t="s">
        <v>1036</v>
      </c>
      <c r="AW271" s="117" t="e">
        <f>VLOOKUP($D271,'WB Data'!$C$3:$M$578,2,FALSE)</f>
        <v>#N/A</v>
      </c>
      <c r="AX271" s="117" t="e">
        <f>VLOOKUP($D271,'WB Data'!$C$3:$M$578,3,FALSE)</f>
        <v>#N/A</v>
      </c>
      <c r="AY271" s="847" t="str">
        <f t="shared" si="51"/>
        <v>..</v>
      </c>
      <c r="AZ271" s="117" t="e">
        <f>VLOOKUP($D271,'WB Data'!$C$3:$M$578,4,FALSE)/100</f>
        <v>#N/A</v>
      </c>
      <c r="BA271" s="117" t="str">
        <f t="shared" si="52"/>
        <v>..</v>
      </c>
      <c r="BB271" s="129" t="str">
        <f>IFERROR(VLOOKUP($D271,'EITI Revenues'!$C$2:$G$224,5,FALSE),"..")</f>
        <v>..</v>
      </c>
      <c r="BC271" s="846" t="str">
        <f t="shared" si="53"/>
        <v>..</v>
      </c>
      <c r="BD271" s="129" t="e">
        <f>VLOOKUP($D271,'WB Data 2'!$C$2:$K$545,6,FALSE)</f>
        <v>#N/A</v>
      </c>
      <c r="BE271" s="129" t="str">
        <f>IFERROR(VLOOKUP($D271,UNCTAD!$C$5:$V$529,4,FALSE),"..")</f>
        <v>..</v>
      </c>
      <c r="BF271" s="846" t="str">
        <f t="shared" si="54"/>
        <v>..</v>
      </c>
      <c r="BG271" s="117" t="e">
        <f>VLOOKUP($D271,'WB Data'!$C$3:$M$578,5,FALSE)</f>
        <v>#N/A</v>
      </c>
      <c r="BH271" s="129" t="str">
        <f>IFERROR($BB271/$BG271,"..")</f>
        <v>..</v>
      </c>
      <c r="BI271" s="117" t="str">
        <f>IFERROR(VLOOKUP($D271,'WB Data'!$C$3:$M$578,7,FALSE)/100,"..")</f>
        <v>..</v>
      </c>
      <c r="BJ271" s="117" t="str">
        <f>IFERROR($BI271*$AW271,"..")</f>
        <v>..</v>
      </c>
      <c r="BK271" s="846" t="str">
        <f>IFERROR($BB271/$BJ271,"..")</f>
        <v>..</v>
      </c>
      <c r="BL271" s="117" t="str">
        <f>IFERROR(VLOOKUP($D271,'WB Data'!$C$3:$M$578,7,FALSE)/100,"..")</f>
        <v>..</v>
      </c>
      <c r="BM271" s="117" t="str">
        <f>IFERROR($AW271*$BL271,"..")</f>
        <v>..</v>
      </c>
      <c r="BN271" s="846" t="str">
        <f>IFERROR($BB271/$BM271,"..")</f>
        <v>..</v>
      </c>
      <c r="BO271" s="801" t="str">
        <f t="shared" si="50"/>
        <v>..</v>
      </c>
      <c r="BP271" s="117" t="e">
        <f>VLOOKUP($D271,'WB Data'!$C$3:$M$578,9,FALSE)</f>
        <v>#N/A</v>
      </c>
      <c r="BQ271" s="117" t="e">
        <f>VLOOKUP($D271,'WB Data'!$C$3:$M$578,10,FALSE)</f>
        <v>#N/A</v>
      </c>
      <c r="BR271" s="117" t="e">
        <f>VLOOKUP($D271,'WB Data'!$C$3:$M$578,11,FALSE)</f>
        <v>#N/A</v>
      </c>
      <c r="BS271" s="129" t="str">
        <f>IFERROR(VLOOKUP($D271,'WB Data 2'!$C$2:$K$545,9,FALSE),"..")</f>
        <v>..</v>
      </c>
      <c r="BT271" s="129" t="str">
        <f>_xlfn.IFNA(VLOOKUP($C271,RGI!$A$2:$C$43,2,FALSE),"..")</f>
        <v>..</v>
      </c>
      <c r="BU271" s="129" t="str">
        <f>_xlfn.IFNA(VLOOKUP($C271,RGI!$A$2:$C$43,3,FALSE),"..")</f>
        <v>..</v>
      </c>
      <c r="BV271" s="129" t="e">
        <f>VLOOKUP($D271,WGI!$C$2:$O$478,7,FALSE)</f>
        <v>#N/A</v>
      </c>
      <c r="BW271" s="129" t="e">
        <f>VLOOKUP($D271,WGI!$C$2:$O$478,4,FALSE)</f>
        <v>#N/A</v>
      </c>
      <c r="BX271" s="129" t="e">
        <f>VLOOKUP($D271,WGI!$C$2:$O$478,3,FALSE)</f>
        <v>#N/A</v>
      </c>
      <c r="BY271" s="129" t="e">
        <f>VLOOKUP($D271,WGI!$C$2:$O$478,5,FALSE)</f>
        <v>#N/A</v>
      </c>
      <c r="BZ271" s="129" t="e">
        <f>VLOOKUP($D271,WGI!$C$2:$O$478,2,FALSE)</f>
        <v>#N/A</v>
      </c>
    </row>
    <row r="272" spans="1:80" ht="15" customHeight="1">
      <c r="A272" s="294" t="s">
        <v>158</v>
      </c>
      <c r="B272" s="117">
        <v>2008</v>
      </c>
      <c r="C272" s="132" t="s">
        <v>3791</v>
      </c>
      <c r="D272" s="117" t="s">
        <v>3794</v>
      </c>
      <c r="E272" s="117" t="s">
        <v>86</v>
      </c>
      <c r="F272" s="117"/>
      <c r="G272" s="117" t="s">
        <v>24</v>
      </c>
      <c r="H272" s="117" t="str">
        <f t="shared" si="44"/>
        <v>yes</v>
      </c>
      <c r="I272" s="117" t="str">
        <f t="shared" si="45"/>
        <v>no</v>
      </c>
      <c r="J272" s="117" t="str">
        <f t="shared" si="46"/>
        <v>no</v>
      </c>
      <c r="K272" s="176" t="s">
        <v>600</v>
      </c>
      <c r="L272" s="117" t="str">
        <f t="shared" si="49"/>
        <v>Total</v>
      </c>
      <c r="M272" s="117" t="str">
        <f t="shared" si="47"/>
        <v>Total Mining</v>
      </c>
      <c r="N272" s="179"/>
      <c r="O272" s="179"/>
      <c r="P272" s="179"/>
      <c r="Q272" s="179"/>
      <c r="R272" s="179"/>
      <c r="S272" s="117"/>
      <c r="T272" s="119"/>
      <c r="U272" s="117"/>
      <c r="V272" s="117"/>
      <c r="W272" s="89">
        <f>SUM(W273:W276)</f>
        <v>85000347.827000007</v>
      </c>
      <c r="X272" s="117"/>
      <c r="Y272" s="117"/>
      <c r="Z272" s="117"/>
      <c r="AA272" s="177">
        <v>4970465.0648759389</v>
      </c>
      <c r="AB272" s="177">
        <v>5217462.4356931476</v>
      </c>
      <c r="AC272" s="122"/>
      <c r="AD272" s="122"/>
      <c r="AE272" s="122"/>
      <c r="AF272" s="123">
        <f>AA272/W272</f>
        <v>5.8475820298903428E-2</v>
      </c>
      <c r="AG272" s="117"/>
      <c r="AH272" s="124"/>
      <c r="AI272" s="117"/>
      <c r="AJ272" s="177"/>
      <c r="AK272" s="89"/>
      <c r="AL272" s="117"/>
      <c r="AM272" s="117"/>
      <c r="AN272" s="117"/>
      <c r="AO272" s="117"/>
      <c r="AP272" s="117"/>
      <c r="AQ272" s="117"/>
      <c r="AR272" s="126"/>
      <c r="AS272" s="117"/>
      <c r="AT272" s="117"/>
      <c r="AU272" s="117"/>
      <c r="AV272" s="128" t="s">
        <v>1037</v>
      </c>
      <c r="AW272" s="117" t="e">
        <f>VLOOKUP($D272,'WB Data'!$C$3:$M$578,2,FALSE)</f>
        <v>#N/A</v>
      </c>
      <c r="AX272" s="117" t="e">
        <f>VLOOKUP($D272,'WB Data'!$C$3:$M$578,3,FALSE)</f>
        <v>#N/A</v>
      </c>
      <c r="AY272" s="847" t="str">
        <f t="shared" si="51"/>
        <v>..</v>
      </c>
      <c r="AZ272" s="117" t="e">
        <f>VLOOKUP($D272,'WB Data'!$C$3:$M$578,4,FALSE)/100</f>
        <v>#N/A</v>
      </c>
      <c r="BA272" s="117" t="str">
        <f t="shared" si="52"/>
        <v>..</v>
      </c>
      <c r="BB272" s="129" t="str">
        <f>IFERROR(VLOOKUP($D272,'EITI Revenues'!$C$2:$G$224,5,FALSE),"..")</f>
        <v>..</v>
      </c>
      <c r="BC272" s="846" t="str">
        <f t="shared" si="53"/>
        <v>..</v>
      </c>
      <c r="BD272" s="129" t="e">
        <f>VLOOKUP($D272,'WB Data 2'!$C$2:$K$545,6,FALSE)</f>
        <v>#N/A</v>
      </c>
      <c r="BE272" s="129" t="str">
        <f>IFERROR(VLOOKUP($D272,UNCTAD!$C$5:$V$529,4,FALSE),"..")</f>
        <v>..</v>
      </c>
      <c r="BF272" s="846" t="str">
        <f t="shared" si="54"/>
        <v>..</v>
      </c>
      <c r="BG272" s="117" t="e">
        <f>VLOOKUP($D272,'WB Data'!$C$3:$M$578,5,FALSE)</f>
        <v>#N/A</v>
      </c>
      <c r="BH272" s="129" t="str">
        <f>IFERROR($BB272/$BG272,"..")</f>
        <v>..</v>
      </c>
      <c r="BI272" s="117" t="str">
        <f>IFERROR(VLOOKUP($D272,'WB Data'!$C$3:$M$578,7,FALSE)/100,"..")</f>
        <v>..</v>
      </c>
      <c r="BJ272" s="117" t="str">
        <f>IFERROR($BI272*$AW272,"..")</f>
        <v>..</v>
      </c>
      <c r="BK272" s="846" t="str">
        <f>IFERROR($BB272/$BJ272,"..")</f>
        <v>..</v>
      </c>
      <c r="BL272" s="117" t="str">
        <f>IFERROR(VLOOKUP($D272,'WB Data'!$C$3:$M$578,7,FALSE)/100,"..")</f>
        <v>..</v>
      </c>
      <c r="BM272" s="117" t="str">
        <f>IFERROR($AW272*$BL272,"..")</f>
        <v>..</v>
      </c>
      <c r="BN272" s="846" t="str">
        <f>IFERROR($BB272/$BM272,"..")</f>
        <v>..</v>
      </c>
      <c r="BO272" s="801" t="str">
        <f t="shared" si="50"/>
        <v>..</v>
      </c>
      <c r="BP272" s="117" t="e">
        <f>VLOOKUP($D272,'WB Data'!$C$3:$M$578,9,FALSE)</f>
        <v>#N/A</v>
      </c>
      <c r="BQ272" s="117" t="e">
        <f>VLOOKUP($D272,'WB Data'!$C$3:$M$578,10,FALSE)</f>
        <v>#N/A</v>
      </c>
      <c r="BR272" s="117" t="e">
        <f>VLOOKUP($D272,'WB Data'!$C$3:$M$578,11,FALSE)</f>
        <v>#N/A</v>
      </c>
      <c r="BS272" s="129" t="str">
        <f>IFERROR(VLOOKUP($D272,'WB Data 2'!$C$2:$K$545,9,FALSE),"..")</f>
        <v>..</v>
      </c>
      <c r="BT272" s="129" t="str">
        <f>_xlfn.IFNA(VLOOKUP($C272,RGI!$A$2:$C$43,2,FALSE),"..")</f>
        <v>..</v>
      </c>
      <c r="BU272" s="129" t="str">
        <f>_xlfn.IFNA(VLOOKUP($C272,RGI!$A$2:$C$43,3,FALSE),"..")</f>
        <v>..</v>
      </c>
      <c r="BV272" s="129" t="e">
        <f>VLOOKUP($D272,WGI!$C$2:$O$478,7,FALSE)</f>
        <v>#N/A</v>
      </c>
      <c r="BW272" s="129" t="e">
        <f>VLOOKUP($D272,WGI!$C$2:$O$478,4,FALSE)</f>
        <v>#N/A</v>
      </c>
      <c r="BX272" s="129" t="e">
        <f>VLOOKUP($D272,WGI!$C$2:$O$478,3,FALSE)</f>
        <v>#N/A</v>
      </c>
      <c r="BY272" s="129" t="e">
        <f>VLOOKUP($D272,WGI!$C$2:$O$478,5,FALSE)</f>
        <v>#N/A</v>
      </c>
      <c r="BZ272" s="129" t="e">
        <f>VLOOKUP($D272,WGI!$C$2:$O$478,2,FALSE)</f>
        <v>#N/A</v>
      </c>
    </row>
    <row r="273" spans="1:80" ht="15" customHeight="1">
      <c r="A273" s="294" t="s">
        <v>158</v>
      </c>
      <c r="B273" s="117">
        <v>2008</v>
      </c>
      <c r="C273" s="132" t="s">
        <v>3791</v>
      </c>
      <c r="D273" s="117" t="s">
        <v>3794</v>
      </c>
      <c r="E273" s="117" t="s">
        <v>86</v>
      </c>
      <c r="F273" s="117"/>
      <c r="G273" s="117" t="s">
        <v>24</v>
      </c>
      <c r="H273" s="117" t="str">
        <f t="shared" si="44"/>
        <v>yes</v>
      </c>
      <c r="I273" s="117" t="str">
        <f t="shared" si="45"/>
        <v>no</v>
      </c>
      <c r="J273" s="117" t="str">
        <f t="shared" si="46"/>
        <v>no</v>
      </c>
      <c r="K273" s="176" t="s">
        <v>784</v>
      </c>
      <c r="L273" s="117" t="str">
        <f t="shared" si="49"/>
        <v>detailed</v>
      </c>
      <c r="M273" s="117" t="str">
        <f t="shared" si="47"/>
        <v>detailed Mining</v>
      </c>
      <c r="N273" s="179">
        <f>4205*32.150743126506</f>
        <v>135193.87484695774</v>
      </c>
      <c r="O273" s="179"/>
      <c r="P273" s="179">
        <v>96452</v>
      </c>
      <c r="Q273" s="179"/>
      <c r="R273" s="179"/>
      <c r="S273" s="117" t="s">
        <v>785</v>
      </c>
      <c r="T273" s="119">
        <v>871.70725000000004</v>
      </c>
      <c r="U273" s="117" t="s">
        <v>786</v>
      </c>
      <c r="V273" s="117" t="s">
        <v>787</v>
      </c>
      <c r="W273" s="89">
        <f>P273*T273</f>
        <v>84077907.677000001</v>
      </c>
      <c r="X273" s="117"/>
      <c r="Y273" s="117"/>
      <c r="Z273" s="117"/>
      <c r="AA273" s="177"/>
      <c r="AB273" s="177"/>
      <c r="AC273" s="122"/>
      <c r="AD273" s="122"/>
      <c r="AE273" s="122"/>
      <c r="AF273" s="123"/>
      <c r="AG273" s="117"/>
      <c r="AH273" s="124"/>
      <c r="AI273" s="117"/>
      <c r="AJ273" s="177"/>
      <c r="AK273" s="89"/>
      <c r="AL273" s="117"/>
      <c r="AM273" s="117"/>
      <c r="AN273" s="117"/>
      <c r="AO273" s="117"/>
      <c r="AP273" s="117"/>
      <c r="AQ273" s="117"/>
      <c r="AR273" s="126"/>
      <c r="AS273" s="117"/>
      <c r="AT273" s="117"/>
      <c r="AU273" s="117"/>
      <c r="AV273" s="128"/>
      <c r="AW273" s="117" t="e">
        <f>VLOOKUP($D273,'WB Data'!$C$3:$M$578,2,FALSE)</f>
        <v>#N/A</v>
      </c>
      <c r="AX273" s="117" t="e">
        <f>VLOOKUP($D273,'WB Data'!$C$3:$M$578,3,FALSE)</f>
        <v>#N/A</v>
      </c>
      <c r="AY273" s="847" t="str">
        <f t="shared" si="51"/>
        <v>..</v>
      </c>
      <c r="AZ273" s="117" t="e">
        <f>VLOOKUP($D273,'WB Data'!$C$3:$M$578,4,FALSE)/100</f>
        <v>#N/A</v>
      </c>
      <c r="BA273" s="117" t="str">
        <f t="shared" si="52"/>
        <v>..</v>
      </c>
      <c r="BB273" s="129" t="str">
        <f>IFERROR(VLOOKUP($D273,'EITI Revenues'!$C$2:$G$224,5,FALSE),"..")</f>
        <v>..</v>
      </c>
      <c r="BC273" s="846" t="str">
        <f t="shared" si="53"/>
        <v>..</v>
      </c>
      <c r="BD273" s="129" t="e">
        <f>VLOOKUP($D273,'WB Data 2'!$C$2:$K$545,6,FALSE)</f>
        <v>#N/A</v>
      </c>
      <c r="BE273" s="129" t="str">
        <f>IFERROR(VLOOKUP($D273,UNCTAD!$C$5:$V$529,4,FALSE),"..")</f>
        <v>..</v>
      </c>
      <c r="BF273" s="846" t="str">
        <f t="shared" si="54"/>
        <v>..</v>
      </c>
      <c r="BG273" s="117" t="e">
        <f>VLOOKUP($D273,'WB Data'!$C$3:$M$578,5,FALSE)</f>
        <v>#N/A</v>
      </c>
      <c r="BH273" s="129" t="str">
        <f>IFERROR($BB273/$BG273,"..")</f>
        <v>..</v>
      </c>
      <c r="BI273" s="117" t="str">
        <f>IFERROR(VLOOKUP($D273,'WB Data'!$C$3:$M$578,7,FALSE)/100,"..")</f>
        <v>..</v>
      </c>
      <c r="BJ273" s="117" t="str">
        <f>IFERROR($BI273*$AW273,"..")</f>
        <v>..</v>
      </c>
      <c r="BK273" s="846" t="str">
        <f>IFERROR($BB273/$BJ273,"..")</f>
        <v>..</v>
      </c>
      <c r="BL273" s="117" t="str">
        <f>IFERROR(VLOOKUP($D273,'WB Data'!$C$3:$M$578,7,FALSE)/100,"..")</f>
        <v>..</v>
      </c>
      <c r="BM273" s="117" t="str">
        <f>IFERROR($AW273*$BL273,"..")</f>
        <v>..</v>
      </c>
      <c r="BN273" s="846" t="str">
        <f>IFERROR($BB273/$BM273,"..")</f>
        <v>..</v>
      </c>
      <c r="BO273" s="801" t="str">
        <f t="shared" si="50"/>
        <v>..</v>
      </c>
      <c r="BP273" s="117" t="e">
        <f>VLOOKUP($D273,'WB Data'!$C$3:$M$578,9,FALSE)</f>
        <v>#N/A</v>
      </c>
      <c r="BQ273" s="117" t="e">
        <f>VLOOKUP($D273,'WB Data'!$C$3:$M$578,10,FALSE)</f>
        <v>#N/A</v>
      </c>
      <c r="BR273" s="117" t="e">
        <f>VLOOKUP($D273,'WB Data'!$C$3:$M$578,11,FALSE)</f>
        <v>#N/A</v>
      </c>
      <c r="BS273" s="129" t="str">
        <f>IFERROR(VLOOKUP($D273,'WB Data 2'!$C$2:$K$545,9,FALSE),"..")</f>
        <v>..</v>
      </c>
      <c r="BT273" s="129" t="str">
        <f>_xlfn.IFNA(VLOOKUP($C273,RGI!$A$2:$C$43,2,FALSE),"..")</f>
        <v>..</v>
      </c>
      <c r="BU273" s="129" t="str">
        <f>_xlfn.IFNA(VLOOKUP($C273,RGI!$A$2:$C$43,3,FALSE),"..")</f>
        <v>..</v>
      </c>
      <c r="BV273" s="129" t="e">
        <f>VLOOKUP($D273,WGI!$C$2:$O$478,7,FALSE)</f>
        <v>#N/A</v>
      </c>
      <c r="BW273" s="129" t="e">
        <f>VLOOKUP($D273,WGI!$C$2:$O$478,4,FALSE)</f>
        <v>#N/A</v>
      </c>
      <c r="BX273" s="129" t="e">
        <f>VLOOKUP($D273,WGI!$C$2:$O$478,3,FALSE)</f>
        <v>#N/A</v>
      </c>
      <c r="BY273" s="129" t="e">
        <f>VLOOKUP($D273,WGI!$C$2:$O$478,5,FALSE)</f>
        <v>#N/A</v>
      </c>
      <c r="BZ273" s="129" t="e">
        <f>VLOOKUP($D273,WGI!$C$2:$O$478,2,FALSE)</f>
        <v>#N/A</v>
      </c>
    </row>
    <row r="274" spans="1:80" ht="15" customHeight="1">
      <c r="A274" s="294" t="s">
        <v>158</v>
      </c>
      <c r="B274" s="117">
        <v>2008</v>
      </c>
      <c r="C274" s="132" t="s">
        <v>3791</v>
      </c>
      <c r="D274" s="117" t="s">
        <v>3794</v>
      </c>
      <c r="E274" s="117" t="s">
        <v>86</v>
      </c>
      <c r="F274" s="117"/>
      <c r="G274" s="117" t="s">
        <v>24</v>
      </c>
      <c r="H274" s="117" t="str">
        <f t="shared" si="44"/>
        <v>yes</v>
      </c>
      <c r="I274" s="117" t="str">
        <f t="shared" si="45"/>
        <v>no</v>
      </c>
      <c r="J274" s="117" t="str">
        <f t="shared" si="46"/>
        <v>no</v>
      </c>
      <c r="K274" s="176" t="s">
        <v>843</v>
      </c>
      <c r="L274" s="117" t="str">
        <f t="shared" si="49"/>
        <v>detailed</v>
      </c>
      <c r="M274" s="117" t="str">
        <f t="shared" si="47"/>
        <v>detailed Mining</v>
      </c>
      <c r="N274" s="179"/>
      <c r="O274" s="179"/>
      <c r="P274" s="179">
        <v>30000</v>
      </c>
      <c r="Q274" s="179"/>
      <c r="R274" s="179"/>
      <c r="S274" s="117" t="s">
        <v>610</v>
      </c>
      <c r="T274" s="119">
        <v>12.15</v>
      </c>
      <c r="U274" s="117" t="s">
        <v>611</v>
      </c>
      <c r="V274" s="117" t="s">
        <v>844</v>
      </c>
      <c r="W274" s="89">
        <f>N276*T274</f>
        <v>922440.15</v>
      </c>
      <c r="X274" s="117"/>
      <c r="Y274" s="117"/>
      <c r="Z274" s="117"/>
      <c r="AA274" s="177"/>
      <c r="AB274" s="177"/>
      <c r="AC274" s="122"/>
      <c r="AD274" s="122"/>
      <c r="AE274" s="122"/>
      <c r="AF274" s="123"/>
      <c r="AG274" s="117"/>
      <c r="AH274" s="124"/>
      <c r="AI274" s="117"/>
      <c r="AJ274" s="177"/>
      <c r="AK274" s="89"/>
      <c r="AL274" s="117"/>
      <c r="AM274" s="117"/>
      <c r="AN274" s="117"/>
      <c r="AO274" s="117"/>
      <c r="AP274" s="117"/>
      <c r="AQ274" s="117"/>
      <c r="AR274" s="126"/>
      <c r="AS274" s="117"/>
      <c r="AT274" s="176"/>
      <c r="AU274" s="117"/>
      <c r="AV274" s="344"/>
      <c r="AW274" s="117" t="e">
        <f>VLOOKUP($D274,'WB Data'!$C$3:$M$578,2,FALSE)</f>
        <v>#N/A</v>
      </c>
      <c r="AX274" s="117" t="e">
        <f>VLOOKUP($D274,'WB Data'!$C$3:$M$578,3,FALSE)</f>
        <v>#N/A</v>
      </c>
      <c r="AY274" s="847" t="str">
        <f t="shared" si="51"/>
        <v>..</v>
      </c>
      <c r="AZ274" s="117" t="e">
        <f>VLOOKUP($D274,'WB Data'!$C$3:$M$578,4,FALSE)/100</f>
        <v>#N/A</v>
      </c>
      <c r="BA274" s="117" t="str">
        <f t="shared" si="52"/>
        <v>..</v>
      </c>
      <c r="BB274" s="129" t="str">
        <f>IFERROR(VLOOKUP($D274,'EITI Revenues'!$C$2:$G$224,5,FALSE),"..")</f>
        <v>..</v>
      </c>
      <c r="BC274" s="846" t="str">
        <f t="shared" si="53"/>
        <v>..</v>
      </c>
      <c r="BD274" s="129" t="e">
        <f>VLOOKUP($D274,'WB Data 2'!$C$2:$K$545,6,FALSE)</f>
        <v>#N/A</v>
      </c>
      <c r="BE274" s="129" t="str">
        <f>IFERROR(VLOOKUP($D274,UNCTAD!$C$5:$V$529,4,FALSE),"..")</f>
        <v>..</v>
      </c>
      <c r="BF274" s="846" t="str">
        <f t="shared" si="54"/>
        <v>..</v>
      </c>
      <c r="BG274" s="117" t="e">
        <f>VLOOKUP($D274,'WB Data'!$C$3:$M$578,5,FALSE)</f>
        <v>#N/A</v>
      </c>
      <c r="BH274" s="129" t="str">
        <f>IFERROR($BB274/$BG274,"..")</f>
        <v>..</v>
      </c>
      <c r="BI274" s="117" t="str">
        <f>IFERROR(VLOOKUP($D274,'WB Data'!$C$3:$M$578,7,FALSE)/100,"..")</f>
        <v>..</v>
      </c>
      <c r="BJ274" s="117" t="str">
        <f>IFERROR($BI274*$AW274,"..")</f>
        <v>..</v>
      </c>
      <c r="BK274" s="846" t="str">
        <f>IFERROR($BB274/$BJ274,"..")</f>
        <v>..</v>
      </c>
      <c r="BL274" s="117" t="str">
        <f>IFERROR(VLOOKUP($D274,'WB Data'!$C$3:$M$578,7,FALSE)/100,"..")</f>
        <v>..</v>
      </c>
      <c r="BM274" s="117" t="str">
        <f>IFERROR($AW274*$BL274,"..")</f>
        <v>..</v>
      </c>
      <c r="BN274" s="846" t="str">
        <f>IFERROR($BB274/$BM274,"..")</f>
        <v>..</v>
      </c>
      <c r="BO274" s="801" t="str">
        <f t="shared" si="50"/>
        <v>..</v>
      </c>
      <c r="BP274" s="117" t="e">
        <f>VLOOKUP($D274,'WB Data'!$C$3:$M$578,9,FALSE)</f>
        <v>#N/A</v>
      </c>
      <c r="BQ274" s="117" t="e">
        <f>VLOOKUP($D274,'WB Data'!$C$3:$M$578,10,FALSE)</f>
        <v>#N/A</v>
      </c>
      <c r="BR274" s="117" t="e">
        <f>VLOOKUP($D274,'WB Data'!$C$3:$M$578,11,FALSE)</f>
        <v>#N/A</v>
      </c>
      <c r="BS274" s="129" t="str">
        <f>IFERROR(VLOOKUP($D274,'WB Data 2'!$C$2:$K$545,9,FALSE),"..")</f>
        <v>..</v>
      </c>
      <c r="BT274" s="129" t="str">
        <f>_xlfn.IFNA(VLOOKUP($C274,RGI!$A$2:$C$43,2,FALSE),"..")</f>
        <v>..</v>
      </c>
      <c r="BU274" s="129" t="str">
        <f>_xlfn.IFNA(VLOOKUP($C274,RGI!$A$2:$C$43,3,FALSE),"..")</f>
        <v>..</v>
      </c>
      <c r="BV274" s="129" t="e">
        <f>VLOOKUP($D274,WGI!$C$2:$O$478,7,FALSE)</f>
        <v>#N/A</v>
      </c>
      <c r="BW274" s="129" t="e">
        <f>VLOOKUP($D274,WGI!$C$2:$O$478,4,FALSE)</f>
        <v>#N/A</v>
      </c>
      <c r="BX274" s="129" t="e">
        <f>VLOOKUP($D274,WGI!$C$2:$O$478,3,FALSE)</f>
        <v>#N/A</v>
      </c>
      <c r="BY274" s="129" t="e">
        <f>VLOOKUP($D274,WGI!$C$2:$O$478,5,FALSE)</f>
        <v>#N/A</v>
      </c>
      <c r="BZ274" s="129" t="e">
        <f>VLOOKUP($D274,WGI!$C$2:$O$478,2,FALSE)</f>
        <v>#N/A</v>
      </c>
    </row>
    <row r="275" spans="1:80" ht="15" customHeight="1">
      <c r="A275" s="294" t="s">
        <v>158</v>
      </c>
      <c r="B275" s="117">
        <v>2008</v>
      </c>
      <c r="C275" s="132" t="s">
        <v>3791</v>
      </c>
      <c r="D275" s="117" t="s">
        <v>3794</v>
      </c>
      <c r="E275" s="117" t="s">
        <v>86</v>
      </c>
      <c r="F275" s="117"/>
      <c r="G275" s="117" t="s">
        <v>24</v>
      </c>
      <c r="H275" s="117" t="str">
        <f t="shared" si="44"/>
        <v>yes</v>
      </c>
      <c r="I275" s="117" t="str">
        <f t="shared" si="45"/>
        <v>no</v>
      </c>
      <c r="J275" s="117" t="str">
        <f t="shared" si="46"/>
        <v>no</v>
      </c>
      <c r="K275" s="176" t="s">
        <v>1038</v>
      </c>
      <c r="L275" s="117" t="str">
        <f t="shared" si="49"/>
        <v>detailed</v>
      </c>
      <c r="M275" s="117" t="str">
        <f t="shared" si="47"/>
        <v>detailed Mining</v>
      </c>
      <c r="N275" s="179">
        <v>176561</v>
      </c>
      <c r="O275" s="179"/>
      <c r="P275" s="179"/>
      <c r="Q275" s="179"/>
      <c r="R275" s="179"/>
      <c r="S275" s="117" t="s">
        <v>610</v>
      </c>
      <c r="T275" s="119"/>
      <c r="U275" s="117"/>
      <c r="V275" s="117" t="s">
        <v>684</v>
      </c>
      <c r="W275" s="89"/>
      <c r="X275" s="117"/>
      <c r="Y275" s="117"/>
      <c r="Z275" s="117"/>
      <c r="AA275" s="177"/>
      <c r="AB275" s="177"/>
      <c r="AC275" s="122"/>
      <c r="AD275" s="122"/>
      <c r="AE275" s="122"/>
      <c r="AF275" s="123"/>
      <c r="AG275" s="117"/>
      <c r="AH275" s="124"/>
      <c r="AI275" s="117"/>
      <c r="AJ275" s="177"/>
      <c r="AK275" s="89"/>
      <c r="AL275" s="117"/>
      <c r="AM275" s="117"/>
      <c r="AN275" s="117"/>
      <c r="AO275" s="117"/>
      <c r="AP275" s="117"/>
      <c r="AQ275" s="117"/>
      <c r="AR275" s="126"/>
      <c r="AS275" s="117"/>
      <c r="AT275" s="117"/>
      <c r="AU275" s="117"/>
      <c r="AV275" s="128"/>
      <c r="AW275" s="117" t="e">
        <f>VLOOKUP($D275,'WB Data'!$C$3:$M$578,2,FALSE)</f>
        <v>#N/A</v>
      </c>
      <c r="AX275" s="117" t="e">
        <f>VLOOKUP($D275,'WB Data'!$C$3:$M$578,3,FALSE)</f>
        <v>#N/A</v>
      </c>
      <c r="AY275" s="847" t="str">
        <f t="shared" si="51"/>
        <v>..</v>
      </c>
      <c r="AZ275" s="117" t="e">
        <f>VLOOKUP($D275,'WB Data'!$C$3:$M$578,4,FALSE)/100</f>
        <v>#N/A</v>
      </c>
      <c r="BA275" s="117" t="str">
        <f t="shared" si="52"/>
        <v>..</v>
      </c>
      <c r="BB275" s="129" t="str">
        <f>IFERROR(VLOOKUP($D275,'EITI Revenues'!$C$2:$G$224,5,FALSE),"..")</f>
        <v>..</v>
      </c>
      <c r="BC275" s="846" t="str">
        <f t="shared" si="53"/>
        <v>..</v>
      </c>
      <c r="BD275" s="129" t="e">
        <f>VLOOKUP($D275,'WB Data 2'!$C$2:$K$545,6,FALSE)</f>
        <v>#N/A</v>
      </c>
      <c r="BE275" s="129" t="str">
        <f>IFERROR(VLOOKUP($D275,UNCTAD!$C$5:$V$529,4,FALSE),"..")</f>
        <v>..</v>
      </c>
      <c r="BF275" s="846" t="str">
        <f t="shared" si="54"/>
        <v>..</v>
      </c>
      <c r="BG275" s="117" t="e">
        <f>VLOOKUP($D275,'WB Data'!$C$3:$M$578,5,FALSE)</f>
        <v>#N/A</v>
      </c>
      <c r="BH275" s="129" t="str">
        <f>IFERROR($BB275/$BG275,"..")</f>
        <v>..</v>
      </c>
      <c r="BI275" s="117" t="str">
        <f>IFERROR(VLOOKUP($D275,'WB Data'!$C$3:$M$578,7,FALSE)/100,"..")</f>
        <v>..</v>
      </c>
      <c r="BJ275" s="117" t="str">
        <f>IFERROR($BI275*$AW275,"..")</f>
        <v>..</v>
      </c>
      <c r="BK275" s="846" t="str">
        <f>IFERROR($BB275/$BJ275,"..")</f>
        <v>..</v>
      </c>
      <c r="BL275" s="117" t="str">
        <f>IFERROR(VLOOKUP($D275,'WB Data'!$C$3:$M$578,7,FALSE)/100,"..")</f>
        <v>..</v>
      </c>
      <c r="BM275" s="117" t="str">
        <f>IFERROR($AW275*$BL275,"..")</f>
        <v>..</v>
      </c>
      <c r="BN275" s="846" t="str">
        <f>IFERROR($BB275/$BM275,"..")</f>
        <v>..</v>
      </c>
      <c r="BO275" s="801" t="str">
        <f t="shared" si="50"/>
        <v>..</v>
      </c>
      <c r="BP275" s="117" t="e">
        <f>VLOOKUP($D275,'WB Data'!$C$3:$M$578,9,FALSE)</f>
        <v>#N/A</v>
      </c>
      <c r="BQ275" s="117" t="e">
        <f>VLOOKUP($D275,'WB Data'!$C$3:$M$578,10,FALSE)</f>
        <v>#N/A</v>
      </c>
      <c r="BR275" s="117" t="e">
        <f>VLOOKUP($D275,'WB Data'!$C$3:$M$578,11,FALSE)</f>
        <v>#N/A</v>
      </c>
      <c r="BS275" s="129" t="str">
        <f>IFERROR(VLOOKUP($D275,'WB Data 2'!$C$2:$K$545,9,FALSE),"..")</f>
        <v>..</v>
      </c>
      <c r="BT275" s="129" t="str">
        <f>_xlfn.IFNA(VLOOKUP($C275,RGI!$A$2:$C$43,2,FALSE),"..")</f>
        <v>..</v>
      </c>
      <c r="BU275" s="129" t="str">
        <f>_xlfn.IFNA(VLOOKUP($C275,RGI!$A$2:$C$43,3,FALSE),"..")</f>
        <v>..</v>
      </c>
      <c r="BV275" s="129" t="e">
        <f>VLOOKUP($D275,WGI!$C$2:$O$478,7,FALSE)</f>
        <v>#N/A</v>
      </c>
      <c r="BW275" s="129" t="e">
        <f>VLOOKUP($D275,WGI!$C$2:$O$478,4,FALSE)</f>
        <v>#N/A</v>
      </c>
      <c r="BX275" s="129" t="e">
        <f>VLOOKUP($D275,WGI!$C$2:$O$478,3,FALSE)</f>
        <v>#N/A</v>
      </c>
      <c r="BY275" s="129" t="e">
        <f>VLOOKUP($D275,WGI!$C$2:$O$478,5,FALSE)</f>
        <v>#N/A</v>
      </c>
      <c r="BZ275" s="129" t="e">
        <f>VLOOKUP($D275,WGI!$C$2:$O$478,2,FALSE)</f>
        <v>#N/A</v>
      </c>
    </row>
    <row r="276" spans="1:80" ht="15" customHeight="1">
      <c r="A276" s="294" t="s">
        <v>158</v>
      </c>
      <c r="B276" s="117">
        <v>2008</v>
      </c>
      <c r="C276" s="132" t="s">
        <v>3791</v>
      </c>
      <c r="D276" s="117" t="s">
        <v>3794</v>
      </c>
      <c r="E276" s="117" t="s">
        <v>86</v>
      </c>
      <c r="F276" s="117"/>
      <c r="G276" s="117" t="s">
        <v>24</v>
      </c>
      <c r="H276" s="117" t="str">
        <f t="shared" si="44"/>
        <v>yes</v>
      </c>
      <c r="I276" s="117" t="str">
        <f t="shared" si="45"/>
        <v>no</v>
      </c>
      <c r="J276" s="117" t="str">
        <f t="shared" si="46"/>
        <v>no</v>
      </c>
      <c r="K276" s="176" t="s">
        <v>848</v>
      </c>
      <c r="L276" s="117" t="str">
        <f t="shared" si="49"/>
        <v>detailed</v>
      </c>
      <c r="M276" s="117" t="str">
        <f t="shared" si="47"/>
        <v>detailed Mining</v>
      </c>
      <c r="N276" s="179">
        <v>75921</v>
      </c>
      <c r="O276" s="179"/>
      <c r="P276" s="179"/>
      <c r="Q276" s="179"/>
      <c r="R276" s="179"/>
      <c r="S276" s="117" t="s">
        <v>610</v>
      </c>
      <c r="T276" s="119"/>
      <c r="U276" s="117"/>
      <c r="V276" s="117" t="s">
        <v>684</v>
      </c>
      <c r="W276" s="89"/>
      <c r="X276" s="117"/>
      <c r="Y276" s="117"/>
      <c r="Z276" s="117"/>
      <c r="AA276" s="177"/>
      <c r="AB276" s="177"/>
      <c r="AC276" s="122"/>
      <c r="AD276" s="122"/>
      <c r="AE276" s="122"/>
      <c r="AF276" s="123"/>
      <c r="AG276" s="117"/>
      <c r="AH276" s="124"/>
      <c r="AI276" s="117"/>
      <c r="AJ276" s="177"/>
      <c r="AK276" s="89"/>
      <c r="AL276" s="117"/>
      <c r="AM276" s="117"/>
      <c r="AN276" s="117"/>
      <c r="AO276" s="117"/>
      <c r="AP276" s="117"/>
      <c r="AQ276" s="117"/>
      <c r="AR276" s="126"/>
      <c r="AS276" s="117"/>
      <c r="AT276" s="117"/>
      <c r="AU276" s="117"/>
      <c r="AV276" s="128"/>
      <c r="AW276" s="117" t="e">
        <f>VLOOKUP($D276,'WB Data'!$C$3:$M$578,2,FALSE)</f>
        <v>#N/A</v>
      </c>
      <c r="AX276" s="117" t="e">
        <f>VLOOKUP($D276,'WB Data'!$C$3:$M$578,3,FALSE)</f>
        <v>#N/A</v>
      </c>
      <c r="AY276" s="847" t="str">
        <f t="shared" si="51"/>
        <v>..</v>
      </c>
      <c r="AZ276" s="117" t="e">
        <f>VLOOKUP($D276,'WB Data'!$C$3:$M$578,4,FALSE)/100</f>
        <v>#N/A</v>
      </c>
      <c r="BA276" s="117" t="str">
        <f t="shared" si="52"/>
        <v>..</v>
      </c>
      <c r="BB276" s="129" t="str">
        <f>IFERROR(VLOOKUP($D276,'EITI Revenues'!$C$2:$G$224,5,FALSE),"..")</f>
        <v>..</v>
      </c>
      <c r="BC276" s="846" t="str">
        <f t="shared" si="53"/>
        <v>..</v>
      </c>
      <c r="BD276" s="129" t="e">
        <f>VLOOKUP($D276,'WB Data 2'!$C$2:$K$545,6,FALSE)</f>
        <v>#N/A</v>
      </c>
      <c r="BE276" s="129" t="str">
        <f>IFERROR(VLOOKUP($D276,UNCTAD!$C$5:$V$529,4,FALSE),"..")</f>
        <v>..</v>
      </c>
      <c r="BF276" s="846" t="str">
        <f t="shared" si="54"/>
        <v>..</v>
      </c>
      <c r="BG276" s="117" t="e">
        <f>VLOOKUP($D276,'WB Data'!$C$3:$M$578,5,FALSE)</f>
        <v>#N/A</v>
      </c>
      <c r="BH276" s="129" t="str">
        <f>IFERROR($BB276/$BG276,"..")</f>
        <v>..</v>
      </c>
      <c r="BI276" s="117" t="str">
        <f>IFERROR(VLOOKUP($D276,'WB Data'!$C$3:$M$578,7,FALSE)/100,"..")</f>
        <v>..</v>
      </c>
      <c r="BJ276" s="117" t="str">
        <f>IFERROR($BI276*$AW276,"..")</f>
        <v>..</v>
      </c>
      <c r="BK276" s="846" t="str">
        <f>IFERROR($BB276/$BJ276,"..")</f>
        <v>..</v>
      </c>
      <c r="BL276" s="117" t="str">
        <f>IFERROR(VLOOKUP($D276,'WB Data'!$C$3:$M$578,7,FALSE)/100,"..")</f>
        <v>..</v>
      </c>
      <c r="BM276" s="117" t="str">
        <f>IFERROR($AW276*$BL276,"..")</f>
        <v>..</v>
      </c>
      <c r="BN276" s="846" t="str">
        <f>IFERROR($BB276/$BM276,"..")</f>
        <v>..</v>
      </c>
      <c r="BO276" s="801" t="str">
        <f t="shared" si="50"/>
        <v>..</v>
      </c>
      <c r="BP276" s="117" t="e">
        <f>VLOOKUP($D276,'WB Data'!$C$3:$M$578,9,FALSE)</f>
        <v>#N/A</v>
      </c>
      <c r="BQ276" s="117" t="e">
        <f>VLOOKUP($D276,'WB Data'!$C$3:$M$578,10,FALSE)</f>
        <v>#N/A</v>
      </c>
      <c r="BR276" s="117" t="e">
        <f>VLOOKUP($D276,'WB Data'!$C$3:$M$578,11,FALSE)</f>
        <v>#N/A</v>
      </c>
      <c r="BS276" s="129" t="str">
        <f>IFERROR(VLOOKUP($D276,'WB Data 2'!$C$2:$K$545,9,FALSE),"..")</f>
        <v>..</v>
      </c>
      <c r="BT276" s="129" t="str">
        <f>_xlfn.IFNA(VLOOKUP($C276,RGI!$A$2:$C$43,2,FALSE),"..")</f>
        <v>..</v>
      </c>
      <c r="BU276" s="129" t="str">
        <f>_xlfn.IFNA(VLOOKUP($C276,RGI!$A$2:$C$43,3,FALSE),"..")</f>
        <v>..</v>
      </c>
      <c r="BV276" s="129" t="e">
        <f>VLOOKUP($D276,WGI!$C$2:$O$478,7,FALSE)</f>
        <v>#N/A</v>
      </c>
      <c r="BW276" s="129" t="e">
        <f>VLOOKUP($D276,WGI!$C$2:$O$478,4,FALSE)</f>
        <v>#N/A</v>
      </c>
      <c r="BX276" s="129" t="e">
        <f>VLOOKUP($D276,WGI!$C$2:$O$478,3,FALSE)</f>
        <v>#N/A</v>
      </c>
      <c r="BY276" s="129" t="e">
        <f>VLOOKUP($D276,WGI!$C$2:$O$478,5,FALSE)</f>
        <v>#N/A</v>
      </c>
      <c r="BZ276" s="129" t="e">
        <f>VLOOKUP($D276,WGI!$C$2:$O$478,2,FALSE)</f>
        <v>#N/A</v>
      </c>
    </row>
    <row r="277" spans="1:80" s="144" customFormat="1" ht="15" customHeight="1">
      <c r="A277" s="296" t="s">
        <v>161</v>
      </c>
      <c r="B277" s="132">
        <v>2009</v>
      </c>
      <c r="C277" s="132" t="s">
        <v>3791</v>
      </c>
      <c r="D277" s="117" t="s">
        <v>3795</v>
      </c>
      <c r="E277" s="132" t="s">
        <v>86</v>
      </c>
      <c r="F277" s="132" t="s">
        <v>1028</v>
      </c>
      <c r="G277" s="132" t="s">
        <v>35</v>
      </c>
      <c r="H277" s="117" t="str">
        <f t="shared" si="44"/>
        <v>yes</v>
      </c>
      <c r="I277" s="117" t="str">
        <f t="shared" si="45"/>
        <v>yes</v>
      </c>
      <c r="J277" s="117" t="str">
        <f t="shared" si="46"/>
        <v>yes</v>
      </c>
      <c r="K277" s="182" t="s">
        <v>709</v>
      </c>
      <c r="L277" s="117" t="str">
        <f t="shared" si="49"/>
        <v>Total</v>
      </c>
      <c r="M277" s="117" t="str">
        <f t="shared" si="47"/>
        <v>Total Oil, Gas, Mining</v>
      </c>
      <c r="N277" s="238"/>
      <c r="O277" s="238"/>
      <c r="P277" s="238"/>
      <c r="Q277" s="238"/>
      <c r="R277" s="238"/>
      <c r="S277" s="132"/>
      <c r="T277" s="134"/>
      <c r="U277" s="132"/>
      <c r="V277" s="132"/>
      <c r="W277" s="135">
        <f>W278+W281</f>
        <v>1777961769.1903424</v>
      </c>
      <c r="X277" s="132" t="s">
        <v>1031</v>
      </c>
      <c r="Y277" s="132" t="s">
        <v>663</v>
      </c>
      <c r="Z277" s="132" t="s">
        <v>664</v>
      </c>
      <c r="AA277" s="345">
        <v>284861428.97265005</v>
      </c>
      <c r="AB277" s="345">
        <v>285117107.7502619</v>
      </c>
      <c r="AC277" s="138"/>
      <c r="AD277" s="138"/>
      <c r="AE277" s="138"/>
      <c r="AF277" s="139">
        <f>AA277/W277</f>
        <v>0.1602179720109346</v>
      </c>
      <c r="AG277" s="132" t="s">
        <v>836</v>
      </c>
      <c r="AH277" s="140">
        <v>448.63</v>
      </c>
      <c r="AI277" s="132" t="s">
        <v>667</v>
      </c>
      <c r="AJ277" s="160"/>
      <c r="AK277" s="135"/>
      <c r="AL277" s="132"/>
      <c r="AM277" s="132"/>
      <c r="AN277" s="132">
        <v>22</v>
      </c>
      <c r="AO277" s="132" t="s">
        <v>1032</v>
      </c>
      <c r="AP277" s="132">
        <v>17</v>
      </c>
      <c r="AQ277" s="132" t="s">
        <v>159</v>
      </c>
      <c r="AR277" s="141">
        <v>41948</v>
      </c>
      <c r="AS277" s="132" t="s">
        <v>670</v>
      </c>
      <c r="AT277" s="142" t="s">
        <v>162</v>
      </c>
      <c r="AU277" s="132" t="s">
        <v>1033</v>
      </c>
      <c r="AV277" s="143" t="s">
        <v>1039</v>
      </c>
      <c r="AW277" s="117" t="e">
        <f>VLOOKUP($D277,'WB Data'!$C$3:$M$578,2,FALSE)</f>
        <v>#N/A</v>
      </c>
      <c r="AX277" s="117" t="e">
        <f>VLOOKUP($D277,'WB Data'!$C$3:$M$578,3,FALSE)</f>
        <v>#N/A</v>
      </c>
      <c r="AY277" s="847" t="str">
        <f t="shared" si="51"/>
        <v>..</v>
      </c>
      <c r="AZ277" s="117" t="e">
        <f>VLOOKUP($D277,'WB Data'!$C$3:$M$578,4,FALSE)/100</f>
        <v>#N/A</v>
      </c>
      <c r="BA277" s="117" t="str">
        <f t="shared" si="52"/>
        <v>..</v>
      </c>
      <c r="BB277" s="129" t="str">
        <f>IFERROR(VLOOKUP($D277,'EITI Revenues'!$C$2:$G$224,5,FALSE),"..")</f>
        <v>..</v>
      </c>
      <c r="BC277" s="846" t="str">
        <f t="shared" si="53"/>
        <v>..</v>
      </c>
      <c r="BD277" s="129" t="e">
        <f>VLOOKUP($D277,'WB Data 2'!$C$2:$K$545,6,FALSE)</f>
        <v>#N/A</v>
      </c>
      <c r="BE277" s="129" t="str">
        <f>IFERROR(VLOOKUP($D277,UNCTAD!$C$5:$V$529,4,FALSE),"..")</f>
        <v>..</v>
      </c>
      <c r="BF277" s="846" t="str">
        <f t="shared" si="54"/>
        <v>..</v>
      </c>
      <c r="BG277" s="117" t="e">
        <f>VLOOKUP($D277,'WB Data'!$C$3:$M$578,5,FALSE)</f>
        <v>#N/A</v>
      </c>
      <c r="BH277" s="129" t="str">
        <f>IFERROR($BB277/$BG277,"..")</f>
        <v>..</v>
      </c>
      <c r="BI277" s="117" t="str">
        <f>IFERROR(VLOOKUP($D277,'WB Data'!$C$3:$M$578,7,FALSE)/100,"..")</f>
        <v>..</v>
      </c>
      <c r="BJ277" s="117" t="str">
        <f>IFERROR($BI277*$AW277,"..")</f>
        <v>..</v>
      </c>
      <c r="BK277" s="846" t="str">
        <f>IFERROR($BB277/$BJ277,"..")</f>
        <v>..</v>
      </c>
      <c r="BL277" s="117" t="str">
        <f>IFERROR(VLOOKUP($D277,'WB Data'!$C$3:$M$578,7,FALSE)/100,"..")</f>
        <v>..</v>
      </c>
      <c r="BM277" s="117" t="str">
        <f>IFERROR($AW277*$BL277,"..")</f>
        <v>..</v>
      </c>
      <c r="BN277" s="846" t="str">
        <f>IFERROR($BB277/$BM277,"..")</f>
        <v>..</v>
      </c>
      <c r="BO277" s="801" t="str">
        <f t="shared" si="50"/>
        <v>..</v>
      </c>
      <c r="BP277" s="117" t="e">
        <f>VLOOKUP($D277,'WB Data'!$C$3:$M$578,9,FALSE)</f>
        <v>#N/A</v>
      </c>
      <c r="BQ277" s="117" t="e">
        <f>VLOOKUP($D277,'WB Data'!$C$3:$M$578,10,FALSE)</f>
        <v>#N/A</v>
      </c>
      <c r="BR277" s="117" t="e">
        <f>VLOOKUP($D277,'WB Data'!$C$3:$M$578,11,FALSE)</f>
        <v>#N/A</v>
      </c>
      <c r="BS277" s="129" t="str">
        <f>IFERROR(VLOOKUP($D277,'WB Data 2'!$C$2:$K$545,9,FALSE),"..")</f>
        <v>..</v>
      </c>
      <c r="BT277" s="129" t="str">
        <f>_xlfn.IFNA(VLOOKUP($C277,RGI!$A$2:$C$43,2,FALSE),"..")</f>
        <v>..</v>
      </c>
      <c r="BU277" s="129" t="str">
        <f>_xlfn.IFNA(VLOOKUP($C277,RGI!$A$2:$C$43,3,FALSE),"..")</f>
        <v>..</v>
      </c>
      <c r="BV277" s="129" t="e">
        <f>VLOOKUP($D277,WGI!$C$2:$O$478,7,FALSE)</f>
        <v>#N/A</v>
      </c>
      <c r="BW277" s="129" t="e">
        <f>VLOOKUP($D277,WGI!$C$2:$O$478,4,FALSE)</f>
        <v>#N/A</v>
      </c>
      <c r="BX277" s="129" t="e">
        <f>VLOOKUP($D277,WGI!$C$2:$O$478,3,FALSE)</f>
        <v>#N/A</v>
      </c>
      <c r="BY277" s="129" t="e">
        <f>VLOOKUP($D277,WGI!$C$2:$O$478,5,FALSE)</f>
        <v>#N/A</v>
      </c>
      <c r="BZ277" s="129" t="e">
        <f>VLOOKUP($D277,WGI!$C$2:$O$478,2,FALSE)</f>
        <v>#N/A</v>
      </c>
      <c r="CB277" s="129"/>
    </row>
    <row r="278" spans="1:80" s="120" customFormat="1" ht="15" customHeight="1">
      <c r="A278" s="294" t="s">
        <v>161</v>
      </c>
      <c r="B278" s="117">
        <v>2009</v>
      </c>
      <c r="C278" s="132" t="s">
        <v>3791</v>
      </c>
      <c r="D278" s="117" t="s">
        <v>3795</v>
      </c>
      <c r="E278" s="117" t="s">
        <v>86</v>
      </c>
      <c r="F278" s="117"/>
      <c r="G278" s="117" t="s">
        <v>55</v>
      </c>
      <c r="H278" s="117" t="str">
        <f t="shared" si="44"/>
        <v>no</v>
      </c>
      <c r="I278" s="117" t="str">
        <f t="shared" si="45"/>
        <v>yes</v>
      </c>
      <c r="J278" s="117" t="str">
        <f t="shared" si="46"/>
        <v>yes</v>
      </c>
      <c r="K278" s="176" t="s">
        <v>640</v>
      </c>
      <c r="L278" s="117" t="str">
        <f t="shared" si="49"/>
        <v>Total</v>
      </c>
      <c r="M278" s="117" t="str">
        <f t="shared" si="47"/>
        <v>Total Oil, Gas</v>
      </c>
      <c r="N278" s="179"/>
      <c r="O278" s="179"/>
      <c r="P278" s="179"/>
      <c r="Q278" s="179"/>
      <c r="R278" s="179"/>
      <c r="S278" s="117"/>
      <c r="T278" s="119"/>
      <c r="U278" s="117"/>
      <c r="V278" s="117"/>
      <c r="W278" s="89">
        <f>SUM(W279:W280)</f>
        <v>1558413874.064925</v>
      </c>
      <c r="X278" s="117"/>
      <c r="Y278" s="117"/>
      <c r="Z278" s="117"/>
      <c r="AA278" s="177">
        <v>267429935.94275907</v>
      </c>
      <c r="AB278" s="177">
        <v>267941686.52341574</v>
      </c>
      <c r="AC278" s="122"/>
      <c r="AD278" s="122"/>
      <c r="AE278" s="122"/>
      <c r="AF278" s="123">
        <f>AA278/W278</f>
        <v>0.17160392395968729</v>
      </c>
      <c r="AG278" s="117"/>
      <c r="AH278" s="124"/>
      <c r="AI278" s="117"/>
      <c r="AJ278" s="177"/>
      <c r="AK278" s="89"/>
      <c r="AL278" s="117"/>
      <c r="AM278" s="117"/>
      <c r="AN278" s="117"/>
      <c r="AO278" s="117"/>
      <c r="AP278" s="117"/>
      <c r="AQ278" s="117"/>
      <c r="AR278" s="126"/>
      <c r="AS278" s="117"/>
      <c r="AT278" s="117"/>
      <c r="AU278" s="117"/>
      <c r="AV278" s="128"/>
      <c r="AW278" s="117" t="e">
        <f>VLOOKUP($D278,'WB Data'!$C$3:$M$578,2,FALSE)</f>
        <v>#N/A</v>
      </c>
      <c r="AX278" s="117" t="e">
        <f>VLOOKUP($D278,'WB Data'!$C$3:$M$578,3,FALSE)</f>
        <v>#N/A</v>
      </c>
      <c r="AY278" s="847" t="str">
        <f t="shared" si="51"/>
        <v>..</v>
      </c>
      <c r="AZ278" s="117" t="e">
        <f>VLOOKUP($D278,'WB Data'!$C$3:$M$578,4,FALSE)/100</f>
        <v>#N/A</v>
      </c>
      <c r="BA278" s="117" t="str">
        <f t="shared" si="52"/>
        <v>..</v>
      </c>
      <c r="BB278" s="129" t="str">
        <f>IFERROR(VLOOKUP($D278,'EITI Revenues'!$C$2:$G$224,5,FALSE),"..")</f>
        <v>..</v>
      </c>
      <c r="BC278" s="846" t="str">
        <f t="shared" si="53"/>
        <v>..</v>
      </c>
      <c r="BD278" s="129" t="e">
        <f>VLOOKUP($D278,'WB Data 2'!$C$2:$K$545,6,FALSE)</f>
        <v>#N/A</v>
      </c>
      <c r="BE278" s="129" t="str">
        <f>IFERROR(VLOOKUP($D278,UNCTAD!$C$5:$V$529,4,FALSE),"..")</f>
        <v>..</v>
      </c>
      <c r="BF278" s="846" t="str">
        <f t="shared" si="54"/>
        <v>..</v>
      </c>
      <c r="BG278" s="117" t="e">
        <f>VLOOKUP($D278,'WB Data'!$C$3:$M$578,5,FALSE)</f>
        <v>#N/A</v>
      </c>
      <c r="BH278" s="129" t="str">
        <f>IFERROR($BB278/$BG278,"..")</f>
        <v>..</v>
      </c>
      <c r="BI278" s="117" t="str">
        <f>IFERROR(VLOOKUP($D278,'WB Data'!$C$3:$M$578,7,FALSE)/100,"..")</f>
        <v>..</v>
      </c>
      <c r="BJ278" s="117" t="str">
        <f>IFERROR($BI278*$AW278,"..")</f>
        <v>..</v>
      </c>
      <c r="BK278" s="846" t="str">
        <f>IFERROR($BB278/$BJ278,"..")</f>
        <v>..</v>
      </c>
      <c r="BL278" s="117" t="str">
        <f>IFERROR(VLOOKUP($D278,'WB Data'!$C$3:$M$578,7,FALSE)/100,"..")</f>
        <v>..</v>
      </c>
      <c r="BM278" s="117" t="str">
        <f>IFERROR($AW278*$BL278,"..")</f>
        <v>..</v>
      </c>
      <c r="BN278" s="846" t="str">
        <f>IFERROR($BB278/$BM278,"..")</f>
        <v>..</v>
      </c>
      <c r="BO278" s="801" t="str">
        <f t="shared" si="50"/>
        <v>..</v>
      </c>
      <c r="BP278" s="117" t="e">
        <f>VLOOKUP($D278,'WB Data'!$C$3:$M$578,9,FALSE)</f>
        <v>#N/A</v>
      </c>
      <c r="BQ278" s="117" t="e">
        <f>VLOOKUP($D278,'WB Data'!$C$3:$M$578,10,FALSE)</f>
        <v>#N/A</v>
      </c>
      <c r="BR278" s="117" t="e">
        <f>VLOOKUP($D278,'WB Data'!$C$3:$M$578,11,FALSE)</f>
        <v>#N/A</v>
      </c>
      <c r="BS278" s="129" t="str">
        <f>IFERROR(VLOOKUP($D278,'WB Data 2'!$C$2:$K$545,9,FALSE),"..")</f>
        <v>..</v>
      </c>
      <c r="BT278" s="129" t="str">
        <f>_xlfn.IFNA(VLOOKUP($C278,RGI!$A$2:$C$43,2,FALSE),"..")</f>
        <v>..</v>
      </c>
      <c r="BU278" s="129" t="str">
        <f>_xlfn.IFNA(VLOOKUP($C278,RGI!$A$2:$C$43,3,FALSE),"..")</f>
        <v>..</v>
      </c>
      <c r="BV278" s="129" t="e">
        <f>VLOOKUP($D278,WGI!$C$2:$O$478,7,FALSE)</f>
        <v>#N/A</v>
      </c>
      <c r="BW278" s="129" t="e">
        <f>VLOOKUP($D278,WGI!$C$2:$O$478,4,FALSE)</f>
        <v>#N/A</v>
      </c>
      <c r="BX278" s="129" t="e">
        <f>VLOOKUP($D278,WGI!$C$2:$O$478,3,FALSE)</f>
        <v>#N/A</v>
      </c>
      <c r="BY278" s="129" t="e">
        <f>VLOOKUP($D278,WGI!$C$2:$O$478,5,FALSE)</f>
        <v>#N/A</v>
      </c>
      <c r="BZ278" s="129" t="e">
        <f>VLOOKUP($D278,WGI!$C$2:$O$478,2,FALSE)</f>
        <v>#N/A</v>
      </c>
      <c r="CB278" s="129"/>
    </row>
    <row r="279" spans="1:80" s="120" customFormat="1" ht="15" customHeight="1">
      <c r="A279" s="294" t="s">
        <v>161</v>
      </c>
      <c r="B279" s="117">
        <v>2009</v>
      </c>
      <c r="C279" s="132" t="s">
        <v>3791</v>
      </c>
      <c r="D279" s="117" t="s">
        <v>3795</v>
      </c>
      <c r="E279" s="117" t="s">
        <v>86</v>
      </c>
      <c r="F279" s="117"/>
      <c r="G279" s="117" t="s">
        <v>561</v>
      </c>
      <c r="H279" s="117" t="str">
        <f t="shared" si="44"/>
        <v>no</v>
      </c>
      <c r="I279" s="117" t="str">
        <f t="shared" si="45"/>
        <v>yes</v>
      </c>
      <c r="J279" s="117" t="str">
        <f t="shared" si="46"/>
        <v>no</v>
      </c>
      <c r="K279" s="176" t="s">
        <v>561</v>
      </c>
      <c r="L279" s="117" t="str">
        <f t="shared" si="49"/>
        <v>detailed</v>
      </c>
      <c r="M279" s="117" t="str">
        <f t="shared" si="47"/>
        <v>detailed Gas</v>
      </c>
      <c r="N279" s="179">
        <f>57000000000*0.0283168</f>
        <v>1614057600</v>
      </c>
      <c r="O279" s="179"/>
      <c r="P279" s="179"/>
      <c r="Q279" s="179"/>
      <c r="R279" s="179"/>
      <c r="S279" s="117" t="s">
        <v>642</v>
      </c>
      <c r="T279" s="119">
        <v>0.14422800000000002</v>
      </c>
      <c r="U279" s="117" t="s">
        <v>643</v>
      </c>
      <c r="V279" s="117" t="s">
        <v>880</v>
      </c>
      <c r="W279" s="89">
        <f>N279*T279</f>
        <v>232792299.53280005</v>
      </c>
      <c r="X279" s="117"/>
      <c r="Y279" s="117"/>
      <c r="Z279" s="117"/>
      <c r="AA279" s="177"/>
      <c r="AB279" s="177"/>
      <c r="AC279" s="122"/>
      <c r="AD279" s="122"/>
      <c r="AE279" s="122"/>
      <c r="AF279" s="123"/>
      <c r="AG279" s="117"/>
      <c r="AH279" s="124"/>
      <c r="AI279" s="117"/>
      <c r="AJ279" s="177">
        <v>1143489017.5999999</v>
      </c>
      <c r="AK279" s="89" t="s">
        <v>943</v>
      </c>
      <c r="AL279" s="117"/>
      <c r="AM279" s="117"/>
      <c r="AN279" s="117"/>
      <c r="AO279" s="117"/>
      <c r="AP279" s="117"/>
      <c r="AQ279" s="117"/>
      <c r="AR279" s="117"/>
      <c r="AS279" s="117"/>
      <c r="AT279" s="117"/>
      <c r="AU279" s="117"/>
      <c r="AV279" s="128" t="s">
        <v>1040</v>
      </c>
      <c r="AW279" s="117" t="e">
        <f>VLOOKUP($D279,'WB Data'!$C$3:$M$578,2,FALSE)</f>
        <v>#N/A</v>
      </c>
      <c r="AX279" s="117" t="e">
        <f>VLOOKUP($D279,'WB Data'!$C$3:$M$578,3,FALSE)</f>
        <v>#N/A</v>
      </c>
      <c r="AY279" s="847" t="str">
        <f t="shared" si="51"/>
        <v>..</v>
      </c>
      <c r="AZ279" s="117" t="e">
        <f>VLOOKUP($D279,'WB Data'!$C$3:$M$578,4,FALSE)/100</f>
        <v>#N/A</v>
      </c>
      <c r="BA279" s="117" t="str">
        <f t="shared" si="52"/>
        <v>..</v>
      </c>
      <c r="BB279" s="129" t="str">
        <f>IFERROR(VLOOKUP($D279,'EITI Revenues'!$C$2:$G$224,5,FALSE),"..")</f>
        <v>..</v>
      </c>
      <c r="BC279" s="846" t="str">
        <f t="shared" si="53"/>
        <v>..</v>
      </c>
      <c r="BD279" s="129" t="e">
        <f>VLOOKUP($D279,'WB Data 2'!$C$2:$K$545,6,FALSE)</f>
        <v>#N/A</v>
      </c>
      <c r="BE279" s="129" t="str">
        <f>IFERROR(VLOOKUP($D279,UNCTAD!$C$5:$V$529,4,FALSE),"..")</f>
        <v>..</v>
      </c>
      <c r="BF279" s="846" t="str">
        <f t="shared" si="54"/>
        <v>..</v>
      </c>
      <c r="BG279" s="117" t="e">
        <f>VLOOKUP($D279,'WB Data'!$C$3:$M$578,5,FALSE)</f>
        <v>#N/A</v>
      </c>
      <c r="BH279" s="129" t="str">
        <f>IFERROR($BB279/$BG279,"..")</f>
        <v>..</v>
      </c>
      <c r="BI279" s="117" t="str">
        <f>IFERROR(VLOOKUP($D279,'WB Data'!$C$3:$M$578,7,FALSE)/100,"..")</f>
        <v>..</v>
      </c>
      <c r="BJ279" s="117" t="str">
        <f>IFERROR($BI279*$AW279,"..")</f>
        <v>..</v>
      </c>
      <c r="BK279" s="846" t="str">
        <f>IFERROR($BB279/$BJ279,"..")</f>
        <v>..</v>
      </c>
      <c r="BL279" s="117" t="str">
        <f>IFERROR(VLOOKUP($D279,'WB Data'!$C$3:$M$578,7,FALSE)/100,"..")</f>
        <v>..</v>
      </c>
      <c r="BM279" s="117" t="str">
        <f>IFERROR($AW279*$BL279,"..")</f>
        <v>..</v>
      </c>
      <c r="BN279" s="846" t="str">
        <f>IFERROR($BB279/$BM279,"..")</f>
        <v>..</v>
      </c>
      <c r="BO279" s="801" t="str">
        <f t="shared" si="50"/>
        <v>..</v>
      </c>
      <c r="BP279" s="117" t="e">
        <f>VLOOKUP($D279,'WB Data'!$C$3:$M$578,9,FALSE)</f>
        <v>#N/A</v>
      </c>
      <c r="BQ279" s="117" t="e">
        <f>VLOOKUP($D279,'WB Data'!$C$3:$M$578,10,FALSE)</f>
        <v>#N/A</v>
      </c>
      <c r="BR279" s="117" t="e">
        <f>VLOOKUP($D279,'WB Data'!$C$3:$M$578,11,FALSE)</f>
        <v>#N/A</v>
      </c>
      <c r="BS279" s="129" t="str">
        <f>IFERROR(VLOOKUP($D279,'WB Data 2'!$C$2:$K$545,9,FALSE),"..")</f>
        <v>..</v>
      </c>
      <c r="BT279" s="129" t="str">
        <f>_xlfn.IFNA(VLOOKUP($C279,RGI!$A$2:$C$43,2,FALSE),"..")</f>
        <v>..</v>
      </c>
      <c r="BU279" s="129" t="str">
        <f>_xlfn.IFNA(VLOOKUP($C279,RGI!$A$2:$C$43,3,FALSE),"..")</f>
        <v>..</v>
      </c>
      <c r="BV279" s="129" t="e">
        <f>VLOOKUP($D279,WGI!$C$2:$O$478,7,FALSE)</f>
        <v>#N/A</v>
      </c>
      <c r="BW279" s="129" t="e">
        <f>VLOOKUP($D279,WGI!$C$2:$O$478,4,FALSE)</f>
        <v>#N/A</v>
      </c>
      <c r="BX279" s="129" t="e">
        <f>VLOOKUP($D279,WGI!$C$2:$O$478,3,FALSE)</f>
        <v>#N/A</v>
      </c>
      <c r="BY279" s="129" t="e">
        <f>VLOOKUP($D279,WGI!$C$2:$O$478,5,FALSE)</f>
        <v>#N/A</v>
      </c>
      <c r="BZ279" s="129" t="e">
        <f>VLOOKUP($D279,WGI!$C$2:$O$478,2,FALSE)</f>
        <v>#N/A</v>
      </c>
      <c r="CB279" s="129"/>
    </row>
    <row r="280" spans="1:80" s="120" customFormat="1" ht="15" customHeight="1">
      <c r="A280" s="294" t="s">
        <v>161</v>
      </c>
      <c r="B280" s="117">
        <v>2009</v>
      </c>
      <c r="C280" s="132" t="s">
        <v>3791</v>
      </c>
      <c r="D280" s="117" t="s">
        <v>3795</v>
      </c>
      <c r="E280" s="117" t="s">
        <v>86</v>
      </c>
      <c r="F280" s="117"/>
      <c r="G280" s="117" t="s">
        <v>103</v>
      </c>
      <c r="H280" s="117" t="str">
        <f t="shared" si="44"/>
        <v>no</v>
      </c>
      <c r="I280" s="117" t="str">
        <f t="shared" si="45"/>
        <v>no</v>
      </c>
      <c r="J280" s="117" t="str">
        <f t="shared" si="46"/>
        <v>yes</v>
      </c>
      <c r="K280" s="176" t="s">
        <v>103</v>
      </c>
      <c r="L280" s="117" t="str">
        <f t="shared" si="49"/>
        <v>detailed</v>
      </c>
      <c r="M280" s="117" t="str">
        <f t="shared" si="47"/>
        <v>detailed Oil</v>
      </c>
      <c r="N280" s="179">
        <v>21352500</v>
      </c>
      <c r="O280" s="179"/>
      <c r="P280" s="179"/>
      <c r="Q280" s="179"/>
      <c r="R280" s="179"/>
      <c r="S280" s="117" t="s">
        <v>646</v>
      </c>
      <c r="T280" s="119">
        <v>62.082733849999997</v>
      </c>
      <c r="U280" s="117" t="s">
        <v>673</v>
      </c>
      <c r="V280" s="117" t="s">
        <v>1030</v>
      </c>
      <c r="W280" s="89">
        <f>N280*T280</f>
        <v>1325621574.532125</v>
      </c>
      <c r="X280" s="117"/>
      <c r="Y280" s="117"/>
      <c r="Z280" s="117"/>
      <c r="AA280" s="177"/>
      <c r="AB280" s="177"/>
      <c r="AC280" s="122"/>
      <c r="AD280" s="122"/>
      <c r="AE280" s="122"/>
      <c r="AF280" s="123"/>
      <c r="AG280" s="117"/>
      <c r="AH280" s="124"/>
      <c r="AI280" s="117"/>
      <c r="AJ280" s="177">
        <v>3008412</v>
      </c>
      <c r="AK280" s="89" t="s">
        <v>943</v>
      </c>
      <c r="AL280" s="117"/>
      <c r="AM280" s="117"/>
      <c r="AN280" s="117"/>
      <c r="AO280" s="117"/>
      <c r="AP280" s="117"/>
      <c r="AQ280" s="117"/>
      <c r="AR280" s="117"/>
      <c r="AS280" s="117"/>
      <c r="AT280" s="117"/>
      <c r="AU280" s="117"/>
      <c r="AV280" s="128" t="s">
        <v>1041</v>
      </c>
      <c r="AW280" s="117" t="e">
        <f>VLOOKUP($D280,'WB Data'!$C$3:$M$578,2,FALSE)</f>
        <v>#N/A</v>
      </c>
      <c r="AX280" s="117" t="e">
        <f>VLOOKUP($D280,'WB Data'!$C$3:$M$578,3,FALSE)</f>
        <v>#N/A</v>
      </c>
      <c r="AY280" s="847" t="str">
        <f t="shared" si="51"/>
        <v>..</v>
      </c>
      <c r="AZ280" s="117" t="e">
        <f>VLOOKUP($D280,'WB Data'!$C$3:$M$578,4,FALSE)/100</f>
        <v>#N/A</v>
      </c>
      <c r="BA280" s="117" t="str">
        <f t="shared" si="52"/>
        <v>..</v>
      </c>
      <c r="BB280" s="129" t="str">
        <f>IFERROR(VLOOKUP($D280,'EITI Revenues'!$C$2:$G$224,5,FALSE),"..")</f>
        <v>..</v>
      </c>
      <c r="BC280" s="846" t="str">
        <f t="shared" si="53"/>
        <v>..</v>
      </c>
      <c r="BD280" s="129" t="e">
        <f>VLOOKUP($D280,'WB Data 2'!$C$2:$K$545,6,FALSE)</f>
        <v>#N/A</v>
      </c>
      <c r="BE280" s="129" t="str">
        <f>IFERROR(VLOOKUP($D280,UNCTAD!$C$5:$V$529,4,FALSE),"..")</f>
        <v>..</v>
      </c>
      <c r="BF280" s="846" t="str">
        <f t="shared" si="54"/>
        <v>..</v>
      </c>
      <c r="BG280" s="117" t="e">
        <f>VLOOKUP($D280,'WB Data'!$C$3:$M$578,5,FALSE)</f>
        <v>#N/A</v>
      </c>
      <c r="BH280" s="129" t="str">
        <f>IFERROR($BB280/$BG280,"..")</f>
        <v>..</v>
      </c>
      <c r="BI280" s="117" t="str">
        <f>IFERROR(VLOOKUP($D280,'WB Data'!$C$3:$M$578,7,FALSE)/100,"..")</f>
        <v>..</v>
      </c>
      <c r="BJ280" s="117" t="str">
        <f>IFERROR($BI280*$AW280,"..")</f>
        <v>..</v>
      </c>
      <c r="BK280" s="846" t="str">
        <f>IFERROR($BB280/$BJ280,"..")</f>
        <v>..</v>
      </c>
      <c r="BL280" s="117" t="str">
        <f>IFERROR(VLOOKUP($D280,'WB Data'!$C$3:$M$578,7,FALSE)/100,"..")</f>
        <v>..</v>
      </c>
      <c r="BM280" s="117" t="str">
        <f>IFERROR($AW280*$BL280,"..")</f>
        <v>..</v>
      </c>
      <c r="BN280" s="846" t="str">
        <f>IFERROR($BB280/$BM280,"..")</f>
        <v>..</v>
      </c>
      <c r="BO280" s="801" t="str">
        <f t="shared" si="50"/>
        <v>..</v>
      </c>
      <c r="BP280" s="117" t="e">
        <f>VLOOKUP($D280,'WB Data'!$C$3:$M$578,9,FALSE)</f>
        <v>#N/A</v>
      </c>
      <c r="BQ280" s="117" t="e">
        <f>VLOOKUP($D280,'WB Data'!$C$3:$M$578,10,FALSE)</f>
        <v>#N/A</v>
      </c>
      <c r="BR280" s="117" t="e">
        <f>VLOOKUP($D280,'WB Data'!$C$3:$M$578,11,FALSE)</f>
        <v>#N/A</v>
      </c>
      <c r="BS280" s="129" t="str">
        <f>IFERROR(VLOOKUP($D280,'WB Data 2'!$C$2:$K$545,9,FALSE),"..")</f>
        <v>..</v>
      </c>
      <c r="BT280" s="129" t="str">
        <f>_xlfn.IFNA(VLOOKUP($C280,RGI!$A$2:$C$43,2,FALSE),"..")</f>
        <v>..</v>
      </c>
      <c r="BU280" s="129" t="str">
        <f>_xlfn.IFNA(VLOOKUP($C280,RGI!$A$2:$C$43,3,FALSE),"..")</f>
        <v>..</v>
      </c>
      <c r="BV280" s="129" t="e">
        <f>VLOOKUP($D280,WGI!$C$2:$O$478,7,FALSE)</f>
        <v>#N/A</v>
      </c>
      <c r="BW280" s="129" t="e">
        <f>VLOOKUP($D280,WGI!$C$2:$O$478,4,FALSE)</f>
        <v>#N/A</v>
      </c>
      <c r="BX280" s="129" t="e">
        <f>VLOOKUP($D280,WGI!$C$2:$O$478,3,FALSE)</f>
        <v>#N/A</v>
      </c>
      <c r="BY280" s="129" t="e">
        <f>VLOOKUP($D280,WGI!$C$2:$O$478,5,FALSE)</f>
        <v>#N/A</v>
      </c>
      <c r="BZ280" s="129" t="e">
        <f>VLOOKUP($D280,WGI!$C$2:$O$478,2,FALSE)</f>
        <v>#N/A</v>
      </c>
      <c r="CB280" s="129"/>
    </row>
    <row r="281" spans="1:80" s="120" customFormat="1" ht="15" customHeight="1">
      <c r="A281" s="294" t="s">
        <v>161</v>
      </c>
      <c r="B281" s="117">
        <v>2009</v>
      </c>
      <c r="C281" s="132" t="s">
        <v>3791</v>
      </c>
      <c r="D281" s="117" t="s">
        <v>3795</v>
      </c>
      <c r="E281" s="117" t="s">
        <v>86</v>
      </c>
      <c r="F281" s="117"/>
      <c r="G281" s="117" t="s">
        <v>24</v>
      </c>
      <c r="H281" s="117" t="str">
        <f t="shared" si="44"/>
        <v>yes</v>
      </c>
      <c r="I281" s="117" t="str">
        <f t="shared" si="45"/>
        <v>no</v>
      </c>
      <c r="J281" s="117" t="str">
        <f t="shared" si="46"/>
        <v>no</v>
      </c>
      <c r="K281" s="176" t="s">
        <v>600</v>
      </c>
      <c r="L281" s="117" t="str">
        <f t="shared" si="49"/>
        <v>Total</v>
      </c>
      <c r="M281" s="117" t="str">
        <f t="shared" si="47"/>
        <v>Total Mining</v>
      </c>
      <c r="N281" s="179"/>
      <c r="O281" s="179"/>
      <c r="P281" s="179"/>
      <c r="Q281" s="179"/>
      <c r="R281" s="179"/>
      <c r="S281" s="117"/>
      <c r="T281" s="119"/>
      <c r="U281" s="117"/>
      <c r="V281" s="117"/>
      <c r="W281" s="89">
        <f>SUM(W282:W285)</f>
        <v>219547895.12541741</v>
      </c>
      <c r="X281" s="117"/>
      <c r="Y281" s="117"/>
      <c r="Z281" s="117"/>
      <c r="AA281" s="177">
        <v>17431493.029891003</v>
      </c>
      <c r="AB281" s="177">
        <v>17175421.226846177</v>
      </c>
      <c r="AC281" s="122"/>
      <c r="AD281" s="122"/>
      <c r="AE281" s="122"/>
      <c r="AF281" s="123">
        <f>AA281/W281</f>
        <v>7.9397222277777749E-2</v>
      </c>
      <c r="AG281" s="117"/>
      <c r="AH281" s="124"/>
      <c r="AI281" s="117"/>
      <c r="AJ281" s="177"/>
      <c r="AK281" s="89"/>
      <c r="AL281" s="117"/>
      <c r="AM281" s="117"/>
      <c r="AN281" s="117"/>
      <c r="AO281" s="117"/>
      <c r="AP281" s="117"/>
      <c r="AQ281" s="117"/>
      <c r="AR281" s="126"/>
      <c r="AS281" s="117"/>
      <c r="AT281" s="117"/>
      <c r="AU281" s="117"/>
      <c r="AV281" s="128"/>
      <c r="AW281" s="117" t="e">
        <f>VLOOKUP($D281,'WB Data'!$C$3:$M$578,2,FALSE)</f>
        <v>#N/A</v>
      </c>
      <c r="AX281" s="117" t="e">
        <f>VLOOKUP($D281,'WB Data'!$C$3:$M$578,3,FALSE)</f>
        <v>#N/A</v>
      </c>
      <c r="AY281" s="847" t="str">
        <f t="shared" si="51"/>
        <v>..</v>
      </c>
      <c r="AZ281" s="117" t="e">
        <f>VLOOKUP($D281,'WB Data'!$C$3:$M$578,4,FALSE)/100</f>
        <v>#N/A</v>
      </c>
      <c r="BA281" s="117" t="str">
        <f t="shared" si="52"/>
        <v>..</v>
      </c>
      <c r="BB281" s="129" t="str">
        <f>IFERROR(VLOOKUP($D281,'EITI Revenues'!$C$2:$G$224,5,FALSE),"..")</f>
        <v>..</v>
      </c>
      <c r="BC281" s="846" t="str">
        <f t="shared" si="53"/>
        <v>..</v>
      </c>
      <c r="BD281" s="129" t="e">
        <f>VLOOKUP($D281,'WB Data 2'!$C$2:$K$545,6,FALSE)</f>
        <v>#N/A</v>
      </c>
      <c r="BE281" s="129" t="str">
        <f>IFERROR(VLOOKUP($D281,UNCTAD!$C$5:$V$529,4,FALSE),"..")</f>
        <v>..</v>
      </c>
      <c r="BF281" s="846" t="str">
        <f t="shared" si="54"/>
        <v>..</v>
      </c>
      <c r="BG281" s="117" t="e">
        <f>VLOOKUP($D281,'WB Data'!$C$3:$M$578,5,FALSE)</f>
        <v>#N/A</v>
      </c>
      <c r="BH281" s="129" t="str">
        <f>IFERROR($BB281/$BG281,"..")</f>
        <v>..</v>
      </c>
      <c r="BI281" s="117" t="str">
        <f>IFERROR(VLOOKUP($D281,'WB Data'!$C$3:$M$578,7,FALSE)/100,"..")</f>
        <v>..</v>
      </c>
      <c r="BJ281" s="117" t="str">
        <f>IFERROR($BI281*$AW281,"..")</f>
        <v>..</v>
      </c>
      <c r="BK281" s="846" t="str">
        <f>IFERROR($BB281/$BJ281,"..")</f>
        <v>..</v>
      </c>
      <c r="BL281" s="117" t="str">
        <f>IFERROR(VLOOKUP($D281,'WB Data'!$C$3:$M$578,7,FALSE)/100,"..")</f>
        <v>..</v>
      </c>
      <c r="BM281" s="117" t="str">
        <f>IFERROR($AW281*$BL281,"..")</f>
        <v>..</v>
      </c>
      <c r="BN281" s="846" t="str">
        <f>IFERROR($BB281/$BM281,"..")</f>
        <v>..</v>
      </c>
      <c r="BO281" s="801" t="str">
        <f t="shared" si="50"/>
        <v>..</v>
      </c>
      <c r="BP281" s="117" t="e">
        <f>VLOOKUP($D281,'WB Data'!$C$3:$M$578,9,FALSE)</f>
        <v>#N/A</v>
      </c>
      <c r="BQ281" s="117" t="e">
        <f>VLOOKUP($D281,'WB Data'!$C$3:$M$578,10,FALSE)</f>
        <v>#N/A</v>
      </c>
      <c r="BR281" s="117" t="e">
        <f>VLOOKUP($D281,'WB Data'!$C$3:$M$578,11,FALSE)</f>
        <v>#N/A</v>
      </c>
      <c r="BS281" s="129" t="str">
        <f>IFERROR(VLOOKUP($D281,'WB Data 2'!$C$2:$K$545,9,FALSE),"..")</f>
        <v>..</v>
      </c>
      <c r="BT281" s="129" t="str">
        <f>_xlfn.IFNA(VLOOKUP($C281,RGI!$A$2:$C$43,2,FALSE),"..")</f>
        <v>..</v>
      </c>
      <c r="BU281" s="129" t="str">
        <f>_xlfn.IFNA(VLOOKUP($C281,RGI!$A$2:$C$43,3,FALSE),"..")</f>
        <v>..</v>
      </c>
      <c r="BV281" s="129" t="e">
        <f>VLOOKUP($D281,WGI!$C$2:$O$478,7,FALSE)</f>
        <v>#N/A</v>
      </c>
      <c r="BW281" s="129" t="e">
        <f>VLOOKUP($D281,WGI!$C$2:$O$478,4,FALSE)</f>
        <v>#N/A</v>
      </c>
      <c r="BX281" s="129" t="e">
        <f>VLOOKUP($D281,WGI!$C$2:$O$478,3,FALSE)</f>
        <v>#N/A</v>
      </c>
      <c r="BY281" s="129" t="e">
        <f>VLOOKUP($D281,WGI!$C$2:$O$478,5,FALSE)</f>
        <v>#N/A</v>
      </c>
      <c r="BZ281" s="129" t="e">
        <f>VLOOKUP($D281,WGI!$C$2:$O$478,2,FALSE)</f>
        <v>#N/A</v>
      </c>
      <c r="CB281" s="129"/>
    </row>
    <row r="282" spans="1:80" s="120" customFormat="1" ht="15" customHeight="1">
      <c r="A282" s="294" t="s">
        <v>161</v>
      </c>
      <c r="B282" s="117">
        <v>2009</v>
      </c>
      <c r="C282" s="132" t="s">
        <v>3791</v>
      </c>
      <c r="D282" s="117" t="s">
        <v>3795</v>
      </c>
      <c r="E282" s="117" t="s">
        <v>86</v>
      </c>
      <c r="F282" s="117"/>
      <c r="G282" s="117" t="s">
        <v>24</v>
      </c>
      <c r="H282" s="117" t="str">
        <f t="shared" si="44"/>
        <v>yes</v>
      </c>
      <c r="I282" s="117" t="str">
        <f t="shared" si="45"/>
        <v>no</v>
      </c>
      <c r="J282" s="117" t="str">
        <f t="shared" si="46"/>
        <v>no</v>
      </c>
      <c r="K282" s="176" t="s">
        <v>784</v>
      </c>
      <c r="L282" s="117" t="str">
        <f t="shared" si="49"/>
        <v>detailed</v>
      </c>
      <c r="M282" s="117" t="str">
        <f t="shared" si="47"/>
        <v>detailed Mining</v>
      </c>
      <c r="N282" s="179">
        <f>6947*32.150743126506</f>
        <v>223351.21249983719</v>
      </c>
      <c r="O282" s="179"/>
      <c r="P282" s="179">
        <v>225055</v>
      </c>
      <c r="Q282" s="179"/>
      <c r="R282" s="179"/>
      <c r="S282" s="117" t="s">
        <v>785</v>
      </c>
      <c r="T282" s="119">
        <v>972.96591666666995</v>
      </c>
      <c r="U282" s="117" t="s">
        <v>786</v>
      </c>
      <c r="V282" s="117" t="s">
        <v>787</v>
      </c>
      <c r="W282" s="89">
        <f>P282*T282</f>
        <v>218970844.37541741</v>
      </c>
      <c r="X282" s="117"/>
      <c r="Y282" s="117"/>
      <c r="Z282" s="117"/>
      <c r="AA282" s="177"/>
      <c r="AB282" s="177"/>
      <c r="AC282" s="122"/>
      <c r="AD282" s="122"/>
      <c r="AE282" s="122"/>
      <c r="AF282" s="123"/>
      <c r="AG282" s="117"/>
      <c r="AH282" s="124"/>
      <c r="AI282" s="117"/>
      <c r="AJ282" s="177"/>
      <c r="AK282" s="89"/>
      <c r="AL282" s="117"/>
      <c r="AM282" s="117"/>
      <c r="AN282" s="117"/>
      <c r="AO282" s="117"/>
      <c r="AP282" s="117"/>
      <c r="AQ282" s="117"/>
      <c r="AR282" s="126"/>
      <c r="AS282" s="117"/>
      <c r="AT282" s="117"/>
      <c r="AU282" s="117"/>
      <c r="AV282" s="128"/>
      <c r="AW282" s="117" t="e">
        <f>VLOOKUP($D282,'WB Data'!$C$3:$M$578,2,FALSE)</f>
        <v>#N/A</v>
      </c>
      <c r="AX282" s="117" t="e">
        <f>VLOOKUP($D282,'WB Data'!$C$3:$M$578,3,FALSE)</f>
        <v>#N/A</v>
      </c>
      <c r="AY282" s="847" t="str">
        <f t="shared" si="51"/>
        <v>..</v>
      </c>
      <c r="AZ282" s="117" t="e">
        <f>VLOOKUP($D282,'WB Data'!$C$3:$M$578,4,FALSE)/100</f>
        <v>#N/A</v>
      </c>
      <c r="BA282" s="117" t="str">
        <f t="shared" si="52"/>
        <v>..</v>
      </c>
      <c r="BB282" s="129" t="str">
        <f>IFERROR(VLOOKUP($D282,'EITI Revenues'!$C$2:$G$224,5,FALSE),"..")</f>
        <v>..</v>
      </c>
      <c r="BC282" s="846" t="str">
        <f t="shared" si="53"/>
        <v>..</v>
      </c>
      <c r="BD282" s="129" t="e">
        <f>VLOOKUP($D282,'WB Data 2'!$C$2:$K$545,6,FALSE)</f>
        <v>#N/A</v>
      </c>
      <c r="BE282" s="129" t="str">
        <f>IFERROR(VLOOKUP($D282,UNCTAD!$C$5:$V$529,4,FALSE),"..")</f>
        <v>..</v>
      </c>
      <c r="BF282" s="846" t="str">
        <f t="shared" si="54"/>
        <v>..</v>
      </c>
      <c r="BG282" s="117" t="e">
        <f>VLOOKUP($D282,'WB Data'!$C$3:$M$578,5,FALSE)</f>
        <v>#N/A</v>
      </c>
      <c r="BH282" s="129" t="str">
        <f>IFERROR($BB282/$BG282,"..")</f>
        <v>..</v>
      </c>
      <c r="BI282" s="117" t="str">
        <f>IFERROR(VLOOKUP($D282,'WB Data'!$C$3:$M$578,7,FALSE)/100,"..")</f>
        <v>..</v>
      </c>
      <c r="BJ282" s="117" t="str">
        <f>IFERROR($BI282*$AW282,"..")</f>
        <v>..</v>
      </c>
      <c r="BK282" s="846" t="str">
        <f>IFERROR($BB282/$BJ282,"..")</f>
        <v>..</v>
      </c>
      <c r="BL282" s="117" t="str">
        <f>IFERROR(VLOOKUP($D282,'WB Data'!$C$3:$M$578,7,FALSE)/100,"..")</f>
        <v>..</v>
      </c>
      <c r="BM282" s="117" t="str">
        <f>IFERROR($AW282*$BL282,"..")</f>
        <v>..</v>
      </c>
      <c r="BN282" s="846" t="str">
        <f>IFERROR($BB282/$BM282,"..")</f>
        <v>..</v>
      </c>
      <c r="BO282" s="801" t="str">
        <f t="shared" si="50"/>
        <v>..</v>
      </c>
      <c r="BP282" s="117" t="e">
        <f>VLOOKUP($D282,'WB Data'!$C$3:$M$578,9,FALSE)</f>
        <v>#N/A</v>
      </c>
      <c r="BQ282" s="117" t="e">
        <f>VLOOKUP($D282,'WB Data'!$C$3:$M$578,10,FALSE)</f>
        <v>#N/A</v>
      </c>
      <c r="BR282" s="117" t="e">
        <f>VLOOKUP($D282,'WB Data'!$C$3:$M$578,11,FALSE)</f>
        <v>#N/A</v>
      </c>
      <c r="BS282" s="129" t="str">
        <f>IFERROR(VLOOKUP($D282,'WB Data 2'!$C$2:$K$545,9,FALSE),"..")</f>
        <v>..</v>
      </c>
      <c r="BT282" s="129" t="str">
        <f>_xlfn.IFNA(VLOOKUP($C282,RGI!$A$2:$C$43,2,FALSE),"..")</f>
        <v>..</v>
      </c>
      <c r="BU282" s="129" t="str">
        <f>_xlfn.IFNA(VLOOKUP($C282,RGI!$A$2:$C$43,3,FALSE),"..")</f>
        <v>..</v>
      </c>
      <c r="BV282" s="129" t="e">
        <f>VLOOKUP($D282,WGI!$C$2:$O$478,7,FALSE)</f>
        <v>#N/A</v>
      </c>
      <c r="BW282" s="129" t="e">
        <f>VLOOKUP($D282,WGI!$C$2:$O$478,4,FALSE)</f>
        <v>#N/A</v>
      </c>
      <c r="BX282" s="129" t="e">
        <f>VLOOKUP($D282,WGI!$C$2:$O$478,3,FALSE)</f>
        <v>#N/A</v>
      </c>
      <c r="BY282" s="129" t="e">
        <f>VLOOKUP($D282,WGI!$C$2:$O$478,5,FALSE)</f>
        <v>#N/A</v>
      </c>
      <c r="BZ282" s="129" t="e">
        <f>VLOOKUP($D282,WGI!$C$2:$O$478,2,FALSE)</f>
        <v>#N/A</v>
      </c>
      <c r="CB282" s="129"/>
    </row>
    <row r="283" spans="1:80" s="120" customFormat="1" ht="15" customHeight="1">
      <c r="A283" s="294" t="s">
        <v>161</v>
      </c>
      <c r="B283" s="117">
        <v>2009</v>
      </c>
      <c r="C283" s="132" t="s">
        <v>3791</v>
      </c>
      <c r="D283" s="117" t="s">
        <v>3795</v>
      </c>
      <c r="E283" s="117" t="s">
        <v>86</v>
      </c>
      <c r="F283" s="117"/>
      <c r="G283" s="117" t="s">
        <v>24</v>
      </c>
      <c r="H283" s="117" t="str">
        <f t="shared" si="44"/>
        <v>yes</v>
      </c>
      <c r="I283" s="117" t="str">
        <f t="shared" si="45"/>
        <v>no</v>
      </c>
      <c r="J283" s="117" t="str">
        <f t="shared" si="46"/>
        <v>no</v>
      </c>
      <c r="K283" s="176" t="s">
        <v>843</v>
      </c>
      <c r="L283" s="117" t="str">
        <f t="shared" si="49"/>
        <v>detailed</v>
      </c>
      <c r="M283" s="117" t="str">
        <f t="shared" si="47"/>
        <v>detailed Mining</v>
      </c>
      <c r="N283" s="179"/>
      <c r="O283" s="179"/>
      <c r="P283" s="179">
        <v>100000</v>
      </c>
      <c r="Q283" s="179"/>
      <c r="R283" s="179"/>
      <c r="S283" s="117"/>
      <c r="T283" s="119">
        <v>7.95</v>
      </c>
      <c r="U283" s="117" t="s">
        <v>611</v>
      </c>
      <c r="V283" s="117" t="s">
        <v>844</v>
      </c>
      <c r="W283" s="89">
        <f>N285*T283</f>
        <v>577050.75</v>
      </c>
      <c r="X283" s="117"/>
      <c r="Y283" s="117"/>
      <c r="Z283" s="117"/>
      <c r="AA283" s="177"/>
      <c r="AB283" s="177"/>
      <c r="AC283" s="122"/>
      <c r="AD283" s="122"/>
      <c r="AE283" s="122"/>
      <c r="AF283" s="123"/>
      <c r="AG283" s="117"/>
      <c r="AH283" s="124"/>
      <c r="AI283" s="117"/>
      <c r="AJ283" s="177"/>
      <c r="AK283" s="89"/>
      <c r="AL283" s="117"/>
      <c r="AM283" s="117"/>
      <c r="AN283" s="117"/>
      <c r="AO283" s="117"/>
      <c r="AP283" s="117"/>
      <c r="AQ283" s="117"/>
      <c r="AR283" s="126"/>
      <c r="AS283" s="117"/>
      <c r="AT283" s="117"/>
      <c r="AU283" s="117"/>
      <c r="AV283" s="128"/>
      <c r="AW283" s="117" t="e">
        <f>VLOOKUP($D283,'WB Data'!$C$3:$M$578,2,FALSE)</f>
        <v>#N/A</v>
      </c>
      <c r="AX283" s="117" t="e">
        <f>VLOOKUP($D283,'WB Data'!$C$3:$M$578,3,FALSE)</f>
        <v>#N/A</v>
      </c>
      <c r="AY283" s="847" t="str">
        <f t="shared" si="51"/>
        <v>..</v>
      </c>
      <c r="AZ283" s="117" t="e">
        <f>VLOOKUP($D283,'WB Data'!$C$3:$M$578,4,FALSE)/100</f>
        <v>#N/A</v>
      </c>
      <c r="BA283" s="117" t="str">
        <f t="shared" si="52"/>
        <v>..</v>
      </c>
      <c r="BB283" s="129" t="str">
        <f>IFERROR(VLOOKUP($D283,'EITI Revenues'!$C$2:$G$224,5,FALSE),"..")</f>
        <v>..</v>
      </c>
      <c r="BC283" s="846" t="str">
        <f t="shared" si="53"/>
        <v>..</v>
      </c>
      <c r="BD283" s="129" t="e">
        <f>VLOOKUP($D283,'WB Data 2'!$C$2:$K$545,6,FALSE)</f>
        <v>#N/A</v>
      </c>
      <c r="BE283" s="129" t="str">
        <f>IFERROR(VLOOKUP($D283,UNCTAD!$C$5:$V$529,4,FALSE),"..")</f>
        <v>..</v>
      </c>
      <c r="BF283" s="846" t="str">
        <f t="shared" si="54"/>
        <v>..</v>
      </c>
      <c r="BG283" s="117" t="e">
        <f>VLOOKUP($D283,'WB Data'!$C$3:$M$578,5,FALSE)</f>
        <v>#N/A</v>
      </c>
      <c r="BH283" s="129" t="str">
        <f>IFERROR($BB283/$BG283,"..")</f>
        <v>..</v>
      </c>
      <c r="BI283" s="117" t="str">
        <f>IFERROR(VLOOKUP($D283,'WB Data'!$C$3:$M$578,7,FALSE)/100,"..")</f>
        <v>..</v>
      </c>
      <c r="BJ283" s="117" t="str">
        <f>IFERROR($BI283*$AW283,"..")</f>
        <v>..</v>
      </c>
      <c r="BK283" s="846" t="str">
        <f>IFERROR($BB283/$BJ283,"..")</f>
        <v>..</v>
      </c>
      <c r="BL283" s="117" t="str">
        <f>IFERROR(VLOOKUP($D283,'WB Data'!$C$3:$M$578,7,FALSE)/100,"..")</f>
        <v>..</v>
      </c>
      <c r="BM283" s="117" t="str">
        <f>IFERROR($AW283*$BL283,"..")</f>
        <v>..</v>
      </c>
      <c r="BN283" s="846" t="str">
        <f>IFERROR($BB283/$BM283,"..")</f>
        <v>..</v>
      </c>
      <c r="BO283" s="801" t="str">
        <f t="shared" si="50"/>
        <v>..</v>
      </c>
      <c r="BP283" s="117" t="e">
        <f>VLOOKUP($D283,'WB Data'!$C$3:$M$578,9,FALSE)</f>
        <v>#N/A</v>
      </c>
      <c r="BQ283" s="117" t="e">
        <f>VLOOKUP($D283,'WB Data'!$C$3:$M$578,10,FALSE)</f>
        <v>#N/A</v>
      </c>
      <c r="BR283" s="117" t="e">
        <f>VLOOKUP($D283,'WB Data'!$C$3:$M$578,11,FALSE)</f>
        <v>#N/A</v>
      </c>
      <c r="BS283" s="129" t="str">
        <f>IFERROR(VLOOKUP($D283,'WB Data 2'!$C$2:$K$545,9,FALSE),"..")</f>
        <v>..</v>
      </c>
      <c r="BT283" s="129" t="str">
        <f>_xlfn.IFNA(VLOOKUP($C283,RGI!$A$2:$C$43,2,FALSE),"..")</f>
        <v>..</v>
      </c>
      <c r="BU283" s="129" t="str">
        <f>_xlfn.IFNA(VLOOKUP($C283,RGI!$A$2:$C$43,3,FALSE),"..")</f>
        <v>..</v>
      </c>
      <c r="BV283" s="129" t="e">
        <f>VLOOKUP($D283,WGI!$C$2:$O$478,7,FALSE)</f>
        <v>#N/A</v>
      </c>
      <c r="BW283" s="129" t="e">
        <f>VLOOKUP($D283,WGI!$C$2:$O$478,4,FALSE)</f>
        <v>#N/A</v>
      </c>
      <c r="BX283" s="129" t="e">
        <f>VLOOKUP($D283,WGI!$C$2:$O$478,3,FALSE)</f>
        <v>#N/A</v>
      </c>
      <c r="BY283" s="129" t="e">
        <f>VLOOKUP($D283,WGI!$C$2:$O$478,5,FALSE)</f>
        <v>#N/A</v>
      </c>
      <c r="BZ283" s="129" t="e">
        <f>VLOOKUP($D283,WGI!$C$2:$O$478,2,FALSE)</f>
        <v>#N/A</v>
      </c>
      <c r="CB283" s="129"/>
    </row>
    <row r="284" spans="1:80" s="120" customFormat="1" ht="15" customHeight="1">
      <c r="A284" s="294" t="s">
        <v>161</v>
      </c>
      <c r="B284" s="117">
        <v>2009</v>
      </c>
      <c r="C284" s="132" t="s">
        <v>3791</v>
      </c>
      <c r="D284" s="117" t="s">
        <v>3795</v>
      </c>
      <c r="E284" s="117" t="s">
        <v>86</v>
      </c>
      <c r="F284" s="117"/>
      <c r="G284" s="117" t="s">
        <v>24</v>
      </c>
      <c r="H284" s="117" t="str">
        <f t="shared" si="44"/>
        <v>yes</v>
      </c>
      <c r="I284" s="117" t="str">
        <f t="shared" si="45"/>
        <v>no</v>
      </c>
      <c r="J284" s="117" t="str">
        <f t="shared" si="46"/>
        <v>no</v>
      </c>
      <c r="K284" s="176" t="s">
        <v>1038</v>
      </c>
      <c r="L284" s="117" t="str">
        <f t="shared" si="49"/>
        <v>detailed</v>
      </c>
      <c r="M284" s="117" t="str">
        <f t="shared" si="47"/>
        <v>detailed Mining</v>
      </c>
      <c r="N284" s="179">
        <v>161300</v>
      </c>
      <c r="O284" s="179"/>
      <c r="P284" s="179"/>
      <c r="Q284" s="179"/>
      <c r="R284" s="179"/>
      <c r="S284" s="117" t="s">
        <v>610</v>
      </c>
      <c r="T284" s="119"/>
      <c r="U284" s="117"/>
      <c r="V284" s="117" t="s">
        <v>684</v>
      </c>
      <c r="W284" s="89"/>
      <c r="X284" s="117"/>
      <c r="Y284" s="117"/>
      <c r="Z284" s="117"/>
      <c r="AA284" s="177"/>
      <c r="AB284" s="177"/>
      <c r="AC284" s="122"/>
      <c r="AD284" s="122"/>
      <c r="AE284" s="122"/>
      <c r="AF284" s="123"/>
      <c r="AG284" s="117"/>
      <c r="AH284" s="124"/>
      <c r="AI284" s="117"/>
      <c r="AJ284" s="177"/>
      <c r="AK284" s="89"/>
      <c r="AL284" s="117"/>
      <c r="AM284" s="117"/>
      <c r="AN284" s="117"/>
      <c r="AO284" s="117"/>
      <c r="AP284" s="117"/>
      <c r="AQ284" s="117"/>
      <c r="AR284" s="126"/>
      <c r="AS284" s="117"/>
      <c r="AT284" s="117"/>
      <c r="AU284" s="117"/>
      <c r="AV284" s="128"/>
      <c r="AW284" s="117" t="e">
        <f>VLOOKUP($D284,'WB Data'!$C$3:$M$578,2,FALSE)</f>
        <v>#N/A</v>
      </c>
      <c r="AX284" s="117" t="e">
        <f>VLOOKUP($D284,'WB Data'!$C$3:$M$578,3,FALSE)</f>
        <v>#N/A</v>
      </c>
      <c r="AY284" s="847" t="str">
        <f t="shared" si="51"/>
        <v>..</v>
      </c>
      <c r="AZ284" s="117" t="e">
        <f>VLOOKUP($D284,'WB Data'!$C$3:$M$578,4,FALSE)/100</f>
        <v>#N/A</v>
      </c>
      <c r="BA284" s="117" t="str">
        <f t="shared" si="52"/>
        <v>..</v>
      </c>
      <c r="BB284" s="129" t="str">
        <f>IFERROR(VLOOKUP($D284,'EITI Revenues'!$C$2:$G$224,5,FALSE),"..")</f>
        <v>..</v>
      </c>
      <c r="BC284" s="846" t="str">
        <f t="shared" si="53"/>
        <v>..</v>
      </c>
      <c r="BD284" s="129" t="e">
        <f>VLOOKUP($D284,'WB Data 2'!$C$2:$K$545,6,FALSE)</f>
        <v>#N/A</v>
      </c>
      <c r="BE284" s="129" t="str">
        <f>IFERROR(VLOOKUP($D284,UNCTAD!$C$5:$V$529,4,FALSE),"..")</f>
        <v>..</v>
      </c>
      <c r="BF284" s="846" t="str">
        <f t="shared" si="54"/>
        <v>..</v>
      </c>
      <c r="BG284" s="117" t="e">
        <f>VLOOKUP($D284,'WB Data'!$C$3:$M$578,5,FALSE)</f>
        <v>#N/A</v>
      </c>
      <c r="BH284" s="129" t="str">
        <f>IFERROR($BB284/$BG284,"..")</f>
        <v>..</v>
      </c>
      <c r="BI284" s="117" t="str">
        <f>IFERROR(VLOOKUP($D284,'WB Data'!$C$3:$M$578,7,FALSE)/100,"..")</f>
        <v>..</v>
      </c>
      <c r="BJ284" s="117" t="str">
        <f>IFERROR($BI284*$AW284,"..")</f>
        <v>..</v>
      </c>
      <c r="BK284" s="846" t="str">
        <f>IFERROR($BB284/$BJ284,"..")</f>
        <v>..</v>
      </c>
      <c r="BL284" s="117" t="str">
        <f>IFERROR(VLOOKUP($D284,'WB Data'!$C$3:$M$578,7,FALSE)/100,"..")</f>
        <v>..</v>
      </c>
      <c r="BM284" s="117" t="str">
        <f>IFERROR($AW284*$BL284,"..")</f>
        <v>..</v>
      </c>
      <c r="BN284" s="846" t="str">
        <f>IFERROR($BB284/$BM284,"..")</f>
        <v>..</v>
      </c>
      <c r="BO284" s="801" t="str">
        <f t="shared" si="50"/>
        <v>..</v>
      </c>
      <c r="BP284" s="117" t="e">
        <f>VLOOKUP($D284,'WB Data'!$C$3:$M$578,9,FALSE)</f>
        <v>#N/A</v>
      </c>
      <c r="BQ284" s="117" t="e">
        <f>VLOOKUP($D284,'WB Data'!$C$3:$M$578,10,FALSE)</f>
        <v>#N/A</v>
      </c>
      <c r="BR284" s="117" t="e">
        <f>VLOOKUP($D284,'WB Data'!$C$3:$M$578,11,FALSE)</f>
        <v>#N/A</v>
      </c>
      <c r="BS284" s="129" t="str">
        <f>IFERROR(VLOOKUP($D284,'WB Data 2'!$C$2:$K$545,9,FALSE),"..")</f>
        <v>..</v>
      </c>
      <c r="BT284" s="129" t="str">
        <f>_xlfn.IFNA(VLOOKUP($C284,RGI!$A$2:$C$43,2,FALSE),"..")</f>
        <v>..</v>
      </c>
      <c r="BU284" s="129" t="str">
        <f>_xlfn.IFNA(VLOOKUP($C284,RGI!$A$2:$C$43,3,FALSE),"..")</f>
        <v>..</v>
      </c>
      <c r="BV284" s="129" t="e">
        <f>VLOOKUP($D284,WGI!$C$2:$O$478,7,FALSE)</f>
        <v>#N/A</v>
      </c>
      <c r="BW284" s="129" t="e">
        <f>VLOOKUP($D284,WGI!$C$2:$O$478,4,FALSE)</f>
        <v>#N/A</v>
      </c>
      <c r="BX284" s="129" t="e">
        <f>VLOOKUP($D284,WGI!$C$2:$O$478,3,FALSE)</f>
        <v>#N/A</v>
      </c>
      <c r="BY284" s="129" t="e">
        <f>VLOOKUP($D284,WGI!$C$2:$O$478,5,FALSE)</f>
        <v>#N/A</v>
      </c>
      <c r="BZ284" s="129" t="e">
        <f>VLOOKUP($D284,WGI!$C$2:$O$478,2,FALSE)</f>
        <v>#N/A</v>
      </c>
      <c r="CB284" s="129"/>
    </row>
    <row r="285" spans="1:80" s="158" customFormat="1" ht="15" customHeight="1">
      <c r="A285" s="295" t="s">
        <v>161</v>
      </c>
      <c r="B285" s="149">
        <v>2009</v>
      </c>
      <c r="C285" s="132" t="s">
        <v>3791</v>
      </c>
      <c r="D285" s="117" t="s">
        <v>3795</v>
      </c>
      <c r="E285" s="149" t="s">
        <v>86</v>
      </c>
      <c r="F285" s="149"/>
      <c r="G285" s="149" t="s">
        <v>24</v>
      </c>
      <c r="H285" s="149" t="str">
        <f t="shared" si="44"/>
        <v>yes</v>
      </c>
      <c r="I285" s="149" t="str">
        <f t="shared" si="45"/>
        <v>no</v>
      </c>
      <c r="J285" s="149" t="str">
        <f t="shared" si="46"/>
        <v>no</v>
      </c>
      <c r="K285" s="188" t="s">
        <v>848</v>
      </c>
      <c r="L285" s="149" t="str">
        <f t="shared" si="49"/>
        <v>detailed</v>
      </c>
      <c r="M285" s="149" t="str">
        <f t="shared" si="47"/>
        <v>detailed Mining</v>
      </c>
      <c r="N285" s="216">
        <v>72585</v>
      </c>
      <c r="O285" s="216"/>
      <c r="P285" s="216"/>
      <c r="Q285" s="216"/>
      <c r="R285" s="216"/>
      <c r="S285" s="149" t="s">
        <v>610</v>
      </c>
      <c r="T285" s="151"/>
      <c r="U285" s="149"/>
      <c r="V285" s="149" t="s">
        <v>684</v>
      </c>
      <c r="W285" s="152"/>
      <c r="X285" s="149"/>
      <c r="Y285" s="149"/>
      <c r="Z285" s="149"/>
      <c r="AA285" s="284"/>
      <c r="AB285" s="284"/>
      <c r="AC285" s="154"/>
      <c r="AD285" s="154"/>
      <c r="AE285" s="154"/>
      <c r="AF285" s="155"/>
      <c r="AG285" s="149"/>
      <c r="AH285" s="156"/>
      <c r="AI285" s="149"/>
      <c r="AJ285" s="149"/>
      <c r="AK285" s="152"/>
      <c r="AL285" s="149"/>
      <c r="AM285" s="149"/>
      <c r="AN285" s="149"/>
      <c r="AO285" s="149"/>
      <c r="AP285" s="149"/>
      <c r="AQ285" s="149"/>
      <c r="AR285" s="220"/>
      <c r="AS285" s="149"/>
      <c r="AT285" s="149"/>
      <c r="AU285" s="149"/>
      <c r="AV285" s="157"/>
      <c r="AW285" s="117" t="e">
        <f>VLOOKUP($D285,'WB Data'!$C$3:$M$578,2,FALSE)</f>
        <v>#N/A</v>
      </c>
      <c r="AX285" s="117" t="e">
        <f>VLOOKUP($D285,'WB Data'!$C$3:$M$578,3,FALSE)</f>
        <v>#N/A</v>
      </c>
      <c r="AY285" s="847" t="str">
        <f t="shared" si="51"/>
        <v>..</v>
      </c>
      <c r="AZ285" s="117" t="e">
        <f>VLOOKUP($D285,'WB Data'!$C$3:$M$578,4,FALSE)/100</f>
        <v>#N/A</v>
      </c>
      <c r="BA285" s="117" t="str">
        <f t="shared" si="52"/>
        <v>..</v>
      </c>
      <c r="BB285" s="129" t="str">
        <f>IFERROR(VLOOKUP($D285,'EITI Revenues'!$C$2:$G$224,5,FALSE),"..")</f>
        <v>..</v>
      </c>
      <c r="BC285" s="846" t="str">
        <f t="shared" si="53"/>
        <v>..</v>
      </c>
      <c r="BD285" s="129" t="e">
        <f>VLOOKUP($D285,'WB Data 2'!$C$2:$K$545,6,FALSE)</f>
        <v>#N/A</v>
      </c>
      <c r="BE285" s="129" t="str">
        <f>IFERROR(VLOOKUP($D285,UNCTAD!$C$5:$V$529,4,FALSE),"..")</f>
        <v>..</v>
      </c>
      <c r="BF285" s="846" t="str">
        <f t="shared" si="54"/>
        <v>..</v>
      </c>
      <c r="BG285" s="117" t="e">
        <f>VLOOKUP($D285,'WB Data'!$C$3:$M$578,5,FALSE)</f>
        <v>#N/A</v>
      </c>
      <c r="BH285" s="129" t="str">
        <f>IFERROR($BB285/$BG285,"..")</f>
        <v>..</v>
      </c>
      <c r="BI285" s="117" t="str">
        <f>IFERROR(VLOOKUP($D285,'WB Data'!$C$3:$M$578,7,FALSE)/100,"..")</f>
        <v>..</v>
      </c>
      <c r="BJ285" s="117" t="str">
        <f>IFERROR($BI285*$AW285,"..")</f>
        <v>..</v>
      </c>
      <c r="BK285" s="846" t="str">
        <f>IFERROR($BB285/$BJ285,"..")</f>
        <v>..</v>
      </c>
      <c r="BL285" s="117" t="str">
        <f>IFERROR(VLOOKUP($D285,'WB Data'!$C$3:$M$578,7,FALSE)/100,"..")</f>
        <v>..</v>
      </c>
      <c r="BM285" s="117" t="str">
        <f>IFERROR($AW285*$BL285,"..")</f>
        <v>..</v>
      </c>
      <c r="BN285" s="846" t="str">
        <f>IFERROR($BB285/$BM285,"..")</f>
        <v>..</v>
      </c>
      <c r="BO285" s="801" t="str">
        <f t="shared" si="50"/>
        <v>..</v>
      </c>
      <c r="BP285" s="117" t="e">
        <f>VLOOKUP($D285,'WB Data'!$C$3:$M$578,9,FALSE)</f>
        <v>#N/A</v>
      </c>
      <c r="BQ285" s="117" t="e">
        <f>VLOOKUP($D285,'WB Data'!$C$3:$M$578,10,FALSE)</f>
        <v>#N/A</v>
      </c>
      <c r="BR285" s="117" t="e">
        <f>VLOOKUP($D285,'WB Data'!$C$3:$M$578,11,FALSE)</f>
        <v>#N/A</v>
      </c>
      <c r="BS285" s="129" t="str">
        <f>IFERROR(VLOOKUP($D285,'WB Data 2'!$C$2:$K$545,9,FALSE),"..")</f>
        <v>..</v>
      </c>
      <c r="BT285" s="129" t="str">
        <f>_xlfn.IFNA(VLOOKUP($C285,RGI!$A$2:$C$43,2,FALSE),"..")</f>
        <v>..</v>
      </c>
      <c r="BU285" s="129" t="str">
        <f>_xlfn.IFNA(VLOOKUP($C285,RGI!$A$2:$C$43,3,FALSE),"..")</f>
        <v>..</v>
      </c>
      <c r="BV285" s="129" t="e">
        <f>VLOOKUP($D285,WGI!$C$2:$O$478,7,FALSE)</f>
        <v>#N/A</v>
      </c>
      <c r="BW285" s="129" t="e">
        <f>VLOOKUP($D285,WGI!$C$2:$O$478,4,FALSE)</f>
        <v>#N/A</v>
      </c>
      <c r="BX285" s="129" t="e">
        <f>VLOOKUP($D285,WGI!$C$2:$O$478,3,FALSE)</f>
        <v>#N/A</v>
      </c>
      <c r="BY285" s="129" t="e">
        <f>VLOOKUP($D285,WGI!$C$2:$O$478,5,FALSE)</f>
        <v>#N/A</v>
      </c>
      <c r="BZ285" s="129" t="e">
        <f>VLOOKUP($D285,WGI!$C$2:$O$478,2,FALSE)</f>
        <v>#N/A</v>
      </c>
      <c r="CB285" s="129"/>
    </row>
    <row r="286" spans="1:80" ht="15" customHeight="1">
      <c r="A286" s="294" t="s">
        <v>163</v>
      </c>
      <c r="B286" s="117">
        <v>2010</v>
      </c>
      <c r="C286" s="132" t="s">
        <v>3791</v>
      </c>
      <c r="D286" s="117" t="s">
        <v>3796</v>
      </c>
      <c r="E286" s="117" t="s">
        <v>86</v>
      </c>
      <c r="F286" s="117" t="s">
        <v>1028</v>
      </c>
      <c r="G286" s="117" t="s">
        <v>35</v>
      </c>
      <c r="H286" s="117" t="str">
        <f t="shared" si="44"/>
        <v>yes</v>
      </c>
      <c r="I286" s="117" t="str">
        <f t="shared" si="45"/>
        <v>yes</v>
      </c>
      <c r="J286" s="117" t="str">
        <f t="shared" si="46"/>
        <v>yes</v>
      </c>
      <c r="K286" s="176" t="s">
        <v>709</v>
      </c>
      <c r="L286" s="117" t="str">
        <f t="shared" si="49"/>
        <v>Total</v>
      </c>
      <c r="M286" s="117" t="str">
        <f t="shared" si="47"/>
        <v>Total Oil, Gas, Mining</v>
      </c>
      <c r="N286" s="179"/>
      <c r="O286" s="179"/>
      <c r="P286" s="179"/>
      <c r="Q286" s="179"/>
      <c r="R286" s="179"/>
      <c r="S286" s="117"/>
      <c r="T286" s="119"/>
      <c r="U286" s="117"/>
      <c r="V286" s="117"/>
      <c r="W286" s="89">
        <f>W287+W290</f>
        <v>1750050831.589488</v>
      </c>
      <c r="X286" s="117" t="s">
        <v>1031</v>
      </c>
      <c r="Y286" s="117" t="s">
        <v>663</v>
      </c>
      <c r="Z286" s="117" t="s">
        <v>664</v>
      </c>
      <c r="AA286" s="286">
        <v>245231916.38661528</v>
      </c>
      <c r="AB286" s="286">
        <v>268224380.18679258</v>
      </c>
      <c r="AC286" s="122"/>
      <c r="AD286" s="122"/>
      <c r="AE286" s="122"/>
      <c r="AF286" s="123">
        <f>AA286/W286</f>
        <v>0.14012845339119823</v>
      </c>
      <c r="AG286" s="117" t="s">
        <v>836</v>
      </c>
      <c r="AH286" s="124">
        <v>485.03</v>
      </c>
      <c r="AI286" s="117" t="s">
        <v>667</v>
      </c>
      <c r="AJ286" s="117"/>
      <c r="AK286" s="89"/>
      <c r="AL286" s="117"/>
      <c r="AM286" s="117"/>
      <c r="AN286" s="117">
        <v>22</v>
      </c>
      <c r="AO286" s="117" t="s">
        <v>1032</v>
      </c>
      <c r="AP286" s="117">
        <v>17</v>
      </c>
      <c r="AQ286" s="117" t="s">
        <v>159</v>
      </c>
      <c r="AR286" s="126">
        <v>41949</v>
      </c>
      <c r="AS286" s="117" t="s">
        <v>670</v>
      </c>
      <c r="AT286" s="127" t="s">
        <v>164</v>
      </c>
      <c r="AU286" s="117" t="s">
        <v>1033</v>
      </c>
      <c r="AV286" s="128" t="s">
        <v>1042</v>
      </c>
      <c r="AW286" s="117" t="e">
        <f>VLOOKUP($D286,'WB Data'!$C$3:$M$578,2,FALSE)</f>
        <v>#N/A</v>
      </c>
      <c r="AX286" s="117" t="e">
        <f>VLOOKUP($D286,'WB Data'!$C$3:$M$578,3,FALSE)</f>
        <v>#N/A</v>
      </c>
      <c r="AY286" s="847" t="str">
        <f t="shared" si="51"/>
        <v>..</v>
      </c>
      <c r="AZ286" s="117" t="e">
        <f>VLOOKUP($D286,'WB Data'!$C$3:$M$578,4,FALSE)/100</f>
        <v>#N/A</v>
      </c>
      <c r="BA286" s="117" t="str">
        <f t="shared" si="52"/>
        <v>..</v>
      </c>
      <c r="BB286" s="129" t="str">
        <f>IFERROR(VLOOKUP($D286,'EITI Revenues'!$C$2:$G$224,5,FALSE),"..")</f>
        <v>..</v>
      </c>
      <c r="BC286" s="846" t="str">
        <f t="shared" si="53"/>
        <v>..</v>
      </c>
      <c r="BD286" s="129" t="e">
        <f>VLOOKUP($D286,'WB Data 2'!$C$2:$K$545,6,FALSE)</f>
        <v>#N/A</v>
      </c>
      <c r="BE286" s="129" t="str">
        <f>IFERROR(VLOOKUP($D286,UNCTAD!$C$5:$V$529,4,FALSE),"..")</f>
        <v>..</v>
      </c>
      <c r="BF286" s="846" t="str">
        <f t="shared" si="54"/>
        <v>..</v>
      </c>
      <c r="BG286" s="117" t="e">
        <f>VLOOKUP($D286,'WB Data'!$C$3:$M$578,5,FALSE)</f>
        <v>#N/A</v>
      </c>
      <c r="BH286" s="129" t="str">
        <f>IFERROR($BB286/$BG286,"..")</f>
        <v>..</v>
      </c>
      <c r="BI286" s="117" t="str">
        <f>IFERROR(VLOOKUP($D286,'WB Data'!$C$3:$M$578,7,FALSE)/100,"..")</f>
        <v>..</v>
      </c>
      <c r="BJ286" s="117" t="str">
        <f>IFERROR($BI286*$AW286,"..")</f>
        <v>..</v>
      </c>
      <c r="BK286" s="846" t="str">
        <f>IFERROR($BB286/$BJ286,"..")</f>
        <v>..</v>
      </c>
      <c r="BL286" s="117" t="str">
        <f>IFERROR(VLOOKUP($D286,'WB Data'!$C$3:$M$578,7,FALSE)/100,"..")</f>
        <v>..</v>
      </c>
      <c r="BM286" s="117" t="str">
        <f>IFERROR($AW286*$BL286,"..")</f>
        <v>..</v>
      </c>
      <c r="BN286" s="846" t="str">
        <f>IFERROR($BB286/$BM286,"..")</f>
        <v>..</v>
      </c>
      <c r="BO286" s="801" t="str">
        <f t="shared" si="50"/>
        <v>..</v>
      </c>
      <c r="BP286" s="117" t="e">
        <f>VLOOKUP($D286,'WB Data'!$C$3:$M$578,9,FALSE)</f>
        <v>#N/A</v>
      </c>
      <c r="BQ286" s="117" t="e">
        <f>VLOOKUP($D286,'WB Data'!$C$3:$M$578,10,FALSE)</f>
        <v>#N/A</v>
      </c>
      <c r="BR286" s="117" t="e">
        <f>VLOOKUP($D286,'WB Data'!$C$3:$M$578,11,FALSE)</f>
        <v>#N/A</v>
      </c>
      <c r="BS286" s="129" t="str">
        <f>IFERROR(VLOOKUP($D286,'WB Data 2'!$C$2:$K$545,9,FALSE),"..")</f>
        <v>..</v>
      </c>
      <c r="BT286" s="129" t="str">
        <f>_xlfn.IFNA(VLOOKUP($C286,RGI!$A$2:$C$43,2,FALSE),"..")</f>
        <v>..</v>
      </c>
      <c r="BU286" s="129" t="str">
        <f>_xlfn.IFNA(VLOOKUP($C286,RGI!$A$2:$C$43,3,FALSE),"..")</f>
        <v>..</v>
      </c>
      <c r="BV286" s="129" t="e">
        <f>VLOOKUP($D286,WGI!$C$2:$O$478,7,FALSE)</f>
        <v>#N/A</v>
      </c>
      <c r="BW286" s="129" t="e">
        <f>VLOOKUP($D286,WGI!$C$2:$O$478,4,FALSE)</f>
        <v>#N/A</v>
      </c>
      <c r="BX286" s="129" t="e">
        <f>VLOOKUP($D286,WGI!$C$2:$O$478,3,FALSE)</f>
        <v>#N/A</v>
      </c>
      <c r="BY286" s="129" t="e">
        <f>VLOOKUP($D286,WGI!$C$2:$O$478,5,FALSE)</f>
        <v>#N/A</v>
      </c>
      <c r="BZ286" s="129" t="e">
        <f>VLOOKUP($D286,WGI!$C$2:$O$478,2,FALSE)</f>
        <v>#N/A</v>
      </c>
    </row>
    <row r="287" spans="1:80" ht="15" customHeight="1">
      <c r="A287" s="294" t="s">
        <v>163</v>
      </c>
      <c r="B287" s="117">
        <v>2010</v>
      </c>
      <c r="C287" s="132" t="s">
        <v>3791</v>
      </c>
      <c r="D287" s="117" t="s">
        <v>3796</v>
      </c>
      <c r="E287" s="117" t="s">
        <v>86</v>
      </c>
      <c r="F287" s="117"/>
      <c r="G287" s="117" t="s">
        <v>55</v>
      </c>
      <c r="H287" s="117" t="str">
        <f t="shared" si="44"/>
        <v>no</v>
      </c>
      <c r="I287" s="117" t="str">
        <f t="shared" si="45"/>
        <v>yes</v>
      </c>
      <c r="J287" s="117" t="str">
        <f t="shared" si="46"/>
        <v>yes</v>
      </c>
      <c r="K287" s="176" t="s">
        <v>640</v>
      </c>
      <c r="L287" s="117" t="str">
        <f t="shared" si="49"/>
        <v>Total</v>
      </c>
      <c r="M287" s="117" t="str">
        <f t="shared" si="47"/>
        <v>Total Oil, Gas</v>
      </c>
      <c r="N287" s="179"/>
      <c r="O287" s="179"/>
      <c r="P287" s="179"/>
      <c r="Q287" s="179"/>
      <c r="R287" s="179"/>
      <c r="S287" s="117"/>
      <c r="T287" s="119"/>
      <c r="U287" s="117"/>
      <c r="V287" s="117"/>
      <c r="W287" s="89">
        <f>SUM(W288:W289)</f>
        <v>1552803238.2092381</v>
      </c>
      <c r="X287" s="117"/>
      <c r="Y287" s="117"/>
      <c r="Z287" s="117"/>
      <c r="AA287" s="177">
        <v>225299829.27653959</v>
      </c>
      <c r="AB287" s="177">
        <v>248262157.9077583</v>
      </c>
      <c r="AC287" s="122"/>
      <c r="AD287" s="122"/>
      <c r="AE287" s="122"/>
      <c r="AF287" s="123">
        <f>AA287/W287</f>
        <v>0.14509232318214729</v>
      </c>
      <c r="AG287" s="117"/>
      <c r="AH287" s="124"/>
      <c r="AI287" s="117"/>
      <c r="AJ287" s="117"/>
      <c r="AK287" s="89"/>
      <c r="AL287" s="117"/>
      <c r="AM287" s="117"/>
      <c r="AN287" s="117"/>
      <c r="AO287" s="117"/>
      <c r="AP287" s="117"/>
      <c r="AQ287" s="117"/>
      <c r="AR287" s="126"/>
      <c r="AS287" s="117"/>
      <c r="AT287" s="117"/>
      <c r="AU287" s="117"/>
      <c r="AV287" s="128" t="s">
        <v>1043</v>
      </c>
      <c r="AW287" s="117" t="e">
        <f>VLOOKUP($D287,'WB Data'!$C$3:$M$578,2,FALSE)</f>
        <v>#N/A</v>
      </c>
      <c r="AX287" s="117" t="e">
        <f>VLOOKUP($D287,'WB Data'!$C$3:$M$578,3,FALSE)</f>
        <v>#N/A</v>
      </c>
      <c r="AY287" s="847" t="str">
        <f t="shared" si="51"/>
        <v>..</v>
      </c>
      <c r="AZ287" s="117" t="e">
        <f>VLOOKUP($D287,'WB Data'!$C$3:$M$578,4,FALSE)/100</f>
        <v>#N/A</v>
      </c>
      <c r="BA287" s="117" t="str">
        <f t="shared" si="52"/>
        <v>..</v>
      </c>
      <c r="BB287" s="129" t="str">
        <f>IFERROR(VLOOKUP($D287,'EITI Revenues'!$C$2:$G$224,5,FALSE),"..")</f>
        <v>..</v>
      </c>
      <c r="BC287" s="846" t="str">
        <f t="shared" si="53"/>
        <v>..</v>
      </c>
      <c r="BD287" s="129" t="e">
        <f>VLOOKUP($D287,'WB Data 2'!$C$2:$K$545,6,FALSE)</f>
        <v>#N/A</v>
      </c>
      <c r="BE287" s="129" t="str">
        <f>IFERROR(VLOOKUP($D287,UNCTAD!$C$5:$V$529,4,FALSE),"..")</f>
        <v>..</v>
      </c>
      <c r="BF287" s="846" t="str">
        <f t="shared" si="54"/>
        <v>..</v>
      </c>
      <c r="BG287" s="117" t="e">
        <f>VLOOKUP($D287,'WB Data'!$C$3:$M$578,5,FALSE)</f>
        <v>#N/A</v>
      </c>
      <c r="BH287" s="129" t="str">
        <f>IFERROR($BB287/$BG287,"..")</f>
        <v>..</v>
      </c>
      <c r="BI287" s="117" t="str">
        <f>IFERROR(VLOOKUP($D287,'WB Data'!$C$3:$M$578,7,FALSE)/100,"..")</f>
        <v>..</v>
      </c>
      <c r="BJ287" s="117" t="str">
        <f>IFERROR($BI287*$AW287,"..")</f>
        <v>..</v>
      </c>
      <c r="BK287" s="846" t="str">
        <f>IFERROR($BB287/$BJ287,"..")</f>
        <v>..</v>
      </c>
      <c r="BL287" s="117" t="str">
        <f>IFERROR(VLOOKUP($D287,'WB Data'!$C$3:$M$578,7,FALSE)/100,"..")</f>
        <v>..</v>
      </c>
      <c r="BM287" s="117" t="str">
        <f>IFERROR($AW287*$BL287,"..")</f>
        <v>..</v>
      </c>
      <c r="BN287" s="846" t="str">
        <f>IFERROR($BB287/$BM287,"..")</f>
        <v>..</v>
      </c>
      <c r="BO287" s="801" t="str">
        <f t="shared" si="50"/>
        <v>..</v>
      </c>
      <c r="BP287" s="117" t="e">
        <f>VLOOKUP($D287,'WB Data'!$C$3:$M$578,9,FALSE)</f>
        <v>#N/A</v>
      </c>
      <c r="BQ287" s="117" t="e">
        <f>VLOOKUP($D287,'WB Data'!$C$3:$M$578,10,FALSE)</f>
        <v>#N/A</v>
      </c>
      <c r="BR287" s="117" t="e">
        <f>VLOOKUP($D287,'WB Data'!$C$3:$M$578,11,FALSE)</f>
        <v>#N/A</v>
      </c>
      <c r="BS287" s="129" t="str">
        <f>IFERROR(VLOOKUP($D287,'WB Data 2'!$C$2:$K$545,9,FALSE),"..")</f>
        <v>..</v>
      </c>
      <c r="BT287" s="129" t="str">
        <f>_xlfn.IFNA(VLOOKUP($C287,RGI!$A$2:$C$43,2,FALSE),"..")</f>
        <v>..</v>
      </c>
      <c r="BU287" s="129" t="str">
        <f>_xlfn.IFNA(VLOOKUP($C287,RGI!$A$2:$C$43,3,FALSE),"..")</f>
        <v>..</v>
      </c>
      <c r="BV287" s="129" t="e">
        <f>VLOOKUP($D287,WGI!$C$2:$O$478,7,FALSE)</f>
        <v>#N/A</v>
      </c>
      <c r="BW287" s="129" t="e">
        <f>VLOOKUP($D287,WGI!$C$2:$O$478,4,FALSE)</f>
        <v>#N/A</v>
      </c>
      <c r="BX287" s="129" t="e">
        <f>VLOOKUP($D287,WGI!$C$2:$O$478,3,FALSE)</f>
        <v>#N/A</v>
      </c>
      <c r="BY287" s="129" t="e">
        <f>VLOOKUP($D287,WGI!$C$2:$O$478,5,FALSE)</f>
        <v>#N/A</v>
      </c>
      <c r="BZ287" s="129" t="e">
        <f>VLOOKUP($D287,WGI!$C$2:$O$478,2,FALSE)</f>
        <v>#N/A</v>
      </c>
    </row>
    <row r="288" spans="1:80" ht="15" customHeight="1">
      <c r="A288" s="294" t="s">
        <v>163</v>
      </c>
      <c r="B288" s="117">
        <v>2010</v>
      </c>
      <c r="C288" s="132" t="s">
        <v>3791</v>
      </c>
      <c r="D288" s="117" t="s">
        <v>3796</v>
      </c>
      <c r="E288" s="117" t="s">
        <v>86</v>
      </c>
      <c r="F288" s="117"/>
      <c r="G288" s="117" t="s">
        <v>561</v>
      </c>
      <c r="H288" s="117" t="str">
        <f t="shared" si="44"/>
        <v>no</v>
      </c>
      <c r="I288" s="117" t="str">
        <f t="shared" si="45"/>
        <v>yes</v>
      </c>
      <c r="J288" s="117" t="str">
        <f t="shared" si="46"/>
        <v>no</v>
      </c>
      <c r="K288" s="176" t="s">
        <v>561</v>
      </c>
      <c r="L288" s="117" t="str">
        <f t="shared" si="49"/>
        <v>detailed</v>
      </c>
      <c r="M288" s="117" t="str">
        <f t="shared" si="47"/>
        <v>detailed Gas</v>
      </c>
      <c r="N288" s="179">
        <f>53000000000*0.0283168</f>
        <v>1500790400</v>
      </c>
      <c r="O288" s="179"/>
      <c r="P288" s="179"/>
      <c r="Q288" s="179"/>
      <c r="R288" s="179"/>
      <c r="S288" s="117" t="s">
        <v>642</v>
      </c>
      <c r="T288" s="119">
        <v>0.1741077336927683</v>
      </c>
      <c r="U288" s="117" t="s">
        <v>643</v>
      </c>
      <c r="V288" s="117" t="s">
        <v>880</v>
      </c>
      <c r="W288" s="89">
        <f>N288*T288</f>
        <v>261299215.2918632</v>
      </c>
      <c r="X288" s="117"/>
      <c r="Y288" s="117"/>
      <c r="Z288" s="117"/>
      <c r="AA288" s="177"/>
      <c r="AB288" s="177"/>
      <c r="AC288" s="122"/>
      <c r="AD288" s="122"/>
      <c r="AE288" s="122"/>
      <c r="AF288" s="123"/>
      <c r="AG288" s="117"/>
      <c r="AH288" s="124"/>
      <c r="AI288" s="117"/>
      <c r="AJ288" s="177">
        <f>(29336000000+12029000000)*0.0283168</f>
        <v>1171324432</v>
      </c>
      <c r="AK288" s="89" t="s">
        <v>943</v>
      </c>
      <c r="AL288" s="117"/>
      <c r="AM288" s="117"/>
      <c r="AN288" s="117"/>
      <c r="AO288" s="117"/>
      <c r="AP288" s="117"/>
      <c r="AQ288" s="117"/>
      <c r="AR288" s="117"/>
      <c r="AS288" s="117"/>
      <c r="AT288" s="117"/>
      <c r="AU288" s="117"/>
      <c r="AV288" s="128" t="s">
        <v>1040</v>
      </c>
      <c r="AW288" s="117" t="e">
        <f>VLOOKUP($D288,'WB Data'!$C$3:$M$578,2,FALSE)</f>
        <v>#N/A</v>
      </c>
      <c r="AX288" s="117" t="e">
        <f>VLOOKUP($D288,'WB Data'!$C$3:$M$578,3,FALSE)</f>
        <v>#N/A</v>
      </c>
      <c r="AY288" s="847" t="str">
        <f t="shared" si="51"/>
        <v>..</v>
      </c>
      <c r="AZ288" s="117" t="e">
        <f>VLOOKUP($D288,'WB Data'!$C$3:$M$578,4,FALSE)/100</f>
        <v>#N/A</v>
      </c>
      <c r="BA288" s="117" t="str">
        <f t="shared" si="52"/>
        <v>..</v>
      </c>
      <c r="BB288" s="129" t="str">
        <f>IFERROR(VLOOKUP($D288,'EITI Revenues'!$C$2:$G$224,5,FALSE),"..")</f>
        <v>..</v>
      </c>
      <c r="BC288" s="846" t="str">
        <f t="shared" si="53"/>
        <v>..</v>
      </c>
      <c r="BD288" s="129" t="e">
        <f>VLOOKUP($D288,'WB Data 2'!$C$2:$K$545,6,FALSE)</f>
        <v>#N/A</v>
      </c>
      <c r="BE288" s="129" t="str">
        <f>IFERROR(VLOOKUP($D288,UNCTAD!$C$5:$V$529,4,FALSE),"..")</f>
        <v>..</v>
      </c>
      <c r="BF288" s="846" t="str">
        <f t="shared" si="54"/>
        <v>..</v>
      </c>
      <c r="BG288" s="117" t="e">
        <f>VLOOKUP($D288,'WB Data'!$C$3:$M$578,5,FALSE)</f>
        <v>#N/A</v>
      </c>
      <c r="BH288" s="129" t="str">
        <f>IFERROR($BB288/$BG288,"..")</f>
        <v>..</v>
      </c>
      <c r="BI288" s="117" t="str">
        <f>IFERROR(VLOOKUP($D288,'WB Data'!$C$3:$M$578,7,FALSE)/100,"..")</f>
        <v>..</v>
      </c>
      <c r="BJ288" s="117" t="str">
        <f>IFERROR($BI288*$AW288,"..")</f>
        <v>..</v>
      </c>
      <c r="BK288" s="846" t="str">
        <f>IFERROR($BB288/$BJ288,"..")</f>
        <v>..</v>
      </c>
      <c r="BL288" s="117" t="str">
        <f>IFERROR(VLOOKUP($D288,'WB Data'!$C$3:$M$578,7,FALSE)/100,"..")</f>
        <v>..</v>
      </c>
      <c r="BM288" s="117" t="str">
        <f>IFERROR($AW288*$BL288,"..")</f>
        <v>..</v>
      </c>
      <c r="BN288" s="846" t="str">
        <f>IFERROR($BB288/$BM288,"..")</f>
        <v>..</v>
      </c>
      <c r="BO288" s="801" t="str">
        <f t="shared" si="50"/>
        <v>..</v>
      </c>
      <c r="BP288" s="117" t="e">
        <f>VLOOKUP($D288,'WB Data'!$C$3:$M$578,9,FALSE)</f>
        <v>#N/A</v>
      </c>
      <c r="BQ288" s="117" t="e">
        <f>VLOOKUP($D288,'WB Data'!$C$3:$M$578,10,FALSE)</f>
        <v>#N/A</v>
      </c>
      <c r="BR288" s="117" t="e">
        <f>VLOOKUP($D288,'WB Data'!$C$3:$M$578,11,FALSE)</f>
        <v>#N/A</v>
      </c>
      <c r="BS288" s="129" t="str">
        <f>IFERROR(VLOOKUP($D288,'WB Data 2'!$C$2:$K$545,9,FALSE),"..")</f>
        <v>..</v>
      </c>
      <c r="BT288" s="129" t="str">
        <f>_xlfn.IFNA(VLOOKUP($C288,RGI!$A$2:$C$43,2,FALSE),"..")</f>
        <v>..</v>
      </c>
      <c r="BU288" s="129" t="str">
        <f>_xlfn.IFNA(VLOOKUP($C288,RGI!$A$2:$C$43,3,FALSE),"..")</f>
        <v>..</v>
      </c>
      <c r="BV288" s="129" t="e">
        <f>VLOOKUP($D288,WGI!$C$2:$O$478,7,FALSE)</f>
        <v>#N/A</v>
      </c>
      <c r="BW288" s="129" t="e">
        <f>VLOOKUP($D288,WGI!$C$2:$O$478,4,FALSE)</f>
        <v>#N/A</v>
      </c>
      <c r="BX288" s="129" t="e">
        <f>VLOOKUP($D288,WGI!$C$2:$O$478,3,FALSE)</f>
        <v>#N/A</v>
      </c>
      <c r="BY288" s="129" t="e">
        <f>VLOOKUP($D288,WGI!$C$2:$O$478,5,FALSE)</f>
        <v>#N/A</v>
      </c>
      <c r="BZ288" s="129" t="e">
        <f>VLOOKUP($D288,WGI!$C$2:$O$478,2,FALSE)</f>
        <v>#N/A</v>
      </c>
    </row>
    <row r="289" spans="1:80" ht="15" customHeight="1">
      <c r="A289" s="294" t="s">
        <v>163</v>
      </c>
      <c r="B289" s="117">
        <v>2010</v>
      </c>
      <c r="C289" s="132" t="s">
        <v>3791</v>
      </c>
      <c r="D289" s="117" t="s">
        <v>3796</v>
      </c>
      <c r="E289" s="117" t="s">
        <v>86</v>
      </c>
      <c r="F289" s="117"/>
      <c r="G289" s="117" t="s">
        <v>103</v>
      </c>
      <c r="H289" s="117" t="str">
        <f t="shared" si="44"/>
        <v>no</v>
      </c>
      <c r="I289" s="117" t="str">
        <f t="shared" si="45"/>
        <v>no</v>
      </c>
      <c r="J289" s="117" t="str">
        <f t="shared" si="46"/>
        <v>yes</v>
      </c>
      <c r="K289" s="176" t="s">
        <v>103</v>
      </c>
      <c r="L289" s="117" t="str">
        <f t="shared" si="49"/>
        <v>detailed</v>
      </c>
      <c r="M289" s="117" t="str">
        <f t="shared" si="47"/>
        <v>detailed Oil</v>
      </c>
      <c r="N289" s="179">
        <v>16242500</v>
      </c>
      <c r="O289" s="179"/>
      <c r="P289" s="179"/>
      <c r="Q289" s="179"/>
      <c r="R289" s="179"/>
      <c r="S289" s="117" t="s">
        <v>646</v>
      </c>
      <c r="T289" s="119">
        <v>79.513869349999993</v>
      </c>
      <c r="U289" s="117" t="s">
        <v>673</v>
      </c>
      <c r="V289" s="117" t="s">
        <v>1030</v>
      </c>
      <c r="W289" s="89">
        <f>N289*T289</f>
        <v>1291504022.9173748</v>
      </c>
      <c r="X289" s="117"/>
      <c r="Y289" s="117"/>
      <c r="Z289" s="117"/>
      <c r="AA289" s="177"/>
      <c r="AB289" s="177"/>
      <c r="AC289" s="122"/>
      <c r="AD289" s="122"/>
      <c r="AE289" s="122"/>
      <c r="AF289" s="123"/>
      <c r="AG289" s="117"/>
      <c r="AH289" s="124"/>
      <c r="AI289" s="117"/>
      <c r="AJ289" s="177">
        <f>2174924+854090</f>
        <v>3029014</v>
      </c>
      <c r="AK289" s="89" t="s">
        <v>943</v>
      </c>
      <c r="AL289" s="117"/>
      <c r="AM289" s="117"/>
      <c r="AN289" s="117"/>
      <c r="AO289" s="117"/>
      <c r="AP289" s="117"/>
      <c r="AQ289" s="117"/>
      <c r="AR289" s="117"/>
      <c r="AS289" s="117"/>
      <c r="AT289" s="117"/>
      <c r="AU289" s="117"/>
      <c r="AV289" s="128" t="s">
        <v>1041</v>
      </c>
      <c r="AW289" s="117" t="e">
        <f>VLOOKUP($D289,'WB Data'!$C$3:$M$578,2,FALSE)</f>
        <v>#N/A</v>
      </c>
      <c r="AX289" s="117" t="e">
        <f>VLOOKUP($D289,'WB Data'!$C$3:$M$578,3,FALSE)</f>
        <v>#N/A</v>
      </c>
      <c r="AY289" s="847" t="str">
        <f t="shared" si="51"/>
        <v>..</v>
      </c>
      <c r="AZ289" s="117" t="e">
        <f>VLOOKUP($D289,'WB Data'!$C$3:$M$578,4,FALSE)/100</f>
        <v>#N/A</v>
      </c>
      <c r="BA289" s="117" t="str">
        <f t="shared" si="52"/>
        <v>..</v>
      </c>
      <c r="BB289" s="129" t="str">
        <f>IFERROR(VLOOKUP($D289,'EITI Revenues'!$C$2:$G$224,5,FALSE),"..")</f>
        <v>..</v>
      </c>
      <c r="BC289" s="846" t="str">
        <f t="shared" si="53"/>
        <v>..</v>
      </c>
      <c r="BD289" s="129" t="e">
        <f>VLOOKUP($D289,'WB Data 2'!$C$2:$K$545,6,FALSE)</f>
        <v>#N/A</v>
      </c>
      <c r="BE289" s="129" t="str">
        <f>IFERROR(VLOOKUP($D289,UNCTAD!$C$5:$V$529,4,FALSE),"..")</f>
        <v>..</v>
      </c>
      <c r="BF289" s="846" t="str">
        <f t="shared" si="54"/>
        <v>..</v>
      </c>
      <c r="BG289" s="117" t="e">
        <f>VLOOKUP($D289,'WB Data'!$C$3:$M$578,5,FALSE)</f>
        <v>#N/A</v>
      </c>
      <c r="BH289" s="129" t="str">
        <f>IFERROR($BB289/$BG289,"..")</f>
        <v>..</v>
      </c>
      <c r="BI289" s="117" t="str">
        <f>IFERROR(VLOOKUP($D289,'WB Data'!$C$3:$M$578,7,FALSE)/100,"..")</f>
        <v>..</v>
      </c>
      <c r="BJ289" s="117" t="str">
        <f>IFERROR($BI289*$AW289,"..")</f>
        <v>..</v>
      </c>
      <c r="BK289" s="846" t="str">
        <f>IFERROR($BB289/$BJ289,"..")</f>
        <v>..</v>
      </c>
      <c r="BL289" s="117" t="str">
        <f>IFERROR(VLOOKUP($D289,'WB Data'!$C$3:$M$578,7,FALSE)/100,"..")</f>
        <v>..</v>
      </c>
      <c r="BM289" s="117" t="str">
        <f>IFERROR($AW289*$BL289,"..")</f>
        <v>..</v>
      </c>
      <c r="BN289" s="846" t="str">
        <f>IFERROR($BB289/$BM289,"..")</f>
        <v>..</v>
      </c>
      <c r="BO289" s="801" t="str">
        <f t="shared" si="50"/>
        <v>..</v>
      </c>
      <c r="BP289" s="117" t="e">
        <f>VLOOKUP($D289,'WB Data'!$C$3:$M$578,9,FALSE)</f>
        <v>#N/A</v>
      </c>
      <c r="BQ289" s="117" t="e">
        <f>VLOOKUP($D289,'WB Data'!$C$3:$M$578,10,FALSE)</f>
        <v>#N/A</v>
      </c>
      <c r="BR289" s="117" t="e">
        <f>VLOOKUP($D289,'WB Data'!$C$3:$M$578,11,FALSE)</f>
        <v>#N/A</v>
      </c>
      <c r="BS289" s="129" t="str">
        <f>IFERROR(VLOOKUP($D289,'WB Data 2'!$C$2:$K$545,9,FALSE),"..")</f>
        <v>..</v>
      </c>
      <c r="BT289" s="129" t="str">
        <f>_xlfn.IFNA(VLOOKUP($C289,RGI!$A$2:$C$43,2,FALSE),"..")</f>
        <v>..</v>
      </c>
      <c r="BU289" s="129" t="str">
        <f>_xlfn.IFNA(VLOOKUP($C289,RGI!$A$2:$C$43,3,FALSE),"..")</f>
        <v>..</v>
      </c>
      <c r="BV289" s="129" t="e">
        <f>VLOOKUP($D289,WGI!$C$2:$O$478,7,FALSE)</f>
        <v>#N/A</v>
      </c>
      <c r="BW289" s="129" t="e">
        <f>VLOOKUP($D289,WGI!$C$2:$O$478,4,FALSE)</f>
        <v>#N/A</v>
      </c>
      <c r="BX289" s="129" t="e">
        <f>VLOOKUP($D289,WGI!$C$2:$O$478,3,FALSE)</f>
        <v>#N/A</v>
      </c>
      <c r="BY289" s="129" t="e">
        <f>VLOOKUP($D289,WGI!$C$2:$O$478,5,FALSE)</f>
        <v>#N/A</v>
      </c>
      <c r="BZ289" s="129" t="e">
        <f>VLOOKUP($D289,WGI!$C$2:$O$478,2,FALSE)</f>
        <v>#N/A</v>
      </c>
    </row>
    <row r="290" spans="1:80" ht="15" customHeight="1">
      <c r="A290" s="294" t="s">
        <v>163</v>
      </c>
      <c r="B290" s="117">
        <v>2010</v>
      </c>
      <c r="C290" s="132" t="s">
        <v>3791</v>
      </c>
      <c r="D290" s="117" t="s">
        <v>3796</v>
      </c>
      <c r="E290" s="117" t="s">
        <v>86</v>
      </c>
      <c r="F290" s="117"/>
      <c r="G290" s="117" t="s">
        <v>24</v>
      </c>
      <c r="H290" s="117" t="str">
        <f t="shared" si="44"/>
        <v>yes</v>
      </c>
      <c r="I290" s="117" t="str">
        <f t="shared" si="45"/>
        <v>no</v>
      </c>
      <c r="J290" s="117" t="str">
        <f t="shared" si="46"/>
        <v>no</v>
      </c>
      <c r="K290" s="176" t="s">
        <v>600</v>
      </c>
      <c r="L290" s="117" t="str">
        <f t="shared" si="49"/>
        <v>Total</v>
      </c>
      <c r="M290" s="117" t="str">
        <f t="shared" si="47"/>
        <v>Total Mining</v>
      </c>
      <c r="N290" s="179"/>
      <c r="O290" s="179"/>
      <c r="P290" s="179"/>
      <c r="Q290" s="179"/>
      <c r="R290" s="179"/>
      <c r="S290" s="117"/>
      <c r="T290" s="119"/>
      <c r="U290" s="117"/>
      <c r="V290" s="117"/>
      <c r="W290" s="89">
        <f>SUM(W291:W294)</f>
        <v>197247593.38025001</v>
      </c>
      <c r="X290" s="117"/>
      <c r="Y290" s="117"/>
      <c r="Z290" s="117"/>
      <c r="AA290" s="177">
        <v>19932087.110075668</v>
      </c>
      <c r="AB290" s="177">
        <v>19962222.279034287</v>
      </c>
      <c r="AC290" s="122"/>
      <c r="AD290" s="122"/>
      <c r="AE290" s="122"/>
      <c r="AF290" s="123">
        <f>AA290/W290</f>
        <v>0.10105110419091899</v>
      </c>
      <c r="AG290" s="117"/>
      <c r="AH290" s="124"/>
      <c r="AI290" s="117"/>
      <c r="AJ290" s="177"/>
      <c r="AK290" s="89"/>
      <c r="AL290" s="117"/>
      <c r="AM290" s="117"/>
      <c r="AN290" s="117"/>
      <c r="AO290" s="117"/>
      <c r="AP290" s="117"/>
      <c r="AQ290" s="117"/>
      <c r="AR290" s="126"/>
      <c r="AS290" s="117"/>
      <c r="AT290" s="117"/>
      <c r="AU290" s="117"/>
      <c r="AV290" s="128" t="s">
        <v>1044</v>
      </c>
      <c r="AW290" s="117" t="e">
        <f>VLOOKUP($D290,'WB Data'!$C$3:$M$578,2,FALSE)</f>
        <v>#N/A</v>
      </c>
      <c r="AX290" s="117" t="e">
        <f>VLOOKUP($D290,'WB Data'!$C$3:$M$578,3,FALSE)</f>
        <v>#N/A</v>
      </c>
      <c r="AY290" s="847" t="str">
        <f t="shared" si="51"/>
        <v>..</v>
      </c>
      <c r="AZ290" s="117" t="e">
        <f>VLOOKUP($D290,'WB Data'!$C$3:$M$578,4,FALSE)/100</f>
        <v>#N/A</v>
      </c>
      <c r="BA290" s="117" t="str">
        <f t="shared" si="52"/>
        <v>..</v>
      </c>
      <c r="BB290" s="129" t="str">
        <f>IFERROR(VLOOKUP($D290,'EITI Revenues'!$C$2:$G$224,5,FALSE),"..")</f>
        <v>..</v>
      </c>
      <c r="BC290" s="846" t="str">
        <f t="shared" si="53"/>
        <v>..</v>
      </c>
      <c r="BD290" s="129" t="e">
        <f>VLOOKUP($D290,'WB Data 2'!$C$2:$K$545,6,FALSE)</f>
        <v>#N/A</v>
      </c>
      <c r="BE290" s="129" t="str">
        <f>IFERROR(VLOOKUP($D290,UNCTAD!$C$5:$V$529,4,FALSE),"..")</f>
        <v>..</v>
      </c>
      <c r="BF290" s="846" t="str">
        <f t="shared" si="54"/>
        <v>..</v>
      </c>
      <c r="BG290" s="117" t="e">
        <f>VLOOKUP($D290,'WB Data'!$C$3:$M$578,5,FALSE)</f>
        <v>#N/A</v>
      </c>
      <c r="BH290" s="129" t="str">
        <f>IFERROR($BB290/$BG290,"..")</f>
        <v>..</v>
      </c>
      <c r="BI290" s="117" t="str">
        <f>IFERROR(VLOOKUP($D290,'WB Data'!$C$3:$M$578,7,FALSE)/100,"..")</f>
        <v>..</v>
      </c>
      <c r="BJ290" s="117" t="str">
        <f>IFERROR($BI290*$AW290,"..")</f>
        <v>..</v>
      </c>
      <c r="BK290" s="846" t="str">
        <f>IFERROR($BB290/$BJ290,"..")</f>
        <v>..</v>
      </c>
      <c r="BL290" s="117" t="str">
        <f>IFERROR(VLOOKUP($D290,'WB Data'!$C$3:$M$578,7,FALSE)/100,"..")</f>
        <v>..</v>
      </c>
      <c r="BM290" s="117" t="str">
        <f>IFERROR($AW290*$BL290,"..")</f>
        <v>..</v>
      </c>
      <c r="BN290" s="846" t="str">
        <f>IFERROR($BB290/$BM290,"..")</f>
        <v>..</v>
      </c>
      <c r="BO290" s="801" t="str">
        <f t="shared" si="50"/>
        <v>..</v>
      </c>
      <c r="BP290" s="117" t="e">
        <f>VLOOKUP($D290,'WB Data'!$C$3:$M$578,9,FALSE)</f>
        <v>#N/A</v>
      </c>
      <c r="BQ290" s="117" t="e">
        <f>VLOOKUP($D290,'WB Data'!$C$3:$M$578,10,FALSE)</f>
        <v>#N/A</v>
      </c>
      <c r="BR290" s="117" t="e">
        <f>VLOOKUP($D290,'WB Data'!$C$3:$M$578,11,FALSE)</f>
        <v>#N/A</v>
      </c>
      <c r="BS290" s="129" t="str">
        <f>IFERROR(VLOOKUP($D290,'WB Data 2'!$C$2:$K$545,9,FALSE),"..")</f>
        <v>..</v>
      </c>
      <c r="BT290" s="129" t="str">
        <f>_xlfn.IFNA(VLOOKUP($C290,RGI!$A$2:$C$43,2,FALSE),"..")</f>
        <v>..</v>
      </c>
      <c r="BU290" s="129" t="str">
        <f>_xlfn.IFNA(VLOOKUP($C290,RGI!$A$2:$C$43,3,FALSE),"..")</f>
        <v>..</v>
      </c>
      <c r="BV290" s="129" t="e">
        <f>VLOOKUP($D290,WGI!$C$2:$O$478,7,FALSE)</f>
        <v>#N/A</v>
      </c>
      <c r="BW290" s="129" t="e">
        <f>VLOOKUP($D290,WGI!$C$2:$O$478,4,FALSE)</f>
        <v>#N/A</v>
      </c>
      <c r="BX290" s="129" t="e">
        <f>VLOOKUP($D290,WGI!$C$2:$O$478,3,FALSE)</f>
        <v>#N/A</v>
      </c>
      <c r="BY290" s="129" t="e">
        <f>VLOOKUP($D290,WGI!$C$2:$O$478,5,FALSE)</f>
        <v>#N/A</v>
      </c>
      <c r="BZ290" s="129" t="e">
        <f>VLOOKUP($D290,WGI!$C$2:$O$478,2,FALSE)</f>
        <v>#N/A</v>
      </c>
    </row>
    <row r="291" spans="1:80" ht="15" customHeight="1">
      <c r="A291" s="294" t="s">
        <v>163</v>
      </c>
      <c r="B291" s="117">
        <v>2010</v>
      </c>
      <c r="C291" s="132" t="s">
        <v>3791</v>
      </c>
      <c r="D291" s="117" t="s">
        <v>3796</v>
      </c>
      <c r="E291" s="117" t="s">
        <v>86</v>
      </c>
      <c r="F291" s="117"/>
      <c r="G291" s="117" t="s">
        <v>24</v>
      </c>
      <c r="H291" s="117" t="str">
        <f t="shared" si="44"/>
        <v>yes</v>
      </c>
      <c r="I291" s="117" t="str">
        <f t="shared" si="45"/>
        <v>no</v>
      </c>
      <c r="J291" s="117" t="str">
        <f t="shared" si="46"/>
        <v>no</v>
      </c>
      <c r="K291" s="176" t="s">
        <v>784</v>
      </c>
      <c r="L291" s="117" t="str">
        <f t="shared" si="49"/>
        <v>detailed</v>
      </c>
      <c r="M291" s="117" t="str">
        <f t="shared" si="47"/>
        <v>detailed Mining</v>
      </c>
      <c r="N291" s="179">
        <f>5310*32.150743126506</f>
        <v>170720.44600174687</v>
      </c>
      <c r="O291" s="179"/>
      <c r="P291" s="179">
        <v>160753</v>
      </c>
      <c r="Q291" s="179"/>
      <c r="R291" s="179"/>
      <c r="S291" s="117" t="s">
        <v>785</v>
      </c>
      <c r="T291" s="119">
        <v>1224.66425</v>
      </c>
      <c r="U291" s="117" t="s">
        <v>786</v>
      </c>
      <c r="V291" s="117" t="s">
        <v>787</v>
      </c>
      <c r="W291" s="89">
        <f>P291*T291</f>
        <v>196868452.18025002</v>
      </c>
      <c r="X291" s="117"/>
      <c r="Y291" s="117"/>
      <c r="Z291" s="117"/>
      <c r="AA291" s="177"/>
      <c r="AB291" s="177"/>
      <c r="AC291" s="122"/>
      <c r="AD291" s="122"/>
      <c r="AE291" s="122"/>
      <c r="AF291" s="123"/>
      <c r="AG291" s="117"/>
      <c r="AH291" s="124"/>
      <c r="AI291" s="117"/>
      <c r="AJ291" s="177"/>
      <c r="AK291" s="89"/>
      <c r="AL291" s="117"/>
      <c r="AM291" s="117"/>
      <c r="AN291" s="117"/>
      <c r="AO291" s="117"/>
      <c r="AP291" s="117"/>
      <c r="AQ291" s="117"/>
      <c r="AR291" s="126"/>
      <c r="AS291" s="117"/>
      <c r="AT291" s="117"/>
      <c r="AU291" s="117"/>
      <c r="AV291" s="128"/>
      <c r="AW291" s="117" t="e">
        <f>VLOOKUP($D291,'WB Data'!$C$3:$M$578,2,FALSE)</f>
        <v>#N/A</v>
      </c>
      <c r="AX291" s="117" t="e">
        <f>VLOOKUP($D291,'WB Data'!$C$3:$M$578,3,FALSE)</f>
        <v>#N/A</v>
      </c>
      <c r="AY291" s="847" t="str">
        <f t="shared" si="51"/>
        <v>..</v>
      </c>
      <c r="AZ291" s="117" t="e">
        <f>VLOOKUP($D291,'WB Data'!$C$3:$M$578,4,FALSE)/100</f>
        <v>#N/A</v>
      </c>
      <c r="BA291" s="117" t="str">
        <f t="shared" si="52"/>
        <v>..</v>
      </c>
      <c r="BB291" s="129" t="str">
        <f>IFERROR(VLOOKUP($D291,'EITI Revenues'!$C$2:$G$224,5,FALSE),"..")</f>
        <v>..</v>
      </c>
      <c r="BC291" s="846" t="str">
        <f t="shared" si="53"/>
        <v>..</v>
      </c>
      <c r="BD291" s="129" t="e">
        <f>VLOOKUP($D291,'WB Data 2'!$C$2:$K$545,6,FALSE)</f>
        <v>#N/A</v>
      </c>
      <c r="BE291" s="129" t="str">
        <f>IFERROR(VLOOKUP($D291,UNCTAD!$C$5:$V$529,4,FALSE),"..")</f>
        <v>..</v>
      </c>
      <c r="BF291" s="846" t="str">
        <f t="shared" si="54"/>
        <v>..</v>
      </c>
      <c r="BG291" s="117" t="e">
        <f>VLOOKUP($D291,'WB Data'!$C$3:$M$578,5,FALSE)</f>
        <v>#N/A</v>
      </c>
      <c r="BH291" s="129" t="str">
        <f>IFERROR($BB291/$BG291,"..")</f>
        <v>..</v>
      </c>
      <c r="BI291" s="117" t="str">
        <f>IFERROR(VLOOKUP($D291,'WB Data'!$C$3:$M$578,7,FALSE)/100,"..")</f>
        <v>..</v>
      </c>
      <c r="BJ291" s="117" t="str">
        <f>IFERROR($BI291*$AW291,"..")</f>
        <v>..</v>
      </c>
      <c r="BK291" s="846" t="str">
        <f>IFERROR($BB291/$BJ291,"..")</f>
        <v>..</v>
      </c>
      <c r="BL291" s="117" t="str">
        <f>IFERROR(VLOOKUP($D291,'WB Data'!$C$3:$M$578,7,FALSE)/100,"..")</f>
        <v>..</v>
      </c>
      <c r="BM291" s="117" t="str">
        <f>IFERROR($AW291*$BL291,"..")</f>
        <v>..</v>
      </c>
      <c r="BN291" s="846" t="str">
        <f>IFERROR($BB291/$BM291,"..")</f>
        <v>..</v>
      </c>
      <c r="BO291" s="801" t="str">
        <f t="shared" si="50"/>
        <v>..</v>
      </c>
      <c r="BP291" s="117" t="e">
        <f>VLOOKUP($D291,'WB Data'!$C$3:$M$578,9,FALSE)</f>
        <v>#N/A</v>
      </c>
      <c r="BQ291" s="117" t="e">
        <f>VLOOKUP($D291,'WB Data'!$C$3:$M$578,10,FALSE)</f>
        <v>#N/A</v>
      </c>
      <c r="BR291" s="117" t="e">
        <f>VLOOKUP($D291,'WB Data'!$C$3:$M$578,11,FALSE)</f>
        <v>#N/A</v>
      </c>
      <c r="BS291" s="129" t="str">
        <f>IFERROR(VLOOKUP($D291,'WB Data 2'!$C$2:$K$545,9,FALSE),"..")</f>
        <v>..</v>
      </c>
      <c r="BT291" s="129" t="str">
        <f>_xlfn.IFNA(VLOOKUP($C291,RGI!$A$2:$C$43,2,FALSE),"..")</f>
        <v>..</v>
      </c>
      <c r="BU291" s="129" t="str">
        <f>_xlfn.IFNA(VLOOKUP($C291,RGI!$A$2:$C$43,3,FALSE),"..")</f>
        <v>..</v>
      </c>
      <c r="BV291" s="129" t="e">
        <f>VLOOKUP($D291,WGI!$C$2:$O$478,7,FALSE)</f>
        <v>#N/A</v>
      </c>
      <c r="BW291" s="129" t="e">
        <f>VLOOKUP($D291,WGI!$C$2:$O$478,4,FALSE)</f>
        <v>#N/A</v>
      </c>
      <c r="BX291" s="129" t="e">
        <f>VLOOKUP($D291,WGI!$C$2:$O$478,3,FALSE)</f>
        <v>#N/A</v>
      </c>
      <c r="BY291" s="129" t="e">
        <f>VLOOKUP($D291,WGI!$C$2:$O$478,5,FALSE)</f>
        <v>#N/A</v>
      </c>
      <c r="BZ291" s="129" t="e">
        <f>VLOOKUP($D291,WGI!$C$2:$O$478,2,FALSE)</f>
        <v>#N/A</v>
      </c>
    </row>
    <row r="292" spans="1:80" ht="15" customHeight="1">
      <c r="A292" s="294" t="s">
        <v>163</v>
      </c>
      <c r="B292" s="117">
        <v>2010</v>
      </c>
      <c r="C292" s="132" t="s">
        <v>3791</v>
      </c>
      <c r="D292" s="117" t="s">
        <v>3796</v>
      </c>
      <c r="E292" s="117" t="s">
        <v>86</v>
      </c>
      <c r="F292" s="117"/>
      <c r="G292" s="117" t="s">
        <v>24</v>
      </c>
      <c r="H292" s="117" t="str">
        <f t="shared" si="44"/>
        <v>yes</v>
      </c>
      <c r="I292" s="117" t="str">
        <f t="shared" si="45"/>
        <v>no</v>
      </c>
      <c r="J292" s="117" t="str">
        <f t="shared" si="46"/>
        <v>no</v>
      </c>
      <c r="K292" s="176" t="s">
        <v>843</v>
      </c>
      <c r="L292" s="117" t="str">
        <f t="shared" si="49"/>
        <v>detailed</v>
      </c>
      <c r="M292" s="117" t="str">
        <f t="shared" si="47"/>
        <v>detailed Mining</v>
      </c>
      <c r="N292" s="179"/>
      <c r="O292" s="179"/>
      <c r="P292" s="179">
        <v>70000</v>
      </c>
      <c r="Q292" s="179"/>
      <c r="R292" s="179"/>
      <c r="S292" s="117" t="s">
        <v>610</v>
      </c>
      <c r="T292" s="119">
        <v>9.64</v>
      </c>
      <c r="U292" s="117" t="s">
        <v>611</v>
      </c>
      <c r="V292" s="117" t="s">
        <v>844</v>
      </c>
      <c r="W292" s="89">
        <f>N294*T292</f>
        <v>379141.2</v>
      </c>
      <c r="X292" s="117"/>
      <c r="Y292" s="117"/>
      <c r="Z292" s="117"/>
      <c r="AA292" s="177"/>
      <c r="AB292" s="177"/>
      <c r="AC292" s="122"/>
      <c r="AD292" s="122"/>
      <c r="AE292" s="122"/>
      <c r="AF292" s="123"/>
      <c r="AG292" s="117"/>
      <c r="AH292" s="124"/>
      <c r="AI292" s="117"/>
      <c r="AJ292" s="177"/>
      <c r="AK292" s="89"/>
      <c r="AL292" s="117"/>
      <c r="AM292" s="117"/>
      <c r="AN292" s="117"/>
      <c r="AO292" s="117"/>
      <c r="AP292" s="117"/>
      <c r="AQ292" s="117"/>
      <c r="AR292" s="126"/>
      <c r="AS292" s="117"/>
      <c r="AT292" s="117"/>
      <c r="AU292" s="117"/>
      <c r="AV292" s="128"/>
      <c r="AW292" s="117" t="e">
        <f>VLOOKUP($D292,'WB Data'!$C$3:$M$578,2,FALSE)</f>
        <v>#N/A</v>
      </c>
      <c r="AX292" s="117" t="e">
        <f>VLOOKUP($D292,'WB Data'!$C$3:$M$578,3,FALSE)</f>
        <v>#N/A</v>
      </c>
      <c r="AY292" s="847" t="str">
        <f t="shared" si="51"/>
        <v>..</v>
      </c>
      <c r="AZ292" s="117" t="e">
        <f>VLOOKUP($D292,'WB Data'!$C$3:$M$578,4,FALSE)/100</f>
        <v>#N/A</v>
      </c>
      <c r="BA292" s="117" t="str">
        <f t="shared" si="52"/>
        <v>..</v>
      </c>
      <c r="BB292" s="129" t="str">
        <f>IFERROR(VLOOKUP($D292,'EITI Revenues'!$C$2:$G$224,5,FALSE),"..")</f>
        <v>..</v>
      </c>
      <c r="BC292" s="846" t="str">
        <f t="shared" si="53"/>
        <v>..</v>
      </c>
      <c r="BD292" s="129" t="e">
        <f>VLOOKUP($D292,'WB Data 2'!$C$2:$K$545,6,FALSE)</f>
        <v>#N/A</v>
      </c>
      <c r="BE292" s="129" t="str">
        <f>IFERROR(VLOOKUP($D292,UNCTAD!$C$5:$V$529,4,FALSE),"..")</f>
        <v>..</v>
      </c>
      <c r="BF292" s="846" t="str">
        <f t="shared" si="54"/>
        <v>..</v>
      </c>
      <c r="BG292" s="117" t="e">
        <f>VLOOKUP($D292,'WB Data'!$C$3:$M$578,5,FALSE)</f>
        <v>#N/A</v>
      </c>
      <c r="BH292" s="129" t="str">
        <f>IFERROR($BB292/$BG292,"..")</f>
        <v>..</v>
      </c>
      <c r="BI292" s="117" t="str">
        <f>IFERROR(VLOOKUP($D292,'WB Data'!$C$3:$M$578,7,FALSE)/100,"..")</f>
        <v>..</v>
      </c>
      <c r="BJ292" s="117" t="str">
        <f>IFERROR($BI292*$AW292,"..")</f>
        <v>..</v>
      </c>
      <c r="BK292" s="846" t="str">
        <f>IFERROR($BB292/$BJ292,"..")</f>
        <v>..</v>
      </c>
      <c r="BL292" s="117" t="str">
        <f>IFERROR(VLOOKUP($D292,'WB Data'!$C$3:$M$578,7,FALSE)/100,"..")</f>
        <v>..</v>
      </c>
      <c r="BM292" s="117" t="str">
        <f>IFERROR($AW292*$BL292,"..")</f>
        <v>..</v>
      </c>
      <c r="BN292" s="846" t="str">
        <f>IFERROR($BB292/$BM292,"..")</f>
        <v>..</v>
      </c>
      <c r="BO292" s="801" t="str">
        <f t="shared" si="50"/>
        <v>..</v>
      </c>
      <c r="BP292" s="117" t="e">
        <f>VLOOKUP($D292,'WB Data'!$C$3:$M$578,9,FALSE)</f>
        <v>#N/A</v>
      </c>
      <c r="BQ292" s="117" t="e">
        <f>VLOOKUP($D292,'WB Data'!$C$3:$M$578,10,FALSE)</f>
        <v>#N/A</v>
      </c>
      <c r="BR292" s="117" t="e">
        <f>VLOOKUP($D292,'WB Data'!$C$3:$M$578,11,FALSE)</f>
        <v>#N/A</v>
      </c>
      <c r="BS292" s="129" t="str">
        <f>IFERROR(VLOOKUP($D292,'WB Data 2'!$C$2:$K$545,9,FALSE),"..")</f>
        <v>..</v>
      </c>
      <c r="BT292" s="129" t="str">
        <f>_xlfn.IFNA(VLOOKUP($C292,RGI!$A$2:$C$43,2,FALSE),"..")</f>
        <v>..</v>
      </c>
      <c r="BU292" s="129" t="str">
        <f>_xlfn.IFNA(VLOOKUP($C292,RGI!$A$2:$C$43,3,FALSE),"..")</f>
        <v>..</v>
      </c>
      <c r="BV292" s="129" t="e">
        <f>VLOOKUP($D292,WGI!$C$2:$O$478,7,FALSE)</f>
        <v>#N/A</v>
      </c>
      <c r="BW292" s="129" t="e">
        <f>VLOOKUP($D292,WGI!$C$2:$O$478,4,FALSE)</f>
        <v>#N/A</v>
      </c>
      <c r="BX292" s="129" t="e">
        <f>VLOOKUP($D292,WGI!$C$2:$O$478,3,FALSE)</f>
        <v>#N/A</v>
      </c>
      <c r="BY292" s="129" t="e">
        <f>VLOOKUP($D292,WGI!$C$2:$O$478,5,FALSE)</f>
        <v>#N/A</v>
      </c>
      <c r="BZ292" s="129" t="e">
        <f>VLOOKUP($D292,WGI!$C$2:$O$478,2,FALSE)</f>
        <v>#N/A</v>
      </c>
    </row>
    <row r="293" spans="1:80" ht="15" customHeight="1">
      <c r="A293" s="294" t="s">
        <v>163</v>
      </c>
      <c r="B293" s="117">
        <v>2010</v>
      </c>
      <c r="C293" s="132" t="s">
        <v>3791</v>
      </c>
      <c r="D293" s="117" t="s">
        <v>3796</v>
      </c>
      <c r="E293" s="117" t="s">
        <v>86</v>
      </c>
      <c r="F293" s="117"/>
      <c r="G293" s="117" t="s">
        <v>24</v>
      </c>
      <c r="H293" s="117" t="str">
        <f t="shared" si="44"/>
        <v>yes</v>
      </c>
      <c r="I293" s="117" t="str">
        <f t="shared" si="45"/>
        <v>no</v>
      </c>
      <c r="J293" s="117" t="str">
        <f t="shared" si="46"/>
        <v>no</v>
      </c>
      <c r="K293" s="176" t="s">
        <v>1038</v>
      </c>
      <c r="L293" s="117" t="str">
        <f t="shared" si="49"/>
        <v>detailed</v>
      </c>
      <c r="M293" s="117" t="str">
        <f t="shared" si="47"/>
        <v>detailed Mining</v>
      </c>
      <c r="N293" s="179">
        <v>87400</v>
      </c>
      <c r="O293" s="179"/>
      <c r="P293" s="179"/>
      <c r="Q293" s="179"/>
      <c r="R293" s="179"/>
      <c r="S293" s="117" t="s">
        <v>610</v>
      </c>
      <c r="T293" s="119"/>
      <c r="U293" s="117"/>
      <c r="V293" s="117" t="s">
        <v>684</v>
      </c>
      <c r="W293" s="89"/>
      <c r="X293" s="117"/>
      <c r="Y293" s="117"/>
      <c r="Z293" s="117"/>
      <c r="AA293" s="177"/>
      <c r="AB293" s="177"/>
      <c r="AC293" s="122"/>
      <c r="AD293" s="122"/>
      <c r="AE293" s="122"/>
      <c r="AF293" s="123"/>
      <c r="AG293" s="117"/>
      <c r="AH293" s="124"/>
      <c r="AI293" s="117"/>
      <c r="AJ293" s="177"/>
      <c r="AK293" s="89"/>
      <c r="AL293" s="117"/>
      <c r="AM293" s="117"/>
      <c r="AN293" s="117"/>
      <c r="AO293" s="117"/>
      <c r="AP293" s="117"/>
      <c r="AQ293" s="117"/>
      <c r="AR293" s="126"/>
      <c r="AS293" s="117"/>
      <c r="AT293" s="117"/>
      <c r="AU293" s="117"/>
      <c r="AV293" s="128"/>
      <c r="AW293" s="117" t="e">
        <f>VLOOKUP($D293,'WB Data'!$C$3:$M$578,2,FALSE)</f>
        <v>#N/A</v>
      </c>
      <c r="AX293" s="117" t="e">
        <f>VLOOKUP($D293,'WB Data'!$C$3:$M$578,3,FALSE)</f>
        <v>#N/A</v>
      </c>
      <c r="AY293" s="847" t="str">
        <f t="shared" si="51"/>
        <v>..</v>
      </c>
      <c r="AZ293" s="117" t="e">
        <f>VLOOKUP($D293,'WB Data'!$C$3:$M$578,4,FALSE)/100</f>
        <v>#N/A</v>
      </c>
      <c r="BA293" s="117" t="str">
        <f t="shared" si="52"/>
        <v>..</v>
      </c>
      <c r="BB293" s="129" t="str">
        <f>IFERROR(VLOOKUP($D293,'EITI Revenues'!$C$2:$G$224,5,FALSE),"..")</f>
        <v>..</v>
      </c>
      <c r="BC293" s="846" t="str">
        <f t="shared" si="53"/>
        <v>..</v>
      </c>
      <c r="BD293" s="129" t="e">
        <f>VLOOKUP($D293,'WB Data 2'!$C$2:$K$545,6,FALSE)</f>
        <v>#N/A</v>
      </c>
      <c r="BE293" s="129" t="str">
        <f>IFERROR(VLOOKUP($D293,UNCTAD!$C$5:$V$529,4,FALSE),"..")</f>
        <v>..</v>
      </c>
      <c r="BF293" s="846" t="str">
        <f t="shared" si="54"/>
        <v>..</v>
      </c>
      <c r="BG293" s="117" t="e">
        <f>VLOOKUP($D293,'WB Data'!$C$3:$M$578,5,FALSE)</f>
        <v>#N/A</v>
      </c>
      <c r="BH293" s="129" t="str">
        <f>IFERROR($BB293/$BG293,"..")</f>
        <v>..</v>
      </c>
      <c r="BI293" s="117" t="str">
        <f>IFERROR(VLOOKUP($D293,'WB Data'!$C$3:$M$578,7,FALSE)/100,"..")</f>
        <v>..</v>
      </c>
      <c r="BJ293" s="117" t="str">
        <f>IFERROR($BI293*$AW293,"..")</f>
        <v>..</v>
      </c>
      <c r="BK293" s="846" t="str">
        <f>IFERROR($BB293/$BJ293,"..")</f>
        <v>..</v>
      </c>
      <c r="BL293" s="117" t="str">
        <f>IFERROR(VLOOKUP($D293,'WB Data'!$C$3:$M$578,7,FALSE)/100,"..")</f>
        <v>..</v>
      </c>
      <c r="BM293" s="117" t="str">
        <f>IFERROR($AW293*$BL293,"..")</f>
        <v>..</v>
      </c>
      <c r="BN293" s="846" t="str">
        <f>IFERROR($BB293/$BM293,"..")</f>
        <v>..</v>
      </c>
      <c r="BO293" s="801" t="str">
        <f t="shared" si="50"/>
        <v>..</v>
      </c>
      <c r="BP293" s="117" t="e">
        <f>VLOOKUP($D293,'WB Data'!$C$3:$M$578,9,FALSE)</f>
        <v>#N/A</v>
      </c>
      <c r="BQ293" s="117" t="e">
        <f>VLOOKUP($D293,'WB Data'!$C$3:$M$578,10,FALSE)</f>
        <v>#N/A</v>
      </c>
      <c r="BR293" s="117" t="e">
        <f>VLOOKUP($D293,'WB Data'!$C$3:$M$578,11,FALSE)</f>
        <v>#N/A</v>
      </c>
      <c r="BS293" s="129" t="str">
        <f>IFERROR(VLOOKUP($D293,'WB Data 2'!$C$2:$K$545,9,FALSE),"..")</f>
        <v>..</v>
      </c>
      <c r="BT293" s="129" t="str">
        <f>_xlfn.IFNA(VLOOKUP($C293,RGI!$A$2:$C$43,2,FALSE),"..")</f>
        <v>..</v>
      </c>
      <c r="BU293" s="129" t="str">
        <f>_xlfn.IFNA(VLOOKUP($C293,RGI!$A$2:$C$43,3,FALSE),"..")</f>
        <v>..</v>
      </c>
      <c r="BV293" s="129" t="e">
        <f>VLOOKUP($D293,WGI!$C$2:$O$478,7,FALSE)</f>
        <v>#N/A</v>
      </c>
      <c r="BW293" s="129" t="e">
        <f>VLOOKUP($D293,WGI!$C$2:$O$478,4,FALSE)</f>
        <v>#N/A</v>
      </c>
      <c r="BX293" s="129" t="e">
        <f>VLOOKUP($D293,WGI!$C$2:$O$478,3,FALSE)</f>
        <v>#N/A</v>
      </c>
      <c r="BY293" s="129" t="e">
        <f>VLOOKUP($D293,WGI!$C$2:$O$478,5,FALSE)</f>
        <v>#N/A</v>
      </c>
      <c r="BZ293" s="129" t="e">
        <f>VLOOKUP($D293,WGI!$C$2:$O$478,2,FALSE)</f>
        <v>#N/A</v>
      </c>
    </row>
    <row r="294" spans="1:80" ht="15" customHeight="1">
      <c r="A294" s="294" t="s">
        <v>163</v>
      </c>
      <c r="B294" s="117">
        <v>2010</v>
      </c>
      <c r="C294" s="132" t="s">
        <v>3791</v>
      </c>
      <c r="D294" s="117" t="s">
        <v>3796</v>
      </c>
      <c r="E294" s="117" t="s">
        <v>86</v>
      </c>
      <c r="F294" s="117"/>
      <c r="G294" s="117" t="s">
        <v>24</v>
      </c>
      <c r="H294" s="117" t="str">
        <f t="shared" si="44"/>
        <v>yes</v>
      </c>
      <c r="I294" s="117" t="str">
        <f t="shared" si="45"/>
        <v>no</v>
      </c>
      <c r="J294" s="117" t="str">
        <f t="shared" si="46"/>
        <v>no</v>
      </c>
      <c r="K294" s="176" t="s">
        <v>848</v>
      </c>
      <c r="L294" s="117" t="str">
        <f t="shared" si="49"/>
        <v>detailed</v>
      </c>
      <c r="M294" s="117" t="str">
        <f t="shared" si="47"/>
        <v>detailed Mining</v>
      </c>
      <c r="N294" s="179">
        <v>39330</v>
      </c>
      <c r="O294" s="179"/>
      <c r="P294" s="179"/>
      <c r="Q294" s="179"/>
      <c r="R294" s="179"/>
      <c r="S294" s="117" t="s">
        <v>610</v>
      </c>
      <c r="T294" s="119"/>
      <c r="U294" s="117"/>
      <c r="V294" s="117" t="s">
        <v>684</v>
      </c>
      <c r="W294" s="89"/>
      <c r="X294" s="117"/>
      <c r="Y294" s="117"/>
      <c r="Z294" s="117"/>
      <c r="AA294" s="177"/>
      <c r="AB294" s="177"/>
      <c r="AC294" s="122"/>
      <c r="AD294" s="122"/>
      <c r="AE294" s="122"/>
      <c r="AF294" s="123"/>
      <c r="AG294" s="117"/>
      <c r="AH294" s="124"/>
      <c r="AI294" s="117"/>
      <c r="AJ294" s="177"/>
      <c r="AK294" s="89"/>
      <c r="AL294" s="117"/>
      <c r="AM294" s="117"/>
      <c r="AN294" s="117"/>
      <c r="AO294" s="117"/>
      <c r="AP294" s="117"/>
      <c r="AQ294" s="117"/>
      <c r="AR294" s="126"/>
      <c r="AS294" s="117"/>
      <c r="AT294" s="117"/>
      <c r="AU294" s="117"/>
      <c r="AV294" s="128"/>
      <c r="AW294" s="117" t="e">
        <f>VLOOKUP($D294,'WB Data'!$C$3:$M$578,2,FALSE)</f>
        <v>#N/A</v>
      </c>
      <c r="AX294" s="117" t="e">
        <f>VLOOKUP($D294,'WB Data'!$C$3:$M$578,3,FALSE)</f>
        <v>#N/A</v>
      </c>
      <c r="AY294" s="847" t="str">
        <f t="shared" si="51"/>
        <v>..</v>
      </c>
      <c r="AZ294" s="117" t="e">
        <f>VLOOKUP($D294,'WB Data'!$C$3:$M$578,4,FALSE)/100</f>
        <v>#N/A</v>
      </c>
      <c r="BA294" s="117" t="str">
        <f t="shared" si="52"/>
        <v>..</v>
      </c>
      <c r="BB294" s="129" t="str">
        <f>IFERROR(VLOOKUP($D294,'EITI Revenues'!$C$2:$G$224,5,FALSE),"..")</f>
        <v>..</v>
      </c>
      <c r="BC294" s="846" t="str">
        <f t="shared" si="53"/>
        <v>..</v>
      </c>
      <c r="BD294" s="129" t="e">
        <f>VLOOKUP($D294,'WB Data 2'!$C$2:$K$545,6,FALSE)</f>
        <v>#N/A</v>
      </c>
      <c r="BE294" s="129" t="str">
        <f>IFERROR(VLOOKUP($D294,UNCTAD!$C$5:$V$529,4,FALSE),"..")</f>
        <v>..</v>
      </c>
      <c r="BF294" s="846" t="str">
        <f t="shared" si="54"/>
        <v>..</v>
      </c>
      <c r="BG294" s="117" t="e">
        <f>VLOOKUP($D294,'WB Data'!$C$3:$M$578,5,FALSE)</f>
        <v>#N/A</v>
      </c>
      <c r="BH294" s="129" t="str">
        <f>IFERROR($BB294/$BG294,"..")</f>
        <v>..</v>
      </c>
      <c r="BI294" s="117" t="str">
        <f>IFERROR(VLOOKUP($D294,'WB Data'!$C$3:$M$578,7,FALSE)/100,"..")</f>
        <v>..</v>
      </c>
      <c r="BJ294" s="117" t="str">
        <f>IFERROR($BI294*$AW294,"..")</f>
        <v>..</v>
      </c>
      <c r="BK294" s="846" t="str">
        <f>IFERROR($BB294/$BJ294,"..")</f>
        <v>..</v>
      </c>
      <c r="BL294" s="117" t="str">
        <f>IFERROR(VLOOKUP($D294,'WB Data'!$C$3:$M$578,7,FALSE)/100,"..")</f>
        <v>..</v>
      </c>
      <c r="BM294" s="117" t="str">
        <f>IFERROR($AW294*$BL294,"..")</f>
        <v>..</v>
      </c>
      <c r="BN294" s="846" t="str">
        <f>IFERROR($BB294/$BM294,"..")</f>
        <v>..</v>
      </c>
      <c r="BO294" s="801" t="str">
        <f t="shared" si="50"/>
        <v>..</v>
      </c>
      <c r="BP294" s="117" t="e">
        <f>VLOOKUP($D294,'WB Data'!$C$3:$M$578,9,FALSE)</f>
        <v>#N/A</v>
      </c>
      <c r="BQ294" s="117" t="e">
        <f>VLOOKUP($D294,'WB Data'!$C$3:$M$578,10,FALSE)</f>
        <v>#N/A</v>
      </c>
      <c r="BR294" s="117" t="e">
        <f>VLOOKUP($D294,'WB Data'!$C$3:$M$578,11,FALSE)</f>
        <v>#N/A</v>
      </c>
      <c r="BS294" s="129" t="str">
        <f>IFERROR(VLOOKUP($D294,'WB Data 2'!$C$2:$K$545,9,FALSE),"..")</f>
        <v>..</v>
      </c>
      <c r="BT294" s="129" t="str">
        <f>_xlfn.IFNA(VLOOKUP($C294,RGI!$A$2:$C$43,2,FALSE),"..")</f>
        <v>..</v>
      </c>
      <c r="BU294" s="129" t="str">
        <f>_xlfn.IFNA(VLOOKUP($C294,RGI!$A$2:$C$43,3,FALSE),"..")</f>
        <v>..</v>
      </c>
      <c r="BV294" s="129" t="e">
        <f>VLOOKUP($D294,WGI!$C$2:$O$478,7,FALSE)</f>
        <v>#N/A</v>
      </c>
      <c r="BW294" s="129" t="e">
        <f>VLOOKUP($D294,WGI!$C$2:$O$478,4,FALSE)</f>
        <v>#N/A</v>
      </c>
      <c r="BX294" s="129" t="e">
        <f>VLOOKUP($D294,WGI!$C$2:$O$478,3,FALSE)</f>
        <v>#N/A</v>
      </c>
      <c r="BY294" s="129" t="e">
        <f>VLOOKUP($D294,WGI!$C$2:$O$478,5,FALSE)</f>
        <v>#N/A</v>
      </c>
      <c r="BZ294" s="129" t="e">
        <f>VLOOKUP($D294,WGI!$C$2:$O$478,2,FALSE)</f>
        <v>#N/A</v>
      </c>
    </row>
    <row r="295" spans="1:80" s="144" customFormat="1" ht="15" customHeight="1">
      <c r="A295" s="296" t="s">
        <v>165</v>
      </c>
      <c r="B295" s="132">
        <v>2011</v>
      </c>
      <c r="C295" s="132" t="s">
        <v>3791</v>
      </c>
      <c r="D295" s="117" t="s">
        <v>3797</v>
      </c>
      <c r="E295" s="132" t="s">
        <v>86</v>
      </c>
      <c r="F295" s="132" t="s">
        <v>1028</v>
      </c>
      <c r="G295" s="132" t="s">
        <v>35</v>
      </c>
      <c r="H295" s="117" t="str">
        <f t="shared" si="44"/>
        <v>yes</v>
      </c>
      <c r="I295" s="117" t="str">
        <f t="shared" si="45"/>
        <v>yes</v>
      </c>
      <c r="J295" s="117" t="str">
        <f t="shared" si="46"/>
        <v>yes</v>
      </c>
      <c r="K295" s="182" t="s">
        <v>709</v>
      </c>
      <c r="L295" s="117" t="str">
        <f t="shared" si="49"/>
        <v>Total</v>
      </c>
      <c r="M295" s="117" t="str">
        <f t="shared" si="47"/>
        <v>Total Oil, Gas, Mining</v>
      </c>
      <c r="N295" s="238"/>
      <c r="O295" s="238"/>
      <c r="P295" s="238"/>
      <c r="Q295" s="238"/>
      <c r="R295" s="238"/>
      <c r="S295" s="132"/>
      <c r="T295" s="134"/>
      <c r="U295" s="132"/>
      <c r="V295" s="132"/>
      <c r="W295" s="135">
        <f>W296+W299</f>
        <v>2356429709.994287</v>
      </c>
      <c r="X295" s="132" t="s">
        <v>1045</v>
      </c>
      <c r="Y295" s="132" t="s">
        <v>663</v>
      </c>
      <c r="Z295" s="132" t="s">
        <v>664</v>
      </c>
      <c r="AA295" s="345">
        <v>389368836.09803921</v>
      </c>
      <c r="AB295" s="345">
        <v>397882411.3509804</v>
      </c>
      <c r="AC295" s="138"/>
      <c r="AD295" s="138"/>
      <c r="AE295" s="138"/>
      <c r="AF295" s="139">
        <f>AA295/W295</f>
        <v>0.16523677088546945</v>
      </c>
      <c r="AG295" s="132" t="s">
        <v>836</v>
      </c>
      <c r="AH295" s="140">
        <v>510</v>
      </c>
      <c r="AI295" s="132" t="s">
        <v>667</v>
      </c>
      <c r="AJ295" s="160"/>
      <c r="AK295" s="135"/>
      <c r="AL295" s="132"/>
      <c r="AM295" s="132"/>
      <c r="AN295" s="132">
        <v>35</v>
      </c>
      <c r="AO295" s="132" t="s">
        <v>1046</v>
      </c>
      <c r="AP295" s="132">
        <v>34</v>
      </c>
      <c r="AQ295" s="346">
        <v>41365</v>
      </c>
      <c r="AR295" s="141">
        <v>41949</v>
      </c>
      <c r="AS295" s="132" t="s">
        <v>670</v>
      </c>
      <c r="AT295" s="142" t="s">
        <v>166</v>
      </c>
      <c r="AU295" s="132" t="s">
        <v>1047</v>
      </c>
      <c r="AV295" s="143" t="s">
        <v>1048</v>
      </c>
      <c r="AW295" s="117" t="e">
        <f>VLOOKUP($D295,'WB Data'!$C$3:$M$578,2,FALSE)</f>
        <v>#N/A</v>
      </c>
      <c r="AX295" s="117" t="e">
        <f>VLOOKUP($D295,'WB Data'!$C$3:$M$578,3,FALSE)</f>
        <v>#N/A</v>
      </c>
      <c r="AY295" s="847" t="str">
        <f t="shared" si="51"/>
        <v>..</v>
      </c>
      <c r="AZ295" s="117" t="e">
        <f>VLOOKUP($D295,'WB Data'!$C$3:$M$578,4,FALSE)/100</f>
        <v>#N/A</v>
      </c>
      <c r="BA295" s="117" t="str">
        <f t="shared" si="52"/>
        <v>..</v>
      </c>
      <c r="BB295" s="129" t="str">
        <f>IFERROR(VLOOKUP($D295,'EITI Revenues'!$C$2:$G$224,5,FALSE),"..")</f>
        <v>..</v>
      </c>
      <c r="BC295" s="846" t="str">
        <f t="shared" si="53"/>
        <v>..</v>
      </c>
      <c r="BD295" s="129" t="e">
        <f>VLOOKUP($D295,'WB Data 2'!$C$2:$K$545,6,FALSE)</f>
        <v>#N/A</v>
      </c>
      <c r="BE295" s="129" t="str">
        <f>IFERROR(VLOOKUP($D295,UNCTAD!$C$5:$V$529,4,FALSE),"..")</f>
        <v>..</v>
      </c>
      <c r="BF295" s="846" t="str">
        <f t="shared" si="54"/>
        <v>..</v>
      </c>
      <c r="BG295" s="117" t="e">
        <f>VLOOKUP($D295,'WB Data'!$C$3:$M$578,5,FALSE)</f>
        <v>#N/A</v>
      </c>
      <c r="BH295" s="129" t="str">
        <f>IFERROR($BB295/$BG295,"..")</f>
        <v>..</v>
      </c>
      <c r="BI295" s="117" t="str">
        <f>IFERROR(VLOOKUP($D295,'WB Data'!$C$3:$M$578,7,FALSE)/100,"..")</f>
        <v>..</v>
      </c>
      <c r="BJ295" s="117" t="str">
        <f>IFERROR($BI295*$AW295,"..")</f>
        <v>..</v>
      </c>
      <c r="BK295" s="846" t="str">
        <f>IFERROR($BB295/$BJ295,"..")</f>
        <v>..</v>
      </c>
      <c r="BL295" s="117" t="str">
        <f>IFERROR(VLOOKUP($D295,'WB Data'!$C$3:$M$578,7,FALSE)/100,"..")</f>
        <v>..</v>
      </c>
      <c r="BM295" s="117" t="str">
        <f>IFERROR($AW295*$BL295,"..")</f>
        <v>..</v>
      </c>
      <c r="BN295" s="846" t="str">
        <f>IFERROR($BB295/$BM295,"..")</f>
        <v>..</v>
      </c>
      <c r="BO295" s="801" t="str">
        <f t="shared" si="50"/>
        <v>..</v>
      </c>
      <c r="BP295" s="117" t="e">
        <f>VLOOKUP($D295,'WB Data'!$C$3:$M$578,9,FALSE)</f>
        <v>#N/A</v>
      </c>
      <c r="BQ295" s="117" t="e">
        <f>VLOOKUP($D295,'WB Data'!$C$3:$M$578,10,FALSE)</f>
        <v>#N/A</v>
      </c>
      <c r="BR295" s="117" t="e">
        <f>VLOOKUP($D295,'WB Data'!$C$3:$M$578,11,FALSE)</f>
        <v>#N/A</v>
      </c>
      <c r="BS295" s="129" t="str">
        <f>IFERROR(VLOOKUP($D295,'WB Data 2'!$C$2:$K$545,9,FALSE),"..")</f>
        <v>..</v>
      </c>
      <c r="BT295" s="129" t="str">
        <f>_xlfn.IFNA(VLOOKUP($C295,RGI!$A$2:$C$43,2,FALSE),"..")</f>
        <v>..</v>
      </c>
      <c r="BU295" s="129" t="str">
        <f>_xlfn.IFNA(VLOOKUP($C295,RGI!$A$2:$C$43,3,FALSE),"..")</f>
        <v>..</v>
      </c>
      <c r="BV295" s="129" t="e">
        <f>VLOOKUP($D295,WGI!$C$2:$O$478,7,FALSE)</f>
        <v>#N/A</v>
      </c>
      <c r="BW295" s="129" t="e">
        <f>VLOOKUP($D295,WGI!$C$2:$O$478,4,FALSE)</f>
        <v>#N/A</v>
      </c>
      <c r="BX295" s="129" t="e">
        <f>VLOOKUP($D295,WGI!$C$2:$O$478,3,FALSE)</f>
        <v>#N/A</v>
      </c>
      <c r="BY295" s="129" t="e">
        <f>VLOOKUP($D295,WGI!$C$2:$O$478,5,FALSE)</f>
        <v>#N/A</v>
      </c>
      <c r="BZ295" s="129" t="e">
        <f>VLOOKUP($D295,WGI!$C$2:$O$478,2,FALSE)</f>
        <v>#N/A</v>
      </c>
      <c r="CB295" s="129"/>
    </row>
    <row r="296" spans="1:80" s="120" customFormat="1" ht="15" customHeight="1">
      <c r="A296" s="294" t="s">
        <v>165</v>
      </c>
      <c r="B296" s="117">
        <v>2011</v>
      </c>
      <c r="C296" s="132" t="s">
        <v>3791</v>
      </c>
      <c r="D296" s="117" t="s">
        <v>3797</v>
      </c>
      <c r="E296" s="117" t="s">
        <v>86</v>
      </c>
      <c r="F296" s="117"/>
      <c r="G296" s="117" t="s">
        <v>55</v>
      </c>
      <c r="H296" s="117" t="str">
        <f t="shared" ref="H296:H359" si="55">IF($G296="Mining","yes",IF($G296="Oil, Gas, Mining","yes",IF($G296="Gas, Mining","yes",IF($G296="Oil, Mining","yes",IF($G296="Oil, Mining, Other","yes","no")))))</f>
        <v>no</v>
      </c>
      <c r="I296" s="117" t="str">
        <f t="shared" ref="I296:I359" si="56">IF($G296="Gas","yes",IF($G296="Oil, Gas, Mining","yes",IF($G296="Gas, Mining","yes",IF($G296="Oil, Gas","yes",IF($G296="Oil, Gas, Other","yes","no")))))</f>
        <v>yes</v>
      </c>
      <c r="J296" s="117" t="str">
        <f t="shared" ref="J296:J359" si="57">IF($G296="Oil","yes",IF($G296="Oil, Gas, Mining","yes",IF($G296="Oil, Mining","yes",IF($G296="Oil, Gas","yes",IF($G296="Oil, Gas, Other","yes","no")))))</f>
        <v>yes</v>
      </c>
      <c r="K296" s="176" t="s">
        <v>640</v>
      </c>
      <c r="L296" s="117" t="str">
        <f t="shared" si="49"/>
        <v>Total</v>
      </c>
      <c r="M296" s="117" t="str">
        <f t="shared" ref="M296:M359" si="58">L296&amp;" "&amp;G296</f>
        <v>Total Oil, Gas</v>
      </c>
      <c r="N296" s="179"/>
      <c r="O296" s="179"/>
      <c r="P296" s="179"/>
      <c r="Q296" s="179"/>
      <c r="R296" s="179"/>
      <c r="S296" s="117"/>
      <c r="T296" s="119"/>
      <c r="U296" s="117"/>
      <c r="V296" s="117"/>
      <c r="W296" s="89">
        <f>SUM(W297:W298)</f>
        <v>1858270377.2353683</v>
      </c>
      <c r="X296" s="117"/>
      <c r="Y296" s="117"/>
      <c r="Z296" s="117"/>
      <c r="AA296" s="177">
        <v>364561103.48039216</v>
      </c>
      <c r="AB296" s="177">
        <v>372266022.58039218</v>
      </c>
      <c r="AC296" s="122"/>
      <c r="AD296" s="122"/>
      <c r="AE296" s="122"/>
      <c r="AF296" s="123">
        <f>AA296/W296</f>
        <v>0.19618302478822591</v>
      </c>
      <c r="AG296" s="117"/>
      <c r="AH296" s="124"/>
      <c r="AI296" s="117"/>
      <c r="AJ296" s="177"/>
      <c r="AK296" s="89"/>
      <c r="AL296" s="117"/>
      <c r="AM296" s="117"/>
      <c r="AN296" s="117"/>
      <c r="AO296" s="117"/>
      <c r="AP296" s="117"/>
      <c r="AQ296" s="117"/>
      <c r="AR296" s="126"/>
      <c r="AS296" s="117"/>
      <c r="AT296" s="117"/>
      <c r="AU296" s="117"/>
      <c r="AV296" s="128" t="s">
        <v>1049</v>
      </c>
      <c r="AW296" s="117" t="e">
        <f>VLOOKUP($D296,'WB Data'!$C$3:$M$578,2,FALSE)</f>
        <v>#N/A</v>
      </c>
      <c r="AX296" s="117" t="e">
        <f>VLOOKUP($D296,'WB Data'!$C$3:$M$578,3,FALSE)</f>
        <v>#N/A</v>
      </c>
      <c r="AY296" s="847" t="str">
        <f t="shared" si="51"/>
        <v>..</v>
      </c>
      <c r="AZ296" s="117" t="e">
        <f>VLOOKUP($D296,'WB Data'!$C$3:$M$578,4,FALSE)/100</f>
        <v>#N/A</v>
      </c>
      <c r="BA296" s="117" t="str">
        <f t="shared" si="52"/>
        <v>..</v>
      </c>
      <c r="BB296" s="129" t="str">
        <f>IFERROR(VLOOKUP($D296,'EITI Revenues'!$C$2:$G$224,5,FALSE),"..")</f>
        <v>..</v>
      </c>
      <c r="BC296" s="846" t="str">
        <f t="shared" si="53"/>
        <v>..</v>
      </c>
      <c r="BD296" s="129" t="e">
        <f>VLOOKUP($D296,'WB Data 2'!$C$2:$K$545,6,FALSE)</f>
        <v>#N/A</v>
      </c>
      <c r="BE296" s="129" t="str">
        <f>IFERROR(VLOOKUP($D296,UNCTAD!$C$5:$V$529,4,FALSE),"..")</f>
        <v>..</v>
      </c>
      <c r="BF296" s="846" t="str">
        <f t="shared" si="54"/>
        <v>..</v>
      </c>
      <c r="BG296" s="117" t="e">
        <f>VLOOKUP($D296,'WB Data'!$C$3:$M$578,5,FALSE)</f>
        <v>#N/A</v>
      </c>
      <c r="BH296" s="129" t="str">
        <f>IFERROR($BB296/$BG296,"..")</f>
        <v>..</v>
      </c>
      <c r="BI296" s="117" t="str">
        <f>IFERROR(VLOOKUP($D296,'WB Data'!$C$3:$M$578,7,FALSE)/100,"..")</f>
        <v>..</v>
      </c>
      <c r="BJ296" s="117" t="str">
        <f>IFERROR($BI296*$AW296,"..")</f>
        <v>..</v>
      </c>
      <c r="BK296" s="846" t="str">
        <f>IFERROR($BB296/$BJ296,"..")</f>
        <v>..</v>
      </c>
      <c r="BL296" s="117" t="str">
        <f>IFERROR(VLOOKUP($D296,'WB Data'!$C$3:$M$578,7,FALSE)/100,"..")</f>
        <v>..</v>
      </c>
      <c r="BM296" s="117" t="str">
        <f>IFERROR($AW296*$BL296,"..")</f>
        <v>..</v>
      </c>
      <c r="BN296" s="846" t="str">
        <f>IFERROR($BB296/$BM296,"..")</f>
        <v>..</v>
      </c>
      <c r="BO296" s="801" t="str">
        <f t="shared" si="50"/>
        <v>..</v>
      </c>
      <c r="BP296" s="117" t="e">
        <f>VLOOKUP($D296,'WB Data'!$C$3:$M$578,9,FALSE)</f>
        <v>#N/A</v>
      </c>
      <c r="BQ296" s="117" t="e">
        <f>VLOOKUP($D296,'WB Data'!$C$3:$M$578,10,FALSE)</f>
        <v>#N/A</v>
      </c>
      <c r="BR296" s="117" t="e">
        <f>VLOOKUP($D296,'WB Data'!$C$3:$M$578,11,FALSE)</f>
        <v>#N/A</v>
      </c>
      <c r="BS296" s="129" t="str">
        <f>IFERROR(VLOOKUP($D296,'WB Data 2'!$C$2:$K$545,9,FALSE),"..")</f>
        <v>..</v>
      </c>
      <c r="BT296" s="129" t="str">
        <f>_xlfn.IFNA(VLOOKUP($C296,RGI!$A$2:$C$43,2,FALSE),"..")</f>
        <v>..</v>
      </c>
      <c r="BU296" s="129" t="str">
        <f>_xlfn.IFNA(VLOOKUP($C296,RGI!$A$2:$C$43,3,FALSE),"..")</f>
        <v>..</v>
      </c>
      <c r="BV296" s="129" t="e">
        <f>VLOOKUP($D296,WGI!$C$2:$O$478,7,FALSE)</f>
        <v>#N/A</v>
      </c>
      <c r="BW296" s="129" t="e">
        <f>VLOOKUP($D296,WGI!$C$2:$O$478,4,FALSE)</f>
        <v>#N/A</v>
      </c>
      <c r="BX296" s="129" t="e">
        <f>VLOOKUP($D296,WGI!$C$2:$O$478,3,FALSE)</f>
        <v>#N/A</v>
      </c>
      <c r="BY296" s="129" t="e">
        <f>VLOOKUP($D296,WGI!$C$2:$O$478,5,FALSE)</f>
        <v>#N/A</v>
      </c>
      <c r="BZ296" s="129" t="e">
        <f>VLOOKUP($D296,WGI!$C$2:$O$478,2,FALSE)</f>
        <v>#N/A</v>
      </c>
      <c r="CB296" s="129"/>
    </row>
    <row r="297" spans="1:80" s="120" customFormat="1" ht="15" customHeight="1">
      <c r="A297" s="294" t="s">
        <v>165</v>
      </c>
      <c r="B297" s="117">
        <v>2011</v>
      </c>
      <c r="C297" s="132" t="s">
        <v>3791</v>
      </c>
      <c r="D297" s="117" t="s">
        <v>3797</v>
      </c>
      <c r="E297" s="117" t="s">
        <v>86</v>
      </c>
      <c r="F297" s="117"/>
      <c r="G297" s="117" t="s">
        <v>561</v>
      </c>
      <c r="H297" s="117" t="str">
        <f t="shared" si="55"/>
        <v>no</v>
      </c>
      <c r="I297" s="117" t="str">
        <f t="shared" si="56"/>
        <v>yes</v>
      </c>
      <c r="J297" s="117" t="str">
        <f t="shared" si="57"/>
        <v>no</v>
      </c>
      <c r="K297" s="176" t="s">
        <v>561</v>
      </c>
      <c r="L297" s="117" t="str">
        <f t="shared" si="49"/>
        <v>detailed</v>
      </c>
      <c r="M297" s="117" t="str">
        <f t="shared" si="58"/>
        <v>detailed Gas</v>
      </c>
      <c r="N297" s="179">
        <f>53000000000*0.0283168</f>
        <v>1500790400</v>
      </c>
      <c r="O297" s="179"/>
      <c r="P297" s="179"/>
      <c r="Q297" s="179"/>
      <c r="R297" s="179"/>
      <c r="S297" s="117" t="s">
        <v>642</v>
      </c>
      <c r="T297" s="119">
        <v>0.19666043794616025</v>
      </c>
      <c r="U297" s="117" t="s">
        <v>643</v>
      </c>
      <c r="V297" s="117" t="s">
        <v>880</v>
      </c>
      <c r="W297" s="89">
        <f>N297*T297</f>
        <v>295146097.32939303</v>
      </c>
      <c r="X297" s="117"/>
      <c r="Y297" s="117"/>
      <c r="Z297" s="117"/>
      <c r="AA297" s="177"/>
      <c r="AB297" s="177"/>
      <c r="AC297" s="122"/>
      <c r="AD297" s="122"/>
      <c r="AE297" s="122"/>
      <c r="AF297" s="123"/>
      <c r="AG297" s="117"/>
      <c r="AH297" s="124"/>
      <c r="AI297" s="117"/>
      <c r="AJ297" s="177">
        <v>1346389800</v>
      </c>
      <c r="AK297" s="89" t="s">
        <v>943</v>
      </c>
      <c r="AL297" s="117"/>
      <c r="AM297" s="117"/>
      <c r="AN297" s="117"/>
      <c r="AO297" s="117"/>
      <c r="AP297" s="117"/>
      <c r="AQ297" s="117"/>
      <c r="AR297" s="117"/>
      <c r="AS297" s="117"/>
      <c r="AT297" s="117"/>
      <c r="AU297" s="117"/>
      <c r="AV297" s="128" t="s">
        <v>1050</v>
      </c>
      <c r="AW297" s="117" t="e">
        <f>VLOOKUP($D297,'WB Data'!$C$3:$M$578,2,FALSE)</f>
        <v>#N/A</v>
      </c>
      <c r="AX297" s="117" t="e">
        <f>VLOOKUP($D297,'WB Data'!$C$3:$M$578,3,FALSE)</f>
        <v>#N/A</v>
      </c>
      <c r="AY297" s="847" t="str">
        <f t="shared" si="51"/>
        <v>..</v>
      </c>
      <c r="AZ297" s="117" t="e">
        <f>VLOOKUP($D297,'WB Data'!$C$3:$M$578,4,FALSE)/100</f>
        <v>#N/A</v>
      </c>
      <c r="BA297" s="117" t="str">
        <f t="shared" si="52"/>
        <v>..</v>
      </c>
      <c r="BB297" s="129" t="str">
        <f>IFERROR(VLOOKUP($D297,'EITI Revenues'!$C$2:$G$224,5,FALSE),"..")</f>
        <v>..</v>
      </c>
      <c r="BC297" s="846" t="str">
        <f t="shared" si="53"/>
        <v>..</v>
      </c>
      <c r="BD297" s="129" t="e">
        <f>VLOOKUP($D297,'WB Data 2'!$C$2:$K$545,6,FALSE)</f>
        <v>#N/A</v>
      </c>
      <c r="BE297" s="129" t="str">
        <f>IFERROR(VLOOKUP($D297,UNCTAD!$C$5:$V$529,4,FALSE),"..")</f>
        <v>..</v>
      </c>
      <c r="BF297" s="846" t="str">
        <f t="shared" si="54"/>
        <v>..</v>
      </c>
      <c r="BG297" s="117" t="e">
        <f>VLOOKUP($D297,'WB Data'!$C$3:$M$578,5,FALSE)</f>
        <v>#N/A</v>
      </c>
      <c r="BH297" s="129" t="str">
        <f>IFERROR($BB297/$BG297,"..")</f>
        <v>..</v>
      </c>
      <c r="BI297" s="117" t="str">
        <f>IFERROR(VLOOKUP($D297,'WB Data'!$C$3:$M$578,7,FALSE)/100,"..")</f>
        <v>..</v>
      </c>
      <c r="BJ297" s="117" t="str">
        <f>IFERROR($BI297*$AW297,"..")</f>
        <v>..</v>
      </c>
      <c r="BK297" s="846" t="str">
        <f>IFERROR($BB297/$BJ297,"..")</f>
        <v>..</v>
      </c>
      <c r="BL297" s="117" t="str">
        <f>IFERROR(VLOOKUP($D297,'WB Data'!$C$3:$M$578,7,FALSE)/100,"..")</f>
        <v>..</v>
      </c>
      <c r="BM297" s="117" t="str">
        <f>IFERROR($AW297*$BL297,"..")</f>
        <v>..</v>
      </c>
      <c r="BN297" s="846" t="str">
        <f>IFERROR($BB297/$BM297,"..")</f>
        <v>..</v>
      </c>
      <c r="BO297" s="801" t="str">
        <f t="shared" si="50"/>
        <v>..</v>
      </c>
      <c r="BP297" s="117" t="e">
        <f>VLOOKUP($D297,'WB Data'!$C$3:$M$578,9,FALSE)</f>
        <v>#N/A</v>
      </c>
      <c r="BQ297" s="117" t="e">
        <f>VLOOKUP($D297,'WB Data'!$C$3:$M$578,10,FALSE)</f>
        <v>#N/A</v>
      </c>
      <c r="BR297" s="117" t="e">
        <f>VLOOKUP($D297,'WB Data'!$C$3:$M$578,11,FALSE)</f>
        <v>#N/A</v>
      </c>
      <c r="BS297" s="129" t="str">
        <f>IFERROR(VLOOKUP($D297,'WB Data 2'!$C$2:$K$545,9,FALSE),"..")</f>
        <v>..</v>
      </c>
      <c r="BT297" s="129" t="str">
        <f>_xlfn.IFNA(VLOOKUP($C297,RGI!$A$2:$C$43,2,FALSE),"..")</f>
        <v>..</v>
      </c>
      <c r="BU297" s="129" t="str">
        <f>_xlfn.IFNA(VLOOKUP($C297,RGI!$A$2:$C$43,3,FALSE),"..")</f>
        <v>..</v>
      </c>
      <c r="BV297" s="129" t="e">
        <f>VLOOKUP($D297,WGI!$C$2:$O$478,7,FALSE)</f>
        <v>#N/A</v>
      </c>
      <c r="BW297" s="129" t="e">
        <f>VLOOKUP($D297,WGI!$C$2:$O$478,4,FALSE)</f>
        <v>#N/A</v>
      </c>
      <c r="BX297" s="129" t="e">
        <f>VLOOKUP($D297,WGI!$C$2:$O$478,3,FALSE)</f>
        <v>#N/A</v>
      </c>
      <c r="BY297" s="129" t="e">
        <f>VLOOKUP($D297,WGI!$C$2:$O$478,5,FALSE)</f>
        <v>#N/A</v>
      </c>
      <c r="BZ297" s="129" t="e">
        <f>VLOOKUP($D297,WGI!$C$2:$O$478,2,FALSE)</f>
        <v>#N/A</v>
      </c>
      <c r="CB297" s="129"/>
    </row>
    <row r="298" spans="1:80" s="120" customFormat="1" ht="15" customHeight="1">
      <c r="A298" s="294" t="s">
        <v>165</v>
      </c>
      <c r="B298" s="117">
        <v>2011</v>
      </c>
      <c r="C298" s="132" t="s">
        <v>3791</v>
      </c>
      <c r="D298" s="117" t="s">
        <v>3797</v>
      </c>
      <c r="E298" s="117" t="s">
        <v>86</v>
      </c>
      <c r="F298" s="117"/>
      <c r="G298" s="117" t="s">
        <v>103</v>
      </c>
      <c r="H298" s="117" t="str">
        <f t="shared" si="55"/>
        <v>no</v>
      </c>
      <c r="I298" s="117" t="str">
        <f t="shared" si="56"/>
        <v>no</v>
      </c>
      <c r="J298" s="117" t="str">
        <f t="shared" si="57"/>
        <v>yes</v>
      </c>
      <c r="K298" s="176" t="s">
        <v>103</v>
      </c>
      <c r="L298" s="117" t="str">
        <f t="shared" si="49"/>
        <v>detailed</v>
      </c>
      <c r="M298" s="117" t="str">
        <f t="shared" si="58"/>
        <v>detailed Oil</v>
      </c>
      <c r="N298" s="179">
        <v>14673000</v>
      </c>
      <c r="O298" s="179"/>
      <c r="P298" s="179"/>
      <c r="Q298" s="179"/>
      <c r="R298" s="179"/>
      <c r="S298" s="117" t="s">
        <v>646</v>
      </c>
      <c r="T298" s="119">
        <v>106.530653575</v>
      </c>
      <c r="U298" s="117" t="s">
        <v>673</v>
      </c>
      <c r="V298" s="117" t="s">
        <v>1030</v>
      </c>
      <c r="W298" s="89">
        <f>N298*T298</f>
        <v>1563124279.9059751</v>
      </c>
      <c r="X298" s="117"/>
      <c r="Y298" s="117"/>
      <c r="Z298" s="117"/>
      <c r="AA298" s="177"/>
      <c r="AB298" s="177"/>
      <c r="AC298" s="122"/>
      <c r="AD298" s="122"/>
      <c r="AE298" s="122"/>
      <c r="AF298" s="123"/>
      <c r="AG298" s="117"/>
      <c r="AH298" s="124"/>
      <c r="AI298" s="117"/>
      <c r="AJ298" s="177">
        <v>4319000</v>
      </c>
      <c r="AK298" s="89" t="s">
        <v>943</v>
      </c>
      <c r="AL298" s="117"/>
      <c r="AM298" s="117"/>
      <c r="AN298" s="117"/>
      <c r="AO298" s="117"/>
      <c r="AP298" s="117"/>
      <c r="AQ298" s="117"/>
      <c r="AR298" s="117"/>
      <c r="AS298" s="117"/>
      <c r="AT298" s="117"/>
      <c r="AU298" s="117"/>
      <c r="AV298" s="128" t="s">
        <v>1051</v>
      </c>
      <c r="AW298" s="117" t="e">
        <f>VLOOKUP($D298,'WB Data'!$C$3:$M$578,2,FALSE)</f>
        <v>#N/A</v>
      </c>
      <c r="AX298" s="117" t="e">
        <f>VLOOKUP($D298,'WB Data'!$C$3:$M$578,3,FALSE)</f>
        <v>#N/A</v>
      </c>
      <c r="AY298" s="847" t="str">
        <f t="shared" si="51"/>
        <v>..</v>
      </c>
      <c r="AZ298" s="117" t="e">
        <f>VLOOKUP($D298,'WB Data'!$C$3:$M$578,4,FALSE)/100</f>
        <v>#N/A</v>
      </c>
      <c r="BA298" s="117" t="str">
        <f t="shared" si="52"/>
        <v>..</v>
      </c>
      <c r="BB298" s="129" t="str">
        <f>IFERROR(VLOOKUP($D298,'EITI Revenues'!$C$2:$G$224,5,FALSE),"..")</f>
        <v>..</v>
      </c>
      <c r="BC298" s="846" t="str">
        <f t="shared" si="53"/>
        <v>..</v>
      </c>
      <c r="BD298" s="129" t="e">
        <f>VLOOKUP($D298,'WB Data 2'!$C$2:$K$545,6,FALSE)</f>
        <v>#N/A</v>
      </c>
      <c r="BE298" s="129" t="str">
        <f>IFERROR(VLOOKUP($D298,UNCTAD!$C$5:$V$529,4,FALSE),"..")</f>
        <v>..</v>
      </c>
      <c r="BF298" s="846" t="str">
        <f t="shared" si="54"/>
        <v>..</v>
      </c>
      <c r="BG298" s="117" t="e">
        <f>VLOOKUP($D298,'WB Data'!$C$3:$M$578,5,FALSE)</f>
        <v>#N/A</v>
      </c>
      <c r="BH298" s="129" t="str">
        <f>IFERROR($BB298/$BG298,"..")</f>
        <v>..</v>
      </c>
      <c r="BI298" s="117" t="str">
        <f>IFERROR(VLOOKUP($D298,'WB Data'!$C$3:$M$578,7,FALSE)/100,"..")</f>
        <v>..</v>
      </c>
      <c r="BJ298" s="117" t="str">
        <f>IFERROR($BI298*$AW298,"..")</f>
        <v>..</v>
      </c>
      <c r="BK298" s="846" t="str">
        <f>IFERROR($BB298/$BJ298,"..")</f>
        <v>..</v>
      </c>
      <c r="BL298" s="117" t="str">
        <f>IFERROR(VLOOKUP($D298,'WB Data'!$C$3:$M$578,7,FALSE)/100,"..")</f>
        <v>..</v>
      </c>
      <c r="BM298" s="117" t="str">
        <f>IFERROR($AW298*$BL298,"..")</f>
        <v>..</v>
      </c>
      <c r="BN298" s="846" t="str">
        <f>IFERROR($BB298/$BM298,"..")</f>
        <v>..</v>
      </c>
      <c r="BO298" s="801" t="str">
        <f t="shared" si="50"/>
        <v>..</v>
      </c>
      <c r="BP298" s="117" t="e">
        <f>VLOOKUP($D298,'WB Data'!$C$3:$M$578,9,FALSE)</f>
        <v>#N/A</v>
      </c>
      <c r="BQ298" s="117" t="e">
        <f>VLOOKUP($D298,'WB Data'!$C$3:$M$578,10,FALSE)</f>
        <v>#N/A</v>
      </c>
      <c r="BR298" s="117" t="e">
        <f>VLOOKUP($D298,'WB Data'!$C$3:$M$578,11,FALSE)</f>
        <v>#N/A</v>
      </c>
      <c r="BS298" s="129" t="str">
        <f>IFERROR(VLOOKUP($D298,'WB Data 2'!$C$2:$K$545,9,FALSE),"..")</f>
        <v>..</v>
      </c>
      <c r="BT298" s="129" t="str">
        <f>_xlfn.IFNA(VLOOKUP($C298,RGI!$A$2:$C$43,2,FALSE),"..")</f>
        <v>..</v>
      </c>
      <c r="BU298" s="129" t="str">
        <f>_xlfn.IFNA(VLOOKUP($C298,RGI!$A$2:$C$43,3,FALSE),"..")</f>
        <v>..</v>
      </c>
      <c r="BV298" s="129" t="e">
        <f>VLOOKUP($D298,WGI!$C$2:$O$478,7,FALSE)</f>
        <v>#N/A</v>
      </c>
      <c r="BW298" s="129" t="e">
        <f>VLOOKUP($D298,WGI!$C$2:$O$478,4,FALSE)</f>
        <v>#N/A</v>
      </c>
      <c r="BX298" s="129" t="e">
        <f>VLOOKUP($D298,WGI!$C$2:$O$478,3,FALSE)</f>
        <v>#N/A</v>
      </c>
      <c r="BY298" s="129" t="e">
        <f>VLOOKUP($D298,WGI!$C$2:$O$478,5,FALSE)</f>
        <v>#N/A</v>
      </c>
      <c r="BZ298" s="129" t="e">
        <f>VLOOKUP($D298,WGI!$C$2:$O$478,2,FALSE)</f>
        <v>#N/A</v>
      </c>
      <c r="CB298" s="129"/>
    </row>
    <row r="299" spans="1:80" s="120" customFormat="1" ht="15" customHeight="1">
      <c r="A299" s="294" t="s">
        <v>165</v>
      </c>
      <c r="B299" s="117">
        <v>2011</v>
      </c>
      <c r="C299" s="132" t="s">
        <v>3791</v>
      </c>
      <c r="D299" s="117" t="s">
        <v>3797</v>
      </c>
      <c r="E299" s="117" t="s">
        <v>86</v>
      </c>
      <c r="F299" s="117"/>
      <c r="G299" s="117" t="s">
        <v>24</v>
      </c>
      <c r="H299" s="117" t="str">
        <f t="shared" si="55"/>
        <v>yes</v>
      </c>
      <c r="I299" s="117" t="str">
        <f t="shared" si="56"/>
        <v>no</v>
      </c>
      <c r="J299" s="117" t="str">
        <f t="shared" si="57"/>
        <v>no</v>
      </c>
      <c r="K299" s="176" t="s">
        <v>600</v>
      </c>
      <c r="L299" s="117" t="str">
        <f t="shared" si="49"/>
        <v>Total</v>
      </c>
      <c r="M299" s="117" t="str">
        <f t="shared" si="58"/>
        <v>Total Mining</v>
      </c>
      <c r="N299" s="179"/>
      <c r="O299" s="179"/>
      <c r="P299" s="179"/>
      <c r="Q299" s="179"/>
      <c r="R299" s="179"/>
      <c r="S299" s="117"/>
      <c r="T299" s="119"/>
      <c r="U299" s="117"/>
      <c r="V299" s="117"/>
      <c r="W299" s="89">
        <f>SUM(W300:W303)</f>
        <v>498159332.75891894</v>
      </c>
      <c r="X299" s="117"/>
      <c r="Y299" s="117"/>
      <c r="Z299" s="117"/>
      <c r="AA299" s="177">
        <v>24807732.617647059</v>
      </c>
      <c r="AB299" s="177">
        <v>25616388.770588234</v>
      </c>
      <c r="AC299" s="122"/>
      <c r="AD299" s="122"/>
      <c r="AE299" s="122"/>
      <c r="AF299" s="123">
        <f>AA299/W299</f>
        <v>4.9798791242665737E-2</v>
      </c>
      <c r="AG299" s="117"/>
      <c r="AH299" s="124"/>
      <c r="AI299" s="117"/>
      <c r="AJ299" s="177"/>
      <c r="AK299" s="89"/>
      <c r="AL299" s="117"/>
      <c r="AM299" s="117"/>
      <c r="AN299" s="117"/>
      <c r="AO299" s="117"/>
      <c r="AP299" s="117"/>
      <c r="AQ299" s="117"/>
      <c r="AR299" s="126"/>
      <c r="AS299" s="117"/>
      <c r="AT299" s="117"/>
      <c r="AU299" s="117"/>
      <c r="AV299" s="128" t="s">
        <v>1052</v>
      </c>
      <c r="AW299" s="117" t="e">
        <f>VLOOKUP($D299,'WB Data'!$C$3:$M$578,2,FALSE)</f>
        <v>#N/A</v>
      </c>
      <c r="AX299" s="117" t="e">
        <f>VLOOKUP($D299,'WB Data'!$C$3:$M$578,3,FALSE)</f>
        <v>#N/A</v>
      </c>
      <c r="AY299" s="847" t="str">
        <f t="shared" si="51"/>
        <v>..</v>
      </c>
      <c r="AZ299" s="117" t="e">
        <f>VLOOKUP($D299,'WB Data'!$C$3:$M$578,4,FALSE)/100</f>
        <v>#N/A</v>
      </c>
      <c r="BA299" s="117" t="str">
        <f t="shared" si="52"/>
        <v>..</v>
      </c>
      <c r="BB299" s="129" t="str">
        <f>IFERROR(VLOOKUP($D299,'EITI Revenues'!$C$2:$G$224,5,FALSE),"..")</f>
        <v>..</v>
      </c>
      <c r="BC299" s="846" t="str">
        <f t="shared" si="53"/>
        <v>..</v>
      </c>
      <c r="BD299" s="129" t="e">
        <f>VLOOKUP($D299,'WB Data 2'!$C$2:$K$545,6,FALSE)</f>
        <v>#N/A</v>
      </c>
      <c r="BE299" s="129" t="str">
        <f>IFERROR(VLOOKUP($D299,UNCTAD!$C$5:$V$529,4,FALSE),"..")</f>
        <v>..</v>
      </c>
      <c r="BF299" s="846" t="str">
        <f t="shared" si="54"/>
        <v>..</v>
      </c>
      <c r="BG299" s="117" t="e">
        <f>VLOOKUP($D299,'WB Data'!$C$3:$M$578,5,FALSE)</f>
        <v>#N/A</v>
      </c>
      <c r="BH299" s="129" t="str">
        <f>IFERROR($BB299/$BG299,"..")</f>
        <v>..</v>
      </c>
      <c r="BI299" s="117" t="str">
        <f>IFERROR(VLOOKUP($D299,'WB Data'!$C$3:$M$578,7,FALSE)/100,"..")</f>
        <v>..</v>
      </c>
      <c r="BJ299" s="117" t="str">
        <f>IFERROR($BI299*$AW299,"..")</f>
        <v>..</v>
      </c>
      <c r="BK299" s="846" t="str">
        <f>IFERROR($BB299/$BJ299,"..")</f>
        <v>..</v>
      </c>
      <c r="BL299" s="117" t="str">
        <f>IFERROR(VLOOKUP($D299,'WB Data'!$C$3:$M$578,7,FALSE)/100,"..")</f>
        <v>..</v>
      </c>
      <c r="BM299" s="117" t="str">
        <f>IFERROR($AW299*$BL299,"..")</f>
        <v>..</v>
      </c>
      <c r="BN299" s="846" t="str">
        <f>IFERROR($BB299/$BM299,"..")</f>
        <v>..</v>
      </c>
      <c r="BO299" s="801" t="str">
        <f t="shared" si="50"/>
        <v>..</v>
      </c>
      <c r="BP299" s="117" t="e">
        <f>VLOOKUP($D299,'WB Data'!$C$3:$M$578,9,FALSE)</f>
        <v>#N/A</v>
      </c>
      <c r="BQ299" s="117" t="e">
        <f>VLOOKUP($D299,'WB Data'!$C$3:$M$578,10,FALSE)</f>
        <v>#N/A</v>
      </c>
      <c r="BR299" s="117" t="e">
        <f>VLOOKUP($D299,'WB Data'!$C$3:$M$578,11,FALSE)</f>
        <v>#N/A</v>
      </c>
      <c r="BS299" s="129" t="str">
        <f>IFERROR(VLOOKUP($D299,'WB Data 2'!$C$2:$K$545,9,FALSE),"..")</f>
        <v>..</v>
      </c>
      <c r="BT299" s="129" t="str">
        <f>_xlfn.IFNA(VLOOKUP($C299,RGI!$A$2:$C$43,2,FALSE),"..")</f>
        <v>..</v>
      </c>
      <c r="BU299" s="129" t="str">
        <f>_xlfn.IFNA(VLOOKUP($C299,RGI!$A$2:$C$43,3,FALSE),"..")</f>
        <v>..</v>
      </c>
      <c r="BV299" s="129" t="e">
        <f>VLOOKUP($D299,WGI!$C$2:$O$478,7,FALSE)</f>
        <v>#N/A</v>
      </c>
      <c r="BW299" s="129" t="e">
        <f>VLOOKUP($D299,WGI!$C$2:$O$478,4,FALSE)</f>
        <v>#N/A</v>
      </c>
      <c r="BX299" s="129" t="e">
        <f>VLOOKUP($D299,WGI!$C$2:$O$478,3,FALSE)</f>
        <v>#N/A</v>
      </c>
      <c r="BY299" s="129" t="e">
        <f>VLOOKUP($D299,WGI!$C$2:$O$478,5,FALSE)</f>
        <v>#N/A</v>
      </c>
      <c r="BZ299" s="129" t="e">
        <f>VLOOKUP($D299,WGI!$C$2:$O$478,2,FALSE)</f>
        <v>#N/A</v>
      </c>
      <c r="CB299" s="129"/>
    </row>
    <row r="300" spans="1:80" s="120" customFormat="1" ht="15" customHeight="1">
      <c r="A300" s="294" t="s">
        <v>165</v>
      </c>
      <c r="B300" s="117">
        <v>2011</v>
      </c>
      <c r="C300" s="132" t="s">
        <v>3791</v>
      </c>
      <c r="D300" s="117" t="s">
        <v>3797</v>
      </c>
      <c r="E300" s="117" t="s">
        <v>86</v>
      </c>
      <c r="F300" s="117"/>
      <c r="G300" s="117" t="s">
        <v>24</v>
      </c>
      <c r="H300" s="117" t="str">
        <f t="shared" si="55"/>
        <v>yes</v>
      </c>
      <c r="I300" s="117" t="str">
        <f t="shared" si="56"/>
        <v>no</v>
      </c>
      <c r="J300" s="117" t="str">
        <f t="shared" si="57"/>
        <v>no</v>
      </c>
      <c r="K300" s="176" t="s">
        <v>784</v>
      </c>
      <c r="L300" s="117" t="str">
        <f t="shared" si="49"/>
        <v>detailed</v>
      </c>
      <c r="M300" s="117" t="str">
        <f t="shared" si="58"/>
        <v>detailed Mining</v>
      </c>
      <c r="N300" s="179">
        <f>9871*32.150743126506</f>
        <v>317359.98540174071</v>
      </c>
      <c r="O300" s="179"/>
      <c r="P300" s="179"/>
      <c r="Q300" s="179"/>
      <c r="R300" s="179"/>
      <c r="S300" s="117" t="s">
        <v>785</v>
      </c>
      <c r="T300" s="119">
        <v>1569.2108333333299</v>
      </c>
      <c r="U300" s="117" t="s">
        <v>786</v>
      </c>
      <c r="V300" s="117" t="s">
        <v>787</v>
      </c>
      <c r="W300" s="89">
        <f>N300*T300</f>
        <v>498004727.15891892</v>
      </c>
      <c r="X300" s="117"/>
      <c r="Y300" s="117"/>
      <c r="Z300" s="117"/>
      <c r="AA300" s="177"/>
      <c r="AB300" s="177"/>
      <c r="AC300" s="122"/>
      <c r="AD300" s="122"/>
      <c r="AE300" s="122"/>
      <c r="AF300" s="123"/>
      <c r="AG300" s="117"/>
      <c r="AH300" s="124"/>
      <c r="AI300" s="117"/>
      <c r="AJ300" s="117"/>
      <c r="AK300" s="89"/>
      <c r="AL300" s="117"/>
      <c r="AM300" s="117"/>
      <c r="AN300" s="117"/>
      <c r="AO300" s="117"/>
      <c r="AP300" s="117"/>
      <c r="AQ300" s="117"/>
      <c r="AR300" s="126"/>
      <c r="AS300" s="117"/>
      <c r="AT300" s="117"/>
      <c r="AU300" s="117"/>
      <c r="AV300" s="128" t="s">
        <v>1053</v>
      </c>
      <c r="AW300" s="117" t="e">
        <f>VLOOKUP($D300,'WB Data'!$C$3:$M$578,2,FALSE)</f>
        <v>#N/A</v>
      </c>
      <c r="AX300" s="117" t="e">
        <f>VLOOKUP($D300,'WB Data'!$C$3:$M$578,3,FALSE)</f>
        <v>#N/A</v>
      </c>
      <c r="AY300" s="847" t="str">
        <f t="shared" si="51"/>
        <v>..</v>
      </c>
      <c r="AZ300" s="117" t="e">
        <f>VLOOKUP($D300,'WB Data'!$C$3:$M$578,4,FALSE)/100</f>
        <v>#N/A</v>
      </c>
      <c r="BA300" s="117" t="str">
        <f t="shared" si="52"/>
        <v>..</v>
      </c>
      <c r="BB300" s="129" t="str">
        <f>IFERROR(VLOOKUP($D300,'EITI Revenues'!$C$2:$G$224,5,FALSE),"..")</f>
        <v>..</v>
      </c>
      <c r="BC300" s="846" t="str">
        <f t="shared" si="53"/>
        <v>..</v>
      </c>
      <c r="BD300" s="129" t="e">
        <f>VLOOKUP($D300,'WB Data 2'!$C$2:$K$545,6,FALSE)</f>
        <v>#N/A</v>
      </c>
      <c r="BE300" s="129" t="str">
        <f>IFERROR(VLOOKUP($D300,UNCTAD!$C$5:$V$529,4,FALSE),"..")</f>
        <v>..</v>
      </c>
      <c r="BF300" s="846" t="str">
        <f t="shared" si="54"/>
        <v>..</v>
      </c>
      <c r="BG300" s="117" t="e">
        <f>VLOOKUP($D300,'WB Data'!$C$3:$M$578,5,FALSE)</f>
        <v>#N/A</v>
      </c>
      <c r="BH300" s="129" t="str">
        <f>IFERROR($BB300/$BG300,"..")</f>
        <v>..</v>
      </c>
      <c r="BI300" s="117" t="str">
        <f>IFERROR(VLOOKUP($D300,'WB Data'!$C$3:$M$578,7,FALSE)/100,"..")</f>
        <v>..</v>
      </c>
      <c r="BJ300" s="117" t="str">
        <f>IFERROR($BI300*$AW300,"..")</f>
        <v>..</v>
      </c>
      <c r="BK300" s="846" t="str">
        <f>IFERROR($BB300/$BJ300,"..")</f>
        <v>..</v>
      </c>
      <c r="BL300" s="117" t="str">
        <f>IFERROR(VLOOKUP($D300,'WB Data'!$C$3:$M$578,7,FALSE)/100,"..")</f>
        <v>..</v>
      </c>
      <c r="BM300" s="117" t="str">
        <f>IFERROR($AW300*$BL300,"..")</f>
        <v>..</v>
      </c>
      <c r="BN300" s="846" t="str">
        <f>IFERROR($BB300/$BM300,"..")</f>
        <v>..</v>
      </c>
      <c r="BO300" s="801" t="str">
        <f t="shared" si="50"/>
        <v>..</v>
      </c>
      <c r="BP300" s="117" t="e">
        <f>VLOOKUP($D300,'WB Data'!$C$3:$M$578,9,FALSE)</f>
        <v>#N/A</v>
      </c>
      <c r="BQ300" s="117" t="e">
        <f>VLOOKUP($D300,'WB Data'!$C$3:$M$578,10,FALSE)</f>
        <v>#N/A</v>
      </c>
      <c r="BR300" s="117" t="e">
        <f>VLOOKUP($D300,'WB Data'!$C$3:$M$578,11,FALSE)</f>
        <v>#N/A</v>
      </c>
      <c r="BS300" s="129" t="str">
        <f>IFERROR(VLOOKUP($D300,'WB Data 2'!$C$2:$K$545,9,FALSE),"..")</f>
        <v>..</v>
      </c>
      <c r="BT300" s="129" t="str">
        <f>_xlfn.IFNA(VLOOKUP($C300,RGI!$A$2:$C$43,2,FALSE),"..")</f>
        <v>..</v>
      </c>
      <c r="BU300" s="129" t="str">
        <f>_xlfn.IFNA(VLOOKUP($C300,RGI!$A$2:$C$43,3,FALSE),"..")</f>
        <v>..</v>
      </c>
      <c r="BV300" s="129" t="e">
        <f>VLOOKUP($D300,WGI!$C$2:$O$478,7,FALSE)</f>
        <v>#N/A</v>
      </c>
      <c r="BW300" s="129" t="e">
        <f>VLOOKUP($D300,WGI!$C$2:$O$478,4,FALSE)</f>
        <v>#N/A</v>
      </c>
      <c r="BX300" s="129" t="e">
        <f>VLOOKUP($D300,WGI!$C$2:$O$478,3,FALSE)</f>
        <v>#N/A</v>
      </c>
      <c r="BY300" s="129" t="e">
        <f>VLOOKUP($D300,WGI!$C$2:$O$478,5,FALSE)</f>
        <v>#N/A</v>
      </c>
      <c r="BZ300" s="129" t="e">
        <f>VLOOKUP($D300,WGI!$C$2:$O$478,2,FALSE)</f>
        <v>#N/A</v>
      </c>
      <c r="CB300" s="129"/>
    </row>
    <row r="301" spans="1:80" s="120" customFormat="1" ht="15" customHeight="1">
      <c r="A301" s="294" t="s">
        <v>165</v>
      </c>
      <c r="B301" s="117">
        <v>2011</v>
      </c>
      <c r="C301" s="132" t="s">
        <v>3791</v>
      </c>
      <c r="D301" s="117" t="s">
        <v>3797</v>
      </c>
      <c r="E301" s="117" t="s">
        <v>86</v>
      </c>
      <c r="F301" s="117"/>
      <c r="G301" s="117" t="s">
        <v>24</v>
      </c>
      <c r="H301" s="117" t="str">
        <f t="shared" si="55"/>
        <v>yes</v>
      </c>
      <c r="I301" s="117" t="str">
        <f t="shared" si="56"/>
        <v>no</v>
      </c>
      <c r="J301" s="117" t="str">
        <f t="shared" si="57"/>
        <v>no</v>
      </c>
      <c r="K301" s="176" t="s">
        <v>843</v>
      </c>
      <c r="L301" s="117" t="str">
        <f t="shared" si="49"/>
        <v>detailed</v>
      </c>
      <c r="M301" s="117" t="str">
        <f t="shared" si="58"/>
        <v>detailed Mining</v>
      </c>
      <c r="N301" s="179"/>
      <c r="O301" s="179"/>
      <c r="P301" s="179"/>
      <c r="Q301" s="179"/>
      <c r="R301" s="179"/>
      <c r="S301" s="117"/>
      <c r="T301" s="119">
        <v>7.88</v>
      </c>
      <c r="U301" s="117" t="s">
        <v>611</v>
      </c>
      <c r="V301" s="117" t="s">
        <v>844</v>
      </c>
      <c r="W301" s="89">
        <f>N303*T301</f>
        <v>154605.6</v>
      </c>
      <c r="X301" s="117"/>
      <c r="Y301" s="117"/>
      <c r="Z301" s="117"/>
      <c r="AA301" s="177"/>
      <c r="AB301" s="177"/>
      <c r="AC301" s="122"/>
      <c r="AD301" s="122"/>
      <c r="AE301" s="122"/>
      <c r="AF301" s="123"/>
      <c r="AG301" s="117"/>
      <c r="AH301" s="124"/>
      <c r="AI301" s="117"/>
      <c r="AJ301" s="117"/>
      <c r="AK301" s="89"/>
      <c r="AL301" s="117"/>
      <c r="AM301" s="117"/>
      <c r="AN301" s="117"/>
      <c r="AO301" s="117"/>
      <c r="AP301" s="117"/>
      <c r="AQ301" s="117"/>
      <c r="AR301" s="126"/>
      <c r="AS301" s="117"/>
      <c r="AT301" s="117"/>
      <c r="AU301" s="117"/>
      <c r="AV301" s="128"/>
      <c r="AW301" s="117" t="e">
        <f>VLOOKUP($D301,'WB Data'!$C$3:$M$578,2,FALSE)</f>
        <v>#N/A</v>
      </c>
      <c r="AX301" s="117" t="e">
        <f>VLOOKUP($D301,'WB Data'!$C$3:$M$578,3,FALSE)</f>
        <v>#N/A</v>
      </c>
      <c r="AY301" s="847" t="str">
        <f t="shared" si="51"/>
        <v>..</v>
      </c>
      <c r="AZ301" s="117" t="e">
        <f>VLOOKUP($D301,'WB Data'!$C$3:$M$578,4,FALSE)/100</f>
        <v>#N/A</v>
      </c>
      <c r="BA301" s="117" t="str">
        <f t="shared" si="52"/>
        <v>..</v>
      </c>
      <c r="BB301" s="129" t="str">
        <f>IFERROR(VLOOKUP($D301,'EITI Revenues'!$C$2:$G$224,5,FALSE),"..")</f>
        <v>..</v>
      </c>
      <c r="BC301" s="846" t="str">
        <f t="shared" si="53"/>
        <v>..</v>
      </c>
      <c r="BD301" s="129" t="e">
        <f>VLOOKUP($D301,'WB Data 2'!$C$2:$K$545,6,FALSE)</f>
        <v>#N/A</v>
      </c>
      <c r="BE301" s="129" t="str">
        <f>IFERROR(VLOOKUP($D301,UNCTAD!$C$5:$V$529,4,FALSE),"..")</f>
        <v>..</v>
      </c>
      <c r="BF301" s="846" t="str">
        <f t="shared" si="54"/>
        <v>..</v>
      </c>
      <c r="BG301" s="117" t="e">
        <f>VLOOKUP($D301,'WB Data'!$C$3:$M$578,5,FALSE)</f>
        <v>#N/A</v>
      </c>
      <c r="BH301" s="129" t="str">
        <f>IFERROR($BB301/$BG301,"..")</f>
        <v>..</v>
      </c>
      <c r="BI301" s="117" t="str">
        <f>IFERROR(VLOOKUP($D301,'WB Data'!$C$3:$M$578,7,FALSE)/100,"..")</f>
        <v>..</v>
      </c>
      <c r="BJ301" s="117" t="str">
        <f>IFERROR($BI301*$AW301,"..")</f>
        <v>..</v>
      </c>
      <c r="BK301" s="846" t="str">
        <f>IFERROR($BB301/$BJ301,"..")</f>
        <v>..</v>
      </c>
      <c r="BL301" s="117" t="str">
        <f>IFERROR(VLOOKUP($D301,'WB Data'!$C$3:$M$578,7,FALSE)/100,"..")</f>
        <v>..</v>
      </c>
      <c r="BM301" s="117" t="str">
        <f>IFERROR($AW301*$BL301,"..")</f>
        <v>..</v>
      </c>
      <c r="BN301" s="846" t="str">
        <f>IFERROR($BB301/$BM301,"..")</f>
        <v>..</v>
      </c>
      <c r="BO301" s="801" t="str">
        <f t="shared" si="50"/>
        <v>..</v>
      </c>
      <c r="BP301" s="117" t="e">
        <f>VLOOKUP($D301,'WB Data'!$C$3:$M$578,9,FALSE)</f>
        <v>#N/A</v>
      </c>
      <c r="BQ301" s="117" t="e">
        <f>VLOOKUP($D301,'WB Data'!$C$3:$M$578,10,FALSE)</f>
        <v>#N/A</v>
      </c>
      <c r="BR301" s="117" t="e">
        <f>VLOOKUP($D301,'WB Data'!$C$3:$M$578,11,FALSE)</f>
        <v>#N/A</v>
      </c>
      <c r="BS301" s="129" t="str">
        <f>IFERROR(VLOOKUP($D301,'WB Data 2'!$C$2:$K$545,9,FALSE),"..")</f>
        <v>..</v>
      </c>
      <c r="BT301" s="129" t="str">
        <f>_xlfn.IFNA(VLOOKUP($C301,RGI!$A$2:$C$43,2,FALSE),"..")</f>
        <v>..</v>
      </c>
      <c r="BU301" s="129" t="str">
        <f>_xlfn.IFNA(VLOOKUP($C301,RGI!$A$2:$C$43,3,FALSE),"..")</f>
        <v>..</v>
      </c>
      <c r="BV301" s="129" t="e">
        <f>VLOOKUP($D301,WGI!$C$2:$O$478,7,FALSE)</f>
        <v>#N/A</v>
      </c>
      <c r="BW301" s="129" t="e">
        <f>VLOOKUP($D301,WGI!$C$2:$O$478,4,FALSE)</f>
        <v>#N/A</v>
      </c>
      <c r="BX301" s="129" t="e">
        <f>VLOOKUP($D301,WGI!$C$2:$O$478,3,FALSE)</f>
        <v>#N/A</v>
      </c>
      <c r="BY301" s="129" t="e">
        <f>VLOOKUP($D301,WGI!$C$2:$O$478,5,FALSE)</f>
        <v>#N/A</v>
      </c>
      <c r="BZ301" s="129" t="e">
        <f>VLOOKUP($D301,WGI!$C$2:$O$478,2,FALSE)</f>
        <v>#N/A</v>
      </c>
      <c r="CB301" s="129"/>
    </row>
    <row r="302" spans="1:80" s="120" customFormat="1" ht="15" customHeight="1">
      <c r="A302" s="294" t="s">
        <v>165</v>
      </c>
      <c r="B302" s="117">
        <v>2011</v>
      </c>
      <c r="C302" s="132" t="s">
        <v>3791</v>
      </c>
      <c r="D302" s="117" t="s">
        <v>3797</v>
      </c>
      <c r="E302" s="117" t="s">
        <v>86</v>
      </c>
      <c r="F302" s="117"/>
      <c r="G302" s="117" t="s">
        <v>24</v>
      </c>
      <c r="H302" s="117" t="str">
        <f t="shared" si="55"/>
        <v>yes</v>
      </c>
      <c r="I302" s="117" t="str">
        <f t="shared" si="56"/>
        <v>no</v>
      </c>
      <c r="J302" s="117" t="str">
        <f t="shared" si="57"/>
        <v>no</v>
      </c>
      <c r="K302" s="176" t="s">
        <v>1038</v>
      </c>
      <c r="L302" s="117" t="str">
        <f t="shared" si="49"/>
        <v>detailed</v>
      </c>
      <c r="M302" s="117" t="str">
        <f t="shared" si="58"/>
        <v>detailed Mining</v>
      </c>
      <c r="N302" s="179">
        <v>43600</v>
      </c>
      <c r="O302" s="179"/>
      <c r="P302" s="179"/>
      <c r="Q302" s="179"/>
      <c r="R302" s="179"/>
      <c r="S302" s="117" t="s">
        <v>610</v>
      </c>
      <c r="T302" s="119"/>
      <c r="U302" s="117"/>
      <c r="V302" s="117" t="s">
        <v>684</v>
      </c>
      <c r="W302" s="89"/>
      <c r="X302" s="117"/>
      <c r="Y302" s="117"/>
      <c r="Z302" s="117"/>
      <c r="AA302" s="177"/>
      <c r="AB302" s="177"/>
      <c r="AC302" s="122"/>
      <c r="AD302" s="122"/>
      <c r="AE302" s="122"/>
      <c r="AF302" s="123"/>
      <c r="AG302" s="117"/>
      <c r="AH302" s="124"/>
      <c r="AI302" s="117"/>
      <c r="AJ302" s="117"/>
      <c r="AK302" s="89"/>
      <c r="AL302" s="117"/>
      <c r="AM302" s="117"/>
      <c r="AN302" s="117"/>
      <c r="AO302" s="117"/>
      <c r="AP302" s="117"/>
      <c r="AQ302" s="117"/>
      <c r="AR302" s="126"/>
      <c r="AS302" s="117"/>
      <c r="AT302" s="117"/>
      <c r="AU302" s="117"/>
      <c r="AV302" s="128"/>
      <c r="AW302" s="117" t="e">
        <f>VLOOKUP($D302,'WB Data'!$C$3:$M$578,2,FALSE)</f>
        <v>#N/A</v>
      </c>
      <c r="AX302" s="117" t="e">
        <f>VLOOKUP($D302,'WB Data'!$C$3:$M$578,3,FALSE)</f>
        <v>#N/A</v>
      </c>
      <c r="AY302" s="847" t="str">
        <f t="shared" si="51"/>
        <v>..</v>
      </c>
      <c r="AZ302" s="117" t="e">
        <f>VLOOKUP($D302,'WB Data'!$C$3:$M$578,4,FALSE)/100</f>
        <v>#N/A</v>
      </c>
      <c r="BA302" s="117" t="str">
        <f t="shared" si="52"/>
        <v>..</v>
      </c>
      <c r="BB302" s="129" t="str">
        <f>IFERROR(VLOOKUP($D302,'EITI Revenues'!$C$2:$G$224,5,FALSE),"..")</f>
        <v>..</v>
      </c>
      <c r="BC302" s="846" t="str">
        <f t="shared" si="53"/>
        <v>..</v>
      </c>
      <c r="BD302" s="129" t="e">
        <f>VLOOKUP($D302,'WB Data 2'!$C$2:$K$545,6,FALSE)</f>
        <v>#N/A</v>
      </c>
      <c r="BE302" s="129" t="str">
        <f>IFERROR(VLOOKUP($D302,UNCTAD!$C$5:$V$529,4,FALSE),"..")</f>
        <v>..</v>
      </c>
      <c r="BF302" s="846" t="str">
        <f t="shared" si="54"/>
        <v>..</v>
      </c>
      <c r="BG302" s="117" t="e">
        <f>VLOOKUP($D302,'WB Data'!$C$3:$M$578,5,FALSE)</f>
        <v>#N/A</v>
      </c>
      <c r="BH302" s="129" t="str">
        <f>IFERROR($BB302/$BG302,"..")</f>
        <v>..</v>
      </c>
      <c r="BI302" s="117" t="str">
        <f>IFERROR(VLOOKUP($D302,'WB Data'!$C$3:$M$578,7,FALSE)/100,"..")</f>
        <v>..</v>
      </c>
      <c r="BJ302" s="117" t="str">
        <f>IFERROR($BI302*$AW302,"..")</f>
        <v>..</v>
      </c>
      <c r="BK302" s="846" t="str">
        <f>IFERROR($BB302/$BJ302,"..")</f>
        <v>..</v>
      </c>
      <c r="BL302" s="117" t="str">
        <f>IFERROR(VLOOKUP($D302,'WB Data'!$C$3:$M$578,7,FALSE)/100,"..")</f>
        <v>..</v>
      </c>
      <c r="BM302" s="117" t="str">
        <f>IFERROR($AW302*$BL302,"..")</f>
        <v>..</v>
      </c>
      <c r="BN302" s="846" t="str">
        <f>IFERROR($BB302/$BM302,"..")</f>
        <v>..</v>
      </c>
      <c r="BO302" s="801" t="str">
        <f t="shared" si="50"/>
        <v>..</v>
      </c>
      <c r="BP302" s="117" t="e">
        <f>VLOOKUP($D302,'WB Data'!$C$3:$M$578,9,FALSE)</f>
        <v>#N/A</v>
      </c>
      <c r="BQ302" s="117" t="e">
        <f>VLOOKUP($D302,'WB Data'!$C$3:$M$578,10,FALSE)</f>
        <v>#N/A</v>
      </c>
      <c r="BR302" s="117" t="e">
        <f>VLOOKUP($D302,'WB Data'!$C$3:$M$578,11,FALSE)</f>
        <v>#N/A</v>
      </c>
      <c r="BS302" s="129" t="str">
        <f>IFERROR(VLOOKUP($D302,'WB Data 2'!$C$2:$K$545,9,FALSE),"..")</f>
        <v>..</v>
      </c>
      <c r="BT302" s="129" t="str">
        <f>_xlfn.IFNA(VLOOKUP($C302,RGI!$A$2:$C$43,2,FALSE),"..")</f>
        <v>..</v>
      </c>
      <c r="BU302" s="129" t="str">
        <f>_xlfn.IFNA(VLOOKUP($C302,RGI!$A$2:$C$43,3,FALSE),"..")</f>
        <v>..</v>
      </c>
      <c r="BV302" s="129" t="e">
        <f>VLOOKUP($D302,WGI!$C$2:$O$478,7,FALSE)</f>
        <v>#N/A</v>
      </c>
      <c r="BW302" s="129" t="e">
        <f>VLOOKUP($D302,WGI!$C$2:$O$478,4,FALSE)</f>
        <v>#N/A</v>
      </c>
      <c r="BX302" s="129" t="e">
        <f>VLOOKUP($D302,WGI!$C$2:$O$478,3,FALSE)</f>
        <v>#N/A</v>
      </c>
      <c r="BY302" s="129" t="e">
        <f>VLOOKUP($D302,WGI!$C$2:$O$478,5,FALSE)</f>
        <v>#N/A</v>
      </c>
      <c r="BZ302" s="129" t="e">
        <f>VLOOKUP($D302,WGI!$C$2:$O$478,2,FALSE)</f>
        <v>#N/A</v>
      </c>
      <c r="CB302" s="129"/>
    </row>
    <row r="303" spans="1:80" s="158" customFormat="1" ht="15" customHeight="1">
      <c r="A303" s="295" t="s">
        <v>165</v>
      </c>
      <c r="B303" s="149">
        <v>2011</v>
      </c>
      <c r="C303" s="132" t="s">
        <v>3791</v>
      </c>
      <c r="D303" s="117" t="s">
        <v>3797</v>
      </c>
      <c r="E303" s="149" t="s">
        <v>86</v>
      </c>
      <c r="F303" s="149"/>
      <c r="G303" s="149" t="s">
        <v>24</v>
      </c>
      <c r="H303" s="149" t="str">
        <f t="shared" si="55"/>
        <v>yes</v>
      </c>
      <c r="I303" s="149" t="str">
        <f t="shared" si="56"/>
        <v>no</v>
      </c>
      <c r="J303" s="149" t="str">
        <f t="shared" si="57"/>
        <v>no</v>
      </c>
      <c r="K303" s="188" t="s">
        <v>848</v>
      </c>
      <c r="L303" s="149" t="str">
        <f t="shared" si="49"/>
        <v>detailed</v>
      </c>
      <c r="M303" s="149" t="str">
        <f t="shared" si="58"/>
        <v>detailed Mining</v>
      </c>
      <c r="N303" s="216">
        <v>19620</v>
      </c>
      <c r="O303" s="216"/>
      <c r="P303" s="216"/>
      <c r="Q303" s="216"/>
      <c r="R303" s="216"/>
      <c r="S303" s="149" t="s">
        <v>610</v>
      </c>
      <c r="T303" s="151"/>
      <c r="U303" s="149"/>
      <c r="V303" s="149" t="s">
        <v>684</v>
      </c>
      <c r="W303" s="152"/>
      <c r="X303" s="149"/>
      <c r="Y303" s="149"/>
      <c r="Z303" s="149"/>
      <c r="AA303" s="284"/>
      <c r="AB303" s="284"/>
      <c r="AC303" s="154"/>
      <c r="AD303" s="154"/>
      <c r="AE303" s="154"/>
      <c r="AF303" s="155"/>
      <c r="AG303" s="149"/>
      <c r="AH303" s="156"/>
      <c r="AI303" s="149"/>
      <c r="AJ303" s="149"/>
      <c r="AK303" s="152"/>
      <c r="AL303" s="149"/>
      <c r="AM303" s="149"/>
      <c r="AN303" s="149"/>
      <c r="AO303" s="149"/>
      <c r="AP303" s="149"/>
      <c r="AQ303" s="149"/>
      <c r="AR303" s="220"/>
      <c r="AS303" s="149"/>
      <c r="AT303" s="149"/>
      <c r="AU303" s="149"/>
      <c r="AV303" s="157"/>
      <c r="AW303" s="117" t="e">
        <f>VLOOKUP($D303,'WB Data'!$C$3:$M$578,2,FALSE)</f>
        <v>#N/A</v>
      </c>
      <c r="AX303" s="117" t="e">
        <f>VLOOKUP($D303,'WB Data'!$C$3:$M$578,3,FALSE)</f>
        <v>#N/A</v>
      </c>
      <c r="AY303" s="847" t="str">
        <f t="shared" si="51"/>
        <v>..</v>
      </c>
      <c r="AZ303" s="117" t="e">
        <f>VLOOKUP($D303,'WB Data'!$C$3:$M$578,4,FALSE)/100</f>
        <v>#N/A</v>
      </c>
      <c r="BA303" s="117" t="str">
        <f t="shared" si="52"/>
        <v>..</v>
      </c>
      <c r="BB303" s="129" t="str">
        <f>IFERROR(VLOOKUP($D303,'EITI Revenues'!$C$2:$G$224,5,FALSE),"..")</f>
        <v>..</v>
      </c>
      <c r="BC303" s="846" t="str">
        <f t="shared" si="53"/>
        <v>..</v>
      </c>
      <c r="BD303" s="129" t="e">
        <f>VLOOKUP($D303,'WB Data 2'!$C$2:$K$545,6,FALSE)</f>
        <v>#N/A</v>
      </c>
      <c r="BE303" s="129" t="str">
        <f>IFERROR(VLOOKUP($D303,UNCTAD!$C$5:$V$529,4,FALSE),"..")</f>
        <v>..</v>
      </c>
      <c r="BF303" s="846" t="str">
        <f t="shared" si="54"/>
        <v>..</v>
      </c>
      <c r="BG303" s="117" t="e">
        <f>VLOOKUP($D303,'WB Data'!$C$3:$M$578,5,FALSE)</f>
        <v>#N/A</v>
      </c>
      <c r="BH303" s="129" t="str">
        <f>IFERROR($BB303/$BG303,"..")</f>
        <v>..</v>
      </c>
      <c r="BI303" s="117" t="str">
        <f>IFERROR(VLOOKUP($D303,'WB Data'!$C$3:$M$578,7,FALSE)/100,"..")</f>
        <v>..</v>
      </c>
      <c r="BJ303" s="117" t="str">
        <f>IFERROR($BI303*$AW303,"..")</f>
        <v>..</v>
      </c>
      <c r="BK303" s="846" t="str">
        <f>IFERROR($BB303/$BJ303,"..")</f>
        <v>..</v>
      </c>
      <c r="BL303" s="117" t="str">
        <f>IFERROR(VLOOKUP($D303,'WB Data'!$C$3:$M$578,7,FALSE)/100,"..")</f>
        <v>..</v>
      </c>
      <c r="BM303" s="117" t="str">
        <f>IFERROR($AW303*$BL303,"..")</f>
        <v>..</v>
      </c>
      <c r="BN303" s="846" t="str">
        <f>IFERROR($BB303/$BM303,"..")</f>
        <v>..</v>
      </c>
      <c r="BO303" s="801" t="str">
        <f t="shared" si="50"/>
        <v>..</v>
      </c>
      <c r="BP303" s="117" t="e">
        <f>VLOOKUP($D303,'WB Data'!$C$3:$M$578,9,FALSE)</f>
        <v>#N/A</v>
      </c>
      <c r="BQ303" s="117" t="e">
        <f>VLOOKUP($D303,'WB Data'!$C$3:$M$578,10,FALSE)</f>
        <v>#N/A</v>
      </c>
      <c r="BR303" s="117" t="e">
        <f>VLOOKUP($D303,'WB Data'!$C$3:$M$578,11,FALSE)</f>
        <v>#N/A</v>
      </c>
      <c r="BS303" s="129" t="str">
        <f>IFERROR(VLOOKUP($D303,'WB Data 2'!$C$2:$K$545,9,FALSE),"..")</f>
        <v>..</v>
      </c>
      <c r="BT303" s="129" t="str">
        <f>_xlfn.IFNA(VLOOKUP($C303,RGI!$A$2:$C$43,2,FALSE),"..")</f>
        <v>..</v>
      </c>
      <c r="BU303" s="129" t="str">
        <f>_xlfn.IFNA(VLOOKUP($C303,RGI!$A$2:$C$43,3,FALSE),"..")</f>
        <v>..</v>
      </c>
      <c r="BV303" s="129" t="e">
        <f>VLOOKUP($D303,WGI!$C$2:$O$478,7,FALSE)</f>
        <v>#N/A</v>
      </c>
      <c r="BW303" s="129" t="e">
        <f>VLOOKUP($D303,WGI!$C$2:$O$478,4,FALSE)</f>
        <v>#N/A</v>
      </c>
      <c r="BX303" s="129" t="e">
        <f>VLOOKUP($D303,WGI!$C$2:$O$478,3,FALSE)</f>
        <v>#N/A</v>
      </c>
      <c r="BY303" s="129" t="e">
        <f>VLOOKUP($D303,WGI!$C$2:$O$478,5,FALSE)</f>
        <v>#N/A</v>
      </c>
      <c r="BZ303" s="129" t="e">
        <f>VLOOKUP($D303,WGI!$C$2:$O$478,2,FALSE)</f>
        <v>#N/A</v>
      </c>
      <c r="CB303" s="129"/>
    </row>
    <row r="304" spans="1:80" ht="15" customHeight="1">
      <c r="A304" s="289" t="s">
        <v>167</v>
      </c>
      <c r="B304" s="146">
        <v>2012</v>
      </c>
      <c r="C304" s="132" t="s">
        <v>3791</v>
      </c>
      <c r="D304" s="117" t="s">
        <v>3798</v>
      </c>
      <c r="E304" s="146" t="s">
        <v>86</v>
      </c>
      <c r="F304" s="146" t="s">
        <v>1028</v>
      </c>
      <c r="G304" s="146" t="s">
        <v>35</v>
      </c>
      <c r="H304" s="146"/>
      <c r="I304" s="146"/>
      <c r="J304" s="146"/>
      <c r="K304" s="146" t="s">
        <v>709</v>
      </c>
      <c r="L304" s="146"/>
      <c r="M304" s="146"/>
      <c r="N304" s="754"/>
      <c r="O304" s="754"/>
      <c r="P304" s="754"/>
      <c r="Q304" s="146"/>
      <c r="R304" s="754"/>
      <c r="S304" s="146"/>
      <c r="T304" s="119"/>
      <c r="U304" s="146"/>
      <c r="V304" s="146" t="s">
        <v>725</v>
      </c>
      <c r="W304" s="146"/>
      <c r="X304" s="146" t="s">
        <v>1054</v>
      </c>
      <c r="Y304" s="146" t="s">
        <v>663</v>
      </c>
      <c r="Z304" s="146" t="s">
        <v>664</v>
      </c>
      <c r="AA304" s="620">
        <v>615027475</v>
      </c>
      <c r="AB304" s="597">
        <v>605454283.42999995</v>
      </c>
      <c r="AC304" s="756"/>
      <c r="AD304" s="757">
        <v>1016888372.9400001</v>
      </c>
      <c r="AE304" s="756"/>
      <c r="AF304" s="758"/>
      <c r="AG304" s="146" t="s">
        <v>836</v>
      </c>
      <c r="AH304" s="759">
        <v>503.06799999999998</v>
      </c>
      <c r="AI304" s="146" t="s">
        <v>722</v>
      </c>
      <c r="AJ304" s="146"/>
      <c r="AK304" s="760"/>
      <c r="AL304" s="146"/>
      <c r="AM304" s="146"/>
      <c r="AN304" s="146">
        <v>53</v>
      </c>
      <c r="AO304" s="146" t="s">
        <v>1055</v>
      </c>
      <c r="AP304" s="146">
        <v>37</v>
      </c>
      <c r="AQ304" s="239" t="s">
        <v>50</v>
      </c>
      <c r="AR304" s="146"/>
      <c r="AS304" s="146" t="s">
        <v>607</v>
      </c>
      <c r="AT304" s="146" t="s">
        <v>169</v>
      </c>
      <c r="AU304" s="146"/>
      <c r="AV304" s="128" t="s">
        <v>1056</v>
      </c>
      <c r="AW304" s="117" t="e">
        <f>VLOOKUP($D304,'WB Data'!$C$3:$M$578,2,FALSE)</f>
        <v>#N/A</v>
      </c>
      <c r="AX304" s="117" t="e">
        <f>VLOOKUP($D304,'WB Data'!$C$3:$M$578,3,FALSE)</f>
        <v>#N/A</v>
      </c>
      <c r="AY304" s="847" t="str">
        <f t="shared" si="51"/>
        <v>..</v>
      </c>
      <c r="AZ304" s="117" t="e">
        <f>VLOOKUP($D304,'WB Data'!$C$3:$M$578,4,FALSE)/100</f>
        <v>#N/A</v>
      </c>
      <c r="BA304" s="117" t="str">
        <f t="shared" si="52"/>
        <v>..</v>
      </c>
      <c r="BB304" s="129" t="str">
        <f>IFERROR(VLOOKUP($D304,'EITI Revenues'!$C$2:$G$224,5,FALSE),"..")</f>
        <v>..</v>
      </c>
      <c r="BC304" s="846" t="str">
        <f t="shared" si="53"/>
        <v>..</v>
      </c>
      <c r="BD304" s="129" t="e">
        <f>VLOOKUP($D304,'WB Data 2'!$C$2:$K$545,6,FALSE)</f>
        <v>#N/A</v>
      </c>
      <c r="BE304" s="129" t="str">
        <f>IFERROR(VLOOKUP($D304,UNCTAD!$C$5:$V$529,4,FALSE),"..")</f>
        <v>..</v>
      </c>
      <c r="BF304" s="846" t="str">
        <f t="shared" si="54"/>
        <v>..</v>
      </c>
      <c r="BG304" s="117" t="e">
        <f>VLOOKUP($D304,'WB Data'!$C$3:$M$578,5,FALSE)</f>
        <v>#N/A</v>
      </c>
      <c r="BH304" s="129" t="str">
        <f>IFERROR($BB304/$BG304,"..")</f>
        <v>..</v>
      </c>
      <c r="BI304" s="117" t="str">
        <f>IFERROR(VLOOKUP($D304,'WB Data'!$C$3:$M$578,7,FALSE)/100,"..")</f>
        <v>..</v>
      </c>
      <c r="BJ304" s="117" t="str">
        <f>IFERROR($BI304*$AW304,"..")</f>
        <v>..</v>
      </c>
      <c r="BK304" s="846" t="str">
        <f>IFERROR($BB304/$BJ304,"..")</f>
        <v>..</v>
      </c>
      <c r="BL304" s="117" t="str">
        <f>IFERROR(VLOOKUP($D304,'WB Data'!$C$3:$M$578,7,FALSE)/100,"..")</f>
        <v>..</v>
      </c>
      <c r="BM304" s="117" t="str">
        <f>IFERROR($AW304*$BL304,"..")</f>
        <v>..</v>
      </c>
      <c r="BN304" s="846" t="str">
        <f>IFERROR($BB304/$BM304,"..")</f>
        <v>..</v>
      </c>
      <c r="BO304" s="801" t="str">
        <f t="shared" si="50"/>
        <v>..</v>
      </c>
      <c r="BP304" s="117" t="e">
        <f>VLOOKUP($D304,'WB Data'!$C$3:$M$578,9,FALSE)</f>
        <v>#N/A</v>
      </c>
      <c r="BQ304" s="117" t="e">
        <f>VLOOKUP($D304,'WB Data'!$C$3:$M$578,10,FALSE)</f>
        <v>#N/A</v>
      </c>
      <c r="BR304" s="117" t="e">
        <f>VLOOKUP($D304,'WB Data'!$C$3:$M$578,11,FALSE)</f>
        <v>#N/A</v>
      </c>
      <c r="BS304" s="129" t="str">
        <f>IFERROR(VLOOKUP($D304,'WB Data 2'!$C$2:$K$545,9,FALSE),"..")</f>
        <v>..</v>
      </c>
      <c r="BT304" s="129" t="str">
        <f>_xlfn.IFNA(VLOOKUP($C304,RGI!$A$2:$C$43,2,FALSE),"..")</f>
        <v>..</v>
      </c>
      <c r="BU304" s="129" t="str">
        <f>_xlfn.IFNA(VLOOKUP($C304,RGI!$A$2:$C$43,3,FALSE),"..")</f>
        <v>..</v>
      </c>
      <c r="BV304" s="129" t="e">
        <f>VLOOKUP($D304,WGI!$C$2:$O$478,7,FALSE)</f>
        <v>#N/A</v>
      </c>
      <c r="BW304" s="129" t="e">
        <f>VLOOKUP($D304,WGI!$C$2:$O$478,4,FALSE)</f>
        <v>#N/A</v>
      </c>
      <c r="BX304" s="129" t="e">
        <f>VLOOKUP($D304,WGI!$C$2:$O$478,3,FALSE)</f>
        <v>#N/A</v>
      </c>
      <c r="BY304" s="129" t="e">
        <f>VLOOKUP($D304,WGI!$C$2:$O$478,5,FALSE)</f>
        <v>#N/A</v>
      </c>
      <c r="BZ304" s="129" t="e">
        <f>VLOOKUP($D304,WGI!$C$2:$O$478,2,FALSE)</f>
        <v>#N/A</v>
      </c>
    </row>
    <row r="305" spans="1:80" ht="15" customHeight="1">
      <c r="A305" s="289" t="s">
        <v>167</v>
      </c>
      <c r="B305" s="146">
        <v>2012</v>
      </c>
      <c r="C305" s="132" t="s">
        <v>3791</v>
      </c>
      <c r="D305" s="117" t="s">
        <v>3798</v>
      </c>
      <c r="E305" s="146" t="s">
        <v>86</v>
      </c>
      <c r="F305" s="146"/>
      <c r="G305" s="146" t="s">
        <v>103</v>
      </c>
      <c r="H305" s="146"/>
      <c r="I305" s="146"/>
      <c r="J305" s="146"/>
      <c r="K305" s="146" t="s">
        <v>103</v>
      </c>
      <c r="L305" s="146"/>
      <c r="M305" s="146"/>
      <c r="N305" s="754"/>
      <c r="O305" s="754"/>
      <c r="P305" s="754"/>
      <c r="Q305" s="760">
        <v>10770318</v>
      </c>
      <c r="R305" s="754"/>
      <c r="S305" s="146" t="s">
        <v>646</v>
      </c>
      <c r="T305" s="119"/>
      <c r="U305" s="146"/>
      <c r="V305" s="146"/>
      <c r="W305" s="757">
        <v>1092762807.4100001</v>
      </c>
      <c r="X305" s="146"/>
      <c r="Y305" s="146"/>
      <c r="Z305" s="146"/>
      <c r="AA305" s="146"/>
      <c r="AB305" s="146"/>
      <c r="AC305" s="756"/>
      <c r="AD305" s="756"/>
      <c r="AE305" s="756"/>
      <c r="AF305" s="758"/>
      <c r="AG305" s="146"/>
      <c r="AH305" s="759"/>
      <c r="AI305" s="146"/>
      <c r="AJ305" s="146"/>
      <c r="AK305" s="760"/>
      <c r="AL305" s="146"/>
      <c r="AM305" s="146"/>
      <c r="AN305" s="146"/>
      <c r="AO305" s="146"/>
      <c r="AP305" s="146"/>
      <c r="AQ305" s="146"/>
      <c r="AR305" s="146"/>
      <c r="AS305" s="146"/>
      <c r="AT305" s="146"/>
      <c r="AU305" s="146"/>
      <c r="AV305" s="128"/>
      <c r="AW305" s="117" t="e">
        <f>VLOOKUP($D305,'WB Data'!$C$3:$M$578,2,FALSE)</f>
        <v>#N/A</v>
      </c>
      <c r="AX305" s="117" t="e">
        <f>VLOOKUP($D305,'WB Data'!$C$3:$M$578,3,FALSE)</f>
        <v>#N/A</v>
      </c>
      <c r="AY305" s="847" t="str">
        <f t="shared" si="51"/>
        <v>..</v>
      </c>
      <c r="AZ305" s="117" t="e">
        <f>VLOOKUP($D305,'WB Data'!$C$3:$M$578,4,FALSE)/100</f>
        <v>#N/A</v>
      </c>
      <c r="BA305" s="117" t="str">
        <f t="shared" si="52"/>
        <v>..</v>
      </c>
      <c r="BB305" s="129" t="str">
        <f>IFERROR(VLOOKUP($D305,'EITI Revenues'!$C$2:$G$224,5,FALSE),"..")</f>
        <v>..</v>
      </c>
      <c r="BC305" s="846" t="str">
        <f t="shared" si="53"/>
        <v>..</v>
      </c>
      <c r="BD305" s="129" t="e">
        <f>VLOOKUP($D305,'WB Data 2'!$C$2:$K$545,6,FALSE)</f>
        <v>#N/A</v>
      </c>
      <c r="BE305" s="129" t="str">
        <f>IFERROR(VLOOKUP($D305,UNCTAD!$C$5:$V$529,4,FALSE),"..")</f>
        <v>..</v>
      </c>
      <c r="BF305" s="846" t="str">
        <f t="shared" si="54"/>
        <v>..</v>
      </c>
      <c r="BG305" s="117" t="e">
        <f>VLOOKUP($D305,'WB Data'!$C$3:$M$578,5,FALSE)</f>
        <v>#N/A</v>
      </c>
      <c r="BH305" s="129" t="str">
        <f>IFERROR($BB305/$BG305,"..")</f>
        <v>..</v>
      </c>
      <c r="BI305" s="117" t="str">
        <f>IFERROR(VLOOKUP($D305,'WB Data'!$C$3:$M$578,7,FALSE)/100,"..")</f>
        <v>..</v>
      </c>
      <c r="BJ305" s="117" t="str">
        <f>IFERROR($BI305*$AW305,"..")</f>
        <v>..</v>
      </c>
      <c r="BK305" s="846" t="str">
        <f>IFERROR($BB305/$BJ305,"..")</f>
        <v>..</v>
      </c>
      <c r="BL305" s="117" t="str">
        <f>IFERROR(VLOOKUP($D305,'WB Data'!$C$3:$M$578,7,FALSE)/100,"..")</f>
        <v>..</v>
      </c>
      <c r="BM305" s="117" t="str">
        <f>IFERROR($AW305*$BL305,"..")</f>
        <v>..</v>
      </c>
      <c r="BN305" s="846" t="str">
        <f>IFERROR($BB305/$BM305,"..")</f>
        <v>..</v>
      </c>
      <c r="BO305" s="801" t="str">
        <f t="shared" si="50"/>
        <v>..</v>
      </c>
      <c r="BP305" s="117" t="e">
        <f>VLOOKUP($D305,'WB Data'!$C$3:$M$578,9,FALSE)</f>
        <v>#N/A</v>
      </c>
      <c r="BQ305" s="117" t="e">
        <f>VLOOKUP($D305,'WB Data'!$C$3:$M$578,10,FALSE)</f>
        <v>#N/A</v>
      </c>
      <c r="BR305" s="117" t="e">
        <f>VLOOKUP($D305,'WB Data'!$C$3:$M$578,11,FALSE)</f>
        <v>#N/A</v>
      </c>
      <c r="BS305" s="129" t="str">
        <f>IFERROR(VLOOKUP($D305,'WB Data 2'!$C$2:$K$545,9,FALSE),"..")</f>
        <v>..</v>
      </c>
      <c r="BT305" s="129" t="str">
        <f>_xlfn.IFNA(VLOOKUP($C305,RGI!$A$2:$C$43,2,FALSE),"..")</f>
        <v>..</v>
      </c>
      <c r="BU305" s="129" t="str">
        <f>_xlfn.IFNA(VLOOKUP($C305,RGI!$A$2:$C$43,3,FALSE),"..")</f>
        <v>..</v>
      </c>
      <c r="BV305" s="129" t="e">
        <f>VLOOKUP($D305,WGI!$C$2:$O$478,7,FALSE)</f>
        <v>#N/A</v>
      </c>
      <c r="BW305" s="129" t="e">
        <f>VLOOKUP($D305,WGI!$C$2:$O$478,4,FALSE)</f>
        <v>#N/A</v>
      </c>
      <c r="BX305" s="129" t="e">
        <f>VLOOKUP($D305,WGI!$C$2:$O$478,3,FALSE)</f>
        <v>#N/A</v>
      </c>
      <c r="BY305" s="129" t="e">
        <f>VLOOKUP($D305,WGI!$C$2:$O$478,5,FALSE)</f>
        <v>#N/A</v>
      </c>
      <c r="BZ305" s="129" t="e">
        <f>VLOOKUP($D305,WGI!$C$2:$O$478,2,FALSE)</f>
        <v>#N/A</v>
      </c>
    </row>
    <row r="306" spans="1:80" ht="15" customHeight="1">
      <c r="A306" s="289" t="s">
        <v>167</v>
      </c>
      <c r="B306" s="146">
        <v>2012</v>
      </c>
      <c r="C306" s="132" t="s">
        <v>3791</v>
      </c>
      <c r="D306" s="117" t="s">
        <v>3798</v>
      </c>
      <c r="E306" s="146" t="s">
        <v>86</v>
      </c>
      <c r="F306" s="146"/>
      <c r="G306" s="146" t="s">
        <v>561</v>
      </c>
      <c r="H306" s="146"/>
      <c r="I306" s="146"/>
      <c r="J306" s="146"/>
      <c r="K306" s="146" t="s">
        <v>561</v>
      </c>
      <c r="L306" s="146"/>
      <c r="M306" s="146"/>
      <c r="N306" s="754"/>
      <c r="O306" s="754"/>
      <c r="P306" s="754"/>
      <c r="Q306" s="760">
        <v>62991498</v>
      </c>
      <c r="R306" s="754"/>
      <c r="S306" s="146" t="s">
        <v>1057</v>
      </c>
      <c r="T306" s="119"/>
      <c r="U306" s="146"/>
      <c r="V306" s="146"/>
      <c r="W306" s="146"/>
      <c r="X306" s="146"/>
      <c r="Y306" s="146"/>
      <c r="Z306" s="146"/>
      <c r="AA306" s="146"/>
      <c r="AB306" s="146"/>
      <c r="AC306" s="756"/>
      <c r="AD306" s="756"/>
      <c r="AE306" s="756"/>
      <c r="AF306" s="758"/>
      <c r="AG306" s="146"/>
      <c r="AH306" s="759"/>
      <c r="AI306" s="146"/>
      <c r="AJ306" s="146"/>
      <c r="AK306" s="760"/>
      <c r="AL306" s="146"/>
      <c r="AM306" s="146"/>
      <c r="AN306" s="146"/>
      <c r="AO306" s="146"/>
      <c r="AP306" s="146"/>
      <c r="AQ306" s="146"/>
      <c r="AR306" s="146"/>
      <c r="AS306" s="146"/>
      <c r="AT306" s="146"/>
      <c r="AU306" s="146"/>
      <c r="AV306" s="128"/>
      <c r="AW306" s="117" t="e">
        <f>VLOOKUP($D306,'WB Data'!$C$3:$M$578,2,FALSE)</f>
        <v>#N/A</v>
      </c>
      <c r="AX306" s="117" t="e">
        <f>VLOOKUP($D306,'WB Data'!$C$3:$M$578,3,FALSE)</f>
        <v>#N/A</v>
      </c>
      <c r="AY306" s="847" t="str">
        <f t="shared" si="51"/>
        <v>..</v>
      </c>
      <c r="AZ306" s="117" t="e">
        <f>VLOOKUP($D306,'WB Data'!$C$3:$M$578,4,FALSE)/100</f>
        <v>#N/A</v>
      </c>
      <c r="BA306" s="117" t="str">
        <f t="shared" si="52"/>
        <v>..</v>
      </c>
      <c r="BB306" s="129" t="str">
        <f>IFERROR(VLOOKUP($D306,'EITI Revenues'!$C$2:$G$224,5,FALSE),"..")</f>
        <v>..</v>
      </c>
      <c r="BC306" s="846" t="str">
        <f t="shared" si="53"/>
        <v>..</v>
      </c>
      <c r="BD306" s="129" t="e">
        <f>VLOOKUP($D306,'WB Data 2'!$C$2:$K$545,6,FALSE)</f>
        <v>#N/A</v>
      </c>
      <c r="BE306" s="129" t="str">
        <f>IFERROR(VLOOKUP($D306,UNCTAD!$C$5:$V$529,4,FALSE),"..")</f>
        <v>..</v>
      </c>
      <c r="BF306" s="846" t="str">
        <f t="shared" si="54"/>
        <v>..</v>
      </c>
      <c r="BG306" s="117" t="e">
        <f>VLOOKUP($D306,'WB Data'!$C$3:$M$578,5,FALSE)</f>
        <v>#N/A</v>
      </c>
      <c r="BH306" s="129" t="str">
        <f>IFERROR($BB306/$BG306,"..")</f>
        <v>..</v>
      </c>
      <c r="BI306" s="117" t="str">
        <f>IFERROR(VLOOKUP($D306,'WB Data'!$C$3:$M$578,7,FALSE)/100,"..")</f>
        <v>..</v>
      </c>
      <c r="BJ306" s="117" t="str">
        <f>IFERROR($BI306*$AW306,"..")</f>
        <v>..</v>
      </c>
      <c r="BK306" s="846" t="str">
        <f>IFERROR($BB306/$BJ306,"..")</f>
        <v>..</v>
      </c>
      <c r="BL306" s="117" t="str">
        <f>IFERROR(VLOOKUP($D306,'WB Data'!$C$3:$M$578,7,FALSE)/100,"..")</f>
        <v>..</v>
      </c>
      <c r="BM306" s="117" t="str">
        <f>IFERROR($AW306*$BL306,"..")</f>
        <v>..</v>
      </c>
      <c r="BN306" s="846" t="str">
        <f>IFERROR($BB306/$BM306,"..")</f>
        <v>..</v>
      </c>
      <c r="BO306" s="801" t="str">
        <f t="shared" si="50"/>
        <v>..</v>
      </c>
      <c r="BP306" s="117" t="e">
        <f>VLOOKUP($D306,'WB Data'!$C$3:$M$578,9,FALSE)</f>
        <v>#N/A</v>
      </c>
      <c r="BQ306" s="117" t="e">
        <f>VLOOKUP($D306,'WB Data'!$C$3:$M$578,10,FALSE)</f>
        <v>#N/A</v>
      </c>
      <c r="BR306" s="117" t="e">
        <f>VLOOKUP($D306,'WB Data'!$C$3:$M$578,11,FALSE)</f>
        <v>#N/A</v>
      </c>
      <c r="BS306" s="129" t="str">
        <f>IFERROR(VLOOKUP($D306,'WB Data 2'!$C$2:$K$545,9,FALSE),"..")</f>
        <v>..</v>
      </c>
      <c r="BT306" s="129" t="str">
        <f>_xlfn.IFNA(VLOOKUP($C306,RGI!$A$2:$C$43,2,FALSE),"..")</f>
        <v>..</v>
      </c>
      <c r="BU306" s="129" t="str">
        <f>_xlfn.IFNA(VLOOKUP($C306,RGI!$A$2:$C$43,3,FALSE),"..")</f>
        <v>..</v>
      </c>
      <c r="BV306" s="129" t="e">
        <f>VLOOKUP($D306,WGI!$C$2:$O$478,7,FALSE)</f>
        <v>#N/A</v>
      </c>
      <c r="BW306" s="129" t="e">
        <f>VLOOKUP($D306,WGI!$C$2:$O$478,4,FALSE)</f>
        <v>#N/A</v>
      </c>
      <c r="BX306" s="129" t="e">
        <f>VLOOKUP($D306,WGI!$C$2:$O$478,3,FALSE)</f>
        <v>#N/A</v>
      </c>
      <c r="BY306" s="129" t="e">
        <f>VLOOKUP($D306,WGI!$C$2:$O$478,5,FALSE)</f>
        <v>#N/A</v>
      </c>
      <c r="BZ306" s="129" t="e">
        <f>VLOOKUP($D306,WGI!$C$2:$O$478,2,FALSE)</f>
        <v>#N/A</v>
      </c>
    </row>
    <row r="307" spans="1:80" ht="15" customHeight="1">
      <c r="A307" s="289" t="s">
        <v>167</v>
      </c>
      <c r="B307" s="763">
        <v>2012</v>
      </c>
      <c r="C307" s="132" t="s">
        <v>3791</v>
      </c>
      <c r="D307" s="117" t="s">
        <v>3798</v>
      </c>
      <c r="E307" s="763" t="s">
        <v>86</v>
      </c>
      <c r="F307" s="146"/>
      <c r="G307" s="146" t="s">
        <v>24</v>
      </c>
      <c r="H307" s="146"/>
      <c r="I307" s="146"/>
      <c r="J307" s="146"/>
      <c r="K307" s="146" t="s">
        <v>784</v>
      </c>
      <c r="L307" s="146"/>
      <c r="M307" s="146"/>
      <c r="N307" s="754"/>
      <c r="O307" s="754"/>
      <c r="P307" s="754"/>
      <c r="Q307" s="146">
        <v>10.050000000000001</v>
      </c>
      <c r="R307" s="754"/>
      <c r="S307" s="146" t="s">
        <v>610</v>
      </c>
      <c r="T307" s="119"/>
      <c r="U307" s="146"/>
      <c r="V307" s="146"/>
      <c r="W307" s="757">
        <v>549204083.74000001</v>
      </c>
      <c r="X307" s="146"/>
      <c r="Y307" s="146"/>
      <c r="Z307" s="146"/>
      <c r="AA307" s="146"/>
      <c r="AB307" s="146"/>
      <c r="AC307" s="756"/>
      <c r="AD307" s="756"/>
      <c r="AE307" s="756"/>
      <c r="AF307" s="758"/>
      <c r="AG307" s="146"/>
      <c r="AH307" s="759"/>
      <c r="AI307" s="146"/>
      <c r="AJ307" s="146"/>
      <c r="AK307" s="760"/>
      <c r="AL307" s="146"/>
      <c r="AM307" s="146"/>
      <c r="AN307" s="146"/>
      <c r="AO307" s="146"/>
      <c r="AP307" s="146"/>
      <c r="AQ307" s="146"/>
      <c r="AR307" s="146"/>
      <c r="AS307" s="146"/>
      <c r="AT307" s="146"/>
      <c r="AU307" s="146"/>
      <c r="AV307" s="128"/>
      <c r="AW307" s="117" t="e">
        <f>VLOOKUP($D307,'WB Data'!$C$3:$M$578,2,FALSE)</f>
        <v>#N/A</v>
      </c>
      <c r="AX307" s="117" t="e">
        <f>VLOOKUP($D307,'WB Data'!$C$3:$M$578,3,FALSE)</f>
        <v>#N/A</v>
      </c>
      <c r="AY307" s="847" t="str">
        <f t="shared" si="51"/>
        <v>..</v>
      </c>
      <c r="AZ307" s="117" t="e">
        <f>VLOOKUP($D307,'WB Data'!$C$3:$M$578,4,FALSE)/100</f>
        <v>#N/A</v>
      </c>
      <c r="BA307" s="117" t="str">
        <f t="shared" si="52"/>
        <v>..</v>
      </c>
      <c r="BB307" s="129" t="str">
        <f>IFERROR(VLOOKUP($D307,'EITI Revenues'!$C$2:$G$224,5,FALSE),"..")</f>
        <v>..</v>
      </c>
      <c r="BC307" s="846" t="str">
        <f t="shared" si="53"/>
        <v>..</v>
      </c>
      <c r="BD307" s="129" t="e">
        <f>VLOOKUP($D307,'WB Data 2'!$C$2:$K$545,6,FALSE)</f>
        <v>#N/A</v>
      </c>
      <c r="BE307" s="129" t="str">
        <f>IFERROR(VLOOKUP($D307,UNCTAD!$C$5:$V$529,4,FALSE),"..")</f>
        <v>..</v>
      </c>
      <c r="BF307" s="846" t="str">
        <f t="shared" si="54"/>
        <v>..</v>
      </c>
      <c r="BG307" s="117" t="e">
        <f>VLOOKUP($D307,'WB Data'!$C$3:$M$578,5,FALSE)</f>
        <v>#N/A</v>
      </c>
      <c r="BH307" s="129" t="str">
        <f>IFERROR($BB307/$BG307,"..")</f>
        <v>..</v>
      </c>
      <c r="BI307" s="117" t="str">
        <f>IFERROR(VLOOKUP($D307,'WB Data'!$C$3:$M$578,7,FALSE)/100,"..")</f>
        <v>..</v>
      </c>
      <c r="BJ307" s="117" t="str">
        <f>IFERROR($BI307*$AW307,"..")</f>
        <v>..</v>
      </c>
      <c r="BK307" s="846" t="str">
        <f>IFERROR($BB307/$BJ307,"..")</f>
        <v>..</v>
      </c>
      <c r="BL307" s="117" t="str">
        <f>IFERROR(VLOOKUP($D307,'WB Data'!$C$3:$M$578,7,FALSE)/100,"..")</f>
        <v>..</v>
      </c>
      <c r="BM307" s="117" t="str">
        <f>IFERROR($AW307*$BL307,"..")</f>
        <v>..</v>
      </c>
      <c r="BN307" s="846" t="str">
        <f>IFERROR($BB307/$BM307,"..")</f>
        <v>..</v>
      </c>
      <c r="BO307" s="801" t="str">
        <f t="shared" si="50"/>
        <v>..</v>
      </c>
      <c r="BP307" s="117" t="e">
        <f>VLOOKUP($D307,'WB Data'!$C$3:$M$578,9,FALSE)</f>
        <v>#N/A</v>
      </c>
      <c r="BQ307" s="117" t="e">
        <f>VLOOKUP($D307,'WB Data'!$C$3:$M$578,10,FALSE)</f>
        <v>#N/A</v>
      </c>
      <c r="BR307" s="117" t="e">
        <f>VLOOKUP($D307,'WB Data'!$C$3:$M$578,11,FALSE)</f>
        <v>#N/A</v>
      </c>
      <c r="BS307" s="129" t="str">
        <f>IFERROR(VLOOKUP($D307,'WB Data 2'!$C$2:$K$545,9,FALSE),"..")</f>
        <v>..</v>
      </c>
      <c r="BT307" s="129" t="str">
        <f>_xlfn.IFNA(VLOOKUP($C307,RGI!$A$2:$C$43,2,FALSE),"..")</f>
        <v>..</v>
      </c>
      <c r="BU307" s="129" t="str">
        <f>_xlfn.IFNA(VLOOKUP($C307,RGI!$A$2:$C$43,3,FALSE),"..")</f>
        <v>..</v>
      </c>
      <c r="BV307" s="129" t="e">
        <f>VLOOKUP($D307,WGI!$C$2:$O$478,7,FALSE)</f>
        <v>#N/A</v>
      </c>
      <c r="BW307" s="129" t="e">
        <f>VLOOKUP($D307,WGI!$C$2:$O$478,4,FALSE)</f>
        <v>#N/A</v>
      </c>
      <c r="BX307" s="129" t="e">
        <f>VLOOKUP($D307,WGI!$C$2:$O$478,3,FALSE)</f>
        <v>#N/A</v>
      </c>
      <c r="BY307" s="129" t="e">
        <f>VLOOKUP($D307,WGI!$C$2:$O$478,5,FALSE)</f>
        <v>#N/A</v>
      </c>
      <c r="BZ307" s="129" t="e">
        <f>VLOOKUP($D307,WGI!$C$2:$O$478,2,FALSE)</f>
        <v>#N/A</v>
      </c>
    </row>
    <row r="308" spans="1:80" s="173" customFormat="1" ht="15" customHeight="1" thickBot="1">
      <c r="A308" s="764" t="s">
        <v>167</v>
      </c>
      <c r="B308" s="308">
        <v>2012</v>
      </c>
      <c r="C308" s="132" t="s">
        <v>3791</v>
      </c>
      <c r="D308" s="117" t="s">
        <v>3798</v>
      </c>
      <c r="E308" s="308" t="s">
        <v>86</v>
      </c>
      <c r="F308" s="307"/>
      <c r="G308" s="307" t="s">
        <v>24</v>
      </c>
      <c r="H308" s="307"/>
      <c r="I308" s="307"/>
      <c r="J308" s="307"/>
      <c r="K308" s="307" t="s">
        <v>843</v>
      </c>
      <c r="L308" s="307"/>
      <c r="M308" s="307"/>
      <c r="N308" s="309"/>
      <c r="O308" s="309"/>
      <c r="P308" s="309"/>
      <c r="Q308" s="307"/>
      <c r="R308" s="309"/>
      <c r="S308" s="307"/>
      <c r="T308" s="166"/>
      <c r="U308" s="307"/>
      <c r="V308" s="307"/>
      <c r="W308" s="347"/>
      <c r="X308" s="307"/>
      <c r="Y308" s="307"/>
      <c r="Z308" s="307"/>
      <c r="AA308" s="307"/>
      <c r="AB308" s="307"/>
      <c r="AC308" s="311"/>
      <c r="AD308" s="311"/>
      <c r="AE308" s="311"/>
      <c r="AF308" s="312"/>
      <c r="AG308" s="307"/>
      <c r="AH308" s="313"/>
      <c r="AI308" s="307"/>
      <c r="AJ308" s="307"/>
      <c r="AK308" s="314"/>
      <c r="AL308" s="307"/>
      <c r="AM308" s="307"/>
      <c r="AN308" s="307"/>
      <c r="AO308" s="307"/>
      <c r="AP308" s="307"/>
      <c r="AQ308" s="307"/>
      <c r="AR308" s="307"/>
      <c r="AS308" s="307"/>
      <c r="AT308" s="307"/>
      <c r="AU308" s="307"/>
      <c r="AV308" s="172"/>
      <c r="AW308" s="117" t="e">
        <f>VLOOKUP($D308,'WB Data'!$C$3:$M$578,2,FALSE)</f>
        <v>#N/A</v>
      </c>
      <c r="AX308" s="117" t="e">
        <f>VLOOKUP($D308,'WB Data'!$C$3:$M$578,3,FALSE)</f>
        <v>#N/A</v>
      </c>
      <c r="AY308" s="847" t="str">
        <f t="shared" si="51"/>
        <v>..</v>
      </c>
      <c r="AZ308" s="117" t="e">
        <f>VLOOKUP($D308,'WB Data'!$C$3:$M$578,4,FALSE)/100</f>
        <v>#N/A</v>
      </c>
      <c r="BA308" s="117" t="str">
        <f t="shared" si="52"/>
        <v>..</v>
      </c>
      <c r="BB308" s="129" t="str">
        <f>IFERROR(VLOOKUP($D308,'EITI Revenues'!$C$2:$G$224,5,FALSE),"..")</f>
        <v>..</v>
      </c>
      <c r="BC308" s="846" t="str">
        <f t="shared" si="53"/>
        <v>..</v>
      </c>
      <c r="BD308" s="129" t="e">
        <f>VLOOKUP($D308,'WB Data 2'!$C$2:$K$545,6,FALSE)</f>
        <v>#N/A</v>
      </c>
      <c r="BE308" s="129" t="str">
        <f>IFERROR(VLOOKUP($D308,UNCTAD!$C$5:$V$529,4,FALSE),"..")</f>
        <v>..</v>
      </c>
      <c r="BF308" s="846" t="str">
        <f t="shared" si="54"/>
        <v>..</v>
      </c>
      <c r="BG308" s="117" t="e">
        <f>VLOOKUP($D308,'WB Data'!$C$3:$M$578,5,FALSE)</f>
        <v>#N/A</v>
      </c>
      <c r="BH308" s="129" t="str">
        <f>IFERROR($BB308/$BG308,"..")</f>
        <v>..</v>
      </c>
      <c r="BI308" s="117" t="str">
        <f>IFERROR(VLOOKUP($D308,'WB Data'!$C$3:$M$578,7,FALSE)/100,"..")</f>
        <v>..</v>
      </c>
      <c r="BJ308" s="117" t="str">
        <f>IFERROR($BI308*$AW308,"..")</f>
        <v>..</v>
      </c>
      <c r="BK308" s="846" t="str">
        <f>IFERROR($BB308/$BJ308,"..")</f>
        <v>..</v>
      </c>
      <c r="BL308" s="117" t="str">
        <f>IFERROR(VLOOKUP($D308,'WB Data'!$C$3:$M$578,7,FALSE)/100,"..")</f>
        <v>..</v>
      </c>
      <c r="BM308" s="117" t="str">
        <f>IFERROR($AW308*$BL308,"..")</f>
        <v>..</v>
      </c>
      <c r="BN308" s="846" t="str">
        <f>IFERROR($BB308/$BM308,"..")</f>
        <v>..</v>
      </c>
      <c r="BO308" s="801" t="str">
        <f t="shared" si="50"/>
        <v>..</v>
      </c>
      <c r="BP308" s="117" t="e">
        <f>VLOOKUP($D308,'WB Data'!$C$3:$M$578,9,FALSE)</f>
        <v>#N/A</v>
      </c>
      <c r="BQ308" s="117" t="e">
        <f>VLOOKUP($D308,'WB Data'!$C$3:$M$578,10,FALSE)</f>
        <v>#N/A</v>
      </c>
      <c r="BR308" s="117" t="e">
        <f>VLOOKUP($D308,'WB Data'!$C$3:$M$578,11,FALSE)</f>
        <v>#N/A</v>
      </c>
      <c r="BS308" s="129" t="str">
        <f>IFERROR(VLOOKUP($D308,'WB Data 2'!$C$2:$K$545,9,FALSE),"..")</f>
        <v>..</v>
      </c>
      <c r="BT308" s="129" t="str">
        <f>_xlfn.IFNA(VLOOKUP($C308,RGI!$A$2:$C$43,2,FALSE),"..")</f>
        <v>..</v>
      </c>
      <c r="BU308" s="129" t="str">
        <f>_xlfn.IFNA(VLOOKUP($C308,RGI!$A$2:$C$43,3,FALSE),"..")</f>
        <v>..</v>
      </c>
      <c r="BV308" s="129" t="e">
        <f>VLOOKUP($D308,WGI!$C$2:$O$478,7,FALSE)</f>
        <v>#N/A</v>
      </c>
      <c r="BW308" s="129" t="e">
        <f>VLOOKUP($D308,WGI!$C$2:$O$478,4,FALSE)</f>
        <v>#N/A</v>
      </c>
      <c r="BX308" s="129" t="e">
        <f>VLOOKUP($D308,WGI!$C$2:$O$478,3,FALSE)</f>
        <v>#N/A</v>
      </c>
      <c r="BY308" s="129" t="e">
        <f>VLOOKUP($D308,WGI!$C$2:$O$478,5,FALSE)</f>
        <v>#N/A</v>
      </c>
      <c r="BZ308" s="129" t="e">
        <f>VLOOKUP($D308,WGI!$C$2:$O$478,2,FALSE)</f>
        <v>#N/A</v>
      </c>
      <c r="CB308" s="129"/>
    </row>
    <row r="309" spans="1:80" ht="15" customHeight="1">
      <c r="A309" s="315" t="s">
        <v>170</v>
      </c>
      <c r="B309" s="267">
        <v>2007</v>
      </c>
      <c r="C309" s="267" t="s">
        <v>171</v>
      </c>
      <c r="D309" s="117" t="s">
        <v>3556</v>
      </c>
      <c r="E309" s="267" t="s">
        <v>86</v>
      </c>
      <c r="F309" s="267" t="s">
        <v>1059</v>
      </c>
      <c r="G309" s="267" t="s">
        <v>41</v>
      </c>
      <c r="H309" s="117" t="str">
        <f t="shared" si="55"/>
        <v>yes</v>
      </c>
      <c r="I309" s="117" t="str">
        <f t="shared" si="56"/>
        <v>no</v>
      </c>
      <c r="J309" s="117" t="str">
        <f t="shared" si="57"/>
        <v>yes</v>
      </c>
      <c r="K309" s="268" t="s">
        <v>709</v>
      </c>
      <c r="L309" s="117" t="str">
        <f t="shared" si="49"/>
        <v>Total</v>
      </c>
      <c r="M309" s="117" t="str">
        <f t="shared" si="58"/>
        <v>Total Oil, Mining</v>
      </c>
      <c r="N309" s="269"/>
      <c r="O309" s="269"/>
      <c r="P309" s="269"/>
      <c r="Q309" s="269"/>
      <c r="R309" s="269"/>
      <c r="S309" s="267"/>
      <c r="T309" s="270"/>
      <c r="U309" s="267"/>
      <c r="V309" s="267"/>
      <c r="W309" s="275">
        <f>W310+W311</f>
        <v>1339869004.3996217</v>
      </c>
      <c r="X309" s="267" t="s">
        <v>710</v>
      </c>
      <c r="Y309" s="267" t="s">
        <v>602</v>
      </c>
      <c r="Z309" s="267"/>
      <c r="AA309" s="334">
        <v>416300000</v>
      </c>
      <c r="AB309" s="334">
        <v>416491000</v>
      </c>
      <c r="AC309" s="272"/>
      <c r="AD309" s="272"/>
      <c r="AE309" s="272"/>
      <c r="AF309" s="317">
        <f>AA309/W309</f>
        <v>0.31070201537092706</v>
      </c>
      <c r="AG309" s="267"/>
      <c r="AH309" s="274">
        <v>516.75</v>
      </c>
      <c r="AI309" s="267" t="s">
        <v>667</v>
      </c>
      <c r="AJ309" s="267"/>
      <c r="AK309" s="275"/>
      <c r="AL309" s="267"/>
      <c r="AM309" s="267"/>
      <c r="AN309" s="267"/>
      <c r="AO309" s="267"/>
      <c r="AP309" s="267">
        <v>26</v>
      </c>
      <c r="AQ309" s="267" t="s">
        <v>172</v>
      </c>
      <c r="AR309" s="277">
        <v>41922</v>
      </c>
      <c r="AS309" s="267" t="s">
        <v>1060</v>
      </c>
      <c r="AT309" s="267" t="s">
        <v>173</v>
      </c>
      <c r="AU309" s="267"/>
      <c r="AV309" s="278" t="s">
        <v>865</v>
      </c>
      <c r="AW309" s="117">
        <f>VLOOKUP($D309,'WB Data'!$C$3:$M$578,2,FALSE)</f>
        <v>16364027646.772434</v>
      </c>
      <c r="AX309" s="117">
        <f>VLOOKUP($D309,'WB Data'!$C$3:$M$578,3,FALSE)</f>
        <v>57187942</v>
      </c>
      <c r="AY309" s="847">
        <f t="shared" si="51"/>
        <v>2.5439947241968214E-2</v>
      </c>
      <c r="AZ309" s="117">
        <f>VLOOKUP($D309,'WB Data'!$C$3:$M$578,4,FALSE)/100</f>
        <v>9.3871844813972163E-2</v>
      </c>
      <c r="BA309" s="117">
        <f t="shared" si="52"/>
        <v>1536121463.789372</v>
      </c>
      <c r="BB309" s="129">
        <f>IFERROR(VLOOKUP($D309,'EITI Revenues'!$C$2:$G$224,5,FALSE),"..")</f>
        <v>416300000</v>
      </c>
      <c r="BC309" s="846">
        <f t="shared" si="53"/>
        <v>0.27100721512806208</v>
      </c>
      <c r="BD309" s="129" t="e">
        <f>VLOOKUP($D309,'WB Data 2'!$C$2:$K$545,6,FALSE)</f>
        <v>#N/A</v>
      </c>
      <c r="BE309" s="129">
        <f>IFERROR(VLOOKUP($D309,UNCTAD!$C$5:$V$529,4,FALSE),"..")</f>
        <v>6486622160.4300003</v>
      </c>
      <c r="BF309" s="846" t="str">
        <f t="shared" si="54"/>
        <v>..</v>
      </c>
      <c r="BG309" s="117">
        <f>VLOOKUP($D309,'WB Data'!$C$3:$M$578,5,FALSE)</f>
        <v>1356710000</v>
      </c>
      <c r="BH309" s="129">
        <f>IFERROR($BB309/$BG309,"..")</f>
        <v>0.30684523590155599</v>
      </c>
      <c r="BI309" s="117" t="str">
        <f>IFERROR(VLOOKUP($D309,'WB Data'!$C$3:$M$578,7,FALSE)/100,"..")</f>
        <v>..</v>
      </c>
      <c r="BJ309" s="117" t="str">
        <f>IFERROR($BI309*$AW309,"..")</f>
        <v>..</v>
      </c>
      <c r="BK309" s="846" t="str">
        <f>IFERROR($BB309/$BJ309,"..")</f>
        <v>..</v>
      </c>
      <c r="BL309" s="117" t="str">
        <f>IFERROR(VLOOKUP($D309,'WB Data'!$C$3:$M$578,7,FALSE)/100,"..")</f>
        <v>..</v>
      </c>
      <c r="BM309" s="117" t="str">
        <f>IFERROR($AW309*$BL309,"..")</f>
        <v>..</v>
      </c>
      <c r="BN309" s="846" t="str">
        <f>IFERROR($BB309/$BM309,"..")</f>
        <v>..</v>
      </c>
      <c r="BO309" s="801" t="str">
        <f t="shared" si="50"/>
        <v>..</v>
      </c>
      <c r="BP309" s="117" t="str">
        <f>VLOOKUP($D309,'WB Data'!$C$3:$M$578,9,FALSE)</f>
        <v>..</v>
      </c>
      <c r="BQ309" s="117">
        <f>VLOOKUP($D309,'WB Data'!$C$3:$M$578,10,FALSE)</f>
        <v>48.213512195121965</v>
      </c>
      <c r="BR309" s="117">
        <f>VLOOKUP($D309,'WB Data'!$C$3:$M$578,11,FALSE)</f>
        <v>99.5</v>
      </c>
      <c r="BS309" s="129" t="str">
        <f>IFERROR(VLOOKUP($D309,'WB Data 2'!$C$2:$K$545,9,FALSE),"..")</f>
        <v>..</v>
      </c>
      <c r="BT309" s="129" t="str">
        <f>_xlfn.IFNA(VLOOKUP($C309,RGI!$A$2:$C$43,2,FALSE),"..")</f>
        <v>..</v>
      </c>
      <c r="BU309" s="129" t="str">
        <f>_xlfn.IFNA(VLOOKUP($C309,RGI!$A$2:$C$43,3,FALSE),"..")</f>
        <v>..</v>
      </c>
      <c r="BV309" s="129">
        <f>VLOOKUP($D309,WGI!$C$2:$O$478,7,FALSE)</f>
        <v>-1.2585968898003801</v>
      </c>
      <c r="BW309" s="129">
        <f>VLOOKUP($D309,WGI!$C$2:$O$478,4,FALSE)</f>
        <v>-2.2133773619349602</v>
      </c>
      <c r="BX309" s="129">
        <f>VLOOKUP($D309,WGI!$C$2:$O$478,3,FALSE)</f>
        <v>-1.7688847547663</v>
      </c>
      <c r="BY309" s="129">
        <f>VLOOKUP($D309,WGI!$C$2:$O$478,5,FALSE)</f>
        <v>-1.2626813110128201</v>
      </c>
      <c r="BZ309" s="129">
        <f>VLOOKUP($D309,WGI!$C$2:$O$478,2,FALSE)</f>
        <v>-1.30773511686967</v>
      </c>
    </row>
    <row r="310" spans="1:80" ht="15" customHeight="1">
      <c r="A310" s="315" t="s">
        <v>170</v>
      </c>
      <c r="B310" s="267">
        <v>2007</v>
      </c>
      <c r="C310" s="267" t="s">
        <v>171</v>
      </c>
      <c r="D310" s="117" t="s">
        <v>3556</v>
      </c>
      <c r="E310" s="267" t="s">
        <v>86</v>
      </c>
      <c r="F310" s="267"/>
      <c r="G310" s="267" t="s">
        <v>103</v>
      </c>
      <c r="H310" s="117" t="str">
        <f t="shared" si="55"/>
        <v>no</v>
      </c>
      <c r="I310" s="117" t="str">
        <f t="shared" si="56"/>
        <v>no</v>
      </c>
      <c r="J310" s="117" t="str">
        <f t="shared" si="57"/>
        <v>yes</v>
      </c>
      <c r="K310" s="268" t="s">
        <v>103</v>
      </c>
      <c r="L310" s="117" t="str">
        <f t="shared" si="49"/>
        <v>detailed</v>
      </c>
      <c r="M310" s="117" t="str">
        <f t="shared" si="58"/>
        <v>detailed Oil</v>
      </c>
      <c r="N310" s="269">
        <v>8103000</v>
      </c>
      <c r="O310" s="269"/>
      <c r="P310" s="269"/>
      <c r="Q310" s="269"/>
      <c r="R310" s="269"/>
      <c r="S310" s="267" t="s">
        <v>646</v>
      </c>
      <c r="T310" s="270">
        <v>71.819999999999993</v>
      </c>
      <c r="U310" s="267" t="s">
        <v>673</v>
      </c>
      <c r="V310" s="267" t="s">
        <v>1030</v>
      </c>
      <c r="W310" s="275">
        <f>N310*T310</f>
        <v>581957460</v>
      </c>
      <c r="X310" s="267"/>
      <c r="Y310" s="267"/>
      <c r="Z310" s="267"/>
      <c r="AA310" s="271"/>
      <c r="AB310" s="271"/>
      <c r="AC310" s="272"/>
      <c r="AD310" s="272"/>
      <c r="AE310" s="272"/>
      <c r="AF310" s="317"/>
      <c r="AG310" s="267"/>
      <c r="AH310" s="274"/>
      <c r="AI310" s="267"/>
      <c r="AJ310" s="267"/>
      <c r="AK310" s="275"/>
      <c r="AL310" s="267"/>
      <c r="AM310" s="267"/>
      <c r="AN310" s="267"/>
      <c r="AO310" s="267"/>
      <c r="AP310" s="267"/>
      <c r="AQ310" s="267"/>
      <c r="AR310" s="277"/>
      <c r="AS310" s="267"/>
      <c r="AT310" s="267"/>
      <c r="AU310" s="267"/>
      <c r="AV310" s="278"/>
      <c r="AW310" s="117">
        <f>VLOOKUP($D310,'WB Data'!$C$3:$M$578,2,FALSE)</f>
        <v>16364027646.772434</v>
      </c>
      <c r="AX310" s="117">
        <f>VLOOKUP($D310,'WB Data'!$C$3:$M$578,3,FALSE)</f>
        <v>57187942</v>
      </c>
      <c r="AY310" s="847">
        <f t="shared" si="51"/>
        <v>2.5439947241968214E-2</v>
      </c>
      <c r="AZ310" s="117">
        <f>VLOOKUP($D310,'WB Data'!$C$3:$M$578,4,FALSE)/100</f>
        <v>9.3871844813972163E-2</v>
      </c>
      <c r="BA310" s="117">
        <f t="shared" si="52"/>
        <v>1536121463.789372</v>
      </c>
      <c r="BB310" s="129">
        <f>IFERROR(VLOOKUP($D310,'EITI Revenues'!$C$2:$G$224,5,FALSE),"..")</f>
        <v>416300000</v>
      </c>
      <c r="BC310" s="846">
        <f t="shared" si="53"/>
        <v>0.27100721512806208</v>
      </c>
      <c r="BD310" s="129" t="e">
        <f>VLOOKUP($D310,'WB Data 2'!$C$2:$K$545,6,FALSE)</f>
        <v>#N/A</v>
      </c>
      <c r="BE310" s="129">
        <f>IFERROR(VLOOKUP($D310,UNCTAD!$C$5:$V$529,4,FALSE),"..")</f>
        <v>6486622160.4300003</v>
      </c>
      <c r="BF310" s="846" t="str">
        <f t="shared" si="54"/>
        <v>..</v>
      </c>
      <c r="BG310" s="117">
        <f>VLOOKUP($D310,'WB Data'!$C$3:$M$578,5,FALSE)</f>
        <v>1356710000</v>
      </c>
      <c r="BH310" s="129">
        <f>IFERROR($BB310/$BG310,"..")</f>
        <v>0.30684523590155599</v>
      </c>
      <c r="BI310" s="117" t="str">
        <f>IFERROR(VLOOKUP($D310,'WB Data'!$C$3:$M$578,7,FALSE)/100,"..")</f>
        <v>..</v>
      </c>
      <c r="BJ310" s="117" t="str">
        <f>IFERROR($BI310*$AW310,"..")</f>
        <v>..</v>
      </c>
      <c r="BK310" s="846" t="str">
        <f>IFERROR($BB310/$BJ310,"..")</f>
        <v>..</v>
      </c>
      <c r="BL310" s="117" t="str">
        <f>IFERROR(VLOOKUP($D310,'WB Data'!$C$3:$M$578,7,FALSE)/100,"..")</f>
        <v>..</v>
      </c>
      <c r="BM310" s="117" t="str">
        <f>IFERROR($AW310*$BL310,"..")</f>
        <v>..</v>
      </c>
      <c r="BN310" s="846" t="str">
        <f>IFERROR($BB310/$BM310,"..")</f>
        <v>..</v>
      </c>
      <c r="BO310" s="801" t="str">
        <f t="shared" si="50"/>
        <v>..</v>
      </c>
      <c r="BP310" s="117" t="str">
        <f>VLOOKUP($D310,'WB Data'!$C$3:$M$578,9,FALSE)</f>
        <v>..</v>
      </c>
      <c r="BQ310" s="117">
        <f>VLOOKUP($D310,'WB Data'!$C$3:$M$578,10,FALSE)</f>
        <v>48.213512195121965</v>
      </c>
      <c r="BR310" s="117">
        <f>VLOOKUP($D310,'WB Data'!$C$3:$M$578,11,FALSE)</f>
        <v>99.5</v>
      </c>
      <c r="BS310" s="129" t="str">
        <f>IFERROR(VLOOKUP($D310,'WB Data 2'!$C$2:$K$545,9,FALSE),"..")</f>
        <v>..</v>
      </c>
      <c r="BT310" s="129" t="str">
        <f>_xlfn.IFNA(VLOOKUP($C310,RGI!$A$2:$C$43,2,FALSE),"..")</f>
        <v>..</v>
      </c>
      <c r="BU310" s="129" t="str">
        <f>_xlfn.IFNA(VLOOKUP($C310,RGI!$A$2:$C$43,3,FALSE),"..")</f>
        <v>..</v>
      </c>
      <c r="BV310" s="129">
        <f>VLOOKUP($D310,WGI!$C$2:$O$478,7,FALSE)</f>
        <v>-1.2585968898003801</v>
      </c>
      <c r="BW310" s="129">
        <f>VLOOKUP($D310,WGI!$C$2:$O$478,4,FALSE)</f>
        <v>-2.2133773619349602</v>
      </c>
      <c r="BX310" s="129">
        <f>VLOOKUP($D310,WGI!$C$2:$O$478,3,FALSE)</f>
        <v>-1.7688847547663</v>
      </c>
      <c r="BY310" s="129">
        <f>VLOOKUP($D310,WGI!$C$2:$O$478,5,FALSE)</f>
        <v>-1.2626813110128201</v>
      </c>
      <c r="BZ310" s="129">
        <f>VLOOKUP($D310,WGI!$C$2:$O$478,2,FALSE)</f>
        <v>-1.30773511686967</v>
      </c>
    </row>
    <row r="311" spans="1:80" ht="15" customHeight="1">
      <c r="A311" s="315" t="s">
        <v>170</v>
      </c>
      <c r="B311" s="267">
        <v>2007</v>
      </c>
      <c r="C311" s="267" t="s">
        <v>171</v>
      </c>
      <c r="D311" s="117" t="s">
        <v>3556</v>
      </c>
      <c r="E311" s="267" t="s">
        <v>86</v>
      </c>
      <c r="F311" s="267"/>
      <c r="G311" s="267" t="s">
        <v>24</v>
      </c>
      <c r="H311" s="117" t="str">
        <f t="shared" si="55"/>
        <v>yes</v>
      </c>
      <c r="I311" s="117" t="str">
        <f t="shared" si="56"/>
        <v>no</v>
      </c>
      <c r="J311" s="117" t="str">
        <f t="shared" si="57"/>
        <v>no</v>
      </c>
      <c r="K311" s="268" t="s">
        <v>600</v>
      </c>
      <c r="L311" s="117" t="str">
        <f t="shared" si="49"/>
        <v>Total</v>
      </c>
      <c r="M311" s="117" t="str">
        <f t="shared" si="58"/>
        <v>Total Mining</v>
      </c>
      <c r="N311" s="269"/>
      <c r="O311" s="269"/>
      <c r="P311" s="269"/>
      <c r="Q311" s="269"/>
      <c r="R311" s="269"/>
      <c r="S311" s="267"/>
      <c r="T311" s="270"/>
      <c r="U311" s="267"/>
      <c r="V311" s="267"/>
      <c r="W311" s="275">
        <f>SUM(W312:W330)</f>
        <v>757911544.39962173</v>
      </c>
      <c r="X311" s="267"/>
      <c r="Y311" s="267"/>
      <c r="Z311" s="267"/>
      <c r="AA311" s="271"/>
      <c r="AB311" s="271"/>
      <c r="AC311" s="272"/>
      <c r="AD311" s="272"/>
      <c r="AE311" s="272"/>
      <c r="AF311" s="317"/>
      <c r="AG311" s="267"/>
      <c r="AH311" s="274"/>
      <c r="AI311" s="267"/>
      <c r="AJ311" s="267"/>
      <c r="AK311" s="275"/>
      <c r="AL311" s="267"/>
      <c r="AM311" s="267"/>
      <c r="AN311" s="267"/>
      <c r="AO311" s="267"/>
      <c r="AP311" s="267"/>
      <c r="AQ311" s="267"/>
      <c r="AR311" s="277"/>
      <c r="AS311" s="267"/>
      <c r="AT311" s="267"/>
      <c r="AU311" s="267"/>
      <c r="AV311" s="278"/>
      <c r="AW311" s="117">
        <f>VLOOKUP($D311,'WB Data'!$C$3:$M$578,2,FALSE)</f>
        <v>16364027646.772434</v>
      </c>
      <c r="AX311" s="117">
        <f>VLOOKUP($D311,'WB Data'!$C$3:$M$578,3,FALSE)</f>
        <v>57187942</v>
      </c>
      <c r="AY311" s="847">
        <f t="shared" si="51"/>
        <v>2.5439947241968214E-2</v>
      </c>
      <c r="AZ311" s="117">
        <f>VLOOKUP($D311,'WB Data'!$C$3:$M$578,4,FALSE)/100</f>
        <v>9.3871844813972163E-2</v>
      </c>
      <c r="BA311" s="117">
        <f t="shared" si="52"/>
        <v>1536121463.789372</v>
      </c>
      <c r="BB311" s="129">
        <f>IFERROR(VLOOKUP($D311,'EITI Revenues'!$C$2:$G$224,5,FALSE),"..")</f>
        <v>416300000</v>
      </c>
      <c r="BC311" s="846">
        <f t="shared" si="53"/>
        <v>0.27100721512806208</v>
      </c>
      <c r="BD311" s="129" t="e">
        <f>VLOOKUP($D311,'WB Data 2'!$C$2:$K$545,6,FALSE)</f>
        <v>#N/A</v>
      </c>
      <c r="BE311" s="129">
        <f>IFERROR(VLOOKUP($D311,UNCTAD!$C$5:$V$529,4,FALSE),"..")</f>
        <v>6486622160.4300003</v>
      </c>
      <c r="BF311" s="846" t="str">
        <f t="shared" si="54"/>
        <v>..</v>
      </c>
      <c r="BG311" s="117">
        <f>VLOOKUP($D311,'WB Data'!$C$3:$M$578,5,FALSE)</f>
        <v>1356710000</v>
      </c>
      <c r="BH311" s="129">
        <f>IFERROR($BB311/$BG311,"..")</f>
        <v>0.30684523590155599</v>
      </c>
      <c r="BI311" s="117" t="str">
        <f>IFERROR(VLOOKUP($D311,'WB Data'!$C$3:$M$578,7,FALSE)/100,"..")</f>
        <v>..</v>
      </c>
      <c r="BJ311" s="117" t="str">
        <f>IFERROR($BI311*$AW311,"..")</f>
        <v>..</v>
      </c>
      <c r="BK311" s="846" t="str">
        <f>IFERROR($BB311/$BJ311,"..")</f>
        <v>..</v>
      </c>
      <c r="BL311" s="117" t="str">
        <f>IFERROR(VLOOKUP($D311,'WB Data'!$C$3:$M$578,7,FALSE)/100,"..")</f>
        <v>..</v>
      </c>
      <c r="BM311" s="117" t="str">
        <f>IFERROR($AW311*$BL311,"..")</f>
        <v>..</v>
      </c>
      <c r="BN311" s="846" t="str">
        <f>IFERROR($BB311/$BM311,"..")</f>
        <v>..</v>
      </c>
      <c r="BO311" s="801" t="str">
        <f t="shared" si="50"/>
        <v>..</v>
      </c>
      <c r="BP311" s="117" t="str">
        <f>VLOOKUP($D311,'WB Data'!$C$3:$M$578,9,FALSE)</f>
        <v>..</v>
      </c>
      <c r="BQ311" s="117">
        <f>VLOOKUP($D311,'WB Data'!$C$3:$M$578,10,FALSE)</f>
        <v>48.213512195121965</v>
      </c>
      <c r="BR311" s="117">
        <f>VLOOKUP($D311,'WB Data'!$C$3:$M$578,11,FALSE)</f>
        <v>99.5</v>
      </c>
      <c r="BS311" s="129" t="str">
        <f>IFERROR(VLOOKUP($D311,'WB Data 2'!$C$2:$K$545,9,FALSE),"..")</f>
        <v>..</v>
      </c>
      <c r="BT311" s="129" t="str">
        <f>_xlfn.IFNA(VLOOKUP($C311,RGI!$A$2:$C$43,2,FALSE),"..")</f>
        <v>..</v>
      </c>
      <c r="BU311" s="129" t="str">
        <f>_xlfn.IFNA(VLOOKUP($C311,RGI!$A$2:$C$43,3,FALSE),"..")</f>
        <v>..</v>
      </c>
      <c r="BV311" s="129">
        <f>VLOOKUP($D311,WGI!$C$2:$O$478,7,FALSE)</f>
        <v>-1.2585968898003801</v>
      </c>
      <c r="BW311" s="129">
        <f>VLOOKUP($D311,WGI!$C$2:$O$478,4,FALSE)</f>
        <v>-2.2133773619349602</v>
      </c>
      <c r="BX311" s="129">
        <f>VLOOKUP($D311,WGI!$C$2:$O$478,3,FALSE)</f>
        <v>-1.7688847547663</v>
      </c>
      <c r="BY311" s="129">
        <f>VLOOKUP($D311,WGI!$C$2:$O$478,5,FALSE)</f>
        <v>-1.2626813110128201</v>
      </c>
      <c r="BZ311" s="129">
        <f>VLOOKUP($D311,WGI!$C$2:$O$478,2,FALSE)</f>
        <v>-1.30773511686967</v>
      </c>
    </row>
    <row r="312" spans="1:80" s="348" customFormat="1" ht="15" customHeight="1">
      <c r="A312" s="315" t="s">
        <v>170</v>
      </c>
      <c r="B312" s="267">
        <v>2007</v>
      </c>
      <c r="C312" s="267" t="s">
        <v>171</v>
      </c>
      <c r="D312" s="117" t="s">
        <v>3556</v>
      </c>
      <c r="E312" s="267" t="s">
        <v>86</v>
      </c>
      <c r="F312" s="267"/>
      <c r="G312" s="267" t="s">
        <v>24</v>
      </c>
      <c r="H312" s="267" t="str">
        <f t="shared" si="55"/>
        <v>yes</v>
      </c>
      <c r="I312" s="267" t="str">
        <f t="shared" si="56"/>
        <v>no</v>
      </c>
      <c r="J312" s="267" t="str">
        <f t="shared" si="57"/>
        <v>no</v>
      </c>
      <c r="K312" s="268" t="s">
        <v>1061</v>
      </c>
      <c r="L312" s="267" t="str">
        <f t="shared" si="49"/>
        <v>detailed</v>
      </c>
      <c r="M312" s="267" t="str">
        <f t="shared" si="58"/>
        <v>detailed Mining</v>
      </c>
      <c r="N312" s="269"/>
      <c r="O312" s="269"/>
      <c r="P312" s="269"/>
      <c r="Q312" s="269"/>
      <c r="R312" s="269"/>
      <c r="S312" s="267"/>
      <c r="T312" s="270">
        <f>30.55/0.000453592</f>
        <v>67351.276036614407</v>
      </c>
      <c r="U312" s="267" t="s">
        <v>611</v>
      </c>
      <c r="V312" s="267" t="s">
        <v>1062</v>
      </c>
      <c r="W312" s="275">
        <f>N314*T312</f>
        <v>40814873.278188333</v>
      </c>
      <c r="X312" s="267"/>
      <c r="Y312" s="267"/>
      <c r="Z312" s="267"/>
      <c r="AA312" s="271"/>
      <c r="AB312" s="271"/>
      <c r="AC312" s="272"/>
      <c r="AD312" s="272"/>
      <c r="AE312" s="272"/>
      <c r="AF312" s="317"/>
      <c r="AG312" s="267"/>
      <c r="AH312" s="274"/>
      <c r="AI312" s="267"/>
      <c r="AJ312" s="267"/>
      <c r="AK312" s="275"/>
      <c r="AL312" s="267"/>
      <c r="AM312" s="267"/>
      <c r="AN312" s="267"/>
      <c r="AO312" s="267"/>
      <c r="AP312" s="267"/>
      <c r="AQ312" s="267"/>
      <c r="AR312" s="277"/>
      <c r="AS312" s="267"/>
      <c r="AT312" s="267"/>
      <c r="AU312" s="267"/>
      <c r="AV312" s="278"/>
      <c r="AW312" s="117">
        <f>VLOOKUP($D312,'WB Data'!$C$3:$M$578,2,FALSE)</f>
        <v>16364027646.772434</v>
      </c>
      <c r="AX312" s="117">
        <f>VLOOKUP($D312,'WB Data'!$C$3:$M$578,3,FALSE)</f>
        <v>57187942</v>
      </c>
      <c r="AY312" s="847">
        <f t="shared" si="51"/>
        <v>2.5439947241968214E-2</v>
      </c>
      <c r="AZ312" s="117">
        <f>VLOOKUP($D312,'WB Data'!$C$3:$M$578,4,FALSE)/100</f>
        <v>9.3871844813972163E-2</v>
      </c>
      <c r="BA312" s="117">
        <f t="shared" si="52"/>
        <v>1536121463.789372</v>
      </c>
      <c r="BB312" s="129">
        <f>IFERROR(VLOOKUP($D312,'EITI Revenues'!$C$2:$G$224,5,FALSE),"..")</f>
        <v>416300000</v>
      </c>
      <c r="BC312" s="846">
        <f t="shared" si="53"/>
        <v>0.27100721512806208</v>
      </c>
      <c r="BD312" s="129" t="e">
        <f>VLOOKUP($D312,'WB Data 2'!$C$2:$K$545,6,FALSE)</f>
        <v>#N/A</v>
      </c>
      <c r="BE312" s="129">
        <f>IFERROR(VLOOKUP($D312,UNCTAD!$C$5:$V$529,4,FALSE),"..")</f>
        <v>6486622160.4300003</v>
      </c>
      <c r="BF312" s="846" t="str">
        <f t="shared" si="54"/>
        <v>..</v>
      </c>
      <c r="BG312" s="117">
        <f>VLOOKUP($D312,'WB Data'!$C$3:$M$578,5,FALSE)</f>
        <v>1356710000</v>
      </c>
      <c r="BH312" s="129">
        <f>IFERROR($BB312/$BG312,"..")</f>
        <v>0.30684523590155599</v>
      </c>
      <c r="BI312" s="117" t="str">
        <f>IFERROR(VLOOKUP($D312,'WB Data'!$C$3:$M$578,7,FALSE)/100,"..")</f>
        <v>..</v>
      </c>
      <c r="BJ312" s="117" t="str">
        <f>IFERROR($BI312*$AW312,"..")</f>
        <v>..</v>
      </c>
      <c r="BK312" s="846" t="str">
        <f>IFERROR($BB312/$BJ312,"..")</f>
        <v>..</v>
      </c>
      <c r="BL312" s="117" t="str">
        <f>IFERROR(VLOOKUP($D312,'WB Data'!$C$3:$M$578,7,FALSE)/100,"..")</f>
        <v>..</v>
      </c>
      <c r="BM312" s="117" t="str">
        <f>IFERROR($AW312*$BL312,"..")</f>
        <v>..</v>
      </c>
      <c r="BN312" s="846" t="str">
        <f>IFERROR($BB312/$BM312,"..")</f>
        <v>..</v>
      </c>
      <c r="BO312" s="801" t="str">
        <f t="shared" si="50"/>
        <v>..</v>
      </c>
      <c r="BP312" s="117" t="str">
        <f>VLOOKUP($D312,'WB Data'!$C$3:$M$578,9,FALSE)</f>
        <v>..</v>
      </c>
      <c r="BQ312" s="117">
        <f>VLOOKUP($D312,'WB Data'!$C$3:$M$578,10,FALSE)</f>
        <v>48.213512195121965</v>
      </c>
      <c r="BR312" s="117">
        <f>VLOOKUP($D312,'WB Data'!$C$3:$M$578,11,FALSE)</f>
        <v>99.5</v>
      </c>
      <c r="BS312" s="129" t="str">
        <f>IFERROR(VLOOKUP($D312,'WB Data 2'!$C$2:$K$545,9,FALSE),"..")</f>
        <v>..</v>
      </c>
      <c r="BT312" s="129" t="str">
        <f>_xlfn.IFNA(VLOOKUP($C312,RGI!$A$2:$C$43,2,FALSE),"..")</f>
        <v>..</v>
      </c>
      <c r="BU312" s="129" t="str">
        <f>_xlfn.IFNA(VLOOKUP($C312,RGI!$A$2:$C$43,3,FALSE),"..")</f>
        <v>..</v>
      </c>
      <c r="BV312" s="129">
        <f>VLOOKUP($D312,WGI!$C$2:$O$478,7,FALSE)</f>
        <v>-1.2585968898003801</v>
      </c>
      <c r="BW312" s="129">
        <f>VLOOKUP($D312,WGI!$C$2:$O$478,4,FALSE)</f>
        <v>-2.2133773619349602</v>
      </c>
      <c r="BX312" s="129">
        <f>VLOOKUP($D312,WGI!$C$2:$O$478,3,FALSE)</f>
        <v>-1.7688847547663</v>
      </c>
      <c r="BY312" s="129">
        <f>VLOOKUP($D312,WGI!$C$2:$O$478,5,FALSE)</f>
        <v>-1.2626813110128201</v>
      </c>
      <c r="BZ312" s="129">
        <f>VLOOKUP($D312,WGI!$C$2:$O$478,2,FALSE)</f>
        <v>-1.30773511686967</v>
      </c>
      <c r="CB312" s="129"/>
    </row>
    <row r="313" spans="1:80" s="348" customFormat="1" ht="15" customHeight="1">
      <c r="A313" s="315" t="s">
        <v>170</v>
      </c>
      <c r="B313" s="267">
        <v>2007</v>
      </c>
      <c r="C313" s="267" t="s">
        <v>171</v>
      </c>
      <c r="D313" s="117" t="s">
        <v>3556</v>
      </c>
      <c r="E313" s="267" t="s">
        <v>86</v>
      </c>
      <c r="F313" s="267"/>
      <c r="G313" s="267" t="s">
        <v>24</v>
      </c>
      <c r="H313" s="267" t="str">
        <f t="shared" si="55"/>
        <v>yes</v>
      </c>
      <c r="I313" s="267" t="str">
        <f t="shared" si="56"/>
        <v>no</v>
      </c>
      <c r="J313" s="267" t="str">
        <f t="shared" si="57"/>
        <v>no</v>
      </c>
      <c r="K313" s="268" t="s">
        <v>1063</v>
      </c>
      <c r="L313" s="267" t="str">
        <f t="shared" si="49"/>
        <v>detailed</v>
      </c>
      <c r="M313" s="267" t="str">
        <f t="shared" si="58"/>
        <v>detailed Mining</v>
      </c>
      <c r="N313" s="269">
        <v>25300</v>
      </c>
      <c r="O313" s="269"/>
      <c r="P313" s="269"/>
      <c r="Q313" s="269"/>
      <c r="R313" s="269"/>
      <c r="S313" s="267" t="s">
        <v>610</v>
      </c>
      <c r="T313" s="270"/>
      <c r="U313" s="267"/>
      <c r="V313" s="267" t="s">
        <v>847</v>
      </c>
      <c r="W313" s="275"/>
      <c r="X313" s="267"/>
      <c r="Y313" s="267"/>
      <c r="Z313" s="267"/>
      <c r="AA313" s="271"/>
      <c r="AB313" s="271"/>
      <c r="AC313" s="272"/>
      <c r="AD313" s="272"/>
      <c r="AE313" s="272"/>
      <c r="AF313" s="317"/>
      <c r="AG313" s="267"/>
      <c r="AH313" s="274"/>
      <c r="AI313" s="267"/>
      <c r="AJ313" s="267"/>
      <c r="AK313" s="275"/>
      <c r="AL313" s="267"/>
      <c r="AM313" s="267"/>
      <c r="AN313" s="267"/>
      <c r="AO313" s="267"/>
      <c r="AP313" s="267"/>
      <c r="AQ313" s="267"/>
      <c r="AR313" s="277"/>
      <c r="AS313" s="267"/>
      <c r="AT313" s="267"/>
      <c r="AU313" s="267"/>
      <c r="AV313" s="278"/>
      <c r="AW313" s="117">
        <f>VLOOKUP($D313,'WB Data'!$C$3:$M$578,2,FALSE)</f>
        <v>16364027646.772434</v>
      </c>
      <c r="AX313" s="117">
        <f>VLOOKUP($D313,'WB Data'!$C$3:$M$578,3,FALSE)</f>
        <v>57187942</v>
      </c>
      <c r="AY313" s="847">
        <f t="shared" si="51"/>
        <v>2.5439947241968214E-2</v>
      </c>
      <c r="AZ313" s="117">
        <f>VLOOKUP($D313,'WB Data'!$C$3:$M$578,4,FALSE)/100</f>
        <v>9.3871844813972163E-2</v>
      </c>
      <c r="BA313" s="117">
        <f t="shared" si="52"/>
        <v>1536121463.789372</v>
      </c>
      <c r="BB313" s="129">
        <f>IFERROR(VLOOKUP($D313,'EITI Revenues'!$C$2:$G$224,5,FALSE),"..")</f>
        <v>416300000</v>
      </c>
      <c r="BC313" s="846">
        <f t="shared" si="53"/>
        <v>0.27100721512806208</v>
      </c>
      <c r="BD313" s="129" t="e">
        <f>VLOOKUP($D313,'WB Data 2'!$C$2:$K$545,6,FALSE)</f>
        <v>#N/A</v>
      </c>
      <c r="BE313" s="129">
        <f>IFERROR(VLOOKUP($D313,UNCTAD!$C$5:$V$529,4,FALSE),"..")</f>
        <v>6486622160.4300003</v>
      </c>
      <c r="BF313" s="846" t="str">
        <f t="shared" si="54"/>
        <v>..</v>
      </c>
      <c r="BG313" s="117">
        <f>VLOOKUP($D313,'WB Data'!$C$3:$M$578,5,FALSE)</f>
        <v>1356710000</v>
      </c>
      <c r="BH313" s="129">
        <f>IFERROR($BB313/$BG313,"..")</f>
        <v>0.30684523590155599</v>
      </c>
      <c r="BI313" s="117" t="str">
        <f>IFERROR(VLOOKUP($D313,'WB Data'!$C$3:$M$578,7,FALSE)/100,"..")</f>
        <v>..</v>
      </c>
      <c r="BJ313" s="117" t="str">
        <f>IFERROR($BI313*$AW313,"..")</f>
        <v>..</v>
      </c>
      <c r="BK313" s="846" t="str">
        <f>IFERROR($BB313/$BJ313,"..")</f>
        <v>..</v>
      </c>
      <c r="BL313" s="117" t="str">
        <f>IFERROR(VLOOKUP($D313,'WB Data'!$C$3:$M$578,7,FALSE)/100,"..")</f>
        <v>..</v>
      </c>
      <c r="BM313" s="117" t="str">
        <f>IFERROR($AW313*$BL313,"..")</f>
        <v>..</v>
      </c>
      <c r="BN313" s="846" t="str">
        <f>IFERROR($BB313/$BM313,"..")</f>
        <v>..</v>
      </c>
      <c r="BO313" s="801" t="str">
        <f t="shared" si="50"/>
        <v>..</v>
      </c>
      <c r="BP313" s="117" t="str">
        <f>VLOOKUP($D313,'WB Data'!$C$3:$M$578,9,FALSE)</f>
        <v>..</v>
      </c>
      <c r="BQ313" s="117">
        <f>VLOOKUP($D313,'WB Data'!$C$3:$M$578,10,FALSE)</f>
        <v>48.213512195121965</v>
      </c>
      <c r="BR313" s="117">
        <f>VLOOKUP($D313,'WB Data'!$C$3:$M$578,11,FALSE)</f>
        <v>99.5</v>
      </c>
      <c r="BS313" s="129" t="str">
        <f>IFERROR(VLOOKUP($D313,'WB Data 2'!$C$2:$K$545,9,FALSE),"..")</f>
        <v>..</v>
      </c>
      <c r="BT313" s="129" t="str">
        <f>_xlfn.IFNA(VLOOKUP($C313,RGI!$A$2:$C$43,2,FALSE),"..")</f>
        <v>..</v>
      </c>
      <c r="BU313" s="129" t="str">
        <f>_xlfn.IFNA(VLOOKUP($C313,RGI!$A$2:$C$43,3,FALSE),"..")</f>
        <v>..</v>
      </c>
      <c r="BV313" s="129">
        <f>VLOOKUP($D313,WGI!$C$2:$O$478,7,FALSE)</f>
        <v>-1.2585968898003801</v>
      </c>
      <c r="BW313" s="129">
        <f>VLOOKUP($D313,WGI!$C$2:$O$478,4,FALSE)</f>
        <v>-2.2133773619349602</v>
      </c>
      <c r="BX313" s="129">
        <f>VLOOKUP($D313,WGI!$C$2:$O$478,3,FALSE)</f>
        <v>-1.7688847547663</v>
      </c>
      <c r="BY313" s="129">
        <f>VLOOKUP($D313,WGI!$C$2:$O$478,5,FALSE)</f>
        <v>-1.2626813110128201</v>
      </c>
      <c r="BZ313" s="129">
        <f>VLOOKUP($D313,WGI!$C$2:$O$478,2,FALSE)</f>
        <v>-1.30773511686967</v>
      </c>
      <c r="CB313" s="129"/>
    </row>
    <row r="314" spans="1:80" s="348" customFormat="1" ht="15" customHeight="1">
      <c r="A314" s="315" t="s">
        <v>170</v>
      </c>
      <c r="B314" s="267">
        <v>2007</v>
      </c>
      <c r="C314" s="267" t="s">
        <v>171</v>
      </c>
      <c r="D314" s="117" t="s">
        <v>3556</v>
      </c>
      <c r="E314" s="267" t="s">
        <v>86</v>
      </c>
      <c r="F314" s="267"/>
      <c r="G314" s="267" t="s">
        <v>24</v>
      </c>
      <c r="H314" s="267" t="str">
        <f t="shared" si="55"/>
        <v>yes</v>
      </c>
      <c r="I314" s="267" t="str">
        <f t="shared" si="56"/>
        <v>no</v>
      </c>
      <c r="J314" s="267" t="str">
        <f t="shared" si="57"/>
        <v>no</v>
      </c>
      <c r="K314" s="268" t="s">
        <v>1064</v>
      </c>
      <c r="L314" s="267" t="str">
        <f t="shared" si="49"/>
        <v>detailed</v>
      </c>
      <c r="M314" s="267" t="str">
        <f t="shared" si="58"/>
        <v>detailed Mining</v>
      </c>
      <c r="N314" s="269">
        <v>606</v>
      </c>
      <c r="O314" s="269"/>
      <c r="P314" s="269"/>
      <c r="Q314" s="269"/>
      <c r="R314" s="269"/>
      <c r="S314" s="267" t="s">
        <v>610</v>
      </c>
      <c r="T314" s="270"/>
      <c r="U314" s="267"/>
      <c r="V314" s="267" t="s">
        <v>847</v>
      </c>
      <c r="W314" s="275"/>
      <c r="X314" s="267"/>
      <c r="Y314" s="267"/>
      <c r="Z314" s="267"/>
      <c r="AA314" s="271"/>
      <c r="AB314" s="271"/>
      <c r="AC314" s="272"/>
      <c r="AD314" s="272"/>
      <c r="AE314" s="272"/>
      <c r="AF314" s="317"/>
      <c r="AG314" s="267"/>
      <c r="AH314" s="274"/>
      <c r="AI314" s="267"/>
      <c r="AJ314" s="267"/>
      <c r="AK314" s="275"/>
      <c r="AL314" s="267"/>
      <c r="AM314" s="267"/>
      <c r="AN314" s="267"/>
      <c r="AO314" s="267"/>
      <c r="AP314" s="267"/>
      <c r="AQ314" s="267"/>
      <c r="AR314" s="277"/>
      <c r="AS314" s="267"/>
      <c r="AT314" s="267"/>
      <c r="AU314" s="267"/>
      <c r="AV314" s="278"/>
      <c r="AW314" s="117">
        <f>VLOOKUP($D314,'WB Data'!$C$3:$M$578,2,FALSE)</f>
        <v>16364027646.772434</v>
      </c>
      <c r="AX314" s="117">
        <f>VLOOKUP($D314,'WB Data'!$C$3:$M$578,3,FALSE)</f>
        <v>57187942</v>
      </c>
      <c r="AY314" s="847">
        <f t="shared" si="51"/>
        <v>2.5439947241968214E-2</v>
      </c>
      <c r="AZ314" s="117">
        <f>VLOOKUP($D314,'WB Data'!$C$3:$M$578,4,FALSE)/100</f>
        <v>9.3871844813972163E-2</v>
      </c>
      <c r="BA314" s="117">
        <f t="shared" si="52"/>
        <v>1536121463.789372</v>
      </c>
      <c r="BB314" s="129">
        <f>IFERROR(VLOOKUP($D314,'EITI Revenues'!$C$2:$G$224,5,FALSE),"..")</f>
        <v>416300000</v>
      </c>
      <c r="BC314" s="846">
        <f t="shared" si="53"/>
        <v>0.27100721512806208</v>
      </c>
      <c r="BD314" s="129" t="e">
        <f>VLOOKUP($D314,'WB Data 2'!$C$2:$K$545,6,FALSE)</f>
        <v>#N/A</v>
      </c>
      <c r="BE314" s="129">
        <f>IFERROR(VLOOKUP($D314,UNCTAD!$C$5:$V$529,4,FALSE),"..")</f>
        <v>6486622160.4300003</v>
      </c>
      <c r="BF314" s="846" t="str">
        <f t="shared" si="54"/>
        <v>..</v>
      </c>
      <c r="BG314" s="117">
        <f>VLOOKUP($D314,'WB Data'!$C$3:$M$578,5,FALSE)</f>
        <v>1356710000</v>
      </c>
      <c r="BH314" s="129">
        <f>IFERROR($BB314/$BG314,"..")</f>
        <v>0.30684523590155599</v>
      </c>
      <c r="BI314" s="117" t="str">
        <f>IFERROR(VLOOKUP($D314,'WB Data'!$C$3:$M$578,7,FALSE)/100,"..")</f>
        <v>..</v>
      </c>
      <c r="BJ314" s="117" t="str">
        <f>IFERROR($BI314*$AW314,"..")</f>
        <v>..</v>
      </c>
      <c r="BK314" s="846" t="str">
        <f>IFERROR($BB314/$BJ314,"..")</f>
        <v>..</v>
      </c>
      <c r="BL314" s="117" t="str">
        <f>IFERROR(VLOOKUP($D314,'WB Data'!$C$3:$M$578,7,FALSE)/100,"..")</f>
        <v>..</v>
      </c>
      <c r="BM314" s="117" t="str">
        <f>IFERROR($AW314*$BL314,"..")</f>
        <v>..</v>
      </c>
      <c r="BN314" s="846" t="str">
        <f>IFERROR($BB314/$BM314,"..")</f>
        <v>..</v>
      </c>
      <c r="BO314" s="801" t="str">
        <f t="shared" si="50"/>
        <v>..</v>
      </c>
      <c r="BP314" s="117" t="str">
        <f>VLOOKUP($D314,'WB Data'!$C$3:$M$578,9,FALSE)</f>
        <v>..</v>
      </c>
      <c r="BQ314" s="117">
        <f>VLOOKUP($D314,'WB Data'!$C$3:$M$578,10,FALSE)</f>
        <v>48.213512195121965</v>
      </c>
      <c r="BR314" s="117">
        <f>VLOOKUP($D314,'WB Data'!$C$3:$M$578,11,FALSE)</f>
        <v>99.5</v>
      </c>
      <c r="BS314" s="129" t="str">
        <f>IFERROR(VLOOKUP($D314,'WB Data 2'!$C$2:$K$545,9,FALSE),"..")</f>
        <v>..</v>
      </c>
      <c r="BT314" s="129" t="str">
        <f>_xlfn.IFNA(VLOOKUP($C314,RGI!$A$2:$C$43,2,FALSE),"..")</f>
        <v>..</v>
      </c>
      <c r="BU314" s="129" t="str">
        <f>_xlfn.IFNA(VLOOKUP($C314,RGI!$A$2:$C$43,3,FALSE),"..")</f>
        <v>..</v>
      </c>
      <c r="BV314" s="129">
        <f>VLOOKUP($D314,WGI!$C$2:$O$478,7,FALSE)</f>
        <v>-1.2585968898003801</v>
      </c>
      <c r="BW314" s="129">
        <f>VLOOKUP($D314,WGI!$C$2:$O$478,4,FALSE)</f>
        <v>-2.2133773619349602</v>
      </c>
      <c r="BX314" s="129">
        <f>VLOOKUP($D314,WGI!$C$2:$O$478,3,FALSE)</f>
        <v>-1.7688847547663</v>
      </c>
      <c r="BY314" s="129">
        <f>VLOOKUP($D314,WGI!$C$2:$O$478,5,FALSE)</f>
        <v>-1.2626813110128201</v>
      </c>
      <c r="BZ314" s="129">
        <f>VLOOKUP($D314,WGI!$C$2:$O$478,2,FALSE)</f>
        <v>-1.30773511686967</v>
      </c>
      <c r="CB314" s="129"/>
    </row>
    <row r="315" spans="1:80" s="348" customFormat="1" ht="15" customHeight="1">
      <c r="A315" s="315" t="s">
        <v>170</v>
      </c>
      <c r="B315" s="267">
        <v>2007</v>
      </c>
      <c r="C315" s="267" t="s">
        <v>171</v>
      </c>
      <c r="D315" s="117" t="s">
        <v>3556</v>
      </c>
      <c r="E315" s="267" t="s">
        <v>86</v>
      </c>
      <c r="F315" s="267"/>
      <c r="G315" s="267" t="s">
        <v>24</v>
      </c>
      <c r="H315" s="267" t="str">
        <f t="shared" si="55"/>
        <v>yes</v>
      </c>
      <c r="I315" s="267" t="str">
        <f t="shared" si="56"/>
        <v>no</v>
      </c>
      <c r="J315" s="267" t="str">
        <f t="shared" si="57"/>
        <v>no</v>
      </c>
      <c r="K315" s="268" t="s">
        <v>1065</v>
      </c>
      <c r="L315" s="267" t="str">
        <f t="shared" si="49"/>
        <v>detailed</v>
      </c>
      <c r="M315" s="267" t="str">
        <f t="shared" si="58"/>
        <v>detailed Mining</v>
      </c>
      <c r="N315" s="269"/>
      <c r="O315" s="269"/>
      <c r="P315" s="269"/>
      <c r="Q315" s="269"/>
      <c r="R315" s="269"/>
      <c r="S315" s="267"/>
      <c r="T315" s="270"/>
      <c r="U315" s="267"/>
      <c r="V315" s="267"/>
      <c r="W315" s="275"/>
      <c r="X315" s="267"/>
      <c r="Y315" s="267"/>
      <c r="Z315" s="267"/>
      <c r="AA315" s="271"/>
      <c r="AB315" s="271"/>
      <c r="AC315" s="272"/>
      <c r="AD315" s="272"/>
      <c r="AE315" s="272"/>
      <c r="AF315" s="317"/>
      <c r="AG315" s="267"/>
      <c r="AH315" s="274"/>
      <c r="AI315" s="267"/>
      <c r="AJ315" s="267"/>
      <c r="AK315" s="275"/>
      <c r="AL315" s="267"/>
      <c r="AM315" s="267"/>
      <c r="AN315" s="267"/>
      <c r="AO315" s="267"/>
      <c r="AP315" s="267"/>
      <c r="AQ315" s="267"/>
      <c r="AR315" s="277"/>
      <c r="AS315" s="267"/>
      <c r="AT315" s="267"/>
      <c r="AU315" s="267"/>
      <c r="AV315" s="278"/>
      <c r="AW315" s="117">
        <f>VLOOKUP($D315,'WB Data'!$C$3:$M$578,2,FALSE)</f>
        <v>16364027646.772434</v>
      </c>
      <c r="AX315" s="117">
        <f>VLOOKUP($D315,'WB Data'!$C$3:$M$578,3,FALSE)</f>
        <v>57187942</v>
      </c>
      <c r="AY315" s="847">
        <f t="shared" si="51"/>
        <v>2.5439947241968214E-2</v>
      </c>
      <c r="AZ315" s="117">
        <f>VLOOKUP($D315,'WB Data'!$C$3:$M$578,4,FALSE)/100</f>
        <v>9.3871844813972163E-2</v>
      </c>
      <c r="BA315" s="117">
        <f t="shared" si="52"/>
        <v>1536121463.789372</v>
      </c>
      <c r="BB315" s="129">
        <f>IFERROR(VLOOKUP($D315,'EITI Revenues'!$C$2:$G$224,5,FALSE),"..")</f>
        <v>416300000</v>
      </c>
      <c r="BC315" s="846">
        <f t="shared" si="53"/>
        <v>0.27100721512806208</v>
      </c>
      <c r="BD315" s="129" t="e">
        <f>VLOOKUP($D315,'WB Data 2'!$C$2:$K$545,6,FALSE)</f>
        <v>#N/A</v>
      </c>
      <c r="BE315" s="129">
        <f>IFERROR(VLOOKUP($D315,UNCTAD!$C$5:$V$529,4,FALSE),"..")</f>
        <v>6486622160.4300003</v>
      </c>
      <c r="BF315" s="846" t="str">
        <f t="shared" si="54"/>
        <v>..</v>
      </c>
      <c r="BG315" s="117">
        <f>VLOOKUP($D315,'WB Data'!$C$3:$M$578,5,FALSE)</f>
        <v>1356710000</v>
      </c>
      <c r="BH315" s="129">
        <f>IFERROR($BB315/$BG315,"..")</f>
        <v>0.30684523590155599</v>
      </c>
      <c r="BI315" s="117" t="str">
        <f>IFERROR(VLOOKUP($D315,'WB Data'!$C$3:$M$578,7,FALSE)/100,"..")</f>
        <v>..</v>
      </c>
      <c r="BJ315" s="117" t="str">
        <f>IFERROR($BI315*$AW315,"..")</f>
        <v>..</v>
      </c>
      <c r="BK315" s="846" t="str">
        <f>IFERROR($BB315/$BJ315,"..")</f>
        <v>..</v>
      </c>
      <c r="BL315" s="117" t="str">
        <f>IFERROR(VLOOKUP($D315,'WB Data'!$C$3:$M$578,7,FALSE)/100,"..")</f>
        <v>..</v>
      </c>
      <c r="BM315" s="117" t="str">
        <f>IFERROR($AW315*$BL315,"..")</f>
        <v>..</v>
      </c>
      <c r="BN315" s="846" t="str">
        <f>IFERROR($BB315/$BM315,"..")</f>
        <v>..</v>
      </c>
      <c r="BO315" s="801" t="str">
        <f t="shared" si="50"/>
        <v>..</v>
      </c>
      <c r="BP315" s="117" t="str">
        <f>VLOOKUP($D315,'WB Data'!$C$3:$M$578,9,FALSE)</f>
        <v>..</v>
      </c>
      <c r="BQ315" s="117">
        <f>VLOOKUP($D315,'WB Data'!$C$3:$M$578,10,FALSE)</f>
        <v>48.213512195121965</v>
      </c>
      <c r="BR315" s="117">
        <f>VLOOKUP($D315,'WB Data'!$C$3:$M$578,11,FALSE)</f>
        <v>99.5</v>
      </c>
      <c r="BS315" s="129" t="str">
        <f>IFERROR(VLOOKUP($D315,'WB Data 2'!$C$2:$K$545,9,FALSE),"..")</f>
        <v>..</v>
      </c>
      <c r="BT315" s="129" t="str">
        <f>_xlfn.IFNA(VLOOKUP($C315,RGI!$A$2:$C$43,2,FALSE),"..")</f>
        <v>..</v>
      </c>
      <c r="BU315" s="129" t="str">
        <f>_xlfn.IFNA(VLOOKUP($C315,RGI!$A$2:$C$43,3,FALSE),"..")</f>
        <v>..</v>
      </c>
      <c r="BV315" s="129">
        <f>VLOOKUP($D315,WGI!$C$2:$O$478,7,FALSE)</f>
        <v>-1.2585968898003801</v>
      </c>
      <c r="BW315" s="129">
        <f>VLOOKUP($D315,WGI!$C$2:$O$478,4,FALSE)</f>
        <v>-2.2133773619349602</v>
      </c>
      <c r="BX315" s="129">
        <f>VLOOKUP($D315,WGI!$C$2:$O$478,3,FALSE)</f>
        <v>-1.7688847547663</v>
      </c>
      <c r="BY315" s="129">
        <f>VLOOKUP($D315,WGI!$C$2:$O$478,5,FALSE)</f>
        <v>-1.2626813110128201</v>
      </c>
      <c r="BZ315" s="129">
        <f>VLOOKUP($D315,WGI!$C$2:$O$478,2,FALSE)</f>
        <v>-1.30773511686967</v>
      </c>
      <c r="CB315" s="129"/>
    </row>
    <row r="316" spans="1:80" s="348" customFormat="1" ht="15" customHeight="1">
      <c r="A316" s="315" t="s">
        <v>170</v>
      </c>
      <c r="B316" s="267">
        <v>2007</v>
      </c>
      <c r="C316" s="267" t="s">
        <v>171</v>
      </c>
      <c r="D316" s="117" t="s">
        <v>3556</v>
      </c>
      <c r="E316" s="267" t="s">
        <v>86</v>
      </c>
      <c r="F316" s="267"/>
      <c r="G316" s="267" t="s">
        <v>24</v>
      </c>
      <c r="H316" s="267" t="str">
        <f t="shared" si="55"/>
        <v>yes</v>
      </c>
      <c r="I316" s="267" t="str">
        <f t="shared" si="56"/>
        <v>no</v>
      </c>
      <c r="J316" s="267" t="str">
        <f t="shared" si="57"/>
        <v>no</v>
      </c>
      <c r="K316" s="268" t="s">
        <v>1066</v>
      </c>
      <c r="L316" s="267" t="str">
        <f t="shared" si="49"/>
        <v>detailed</v>
      </c>
      <c r="M316" s="267" t="str">
        <f t="shared" si="58"/>
        <v>detailed Mining</v>
      </c>
      <c r="N316" s="269">
        <v>428</v>
      </c>
      <c r="O316" s="269"/>
      <c r="P316" s="269"/>
      <c r="Q316" s="269"/>
      <c r="R316" s="269"/>
      <c r="S316" s="267" t="s">
        <v>610</v>
      </c>
      <c r="T316" s="270"/>
      <c r="U316" s="267"/>
      <c r="V316" s="267" t="s">
        <v>847</v>
      </c>
      <c r="W316" s="275"/>
      <c r="X316" s="267"/>
      <c r="Y316" s="267"/>
      <c r="Z316" s="267"/>
      <c r="AA316" s="271"/>
      <c r="AB316" s="271"/>
      <c r="AC316" s="272"/>
      <c r="AD316" s="272"/>
      <c r="AE316" s="272"/>
      <c r="AF316" s="317"/>
      <c r="AG316" s="267"/>
      <c r="AH316" s="274"/>
      <c r="AI316" s="267"/>
      <c r="AJ316" s="267"/>
      <c r="AK316" s="275"/>
      <c r="AL316" s="267"/>
      <c r="AM316" s="267"/>
      <c r="AN316" s="267"/>
      <c r="AO316" s="267"/>
      <c r="AP316" s="267"/>
      <c r="AQ316" s="267"/>
      <c r="AR316" s="277"/>
      <c r="AS316" s="267"/>
      <c r="AT316" s="267"/>
      <c r="AU316" s="267"/>
      <c r="AV316" s="278"/>
      <c r="AW316" s="117">
        <f>VLOOKUP($D316,'WB Data'!$C$3:$M$578,2,FALSE)</f>
        <v>16364027646.772434</v>
      </c>
      <c r="AX316" s="117">
        <f>VLOOKUP($D316,'WB Data'!$C$3:$M$578,3,FALSE)</f>
        <v>57187942</v>
      </c>
      <c r="AY316" s="847">
        <f t="shared" si="51"/>
        <v>2.5439947241968214E-2</v>
      </c>
      <c r="AZ316" s="117">
        <f>VLOOKUP($D316,'WB Data'!$C$3:$M$578,4,FALSE)/100</f>
        <v>9.3871844813972163E-2</v>
      </c>
      <c r="BA316" s="117">
        <f t="shared" si="52"/>
        <v>1536121463.789372</v>
      </c>
      <c r="BB316" s="129">
        <f>IFERROR(VLOOKUP($D316,'EITI Revenues'!$C$2:$G$224,5,FALSE),"..")</f>
        <v>416300000</v>
      </c>
      <c r="BC316" s="846">
        <f t="shared" si="53"/>
        <v>0.27100721512806208</v>
      </c>
      <c r="BD316" s="129" t="e">
        <f>VLOOKUP($D316,'WB Data 2'!$C$2:$K$545,6,FALSE)</f>
        <v>#N/A</v>
      </c>
      <c r="BE316" s="129">
        <f>IFERROR(VLOOKUP($D316,UNCTAD!$C$5:$V$529,4,FALSE),"..")</f>
        <v>6486622160.4300003</v>
      </c>
      <c r="BF316" s="846" t="str">
        <f t="shared" si="54"/>
        <v>..</v>
      </c>
      <c r="BG316" s="117">
        <f>VLOOKUP($D316,'WB Data'!$C$3:$M$578,5,FALSE)</f>
        <v>1356710000</v>
      </c>
      <c r="BH316" s="129">
        <f>IFERROR($BB316/$BG316,"..")</f>
        <v>0.30684523590155599</v>
      </c>
      <c r="BI316" s="117" t="str">
        <f>IFERROR(VLOOKUP($D316,'WB Data'!$C$3:$M$578,7,FALSE)/100,"..")</f>
        <v>..</v>
      </c>
      <c r="BJ316" s="117" t="str">
        <f>IFERROR($BI316*$AW316,"..")</f>
        <v>..</v>
      </c>
      <c r="BK316" s="846" t="str">
        <f>IFERROR($BB316/$BJ316,"..")</f>
        <v>..</v>
      </c>
      <c r="BL316" s="117" t="str">
        <f>IFERROR(VLOOKUP($D316,'WB Data'!$C$3:$M$578,7,FALSE)/100,"..")</f>
        <v>..</v>
      </c>
      <c r="BM316" s="117" t="str">
        <f>IFERROR($AW316*$BL316,"..")</f>
        <v>..</v>
      </c>
      <c r="BN316" s="846" t="str">
        <f>IFERROR($BB316/$BM316,"..")</f>
        <v>..</v>
      </c>
      <c r="BO316" s="801" t="str">
        <f t="shared" si="50"/>
        <v>..</v>
      </c>
      <c r="BP316" s="117" t="str">
        <f>VLOOKUP($D316,'WB Data'!$C$3:$M$578,9,FALSE)</f>
        <v>..</v>
      </c>
      <c r="BQ316" s="117">
        <f>VLOOKUP($D316,'WB Data'!$C$3:$M$578,10,FALSE)</f>
        <v>48.213512195121965</v>
      </c>
      <c r="BR316" s="117">
        <f>VLOOKUP($D316,'WB Data'!$C$3:$M$578,11,FALSE)</f>
        <v>99.5</v>
      </c>
      <c r="BS316" s="129" t="str">
        <f>IFERROR(VLOOKUP($D316,'WB Data 2'!$C$2:$K$545,9,FALSE),"..")</f>
        <v>..</v>
      </c>
      <c r="BT316" s="129" t="str">
        <f>_xlfn.IFNA(VLOOKUP($C316,RGI!$A$2:$C$43,2,FALSE),"..")</f>
        <v>..</v>
      </c>
      <c r="BU316" s="129" t="str">
        <f>_xlfn.IFNA(VLOOKUP($C316,RGI!$A$2:$C$43,3,FALSE),"..")</f>
        <v>..</v>
      </c>
      <c r="BV316" s="129">
        <f>VLOOKUP($D316,WGI!$C$2:$O$478,7,FALSE)</f>
        <v>-1.2585968898003801</v>
      </c>
      <c r="BW316" s="129">
        <f>VLOOKUP($D316,WGI!$C$2:$O$478,4,FALSE)</f>
        <v>-2.2133773619349602</v>
      </c>
      <c r="BX316" s="129">
        <f>VLOOKUP($D316,WGI!$C$2:$O$478,3,FALSE)</f>
        <v>-1.7688847547663</v>
      </c>
      <c r="BY316" s="129">
        <f>VLOOKUP($D316,WGI!$C$2:$O$478,5,FALSE)</f>
        <v>-1.2626813110128201</v>
      </c>
      <c r="BZ316" s="129">
        <f>VLOOKUP($D316,WGI!$C$2:$O$478,2,FALSE)</f>
        <v>-1.30773511686967</v>
      </c>
      <c r="CB316" s="129"/>
    </row>
    <row r="317" spans="1:80" s="348" customFormat="1" ht="15" customHeight="1">
      <c r="A317" s="315" t="s">
        <v>170</v>
      </c>
      <c r="B317" s="267">
        <v>2007</v>
      </c>
      <c r="C317" s="267" t="s">
        <v>171</v>
      </c>
      <c r="D317" s="117" t="s">
        <v>3556</v>
      </c>
      <c r="E317" s="267" t="s">
        <v>86</v>
      </c>
      <c r="F317" s="267"/>
      <c r="G317" s="267" t="s">
        <v>24</v>
      </c>
      <c r="H317" s="267" t="str">
        <f t="shared" si="55"/>
        <v>yes</v>
      </c>
      <c r="I317" s="267" t="str">
        <f t="shared" si="56"/>
        <v>no</v>
      </c>
      <c r="J317" s="267" t="str">
        <f t="shared" si="57"/>
        <v>no</v>
      </c>
      <c r="K317" s="268" t="s">
        <v>1067</v>
      </c>
      <c r="L317" s="267" t="str">
        <f t="shared" si="49"/>
        <v>detailed</v>
      </c>
      <c r="M317" s="267" t="str">
        <f t="shared" si="58"/>
        <v>detailed Mining</v>
      </c>
      <c r="N317" s="269">
        <v>98</v>
      </c>
      <c r="O317" s="269"/>
      <c r="P317" s="269"/>
      <c r="Q317" s="269"/>
      <c r="R317" s="269"/>
      <c r="S317" s="267" t="s">
        <v>610</v>
      </c>
      <c r="T317" s="270">
        <v>21918</v>
      </c>
      <c r="U317" s="267" t="s">
        <v>611</v>
      </c>
      <c r="V317" s="267" t="s">
        <v>1068</v>
      </c>
      <c r="W317" s="275">
        <f>N317*T317</f>
        <v>2147964</v>
      </c>
      <c r="X317" s="267"/>
      <c r="Y317" s="267"/>
      <c r="Z317" s="267"/>
      <c r="AA317" s="271"/>
      <c r="AB317" s="271"/>
      <c r="AC317" s="272"/>
      <c r="AD317" s="272"/>
      <c r="AE317" s="272"/>
      <c r="AF317" s="317"/>
      <c r="AG317" s="267"/>
      <c r="AH317" s="274"/>
      <c r="AI317" s="267"/>
      <c r="AJ317" s="267"/>
      <c r="AK317" s="275"/>
      <c r="AL317" s="267"/>
      <c r="AM317" s="267"/>
      <c r="AN317" s="267"/>
      <c r="AO317" s="267"/>
      <c r="AP317" s="267"/>
      <c r="AQ317" s="267"/>
      <c r="AR317" s="277"/>
      <c r="AS317" s="267"/>
      <c r="AT317" s="267"/>
      <c r="AU317" s="267"/>
      <c r="AV317" s="278"/>
      <c r="AW317" s="117">
        <f>VLOOKUP($D317,'WB Data'!$C$3:$M$578,2,FALSE)</f>
        <v>16364027646.772434</v>
      </c>
      <c r="AX317" s="117">
        <f>VLOOKUP($D317,'WB Data'!$C$3:$M$578,3,FALSE)</f>
        <v>57187942</v>
      </c>
      <c r="AY317" s="847">
        <f t="shared" si="51"/>
        <v>2.5439947241968214E-2</v>
      </c>
      <c r="AZ317" s="117">
        <f>VLOOKUP($D317,'WB Data'!$C$3:$M$578,4,FALSE)/100</f>
        <v>9.3871844813972163E-2</v>
      </c>
      <c r="BA317" s="117">
        <f t="shared" si="52"/>
        <v>1536121463.789372</v>
      </c>
      <c r="BB317" s="129">
        <f>IFERROR(VLOOKUP($D317,'EITI Revenues'!$C$2:$G$224,5,FALSE),"..")</f>
        <v>416300000</v>
      </c>
      <c r="BC317" s="846">
        <f t="shared" si="53"/>
        <v>0.27100721512806208</v>
      </c>
      <c r="BD317" s="129" t="e">
        <f>VLOOKUP($D317,'WB Data 2'!$C$2:$K$545,6,FALSE)</f>
        <v>#N/A</v>
      </c>
      <c r="BE317" s="129">
        <f>IFERROR(VLOOKUP($D317,UNCTAD!$C$5:$V$529,4,FALSE),"..")</f>
        <v>6486622160.4300003</v>
      </c>
      <c r="BF317" s="846" t="str">
        <f t="shared" si="54"/>
        <v>..</v>
      </c>
      <c r="BG317" s="117">
        <f>VLOOKUP($D317,'WB Data'!$C$3:$M$578,5,FALSE)</f>
        <v>1356710000</v>
      </c>
      <c r="BH317" s="129">
        <f>IFERROR($BB317/$BG317,"..")</f>
        <v>0.30684523590155599</v>
      </c>
      <c r="BI317" s="117" t="str">
        <f>IFERROR(VLOOKUP($D317,'WB Data'!$C$3:$M$578,7,FALSE)/100,"..")</f>
        <v>..</v>
      </c>
      <c r="BJ317" s="117" t="str">
        <f>IFERROR($BI317*$AW317,"..")</f>
        <v>..</v>
      </c>
      <c r="BK317" s="846" t="str">
        <f>IFERROR($BB317/$BJ317,"..")</f>
        <v>..</v>
      </c>
      <c r="BL317" s="117" t="str">
        <f>IFERROR(VLOOKUP($D317,'WB Data'!$C$3:$M$578,7,FALSE)/100,"..")</f>
        <v>..</v>
      </c>
      <c r="BM317" s="117" t="str">
        <f>IFERROR($AW317*$BL317,"..")</f>
        <v>..</v>
      </c>
      <c r="BN317" s="846" t="str">
        <f>IFERROR($BB317/$BM317,"..")</f>
        <v>..</v>
      </c>
      <c r="BO317" s="801" t="str">
        <f t="shared" si="50"/>
        <v>..</v>
      </c>
      <c r="BP317" s="117" t="str">
        <f>VLOOKUP($D317,'WB Data'!$C$3:$M$578,9,FALSE)</f>
        <v>..</v>
      </c>
      <c r="BQ317" s="117">
        <f>VLOOKUP($D317,'WB Data'!$C$3:$M$578,10,FALSE)</f>
        <v>48.213512195121965</v>
      </c>
      <c r="BR317" s="117">
        <f>VLOOKUP($D317,'WB Data'!$C$3:$M$578,11,FALSE)</f>
        <v>99.5</v>
      </c>
      <c r="BS317" s="129" t="str">
        <f>IFERROR(VLOOKUP($D317,'WB Data 2'!$C$2:$K$545,9,FALSE),"..")</f>
        <v>..</v>
      </c>
      <c r="BT317" s="129" t="str">
        <f>_xlfn.IFNA(VLOOKUP($C317,RGI!$A$2:$C$43,2,FALSE),"..")</f>
        <v>..</v>
      </c>
      <c r="BU317" s="129" t="str">
        <f>_xlfn.IFNA(VLOOKUP($C317,RGI!$A$2:$C$43,3,FALSE),"..")</f>
        <v>..</v>
      </c>
      <c r="BV317" s="129">
        <f>VLOOKUP($D317,WGI!$C$2:$O$478,7,FALSE)</f>
        <v>-1.2585968898003801</v>
      </c>
      <c r="BW317" s="129">
        <f>VLOOKUP($D317,WGI!$C$2:$O$478,4,FALSE)</f>
        <v>-2.2133773619349602</v>
      </c>
      <c r="BX317" s="129">
        <f>VLOOKUP($D317,WGI!$C$2:$O$478,3,FALSE)</f>
        <v>-1.7688847547663</v>
      </c>
      <c r="BY317" s="129">
        <f>VLOOKUP($D317,WGI!$C$2:$O$478,5,FALSE)</f>
        <v>-1.2626813110128201</v>
      </c>
      <c r="BZ317" s="129">
        <f>VLOOKUP($D317,WGI!$C$2:$O$478,2,FALSE)</f>
        <v>-1.30773511686967</v>
      </c>
      <c r="CB317" s="129"/>
    </row>
    <row r="318" spans="1:80" s="348" customFormat="1" ht="15" customHeight="1">
      <c r="A318" s="315" t="s">
        <v>170</v>
      </c>
      <c r="B318" s="267">
        <v>2007</v>
      </c>
      <c r="C318" s="267" t="s">
        <v>171</v>
      </c>
      <c r="D318" s="117" t="s">
        <v>3556</v>
      </c>
      <c r="E318" s="267" t="s">
        <v>86</v>
      </c>
      <c r="F318" s="267"/>
      <c r="G318" s="267" t="s">
        <v>24</v>
      </c>
      <c r="H318" s="267" t="str">
        <f t="shared" si="55"/>
        <v>yes</v>
      </c>
      <c r="I318" s="267" t="str">
        <f t="shared" si="56"/>
        <v>no</v>
      </c>
      <c r="J318" s="267" t="str">
        <f t="shared" si="57"/>
        <v>no</v>
      </c>
      <c r="K318" s="268" t="s">
        <v>1069</v>
      </c>
      <c r="L318" s="267" t="str">
        <f t="shared" si="49"/>
        <v>detailed</v>
      </c>
      <c r="M318" s="267" t="str">
        <f t="shared" si="58"/>
        <v>detailed Mining</v>
      </c>
      <c r="N318" s="269">
        <v>120</v>
      </c>
      <c r="O318" s="269"/>
      <c r="P318" s="269"/>
      <c r="Q318" s="269"/>
      <c r="R318" s="269"/>
      <c r="S318" s="267" t="s">
        <v>610</v>
      </c>
      <c r="T318" s="270">
        <f>36/0.000453592</f>
        <v>79366.479126615988</v>
      </c>
      <c r="U318" s="267" t="s">
        <v>611</v>
      </c>
      <c r="V318" s="267" t="s">
        <v>1070</v>
      </c>
      <c r="W318" s="275">
        <f>N318*T318</f>
        <v>9523977.4951939192</v>
      </c>
      <c r="X318" s="267"/>
      <c r="Y318" s="267"/>
      <c r="Z318" s="267"/>
      <c r="AA318" s="271"/>
      <c r="AB318" s="271"/>
      <c r="AC318" s="272"/>
      <c r="AD318" s="272"/>
      <c r="AE318" s="272"/>
      <c r="AF318" s="317"/>
      <c r="AG318" s="267"/>
      <c r="AH318" s="274"/>
      <c r="AI318" s="267"/>
      <c r="AJ318" s="267"/>
      <c r="AK318" s="275"/>
      <c r="AL318" s="267"/>
      <c r="AM318" s="267"/>
      <c r="AN318" s="267"/>
      <c r="AO318" s="267"/>
      <c r="AP318" s="267"/>
      <c r="AQ318" s="267"/>
      <c r="AR318" s="277"/>
      <c r="AS318" s="267"/>
      <c r="AT318" s="267"/>
      <c r="AU318" s="267"/>
      <c r="AV318" s="278"/>
      <c r="AW318" s="117">
        <f>VLOOKUP($D318,'WB Data'!$C$3:$M$578,2,FALSE)</f>
        <v>16364027646.772434</v>
      </c>
      <c r="AX318" s="117">
        <f>VLOOKUP($D318,'WB Data'!$C$3:$M$578,3,FALSE)</f>
        <v>57187942</v>
      </c>
      <c r="AY318" s="847">
        <f t="shared" si="51"/>
        <v>2.5439947241968214E-2</v>
      </c>
      <c r="AZ318" s="117">
        <f>VLOOKUP($D318,'WB Data'!$C$3:$M$578,4,FALSE)/100</f>
        <v>9.3871844813972163E-2</v>
      </c>
      <c r="BA318" s="117">
        <f t="shared" si="52"/>
        <v>1536121463.789372</v>
      </c>
      <c r="BB318" s="129">
        <f>IFERROR(VLOOKUP($D318,'EITI Revenues'!$C$2:$G$224,5,FALSE),"..")</f>
        <v>416300000</v>
      </c>
      <c r="BC318" s="846">
        <f t="shared" si="53"/>
        <v>0.27100721512806208</v>
      </c>
      <c r="BD318" s="129" t="e">
        <f>VLOOKUP($D318,'WB Data 2'!$C$2:$K$545,6,FALSE)</f>
        <v>#N/A</v>
      </c>
      <c r="BE318" s="129">
        <f>IFERROR(VLOOKUP($D318,UNCTAD!$C$5:$V$529,4,FALSE),"..")</f>
        <v>6486622160.4300003</v>
      </c>
      <c r="BF318" s="846" t="str">
        <f t="shared" si="54"/>
        <v>..</v>
      </c>
      <c r="BG318" s="117">
        <f>VLOOKUP($D318,'WB Data'!$C$3:$M$578,5,FALSE)</f>
        <v>1356710000</v>
      </c>
      <c r="BH318" s="129">
        <f>IFERROR($BB318/$BG318,"..")</f>
        <v>0.30684523590155599</v>
      </c>
      <c r="BI318" s="117" t="str">
        <f>IFERROR(VLOOKUP($D318,'WB Data'!$C$3:$M$578,7,FALSE)/100,"..")</f>
        <v>..</v>
      </c>
      <c r="BJ318" s="117" t="str">
        <f>IFERROR($BI318*$AW318,"..")</f>
        <v>..</v>
      </c>
      <c r="BK318" s="846" t="str">
        <f>IFERROR($BB318/$BJ318,"..")</f>
        <v>..</v>
      </c>
      <c r="BL318" s="117" t="str">
        <f>IFERROR(VLOOKUP($D318,'WB Data'!$C$3:$M$578,7,FALSE)/100,"..")</f>
        <v>..</v>
      </c>
      <c r="BM318" s="117" t="str">
        <f>IFERROR($AW318*$BL318,"..")</f>
        <v>..</v>
      </c>
      <c r="BN318" s="846" t="str">
        <f>IFERROR($BB318/$BM318,"..")</f>
        <v>..</v>
      </c>
      <c r="BO318" s="801" t="str">
        <f t="shared" si="50"/>
        <v>..</v>
      </c>
      <c r="BP318" s="117" t="str">
        <f>VLOOKUP($D318,'WB Data'!$C$3:$M$578,9,FALSE)</f>
        <v>..</v>
      </c>
      <c r="BQ318" s="117">
        <f>VLOOKUP($D318,'WB Data'!$C$3:$M$578,10,FALSE)</f>
        <v>48.213512195121965</v>
      </c>
      <c r="BR318" s="117">
        <f>VLOOKUP($D318,'WB Data'!$C$3:$M$578,11,FALSE)</f>
        <v>99.5</v>
      </c>
      <c r="BS318" s="129" t="str">
        <f>IFERROR(VLOOKUP($D318,'WB Data 2'!$C$2:$K$545,9,FALSE),"..")</f>
        <v>..</v>
      </c>
      <c r="BT318" s="129" t="str">
        <f>_xlfn.IFNA(VLOOKUP($C318,RGI!$A$2:$C$43,2,FALSE),"..")</f>
        <v>..</v>
      </c>
      <c r="BU318" s="129" t="str">
        <f>_xlfn.IFNA(VLOOKUP($C318,RGI!$A$2:$C$43,3,FALSE),"..")</f>
        <v>..</v>
      </c>
      <c r="BV318" s="129">
        <f>VLOOKUP($D318,WGI!$C$2:$O$478,7,FALSE)</f>
        <v>-1.2585968898003801</v>
      </c>
      <c r="BW318" s="129">
        <f>VLOOKUP($D318,WGI!$C$2:$O$478,4,FALSE)</f>
        <v>-2.2133773619349602</v>
      </c>
      <c r="BX318" s="129">
        <f>VLOOKUP($D318,WGI!$C$2:$O$478,3,FALSE)</f>
        <v>-1.7688847547663</v>
      </c>
      <c r="BY318" s="129">
        <f>VLOOKUP($D318,WGI!$C$2:$O$478,5,FALSE)</f>
        <v>-1.2626813110128201</v>
      </c>
      <c r="BZ318" s="129">
        <f>VLOOKUP($D318,WGI!$C$2:$O$478,2,FALSE)</f>
        <v>-1.30773511686967</v>
      </c>
      <c r="CB318" s="129"/>
    </row>
    <row r="319" spans="1:80" s="348" customFormat="1" ht="15" customHeight="1">
      <c r="A319" s="315" t="s">
        <v>170</v>
      </c>
      <c r="B319" s="267">
        <v>2007</v>
      </c>
      <c r="C319" s="267" t="s">
        <v>171</v>
      </c>
      <c r="D319" s="117" t="s">
        <v>3556</v>
      </c>
      <c r="E319" s="267" t="s">
        <v>86</v>
      </c>
      <c r="F319" s="267"/>
      <c r="G319" s="267" t="s">
        <v>24</v>
      </c>
      <c r="H319" s="267" t="str">
        <f t="shared" si="55"/>
        <v>yes</v>
      </c>
      <c r="I319" s="267" t="str">
        <f t="shared" si="56"/>
        <v>no</v>
      </c>
      <c r="J319" s="267" t="str">
        <f t="shared" si="57"/>
        <v>no</v>
      </c>
      <c r="K319" s="268" t="s">
        <v>619</v>
      </c>
      <c r="L319" s="267" t="str">
        <f t="shared" si="49"/>
        <v>detailed</v>
      </c>
      <c r="M319" s="267" t="str">
        <f t="shared" si="58"/>
        <v>detailed Mining</v>
      </c>
      <c r="N319" s="269"/>
      <c r="O319" s="269"/>
      <c r="P319" s="269"/>
      <c r="Q319" s="269"/>
      <c r="R319" s="269"/>
      <c r="S319" s="267"/>
      <c r="T319" s="349">
        <f>7118.226*1.0289</f>
        <v>7323.9427313999995</v>
      </c>
      <c r="U319" s="267" t="s">
        <v>611</v>
      </c>
      <c r="V319" s="267" t="s">
        <v>1071</v>
      </c>
      <c r="W319" s="275">
        <f>N321*T319</f>
        <v>49048444.472185798</v>
      </c>
      <c r="X319" s="267"/>
      <c r="Y319" s="267"/>
      <c r="Z319" s="267"/>
      <c r="AA319" s="271"/>
      <c r="AB319" s="271"/>
      <c r="AC319" s="272"/>
      <c r="AD319" s="272"/>
      <c r="AE319" s="272"/>
      <c r="AF319" s="317"/>
      <c r="AG319" s="267"/>
      <c r="AH319" s="274"/>
      <c r="AI319" s="267"/>
      <c r="AJ319" s="267"/>
      <c r="AK319" s="275"/>
      <c r="AL319" s="267"/>
      <c r="AM319" s="267"/>
      <c r="AN319" s="267"/>
      <c r="AO319" s="267"/>
      <c r="AP319" s="267"/>
      <c r="AQ319" s="267"/>
      <c r="AR319" s="277"/>
      <c r="AS319" s="267"/>
      <c r="AT319" s="267"/>
      <c r="AU319" s="267"/>
      <c r="AV319" s="278"/>
      <c r="AW319" s="117">
        <f>VLOOKUP($D319,'WB Data'!$C$3:$M$578,2,FALSE)</f>
        <v>16364027646.772434</v>
      </c>
      <c r="AX319" s="117">
        <f>VLOOKUP($D319,'WB Data'!$C$3:$M$578,3,FALSE)</f>
        <v>57187942</v>
      </c>
      <c r="AY319" s="847">
        <f t="shared" si="51"/>
        <v>2.5439947241968214E-2</v>
      </c>
      <c r="AZ319" s="117">
        <f>VLOOKUP($D319,'WB Data'!$C$3:$M$578,4,FALSE)/100</f>
        <v>9.3871844813972163E-2</v>
      </c>
      <c r="BA319" s="117">
        <f t="shared" si="52"/>
        <v>1536121463.789372</v>
      </c>
      <c r="BB319" s="129">
        <f>IFERROR(VLOOKUP($D319,'EITI Revenues'!$C$2:$G$224,5,FALSE),"..")</f>
        <v>416300000</v>
      </c>
      <c r="BC319" s="846">
        <f t="shared" si="53"/>
        <v>0.27100721512806208</v>
      </c>
      <c r="BD319" s="129" t="e">
        <f>VLOOKUP($D319,'WB Data 2'!$C$2:$K$545,6,FALSE)</f>
        <v>#N/A</v>
      </c>
      <c r="BE319" s="129">
        <f>IFERROR(VLOOKUP($D319,UNCTAD!$C$5:$V$529,4,FALSE),"..")</f>
        <v>6486622160.4300003</v>
      </c>
      <c r="BF319" s="846" t="str">
        <f t="shared" si="54"/>
        <v>..</v>
      </c>
      <c r="BG319" s="117">
        <f>VLOOKUP($D319,'WB Data'!$C$3:$M$578,5,FALSE)</f>
        <v>1356710000</v>
      </c>
      <c r="BH319" s="129">
        <f>IFERROR($BB319/$BG319,"..")</f>
        <v>0.30684523590155599</v>
      </c>
      <c r="BI319" s="117" t="str">
        <f>IFERROR(VLOOKUP($D319,'WB Data'!$C$3:$M$578,7,FALSE)/100,"..")</f>
        <v>..</v>
      </c>
      <c r="BJ319" s="117" t="str">
        <f>IFERROR($BI319*$AW319,"..")</f>
        <v>..</v>
      </c>
      <c r="BK319" s="846" t="str">
        <f>IFERROR($BB319/$BJ319,"..")</f>
        <v>..</v>
      </c>
      <c r="BL319" s="117" t="str">
        <f>IFERROR(VLOOKUP($D319,'WB Data'!$C$3:$M$578,7,FALSE)/100,"..")</f>
        <v>..</v>
      </c>
      <c r="BM319" s="117" t="str">
        <f>IFERROR($AW319*$BL319,"..")</f>
        <v>..</v>
      </c>
      <c r="BN319" s="846" t="str">
        <f>IFERROR($BB319/$BM319,"..")</f>
        <v>..</v>
      </c>
      <c r="BO319" s="801" t="str">
        <f t="shared" si="50"/>
        <v>..</v>
      </c>
      <c r="BP319" s="117" t="str">
        <f>VLOOKUP($D319,'WB Data'!$C$3:$M$578,9,FALSE)</f>
        <v>..</v>
      </c>
      <c r="BQ319" s="117">
        <f>VLOOKUP($D319,'WB Data'!$C$3:$M$578,10,FALSE)</f>
        <v>48.213512195121965</v>
      </c>
      <c r="BR319" s="117">
        <f>VLOOKUP($D319,'WB Data'!$C$3:$M$578,11,FALSE)</f>
        <v>99.5</v>
      </c>
      <c r="BS319" s="129" t="str">
        <f>IFERROR(VLOOKUP($D319,'WB Data 2'!$C$2:$K$545,9,FALSE),"..")</f>
        <v>..</v>
      </c>
      <c r="BT319" s="129" t="str">
        <f>_xlfn.IFNA(VLOOKUP($C319,RGI!$A$2:$C$43,2,FALSE),"..")</f>
        <v>..</v>
      </c>
      <c r="BU319" s="129" t="str">
        <f>_xlfn.IFNA(VLOOKUP($C319,RGI!$A$2:$C$43,3,FALSE),"..")</f>
        <v>..</v>
      </c>
      <c r="BV319" s="129">
        <f>VLOOKUP($D319,WGI!$C$2:$O$478,7,FALSE)</f>
        <v>-1.2585968898003801</v>
      </c>
      <c r="BW319" s="129">
        <f>VLOOKUP($D319,WGI!$C$2:$O$478,4,FALSE)</f>
        <v>-2.2133773619349602</v>
      </c>
      <c r="BX319" s="129">
        <f>VLOOKUP($D319,WGI!$C$2:$O$478,3,FALSE)</f>
        <v>-1.7688847547663</v>
      </c>
      <c r="BY319" s="129">
        <f>VLOOKUP($D319,WGI!$C$2:$O$478,5,FALSE)</f>
        <v>-1.2626813110128201</v>
      </c>
      <c r="BZ319" s="129">
        <f>VLOOKUP($D319,WGI!$C$2:$O$478,2,FALSE)</f>
        <v>-1.30773511686967</v>
      </c>
      <c r="CB319" s="129"/>
    </row>
    <row r="320" spans="1:80" s="348" customFormat="1" ht="15" customHeight="1">
      <c r="A320" s="315" t="s">
        <v>170</v>
      </c>
      <c r="B320" s="267">
        <v>2007</v>
      </c>
      <c r="C320" s="267" t="s">
        <v>171</v>
      </c>
      <c r="D320" s="117" t="s">
        <v>3556</v>
      </c>
      <c r="E320" s="267" t="s">
        <v>86</v>
      </c>
      <c r="F320" s="267"/>
      <c r="G320" s="267" t="s">
        <v>24</v>
      </c>
      <c r="H320" s="267" t="str">
        <f t="shared" si="55"/>
        <v>yes</v>
      </c>
      <c r="I320" s="267" t="str">
        <f t="shared" si="56"/>
        <v>no</v>
      </c>
      <c r="J320" s="267" t="str">
        <f t="shared" si="57"/>
        <v>no</v>
      </c>
      <c r="K320" s="268" t="s">
        <v>1072</v>
      </c>
      <c r="L320" s="267" t="str">
        <f t="shared" si="49"/>
        <v>detailed</v>
      </c>
      <c r="M320" s="267" t="str">
        <f t="shared" si="58"/>
        <v>detailed Mining</v>
      </c>
      <c r="N320" s="269">
        <v>146000</v>
      </c>
      <c r="O320" s="269"/>
      <c r="P320" s="269"/>
      <c r="Q320" s="269"/>
      <c r="R320" s="269"/>
      <c r="S320" s="267" t="s">
        <v>610</v>
      </c>
      <c r="T320" s="270"/>
      <c r="U320" s="267"/>
      <c r="V320" s="267" t="s">
        <v>847</v>
      </c>
      <c r="W320" s="275"/>
      <c r="X320" s="267"/>
      <c r="Y320" s="267"/>
      <c r="Z320" s="267"/>
      <c r="AA320" s="271"/>
      <c r="AB320" s="271"/>
      <c r="AC320" s="272"/>
      <c r="AD320" s="272"/>
      <c r="AE320" s="272"/>
      <c r="AF320" s="317"/>
      <c r="AG320" s="267"/>
      <c r="AH320" s="274"/>
      <c r="AI320" s="267"/>
      <c r="AJ320" s="267"/>
      <c r="AK320" s="275"/>
      <c r="AL320" s="267"/>
      <c r="AM320" s="267"/>
      <c r="AN320" s="267"/>
      <c r="AO320" s="267"/>
      <c r="AP320" s="267"/>
      <c r="AQ320" s="267"/>
      <c r="AR320" s="277"/>
      <c r="AS320" s="267"/>
      <c r="AT320" s="267"/>
      <c r="AU320" s="267"/>
      <c r="AV320" s="278"/>
      <c r="AW320" s="117">
        <f>VLOOKUP($D320,'WB Data'!$C$3:$M$578,2,FALSE)</f>
        <v>16364027646.772434</v>
      </c>
      <c r="AX320" s="117">
        <f>VLOOKUP($D320,'WB Data'!$C$3:$M$578,3,FALSE)</f>
        <v>57187942</v>
      </c>
      <c r="AY320" s="847">
        <f t="shared" si="51"/>
        <v>2.5439947241968214E-2</v>
      </c>
      <c r="AZ320" s="117">
        <f>VLOOKUP($D320,'WB Data'!$C$3:$M$578,4,FALSE)/100</f>
        <v>9.3871844813972163E-2</v>
      </c>
      <c r="BA320" s="117">
        <f t="shared" si="52"/>
        <v>1536121463.789372</v>
      </c>
      <c r="BB320" s="129">
        <f>IFERROR(VLOOKUP($D320,'EITI Revenues'!$C$2:$G$224,5,FALSE),"..")</f>
        <v>416300000</v>
      </c>
      <c r="BC320" s="846">
        <f t="shared" si="53"/>
        <v>0.27100721512806208</v>
      </c>
      <c r="BD320" s="129" t="e">
        <f>VLOOKUP($D320,'WB Data 2'!$C$2:$K$545,6,FALSE)</f>
        <v>#N/A</v>
      </c>
      <c r="BE320" s="129">
        <f>IFERROR(VLOOKUP($D320,UNCTAD!$C$5:$V$529,4,FALSE),"..")</f>
        <v>6486622160.4300003</v>
      </c>
      <c r="BF320" s="846" t="str">
        <f t="shared" si="54"/>
        <v>..</v>
      </c>
      <c r="BG320" s="117">
        <f>VLOOKUP($D320,'WB Data'!$C$3:$M$578,5,FALSE)</f>
        <v>1356710000</v>
      </c>
      <c r="BH320" s="129">
        <f>IFERROR($BB320/$BG320,"..")</f>
        <v>0.30684523590155599</v>
      </c>
      <c r="BI320" s="117" t="str">
        <f>IFERROR(VLOOKUP($D320,'WB Data'!$C$3:$M$578,7,FALSE)/100,"..")</f>
        <v>..</v>
      </c>
      <c r="BJ320" s="117" t="str">
        <f>IFERROR($BI320*$AW320,"..")</f>
        <v>..</v>
      </c>
      <c r="BK320" s="846" t="str">
        <f>IFERROR($BB320/$BJ320,"..")</f>
        <v>..</v>
      </c>
      <c r="BL320" s="117" t="str">
        <f>IFERROR(VLOOKUP($D320,'WB Data'!$C$3:$M$578,7,FALSE)/100,"..")</f>
        <v>..</v>
      </c>
      <c r="BM320" s="117" t="str">
        <f>IFERROR($AW320*$BL320,"..")</f>
        <v>..</v>
      </c>
      <c r="BN320" s="846" t="str">
        <f>IFERROR($BB320/$BM320,"..")</f>
        <v>..</v>
      </c>
      <c r="BO320" s="801" t="str">
        <f t="shared" si="50"/>
        <v>..</v>
      </c>
      <c r="BP320" s="117" t="str">
        <f>VLOOKUP($D320,'WB Data'!$C$3:$M$578,9,FALSE)</f>
        <v>..</v>
      </c>
      <c r="BQ320" s="117">
        <f>VLOOKUP($D320,'WB Data'!$C$3:$M$578,10,FALSE)</f>
        <v>48.213512195121965</v>
      </c>
      <c r="BR320" s="117">
        <f>VLOOKUP($D320,'WB Data'!$C$3:$M$578,11,FALSE)</f>
        <v>99.5</v>
      </c>
      <c r="BS320" s="129" t="str">
        <f>IFERROR(VLOOKUP($D320,'WB Data 2'!$C$2:$K$545,9,FALSE),"..")</f>
        <v>..</v>
      </c>
      <c r="BT320" s="129" t="str">
        <f>_xlfn.IFNA(VLOOKUP($C320,RGI!$A$2:$C$43,2,FALSE),"..")</f>
        <v>..</v>
      </c>
      <c r="BU320" s="129" t="str">
        <f>_xlfn.IFNA(VLOOKUP($C320,RGI!$A$2:$C$43,3,FALSE),"..")</f>
        <v>..</v>
      </c>
      <c r="BV320" s="129">
        <f>VLOOKUP($D320,WGI!$C$2:$O$478,7,FALSE)</f>
        <v>-1.2585968898003801</v>
      </c>
      <c r="BW320" s="129">
        <f>VLOOKUP($D320,WGI!$C$2:$O$478,4,FALSE)</f>
        <v>-2.2133773619349602</v>
      </c>
      <c r="BX320" s="129">
        <f>VLOOKUP($D320,WGI!$C$2:$O$478,3,FALSE)</f>
        <v>-1.7688847547663</v>
      </c>
      <c r="BY320" s="129">
        <f>VLOOKUP($D320,WGI!$C$2:$O$478,5,FALSE)</f>
        <v>-1.2626813110128201</v>
      </c>
      <c r="BZ320" s="129">
        <f>VLOOKUP($D320,WGI!$C$2:$O$478,2,FALSE)</f>
        <v>-1.30773511686967</v>
      </c>
      <c r="CB320" s="129"/>
    </row>
    <row r="321" spans="1:80" s="348" customFormat="1" ht="15" customHeight="1">
      <c r="A321" s="315" t="s">
        <v>170</v>
      </c>
      <c r="B321" s="267">
        <v>2007</v>
      </c>
      <c r="C321" s="267" t="s">
        <v>171</v>
      </c>
      <c r="D321" s="117" t="s">
        <v>3556</v>
      </c>
      <c r="E321" s="267" t="s">
        <v>86</v>
      </c>
      <c r="F321" s="267"/>
      <c r="G321" s="267" t="s">
        <v>24</v>
      </c>
      <c r="H321" s="267" t="str">
        <f t="shared" si="55"/>
        <v>yes</v>
      </c>
      <c r="I321" s="267" t="str">
        <f t="shared" si="56"/>
        <v>no</v>
      </c>
      <c r="J321" s="267" t="str">
        <f t="shared" si="57"/>
        <v>no</v>
      </c>
      <c r="K321" s="268" t="s">
        <v>1073</v>
      </c>
      <c r="L321" s="267" t="str">
        <f t="shared" si="49"/>
        <v>detailed</v>
      </c>
      <c r="M321" s="267" t="str">
        <f t="shared" si="58"/>
        <v>detailed Mining</v>
      </c>
      <c r="N321" s="269">
        <v>6697</v>
      </c>
      <c r="O321" s="269"/>
      <c r="P321" s="269"/>
      <c r="Q321" s="269"/>
      <c r="R321" s="269"/>
      <c r="S321" s="267" t="s">
        <v>610</v>
      </c>
      <c r="T321" s="270"/>
      <c r="U321" s="267"/>
      <c r="V321" s="267" t="s">
        <v>847</v>
      </c>
      <c r="W321" s="275"/>
      <c r="X321" s="267"/>
      <c r="Y321" s="267"/>
      <c r="Z321" s="267"/>
      <c r="AA321" s="271"/>
      <c r="AB321" s="271"/>
      <c r="AC321" s="272"/>
      <c r="AD321" s="272"/>
      <c r="AE321" s="272"/>
      <c r="AF321" s="317"/>
      <c r="AG321" s="267"/>
      <c r="AH321" s="274"/>
      <c r="AI321" s="267"/>
      <c r="AJ321" s="267"/>
      <c r="AK321" s="275"/>
      <c r="AL321" s="267"/>
      <c r="AM321" s="267"/>
      <c r="AN321" s="267"/>
      <c r="AO321" s="267"/>
      <c r="AP321" s="267"/>
      <c r="AQ321" s="267"/>
      <c r="AR321" s="277"/>
      <c r="AS321" s="267"/>
      <c r="AT321" s="267"/>
      <c r="AU321" s="267"/>
      <c r="AV321" s="278"/>
      <c r="AW321" s="117">
        <f>VLOOKUP($D321,'WB Data'!$C$3:$M$578,2,FALSE)</f>
        <v>16364027646.772434</v>
      </c>
      <c r="AX321" s="117">
        <f>VLOOKUP($D321,'WB Data'!$C$3:$M$578,3,FALSE)</f>
        <v>57187942</v>
      </c>
      <c r="AY321" s="847">
        <f t="shared" si="51"/>
        <v>2.5439947241968214E-2</v>
      </c>
      <c r="AZ321" s="117">
        <f>VLOOKUP($D321,'WB Data'!$C$3:$M$578,4,FALSE)/100</f>
        <v>9.3871844813972163E-2</v>
      </c>
      <c r="BA321" s="117">
        <f t="shared" si="52"/>
        <v>1536121463.789372</v>
      </c>
      <c r="BB321" s="129">
        <f>IFERROR(VLOOKUP($D321,'EITI Revenues'!$C$2:$G$224,5,FALSE),"..")</f>
        <v>416300000</v>
      </c>
      <c r="BC321" s="846">
        <f t="shared" si="53"/>
        <v>0.27100721512806208</v>
      </c>
      <c r="BD321" s="129" t="e">
        <f>VLOOKUP($D321,'WB Data 2'!$C$2:$K$545,6,FALSE)</f>
        <v>#N/A</v>
      </c>
      <c r="BE321" s="129">
        <f>IFERROR(VLOOKUP($D321,UNCTAD!$C$5:$V$529,4,FALSE),"..")</f>
        <v>6486622160.4300003</v>
      </c>
      <c r="BF321" s="846" t="str">
        <f t="shared" si="54"/>
        <v>..</v>
      </c>
      <c r="BG321" s="117">
        <f>VLOOKUP($D321,'WB Data'!$C$3:$M$578,5,FALSE)</f>
        <v>1356710000</v>
      </c>
      <c r="BH321" s="129">
        <f>IFERROR($BB321/$BG321,"..")</f>
        <v>0.30684523590155599</v>
      </c>
      <c r="BI321" s="117" t="str">
        <f>IFERROR(VLOOKUP($D321,'WB Data'!$C$3:$M$578,7,FALSE)/100,"..")</f>
        <v>..</v>
      </c>
      <c r="BJ321" s="117" t="str">
        <f>IFERROR($BI321*$AW321,"..")</f>
        <v>..</v>
      </c>
      <c r="BK321" s="846" t="str">
        <f>IFERROR($BB321/$BJ321,"..")</f>
        <v>..</v>
      </c>
      <c r="BL321" s="117" t="str">
        <f>IFERROR(VLOOKUP($D321,'WB Data'!$C$3:$M$578,7,FALSE)/100,"..")</f>
        <v>..</v>
      </c>
      <c r="BM321" s="117" t="str">
        <f>IFERROR($AW321*$BL321,"..")</f>
        <v>..</v>
      </c>
      <c r="BN321" s="846" t="str">
        <f>IFERROR($BB321/$BM321,"..")</f>
        <v>..</v>
      </c>
      <c r="BO321" s="801" t="str">
        <f t="shared" si="50"/>
        <v>..</v>
      </c>
      <c r="BP321" s="117" t="str">
        <f>VLOOKUP($D321,'WB Data'!$C$3:$M$578,9,FALSE)</f>
        <v>..</v>
      </c>
      <c r="BQ321" s="117">
        <f>VLOOKUP($D321,'WB Data'!$C$3:$M$578,10,FALSE)</f>
        <v>48.213512195121965</v>
      </c>
      <c r="BR321" s="117">
        <f>VLOOKUP($D321,'WB Data'!$C$3:$M$578,11,FALSE)</f>
        <v>99.5</v>
      </c>
      <c r="BS321" s="129" t="str">
        <f>IFERROR(VLOOKUP($D321,'WB Data 2'!$C$2:$K$545,9,FALSE),"..")</f>
        <v>..</v>
      </c>
      <c r="BT321" s="129" t="str">
        <f>_xlfn.IFNA(VLOOKUP($C321,RGI!$A$2:$C$43,2,FALSE),"..")</f>
        <v>..</v>
      </c>
      <c r="BU321" s="129" t="str">
        <f>_xlfn.IFNA(VLOOKUP($C321,RGI!$A$2:$C$43,3,FALSE),"..")</f>
        <v>..</v>
      </c>
      <c r="BV321" s="129">
        <f>VLOOKUP($D321,WGI!$C$2:$O$478,7,FALSE)</f>
        <v>-1.2585968898003801</v>
      </c>
      <c r="BW321" s="129">
        <f>VLOOKUP($D321,WGI!$C$2:$O$478,4,FALSE)</f>
        <v>-2.2133773619349602</v>
      </c>
      <c r="BX321" s="129">
        <f>VLOOKUP($D321,WGI!$C$2:$O$478,3,FALSE)</f>
        <v>-1.7688847547663</v>
      </c>
      <c r="BY321" s="129">
        <f>VLOOKUP($D321,WGI!$C$2:$O$478,5,FALSE)</f>
        <v>-1.2626813110128201</v>
      </c>
      <c r="BZ321" s="129">
        <f>VLOOKUP($D321,WGI!$C$2:$O$478,2,FALSE)</f>
        <v>-1.30773511686967</v>
      </c>
      <c r="CB321" s="129"/>
    </row>
    <row r="322" spans="1:80" s="348" customFormat="1" ht="15" customHeight="1">
      <c r="A322" s="315" t="s">
        <v>170</v>
      </c>
      <c r="B322" s="267">
        <v>2007</v>
      </c>
      <c r="C322" s="267" t="s">
        <v>171</v>
      </c>
      <c r="D322" s="117" t="s">
        <v>3556</v>
      </c>
      <c r="E322" s="267" t="s">
        <v>86</v>
      </c>
      <c r="F322" s="267"/>
      <c r="G322" s="267" t="s">
        <v>24</v>
      </c>
      <c r="H322" s="267" t="str">
        <f t="shared" si="55"/>
        <v>yes</v>
      </c>
      <c r="I322" s="267" t="str">
        <f t="shared" si="56"/>
        <v>no</v>
      </c>
      <c r="J322" s="267" t="str">
        <f t="shared" si="57"/>
        <v>no</v>
      </c>
      <c r="K322" s="268" t="s">
        <v>980</v>
      </c>
      <c r="L322" s="267" t="str">
        <f t="shared" ref="L322:L385" si="59">IF(LEFT(K322,5)="Total","Total","detailed")</f>
        <v>detailed</v>
      </c>
      <c r="M322" s="267" t="str">
        <f t="shared" si="58"/>
        <v>detailed Mining</v>
      </c>
      <c r="N322" s="269">
        <v>28265000</v>
      </c>
      <c r="O322" s="269"/>
      <c r="P322" s="269"/>
      <c r="Q322" s="269"/>
      <c r="R322" s="269"/>
      <c r="S322" s="267" t="s">
        <v>981</v>
      </c>
      <c r="T322" s="270">
        <v>12.82</v>
      </c>
      <c r="U322" s="267" t="s">
        <v>982</v>
      </c>
      <c r="V322" s="267" t="s">
        <v>1074</v>
      </c>
      <c r="W322" s="275">
        <f>N322*T322</f>
        <v>362357300</v>
      </c>
      <c r="X322" s="267"/>
      <c r="Y322" s="267"/>
      <c r="Z322" s="267"/>
      <c r="AA322" s="271"/>
      <c r="AB322" s="271"/>
      <c r="AC322" s="272"/>
      <c r="AD322" s="272"/>
      <c r="AE322" s="272"/>
      <c r="AF322" s="317"/>
      <c r="AG322" s="267"/>
      <c r="AH322" s="274"/>
      <c r="AI322" s="267"/>
      <c r="AJ322" s="267"/>
      <c r="AK322" s="275"/>
      <c r="AL322" s="267"/>
      <c r="AM322" s="267"/>
      <c r="AN322" s="267"/>
      <c r="AO322" s="267"/>
      <c r="AP322" s="267"/>
      <c r="AQ322" s="267"/>
      <c r="AR322" s="277"/>
      <c r="AS322" s="267"/>
      <c r="AT322" s="267"/>
      <c r="AU322" s="267"/>
      <c r="AV322" s="278"/>
      <c r="AW322" s="117">
        <f>VLOOKUP($D322,'WB Data'!$C$3:$M$578,2,FALSE)</f>
        <v>16364027646.772434</v>
      </c>
      <c r="AX322" s="117">
        <f>VLOOKUP($D322,'WB Data'!$C$3:$M$578,3,FALSE)</f>
        <v>57187942</v>
      </c>
      <c r="AY322" s="847">
        <f t="shared" si="51"/>
        <v>2.5439947241968214E-2</v>
      </c>
      <c r="AZ322" s="117">
        <f>VLOOKUP($D322,'WB Data'!$C$3:$M$578,4,FALSE)/100</f>
        <v>9.3871844813972163E-2</v>
      </c>
      <c r="BA322" s="117">
        <f t="shared" si="52"/>
        <v>1536121463.789372</v>
      </c>
      <c r="BB322" s="129">
        <f>IFERROR(VLOOKUP($D322,'EITI Revenues'!$C$2:$G$224,5,FALSE),"..")</f>
        <v>416300000</v>
      </c>
      <c r="BC322" s="846">
        <f t="shared" si="53"/>
        <v>0.27100721512806208</v>
      </c>
      <c r="BD322" s="129" t="e">
        <f>VLOOKUP($D322,'WB Data 2'!$C$2:$K$545,6,FALSE)</f>
        <v>#N/A</v>
      </c>
      <c r="BE322" s="129">
        <f>IFERROR(VLOOKUP($D322,UNCTAD!$C$5:$V$529,4,FALSE),"..")</f>
        <v>6486622160.4300003</v>
      </c>
      <c r="BF322" s="846" t="str">
        <f t="shared" si="54"/>
        <v>..</v>
      </c>
      <c r="BG322" s="117">
        <f>VLOOKUP($D322,'WB Data'!$C$3:$M$578,5,FALSE)</f>
        <v>1356710000</v>
      </c>
      <c r="BH322" s="129">
        <f>IFERROR($BB322/$BG322,"..")</f>
        <v>0.30684523590155599</v>
      </c>
      <c r="BI322" s="117" t="str">
        <f>IFERROR(VLOOKUP($D322,'WB Data'!$C$3:$M$578,7,FALSE)/100,"..")</f>
        <v>..</v>
      </c>
      <c r="BJ322" s="117" t="str">
        <f>IFERROR($BI322*$AW322,"..")</f>
        <v>..</v>
      </c>
      <c r="BK322" s="846" t="str">
        <f>IFERROR($BB322/$BJ322,"..")</f>
        <v>..</v>
      </c>
      <c r="BL322" s="117" t="str">
        <f>IFERROR(VLOOKUP($D322,'WB Data'!$C$3:$M$578,7,FALSE)/100,"..")</f>
        <v>..</v>
      </c>
      <c r="BM322" s="117" t="str">
        <f>IFERROR($AW322*$BL322,"..")</f>
        <v>..</v>
      </c>
      <c r="BN322" s="846" t="str">
        <f>IFERROR($BB322/$BM322,"..")</f>
        <v>..</v>
      </c>
      <c r="BO322" s="801" t="str">
        <f t="shared" ref="BO322:BO385" si="60">_xlfn.IFNA(VLOOKUP($C322,CPI_2013,2,FALSE),"..")</f>
        <v>..</v>
      </c>
      <c r="BP322" s="117" t="str">
        <f>VLOOKUP($D322,'WB Data'!$C$3:$M$578,9,FALSE)</f>
        <v>..</v>
      </c>
      <c r="BQ322" s="117">
        <f>VLOOKUP($D322,'WB Data'!$C$3:$M$578,10,FALSE)</f>
        <v>48.213512195121965</v>
      </c>
      <c r="BR322" s="117">
        <f>VLOOKUP($D322,'WB Data'!$C$3:$M$578,11,FALSE)</f>
        <v>99.5</v>
      </c>
      <c r="BS322" s="129" t="str">
        <f>IFERROR(VLOOKUP($D322,'WB Data 2'!$C$2:$K$545,9,FALSE),"..")</f>
        <v>..</v>
      </c>
      <c r="BT322" s="129" t="str">
        <f>_xlfn.IFNA(VLOOKUP($C322,RGI!$A$2:$C$43,2,FALSE),"..")</f>
        <v>..</v>
      </c>
      <c r="BU322" s="129" t="str">
        <f>_xlfn.IFNA(VLOOKUP($C322,RGI!$A$2:$C$43,3,FALSE),"..")</f>
        <v>..</v>
      </c>
      <c r="BV322" s="129">
        <f>VLOOKUP($D322,WGI!$C$2:$O$478,7,FALSE)</f>
        <v>-1.2585968898003801</v>
      </c>
      <c r="BW322" s="129">
        <f>VLOOKUP($D322,WGI!$C$2:$O$478,4,FALSE)</f>
        <v>-2.2133773619349602</v>
      </c>
      <c r="BX322" s="129">
        <f>VLOOKUP($D322,WGI!$C$2:$O$478,3,FALSE)</f>
        <v>-1.7688847547663</v>
      </c>
      <c r="BY322" s="129">
        <f>VLOOKUP($D322,WGI!$C$2:$O$478,5,FALSE)</f>
        <v>-1.2626813110128201</v>
      </c>
      <c r="BZ322" s="129">
        <f>VLOOKUP($D322,WGI!$C$2:$O$478,2,FALSE)</f>
        <v>-1.30773511686967</v>
      </c>
      <c r="CB322" s="129"/>
    </row>
    <row r="323" spans="1:80" s="348" customFormat="1" ht="15" customHeight="1">
      <c r="A323" s="315" t="s">
        <v>170</v>
      </c>
      <c r="B323" s="267">
        <v>2007</v>
      </c>
      <c r="C323" s="267" t="s">
        <v>171</v>
      </c>
      <c r="D323" s="117" t="s">
        <v>3556</v>
      </c>
      <c r="E323" s="267" t="s">
        <v>86</v>
      </c>
      <c r="F323" s="267"/>
      <c r="G323" s="267" t="s">
        <v>24</v>
      </c>
      <c r="H323" s="267" t="str">
        <f t="shared" si="55"/>
        <v>yes</v>
      </c>
      <c r="I323" s="267" t="str">
        <f t="shared" si="56"/>
        <v>no</v>
      </c>
      <c r="J323" s="267" t="str">
        <f t="shared" si="57"/>
        <v>no</v>
      </c>
      <c r="K323" s="268" t="s">
        <v>784</v>
      </c>
      <c r="L323" s="267" t="str">
        <f t="shared" si="59"/>
        <v>detailed</v>
      </c>
      <c r="M323" s="267" t="str">
        <f t="shared" si="58"/>
        <v>detailed Mining</v>
      </c>
      <c r="N323" s="269">
        <f>5100*32.150743126506</f>
        <v>163968.78994518062</v>
      </c>
      <c r="O323" s="269"/>
      <c r="P323" s="269"/>
      <c r="Q323" s="269"/>
      <c r="R323" s="269"/>
      <c r="S323" s="267" t="s">
        <v>785</v>
      </c>
      <c r="T323" s="270">
        <v>696.72024999999996</v>
      </c>
      <c r="U323" s="267" t="s">
        <v>786</v>
      </c>
      <c r="V323" s="267" t="s">
        <v>841</v>
      </c>
      <c r="W323" s="275">
        <f>N323*T323</f>
        <v>114240376.32280372</v>
      </c>
      <c r="X323" s="267"/>
      <c r="Y323" s="267"/>
      <c r="Z323" s="267"/>
      <c r="AA323" s="271"/>
      <c r="AB323" s="271"/>
      <c r="AC323" s="272"/>
      <c r="AD323" s="272"/>
      <c r="AE323" s="272"/>
      <c r="AF323" s="317"/>
      <c r="AG323" s="267"/>
      <c r="AH323" s="274"/>
      <c r="AI323" s="267"/>
      <c r="AJ323" s="267"/>
      <c r="AK323" s="275"/>
      <c r="AL323" s="267"/>
      <c r="AM323" s="267"/>
      <c r="AN323" s="267"/>
      <c r="AO323" s="267"/>
      <c r="AP323" s="267"/>
      <c r="AQ323" s="267"/>
      <c r="AR323" s="277"/>
      <c r="AS323" s="267"/>
      <c r="AT323" s="267"/>
      <c r="AU323" s="267"/>
      <c r="AV323" s="278"/>
      <c r="AW323" s="117">
        <f>VLOOKUP($D323,'WB Data'!$C$3:$M$578,2,FALSE)</f>
        <v>16364027646.772434</v>
      </c>
      <c r="AX323" s="117">
        <f>VLOOKUP($D323,'WB Data'!$C$3:$M$578,3,FALSE)</f>
        <v>57187942</v>
      </c>
      <c r="AY323" s="847">
        <f t="shared" ref="AY323:AY386" si="61">IFERROR($BB323/$AW323,"..")</f>
        <v>2.5439947241968214E-2</v>
      </c>
      <c r="AZ323" s="117">
        <f>VLOOKUP($D323,'WB Data'!$C$3:$M$578,4,FALSE)/100</f>
        <v>9.3871844813972163E-2</v>
      </c>
      <c r="BA323" s="117">
        <f t="shared" ref="BA323:BA386" si="62">IFERROR($AW323*$AZ323,"..")</f>
        <v>1536121463.789372</v>
      </c>
      <c r="BB323" s="129">
        <f>IFERROR(VLOOKUP($D323,'EITI Revenues'!$C$2:$G$224,5,FALSE),"..")</f>
        <v>416300000</v>
      </c>
      <c r="BC323" s="846">
        <f t="shared" ref="BC323:BC386" si="63">IFERROR($BB323/$BA323,"..")</f>
        <v>0.27100721512806208</v>
      </c>
      <c r="BD323" s="129" t="e">
        <f>VLOOKUP($D323,'WB Data 2'!$C$2:$K$545,6,FALSE)</f>
        <v>#N/A</v>
      </c>
      <c r="BE323" s="129">
        <f>IFERROR(VLOOKUP($D323,UNCTAD!$C$5:$V$529,4,FALSE),"..")</f>
        <v>6486622160.4300003</v>
      </c>
      <c r="BF323" s="846" t="str">
        <f t="shared" ref="BF323:BF386" si="64">IFERROR(($BD323/$BE323),"..")</f>
        <v>..</v>
      </c>
      <c r="BG323" s="117">
        <f>VLOOKUP($D323,'WB Data'!$C$3:$M$578,5,FALSE)</f>
        <v>1356710000</v>
      </c>
      <c r="BH323" s="129">
        <f>IFERROR($BB323/$BG323,"..")</f>
        <v>0.30684523590155599</v>
      </c>
      <c r="BI323" s="117" t="str">
        <f>IFERROR(VLOOKUP($D323,'WB Data'!$C$3:$M$578,7,FALSE)/100,"..")</f>
        <v>..</v>
      </c>
      <c r="BJ323" s="117" t="str">
        <f>IFERROR($BI323*$AW323,"..")</f>
        <v>..</v>
      </c>
      <c r="BK323" s="846" t="str">
        <f>IFERROR($BB323/$BJ323,"..")</f>
        <v>..</v>
      </c>
      <c r="BL323" s="117" t="str">
        <f>IFERROR(VLOOKUP($D323,'WB Data'!$C$3:$M$578,7,FALSE)/100,"..")</f>
        <v>..</v>
      </c>
      <c r="BM323" s="117" t="str">
        <f>IFERROR($AW323*$BL323,"..")</f>
        <v>..</v>
      </c>
      <c r="BN323" s="846" t="str">
        <f>IFERROR($BB323/$BM323,"..")</f>
        <v>..</v>
      </c>
      <c r="BO323" s="801" t="str">
        <f t="shared" si="60"/>
        <v>..</v>
      </c>
      <c r="BP323" s="117" t="str">
        <f>VLOOKUP($D323,'WB Data'!$C$3:$M$578,9,FALSE)</f>
        <v>..</v>
      </c>
      <c r="BQ323" s="117">
        <f>VLOOKUP($D323,'WB Data'!$C$3:$M$578,10,FALSE)</f>
        <v>48.213512195121965</v>
      </c>
      <c r="BR323" s="117">
        <f>VLOOKUP($D323,'WB Data'!$C$3:$M$578,11,FALSE)</f>
        <v>99.5</v>
      </c>
      <c r="BS323" s="129" t="str">
        <f>IFERROR(VLOOKUP($D323,'WB Data 2'!$C$2:$K$545,9,FALSE),"..")</f>
        <v>..</v>
      </c>
      <c r="BT323" s="129" t="str">
        <f>_xlfn.IFNA(VLOOKUP($C323,RGI!$A$2:$C$43,2,FALSE),"..")</f>
        <v>..</v>
      </c>
      <c r="BU323" s="129" t="str">
        <f>_xlfn.IFNA(VLOOKUP($C323,RGI!$A$2:$C$43,3,FALSE),"..")</f>
        <v>..</v>
      </c>
      <c r="BV323" s="129">
        <f>VLOOKUP($D323,WGI!$C$2:$O$478,7,FALSE)</f>
        <v>-1.2585968898003801</v>
      </c>
      <c r="BW323" s="129">
        <f>VLOOKUP($D323,WGI!$C$2:$O$478,4,FALSE)</f>
        <v>-2.2133773619349602</v>
      </c>
      <c r="BX323" s="129">
        <f>VLOOKUP($D323,WGI!$C$2:$O$478,3,FALSE)</f>
        <v>-1.7688847547663</v>
      </c>
      <c r="BY323" s="129">
        <f>VLOOKUP($D323,WGI!$C$2:$O$478,5,FALSE)</f>
        <v>-1.2626813110128201</v>
      </c>
      <c r="BZ323" s="129">
        <f>VLOOKUP($D323,WGI!$C$2:$O$478,2,FALSE)</f>
        <v>-1.30773511686967</v>
      </c>
      <c r="CB323" s="129"/>
    </row>
    <row r="324" spans="1:80" s="348" customFormat="1" ht="15" customHeight="1">
      <c r="A324" s="315" t="s">
        <v>170</v>
      </c>
      <c r="B324" s="267">
        <v>2007</v>
      </c>
      <c r="C324" s="267" t="s">
        <v>171</v>
      </c>
      <c r="D324" s="117" t="s">
        <v>3556</v>
      </c>
      <c r="E324" s="267" t="s">
        <v>86</v>
      </c>
      <c r="F324" s="267"/>
      <c r="G324" s="267" t="s">
        <v>24</v>
      </c>
      <c r="H324" s="267" t="str">
        <f t="shared" si="55"/>
        <v>yes</v>
      </c>
      <c r="I324" s="267" t="str">
        <f t="shared" si="56"/>
        <v>no</v>
      </c>
      <c r="J324" s="267" t="str">
        <f t="shared" si="57"/>
        <v>no</v>
      </c>
      <c r="K324" s="268" t="s">
        <v>1075</v>
      </c>
      <c r="L324" s="267" t="str">
        <f t="shared" si="59"/>
        <v>detailed</v>
      </c>
      <c r="M324" s="267" t="str">
        <f t="shared" si="58"/>
        <v>detailed Mining</v>
      </c>
      <c r="N324" s="269"/>
      <c r="O324" s="269"/>
      <c r="P324" s="269"/>
      <c r="Q324" s="269"/>
      <c r="R324" s="269"/>
      <c r="S324" s="267"/>
      <c r="T324" s="349">
        <f>14536.8345</f>
        <v>14536.834500000001</v>
      </c>
      <c r="U324" s="267" t="s">
        <v>611</v>
      </c>
      <c r="V324" s="267" t="s">
        <v>1076</v>
      </c>
      <c r="W324" s="275">
        <f>N326*T324</f>
        <v>141007294.65000001</v>
      </c>
      <c r="X324" s="267"/>
      <c r="Y324" s="267"/>
      <c r="Z324" s="267"/>
      <c r="AA324" s="271"/>
      <c r="AB324" s="271"/>
      <c r="AC324" s="272"/>
      <c r="AD324" s="272"/>
      <c r="AE324" s="272"/>
      <c r="AF324" s="317"/>
      <c r="AG324" s="267"/>
      <c r="AH324" s="274"/>
      <c r="AI324" s="267"/>
      <c r="AJ324" s="267"/>
      <c r="AK324" s="275"/>
      <c r="AL324" s="267"/>
      <c r="AM324" s="267"/>
      <c r="AN324" s="267"/>
      <c r="AO324" s="267"/>
      <c r="AP324" s="267"/>
      <c r="AQ324" s="267"/>
      <c r="AR324" s="277"/>
      <c r="AS324" s="267"/>
      <c r="AT324" s="267"/>
      <c r="AU324" s="267"/>
      <c r="AV324" s="278"/>
      <c r="AW324" s="117">
        <f>VLOOKUP($D324,'WB Data'!$C$3:$M$578,2,FALSE)</f>
        <v>16364027646.772434</v>
      </c>
      <c r="AX324" s="117">
        <f>VLOOKUP($D324,'WB Data'!$C$3:$M$578,3,FALSE)</f>
        <v>57187942</v>
      </c>
      <c r="AY324" s="847">
        <f t="shared" si="61"/>
        <v>2.5439947241968214E-2</v>
      </c>
      <c r="AZ324" s="117">
        <f>VLOOKUP($D324,'WB Data'!$C$3:$M$578,4,FALSE)/100</f>
        <v>9.3871844813972163E-2</v>
      </c>
      <c r="BA324" s="117">
        <f t="shared" si="62"/>
        <v>1536121463.789372</v>
      </c>
      <c r="BB324" s="129">
        <f>IFERROR(VLOOKUP($D324,'EITI Revenues'!$C$2:$G$224,5,FALSE),"..")</f>
        <v>416300000</v>
      </c>
      <c r="BC324" s="846">
        <f t="shared" si="63"/>
        <v>0.27100721512806208</v>
      </c>
      <c r="BD324" s="129" t="e">
        <f>VLOOKUP($D324,'WB Data 2'!$C$2:$K$545,6,FALSE)</f>
        <v>#N/A</v>
      </c>
      <c r="BE324" s="129">
        <f>IFERROR(VLOOKUP($D324,UNCTAD!$C$5:$V$529,4,FALSE),"..")</f>
        <v>6486622160.4300003</v>
      </c>
      <c r="BF324" s="846" t="str">
        <f t="shared" si="64"/>
        <v>..</v>
      </c>
      <c r="BG324" s="117">
        <f>VLOOKUP($D324,'WB Data'!$C$3:$M$578,5,FALSE)</f>
        <v>1356710000</v>
      </c>
      <c r="BH324" s="129">
        <f>IFERROR($BB324/$BG324,"..")</f>
        <v>0.30684523590155599</v>
      </c>
      <c r="BI324" s="117" t="str">
        <f>IFERROR(VLOOKUP($D324,'WB Data'!$C$3:$M$578,7,FALSE)/100,"..")</f>
        <v>..</v>
      </c>
      <c r="BJ324" s="117" t="str">
        <f>IFERROR($BI324*$AW324,"..")</f>
        <v>..</v>
      </c>
      <c r="BK324" s="846" t="str">
        <f>IFERROR($BB324/$BJ324,"..")</f>
        <v>..</v>
      </c>
      <c r="BL324" s="117" t="str">
        <f>IFERROR(VLOOKUP($D324,'WB Data'!$C$3:$M$578,7,FALSE)/100,"..")</f>
        <v>..</v>
      </c>
      <c r="BM324" s="117" t="str">
        <f>IFERROR($AW324*$BL324,"..")</f>
        <v>..</v>
      </c>
      <c r="BN324" s="846" t="str">
        <f>IFERROR($BB324/$BM324,"..")</f>
        <v>..</v>
      </c>
      <c r="BO324" s="801" t="str">
        <f t="shared" si="60"/>
        <v>..</v>
      </c>
      <c r="BP324" s="117" t="str">
        <f>VLOOKUP($D324,'WB Data'!$C$3:$M$578,9,FALSE)</f>
        <v>..</v>
      </c>
      <c r="BQ324" s="117">
        <f>VLOOKUP($D324,'WB Data'!$C$3:$M$578,10,FALSE)</f>
        <v>48.213512195121965</v>
      </c>
      <c r="BR324" s="117">
        <f>VLOOKUP($D324,'WB Data'!$C$3:$M$578,11,FALSE)</f>
        <v>99.5</v>
      </c>
      <c r="BS324" s="129" t="str">
        <f>IFERROR(VLOOKUP($D324,'WB Data 2'!$C$2:$K$545,9,FALSE),"..")</f>
        <v>..</v>
      </c>
      <c r="BT324" s="129" t="str">
        <f>_xlfn.IFNA(VLOOKUP($C324,RGI!$A$2:$C$43,2,FALSE),"..")</f>
        <v>..</v>
      </c>
      <c r="BU324" s="129" t="str">
        <f>_xlfn.IFNA(VLOOKUP($C324,RGI!$A$2:$C$43,3,FALSE),"..")</f>
        <v>..</v>
      </c>
      <c r="BV324" s="129">
        <f>VLOOKUP($D324,WGI!$C$2:$O$478,7,FALSE)</f>
        <v>-1.2585968898003801</v>
      </c>
      <c r="BW324" s="129">
        <f>VLOOKUP($D324,WGI!$C$2:$O$478,4,FALSE)</f>
        <v>-2.2133773619349602</v>
      </c>
      <c r="BX324" s="129">
        <f>VLOOKUP($D324,WGI!$C$2:$O$478,3,FALSE)</f>
        <v>-1.7688847547663</v>
      </c>
      <c r="BY324" s="129">
        <f>VLOOKUP($D324,WGI!$C$2:$O$478,5,FALSE)</f>
        <v>-1.2626813110128201</v>
      </c>
      <c r="BZ324" s="129">
        <f>VLOOKUP($D324,WGI!$C$2:$O$478,2,FALSE)</f>
        <v>-1.30773511686967</v>
      </c>
      <c r="CB324" s="129"/>
    </row>
    <row r="325" spans="1:80" s="348" customFormat="1" ht="15" customHeight="1">
      <c r="A325" s="315" t="s">
        <v>170</v>
      </c>
      <c r="B325" s="267">
        <v>2007</v>
      </c>
      <c r="C325" s="267" t="s">
        <v>171</v>
      </c>
      <c r="D325" s="117" t="s">
        <v>3556</v>
      </c>
      <c r="E325" s="267" t="s">
        <v>86</v>
      </c>
      <c r="F325" s="267"/>
      <c r="G325" s="267" t="s">
        <v>24</v>
      </c>
      <c r="H325" s="267" t="str">
        <f t="shared" si="55"/>
        <v>yes</v>
      </c>
      <c r="I325" s="267" t="str">
        <f t="shared" si="56"/>
        <v>no</v>
      </c>
      <c r="J325" s="267" t="str">
        <f t="shared" si="57"/>
        <v>no</v>
      </c>
      <c r="K325" s="268" t="s">
        <v>1066</v>
      </c>
      <c r="L325" s="267" t="str">
        <f t="shared" si="59"/>
        <v>detailed</v>
      </c>
      <c r="M325" s="267" t="str">
        <f t="shared" si="58"/>
        <v>detailed Mining</v>
      </c>
      <c r="N325" s="269">
        <v>14903</v>
      </c>
      <c r="O325" s="269"/>
      <c r="P325" s="269"/>
      <c r="Q325" s="269"/>
      <c r="R325" s="269"/>
      <c r="S325" s="267" t="s">
        <v>610</v>
      </c>
      <c r="T325" s="270"/>
      <c r="U325" s="267"/>
      <c r="V325" s="267" t="s">
        <v>847</v>
      </c>
      <c r="W325" s="275"/>
      <c r="X325" s="267"/>
      <c r="Y325" s="267"/>
      <c r="Z325" s="267"/>
      <c r="AA325" s="271"/>
      <c r="AB325" s="271"/>
      <c r="AC325" s="272"/>
      <c r="AD325" s="272"/>
      <c r="AE325" s="272"/>
      <c r="AF325" s="317"/>
      <c r="AG325" s="267"/>
      <c r="AH325" s="274"/>
      <c r="AI325" s="267"/>
      <c r="AJ325" s="267"/>
      <c r="AK325" s="275"/>
      <c r="AL325" s="267"/>
      <c r="AM325" s="267"/>
      <c r="AN325" s="267"/>
      <c r="AO325" s="267"/>
      <c r="AP325" s="267"/>
      <c r="AQ325" s="267"/>
      <c r="AR325" s="277"/>
      <c r="AS325" s="267"/>
      <c r="AT325" s="267"/>
      <c r="AU325" s="267"/>
      <c r="AV325" s="278"/>
      <c r="AW325" s="117">
        <f>VLOOKUP($D325,'WB Data'!$C$3:$M$578,2,FALSE)</f>
        <v>16364027646.772434</v>
      </c>
      <c r="AX325" s="117">
        <f>VLOOKUP($D325,'WB Data'!$C$3:$M$578,3,FALSE)</f>
        <v>57187942</v>
      </c>
      <c r="AY325" s="847">
        <f t="shared" si="61"/>
        <v>2.5439947241968214E-2</v>
      </c>
      <c r="AZ325" s="117">
        <f>VLOOKUP($D325,'WB Data'!$C$3:$M$578,4,FALSE)/100</f>
        <v>9.3871844813972163E-2</v>
      </c>
      <c r="BA325" s="117">
        <f t="shared" si="62"/>
        <v>1536121463.789372</v>
      </c>
      <c r="BB325" s="129">
        <f>IFERROR(VLOOKUP($D325,'EITI Revenues'!$C$2:$G$224,5,FALSE),"..")</f>
        <v>416300000</v>
      </c>
      <c r="BC325" s="846">
        <f t="shared" si="63"/>
        <v>0.27100721512806208</v>
      </c>
      <c r="BD325" s="129" t="e">
        <f>VLOOKUP($D325,'WB Data 2'!$C$2:$K$545,6,FALSE)</f>
        <v>#N/A</v>
      </c>
      <c r="BE325" s="129">
        <f>IFERROR(VLOOKUP($D325,UNCTAD!$C$5:$V$529,4,FALSE),"..")</f>
        <v>6486622160.4300003</v>
      </c>
      <c r="BF325" s="846" t="str">
        <f t="shared" si="64"/>
        <v>..</v>
      </c>
      <c r="BG325" s="117">
        <f>VLOOKUP($D325,'WB Data'!$C$3:$M$578,5,FALSE)</f>
        <v>1356710000</v>
      </c>
      <c r="BH325" s="129">
        <f>IFERROR($BB325/$BG325,"..")</f>
        <v>0.30684523590155599</v>
      </c>
      <c r="BI325" s="117" t="str">
        <f>IFERROR(VLOOKUP($D325,'WB Data'!$C$3:$M$578,7,FALSE)/100,"..")</f>
        <v>..</v>
      </c>
      <c r="BJ325" s="117" t="str">
        <f>IFERROR($BI325*$AW325,"..")</f>
        <v>..</v>
      </c>
      <c r="BK325" s="846" t="str">
        <f>IFERROR($BB325/$BJ325,"..")</f>
        <v>..</v>
      </c>
      <c r="BL325" s="117" t="str">
        <f>IFERROR(VLOOKUP($D325,'WB Data'!$C$3:$M$578,7,FALSE)/100,"..")</f>
        <v>..</v>
      </c>
      <c r="BM325" s="117" t="str">
        <f>IFERROR($AW325*$BL325,"..")</f>
        <v>..</v>
      </c>
      <c r="BN325" s="846" t="str">
        <f>IFERROR($BB325/$BM325,"..")</f>
        <v>..</v>
      </c>
      <c r="BO325" s="801" t="str">
        <f t="shared" si="60"/>
        <v>..</v>
      </c>
      <c r="BP325" s="117" t="str">
        <f>VLOOKUP($D325,'WB Data'!$C$3:$M$578,9,FALSE)</f>
        <v>..</v>
      </c>
      <c r="BQ325" s="117">
        <f>VLOOKUP($D325,'WB Data'!$C$3:$M$578,10,FALSE)</f>
        <v>48.213512195121965</v>
      </c>
      <c r="BR325" s="117">
        <f>VLOOKUP($D325,'WB Data'!$C$3:$M$578,11,FALSE)</f>
        <v>99.5</v>
      </c>
      <c r="BS325" s="129" t="str">
        <f>IFERROR(VLOOKUP($D325,'WB Data 2'!$C$2:$K$545,9,FALSE),"..")</f>
        <v>..</v>
      </c>
      <c r="BT325" s="129" t="str">
        <f>_xlfn.IFNA(VLOOKUP($C325,RGI!$A$2:$C$43,2,FALSE),"..")</f>
        <v>..</v>
      </c>
      <c r="BU325" s="129" t="str">
        <f>_xlfn.IFNA(VLOOKUP($C325,RGI!$A$2:$C$43,3,FALSE),"..")</f>
        <v>..</v>
      </c>
      <c r="BV325" s="129">
        <f>VLOOKUP($D325,WGI!$C$2:$O$478,7,FALSE)</f>
        <v>-1.2585968898003801</v>
      </c>
      <c r="BW325" s="129">
        <f>VLOOKUP($D325,WGI!$C$2:$O$478,4,FALSE)</f>
        <v>-2.2133773619349602</v>
      </c>
      <c r="BX325" s="129">
        <f>VLOOKUP($D325,WGI!$C$2:$O$478,3,FALSE)</f>
        <v>-1.7688847547663</v>
      </c>
      <c r="BY325" s="129">
        <f>VLOOKUP($D325,WGI!$C$2:$O$478,5,FALSE)</f>
        <v>-1.2626813110128201</v>
      </c>
      <c r="BZ325" s="129">
        <f>VLOOKUP($D325,WGI!$C$2:$O$478,2,FALSE)</f>
        <v>-1.30773511686967</v>
      </c>
      <c r="CB325" s="129"/>
    </row>
    <row r="326" spans="1:80" s="348" customFormat="1" ht="15" customHeight="1">
      <c r="A326" s="315" t="s">
        <v>170</v>
      </c>
      <c r="B326" s="267">
        <v>2007</v>
      </c>
      <c r="C326" s="267" t="s">
        <v>171</v>
      </c>
      <c r="D326" s="117" t="s">
        <v>3556</v>
      </c>
      <c r="E326" s="267" t="s">
        <v>86</v>
      </c>
      <c r="F326" s="267"/>
      <c r="G326" s="267" t="s">
        <v>24</v>
      </c>
      <c r="H326" s="267" t="str">
        <f t="shared" si="55"/>
        <v>yes</v>
      </c>
      <c r="I326" s="267" t="str">
        <f t="shared" si="56"/>
        <v>no</v>
      </c>
      <c r="J326" s="267" t="str">
        <f t="shared" si="57"/>
        <v>no</v>
      </c>
      <c r="K326" s="268" t="s">
        <v>1077</v>
      </c>
      <c r="L326" s="267" t="str">
        <f t="shared" si="59"/>
        <v>detailed</v>
      </c>
      <c r="M326" s="267" t="str">
        <f t="shared" si="58"/>
        <v>detailed Mining</v>
      </c>
      <c r="N326" s="269">
        <v>9700</v>
      </c>
      <c r="O326" s="269"/>
      <c r="P326" s="269"/>
      <c r="Q326" s="269"/>
      <c r="R326" s="269"/>
      <c r="S326" s="267" t="s">
        <v>610</v>
      </c>
      <c r="T326" s="270"/>
      <c r="U326" s="267"/>
      <c r="V326" s="267" t="s">
        <v>847</v>
      </c>
      <c r="W326" s="275"/>
      <c r="X326" s="267"/>
      <c r="Y326" s="267"/>
      <c r="Z326" s="267"/>
      <c r="AA326" s="271"/>
      <c r="AB326" s="271"/>
      <c r="AC326" s="272"/>
      <c r="AD326" s="272"/>
      <c r="AE326" s="272"/>
      <c r="AF326" s="317"/>
      <c r="AG326" s="267"/>
      <c r="AH326" s="274"/>
      <c r="AI326" s="267"/>
      <c r="AJ326" s="267"/>
      <c r="AK326" s="275"/>
      <c r="AL326" s="267"/>
      <c r="AM326" s="267"/>
      <c r="AN326" s="267"/>
      <c r="AO326" s="267"/>
      <c r="AP326" s="267"/>
      <c r="AQ326" s="267"/>
      <c r="AR326" s="277"/>
      <c r="AS326" s="267"/>
      <c r="AT326" s="267"/>
      <c r="AU326" s="267"/>
      <c r="AV326" s="278"/>
      <c r="AW326" s="117">
        <f>VLOOKUP($D326,'WB Data'!$C$3:$M$578,2,FALSE)</f>
        <v>16364027646.772434</v>
      </c>
      <c r="AX326" s="117">
        <f>VLOOKUP($D326,'WB Data'!$C$3:$M$578,3,FALSE)</f>
        <v>57187942</v>
      </c>
      <c r="AY326" s="847">
        <f t="shared" si="61"/>
        <v>2.5439947241968214E-2</v>
      </c>
      <c r="AZ326" s="117">
        <f>VLOOKUP($D326,'WB Data'!$C$3:$M$578,4,FALSE)/100</f>
        <v>9.3871844813972163E-2</v>
      </c>
      <c r="BA326" s="117">
        <f t="shared" si="62"/>
        <v>1536121463.789372</v>
      </c>
      <c r="BB326" s="129">
        <f>IFERROR(VLOOKUP($D326,'EITI Revenues'!$C$2:$G$224,5,FALSE),"..")</f>
        <v>416300000</v>
      </c>
      <c r="BC326" s="846">
        <f t="shared" si="63"/>
        <v>0.27100721512806208</v>
      </c>
      <c r="BD326" s="129" t="e">
        <f>VLOOKUP($D326,'WB Data 2'!$C$2:$K$545,6,FALSE)</f>
        <v>#N/A</v>
      </c>
      <c r="BE326" s="129">
        <f>IFERROR(VLOOKUP($D326,UNCTAD!$C$5:$V$529,4,FALSE),"..")</f>
        <v>6486622160.4300003</v>
      </c>
      <c r="BF326" s="846" t="str">
        <f t="shared" si="64"/>
        <v>..</v>
      </c>
      <c r="BG326" s="117">
        <f>VLOOKUP($D326,'WB Data'!$C$3:$M$578,5,FALSE)</f>
        <v>1356710000</v>
      </c>
      <c r="BH326" s="129">
        <f>IFERROR($BB326/$BG326,"..")</f>
        <v>0.30684523590155599</v>
      </c>
      <c r="BI326" s="117" t="str">
        <f>IFERROR(VLOOKUP($D326,'WB Data'!$C$3:$M$578,7,FALSE)/100,"..")</f>
        <v>..</v>
      </c>
      <c r="BJ326" s="117" t="str">
        <f>IFERROR($BI326*$AW326,"..")</f>
        <v>..</v>
      </c>
      <c r="BK326" s="846" t="str">
        <f>IFERROR($BB326/$BJ326,"..")</f>
        <v>..</v>
      </c>
      <c r="BL326" s="117" t="str">
        <f>IFERROR(VLOOKUP($D326,'WB Data'!$C$3:$M$578,7,FALSE)/100,"..")</f>
        <v>..</v>
      </c>
      <c r="BM326" s="117" t="str">
        <f>IFERROR($AW326*$BL326,"..")</f>
        <v>..</v>
      </c>
      <c r="BN326" s="846" t="str">
        <f>IFERROR($BB326/$BM326,"..")</f>
        <v>..</v>
      </c>
      <c r="BO326" s="801" t="str">
        <f t="shared" si="60"/>
        <v>..</v>
      </c>
      <c r="BP326" s="117" t="str">
        <f>VLOOKUP($D326,'WB Data'!$C$3:$M$578,9,FALSE)</f>
        <v>..</v>
      </c>
      <c r="BQ326" s="117">
        <f>VLOOKUP($D326,'WB Data'!$C$3:$M$578,10,FALSE)</f>
        <v>48.213512195121965</v>
      </c>
      <c r="BR326" s="117">
        <f>VLOOKUP($D326,'WB Data'!$C$3:$M$578,11,FALSE)</f>
        <v>99.5</v>
      </c>
      <c r="BS326" s="129" t="str">
        <f>IFERROR(VLOOKUP($D326,'WB Data 2'!$C$2:$K$545,9,FALSE),"..")</f>
        <v>..</v>
      </c>
      <c r="BT326" s="129" t="str">
        <f>_xlfn.IFNA(VLOOKUP($C326,RGI!$A$2:$C$43,2,FALSE),"..")</f>
        <v>..</v>
      </c>
      <c r="BU326" s="129" t="str">
        <f>_xlfn.IFNA(VLOOKUP($C326,RGI!$A$2:$C$43,3,FALSE),"..")</f>
        <v>..</v>
      </c>
      <c r="BV326" s="129">
        <f>VLOOKUP($D326,WGI!$C$2:$O$478,7,FALSE)</f>
        <v>-1.2585968898003801</v>
      </c>
      <c r="BW326" s="129">
        <f>VLOOKUP($D326,WGI!$C$2:$O$478,4,FALSE)</f>
        <v>-2.2133773619349602</v>
      </c>
      <c r="BX326" s="129">
        <f>VLOOKUP($D326,WGI!$C$2:$O$478,3,FALSE)</f>
        <v>-1.7688847547663</v>
      </c>
      <c r="BY326" s="129">
        <f>VLOOKUP($D326,WGI!$C$2:$O$478,5,FALSE)</f>
        <v>-1.2626813110128201</v>
      </c>
      <c r="BZ326" s="129">
        <f>VLOOKUP($D326,WGI!$C$2:$O$478,2,FALSE)</f>
        <v>-1.30773511686967</v>
      </c>
      <c r="CB326" s="129"/>
    </row>
    <row r="327" spans="1:80" s="348" customFormat="1" ht="15" customHeight="1">
      <c r="A327" s="315" t="s">
        <v>170</v>
      </c>
      <c r="B327" s="267">
        <v>2007</v>
      </c>
      <c r="C327" s="267" t="s">
        <v>171</v>
      </c>
      <c r="D327" s="117" t="s">
        <v>3556</v>
      </c>
      <c r="E327" s="267" t="s">
        <v>86</v>
      </c>
      <c r="F327" s="267"/>
      <c r="G327" s="267" t="s">
        <v>24</v>
      </c>
      <c r="H327" s="267" t="str">
        <f t="shared" si="55"/>
        <v>yes</v>
      </c>
      <c r="I327" s="267" t="str">
        <f t="shared" si="56"/>
        <v>no</v>
      </c>
      <c r="J327" s="267" t="str">
        <f t="shared" si="57"/>
        <v>no</v>
      </c>
      <c r="K327" s="268" t="s">
        <v>1078</v>
      </c>
      <c r="L327" s="267" t="str">
        <f t="shared" si="59"/>
        <v>detailed</v>
      </c>
      <c r="M327" s="267" t="str">
        <f t="shared" si="58"/>
        <v>detailed Mining</v>
      </c>
      <c r="N327" s="269"/>
      <c r="O327" s="269"/>
      <c r="P327" s="269"/>
      <c r="Q327" s="269"/>
      <c r="R327" s="269"/>
      <c r="S327" s="267"/>
      <c r="T327" s="270">
        <v>177</v>
      </c>
      <c r="U327" s="267" t="s">
        <v>611</v>
      </c>
      <c r="V327" s="267" t="s">
        <v>1079</v>
      </c>
      <c r="W327" s="275">
        <f>N329*T327</f>
        <v>106200</v>
      </c>
      <c r="X327" s="267"/>
      <c r="Y327" s="267"/>
      <c r="Z327" s="267"/>
      <c r="AA327" s="271"/>
      <c r="AB327" s="271"/>
      <c r="AC327" s="272"/>
      <c r="AD327" s="272"/>
      <c r="AE327" s="272"/>
      <c r="AF327" s="317"/>
      <c r="AG327" s="267"/>
      <c r="AH327" s="274"/>
      <c r="AI327" s="267"/>
      <c r="AJ327" s="267"/>
      <c r="AK327" s="275"/>
      <c r="AL327" s="267"/>
      <c r="AM327" s="267"/>
      <c r="AN327" s="267"/>
      <c r="AO327" s="267"/>
      <c r="AP327" s="267"/>
      <c r="AQ327" s="267"/>
      <c r="AR327" s="277"/>
      <c r="AS327" s="267"/>
      <c r="AT327" s="267"/>
      <c r="AU327" s="267"/>
      <c r="AV327" s="278"/>
      <c r="AW327" s="117">
        <f>VLOOKUP($D327,'WB Data'!$C$3:$M$578,2,FALSE)</f>
        <v>16364027646.772434</v>
      </c>
      <c r="AX327" s="117">
        <f>VLOOKUP($D327,'WB Data'!$C$3:$M$578,3,FALSE)</f>
        <v>57187942</v>
      </c>
      <c r="AY327" s="847">
        <f t="shared" si="61"/>
        <v>2.5439947241968214E-2</v>
      </c>
      <c r="AZ327" s="117">
        <f>VLOOKUP($D327,'WB Data'!$C$3:$M$578,4,FALSE)/100</f>
        <v>9.3871844813972163E-2</v>
      </c>
      <c r="BA327" s="117">
        <f t="shared" si="62"/>
        <v>1536121463.789372</v>
      </c>
      <c r="BB327" s="129">
        <f>IFERROR(VLOOKUP($D327,'EITI Revenues'!$C$2:$G$224,5,FALSE),"..")</f>
        <v>416300000</v>
      </c>
      <c r="BC327" s="846">
        <f t="shared" si="63"/>
        <v>0.27100721512806208</v>
      </c>
      <c r="BD327" s="129" t="e">
        <f>VLOOKUP($D327,'WB Data 2'!$C$2:$K$545,6,FALSE)</f>
        <v>#N/A</v>
      </c>
      <c r="BE327" s="129">
        <f>IFERROR(VLOOKUP($D327,UNCTAD!$C$5:$V$529,4,FALSE),"..")</f>
        <v>6486622160.4300003</v>
      </c>
      <c r="BF327" s="846" t="str">
        <f t="shared" si="64"/>
        <v>..</v>
      </c>
      <c r="BG327" s="117">
        <f>VLOOKUP($D327,'WB Data'!$C$3:$M$578,5,FALSE)</f>
        <v>1356710000</v>
      </c>
      <c r="BH327" s="129">
        <f>IFERROR($BB327/$BG327,"..")</f>
        <v>0.30684523590155599</v>
      </c>
      <c r="BI327" s="117" t="str">
        <f>IFERROR(VLOOKUP($D327,'WB Data'!$C$3:$M$578,7,FALSE)/100,"..")</f>
        <v>..</v>
      </c>
      <c r="BJ327" s="117" t="str">
        <f>IFERROR($BI327*$AW327,"..")</f>
        <v>..</v>
      </c>
      <c r="BK327" s="846" t="str">
        <f>IFERROR($BB327/$BJ327,"..")</f>
        <v>..</v>
      </c>
      <c r="BL327" s="117" t="str">
        <f>IFERROR(VLOOKUP($D327,'WB Data'!$C$3:$M$578,7,FALSE)/100,"..")</f>
        <v>..</v>
      </c>
      <c r="BM327" s="117" t="str">
        <f>IFERROR($AW327*$BL327,"..")</f>
        <v>..</v>
      </c>
      <c r="BN327" s="846" t="str">
        <f>IFERROR($BB327/$BM327,"..")</f>
        <v>..</v>
      </c>
      <c r="BO327" s="801" t="str">
        <f t="shared" si="60"/>
        <v>..</v>
      </c>
      <c r="BP327" s="117" t="str">
        <f>VLOOKUP($D327,'WB Data'!$C$3:$M$578,9,FALSE)</f>
        <v>..</v>
      </c>
      <c r="BQ327" s="117">
        <f>VLOOKUP($D327,'WB Data'!$C$3:$M$578,10,FALSE)</f>
        <v>48.213512195121965</v>
      </c>
      <c r="BR327" s="117">
        <f>VLOOKUP($D327,'WB Data'!$C$3:$M$578,11,FALSE)</f>
        <v>99.5</v>
      </c>
      <c r="BS327" s="129" t="str">
        <f>IFERROR(VLOOKUP($D327,'WB Data 2'!$C$2:$K$545,9,FALSE),"..")</f>
        <v>..</v>
      </c>
      <c r="BT327" s="129" t="str">
        <f>_xlfn.IFNA(VLOOKUP($C327,RGI!$A$2:$C$43,2,FALSE),"..")</f>
        <v>..</v>
      </c>
      <c r="BU327" s="129" t="str">
        <f>_xlfn.IFNA(VLOOKUP($C327,RGI!$A$2:$C$43,3,FALSE),"..")</f>
        <v>..</v>
      </c>
      <c r="BV327" s="129">
        <f>VLOOKUP($D327,WGI!$C$2:$O$478,7,FALSE)</f>
        <v>-1.2585968898003801</v>
      </c>
      <c r="BW327" s="129">
        <f>VLOOKUP($D327,WGI!$C$2:$O$478,4,FALSE)</f>
        <v>-2.2133773619349602</v>
      </c>
      <c r="BX327" s="129">
        <f>VLOOKUP($D327,WGI!$C$2:$O$478,3,FALSE)</f>
        <v>-1.7688847547663</v>
      </c>
      <c r="BY327" s="129">
        <f>VLOOKUP($D327,WGI!$C$2:$O$478,5,FALSE)</f>
        <v>-1.2626813110128201</v>
      </c>
      <c r="BZ327" s="129">
        <f>VLOOKUP($D327,WGI!$C$2:$O$478,2,FALSE)</f>
        <v>-1.30773511686967</v>
      </c>
      <c r="CB327" s="129"/>
    </row>
    <row r="328" spans="1:80" s="348" customFormat="1" ht="15" customHeight="1">
      <c r="A328" s="315" t="s">
        <v>170</v>
      </c>
      <c r="B328" s="267">
        <v>2007</v>
      </c>
      <c r="C328" s="267" t="s">
        <v>171</v>
      </c>
      <c r="D328" s="117" t="s">
        <v>3556</v>
      </c>
      <c r="E328" s="267" t="s">
        <v>86</v>
      </c>
      <c r="F328" s="267"/>
      <c r="G328" s="267" t="s">
        <v>24</v>
      </c>
      <c r="H328" s="267" t="str">
        <f t="shared" si="55"/>
        <v>yes</v>
      </c>
      <c r="I328" s="267" t="str">
        <f t="shared" si="56"/>
        <v>no</v>
      </c>
      <c r="J328" s="267" t="str">
        <f t="shared" si="57"/>
        <v>no</v>
      </c>
      <c r="K328" s="268" t="s">
        <v>1066</v>
      </c>
      <c r="L328" s="267" t="str">
        <f t="shared" si="59"/>
        <v>detailed</v>
      </c>
      <c r="M328" s="267" t="str">
        <f t="shared" si="58"/>
        <v>detailed Mining</v>
      </c>
      <c r="N328" s="269">
        <v>1174</v>
      </c>
      <c r="O328" s="269"/>
      <c r="P328" s="269"/>
      <c r="Q328" s="269"/>
      <c r="R328" s="269"/>
      <c r="S328" s="267" t="s">
        <v>610</v>
      </c>
      <c r="T328" s="270"/>
      <c r="U328" s="267"/>
      <c r="V328" s="267" t="s">
        <v>847</v>
      </c>
      <c r="W328" s="275"/>
      <c r="X328" s="267"/>
      <c r="Y328" s="267"/>
      <c r="Z328" s="267"/>
      <c r="AA328" s="271"/>
      <c r="AB328" s="271"/>
      <c r="AC328" s="272"/>
      <c r="AD328" s="272"/>
      <c r="AE328" s="272"/>
      <c r="AF328" s="317"/>
      <c r="AG328" s="267"/>
      <c r="AH328" s="274"/>
      <c r="AI328" s="267"/>
      <c r="AJ328" s="267"/>
      <c r="AK328" s="275"/>
      <c r="AL328" s="267"/>
      <c r="AM328" s="267"/>
      <c r="AN328" s="267"/>
      <c r="AO328" s="267"/>
      <c r="AP328" s="267"/>
      <c r="AQ328" s="267"/>
      <c r="AR328" s="277"/>
      <c r="AS328" s="267"/>
      <c r="AT328" s="267"/>
      <c r="AU328" s="267"/>
      <c r="AV328" s="278"/>
      <c r="AW328" s="117">
        <f>VLOOKUP($D328,'WB Data'!$C$3:$M$578,2,FALSE)</f>
        <v>16364027646.772434</v>
      </c>
      <c r="AX328" s="117">
        <f>VLOOKUP($D328,'WB Data'!$C$3:$M$578,3,FALSE)</f>
        <v>57187942</v>
      </c>
      <c r="AY328" s="847">
        <f t="shared" si="61"/>
        <v>2.5439947241968214E-2</v>
      </c>
      <c r="AZ328" s="117">
        <f>VLOOKUP($D328,'WB Data'!$C$3:$M$578,4,FALSE)/100</f>
        <v>9.3871844813972163E-2</v>
      </c>
      <c r="BA328" s="117">
        <f t="shared" si="62"/>
        <v>1536121463.789372</v>
      </c>
      <c r="BB328" s="129">
        <f>IFERROR(VLOOKUP($D328,'EITI Revenues'!$C$2:$G$224,5,FALSE),"..")</f>
        <v>416300000</v>
      </c>
      <c r="BC328" s="846">
        <f t="shared" si="63"/>
        <v>0.27100721512806208</v>
      </c>
      <c r="BD328" s="129" t="e">
        <f>VLOOKUP($D328,'WB Data 2'!$C$2:$K$545,6,FALSE)</f>
        <v>#N/A</v>
      </c>
      <c r="BE328" s="129">
        <f>IFERROR(VLOOKUP($D328,UNCTAD!$C$5:$V$529,4,FALSE),"..")</f>
        <v>6486622160.4300003</v>
      </c>
      <c r="BF328" s="846" t="str">
        <f t="shared" si="64"/>
        <v>..</v>
      </c>
      <c r="BG328" s="117">
        <f>VLOOKUP($D328,'WB Data'!$C$3:$M$578,5,FALSE)</f>
        <v>1356710000</v>
      </c>
      <c r="BH328" s="129">
        <f>IFERROR($BB328/$BG328,"..")</f>
        <v>0.30684523590155599</v>
      </c>
      <c r="BI328" s="117" t="str">
        <f>IFERROR(VLOOKUP($D328,'WB Data'!$C$3:$M$578,7,FALSE)/100,"..")</f>
        <v>..</v>
      </c>
      <c r="BJ328" s="117" t="str">
        <f>IFERROR($BI328*$AW328,"..")</f>
        <v>..</v>
      </c>
      <c r="BK328" s="846" t="str">
        <f>IFERROR($BB328/$BJ328,"..")</f>
        <v>..</v>
      </c>
      <c r="BL328" s="117" t="str">
        <f>IFERROR(VLOOKUP($D328,'WB Data'!$C$3:$M$578,7,FALSE)/100,"..")</f>
        <v>..</v>
      </c>
      <c r="BM328" s="117" t="str">
        <f>IFERROR($AW328*$BL328,"..")</f>
        <v>..</v>
      </c>
      <c r="BN328" s="846" t="str">
        <f>IFERROR($BB328/$BM328,"..")</f>
        <v>..</v>
      </c>
      <c r="BO328" s="801" t="str">
        <f t="shared" si="60"/>
        <v>..</v>
      </c>
      <c r="BP328" s="117" t="str">
        <f>VLOOKUP($D328,'WB Data'!$C$3:$M$578,9,FALSE)</f>
        <v>..</v>
      </c>
      <c r="BQ328" s="117">
        <f>VLOOKUP($D328,'WB Data'!$C$3:$M$578,10,FALSE)</f>
        <v>48.213512195121965</v>
      </c>
      <c r="BR328" s="117">
        <f>VLOOKUP($D328,'WB Data'!$C$3:$M$578,11,FALSE)</f>
        <v>99.5</v>
      </c>
      <c r="BS328" s="129" t="str">
        <f>IFERROR(VLOOKUP($D328,'WB Data 2'!$C$2:$K$545,9,FALSE),"..")</f>
        <v>..</v>
      </c>
      <c r="BT328" s="129" t="str">
        <f>_xlfn.IFNA(VLOOKUP($C328,RGI!$A$2:$C$43,2,FALSE),"..")</f>
        <v>..</v>
      </c>
      <c r="BU328" s="129" t="str">
        <f>_xlfn.IFNA(VLOOKUP($C328,RGI!$A$2:$C$43,3,FALSE),"..")</f>
        <v>..</v>
      </c>
      <c r="BV328" s="129">
        <f>VLOOKUP($D328,WGI!$C$2:$O$478,7,FALSE)</f>
        <v>-1.2585968898003801</v>
      </c>
      <c r="BW328" s="129">
        <f>VLOOKUP($D328,WGI!$C$2:$O$478,4,FALSE)</f>
        <v>-2.2133773619349602</v>
      </c>
      <c r="BX328" s="129">
        <f>VLOOKUP($D328,WGI!$C$2:$O$478,3,FALSE)</f>
        <v>-1.7688847547663</v>
      </c>
      <c r="BY328" s="129">
        <f>VLOOKUP($D328,WGI!$C$2:$O$478,5,FALSE)</f>
        <v>-1.2626813110128201</v>
      </c>
      <c r="BZ328" s="129">
        <f>VLOOKUP($D328,WGI!$C$2:$O$478,2,FALSE)</f>
        <v>-1.30773511686967</v>
      </c>
      <c r="CB328" s="129"/>
    </row>
    <row r="329" spans="1:80" s="348" customFormat="1" ht="15" customHeight="1">
      <c r="A329" s="315" t="s">
        <v>170</v>
      </c>
      <c r="B329" s="267">
        <v>2007</v>
      </c>
      <c r="C329" s="267" t="s">
        <v>171</v>
      </c>
      <c r="D329" s="117" t="s">
        <v>3556</v>
      </c>
      <c r="E329" s="267" t="s">
        <v>86</v>
      </c>
      <c r="F329" s="267"/>
      <c r="G329" s="267" t="s">
        <v>24</v>
      </c>
      <c r="H329" s="267" t="str">
        <f t="shared" si="55"/>
        <v>yes</v>
      </c>
      <c r="I329" s="267" t="str">
        <f t="shared" si="56"/>
        <v>no</v>
      </c>
      <c r="J329" s="267" t="str">
        <f t="shared" si="57"/>
        <v>no</v>
      </c>
      <c r="K329" s="268" t="s">
        <v>1080</v>
      </c>
      <c r="L329" s="267" t="str">
        <f t="shared" si="59"/>
        <v>detailed</v>
      </c>
      <c r="M329" s="267" t="str">
        <f t="shared" si="58"/>
        <v>detailed Mining</v>
      </c>
      <c r="N329" s="269">
        <v>600</v>
      </c>
      <c r="O329" s="269"/>
      <c r="P329" s="269"/>
      <c r="Q329" s="269"/>
      <c r="R329" s="269"/>
      <c r="S329" s="267" t="s">
        <v>610</v>
      </c>
      <c r="T329" s="270"/>
      <c r="U329" s="267"/>
      <c r="V329" s="267" t="s">
        <v>847</v>
      </c>
      <c r="W329" s="275"/>
      <c r="X329" s="267"/>
      <c r="Y329" s="267"/>
      <c r="Z329" s="267"/>
      <c r="AA329" s="271"/>
      <c r="AB329" s="271"/>
      <c r="AC329" s="272"/>
      <c r="AD329" s="272"/>
      <c r="AE329" s="272"/>
      <c r="AF329" s="317"/>
      <c r="AG329" s="267"/>
      <c r="AH329" s="274"/>
      <c r="AI329" s="267"/>
      <c r="AJ329" s="267"/>
      <c r="AK329" s="275"/>
      <c r="AL329" s="267"/>
      <c r="AM329" s="267"/>
      <c r="AN329" s="267"/>
      <c r="AO329" s="267"/>
      <c r="AP329" s="267"/>
      <c r="AQ329" s="267"/>
      <c r="AR329" s="277"/>
      <c r="AS329" s="267"/>
      <c r="AT329" s="267"/>
      <c r="AU329" s="267"/>
      <c r="AV329" s="278"/>
      <c r="AW329" s="117">
        <f>VLOOKUP($D329,'WB Data'!$C$3:$M$578,2,FALSE)</f>
        <v>16364027646.772434</v>
      </c>
      <c r="AX329" s="117">
        <f>VLOOKUP($D329,'WB Data'!$C$3:$M$578,3,FALSE)</f>
        <v>57187942</v>
      </c>
      <c r="AY329" s="847">
        <f t="shared" si="61"/>
        <v>2.5439947241968214E-2</v>
      </c>
      <c r="AZ329" s="117">
        <f>VLOOKUP($D329,'WB Data'!$C$3:$M$578,4,FALSE)/100</f>
        <v>9.3871844813972163E-2</v>
      </c>
      <c r="BA329" s="117">
        <f t="shared" si="62"/>
        <v>1536121463.789372</v>
      </c>
      <c r="BB329" s="129">
        <f>IFERROR(VLOOKUP($D329,'EITI Revenues'!$C$2:$G$224,5,FALSE),"..")</f>
        <v>416300000</v>
      </c>
      <c r="BC329" s="846">
        <f t="shared" si="63"/>
        <v>0.27100721512806208</v>
      </c>
      <c r="BD329" s="129" t="e">
        <f>VLOOKUP($D329,'WB Data 2'!$C$2:$K$545,6,FALSE)</f>
        <v>#N/A</v>
      </c>
      <c r="BE329" s="129">
        <f>IFERROR(VLOOKUP($D329,UNCTAD!$C$5:$V$529,4,FALSE),"..")</f>
        <v>6486622160.4300003</v>
      </c>
      <c r="BF329" s="846" t="str">
        <f t="shared" si="64"/>
        <v>..</v>
      </c>
      <c r="BG329" s="117">
        <f>VLOOKUP($D329,'WB Data'!$C$3:$M$578,5,FALSE)</f>
        <v>1356710000</v>
      </c>
      <c r="BH329" s="129">
        <f>IFERROR($BB329/$BG329,"..")</f>
        <v>0.30684523590155599</v>
      </c>
      <c r="BI329" s="117" t="str">
        <f>IFERROR(VLOOKUP($D329,'WB Data'!$C$3:$M$578,7,FALSE)/100,"..")</f>
        <v>..</v>
      </c>
      <c r="BJ329" s="117" t="str">
        <f>IFERROR($BI329*$AW329,"..")</f>
        <v>..</v>
      </c>
      <c r="BK329" s="846" t="str">
        <f>IFERROR($BB329/$BJ329,"..")</f>
        <v>..</v>
      </c>
      <c r="BL329" s="117" t="str">
        <f>IFERROR(VLOOKUP($D329,'WB Data'!$C$3:$M$578,7,FALSE)/100,"..")</f>
        <v>..</v>
      </c>
      <c r="BM329" s="117" t="str">
        <f>IFERROR($AW329*$BL329,"..")</f>
        <v>..</v>
      </c>
      <c r="BN329" s="846" t="str">
        <f>IFERROR($BB329/$BM329,"..")</f>
        <v>..</v>
      </c>
      <c r="BO329" s="801" t="str">
        <f t="shared" si="60"/>
        <v>..</v>
      </c>
      <c r="BP329" s="117" t="str">
        <f>VLOOKUP($D329,'WB Data'!$C$3:$M$578,9,FALSE)</f>
        <v>..</v>
      </c>
      <c r="BQ329" s="117">
        <f>VLOOKUP($D329,'WB Data'!$C$3:$M$578,10,FALSE)</f>
        <v>48.213512195121965</v>
      </c>
      <c r="BR329" s="117">
        <f>VLOOKUP($D329,'WB Data'!$C$3:$M$578,11,FALSE)</f>
        <v>99.5</v>
      </c>
      <c r="BS329" s="129" t="str">
        <f>IFERROR(VLOOKUP($D329,'WB Data 2'!$C$2:$K$545,9,FALSE),"..")</f>
        <v>..</v>
      </c>
      <c r="BT329" s="129" t="str">
        <f>_xlfn.IFNA(VLOOKUP($C329,RGI!$A$2:$C$43,2,FALSE),"..")</f>
        <v>..</v>
      </c>
      <c r="BU329" s="129" t="str">
        <f>_xlfn.IFNA(VLOOKUP($C329,RGI!$A$2:$C$43,3,FALSE),"..")</f>
        <v>..</v>
      </c>
      <c r="BV329" s="129">
        <f>VLOOKUP($D329,WGI!$C$2:$O$478,7,FALSE)</f>
        <v>-1.2585968898003801</v>
      </c>
      <c r="BW329" s="129">
        <f>VLOOKUP($D329,WGI!$C$2:$O$478,4,FALSE)</f>
        <v>-2.2133773619349602</v>
      </c>
      <c r="BX329" s="129">
        <f>VLOOKUP($D329,WGI!$C$2:$O$478,3,FALSE)</f>
        <v>-1.7688847547663</v>
      </c>
      <c r="BY329" s="129">
        <f>VLOOKUP($D329,WGI!$C$2:$O$478,5,FALSE)</f>
        <v>-1.2626813110128201</v>
      </c>
      <c r="BZ329" s="129">
        <f>VLOOKUP($D329,WGI!$C$2:$O$478,2,FALSE)</f>
        <v>-1.30773511686967</v>
      </c>
      <c r="CB329" s="129"/>
    </row>
    <row r="330" spans="1:80" s="348" customFormat="1" ht="15" customHeight="1">
      <c r="A330" s="315" t="s">
        <v>170</v>
      </c>
      <c r="B330" s="267">
        <v>2007</v>
      </c>
      <c r="C330" s="267" t="s">
        <v>171</v>
      </c>
      <c r="D330" s="117" t="s">
        <v>3556</v>
      </c>
      <c r="E330" s="267" t="s">
        <v>86</v>
      </c>
      <c r="F330" s="267"/>
      <c r="G330" s="267" t="s">
        <v>24</v>
      </c>
      <c r="H330" s="267" t="str">
        <f t="shared" si="55"/>
        <v>yes</v>
      </c>
      <c r="I330" s="267" t="str">
        <f t="shared" si="56"/>
        <v>no</v>
      </c>
      <c r="J330" s="267" t="str">
        <f t="shared" si="57"/>
        <v>no</v>
      </c>
      <c r="K330" s="268" t="s">
        <v>1081</v>
      </c>
      <c r="L330" s="267" t="str">
        <f t="shared" si="59"/>
        <v>detailed</v>
      </c>
      <c r="M330" s="267" t="str">
        <f t="shared" si="58"/>
        <v>detailed Mining</v>
      </c>
      <c r="N330" s="269">
        <v>11925</v>
      </c>
      <c r="O330" s="269"/>
      <c r="P330" s="269"/>
      <c r="Q330" s="269"/>
      <c r="R330" s="269"/>
      <c r="S330" s="267" t="s">
        <v>610</v>
      </c>
      <c r="T330" s="349">
        <f>3242.35758333333</f>
        <v>3242.3575833333298</v>
      </c>
      <c r="U330" s="267" t="s">
        <v>611</v>
      </c>
      <c r="V330" s="267" t="s">
        <v>1082</v>
      </c>
      <c r="W330" s="275">
        <f>N330*T330</f>
        <v>38665114.181249961</v>
      </c>
      <c r="X330" s="267"/>
      <c r="Y330" s="267"/>
      <c r="Z330" s="267"/>
      <c r="AA330" s="271"/>
      <c r="AB330" s="271"/>
      <c r="AC330" s="272"/>
      <c r="AD330" s="272"/>
      <c r="AE330" s="272"/>
      <c r="AF330" s="317"/>
      <c r="AG330" s="267"/>
      <c r="AH330" s="274"/>
      <c r="AI330" s="267"/>
      <c r="AJ330" s="267"/>
      <c r="AK330" s="275"/>
      <c r="AL330" s="267"/>
      <c r="AM330" s="267"/>
      <c r="AN330" s="267"/>
      <c r="AO330" s="267"/>
      <c r="AP330" s="267"/>
      <c r="AQ330" s="267"/>
      <c r="AR330" s="277"/>
      <c r="AS330" s="267"/>
      <c r="AT330" s="267"/>
      <c r="AU330" s="267"/>
      <c r="AV330" s="278"/>
      <c r="AW330" s="117">
        <f>VLOOKUP($D330,'WB Data'!$C$3:$M$578,2,FALSE)</f>
        <v>16364027646.772434</v>
      </c>
      <c r="AX330" s="117">
        <f>VLOOKUP($D330,'WB Data'!$C$3:$M$578,3,FALSE)</f>
        <v>57187942</v>
      </c>
      <c r="AY330" s="847">
        <f t="shared" si="61"/>
        <v>2.5439947241968214E-2</v>
      </c>
      <c r="AZ330" s="117">
        <f>VLOOKUP($D330,'WB Data'!$C$3:$M$578,4,FALSE)/100</f>
        <v>9.3871844813972163E-2</v>
      </c>
      <c r="BA330" s="117">
        <f t="shared" si="62"/>
        <v>1536121463.789372</v>
      </c>
      <c r="BB330" s="129">
        <f>IFERROR(VLOOKUP($D330,'EITI Revenues'!$C$2:$G$224,5,FALSE),"..")</f>
        <v>416300000</v>
      </c>
      <c r="BC330" s="846">
        <f t="shared" si="63"/>
        <v>0.27100721512806208</v>
      </c>
      <c r="BD330" s="129" t="e">
        <f>VLOOKUP($D330,'WB Data 2'!$C$2:$K$545,6,FALSE)</f>
        <v>#N/A</v>
      </c>
      <c r="BE330" s="129">
        <f>IFERROR(VLOOKUP($D330,UNCTAD!$C$5:$V$529,4,FALSE),"..")</f>
        <v>6486622160.4300003</v>
      </c>
      <c r="BF330" s="846" t="str">
        <f t="shared" si="64"/>
        <v>..</v>
      </c>
      <c r="BG330" s="117">
        <f>VLOOKUP($D330,'WB Data'!$C$3:$M$578,5,FALSE)</f>
        <v>1356710000</v>
      </c>
      <c r="BH330" s="129">
        <f>IFERROR($BB330/$BG330,"..")</f>
        <v>0.30684523590155599</v>
      </c>
      <c r="BI330" s="117" t="str">
        <f>IFERROR(VLOOKUP($D330,'WB Data'!$C$3:$M$578,7,FALSE)/100,"..")</f>
        <v>..</v>
      </c>
      <c r="BJ330" s="117" t="str">
        <f>IFERROR($BI330*$AW330,"..")</f>
        <v>..</v>
      </c>
      <c r="BK330" s="846" t="str">
        <f>IFERROR($BB330/$BJ330,"..")</f>
        <v>..</v>
      </c>
      <c r="BL330" s="117" t="str">
        <f>IFERROR(VLOOKUP($D330,'WB Data'!$C$3:$M$578,7,FALSE)/100,"..")</f>
        <v>..</v>
      </c>
      <c r="BM330" s="117" t="str">
        <f>IFERROR($AW330*$BL330,"..")</f>
        <v>..</v>
      </c>
      <c r="BN330" s="846" t="str">
        <f>IFERROR($BB330/$BM330,"..")</f>
        <v>..</v>
      </c>
      <c r="BO330" s="801" t="str">
        <f t="shared" si="60"/>
        <v>..</v>
      </c>
      <c r="BP330" s="117" t="str">
        <f>VLOOKUP($D330,'WB Data'!$C$3:$M$578,9,FALSE)</f>
        <v>..</v>
      </c>
      <c r="BQ330" s="117">
        <f>VLOOKUP($D330,'WB Data'!$C$3:$M$578,10,FALSE)</f>
        <v>48.213512195121965</v>
      </c>
      <c r="BR330" s="117">
        <f>VLOOKUP($D330,'WB Data'!$C$3:$M$578,11,FALSE)</f>
        <v>99.5</v>
      </c>
      <c r="BS330" s="129" t="str">
        <f>IFERROR(VLOOKUP($D330,'WB Data 2'!$C$2:$K$545,9,FALSE),"..")</f>
        <v>..</v>
      </c>
      <c r="BT330" s="129" t="str">
        <f>_xlfn.IFNA(VLOOKUP($C330,RGI!$A$2:$C$43,2,FALSE),"..")</f>
        <v>..</v>
      </c>
      <c r="BU330" s="129" t="str">
        <f>_xlfn.IFNA(VLOOKUP($C330,RGI!$A$2:$C$43,3,FALSE),"..")</f>
        <v>..</v>
      </c>
      <c r="BV330" s="129">
        <f>VLOOKUP($D330,WGI!$C$2:$O$478,7,FALSE)</f>
        <v>-1.2585968898003801</v>
      </c>
      <c r="BW330" s="129">
        <f>VLOOKUP($D330,WGI!$C$2:$O$478,4,FALSE)</f>
        <v>-2.2133773619349602</v>
      </c>
      <c r="BX330" s="129">
        <f>VLOOKUP($D330,WGI!$C$2:$O$478,3,FALSE)</f>
        <v>-1.7688847547663</v>
      </c>
      <c r="BY330" s="129">
        <f>VLOOKUP($D330,WGI!$C$2:$O$478,5,FALSE)</f>
        <v>-1.2626813110128201</v>
      </c>
      <c r="BZ330" s="129">
        <f>VLOOKUP($D330,WGI!$C$2:$O$478,2,FALSE)</f>
        <v>-1.30773511686967</v>
      </c>
      <c r="CB330" s="129"/>
    </row>
    <row r="331" spans="1:80" s="144" customFormat="1" ht="15" customHeight="1">
      <c r="A331" s="296" t="s">
        <v>174</v>
      </c>
      <c r="B331" s="132">
        <v>2008</v>
      </c>
      <c r="C331" s="132" t="s">
        <v>171</v>
      </c>
      <c r="D331" s="117" t="s">
        <v>3590</v>
      </c>
      <c r="E331" s="132" t="s">
        <v>86</v>
      </c>
      <c r="F331" s="132" t="s">
        <v>1059</v>
      </c>
      <c r="G331" s="132" t="s">
        <v>41</v>
      </c>
      <c r="H331" s="117" t="str">
        <f t="shared" si="55"/>
        <v>yes</v>
      </c>
      <c r="I331" s="117" t="str">
        <f t="shared" si="56"/>
        <v>no</v>
      </c>
      <c r="J331" s="117" t="str">
        <f t="shared" si="57"/>
        <v>yes</v>
      </c>
      <c r="K331" s="182" t="s">
        <v>709</v>
      </c>
      <c r="L331" s="117" t="str">
        <f t="shared" si="59"/>
        <v>Total</v>
      </c>
      <c r="M331" s="117" t="str">
        <f t="shared" si="58"/>
        <v>Total Oil, Mining</v>
      </c>
      <c r="N331" s="238"/>
      <c r="O331" s="238"/>
      <c r="P331" s="238"/>
      <c r="Q331" s="238"/>
      <c r="R331" s="238"/>
      <c r="S331" s="132"/>
      <c r="T331" s="134"/>
      <c r="U331" s="132"/>
      <c r="V331" s="132"/>
      <c r="W331" s="135">
        <f>W332+W333</f>
        <v>1919603437.0635471</v>
      </c>
      <c r="X331" s="132" t="s">
        <v>1083</v>
      </c>
      <c r="Y331" s="132" t="s">
        <v>602</v>
      </c>
      <c r="Z331" s="132"/>
      <c r="AA331" s="297">
        <v>516117440.10301042</v>
      </c>
      <c r="AB331" s="297">
        <v>578201440.10301042</v>
      </c>
      <c r="AC331" s="138"/>
      <c r="AD331" s="138"/>
      <c r="AE331" s="138"/>
      <c r="AF331" s="139">
        <f>AA331/W331</f>
        <v>0.26886669930770951</v>
      </c>
      <c r="AG331" s="132" t="s">
        <v>1084</v>
      </c>
      <c r="AH331" s="140">
        <v>450.44</v>
      </c>
      <c r="AI331" s="132" t="s">
        <v>667</v>
      </c>
      <c r="AJ331" s="132"/>
      <c r="AK331" s="135"/>
      <c r="AL331" s="132"/>
      <c r="AM331" s="132"/>
      <c r="AN331" s="132">
        <v>70</v>
      </c>
      <c r="AO331" s="132" t="s">
        <v>1085</v>
      </c>
      <c r="AP331" s="132" t="s">
        <v>1086</v>
      </c>
      <c r="AQ331" s="132" t="s">
        <v>175</v>
      </c>
      <c r="AR331" s="141">
        <v>41950</v>
      </c>
      <c r="AS331" s="132" t="s">
        <v>670</v>
      </c>
      <c r="AT331" s="142" t="s">
        <v>176</v>
      </c>
      <c r="AU331" s="132" t="s">
        <v>1087</v>
      </c>
      <c r="AV331" s="143" t="s">
        <v>1088</v>
      </c>
      <c r="AW331" s="117">
        <f>VLOOKUP($D331,'WB Data'!$C$3:$M$578,2,FALSE)</f>
        <v>19206015304.782166</v>
      </c>
      <c r="AX331" s="117">
        <f>VLOOKUP($D331,'WB Data'!$C$3:$M$578,3,FALSE)</f>
        <v>58819038</v>
      </c>
      <c r="AY331" s="847">
        <f t="shared" si="61"/>
        <v>2.6872697533178613E-2</v>
      </c>
      <c r="AZ331" s="117">
        <f>VLOOKUP($D331,'WB Data'!$C$3:$M$578,4,FALSE)/100</f>
        <v>0.11838614678185727</v>
      </c>
      <c r="BA331" s="117">
        <f t="shared" si="62"/>
        <v>2273726146.9665384</v>
      </c>
      <c r="BB331" s="129">
        <f>IFERROR(VLOOKUP($D331,'EITI Revenues'!$C$2:$G$224,5,FALSE),"..")</f>
        <v>516117440.10301042</v>
      </c>
      <c r="BC331" s="846">
        <f t="shared" si="63"/>
        <v>0.22699190964205679</v>
      </c>
      <c r="BD331" s="129" t="e">
        <f>VLOOKUP($D331,'WB Data 2'!$C$2:$K$545,6,FALSE)</f>
        <v>#N/A</v>
      </c>
      <c r="BE331" s="129">
        <f>IFERROR(VLOOKUP($D331,UNCTAD!$C$5:$V$529,4,FALSE),"..")</f>
        <v>7572889547.6400003</v>
      </c>
      <c r="BF331" s="846" t="str">
        <f t="shared" si="64"/>
        <v>..</v>
      </c>
      <c r="BG331" s="117">
        <f>VLOOKUP($D331,'WB Data'!$C$3:$M$578,5,FALSE)</f>
        <v>1765970000</v>
      </c>
      <c r="BH331" s="129">
        <f>IFERROR($BB331/$BG331,"..")</f>
        <v>0.29225719582043319</v>
      </c>
      <c r="BI331" s="117" t="str">
        <f>IFERROR(VLOOKUP($D331,'WB Data'!$C$3:$M$578,7,FALSE)/100,"..")</f>
        <v>..</v>
      </c>
      <c r="BJ331" s="117" t="str">
        <f>IFERROR($BI331*$AW331,"..")</f>
        <v>..</v>
      </c>
      <c r="BK331" s="846" t="str">
        <f>IFERROR($BB331/$BJ331,"..")</f>
        <v>..</v>
      </c>
      <c r="BL331" s="117" t="str">
        <f>IFERROR(VLOOKUP($D331,'WB Data'!$C$3:$M$578,7,FALSE)/100,"..")</f>
        <v>..</v>
      </c>
      <c r="BM331" s="117" t="str">
        <f>IFERROR($AW331*$BL331,"..")</f>
        <v>..</v>
      </c>
      <c r="BN331" s="846" t="str">
        <f>IFERROR($BB331/$BM331,"..")</f>
        <v>..</v>
      </c>
      <c r="BO331" s="801" t="str">
        <f t="shared" si="60"/>
        <v>..</v>
      </c>
      <c r="BP331" s="117" t="str">
        <f>VLOOKUP($D331,'WB Data'!$C$3:$M$578,9,FALSE)</f>
        <v>..</v>
      </c>
      <c r="BQ331" s="117">
        <f>VLOOKUP($D331,'WB Data'!$C$3:$M$578,10,FALSE)</f>
        <v>48.439585365853667</v>
      </c>
      <c r="BR331" s="117">
        <f>VLOOKUP($D331,'WB Data'!$C$3:$M$578,11,FALSE)</f>
        <v>97.1</v>
      </c>
      <c r="BS331" s="129" t="str">
        <f>IFERROR(VLOOKUP($D331,'WB Data 2'!$C$2:$K$545,9,FALSE),"..")</f>
        <v>..</v>
      </c>
      <c r="BT331" s="129" t="str">
        <f>_xlfn.IFNA(VLOOKUP($C331,RGI!$A$2:$C$43,2,FALSE),"..")</f>
        <v>..</v>
      </c>
      <c r="BU331" s="129" t="str">
        <f>_xlfn.IFNA(VLOOKUP($C331,RGI!$A$2:$C$43,3,FALSE),"..")</f>
        <v>..</v>
      </c>
      <c r="BV331" s="129">
        <f>VLOOKUP($D331,WGI!$C$2:$O$478,7,FALSE)</f>
        <v>-1.4471400969582999</v>
      </c>
      <c r="BW331" s="129">
        <f>VLOOKUP($D331,WGI!$C$2:$O$478,4,FALSE)</f>
        <v>-2.0280985228008102</v>
      </c>
      <c r="BX331" s="129">
        <f>VLOOKUP($D331,WGI!$C$2:$O$478,3,FALSE)</f>
        <v>-1.67277466539245</v>
      </c>
      <c r="BY331" s="129">
        <f>VLOOKUP($D331,WGI!$C$2:$O$478,5,FALSE)</f>
        <v>-1.2968034402976401</v>
      </c>
      <c r="BZ331" s="129">
        <f>VLOOKUP($D331,WGI!$C$2:$O$478,2,FALSE)</f>
        <v>-1.16688121811319</v>
      </c>
      <c r="CB331" s="129"/>
    </row>
    <row r="332" spans="1:80" s="120" customFormat="1" ht="15" customHeight="1">
      <c r="A332" s="294" t="s">
        <v>174</v>
      </c>
      <c r="B332" s="117">
        <v>2008</v>
      </c>
      <c r="C332" s="132" t="s">
        <v>171</v>
      </c>
      <c r="D332" s="117" t="s">
        <v>3590</v>
      </c>
      <c r="E332" s="117" t="s">
        <v>86</v>
      </c>
      <c r="F332" s="117"/>
      <c r="G332" s="117" t="s">
        <v>103</v>
      </c>
      <c r="H332" s="117" t="str">
        <f t="shared" si="55"/>
        <v>no</v>
      </c>
      <c r="I332" s="117" t="str">
        <f t="shared" si="56"/>
        <v>no</v>
      </c>
      <c r="J332" s="117" t="str">
        <f t="shared" si="57"/>
        <v>yes</v>
      </c>
      <c r="K332" s="176" t="s">
        <v>103</v>
      </c>
      <c r="L332" s="117" t="str">
        <f t="shared" si="59"/>
        <v>detailed</v>
      </c>
      <c r="M332" s="117" t="str">
        <f t="shared" si="58"/>
        <v>detailed Oil</v>
      </c>
      <c r="N332" s="179">
        <v>7300000</v>
      </c>
      <c r="O332" s="179"/>
      <c r="P332" s="179"/>
      <c r="Q332" s="179"/>
      <c r="R332" s="179"/>
      <c r="S332" s="117" t="s">
        <v>646</v>
      </c>
      <c r="T332" s="119">
        <v>98.2715934</v>
      </c>
      <c r="U332" s="117" t="s">
        <v>673</v>
      </c>
      <c r="V332" s="117" t="s">
        <v>1030</v>
      </c>
      <c r="W332" s="89">
        <f>N332*T332</f>
        <v>717382631.82000005</v>
      </c>
      <c r="X332" s="117"/>
      <c r="Y332" s="117"/>
      <c r="Z332" s="117"/>
      <c r="AA332" s="177">
        <v>421877440.10301042</v>
      </c>
      <c r="AB332" s="177">
        <v>421882440.10301042</v>
      </c>
      <c r="AC332" s="122"/>
      <c r="AD332" s="122"/>
      <c r="AE332" s="122"/>
      <c r="AF332" s="123">
        <f>AA332/W332</f>
        <v>0.58807869244437538</v>
      </c>
      <c r="AG332" s="117"/>
      <c r="AH332" s="124"/>
      <c r="AI332" s="117"/>
      <c r="AJ332" s="117"/>
      <c r="AK332" s="89"/>
      <c r="AL332" s="117"/>
      <c r="AM332" s="117"/>
      <c r="AN332" s="117">
        <v>6</v>
      </c>
      <c r="AO332" s="117"/>
      <c r="AP332" s="117">
        <v>6</v>
      </c>
      <c r="AQ332" s="117"/>
      <c r="AR332" s="126"/>
      <c r="AS332" s="117"/>
      <c r="AT332" s="117"/>
      <c r="AU332" s="117"/>
      <c r="AV332" s="128"/>
      <c r="AW332" s="117">
        <f>VLOOKUP($D332,'WB Data'!$C$3:$M$578,2,FALSE)</f>
        <v>19206015304.782166</v>
      </c>
      <c r="AX332" s="117">
        <f>VLOOKUP($D332,'WB Data'!$C$3:$M$578,3,FALSE)</f>
        <v>58819038</v>
      </c>
      <c r="AY332" s="847">
        <f t="shared" si="61"/>
        <v>2.6872697533178613E-2</v>
      </c>
      <c r="AZ332" s="117">
        <f>VLOOKUP($D332,'WB Data'!$C$3:$M$578,4,FALSE)/100</f>
        <v>0.11838614678185727</v>
      </c>
      <c r="BA332" s="117">
        <f t="shared" si="62"/>
        <v>2273726146.9665384</v>
      </c>
      <c r="BB332" s="129">
        <f>IFERROR(VLOOKUP($D332,'EITI Revenues'!$C$2:$G$224,5,FALSE),"..")</f>
        <v>516117440.10301042</v>
      </c>
      <c r="BC332" s="846">
        <f t="shared" si="63"/>
        <v>0.22699190964205679</v>
      </c>
      <c r="BD332" s="129" t="e">
        <f>VLOOKUP($D332,'WB Data 2'!$C$2:$K$545,6,FALSE)</f>
        <v>#N/A</v>
      </c>
      <c r="BE332" s="129">
        <f>IFERROR(VLOOKUP($D332,UNCTAD!$C$5:$V$529,4,FALSE),"..")</f>
        <v>7572889547.6400003</v>
      </c>
      <c r="BF332" s="846" t="str">
        <f t="shared" si="64"/>
        <v>..</v>
      </c>
      <c r="BG332" s="117">
        <f>VLOOKUP($D332,'WB Data'!$C$3:$M$578,5,FALSE)</f>
        <v>1765970000</v>
      </c>
      <c r="BH332" s="129">
        <f>IFERROR($BB332/$BG332,"..")</f>
        <v>0.29225719582043319</v>
      </c>
      <c r="BI332" s="117" t="str">
        <f>IFERROR(VLOOKUP($D332,'WB Data'!$C$3:$M$578,7,FALSE)/100,"..")</f>
        <v>..</v>
      </c>
      <c r="BJ332" s="117" t="str">
        <f>IFERROR($BI332*$AW332,"..")</f>
        <v>..</v>
      </c>
      <c r="BK332" s="846" t="str">
        <f>IFERROR($BB332/$BJ332,"..")</f>
        <v>..</v>
      </c>
      <c r="BL332" s="117" t="str">
        <f>IFERROR(VLOOKUP($D332,'WB Data'!$C$3:$M$578,7,FALSE)/100,"..")</f>
        <v>..</v>
      </c>
      <c r="BM332" s="117" t="str">
        <f>IFERROR($AW332*$BL332,"..")</f>
        <v>..</v>
      </c>
      <c r="BN332" s="846" t="str">
        <f>IFERROR($BB332/$BM332,"..")</f>
        <v>..</v>
      </c>
      <c r="BO332" s="801" t="str">
        <f t="shared" si="60"/>
        <v>..</v>
      </c>
      <c r="BP332" s="117" t="str">
        <f>VLOOKUP($D332,'WB Data'!$C$3:$M$578,9,FALSE)</f>
        <v>..</v>
      </c>
      <c r="BQ332" s="117">
        <f>VLOOKUP($D332,'WB Data'!$C$3:$M$578,10,FALSE)</f>
        <v>48.439585365853667</v>
      </c>
      <c r="BR332" s="117">
        <f>VLOOKUP($D332,'WB Data'!$C$3:$M$578,11,FALSE)</f>
        <v>97.1</v>
      </c>
      <c r="BS332" s="129" t="str">
        <f>IFERROR(VLOOKUP($D332,'WB Data 2'!$C$2:$K$545,9,FALSE),"..")</f>
        <v>..</v>
      </c>
      <c r="BT332" s="129" t="str">
        <f>_xlfn.IFNA(VLOOKUP($C332,RGI!$A$2:$C$43,2,FALSE),"..")</f>
        <v>..</v>
      </c>
      <c r="BU332" s="129" t="str">
        <f>_xlfn.IFNA(VLOOKUP($C332,RGI!$A$2:$C$43,3,FALSE),"..")</f>
        <v>..</v>
      </c>
      <c r="BV332" s="129">
        <f>VLOOKUP($D332,WGI!$C$2:$O$478,7,FALSE)</f>
        <v>-1.4471400969582999</v>
      </c>
      <c r="BW332" s="129">
        <f>VLOOKUP($D332,WGI!$C$2:$O$478,4,FALSE)</f>
        <v>-2.0280985228008102</v>
      </c>
      <c r="BX332" s="129">
        <f>VLOOKUP($D332,WGI!$C$2:$O$478,3,FALSE)</f>
        <v>-1.67277466539245</v>
      </c>
      <c r="BY332" s="129">
        <f>VLOOKUP($D332,WGI!$C$2:$O$478,5,FALSE)</f>
        <v>-1.2968034402976401</v>
      </c>
      <c r="BZ332" s="129">
        <f>VLOOKUP($D332,WGI!$C$2:$O$478,2,FALSE)</f>
        <v>-1.16688121811319</v>
      </c>
      <c r="CB332" s="129"/>
    </row>
    <row r="333" spans="1:80" s="120" customFormat="1" ht="15" customHeight="1">
      <c r="A333" s="294" t="s">
        <v>174</v>
      </c>
      <c r="B333" s="117">
        <v>2008</v>
      </c>
      <c r="C333" s="132" t="s">
        <v>171</v>
      </c>
      <c r="D333" s="117" t="s">
        <v>3590</v>
      </c>
      <c r="E333" s="117" t="s">
        <v>86</v>
      </c>
      <c r="F333" s="117"/>
      <c r="G333" s="117" t="s">
        <v>24</v>
      </c>
      <c r="H333" s="117" t="str">
        <f t="shared" si="55"/>
        <v>yes</v>
      </c>
      <c r="I333" s="117" t="str">
        <f t="shared" si="56"/>
        <v>no</v>
      </c>
      <c r="J333" s="117" t="str">
        <f t="shared" si="57"/>
        <v>no</v>
      </c>
      <c r="K333" s="176" t="s">
        <v>600</v>
      </c>
      <c r="L333" s="117" t="str">
        <f t="shared" si="59"/>
        <v>Total</v>
      </c>
      <c r="M333" s="117" t="str">
        <f t="shared" si="58"/>
        <v>Total Mining</v>
      </c>
      <c r="N333" s="179"/>
      <c r="O333" s="179"/>
      <c r="P333" s="179"/>
      <c r="Q333" s="179"/>
      <c r="R333" s="179"/>
      <c r="S333" s="117"/>
      <c r="T333" s="119"/>
      <c r="U333" s="117"/>
      <c r="V333" s="117"/>
      <c r="W333" s="89">
        <f>SUM(W334:W354)</f>
        <v>1202220805.2435472</v>
      </c>
      <c r="X333" s="117"/>
      <c r="Y333" s="117"/>
      <c r="Z333" s="117"/>
      <c r="AA333" s="177">
        <v>94240000</v>
      </c>
      <c r="AB333" s="177">
        <v>156319000</v>
      </c>
      <c r="AC333" s="122"/>
      <c r="AD333" s="122"/>
      <c r="AE333" s="122"/>
      <c r="AF333" s="123">
        <f>AA333/W333</f>
        <v>7.8388262446438664E-2</v>
      </c>
      <c r="AG333" s="117"/>
      <c r="AH333" s="124"/>
      <c r="AI333" s="117"/>
      <c r="AJ333" s="117"/>
      <c r="AK333" s="89"/>
      <c r="AL333" s="117"/>
      <c r="AM333" s="117"/>
      <c r="AN333" s="117">
        <v>64</v>
      </c>
      <c r="AO333" s="117"/>
      <c r="AP333" s="117" t="s">
        <v>1086</v>
      </c>
      <c r="AQ333" s="117"/>
      <c r="AR333" s="126"/>
      <c r="AS333" s="117"/>
      <c r="AT333" s="117"/>
      <c r="AU333" s="117"/>
      <c r="AV333" s="128" t="s">
        <v>1089</v>
      </c>
      <c r="AW333" s="117">
        <f>VLOOKUP($D333,'WB Data'!$C$3:$M$578,2,FALSE)</f>
        <v>19206015304.782166</v>
      </c>
      <c r="AX333" s="117">
        <f>VLOOKUP($D333,'WB Data'!$C$3:$M$578,3,FALSE)</f>
        <v>58819038</v>
      </c>
      <c r="AY333" s="847">
        <f t="shared" si="61"/>
        <v>2.6872697533178613E-2</v>
      </c>
      <c r="AZ333" s="117">
        <f>VLOOKUP($D333,'WB Data'!$C$3:$M$578,4,FALSE)/100</f>
        <v>0.11838614678185727</v>
      </c>
      <c r="BA333" s="117">
        <f t="shared" si="62"/>
        <v>2273726146.9665384</v>
      </c>
      <c r="BB333" s="129">
        <f>IFERROR(VLOOKUP($D333,'EITI Revenues'!$C$2:$G$224,5,FALSE),"..")</f>
        <v>516117440.10301042</v>
      </c>
      <c r="BC333" s="846">
        <f t="shared" si="63"/>
        <v>0.22699190964205679</v>
      </c>
      <c r="BD333" s="129" t="e">
        <f>VLOOKUP($D333,'WB Data 2'!$C$2:$K$545,6,FALSE)</f>
        <v>#N/A</v>
      </c>
      <c r="BE333" s="129">
        <f>IFERROR(VLOOKUP($D333,UNCTAD!$C$5:$V$529,4,FALSE),"..")</f>
        <v>7572889547.6400003</v>
      </c>
      <c r="BF333" s="846" t="str">
        <f t="shared" si="64"/>
        <v>..</v>
      </c>
      <c r="BG333" s="117">
        <f>VLOOKUP($D333,'WB Data'!$C$3:$M$578,5,FALSE)</f>
        <v>1765970000</v>
      </c>
      <c r="BH333" s="129">
        <f>IFERROR($BB333/$BG333,"..")</f>
        <v>0.29225719582043319</v>
      </c>
      <c r="BI333" s="117" t="str">
        <f>IFERROR(VLOOKUP($D333,'WB Data'!$C$3:$M$578,7,FALSE)/100,"..")</f>
        <v>..</v>
      </c>
      <c r="BJ333" s="117" t="str">
        <f>IFERROR($BI333*$AW333,"..")</f>
        <v>..</v>
      </c>
      <c r="BK333" s="846" t="str">
        <f>IFERROR($BB333/$BJ333,"..")</f>
        <v>..</v>
      </c>
      <c r="BL333" s="117" t="str">
        <f>IFERROR(VLOOKUP($D333,'WB Data'!$C$3:$M$578,7,FALSE)/100,"..")</f>
        <v>..</v>
      </c>
      <c r="BM333" s="117" t="str">
        <f>IFERROR($AW333*$BL333,"..")</f>
        <v>..</v>
      </c>
      <c r="BN333" s="846" t="str">
        <f>IFERROR($BB333/$BM333,"..")</f>
        <v>..</v>
      </c>
      <c r="BO333" s="801" t="str">
        <f t="shared" si="60"/>
        <v>..</v>
      </c>
      <c r="BP333" s="117" t="str">
        <f>VLOOKUP($D333,'WB Data'!$C$3:$M$578,9,FALSE)</f>
        <v>..</v>
      </c>
      <c r="BQ333" s="117">
        <f>VLOOKUP($D333,'WB Data'!$C$3:$M$578,10,FALSE)</f>
        <v>48.439585365853667</v>
      </c>
      <c r="BR333" s="117">
        <f>VLOOKUP($D333,'WB Data'!$C$3:$M$578,11,FALSE)</f>
        <v>97.1</v>
      </c>
      <c r="BS333" s="129" t="str">
        <f>IFERROR(VLOOKUP($D333,'WB Data 2'!$C$2:$K$545,9,FALSE),"..")</f>
        <v>..</v>
      </c>
      <c r="BT333" s="129" t="str">
        <f>_xlfn.IFNA(VLOOKUP($C333,RGI!$A$2:$C$43,2,FALSE),"..")</f>
        <v>..</v>
      </c>
      <c r="BU333" s="129" t="str">
        <f>_xlfn.IFNA(VLOOKUP($C333,RGI!$A$2:$C$43,3,FALSE),"..")</f>
        <v>..</v>
      </c>
      <c r="BV333" s="129">
        <f>VLOOKUP($D333,WGI!$C$2:$O$478,7,FALSE)</f>
        <v>-1.4471400969582999</v>
      </c>
      <c r="BW333" s="129">
        <f>VLOOKUP($D333,WGI!$C$2:$O$478,4,FALSE)</f>
        <v>-2.0280985228008102</v>
      </c>
      <c r="BX333" s="129">
        <f>VLOOKUP($D333,WGI!$C$2:$O$478,3,FALSE)</f>
        <v>-1.67277466539245</v>
      </c>
      <c r="BY333" s="129">
        <f>VLOOKUP($D333,WGI!$C$2:$O$478,5,FALSE)</f>
        <v>-1.2968034402976401</v>
      </c>
      <c r="BZ333" s="129">
        <f>VLOOKUP($D333,WGI!$C$2:$O$478,2,FALSE)</f>
        <v>-1.16688121811319</v>
      </c>
      <c r="CB333" s="129"/>
    </row>
    <row r="334" spans="1:80" s="120" customFormat="1" ht="15" customHeight="1">
      <c r="A334" s="294" t="s">
        <v>174</v>
      </c>
      <c r="B334" s="117">
        <v>2008</v>
      </c>
      <c r="C334" s="132" t="s">
        <v>171</v>
      </c>
      <c r="D334" s="117" t="s">
        <v>3590</v>
      </c>
      <c r="E334" s="117" t="s">
        <v>86</v>
      </c>
      <c r="F334" s="117"/>
      <c r="G334" s="117" t="s">
        <v>24</v>
      </c>
      <c r="H334" s="117" t="str">
        <f t="shared" si="55"/>
        <v>yes</v>
      </c>
      <c r="I334" s="117" t="str">
        <f t="shared" si="56"/>
        <v>no</v>
      </c>
      <c r="J334" s="117" t="str">
        <f t="shared" si="57"/>
        <v>no</v>
      </c>
      <c r="K334" s="176" t="s">
        <v>1061</v>
      </c>
      <c r="L334" s="117" t="str">
        <f t="shared" si="59"/>
        <v>detailed</v>
      </c>
      <c r="M334" s="117" t="str">
        <f t="shared" si="58"/>
        <v>detailed Mining</v>
      </c>
      <c r="N334" s="179"/>
      <c r="O334" s="179"/>
      <c r="P334" s="179"/>
      <c r="Q334" s="179"/>
      <c r="R334" s="179"/>
      <c r="S334" s="117"/>
      <c r="T334" s="119">
        <f>39.01/0.000453592</f>
        <v>86002.398631369157</v>
      </c>
      <c r="U334" s="117" t="s">
        <v>611</v>
      </c>
      <c r="V334" s="117" t="s">
        <v>1090</v>
      </c>
      <c r="W334" s="89">
        <f>N336*T334</f>
        <v>90216516.164306238</v>
      </c>
      <c r="X334" s="117"/>
      <c r="Y334" s="117"/>
      <c r="Z334" s="117"/>
      <c r="AA334" s="177"/>
      <c r="AB334" s="177"/>
      <c r="AC334" s="122"/>
      <c r="AD334" s="122"/>
      <c r="AE334" s="122"/>
      <c r="AF334" s="123"/>
      <c r="AG334" s="117"/>
      <c r="AH334" s="124"/>
      <c r="AI334" s="117"/>
      <c r="AJ334" s="117"/>
      <c r="AK334" s="89"/>
      <c r="AL334" s="117"/>
      <c r="AM334" s="117"/>
      <c r="AN334" s="117"/>
      <c r="AO334" s="117"/>
      <c r="AP334" s="117"/>
      <c r="AQ334" s="117"/>
      <c r="AR334" s="126"/>
      <c r="AS334" s="117"/>
      <c r="AT334" s="117"/>
      <c r="AU334" s="117"/>
      <c r="AV334" s="128"/>
      <c r="AW334" s="117">
        <f>VLOOKUP($D334,'WB Data'!$C$3:$M$578,2,FALSE)</f>
        <v>19206015304.782166</v>
      </c>
      <c r="AX334" s="117">
        <f>VLOOKUP($D334,'WB Data'!$C$3:$M$578,3,FALSE)</f>
        <v>58819038</v>
      </c>
      <c r="AY334" s="847">
        <f t="shared" si="61"/>
        <v>2.6872697533178613E-2</v>
      </c>
      <c r="AZ334" s="117">
        <f>VLOOKUP($D334,'WB Data'!$C$3:$M$578,4,FALSE)/100</f>
        <v>0.11838614678185727</v>
      </c>
      <c r="BA334" s="117">
        <f t="shared" si="62"/>
        <v>2273726146.9665384</v>
      </c>
      <c r="BB334" s="129">
        <f>IFERROR(VLOOKUP($D334,'EITI Revenues'!$C$2:$G$224,5,FALSE),"..")</f>
        <v>516117440.10301042</v>
      </c>
      <c r="BC334" s="846">
        <f t="shared" si="63"/>
        <v>0.22699190964205679</v>
      </c>
      <c r="BD334" s="129" t="e">
        <f>VLOOKUP($D334,'WB Data 2'!$C$2:$K$545,6,FALSE)</f>
        <v>#N/A</v>
      </c>
      <c r="BE334" s="129">
        <f>IFERROR(VLOOKUP($D334,UNCTAD!$C$5:$V$529,4,FALSE),"..")</f>
        <v>7572889547.6400003</v>
      </c>
      <c r="BF334" s="846" t="str">
        <f t="shared" si="64"/>
        <v>..</v>
      </c>
      <c r="BG334" s="117">
        <f>VLOOKUP($D334,'WB Data'!$C$3:$M$578,5,FALSE)</f>
        <v>1765970000</v>
      </c>
      <c r="BH334" s="129">
        <f>IFERROR($BB334/$BG334,"..")</f>
        <v>0.29225719582043319</v>
      </c>
      <c r="BI334" s="117" t="str">
        <f>IFERROR(VLOOKUP($D334,'WB Data'!$C$3:$M$578,7,FALSE)/100,"..")</f>
        <v>..</v>
      </c>
      <c r="BJ334" s="117" t="str">
        <f>IFERROR($BI334*$AW334,"..")</f>
        <v>..</v>
      </c>
      <c r="BK334" s="846" t="str">
        <f>IFERROR($BB334/$BJ334,"..")</f>
        <v>..</v>
      </c>
      <c r="BL334" s="117" t="str">
        <f>IFERROR(VLOOKUP($D334,'WB Data'!$C$3:$M$578,7,FALSE)/100,"..")</f>
        <v>..</v>
      </c>
      <c r="BM334" s="117" t="str">
        <f>IFERROR($AW334*$BL334,"..")</f>
        <v>..</v>
      </c>
      <c r="BN334" s="846" t="str">
        <f>IFERROR($BB334/$BM334,"..")</f>
        <v>..</v>
      </c>
      <c r="BO334" s="801" t="str">
        <f t="shared" si="60"/>
        <v>..</v>
      </c>
      <c r="BP334" s="117" t="str">
        <f>VLOOKUP($D334,'WB Data'!$C$3:$M$578,9,FALSE)</f>
        <v>..</v>
      </c>
      <c r="BQ334" s="117">
        <f>VLOOKUP($D334,'WB Data'!$C$3:$M$578,10,FALSE)</f>
        <v>48.439585365853667</v>
      </c>
      <c r="BR334" s="117">
        <f>VLOOKUP($D334,'WB Data'!$C$3:$M$578,11,FALSE)</f>
        <v>97.1</v>
      </c>
      <c r="BS334" s="129" t="str">
        <f>IFERROR(VLOOKUP($D334,'WB Data 2'!$C$2:$K$545,9,FALSE),"..")</f>
        <v>..</v>
      </c>
      <c r="BT334" s="129" t="str">
        <f>_xlfn.IFNA(VLOOKUP($C334,RGI!$A$2:$C$43,2,FALSE),"..")</f>
        <v>..</v>
      </c>
      <c r="BU334" s="129" t="str">
        <f>_xlfn.IFNA(VLOOKUP($C334,RGI!$A$2:$C$43,3,FALSE),"..")</f>
        <v>..</v>
      </c>
      <c r="BV334" s="129">
        <f>VLOOKUP($D334,WGI!$C$2:$O$478,7,FALSE)</f>
        <v>-1.4471400969582999</v>
      </c>
      <c r="BW334" s="129">
        <f>VLOOKUP($D334,WGI!$C$2:$O$478,4,FALSE)</f>
        <v>-2.0280985228008102</v>
      </c>
      <c r="BX334" s="129">
        <f>VLOOKUP($D334,WGI!$C$2:$O$478,3,FALSE)</f>
        <v>-1.67277466539245</v>
      </c>
      <c r="BY334" s="129">
        <f>VLOOKUP($D334,WGI!$C$2:$O$478,5,FALSE)</f>
        <v>-1.2968034402976401</v>
      </c>
      <c r="BZ334" s="129">
        <f>VLOOKUP($D334,WGI!$C$2:$O$478,2,FALSE)</f>
        <v>-1.16688121811319</v>
      </c>
      <c r="CB334" s="129"/>
    </row>
    <row r="335" spans="1:80" s="120" customFormat="1" ht="15" customHeight="1">
      <c r="A335" s="294" t="s">
        <v>174</v>
      </c>
      <c r="B335" s="117">
        <v>2008</v>
      </c>
      <c r="C335" s="132" t="s">
        <v>171</v>
      </c>
      <c r="D335" s="117" t="s">
        <v>3590</v>
      </c>
      <c r="E335" s="117" t="s">
        <v>86</v>
      </c>
      <c r="F335" s="117"/>
      <c r="G335" s="117" t="s">
        <v>24</v>
      </c>
      <c r="H335" s="117" t="str">
        <f t="shared" si="55"/>
        <v>yes</v>
      </c>
      <c r="I335" s="117" t="str">
        <f t="shared" si="56"/>
        <v>no</v>
      </c>
      <c r="J335" s="117" t="str">
        <f t="shared" si="57"/>
        <v>no</v>
      </c>
      <c r="K335" s="176" t="s">
        <v>1063</v>
      </c>
      <c r="L335" s="117" t="str">
        <f t="shared" si="59"/>
        <v>detailed</v>
      </c>
      <c r="M335" s="117" t="str">
        <f t="shared" si="58"/>
        <v>detailed Mining</v>
      </c>
      <c r="N335" s="179">
        <v>31000</v>
      </c>
      <c r="O335" s="179"/>
      <c r="P335" s="179"/>
      <c r="Q335" s="179"/>
      <c r="R335" s="179"/>
      <c r="S335" s="117" t="s">
        <v>610</v>
      </c>
      <c r="T335" s="119"/>
      <c r="U335" s="117"/>
      <c r="V335" s="117" t="s">
        <v>684</v>
      </c>
      <c r="W335" s="89"/>
      <c r="X335" s="117"/>
      <c r="Y335" s="117"/>
      <c r="Z335" s="117"/>
      <c r="AA335" s="177"/>
      <c r="AB335" s="177"/>
      <c r="AC335" s="122"/>
      <c r="AD335" s="122"/>
      <c r="AE335" s="122"/>
      <c r="AF335" s="123"/>
      <c r="AG335" s="117"/>
      <c r="AH335" s="124"/>
      <c r="AI335" s="117"/>
      <c r="AJ335" s="117"/>
      <c r="AK335" s="89"/>
      <c r="AL335" s="117"/>
      <c r="AM335" s="117"/>
      <c r="AN335" s="117"/>
      <c r="AO335" s="117"/>
      <c r="AP335" s="117"/>
      <c r="AQ335" s="117"/>
      <c r="AR335" s="126"/>
      <c r="AS335" s="117"/>
      <c r="AT335" s="117"/>
      <c r="AU335" s="117"/>
      <c r="AV335" s="128"/>
      <c r="AW335" s="117">
        <f>VLOOKUP($D335,'WB Data'!$C$3:$M$578,2,FALSE)</f>
        <v>19206015304.782166</v>
      </c>
      <c r="AX335" s="117">
        <f>VLOOKUP($D335,'WB Data'!$C$3:$M$578,3,FALSE)</f>
        <v>58819038</v>
      </c>
      <c r="AY335" s="847">
        <f t="shared" si="61"/>
        <v>2.6872697533178613E-2</v>
      </c>
      <c r="AZ335" s="117">
        <f>VLOOKUP($D335,'WB Data'!$C$3:$M$578,4,FALSE)/100</f>
        <v>0.11838614678185727</v>
      </c>
      <c r="BA335" s="117">
        <f t="shared" si="62"/>
        <v>2273726146.9665384</v>
      </c>
      <c r="BB335" s="129">
        <f>IFERROR(VLOOKUP($D335,'EITI Revenues'!$C$2:$G$224,5,FALSE),"..")</f>
        <v>516117440.10301042</v>
      </c>
      <c r="BC335" s="846">
        <f t="shared" si="63"/>
        <v>0.22699190964205679</v>
      </c>
      <c r="BD335" s="129" t="e">
        <f>VLOOKUP($D335,'WB Data 2'!$C$2:$K$545,6,FALSE)</f>
        <v>#N/A</v>
      </c>
      <c r="BE335" s="129">
        <f>IFERROR(VLOOKUP($D335,UNCTAD!$C$5:$V$529,4,FALSE),"..")</f>
        <v>7572889547.6400003</v>
      </c>
      <c r="BF335" s="846" t="str">
        <f t="shared" si="64"/>
        <v>..</v>
      </c>
      <c r="BG335" s="117">
        <f>VLOOKUP($D335,'WB Data'!$C$3:$M$578,5,FALSE)</f>
        <v>1765970000</v>
      </c>
      <c r="BH335" s="129">
        <f>IFERROR($BB335/$BG335,"..")</f>
        <v>0.29225719582043319</v>
      </c>
      <c r="BI335" s="117" t="str">
        <f>IFERROR(VLOOKUP($D335,'WB Data'!$C$3:$M$578,7,FALSE)/100,"..")</f>
        <v>..</v>
      </c>
      <c r="BJ335" s="117" t="str">
        <f>IFERROR($BI335*$AW335,"..")</f>
        <v>..</v>
      </c>
      <c r="BK335" s="846" t="str">
        <f>IFERROR($BB335/$BJ335,"..")</f>
        <v>..</v>
      </c>
      <c r="BL335" s="117" t="str">
        <f>IFERROR(VLOOKUP($D335,'WB Data'!$C$3:$M$578,7,FALSE)/100,"..")</f>
        <v>..</v>
      </c>
      <c r="BM335" s="117" t="str">
        <f>IFERROR($AW335*$BL335,"..")</f>
        <v>..</v>
      </c>
      <c r="BN335" s="846" t="str">
        <f>IFERROR($BB335/$BM335,"..")</f>
        <v>..</v>
      </c>
      <c r="BO335" s="801" t="str">
        <f t="shared" si="60"/>
        <v>..</v>
      </c>
      <c r="BP335" s="117" t="str">
        <f>VLOOKUP($D335,'WB Data'!$C$3:$M$578,9,FALSE)</f>
        <v>..</v>
      </c>
      <c r="BQ335" s="117">
        <f>VLOOKUP($D335,'WB Data'!$C$3:$M$578,10,FALSE)</f>
        <v>48.439585365853667</v>
      </c>
      <c r="BR335" s="117">
        <f>VLOOKUP($D335,'WB Data'!$C$3:$M$578,11,FALSE)</f>
        <v>97.1</v>
      </c>
      <c r="BS335" s="129" t="str">
        <f>IFERROR(VLOOKUP($D335,'WB Data 2'!$C$2:$K$545,9,FALSE),"..")</f>
        <v>..</v>
      </c>
      <c r="BT335" s="129" t="str">
        <f>_xlfn.IFNA(VLOOKUP($C335,RGI!$A$2:$C$43,2,FALSE),"..")</f>
        <v>..</v>
      </c>
      <c r="BU335" s="129" t="str">
        <f>_xlfn.IFNA(VLOOKUP($C335,RGI!$A$2:$C$43,3,FALSE),"..")</f>
        <v>..</v>
      </c>
      <c r="BV335" s="129">
        <f>VLOOKUP($D335,WGI!$C$2:$O$478,7,FALSE)</f>
        <v>-1.4471400969582999</v>
      </c>
      <c r="BW335" s="129">
        <f>VLOOKUP($D335,WGI!$C$2:$O$478,4,FALSE)</f>
        <v>-2.0280985228008102</v>
      </c>
      <c r="BX335" s="129">
        <f>VLOOKUP($D335,WGI!$C$2:$O$478,3,FALSE)</f>
        <v>-1.67277466539245</v>
      </c>
      <c r="BY335" s="129">
        <f>VLOOKUP($D335,WGI!$C$2:$O$478,5,FALSE)</f>
        <v>-1.2968034402976401</v>
      </c>
      <c r="BZ335" s="129">
        <f>VLOOKUP($D335,WGI!$C$2:$O$478,2,FALSE)</f>
        <v>-1.16688121811319</v>
      </c>
      <c r="CB335" s="129"/>
    </row>
    <row r="336" spans="1:80" s="120" customFormat="1" ht="15" customHeight="1">
      <c r="A336" s="294" t="s">
        <v>174</v>
      </c>
      <c r="B336" s="117">
        <v>2008</v>
      </c>
      <c r="C336" s="132" t="s">
        <v>171</v>
      </c>
      <c r="D336" s="117" t="s">
        <v>3590</v>
      </c>
      <c r="E336" s="117" t="s">
        <v>86</v>
      </c>
      <c r="F336" s="117"/>
      <c r="G336" s="117" t="s">
        <v>24</v>
      </c>
      <c r="H336" s="117" t="str">
        <f t="shared" si="55"/>
        <v>yes</v>
      </c>
      <c r="I336" s="117" t="str">
        <f t="shared" si="56"/>
        <v>no</v>
      </c>
      <c r="J336" s="117" t="str">
        <f t="shared" si="57"/>
        <v>no</v>
      </c>
      <c r="K336" s="176" t="s">
        <v>1064</v>
      </c>
      <c r="L336" s="117" t="str">
        <f t="shared" si="59"/>
        <v>detailed</v>
      </c>
      <c r="M336" s="117" t="str">
        <f t="shared" si="58"/>
        <v>detailed Mining</v>
      </c>
      <c r="N336" s="179">
        <v>1049</v>
      </c>
      <c r="O336" s="179"/>
      <c r="P336" s="179"/>
      <c r="Q336" s="179"/>
      <c r="R336" s="179"/>
      <c r="S336" s="117" t="s">
        <v>610</v>
      </c>
      <c r="T336" s="119"/>
      <c r="U336" s="117"/>
      <c r="V336" s="117" t="s">
        <v>684</v>
      </c>
      <c r="W336" s="89"/>
      <c r="X336" s="117"/>
      <c r="Y336" s="117"/>
      <c r="Z336" s="117"/>
      <c r="AA336" s="177"/>
      <c r="AB336" s="177"/>
      <c r="AC336" s="122"/>
      <c r="AD336" s="122"/>
      <c r="AE336" s="122"/>
      <c r="AF336" s="123"/>
      <c r="AG336" s="117"/>
      <c r="AH336" s="124"/>
      <c r="AI336" s="117"/>
      <c r="AJ336" s="117"/>
      <c r="AK336" s="89"/>
      <c r="AL336" s="117"/>
      <c r="AM336" s="117"/>
      <c r="AN336" s="117"/>
      <c r="AO336" s="117"/>
      <c r="AP336" s="117"/>
      <c r="AQ336" s="117"/>
      <c r="AR336" s="126"/>
      <c r="AS336" s="117"/>
      <c r="AT336" s="117"/>
      <c r="AU336" s="117"/>
      <c r="AV336" s="128"/>
      <c r="AW336" s="117">
        <f>VLOOKUP($D336,'WB Data'!$C$3:$M$578,2,FALSE)</f>
        <v>19206015304.782166</v>
      </c>
      <c r="AX336" s="117">
        <f>VLOOKUP($D336,'WB Data'!$C$3:$M$578,3,FALSE)</f>
        <v>58819038</v>
      </c>
      <c r="AY336" s="847">
        <f t="shared" si="61"/>
        <v>2.6872697533178613E-2</v>
      </c>
      <c r="AZ336" s="117">
        <f>VLOOKUP($D336,'WB Data'!$C$3:$M$578,4,FALSE)/100</f>
        <v>0.11838614678185727</v>
      </c>
      <c r="BA336" s="117">
        <f t="shared" si="62"/>
        <v>2273726146.9665384</v>
      </c>
      <c r="BB336" s="129">
        <f>IFERROR(VLOOKUP($D336,'EITI Revenues'!$C$2:$G$224,5,FALSE),"..")</f>
        <v>516117440.10301042</v>
      </c>
      <c r="BC336" s="846">
        <f t="shared" si="63"/>
        <v>0.22699190964205679</v>
      </c>
      <c r="BD336" s="129" t="e">
        <f>VLOOKUP($D336,'WB Data 2'!$C$2:$K$545,6,FALSE)</f>
        <v>#N/A</v>
      </c>
      <c r="BE336" s="129">
        <f>IFERROR(VLOOKUP($D336,UNCTAD!$C$5:$V$529,4,FALSE),"..")</f>
        <v>7572889547.6400003</v>
      </c>
      <c r="BF336" s="846" t="str">
        <f t="shared" si="64"/>
        <v>..</v>
      </c>
      <c r="BG336" s="117">
        <f>VLOOKUP($D336,'WB Data'!$C$3:$M$578,5,FALSE)</f>
        <v>1765970000</v>
      </c>
      <c r="BH336" s="129">
        <f>IFERROR($BB336/$BG336,"..")</f>
        <v>0.29225719582043319</v>
      </c>
      <c r="BI336" s="117" t="str">
        <f>IFERROR(VLOOKUP($D336,'WB Data'!$C$3:$M$578,7,FALSE)/100,"..")</f>
        <v>..</v>
      </c>
      <c r="BJ336" s="117" t="str">
        <f>IFERROR($BI336*$AW336,"..")</f>
        <v>..</v>
      </c>
      <c r="BK336" s="846" t="str">
        <f>IFERROR($BB336/$BJ336,"..")</f>
        <v>..</v>
      </c>
      <c r="BL336" s="117" t="str">
        <f>IFERROR(VLOOKUP($D336,'WB Data'!$C$3:$M$578,7,FALSE)/100,"..")</f>
        <v>..</v>
      </c>
      <c r="BM336" s="117" t="str">
        <f>IFERROR($AW336*$BL336,"..")</f>
        <v>..</v>
      </c>
      <c r="BN336" s="846" t="str">
        <f>IFERROR($BB336/$BM336,"..")</f>
        <v>..</v>
      </c>
      <c r="BO336" s="801" t="str">
        <f t="shared" si="60"/>
        <v>..</v>
      </c>
      <c r="BP336" s="117" t="str">
        <f>VLOOKUP($D336,'WB Data'!$C$3:$M$578,9,FALSE)</f>
        <v>..</v>
      </c>
      <c r="BQ336" s="117">
        <f>VLOOKUP($D336,'WB Data'!$C$3:$M$578,10,FALSE)</f>
        <v>48.439585365853667</v>
      </c>
      <c r="BR336" s="117">
        <f>VLOOKUP($D336,'WB Data'!$C$3:$M$578,11,FALSE)</f>
        <v>97.1</v>
      </c>
      <c r="BS336" s="129" t="str">
        <f>IFERROR(VLOOKUP($D336,'WB Data 2'!$C$2:$K$545,9,FALSE),"..")</f>
        <v>..</v>
      </c>
      <c r="BT336" s="129" t="str">
        <f>_xlfn.IFNA(VLOOKUP($C336,RGI!$A$2:$C$43,2,FALSE),"..")</f>
        <v>..</v>
      </c>
      <c r="BU336" s="129" t="str">
        <f>_xlfn.IFNA(VLOOKUP($C336,RGI!$A$2:$C$43,3,FALSE),"..")</f>
        <v>..</v>
      </c>
      <c r="BV336" s="129">
        <f>VLOOKUP($D336,WGI!$C$2:$O$478,7,FALSE)</f>
        <v>-1.4471400969582999</v>
      </c>
      <c r="BW336" s="129">
        <f>VLOOKUP($D336,WGI!$C$2:$O$478,4,FALSE)</f>
        <v>-2.0280985228008102</v>
      </c>
      <c r="BX336" s="129">
        <f>VLOOKUP($D336,WGI!$C$2:$O$478,3,FALSE)</f>
        <v>-1.67277466539245</v>
      </c>
      <c r="BY336" s="129">
        <f>VLOOKUP($D336,WGI!$C$2:$O$478,5,FALSE)</f>
        <v>-1.2968034402976401</v>
      </c>
      <c r="BZ336" s="129">
        <f>VLOOKUP($D336,WGI!$C$2:$O$478,2,FALSE)</f>
        <v>-1.16688121811319</v>
      </c>
      <c r="CB336" s="129"/>
    </row>
    <row r="337" spans="1:80" s="120" customFormat="1" ht="15" customHeight="1">
      <c r="A337" s="294" t="s">
        <v>174</v>
      </c>
      <c r="B337" s="117">
        <v>2008</v>
      </c>
      <c r="C337" s="132" t="s">
        <v>171</v>
      </c>
      <c r="D337" s="117" t="s">
        <v>3590</v>
      </c>
      <c r="E337" s="117" t="s">
        <v>86</v>
      </c>
      <c r="F337" s="117"/>
      <c r="G337" s="117" t="s">
        <v>24</v>
      </c>
      <c r="H337" s="117" t="str">
        <f t="shared" si="55"/>
        <v>yes</v>
      </c>
      <c r="I337" s="117" t="str">
        <f t="shared" si="56"/>
        <v>no</v>
      </c>
      <c r="J337" s="117" t="str">
        <f t="shared" si="57"/>
        <v>no</v>
      </c>
      <c r="K337" s="176" t="s">
        <v>1065</v>
      </c>
      <c r="L337" s="117" t="str">
        <f t="shared" si="59"/>
        <v>detailed</v>
      </c>
      <c r="M337" s="117" t="str">
        <f t="shared" si="58"/>
        <v>detailed Mining</v>
      </c>
      <c r="N337" s="179"/>
      <c r="O337" s="179"/>
      <c r="P337" s="179"/>
      <c r="Q337" s="179"/>
      <c r="R337" s="179"/>
      <c r="S337" s="117"/>
      <c r="T337" s="119"/>
      <c r="U337" s="117"/>
      <c r="V337" s="117"/>
      <c r="W337" s="89"/>
      <c r="X337" s="117"/>
      <c r="Y337" s="117"/>
      <c r="Z337" s="117"/>
      <c r="AA337" s="177"/>
      <c r="AB337" s="177"/>
      <c r="AC337" s="122"/>
      <c r="AD337" s="122"/>
      <c r="AE337" s="122"/>
      <c r="AF337" s="123"/>
      <c r="AG337" s="117"/>
      <c r="AH337" s="124"/>
      <c r="AI337" s="117"/>
      <c r="AJ337" s="117"/>
      <c r="AK337" s="89"/>
      <c r="AL337" s="117"/>
      <c r="AM337" s="117"/>
      <c r="AN337" s="117"/>
      <c r="AO337" s="117"/>
      <c r="AP337" s="117"/>
      <c r="AQ337" s="117"/>
      <c r="AR337" s="126"/>
      <c r="AS337" s="117"/>
      <c r="AT337" s="117"/>
      <c r="AU337" s="117"/>
      <c r="AV337" s="128"/>
      <c r="AW337" s="117">
        <f>VLOOKUP($D337,'WB Data'!$C$3:$M$578,2,FALSE)</f>
        <v>19206015304.782166</v>
      </c>
      <c r="AX337" s="117">
        <f>VLOOKUP($D337,'WB Data'!$C$3:$M$578,3,FALSE)</f>
        <v>58819038</v>
      </c>
      <c r="AY337" s="847">
        <f t="shared" si="61"/>
        <v>2.6872697533178613E-2</v>
      </c>
      <c r="AZ337" s="117">
        <f>VLOOKUP($D337,'WB Data'!$C$3:$M$578,4,FALSE)/100</f>
        <v>0.11838614678185727</v>
      </c>
      <c r="BA337" s="117">
        <f t="shared" si="62"/>
        <v>2273726146.9665384</v>
      </c>
      <c r="BB337" s="129">
        <f>IFERROR(VLOOKUP($D337,'EITI Revenues'!$C$2:$G$224,5,FALSE),"..")</f>
        <v>516117440.10301042</v>
      </c>
      <c r="BC337" s="846">
        <f t="shared" si="63"/>
        <v>0.22699190964205679</v>
      </c>
      <c r="BD337" s="129" t="e">
        <f>VLOOKUP($D337,'WB Data 2'!$C$2:$K$545,6,FALSE)</f>
        <v>#N/A</v>
      </c>
      <c r="BE337" s="129">
        <f>IFERROR(VLOOKUP($D337,UNCTAD!$C$5:$V$529,4,FALSE),"..")</f>
        <v>7572889547.6400003</v>
      </c>
      <c r="BF337" s="846" t="str">
        <f t="shared" si="64"/>
        <v>..</v>
      </c>
      <c r="BG337" s="117">
        <f>VLOOKUP($D337,'WB Data'!$C$3:$M$578,5,FALSE)</f>
        <v>1765970000</v>
      </c>
      <c r="BH337" s="129">
        <f>IFERROR($BB337/$BG337,"..")</f>
        <v>0.29225719582043319</v>
      </c>
      <c r="BI337" s="117" t="str">
        <f>IFERROR(VLOOKUP($D337,'WB Data'!$C$3:$M$578,7,FALSE)/100,"..")</f>
        <v>..</v>
      </c>
      <c r="BJ337" s="117" t="str">
        <f>IFERROR($BI337*$AW337,"..")</f>
        <v>..</v>
      </c>
      <c r="BK337" s="846" t="str">
        <f>IFERROR($BB337/$BJ337,"..")</f>
        <v>..</v>
      </c>
      <c r="BL337" s="117" t="str">
        <f>IFERROR(VLOOKUP($D337,'WB Data'!$C$3:$M$578,7,FALSE)/100,"..")</f>
        <v>..</v>
      </c>
      <c r="BM337" s="117" t="str">
        <f>IFERROR($AW337*$BL337,"..")</f>
        <v>..</v>
      </c>
      <c r="BN337" s="846" t="str">
        <f>IFERROR($BB337/$BM337,"..")</f>
        <v>..</v>
      </c>
      <c r="BO337" s="801" t="str">
        <f t="shared" si="60"/>
        <v>..</v>
      </c>
      <c r="BP337" s="117" t="str">
        <f>VLOOKUP($D337,'WB Data'!$C$3:$M$578,9,FALSE)</f>
        <v>..</v>
      </c>
      <c r="BQ337" s="117">
        <f>VLOOKUP($D337,'WB Data'!$C$3:$M$578,10,FALSE)</f>
        <v>48.439585365853667</v>
      </c>
      <c r="BR337" s="117">
        <f>VLOOKUP($D337,'WB Data'!$C$3:$M$578,11,FALSE)</f>
        <v>97.1</v>
      </c>
      <c r="BS337" s="129" t="str">
        <f>IFERROR(VLOOKUP($D337,'WB Data 2'!$C$2:$K$545,9,FALSE),"..")</f>
        <v>..</v>
      </c>
      <c r="BT337" s="129" t="str">
        <f>_xlfn.IFNA(VLOOKUP($C337,RGI!$A$2:$C$43,2,FALSE),"..")</f>
        <v>..</v>
      </c>
      <c r="BU337" s="129" t="str">
        <f>_xlfn.IFNA(VLOOKUP($C337,RGI!$A$2:$C$43,3,FALSE),"..")</f>
        <v>..</v>
      </c>
      <c r="BV337" s="129">
        <f>VLOOKUP($D337,WGI!$C$2:$O$478,7,FALSE)</f>
        <v>-1.4471400969582999</v>
      </c>
      <c r="BW337" s="129">
        <f>VLOOKUP($D337,WGI!$C$2:$O$478,4,FALSE)</f>
        <v>-2.0280985228008102</v>
      </c>
      <c r="BX337" s="129">
        <f>VLOOKUP($D337,WGI!$C$2:$O$478,3,FALSE)</f>
        <v>-1.67277466539245</v>
      </c>
      <c r="BY337" s="129">
        <f>VLOOKUP($D337,WGI!$C$2:$O$478,5,FALSE)</f>
        <v>-1.2968034402976401</v>
      </c>
      <c r="BZ337" s="129">
        <f>VLOOKUP($D337,WGI!$C$2:$O$478,2,FALSE)</f>
        <v>-1.16688121811319</v>
      </c>
      <c r="CB337" s="129"/>
    </row>
    <row r="338" spans="1:80" s="120" customFormat="1" ht="15" customHeight="1">
      <c r="A338" s="294" t="s">
        <v>174</v>
      </c>
      <c r="B338" s="117">
        <v>2008</v>
      </c>
      <c r="C338" s="132" t="s">
        <v>171</v>
      </c>
      <c r="D338" s="117" t="s">
        <v>3590</v>
      </c>
      <c r="E338" s="117" t="s">
        <v>86</v>
      </c>
      <c r="F338" s="117"/>
      <c r="G338" s="117" t="s">
        <v>24</v>
      </c>
      <c r="H338" s="117" t="str">
        <f t="shared" si="55"/>
        <v>yes</v>
      </c>
      <c r="I338" s="117" t="str">
        <f t="shared" si="56"/>
        <v>no</v>
      </c>
      <c r="J338" s="117" t="str">
        <f t="shared" si="57"/>
        <v>no</v>
      </c>
      <c r="K338" s="176" t="s">
        <v>1066</v>
      </c>
      <c r="L338" s="117" t="str">
        <f t="shared" si="59"/>
        <v>detailed</v>
      </c>
      <c r="M338" s="117" t="str">
        <f t="shared" si="58"/>
        <v>detailed Mining</v>
      </c>
      <c r="N338" s="179">
        <v>527</v>
      </c>
      <c r="O338" s="179"/>
      <c r="P338" s="179"/>
      <c r="Q338" s="179"/>
      <c r="R338" s="179"/>
      <c r="S338" s="117" t="s">
        <v>610</v>
      </c>
      <c r="T338" s="119"/>
      <c r="U338" s="117"/>
      <c r="V338" s="117" t="s">
        <v>684</v>
      </c>
      <c r="W338" s="89"/>
      <c r="X338" s="117"/>
      <c r="Y338" s="117"/>
      <c r="Z338" s="117"/>
      <c r="AA338" s="177"/>
      <c r="AB338" s="177"/>
      <c r="AC338" s="122"/>
      <c r="AD338" s="122"/>
      <c r="AE338" s="122"/>
      <c r="AF338" s="123"/>
      <c r="AG338" s="117"/>
      <c r="AH338" s="124"/>
      <c r="AI338" s="117"/>
      <c r="AJ338" s="117"/>
      <c r="AK338" s="89"/>
      <c r="AL338" s="117"/>
      <c r="AM338" s="117"/>
      <c r="AN338" s="117"/>
      <c r="AO338" s="117"/>
      <c r="AP338" s="117"/>
      <c r="AQ338" s="117"/>
      <c r="AR338" s="126"/>
      <c r="AS338" s="117"/>
      <c r="AT338" s="117"/>
      <c r="AU338" s="117"/>
      <c r="AV338" s="128"/>
      <c r="AW338" s="117">
        <f>VLOOKUP($D338,'WB Data'!$C$3:$M$578,2,FALSE)</f>
        <v>19206015304.782166</v>
      </c>
      <c r="AX338" s="117">
        <f>VLOOKUP($D338,'WB Data'!$C$3:$M$578,3,FALSE)</f>
        <v>58819038</v>
      </c>
      <c r="AY338" s="847">
        <f t="shared" si="61"/>
        <v>2.6872697533178613E-2</v>
      </c>
      <c r="AZ338" s="117">
        <f>VLOOKUP($D338,'WB Data'!$C$3:$M$578,4,FALSE)/100</f>
        <v>0.11838614678185727</v>
      </c>
      <c r="BA338" s="117">
        <f t="shared" si="62"/>
        <v>2273726146.9665384</v>
      </c>
      <c r="BB338" s="129">
        <f>IFERROR(VLOOKUP($D338,'EITI Revenues'!$C$2:$G$224,5,FALSE),"..")</f>
        <v>516117440.10301042</v>
      </c>
      <c r="BC338" s="846">
        <f t="shared" si="63"/>
        <v>0.22699190964205679</v>
      </c>
      <c r="BD338" s="129" t="e">
        <f>VLOOKUP($D338,'WB Data 2'!$C$2:$K$545,6,FALSE)</f>
        <v>#N/A</v>
      </c>
      <c r="BE338" s="129">
        <f>IFERROR(VLOOKUP($D338,UNCTAD!$C$5:$V$529,4,FALSE),"..")</f>
        <v>7572889547.6400003</v>
      </c>
      <c r="BF338" s="846" t="str">
        <f t="shared" si="64"/>
        <v>..</v>
      </c>
      <c r="BG338" s="117">
        <f>VLOOKUP($D338,'WB Data'!$C$3:$M$578,5,FALSE)</f>
        <v>1765970000</v>
      </c>
      <c r="BH338" s="129">
        <f>IFERROR($BB338/$BG338,"..")</f>
        <v>0.29225719582043319</v>
      </c>
      <c r="BI338" s="117" t="str">
        <f>IFERROR(VLOOKUP($D338,'WB Data'!$C$3:$M$578,7,FALSE)/100,"..")</f>
        <v>..</v>
      </c>
      <c r="BJ338" s="117" t="str">
        <f>IFERROR($BI338*$AW338,"..")</f>
        <v>..</v>
      </c>
      <c r="BK338" s="846" t="str">
        <f>IFERROR($BB338/$BJ338,"..")</f>
        <v>..</v>
      </c>
      <c r="BL338" s="117" t="str">
        <f>IFERROR(VLOOKUP($D338,'WB Data'!$C$3:$M$578,7,FALSE)/100,"..")</f>
        <v>..</v>
      </c>
      <c r="BM338" s="117" t="str">
        <f>IFERROR($AW338*$BL338,"..")</f>
        <v>..</v>
      </c>
      <c r="BN338" s="846" t="str">
        <f>IFERROR($BB338/$BM338,"..")</f>
        <v>..</v>
      </c>
      <c r="BO338" s="801" t="str">
        <f t="shared" si="60"/>
        <v>..</v>
      </c>
      <c r="BP338" s="117" t="str">
        <f>VLOOKUP($D338,'WB Data'!$C$3:$M$578,9,FALSE)</f>
        <v>..</v>
      </c>
      <c r="BQ338" s="117">
        <f>VLOOKUP($D338,'WB Data'!$C$3:$M$578,10,FALSE)</f>
        <v>48.439585365853667</v>
      </c>
      <c r="BR338" s="117">
        <f>VLOOKUP($D338,'WB Data'!$C$3:$M$578,11,FALSE)</f>
        <v>97.1</v>
      </c>
      <c r="BS338" s="129" t="str">
        <f>IFERROR(VLOOKUP($D338,'WB Data 2'!$C$2:$K$545,9,FALSE),"..")</f>
        <v>..</v>
      </c>
      <c r="BT338" s="129" t="str">
        <f>_xlfn.IFNA(VLOOKUP($C338,RGI!$A$2:$C$43,2,FALSE),"..")</f>
        <v>..</v>
      </c>
      <c r="BU338" s="129" t="str">
        <f>_xlfn.IFNA(VLOOKUP($C338,RGI!$A$2:$C$43,3,FALSE),"..")</f>
        <v>..</v>
      </c>
      <c r="BV338" s="129">
        <f>VLOOKUP($D338,WGI!$C$2:$O$478,7,FALSE)</f>
        <v>-1.4471400969582999</v>
      </c>
      <c r="BW338" s="129">
        <f>VLOOKUP($D338,WGI!$C$2:$O$478,4,FALSE)</f>
        <v>-2.0280985228008102</v>
      </c>
      <c r="BX338" s="129">
        <f>VLOOKUP($D338,WGI!$C$2:$O$478,3,FALSE)</f>
        <v>-1.67277466539245</v>
      </c>
      <c r="BY338" s="129">
        <f>VLOOKUP($D338,WGI!$C$2:$O$478,5,FALSE)</f>
        <v>-1.2968034402976401</v>
      </c>
      <c r="BZ338" s="129">
        <f>VLOOKUP($D338,WGI!$C$2:$O$478,2,FALSE)</f>
        <v>-1.16688121811319</v>
      </c>
      <c r="CB338" s="129"/>
    </row>
    <row r="339" spans="1:80" s="120" customFormat="1" ht="15" customHeight="1">
      <c r="A339" s="294" t="s">
        <v>174</v>
      </c>
      <c r="B339" s="117">
        <v>2008</v>
      </c>
      <c r="C339" s="132" t="s">
        <v>171</v>
      </c>
      <c r="D339" s="117" t="s">
        <v>3590</v>
      </c>
      <c r="E339" s="117" t="s">
        <v>86</v>
      </c>
      <c r="F339" s="117"/>
      <c r="G339" s="117" t="s">
        <v>24</v>
      </c>
      <c r="H339" s="117" t="str">
        <f t="shared" si="55"/>
        <v>yes</v>
      </c>
      <c r="I339" s="117" t="str">
        <f t="shared" si="56"/>
        <v>no</v>
      </c>
      <c r="J339" s="117" t="str">
        <f t="shared" si="57"/>
        <v>no</v>
      </c>
      <c r="K339" s="176" t="s">
        <v>1067</v>
      </c>
      <c r="L339" s="117" t="str">
        <f t="shared" si="59"/>
        <v>detailed</v>
      </c>
      <c r="M339" s="117" t="str">
        <f t="shared" si="58"/>
        <v>detailed Mining</v>
      </c>
      <c r="N339" s="179">
        <v>120</v>
      </c>
      <c r="O339" s="179"/>
      <c r="P339" s="179"/>
      <c r="Q339" s="179"/>
      <c r="R339" s="179"/>
      <c r="S339" s="117" t="s">
        <v>610</v>
      </c>
      <c r="T339" s="119">
        <v>34398</v>
      </c>
      <c r="U339" s="117" t="s">
        <v>611</v>
      </c>
      <c r="V339" s="117" t="s">
        <v>1091</v>
      </c>
      <c r="W339" s="89">
        <f>N339*T339</f>
        <v>4127760</v>
      </c>
      <c r="X339" s="117"/>
      <c r="Y339" s="117"/>
      <c r="Z339" s="117"/>
      <c r="AA339" s="177"/>
      <c r="AB339" s="177"/>
      <c r="AC339" s="122"/>
      <c r="AD339" s="122"/>
      <c r="AE339" s="122"/>
      <c r="AF339" s="123"/>
      <c r="AG339" s="117"/>
      <c r="AH339" s="124"/>
      <c r="AI339" s="117"/>
      <c r="AJ339" s="117"/>
      <c r="AK339" s="89"/>
      <c r="AL339" s="117"/>
      <c r="AM339" s="117"/>
      <c r="AN339" s="117"/>
      <c r="AO339" s="117"/>
      <c r="AP339" s="117"/>
      <c r="AQ339" s="117"/>
      <c r="AR339" s="126"/>
      <c r="AS339" s="117"/>
      <c r="AT339" s="117"/>
      <c r="AU339" s="117"/>
      <c r="AV339" s="128"/>
      <c r="AW339" s="117">
        <f>VLOOKUP($D339,'WB Data'!$C$3:$M$578,2,FALSE)</f>
        <v>19206015304.782166</v>
      </c>
      <c r="AX339" s="117">
        <f>VLOOKUP($D339,'WB Data'!$C$3:$M$578,3,FALSE)</f>
        <v>58819038</v>
      </c>
      <c r="AY339" s="847">
        <f t="shared" si="61"/>
        <v>2.6872697533178613E-2</v>
      </c>
      <c r="AZ339" s="117">
        <f>VLOOKUP($D339,'WB Data'!$C$3:$M$578,4,FALSE)/100</f>
        <v>0.11838614678185727</v>
      </c>
      <c r="BA339" s="117">
        <f t="shared" si="62"/>
        <v>2273726146.9665384</v>
      </c>
      <c r="BB339" s="129">
        <f>IFERROR(VLOOKUP($D339,'EITI Revenues'!$C$2:$G$224,5,FALSE),"..")</f>
        <v>516117440.10301042</v>
      </c>
      <c r="BC339" s="846">
        <f t="shared" si="63"/>
        <v>0.22699190964205679</v>
      </c>
      <c r="BD339" s="129" t="e">
        <f>VLOOKUP($D339,'WB Data 2'!$C$2:$K$545,6,FALSE)</f>
        <v>#N/A</v>
      </c>
      <c r="BE339" s="129">
        <f>IFERROR(VLOOKUP($D339,UNCTAD!$C$5:$V$529,4,FALSE),"..")</f>
        <v>7572889547.6400003</v>
      </c>
      <c r="BF339" s="846" t="str">
        <f t="shared" si="64"/>
        <v>..</v>
      </c>
      <c r="BG339" s="117">
        <f>VLOOKUP($D339,'WB Data'!$C$3:$M$578,5,FALSE)</f>
        <v>1765970000</v>
      </c>
      <c r="BH339" s="129">
        <f>IFERROR($BB339/$BG339,"..")</f>
        <v>0.29225719582043319</v>
      </c>
      <c r="BI339" s="117" t="str">
        <f>IFERROR(VLOOKUP($D339,'WB Data'!$C$3:$M$578,7,FALSE)/100,"..")</f>
        <v>..</v>
      </c>
      <c r="BJ339" s="117" t="str">
        <f>IFERROR($BI339*$AW339,"..")</f>
        <v>..</v>
      </c>
      <c r="BK339" s="846" t="str">
        <f>IFERROR($BB339/$BJ339,"..")</f>
        <v>..</v>
      </c>
      <c r="BL339" s="117" t="str">
        <f>IFERROR(VLOOKUP($D339,'WB Data'!$C$3:$M$578,7,FALSE)/100,"..")</f>
        <v>..</v>
      </c>
      <c r="BM339" s="117" t="str">
        <f>IFERROR($AW339*$BL339,"..")</f>
        <v>..</v>
      </c>
      <c r="BN339" s="846" t="str">
        <f>IFERROR($BB339/$BM339,"..")</f>
        <v>..</v>
      </c>
      <c r="BO339" s="801" t="str">
        <f t="shared" si="60"/>
        <v>..</v>
      </c>
      <c r="BP339" s="117" t="str">
        <f>VLOOKUP($D339,'WB Data'!$C$3:$M$578,9,FALSE)</f>
        <v>..</v>
      </c>
      <c r="BQ339" s="117">
        <f>VLOOKUP($D339,'WB Data'!$C$3:$M$578,10,FALSE)</f>
        <v>48.439585365853667</v>
      </c>
      <c r="BR339" s="117">
        <f>VLOOKUP($D339,'WB Data'!$C$3:$M$578,11,FALSE)</f>
        <v>97.1</v>
      </c>
      <c r="BS339" s="129" t="str">
        <f>IFERROR(VLOOKUP($D339,'WB Data 2'!$C$2:$K$545,9,FALSE),"..")</f>
        <v>..</v>
      </c>
      <c r="BT339" s="129" t="str">
        <f>_xlfn.IFNA(VLOOKUP($C339,RGI!$A$2:$C$43,2,FALSE),"..")</f>
        <v>..</v>
      </c>
      <c r="BU339" s="129" t="str">
        <f>_xlfn.IFNA(VLOOKUP($C339,RGI!$A$2:$C$43,3,FALSE),"..")</f>
        <v>..</v>
      </c>
      <c r="BV339" s="129">
        <f>VLOOKUP($D339,WGI!$C$2:$O$478,7,FALSE)</f>
        <v>-1.4471400969582999</v>
      </c>
      <c r="BW339" s="129">
        <f>VLOOKUP($D339,WGI!$C$2:$O$478,4,FALSE)</f>
        <v>-2.0280985228008102</v>
      </c>
      <c r="BX339" s="129">
        <f>VLOOKUP($D339,WGI!$C$2:$O$478,3,FALSE)</f>
        <v>-1.67277466539245</v>
      </c>
      <c r="BY339" s="129">
        <f>VLOOKUP($D339,WGI!$C$2:$O$478,5,FALSE)</f>
        <v>-1.2968034402976401</v>
      </c>
      <c r="BZ339" s="129">
        <f>VLOOKUP($D339,WGI!$C$2:$O$478,2,FALSE)</f>
        <v>-1.16688121811319</v>
      </c>
      <c r="CB339" s="129"/>
    </row>
    <row r="340" spans="1:80" s="120" customFormat="1" ht="15" customHeight="1">
      <c r="A340" s="294" t="s">
        <v>174</v>
      </c>
      <c r="B340" s="117">
        <v>2008</v>
      </c>
      <c r="C340" s="132" t="s">
        <v>171</v>
      </c>
      <c r="D340" s="117" t="s">
        <v>3590</v>
      </c>
      <c r="E340" s="117" t="s">
        <v>86</v>
      </c>
      <c r="F340" s="117"/>
      <c r="G340" s="117" t="s">
        <v>24</v>
      </c>
      <c r="H340" s="117" t="str">
        <f t="shared" si="55"/>
        <v>yes</v>
      </c>
      <c r="I340" s="117" t="str">
        <f t="shared" si="56"/>
        <v>no</v>
      </c>
      <c r="J340" s="117" t="str">
        <f t="shared" si="57"/>
        <v>no</v>
      </c>
      <c r="K340" s="176" t="s">
        <v>1069</v>
      </c>
      <c r="L340" s="117" t="str">
        <f t="shared" si="59"/>
        <v>detailed</v>
      </c>
      <c r="M340" s="117" t="str">
        <f t="shared" si="58"/>
        <v>detailed Mining</v>
      </c>
      <c r="N340" s="179">
        <v>140</v>
      </c>
      <c r="O340" s="179"/>
      <c r="P340" s="179"/>
      <c r="Q340" s="179"/>
      <c r="R340" s="179"/>
      <c r="S340" s="117" t="s">
        <v>610</v>
      </c>
      <c r="T340" s="119">
        <f>44/0.000453592</f>
        <v>97003.474488086213</v>
      </c>
      <c r="U340" s="117" t="s">
        <v>611</v>
      </c>
      <c r="V340" s="117" t="s">
        <v>1092</v>
      </c>
      <c r="W340" s="89">
        <f>N340*T340</f>
        <v>13580486.42833207</v>
      </c>
      <c r="X340" s="117"/>
      <c r="Y340" s="117"/>
      <c r="Z340" s="117"/>
      <c r="AA340" s="177"/>
      <c r="AB340" s="177"/>
      <c r="AC340" s="122"/>
      <c r="AD340" s="122"/>
      <c r="AE340" s="122"/>
      <c r="AF340" s="123"/>
      <c r="AG340" s="117"/>
      <c r="AH340" s="124"/>
      <c r="AI340" s="117"/>
      <c r="AJ340" s="117"/>
      <c r="AK340" s="89"/>
      <c r="AL340" s="117"/>
      <c r="AM340" s="117"/>
      <c r="AN340" s="117"/>
      <c r="AO340" s="117"/>
      <c r="AP340" s="117"/>
      <c r="AQ340" s="117"/>
      <c r="AR340" s="126"/>
      <c r="AS340" s="117"/>
      <c r="AT340" s="117"/>
      <c r="AU340" s="117"/>
      <c r="AV340" s="128"/>
      <c r="AW340" s="117">
        <f>VLOOKUP($D340,'WB Data'!$C$3:$M$578,2,FALSE)</f>
        <v>19206015304.782166</v>
      </c>
      <c r="AX340" s="117">
        <f>VLOOKUP($D340,'WB Data'!$C$3:$M$578,3,FALSE)</f>
        <v>58819038</v>
      </c>
      <c r="AY340" s="847">
        <f t="shared" si="61"/>
        <v>2.6872697533178613E-2</v>
      </c>
      <c r="AZ340" s="117">
        <f>VLOOKUP($D340,'WB Data'!$C$3:$M$578,4,FALSE)/100</f>
        <v>0.11838614678185727</v>
      </c>
      <c r="BA340" s="117">
        <f t="shared" si="62"/>
        <v>2273726146.9665384</v>
      </c>
      <c r="BB340" s="129">
        <f>IFERROR(VLOOKUP($D340,'EITI Revenues'!$C$2:$G$224,5,FALSE),"..")</f>
        <v>516117440.10301042</v>
      </c>
      <c r="BC340" s="846">
        <f t="shared" si="63"/>
        <v>0.22699190964205679</v>
      </c>
      <c r="BD340" s="129" t="e">
        <f>VLOOKUP($D340,'WB Data 2'!$C$2:$K$545,6,FALSE)</f>
        <v>#N/A</v>
      </c>
      <c r="BE340" s="129">
        <f>IFERROR(VLOOKUP($D340,UNCTAD!$C$5:$V$529,4,FALSE),"..")</f>
        <v>7572889547.6400003</v>
      </c>
      <c r="BF340" s="846" t="str">
        <f t="shared" si="64"/>
        <v>..</v>
      </c>
      <c r="BG340" s="117">
        <f>VLOOKUP($D340,'WB Data'!$C$3:$M$578,5,FALSE)</f>
        <v>1765970000</v>
      </c>
      <c r="BH340" s="129">
        <f>IFERROR($BB340/$BG340,"..")</f>
        <v>0.29225719582043319</v>
      </c>
      <c r="BI340" s="117" t="str">
        <f>IFERROR(VLOOKUP($D340,'WB Data'!$C$3:$M$578,7,FALSE)/100,"..")</f>
        <v>..</v>
      </c>
      <c r="BJ340" s="117" t="str">
        <f>IFERROR($BI340*$AW340,"..")</f>
        <v>..</v>
      </c>
      <c r="BK340" s="846" t="str">
        <f>IFERROR($BB340/$BJ340,"..")</f>
        <v>..</v>
      </c>
      <c r="BL340" s="117" t="str">
        <f>IFERROR(VLOOKUP($D340,'WB Data'!$C$3:$M$578,7,FALSE)/100,"..")</f>
        <v>..</v>
      </c>
      <c r="BM340" s="117" t="str">
        <f>IFERROR($AW340*$BL340,"..")</f>
        <v>..</v>
      </c>
      <c r="BN340" s="846" t="str">
        <f>IFERROR($BB340/$BM340,"..")</f>
        <v>..</v>
      </c>
      <c r="BO340" s="801" t="str">
        <f t="shared" si="60"/>
        <v>..</v>
      </c>
      <c r="BP340" s="117" t="str">
        <f>VLOOKUP($D340,'WB Data'!$C$3:$M$578,9,FALSE)</f>
        <v>..</v>
      </c>
      <c r="BQ340" s="117">
        <f>VLOOKUP($D340,'WB Data'!$C$3:$M$578,10,FALSE)</f>
        <v>48.439585365853667</v>
      </c>
      <c r="BR340" s="117">
        <f>VLOOKUP($D340,'WB Data'!$C$3:$M$578,11,FALSE)</f>
        <v>97.1</v>
      </c>
      <c r="BS340" s="129" t="str">
        <f>IFERROR(VLOOKUP($D340,'WB Data 2'!$C$2:$K$545,9,FALSE),"..")</f>
        <v>..</v>
      </c>
      <c r="BT340" s="129" t="str">
        <f>_xlfn.IFNA(VLOOKUP($C340,RGI!$A$2:$C$43,2,FALSE),"..")</f>
        <v>..</v>
      </c>
      <c r="BU340" s="129" t="str">
        <f>_xlfn.IFNA(VLOOKUP($C340,RGI!$A$2:$C$43,3,FALSE),"..")</f>
        <v>..</v>
      </c>
      <c r="BV340" s="129">
        <f>VLOOKUP($D340,WGI!$C$2:$O$478,7,FALSE)</f>
        <v>-1.4471400969582999</v>
      </c>
      <c r="BW340" s="129">
        <f>VLOOKUP($D340,WGI!$C$2:$O$478,4,FALSE)</f>
        <v>-2.0280985228008102</v>
      </c>
      <c r="BX340" s="129">
        <f>VLOOKUP($D340,WGI!$C$2:$O$478,3,FALSE)</f>
        <v>-1.67277466539245</v>
      </c>
      <c r="BY340" s="129">
        <f>VLOOKUP($D340,WGI!$C$2:$O$478,5,FALSE)</f>
        <v>-1.2968034402976401</v>
      </c>
      <c r="BZ340" s="129">
        <f>VLOOKUP($D340,WGI!$C$2:$O$478,2,FALSE)</f>
        <v>-1.16688121811319</v>
      </c>
      <c r="CB340" s="129"/>
    </row>
    <row r="341" spans="1:80" s="120" customFormat="1" ht="15" customHeight="1">
      <c r="A341" s="294" t="s">
        <v>174</v>
      </c>
      <c r="B341" s="117">
        <v>2008</v>
      </c>
      <c r="C341" s="132" t="s">
        <v>171</v>
      </c>
      <c r="D341" s="117" t="s">
        <v>3590</v>
      </c>
      <c r="E341" s="117" t="s">
        <v>86</v>
      </c>
      <c r="F341" s="117"/>
      <c r="G341" s="117" t="s">
        <v>24</v>
      </c>
      <c r="H341" s="117" t="str">
        <f t="shared" si="55"/>
        <v>yes</v>
      </c>
      <c r="I341" s="117" t="str">
        <f t="shared" si="56"/>
        <v>no</v>
      </c>
      <c r="J341" s="117" t="str">
        <f t="shared" si="57"/>
        <v>no</v>
      </c>
      <c r="K341" s="176" t="s">
        <v>619</v>
      </c>
      <c r="L341" s="117" t="str">
        <f t="shared" si="59"/>
        <v>detailed</v>
      </c>
      <c r="M341" s="117" t="str">
        <f t="shared" si="58"/>
        <v>detailed Mining</v>
      </c>
      <c r="N341" s="179"/>
      <c r="O341" s="179"/>
      <c r="P341" s="179"/>
      <c r="Q341" s="179"/>
      <c r="R341" s="179"/>
      <c r="S341" s="117"/>
      <c r="T341" s="180">
        <f>6955.87983333333*1.0289</f>
        <v>7156.9047605166625</v>
      </c>
      <c r="U341" s="117" t="s">
        <v>611</v>
      </c>
      <c r="V341" s="117" t="s">
        <v>1071</v>
      </c>
      <c r="W341" s="89">
        <f>N343*T341</f>
        <v>276485544.70827973</v>
      </c>
      <c r="X341" s="117"/>
      <c r="Y341" s="117"/>
      <c r="Z341" s="117"/>
      <c r="AA341" s="177"/>
      <c r="AB341" s="177"/>
      <c r="AC341" s="122"/>
      <c r="AD341" s="122"/>
      <c r="AE341" s="122"/>
      <c r="AF341" s="123"/>
      <c r="AG341" s="117"/>
      <c r="AH341" s="124"/>
      <c r="AI341" s="117"/>
      <c r="AJ341" s="117"/>
      <c r="AK341" s="89"/>
      <c r="AL341" s="117"/>
      <c r="AM341" s="117"/>
      <c r="AN341" s="117"/>
      <c r="AO341" s="117"/>
      <c r="AP341" s="117"/>
      <c r="AQ341" s="117"/>
      <c r="AR341" s="126"/>
      <c r="AS341" s="117"/>
      <c r="AT341" s="117"/>
      <c r="AU341" s="117"/>
      <c r="AV341" s="128"/>
      <c r="AW341" s="117">
        <f>VLOOKUP($D341,'WB Data'!$C$3:$M$578,2,FALSE)</f>
        <v>19206015304.782166</v>
      </c>
      <c r="AX341" s="117">
        <f>VLOOKUP($D341,'WB Data'!$C$3:$M$578,3,FALSE)</f>
        <v>58819038</v>
      </c>
      <c r="AY341" s="847">
        <f t="shared" si="61"/>
        <v>2.6872697533178613E-2</v>
      </c>
      <c r="AZ341" s="117">
        <f>VLOOKUP($D341,'WB Data'!$C$3:$M$578,4,FALSE)/100</f>
        <v>0.11838614678185727</v>
      </c>
      <c r="BA341" s="117">
        <f t="shared" si="62"/>
        <v>2273726146.9665384</v>
      </c>
      <c r="BB341" s="129">
        <f>IFERROR(VLOOKUP($D341,'EITI Revenues'!$C$2:$G$224,5,FALSE),"..")</f>
        <v>516117440.10301042</v>
      </c>
      <c r="BC341" s="846">
        <f t="shared" si="63"/>
        <v>0.22699190964205679</v>
      </c>
      <c r="BD341" s="129" t="e">
        <f>VLOOKUP($D341,'WB Data 2'!$C$2:$K$545,6,FALSE)</f>
        <v>#N/A</v>
      </c>
      <c r="BE341" s="129">
        <f>IFERROR(VLOOKUP($D341,UNCTAD!$C$5:$V$529,4,FALSE),"..")</f>
        <v>7572889547.6400003</v>
      </c>
      <c r="BF341" s="846" t="str">
        <f t="shared" si="64"/>
        <v>..</v>
      </c>
      <c r="BG341" s="117">
        <f>VLOOKUP($D341,'WB Data'!$C$3:$M$578,5,FALSE)</f>
        <v>1765970000</v>
      </c>
      <c r="BH341" s="129">
        <f>IFERROR($BB341/$BG341,"..")</f>
        <v>0.29225719582043319</v>
      </c>
      <c r="BI341" s="117" t="str">
        <f>IFERROR(VLOOKUP($D341,'WB Data'!$C$3:$M$578,7,FALSE)/100,"..")</f>
        <v>..</v>
      </c>
      <c r="BJ341" s="117" t="str">
        <f>IFERROR($BI341*$AW341,"..")</f>
        <v>..</v>
      </c>
      <c r="BK341" s="846" t="str">
        <f>IFERROR($BB341/$BJ341,"..")</f>
        <v>..</v>
      </c>
      <c r="BL341" s="117" t="str">
        <f>IFERROR(VLOOKUP($D341,'WB Data'!$C$3:$M$578,7,FALSE)/100,"..")</f>
        <v>..</v>
      </c>
      <c r="BM341" s="117" t="str">
        <f>IFERROR($AW341*$BL341,"..")</f>
        <v>..</v>
      </c>
      <c r="BN341" s="846" t="str">
        <f>IFERROR($BB341/$BM341,"..")</f>
        <v>..</v>
      </c>
      <c r="BO341" s="801" t="str">
        <f t="shared" si="60"/>
        <v>..</v>
      </c>
      <c r="BP341" s="117" t="str">
        <f>VLOOKUP($D341,'WB Data'!$C$3:$M$578,9,FALSE)</f>
        <v>..</v>
      </c>
      <c r="BQ341" s="117">
        <f>VLOOKUP($D341,'WB Data'!$C$3:$M$578,10,FALSE)</f>
        <v>48.439585365853667</v>
      </c>
      <c r="BR341" s="117">
        <f>VLOOKUP($D341,'WB Data'!$C$3:$M$578,11,FALSE)</f>
        <v>97.1</v>
      </c>
      <c r="BS341" s="129" t="str">
        <f>IFERROR(VLOOKUP($D341,'WB Data 2'!$C$2:$K$545,9,FALSE),"..")</f>
        <v>..</v>
      </c>
      <c r="BT341" s="129" t="str">
        <f>_xlfn.IFNA(VLOOKUP($C341,RGI!$A$2:$C$43,2,FALSE),"..")</f>
        <v>..</v>
      </c>
      <c r="BU341" s="129" t="str">
        <f>_xlfn.IFNA(VLOOKUP($C341,RGI!$A$2:$C$43,3,FALSE),"..")</f>
        <v>..</v>
      </c>
      <c r="BV341" s="129">
        <f>VLOOKUP($D341,WGI!$C$2:$O$478,7,FALSE)</f>
        <v>-1.4471400969582999</v>
      </c>
      <c r="BW341" s="129">
        <f>VLOOKUP($D341,WGI!$C$2:$O$478,4,FALSE)</f>
        <v>-2.0280985228008102</v>
      </c>
      <c r="BX341" s="129">
        <f>VLOOKUP($D341,WGI!$C$2:$O$478,3,FALSE)</f>
        <v>-1.67277466539245</v>
      </c>
      <c r="BY341" s="129">
        <f>VLOOKUP($D341,WGI!$C$2:$O$478,5,FALSE)</f>
        <v>-1.2968034402976401</v>
      </c>
      <c r="BZ341" s="129">
        <f>VLOOKUP($D341,WGI!$C$2:$O$478,2,FALSE)</f>
        <v>-1.16688121811319</v>
      </c>
      <c r="CB341" s="129"/>
    </row>
    <row r="342" spans="1:80" s="120" customFormat="1" ht="15" customHeight="1">
      <c r="A342" s="294" t="s">
        <v>174</v>
      </c>
      <c r="B342" s="117">
        <v>2008</v>
      </c>
      <c r="C342" s="132" t="s">
        <v>171</v>
      </c>
      <c r="D342" s="117" t="s">
        <v>3590</v>
      </c>
      <c r="E342" s="117" t="s">
        <v>86</v>
      </c>
      <c r="F342" s="117"/>
      <c r="G342" s="117" t="s">
        <v>24</v>
      </c>
      <c r="H342" s="117" t="str">
        <f t="shared" si="55"/>
        <v>yes</v>
      </c>
      <c r="I342" s="117" t="str">
        <f t="shared" si="56"/>
        <v>no</v>
      </c>
      <c r="J342" s="117" t="str">
        <f t="shared" si="57"/>
        <v>no</v>
      </c>
      <c r="K342" s="176" t="s">
        <v>1072</v>
      </c>
      <c r="L342" s="117" t="str">
        <f t="shared" si="59"/>
        <v>detailed</v>
      </c>
      <c r="M342" s="117" t="str">
        <f t="shared" si="58"/>
        <v>detailed Mining</v>
      </c>
      <c r="N342" s="179">
        <v>230000</v>
      </c>
      <c r="O342" s="179"/>
      <c r="P342" s="179"/>
      <c r="Q342" s="179"/>
      <c r="R342" s="179"/>
      <c r="S342" s="117" t="s">
        <v>610</v>
      </c>
      <c r="T342" s="119"/>
      <c r="U342" s="117"/>
      <c r="V342" s="117" t="s">
        <v>684</v>
      </c>
      <c r="W342" s="89"/>
      <c r="X342" s="117"/>
      <c r="Y342" s="117"/>
      <c r="Z342" s="117"/>
      <c r="AA342" s="177"/>
      <c r="AB342" s="177"/>
      <c r="AC342" s="122"/>
      <c r="AD342" s="122"/>
      <c r="AE342" s="122"/>
      <c r="AF342" s="123"/>
      <c r="AG342" s="117"/>
      <c r="AH342" s="124"/>
      <c r="AI342" s="117"/>
      <c r="AJ342" s="117"/>
      <c r="AK342" s="89"/>
      <c r="AL342" s="117"/>
      <c r="AM342" s="117"/>
      <c r="AN342" s="117"/>
      <c r="AO342" s="117"/>
      <c r="AP342" s="117"/>
      <c r="AQ342" s="117"/>
      <c r="AR342" s="126"/>
      <c r="AS342" s="117"/>
      <c r="AT342" s="117"/>
      <c r="AU342" s="117"/>
      <c r="AV342" s="128"/>
      <c r="AW342" s="117">
        <f>VLOOKUP($D342,'WB Data'!$C$3:$M$578,2,FALSE)</f>
        <v>19206015304.782166</v>
      </c>
      <c r="AX342" s="117">
        <f>VLOOKUP($D342,'WB Data'!$C$3:$M$578,3,FALSE)</f>
        <v>58819038</v>
      </c>
      <c r="AY342" s="847">
        <f t="shared" si="61"/>
        <v>2.6872697533178613E-2</v>
      </c>
      <c r="AZ342" s="117">
        <f>VLOOKUP($D342,'WB Data'!$C$3:$M$578,4,FALSE)/100</f>
        <v>0.11838614678185727</v>
      </c>
      <c r="BA342" s="117">
        <f t="shared" si="62"/>
        <v>2273726146.9665384</v>
      </c>
      <c r="BB342" s="129">
        <f>IFERROR(VLOOKUP($D342,'EITI Revenues'!$C$2:$G$224,5,FALSE),"..")</f>
        <v>516117440.10301042</v>
      </c>
      <c r="BC342" s="846">
        <f t="shared" si="63"/>
        <v>0.22699190964205679</v>
      </c>
      <c r="BD342" s="129" t="e">
        <f>VLOOKUP($D342,'WB Data 2'!$C$2:$K$545,6,FALSE)</f>
        <v>#N/A</v>
      </c>
      <c r="BE342" s="129">
        <f>IFERROR(VLOOKUP($D342,UNCTAD!$C$5:$V$529,4,FALSE),"..")</f>
        <v>7572889547.6400003</v>
      </c>
      <c r="BF342" s="846" t="str">
        <f t="shared" si="64"/>
        <v>..</v>
      </c>
      <c r="BG342" s="117">
        <f>VLOOKUP($D342,'WB Data'!$C$3:$M$578,5,FALSE)</f>
        <v>1765970000</v>
      </c>
      <c r="BH342" s="129">
        <f>IFERROR($BB342/$BG342,"..")</f>
        <v>0.29225719582043319</v>
      </c>
      <c r="BI342" s="117" t="str">
        <f>IFERROR(VLOOKUP($D342,'WB Data'!$C$3:$M$578,7,FALSE)/100,"..")</f>
        <v>..</v>
      </c>
      <c r="BJ342" s="117" t="str">
        <f>IFERROR($BI342*$AW342,"..")</f>
        <v>..</v>
      </c>
      <c r="BK342" s="846" t="str">
        <f>IFERROR($BB342/$BJ342,"..")</f>
        <v>..</v>
      </c>
      <c r="BL342" s="117" t="str">
        <f>IFERROR(VLOOKUP($D342,'WB Data'!$C$3:$M$578,7,FALSE)/100,"..")</f>
        <v>..</v>
      </c>
      <c r="BM342" s="117" t="str">
        <f>IFERROR($AW342*$BL342,"..")</f>
        <v>..</v>
      </c>
      <c r="BN342" s="846" t="str">
        <f>IFERROR($BB342/$BM342,"..")</f>
        <v>..</v>
      </c>
      <c r="BO342" s="801" t="str">
        <f t="shared" si="60"/>
        <v>..</v>
      </c>
      <c r="BP342" s="117" t="str">
        <f>VLOOKUP($D342,'WB Data'!$C$3:$M$578,9,FALSE)</f>
        <v>..</v>
      </c>
      <c r="BQ342" s="117">
        <f>VLOOKUP($D342,'WB Data'!$C$3:$M$578,10,FALSE)</f>
        <v>48.439585365853667</v>
      </c>
      <c r="BR342" s="117">
        <f>VLOOKUP($D342,'WB Data'!$C$3:$M$578,11,FALSE)</f>
        <v>97.1</v>
      </c>
      <c r="BS342" s="129" t="str">
        <f>IFERROR(VLOOKUP($D342,'WB Data 2'!$C$2:$K$545,9,FALSE),"..")</f>
        <v>..</v>
      </c>
      <c r="BT342" s="129" t="str">
        <f>_xlfn.IFNA(VLOOKUP($C342,RGI!$A$2:$C$43,2,FALSE),"..")</f>
        <v>..</v>
      </c>
      <c r="BU342" s="129" t="str">
        <f>_xlfn.IFNA(VLOOKUP($C342,RGI!$A$2:$C$43,3,FALSE),"..")</f>
        <v>..</v>
      </c>
      <c r="BV342" s="129">
        <f>VLOOKUP($D342,WGI!$C$2:$O$478,7,FALSE)</f>
        <v>-1.4471400969582999</v>
      </c>
      <c r="BW342" s="129">
        <f>VLOOKUP($D342,WGI!$C$2:$O$478,4,FALSE)</f>
        <v>-2.0280985228008102</v>
      </c>
      <c r="BX342" s="129">
        <f>VLOOKUP($D342,WGI!$C$2:$O$478,3,FALSE)</f>
        <v>-1.67277466539245</v>
      </c>
      <c r="BY342" s="129">
        <f>VLOOKUP($D342,WGI!$C$2:$O$478,5,FALSE)</f>
        <v>-1.2968034402976401</v>
      </c>
      <c r="BZ342" s="129">
        <f>VLOOKUP($D342,WGI!$C$2:$O$478,2,FALSE)</f>
        <v>-1.16688121811319</v>
      </c>
      <c r="CB342" s="129"/>
    </row>
    <row r="343" spans="1:80" s="120" customFormat="1" ht="15" customHeight="1">
      <c r="A343" s="294" t="s">
        <v>174</v>
      </c>
      <c r="B343" s="117">
        <v>2008</v>
      </c>
      <c r="C343" s="132" t="s">
        <v>171</v>
      </c>
      <c r="D343" s="117" t="s">
        <v>3590</v>
      </c>
      <c r="E343" s="117" t="s">
        <v>86</v>
      </c>
      <c r="F343" s="117"/>
      <c r="G343" s="117" t="s">
        <v>24</v>
      </c>
      <c r="H343" s="117" t="str">
        <f t="shared" si="55"/>
        <v>yes</v>
      </c>
      <c r="I343" s="117" t="str">
        <f t="shared" si="56"/>
        <v>no</v>
      </c>
      <c r="J343" s="117" t="str">
        <f t="shared" si="57"/>
        <v>no</v>
      </c>
      <c r="K343" s="176" t="s">
        <v>1073</v>
      </c>
      <c r="L343" s="117" t="str">
        <f t="shared" si="59"/>
        <v>detailed</v>
      </c>
      <c r="M343" s="117" t="str">
        <f t="shared" si="58"/>
        <v>detailed Mining</v>
      </c>
      <c r="N343" s="179">
        <v>38632</v>
      </c>
      <c r="O343" s="179"/>
      <c r="P343" s="179"/>
      <c r="Q343" s="179"/>
      <c r="R343" s="179"/>
      <c r="S343" s="117" t="s">
        <v>610</v>
      </c>
      <c r="T343" s="119"/>
      <c r="U343" s="117"/>
      <c r="V343" s="117" t="s">
        <v>684</v>
      </c>
      <c r="W343" s="89"/>
      <c r="X343" s="117"/>
      <c r="Y343" s="117"/>
      <c r="Z343" s="117"/>
      <c r="AA343" s="177"/>
      <c r="AB343" s="177"/>
      <c r="AC343" s="122"/>
      <c r="AD343" s="122"/>
      <c r="AE343" s="122"/>
      <c r="AF343" s="123"/>
      <c r="AG343" s="117"/>
      <c r="AH343" s="124"/>
      <c r="AI343" s="117"/>
      <c r="AJ343" s="117"/>
      <c r="AK343" s="89"/>
      <c r="AL343" s="117"/>
      <c r="AM343" s="117"/>
      <c r="AN343" s="117"/>
      <c r="AO343" s="117"/>
      <c r="AP343" s="117"/>
      <c r="AQ343" s="117"/>
      <c r="AR343" s="126"/>
      <c r="AS343" s="117"/>
      <c r="AT343" s="117"/>
      <c r="AU343" s="117"/>
      <c r="AV343" s="128"/>
      <c r="AW343" s="117">
        <f>VLOOKUP($D343,'WB Data'!$C$3:$M$578,2,FALSE)</f>
        <v>19206015304.782166</v>
      </c>
      <c r="AX343" s="117">
        <f>VLOOKUP($D343,'WB Data'!$C$3:$M$578,3,FALSE)</f>
        <v>58819038</v>
      </c>
      <c r="AY343" s="847">
        <f t="shared" si="61"/>
        <v>2.6872697533178613E-2</v>
      </c>
      <c r="AZ343" s="117">
        <f>VLOOKUP($D343,'WB Data'!$C$3:$M$578,4,FALSE)/100</f>
        <v>0.11838614678185727</v>
      </c>
      <c r="BA343" s="117">
        <f t="shared" si="62"/>
        <v>2273726146.9665384</v>
      </c>
      <c r="BB343" s="129">
        <f>IFERROR(VLOOKUP($D343,'EITI Revenues'!$C$2:$G$224,5,FALSE),"..")</f>
        <v>516117440.10301042</v>
      </c>
      <c r="BC343" s="846">
        <f t="shared" si="63"/>
        <v>0.22699190964205679</v>
      </c>
      <c r="BD343" s="129" t="e">
        <f>VLOOKUP($D343,'WB Data 2'!$C$2:$K$545,6,FALSE)</f>
        <v>#N/A</v>
      </c>
      <c r="BE343" s="129">
        <f>IFERROR(VLOOKUP($D343,UNCTAD!$C$5:$V$529,4,FALSE),"..")</f>
        <v>7572889547.6400003</v>
      </c>
      <c r="BF343" s="846" t="str">
        <f t="shared" si="64"/>
        <v>..</v>
      </c>
      <c r="BG343" s="117">
        <f>VLOOKUP($D343,'WB Data'!$C$3:$M$578,5,FALSE)</f>
        <v>1765970000</v>
      </c>
      <c r="BH343" s="129">
        <f>IFERROR($BB343/$BG343,"..")</f>
        <v>0.29225719582043319</v>
      </c>
      <c r="BI343" s="117" t="str">
        <f>IFERROR(VLOOKUP($D343,'WB Data'!$C$3:$M$578,7,FALSE)/100,"..")</f>
        <v>..</v>
      </c>
      <c r="BJ343" s="117" t="str">
        <f>IFERROR($BI343*$AW343,"..")</f>
        <v>..</v>
      </c>
      <c r="BK343" s="846" t="str">
        <f>IFERROR($BB343/$BJ343,"..")</f>
        <v>..</v>
      </c>
      <c r="BL343" s="117" t="str">
        <f>IFERROR(VLOOKUP($D343,'WB Data'!$C$3:$M$578,7,FALSE)/100,"..")</f>
        <v>..</v>
      </c>
      <c r="BM343" s="117" t="str">
        <f>IFERROR($AW343*$BL343,"..")</f>
        <v>..</v>
      </c>
      <c r="BN343" s="846" t="str">
        <f>IFERROR($BB343/$BM343,"..")</f>
        <v>..</v>
      </c>
      <c r="BO343" s="801" t="str">
        <f t="shared" si="60"/>
        <v>..</v>
      </c>
      <c r="BP343" s="117" t="str">
        <f>VLOOKUP($D343,'WB Data'!$C$3:$M$578,9,FALSE)</f>
        <v>..</v>
      </c>
      <c r="BQ343" s="117">
        <f>VLOOKUP($D343,'WB Data'!$C$3:$M$578,10,FALSE)</f>
        <v>48.439585365853667</v>
      </c>
      <c r="BR343" s="117">
        <f>VLOOKUP($D343,'WB Data'!$C$3:$M$578,11,FALSE)</f>
        <v>97.1</v>
      </c>
      <c r="BS343" s="129" t="str">
        <f>IFERROR(VLOOKUP($D343,'WB Data 2'!$C$2:$K$545,9,FALSE),"..")</f>
        <v>..</v>
      </c>
      <c r="BT343" s="129" t="str">
        <f>_xlfn.IFNA(VLOOKUP($C343,RGI!$A$2:$C$43,2,FALSE),"..")</f>
        <v>..</v>
      </c>
      <c r="BU343" s="129" t="str">
        <f>_xlfn.IFNA(VLOOKUP($C343,RGI!$A$2:$C$43,3,FALSE),"..")</f>
        <v>..</v>
      </c>
      <c r="BV343" s="129">
        <f>VLOOKUP($D343,WGI!$C$2:$O$478,7,FALSE)</f>
        <v>-1.4471400969582999</v>
      </c>
      <c r="BW343" s="129">
        <f>VLOOKUP($D343,WGI!$C$2:$O$478,4,FALSE)</f>
        <v>-2.0280985228008102</v>
      </c>
      <c r="BX343" s="129">
        <f>VLOOKUP($D343,WGI!$C$2:$O$478,3,FALSE)</f>
        <v>-1.67277466539245</v>
      </c>
      <c r="BY343" s="129">
        <f>VLOOKUP($D343,WGI!$C$2:$O$478,5,FALSE)</f>
        <v>-1.2968034402976401</v>
      </c>
      <c r="BZ343" s="129">
        <f>VLOOKUP($D343,WGI!$C$2:$O$478,2,FALSE)</f>
        <v>-1.16688121811319</v>
      </c>
      <c r="CB343" s="129"/>
    </row>
    <row r="344" spans="1:80" s="120" customFormat="1" ht="15" customHeight="1">
      <c r="A344" s="294" t="s">
        <v>174</v>
      </c>
      <c r="B344" s="117">
        <v>2008</v>
      </c>
      <c r="C344" s="132" t="s">
        <v>171</v>
      </c>
      <c r="D344" s="117" t="s">
        <v>3590</v>
      </c>
      <c r="E344" s="117" t="s">
        <v>86</v>
      </c>
      <c r="F344" s="117"/>
      <c r="G344" s="117" t="s">
        <v>24</v>
      </c>
      <c r="H344" s="117" t="str">
        <f t="shared" si="55"/>
        <v>yes</v>
      </c>
      <c r="I344" s="117" t="str">
        <f t="shared" si="56"/>
        <v>no</v>
      </c>
      <c r="J344" s="117" t="str">
        <f t="shared" si="57"/>
        <v>no</v>
      </c>
      <c r="K344" s="176" t="s">
        <v>980</v>
      </c>
      <c r="L344" s="117" t="str">
        <f t="shared" si="59"/>
        <v>detailed</v>
      </c>
      <c r="M344" s="117" t="str">
        <f t="shared" si="58"/>
        <v>detailed Mining</v>
      </c>
      <c r="N344" s="179">
        <v>21132000</v>
      </c>
      <c r="O344" s="179"/>
      <c r="P344" s="179">
        <v>1000000</v>
      </c>
      <c r="Q344" s="179"/>
      <c r="R344" s="179"/>
      <c r="S344" s="117" t="s">
        <v>981</v>
      </c>
      <c r="T344" s="119">
        <v>12.93</v>
      </c>
      <c r="U344" s="117" t="s">
        <v>982</v>
      </c>
      <c r="V344" s="117" t="s">
        <v>1093</v>
      </c>
      <c r="W344" s="89">
        <f>N344*T344</f>
        <v>273236760</v>
      </c>
      <c r="X344" s="117"/>
      <c r="Y344" s="117"/>
      <c r="Z344" s="117"/>
      <c r="AA344" s="177"/>
      <c r="AB344" s="177"/>
      <c r="AC344" s="122"/>
      <c r="AD344" s="122"/>
      <c r="AE344" s="122"/>
      <c r="AF344" s="123"/>
      <c r="AG344" s="117"/>
      <c r="AH344" s="124"/>
      <c r="AI344" s="117"/>
      <c r="AJ344" s="117"/>
      <c r="AK344" s="89"/>
      <c r="AL344" s="117"/>
      <c r="AM344" s="117"/>
      <c r="AN344" s="117"/>
      <c r="AO344" s="117"/>
      <c r="AP344" s="117"/>
      <c r="AQ344" s="117"/>
      <c r="AR344" s="126"/>
      <c r="AS344" s="117"/>
      <c r="AT344" s="117"/>
      <c r="AU344" s="117"/>
      <c r="AV344" s="128" t="s">
        <v>1094</v>
      </c>
      <c r="AW344" s="117">
        <f>VLOOKUP($D344,'WB Data'!$C$3:$M$578,2,FALSE)</f>
        <v>19206015304.782166</v>
      </c>
      <c r="AX344" s="117">
        <f>VLOOKUP($D344,'WB Data'!$C$3:$M$578,3,FALSE)</f>
        <v>58819038</v>
      </c>
      <c r="AY344" s="847">
        <f t="shared" si="61"/>
        <v>2.6872697533178613E-2</v>
      </c>
      <c r="AZ344" s="117">
        <f>VLOOKUP($D344,'WB Data'!$C$3:$M$578,4,FALSE)/100</f>
        <v>0.11838614678185727</v>
      </c>
      <c r="BA344" s="117">
        <f t="shared" si="62"/>
        <v>2273726146.9665384</v>
      </c>
      <c r="BB344" s="129">
        <f>IFERROR(VLOOKUP($D344,'EITI Revenues'!$C$2:$G$224,5,FALSE),"..")</f>
        <v>516117440.10301042</v>
      </c>
      <c r="BC344" s="846">
        <f t="shared" si="63"/>
        <v>0.22699190964205679</v>
      </c>
      <c r="BD344" s="129" t="e">
        <f>VLOOKUP($D344,'WB Data 2'!$C$2:$K$545,6,FALSE)</f>
        <v>#N/A</v>
      </c>
      <c r="BE344" s="129">
        <f>IFERROR(VLOOKUP($D344,UNCTAD!$C$5:$V$529,4,FALSE),"..")</f>
        <v>7572889547.6400003</v>
      </c>
      <c r="BF344" s="846" t="str">
        <f t="shared" si="64"/>
        <v>..</v>
      </c>
      <c r="BG344" s="117">
        <f>VLOOKUP($D344,'WB Data'!$C$3:$M$578,5,FALSE)</f>
        <v>1765970000</v>
      </c>
      <c r="BH344" s="129">
        <f>IFERROR($BB344/$BG344,"..")</f>
        <v>0.29225719582043319</v>
      </c>
      <c r="BI344" s="117" t="str">
        <f>IFERROR(VLOOKUP($D344,'WB Data'!$C$3:$M$578,7,FALSE)/100,"..")</f>
        <v>..</v>
      </c>
      <c r="BJ344" s="117" t="str">
        <f>IFERROR($BI344*$AW344,"..")</f>
        <v>..</v>
      </c>
      <c r="BK344" s="846" t="str">
        <f>IFERROR($BB344/$BJ344,"..")</f>
        <v>..</v>
      </c>
      <c r="BL344" s="117" t="str">
        <f>IFERROR(VLOOKUP($D344,'WB Data'!$C$3:$M$578,7,FALSE)/100,"..")</f>
        <v>..</v>
      </c>
      <c r="BM344" s="117" t="str">
        <f>IFERROR($AW344*$BL344,"..")</f>
        <v>..</v>
      </c>
      <c r="BN344" s="846" t="str">
        <f>IFERROR($BB344/$BM344,"..")</f>
        <v>..</v>
      </c>
      <c r="BO344" s="801" t="str">
        <f t="shared" si="60"/>
        <v>..</v>
      </c>
      <c r="BP344" s="117" t="str">
        <f>VLOOKUP($D344,'WB Data'!$C$3:$M$578,9,FALSE)</f>
        <v>..</v>
      </c>
      <c r="BQ344" s="117">
        <f>VLOOKUP($D344,'WB Data'!$C$3:$M$578,10,FALSE)</f>
        <v>48.439585365853667</v>
      </c>
      <c r="BR344" s="117">
        <f>VLOOKUP($D344,'WB Data'!$C$3:$M$578,11,FALSE)</f>
        <v>97.1</v>
      </c>
      <c r="BS344" s="129" t="str">
        <f>IFERROR(VLOOKUP($D344,'WB Data 2'!$C$2:$K$545,9,FALSE),"..")</f>
        <v>..</v>
      </c>
      <c r="BT344" s="129" t="str">
        <f>_xlfn.IFNA(VLOOKUP($C344,RGI!$A$2:$C$43,2,FALSE),"..")</f>
        <v>..</v>
      </c>
      <c r="BU344" s="129" t="str">
        <f>_xlfn.IFNA(VLOOKUP($C344,RGI!$A$2:$C$43,3,FALSE),"..")</f>
        <v>..</v>
      </c>
      <c r="BV344" s="129">
        <f>VLOOKUP($D344,WGI!$C$2:$O$478,7,FALSE)</f>
        <v>-1.4471400969582999</v>
      </c>
      <c r="BW344" s="129">
        <f>VLOOKUP($D344,WGI!$C$2:$O$478,4,FALSE)</f>
        <v>-2.0280985228008102</v>
      </c>
      <c r="BX344" s="129">
        <f>VLOOKUP($D344,WGI!$C$2:$O$478,3,FALSE)</f>
        <v>-1.67277466539245</v>
      </c>
      <c r="BY344" s="129">
        <f>VLOOKUP($D344,WGI!$C$2:$O$478,5,FALSE)</f>
        <v>-1.2968034402976401</v>
      </c>
      <c r="BZ344" s="129">
        <f>VLOOKUP($D344,WGI!$C$2:$O$478,2,FALSE)</f>
        <v>-1.16688121811319</v>
      </c>
      <c r="CB344" s="129"/>
    </row>
    <row r="345" spans="1:80" s="120" customFormat="1" ht="15" customHeight="1">
      <c r="A345" s="294" t="s">
        <v>174</v>
      </c>
      <c r="B345" s="117">
        <v>2008</v>
      </c>
      <c r="C345" s="132" t="s">
        <v>171</v>
      </c>
      <c r="D345" s="117" t="s">
        <v>3590</v>
      </c>
      <c r="E345" s="117" t="s">
        <v>86</v>
      </c>
      <c r="F345" s="117"/>
      <c r="G345" s="117" t="s">
        <v>24</v>
      </c>
      <c r="H345" s="117" t="str">
        <f t="shared" si="55"/>
        <v>yes</v>
      </c>
      <c r="I345" s="117" t="str">
        <f t="shared" si="56"/>
        <v>no</v>
      </c>
      <c r="J345" s="117" t="str">
        <f t="shared" si="57"/>
        <v>no</v>
      </c>
      <c r="K345" s="176" t="s">
        <v>784</v>
      </c>
      <c r="L345" s="117" t="str">
        <f t="shared" si="59"/>
        <v>detailed</v>
      </c>
      <c r="M345" s="117" t="str">
        <f t="shared" si="58"/>
        <v>detailed Mining</v>
      </c>
      <c r="N345" s="179">
        <f>10000*32.150743126506</f>
        <v>321507.43126506003</v>
      </c>
      <c r="O345" s="179"/>
      <c r="P345" s="179"/>
      <c r="Q345" s="179"/>
      <c r="R345" s="179"/>
      <c r="S345" s="117" t="s">
        <v>785</v>
      </c>
      <c r="T345" s="119">
        <v>871.70725000000004</v>
      </c>
      <c r="U345" s="117" t="s">
        <v>786</v>
      </c>
      <c r="V345" s="117" t="s">
        <v>787</v>
      </c>
      <c r="W345" s="89">
        <f>N345*T345</f>
        <v>280260358.76262951</v>
      </c>
      <c r="X345" s="117"/>
      <c r="Y345" s="117"/>
      <c r="Z345" s="117"/>
      <c r="AA345" s="177"/>
      <c r="AB345" s="177"/>
      <c r="AC345" s="122"/>
      <c r="AD345" s="122"/>
      <c r="AE345" s="122"/>
      <c r="AF345" s="123"/>
      <c r="AG345" s="117"/>
      <c r="AH345" s="124"/>
      <c r="AI345" s="117"/>
      <c r="AJ345" s="117"/>
      <c r="AK345" s="89"/>
      <c r="AL345" s="117"/>
      <c r="AM345" s="117"/>
      <c r="AN345" s="117"/>
      <c r="AO345" s="117"/>
      <c r="AP345" s="117"/>
      <c r="AQ345" s="117"/>
      <c r="AR345" s="126"/>
      <c r="AS345" s="117"/>
      <c r="AT345" s="117"/>
      <c r="AU345" s="117"/>
      <c r="AV345" s="128"/>
      <c r="AW345" s="117">
        <f>VLOOKUP($D345,'WB Data'!$C$3:$M$578,2,FALSE)</f>
        <v>19206015304.782166</v>
      </c>
      <c r="AX345" s="117">
        <f>VLOOKUP($D345,'WB Data'!$C$3:$M$578,3,FALSE)</f>
        <v>58819038</v>
      </c>
      <c r="AY345" s="847">
        <f t="shared" si="61"/>
        <v>2.6872697533178613E-2</v>
      </c>
      <c r="AZ345" s="117">
        <f>VLOOKUP($D345,'WB Data'!$C$3:$M$578,4,FALSE)/100</f>
        <v>0.11838614678185727</v>
      </c>
      <c r="BA345" s="117">
        <f t="shared" si="62"/>
        <v>2273726146.9665384</v>
      </c>
      <c r="BB345" s="129">
        <f>IFERROR(VLOOKUP($D345,'EITI Revenues'!$C$2:$G$224,5,FALSE),"..")</f>
        <v>516117440.10301042</v>
      </c>
      <c r="BC345" s="846">
        <f t="shared" si="63"/>
        <v>0.22699190964205679</v>
      </c>
      <c r="BD345" s="129" t="e">
        <f>VLOOKUP($D345,'WB Data 2'!$C$2:$K$545,6,FALSE)</f>
        <v>#N/A</v>
      </c>
      <c r="BE345" s="129">
        <f>IFERROR(VLOOKUP($D345,UNCTAD!$C$5:$V$529,4,FALSE),"..")</f>
        <v>7572889547.6400003</v>
      </c>
      <c r="BF345" s="846" t="str">
        <f t="shared" si="64"/>
        <v>..</v>
      </c>
      <c r="BG345" s="117">
        <f>VLOOKUP($D345,'WB Data'!$C$3:$M$578,5,FALSE)</f>
        <v>1765970000</v>
      </c>
      <c r="BH345" s="129">
        <f>IFERROR($BB345/$BG345,"..")</f>
        <v>0.29225719582043319</v>
      </c>
      <c r="BI345" s="117" t="str">
        <f>IFERROR(VLOOKUP($D345,'WB Data'!$C$3:$M$578,7,FALSE)/100,"..")</f>
        <v>..</v>
      </c>
      <c r="BJ345" s="117" t="str">
        <f>IFERROR($BI345*$AW345,"..")</f>
        <v>..</v>
      </c>
      <c r="BK345" s="846" t="str">
        <f>IFERROR($BB345/$BJ345,"..")</f>
        <v>..</v>
      </c>
      <c r="BL345" s="117" t="str">
        <f>IFERROR(VLOOKUP($D345,'WB Data'!$C$3:$M$578,7,FALSE)/100,"..")</f>
        <v>..</v>
      </c>
      <c r="BM345" s="117" t="str">
        <f>IFERROR($AW345*$BL345,"..")</f>
        <v>..</v>
      </c>
      <c r="BN345" s="846" t="str">
        <f>IFERROR($BB345/$BM345,"..")</f>
        <v>..</v>
      </c>
      <c r="BO345" s="801" t="str">
        <f t="shared" si="60"/>
        <v>..</v>
      </c>
      <c r="BP345" s="117" t="str">
        <f>VLOOKUP($D345,'WB Data'!$C$3:$M$578,9,FALSE)</f>
        <v>..</v>
      </c>
      <c r="BQ345" s="117">
        <f>VLOOKUP($D345,'WB Data'!$C$3:$M$578,10,FALSE)</f>
        <v>48.439585365853667</v>
      </c>
      <c r="BR345" s="117">
        <f>VLOOKUP($D345,'WB Data'!$C$3:$M$578,11,FALSE)</f>
        <v>97.1</v>
      </c>
      <c r="BS345" s="129" t="str">
        <f>IFERROR(VLOOKUP($D345,'WB Data 2'!$C$2:$K$545,9,FALSE),"..")</f>
        <v>..</v>
      </c>
      <c r="BT345" s="129" t="str">
        <f>_xlfn.IFNA(VLOOKUP($C345,RGI!$A$2:$C$43,2,FALSE),"..")</f>
        <v>..</v>
      </c>
      <c r="BU345" s="129" t="str">
        <f>_xlfn.IFNA(VLOOKUP($C345,RGI!$A$2:$C$43,3,FALSE),"..")</f>
        <v>..</v>
      </c>
      <c r="BV345" s="129">
        <f>VLOOKUP($D345,WGI!$C$2:$O$478,7,FALSE)</f>
        <v>-1.4471400969582999</v>
      </c>
      <c r="BW345" s="129">
        <f>VLOOKUP($D345,WGI!$C$2:$O$478,4,FALSE)</f>
        <v>-2.0280985228008102</v>
      </c>
      <c r="BX345" s="129">
        <f>VLOOKUP($D345,WGI!$C$2:$O$478,3,FALSE)</f>
        <v>-1.67277466539245</v>
      </c>
      <c r="BY345" s="129">
        <f>VLOOKUP($D345,WGI!$C$2:$O$478,5,FALSE)</f>
        <v>-1.2968034402976401</v>
      </c>
      <c r="BZ345" s="129">
        <f>VLOOKUP($D345,WGI!$C$2:$O$478,2,FALSE)</f>
        <v>-1.16688121811319</v>
      </c>
      <c r="CB345" s="129"/>
    </row>
    <row r="346" spans="1:80" s="120" customFormat="1" ht="15" customHeight="1">
      <c r="A346" s="294" t="s">
        <v>174</v>
      </c>
      <c r="B346" s="117">
        <v>2008</v>
      </c>
      <c r="C346" s="132" t="s">
        <v>171</v>
      </c>
      <c r="D346" s="117" t="s">
        <v>3590</v>
      </c>
      <c r="E346" s="117" t="s">
        <v>86</v>
      </c>
      <c r="F346" s="117"/>
      <c r="G346" s="117" t="s">
        <v>24</v>
      </c>
      <c r="H346" s="117" t="str">
        <f t="shared" si="55"/>
        <v>yes</v>
      </c>
      <c r="I346" s="117" t="str">
        <f t="shared" si="56"/>
        <v>no</v>
      </c>
      <c r="J346" s="117" t="str">
        <f t="shared" si="57"/>
        <v>no</v>
      </c>
      <c r="K346" s="176" t="s">
        <v>1066</v>
      </c>
      <c r="L346" s="117" t="str">
        <f t="shared" si="59"/>
        <v>detailed</v>
      </c>
      <c r="M346" s="117" t="str">
        <f t="shared" si="58"/>
        <v>detailed Mining</v>
      </c>
      <c r="N346" s="179">
        <v>119</v>
      </c>
      <c r="O346" s="179"/>
      <c r="P346" s="179"/>
      <c r="Q346" s="179"/>
      <c r="R346" s="179"/>
      <c r="S346" s="117" t="s">
        <v>610</v>
      </c>
      <c r="T346" s="119"/>
      <c r="U346" s="117"/>
      <c r="V346" s="117" t="s">
        <v>684</v>
      </c>
      <c r="W346" s="89"/>
      <c r="X346" s="117"/>
      <c r="Y346" s="117"/>
      <c r="Z346" s="117"/>
      <c r="AA346" s="177"/>
      <c r="AB346" s="177"/>
      <c r="AC346" s="122"/>
      <c r="AD346" s="122"/>
      <c r="AE346" s="122"/>
      <c r="AF346" s="123"/>
      <c r="AG346" s="117"/>
      <c r="AH346" s="124"/>
      <c r="AI346" s="117"/>
      <c r="AJ346" s="117"/>
      <c r="AK346" s="89"/>
      <c r="AL346" s="117"/>
      <c r="AM346" s="117"/>
      <c r="AN346" s="117"/>
      <c r="AO346" s="117"/>
      <c r="AP346" s="117"/>
      <c r="AQ346" s="117"/>
      <c r="AR346" s="126"/>
      <c r="AS346" s="117"/>
      <c r="AT346" s="117"/>
      <c r="AU346" s="117"/>
      <c r="AV346" s="128"/>
      <c r="AW346" s="117">
        <f>VLOOKUP($D346,'WB Data'!$C$3:$M$578,2,FALSE)</f>
        <v>19206015304.782166</v>
      </c>
      <c r="AX346" s="117">
        <f>VLOOKUP($D346,'WB Data'!$C$3:$M$578,3,FALSE)</f>
        <v>58819038</v>
      </c>
      <c r="AY346" s="847">
        <f t="shared" si="61"/>
        <v>2.6872697533178613E-2</v>
      </c>
      <c r="AZ346" s="117">
        <f>VLOOKUP($D346,'WB Data'!$C$3:$M$578,4,FALSE)/100</f>
        <v>0.11838614678185727</v>
      </c>
      <c r="BA346" s="117">
        <f t="shared" si="62"/>
        <v>2273726146.9665384</v>
      </c>
      <c r="BB346" s="129">
        <f>IFERROR(VLOOKUP($D346,'EITI Revenues'!$C$2:$G$224,5,FALSE),"..")</f>
        <v>516117440.10301042</v>
      </c>
      <c r="BC346" s="846">
        <f t="shared" si="63"/>
        <v>0.22699190964205679</v>
      </c>
      <c r="BD346" s="129" t="e">
        <f>VLOOKUP($D346,'WB Data 2'!$C$2:$K$545,6,FALSE)</f>
        <v>#N/A</v>
      </c>
      <c r="BE346" s="129">
        <f>IFERROR(VLOOKUP($D346,UNCTAD!$C$5:$V$529,4,FALSE),"..")</f>
        <v>7572889547.6400003</v>
      </c>
      <c r="BF346" s="846" t="str">
        <f t="shared" si="64"/>
        <v>..</v>
      </c>
      <c r="BG346" s="117">
        <f>VLOOKUP($D346,'WB Data'!$C$3:$M$578,5,FALSE)</f>
        <v>1765970000</v>
      </c>
      <c r="BH346" s="129">
        <f>IFERROR($BB346/$BG346,"..")</f>
        <v>0.29225719582043319</v>
      </c>
      <c r="BI346" s="117" t="str">
        <f>IFERROR(VLOOKUP($D346,'WB Data'!$C$3:$M$578,7,FALSE)/100,"..")</f>
        <v>..</v>
      </c>
      <c r="BJ346" s="117" t="str">
        <f>IFERROR($BI346*$AW346,"..")</f>
        <v>..</v>
      </c>
      <c r="BK346" s="846" t="str">
        <f>IFERROR($BB346/$BJ346,"..")</f>
        <v>..</v>
      </c>
      <c r="BL346" s="117" t="str">
        <f>IFERROR(VLOOKUP($D346,'WB Data'!$C$3:$M$578,7,FALSE)/100,"..")</f>
        <v>..</v>
      </c>
      <c r="BM346" s="117" t="str">
        <f>IFERROR($AW346*$BL346,"..")</f>
        <v>..</v>
      </c>
      <c r="BN346" s="846" t="str">
        <f>IFERROR($BB346/$BM346,"..")</f>
        <v>..</v>
      </c>
      <c r="BO346" s="801" t="str">
        <f t="shared" si="60"/>
        <v>..</v>
      </c>
      <c r="BP346" s="117" t="str">
        <f>VLOOKUP($D346,'WB Data'!$C$3:$M$578,9,FALSE)</f>
        <v>..</v>
      </c>
      <c r="BQ346" s="117">
        <f>VLOOKUP($D346,'WB Data'!$C$3:$M$578,10,FALSE)</f>
        <v>48.439585365853667</v>
      </c>
      <c r="BR346" s="117">
        <f>VLOOKUP($D346,'WB Data'!$C$3:$M$578,11,FALSE)</f>
        <v>97.1</v>
      </c>
      <c r="BS346" s="129" t="str">
        <f>IFERROR(VLOOKUP($D346,'WB Data 2'!$C$2:$K$545,9,FALSE),"..")</f>
        <v>..</v>
      </c>
      <c r="BT346" s="129" t="str">
        <f>_xlfn.IFNA(VLOOKUP($C346,RGI!$A$2:$C$43,2,FALSE),"..")</f>
        <v>..</v>
      </c>
      <c r="BU346" s="129" t="str">
        <f>_xlfn.IFNA(VLOOKUP($C346,RGI!$A$2:$C$43,3,FALSE),"..")</f>
        <v>..</v>
      </c>
      <c r="BV346" s="129">
        <f>VLOOKUP($D346,WGI!$C$2:$O$478,7,FALSE)</f>
        <v>-1.4471400969582999</v>
      </c>
      <c r="BW346" s="129">
        <f>VLOOKUP($D346,WGI!$C$2:$O$478,4,FALSE)</f>
        <v>-2.0280985228008102</v>
      </c>
      <c r="BX346" s="129">
        <f>VLOOKUP($D346,WGI!$C$2:$O$478,3,FALSE)</f>
        <v>-1.67277466539245</v>
      </c>
      <c r="BY346" s="129">
        <f>VLOOKUP($D346,WGI!$C$2:$O$478,5,FALSE)</f>
        <v>-1.2968034402976401</v>
      </c>
      <c r="BZ346" s="129">
        <f>VLOOKUP($D346,WGI!$C$2:$O$478,2,FALSE)</f>
        <v>-1.16688121811319</v>
      </c>
      <c r="CB346" s="129"/>
    </row>
    <row r="347" spans="1:80" s="120" customFormat="1" ht="15" customHeight="1">
      <c r="A347" s="294" t="s">
        <v>174</v>
      </c>
      <c r="B347" s="117">
        <v>2008</v>
      </c>
      <c r="C347" s="132" t="s">
        <v>171</v>
      </c>
      <c r="D347" s="117" t="s">
        <v>3590</v>
      </c>
      <c r="E347" s="117" t="s">
        <v>86</v>
      </c>
      <c r="F347" s="117"/>
      <c r="G347" s="117" t="s">
        <v>24</v>
      </c>
      <c r="H347" s="117" t="str">
        <f t="shared" si="55"/>
        <v>yes</v>
      </c>
      <c r="I347" s="117" t="str">
        <f t="shared" si="56"/>
        <v>no</v>
      </c>
      <c r="J347" s="117" t="str">
        <f t="shared" si="57"/>
        <v>no</v>
      </c>
      <c r="K347" s="176" t="s">
        <v>1067</v>
      </c>
      <c r="L347" s="117" t="str">
        <f t="shared" si="59"/>
        <v>detailed</v>
      </c>
      <c r="M347" s="117" t="str">
        <f t="shared" si="58"/>
        <v>detailed Mining</v>
      </c>
      <c r="N347" s="179">
        <v>59</v>
      </c>
      <c r="O347" s="179"/>
      <c r="P347" s="179"/>
      <c r="Q347" s="179"/>
      <c r="R347" s="179"/>
      <c r="S347" s="117" t="s">
        <v>610</v>
      </c>
      <c r="T347" s="119">
        <v>34398</v>
      </c>
      <c r="U347" s="117" t="s">
        <v>611</v>
      </c>
      <c r="V347" s="117" t="s">
        <v>1091</v>
      </c>
      <c r="W347" s="89">
        <f>N347*T347</f>
        <v>2029482</v>
      </c>
      <c r="X347" s="117"/>
      <c r="Y347" s="117"/>
      <c r="Z347" s="117"/>
      <c r="AA347" s="177"/>
      <c r="AB347" s="177"/>
      <c r="AC347" s="122"/>
      <c r="AD347" s="122"/>
      <c r="AE347" s="122"/>
      <c r="AF347" s="123"/>
      <c r="AG347" s="117"/>
      <c r="AH347" s="124"/>
      <c r="AI347" s="117"/>
      <c r="AJ347" s="117"/>
      <c r="AK347" s="89"/>
      <c r="AL347" s="117"/>
      <c r="AM347" s="117"/>
      <c r="AN347" s="117"/>
      <c r="AO347" s="117"/>
      <c r="AP347" s="117"/>
      <c r="AQ347" s="117"/>
      <c r="AR347" s="126"/>
      <c r="AS347" s="117"/>
      <c r="AT347" s="117"/>
      <c r="AU347" s="117"/>
      <c r="AV347" s="128"/>
      <c r="AW347" s="117">
        <f>VLOOKUP($D347,'WB Data'!$C$3:$M$578,2,FALSE)</f>
        <v>19206015304.782166</v>
      </c>
      <c r="AX347" s="117">
        <f>VLOOKUP($D347,'WB Data'!$C$3:$M$578,3,FALSE)</f>
        <v>58819038</v>
      </c>
      <c r="AY347" s="847">
        <f t="shared" si="61"/>
        <v>2.6872697533178613E-2</v>
      </c>
      <c r="AZ347" s="117">
        <f>VLOOKUP($D347,'WB Data'!$C$3:$M$578,4,FALSE)/100</f>
        <v>0.11838614678185727</v>
      </c>
      <c r="BA347" s="117">
        <f t="shared" si="62"/>
        <v>2273726146.9665384</v>
      </c>
      <c r="BB347" s="129">
        <f>IFERROR(VLOOKUP($D347,'EITI Revenues'!$C$2:$G$224,5,FALSE),"..")</f>
        <v>516117440.10301042</v>
      </c>
      <c r="BC347" s="846">
        <f t="shared" si="63"/>
        <v>0.22699190964205679</v>
      </c>
      <c r="BD347" s="129" t="e">
        <f>VLOOKUP($D347,'WB Data 2'!$C$2:$K$545,6,FALSE)</f>
        <v>#N/A</v>
      </c>
      <c r="BE347" s="129">
        <f>IFERROR(VLOOKUP($D347,UNCTAD!$C$5:$V$529,4,FALSE),"..")</f>
        <v>7572889547.6400003</v>
      </c>
      <c r="BF347" s="846" t="str">
        <f t="shared" si="64"/>
        <v>..</v>
      </c>
      <c r="BG347" s="117">
        <f>VLOOKUP($D347,'WB Data'!$C$3:$M$578,5,FALSE)</f>
        <v>1765970000</v>
      </c>
      <c r="BH347" s="129">
        <f>IFERROR($BB347/$BG347,"..")</f>
        <v>0.29225719582043319</v>
      </c>
      <c r="BI347" s="117" t="str">
        <f>IFERROR(VLOOKUP($D347,'WB Data'!$C$3:$M$578,7,FALSE)/100,"..")</f>
        <v>..</v>
      </c>
      <c r="BJ347" s="117" t="str">
        <f>IFERROR($BI347*$AW347,"..")</f>
        <v>..</v>
      </c>
      <c r="BK347" s="846" t="str">
        <f>IFERROR($BB347/$BJ347,"..")</f>
        <v>..</v>
      </c>
      <c r="BL347" s="117" t="str">
        <f>IFERROR(VLOOKUP($D347,'WB Data'!$C$3:$M$578,7,FALSE)/100,"..")</f>
        <v>..</v>
      </c>
      <c r="BM347" s="117" t="str">
        <f>IFERROR($AW347*$BL347,"..")</f>
        <v>..</v>
      </c>
      <c r="BN347" s="846" t="str">
        <f>IFERROR($BB347/$BM347,"..")</f>
        <v>..</v>
      </c>
      <c r="BO347" s="801" t="str">
        <f t="shared" si="60"/>
        <v>..</v>
      </c>
      <c r="BP347" s="117" t="str">
        <f>VLOOKUP($D347,'WB Data'!$C$3:$M$578,9,FALSE)</f>
        <v>..</v>
      </c>
      <c r="BQ347" s="117">
        <f>VLOOKUP($D347,'WB Data'!$C$3:$M$578,10,FALSE)</f>
        <v>48.439585365853667</v>
      </c>
      <c r="BR347" s="117">
        <f>VLOOKUP($D347,'WB Data'!$C$3:$M$578,11,FALSE)</f>
        <v>97.1</v>
      </c>
      <c r="BS347" s="129" t="str">
        <f>IFERROR(VLOOKUP($D347,'WB Data 2'!$C$2:$K$545,9,FALSE),"..")</f>
        <v>..</v>
      </c>
      <c r="BT347" s="129" t="str">
        <f>_xlfn.IFNA(VLOOKUP($C347,RGI!$A$2:$C$43,2,FALSE),"..")</f>
        <v>..</v>
      </c>
      <c r="BU347" s="129" t="str">
        <f>_xlfn.IFNA(VLOOKUP($C347,RGI!$A$2:$C$43,3,FALSE),"..")</f>
        <v>..</v>
      </c>
      <c r="BV347" s="129">
        <f>VLOOKUP($D347,WGI!$C$2:$O$478,7,FALSE)</f>
        <v>-1.4471400969582999</v>
      </c>
      <c r="BW347" s="129">
        <f>VLOOKUP($D347,WGI!$C$2:$O$478,4,FALSE)</f>
        <v>-2.0280985228008102</v>
      </c>
      <c r="BX347" s="129">
        <f>VLOOKUP($D347,WGI!$C$2:$O$478,3,FALSE)</f>
        <v>-1.67277466539245</v>
      </c>
      <c r="BY347" s="129">
        <f>VLOOKUP($D347,WGI!$C$2:$O$478,5,FALSE)</f>
        <v>-1.2968034402976401</v>
      </c>
      <c r="BZ347" s="129">
        <f>VLOOKUP($D347,WGI!$C$2:$O$478,2,FALSE)</f>
        <v>-1.16688121811319</v>
      </c>
      <c r="CB347" s="129"/>
    </row>
    <row r="348" spans="1:80" s="120" customFormat="1" ht="15" customHeight="1">
      <c r="A348" s="294" t="s">
        <v>174</v>
      </c>
      <c r="B348" s="117">
        <v>2008</v>
      </c>
      <c r="C348" s="132" t="s">
        <v>171</v>
      </c>
      <c r="D348" s="117" t="s">
        <v>3590</v>
      </c>
      <c r="E348" s="117" t="s">
        <v>86</v>
      </c>
      <c r="F348" s="117"/>
      <c r="G348" s="117" t="s">
        <v>24</v>
      </c>
      <c r="H348" s="117" t="str">
        <f t="shared" si="55"/>
        <v>yes</v>
      </c>
      <c r="I348" s="117" t="str">
        <f t="shared" si="56"/>
        <v>no</v>
      </c>
      <c r="J348" s="117" t="str">
        <f t="shared" si="57"/>
        <v>no</v>
      </c>
      <c r="K348" s="176" t="s">
        <v>1075</v>
      </c>
      <c r="L348" s="117" t="str">
        <f t="shared" si="59"/>
        <v>detailed</v>
      </c>
      <c r="M348" s="117" t="str">
        <f t="shared" si="58"/>
        <v>detailed Mining</v>
      </c>
      <c r="N348" s="179"/>
      <c r="O348" s="179"/>
      <c r="P348" s="179"/>
      <c r="Q348" s="179"/>
      <c r="R348" s="179"/>
      <c r="S348" s="117"/>
      <c r="T348" s="180">
        <f>18510.0910833333</f>
        <v>18510.0910833333</v>
      </c>
      <c r="U348" s="117" t="s">
        <v>611</v>
      </c>
      <c r="V348" s="117" t="s">
        <v>1076</v>
      </c>
      <c r="W348" s="89">
        <f>N350*T348</f>
        <v>233227147.64999959</v>
      </c>
      <c r="X348" s="117"/>
      <c r="Y348" s="117"/>
      <c r="Z348" s="117"/>
      <c r="AA348" s="177"/>
      <c r="AB348" s="177"/>
      <c r="AC348" s="122"/>
      <c r="AD348" s="122"/>
      <c r="AE348" s="122"/>
      <c r="AF348" s="123"/>
      <c r="AG348" s="117"/>
      <c r="AH348" s="124"/>
      <c r="AI348" s="117"/>
      <c r="AJ348" s="117"/>
      <c r="AK348" s="89"/>
      <c r="AL348" s="117"/>
      <c r="AM348" s="117"/>
      <c r="AN348" s="117"/>
      <c r="AO348" s="117"/>
      <c r="AP348" s="117"/>
      <c r="AQ348" s="117"/>
      <c r="AR348" s="126"/>
      <c r="AS348" s="117"/>
      <c r="AT348" s="117"/>
      <c r="AU348" s="117"/>
      <c r="AV348" s="128"/>
      <c r="AW348" s="117">
        <f>VLOOKUP($D348,'WB Data'!$C$3:$M$578,2,FALSE)</f>
        <v>19206015304.782166</v>
      </c>
      <c r="AX348" s="117">
        <f>VLOOKUP($D348,'WB Data'!$C$3:$M$578,3,FALSE)</f>
        <v>58819038</v>
      </c>
      <c r="AY348" s="847">
        <f t="shared" si="61"/>
        <v>2.6872697533178613E-2</v>
      </c>
      <c r="AZ348" s="117">
        <f>VLOOKUP($D348,'WB Data'!$C$3:$M$578,4,FALSE)/100</f>
        <v>0.11838614678185727</v>
      </c>
      <c r="BA348" s="117">
        <f t="shared" si="62"/>
        <v>2273726146.9665384</v>
      </c>
      <c r="BB348" s="129">
        <f>IFERROR(VLOOKUP($D348,'EITI Revenues'!$C$2:$G$224,5,FALSE),"..")</f>
        <v>516117440.10301042</v>
      </c>
      <c r="BC348" s="846">
        <f t="shared" si="63"/>
        <v>0.22699190964205679</v>
      </c>
      <c r="BD348" s="129" t="e">
        <f>VLOOKUP($D348,'WB Data 2'!$C$2:$K$545,6,FALSE)</f>
        <v>#N/A</v>
      </c>
      <c r="BE348" s="129">
        <f>IFERROR(VLOOKUP($D348,UNCTAD!$C$5:$V$529,4,FALSE),"..")</f>
        <v>7572889547.6400003</v>
      </c>
      <c r="BF348" s="846" t="str">
        <f t="shared" si="64"/>
        <v>..</v>
      </c>
      <c r="BG348" s="117">
        <f>VLOOKUP($D348,'WB Data'!$C$3:$M$578,5,FALSE)</f>
        <v>1765970000</v>
      </c>
      <c r="BH348" s="129">
        <f>IFERROR($BB348/$BG348,"..")</f>
        <v>0.29225719582043319</v>
      </c>
      <c r="BI348" s="117" t="str">
        <f>IFERROR(VLOOKUP($D348,'WB Data'!$C$3:$M$578,7,FALSE)/100,"..")</f>
        <v>..</v>
      </c>
      <c r="BJ348" s="117" t="str">
        <f>IFERROR($BI348*$AW348,"..")</f>
        <v>..</v>
      </c>
      <c r="BK348" s="846" t="str">
        <f>IFERROR($BB348/$BJ348,"..")</f>
        <v>..</v>
      </c>
      <c r="BL348" s="117" t="str">
        <f>IFERROR(VLOOKUP($D348,'WB Data'!$C$3:$M$578,7,FALSE)/100,"..")</f>
        <v>..</v>
      </c>
      <c r="BM348" s="117" t="str">
        <f>IFERROR($AW348*$BL348,"..")</f>
        <v>..</v>
      </c>
      <c r="BN348" s="846" t="str">
        <f>IFERROR($BB348/$BM348,"..")</f>
        <v>..</v>
      </c>
      <c r="BO348" s="801" t="str">
        <f t="shared" si="60"/>
        <v>..</v>
      </c>
      <c r="BP348" s="117" t="str">
        <f>VLOOKUP($D348,'WB Data'!$C$3:$M$578,9,FALSE)</f>
        <v>..</v>
      </c>
      <c r="BQ348" s="117">
        <f>VLOOKUP($D348,'WB Data'!$C$3:$M$578,10,FALSE)</f>
        <v>48.439585365853667</v>
      </c>
      <c r="BR348" s="117">
        <f>VLOOKUP($D348,'WB Data'!$C$3:$M$578,11,FALSE)</f>
        <v>97.1</v>
      </c>
      <c r="BS348" s="129" t="str">
        <f>IFERROR(VLOOKUP($D348,'WB Data 2'!$C$2:$K$545,9,FALSE),"..")</f>
        <v>..</v>
      </c>
      <c r="BT348" s="129" t="str">
        <f>_xlfn.IFNA(VLOOKUP($C348,RGI!$A$2:$C$43,2,FALSE),"..")</f>
        <v>..</v>
      </c>
      <c r="BU348" s="129" t="str">
        <f>_xlfn.IFNA(VLOOKUP($C348,RGI!$A$2:$C$43,3,FALSE),"..")</f>
        <v>..</v>
      </c>
      <c r="BV348" s="129">
        <f>VLOOKUP($D348,WGI!$C$2:$O$478,7,FALSE)</f>
        <v>-1.4471400969582999</v>
      </c>
      <c r="BW348" s="129">
        <f>VLOOKUP($D348,WGI!$C$2:$O$478,4,FALSE)</f>
        <v>-2.0280985228008102</v>
      </c>
      <c r="BX348" s="129">
        <f>VLOOKUP($D348,WGI!$C$2:$O$478,3,FALSE)</f>
        <v>-1.67277466539245</v>
      </c>
      <c r="BY348" s="129">
        <f>VLOOKUP($D348,WGI!$C$2:$O$478,5,FALSE)</f>
        <v>-1.2968034402976401</v>
      </c>
      <c r="BZ348" s="129">
        <f>VLOOKUP($D348,WGI!$C$2:$O$478,2,FALSE)</f>
        <v>-1.16688121811319</v>
      </c>
      <c r="CB348" s="129"/>
    </row>
    <row r="349" spans="1:80" s="120" customFormat="1" ht="15" customHeight="1">
      <c r="A349" s="294" t="s">
        <v>174</v>
      </c>
      <c r="B349" s="117">
        <v>2008</v>
      </c>
      <c r="C349" s="132" t="s">
        <v>171</v>
      </c>
      <c r="D349" s="117" t="s">
        <v>3590</v>
      </c>
      <c r="E349" s="117" t="s">
        <v>86</v>
      </c>
      <c r="F349" s="117"/>
      <c r="G349" s="117" t="s">
        <v>24</v>
      </c>
      <c r="H349" s="117" t="str">
        <f t="shared" si="55"/>
        <v>yes</v>
      </c>
      <c r="I349" s="117" t="str">
        <f t="shared" si="56"/>
        <v>no</v>
      </c>
      <c r="J349" s="117" t="str">
        <f t="shared" si="57"/>
        <v>no</v>
      </c>
      <c r="K349" s="176" t="s">
        <v>1066</v>
      </c>
      <c r="L349" s="117" t="str">
        <f t="shared" si="59"/>
        <v>detailed</v>
      </c>
      <c r="M349" s="117" t="str">
        <f t="shared" si="58"/>
        <v>detailed Mining</v>
      </c>
      <c r="N349" s="179">
        <v>19335</v>
      </c>
      <c r="O349" s="179"/>
      <c r="P349" s="179"/>
      <c r="Q349" s="179"/>
      <c r="R349" s="179"/>
      <c r="S349" s="117" t="s">
        <v>610</v>
      </c>
      <c r="T349" s="119"/>
      <c r="U349" s="117"/>
      <c r="V349" s="117" t="s">
        <v>684</v>
      </c>
      <c r="W349" s="89"/>
      <c r="X349" s="117"/>
      <c r="Y349" s="117"/>
      <c r="Z349" s="117"/>
      <c r="AA349" s="177"/>
      <c r="AB349" s="177"/>
      <c r="AC349" s="122"/>
      <c r="AD349" s="122"/>
      <c r="AE349" s="122"/>
      <c r="AF349" s="123"/>
      <c r="AG349" s="117"/>
      <c r="AH349" s="124"/>
      <c r="AI349" s="117"/>
      <c r="AJ349" s="117"/>
      <c r="AK349" s="89"/>
      <c r="AL349" s="117"/>
      <c r="AM349" s="117"/>
      <c r="AN349" s="117"/>
      <c r="AO349" s="117"/>
      <c r="AP349" s="117"/>
      <c r="AQ349" s="117"/>
      <c r="AR349" s="126"/>
      <c r="AS349" s="117"/>
      <c r="AT349" s="117"/>
      <c r="AU349" s="117"/>
      <c r="AV349" s="128"/>
      <c r="AW349" s="117">
        <f>VLOOKUP($D349,'WB Data'!$C$3:$M$578,2,FALSE)</f>
        <v>19206015304.782166</v>
      </c>
      <c r="AX349" s="117">
        <f>VLOOKUP($D349,'WB Data'!$C$3:$M$578,3,FALSE)</f>
        <v>58819038</v>
      </c>
      <c r="AY349" s="847">
        <f t="shared" si="61"/>
        <v>2.6872697533178613E-2</v>
      </c>
      <c r="AZ349" s="117">
        <f>VLOOKUP($D349,'WB Data'!$C$3:$M$578,4,FALSE)/100</f>
        <v>0.11838614678185727</v>
      </c>
      <c r="BA349" s="117">
        <f t="shared" si="62"/>
        <v>2273726146.9665384</v>
      </c>
      <c r="BB349" s="129">
        <f>IFERROR(VLOOKUP($D349,'EITI Revenues'!$C$2:$G$224,5,FALSE),"..")</f>
        <v>516117440.10301042</v>
      </c>
      <c r="BC349" s="846">
        <f t="shared" si="63"/>
        <v>0.22699190964205679</v>
      </c>
      <c r="BD349" s="129" t="e">
        <f>VLOOKUP($D349,'WB Data 2'!$C$2:$K$545,6,FALSE)</f>
        <v>#N/A</v>
      </c>
      <c r="BE349" s="129">
        <f>IFERROR(VLOOKUP($D349,UNCTAD!$C$5:$V$529,4,FALSE),"..")</f>
        <v>7572889547.6400003</v>
      </c>
      <c r="BF349" s="846" t="str">
        <f t="shared" si="64"/>
        <v>..</v>
      </c>
      <c r="BG349" s="117">
        <f>VLOOKUP($D349,'WB Data'!$C$3:$M$578,5,FALSE)</f>
        <v>1765970000</v>
      </c>
      <c r="BH349" s="129">
        <f>IFERROR($BB349/$BG349,"..")</f>
        <v>0.29225719582043319</v>
      </c>
      <c r="BI349" s="117" t="str">
        <f>IFERROR(VLOOKUP($D349,'WB Data'!$C$3:$M$578,7,FALSE)/100,"..")</f>
        <v>..</v>
      </c>
      <c r="BJ349" s="117" t="str">
        <f>IFERROR($BI349*$AW349,"..")</f>
        <v>..</v>
      </c>
      <c r="BK349" s="846" t="str">
        <f>IFERROR($BB349/$BJ349,"..")</f>
        <v>..</v>
      </c>
      <c r="BL349" s="117" t="str">
        <f>IFERROR(VLOOKUP($D349,'WB Data'!$C$3:$M$578,7,FALSE)/100,"..")</f>
        <v>..</v>
      </c>
      <c r="BM349" s="117" t="str">
        <f>IFERROR($AW349*$BL349,"..")</f>
        <v>..</v>
      </c>
      <c r="BN349" s="846" t="str">
        <f>IFERROR($BB349/$BM349,"..")</f>
        <v>..</v>
      </c>
      <c r="BO349" s="801" t="str">
        <f t="shared" si="60"/>
        <v>..</v>
      </c>
      <c r="BP349" s="117" t="str">
        <f>VLOOKUP($D349,'WB Data'!$C$3:$M$578,9,FALSE)</f>
        <v>..</v>
      </c>
      <c r="BQ349" s="117">
        <f>VLOOKUP($D349,'WB Data'!$C$3:$M$578,10,FALSE)</f>
        <v>48.439585365853667</v>
      </c>
      <c r="BR349" s="117">
        <f>VLOOKUP($D349,'WB Data'!$C$3:$M$578,11,FALSE)</f>
        <v>97.1</v>
      </c>
      <c r="BS349" s="129" t="str">
        <f>IFERROR(VLOOKUP($D349,'WB Data 2'!$C$2:$K$545,9,FALSE),"..")</f>
        <v>..</v>
      </c>
      <c r="BT349" s="129" t="str">
        <f>_xlfn.IFNA(VLOOKUP($C349,RGI!$A$2:$C$43,2,FALSE),"..")</f>
        <v>..</v>
      </c>
      <c r="BU349" s="129" t="str">
        <f>_xlfn.IFNA(VLOOKUP($C349,RGI!$A$2:$C$43,3,FALSE),"..")</f>
        <v>..</v>
      </c>
      <c r="BV349" s="129">
        <f>VLOOKUP($D349,WGI!$C$2:$O$478,7,FALSE)</f>
        <v>-1.4471400969582999</v>
      </c>
      <c r="BW349" s="129">
        <f>VLOOKUP($D349,WGI!$C$2:$O$478,4,FALSE)</f>
        <v>-2.0280985228008102</v>
      </c>
      <c r="BX349" s="129">
        <f>VLOOKUP($D349,WGI!$C$2:$O$478,3,FALSE)</f>
        <v>-1.67277466539245</v>
      </c>
      <c r="BY349" s="129">
        <f>VLOOKUP($D349,WGI!$C$2:$O$478,5,FALSE)</f>
        <v>-1.2968034402976401</v>
      </c>
      <c r="BZ349" s="129">
        <f>VLOOKUP($D349,WGI!$C$2:$O$478,2,FALSE)</f>
        <v>-1.16688121811319</v>
      </c>
      <c r="CB349" s="129"/>
    </row>
    <row r="350" spans="1:80" s="120" customFormat="1" ht="15" customHeight="1">
      <c r="A350" s="294" t="s">
        <v>174</v>
      </c>
      <c r="B350" s="117">
        <v>2008</v>
      </c>
      <c r="C350" s="132" t="s">
        <v>171</v>
      </c>
      <c r="D350" s="117" t="s">
        <v>3590</v>
      </c>
      <c r="E350" s="117" t="s">
        <v>86</v>
      </c>
      <c r="F350" s="117"/>
      <c r="G350" s="117" t="s">
        <v>24</v>
      </c>
      <c r="H350" s="117" t="str">
        <f t="shared" si="55"/>
        <v>yes</v>
      </c>
      <c r="I350" s="117" t="str">
        <f t="shared" si="56"/>
        <v>no</v>
      </c>
      <c r="J350" s="117" t="str">
        <f t="shared" si="57"/>
        <v>no</v>
      </c>
      <c r="K350" s="176" t="s">
        <v>1077</v>
      </c>
      <c r="L350" s="117" t="str">
        <f t="shared" si="59"/>
        <v>detailed</v>
      </c>
      <c r="M350" s="117" t="str">
        <f t="shared" si="58"/>
        <v>detailed Mining</v>
      </c>
      <c r="N350" s="179">
        <v>12600</v>
      </c>
      <c r="O350" s="179"/>
      <c r="P350" s="179"/>
      <c r="Q350" s="179"/>
      <c r="R350" s="179"/>
      <c r="S350" s="117" t="s">
        <v>610</v>
      </c>
      <c r="T350" s="119"/>
      <c r="U350" s="117"/>
      <c r="V350" s="117" t="s">
        <v>684</v>
      </c>
      <c r="W350" s="89"/>
      <c r="X350" s="117"/>
      <c r="Y350" s="117"/>
      <c r="Z350" s="117"/>
      <c r="AA350" s="177"/>
      <c r="AB350" s="177"/>
      <c r="AC350" s="122"/>
      <c r="AD350" s="122"/>
      <c r="AE350" s="122"/>
      <c r="AF350" s="123"/>
      <c r="AG350" s="117"/>
      <c r="AH350" s="124"/>
      <c r="AI350" s="117"/>
      <c r="AJ350" s="117"/>
      <c r="AK350" s="89"/>
      <c r="AL350" s="117"/>
      <c r="AM350" s="117"/>
      <c r="AN350" s="117"/>
      <c r="AO350" s="117"/>
      <c r="AP350" s="117"/>
      <c r="AQ350" s="117"/>
      <c r="AR350" s="126"/>
      <c r="AS350" s="117"/>
      <c r="AT350" s="117"/>
      <c r="AU350" s="117"/>
      <c r="AV350" s="128"/>
      <c r="AW350" s="117">
        <f>VLOOKUP($D350,'WB Data'!$C$3:$M$578,2,FALSE)</f>
        <v>19206015304.782166</v>
      </c>
      <c r="AX350" s="117">
        <f>VLOOKUP($D350,'WB Data'!$C$3:$M$578,3,FALSE)</f>
        <v>58819038</v>
      </c>
      <c r="AY350" s="847">
        <f t="shared" si="61"/>
        <v>2.6872697533178613E-2</v>
      </c>
      <c r="AZ350" s="117">
        <f>VLOOKUP($D350,'WB Data'!$C$3:$M$578,4,FALSE)/100</f>
        <v>0.11838614678185727</v>
      </c>
      <c r="BA350" s="117">
        <f t="shared" si="62"/>
        <v>2273726146.9665384</v>
      </c>
      <c r="BB350" s="129">
        <f>IFERROR(VLOOKUP($D350,'EITI Revenues'!$C$2:$G$224,5,FALSE),"..")</f>
        <v>516117440.10301042</v>
      </c>
      <c r="BC350" s="846">
        <f t="shared" si="63"/>
        <v>0.22699190964205679</v>
      </c>
      <c r="BD350" s="129" t="e">
        <f>VLOOKUP($D350,'WB Data 2'!$C$2:$K$545,6,FALSE)</f>
        <v>#N/A</v>
      </c>
      <c r="BE350" s="129">
        <f>IFERROR(VLOOKUP($D350,UNCTAD!$C$5:$V$529,4,FALSE),"..")</f>
        <v>7572889547.6400003</v>
      </c>
      <c r="BF350" s="846" t="str">
        <f t="shared" si="64"/>
        <v>..</v>
      </c>
      <c r="BG350" s="117">
        <f>VLOOKUP($D350,'WB Data'!$C$3:$M$578,5,FALSE)</f>
        <v>1765970000</v>
      </c>
      <c r="BH350" s="129">
        <f>IFERROR($BB350/$BG350,"..")</f>
        <v>0.29225719582043319</v>
      </c>
      <c r="BI350" s="117" t="str">
        <f>IFERROR(VLOOKUP($D350,'WB Data'!$C$3:$M$578,7,FALSE)/100,"..")</f>
        <v>..</v>
      </c>
      <c r="BJ350" s="117" t="str">
        <f>IFERROR($BI350*$AW350,"..")</f>
        <v>..</v>
      </c>
      <c r="BK350" s="846" t="str">
        <f>IFERROR($BB350/$BJ350,"..")</f>
        <v>..</v>
      </c>
      <c r="BL350" s="117" t="str">
        <f>IFERROR(VLOOKUP($D350,'WB Data'!$C$3:$M$578,7,FALSE)/100,"..")</f>
        <v>..</v>
      </c>
      <c r="BM350" s="117" t="str">
        <f>IFERROR($AW350*$BL350,"..")</f>
        <v>..</v>
      </c>
      <c r="BN350" s="846" t="str">
        <f>IFERROR($BB350/$BM350,"..")</f>
        <v>..</v>
      </c>
      <c r="BO350" s="801" t="str">
        <f t="shared" si="60"/>
        <v>..</v>
      </c>
      <c r="BP350" s="117" t="str">
        <f>VLOOKUP($D350,'WB Data'!$C$3:$M$578,9,FALSE)</f>
        <v>..</v>
      </c>
      <c r="BQ350" s="117">
        <f>VLOOKUP($D350,'WB Data'!$C$3:$M$578,10,FALSE)</f>
        <v>48.439585365853667</v>
      </c>
      <c r="BR350" s="117">
        <f>VLOOKUP($D350,'WB Data'!$C$3:$M$578,11,FALSE)</f>
        <v>97.1</v>
      </c>
      <c r="BS350" s="129" t="str">
        <f>IFERROR(VLOOKUP($D350,'WB Data 2'!$C$2:$K$545,9,FALSE),"..")</f>
        <v>..</v>
      </c>
      <c r="BT350" s="129" t="str">
        <f>_xlfn.IFNA(VLOOKUP($C350,RGI!$A$2:$C$43,2,FALSE),"..")</f>
        <v>..</v>
      </c>
      <c r="BU350" s="129" t="str">
        <f>_xlfn.IFNA(VLOOKUP($C350,RGI!$A$2:$C$43,3,FALSE),"..")</f>
        <v>..</v>
      </c>
      <c r="BV350" s="129">
        <f>VLOOKUP($D350,WGI!$C$2:$O$478,7,FALSE)</f>
        <v>-1.4471400969582999</v>
      </c>
      <c r="BW350" s="129">
        <f>VLOOKUP($D350,WGI!$C$2:$O$478,4,FALSE)</f>
        <v>-2.0280985228008102</v>
      </c>
      <c r="BX350" s="129">
        <f>VLOOKUP($D350,WGI!$C$2:$O$478,3,FALSE)</f>
        <v>-1.67277466539245</v>
      </c>
      <c r="BY350" s="129">
        <f>VLOOKUP($D350,WGI!$C$2:$O$478,5,FALSE)</f>
        <v>-1.2968034402976401</v>
      </c>
      <c r="BZ350" s="129">
        <f>VLOOKUP($D350,WGI!$C$2:$O$478,2,FALSE)</f>
        <v>-1.16688121811319</v>
      </c>
      <c r="CB350" s="129"/>
    </row>
    <row r="351" spans="1:80" s="120" customFormat="1" ht="15" customHeight="1">
      <c r="A351" s="294" t="s">
        <v>174</v>
      </c>
      <c r="B351" s="117">
        <v>2008</v>
      </c>
      <c r="C351" s="132" t="s">
        <v>171</v>
      </c>
      <c r="D351" s="117" t="s">
        <v>3590</v>
      </c>
      <c r="E351" s="117" t="s">
        <v>86</v>
      </c>
      <c r="F351" s="117"/>
      <c r="G351" s="117" t="s">
        <v>24</v>
      </c>
      <c r="H351" s="117" t="str">
        <f t="shared" si="55"/>
        <v>yes</v>
      </c>
      <c r="I351" s="117" t="str">
        <f t="shared" si="56"/>
        <v>no</v>
      </c>
      <c r="J351" s="117" t="str">
        <f t="shared" si="57"/>
        <v>no</v>
      </c>
      <c r="K351" s="176" t="s">
        <v>1078</v>
      </c>
      <c r="L351" s="117" t="str">
        <f t="shared" si="59"/>
        <v>detailed</v>
      </c>
      <c r="M351" s="117" t="str">
        <f t="shared" si="58"/>
        <v>detailed Mining</v>
      </c>
      <c r="N351" s="179"/>
      <c r="O351" s="179"/>
      <c r="P351" s="179"/>
      <c r="Q351" s="179"/>
      <c r="R351" s="179"/>
      <c r="S351" s="117"/>
      <c r="T351" s="119">
        <v>174</v>
      </c>
      <c r="U351" s="117" t="s">
        <v>611</v>
      </c>
      <c r="V351" s="117" t="s">
        <v>1095</v>
      </c>
      <c r="W351" s="89">
        <f>N353*T351</f>
        <v>64380</v>
      </c>
      <c r="X351" s="117"/>
      <c r="Y351" s="117"/>
      <c r="Z351" s="117"/>
      <c r="AA351" s="177"/>
      <c r="AB351" s="177"/>
      <c r="AC351" s="122"/>
      <c r="AD351" s="122"/>
      <c r="AE351" s="122"/>
      <c r="AF351" s="123"/>
      <c r="AG351" s="117"/>
      <c r="AH351" s="124"/>
      <c r="AI351" s="117"/>
      <c r="AJ351" s="117"/>
      <c r="AK351" s="89"/>
      <c r="AL351" s="117"/>
      <c r="AM351" s="117"/>
      <c r="AN351" s="117"/>
      <c r="AO351" s="117"/>
      <c r="AP351" s="117"/>
      <c r="AQ351" s="117"/>
      <c r="AR351" s="126"/>
      <c r="AS351" s="117"/>
      <c r="AT351" s="117"/>
      <c r="AU351" s="117"/>
      <c r="AV351" s="128"/>
      <c r="AW351" s="117">
        <f>VLOOKUP($D351,'WB Data'!$C$3:$M$578,2,FALSE)</f>
        <v>19206015304.782166</v>
      </c>
      <c r="AX351" s="117">
        <f>VLOOKUP($D351,'WB Data'!$C$3:$M$578,3,FALSE)</f>
        <v>58819038</v>
      </c>
      <c r="AY351" s="847">
        <f t="shared" si="61"/>
        <v>2.6872697533178613E-2</v>
      </c>
      <c r="AZ351" s="117">
        <f>VLOOKUP($D351,'WB Data'!$C$3:$M$578,4,FALSE)/100</f>
        <v>0.11838614678185727</v>
      </c>
      <c r="BA351" s="117">
        <f t="shared" si="62"/>
        <v>2273726146.9665384</v>
      </c>
      <c r="BB351" s="129">
        <f>IFERROR(VLOOKUP($D351,'EITI Revenues'!$C$2:$G$224,5,FALSE),"..")</f>
        <v>516117440.10301042</v>
      </c>
      <c r="BC351" s="846">
        <f t="shared" si="63"/>
        <v>0.22699190964205679</v>
      </c>
      <c r="BD351" s="129" t="e">
        <f>VLOOKUP($D351,'WB Data 2'!$C$2:$K$545,6,FALSE)</f>
        <v>#N/A</v>
      </c>
      <c r="BE351" s="129">
        <f>IFERROR(VLOOKUP($D351,UNCTAD!$C$5:$V$529,4,FALSE),"..")</f>
        <v>7572889547.6400003</v>
      </c>
      <c r="BF351" s="846" t="str">
        <f t="shared" si="64"/>
        <v>..</v>
      </c>
      <c r="BG351" s="117">
        <f>VLOOKUP($D351,'WB Data'!$C$3:$M$578,5,FALSE)</f>
        <v>1765970000</v>
      </c>
      <c r="BH351" s="129">
        <f>IFERROR($BB351/$BG351,"..")</f>
        <v>0.29225719582043319</v>
      </c>
      <c r="BI351" s="117" t="str">
        <f>IFERROR(VLOOKUP($D351,'WB Data'!$C$3:$M$578,7,FALSE)/100,"..")</f>
        <v>..</v>
      </c>
      <c r="BJ351" s="117" t="str">
        <f>IFERROR($BI351*$AW351,"..")</f>
        <v>..</v>
      </c>
      <c r="BK351" s="846" t="str">
        <f>IFERROR($BB351/$BJ351,"..")</f>
        <v>..</v>
      </c>
      <c r="BL351" s="117" t="str">
        <f>IFERROR(VLOOKUP($D351,'WB Data'!$C$3:$M$578,7,FALSE)/100,"..")</f>
        <v>..</v>
      </c>
      <c r="BM351" s="117" t="str">
        <f>IFERROR($AW351*$BL351,"..")</f>
        <v>..</v>
      </c>
      <c r="BN351" s="846" t="str">
        <f>IFERROR($BB351/$BM351,"..")</f>
        <v>..</v>
      </c>
      <c r="BO351" s="801" t="str">
        <f t="shared" si="60"/>
        <v>..</v>
      </c>
      <c r="BP351" s="117" t="str">
        <f>VLOOKUP($D351,'WB Data'!$C$3:$M$578,9,FALSE)</f>
        <v>..</v>
      </c>
      <c r="BQ351" s="117">
        <f>VLOOKUP($D351,'WB Data'!$C$3:$M$578,10,FALSE)</f>
        <v>48.439585365853667</v>
      </c>
      <c r="BR351" s="117">
        <f>VLOOKUP($D351,'WB Data'!$C$3:$M$578,11,FALSE)</f>
        <v>97.1</v>
      </c>
      <c r="BS351" s="129" t="str">
        <f>IFERROR(VLOOKUP($D351,'WB Data 2'!$C$2:$K$545,9,FALSE),"..")</f>
        <v>..</v>
      </c>
      <c r="BT351" s="129" t="str">
        <f>_xlfn.IFNA(VLOOKUP($C351,RGI!$A$2:$C$43,2,FALSE),"..")</f>
        <v>..</v>
      </c>
      <c r="BU351" s="129" t="str">
        <f>_xlfn.IFNA(VLOOKUP($C351,RGI!$A$2:$C$43,3,FALSE),"..")</f>
        <v>..</v>
      </c>
      <c r="BV351" s="129">
        <f>VLOOKUP($D351,WGI!$C$2:$O$478,7,FALSE)</f>
        <v>-1.4471400969582999</v>
      </c>
      <c r="BW351" s="129">
        <f>VLOOKUP($D351,WGI!$C$2:$O$478,4,FALSE)</f>
        <v>-2.0280985228008102</v>
      </c>
      <c r="BX351" s="129">
        <f>VLOOKUP($D351,WGI!$C$2:$O$478,3,FALSE)</f>
        <v>-1.67277466539245</v>
      </c>
      <c r="BY351" s="129">
        <f>VLOOKUP($D351,WGI!$C$2:$O$478,5,FALSE)</f>
        <v>-1.2968034402976401</v>
      </c>
      <c r="BZ351" s="129">
        <f>VLOOKUP($D351,WGI!$C$2:$O$478,2,FALSE)</f>
        <v>-1.16688121811319</v>
      </c>
      <c r="CB351" s="129"/>
    </row>
    <row r="352" spans="1:80" s="120" customFormat="1" ht="15" customHeight="1">
      <c r="A352" s="294" t="s">
        <v>174</v>
      </c>
      <c r="B352" s="117">
        <v>2008</v>
      </c>
      <c r="C352" s="132" t="s">
        <v>171</v>
      </c>
      <c r="D352" s="117" t="s">
        <v>3590</v>
      </c>
      <c r="E352" s="117" t="s">
        <v>86</v>
      </c>
      <c r="F352" s="117"/>
      <c r="G352" s="117" t="s">
        <v>24</v>
      </c>
      <c r="H352" s="117" t="str">
        <f t="shared" si="55"/>
        <v>yes</v>
      </c>
      <c r="I352" s="117" t="str">
        <f t="shared" si="56"/>
        <v>no</v>
      </c>
      <c r="J352" s="117" t="str">
        <f t="shared" si="57"/>
        <v>no</v>
      </c>
      <c r="K352" s="176" t="s">
        <v>1066</v>
      </c>
      <c r="L352" s="117" t="str">
        <f t="shared" si="59"/>
        <v>detailed</v>
      </c>
      <c r="M352" s="117" t="str">
        <f t="shared" si="58"/>
        <v>detailed Mining</v>
      </c>
      <c r="N352" s="179">
        <v>716</v>
      </c>
      <c r="O352" s="179"/>
      <c r="P352" s="179"/>
      <c r="Q352" s="179"/>
      <c r="R352" s="179"/>
      <c r="S352" s="117" t="s">
        <v>610</v>
      </c>
      <c r="T352" s="119"/>
      <c r="U352" s="117"/>
      <c r="V352" s="117" t="s">
        <v>684</v>
      </c>
      <c r="W352" s="89"/>
      <c r="X352" s="117"/>
      <c r="Y352" s="117"/>
      <c r="Z352" s="117"/>
      <c r="AA352" s="177"/>
      <c r="AB352" s="177"/>
      <c r="AC352" s="122"/>
      <c r="AD352" s="122"/>
      <c r="AE352" s="122"/>
      <c r="AF352" s="123"/>
      <c r="AG352" s="117"/>
      <c r="AH352" s="124"/>
      <c r="AI352" s="117"/>
      <c r="AJ352" s="117"/>
      <c r="AK352" s="89"/>
      <c r="AL352" s="117"/>
      <c r="AM352" s="117"/>
      <c r="AN352" s="117"/>
      <c r="AO352" s="117"/>
      <c r="AP352" s="117"/>
      <c r="AQ352" s="117"/>
      <c r="AR352" s="126"/>
      <c r="AS352" s="117"/>
      <c r="AT352" s="117"/>
      <c r="AU352" s="117"/>
      <c r="AV352" s="128"/>
      <c r="AW352" s="117">
        <f>VLOOKUP($D352,'WB Data'!$C$3:$M$578,2,FALSE)</f>
        <v>19206015304.782166</v>
      </c>
      <c r="AX352" s="117">
        <f>VLOOKUP($D352,'WB Data'!$C$3:$M$578,3,FALSE)</f>
        <v>58819038</v>
      </c>
      <c r="AY352" s="847">
        <f t="shared" si="61"/>
        <v>2.6872697533178613E-2</v>
      </c>
      <c r="AZ352" s="117">
        <f>VLOOKUP($D352,'WB Data'!$C$3:$M$578,4,FALSE)/100</f>
        <v>0.11838614678185727</v>
      </c>
      <c r="BA352" s="117">
        <f t="shared" si="62"/>
        <v>2273726146.9665384</v>
      </c>
      <c r="BB352" s="129">
        <f>IFERROR(VLOOKUP($D352,'EITI Revenues'!$C$2:$G$224,5,FALSE),"..")</f>
        <v>516117440.10301042</v>
      </c>
      <c r="BC352" s="846">
        <f t="shared" si="63"/>
        <v>0.22699190964205679</v>
      </c>
      <c r="BD352" s="129" t="e">
        <f>VLOOKUP($D352,'WB Data 2'!$C$2:$K$545,6,FALSE)</f>
        <v>#N/A</v>
      </c>
      <c r="BE352" s="129">
        <f>IFERROR(VLOOKUP($D352,UNCTAD!$C$5:$V$529,4,FALSE),"..")</f>
        <v>7572889547.6400003</v>
      </c>
      <c r="BF352" s="846" t="str">
        <f t="shared" si="64"/>
        <v>..</v>
      </c>
      <c r="BG352" s="117">
        <f>VLOOKUP($D352,'WB Data'!$C$3:$M$578,5,FALSE)</f>
        <v>1765970000</v>
      </c>
      <c r="BH352" s="129">
        <f>IFERROR($BB352/$BG352,"..")</f>
        <v>0.29225719582043319</v>
      </c>
      <c r="BI352" s="117" t="str">
        <f>IFERROR(VLOOKUP($D352,'WB Data'!$C$3:$M$578,7,FALSE)/100,"..")</f>
        <v>..</v>
      </c>
      <c r="BJ352" s="117" t="str">
        <f>IFERROR($BI352*$AW352,"..")</f>
        <v>..</v>
      </c>
      <c r="BK352" s="846" t="str">
        <f>IFERROR($BB352/$BJ352,"..")</f>
        <v>..</v>
      </c>
      <c r="BL352" s="117" t="str">
        <f>IFERROR(VLOOKUP($D352,'WB Data'!$C$3:$M$578,7,FALSE)/100,"..")</f>
        <v>..</v>
      </c>
      <c r="BM352" s="117" t="str">
        <f>IFERROR($AW352*$BL352,"..")</f>
        <v>..</v>
      </c>
      <c r="BN352" s="846" t="str">
        <f>IFERROR($BB352/$BM352,"..")</f>
        <v>..</v>
      </c>
      <c r="BO352" s="801" t="str">
        <f t="shared" si="60"/>
        <v>..</v>
      </c>
      <c r="BP352" s="117" t="str">
        <f>VLOOKUP($D352,'WB Data'!$C$3:$M$578,9,FALSE)</f>
        <v>..</v>
      </c>
      <c r="BQ352" s="117">
        <f>VLOOKUP($D352,'WB Data'!$C$3:$M$578,10,FALSE)</f>
        <v>48.439585365853667</v>
      </c>
      <c r="BR352" s="117">
        <f>VLOOKUP($D352,'WB Data'!$C$3:$M$578,11,FALSE)</f>
        <v>97.1</v>
      </c>
      <c r="BS352" s="129" t="str">
        <f>IFERROR(VLOOKUP($D352,'WB Data 2'!$C$2:$K$545,9,FALSE),"..")</f>
        <v>..</v>
      </c>
      <c r="BT352" s="129" t="str">
        <f>_xlfn.IFNA(VLOOKUP($C352,RGI!$A$2:$C$43,2,FALSE),"..")</f>
        <v>..</v>
      </c>
      <c r="BU352" s="129" t="str">
        <f>_xlfn.IFNA(VLOOKUP($C352,RGI!$A$2:$C$43,3,FALSE),"..")</f>
        <v>..</v>
      </c>
      <c r="BV352" s="129">
        <f>VLOOKUP($D352,WGI!$C$2:$O$478,7,FALSE)</f>
        <v>-1.4471400969582999</v>
      </c>
      <c r="BW352" s="129">
        <f>VLOOKUP($D352,WGI!$C$2:$O$478,4,FALSE)</f>
        <v>-2.0280985228008102</v>
      </c>
      <c r="BX352" s="129">
        <f>VLOOKUP($D352,WGI!$C$2:$O$478,3,FALSE)</f>
        <v>-1.67277466539245</v>
      </c>
      <c r="BY352" s="129">
        <f>VLOOKUP($D352,WGI!$C$2:$O$478,5,FALSE)</f>
        <v>-1.2968034402976401</v>
      </c>
      <c r="BZ352" s="129">
        <f>VLOOKUP($D352,WGI!$C$2:$O$478,2,FALSE)</f>
        <v>-1.16688121811319</v>
      </c>
      <c r="CB352" s="129"/>
    </row>
    <row r="353" spans="1:80" s="120" customFormat="1" ht="15" customHeight="1">
      <c r="A353" s="294" t="s">
        <v>174</v>
      </c>
      <c r="B353" s="117">
        <v>2008</v>
      </c>
      <c r="C353" s="132" t="s">
        <v>171</v>
      </c>
      <c r="D353" s="117" t="s">
        <v>3590</v>
      </c>
      <c r="E353" s="117" t="s">
        <v>86</v>
      </c>
      <c r="F353" s="117"/>
      <c r="G353" s="117" t="s">
        <v>24</v>
      </c>
      <c r="H353" s="117" t="str">
        <f t="shared" si="55"/>
        <v>yes</v>
      </c>
      <c r="I353" s="117" t="str">
        <f t="shared" si="56"/>
        <v>no</v>
      </c>
      <c r="J353" s="117" t="str">
        <f t="shared" si="57"/>
        <v>no</v>
      </c>
      <c r="K353" s="176" t="s">
        <v>1080</v>
      </c>
      <c r="L353" s="117" t="str">
        <f t="shared" si="59"/>
        <v>detailed</v>
      </c>
      <c r="M353" s="117" t="str">
        <f t="shared" si="58"/>
        <v>detailed Mining</v>
      </c>
      <c r="N353" s="179">
        <v>370</v>
      </c>
      <c r="O353" s="179"/>
      <c r="P353" s="179"/>
      <c r="Q353" s="179"/>
      <c r="R353" s="179"/>
      <c r="S353" s="117" t="s">
        <v>610</v>
      </c>
      <c r="T353" s="119"/>
      <c r="U353" s="117"/>
      <c r="V353" s="117" t="s">
        <v>684</v>
      </c>
      <c r="W353" s="89"/>
      <c r="X353" s="117"/>
      <c r="Y353" s="117"/>
      <c r="Z353" s="117"/>
      <c r="AA353" s="177"/>
      <c r="AB353" s="177"/>
      <c r="AC353" s="122"/>
      <c r="AD353" s="122"/>
      <c r="AE353" s="122"/>
      <c r="AF353" s="123"/>
      <c r="AG353" s="117"/>
      <c r="AH353" s="124"/>
      <c r="AI353" s="117"/>
      <c r="AJ353" s="117"/>
      <c r="AK353" s="89"/>
      <c r="AL353" s="117"/>
      <c r="AM353" s="117"/>
      <c r="AN353" s="117"/>
      <c r="AO353" s="117"/>
      <c r="AP353" s="117"/>
      <c r="AQ353" s="117"/>
      <c r="AR353" s="126"/>
      <c r="AS353" s="117"/>
      <c r="AT353" s="117"/>
      <c r="AU353" s="117"/>
      <c r="AV353" s="128"/>
      <c r="AW353" s="117">
        <f>VLOOKUP($D353,'WB Data'!$C$3:$M$578,2,FALSE)</f>
        <v>19206015304.782166</v>
      </c>
      <c r="AX353" s="117">
        <f>VLOOKUP($D353,'WB Data'!$C$3:$M$578,3,FALSE)</f>
        <v>58819038</v>
      </c>
      <c r="AY353" s="847">
        <f t="shared" si="61"/>
        <v>2.6872697533178613E-2</v>
      </c>
      <c r="AZ353" s="117">
        <f>VLOOKUP($D353,'WB Data'!$C$3:$M$578,4,FALSE)/100</f>
        <v>0.11838614678185727</v>
      </c>
      <c r="BA353" s="117">
        <f t="shared" si="62"/>
        <v>2273726146.9665384</v>
      </c>
      <c r="BB353" s="129">
        <f>IFERROR(VLOOKUP($D353,'EITI Revenues'!$C$2:$G$224,5,FALSE),"..")</f>
        <v>516117440.10301042</v>
      </c>
      <c r="BC353" s="846">
        <f t="shared" si="63"/>
        <v>0.22699190964205679</v>
      </c>
      <c r="BD353" s="129" t="e">
        <f>VLOOKUP($D353,'WB Data 2'!$C$2:$K$545,6,FALSE)</f>
        <v>#N/A</v>
      </c>
      <c r="BE353" s="129">
        <f>IFERROR(VLOOKUP($D353,UNCTAD!$C$5:$V$529,4,FALSE),"..")</f>
        <v>7572889547.6400003</v>
      </c>
      <c r="BF353" s="846" t="str">
        <f t="shared" si="64"/>
        <v>..</v>
      </c>
      <c r="BG353" s="117">
        <f>VLOOKUP($D353,'WB Data'!$C$3:$M$578,5,FALSE)</f>
        <v>1765970000</v>
      </c>
      <c r="BH353" s="129">
        <f>IFERROR($BB353/$BG353,"..")</f>
        <v>0.29225719582043319</v>
      </c>
      <c r="BI353" s="117" t="str">
        <f>IFERROR(VLOOKUP($D353,'WB Data'!$C$3:$M$578,7,FALSE)/100,"..")</f>
        <v>..</v>
      </c>
      <c r="BJ353" s="117" t="str">
        <f>IFERROR($BI353*$AW353,"..")</f>
        <v>..</v>
      </c>
      <c r="BK353" s="846" t="str">
        <f>IFERROR($BB353/$BJ353,"..")</f>
        <v>..</v>
      </c>
      <c r="BL353" s="117" t="str">
        <f>IFERROR(VLOOKUP($D353,'WB Data'!$C$3:$M$578,7,FALSE)/100,"..")</f>
        <v>..</v>
      </c>
      <c r="BM353" s="117" t="str">
        <f>IFERROR($AW353*$BL353,"..")</f>
        <v>..</v>
      </c>
      <c r="BN353" s="846" t="str">
        <f>IFERROR($BB353/$BM353,"..")</f>
        <v>..</v>
      </c>
      <c r="BO353" s="801" t="str">
        <f t="shared" si="60"/>
        <v>..</v>
      </c>
      <c r="BP353" s="117" t="str">
        <f>VLOOKUP($D353,'WB Data'!$C$3:$M$578,9,FALSE)</f>
        <v>..</v>
      </c>
      <c r="BQ353" s="117">
        <f>VLOOKUP($D353,'WB Data'!$C$3:$M$578,10,FALSE)</f>
        <v>48.439585365853667</v>
      </c>
      <c r="BR353" s="117">
        <f>VLOOKUP($D353,'WB Data'!$C$3:$M$578,11,FALSE)</f>
        <v>97.1</v>
      </c>
      <c r="BS353" s="129" t="str">
        <f>IFERROR(VLOOKUP($D353,'WB Data 2'!$C$2:$K$545,9,FALSE),"..")</f>
        <v>..</v>
      </c>
      <c r="BT353" s="129" t="str">
        <f>_xlfn.IFNA(VLOOKUP($C353,RGI!$A$2:$C$43,2,FALSE),"..")</f>
        <v>..</v>
      </c>
      <c r="BU353" s="129" t="str">
        <f>_xlfn.IFNA(VLOOKUP($C353,RGI!$A$2:$C$43,3,FALSE),"..")</f>
        <v>..</v>
      </c>
      <c r="BV353" s="129">
        <f>VLOOKUP($D353,WGI!$C$2:$O$478,7,FALSE)</f>
        <v>-1.4471400969582999</v>
      </c>
      <c r="BW353" s="129">
        <f>VLOOKUP($D353,WGI!$C$2:$O$478,4,FALSE)</f>
        <v>-2.0280985228008102</v>
      </c>
      <c r="BX353" s="129">
        <f>VLOOKUP($D353,WGI!$C$2:$O$478,3,FALSE)</f>
        <v>-1.67277466539245</v>
      </c>
      <c r="BY353" s="129">
        <f>VLOOKUP($D353,WGI!$C$2:$O$478,5,FALSE)</f>
        <v>-1.2968034402976401</v>
      </c>
      <c r="BZ353" s="129">
        <f>VLOOKUP($D353,WGI!$C$2:$O$478,2,FALSE)</f>
        <v>-1.16688121811319</v>
      </c>
      <c r="CB353" s="129"/>
    </row>
    <row r="354" spans="1:80" s="158" customFormat="1" ht="15" customHeight="1">
      <c r="A354" s="295" t="s">
        <v>174</v>
      </c>
      <c r="B354" s="149">
        <v>2008</v>
      </c>
      <c r="C354" s="132" t="s">
        <v>171</v>
      </c>
      <c r="D354" s="117" t="s">
        <v>3590</v>
      </c>
      <c r="E354" s="149" t="s">
        <v>86</v>
      </c>
      <c r="F354" s="149"/>
      <c r="G354" s="117" t="s">
        <v>24</v>
      </c>
      <c r="H354" s="117" t="str">
        <f t="shared" si="55"/>
        <v>yes</v>
      </c>
      <c r="I354" s="117" t="str">
        <f t="shared" si="56"/>
        <v>no</v>
      </c>
      <c r="J354" s="117" t="str">
        <f t="shared" si="57"/>
        <v>no</v>
      </c>
      <c r="K354" s="188" t="s">
        <v>1081</v>
      </c>
      <c r="L354" s="117" t="str">
        <f t="shared" si="59"/>
        <v>detailed</v>
      </c>
      <c r="M354" s="117" t="str">
        <f t="shared" si="58"/>
        <v>detailed Mining</v>
      </c>
      <c r="N354" s="216">
        <v>15465</v>
      </c>
      <c r="O354" s="216"/>
      <c r="P354" s="216"/>
      <c r="Q354" s="216"/>
      <c r="R354" s="216"/>
      <c r="S354" s="149" t="s">
        <v>610</v>
      </c>
      <c r="T354" s="350">
        <f>1874.70866666667</f>
        <v>1874.7086666666701</v>
      </c>
      <c r="U354" s="149" t="s">
        <v>611</v>
      </c>
      <c r="V354" s="149" t="s">
        <v>1096</v>
      </c>
      <c r="W354" s="152">
        <f>N354*T354</f>
        <v>28992369.530000053</v>
      </c>
      <c r="X354" s="149"/>
      <c r="Y354" s="149"/>
      <c r="Z354" s="149"/>
      <c r="AA354" s="284"/>
      <c r="AB354" s="284"/>
      <c r="AC354" s="154"/>
      <c r="AD354" s="154"/>
      <c r="AE354" s="154"/>
      <c r="AF354" s="155"/>
      <c r="AG354" s="149"/>
      <c r="AH354" s="156"/>
      <c r="AI354" s="149"/>
      <c r="AJ354" s="149"/>
      <c r="AK354" s="152"/>
      <c r="AL354" s="149"/>
      <c r="AM354" s="149"/>
      <c r="AN354" s="149"/>
      <c r="AO354" s="149"/>
      <c r="AP354" s="149"/>
      <c r="AQ354" s="149"/>
      <c r="AR354" s="220"/>
      <c r="AS354" s="149"/>
      <c r="AT354" s="149"/>
      <c r="AU354" s="149"/>
      <c r="AV354" s="157"/>
      <c r="AW354" s="117">
        <f>VLOOKUP($D354,'WB Data'!$C$3:$M$578,2,FALSE)</f>
        <v>19206015304.782166</v>
      </c>
      <c r="AX354" s="117">
        <f>VLOOKUP($D354,'WB Data'!$C$3:$M$578,3,FALSE)</f>
        <v>58819038</v>
      </c>
      <c r="AY354" s="847">
        <f t="shared" si="61"/>
        <v>2.6872697533178613E-2</v>
      </c>
      <c r="AZ354" s="117">
        <f>VLOOKUP($D354,'WB Data'!$C$3:$M$578,4,FALSE)/100</f>
        <v>0.11838614678185727</v>
      </c>
      <c r="BA354" s="117">
        <f t="shared" si="62"/>
        <v>2273726146.9665384</v>
      </c>
      <c r="BB354" s="129">
        <f>IFERROR(VLOOKUP($D354,'EITI Revenues'!$C$2:$G$224,5,FALSE),"..")</f>
        <v>516117440.10301042</v>
      </c>
      <c r="BC354" s="846">
        <f t="shared" si="63"/>
        <v>0.22699190964205679</v>
      </c>
      <c r="BD354" s="129" t="e">
        <f>VLOOKUP($D354,'WB Data 2'!$C$2:$K$545,6,FALSE)</f>
        <v>#N/A</v>
      </c>
      <c r="BE354" s="129">
        <f>IFERROR(VLOOKUP($D354,UNCTAD!$C$5:$V$529,4,FALSE),"..")</f>
        <v>7572889547.6400003</v>
      </c>
      <c r="BF354" s="846" t="str">
        <f t="shared" si="64"/>
        <v>..</v>
      </c>
      <c r="BG354" s="117">
        <f>VLOOKUP($D354,'WB Data'!$C$3:$M$578,5,FALSE)</f>
        <v>1765970000</v>
      </c>
      <c r="BH354" s="129">
        <f>IFERROR($BB354/$BG354,"..")</f>
        <v>0.29225719582043319</v>
      </c>
      <c r="BI354" s="117" t="str">
        <f>IFERROR(VLOOKUP($D354,'WB Data'!$C$3:$M$578,7,FALSE)/100,"..")</f>
        <v>..</v>
      </c>
      <c r="BJ354" s="117" t="str">
        <f>IFERROR($BI354*$AW354,"..")</f>
        <v>..</v>
      </c>
      <c r="BK354" s="846" t="str">
        <f>IFERROR($BB354/$BJ354,"..")</f>
        <v>..</v>
      </c>
      <c r="BL354" s="117" t="str">
        <f>IFERROR(VLOOKUP($D354,'WB Data'!$C$3:$M$578,7,FALSE)/100,"..")</f>
        <v>..</v>
      </c>
      <c r="BM354" s="117" t="str">
        <f>IFERROR($AW354*$BL354,"..")</f>
        <v>..</v>
      </c>
      <c r="BN354" s="846" t="str">
        <f>IFERROR($BB354/$BM354,"..")</f>
        <v>..</v>
      </c>
      <c r="BO354" s="801" t="str">
        <f t="shared" si="60"/>
        <v>..</v>
      </c>
      <c r="BP354" s="117" t="str">
        <f>VLOOKUP($D354,'WB Data'!$C$3:$M$578,9,FALSE)</f>
        <v>..</v>
      </c>
      <c r="BQ354" s="117">
        <f>VLOOKUP($D354,'WB Data'!$C$3:$M$578,10,FALSE)</f>
        <v>48.439585365853667</v>
      </c>
      <c r="BR354" s="117">
        <f>VLOOKUP($D354,'WB Data'!$C$3:$M$578,11,FALSE)</f>
        <v>97.1</v>
      </c>
      <c r="BS354" s="129" t="str">
        <f>IFERROR(VLOOKUP($D354,'WB Data 2'!$C$2:$K$545,9,FALSE),"..")</f>
        <v>..</v>
      </c>
      <c r="BT354" s="129" t="str">
        <f>_xlfn.IFNA(VLOOKUP($C354,RGI!$A$2:$C$43,2,FALSE),"..")</f>
        <v>..</v>
      </c>
      <c r="BU354" s="129" t="str">
        <f>_xlfn.IFNA(VLOOKUP($C354,RGI!$A$2:$C$43,3,FALSE),"..")</f>
        <v>..</v>
      </c>
      <c r="BV354" s="129">
        <f>VLOOKUP($D354,WGI!$C$2:$O$478,7,FALSE)</f>
        <v>-1.4471400969582999</v>
      </c>
      <c r="BW354" s="129">
        <f>VLOOKUP($D354,WGI!$C$2:$O$478,4,FALSE)</f>
        <v>-2.0280985228008102</v>
      </c>
      <c r="BX354" s="129">
        <f>VLOOKUP($D354,WGI!$C$2:$O$478,3,FALSE)</f>
        <v>-1.67277466539245</v>
      </c>
      <c r="BY354" s="129">
        <f>VLOOKUP($D354,WGI!$C$2:$O$478,5,FALSE)</f>
        <v>-1.2968034402976401</v>
      </c>
      <c r="BZ354" s="129">
        <f>VLOOKUP($D354,WGI!$C$2:$O$478,2,FALSE)</f>
        <v>-1.16688121811319</v>
      </c>
      <c r="CB354" s="129"/>
    </row>
    <row r="355" spans="1:80" ht="15" customHeight="1">
      <c r="A355" s="294" t="s">
        <v>177</v>
      </c>
      <c r="B355" s="117">
        <v>2009</v>
      </c>
      <c r="C355" s="132" t="s">
        <v>171</v>
      </c>
      <c r="D355" s="117" t="s">
        <v>3624</v>
      </c>
      <c r="E355" s="117" t="s">
        <v>86</v>
      </c>
      <c r="F355" s="117" t="s">
        <v>1059</v>
      </c>
      <c r="G355" s="132" t="s">
        <v>41</v>
      </c>
      <c r="H355" s="117" t="str">
        <f t="shared" si="55"/>
        <v>yes</v>
      </c>
      <c r="I355" s="117" t="str">
        <f t="shared" si="56"/>
        <v>no</v>
      </c>
      <c r="J355" s="117" t="str">
        <f t="shared" si="57"/>
        <v>yes</v>
      </c>
      <c r="K355" s="176" t="s">
        <v>709</v>
      </c>
      <c r="L355" s="117" t="str">
        <f t="shared" si="59"/>
        <v>Total</v>
      </c>
      <c r="M355" s="117" t="str">
        <f t="shared" si="58"/>
        <v>Total Oil, Mining</v>
      </c>
      <c r="N355" s="179"/>
      <c r="O355" s="179"/>
      <c r="P355" s="179"/>
      <c r="Q355" s="179"/>
      <c r="R355" s="179"/>
      <c r="S355" s="117"/>
      <c r="T355" s="119"/>
      <c r="U355" s="117"/>
      <c r="V355" s="117"/>
      <c r="W355" s="89">
        <f>W356+W357</f>
        <v>2372226218.9844656</v>
      </c>
      <c r="X355" s="117" t="s">
        <v>1083</v>
      </c>
      <c r="Y355" s="117" t="s">
        <v>602</v>
      </c>
      <c r="Z355" s="117"/>
      <c r="AA355" s="286">
        <v>253718209.59147424</v>
      </c>
      <c r="AB355" s="286">
        <v>294456985.79040849</v>
      </c>
      <c r="AC355" s="122"/>
      <c r="AD355" s="122"/>
      <c r="AE355" s="122"/>
      <c r="AF355" s="123">
        <f>AA355/W355</f>
        <v>0.10695363180839024</v>
      </c>
      <c r="AG355" s="117" t="s">
        <v>1084</v>
      </c>
      <c r="AH355" s="124">
        <v>563</v>
      </c>
      <c r="AI355" s="117" t="s">
        <v>667</v>
      </c>
      <c r="AJ355" s="117"/>
      <c r="AK355" s="89"/>
      <c r="AL355" s="117"/>
      <c r="AM355" s="117"/>
      <c r="AN355" s="117">
        <v>70</v>
      </c>
      <c r="AO355" s="117" t="s">
        <v>1085</v>
      </c>
      <c r="AP355" s="117" t="s">
        <v>1086</v>
      </c>
      <c r="AQ355" s="117" t="s">
        <v>175</v>
      </c>
      <c r="AR355" s="126">
        <v>41950</v>
      </c>
      <c r="AS355" s="117" t="s">
        <v>670</v>
      </c>
      <c r="AT355" s="117" t="s">
        <v>178</v>
      </c>
      <c r="AU355" s="117" t="s">
        <v>1087</v>
      </c>
      <c r="AV355" s="128" t="s">
        <v>1088</v>
      </c>
      <c r="AW355" s="117">
        <f>VLOOKUP($D355,'WB Data'!$C$3:$M$578,2,FALSE)</f>
        <v>18262675199.101006</v>
      </c>
      <c r="AX355" s="117">
        <f>VLOOKUP($D355,'WB Data'!$C$3:$M$578,3,FALSE)</f>
        <v>60486276</v>
      </c>
      <c r="AY355" s="847">
        <f t="shared" si="61"/>
        <v>1.3892718718666349E-2</v>
      </c>
      <c r="AZ355" s="117">
        <f>VLOOKUP($D355,'WB Data'!$C$3:$M$578,4,FALSE)/100</f>
        <v>0.14231813157824752</v>
      </c>
      <c r="BA355" s="117">
        <f t="shared" si="62"/>
        <v>2599109811.9564548</v>
      </c>
      <c r="BB355" s="129">
        <f>IFERROR(VLOOKUP($D355,'EITI Revenues'!$C$2:$G$224,5,FALSE),"..")</f>
        <v>253718209.59147424</v>
      </c>
      <c r="BC355" s="846">
        <f t="shared" si="63"/>
        <v>9.7617348995535633E-2</v>
      </c>
      <c r="BD355" s="129" t="e">
        <f>VLOOKUP($D355,'WB Data 2'!$C$2:$K$545,6,FALSE)</f>
        <v>#N/A</v>
      </c>
      <c r="BE355" s="129">
        <f>IFERROR(VLOOKUP($D355,UNCTAD!$C$5:$V$529,4,FALSE),"..")</f>
        <v>4912488088.9799995</v>
      </c>
      <c r="BF355" s="846" t="str">
        <f t="shared" si="64"/>
        <v>..</v>
      </c>
      <c r="BG355" s="117">
        <f>VLOOKUP($D355,'WB Data'!$C$3:$M$578,5,FALSE)</f>
        <v>2356850000</v>
      </c>
      <c r="BH355" s="129">
        <f>IFERROR($BB355/$BG355,"..")</f>
        <v>0.10765140318283906</v>
      </c>
      <c r="BI355" s="117" t="str">
        <f>IFERROR(VLOOKUP($D355,'WB Data'!$C$3:$M$578,7,FALSE)/100,"..")</f>
        <v>..</v>
      </c>
      <c r="BJ355" s="117" t="str">
        <f>IFERROR($BI355*$AW355,"..")</f>
        <v>..</v>
      </c>
      <c r="BK355" s="846" t="str">
        <f>IFERROR($BB355/$BJ355,"..")</f>
        <v>..</v>
      </c>
      <c r="BL355" s="117" t="str">
        <f>IFERROR(VLOOKUP($D355,'WB Data'!$C$3:$M$578,7,FALSE)/100,"..")</f>
        <v>..</v>
      </c>
      <c r="BM355" s="117" t="str">
        <f>IFERROR($AW355*$BL355,"..")</f>
        <v>..</v>
      </c>
      <c r="BN355" s="846" t="str">
        <f>IFERROR($BB355/$BM355,"..")</f>
        <v>..</v>
      </c>
      <c r="BO355" s="801" t="str">
        <f t="shared" si="60"/>
        <v>..</v>
      </c>
      <c r="BP355" s="117" t="str">
        <f>VLOOKUP($D355,'WB Data'!$C$3:$M$578,9,FALSE)</f>
        <v>..</v>
      </c>
      <c r="BQ355" s="117">
        <f>VLOOKUP($D355,'WB Data'!$C$3:$M$578,10,FALSE)</f>
        <v>48.697804878048785</v>
      </c>
      <c r="BR355" s="117">
        <f>VLOOKUP($D355,'WB Data'!$C$3:$M$578,11,FALSE)</f>
        <v>94.7</v>
      </c>
      <c r="BS355" s="129" t="str">
        <f>IFERROR(VLOOKUP($D355,'WB Data 2'!$C$2:$K$545,9,FALSE),"..")</f>
        <v>..</v>
      </c>
      <c r="BT355" s="129" t="str">
        <f>_xlfn.IFNA(VLOOKUP($C355,RGI!$A$2:$C$43,2,FALSE),"..")</f>
        <v>..</v>
      </c>
      <c r="BU355" s="129" t="str">
        <f>_xlfn.IFNA(VLOOKUP($C355,RGI!$A$2:$C$43,3,FALSE),"..")</f>
        <v>..</v>
      </c>
      <c r="BV355" s="129">
        <f>VLOOKUP($D355,WGI!$C$2:$O$478,7,FALSE)</f>
        <v>-1.44744229343522</v>
      </c>
      <c r="BW355" s="129">
        <f>VLOOKUP($D355,WGI!$C$2:$O$478,4,FALSE)</f>
        <v>-1.98732794178672</v>
      </c>
      <c r="BX355" s="129">
        <f>VLOOKUP($D355,WGI!$C$2:$O$478,3,FALSE)</f>
        <v>-1.7051833014723501</v>
      </c>
      <c r="BY355" s="129">
        <f>VLOOKUP($D355,WGI!$C$2:$O$478,5,FALSE)</f>
        <v>-1.5291692682962501</v>
      </c>
      <c r="BZ355" s="129">
        <f>VLOOKUP($D355,WGI!$C$2:$O$478,2,FALSE)</f>
        <v>-1.36346807993374</v>
      </c>
    </row>
    <row r="356" spans="1:80" ht="15" customHeight="1">
      <c r="A356" s="294" t="s">
        <v>177</v>
      </c>
      <c r="B356" s="117">
        <v>2009</v>
      </c>
      <c r="C356" s="132" t="s">
        <v>171</v>
      </c>
      <c r="D356" s="117" t="s">
        <v>3624</v>
      </c>
      <c r="E356" s="117" t="s">
        <v>86</v>
      </c>
      <c r="F356" s="117"/>
      <c r="G356" s="117" t="s">
        <v>103</v>
      </c>
      <c r="H356" s="117" t="str">
        <f t="shared" si="55"/>
        <v>no</v>
      </c>
      <c r="I356" s="117" t="str">
        <f t="shared" si="56"/>
        <v>no</v>
      </c>
      <c r="J356" s="117" t="str">
        <f t="shared" si="57"/>
        <v>yes</v>
      </c>
      <c r="K356" s="176" t="s">
        <v>103</v>
      </c>
      <c r="L356" s="117" t="str">
        <f t="shared" si="59"/>
        <v>detailed</v>
      </c>
      <c r="M356" s="117" t="str">
        <f t="shared" si="58"/>
        <v>detailed Oil</v>
      </c>
      <c r="N356" s="179">
        <v>8030000</v>
      </c>
      <c r="O356" s="179"/>
      <c r="P356" s="179"/>
      <c r="Q356" s="179"/>
      <c r="R356" s="179"/>
      <c r="S356" s="117" t="s">
        <v>646</v>
      </c>
      <c r="T356" s="119">
        <v>62.082733849999997</v>
      </c>
      <c r="U356" s="117" t="s">
        <v>673</v>
      </c>
      <c r="V356" s="117" t="s">
        <v>1030</v>
      </c>
      <c r="W356" s="89">
        <f>N356*T356</f>
        <v>498524352.81549996</v>
      </c>
      <c r="X356" s="117"/>
      <c r="Y356" s="117"/>
      <c r="Z356" s="117"/>
      <c r="AA356" s="177">
        <v>171616209.59147424</v>
      </c>
      <c r="AB356" s="177">
        <v>172962985.79040852</v>
      </c>
      <c r="AC356" s="122"/>
      <c r="AD356" s="122"/>
      <c r="AE356" s="122"/>
      <c r="AF356" s="123">
        <f>AA356/W356</f>
        <v>0.34424839754014602</v>
      </c>
      <c r="AG356" s="117"/>
      <c r="AH356" s="124"/>
      <c r="AI356" s="117"/>
      <c r="AJ356" s="117"/>
      <c r="AK356" s="89"/>
      <c r="AL356" s="117"/>
      <c r="AM356" s="117"/>
      <c r="AN356" s="117">
        <v>6</v>
      </c>
      <c r="AO356" s="117"/>
      <c r="AP356" s="117">
        <v>6</v>
      </c>
      <c r="AQ356" s="117"/>
      <c r="AR356" s="126"/>
      <c r="AS356" s="117"/>
      <c r="AT356" s="117"/>
      <c r="AU356" s="117"/>
      <c r="AV356" s="128"/>
      <c r="AW356" s="117">
        <f>VLOOKUP($D356,'WB Data'!$C$3:$M$578,2,FALSE)</f>
        <v>18262675199.101006</v>
      </c>
      <c r="AX356" s="117">
        <f>VLOOKUP($D356,'WB Data'!$C$3:$M$578,3,FALSE)</f>
        <v>60486276</v>
      </c>
      <c r="AY356" s="847">
        <f t="shared" si="61"/>
        <v>1.3892718718666349E-2</v>
      </c>
      <c r="AZ356" s="117">
        <f>VLOOKUP($D356,'WB Data'!$C$3:$M$578,4,FALSE)/100</f>
        <v>0.14231813157824752</v>
      </c>
      <c r="BA356" s="117">
        <f t="shared" si="62"/>
        <v>2599109811.9564548</v>
      </c>
      <c r="BB356" s="129">
        <f>IFERROR(VLOOKUP($D356,'EITI Revenues'!$C$2:$G$224,5,FALSE),"..")</f>
        <v>253718209.59147424</v>
      </c>
      <c r="BC356" s="846">
        <f t="shared" si="63"/>
        <v>9.7617348995535633E-2</v>
      </c>
      <c r="BD356" s="129" t="e">
        <f>VLOOKUP($D356,'WB Data 2'!$C$2:$K$545,6,FALSE)</f>
        <v>#N/A</v>
      </c>
      <c r="BE356" s="129">
        <f>IFERROR(VLOOKUP($D356,UNCTAD!$C$5:$V$529,4,FALSE),"..")</f>
        <v>4912488088.9799995</v>
      </c>
      <c r="BF356" s="846" t="str">
        <f t="shared" si="64"/>
        <v>..</v>
      </c>
      <c r="BG356" s="117">
        <f>VLOOKUP($D356,'WB Data'!$C$3:$M$578,5,FALSE)</f>
        <v>2356850000</v>
      </c>
      <c r="BH356" s="129">
        <f>IFERROR($BB356/$BG356,"..")</f>
        <v>0.10765140318283906</v>
      </c>
      <c r="BI356" s="117" t="str">
        <f>IFERROR(VLOOKUP($D356,'WB Data'!$C$3:$M$578,7,FALSE)/100,"..")</f>
        <v>..</v>
      </c>
      <c r="BJ356" s="117" t="str">
        <f>IFERROR($BI356*$AW356,"..")</f>
        <v>..</v>
      </c>
      <c r="BK356" s="846" t="str">
        <f>IFERROR($BB356/$BJ356,"..")</f>
        <v>..</v>
      </c>
      <c r="BL356" s="117" t="str">
        <f>IFERROR(VLOOKUP($D356,'WB Data'!$C$3:$M$578,7,FALSE)/100,"..")</f>
        <v>..</v>
      </c>
      <c r="BM356" s="117" t="str">
        <f>IFERROR($AW356*$BL356,"..")</f>
        <v>..</v>
      </c>
      <c r="BN356" s="846" t="str">
        <f>IFERROR($BB356/$BM356,"..")</f>
        <v>..</v>
      </c>
      <c r="BO356" s="801" t="str">
        <f t="shared" si="60"/>
        <v>..</v>
      </c>
      <c r="BP356" s="117" t="str">
        <f>VLOOKUP($D356,'WB Data'!$C$3:$M$578,9,FALSE)</f>
        <v>..</v>
      </c>
      <c r="BQ356" s="117">
        <f>VLOOKUP($D356,'WB Data'!$C$3:$M$578,10,FALSE)</f>
        <v>48.697804878048785</v>
      </c>
      <c r="BR356" s="117">
        <f>VLOOKUP($D356,'WB Data'!$C$3:$M$578,11,FALSE)</f>
        <v>94.7</v>
      </c>
      <c r="BS356" s="129" t="str">
        <f>IFERROR(VLOOKUP($D356,'WB Data 2'!$C$2:$K$545,9,FALSE),"..")</f>
        <v>..</v>
      </c>
      <c r="BT356" s="129" t="str">
        <f>_xlfn.IFNA(VLOOKUP($C356,RGI!$A$2:$C$43,2,FALSE),"..")</f>
        <v>..</v>
      </c>
      <c r="BU356" s="129" t="str">
        <f>_xlfn.IFNA(VLOOKUP($C356,RGI!$A$2:$C$43,3,FALSE),"..")</f>
        <v>..</v>
      </c>
      <c r="BV356" s="129">
        <f>VLOOKUP($D356,WGI!$C$2:$O$478,7,FALSE)</f>
        <v>-1.44744229343522</v>
      </c>
      <c r="BW356" s="129">
        <f>VLOOKUP($D356,WGI!$C$2:$O$478,4,FALSE)</f>
        <v>-1.98732794178672</v>
      </c>
      <c r="BX356" s="129">
        <f>VLOOKUP($D356,WGI!$C$2:$O$478,3,FALSE)</f>
        <v>-1.7051833014723501</v>
      </c>
      <c r="BY356" s="129">
        <f>VLOOKUP($D356,WGI!$C$2:$O$478,5,FALSE)</f>
        <v>-1.5291692682962501</v>
      </c>
      <c r="BZ356" s="129">
        <f>VLOOKUP($D356,WGI!$C$2:$O$478,2,FALSE)</f>
        <v>-1.36346807993374</v>
      </c>
    </row>
    <row r="357" spans="1:80" ht="15" customHeight="1">
      <c r="A357" s="294" t="s">
        <v>177</v>
      </c>
      <c r="B357" s="117">
        <v>2009</v>
      </c>
      <c r="C357" s="132" t="s">
        <v>171</v>
      </c>
      <c r="D357" s="117" t="s">
        <v>3624</v>
      </c>
      <c r="E357" s="117" t="s">
        <v>86</v>
      </c>
      <c r="F357" s="117"/>
      <c r="G357" s="117" t="s">
        <v>24</v>
      </c>
      <c r="H357" s="117" t="str">
        <f t="shared" si="55"/>
        <v>yes</v>
      </c>
      <c r="I357" s="117" t="str">
        <f t="shared" si="56"/>
        <v>no</v>
      </c>
      <c r="J357" s="117" t="str">
        <f t="shared" si="57"/>
        <v>no</v>
      </c>
      <c r="K357" s="176" t="s">
        <v>600</v>
      </c>
      <c r="L357" s="117" t="str">
        <f t="shared" si="59"/>
        <v>Total</v>
      </c>
      <c r="M357" s="117" t="str">
        <f t="shared" si="58"/>
        <v>Total Mining</v>
      </c>
      <c r="N357" s="179"/>
      <c r="O357" s="179"/>
      <c r="P357" s="179"/>
      <c r="Q357" s="179"/>
      <c r="R357" s="179"/>
      <c r="S357" s="117"/>
      <c r="T357" s="119"/>
      <c r="U357" s="117"/>
      <c r="V357" s="117"/>
      <c r="W357" s="89">
        <f>SUM(W358:W378)</f>
        <v>1873701866.1689656</v>
      </c>
      <c r="X357" s="117"/>
      <c r="Y357" s="117"/>
      <c r="Z357" s="117"/>
      <c r="AA357" s="177">
        <v>82102000</v>
      </c>
      <c r="AB357" s="177">
        <v>121494000</v>
      </c>
      <c r="AC357" s="122"/>
      <c r="AD357" s="122"/>
      <c r="AE357" s="122"/>
      <c r="AF357" s="123">
        <f>AA357/W357</f>
        <v>4.3818070250348062E-2</v>
      </c>
      <c r="AG357" s="117"/>
      <c r="AH357" s="124"/>
      <c r="AI357" s="117"/>
      <c r="AJ357" s="117"/>
      <c r="AK357" s="89"/>
      <c r="AL357" s="117"/>
      <c r="AM357" s="117"/>
      <c r="AN357" s="117">
        <v>64</v>
      </c>
      <c r="AO357" s="117"/>
      <c r="AP357" s="117" t="s">
        <v>1086</v>
      </c>
      <c r="AQ357" s="117"/>
      <c r="AR357" s="126"/>
      <c r="AS357" s="117"/>
      <c r="AT357" s="117"/>
      <c r="AU357" s="117"/>
      <c r="AV357" s="128" t="s">
        <v>1089</v>
      </c>
      <c r="AW357" s="117">
        <f>VLOOKUP($D357,'WB Data'!$C$3:$M$578,2,FALSE)</f>
        <v>18262675199.101006</v>
      </c>
      <c r="AX357" s="117">
        <f>VLOOKUP($D357,'WB Data'!$C$3:$M$578,3,FALSE)</f>
        <v>60486276</v>
      </c>
      <c r="AY357" s="847">
        <f t="shared" si="61"/>
        <v>1.3892718718666349E-2</v>
      </c>
      <c r="AZ357" s="117">
        <f>VLOOKUP($D357,'WB Data'!$C$3:$M$578,4,FALSE)/100</f>
        <v>0.14231813157824752</v>
      </c>
      <c r="BA357" s="117">
        <f t="shared" si="62"/>
        <v>2599109811.9564548</v>
      </c>
      <c r="BB357" s="129">
        <f>IFERROR(VLOOKUP($D357,'EITI Revenues'!$C$2:$G$224,5,FALSE),"..")</f>
        <v>253718209.59147424</v>
      </c>
      <c r="BC357" s="846">
        <f t="shared" si="63"/>
        <v>9.7617348995535633E-2</v>
      </c>
      <c r="BD357" s="129" t="e">
        <f>VLOOKUP($D357,'WB Data 2'!$C$2:$K$545,6,FALSE)</f>
        <v>#N/A</v>
      </c>
      <c r="BE357" s="129">
        <f>IFERROR(VLOOKUP($D357,UNCTAD!$C$5:$V$529,4,FALSE),"..")</f>
        <v>4912488088.9799995</v>
      </c>
      <c r="BF357" s="846" t="str">
        <f t="shared" si="64"/>
        <v>..</v>
      </c>
      <c r="BG357" s="117">
        <f>VLOOKUP($D357,'WB Data'!$C$3:$M$578,5,FALSE)</f>
        <v>2356850000</v>
      </c>
      <c r="BH357" s="129">
        <f>IFERROR($BB357/$BG357,"..")</f>
        <v>0.10765140318283906</v>
      </c>
      <c r="BI357" s="117" t="str">
        <f>IFERROR(VLOOKUP($D357,'WB Data'!$C$3:$M$578,7,FALSE)/100,"..")</f>
        <v>..</v>
      </c>
      <c r="BJ357" s="117" t="str">
        <f>IFERROR($BI357*$AW357,"..")</f>
        <v>..</v>
      </c>
      <c r="BK357" s="846" t="str">
        <f>IFERROR($BB357/$BJ357,"..")</f>
        <v>..</v>
      </c>
      <c r="BL357" s="117" t="str">
        <f>IFERROR(VLOOKUP($D357,'WB Data'!$C$3:$M$578,7,FALSE)/100,"..")</f>
        <v>..</v>
      </c>
      <c r="BM357" s="117" t="str">
        <f>IFERROR($AW357*$BL357,"..")</f>
        <v>..</v>
      </c>
      <c r="BN357" s="846" t="str">
        <f>IFERROR($BB357/$BM357,"..")</f>
        <v>..</v>
      </c>
      <c r="BO357" s="801" t="str">
        <f t="shared" si="60"/>
        <v>..</v>
      </c>
      <c r="BP357" s="117" t="str">
        <f>VLOOKUP($D357,'WB Data'!$C$3:$M$578,9,FALSE)</f>
        <v>..</v>
      </c>
      <c r="BQ357" s="117">
        <f>VLOOKUP($D357,'WB Data'!$C$3:$M$578,10,FALSE)</f>
        <v>48.697804878048785</v>
      </c>
      <c r="BR357" s="117">
        <f>VLOOKUP($D357,'WB Data'!$C$3:$M$578,11,FALSE)</f>
        <v>94.7</v>
      </c>
      <c r="BS357" s="129" t="str">
        <f>IFERROR(VLOOKUP($D357,'WB Data 2'!$C$2:$K$545,9,FALSE),"..")</f>
        <v>..</v>
      </c>
      <c r="BT357" s="129" t="str">
        <f>_xlfn.IFNA(VLOOKUP($C357,RGI!$A$2:$C$43,2,FALSE),"..")</f>
        <v>..</v>
      </c>
      <c r="BU357" s="129" t="str">
        <f>_xlfn.IFNA(VLOOKUP($C357,RGI!$A$2:$C$43,3,FALSE),"..")</f>
        <v>..</v>
      </c>
      <c r="BV357" s="129">
        <f>VLOOKUP($D357,WGI!$C$2:$O$478,7,FALSE)</f>
        <v>-1.44744229343522</v>
      </c>
      <c r="BW357" s="129">
        <f>VLOOKUP($D357,WGI!$C$2:$O$478,4,FALSE)</f>
        <v>-1.98732794178672</v>
      </c>
      <c r="BX357" s="129">
        <f>VLOOKUP($D357,WGI!$C$2:$O$478,3,FALSE)</f>
        <v>-1.7051833014723501</v>
      </c>
      <c r="BY357" s="129">
        <f>VLOOKUP($D357,WGI!$C$2:$O$478,5,FALSE)</f>
        <v>-1.5291692682962501</v>
      </c>
      <c r="BZ357" s="129">
        <f>VLOOKUP($D357,WGI!$C$2:$O$478,2,FALSE)</f>
        <v>-1.36346807993374</v>
      </c>
    </row>
    <row r="358" spans="1:80" ht="15" customHeight="1">
      <c r="A358" s="294" t="s">
        <v>177</v>
      </c>
      <c r="B358" s="117">
        <v>2009</v>
      </c>
      <c r="C358" s="132" t="s">
        <v>171</v>
      </c>
      <c r="D358" s="117" t="s">
        <v>3624</v>
      </c>
      <c r="E358" s="117" t="s">
        <v>86</v>
      </c>
      <c r="F358" s="117"/>
      <c r="G358" s="117" t="s">
        <v>24</v>
      </c>
      <c r="H358" s="117" t="str">
        <f t="shared" si="55"/>
        <v>yes</v>
      </c>
      <c r="I358" s="117" t="str">
        <f t="shared" si="56"/>
        <v>no</v>
      </c>
      <c r="J358" s="117" t="str">
        <f t="shared" si="57"/>
        <v>no</v>
      </c>
      <c r="K358" s="176" t="s">
        <v>1061</v>
      </c>
      <c r="L358" s="117" t="str">
        <f t="shared" si="59"/>
        <v>detailed</v>
      </c>
      <c r="M358" s="117" t="str">
        <f t="shared" si="58"/>
        <v>detailed Mining</v>
      </c>
      <c r="N358" s="179"/>
      <c r="O358" s="179"/>
      <c r="P358" s="179">
        <v>30000</v>
      </c>
      <c r="Q358" s="179"/>
      <c r="R358" s="179"/>
      <c r="S358" s="117" t="s">
        <v>610</v>
      </c>
      <c r="T358" s="119">
        <f>17.86/0.000453592</f>
        <v>39374.592144482267</v>
      </c>
      <c r="U358" s="117" t="s">
        <v>611</v>
      </c>
      <c r="V358" s="117" t="s">
        <v>1090</v>
      </c>
      <c r="W358" s="89">
        <f>N360*T358</f>
        <v>116942538.66911234</v>
      </c>
      <c r="X358" s="117"/>
      <c r="Y358" s="117"/>
      <c r="Z358" s="117"/>
      <c r="AA358" s="177"/>
      <c r="AB358" s="177"/>
      <c r="AC358" s="122"/>
      <c r="AD358" s="122"/>
      <c r="AE358" s="122"/>
      <c r="AF358" s="123"/>
      <c r="AG358" s="117"/>
      <c r="AH358" s="124"/>
      <c r="AI358" s="117"/>
      <c r="AJ358" s="117"/>
      <c r="AK358" s="89"/>
      <c r="AL358" s="117"/>
      <c r="AM358" s="117"/>
      <c r="AN358" s="117"/>
      <c r="AO358" s="117"/>
      <c r="AP358" s="117"/>
      <c r="AQ358" s="117"/>
      <c r="AR358" s="126"/>
      <c r="AS358" s="117"/>
      <c r="AT358" s="117"/>
      <c r="AU358" s="117"/>
      <c r="AV358" s="128"/>
      <c r="AW358" s="117">
        <f>VLOOKUP($D358,'WB Data'!$C$3:$M$578,2,FALSE)</f>
        <v>18262675199.101006</v>
      </c>
      <c r="AX358" s="117">
        <f>VLOOKUP($D358,'WB Data'!$C$3:$M$578,3,FALSE)</f>
        <v>60486276</v>
      </c>
      <c r="AY358" s="847">
        <f t="shared" si="61"/>
        <v>1.3892718718666349E-2</v>
      </c>
      <c r="AZ358" s="117">
        <f>VLOOKUP($D358,'WB Data'!$C$3:$M$578,4,FALSE)/100</f>
        <v>0.14231813157824752</v>
      </c>
      <c r="BA358" s="117">
        <f t="shared" si="62"/>
        <v>2599109811.9564548</v>
      </c>
      <c r="BB358" s="129">
        <f>IFERROR(VLOOKUP($D358,'EITI Revenues'!$C$2:$G$224,5,FALSE),"..")</f>
        <v>253718209.59147424</v>
      </c>
      <c r="BC358" s="846">
        <f t="shared" si="63"/>
        <v>9.7617348995535633E-2</v>
      </c>
      <c r="BD358" s="129" t="e">
        <f>VLOOKUP($D358,'WB Data 2'!$C$2:$K$545,6,FALSE)</f>
        <v>#N/A</v>
      </c>
      <c r="BE358" s="129">
        <f>IFERROR(VLOOKUP($D358,UNCTAD!$C$5:$V$529,4,FALSE),"..")</f>
        <v>4912488088.9799995</v>
      </c>
      <c r="BF358" s="846" t="str">
        <f t="shared" si="64"/>
        <v>..</v>
      </c>
      <c r="BG358" s="117">
        <f>VLOOKUP($D358,'WB Data'!$C$3:$M$578,5,FALSE)</f>
        <v>2356850000</v>
      </c>
      <c r="BH358" s="129">
        <f>IFERROR($BB358/$BG358,"..")</f>
        <v>0.10765140318283906</v>
      </c>
      <c r="BI358" s="117" t="str">
        <f>IFERROR(VLOOKUP($D358,'WB Data'!$C$3:$M$578,7,FALSE)/100,"..")</f>
        <v>..</v>
      </c>
      <c r="BJ358" s="117" t="str">
        <f>IFERROR($BI358*$AW358,"..")</f>
        <v>..</v>
      </c>
      <c r="BK358" s="846" t="str">
        <f>IFERROR($BB358/$BJ358,"..")</f>
        <v>..</v>
      </c>
      <c r="BL358" s="117" t="str">
        <f>IFERROR(VLOOKUP($D358,'WB Data'!$C$3:$M$578,7,FALSE)/100,"..")</f>
        <v>..</v>
      </c>
      <c r="BM358" s="117" t="str">
        <f>IFERROR($AW358*$BL358,"..")</f>
        <v>..</v>
      </c>
      <c r="BN358" s="846" t="str">
        <f>IFERROR($BB358/$BM358,"..")</f>
        <v>..</v>
      </c>
      <c r="BO358" s="801" t="str">
        <f t="shared" si="60"/>
        <v>..</v>
      </c>
      <c r="BP358" s="117" t="str">
        <f>VLOOKUP($D358,'WB Data'!$C$3:$M$578,9,FALSE)</f>
        <v>..</v>
      </c>
      <c r="BQ358" s="117">
        <f>VLOOKUP($D358,'WB Data'!$C$3:$M$578,10,FALSE)</f>
        <v>48.697804878048785</v>
      </c>
      <c r="BR358" s="117">
        <f>VLOOKUP($D358,'WB Data'!$C$3:$M$578,11,FALSE)</f>
        <v>94.7</v>
      </c>
      <c r="BS358" s="129" t="str">
        <f>IFERROR(VLOOKUP($D358,'WB Data 2'!$C$2:$K$545,9,FALSE),"..")</f>
        <v>..</v>
      </c>
      <c r="BT358" s="129" t="str">
        <f>_xlfn.IFNA(VLOOKUP($C358,RGI!$A$2:$C$43,2,FALSE),"..")</f>
        <v>..</v>
      </c>
      <c r="BU358" s="129" t="str">
        <f>_xlfn.IFNA(VLOOKUP($C358,RGI!$A$2:$C$43,3,FALSE),"..")</f>
        <v>..</v>
      </c>
      <c r="BV358" s="129">
        <f>VLOOKUP($D358,WGI!$C$2:$O$478,7,FALSE)</f>
        <v>-1.44744229343522</v>
      </c>
      <c r="BW358" s="129">
        <f>VLOOKUP($D358,WGI!$C$2:$O$478,4,FALSE)</f>
        <v>-1.98732794178672</v>
      </c>
      <c r="BX358" s="129">
        <f>VLOOKUP($D358,WGI!$C$2:$O$478,3,FALSE)</f>
        <v>-1.7051833014723501</v>
      </c>
      <c r="BY358" s="129">
        <f>VLOOKUP($D358,WGI!$C$2:$O$478,5,FALSE)</f>
        <v>-1.5291692682962501</v>
      </c>
      <c r="BZ358" s="129">
        <f>VLOOKUP($D358,WGI!$C$2:$O$478,2,FALSE)</f>
        <v>-1.36346807993374</v>
      </c>
    </row>
    <row r="359" spans="1:80" ht="15" customHeight="1">
      <c r="A359" s="294" t="s">
        <v>177</v>
      </c>
      <c r="B359" s="117">
        <v>2009</v>
      </c>
      <c r="C359" s="132" t="s">
        <v>171</v>
      </c>
      <c r="D359" s="117" t="s">
        <v>3624</v>
      </c>
      <c r="E359" s="117" t="s">
        <v>86</v>
      </c>
      <c r="F359" s="117"/>
      <c r="G359" s="117" t="s">
        <v>24</v>
      </c>
      <c r="H359" s="117" t="str">
        <f t="shared" si="55"/>
        <v>yes</v>
      </c>
      <c r="I359" s="117" t="str">
        <f t="shared" si="56"/>
        <v>no</v>
      </c>
      <c r="J359" s="117" t="str">
        <f t="shared" si="57"/>
        <v>no</v>
      </c>
      <c r="K359" s="176" t="s">
        <v>1063</v>
      </c>
      <c r="L359" s="117" t="str">
        <f t="shared" si="59"/>
        <v>detailed</v>
      </c>
      <c r="M359" s="117" t="str">
        <f t="shared" si="58"/>
        <v>detailed Mining</v>
      </c>
      <c r="N359" s="179">
        <v>40000</v>
      </c>
      <c r="O359" s="179"/>
      <c r="P359" s="179"/>
      <c r="Q359" s="179"/>
      <c r="R359" s="179"/>
      <c r="S359" s="117" t="s">
        <v>610</v>
      </c>
      <c r="T359" s="119"/>
      <c r="U359" s="117"/>
      <c r="V359" s="117" t="s">
        <v>684</v>
      </c>
      <c r="W359" s="89"/>
      <c r="X359" s="117"/>
      <c r="Y359" s="117"/>
      <c r="Z359" s="117"/>
      <c r="AA359" s="177"/>
      <c r="AB359" s="177"/>
      <c r="AC359" s="122"/>
      <c r="AD359" s="122"/>
      <c r="AE359" s="122"/>
      <c r="AF359" s="123"/>
      <c r="AG359" s="117"/>
      <c r="AH359" s="124"/>
      <c r="AI359" s="117"/>
      <c r="AJ359" s="117"/>
      <c r="AK359" s="89"/>
      <c r="AL359" s="117"/>
      <c r="AM359" s="117"/>
      <c r="AN359" s="117"/>
      <c r="AO359" s="117"/>
      <c r="AP359" s="117"/>
      <c r="AQ359" s="117"/>
      <c r="AR359" s="126"/>
      <c r="AS359" s="117"/>
      <c r="AT359" s="117"/>
      <c r="AU359" s="117"/>
      <c r="AV359" s="128"/>
      <c r="AW359" s="117">
        <f>VLOOKUP($D359,'WB Data'!$C$3:$M$578,2,FALSE)</f>
        <v>18262675199.101006</v>
      </c>
      <c r="AX359" s="117">
        <f>VLOOKUP($D359,'WB Data'!$C$3:$M$578,3,FALSE)</f>
        <v>60486276</v>
      </c>
      <c r="AY359" s="847">
        <f t="shared" si="61"/>
        <v>1.3892718718666349E-2</v>
      </c>
      <c r="AZ359" s="117">
        <f>VLOOKUP($D359,'WB Data'!$C$3:$M$578,4,FALSE)/100</f>
        <v>0.14231813157824752</v>
      </c>
      <c r="BA359" s="117">
        <f t="shared" si="62"/>
        <v>2599109811.9564548</v>
      </c>
      <c r="BB359" s="129">
        <f>IFERROR(VLOOKUP($D359,'EITI Revenues'!$C$2:$G$224,5,FALSE),"..")</f>
        <v>253718209.59147424</v>
      </c>
      <c r="BC359" s="846">
        <f t="shared" si="63"/>
        <v>9.7617348995535633E-2</v>
      </c>
      <c r="BD359" s="129" t="e">
        <f>VLOOKUP($D359,'WB Data 2'!$C$2:$K$545,6,FALSE)</f>
        <v>#N/A</v>
      </c>
      <c r="BE359" s="129">
        <f>IFERROR(VLOOKUP($D359,UNCTAD!$C$5:$V$529,4,FALSE),"..")</f>
        <v>4912488088.9799995</v>
      </c>
      <c r="BF359" s="846" t="str">
        <f t="shared" si="64"/>
        <v>..</v>
      </c>
      <c r="BG359" s="117">
        <f>VLOOKUP($D359,'WB Data'!$C$3:$M$578,5,FALSE)</f>
        <v>2356850000</v>
      </c>
      <c r="BH359" s="129">
        <f>IFERROR($BB359/$BG359,"..")</f>
        <v>0.10765140318283906</v>
      </c>
      <c r="BI359" s="117" t="str">
        <f>IFERROR(VLOOKUP($D359,'WB Data'!$C$3:$M$578,7,FALSE)/100,"..")</f>
        <v>..</v>
      </c>
      <c r="BJ359" s="117" t="str">
        <f>IFERROR($BI359*$AW359,"..")</f>
        <v>..</v>
      </c>
      <c r="BK359" s="846" t="str">
        <f>IFERROR($BB359/$BJ359,"..")</f>
        <v>..</v>
      </c>
      <c r="BL359" s="117" t="str">
        <f>IFERROR(VLOOKUP($D359,'WB Data'!$C$3:$M$578,7,FALSE)/100,"..")</f>
        <v>..</v>
      </c>
      <c r="BM359" s="117" t="str">
        <f>IFERROR($AW359*$BL359,"..")</f>
        <v>..</v>
      </c>
      <c r="BN359" s="846" t="str">
        <f>IFERROR($BB359/$BM359,"..")</f>
        <v>..</v>
      </c>
      <c r="BO359" s="801" t="str">
        <f t="shared" si="60"/>
        <v>..</v>
      </c>
      <c r="BP359" s="117" t="str">
        <f>VLOOKUP($D359,'WB Data'!$C$3:$M$578,9,FALSE)</f>
        <v>..</v>
      </c>
      <c r="BQ359" s="117">
        <f>VLOOKUP($D359,'WB Data'!$C$3:$M$578,10,FALSE)</f>
        <v>48.697804878048785</v>
      </c>
      <c r="BR359" s="117">
        <f>VLOOKUP($D359,'WB Data'!$C$3:$M$578,11,FALSE)</f>
        <v>94.7</v>
      </c>
      <c r="BS359" s="129" t="str">
        <f>IFERROR(VLOOKUP($D359,'WB Data 2'!$C$2:$K$545,9,FALSE),"..")</f>
        <v>..</v>
      </c>
      <c r="BT359" s="129" t="str">
        <f>_xlfn.IFNA(VLOOKUP($C359,RGI!$A$2:$C$43,2,FALSE),"..")</f>
        <v>..</v>
      </c>
      <c r="BU359" s="129" t="str">
        <f>_xlfn.IFNA(VLOOKUP($C359,RGI!$A$2:$C$43,3,FALSE),"..")</f>
        <v>..</v>
      </c>
      <c r="BV359" s="129">
        <f>VLOOKUP($D359,WGI!$C$2:$O$478,7,FALSE)</f>
        <v>-1.44744229343522</v>
      </c>
      <c r="BW359" s="129">
        <f>VLOOKUP($D359,WGI!$C$2:$O$478,4,FALSE)</f>
        <v>-1.98732794178672</v>
      </c>
      <c r="BX359" s="129">
        <f>VLOOKUP($D359,WGI!$C$2:$O$478,3,FALSE)</f>
        <v>-1.7051833014723501</v>
      </c>
      <c r="BY359" s="129">
        <f>VLOOKUP($D359,WGI!$C$2:$O$478,5,FALSE)</f>
        <v>-1.5291692682962501</v>
      </c>
      <c r="BZ359" s="129">
        <f>VLOOKUP($D359,WGI!$C$2:$O$478,2,FALSE)</f>
        <v>-1.36346807993374</v>
      </c>
    </row>
    <row r="360" spans="1:80" ht="15" customHeight="1">
      <c r="A360" s="294" t="s">
        <v>177</v>
      </c>
      <c r="B360" s="117">
        <v>2009</v>
      </c>
      <c r="C360" s="132" t="s">
        <v>171</v>
      </c>
      <c r="D360" s="117" t="s">
        <v>3624</v>
      </c>
      <c r="E360" s="117" t="s">
        <v>86</v>
      </c>
      <c r="F360" s="117"/>
      <c r="G360" s="117" t="s">
        <v>24</v>
      </c>
      <c r="H360" s="117" t="str">
        <f t="shared" ref="H360:H423" si="65">IF($G360="Mining","yes",IF($G360="Oil, Gas, Mining","yes",IF($G360="Gas, Mining","yes",IF($G360="Oil, Mining","yes",IF($G360="Oil, Mining, Other","yes","no")))))</f>
        <v>yes</v>
      </c>
      <c r="I360" s="117" t="str">
        <f t="shared" ref="I360:I423" si="66">IF($G360="Gas","yes",IF($G360="Oil, Gas, Mining","yes",IF($G360="Gas, Mining","yes",IF($G360="Oil, Gas","yes",IF($G360="Oil, Gas, Other","yes","no")))))</f>
        <v>no</v>
      </c>
      <c r="J360" s="117" t="str">
        <f t="shared" ref="J360:J423" si="67">IF($G360="Oil","yes",IF($G360="Oil, Gas, Mining","yes",IF($G360="Oil, Mining","yes",IF($G360="Oil, Gas","yes",IF($G360="Oil, Gas, Other","yes","no")))))</f>
        <v>no</v>
      </c>
      <c r="K360" s="176" t="s">
        <v>1064</v>
      </c>
      <c r="L360" s="117" t="str">
        <f t="shared" si="59"/>
        <v>detailed</v>
      </c>
      <c r="M360" s="117" t="str">
        <f t="shared" ref="M360:M423" si="68">L360&amp;" "&amp;G360</f>
        <v>detailed Mining</v>
      </c>
      <c r="N360" s="179">
        <v>2970</v>
      </c>
      <c r="O360" s="179"/>
      <c r="P360" s="179"/>
      <c r="Q360" s="179"/>
      <c r="R360" s="179"/>
      <c r="S360" s="117" t="s">
        <v>610</v>
      </c>
      <c r="T360" s="119"/>
      <c r="U360" s="117"/>
      <c r="V360" s="117" t="s">
        <v>684</v>
      </c>
      <c r="W360" s="89"/>
      <c r="X360" s="117"/>
      <c r="Y360" s="117"/>
      <c r="Z360" s="117"/>
      <c r="AA360" s="177"/>
      <c r="AB360" s="177"/>
      <c r="AC360" s="122"/>
      <c r="AD360" s="122"/>
      <c r="AE360" s="122"/>
      <c r="AF360" s="123"/>
      <c r="AG360" s="117"/>
      <c r="AH360" s="124"/>
      <c r="AI360" s="117"/>
      <c r="AJ360" s="117"/>
      <c r="AK360" s="89"/>
      <c r="AL360" s="117"/>
      <c r="AM360" s="117"/>
      <c r="AN360" s="117"/>
      <c r="AO360" s="117"/>
      <c r="AP360" s="117"/>
      <c r="AQ360" s="117"/>
      <c r="AR360" s="126"/>
      <c r="AS360" s="117"/>
      <c r="AT360" s="117"/>
      <c r="AU360" s="117"/>
      <c r="AV360" s="128"/>
      <c r="AW360" s="117">
        <f>VLOOKUP($D360,'WB Data'!$C$3:$M$578,2,FALSE)</f>
        <v>18262675199.101006</v>
      </c>
      <c r="AX360" s="117">
        <f>VLOOKUP($D360,'WB Data'!$C$3:$M$578,3,FALSE)</f>
        <v>60486276</v>
      </c>
      <c r="AY360" s="847">
        <f t="shared" si="61"/>
        <v>1.3892718718666349E-2</v>
      </c>
      <c r="AZ360" s="117">
        <f>VLOOKUP($D360,'WB Data'!$C$3:$M$578,4,FALSE)/100</f>
        <v>0.14231813157824752</v>
      </c>
      <c r="BA360" s="117">
        <f t="shared" si="62"/>
        <v>2599109811.9564548</v>
      </c>
      <c r="BB360" s="129">
        <f>IFERROR(VLOOKUP($D360,'EITI Revenues'!$C$2:$G$224,5,FALSE),"..")</f>
        <v>253718209.59147424</v>
      </c>
      <c r="BC360" s="846">
        <f t="shared" si="63"/>
        <v>9.7617348995535633E-2</v>
      </c>
      <c r="BD360" s="129" t="e">
        <f>VLOOKUP($D360,'WB Data 2'!$C$2:$K$545,6,FALSE)</f>
        <v>#N/A</v>
      </c>
      <c r="BE360" s="129">
        <f>IFERROR(VLOOKUP($D360,UNCTAD!$C$5:$V$529,4,FALSE),"..")</f>
        <v>4912488088.9799995</v>
      </c>
      <c r="BF360" s="846" t="str">
        <f t="shared" si="64"/>
        <v>..</v>
      </c>
      <c r="BG360" s="117">
        <f>VLOOKUP($D360,'WB Data'!$C$3:$M$578,5,FALSE)</f>
        <v>2356850000</v>
      </c>
      <c r="BH360" s="129">
        <f>IFERROR($BB360/$BG360,"..")</f>
        <v>0.10765140318283906</v>
      </c>
      <c r="BI360" s="117" t="str">
        <f>IFERROR(VLOOKUP($D360,'WB Data'!$C$3:$M$578,7,FALSE)/100,"..")</f>
        <v>..</v>
      </c>
      <c r="BJ360" s="117" t="str">
        <f>IFERROR($BI360*$AW360,"..")</f>
        <v>..</v>
      </c>
      <c r="BK360" s="846" t="str">
        <f>IFERROR($BB360/$BJ360,"..")</f>
        <v>..</v>
      </c>
      <c r="BL360" s="117" t="str">
        <f>IFERROR(VLOOKUP($D360,'WB Data'!$C$3:$M$578,7,FALSE)/100,"..")</f>
        <v>..</v>
      </c>
      <c r="BM360" s="117" t="str">
        <f>IFERROR($AW360*$BL360,"..")</f>
        <v>..</v>
      </c>
      <c r="BN360" s="846" t="str">
        <f>IFERROR($BB360/$BM360,"..")</f>
        <v>..</v>
      </c>
      <c r="BO360" s="801" t="str">
        <f t="shared" si="60"/>
        <v>..</v>
      </c>
      <c r="BP360" s="117" t="str">
        <f>VLOOKUP($D360,'WB Data'!$C$3:$M$578,9,FALSE)</f>
        <v>..</v>
      </c>
      <c r="BQ360" s="117">
        <f>VLOOKUP($D360,'WB Data'!$C$3:$M$578,10,FALSE)</f>
        <v>48.697804878048785</v>
      </c>
      <c r="BR360" s="117">
        <f>VLOOKUP($D360,'WB Data'!$C$3:$M$578,11,FALSE)</f>
        <v>94.7</v>
      </c>
      <c r="BS360" s="129" t="str">
        <f>IFERROR(VLOOKUP($D360,'WB Data 2'!$C$2:$K$545,9,FALSE),"..")</f>
        <v>..</v>
      </c>
      <c r="BT360" s="129" t="str">
        <f>_xlfn.IFNA(VLOOKUP($C360,RGI!$A$2:$C$43,2,FALSE),"..")</f>
        <v>..</v>
      </c>
      <c r="BU360" s="129" t="str">
        <f>_xlfn.IFNA(VLOOKUP($C360,RGI!$A$2:$C$43,3,FALSE),"..")</f>
        <v>..</v>
      </c>
      <c r="BV360" s="129">
        <f>VLOOKUP($D360,WGI!$C$2:$O$478,7,FALSE)</f>
        <v>-1.44744229343522</v>
      </c>
      <c r="BW360" s="129">
        <f>VLOOKUP($D360,WGI!$C$2:$O$478,4,FALSE)</f>
        <v>-1.98732794178672</v>
      </c>
      <c r="BX360" s="129">
        <f>VLOOKUP($D360,WGI!$C$2:$O$478,3,FALSE)</f>
        <v>-1.7051833014723501</v>
      </c>
      <c r="BY360" s="129">
        <f>VLOOKUP($D360,WGI!$C$2:$O$478,5,FALSE)</f>
        <v>-1.5291692682962501</v>
      </c>
      <c r="BZ360" s="129">
        <f>VLOOKUP($D360,WGI!$C$2:$O$478,2,FALSE)</f>
        <v>-1.36346807993374</v>
      </c>
    </row>
    <row r="361" spans="1:80" ht="15" customHeight="1">
      <c r="A361" s="294" t="s">
        <v>177</v>
      </c>
      <c r="B361" s="117">
        <v>2009</v>
      </c>
      <c r="C361" s="132" t="s">
        <v>171</v>
      </c>
      <c r="D361" s="117" t="s">
        <v>3624</v>
      </c>
      <c r="E361" s="117" t="s">
        <v>86</v>
      </c>
      <c r="F361" s="117"/>
      <c r="G361" s="117" t="s">
        <v>24</v>
      </c>
      <c r="H361" s="117" t="str">
        <f t="shared" si="65"/>
        <v>yes</v>
      </c>
      <c r="I361" s="117" t="str">
        <f t="shared" si="66"/>
        <v>no</v>
      </c>
      <c r="J361" s="117" t="str">
        <f t="shared" si="67"/>
        <v>no</v>
      </c>
      <c r="K361" s="176" t="s">
        <v>1065</v>
      </c>
      <c r="L361" s="117" t="str">
        <f t="shared" si="59"/>
        <v>detailed</v>
      </c>
      <c r="M361" s="117" t="str">
        <f t="shared" si="68"/>
        <v>detailed Mining</v>
      </c>
      <c r="N361" s="179"/>
      <c r="O361" s="179"/>
      <c r="P361" s="179"/>
      <c r="Q361" s="179"/>
      <c r="R361" s="179"/>
      <c r="S361" s="117"/>
      <c r="T361" s="119"/>
      <c r="U361" s="117"/>
      <c r="V361" s="117"/>
      <c r="W361" s="89"/>
      <c r="X361" s="117"/>
      <c r="Y361" s="117"/>
      <c r="Z361" s="117"/>
      <c r="AA361" s="177"/>
      <c r="AB361" s="177"/>
      <c r="AC361" s="122"/>
      <c r="AD361" s="122"/>
      <c r="AE361" s="122"/>
      <c r="AF361" s="123"/>
      <c r="AG361" s="117"/>
      <c r="AH361" s="124"/>
      <c r="AI361" s="117"/>
      <c r="AJ361" s="117"/>
      <c r="AK361" s="89"/>
      <c r="AL361" s="117"/>
      <c r="AM361" s="117"/>
      <c r="AN361" s="117"/>
      <c r="AO361" s="117"/>
      <c r="AP361" s="117"/>
      <c r="AQ361" s="117"/>
      <c r="AR361" s="126"/>
      <c r="AS361" s="117"/>
      <c r="AT361" s="117"/>
      <c r="AU361" s="117"/>
      <c r="AV361" s="128"/>
      <c r="AW361" s="117">
        <f>VLOOKUP($D361,'WB Data'!$C$3:$M$578,2,FALSE)</f>
        <v>18262675199.101006</v>
      </c>
      <c r="AX361" s="117">
        <f>VLOOKUP($D361,'WB Data'!$C$3:$M$578,3,FALSE)</f>
        <v>60486276</v>
      </c>
      <c r="AY361" s="847">
        <f t="shared" si="61"/>
        <v>1.3892718718666349E-2</v>
      </c>
      <c r="AZ361" s="117">
        <f>VLOOKUP($D361,'WB Data'!$C$3:$M$578,4,FALSE)/100</f>
        <v>0.14231813157824752</v>
      </c>
      <c r="BA361" s="117">
        <f t="shared" si="62"/>
        <v>2599109811.9564548</v>
      </c>
      <c r="BB361" s="129">
        <f>IFERROR(VLOOKUP($D361,'EITI Revenues'!$C$2:$G$224,5,FALSE),"..")</f>
        <v>253718209.59147424</v>
      </c>
      <c r="BC361" s="846">
        <f t="shared" si="63"/>
        <v>9.7617348995535633E-2</v>
      </c>
      <c r="BD361" s="129" t="e">
        <f>VLOOKUP($D361,'WB Data 2'!$C$2:$K$545,6,FALSE)</f>
        <v>#N/A</v>
      </c>
      <c r="BE361" s="129">
        <f>IFERROR(VLOOKUP($D361,UNCTAD!$C$5:$V$529,4,FALSE),"..")</f>
        <v>4912488088.9799995</v>
      </c>
      <c r="BF361" s="846" t="str">
        <f t="shared" si="64"/>
        <v>..</v>
      </c>
      <c r="BG361" s="117">
        <f>VLOOKUP($D361,'WB Data'!$C$3:$M$578,5,FALSE)</f>
        <v>2356850000</v>
      </c>
      <c r="BH361" s="129">
        <f>IFERROR($BB361/$BG361,"..")</f>
        <v>0.10765140318283906</v>
      </c>
      <c r="BI361" s="117" t="str">
        <f>IFERROR(VLOOKUP($D361,'WB Data'!$C$3:$M$578,7,FALSE)/100,"..")</f>
        <v>..</v>
      </c>
      <c r="BJ361" s="117" t="str">
        <f>IFERROR($BI361*$AW361,"..")</f>
        <v>..</v>
      </c>
      <c r="BK361" s="846" t="str">
        <f>IFERROR($BB361/$BJ361,"..")</f>
        <v>..</v>
      </c>
      <c r="BL361" s="117" t="str">
        <f>IFERROR(VLOOKUP($D361,'WB Data'!$C$3:$M$578,7,FALSE)/100,"..")</f>
        <v>..</v>
      </c>
      <c r="BM361" s="117" t="str">
        <f>IFERROR($AW361*$BL361,"..")</f>
        <v>..</v>
      </c>
      <c r="BN361" s="846" t="str">
        <f>IFERROR($BB361/$BM361,"..")</f>
        <v>..</v>
      </c>
      <c r="BO361" s="801" t="str">
        <f t="shared" si="60"/>
        <v>..</v>
      </c>
      <c r="BP361" s="117" t="str">
        <f>VLOOKUP($D361,'WB Data'!$C$3:$M$578,9,FALSE)</f>
        <v>..</v>
      </c>
      <c r="BQ361" s="117">
        <f>VLOOKUP($D361,'WB Data'!$C$3:$M$578,10,FALSE)</f>
        <v>48.697804878048785</v>
      </c>
      <c r="BR361" s="117">
        <f>VLOOKUP($D361,'WB Data'!$C$3:$M$578,11,FALSE)</f>
        <v>94.7</v>
      </c>
      <c r="BS361" s="129" t="str">
        <f>IFERROR(VLOOKUP($D361,'WB Data 2'!$C$2:$K$545,9,FALSE),"..")</f>
        <v>..</v>
      </c>
      <c r="BT361" s="129" t="str">
        <f>_xlfn.IFNA(VLOOKUP($C361,RGI!$A$2:$C$43,2,FALSE),"..")</f>
        <v>..</v>
      </c>
      <c r="BU361" s="129" t="str">
        <f>_xlfn.IFNA(VLOOKUP($C361,RGI!$A$2:$C$43,3,FALSE),"..")</f>
        <v>..</v>
      </c>
      <c r="BV361" s="129">
        <f>VLOOKUP($D361,WGI!$C$2:$O$478,7,FALSE)</f>
        <v>-1.44744229343522</v>
      </c>
      <c r="BW361" s="129">
        <f>VLOOKUP($D361,WGI!$C$2:$O$478,4,FALSE)</f>
        <v>-1.98732794178672</v>
      </c>
      <c r="BX361" s="129">
        <f>VLOOKUP($D361,WGI!$C$2:$O$478,3,FALSE)</f>
        <v>-1.7051833014723501</v>
      </c>
      <c r="BY361" s="129">
        <f>VLOOKUP($D361,WGI!$C$2:$O$478,5,FALSE)</f>
        <v>-1.5291692682962501</v>
      </c>
      <c r="BZ361" s="129">
        <f>VLOOKUP($D361,WGI!$C$2:$O$478,2,FALSE)</f>
        <v>-1.36346807993374</v>
      </c>
    </row>
    <row r="362" spans="1:80" ht="15" customHeight="1">
      <c r="A362" s="294" t="s">
        <v>177</v>
      </c>
      <c r="B362" s="117">
        <v>2009</v>
      </c>
      <c r="C362" s="132" t="s">
        <v>171</v>
      </c>
      <c r="D362" s="117" t="s">
        <v>3624</v>
      </c>
      <c r="E362" s="117" t="s">
        <v>86</v>
      </c>
      <c r="F362" s="117"/>
      <c r="G362" s="117" t="s">
        <v>24</v>
      </c>
      <c r="H362" s="117" t="str">
        <f t="shared" si="65"/>
        <v>yes</v>
      </c>
      <c r="I362" s="117" t="str">
        <f t="shared" si="66"/>
        <v>no</v>
      </c>
      <c r="J362" s="117" t="str">
        <f t="shared" si="67"/>
        <v>no</v>
      </c>
      <c r="K362" s="176" t="s">
        <v>1066</v>
      </c>
      <c r="L362" s="117" t="str">
        <f t="shared" si="59"/>
        <v>detailed</v>
      </c>
      <c r="M362" s="117" t="str">
        <f t="shared" si="68"/>
        <v>detailed Mining</v>
      </c>
      <c r="N362" s="179">
        <v>468</v>
      </c>
      <c r="O362" s="179"/>
      <c r="P362" s="179"/>
      <c r="Q362" s="179"/>
      <c r="R362" s="179"/>
      <c r="S362" s="117" t="s">
        <v>610</v>
      </c>
      <c r="T362" s="119"/>
      <c r="U362" s="117"/>
      <c r="V362" s="117" t="s">
        <v>684</v>
      </c>
      <c r="W362" s="89"/>
      <c r="X362" s="117"/>
      <c r="Y362" s="117"/>
      <c r="Z362" s="117"/>
      <c r="AA362" s="177"/>
      <c r="AB362" s="177"/>
      <c r="AC362" s="122"/>
      <c r="AD362" s="122"/>
      <c r="AE362" s="122"/>
      <c r="AF362" s="123"/>
      <c r="AG362" s="117"/>
      <c r="AH362" s="124"/>
      <c r="AI362" s="117"/>
      <c r="AJ362" s="117"/>
      <c r="AK362" s="89"/>
      <c r="AL362" s="117"/>
      <c r="AM362" s="117"/>
      <c r="AN362" s="117"/>
      <c r="AO362" s="117"/>
      <c r="AP362" s="117"/>
      <c r="AQ362" s="117"/>
      <c r="AR362" s="126"/>
      <c r="AS362" s="117"/>
      <c r="AT362" s="117"/>
      <c r="AU362" s="117"/>
      <c r="AV362" s="128"/>
      <c r="AW362" s="117">
        <f>VLOOKUP($D362,'WB Data'!$C$3:$M$578,2,FALSE)</f>
        <v>18262675199.101006</v>
      </c>
      <c r="AX362" s="117">
        <f>VLOOKUP($D362,'WB Data'!$C$3:$M$578,3,FALSE)</f>
        <v>60486276</v>
      </c>
      <c r="AY362" s="847">
        <f t="shared" si="61"/>
        <v>1.3892718718666349E-2</v>
      </c>
      <c r="AZ362" s="117">
        <f>VLOOKUP($D362,'WB Data'!$C$3:$M$578,4,FALSE)/100</f>
        <v>0.14231813157824752</v>
      </c>
      <c r="BA362" s="117">
        <f t="shared" si="62"/>
        <v>2599109811.9564548</v>
      </c>
      <c r="BB362" s="129">
        <f>IFERROR(VLOOKUP($D362,'EITI Revenues'!$C$2:$G$224,5,FALSE),"..")</f>
        <v>253718209.59147424</v>
      </c>
      <c r="BC362" s="846">
        <f t="shared" si="63"/>
        <v>9.7617348995535633E-2</v>
      </c>
      <c r="BD362" s="129" t="e">
        <f>VLOOKUP($D362,'WB Data 2'!$C$2:$K$545,6,FALSE)</f>
        <v>#N/A</v>
      </c>
      <c r="BE362" s="129">
        <f>IFERROR(VLOOKUP($D362,UNCTAD!$C$5:$V$529,4,FALSE),"..")</f>
        <v>4912488088.9799995</v>
      </c>
      <c r="BF362" s="846" t="str">
        <f t="shared" si="64"/>
        <v>..</v>
      </c>
      <c r="BG362" s="117">
        <f>VLOOKUP($D362,'WB Data'!$C$3:$M$578,5,FALSE)</f>
        <v>2356850000</v>
      </c>
      <c r="BH362" s="129">
        <f>IFERROR($BB362/$BG362,"..")</f>
        <v>0.10765140318283906</v>
      </c>
      <c r="BI362" s="117" t="str">
        <f>IFERROR(VLOOKUP($D362,'WB Data'!$C$3:$M$578,7,FALSE)/100,"..")</f>
        <v>..</v>
      </c>
      <c r="BJ362" s="117" t="str">
        <f>IFERROR($BI362*$AW362,"..")</f>
        <v>..</v>
      </c>
      <c r="BK362" s="846" t="str">
        <f>IFERROR($BB362/$BJ362,"..")</f>
        <v>..</v>
      </c>
      <c r="BL362" s="117" t="str">
        <f>IFERROR(VLOOKUP($D362,'WB Data'!$C$3:$M$578,7,FALSE)/100,"..")</f>
        <v>..</v>
      </c>
      <c r="BM362" s="117" t="str">
        <f>IFERROR($AW362*$BL362,"..")</f>
        <v>..</v>
      </c>
      <c r="BN362" s="846" t="str">
        <f>IFERROR($BB362/$BM362,"..")</f>
        <v>..</v>
      </c>
      <c r="BO362" s="801" t="str">
        <f t="shared" si="60"/>
        <v>..</v>
      </c>
      <c r="BP362" s="117" t="str">
        <f>VLOOKUP($D362,'WB Data'!$C$3:$M$578,9,FALSE)</f>
        <v>..</v>
      </c>
      <c r="BQ362" s="117">
        <f>VLOOKUP($D362,'WB Data'!$C$3:$M$578,10,FALSE)</f>
        <v>48.697804878048785</v>
      </c>
      <c r="BR362" s="117">
        <f>VLOOKUP($D362,'WB Data'!$C$3:$M$578,11,FALSE)</f>
        <v>94.7</v>
      </c>
      <c r="BS362" s="129" t="str">
        <f>IFERROR(VLOOKUP($D362,'WB Data 2'!$C$2:$K$545,9,FALSE),"..")</f>
        <v>..</v>
      </c>
      <c r="BT362" s="129" t="str">
        <f>_xlfn.IFNA(VLOOKUP($C362,RGI!$A$2:$C$43,2,FALSE),"..")</f>
        <v>..</v>
      </c>
      <c r="BU362" s="129" t="str">
        <f>_xlfn.IFNA(VLOOKUP($C362,RGI!$A$2:$C$43,3,FALSE),"..")</f>
        <v>..</v>
      </c>
      <c r="BV362" s="129">
        <f>VLOOKUP($D362,WGI!$C$2:$O$478,7,FALSE)</f>
        <v>-1.44744229343522</v>
      </c>
      <c r="BW362" s="129">
        <f>VLOOKUP($D362,WGI!$C$2:$O$478,4,FALSE)</f>
        <v>-1.98732794178672</v>
      </c>
      <c r="BX362" s="129">
        <f>VLOOKUP($D362,WGI!$C$2:$O$478,3,FALSE)</f>
        <v>-1.7051833014723501</v>
      </c>
      <c r="BY362" s="129">
        <f>VLOOKUP($D362,WGI!$C$2:$O$478,5,FALSE)</f>
        <v>-1.5291692682962501</v>
      </c>
      <c r="BZ362" s="129">
        <f>VLOOKUP($D362,WGI!$C$2:$O$478,2,FALSE)</f>
        <v>-1.36346807993374</v>
      </c>
    </row>
    <row r="363" spans="1:80" ht="15" customHeight="1">
      <c r="A363" s="294" t="s">
        <v>177</v>
      </c>
      <c r="B363" s="117">
        <v>2009</v>
      </c>
      <c r="C363" s="132" t="s">
        <v>171</v>
      </c>
      <c r="D363" s="117" t="s">
        <v>3624</v>
      </c>
      <c r="E363" s="117" t="s">
        <v>86</v>
      </c>
      <c r="F363" s="117"/>
      <c r="G363" s="117" t="s">
        <v>24</v>
      </c>
      <c r="H363" s="117" t="str">
        <f t="shared" si="65"/>
        <v>yes</v>
      </c>
      <c r="I363" s="117" t="str">
        <f t="shared" si="66"/>
        <v>no</v>
      </c>
      <c r="J363" s="117" t="str">
        <f t="shared" si="67"/>
        <v>no</v>
      </c>
      <c r="K363" s="176" t="s">
        <v>1067</v>
      </c>
      <c r="L363" s="117" t="str">
        <f t="shared" si="59"/>
        <v>detailed</v>
      </c>
      <c r="M363" s="117" t="str">
        <f t="shared" si="68"/>
        <v>detailed Mining</v>
      </c>
      <c r="N363" s="179">
        <v>110</v>
      </c>
      <c r="O363" s="179"/>
      <c r="P363" s="179"/>
      <c r="Q363" s="179"/>
      <c r="R363" s="179"/>
      <c r="S363" s="117" t="s">
        <v>610</v>
      </c>
      <c r="T363" s="119">
        <v>37298</v>
      </c>
      <c r="U363" s="117" t="s">
        <v>611</v>
      </c>
      <c r="V363" s="117" t="s">
        <v>1091</v>
      </c>
      <c r="W363" s="89">
        <f>N363*T363</f>
        <v>4102780</v>
      </c>
      <c r="X363" s="117"/>
      <c r="Y363" s="117"/>
      <c r="Z363" s="117"/>
      <c r="AA363" s="177"/>
      <c r="AB363" s="177"/>
      <c r="AC363" s="122"/>
      <c r="AD363" s="122"/>
      <c r="AE363" s="122"/>
      <c r="AF363" s="123"/>
      <c r="AG363" s="117"/>
      <c r="AH363" s="124"/>
      <c r="AI363" s="117"/>
      <c r="AJ363" s="117"/>
      <c r="AK363" s="89"/>
      <c r="AL363" s="117"/>
      <c r="AM363" s="117"/>
      <c r="AN363" s="117"/>
      <c r="AO363" s="117"/>
      <c r="AP363" s="117"/>
      <c r="AQ363" s="117"/>
      <c r="AR363" s="126"/>
      <c r="AS363" s="117"/>
      <c r="AT363" s="117"/>
      <c r="AU363" s="117"/>
      <c r="AV363" s="128"/>
      <c r="AW363" s="117">
        <f>VLOOKUP($D363,'WB Data'!$C$3:$M$578,2,FALSE)</f>
        <v>18262675199.101006</v>
      </c>
      <c r="AX363" s="117">
        <f>VLOOKUP($D363,'WB Data'!$C$3:$M$578,3,FALSE)</f>
        <v>60486276</v>
      </c>
      <c r="AY363" s="847">
        <f t="shared" si="61"/>
        <v>1.3892718718666349E-2</v>
      </c>
      <c r="AZ363" s="117">
        <f>VLOOKUP($D363,'WB Data'!$C$3:$M$578,4,FALSE)/100</f>
        <v>0.14231813157824752</v>
      </c>
      <c r="BA363" s="117">
        <f t="shared" si="62"/>
        <v>2599109811.9564548</v>
      </c>
      <c r="BB363" s="129">
        <f>IFERROR(VLOOKUP($D363,'EITI Revenues'!$C$2:$G$224,5,FALSE),"..")</f>
        <v>253718209.59147424</v>
      </c>
      <c r="BC363" s="846">
        <f t="shared" si="63"/>
        <v>9.7617348995535633E-2</v>
      </c>
      <c r="BD363" s="129" t="e">
        <f>VLOOKUP($D363,'WB Data 2'!$C$2:$K$545,6,FALSE)</f>
        <v>#N/A</v>
      </c>
      <c r="BE363" s="129">
        <f>IFERROR(VLOOKUP($D363,UNCTAD!$C$5:$V$529,4,FALSE),"..")</f>
        <v>4912488088.9799995</v>
      </c>
      <c r="BF363" s="846" t="str">
        <f t="shared" si="64"/>
        <v>..</v>
      </c>
      <c r="BG363" s="117">
        <f>VLOOKUP($D363,'WB Data'!$C$3:$M$578,5,FALSE)</f>
        <v>2356850000</v>
      </c>
      <c r="BH363" s="129">
        <f>IFERROR($BB363/$BG363,"..")</f>
        <v>0.10765140318283906</v>
      </c>
      <c r="BI363" s="117" t="str">
        <f>IFERROR(VLOOKUP($D363,'WB Data'!$C$3:$M$578,7,FALSE)/100,"..")</f>
        <v>..</v>
      </c>
      <c r="BJ363" s="117" t="str">
        <f>IFERROR($BI363*$AW363,"..")</f>
        <v>..</v>
      </c>
      <c r="BK363" s="846" t="str">
        <f>IFERROR($BB363/$BJ363,"..")</f>
        <v>..</v>
      </c>
      <c r="BL363" s="117" t="str">
        <f>IFERROR(VLOOKUP($D363,'WB Data'!$C$3:$M$578,7,FALSE)/100,"..")</f>
        <v>..</v>
      </c>
      <c r="BM363" s="117" t="str">
        <f>IFERROR($AW363*$BL363,"..")</f>
        <v>..</v>
      </c>
      <c r="BN363" s="846" t="str">
        <f>IFERROR($BB363/$BM363,"..")</f>
        <v>..</v>
      </c>
      <c r="BO363" s="801" t="str">
        <f t="shared" si="60"/>
        <v>..</v>
      </c>
      <c r="BP363" s="117" t="str">
        <f>VLOOKUP($D363,'WB Data'!$C$3:$M$578,9,FALSE)</f>
        <v>..</v>
      </c>
      <c r="BQ363" s="117">
        <f>VLOOKUP($D363,'WB Data'!$C$3:$M$578,10,FALSE)</f>
        <v>48.697804878048785</v>
      </c>
      <c r="BR363" s="117">
        <f>VLOOKUP($D363,'WB Data'!$C$3:$M$578,11,FALSE)</f>
        <v>94.7</v>
      </c>
      <c r="BS363" s="129" t="str">
        <f>IFERROR(VLOOKUP($D363,'WB Data 2'!$C$2:$K$545,9,FALSE),"..")</f>
        <v>..</v>
      </c>
      <c r="BT363" s="129" t="str">
        <f>_xlfn.IFNA(VLOOKUP($C363,RGI!$A$2:$C$43,2,FALSE),"..")</f>
        <v>..</v>
      </c>
      <c r="BU363" s="129" t="str">
        <f>_xlfn.IFNA(VLOOKUP($C363,RGI!$A$2:$C$43,3,FALSE),"..")</f>
        <v>..</v>
      </c>
      <c r="BV363" s="129">
        <f>VLOOKUP($D363,WGI!$C$2:$O$478,7,FALSE)</f>
        <v>-1.44744229343522</v>
      </c>
      <c r="BW363" s="129">
        <f>VLOOKUP($D363,WGI!$C$2:$O$478,4,FALSE)</f>
        <v>-1.98732794178672</v>
      </c>
      <c r="BX363" s="129">
        <f>VLOOKUP($D363,WGI!$C$2:$O$478,3,FALSE)</f>
        <v>-1.7051833014723501</v>
      </c>
      <c r="BY363" s="129">
        <f>VLOOKUP($D363,WGI!$C$2:$O$478,5,FALSE)</f>
        <v>-1.5291692682962501</v>
      </c>
      <c r="BZ363" s="129">
        <f>VLOOKUP($D363,WGI!$C$2:$O$478,2,FALSE)</f>
        <v>-1.36346807993374</v>
      </c>
    </row>
    <row r="364" spans="1:80" ht="15" customHeight="1">
      <c r="A364" s="294" t="s">
        <v>177</v>
      </c>
      <c r="B364" s="117">
        <v>2009</v>
      </c>
      <c r="C364" s="132" t="s">
        <v>171</v>
      </c>
      <c r="D364" s="117" t="s">
        <v>3624</v>
      </c>
      <c r="E364" s="117" t="s">
        <v>86</v>
      </c>
      <c r="F364" s="117"/>
      <c r="G364" s="117" t="s">
        <v>24</v>
      </c>
      <c r="H364" s="117" t="str">
        <f t="shared" si="65"/>
        <v>yes</v>
      </c>
      <c r="I364" s="117" t="str">
        <f t="shared" si="66"/>
        <v>no</v>
      </c>
      <c r="J364" s="117" t="str">
        <f t="shared" si="67"/>
        <v>no</v>
      </c>
      <c r="K364" s="176" t="s">
        <v>1069</v>
      </c>
      <c r="L364" s="117" t="str">
        <f t="shared" si="59"/>
        <v>detailed</v>
      </c>
      <c r="M364" s="117" t="str">
        <f t="shared" si="68"/>
        <v>detailed Mining</v>
      </c>
      <c r="N364" s="179">
        <v>130</v>
      </c>
      <c r="O364" s="179"/>
      <c r="P364" s="179"/>
      <c r="Q364" s="179"/>
      <c r="R364" s="179"/>
      <c r="S364" s="117" t="s">
        <v>610</v>
      </c>
      <c r="T364" s="119">
        <f>40/0.000453592</f>
        <v>88184.976807351093</v>
      </c>
      <c r="U364" s="117" t="s">
        <v>611</v>
      </c>
      <c r="V364" s="117" t="s">
        <v>1092</v>
      </c>
      <c r="W364" s="89">
        <f>N364*T364</f>
        <v>11464046.984955642</v>
      </c>
      <c r="X364" s="117"/>
      <c r="Y364" s="117"/>
      <c r="Z364" s="117"/>
      <c r="AA364" s="177"/>
      <c r="AB364" s="177"/>
      <c r="AC364" s="122"/>
      <c r="AD364" s="122"/>
      <c r="AE364" s="122"/>
      <c r="AF364" s="123"/>
      <c r="AG364" s="117"/>
      <c r="AH364" s="124"/>
      <c r="AI364" s="117"/>
      <c r="AJ364" s="117"/>
      <c r="AK364" s="89"/>
      <c r="AL364" s="117"/>
      <c r="AM364" s="117"/>
      <c r="AN364" s="117"/>
      <c r="AO364" s="117"/>
      <c r="AP364" s="117"/>
      <c r="AQ364" s="117"/>
      <c r="AR364" s="126"/>
      <c r="AS364" s="117"/>
      <c r="AT364" s="117"/>
      <c r="AU364" s="117"/>
      <c r="AV364" s="128"/>
      <c r="AW364" s="117">
        <f>VLOOKUP($D364,'WB Data'!$C$3:$M$578,2,FALSE)</f>
        <v>18262675199.101006</v>
      </c>
      <c r="AX364" s="117">
        <f>VLOOKUP($D364,'WB Data'!$C$3:$M$578,3,FALSE)</f>
        <v>60486276</v>
      </c>
      <c r="AY364" s="847">
        <f t="shared" si="61"/>
        <v>1.3892718718666349E-2</v>
      </c>
      <c r="AZ364" s="117">
        <f>VLOOKUP($D364,'WB Data'!$C$3:$M$578,4,FALSE)/100</f>
        <v>0.14231813157824752</v>
      </c>
      <c r="BA364" s="117">
        <f t="shared" si="62"/>
        <v>2599109811.9564548</v>
      </c>
      <c r="BB364" s="129">
        <f>IFERROR(VLOOKUP($D364,'EITI Revenues'!$C$2:$G$224,5,FALSE),"..")</f>
        <v>253718209.59147424</v>
      </c>
      <c r="BC364" s="846">
        <f t="shared" si="63"/>
        <v>9.7617348995535633E-2</v>
      </c>
      <c r="BD364" s="129" t="e">
        <f>VLOOKUP($D364,'WB Data 2'!$C$2:$K$545,6,FALSE)</f>
        <v>#N/A</v>
      </c>
      <c r="BE364" s="129">
        <f>IFERROR(VLOOKUP($D364,UNCTAD!$C$5:$V$529,4,FALSE),"..")</f>
        <v>4912488088.9799995</v>
      </c>
      <c r="BF364" s="846" t="str">
        <f t="shared" si="64"/>
        <v>..</v>
      </c>
      <c r="BG364" s="117">
        <f>VLOOKUP($D364,'WB Data'!$C$3:$M$578,5,FALSE)</f>
        <v>2356850000</v>
      </c>
      <c r="BH364" s="129">
        <f>IFERROR($BB364/$BG364,"..")</f>
        <v>0.10765140318283906</v>
      </c>
      <c r="BI364" s="117" t="str">
        <f>IFERROR(VLOOKUP($D364,'WB Data'!$C$3:$M$578,7,FALSE)/100,"..")</f>
        <v>..</v>
      </c>
      <c r="BJ364" s="117" t="str">
        <f>IFERROR($BI364*$AW364,"..")</f>
        <v>..</v>
      </c>
      <c r="BK364" s="846" t="str">
        <f>IFERROR($BB364/$BJ364,"..")</f>
        <v>..</v>
      </c>
      <c r="BL364" s="117" t="str">
        <f>IFERROR(VLOOKUP($D364,'WB Data'!$C$3:$M$578,7,FALSE)/100,"..")</f>
        <v>..</v>
      </c>
      <c r="BM364" s="117" t="str">
        <f>IFERROR($AW364*$BL364,"..")</f>
        <v>..</v>
      </c>
      <c r="BN364" s="846" t="str">
        <f>IFERROR($BB364/$BM364,"..")</f>
        <v>..</v>
      </c>
      <c r="BO364" s="801" t="str">
        <f t="shared" si="60"/>
        <v>..</v>
      </c>
      <c r="BP364" s="117" t="str">
        <f>VLOOKUP($D364,'WB Data'!$C$3:$M$578,9,FALSE)</f>
        <v>..</v>
      </c>
      <c r="BQ364" s="117">
        <f>VLOOKUP($D364,'WB Data'!$C$3:$M$578,10,FALSE)</f>
        <v>48.697804878048785</v>
      </c>
      <c r="BR364" s="117">
        <f>VLOOKUP($D364,'WB Data'!$C$3:$M$578,11,FALSE)</f>
        <v>94.7</v>
      </c>
      <c r="BS364" s="129" t="str">
        <f>IFERROR(VLOOKUP($D364,'WB Data 2'!$C$2:$K$545,9,FALSE),"..")</f>
        <v>..</v>
      </c>
      <c r="BT364" s="129" t="str">
        <f>_xlfn.IFNA(VLOOKUP($C364,RGI!$A$2:$C$43,2,FALSE),"..")</f>
        <v>..</v>
      </c>
      <c r="BU364" s="129" t="str">
        <f>_xlfn.IFNA(VLOOKUP($C364,RGI!$A$2:$C$43,3,FALSE),"..")</f>
        <v>..</v>
      </c>
      <c r="BV364" s="129">
        <f>VLOOKUP($D364,WGI!$C$2:$O$478,7,FALSE)</f>
        <v>-1.44744229343522</v>
      </c>
      <c r="BW364" s="129">
        <f>VLOOKUP($D364,WGI!$C$2:$O$478,4,FALSE)</f>
        <v>-1.98732794178672</v>
      </c>
      <c r="BX364" s="129">
        <f>VLOOKUP($D364,WGI!$C$2:$O$478,3,FALSE)</f>
        <v>-1.7051833014723501</v>
      </c>
      <c r="BY364" s="129">
        <f>VLOOKUP($D364,WGI!$C$2:$O$478,5,FALSE)</f>
        <v>-1.5291692682962501</v>
      </c>
      <c r="BZ364" s="129">
        <f>VLOOKUP($D364,WGI!$C$2:$O$478,2,FALSE)</f>
        <v>-1.36346807993374</v>
      </c>
    </row>
    <row r="365" spans="1:80" ht="15" customHeight="1">
      <c r="A365" s="294" t="s">
        <v>177</v>
      </c>
      <c r="B365" s="117">
        <v>2009</v>
      </c>
      <c r="C365" s="132" t="s">
        <v>171</v>
      </c>
      <c r="D365" s="117" t="s">
        <v>3624</v>
      </c>
      <c r="E365" s="117" t="s">
        <v>86</v>
      </c>
      <c r="F365" s="117"/>
      <c r="G365" s="117" t="s">
        <v>24</v>
      </c>
      <c r="H365" s="117" t="str">
        <f t="shared" si="65"/>
        <v>yes</v>
      </c>
      <c r="I365" s="117" t="str">
        <f t="shared" si="66"/>
        <v>no</v>
      </c>
      <c r="J365" s="117" t="str">
        <f t="shared" si="67"/>
        <v>no</v>
      </c>
      <c r="K365" s="176" t="s">
        <v>619</v>
      </c>
      <c r="L365" s="117" t="str">
        <f t="shared" si="59"/>
        <v>detailed</v>
      </c>
      <c r="M365" s="117" t="str">
        <f t="shared" si="68"/>
        <v>detailed Mining</v>
      </c>
      <c r="N365" s="179"/>
      <c r="O365" s="179"/>
      <c r="P365" s="179">
        <v>300000</v>
      </c>
      <c r="Q365" s="179"/>
      <c r="R365" s="179"/>
      <c r="S365" s="117" t="s">
        <v>610</v>
      </c>
      <c r="T365" s="180">
        <f>2.85/0.000453592</f>
        <v>6283.1795975237656</v>
      </c>
      <c r="U365" s="117" t="s">
        <v>611</v>
      </c>
      <c r="V365" s="117" t="s">
        <v>1097</v>
      </c>
      <c r="W365" s="89">
        <f>N367*T365</f>
        <v>1048756922.5206794</v>
      </c>
      <c r="X365" s="117"/>
      <c r="Y365" s="117"/>
      <c r="Z365" s="117"/>
      <c r="AA365" s="177"/>
      <c r="AB365" s="177"/>
      <c r="AC365" s="122"/>
      <c r="AD365" s="122"/>
      <c r="AE365" s="122"/>
      <c r="AF365" s="123"/>
      <c r="AG365" s="117"/>
      <c r="AH365" s="124"/>
      <c r="AI365" s="117"/>
      <c r="AJ365" s="117"/>
      <c r="AK365" s="89"/>
      <c r="AL365" s="117"/>
      <c r="AM365" s="117"/>
      <c r="AN365" s="117"/>
      <c r="AO365" s="117"/>
      <c r="AP365" s="117"/>
      <c r="AQ365" s="117"/>
      <c r="AR365" s="126"/>
      <c r="AS365" s="117"/>
      <c r="AT365" s="117"/>
      <c r="AU365" s="117"/>
      <c r="AV365" s="128"/>
      <c r="AW365" s="117">
        <f>VLOOKUP($D365,'WB Data'!$C$3:$M$578,2,FALSE)</f>
        <v>18262675199.101006</v>
      </c>
      <c r="AX365" s="117">
        <f>VLOOKUP($D365,'WB Data'!$C$3:$M$578,3,FALSE)</f>
        <v>60486276</v>
      </c>
      <c r="AY365" s="847">
        <f t="shared" si="61"/>
        <v>1.3892718718666349E-2</v>
      </c>
      <c r="AZ365" s="117">
        <f>VLOOKUP($D365,'WB Data'!$C$3:$M$578,4,FALSE)/100</f>
        <v>0.14231813157824752</v>
      </c>
      <c r="BA365" s="117">
        <f t="shared" si="62"/>
        <v>2599109811.9564548</v>
      </c>
      <c r="BB365" s="129">
        <f>IFERROR(VLOOKUP($D365,'EITI Revenues'!$C$2:$G$224,5,FALSE),"..")</f>
        <v>253718209.59147424</v>
      </c>
      <c r="BC365" s="846">
        <f t="shared" si="63"/>
        <v>9.7617348995535633E-2</v>
      </c>
      <c r="BD365" s="129" t="e">
        <f>VLOOKUP($D365,'WB Data 2'!$C$2:$K$545,6,FALSE)</f>
        <v>#N/A</v>
      </c>
      <c r="BE365" s="129">
        <f>IFERROR(VLOOKUP($D365,UNCTAD!$C$5:$V$529,4,FALSE),"..")</f>
        <v>4912488088.9799995</v>
      </c>
      <c r="BF365" s="846" t="str">
        <f t="shared" si="64"/>
        <v>..</v>
      </c>
      <c r="BG365" s="117">
        <f>VLOOKUP($D365,'WB Data'!$C$3:$M$578,5,FALSE)</f>
        <v>2356850000</v>
      </c>
      <c r="BH365" s="129">
        <f>IFERROR($BB365/$BG365,"..")</f>
        <v>0.10765140318283906</v>
      </c>
      <c r="BI365" s="117" t="str">
        <f>IFERROR(VLOOKUP($D365,'WB Data'!$C$3:$M$578,7,FALSE)/100,"..")</f>
        <v>..</v>
      </c>
      <c r="BJ365" s="117" t="str">
        <f>IFERROR($BI365*$AW365,"..")</f>
        <v>..</v>
      </c>
      <c r="BK365" s="846" t="str">
        <f>IFERROR($BB365/$BJ365,"..")</f>
        <v>..</v>
      </c>
      <c r="BL365" s="117" t="str">
        <f>IFERROR(VLOOKUP($D365,'WB Data'!$C$3:$M$578,7,FALSE)/100,"..")</f>
        <v>..</v>
      </c>
      <c r="BM365" s="117" t="str">
        <f>IFERROR($AW365*$BL365,"..")</f>
        <v>..</v>
      </c>
      <c r="BN365" s="846" t="str">
        <f>IFERROR($BB365/$BM365,"..")</f>
        <v>..</v>
      </c>
      <c r="BO365" s="801" t="str">
        <f t="shared" si="60"/>
        <v>..</v>
      </c>
      <c r="BP365" s="117" t="str">
        <f>VLOOKUP($D365,'WB Data'!$C$3:$M$578,9,FALSE)</f>
        <v>..</v>
      </c>
      <c r="BQ365" s="117">
        <f>VLOOKUP($D365,'WB Data'!$C$3:$M$578,10,FALSE)</f>
        <v>48.697804878048785</v>
      </c>
      <c r="BR365" s="117">
        <f>VLOOKUP($D365,'WB Data'!$C$3:$M$578,11,FALSE)</f>
        <v>94.7</v>
      </c>
      <c r="BS365" s="129" t="str">
        <f>IFERROR(VLOOKUP($D365,'WB Data 2'!$C$2:$K$545,9,FALSE),"..")</f>
        <v>..</v>
      </c>
      <c r="BT365" s="129" t="str">
        <f>_xlfn.IFNA(VLOOKUP($C365,RGI!$A$2:$C$43,2,FALSE),"..")</f>
        <v>..</v>
      </c>
      <c r="BU365" s="129" t="str">
        <f>_xlfn.IFNA(VLOOKUP($C365,RGI!$A$2:$C$43,3,FALSE),"..")</f>
        <v>..</v>
      </c>
      <c r="BV365" s="129">
        <f>VLOOKUP($D365,WGI!$C$2:$O$478,7,FALSE)</f>
        <v>-1.44744229343522</v>
      </c>
      <c r="BW365" s="129">
        <f>VLOOKUP($D365,WGI!$C$2:$O$478,4,FALSE)</f>
        <v>-1.98732794178672</v>
      </c>
      <c r="BX365" s="129">
        <f>VLOOKUP($D365,WGI!$C$2:$O$478,3,FALSE)</f>
        <v>-1.7051833014723501</v>
      </c>
      <c r="BY365" s="129">
        <f>VLOOKUP($D365,WGI!$C$2:$O$478,5,FALSE)</f>
        <v>-1.5291692682962501</v>
      </c>
      <c r="BZ365" s="129">
        <f>VLOOKUP($D365,WGI!$C$2:$O$478,2,FALSE)</f>
        <v>-1.36346807993374</v>
      </c>
    </row>
    <row r="366" spans="1:80" ht="15" customHeight="1">
      <c r="A366" s="294" t="s">
        <v>177</v>
      </c>
      <c r="B366" s="117">
        <v>2009</v>
      </c>
      <c r="C366" s="132" t="s">
        <v>171</v>
      </c>
      <c r="D366" s="117" t="s">
        <v>3624</v>
      </c>
      <c r="E366" s="117" t="s">
        <v>86</v>
      </c>
      <c r="F366" s="117"/>
      <c r="G366" s="117" t="s">
        <v>24</v>
      </c>
      <c r="H366" s="117" t="str">
        <f t="shared" si="65"/>
        <v>yes</v>
      </c>
      <c r="I366" s="117" t="str">
        <f t="shared" si="66"/>
        <v>no</v>
      </c>
      <c r="J366" s="117" t="str">
        <f t="shared" si="67"/>
        <v>no</v>
      </c>
      <c r="K366" s="176" t="s">
        <v>1072</v>
      </c>
      <c r="L366" s="117" t="str">
        <f t="shared" si="59"/>
        <v>detailed</v>
      </c>
      <c r="M366" s="117" t="str">
        <f t="shared" si="68"/>
        <v>detailed Mining</v>
      </c>
      <c r="N366" s="179">
        <v>330000</v>
      </c>
      <c r="O366" s="179"/>
      <c r="P366" s="179"/>
      <c r="Q366" s="179"/>
      <c r="R366" s="179"/>
      <c r="S366" s="117" t="s">
        <v>610</v>
      </c>
      <c r="T366" s="119"/>
      <c r="U366" s="117"/>
      <c r="V366" s="117" t="s">
        <v>684</v>
      </c>
      <c r="W366" s="89"/>
      <c r="X366" s="117"/>
      <c r="Y366" s="117"/>
      <c r="Z366" s="117"/>
      <c r="AA366" s="177"/>
      <c r="AB366" s="177"/>
      <c r="AC366" s="122"/>
      <c r="AD366" s="122"/>
      <c r="AE366" s="122"/>
      <c r="AF366" s="123"/>
      <c r="AG366" s="117"/>
      <c r="AH366" s="124"/>
      <c r="AI366" s="117"/>
      <c r="AJ366" s="117"/>
      <c r="AK366" s="89"/>
      <c r="AL366" s="117"/>
      <c r="AM366" s="117"/>
      <c r="AN366" s="117"/>
      <c r="AO366" s="117"/>
      <c r="AP366" s="117"/>
      <c r="AQ366" s="117"/>
      <c r="AR366" s="126"/>
      <c r="AS366" s="117"/>
      <c r="AT366" s="117"/>
      <c r="AU366" s="117"/>
      <c r="AV366" s="128"/>
      <c r="AW366" s="117">
        <f>VLOOKUP($D366,'WB Data'!$C$3:$M$578,2,FALSE)</f>
        <v>18262675199.101006</v>
      </c>
      <c r="AX366" s="117">
        <f>VLOOKUP($D366,'WB Data'!$C$3:$M$578,3,FALSE)</f>
        <v>60486276</v>
      </c>
      <c r="AY366" s="847">
        <f t="shared" si="61"/>
        <v>1.3892718718666349E-2</v>
      </c>
      <c r="AZ366" s="117">
        <f>VLOOKUP($D366,'WB Data'!$C$3:$M$578,4,FALSE)/100</f>
        <v>0.14231813157824752</v>
      </c>
      <c r="BA366" s="117">
        <f t="shared" si="62"/>
        <v>2599109811.9564548</v>
      </c>
      <c r="BB366" s="129">
        <f>IFERROR(VLOOKUP($D366,'EITI Revenues'!$C$2:$G$224,5,FALSE),"..")</f>
        <v>253718209.59147424</v>
      </c>
      <c r="BC366" s="846">
        <f t="shared" si="63"/>
        <v>9.7617348995535633E-2</v>
      </c>
      <c r="BD366" s="129" t="e">
        <f>VLOOKUP($D366,'WB Data 2'!$C$2:$K$545,6,FALSE)</f>
        <v>#N/A</v>
      </c>
      <c r="BE366" s="129">
        <f>IFERROR(VLOOKUP($D366,UNCTAD!$C$5:$V$529,4,FALSE),"..")</f>
        <v>4912488088.9799995</v>
      </c>
      <c r="BF366" s="846" t="str">
        <f t="shared" si="64"/>
        <v>..</v>
      </c>
      <c r="BG366" s="117">
        <f>VLOOKUP($D366,'WB Data'!$C$3:$M$578,5,FALSE)</f>
        <v>2356850000</v>
      </c>
      <c r="BH366" s="129">
        <f>IFERROR($BB366/$BG366,"..")</f>
        <v>0.10765140318283906</v>
      </c>
      <c r="BI366" s="117" t="str">
        <f>IFERROR(VLOOKUP($D366,'WB Data'!$C$3:$M$578,7,FALSE)/100,"..")</f>
        <v>..</v>
      </c>
      <c r="BJ366" s="117" t="str">
        <f>IFERROR($BI366*$AW366,"..")</f>
        <v>..</v>
      </c>
      <c r="BK366" s="846" t="str">
        <f>IFERROR($BB366/$BJ366,"..")</f>
        <v>..</v>
      </c>
      <c r="BL366" s="117" t="str">
        <f>IFERROR(VLOOKUP($D366,'WB Data'!$C$3:$M$578,7,FALSE)/100,"..")</f>
        <v>..</v>
      </c>
      <c r="BM366" s="117" t="str">
        <f>IFERROR($AW366*$BL366,"..")</f>
        <v>..</v>
      </c>
      <c r="BN366" s="846" t="str">
        <f>IFERROR($BB366/$BM366,"..")</f>
        <v>..</v>
      </c>
      <c r="BO366" s="801" t="str">
        <f t="shared" si="60"/>
        <v>..</v>
      </c>
      <c r="BP366" s="117" t="str">
        <f>VLOOKUP($D366,'WB Data'!$C$3:$M$578,9,FALSE)</f>
        <v>..</v>
      </c>
      <c r="BQ366" s="117">
        <f>VLOOKUP($D366,'WB Data'!$C$3:$M$578,10,FALSE)</f>
        <v>48.697804878048785</v>
      </c>
      <c r="BR366" s="117">
        <f>VLOOKUP($D366,'WB Data'!$C$3:$M$578,11,FALSE)</f>
        <v>94.7</v>
      </c>
      <c r="BS366" s="129" t="str">
        <f>IFERROR(VLOOKUP($D366,'WB Data 2'!$C$2:$K$545,9,FALSE),"..")</f>
        <v>..</v>
      </c>
      <c r="BT366" s="129" t="str">
        <f>_xlfn.IFNA(VLOOKUP($C366,RGI!$A$2:$C$43,2,FALSE),"..")</f>
        <v>..</v>
      </c>
      <c r="BU366" s="129" t="str">
        <f>_xlfn.IFNA(VLOOKUP($C366,RGI!$A$2:$C$43,3,FALSE),"..")</f>
        <v>..</v>
      </c>
      <c r="BV366" s="129">
        <f>VLOOKUP($D366,WGI!$C$2:$O$478,7,FALSE)</f>
        <v>-1.44744229343522</v>
      </c>
      <c r="BW366" s="129">
        <f>VLOOKUP($D366,WGI!$C$2:$O$478,4,FALSE)</f>
        <v>-1.98732794178672</v>
      </c>
      <c r="BX366" s="129">
        <f>VLOOKUP($D366,WGI!$C$2:$O$478,3,FALSE)</f>
        <v>-1.7051833014723501</v>
      </c>
      <c r="BY366" s="129">
        <f>VLOOKUP($D366,WGI!$C$2:$O$478,5,FALSE)</f>
        <v>-1.5291692682962501</v>
      </c>
      <c r="BZ366" s="129">
        <f>VLOOKUP($D366,WGI!$C$2:$O$478,2,FALSE)</f>
        <v>-1.36346807993374</v>
      </c>
    </row>
    <row r="367" spans="1:80" ht="15" customHeight="1">
      <c r="A367" s="294" t="s">
        <v>177</v>
      </c>
      <c r="B367" s="117">
        <v>2009</v>
      </c>
      <c r="C367" s="132" t="s">
        <v>171</v>
      </c>
      <c r="D367" s="117" t="s">
        <v>3624</v>
      </c>
      <c r="E367" s="117" t="s">
        <v>86</v>
      </c>
      <c r="F367" s="117"/>
      <c r="G367" s="117" t="s">
        <v>24</v>
      </c>
      <c r="H367" s="117" t="str">
        <f t="shared" si="65"/>
        <v>yes</v>
      </c>
      <c r="I367" s="117" t="str">
        <f t="shared" si="66"/>
        <v>no</v>
      </c>
      <c r="J367" s="117" t="str">
        <f t="shared" si="67"/>
        <v>no</v>
      </c>
      <c r="K367" s="176" t="s">
        <v>1073</v>
      </c>
      <c r="L367" s="117" t="str">
        <f t="shared" si="59"/>
        <v>detailed</v>
      </c>
      <c r="M367" s="117" t="str">
        <f t="shared" si="68"/>
        <v>detailed Mining</v>
      </c>
      <c r="N367" s="179">
        <v>166915</v>
      </c>
      <c r="O367" s="179"/>
      <c r="P367" s="179"/>
      <c r="Q367" s="179"/>
      <c r="R367" s="179"/>
      <c r="S367" s="117" t="s">
        <v>610</v>
      </c>
      <c r="T367" s="119"/>
      <c r="U367" s="117"/>
      <c r="V367" s="117" t="s">
        <v>684</v>
      </c>
      <c r="W367" s="89"/>
      <c r="X367" s="117"/>
      <c r="Y367" s="117"/>
      <c r="Z367" s="117"/>
      <c r="AA367" s="177"/>
      <c r="AB367" s="177"/>
      <c r="AC367" s="122"/>
      <c r="AD367" s="122"/>
      <c r="AE367" s="122"/>
      <c r="AF367" s="123"/>
      <c r="AG367" s="117"/>
      <c r="AH367" s="124"/>
      <c r="AI367" s="117"/>
      <c r="AJ367" s="117"/>
      <c r="AK367" s="89"/>
      <c r="AL367" s="117"/>
      <c r="AM367" s="117"/>
      <c r="AN367" s="117"/>
      <c r="AO367" s="117"/>
      <c r="AP367" s="117"/>
      <c r="AQ367" s="117"/>
      <c r="AR367" s="126"/>
      <c r="AS367" s="117"/>
      <c r="AT367" s="117"/>
      <c r="AU367" s="117"/>
      <c r="AV367" s="128"/>
      <c r="AW367" s="117">
        <f>VLOOKUP($D367,'WB Data'!$C$3:$M$578,2,FALSE)</f>
        <v>18262675199.101006</v>
      </c>
      <c r="AX367" s="117">
        <f>VLOOKUP($D367,'WB Data'!$C$3:$M$578,3,FALSE)</f>
        <v>60486276</v>
      </c>
      <c r="AY367" s="847">
        <f t="shared" si="61"/>
        <v>1.3892718718666349E-2</v>
      </c>
      <c r="AZ367" s="117">
        <f>VLOOKUP($D367,'WB Data'!$C$3:$M$578,4,FALSE)/100</f>
        <v>0.14231813157824752</v>
      </c>
      <c r="BA367" s="117">
        <f t="shared" si="62"/>
        <v>2599109811.9564548</v>
      </c>
      <c r="BB367" s="129">
        <f>IFERROR(VLOOKUP($D367,'EITI Revenues'!$C$2:$G$224,5,FALSE),"..")</f>
        <v>253718209.59147424</v>
      </c>
      <c r="BC367" s="846">
        <f t="shared" si="63"/>
        <v>9.7617348995535633E-2</v>
      </c>
      <c r="BD367" s="129" t="e">
        <f>VLOOKUP($D367,'WB Data 2'!$C$2:$K$545,6,FALSE)</f>
        <v>#N/A</v>
      </c>
      <c r="BE367" s="129">
        <f>IFERROR(VLOOKUP($D367,UNCTAD!$C$5:$V$529,4,FALSE),"..")</f>
        <v>4912488088.9799995</v>
      </c>
      <c r="BF367" s="846" t="str">
        <f t="shared" si="64"/>
        <v>..</v>
      </c>
      <c r="BG367" s="117">
        <f>VLOOKUP($D367,'WB Data'!$C$3:$M$578,5,FALSE)</f>
        <v>2356850000</v>
      </c>
      <c r="BH367" s="129">
        <f>IFERROR($BB367/$BG367,"..")</f>
        <v>0.10765140318283906</v>
      </c>
      <c r="BI367" s="117" t="str">
        <f>IFERROR(VLOOKUP($D367,'WB Data'!$C$3:$M$578,7,FALSE)/100,"..")</f>
        <v>..</v>
      </c>
      <c r="BJ367" s="117" t="str">
        <f>IFERROR($BI367*$AW367,"..")</f>
        <v>..</v>
      </c>
      <c r="BK367" s="846" t="str">
        <f>IFERROR($BB367/$BJ367,"..")</f>
        <v>..</v>
      </c>
      <c r="BL367" s="117" t="str">
        <f>IFERROR(VLOOKUP($D367,'WB Data'!$C$3:$M$578,7,FALSE)/100,"..")</f>
        <v>..</v>
      </c>
      <c r="BM367" s="117" t="str">
        <f>IFERROR($AW367*$BL367,"..")</f>
        <v>..</v>
      </c>
      <c r="BN367" s="846" t="str">
        <f>IFERROR($BB367/$BM367,"..")</f>
        <v>..</v>
      </c>
      <c r="BO367" s="801" t="str">
        <f t="shared" si="60"/>
        <v>..</v>
      </c>
      <c r="BP367" s="117" t="str">
        <f>VLOOKUP($D367,'WB Data'!$C$3:$M$578,9,FALSE)</f>
        <v>..</v>
      </c>
      <c r="BQ367" s="117">
        <f>VLOOKUP($D367,'WB Data'!$C$3:$M$578,10,FALSE)</f>
        <v>48.697804878048785</v>
      </c>
      <c r="BR367" s="117">
        <f>VLOOKUP($D367,'WB Data'!$C$3:$M$578,11,FALSE)</f>
        <v>94.7</v>
      </c>
      <c r="BS367" s="129" t="str">
        <f>IFERROR(VLOOKUP($D367,'WB Data 2'!$C$2:$K$545,9,FALSE),"..")</f>
        <v>..</v>
      </c>
      <c r="BT367" s="129" t="str">
        <f>_xlfn.IFNA(VLOOKUP($C367,RGI!$A$2:$C$43,2,FALSE),"..")</f>
        <v>..</v>
      </c>
      <c r="BU367" s="129" t="str">
        <f>_xlfn.IFNA(VLOOKUP($C367,RGI!$A$2:$C$43,3,FALSE),"..")</f>
        <v>..</v>
      </c>
      <c r="BV367" s="129">
        <f>VLOOKUP($D367,WGI!$C$2:$O$478,7,FALSE)</f>
        <v>-1.44744229343522</v>
      </c>
      <c r="BW367" s="129">
        <f>VLOOKUP($D367,WGI!$C$2:$O$478,4,FALSE)</f>
        <v>-1.98732794178672</v>
      </c>
      <c r="BX367" s="129">
        <f>VLOOKUP($D367,WGI!$C$2:$O$478,3,FALSE)</f>
        <v>-1.7051833014723501</v>
      </c>
      <c r="BY367" s="129">
        <f>VLOOKUP($D367,WGI!$C$2:$O$478,5,FALSE)</f>
        <v>-1.5291692682962501</v>
      </c>
      <c r="BZ367" s="129">
        <f>VLOOKUP($D367,WGI!$C$2:$O$478,2,FALSE)</f>
        <v>-1.36346807993374</v>
      </c>
    </row>
    <row r="368" spans="1:80" ht="15" customHeight="1">
      <c r="A368" s="294" t="s">
        <v>177</v>
      </c>
      <c r="B368" s="117">
        <v>2009</v>
      </c>
      <c r="C368" s="132" t="s">
        <v>171</v>
      </c>
      <c r="D368" s="117" t="s">
        <v>3624</v>
      </c>
      <c r="E368" s="117" t="s">
        <v>86</v>
      </c>
      <c r="F368" s="117"/>
      <c r="G368" s="117" t="s">
        <v>24</v>
      </c>
      <c r="H368" s="117" t="str">
        <f t="shared" si="65"/>
        <v>yes</v>
      </c>
      <c r="I368" s="117" t="str">
        <f t="shared" si="66"/>
        <v>no</v>
      </c>
      <c r="J368" s="117" t="str">
        <f t="shared" si="67"/>
        <v>no</v>
      </c>
      <c r="K368" s="176" t="s">
        <v>980</v>
      </c>
      <c r="L368" s="117" t="str">
        <f t="shared" si="59"/>
        <v>detailed</v>
      </c>
      <c r="M368" s="117" t="str">
        <f t="shared" si="68"/>
        <v>detailed Mining</v>
      </c>
      <c r="N368" s="179">
        <v>16975000</v>
      </c>
      <c r="O368" s="179"/>
      <c r="P368" s="179"/>
      <c r="Q368" s="179"/>
      <c r="R368" s="179"/>
      <c r="S368" s="117" t="s">
        <v>981</v>
      </c>
      <c r="T368" s="119">
        <v>10.6</v>
      </c>
      <c r="U368" s="117" t="s">
        <v>982</v>
      </c>
      <c r="V368" s="117" t="s">
        <v>991</v>
      </c>
      <c r="W368" s="89">
        <f>N368*T368</f>
        <v>179935000</v>
      </c>
      <c r="X368" s="117"/>
      <c r="Y368" s="117"/>
      <c r="Z368" s="117"/>
      <c r="AA368" s="177"/>
      <c r="AB368" s="177"/>
      <c r="AC368" s="122"/>
      <c r="AD368" s="122"/>
      <c r="AE368" s="122"/>
      <c r="AF368" s="123"/>
      <c r="AG368" s="117"/>
      <c r="AH368" s="124"/>
      <c r="AI368" s="117"/>
      <c r="AJ368" s="117"/>
      <c r="AK368" s="89"/>
      <c r="AL368" s="117"/>
      <c r="AM368" s="117"/>
      <c r="AN368" s="117"/>
      <c r="AO368" s="117"/>
      <c r="AP368" s="117"/>
      <c r="AQ368" s="117"/>
      <c r="AR368" s="126"/>
      <c r="AS368" s="117"/>
      <c r="AT368" s="117"/>
      <c r="AU368" s="117"/>
      <c r="AV368" s="128"/>
      <c r="AW368" s="117">
        <f>VLOOKUP($D368,'WB Data'!$C$3:$M$578,2,FALSE)</f>
        <v>18262675199.101006</v>
      </c>
      <c r="AX368" s="117">
        <f>VLOOKUP($D368,'WB Data'!$C$3:$M$578,3,FALSE)</f>
        <v>60486276</v>
      </c>
      <c r="AY368" s="847">
        <f t="shared" si="61"/>
        <v>1.3892718718666349E-2</v>
      </c>
      <c r="AZ368" s="117">
        <f>VLOOKUP($D368,'WB Data'!$C$3:$M$578,4,FALSE)/100</f>
        <v>0.14231813157824752</v>
      </c>
      <c r="BA368" s="117">
        <f t="shared" si="62"/>
        <v>2599109811.9564548</v>
      </c>
      <c r="BB368" s="129">
        <f>IFERROR(VLOOKUP($D368,'EITI Revenues'!$C$2:$G$224,5,FALSE),"..")</f>
        <v>253718209.59147424</v>
      </c>
      <c r="BC368" s="846">
        <f t="shared" si="63"/>
        <v>9.7617348995535633E-2</v>
      </c>
      <c r="BD368" s="129" t="e">
        <f>VLOOKUP($D368,'WB Data 2'!$C$2:$K$545,6,FALSE)</f>
        <v>#N/A</v>
      </c>
      <c r="BE368" s="129">
        <f>IFERROR(VLOOKUP($D368,UNCTAD!$C$5:$V$529,4,FALSE),"..")</f>
        <v>4912488088.9799995</v>
      </c>
      <c r="BF368" s="846" t="str">
        <f t="shared" si="64"/>
        <v>..</v>
      </c>
      <c r="BG368" s="117">
        <f>VLOOKUP($D368,'WB Data'!$C$3:$M$578,5,FALSE)</f>
        <v>2356850000</v>
      </c>
      <c r="BH368" s="129">
        <f>IFERROR($BB368/$BG368,"..")</f>
        <v>0.10765140318283906</v>
      </c>
      <c r="BI368" s="117" t="str">
        <f>IFERROR(VLOOKUP($D368,'WB Data'!$C$3:$M$578,7,FALSE)/100,"..")</f>
        <v>..</v>
      </c>
      <c r="BJ368" s="117" t="str">
        <f>IFERROR($BI368*$AW368,"..")</f>
        <v>..</v>
      </c>
      <c r="BK368" s="846" t="str">
        <f>IFERROR($BB368/$BJ368,"..")</f>
        <v>..</v>
      </c>
      <c r="BL368" s="117" t="str">
        <f>IFERROR(VLOOKUP($D368,'WB Data'!$C$3:$M$578,7,FALSE)/100,"..")</f>
        <v>..</v>
      </c>
      <c r="BM368" s="117" t="str">
        <f>IFERROR($AW368*$BL368,"..")</f>
        <v>..</v>
      </c>
      <c r="BN368" s="846" t="str">
        <f>IFERROR($BB368/$BM368,"..")</f>
        <v>..</v>
      </c>
      <c r="BO368" s="801" t="str">
        <f t="shared" si="60"/>
        <v>..</v>
      </c>
      <c r="BP368" s="117" t="str">
        <f>VLOOKUP($D368,'WB Data'!$C$3:$M$578,9,FALSE)</f>
        <v>..</v>
      </c>
      <c r="BQ368" s="117">
        <f>VLOOKUP($D368,'WB Data'!$C$3:$M$578,10,FALSE)</f>
        <v>48.697804878048785</v>
      </c>
      <c r="BR368" s="117">
        <f>VLOOKUP($D368,'WB Data'!$C$3:$M$578,11,FALSE)</f>
        <v>94.7</v>
      </c>
      <c r="BS368" s="129" t="str">
        <f>IFERROR(VLOOKUP($D368,'WB Data 2'!$C$2:$K$545,9,FALSE),"..")</f>
        <v>..</v>
      </c>
      <c r="BT368" s="129" t="str">
        <f>_xlfn.IFNA(VLOOKUP($C368,RGI!$A$2:$C$43,2,FALSE),"..")</f>
        <v>..</v>
      </c>
      <c r="BU368" s="129" t="str">
        <f>_xlfn.IFNA(VLOOKUP($C368,RGI!$A$2:$C$43,3,FALSE),"..")</f>
        <v>..</v>
      </c>
      <c r="BV368" s="129">
        <f>VLOOKUP($D368,WGI!$C$2:$O$478,7,FALSE)</f>
        <v>-1.44744229343522</v>
      </c>
      <c r="BW368" s="129">
        <f>VLOOKUP($D368,WGI!$C$2:$O$478,4,FALSE)</f>
        <v>-1.98732794178672</v>
      </c>
      <c r="BX368" s="129">
        <f>VLOOKUP($D368,WGI!$C$2:$O$478,3,FALSE)</f>
        <v>-1.7051833014723501</v>
      </c>
      <c r="BY368" s="129">
        <f>VLOOKUP($D368,WGI!$C$2:$O$478,5,FALSE)</f>
        <v>-1.5291692682962501</v>
      </c>
      <c r="BZ368" s="129">
        <f>VLOOKUP($D368,WGI!$C$2:$O$478,2,FALSE)</f>
        <v>-1.36346807993374</v>
      </c>
    </row>
    <row r="369" spans="1:80" ht="15" customHeight="1">
      <c r="A369" s="294" t="s">
        <v>177</v>
      </c>
      <c r="B369" s="117">
        <v>2009</v>
      </c>
      <c r="C369" s="132" t="s">
        <v>171</v>
      </c>
      <c r="D369" s="117" t="s">
        <v>3624</v>
      </c>
      <c r="E369" s="117" t="s">
        <v>86</v>
      </c>
      <c r="F369" s="117"/>
      <c r="G369" s="117" t="s">
        <v>24</v>
      </c>
      <c r="H369" s="117" t="str">
        <f t="shared" si="65"/>
        <v>yes</v>
      </c>
      <c r="I369" s="117" t="str">
        <f t="shared" si="66"/>
        <v>no</v>
      </c>
      <c r="J369" s="117" t="str">
        <f t="shared" si="67"/>
        <v>no</v>
      </c>
      <c r="K369" s="176" t="s">
        <v>784</v>
      </c>
      <c r="L369" s="117" t="str">
        <f t="shared" si="59"/>
        <v>detailed</v>
      </c>
      <c r="M369" s="117" t="str">
        <f t="shared" si="68"/>
        <v>detailed Mining</v>
      </c>
      <c r="N369" s="179">
        <f>11000*32.150743126506</f>
        <v>353658.17439156602</v>
      </c>
      <c r="O369" s="179"/>
      <c r="P369" s="179"/>
      <c r="Q369" s="179"/>
      <c r="R369" s="179"/>
      <c r="S369" s="117" t="s">
        <v>785</v>
      </c>
      <c r="T369" s="119">
        <v>972.96591666666995</v>
      </c>
      <c r="U369" s="117" t="s">
        <v>786</v>
      </c>
      <c r="V369" s="117" t="s">
        <v>787</v>
      </c>
      <c r="W369" s="89">
        <f>N369*T369</f>
        <v>344097349.83355105</v>
      </c>
      <c r="X369" s="117"/>
      <c r="Y369" s="117"/>
      <c r="Z369" s="117"/>
      <c r="AA369" s="177"/>
      <c r="AB369" s="177"/>
      <c r="AC369" s="122"/>
      <c r="AD369" s="122"/>
      <c r="AE369" s="122"/>
      <c r="AF369" s="123"/>
      <c r="AG369" s="117"/>
      <c r="AH369" s="124"/>
      <c r="AI369" s="117"/>
      <c r="AJ369" s="117"/>
      <c r="AK369" s="89"/>
      <c r="AL369" s="117"/>
      <c r="AM369" s="117"/>
      <c r="AN369" s="117"/>
      <c r="AO369" s="117"/>
      <c r="AP369" s="117"/>
      <c r="AQ369" s="117"/>
      <c r="AR369" s="126"/>
      <c r="AS369" s="117"/>
      <c r="AT369" s="117"/>
      <c r="AU369" s="117"/>
      <c r="AV369" s="128"/>
      <c r="AW369" s="117">
        <f>VLOOKUP($D369,'WB Data'!$C$3:$M$578,2,FALSE)</f>
        <v>18262675199.101006</v>
      </c>
      <c r="AX369" s="117">
        <f>VLOOKUP($D369,'WB Data'!$C$3:$M$578,3,FALSE)</f>
        <v>60486276</v>
      </c>
      <c r="AY369" s="847">
        <f t="shared" si="61"/>
        <v>1.3892718718666349E-2</v>
      </c>
      <c r="AZ369" s="117">
        <f>VLOOKUP($D369,'WB Data'!$C$3:$M$578,4,FALSE)/100</f>
        <v>0.14231813157824752</v>
      </c>
      <c r="BA369" s="117">
        <f t="shared" si="62"/>
        <v>2599109811.9564548</v>
      </c>
      <c r="BB369" s="129">
        <f>IFERROR(VLOOKUP($D369,'EITI Revenues'!$C$2:$G$224,5,FALSE),"..")</f>
        <v>253718209.59147424</v>
      </c>
      <c r="BC369" s="846">
        <f t="shared" si="63"/>
        <v>9.7617348995535633E-2</v>
      </c>
      <c r="BD369" s="129" t="e">
        <f>VLOOKUP($D369,'WB Data 2'!$C$2:$K$545,6,FALSE)</f>
        <v>#N/A</v>
      </c>
      <c r="BE369" s="129">
        <f>IFERROR(VLOOKUP($D369,UNCTAD!$C$5:$V$529,4,FALSE),"..")</f>
        <v>4912488088.9799995</v>
      </c>
      <c r="BF369" s="846" t="str">
        <f t="shared" si="64"/>
        <v>..</v>
      </c>
      <c r="BG369" s="117">
        <f>VLOOKUP($D369,'WB Data'!$C$3:$M$578,5,FALSE)</f>
        <v>2356850000</v>
      </c>
      <c r="BH369" s="129">
        <f>IFERROR($BB369/$BG369,"..")</f>
        <v>0.10765140318283906</v>
      </c>
      <c r="BI369" s="117" t="str">
        <f>IFERROR(VLOOKUP($D369,'WB Data'!$C$3:$M$578,7,FALSE)/100,"..")</f>
        <v>..</v>
      </c>
      <c r="BJ369" s="117" t="str">
        <f>IFERROR($BI369*$AW369,"..")</f>
        <v>..</v>
      </c>
      <c r="BK369" s="846" t="str">
        <f>IFERROR($BB369/$BJ369,"..")</f>
        <v>..</v>
      </c>
      <c r="BL369" s="117" t="str">
        <f>IFERROR(VLOOKUP($D369,'WB Data'!$C$3:$M$578,7,FALSE)/100,"..")</f>
        <v>..</v>
      </c>
      <c r="BM369" s="117" t="str">
        <f>IFERROR($AW369*$BL369,"..")</f>
        <v>..</v>
      </c>
      <c r="BN369" s="846" t="str">
        <f>IFERROR($BB369/$BM369,"..")</f>
        <v>..</v>
      </c>
      <c r="BO369" s="801" t="str">
        <f t="shared" si="60"/>
        <v>..</v>
      </c>
      <c r="BP369" s="117" t="str">
        <f>VLOOKUP($D369,'WB Data'!$C$3:$M$578,9,FALSE)</f>
        <v>..</v>
      </c>
      <c r="BQ369" s="117">
        <f>VLOOKUP($D369,'WB Data'!$C$3:$M$578,10,FALSE)</f>
        <v>48.697804878048785</v>
      </c>
      <c r="BR369" s="117">
        <f>VLOOKUP($D369,'WB Data'!$C$3:$M$578,11,FALSE)</f>
        <v>94.7</v>
      </c>
      <c r="BS369" s="129" t="str">
        <f>IFERROR(VLOOKUP($D369,'WB Data 2'!$C$2:$K$545,9,FALSE),"..")</f>
        <v>..</v>
      </c>
      <c r="BT369" s="129" t="str">
        <f>_xlfn.IFNA(VLOOKUP($C369,RGI!$A$2:$C$43,2,FALSE),"..")</f>
        <v>..</v>
      </c>
      <c r="BU369" s="129" t="str">
        <f>_xlfn.IFNA(VLOOKUP($C369,RGI!$A$2:$C$43,3,FALSE),"..")</f>
        <v>..</v>
      </c>
      <c r="BV369" s="129">
        <f>VLOOKUP($D369,WGI!$C$2:$O$478,7,FALSE)</f>
        <v>-1.44744229343522</v>
      </c>
      <c r="BW369" s="129">
        <f>VLOOKUP($D369,WGI!$C$2:$O$478,4,FALSE)</f>
        <v>-1.98732794178672</v>
      </c>
      <c r="BX369" s="129">
        <f>VLOOKUP($D369,WGI!$C$2:$O$478,3,FALSE)</f>
        <v>-1.7051833014723501</v>
      </c>
      <c r="BY369" s="129">
        <f>VLOOKUP($D369,WGI!$C$2:$O$478,5,FALSE)</f>
        <v>-1.5291692682962501</v>
      </c>
      <c r="BZ369" s="129">
        <f>VLOOKUP($D369,WGI!$C$2:$O$478,2,FALSE)</f>
        <v>-1.36346807993374</v>
      </c>
    </row>
    <row r="370" spans="1:80" ht="15" customHeight="1">
      <c r="A370" s="294" t="s">
        <v>177</v>
      </c>
      <c r="B370" s="117">
        <v>2009</v>
      </c>
      <c r="C370" s="132" t="s">
        <v>171</v>
      </c>
      <c r="D370" s="117" t="s">
        <v>3624</v>
      </c>
      <c r="E370" s="117" t="s">
        <v>86</v>
      </c>
      <c r="F370" s="117"/>
      <c r="G370" s="117" t="s">
        <v>24</v>
      </c>
      <c r="H370" s="117" t="str">
        <f t="shared" si="65"/>
        <v>yes</v>
      </c>
      <c r="I370" s="117" t="str">
        <f t="shared" si="66"/>
        <v>no</v>
      </c>
      <c r="J370" s="117" t="str">
        <f t="shared" si="67"/>
        <v>no</v>
      </c>
      <c r="K370" s="176" t="s">
        <v>1066</v>
      </c>
      <c r="L370" s="117" t="str">
        <f t="shared" si="59"/>
        <v>detailed</v>
      </c>
      <c r="M370" s="117" t="str">
        <f t="shared" si="68"/>
        <v>detailed Mining</v>
      </c>
      <c r="N370" s="179">
        <v>80</v>
      </c>
      <c r="O370" s="179"/>
      <c r="P370" s="179"/>
      <c r="Q370" s="179"/>
      <c r="R370" s="179"/>
      <c r="S370" s="117" t="s">
        <v>610</v>
      </c>
      <c r="T370" s="119"/>
      <c r="U370" s="117"/>
      <c r="V370" s="117" t="s">
        <v>684</v>
      </c>
      <c r="W370" s="89"/>
      <c r="X370" s="117"/>
      <c r="Y370" s="117"/>
      <c r="Z370" s="117"/>
      <c r="AA370" s="177"/>
      <c r="AB370" s="177"/>
      <c r="AC370" s="122"/>
      <c r="AD370" s="122"/>
      <c r="AE370" s="122"/>
      <c r="AF370" s="123"/>
      <c r="AG370" s="117"/>
      <c r="AH370" s="124"/>
      <c r="AI370" s="117"/>
      <c r="AJ370" s="117"/>
      <c r="AK370" s="89"/>
      <c r="AL370" s="117"/>
      <c r="AM370" s="117"/>
      <c r="AN370" s="117"/>
      <c r="AO370" s="117"/>
      <c r="AP370" s="117"/>
      <c r="AQ370" s="117"/>
      <c r="AR370" s="126"/>
      <c r="AS370" s="117"/>
      <c r="AT370" s="117"/>
      <c r="AU370" s="117"/>
      <c r="AV370" s="128"/>
      <c r="AW370" s="117">
        <f>VLOOKUP($D370,'WB Data'!$C$3:$M$578,2,FALSE)</f>
        <v>18262675199.101006</v>
      </c>
      <c r="AX370" s="117">
        <f>VLOOKUP($D370,'WB Data'!$C$3:$M$578,3,FALSE)</f>
        <v>60486276</v>
      </c>
      <c r="AY370" s="847">
        <f t="shared" si="61"/>
        <v>1.3892718718666349E-2</v>
      </c>
      <c r="AZ370" s="117">
        <f>VLOOKUP($D370,'WB Data'!$C$3:$M$578,4,FALSE)/100</f>
        <v>0.14231813157824752</v>
      </c>
      <c r="BA370" s="117">
        <f t="shared" si="62"/>
        <v>2599109811.9564548</v>
      </c>
      <c r="BB370" s="129">
        <f>IFERROR(VLOOKUP($D370,'EITI Revenues'!$C$2:$G$224,5,FALSE),"..")</f>
        <v>253718209.59147424</v>
      </c>
      <c r="BC370" s="846">
        <f t="shared" si="63"/>
        <v>9.7617348995535633E-2</v>
      </c>
      <c r="BD370" s="129" t="e">
        <f>VLOOKUP($D370,'WB Data 2'!$C$2:$K$545,6,FALSE)</f>
        <v>#N/A</v>
      </c>
      <c r="BE370" s="129">
        <f>IFERROR(VLOOKUP($D370,UNCTAD!$C$5:$V$529,4,FALSE),"..")</f>
        <v>4912488088.9799995</v>
      </c>
      <c r="BF370" s="846" t="str">
        <f t="shared" si="64"/>
        <v>..</v>
      </c>
      <c r="BG370" s="117">
        <f>VLOOKUP($D370,'WB Data'!$C$3:$M$578,5,FALSE)</f>
        <v>2356850000</v>
      </c>
      <c r="BH370" s="129">
        <f>IFERROR($BB370/$BG370,"..")</f>
        <v>0.10765140318283906</v>
      </c>
      <c r="BI370" s="117" t="str">
        <f>IFERROR(VLOOKUP($D370,'WB Data'!$C$3:$M$578,7,FALSE)/100,"..")</f>
        <v>..</v>
      </c>
      <c r="BJ370" s="117" t="str">
        <f>IFERROR($BI370*$AW370,"..")</f>
        <v>..</v>
      </c>
      <c r="BK370" s="846" t="str">
        <f>IFERROR($BB370/$BJ370,"..")</f>
        <v>..</v>
      </c>
      <c r="BL370" s="117" t="str">
        <f>IFERROR(VLOOKUP($D370,'WB Data'!$C$3:$M$578,7,FALSE)/100,"..")</f>
        <v>..</v>
      </c>
      <c r="BM370" s="117" t="str">
        <f>IFERROR($AW370*$BL370,"..")</f>
        <v>..</v>
      </c>
      <c r="BN370" s="846" t="str">
        <f>IFERROR($BB370/$BM370,"..")</f>
        <v>..</v>
      </c>
      <c r="BO370" s="801" t="str">
        <f t="shared" si="60"/>
        <v>..</v>
      </c>
      <c r="BP370" s="117" t="str">
        <f>VLOOKUP($D370,'WB Data'!$C$3:$M$578,9,FALSE)</f>
        <v>..</v>
      </c>
      <c r="BQ370" s="117">
        <f>VLOOKUP($D370,'WB Data'!$C$3:$M$578,10,FALSE)</f>
        <v>48.697804878048785</v>
      </c>
      <c r="BR370" s="117">
        <f>VLOOKUP($D370,'WB Data'!$C$3:$M$578,11,FALSE)</f>
        <v>94.7</v>
      </c>
      <c r="BS370" s="129" t="str">
        <f>IFERROR(VLOOKUP($D370,'WB Data 2'!$C$2:$K$545,9,FALSE),"..")</f>
        <v>..</v>
      </c>
      <c r="BT370" s="129" t="str">
        <f>_xlfn.IFNA(VLOOKUP($C370,RGI!$A$2:$C$43,2,FALSE),"..")</f>
        <v>..</v>
      </c>
      <c r="BU370" s="129" t="str">
        <f>_xlfn.IFNA(VLOOKUP($C370,RGI!$A$2:$C$43,3,FALSE),"..")</f>
        <v>..</v>
      </c>
      <c r="BV370" s="129">
        <f>VLOOKUP($D370,WGI!$C$2:$O$478,7,FALSE)</f>
        <v>-1.44744229343522</v>
      </c>
      <c r="BW370" s="129">
        <f>VLOOKUP($D370,WGI!$C$2:$O$478,4,FALSE)</f>
        <v>-1.98732794178672</v>
      </c>
      <c r="BX370" s="129">
        <f>VLOOKUP($D370,WGI!$C$2:$O$478,3,FALSE)</f>
        <v>-1.7051833014723501</v>
      </c>
      <c r="BY370" s="129">
        <f>VLOOKUP($D370,WGI!$C$2:$O$478,5,FALSE)</f>
        <v>-1.5291692682962501</v>
      </c>
      <c r="BZ370" s="129">
        <f>VLOOKUP($D370,WGI!$C$2:$O$478,2,FALSE)</f>
        <v>-1.36346807993374</v>
      </c>
    </row>
    <row r="371" spans="1:80" ht="15" customHeight="1">
      <c r="A371" s="294" t="s">
        <v>177</v>
      </c>
      <c r="B371" s="117">
        <v>2009</v>
      </c>
      <c r="C371" s="132" t="s">
        <v>171</v>
      </c>
      <c r="D371" s="117" t="s">
        <v>3624</v>
      </c>
      <c r="E371" s="117" t="s">
        <v>86</v>
      </c>
      <c r="F371" s="117"/>
      <c r="G371" s="117" t="s">
        <v>24</v>
      </c>
      <c r="H371" s="117" t="str">
        <f t="shared" si="65"/>
        <v>yes</v>
      </c>
      <c r="I371" s="117" t="str">
        <f t="shared" si="66"/>
        <v>no</v>
      </c>
      <c r="J371" s="117" t="str">
        <f t="shared" si="67"/>
        <v>no</v>
      </c>
      <c r="K371" s="176" t="s">
        <v>1067</v>
      </c>
      <c r="L371" s="117" t="str">
        <f t="shared" si="59"/>
        <v>detailed</v>
      </c>
      <c r="M371" s="117" t="str">
        <f t="shared" si="68"/>
        <v>detailed Mining</v>
      </c>
      <c r="N371" s="179">
        <v>40</v>
      </c>
      <c r="O371" s="179"/>
      <c r="P371" s="179"/>
      <c r="Q371" s="179"/>
      <c r="R371" s="179"/>
      <c r="S371" s="117" t="s">
        <v>610</v>
      </c>
      <c r="T371" s="119">
        <v>37298</v>
      </c>
      <c r="U371" s="117" t="s">
        <v>611</v>
      </c>
      <c r="V371" s="117" t="s">
        <v>1091</v>
      </c>
      <c r="W371" s="89">
        <f>N371*T371</f>
        <v>1491920</v>
      </c>
      <c r="X371" s="117"/>
      <c r="Y371" s="117"/>
      <c r="Z371" s="117"/>
      <c r="AA371" s="177"/>
      <c r="AB371" s="177"/>
      <c r="AC371" s="122"/>
      <c r="AD371" s="122"/>
      <c r="AE371" s="122"/>
      <c r="AF371" s="123"/>
      <c r="AG371" s="117"/>
      <c r="AH371" s="124"/>
      <c r="AI371" s="117"/>
      <c r="AJ371" s="117"/>
      <c r="AK371" s="89"/>
      <c r="AL371" s="117"/>
      <c r="AM371" s="117"/>
      <c r="AN371" s="117"/>
      <c r="AO371" s="117"/>
      <c r="AP371" s="117"/>
      <c r="AQ371" s="117"/>
      <c r="AR371" s="126"/>
      <c r="AS371" s="117"/>
      <c r="AT371" s="117"/>
      <c r="AU371" s="117"/>
      <c r="AV371" s="128"/>
      <c r="AW371" s="117">
        <f>VLOOKUP($D371,'WB Data'!$C$3:$M$578,2,FALSE)</f>
        <v>18262675199.101006</v>
      </c>
      <c r="AX371" s="117">
        <f>VLOOKUP($D371,'WB Data'!$C$3:$M$578,3,FALSE)</f>
        <v>60486276</v>
      </c>
      <c r="AY371" s="847">
        <f t="shared" si="61"/>
        <v>1.3892718718666349E-2</v>
      </c>
      <c r="AZ371" s="117">
        <f>VLOOKUP($D371,'WB Data'!$C$3:$M$578,4,FALSE)/100</f>
        <v>0.14231813157824752</v>
      </c>
      <c r="BA371" s="117">
        <f t="shared" si="62"/>
        <v>2599109811.9564548</v>
      </c>
      <c r="BB371" s="129">
        <f>IFERROR(VLOOKUP($D371,'EITI Revenues'!$C$2:$G$224,5,FALSE),"..")</f>
        <v>253718209.59147424</v>
      </c>
      <c r="BC371" s="846">
        <f t="shared" si="63"/>
        <v>9.7617348995535633E-2</v>
      </c>
      <c r="BD371" s="129" t="e">
        <f>VLOOKUP($D371,'WB Data 2'!$C$2:$K$545,6,FALSE)</f>
        <v>#N/A</v>
      </c>
      <c r="BE371" s="129">
        <f>IFERROR(VLOOKUP($D371,UNCTAD!$C$5:$V$529,4,FALSE),"..")</f>
        <v>4912488088.9799995</v>
      </c>
      <c r="BF371" s="846" t="str">
        <f t="shared" si="64"/>
        <v>..</v>
      </c>
      <c r="BG371" s="117">
        <f>VLOOKUP($D371,'WB Data'!$C$3:$M$578,5,FALSE)</f>
        <v>2356850000</v>
      </c>
      <c r="BH371" s="129">
        <f>IFERROR($BB371/$BG371,"..")</f>
        <v>0.10765140318283906</v>
      </c>
      <c r="BI371" s="117" t="str">
        <f>IFERROR(VLOOKUP($D371,'WB Data'!$C$3:$M$578,7,FALSE)/100,"..")</f>
        <v>..</v>
      </c>
      <c r="BJ371" s="117" t="str">
        <f>IFERROR($BI371*$AW371,"..")</f>
        <v>..</v>
      </c>
      <c r="BK371" s="846" t="str">
        <f>IFERROR($BB371/$BJ371,"..")</f>
        <v>..</v>
      </c>
      <c r="BL371" s="117" t="str">
        <f>IFERROR(VLOOKUP($D371,'WB Data'!$C$3:$M$578,7,FALSE)/100,"..")</f>
        <v>..</v>
      </c>
      <c r="BM371" s="117" t="str">
        <f>IFERROR($AW371*$BL371,"..")</f>
        <v>..</v>
      </c>
      <c r="BN371" s="846" t="str">
        <f>IFERROR($BB371/$BM371,"..")</f>
        <v>..</v>
      </c>
      <c r="BO371" s="801" t="str">
        <f t="shared" si="60"/>
        <v>..</v>
      </c>
      <c r="BP371" s="117" t="str">
        <f>VLOOKUP($D371,'WB Data'!$C$3:$M$578,9,FALSE)</f>
        <v>..</v>
      </c>
      <c r="BQ371" s="117">
        <f>VLOOKUP($D371,'WB Data'!$C$3:$M$578,10,FALSE)</f>
        <v>48.697804878048785</v>
      </c>
      <c r="BR371" s="117">
        <f>VLOOKUP($D371,'WB Data'!$C$3:$M$578,11,FALSE)</f>
        <v>94.7</v>
      </c>
      <c r="BS371" s="129" t="str">
        <f>IFERROR(VLOOKUP($D371,'WB Data 2'!$C$2:$K$545,9,FALSE),"..")</f>
        <v>..</v>
      </c>
      <c r="BT371" s="129" t="str">
        <f>_xlfn.IFNA(VLOOKUP($C371,RGI!$A$2:$C$43,2,FALSE),"..")</f>
        <v>..</v>
      </c>
      <c r="BU371" s="129" t="str">
        <f>_xlfn.IFNA(VLOOKUP($C371,RGI!$A$2:$C$43,3,FALSE),"..")</f>
        <v>..</v>
      </c>
      <c r="BV371" s="129">
        <f>VLOOKUP($D371,WGI!$C$2:$O$478,7,FALSE)</f>
        <v>-1.44744229343522</v>
      </c>
      <c r="BW371" s="129">
        <f>VLOOKUP($D371,WGI!$C$2:$O$478,4,FALSE)</f>
        <v>-1.98732794178672</v>
      </c>
      <c r="BX371" s="129">
        <f>VLOOKUP($D371,WGI!$C$2:$O$478,3,FALSE)</f>
        <v>-1.7051833014723501</v>
      </c>
      <c r="BY371" s="129">
        <f>VLOOKUP($D371,WGI!$C$2:$O$478,5,FALSE)</f>
        <v>-1.5291692682962501</v>
      </c>
      <c r="BZ371" s="129">
        <f>VLOOKUP($D371,WGI!$C$2:$O$478,2,FALSE)</f>
        <v>-1.36346807993374</v>
      </c>
    </row>
    <row r="372" spans="1:80" ht="15" customHeight="1">
      <c r="A372" s="294" t="s">
        <v>177</v>
      </c>
      <c r="B372" s="117">
        <v>2009</v>
      </c>
      <c r="C372" s="132" t="s">
        <v>171</v>
      </c>
      <c r="D372" s="117" t="s">
        <v>3624</v>
      </c>
      <c r="E372" s="117" t="s">
        <v>86</v>
      </c>
      <c r="F372" s="117"/>
      <c r="G372" s="117" t="s">
        <v>24</v>
      </c>
      <c r="H372" s="117" t="str">
        <f t="shared" si="65"/>
        <v>yes</v>
      </c>
      <c r="I372" s="117" t="str">
        <f t="shared" si="66"/>
        <v>no</v>
      </c>
      <c r="J372" s="117" t="str">
        <f t="shared" si="67"/>
        <v>no</v>
      </c>
      <c r="K372" s="176" t="s">
        <v>1075</v>
      </c>
      <c r="L372" s="117" t="str">
        <f t="shared" si="59"/>
        <v>detailed</v>
      </c>
      <c r="M372" s="117" t="str">
        <f t="shared" si="68"/>
        <v>detailed Mining</v>
      </c>
      <c r="N372" s="179"/>
      <c r="O372" s="179"/>
      <c r="P372" s="179"/>
      <c r="Q372" s="179"/>
      <c r="R372" s="179"/>
      <c r="S372" s="117"/>
      <c r="T372" s="180">
        <f>13573.8769166667</f>
        <v>13573.876916666701</v>
      </c>
      <c r="U372" s="117" t="s">
        <v>611</v>
      </c>
      <c r="V372" s="117" t="s">
        <v>1076</v>
      </c>
      <c r="W372" s="89">
        <f>N374*T372</f>
        <v>134381381.47500035</v>
      </c>
      <c r="X372" s="117"/>
      <c r="Y372" s="117"/>
      <c r="Z372" s="117"/>
      <c r="AA372" s="177"/>
      <c r="AB372" s="177"/>
      <c r="AC372" s="122"/>
      <c r="AD372" s="122"/>
      <c r="AE372" s="122"/>
      <c r="AF372" s="123"/>
      <c r="AG372" s="117"/>
      <c r="AH372" s="124"/>
      <c r="AI372" s="117"/>
      <c r="AJ372" s="117"/>
      <c r="AK372" s="89"/>
      <c r="AL372" s="117"/>
      <c r="AM372" s="117"/>
      <c r="AN372" s="117"/>
      <c r="AO372" s="117"/>
      <c r="AP372" s="117"/>
      <c r="AQ372" s="117"/>
      <c r="AR372" s="126"/>
      <c r="AS372" s="117"/>
      <c r="AT372" s="117"/>
      <c r="AU372" s="117"/>
      <c r="AV372" s="128"/>
      <c r="AW372" s="117">
        <f>VLOOKUP($D372,'WB Data'!$C$3:$M$578,2,FALSE)</f>
        <v>18262675199.101006</v>
      </c>
      <c r="AX372" s="117">
        <f>VLOOKUP($D372,'WB Data'!$C$3:$M$578,3,FALSE)</f>
        <v>60486276</v>
      </c>
      <c r="AY372" s="847">
        <f t="shared" si="61"/>
        <v>1.3892718718666349E-2</v>
      </c>
      <c r="AZ372" s="117">
        <f>VLOOKUP($D372,'WB Data'!$C$3:$M$578,4,FALSE)/100</f>
        <v>0.14231813157824752</v>
      </c>
      <c r="BA372" s="117">
        <f t="shared" si="62"/>
        <v>2599109811.9564548</v>
      </c>
      <c r="BB372" s="129">
        <f>IFERROR(VLOOKUP($D372,'EITI Revenues'!$C$2:$G$224,5,FALSE),"..")</f>
        <v>253718209.59147424</v>
      </c>
      <c r="BC372" s="846">
        <f t="shared" si="63"/>
        <v>9.7617348995535633E-2</v>
      </c>
      <c r="BD372" s="129" t="e">
        <f>VLOOKUP($D372,'WB Data 2'!$C$2:$K$545,6,FALSE)</f>
        <v>#N/A</v>
      </c>
      <c r="BE372" s="129">
        <f>IFERROR(VLOOKUP($D372,UNCTAD!$C$5:$V$529,4,FALSE),"..")</f>
        <v>4912488088.9799995</v>
      </c>
      <c r="BF372" s="846" t="str">
        <f t="shared" si="64"/>
        <v>..</v>
      </c>
      <c r="BG372" s="117">
        <f>VLOOKUP($D372,'WB Data'!$C$3:$M$578,5,FALSE)</f>
        <v>2356850000</v>
      </c>
      <c r="BH372" s="129">
        <f>IFERROR($BB372/$BG372,"..")</f>
        <v>0.10765140318283906</v>
      </c>
      <c r="BI372" s="117" t="str">
        <f>IFERROR(VLOOKUP($D372,'WB Data'!$C$3:$M$578,7,FALSE)/100,"..")</f>
        <v>..</v>
      </c>
      <c r="BJ372" s="117" t="str">
        <f>IFERROR($BI372*$AW372,"..")</f>
        <v>..</v>
      </c>
      <c r="BK372" s="846" t="str">
        <f>IFERROR($BB372/$BJ372,"..")</f>
        <v>..</v>
      </c>
      <c r="BL372" s="117" t="str">
        <f>IFERROR(VLOOKUP($D372,'WB Data'!$C$3:$M$578,7,FALSE)/100,"..")</f>
        <v>..</v>
      </c>
      <c r="BM372" s="117" t="str">
        <f>IFERROR($AW372*$BL372,"..")</f>
        <v>..</v>
      </c>
      <c r="BN372" s="846" t="str">
        <f>IFERROR($BB372/$BM372,"..")</f>
        <v>..</v>
      </c>
      <c r="BO372" s="801" t="str">
        <f t="shared" si="60"/>
        <v>..</v>
      </c>
      <c r="BP372" s="117" t="str">
        <f>VLOOKUP($D372,'WB Data'!$C$3:$M$578,9,FALSE)</f>
        <v>..</v>
      </c>
      <c r="BQ372" s="117">
        <f>VLOOKUP($D372,'WB Data'!$C$3:$M$578,10,FALSE)</f>
        <v>48.697804878048785</v>
      </c>
      <c r="BR372" s="117">
        <f>VLOOKUP($D372,'WB Data'!$C$3:$M$578,11,FALSE)</f>
        <v>94.7</v>
      </c>
      <c r="BS372" s="129" t="str">
        <f>IFERROR(VLOOKUP($D372,'WB Data 2'!$C$2:$K$545,9,FALSE),"..")</f>
        <v>..</v>
      </c>
      <c r="BT372" s="129" t="str">
        <f>_xlfn.IFNA(VLOOKUP($C372,RGI!$A$2:$C$43,2,FALSE),"..")</f>
        <v>..</v>
      </c>
      <c r="BU372" s="129" t="str">
        <f>_xlfn.IFNA(VLOOKUP($C372,RGI!$A$2:$C$43,3,FALSE),"..")</f>
        <v>..</v>
      </c>
      <c r="BV372" s="129">
        <f>VLOOKUP($D372,WGI!$C$2:$O$478,7,FALSE)</f>
        <v>-1.44744229343522</v>
      </c>
      <c r="BW372" s="129">
        <f>VLOOKUP($D372,WGI!$C$2:$O$478,4,FALSE)</f>
        <v>-1.98732794178672</v>
      </c>
      <c r="BX372" s="129">
        <f>VLOOKUP($D372,WGI!$C$2:$O$478,3,FALSE)</f>
        <v>-1.7051833014723501</v>
      </c>
      <c r="BY372" s="129">
        <f>VLOOKUP($D372,WGI!$C$2:$O$478,5,FALSE)</f>
        <v>-1.5291692682962501</v>
      </c>
      <c r="BZ372" s="129">
        <f>VLOOKUP($D372,WGI!$C$2:$O$478,2,FALSE)</f>
        <v>-1.36346807993374</v>
      </c>
    </row>
    <row r="373" spans="1:80" ht="15" customHeight="1">
      <c r="A373" s="294" t="s">
        <v>177</v>
      </c>
      <c r="B373" s="117">
        <v>2009</v>
      </c>
      <c r="C373" s="132" t="s">
        <v>171</v>
      </c>
      <c r="D373" s="117" t="s">
        <v>3624</v>
      </c>
      <c r="E373" s="117" t="s">
        <v>86</v>
      </c>
      <c r="F373" s="117"/>
      <c r="G373" s="117" t="s">
        <v>24</v>
      </c>
      <c r="H373" s="117" t="str">
        <f t="shared" si="65"/>
        <v>yes</v>
      </c>
      <c r="I373" s="117" t="str">
        <f t="shared" si="66"/>
        <v>no</v>
      </c>
      <c r="J373" s="117" t="str">
        <f t="shared" si="67"/>
        <v>no</v>
      </c>
      <c r="K373" s="176" t="s">
        <v>1066</v>
      </c>
      <c r="L373" s="117" t="str">
        <f t="shared" si="59"/>
        <v>detailed</v>
      </c>
      <c r="M373" s="117" t="str">
        <f t="shared" si="68"/>
        <v>detailed Mining</v>
      </c>
      <c r="N373" s="179">
        <v>15195</v>
      </c>
      <c r="O373" s="179"/>
      <c r="P373" s="179"/>
      <c r="Q373" s="179"/>
      <c r="R373" s="179"/>
      <c r="S373" s="117" t="s">
        <v>610</v>
      </c>
      <c r="T373" s="119"/>
      <c r="U373" s="117"/>
      <c r="V373" s="117" t="s">
        <v>684</v>
      </c>
      <c r="W373" s="89"/>
      <c r="X373" s="117"/>
      <c r="Y373" s="117"/>
      <c r="Z373" s="117"/>
      <c r="AA373" s="177"/>
      <c r="AB373" s="177"/>
      <c r="AC373" s="122"/>
      <c r="AD373" s="122"/>
      <c r="AE373" s="122"/>
      <c r="AF373" s="123"/>
      <c r="AG373" s="117"/>
      <c r="AH373" s="124"/>
      <c r="AI373" s="117"/>
      <c r="AJ373" s="117"/>
      <c r="AK373" s="89"/>
      <c r="AL373" s="117"/>
      <c r="AM373" s="117"/>
      <c r="AN373" s="117"/>
      <c r="AO373" s="117"/>
      <c r="AP373" s="117"/>
      <c r="AQ373" s="117"/>
      <c r="AR373" s="126"/>
      <c r="AS373" s="117"/>
      <c r="AT373" s="117"/>
      <c r="AU373" s="117"/>
      <c r="AV373" s="128"/>
      <c r="AW373" s="117">
        <f>VLOOKUP($D373,'WB Data'!$C$3:$M$578,2,FALSE)</f>
        <v>18262675199.101006</v>
      </c>
      <c r="AX373" s="117">
        <f>VLOOKUP($D373,'WB Data'!$C$3:$M$578,3,FALSE)</f>
        <v>60486276</v>
      </c>
      <c r="AY373" s="847">
        <f t="shared" si="61"/>
        <v>1.3892718718666349E-2</v>
      </c>
      <c r="AZ373" s="117">
        <f>VLOOKUP($D373,'WB Data'!$C$3:$M$578,4,FALSE)/100</f>
        <v>0.14231813157824752</v>
      </c>
      <c r="BA373" s="117">
        <f t="shared" si="62"/>
        <v>2599109811.9564548</v>
      </c>
      <c r="BB373" s="129">
        <f>IFERROR(VLOOKUP($D373,'EITI Revenues'!$C$2:$G$224,5,FALSE),"..")</f>
        <v>253718209.59147424</v>
      </c>
      <c r="BC373" s="846">
        <f t="shared" si="63"/>
        <v>9.7617348995535633E-2</v>
      </c>
      <c r="BD373" s="129" t="e">
        <f>VLOOKUP($D373,'WB Data 2'!$C$2:$K$545,6,FALSE)</f>
        <v>#N/A</v>
      </c>
      <c r="BE373" s="129">
        <f>IFERROR(VLOOKUP($D373,UNCTAD!$C$5:$V$529,4,FALSE),"..")</f>
        <v>4912488088.9799995</v>
      </c>
      <c r="BF373" s="846" t="str">
        <f t="shared" si="64"/>
        <v>..</v>
      </c>
      <c r="BG373" s="117">
        <f>VLOOKUP($D373,'WB Data'!$C$3:$M$578,5,FALSE)</f>
        <v>2356850000</v>
      </c>
      <c r="BH373" s="129">
        <f>IFERROR($BB373/$BG373,"..")</f>
        <v>0.10765140318283906</v>
      </c>
      <c r="BI373" s="117" t="str">
        <f>IFERROR(VLOOKUP($D373,'WB Data'!$C$3:$M$578,7,FALSE)/100,"..")</f>
        <v>..</v>
      </c>
      <c r="BJ373" s="117" t="str">
        <f>IFERROR($BI373*$AW373,"..")</f>
        <v>..</v>
      </c>
      <c r="BK373" s="846" t="str">
        <f>IFERROR($BB373/$BJ373,"..")</f>
        <v>..</v>
      </c>
      <c r="BL373" s="117" t="str">
        <f>IFERROR(VLOOKUP($D373,'WB Data'!$C$3:$M$578,7,FALSE)/100,"..")</f>
        <v>..</v>
      </c>
      <c r="BM373" s="117" t="str">
        <f>IFERROR($AW373*$BL373,"..")</f>
        <v>..</v>
      </c>
      <c r="BN373" s="846" t="str">
        <f>IFERROR($BB373/$BM373,"..")</f>
        <v>..</v>
      </c>
      <c r="BO373" s="801" t="str">
        <f t="shared" si="60"/>
        <v>..</v>
      </c>
      <c r="BP373" s="117" t="str">
        <f>VLOOKUP($D373,'WB Data'!$C$3:$M$578,9,FALSE)</f>
        <v>..</v>
      </c>
      <c r="BQ373" s="117">
        <f>VLOOKUP($D373,'WB Data'!$C$3:$M$578,10,FALSE)</f>
        <v>48.697804878048785</v>
      </c>
      <c r="BR373" s="117">
        <f>VLOOKUP($D373,'WB Data'!$C$3:$M$578,11,FALSE)</f>
        <v>94.7</v>
      </c>
      <c r="BS373" s="129" t="str">
        <f>IFERROR(VLOOKUP($D373,'WB Data 2'!$C$2:$K$545,9,FALSE),"..")</f>
        <v>..</v>
      </c>
      <c r="BT373" s="129" t="str">
        <f>_xlfn.IFNA(VLOOKUP($C373,RGI!$A$2:$C$43,2,FALSE),"..")</f>
        <v>..</v>
      </c>
      <c r="BU373" s="129" t="str">
        <f>_xlfn.IFNA(VLOOKUP($C373,RGI!$A$2:$C$43,3,FALSE),"..")</f>
        <v>..</v>
      </c>
      <c r="BV373" s="129">
        <f>VLOOKUP($D373,WGI!$C$2:$O$478,7,FALSE)</f>
        <v>-1.44744229343522</v>
      </c>
      <c r="BW373" s="129">
        <f>VLOOKUP($D373,WGI!$C$2:$O$478,4,FALSE)</f>
        <v>-1.98732794178672</v>
      </c>
      <c r="BX373" s="129">
        <f>VLOOKUP($D373,WGI!$C$2:$O$478,3,FALSE)</f>
        <v>-1.7051833014723501</v>
      </c>
      <c r="BY373" s="129">
        <f>VLOOKUP($D373,WGI!$C$2:$O$478,5,FALSE)</f>
        <v>-1.5291692682962501</v>
      </c>
      <c r="BZ373" s="129">
        <f>VLOOKUP($D373,WGI!$C$2:$O$478,2,FALSE)</f>
        <v>-1.36346807993374</v>
      </c>
    </row>
    <row r="374" spans="1:80" ht="15" customHeight="1">
      <c r="A374" s="294" t="s">
        <v>177</v>
      </c>
      <c r="B374" s="117">
        <v>2009</v>
      </c>
      <c r="C374" s="132" t="s">
        <v>171</v>
      </c>
      <c r="D374" s="117" t="s">
        <v>3624</v>
      </c>
      <c r="E374" s="117" t="s">
        <v>86</v>
      </c>
      <c r="F374" s="117"/>
      <c r="G374" s="117" t="s">
        <v>24</v>
      </c>
      <c r="H374" s="117" t="str">
        <f t="shared" si="65"/>
        <v>yes</v>
      </c>
      <c r="I374" s="117" t="str">
        <f t="shared" si="66"/>
        <v>no</v>
      </c>
      <c r="J374" s="117" t="str">
        <f t="shared" si="67"/>
        <v>no</v>
      </c>
      <c r="K374" s="176" t="s">
        <v>1077</v>
      </c>
      <c r="L374" s="117" t="str">
        <f t="shared" si="59"/>
        <v>detailed</v>
      </c>
      <c r="M374" s="117" t="str">
        <f t="shared" si="68"/>
        <v>detailed Mining</v>
      </c>
      <c r="N374" s="179">
        <v>9900</v>
      </c>
      <c r="O374" s="179"/>
      <c r="P374" s="179"/>
      <c r="Q374" s="179"/>
      <c r="R374" s="179"/>
      <c r="S374" s="117" t="s">
        <v>610</v>
      </c>
      <c r="T374" s="119"/>
      <c r="U374" s="117"/>
      <c r="V374" s="117" t="s">
        <v>684</v>
      </c>
      <c r="W374" s="89"/>
      <c r="X374" s="117"/>
      <c r="Y374" s="117"/>
      <c r="Z374" s="117"/>
      <c r="AA374" s="177"/>
      <c r="AB374" s="177"/>
      <c r="AC374" s="122"/>
      <c r="AD374" s="122"/>
      <c r="AE374" s="122"/>
      <c r="AF374" s="123"/>
      <c r="AG374" s="117"/>
      <c r="AH374" s="124"/>
      <c r="AI374" s="117"/>
      <c r="AJ374" s="117"/>
      <c r="AK374" s="89"/>
      <c r="AL374" s="117"/>
      <c r="AM374" s="117"/>
      <c r="AN374" s="117"/>
      <c r="AO374" s="117"/>
      <c r="AP374" s="117"/>
      <c r="AQ374" s="117"/>
      <c r="AR374" s="126"/>
      <c r="AS374" s="117"/>
      <c r="AT374" s="117"/>
      <c r="AU374" s="117"/>
      <c r="AV374" s="128"/>
      <c r="AW374" s="117">
        <f>VLOOKUP($D374,'WB Data'!$C$3:$M$578,2,FALSE)</f>
        <v>18262675199.101006</v>
      </c>
      <c r="AX374" s="117">
        <f>VLOOKUP($D374,'WB Data'!$C$3:$M$578,3,FALSE)</f>
        <v>60486276</v>
      </c>
      <c r="AY374" s="847">
        <f t="shared" si="61"/>
        <v>1.3892718718666349E-2</v>
      </c>
      <c r="AZ374" s="117">
        <f>VLOOKUP($D374,'WB Data'!$C$3:$M$578,4,FALSE)/100</f>
        <v>0.14231813157824752</v>
      </c>
      <c r="BA374" s="117">
        <f t="shared" si="62"/>
        <v>2599109811.9564548</v>
      </c>
      <c r="BB374" s="129">
        <f>IFERROR(VLOOKUP($D374,'EITI Revenues'!$C$2:$G$224,5,FALSE),"..")</f>
        <v>253718209.59147424</v>
      </c>
      <c r="BC374" s="846">
        <f t="shared" si="63"/>
        <v>9.7617348995535633E-2</v>
      </c>
      <c r="BD374" s="129" t="e">
        <f>VLOOKUP($D374,'WB Data 2'!$C$2:$K$545,6,FALSE)</f>
        <v>#N/A</v>
      </c>
      <c r="BE374" s="129">
        <f>IFERROR(VLOOKUP($D374,UNCTAD!$C$5:$V$529,4,FALSE),"..")</f>
        <v>4912488088.9799995</v>
      </c>
      <c r="BF374" s="846" t="str">
        <f t="shared" si="64"/>
        <v>..</v>
      </c>
      <c r="BG374" s="117">
        <f>VLOOKUP($D374,'WB Data'!$C$3:$M$578,5,FALSE)</f>
        <v>2356850000</v>
      </c>
      <c r="BH374" s="129">
        <f>IFERROR($BB374/$BG374,"..")</f>
        <v>0.10765140318283906</v>
      </c>
      <c r="BI374" s="117" t="str">
        <f>IFERROR(VLOOKUP($D374,'WB Data'!$C$3:$M$578,7,FALSE)/100,"..")</f>
        <v>..</v>
      </c>
      <c r="BJ374" s="117" t="str">
        <f>IFERROR($BI374*$AW374,"..")</f>
        <v>..</v>
      </c>
      <c r="BK374" s="846" t="str">
        <f>IFERROR($BB374/$BJ374,"..")</f>
        <v>..</v>
      </c>
      <c r="BL374" s="117" t="str">
        <f>IFERROR(VLOOKUP($D374,'WB Data'!$C$3:$M$578,7,FALSE)/100,"..")</f>
        <v>..</v>
      </c>
      <c r="BM374" s="117" t="str">
        <f>IFERROR($AW374*$BL374,"..")</f>
        <v>..</v>
      </c>
      <c r="BN374" s="846" t="str">
        <f>IFERROR($BB374/$BM374,"..")</f>
        <v>..</v>
      </c>
      <c r="BO374" s="801" t="str">
        <f t="shared" si="60"/>
        <v>..</v>
      </c>
      <c r="BP374" s="117" t="str">
        <f>VLOOKUP($D374,'WB Data'!$C$3:$M$578,9,FALSE)</f>
        <v>..</v>
      </c>
      <c r="BQ374" s="117">
        <f>VLOOKUP($D374,'WB Data'!$C$3:$M$578,10,FALSE)</f>
        <v>48.697804878048785</v>
      </c>
      <c r="BR374" s="117">
        <f>VLOOKUP($D374,'WB Data'!$C$3:$M$578,11,FALSE)</f>
        <v>94.7</v>
      </c>
      <c r="BS374" s="129" t="str">
        <f>IFERROR(VLOOKUP($D374,'WB Data 2'!$C$2:$K$545,9,FALSE),"..")</f>
        <v>..</v>
      </c>
      <c r="BT374" s="129" t="str">
        <f>_xlfn.IFNA(VLOOKUP($C374,RGI!$A$2:$C$43,2,FALSE),"..")</f>
        <v>..</v>
      </c>
      <c r="BU374" s="129" t="str">
        <f>_xlfn.IFNA(VLOOKUP($C374,RGI!$A$2:$C$43,3,FALSE),"..")</f>
        <v>..</v>
      </c>
      <c r="BV374" s="129">
        <f>VLOOKUP($D374,WGI!$C$2:$O$478,7,FALSE)</f>
        <v>-1.44744229343522</v>
      </c>
      <c r="BW374" s="129">
        <f>VLOOKUP($D374,WGI!$C$2:$O$478,4,FALSE)</f>
        <v>-1.98732794178672</v>
      </c>
      <c r="BX374" s="129">
        <f>VLOOKUP($D374,WGI!$C$2:$O$478,3,FALSE)</f>
        <v>-1.7051833014723501</v>
      </c>
      <c r="BY374" s="129">
        <f>VLOOKUP($D374,WGI!$C$2:$O$478,5,FALSE)</f>
        <v>-1.5291692682962501</v>
      </c>
      <c r="BZ374" s="129">
        <f>VLOOKUP($D374,WGI!$C$2:$O$478,2,FALSE)</f>
        <v>-1.36346807993374</v>
      </c>
    </row>
    <row r="375" spans="1:80" ht="15" customHeight="1">
      <c r="A375" s="294" t="s">
        <v>177</v>
      </c>
      <c r="B375" s="117">
        <v>2009</v>
      </c>
      <c r="C375" s="132" t="s">
        <v>171</v>
      </c>
      <c r="D375" s="117" t="s">
        <v>3624</v>
      </c>
      <c r="E375" s="117" t="s">
        <v>86</v>
      </c>
      <c r="F375" s="117"/>
      <c r="G375" s="117" t="s">
        <v>24</v>
      </c>
      <c r="H375" s="117" t="str">
        <f t="shared" si="65"/>
        <v>yes</v>
      </c>
      <c r="I375" s="117" t="str">
        <f t="shared" si="66"/>
        <v>no</v>
      </c>
      <c r="J375" s="117" t="str">
        <f t="shared" si="67"/>
        <v>no</v>
      </c>
      <c r="K375" s="176" t="s">
        <v>1078</v>
      </c>
      <c r="L375" s="117" t="str">
        <f t="shared" si="59"/>
        <v>detailed</v>
      </c>
      <c r="M375" s="117" t="str">
        <f t="shared" si="68"/>
        <v>detailed Mining</v>
      </c>
      <c r="N375" s="179"/>
      <c r="O375" s="179"/>
      <c r="P375" s="179"/>
      <c r="Q375" s="179"/>
      <c r="R375" s="179"/>
      <c r="S375" s="117"/>
      <c r="T375" s="119">
        <v>150.5</v>
      </c>
      <c r="U375" s="117" t="s">
        <v>611</v>
      </c>
      <c r="V375" s="117" t="s">
        <v>1095</v>
      </c>
      <c r="W375" s="89">
        <f>N377*T375</f>
        <v>30100</v>
      </c>
      <c r="X375" s="117"/>
      <c r="Y375" s="117"/>
      <c r="Z375" s="117"/>
      <c r="AA375" s="177"/>
      <c r="AB375" s="177"/>
      <c r="AC375" s="122"/>
      <c r="AD375" s="122"/>
      <c r="AE375" s="122"/>
      <c r="AF375" s="123"/>
      <c r="AG375" s="117"/>
      <c r="AH375" s="124"/>
      <c r="AI375" s="117"/>
      <c r="AJ375" s="117"/>
      <c r="AK375" s="89"/>
      <c r="AL375" s="117"/>
      <c r="AM375" s="117"/>
      <c r="AN375" s="117"/>
      <c r="AO375" s="117"/>
      <c r="AP375" s="117"/>
      <c r="AQ375" s="117"/>
      <c r="AR375" s="126"/>
      <c r="AS375" s="117"/>
      <c r="AT375" s="117"/>
      <c r="AU375" s="117"/>
      <c r="AV375" s="128"/>
      <c r="AW375" s="117">
        <f>VLOOKUP($D375,'WB Data'!$C$3:$M$578,2,FALSE)</f>
        <v>18262675199.101006</v>
      </c>
      <c r="AX375" s="117">
        <f>VLOOKUP($D375,'WB Data'!$C$3:$M$578,3,FALSE)</f>
        <v>60486276</v>
      </c>
      <c r="AY375" s="847">
        <f t="shared" si="61"/>
        <v>1.3892718718666349E-2</v>
      </c>
      <c r="AZ375" s="117">
        <f>VLOOKUP($D375,'WB Data'!$C$3:$M$578,4,FALSE)/100</f>
        <v>0.14231813157824752</v>
      </c>
      <c r="BA375" s="117">
        <f t="shared" si="62"/>
        <v>2599109811.9564548</v>
      </c>
      <c r="BB375" s="129">
        <f>IFERROR(VLOOKUP($D375,'EITI Revenues'!$C$2:$G$224,5,FALSE),"..")</f>
        <v>253718209.59147424</v>
      </c>
      <c r="BC375" s="846">
        <f t="shared" si="63"/>
        <v>9.7617348995535633E-2</v>
      </c>
      <c r="BD375" s="129" t="e">
        <f>VLOOKUP($D375,'WB Data 2'!$C$2:$K$545,6,FALSE)</f>
        <v>#N/A</v>
      </c>
      <c r="BE375" s="129">
        <f>IFERROR(VLOOKUP($D375,UNCTAD!$C$5:$V$529,4,FALSE),"..")</f>
        <v>4912488088.9799995</v>
      </c>
      <c r="BF375" s="846" t="str">
        <f t="shared" si="64"/>
        <v>..</v>
      </c>
      <c r="BG375" s="117">
        <f>VLOOKUP($D375,'WB Data'!$C$3:$M$578,5,FALSE)</f>
        <v>2356850000</v>
      </c>
      <c r="BH375" s="129">
        <f>IFERROR($BB375/$BG375,"..")</f>
        <v>0.10765140318283906</v>
      </c>
      <c r="BI375" s="117" t="str">
        <f>IFERROR(VLOOKUP($D375,'WB Data'!$C$3:$M$578,7,FALSE)/100,"..")</f>
        <v>..</v>
      </c>
      <c r="BJ375" s="117" t="str">
        <f>IFERROR($BI375*$AW375,"..")</f>
        <v>..</v>
      </c>
      <c r="BK375" s="846" t="str">
        <f>IFERROR($BB375/$BJ375,"..")</f>
        <v>..</v>
      </c>
      <c r="BL375" s="117" t="str">
        <f>IFERROR(VLOOKUP($D375,'WB Data'!$C$3:$M$578,7,FALSE)/100,"..")</f>
        <v>..</v>
      </c>
      <c r="BM375" s="117" t="str">
        <f>IFERROR($AW375*$BL375,"..")</f>
        <v>..</v>
      </c>
      <c r="BN375" s="846" t="str">
        <f>IFERROR($BB375/$BM375,"..")</f>
        <v>..</v>
      </c>
      <c r="BO375" s="801" t="str">
        <f t="shared" si="60"/>
        <v>..</v>
      </c>
      <c r="BP375" s="117" t="str">
        <f>VLOOKUP($D375,'WB Data'!$C$3:$M$578,9,FALSE)</f>
        <v>..</v>
      </c>
      <c r="BQ375" s="117">
        <f>VLOOKUP($D375,'WB Data'!$C$3:$M$578,10,FALSE)</f>
        <v>48.697804878048785</v>
      </c>
      <c r="BR375" s="117">
        <f>VLOOKUP($D375,'WB Data'!$C$3:$M$578,11,FALSE)</f>
        <v>94.7</v>
      </c>
      <c r="BS375" s="129" t="str">
        <f>IFERROR(VLOOKUP($D375,'WB Data 2'!$C$2:$K$545,9,FALSE),"..")</f>
        <v>..</v>
      </c>
      <c r="BT375" s="129" t="str">
        <f>_xlfn.IFNA(VLOOKUP($C375,RGI!$A$2:$C$43,2,FALSE),"..")</f>
        <v>..</v>
      </c>
      <c r="BU375" s="129" t="str">
        <f>_xlfn.IFNA(VLOOKUP($C375,RGI!$A$2:$C$43,3,FALSE),"..")</f>
        <v>..</v>
      </c>
      <c r="BV375" s="129">
        <f>VLOOKUP($D375,WGI!$C$2:$O$478,7,FALSE)</f>
        <v>-1.44744229343522</v>
      </c>
      <c r="BW375" s="129">
        <f>VLOOKUP($D375,WGI!$C$2:$O$478,4,FALSE)</f>
        <v>-1.98732794178672</v>
      </c>
      <c r="BX375" s="129">
        <f>VLOOKUP($D375,WGI!$C$2:$O$478,3,FALSE)</f>
        <v>-1.7051833014723501</v>
      </c>
      <c r="BY375" s="129">
        <f>VLOOKUP($D375,WGI!$C$2:$O$478,5,FALSE)</f>
        <v>-1.5291692682962501</v>
      </c>
      <c r="BZ375" s="129">
        <f>VLOOKUP($D375,WGI!$C$2:$O$478,2,FALSE)</f>
        <v>-1.36346807993374</v>
      </c>
    </row>
    <row r="376" spans="1:80" ht="15" customHeight="1">
      <c r="A376" s="294" t="s">
        <v>177</v>
      </c>
      <c r="B376" s="117">
        <v>2009</v>
      </c>
      <c r="C376" s="132" t="s">
        <v>171</v>
      </c>
      <c r="D376" s="117" t="s">
        <v>3624</v>
      </c>
      <c r="E376" s="117" t="s">
        <v>86</v>
      </c>
      <c r="F376" s="117"/>
      <c r="G376" s="117" t="s">
        <v>24</v>
      </c>
      <c r="H376" s="117" t="str">
        <f t="shared" si="65"/>
        <v>yes</v>
      </c>
      <c r="I376" s="117" t="str">
        <f t="shared" si="66"/>
        <v>no</v>
      </c>
      <c r="J376" s="117" t="str">
        <f t="shared" si="67"/>
        <v>no</v>
      </c>
      <c r="K376" s="176" t="s">
        <v>1066</v>
      </c>
      <c r="L376" s="117" t="str">
        <f t="shared" si="59"/>
        <v>detailed</v>
      </c>
      <c r="M376" s="117" t="str">
        <f t="shared" si="68"/>
        <v>detailed Mining</v>
      </c>
      <c r="N376" s="179">
        <v>385</v>
      </c>
      <c r="O376" s="179"/>
      <c r="P376" s="179"/>
      <c r="Q376" s="179"/>
      <c r="R376" s="179"/>
      <c r="S376" s="117" t="s">
        <v>610</v>
      </c>
      <c r="T376" s="119"/>
      <c r="U376" s="117"/>
      <c r="V376" s="117" t="s">
        <v>684</v>
      </c>
      <c r="W376" s="89"/>
      <c r="X376" s="117"/>
      <c r="Y376" s="117"/>
      <c r="Z376" s="117"/>
      <c r="AA376" s="177"/>
      <c r="AB376" s="177"/>
      <c r="AC376" s="122"/>
      <c r="AD376" s="122"/>
      <c r="AE376" s="122"/>
      <c r="AF376" s="123"/>
      <c r="AG376" s="117"/>
      <c r="AH376" s="124"/>
      <c r="AI376" s="117"/>
      <c r="AJ376" s="117"/>
      <c r="AK376" s="89"/>
      <c r="AL376" s="117"/>
      <c r="AM376" s="117"/>
      <c r="AN376" s="117"/>
      <c r="AO376" s="117"/>
      <c r="AP376" s="117"/>
      <c r="AQ376" s="117"/>
      <c r="AR376" s="126"/>
      <c r="AS376" s="117"/>
      <c r="AT376" s="117"/>
      <c r="AU376" s="117"/>
      <c r="AV376" s="128"/>
      <c r="AW376" s="117">
        <f>VLOOKUP($D376,'WB Data'!$C$3:$M$578,2,FALSE)</f>
        <v>18262675199.101006</v>
      </c>
      <c r="AX376" s="117">
        <f>VLOOKUP($D376,'WB Data'!$C$3:$M$578,3,FALSE)</f>
        <v>60486276</v>
      </c>
      <c r="AY376" s="847">
        <f t="shared" si="61"/>
        <v>1.3892718718666349E-2</v>
      </c>
      <c r="AZ376" s="117">
        <f>VLOOKUP($D376,'WB Data'!$C$3:$M$578,4,FALSE)/100</f>
        <v>0.14231813157824752</v>
      </c>
      <c r="BA376" s="117">
        <f t="shared" si="62"/>
        <v>2599109811.9564548</v>
      </c>
      <c r="BB376" s="129">
        <f>IFERROR(VLOOKUP($D376,'EITI Revenues'!$C$2:$G$224,5,FALSE),"..")</f>
        <v>253718209.59147424</v>
      </c>
      <c r="BC376" s="846">
        <f t="shared" si="63"/>
        <v>9.7617348995535633E-2</v>
      </c>
      <c r="BD376" s="129" t="e">
        <f>VLOOKUP($D376,'WB Data 2'!$C$2:$K$545,6,FALSE)</f>
        <v>#N/A</v>
      </c>
      <c r="BE376" s="129">
        <f>IFERROR(VLOOKUP($D376,UNCTAD!$C$5:$V$529,4,FALSE),"..")</f>
        <v>4912488088.9799995</v>
      </c>
      <c r="BF376" s="846" t="str">
        <f t="shared" si="64"/>
        <v>..</v>
      </c>
      <c r="BG376" s="117">
        <f>VLOOKUP($D376,'WB Data'!$C$3:$M$578,5,FALSE)</f>
        <v>2356850000</v>
      </c>
      <c r="BH376" s="129">
        <f>IFERROR($BB376/$BG376,"..")</f>
        <v>0.10765140318283906</v>
      </c>
      <c r="BI376" s="117" t="str">
        <f>IFERROR(VLOOKUP($D376,'WB Data'!$C$3:$M$578,7,FALSE)/100,"..")</f>
        <v>..</v>
      </c>
      <c r="BJ376" s="117" t="str">
        <f>IFERROR($BI376*$AW376,"..")</f>
        <v>..</v>
      </c>
      <c r="BK376" s="846" t="str">
        <f>IFERROR($BB376/$BJ376,"..")</f>
        <v>..</v>
      </c>
      <c r="BL376" s="117" t="str">
        <f>IFERROR(VLOOKUP($D376,'WB Data'!$C$3:$M$578,7,FALSE)/100,"..")</f>
        <v>..</v>
      </c>
      <c r="BM376" s="117" t="str">
        <f>IFERROR($AW376*$BL376,"..")</f>
        <v>..</v>
      </c>
      <c r="BN376" s="846" t="str">
        <f>IFERROR($BB376/$BM376,"..")</f>
        <v>..</v>
      </c>
      <c r="BO376" s="801" t="str">
        <f t="shared" si="60"/>
        <v>..</v>
      </c>
      <c r="BP376" s="117" t="str">
        <f>VLOOKUP($D376,'WB Data'!$C$3:$M$578,9,FALSE)</f>
        <v>..</v>
      </c>
      <c r="BQ376" s="117">
        <f>VLOOKUP($D376,'WB Data'!$C$3:$M$578,10,FALSE)</f>
        <v>48.697804878048785</v>
      </c>
      <c r="BR376" s="117">
        <f>VLOOKUP($D376,'WB Data'!$C$3:$M$578,11,FALSE)</f>
        <v>94.7</v>
      </c>
      <c r="BS376" s="129" t="str">
        <f>IFERROR(VLOOKUP($D376,'WB Data 2'!$C$2:$K$545,9,FALSE),"..")</f>
        <v>..</v>
      </c>
      <c r="BT376" s="129" t="str">
        <f>_xlfn.IFNA(VLOOKUP($C376,RGI!$A$2:$C$43,2,FALSE),"..")</f>
        <v>..</v>
      </c>
      <c r="BU376" s="129" t="str">
        <f>_xlfn.IFNA(VLOOKUP($C376,RGI!$A$2:$C$43,3,FALSE),"..")</f>
        <v>..</v>
      </c>
      <c r="BV376" s="129">
        <f>VLOOKUP($D376,WGI!$C$2:$O$478,7,FALSE)</f>
        <v>-1.44744229343522</v>
      </c>
      <c r="BW376" s="129">
        <f>VLOOKUP($D376,WGI!$C$2:$O$478,4,FALSE)</f>
        <v>-1.98732794178672</v>
      </c>
      <c r="BX376" s="129">
        <f>VLOOKUP($D376,WGI!$C$2:$O$478,3,FALSE)</f>
        <v>-1.7051833014723501</v>
      </c>
      <c r="BY376" s="129">
        <f>VLOOKUP($D376,WGI!$C$2:$O$478,5,FALSE)</f>
        <v>-1.5291692682962501</v>
      </c>
      <c r="BZ376" s="129">
        <f>VLOOKUP($D376,WGI!$C$2:$O$478,2,FALSE)</f>
        <v>-1.36346807993374</v>
      </c>
    </row>
    <row r="377" spans="1:80" ht="15" customHeight="1">
      <c r="A377" s="294" t="s">
        <v>177</v>
      </c>
      <c r="B377" s="117">
        <v>2009</v>
      </c>
      <c r="C377" s="132" t="s">
        <v>171</v>
      </c>
      <c r="D377" s="117" t="s">
        <v>3624</v>
      </c>
      <c r="E377" s="117" t="s">
        <v>86</v>
      </c>
      <c r="F377" s="117"/>
      <c r="G377" s="117" t="s">
        <v>24</v>
      </c>
      <c r="H377" s="117" t="str">
        <f t="shared" si="65"/>
        <v>yes</v>
      </c>
      <c r="I377" s="117" t="str">
        <f t="shared" si="66"/>
        <v>no</v>
      </c>
      <c r="J377" s="117" t="str">
        <f t="shared" si="67"/>
        <v>no</v>
      </c>
      <c r="K377" s="176" t="s">
        <v>1080</v>
      </c>
      <c r="L377" s="117" t="str">
        <f t="shared" si="59"/>
        <v>detailed</v>
      </c>
      <c r="M377" s="117" t="str">
        <f t="shared" si="68"/>
        <v>detailed Mining</v>
      </c>
      <c r="N377" s="179">
        <v>200</v>
      </c>
      <c r="O377" s="179"/>
      <c r="P377" s="179"/>
      <c r="Q377" s="179"/>
      <c r="R377" s="179"/>
      <c r="S377" s="117" t="s">
        <v>610</v>
      </c>
      <c r="T377" s="119"/>
      <c r="U377" s="117"/>
      <c r="V377" s="117" t="s">
        <v>684</v>
      </c>
      <c r="W377" s="89"/>
      <c r="X377" s="117"/>
      <c r="Y377" s="117"/>
      <c r="Z377" s="117"/>
      <c r="AA377" s="177"/>
      <c r="AB377" s="177"/>
      <c r="AC377" s="122"/>
      <c r="AD377" s="122"/>
      <c r="AE377" s="122"/>
      <c r="AF377" s="123"/>
      <c r="AG377" s="117"/>
      <c r="AH377" s="124"/>
      <c r="AI377" s="117"/>
      <c r="AJ377" s="117"/>
      <c r="AK377" s="89"/>
      <c r="AL377" s="117"/>
      <c r="AM377" s="117"/>
      <c r="AN377" s="117"/>
      <c r="AO377" s="117"/>
      <c r="AP377" s="117"/>
      <c r="AQ377" s="117"/>
      <c r="AR377" s="126"/>
      <c r="AS377" s="117"/>
      <c r="AT377" s="117"/>
      <c r="AU377" s="117"/>
      <c r="AV377" s="128"/>
      <c r="AW377" s="117">
        <f>VLOOKUP($D377,'WB Data'!$C$3:$M$578,2,FALSE)</f>
        <v>18262675199.101006</v>
      </c>
      <c r="AX377" s="117">
        <f>VLOOKUP($D377,'WB Data'!$C$3:$M$578,3,FALSE)</f>
        <v>60486276</v>
      </c>
      <c r="AY377" s="847">
        <f t="shared" si="61"/>
        <v>1.3892718718666349E-2</v>
      </c>
      <c r="AZ377" s="117">
        <f>VLOOKUP($D377,'WB Data'!$C$3:$M$578,4,FALSE)/100</f>
        <v>0.14231813157824752</v>
      </c>
      <c r="BA377" s="117">
        <f t="shared" si="62"/>
        <v>2599109811.9564548</v>
      </c>
      <c r="BB377" s="129">
        <f>IFERROR(VLOOKUP($D377,'EITI Revenues'!$C$2:$G$224,5,FALSE),"..")</f>
        <v>253718209.59147424</v>
      </c>
      <c r="BC377" s="846">
        <f t="shared" si="63"/>
        <v>9.7617348995535633E-2</v>
      </c>
      <c r="BD377" s="129" t="e">
        <f>VLOOKUP($D377,'WB Data 2'!$C$2:$K$545,6,FALSE)</f>
        <v>#N/A</v>
      </c>
      <c r="BE377" s="129">
        <f>IFERROR(VLOOKUP($D377,UNCTAD!$C$5:$V$529,4,FALSE),"..")</f>
        <v>4912488088.9799995</v>
      </c>
      <c r="BF377" s="846" t="str">
        <f t="shared" si="64"/>
        <v>..</v>
      </c>
      <c r="BG377" s="117">
        <f>VLOOKUP($D377,'WB Data'!$C$3:$M$578,5,FALSE)</f>
        <v>2356850000</v>
      </c>
      <c r="BH377" s="129">
        <f>IFERROR($BB377/$BG377,"..")</f>
        <v>0.10765140318283906</v>
      </c>
      <c r="BI377" s="117" t="str">
        <f>IFERROR(VLOOKUP($D377,'WB Data'!$C$3:$M$578,7,FALSE)/100,"..")</f>
        <v>..</v>
      </c>
      <c r="BJ377" s="117" t="str">
        <f>IFERROR($BI377*$AW377,"..")</f>
        <v>..</v>
      </c>
      <c r="BK377" s="846" t="str">
        <f>IFERROR($BB377/$BJ377,"..")</f>
        <v>..</v>
      </c>
      <c r="BL377" s="117" t="str">
        <f>IFERROR(VLOOKUP($D377,'WB Data'!$C$3:$M$578,7,FALSE)/100,"..")</f>
        <v>..</v>
      </c>
      <c r="BM377" s="117" t="str">
        <f>IFERROR($AW377*$BL377,"..")</f>
        <v>..</v>
      </c>
      <c r="BN377" s="846" t="str">
        <f>IFERROR($BB377/$BM377,"..")</f>
        <v>..</v>
      </c>
      <c r="BO377" s="801" t="str">
        <f t="shared" si="60"/>
        <v>..</v>
      </c>
      <c r="BP377" s="117" t="str">
        <f>VLOOKUP($D377,'WB Data'!$C$3:$M$578,9,FALSE)</f>
        <v>..</v>
      </c>
      <c r="BQ377" s="117">
        <f>VLOOKUP($D377,'WB Data'!$C$3:$M$578,10,FALSE)</f>
        <v>48.697804878048785</v>
      </c>
      <c r="BR377" s="117">
        <f>VLOOKUP($D377,'WB Data'!$C$3:$M$578,11,FALSE)</f>
        <v>94.7</v>
      </c>
      <c r="BS377" s="129" t="str">
        <f>IFERROR(VLOOKUP($D377,'WB Data 2'!$C$2:$K$545,9,FALSE),"..")</f>
        <v>..</v>
      </c>
      <c r="BT377" s="129" t="str">
        <f>_xlfn.IFNA(VLOOKUP($C377,RGI!$A$2:$C$43,2,FALSE),"..")</f>
        <v>..</v>
      </c>
      <c r="BU377" s="129" t="str">
        <f>_xlfn.IFNA(VLOOKUP($C377,RGI!$A$2:$C$43,3,FALSE),"..")</f>
        <v>..</v>
      </c>
      <c r="BV377" s="129">
        <f>VLOOKUP($D377,WGI!$C$2:$O$478,7,FALSE)</f>
        <v>-1.44744229343522</v>
      </c>
      <c r="BW377" s="129">
        <f>VLOOKUP($D377,WGI!$C$2:$O$478,4,FALSE)</f>
        <v>-1.98732794178672</v>
      </c>
      <c r="BX377" s="129">
        <f>VLOOKUP($D377,WGI!$C$2:$O$478,3,FALSE)</f>
        <v>-1.7051833014723501</v>
      </c>
      <c r="BY377" s="129">
        <f>VLOOKUP($D377,WGI!$C$2:$O$478,5,FALSE)</f>
        <v>-1.5291692682962501</v>
      </c>
      <c r="BZ377" s="129">
        <f>VLOOKUP($D377,WGI!$C$2:$O$478,2,FALSE)</f>
        <v>-1.36346807993374</v>
      </c>
    </row>
    <row r="378" spans="1:80" ht="15" customHeight="1">
      <c r="A378" s="294" t="s">
        <v>177</v>
      </c>
      <c r="B378" s="117">
        <v>2009</v>
      </c>
      <c r="C378" s="132" t="s">
        <v>171</v>
      </c>
      <c r="D378" s="117" t="s">
        <v>3624</v>
      </c>
      <c r="E378" s="117" t="s">
        <v>86</v>
      </c>
      <c r="F378" s="117"/>
      <c r="G378" s="117" t="s">
        <v>24</v>
      </c>
      <c r="H378" s="117" t="str">
        <f t="shared" si="65"/>
        <v>yes</v>
      </c>
      <c r="I378" s="117" t="str">
        <f t="shared" si="66"/>
        <v>no</v>
      </c>
      <c r="J378" s="117" t="str">
        <f t="shared" si="67"/>
        <v>no</v>
      </c>
      <c r="K378" s="176" t="s">
        <v>1081</v>
      </c>
      <c r="L378" s="117" t="str">
        <f t="shared" si="59"/>
        <v>detailed</v>
      </c>
      <c r="M378" s="117" t="str">
        <f t="shared" si="68"/>
        <v>detailed Mining</v>
      </c>
      <c r="N378" s="179">
        <v>19636</v>
      </c>
      <c r="O378" s="179"/>
      <c r="P378" s="179"/>
      <c r="Q378" s="179"/>
      <c r="R378" s="179"/>
      <c r="S378" s="117" t="s">
        <v>610</v>
      </c>
      <c r="T378" s="180">
        <f>1655.11441666667</f>
        <v>1655.11441666667</v>
      </c>
      <c r="U378" s="117" t="s">
        <v>611</v>
      </c>
      <c r="V378" s="117" t="s">
        <v>1096</v>
      </c>
      <c r="W378" s="89">
        <f>N378*T378</f>
        <v>32499826.685666732</v>
      </c>
      <c r="X378" s="117"/>
      <c r="Y378" s="117"/>
      <c r="Z378" s="117"/>
      <c r="AA378" s="177"/>
      <c r="AB378" s="177"/>
      <c r="AC378" s="122"/>
      <c r="AD378" s="122"/>
      <c r="AE378" s="122"/>
      <c r="AF378" s="123"/>
      <c r="AG378" s="117"/>
      <c r="AH378" s="124"/>
      <c r="AI378" s="117"/>
      <c r="AJ378" s="117"/>
      <c r="AK378" s="89"/>
      <c r="AL378" s="117"/>
      <c r="AM378" s="117"/>
      <c r="AN378" s="117"/>
      <c r="AO378" s="117"/>
      <c r="AP378" s="117"/>
      <c r="AQ378" s="117"/>
      <c r="AR378" s="126"/>
      <c r="AS378" s="117"/>
      <c r="AT378" s="117"/>
      <c r="AU378" s="117"/>
      <c r="AV378" s="128"/>
      <c r="AW378" s="117">
        <f>VLOOKUP($D378,'WB Data'!$C$3:$M$578,2,FALSE)</f>
        <v>18262675199.101006</v>
      </c>
      <c r="AX378" s="117">
        <f>VLOOKUP($D378,'WB Data'!$C$3:$M$578,3,FALSE)</f>
        <v>60486276</v>
      </c>
      <c r="AY378" s="847">
        <f t="shared" si="61"/>
        <v>1.3892718718666349E-2</v>
      </c>
      <c r="AZ378" s="117">
        <f>VLOOKUP($D378,'WB Data'!$C$3:$M$578,4,FALSE)/100</f>
        <v>0.14231813157824752</v>
      </c>
      <c r="BA378" s="117">
        <f t="shared" si="62"/>
        <v>2599109811.9564548</v>
      </c>
      <c r="BB378" s="129">
        <f>IFERROR(VLOOKUP($D378,'EITI Revenues'!$C$2:$G$224,5,FALSE),"..")</f>
        <v>253718209.59147424</v>
      </c>
      <c r="BC378" s="846">
        <f t="shared" si="63"/>
        <v>9.7617348995535633E-2</v>
      </c>
      <c r="BD378" s="129" t="e">
        <f>VLOOKUP($D378,'WB Data 2'!$C$2:$K$545,6,FALSE)</f>
        <v>#N/A</v>
      </c>
      <c r="BE378" s="129">
        <f>IFERROR(VLOOKUP($D378,UNCTAD!$C$5:$V$529,4,FALSE),"..")</f>
        <v>4912488088.9799995</v>
      </c>
      <c r="BF378" s="846" t="str">
        <f t="shared" si="64"/>
        <v>..</v>
      </c>
      <c r="BG378" s="117">
        <f>VLOOKUP($D378,'WB Data'!$C$3:$M$578,5,FALSE)</f>
        <v>2356850000</v>
      </c>
      <c r="BH378" s="129">
        <f>IFERROR($BB378/$BG378,"..")</f>
        <v>0.10765140318283906</v>
      </c>
      <c r="BI378" s="117" t="str">
        <f>IFERROR(VLOOKUP($D378,'WB Data'!$C$3:$M$578,7,FALSE)/100,"..")</f>
        <v>..</v>
      </c>
      <c r="BJ378" s="117" t="str">
        <f>IFERROR($BI378*$AW378,"..")</f>
        <v>..</v>
      </c>
      <c r="BK378" s="846" t="str">
        <f>IFERROR($BB378/$BJ378,"..")</f>
        <v>..</v>
      </c>
      <c r="BL378" s="117" t="str">
        <f>IFERROR(VLOOKUP($D378,'WB Data'!$C$3:$M$578,7,FALSE)/100,"..")</f>
        <v>..</v>
      </c>
      <c r="BM378" s="117" t="str">
        <f>IFERROR($AW378*$BL378,"..")</f>
        <v>..</v>
      </c>
      <c r="BN378" s="846" t="str">
        <f>IFERROR($BB378/$BM378,"..")</f>
        <v>..</v>
      </c>
      <c r="BO378" s="801" t="str">
        <f t="shared" si="60"/>
        <v>..</v>
      </c>
      <c r="BP378" s="117" t="str">
        <f>VLOOKUP($D378,'WB Data'!$C$3:$M$578,9,FALSE)</f>
        <v>..</v>
      </c>
      <c r="BQ378" s="117">
        <f>VLOOKUP($D378,'WB Data'!$C$3:$M$578,10,FALSE)</f>
        <v>48.697804878048785</v>
      </c>
      <c r="BR378" s="117">
        <f>VLOOKUP($D378,'WB Data'!$C$3:$M$578,11,FALSE)</f>
        <v>94.7</v>
      </c>
      <c r="BS378" s="129" t="str">
        <f>IFERROR(VLOOKUP($D378,'WB Data 2'!$C$2:$K$545,9,FALSE),"..")</f>
        <v>..</v>
      </c>
      <c r="BT378" s="129" t="str">
        <f>_xlfn.IFNA(VLOOKUP($C378,RGI!$A$2:$C$43,2,FALSE),"..")</f>
        <v>..</v>
      </c>
      <c r="BU378" s="129" t="str">
        <f>_xlfn.IFNA(VLOOKUP($C378,RGI!$A$2:$C$43,3,FALSE),"..")</f>
        <v>..</v>
      </c>
      <c r="BV378" s="129">
        <f>VLOOKUP($D378,WGI!$C$2:$O$478,7,FALSE)</f>
        <v>-1.44744229343522</v>
      </c>
      <c r="BW378" s="129">
        <f>VLOOKUP($D378,WGI!$C$2:$O$478,4,FALSE)</f>
        <v>-1.98732794178672</v>
      </c>
      <c r="BX378" s="129">
        <f>VLOOKUP($D378,WGI!$C$2:$O$478,3,FALSE)</f>
        <v>-1.7051833014723501</v>
      </c>
      <c r="BY378" s="129">
        <f>VLOOKUP($D378,WGI!$C$2:$O$478,5,FALSE)</f>
        <v>-1.5291692682962501</v>
      </c>
      <c r="BZ378" s="129">
        <f>VLOOKUP($D378,WGI!$C$2:$O$478,2,FALSE)</f>
        <v>-1.36346807993374</v>
      </c>
    </row>
    <row r="379" spans="1:80" s="144" customFormat="1" ht="15" customHeight="1">
      <c r="A379" s="296" t="s">
        <v>179</v>
      </c>
      <c r="B379" s="132">
        <v>2010</v>
      </c>
      <c r="C379" s="132" t="s">
        <v>171</v>
      </c>
      <c r="D379" s="117" t="s">
        <v>3658</v>
      </c>
      <c r="E379" s="132" t="s">
        <v>86</v>
      </c>
      <c r="F379" s="132" t="s">
        <v>1059</v>
      </c>
      <c r="G379" s="132" t="s">
        <v>41</v>
      </c>
      <c r="H379" s="117" t="str">
        <f t="shared" si="65"/>
        <v>yes</v>
      </c>
      <c r="I379" s="117" t="str">
        <f t="shared" si="66"/>
        <v>no</v>
      </c>
      <c r="J379" s="117" t="str">
        <f t="shared" si="67"/>
        <v>yes</v>
      </c>
      <c r="K379" s="182" t="s">
        <v>709</v>
      </c>
      <c r="L379" s="117" t="str">
        <f t="shared" si="59"/>
        <v>Total</v>
      </c>
      <c r="M379" s="117" t="str">
        <f t="shared" si="68"/>
        <v>Total Oil, Mining</v>
      </c>
      <c r="N379" s="238"/>
      <c r="O379" s="238"/>
      <c r="P379" s="238"/>
      <c r="Q379" s="238"/>
      <c r="R379" s="238"/>
      <c r="S379" s="132"/>
      <c r="T379" s="134"/>
      <c r="U379" s="132"/>
      <c r="V379" s="132"/>
      <c r="W379" s="135">
        <f>W380+W381</f>
        <v>3616420259.5613256</v>
      </c>
      <c r="X379" s="132" t="s">
        <v>1098</v>
      </c>
      <c r="Y379" s="132" t="s">
        <v>602</v>
      </c>
      <c r="Z379" s="132"/>
      <c r="AA379" s="160">
        <v>875938726</v>
      </c>
      <c r="AB379" s="160">
        <v>773021963</v>
      </c>
      <c r="AC379" s="138"/>
      <c r="AD379" s="138"/>
      <c r="AE379" s="138"/>
      <c r="AF379" s="139">
        <f>AA379/W379</f>
        <v>0.2422115415607842</v>
      </c>
      <c r="AG379" s="132" t="s">
        <v>864</v>
      </c>
      <c r="AH379" s="140">
        <v>910</v>
      </c>
      <c r="AI379" s="132" t="s">
        <v>722</v>
      </c>
      <c r="AJ379" s="132"/>
      <c r="AK379" s="135"/>
      <c r="AL379" s="132"/>
      <c r="AM379" s="132"/>
      <c r="AN379" s="132">
        <v>60</v>
      </c>
      <c r="AO379" s="132" t="s">
        <v>1099</v>
      </c>
      <c r="AP379" s="132">
        <v>58</v>
      </c>
      <c r="AQ379" s="132" t="s">
        <v>180</v>
      </c>
      <c r="AR379" s="141">
        <v>41950</v>
      </c>
      <c r="AS379" s="132" t="s">
        <v>829</v>
      </c>
      <c r="AT379" s="142" t="s">
        <v>181</v>
      </c>
      <c r="AU379" s="132" t="s">
        <v>1100</v>
      </c>
      <c r="AV379" s="143" t="s">
        <v>1101</v>
      </c>
      <c r="AW379" s="117">
        <f>VLOOKUP($D379,'WB Data'!$C$3:$M$578,2,FALSE)</f>
        <v>21561941369.362782</v>
      </c>
      <c r="AX379" s="117">
        <f>VLOOKUP($D379,'WB Data'!$C$3:$M$578,3,FALSE)</f>
        <v>62191161</v>
      </c>
      <c r="AY379" s="847">
        <f t="shared" si="61"/>
        <v>4.0624297738079164E-2</v>
      </c>
      <c r="AZ379" s="117">
        <f>VLOOKUP($D379,'WB Data'!$C$3:$M$578,4,FALSE)/100</f>
        <v>0.14268142471174644</v>
      </c>
      <c r="BA379" s="117">
        <f t="shared" si="62"/>
        <v>3076488514.1318269</v>
      </c>
      <c r="BB379" s="129">
        <f>IFERROR(VLOOKUP($D379,'EITI Revenues'!$C$2:$G$224,5,FALSE),"..")</f>
        <v>875938726</v>
      </c>
      <c r="BC379" s="846">
        <f t="shared" si="63"/>
        <v>0.28472029782538827</v>
      </c>
      <c r="BD379" s="129" t="e">
        <f>VLOOKUP($D379,'WB Data 2'!$C$2:$K$545,6,FALSE)</f>
        <v>#N/A</v>
      </c>
      <c r="BE379" s="129">
        <f>IFERROR(VLOOKUP($D379,UNCTAD!$C$5:$V$529,4,FALSE),"..")</f>
        <v>8866500000</v>
      </c>
      <c r="BF379" s="846" t="str">
        <f t="shared" si="64"/>
        <v>..</v>
      </c>
      <c r="BG379" s="117">
        <f>VLOOKUP($D379,'WB Data'!$C$3:$M$578,5,FALSE)</f>
        <v>3486160000</v>
      </c>
      <c r="BH379" s="129">
        <f>IFERROR($BB379/$BG379,"..")</f>
        <v>0.25126176824930585</v>
      </c>
      <c r="BI379" s="117">
        <f>IFERROR(VLOOKUP($D379,'WB Data'!$C$3:$M$578,7,FALSE)/100,"..")</f>
        <v>2.5030700000000003E-2</v>
      </c>
      <c r="BJ379" s="117">
        <f>IFERROR($BI379*$AW379,"..")</f>
        <v>539710485.83410907</v>
      </c>
      <c r="BK379" s="846">
        <f>IFERROR($BB379/$BJ379,"..")</f>
        <v>1.6229788914444725</v>
      </c>
      <c r="BL379" s="117">
        <f>IFERROR(VLOOKUP($D379,'WB Data'!$C$3:$M$578,7,FALSE)/100,"..")</f>
        <v>2.5030700000000003E-2</v>
      </c>
      <c r="BM379" s="117">
        <f>IFERROR($AW379*$BL379,"..")</f>
        <v>539710485.83410907</v>
      </c>
      <c r="BN379" s="846">
        <f>IFERROR($BB379/$BM379,"..")</f>
        <v>1.6229788914444725</v>
      </c>
      <c r="BO379" s="801" t="str">
        <f t="shared" si="60"/>
        <v>..</v>
      </c>
      <c r="BP379" s="117" t="str">
        <f>VLOOKUP($D379,'WB Data'!$C$3:$M$578,9,FALSE)</f>
        <v>..</v>
      </c>
      <c r="BQ379" s="117">
        <f>VLOOKUP($D379,'WB Data'!$C$3:$M$578,10,FALSE)</f>
        <v>48.987682926829265</v>
      </c>
      <c r="BR379" s="117">
        <f>VLOOKUP($D379,'WB Data'!$C$3:$M$578,11,FALSE)</f>
        <v>92.4</v>
      </c>
      <c r="BS379" s="129" t="str">
        <f>IFERROR(VLOOKUP($D379,'WB Data 2'!$C$2:$K$545,9,FALSE),"..")</f>
        <v>..</v>
      </c>
      <c r="BT379" s="129" t="str">
        <f>_xlfn.IFNA(VLOOKUP($C379,RGI!$A$2:$C$43,2,FALSE),"..")</f>
        <v>..</v>
      </c>
      <c r="BU379" s="129" t="str">
        <f>_xlfn.IFNA(VLOOKUP($C379,RGI!$A$2:$C$43,3,FALSE),"..")</f>
        <v>..</v>
      </c>
      <c r="BV379" s="129">
        <f>VLOOKUP($D379,WGI!$C$2:$O$478,7,FALSE)</f>
        <v>-1.4446722820503</v>
      </c>
      <c r="BW379" s="129">
        <f>VLOOKUP($D379,WGI!$C$2:$O$478,4,FALSE)</f>
        <v>-2.2271516163748899</v>
      </c>
      <c r="BX379" s="129">
        <f>VLOOKUP($D379,WGI!$C$2:$O$478,3,FALSE)</f>
        <v>-1.73494098745098</v>
      </c>
      <c r="BY379" s="129">
        <f>VLOOKUP($D379,WGI!$C$2:$O$478,5,FALSE)</f>
        <v>-1.58230061557214</v>
      </c>
      <c r="BZ379" s="129">
        <f>VLOOKUP($D379,WGI!$C$2:$O$478,2,FALSE)</f>
        <v>-1.4180767145324</v>
      </c>
      <c r="CB379" s="129"/>
    </row>
    <row r="380" spans="1:80" s="120" customFormat="1" ht="15" customHeight="1">
      <c r="A380" s="294" t="s">
        <v>179</v>
      </c>
      <c r="B380" s="117">
        <v>2010</v>
      </c>
      <c r="C380" s="132" t="s">
        <v>171</v>
      </c>
      <c r="D380" s="117" t="s">
        <v>3658</v>
      </c>
      <c r="E380" s="117" t="s">
        <v>86</v>
      </c>
      <c r="F380" s="117"/>
      <c r="G380" s="117" t="s">
        <v>103</v>
      </c>
      <c r="H380" s="117" t="str">
        <f t="shared" si="65"/>
        <v>no</v>
      </c>
      <c r="I380" s="117" t="str">
        <f t="shared" si="66"/>
        <v>no</v>
      </c>
      <c r="J380" s="117" t="str">
        <f t="shared" si="67"/>
        <v>yes</v>
      </c>
      <c r="K380" s="176" t="s">
        <v>103</v>
      </c>
      <c r="L380" s="117" t="str">
        <f t="shared" si="59"/>
        <v>detailed</v>
      </c>
      <c r="M380" s="117" t="str">
        <f t="shared" si="68"/>
        <v>detailed Oil</v>
      </c>
      <c r="N380" s="179">
        <v>7665000</v>
      </c>
      <c r="O380" s="179"/>
      <c r="P380" s="179"/>
      <c r="Q380" s="179"/>
      <c r="R380" s="179"/>
      <c r="S380" s="117" t="s">
        <v>646</v>
      </c>
      <c r="T380" s="119">
        <v>79.513869349999993</v>
      </c>
      <c r="U380" s="117" t="s">
        <v>673</v>
      </c>
      <c r="V380" s="117" t="s">
        <v>1030</v>
      </c>
      <c r="W380" s="89">
        <f>N380*T380</f>
        <v>609473808.56774998</v>
      </c>
      <c r="X380" s="117"/>
      <c r="Y380" s="117"/>
      <c r="Z380" s="117"/>
      <c r="AA380" s="177">
        <v>327300475</v>
      </c>
      <c r="AB380" s="177">
        <v>328738146</v>
      </c>
      <c r="AC380" s="122"/>
      <c r="AD380" s="122"/>
      <c r="AE380" s="122"/>
      <c r="AF380" s="123">
        <f>AA380/W380</f>
        <v>0.53702139517553493</v>
      </c>
      <c r="AG380" s="117"/>
      <c r="AH380" s="124"/>
      <c r="AI380" s="117"/>
      <c r="AJ380" s="117"/>
      <c r="AK380" s="89"/>
      <c r="AL380" s="117"/>
      <c r="AM380" s="117"/>
      <c r="AN380" s="117">
        <v>11</v>
      </c>
      <c r="AO380" s="117"/>
      <c r="AP380" s="117"/>
      <c r="AQ380" s="117"/>
      <c r="AR380" s="126"/>
      <c r="AS380" s="117"/>
      <c r="AT380" s="117"/>
      <c r="AU380" s="117"/>
      <c r="AV380" s="128"/>
      <c r="AW380" s="117">
        <f>VLOOKUP($D380,'WB Data'!$C$3:$M$578,2,FALSE)</f>
        <v>21561941369.362782</v>
      </c>
      <c r="AX380" s="117">
        <f>VLOOKUP($D380,'WB Data'!$C$3:$M$578,3,FALSE)</f>
        <v>62191161</v>
      </c>
      <c r="AY380" s="847">
        <f t="shared" si="61"/>
        <v>4.0624297738079164E-2</v>
      </c>
      <c r="AZ380" s="117">
        <f>VLOOKUP($D380,'WB Data'!$C$3:$M$578,4,FALSE)/100</f>
        <v>0.14268142471174644</v>
      </c>
      <c r="BA380" s="117">
        <f t="shared" si="62"/>
        <v>3076488514.1318269</v>
      </c>
      <c r="BB380" s="129">
        <f>IFERROR(VLOOKUP($D380,'EITI Revenues'!$C$2:$G$224,5,FALSE),"..")</f>
        <v>875938726</v>
      </c>
      <c r="BC380" s="846">
        <f t="shared" si="63"/>
        <v>0.28472029782538827</v>
      </c>
      <c r="BD380" s="129" t="e">
        <f>VLOOKUP($D380,'WB Data 2'!$C$2:$K$545,6,FALSE)</f>
        <v>#N/A</v>
      </c>
      <c r="BE380" s="129">
        <f>IFERROR(VLOOKUP($D380,UNCTAD!$C$5:$V$529,4,FALSE),"..")</f>
        <v>8866500000</v>
      </c>
      <c r="BF380" s="846" t="str">
        <f t="shared" si="64"/>
        <v>..</v>
      </c>
      <c r="BG380" s="117">
        <f>VLOOKUP($D380,'WB Data'!$C$3:$M$578,5,FALSE)</f>
        <v>3486160000</v>
      </c>
      <c r="BH380" s="129">
        <f>IFERROR($BB380/$BG380,"..")</f>
        <v>0.25126176824930585</v>
      </c>
      <c r="BI380" s="117">
        <f>IFERROR(VLOOKUP($D380,'WB Data'!$C$3:$M$578,7,FALSE)/100,"..")</f>
        <v>2.5030700000000003E-2</v>
      </c>
      <c r="BJ380" s="117">
        <f>IFERROR($BI380*$AW380,"..")</f>
        <v>539710485.83410907</v>
      </c>
      <c r="BK380" s="846">
        <f>IFERROR($BB380/$BJ380,"..")</f>
        <v>1.6229788914444725</v>
      </c>
      <c r="BL380" s="117">
        <f>IFERROR(VLOOKUP($D380,'WB Data'!$C$3:$M$578,7,FALSE)/100,"..")</f>
        <v>2.5030700000000003E-2</v>
      </c>
      <c r="BM380" s="117">
        <f>IFERROR($AW380*$BL380,"..")</f>
        <v>539710485.83410907</v>
      </c>
      <c r="BN380" s="846">
        <f>IFERROR($BB380/$BM380,"..")</f>
        <v>1.6229788914444725</v>
      </c>
      <c r="BO380" s="801" t="str">
        <f t="shared" si="60"/>
        <v>..</v>
      </c>
      <c r="BP380" s="117" t="str">
        <f>VLOOKUP($D380,'WB Data'!$C$3:$M$578,9,FALSE)</f>
        <v>..</v>
      </c>
      <c r="BQ380" s="117">
        <f>VLOOKUP($D380,'WB Data'!$C$3:$M$578,10,FALSE)</f>
        <v>48.987682926829265</v>
      </c>
      <c r="BR380" s="117">
        <f>VLOOKUP($D380,'WB Data'!$C$3:$M$578,11,FALSE)</f>
        <v>92.4</v>
      </c>
      <c r="BS380" s="129" t="str">
        <f>IFERROR(VLOOKUP($D380,'WB Data 2'!$C$2:$K$545,9,FALSE),"..")</f>
        <v>..</v>
      </c>
      <c r="BT380" s="129" t="str">
        <f>_xlfn.IFNA(VLOOKUP($C380,RGI!$A$2:$C$43,2,FALSE),"..")</f>
        <v>..</v>
      </c>
      <c r="BU380" s="129" t="str">
        <f>_xlfn.IFNA(VLOOKUP($C380,RGI!$A$2:$C$43,3,FALSE),"..")</f>
        <v>..</v>
      </c>
      <c r="BV380" s="129">
        <f>VLOOKUP($D380,WGI!$C$2:$O$478,7,FALSE)</f>
        <v>-1.4446722820503</v>
      </c>
      <c r="BW380" s="129">
        <f>VLOOKUP($D380,WGI!$C$2:$O$478,4,FALSE)</f>
        <v>-2.2271516163748899</v>
      </c>
      <c r="BX380" s="129">
        <f>VLOOKUP($D380,WGI!$C$2:$O$478,3,FALSE)</f>
        <v>-1.73494098745098</v>
      </c>
      <c r="BY380" s="129">
        <f>VLOOKUP($D380,WGI!$C$2:$O$478,5,FALSE)</f>
        <v>-1.58230061557214</v>
      </c>
      <c r="BZ380" s="129">
        <f>VLOOKUP($D380,WGI!$C$2:$O$478,2,FALSE)</f>
        <v>-1.4180767145324</v>
      </c>
      <c r="CB380" s="129"/>
    </row>
    <row r="381" spans="1:80" s="120" customFormat="1" ht="15" customHeight="1">
      <c r="A381" s="294" t="s">
        <v>179</v>
      </c>
      <c r="B381" s="117">
        <v>2010</v>
      </c>
      <c r="C381" s="132" t="s">
        <v>171</v>
      </c>
      <c r="D381" s="117" t="s">
        <v>3658</v>
      </c>
      <c r="E381" s="117" t="s">
        <v>86</v>
      </c>
      <c r="F381" s="117"/>
      <c r="G381" s="117" t="s">
        <v>24</v>
      </c>
      <c r="H381" s="117" t="str">
        <f t="shared" si="65"/>
        <v>yes</v>
      </c>
      <c r="I381" s="117" t="str">
        <f t="shared" si="66"/>
        <v>no</v>
      </c>
      <c r="J381" s="117" t="str">
        <f t="shared" si="67"/>
        <v>no</v>
      </c>
      <c r="K381" s="176" t="s">
        <v>600</v>
      </c>
      <c r="L381" s="117" t="str">
        <f t="shared" si="59"/>
        <v>Total</v>
      </c>
      <c r="M381" s="117" t="str">
        <f t="shared" si="68"/>
        <v>Total Mining</v>
      </c>
      <c r="N381" s="179"/>
      <c r="O381" s="179"/>
      <c r="P381" s="179"/>
      <c r="Q381" s="179"/>
      <c r="R381" s="179"/>
      <c r="S381" s="117"/>
      <c r="T381" s="119"/>
      <c r="U381" s="117"/>
      <c r="V381" s="117"/>
      <c r="W381" s="89">
        <f>SUM(W382:W400)</f>
        <v>3006946450.9935756</v>
      </c>
      <c r="X381" s="117"/>
      <c r="Y381" s="117"/>
      <c r="Z381" s="117"/>
      <c r="AA381" s="177">
        <v>548638253</v>
      </c>
      <c r="AB381" s="177">
        <v>444283817</v>
      </c>
      <c r="AC381" s="122"/>
      <c r="AD381" s="122"/>
      <c r="AE381" s="122"/>
      <c r="AF381" s="123">
        <f>AA381/W381</f>
        <v>0.18245694159891515</v>
      </c>
      <c r="AG381" s="117"/>
      <c r="AH381" s="124"/>
      <c r="AI381" s="117"/>
      <c r="AJ381" s="117"/>
      <c r="AK381" s="89"/>
      <c r="AL381" s="117"/>
      <c r="AM381" s="117"/>
      <c r="AN381" s="117">
        <v>49</v>
      </c>
      <c r="AO381" s="117"/>
      <c r="AP381" s="117"/>
      <c r="AQ381" s="117"/>
      <c r="AR381" s="126"/>
      <c r="AS381" s="117"/>
      <c r="AT381" s="117"/>
      <c r="AU381" s="117"/>
      <c r="AV381" s="128"/>
      <c r="AW381" s="117">
        <f>VLOOKUP($D381,'WB Data'!$C$3:$M$578,2,FALSE)</f>
        <v>21561941369.362782</v>
      </c>
      <c r="AX381" s="117">
        <f>VLOOKUP($D381,'WB Data'!$C$3:$M$578,3,FALSE)</f>
        <v>62191161</v>
      </c>
      <c r="AY381" s="847">
        <f t="shared" si="61"/>
        <v>4.0624297738079164E-2</v>
      </c>
      <c r="AZ381" s="117">
        <f>VLOOKUP($D381,'WB Data'!$C$3:$M$578,4,FALSE)/100</f>
        <v>0.14268142471174644</v>
      </c>
      <c r="BA381" s="117">
        <f t="shared" si="62"/>
        <v>3076488514.1318269</v>
      </c>
      <c r="BB381" s="129">
        <f>IFERROR(VLOOKUP($D381,'EITI Revenues'!$C$2:$G$224,5,FALSE),"..")</f>
        <v>875938726</v>
      </c>
      <c r="BC381" s="846">
        <f t="shared" si="63"/>
        <v>0.28472029782538827</v>
      </c>
      <c r="BD381" s="129" t="e">
        <f>VLOOKUP($D381,'WB Data 2'!$C$2:$K$545,6,FALSE)</f>
        <v>#N/A</v>
      </c>
      <c r="BE381" s="129">
        <f>IFERROR(VLOOKUP($D381,UNCTAD!$C$5:$V$529,4,FALSE),"..")</f>
        <v>8866500000</v>
      </c>
      <c r="BF381" s="846" t="str">
        <f t="shared" si="64"/>
        <v>..</v>
      </c>
      <c r="BG381" s="117">
        <f>VLOOKUP($D381,'WB Data'!$C$3:$M$578,5,FALSE)</f>
        <v>3486160000</v>
      </c>
      <c r="BH381" s="129">
        <f>IFERROR($BB381/$BG381,"..")</f>
        <v>0.25126176824930585</v>
      </c>
      <c r="BI381" s="117">
        <f>IFERROR(VLOOKUP($D381,'WB Data'!$C$3:$M$578,7,FALSE)/100,"..")</f>
        <v>2.5030700000000003E-2</v>
      </c>
      <c r="BJ381" s="117">
        <f>IFERROR($BI381*$AW381,"..")</f>
        <v>539710485.83410907</v>
      </c>
      <c r="BK381" s="846">
        <f>IFERROR($BB381/$BJ381,"..")</f>
        <v>1.6229788914444725</v>
      </c>
      <c r="BL381" s="117">
        <f>IFERROR(VLOOKUP($D381,'WB Data'!$C$3:$M$578,7,FALSE)/100,"..")</f>
        <v>2.5030700000000003E-2</v>
      </c>
      <c r="BM381" s="117">
        <f>IFERROR($AW381*$BL381,"..")</f>
        <v>539710485.83410907</v>
      </c>
      <c r="BN381" s="846">
        <f>IFERROR($BB381/$BM381,"..")</f>
        <v>1.6229788914444725</v>
      </c>
      <c r="BO381" s="801" t="str">
        <f t="shared" si="60"/>
        <v>..</v>
      </c>
      <c r="BP381" s="117" t="str">
        <f>VLOOKUP($D381,'WB Data'!$C$3:$M$578,9,FALSE)</f>
        <v>..</v>
      </c>
      <c r="BQ381" s="117">
        <f>VLOOKUP($D381,'WB Data'!$C$3:$M$578,10,FALSE)</f>
        <v>48.987682926829265</v>
      </c>
      <c r="BR381" s="117">
        <f>VLOOKUP($D381,'WB Data'!$C$3:$M$578,11,FALSE)</f>
        <v>92.4</v>
      </c>
      <c r="BS381" s="129" t="str">
        <f>IFERROR(VLOOKUP($D381,'WB Data 2'!$C$2:$K$545,9,FALSE),"..")</f>
        <v>..</v>
      </c>
      <c r="BT381" s="129" t="str">
        <f>_xlfn.IFNA(VLOOKUP($C381,RGI!$A$2:$C$43,2,FALSE),"..")</f>
        <v>..</v>
      </c>
      <c r="BU381" s="129" t="str">
        <f>_xlfn.IFNA(VLOOKUP($C381,RGI!$A$2:$C$43,3,FALSE),"..")</f>
        <v>..</v>
      </c>
      <c r="BV381" s="129">
        <f>VLOOKUP($D381,WGI!$C$2:$O$478,7,FALSE)</f>
        <v>-1.4446722820503</v>
      </c>
      <c r="BW381" s="129">
        <f>VLOOKUP($D381,WGI!$C$2:$O$478,4,FALSE)</f>
        <v>-2.2271516163748899</v>
      </c>
      <c r="BX381" s="129">
        <f>VLOOKUP($D381,WGI!$C$2:$O$478,3,FALSE)</f>
        <v>-1.73494098745098</v>
      </c>
      <c r="BY381" s="129">
        <f>VLOOKUP($D381,WGI!$C$2:$O$478,5,FALSE)</f>
        <v>-1.58230061557214</v>
      </c>
      <c r="BZ381" s="129">
        <f>VLOOKUP($D381,WGI!$C$2:$O$478,2,FALSE)</f>
        <v>-1.4180767145324</v>
      </c>
      <c r="CB381" s="129"/>
    </row>
    <row r="382" spans="1:80" s="120" customFormat="1" ht="15" customHeight="1">
      <c r="A382" s="294" t="s">
        <v>179</v>
      </c>
      <c r="B382" s="117">
        <v>2010</v>
      </c>
      <c r="C382" s="132" t="s">
        <v>171</v>
      </c>
      <c r="D382" s="117" t="s">
        <v>3658</v>
      </c>
      <c r="E382" s="117" t="s">
        <v>86</v>
      </c>
      <c r="F382" s="117"/>
      <c r="G382" s="117" t="s">
        <v>24</v>
      </c>
      <c r="H382" s="117" t="str">
        <f t="shared" si="65"/>
        <v>yes</v>
      </c>
      <c r="I382" s="117" t="str">
        <f t="shared" si="66"/>
        <v>no</v>
      </c>
      <c r="J382" s="117" t="str">
        <f t="shared" si="67"/>
        <v>no</v>
      </c>
      <c r="K382" s="176" t="s">
        <v>1061</v>
      </c>
      <c r="L382" s="117" t="str">
        <f t="shared" si="59"/>
        <v>detailed</v>
      </c>
      <c r="M382" s="117" t="str">
        <f t="shared" si="68"/>
        <v>detailed Mining</v>
      </c>
      <c r="N382" s="179"/>
      <c r="O382" s="179"/>
      <c r="P382" s="179"/>
      <c r="Q382" s="179"/>
      <c r="R382" s="179"/>
      <c r="S382" s="117"/>
      <c r="T382" s="119">
        <f>20.85/0.000453592</f>
        <v>45966.419160831763</v>
      </c>
      <c r="U382" s="117" t="s">
        <v>611</v>
      </c>
      <c r="V382" s="117" t="s">
        <v>1090</v>
      </c>
      <c r="W382" s="89">
        <f>N384*T382</f>
        <v>194070221.69703171</v>
      </c>
      <c r="X382" s="117"/>
      <c r="Y382" s="117"/>
      <c r="Z382" s="117"/>
      <c r="AA382" s="177"/>
      <c r="AB382" s="177"/>
      <c r="AC382" s="122"/>
      <c r="AD382" s="122"/>
      <c r="AE382" s="122"/>
      <c r="AF382" s="123"/>
      <c r="AG382" s="117"/>
      <c r="AH382" s="124"/>
      <c r="AI382" s="117"/>
      <c r="AJ382" s="117"/>
      <c r="AK382" s="89"/>
      <c r="AL382" s="117"/>
      <c r="AM382" s="117"/>
      <c r="AN382" s="117"/>
      <c r="AO382" s="117"/>
      <c r="AP382" s="117"/>
      <c r="AQ382" s="117"/>
      <c r="AR382" s="126"/>
      <c r="AS382" s="117"/>
      <c r="AT382" s="117"/>
      <c r="AU382" s="117"/>
      <c r="AV382" s="128"/>
      <c r="AW382" s="117">
        <f>VLOOKUP($D382,'WB Data'!$C$3:$M$578,2,FALSE)</f>
        <v>21561941369.362782</v>
      </c>
      <c r="AX382" s="117">
        <f>VLOOKUP($D382,'WB Data'!$C$3:$M$578,3,FALSE)</f>
        <v>62191161</v>
      </c>
      <c r="AY382" s="847">
        <f t="shared" si="61"/>
        <v>4.0624297738079164E-2</v>
      </c>
      <c r="AZ382" s="117">
        <f>VLOOKUP($D382,'WB Data'!$C$3:$M$578,4,FALSE)/100</f>
        <v>0.14268142471174644</v>
      </c>
      <c r="BA382" s="117">
        <f t="shared" si="62"/>
        <v>3076488514.1318269</v>
      </c>
      <c r="BB382" s="129">
        <f>IFERROR(VLOOKUP($D382,'EITI Revenues'!$C$2:$G$224,5,FALSE),"..")</f>
        <v>875938726</v>
      </c>
      <c r="BC382" s="846">
        <f t="shared" si="63"/>
        <v>0.28472029782538827</v>
      </c>
      <c r="BD382" s="129" t="e">
        <f>VLOOKUP($D382,'WB Data 2'!$C$2:$K$545,6,FALSE)</f>
        <v>#N/A</v>
      </c>
      <c r="BE382" s="129">
        <f>IFERROR(VLOOKUP($D382,UNCTAD!$C$5:$V$529,4,FALSE),"..")</f>
        <v>8866500000</v>
      </c>
      <c r="BF382" s="846" t="str">
        <f t="shared" si="64"/>
        <v>..</v>
      </c>
      <c r="BG382" s="117">
        <f>VLOOKUP($D382,'WB Data'!$C$3:$M$578,5,FALSE)</f>
        <v>3486160000</v>
      </c>
      <c r="BH382" s="129">
        <f>IFERROR($BB382/$BG382,"..")</f>
        <v>0.25126176824930585</v>
      </c>
      <c r="BI382" s="117">
        <f>IFERROR(VLOOKUP($D382,'WB Data'!$C$3:$M$578,7,FALSE)/100,"..")</f>
        <v>2.5030700000000003E-2</v>
      </c>
      <c r="BJ382" s="117">
        <f>IFERROR($BI382*$AW382,"..")</f>
        <v>539710485.83410907</v>
      </c>
      <c r="BK382" s="846">
        <f>IFERROR($BB382/$BJ382,"..")</f>
        <v>1.6229788914444725</v>
      </c>
      <c r="BL382" s="117">
        <f>IFERROR(VLOOKUP($D382,'WB Data'!$C$3:$M$578,7,FALSE)/100,"..")</f>
        <v>2.5030700000000003E-2</v>
      </c>
      <c r="BM382" s="117">
        <f>IFERROR($AW382*$BL382,"..")</f>
        <v>539710485.83410907</v>
      </c>
      <c r="BN382" s="846">
        <f>IFERROR($BB382/$BM382,"..")</f>
        <v>1.6229788914444725</v>
      </c>
      <c r="BO382" s="801" t="str">
        <f t="shared" si="60"/>
        <v>..</v>
      </c>
      <c r="BP382" s="117" t="str">
        <f>VLOOKUP($D382,'WB Data'!$C$3:$M$578,9,FALSE)</f>
        <v>..</v>
      </c>
      <c r="BQ382" s="117">
        <f>VLOOKUP($D382,'WB Data'!$C$3:$M$578,10,FALSE)</f>
        <v>48.987682926829265</v>
      </c>
      <c r="BR382" s="117">
        <f>VLOOKUP($D382,'WB Data'!$C$3:$M$578,11,FALSE)</f>
        <v>92.4</v>
      </c>
      <c r="BS382" s="129" t="str">
        <f>IFERROR(VLOOKUP($D382,'WB Data 2'!$C$2:$K$545,9,FALSE),"..")</f>
        <v>..</v>
      </c>
      <c r="BT382" s="129" t="str">
        <f>_xlfn.IFNA(VLOOKUP($C382,RGI!$A$2:$C$43,2,FALSE),"..")</f>
        <v>..</v>
      </c>
      <c r="BU382" s="129" t="str">
        <f>_xlfn.IFNA(VLOOKUP($C382,RGI!$A$2:$C$43,3,FALSE),"..")</f>
        <v>..</v>
      </c>
      <c r="BV382" s="129">
        <f>VLOOKUP($D382,WGI!$C$2:$O$478,7,FALSE)</f>
        <v>-1.4446722820503</v>
      </c>
      <c r="BW382" s="129">
        <f>VLOOKUP($D382,WGI!$C$2:$O$478,4,FALSE)</f>
        <v>-2.2271516163748899</v>
      </c>
      <c r="BX382" s="129">
        <f>VLOOKUP($D382,WGI!$C$2:$O$478,3,FALSE)</f>
        <v>-1.73494098745098</v>
      </c>
      <c r="BY382" s="129">
        <f>VLOOKUP($D382,WGI!$C$2:$O$478,5,FALSE)</f>
        <v>-1.58230061557214</v>
      </c>
      <c r="BZ382" s="129">
        <f>VLOOKUP($D382,WGI!$C$2:$O$478,2,FALSE)</f>
        <v>-1.4180767145324</v>
      </c>
      <c r="CB382" s="129"/>
    </row>
    <row r="383" spans="1:80" s="120" customFormat="1" ht="15" customHeight="1">
      <c r="A383" s="294" t="s">
        <v>179</v>
      </c>
      <c r="B383" s="117">
        <v>2010</v>
      </c>
      <c r="C383" s="132" t="s">
        <v>171</v>
      </c>
      <c r="D383" s="117" t="s">
        <v>3658</v>
      </c>
      <c r="E383" s="117" t="s">
        <v>86</v>
      </c>
      <c r="F383" s="117"/>
      <c r="G383" s="117" t="s">
        <v>24</v>
      </c>
      <c r="H383" s="117" t="str">
        <f t="shared" si="65"/>
        <v>yes</v>
      </c>
      <c r="I383" s="117" t="str">
        <f t="shared" si="66"/>
        <v>no</v>
      </c>
      <c r="J383" s="117" t="str">
        <f t="shared" si="67"/>
        <v>no</v>
      </c>
      <c r="K383" s="176" t="s">
        <v>1063</v>
      </c>
      <c r="L383" s="117" t="str">
        <f t="shared" si="59"/>
        <v>detailed</v>
      </c>
      <c r="M383" s="117" t="str">
        <f t="shared" si="68"/>
        <v>detailed Mining</v>
      </c>
      <c r="N383" s="179">
        <v>60000</v>
      </c>
      <c r="O383" s="179"/>
      <c r="P383" s="179"/>
      <c r="Q383" s="179"/>
      <c r="R383" s="179"/>
      <c r="S383" s="117" t="s">
        <v>610</v>
      </c>
      <c r="T383" s="119"/>
      <c r="U383" s="117"/>
      <c r="V383" s="117" t="s">
        <v>684</v>
      </c>
      <c r="W383" s="89"/>
      <c r="X383" s="117"/>
      <c r="Y383" s="117"/>
      <c r="Z383" s="117"/>
      <c r="AA383" s="177"/>
      <c r="AB383" s="177"/>
      <c r="AC383" s="122"/>
      <c r="AD383" s="122"/>
      <c r="AE383" s="122"/>
      <c r="AF383" s="123"/>
      <c r="AG383" s="117"/>
      <c r="AH383" s="124"/>
      <c r="AI383" s="117"/>
      <c r="AJ383" s="117"/>
      <c r="AK383" s="89"/>
      <c r="AL383" s="117"/>
      <c r="AM383" s="117"/>
      <c r="AN383" s="117"/>
      <c r="AO383" s="117"/>
      <c r="AP383" s="117"/>
      <c r="AQ383" s="117"/>
      <c r="AR383" s="126"/>
      <c r="AS383" s="117"/>
      <c r="AT383" s="117"/>
      <c r="AU383" s="117"/>
      <c r="AV383" s="128"/>
      <c r="AW383" s="117">
        <f>VLOOKUP($D383,'WB Data'!$C$3:$M$578,2,FALSE)</f>
        <v>21561941369.362782</v>
      </c>
      <c r="AX383" s="117">
        <f>VLOOKUP($D383,'WB Data'!$C$3:$M$578,3,FALSE)</f>
        <v>62191161</v>
      </c>
      <c r="AY383" s="847">
        <f t="shared" si="61"/>
        <v>4.0624297738079164E-2</v>
      </c>
      <c r="AZ383" s="117">
        <f>VLOOKUP($D383,'WB Data'!$C$3:$M$578,4,FALSE)/100</f>
        <v>0.14268142471174644</v>
      </c>
      <c r="BA383" s="117">
        <f t="shared" si="62"/>
        <v>3076488514.1318269</v>
      </c>
      <c r="BB383" s="129">
        <f>IFERROR(VLOOKUP($D383,'EITI Revenues'!$C$2:$G$224,5,FALSE),"..")</f>
        <v>875938726</v>
      </c>
      <c r="BC383" s="846">
        <f t="shared" si="63"/>
        <v>0.28472029782538827</v>
      </c>
      <c r="BD383" s="129" t="e">
        <f>VLOOKUP($D383,'WB Data 2'!$C$2:$K$545,6,FALSE)</f>
        <v>#N/A</v>
      </c>
      <c r="BE383" s="129">
        <f>IFERROR(VLOOKUP($D383,UNCTAD!$C$5:$V$529,4,FALSE),"..")</f>
        <v>8866500000</v>
      </c>
      <c r="BF383" s="846" t="str">
        <f t="shared" si="64"/>
        <v>..</v>
      </c>
      <c r="BG383" s="117">
        <f>VLOOKUP($D383,'WB Data'!$C$3:$M$578,5,FALSE)</f>
        <v>3486160000</v>
      </c>
      <c r="BH383" s="129">
        <f>IFERROR($BB383/$BG383,"..")</f>
        <v>0.25126176824930585</v>
      </c>
      <c r="BI383" s="117">
        <f>IFERROR(VLOOKUP($D383,'WB Data'!$C$3:$M$578,7,FALSE)/100,"..")</f>
        <v>2.5030700000000003E-2</v>
      </c>
      <c r="BJ383" s="117">
        <f>IFERROR($BI383*$AW383,"..")</f>
        <v>539710485.83410907</v>
      </c>
      <c r="BK383" s="846">
        <f>IFERROR($BB383/$BJ383,"..")</f>
        <v>1.6229788914444725</v>
      </c>
      <c r="BL383" s="117">
        <f>IFERROR(VLOOKUP($D383,'WB Data'!$C$3:$M$578,7,FALSE)/100,"..")</f>
        <v>2.5030700000000003E-2</v>
      </c>
      <c r="BM383" s="117">
        <f>IFERROR($AW383*$BL383,"..")</f>
        <v>539710485.83410907</v>
      </c>
      <c r="BN383" s="846">
        <f>IFERROR($BB383/$BM383,"..")</f>
        <v>1.6229788914444725</v>
      </c>
      <c r="BO383" s="801" t="str">
        <f t="shared" si="60"/>
        <v>..</v>
      </c>
      <c r="BP383" s="117" t="str">
        <f>VLOOKUP($D383,'WB Data'!$C$3:$M$578,9,FALSE)</f>
        <v>..</v>
      </c>
      <c r="BQ383" s="117">
        <f>VLOOKUP($D383,'WB Data'!$C$3:$M$578,10,FALSE)</f>
        <v>48.987682926829265</v>
      </c>
      <c r="BR383" s="117">
        <f>VLOOKUP($D383,'WB Data'!$C$3:$M$578,11,FALSE)</f>
        <v>92.4</v>
      </c>
      <c r="BS383" s="129" t="str">
        <f>IFERROR(VLOOKUP($D383,'WB Data 2'!$C$2:$K$545,9,FALSE),"..")</f>
        <v>..</v>
      </c>
      <c r="BT383" s="129" t="str">
        <f>_xlfn.IFNA(VLOOKUP($C383,RGI!$A$2:$C$43,2,FALSE),"..")</f>
        <v>..</v>
      </c>
      <c r="BU383" s="129" t="str">
        <f>_xlfn.IFNA(VLOOKUP($C383,RGI!$A$2:$C$43,3,FALSE),"..")</f>
        <v>..</v>
      </c>
      <c r="BV383" s="129">
        <f>VLOOKUP($D383,WGI!$C$2:$O$478,7,FALSE)</f>
        <v>-1.4446722820503</v>
      </c>
      <c r="BW383" s="129">
        <f>VLOOKUP($D383,WGI!$C$2:$O$478,4,FALSE)</f>
        <v>-2.2271516163748899</v>
      </c>
      <c r="BX383" s="129">
        <f>VLOOKUP($D383,WGI!$C$2:$O$478,3,FALSE)</f>
        <v>-1.73494098745098</v>
      </c>
      <c r="BY383" s="129">
        <f>VLOOKUP($D383,WGI!$C$2:$O$478,5,FALSE)</f>
        <v>-1.58230061557214</v>
      </c>
      <c r="BZ383" s="129">
        <f>VLOOKUP($D383,WGI!$C$2:$O$478,2,FALSE)</f>
        <v>-1.4180767145324</v>
      </c>
      <c r="CB383" s="129"/>
    </row>
    <row r="384" spans="1:80" s="120" customFormat="1" ht="15" customHeight="1">
      <c r="A384" s="294" t="s">
        <v>179</v>
      </c>
      <c r="B384" s="117">
        <v>2010</v>
      </c>
      <c r="C384" s="132" t="s">
        <v>171</v>
      </c>
      <c r="D384" s="117" t="s">
        <v>3658</v>
      </c>
      <c r="E384" s="117" t="s">
        <v>86</v>
      </c>
      <c r="F384" s="117"/>
      <c r="G384" s="117" t="s">
        <v>24</v>
      </c>
      <c r="H384" s="117" t="str">
        <f t="shared" si="65"/>
        <v>yes</v>
      </c>
      <c r="I384" s="117" t="str">
        <f t="shared" si="66"/>
        <v>no</v>
      </c>
      <c r="J384" s="117" t="str">
        <f t="shared" si="67"/>
        <v>no</v>
      </c>
      <c r="K384" s="176" t="s">
        <v>1064</v>
      </c>
      <c r="L384" s="117" t="str">
        <f t="shared" si="59"/>
        <v>detailed</v>
      </c>
      <c r="M384" s="117" t="str">
        <f t="shared" si="68"/>
        <v>detailed Mining</v>
      </c>
      <c r="N384" s="179">
        <v>4222</v>
      </c>
      <c r="O384" s="179"/>
      <c r="P384" s="179"/>
      <c r="Q384" s="179"/>
      <c r="R384" s="179"/>
      <c r="S384" s="117" t="s">
        <v>610</v>
      </c>
      <c r="T384" s="119"/>
      <c r="U384" s="117"/>
      <c r="V384" s="117" t="s">
        <v>684</v>
      </c>
      <c r="W384" s="89"/>
      <c r="X384" s="117"/>
      <c r="Y384" s="117"/>
      <c r="Z384" s="117"/>
      <c r="AA384" s="177"/>
      <c r="AB384" s="177"/>
      <c r="AC384" s="122"/>
      <c r="AD384" s="122"/>
      <c r="AE384" s="122"/>
      <c r="AF384" s="123"/>
      <c r="AG384" s="117"/>
      <c r="AH384" s="124"/>
      <c r="AI384" s="117"/>
      <c r="AJ384" s="117"/>
      <c r="AK384" s="89"/>
      <c r="AL384" s="117"/>
      <c r="AM384" s="117"/>
      <c r="AN384" s="117"/>
      <c r="AO384" s="117"/>
      <c r="AP384" s="117"/>
      <c r="AQ384" s="117"/>
      <c r="AR384" s="126"/>
      <c r="AS384" s="117"/>
      <c r="AT384" s="117"/>
      <c r="AU384" s="117"/>
      <c r="AV384" s="128"/>
      <c r="AW384" s="117">
        <f>VLOOKUP($D384,'WB Data'!$C$3:$M$578,2,FALSE)</f>
        <v>21561941369.362782</v>
      </c>
      <c r="AX384" s="117">
        <f>VLOOKUP($D384,'WB Data'!$C$3:$M$578,3,FALSE)</f>
        <v>62191161</v>
      </c>
      <c r="AY384" s="847">
        <f t="shared" si="61"/>
        <v>4.0624297738079164E-2</v>
      </c>
      <c r="AZ384" s="117">
        <f>VLOOKUP($D384,'WB Data'!$C$3:$M$578,4,FALSE)/100</f>
        <v>0.14268142471174644</v>
      </c>
      <c r="BA384" s="117">
        <f t="shared" si="62"/>
        <v>3076488514.1318269</v>
      </c>
      <c r="BB384" s="129">
        <f>IFERROR(VLOOKUP($D384,'EITI Revenues'!$C$2:$G$224,5,FALSE),"..")</f>
        <v>875938726</v>
      </c>
      <c r="BC384" s="846">
        <f t="shared" si="63"/>
        <v>0.28472029782538827</v>
      </c>
      <c r="BD384" s="129" t="e">
        <f>VLOOKUP($D384,'WB Data 2'!$C$2:$K$545,6,FALSE)</f>
        <v>#N/A</v>
      </c>
      <c r="BE384" s="129">
        <f>IFERROR(VLOOKUP($D384,UNCTAD!$C$5:$V$529,4,FALSE),"..")</f>
        <v>8866500000</v>
      </c>
      <c r="BF384" s="846" t="str">
        <f t="shared" si="64"/>
        <v>..</v>
      </c>
      <c r="BG384" s="117">
        <f>VLOOKUP($D384,'WB Data'!$C$3:$M$578,5,FALSE)</f>
        <v>3486160000</v>
      </c>
      <c r="BH384" s="129">
        <f>IFERROR($BB384/$BG384,"..")</f>
        <v>0.25126176824930585</v>
      </c>
      <c r="BI384" s="117">
        <f>IFERROR(VLOOKUP($D384,'WB Data'!$C$3:$M$578,7,FALSE)/100,"..")</f>
        <v>2.5030700000000003E-2</v>
      </c>
      <c r="BJ384" s="117">
        <f>IFERROR($BI384*$AW384,"..")</f>
        <v>539710485.83410907</v>
      </c>
      <c r="BK384" s="846">
        <f>IFERROR($BB384/$BJ384,"..")</f>
        <v>1.6229788914444725</v>
      </c>
      <c r="BL384" s="117">
        <f>IFERROR(VLOOKUP($D384,'WB Data'!$C$3:$M$578,7,FALSE)/100,"..")</f>
        <v>2.5030700000000003E-2</v>
      </c>
      <c r="BM384" s="117">
        <f>IFERROR($AW384*$BL384,"..")</f>
        <v>539710485.83410907</v>
      </c>
      <c r="BN384" s="846">
        <f>IFERROR($BB384/$BM384,"..")</f>
        <v>1.6229788914444725</v>
      </c>
      <c r="BO384" s="801" t="str">
        <f t="shared" si="60"/>
        <v>..</v>
      </c>
      <c r="BP384" s="117" t="str">
        <f>VLOOKUP($D384,'WB Data'!$C$3:$M$578,9,FALSE)</f>
        <v>..</v>
      </c>
      <c r="BQ384" s="117">
        <f>VLOOKUP($D384,'WB Data'!$C$3:$M$578,10,FALSE)</f>
        <v>48.987682926829265</v>
      </c>
      <c r="BR384" s="117">
        <f>VLOOKUP($D384,'WB Data'!$C$3:$M$578,11,FALSE)</f>
        <v>92.4</v>
      </c>
      <c r="BS384" s="129" t="str">
        <f>IFERROR(VLOOKUP($D384,'WB Data 2'!$C$2:$K$545,9,FALSE),"..")</f>
        <v>..</v>
      </c>
      <c r="BT384" s="129" t="str">
        <f>_xlfn.IFNA(VLOOKUP($C384,RGI!$A$2:$C$43,2,FALSE),"..")</f>
        <v>..</v>
      </c>
      <c r="BU384" s="129" t="str">
        <f>_xlfn.IFNA(VLOOKUP($C384,RGI!$A$2:$C$43,3,FALSE),"..")</f>
        <v>..</v>
      </c>
      <c r="BV384" s="129">
        <f>VLOOKUP($D384,WGI!$C$2:$O$478,7,FALSE)</f>
        <v>-1.4446722820503</v>
      </c>
      <c r="BW384" s="129">
        <f>VLOOKUP($D384,WGI!$C$2:$O$478,4,FALSE)</f>
        <v>-2.2271516163748899</v>
      </c>
      <c r="BX384" s="129">
        <f>VLOOKUP($D384,WGI!$C$2:$O$478,3,FALSE)</f>
        <v>-1.73494098745098</v>
      </c>
      <c r="BY384" s="129">
        <f>VLOOKUP($D384,WGI!$C$2:$O$478,5,FALSE)</f>
        <v>-1.58230061557214</v>
      </c>
      <c r="BZ384" s="129">
        <f>VLOOKUP($D384,WGI!$C$2:$O$478,2,FALSE)</f>
        <v>-1.4180767145324</v>
      </c>
      <c r="CB384" s="129"/>
    </row>
    <row r="385" spans="1:80" s="120" customFormat="1" ht="15" customHeight="1">
      <c r="A385" s="294" t="s">
        <v>179</v>
      </c>
      <c r="B385" s="117">
        <v>2010</v>
      </c>
      <c r="C385" s="132" t="s">
        <v>171</v>
      </c>
      <c r="D385" s="117" t="s">
        <v>3658</v>
      </c>
      <c r="E385" s="117" t="s">
        <v>86</v>
      </c>
      <c r="F385" s="117"/>
      <c r="G385" s="117" t="s">
        <v>24</v>
      </c>
      <c r="H385" s="117" t="str">
        <f t="shared" si="65"/>
        <v>yes</v>
      </c>
      <c r="I385" s="117" t="str">
        <f t="shared" si="66"/>
        <v>no</v>
      </c>
      <c r="J385" s="117" t="str">
        <f t="shared" si="67"/>
        <v>no</v>
      </c>
      <c r="K385" s="176" t="s">
        <v>1065</v>
      </c>
      <c r="L385" s="117" t="str">
        <f t="shared" si="59"/>
        <v>detailed</v>
      </c>
      <c r="M385" s="117" t="str">
        <f t="shared" si="68"/>
        <v>detailed Mining</v>
      </c>
      <c r="N385" s="179"/>
      <c r="O385" s="179"/>
      <c r="P385" s="179"/>
      <c r="Q385" s="179"/>
      <c r="R385" s="179"/>
      <c r="S385" s="117"/>
      <c r="T385" s="119"/>
      <c r="U385" s="117"/>
      <c r="V385" s="117"/>
      <c r="W385" s="89"/>
      <c r="X385" s="117"/>
      <c r="Y385" s="117"/>
      <c r="Z385" s="117"/>
      <c r="AA385" s="177"/>
      <c r="AB385" s="177"/>
      <c r="AC385" s="122"/>
      <c r="AD385" s="122"/>
      <c r="AE385" s="122"/>
      <c r="AF385" s="123"/>
      <c r="AG385" s="117"/>
      <c r="AH385" s="124"/>
      <c r="AI385" s="117"/>
      <c r="AJ385" s="117"/>
      <c r="AK385" s="89"/>
      <c r="AL385" s="117"/>
      <c r="AM385" s="117"/>
      <c r="AN385" s="117"/>
      <c r="AO385" s="117"/>
      <c r="AP385" s="117"/>
      <c r="AQ385" s="117"/>
      <c r="AR385" s="126"/>
      <c r="AS385" s="117"/>
      <c r="AT385" s="117"/>
      <c r="AU385" s="117"/>
      <c r="AV385" s="128"/>
      <c r="AW385" s="117">
        <f>VLOOKUP($D385,'WB Data'!$C$3:$M$578,2,FALSE)</f>
        <v>21561941369.362782</v>
      </c>
      <c r="AX385" s="117">
        <f>VLOOKUP($D385,'WB Data'!$C$3:$M$578,3,FALSE)</f>
        <v>62191161</v>
      </c>
      <c r="AY385" s="847">
        <f t="shared" si="61"/>
        <v>4.0624297738079164E-2</v>
      </c>
      <c r="AZ385" s="117">
        <f>VLOOKUP($D385,'WB Data'!$C$3:$M$578,4,FALSE)/100</f>
        <v>0.14268142471174644</v>
      </c>
      <c r="BA385" s="117">
        <f t="shared" si="62"/>
        <v>3076488514.1318269</v>
      </c>
      <c r="BB385" s="129">
        <f>IFERROR(VLOOKUP($D385,'EITI Revenues'!$C$2:$G$224,5,FALSE),"..")</f>
        <v>875938726</v>
      </c>
      <c r="BC385" s="846">
        <f t="shared" si="63"/>
        <v>0.28472029782538827</v>
      </c>
      <c r="BD385" s="129" t="e">
        <f>VLOOKUP($D385,'WB Data 2'!$C$2:$K$545,6,FALSE)</f>
        <v>#N/A</v>
      </c>
      <c r="BE385" s="129">
        <f>IFERROR(VLOOKUP($D385,UNCTAD!$C$5:$V$529,4,FALSE),"..")</f>
        <v>8866500000</v>
      </c>
      <c r="BF385" s="846" t="str">
        <f t="shared" si="64"/>
        <v>..</v>
      </c>
      <c r="BG385" s="117">
        <f>VLOOKUP($D385,'WB Data'!$C$3:$M$578,5,FALSE)</f>
        <v>3486160000</v>
      </c>
      <c r="BH385" s="129">
        <f>IFERROR($BB385/$BG385,"..")</f>
        <v>0.25126176824930585</v>
      </c>
      <c r="BI385" s="117">
        <f>IFERROR(VLOOKUP($D385,'WB Data'!$C$3:$M$578,7,FALSE)/100,"..")</f>
        <v>2.5030700000000003E-2</v>
      </c>
      <c r="BJ385" s="117">
        <f>IFERROR($BI385*$AW385,"..")</f>
        <v>539710485.83410907</v>
      </c>
      <c r="BK385" s="846">
        <f>IFERROR($BB385/$BJ385,"..")</f>
        <v>1.6229788914444725</v>
      </c>
      <c r="BL385" s="117">
        <f>IFERROR(VLOOKUP($D385,'WB Data'!$C$3:$M$578,7,FALSE)/100,"..")</f>
        <v>2.5030700000000003E-2</v>
      </c>
      <c r="BM385" s="117">
        <f>IFERROR($AW385*$BL385,"..")</f>
        <v>539710485.83410907</v>
      </c>
      <c r="BN385" s="846">
        <f>IFERROR($BB385/$BM385,"..")</f>
        <v>1.6229788914444725</v>
      </c>
      <c r="BO385" s="801" t="str">
        <f t="shared" si="60"/>
        <v>..</v>
      </c>
      <c r="BP385" s="117" t="str">
        <f>VLOOKUP($D385,'WB Data'!$C$3:$M$578,9,FALSE)</f>
        <v>..</v>
      </c>
      <c r="BQ385" s="117">
        <f>VLOOKUP($D385,'WB Data'!$C$3:$M$578,10,FALSE)</f>
        <v>48.987682926829265</v>
      </c>
      <c r="BR385" s="117">
        <f>VLOOKUP($D385,'WB Data'!$C$3:$M$578,11,FALSE)</f>
        <v>92.4</v>
      </c>
      <c r="BS385" s="129" t="str">
        <f>IFERROR(VLOOKUP($D385,'WB Data 2'!$C$2:$K$545,9,FALSE),"..")</f>
        <v>..</v>
      </c>
      <c r="BT385" s="129" t="str">
        <f>_xlfn.IFNA(VLOOKUP($C385,RGI!$A$2:$C$43,2,FALSE),"..")</f>
        <v>..</v>
      </c>
      <c r="BU385" s="129" t="str">
        <f>_xlfn.IFNA(VLOOKUP($C385,RGI!$A$2:$C$43,3,FALSE),"..")</f>
        <v>..</v>
      </c>
      <c r="BV385" s="129">
        <f>VLOOKUP($D385,WGI!$C$2:$O$478,7,FALSE)</f>
        <v>-1.4446722820503</v>
      </c>
      <c r="BW385" s="129">
        <f>VLOOKUP($D385,WGI!$C$2:$O$478,4,FALSE)</f>
        <v>-2.2271516163748899</v>
      </c>
      <c r="BX385" s="129">
        <f>VLOOKUP($D385,WGI!$C$2:$O$478,3,FALSE)</f>
        <v>-1.73494098745098</v>
      </c>
      <c r="BY385" s="129">
        <f>VLOOKUP($D385,WGI!$C$2:$O$478,5,FALSE)</f>
        <v>-1.58230061557214</v>
      </c>
      <c r="BZ385" s="129">
        <f>VLOOKUP($D385,WGI!$C$2:$O$478,2,FALSE)</f>
        <v>-1.4180767145324</v>
      </c>
      <c r="CB385" s="129"/>
    </row>
    <row r="386" spans="1:80" s="120" customFormat="1" ht="15" customHeight="1">
      <c r="A386" s="294" t="s">
        <v>179</v>
      </c>
      <c r="B386" s="117">
        <v>2010</v>
      </c>
      <c r="C386" s="132" t="s">
        <v>171</v>
      </c>
      <c r="D386" s="117" t="s">
        <v>3658</v>
      </c>
      <c r="E386" s="117" t="s">
        <v>86</v>
      </c>
      <c r="F386" s="117"/>
      <c r="G386" s="117" t="s">
        <v>24</v>
      </c>
      <c r="H386" s="117" t="str">
        <f t="shared" si="65"/>
        <v>yes</v>
      </c>
      <c r="I386" s="117" t="str">
        <f t="shared" si="66"/>
        <v>no</v>
      </c>
      <c r="J386" s="117" t="str">
        <f t="shared" si="67"/>
        <v>no</v>
      </c>
      <c r="K386" s="176" t="s">
        <v>1066</v>
      </c>
      <c r="L386" s="117" t="str">
        <f t="shared" ref="L386:L449" si="69">IF(LEFT(K386,5)="Total","Total","detailed")</f>
        <v>detailed</v>
      </c>
      <c r="M386" s="117" t="str">
        <f t="shared" si="68"/>
        <v>detailed Mining</v>
      </c>
      <c r="N386" s="179">
        <v>397</v>
      </c>
      <c r="O386" s="179"/>
      <c r="P386" s="179"/>
      <c r="Q386" s="179"/>
      <c r="R386" s="179"/>
      <c r="S386" s="117" t="s">
        <v>610</v>
      </c>
      <c r="T386" s="119"/>
      <c r="U386" s="117"/>
      <c r="V386" s="117" t="s">
        <v>684</v>
      </c>
      <c r="W386" s="89"/>
      <c r="X386" s="117"/>
      <c r="Y386" s="117"/>
      <c r="Z386" s="117"/>
      <c r="AA386" s="177"/>
      <c r="AB386" s="177"/>
      <c r="AC386" s="122"/>
      <c r="AD386" s="122"/>
      <c r="AE386" s="122"/>
      <c r="AF386" s="123"/>
      <c r="AG386" s="117"/>
      <c r="AH386" s="124"/>
      <c r="AI386" s="117"/>
      <c r="AJ386" s="117"/>
      <c r="AK386" s="89"/>
      <c r="AL386" s="117"/>
      <c r="AM386" s="117"/>
      <c r="AN386" s="117"/>
      <c r="AO386" s="117"/>
      <c r="AP386" s="117"/>
      <c r="AQ386" s="117"/>
      <c r="AR386" s="126"/>
      <c r="AS386" s="117"/>
      <c r="AT386" s="117"/>
      <c r="AU386" s="117"/>
      <c r="AV386" s="128"/>
      <c r="AW386" s="117">
        <f>VLOOKUP($D386,'WB Data'!$C$3:$M$578,2,FALSE)</f>
        <v>21561941369.362782</v>
      </c>
      <c r="AX386" s="117">
        <f>VLOOKUP($D386,'WB Data'!$C$3:$M$578,3,FALSE)</f>
        <v>62191161</v>
      </c>
      <c r="AY386" s="847">
        <f t="shared" si="61"/>
        <v>4.0624297738079164E-2</v>
      </c>
      <c r="AZ386" s="117">
        <f>VLOOKUP($D386,'WB Data'!$C$3:$M$578,4,FALSE)/100</f>
        <v>0.14268142471174644</v>
      </c>
      <c r="BA386" s="117">
        <f t="shared" si="62"/>
        <v>3076488514.1318269</v>
      </c>
      <c r="BB386" s="129">
        <f>IFERROR(VLOOKUP($D386,'EITI Revenues'!$C$2:$G$224,5,FALSE),"..")</f>
        <v>875938726</v>
      </c>
      <c r="BC386" s="846">
        <f t="shared" si="63"/>
        <v>0.28472029782538827</v>
      </c>
      <c r="BD386" s="129" t="e">
        <f>VLOOKUP($D386,'WB Data 2'!$C$2:$K$545,6,FALSE)</f>
        <v>#N/A</v>
      </c>
      <c r="BE386" s="129">
        <f>IFERROR(VLOOKUP($D386,UNCTAD!$C$5:$V$529,4,FALSE),"..")</f>
        <v>8866500000</v>
      </c>
      <c r="BF386" s="846" t="str">
        <f t="shared" si="64"/>
        <v>..</v>
      </c>
      <c r="BG386" s="117">
        <f>VLOOKUP($D386,'WB Data'!$C$3:$M$578,5,FALSE)</f>
        <v>3486160000</v>
      </c>
      <c r="BH386" s="129">
        <f>IFERROR($BB386/$BG386,"..")</f>
        <v>0.25126176824930585</v>
      </c>
      <c r="BI386" s="117">
        <f>IFERROR(VLOOKUP($D386,'WB Data'!$C$3:$M$578,7,FALSE)/100,"..")</f>
        <v>2.5030700000000003E-2</v>
      </c>
      <c r="BJ386" s="117">
        <f>IFERROR($BI386*$AW386,"..")</f>
        <v>539710485.83410907</v>
      </c>
      <c r="BK386" s="846">
        <f>IFERROR($BB386/$BJ386,"..")</f>
        <v>1.6229788914444725</v>
      </c>
      <c r="BL386" s="117">
        <f>IFERROR(VLOOKUP($D386,'WB Data'!$C$3:$M$578,7,FALSE)/100,"..")</f>
        <v>2.5030700000000003E-2</v>
      </c>
      <c r="BM386" s="117">
        <f>IFERROR($AW386*$BL386,"..")</f>
        <v>539710485.83410907</v>
      </c>
      <c r="BN386" s="846">
        <f>IFERROR($BB386/$BM386,"..")</f>
        <v>1.6229788914444725</v>
      </c>
      <c r="BO386" s="801" t="str">
        <f t="shared" ref="BO386:BO449" si="70">_xlfn.IFNA(VLOOKUP($C386,CPI_2013,2,FALSE),"..")</f>
        <v>..</v>
      </c>
      <c r="BP386" s="117" t="str">
        <f>VLOOKUP($D386,'WB Data'!$C$3:$M$578,9,FALSE)</f>
        <v>..</v>
      </c>
      <c r="BQ386" s="117">
        <f>VLOOKUP($D386,'WB Data'!$C$3:$M$578,10,FALSE)</f>
        <v>48.987682926829265</v>
      </c>
      <c r="BR386" s="117">
        <f>VLOOKUP($D386,'WB Data'!$C$3:$M$578,11,FALSE)</f>
        <v>92.4</v>
      </c>
      <c r="BS386" s="129" t="str">
        <f>IFERROR(VLOOKUP($D386,'WB Data 2'!$C$2:$K$545,9,FALSE),"..")</f>
        <v>..</v>
      </c>
      <c r="BT386" s="129" t="str">
        <f>_xlfn.IFNA(VLOOKUP($C386,RGI!$A$2:$C$43,2,FALSE),"..")</f>
        <v>..</v>
      </c>
      <c r="BU386" s="129" t="str">
        <f>_xlfn.IFNA(VLOOKUP($C386,RGI!$A$2:$C$43,3,FALSE),"..")</f>
        <v>..</v>
      </c>
      <c r="BV386" s="129">
        <f>VLOOKUP($D386,WGI!$C$2:$O$478,7,FALSE)</f>
        <v>-1.4446722820503</v>
      </c>
      <c r="BW386" s="129">
        <f>VLOOKUP($D386,WGI!$C$2:$O$478,4,FALSE)</f>
        <v>-2.2271516163748899</v>
      </c>
      <c r="BX386" s="129">
        <f>VLOOKUP($D386,WGI!$C$2:$O$478,3,FALSE)</f>
        <v>-1.73494098745098</v>
      </c>
      <c r="BY386" s="129">
        <f>VLOOKUP($D386,WGI!$C$2:$O$478,5,FALSE)</f>
        <v>-1.58230061557214</v>
      </c>
      <c r="BZ386" s="129">
        <f>VLOOKUP($D386,WGI!$C$2:$O$478,2,FALSE)</f>
        <v>-1.4180767145324</v>
      </c>
      <c r="CB386" s="129"/>
    </row>
    <row r="387" spans="1:80" s="120" customFormat="1" ht="15" customHeight="1">
      <c r="A387" s="294" t="s">
        <v>179</v>
      </c>
      <c r="B387" s="117">
        <v>2010</v>
      </c>
      <c r="C387" s="132" t="s">
        <v>171</v>
      </c>
      <c r="D387" s="117" t="s">
        <v>3658</v>
      </c>
      <c r="E387" s="117" t="s">
        <v>86</v>
      </c>
      <c r="F387" s="117"/>
      <c r="G387" s="117" t="s">
        <v>24</v>
      </c>
      <c r="H387" s="117" t="str">
        <f t="shared" si="65"/>
        <v>yes</v>
      </c>
      <c r="I387" s="117" t="str">
        <f t="shared" si="66"/>
        <v>no</v>
      </c>
      <c r="J387" s="117" t="str">
        <f t="shared" si="67"/>
        <v>no</v>
      </c>
      <c r="K387" s="176" t="s">
        <v>1067</v>
      </c>
      <c r="L387" s="117" t="str">
        <f t="shared" si="69"/>
        <v>detailed</v>
      </c>
      <c r="M387" s="117" t="str">
        <f t="shared" si="68"/>
        <v>detailed Mining</v>
      </c>
      <c r="N387" s="179">
        <v>90</v>
      </c>
      <c r="O387" s="179"/>
      <c r="P387" s="179"/>
      <c r="Q387" s="179"/>
      <c r="R387" s="179"/>
      <c r="S387" s="117" t="s">
        <v>610</v>
      </c>
      <c r="T387" s="119">
        <v>37781</v>
      </c>
      <c r="U387" s="117" t="s">
        <v>611</v>
      </c>
      <c r="V387" s="117" t="s">
        <v>1091</v>
      </c>
      <c r="W387" s="89">
        <f>N387*T387</f>
        <v>3400290</v>
      </c>
      <c r="X387" s="117"/>
      <c r="Y387" s="117"/>
      <c r="Z387" s="117"/>
      <c r="AA387" s="177"/>
      <c r="AB387" s="177"/>
      <c r="AC387" s="122"/>
      <c r="AD387" s="122"/>
      <c r="AE387" s="122"/>
      <c r="AF387" s="123"/>
      <c r="AG387" s="117"/>
      <c r="AH387" s="124"/>
      <c r="AI387" s="117"/>
      <c r="AJ387" s="117"/>
      <c r="AK387" s="89"/>
      <c r="AL387" s="117"/>
      <c r="AM387" s="117"/>
      <c r="AN387" s="117"/>
      <c r="AO387" s="117"/>
      <c r="AP387" s="117"/>
      <c r="AQ387" s="117"/>
      <c r="AR387" s="126"/>
      <c r="AS387" s="117"/>
      <c r="AT387" s="117"/>
      <c r="AU387" s="117"/>
      <c r="AV387" s="128"/>
      <c r="AW387" s="117">
        <f>VLOOKUP($D387,'WB Data'!$C$3:$M$578,2,FALSE)</f>
        <v>21561941369.362782</v>
      </c>
      <c r="AX387" s="117">
        <f>VLOOKUP($D387,'WB Data'!$C$3:$M$578,3,FALSE)</f>
        <v>62191161</v>
      </c>
      <c r="AY387" s="847">
        <f t="shared" ref="AY387:AY450" si="71">IFERROR($BB387/$AW387,"..")</f>
        <v>4.0624297738079164E-2</v>
      </c>
      <c r="AZ387" s="117">
        <f>VLOOKUP($D387,'WB Data'!$C$3:$M$578,4,FALSE)/100</f>
        <v>0.14268142471174644</v>
      </c>
      <c r="BA387" s="117">
        <f t="shared" ref="BA387:BA450" si="72">IFERROR($AW387*$AZ387,"..")</f>
        <v>3076488514.1318269</v>
      </c>
      <c r="BB387" s="129">
        <f>IFERROR(VLOOKUP($D387,'EITI Revenues'!$C$2:$G$224,5,FALSE),"..")</f>
        <v>875938726</v>
      </c>
      <c r="BC387" s="846">
        <f t="shared" ref="BC387:BC450" si="73">IFERROR($BB387/$BA387,"..")</f>
        <v>0.28472029782538827</v>
      </c>
      <c r="BD387" s="129" t="e">
        <f>VLOOKUP($D387,'WB Data 2'!$C$2:$K$545,6,FALSE)</f>
        <v>#N/A</v>
      </c>
      <c r="BE387" s="129">
        <f>IFERROR(VLOOKUP($D387,UNCTAD!$C$5:$V$529,4,FALSE),"..")</f>
        <v>8866500000</v>
      </c>
      <c r="BF387" s="846" t="str">
        <f t="shared" ref="BF387:BF450" si="74">IFERROR(($BD387/$BE387),"..")</f>
        <v>..</v>
      </c>
      <c r="BG387" s="117">
        <f>VLOOKUP($D387,'WB Data'!$C$3:$M$578,5,FALSE)</f>
        <v>3486160000</v>
      </c>
      <c r="BH387" s="129">
        <f>IFERROR($BB387/$BG387,"..")</f>
        <v>0.25126176824930585</v>
      </c>
      <c r="BI387" s="117">
        <f>IFERROR(VLOOKUP($D387,'WB Data'!$C$3:$M$578,7,FALSE)/100,"..")</f>
        <v>2.5030700000000003E-2</v>
      </c>
      <c r="BJ387" s="117">
        <f>IFERROR($BI387*$AW387,"..")</f>
        <v>539710485.83410907</v>
      </c>
      <c r="BK387" s="846">
        <f>IFERROR($BB387/$BJ387,"..")</f>
        <v>1.6229788914444725</v>
      </c>
      <c r="BL387" s="117">
        <f>IFERROR(VLOOKUP($D387,'WB Data'!$C$3:$M$578,7,FALSE)/100,"..")</f>
        <v>2.5030700000000003E-2</v>
      </c>
      <c r="BM387" s="117">
        <f>IFERROR($AW387*$BL387,"..")</f>
        <v>539710485.83410907</v>
      </c>
      <c r="BN387" s="846">
        <f>IFERROR($BB387/$BM387,"..")</f>
        <v>1.6229788914444725</v>
      </c>
      <c r="BO387" s="801" t="str">
        <f t="shared" si="70"/>
        <v>..</v>
      </c>
      <c r="BP387" s="117" t="str">
        <f>VLOOKUP($D387,'WB Data'!$C$3:$M$578,9,FALSE)</f>
        <v>..</v>
      </c>
      <c r="BQ387" s="117">
        <f>VLOOKUP($D387,'WB Data'!$C$3:$M$578,10,FALSE)</f>
        <v>48.987682926829265</v>
      </c>
      <c r="BR387" s="117">
        <f>VLOOKUP($D387,'WB Data'!$C$3:$M$578,11,FALSE)</f>
        <v>92.4</v>
      </c>
      <c r="BS387" s="129" t="str">
        <f>IFERROR(VLOOKUP($D387,'WB Data 2'!$C$2:$K$545,9,FALSE),"..")</f>
        <v>..</v>
      </c>
      <c r="BT387" s="129" t="str">
        <f>_xlfn.IFNA(VLOOKUP($C387,RGI!$A$2:$C$43,2,FALSE),"..")</f>
        <v>..</v>
      </c>
      <c r="BU387" s="129" t="str">
        <f>_xlfn.IFNA(VLOOKUP($C387,RGI!$A$2:$C$43,3,FALSE),"..")</f>
        <v>..</v>
      </c>
      <c r="BV387" s="129">
        <f>VLOOKUP($D387,WGI!$C$2:$O$478,7,FALSE)</f>
        <v>-1.4446722820503</v>
      </c>
      <c r="BW387" s="129">
        <f>VLOOKUP($D387,WGI!$C$2:$O$478,4,FALSE)</f>
        <v>-2.2271516163748899</v>
      </c>
      <c r="BX387" s="129">
        <f>VLOOKUP($D387,WGI!$C$2:$O$478,3,FALSE)</f>
        <v>-1.73494098745098</v>
      </c>
      <c r="BY387" s="129">
        <f>VLOOKUP($D387,WGI!$C$2:$O$478,5,FALSE)</f>
        <v>-1.58230061557214</v>
      </c>
      <c r="BZ387" s="129">
        <f>VLOOKUP($D387,WGI!$C$2:$O$478,2,FALSE)</f>
        <v>-1.4180767145324</v>
      </c>
      <c r="CB387" s="129"/>
    </row>
    <row r="388" spans="1:80" s="120" customFormat="1" ht="15" customHeight="1">
      <c r="A388" s="294" t="s">
        <v>179</v>
      </c>
      <c r="B388" s="117">
        <v>2010</v>
      </c>
      <c r="C388" s="132" t="s">
        <v>171</v>
      </c>
      <c r="D388" s="117" t="s">
        <v>3658</v>
      </c>
      <c r="E388" s="117" t="s">
        <v>86</v>
      </c>
      <c r="F388" s="117"/>
      <c r="G388" s="117" t="s">
        <v>24</v>
      </c>
      <c r="H388" s="117" t="str">
        <f t="shared" si="65"/>
        <v>yes</v>
      </c>
      <c r="I388" s="117" t="str">
        <f t="shared" si="66"/>
        <v>no</v>
      </c>
      <c r="J388" s="117" t="str">
        <f t="shared" si="67"/>
        <v>no</v>
      </c>
      <c r="K388" s="176" t="s">
        <v>1069</v>
      </c>
      <c r="L388" s="117" t="str">
        <f t="shared" si="69"/>
        <v>detailed</v>
      </c>
      <c r="M388" s="117" t="str">
        <f t="shared" si="68"/>
        <v>detailed Mining</v>
      </c>
      <c r="N388" s="179">
        <v>110</v>
      </c>
      <c r="O388" s="179"/>
      <c r="P388" s="179"/>
      <c r="Q388" s="179"/>
      <c r="R388" s="179"/>
      <c r="S388" s="117" t="s">
        <v>610</v>
      </c>
      <c r="T388" s="119">
        <f>54/0.000453592</f>
        <v>119049.71868992399</v>
      </c>
      <c r="U388" s="117" t="s">
        <v>611</v>
      </c>
      <c r="V388" s="117" t="s">
        <v>1092</v>
      </c>
      <c r="W388" s="89">
        <f>N388*T388</f>
        <v>13095469.055891639</v>
      </c>
      <c r="X388" s="117"/>
      <c r="Y388" s="117"/>
      <c r="Z388" s="117"/>
      <c r="AA388" s="177"/>
      <c r="AB388" s="177"/>
      <c r="AC388" s="122"/>
      <c r="AD388" s="122"/>
      <c r="AE388" s="122"/>
      <c r="AF388" s="123"/>
      <c r="AG388" s="117"/>
      <c r="AH388" s="124"/>
      <c r="AI388" s="117"/>
      <c r="AJ388" s="117"/>
      <c r="AK388" s="89"/>
      <c r="AL388" s="117"/>
      <c r="AM388" s="117"/>
      <c r="AN388" s="117"/>
      <c r="AO388" s="117"/>
      <c r="AP388" s="117"/>
      <c r="AQ388" s="117"/>
      <c r="AR388" s="126"/>
      <c r="AS388" s="117"/>
      <c r="AT388" s="117"/>
      <c r="AU388" s="117"/>
      <c r="AV388" s="128"/>
      <c r="AW388" s="117">
        <f>VLOOKUP($D388,'WB Data'!$C$3:$M$578,2,FALSE)</f>
        <v>21561941369.362782</v>
      </c>
      <c r="AX388" s="117">
        <f>VLOOKUP($D388,'WB Data'!$C$3:$M$578,3,FALSE)</f>
        <v>62191161</v>
      </c>
      <c r="AY388" s="847">
        <f t="shared" si="71"/>
        <v>4.0624297738079164E-2</v>
      </c>
      <c r="AZ388" s="117">
        <f>VLOOKUP($D388,'WB Data'!$C$3:$M$578,4,FALSE)/100</f>
        <v>0.14268142471174644</v>
      </c>
      <c r="BA388" s="117">
        <f t="shared" si="72"/>
        <v>3076488514.1318269</v>
      </c>
      <c r="BB388" s="129">
        <f>IFERROR(VLOOKUP($D388,'EITI Revenues'!$C$2:$G$224,5,FALSE),"..")</f>
        <v>875938726</v>
      </c>
      <c r="BC388" s="846">
        <f t="shared" si="73"/>
        <v>0.28472029782538827</v>
      </c>
      <c r="BD388" s="129" t="e">
        <f>VLOOKUP($D388,'WB Data 2'!$C$2:$K$545,6,FALSE)</f>
        <v>#N/A</v>
      </c>
      <c r="BE388" s="129">
        <f>IFERROR(VLOOKUP($D388,UNCTAD!$C$5:$V$529,4,FALSE),"..")</f>
        <v>8866500000</v>
      </c>
      <c r="BF388" s="846" t="str">
        <f t="shared" si="74"/>
        <v>..</v>
      </c>
      <c r="BG388" s="117">
        <f>VLOOKUP($D388,'WB Data'!$C$3:$M$578,5,FALSE)</f>
        <v>3486160000</v>
      </c>
      <c r="BH388" s="129">
        <f>IFERROR($BB388/$BG388,"..")</f>
        <v>0.25126176824930585</v>
      </c>
      <c r="BI388" s="117">
        <f>IFERROR(VLOOKUP($D388,'WB Data'!$C$3:$M$578,7,FALSE)/100,"..")</f>
        <v>2.5030700000000003E-2</v>
      </c>
      <c r="BJ388" s="117">
        <f>IFERROR($BI388*$AW388,"..")</f>
        <v>539710485.83410907</v>
      </c>
      <c r="BK388" s="846">
        <f>IFERROR($BB388/$BJ388,"..")</f>
        <v>1.6229788914444725</v>
      </c>
      <c r="BL388" s="117">
        <f>IFERROR(VLOOKUP($D388,'WB Data'!$C$3:$M$578,7,FALSE)/100,"..")</f>
        <v>2.5030700000000003E-2</v>
      </c>
      <c r="BM388" s="117">
        <f>IFERROR($AW388*$BL388,"..")</f>
        <v>539710485.83410907</v>
      </c>
      <c r="BN388" s="846">
        <f>IFERROR($BB388/$BM388,"..")</f>
        <v>1.6229788914444725</v>
      </c>
      <c r="BO388" s="801" t="str">
        <f t="shared" si="70"/>
        <v>..</v>
      </c>
      <c r="BP388" s="117" t="str">
        <f>VLOOKUP($D388,'WB Data'!$C$3:$M$578,9,FALSE)</f>
        <v>..</v>
      </c>
      <c r="BQ388" s="117">
        <f>VLOOKUP($D388,'WB Data'!$C$3:$M$578,10,FALSE)</f>
        <v>48.987682926829265</v>
      </c>
      <c r="BR388" s="117">
        <f>VLOOKUP($D388,'WB Data'!$C$3:$M$578,11,FALSE)</f>
        <v>92.4</v>
      </c>
      <c r="BS388" s="129" t="str">
        <f>IFERROR(VLOOKUP($D388,'WB Data 2'!$C$2:$K$545,9,FALSE),"..")</f>
        <v>..</v>
      </c>
      <c r="BT388" s="129" t="str">
        <f>_xlfn.IFNA(VLOOKUP($C388,RGI!$A$2:$C$43,2,FALSE),"..")</f>
        <v>..</v>
      </c>
      <c r="BU388" s="129" t="str">
        <f>_xlfn.IFNA(VLOOKUP($C388,RGI!$A$2:$C$43,3,FALSE),"..")</f>
        <v>..</v>
      </c>
      <c r="BV388" s="129">
        <f>VLOOKUP($D388,WGI!$C$2:$O$478,7,FALSE)</f>
        <v>-1.4446722820503</v>
      </c>
      <c r="BW388" s="129">
        <f>VLOOKUP($D388,WGI!$C$2:$O$478,4,FALSE)</f>
        <v>-2.2271516163748899</v>
      </c>
      <c r="BX388" s="129">
        <f>VLOOKUP($D388,WGI!$C$2:$O$478,3,FALSE)</f>
        <v>-1.73494098745098</v>
      </c>
      <c r="BY388" s="129">
        <f>VLOOKUP($D388,WGI!$C$2:$O$478,5,FALSE)</f>
        <v>-1.58230061557214</v>
      </c>
      <c r="BZ388" s="129">
        <f>VLOOKUP($D388,WGI!$C$2:$O$478,2,FALSE)</f>
        <v>-1.4180767145324</v>
      </c>
      <c r="CB388" s="129"/>
    </row>
    <row r="389" spans="1:80" s="120" customFormat="1" ht="15" customHeight="1">
      <c r="A389" s="294" t="s">
        <v>179</v>
      </c>
      <c r="B389" s="117">
        <v>2010</v>
      </c>
      <c r="C389" s="132" t="s">
        <v>171</v>
      </c>
      <c r="D389" s="117" t="s">
        <v>3658</v>
      </c>
      <c r="E389" s="117" t="s">
        <v>86</v>
      </c>
      <c r="F389" s="117"/>
      <c r="G389" s="117" t="s">
        <v>24</v>
      </c>
      <c r="H389" s="117" t="str">
        <f t="shared" si="65"/>
        <v>yes</v>
      </c>
      <c r="I389" s="117" t="str">
        <f t="shared" si="66"/>
        <v>no</v>
      </c>
      <c r="J389" s="117" t="str">
        <f t="shared" si="67"/>
        <v>no</v>
      </c>
      <c r="K389" s="176" t="s">
        <v>619</v>
      </c>
      <c r="L389" s="117" t="str">
        <f t="shared" si="69"/>
        <v>detailed</v>
      </c>
      <c r="M389" s="117" t="str">
        <f t="shared" si="68"/>
        <v>detailed Mining</v>
      </c>
      <c r="N389" s="179"/>
      <c r="O389" s="179"/>
      <c r="P389" s="179"/>
      <c r="Q389" s="179"/>
      <c r="R389" s="179"/>
      <c r="S389" s="117"/>
      <c r="T389" s="180">
        <f>3.45/0.000453592</f>
        <v>7605.9542496340327</v>
      </c>
      <c r="U389" s="117" t="s">
        <v>611</v>
      </c>
      <c r="V389" s="117" t="s">
        <v>1097</v>
      </c>
      <c r="W389" s="89">
        <f>N391*T389</f>
        <v>1983321024.1803207</v>
      </c>
      <c r="X389" s="117"/>
      <c r="Y389" s="117"/>
      <c r="Z389" s="117"/>
      <c r="AA389" s="177"/>
      <c r="AB389" s="177"/>
      <c r="AC389" s="122"/>
      <c r="AD389" s="122"/>
      <c r="AE389" s="122"/>
      <c r="AF389" s="123"/>
      <c r="AG389" s="117"/>
      <c r="AH389" s="124"/>
      <c r="AI389" s="117"/>
      <c r="AJ389" s="117"/>
      <c r="AK389" s="89"/>
      <c r="AL389" s="117"/>
      <c r="AM389" s="117"/>
      <c r="AN389" s="117"/>
      <c r="AO389" s="117"/>
      <c r="AP389" s="117"/>
      <c r="AQ389" s="117"/>
      <c r="AR389" s="126"/>
      <c r="AS389" s="117"/>
      <c r="AT389" s="117"/>
      <c r="AU389" s="117"/>
      <c r="AV389" s="128"/>
      <c r="AW389" s="117">
        <f>VLOOKUP($D389,'WB Data'!$C$3:$M$578,2,FALSE)</f>
        <v>21561941369.362782</v>
      </c>
      <c r="AX389" s="117">
        <f>VLOOKUP($D389,'WB Data'!$C$3:$M$578,3,FALSE)</f>
        <v>62191161</v>
      </c>
      <c r="AY389" s="847">
        <f t="shared" si="71"/>
        <v>4.0624297738079164E-2</v>
      </c>
      <c r="AZ389" s="117">
        <f>VLOOKUP($D389,'WB Data'!$C$3:$M$578,4,FALSE)/100</f>
        <v>0.14268142471174644</v>
      </c>
      <c r="BA389" s="117">
        <f t="shared" si="72"/>
        <v>3076488514.1318269</v>
      </c>
      <c r="BB389" s="129">
        <f>IFERROR(VLOOKUP($D389,'EITI Revenues'!$C$2:$G$224,5,FALSE),"..")</f>
        <v>875938726</v>
      </c>
      <c r="BC389" s="846">
        <f t="shared" si="73"/>
        <v>0.28472029782538827</v>
      </c>
      <c r="BD389" s="129" t="e">
        <f>VLOOKUP($D389,'WB Data 2'!$C$2:$K$545,6,FALSE)</f>
        <v>#N/A</v>
      </c>
      <c r="BE389" s="129">
        <f>IFERROR(VLOOKUP($D389,UNCTAD!$C$5:$V$529,4,FALSE),"..")</f>
        <v>8866500000</v>
      </c>
      <c r="BF389" s="846" t="str">
        <f t="shared" si="74"/>
        <v>..</v>
      </c>
      <c r="BG389" s="117">
        <f>VLOOKUP($D389,'WB Data'!$C$3:$M$578,5,FALSE)</f>
        <v>3486160000</v>
      </c>
      <c r="BH389" s="129">
        <f>IFERROR($BB389/$BG389,"..")</f>
        <v>0.25126176824930585</v>
      </c>
      <c r="BI389" s="117">
        <f>IFERROR(VLOOKUP($D389,'WB Data'!$C$3:$M$578,7,FALSE)/100,"..")</f>
        <v>2.5030700000000003E-2</v>
      </c>
      <c r="BJ389" s="117">
        <f>IFERROR($BI389*$AW389,"..")</f>
        <v>539710485.83410907</v>
      </c>
      <c r="BK389" s="846">
        <f>IFERROR($BB389/$BJ389,"..")</f>
        <v>1.6229788914444725</v>
      </c>
      <c r="BL389" s="117">
        <f>IFERROR(VLOOKUP($D389,'WB Data'!$C$3:$M$578,7,FALSE)/100,"..")</f>
        <v>2.5030700000000003E-2</v>
      </c>
      <c r="BM389" s="117">
        <f>IFERROR($AW389*$BL389,"..")</f>
        <v>539710485.83410907</v>
      </c>
      <c r="BN389" s="846">
        <f>IFERROR($BB389/$BM389,"..")</f>
        <v>1.6229788914444725</v>
      </c>
      <c r="BO389" s="801" t="str">
        <f t="shared" si="70"/>
        <v>..</v>
      </c>
      <c r="BP389" s="117" t="str">
        <f>VLOOKUP($D389,'WB Data'!$C$3:$M$578,9,FALSE)</f>
        <v>..</v>
      </c>
      <c r="BQ389" s="117">
        <f>VLOOKUP($D389,'WB Data'!$C$3:$M$578,10,FALSE)</f>
        <v>48.987682926829265</v>
      </c>
      <c r="BR389" s="117">
        <f>VLOOKUP($D389,'WB Data'!$C$3:$M$578,11,FALSE)</f>
        <v>92.4</v>
      </c>
      <c r="BS389" s="129" t="str">
        <f>IFERROR(VLOOKUP($D389,'WB Data 2'!$C$2:$K$545,9,FALSE),"..")</f>
        <v>..</v>
      </c>
      <c r="BT389" s="129" t="str">
        <f>_xlfn.IFNA(VLOOKUP($C389,RGI!$A$2:$C$43,2,FALSE),"..")</f>
        <v>..</v>
      </c>
      <c r="BU389" s="129" t="str">
        <f>_xlfn.IFNA(VLOOKUP($C389,RGI!$A$2:$C$43,3,FALSE),"..")</f>
        <v>..</v>
      </c>
      <c r="BV389" s="129">
        <f>VLOOKUP($D389,WGI!$C$2:$O$478,7,FALSE)</f>
        <v>-1.4446722820503</v>
      </c>
      <c r="BW389" s="129">
        <f>VLOOKUP($D389,WGI!$C$2:$O$478,4,FALSE)</f>
        <v>-2.2271516163748899</v>
      </c>
      <c r="BX389" s="129">
        <f>VLOOKUP($D389,WGI!$C$2:$O$478,3,FALSE)</f>
        <v>-1.73494098745098</v>
      </c>
      <c r="BY389" s="129">
        <f>VLOOKUP($D389,WGI!$C$2:$O$478,5,FALSE)</f>
        <v>-1.58230061557214</v>
      </c>
      <c r="BZ389" s="129">
        <f>VLOOKUP($D389,WGI!$C$2:$O$478,2,FALSE)</f>
        <v>-1.4180767145324</v>
      </c>
      <c r="CB389" s="129"/>
    </row>
    <row r="390" spans="1:80" s="120" customFormat="1" ht="15" customHeight="1">
      <c r="A390" s="294" t="s">
        <v>179</v>
      </c>
      <c r="B390" s="117">
        <v>2010</v>
      </c>
      <c r="C390" s="132" t="s">
        <v>171</v>
      </c>
      <c r="D390" s="117" t="s">
        <v>3658</v>
      </c>
      <c r="E390" s="117" t="s">
        <v>86</v>
      </c>
      <c r="F390" s="117"/>
      <c r="G390" s="117" t="s">
        <v>24</v>
      </c>
      <c r="H390" s="117" t="str">
        <f t="shared" si="65"/>
        <v>yes</v>
      </c>
      <c r="I390" s="117" t="str">
        <f t="shared" si="66"/>
        <v>no</v>
      </c>
      <c r="J390" s="117" t="str">
        <f t="shared" si="67"/>
        <v>no</v>
      </c>
      <c r="K390" s="176" t="s">
        <v>1072</v>
      </c>
      <c r="L390" s="117" t="str">
        <f t="shared" si="69"/>
        <v>detailed</v>
      </c>
      <c r="M390" s="117" t="str">
        <f t="shared" si="68"/>
        <v>detailed Mining</v>
      </c>
      <c r="N390" s="179">
        <v>420000</v>
      </c>
      <c r="O390" s="179"/>
      <c r="P390" s="179"/>
      <c r="Q390" s="179"/>
      <c r="R390" s="179"/>
      <c r="S390" s="117" t="s">
        <v>610</v>
      </c>
      <c r="T390" s="119"/>
      <c r="U390" s="117"/>
      <c r="V390" s="117" t="s">
        <v>684</v>
      </c>
      <c r="W390" s="89"/>
      <c r="X390" s="117"/>
      <c r="Y390" s="117"/>
      <c r="Z390" s="117"/>
      <c r="AA390" s="177"/>
      <c r="AB390" s="177"/>
      <c r="AC390" s="122"/>
      <c r="AD390" s="122"/>
      <c r="AE390" s="122"/>
      <c r="AF390" s="123"/>
      <c r="AG390" s="117"/>
      <c r="AH390" s="124"/>
      <c r="AI390" s="117"/>
      <c r="AJ390" s="117"/>
      <c r="AK390" s="89"/>
      <c r="AL390" s="117"/>
      <c r="AM390" s="117"/>
      <c r="AN390" s="117"/>
      <c r="AO390" s="117"/>
      <c r="AP390" s="117"/>
      <c r="AQ390" s="117"/>
      <c r="AR390" s="126"/>
      <c r="AS390" s="117"/>
      <c r="AT390" s="117"/>
      <c r="AU390" s="117"/>
      <c r="AV390" s="128"/>
      <c r="AW390" s="117">
        <f>VLOOKUP($D390,'WB Data'!$C$3:$M$578,2,FALSE)</f>
        <v>21561941369.362782</v>
      </c>
      <c r="AX390" s="117">
        <f>VLOOKUP($D390,'WB Data'!$C$3:$M$578,3,FALSE)</f>
        <v>62191161</v>
      </c>
      <c r="AY390" s="847">
        <f t="shared" si="71"/>
        <v>4.0624297738079164E-2</v>
      </c>
      <c r="AZ390" s="117">
        <f>VLOOKUP($D390,'WB Data'!$C$3:$M$578,4,FALSE)/100</f>
        <v>0.14268142471174644</v>
      </c>
      <c r="BA390" s="117">
        <f t="shared" si="72"/>
        <v>3076488514.1318269</v>
      </c>
      <c r="BB390" s="129">
        <f>IFERROR(VLOOKUP($D390,'EITI Revenues'!$C$2:$G$224,5,FALSE),"..")</f>
        <v>875938726</v>
      </c>
      <c r="BC390" s="846">
        <f t="shared" si="73"/>
        <v>0.28472029782538827</v>
      </c>
      <c r="BD390" s="129" t="e">
        <f>VLOOKUP($D390,'WB Data 2'!$C$2:$K$545,6,FALSE)</f>
        <v>#N/A</v>
      </c>
      <c r="BE390" s="129">
        <f>IFERROR(VLOOKUP($D390,UNCTAD!$C$5:$V$529,4,FALSE),"..")</f>
        <v>8866500000</v>
      </c>
      <c r="BF390" s="846" t="str">
        <f t="shared" si="74"/>
        <v>..</v>
      </c>
      <c r="BG390" s="117">
        <f>VLOOKUP($D390,'WB Data'!$C$3:$M$578,5,FALSE)</f>
        <v>3486160000</v>
      </c>
      <c r="BH390" s="129">
        <f>IFERROR($BB390/$BG390,"..")</f>
        <v>0.25126176824930585</v>
      </c>
      <c r="BI390" s="117">
        <f>IFERROR(VLOOKUP($D390,'WB Data'!$C$3:$M$578,7,FALSE)/100,"..")</f>
        <v>2.5030700000000003E-2</v>
      </c>
      <c r="BJ390" s="117">
        <f>IFERROR($BI390*$AW390,"..")</f>
        <v>539710485.83410907</v>
      </c>
      <c r="BK390" s="846">
        <f>IFERROR($BB390/$BJ390,"..")</f>
        <v>1.6229788914444725</v>
      </c>
      <c r="BL390" s="117">
        <f>IFERROR(VLOOKUP($D390,'WB Data'!$C$3:$M$578,7,FALSE)/100,"..")</f>
        <v>2.5030700000000003E-2</v>
      </c>
      <c r="BM390" s="117">
        <f>IFERROR($AW390*$BL390,"..")</f>
        <v>539710485.83410907</v>
      </c>
      <c r="BN390" s="846">
        <f>IFERROR($BB390/$BM390,"..")</f>
        <v>1.6229788914444725</v>
      </c>
      <c r="BO390" s="801" t="str">
        <f t="shared" si="70"/>
        <v>..</v>
      </c>
      <c r="BP390" s="117" t="str">
        <f>VLOOKUP($D390,'WB Data'!$C$3:$M$578,9,FALSE)</f>
        <v>..</v>
      </c>
      <c r="BQ390" s="117">
        <f>VLOOKUP($D390,'WB Data'!$C$3:$M$578,10,FALSE)</f>
        <v>48.987682926829265</v>
      </c>
      <c r="BR390" s="117">
        <f>VLOOKUP($D390,'WB Data'!$C$3:$M$578,11,FALSE)</f>
        <v>92.4</v>
      </c>
      <c r="BS390" s="129" t="str">
        <f>IFERROR(VLOOKUP($D390,'WB Data 2'!$C$2:$K$545,9,FALSE),"..")</f>
        <v>..</v>
      </c>
      <c r="BT390" s="129" t="str">
        <f>_xlfn.IFNA(VLOOKUP($C390,RGI!$A$2:$C$43,2,FALSE),"..")</f>
        <v>..</v>
      </c>
      <c r="BU390" s="129" t="str">
        <f>_xlfn.IFNA(VLOOKUP($C390,RGI!$A$2:$C$43,3,FALSE),"..")</f>
        <v>..</v>
      </c>
      <c r="BV390" s="129">
        <f>VLOOKUP($D390,WGI!$C$2:$O$478,7,FALSE)</f>
        <v>-1.4446722820503</v>
      </c>
      <c r="BW390" s="129">
        <f>VLOOKUP($D390,WGI!$C$2:$O$478,4,FALSE)</f>
        <v>-2.2271516163748899</v>
      </c>
      <c r="BX390" s="129">
        <f>VLOOKUP($D390,WGI!$C$2:$O$478,3,FALSE)</f>
        <v>-1.73494098745098</v>
      </c>
      <c r="BY390" s="129">
        <f>VLOOKUP($D390,WGI!$C$2:$O$478,5,FALSE)</f>
        <v>-1.58230061557214</v>
      </c>
      <c r="BZ390" s="129">
        <f>VLOOKUP($D390,WGI!$C$2:$O$478,2,FALSE)</f>
        <v>-1.4180767145324</v>
      </c>
      <c r="CB390" s="129"/>
    </row>
    <row r="391" spans="1:80" s="120" customFormat="1" ht="15" customHeight="1">
      <c r="A391" s="294" t="s">
        <v>179</v>
      </c>
      <c r="B391" s="117">
        <v>2010</v>
      </c>
      <c r="C391" s="132" t="s">
        <v>171</v>
      </c>
      <c r="D391" s="117" t="s">
        <v>3658</v>
      </c>
      <c r="E391" s="117" t="s">
        <v>86</v>
      </c>
      <c r="F391" s="117"/>
      <c r="G391" s="117" t="s">
        <v>24</v>
      </c>
      <c r="H391" s="117" t="str">
        <f t="shared" si="65"/>
        <v>yes</v>
      </c>
      <c r="I391" s="117" t="str">
        <f t="shared" si="66"/>
        <v>no</v>
      </c>
      <c r="J391" s="117" t="str">
        <f t="shared" si="67"/>
        <v>no</v>
      </c>
      <c r="K391" s="176" t="s">
        <v>1073</v>
      </c>
      <c r="L391" s="117" t="str">
        <f t="shared" si="69"/>
        <v>detailed</v>
      </c>
      <c r="M391" s="117" t="str">
        <f t="shared" si="68"/>
        <v>detailed Mining</v>
      </c>
      <c r="N391" s="179">
        <v>260759</v>
      </c>
      <c r="O391" s="179"/>
      <c r="P391" s="179"/>
      <c r="Q391" s="179"/>
      <c r="R391" s="179"/>
      <c r="S391" s="117" t="s">
        <v>610</v>
      </c>
      <c r="T391" s="119"/>
      <c r="U391" s="117"/>
      <c r="V391" s="117" t="s">
        <v>684</v>
      </c>
      <c r="W391" s="89"/>
      <c r="X391" s="117"/>
      <c r="Y391" s="117"/>
      <c r="Z391" s="117"/>
      <c r="AA391" s="177"/>
      <c r="AB391" s="177"/>
      <c r="AC391" s="122"/>
      <c r="AD391" s="122"/>
      <c r="AE391" s="122"/>
      <c r="AF391" s="123"/>
      <c r="AG391" s="117"/>
      <c r="AH391" s="124"/>
      <c r="AI391" s="117"/>
      <c r="AJ391" s="117"/>
      <c r="AK391" s="89"/>
      <c r="AL391" s="117"/>
      <c r="AM391" s="117"/>
      <c r="AN391" s="117"/>
      <c r="AO391" s="117"/>
      <c r="AP391" s="117"/>
      <c r="AQ391" s="117"/>
      <c r="AR391" s="126"/>
      <c r="AS391" s="117"/>
      <c r="AT391" s="117"/>
      <c r="AU391" s="117"/>
      <c r="AV391" s="128"/>
      <c r="AW391" s="117">
        <f>VLOOKUP($D391,'WB Data'!$C$3:$M$578,2,FALSE)</f>
        <v>21561941369.362782</v>
      </c>
      <c r="AX391" s="117">
        <f>VLOOKUP($D391,'WB Data'!$C$3:$M$578,3,FALSE)</f>
        <v>62191161</v>
      </c>
      <c r="AY391" s="847">
        <f t="shared" si="71"/>
        <v>4.0624297738079164E-2</v>
      </c>
      <c r="AZ391" s="117">
        <f>VLOOKUP($D391,'WB Data'!$C$3:$M$578,4,FALSE)/100</f>
        <v>0.14268142471174644</v>
      </c>
      <c r="BA391" s="117">
        <f t="shared" si="72"/>
        <v>3076488514.1318269</v>
      </c>
      <c r="BB391" s="129">
        <f>IFERROR(VLOOKUP($D391,'EITI Revenues'!$C$2:$G$224,5,FALSE),"..")</f>
        <v>875938726</v>
      </c>
      <c r="BC391" s="846">
        <f t="shared" si="73"/>
        <v>0.28472029782538827</v>
      </c>
      <c r="BD391" s="129" t="e">
        <f>VLOOKUP($D391,'WB Data 2'!$C$2:$K$545,6,FALSE)</f>
        <v>#N/A</v>
      </c>
      <c r="BE391" s="129">
        <f>IFERROR(VLOOKUP($D391,UNCTAD!$C$5:$V$529,4,FALSE),"..")</f>
        <v>8866500000</v>
      </c>
      <c r="BF391" s="846" t="str">
        <f t="shared" si="74"/>
        <v>..</v>
      </c>
      <c r="BG391" s="117">
        <f>VLOOKUP($D391,'WB Data'!$C$3:$M$578,5,FALSE)</f>
        <v>3486160000</v>
      </c>
      <c r="BH391" s="129">
        <f>IFERROR($BB391/$BG391,"..")</f>
        <v>0.25126176824930585</v>
      </c>
      <c r="BI391" s="117">
        <f>IFERROR(VLOOKUP($D391,'WB Data'!$C$3:$M$578,7,FALSE)/100,"..")</f>
        <v>2.5030700000000003E-2</v>
      </c>
      <c r="BJ391" s="117">
        <f>IFERROR($BI391*$AW391,"..")</f>
        <v>539710485.83410907</v>
      </c>
      <c r="BK391" s="846">
        <f>IFERROR($BB391/$BJ391,"..")</f>
        <v>1.6229788914444725</v>
      </c>
      <c r="BL391" s="117">
        <f>IFERROR(VLOOKUP($D391,'WB Data'!$C$3:$M$578,7,FALSE)/100,"..")</f>
        <v>2.5030700000000003E-2</v>
      </c>
      <c r="BM391" s="117">
        <f>IFERROR($AW391*$BL391,"..")</f>
        <v>539710485.83410907</v>
      </c>
      <c r="BN391" s="846">
        <f>IFERROR($BB391/$BM391,"..")</f>
        <v>1.6229788914444725</v>
      </c>
      <c r="BO391" s="801" t="str">
        <f t="shared" si="70"/>
        <v>..</v>
      </c>
      <c r="BP391" s="117" t="str">
        <f>VLOOKUP($D391,'WB Data'!$C$3:$M$578,9,FALSE)</f>
        <v>..</v>
      </c>
      <c r="BQ391" s="117">
        <f>VLOOKUP($D391,'WB Data'!$C$3:$M$578,10,FALSE)</f>
        <v>48.987682926829265</v>
      </c>
      <c r="BR391" s="117">
        <f>VLOOKUP($D391,'WB Data'!$C$3:$M$578,11,FALSE)</f>
        <v>92.4</v>
      </c>
      <c r="BS391" s="129" t="str">
        <f>IFERROR(VLOOKUP($D391,'WB Data 2'!$C$2:$K$545,9,FALSE),"..")</f>
        <v>..</v>
      </c>
      <c r="BT391" s="129" t="str">
        <f>_xlfn.IFNA(VLOOKUP($C391,RGI!$A$2:$C$43,2,FALSE),"..")</f>
        <v>..</v>
      </c>
      <c r="BU391" s="129" t="str">
        <f>_xlfn.IFNA(VLOOKUP($C391,RGI!$A$2:$C$43,3,FALSE),"..")</f>
        <v>..</v>
      </c>
      <c r="BV391" s="129">
        <f>VLOOKUP($D391,WGI!$C$2:$O$478,7,FALSE)</f>
        <v>-1.4446722820503</v>
      </c>
      <c r="BW391" s="129">
        <f>VLOOKUP($D391,WGI!$C$2:$O$478,4,FALSE)</f>
        <v>-2.2271516163748899</v>
      </c>
      <c r="BX391" s="129">
        <f>VLOOKUP($D391,WGI!$C$2:$O$478,3,FALSE)</f>
        <v>-1.73494098745098</v>
      </c>
      <c r="BY391" s="129">
        <f>VLOOKUP($D391,WGI!$C$2:$O$478,5,FALSE)</f>
        <v>-1.58230061557214</v>
      </c>
      <c r="BZ391" s="129">
        <f>VLOOKUP($D391,WGI!$C$2:$O$478,2,FALSE)</f>
        <v>-1.4180767145324</v>
      </c>
      <c r="CB391" s="129"/>
    </row>
    <row r="392" spans="1:80" s="120" customFormat="1" ht="15" customHeight="1">
      <c r="A392" s="294" t="s">
        <v>179</v>
      </c>
      <c r="B392" s="117">
        <v>2010</v>
      </c>
      <c r="C392" s="132" t="s">
        <v>171</v>
      </c>
      <c r="D392" s="117" t="s">
        <v>3658</v>
      </c>
      <c r="E392" s="117" t="s">
        <v>86</v>
      </c>
      <c r="F392" s="117"/>
      <c r="G392" s="117" t="s">
        <v>24</v>
      </c>
      <c r="H392" s="117" t="str">
        <f t="shared" si="65"/>
        <v>yes</v>
      </c>
      <c r="I392" s="117" t="str">
        <f t="shared" si="66"/>
        <v>no</v>
      </c>
      <c r="J392" s="117" t="str">
        <f t="shared" si="67"/>
        <v>no</v>
      </c>
      <c r="K392" s="176" t="s">
        <v>980</v>
      </c>
      <c r="L392" s="117" t="str">
        <f t="shared" si="69"/>
        <v>detailed</v>
      </c>
      <c r="M392" s="117" t="str">
        <f t="shared" si="68"/>
        <v>detailed Mining</v>
      </c>
      <c r="N392" s="179">
        <v>16800000</v>
      </c>
      <c r="O392" s="179"/>
      <c r="P392" s="179"/>
      <c r="Q392" s="179"/>
      <c r="R392" s="179"/>
      <c r="S392" s="117" t="s">
        <v>981</v>
      </c>
      <c r="T392" s="119">
        <v>8.64</v>
      </c>
      <c r="U392" s="117" t="s">
        <v>982</v>
      </c>
      <c r="V392" s="117" t="s">
        <v>995</v>
      </c>
      <c r="W392" s="89">
        <f>N392*T392</f>
        <v>145152000</v>
      </c>
      <c r="X392" s="117"/>
      <c r="Y392" s="117"/>
      <c r="Z392" s="117"/>
      <c r="AA392" s="177"/>
      <c r="AB392" s="177"/>
      <c r="AC392" s="122"/>
      <c r="AD392" s="122"/>
      <c r="AE392" s="122"/>
      <c r="AF392" s="123"/>
      <c r="AG392" s="117"/>
      <c r="AH392" s="124"/>
      <c r="AI392" s="117"/>
      <c r="AJ392" s="117"/>
      <c r="AK392" s="89"/>
      <c r="AL392" s="117"/>
      <c r="AM392" s="117"/>
      <c r="AN392" s="117"/>
      <c r="AO392" s="117"/>
      <c r="AP392" s="117"/>
      <c r="AQ392" s="117"/>
      <c r="AR392" s="126"/>
      <c r="AS392" s="117"/>
      <c r="AT392" s="117"/>
      <c r="AU392" s="117"/>
      <c r="AV392" s="128"/>
      <c r="AW392" s="117">
        <f>VLOOKUP($D392,'WB Data'!$C$3:$M$578,2,FALSE)</f>
        <v>21561941369.362782</v>
      </c>
      <c r="AX392" s="117">
        <f>VLOOKUP($D392,'WB Data'!$C$3:$M$578,3,FALSE)</f>
        <v>62191161</v>
      </c>
      <c r="AY392" s="847">
        <f t="shared" si="71"/>
        <v>4.0624297738079164E-2</v>
      </c>
      <c r="AZ392" s="117">
        <f>VLOOKUP($D392,'WB Data'!$C$3:$M$578,4,FALSE)/100</f>
        <v>0.14268142471174644</v>
      </c>
      <c r="BA392" s="117">
        <f t="shared" si="72"/>
        <v>3076488514.1318269</v>
      </c>
      <c r="BB392" s="129">
        <f>IFERROR(VLOOKUP($D392,'EITI Revenues'!$C$2:$G$224,5,FALSE),"..")</f>
        <v>875938726</v>
      </c>
      <c r="BC392" s="846">
        <f t="shared" si="73"/>
        <v>0.28472029782538827</v>
      </c>
      <c r="BD392" s="129" t="e">
        <f>VLOOKUP($D392,'WB Data 2'!$C$2:$K$545,6,FALSE)</f>
        <v>#N/A</v>
      </c>
      <c r="BE392" s="129">
        <f>IFERROR(VLOOKUP($D392,UNCTAD!$C$5:$V$529,4,FALSE),"..")</f>
        <v>8866500000</v>
      </c>
      <c r="BF392" s="846" t="str">
        <f t="shared" si="74"/>
        <v>..</v>
      </c>
      <c r="BG392" s="117">
        <f>VLOOKUP($D392,'WB Data'!$C$3:$M$578,5,FALSE)</f>
        <v>3486160000</v>
      </c>
      <c r="BH392" s="129">
        <f>IFERROR($BB392/$BG392,"..")</f>
        <v>0.25126176824930585</v>
      </c>
      <c r="BI392" s="117">
        <f>IFERROR(VLOOKUP($D392,'WB Data'!$C$3:$M$578,7,FALSE)/100,"..")</f>
        <v>2.5030700000000003E-2</v>
      </c>
      <c r="BJ392" s="117">
        <f>IFERROR($BI392*$AW392,"..")</f>
        <v>539710485.83410907</v>
      </c>
      <c r="BK392" s="846">
        <f>IFERROR($BB392/$BJ392,"..")</f>
        <v>1.6229788914444725</v>
      </c>
      <c r="BL392" s="117">
        <f>IFERROR(VLOOKUP($D392,'WB Data'!$C$3:$M$578,7,FALSE)/100,"..")</f>
        <v>2.5030700000000003E-2</v>
      </c>
      <c r="BM392" s="117">
        <f>IFERROR($AW392*$BL392,"..")</f>
        <v>539710485.83410907</v>
      </c>
      <c r="BN392" s="846">
        <f>IFERROR($BB392/$BM392,"..")</f>
        <v>1.6229788914444725</v>
      </c>
      <c r="BO392" s="801" t="str">
        <f t="shared" si="70"/>
        <v>..</v>
      </c>
      <c r="BP392" s="117" t="str">
        <f>VLOOKUP($D392,'WB Data'!$C$3:$M$578,9,FALSE)</f>
        <v>..</v>
      </c>
      <c r="BQ392" s="117">
        <f>VLOOKUP($D392,'WB Data'!$C$3:$M$578,10,FALSE)</f>
        <v>48.987682926829265</v>
      </c>
      <c r="BR392" s="117">
        <f>VLOOKUP($D392,'WB Data'!$C$3:$M$578,11,FALSE)</f>
        <v>92.4</v>
      </c>
      <c r="BS392" s="129" t="str">
        <f>IFERROR(VLOOKUP($D392,'WB Data 2'!$C$2:$K$545,9,FALSE),"..")</f>
        <v>..</v>
      </c>
      <c r="BT392" s="129" t="str">
        <f>_xlfn.IFNA(VLOOKUP($C392,RGI!$A$2:$C$43,2,FALSE),"..")</f>
        <v>..</v>
      </c>
      <c r="BU392" s="129" t="str">
        <f>_xlfn.IFNA(VLOOKUP($C392,RGI!$A$2:$C$43,3,FALSE),"..")</f>
        <v>..</v>
      </c>
      <c r="BV392" s="129">
        <f>VLOOKUP($D392,WGI!$C$2:$O$478,7,FALSE)</f>
        <v>-1.4446722820503</v>
      </c>
      <c r="BW392" s="129">
        <f>VLOOKUP($D392,WGI!$C$2:$O$478,4,FALSE)</f>
        <v>-2.2271516163748899</v>
      </c>
      <c r="BX392" s="129">
        <f>VLOOKUP($D392,WGI!$C$2:$O$478,3,FALSE)</f>
        <v>-1.73494098745098</v>
      </c>
      <c r="BY392" s="129">
        <f>VLOOKUP($D392,WGI!$C$2:$O$478,5,FALSE)</f>
        <v>-1.58230061557214</v>
      </c>
      <c r="BZ392" s="129">
        <f>VLOOKUP($D392,WGI!$C$2:$O$478,2,FALSE)</f>
        <v>-1.4180767145324</v>
      </c>
      <c r="CB392" s="129"/>
    </row>
    <row r="393" spans="1:80" s="120" customFormat="1" ht="15" customHeight="1">
      <c r="A393" s="294" t="s">
        <v>179</v>
      </c>
      <c r="B393" s="117">
        <v>2010</v>
      </c>
      <c r="C393" s="132" t="s">
        <v>171</v>
      </c>
      <c r="D393" s="117" t="s">
        <v>3658</v>
      </c>
      <c r="E393" s="117" t="s">
        <v>86</v>
      </c>
      <c r="F393" s="117"/>
      <c r="G393" s="117" t="s">
        <v>24</v>
      </c>
      <c r="H393" s="117" t="str">
        <f t="shared" si="65"/>
        <v>yes</v>
      </c>
      <c r="I393" s="117" t="str">
        <f t="shared" si="66"/>
        <v>no</v>
      </c>
      <c r="J393" s="117" t="str">
        <f t="shared" si="67"/>
        <v>no</v>
      </c>
      <c r="K393" s="176" t="s">
        <v>784</v>
      </c>
      <c r="L393" s="117" t="str">
        <f t="shared" si="69"/>
        <v>detailed</v>
      </c>
      <c r="M393" s="117" t="str">
        <f t="shared" si="68"/>
        <v>detailed Mining</v>
      </c>
      <c r="N393" s="179">
        <f>12000*32.150743126506</f>
        <v>385808.917518072</v>
      </c>
      <c r="O393" s="179"/>
      <c r="P393" s="179"/>
      <c r="Q393" s="179"/>
      <c r="R393" s="179"/>
      <c r="S393" s="117" t="s">
        <v>785</v>
      </c>
      <c r="T393" s="119">
        <v>1224.66425</v>
      </c>
      <c r="U393" s="117" t="s">
        <v>786</v>
      </c>
      <c r="V393" s="117" t="s">
        <v>787</v>
      </c>
      <c r="W393" s="89">
        <f>N393*T393</f>
        <v>472486388.61558151</v>
      </c>
      <c r="X393" s="117"/>
      <c r="Y393" s="117"/>
      <c r="Z393" s="117"/>
      <c r="AA393" s="177"/>
      <c r="AB393" s="177"/>
      <c r="AC393" s="122"/>
      <c r="AD393" s="122"/>
      <c r="AE393" s="122"/>
      <c r="AF393" s="123"/>
      <c r="AG393" s="117"/>
      <c r="AH393" s="124"/>
      <c r="AI393" s="117"/>
      <c r="AJ393" s="117"/>
      <c r="AK393" s="89"/>
      <c r="AL393" s="117"/>
      <c r="AM393" s="117"/>
      <c r="AN393" s="117"/>
      <c r="AO393" s="117"/>
      <c r="AP393" s="117"/>
      <c r="AQ393" s="117"/>
      <c r="AR393" s="126"/>
      <c r="AS393" s="117"/>
      <c r="AT393" s="117"/>
      <c r="AU393" s="117"/>
      <c r="AV393" s="128"/>
      <c r="AW393" s="117">
        <f>VLOOKUP($D393,'WB Data'!$C$3:$M$578,2,FALSE)</f>
        <v>21561941369.362782</v>
      </c>
      <c r="AX393" s="117">
        <f>VLOOKUP($D393,'WB Data'!$C$3:$M$578,3,FALSE)</f>
        <v>62191161</v>
      </c>
      <c r="AY393" s="847">
        <f t="shared" si="71"/>
        <v>4.0624297738079164E-2</v>
      </c>
      <c r="AZ393" s="117">
        <f>VLOOKUP($D393,'WB Data'!$C$3:$M$578,4,FALSE)/100</f>
        <v>0.14268142471174644</v>
      </c>
      <c r="BA393" s="117">
        <f t="shared" si="72"/>
        <v>3076488514.1318269</v>
      </c>
      <c r="BB393" s="129">
        <f>IFERROR(VLOOKUP($D393,'EITI Revenues'!$C$2:$G$224,5,FALSE),"..")</f>
        <v>875938726</v>
      </c>
      <c r="BC393" s="846">
        <f t="shared" si="73"/>
        <v>0.28472029782538827</v>
      </c>
      <c r="BD393" s="129" t="e">
        <f>VLOOKUP($D393,'WB Data 2'!$C$2:$K$545,6,FALSE)</f>
        <v>#N/A</v>
      </c>
      <c r="BE393" s="129">
        <f>IFERROR(VLOOKUP($D393,UNCTAD!$C$5:$V$529,4,FALSE),"..")</f>
        <v>8866500000</v>
      </c>
      <c r="BF393" s="846" t="str">
        <f t="shared" si="74"/>
        <v>..</v>
      </c>
      <c r="BG393" s="117">
        <f>VLOOKUP($D393,'WB Data'!$C$3:$M$578,5,FALSE)</f>
        <v>3486160000</v>
      </c>
      <c r="BH393" s="129">
        <f>IFERROR($BB393/$BG393,"..")</f>
        <v>0.25126176824930585</v>
      </c>
      <c r="BI393" s="117">
        <f>IFERROR(VLOOKUP($D393,'WB Data'!$C$3:$M$578,7,FALSE)/100,"..")</f>
        <v>2.5030700000000003E-2</v>
      </c>
      <c r="BJ393" s="117">
        <f>IFERROR($BI393*$AW393,"..")</f>
        <v>539710485.83410907</v>
      </c>
      <c r="BK393" s="846">
        <f>IFERROR($BB393/$BJ393,"..")</f>
        <v>1.6229788914444725</v>
      </c>
      <c r="BL393" s="117">
        <f>IFERROR(VLOOKUP($D393,'WB Data'!$C$3:$M$578,7,FALSE)/100,"..")</f>
        <v>2.5030700000000003E-2</v>
      </c>
      <c r="BM393" s="117">
        <f>IFERROR($AW393*$BL393,"..")</f>
        <v>539710485.83410907</v>
      </c>
      <c r="BN393" s="846">
        <f>IFERROR($BB393/$BM393,"..")</f>
        <v>1.6229788914444725</v>
      </c>
      <c r="BO393" s="801" t="str">
        <f t="shared" si="70"/>
        <v>..</v>
      </c>
      <c r="BP393" s="117" t="str">
        <f>VLOOKUP($D393,'WB Data'!$C$3:$M$578,9,FALSE)</f>
        <v>..</v>
      </c>
      <c r="BQ393" s="117">
        <f>VLOOKUP($D393,'WB Data'!$C$3:$M$578,10,FALSE)</f>
        <v>48.987682926829265</v>
      </c>
      <c r="BR393" s="117">
        <f>VLOOKUP($D393,'WB Data'!$C$3:$M$578,11,FALSE)</f>
        <v>92.4</v>
      </c>
      <c r="BS393" s="129" t="str">
        <f>IFERROR(VLOOKUP($D393,'WB Data 2'!$C$2:$K$545,9,FALSE),"..")</f>
        <v>..</v>
      </c>
      <c r="BT393" s="129" t="str">
        <f>_xlfn.IFNA(VLOOKUP($C393,RGI!$A$2:$C$43,2,FALSE),"..")</f>
        <v>..</v>
      </c>
      <c r="BU393" s="129" t="str">
        <f>_xlfn.IFNA(VLOOKUP($C393,RGI!$A$2:$C$43,3,FALSE),"..")</f>
        <v>..</v>
      </c>
      <c r="BV393" s="129">
        <f>VLOOKUP($D393,WGI!$C$2:$O$478,7,FALSE)</f>
        <v>-1.4446722820503</v>
      </c>
      <c r="BW393" s="129">
        <f>VLOOKUP($D393,WGI!$C$2:$O$478,4,FALSE)</f>
        <v>-2.2271516163748899</v>
      </c>
      <c r="BX393" s="129">
        <f>VLOOKUP($D393,WGI!$C$2:$O$478,3,FALSE)</f>
        <v>-1.73494098745098</v>
      </c>
      <c r="BY393" s="129">
        <f>VLOOKUP($D393,WGI!$C$2:$O$478,5,FALSE)</f>
        <v>-1.58230061557214</v>
      </c>
      <c r="BZ393" s="129">
        <f>VLOOKUP($D393,WGI!$C$2:$O$478,2,FALSE)</f>
        <v>-1.4180767145324</v>
      </c>
      <c r="CB393" s="129"/>
    </row>
    <row r="394" spans="1:80" s="120" customFormat="1" ht="15" customHeight="1">
      <c r="A394" s="294" t="s">
        <v>179</v>
      </c>
      <c r="B394" s="117">
        <v>2010</v>
      </c>
      <c r="C394" s="132" t="s">
        <v>171</v>
      </c>
      <c r="D394" s="117" t="s">
        <v>3658</v>
      </c>
      <c r="E394" s="117" t="s">
        <v>86</v>
      </c>
      <c r="F394" s="117"/>
      <c r="G394" s="117" t="s">
        <v>24</v>
      </c>
      <c r="H394" s="117" t="str">
        <f t="shared" si="65"/>
        <v>yes</v>
      </c>
      <c r="I394" s="117" t="str">
        <f t="shared" si="66"/>
        <v>no</v>
      </c>
      <c r="J394" s="117" t="str">
        <f t="shared" si="67"/>
        <v>no</v>
      </c>
      <c r="K394" s="176" t="s">
        <v>1075</v>
      </c>
      <c r="L394" s="117" t="str">
        <f t="shared" si="69"/>
        <v>detailed</v>
      </c>
      <c r="M394" s="117" t="str">
        <f t="shared" si="68"/>
        <v>detailed Mining</v>
      </c>
      <c r="N394" s="179"/>
      <c r="O394" s="179"/>
      <c r="P394" s="179"/>
      <c r="Q394" s="179"/>
      <c r="R394" s="179"/>
      <c r="S394" s="117"/>
      <c r="T394" s="180">
        <f>20405.62325</f>
        <v>20405.623250000001</v>
      </c>
      <c r="U394" s="117" t="s">
        <v>611</v>
      </c>
      <c r="V394" s="117" t="s">
        <v>1076</v>
      </c>
      <c r="W394" s="89">
        <f>N396*T394</f>
        <v>175488359.95000002</v>
      </c>
      <c r="X394" s="117"/>
      <c r="Y394" s="117"/>
      <c r="Z394" s="117"/>
      <c r="AA394" s="177"/>
      <c r="AB394" s="177"/>
      <c r="AC394" s="122"/>
      <c r="AD394" s="122"/>
      <c r="AE394" s="122"/>
      <c r="AF394" s="123"/>
      <c r="AG394" s="117"/>
      <c r="AH394" s="124"/>
      <c r="AI394" s="117"/>
      <c r="AJ394" s="117"/>
      <c r="AK394" s="89"/>
      <c r="AL394" s="117"/>
      <c r="AM394" s="117"/>
      <c r="AN394" s="117"/>
      <c r="AO394" s="117"/>
      <c r="AP394" s="117"/>
      <c r="AQ394" s="117"/>
      <c r="AR394" s="126"/>
      <c r="AS394" s="117"/>
      <c r="AT394" s="117"/>
      <c r="AU394" s="117"/>
      <c r="AV394" s="128"/>
      <c r="AW394" s="117">
        <f>VLOOKUP($D394,'WB Data'!$C$3:$M$578,2,FALSE)</f>
        <v>21561941369.362782</v>
      </c>
      <c r="AX394" s="117">
        <f>VLOOKUP($D394,'WB Data'!$C$3:$M$578,3,FALSE)</f>
        <v>62191161</v>
      </c>
      <c r="AY394" s="847">
        <f t="shared" si="71"/>
        <v>4.0624297738079164E-2</v>
      </c>
      <c r="AZ394" s="117">
        <f>VLOOKUP($D394,'WB Data'!$C$3:$M$578,4,FALSE)/100</f>
        <v>0.14268142471174644</v>
      </c>
      <c r="BA394" s="117">
        <f t="shared" si="72"/>
        <v>3076488514.1318269</v>
      </c>
      <c r="BB394" s="129">
        <f>IFERROR(VLOOKUP($D394,'EITI Revenues'!$C$2:$G$224,5,FALSE),"..")</f>
        <v>875938726</v>
      </c>
      <c r="BC394" s="846">
        <f t="shared" si="73"/>
        <v>0.28472029782538827</v>
      </c>
      <c r="BD394" s="129" t="e">
        <f>VLOOKUP($D394,'WB Data 2'!$C$2:$K$545,6,FALSE)</f>
        <v>#N/A</v>
      </c>
      <c r="BE394" s="129">
        <f>IFERROR(VLOOKUP($D394,UNCTAD!$C$5:$V$529,4,FALSE),"..")</f>
        <v>8866500000</v>
      </c>
      <c r="BF394" s="846" t="str">
        <f t="shared" si="74"/>
        <v>..</v>
      </c>
      <c r="BG394" s="117">
        <f>VLOOKUP($D394,'WB Data'!$C$3:$M$578,5,FALSE)</f>
        <v>3486160000</v>
      </c>
      <c r="BH394" s="129">
        <f>IFERROR($BB394/$BG394,"..")</f>
        <v>0.25126176824930585</v>
      </c>
      <c r="BI394" s="117">
        <f>IFERROR(VLOOKUP($D394,'WB Data'!$C$3:$M$578,7,FALSE)/100,"..")</f>
        <v>2.5030700000000003E-2</v>
      </c>
      <c r="BJ394" s="117">
        <f>IFERROR($BI394*$AW394,"..")</f>
        <v>539710485.83410907</v>
      </c>
      <c r="BK394" s="846">
        <f>IFERROR($BB394/$BJ394,"..")</f>
        <v>1.6229788914444725</v>
      </c>
      <c r="BL394" s="117">
        <f>IFERROR(VLOOKUP($D394,'WB Data'!$C$3:$M$578,7,FALSE)/100,"..")</f>
        <v>2.5030700000000003E-2</v>
      </c>
      <c r="BM394" s="117">
        <f>IFERROR($AW394*$BL394,"..")</f>
        <v>539710485.83410907</v>
      </c>
      <c r="BN394" s="846">
        <f>IFERROR($BB394/$BM394,"..")</f>
        <v>1.6229788914444725</v>
      </c>
      <c r="BO394" s="801" t="str">
        <f t="shared" si="70"/>
        <v>..</v>
      </c>
      <c r="BP394" s="117" t="str">
        <f>VLOOKUP($D394,'WB Data'!$C$3:$M$578,9,FALSE)</f>
        <v>..</v>
      </c>
      <c r="BQ394" s="117">
        <f>VLOOKUP($D394,'WB Data'!$C$3:$M$578,10,FALSE)</f>
        <v>48.987682926829265</v>
      </c>
      <c r="BR394" s="117">
        <f>VLOOKUP($D394,'WB Data'!$C$3:$M$578,11,FALSE)</f>
        <v>92.4</v>
      </c>
      <c r="BS394" s="129" t="str">
        <f>IFERROR(VLOOKUP($D394,'WB Data 2'!$C$2:$K$545,9,FALSE),"..")</f>
        <v>..</v>
      </c>
      <c r="BT394" s="129" t="str">
        <f>_xlfn.IFNA(VLOOKUP($C394,RGI!$A$2:$C$43,2,FALSE),"..")</f>
        <v>..</v>
      </c>
      <c r="BU394" s="129" t="str">
        <f>_xlfn.IFNA(VLOOKUP($C394,RGI!$A$2:$C$43,3,FALSE),"..")</f>
        <v>..</v>
      </c>
      <c r="BV394" s="129">
        <f>VLOOKUP($D394,WGI!$C$2:$O$478,7,FALSE)</f>
        <v>-1.4446722820503</v>
      </c>
      <c r="BW394" s="129">
        <f>VLOOKUP($D394,WGI!$C$2:$O$478,4,FALSE)</f>
        <v>-2.2271516163748899</v>
      </c>
      <c r="BX394" s="129">
        <f>VLOOKUP($D394,WGI!$C$2:$O$478,3,FALSE)</f>
        <v>-1.73494098745098</v>
      </c>
      <c r="BY394" s="129">
        <f>VLOOKUP($D394,WGI!$C$2:$O$478,5,FALSE)</f>
        <v>-1.58230061557214</v>
      </c>
      <c r="BZ394" s="129">
        <f>VLOOKUP($D394,WGI!$C$2:$O$478,2,FALSE)</f>
        <v>-1.4180767145324</v>
      </c>
      <c r="CB394" s="129"/>
    </row>
    <row r="395" spans="1:80" s="120" customFormat="1" ht="15" customHeight="1">
      <c r="A395" s="294" t="s">
        <v>179</v>
      </c>
      <c r="B395" s="117">
        <v>2010</v>
      </c>
      <c r="C395" s="132" t="s">
        <v>171</v>
      </c>
      <c r="D395" s="117" t="s">
        <v>3658</v>
      </c>
      <c r="E395" s="117" t="s">
        <v>86</v>
      </c>
      <c r="F395" s="117"/>
      <c r="G395" s="117" t="s">
        <v>24</v>
      </c>
      <c r="H395" s="117" t="str">
        <f t="shared" si="65"/>
        <v>yes</v>
      </c>
      <c r="I395" s="117" t="str">
        <f t="shared" si="66"/>
        <v>no</v>
      </c>
      <c r="J395" s="117" t="str">
        <f t="shared" si="67"/>
        <v>no</v>
      </c>
      <c r="K395" s="176" t="s">
        <v>1066</v>
      </c>
      <c r="L395" s="117" t="str">
        <f t="shared" si="69"/>
        <v>detailed</v>
      </c>
      <c r="M395" s="117" t="str">
        <f t="shared" si="68"/>
        <v>detailed Mining</v>
      </c>
      <c r="N395" s="179">
        <v>13255</v>
      </c>
      <c r="O395" s="179"/>
      <c r="P395" s="179"/>
      <c r="Q395" s="179"/>
      <c r="R395" s="179"/>
      <c r="S395" s="117" t="s">
        <v>610</v>
      </c>
      <c r="T395" s="119"/>
      <c r="U395" s="117"/>
      <c r="V395" s="117" t="s">
        <v>684</v>
      </c>
      <c r="W395" s="89"/>
      <c r="X395" s="117"/>
      <c r="Y395" s="117"/>
      <c r="Z395" s="117"/>
      <c r="AA395" s="177"/>
      <c r="AB395" s="177"/>
      <c r="AC395" s="122"/>
      <c r="AD395" s="122"/>
      <c r="AE395" s="122"/>
      <c r="AF395" s="123"/>
      <c r="AG395" s="117"/>
      <c r="AH395" s="124"/>
      <c r="AI395" s="117"/>
      <c r="AJ395" s="117"/>
      <c r="AK395" s="89"/>
      <c r="AL395" s="117"/>
      <c r="AM395" s="117"/>
      <c r="AN395" s="117"/>
      <c r="AO395" s="117"/>
      <c r="AP395" s="117"/>
      <c r="AQ395" s="117"/>
      <c r="AR395" s="126"/>
      <c r="AS395" s="117"/>
      <c r="AT395" s="117"/>
      <c r="AU395" s="117"/>
      <c r="AV395" s="128"/>
      <c r="AW395" s="117">
        <f>VLOOKUP($D395,'WB Data'!$C$3:$M$578,2,FALSE)</f>
        <v>21561941369.362782</v>
      </c>
      <c r="AX395" s="117">
        <f>VLOOKUP($D395,'WB Data'!$C$3:$M$578,3,FALSE)</f>
        <v>62191161</v>
      </c>
      <c r="AY395" s="847">
        <f t="shared" si="71"/>
        <v>4.0624297738079164E-2</v>
      </c>
      <c r="AZ395" s="117">
        <f>VLOOKUP($D395,'WB Data'!$C$3:$M$578,4,FALSE)/100</f>
        <v>0.14268142471174644</v>
      </c>
      <c r="BA395" s="117">
        <f t="shared" si="72"/>
        <v>3076488514.1318269</v>
      </c>
      <c r="BB395" s="129">
        <f>IFERROR(VLOOKUP($D395,'EITI Revenues'!$C$2:$G$224,5,FALSE),"..")</f>
        <v>875938726</v>
      </c>
      <c r="BC395" s="846">
        <f t="shared" si="73"/>
        <v>0.28472029782538827</v>
      </c>
      <c r="BD395" s="129" t="e">
        <f>VLOOKUP($D395,'WB Data 2'!$C$2:$K$545,6,FALSE)</f>
        <v>#N/A</v>
      </c>
      <c r="BE395" s="129">
        <f>IFERROR(VLOOKUP($D395,UNCTAD!$C$5:$V$529,4,FALSE),"..")</f>
        <v>8866500000</v>
      </c>
      <c r="BF395" s="846" t="str">
        <f t="shared" si="74"/>
        <v>..</v>
      </c>
      <c r="BG395" s="117">
        <f>VLOOKUP($D395,'WB Data'!$C$3:$M$578,5,FALSE)</f>
        <v>3486160000</v>
      </c>
      <c r="BH395" s="129">
        <f>IFERROR($BB395/$BG395,"..")</f>
        <v>0.25126176824930585</v>
      </c>
      <c r="BI395" s="117">
        <f>IFERROR(VLOOKUP($D395,'WB Data'!$C$3:$M$578,7,FALSE)/100,"..")</f>
        <v>2.5030700000000003E-2</v>
      </c>
      <c r="BJ395" s="117">
        <f>IFERROR($BI395*$AW395,"..")</f>
        <v>539710485.83410907</v>
      </c>
      <c r="BK395" s="846">
        <f>IFERROR($BB395/$BJ395,"..")</f>
        <v>1.6229788914444725</v>
      </c>
      <c r="BL395" s="117">
        <f>IFERROR(VLOOKUP($D395,'WB Data'!$C$3:$M$578,7,FALSE)/100,"..")</f>
        <v>2.5030700000000003E-2</v>
      </c>
      <c r="BM395" s="117">
        <f>IFERROR($AW395*$BL395,"..")</f>
        <v>539710485.83410907</v>
      </c>
      <c r="BN395" s="846">
        <f>IFERROR($BB395/$BM395,"..")</f>
        <v>1.6229788914444725</v>
      </c>
      <c r="BO395" s="801" t="str">
        <f t="shared" si="70"/>
        <v>..</v>
      </c>
      <c r="BP395" s="117" t="str">
        <f>VLOOKUP($D395,'WB Data'!$C$3:$M$578,9,FALSE)</f>
        <v>..</v>
      </c>
      <c r="BQ395" s="117">
        <f>VLOOKUP($D395,'WB Data'!$C$3:$M$578,10,FALSE)</f>
        <v>48.987682926829265</v>
      </c>
      <c r="BR395" s="117">
        <f>VLOOKUP($D395,'WB Data'!$C$3:$M$578,11,FALSE)</f>
        <v>92.4</v>
      </c>
      <c r="BS395" s="129" t="str">
        <f>IFERROR(VLOOKUP($D395,'WB Data 2'!$C$2:$K$545,9,FALSE),"..")</f>
        <v>..</v>
      </c>
      <c r="BT395" s="129" t="str">
        <f>_xlfn.IFNA(VLOOKUP($C395,RGI!$A$2:$C$43,2,FALSE),"..")</f>
        <v>..</v>
      </c>
      <c r="BU395" s="129" t="str">
        <f>_xlfn.IFNA(VLOOKUP($C395,RGI!$A$2:$C$43,3,FALSE),"..")</f>
        <v>..</v>
      </c>
      <c r="BV395" s="129">
        <f>VLOOKUP($D395,WGI!$C$2:$O$478,7,FALSE)</f>
        <v>-1.4446722820503</v>
      </c>
      <c r="BW395" s="129">
        <f>VLOOKUP($D395,WGI!$C$2:$O$478,4,FALSE)</f>
        <v>-2.2271516163748899</v>
      </c>
      <c r="BX395" s="129">
        <f>VLOOKUP($D395,WGI!$C$2:$O$478,3,FALSE)</f>
        <v>-1.73494098745098</v>
      </c>
      <c r="BY395" s="129">
        <f>VLOOKUP($D395,WGI!$C$2:$O$478,5,FALSE)</f>
        <v>-1.58230061557214</v>
      </c>
      <c r="BZ395" s="129">
        <f>VLOOKUP($D395,WGI!$C$2:$O$478,2,FALSE)</f>
        <v>-1.4180767145324</v>
      </c>
      <c r="CB395" s="129"/>
    </row>
    <row r="396" spans="1:80" s="120" customFormat="1" ht="15" customHeight="1">
      <c r="A396" s="294" t="s">
        <v>179</v>
      </c>
      <c r="B396" s="117">
        <v>2010</v>
      </c>
      <c r="C396" s="132" t="s">
        <v>171</v>
      </c>
      <c r="D396" s="117" t="s">
        <v>3658</v>
      </c>
      <c r="E396" s="117" t="s">
        <v>86</v>
      </c>
      <c r="F396" s="117"/>
      <c r="G396" s="117" t="s">
        <v>24</v>
      </c>
      <c r="H396" s="117" t="str">
        <f t="shared" si="65"/>
        <v>yes</v>
      </c>
      <c r="I396" s="117" t="str">
        <f t="shared" si="66"/>
        <v>no</v>
      </c>
      <c r="J396" s="117" t="str">
        <f t="shared" si="67"/>
        <v>no</v>
      </c>
      <c r="K396" s="176" t="s">
        <v>1077</v>
      </c>
      <c r="L396" s="117" t="str">
        <f t="shared" si="69"/>
        <v>detailed</v>
      </c>
      <c r="M396" s="117" t="str">
        <f t="shared" si="68"/>
        <v>detailed Mining</v>
      </c>
      <c r="N396" s="179">
        <v>8600</v>
      </c>
      <c r="O396" s="179"/>
      <c r="P396" s="179"/>
      <c r="Q396" s="179"/>
      <c r="R396" s="179"/>
      <c r="S396" s="117" t="s">
        <v>610</v>
      </c>
      <c r="T396" s="119"/>
      <c r="U396" s="117"/>
      <c r="V396" s="117" t="s">
        <v>684</v>
      </c>
      <c r="W396" s="89"/>
      <c r="X396" s="117"/>
      <c r="Y396" s="117"/>
      <c r="Z396" s="117"/>
      <c r="AA396" s="177"/>
      <c r="AB396" s="177"/>
      <c r="AC396" s="122"/>
      <c r="AD396" s="122"/>
      <c r="AE396" s="122"/>
      <c r="AF396" s="123"/>
      <c r="AG396" s="117"/>
      <c r="AH396" s="124"/>
      <c r="AI396" s="117"/>
      <c r="AJ396" s="117"/>
      <c r="AK396" s="89"/>
      <c r="AL396" s="117"/>
      <c r="AM396" s="117"/>
      <c r="AN396" s="117"/>
      <c r="AO396" s="117"/>
      <c r="AP396" s="117"/>
      <c r="AQ396" s="117"/>
      <c r="AR396" s="126"/>
      <c r="AS396" s="117"/>
      <c r="AT396" s="117"/>
      <c r="AU396" s="117"/>
      <c r="AV396" s="128"/>
      <c r="AW396" s="117">
        <f>VLOOKUP($D396,'WB Data'!$C$3:$M$578,2,FALSE)</f>
        <v>21561941369.362782</v>
      </c>
      <c r="AX396" s="117">
        <f>VLOOKUP($D396,'WB Data'!$C$3:$M$578,3,FALSE)</f>
        <v>62191161</v>
      </c>
      <c r="AY396" s="847">
        <f t="shared" si="71"/>
        <v>4.0624297738079164E-2</v>
      </c>
      <c r="AZ396" s="117">
        <f>VLOOKUP($D396,'WB Data'!$C$3:$M$578,4,FALSE)/100</f>
        <v>0.14268142471174644</v>
      </c>
      <c r="BA396" s="117">
        <f t="shared" si="72"/>
        <v>3076488514.1318269</v>
      </c>
      <c r="BB396" s="129">
        <f>IFERROR(VLOOKUP($D396,'EITI Revenues'!$C$2:$G$224,5,FALSE),"..")</f>
        <v>875938726</v>
      </c>
      <c r="BC396" s="846">
        <f t="shared" si="73"/>
        <v>0.28472029782538827</v>
      </c>
      <c r="BD396" s="129" t="e">
        <f>VLOOKUP($D396,'WB Data 2'!$C$2:$K$545,6,FALSE)</f>
        <v>#N/A</v>
      </c>
      <c r="BE396" s="129">
        <f>IFERROR(VLOOKUP($D396,UNCTAD!$C$5:$V$529,4,FALSE),"..")</f>
        <v>8866500000</v>
      </c>
      <c r="BF396" s="846" t="str">
        <f t="shared" si="74"/>
        <v>..</v>
      </c>
      <c r="BG396" s="117">
        <f>VLOOKUP($D396,'WB Data'!$C$3:$M$578,5,FALSE)</f>
        <v>3486160000</v>
      </c>
      <c r="BH396" s="129">
        <f>IFERROR($BB396/$BG396,"..")</f>
        <v>0.25126176824930585</v>
      </c>
      <c r="BI396" s="117">
        <f>IFERROR(VLOOKUP($D396,'WB Data'!$C$3:$M$578,7,FALSE)/100,"..")</f>
        <v>2.5030700000000003E-2</v>
      </c>
      <c r="BJ396" s="117">
        <f>IFERROR($BI396*$AW396,"..")</f>
        <v>539710485.83410907</v>
      </c>
      <c r="BK396" s="846">
        <f>IFERROR($BB396/$BJ396,"..")</f>
        <v>1.6229788914444725</v>
      </c>
      <c r="BL396" s="117">
        <f>IFERROR(VLOOKUP($D396,'WB Data'!$C$3:$M$578,7,FALSE)/100,"..")</f>
        <v>2.5030700000000003E-2</v>
      </c>
      <c r="BM396" s="117">
        <f>IFERROR($AW396*$BL396,"..")</f>
        <v>539710485.83410907</v>
      </c>
      <c r="BN396" s="846">
        <f>IFERROR($BB396/$BM396,"..")</f>
        <v>1.6229788914444725</v>
      </c>
      <c r="BO396" s="801" t="str">
        <f t="shared" si="70"/>
        <v>..</v>
      </c>
      <c r="BP396" s="117" t="str">
        <f>VLOOKUP($D396,'WB Data'!$C$3:$M$578,9,FALSE)</f>
        <v>..</v>
      </c>
      <c r="BQ396" s="117">
        <f>VLOOKUP($D396,'WB Data'!$C$3:$M$578,10,FALSE)</f>
        <v>48.987682926829265</v>
      </c>
      <c r="BR396" s="117">
        <f>VLOOKUP($D396,'WB Data'!$C$3:$M$578,11,FALSE)</f>
        <v>92.4</v>
      </c>
      <c r="BS396" s="129" t="str">
        <f>IFERROR(VLOOKUP($D396,'WB Data 2'!$C$2:$K$545,9,FALSE),"..")</f>
        <v>..</v>
      </c>
      <c r="BT396" s="129" t="str">
        <f>_xlfn.IFNA(VLOOKUP($C396,RGI!$A$2:$C$43,2,FALSE),"..")</f>
        <v>..</v>
      </c>
      <c r="BU396" s="129" t="str">
        <f>_xlfn.IFNA(VLOOKUP($C396,RGI!$A$2:$C$43,3,FALSE),"..")</f>
        <v>..</v>
      </c>
      <c r="BV396" s="129">
        <f>VLOOKUP($D396,WGI!$C$2:$O$478,7,FALSE)</f>
        <v>-1.4446722820503</v>
      </c>
      <c r="BW396" s="129">
        <f>VLOOKUP($D396,WGI!$C$2:$O$478,4,FALSE)</f>
        <v>-2.2271516163748899</v>
      </c>
      <c r="BX396" s="129">
        <f>VLOOKUP($D396,WGI!$C$2:$O$478,3,FALSE)</f>
        <v>-1.73494098745098</v>
      </c>
      <c r="BY396" s="129">
        <f>VLOOKUP($D396,WGI!$C$2:$O$478,5,FALSE)</f>
        <v>-1.58230061557214</v>
      </c>
      <c r="BZ396" s="129">
        <f>VLOOKUP($D396,WGI!$C$2:$O$478,2,FALSE)</f>
        <v>-1.4180767145324</v>
      </c>
      <c r="CB396" s="129"/>
    </row>
    <row r="397" spans="1:80" s="120" customFormat="1" ht="15" customHeight="1">
      <c r="A397" s="294" t="s">
        <v>179</v>
      </c>
      <c r="B397" s="117">
        <v>2010</v>
      </c>
      <c r="C397" s="132" t="s">
        <v>171</v>
      </c>
      <c r="D397" s="117" t="s">
        <v>3658</v>
      </c>
      <c r="E397" s="117" t="s">
        <v>86</v>
      </c>
      <c r="F397" s="117"/>
      <c r="G397" s="117" t="s">
        <v>24</v>
      </c>
      <c r="H397" s="117" t="str">
        <f t="shared" si="65"/>
        <v>yes</v>
      </c>
      <c r="I397" s="117" t="str">
        <f t="shared" si="66"/>
        <v>no</v>
      </c>
      <c r="J397" s="117" t="str">
        <f t="shared" si="67"/>
        <v>no</v>
      </c>
      <c r="K397" s="176" t="s">
        <v>1078</v>
      </c>
      <c r="L397" s="117" t="str">
        <f t="shared" si="69"/>
        <v>detailed</v>
      </c>
      <c r="M397" s="117" t="str">
        <f t="shared" si="68"/>
        <v>detailed Mining</v>
      </c>
      <c r="N397" s="179"/>
      <c r="O397" s="179"/>
      <c r="P397" s="179"/>
      <c r="Q397" s="179"/>
      <c r="R397" s="179"/>
      <c r="S397" s="117"/>
      <c r="T397" s="119">
        <v>166.5</v>
      </c>
      <c r="U397" s="117" t="s">
        <v>611</v>
      </c>
      <c r="V397" s="117" t="s">
        <v>1095</v>
      </c>
      <c r="W397" s="89">
        <f>N399*T397</f>
        <v>4162.5</v>
      </c>
      <c r="X397" s="117"/>
      <c r="Y397" s="117"/>
      <c r="Z397" s="117"/>
      <c r="AA397" s="177"/>
      <c r="AB397" s="177"/>
      <c r="AC397" s="122"/>
      <c r="AD397" s="122"/>
      <c r="AE397" s="122"/>
      <c r="AF397" s="123"/>
      <c r="AG397" s="117"/>
      <c r="AH397" s="124"/>
      <c r="AI397" s="117"/>
      <c r="AJ397" s="117"/>
      <c r="AK397" s="89"/>
      <c r="AL397" s="117"/>
      <c r="AM397" s="117"/>
      <c r="AN397" s="117"/>
      <c r="AO397" s="117"/>
      <c r="AP397" s="117"/>
      <c r="AQ397" s="117"/>
      <c r="AR397" s="126"/>
      <c r="AS397" s="117"/>
      <c r="AT397" s="117"/>
      <c r="AU397" s="117"/>
      <c r="AV397" s="128"/>
      <c r="AW397" s="117">
        <f>VLOOKUP($D397,'WB Data'!$C$3:$M$578,2,FALSE)</f>
        <v>21561941369.362782</v>
      </c>
      <c r="AX397" s="117">
        <f>VLOOKUP($D397,'WB Data'!$C$3:$M$578,3,FALSE)</f>
        <v>62191161</v>
      </c>
      <c r="AY397" s="847">
        <f t="shared" si="71"/>
        <v>4.0624297738079164E-2</v>
      </c>
      <c r="AZ397" s="117">
        <f>VLOOKUP($D397,'WB Data'!$C$3:$M$578,4,FALSE)/100</f>
        <v>0.14268142471174644</v>
      </c>
      <c r="BA397" s="117">
        <f t="shared" si="72"/>
        <v>3076488514.1318269</v>
      </c>
      <c r="BB397" s="129">
        <f>IFERROR(VLOOKUP($D397,'EITI Revenues'!$C$2:$G$224,5,FALSE),"..")</f>
        <v>875938726</v>
      </c>
      <c r="BC397" s="846">
        <f t="shared" si="73"/>
        <v>0.28472029782538827</v>
      </c>
      <c r="BD397" s="129" t="e">
        <f>VLOOKUP($D397,'WB Data 2'!$C$2:$K$545,6,FALSE)</f>
        <v>#N/A</v>
      </c>
      <c r="BE397" s="129">
        <f>IFERROR(VLOOKUP($D397,UNCTAD!$C$5:$V$529,4,FALSE),"..")</f>
        <v>8866500000</v>
      </c>
      <c r="BF397" s="846" t="str">
        <f t="shared" si="74"/>
        <v>..</v>
      </c>
      <c r="BG397" s="117">
        <f>VLOOKUP($D397,'WB Data'!$C$3:$M$578,5,FALSE)</f>
        <v>3486160000</v>
      </c>
      <c r="BH397" s="129">
        <f>IFERROR($BB397/$BG397,"..")</f>
        <v>0.25126176824930585</v>
      </c>
      <c r="BI397" s="117">
        <f>IFERROR(VLOOKUP($D397,'WB Data'!$C$3:$M$578,7,FALSE)/100,"..")</f>
        <v>2.5030700000000003E-2</v>
      </c>
      <c r="BJ397" s="117">
        <f>IFERROR($BI397*$AW397,"..")</f>
        <v>539710485.83410907</v>
      </c>
      <c r="BK397" s="846">
        <f>IFERROR($BB397/$BJ397,"..")</f>
        <v>1.6229788914444725</v>
      </c>
      <c r="BL397" s="117">
        <f>IFERROR(VLOOKUP($D397,'WB Data'!$C$3:$M$578,7,FALSE)/100,"..")</f>
        <v>2.5030700000000003E-2</v>
      </c>
      <c r="BM397" s="117">
        <f>IFERROR($AW397*$BL397,"..")</f>
        <v>539710485.83410907</v>
      </c>
      <c r="BN397" s="846">
        <f>IFERROR($BB397/$BM397,"..")</f>
        <v>1.6229788914444725</v>
      </c>
      <c r="BO397" s="801" t="str">
        <f t="shared" si="70"/>
        <v>..</v>
      </c>
      <c r="BP397" s="117" t="str">
        <f>VLOOKUP($D397,'WB Data'!$C$3:$M$578,9,FALSE)</f>
        <v>..</v>
      </c>
      <c r="BQ397" s="117">
        <f>VLOOKUP($D397,'WB Data'!$C$3:$M$578,10,FALSE)</f>
        <v>48.987682926829265</v>
      </c>
      <c r="BR397" s="117">
        <f>VLOOKUP($D397,'WB Data'!$C$3:$M$578,11,FALSE)</f>
        <v>92.4</v>
      </c>
      <c r="BS397" s="129" t="str">
        <f>IFERROR(VLOOKUP($D397,'WB Data 2'!$C$2:$K$545,9,FALSE),"..")</f>
        <v>..</v>
      </c>
      <c r="BT397" s="129" t="str">
        <f>_xlfn.IFNA(VLOOKUP($C397,RGI!$A$2:$C$43,2,FALSE),"..")</f>
        <v>..</v>
      </c>
      <c r="BU397" s="129" t="str">
        <f>_xlfn.IFNA(VLOOKUP($C397,RGI!$A$2:$C$43,3,FALSE),"..")</f>
        <v>..</v>
      </c>
      <c r="BV397" s="129">
        <f>VLOOKUP($D397,WGI!$C$2:$O$478,7,FALSE)</f>
        <v>-1.4446722820503</v>
      </c>
      <c r="BW397" s="129">
        <f>VLOOKUP($D397,WGI!$C$2:$O$478,4,FALSE)</f>
        <v>-2.2271516163748899</v>
      </c>
      <c r="BX397" s="129">
        <f>VLOOKUP($D397,WGI!$C$2:$O$478,3,FALSE)</f>
        <v>-1.73494098745098</v>
      </c>
      <c r="BY397" s="129">
        <f>VLOOKUP($D397,WGI!$C$2:$O$478,5,FALSE)</f>
        <v>-1.58230061557214</v>
      </c>
      <c r="BZ397" s="129">
        <f>VLOOKUP($D397,WGI!$C$2:$O$478,2,FALSE)</f>
        <v>-1.4180767145324</v>
      </c>
      <c r="CB397" s="129"/>
    </row>
    <row r="398" spans="1:80" s="120" customFormat="1" ht="15" customHeight="1">
      <c r="A398" s="294" t="s">
        <v>179</v>
      </c>
      <c r="B398" s="117">
        <v>2010</v>
      </c>
      <c r="C398" s="132" t="s">
        <v>171</v>
      </c>
      <c r="D398" s="117" t="s">
        <v>3658</v>
      </c>
      <c r="E398" s="117" t="s">
        <v>86</v>
      </c>
      <c r="F398" s="117"/>
      <c r="G398" s="117" t="s">
        <v>24</v>
      </c>
      <c r="H398" s="117" t="str">
        <f t="shared" si="65"/>
        <v>yes</v>
      </c>
      <c r="I398" s="117" t="str">
        <f t="shared" si="66"/>
        <v>no</v>
      </c>
      <c r="J398" s="117" t="str">
        <f t="shared" si="67"/>
        <v>no</v>
      </c>
      <c r="K398" s="176" t="s">
        <v>1066</v>
      </c>
      <c r="L398" s="117" t="str">
        <f t="shared" si="69"/>
        <v>detailed</v>
      </c>
      <c r="M398" s="117" t="str">
        <f t="shared" si="68"/>
        <v>detailed Mining</v>
      </c>
      <c r="N398" s="179">
        <v>45</v>
      </c>
      <c r="O398" s="179"/>
      <c r="P398" s="179"/>
      <c r="Q398" s="179"/>
      <c r="R398" s="179"/>
      <c r="S398" s="117" t="s">
        <v>610</v>
      </c>
      <c r="T398" s="119"/>
      <c r="U398" s="117"/>
      <c r="V398" s="117" t="s">
        <v>684</v>
      </c>
      <c r="W398" s="89"/>
      <c r="X398" s="117"/>
      <c r="Y398" s="117"/>
      <c r="Z398" s="117"/>
      <c r="AA398" s="177"/>
      <c r="AB398" s="177"/>
      <c r="AC398" s="122"/>
      <c r="AD398" s="122"/>
      <c r="AE398" s="122"/>
      <c r="AF398" s="123"/>
      <c r="AG398" s="117"/>
      <c r="AH398" s="124"/>
      <c r="AI398" s="117"/>
      <c r="AJ398" s="117"/>
      <c r="AK398" s="89"/>
      <c r="AL398" s="117"/>
      <c r="AM398" s="117"/>
      <c r="AN398" s="117"/>
      <c r="AO398" s="117"/>
      <c r="AP398" s="117"/>
      <c r="AQ398" s="117"/>
      <c r="AR398" s="126"/>
      <c r="AS398" s="117"/>
      <c r="AT398" s="117"/>
      <c r="AU398" s="117"/>
      <c r="AV398" s="128"/>
      <c r="AW398" s="117">
        <f>VLOOKUP($D398,'WB Data'!$C$3:$M$578,2,FALSE)</f>
        <v>21561941369.362782</v>
      </c>
      <c r="AX398" s="117">
        <f>VLOOKUP($D398,'WB Data'!$C$3:$M$578,3,FALSE)</f>
        <v>62191161</v>
      </c>
      <c r="AY398" s="847">
        <f t="shared" si="71"/>
        <v>4.0624297738079164E-2</v>
      </c>
      <c r="AZ398" s="117">
        <f>VLOOKUP($D398,'WB Data'!$C$3:$M$578,4,FALSE)/100</f>
        <v>0.14268142471174644</v>
      </c>
      <c r="BA398" s="117">
        <f t="shared" si="72"/>
        <v>3076488514.1318269</v>
      </c>
      <c r="BB398" s="129">
        <f>IFERROR(VLOOKUP($D398,'EITI Revenues'!$C$2:$G$224,5,FALSE),"..")</f>
        <v>875938726</v>
      </c>
      <c r="BC398" s="846">
        <f t="shared" si="73"/>
        <v>0.28472029782538827</v>
      </c>
      <c r="BD398" s="129" t="e">
        <f>VLOOKUP($D398,'WB Data 2'!$C$2:$K$545,6,FALSE)</f>
        <v>#N/A</v>
      </c>
      <c r="BE398" s="129">
        <f>IFERROR(VLOOKUP($D398,UNCTAD!$C$5:$V$529,4,FALSE),"..")</f>
        <v>8866500000</v>
      </c>
      <c r="BF398" s="846" t="str">
        <f t="shared" si="74"/>
        <v>..</v>
      </c>
      <c r="BG398" s="117">
        <f>VLOOKUP($D398,'WB Data'!$C$3:$M$578,5,FALSE)</f>
        <v>3486160000</v>
      </c>
      <c r="BH398" s="129">
        <f>IFERROR($BB398/$BG398,"..")</f>
        <v>0.25126176824930585</v>
      </c>
      <c r="BI398" s="117">
        <f>IFERROR(VLOOKUP($D398,'WB Data'!$C$3:$M$578,7,FALSE)/100,"..")</f>
        <v>2.5030700000000003E-2</v>
      </c>
      <c r="BJ398" s="117">
        <f>IFERROR($BI398*$AW398,"..")</f>
        <v>539710485.83410907</v>
      </c>
      <c r="BK398" s="846">
        <f>IFERROR($BB398/$BJ398,"..")</f>
        <v>1.6229788914444725</v>
      </c>
      <c r="BL398" s="117">
        <f>IFERROR(VLOOKUP($D398,'WB Data'!$C$3:$M$578,7,FALSE)/100,"..")</f>
        <v>2.5030700000000003E-2</v>
      </c>
      <c r="BM398" s="117">
        <f>IFERROR($AW398*$BL398,"..")</f>
        <v>539710485.83410907</v>
      </c>
      <c r="BN398" s="846">
        <f>IFERROR($BB398/$BM398,"..")</f>
        <v>1.6229788914444725</v>
      </c>
      <c r="BO398" s="801" t="str">
        <f t="shared" si="70"/>
        <v>..</v>
      </c>
      <c r="BP398" s="117" t="str">
        <f>VLOOKUP($D398,'WB Data'!$C$3:$M$578,9,FALSE)</f>
        <v>..</v>
      </c>
      <c r="BQ398" s="117">
        <f>VLOOKUP($D398,'WB Data'!$C$3:$M$578,10,FALSE)</f>
        <v>48.987682926829265</v>
      </c>
      <c r="BR398" s="117">
        <f>VLOOKUP($D398,'WB Data'!$C$3:$M$578,11,FALSE)</f>
        <v>92.4</v>
      </c>
      <c r="BS398" s="129" t="str">
        <f>IFERROR(VLOOKUP($D398,'WB Data 2'!$C$2:$K$545,9,FALSE),"..")</f>
        <v>..</v>
      </c>
      <c r="BT398" s="129" t="str">
        <f>_xlfn.IFNA(VLOOKUP($C398,RGI!$A$2:$C$43,2,FALSE),"..")</f>
        <v>..</v>
      </c>
      <c r="BU398" s="129" t="str">
        <f>_xlfn.IFNA(VLOOKUP($C398,RGI!$A$2:$C$43,3,FALSE),"..")</f>
        <v>..</v>
      </c>
      <c r="BV398" s="129">
        <f>VLOOKUP($D398,WGI!$C$2:$O$478,7,FALSE)</f>
        <v>-1.4446722820503</v>
      </c>
      <c r="BW398" s="129">
        <f>VLOOKUP($D398,WGI!$C$2:$O$478,4,FALSE)</f>
        <v>-2.2271516163748899</v>
      </c>
      <c r="BX398" s="129">
        <f>VLOOKUP($D398,WGI!$C$2:$O$478,3,FALSE)</f>
        <v>-1.73494098745098</v>
      </c>
      <c r="BY398" s="129">
        <f>VLOOKUP($D398,WGI!$C$2:$O$478,5,FALSE)</f>
        <v>-1.58230061557214</v>
      </c>
      <c r="BZ398" s="129">
        <f>VLOOKUP($D398,WGI!$C$2:$O$478,2,FALSE)</f>
        <v>-1.4180767145324</v>
      </c>
      <c r="CB398" s="129"/>
    </row>
    <row r="399" spans="1:80" s="120" customFormat="1" ht="15" customHeight="1">
      <c r="A399" s="294" t="s">
        <v>179</v>
      </c>
      <c r="B399" s="117">
        <v>2010</v>
      </c>
      <c r="C399" s="132" t="s">
        <v>171</v>
      </c>
      <c r="D399" s="117" t="s">
        <v>3658</v>
      </c>
      <c r="E399" s="117" t="s">
        <v>86</v>
      </c>
      <c r="F399" s="117"/>
      <c r="G399" s="117" t="s">
        <v>24</v>
      </c>
      <c r="H399" s="117" t="str">
        <f t="shared" si="65"/>
        <v>yes</v>
      </c>
      <c r="I399" s="117" t="str">
        <f t="shared" si="66"/>
        <v>no</v>
      </c>
      <c r="J399" s="117" t="str">
        <f t="shared" si="67"/>
        <v>no</v>
      </c>
      <c r="K399" s="176" t="s">
        <v>1080</v>
      </c>
      <c r="L399" s="117" t="str">
        <f t="shared" si="69"/>
        <v>detailed</v>
      </c>
      <c r="M399" s="117" t="str">
        <f t="shared" si="68"/>
        <v>detailed Mining</v>
      </c>
      <c r="N399" s="179">
        <v>25</v>
      </c>
      <c r="O399" s="179"/>
      <c r="P399" s="179"/>
      <c r="Q399" s="179"/>
      <c r="R399" s="179"/>
      <c r="S399" s="117" t="s">
        <v>610</v>
      </c>
      <c r="T399" s="119"/>
      <c r="U399" s="117"/>
      <c r="V399" s="117" t="s">
        <v>684</v>
      </c>
      <c r="W399" s="89"/>
      <c r="X399" s="117"/>
      <c r="Y399" s="117"/>
      <c r="Z399" s="117"/>
      <c r="AA399" s="177"/>
      <c r="AB399" s="177"/>
      <c r="AC399" s="122"/>
      <c r="AD399" s="122"/>
      <c r="AE399" s="122"/>
      <c r="AF399" s="123"/>
      <c r="AG399" s="117"/>
      <c r="AH399" s="124"/>
      <c r="AI399" s="117"/>
      <c r="AJ399" s="117"/>
      <c r="AK399" s="89"/>
      <c r="AL399" s="117"/>
      <c r="AM399" s="117"/>
      <c r="AN399" s="117"/>
      <c r="AO399" s="117"/>
      <c r="AP399" s="117"/>
      <c r="AQ399" s="117"/>
      <c r="AR399" s="126"/>
      <c r="AS399" s="117"/>
      <c r="AT399" s="117"/>
      <c r="AU399" s="117"/>
      <c r="AV399" s="128"/>
      <c r="AW399" s="117">
        <f>VLOOKUP($D399,'WB Data'!$C$3:$M$578,2,FALSE)</f>
        <v>21561941369.362782</v>
      </c>
      <c r="AX399" s="117">
        <f>VLOOKUP($D399,'WB Data'!$C$3:$M$578,3,FALSE)</f>
        <v>62191161</v>
      </c>
      <c r="AY399" s="847">
        <f t="shared" si="71"/>
        <v>4.0624297738079164E-2</v>
      </c>
      <c r="AZ399" s="117">
        <f>VLOOKUP($D399,'WB Data'!$C$3:$M$578,4,FALSE)/100</f>
        <v>0.14268142471174644</v>
      </c>
      <c r="BA399" s="117">
        <f t="shared" si="72"/>
        <v>3076488514.1318269</v>
      </c>
      <c r="BB399" s="129">
        <f>IFERROR(VLOOKUP($D399,'EITI Revenues'!$C$2:$G$224,5,FALSE),"..")</f>
        <v>875938726</v>
      </c>
      <c r="BC399" s="846">
        <f t="shared" si="73"/>
        <v>0.28472029782538827</v>
      </c>
      <c r="BD399" s="129" t="e">
        <f>VLOOKUP($D399,'WB Data 2'!$C$2:$K$545,6,FALSE)</f>
        <v>#N/A</v>
      </c>
      <c r="BE399" s="129">
        <f>IFERROR(VLOOKUP($D399,UNCTAD!$C$5:$V$529,4,FALSE),"..")</f>
        <v>8866500000</v>
      </c>
      <c r="BF399" s="846" t="str">
        <f t="shared" si="74"/>
        <v>..</v>
      </c>
      <c r="BG399" s="117">
        <f>VLOOKUP($D399,'WB Data'!$C$3:$M$578,5,FALSE)</f>
        <v>3486160000</v>
      </c>
      <c r="BH399" s="129">
        <f>IFERROR($BB399/$BG399,"..")</f>
        <v>0.25126176824930585</v>
      </c>
      <c r="BI399" s="117">
        <f>IFERROR(VLOOKUP($D399,'WB Data'!$C$3:$M$578,7,FALSE)/100,"..")</f>
        <v>2.5030700000000003E-2</v>
      </c>
      <c r="BJ399" s="117">
        <f>IFERROR($BI399*$AW399,"..")</f>
        <v>539710485.83410907</v>
      </c>
      <c r="BK399" s="846">
        <f>IFERROR($BB399/$BJ399,"..")</f>
        <v>1.6229788914444725</v>
      </c>
      <c r="BL399" s="117">
        <f>IFERROR(VLOOKUP($D399,'WB Data'!$C$3:$M$578,7,FALSE)/100,"..")</f>
        <v>2.5030700000000003E-2</v>
      </c>
      <c r="BM399" s="117">
        <f>IFERROR($AW399*$BL399,"..")</f>
        <v>539710485.83410907</v>
      </c>
      <c r="BN399" s="846">
        <f>IFERROR($BB399/$BM399,"..")</f>
        <v>1.6229788914444725</v>
      </c>
      <c r="BO399" s="801" t="str">
        <f t="shared" si="70"/>
        <v>..</v>
      </c>
      <c r="BP399" s="117" t="str">
        <f>VLOOKUP($D399,'WB Data'!$C$3:$M$578,9,FALSE)</f>
        <v>..</v>
      </c>
      <c r="BQ399" s="117">
        <f>VLOOKUP($D399,'WB Data'!$C$3:$M$578,10,FALSE)</f>
        <v>48.987682926829265</v>
      </c>
      <c r="BR399" s="117">
        <f>VLOOKUP($D399,'WB Data'!$C$3:$M$578,11,FALSE)</f>
        <v>92.4</v>
      </c>
      <c r="BS399" s="129" t="str">
        <f>IFERROR(VLOOKUP($D399,'WB Data 2'!$C$2:$K$545,9,FALSE),"..")</f>
        <v>..</v>
      </c>
      <c r="BT399" s="129" t="str">
        <f>_xlfn.IFNA(VLOOKUP($C399,RGI!$A$2:$C$43,2,FALSE),"..")</f>
        <v>..</v>
      </c>
      <c r="BU399" s="129" t="str">
        <f>_xlfn.IFNA(VLOOKUP($C399,RGI!$A$2:$C$43,3,FALSE),"..")</f>
        <v>..</v>
      </c>
      <c r="BV399" s="129">
        <f>VLOOKUP($D399,WGI!$C$2:$O$478,7,FALSE)</f>
        <v>-1.4446722820503</v>
      </c>
      <c r="BW399" s="129">
        <f>VLOOKUP($D399,WGI!$C$2:$O$478,4,FALSE)</f>
        <v>-2.2271516163748899</v>
      </c>
      <c r="BX399" s="129">
        <f>VLOOKUP($D399,WGI!$C$2:$O$478,3,FALSE)</f>
        <v>-1.73494098745098</v>
      </c>
      <c r="BY399" s="129">
        <f>VLOOKUP($D399,WGI!$C$2:$O$478,5,FALSE)</f>
        <v>-1.58230061557214</v>
      </c>
      <c r="BZ399" s="129">
        <f>VLOOKUP($D399,WGI!$C$2:$O$478,2,FALSE)</f>
        <v>-1.4180767145324</v>
      </c>
      <c r="CB399" s="129"/>
    </row>
    <row r="400" spans="1:80" s="158" customFormat="1" ht="15" customHeight="1">
      <c r="A400" s="295" t="s">
        <v>179</v>
      </c>
      <c r="B400" s="149">
        <v>2010</v>
      </c>
      <c r="C400" s="132" t="s">
        <v>171</v>
      </c>
      <c r="D400" s="117" t="s">
        <v>3658</v>
      </c>
      <c r="E400" s="149" t="s">
        <v>86</v>
      </c>
      <c r="F400" s="149"/>
      <c r="G400" s="117" t="s">
        <v>24</v>
      </c>
      <c r="H400" s="117" t="str">
        <f t="shared" si="65"/>
        <v>yes</v>
      </c>
      <c r="I400" s="117" t="str">
        <f t="shared" si="66"/>
        <v>no</v>
      </c>
      <c r="J400" s="117" t="str">
        <f t="shared" si="67"/>
        <v>no</v>
      </c>
      <c r="K400" s="188" t="s">
        <v>1081</v>
      </c>
      <c r="L400" s="117" t="str">
        <f t="shared" si="69"/>
        <v>detailed</v>
      </c>
      <c r="M400" s="117" t="str">
        <f t="shared" si="68"/>
        <v>detailed Mining</v>
      </c>
      <c r="N400" s="216">
        <v>9223</v>
      </c>
      <c r="O400" s="216"/>
      <c r="P400" s="216"/>
      <c r="Q400" s="216"/>
      <c r="R400" s="216"/>
      <c r="S400" s="149" t="s">
        <v>610</v>
      </c>
      <c r="T400" s="350">
        <f>2160.74325</f>
        <v>2160.74325</v>
      </c>
      <c r="U400" s="149" t="s">
        <v>611</v>
      </c>
      <c r="V400" s="149" t="s">
        <v>1096</v>
      </c>
      <c r="W400" s="152">
        <f>N400*T400</f>
        <v>19928534.994750001</v>
      </c>
      <c r="X400" s="149"/>
      <c r="Y400" s="149"/>
      <c r="Z400" s="149"/>
      <c r="AA400" s="284"/>
      <c r="AB400" s="284"/>
      <c r="AC400" s="154"/>
      <c r="AD400" s="154"/>
      <c r="AE400" s="154"/>
      <c r="AF400" s="155"/>
      <c r="AG400" s="149"/>
      <c r="AH400" s="156"/>
      <c r="AI400" s="149"/>
      <c r="AJ400" s="149"/>
      <c r="AK400" s="152"/>
      <c r="AL400" s="149"/>
      <c r="AM400" s="149"/>
      <c r="AN400" s="149"/>
      <c r="AO400" s="149"/>
      <c r="AP400" s="149"/>
      <c r="AQ400" s="149"/>
      <c r="AR400" s="220"/>
      <c r="AS400" s="149"/>
      <c r="AT400" s="149"/>
      <c r="AU400" s="149"/>
      <c r="AV400" s="157"/>
      <c r="AW400" s="117">
        <f>VLOOKUP($D400,'WB Data'!$C$3:$M$578,2,FALSE)</f>
        <v>21561941369.362782</v>
      </c>
      <c r="AX400" s="117">
        <f>VLOOKUP($D400,'WB Data'!$C$3:$M$578,3,FALSE)</f>
        <v>62191161</v>
      </c>
      <c r="AY400" s="847">
        <f t="shared" si="71"/>
        <v>4.0624297738079164E-2</v>
      </c>
      <c r="AZ400" s="117">
        <f>VLOOKUP($D400,'WB Data'!$C$3:$M$578,4,FALSE)/100</f>
        <v>0.14268142471174644</v>
      </c>
      <c r="BA400" s="117">
        <f t="shared" si="72"/>
        <v>3076488514.1318269</v>
      </c>
      <c r="BB400" s="129">
        <f>IFERROR(VLOOKUP($D400,'EITI Revenues'!$C$2:$G$224,5,FALSE),"..")</f>
        <v>875938726</v>
      </c>
      <c r="BC400" s="846">
        <f t="shared" si="73"/>
        <v>0.28472029782538827</v>
      </c>
      <c r="BD400" s="129" t="e">
        <f>VLOOKUP($D400,'WB Data 2'!$C$2:$K$545,6,FALSE)</f>
        <v>#N/A</v>
      </c>
      <c r="BE400" s="129">
        <f>IFERROR(VLOOKUP($D400,UNCTAD!$C$5:$V$529,4,FALSE),"..")</f>
        <v>8866500000</v>
      </c>
      <c r="BF400" s="846" t="str">
        <f t="shared" si="74"/>
        <v>..</v>
      </c>
      <c r="BG400" s="117">
        <f>VLOOKUP($D400,'WB Data'!$C$3:$M$578,5,FALSE)</f>
        <v>3486160000</v>
      </c>
      <c r="BH400" s="129">
        <f>IFERROR($BB400/$BG400,"..")</f>
        <v>0.25126176824930585</v>
      </c>
      <c r="BI400" s="117">
        <f>IFERROR(VLOOKUP($D400,'WB Data'!$C$3:$M$578,7,FALSE)/100,"..")</f>
        <v>2.5030700000000003E-2</v>
      </c>
      <c r="BJ400" s="117">
        <f>IFERROR($BI400*$AW400,"..")</f>
        <v>539710485.83410907</v>
      </c>
      <c r="BK400" s="846">
        <f>IFERROR($BB400/$BJ400,"..")</f>
        <v>1.6229788914444725</v>
      </c>
      <c r="BL400" s="117">
        <f>IFERROR(VLOOKUP($D400,'WB Data'!$C$3:$M$578,7,FALSE)/100,"..")</f>
        <v>2.5030700000000003E-2</v>
      </c>
      <c r="BM400" s="117">
        <f>IFERROR($AW400*$BL400,"..")</f>
        <v>539710485.83410907</v>
      </c>
      <c r="BN400" s="846">
        <f>IFERROR($BB400/$BM400,"..")</f>
        <v>1.6229788914444725</v>
      </c>
      <c r="BO400" s="801" t="str">
        <f t="shared" si="70"/>
        <v>..</v>
      </c>
      <c r="BP400" s="117" t="str">
        <f>VLOOKUP($D400,'WB Data'!$C$3:$M$578,9,FALSE)</f>
        <v>..</v>
      </c>
      <c r="BQ400" s="117">
        <f>VLOOKUP($D400,'WB Data'!$C$3:$M$578,10,FALSE)</f>
        <v>48.987682926829265</v>
      </c>
      <c r="BR400" s="117">
        <f>VLOOKUP($D400,'WB Data'!$C$3:$M$578,11,FALSE)</f>
        <v>92.4</v>
      </c>
      <c r="BS400" s="129" t="str">
        <f>IFERROR(VLOOKUP($D400,'WB Data 2'!$C$2:$K$545,9,FALSE),"..")</f>
        <v>..</v>
      </c>
      <c r="BT400" s="129" t="str">
        <f>_xlfn.IFNA(VLOOKUP($C400,RGI!$A$2:$C$43,2,FALSE),"..")</f>
        <v>..</v>
      </c>
      <c r="BU400" s="129" t="str">
        <f>_xlfn.IFNA(VLOOKUP($C400,RGI!$A$2:$C$43,3,FALSE),"..")</f>
        <v>..</v>
      </c>
      <c r="BV400" s="129">
        <f>VLOOKUP($D400,WGI!$C$2:$O$478,7,FALSE)</f>
        <v>-1.4446722820503</v>
      </c>
      <c r="BW400" s="129">
        <f>VLOOKUP($D400,WGI!$C$2:$O$478,4,FALSE)</f>
        <v>-2.2271516163748899</v>
      </c>
      <c r="BX400" s="129">
        <f>VLOOKUP($D400,WGI!$C$2:$O$478,3,FALSE)</f>
        <v>-1.73494098745098</v>
      </c>
      <c r="BY400" s="129">
        <f>VLOOKUP($D400,WGI!$C$2:$O$478,5,FALSE)</f>
        <v>-1.58230061557214</v>
      </c>
      <c r="BZ400" s="129">
        <f>VLOOKUP($D400,WGI!$C$2:$O$478,2,FALSE)</f>
        <v>-1.4180767145324</v>
      </c>
      <c r="CB400" s="129"/>
    </row>
    <row r="401" spans="1:78" ht="15" customHeight="1">
      <c r="A401" s="294" t="s">
        <v>182</v>
      </c>
      <c r="B401" s="117">
        <v>2011</v>
      </c>
      <c r="C401" s="132" t="s">
        <v>171</v>
      </c>
      <c r="D401" s="117" t="s">
        <v>3692</v>
      </c>
      <c r="E401" s="117" t="s">
        <v>86</v>
      </c>
      <c r="F401" s="117" t="s">
        <v>1059</v>
      </c>
      <c r="G401" s="132" t="s">
        <v>41</v>
      </c>
      <c r="H401" s="117" t="str">
        <f t="shared" si="65"/>
        <v>yes</v>
      </c>
      <c r="I401" s="117" t="str">
        <f t="shared" si="66"/>
        <v>no</v>
      </c>
      <c r="J401" s="117" t="str">
        <f t="shared" si="67"/>
        <v>yes</v>
      </c>
      <c r="K401" s="176" t="s">
        <v>709</v>
      </c>
      <c r="L401" s="117" t="str">
        <f t="shared" si="69"/>
        <v>Total</v>
      </c>
      <c r="M401" s="117" t="str">
        <f t="shared" si="68"/>
        <v>Total Oil, Mining</v>
      </c>
      <c r="N401" s="118"/>
      <c r="O401" s="118"/>
      <c r="P401" s="118"/>
      <c r="Q401" s="118"/>
      <c r="R401" s="118"/>
      <c r="S401" s="117"/>
      <c r="T401" s="119"/>
      <c r="U401" s="117"/>
      <c r="V401" s="117"/>
      <c r="W401" s="89">
        <f>W402+W403</f>
        <v>4885266018.5550632</v>
      </c>
      <c r="X401" s="125" t="s">
        <v>918</v>
      </c>
      <c r="Y401" s="117" t="s">
        <v>602</v>
      </c>
      <c r="Z401" s="117" t="s">
        <v>603</v>
      </c>
      <c r="AA401" s="159">
        <v>1413126313</v>
      </c>
      <c r="AB401" s="177">
        <v>1408273353</v>
      </c>
      <c r="AC401" s="122"/>
      <c r="AD401" s="122"/>
      <c r="AE401" s="122"/>
      <c r="AF401" s="123">
        <f>AA401/W401</f>
        <v>0.28926291989683023</v>
      </c>
      <c r="AG401" s="117" t="s">
        <v>864</v>
      </c>
      <c r="AH401" s="124"/>
      <c r="AI401" s="117" t="s">
        <v>1102</v>
      </c>
      <c r="AJ401" s="117"/>
      <c r="AK401" s="89"/>
      <c r="AL401" s="117"/>
      <c r="AM401" s="117"/>
      <c r="AN401" s="117">
        <v>110</v>
      </c>
      <c r="AO401" s="117" t="s">
        <v>1103</v>
      </c>
      <c r="AP401" s="117">
        <v>106</v>
      </c>
      <c r="AQ401" s="117" t="s">
        <v>95</v>
      </c>
      <c r="AR401" s="126">
        <v>41897</v>
      </c>
      <c r="AS401" s="117" t="s">
        <v>829</v>
      </c>
      <c r="AT401" s="117" t="s">
        <v>183</v>
      </c>
      <c r="AU401" s="117">
        <v>7</v>
      </c>
      <c r="AV401" s="128" t="s">
        <v>1104</v>
      </c>
      <c r="AW401" s="117">
        <f>VLOOKUP($D401,'WB Data'!$C$3:$M$578,2,FALSE)</f>
        <v>25835398967.342049</v>
      </c>
      <c r="AX401" s="117">
        <f>VLOOKUP($D401,'WB Data'!$C$3:$M$578,3,FALSE)</f>
        <v>63931512</v>
      </c>
      <c r="AY401" s="847">
        <f t="shared" si="71"/>
        <v>5.4697290132283284E-2</v>
      </c>
      <c r="AZ401" s="117" t="e">
        <f>VLOOKUP($D401,'WB Data'!$C$3:$M$578,4,FALSE)/100</f>
        <v>#VALUE!</v>
      </c>
      <c r="BA401" s="117" t="str">
        <f t="shared" si="72"/>
        <v>..</v>
      </c>
      <c r="BB401" s="129">
        <f>IFERROR(VLOOKUP($D401,'EITI Revenues'!$C$2:$G$224,5,FALSE),"..")</f>
        <v>1413126313</v>
      </c>
      <c r="BC401" s="846" t="str">
        <f t="shared" si="73"/>
        <v>..</v>
      </c>
      <c r="BD401" s="129" t="e">
        <f>VLOOKUP($D401,'WB Data 2'!$C$2:$K$545,6,FALSE)</f>
        <v>#N/A</v>
      </c>
      <c r="BE401" s="129">
        <f>IFERROR(VLOOKUP($D401,UNCTAD!$C$5:$V$529,4,FALSE),"..")</f>
        <v>10211288000</v>
      </c>
      <c r="BF401" s="846" t="str">
        <f t="shared" si="74"/>
        <v>..</v>
      </c>
      <c r="BG401" s="117">
        <f>VLOOKUP($D401,'WB Data'!$C$3:$M$578,5,FALSE)</f>
        <v>5534410000</v>
      </c>
      <c r="BH401" s="129">
        <f>IFERROR($BB401/$BG401,"..")</f>
        <v>0.25533459085973031</v>
      </c>
      <c r="BI401" s="117" t="str">
        <f>IFERROR(VLOOKUP($D401,'WB Data'!$C$3:$M$578,7,FALSE)/100,"..")</f>
        <v>..</v>
      </c>
      <c r="BJ401" s="117" t="str">
        <f>IFERROR($BI401*$AW401,"..")</f>
        <v>..</v>
      </c>
      <c r="BK401" s="846" t="str">
        <f>IFERROR($BB401/$BJ401,"..")</f>
        <v>..</v>
      </c>
      <c r="BL401" s="117" t="str">
        <f>IFERROR(VLOOKUP($D401,'WB Data'!$C$3:$M$578,7,FALSE)/100,"..")</f>
        <v>..</v>
      </c>
      <c r="BM401" s="117" t="str">
        <f>IFERROR($AW401*$BL401,"..")</f>
        <v>..</v>
      </c>
      <c r="BN401" s="846" t="str">
        <f>IFERROR($BB401/$BM401,"..")</f>
        <v>..</v>
      </c>
      <c r="BO401" s="801" t="str">
        <f t="shared" si="70"/>
        <v>..</v>
      </c>
      <c r="BP401" s="117" t="str">
        <f>VLOOKUP($D401,'WB Data'!$C$3:$M$578,9,FALSE)</f>
        <v>..</v>
      </c>
      <c r="BQ401" s="117">
        <f>VLOOKUP($D401,'WB Data'!$C$3:$M$578,10,FALSE)</f>
        <v>49.300707317073176</v>
      </c>
      <c r="BR401" s="117">
        <f>VLOOKUP($D401,'WB Data'!$C$3:$M$578,11,FALSE)</f>
        <v>90.2</v>
      </c>
      <c r="BS401" s="129" t="str">
        <f>IFERROR(VLOOKUP($D401,'WB Data 2'!$C$2:$K$545,9,FALSE),"..")</f>
        <v>..</v>
      </c>
      <c r="BT401" s="129" t="str">
        <f>_xlfn.IFNA(VLOOKUP($C401,RGI!$A$2:$C$43,2,FALSE),"..")</f>
        <v>..</v>
      </c>
      <c r="BU401" s="129" t="str">
        <f>_xlfn.IFNA(VLOOKUP($C401,RGI!$A$2:$C$43,3,FALSE),"..")</f>
        <v>..</v>
      </c>
      <c r="BV401" s="129">
        <f>VLOOKUP($D401,WGI!$C$2:$O$478,7,FALSE)</f>
        <v>-1.5257921010692801</v>
      </c>
      <c r="BW401" s="129">
        <f>VLOOKUP($D401,WGI!$C$2:$O$478,4,FALSE)</f>
        <v>-2.23568898135012</v>
      </c>
      <c r="BX401" s="129">
        <f>VLOOKUP($D401,WGI!$C$2:$O$478,3,FALSE)</f>
        <v>-1.67344961349851</v>
      </c>
      <c r="BY401" s="129">
        <f>VLOOKUP($D401,WGI!$C$2:$O$478,5,FALSE)</f>
        <v>-1.5198330218751099</v>
      </c>
      <c r="BZ401" s="129">
        <f>VLOOKUP($D401,WGI!$C$2:$O$478,2,FALSE)</f>
        <v>-1.3957785017656701</v>
      </c>
    </row>
    <row r="402" spans="1:78" ht="15" customHeight="1">
      <c r="A402" s="294" t="s">
        <v>182</v>
      </c>
      <c r="B402" s="117">
        <v>2011</v>
      </c>
      <c r="C402" s="132" t="s">
        <v>171</v>
      </c>
      <c r="D402" s="117" t="s">
        <v>3692</v>
      </c>
      <c r="E402" s="117" t="s">
        <v>86</v>
      </c>
      <c r="F402" s="117"/>
      <c r="G402" s="117" t="s">
        <v>103</v>
      </c>
      <c r="H402" s="117" t="str">
        <f t="shared" si="65"/>
        <v>no</v>
      </c>
      <c r="I402" s="117" t="str">
        <f t="shared" si="66"/>
        <v>no</v>
      </c>
      <c r="J402" s="117" t="str">
        <f t="shared" si="67"/>
        <v>yes</v>
      </c>
      <c r="K402" s="176" t="s">
        <v>103</v>
      </c>
      <c r="L402" s="117" t="str">
        <f t="shared" si="69"/>
        <v>detailed</v>
      </c>
      <c r="M402" s="117" t="str">
        <f t="shared" si="68"/>
        <v>detailed Oil</v>
      </c>
      <c r="N402" s="118">
        <v>7373000</v>
      </c>
      <c r="O402" s="118"/>
      <c r="P402" s="118"/>
      <c r="Q402" s="118"/>
      <c r="R402" s="118"/>
      <c r="S402" s="117" t="s">
        <v>646</v>
      </c>
      <c r="T402" s="119">
        <v>106.53</v>
      </c>
      <c r="U402" s="117" t="s">
        <v>673</v>
      </c>
      <c r="V402" s="117"/>
      <c r="W402" s="89">
        <f>N402*T402</f>
        <v>785445690</v>
      </c>
      <c r="X402" s="117"/>
      <c r="Y402" s="117"/>
      <c r="Z402" s="117"/>
      <c r="AA402" s="179">
        <v>465655388</v>
      </c>
      <c r="AB402" s="179">
        <v>465655806</v>
      </c>
      <c r="AC402" s="351" t="s">
        <v>1105</v>
      </c>
      <c r="AD402" s="179">
        <f>AA402*1</f>
        <v>465655388</v>
      </c>
      <c r="AE402" s="351" t="s">
        <v>665</v>
      </c>
      <c r="AF402" s="213">
        <f>AD402/W402</f>
        <v>0.59285497893559003</v>
      </c>
      <c r="AG402" s="117"/>
      <c r="AH402" s="124"/>
      <c r="AI402" s="117"/>
      <c r="AJ402" s="117"/>
      <c r="AK402" s="89"/>
      <c r="AL402" s="117"/>
      <c r="AM402" s="117"/>
      <c r="AN402" s="117">
        <v>27</v>
      </c>
      <c r="AO402" s="117" t="s">
        <v>1106</v>
      </c>
      <c r="AP402" s="117">
        <v>27</v>
      </c>
      <c r="AQ402" s="117"/>
      <c r="AR402" s="126"/>
      <c r="AS402" s="117"/>
      <c r="AT402" s="117"/>
      <c r="AU402" s="117"/>
      <c r="AV402" s="128"/>
      <c r="AW402" s="117">
        <f>VLOOKUP($D402,'WB Data'!$C$3:$M$578,2,FALSE)</f>
        <v>25835398967.342049</v>
      </c>
      <c r="AX402" s="117">
        <f>VLOOKUP($D402,'WB Data'!$C$3:$M$578,3,FALSE)</f>
        <v>63931512</v>
      </c>
      <c r="AY402" s="847">
        <f t="shared" si="71"/>
        <v>5.4697290132283284E-2</v>
      </c>
      <c r="AZ402" s="117" t="e">
        <f>VLOOKUP($D402,'WB Data'!$C$3:$M$578,4,FALSE)/100</f>
        <v>#VALUE!</v>
      </c>
      <c r="BA402" s="117" t="str">
        <f t="shared" si="72"/>
        <v>..</v>
      </c>
      <c r="BB402" s="129">
        <f>IFERROR(VLOOKUP($D402,'EITI Revenues'!$C$2:$G$224,5,FALSE),"..")</f>
        <v>1413126313</v>
      </c>
      <c r="BC402" s="846" t="str">
        <f t="shared" si="73"/>
        <v>..</v>
      </c>
      <c r="BD402" s="129" t="e">
        <f>VLOOKUP($D402,'WB Data 2'!$C$2:$K$545,6,FALSE)</f>
        <v>#N/A</v>
      </c>
      <c r="BE402" s="129">
        <f>IFERROR(VLOOKUP($D402,UNCTAD!$C$5:$V$529,4,FALSE),"..")</f>
        <v>10211288000</v>
      </c>
      <c r="BF402" s="846" t="str">
        <f t="shared" si="74"/>
        <v>..</v>
      </c>
      <c r="BG402" s="117">
        <f>VLOOKUP($D402,'WB Data'!$C$3:$M$578,5,FALSE)</f>
        <v>5534410000</v>
      </c>
      <c r="BH402" s="129">
        <f>IFERROR($BB402/$BG402,"..")</f>
        <v>0.25533459085973031</v>
      </c>
      <c r="BI402" s="117" t="str">
        <f>IFERROR(VLOOKUP($D402,'WB Data'!$C$3:$M$578,7,FALSE)/100,"..")</f>
        <v>..</v>
      </c>
      <c r="BJ402" s="117" t="str">
        <f>IFERROR($BI402*$AW402,"..")</f>
        <v>..</v>
      </c>
      <c r="BK402" s="846" t="str">
        <f>IFERROR($BB402/$BJ402,"..")</f>
        <v>..</v>
      </c>
      <c r="BL402" s="117" t="str">
        <f>IFERROR(VLOOKUP($D402,'WB Data'!$C$3:$M$578,7,FALSE)/100,"..")</f>
        <v>..</v>
      </c>
      <c r="BM402" s="117" t="str">
        <f>IFERROR($AW402*$BL402,"..")</f>
        <v>..</v>
      </c>
      <c r="BN402" s="846" t="str">
        <f>IFERROR($BB402/$BM402,"..")</f>
        <v>..</v>
      </c>
      <c r="BO402" s="801" t="str">
        <f t="shared" si="70"/>
        <v>..</v>
      </c>
      <c r="BP402" s="117" t="str">
        <f>VLOOKUP($D402,'WB Data'!$C$3:$M$578,9,FALSE)</f>
        <v>..</v>
      </c>
      <c r="BQ402" s="117">
        <f>VLOOKUP($D402,'WB Data'!$C$3:$M$578,10,FALSE)</f>
        <v>49.300707317073176</v>
      </c>
      <c r="BR402" s="117">
        <f>VLOOKUP($D402,'WB Data'!$C$3:$M$578,11,FALSE)</f>
        <v>90.2</v>
      </c>
      <c r="BS402" s="129" t="str">
        <f>IFERROR(VLOOKUP($D402,'WB Data 2'!$C$2:$K$545,9,FALSE),"..")</f>
        <v>..</v>
      </c>
      <c r="BT402" s="129" t="str">
        <f>_xlfn.IFNA(VLOOKUP($C402,RGI!$A$2:$C$43,2,FALSE),"..")</f>
        <v>..</v>
      </c>
      <c r="BU402" s="129" t="str">
        <f>_xlfn.IFNA(VLOOKUP($C402,RGI!$A$2:$C$43,3,FALSE),"..")</f>
        <v>..</v>
      </c>
      <c r="BV402" s="129">
        <f>VLOOKUP($D402,WGI!$C$2:$O$478,7,FALSE)</f>
        <v>-1.5257921010692801</v>
      </c>
      <c r="BW402" s="129">
        <f>VLOOKUP($D402,WGI!$C$2:$O$478,4,FALSE)</f>
        <v>-2.23568898135012</v>
      </c>
      <c r="BX402" s="129">
        <f>VLOOKUP($D402,WGI!$C$2:$O$478,3,FALSE)</f>
        <v>-1.67344961349851</v>
      </c>
      <c r="BY402" s="129">
        <f>VLOOKUP($D402,WGI!$C$2:$O$478,5,FALSE)</f>
        <v>-1.5198330218751099</v>
      </c>
      <c r="BZ402" s="129">
        <f>VLOOKUP($D402,WGI!$C$2:$O$478,2,FALSE)</f>
        <v>-1.3957785017656701</v>
      </c>
    </row>
    <row r="403" spans="1:78" ht="15" customHeight="1">
      <c r="A403" s="294" t="s">
        <v>182</v>
      </c>
      <c r="B403" s="117">
        <v>2011</v>
      </c>
      <c r="C403" s="132" t="s">
        <v>171</v>
      </c>
      <c r="D403" s="117" t="s">
        <v>3692</v>
      </c>
      <c r="E403" s="117" t="s">
        <v>86</v>
      </c>
      <c r="F403" s="117"/>
      <c r="G403" s="117" t="s">
        <v>24</v>
      </c>
      <c r="H403" s="117" t="str">
        <f t="shared" si="65"/>
        <v>yes</v>
      </c>
      <c r="I403" s="117" t="str">
        <f t="shared" si="66"/>
        <v>no</v>
      </c>
      <c r="J403" s="117" t="str">
        <f t="shared" si="67"/>
        <v>no</v>
      </c>
      <c r="K403" s="176" t="s">
        <v>600</v>
      </c>
      <c r="L403" s="117" t="str">
        <f t="shared" si="69"/>
        <v>Total</v>
      </c>
      <c r="M403" s="117" t="str">
        <f t="shared" si="68"/>
        <v>Total Mining</v>
      </c>
      <c r="N403" s="118"/>
      <c r="O403" s="118"/>
      <c r="P403" s="118"/>
      <c r="Q403" s="118"/>
      <c r="R403" s="118"/>
      <c r="S403" s="117"/>
      <c r="T403" s="119"/>
      <c r="U403" s="117"/>
      <c r="V403" s="117"/>
      <c r="W403" s="89">
        <f>SUM(W404:W423)</f>
        <v>4099820328.5550637</v>
      </c>
      <c r="X403" s="117"/>
      <c r="Y403" s="120"/>
      <c r="Z403" s="120"/>
      <c r="AA403" s="179">
        <v>947470925</v>
      </c>
      <c r="AB403" s="179">
        <v>942617547</v>
      </c>
      <c r="AC403" s="212"/>
      <c r="AD403" s="212"/>
      <c r="AE403" s="212"/>
      <c r="AF403" s="213">
        <f>AA403/W403</f>
        <v>0.23110059687272336</v>
      </c>
      <c r="AG403" s="117"/>
      <c r="AH403" s="124"/>
      <c r="AI403" s="117"/>
      <c r="AJ403" s="117"/>
      <c r="AK403" s="117"/>
      <c r="AL403" s="120"/>
      <c r="AM403" s="117"/>
      <c r="AN403" s="117">
        <v>83</v>
      </c>
      <c r="AO403" s="117" t="s">
        <v>1107</v>
      </c>
      <c r="AP403" s="117">
        <v>79</v>
      </c>
      <c r="AQ403" s="117"/>
      <c r="AR403" s="117"/>
      <c r="AS403" s="117"/>
      <c r="AT403" s="117"/>
      <c r="AU403" s="117">
        <v>7</v>
      </c>
      <c r="AV403" s="128"/>
      <c r="AW403" s="117">
        <f>VLOOKUP($D403,'WB Data'!$C$3:$M$578,2,FALSE)</f>
        <v>25835398967.342049</v>
      </c>
      <c r="AX403" s="117">
        <f>VLOOKUP($D403,'WB Data'!$C$3:$M$578,3,FALSE)</f>
        <v>63931512</v>
      </c>
      <c r="AY403" s="847">
        <f t="shared" si="71"/>
        <v>5.4697290132283284E-2</v>
      </c>
      <c r="AZ403" s="117" t="e">
        <f>VLOOKUP($D403,'WB Data'!$C$3:$M$578,4,FALSE)/100</f>
        <v>#VALUE!</v>
      </c>
      <c r="BA403" s="117" t="str">
        <f t="shared" si="72"/>
        <v>..</v>
      </c>
      <c r="BB403" s="129">
        <f>IFERROR(VLOOKUP($D403,'EITI Revenues'!$C$2:$G$224,5,FALSE),"..")</f>
        <v>1413126313</v>
      </c>
      <c r="BC403" s="846" t="str">
        <f t="shared" si="73"/>
        <v>..</v>
      </c>
      <c r="BD403" s="129" t="e">
        <f>VLOOKUP($D403,'WB Data 2'!$C$2:$K$545,6,FALSE)</f>
        <v>#N/A</v>
      </c>
      <c r="BE403" s="129">
        <f>IFERROR(VLOOKUP($D403,UNCTAD!$C$5:$V$529,4,FALSE),"..")</f>
        <v>10211288000</v>
      </c>
      <c r="BF403" s="846" t="str">
        <f t="shared" si="74"/>
        <v>..</v>
      </c>
      <c r="BG403" s="117">
        <f>VLOOKUP($D403,'WB Data'!$C$3:$M$578,5,FALSE)</f>
        <v>5534410000</v>
      </c>
      <c r="BH403" s="129">
        <f>IFERROR($BB403/$BG403,"..")</f>
        <v>0.25533459085973031</v>
      </c>
      <c r="BI403" s="117" t="str">
        <f>IFERROR(VLOOKUP($D403,'WB Data'!$C$3:$M$578,7,FALSE)/100,"..")</f>
        <v>..</v>
      </c>
      <c r="BJ403" s="117" t="str">
        <f>IFERROR($BI403*$AW403,"..")</f>
        <v>..</v>
      </c>
      <c r="BK403" s="846" t="str">
        <f>IFERROR($BB403/$BJ403,"..")</f>
        <v>..</v>
      </c>
      <c r="BL403" s="117" t="str">
        <f>IFERROR(VLOOKUP($D403,'WB Data'!$C$3:$M$578,7,FALSE)/100,"..")</f>
        <v>..</v>
      </c>
      <c r="BM403" s="117" t="str">
        <f>IFERROR($AW403*$BL403,"..")</f>
        <v>..</v>
      </c>
      <c r="BN403" s="846" t="str">
        <f>IFERROR($BB403/$BM403,"..")</f>
        <v>..</v>
      </c>
      <c r="BO403" s="801" t="str">
        <f t="shared" si="70"/>
        <v>..</v>
      </c>
      <c r="BP403" s="117" t="str">
        <f>VLOOKUP($D403,'WB Data'!$C$3:$M$578,9,FALSE)</f>
        <v>..</v>
      </c>
      <c r="BQ403" s="117">
        <f>VLOOKUP($D403,'WB Data'!$C$3:$M$578,10,FALSE)</f>
        <v>49.300707317073176</v>
      </c>
      <c r="BR403" s="117">
        <f>VLOOKUP($D403,'WB Data'!$C$3:$M$578,11,FALSE)</f>
        <v>90.2</v>
      </c>
      <c r="BS403" s="129" t="str">
        <f>IFERROR(VLOOKUP($D403,'WB Data 2'!$C$2:$K$545,9,FALSE),"..")</f>
        <v>..</v>
      </c>
      <c r="BT403" s="129" t="str">
        <f>_xlfn.IFNA(VLOOKUP($C403,RGI!$A$2:$C$43,2,FALSE),"..")</f>
        <v>..</v>
      </c>
      <c r="BU403" s="129" t="str">
        <f>_xlfn.IFNA(VLOOKUP($C403,RGI!$A$2:$C$43,3,FALSE),"..")</f>
        <v>..</v>
      </c>
      <c r="BV403" s="129">
        <f>VLOOKUP($D403,WGI!$C$2:$O$478,7,FALSE)</f>
        <v>-1.5257921010692801</v>
      </c>
      <c r="BW403" s="129">
        <f>VLOOKUP($D403,WGI!$C$2:$O$478,4,FALSE)</f>
        <v>-2.23568898135012</v>
      </c>
      <c r="BX403" s="129">
        <f>VLOOKUP($D403,WGI!$C$2:$O$478,3,FALSE)</f>
        <v>-1.67344961349851</v>
      </c>
      <c r="BY403" s="129">
        <f>VLOOKUP($D403,WGI!$C$2:$O$478,5,FALSE)</f>
        <v>-1.5198330218751099</v>
      </c>
      <c r="BZ403" s="129">
        <f>VLOOKUP($D403,WGI!$C$2:$O$478,2,FALSE)</f>
        <v>-1.3957785017656701</v>
      </c>
    </row>
    <row r="404" spans="1:78" ht="15" customHeight="1">
      <c r="A404" s="294" t="s">
        <v>182</v>
      </c>
      <c r="B404" s="117">
        <v>2011</v>
      </c>
      <c r="C404" s="132" t="s">
        <v>171</v>
      </c>
      <c r="D404" s="117" t="s">
        <v>3692</v>
      </c>
      <c r="E404" s="117" t="s">
        <v>86</v>
      </c>
      <c r="F404" s="117"/>
      <c r="G404" s="117" t="s">
        <v>24</v>
      </c>
      <c r="H404" s="117" t="str">
        <f t="shared" si="65"/>
        <v>yes</v>
      </c>
      <c r="I404" s="117" t="str">
        <f t="shared" si="66"/>
        <v>no</v>
      </c>
      <c r="J404" s="117" t="str">
        <f t="shared" si="67"/>
        <v>no</v>
      </c>
      <c r="K404" s="176" t="s">
        <v>616</v>
      </c>
      <c r="L404" s="117" t="str">
        <f t="shared" si="69"/>
        <v>detailed</v>
      </c>
      <c r="M404" s="117" t="str">
        <f t="shared" si="68"/>
        <v>detailed Mining</v>
      </c>
      <c r="N404" s="179">
        <v>1469</v>
      </c>
      <c r="O404" s="179"/>
      <c r="P404" s="179"/>
      <c r="Q404" s="179"/>
      <c r="R404" s="179"/>
      <c r="S404" s="117" t="s">
        <v>610</v>
      </c>
      <c r="T404" s="119">
        <v>111.54662184722224</v>
      </c>
      <c r="U404" s="117" t="s">
        <v>611</v>
      </c>
      <c r="V404" s="117" t="s">
        <v>1108</v>
      </c>
      <c r="W404" s="89">
        <f>N404*T404</f>
        <v>163861.98749356947</v>
      </c>
      <c r="X404" s="117"/>
      <c r="Y404" s="117"/>
      <c r="Z404" s="117"/>
      <c r="AA404" s="177"/>
      <c r="AB404" s="177"/>
      <c r="AC404" s="122"/>
      <c r="AD404" s="122"/>
      <c r="AE404" s="122"/>
      <c r="AF404" s="123"/>
      <c r="AG404" s="117"/>
      <c r="AH404" s="124"/>
      <c r="AI404" s="117"/>
      <c r="AJ404" s="117"/>
      <c r="AK404" s="89"/>
      <c r="AL404" s="117"/>
      <c r="AM404" s="117"/>
      <c r="AN404" s="117"/>
      <c r="AO404" s="117"/>
      <c r="AP404" s="117"/>
      <c r="AQ404" s="117"/>
      <c r="AR404" s="126"/>
      <c r="AS404" s="117"/>
      <c r="AT404" s="117"/>
      <c r="AU404" s="117"/>
      <c r="AV404" s="128"/>
      <c r="AW404" s="117">
        <f>VLOOKUP($D404,'WB Data'!$C$3:$M$578,2,FALSE)</f>
        <v>25835398967.342049</v>
      </c>
      <c r="AX404" s="117">
        <f>VLOOKUP($D404,'WB Data'!$C$3:$M$578,3,FALSE)</f>
        <v>63931512</v>
      </c>
      <c r="AY404" s="847">
        <f t="shared" si="71"/>
        <v>5.4697290132283284E-2</v>
      </c>
      <c r="AZ404" s="117" t="e">
        <f>VLOOKUP($D404,'WB Data'!$C$3:$M$578,4,FALSE)/100</f>
        <v>#VALUE!</v>
      </c>
      <c r="BA404" s="117" t="str">
        <f t="shared" si="72"/>
        <v>..</v>
      </c>
      <c r="BB404" s="129">
        <f>IFERROR(VLOOKUP($D404,'EITI Revenues'!$C$2:$G$224,5,FALSE),"..")</f>
        <v>1413126313</v>
      </c>
      <c r="BC404" s="846" t="str">
        <f t="shared" si="73"/>
        <v>..</v>
      </c>
      <c r="BD404" s="129" t="e">
        <f>VLOOKUP($D404,'WB Data 2'!$C$2:$K$545,6,FALSE)</f>
        <v>#N/A</v>
      </c>
      <c r="BE404" s="129">
        <f>IFERROR(VLOOKUP($D404,UNCTAD!$C$5:$V$529,4,FALSE),"..")</f>
        <v>10211288000</v>
      </c>
      <c r="BF404" s="846" t="str">
        <f t="shared" si="74"/>
        <v>..</v>
      </c>
      <c r="BG404" s="117">
        <f>VLOOKUP($D404,'WB Data'!$C$3:$M$578,5,FALSE)</f>
        <v>5534410000</v>
      </c>
      <c r="BH404" s="129">
        <f>IFERROR($BB404/$BG404,"..")</f>
        <v>0.25533459085973031</v>
      </c>
      <c r="BI404" s="117" t="str">
        <f>IFERROR(VLOOKUP($D404,'WB Data'!$C$3:$M$578,7,FALSE)/100,"..")</f>
        <v>..</v>
      </c>
      <c r="BJ404" s="117" t="str">
        <f>IFERROR($BI404*$AW404,"..")</f>
        <v>..</v>
      </c>
      <c r="BK404" s="846" t="str">
        <f>IFERROR($BB404/$BJ404,"..")</f>
        <v>..</v>
      </c>
      <c r="BL404" s="117" t="str">
        <f>IFERROR(VLOOKUP($D404,'WB Data'!$C$3:$M$578,7,FALSE)/100,"..")</f>
        <v>..</v>
      </c>
      <c r="BM404" s="117" t="str">
        <f>IFERROR($AW404*$BL404,"..")</f>
        <v>..</v>
      </c>
      <c r="BN404" s="846" t="str">
        <f>IFERROR($BB404/$BM404,"..")</f>
        <v>..</v>
      </c>
      <c r="BO404" s="801" t="str">
        <f t="shared" si="70"/>
        <v>..</v>
      </c>
      <c r="BP404" s="117" t="str">
        <f>VLOOKUP($D404,'WB Data'!$C$3:$M$578,9,FALSE)</f>
        <v>..</v>
      </c>
      <c r="BQ404" s="117">
        <f>VLOOKUP($D404,'WB Data'!$C$3:$M$578,10,FALSE)</f>
        <v>49.300707317073176</v>
      </c>
      <c r="BR404" s="117">
        <f>VLOOKUP($D404,'WB Data'!$C$3:$M$578,11,FALSE)</f>
        <v>90.2</v>
      </c>
      <c r="BS404" s="129" t="str">
        <f>IFERROR(VLOOKUP($D404,'WB Data 2'!$C$2:$K$545,9,FALSE),"..")</f>
        <v>..</v>
      </c>
      <c r="BT404" s="129" t="str">
        <f>_xlfn.IFNA(VLOOKUP($C404,RGI!$A$2:$C$43,2,FALSE),"..")</f>
        <v>..</v>
      </c>
      <c r="BU404" s="129" t="str">
        <f>_xlfn.IFNA(VLOOKUP($C404,RGI!$A$2:$C$43,3,FALSE),"..")</f>
        <v>..</v>
      </c>
      <c r="BV404" s="129">
        <f>VLOOKUP($D404,WGI!$C$2:$O$478,7,FALSE)</f>
        <v>-1.5257921010692801</v>
      </c>
      <c r="BW404" s="129">
        <f>VLOOKUP($D404,WGI!$C$2:$O$478,4,FALSE)</f>
        <v>-2.23568898135012</v>
      </c>
      <c r="BX404" s="129">
        <f>VLOOKUP($D404,WGI!$C$2:$O$478,3,FALSE)</f>
        <v>-1.67344961349851</v>
      </c>
      <c r="BY404" s="129">
        <f>VLOOKUP($D404,WGI!$C$2:$O$478,5,FALSE)</f>
        <v>-1.5198330218751099</v>
      </c>
      <c r="BZ404" s="129">
        <f>VLOOKUP($D404,WGI!$C$2:$O$478,2,FALSE)</f>
        <v>-1.3957785017656701</v>
      </c>
    </row>
    <row r="405" spans="1:78" ht="15" customHeight="1">
      <c r="A405" s="294" t="s">
        <v>182</v>
      </c>
      <c r="B405" s="117">
        <v>2011</v>
      </c>
      <c r="C405" s="132" t="s">
        <v>171</v>
      </c>
      <c r="D405" s="117" t="s">
        <v>3692</v>
      </c>
      <c r="E405" s="117" t="s">
        <v>86</v>
      </c>
      <c r="F405" s="117"/>
      <c r="G405" s="117" t="s">
        <v>24</v>
      </c>
      <c r="H405" s="117" t="str">
        <f t="shared" si="65"/>
        <v>yes</v>
      </c>
      <c r="I405" s="117" t="str">
        <f t="shared" si="66"/>
        <v>no</v>
      </c>
      <c r="J405" s="117" t="str">
        <f t="shared" si="67"/>
        <v>no</v>
      </c>
      <c r="K405" s="176" t="s">
        <v>1061</v>
      </c>
      <c r="L405" s="117" t="str">
        <f t="shared" si="69"/>
        <v>detailed</v>
      </c>
      <c r="M405" s="117" t="str">
        <f t="shared" si="68"/>
        <v>detailed Mining</v>
      </c>
      <c r="N405" s="179"/>
      <c r="O405" s="179"/>
      <c r="P405" s="179"/>
      <c r="Q405" s="179"/>
      <c r="R405" s="179"/>
      <c r="S405" s="117"/>
      <c r="T405" s="119">
        <f>17.99/0.000453592</f>
        <v>39661.193319106154</v>
      </c>
      <c r="U405" s="117" t="s">
        <v>611</v>
      </c>
      <c r="V405" s="117" t="s">
        <v>1090</v>
      </c>
      <c r="W405" s="89">
        <f>N407*T405</f>
        <v>123068682.8691864</v>
      </c>
      <c r="X405" s="117"/>
      <c r="Y405" s="117"/>
      <c r="Z405" s="117"/>
      <c r="AA405" s="177"/>
      <c r="AB405" s="177"/>
      <c r="AC405" s="122"/>
      <c r="AD405" s="122"/>
      <c r="AE405" s="122"/>
      <c r="AF405" s="123"/>
      <c r="AG405" s="117"/>
      <c r="AH405" s="124"/>
      <c r="AI405" s="117"/>
      <c r="AJ405" s="117"/>
      <c r="AK405" s="89"/>
      <c r="AL405" s="117"/>
      <c r="AM405" s="117"/>
      <c r="AN405" s="117"/>
      <c r="AO405" s="117"/>
      <c r="AP405" s="117"/>
      <c r="AQ405" s="117"/>
      <c r="AR405" s="126"/>
      <c r="AS405" s="117"/>
      <c r="AT405" s="117"/>
      <c r="AU405" s="117"/>
      <c r="AV405" s="128"/>
      <c r="AW405" s="117">
        <f>VLOOKUP($D405,'WB Data'!$C$3:$M$578,2,FALSE)</f>
        <v>25835398967.342049</v>
      </c>
      <c r="AX405" s="117">
        <f>VLOOKUP($D405,'WB Data'!$C$3:$M$578,3,FALSE)</f>
        <v>63931512</v>
      </c>
      <c r="AY405" s="847">
        <f t="shared" si="71"/>
        <v>5.4697290132283284E-2</v>
      </c>
      <c r="AZ405" s="117" t="e">
        <f>VLOOKUP($D405,'WB Data'!$C$3:$M$578,4,FALSE)/100</f>
        <v>#VALUE!</v>
      </c>
      <c r="BA405" s="117" t="str">
        <f t="shared" si="72"/>
        <v>..</v>
      </c>
      <c r="BB405" s="129">
        <f>IFERROR(VLOOKUP($D405,'EITI Revenues'!$C$2:$G$224,5,FALSE),"..")</f>
        <v>1413126313</v>
      </c>
      <c r="BC405" s="846" t="str">
        <f t="shared" si="73"/>
        <v>..</v>
      </c>
      <c r="BD405" s="129" t="e">
        <f>VLOOKUP($D405,'WB Data 2'!$C$2:$K$545,6,FALSE)</f>
        <v>#N/A</v>
      </c>
      <c r="BE405" s="129">
        <f>IFERROR(VLOOKUP($D405,UNCTAD!$C$5:$V$529,4,FALSE),"..")</f>
        <v>10211288000</v>
      </c>
      <c r="BF405" s="846" t="str">
        <f t="shared" si="74"/>
        <v>..</v>
      </c>
      <c r="BG405" s="117">
        <f>VLOOKUP($D405,'WB Data'!$C$3:$M$578,5,FALSE)</f>
        <v>5534410000</v>
      </c>
      <c r="BH405" s="129">
        <f>IFERROR($BB405/$BG405,"..")</f>
        <v>0.25533459085973031</v>
      </c>
      <c r="BI405" s="117" t="str">
        <f>IFERROR(VLOOKUP($D405,'WB Data'!$C$3:$M$578,7,FALSE)/100,"..")</f>
        <v>..</v>
      </c>
      <c r="BJ405" s="117" t="str">
        <f>IFERROR($BI405*$AW405,"..")</f>
        <v>..</v>
      </c>
      <c r="BK405" s="846" t="str">
        <f>IFERROR($BB405/$BJ405,"..")</f>
        <v>..</v>
      </c>
      <c r="BL405" s="117" t="str">
        <f>IFERROR(VLOOKUP($D405,'WB Data'!$C$3:$M$578,7,FALSE)/100,"..")</f>
        <v>..</v>
      </c>
      <c r="BM405" s="117" t="str">
        <f>IFERROR($AW405*$BL405,"..")</f>
        <v>..</v>
      </c>
      <c r="BN405" s="846" t="str">
        <f>IFERROR($BB405/$BM405,"..")</f>
        <v>..</v>
      </c>
      <c r="BO405" s="801" t="str">
        <f t="shared" si="70"/>
        <v>..</v>
      </c>
      <c r="BP405" s="117" t="str">
        <f>VLOOKUP($D405,'WB Data'!$C$3:$M$578,9,FALSE)</f>
        <v>..</v>
      </c>
      <c r="BQ405" s="117">
        <f>VLOOKUP($D405,'WB Data'!$C$3:$M$578,10,FALSE)</f>
        <v>49.300707317073176</v>
      </c>
      <c r="BR405" s="117">
        <f>VLOOKUP($D405,'WB Data'!$C$3:$M$578,11,FALSE)</f>
        <v>90.2</v>
      </c>
      <c r="BS405" s="129" t="str">
        <f>IFERROR(VLOOKUP($D405,'WB Data 2'!$C$2:$K$545,9,FALSE),"..")</f>
        <v>..</v>
      </c>
      <c r="BT405" s="129" t="str">
        <f>_xlfn.IFNA(VLOOKUP($C405,RGI!$A$2:$C$43,2,FALSE),"..")</f>
        <v>..</v>
      </c>
      <c r="BU405" s="129" t="str">
        <f>_xlfn.IFNA(VLOOKUP($C405,RGI!$A$2:$C$43,3,FALSE),"..")</f>
        <v>..</v>
      </c>
      <c r="BV405" s="129">
        <f>VLOOKUP($D405,WGI!$C$2:$O$478,7,FALSE)</f>
        <v>-1.5257921010692801</v>
      </c>
      <c r="BW405" s="129">
        <f>VLOOKUP($D405,WGI!$C$2:$O$478,4,FALSE)</f>
        <v>-2.23568898135012</v>
      </c>
      <c r="BX405" s="129">
        <f>VLOOKUP($D405,WGI!$C$2:$O$478,3,FALSE)</f>
        <v>-1.67344961349851</v>
      </c>
      <c r="BY405" s="129">
        <f>VLOOKUP($D405,WGI!$C$2:$O$478,5,FALSE)</f>
        <v>-1.5198330218751099</v>
      </c>
      <c r="BZ405" s="129">
        <f>VLOOKUP($D405,WGI!$C$2:$O$478,2,FALSE)</f>
        <v>-1.3957785017656701</v>
      </c>
    </row>
    <row r="406" spans="1:78" ht="15" customHeight="1">
      <c r="A406" s="294" t="s">
        <v>182</v>
      </c>
      <c r="B406" s="117">
        <v>2011</v>
      </c>
      <c r="C406" s="132" t="s">
        <v>171</v>
      </c>
      <c r="D406" s="117" t="s">
        <v>3692</v>
      </c>
      <c r="E406" s="117" t="s">
        <v>86</v>
      </c>
      <c r="F406" s="117"/>
      <c r="G406" s="117" t="s">
        <v>24</v>
      </c>
      <c r="H406" s="117" t="str">
        <f t="shared" si="65"/>
        <v>yes</v>
      </c>
      <c r="I406" s="117" t="str">
        <f t="shared" si="66"/>
        <v>no</v>
      </c>
      <c r="J406" s="117" t="str">
        <f t="shared" si="67"/>
        <v>no</v>
      </c>
      <c r="K406" s="176" t="s">
        <v>1063</v>
      </c>
      <c r="L406" s="117" t="str">
        <f t="shared" si="69"/>
        <v>detailed</v>
      </c>
      <c r="M406" s="117" t="str">
        <f t="shared" si="68"/>
        <v>detailed Mining</v>
      </c>
      <c r="N406" s="179">
        <v>60000</v>
      </c>
      <c r="O406" s="179"/>
      <c r="P406" s="179"/>
      <c r="Q406" s="179"/>
      <c r="R406" s="179"/>
      <c r="S406" s="117" t="s">
        <v>610</v>
      </c>
      <c r="T406" s="119"/>
      <c r="U406" s="117"/>
      <c r="V406" s="117" t="s">
        <v>684</v>
      </c>
      <c r="W406" s="89"/>
      <c r="X406" s="117"/>
      <c r="Y406" s="117"/>
      <c r="Z406" s="117"/>
      <c r="AA406" s="177"/>
      <c r="AB406" s="177"/>
      <c r="AC406" s="122"/>
      <c r="AD406" s="122"/>
      <c r="AE406" s="122"/>
      <c r="AF406" s="123"/>
      <c r="AG406" s="117"/>
      <c r="AH406" s="124"/>
      <c r="AI406" s="117"/>
      <c r="AJ406" s="117"/>
      <c r="AK406" s="89"/>
      <c r="AL406" s="117"/>
      <c r="AM406" s="117"/>
      <c r="AN406" s="117"/>
      <c r="AO406" s="117"/>
      <c r="AP406" s="117"/>
      <c r="AQ406" s="117"/>
      <c r="AR406" s="126"/>
      <c r="AS406" s="117"/>
      <c r="AT406" s="117"/>
      <c r="AU406" s="117"/>
      <c r="AV406" s="128"/>
      <c r="AW406" s="117">
        <f>VLOOKUP($D406,'WB Data'!$C$3:$M$578,2,FALSE)</f>
        <v>25835398967.342049</v>
      </c>
      <c r="AX406" s="117">
        <f>VLOOKUP($D406,'WB Data'!$C$3:$M$578,3,FALSE)</f>
        <v>63931512</v>
      </c>
      <c r="AY406" s="847">
        <f t="shared" si="71"/>
        <v>5.4697290132283284E-2</v>
      </c>
      <c r="AZ406" s="117" t="e">
        <f>VLOOKUP($D406,'WB Data'!$C$3:$M$578,4,FALSE)/100</f>
        <v>#VALUE!</v>
      </c>
      <c r="BA406" s="117" t="str">
        <f t="shared" si="72"/>
        <v>..</v>
      </c>
      <c r="BB406" s="129">
        <f>IFERROR(VLOOKUP($D406,'EITI Revenues'!$C$2:$G$224,5,FALSE),"..")</f>
        <v>1413126313</v>
      </c>
      <c r="BC406" s="846" t="str">
        <f t="shared" si="73"/>
        <v>..</v>
      </c>
      <c r="BD406" s="129" t="e">
        <f>VLOOKUP($D406,'WB Data 2'!$C$2:$K$545,6,FALSE)</f>
        <v>#N/A</v>
      </c>
      <c r="BE406" s="129">
        <f>IFERROR(VLOOKUP($D406,UNCTAD!$C$5:$V$529,4,FALSE),"..")</f>
        <v>10211288000</v>
      </c>
      <c r="BF406" s="846" t="str">
        <f t="shared" si="74"/>
        <v>..</v>
      </c>
      <c r="BG406" s="117">
        <f>VLOOKUP($D406,'WB Data'!$C$3:$M$578,5,FALSE)</f>
        <v>5534410000</v>
      </c>
      <c r="BH406" s="129">
        <f>IFERROR($BB406/$BG406,"..")</f>
        <v>0.25533459085973031</v>
      </c>
      <c r="BI406" s="117" t="str">
        <f>IFERROR(VLOOKUP($D406,'WB Data'!$C$3:$M$578,7,FALSE)/100,"..")</f>
        <v>..</v>
      </c>
      <c r="BJ406" s="117" t="str">
        <f>IFERROR($BI406*$AW406,"..")</f>
        <v>..</v>
      </c>
      <c r="BK406" s="846" t="str">
        <f>IFERROR($BB406/$BJ406,"..")</f>
        <v>..</v>
      </c>
      <c r="BL406" s="117" t="str">
        <f>IFERROR(VLOOKUP($D406,'WB Data'!$C$3:$M$578,7,FALSE)/100,"..")</f>
        <v>..</v>
      </c>
      <c r="BM406" s="117" t="str">
        <f>IFERROR($AW406*$BL406,"..")</f>
        <v>..</v>
      </c>
      <c r="BN406" s="846" t="str">
        <f>IFERROR($BB406/$BM406,"..")</f>
        <v>..</v>
      </c>
      <c r="BO406" s="801" t="str">
        <f t="shared" si="70"/>
        <v>..</v>
      </c>
      <c r="BP406" s="117" t="str">
        <f>VLOOKUP($D406,'WB Data'!$C$3:$M$578,9,FALSE)</f>
        <v>..</v>
      </c>
      <c r="BQ406" s="117">
        <f>VLOOKUP($D406,'WB Data'!$C$3:$M$578,10,FALSE)</f>
        <v>49.300707317073176</v>
      </c>
      <c r="BR406" s="117">
        <f>VLOOKUP($D406,'WB Data'!$C$3:$M$578,11,FALSE)</f>
        <v>90.2</v>
      </c>
      <c r="BS406" s="129" t="str">
        <f>IFERROR(VLOOKUP($D406,'WB Data 2'!$C$2:$K$545,9,FALSE),"..")</f>
        <v>..</v>
      </c>
      <c r="BT406" s="129" t="str">
        <f>_xlfn.IFNA(VLOOKUP($C406,RGI!$A$2:$C$43,2,FALSE),"..")</f>
        <v>..</v>
      </c>
      <c r="BU406" s="129" t="str">
        <f>_xlfn.IFNA(VLOOKUP($C406,RGI!$A$2:$C$43,3,FALSE),"..")</f>
        <v>..</v>
      </c>
      <c r="BV406" s="129">
        <f>VLOOKUP($D406,WGI!$C$2:$O$478,7,FALSE)</f>
        <v>-1.5257921010692801</v>
      </c>
      <c r="BW406" s="129">
        <f>VLOOKUP($D406,WGI!$C$2:$O$478,4,FALSE)</f>
        <v>-2.23568898135012</v>
      </c>
      <c r="BX406" s="129">
        <f>VLOOKUP($D406,WGI!$C$2:$O$478,3,FALSE)</f>
        <v>-1.67344961349851</v>
      </c>
      <c r="BY406" s="129">
        <f>VLOOKUP($D406,WGI!$C$2:$O$478,5,FALSE)</f>
        <v>-1.5198330218751099</v>
      </c>
      <c r="BZ406" s="129">
        <f>VLOOKUP($D406,WGI!$C$2:$O$478,2,FALSE)</f>
        <v>-1.3957785017656701</v>
      </c>
    </row>
    <row r="407" spans="1:78" ht="15" customHeight="1">
      <c r="A407" s="294" t="s">
        <v>182</v>
      </c>
      <c r="B407" s="117">
        <v>2011</v>
      </c>
      <c r="C407" s="132" t="s">
        <v>171</v>
      </c>
      <c r="D407" s="117" t="s">
        <v>3692</v>
      </c>
      <c r="E407" s="117" t="s">
        <v>86</v>
      </c>
      <c r="F407" s="117"/>
      <c r="G407" s="117" t="s">
        <v>24</v>
      </c>
      <c r="H407" s="117" t="str">
        <f t="shared" si="65"/>
        <v>yes</v>
      </c>
      <c r="I407" s="117" t="str">
        <f t="shared" si="66"/>
        <v>no</v>
      </c>
      <c r="J407" s="117" t="str">
        <f t="shared" si="67"/>
        <v>no</v>
      </c>
      <c r="K407" s="176" t="s">
        <v>1064</v>
      </c>
      <c r="L407" s="117" t="str">
        <f t="shared" si="69"/>
        <v>detailed</v>
      </c>
      <c r="M407" s="117" t="str">
        <f t="shared" si="68"/>
        <v>detailed Mining</v>
      </c>
      <c r="N407" s="179">
        <v>3103</v>
      </c>
      <c r="O407" s="179"/>
      <c r="P407" s="179"/>
      <c r="Q407" s="179"/>
      <c r="R407" s="179"/>
      <c r="S407" s="117" t="s">
        <v>610</v>
      </c>
      <c r="T407" s="119"/>
      <c r="U407" s="117"/>
      <c r="V407" s="117" t="s">
        <v>684</v>
      </c>
      <c r="W407" s="89"/>
      <c r="X407" s="117"/>
      <c r="Y407" s="117"/>
      <c r="Z407" s="117"/>
      <c r="AA407" s="177"/>
      <c r="AB407" s="177"/>
      <c r="AC407" s="122"/>
      <c r="AD407" s="122"/>
      <c r="AE407" s="122"/>
      <c r="AF407" s="123"/>
      <c r="AG407" s="117"/>
      <c r="AH407" s="124"/>
      <c r="AI407" s="117"/>
      <c r="AJ407" s="117"/>
      <c r="AK407" s="89"/>
      <c r="AL407" s="117"/>
      <c r="AM407" s="117"/>
      <c r="AN407" s="117"/>
      <c r="AO407" s="117"/>
      <c r="AP407" s="117"/>
      <c r="AQ407" s="117"/>
      <c r="AR407" s="126"/>
      <c r="AS407" s="117"/>
      <c r="AT407" s="117"/>
      <c r="AU407" s="117"/>
      <c r="AV407" s="128"/>
      <c r="AW407" s="117">
        <f>VLOOKUP($D407,'WB Data'!$C$3:$M$578,2,FALSE)</f>
        <v>25835398967.342049</v>
      </c>
      <c r="AX407" s="117">
        <f>VLOOKUP($D407,'WB Data'!$C$3:$M$578,3,FALSE)</f>
        <v>63931512</v>
      </c>
      <c r="AY407" s="847">
        <f t="shared" si="71"/>
        <v>5.4697290132283284E-2</v>
      </c>
      <c r="AZ407" s="117" t="e">
        <f>VLOOKUP($D407,'WB Data'!$C$3:$M$578,4,FALSE)/100</f>
        <v>#VALUE!</v>
      </c>
      <c r="BA407" s="117" t="str">
        <f t="shared" si="72"/>
        <v>..</v>
      </c>
      <c r="BB407" s="129">
        <f>IFERROR(VLOOKUP($D407,'EITI Revenues'!$C$2:$G$224,5,FALSE),"..")</f>
        <v>1413126313</v>
      </c>
      <c r="BC407" s="846" t="str">
        <f t="shared" si="73"/>
        <v>..</v>
      </c>
      <c r="BD407" s="129" t="e">
        <f>VLOOKUP($D407,'WB Data 2'!$C$2:$K$545,6,FALSE)</f>
        <v>#N/A</v>
      </c>
      <c r="BE407" s="129">
        <f>IFERROR(VLOOKUP($D407,UNCTAD!$C$5:$V$529,4,FALSE),"..")</f>
        <v>10211288000</v>
      </c>
      <c r="BF407" s="846" t="str">
        <f t="shared" si="74"/>
        <v>..</v>
      </c>
      <c r="BG407" s="117">
        <f>VLOOKUP($D407,'WB Data'!$C$3:$M$578,5,FALSE)</f>
        <v>5534410000</v>
      </c>
      <c r="BH407" s="129">
        <f>IFERROR($BB407/$BG407,"..")</f>
        <v>0.25533459085973031</v>
      </c>
      <c r="BI407" s="117" t="str">
        <f>IFERROR(VLOOKUP($D407,'WB Data'!$C$3:$M$578,7,FALSE)/100,"..")</f>
        <v>..</v>
      </c>
      <c r="BJ407" s="117" t="str">
        <f>IFERROR($BI407*$AW407,"..")</f>
        <v>..</v>
      </c>
      <c r="BK407" s="846" t="str">
        <f>IFERROR($BB407/$BJ407,"..")</f>
        <v>..</v>
      </c>
      <c r="BL407" s="117" t="str">
        <f>IFERROR(VLOOKUP($D407,'WB Data'!$C$3:$M$578,7,FALSE)/100,"..")</f>
        <v>..</v>
      </c>
      <c r="BM407" s="117" t="str">
        <f>IFERROR($AW407*$BL407,"..")</f>
        <v>..</v>
      </c>
      <c r="BN407" s="846" t="str">
        <f>IFERROR($BB407/$BM407,"..")</f>
        <v>..</v>
      </c>
      <c r="BO407" s="801" t="str">
        <f t="shared" si="70"/>
        <v>..</v>
      </c>
      <c r="BP407" s="117" t="str">
        <f>VLOOKUP($D407,'WB Data'!$C$3:$M$578,9,FALSE)</f>
        <v>..</v>
      </c>
      <c r="BQ407" s="117">
        <f>VLOOKUP($D407,'WB Data'!$C$3:$M$578,10,FALSE)</f>
        <v>49.300707317073176</v>
      </c>
      <c r="BR407" s="117">
        <f>VLOOKUP($D407,'WB Data'!$C$3:$M$578,11,FALSE)</f>
        <v>90.2</v>
      </c>
      <c r="BS407" s="129" t="str">
        <f>IFERROR(VLOOKUP($D407,'WB Data 2'!$C$2:$K$545,9,FALSE),"..")</f>
        <v>..</v>
      </c>
      <c r="BT407" s="129" t="str">
        <f>_xlfn.IFNA(VLOOKUP($C407,RGI!$A$2:$C$43,2,FALSE),"..")</f>
        <v>..</v>
      </c>
      <c r="BU407" s="129" t="str">
        <f>_xlfn.IFNA(VLOOKUP($C407,RGI!$A$2:$C$43,3,FALSE),"..")</f>
        <v>..</v>
      </c>
      <c r="BV407" s="129">
        <f>VLOOKUP($D407,WGI!$C$2:$O$478,7,FALSE)</f>
        <v>-1.5257921010692801</v>
      </c>
      <c r="BW407" s="129">
        <f>VLOOKUP($D407,WGI!$C$2:$O$478,4,FALSE)</f>
        <v>-2.23568898135012</v>
      </c>
      <c r="BX407" s="129">
        <f>VLOOKUP($D407,WGI!$C$2:$O$478,3,FALSE)</f>
        <v>-1.67344961349851</v>
      </c>
      <c r="BY407" s="129">
        <f>VLOOKUP($D407,WGI!$C$2:$O$478,5,FALSE)</f>
        <v>-1.5198330218751099</v>
      </c>
      <c r="BZ407" s="129">
        <f>VLOOKUP($D407,WGI!$C$2:$O$478,2,FALSE)</f>
        <v>-1.3957785017656701</v>
      </c>
    </row>
    <row r="408" spans="1:78" ht="15" customHeight="1">
      <c r="A408" s="294" t="s">
        <v>182</v>
      </c>
      <c r="B408" s="117">
        <v>2011</v>
      </c>
      <c r="C408" s="132" t="s">
        <v>171</v>
      </c>
      <c r="D408" s="117" t="s">
        <v>3692</v>
      </c>
      <c r="E408" s="117" t="s">
        <v>86</v>
      </c>
      <c r="F408" s="117"/>
      <c r="G408" s="117" t="s">
        <v>24</v>
      </c>
      <c r="H408" s="117" t="str">
        <f t="shared" si="65"/>
        <v>yes</v>
      </c>
      <c r="I408" s="117" t="str">
        <f t="shared" si="66"/>
        <v>no</v>
      </c>
      <c r="J408" s="117" t="str">
        <f t="shared" si="67"/>
        <v>no</v>
      </c>
      <c r="K408" s="176" t="s">
        <v>1065</v>
      </c>
      <c r="L408" s="117" t="str">
        <f t="shared" si="69"/>
        <v>detailed</v>
      </c>
      <c r="M408" s="117" t="str">
        <f t="shared" si="68"/>
        <v>detailed Mining</v>
      </c>
      <c r="N408" s="179"/>
      <c r="O408" s="179"/>
      <c r="P408" s="179"/>
      <c r="Q408" s="179"/>
      <c r="R408" s="179"/>
      <c r="S408" s="117"/>
      <c r="T408" s="119"/>
      <c r="U408" s="117"/>
      <c r="V408" s="117"/>
      <c r="W408" s="89"/>
      <c r="X408" s="117"/>
      <c r="Y408" s="117"/>
      <c r="Z408" s="117"/>
      <c r="AA408" s="177"/>
      <c r="AB408" s="177"/>
      <c r="AC408" s="122"/>
      <c r="AD408" s="122"/>
      <c r="AE408" s="122"/>
      <c r="AF408" s="123"/>
      <c r="AG408" s="117"/>
      <c r="AH408" s="124"/>
      <c r="AI408" s="117"/>
      <c r="AJ408" s="117"/>
      <c r="AK408" s="89"/>
      <c r="AL408" s="117"/>
      <c r="AM408" s="117"/>
      <c r="AN408" s="117"/>
      <c r="AO408" s="117"/>
      <c r="AP408" s="117"/>
      <c r="AQ408" s="117"/>
      <c r="AR408" s="126"/>
      <c r="AS408" s="117"/>
      <c r="AT408" s="117"/>
      <c r="AU408" s="117"/>
      <c r="AV408" s="128"/>
      <c r="AW408" s="117">
        <f>VLOOKUP($D408,'WB Data'!$C$3:$M$578,2,FALSE)</f>
        <v>25835398967.342049</v>
      </c>
      <c r="AX408" s="117">
        <f>VLOOKUP($D408,'WB Data'!$C$3:$M$578,3,FALSE)</f>
        <v>63931512</v>
      </c>
      <c r="AY408" s="847">
        <f t="shared" si="71"/>
        <v>5.4697290132283284E-2</v>
      </c>
      <c r="AZ408" s="117" t="e">
        <f>VLOOKUP($D408,'WB Data'!$C$3:$M$578,4,FALSE)/100</f>
        <v>#VALUE!</v>
      </c>
      <c r="BA408" s="117" t="str">
        <f t="shared" si="72"/>
        <v>..</v>
      </c>
      <c r="BB408" s="129">
        <f>IFERROR(VLOOKUP($D408,'EITI Revenues'!$C$2:$G$224,5,FALSE),"..")</f>
        <v>1413126313</v>
      </c>
      <c r="BC408" s="846" t="str">
        <f t="shared" si="73"/>
        <v>..</v>
      </c>
      <c r="BD408" s="129" t="e">
        <f>VLOOKUP($D408,'WB Data 2'!$C$2:$K$545,6,FALSE)</f>
        <v>#N/A</v>
      </c>
      <c r="BE408" s="129">
        <f>IFERROR(VLOOKUP($D408,UNCTAD!$C$5:$V$529,4,FALSE),"..")</f>
        <v>10211288000</v>
      </c>
      <c r="BF408" s="846" t="str">
        <f t="shared" si="74"/>
        <v>..</v>
      </c>
      <c r="BG408" s="117">
        <f>VLOOKUP($D408,'WB Data'!$C$3:$M$578,5,FALSE)</f>
        <v>5534410000</v>
      </c>
      <c r="BH408" s="129">
        <f>IFERROR($BB408/$BG408,"..")</f>
        <v>0.25533459085973031</v>
      </c>
      <c r="BI408" s="117" t="str">
        <f>IFERROR(VLOOKUP($D408,'WB Data'!$C$3:$M$578,7,FALSE)/100,"..")</f>
        <v>..</v>
      </c>
      <c r="BJ408" s="117" t="str">
        <f>IFERROR($BI408*$AW408,"..")</f>
        <v>..</v>
      </c>
      <c r="BK408" s="846" t="str">
        <f>IFERROR($BB408/$BJ408,"..")</f>
        <v>..</v>
      </c>
      <c r="BL408" s="117" t="str">
        <f>IFERROR(VLOOKUP($D408,'WB Data'!$C$3:$M$578,7,FALSE)/100,"..")</f>
        <v>..</v>
      </c>
      <c r="BM408" s="117" t="str">
        <f>IFERROR($AW408*$BL408,"..")</f>
        <v>..</v>
      </c>
      <c r="BN408" s="846" t="str">
        <f>IFERROR($BB408/$BM408,"..")</f>
        <v>..</v>
      </c>
      <c r="BO408" s="801" t="str">
        <f t="shared" si="70"/>
        <v>..</v>
      </c>
      <c r="BP408" s="117" t="str">
        <f>VLOOKUP($D408,'WB Data'!$C$3:$M$578,9,FALSE)</f>
        <v>..</v>
      </c>
      <c r="BQ408" s="117">
        <f>VLOOKUP($D408,'WB Data'!$C$3:$M$578,10,FALSE)</f>
        <v>49.300707317073176</v>
      </c>
      <c r="BR408" s="117">
        <f>VLOOKUP($D408,'WB Data'!$C$3:$M$578,11,FALSE)</f>
        <v>90.2</v>
      </c>
      <c r="BS408" s="129" t="str">
        <f>IFERROR(VLOOKUP($D408,'WB Data 2'!$C$2:$K$545,9,FALSE),"..")</f>
        <v>..</v>
      </c>
      <c r="BT408" s="129" t="str">
        <f>_xlfn.IFNA(VLOOKUP($C408,RGI!$A$2:$C$43,2,FALSE),"..")</f>
        <v>..</v>
      </c>
      <c r="BU408" s="129" t="str">
        <f>_xlfn.IFNA(VLOOKUP($C408,RGI!$A$2:$C$43,3,FALSE),"..")</f>
        <v>..</v>
      </c>
      <c r="BV408" s="129">
        <f>VLOOKUP($D408,WGI!$C$2:$O$478,7,FALSE)</f>
        <v>-1.5257921010692801</v>
      </c>
      <c r="BW408" s="129">
        <f>VLOOKUP($D408,WGI!$C$2:$O$478,4,FALSE)</f>
        <v>-2.23568898135012</v>
      </c>
      <c r="BX408" s="129">
        <f>VLOOKUP($D408,WGI!$C$2:$O$478,3,FALSE)</f>
        <v>-1.67344961349851</v>
      </c>
      <c r="BY408" s="129">
        <f>VLOOKUP($D408,WGI!$C$2:$O$478,5,FALSE)</f>
        <v>-1.5198330218751099</v>
      </c>
      <c r="BZ408" s="129">
        <f>VLOOKUP($D408,WGI!$C$2:$O$478,2,FALSE)</f>
        <v>-1.3957785017656701</v>
      </c>
    </row>
    <row r="409" spans="1:78" ht="15" customHeight="1">
      <c r="A409" s="294" t="s">
        <v>182</v>
      </c>
      <c r="B409" s="117">
        <v>2011</v>
      </c>
      <c r="C409" s="132" t="s">
        <v>171</v>
      </c>
      <c r="D409" s="117" t="s">
        <v>3692</v>
      </c>
      <c r="E409" s="117" t="s">
        <v>86</v>
      </c>
      <c r="F409" s="117"/>
      <c r="G409" s="117" t="s">
        <v>24</v>
      </c>
      <c r="H409" s="117" t="str">
        <f t="shared" si="65"/>
        <v>yes</v>
      </c>
      <c r="I409" s="117" t="str">
        <f t="shared" si="66"/>
        <v>no</v>
      </c>
      <c r="J409" s="117" t="str">
        <f t="shared" si="67"/>
        <v>no</v>
      </c>
      <c r="K409" s="176" t="s">
        <v>1066</v>
      </c>
      <c r="L409" s="117" t="str">
        <f t="shared" si="69"/>
        <v>detailed</v>
      </c>
      <c r="M409" s="117" t="str">
        <f t="shared" si="68"/>
        <v>detailed Mining</v>
      </c>
      <c r="N409" s="179">
        <v>450</v>
      </c>
      <c r="O409" s="179"/>
      <c r="P409" s="179"/>
      <c r="Q409" s="179"/>
      <c r="R409" s="179"/>
      <c r="S409" s="117" t="s">
        <v>610</v>
      </c>
      <c r="T409" s="119"/>
      <c r="U409" s="117"/>
      <c r="V409" s="117" t="s">
        <v>684</v>
      </c>
      <c r="W409" s="89"/>
      <c r="X409" s="117"/>
      <c r="Y409" s="117"/>
      <c r="Z409" s="117"/>
      <c r="AA409" s="177"/>
      <c r="AB409" s="177"/>
      <c r="AC409" s="122"/>
      <c r="AD409" s="122"/>
      <c r="AE409" s="122"/>
      <c r="AF409" s="123"/>
      <c r="AG409" s="117"/>
      <c r="AH409" s="124"/>
      <c r="AI409" s="117"/>
      <c r="AJ409" s="117"/>
      <c r="AK409" s="89"/>
      <c r="AL409" s="117"/>
      <c r="AM409" s="117"/>
      <c r="AN409" s="117"/>
      <c r="AO409" s="117"/>
      <c r="AP409" s="117"/>
      <c r="AQ409" s="117"/>
      <c r="AR409" s="126"/>
      <c r="AS409" s="117"/>
      <c r="AT409" s="117"/>
      <c r="AU409" s="117"/>
      <c r="AV409" s="128"/>
      <c r="AW409" s="117">
        <f>VLOOKUP($D409,'WB Data'!$C$3:$M$578,2,FALSE)</f>
        <v>25835398967.342049</v>
      </c>
      <c r="AX409" s="117">
        <f>VLOOKUP($D409,'WB Data'!$C$3:$M$578,3,FALSE)</f>
        <v>63931512</v>
      </c>
      <c r="AY409" s="847">
        <f t="shared" si="71"/>
        <v>5.4697290132283284E-2</v>
      </c>
      <c r="AZ409" s="117" t="e">
        <f>VLOOKUP($D409,'WB Data'!$C$3:$M$578,4,FALSE)/100</f>
        <v>#VALUE!</v>
      </c>
      <c r="BA409" s="117" t="str">
        <f t="shared" si="72"/>
        <v>..</v>
      </c>
      <c r="BB409" s="129">
        <f>IFERROR(VLOOKUP($D409,'EITI Revenues'!$C$2:$G$224,5,FALSE),"..")</f>
        <v>1413126313</v>
      </c>
      <c r="BC409" s="846" t="str">
        <f t="shared" si="73"/>
        <v>..</v>
      </c>
      <c r="BD409" s="129" t="e">
        <f>VLOOKUP($D409,'WB Data 2'!$C$2:$K$545,6,FALSE)</f>
        <v>#N/A</v>
      </c>
      <c r="BE409" s="129">
        <f>IFERROR(VLOOKUP($D409,UNCTAD!$C$5:$V$529,4,FALSE),"..")</f>
        <v>10211288000</v>
      </c>
      <c r="BF409" s="846" t="str">
        <f t="shared" si="74"/>
        <v>..</v>
      </c>
      <c r="BG409" s="117">
        <f>VLOOKUP($D409,'WB Data'!$C$3:$M$578,5,FALSE)</f>
        <v>5534410000</v>
      </c>
      <c r="BH409" s="129">
        <f>IFERROR($BB409/$BG409,"..")</f>
        <v>0.25533459085973031</v>
      </c>
      <c r="BI409" s="117" t="str">
        <f>IFERROR(VLOOKUP($D409,'WB Data'!$C$3:$M$578,7,FALSE)/100,"..")</f>
        <v>..</v>
      </c>
      <c r="BJ409" s="117" t="str">
        <f>IFERROR($BI409*$AW409,"..")</f>
        <v>..</v>
      </c>
      <c r="BK409" s="846" t="str">
        <f>IFERROR($BB409/$BJ409,"..")</f>
        <v>..</v>
      </c>
      <c r="BL409" s="117" t="str">
        <f>IFERROR(VLOOKUP($D409,'WB Data'!$C$3:$M$578,7,FALSE)/100,"..")</f>
        <v>..</v>
      </c>
      <c r="BM409" s="117" t="str">
        <f>IFERROR($AW409*$BL409,"..")</f>
        <v>..</v>
      </c>
      <c r="BN409" s="846" t="str">
        <f>IFERROR($BB409/$BM409,"..")</f>
        <v>..</v>
      </c>
      <c r="BO409" s="801" t="str">
        <f t="shared" si="70"/>
        <v>..</v>
      </c>
      <c r="BP409" s="117" t="str">
        <f>VLOOKUP($D409,'WB Data'!$C$3:$M$578,9,FALSE)</f>
        <v>..</v>
      </c>
      <c r="BQ409" s="117">
        <f>VLOOKUP($D409,'WB Data'!$C$3:$M$578,10,FALSE)</f>
        <v>49.300707317073176</v>
      </c>
      <c r="BR409" s="117">
        <f>VLOOKUP($D409,'WB Data'!$C$3:$M$578,11,FALSE)</f>
        <v>90.2</v>
      </c>
      <c r="BS409" s="129" t="str">
        <f>IFERROR(VLOOKUP($D409,'WB Data 2'!$C$2:$K$545,9,FALSE),"..")</f>
        <v>..</v>
      </c>
      <c r="BT409" s="129" t="str">
        <f>_xlfn.IFNA(VLOOKUP($C409,RGI!$A$2:$C$43,2,FALSE),"..")</f>
        <v>..</v>
      </c>
      <c r="BU409" s="129" t="str">
        <f>_xlfn.IFNA(VLOOKUP($C409,RGI!$A$2:$C$43,3,FALSE),"..")</f>
        <v>..</v>
      </c>
      <c r="BV409" s="129">
        <f>VLOOKUP($D409,WGI!$C$2:$O$478,7,FALSE)</f>
        <v>-1.5257921010692801</v>
      </c>
      <c r="BW409" s="129">
        <f>VLOOKUP($D409,WGI!$C$2:$O$478,4,FALSE)</f>
        <v>-2.23568898135012</v>
      </c>
      <c r="BX409" s="129">
        <f>VLOOKUP($D409,WGI!$C$2:$O$478,3,FALSE)</f>
        <v>-1.67344961349851</v>
      </c>
      <c r="BY409" s="129">
        <f>VLOOKUP($D409,WGI!$C$2:$O$478,5,FALSE)</f>
        <v>-1.5198330218751099</v>
      </c>
      <c r="BZ409" s="129">
        <f>VLOOKUP($D409,WGI!$C$2:$O$478,2,FALSE)</f>
        <v>-1.3957785017656701</v>
      </c>
    </row>
    <row r="410" spans="1:78" ht="15" customHeight="1">
      <c r="A410" s="294" t="s">
        <v>182</v>
      </c>
      <c r="B410" s="117">
        <v>2011</v>
      </c>
      <c r="C410" s="132" t="s">
        <v>171</v>
      </c>
      <c r="D410" s="117" t="s">
        <v>3692</v>
      </c>
      <c r="E410" s="117" t="s">
        <v>86</v>
      </c>
      <c r="F410" s="117"/>
      <c r="G410" s="117" t="s">
        <v>24</v>
      </c>
      <c r="H410" s="117" t="str">
        <f t="shared" si="65"/>
        <v>yes</v>
      </c>
      <c r="I410" s="117" t="str">
        <f t="shared" si="66"/>
        <v>no</v>
      </c>
      <c r="J410" s="117" t="str">
        <f t="shared" si="67"/>
        <v>no</v>
      </c>
      <c r="K410" s="176" t="s">
        <v>1067</v>
      </c>
      <c r="L410" s="117" t="str">
        <f t="shared" si="69"/>
        <v>detailed</v>
      </c>
      <c r="M410" s="117" t="str">
        <f t="shared" si="68"/>
        <v>detailed Mining</v>
      </c>
      <c r="N410" s="179">
        <v>100</v>
      </c>
      <c r="O410" s="179"/>
      <c r="P410" s="179"/>
      <c r="Q410" s="179"/>
      <c r="R410" s="179"/>
      <c r="S410" s="117" t="s">
        <v>610</v>
      </c>
      <c r="T410" s="119">
        <v>41000</v>
      </c>
      <c r="U410" s="117" t="s">
        <v>611</v>
      </c>
      <c r="V410" s="117" t="s">
        <v>1091</v>
      </c>
      <c r="W410" s="89">
        <f>N410*T410</f>
        <v>4100000</v>
      </c>
      <c r="X410" s="117"/>
      <c r="Y410" s="117"/>
      <c r="Z410" s="117"/>
      <c r="AA410" s="177"/>
      <c r="AB410" s="177"/>
      <c r="AC410" s="122"/>
      <c r="AD410" s="122"/>
      <c r="AE410" s="122"/>
      <c r="AF410" s="123"/>
      <c r="AG410" s="117"/>
      <c r="AH410" s="124"/>
      <c r="AI410" s="117"/>
      <c r="AJ410" s="117"/>
      <c r="AK410" s="89"/>
      <c r="AL410" s="117"/>
      <c r="AM410" s="117"/>
      <c r="AN410" s="117"/>
      <c r="AO410" s="117"/>
      <c r="AP410" s="117"/>
      <c r="AQ410" s="117"/>
      <c r="AR410" s="126"/>
      <c r="AS410" s="117"/>
      <c r="AT410" s="117"/>
      <c r="AU410" s="117"/>
      <c r="AV410" s="128"/>
      <c r="AW410" s="117">
        <f>VLOOKUP($D410,'WB Data'!$C$3:$M$578,2,FALSE)</f>
        <v>25835398967.342049</v>
      </c>
      <c r="AX410" s="117">
        <f>VLOOKUP($D410,'WB Data'!$C$3:$M$578,3,FALSE)</f>
        <v>63931512</v>
      </c>
      <c r="AY410" s="847">
        <f t="shared" si="71"/>
        <v>5.4697290132283284E-2</v>
      </c>
      <c r="AZ410" s="117" t="e">
        <f>VLOOKUP($D410,'WB Data'!$C$3:$M$578,4,FALSE)/100</f>
        <v>#VALUE!</v>
      </c>
      <c r="BA410" s="117" t="str">
        <f t="shared" si="72"/>
        <v>..</v>
      </c>
      <c r="BB410" s="129">
        <f>IFERROR(VLOOKUP($D410,'EITI Revenues'!$C$2:$G$224,5,FALSE),"..")</f>
        <v>1413126313</v>
      </c>
      <c r="BC410" s="846" t="str">
        <f t="shared" si="73"/>
        <v>..</v>
      </c>
      <c r="BD410" s="129" t="e">
        <f>VLOOKUP($D410,'WB Data 2'!$C$2:$K$545,6,FALSE)</f>
        <v>#N/A</v>
      </c>
      <c r="BE410" s="129">
        <f>IFERROR(VLOOKUP($D410,UNCTAD!$C$5:$V$529,4,FALSE),"..")</f>
        <v>10211288000</v>
      </c>
      <c r="BF410" s="846" t="str">
        <f t="shared" si="74"/>
        <v>..</v>
      </c>
      <c r="BG410" s="117">
        <f>VLOOKUP($D410,'WB Data'!$C$3:$M$578,5,FALSE)</f>
        <v>5534410000</v>
      </c>
      <c r="BH410" s="129">
        <f>IFERROR($BB410/$BG410,"..")</f>
        <v>0.25533459085973031</v>
      </c>
      <c r="BI410" s="117" t="str">
        <f>IFERROR(VLOOKUP($D410,'WB Data'!$C$3:$M$578,7,FALSE)/100,"..")</f>
        <v>..</v>
      </c>
      <c r="BJ410" s="117" t="str">
        <f>IFERROR($BI410*$AW410,"..")</f>
        <v>..</v>
      </c>
      <c r="BK410" s="846" t="str">
        <f>IFERROR($BB410/$BJ410,"..")</f>
        <v>..</v>
      </c>
      <c r="BL410" s="117" t="str">
        <f>IFERROR(VLOOKUP($D410,'WB Data'!$C$3:$M$578,7,FALSE)/100,"..")</f>
        <v>..</v>
      </c>
      <c r="BM410" s="117" t="str">
        <f>IFERROR($AW410*$BL410,"..")</f>
        <v>..</v>
      </c>
      <c r="BN410" s="846" t="str">
        <f>IFERROR($BB410/$BM410,"..")</f>
        <v>..</v>
      </c>
      <c r="BO410" s="801" t="str">
        <f t="shared" si="70"/>
        <v>..</v>
      </c>
      <c r="BP410" s="117" t="str">
        <f>VLOOKUP($D410,'WB Data'!$C$3:$M$578,9,FALSE)</f>
        <v>..</v>
      </c>
      <c r="BQ410" s="117">
        <f>VLOOKUP($D410,'WB Data'!$C$3:$M$578,10,FALSE)</f>
        <v>49.300707317073176</v>
      </c>
      <c r="BR410" s="117">
        <f>VLOOKUP($D410,'WB Data'!$C$3:$M$578,11,FALSE)</f>
        <v>90.2</v>
      </c>
      <c r="BS410" s="129" t="str">
        <f>IFERROR(VLOOKUP($D410,'WB Data 2'!$C$2:$K$545,9,FALSE),"..")</f>
        <v>..</v>
      </c>
      <c r="BT410" s="129" t="str">
        <f>_xlfn.IFNA(VLOOKUP($C410,RGI!$A$2:$C$43,2,FALSE),"..")</f>
        <v>..</v>
      </c>
      <c r="BU410" s="129" t="str">
        <f>_xlfn.IFNA(VLOOKUP($C410,RGI!$A$2:$C$43,3,FALSE),"..")</f>
        <v>..</v>
      </c>
      <c r="BV410" s="129">
        <f>VLOOKUP($D410,WGI!$C$2:$O$478,7,FALSE)</f>
        <v>-1.5257921010692801</v>
      </c>
      <c r="BW410" s="129">
        <f>VLOOKUP($D410,WGI!$C$2:$O$478,4,FALSE)</f>
        <v>-2.23568898135012</v>
      </c>
      <c r="BX410" s="129">
        <f>VLOOKUP($D410,WGI!$C$2:$O$478,3,FALSE)</f>
        <v>-1.67344961349851</v>
      </c>
      <c r="BY410" s="129">
        <f>VLOOKUP($D410,WGI!$C$2:$O$478,5,FALSE)</f>
        <v>-1.5198330218751099</v>
      </c>
      <c r="BZ410" s="129">
        <f>VLOOKUP($D410,WGI!$C$2:$O$478,2,FALSE)</f>
        <v>-1.3957785017656701</v>
      </c>
    </row>
    <row r="411" spans="1:78" ht="15" customHeight="1">
      <c r="A411" s="294" t="s">
        <v>182</v>
      </c>
      <c r="B411" s="117">
        <v>2011</v>
      </c>
      <c r="C411" s="132" t="s">
        <v>171</v>
      </c>
      <c r="D411" s="117" t="s">
        <v>3692</v>
      </c>
      <c r="E411" s="117" t="s">
        <v>86</v>
      </c>
      <c r="F411" s="117"/>
      <c r="G411" s="117" t="s">
        <v>24</v>
      </c>
      <c r="H411" s="117" t="str">
        <f t="shared" si="65"/>
        <v>yes</v>
      </c>
      <c r="I411" s="117" t="str">
        <f t="shared" si="66"/>
        <v>no</v>
      </c>
      <c r="J411" s="117" t="str">
        <f t="shared" si="67"/>
        <v>no</v>
      </c>
      <c r="K411" s="176" t="s">
        <v>1069</v>
      </c>
      <c r="L411" s="117" t="str">
        <f t="shared" si="69"/>
        <v>detailed</v>
      </c>
      <c r="M411" s="117" t="str">
        <f t="shared" si="68"/>
        <v>detailed Mining</v>
      </c>
      <c r="N411" s="179">
        <v>120</v>
      </c>
      <c r="O411" s="179"/>
      <c r="P411" s="179"/>
      <c r="Q411" s="179"/>
      <c r="R411" s="179"/>
      <c r="S411" s="117" t="s">
        <v>610</v>
      </c>
      <c r="T411" s="119">
        <f>125/0.000453592</f>
        <v>275578.05252297217</v>
      </c>
      <c r="U411" s="117" t="s">
        <v>611</v>
      </c>
      <c r="V411" s="117" t="s">
        <v>1092</v>
      </c>
      <c r="W411" s="89">
        <f>N411*T411</f>
        <v>33069366.30275666</v>
      </c>
      <c r="X411" s="117"/>
      <c r="Y411" s="117"/>
      <c r="Z411" s="117"/>
      <c r="AA411" s="177"/>
      <c r="AB411" s="177"/>
      <c r="AC411" s="122"/>
      <c r="AD411" s="122"/>
      <c r="AE411" s="122"/>
      <c r="AF411" s="123"/>
      <c r="AG411" s="117"/>
      <c r="AH411" s="124"/>
      <c r="AI411" s="117"/>
      <c r="AJ411" s="117"/>
      <c r="AK411" s="89"/>
      <c r="AL411" s="117"/>
      <c r="AM411" s="117"/>
      <c r="AN411" s="117"/>
      <c r="AO411" s="117"/>
      <c r="AP411" s="117"/>
      <c r="AQ411" s="117"/>
      <c r="AR411" s="126"/>
      <c r="AS411" s="117"/>
      <c r="AT411" s="117"/>
      <c r="AU411" s="117"/>
      <c r="AV411" s="128"/>
      <c r="AW411" s="117">
        <f>VLOOKUP($D411,'WB Data'!$C$3:$M$578,2,FALSE)</f>
        <v>25835398967.342049</v>
      </c>
      <c r="AX411" s="117">
        <f>VLOOKUP($D411,'WB Data'!$C$3:$M$578,3,FALSE)</f>
        <v>63931512</v>
      </c>
      <c r="AY411" s="847">
        <f t="shared" si="71"/>
        <v>5.4697290132283284E-2</v>
      </c>
      <c r="AZ411" s="117" t="e">
        <f>VLOOKUP($D411,'WB Data'!$C$3:$M$578,4,FALSE)/100</f>
        <v>#VALUE!</v>
      </c>
      <c r="BA411" s="117" t="str">
        <f t="shared" si="72"/>
        <v>..</v>
      </c>
      <c r="BB411" s="129">
        <f>IFERROR(VLOOKUP($D411,'EITI Revenues'!$C$2:$G$224,5,FALSE),"..")</f>
        <v>1413126313</v>
      </c>
      <c r="BC411" s="846" t="str">
        <f t="shared" si="73"/>
        <v>..</v>
      </c>
      <c r="BD411" s="129" t="e">
        <f>VLOOKUP($D411,'WB Data 2'!$C$2:$K$545,6,FALSE)</f>
        <v>#N/A</v>
      </c>
      <c r="BE411" s="129">
        <f>IFERROR(VLOOKUP($D411,UNCTAD!$C$5:$V$529,4,FALSE),"..")</f>
        <v>10211288000</v>
      </c>
      <c r="BF411" s="846" t="str">
        <f t="shared" si="74"/>
        <v>..</v>
      </c>
      <c r="BG411" s="117">
        <f>VLOOKUP($D411,'WB Data'!$C$3:$M$578,5,FALSE)</f>
        <v>5534410000</v>
      </c>
      <c r="BH411" s="129">
        <f>IFERROR($BB411/$BG411,"..")</f>
        <v>0.25533459085973031</v>
      </c>
      <c r="BI411" s="117" t="str">
        <f>IFERROR(VLOOKUP($D411,'WB Data'!$C$3:$M$578,7,FALSE)/100,"..")</f>
        <v>..</v>
      </c>
      <c r="BJ411" s="117" t="str">
        <f>IFERROR($BI411*$AW411,"..")</f>
        <v>..</v>
      </c>
      <c r="BK411" s="846" t="str">
        <f>IFERROR($BB411/$BJ411,"..")</f>
        <v>..</v>
      </c>
      <c r="BL411" s="117" t="str">
        <f>IFERROR(VLOOKUP($D411,'WB Data'!$C$3:$M$578,7,FALSE)/100,"..")</f>
        <v>..</v>
      </c>
      <c r="BM411" s="117" t="str">
        <f>IFERROR($AW411*$BL411,"..")</f>
        <v>..</v>
      </c>
      <c r="BN411" s="846" t="str">
        <f>IFERROR($BB411/$BM411,"..")</f>
        <v>..</v>
      </c>
      <c r="BO411" s="801" t="str">
        <f t="shared" si="70"/>
        <v>..</v>
      </c>
      <c r="BP411" s="117" t="str">
        <f>VLOOKUP($D411,'WB Data'!$C$3:$M$578,9,FALSE)</f>
        <v>..</v>
      </c>
      <c r="BQ411" s="117">
        <f>VLOOKUP($D411,'WB Data'!$C$3:$M$578,10,FALSE)</f>
        <v>49.300707317073176</v>
      </c>
      <c r="BR411" s="117">
        <f>VLOOKUP($D411,'WB Data'!$C$3:$M$578,11,FALSE)</f>
        <v>90.2</v>
      </c>
      <c r="BS411" s="129" t="str">
        <f>IFERROR(VLOOKUP($D411,'WB Data 2'!$C$2:$K$545,9,FALSE),"..")</f>
        <v>..</v>
      </c>
      <c r="BT411" s="129" t="str">
        <f>_xlfn.IFNA(VLOOKUP($C411,RGI!$A$2:$C$43,2,FALSE),"..")</f>
        <v>..</v>
      </c>
      <c r="BU411" s="129" t="str">
        <f>_xlfn.IFNA(VLOOKUP($C411,RGI!$A$2:$C$43,3,FALSE),"..")</f>
        <v>..</v>
      </c>
      <c r="BV411" s="129">
        <f>VLOOKUP($D411,WGI!$C$2:$O$478,7,FALSE)</f>
        <v>-1.5257921010692801</v>
      </c>
      <c r="BW411" s="129">
        <f>VLOOKUP($D411,WGI!$C$2:$O$478,4,FALSE)</f>
        <v>-2.23568898135012</v>
      </c>
      <c r="BX411" s="129">
        <f>VLOOKUP($D411,WGI!$C$2:$O$478,3,FALSE)</f>
        <v>-1.67344961349851</v>
      </c>
      <c r="BY411" s="129">
        <f>VLOOKUP($D411,WGI!$C$2:$O$478,5,FALSE)</f>
        <v>-1.5198330218751099</v>
      </c>
      <c r="BZ411" s="129">
        <f>VLOOKUP($D411,WGI!$C$2:$O$478,2,FALSE)</f>
        <v>-1.3957785017656701</v>
      </c>
    </row>
    <row r="412" spans="1:78" ht="15" customHeight="1">
      <c r="A412" s="294" t="s">
        <v>182</v>
      </c>
      <c r="B412" s="117">
        <v>2011</v>
      </c>
      <c r="C412" s="132" t="s">
        <v>171</v>
      </c>
      <c r="D412" s="117" t="s">
        <v>3692</v>
      </c>
      <c r="E412" s="117" t="s">
        <v>86</v>
      </c>
      <c r="F412" s="117"/>
      <c r="G412" s="117" t="s">
        <v>24</v>
      </c>
      <c r="H412" s="117" t="str">
        <f t="shared" si="65"/>
        <v>yes</v>
      </c>
      <c r="I412" s="117" t="str">
        <f t="shared" si="66"/>
        <v>no</v>
      </c>
      <c r="J412" s="117" t="str">
        <f t="shared" si="67"/>
        <v>no</v>
      </c>
      <c r="K412" s="176" t="s">
        <v>619</v>
      </c>
      <c r="L412" s="117" t="str">
        <f t="shared" si="69"/>
        <v>detailed</v>
      </c>
      <c r="M412" s="117" t="str">
        <f t="shared" si="68"/>
        <v>detailed Mining</v>
      </c>
      <c r="N412" s="179"/>
      <c r="O412" s="179"/>
      <c r="P412" s="179"/>
      <c r="Q412" s="179"/>
      <c r="R412" s="179"/>
      <c r="S412" s="117"/>
      <c r="T412" s="180">
        <f>3.74/0.000453592</f>
        <v>8245.2953314873284</v>
      </c>
      <c r="U412" s="117" t="s">
        <v>611</v>
      </c>
      <c r="V412" s="117" t="s">
        <v>1097</v>
      </c>
      <c r="W412" s="89">
        <f>N414*T412</f>
        <v>2984796909.9984131</v>
      </c>
      <c r="X412" s="117"/>
      <c r="Y412" s="117"/>
      <c r="Z412" s="117"/>
      <c r="AA412" s="177"/>
      <c r="AB412" s="177"/>
      <c r="AC412" s="122"/>
      <c r="AD412" s="122"/>
      <c r="AE412" s="122"/>
      <c r="AF412" s="123"/>
      <c r="AG412" s="117"/>
      <c r="AH412" s="124"/>
      <c r="AI412" s="117"/>
      <c r="AJ412" s="117"/>
      <c r="AK412" s="89"/>
      <c r="AL412" s="117"/>
      <c r="AM412" s="117"/>
      <c r="AN412" s="117"/>
      <c r="AO412" s="117"/>
      <c r="AP412" s="117"/>
      <c r="AQ412" s="117"/>
      <c r="AR412" s="126"/>
      <c r="AS412" s="117"/>
      <c r="AT412" s="117"/>
      <c r="AU412" s="117"/>
      <c r="AV412" s="128"/>
      <c r="AW412" s="117">
        <f>VLOOKUP($D412,'WB Data'!$C$3:$M$578,2,FALSE)</f>
        <v>25835398967.342049</v>
      </c>
      <c r="AX412" s="117">
        <f>VLOOKUP($D412,'WB Data'!$C$3:$M$578,3,FALSE)</f>
        <v>63931512</v>
      </c>
      <c r="AY412" s="847">
        <f t="shared" si="71"/>
        <v>5.4697290132283284E-2</v>
      </c>
      <c r="AZ412" s="117" t="e">
        <f>VLOOKUP($D412,'WB Data'!$C$3:$M$578,4,FALSE)/100</f>
        <v>#VALUE!</v>
      </c>
      <c r="BA412" s="117" t="str">
        <f t="shared" si="72"/>
        <v>..</v>
      </c>
      <c r="BB412" s="129">
        <f>IFERROR(VLOOKUP($D412,'EITI Revenues'!$C$2:$G$224,5,FALSE),"..")</f>
        <v>1413126313</v>
      </c>
      <c r="BC412" s="846" t="str">
        <f t="shared" si="73"/>
        <v>..</v>
      </c>
      <c r="BD412" s="129" t="e">
        <f>VLOOKUP($D412,'WB Data 2'!$C$2:$K$545,6,FALSE)</f>
        <v>#N/A</v>
      </c>
      <c r="BE412" s="129">
        <f>IFERROR(VLOOKUP($D412,UNCTAD!$C$5:$V$529,4,FALSE),"..")</f>
        <v>10211288000</v>
      </c>
      <c r="BF412" s="846" t="str">
        <f t="shared" si="74"/>
        <v>..</v>
      </c>
      <c r="BG412" s="117">
        <f>VLOOKUP($D412,'WB Data'!$C$3:$M$578,5,FALSE)</f>
        <v>5534410000</v>
      </c>
      <c r="BH412" s="129">
        <f>IFERROR($BB412/$BG412,"..")</f>
        <v>0.25533459085973031</v>
      </c>
      <c r="BI412" s="117" t="str">
        <f>IFERROR(VLOOKUP($D412,'WB Data'!$C$3:$M$578,7,FALSE)/100,"..")</f>
        <v>..</v>
      </c>
      <c r="BJ412" s="117" t="str">
        <f>IFERROR($BI412*$AW412,"..")</f>
        <v>..</v>
      </c>
      <c r="BK412" s="846" t="str">
        <f>IFERROR($BB412/$BJ412,"..")</f>
        <v>..</v>
      </c>
      <c r="BL412" s="117" t="str">
        <f>IFERROR(VLOOKUP($D412,'WB Data'!$C$3:$M$578,7,FALSE)/100,"..")</f>
        <v>..</v>
      </c>
      <c r="BM412" s="117" t="str">
        <f>IFERROR($AW412*$BL412,"..")</f>
        <v>..</v>
      </c>
      <c r="BN412" s="846" t="str">
        <f>IFERROR($BB412/$BM412,"..")</f>
        <v>..</v>
      </c>
      <c r="BO412" s="801" t="str">
        <f t="shared" si="70"/>
        <v>..</v>
      </c>
      <c r="BP412" s="117" t="str">
        <f>VLOOKUP($D412,'WB Data'!$C$3:$M$578,9,FALSE)</f>
        <v>..</v>
      </c>
      <c r="BQ412" s="117">
        <f>VLOOKUP($D412,'WB Data'!$C$3:$M$578,10,FALSE)</f>
        <v>49.300707317073176</v>
      </c>
      <c r="BR412" s="117">
        <f>VLOOKUP($D412,'WB Data'!$C$3:$M$578,11,FALSE)</f>
        <v>90.2</v>
      </c>
      <c r="BS412" s="129" t="str">
        <f>IFERROR(VLOOKUP($D412,'WB Data 2'!$C$2:$K$545,9,FALSE),"..")</f>
        <v>..</v>
      </c>
      <c r="BT412" s="129" t="str">
        <f>_xlfn.IFNA(VLOOKUP($C412,RGI!$A$2:$C$43,2,FALSE),"..")</f>
        <v>..</v>
      </c>
      <c r="BU412" s="129" t="str">
        <f>_xlfn.IFNA(VLOOKUP($C412,RGI!$A$2:$C$43,3,FALSE),"..")</f>
        <v>..</v>
      </c>
      <c r="BV412" s="129">
        <f>VLOOKUP($D412,WGI!$C$2:$O$478,7,FALSE)</f>
        <v>-1.5257921010692801</v>
      </c>
      <c r="BW412" s="129">
        <f>VLOOKUP($D412,WGI!$C$2:$O$478,4,FALSE)</f>
        <v>-2.23568898135012</v>
      </c>
      <c r="BX412" s="129">
        <f>VLOOKUP($D412,WGI!$C$2:$O$478,3,FALSE)</f>
        <v>-1.67344961349851</v>
      </c>
      <c r="BY412" s="129">
        <f>VLOOKUP($D412,WGI!$C$2:$O$478,5,FALSE)</f>
        <v>-1.5198330218751099</v>
      </c>
      <c r="BZ412" s="129">
        <f>VLOOKUP($D412,WGI!$C$2:$O$478,2,FALSE)</f>
        <v>-1.3957785017656701</v>
      </c>
    </row>
    <row r="413" spans="1:78" ht="15" customHeight="1">
      <c r="A413" s="294" t="s">
        <v>182</v>
      </c>
      <c r="B413" s="117">
        <v>2011</v>
      </c>
      <c r="C413" s="132" t="s">
        <v>171</v>
      </c>
      <c r="D413" s="117" t="s">
        <v>3692</v>
      </c>
      <c r="E413" s="117" t="s">
        <v>86</v>
      </c>
      <c r="F413" s="117"/>
      <c r="G413" s="117" t="s">
        <v>24</v>
      </c>
      <c r="H413" s="117" t="str">
        <f t="shared" si="65"/>
        <v>yes</v>
      </c>
      <c r="I413" s="117" t="str">
        <f t="shared" si="66"/>
        <v>no</v>
      </c>
      <c r="J413" s="117" t="str">
        <f t="shared" si="67"/>
        <v>no</v>
      </c>
      <c r="K413" s="176" t="s">
        <v>1072</v>
      </c>
      <c r="L413" s="117" t="str">
        <f t="shared" si="69"/>
        <v>detailed</v>
      </c>
      <c r="M413" s="117" t="str">
        <f t="shared" si="68"/>
        <v>detailed Mining</v>
      </c>
      <c r="N413" s="179">
        <v>530000</v>
      </c>
      <c r="O413" s="179"/>
      <c r="P413" s="179"/>
      <c r="Q413" s="179"/>
      <c r="R413" s="179"/>
      <c r="S413" s="117" t="s">
        <v>610</v>
      </c>
      <c r="T413" s="119"/>
      <c r="U413" s="117"/>
      <c r="V413" s="117" t="s">
        <v>684</v>
      </c>
      <c r="W413" s="89"/>
      <c r="X413" s="117"/>
      <c r="Y413" s="117"/>
      <c r="Z413" s="117"/>
      <c r="AA413" s="177"/>
      <c r="AB413" s="177"/>
      <c r="AC413" s="122"/>
      <c r="AD413" s="122"/>
      <c r="AE413" s="122"/>
      <c r="AF413" s="123"/>
      <c r="AG413" s="117"/>
      <c r="AH413" s="124"/>
      <c r="AI413" s="117"/>
      <c r="AJ413" s="117"/>
      <c r="AK413" s="89"/>
      <c r="AL413" s="117"/>
      <c r="AM413" s="117"/>
      <c r="AN413" s="117"/>
      <c r="AO413" s="117"/>
      <c r="AP413" s="117"/>
      <c r="AQ413" s="117"/>
      <c r="AR413" s="126"/>
      <c r="AS413" s="117"/>
      <c r="AT413" s="117"/>
      <c r="AU413" s="117"/>
      <c r="AV413" s="128"/>
      <c r="AW413" s="117">
        <f>VLOOKUP($D413,'WB Data'!$C$3:$M$578,2,FALSE)</f>
        <v>25835398967.342049</v>
      </c>
      <c r="AX413" s="117">
        <f>VLOOKUP($D413,'WB Data'!$C$3:$M$578,3,FALSE)</f>
        <v>63931512</v>
      </c>
      <c r="AY413" s="847">
        <f t="shared" si="71"/>
        <v>5.4697290132283284E-2</v>
      </c>
      <c r="AZ413" s="117" t="e">
        <f>VLOOKUP($D413,'WB Data'!$C$3:$M$578,4,FALSE)/100</f>
        <v>#VALUE!</v>
      </c>
      <c r="BA413" s="117" t="str">
        <f t="shared" si="72"/>
        <v>..</v>
      </c>
      <c r="BB413" s="129">
        <f>IFERROR(VLOOKUP($D413,'EITI Revenues'!$C$2:$G$224,5,FALSE),"..")</f>
        <v>1413126313</v>
      </c>
      <c r="BC413" s="846" t="str">
        <f t="shared" si="73"/>
        <v>..</v>
      </c>
      <c r="BD413" s="129" t="e">
        <f>VLOOKUP($D413,'WB Data 2'!$C$2:$K$545,6,FALSE)</f>
        <v>#N/A</v>
      </c>
      <c r="BE413" s="129">
        <f>IFERROR(VLOOKUP($D413,UNCTAD!$C$5:$V$529,4,FALSE),"..")</f>
        <v>10211288000</v>
      </c>
      <c r="BF413" s="846" t="str">
        <f t="shared" si="74"/>
        <v>..</v>
      </c>
      <c r="BG413" s="117">
        <f>VLOOKUP($D413,'WB Data'!$C$3:$M$578,5,FALSE)</f>
        <v>5534410000</v>
      </c>
      <c r="BH413" s="129">
        <f>IFERROR($BB413/$BG413,"..")</f>
        <v>0.25533459085973031</v>
      </c>
      <c r="BI413" s="117" t="str">
        <f>IFERROR(VLOOKUP($D413,'WB Data'!$C$3:$M$578,7,FALSE)/100,"..")</f>
        <v>..</v>
      </c>
      <c r="BJ413" s="117" t="str">
        <f>IFERROR($BI413*$AW413,"..")</f>
        <v>..</v>
      </c>
      <c r="BK413" s="846" t="str">
        <f>IFERROR($BB413/$BJ413,"..")</f>
        <v>..</v>
      </c>
      <c r="BL413" s="117" t="str">
        <f>IFERROR(VLOOKUP($D413,'WB Data'!$C$3:$M$578,7,FALSE)/100,"..")</f>
        <v>..</v>
      </c>
      <c r="BM413" s="117" t="str">
        <f>IFERROR($AW413*$BL413,"..")</f>
        <v>..</v>
      </c>
      <c r="BN413" s="846" t="str">
        <f>IFERROR($BB413/$BM413,"..")</f>
        <v>..</v>
      </c>
      <c r="BO413" s="801" t="str">
        <f t="shared" si="70"/>
        <v>..</v>
      </c>
      <c r="BP413" s="117" t="str">
        <f>VLOOKUP($D413,'WB Data'!$C$3:$M$578,9,FALSE)</f>
        <v>..</v>
      </c>
      <c r="BQ413" s="117">
        <f>VLOOKUP($D413,'WB Data'!$C$3:$M$578,10,FALSE)</f>
        <v>49.300707317073176</v>
      </c>
      <c r="BR413" s="117">
        <f>VLOOKUP($D413,'WB Data'!$C$3:$M$578,11,FALSE)</f>
        <v>90.2</v>
      </c>
      <c r="BS413" s="129" t="str">
        <f>IFERROR(VLOOKUP($D413,'WB Data 2'!$C$2:$K$545,9,FALSE),"..")</f>
        <v>..</v>
      </c>
      <c r="BT413" s="129" t="str">
        <f>_xlfn.IFNA(VLOOKUP($C413,RGI!$A$2:$C$43,2,FALSE),"..")</f>
        <v>..</v>
      </c>
      <c r="BU413" s="129" t="str">
        <f>_xlfn.IFNA(VLOOKUP($C413,RGI!$A$2:$C$43,3,FALSE),"..")</f>
        <v>..</v>
      </c>
      <c r="BV413" s="129">
        <f>VLOOKUP($D413,WGI!$C$2:$O$478,7,FALSE)</f>
        <v>-1.5257921010692801</v>
      </c>
      <c r="BW413" s="129">
        <f>VLOOKUP($D413,WGI!$C$2:$O$478,4,FALSE)</f>
        <v>-2.23568898135012</v>
      </c>
      <c r="BX413" s="129">
        <f>VLOOKUP($D413,WGI!$C$2:$O$478,3,FALSE)</f>
        <v>-1.67344961349851</v>
      </c>
      <c r="BY413" s="129">
        <f>VLOOKUP($D413,WGI!$C$2:$O$478,5,FALSE)</f>
        <v>-1.5198330218751099</v>
      </c>
      <c r="BZ413" s="129">
        <f>VLOOKUP($D413,WGI!$C$2:$O$478,2,FALSE)</f>
        <v>-1.3957785017656701</v>
      </c>
    </row>
    <row r="414" spans="1:78" ht="15" customHeight="1">
      <c r="A414" s="294" t="s">
        <v>182</v>
      </c>
      <c r="B414" s="117">
        <v>2011</v>
      </c>
      <c r="C414" s="132" t="s">
        <v>171</v>
      </c>
      <c r="D414" s="117" t="s">
        <v>3692</v>
      </c>
      <c r="E414" s="117" t="s">
        <v>86</v>
      </c>
      <c r="F414" s="117"/>
      <c r="G414" s="117" t="s">
        <v>24</v>
      </c>
      <c r="H414" s="117" t="str">
        <f t="shared" si="65"/>
        <v>yes</v>
      </c>
      <c r="I414" s="117" t="str">
        <f t="shared" si="66"/>
        <v>no</v>
      </c>
      <c r="J414" s="117" t="str">
        <f t="shared" si="67"/>
        <v>no</v>
      </c>
      <c r="K414" s="176" t="s">
        <v>1073</v>
      </c>
      <c r="L414" s="117" t="str">
        <f t="shared" si="69"/>
        <v>detailed</v>
      </c>
      <c r="M414" s="117" t="str">
        <f t="shared" si="68"/>
        <v>detailed Mining</v>
      </c>
      <c r="N414" s="179">
        <v>362000</v>
      </c>
      <c r="O414" s="179"/>
      <c r="P414" s="179"/>
      <c r="Q414" s="179"/>
      <c r="R414" s="179"/>
      <c r="S414" s="117" t="s">
        <v>610</v>
      </c>
      <c r="T414" s="119"/>
      <c r="U414" s="117"/>
      <c r="V414" s="117" t="s">
        <v>684</v>
      </c>
      <c r="W414" s="89"/>
      <c r="X414" s="117"/>
      <c r="Y414" s="117"/>
      <c r="Z414" s="117"/>
      <c r="AA414" s="177"/>
      <c r="AB414" s="177"/>
      <c r="AC414" s="122"/>
      <c r="AD414" s="122"/>
      <c r="AE414" s="122"/>
      <c r="AF414" s="123"/>
      <c r="AG414" s="117"/>
      <c r="AH414" s="124"/>
      <c r="AI414" s="117"/>
      <c r="AJ414" s="117"/>
      <c r="AK414" s="89"/>
      <c r="AL414" s="117"/>
      <c r="AM414" s="117"/>
      <c r="AN414" s="117"/>
      <c r="AO414" s="117"/>
      <c r="AP414" s="117"/>
      <c r="AQ414" s="117"/>
      <c r="AR414" s="126"/>
      <c r="AS414" s="117"/>
      <c r="AT414" s="117"/>
      <c r="AU414" s="117"/>
      <c r="AV414" s="128"/>
      <c r="AW414" s="117">
        <f>VLOOKUP($D414,'WB Data'!$C$3:$M$578,2,FALSE)</f>
        <v>25835398967.342049</v>
      </c>
      <c r="AX414" s="117">
        <f>VLOOKUP($D414,'WB Data'!$C$3:$M$578,3,FALSE)</f>
        <v>63931512</v>
      </c>
      <c r="AY414" s="847">
        <f t="shared" si="71"/>
        <v>5.4697290132283284E-2</v>
      </c>
      <c r="AZ414" s="117" t="e">
        <f>VLOOKUP($D414,'WB Data'!$C$3:$M$578,4,FALSE)/100</f>
        <v>#VALUE!</v>
      </c>
      <c r="BA414" s="117" t="str">
        <f t="shared" si="72"/>
        <v>..</v>
      </c>
      <c r="BB414" s="129">
        <f>IFERROR(VLOOKUP($D414,'EITI Revenues'!$C$2:$G$224,5,FALSE),"..")</f>
        <v>1413126313</v>
      </c>
      <c r="BC414" s="846" t="str">
        <f t="shared" si="73"/>
        <v>..</v>
      </c>
      <c r="BD414" s="129" t="e">
        <f>VLOOKUP($D414,'WB Data 2'!$C$2:$K$545,6,FALSE)</f>
        <v>#N/A</v>
      </c>
      <c r="BE414" s="129">
        <f>IFERROR(VLOOKUP($D414,UNCTAD!$C$5:$V$529,4,FALSE),"..")</f>
        <v>10211288000</v>
      </c>
      <c r="BF414" s="846" t="str">
        <f t="shared" si="74"/>
        <v>..</v>
      </c>
      <c r="BG414" s="117">
        <f>VLOOKUP($D414,'WB Data'!$C$3:$M$578,5,FALSE)</f>
        <v>5534410000</v>
      </c>
      <c r="BH414" s="129">
        <f>IFERROR($BB414/$BG414,"..")</f>
        <v>0.25533459085973031</v>
      </c>
      <c r="BI414" s="117" t="str">
        <f>IFERROR(VLOOKUP($D414,'WB Data'!$C$3:$M$578,7,FALSE)/100,"..")</f>
        <v>..</v>
      </c>
      <c r="BJ414" s="117" t="str">
        <f>IFERROR($BI414*$AW414,"..")</f>
        <v>..</v>
      </c>
      <c r="BK414" s="846" t="str">
        <f>IFERROR($BB414/$BJ414,"..")</f>
        <v>..</v>
      </c>
      <c r="BL414" s="117" t="str">
        <f>IFERROR(VLOOKUP($D414,'WB Data'!$C$3:$M$578,7,FALSE)/100,"..")</f>
        <v>..</v>
      </c>
      <c r="BM414" s="117" t="str">
        <f>IFERROR($AW414*$BL414,"..")</f>
        <v>..</v>
      </c>
      <c r="BN414" s="846" t="str">
        <f>IFERROR($BB414/$BM414,"..")</f>
        <v>..</v>
      </c>
      <c r="BO414" s="801" t="str">
        <f t="shared" si="70"/>
        <v>..</v>
      </c>
      <c r="BP414" s="117" t="str">
        <f>VLOOKUP($D414,'WB Data'!$C$3:$M$578,9,FALSE)</f>
        <v>..</v>
      </c>
      <c r="BQ414" s="117">
        <f>VLOOKUP($D414,'WB Data'!$C$3:$M$578,10,FALSE)</f>
        <v>49.300707317073176</v>
      </c>
      <c r="BR414" s="117">
        <f>VLOOKUP($D414,'WB Data'!$C$3:$M$578,11,FALSE)</f>
        <v>90.2</v>
      </c>
      <c r="BS414" s="129" t="str">
        <f>IFERROR(VLOOKUP($D414,'WB Data 2'!$C$2:$K$545,9,FALSE),"..")</f>
        <v>..</v>
      </c>
      <c r="BT414" s="129" t="str">
        <f>_xlfn.IFNA(VLOOKUP($C414,RGI!$A$2:$C$43,2,FALSE),"..")</f>
        <v>..</v>
      </c>
      <c r="BU414" s="129" t="str">
        <f>_xlfn.IFNA(VLOOKUP($C414,RGI!$A$2:$C$43,3,FALSE),"..")</f>
        <v>..</v>
      </c>
      <c r="BV414" s="129">
        <f>VLOOKUP($D414,WGI!$C$2:$O$478,7,FALSE)</f>
        <v>-1.5257921010692801</v>
      </c>
      <c r="BW414" s="129">
        <f>VLOOKUP($D414,WGI!$C$2:$O$478,4,FALSE)</f>
        <v>-2.23568898135012</v>
      </c>
      <c r="BX414" s="129">
        <f>VLOOKUP($D414,WGI!$C$2:$O$478,3,FALSE)</f>
        <v>-1.67344961349851</v>
      </c>
      <c r="BY414" s="129">
        <f>VLOOKUP($D414,WGI!$C$2:$O$478,5,FALSE)</f>
        <v>-1.5198330218751099</v>
      </c>
      <c r="BZ414" s="129">
        <f>VLOOKUP($D414,WGI!$C$2:$O$478,2,FALSE)</f>
        <v>-1.3957785017656701</v>
      </c>
    </row>
    <row r="415" spans="1:78" ht="15" customHeight="1">
      <c r="A415" s="294" t="s">
        <v>182</v>
      </c>
      <c r="B415" s="117">
        <v>2011</v>
      </c>
      <c r="C415" s="132" t="s">
        <v>171</v>
      </c>
      <c r="D415" s="117" t="s">
        <v>3692</v>
      </c>
      <c r="E415" s="117" t="s">
        <v>86</v>
      </c>
      <c r="F415" s="117"/>
      <c r="G415" s="117" t="s">
        <v>24</v>
      </c>
      <c r="H415" s="117" t="str">
        <f t="shared" si="65"/>
        <v>yes</v>
      </c>
      <c r="I415" s="117" t="str">
        <f t="shared" si="66"/>
        <v>no</v>
      </c>
      <c r="J415" s="117" t="str">
        <f t="shared" si="67"/>
        <v>no</v>
      </c>
      <c r="K415" s="176" t="s">
        <v>980</v>
      </c>
      <c r="L415" s="117" t="str">
        <f t="shared" si="69"/>
        <v>detailed</v>
      </c>
      <c r="M415" s="117" t="str">
        <f t="shared" si="68"/>
        <v>detailed Mining</v>
      </c>
      <c r="N415" s="179">
        <v>19547000</v>
      </c>
      <c r="O415" s="179"/>
      <c r="P415" s="179"/>
      <c r="Q415" s="179"/>
      <c r="R415" s="179"/>
      <c r="S415" s="117" t="s">
        <v>981</v>
      </c>
      <c r="T415" s="119">
        <v>9.33</v>
      </c>
      <c r="U415" s="117" t="s">
        <v>982</v>
      </c>
      <c r="V415" s="117" t="s">
        <v>1109</v>
      </c>
      <c r="W415" s="89">
        <f>N415*T415</f>
        <v>182373510</v>
      </c>
      <c r="X415" s="117"/>
      <c r="Y415" s="117"/>
      <c r="Z415" s="117"/>
      <c r="AA415" s="177"/>
      <c r="AB415" s="177"/>
      <c r="AC415" s="122"/>
      <c r="AD415" s="122"/>
      <c r="AE415" s="122"/>
      <c r="AF415" s="123"/>
      <c r="AG415" s="117"/>
      <c r="AH415" s="124"/>
      <c r="AI415" s="117"/>
      <c r="AJ415" s="117"/>
      <c r="AK415" s="89"/>
      <c r="AL415" s="117"/>
      <c r="AM415" s="117"/>
      <c r="AN415" s="117"/>
      <c r="AO415" s="117"/>
      <c r="AP415" s="117"/>
      <c r="AQ415" s="117"/>
      <c r="AR415" s="126"/>
      <c r="AS415" s="117"/>
      <c r="AT415" s="117"/>
      <c r="AU415" s="117"/>
      <c r="AV415" s="128"/>
      <c r="AW415" s="117">
        <f>VLOOKUP($D415,'WB Data'!$C$3:$M$578,2,FALSE)</f>
        <v>25835398967.342049</v>
      </c>
      <c r="AX415" s="117">
        <f>VLOOKUP($D415,'WB Data'!$C$3:$M$578,3,FALSE)</f>
        <v>63931512</v>
      </c>
      <c r="AY415" s="847">
        <f t="shared" si="71"/>
        <v>5.4697290132283284E-2</v>
      </c>
      <c r="AZ415" s="117" t="e">
        <f>VLOOKUP($D415,'WB Data'!$C$3:$M$578,4,FALSE)/100</f>
        <v>#VALUE!</v>
      </c>
      <c r="BA415" s="117" t="str">
        <f t="shared" si="72"/>
        <v>..</v>
      </c>
      <c r="BB415" s="129">
        <f>IFERROR(VLOOKUP($D415,'EITI Revenues'!$C$2:$G$224,5,FALSE),"..")</f>
        <v>1413126313</v>
      </c>
      <c r="BC415" s="846" t="str">
        <f t="shared" si="73"/>
        <v>..</v>
      </c>
      <c r="BD415" s="129" t="e">
        <f>VLOOKUP($D415,'WB Data 2'!$C$2:$K$545,6,FALSE)</f>
        <v>#N/A</v>
      </c>
      <c r="BE415" s="129">
        <f>IFERROR(VLOOKUP($D415,UNCTAD!$C$5:$V$529,4,FALSE),"..")</f>
        <v>10211288000</v>
      </c>
      <c r="BF415" s="846" t="str">
        <f t="shared" si="74"/>
        <v>..</v>
      </c>
      <c r="BG415" s="117">
        <f>VLOOKUP($D415,'WB Data'!$C$3:$M$578,5,FALSE)</f>
        <v>5534410000</v>
      </c>
      <c r="BH415" s="129">
        <f>IFERROR($BB415/$BG415,"..")</f>
        <v>0.25533459085973031</v>
      </c>
      <c r="BI415" s="117" t="str">
        <f>IFERROR(VLOOKUP($D415,'WB Data'!$C$3:$M$578,7,FALSE)/100,"..")</f>
        <v>..</v>
      </c>
      <c r="BJ415" s="117" t="str">
        <f>IFERROR($BI415*$AW415,"..")</f>
        <v>..</v>
      </c>
      <c r="BK415" s="846" t="str">
        <f>IFERROR($BB415/$BJ415,"..")</f>
        <v>..</v>
      </c>
      <c r="BL415" s="117" t="str">
        <f>IFERROR(VLOOKUP($D415,'WB Data'!$C$3:$M$578,7,FALSE)/100,"..")</f>
        <v>..</v>
      </c>
      <c r="BM415" s="117" t="str">
        <f>IFERROR($AW415*$BL415,"..")</f>
        <v>..</v>
      </c>
      <c r="BN415" s="846" t="str">
        <f>IFERROR($BB415/$BM415,"..")</f>
        <v>..</v>
      </c>
      <c r="BO415" s="801" t="str">
        <f t="shared" si="70"/>
        <v>..</v>
      </c>
      <c r="BP415" s="117" t="str">
        <f>VLOOKUP($D415,'WB Data'!$C$3:$M$578,9,FALSE)</f>
        <v>..</v>
      </c>
      <c r="BQ415" s="117">
        <f>VLOOKUP($D415,'WB Data'!$C$3:$M$578,10,FALSE)</f>
        <v>49.300707317073176</v>
      </c>
      <c r="BR415" s="117">
        <f>VLOOKUP($D415,'WB Data'!$C$3:$M$578,11,FALSE)</f>
        <v>90.2</v>
      </c>
      <c r="BS415" s="129" t="str">
        <f>IFERROR(VLOOKUP($D415,'WB Data 2'!$C$2:$K$545,9,FALSE),"..")</f>
        <v>..</v>
      </c>
      <c r="BT415" s="129" t="str">
        <f>_xlfn.IFNA(VLOOKUP($C415,RGI!$A$2:$C$43,2,FALSE),"..")</f>
        <v>..</v>
      </c>
      <c r="BU415" s="129" t="str">
        <f>_xlfn.IFNA(VLOOKUP($C415,RGI!$A$2:$C$43,3,FALSE),"..")</f>
        <v>..</v>
      </c>
      <c r="BV415" s="129">
        <f>VLOOKUP($D415,WGI!$C$2:$O$478,7,FALSE)</f>
        <v>-1.5257921010692801</v>
      </c>
      <c r="BW415" s="129">
        <f>VLOOKUP($D415,WGI!$C$2:$O$478,4,FALSE)</f>
        <v>-2.23568898135012</v>
      </c>
      <c r="BX415" s="129">
        <f>VLOOKUP($D415,WGI!$C$2:$O$478,3,FALSE)</f>
        <v>-1.67344961349851</v>
      </c>
      <c r="BY415" s="129">
        <f>VLOOKUP($D415,WGI!$C$2:$O$478,5,FALSE)</f>
        <v>-1.5198330218751099</v>
      </c>
      <c r="BZ415" s="129">
        <f>VLOOKUP($D415,WGI!$C$2:$O$478,2,FALSE)</f>
        <v>-1.3957785017656701</v>
      </c>
    </row>
    <row r="416" spans="1:78" ht="15" customHeight="1">
      <c r="A416" s="294" t="s">
        <v>182</v>
      </c>
      <c r="B416" s="117">
        <v>2011</v>
      </c>
      <c r="C416" s="132" t="s">
        <v>171</v>
      </c>
      <c r="D416" s="117" t="s">
        <v>3692</v>
      </c>
      <c r="E416" s="117" t="s">
        <v>86</v>
      </c>
      <c r="F416" s="117"/>
      <c r="G416" s="117" t="s">
        <v>24</v>
      </c>
      <c r="H416" s="117" t="str">
        <f t="shared" si="65"/>
        <v>yes</v>
      </c>
      <c r="I416" s="117" t="str">
        <f t="shared" si="66"/>
        <v>no</v>
      </c>
      <c r="J416" s="117" t="str">
        <f t="shared" si="67"/>
        <v>no</v>
      </c>
      <c r="K416" s="176" t="s">
        <v>784</v>
      </c>
      <c r="L416" s="117" t="str">
        <f t="shared" si="69"/>
        <v>detailed</v>
      </c>
      <c r="M416" s="117" t="str">
        <f t="shared" si="68"/>
        <v>detailed Mining</v>
      </c>
      <c r="N416" s="179">
        <f>12000*32.150743126506</f>
        <v>385808.917518072</v>
      </c>
      <c r="O416" s="179"/>
      <c r="P416" s="179"/>
      <c r="Q416" s="179"/>
      <c r="R416" s="179"/>
      <c r="S416" s="117" t="s">
        <v>785</v>
      </c>
      <c r="T416" s="119">
        <v>1569.2108333333299</v>
      </c>
      <c r="U416" s="117" t="s">
        <v>786</v>
      </c>
      <c r="V416" s="117" t="s">
        <v>787</v>
      </c>
      <c r="W416" s="89">
        <f>N416*T416</f>
        <v>605415532.96596372</v>
      </c>
      <c r="X416" s="117"/>
      <c r="Y416" s="117"/>
      <c r="Z416" s="117"/>
      <c r="AA416" s="177"/>
      <c r="AB416" s="177"/>
      <c r="AC416" s="122"/>
      <c r="AD416" s="122"/>
      <c r="AE416" s="122"/>
      <c r="AF416" s="123"/>
      <c r="AG416" s="117"/>
      <c r="AH416" s="124"/>
      <c r="AI416" s="117"/>
      <c r="AJ416" s="117"/>
      <c r="AK416" s="89"/>
      <c r="AL416" s="117"/>
      <c r="AM416" s="117"/>
      <c r="AN416" s="117"/>
      <c r="AO416" s="117"/>
      <c r="AP416" s="117"/>
      <c r="AQ416" s="117"/>
      <c r="AR416" s="126"/>
      <c r="AS416" s="117"/>
      <c r="AT416" s="117"/>
      <c r="AU416" s="117"/>
      <c r="AV416" s="128"/>
      <c r="AW416" s="117">
        <f>VLOOKUP($D416,'WB Data'!$C$3:$M$578,2,FALSE)</f>
        <v>25835398967.342049</v>
      </c>
      <c r="AX416" s="117">
        <f>VLOOKUP($D416,'WB Data'!$C$3:$M$578,3,FALSE)</f>
        <v>63931512</v>
      </c>
      <c r="AY416" s="847">
        <f t="shared" si="71"/>
        <v>5.4697290132283284E-2</v>
      </c>
      <c r="AZ416" s="117" t="e">
        <f>VLOOKUP($D416,'WB Data'!$C$3:$M$578,4,FALSE)/100</f>
        <v>#VALUE!</v>
      </c>
      <c r="BA416" s="117" t="str">
        <f t="shared" si="72"/>
        <v>..</v>
      </c>
      <c r="BB416" s="129">
        <f>IFERROR(VLOOKUP($D416,'EITI Revenues'!$C$2:$G$224,5,FALSE),"..")</f>
        <v>1413126313</v>
      </c>
      <c r="BC416" s="846" t="str">
        <f t="shared" si="73"/>
        <v>..</v>
      </c>
      <c r="BD416" s="129" t="e">
        <f>VLOOKUP($D416,'WB Data 2'!$C$2:$K$545,6,FALSE)</f>
        <v>#N/A</v>
      </c>
      <c r="BE416" s="129">
        <f>IFERROR(VLOOKUP($D416,UNCTAD!$C$5:$V$529,4,FALSE),"..")</f>
        <v>10211288000</v>
      </c>
      <c r="BF416" s="846" t="str">
        <f t="shared" si="74"/>
        <v>..</v>
      </c>
      <c r="BG416" s="117">
        <f>VLOOKUP($D416,'WB Data'!$C$3:$M$578,5,FALSE)</f>
        <v>5534410000</v>
      </c>
      <c r="BH416" s="129">
        <f>IFERROR($BB416/$BG416,"..")</f>
        <v>0.25533459085973031</v>
      </c>
      <c r="BI416" s="117" t="str">
        <f>IFERROR(VLOOKUP($D416,'WB Data'!$C$3:$M$578,7,FALSE)/100,"..")</f>
        <v>..</v>
      </c>
      <c r="BJ416" s="117" t="str">
        <f>IFERROR($BI416*$AW416,"..")</f>
        <v>..</v>
      </c>
      <c r="BK416" s="846" t="str">
        <f>IFERROR($BB416/$BJ416,"..")</f>
        <v>..</v>
      </c>
      <c r="BL416" s="117" t="str">
        <f>IFERROR(VLOOKUP($D416,'WB Data'!$C$3:$M$578,7,FALSE)/100,"..")</f>
        <v>..</v>
      </c>
      <c r="BM416" s="117" t="str">
        <f>IFERROR($AW416*$BL416,"..")</f>
        <v>..</v>
      </c>
      <c r="BN416" s="846" t="str">
        <f>IFERROR($BB416/$BM416,"..")</f>
        <v>..</v>
      </c>
      <c r="BO416" s="801" t="str">
        <f t="shared" si="70"/>
        <v>..</v>
      </c>
      <c r="BP416" s="117" t="str">
        <f>VLOOKUP($D416,'WB Data'!$C$3:$M$578,9,FALSE)</f>
        <v>..</v>
      </c>
      <c r="BQ416" s="117">
        <f>VLOOKUP($D416,'WB Data'!$C$3:$M$578,10,FALSE)</f>
        <v>49.300707317073176</v>
      </c>
      <c r="BR416" s="117">
        <f>VLOOKUP($D416,'WB Data'!$C$3:$M$578,11,FALSE)</f>
        <v>90.2</v>
      </c>
      <c r="BS416" s="129" t="str">
        <f>IFERROR(VLOOKUP($D416,'WB Data 2'!$C$2:$K$545,9,FALSE),"..")</f>
        <v>..</v>
      </c>
      <c r="BT416" s="129" t="str">
        <f>_xlfn.IFNA(VLOOKUP($C416,RGI!$A$2:$C$43,2,FALSE),"..")</f>
        <v>..</v>
      </c>
      <c r="BU416" s="129" t="str">
        <f>_xlfn.IFNA(VLOOKUP($C416,RGI!$A$2:$C$43,3,FALSE),"..")</f>
        <v>..</v>
      </c>
      <c r="BV416" s="129">
        <f>VLOOKUP($D416,WGI!$C$2:$O$478,7,FALSE)</f>
        <v>-1.5257921010692801</v>
      </c>
      <c r="BW416" s="129">
        <f>VLOOKUP($D416,WGI!$C$2:$O$478,4,FALSE)</f>
        <v>-2.23568898135012</v>
      </c>
      <c r="BX416" s="129">
        <f>VLOOKUP($D416,WGI!$C$2:$O$478,3,FALSE)</f>
        <v>-1.67344961349851</v>
      </c>
      <c r="BY416" s="129">
        <f>VLOOKUP($D416,WGI!$C$2:$O$478,5,FALSE)</f>
        <v>-1.5198330218751099</v>
      </c>
      <c r="BZ416" s="129">
        <f>VLOOKUP($D416,WGI!$C$2:$O$478,2,FALSE)</f>
        <v>-1.3957785017656701</v>
      </c>
    </row>
    <row r="417" spans="1:80" ht="15" customHeight="1">
      <c r="A417" s="294" t="s">
        <v>182</v>
      </c>
      <c r="B417" s="117">
        <v>2011</v>
      </c>
      <c r="C417" s="132" t="s">
        <v>171</v>
      </c>
      <c r="D417" s="117" t="s">
        <v>3692</v>
      </c>
      <c r="E417" s="117" t="s">
        <v>86</v>
      </c>
      <c r="F417" s="117"/>
      <c r="G417" s="117" t="s">
        <v>24</v>
      </c>
      <c r="H417" s="117" t="str">
        <f t="shared" si="65"/>
        <v>yes</v>
      </c>
      <c r="I417" s="117" t="str">
        <f t="shared" si="66"/>
        <v>no</v>
      </c>
      <c r="J417" s="117" t="str">
        <f t="shared" si="67"/>
        <v>no</v>
      </c>
      <c r="K417" s="176" t="s">
        <v>1075</v>
      </c>
      <c r="L417" s="117" t="str">
        <f t="shared" si="69"/>
        <v>detailed</v>
      </c>
      <c r="M417" s="117" t="str">
        <f t="shared" si="68"/>
        <v>detailed Mining</v>
      </c>
      <c r="N417" s="179"/>
      <c r="O417" s="179"/>
      <c r="P417" s="179"/>
      <c r="Q417" s="179"/>
      <c r="R417" s="179"/>
      <c r="S417" s="117"/>
      <c r="T417" s="186">
        <f>26053.675</f>
        <v>26053.674999999999</v>
      </c>
      <c r="U417" s="117" t="s">
        <v>611</v>
      </c>
      <c r="V417" s="117" t="s">
        <v>1076</v>
      </c>
      <c r="W417" s="89">
        <f>N419*T417</f>
        <v>125057640</v>
      </c>
      <c r="X417" s="117"/>
      <c r="Y417" s="117"/>
      <c r="Z417" s="117"/>
      <c r="AA417" s="177"/>
      <c r="AB417" s="177"/>
      <c r="AC417" s="122"/>
      <c r="AD417" s="122"/>
      <c r="AE417" s="122"/>
      <c r="AF417" s="123"/>
      <c r="AG417" s="117"/>
      <c r="AH417" s="124"/>
      <c r="AI417" s="117"/>
      <c r="AJ417" s="117"/>
      <c r="AK417" s="89"/>
      <c r="AL417" s="117"/>
      <c r="AM417" s="117"/>
      <c r="AN417" s="117"/>
      <c r="AO417" s="117"/>
      <c r="AP417" s="117"/>
      <c r="AQ417" s="117"/>
      <c r="AR417" s="126"/>
      <c r="AS417" s="117"/>
      <c r="AT417" s="117"/>
      <c r="AU417" s="117"/>
      <c r="AV417" s="128"/>
      <c r="AW417" s="117">
        <f>VLOOKUP($D417,'WB Data'!$C$3:$M$578,2,FALSE)</f>
        <v>25835398967.342049</v>
      </c>
      <c r="AX417" s="117">
        <f>VLOOKUP($D417,'WB Data'!$C$3:$M$578,3,FALSE)</f>
        <v>63931512</v>
      </c>
      <c r="AY417" s="847">
        <f t="shared" si="71"/>
        <v>5.4697290132283284E-2</v>
      </c>
      <c r="AZ417" s="117" t="e">
        <f>VLOOKUP($D417,'WB Data'!$C$3:$M$578,4,FALSE)/100</f>
        <v>#VALUE!</v>
      </c>
      <c r="BA417" s="117" t="str">
        <f t="shared" si="72"/>
        <v>..</v>
      </c>
      <c r="BB417" s="129">
        <f>IFERROR(VLOOKUP($D417,'EITI Revenues'!$C$2:$G$224,5,FALSE),"..")</f>
        <v>1413126313</v>
      </c>
      <c r="BC417" s="846" t="str">
        <f t="shared" si="73"/>
        <v>..</v>
      </c>
      <c r="BD417" s="129" t="e">
        <f>VLOOKUP($D417,'WB Data 2'!$C$2:$K$545,6,FALSE)</f>
        <v>#N/A</v>
      </c>
      <c r="BE417" s="129">
        <f>IFERROR(VLOOKUP($D417,UNCTAD!$C$5:$V$529,4,FALSE),"..")</f>
        <v>10211288000</v>
      </c>
      <c r="BF417" s="846" t="str">
        <f t="shared" si="74"/>
        <v>..</v>
      </c>
      <c r="BG417" s="117">
        <f>VLOOKUP($D417,'WB Data'!$C$3:$M$578,5,FALSE)</f>
        <v>5534410000</v>
      </c>
      <c r="BH417" s="129">
        <f>IFERROR($BB417/$BG417,"..")</f>
        <v>0.25533459085973031</v>
      </c>
      <c r="BI417" s="117" t="str">
        <f>IFERROR(VLOOKUP($D417,'WB Data'!$C$3:$M$578,7,FALSE)/100,"..")</f>
        <v>..</v>
      </c>
      <c r="BJ417" s="117" t="str">
        <f>IFERROR($BI417*$AW417,"..")</f>
        <v>..</v>
      </c>
      <c r="BK417" s="846" t="str">
        <f>IFERROR($BB417/$BJ417,"..")</f>
        <v>..</v>
      </c>
      <c r="BL417" s="117" t="str">
        <f>IFERROR(VLOOKUP($D417,'WB Data'!$C$3:$M$578,7,FALSE)/100,"..")</f>
        <v>..</v>
      </c>
      <c r="BM417" s="117" t="str">
        <f>IFERROR($AW417*$BL417,"..")</f>
        <v>..</v>
      </c>
      <c r="BN417" s="846" t="str">
        <f>IFERROR($BB417/$BM417,"..")</f>
        <v>..</v>
      </c>
      <c r="BO417" s="801" t="str">
        <f t="shared" si="70"/>
        <v>..</v>
      </c>
      <c r="BP417" s="117" t="str">
        <f>VLOOKUP($D417,'WB Data'!$C$3:$M$578,9,FALSE)</f>
        <v>..</v>
      </c>
      <c r="BQ417" s="117">
        <f>VLOOKUP($D417,'WB Data'!$C$3:$M$578,10,FALSE)</f>
        <v>49.300707317073176</v>
      </c>
      <c r="BR417" s="117">
        <f>VLOOKUP($D417,'WB Data'!$C$3:$M$578,11,FALSE)</f>
        <v>90.2</v>
      </c>
      <c r="BS417" s="129" t="str">
        <f>IFERROR(VLOOKUP($D417,'WB Data 2'!$C$2:$K$545,9,FALSE),"..")</f>
        <v>..</v>
      </c>
      <c r="BT417" s="129" t="str">
        <f>_xlfn.IFNA(VLOOKUP($C417,RGI!$A$2:$C$43,2,FALSE),"..")</f>
        <v>..</v>
      </c>
      <c r="BU417" s="129" t="str">
        <f>_xlfn.IFNA(VLOOKUP($C417,RGI!$A$2:$C$43,3,FALSE),"..")</f>
        <v>..</v>
      </c>
      <c r="BV417" s="129">
        <f>VLOOKUP($D417,WGI!$C$2:$O$478,7,FALSE)</f>
        <v>-1.5257921010692801</v>
      </c>
      <c r="BW417" s="129">
        <f>VLOOKUP($D417,WGI!$C$2:$O$478,4,FALSE)</f>
        <v>-2.23568898135012</v>
      </c>
      <c r="BX417" s="129">
        <f>VLOOKUP($D417,WGI!$C$2:$O$478,3,FALSE)</f>
        <v>-1.67344961349851</v>
      </c>
      <c r="BY417" s="129">
        <f>VLOOKUP($D417,WGI!$C$2:$O$478,5,FALSE)</f>
        <v>-1.5198330218751099</v>
      </c>
      <c r="BZ417" s="129">
        <f>VLOOKUP($D417,WGI!$C$2:$O$478,2,FALSE)</f>
        <v>-1.3957785017656701</v>
      </c>
    </row>
    <row r="418" spans="1:80" ht="15" customHeight="1">
      <c r="A418" s="294" t="s">
        <v>182</v>
      </c>
      <c r="B418" s="117">
        <v>2011</v>
      </c>
      <c r="C418" s="132" t="s">
        <v>171</v>
      </c>
      <c r="D418" s="117" t="s">
        <v>3692</v>
      </c>
      <c r="E418" s="117" t="s">
        <v>86</v>
      </c>
      <c r="F418" s="117"/>
      <c r="G418" s="117" t="s">
        <v>24</v>
      </c>
      <c r="H418" s="117" t="str">
        <f t="shared" si="65"/>
        <v>yes</v>
      </c>
      <c r="I418" s="117" t="str">
        <f t="shared" si="66"/>
        <v>no</v>
      </c>
      <c r="J418" s="117" t="str">
        <f t="shared" si="67"/>
        <v>no</v>
      </c>
      <c r="K418" s="176" t="s">
        <v>1066</v>
      </c>
      <c r="L418" s="117" t="str">
        <f t="shared" si="69"/>
        <v>detailed</v>
      </c>
      <c r="M418" s="117" t="str">
        <f t="shared" si="68"/>
        <v>detailed Mining</v>
      </c>
      <c r="N418" s="179">
        <v>7400</v>
      </c>
      <c r="O418" s="179"/>
      <c r="P418" s="179"/>
      <c r="Q418" s="179"/>
      <c r="R418" s="179"/>
      <c r="S418" s="117" t="s">
        <v>610</v>
      </c>
      <c r="T418" s="119"/>
      <c r="U418" s="117"/>
      <c r="V418" s="117" t="s">
        <v>684</v>
      </c>
      <c r="W418" s="89"/>
      <c r="X418" s="117"/>
      <c r="Y418" s="117"/>
      <c r="Z418" s="117"/>
      <c r="AA418" s="177"/>
      <c r="AB418" s="177"/>
      <c r="AC418" s="122"/>
      <c r="AD418" s="122"/>
      <c r="AE418" s="122"/>
      <c r="AF418" s="123"/>
      <c r="AG418" s="117"/>
      <c r="AH418" s="124"/>
      <c r="AI418" s="117"/>
      <c r="AJ418" s="117"/>
      <c r="AK418" s="89"/>
      <c r="AL418" s="117"/>
      <c r="AM418" s="117"/>
      <c r="AN418" s="117"/>
      <c r="AO418" s="117"/>
      <c r="AP418" s="117"/>
      <c r="AQ418" s="117"/>
      <c r="AR418" s="126"/>
      <c r="AS418" s="117"/>
      <c r="AT418" s="117"/>
      <c r="AU418" s="117"/>
      <c r="AV418" s="128"/>
      <c r="AW418" s="117">
        <f>VLOOKUP($D418,'WB Data'!$C$3:$M$578,2,FALSE)</f>
        <v>25835398967.342049</v>
      </c>
      <c r="AX418" s="117">
        <f>VLOOKUP($D418,'WB Data'!$C$3:$M$578,3,FALSE)</f>
        <v>63931512</v>
      </c>
      <c r="AY418" s="847">
        <f t="shared" si="71"/>
        <v>5.4697290132283284E-2</v>
      </c>
      <c r="AZ418" s="117" t="e">
        <f>VLOOKUP($D418,'WB Data'!$C$3:$M$578,4,FALSE)/100</f>
        <v>#VALUE!</v>
      </c>
      <c r="BA418" s="117" t="str">
        <f t="shared" si="72"/>
        <v>..</v>
      </c>
      <c r="BB418" s="129">
        <f>IFERROR(VLOOKUP($D418,'EITI Revenues'!$C$2:$G$224,5,FALSE),"..")</f>
        <v>1413126313</v>
      </c>
      <c r="BC418" s="846" t="str">
        <f t="shared" si="73"/>
        <v>..</v>
      </c>
      <c r="BD418" s="129" t="e">
        <f>VLOOKUP($D418,'WB Data 2'!$C$2:$K$545,6,FALSE)</f>
        <v>#N/A</v>
      </c>
      <c r="BE418" s="129">
        <f>IFERROR(VLOOKUP($D418,UNCTAD!$C$5:$V$529,4,FALSE),"..")</f>
        <v>10211288000</v>
      </c>
      <c r="BF418" s="846" t="str">
        <f t="shared" si="74"/>
        <v>..</v>
      </c>
      <c r="BG418" s="117">
        <f>VLOOKUP($D418,'WB Data'!$C$3:$M$578,5,FALSE)</f>
        <v>5534410000</v>
      </c>
      <c r="BH418" s="129">
        <f>IFERROR($BB418/$BG418,"..")</f>
        <v>0.25533459085973031</v>
      </c>
      <c r="BI418" s="117" t="str">
        <f>IFERROR(VLOOKUP($D418,'WB Data'!$C$3:$M$578,7,FALSE)/100,"..")</f>
        <v>..</v>
      </c>
      <c r="BJ418" s="117" t="str">
        <f>IFERROR($BI418*$AW418,"..")</f>
        <v>..</v>
      </c>
      <c r="BK418" s="846" t="str">
        <f>IFERROR($BB418/$BJ418,"..")</f>
        <v>..</v>
      </c>
      <c r="BL418" s="117" t="str">
        <f>IFERROR(VLOOKUP($D418,'WB Data'!$C$3:$M$578,7,FALSE)/100,"..")</f>
        <v>..</v>
      </c>
      <c r="BM418" s="117" t="str">
        <f>IFERROR($AW418*$BL418,"..")</f>
        <v>..</v>
      </c>
      <c r="BN418" s="846" t="str">
        <f>IFERROR($BB418/$BM418,"..")</f>
        <v>..</v>
      </c>
      <c r="BO418" s="801" t="str">
        <f t="shared" si="70"/>
        <v>..</v>
      </c>
      <c r="BP418" s="117" t="str">
        <f>VLOOKUP($D418,'WB Data'!$C$3:$M$578,9,FALSE)</f>
        <v>..</v>
      </c>
      <c r="BQ418" s="117">
        <f>VLOOKUP($D418,'WB Data'!$C$3:$M$578,10,FALSE)</f>
        <v>49.300707317073176</v>
      </c>
      <c r="BR418" s="117">
        <f>VLOOKUP($D418,'WB Data'!$C$3:$M$578,11,FALSE)</f>
        <v>90.2</v>
      </c>
      <c r="BS418" s="129" t="str">
        <f>IFERROR(VLOOKUP($D418,'WB Data 2'!$C$2:$K$545,9,FALSE),"..")</f>
        <v>..</v>
      </c>
      <c r="BT418" s="129" t="str">
        <f>_xlfn.IFNA(VLOOKUP($C418,RGI!$A$2:$C$43,2,FALSE),"..")</f>
        <v>..</v>
      </c>
      <c r="BU418" s="129" t="str">
        <f>_xlfn.IFNA(VLOOKUP($C418,RGI!$A$2:$C$43,3,FALSE),"..")</f>
        <v>..</v>
      </c>
      <c r="BV418" s="129">
        <f>VLOOKUP($D418,WGI!$C$2:$O$478,7,FALSE)</f>
        <v>-1.5257921010692801</v>
      </c>
      <c r="BW418" s="129">
        <f>VLOOKUP($D418,WGI!$C$2:$O$478,4,FALSE)</f>
        <v>-2.23568898135012</v>
      </c>
      <c r="BX418" s="129">
        <f>VLOOKUP($D418,WGI!$C$2:$O$478,3,FALSE)</f>
        <v>-1.67344961349851</v>
      </c>
      <c r="BY418" s="129">
        <f>VLOOKUP($D418,WGI!$C$2:$O$478,5,FALSE)</f>
        <v>-1.5198330218751099</v>
      </c>
      <c r="BZ418" s="129">
        <f>VLOOKUP($D418,WGI!$C$2:$O$478,2,FALSE)</f>
        <v>-1.3957785017656701</v>
      </c>
    </row>
    <row r="419" spans="1:80" ht="15" customHeight="1">
      <c r="A419" s="294" t="s">
        <v>182</v>
      </c>
      <c r="B419" s="117">
        <v>2011</v>
      </c>
      <c r="C419" s="132" t="s">
        <v>171</v>
      </c>
      <c r="D419" s="117" t="s">
        <v>3692</v>
      </c>
      <c r="E419" s="117" t="s">
        <v>86</v>
      </c>
      <c r="F419" s="117"/>
      <c r="G419" s="117" t="s">
        <v>24</v>
      </c>
      <c r="H419" s="117" t="str">
        <f t="shared" si="65"/>
        <v>yes</v>
      </c>
      <c r="I419" s="117" t="str">
        <f t="shared" si="66"/>
        <v>no</v>
      </c>
      <c r="J419" s="117" t="str">
        <f t="shared" si="67"/>
        <v>no</v>
      </c>
      <c r="K419" s="176" t="s">
        <v>1077</v>
      </c>
      <c r="L419" s="117" t="str">
        <f t="shared" si="69"/>
        <v>detailed</v>
      </c>
      <c r="M419" s="117" t="str">
        <f t="shared" si="68"/>
        <v>detailed Mining</v>
      </c>
      <c r="N419" s="179">
        <v>4800</v>
      </c>
      <c r="O419" s="179"/>
      <c r="P419" s="179"/>
      <c r="Q419" s="179"/>
      <c r="R419" s="179"/>
      <c r="S419" s="117" t="s">
        <v>610</v>
      </c>
      <c r="T419" s="119"/>
      <c r="U419" s="117"/>
      <c r="V419" s="117" t="s">
        <v>684</v>
      </c>
      <c r="W419" s="89"/>
      <c r="X419" s="117"/>
      <c r="Y419" s="117"/>
      <c r="Z419" s="117"/>
      <c r="AA419" s="177"/>
      <c r="AB419" s="177"/>
      <c r="AC419" s="122"/>
      <c r="AD419" s="122"/>
      <c r="AE419" s="122"/>
      <c r="AF419" s="123"/>
      <c r="AG419" s="117"/>
      <c r="AH419" s="124"/>
      <c r="AI419" s="117"/>
      <c r="AJ419" s="117"/>
      <c r="AK419" s="89"/>
      <c r="AL419" s="117"/>
      <c r="AM419" s="117"/>
      <c r="AN419" s="117"/>
      <c r="AO419" s="117"/>
      <c r="AP419" s="117"/>
      <c r="AQ419" s="117"/>
      <c r="AR419" s="126"/>
      <c r="AS419" s="117"/>
      <c r="AT419" s="117"/>
      <c r="AU419" s="117"/>
      <c r="AV419" s="128"/>
      <c r="AW419" s="117">
        <f>VLOOKUP($D419,'WB Data'!$C$3:$M$578,2,FALSE)</f>
        <v>25835398967.342049</v>
      </c>
      <c r="AX419" s="117">
        <f>VLOOKUP($D419,'WB Data'!$C$3:$M$578,3,FALSE)</f>
        <v>63931512</v>
      </c>
      <c r="AY419" s="847">
        <f t="shared" si="71"/>
        <v>5.4697290132283284E-2</v>
      </c>
      <c r="AZ419" s="117" t="e">
        <f>VLOOKUP($D419,'WB Data'!$C$3:$M$578,4,FALSE)/100</f>
        <v>#VALUE!</v>
      </c>
      <c r="BA419" s="117" t="str">
        <f t="shared" si="72"/>
        <v>..</v>
      </c>
      <c r="BB419" s="129">
        <f>IFERROR(VLOOKUP($D419,'EITI Revenues'!$C$2:$G$224,5,FALSE),"..")</f>
        <v>1413126313</v>
      </c>
      <c r="BC419" s="846" t="str">
        <f t="shared" si="73"/>
        <v>..</v>
      </c>
      <c r="BD419" s="129" t="e">
        <f>VLOOKUP($D419,'WB Data 2'!$C$2:$K$545,6,FALSE)</f>
        <v>#N/A</v>
      </c>
      <c r="BE419" s="129">
        <f>IFERROR(VLOOKUP($D419,UNCTAD!$C$5:$V$529,4,FALSE),"..")</f>
        <v>10211288000</v>
      </c>
      <c r="BF419" s="846" t="str">
        <f t="shared" si="74"/>
        <v>..</v>
      </c>
      <c r="BG419" s="117">
        <f>VLOOKUP($D419,'WB Data'!$C$3:$M$578,5,FALSE)</f>
        <v>5534410000</v>
      </c>
      <c r="BH419" s="129">
        <f>IFERROR($BB419/$BG419,"..")</f>
        <v>0.25533459085973031</v>
      </c>
      <c r="BI419" s="117" t="str">
        <f>IFERROR(VLOOKUP($D419,'WB Data'!$C$3:$M$578,7,FALSE)/100,"..")</f>
        <v>..</v>
      </c>
      <c r="BJ419" s="117" t="str">
        <f>IFERROR($BI419*$AW419,"..")</f>
        <v>..</v>
      </c>
      <c r="BK419" s="846" t="str">
        <f>IFERROR($BB419/$BJ419,"..")</f>
        <v>..</v>
      </c>
      <c r="BL419" s="117" t="str">
        <f>IFERROR(VLOOKUP($D419,'WB Data'!$C$3:$M$578,7,FALSE)/100,"..")</f>
        <v>..</v>
      </c>
      <c r="BM419" s="117" t="str">
        <f>IFERROR($AW419*$BL419,"..")</f>
        <v>..</v>
      </c>
      <c r="BN419" s="846" t="str">
        <f>IFERROR($BB419/$BM419,"..")</f>
        <v>..</v>
      </c>
      <c r="BO419" s="801" t="str">
        <f t="shared" si="70"/>
        <v>..</v>
      </c>
      <c r="BP419" s="117" t="str">
        <f>VLOOKUP($D419,'WB Data'!$C$3:$M$578,9,FALSE)</f>
        <v>..</v>
      </c>
      <c r="BQ419" s="117">
        <f>VLOOKUP($D419,'WB Data'!$C$3:$M$578,10,FALSE)</f>
        <v>49.300707317073176</v>
      </c>
      <c r="BR419" s="117">
        <f>VLOOKUP($D419,'WB Data'!$C$3:$M$578,11,FALSE)</f>
        <v>90.2</v>
      </c>
      <c r="BS419" s="129" t="str">
        <f>IFERROR(VLOOKUP($D419,'WB Data 2'!$C$2:$K$545,9,FALSE),"..")</f>
        <v>..</v>
      </c>
      <c r="BT419" s="129" t="str">
        <f>_xlfn.IFNA(VLOOKUP($C419,RGI!$A$2:$C$43,2,FALSE),"..")</f>
        <v>..</v>
      </c>
      <c r="BU419" s="129" t="str">
        <f>_xlfn.IFNA(VLOOKUP($C419,RGI!$A$2:$C$43,3,FALSE),"..")</f>
        <v>..</v>
      </c>
      <c r="BV419" s="129">
        <f>VLOOKUP($D419,WGI!$C$2:$O$478,7,FALSE)</f>
        <v>-1.5257921010692801</v>
      </c>
      <c r="BW419" s="129">
        <f>VLOOKUP($D419,WGI!$C$2:$O$478,4,FALSE)</f>
        <v>-2.23568898135012</v>
      </c>
      <c r="BX419" s="129">
        <f>VLOOKUP($D419,WGI!$C$2:$O$478,3,FALSE)</f>
        <v>-1.67344961349851</v>
      </c>
      <c r="BY419" s="129">
        <f>VLOOKUP($D419,WGI!$C$2:$O$478,5,FALSE)</f>
        <v>-1.5198330218751099</v>
      </c>
      <c r="BZ419" s="129">
        <f>VLOOKUP($D419,WGI!$C$2:$O$478,2,FALSE)</f>
        <v>-1.3957785017656701</v>
      </c>
    </row>
    <row r="420" spans="1:80" ht="15" customHeight="1">
      <c r="A420" s="294" t="s">
        <v>182</v>
      </c>
      <c r="B420" s="117">
        <v>2011</v>
      </c>
      <c r="C420" s="132" t="s">
        <v>171</v>
      </c>
      <c r="D420" s="117" t="s">
        <v>3692</v>
      </c>
      <c r="E420" s="117" t="s">
        <v>86</v>
      </c>
      <c r="F420" s="117"/>
      <c r="G420" s="117" t="s">
        <v>24</v>
      </c>
      <c r="H420" s="117" t="str">
        <f t="shared" si="65"/>
        <v>yes</v>
      </c>
      <c r="I420" s="117" t="str">
        <f t="shared" si="66"/>
        <v>no</v>
      </c>
      <c r="J420" s="117" t="str">
        <f t="shared" si="67"/>
        <v>no</v>
      </c>
      <c r="K420" s="176" t="s">
        <v>1078</v>
      </c>
      <c r="L420" s="117" t="str">
        <f t="shared" si="69"/>
        <v>detailed</v>
      </c>
      <c r="M420" s="117" t="str">
        <f t="shared" si="68"/>
        <v>detailed Mining</v>
      </c>
      <c r="N420" s="179"/>
      <c r="O420" s="179"/>
      <c r="P420" s="179"/>
      <c r="Q420" s="179"/>
      <c r="R420" s="179"/>
      <c r="S420" s="117"/>
      <c r="T420" s="119">
        <v>199</v>
      </c>
      <c r="U420" s="117" t="s">
        <v>611</v>
      </c>
      <c r="V420" s="117" t="s">
        <v>1095</v>
      </c>
      <c r="W420" s="89">
        <f>N422*T420</f>
        <v>13930</v>
      </c>
      <c r="X420" s="117"/>
      <c r="Y420" s="117"/>
      <c r="Z420" s="117"/>
      <c r="AA420" s="177"/>
      <c r="AB420" s="177"/>
      <c r="AC420" s="122"/>
      <c r="AD420" s="122"/>
      <c r="AE420" s="122"/>
      <c r="AF420" s="123"/>
      <c r="AG420" s="117"/>
      <c r="AH420" s="124"/>
      <c r="AI420" s="117"/>
      <c r="AJ420" s="117"/>
      <c r="AK420" s="89"/>
      <c r="AL420" s="117"/>
      <c r="AM420" s="117"/>
      <c r="AN420" s="117"/>
      <c r="AO420" s="117"/>
      <c r="AP420" s="117"/>
      <c r="AQ420" s="117"/>
      <c r="AR420" s="126"/>
      <c r="AS420" s="117"/>
      <c r="AT420" s="117"/>
      <c r="AU420" s="117"/>
      <c r="AV420" s="128"/>
      <c r="AW420" s="117">
        <f>VLOOKUP($D420,'WB Data'!$C$3:$M$578,2,FALSE)</f>
        <v>25835398967.342049</v>
      </c>
      <c r="AX420" s="117">
        <f>VLOOKUP($D420,'WB Data'!$C$3:$M$578,3,FALSE)</f>
        <v>63931512</v>
      </c>
      <c r="AY420" s="847">
        <f t="shared" si="71"/>
        <v>5.4697290132283284E-2</v>
      </c>
      <c r="AZ420" s="117" t="e">
        <f>VLOOKUP($D420,'WB Data'!$C$3:$M$578,4,FALSE)/100</f>
        <v>#VALUE!</v>
      </c>
      <c r="BA420" s="117" t="str">
        <f t="shared" si="72"/>
        <v>..</v>
      </c>
      <c r="BB420" s="129">
        <f>IFERROR(VLOOKUP($D420,'EITI Revenues'!$C$2:$G$224,5,FALSE),"..")</f>
        <v>1413126313</v>
      </c>
      <c r="BC420" s="846" t="str">
        <f t="shared" si="73"/>
        <v>..</v>
      </c>
      <c r="BD420" s="129" t="e">
        <f>VLOOKUP($D420,'WB Data 2'!$C$2:$K$545,6,FALSE)</f>
        <v>#N/A</v>
      </c>
      <c r="BE420" s="129">
        <f>IFERROR(VLOOKUP($D420,UNCTAD!$C$5:$V$529,4,FALSE),"..")</f>
        <v>10211288000</v>
      </c>
      <c r="BF420" s="846" t="str">
        <f t="shared" si="74"/>
        <v>..</v>
      </c>
      <c r="BG420" s="117">
        <f>VLOOKUP($D420,'WB Data'!$C$3:$M$578,5,FALSE)</f>
        <v>5534410000</v>
      </c>
      <c r="BH420" s="129">
        <f>IFERROR($BB420/$BG420,"..")</f>
        <v>0.25533459085973031</v>
      </c>
      <c r="BI420" s="117" t="str">
        <f>IFERROR(VLOOKUP($D420,'WB Data'!$C$3:$M$578,7,FALSE)/100,"..")</f>
        <v>..</v>
      </c>
      <c r="BJ420" s="117" t="str">
        <f>IFERROR($BI420*$AW420,"..")</f>
        <v>..</v>
      </c>
      <c r="BK420" s="846" t="str">
        <f>IFERROR($BB420/$BJ420,"..")</f>
        <v>..</v>
      </c>
      <c r="BL420" s="117" t="str">
        <f>IFERROR(VLOOKUP($D420,'WB Data'!$C$3:$M$578,7,FALSE)/100,"..")</f>
        <v>..</v>
      </c>
      <c r="BM420" s="117" t="str">
        <f>IFERROR($AW420*$BL420,"..")</f>
        <v>..</v>
      </c>
      <c r="BN420" s="846" t="str">
        <f>IFERROR($BB420/$BM420,"..")</f>
        <v>..</v>
      </c>
      <c r="BO420" s="801" t="str">
        <f t="shared" si="70"/>
        <v>..</v>
      </c>
      <c r="BP420" s="117" t="str">
        <f>VLOOKUP($D420,'WB Data'!$C$3:$M$578,9,FALSE)</f>
        <v>..</v>
      </c>
      <c r="BQ420" s="117">
        <f>VLOOKUP($D420,'WB Data'!$C$3:$M$578,10,FALSE)</f>
        <v>49.300707317073176</v>
      </c>
      <c r="BR420" s="117">
        <f>VLOOKUP($D420,'WB Data'!$C$3:$M$578,11,FALSE)</f>
        <v>90.2</v>
      </c>
      <c r="BS420" s="129" t="str">
        <f>IFERROR(VLOOKUP($D420,'WB Data 2'!$C$2:$K$545,9,FALSE),"..")</f>
        <v>..</v>
      </c>
      <c r="BT420" s="129" t="str">
        <f>_xlfn.IFNA(VLOOKUP($C420,RGI!$A$2:$C$43,2,FALSE),"..")</f>
        <v>..</v>
      </c>
      <c r="BU420" s="129" t="str">
        <f>_xlfn.IFNA(VLOOKUP($C420,RGI!$A$2:$C$43,3,FALSE),"..")</f>
        <v>..</v>
      </c>
      <c r="BV420" s="129">
        <f>VLOOKUP($D420,WGI!$C$2:$O$478,7,FALSE)</f>
        <v>-1.5257921010692801</v>
      </c>
      <c r="BW420" s="129">
        <f>VLOOKUP($D420,WGI!$C$2:$O$478,4,FALSE)</f>
        <v>-2.23568898135012</v>
      </c>
      <c r="BX420" s="129">
        <f>VLOOKUP($D420,WGI!$C$2:$O$478,3,FALSE)</f>
        <v>-1.67344961349851</v>
      </c>
      <c r="BY420" s="129">
        <f>VLOOKUP($D420,WGI!$C$2:$O$478,5,FALSE)</f>
        <v>-1.5198330218751099</v>
      </c>
      <c r="BZ420" s="129">
        <f>VLOOKUP($D420,WGI!$C$2:$O$478,2,FALSE)</f>
        <v>-1.3957785017656701</v>
      </c>
    </row>
    <row r="421" spans="1:80" ht="15" customHeight="1">
      <c r="A421" s="294" t="s">
        <v>182</v>
      </c>
      <c r="B421" s="117">
        <v>2011</v>
      </c>
      <c r="C421" s="132" t="s">
        <v>171</v>
      </c>
      <c r="D421" s="117" t="s">
        <v>3692</v>
      </c>
      <c r="E421" s="117" t="s">
        <v>86</v>
      </c>
      <c r="F421" s="117"/>
      <c r="G421" s="117" t="s">
        <v>24</v>
      </c>
      <c r="H421" s="117" t="str">
        <f t="shared" si="65"/>
        <v>yes</v>
      </c>
      <c r="I421" s="117" t="str">
        <f t="shared" si="66"/>
        <v>no</v>
      </c>
      <c r="J421" s="117" t="str">
        <f t="shared" si="67"/>
        <v>no</v>
      </c>
      <c r="K421" s="176" t="s">
        <v>1066</v>
      </c>
      <c r="L421" s="117" t="str">
        <f t="shared" si="69"/>
        <v>detailed</v>
      </c>
      <c r="M421" s="117" t="str">
        <f t="shared" si="68"/>
        <v>detailed Mining</v>
      </c>
      <c r="N421" s="179">
        <v>130</v>
      </c>
      <c r="O421" s="179"/>
      <c r="P421" s="179"/>
      <c r="Q421" s="179"/>
      <c r="R421" s="179"/>
      <c r="S421" s="117" t="s">
        <v>610</v>
      </c>
      <c r="T421" s="119"/>
      <c r="U421" s="117"/>
      <c r="V421" s="117" t="s">
        <v>684</v>
      </c>
      <c r="W421" s="89"/>
      <c r="X421" s="117"/>
      <c r="Y421" s="117"/>
      <c r="Z421" s="117"/>
      <c r="AA421" s="177"/>
      <c r="AB421" s="177"/>
      <c r="AC421" s="122"/>
      <c r="AD421" s="122"/>
      <c r="AE421" s="122"/>
      <c r="AF421" s="123"/>
      <c r="AG421" s="117"/>
      <c r="AH421" s="124"/>
      <c r="AI421" s="117"/>
      <c r="AJ421" s="117"/>
      <c r="AK421" s="89"/>
      <c r="AL421" s="117"/>
      <c r="AM421" s="117"/>
      <c r="AN421" s="117"/>
      <c r="AO421" s="117"/>
      <c r="AP421" s="117"/>
      <c r="AQ421" s="117"/>
      <c r="AR421" s="126"/>
      <c r="AS421" s="117"/>
      <c r="AT421" s="117"/>
      <c r="AU421" s="117"/>
      <c r="AV421" s="128"/>
      <c r="AW421" s="117">
        <f>VLOOKUP($D421,'WB Data'!$C$3:$M$578,2,FALSE)</f>
        <v>25835398967.342049</v>
      </c>
      <c r="AX421" s="117">
        <f>VLOOKUP($D421,'WB Data'!$C$3:$M$578,3,FALSE)</f>
        <v>63931512</v>
      </c>
      <c r="AY421" s="847">
        <f t="shared" si="71"/>
        <v>5.4697290132283284E-2</v>
      </c>
      <c r="AZ421" s="117" t="e">
        <f>VLOOKUP($D421,'WB Data'!$C$3:$M$578,4,FALSE)/100</f>
        <v>#VALUE!</v>
      </c>
      <c r="BA421" s="117" t="str">
        <f t="shared" si="72"/>
        <v>..</v>
      </c>
      <c r="BB421" s="129">
        <f>IFERROR(VLOOKUP($D421,'EITI Revenues'!$C$2:$G$224,5,FALSE),"..")</f>
        <v>1413126313</v>
      </c>
      <c r="BC421" s="846" t="str">
        <f t="shared" si="73"/>
        <v>..</v>
      </c>
      <c r="BD421" s="129" t="e">
        <f>VLOOKUP($D421,'WB Data 2'!$C$2:$K$545,6,FALSE)</f>
        <v>#N/A</v>
      </c>
      <c r="BE421" s="129">
        <f>IFERROR(VLOOKUP($D421,UNCTAD!$C$5:$V$529,4,FALSE),"..")</f>
        <v>10211288000</v>
      </c>
      <c r="BF421" s="846" t="str">
        <f t="shared" si="74"/>
        <v>..</v>
      </c>
      <c r="BG421" s="117">
        <f>VLOOKUP($D421,'WB Data'!$C$3:$M$578,5,FALSE)</f>
        <v>5534410000</v>
      </c>
      <c r="BH421" s="129">
        <f>IFERROR($BB421/$BG421,"..")</f>
        <v>0.25533459085973031</v>
      </c>
      <c r="BI421" s="117" t="str">
        <f>IFERROR(VLOOKUP($D421,'WB Data'!$C$3:$M$578,7,FALSE)/100,"..")</f>
        <v>..</v>
      </c>
      <c r="BJ421" s="117" t="str">
        <f>IFERROR($BI421*$AW421,"..")</f>
        <v>..</v>
      </c>
      <c r="BK421" s="846" t="str">
        <f>IFERROR($BB421/$BJ421,"..")</f>
        <v>..</v>
      </c>
      <c r="BL421" s="117" t="str">
        <f>IFERROR(VLOOKUP($D421,'WB Data'!$C$3:$M$578,7,FALSE)/100,"..")</f>
        <v>..</v>
      </c>
      <c r="BM421" s="117" t="str">
        <f>IFERROR($AW421*$BL421,"..")</f>
        <v>..</v>
      </c>
      <c r="BN421" s="846" t="str">
        <f>IFERROR($BB421/$BM421,"..")</f>
        <v>..</v>
      </c>
      <c r="BO421" s="801" t="str">
        <f t="shared" si="70"/>
        <v>..</v>
      </c>
      <c r="BP421" s="117" t="str">
        <f>VLOOKUP($D421,'WB Data'!$C$3:$M$578,9,FALSE)</f>
        <v>..</v>
      </c>
      <c r="BQ421" s="117">
        <f>VLOOKUP($D421,'WB Data'!$C$3:$M$578,10,FALSE)</f>
        <v>49.300707317073176</v>
      </c>
      <c r="BR421" s="117">
        <f>VLOOKUP($D421,'WB Data'!$C$3:$M$578,11,FALSE)</f>
        <v>90.2</v>
      </c>
      <c r="BS421" s="129" t="str">
        <f>IFERROR(VLOOKUP($D421,'WB Data 2'!$C$2:$K$545,9,FALSE),"..")</f>
        <v>..</v>
      </c>
      <c r="BT421" s="129" t="str">
        <f>_xlfn.IFNA(VLOOKUP($C421,RGI!$A$2:$C$43,2,FALSE),"..")</f>
        <v>..</v>
      </c>
      <c r="BU421" s="129" t="str">
        <f>_xlfn.IFNA(VLOOKUP($C421,RGI!$A$2:$C$43,3,FALSE),"..")</f>
        <v>..</v>
      </c>
      <c r="BV421" s="129">
        <f>VLOOKUP($D421,WGI!$C$2:$O$478,7,FALSE)</f>
        <v>-1.5257921010692801</v>
      </c>
      <c r="BW421" s="129">
        <f>VLOOKUP($D421,WGI!$C$2:$O$478,4,FALSE)</f>
        <v>-2.23568898135012</v>
      </c>
      <c r="BX421" s="129">
        <f>VLOOKUP($D421,WGI!$C$2:$O$478,3,FALSE)</f>
        <v>-1.67344961349851</v>
      </c>
      <c r="BY421" s="129">
        <f>VLOOKUP($D421,WGI!$C$2:$O$478,5,FALSE)</f>
        <v>-1.5198330218751099</v>
      </c>
      <c r="BZ421" s="129">
        <f>VLOOKUP($D421,WGI!$C$2:$O$478,2,FALSE)</f>
        <v>-1.3957785017656701</v>
      </c>
    </row>
    <row r="422" spans="1:80" ht="15" customHeight="1">
      <c r="A422" s="294" t="s">
        <v>182</v>
      </c>
      <c r="B422" s="117">
        <v>2011</v>
      </c>
      <c r="C422" s="132" t="s">
        <v>171</v>
      </c>
      <c r="D422" s="117" t="s">
        <v>3692</v>
      </c>
      <c r="E422" s="117" t="s">
        <v>86</v>
      </c>
      <c r="F422" s="117"/>
      <c r="G422" s="117" t="s">
        <v>24</v>
      </c>
      <c r="H422" s="117" t="str">
        <f t="shared" si="65"/>
        <v>yes</v>
      </c>
      <c r="I422" s="117" t="str">
        <f t="shared" si="66"/>
        <v>no</v>
      </c>
      <c r="J422" s="117" t="str">
        <f t="shared" si="67"/>
        <v>no</v>
      </c>
      <c r="K422" s="176" t="s">
        <v>1080</v>
      </c>
      <c r="L422" s="117" t="str">
        <f t="shared" si="69"/>
        <v>detailed</v>
      </c>
      <c r="M422" s="117" t="str">
        <f t="shared" si="68"/>
        <v>detailed Mining</v>
      </c>
      <c r="N422" s="179">
        <v>70</v>
      </c>
      <c r="O422" s="179"/>
      <c r="P422" s="179"/>
      <c r="Q422" s="179"/>
      <c r="R422" s="179"/>
      <c r="S422" s="117" t="s">
        <v>610</v>
      </c>
      <c r="T422" s="119"/>
      <c r="U422" s="117"/>
      <c r="V422" s="117" t="s">
        <v>684</v>
      </c>
      <c r="W422" s="89"/>
      <c r="X422" s="117"/>
      <c r="Y422" s="117"/>
      <c r="Z422" s="117"/>
      <c r="AA422" s="177"/>
      <c r="AB422" s="177"/>
      <c r="AC422" s="122"/>
      <c r="AD422" s="122"/>
      <c r="AE422" s="122"/>
      <c r="AF422" s="123"/>
      <c r="AG422" s="117"/>
      <c r="AH422" s="124"/>
      <c r="AI422" s="117"/>
      <c r="AJ422" s="117"/>
      <c r="AK422" s="89"/>
      <c r="AL422" s="117"/>
      <c r="AM422" s="117"/>
      <c r="AN422" s="117"/>
      <c r="AO422" s="117"/>
      <c r="AP422" s="117"/>
      <c r="AQ422" s="117"/>
      <c r="AR422" s="126"/>
      <c r="AS422" s="117"/>
      <c r="AT422" s="117"/>
      <c r="AU422" s="117"/>
      <c r="AV422" s="128"/>
      <c r="AW422" s="117">
        <f>VLOOKUP($D422,'WB Data'!$C$3:$M$578,2,FALSE)</f>
        <v>25835398967.342049</v>
      </c>
      <c r="AX422" s="117">
        <f>VLOOKUP($D422,'WB Data'!$C$3:$M$578,3,FALSE)</f>
        <v>63931512</v>
      </c>
      <c r="AY422" s="847">
        <f t="shared" si="71"/>
        <v>5.4697290132283284E-2</v>
      </c>
      <c r="AZ422" s="117" t="e">
        <f>VLOOKUP($D422,'WB Data'!$C$3:$M$578,4,FALSE)/100</f>
        <v>#VALUE!</v>
      </c>
      <c r="BA422" s="117" t="str">
        <f t="shared" si="72"/>
        <v>..</v>
      </c>
      <c r="BB422" s="129">
        <f>IFERROR(VLOOKUP($D422,'EITI Revenues'!$C$2:$G$224,5,FALSE),"..")</f>
        <v>1413126313</v>
      </c>
      <c r="BC422" s="846" t="str">
        <f t="shared" si="73"/>
        <v>..</v>
      </c>
      <c r="BD422" s="129" t="e">
        <f>VLOOKUP($D422,'WB Data 2'!$C$2:$K$545,6,FALSE)</f>
        <v>#N/A</v>
      </c>
      <c r="BE422" s="129">
        <f>IFERROR(VLOOKUP($D422,UNCTAD!$C$5:$V$529,4,FALSE),"..")</f>
        <v>10211288000</v>
      </c>
      <c r="BF422" s="846" t="str">
        <f t="shared" si="74"/>
        <v>..</v>
      </c>
      <c r="BG422" s="117">
        <f>VLOOKUP($D422,'WB Data'!$C$3:$M$578,5,FALSE)</f>
        <v>5534410000</v>
      </c>
      <c r="BH422" s="129">
        <f>IFERROR($BB422/$BG422,"..")</f>
        <v>0.25533459085973031</v>
      </c>
      <c r="BI422" s="117" t="str">
        <f>IFERROR(VLOOKUP($D422,'WB Data'!$C$3:$M$578,7,FALSE)/100,"..")</f>
        <v>..</v>
      </c>
      <c r="BJ422" s="117" t="str">
        <f>IFERROR($BI422*$AW422,"..")</f>
        <v>..</v>
      </c>
      <c r="BK422" s="846" t="str">
        <f>IFERROR($BB422/$BJ422,"..")</f>
        <v>..</v>
      </c>
      <c r="BL422" s="117" t="str">
        <f>IFERROR(VLOOKUP($D422,'WB Data'!$C$3:$M$578,7,FALSE)/100,"..")</f>
        <v>..</v>
      </c>
      <c r="BM422" s="117" t="str">
        <f>IFERROR($AW422*$BL422,"..")</f>
        <v>..</v>
      </c>
      <c r="BN422" s="846" t="str">
        <f>IFERROR($BB422/$BM422,"..")</f>
        <v>..</v>
      </c>
      <c r="BO422" s="801" t="str">
        <f t="shared" si="70"/>
        <v>..</v>
      </c>
      <c r="BP422" s="117" t="str">
        <f>VLOOKUP($D422,'WB Data'!$C$3:$M$578,9,FALSE)</f>
        <v>..</v>
      </c>
      <c r="BQ422" s="117">
        <f>VLOOKUP($D422,'WB Data'!$C$3:$M$578,10,FALSE)</f>
        <v>49.300707317073176</v>
      </c>
      <c r="BR422" s="117">
        <f>VLOOKUP($D422,'WB Data'!$C$3:$M$578,11,FALSE)</f>
        <v>90.2</v>
      </c>
      <c r="BS422" s="129" t="str">
        <f>IFERROR(VLOOKUP($D422,'WB Data 2'!$C$2:$K$545,9,FALSE),"..")</f>
        <v>..</v>
      </c>
      <c r="BT422" s="129" t="str">
        <f>_xlfn.IFNA(VLOOKUP($C422,RGI!$A$2:$C$43,2,FALSE),"..")</f>
        <v>..</v>
      </c>
      <c r="BU422" s="129" t="str">
        <f>_xlfn.IFNA(VLOOKUP($C422,RGI!$A$2:$C$43,3,FALSE),"..")</f>
        <v>..</v>
      </c>
      <c r="BV422" s="129">
        <f>VLOOKUP($D422,WGI!$C$2:$O$478,7,FALSE)</f>
        <v>-1.5257921010692801</v>
      </c>
      <c r="BW422" s="129">
        <f>VLOOKUP($D422,WGI!$C$2:$O$478,4,FALSE)</f>
        <v>-2.23568898135012</v>
      </c>
      <c r="BX422" s="129">
        <f>VLOOKUP($D422,WGI!$C$2:$O$478,3,FALSE)</f>
        <v>-1.67344961349851</v>
      </c>
      <c r="BY422" s="129">
        <f>VLOOKUP($D422,WGI!$C$2:$O$478,5,FALSE)</f>
        <v>-1.5198330218751099</v>
      </c>
      <c r="BZ422" s="129">
        <f>VLOOKUP($D422,WGI!$C$2:$O$478,2,FALSE)</f>
        <v>-1.3957785017656701</v>
      </c>
    </row>
    <row r="423" spans="1:80" s="158" customFormat="1" ht="15" customHeight="1">
      <c r="A423" s="295" t="s">
        <v>182</v>
      </c>
      <c r="B423" s="149">
        <v>2011</v>
      </c>
      <c r="C423" s="132" t="s">
        <v>171</v>
      </c>
      <c r="D423" s="117" t="s">
        <v>3692</v>
      </c>
      <c r="E423" s="149" t="s">
        <v>86</v>
      </c>
      <c r="F423" s="149"/>
      <c r="G423" s="149" t="s">
        <v>24</v>
      </c>
      <c r="H423" s="149" t="str">
        <f t="shared" si="65"/>
        <v>yes</v>
      </c>
      <c r="I423" s="149" t="str">
        <f t="shared" si="66"/>
        <v>no</v>
      </c>
      <c r="J423" s="149" t="str">
        <f t="shared" si="67"/>
        <v>no</v>
      </c>
      <c r="K423" s="188" t="s">
        <v>1081</v>
      </c>
      <c r="L423" s="149" t="str">
        <f t="shared" si="69"/>
        <v>detailed</v>
      </c>
      <c r="M423" s="149" t="str">
        <f t="shared" si="68"/>
        <v>detailed Mining</v>
      </c>
      <c r="N423" s="216">
        <v>19035</v>
      </c>
      <c r="O423" s="216"/>
      <c r="P423" s="216"/>
      <c r="Q423" s="216"/>
      <c r="R423" s="216"/>
      <c r="S423" s="149" t="s">
        <v>610</v>
      </c>
      <c r="T423" s="352">
        <f>2193.90041666667</f>
        <v>2193.90041666667</v>
      </c>
      <c r="U423" s="149" t="s">
        <v>611</v>
      </c>
      <c r="V423" s="149" t="s">
        <v>1096</v>
      </c>
      <c r="W423" s="152">
        <f>N423*T423</f>
        <v>41760894.431250066</v>
      </c>
      <c r="X423" s="149"/>
      <c r="Y423" s="149"/>
      <c r="Z423" s="149"/>
      <c r="AA423" s="284"/>
      <c r="AB423" s="284"/>
      <c r="AC423" s="154"/>
      <c r="AD423" s="154"/>
      <c r="AE423" s="154"/>
      <c r="AF423" s="155"/>
      <c r="AG423" s="149"/>
      <c r="AH423" s="156"/>
      <c r="AI423" s="149"/>
      <c r="AJ423" s="149"/>
      <c r="AK423" s="152"/>
      <c r="AL423" s="149"/>
      <c r="AM423" s="149"/>
      <c r="AN423" s="149"/>
      <c r="AO423" s="149"/>
      <c r="AP423" s="149"/>
      <c r="AQ423" s="149"/>
      <c r="AR423" s="220"/>
      <c r="AS423" s="149"/>
      <c r="AT423" s="149"/>
      <c r="AU423" s="149"/>
      <c r="AV423" s="157" t="s">
        <v>1110</v>
      </c>
      <c r="AW423" s="117">
        <f>VLOOKUP($D423,'WB Data'!$C$3:$M$578,2,FALSE)</f>
        <v>25835398967.342049</v>
      </c>
      <c r="AX423" s="117">
        <f>VLOOKUP($D423,'WB Data'!$C$3:$M$578,3,FALSE)</f>
        <v>63931512</v>
      </c>
      <c r="AY423" s="847">
        <f t="shared" si="71"/>
        <v>5.4697290132283284E-2</v>
      </c>
      <c r="AZ423" s="117" t="e">
        <f>VLOOKUP($D423,'WB Data'!$C$3:$M$578,4,FALSE)/100</f>
        <v>#VALUE!</v>
      </c>
      <c r="BA423" s="117" t="str">
        <f t="shared" si="72"/>
        <v>..</v>
      </c>
      <c r="BB423" s="129">
        <f>IFERROR(VLOOKUP($D423,'EITI Revenues'!$C$2:$G$224,5,FALSE),"..")</f>
        <v>1413126313</v>
      </c>
      <c r="BC423" s="846" t="str">
        <f t="shared" si="73"/>
        <v>..</v>
      </c>
      <c r="BD423" s="129" t="e">
        <f>VLOOKUP($D423,'WB Data 2'!$C$2:$K$545,6,FALSE)</f>
        <v>#N/A</v>
      </c>
      <c r="BE423" s="129">
        <f>IFERROR(VLOOKUP($D423,UNCTAD!$C$5:$V$529,4,FALSE),"..")</f>
        <v>10211288000</v>
      </c>
      <c r="BF423" s="846" t="str">
        <f t="shared" si="74"/>
        <v>..</v>
      </c>
      <c r="BG423" s="117">
        <f>VLOOKUP($D423,'WB Data'!$C$3:$M$578,5,FALSE)</f>
        <v>5534410000</v>
      </c>
      <c r="BH423" s="129">
        <f>IFERROR($BB423/$BG423,"..")</f>
        <v>0.25533459085973031</v>
      </c>
      <c r="BI423" s="117" t="str">
        <f>IFERROR(VLOOKUP($D423,'WB Data'!$C$3:$M$578,7,FALSE)/100,"..")</f>
        <v>..</v>
      </c>
      <c r="BJ423" s="117" t="str">
        <f>IFERROR($BI423*$AW423,"..")</f>
        <v>..</v>
      </c>
      <c r="BK423" s="846" t="str">
        <f>IFERROR($BB423/$BJ423,"..")</f>
        <v>..</v>
      </c>
      <c r="BL423" s="117" t="str">
        <f>IFERROR(VLOOKUP($D423,'WB Data'!$C$3:$M$578,7,FALSE)/100,"..")</f>
        <v>..</v>
      </c>
      <c r="BM423" s="117" t="str">
        <f>IFERROR($AW423*$BL423,"..")</f>
        <v>..</v>
      </c>
      <c r="BN423" s="846" t="str">
        <f>IFERROR($BB423/$BM423,"..")</f>
        <v>..</v>
      </c>
      <c r="BO423" s="801" t="str">
        <f t="shared" si="70"/>
        <v>..</v>
      </c>
      <c r="BP423" s="117" t="str">
        <f>VLOOKUP($D423,'WB Data'!$C$3:$M$578,9,FALSE)</f>
        <v>..</v>
      </c>
      <c r="BQ423" s="117">
        <f>VLOOKUP($D423,'WB Data'!$C$3:$M$578,10,FALSE)</f>
        <v>49.300707317073176</v>
      </c>
      <c r="BR423" s="117">
        <f>VLOOKUP($D423,'WB Data'!$C$3:$M$578,11,FALSE)</f>
        <v>90.2</v>
      </c>
      <c r="BS423" s="129" t="str">
        <f>IFERROR(VLOOKUP($D423,'WB Data 2'!$C$2:$K$545,9,FALSE),"..")</f>
        <v>..</v>
      </c>
      <c r="BT423" s="129" t="str">
        <f>_xlfn.IFNA(VLOOKUP($C423,RGI!$A$2:$C$43,2,FALSE),"..")</f>
        <v>..</v>
      </c>
      <c r="BU423" s="129" t="str">
        <f>_xlfn.IFNA(VLOOKUP($C423,RGI!$A$2:$C$43,3,FALSE),"..")</f>
        <v>..</v>
      </c>
      <c r="BV423" s="129">
        <f>VLOOKUP($D423,WGI!$C$2:$O$478,7,FALSE)</f>
        <v>-1.5257921010692801</v>
      </c>
      <c r="BW423" s="129">
        <f>VLOOKUP($D423,WGI!$C$2:$O$478,4,FALSE)</f>
        <v>-2.23568898135012</v>
      </c>
      <c r="BX423" s="129">
        <f>VLOOKUP($D423,WGI!$C$2:$O$478,3,FALSE)</f>
        <v>-1.67344961349851</v>
      </c>
      <c r="BY423" s="129">
        <f>VLOOKUP($D423,WGI!$C$2:$O$478,5,FALSE)</f>
        <v>-1.5198330218751099</v>
      </c>
      <c r="BZ423" s="129">
        <f>VLOOKUP($D423,WGI!$C$2:$O$478,2,FALSE)</f>
        <v>-1.3957785017656701</v>
      </c>
      <c r="CB423" s="129"/>
    </row>
    <row r="424" spans="1:80" ht="15" customHeight="1">
      <c r="A424" s="353" t="s">
        <v>184</v>
      </c>
      <c r="B424" s="146">
        <v>2012</v>
      </c>
      <c r="C424" s="132" t="s">
        <v>171</v>
      </c>
      <c r="D424" s="117" t="s">
        <v>3726</v>
      </c>
      <c r="E424" s="146" t="s">
        <v>86</v>
      </c>
      <c r="F424" s="146" t="s">
        <v>1059</v>
      </c>
      <c r="G424" s="146" t="s">
        <v>41</v>
      </c>
      <c r="H424" s="146"/>
      <c r="I424" s="146"/>
      <c r="J424" s="146"/>
      <c r="K424" s="146" t="s">
        <v>709</v>
      </c>
      <c r="L424" s="146"/>
      <c r="M424" s="146"/>
      <c r="N424" s="754"/>
      <c r="O424" s="754"/>
      <c r="P424" s="754"/>
      <c r="Q424" s="146"/>
      <c r="R424" s="754"/>
      <c r="S424" s="146"/>
      <c r="T424" s="119"/>
      <c r="U424" s="146"/>
      <c r="V424" s="146" t="s">
        <v>725</v>
      </c>
      <c r="W424" s="760">
        <v>8532889613.9200001</v>
      </c>
      <c r="X424" s="146" t="s">
        <v>1111</v>
      </c>
      <c r="Y424" s="146" t="s">
        <v>663</v>
      </c>
      <c r="Z424" s="146" t="s">
        <v>664</v>
      </c>
      <c r="AA424" s="760">
        <v>1505213145</v>
      </c>
      <c r="AB424" s="765">
        <v>1514746636</v>
      </c>
      <c r="AC424" s="762">
        <v>0.99</v>
      </c>
      <c r="AD424" s="760">
        <v>1549000000</v>
      </c>
      <c r="AE424" s="756"/>
      <c r="AF424" s="758">
        <v>0.18149999999999999</v>
      </c>
      <c r="AG424" s="117" t="s">
        <v>1112</v>
      </c>
      <c r="AH424" s="759">
        <v>919.5</v>
      </c>
      <c r="AI424" s="146" t="s">
        <v>722</v>
      </c>
      <c r="AJ424" s="146"/>
      <c r="AK424" s="760"/>
      <c r="AL424" s="146"/>
      <c r="AM424" s="146"/>
      <c r="AN424" s="146">
        <v>103</v>
      </c>
      <c r="AO424" s="146" t="s">
        <v>1113</v>
      </c>
      <c r="AP424" s="146">
        <v>110</v>
      </c>
      <c r="AQ424" s="239" t="s">
        <v>50</v>
      </c>
      <c r="AR424" s="146"/>
      <c r="AS424" s="146" t="s">
        <v>607</v>
      </c>
      <c r="AT424" s="146" t="s">
        <v>186</v>
      </c>
      <c r="AU424" s="146"/>
      <c r="AV424" s="128" t="s">
        <v>1114</v>
      </c>
      <c r="AW424" s="117">
        <f>VLOOKUP($D424,'WB Data'!$C$3:$M$578,2,FALSE)</f>
        <v>29306222815.632816</v>
      </c>
      <c r="AX424" s="117">
        <f>VLOOKUP($D424,'WB Data'!$C$3:$M$578,3,FALSE)</f>
        <v>65705093</v>
      </c>
      <c r="AY424" s="847" t="str">
        <f t="shared" si="71"/>
        <v>..</v>
      </c>
      <c r="AZ424" s="117" t="e">
        <f>VLOOKUP($D424,'WB Data'!$C$3:$M$578,4,FALSE)/100</f>
        <v>#VALUE!</v>
      </c>
      <c r="BA424" s="117" t="str">
        <f t="shared" si="72"/>
        <v>..</v>
      </c>
      <c r="BB424" s="129" t="str">
        <f>IFERROR(VLOOKUP($D424,'EITI Revenues'!$C$2:$G$224,5,FALSE),"..")</f>
        <v>..</v>
      </c>
      <c r="BC424" s="846" t="str">
        <f t="shared" si="73"/>
        <v>..</v>
      </c>
      <c r="BD424" s="129" t="e">
        <f>VLOOKUP($D424,'WB Data 2'!$C$2:$K$545,6,FALSE)</f>
        <v>#N/A</v>
      </c>
      <c r="BE424" s="129">
        <f>IFERROR(VLOOKUP($D424,UNCTAD!$C$5:$V$529,4,FALSE),"..")</f>
        <v>8821863000</v>
      </c>
      <c r="BF424" s="846" t="str">
        <f t="shared" si="74"/>
        <v>..</v>
      </c>
      <c r="BG424" s="117">
        <f>VLOOKUP($D424,'WB Data'!$C$3:$M$578,5,FALSE)</f>
        <v>2859380000</v>
      </c>
      <c r="BH424" s="129" t="str">
        <f>IFERROR($BB424/$BG424,"..")</f>
        <v>..</v>
      </c>
      <c r="BI424" s="117" t="str">
        <f>IFERROR(VLOOKUP($D424,'WB Data'!$C$3:$M$578,7,FALSE)/100,"..")</f>
        <v>..</v>
      </c>
      <c r="BJ424" s="117" t="str">
        <f>IFERROR($BI424*$AW424,"..")</f>
        <v>..</v>
      </c>
      <c r="BK424" s="846" t="str">
        <f>IFERROR($BB424/$BJ424,"..")</f>
        <v>..</v>
      </c>
      <c r="BL424" s="117" t="str">
        <f>IFERROR(VLOOKUP($D424,'WB Data'!$C$3:$M$578,7,FALSE)/100,"..")</f>
        <v>..</v>
      </c>
      <c r="BM424" s="117" t="str">
        <f>IFERROR($AW424*$BL424,"..")</f>
        <v>..</v>
      </c>
      <c r="BN424" s="846" t="str">
        <f>IFERROR($BB424/$BM424,"..")</f>
        <v>..</v>
      </c>
      <c r="BO424" s="801" t="str">
        <f t="shared" si="70"/>
        <v>..</v>
      </c>
      <c r="BP424" s="117" t="str">
        <f>VLOOKUP($D424,'WB Data'!$C$3:$M$578,9,FALSE)</f>
        <v>..</v>
      </c>
      <c r="BQ424" s="117">
        <f>VLOOKUP($D424,'WB Data'!$C$3:$M$578,10,FALSE)</f>
        <v>49.62326829268293</v>
      </c>
      <c r="BR424" s="117">
        <f>VLOOKUP($D424,'WB Data'!$C$3:$M$578,11,FALSE)</f>
        <v>88.1</v>
      </c>
      <c r="BS424" s="129" t="str">
        <f>IFERROR(VLOOKUP($D424,'WB Data 2'!$C$2:$K$545,9,FALSE),"..")</f>
        <v>..</v>
      </c>
      <c r="BT424" s="129" t="str">
        <f>_xlfn.IFNA(VLOOKUP($C424,RGI!$A$2:$C$43,2,FALSE),"..")</f>
        <v>..</v>
      </c>
      <c r="BU424" s="129" t="str">
        <f>_xlfn.IFNA(VLOOKUP($C424,RGI!$A$2:$C$43,3,FALSE),"..")</f>
        <v>..</v>
      </c>
      <c r="BV424" s="129">
        <f>VLOOKUP($D424,WGI!$C$2:$O$478,7,FALSE)</f>
        <v>-1.5155254064189101</v>
      </c>
      <c r="BW424" s="129">
        <f>VLOOKUP($D424,WGI!$C$2:$O$478,4,FALSE)</f>
        <v>-2.11756219579997</v>
      </c>
      <c r="BX424" s="129">
        <f>VLOOKUP($D424,WGI!$C$2:$O$478,3,FALSE)</f>
        <v>-1.65864882570179</v>
      </c>
      <c r="BY424" s="129">
        <f>VLOOKUP($D424,WGI!$C$2:$O$478,5,FALSE)</f>
        <v>-1.51023682958469</v>
      </c>
      <c r="BZ424" s="129">
        <f>VLOOKUP($D424,WGI!$C$2:$O$478,2,FALSE)</f>
        <v>-1.3035610183900299</v>
      </c>
    </row>
    <row r="425" spans="1:80" ht="15" customHeight="1">
      <c r="A425" s="353" t="s">
        <v>184</v>
      </c>
      <c r="B425" s="146">
        <v>2012</v>
      </c>
      <c r="C425" s="132" t="s">
        <v>171</v>
      </c>
      <c r="D425" s="117" t="s">
        <v>3726</v>
      </c>
      <c r="E425" s="146" t="s">
        <v>86</v>
      </c>
      <c r="F425" s="146"/>
      <c r="G425" s="146" t="s">
        <v>103</v>
      </c>
      <c r="H425" s="146"/>
      <c r="I425" s="146"/>
      <c r="J425" s="146"/>
      <c r="K425" s="146" t="s">
        <v>103</v>
      </c>
      <c r="L425" s="146"/>
      <c r="M425" s="146"/>
      <c r="N425" s="754"/>
      <c r="O425" s="754"/>
      <c r="P425" s="754"/>
      <c r="Q425" s="754">
        <v>8545000</v>
      </c>
      <c r="R425" s="754"/>
      <c r="S425" s="146" t="s">
        <v>646</v>
      </c>
      <c r="T425" s="119"/>
      <c r="U425" s="146"/>
      <c r="V425" s="146"/>
      <c r="W425" s="760">
        <v>946306688.41999996</v>
      </c>
      <c r="X425" s="146"/>
      <c r="Y425" s="146"/>
      <c r="Z425" s="146"/>
      <c r="AA425" s="765">
        <v>462095167</v>
      </c>
      <c r="AB425" s="760">
        <v>462087520</v>
      </c>
      <c r="AC425" s="756"/>
      <c r="AD425" s="756"/>
      <c r="AE425" s="756"/>
      <c r="AF425" s="758"/>
      <c r="AG425" s="117"/>
      <c r="AH425" s="759"/>
      <c r="AI425" s="146"/>
      <c r="AJ425" s="146"/>
      <c r="AK425" s="760"/>
      <c r="AL425" s="146"/>
      <c r="AM425" s="146"/>
      <c r="AN425" s="146"/>
      <c r="AO425" s="146"/>
      <c r="AP425" s="146"/>
      <c r="AQ425" s="239"/>
      <c r="AR425" s="146"/>
      <c r="AS425" s="146"/>
      <c r="AT425" s="146"/>
      <c r="AU425" s="146"/>
      <c r="AV425" s="128"/>
      <c r="AW425" s="117">
        <f>VLOOKUP($D425,'WB Data'!$C$3:$M$578,2,FALSE)</f>
        <v>29306222815.632816</v>
      </c>
      <c r="AX425" s="117">
        <f>VLOOKUP($D425,'WB Data'!$C$3:$M$578,3,FALSE)</f>
        <v>65705093</v>
      </c>
      <c r="AY425" s="847" t="str">
        <f t="shared" si="71"/>
        <v>..</v>
      </c>
      <c r="AZ425" s="117" t="e">
        <f>VLOOKUP($D425,'WB Data'!$C$3:$M$578,4,FALSE)/100</f>
        <v>#VALUE!</v>
      </c>
      <c r="BA425" s="117" t="str">
        <f t="shared" si="72"/>
        <v>..</v>
      </c>
      <c r="BB425" s="129" t="str">
        <f>IFERROR(VLOOKUP($D425,'EITI Revenues'!$C$2:$G$224,5,FALSE),"..")</f>
        <v>..</v>
      </c>
      <c r="BC425" s="846" t="str">
        <f t="shared" si="73"/>
        <v>..</v>
      </c>
      <c r="BD425" s="129" t="e">
        <f>VLOOKUP($D425,'WB Data 2'!$C$2:$K$545,6,FALSE)</f>
        <v>#N/A</v>
      </c>
      <c r="BE425" s="129">
        <f>IFERROR(VLOOKUP($D425,UNCTAD!$C$5:$V$529,4,FALSE),"..")</f>
        <v>8821863000</v>
      </c>
      <c r="BF425" s="846" t="str">
        <f t="shared" si="74"/>
        <v>..</v>
      </c>
      <c r="BG425" s="117">
        <f>VLOOKUP($D425,'WB Data'!$C$3:$M$578,5,FALSE)</f>
        <v>2859380000</v>
      </c>
      <c r="BH425" s="129" t="str">
        <f>IFERROR($BB425/$BG425,"..")</f>
        <v>..</v>
      </c>
      <c r="BI425" s="117" t="str">
        <f>IFERROR(VLOOKUP($D425,'WB Data'!$C$3:$M$578,7,FALSE)/100,"..")</f>
        <v>..</v>
      </c>
      <c r="BJ425" s="117" t="str">
        <f>IFERROR($BI425*$AW425,"..")</f>
        <v>..</v>
      </c>
      <c r="BK425" s="846" t="str">
        <f>IFERROR($BB425/$BJ425,"..")</f>
        <v>..</v>
      </c>
      <c r="BL425" s="117" t="str">
        <f>IFERROR(VLOOKUP($D425,'WB Data'!$C$3:$M$578,7,FALSE)/100,"..")</f>
        <v>..</v>
      </c>
      <c r="BM425" s="117" t="str">
        <f>IFERROR($AW425*$BL425,"..")</f>
        <v>..</v>
      </c>
      <c r="BN425" s="846" t="str">
        <f>IFERROR($BB425/$BM425,"..")</f>
        <v>..</v>
      </c>
      <c r="BO425" s="801" t="str">
        <f t="shared" si="70"/>
        <v>..</v>
      </c>
      <c r="BP425" s="117" t="str">
        <f>VLOOKUP($D425,'WB Data'!$C$3:$M$578,9,FALSE)</f>
        <v>..</v>
      </c>
      <c r="BQ425" s="117">
        <f>VLOOKUP($D425,'WB Data'!$C$3:$M$578,10,FALSE)</f>
        <v>49.62326829268293</v>
      </c>
      <c r="BR425" s="117">
        <f>VLOOKUP($D425,'WB Data'!$C$3:$M$578,11,FALSE)</f>
        <v>88.1</v>
      </c>
      <c r="BS425" s="129" t="str">
        <f>IFERROR(VLOOKUP($D425,'WB Data 2'!$C$2:$K$545,9,FALSE),"..")</f>
        <v>..</v>
      </c>
      <c r="BT425" s="129" t="str">
        <f>_xlfn.IFNA(VLOOKUP($C425,RGI!$A$2:$C$43,2,FALSE),"..")</f>
        <v>..</v>
      </c>
      <c r="BU425" s="129" t="str">
        <f>_xlfn.IFNA(VLOOKUP($C425,RGI!$A$2:$C$43,3,FALSE),"..")</f>
        <v>..</v>
      </c>
      <c r="BV425" s="129">
        <f>VLOOKUP($D425,WGI!$C$2:$O$478,7,FALSE)</f>
        <v>-1.5155254064189101</v>
      </c>
      <c r="BW425" s="129">
        <f>VLOOKUP($D425,WGI!$C$2:$O$478,4,FALSE)</f>
        <v>-2.11756219579997</v>
      </c>
      <c r="BX425" s="129">
        <f>VLOOKUP($D425,WGI!$C$2:$O$478,3,FALSE)</f>
        <v>-1.65864882570179</v>
      </c>
      <c r="BY425" s="129">
        <f>VLOOKUP($D425,WGI!$C$2:$O$478,5,FALSE)</f>
        <v>-1.51023682958469</v>
      </c>
      <c r="BZ425" s="129">
        <f>VLOOKUP($D425,WGI!$C$2:$O$478,2,FALSE)</f>
        <v>-1.3035610183900299</v>
      </c>
    </row>
    <row r="426" spans="1:80" ht="15" customHeight="1">
      <c r="A426" s="353" t="s">
        <v>184</v>
      </c>
      <c r="B426" s="146">
        <v>2012</v>
      </c>
      <c r="C426" s="132" t="s">
        <v>171</v>
      </c>
      <c r="D426" s="117" t="s">
        <v>3726</v>
      </c>
      <c r="E426" s="146" t="s">
        <v>86</v>
      </c>
      <c r="F426" s="146"/>
      <c r="G426" s="146" t="s">
        <v>24</v>
      </c>
      <c r="H426" s="146"/>
      <c r="I426" s="146"/>
      <c r="J426" s="146"/>
      <c r="K426" s="146" t="s">
        <v>600</v>
      </c>
      <c r="L426" s="146"/>
      <c r="M426" s="146"/>
      <c r="N426" s="754"/>
      <c r="O426" s="754"/>
      <c r="P426" s="754"/>
      <c r="Q426" s="754"/>
      <c r="R426" s="754"/>
      <c r="S426" s="146"/>
      <c r="T426" s="119"/>
      <c r="U426" s="146"/>
      <c r="V426" s="146"/>
      <c r="W426" s="760">
        <v>7477963023.3800001</v>
      </c>
      <c r="X426" s="146"/>
      <c r="Y426" s="146"/>
      <c r="Z426" s="146"/>
      <c r="AA426" s="760">
        <v>1043117978</v>
      </c>
      <c r="AB426" s="760">
        <v>1052659116</v>
      </c>
      <c r="AC426" s="756"/>
      <c r="AD426" s="756"/>
      <c r="AE426" s="756"/>
      <c r="AF426" s="758"/>
      <c r="AG426" s="117"/>
      <c r="AH426" s="759"/>
      <c r="AI426" s="146"/>
      <c r="AJ426" s="146"/>
      <c r="AK426" s="760"/>
      <c r="AL426" s="146"/>
      <c r="AM426" s="146"/>
      <c r="AN426" s="146"/>
      <c r="AO426" s="146"/>
      <c r="AP426" s="146"/>
      <c r="AQ426" s="239"/>
      <c r="AR426" s="146"/>
      <c r="AS426" s="146"/>
      <c r="AT426" s="146"/>
      <c r="AU426" s="146"/>
      <c r="AV426" s="128"/>
      <c r="AW426" s="117">
        <f>VLOOKUP($D426,'WB Data'!$C$3:$M$578,2,FALSE)</f>
        <v>29306222815.632816</v>
      </c>
      <c r="AX426" s="117">
        <f>VLOOKUP($D426,'WB Data'!$C$3:$M$578,3,FALSE)</f>
        <v>65705093</v>
      </c>
      <c r="AY426" s="847" t="str">
        <f t="shared" si="71"/>
        <v>..</v>
      </c>
      <c r="AZ426" s="117" t="e">
        <f>VLOOKUP($D426,'WB Data'!$C$3:$M$578,4,FALSE)/100</f>
        <v>#VALUE!</v>
      </c>
      <c r="BA426" s="117" t="str">
        <f t="shared" si="72"/>
        <v>..</v>
      </c>
      <c r="BB426" s="129" t="str">
        <f>IFERROR(VLOOKUP($D426,'EITI Revenues'!$C$2:$G$224,5,FALSE),"..")</f>
        <v>..</v>
      </c>
      <c r="BC426" s="846" t="str">
        <f t="shared" si="73"/>
        <v>..</v>
      </c>
      <c r="BD426" s="129" t="e">
        <f>VLOOKUP($D426,'WB Data 2'!$C$2:$K$545,6,FALSE)</f>
        <v>#N/A</v>
      </c>
      <c r="BE426" s="129">
        <f>IFERROR(VLOOKUP($D426,UNCTAD!$C$5:$V$529,4,FALSE),"..")</f>
        <v>8821863000</v>
      </c>
      <c r="BF426" s="846" t="str">
        <f t="shared" si="74"/>
        <v>..</v>
      </c>
      <c r="BG426" s="117">
        <f>VLOOKUP($D426,'WB Data'!$C$3:$M$578,5,FALSE)</f>
        <v>2859380000</v>
      </c>
      <c r="BH426" s="129" t="str">
        <f>IFERROR($BB426/$BG426,"..")</f>
        <v>..</v>
      </c>
      <c r="BI426" s="117" t="str">
        <f>IFERROR(VLOOKUP($D426,'WB Data'!$C$3:$M$578,7,FALSE)/100,"..")</f>
        <v>..</v>
      </c>
      <c r="BJ426" s="117" t="str">
        <f>IFERROR($BI426*$AW426,"..")</f>
        <v>..</v>
      </c>
      <c r="BK426" s="846" t="str">
        <f>IFERROR($BB426/$BJ426,"..")</f>
        <v>..</v>
      </c>
      <c r="BL426" s="117" t="str">
        <f>IFERROR(VLOOKUP($D426,'WB Data'!$C$3:$M$578,7,FALSE)/100,"..")</f>
        <v>..</v>
      </c>
      <c r="BM426" s="117" t="str">
        <f>IFERROR($AW426*$BL426,"..")</f>
        <v>..</v>
      </c>
      <c r="BN426" s="846" t="str">
        <f>IFERROR($BB426/$BM426,"..")</f>
        <v>..</v>
      </c>
      <c r="BO426" s="801" t="str">
        <f t="shared" si="70"/>
        <v>..</v>
      </c>
      <c r="BP426" s="117" t="str">
        <f>VLOOKUP($D426,'WB Data'!$C$3:$M$578,9,FALSE)</f>
        <v>..</v>
      </c>
      <c r="BQ426" s="117">
        <f>VLOOKUP($D426,'WB Data'!$C$3:$M$578,10,FALSE)</f>
        <v>49.62326829268293</v>
      </c>
      <c r="BR426" s="117">
        <f>VLOOKUP($D426,'WB Data'!$C$3:$M$578,11,FALSE)</f>
        <v>88.1</v>
      </c>
      <c r="BS426" s="129" t="str">
        <f>IFERROR(VLOOKUP($D426,'WB Data 2'!$C$2:$K$545,9,FALSE),"..")</f>
        <v>..</v>
      </c>
      <c r="BT426" s="129" t="str">
        <f>_xlfn.IFNA(VLOOKUP($C426,RGI!$A$2:$C$43,2,FALSE),"..")</f>
        <v>..</v>
      </c>
      <c r="BU426" s="129" t="str">
        <f>_xlfn.IFNA(VLOOKUP($C426,RGI!$A$2:$C$43,3,FALSE),"..")</f>
        <v>..</v>
      </c>
      <c r="BV426" s="129">
        <f>VLOOKUP($D426,WGI!$C$2:$O$478,7,FALSE)</f>
        <v>-1.5155254064189101</v>
      </c>
      <c r="BW426" s="129">
        <f>VLOOKUP($D426,WGI!$C$2:$O$478,4,FALSE)</f>
        <v>-2.11756219579997</v>
      </c>
      <c r="BX426" s="129">
        <f>VLOOKUP($D426,WGI!$C$2:$O$478,3,FALSE)</f>
        <v>-1.65864882570179</v>
      </c>
      <c r="BY426" s="129">
        <f>VLOOKUP($D426,WGI!$C$2:$O$478,5,FALSE)</f>
        <v>-1.51023682958469</v>
      </c>
      <c r="BZ426" s="129">
        <f>VLOOKUP($D426,WGI!$C$2:$O$478,2,FALSE)</f>
        <v>-1.3035610183900299</v>
      </c>
    </row>
    <row r="427" spans="1:80" ht="15" customHeight="1">
      <c r="A427" s="353" t="s">
        <v>184</v>
      </c>
      <c r="B427" s="146">
        <v>2012</v>
      </c>
      <c r="C427" s="132" t="s">
        <v>171</v>
      </c>
      <c r="D427" s="117" t="s">
        <v>3726</v>
      </c>
      <c r="E427" s="146" t="s">
        <v>86</v>
      </c>
      <c r="F427" s="146"/>
      <c r="G427" s="763" t="s">
        <v>24</v>
      </c>
      <c r="H427" s="146"/>
      <c r="I427" s="146"/>
      <c r="J427" s="146"/>
      <c r="K427" s="146" t="s">
        <v>619</v>
      </c>
      <c r="L427" s="146"/>
      <c r="M427" s="146"/>
      <c r="N427" s="754"/>
      <c r="O427" s="754"/>
      <c r="P427" s="754"/>
      <c r="Q427" s="754">
        <v>619301</v>
      </c>
      <c r="R427" s="754"/>
      <c r="S427" s="146" t="s">
        <v>610</v>
      </c>
      <c r="T427" s="119"/>
      <c r="U427" s="146"/>
      <c r="V427" s="146"/>
      <c r="W427" s="760">
        <v>4339207177.8100004</v>
      </c>
      <c r="X427" s="146"/>
      <c r="Y427" s="146"/>
      <c r="Z427" s="146"/>
      <c r="AA427" s="146"/>
      <c r="AB427" s="146"/>
      <c r="AC427" s="756"/>
      <c r="AD427" s="756"/>
      <c r="AE427" s="756"/>
      <c r="AF427" s="758"/>
      <c r="AG427" s="146"/>
      <c r="AH427" s="759"/>
      <c r="AI427" s="146"/>
      <c r="AJ427" s="146"/>
      <c r="AK427" s="760"/>
      <c r="AL427" s="146"/>
      <c r="AM427" s="146"/>
      <c r="AN427" s="146"/>
      <c r="AO427" s="146"/>
      <c r="AP427" s="146"/>
      <c r="AQ427" s="146"/>
      <c r="AR427" s="146"/>
      <c r="AS427" s="146"/>
      <c r="AT427" s="146"/>
      <c r="AU427" s="146"/>
      <c r="AV427" s="128"/>
      <c r="AW427" s="117">
        <f>VLOOKUP($D427,'WB Data'!$C$3:$M$578,2,FALSE)</f>
        <v>29306222815.632816</v>
      </c>
      <c r="AX427" s="117">
        <f>VLOOKUP($D427,'WB Data'!$C$3:$M$578,3,FALSE)</f>
        <v>65705093</v>
      </c>
      <c r="AY427" s="847" t="str">
        <f t="shared" si="71"/>
        <v>..</v>
      </c>
      <c r="AZ427" s="117" t="e">
        <f>VLOOKUP($D427,'WB Data'!$C$3:$M$578,4,FALSE)/100</f>
        <v>#VALUE!</v>
      </c>
      <c r="BA427" s="117" t="str">
        <f t="shared" si="72"/>
        <v>..</v>
      </c>
      <c r="BB427" s="129" t="str">
        <f>IFERROR(VLOOKUP($D427,'EITI Revenues'!$C$2:$G$224,5,FALSE),"..")</f>
        <v>..</v>
      </c>
      <c r="BC427" s="846" t="str">
        <f t="shared" si="73"/>
        <v>..</v>
      </c>
      <c r="BD427" s="129" t="e">
        <f>VLOOKUP($D427,'WB Data 2'!$C$2:$K$545,6,FALSE)</f>
        <v>#N/A</v>
      </c>
      <c r="BE427" s="129">
        <f>IFERROR(VLOOKUP($D427,UNCTAD!$C$5:$V$529,4,FALSE),"..")</f>
        <v>8821863000</v>
      </c>
      <c r="BF427" s="846" t="str">
        <f t="shared" si="74"/>
        <v>..</v>
      </c>
      <c r="BG427" s="117">
        <f>VLOOKUP($D427,'WB Data'!$C$3:$M$578,5,FALSE)</f>
        <v>2859380000</v>
      </c>
      <c r="BH427" s="129" t="str">
        <f>IFERROR($BB427/$BG427,"..")</f>
        <v>..</v>
      </c>
      <c r="BI427" s="117" t="str">
        <f>IFERROR(VLOOKUP($D427,'WB Data'!$C$3:$M$578,7,FALSE)/100,"..")</f>
        <v>..</v>
      </c>
      <c r="BJ427" s="117" t="str">
        <f>IFERROR($BI427*$AW427,"..")</f>
        <v>..</v>
      </c>
      <c r="BK427" s="846" t="str">
        <f>IFERROR($BB427/$BJ427,"..")</f>
        <v>..</v>
      </c>
      <c r="BL427" s="117" t="str">
        <f>IFERROR(VLOOKUP($D427,'WB Data'!$C$3:$M$578,7,FALSE)/100,"..")</f>
        <v>..</v>
      </c>
      <c r="BM427" s="117" t="str">
        <f>IFERROR($AW427*$BL427,"..")</f>
        <v>..</v>
      </c>
      <c r="BN427" s="846" t="str">
        <f>IFERROR($BB427/$BM427,"..")</f>
        <v>..</v>
      </c>
      <c r="BO427" s="801" t="str">
        <f t="shared" si="70"/>
        <v>..</v>
      </c>
      <c r="BP427" s="117" t="str">
        <f>VLOOKUP($D427,'WB Data'!$C$3:$M$578,9,FALSE)</f>
        <v>..</v>
      </c>
      <c r="BQ427" s="117">
        <f>VLOOKUP($D427,'WB Data'!$C$3:$M$578,10,FALSE)</f>
        <v>49.62326829268293</v>
      </c>
      <c r="BR427" s="117">
        <f>VLOOKUP($D427,'WB Data'!$C$3:$M$578,11,FALSE)</f>
        <v>88.1</v>
      </c>
      <c r="BS427" s="129" t="str">
        <f>IFERROR(VLOOKUP($D427,'WB Data 2'!$C$2:$K$545,9,FALSE),"..")</f>
        <v>..</v>
      </c>
      <c r="BT427" s="129" t="str">
        <f>_xlfn.IFNA(VLOOKUP($C427,RGI!$A$2:$C$43,2,FALSE),"..")</f>
        <v>..</v>
      </c>
      <c r="BU427" s="129" t="str">
        <f>_xlfn.IFNA(VLOOKUP($C427,RGI!$A$2:$C$43,3,FALSE),"..")</f>
        <v>..</v>
      </c>
      <c r="BV427" s="129">
        <f>VLOOKUP($D427,WGI!$C$2:$O$478,7,FALSE)</f>
        <v>-1.5155254064189101</v>
      </c>
      <c r="BW427" s="129">
        <f>VLOOKUP($D427,WGI!$C$2:$O$478,4,FALSE)</f>
        <v>-2.11756219579997</v>
      </c>
      <c r="BX427" s="129">
        <f>VLOOKUP($D427,WGI!$C$2:$O$478,3,FALSE)</f>
        <v>-1.65864882570179</v>
      </c>
      <c r="BY427" s="129">
        <f>VLOOKUP($D427,WGI!$C$2:$O$478,5,FALSE)</f>
        <v>-1.51023682958469</v>
      </c>
      <c r="BZ427" s="129">
        <f>VLOOKUP($D427,WGI!$C$2:$O$478,2,FALSE)</f>
        <v>-1.3035610183900299</v>
      </c>
    </row>
    <row r="428" spans="1:80" ht="15" customHeight="1">
      <c r="A428" s="353" t="s">
        <v>184</v>
      </c>
      <c r="B428" s="146">
        <v>2012</v>
      </c>
      <c r="C428" s="132" t="s">
        <v>171</v>
      </c>
      <c r="D428" s="117" t="s">
        <v>3726</v>
      </c>
      <c r="E428" s="146" t="s">
        <v>86</v>
      </c>
      <c r="F428" s="146"/>
      <c r="G428" s="763" t="s">
        <v>24</v>
      </c>
      <c r="H428" s="146"/>
      <c r="I428" s="146"/>
      <c r="J428" s="146"/>
      <c r="K428" s="146" t="s">
        <v>849</v>
      </c>
      <c r="L428" s="146"/>
      <c r="M428" s="146"/>
      <c r="N428" s="754"/>
      <c r="O428" s="754"/>
      <c r="P428" s="754"/>
      <c r="Q428" s="754">
        <v>12235</v>
      </c>
      <c r="R428" s="754"/>
      <c r="S428" s="146" t="s">
        <v>610</v>
      </c>
      <c r="T428" s="119"/>
      <c r="U428" s="146"/>
      <c r="V428" s="146"/>
      <c r="W428" s="760">
        <v>2377814.0299999998</v>
      </c>
      <c r="X428" s="146"/>
      <c r="Y428" s="146"/>
      <c r="Z428" s="146"/>
      <c r="AA428" s="146"/>
      <c r="AB428" s="146"/>
      <c r="AC428" s="756"/>
      <c r="AD428" s="756"/>
      <c r="AE428" s="756"/>
      <c r="AF428" s="758"/>
      <c r="AG428" s="146"/>
      <c r="AH428" s="759"/>
      <c r="AI428" s="146"/>
      <c r="AJ428" s="146"/>
      <c r="AK428" s="760"/>
      <c r="AL428" s="146"/>
      <c r="AM428" s="146"/>
      <c r="AN428" s="146"/>
      <c r="AO428" s="146"/>
      <c r="AP428" s="146"/>
      <c r="AQ428" s="146"/>
      <c r="AR428" s="146"/>
      <c r="AS428" s="146"/>
      <c r="AT428" s="146"/>
      <c r="AU428" s="146"/>
      <c r="AV428" s="128"/>
      <c r="AW428" s="117">
        <f>VLOOKUP($D428,'WB Data'!$C$3:$M$578,2,FALSE)</f>
        <v>29306222815.632816</v>
      </c>
      <c r="AX428" s="117">
        <f>VLOOKUP($D428,'WB Data'!$C$3:$M$578,3,FALSE)</f>
        <v>65705093</v>
      </c>
      <c r="AY428" s="847" t="str">
        <f t="shared" si="71"/>
        <v>..</v>
      </c>
      <c r="AZ428" s="117" t="e">
        <f>VLOOKUP($D428,'WB Data'!$C$3:$M$578,4,FALSE)/100</f>
        <v>#VALUE!</v>
      </c>
      <c r="BA428" s="117" t="str">
        <f t="shared" si="72"/>
        <v>..</v>
      </c>
      <c r="BB428" s="129" t="str">
        <f>IFERROR(VLOOKUP($D428,'EITI Revenues'!$C$2:$G$224,5,FALSE),"..")</f>
        <v>..</v>
      </c>
      <c r="BC428" s="846" t="str">
        <f t="shared" si="73"/>
        <v>..</v>
      </c>
      <c r="BD428" s="129" t="e">
        <f>VLOOKUP($D428,'WB Data 2'!$C$2:$K$545,6,FALSE)</f>
        <v>#N/A</v>
      </c>
      <c r="BE428" s="129">
        <f>IFERROR(VLOOKUP($D428,UNCTAD!$C$5:$V$529,4,FALSE),"..")</f>
        <v>8821863000</v>
      </c>
      <c r="BF428" s="846" t="str">
        <f t="shared" si="74"/>
        <v>..</v>
      </c>
      <c r="BG428" s="117">
        <f>VLOOKUP($D428,'WB Data'!$C$3:$M$578,5,FALSE)</f>
        <v>2859380000</v>
      </c>
      <c r="BH428" s="129" t="str">
        <f>IFERROR($BB428/$BG428,"..")</f>
        <v>..</v>
      </c>
      <c r="BI428" s="117" t="str">
        <f>IFERROR(VLOOKUP($D428,'WB Data'!$C$3:$M$578,7,FALSE)/100,"..")</f>
        <v>..</v>
      </c>
      <c r="BJ428" s="117" t="str">
        <f>IFERROR($BI428*$AW428,"..")</f>
        <v>..</v>
      </c>
      <c r="BK428" s="846" t="str">
        <f>IFERROR($BB428/$BJ428,"..")</f>
        <v>..</v>
      </c>
      <c r="BL428" s="117" t="str">
        <f>IFERROR(VLOOKUP($D428,'WB Data'!$C$3:$M$578,7,FALSE)/100,"..")</f>
        <v>..</v>
      </c>
      <c r="BM428" s="117" t="str">
        <f>IFERROR($AW428*$BL428,"..")</f>
        <v>..</v>
      </c>
      <c r="BN428" s="846" t="str">
        <f>IFERROR($BB428/$BM428,"..")</f>
        <v>..</v>
      </c>
      <c r="BO428" s="801" t="str">
        <f t="shared" si="70"/>
        <v>..</v>
      </c>
      <c r="BP428" s="117" t="str">
        <f>VLOOKUP($D428,'WB Data'!$C$3:$M$578,9,FALSE)</f>
        <v>..</v>
      </c>
      <c r="BQ428" s="117">
        <f>VLOOKUP($D428,'WB Data'!$C$3:$M$578,10,FALSE)</f>
        <v>49.62326829268293</v>
      </c>
      <c r="BR428" s="117">
        <f>VLOOKUP($D428,'WB Data'!$C$3:$M$578,11,FALSE)</f>
        <v>88.1</v>
      </c>
      <c r="BS428" s="129" t="str">
        <f>IFERROR(VLOOKUP($D428,'WB Data 2'!$C$2:$K$545,9,FALSE),"..")</f>
        <v>..</v>
      </c>
      <c r="BT428" s="129" t="str">
        <f>_xlfn.IFNA(VLOOKUP($C428,RGI!$A$2:$C$43,2,FALSE),"..")</f>
        <v>..</v>
      </c>
      <c r="BU428" s="129" t="str">
        <f>_xlfn.IFNA(VLOOKUP($C428,RGI!$A$2:$C$43,3,FALSE),"..")</f>
        <v>..</v>
      </c>
      <c r="BV428" s="129">
        <f>VLOOKUP($D428,WGI!$C$2:$O$478,7,FALSE)</f>
        <v>-1.5155254064189101</v>
      </c>
      <c r="BW428" s="129">
        <f>VLOOKUP($D428,WGI!$C$2:$O$478,4,FALSE)</f>
        <v>-2.11756219579997</v>
      </c>
      <c r="BX428" s="129">
        <f>VLOOKUP($D428,WGI!$C$2:$O$478,3,FALSE)</f>
        <v>-1.65864882570179</v>
      </c>
      <c r="BY428" s="129">
        <f>VLOOKUP($D428,WGI!$C$2:$O$478,5,FALSE)</f>
        <v>-1.51023682958469</v>
      </c>
      <c r="BZ428" s="129">
        <f>VLOOKUP($D428,WGI!$C$2:$O$478,2,FALSE)</f>
        <v>-1.3035610183900299</v>
      </c>
    </row>
    <row r="429" spans="1:80" ht="15" customHeight="1">
      <c r="A429" s="353" t="s">
        <v>184</v>
      </c>
      <c r="B429" s="146">
        <v>2012</v>
      </c>
      <c r="C429" s="132" t="s">
        <v>171</v>
      </c>
      <c r="D429" s="117" t="s">
        <v>3726</v>
      </c>
      <c r="E429" s="146" t="s">
        <v>86</v>
      </c>
      <c r="F429" s="146"/>
      <c r="G429" s="763" t="s">
        <v>24</v>
      </c>
      <c r="H429" s="146"/>
      <c r="I429" s="146"/>
      <c r="J429" s="146"/>
      <c r="K429" s="146" t="s">
        <v>1061</v>
      </c>
      <c r="L429" s="146"/>
      <c r="M429" s="146"/>
      <c r="N429" s="754"/>
      <c r="O429" s="754"/>
      <c r="P429" s="754"/>
      <c r="Q429" s="754">
        <v>85409</v>
      </c>
      <c r="R429" s="754"/>
      <c r="S429" s="146" t="s">
        <v>610</v>
      </c>
      <c r="T429" s="119"/>
      <c r="U429" s="146"/>
      <c r="V429" s="146"/>
      <c r="W429" s="765">
        <v>2543182164.2199998</v>
      </c>
      <c r="X429" s="146"/>
      <c r="Y429" s="146"/>
      <c r="Z429" s="146"/>
      <c r="AA429" s="146"/>
      <c r="AB429" s="146"/>
      <c r="AC429" s="756"/>
      <c r="AD429" s="756"/>
      <c r="AE429" s="756"/>
      <c r="AF429" s="758"/>
      <c r="AG429" s="146"/>
      <c r="AH429" s="759"/>
      <c r="AI429" s="146"/>
      <c r="AJ429" s="146"/>
      <c r="AK429" s="760"/>
      <c r="AL429" s="146"/>
      <c r="AM429" s="146"/>
      <c r="AN429" s="146"/>
      <c r="AO429" s="146"/>
      <c r="AP429" s="146"/>
      <c r="AQ429" s="146"/>
      <c r="AR429" s="146"/>
      <c r="AS429" s="146"/>
      <c r="AT429" s="146"/>
      <c r="AU429" s="146"/>
      <c r="AV429" s="128"/>
      <c r="AW429" s="117">
        <f>VLOOKUP($D429,'WB Data'!$C$3:$M$578,2,FALSE)</f>
        <v>29306222815.632816</v>
      </c>
      <c r="AX429" s="117">
        <f>VLOOKUP($D429,'WB Data'!$C$3:$M$578,3,FALSE)</f>
        <v>65705093</v>
      </c>
      <c r="AY429" s="847" t="str">
        <f t="shared" si="71"/>
        <v>..</v>
      </c>
      <c r="AZ429" s="117" t="e">
        <f>VLOOKUP($D429,'WB Data'!$C$3:$M$578,4,FALSE)/100</f>
        <v>#VALUE!</v>
      </c>
      <c r="BA429" s="117" t="str">
        <f t="shared" si="72"/>
        <v>..</v>
      </c>
      <c r="BB429" s="129" t="str">
        <f>IFERROR(VLOOKUP($D429,'EITI Revenues'!$C$2:$G$224,5,FALSE),"..")</f>
        <v>..</v>
      </c>
      <c r="BC429" s="846" t="str">
        <f t="shared" si="73"/>
        <v>..</v>
      </c>
      <c r="BD429" s="129" t="e">
        <f>VLOOKUP($D429,'WB Data 2'!$C$2:$K$545,6,FALSE)</f>
        <v>#N/A</v>
      </c>
      <c r="BE429" s="129">
        <f>IFERROR(VLOOKUP($D429,UNCTAD!$C$5:$V$529,4,FALSE),"..")</f>
        <v>8821863000</v>
      </c>
      <c r="BF429" s="846" t="str">
        <f t="shared" si="74"/>
        <v>..</v>
      </c>
      <c r="BG429" s="117">
        <f>VLOOKUP($D429,'WB Data'!$C$3:$M$578,5,FALSE)</f>
        <v>2859380000</v>
      </c>
      <c r="BH429" s="129" t="str">
        <f>IFERROR($BB429/$BG429,"..")</f>
        <v>..</v>
      </c>
      <c r="BI429" s="117" t="str">
        <f>IFERROR(VLOOKUP($D429,'WB Data'!$C$3:$M$578,7,FALSE)/100,"..")</f>
        <v>..</v>
      </c>
      <c r="BJ429" s="117" t="str">
        <f>IFERROR($BI429*$AW429,"..")</f>
        <v>..</v>
      </c>
      <c r="BK429" s="846" t="str">
        <f>IFERROR($BB429/$BJ429,"..")</f>
        <v>..</v>
      </c>
      <c r="BL429" s="117" t="str">
        <f>IFERROR(VLOOKUP($D429,'WB Data'!$C$3:$M$578,7,FALSE)/100,"..")</f>
        <v>..</v>
      </c>
      <c r="BM429" s="117" t="str">
        <f>IFERROR($AW429*$BL429,"..")</f>
        <v>..</v>
      </c>
      <c r="BN429" s="846" t="str">
        <f>IFERROR($BB429/$BM429,"..")</f>
        <v>..</v>
      </c>
      <c r="BO429" s="801" t="str">
        <f t="shared" si="70"/>
        <v>..</v>
      </c>
      <c r="BP429" s="117" t="str">
        <f>VLOOKUP($D429,'WB Data'!$C$3:$M$578,9,FALSE)</f>
        <v>..</v>
      </c>
      <c r="BQ429" s="117">
        <f>VLOOKUP($D429,'WB Data'!$C$3:$M$578,10,FALSE)</f>
        <v>49.62326829268293</v>
      </c>
      <c r="BR429" s="117">
        <f>VLOOKUP($D429,'WB Data'!$C$3:$M$578,11,FALSE)</f>
        <v>88.1</v>
      </c>
      <c r="BS429" s="129" t="str">
        <f>IFERROR(VLOOKUP($D429,'WB Data 2'!$C$2:$K$545,9,FALSE),"..")</f>
        <v>..</v>
      </c>
      <c r="BT429" s="129" t="str">
        <f>_xlfn.IFNA(VLOOKUP($C429,RGI!$A$2:$C$43,2,FALSE),"..")</f>
        <v>..</v>
      </c>
      <c r="BU429" s="129" t="str">
        <f>_xlfn.IFNA(VLOOKUP($C429,RGI!$A$2:$C$43,3,FALSE),"..")</f>
        <v>..</v>
      </c>
      <c r="BV429" s="129">
        <f>VLOOKUP($D429,WGI!$C$2:$O$478,7,FALSE)</f>
        <v>-1.5155254064189101</v>
      </c>
      <c r="BW429" s="129">
        <f>VLOOKUP($D429,WGI!$C$2:$O$478,4,FALSE)</f>
        <v>-2.11756219579997</v>
      </c>
      <c r="BX429" s="129">
        <f>VLOOKUP($D429,WGI!$C$2:$O$478,3,FALSE)</f>
        <v>-1.65864882570179</v>
      </c>
      <c r="BY429" s="129">
        <f>VLOOKUP($D429,WGI!$C$2:$O$478,5,FALSE)</f>
        <v>-1.51023682958469</v>
      </c>
      <c r="BZ429" s="129">
        <f>VLOOKUP($D429,WGI!$C$2:$O$478,2,FALSE)</f>
        <v>-1.3035610183900299</v>
      </c>
    </row>
    <row r="430" spans="1:80" ht="15" customHeight="1">
      <c r="A430" s="353" t="s">
        <v>184</v>
      </c>
      <c r="B430" s="146">
        <v>2012</v>
      </c>
      <c r="C430" s="132" t="s">
        <v>171</v>
      </c>
      <c r="D430" s="117" t="s">
        <v>3726</v>
      </c>
      <c r="E430" s="146" t="s">
        <v>86</v>
      </c>
      <c r="F430" s="146"/>
      <c r="G430" s="763" t="s">
        <v>24</v>
      </c>
      <c r="H430" s="146"/>
      <c r="I430" s="146"/>
      <c r="J430" s="146"/>
      <c r="K430" s="146" t="s">
        <v>784</v>
      </c>
      <c r="L430" s="146"/>
      <c r="M430" s="146"/>
      <c r="N430" s="754"/>
      <c r="O430" s="754"/>
      <c r="P430" s="754"/>
      <c r="Q430" s="754">
        <v>2546</v>
      </c>
      <c r="R430" s="754"/>
      <c r="S430" s="146" t="s">
        <v>967</v>
      </c>
      <c r="T430" s="119"/>
      <c r="U430" s="146"/>
      <c r="V430" s="146"/>
      <c r="W430" s="765">
        <v>102082653.62</v>
      </c>
      <c r="X430" s="146"/>
      <c r="Y430" s="146"/>
      <c r="Z430" s="146"/>
      <c r="AA430" s="146"/>
      <c r="AB430" s="146"/>
      <c r="AC430" s="756"/>
      <c r="AD430" s="756"/>
      <c r="AE430" s="756"/>
      <c r="AF430" s="758"/>
      <c r="AG430" s="146"/>
      <c r="AH430" s="759"/>
      <c r="AI430" s="146"/>
      <c r="AJ430" s="146"/>
      <c r="AK430" s="760"/>
      <c r="AL430" s="146"/>
      <c r="AM430" s="146"/>
      <c r="AN430" s="146"/>
      <c r="AO430" s="146"/>
      <c r="AP430" s="146"/>
      <c r="AQ430" s="146"/>
      <c r="AR430" s="146"/>
      <c r="AS430" s="146"/>
      <c r="AT430" s="146"/>
      <c r="AU430" s="146"/>
      <c r="AV430" s="128"/>
      <c r="AW430" s="117">
        <f>VLOOKUP($D430,'WB Data'!$C$3:$M$578,2,FALSE)</f>
        <v>29306222815.632816</v>
      </c>
      <c r="AX430" s="117">
        <f>VLOOKUP($D430,'WB Data'!$C$3:$M$578,3,FALSE)</f>
        <v>65705093</v>
      </c>
      <c r="AY430" s="847" t="str">
        <f t="shared" si="71"/>
        <v>..</v>
      </c>
      <c r="AZ430" s="117" t="e">
        <f>VLOOKUP($D430,'WB Data'!$C$3:$M$578,4,FALSE)/100</f>
        <v>#VALUE!</v>
      </c>
      <c r="BA430" s="117" t="str">
        <f t="shared" si="72"/>
        <v>..</v>
      </c>
      <c r="BB430" s="129" t="str">
        <f>IFERROR(VLOOKUP($D430,'EITI Revenues'!$C$2:$G$224,5,FALSE),"..")</f>
        <v>..</v>
      </c>
      <c r="BC430" s="846" t="str">
        <f t="shared" si="73"/>
        <v>..</v>
      </c>
      <c r="BD430" s="129" t="e">
        <f>VLOOKUP($D430,'WB Data 2'!$C$2:$K$545,6,FALSE)</f>
        <v>#N/A</v>
      </c>
      <c r="BE430" s="129">
        <f>IFERROR(VLOOKUP($D430,UNCTAD!$C$5:$V$529,4,FALSE),"..")</f>
        <v>8821863000</v>
      </c>
      <c r="BF430" s="846" t="str">
        <f t="shared" si="74"/>
        <v>..</v>
      </c>
      <c r="BG430" s="117">
        <f>VLOOKUP($D430,'WB Data'!$C$3:$M$578,5,FALSE)</f>
        <v>2859380000</v>
      </c>
      <c r="BH430" s="129" t="str">
        <f>IFERROR($BB430/$BG430,"..")</f>
        <v>..</v>
      </c>
      <c r="BI430" s="117" t="str">
        <f>IFERROR(VLOOKUP($D430,'WB Data'!$C$3:$M$578,7,FALSE)/100,"..")</f>
        <v>..</v>
      </c>
      <c r="BJ430" s="117" t="str">
        <f>IFERROR($BI430*$AW430,"..")</f>
        <v>..</v>
      </c>
      <c r="BK430" s="846" t="str">
        <f>IFERROR($BB430/$BJ430,"..")</f>
        <v>..</v>
      </c>
      <c r="BL430" s="117" t="str">
        <f>IFERROR(VLOOKUP($D430,'WB Data'!$C$3:$M$578,7,FALSE)/100,"..")</f>
        <v>..</v>
      </c>
      <c r="BM430" s="117" t="str">
        <f>IFERROR($AW430*$BL430,"..")</f>
        <v>..</v>
      </c>
      <c r="BN430" s="846" t="str">
        <f>IFERROR($BB430/$BM430,"..")</f>
        <v>..</v>
      </c>
      <c r="BO430" s="801" t="str">
        <f t="shared" si="70"/>
        <v>..</v>
      </c>
      <c r="BP430" s="117" t="str">
        <f>VLOOKUP($D430,'WB Data'!$C$3:$M$578,9,FALSE)</f>
        <v>..</v>
      </c>
      <c r="BQ430" s="117">
        <f>VLOOKUP($D430,'WB Data'!$C$3:$M$578,10,FALSE)</f>
        <v>49.62326829268293</v>
      </c>
      <c r="BR430" s="117">
        <f>VLOOKUP($D430,'WB Data'!$C$3:$M$578,11,FALSE)</f>
        <v>88.1</v>
      </c>
      <c r="BS430" s="129" t="str">
        <f>IFERROR(VLOOKUP($D430,'WB Data 2'!$C$2:$K$545,9,FALSE),"..")</f>
        <v>..</v>
      </c>
      <c r="BT430" s="129" t="str">
        <f>_xlfn.IFNA(VLOOKUP($C430,RGI!$A$2:$C$43,2,FALSE),"..")</f>
        <v>..</v>
      </c>
      <c r="BU430" s="129" t="str">
        <f>_xlfn.IFNA(VLOOKUP($C430,RGI!$A$2:$C$43,3,FALSE),"..")</f>
        <v>..</v>
      </c>
      <c r="BV430" s="129">
        <f>VLOOKUP($D430,WGI!$C$2:$O$478,7,FALSE)</f>
        <v>-1.5155254064189101</v>
      </c>
      <c r="BW430" s="129">
        <f>VLOOKUP($D430,WGI!$C$2:$O$478,4,FALSE)</f>
        <v>-2.11756219579997</v>
      </c>
      <c r="BX430" s="129">
        <f>VLOOKUP($D430,WGI!$C$2:$O$478,3,FALSE)</f>
        <v>-1.65864882570179</v>
      </c>
      <c r="BY430" s="129">
        <f>VLOOKUP($D430,WGI!$C$2:$O$478,5,FALSE)</f>
        <v>-1.51023682958469</v>
      </c>
      <c r="BZ430" s="129">
        <f>VLOOKUP($D430,WGI!$C$2:$O$478,2,FALSE)</f>
        <v>-1.3035610183900299</v>
      </c>
    </row>
    <row r="431" spans="1:80" ht="15" customHeight="1">
      <c r="A431" s="353" t="s">
        <v>184</v>
      </c>
      <c r="B431" s="146">
        <v>2012</v>
      </c>
      <c r="C431" s="132" t="s">
        <v>171</v>
      </c>
      <c r="D431" s="117" t="s">
        <v>3726</v>
      </c>
      <c r="E431" s="146" t="s">
        <v>86</v>
      </c>
      <c r="F431" s="146"/>
      <c r="G431" s="763" t="s">
        <v>24</v>
      </c>
      <c r="H431" s="146"/>
      <c r="I431" s="146"/>
      <c r="J431" s="146"/>
      <c r="K431" s="146" t="s">
        <v>980</v>
      </c>
      <c r="L431" s="146"/>
      <c r="M431" s="146"/>
      <c r="N431" s="754"/>
      <c r="O431" s="754"/>
      <c r="P431" s="754"/>
      <c r="Q431" s="754">
        <v>20140000</v>
      </c>
      <c r="R431" s="754"/>
      <c r="S431" s="146" t="s">
        <v>981</v>
      </c>
      <c r="T431" s="119"/>
      <c r="U431" s="146"/>
      <c r="V431" s="146"/>
      <c r="W431" s="765">
        <v>293358346.93000001</v>
      </c>
      <c r="X431" s="146"/>
      <c r="Y431" s="146"/>
      <c r="Z431" s="146"/>
      <c r="AA431" s="146"/>
      <c r="AB431" s="146"/>
      <c r="AC431" s="756"/>
      <c r="AD431" s="756"/>
      <c r="AE431" s="756"/>
      <c r="AF431" s="758"/>
      <c r="AG431" s="146"/>
      <c r="AH431" s="759"/>
      <c r="AI431" s="146"/>
      <c r="AJ431" s="146"/>
      <c r="AK431" s="760"/>
      <c r="AL431" s="146"/>
      <c r="AM431" s="146"/>
      <c r="AN431" s="146"/>
      <c r="AO431" s="146"/>
      <c r="AP431" s="146"/>
      <c r="AQ431" s="146"/>
      <c r="AR431" s="146"/>
      <c r="AS431" s="146"/>
      <c r="AT431" s="146"/>
      <c r="AU431" s="146"/>
      <c r="AV431" s="128"/>
      <c r="AW431" s="117">
        <f>VLOOKUP($D431,'WB Data'!$C$3:$M$578,2,FALSE)</f>
        <v>29306222815.632816</v>
      </c>
      <c r="AX431" s="117">
        <f>VLOOKUP($D431,'WB Data'!$C$3:$M$578,3,FALSE)</f>
        <v>65705093</v>
      </c>
      <c r="AY431" s="847" t="str">
        <f t="shared" si="71"/>
        <v>..</v>
      </c>
      <c r="AZ431" s="117" t="e">
        <f>VLOOKUP($D431,'WB Data'!$C$3:$M$578,4,FALSE)/100</f>
        <v>#VALUE!</v>
      </c>
      <c r="BA431" s="117" t="str">
        <f t="shared" si="72"/>
        <v>..</v>
      </c>
      <c r="BB431" s="129" t="str">
        <f>IFERROR(VLOOKUP($D431,'EITI Revenues'!$C$2:$G$224,5,FALSE),"..")</f>
        <v>..</v>
      </c>
      <c r="BC431" s="846" t="str">
        <f t="shared" si="73"/>
        <v>..</v>
      </c>
      <c r="BD431" s="129" t="e">
        <f>VLOOKUP($D431,'WB Data 2'!$C$2:$K$545,6,FALSE)</f>
        <v>#N/A</v>
      </c>
      <c r="BE431" s="129">
        <f>IFERROR(VLOOKUP($D431,UNCTAD!$C$5:$V$529,4,FALSE),"..")</f>
        <v>8821863000</v>
      </c>
      <c r="BF431" s="846" t="str">
        <f t="shared" si="74"/>
        <v>..</v>
      </c>
      <c r="BG431" s="117">
        <f>VLOOKUP($D431,'WB Data'!$C$3:$M$578,5,FALSE)</f>
        <v>2859380000</v>
      </c>
      <c r="BH431" s="129" t="str">
        <f>IFERROR($BB431/$BG431,"..")</f>
        <v>..</v>
      </c>
      <c r="BI431" s="117" t="str">
        <f>IFERROR(VLOOKUP($D431,'WB Data'!$C$3:$M$578,7,FALSE)/100,"..")</f>
        <v>..</v>
      </c>
      <c r="BJ431" s="117" t="str">
        <f>IFERROR($BI431*$AW431,"..")</f>
        <v>..</v>
      </c>
      <c r="BK431" s="846" t="str">
        <f>IFERROR($BB431/$BJ431,"..")</f>
        <v>..</v>
      </c>
      <c r="BL431" s="117" t="str">
        <f>IFERROR(VLOOKUP($D431,'WB Data'!$C$3:$M$578,7,FALSE)/100,"..")</f>
        <v>..</v>
      </c>
      <c r="BM431" s="117" t="str">
        <f>IFERROR($AW431*$BL431,"..")</f>
        <v>..</v>
      </c>
      <c r="BN431" s="846" t="str">
        <f>IFERROR($BB431/$BM431,"..")</f>
        <v>..</v>
      </c>
      <c r="BO431" s="801" t="str">
        <f t="shared" si="70"/>
        <v>..</v>
      </c>
      <c r="BP431" s="117" t="str">
        <f>VLOOKUP($D431,'WB Data'!$C$3:$M$578,9,FALSE)</f>
        <v>..</v>
      </c>
      <c r="BQ431" s="117">
        <f>VLOOKUP($D431,'WB Data'!$C$3:$M$578,10,FALSE)</f>
        <v>49.62326829268293</v>
      </c>
      <c r="BR431" s="117">
        <f>VLOOKUP($D431,'WB Data'!$C$3:$M$578,11,FALSE)</f>
        <v>88.1</v>
      </c>
      <c r="BS431" s="129" t="str">
        <f>IFERROR(VLOOKUP($D431,'WB Data 2'!$C$2:$K$545,9,FALSE),"..")</f>
        <v>..</v>
      </c>
      <c r="BT431" s="129" t="str">
        <f>_xlfn.IFNA(VLOOKUP($C431,RGI!$A$2:$C$43,2,FALSE),"..")</f>
        <v>..</v>
      </c>
      <c r="BU431" s="129" t="str">
        <f>_xlfn.IFNA(VLOOKUP($C431,RGI!$A$2:$C$43,3,FALSE),"..")</f>
        <v>..</v>
      </c>
      <c r="BV431" s="129">
        <f>VLOOKUP($D431,WGI!$C$2:$O$478,7,FALSE)</f>
        <v>-1.5155254064189101</v>
      </c>
      <c r="BW431" s="129">
        <f>VLOOKUP($D431,WGI!$C$2:$O$478,4,FALSE)</f>
        <v>-2.11756219579997</v>
      </c>
      <c r="BX431" s="129">
        <f>VLOOKUP($D431,WGI!$C$2:$O$478,3,FALSE)</f>
        <v>-1.65864882570179</v>
      </c>
      <c r="BY431" s="129">
        <f>VLOOKUP($D431,WGI!$C$2:$O$478,5,FALSE)</f>
        <v>-1.51023682958469</v>
      </c>
      <c r="BZ431" s="129">
        <f>VLOOKUP($D431,WGI!$C$2:$O$478,2,FALSE)</f>
        <v>-1.3035610183900299</v>
      </c>
    </row>
    <row r="432" spans="1:80" ht="15" customHeight="1">
      <c r="A432" s="353" t="s">
        <v>184</v>
      </c>
      <c r="B432" s="146">
        <v>2012</v>
      </c>
      <c r="C432" s="132" t="s">
        <v>171</v>
      </c>
      <c r="D432" s="117" t="s">
        <v>3726</v>
      </c>
      <c r="E432" s="146" t="s">
        <v>86</v>
      </c>
      <c r="F432" s="146"/>
      <c r="G432" s="763" t="s">
        <v>24</v>
      </c>
      <c r="H432" s="146"/>
      <c r="I432" s="146"/>
      <c r="J432" s="146"/>
      <c r="K432" s="146" t="s">
        <v>1115</v>
      </c>
      <c r="L432" s="146"/>
      <c r="M432" s="146"/>
      <c r="N432" s="754"/>
      <c r="O432" s="754"/>
      <c r="P432" s="754"/>
      <c r="Q432" s="754">
        <v>18981</v>
      </c>
      <c r="R432" s="754"/>
      <c r="S432" s="146" t="s">
        <v>610</v>
      </c>
      <c r="T432" s="119"/>
      <c r="U432" s="146"/>
      <c r="V432" s="146"/>
      <c r="W432" s="760">
        <v>98680804.790000007</v>
      </c>
      <c r="X432" s="146"/>
      <c r="Y432" s="146"/>
      <c r="Z432" s="146"/>
      <c r="AA432" s="146"/>
      <c r="AB432" s="146"/>
      <c r="AC432" s="756"/>
      <c r="AD432" s="756"/>
      <c r="AE432" s="756"/>
      <c r="AF432" s="758"/>
      <c r="AG432" s="146"/>
      <c r="AH432" s="759"/>
      <c r="AI432" s="146"/>
      <c r="AJ432" s="146"/>
      <c r="AK432" s="760"/>
      <c r="AL432" s="146"/>
      <c r="AM432" s="146"/>
      <c r="AN432" s="146"/>
      <c r="AO432" s="146"/>
      <c r="AP432" s="146"/>
      <c r="AQ432" s="146"/>
      <c r="AR432" s="146"/>
      <c r="AS432" s="146"/>
      <c r="AT432" s="146"/>
      <c r="AU432" s="146"/>
      <c r="AV432" s="128"/>
      <c r="AW432" s="117">
        <f>VLOOKUP($D432,'WB Data'!$C$3:$M$578,2,FALSE)</f>
        <v>29306222815.632816</v>
      </c>
      <c r="AX432" s="117">
        <f>VLOOKUP($D432,'WB Data'!$C$3:$M$578,3,FALSE)</f>
        <v>65705093</v>
      </c>
      <c r="AY432" s="847" t="str">
        <f t="shared" si="71"/>
        <v>..</v>
      </c>
      <c r="AZ432" s="117" t="e">
        <f>VLOOKUP($D432,'WB Data'!$C$3:$M$578,4,FALSE)/100</f>
        <v>#VALUE!</v>
      </c>
      <c r="BA432" s="117" t="str">
        <f t="shared" si="72"/>
        <v>..</v>
      </c>
      <c r="BB432" s="129" t="str">
        <f>IFERROR(VLOOKUP($D432,'EITI Revenues'!$C$2:$G$224,5,FALSE),"..")</f>
        <v>..</v>
      </c>
      <c r="BC432" s="846" t="str">
        <f t="shared" si="73"/>
        <v>..</v>
      </c>
      <c r="BD432" s="129" t="e">
        <f>VLOOKUP($D432,'WB Data 2'!$C$2:$K$545,6,FALSE)</f>
        <v>#N/A</v>
      </c>
      <c r="BE432" s="129">
        <f>IFERROR(VLOOKUP($D432,UNCTAD!$C$5:$V$529,4,FALSE),"..")</f>
        <v>8821863000</v>
      </c>
      <c r="BF432" s="846" t="str">
        <f t="shared" si="74"/>
        <v>..</v>
      </c>
      <c r="BG432" s="117">
        <f>VLOOKUP($D432,'WB Data'!$C$3:$M$578,5,FALSE)</f>
        <v>2859380000</v>
      </c>
      <c r="BH432" s="129" t="str">
        <f>IFERROR($BB432/$BG432,"..")</f>
        <v>..</v>
      </c>
      <c r="BI432" s="117" t="str">
        <f>IFERROR(VLOOKUP($D432,'WB Data'!$C$3:$M$578,7,FALSE)/100,"..")</f>
        <v>..</v>
      </c>
      <c r="BJ432" s="117" t="str">
        <f>IFERROR($BI432*$AW432,"..")</f>
        <v>..</v>
      </c>
      <c r="BK432" s="846" t="str">
        <f>IFERROR($BB432/$BJ432,"..")</f>
        <v>..</v>
      </c>
      <c r="BL432" s="117" t="str">
        <f>IFERROR(VLOOKUP($D432,'WB Data'!$C$3:$M$578,7,FALSE)/100,"..")</f>
        <v>..</v>
      </c>
      <c r="BM432" s="117" t="str">
        <f>IFERROR($AW432*$BL432,"..")</f>
        <v>..</v>
      </c>
      <c r="BN432" s="846" t="str">
        <f>IFERROR($BB432/$BM432,"..")</f>
        <v>..</v>
      </c>
      <c r="BO432" s="801" t="str">
        <f t="shared" si="70"/>
        <v>..</v>
      </c>
      <c r="BP432" s="117" t="str">
        <f>VLOOKUP($D432,'WB Data'!$C$3:$M$578,9,FALSE)</f>
        <v>..</v>
      </c>
      <c r="BQ432" s="117">
        <f>VLOOKUP($D432,'WB Data'!$C$3:$M$578,10,FALSE)</f>
        <v>49.62326829268293</v>
      </c>
      <c r="BR432" s="117">
        <f>VLOOKUP($D432,'WB Data'!$C$3:$M$578,11,FALSE)</f>
        <v>88.1</v>
      </c>
      <c r="BS432" s="129" t="str">
        <f>IFERROR(VLOOKUP($D432,'WB Data 2'!$C$2:$K$545,9,FALSE),"..")</f>
        <v>..</v>
      </c>
      <c r="BT432" s="129" t="str">
        <f>_xlfn.IFNA(VLOOKUP($C432,RGI!$A$2:$C$43,2,FALSE),"..")</f>
        <v>..</v>
      </c>
      <c r="BU432" s="129" t="str">
        <f>_xlfn.IFNA(VLOOKUP($C432,RGI!$A$2:$C$43,3,FALSE),"..")</f>
        <v>..</v>
      </c>
      <c r="BV432" s="129">
        <f>VLOOKUP($D432,WGI!$C$2:$O$478,7,FALSE)</f>
        <v>-1.5155254064189101</v>
      </c>
      <c r="BW432" s="129">
        <f>VLOOKUP($D432,WGI!$C$2:$O$478,4,FALSE)</f>
        <v>-2.11756219579997</v>
      </c>
      <c r="BX432" s="129">
        <f>VLOOKUP($D432,WGI!$C$2:$O$478,3,FALSE)</f>
        <v>-1.65864882570179</v>
      </c>
      <c r="BY432" s="129">
        <f>VLOOKUP($D432,WGI!$C$2:$O$478,5,FALSE)</f>
        <v>-1.51023682958469</v>
      </c>
      <c r="BZ432" s="129">
        <f>VLOOKUP($D432,WGI!$C$2:$O$478,2,FALSE)</f>
        <v>-1.3035610183900299</v>
      </c>
    </row>
    <row r="433" spans="1:80" ht="15" customHeight="1">
      <c r="A433" s="353" t="s">
        <v>184</v>
      </c>
      <c r="B433" s="146">
        <v>2012</v>
      </c>
      <c r="C433" s="132" t="s">
        <v>171</v>
      </c>
      <c r="D433" s="117" t="s">
        <v>3726</v>
      </c>
      <c r="E433" s="146" t="s">
        <v>86</v>
      </c>
      <c r="F433" s="146"/>
      <c r="G433" s="763" t="s">
        <v>24</v>
      </c>
      <c r="H433" s="146"/>
      <c r="I433" s="146"/>
      <c r="J433" s="146"/>
      <c r="K433" s="146" t="s">
        <v>1116</v>
      </c>
      <c r="L433" s="146"/>
      <c r="M433" s="146"/>
      <c r="N433" s="754"/>
      <c r="O433" s="754"/>
      <c r="P433" s="754"/>
      <c r="Q433" s="754">
        <v>8</v>
      </c>
      <c r="R433" s="754"/>
      <c r="S433" s="146" t="s">
        <v>610</v>
      </c>
      <c r="T433" s="119"/>
      <c r="U433" s="146"/>
      <c r="V433" s="146"/>
      <c r="W433" s="760">
        <v>77673735.730000004</v>
      </c>
      <c r="X433" s="146"/>
      <c r="Y433" s="146"/>
      <c r="Z433" s="146"/>
      <c r="AA433" s="146"/>
      <c r="AB433" s="146"/>
      <c r="AC433" s="756"/>
      <c r="AD433" s="756"/>
      <c r="AE433" s="756"/>
      <c r="AF433" s="758"/>
      <c r="AG433" s="146"/>
      <c r="AH433" s="759"/>
      <c r="AI433" s="146"/>
      <c r="AJ433" s="146"/>
      <c r="AK433" s="760"/>
      <c r="AL433" s="146"/>
      <c r="AM433" s="146"/>
      <c r="AN433" s="146"/>
      <c r="AO433" s="146"/>
      <c r="AP433" s="146"/>
      <c r="AQ433" s="146"/>
      <c r="AR433" s="146"/>
      <c r="AS433" s="146"/>
      <c r="AT433" s="146"/>
      <c r="AU433" s="146"/>
      <c r="AV433" s="128"/>
      <c r="AW433" s="117">
        <f>VLOOKUP($D433,'WB Data'!$C$3:$M$578,2,FALSE)</f>
        <v>29306222815.632816</v>
      </c>
      <c r="AX433" s="117">
        <f>VLOOKUP($D433,'WB Data'!$C$3:$M$578,3,FALSE)</f>
        <v>65705093</v>
      </c>
      <c r="AY433" s="847" t="str">
        <f t="shared" si="71"/>
        <v>..</v>
      </c>
      <c r="AZ433" s="117" t="e">
        <f>VLOOKUP($D433,'WB Data'!$C$3:$M$578,4,FALSE)/100</f>
        <v>#VALUE!</v>
      </c>
      <c r="BA433" s="117" t="str">
        <f t="shared" si="72"/>
        <v>..</v>
      </c>
      <c r="BB433" s="129" t="str">
        <f>IFERROR(VLOOKUP($D433,'EITI Revenues'!$C$2:$G$224,5,FALSE),"..")</f>
        <v>..</v>
      </c>
      <c r="BC433" s="846" t="str">
        <f t="shared" si="73"/>
        <v>..</v>
      </c>
      <c r="BD433" s="129" t="e">
        <f>VLOOKUP($D433,'WB Data 2'!$C$2:$K$545,6,FALSE)</f>
        <v>#N/A</v>
      </c>
      <c r="BE433" s="129">
        <f>IFERROR(VLOOKUP($D433,UNCTAD!$C$5:$V$529,4,FALSE),"..")</f>
        <v>8821863000</v>
      </c>
      <c r="BF433" s="846" t="str">
        <f t="shared" si="74"/>
        <v>..</v>
      </c>
      <c r="BG433" s="117">
        <f>VLOOKUP($D433,'WB Data'!$C$3:$M$578,5,FALSE)</f>
        <v>2859380000</v>
      </c>
      <c r="BH433" s="129" t="str">
        <f>IFERROR($BB433/$BG433,"..")</f>
        <v>..</v>
      </c>
      <c r="BI433" s="117" t="str">
        <f>IFERROR(VLOOKUP($D433,'WB Data'!$C$3:$M$578,7,FALSE)/100,"..")</f>
        <v>..</v>
      </c>
      <c r="BJ433" s="117" t="str">
        <f>IFERROR($BI433*$AW433,"..")</f>
        <v>..</v>
      </c>
      <c r="BK433" s="846" t="str">
        <f>IFERROR($BB433/$BJ433,"..")</f>
        <v>..</v>
      </c>
      <c r="BL433" s="117" t="str">
        <f>IFERROR(VLOOKUP($D433,'WB Data'!$C$3:$M$578,7,FALSE)/100,"..")</f>
        <v>..</v>
      </c>
      <c r="BM433" s="117" t="str">
        <f>IFERROR($AW433*$BL433,"..")</f>
        <v>..</v>
      </c>
      <c r="BN433" s="846" t="str">
        <f>IFERROR($BB433/$BM433,"..")</f>
        <v>..</v>
      </c>
      <c r="BO433" s="801" t="str">
        <f t="shared" si="70"/>
        <v>..</v>
      </c>
      <c r="BP433" s="117" t="str">
        <f>VLOOKUP($D433,'WB Data'!$C$3:$M$578,9,FALSE)</f>
        <v>..</v>
      </c>
      <c r="BQ433" s="117">
        <f>VLOOKUP($D433,'WB Data'!$C$3:$M$578,10,FALSE)</f>
        <v>49.62326829268293</v>
      </c>
      <c r="BR433" s="117">
        <f>VLOOKUP($D433,'WB Data'!$C$3:$M$578,11,FALSE)</f>
        <v>88.1</v>
      </c>
      <c r="BS433" s="129" t="str">
        <f>IFERROR(VLOOKUP($D433,'WB Data 2'!$C$2:$K$545,9,FALSE),"..")</f>
        <v>..</v>
      </c>
      <c r="BT433" s="129" t="str">
        <f>_xlfn.IFNA(VLOOKUP($C433,RGI!$A$2:$C$43,2,FALSE),"..")</f>
        <v>..</v>
      </c>
      <c r="BU433" s="129" t="str">
        <f>_xlfn.IFNA(VLOOKUP($C433,RGI!$A$2:$C$43,3,FALSE),"..")</f>
        <v>..</v>
      </c>
      <c r="BV433" s="129">
        <f>VLOOKUP($D433,WGI!$C$2:$O$478,7,FALSE)</f>
        <v>-1.5155254064189101</v>
      </c>
      <c r="BW433" s="129">
        <f>VLOOKUP($D433,WGI!$C$2:$O$478,4,FALSE)</f>
        <v>-2.11756219579997</v>
      </c>
      <c r="BX433" s="129">
        <f>VLOOKUP($D433,WGI!$C$2:$O$478,3,FALSE)</f>
        <v>-1.65864882570179</v>
      </c>
      <c r="BY433" s="129">
        <f>VLOOKUP($D433,WGI!$C$2:$O$478,5,FALSE)</f>
        <v>-1.51023682958469</v>
      </c>
      <c r="BZ433" s="129">
        <f>VLOOKUP($D433,WGI!$C$2:$O$478,2,FALSE)</f>
        <v>-1.3035610183900299</v>
      </c>
    </row>
    <row r="434" spans="1:80" ht="15" customHeight="1" thickBot="1">
      <c r="A434" s="353" t="s">
        <v>184</v>
      </c>
      <c r="B434" s="146">
        <v>2012</v>
      </c>
      <c r="C434" s="132" t="s">
        <v>171</v>
      </c>
      <c r="D434" s="117" t="s">
        <v>3726</v>
      </c>
      <c r="E434" s="146" t="s">
        <v>86</v>
      </c>
      <c r="F434" s="146"/>
      <c r="G434" s="763" t="s">
        <v>24</v>
      </c>
      <c r="H434" s="146"/>
      <c r="I434" s="146"/>
      <c r="J434" s="146"/>
      <c r="K434" s="146" t="s">
        <v>1117</v>
      </c>
      <c r="L434" s="146"/>
      <c r="M434" s="146"/>
      <c r="N434" s="754"/>
      <c r="O434" s="754"/>
      <c r="P434" s="754"/>
      <c r="Q434" s="754">
        <v>257</v>
      </c>
      <c r="R434" s="754"/>
      <c r="S434" s="146" t="s">
        <v>610</v>
      </c>
      <c r="T434" s="119"/>
      <c r="U434" s="146"/>
      <c r="V434" s="146"/>
      <c r="W434" s="146"/>
      <c r="X434" s="146"/>
      <c r="Y434" s="146"/>
      <c r="Z434" s="146"/>
      <c r="AA434" s="146"/>
      <c r="AB434" s="146"/>
      <c r="AC434" s="756"/>
      <c r="AD434" s="756"/>
      <c r="AE434" s="756"/>
      <c r="AF434" s="758"/>
      <c r="AG434" s="146"/>
      <c r="AH434" s="759"/>
      <c r="AI434" s="146"/>
      <c r="AJ434" s="146"/>
      <c r="AK434" s="760"/>
      <c r="AL434" s="146"/>
      <c r="AM434" s="146"/>
      <c r="AN434" s="146"/>
      <c r="AO434" s="146"/>
      <c r="AP434" s="146"/>
      <c r="AQ434" s="146"/>
      <c r="AR434" s="146"/>
      <c r="AS434" s="146"/>
      <c r="AT434" s="146"/>
      <c r="AU434" s="146"/>
      <c r="AV434" s="128"/>
      <c r="AW434" s="117">
        <f>VLOOKUP($D434,'WB Data'!$C$3:$M$578,2,FALSE)</f>
        <v>29306222815.632816</v>
      </c>
      <c r="AX434" s="117">
        <f>VLOOKUP($D434,'WB Data'!$C$3:$M$578,3,FALSE)</f>
        <v>65705093</v>
      </c>
      <c r="AY434" s="847" t="str">
        <f t="shared" si="71"/>
        <v>..</v>
      </c>
      <c r="AZ434" s="117" t="e">
        <f>VLOOKUP($D434,'WB Data'!$C$3:$M$578,4,FALSE)/100</f>
        <v>#VALUE!</v>
      </c>
      <c r="BA434" s="117" t="str">
        <f t="shared" si="72"/>
        <v>..</v>
      </c>
      <c r="BB434" s="129" t="str">
        <f>IFERROR(VLOOKUP($D434,'EITI Revenues'!$C$2:$G$224,5,FALSE),"..")</f>
        <v>..</v>
      </c>
      <c r="BC434" s="846" t="str">
        <f t="shared" si="73"/>
        <v>..</v>
      </c>
      <c r="BD434" s="129" t="e">
        <f>VLOOKUP($D434,'WB Data 2'!$C$2:$K$545,6,FALSE)</f>
        <v>#N/A</v>
      </c>
      <c r="BE434" s="129">
        <f>IFERROR(VLOOKUP($D434,UNCTAD!$C$5:$V$529,4,FALSE),"..")</f>
        <v>8821863000</v>
      </c>
      <c r="BF434" s="846" t="str">
        <f t="shared" si="74"/>
        <v>..</v>
      </c>
      <c r="BG434" s="117">
        <f>VLOOKUP($D434,'WB Data'!$C$3:$M$578,5,FALSE)</f>
        <v>2859380000</v>
      </c>
      <c r="BH434" s="129" t="str">
        <f>IFERROR($BB434/$BG434,"..")</f>
        <v>..</v>
      </c>
      <c r="BI434" s="117" t="str">
        <f>IFERROR(VLOOKUP($D434,'WB Data'!$C$3:$M$578,7,FALSE)/100,"..")</f>
        <v>..</v>
      </c>
      <c r="BJ434" s="117" t="str">
        <f>IFERROR($BI434*$AW434,"..")</f>
        <v>..</v>
      </c>
      <c r="BK434" s="846" t="str">
        <f>IFERROR($BB434/$BJ434,"..")</f>
        <v>..</v>
      </c>
      <c r="BL434" s="117" t="str">
        <f>IFERROR(VLOOKUP($D434,'WB Data'!$C$3:$M$578,7,FALSE)/100,"..")</f>
        <v>..</v>
      </c>
      <c r="BM434" s="117" t="str">
        <f>IFERROR($AW434*$BL434,"..")</f>
        <v>..</v>
      </c>
      <c r="BN434" s="846" t="str">
        <f>IFERROR($BB434/$BM434,"..")</f>
        <v>..</v>
      </c>
      <c r="BO434" s="801" t="str">
        <f t="shared" si="70"/>
        <v>..</v>
      </c>
      <c r="BP434" s="117" t="str">
        <f>VLOOKUP($D434,'WB Data'!$C$3:$M$578,9,FALSE)</f>
        <v>..</v>
      </c>
      <c r="BQ434" s="117">
        <f>VLOOKUP($D434,'WB Data'!$C$3:$M$578,10,FALSE)</f>
        <v>49.62326829268293</v>
      </c>
      <c r="BR434" s="117">
        <f>VLOOKUP($D434,'WB Data'!$C$3:$M$578,11,FALSE)</f>
        <v>88.1</v>
      </c>
      <c r="BS434" s="129" t="str">
        <f>IFERROR(VLOOKUP($D434,'WB Data 2'!$C$2:$K$545,9,FALSE),"..")</f>
        <v>..</v>
      </c>
      <c r="BT434" s="129" t="str">
        <f>_xlfn.IFNA(VLOOKUP($C434,RGI!$A$2:$C$43,2,FALSE),"..")</f>
        <v>..</v>
      </c>
      <c r="BU434" s="129" t="str">
        <f>_xlfn.IFNA(VLOOKUP($C434,RGI!$A$2:$C$43,3,FALSE),"..")</f>
        <v>..</v>
      </c>
      <c r="BV434" s="129">
        <f>VLOOKUP($D434,WGI!$C$2:$O$478,7,FALSE)</f>
        <v>-1.5155254064189101</v>
      </c>
      <c r="BW434" s="129">
        <f>VLOOKUP($D434,WGI!$C$2:$O$478,4,FALSE)</f>
        <v>-2.11756219579997</v>
      </c>
      <c r="BX434" s="129">
        <f>VLOOKUP($D434,WGI!$C$2:$O$478,3,FALSE)</f>
        <v>-1.65864882570179</v>
      </c>
      <c r="BY434" s="129">
        <f>VLOOKUP($D434,WGI!$C$2:$O$478,5,FALSE)</f>
        <v>-1.51023682958469</v>
      </c>
      <c r="BZ434" s="129">
        <f>VLOOKUP($D434,WGI!$C$2:$O$478,2,FALSE)</f>
        <v>-1.3035610183900299</v>
      </c>
    </row>
    <row r="435" spans="1:80" s="210" customFormat="1" ht="15" customHeight="1">
      <c r="A435" s="354" t="s">
        <v>187</v>
      </c>
      <c r="B435" s="355">
        <v>2007</v>
      </c>
      <c r="C435" s="267" t="s">
        <v>188</v>
      </c>
      <c r="D435" s="117" t="s">
        <v>3559</v>
      </c>
      <c r="E435" s="357" t="s">
        <v>86</v>
      </c>
      <c r="F435" s="356"/>
      <c r="G435" s="356" t="s">
        <v>55</v>
      </c>
      <c r="H435" s="117" t="str">
        <f t="shared" ref="H435:H502" si="75">IF($G435="Mining","yes",IF($G435="Oil, Gas, Mining","yes",IF($G435="Gas, Mining","yes",IF($G435="Oil, Mining","yes",IF($G435="Oil, Mining, Other","yes","no")))))</f>
        <v>no</v>
      </c>
      <c r="I435" s="117" t="str">
        <f t="shared" ref="I435:I502" si="76">IF($G435="Gas","yes",IF($G435="Oil, Gas, Mining","yes",IF($G435="Gas, Mining","yes",IF($G435="Oil, Gas","yes",IF($G435="Oil, Gas, Other","yes","no")))))</f>
        <v>yes</v>
      </c>
      <c r="J435" s="117" t="str">
        <f t="shared" ref="J435:J502" si="77">IF($G435="Oil","yes",IF($G435="Oil, Gas, Mining","yes",IF($G435="Oil, Mining","yes",IF($G435="Oil, Gas","yes",IF($G435="Oil, Gas, Other","yes","no")))))</f>
        <v>yes</v>
      </c>
      <c r="K435" s="358" t="s">
        <v>709</v>
      </c>
      <c r="L435" s="117" t="str">
        <f t="shared" si="69"/>
        <v>Total</v>
      </c>
      <c r="M435" s="117" t="str">
        <f t="shared" ref="M435:M502" si="78">L435&amp;" "&amp;G435</f>
        <v>Total Oil, Gas</v>
      </c>
      <c r="N435" s="359"/>
      <c r="O435" s="359"/>
      <c r="P435" s="359"/>
      <c r="Q435" s="359"/>
      <c r="R435" s="359"/>
      <c r="S435" s="356"/>
      <c r="T435" s="360"/>
      <c r="U435" s="356"/>
      <c r="V435" s="356"/>
      <c r="W435" s="361">
        <f>SUM(W436:W437)</f>
        <v>12303546531.135998</v>
      </c>
      <c r="X435" s="356"/>
      <c r="Y435" s="362"/>
      <c r="Z435" s="362"/>
      <c r="AA435" s="359">
        <v>6148771541.7605944</v>
      </c>
      <c r="AB435" s="359">
        <v>4083149750.8419681</v>
      </c>
      <c r="AC435" s="363"/>
      <c r="AD435" s="363"/>
      <c r="AE435" s="363"/>
      <c r="AF435" s="364">
        <f>AA435/W435</f>
        <v>0.49975602775997896</v>
      </c>
      <c r="AG435" s="356"/>
      <c r="AH435" s="365">
        <v>479.27</v>
      </c>
      <c r="AI435" s="356"/>
      <c r="AJ435" s="356"/>
      <c r="AK435" s="356"/>
      <c r="AL435" s="362"/>
      <c r="AM435" s="356"/>
      <c r="AN435" s="356"/>
      <c r="AO435" s="356"/>
      <c r="AP435" s="356"/>
      <c r="AQ435" s="356"/>
      <c r="AR435" s="366">
        <v>41922</v>
      </c>
      <c r="AS435" s="356"/>
      <c r="AT435" s="356"/>
      <c r="AU435" s="356"/>
      <c r="AV435" s="367" t="s">
        <v>1118</v>
      </c>
      <c r="AW435" s="117">
        <f>VLOOKUP($D435,'WB Data'!$C$3:$M$578,2,FALSE)</f>
        <v>10201201021.911829</v>
      </c>
      <c r="AX435" s="117">
        <f>VLOOKUP($D435,'WB Data'!$C$3:$M$578,3,FALSE)</f>
        <v>639618</v>
      </c>
      <c r="AY435" s="847">
        <f t="shared" si="71"/>
        <v>0.60274976726301588</v>
      </c>
      <c r="AZ435" s="117">
        <f>VLOOKUP($D435,'WB Data'!$C$3:$M$578,4,FALSE)/100</f>
        <v>0.47217842028322571</v>
      </c>
      <c r="BA435" s="117">
        <f t="shared" si="72"/>
        <v>4816786983.5179548</v>
      </c>
      <c r="BB435" s="129">
        <f>IFERROR(VLOOKUP($D435,'EITI Revenues'!$C$2:$G$224,5,FALSE),"..")</f>
        <v>6148771541.7605944</v>
      </c>
      <c r="BC435" s="846">
        <f t="shared" si="73"/>
        <v>1.2765296789748881</v>
      </c>
      <c r="BD435" s="129" t="str">
        <f>VLOOKUP($D435,'WB Data 2'!$C$2:$K$545,6,FALSE)</f>
        <v>..</v>
      </c>
      <c r="BE435" s="129" t="str">
        <f>IFERROR(VLOOKUP($D435,UNCTAD!$C$5:$V$529,4,FALSE),"..")</f>
        <v>..</v>
      </c>
      <c r="BF435" s="846" t="str">
        <f t="shared" si="74"/>
        <v>..</v>
      </c>
      <c r="BG435" s="117">
        <f>VLOOKUP($D435,'WB Data'!$C$3:$M$578,5,FALSE)</f>
        <v>31360000</v>
      </c>
      <c r="BH435" s="129">
        <f>IFERROR($BB435/$BG435,"..")</f>
        <v>196.07052110205976</v>
      </c>
      <c r="BI435" s="117" t="str">
        <f>IFERROR(VLOOKUP($D435,'WB Data'!$C$3:$M$578,7,FALSE)/100,"..")</f>
        <v>..</v>
      </c>
      <c r="BJ435" s="117" t="str">
        <f>IFERROR($BI435*$AW435,"..")</f>
        <v>..</v>
      </c>
      <c r="BK435" s="846" t="str">
        <f>IFERROR($BB435/$BJ435,"..")</f>
        <v>..</v>
      </c>
      <c r="BL435" s="117" t="str">
        <f>IFERROR(VLOOKUP($D435,'WB Data'!$C$3:$M$578,7,FALSE)/100,"..")</f>
        <v>..</v>
      </c>
      <c r="BM435" s="117" t="str">
        <f>IFERROR($AW435*$BL435,"..")</f>
        <v>..</v>
      </c>
      <c r="BN435" s="846" t="str">
        <f>IFERROR($BB435/$BM435,"..")</f>
        <v>..</v>
      </c>
      <c r="BO435" s="801" t="str">
        <f t="shared" si="70"/>
        <v>..</v>
      </c>
      <c r="BP435" s="117" t="str">
        <f>VLOOKUP($D435,'WB Data'!$C$3:$M$578,9,FALSE)</f>
        <v>..</v>
      </c>
      <c r="BQ435" s="117">
        <f>VLOOKUP($D435,'WB Data'!$C$3:$M$578,10,FALSE)</f>
        <v>49.845073170731709</v>
      </c>
      <c r="BR435" s="117">
        <f>VLOOKUP($D435,'WB Data'!$C$3:$M$578,11,FALSE)</f>
        <v>82.2</v>
      </c>
      <c r="BS435" s="129" t="str">
        <f>IFERROR(VLOOKUP($D435,'WB Data 2'!$C$2:$K$545,9,FALSE),"..")</f>
        <v>..</v>
      </c>
      <c r="BT435" s="129">
        <f>_xlfn.IFNA(VLOOKUP($C435,RGI!$A$2:$C$43,2,FALSE),"..")</f>
        <v>11.6</v>
      </c>
      <c r="BU435" s="129">
        <f>_xlfn.IFNA(VLOOKUP($C435,RGI!$A$2:$C$43,3,FALSE),"..")</f>
        <v>12.515609743116736</v>
      </c>
      <c r="BV435" s="129">
        <f>VLOOKUP($D435,WGI!$C$2:$O$478,7,FALSE)</f>
        <v>-1.8909852725243199</v>
      </c>
      <c r="BW435" s="129">
        <f>VLOOKUP($D435,WGI!$C$2:$O$478,4,FALSE)</f>
        <v>0.21189458979335599</v>
      </c>
      <c r="BX435" s="129">
        <f>VLOOKUP($D435,WGI!$C$2:$O$478,3,FALSE)</f>
        <v>-1.6744156531326</v>
      </c>
      <c r="BY435" s="129">
        <f>VLOOKUP($D435,WGI!$C$2:$O$478,5,FALSE)</f>
        <v>-1.31762817374695</v>
      </c>
      <c r="BZ435" s="129">
        <f>VLOOKUP($D435,WGI!$C$2:$O$478,2,FALSE)</f>
        <v>-1.54170365109942</v>
      </c>
      <c r="CB435" s="129"/>
    </row>
    <row r="436" spans="1:80" s="120" customFormat="1" ht="15" customHeight="1">
      <c r="A436" s="315" t="s">
        <v>187</v>
      </c>
      <c r="B436" s="368">
        <v>2007</v>
      </c>
      <c r="C436" s="267" t="s">
        <v>188</v>
      </c>
      <c r="D436" s="117" t="s">
        <v>3559</v>
      </c>
      <c r="E436" s="316" t="s">
        <v>86</v>
      </c>
      <c r="F436" s="267"/>
      <c r="G436" s="267" t="s">
        <v>561</v>
      </c>
      <c r="H436" s="117" t="str">
        <f t="shared" si="75"/>
        <v>no</v>
      </c>
      <c r="I436" s="117" t="str">
        <f t="shared" si="76"/>
        <v>yes</v>
      </c>
      <c r="J436" s="117" t="str">
        <f t="shared" si="77"/>
        <v>no</v>
      </c>
      <c r="K436" s="268" t="s">
        <v>561</v>
      </c>
      <c r="L436" s="117" t="str">
        <f t="shared" si="69"/>
        <v>detailed</v>
      </c>
      <c r="M436" s="117" t="str">
        <f t="shared" si="78"/>
        <v>detailed Gas</v>
      </c>
      <c r="N436" s="269">
        <f>160000000000*0.0283168</f>
        <v>4530688000</v>
      </c>
      <c r="O436" s="269"/>
      <c r="P436" s="269"/>
      <c r="Q436" s="269"/>
      <c r="R436" s="269"/>
      <c r="S436" s="267" t="s">
        <v>642</v>
      </c>
      <c r="T436" s="270">
        <v>0.22764700000000004</v>
      </c>
      <c r="U436" s="267" t="s">
        <v>643</v>
      </c>
      <c r="V436" s="267" t="s">
        <v>880</v>
      </c>
      <c r="W436" s="275">
        <f>N436*T436</f>
        <v>1031397531.1360002</v>
      </c>
      <c r="X436" s="267"/>
      <c r="Y436" s="276"/>
      <c r="Z436" s="276"/>
      <c r="AA436" s="269"/>
      <c r="AB436" s="269"/>
      <c r="AC436" s="369"/>
      <c r="AD436" s="369"/>
      <c r="AE436" s="369"/>
      <c r="AF436" s="273"/>
      <c r="AG436" s="267"/>
      <c r="AH436" s="274"/>
      <c r="AI436" s="267"/>
      <c r="AJ436" s="267"/>
      <c r="AK436" s="267"/>
      <c r="AL436" s="276"/>
      <c r="AM436" s="267"/>
      <c r="AN436" s="267"/>
      <c r="AO436" s="267"/>
      <c r="AP436" s="267"/>
      <c r="AQ436" s="267"/>
      <c r="AR436" s="277"/>
      <c r="AS436" s="267"/>
      <c r="AT436" s="267"/>
      <c r="AU436" s="267"/>
      <c r="AV436" s="278"/>
      <c r="AW436" s="117">
        <f>VLOOKUP($D436,'WB Data'!$C$3:$M$578,2,FALSE)</f>
        <v>10201201021.911829</v>
      </c>
      <c r="AX436" s="117">
        <f>VLOOKUP($D436,'WB Data'!$C$3:$M$578,3,FALSE)</f>
        <v>639618</v>
      </c>
      <c r="AY436" s="847">
        <f t="shared" si="71"/>
        <v>0.60274976726301588</v>
      </c>
      <c r="AZ436" s="117">
        <f>VLOOKUP($D436,'WB Data'!$C$3:$M$578,4,FALSE)/100</f>
        <v>0.47217842028322571</v>
      </c>
      <c r="BA436" s="117">
        <f t="shared" si="72"/>
        <v>4816786983.5179548</v>
      </c>
      <c r="BB436" s="129">
        <f>IFERROR(VLOOKUP($D436,'EITI Revenues'!$C$2:$G$224,5,FALSE),"..")</f>
        <v>6148771541.7605944</v>
      </c>
      <c r="BC436" s="846">
        <f t="shared" si="73"/>
        <v>1.2765296789748881</v>
      </c>
      <c r="BD436" s="129" t="str">
        <f>VLOOKUP($D436,'WB Data 2'!$C$2:$K$545,6,FALSE)</f>
        <v>..</v>
      </c>
      <c r="BE436" s="129" t="str">
        <f>IFERROR(VLOOKUP($D436,UNCTAD!$C$5:$V$529,4,FALSE),"..")</f>
        <v>..</v>
      </c>
      <c r="BF436" s="846" t="str">
        <f t="shared" si="74"/>
        <v>..</v>
      </c>
      <c r="BG436" s="117">
        <f>VLOOKUP($D436,'WB Data'!$C$3:$M$578,5,FALSE)</f>
        <v>31360000</v>
      </c>
      <c r="BH436" s="129">
        <f>IFERROR($BB436/$BG436,"..")</f>
        <v>196.07052110205976</v>
      </c>
      <c r="BI436" s="117" t="str">
        <f>IFERROR(VLOOKUP($D436,'WB Data'!$C$3:$M$578,7,FALSE)/100,"..")</f>
        <v>..</v>
      </c>
      <c r="BJ436" s="117" t="str">
        <f>IFERROR($BI436*$AW436,"..")</f>
        <v>..</v>
      </c>
      <c r="BK436" s="846" t="str">
        <f>IFERROR($BB436/$BJ436,"..")</f>
        <v>..</v>
      </c>
      <c r="BL436" s="117" t="str">
        <f>IFERROR(VLOOKUP($D436,'WB Data'!$C$3:$M$578,7,FALSE)/100,"..")</f>
        <v>..</v>
      </c>
      <c r="BM436" s="117" t="str">
        <f>IFERROR($AW436*$BL436,"..")</f>
        <v>..</v>
      </c>
      <c r="BN436" s="846" t="str">
        <f>IFERROR($BB436/$BM436,"..")</f>
        <v>..</v>
      </c>
      <c r="BO436" s="801" t="str">
        <f t="shared" si="70"/>
        <v>..</v>
      </c>
      <c r="BP436" s="117" t="str">
        <f>VLOOKUP($D436,'WB Data'!$C$3:$M$578,9,FALSE)</f>
        <v>..</v>
      </c>
      <c r="BQ436" s="117">
        <f>VLOOKUP($D436,'WB Data'!$C$3:$M$578,10,FALSE)</f>
        <v>49.845073170731709</v>
      </c>
      <c r="BR436" s="117">
        <f>VLOOKUP($D436,'WB Data'!$C$3:$M$578,11,FALSE)</f>
        <v>82.2</v>
      </c>
      <c r="BS436" s="129" t="str">
        <f>IFERROR(VLOOKUP($D436,'WB Data 2'!$C$2:$K$545,9,FALSE),"..")</f>
        <v>..</v>
      </c>
      <c r="BT436" s="129">
        <f>_xlfn.IFNA(VLOOKUP($C436,RGI!$A$2:$C$43,2,FALSE),"..")</f>
        <v>11.6</v>
      </c>
      <c r="BU436" s="129">
        <f>_xlfn.IFNA(VLOOKUP($C436,RGI!$A$2:$C$43,3,FALSE),"..")</f>
        <v>12.515609743116736</v>
      </c>
      <c r="BV436" s="129">
        <f>VLOOKUP($D436,WGI!$C$2:$O$478,7,FALSE)</f>
        <v>-1.8909852725243199</v>
      </c>
      <c r="BW436" s="129">
        <f>VLOOKUP($D436,WGI!$C$2:$O$478,4,FALSE)</f>
        <v>0.21189458979335599</v>
      </c>
      <c r="BX436" s="129">
        <f>VLOOKUP($D436,WGI!$C$2:$O$478,3,FALSE)</f>
        <v>-1.6744156531326</v>
      </c>
      <c r="BY436" s="129">
        <f>VLOOKUP($D436,WGI!$C$2:$O$478,5,FALSE)</f>
        <v>-1.31762817374695</v>
      </c>
      <c r="BZ436" s="129">
        <f>VLOOKUP($D436,WGI!$C$2:$O$478,2,FALSE)</f>
        <v>-1.54170365109942</v>
      </c>
      <c r="CB436" s="129"/>
    </row>
    <row r="437" spans="1:80" s="158" customFormat="1" ht="15" customHeight="1">
      <c r="A437" s="331" t="s">
        <v>187</v>
      </c>
      <c r="B437" s="370">
        <v>2007</v>
      </c>
      <c r="C437" s="253" t="s">
        <v>188</v>
      </c>
      <c r="D437" s="117" t="s">
        <v>3559</v>
      </c>
      <c r="E437" s="332" t="s">
        <v>86</v>
      </c>
      <c r="F437" s="253"/>
      <c r="G437" s="253" t="s">
        <v>103</v>
      </c>
      <c r="H437" s="117" t="str">
        <f t="shared" si="75"/>
        <v>no</v>
      </c>
      <c r="I437" s="117" t="str">
        <f t="shared" si="76"/>
        <v>no</v>
      </c>
      <c r="J437" s="117" t="str">
        <f t="shared" si="77"/>
        <v>yes</v>
      </c>
      <c r="K437" s="254" t="s">
        <v>103</v>
      </c>
      <c r="L437" s="117" t="str">
        <f t="shared" si="69"/>
        <v>detailed</v>
      </c>
      <c r="M437" s="117" t="str">
        <f t="shared" si="78"/>
        <v>detailed Oil</v>
      </c>
      <c r="N437" s="255">
        <v>156950000</v>
      </c>
      <c r="O437" s="255"/>
      <c r="P437" s="255"/>
      <c r="Q437" s="255"/>
      <c r="R437" s="255"/>
      <c r="S437" s="253" t="s">
        <v>646</v>
      </c>
      <c r="T437" s="256">
        <v>71.819999999999993</v>
      </c>
      <c r="U437" s="253" t="s">
        <v>673</v>
      </c>
      <c r="V437" s="253" t="s">
        <v>740</v>
      </c>
      <c r="W437" s="257">
        <f>N437*T437</f>
        <v>11272148999.999998</v>
      </c>
      <c r="X437" s="253"/>
      <c r="Y437" s="262"/>
      <c r="Z437" s="262"/>
      <c r="AA437" s="255"/>
      <c r="AB437" s="255"/>
      <c r="AC437" s="371"/>
      <c r="AD437" s="371"/>
      <c r="AE437" s="371"/>
      <c r="AF437" s="260"/>
      <c r="AG437" s="253"/>
      <c r="AH437" s="261"/>
      <c r="AI437" s="253"/>
      <c r="AJ437" s="253"/>
      <c r="AK437" s="253"/>
      <c r="AL437" s="262"/>
      <c r="AM437" s="253"/>
      <c r="AN437" s="253"/>
      <c r="AO437" s="253"/>
      <c r="AP437" s="253"/>
      <c r="AQ437" s="253"/>
      <c r="AR437" s="263"/>
      <c r="AS437" s="253"/>
      <c r="AT437" s="253"/>
      <c r="AU437" s="253"/>
      <c r="AV437" s="265"/>
      <c r="AW437" s="117">
        <f>VLOOKUP($D437,'WB Data'!$C$3:$M$578,2,FALSE)</f>
        <v>10201201021.911829</v>
      </c>
      <c r="AX437" s="117">
        <f>VLOOKUP($D437,'WB Data'!$C$3:$M$578,3,FALSE)</f>
        <v>639618</v>
      </c>
      <c r="AY437" s="847">
        <f t="shared" si="71"/>
        <v>0.60274976726301588</v>
      </c>
      <c r="AZ437" s="117">
        <f>VLOOKUP($D437,'WB Data'!$C$3:$M$578,4,FALSE)/100</f>
        <v>0.47217842028322571</v>
      </c>
      <c r="BA437" s="117">
        <f t="shared" si="72"/>
        <v>4816786983.5179548</v>
      </c>
      <c r="BB437" s="129">
        <f>IFERROR(VLOOKUP($D437,'EITI Revenues'!$C$2:$G$224,5,FALSE),"..")</f>
        <v>6148771541.7605944</v>
      </c>
      <c r="BC437" s="846">
        <f t="shared" si="73"/>
        <v>1.2765296789748881</v>
      </c>
      <c r="BD437" s="129" t="str">
        <f>VLOOKUP($D437,'WB Data 2'!$C$2:$K$545,6,FALSE)</f>
        <v>..</v>
      </c>
      <c r="BE437" s="129" t="str">
        <f>IFERROR(VLOOKUP($D437,UNCTAD!$C$5:$V$529,4,FALSE),"..")</f>
        <v>..</v>
      </c>
      <c r="BF437" s="846" t="str">
        <f t="shared" si="74"/>
        <v>..</v>
      </c>
      <c r="BG437" s="117">
        <f>VLOOKUP($D437,'WB Data'!$C$3:$M$578,5,FALSE)</f>
        <v>31360000</v>
      </c>
      <c r="BH437" s="129">
        <f>IFERROR($BB437/$BG437,"..")</f>
        <v>196.07052110205976</v>
      </c>
      <c r="BI437" s="117" t="str">
        <f>IFERROR(VLOOKUP($D437,'WB Data'!$C$3:$M$578,7,FALSE)/100,"..")</f>
        <v>..</v>
      </c>
      <c r="BJ437" s="117" t="str">
        <f>IFERROR($BI437*$AW437,"..")</f>
        <v>..</v>
      </c>
      <c r="BK437" s="846" t="str">
        <f>IFERROR($BB437/$BJ437,"..")</f>
        <v>..</v>
      </c>
      <c r="BL437" s="117" t="str">
        <f>IFERROR(VLOOKUP($D437,'WB Data'!$C$3:$M$578,7,FALSE)/100,"..")</f>
        <v>..</v>
      </c>
      <c r="BM437" s="117" t="str">
        <f>IFERROR($AW437*$BL437,"..")</f>
        <v>..</v>
      </c>
      <c r="BN437" s="846" t="str">
        <f>IFERROR($BB437/$BM437,"..")</f>
        <v>..</v>
      </c>
      <c r="BO437" s="801" t="str">
        <f t="shared" si="70"/>
        <v>..</v>
      </c>
      <c r="BP437" s="117" t="str">
        <f>VLOOKUP($D437,'WB Data'!$C$3:$M$578,9,FALSE)</f>
        <v>..</v>
      </c>
      <c r="BQ437" s="117">
        <f>VLOOKUP($D437,'WB Data'!$C$3:$M$578,10,FALSE)</f>
        <v>49.845073170731709</v>
      </c>
      <c r="BR437" s="117">
        <f>VLOOKUP($D437,'WB Data'!$C$3:$M$578,11,FALSE)</f>
        <v>82.2</v>
      </c>
      <c r="BS437" s="129" t="str">
        <f>IFERROR(VLOOKUP($D437,'WB Data 2'!$C$2:$K$545,9,FALSE),"..")</f>
        <v>..</v>
      </c>
      <c r="BT437" s="129">
        <f>_xlfn.IFNA(VLOOKUP($C437,RGI!$A$2:$C$43,2,FALSE),"..")</f>
        <v>11.6</v>
      </c>
      <c r="BU437" s="129">
        <f>_xlfn.IFNA(VLOOKUP($C437,RGI!$A$2:$C$43,3,FALSE),"..")</f>
        <v>12.515609743116736</v>
      </c>
      <c r="BV437" s="129">
        <f>VLOOKUP($D437,WGI!$C$2:$O$478,7,FALSE)</f>
        <v>-1.8909852725243199</v>
      </c>
      <c r="BW437" s="129">
        <f>VLOOKUP($D437,WGI!$C$2:$O$478,4,FALSE)</f>
        <v>0.21189458979335599</v>
      </c>
      <c r="BX437" s="129">
        <f>VLOOKUP($D437,WGI!$C$2:$O$478,3,FALSE)</f>
        <v>-1.6744156531326</v>
      </c>
      <c r="BY437" s="129">
        <f>VLOOKUP($D437,WGI!$C$2:$O$478,5,FALSE)</f>
        <v>-1.31762817374695</v>
      </c>
      <c r="BZ437" s="129">
        <f>VLOOKUP($D437,WGI!$C$2:$O$478,2,FALSE)</f>
        <v>-1.54170365109942</v>
      </c>
      <c r="CB437" s="129"/>
    </row>
    <row r="438" spans="1:80" ht="15" customHeight="1">
      <c r="A438" s="315" t="s">
        <v>189</v>
      </c>
      <c r="B438" s="368">
        <v>2008</v>
      </c>
      <c r="C438" s="267" t="s">
        <v>188</v>
      </c>
      <c r="D438" s="117" t="s">
        <v>3593</v>
      </c>
      <c r="E438" s="316" t="s">
        <v>86</v>
      </c>
      <c r="F438" s="267"/>
      <c r="G438" s="267" t="s">
        <v>55</v>
      </c>
      <c r="H438" s="117" t="str">
        <f t="shared" si="75"/>
        <v>no</v>
      </c>
      <c r="I438" s="117" t="str">
        <f t="shared" si="76"/>
        <v>yes</v>
      </c>
      <c r="J438" s="117" t="str">
        <f t="shared" si="77"/>
        <v>yes</v>
      </c>
      <c r="K438" s="268" t="s">
        <v>709</v>
      </c>
      <c r="L438" s="117" t="str">
        <f t="shared" si="69"/>
        <v>Total</v>
      </c>
      <c r="M438" s="117" t="str">
        <f t="shared" si="78"/>
        <v>Total Oil, Gas</v>
      </c>
      <c r="N438" s="269"/>
      <c r="O438" s="269"/>
      <c r="P438" s="269"/>
      <c r="Q438" s="269"/>
      <c r="R438" s="269"/>
      <c r="S438" s="267"/>
      <c r="T438" s="270"/>
      <c r="U438" s="267"/>
      <c r="V438" s="267"/>
      <c r="W438" s="275">
        <f>SUM(W439:W440)</f>
        <v>17263740463.523201</v>
      </c>
      <c r="X438" s="267"/>
      <c r="Y438" s="276"/>
      <c r="Z438" s="276"/>
      <c r="AA438" s="269">
        <v>9119117112.0564747</v>
      </c>
      <c r="AB438" s="269">
        <v>6011049981.865613</v>
      </c>
      <c r="AC438" s="369"/>
      <c r="AD438" s="369"/>
      <c r="AE438" s="369"/>
      <c r="AF438" s="273">
        <f>AA438/W438</f>
        <v>0.52822371439864868</v>
      </c>
      <c r="AG438" s="267"/>
      <c r="AH438" s="274">
        <v>447.81</v>
      </c>
      <c r="AI438" s="267"/>
      <c r="AJ438" s="267"/>
      <c r="AK438" s="267"/>
      <c r="AL438" s="276"/>
      <c r="AM438" s="267"/>
      <c r="AN438" s="267"/>
      <c r="AO438" s="267"/>
      <c r="AP438" s="267"/>
      <c r="AQ438" s="267"/>
      <c r="AR438" s="277">
        <v>41922</v>
      </c>
      <c r="AS438" s="267"/>
      <c r="AT438" s="267"/>
      <c r="AU438" s="267"/>
      <c r="AV438" s="278" t="s">
        <v>1118</v>
      </c>
      <c r="AW438" s="117">
        <f>VLOOKUP($D438,'WB Data'!$C$3:$M$578,2,FALSE)</f>
        <v>15439740345.257473</v>
      </c>
      <c r="AX438" s="117">
        <f>VLOOKUP($D438,'WB Data'!$C$3:$M$578,3,FALSE)</f>
        <v>658025</v>
      </c>
      <c r="AY438" s="847">
        <f t="shared" si="71"/>
        <v>0.59062632584087049</v>
      </c>
      <c r="AZ438" s="117">
        <f>VLOOKUP($D438,'WB Data'!$C$3:$M$578,4,FALSE)/100</f>
        <v>0.44139259199787112</v>
      </c>
      <c r="BA438" s="117">
        <f t="shared" si="72"/>
        <v>6814987010.7673016</v>
      </c>
      <c r="BB438" s="129">
        <f>IFERROR(VLOOKUP($D438,'EITI Revenues'!$C$2:$G$224,5,FALSE),"..")</f>
        <v>9119117112.0564747</v>
      </c>
      <c r="BC438" s="846">
        <f t="shared" si="73"/>
        <v>1.3380975044631451</v>
      </c>
      <c r="BD438" s="129" t="str">
        <f>VLOOKUP($D438,'WB Data 2'!$C$2:$K$545,6,FALSE)</f>
        <v>..</v>
      </c>
      <c r="BE438" s="129" t="str">
        <f>IFERROR(VLOOKUP($D438,UNCTAD!$C$5:$V$529,4,FALSE),"..")</f>
        <v>..</v>
      </c>
      <c r="BF438" s="846" t="str">
        <f t="shared" si="74"/>
        <v>..</v>
      </c>
      <c r="BG438" s="117">
        <f>VLOOKUP($D438,'WB Data'!$C$3:$M$578,5,FALSE)</f>
        <v>32080000</v>
      </c>
      <c r="BH438" s="129">
        <f>IFERROR($BB438/$BG438,"..")</f>
        <v>284.26175536335643</v>
      </c>
      <c r="BI438" s="117" t="str">
        <f>IFERROR(VLOOKUP($D438,'WB Data'!$C$3:$M$578,7,FALSE)/100,"..")</f>
        <v>..</v>
      </c>
      <c r="BJ438" s="117" t="str">
        <f>IFERROR($BI438*$AW438,"..")</f>
        <v>..</v>
      </c>
      <c r="BK438" s="846" t="str">
        <f>IFERROR($BB438/$BJ438,"..")</f>
        <v>..</v>
      </c>
      <c r="BL438" s="117" t="str">
        <f>IFERROR(VLOOKUP($D438,'WB Data'!$C$3:$M$578,7,FALSE)/100,"..")</f>
        <v>..</v>
      </c>
      <c r="BM438" s="117" t="str">
        <f>IFERROR($AW438*$BL438,"..")</f>
        <v>..</v>
      </c>
      <c r="BN438" s="846" t="str">
        <f>IFERROR($BB438/$BM438,"..")</f>
        <v>..</v>
      </c>
      <c r="BO438" s="801" t="str">
        <f t="shared" si="70"/>
        <v>..</v>
      </c>
      <c r="BP438" s="117" t="str">
        <f>VLOOKUP($D438,'WB Data'!$C$3:$M$578,9,FALSE)</f>
        <v>..</v>
      </c>
      <c r="BQ438" s="117">
        <f>VLOOKUP($D438,'WB Data'!$C$3:$M$578,10,FALSE)</f>
        <v>50.395731707317076</v>
      </c>
      <c r="BR438" s="117">
        <f>VLOOKUP($D438,'WB Data'!$C$3:$M$578,11,FALSE)</f>
        <v>80.099999999999994</v>
      </c>
      <c r="BS438" s="129">
        <f>IFERROR(VLOOKUP($D438,'WB Data 2'!$C$2:$K$545,9,FALSE),"..")</f>
        <v>56.137650000000001</v>
      </c>
      <c r="BT438" s="129">
        <f>_xlfn.IFNA(VLOOKUP($C438,RGI!$A$2:$C$43,2,FALSE),"..")</f>
        <v>11.6</v>
      </c>
      <c r="BU438" s="129">
        <f>_xlfn.IFNA(VLOOKUP($C438,RGI!$A$2:$C$43,3,FALSE),"..")</f>
        <v>12.515609743116736</v>
      </c>
      <c r="BV438" s="129">
        <f>VLOOKUP($D438,WGI!$C$2:$O$478,7,FALSE)</f>
        <v>-1.89792363779603</v>
      </c>
      <c r="BW438" s="129">
        <f>VLOOKUP($D438,WGI!$C$2:$O$478,4,FALSE)</f>
        <v>0.19259837028468199</v>
      </c>
      <c r="BX438" s="129">
        <f>VLOOKUP($D438,WGI!$C$2:$O$478,3,FALSE)</f>
        <v>-1.6691070782163799</v>
      </c>
      <c r="BY438" s="129">
        <f>VLOOKUP($D438,WGI!$C$2:$O$478,5,FALSE)</f>
        <v>-1.3215602214219999</v>
      </c>
      <c r="BZ438" s="129">
        <f>VLOOKUP($D438,WGI!$C$2:$O$478,2,FALSE)</f>
        <v>-1.5083383410405</v>
      </c>
    </row>
    <row r="439" spans="1:80" ht="15" customHeight="1">
      <c r="A439" s="315" t="s">
        <v>189</v>
      </c>
      <c r="B439" s="368">
        <v>2008</v>
      </c>
      <c r="C439" s="267" t="s">
        <v>188</v>
      </c>
      <c r="D439" s="117" t="s">
        <v>3593</v>
      </c>
      <c r="E439" s="316" t="s">
        <v>86</v>
      </c>
      <c r="F439" s="267"/>
      <c r="G439" s="267" t="s">
        <v>561</v>
      </c>
      <c r="H439" s="117" t="str">
        <f t="shared" si="75"/>
        <v>no</v>
      </c>
      <c r="I439" s="117" t="str">
        <f t="shared" si="76"/>
        <v>yes</v>
      </c>
      <c r="J439" s="117" t="str">
        <f t="shared" si="77"/>
        <v>no</v>
      </c>
      <c r="K439" s="268" t="s">
        <v>561</v>
      </c>
      <c r="L439" s="117" t="str">
        <f t="shared" si="69"/>
        <v>detailed</v>
      </c>
      <c r="M439" s="117" t="str">
        <f t="shared" si="78"/>
        <v>detailed Gas</v>
      </c>
      <c r="N439" s="269">
        <f>267000000000*0.0283168</f>
        <v>7560585600</v>
      </c>
      <c r="O439" s="269"/>
      <c r="P439" s="269"/>
      <c r="Q439" s="269"/>
      <c r="R439" s="269"/>
      <c r="S439" s="267" t="s">
        <v>642</v>
      </c>
      <c r="T439" s="270">
        <v>0.32879700000000006</v>
      </c>
      <c r="U439" s="267" t="s">
        <v>643</v>
      </c>
      <c r="V439" s="267" t="s">
        <v>880</v>
      </c>
      <c r="W439" s="275">
        <f>N439*T439</f>
        <v>2485897863.5232005</v>
      </c>
      <c r="X439" s="267"/>
      <c r="Y439" s="276"/>
      <c r="Z439" s="276"/>
      <c r="AA439" s="269"/>
      <c r="AB439" s="269"/>
      <c r="AC439" s="369"/>
      <c r="AD439" s="369"/>
      <c r="AE439" s="369"/>
      <c r="AF439" s="273"/>
      <c r="AG439" s="267"/>
      <c r="AH439" s="274"/>
      <c r="AI439" s="267"/>
      <c r="AJ439" s="267"/>
      <c r="AK439" s="267"/>
      <c r="AL439" s="276"/>
      <c r="AM439" s="267"/>
      <c r="AN439" s="267"/>
      <c r="AO439" s="267"/>
      <c r="AP439" s="267"/>
      <c r="AQ439" s="267"/>
      <c r="AR439" s="277"/>
      <c r="AS439" s="267"/>
      <c r="AT439" s="267"/>
      <c r="AU439" s="267"/>
      <c r="AV439" s="278"/>
      <c r="AW439" s="117">
        <f>VLOOKUP($D439,'WB Data'!$C$3:$M$578,2,FALSE)</f>
        <v>15439740345.257473</v>
      </c>
      <c r="AX439" s="117">
        <f>VLOOKUP($D439,'WB Data'!$C$3:$M$578,3,FALSE)</f>
        <v>658025</v>
      </c>
      <c r="AY439" s="847">
        <f t="shared" si="71"/>
        <v>0.59062632584087049</v>
      </c>
      <c r="AZ439" s="117">
        <f>VLOOKUP($D439,'WB Data'!$C$3:$M$578,4,FALSE)/100</f>
        <v>0.44139259199787112</v>
      </c>
      <c r="BA439" s="117">
        <f t="shared" si="72"/>
        <v>6814987010.7673016</v>
      </c>
      <c r="BB439" s="129">
        <f>IFERROR(VLOOKUP($D439,'EITI Revenues'!$C$2:$G$224,5,FALSE),"..")</f>
        <v>9119117112.0564747</v>
      </c>
      <c r="BC439" s="846">
        <f t="shared" si="73"/>
        <v>1.3380975044631451</v>
      </c>
      <c r="BD439" s="129" t="str">
        <f>VLOOKUP($D439,'WB Data 2'!$C$2:$K$545,6,FALSE)</f>
        <v>..</v>
      </c>
      <c r="BE439" s="129" t="str">
        <f>IFERROR(VLOOKUP($D439,UNCTAD!$C$5:$V$529,4,FALSE),"..")</f>
        <v>..</v>
      </c>
      <c r="BF439" s="846" t="str">
        <f t="shared" si="74"/>
        <v>..</v>
      </c>
      <c r="BG439" s="117">
        <f>VLOOKUP($D439,'WB Data'!$C$3:$M$578,5,FALSE)</f>
        <v>32080000</v>
      </c>
      <c r="BH439" s="129">
        <f>IFERROR($BB439/$BG439,"..")</f>
        <v>284.26175536335643</v>
      </c>
      <c r="BI439" s="117" t="str">
        <f>IFERROR(VLOOKUP($D439,'WB Data'!$C$3:$M$578,7,FALSE)/100,"..")</f>
        <v>..</v>
      </c>
      <c r="BJ439" s="117" t="str">
        <f>IFERROR($BI439*$AW439,"..")</f>
        <v>..</v>
      </c>
      <c r="BK439" s="846" t="str">
        <f>IFERROR($BB439/$BJ439,"..")</f>
        <v>..</v>
      </c>
      <c r="BL439" s="117" t="str">
        <f>IFERROR(VLOOKUP($D439,'WB Data'!$C$3:$M$578,7,FALSE)/100,"..")</f>
        <v>..</v>
      </c>
      <c r="BM439" s="117" t="str">
        <f>IFERROR($AW439*$BL439,"..")</f>
        <v>..</v>
      </c>
      <c r="BN439" s="846" t="str">
        <f>IFERROR($BB439/$BM439,"..")</f>
        <v>..</v>
      </c>
      <c r="BO439" s="801" t="str">
        <f t="shared" si="70"/>
        <v>..</v>
      </c>
      <c r="BP439" s="117" t="str">
        <f>VLOOKUP($D439,'WB Data'!$C$3:$M$578,9,FALSE)</f>
        <v>..</v>
      </c>
      <c r="BQ439" s="117">
        <f>VLOOKUP($D439,'WB Data'!$C$3:$M$578,10,FALSE)</f>
        <v>50.395731707317076</v>
      </c>
      <c r="BR439" s="117">
        <f>VLOOKUP($D439,'WB Data'!$C$3:$M$578,11,FALSE)</f>
        <v>80.099999999999994</v>
      </c>
      <c r="BS439" s="129">
        <f>IFERROR(VLOOKUP($D439,'WB Data 2'!$C$2:$K$545,9,FALSE),"..")</f>
        <v>56.137650000000001</v>
      </c>
      <c r="BT439" s="129">
        <f>_xlfn.IFNA(VLOOKUP($C439,RGI!$A$2:$C$43,2,FALSE),"..")</f>
        <v>11.6</v>
      </c>
      <c r="BU439" s="129">
        <f>_xlfn.IFNA(VLOOKUP($C439,RGI!$A$2:$C$43,3,FALSE),"..")</f>
        <v>12.515609743116736</v>
      </c>
      <c r="BV439" s="129">
        <f>VLOOKUP($D439,WGI!$C$2:$O$478,7,FALSE)</f>
        <v>-1.89792363779603</v>
      </c>
      <c r="BW439" s="129">
        <f>VLOOKUP($D439,WGI!$C$2:$O$478,4,FALSE)</f>
        <v>0.19259837028468199</v>
      </c>
      <c r="BX439" s="129">
        <f>VLOOKUP($D439,WGI!$C$2:$O$478,3,FALSE)</f>
        <v>-1.6691070782163799</v>
      </c>
      <c r="BY439" s="129">
        <f>VLOOKUP($D439,WGI!$C$2:$O$478,5,FALSE)</f>
        <v>-1.3215602214219999</v>
      </c>
      <c r="BZ439" s="129">
        <f>VLOOKUP($D439,WGI!$C$2:$O$478,2,FALSE)</f>
        <v>-1.5083383410405</v>
      </c>
    </row>
    <row r="440" spans="1:80" ht="15" customHeight="1" thickBot="1">
      <c r="A440" s="315" t="s">
        <v>189</v>
      </c>
      <c r="B440" s="368">
        <v>2008</v>
      </c>
      <c r="C440" s="267" t="s">
        <v>188</v>
      </c>
      <c r="D440" s="117" t="s">
        <v>3593</v>
      </c>
      <c r="E440" s="316" t="s">
        <v>86</v>
      </c>
      <c r="F440" s="267"/>
      <c r="G440" s="267" t="s">
        <v>103</v>
      </c>
      <c r="H440" s="117" t="str">
        <f t="shared" si="75"/>
        <v>no</v>
      </c>
      <c r="I440" s="117" t="str">
        <f t="shared" si="76"/>
        <v>no</v>
      </c>
      <c r="J440" s="117" t="str">
        <f t="shared" si="77"/>
        <v>yes</v>
      </c>
      <c r="K440" s="268" t="s">
        <v>103</v>
      </c>
      <c r="L440" s="117" t="str">
        <f t="shared" si="69"/>
        <v>detailed</v>
      </c>
      <c r="M440" s="117" t="str">
        <f t="shared" si="78"/>
        <v>detailed Oil</v>
      </c>
      <c r="N440" s="269">
        <v>150380000</v>
      </c>
      <c r="O440" s="269"/>
      <c r="P440" s="269"/>
      <c r="Q440" s="269"/>
      <c r="R440" s="269"/>
      <c r="S440" s="267" t="s">
        <v>646</v>
      </c>
      <c r="T440" s="270">
        <v>98.27</v>
      </c>
      <c r="U440" s="267" t="s">
        <v>673</v>
      </c>
      <c r="V440" s="267" t="s">
        <v>740</v>
      </c>
      <c r="W440" s="275">
        <f>N440*T440</f>
        <v>14777842600</v>
      </c>
      <c r="X440" s="267"/>
      <c r="Y440" s="276"/>
      <c r="Z440" s="276"/>
      <c r="AA440" s="269"/>
      <c r="AB440" s="269"/>
      <c r="AC440" s="369"/>
      <c r="AD440" s="369"/>
      <c r="AE440" s="369"/>
      <c r="AF440" s="273"/>
      <c r="AG440" s="267"/>
      <c r="AH440" s="274"/>
      <c r="AI440" s="267"/>
      <c r="AJ440" s="267"/>
      <c r="AK440" s="267"/>
      <c r="AL440" s="276"/>
      <c r="AM440" s="267"/>
      <c r="AN440" s="267"/>
      <c r="AO440" s="267"/>
      <c r="AP440" s="267"/>
      <c r="AQ440" s="267"/>
      <c r="AR440" s="277"/>
      <c r="AS440" s="267"/>
      <c r="AT440" s="267"/>
      <c r="AU440" s="267"/>
      <c r="AV440" s="278"/>
      <c r="AW440" s="117">
        <f>VLOOKUP($D440,'WB Data'!$C$3:$M$578,2,FALSE)</f>
        <v>15439740345.257473</v>
      </c>
      <c r="AX440" s="117">
        <f>VLOOKUP($D440,'WB Data'!$C$3:$M$578,3,FALSE)</f>
        <v>658025</v>
      </c>
      <c r="AY440" s="847">
        <f t="shared" si="71"/>
        <v>0.59062632584087049</v>
      </c>
      <c r="AZ440" s="117">
        <f>VLOOKUP($D440,'WB Data'!$C$3:$M$578,4,FALSE)/100</f>
        <v>0.44139259199787112</v>
      </c>
      <c r="BA440" s="117">
        <f t="shared" si="72"/>
        <v>6814987010.7673016</v>
      </c>
      <c r="BB440" s="129">
        <f>IFERROR(VLOOKUP($D440,'EITI Revenues'!$C$2:$G$224,5,FALSE),"..")</f>
        <v>9119117112.0564747</v>
      </c>
      <c r="BC440" s="846">
        <f t="shared" si="73"/>
        <v>1.3380975044631451</v>
      </c>
      <c r="BD440" s="129" t="str">
        <f>VLOOKUP($D440,'WB Data 2'!$C$2:$K$545,6,FALSE)</f>
        <v>..</v>
      </c>
      <c r="BE440" s="129" t="str">
        <f>IFERROR(VLOOKUP($D440,UNCTAD!$C$5:$V$529,4,FALSE),"..")</f>
        <v>..</v>
      </c>
      <c r="BF440" s="846" t="str">
        <f t="shared" si="74"/>
        <v>..</v>
      </c>
      <c r="BG440" s="117">
        <f>VLOOKUP($D440,'WB Data'!$C$3:$M$578,5,FALSE)</f>
        <v>32080000</v>
      </c>
      <c r="BH440" s="129">
        <f>IFERROR($BB440/$BG440,"..")</f>
        <v>284.26175536335643</v>
      </c>
      <c r="BI440" s="117" t="str">
        <f>IFERROR(VLOOKUP($D440,'WB Data'!$C$3:$M$578,7,FALSE)/100,"..")</f>
        <v>..</v>
      </c>
      <c r="BJ440" s="117" t="str">
        <f>IFERROR($BI440*$AW440,"..")</f>
        <v>..</v>
      </c>
      <c r="BK440" s="846" t="str">
        <f>IFERROR($BB440/$BJ440,"..")</f>
        <v>..</v>
      </c>
      <c r="BL440" s="117" t="str">
        <f>IFERROR(VLOOKUP($D440,'WB Data'!$C$3:$M$578,7,FALSE)/100,"..")</f>
        <v>..</v>
      </c>
      <c r="BM440" s="117" t="str">
        <f>IFERROR($AW440*$BL440,"..")</f>
        <v>..</v>
      </c>
      <c r="BN440" s="846" t="str">
        <f>IFERROR($BB440/$BM440,"..")</f>
        <v>..</v>
      </c>
      <c r="BO440" s="801" t="str">
        <f t="shared" si="70"/>
        <v>..</v>
      </c>
      <c r="BP440" s="117" t="str">
        <f>VLOOKUP($D440,'WB Data'!$C$3:$M$578,9,FALSE)</f>
        <v>..</v>
      </c>
      <c r="BQ440" s="117">
        <f>VLOOKUP($D440,'WB Data'!$C$3:$M$578,10,FALSE)</f>
        <v>50.395731707317076</v>
      </c>
      <c r="BR440" s="117">
        <f>VLOOKUP($D440,'WB Data'!$C$3:$M$578,11,FALSE)</f>
        <v>80.099999999999994</v>
      </c>
      <c r="BS440" s="129">
        <f>IFERROR(VLOOKUP($D440,'WB Data 2'!$C$2:$K$545,9,FALSE),"..")</f>
        <v>56.137650000000001</v>
      </c>
      <c r="BT440" s="129">
        <f>_xlfn.IFNA(VLOOKUP($C440,RGI!$A$2:$C$43,2,FALSE),"..")</f>
        <v>11.6</v>
      </c>
      <c r="BU440" s="129">
        <f>_xlfn.IFNA(VLOOKUP($C440,RGI!$A$2:$C$43,3,FALSE),"..")</f>
        <v>12.515609743116736</v>
      </c>
      <c r="BV440" s="129">
        <f>VLOOKUP($D440,WGI!$C$2:$O$478,7,FALSE)</f>
        <v>-1.89792363779603</v>
      </c>
      <c r="BW440" s="129">
        <f>VLOOKUP($D440,WGI!$C$2:$O$478,4,FALSE)</f>
        <v>0.19259837028468199</v>
      </c>
      <c r="BX440" s="129">
        <f>VLOOKUP($D440,WGI!$C$2:$O$478,3,FALSE)</f>
        <v>-1.6691070782163799</v>
      </c>
      <c r="BY440" s="129">
        <f>VLOOKUP($D440,WGI!$C$2:$O$478,5,FALSE)</f>
        <v>-1.3215602214219999</v>
      </c>
      <c r="BZ440" s="129">
        <f>VLOOKUP($D440,WGI!$C$2:$O$478,2,FALSE)</f>
        <v>-1.5083383410405</v>
      </c>
    </row>
    <row r="441" spans="1:80" s="385" customFormat="1" ht="15" customHeight="1">
      <c r="A441" s="372" t="s">
        <v>190</v>
      </c>
      <c r="B441" s="373">
        <v>2004</v>
      </c>
      <c r="C441" s="374" t="s">
        <v>191</v>
      </c>
      <c r="D441" s="117" t="s">
        <v>3458</v>
      </c>
      <c r="E441" s="375" t="s">
        <v>86</v>
      </c>
      <c r="F441" s="374"/>
      <c r="G441" s="374" t="s">
        <v>103</v>
      </c>
      <c r="H441" s="117" t="str">
        <f t="shared" si="75"/>
        <v>no</v>
      </c>
      <c r="I441" s="117" t="str">
        <f t="shared" si="76"/>
        <v>no</v>
      </c>
      <c r="J441" s="117" t="str">
        <f t="shared" si="77"/>
        <v>yes</v>
      </c>
      <c r="K441" s="374" t="s">
        <v>103</v>
      </c>
      <c r="L441" s="117" t="str">
        <f t="shared" si="69"/>
        <v>detailed</v>
      </c>
      <c r="M441" s="117" t="str">
        <f t="shared" si="78"/>
        <v>detailed Oil</v>
      </c>
      <c r="N441" s="376">
        <v>99645000</v>
      </c>
      <c r="O441" s="376"/>
      <c r="P441" s="376"/>
      <c r="Q441" s="376"/>
      <c r="R441" s="376"/>
      <c r="S441" s="374" t="s">
        <v>646</v>
      </c>
      <c r="T441" s="377">
        <v>37.880000000000003</v>
      </c>
      <c r="U441" s="374" t="s">
        <v>673</v>
      </c>
      <c r="V441" s="374" t="s">
        <v>740</v>
      </c>
      <c r="W441" s="378">
        <f>N441*T441</f>
        <v>3774552600.0000005</v>
      </c>
      <c r="X441" s="374" t="s">
        <v>1119</v>
      </c>
      <c r="Y441" s="374" t="s">
        <v>602</v>
      </c>
      <c r="Z441" s="374"/>
      <c r="AA441" s="379">
        <v>775990000</v>
      </c>
      <c r="AB441" s="379">
        <v>808829000</v>
      </c>
      <c r="AC441" s="380"/>
      <c r="AD441" s="380"/>
      <c r="AE441" s="380"/>
      <c r="AF441" s="381">
        <f>AA441/W441</f>
        <v>0.20558463008304612</v>
      </c>
      <c r="AG441" s="374"/>
      <c r="AH441" s="382">
        <v>526</v>
      </c>
      <c r="AI441" s="374"/>
      <c r="AJ441" s="374"/>
      <c r="AK441" s="378"/>
      <c r="AL441" s="374"/>
      <c r="AM441" s="374"/>
      <c r="AN441" s="374"/>
      <c r="AO441" s="374"/>
      <c r="AP441" s="374"/>
      <c r="AQ441" s="374"/>
      <c r="AR441" s="383">
        <v>41922</v>
      </c>
      <c r="AS441" s="374"/>
      <c r="AT441" s="374"/>
      <c r="AU441" s="374"/>
      <c r="AV441" s="384" t="s">
        <v>1118</v>
      </c>
      <c r="AW441" s="117">
        <f>VLOOKUP($D441,'WB Data'!$C$3:$M$578,2,FALSE)</f>
        <v>7178135606.4142838</v>
      </c>
      <c r="AX441" s="117">
        <f>VLOOKUP($D441,'WB Data'!$C$3:$M$578,3,FALSE)</f>
        <v>1347125</v>
      </c>
      <c r="AY441" s="847">
        <f t="shared" si="71"/>
        <v>0.10810467265435693</v>
      </c>
      <c r="AZ441" s="117" t="e">
        <f>VLOOKUP($D441,'WB Data'!$C$3:$M$578,4,FALSE)/100</f>
        <v>#VALUE!</v>
      </c>
      <c r="BA441" s="117" t="str">
        <f t="shared" si="72"/>
        <v>..</v>
      </c>
      <c r="BB441" s="129">
        <f>IFERROR(VLOOKUP($D441,'EITI Revenues'!$C$2:$G$224,5,FALSE),"..")</f>
        <v>775990000</v>
      </c>
      <c r="BC441" s="846" t="str">
        <f t="shared" si="73"/>
        <v>..</v>
      </c>
      <c r="BD441" s="129">
        <f>VLOOKUP($D441,'WB Data 2'!$C$2:$K$545,6,FALSE)</f>
        <v>3045186880.8448811</v>
      </c>
      <c r="BE441" s="129" t="str">
        <f>IFERROR(VLOOKUP($D441,UNCTAD!$C$5:$V$529,4,FALSE),"..")</f>
        <v>..</v>
      </c>
      <c r="BF441" s="846" t="str">
        <f t="shared" si="74"/>
        <v>..</v>
      </c>
      <c r="BG441" s="117">
        <f>VLOOKUP($D441,'WB Data'!$C$3:$M$578,5,FALSE)</f>
        <v>39870000</v>
      </c>
      <c r="BH441" s="129">
        <f>IFERROR($BB441/$BG441,"..")</f>
        <v>19.463004765487835</v>
      </c>
      <c r="BI441" s="117" t="str">
        <f>IFERROR(VLOOKUP($D441,'WB Data'!$C$3:$M$578,7,FALSE)/100,"..")</f>
        <v>..</v>
      </c>
      <c r="BJ441" s="117" t="str">
        <f>IFERROR($BI441*$AW441,"..")</f>
        <v>..</v>
      </c>
      <c r="BK441" s="846" t="str">
        <f>IFERROR($BB441/$BJ441,"..")</f>
        <v>..</v>
      </c>
      <c r="BL441" s="117" t="str">
        <f>IFERROR(VLOOKUP($D441,'WB Data'!$C$3:$M$578,7,FALSE)/100,"..")</f>
        <v>..</v>
      </c>
      <c r="BM441" s="117" t="str">
        <f>IFERROR($AW441*$BL441,"..")</f>
        <v>..</v>
      </c>
      <c r="BN441" s="846" t="str">
        <f>IFERROR($BB441/$BM441,"..")</f>
        <v>..</v>
      </c>
      <c r="BO441" s="801">
        <f t="shared" si="70"/>
        <v>37</v>
      </c>
      <c r="BP441" s="117" t="str">
        <f>VLOOKUP($D441,'WB Data'!$C$3:$M$578,9,FALSE)</f>
        <v>..</v>
      </c>
      <c r="BQ441" s="117">
        <f>VLOOKUP($D441,'WB Data'!$C$3:$M$578,10,FALSE)</f>
        <v>59.683853658536592</v>
      </c>
      <c r="BR441" s="117">
        <f>VLOOKUP($D441,'WB Data'!$C$3:$M$578,11,FALSE)</f>
        <v>51.5</v>
      </c>
      <c r="BS441" s="129" t="str">
        <f>IFERROR(VLOOKUP($D441,'WB Data 2'!$C$2:$K$545,9,FALSE),"..")</f>
        <v>..</v>
      </c>
      <c r="BT441" s="129">
        <f>_xlfn.IFNA(VLOOKUP($C441,RGI!$A$2:$C$43,2,FALSE),"..")</f>
        <v>41.8</v>
      </c>
      <c r="BU441" s="129">
        <f>_xlfn.IFNA(VLOOKUP($C441,RGI!$A$2:$C$43,3,FALSE),"..")</f>
        <v>45.964036106201753</v>
      </c>
      <c r="BV441" s="129">
        <f>VLOOKUP($D441,WGI!$C$2:$O$478,7,FALSE)</f>
        <v>-0.80573911191145897</v>
      </c>
      <c r="BW441" s="129">
        <f>VLOOKUP($D441,WGI!$C$2:$O$478,4,FALSE)</f>
        <v>0.38289902132814002</v>
      </c>
      <c r="BX441" s="129">
        <f>VLOOKUP($D441,WGI!$C$2:$O$478,3,FALSE)</f>
        <v>-0.80266474252814801</v>
      </c>
      <c r="BY441" s="129">
        <f>VLOOKUP($D441,WGI!$C$2:$O$478,5,FALSE)</f>
        <v>-0.46464591119438098</v>
      </c>
      <c r="BZ441" s="129">
        <f>VLOOKUP($D441,WGI!$C$2:$O$478,2,FALSE)</f>
        <v>-0.76164067104645905</v>
      </c>
      <c r="CB441" s="129"/>
    </row>
    <row r="442" spans="1:80" ht="15" customHeight="1">
      <c r="A442" s="315" t="s">
        <v>192</v>
      </c>
      <c r="B442" s="368">
        <v>2005</v>
      </c>
      <c r="C442" s="267" t="s">
        <v>191</v>
      </c>
      <c r="D442" s="117" t="s">
        <v>3492</v>
      </c>
      <c r="E442" s="316" t="s">
        <v>86</v>
      </c>
      <c r="F442" s="267"/>
      <c r="G442" s="267" t="s">
        <v>41</v>
      </c>
      <c r="H442" s="117" t="str">
        <f t="shared" si="75"/>
        <v>yes</v>
      </c>
      <c r="I442" s="117" t="str">
        <f t="shared" si="76"/>
        <v>no</v>
      </c>
      <c r="J442" s="117" t="str">
        <f t="shared" si="77"/>
        <v>yes</v>
      </c>
      <c r="K442" s="267" t="s">
        <v>709</v>
      </c>
      <c r="L442" s="117" t="str">
        <f t="shared" si="69"/>
        <v>Total</v>
      </c>
      <c r="M442" s="117" t="str">
        <f t="shared" si="78"/>
        <v>Total Oil, Mining</v>
      </c>
      <c r="N442" s="269"/>
      <c r="O442" s="269"/>
      <c r="P442" s="269"/>
      <c r="Q442" s="269"/>
      <c r="R442" s="269"/>
      <c r="S442" s="267"/>
      <c r="T442" s="270"/>
      <c r="U442" s="267"/>
      <c r="V442" s="267"/>
      <c r="W442" s="275">
        <f>W443+W444</f>
        <v>5385591253.1135435</v>
      </c>
      <c r="X442" s="267" t="s">
        <v>1119</v>
      </c>
      <c r="Y442" s="267" t="s">
        <v>602</v>
      </c>
      <c r="Z442" s="267"/>
      <c r="AA442" s="271">
        <v>1716414357.4144487</v>
      </c>
      <c r="AB442" s="271">
        <v>1748730093.1558936</v>
      </c>
      <c r="AC442" s="272"/>
      <c r="AD442" s="272"/>
      <c r="AE442" s="272"/>
      <c r="AF442" s="317">
        <f>AA442/W442</f>
        <v>0.31870490661951872</v>
      </c>
      <c r="AG442" s="267"/>
      <c r="AH442" s="274" t="s">
        <v>865</v>
      </c>
      <c r="AI442" s="267"/>
      <c r="AJ442" s="267"/>
      <c r="AK442" s="275"/>
      <c r="AL442" s="267"/>
      <c r="AM442" s="267"/>
      <c r="AN442" s="267"/>
      <c r="AO442" s="267"/>
      <c r="AP442" s="267"/>
      <c r="AQ442" s="267"/>
      <c r="AR442" s="277">
        <v>41922</v>
      </c>
      <c r="AS442" s="267"/>
      <c r="AT442" s="267"/>
      <c r="AU442" s="267"/>
      <c r="AV442" s="278" t="s">
        <v>1120</v>
      </c>
      <c r="AW442" s="117">
        <f>VLOOKUP($D442,'WB Data'!$C$3:$M$578,2,FALSE)</f>
        <v>8665736617.550602</v>
      </c>
      <c r="AX442" s="117">
        <f>VLOOKUP($D442,'WB Data'!$C$3:$M$578,3,FALSE)</f>
        <v>1379465</v>
      </c>
      <c r="AY442" s="847">
        <f t="shared" si="71"/>
        <v>0.19806906592778475</v>
      </c>
      <c r="AZ442" s="117" t="e">
        <f>VLOOKUP($D442,'WB Data'!$C$3:$M$578,4,FALSE)/100</f>
        <v>#VALUE!</v>
      </c>
      <c r="BA442" s="117" t="str">
        <f t="shared" si="72"/>
        <v>..</v>
      </c>
      <c r="BB442" s="129">
        <f>IFERROR(VLOOKUP($D442,'EITI Revenues'!$C$2:$G$224,5,FALSE),"..")</f>
        <v>1716414357.4144487</v>
      </c>
      <c r="BC442" s="846" t="str">
        <f t="shared" si="73"/>
        <v>..</v>
      </c>
      <c r="BD442" s="129">
        <f>VLOOKUP($D442,'WB Data 2'!$C$2:$K$545,6,FALSE)</f>
        <v>4438780459.8368158</v>
      </c>
      <c r="BE442" s="129" t="str">
        <f>IFERROR(VLOOKUP($D442,UNCTAD!$C$5:$V$529,4,FALSE),"..")</f>
        <v>..</v>
      </c>
      <c r="BF442" s="846" t="str">
        <f t="shared" si="74"/>
        <v>..</v>
      </c>
      <c r="BG442" s="117">
        <f>VLOOKUP($D442,'WB Data'!$C$3:$M$578,5,FALSE)</f>
        <v>60430000</v>
      </c>
      <c r="BH442" s="129">
        <f>IFERROR($BB442/$BG442,"..")</f>
        <v>28.403348625094303</v>
      </c>
      <c r="BI442" s="117" t="str">
        <f>IFERROR(VLOOKUP($D442,'WB Data'!$C$3:$M$578,7,FALSE)/100,"..")</f>
        <v>..</v>
      </c>
      <c r="BJ442" s="117" t="str">
        <f>IFERROR($BI442*$AW442,"..")</f>
        <v>..</v>
      </c>
      <c r="BK442" s="846" t="str">
        <f>IFERROR($BB442/$BJ442,"..")</f>
        <v>..</v>
      </c>
      <c r="BL442" s="117" t="str">
        <f>IFERROR(VLOOKUP($D442,'WB Data'!$C$3:$M$578,7,FALSE)/100,"..")</f>
        <v>..</v>
      </c>
      <c r="BM442" s="117" t="str">
        <f>IFERROR($AW442*$BL442,"..")</f>
        <v>..</v>
      </c>
      <c r="BN442" s="846" t="str">
        <f>IFERROR($BB442/$BM442,"..")</f>
        <v>..</v>
      </c>
      <c r="BO442" s="801">
        <f t="shared" si="70"/>
        <v>37</v>
      </c>
      <c r="BP442" s="117">
        <f>VLOOKUP($D442,'WB Data'!$C$3:$M$578,9,FALSE)</f>
        <v>32.700000000000003</v>
      </c>
      <c r="BQ442" s="117">
        <f>VLOOKUP($D442,'WB Data'!$C$3:$M$578,10,FALSE)</f>
        <v>60.009146341463421</v>
      </c>
      <c r="BR442" s="117">
        <f>VLOOKUP($D442,'WB Data'!$C$3:$M$578,11,FALSE)</f>
        <v>50.3</v>
      </c>
      <c r="BS442" s="129" t="str">
        <f>IFERROR(VLOOKUP($D442,'WB Data 2'!$C$2:$K$545,9,FALSE),"..")</f>
        <v>..</v>
      </c>
      <c r="BT442" s="129">
        <f>_xlfn.IFNA(VLOOKUP($C442,RGI!$A$2:$C$43,2,FALSE),"..")</f>
        <v>41.8</v>
      </c>
      <c r="BU442" s="129">
        <f>_xlfn.IFNA(VLOOKUP($C442,RGI!$A$2:$C$43,3,FALSE),"..")</f>
        <v>45.964036106201753</v>
      </c>
      <c r="BV442" s="129">
        <f>VLOOKUP($D442,WGI!$C$2:$O$478,7,FALSE)</f>
        <v>-0.87559595195433904</v>
      </c>
      <c r="BW442" s="129">
        <f>VLOOKUP($D442,WGI!$C$2:$O$478,4,FALSE)</f>
        <v>0.31397842634678003</v>
      </c>
      <c r="BX442" s="129">
        <f>VLOOKUP($D442,WGI!$C$2:$O$478,3,FALSE)</f>
        <v>-0.83924121249319505</v>
      </c>
      <c r="BY442" s="129">
        <f>VLOOKUP($D442,WGI!$C$2:$O$478,5,FALSE)</f>
        <v>-0.231969430308965</v>
      </c>
      <c r="BZ442" s="129">
        <f>VLOOKUP($D442,WGI!$C$2:$O$478,2,FALSE)</f>
        <v>-0.54507656955893702</v>
      </c>
    </row>
    <row r="443" spans="1:80" ht="15" customHeight="1">
      <c r="A443" s="315" t="s">
        <v>192</v>
      </c>
      <c r="B443" s="368">
        <v>2005</v>
      </c>
      <c r="C443" s="267" t="s">
        <v>191</v>
      </c>
      <c r="D443" s="117" t="s">
        <v>3492</v>
      </c>
      <c r="E443" s="316" t="s">
        <v>86</v>
      </c>
      <c r="F443" s="267"/>
      <c r="G443" s="267" t="s">
        <v>103</v>
      </c>
      <c r="H443" s="117" t="str">
        <f t="shared" si="75"/>
        <v>no</v>
      </c>
      <c r="I443" s="117" t="str">
        <f t="shared" si="76"/>
        <v>no</v>
      </c>
      <c r="J443" s="117" t="str">
        <f t="shared" si="77"/>
        <v>yes</v>
      </c>
      <c r="K443" s="268" t="s">
        <v>103</v>
      </c>
      <c r="L443" s="117" t="str">
        <f t="shared" si="69"/>
        <v>detailed</v>
      </c>
      <c r="M443" s="117" t="str">
        <f t="shared" si="78"/>
        <v>detailed Oil</v>
      </c>
      <c r="N443" s="269">
        <v>98550000</v>
      </c>
      <c r="O443" s="269"/>
      <c r="P443" s="269"/>
      <c r="Q443" s="269"/>
      <c r="R443" s="269"/>
      <c r="S443" s="267" t="s">
        <v>646</v>
      </c>
      <c r="T443" s="270">
        <v>54.041089499999998</v>
      </c>
      <c r="U443" s="267" t="s">
        <v>673</v>
      </c>
      <c r="V443" s="267" t="s">
        <v>740</v>
      </c>
      <c r="W443" s="275">
        <f>N443*T443</f>
        <v>5325749370.2249994</v>
      </c>
      <c r="X443" s="267"/>
      <c r="Y443" s="267"/>
      <c r="Z443" s="267"/>
      <c r="AA443" s="271">
        <v>1705652000</v>
      </c>
      <c r="AB443" s="271">
        <v>1737968000</v>
      </c>
      <c r="AC443" s="272"/>
      <c r="AD443" s="272"/>
      <c r="AE443" s="272"/>
      <c r="AF443" s="317">
        <f>AA443/W443</f>
        <v>0.32026516484908124</v>
      </c>
      <c r="AG443" s="267"/>
      <c r="AH443" s="274"/>
      <c r="AI443" s="267"/>
      <c r="AJ443" s="267"/>
      <c r="AK443" s="275"/>
      <c r="AL443" s="267"/>
      <c r="AM443" s="267"/>
      <c r="AN443" s="267"/>
      <c r="AO443" s="267"/>
      <c r="AP443" s="267"/>
      <c r="AQ443" s="267"/>
      <c r="AR443" s="277"/>
      <c r="AS443" s="267"/>
      <c r="AT443" s="267"/>
      <c r="AU443" s="267"/>
      <c r="AV443" s="278"/>
      <c r="AW443" s="117">
        <f>VLOOKUP($D443,'WB Data'!$C$3:$M$578,2,FALSE)</f>
        <v>8665736617.550602</v>
      </c>
      <c r="AX443" s="117">
        <f>VLOOKUP($D443,'WB Data'!$C$3:$M$578,3,FALSE)</f>
        <v>1379465</v>
      </c>
      <c r="AY443" s="847">
        <f t="shared" si="71"/>
        <v>0.19806906592778475</v>
      </c>
      <c r="AZ443" s="117" t="e">
        <f>VLOOKUP($D443,'WB Data'!$C$3:$M$578,4,FALSE)/100</f>
        <v>#VALUE!</v>
      </c>
      <c r="BA443" s="117" t="str">
        <f t="shared" si="72"/>
        <v>..</v>
      </c>
      <c r="BB443" s="129">
        <f>IFERROR(VLOOKUP($D443,'EITI Revenues'!$C$2:$G$224,5,FALSE),"..")</f>
        <v>1716414357.4144487</v>
      </c>
      <c r="BC443" s="846" t="str">
        <f t="shared" si="73"/>
        <v>..</v>
      </c>
      <c r="BD443" s="129">
        <f>VLOOKUP($D443,'WB Data 2'!$C$2:$K$545,6,FALSE)</f>
        <v>4438780459.8368158</v>
      </c>
      <c r="BE443" s="129" t="str">
        <f>IFERROR(VLOOKUP($D443,UNCTAD!$C$5:$V$529,4,FALSE),"..")</f>
        <v>..</v>
      </c>
      <c r="BF443" s="846" t="str">
        <f t="shared" si="74"/>
        <v>..</v>
      </c>
      <c r="BG443" s="117">
        <f>VLOOKUP($D443,'WB Data'!$C$3:$M$578,5,FALSE)</f>
        <v>60430000</v>
      </c>
      <c r="BH443" s="129">
        <f>IFERROR($BB443/$BG443,"..")</f>
        <v>28.403348625094303</v>
      </c>
      <c r="BI443" s="117" t="str">
        <f>IFERROR(VLOOKUP($D443,'WB Data'!$C$3:$M$578,7,FALSE)/100,"..")</f>
        <v>..</v>
      </c>
      <c r="BJ443" s="117" t="str">
        <f>IFERROR($BI443*$AW443,"..")</f>
        <v>..</v>
      </c>
      <c r="BK443" s="846" t="str">
        <f>IFERROR($BB443/$BJ443,"..")</f>
        <v>..</v>
      </c>
      <c r="BL443" s="117" t="str">
        <f>IFERROR(VLOOKUP($D443,'WB Data'!$C$3:$M$578,7,FALSE)/100,"..")</f>
        <v>..</v>
      </c>
      <c r="BM443" s="117" t="str">
        <f>IFERROR($AW443*$BL443,"..")</f>
        <v>..</v>
      </c>
      <c r="BN443" s="846" t="str">
        <f>IFERROR($BB443/$BM443,"..")</f>
        <v>..</v>
      </c>
      <c r="BO443" s="801">
        <f t="shared" si="70"/>
        <v>37</v>
      </c>
      <c r="BP443" s="117">
        <f>VLOOKUP($D443,'WB Data'!$C$3:$M$578,9,FALSE)</f>
        <v>32.700000000000003</v>
      </c>
      <c r="BQ443" s="117">
        <f>VLOOKUP($D443,'WB Data'!$C$3:$M$578,10,FALSE)</f>
        <v>60.009146341463421</v>
      </c>
      <c r="BR443" s="117">
        <f>VLOOKUP($D443,'WB Data'!$C$3:$M$578,11,FALSE)</f>
        <v>50.3</v>
      </c>
      <c r="BS443" s="129" t="str">
        <f>IFERROR(VLOOKUP($D443,'WB Data 2'!$C$2:$K$545,9,FALSE),"..")</f>
        <v>..</v>
      </c>
      <c r="BT443" s="129">
        <f>_xlfn.IFNA(VLOOKUP($C443,RGI!$A$2:$C$43,2,FALSE),"..")</f>
        <v>41.8</v>
      </c>
      <c r="BU443" s="129">
        <f>_xlfn.IFNA(VLOOKUP($C443,RGI!$A$2:$C$43,3,FALSE),"..")</f>
        <v>45.964036106201753</v>
      </c>
      <c r="BV443" s="129">
        <f>VLOOKUP($D443,WGI!$C$2:$O$478,7,FALSE)</f>
        <v>-0.87559595195433904</v>
      </c>
      <c r="BW443" s="129">
        <f>VLOOKUP($D443,WGI!$C$2:$O$478,4,FALSE)</f>
        <v>0.31397842634678003</v>
      </c>
      <c r="BX443" s="129">
        <f>VLOOKUP($D443,WGI!$C$2:$O$478,3,FALSE)</f>
        <v>-0.83924121249319505</v>
      </c>
      <c r="BY443" s="129">
        <f>VLOOKUP($D443,WGI!$C$2:$O$478,5,FALSE)</f>
        <v>-0.231969430308965</v>
      </c>
      <c r="BZ443" s="129">
        <f>VLOOKUP($D443,WGI!$C$2:$O$478,2,FALSE)</f>
        <v>-0.54507656955893702</v>
      </c>
    </row>
    <row r="444" spans="1:80" ht="15" customHeight="1">
      <c r="A444" s="315" t="s">
        <v>192</v>
      </c>
      <c r="B444" s="368">
        <v>2005</v>
      </c>
      <c r="C444" s="267" t="s">
        <v>191</v>
      </c>
      <c r="D444" s="117" t="s">
        <v>3492</v>
      </c>
      <c r="E444" s="316" t="s">
        <v>86</v>
      </c>
      <c r="F444" s="267"/>
      <c r="G444" s="267" t="s">
        <v>24</v>
      </c>
      <c r="H444" s="117" t="str">
        <f t="shared" si="75"/>
        <v>yes</v>
      </c>
      <c r="I444" s="117" t="str">
        <f t="shared" si="76"/>
        <v>no</v>
      </c>
      <c r="J444" s="117" t="str">
        <f t="shared" si="77"/>
        <v>no</v>
      </c>
      <c r="K444" s="268" t="s">
        <v>600</v>
      </c>
      <c r="L444" s="117" t="str">
        <f t="shared" si="69"/>
        <v>Total</v>
      </c>
      <c r="M444" s="117" t="str">
        <f t="shared" si="78"/>
        <v>Total Mining</v>
      </c>
      <c r="N444" s="269"/>
      <c r="O444" s="269"/>
      <c r="P444" s="269"/>
      <c r="Q444" s="269"/>
      <c r="R444" s="269"/>
      <c r="S444" s="267"/>
      <c r="T444" s="270"/>
      <c r="U444" s="267"/>
      <c r="V444" s="267"/>
      <c r="W444" s="275">
        <f>SUM(W445:W450)</f>
        <v>59841882.888544366</v>
      </c>
      <c r="X444" s="267"/>
      <c r="Y444" s="267"/>
      <c r="Z444" s="267"/>
      <c r="AA444" s="271">
        <v>10762357.414448669</v>
      </c>
      <c r="AB444" s="271">
        <v>10762093.155893536</v>
      </c>
      <c r="AC444" s="272"/>
      <c r="AD444" s="272"/>
      <c r="AE444" s="272"/>
      <c r="AF444" s="317">
        <f>AA444/W444</f>
        <v>0.17984657057822834</v>
      </c>
      <c r="AG444" s="267"/>
      <c r="AH444" s="274"/>
      <c r="AI444" s="267"/>
      <c r="AJ444" s="267"/>
      <c r="AK444" s="275"/>
      <c r="AL444" s="267"/>
      <c r="AM444" s="267"/>
      <c r="AN444" s="267"/>
      <c r="AO444" s="267"/>
      <c r="AP444" s="267"/>
      <c r="AQ444" s="267"/>
      <c r="AR444" s="277"/>
      <c r="AS444" s="267"/>
      <c r="AT444" s="267"/>
      <c r="AU444" s="267"/>
      <c r="AV444" s="278"/>
      <c r="AW444" s="117">
        <f>VLOOKUP($D444,'WB Data'!$C$3:$M$578,2,FALSE)</f>
        <v>8665736617.550602</v>
      </c>
      <c r="AX444" s="117">
        <f>VLOOKUP($D444,'WB Data'!$C$3:$M$578,3,FALSE)</f>
        <v>1379465</v>
      </c>
      <c r="AY444" s="847">
        <f t="shared" si="71"/>
        <v>0.19806906592778475</v>
      </c>
      <c r="AZ444" s="117" t="e">
        <f>VLOOKUP($D444,'WB Data'!$C$3:$M$578,4,FALSE)/100</f>
        <v>#VALUE!</v>
      </c>
      <c r="BA444" s="117" t="str">
        <f t="shared" si="72"/>
        <v>..</v>
      </c>
      <c r="BB444" s="129">
        <f>IFERROR(VLOOKUP($D444,'EITI Revenues'!$C$2:$G$224,5,FALSE),"..")</f>
        <v>1716414357.4144487</v>
      </c>
      <c r="BC444" s="846" t="str">
        <f t="shared" si="73"/>
        <v>..</v>
      </c>
      <c r="BD444" s="129">
        <f>VLOOKUP($D444,'WB Data 2'!$C$2:$K$545,6,FALSE)</f>
        <v>4438780459.8368158</v>
      </c>
      <c r="BE444" s="129" t="str">
        <f>IFERROR(VLOOKUP($D444,UNCTAD!$C$5:$V$529,4,FALSE),"..")</f>
        <v>..</v>
      </c>
      <c r="BF444" s="846" t="str">
        <f t="shared" si="74"/>
        <v>..</v>
      </c>
      <c r="BG444" s="117">
        <f>VLOOKUP($D444,'WB Data'!$C$3:$M$578,5,FALSE)</f>
        <v>60430000</v>
      </c>
      <c r="BH444" s="129">
        <f>IFERROR($BB444/$BG444,"..")</f>
        <v>28.403348625094303</v>
      </c>
      <c r="BI444" s="117" t="str">
        <f>IFERROR(VLOOKUP($D444,'WB Data'!$C$3:$M$578,7,FALSE)/100,"..")</f>
        <v>..</v>
      </c>
      <c r="BJ444" s="117" t="str">
        <f>IFERROR($BI444*$AW444,"..")</f>
        <v>..</v>
      </c>
      <c r="BK444" s="846" t="str">
        <f>IFERROR($BB444/$BJ444,"..")</f>
        <v>..</v>
      </c>
      <c r="BL444" s="117" t="str">
        <f>IFERROR(VLOOKUP($D444,'WB Data'!$C$3:$M$578,7,FALSE)/100,"..")</f>
        <v>..</v>
      </c>
      <c r="BM444" s="117" t="str">
        <f>IFERROR($AW444*$BL444,"..")</f>
        <v>..</v>
      </c>
      <c r="BN444" s="846" t="str">
        <f>IFERROR($BB444/$BM444,"..")</f>
        <v>..</v>
      </c>
      <c r="BO444" s="801">
        <f t="shared" si="70"/>
        <v>37</v>
      </c>
      <c r="BP444" s="117">
        <f>VLOOKUP($D444,'WB Data'!$C$3:$M$578,9,FALSE)</f>
        <v>32.700000000000003</v>
      </c>
      <c r="BQ444" s="117">
        <f>VLOOKUP($D444,'WB Data'!$C$3:$M$578,10,FALSE)</f>
        <v>60.009146341463421</v>
      </c>
      <c r="BR444" s="117">
        <f>VLOOKUP($D444,'WB Data'!$C$3:$M$578,11,FALSE)</f>
        <v>50.3</v>
      </c>
      <c r="BS444" s="129" t="str">
        <f>IFERROR(VLOOKUP($D444,'WB Data 2'!$C$2:$K$545,9,FALSE),"..")</f>
        <v>..</v>
      </c>
      <c r="BT444" s="129">
        <f>_xlfn.IFNA(VLOOKUP($C444,RGI!$A$2:$C$43,2,FALSE),"..")</f>
        <v>41.8</v>
      </c>
      <c r="BU444" s="129">
        <f>_xlfn.IFNA(VLOOKUP($C444,RGI!$A$2:$C$43,3,FALSE),"..")</f>
        <v>45.964036106201753</v>
      </c>
      <c r="BV444" s="129">
        <f>VLOOKUP($D444,WGI!$C$2:$O$478,7,FALSE)</f>
        <v>-0.87559595195433904</v>
      </c>
      <c r="BW444" s="129">
        <f>VLOOKUP($D444,WGI!$C$2:$O$478,4,FALSE)</f>
        <v>0.31397842634678003</v>
      </c>
      <c r="BX444" s="129">
        <f>VLOOKUP($D444,WGI!$C$2:$O$478,3,FALSE)</f>
        <v>-0.83924121249319505</v>
      </c>
      <c r="BY444" s="129">
        <f>VLOOKUP($D444,WGI!$C$2:$O$478,5,FALSE)</f>
        <v>-0.231969430308965</v>
      </c>
      <c r="BZ444" s="129">
        <f>VLOOKUP($D444,WGI!$C$2:$O$478,2,FALSE)</f>
        <v>-0.54507656955893702</v>
      </c>
    </row>
    <row r="445" spans="1:80" ht="15" customHeight="1">
      <c r="A445" s="315" t="s">
        <v>192</v>
      </c>
      <c r="B445" s="368">
        <v>2005</v>
      </c>
      <c r="C445" s="267" t="s">
        <v>191</v>
      </c>
      <c r="D445" s="117" t="s">
        <v>3492</v>
      </c>
      <c r="E445" s="316" t="s">
        <v>86</v>
      </c>
      <c r="F445" s="267"/>
      <c r="G445" s="267" t="s">
        <v>24</v>
      </c>
      <c r="H445" s="117" t="str">
        <f t="shared" si="75"/>
        <v>yes</v>
      </c>
      <c r="I445" s="117" t="str">
        <f t="shared" si="76"/>
        <v>no</v>
      </c>
      <c r="J445" s="117" t="str">
        <f t="shared" si="77"/>
        <v>no</v>
      </c>
      <c r="K445" s="268" t="s">
        <v>609</v>
      </c>
      <c r="L445" s="117" t="str">
        <f t="shared" si="69"/>
        <v>detailed</v>
      </c>
      <c r="M445" s="117" t="str">
        <f t="shared" si="78"/>
        <v>detailed Mining</v>
      </c>
      <c r="N445" s="269">
        <v>610000</v>
      </c>
      <c r="O445" s="269"/>
      <c r="P445" s="269"/>
      <c r="Q445" s="269"/>
      <c r="R445" s="269"/>
      <c r="S445" s="267" t="s">
        <v>610</v>
      </c>
      <c r="T445" s="270">
        <v>91</v>
      </c>
      <c r="U445" s="267" t="s">
        <v>611</v>
      </c>
      <c r="V445" s="267" t="s">
        <v>1121</v>
      </c>
      <c r="W445" s="275">
        <f>N445*T445</f>
        <v>55510000</v>
      </c>
      <c r="X445" s="267"/>
      <c r="Y445" s="267"/>
      <c r="Z445" s="267"/>
      <c r="AA445" s="271"/>
      <c r="AB445" s="271"/>
      <c r="AC445" s="272"/>
      <c r="AD445" s="272"/>
      <c r="AE445" s="272"/>
      <c r="AF445" s="317"/>
      <c r="AG445" s="267"/>
      <c r="AH445" s="274"/>
      <c r="AI445" s="267"/>
      <c r="AJ445" s="267"/>
      <c r="AK445" s="275"/>
      <c r="AL445" s="267"/>
      <c r="AM445" s="267"/>
      <c r="AN445" s="267"/>
      <c r="AO445" s="267"/>
      <c r="AP445" s="267"/>
      <c r="AQ445" s="267"/>
      <c r="AR445" s="277"/>
      <c r="AS445" s="267"/>
      <c r="AT445" s="267"/>
      <c r="AU445" s="267"/>
      <c r="AV445" s="278"/>
      <c r="AW445" s="117">
        <f>VLOOKUP($D445,'WB Data'!$C$3:$M$578,2,FALSE)</f>
        <v>8665736617.550602</v>
      </c>
      <c r="AX445" s="117">
        <f>VLOOKUP($D445,'WB Data'!$C$3:$M$578,3,FALSE)</f>
        <v>1379465</v>
      </c>
      <c r="AY445" s="847">
        <f t="shared" si="71"/>
        <v>0.19806906592778475</v>
      </c>
      <c r="AZ445" s="117" t="e">
        <f>VLOOKUP($D445,'WB Data'!$C$3:$M$578,4,FALSE)/100</f>
        <v>#VALUE!</v>
      </c>
      <c r="BA445" s="117" t="str">
        <f t="shared" si="72"/>
        <v>..</v>
      </c>
      <c r="BB445" s="129">
        <f>IFERROR(VLOOKUP($D445,'EITI Revenues'!$C$2:$G$224,5,FALSE),"..")</f>
        <v>1716414357.4144487</v>
      </c>
      <c r="BC445" s="846" t="str">
        <f t="shared" si="73"/>
        <v>..</v>
      </c>
      <c r="BD445" s="129">
        <f>VLOOKUP($D445,'WB Data 2'!$C$2:$K$545,6,FALSE)</f>
        <v>4438780459.8368158</v>
      </c>
      <c r="BE445" s="129" t="str">
        <f>IFERROR(VLOOKUP($D445,UNCTAD!$C$5:$V$529,4,FALSE),"..")</f>
        <v>..</v>
      </c>
      <c r="BF445" s="846" t="str">
        <f t="shared" si="74"/>
        <v>..</v>
      </c>
      <c r="BG445" s="117">
        <f>VLOOKUP($D445,'WB Data'!$C$3:$M$578,5,FALSE)</f>
        <v>60430000</v>
      </c>
      <c r="BH445" s="129">
        <f>IFERROR($BB445/$BG445,"..")</f>
        <v>28.403348625094303</v>
      </c>
      <c r="BI445" s="117" t="str">
        <f>IFERROR(VLOOKUP($D445,'WB Data'!$C$3:$M$578,7,FALSE)/100,"..")</f>
        <v>..</v>
      </c>
      <c r="BJ445" s="117" t="str">
        <f>IFERROR($BI445*$AW445,"..")</f>
        <v>..</v>
      </c>
      <c r="BK445" s="846" t="str">
        <f>IFERROR($BB445/$BJ445,"..")</f>
        <v>..</v>
      </c>
      <c r="BL445" s="117" t="str">
        <f>IFERROR(VLOOKUP($D445,'WB Data'!$C$3:$M$578,7,FALSE)/100,"..")</f>
        <v>..</v>
      </c>
      <c r="BM445" s="117" t="str">
        <f>IFERROR($AW445*$BL445,"..")</f>
        <v>..</v>
      </c>
      <c r="BN445" s="846" t="str">
        <f>IFERROR($BB445/$BM445,"..")</f>
        <v>..</v>
      </c>
      <c r="BO445" s="801">
        <f t="shared" si="70"/>
        <v>37</v>
      </c>
      <c r="BP445" s="117">
        <f>VLOOKUP($D445,'WB Data'!$C$3:$M$578,9,FALSE)</f>
        <v>32.700000000000003</v>
      </c>
      <c r="BQ445" s="117">
        <f>VLOOKUP($D445,'WB Data'!$C$3:$M$578,10,FALSE)</f>
        <v>60.009146341463421</v>
      </c>
      <c r="BR445" s="117">
        <f>VLOOKUP($D445,'WB Data'!$C$3:$M$578,11,FALSE)</f>
        <v>50.3</v>
      </c>
      <c r="BS445" s="129" t="str">
        <f>IFERROR(VLOOKUP($D445,'WB Data 2'!$C$2:$K$545,9,FALSE),"..")</f>
        <v>..</v>
      </c>
      <c r="BT445" s="129">
        <f>_xlfn.IFNA(VLOOKUP($C445,RGI!$A$2:$C$43,2,FALSE),"..")</f>
        <v>41.8</v>
      </c>
      <c r="BU445" s="129">
        <f>_xlfn.IFNA(VLOOKUP($C445,RGI!$A$2:$C$43,3,FALSE),"..")</f>
        <v>45.964036106201753</v>
      </c>
      <c r="BV445" s="129">
        <f>VLOOKUP($D445,WGI!$C$2:$O$478,7,FALSE)</f>
        <v>-0.87559595195433904</v>
      </c>
      <c r="BW445" s="129">
        <f>VLOOKUP($D445,WGI!$C$2:$O$478,4,FALSE)</f>
        <v>0.31397842634678003</v>
      </c>
      <c r="BX445" s="129">
        <f>VLOOKUP($D445,WGI!$C$2:$O$478,3,FALSE)</f>
        <v>-0.83924121249319505</v>
      </c>
      <c r="BY445" s="129">
        <f>VLOOKUP($D445,WGI!$C$2:$O$478,5,FALSE)</f>
        <v>-0.231969430308965</v>
      </c>
      <c r="BZ445" s="129">
        <f>VLOOKUP($D445,WGI!$C$2:$O$478,2,FALSE)</f>
        <v>-0.54507656955893702</v>
      </c>
    </row>
    <row r="446" spans="1:80" ht="15" customHeight="1">
      <c r="A446" s="315" t="s">
        <v>192</v>
      </c>
      <c r="B446" s="368">
        <v>2005</v>
      </c>
      <c r="C446" s="267" t="s">
        <v>191</v>
      </c>
      <c r="D446" s="117" t="s">
        <v>3492</v>
      </c>
      <c r="E446" s="316" t="s">
        <v>86</v>
      </c>
      <c r="F446" s="267"/>
      <c r="G446" s="267" t="s">
        <v>24</v>
      </c>
      <c r="H446" s="117" t="str">
        <f t="shared" si="75"/>
        <v>yes</v>
      </c>
      <c r="I446" s="117" t="str">
        <f t="shared" si="76"/>
        <v>no</v>
      </c>
      <c r="J446" s="117" t="str">
        <f t="shared" si="77"/>
        <v>no</v>
      </c>
      <c r="K446" s="268" t="s">
        <v>980</v>
      </c>
      <c r="L446" s="117" t="str">
        <f t="shared" si="69"/>
        <v>detailed</v>
      </c>
      <c r="M446" s="117" t="str">
        <f t="shared" si="78"/>
        <v>detailed Mining</v>
      </c>
      <c r="N446" s="269">
        <v>500</v>
      </c>
      <c r="O446" s="269"/>
      <c r="P446" s="269"/>
      <c r="Q446" s="269"/>
      <c r="R446" s="269"/>
      <c r="S446" s="267" t="s">
        <v>981</v>
      </c>
      <c r="T446" s="270">
        <v>65.680000000000007</v>
      </c>
      <c r="U446" s="267" t="s">
        <v>982</v>
      </c>
      <c r="V446" s="267" t="s">
        <v>1122</v>
      </c>
      <c r="W446" s="275">
        <f>N446*T446</f>
        <v>32840</v>
      </c>
      <c r="X446" s="267"/>
      <c r="Y446" s="267"/>
      <c r="Z446" s="267"/>
      <c r="AA446" s="271"/>
      <c r="AB446" s="271"/>
      <c r="AC446" s="272"/>
      <c r="AD446" s="272"/>
      <c r="AE446" s="272"/>
      <c r="AF446" s="317"/>
      <c r="AG446" s="267"/>
      <c r="AH446" s="274"/>
      <c r="AI446" s="267"/>
      <c r="AJ446" s="267"/>
      <c r="AK446" s="275"/>
      <c r="AL446" s="267"/>
      <c r="AM446" s="267"/>
      <c r="AN446" s="267"/>
      <c r="AO446" s="267"/>
      <c r="AP446" s="267"/>
      <c r="AQ446" s="267"/>
      <c r="AR446" s="277"/>
      <c r="AS446" s="267"/>
      <c r="AT446" s="267"/>
      <c r="AU446" s="267"/>
      <c r="AV446" s="278"/>
      <c r="AW446" s="117">
        <f>VLOOKUP($D446,'WB Data'!$C$3:$M$578,2,FALSE)</f>
        <v>8665736617.550602</v>
      </c>
      <c r="AX446" s="117">
        <f>VLOOKUP($D446,'WB Data'!$C$3:$M$578,3,FALSE)</f>
        <v>1379465</v>
      </c>
      <c r="AY446" s="847">
        <f t="shared" si="71"/>
        <v>0.19806906592778475</v>
      </c>
      <c r="AZ446" s="117" t="e">
        <f>VLOOKUP($D446,'WB Data'!$C$3:$M$578,4,FALSE)/100</f>
        <v>#VALUE!</v>
      </c>
      <c r="BA446" s="117" t="str">
        <f t="shared" si="72"/>
        <v>..</v>
      </c>
      <c r="BB446" s="129">
        <f>IFERROR(VLOOKUP($D446,'EITI Revenues'!$C$2:$G$224,5,FALSE),"..")</f>
        <v>1716414357.4144487</v>
      </c>
      <c r="BC446" s="846" t="str">
        <f t="shared" si="73"/>
        <v>..</v>
      </c>
      <c r="BD446" s="129">
        <f>VLOOKUP($D446,'WB Data 2'!$C$2:$K$545,6,FALSE)</f>
        <v>4438780459.8368158</v>
      </c>
      <c r="BE446" s="129" t="str">
        <f>IFERROR(VLOOKUP($D446,UNCTAD!$C$5:$V$529,4,FALSE),"..")</f>
        <v>..</v>
      </c>
      <c r="BF446" s="846" t="str">
        <f t="shared" si="74"/>
        <v>..</v>
      </c>
      <c r="BG446" s="117">
        <f>VLOOKUP($D446,'WB Data'!$C$3:$M$578,5,FALSE)</f>
        <v>60430000</v>
      </c>
      <c r="BH446" s="129">
        <f>IFERROR($BB446/$BG446,"..")</f>
        <v>28.403348625094303</v>
      </c>
      <c r="BI446" s="117" t="str">
        <f>IFERROR(VLOOKUP($D446,'WB Data'!$C$3:$M$578,7,FALSE)/100,"..")</f>
        <v>..</v>
      </c>
      <c r="BJ446" s="117" t="str">
        <f>IFERROR($BI446*$AW446,"..")</f>
        <v>..</v>
      </c>
      <c r="BK446" s="846" t="str">
        <f>IFERROR($BB446/$BJ446,"..")</f>
        <v>..</v>
      </c>
      <c r="BL446" s="117" t="str">
        <f>IFERROR(VLOOKUP($D446,'WB Data'!$C$3:$M$578,7,FALSE)/100,"..")</f>
        <v>..</v>
      </c>
      <c r="BM446" s="117" t="str">
        <f>IFERROR($AW446*$BL446,"..")</f>
        <v>..</v>
      </c>
      <c r="BN446" s="846" t="str">
        <f>IFERROR($BB446/$BM446,"..")</f>
        <v>..</v>
      </c>
      <c r="BO446" s="801">
        <f t="shared" si="70"/>
        <v>37</v>
      </c>
      <c r="BP446" s="117">
        <f>VLOOKUP($D446,'WB Data'!$C$3:$M$578,9,FALSE)</f>
        <v>32.700000000000003</v>
      </c>
      <c r="BQ446" s="117">
        <f>VLOOKUP($D446,'WB Data'!$C$3:$M$578,10,FALSE)</f>
        <v>60.009146341463421</v>
      </c>
      <c r="BR446" s="117">
        <f>VLOOKUP($D446,'WB Data'!$C$3:$M$578,11,FALSE)</f>
        <v>50.3</v>
      </c>
      <c r="BS446" s="129" t="str">
        <f>IFERROR(VLOOKUP($D446,'WB Data 2'!$C$2:$K$545,9,FALSE),"..")</f>
        <v>..</v>
      </c>
      <c r="BT446" s="129">
        <f>_xlfn.IFNA(VLOOKUP($C446,RGI!$A$2:$C$43,2,FALSE),"..")</f>
        <v>41.8</v>
      </c>
      <c r="BU446" s="129">
        <f>_xlfn.IFNA(VLOOKUP($C446,RGI!$A$2:$C$43,3,FALSE),"..")</f>
        <v>45.964036106201753</v>
      </c>
      <c r="BV446" s="129">
        <f>VLOOKUP($D446,WGI!$C$2:$O$478,7,FALSE)</f>
        <v>-0.87559595195433904</v>
      </c>
      <c r="BW446" s="129">
        <f>VLOOKUP($D446,WGI!$C$2:$O$478,4,FALSE)</f>
        <v>0.31397842634678003</v>
      </c>
      <c r="BX446" s="129">
        <f>VLOOKUP($D446,WGI!$C$2:$O$478,3,FALSE)</f>
        <v>-0.83924121249319505</v>
      </c>
      <c r="BY446" s="129">
        <f>VLOOKUP($D446,WGI!$C$2:$O$478,5,FALSE)</f>
        <v>-0.231969430308965</v>
      </c>
      <c r="BZ446" s="129">
        <f>VLOOKUP($D446,WGI!$C$2:$O$478,2,FALSE)</f>
        <v>-0.54507656955893702</v>
      </c>
    </row>
    <row r="447" spans="1:80" ht="15" customHeight="1">
      <c r="A447" s="315" t="s">
        <v>192</v>
      </c>
      <c r="B447" s="368">
        <v>2005</v>
      </c>
      <c r="C447" s="267" t="s">
        <v>191</v>
      </c>
      <c r="D447" s="117" t="s">
        <v>3492</v>
      </c>
      <c r="E447" s="316" t="s">
        <v>86</v>
      </c>
      <c r="F447" s="267"/>
      <c r="G447" s="267" t="s">
        <v>24</v>
      </c>
      <c r="H447" s="117" t="str">
        <f t="shared" si="75"/>
        <v>yes</v>
      </c>
      <c r="I447" s="117" t="str">
        <f t="shared" si="76"/>
        <v>no</v>
      </c>
      <c r="J447" s="117" t="str">
        <f t="shared" si="77"/>
        <v>no</v>
      </c>
      <c r="K447" s="268" t="s">
        <v>784</v>
      </c>
      <c r="L447" s="117" t="str">
        <f t="shared" si="69"/>
        <v>detailed</v>
      </c>
      <c r="M447" s="117" t="str">
        <f t="shared" si="78"/>
        <v>detailed Mining</v>
      </c>
      <c r="N447" s="269">
        <f>300*32.150743126506</f>
        <v>9645.2229379517994</v>
      </c>
      <c r="O447" s="269"/>
      <c r="P447" s="269"/>
      <c r="Q447" s="269"/>
      <c r="R447" s="269"/>
      <c r="S447" s="267" t="s">
        <v>785</v>
      </c>
      <c r="T447" s="270">
        <v>444.84258333333003</v>
      </c>
      <c r="U447" s="267" t="s">
        <v>786</v>
      </c>
      <c r="V447" s="267" t="s">
        <v>1123</v>
      </c>
      <c r="W447" s="275">
        <f>N447*T447</f>
        <v>4290605.8885443695</v>
      </c>
      <c r="X447" s="267"/>
      <c r="Y447" s="267"/>
      <c r="Z447" s="267"/>
      <c r="AA447" s="271"/>
      <c r="AB447" s="271"/>
      <c r="AC447" s="272"/>
      <c r="AD447" s="272"/>
      <c r="AE447" s="272"/>
      <c r="AF447" s="317"/>
      <c r="AG447" s="267"/>
      <c r="AH447" s="274"/>
      <c r="AI447" s="267"/>
      <c r="AJ447" s="267"/>
      <c r="AK447" s="275"/>
      <c r="AL447" s="267"/>
      <c r="AM447" s="267"/>
      <c r="AN447" s="267"/>
      <c r="AO447" s="267"/>
      <c r="AP447" s="267"/>
      <c r="AQ447" s="267"/>
      <c r="AR447" s="277"/>
      <c r="AS447" s="267"/>
      <c r="AT447" s="267"/>
      <c r="AU447" s="267"/>
      <c r="AV447" s="278"/>
      <c r="AW447" s="117">
        <f>VLOOKUP($D447,'WB Data'!$C$3:$M$578,2,FALSE)</f>
        <v>8665736617.550602</v>
      </c>
      <c r="AX447" s="117">
        <f>VLOOKUP($D447,'WB Data'!$C$3:$M$578,3,FALSE)</f>
        <v>1379465</v>
      </c>
      <c r="AY447" s="847">
        <f t="shared" si="71"/>
        <v>0.19806906592778475</v>
      </c>
      <c r="AZ447" s="117" t="e">
        <f>VLOOKUP($D447,'WB Data'!$C$3:$M$578,4,FALSE)/100</f>
        <v>#VALUE!</v>
      </c>
      <c r="BA447" s="117" t="str">
        <f t="shared" si="72"/>
        <v>..</v>
      </c>
      <c r="BB447" s="129">
        <f>IFERROR(VLOOKUP($D447,'EITI Revenues'!$C$2:$G$224,5,FALSE),"..")</f>
        <v>1716414357.4144487</v>
      </c>
      <c r="BC447" s="846" t="str">
        <f t="shared" si="73"/>
        <v>..</v>
      </c>
      <c r="BD447" s="129">
        <f>VLOOKUP($D447,'WB Data 2'!$C$2:$K$545,6,FALSE)</f>
        <v>4438780459.8368158</v>
      </c>
      <c r="BE447" s="129" t="str">
        <f>IFERROR(VLOOKUP($D447,UNCTAD!$C$5:$V$529,4,FALSE),"..")</f>
        <v>..</v>
      </c>
      <c r="BF447" s="846" t="str">
        <f t="shared" si="74"/>
        <v>..</v>
      </c>
      <c r="BG447" s="117">
        <f>VLOOKUP($D447,'WB Data'!$C$3:$M$578,5,FALSE)</f>
        <v>60430000</v>
      </c>
      <c r="BH447" s="129">
        <f>IFERROR($BB447/$BG447,"..")</f>
        <v>28.403348625094303</v>
      </c>
      <c r="BI447" s="117" t="str">
        <f>IFERROR(VLOOKUP($D447,'WB Data'!$C$3:$M$578,7,FALSE)/100,"..")</f>
        <v>..</v>
      </c>
      <c r="BJ447" s="117" t="str">
        <f>IFERROR($BI447*$AW447,"..")</f>
        <v>..</v>
      </c>
      <c r="BK447" s="846" t="str">
        <f>IFERROR($BB447/$BJ447,"..")</f>
        <v>..</v>
      </c>
      <c r="BL447" s="117" t="str">
        <f>IFERROR(VLOOKUP($D447,'WB Data'!$C$3:$M$578,7,FALSE)/100,"..")</f>
        <v>..</v>
      </c>
      <c r="BM447" s="117" t="str">
        <f>IFERROR($AW447*$BL447,"..")</f>
        <v>..</v>
      </c>
      <c r="BN447" s="846" t="str">
        <f>IFERROR($BB447/$BM447,"..")</f>
        <v>..</v>
      </c>
      <c r="BO447" s="801">
        <f t="shared" si="70"/>
        <v>37</v>
      </c>
      <c r="BP447" s="117">
        <f>VLOOKUP($D447,'WB Data'!$C$3:$M$578,9,FALSE)</f>
        <v>32.700000000000003</v>
      </c>
      <c r="BQ447" s="117">
        <f>VLOOKUP($D447,'WB Data'!$C$3:$M$578,10,FALSE)</f>
        <v>60.009146341463421</v>
      </c>
      <c r="BR447" s="117">
        <f>VLOOKUP($D447,'WB Data'!$C$3:$M$578,11,FALSE)</f>
        <v>50.3</v>
      </c>
      <c r="BS447" s="129" t="str">
        <f>IFERROR(VLOOKUP($D447,'WB Data 2'!$C$2:$K$545,9,FALSE),"..")</f>
        <v>..</v>
      </c>
      <c r="BT447" s="129">
        <f>_xlfn.IFNA(VLOOKUP($C447,RGI!$A$2:$C$43,2,FALSE),"..")</f>
        <v>41.8</v>
      </c>
      <c r="BU447" s="129">
        <f>_xlfn.IFNA(VLOOKUP($C447,RGI!$A$2:$C$43,3,FALSE),"..")</f>
        <v>45.964036106201753</v>
      </c>
      <c r="BV447" s="129">
        <f>VLOOKUP($D447,WGI!$C$2:$O$478,7,FALSE)</f>
        <v>-0.87559595195433904</v>
      </c>
      <c r="BW447" s="129">
        <f>VLOOKUP($D447,WGI!$C$2:$O$478,4,FALSE)</f>
        <v>0.31397842634678003</v>
      </c>
      <c r="BX447" s="129">
        <f>VLOOKUP($D447,WGI!$C$2:$O$478,3,FALSE)</f>
        <v>-0.83924121249319505</v>
      </c>
      <c r="BY447" s="129">
        <f>VLOOKUP($D447,WGI!$C$2:$O$478,5,FALSE)</f>
        <v>-0.231969430308965</v>
      </c>
      <c r="BZ447" s="129">
        <f>VLOOKUP($D447,WGI!$C$2:$O$478,2,FALSE)</f>
        <v>-0.54507656955893702</v>
      </c>
    </row>
    <row r="448" spans="1:80" ht="15" customHeight="1">
      <c r="A448" s="315" t="s">
        <v>192</v>
      </c>
      <c r="B448" s="368">
        <v>2005</v>
      </c>
      <c r="C448" s="267" t="s">
        <v>191</v>
      </c>
      <c r="D448" s="117" t="s">
        <v>3492</v>
      </c>
      <c r="E448" s="316" t="s">
        <v>86</v>
      </c>
      <c r="F448" s="267"/>
      <c r="G448" s="267" t="s">
        <v>24</v>
      </c>
      <c r="H448" s="117" t="str">
        <f t="shared" si="75"/>
        <v>yes</v>
      </c>
      <c r="I448" s="117" t="str">
        <f t="shared" si="76"/>
        <v>no</v>
      </c>
      <c r="J448" s="117" t="str">
        <f t="shared" si="77"/>
        <v>no</v>
      </c>
      <c r="K448" s="268" t="s">
        <v>843</v>
      </c>
      <c r="L448" s="117" t="str">
        <f t="shared" si="69"/>
        <v>detailed</v>
      </c>
      <c r="M448" s="117" t="str">
        <f t="shared" si="78"/>
        <v>detailed Mining</v>
      </c>
      <c r="N448" s="269"/>
      <c r="O448" s="269"/>
      <c r="P448" s="269"/>
      <c r="Q448" s="269"/>
      <c r="R448" s="269"/>
      <c r="S448" s="267"/>
      <c r="T448" s="270">
        <v>0.14299999999999999</v>
      </c>
      <c r="U448" s="267" t="s">
        <v>611</v>
      </c>
      <c r="V448" s="267" t="s">
        <v>1124</v>
      </c>
      <c r="W448" s="275">
        <f>N450*T448</f>
        <v>8437</v>
      </c>
      <c r="X448" s="267"/>
      <c r="Y448" s="267"/>
      <c r="Z448" s="267"/>
      <c r="AA448" s="271"/>
      <c r="AB448" s="271"/>
      <c r="AC448" s="272"/>
      <c r="AD448" s="272"/>
      <c r="AE448" s="272"/>
      <c r="AF448" s="317"/>
      <c r="AG448" s="267"/>
      <c r="AH448" s="274"/>
      <c r="AI448" s="267"/>
      <c r="AJ448" s="267"/>
      <c r="AK448" s="275"/>
      <c r="AL448" s="267"/>
      <c r="AM448" s="267"/>
      <c r="AN448" s="267"/>
      <c r="AO448" s="267"/>
      <c r="AP448" s="267"/>
      <c r="AQ448" s="267"/>
      <c r="AR448" s="277"/>
      <c r="AS448" s="267"/>
      <c r="AT448" s="267"/>
      <c r="AU448" s="267"/>
      <c r="AV448" s="278"/>
      <c r="AW448" s="117">
        <f>VLOOKUP($D448,'WB Data'!$C$3:$M$578,2,FALSE)</f>
        <v>8665736617.550602</v>
      </c>
      <c r="AX448" s="117">
        <f>VLOOKUP($D448,'WB Data'!$C$3:$M$578,3,FALSE)</f>
        <v>1379465</v>
      </c>
      <c r="AY448" s="847">
        <f t="shared" si="71"/>
        <v>0.19806906592778475</v>
      </c>
      <c r="AZ448" s="117" t="e">
        <f>VLOOKUP($D448,'WB Data'!$C$3:$M$578,4,FALSE)/100</f>
        <v>#VALUE!</v>
      </c>
      <c r="BA448" s="117" t="str">
        <f t="shared" si="72"/>
        <v>..</v>
      </c>
      <c r="BB448" s="129">
        <f>IFERROR(VLOOKUP($D448,'EITI Revenues'!$C$2:$G$224,5,FALSE),"..")</f>
        <v>1716414357.4144487</v>
      </c>
      <c r="BC448" s="846" t="str">
        <f t="shared" si="73"/>
        <v>..</v>
      </c>
      <c r="BD448" s="129">
        <f>VLOOKUP($D448,'WB Data 2'!$C$2:$K$545,6,FALSE)</f>
        <v>4438780459.8368158</v>
      </c>
      <c r="BE448" s="129" t="str">
        <f>IFERROR(VLOOKUP($D448,UNCTAD!$C$5:$V$529,4,FALSE),"..")</f>
        <v>..</v>
      </c>
      <c r="BF448" s="846" t="str">
        <f t="shared" si="74"/>
        <v>..</v>
      </c>
      <c r="BG448" s="117">
        <f>VLOOKUP($D448,'WB Data'!$C$3:$M$578,5,FALSE)</f>
        <v>60430000</v>
      </c>
      <c r="BH448" s="129">
        <f>IFERROR($BB448/$BG448,"..")</f>
        <v>28.403348625094303</v>
      </c>
      <c r="BI448" s="117" t="str">
        <f>IFERROR(VLOOKUP($D448,'WB Data'!$C$3:$M$578,7,FALSE)/100,"..")</f>
        <v>..</v>
      </c>
      <c r="BJ448" s="117" t="str">
        <f>IFERROR($BI448*$AW448,"..")</f>
        <v>..</v>
      </c>
      <c r="BK448" s="846" t="str">
        <f>IFERROR($BB448/$BJ448,"..")</f>
        <v>..</v>
      </c>
      <c r="BL448" s="117" t="str">
        <f>IFERROR(VLOOKUP($D448,'WB Data'!$C$3:$M$578,7,FALSE)/100,"..")</f>
        <v>..</v>
      </c>
      <c r="BM448" s="117" t="str">
        <f>IFERROR($AW448*$BL448,"..")</f>
        <v>..</v>
      </c>
      <c r="BN448" s="846" t="str">
        <f>IFERROR($BB448/$BM448,"..")</f>
        <v>..</v>
      </c>
      <c r="BO448" s="801">
        <f t="shared" si="70"/>
        <v>37</v>
      </c>
      <c r="BP448" s="117">
        <f>VLOOKUP($D448,'WB Data'!$C$3:$M$578,9,FALSE)</f>
        <v>32.700000000000003</v>
      </c>
      <c r="BQ448" s="117">
        <f>VLOOKUP($D448,'WB Data'!$C$3:$M$578,10,FALSE)</f>
        <v>60.009146341463421</v>
      </c>
      <c r="BR448" s="117">
        <f>VLOOKUP($D448,'WB Data'!$C$3:$M$578,11,FALSE)</f>
        <v>50.3</v>
      </c>
      <c r="BS448" s="129" t="str">
        <f>IFERROR(VLOOKUP($D448,'WB Data 2'!$C$2:$K$545,9,FALSE),"..")</f>
        <v>..</v>
      </c>
      <c r="BT448" s="129">
        <f>_xlfn.IFNA(VLOOKUP($C448,RGI!$A$2:$C$43,2,FALSE),"..")</f>
        <v>41.8</v>
      </c>
      <c r="BU448" s="129">
        <f>_xlfn.IFNA(VLOOKUP($C448,RGI!$A$2:$C$43,3,FALSE),"..")</f>
        <v>45.964036106201753</v>
      </c>
      <c r="BV448" s="129">
        <f>VLOOKUP($D448,WGI!$C$2:$O$478,7,FALSE)</f>
        <v>-0.87559595195433904</v>
      </c>
      <c r="BW448" s="129">
        <f>VLOOKUP($D448,WGI!$C$2:$O$478,4,FALSE)</f>
        <v>0.31397842634678003</v>
      </c>
      <c r="BX448" s="129">
        <f>VLOOKUP($D448,WGI!$C$2:$O$478,3,FALSE)</f>
        <v>-0.83924121249319505</v>
      </c>
      <c r="BY448" s="129">
        <f>VLOOKUP($D448,WGI!$C$2:$O$478,5,FALSE)</f>
        <v>-0.231969430308965</v>
      </c>
      <c r="BZ448" s="129">
        <f>VLOOKUP($D448,WGI!$C$2:$O$478,2,FALSE)</f>
        <v>-0.54507656955893702</v>
      </c>
    </row>
    <row r="449" spans="1:80" ht="15" customHeight="1">
      <c r="A449" s="315" t="s">
        <v>192</v>
      </c>
      <c r="B449" s="368">
        <v>2005</v>
      </c>
      <c r="C449" s="267" t="s">
        <v>191</v>
      </c>
      <c r="D449" s="117" t="s">
        <v>3492</v>
      </c>
      <c r="E449" s="316" t="s">
        <v>86</v>
      </c>
      <c r="F449" s="267"/>
      <c r="G449" s="267" t="s">
        <v>24</v>
      </c>
      <c r="H449" s="117" t="str">
        <f t="shared" si="75"/>
        <v>yes</v>
      </c>
      <c r="I449" s="117" t="str">
        <f t="shared" si="76"/>
        <v>no</v>
      </c>
      <c r="J449" s="117" t="str">
        <f t="shared" si="77"/>
        <v>no</v>
      </c>
      <c r="K449" s="268" t="s">
        <v>1125</v>
      </c>
      <c r="L449" s="117" t="str">
        <f t="shared" si="69"/>
        <v>detailed</v>
      </c>
      <c r="M449" s="117" t="str">
        <f t="shared" si="78"/>
        <v>detailed Mining</v>
      </c>
      <c r="N449" s="269">
        <v>2800000</v>
      </c>
      <c r="O449" s="269"/>
      <c r="P449" s="269"/>
      <c r="Q449" s="269"/>
      <c r="R449" s="269"/>
      <c r="S449" s="267" t="s">
        <v>610</v>
      </c>
      <c r="T449" s="270"/>
      <c r="U449" s="267"/>
      <c r="V449" s="267" t="s">
        <v>1126</v>
      </c>
      <c r="W449" s="275"/>
      <c r="X449" s="267"/>
      <c r="Y449" s="267"/>
      <c r="Z449" s="267"/>
      <c r="AA449" s="271"/>
      <c r="AB449" s="271"/>
      <c r="AC449" s="272"/>
      <c r="AD449" s="272"/>
      <c r="AE449" s="272"/>
      <c r="AF449" s="317"/>
      <c r="AG449" s="267"/>
      <c r="AH449" s="274"/>
      <c r="AI449" s="267"/>
      <c r="AJ449" s="267"/>
      <c r="AK449" s="275"/>
      <c r="AL449" s="267"/>
      <c r="AM449" s="267"/>
      <c r="AN449" s="267"/>
      <c r="AO449" s="267"/>
      <c r="AP449" s="267"/>
      <c r="AQ449" s="267"/>
      <c r="AR449" s="277"/>
      <c r="AS449" s="267"/>
      <c r="AT449" s="267"/>
      <c r="AU449" s="267"/>
      <c r="AV449" s="278"/>
      <c r="AW449" s="117">
        <f>VLOOKUP($D449,'WB Data'!$C$3:$M$578,2,FALSE)</f>
        <v>8665736617.550602</v>
      </c>
      <c r="AX449" s="117">
        <f>VLOOKUP($D449,'WB Data'!$C$3:$M$578,3,FALSE)</f>
        <v>1379465</v>
      </c>
      <c r="AY449" s="847">
        <f t="shared" si="71"/>
        <v>0.19806906592778475</v>
      </c>
      <c r="AZ449" s="117" t="e">
        <f>VLOOKUP($D449,'WB Data'!$C$3:$M$578,4,FALSE)/100</f>
        <v>#VALUE!</v>
      </c>
      <c r="BA449" s="117" t="str">
        <f t="shared" si="72"/>
        <v>..</v>
      </c>
      <c r="BB449" s="129">
        <f>IFERROR(VLOOKUP($D449,'EITI Revenues'!$C$2:$G$224,5,FALSE),"..")</f>
        <v>1716414357.4144487</v>
      </c>
      <c r="BC449" s="846" t="str">
        <f t="shared" si="73"/>
        <v>..</v>
      </c>
      <c r="BD449" s="129">
        <f>VLOOKUP($D449,'WB Data 2'!$C$2:$K$545,6,FALSE)</f>
        <v>4438780459.8368158</v>
      </c>
      <c r="BE449" s="129" t="str">
        <f>IFERROR(VLOOKUP($D449,UNCTAD!$C$5:$V$529,4,FALSE),"..")</f>
        <v>..</v>
      </c>
      <c r="BF449" s="846" t="str">
        <f t="shared" si="74"/>
        <v>..</v>
      </c>
      <c r="BG449" s="117">
        <f>VLOOKUP($D449,'WB Data'!$C$3:$M$578,5,FALSE)</f>
        <v>60430000</v>
      </c>
      <c r="BH449" s="129">
        <f>IFERROR($BB449/$BG449,"..")</f>
        <v>28.403348625094303</v>
      </c>
      <c r="BI449" s="117" t="str">
        <f>IFERROR(VLOOKUP($D449,'WB Data'!$C$3:$M$578,7,FALSE)/100,"..")</f>
        <v>..</v>
      </c>
      <c r="BJ449" s="117" t="str">
        <f>IFERROR($BI449*$AW449,"..")</f>
        <v>..</v>
      </c>
      <c r="BK449" s="846" t="str">
        <f>IFERROR($BB449/$BJ449,"..")</f>
        <v>..</v>
      </c>
      <c r="BL449" s="117" t="str">
        <f>IFERROR(VLOOKUP($D449,'WB Data'!$C$3:$M$578,7,FALSE)/100,"..")</f>
        <v>..</v>
      </c>
      <c r="BM449" s="117" t="str">
        <f>IFERROR($AW449*$BL449,"..")</f>
        <v>..</v>
      </c>
      <c r="BN449" s="846" t="str">
        <f>IFERROR($BB449/$BM449,"..")</f>
        <v>..</v>
      </c>
      <c r="BO449" s="801">
        <f t="shared" si="70"/>
        <v>37</v>
      </c>
      <c r="BP449" s="117">
        <f>VLOOKUP($D449,'WB Data'!$C$3:$M$578,9,FALSE)</f>
        <v>32.700000000000003</v>
      </c>
      <c r="BQ449" s="117">
        <f>VLOOKUP($D449,'WB Data'!$C$3:$M$578,10,FALSE)</f>
        <v>60.009146341463421</v>
      </c>
      <c r="BR449" s="117">
        <f>VLOOKUP($D449,'WB Data'!$C$3:$M$578,11,FALSE)</f>
        <v>50.3</v>
      </c>
      <c r="BS449" s="129" t="str">
        <f>IFERROR(VLOOKUP($D449,'WB Data 2'!$C$2:$K$545,9,FALSE),"..")</f>
        <v>..</v>
      </c>
      <c r="BT449" s="129">
        <f>_xlfn.IFNA(VLOOKUP($C449,RGI!$A$2:$C$43,2,FALSE),"..")</f>
        <v>41.8</v>
      </c>
      <c r="BU449" s="129">
        <f>_xlfn.IFNA(VLOOKUP($C449,RGI!$A$2:$C$43,3,FALSE),"..")</f>
        <v>45.964036106201753</v>
      </c>
      <c r="BV449" s="129">
        <f>VLOOKUP($D449,WGI!$C$2:$O$478,7,FALSE)</f>
        <v>-0.87559595195433904</v>
      </c>
      <c r="BW449" s="129">
        <f>VLOOKUP($D449,WGI!$C$2:$O$478,4,FALSE)</f>
        <v>0.31397842634678003</v>
      </c>
      <c r="BX449" s="129">
        <f>VLOOKUP($D449,WGI!$C$2:$O$478,3,FALSE)</f>
        <v>-0.83924121249319505</v>
      </c>
      <c r="BY449" s="129">
        <f>VLOOKUP($D449,WGI!$C$2:$O$478,5,FALSE)</f>
        <v>-0.231969430308965</v>
      </c>
      <c r="BZ449" s="129">
        <f>VLOOKUP($D449,WGI!$C$2:$O$478,2,FALSE)</f>
        <v>-0.54507656955893702</v>
      </c>
    </row>
    <row r="450" spans="1:80" ht="15" customHeight="1">
      <c r="A450" s="315" t="s">
        <v>192</v>
      </c>
      <c r="B450" s="368">
        <v>2005</v>
      </c>
      <c r="C450" s="267" t="s">
        <v>191</v>
      </c>
      <c r="D450" s="117" t="s">
        <v>3492</v>
      </c>
      <c r="E450" s="316" t="s">
        <v>86</v>
      </c>
      <c r="F450" s="267"/>
      <c r="G450" s="267" t="s">
        <v>24</v>
      </c>
      <c r="H450" s="117" t="str">
        <f t="shared" si="75"/>
        <v>yes</v>
      </c>
      <c r="I450" s="117" t="str">
        <f t="shared" si="76"/>
        <v>no</v>
      </c>
      <c r="J450" s="117" t="str">
        <f t="shared" si="77"/>
        <v>no</v>
      </c>
      <c r="K450" s="268" t="s">
        <v>1127</v>
      </c>
      <c r="L450" s="117" t="str">
        <f t="shared" ref="L450:L517" si="79">IF(LEFT(K450,5)="Total","Total","detailed")</f>
        <v>detailed</v>
      </c>
      <c r="M450" s="117" t="str">
        <f t="shared" si="78"/>
        <v>detailed Mining</v>
      </c>
      <c r="N450" s="269">
        <v>59000</v>
      </c>
      <c r="O450" s="269"/>
      <c r="P450" s="269"/>
      <c r="Q450" s="269"/>
      <c r="R450" s="269"/>
      <c r="S450" s="267" t="s">
        <v>610</v>
      </c>
      <c r="T450" s="270"/>
      <c r="U450" s="267"/>
      <c r="V450" s="267" t="s">
        <v>1126</v>
      </c>
      <c r="W450" s="275"/>
      <c r="X450" s="267"/>
      <c r="Y450" s="267"/>
      <c r="Z450" s="267"/>
      <c r="AA450" s="271"/>
      <c r="AB450" s="271"/>
      <c r="AC450" s="272"/>
      <c r="AD450" s="272"/>
      <c r="AE450" s="272"/>
      <c r="AF450" s="317"/>
      <c r="AG450" s="267"/>
      <c r="AH450" s="274"/>
      <c r="AI450" s="267"/>
      <c r="AJ450" s="267"/>
      <c r="AK450" s="275"/>
      <c r="AL450" s="267"/>
      <c r="AM450" s="267"/>
      <c r="AN450" s="267"/>
      <c r="AO450" s="267"/>
      <c r="AP450" s="267"/>
      <c r="AQ450" s="267"/>
      <c r="AR450" s="277"/>
      <c r="AS450" s="267"/>
      <c r="AT450" s="267"/>
      <c r="AU450" s="267"/>
      <c r="AV450" s="278"/>
      <c r="AW450" s="117">
        <f>VLOOKUP($D450,'WB Data'!$C$3:$M$578,2,FALSE)</f>
        <v>8665736617.550602</v>
      </c>
      <c r="AX450" s="117">
        <f>VLOOKUP($D450,'WB Data'!$C$3:$M$578,3,FALSE)</f>
        <v>1379465</v>
      </c>
      <c r="AY450" s="847">
        <f t="shared" si="71"/>
        <v>0.19806906592778475</v>
      </c>
      <c r="AZ450" s="117" t="e">
        <f>VLOOKUP($D450,'WB Data'!$C$3:$M$578,4,FALSE)/100</f>
        <v>#VALUE!</v>
      </c>
      <c r="BA450" s="117" t="str">
        <f t="shared" si="72"/>
        <v>..</v>
      </c>
      <c r="BB450" s="129">
        <f>IFERROR(VLOOKUP($D450,'EITI Revenues'!$C$2:$G$224,5,FALSE),"..")</f>
        <v>1716414357.4144487</v>
      </c>
      <c r="BC450" s="846" t="str">
        <f t="shared" si="73"/>
        <v>..</v>
      </c>
      <c r="BD450" s="129">
        <f>VLOOKUP($D450,'WB Data 2'!$C$2:$K$545,6,FALSE)</f>
        <v>4438780459.8368158</v>
      </c>
      <c r="BE450" s="129" t="str">
        <f>IFERROR(VLOOKUP($D450,UNCTAD!$C$5:$V$529,4,FALSE),"..")</f>
        <v>..</v>
      </c>
      <c r="BF450" s="846" t="str">
        <f t="shared" si="74"/>
        <v>..</v>
      </c>
      <c r="BG450" s="117">
        <f>VLOOKUP($D450,'WB Data'!$C$3:$M$578,5,FALSE)</f>
        <v>60430000</v>
      </c>
      <c r="BH450" s="129">
        <f>IFERROR($BB450/$BG450,"..")</f>
        <v>28.403348625094303</v>
      </c>
      <c r="BI450" s="117" t="str">
        <f>IFERROR(VLOOKUP($D450,'WB Data'!$C$3:$M$578,7,FALSE)/100,"..")</f>
        <v>..</v>
      </c>
      <c r="BJ450" s="117" t="str">
        <f>IFERROR($BI450*$AW450,"..")</f>
        <v>..</v>
      </c>
      <c r="BK450" s="846" t="str">
        <f>IFERROR($BB450/$BJ450,"..")</f>
        <v>..</v>
      </c>
      <c r="BL450" s="117" t="str">
        <f>IFERROR(VLOOKUP($D450,'WB Data'!$C$3:$M$578,7,FALSE)/100,"..")</f>
        <v>..</v>
      </c>
      <c r="BM450" s="117" t="str">
        <f>IFERROR($AW450*$BL450,"..")</f>
        <v>..</v>
      </c>
      <c r="BN450" s="846" t="str">
        <f>IFERROR($BB450/$BM450,"..")</f>
        <v>..</v>
      </c>
      <c r="BO450" s="801">
        <f t="shared" ref="BO450:BO513" si="80">_xlfn.IFNA(VLOOKUP($C450,CPI_2013,2,FALSE),"..")</f>
        <v>37</v>
      </c>
      <c r="BP450" s="117">
        <f>VLOOKUP($D450,'WB Data'!$C$3:$M$578,9,FALSE)</f>
        <v>32.700000000000003</v>
      </c>
      <c r="BQ450" s="117">
        <f>VLOOKUP($D450,'WB Data'!$C$3:$M$578,10,FALSE)</f>
        <v>60.009146341463421</v>
      </c>
      <c r="BR450" s="117">
        <f>VLOOKUP($D450,'WB Data'!$C$3:$M$578,11,FALSE)</f>
        <v>50.3</v>
      </c>
      <c r="BS450" s="129" t="str">
        <f>IFERROR(VLOOKUP($D450,'WB Data 2'!$C$2:$K$545,9,FALSE),"..")</f>
        <v>..</v>
      </c>
      <c r="BT450" s="129">
        <f>_xlfn.IFNA(VLOOKUP($C450,RGI!$A$2:$C$43,2,FALSE),"..")</f>
        <v>41.8</v>
      </c>
      <c r="BU450" s="129">
        <f>_xlfn.IFNA(VLOOKUP($C450,RGI!$A$2:$C$43,3,FALSE),"..")</f>
        <v>45.964036106201753</v>
      </c>
      <c r="BV450" s="129">
        <f>VLOOKUP($D450,WGI!$C$2:$O$478,7,FALSE)</f>
        <v>-0.87559595195433904</v>
      </c>
      <c r="BW450" s="129">
        <f>VLOOKUP($D450,WGI!$C$2:$O$478,4,FALSE)</f>
        <v>0.31397842634678003</v>
      </c>
      <c r="BX450" s="129">
        <f>VLOOKUP($D450,WGI!$C$2:$O$478,3,FALSE)</f>
        <v>-0.83924121249319505</v>
      </c>
      <c r="BY450" s="129">
        <f>VLOOKUP($D450,WGI!$C$2:$O$478,5,FALSE)</f>
        <v>-0.231969430308965</v>
      </c>
      <c r="BZ450" s="129">
        <f>VLOOKUP($D450,WGI!$C$2:$O$478,2,FALSE)</f>
        <v>-0.54507656955893702</v>
      </c>
    </row>
    <row r="451" spans="1:80" s="144" customFormat="1" ht="15" customHeight="1">
      <c r="A451" s="318" t="s">
        <v>193</v>
      </c>
      <c r="B451" s="386">
        <v>2006</v>
      </c>
      <c r="C451" s="319" t="s">
        <v>191</v>
      </c>
      <c r="D451" s="117" t="s">
        <v>3526</v>
      </c>
      <c r="E451" s="320" t="s">
        <v>86</v>
      </c>
      <c r="F451" s="319"/>
      <c r="G451" s="319" t="s">
        <v>41</v>
      </c>
      <c r="H451" s="117" t="str">
        <f t="shared" si="75"/>
        <v>yes</v>
      </c>
      <c r="I451" s="117" t="str">
        <f t="shared" si="76"/>
        <v>no</v>
      </c>
      <c r="J451" s="117" t="str">
        <f t="shared" si="77"/>
        <v>yes</v>
      </c>
      <c r="K451" s="319" t="s">
        <v>709</v>
      </c>
      <c r="L451" s="117" t="str">
        <f t="shared" si="79"/>
        <v>Total</v>
      </c>
      <c r="M451" s="117" t="str">
        <f t="shared" si="78"/>
        <v>Total Oil, Mining</v>
      </c>
      <c r="N451" s="322"/>
      <c r="O451" s="322"/>
      <c r="P451" s="322"/>
      <c r="Q451" s="322"/>
      <c r="R451" s="322"/>
      <c r="S451" s="319"/>
      <c r="T451" s="323"/>
      <c r="U451" s="319"/>
      <c r="V451" s="319"/>
      <c r="W451" s="324">
        <f>W452+W453</f>
        <v>5803415216.9668932</v>
      </c>
      <c r="X451" s="319" t="s">
        <v>885</v>
      </c>
      <c r="Y451" s="319" t="s">
        <v>602</v>
      </c>
      <c r="Z451" s="319"/>
      <c r="AA451" s="387">
        <v>1944187567.1747403</v>
      </c>
      <c r="AB451" s="387">
        <v>2007587567.1747401</v>
      </c>
      <c r="AC451" s="326"/>
      <c r="AD451" s="326"/>
      <c r="AE451" s="326"/>
      <c r="AF451" s="327">
        <f>AA451/W451</f>
        <v>0.33500749032926408</v>
      </c>
      <c r="AG451" s="319"/>
      <c r="AH451" s="328">
        <v>522.89</v>
      </c>
      <c r="AI451" s="319"/>
      <c r="AJ451" s="319"/>
      <c r="AK451" s="324"/>
      <c r="AL451" s="319"/>
      <c r="AM451" s="319"/>
      <c r="AN451" s="319"/>
      <c r="AO451" s="319"/>
      <c r="AP451" s="319"/>
      <c r="AQ451" s="319"/>
      <c r="AR451" s="329">
        <v>41922</v>
      </c>
      <c r="AS451" s="319"/>
      <c r="AT451" s="319"/>
      <c r="AU451" s="319"/>
      <c r="AV451" s="330" t="s">
        <v>1120</v>
      </c>
      <c r="AW451" s="117">
        <f>VLOOKUP($D451,'WB Data'!$C$3:$M$578,2,FALSE)</f>
        <v>9545982814.0849361</v>
      </c>
      <c r="AX451" s="117">
        <f>VLOOKUP($D451,'WB Data'!$C$3:$M$578,3,FALSE)</f>
        <v>1412907</v>
      </c>
      <c r="AY451" s="847">
        <f t="shared" ref="AY451:AY514" si="81">IFERROR($BB451/$AW451,"..")</f>
        <v>0.20366552140719596</v>
      </c>
      <c r="AZ451" s="117" t="e">
        <f>VLOOKUP($D451,'WB Data'!$C$3:$M$578,4,FALSE)/100</f>
        <v>#VALUE!</v>
      </c>
      <c r="BA451" s="117" t="str">
        <f t="shared" ref="BA451:BA514" si="82">IFERROR($AW451*$AZ451,"..")</f>
        <v>..</v>
      </c>
      <c r="BB451" s="129">
        <f>IFERROR(VLOOKUP($D451,'EITI Revenues'!$C$2:$G$224,5,FALSE),"..")</f>
        <v>1944187567.1747403</v>
      </c>
      <c r="BC451" s="846" t="str">
        <f t="shared" ref="BC451:BC514" si="83">IFERROR($BB451/$BA451,"..")</f>
        <v>..</v>
      </c>
      <c r="BD451" s="129">
        <f>VLOOKUP($D451,'WB Data 2'!$C$2:$K$545,6,FALSE)</f>
        <v>4837571933.944541</v>
      </c>
      <c r="BE451" s="129" t="str">
        <f>IFERROR(VLOOKUP($D451,UNCTAD!$C$5:$V$529,4,FALSE),"..")</f>
        <v>..</v>
      </c>
      <c r="BF451" s="846" t="str">
        <f t="shared" ref="BF451:BF514" si="84">IFERROR(($BD451/$BE451),"..")</f>
        <v>..</v>
      </c>
      <c r="BG451" s="117">
        <f>VLOOKUP($D451,'WB Data'!$C$3:$M$578,5,FALSE)</f>
        <v>29050000</v>
      </c>
      <c r="BH451" s="129">
        <f>IFERROR($BB451/$BG451,"..")</f>
        <v>66.925561692762145</v>
      </c>
      <c r="BI451" s="117" t="str">
        <f>IFERROR(VLOOKUP($D451,'WB Data'!$C$3:$M$578,7,FALSE)/100,"..")</f>
        <v>..</v>
      </c>
      <c r="BJ451" s="117" t="str">
        <f>IFERROR($BI451*$AW451,"..")</f>
        <v>..</v>
      </c>
      <c r="BK451" s="846" t="str">
        <f>IFERROR($BB451/$BJ451,"..")</f>
        <v>..</v>
      </c>
      <c r="BL451" s="117" t="str">
        <f>IFERROR(VLOOKUP($D451,'WB Data'!$C$3:$M$578,7,FALSE)/100,"..")</f>
        <v>..</v>
      </c>
      <c r="BM451" s="117" t="str">
        <f>IFERROR($AW451*$BL451,"..")</f>
        <v>..</v>
      </c>
      <c r="BN451" s="846" t="str">
        <f>IFERROR($BB451/$BM451,"..")</f>
        <v>..</v>
      </c>
      <c r="BO451" s="801">
        <f t="shared" si="80"/>
        <v>37</v>
      </c>
      <c r="BP451" s="117" t="str">
        <f>VLOOKUP($D451,'WB Data'!$C$3:$M$578,9,FALSE)</f>
        <v>..</v>
      </c>
      <c r="BQ451" s="117">
        <f>VLOOKUP($D451,'WB Data'!$C$3:$M$578,10,FALSE)</f>
        <v>60.431243902439029</v>
      </c>
      <c r="BR451" s="117">
        <f>VLOOKUP($D451,'WB Data'!$C$3:$M$578,11,FALSE)</f>
        <v>49</v>
      </c>
      <c r="BS451" s="129" t="str">
        <f>IFERROR(VLOOKUP($D451,'WB Data 2'!$C$2:$K$545,9,FALSE),"..")</f>
        <v>..</v>
      </c>
      <c r="BT451" s="129">
        <f>_xlfn.IFNA(VLOOKUP($C451,RGI!$A$2:$C$43,2,FALSE),"..")</f>
        <v>41.8</v>
      </c>
      <c r="BU451" s="129">
        <f>_xlfn.IFNA(VLOOKUP($C451,RGI!$A$2:$C$43,3,FALSE),"..")</f>
        <v>45.964036106201753</v>
      </c>
      <c r="BV451" s="129">
        <f>VLOOKUP($D451,WGI!$C$2:$O$478,7,FALSE)</f>
        <v>-0.98637035451663602</v>
      </c>
      <c r="BW451" s="129">
        <f>VLOOKUP($D451,WGI!$C$2:$O$478,4,FALSE)</f>
        <v>0.181107194869954</v>
      </c>
      <c r="BX451" s="129">
        <f>VLOOKUP($D451,WGI!$C$2:$O$478,3,FALSE)</f>
        <v>-0.848142100823019</v>
      </c>
      <c r="BY451" s="129">
        <f>VLOOKUP($D451,WGI!$C$2:$O$478,5,FALSE)</f>
        <v>-0.47528540908030997</v>
      </c>
      <c r="BZ451" s="129">
        <f>VLOOKUP($D451,WGI!$C$2:$O$478,2,FALSE)</f>
        <v>-0.96201247238732601</v>
      </c>
      <c r="CB451" s="129"/>
    </row>
    <row r="452" spans="1:80" s="120" customFormat="1" ht="15" customHeight="1">
      <c r="A452" s="315" t="s">
        <v>193</v>
      </c>
      <c r="B452" s="368">
        <v>2006</v>
      </c>
      <c r="C452" s="267" t="s">
        <v>191</v>
      </c>
      <c r="D452" s="117" t="s">
        <v>3526</v>
      </c>
      <c r="E452" s="316" t="s">
        <v>86</v>
      </c>
      <c r="F452" s="267"/>
      <c r="G452" s="267" t="s">
        <v>103</v>
      </c>
      <c r="H452" s="117" t="str">
        <f t="shared" si="75"/>
        <v>no</v>
      </c>
      <c r="I452" s="117" t="str">
        <f t="shared" si="76"/>
        <v>no</v>
      </c>
      <c r="J452" s="117" t="str">
        <f t="shared" si="77"/>
        <v>yes</v>
      </c>
      <c r="K452" s="268" t="s">
        <v>103</v>
      </c>
      <c r="L452" s="117" t="str">
        <f t="shared" si="79"/>
        <v>detailed</v>
      </c>
      <c r="M452" s="117" t="str">
        <f t="shared" si="78"/>
        <v>detailed Oil</v>
      </c>
      <c r="N452" s="269">
        <v>88330000</v>
      </c>
      <c r="O452" s="269"/>
      <c r="P452" s="269"/>
      <c r="Q452" s="269"/>
      <c r="R452" s="269"/>
      <c r="S452" s="267" t="s">
        <v>646</v>
      </c>
      <c r="T452" s="270">
        <v>64.934062499999996</v>
      </c>
      <c r="U452" s="267" t="s">
        <v>673</v>
      </c>
      <c r="V452" s="267" t="s">
        <v>740</v>
      </c>
      <c r="W452" s="275">
        <f>N452*T452</f>
        <v>5735625740.625</v>
      </c>
      <c r="X452" s="267"/>
      <c r="Y452" s="267"/>
      <c r="Z452" s="267"/>
      <c r="AA452" s="271">
        <v>1933300000</v>
      </c>
      <c r="AB452" s="271">
        <v>1996699999.9999998</v>
      </c>
      <c r="AC452" s="272"/>
      <c r="AD452" s="272"/>
      <c r="AE452" s="272"/>
      <c r="AF452" s="317">
        <f>AA452/W452</f>
        <v>0.33706871532892801</v>
      </c>
      <c r="AG452" s="267"/>
      <c r="AH452" s="274"/>
      <c r="AI452" s="267"/>
      <c r="AJ452" s="267"/>
      <c r="AK452" s="275"/>
      <c r="AL452" s="267"/>
      <c r="AM452" s="267"/>
      <c r="AN452" s="267"/>
      <c r="AO452" s="267"/>
      <c r="AP452" s="267"/>
      <c r="AQ452" s="267"/>
      <c r="AR452" s="277"/>
      <c r="AS452" s="267"/>
      <c r="AT452" s="267"/>
      <c r="AU452" s="267"/>
      <c r="AV452" s="278"/>
      <c r="AW452" s="117">
        <f>VLOOKUP($D452,'WB Data'!$C$3:$M$578,2,FALSE)</f>
        <v>9545982814.0849361</v>
      </c>
      <c r="AX452" s="117">
        <f>VLOOKUP($D452,'WB Data'!$C$3:$M$578,3,FALSE)</f>
        <v>1412907</v>
      </c>
      <c r="AY452" s="847">
        <f t="shared" si="81"/>
        <v>0.20366552140719596</v>
      </c>
      <c r="AZ452" s="117" t="e">
        <f>VLOOKUP($D452,'WB Data'!$C$3:$M$578,4,FALSE)/100</f>
        <v>#VALUE!</v>
      </c>
      <c r="BA452" s="117" t="str">
        <f t="shared" si="82"/>
        <v>..</v>
      </c>
      <c r="BB452" s="129">
        <f>IFERROR(VLOOKUP($D452,'EITI Revenues'!$C$2:$G$224,5,FALSE),"..")</f>
        <v>1944187567.1747403</v>
      </c>
      <c r="BC452" s="846" t="str">
        <f t="shared" si="83"/>
        <v>..</v>
      </c>
      <c r="BD452" s="129">
        <f>VLOOKUP($D452,'WB Data 2'!$C$2:$K$545,6,FALSE)</f>
        <v>4837571933.944541</v>
      </c>
      <c r="BE452" s="129" t="str">
        <f>IFERROR(VLOOKUP($D452,UNCTAD!$C$5:$V$529,4,FALSE),"..")</f>
        <v>..</v>
      </c>
      <c r="BF452" s="846" t="str">
        <f t="shared" si="84"/>
        <v>..</v>
      </c>
      <c r="BG452" s="117">
        <f>VLOOKUP($D452,'WB Data'!$C$3:$M$578,5,FALSE)</f>
        <v>29050000</v>
      </c>
      <c r="BH452" s="129">
        <f>IFERROR($BB452/$BG452,"..")</f>
        <v>66.925561692762145</v>
      </c>
      <c r="BI452" s="117" t="str">
        <f>IFERROR(VLOOKUP($D452,'WB Data'!$C$3:$M$578,7,FALSE)/100,"..")</f>
        <v>..</v>
      </c>
      <c r="BJ452" s="117" t="str">
        <f>IFERROR($BI452*$AW452,"..")</f>
        <v>..</v>
      </c>
      <c r="BK452" s="846" t="str">
        <f>IFERROR($BB452/$BJ452,"..")</f>
        <v>..</v>
      </c>
      <c r="BL452" s="117" t="str">
        <f>IFERROR(VLOOKUP($D452,'WB Data'!$C$3:$M$578,7,FALSE)/100,"..")</f>
        <v>..</v>
      </c>
      <c r="BM452" s="117" t="str">
        <f>IFERROR($AW452*$BL452,"..")</f>
        <v>..</v>
      </c>
      <c r="BN452" s="846" t="str">
        <f>IFERROR($BB452/$BM452,"..")</f>
        <v>..</v>
      </c>
      <c r="BO452" s="801">
        <f t="shared" si="80"/>
        <v>37</v>
      </c>
      <c r="BP452" s="117" t="str">
        <f>VLOOKUP($D452,'WB Data'!$C$3:$M$578,9,FALSE)</f>
        <v>..</v>
      </c>
      <c r="BQ452" s="117">
        <f>VLOOKUP($D452,'WB Data'!$C$3:$M$578,10,FALSE)</f>
        <v>60.431243902439029</v>
      </c>
      <c r="BR452" s="117">
        <f>VLOOKUP($D452,'WB Data'!$C$3:$M$578,11,FALSE)</f>
        <v>49</v>
      </c>
      <c r="BS452" s="129" t="str">
        <f>IFERROR(VLOOKUP($D452,'WB Data 2'!$C$2:$K$545,9,FALSE),"..")</f>
        <v>..</v>
      </c>
      <c r="BT452" s="129">
        <f>_xlfn.IFNA(VLOOKUP($C452,RGI!$A$2:$C$43,2,FALSE),"..")</f>
        <v>41.8</v>
      </c>
      <c r="BU452" s="129">
        <f>_xlfn.IFNA(VLOOKUP($C452,RGI!$A$2:$C$43,3,FALSE),"..")</f>
        <v>45.964036106201753</v>
      </c>
      <c r="BV452" s="129">
        <f>VLOOKUP($D452,WGI!$C$2:$O$478,7,FALSE)</f>
        <v>-0.98637035451663602</v>
      </c>
      <c r="BW452" s="129">
        <f>VLOOKUP($D452,WGI!$C$2:$O$478,4,FALSE)</f>
        <v>0.181107194869954</v>
      </c>
      <c r="BX452" s="129">
        <f>VLOOKUP($D452,WGI!$C$2:$O$478,3,FALSE)</f>
        <v>-0.848142100823019</v>
      </c>
      <c r="BY452" s="129">
        <f>VLOOKUP($D452,WGI!$C$2:$O$478,5,FALSE)</f>
        <v>-0.47528540908030997</v>
      </c>
      <c r="BZ452" s="129">
        <f>VLOOKUP($D452,WGI!$C$2:$O$478,2,FALSE)</f>
        <v>-0.96201247238732601</v>
      </c>
      <c r="CB452" s="129"/>
    </row>
    <row r="453" spans="1:80" s="120" customFormat="1" ht="15" customHeight="1">
      <c r="A453" s="315" t="s">
        <v>193</v>
      </c>
      <c r="B453" s="368">
        <v>2006</v>
      </c>
      <c r="C453" s="267" t="s">
        <v>191</v>
      </c>
      <c r="D453" s="117" t="s">
        <v>3526</v>
      </c>
      <c r="E453" s="316" t="s">
        <v>86</v>
      </c>
      <c r="F453" s="267"/>
      <c r="G453" s="267" t="s">
        <v>24</v>
      </c>
      <c r="H453" s="117" t="str">
        <f t="shared" si="75"/>
        <v>yes</v>
      </c>
      <c r="I453" s="117" t="str">
        <f t="shared" si="76"/>
        <v>no</v>
      </c>
      <c r="J453" s="117" t="str">
        <f t="shared" si="77"/>
        <v>no</v>
      </c>
      <c r="K453" s="268" t="s">
        <v>600</v>
      </c>
      <c r="L453" s="117" t="str">
        <f t="shared" si="79"/>
        <v>Total</v>
      </c>
      <c r="M453" s="117" t="str">
        <f t="shared" si="78"/>
        <v>Total Mining</v>
      </c>
      <c r="N453" s="269"/>
      <c r="O453" s="269"/>
      <c r="P453" s="269"/>
      <c r="Q453" s="269"/>
      <c r="R453" s="269"/>
      <c r="S453" s="267"/>
      <c r="T453" s="270"/>
      <c r="U453" s="267"/>
      <c r="V453" s="267"/>
      <c r="W453" s="275">
        <f>SUM(W454:W459)</f>
        <v>67789476.341892853</v>
      </c>
      <c r="X453" s="267"/>
      <c r="Y453" s="267"/>
      <c r="Z453" s="267"/>
      <c r="AA453" s="271">
        <v>10887567.174740385</v>
      </c>
      <c r="AB453" s="271">
        <v>10887567.174740385</v>
      </c>
      <c r="AC453" s="272"/>
      <c r="AD453" s="272"/>
      <c r="AE453" s="272"/>
      <c r="AF453" s="317">
        <f>AA453/W453</f>
        <v>0.1606085156909825</v>
      </c>
      <c r="AG453" s="267"/>
      <c r="AH453" s="274"/>
      <c r="AI453" s="267"/>
      <c r="AJ453" s="267"/>
      <c r="AK453" s="275"/>
      <c r="AL453" s="267"/>
      <c r="AM453" s="267"/>
      <c r="AN453" s="267"/>
      <c r="AO453" s="267"/>
      <c r="AP453" s="267"/>
      <c r="AQ453" s="267"/>
      <c r="AR453" s="277"/>
      <c r="AS453" s="267"/>
      <c r="AT453" s="267"/>
      <c r="AU453" s="267"/>
      <c r="AV453" s="278"/>
      <c r="AW453" s="117">
        <f>VLOOKUP($D453,'WB Data'!$C$3:$M$578,2,FALSE)</f>
        <v>9545982814.0849361</v>
      </c>
      <c r="AX453" s="117">
        <f>VLOOKUP($D453,'WB Data'!$C$3:$M$578,3,FALSE)</f>
        <v>1412907</v>
      </c>
      <c r="AY453" s="847">
        <f t="shared" si="81"/>
        <v>0.20366552140719596</v>
      </c>
      <c r="AZ453" s="117" t="e">
        <f>VLOOKUP($D453,'WB Data'!$C$3:$M$578,4,FALSE)/100</f>
        <v>#VALUE!</v>
      </c>
      <c r="BA453" s="117" t="str">
        <f t="shared" si="82"/>
        <v>..</v>
      </c>
      <c r="BB453" s="129">
        <f>IFERROR(VLOOKUP($D453,'EITI Revenues'!$C$2:$G$224,5,FALSE),"..")</f>
        <v>1944187567.1747403</v>
      </c>
      <c r="BC453" s="846" t="str">
        <f t="shared" si="83"/>
        <v>..</v>
      </c>
      <c r="BD453" s="129">
        <f>VLOOKUP($D453,'WB Data 2'!$C$2:$K$545,6,FALSE)</f>
        <v>4837571933.944541</v>
      </c>
      <c r="BE453" s="129" t="str">
        <f>IFERROR(VLOOKUP($D453,UNCTAD!$C$5:$V$529,4,FALSE),"..")</f>
        <v>..</v>
      </c>
      <c r="BF453" s="846" t="str">
        <f t="shared" si="84"/>
        <v>..</v>
      </c>
      <c r="BG453" s="117">
        <f>VLOOKUP($D453,'WB Data'!$C$3:$M$578,5,FALSE)</f>
        <v>29050000</v>
      </c>
      <c r="BH453" s="129">
        <f>IFERROR($BB453/$BG453,"..")</f>
        <v>66.925561692762145</v>
      </c>
      <c r="BI453" s="117" t="str">
        <f>IFERROR(VLOOKUP($D453,'WB Data'!$C$3:$M$578,7,FALSE)/100,"..")</f>
        <v>..</v>
      </c>
      <c r="BJ453" s="117" t="str">
        <f>IFERROR($BI453*$AW453,"..")</f>
        <v>..</v>
      </c>
      <c r="BK453" s="846" t="str">
        <f>IFERROR($BB453/$BJ453,"..")</f>
        <v>..</v>
      </c>
      <c r="BL453" s="117" t="str">
        <f>IFERROR(VLOOKUP($D453,'WB Data'!$C$3:$M$578,7,FALSE)/100,"..")</f>
        <v>..</v>
      </c>
      <c r="BM453" s="117" t="str">
        <f>IFERROR($AW453*$BL453,"..")</f>
        <v>..</v>
      </c>
      <c r="BN453" s="846" t="str">
        <f>IFERROR($BB453/$BM453,"..")</f>
        <v>..</v>
      </c>
      <c r="BO453" s="801">
        <f t="shared" si="80"/>
        <v>37</v>
      </c>
      <c r="BP453" s="117" t="str">
        <f>VLOOKUP($D453,'WB Data'!$C$3:$M$578,9,FALSE)</f>
        <v>..</v>
      </c>
      <c r="BQ453" s="117">
        <f>VLOOKUP($D453,'WB Data'!$C$3:$M$578,10,FALSE)</f>
        <v>60.431243902439029</v>
      </c>
      <c r="BR453" s="117">
        <f>VLOOKUP($D453,'WB Data'!$C$3:$M$578,11,FALSE)</f>
        <v>49</v>
      </c>
      <c r="BS453" s="129" t="str">
        <f>IFERROR(VLOOKUP($D453,'WB Data 2'!$C$2:$K$545,9,FALSE),"..")</f>
        <v>..</v>
      </c>
      <c r="BT453" s="129">
        <f>_xlfn.IFNA(VLOOKUP($C453,RGI!$A$2:$C$43,2,FALSE),"..")</f>
        <v>41.8</v>
      </c>
      <c r="BU453" s="129">
        <f>_xlfn.IFNA(VLOOKUP($C453,RGI!$A$2:$C$43,3,FALSE),"..")</f>
        <v>45.964036106201753</v>
      </c>
      <c r="BV453" s="129">
        <f>VLOOKUP($D453,WGI!$C$2:$O$478,7,FALSE)</f>
        <v>-0.98637035451663602</v>
      </c>
      <c r="BW453" s="129">
        <f>VLOOKUP($D453,WGI!$C$2:$O$478,4,FALSE)</f>
        <v>0.181107194869954</v>
      </c>
      <c r="BX453" s="129">
        <f>VLOOKUP($D453,WGI!$C$2:$O$478,3,FALSE)</f>
        <v>-0.848142100823019</v>
      </c>
      <c r="BY453" s="129">
        <f>VLOOKUP($D453,WGI!$C$2:$O$478,5,FALSE)</f>
        <v>-0.47528540908030997</v>
      </c>
      <c r="BZ453" s="129">
        <f>VLOOKUP($D453,WGI!$C$2:$O$478,2,FALSE)</f>
        <v>-0.96201247238732601</v>
      </c>
      <c r="CB453" s="129"/>
    </row>
    <row r="454" spans="1:80" s="120" customFormat="1" ht="15" customHeight="1">
      <c r="A454" s="315" t="s">
        <v>193</v>
      </c>
      <c r="B454" s="368">
        <v>2006</v>
      </c>
      <c r="C454" s="267" t="s">
        <v>191</v>
      </c>
      <c r="D454" s="117" t="s">
        <v>3526</v>
      </c>
      <c r="E454" s="316" t="s">
        <v>86</v>
      </c>
      <c r="F454" s="267"/>
      <c r="G454" s="267" t="s">
        <v>24</v>
      </c>
      <c r="H454" s="117" t="str">
        <f t="shared" si="75"/>
        <v>yes</v>
      </c>
      <c r="I454" s="117" t="str">
        <f t="shared" si="76"/>
        <v>no</v>
      </c>
      <c r="J454" s="117" t="str">
        <f t="shared" si="77"/>
        <v>no</v>
      </c>
      <c r="K454" s="268" t="s">
        <v>609</v>
      </c>
      <c r="L454" s="117" t="str">
        <f t="shared" si="79"/>
        <v>detailed</v>
      </c>
      <c r="M454" s="117" t="str">
        <f t="shared" si="78"/>
        <v>detailed Mining</v>
      </c>
      <c r="N454" s="269">
        <v>610000</v>
      </c>
      <c r="O454" s="269"/>
      <c r="P454" s="269"/>
      <c r="Q454" s="269"/>
      <c r="R454" s="269"/>
      <c r="S454" s="267" t="s">
        <v>610</v>
      </c>
      <c r="T454" s="270">
        <v>101.5</v>
      </c>
      <c r="U454" s="267" t="s">
        <v>611</v>
      </c>
      <c r="V454" s="267" t="s">
        <v>1121</v>
      </c>
      <c r="W454" s="275">
        <f>N454*T454</f>
        <v>61915000</v>
      </c>
      <c r="X454" s="267"/>
      <c r="Y454" s="267"/>
      <c r="Z454" s="267"/>
      <c r="AA454" s="271"/>
      <c r="AB454" s="271"/>
      <c r="AC454" s="272"/>
      <c r="AD454" s="272"/>
      <c r="AE454" s="272"/>
      <c r="AF454" s="317"/>
      <c r="AG454" s="267"/>
      <c r="AH454" s="274"/>
      <c r="AI454" s="267"/>
      <c r="AJ454" s="267"/>
      <c r="AK454" s="275"/>
      <c r="AL454" s="267"/>
      <c r="AM454" s="267"/>
      <c r="AN454" s="267"/>
      <c r="AO454" s="267"/>
      <c r="AP454" s="267"/>
      <c r="AQ454" s="267"/>
      <c r="AR454" s="277"/>
      <c r="AS454" s="267"/>
      <c r="AT454" s="267"/>
      <c r="AU454" s="267"/>
      <c r="AV454" s="278"/>
      <c r="AW454" s="117">
        <f>VLOOKUP($D454,'WB Data'!$C$3:$M$578,2,FALSE)</f>
        <v>9545982814.0849361</v>
      </c>
      <c r="AX454" s="117">
        <f>VLOOKUP($D454,'WB Data'!$C$3:$M$578,3,FALSE)</f>
        <v>1412907</v>
      </c>
      <c r="AY454" s="847">
        <f t="shared" si="81"/>
        <v>0.20366552140719596</v>
      </c>
      <c r="AZ454" s="117" t="e">
        <f>VLOOKUP($D454,'WB Data'!$C$3:$M$578,4,FALSE)/100</f>
        <v>#VALUE!</v>
      </c>
      <c r="BA454" s="117" t="str">
        <f t="shared" si="82"/>
        <v>..</v>
      </c>
      <c r="BB454" s="129">
        <f>IFERROR(VLOOKUP($D454,'EITI Revenues'!$C$2:$G$224,5,FALSE),"..")</f>
        <v>1944187567.1747403</v>
      </c>
      <c r="BC454" s="846" t="str">
        <f t="shared" si="83"/>
        <v>..</v>
      </c>
      <c r="BD454" s="129">
        <f>VLOOKUP($D454,'WB Data 2'!$C$2:$K$545,6,FALSE)</f>
        <v>4837571933.944541</v>
      </c>
      <c r="BE454" s="129" t="str">
        <f>IFERROR(VLOOKUP($D454,UNCTAD!$C$5:$V$529,4,FALSE),"..")</f>
        <v>..</v>
      </c>
      <c r="BF454" s="846" t="str">
        <f t="shared" si="84"/>
        <v>..</v>
      </c>
      <c r="BG454" s="117">
        <f>VLOOKUP($D454,'WB Data'!$C$3:$M$578,5,FALSE)</f>
        <v>29050000</v>
      </c>
      <c r="BH454" s="129">
        <f>IFERROR($BB454/$BG454,"..")</f>
        <v>66.925561692762145</v>
      </c>
      <c r="BI454" s="117" t="str">
        <f>IFERROR(VLOOKUP($D454,'WB Data'!$C$3:$M$578,7,FALSE)/100,"..")</f>
        <v>..</v>
      </c>
      <c r="BJ454" s="117" t="str">
        <f>IFERROR($BI454*$AW454,"..")</f>
        <v>..</v>
      </c>
      <c r="BK454" s="846" t="str">
        <f>IFERROR($BB454/$BJ454,"..")</f>
        <v>..</v>
      </c>
      <c r="BL454" s="117" t="str">
        <f>IFERROR(VLOOKUP($D454,'WB Data'!$C$3:$M$578,7,FALSE)/100,"..")</f>
        <v>..</v>
      </c>
      <c r="BM454" s="117" t="str">
        <f>IFERROR($AW454*$BL454,"..")</f>
        <v>..</v>
      </c>
      <c r="BN454" s="846" t="str">
        <f>IFERROR($BB454/$BM454,"..")</f>
        <v>..</v>
      </c>
      <c r="BO454" s="801">
        <f t="shared" si="80"/>
        <v>37</v>
      </c>
      <c r="BP454" s="117" t="str">
        <f>VLOOKUP($D454,'WB Data'!$C$3:$M$578,9,FALSE)</f>
        <v>..</v>
      </c>
      <c r="BQ454" s="117">
        <f>VLOOKUP($D454,'WB Data'!$C$3:$M$578,10,FALSE)</f>
        <v>60.431243902439029</v>
      </c>
      <c r="BR454" s="117">
        <f>VLOOKUP($D454,'WB Data'!$C$3:$M$578,11,FALSE)</f>
        <v>49</v>
      </c>
      <c r="BS454" s="129" t="str">
        <f>IFERROR(VLOOKUP($D454,'WB Data 2'!$C$2:$K$545,9,FALSE),"..")</f>
        <v>..</v>
      </c>
      <c r="BT454" s="129">
        <f>_xlfn.IFNA(VLOOKUP($C454,RGI!$A$2:$C$43,2,FALSE),"..")</f>
        <v>41.8</v>
      </c>
      <c r="BU454" s="129">
        <f>_xlfn.IFNA(VLOOKUP($C454,RGI!$A$2:$C$43,3,FALSE),"..")</f>
        <v>45.964036106201753</v>
      </c>
      <c r="BV454" s="129">
        <f>VLOOKUP($D454,WGI!$C$2:$O$478,7,FALSE)</f>
        <v>-0.98637035451663602</v>
      </c>
      <c r="BW454" s="129">
        <f>VLOOKUP($D454,WGI!$C$2:$O$478,4,FALSE)</f>
        <v>0.181107194869954</v>
      </c>
      <c r="BX454" s="129">
        <f>VLOOKUP($D454,WGI!$C$2:$O$478,3,FALSE)</f>
        <v>-0.848142100823019</v>
      </c>
      <c r="BY454" s="129">
        <f>VLOOKUP($D454,WGI!$C$2:$O$478,5,FALSE)</f>
        <v>-0.47528540908030997</v>
      </c>
      <c r="BZ454" s="129">
        <f>VLOOKUP($D454,WGI!$C$2:$O$478,2,FALSE)</f>
        <v>-0.96201247238732601</v>
      </c>
      <c r="CB454" s="129"/>
    </row>
    <row r="455" spans="1:80" s="120" customFormat="1" ht="15" customHeight="1">
      <c r="A455" s="315" t="s">
        <v>193</v>
      </c>
      <c r="B455" s="368">
        <v>2006</v>
      </c>
      <c r="C455" s="267" t="s">
        <v>191</v>
      </c>
      <c r="D455" s="117" t="s">
        <v>3526</v>
      </c>
      <c r="E455" s="316" t="s">
        <v>86</v>
      </c>
      <c r="F455" s="267"/>
      <c r="G455" s="267" t="s">
        <v>24</v>
      </c>
      <c r="H455" s="117" t="str">
        <f t="shared" si="75"/>
        <v>yes</v>
      </c>
      <c r="I455" s="117" t="str">
        <f t="shared" si="76"/>
        <v>no</v>
      </c>
      <c r="J455" s="117" t="str">
        <f t="shared" si="77"/>
        <v>no</v>
      </c>
      <c r="K455" s="268" t="s">
        <v>980</v>
      </c>
      <c r="L455" s="117" t="str">
        <f t="shared" si="79"/>
        <v>detailed</v>
      </c>
      <c r="M455" s="117" t="str">
        <f t="shared" si="78"/>
        <v>detailed Mining</v>
      </c>
      <c r="N455" s="269">
        <v>500</v>
      </c>
      <c r="O455" s="269"/>
      <c r="P455" s="269"/>
      <c r="Q455" s="269"/>
      <c r="R455" s="269"/>
      <c r="S455" s="267" t="s">
        <v>981</v>
      </c>
      <c r="T455" s="270">
        <v>68.47</v>
      </c>
      <c r="U455" s="267" t="s">
        <v>982</v>
      </c>
      <c r="V455" s="267" t="s">
        <v>1128</v>
      </c>
      <c r="W455" s="275">
        <f>N455*T455</f>
        <v>34235</v>
      </c>
      <c r="X455" s="267"/>
      <c r="Y455" s="267"/>
      <c r="Z455" s="267"/>
      <c r="AA455" s="271"/>
      <c r="AB455" s="271"/>
      <c r="AC455" s="272"/>
      <c r="AD455" s="272"/>
      <c r="AE455" s="272"/>
      <c r="AF455" s="317"/>
      <c r="AG455" s="267"/>
      <c r="AH455" s="274"/>
      <c r="AI455" s="267"/>
      <c r="AJ455" s="267"/>
      <c r="AK455" s="275"/>
      <c r="AL455" s="267"/>
      <c r="AM455" s="267"/>
      <c r="AN455" s="267"/>
      <c r="AO455" s="267"/>
      <c r="AP455" s="267"/>
      <c r="AQ455" s="267"/>
      <c r="AR455" s="277"/>
      <c r="AS455" s="267"/>
      <c r="AT455" s="267"/>
      <c r="AU455" s="267"/>
      <c r="AV455" s="278"/>
      <c r="AW455" s="117">
        <f>VLOOKUP($D455,'WB Data'!$C$3:$M$578,2,FALSE)</f>
        <v>9545982814.0849361</v>
      </c>
      <c r="AX455" s="117">
        <f>VLOOKUP($D455,'WB Data'!$C$3:$M$578,3,FALSE)</f>
        <v>1412907</v>
      </c>
      <c r="AY455" s="847">
        <f t="shared" si="81"/>
        <v>0.20366552140719596</v>
      </c>
      <c r="AZ455" s="117" t="e">
        <f>VLOOKUP($D455,'WB Data'!$C$3:$M$578,4,FALSE)/100</f>
        <v>#VALUE!</v>
      </c>
      <c r="BA455" s="117" t="str">
        <f t="shared" si="82"/>
        <v>..</v>
      </c>
      <c r="BB455" s="129">
        <f>IFERROR(VLOOKUP($D455,'EITI Revenues'!$C$2:$G$224,5,FALSE),"..")</f>
        <v>1944187567.1747403</v>
      </c>
      <c r="BC455" s="846" t="str">
        <f t="shared" si="83"/>
        <v>..</v>
      </c>
      <c r="BD455" s="129">
        <f>VLOOKUP($D455,'WB Data 2'!$C$2:$K$545,6,FALSE)</f>
        <v>4837571933.944541</v>
      </c>
      <c r="BE455" s="129" t="str">
        <f>IFERROR(VLOOKUP($D455,UNCTAD!$C$5:$V$529,4,FALSE),"..")</f>
        <v>..</v>
      </c>
      <c r="BF455" s="846" t="str">
        <f t="shared" si="84"/>
        <v>..</v>
      </c>
      <c r="BG455" s="117">
        <f>VLOOKUP($D455,'WB Data'!$C$3:$M$578,5,FALSE)</f>
        <v>29050000</v>
      </c>
      <c r="BH455" s="129">
        <f>IFERROR($BB455/$BG455,"..")</f>
        <v>66.925561692762145</v>
      </c>
      <c r="BI455" s="117" t="str">
        <f>IFERROR(VLOOKUP($D455,'WB Data'!$C$3:$M$578,7,FALSE)/100,"..")</f>
        <v>..</v>
      </c>
      <c r="BJ455" s="117" t="str">
        <f>IFERROR($BI455*$AW455,"..")</f>
        <v>..</v>
      </c>
      <c r="BK455" s="846" t="str">
        <f>IFERROR($BB455/$BJ455,"..")</f>
        <v>..</v>
      </c>
      <c r="BL455" s="117" t="str">
        <f>IFERROR(VLOOKUP($D455,'WB Data'!$C$3:$M$578,7,FALSE)/100,"..")</f>
        <v>..</v>
      </c>
      <c r="BM455" s="117" t="str">
        <f>IFERROR($AW455*$BL455,"..")</f>
        <v>..</v>
      </c>
      <c r="BN455" s="846" t="str">
        <f>IFERROR($BB455/$BM455,"..")</f>
        <v>..</v>
      </c>
      <c r="BO455" s="801">
        <f t="shared" si="80"/>
        <v>37</v>
      </c>
      <c r="BP455" s="117" t="str">
        <f>VLOOKUP($D455,'WB Data'!$C$3:$M$578,9,FALSE)</f>
        <v>..</v>
      </c>
      <c r="BQ455" s="117">
        <f>VLOOKUP($D455,'WB Data'!$C$3:$M$578,10,FALSE)</f>
        <v>60.431243902439029</v>
      </c>
      <c r="BR455" s="117">
        <f>VLOOKUP($D455,'WB Data'!$C$3:$M$578,11,FALSE)</f>
        <v>49</v>
      </c>
      <c r="BS455" s="129" t="str">
        <f>IFERROR(VLOOKUP($D455,'WB Data 2'!$C$2:$K$545,9,FALSE),"..")</f>
        <v>..</v>
      </c>
      <c r="BT455" s="129">
        <f>_xlfn.IFNA(VLOOKUP($C455,RGI!$A$2:$C$43,2,FALSE),"..")</f>
        <v>41.8</v>
      </c>
      <c r="BU455" s="129">
        <f>_xlfn.IFNA(VLOOKUP($C455,RGI!$A$2:$C$43,3,FALSE),"..")</f>
        <v>45.964036106201753</v>
      </c>
      <c r="BV455" s="129">
        <f>VLOOKUP($D455,WGI!$C$2:$O$478,7,FALSE)</f>
        <v>-0.98637035451663602</v>
      </c>
      <c r="BW455" s="129">
        <f>VLOOKUP($D455,WGI!$C$2:$O$478,4,FALSE)</f>
        <v>0.181107194869954</v>
      </c>
      <c r="BX455" s="129">
        <f>VLOOKUP($D455,WGI!$C$2:$O$478,3,FALSE)</f>
        <v>-0.848142100823019</v>
      </c>
      <c r="BY455" s="129">
        <f>VLOOKUP($D455,WGI!$C$2:$O$478,5,FALSE)</f>
        <v>-0.47528540908030997</v>
      </c>
      <c r="BZ455" s="129">
        <f>VLOOKUP($D455,WGI!$C$2:$O$478,2,FALSE)</f>
        <v>-0.96201247238732601</v>
      </c>
      <c r="CB455" s="129"/>
    </row>
    <row r="456" spans="1:80" s="120" customFormat="1" ht="15" customHeight="1">
      <c r="A456" s="315" t="s">
        <v>193</v>
      </c>
      <c r="B456" s="368">
        <v>2006</v>
      </c>
      <c r="C456" s="267" t="s">
        <v>191</v>
      </c>
      <c r="D456" s="117" t="s">
        <v>3526</v>
      </c>
      <c r="E456" s="316" t="s">
        <v>86</v>
      </c>
      <c r="F456" s="267"/>
      <c r="G456" s="267" t="s">
        <v>24</v>
      </c>
      <c r="H456" s="117" t="str">
        <f t="shared" si="75"/>
        <v>yes</v>
      </c>
      <c r="I456" s="117" t="str">
        <f t="shared" si="76"/>
        <v>no</v>
      </c>
      <c r="J456" s="117" t="str">
        <f t="shared" si="77"/>
        <v>no</v>
      </c>
      <c r="K456" s="268" t="s">
        <v>784</v>
      </c>
      <c r="L456" s="117" t="str">
        <f t="shared" si="79"/>
        <v>detailed</v>
      </c>
      <c r="M456" s="117" t="str">
        <f t="shared" si="78"/>
        <v>detailed Mining</v>
      </c>
      <c r="N456" s="269">
        <f>300*32.150743126506</f>
        <v>9645.2229379517994</v>
      </c>
      <c r="O456" s="269"/>
      <c r="P456" s="269"/>
      <c r="Q456" s="269"/>
      <c r="R456" s="269"/>
      <c r="S456" s="267" t="s">
        <v>785</v>
      </c>
      <c r="T456" s="270">
        <v>604.33583333333002</v>
      </c>
      <c r="U456" s="267" t="s">
        <v>786</v>
      </c>
      <c r="V456" s="267" t="s">
        <v>1123</v>
      </c>
      <c r="W456" s="275">
        <f>N456*T456</f>
        <v>5828953.8418928506</v>
      </c>
      <c r="X456" s="267"/>
      <c r="Y456" s="267"/>
      <c r="Z456" s="267"/>
      <c r="AA456" s="271"/>
      <c r="AB456" s="271"/>
      <c r="AC456" s="272"/>
      <c r="AD456" s="272"/>
      <c r="AE456" s="272"/>
      <c r="AF456" s="317"/>
      <c r="AG456" s="267"/>
      <c r="AH456" s="274"/>
      <c r="AI456" s="267"/>
      <c r="AJ456" s="267"/>
      <c r="AK456" s="275"/>
      <c r="AL456" s="267"/>
      <c r="AM456" s="267"/>
      <c r="AN456" s="267"/>
      <c r="AO456" s="267"/>
      <c r="AP456" s="267"/>
      <c r="AQ456" s="267"/>
      <c r="AR456" s="277"/>
      <c r="AS456" s="267"/>
      <c r="AT456" s="267"/>
      <c r="AU456" s="267"/>
      <c r="AV456" s="278"/>
      <c r="AW456" s="117">
        <f>VLOOKUP($D456,'WB Data'!$C$3:$M$578,2,FALSE)</f>
        <v>9545982814.0849361</v>
      </c>
      <c r="AX456" s="117">
        <f>VLOOKUP($D456,'WB Data'!$C$3:$M$578,3,FALSE)</f>
        <v>1412907</v>
      </c>
      <c r="AY456" s="847">
        <f t="shared" si="81"/>
        <v>0.20366552140719596</v>
      </c>
      <c r="AZ456" s="117" t="e">
        <f>VLOOKUP($D456,'WB Data'!$C$3:$M$578,4,FALSE)/100</f>
        <v>#VALUE!</v>
      </c>
      <c r="BA456" s="117" t="str">
        <f t="shared" si="82"/>
        <v>..</v>
      </c>
      <c r="BB456" s="129">
        <f>IFERROR(VLOOKUP($D456,'EITI Revenues'!$C$2:$G$224,5,FALSE),"..")</f>
        <v>1944187567.1747403</v>
      </c>
      <c r="BC456" s="846" t="str">
        <f t="shared" si="83"/>
        <v>..</v>
      </c>
      <c r="BD456" s="129">
        <f>VLOOKUP($D456,'WB Data 2'!$C$2:$K$545,6,FALSE)</f>
        <v>4837571933.944541</v>
      </c>
      <c r="BE456" s="129" t="str">
        <f>IFERROR(VLOOKUP($D456,UNCTAD!$C$5:$V$529,4,FALSE),"..")</f>
        <v>..</v>
      </c>
      <c r="BF456" s="846" t="str">
        <f t="shared" si="84"/>
        <v>..</v>
      </c>
      <c r="BG456" s="117">
        <f>VLOOKUP($D456,'WB Data'!$C$3:$M$578,5,FALSE)</f>
        <v>29050000</v>
      </c>
      <c r="BH456" s="129">
        <f>IFERROR($BB456/$BG456,"..")</f>
        <v>66.925561692762145</v>
      </c>
      <c r="BI456" s="117" t="str">
        <f>IFERROR(VLOOKUP($D456,'WB Data'!$C$3:$M$578,7,FALSE)/100,"..")</f>
        <v>..</v>
      </c>
      <c r="BJ456" s="117" t="str">
        <f>IFERROR($BI456*$AW456,"..")</f>
        <v>..</v>
      </c>
      <c r="BK456" s="846" t="str">
        <f>IFERROR($BB456/$BJ456,"..")</f>
        <v>..</v>
      </c>
      <c r="BL456" s="117" t="str">
        <f>IFERROR(VLOOKUP($D456,'WB Data'!$C$3:$M$578,7,FALSE)/100,"..")</f>
        <v>..</v>
      </c>
      <c r="BM456" s="117" t="str">
        <f>IFERROR($AW456*$BL456,"..")</f>
        <v>..</v>
      </c>
      <c r="BN456" s="846" t="str">
        <f>IFERROR($BB456/$BM456,"..")</f>
        <v>..</v>
      </c>
      <c r="BO456" s="801">
        <f t="shared" si="80"/>
        <v>37</v>
      </c>
      <c r="BP456" s="117" t="str">
        <f>VLOOKUP($D456,'WB Data'!$C$3:$M$578,9,FALSE)</f>
        <v>..</v>
      </c>
      <c r="BQ456" s="117">
        <f>VLOOKUP($D456,'WB Data'!$C$3:$M$578,10,FALSE)</f>
        <v>60.431243902439029</v>
      </c>
      <c r="BR456" s="117">
        <f>VLOOKUP($D456,'WB Data'!$C$3:$M$578,11,FALSE)</f>
        <v>49</v>
      </c>
      <c r="BS456" s="129" t="str">
        <f>IFERROR(VLOOKUP($D456,'WB Data 2'!$C$2:$K$545,9,FALSE),"..")</f>
        <v>..</v>
      </c>
      <c r="BT456" s="129">
        <f>_xlfn.IFNA(VLOOKUP($C456,RGI!$A$2:$C$43,2,FALSE),"..")</f>
        <v>41.8</v>
      </c>
      <c r="BU456" s="129">
        <f>_xlfn.IFNA(VLOOKUP($C456,RGI!$A$2:$C$43,3,FALSE),"..")</f>
        <v>45.964036106201753</v>
      </c>
      <c r="BV456" s="129">
        <f>VLOOKUP($D456,WGI!$C$2:$O$478,7,FALSE)</f>
        <v>-0.98637035451663602</v>
      </c>
      <c r="BW456" s="129">
        <f>VLOOKUP($D456,WGI!$C$2:$O$478,4,FALSE)</f>
        <v>0.181107194869954</v>
      </c>
      <c r="BX456" s="129">
        <f>VLOOKUP($D456,WGI!$C$2:$O$478,3,FALSE)</f>
        <v>-0.848142100823019</v>
      </c>
      <c r="BY456" s="129">
        <f>VLOOKUP($D456,WGI!$C$2:$O$478,5,FALSE)</f>
        <v>-0.47528540908030997</v>
      </c>
      <c r="BZ456" s="129">
        <f>VLOOKUP($D456,WGI!$C$2:$O$478,2,FALSE)</f>
        <v>-0.96201247238732601</v>
      </c>
      <c r="CB456" s="129"/>
    </row>
    <row r="457" spans="1:80" s="120" customFormat="1" ht="15" customHeight="1">
      <c r="A457" s="315" t="s">
        <v>193</v>
      </c>
      <c r="B457" s="368">
        <v>2006</v>
      </c>
      <c r="C457" s="267" t="s">
        <v>191</v>
      </c>
      <c r="D457" s="117" t="s">
        <v>3526</v>
      </c>
      <c r="E457" s="316" t="s">
        <v>86</v>
      </c>
      <c r="F457" s="267"/>
      <c r="G457" s="267" t="s">
        <v>24</v>
      </c>
      <c r="H457" s="117" t="str">
        <f t="shared" si="75"/>
        <v>yes</v>
      </c>
      <c r="I457" s="117" t="str">
        <f t="shared" si="76"/>
        <v>no</v>
      </c>
      <c r="J457" s="117" t="str">
        <f t="shared" si="77"/>
        <v>no</v>
      </c>
      <c r="K457" s="268" t="s">
        <v>843</v>
      </c>
      <c r="L457" s="117" t="str">
        <f t="shared" si="79"/>
        <v>detailed</v>
      </c>
      <c r="M457" s="117" t="str">
        <f t="shared" si="78"/>
        <v>detailed Mining</v>
      </c>
      <c r="N457" s="269"/>
      <c r="O457" s="269"/>
      <c r="P457" s="269"/>
      <c r="Q457" s="269"/>
      <c r="R457" s="269"/>
      <c r="S457" s="267"/>
      <c r="T457" s="270">
        <v>0.15049999999999999</v>
      </c>
      <c r="U457" s="267" t="s">
        <v>611</v>
      </c>
      <c r="V457" s="267" t="s">
        <v>1124</v>
      </c>
      <c r="W457" s="275">
        <f>N459*T457</f>
        <v>11287.5</v>
      </c>
      <c r="X457" s="267"/>
      <c r="Y457" s="267"/>
      <c r="Z457" s="267"/>
      <c r="AA457" s="271"/>
      <c r="AB457" s="271"/>
      <c r="AC457" s="272"/>
      <c r="AD457" s="272"/>
      <c r="AE457" s="272"/>
      <c r="AF457" s="317"/>
      <c r="AG457" s="267"/>
      <c r="AH457" s="274"/>
      <c r="AI457" s="267"/>
      <c r="AJ457" s="267"/>
      <c r="AK457" s="275"/>
      <c r="AL457" s="267"/>
      <c r="AM457" s="267"/>
      <c r="AN457" s="267"/>
      <c r="AO457" s="267"/>
      <c r="AP457" s="267"/>
      <c r="AQ457" s="267"/>
      <c r="AR457" s="277"/>
      <c r="AS457" s="267"/>
      <c r="AT457" s="267"/>
      <c r="AU457" s="267"/>
      <c r="AV457" s="278"/>
      <c r="AW457" s="117">
        <f>VLOOKUP($D457,'WB Data'!$C$3:$M$578,2,FALSE)</f>
        <v>9545982814.0849361</v>
      </c>
      <c r="AX457" s="117">
        <f>VLOOKUP($D457,'WB Data'!$C$3:$M$578,3,FALSE)</f>
        <v>1412907</v>
      </c>
      <c r="AY457" s="847">
        <f t="shared" si="81"/>
        <v>0.20366552140719596</v>
      </c>
      <c r="AZ457" s="117" t="e">
        <f>VLOOKUP($D457,'WB Data'!$C$3:$M$578,4,FALSE)/100</f>
        <v>#VALUE!</v>
      </c>
      <c r="BA457" s="117" t="str">
        <f t="shared" si="82"/>
        <v>..</v>
      </c>
      <c r="BB457" s="129">
        <f>IFERROR(VLOOKUP($D457,'EITI Revenues'!$C$2:$G$224,5,FALSE),"..")</f>
        <v>1944187567.1747403</v>
      </c>
      <c r="BC457" s="846" t="str">
        <f t="shared" si="83"/>
        <v>..</v>
      </c>
      <c r="BD457" s="129">
        <f>VLOOKUP($D457,'WB Data 2'!$C$2:$K$545,6,FALSE)</f>
        <v>4837571933.944541</v>
      </c>
      <c r="BE457" s="129" t="str">
        <f>IFERROR(VLOOKUP($D457,UNCTAD!$C$5:$V$529,4,FALSE),"..")</f>
        <v>..</v>
      </c>
      <c r="BF457" s="846" t="str">
        <f t="shared" si="84"/>
        <v>..</v>
      </c>
      <c r="BG457" s="117">
        <f>VLOOKUP($D457,'WB Data'!$C$3:$M$578,5,FALSE)</f>
        <v>29050000</v>
      </c>
      <c r="BH457" s="129">
        <f>IFERROR($BB457/$BG457,"..")</f>
        <v>66.925561692762145</v>
      </c>
      <c r="BI457" s="117" t="str">
        <f>IFERROR(VLOOKUP($D457,'WB Data'!$C$3:$M$578,7,FALSE)/100,"..")</f>
        <v>..</v>
      </c>
      <c r="BJ457" s="117" t="str">
        <f>IFERROR($BI457*$AW457,"..")</f>
        <v>..</v>
      </c>
      <c r="BK457" s="846" t="str">
        <f>IFERROR($BB457/$BJ457,"..")</f>
        <v>..</v>
      </c>
      <c r="BL457" s="117" t="str">
        <f>IFERROR(VLOOKUP($D457,'WB Data'!$C$3:$M$578,7,FALSE)/100,"..")</f>
        <v>..</v>
      </c>
      <c r="BM457" s="117" t="str">
        <f>IFERROR($AW457*$BL457,"..")</f>
        <v>..</v>
      </c>
      <c r="BN457" s="846" t="str">
        <f>IFERROR($BB457/$BM457,"..")</f>
        <v>..</v>
      </c>
      <c r="BO457" s="801">
        <f t="shared" si="80"/>
        <v>37</v>
      </c>
      <c r="BP457" s="117" t="str">
        <f>VLOOKUP($D457,'WB Data'!$C$3:$M$578,9,FALSE)</f>
        <v>..</v>
      </c>
      <c r="BQ457" s="117">
        <f>VLOOKUP($D457,'WB Data'!$C$3:$M$578,10,FALSE)</f>
        <v>60.431243902439029</v>
      </c>
      <c r="BR457" s="117">
        <f>VLOOKUP($D457,'WB Data'!$C$3:$M$578,11,FALSE)</f>
        <v>49</v>
      </c>
      <c r="BS457" s="129" t="str">
        <f>IFERROR(VLOOKUP($D457,'WB Data 2'!$C$2:$K$545,9,FALSE),"..")</f>
        <v>..</v>
      </c>
      <c r="BT457" s="129">
        <f>_xlfn.IFNA(VLOOKUP($C457,RGI!$A$2:$C$43,2,FALSE),"..")</f>
        <v>41.8</v>
      </c>
      <c r="BU457" s="129">
        <f>_xlfn.IFNA(VLOOKUP($C457,RGI!$A$2:$C$43,3,FALSE),"..")</f>
        <v>45.964036106201753</v>
      </c>
      <c r="BV457" s="129">
        <f>VLOOKUP($D457,WGI!$C$2:$O$478,7,FALSE)</f>
        <v>-0.98637035451663602</v>
      </c>
      <c r="BW457" s="129">
        <f>VLOOKUP($D457,WGI!$C$2:$O$478,4,FALSE)</f>
        <v>0.181107194869954</v>
      </c>
      <c r="BX457" s="129">
        <f>VLOOKUP($D457,WGI!$C$2:$O$478,3,FALSE)</f>
        <v>-0.848142100823019</v>
      </c>
      <c r="BY457" s="129">
        <f>VLOOKUP($D457,WGI!$C$2:$O$478,5,FALSE)</f>
        <v>-0.47528540908030997</v>
      </c>
      <c r="BZ457" s="129">
        <f>VLOOKUP($D457,WGI!$C$2:$O$478,2,FALSE)</f>
        <v>-0.96201247238732601</v>
      </c>
      <c r="CB457" s="129"/>
    </row>
    <row r="458" spans="1:80" s="120" customFormat="1" ht="15" customHeight="1">
      <c r="A458" s="315" t="s">
        <v>193</v>
      </c>
      <c r="B458" s="368">
        <v>2006</v>
      </c>
      <c r="C458" s="267" t="s">
        <v>191</v>
      </c>
      <c r="D458" s="117" t="s">
        <v>3526</v>
      </c>
      <c r="E458" s="316" t="s">
        <v>86</v>
      </c>
      <c r="F458" s="267"/>
      <c r="G458" s="267" t="s">
        <v>24</v>
      </c>
      <c r="H458" s="117" t="str">
        <f t="shared" si="75"/>
        <v>yes</v>
      </c>
      <c r="I458" s="117" t="str">
        <f t="shared" si="76"/>
        <v>no</v>
      </c>
      <c r="J458" s="117" t="str">
        <f t="shared" si="77"/>
        <v>no</v>
      </c>
      <c r="K458" s="268" t="s">
        <v>1125</v>
      </c>
      <c r="L458" s="117" t="str">
        <f t="shared" si="79"/>
        <v>detailed</v>
      </c>
      <c r="M458" s="117" t="str">
        <f t="shared" si="78"/>
        <v>detailed Mining</v>
      </c>
      <c r="N458" s="269">
        <v>2925000</v>
      </c>
      <c r="O458" s="269"/>
      <c r="P458" s="269"/>
      <c r="Q458" s="269"/>
      <c r="R458" s="269"/>
      <c r="S458" s="267" t="s">
        <v>610</v>
      </c>
      <c r="T458" s="270"/>
      <c r="U458" s="267"/>
      <c r="V458" s="267" t="s">
        <v>1126</v>
      </c>
      <c r="W458" s="275"/>
      <c r="X458" s="267"/>
      <c r="Y458" s="267"/>
      <c r="Z458" s="267"/>
      <c r="AA458" s="271"/>
      <c r="AB458" s="271"/>
      <c r="AC458" s="272"/>
      <c r="AD458" s="272"/>
      <c r="AE458" s="272"/>
      <c r="AF458" s="317"/>
      <c r="AG458" s="267"/>
      <c r="AH458" s="274"/>
      <c r="AI458" s="267"/>
      <c r="AJ458" s="267"/>
      <c r="AK458" s="275"/>
      <c r="AL458" s="267"/>
      <c r="AM458" s="267"/>
      <c r="AN458" s="267"/>
      <c r="AO458" s="267"/>
      <c r="AP458" s="267"/>
      <c r="AQ458" s="267"/>
      <c r="AR458" s="277"/>
      <c r="AS458" s="267"/>
      <c r="AT458" s="267"/>
      <c r="AU458" s="267"/>
      <c r="AV458" s="278"/>
      <c r="AW458" s="117">
        <f>VLOOKUP($D458,'WB Data'!$C$3:$M$578,2,FALSE)</f>
        <v>9545982814.0849361</v>
      </c>
      <c r="AX458" s="117">
        <f>VLOOKUP($D458,'WB Data'!$C$3:$M$578,3,FALSE)</f>
        <v>1412907</v>
      </c>
      <c r="AY458" s="847">
        <f t="shared" si="81"/>
        <v>0.20366552140719596</v>
      </c>
      <c r="AZ458" s="117" t="e">
        <f>VLOOKUP($D458,'WB Data'!$C$3:$M$578,4,FALSE)/100</f>
        <v>#VALUE!</v>
      </c>
      <c r="BA458" s="117" t="str">
        <f t="shared" si="82"/>
        <v>..</v>
      </c>
      <c r="BB458" s="129">
        <f>IFERROR(VLOOKUP($D458,'EITI Revenues'!$C$2:$G$224,5,FALSE),"..")</f>
        <v>1944187567.1747403</v>
      </c>
      <c r="BC458" s="846" t="str">
        <f t="shared" si="83"/>
        <v>..</v>
      </c>
      <c r="BD458" s="129">
        <f>VLOOKUP($D458,'WB Data 2'!$C$2:$K$545,6,FALSE)</f>
        <v>4837571933.944541</v>
      </c>
      <c r="BE458" s="129" t="str">
        <f>IFERROR(VLOOKUP($D458,UNCTAD!$C$5:$V$529,4,FALSE),"..")</f>
        <v>..</v>
      </c>
      <c r="BF458" s="846" t="str">
        <f t="shared" si="84"/>
        <v>..</v>
      </c>
      <c r="BG458" s="117">
        <f>VLOOKUP($D458,'WB Data'!$C$3:$M$578,5,FALSE)</f>
        <v>29050000</v>
      </c>
      <c r="BH458" s="129">
        <f>IFERROR($BB458/$BG458,"..")</f>
        <v>66.925561692762145</v>
      </c>
      <c r="BI458" s="117" t="str">
        <f>IFERROR(VLOOKUP($D458,'WB Data'!$C$3:$M$578,7,FALSE)/100,"..")</f>
        <v>..</v>
      </c>
      <c r="BJ458" s="117" t="str">
        <f>IFERROR($BI458*$AW458,"..")</f>
        <v>..</v>
      </c>
      <c r="BK458" s="846" t="str">
        <f>IFERROR($BB458/$BJ458,"..")</f>
        <v>..</v>
      </c>
      <c r="BL458" s="117" t="str">
        <f>IFERROR(VLOOKUP($D458,'WB Data'!$C$3:$M$578,7,FALSE)/100,"..")</f>
        <v>..</v>
      </c>
      <c r="BM458" s="117" t="str">
        <f>IFERROR($AW458*$BL458,"..")</f>
        <v>..</v>
      </c>
      <c r="BN458" s="846" t="str">
        <f>IFERROR($BB458/$BM458,"..")</f>
        <v>..</v>
      </c>
      <c r="BO458" s="801">
        <f t="shared" si="80"/>
        <v>37</v>
      </c>
      <c r="BP458" s="117" t="str">
        <f>VLOOKUP($D458,'WB Data'!$C$3:$M$578,9,FALSE)</f>
        <v>..</v>
      </c>
      <c r="BQ458" s="117">
        <f>VLOOKUP($D458,'WB Data'!$C$3:$M$578,10,FALSE)</f>
        <v>60.431243902439029</v>
      </c>
      <c r="BR458" s="117">
        <f>VLOOKUP($D458,'WB Data'!$C$3:$M$578,11,FALSE)</f>
        <v>49</v>
      </c>
      <c r="BS458" s="129" t="str">
        <f>IFERROR(VLOOKUP($D458,'WB Data 2'!$C$2:$K$545,9,FALSE),"..")</f>
        <v>..</v>
      </c>
      <c r="BT458" s="129">
        <f>_xlfn.IFNA(VLOOKUP($C458,RGI!$A$2:$C$43,2,FALSE),"..")</f>
        <v>41.8</v>
      </c>
      <c r="BU458" s="129">
        <f>_xlfn.IFNA(VLOOKUP($C458,RGI!$A$2:$C$43,3,FALSE),"..")</f>
        <v>45.964036106201753</v>
      </c>
      <c r="BV458" s="129">
        <f>VLOOKUP($D458,WGI!$C$2:$O$478,7,FALSE)</f>
        <v>-0.98637035451663602</v>
      </c>
      <c r="BW458" s="129">
        <f>VLOOKUP($D458,WGI!$C$2:$O$478,4,FALSE)</f>
        <v>0.181107194869954</v>
      </c>
      <c r="BX458" s="129">
        <f>VLOOKUP($D458,WGI!$C$2:$O$478,3,FALSE)</f>
        <v>-0.848142100823019</v>
      </c>
      <c r="BY458" s="129">
        <f>VLOOKUP($D458,WGI!$C$2:$O$478,5,FALSE)</f>
        <v>-0.47528540908030997</v>
      </c>
      <c r="BZ458" s="129">
        <f>VLOOKUP($D458,WGI!$C$2:$O$478,2,FALSE)</f>
        <v>-0.96201247238732601</v>
      </c>
      <c r="CB458" s="129"/>
    </row>
    <row r="459" spans="1:80" s="158" customFormat="1" ht="15" customHeight="1">
      <c r="A459" s="331" t="s">
        <v>193</v>
      </c>
      <c r="B459" s="370">
        <v>2006</v>
      </c>
      <c r="C459" s="253" t="s">
        <v>191</v>
      </c>
      <c r="D459" s="117" t="s">
        <v>3526</v>
      </c>
      <c r="E459" s="332" t="s">
        <v>86</v>
      </c>
      <c r="F459" s="253"/>
      <c r="G459" s="253" t="s">
        <v>24</v>
      </c>
      <c r="H459" s="117" t="str">
        <f t="shared" si="75"/>
        <v>yes</v>
      </c>
      <c r="I459" s="117" t="str">
        <f t="shared" si="76"/>
        <v>no</v>
      </c>
      <c r="J459" s="117" t="str">
        <f t="shared" si="77"/>
        <v>no</v>
      </c>
      <c r="K459" s="254" t="s">
        <v>1127</v>
      </c>
      <c r="L459" s="117" t="str">
        <f t="shared" si="79"/>
        <v>detailed</v>
      </c>
      <c r="M459" s="117" t="str">
        <f t="shared" si="78"/>
        <v>detailed Mining</v>
      </c>
      <c r="N459" s="255">
        <v>75000</v>
      </c>
      <c r="O459" s="255"/>
      <c r="P459" s="255"/>
      <c r="Q459" s="255"/>
      <c r="R459" s="255"/>
      <c r="S459" s="253" t="s">
        <v>610</v>
      </c>
      <c r="T459" s="256"/>
      <c r="U459" s="253"/>
      <c r="V459" s="253" t="s">
        <v>1126</v>
      </c>
      <c r="W459" s="257"/>
      <c r="X459" s="253"/>
      <c r="Y459" s="253"/>
      <c r="Z459" s="253"/>
      <c r="AA459" s="258"/>
      <c r="AB459" s="258"/>
      <c r="AC459" s="259"/>
      <c r="AD459" s="259"/>
      <c r="AE459" s="259"/>
      <c r="AF459" s="333"/>
      <c r="AG459" s="253"/>
      <c r="AH459" s="261"/>
      <c r="AI459" s="253"/>
      <c r="AJ459" s="253"/>
      <c r="AK459" s="257"/>
      <c r="AL459" s="253"/>
      <c r="AM459" s="253"/>
      <c r="AN459" s="253"/>
      <c r="AO459" s="253"/>
      <c r="AP459" s="253"/>
      <c r="AQ459" s="253"/>
      <c r="AR459" s="263"/>
      <c r="AS459" s="253"/>
      <c r="AT459" s="253"/>
      <c r="AU459" s="253"/>
      <c r="AV459" s="265"/>
      <c r="AW459" s="117">
        <f>VLOOKUP($D459,'WB Data'!$C$3:$M$578,2,FALSE)</f>
        <v>9545982814.0849361</v>
      </c>
      <c r="AX459" s="117">
        <f>VLOOKUP($D459,'WB Data'!$C$3:$M$578,3,FALSE)</f>
        <v>1412907</v>
      </c>
      <c r="AY459" s="847">
        <f t="shared" si="81"/>
        <v>0.20366552140719596</v>
      </c>
      <c r="AZ459" s="117" t="e">
        <f>VLOOKUP($D459,'WB Data'!$C$3:$M$578,4,FALSE)/100</f>
        <v>#VALUE!</v>
      </c>
      <c r="BA459" s="117" t="str">
        <f t="shared" si="82"/>
        <v>..</v>
      </c>
      <c r="BB459" s="129">
        <f>IFERROR(VLOOKUP($D459,'EITI Revenues'!$C$2:$G$224,5,FALSE),"..")</f>
        <v>1944187567.1747403</v>
      </c>
      <c r="BC459" s="846" t="str">
        <f t="shared" si="83"/>
        <v>..</v>
      </c>
      <c r="BD459" s="129">
        <f>VLOOKUP($D459,'WB Data 2'!$C$2:$K$545,6,FALSE)</f>
        <v>4837571933.944541</v>
      </c>
      <c r="BE459" s="129" t="str">
        <f>IFERROR(VLOOKUP($D459,UNCTAD!$C$5:$V$529,4,FALSE),"..")</f>
        <v>..</v>
      </c>
      <c r="BF459" s="846" t="str">
        <f t="shared" si="84"/>
        <v>..</v>
      </c>
      <c r="BG459" s="117">
        <f>VLOOKUP($D459,'WB Data'!$C$3:$M$578,5,FALSE)</f>
        <v>29050000</v>
      </c>
      <c r="BH459" s="129">
        <f>IFERROR($BB459/$BG459,"..")</f>
        <v>66.925561692762145</v>
      </c>
      <c r="BI459" s="117" t="str">
        <f>IFERROR(VLOOKUP($D459,'WB Data'!$C$3:$M$578,7,FALSE)/100,"..")</f>
        <v>..</v>
      </c>
      <c r="BJ459" s="117" t="str">
        <f>IFERROR($BI459*$AW459,"..")</f>
        <v>..</v>
      </c>
      <c r="BK459" s="846" t="str">
        <f>IFERROR($BB459/$BJ459,"..")</f>
        <v>..</v>
      </c>
      <c r="BL459" s="117" t="str">
        <f>IFERROR(VLOOKUP($D459,'WB Data'!$C$3:$M$578,7,FALSE)/100,"..")</f>
        <v>..</v>
      </c>
      <c r="BM459" s="117" t="str">
        <f>IFERROR($AW459*$BL459,"..")</f>
        <v>..</v>
      </c>
      <c r="BN459" s="846" t="str">
        <f>IFERROR($BB459/$BM459,"..")</f>
        <v>..</v>
      </c>
      <c r="BO459" s="801">
        <f t="shared" si="80"/>
        <v>37</v>
      </c>
      <c r="BP459" s="117" t="str">
        <f>VLOOKUP($D459,'WB Data'!$C$3:$M$578,9,FALSE)</f>
        <v>..</v>
      </c>
      <c r="BQ459" s="117">
        <f>VLOOKUP($D459,'WB Data'!$C$3:$M$578,10,FALSE)</f>
        <v>60.431243902439029</v>
      </c>
      <c r="BR459" s="117">
        <f>VLOOKUP($D459,'WB Data'!$C$3:$M$578,11,FALSE)</f>
        <v>49</v>
      </c>
      <c r="BS459" s="129" t="str">
        <f>IFERROR(VLOOKUP($D459,'WB Data 2'!$C$2:$K$545,9,FALSE),"..")</f>
        <v>..</v>
      </c>
      <c r="BT459" s="129">
        <f>_xlfn.IFNA(VLOOKUP($C459,RGI!$A$2:$C$43,2,FALSE),"..")</f>
        <v>41.8</v>
      </c>
      <c r="BU459" s="129">
        <f>_xlfn.IFNA(VLOOKUP($C459,RGI!$A$2:$C$43,3,FALSE),"..")</f>
        <v>45.964036106201753</v>
      </c>
      <c r="BV459" s="129">
        <f>VLOOKUP($D459,WGI!$C$2:$O$478,7,FALSE)</f>
        <v>-0.98637035451663602</v>
      </c>
      <c r="BW459" s="129">
        <f>VLOOKUP($D459,WGI!$C$2:$O$478,4,FALSE)</f>
        <v>0.181107194869954</v>
      </c>
      <c r="BX459" s="129">
        <f>VLOOKUP($D459,WGI!$C$2:$O$478,3,FALSE)</f>
        <v>-0.848142100823019</v>
      </c>
      <c r="BY459" s="129">
        <f>VLOOKUP($D459,WGI!$C$2:$O$478,5,FALSE)</f>
        <v>-0.47528540908030997</v>
      </c>
      <c r="BZ459" s="129">
        <f>VLOOKUP($D459,WGI!$C$2:$O$478,2,FALSE)</f>
        <v>-0.96201247238732601</v>
      </c>
      <c r="CB459" s="129"/>
    </row>
    <row r="460" spans="1:80" ht="15" customHeight="1">
      <c r="A460" s="294" t="s">
        <v>194</v>
      </c>
      <c r="B460" s="117">
        <v>2004</v>
      </c>
      <c r="C460" s="117" t="s">
        <v>195</v>
      </c>
      <c r="D460" s="117" t="s">
        <v>3459</v>
      </c>
      <c r="E460" s="117" t="s">
        <v>86</v>
      </c>
      <c r="F460" s="117" t="s">
        <v>1130</v>
      </c>
      <c r="G460" s="117" t="s">
        <v>24</v>
      </c>
      <c r="H460" s="117" t="str">
        <f t="shared" si="75"/>
        <v>yes</v>
      </c>
      <c r="I460" s="117" t="str">
        <f t="shared" si="76"/>
        <v>no</v>
      </c>
      <c r="J460" s="117" t="str">
        <f t="shared" si="77"/>
        <v>no</v>
      </c>
      <c r="K460" s="117" t="s">
        <v>709</v>
      </c>
      <c r="L460" s="117" t="str">
        <f t="shared" si="79"/>
        <v>Total</v>
      </c>
      <c r="M460" s="117" t="str">
        <f t="shared" si="78"/>
        <v>Total Mining</v>
      </c>
      <c r="N460" s="118"/>
      <c r="O460" s="118"/>
      <c r="P460" s="118"/>
      <c r="Q460" s="118"/>
      <c r="R460" s="118"/>
      <c r="S460" s="117"/>
      <c r="T460" s="119"/>
      <c r="U460" s="117"/>
      <c r="V460" s="117"/>
      <c r="W460" s="89">
        <f>SUM(W461:W468)</f>
        <v>934916745.66586006</v>
      </c>
      <c r="X460" s="117" t="s">
        <v>1131</v>
      </c>
      <c r="Y460" s="117" t="s">
        <v>602</v>
      </c>
      <c r="Z460" s="117" t="s">
        <v>603</v>
      </c>
      <c r="AA460" s="177">
        <v>27021531.670000002</v>
      </c>
      <c r="AB460" s="177">
        <v>27012825.07</v>
      </c>
      <c r="AC460" s="351" t="s">
        <v>1132</v>
      </c>
      <c r="AD460" s="177">
        <f>AA460/80*100</f>
        <v>33776914.587500006</v>
      </c>
      <c r="AE460" s="351" t="s">
        <v>665</v>
      </c>
      <c r="AF460" s="213">
        <f>AD460/W460</f>
        <v>3.6128259274512881E-2</v>
      </c>
      <c r="AG460" s="117" t="s">
        <v>1133</v>
      </c>
      <c r="AH460" s="124">
        <v>0.91</v>
      </c>
      <c r="AI460" s="117" t="s">
        <v>667</v>
      </c>
      <c r="AJ460" s="117"/>
      <c r="AK460" s="89"/>
      <c r="AL460" s="117"/>
      <c r="AM460" s="117"/>
      <c r="AN460" s="117">
        <v>8</v>
      </c>
      <c r="AO460" s="117" t="s">
        <v>1134</v>
      </c>
      <c r="AP460" s="117">
        <v>8</v>
      </c>
      <c r="AQ460" s="117" t="s">
        <v>196</v>
      </c>
      <c r="AR460" s="126">
        <v>41891</v>
      </c>
      <c r="AS460" s="117" t="s">
        <v>1135</v>
      </c>
      <c r="AT460" s="127" t="s">
        <v>197</v>
      </c>
      <c r="AU460" s="117" t="s">
        <v>1136</v>
      </c>
      <c r="AV460" s="128" t="s">
        <v>1137</v>
      </c>
      <c r="AW460" s="117">
        <f>VLOOKUP($D460,'WB Data'!$C$3:$M$578,2,FALSE)</f>
        <v>8881419348.2170506</v>
      </c>
      <c r="AX460" s="117">
        <f>VLOOKUP($D460,'WB Data'!$C$3:$M$578,3,FALSE)</f>
        <v>20835514</v>
      </c>
      <c r="AY460" s="847">
        <f t="shared" si="81"/>
        <v>3.0424789789285861E-3</v>
      </c>
      <c r="AZ460" s="117">
        <f>VLOOKUP($D460,'WB Data'!$C$3:$M$578,4,FALSE)/100</f>
        <v>0.2371214600557206</v>
      </c>
      <c r="BA460" s="117">
        <f t="shared" si="82"/>
        <v>2105975123.2163534</v>
      </c>
      <c r="BB460" s="129">
        <f>IFERROR(VLOOKUP($D460,'EITI Revenues'!$C$2:$G$224,5,FALSE),"..")</f>
        <v>27021531.670000002</v>
      </c>
      <c r="BC460" s="846">
        <f t="shared" si="83"/>
        <v>1.2830888348164022E-2</v>
      </c>
      <c r="BD460" s="129" t="str">
        <f>VLOOKUP($D460,'WB Data 2'!$C$2:$K$545,6,FALSE)</f>
        <v>..</v>
      </c>
      <c r="BE460" s="129">
        <f>IFERROR(VLOOKUP($D460,UNCTAD!$C$5:$V$529,4,FALSE),"..")</f>
        <v>3406770000</v>
      </c>
      <c r="BF460" s="846" t="str">
        <f t="shared" si="84"/>
        <v>..</v>
      </c>
      <c r="BG460" s="117">
        <f>VLOOKUP($D460,'WB Data'!$C$3:$M$578,5,FALSE)</f>
        <v>1418690000</v>
      </c>
      <c r="BH460" s="129">
        <f>IFERROR($BB460/$BG460,"..")</f>
        <v>1.9046819016134604E-2</v>
      </c>
      <c r="BI460" s="117">
        <f>IFERROR(VLOOKUP($D460,'WB Data'!$C$3:$M$578,7,FALSE)/100,"..")</f>
        <v>7.5355800000000001E-2</v>
      </c>
      <c r="BJ460" s="117">
        <f>IFERROR($BI460*$AW460,"..")</f>
        <v>669266460.12037444</v>
      </c>
      <c r="BK460" s="846">
        <f>IFERROR($BB460/$BJ460,"..")</f>
        <v>4.0374848106298204E-2</v>
      </c>
      <c r="BL460" s="117">
        <f>IFERROR(VLOOKUP($D460,'WB Data'!$C$3:$M$578,7,FALSE)/100,"..")</f>
        <v>7.5355800000000001E-2</v>
      </c>
      <c r="BM460" s="117">
        <f>IFERROR($AW460*$BL460,"..")</f>
        <v>669266460.12037444</v>
      </c>
      <c r="BN460" s="846">
        <f>IFERROR($BB460/$BM460,"..")</f>
        <v>4.0374848106298204E-2</v>
      </c>
      <c r="BO460" s="801">
        <f t="shared" si="80"/>
        <v>48</v>
      </c>
      <c r="BP460" s="117" t="str">
        <f>VLOOKUP($D460,'WB Data'!$C$3:$M$578,9,FALSE)</f>
        <v>..</v>
      </c>
      <c r="BQ460" s="117">
        <f>VLOOKUP($D460,'WB Data'!$C$3:$M$578,10,FALSE)</f>
        <v>58.224853658536588</v>
      </c>
      <c r="BR460" s="117">
        <f>VLOOKUP($D460,'WB Data'!$C$3:$M$578,11,FALSE)</f>
        <v>58.9</v>
      </c>
      <c r="BS460" s="129">
        <f>IFERROR(VLOOKUP($D460,'WB Data 2'!$C$2:$K$545,9,FALSE),"..")</f>
        <v>60.50224</v>
      </c>
      <c r="BT460" s="129">
        <f>_xlfn.IFNA(VLOOKUP($C460,RGI!$A$2:$C$43,2,FALSE),"..")</f>
        <v>32.299999999999997</v>
      </c>
      <c r="BU460" s="129">
        <f>_xlfn.IFNA(VLOOKUP($C460,RGI!$A$2:$C$43,3,FALSE),"..")</f>
        <v>62.723264193960979</v>
      </c>
      <c r="BV460" s="129">
        <f>VLOOKUP($D460,WGI!$C$2:$O$478,7,FALSE)</f>
        <v>0.15143036109805399</v>
      </c>
      <c r="BW460" s="129">
        <f>VLOOKUP($D460,WGI!$C$2:$O$478,4,FALSE)</f>
        <v>6.2279754288806499E-3</v>
      </c>
      <c r="BX460" s="129">
        <f>VLOOKUP($D460,WGI!$C$2:$O$478,3,FALSE)</f>
        <v>-0.16104440204609899</v>
      </c>
      <c r="BY460" s="129">
        <f>VLOOKUP($D460,WGI!$C$2:$O$478,5,FALSE)</f>
        <v>-0.349652907871289</v>
      </c>
      <c r="BZ460" s="129">
        <f>VLOOKUP($D460,WGI!$C$2:$O$478,2,FALSE)</f>
        <v>-0.224504582179965</v>
      </c>
    </row>
    <row r="461" spans="1:80" ht="15" customHeight="1">
      <c r="A461" s="294" t="s">
        <v>194</v>
      </c>
      <c r="B461" s="117">
        <v>2004</v>
      </c>
      <c r="C461" s="117" t="s">
        <v>195</v>
      </c>
      <c r="D461" s="117" t="s">
        <v>3459</v>
      </c>
      <c r="E461" s="117" t="s">
        <v>86</v>
      </c>
      <c r="F461" s="117"/>
      <c r="G461" s="117" t="s">
        <v>24</v>
      </c>
      <c r="H461" s="117" t="str">
        <f t="shared" si="75"/>
        <v>yes</v>
      </c>
      <c r="I461" s="117" t="str">
        <f t="shared" si="76"/>
        <v>no</v>
      </c>
      <c r="J461" s="117" t="str">
        <f t="shared" si="77"/>
        <v>no</v>
      </c>
      <c r="K461" s="117" t="s">
        <v>1138</v>
      </c>
      <c r="L461" s="117" t="str">
        <f t="shared" si="79"/>
        <v>detailed</v>
      </c>
      <c r="M461" s="117" t="str">
        <f t="shared" si="78"/>
        <v>detailed Mining</v>
      </c>
      <c r="N461" s="118">
        <v>498</v>
      </c>
      <c r="O461" s="118"/>
      <c r="P461" s="118"/>
      <c r="Q461" s="118"/>
      <c r="R461" s="118"/>
      <c r="S461" s="117" t="s">
        <v>610</v>
      </c>
      <c r="T461" s="119">
        <v>22.5</v>
      </c>
      <c r="U461" s="117" t="s">
        <v>611</v>
      </c>
      <c r="V461" s="117" t="s">
        <v>1139</v>
      </c>
      <c r="W461" s="89">
        <f>N461*T461</f>
        <v>11205</v>
      </c>
      <c r="X461" s="117"/>
      <c r="Y461" s="117"/>
      <c r="Z461" s="117"/>
      <c r="AA461" s="117"/>
      <c r="AB461" s="117"/>
      <c r="AC461" s="240"/>
      <c r="AD461" s="240"/>
      <c r="AE461" s="240"/>
      <c r="AF461" s="241"/>
      <c r="AG461" s="117"/>
      <c r="AH461" s="124"/>
      <c r="AI461" s="117"/>
      <c r="AJ461" s="117"/>
      <c r="AK461" s="89"/>
      <c r="AL461" s="117"/>
      <c r="AM461" s="117"/>
      <c r="AN461" s="117">
        <v>1</v>
      </c>
      <c r="AO461" s="117" t="s">
        <v>1140</v>
      </c>
      <c r="AP461" s="117">
        <v>1</v>
      </c>
      <c r="AQ461" s="117"/>
      <c r="AR461" s="117"/>
      <c r="AS461" s="117"/>
      <c r="AT461" s="127"/>
      <c r="AU461" s="117"/>
      <c r="AV461" s="128"/>
      <c r="AW461" s="117">
        <f>VLOOKUP($D461,'WB Data'!$C$3:$M$578,2,FALSE)</f>
        <v>8881419348.2170506</v>
      </c>
      <c r="AX461" s="117">
        <f>VLOOKUP($D461,'WB Data'!$C$3:$M$578,3,FALSE)</f>
        <v>20835514</v>
      </c>
      <c r="AY461" s="847">
        <f t="shared" si="81"/>
        <v>3.0424789789285861E-3</v>
      </c>
      <c r="AZ461" s="117">
        <f>VLOOKUP($D461,'WB Data'!$C$3:$M$578,4,FALSE)/100</f>
        <v>0.2371214600557206</v>
      </c>
      <c r="BA461" s="117">
        <f t="shared" si="82"/>
        <v>2105975123.2163534</v>
      </c>
      <c r="BB461" s="129">
        <f>IFERROR(VLOOKUP($D461,'EITI Revenues'!$C$2:$G$224,5,FALSE),"..")</f>
        <v>27021531.670000002</v>
      </c>
      <c r="BC461" s="846">
        <f t="shared" si="83"/>
        <v>1.2830888348164022E-2</v>
      </c>
      <c r="BD461" s="129" t="str">
        <f>VLOOKUP($D461,'WB Data 2'!$C$2:$K$545,6,FALSE)</f>
        <v>..</v>
      </c>
      <c r="BE461" s="129">
        <f>IFERROR(VLOOKUP($D461,UNCTAD!$C$5:$V$529,4,FALSE),"..")</f>
        <v>3406770000</v>
      </c>
      <c r="BF461" s="846" t="str">
        <f t="shared" si="84"/>
        <v>..</v>
      </c>
      <c r="BG461" s="117">
        <f>VLOOKUP($D461,'WB Data'!$C$3:$M$578,5,FALSE)</f>
        <v>1418690000</v>
      </c>
      <c r="BH461" s="129">
        <f>IFERROR($BB461/$BG461,"..")</f>
        <v>1.9046819016134604E-2</v>
      </c>
      <c r="BI461" s="117">
        <f>IFERROR(VLOOKUP($D461,'WB Data'!$C$3:$M$578,7,FALSE)/100,"..")</f>
        <v>7.5355800000000001E-2</v>
      </c>
      <c r="BJ461" s="117">
        <f>IFERROR($BI461*$AW461,"..")</f>
        <v>669266460.12037444</v>
      </c>
      <c r="BK461" s="846">
        <f>IFERROR($BB461/$BJ461,"..")</f>
        <v>4.0374848106298204E-2</v>
      </c>
      <c r="BL461" s="117">
        <f>IFERROR(VLOOKUP($D461,'WB Data'!$C$3:$M$578,7,FALSE)/100,"..")</f>
        <v>7.5355800000000001E-2</v>
      </c>
      <c r="BM461" s="117">
        <f>IFERROR($AW461*$BL461,"..")</f>
        <v>669266460.12037444</v>
      </c>
      <c r="BN461" s="846">
        <f>IFERROR($BB461/$BM461,"..")</f>
        <v>4.0374848106298204E-2</v>
      </c>
      <c r="BO461" s="801">
        <f t="shared" si="80"/>
        <v>48</v>
      </c>
      <c r="BP461" s="117" t="str">
        <f>VLOOKUP($D461,'WB Data'!$C$3:$M$578,9,FALSE)</f>
        <v>..</v>
      </c>
      <c r="BQ461" s="117">
        <f>VLOOKUP($D461,'WB Data'!$C$3:$M$578,10,FALSE)</f>
        <v>58.224853658536588</v>
      </c>
      <c r="BR461" s="117">
        <f>VLOOKUP($D461,'WB Data'!$C$3:$M$578,11,FALSE)</f>
        <v>58.9</v>
      </c>
      <c r="BS461" s="129">
        <f>IFERROR(VLOOKUP($D461,'WB Data 2'!$C$2:$K$545,9,FALSE),"..")</f>
        <v>60.50224</v>
      </c>
      <c r="BT461" s="129">
        <f>_xlfn.IFNA(VLOOKUP($C461,RGI!$A$2:$C$43,2,FALSE),"..")</f>
        <v>32.299999999999997</v>
      </c>
      <c r="BU461" s="129">
        <f>_xlfn.IFNA(VLOOKUP($C461,RGI!$A$2:$C$43,3,FALSE),"..")</f>
        <v>62.723264193960979</v>
      </c>
      <c r="BV461" s="129">
        <f>VLOOKUP($D461,WGI!$C$2:$O$478,7,FALSE)</f>
        <v>0.15143036109805399</v>
      </c>
      <c r="BW461" s="129">
        <f>VLOOKUP($D461,WGI!$C$2:$O$478,4,FALSE)</f>
        <v>6.2279754288806499E-3</v>
      </c>
      <c r="BX461" s="129">
        <f>VLOOKUP($D461,WGI!$C$2:$O$478,3,FALSE)</f>
        <v>-0.16104440204609899</v>
      </c>
      <c r="BY461" s="129">
        <f>VLOOKUP($D461,WGI!$C$2:$O$478,5,FALSE)</f>
        <v>-0.349652907871289</v>
      </c>
      <c r="BZ461" s="129">
        <f>VLOOKUP($D461,WGI!$C$2:$O$478,2,FALSE)</f>
        <v>-0.224504582179965</v>
      </c>
    </row>
    <row r="462" spans="1:80" ht="15" customHeight="1">
      <c r="A462" s="294" t="s">
        <v>194</v>
      </c>
      <c r="B462" s="117">
        <v>2004</v>
      </c>
      <c r="C462" s="117" t="s">
        <v>195</v>
      </c>
      <c r="D462" s="117" t="s">
        <v>3459</v>
      </c>
      <c r="E462" s="117" t="s">
        <v>86</v>
      </c>
      <c r="F462" s="117"/>
      <c r="G462" s="117" t="s">
        <v>24</v>
      </c>
      <c r="H462" s="117" t="str">
        <f t="shared" si="75"/>
        <v>yes</v>
      </c>
      <c r="I462" s="117" t="str">
        <f t="shared" si="76"/>
        <v>no</v>
      </c>
      <c r="J462" s="117" t="str">
        <f t="shared" si="77"/>
        <v>no</v>
      </c>
      <c r="K462" s="117" t="s">
        <v>980</v>
      </c>
      <c r="L462" s="117" t="str">
        <f t="shared" si="79"/>
        <v>detailed</v>
      </c>
      <c r="M462" s="117" t="str">
        <f t="shared" si="78"/>
        <v>detailed Mining</v>
      </c>
      <c r="N462" s="118">
        <v>920000</v>
      </c>
      <c r="O462" s="118"/>
      <c r="P462" s="118"/>
      <c r="Q462" s="118"/>
      <c r="R462" s="118"/>
      <c r="S462" s="117" t="s">
        <v>981</v>
      </c>
      <c r="T462" s="119">
        <v>28.61</v>
      </c>
      <c r="U462" s="117" t="s">
        <v>982</v>
      </c>
      <c r="V462" s="117" t="s">
        <v>1141</v>
      </c>
      <c r="W462" s="89">
        <f>N462*T462</f>
        <v>26321200</v>
      </c>
      <c r="X462" s="117"/>
      <c r="Y462" s="117"/>
      <c r="Z462" s="117"/>
      <c r="AA462" s="117"/>
      <c r="AB462" s="117"/>
      <c r="AC462" s="240"/>
      <c r="AD462" s="240"/>
      <c r="AE462" s="240"/>
      <c r="AF462" s="241"/>
      <c r="AG462" s="117"/>
      <c r="AH462" s="124"/>
      <c r="AI462" s="117"/>
      <c r="AJ462" s="117"/>
      <c r="AK462" s="89"/>
      <c r="AL462" s="117"/>
      <c r="AM462" s="117"/>
      <c r="AN462" s="117"/>
      <c r="AO462" s="117"/>
      <c r="AP462" s="117"/>
      <c r="AQ462" s="117"/>
      <c r="AR462" s="117"/>
      <c r="AS462" s="117"/>
      <c r="AT462" s="127"/>
      <c r="AU462" s="117"/>
      <c r="AV462" s="128"/>
      <c r="AW462" s="117">
        <f>VLOOKUP($D462,'WB Data'!$C$3:$M$578,2,FALSE)</f>
        <v>8881419348.2170506</v>
      </c>
      <c r="AX462" s="117">
        <f>VLOOKUP($D462,'WB Data'!$C$3:$M$578,3,FALSE)</f>
        <v>20835514</v>
      </c>
      <c r="AY462" s="847">
        <f t="shared" si="81"/>
        <v>3.0424789789285861E-3</v>
      </c>
      <c r="AZ462" s="117">
        <f>VLOOKUP($D462,'WB Data'!$C$3:$M$578,4,FALSE)/100</f>
        <v>0.2371214600557206</v>
      </c>
      <c r="BA462" s="117">
        <f t="shared" si="82"/>
        <v>2105975123.2163534</v>
      </c>
      <c r="BB462" s="129">
        <f>IFERROR(VLOOKUP($D462,'EITI Revenues'!$C$2:$G$224,5,FALSE),"..")</f>
        <v>27021531.670000002</v>
      </c>
      <c r="BC462" s="846">
        <f t="shared" si="83"/>
        <v>1.2830888348164022E-2</v>
      </c>
      <c r="BD462" s="129" t="str">
        <f>VLOOKUP($D462,'WB Data 2'!$C$2:$K$545,6,FALSE)</f>
        <v>..</v>
      </c>
      <c r="BE462" s="129">
        <f>IFERROR(VLOOKUP($D462,UNCTAD!$C$5:$V$529,4,FALSE),"..")</f>
        <v>3406770000</v>
      </c>
      <c r="BF462" s="846" t="str">
        <f t="shared" si="84"/>
        <v>..</v>
      </c>
      <c r="BG462" s="117">
        <f>VLOOKUP($D462,'WB Data'!$C$3:$M$578,5,FALSE)</f>
        <v>1418690000</v>
      </c>
      <c r="BH462" s="129">
        <f>IFERROR($BB462/$BG462,"..")</f>
        <v>1.9046819016134604E-2</v>
      </c>
      <c r="BI462" s="117">
        <f>IFERROR(VLOOKUP($D462,'WB Data'!$C$3:$M$578,7,FALSE)/100,"..")</f>
        <v>7.5355800000000001E-2</v>
      </c>
      <c r="BJ462" s="117">
        <f>IFERROR($BI462*$AW462,"..")</f>
        <v>669266460.12037444</v>
      </c>
      <c r="BK462" s="846">
        <f>IFERROR($BB462/$BJ462,"..")</f>
        <v>4.0374848106298204E-2</v>
      </c>
      <c r="BL462" s="117">
        <f>IFERROR(VLOOKUP($D462,'WB Data'!$C$3:$M$578,7,FALSE)/100,"..")</f>
        <v>7.5355800000000001E-2</v>
      </c>
      <c r="BM462" s="117">
        <f>IFERROR($AW462*$BL462,"..")</f>
        <v>669266460.12037444</v>
      </c>
      <c r="BN462" s="846">
        <f>IFERROR($BB462/$BM462,"..")</f>
        <v>4.0374848106298204E-2</v>
      </c>
      <c r="BO462" s="801">
        <f t="shared" si="80"/>
        <v>48</v>
      </c>
      <c r="BP462" s="117" t="str">
        <f>VLOOKUP($D462,'WB Data'!$C$3:$M$578,9,FALSE)</f>
        <v>..</v>
      </c>
      <c r="BQ462" s="117">
        <f>VLOOKUP($D462,'WB Data'!$C$3:$M$578,10,FALSE)</f>
        <v>58.224853658536588</v>
      </c>
      <c r="BR462" s="117">
        <f>VLOOKUP($D462,'WB Data'!$C$3:$M$578,11,FALSE)</f>
        <v>58.9</v>
      </c>
      <c r="BS462" s="129">
        <f>IFERROR(VLOOKUP($D462,'WB Data 2'!$C$2:$K$545,9,FALSE),"..")</f>
        <v>60.50224</v>
      </c>
      <c r="BT462" s="129">
        <f>_xlfn.IFNA(VLOOKUP($C462,RGI!$A$2:$C$43,2,FALSE),"..")</f>
        <v>32.299999999999997</v>
      </c>
      <c r="BU462" s="129">
        <f>_xlfn.IFNA(VLOOKUP($C462,RGI!$A$2:$C$43,3,FALSE),"..")</f>
        <v>62.723264193960979</v>
      </c>
      <c r="BV462" s="129">
        <f>VLOOKUP($D462,WGI!$C$2:$O$478,7,FALSE)</f>
        <v>0.15143036109805399</v>
      </c>
      <c r="BW462" s="129">
        <f>VLOOKUP($D462,WGI!$C$2:$O$478,4,FALSE)</f>
        <v>6.2279754288806499E-3</v>
      </c>
      <c r="BX462" s="129">
        <f>VLOOKUP($D462,WGI!$C$2:$O$478,3,FALSE)</f>
        <v>-0.16104440204609899</v>
      </c>
      <c r="BY462" s="129">
        <f>VLOOKUP($D462,WGI!$C$2:$O$478,5,FALSE)</f>
        <v>-0.349652907871289</v>
      </c>
      <c r="BZ462" s="129">
        <f>VLOOKUP($D462,WGI!$C$2:$O$478,2,FALSE)</f>
        <v>-0.224504582179965</v>
      </c>
    </row>
    <row r="463" spans="1:80" ht="15" customHeight="1">
      <c r="A463" s="294" t="s">
        <v>194</v>
      </c>
      <c r="B463" s="117">
        <v>2004</v>
      </c>
      <c r="C463" s="117" t="s">
        <v>195</v>
      </c>
      <c r="D463" s="117" t="s">
        <v>3459</v>
      </c>
      <c r="E463" s="117" t="s">
        <v>86</v>
      </c>
      <c r="F463" s="117"/>
      <c r="G463" s="117" t="s">
        <v>24</v>
      </c>
      <c r="H463" s="117" t="str">
        <f t="shared" si="75"/>
        <v>yes</v>
      </c>
      <c r="I463" s="117" t="str">
        <f t="shared" si="76"/>
        <v>no</v>
      </c>
      <c r="J463" s="117" t="str">
        <f t="shared" si="77"/>
        <v>no</v>
      </c>
      <c r="K463" s="117" t="s">
        <v>784</v>
      </c>
      <c r="L463" s="117" t="str">
        <f t="shared" si="79"/>
        <v>detailed</v>
      </c>
      <c r="M463" s="117" t="str">
        <f t="shared" si="78"/>
        <v>detailed Mining</v>
      </c>
      <c r="N463" s="118">
        <f>63139*32.150743126506</f>
        <v>2029965.7702644623</v>
      </c>
      <c r="O463" s="118"/>
      <c r="P463" s="118"/>
      <c r="Q463" s="118"/>
      <c r="R463" s="118"/>
      <c r="S463" s="117" t="s">
        <v>785</v>
      </c>
      <c r="T463" s="119">
        <f>409.21158333333*1.0929</f>
        <v>447.22733942499633</v>
      </c>
      <c r="U463" s="117" t="s">
        <v>786</v>
      </c>
      <c r="V463" s="117" t="s">
        <v>1142</v>
      </c>
      <c r="W463" s="89">
        <f>N463*T463</f>
        <v>907856190.55918884</v>
      </c>
      <c r="X463" s="117"/>
      <c r="Y463" s="117"/>
      <c r="Z463" s="117"/>
      <c r="AA463" s="117"/>
      <c r="AB463" s="117"/>
      <c r="AC463" s="240"/>
      <c r="AD463" s="240"/>
      <c r="AE463" s="240"/>
      <c r="AF463" s="241"/>
      <c r="AG463" s="117"/>
      <c r="AH463" s="124"/>
      <c r="AI463" s="117"/>
      <c r="AJ463" s="117"/>
      <c r="AK463" s="89"/>
      <c r="AL463" s="117"/>
      <c r="AM463" s="117"/>
      <c r="AN463" s="117">
        <v>6</v>
      </c>
      <c r="AO463" s="117" t="s">
        <v>1143</v>
      </c>
      <c r="AP463" s="117">
        <v>6</v>
      </c>
      <c r="AQ463" s="117"/>
      <c r="AR463" s="117"/>
      <c r="AS463" s="117"/>
      <c r="AT463" s="127"/>
      <c r="AU463" s="117"/>
      <c r="AV463" s="128"/>
      <c r="AW463" s="117">
        <f>VLOOKUP($D463,'WB Data'!$C$3:$M$578,2,FALSE)</f>
        <v>8881419348.2170506</v>
      </c>
      <c r="AX463" s="117">
        <f>VLOOKUP($D463,'WB Data'!$C$3:$M$578,3,FALSE)</f>
        <v>20835514</v>
      </c>
      <c r="AY463" s="847">
        <f t="shared" si="81"/>
        <v>3.0424789789285861E-3</v>
      </c>
      <c r="AZ463" s="117">
        <f>VLOOKUP($D463,'WB Data'!$C$3:$M$578,4,FALSE)/100</f>
        <v>0.2371214600557206</v>
      </c>
      <c r="BA463" s="117">
        <f t="shared" si="82"/>
        <v>2105975123.2163534</v>
      </c>
      <c r="BB463" s="129">
        <f>IFERROR(VLOOKUP($D463,'EITI Revenues'!$C$2:$G$224,5,FALSE),"..")</f>
        <v>27021531.670000002</v>
      </c>
      <c r="BC463" s="846">
        <f t="shared" si="83"/>
        <v>1.2830888348164022E-2</v>
      </c>
      <c r="BD463" s="129" t="str">
        <f>VLOOKUP($D463,'WB Data 2'!$C$2:$K$545,6,FALSE)</f>
        <v>..</v>
      </c>
      <c r="BE463" s="129">
        <f>IFERROR(VLOOKUP($D463,UNCTAD!$C$5:$V$529,4,FALSE),"..")</f>
        <v>3406770000</v>
      </c>
      <c r="BF463" s="846" t="str">
        <f t="shared" si="84"/>
        <v>..</v>
      </c>
      <c r="BG463" s="117">
        <f>VLOOKUP($D463,'WB Data'!$C$3:$M$578,5,FALSE)</f>
        <v>1418690000</v>
      </c>
      <c r="BH463" s="129">
        <f>IFERROR($BB463/$BG463,"..")</f>
        <v>1.9046819016134604E-2</v>
      </c>
      <c r="BI463" s="117">
        <f>IFERROR(VLOOKUP($D463,'WB Data'!$C$3:$M$578,7,FALSE)/100,"..")</f>
        <v>7.5355800000000001E-2</v>
      </c>
      <c r="BJ463" s="117">
        <f>IFERROR($BI463*$AW463,"..")</f>
        <v>669266460.12037444</v>
      </c>
      <c r="BK463" s="846">
        <f>IFERROR($BB463/$BJ463,"..")</f>
        <v>4.0374848106298204E-2</v>
      </c>
      <c r="BL463" s="117">
        <f>IFERROR(VLOOKUP($D463,'WB Data'!$C$3:$M$578,7,FALSE)/100,"..")</f>
        <v>7.5355800000000001E-2</v>
      </c>
      <c r="BM463" s="117">
        <f>IFERROR($AW463*$BL463,"..")</f>
        <v>669266460.12037444</v>
      </c>
      <c r="BN463" s="846">
        <f>IFERROR($BB463/$BM463,"..")</f>
        <v>4.0374848106298204E-2</v>
      </c>
      <c r="BO463" s="801">
        <f t="shared" si="80"/>
        <v>48</v>
      </c>
      <c r="BP463" s="117" t="str">
        <f>VLOOKUP($D463,'WB Data'!$C$3:$M$578,9,FALSE)</f>
        <v>..</v>
      </c>
      <c r="BQ463" s="117">
        <f>VLOOKUP($D463,'WB Data'!$C$3:$M$578,10,FALSE)</f>
        <v>58.224853658536588</v>
      </c>
      <c r="BR463" s="117">
        <f>VLOOKUP($D463,'WB Data'!$C$3:$M$578,11,FALSE)</f>
        <v>58.9</v>
      </c>
      <c r="BS463" s="129">
        <f>IFERROR(VLOOKUP($D463,'WB Data 2'!$C$2:$K$545,9,FALSE),"..")</f>
        <v>60.50224</v>
      </c>
      <c r="BT463" s="129">
        <f>_xlfn.IFNA(VLOOKUP($C463,RGI!$A$2:$C$43,2,FALSE),"..")</f>
        <v>32.299999999999997</v>
      </c>
      <c r="BU463" s="129">
        <f>_xlfn.IFNA(VLOOKUP($C463,RGI!$A$2:$C$43,3,FALSE),"..")</f>
        <v>62.723264193960979</v>
      </c>
      <c r="BV463" s="129">
        <f>VLOOKUP($D463,WGI!$C$2:$O$478,7,FALSE)</f>
        <v>0.15143036109805399</v>
      </c>
      <c r="BW463" s="129">
        <f>VLOOKUP($D463,WGI!$C$2:$O$478,4,FALSE)</f>
        <v>6.2279754288806499E-3</v>
      </c>
      <c r="BX463" s="129">
        <f>VLOOKUP($D463,WGI!$C$2:$O$478,3,FALSE)</f>
        <v>-0.16104440204609899</v>
      </c>
      <c r="BY463" s="129">
        <f>VLOOKUP($D463,WGI!$C$2:$O$478,5,FALSE)</f>
        <v>-0.349652907871289</v>
      </c>
      <c r="BZ463" s="129">
        <f>VLOOKUP($D463,WGI!$C$2:$O$478,2,FALSE)</f>
        <v>-0.224504582179965</v>
      </c>
    </row>
    <row r="464" spans="1:80" ht="15" customHeight="1">
      <c r="A464" s="294" t="s">
        <v>194</v>
      </c>
      <c r="B464" s="117">
        <v>2004</v>
      </c>
      <c r="C464" s="117" t="s">
        <v>195</v>
      </c>
      <c r="D464" s="117" t="s">
        <v>3459</v>
      </c>
      <c r="E464" s="117" t="s">
        <v>86</v>
      </c>
      <c r="F464" s="117"/>
      <c r="G464" s="117" t="s">
        <v>24</v>
      </c>
      <c r="H464" s="117" t="str">
        <f t="shared" si="75"/>
        <v>yes</v>
      </c>
      <c r="I464" s="117" t="str">
        <f t="shared" si="76"/>
        <v>no</v>
      </c>
      <c r="J464" s="117" t="str">
        <f t="shared" si="77"/>
        <v>no</v>
      </c>
      <c r="K464" s="117" t="s">
        <v>843</v>
      </c>
      <c r="L464" s="117" t="str">
        <f t="shared" si="79"/>
        <v>detailed</v>
      </c>
      <c r="M464" s="117" t="str">
        <f t="shared" si="78"/>
        <v>detailed Mining</v>
      </c>
      <c r="N464" s="118"/>
      <c r="O464" s="118"/>
      <c r="P464" s="118"/>
      <c r="Q464" s="118"/>
      <c r="R464" s="118"/>
      <c r="S464" s="117"/>
      <c r="T464" s="119">
        <v>2.89</v>
      </c>
      <c r="U464" s="117" t="s">
        <v>611</v>
      </c>
      <c r="V464" s="117" t="s">
        <v>1144</v>
      </c>
      <c r="W464" s="89">
        <f>N466*T464</f>
        <v>1615.51</v>
      </c>
      <c r="X464" s="117"/>
      <c r="Y464" s="117"/>
      <c r="Z464" s="117"/>
      <c r="AA464" s="117"/>
      <c r="AB464" s="117"/>
      <c r="AC464" s="240"/>
      <c r="AD464" s="240"/>
      <c r="AE464" s="240"/>
      <c r="AF464" s="241"/>
      <c r="AG464" s="117"/>
      <c r="AH464" s="124"/>
      <c r="AI464" s="117"/>
      <c r="AJ464" s="117"/>
      <c r="AK464" s="89"/>
      <c r="AL464" s="117"/>
      <c r="AM464" s="117"/>
      <c r="AN464" s="117">
        <v>1</v>
      </c>
      <c r="AO464" s="117" t="s">
        <v>1145</v>
      </c>
      <c r="AP464" s="117">
        <v>1</v>
      </c>
      <c r="AQ464" s="117"/>
      <c r="AR464" s="117"/>
      <c r="AS464" s="117"/>
      <c r="AT464" s="127"/>
      <c r="AU464" s="117"/>
      <c r="AV464" s="128"/>
      <c r="AW464" s="117">
        <f>VLOOKUP($D464,'WB Data'!$C$3:$M$578,2,FALSE)</f>
        <v>8881419348.2170506</v>
      </c>
      <c r="AX464" s="117">
        <f>VLOOKUP($D464,'WB Data'!$C$3:$M$578,3,FALSE)</f>
        <v>20835514</v>
      </c>
      <c r="AY464" s="847">
        <f t="shared" si="81"/>
        <v>3.0424789789285861E-3</v>
      </c>
      <c r="AZ464" s="117">
        <f>VLOOKUP($D464,'WB Data'!$C$3:$M$578,4,FALSE)/100</f>
        <v>0.2371214600557206</v>
      </c>
      <c r="BA464" s="117">
        <f t="shared" si="82"/>
        <v>2105975123.2163534</v>
      </c>
      <c r="BB464" s="129">
        <f>IFERROR(VLOOKUP($D464,'EITI Revenues'!$C$2:$G$224,5,FALSE),"..")</f>
        <v>27021531.670000002</v>
      </c>
      <c r="BC464" s="846">
        <f t="shared" si="83"/>
        <v>1.2830888348164022E-2</v>
      </c>
      <c r="BD464" s="129" t="str">
        <f>VLOOKUP($D464,'WB Data 2'!$C$2:$K$545,6,FALSE)</f>
        <v>..</v>
      </c>
      <c r="BE464" s="129">
        <f>IFERROR(VLOOKUP($D464,UNCTAD!$C$5:$V$529,4,FALSE),"..")</f>
        <v>3406770000</v>
      </c>
      <c r="BF464" s="846" t="str">
        <f t="shared" si="84"/>
        <v>..</v>
      </c>
      <c r="BG464" s="117">
        <f>VLOOKUP($D464,'WB Data'!$C$3:$M$578,5,FALSE)</f>
        <v>1418690000</v>
      </c>
      <c r="BH464" s="129">
        <f>IFERROR($BB464/$BG464,"..")</f>
        <v>1.9046819016134604E-2</v>
      </c>
      <c r="BI464" s="117">
        <f>IFERROR(VLOOKUP($D464,'WB Data'!$C$3:$M$578,7,FALSE)/100,"..")</f>
        <v>7.5355800000000001E-2</v>
      </c>
      <c r="BJ464" s="117">
        <f>IFERROR($BI464*$AW464,"..")</f>
        <v>669266460.12037444</v>
      </c>
      <c r="BK464" s="846">
        <f>IFERROR($BB464/$BJ464,"..")</f>
        <v>4.0374848106298204E-2</v>
      </c>
      <c r="BL464" s="117">
        <f>IFERROR(VLOOKUP($D464,'WB Data'!$C$3:$M$578,7,FALSE)/100,"..")</f>
        <v>7.5355800000000001E-2</v>
      </c>
      <c r="BM464" s="117">
        <f>IFERROR($AW464*$BL464,"..")</f>
        <v>669266460.12037444</v>
      </c>
      <c r="BN464" s="846">
        <f>IFERROR($BB464/$BM464,"..")</f>
        <v>4.0374848106298204E-2</v>
      </c>
      <c r="BO464" s="801">
        <f t="shared" si="80"/>
        <v>48</v>
      </c>
      <c r="BP464" s="117" t="str">
        <f>VLOOKUP($D464,'WB Data'!$C$3:$M$578,9,FALSE)</f>
        <v>..</v>
      </c>
      <c r="BQ464" s="117">
        <f>VLOOKUP($D464,'WB Data'!$C$3:$M$578,10,FALSE)</f>
        <v>58.224853658536588</v>
      </c>
      <c r="BR464" s="117">
        <f>VLOOKUP($D464,'WB Data'!$C$3:$M$578,11,FALSE)</f>
        <v>58.9</v>
      </c>
      <c r="BS464" s="129">
        <f>IFERROR(VLOOKUP($D464,'WB Data 2'!$C$2:$K$545,9,FALSE),"..")</f>
        <v>60.50224</v>
      </c>
      <c r="BT464" s="129">
        <f>_xlfn.IFNA(VLOOKUP($C464,RGI!$A$2:$C$43,2,FALSE),"..")</f>
        <v>32.299999999999997</v>
      </c>
      <c r="BU464" s="129">
        <f>_xlfn.IFNA(VLOOKUP($C464,RGI!$A$2:$C$43,3,FALSE),"..")</f>
        <v>62.723264193960979</v>
      </c>
      <c r="BV464" s="129">
        <f>VLOOKUP($D464,WGI!$C$2:$O$478,7,FALSE)</f>
        <v>0.15143036109805399</v>
      </c>
      <c r="BW464" s="129">
        <f>VLOOKUP($D464,WGI!$C$2:$O$478,4,FALSE)</f>
        <v>6.2279754288806499E-3</v>
      </c>
      <c r="BX464" s="129">
        <f>VLOOKUP($D464,WGI!$C$2:$O$478,3,FALSE)</f>
        <v>-0.16104440204609899</v>
      </c>
      <c r="BY464" s="129">
        <f>VLOOKUP($D464,WGI!$C$2:$O$478,5,FALSE)</f>
        <v>-0.349652907871289</v>
      </c>
      <c r="BZ464" s="129">
        <f>VLOOKUP($D464,WGI!$C$2:$O$478,2,FALSE)</f>
        <v>-0.224504582179965</v>
      </c>
    </row>
    <row r="465" spans="1:80" ht="15" customHeight="1">
      <c r="A465" s="294" t="s">
        <v>194</v>
      </c>
      <c r="B465" s="117">
        <v>2004</v>
      </c>
      <c r="C465" s="117" t="s">
        <v>195</v>
      </c>
      <c r="D465" s="117" t="s">
        <v>3459</v>
      </c>
      <c r="E465" s="117" t="s">
        <v>86</v>
      </c>
      <c r="F465" s="117"/>
      <c r="G465" s="117" t="s">
        <v>24</v>
      </c>
      <c r="H465" s="117" t="str">
        <f t="shared" si="75"/>
        <v>yes</v>
      </c>
      <c r="I465" s="117" t="str">
        <f t="shared" si="76"/>
        <v>no</v>
      </c>
      <c r="J465" s="117" t="str">
        <f t="shared" si="77"/>
        <v>no</v>
      </c>
      <c r="K465" s="117" t="s">
        <v>846</v>
      </c>
      <c r="L465" s="117" t="str">
        <f t="shared" si="79"/>
        <v>detailed</v>
      </c>
      <c r="M465" s="117" t="str">
        <f t="shared" si="78"/>
        <v>detailed Mining</v>
      </c>
      <c r="N465" s="118">
        <v>1597</v>
      </c>
      <c r="O465" s="118"/>
      <c r="P465" s="118"/>
      <c r="Q465" s="118"/>
      <c r="R465" s="118"/>
      <c r="S465" s="117" t="s">
        <v>610</v>
      </c>
      <c r="T465" s="119"/>
      <c r="U465" s="117"/>
      <c r="V465" s="117" t="s">
        <v>1146</v>
      </c>
      <c r="W465" s="89"/>
      <c r="X465" s="117"/>
      <c r="Y465" s="117"/>
      <c r="Z465" s="117"/>
      <c r="AA465" s="117"/>
      <c r="AB465" s="117"/>
      <c r="AC465" s="240"/>
      <c r="AD465" s="240"/>
      <c r="AE465" s="240"/>
      <c r="AF465" s="241"/>
      <c r="AG465" s="117"/>
      <c r="AH465" s="124"/>
      <c r="AI465" s="117"/>
      <c r="AJ465" s="117"/>
      <c r="AK465" s="89"/>
      <c r="AL465" s="117"/>
      <c r="AM465" s="117"/>
      <c r="AN465" s="117"/>
      <c r="AO465" s="117"/>
      <c r="AP465" s="117"/>
      <c r="AQ465" s="117"/>
      <c r="AR465" s="117"/>
      <c r="AS465" s="117"/>
      <c r="AT465" s="127"/>
      <c r="AU465" s="117"/>
      <c r="AV465" s="128"/>
      <c r="AW465" s="117">
        <f>VLOOKUP($D465,'WB Data'!$C$3:$M$578,2,FALSE)</f>
        <v>8881419348.2170506</v>
      </c>
      <c r="AX465" s="117">
        <f>VLOOKUP($D465,'WB Data'!$C$3:$M$578,3,FALSE)</f>
        <v>20835514</v>
      </c>
      <c r="AY465" s="847">
        <f t="shared" si="81"/>
        <v>3.0424789789285861E-3</v>
      </c>
      <c r="AZ465" s="117">
        <f>VLOOKUP($D465,'WB Data'!$C$3:$M$578,4,FALSE)/100</f>
        <v>0.2371214600557206</v>
      </c>
      <c r="BA465" s="117">
        <f t="shared" si="82"/>
        <v>2105975123.2163534</v>
      </c>
      <c r="BB465" s="129">
        <f>IFERROR(VLOOKUP($D465,'EITI Revenues'!$C$2:$G$224,5,FALSE),"..")</f>
        <v>27021531.670000002</v>
      </c>
      <c r="BC465" s="846">
        <f t="shared" si="83"/>
        <v>1.2830888348164022E-2</v>
      </c>
      <c r="BD465" s="129" t="str">
        <f>VLOOKUP($D465,'WB Data 2'!$C$2:$K$545,6,FALSE)</f>
        <v>..</v>
      </c>
      <c r="BE465" s="129">
        <f>IFERROR(VLOOKUP($D465,UNCTAD!$C$5:$V$529,4,FALSE),"..")</f>
        <v>3406770000</v>
      </c>
      <c r="BF465" s="846" t="str">
        <f t="shared" si="84"/>
        <v>..</v>
      </c>
      <c r="BG465" s="117">
        <f>VLOOKUP($D465,'WB Data'!$C$3:$M$578,5,FALSE)</f>
        <v>1418690000</v>
      </c>
      <c r="BH465" s="129">
        <f>IFERROR($BB465/$BG465,"..")</f>
        <v>1.9046819016134604E-2</v>
      </c>
      <c r="BI465" s="117">
        <f>IFERROR(VLOOKUP($D465,'WB Data'!$C$3:$M$578,7,FALSE)/100,"..")</f>
        <v>7.5355800000000001E-2</v>
      </c>
      <c r="BJ465" s="117">
        <f>IFERROR($BI465*$AW465,"..")</f>
        <v>669266460.12037444</v>
      </c>
      <c r="BK465" s="846">
        <f>IFERROR($BB465/$BJ465,"..")</f>
        <v>4.0374848106298204E-2</v>
      </c>
      <c r="BL465" s="117">
        <f>IFERROR(VLOOKUP($D465,'WB Data'!$C$3:$M$578,7,FALSE)/100,"..")</f>
        <v>7.5355800000000001E-2</v>
      </c>
      <c r="BM465" s="117">
        <f>IFERROR($AW465*$BL465,"..")</f>
        <v>669266460.12037444</v>
      </c>
      <c r="BN465" s="846">
        <f>IFERROR($BB465/$BM465,"..")</f>
        <v>4.0374848106298204E-2</v>
      </c>
      <c r="BO465" s="801">
        <f t="shared" si="80"/>
        <v>48</v>
      </c>
      <c r="BP465" s="117" t="str">
        <f>VLOOKUP($D465,'WB Data'!$C$3:$M$578,9,FALSE)</f>
        <v>..</v>
      </c>
      <c r="BQ465" s="117">
        <f>VLOOKUP($D465,'WB Data'!$C$3:$M$578,10,FALSE)</f>
        <v>58.224853658536588</v>
      </c>
      <c r="BR465" s="117">
        <f>VLOOKUP($D465,'WB Data'!$C$3:$M$578,11,FALSE)</f>
        <v>58.9</v>
      </c>
      <c r="BS465" s="129">
        <f>IFERROR(VLOOKUP($D465,'WB Data 2'!$C$2:$K$545,9,FALSE),"..")</f>
        <v>60.50224</v>
      </c>
      <c r="BT465" s="129">
        <f>_xlfn.IFNA(VLOOKUP($C465,RGI!$A$2:$C$43,2,FALSE),"..")</f>
        <v>32.299999999999997</v>
      </c>
      <c r="BU465" s="129">
        <f>_xlfn.IFNA(VLOOKUP($C465,RGI!$A$2:$C$43,3,FALSE),"..")</f>
        <v>62.723264193960979</v>
      </c>
      <c r="BV465" s="129">
        <f>VLOOKUP($D465,WGI!$C$2:$O$478,7,FALSE)</f>
        <v>0.15143036109805399</v>
      </c>
      <c r="BW465" s="129">
        <f>VLOOKUP($D465,WGI!$C$2:$O$478,4,FALSE)</f>
        <v>6.2279754288806499E-3</v>
      </c>
      <c r="BX465" s="129">
        <f>VLOOKUP($D465,WGI!$C$2:$O$478,3,FALSE)</f>
        <v>-0.16104440204609899</v>
      </c>
      <c r="BY465" s="129">
        <f>VLOOKUP($D465,WGI!$C$2:$O$478,5,FALSE)</f>
        <v>-0.349652907871289</v>
      </c>
      <c r="BZ465" s="129">
        <f>VLOOKUP($D465,WGI!$C$2:$O$478,2,FALSE)</f>
        <v>-0.224504582179965</v>
      </c>
    </row>
    <row r="466" spans="1:80" ht="15" customHeight="1">
      <c r="A466" s="294" t="s">
        <v>194</v>
      </c>
      <c r="B466" s="117">
        <v>2004</v>
      </c>
      <c r="C466" s="117" t="s">
        <v>195</v>
      </c>
      <c r="D466" s="117" t="s">
        <v>3459</v>
      </c>
      <c r="E466" s="117" t="s">
        <v>86</v>
      </c>
      <c r="F466" s="117"/>
      <c r="G466" s="117" t="s">
        <v>24</v>
      </c>
      <c r="H466" s="117" t="str">
        <f t="shared" si="75"/>
        <v>yes</v>
      </c>
      <c r="I466" s="117" t="str">
        <f t="shared" si="76"/>
        <v>no</v>
      </c>
      <c r="J466" s="117" t="str">
        <f t="shared" si="77"/>
        <v>no</v>
      </c>
      <c r="K466" s="117" t="s">
        <v>848</v>
      </c>
      <c r="L466" s="117" t="str">
        <f t="shared" si="79"/>
        <v>detailed</v>
      </c>
      <c r="M466" s="117" t="str">
        <f t="shared" si="78"/>
        <v>detailed Mining</v>
      </c>
      <c r="N466" s="118">
        <v>559</v>
      </c>
      <c r="O466" s="118"/>
      <c r="P466" s="118"/>
      <c r="Q466" s="118"/>
      <c r="R466" s="118"/>
      <c r="S466" s="117" t="s">
        <v>610</v>
      </c>
      <c r="T466" s="119"/>
      <c r="U466" s="117"/>
      <c r="V466" s="117" t="s">
        <v>1146</v>
      </c>
      <c r="W466" s="89"/>
      <c r="X466" s="117"/>
      <c r="Y466" s="117"/>
      <c r="Z466" s="117"/>
      <c r="AA466" s="117"/>
      <c r="AB466" s="117"/>
      <c r="AC466" s="240"/>
      <c r="AD466" s="240"/>
      <c r="AE466" s="240"/>
      <c r="AF466" s="241"/>
      <c r="AG466" s="117"/>
      <c r="AH466" s="124"/>
      <c r="AI466" s="117"/>
      <c r="AJ466" s="117"/>
      <c r="AK466" s="89"/>
      <c r="AL466" s="117"/>
      <c r="AM466" s="117"/>
      <c r="AN466" s="117"/>
      <c r="AO466" s="117"/>
      <c r="AP466" s="117"/>
      <c r="AQ466" s="117"/>
      <c r="AR466" s="117"/>
      <c r="AS466" s="117"/>
      <c r="AT466" s="127"/>
      <c r="AU466" s="117"/>
      <c r="AV466" s="128"/>
      <c r="AW466" s="117">
        <f>VLOOKUP($D466,'WB Data'!$C$3:$M$578,2,FALSE)</f>
        <v>8881419348.2170506</v>
      </c>
      <c r="AX466" s="117">
        <f>VLOOKUP($D466,'WB Data'!$C$3:$M$578,3,FALSE)</f>
        <v>20835514</v>
      </c>
      <c r="AY466" s="847">
        <f t="shared" si="81"/>
        <v>3.0424789789285861E-3</v>
      </c>
      <c r="AZ466" s="117">
        <f>VLOOKUP($D466,'WB Data'!$C$3:$M$578,4,FALSE)/100</f>
        <v>0.2371214600557206</v>
      </c>
      <c r="BA466" s="117">
        <f t="shared" si="82"/>
        <v>2105975123.2163534</v>
      </c>
      <c r="BB466" s="129">
        <f>IFERROR(VLOOKUP($D466,'EITI Revenues'!$C$2:$G$224,5,FALSE),"..")</f>
        <v>27021531.670000002</v>
      </c>
      <c r="BC466" s="846">
        <f t="shared" si="83"/>
        <v>1.2830888348164022E-2</v>
      </c>
      <c r="BD466" s="129" t="str">
        <f>VLOOKUP($D466,'WB Data 2'!$C$2:$K$545,6,FALSE)</f>
        <v>..</v>
      </c>
      <c r="BE466" s="129">
        <f>IFERROR(VLOOKUP($D466,UNCTAD!$C$5:$V$529,4,FALSE),"..")</f>
        <v>3406770000</v>
      </c>
      <c r="BF466" s="846" t="str">
        <f t="shared" si="84"/>
        <v>..</v>
      </c>
      <c r="BG466" s="117">
        <f>VLOOKUP($D466,'WB Data'!$C$3:$M$578,5,FALSE)</f>
        <v>1418690000</v>
      </c>
      <c r="BH466" s="129">
        <f>IFERROR($BB466/$BG466,"..")</f>
        <v>1.9046819016134604E-2</v>
      </c>
      <c r="BI466" s="117">
        <f>IFERROR(VLOOKUP($D466,'WB Data'!$C$3:$M$578,7,FALSE)/100,"..")</f>
        <v>7.5355800000000001E-2</v>
      </c>
      <c r="BJ466" s="117">
        <f>IFERROR($BI466*$AW466,"..")</f>
        <v>669266460.12037444</v>
      </c>
      <c r="BK466" s="846">
        <f>IFERROR($BB466/$BJ466,"..")</f>
        <v>4.0374848106298204E-2</v>
      </c>
      <c r="BL466" s="117">
        <f>IFERROR(VLOOKUP($D466,'WB Data'!$C$3:$M$578,7,FALSE)/100,"..")</f>
        <v>7.5355800000000001E-2</v>
      </c>
      <c r="BM466" s="117">
        <f>IFERROR($AW466*$BL466,"..")</f>
        <v>669266460.12037444</v>
      </c>
      <c r="BN466" s="846">
        <f>IFERROR($BB466/$BM466,"..")</f>
        <v>4.0374848106298204E-2</v>
      </c>
      <c r="BO466" s="801">
        <f t="shared" si="80"/>
        <v>48</v>
      </c>
      <c r="BP466" s="117" t="str">
        <f>VLOOKUP($D466,'WB Data'!$C$3:$M$578,9,FALSE)</f>
        <v>..</v>
      </c>
      <c r="BQ466" s="117">
        <f>VLOOKUP($D466,'WB Data'!$C$3:$M$578,10,FALSE)</f>
        <v>58.224853658536588</v>
      </c>
      <c r="BR466" s="117">
        <f>VLOOKUP($D466,'WB Data'!$C$3:$M$578,11,FALSE)</f>
        <v>58.9</v>
      </c>
      <c r="BS466" s="129">
        <f>IFERROR(VLOOKUP($D466,'WB Data 2'!$C$2:$K$545,9,FALSE),"..")</f>
        <v>60.50224</v>
      </c>
      <c r="BT466" s="129">
        <f>_xlfn.IFNA(VLOOKUP($C466,RGI!$A$2:$C$43,2,FALSE),"..")</f>
        <v>32.299999999999997</v>
      </c>
      <c r="BU466" s="129">
        <f>_xlfn.IFNA(VLOOKUP($C466,RGI!$A$2:$C$43,3,FALSE),"..")</f>
        <v>62.723264193960979</v>
      </c>
      <c r="BV466" s="129">
        <f>VLOOKUP($D466,WGI!$C$2:$O$478,7,FALSE)</f>
        <v>0.15143036109805399</v>
      </c>
      <c r="BW466" s="129">
        <f>VLOOKUP($D466,WGI!$C$2:$O$478,4,FALSE)</f>
        <v>6.2279754288806499E-3</v>
      </c>
      <c r="BX466" s="129">
        <f>VLOOKUP($D466,WGI!$C$2:$O$478,3,FALSE)</f>
        <v>-0.16104440204609899</v>
      </c>
      <c r="BY466" s="129">
        <f>VLOOKUP($D466,WGI!$C$2:$O$478,5,FALSE)</f>
        <v>-0.349652907871289</v>
      </c>
      <c r="BZ466" s="129">
        <f>VLOOKUP($D466,WGI!$C$2:$O$478,2,FALSE)</f>
        <v>-0.224504582179965</v>
      </c>
    </row>
    <row r="467" spans="1:80" ht="15" customHeight="1">
      <c r="A467" s="294" t="s">
        <v>194</v>
      </c>
      <c r="B467" s="117">
        <v>2004</v>
      </c>
      <c r="C467" s="117" t="s">
        <v>195</v>
      </c>
      <c r="D467" s="117" t="s">
        <v>3459</v>
      </c>
      <c r="E467" s="117" t="s">
        <v>86</v>
      </c>
      <c r="F467" s="117"/>
      <c r="G467" s="117" t="s">
        <v>24</v>
      </c>
      <c r="H467" s="117" t="str">
        <f t="shared" si="75"/>
        <v>yes</v>
      </c>
      <c r="I467" s="117" t="str">
        <f t="shared" si="76"/>
        <v>no</v>
      </c>
      <c r="J467" s="117" t="str">
        <f t="shared" si="77"/>
        <v>no</v>
      </c>
      <c r="K467" s="117" t="s">
        <v>1147</v>
      </c>
      <c r="L467" s="117" t="str">
        <f t="shared" si="79"/>
        <v>detailed</v>
      </c>
      <c r="M467" s="117" t="str">
        <f t="shared" si="78"/>
        <v>detailed Mining</v>
      </c>
      <c r="N467" s="118">
        <v>265</v>
      </c>
      <c r="O467" s="118"/>
      <c r="P467" s="118"/>
      <c r="Q467" s="118"/>
      <c r="R467" s="118"/>
      <c r="S467" s="117" t="s">
        <v>610</v>
      </c>
      <c r="T467" s="119">
        <v>52.62</v>
      </c>
      <c r="U467" s="117" t="s">
        <v>611</v>
      </c>
      <c r="V467" s="117" t="s">
        <v>1148</v>
      </c>
      <c r="W467" s="89">
        <f>N467*T467</f>
        <v>13944.3</v>
      </c>
      <c r="X467" s="117"/>
      <c r="Y467" s="117"/>
      <c r="Z467" s="117"/>
      <c r="AA467" s="117"/>
      <c r="AB467" s="117"/>
      <c r="AC467" s="240"/>
      <c r="AD467" s="240"/>
      <c r="AE467" s="240"/>
      <c r="AF467" s="241"/>
      <c r="AG467" s="117"/>
      <c r="AH467" s="124"/>
      <c r="AI467" s="117"/>
      <c r="AJ467" s="117"/>
      <c r="AK467" s="89"/>
      <c r="AL467" s="117"/>
      <c r="AM467" s="117"/>
      <c r="AN467" s="117"/>
      <c r="AO467" s="117"/>
      <c r="AP467" s="117"/>
      <c r="AQ467" s="117"/>
      <c r="AR467" s="117"/>
      <c r="AS467" s="117"/>
      <c r="AT467" s="127"/>
      <c r="AU467" s="117"/>
      <c r="AV467" s="128"/>
      <c r="AW467" s="117">
        <f>VLOOKUP($D467,'WB Data'!$C$3:$M$578,2,FALSE)</f>
        <v>8881419348.2170506</v>
      </c>
      <c r="AX467" s="117">
        <f>VLOOKUP($D467,'WB Data'!$C$3:$M$578,3,FALSE)</f>
        <v>20835514</v>
      </c>
      <c r="AY467" s="847">
        <f t="shared" si="81"/>
        <v>3.0424789789285861E-3</v>
      </c>
      <c r="AZ467" s="117">
        <f>VLOOKUP($D467,'WB Data'!$C$3:$M$578,4,FALSE)/100</f>
        <v>0.2371214600557206</v>
      </c>
      <c r="BA467" s="117">
        <f t="shared" si="82"/>
        <v>2105975123.2163534</v>
      </c>
      <c r="BB467" s="129">
        <f>IFERROR(VLOOKUP($D467,'EITI Revenues'!$C$2:$G$224,5,FALSE),"..")</f>
        <v>27021531.670000002</v>
      </c>
      <c r="BC467" s="846">
        <f t="shared" si="83"/>
        <v>1.2830888348164022E-2</v>
      </c>
      <c r="BD467" s="129" t="str">
        <f>VLOOKUP($D467,'WB Data 2'!$C$2:$K$545,6,FALSE)</f>
        <v>..</v>
      </c>
      <c r="BE467" s="129">
        <f>IFERROR(VLOOKUP($D467,UNCTAD!$C$5:$V$529,4,FALSE),"..")</f>
        <v>3406770000</v>
      </c>
      <c r="BF467" s="846" t="str">
        <f t="shared" si="84"/>
        <v>..</v>
      </c>
      <c r="BG467" s="117">
        <f>VLOOKUP($D467,'WB Data'!$C$3:$M$578,5,FALSE)</f>
        <v>1418690000</v>
      </c>
      <c r="BH467" s="129">
        <f>IFERROR($BB467/$BG467,"..")</f>
        <v>1.9046819016134604E-2</v>
      </c>
      <c r="BI467" s="117">
        <f>IFERROR(VLOOKUP($D467,'WB Data'!$C$3:$M$578,7,FALSE)/100,"..")</f>
        <v>7.5355800000000001E-2</v>
      </c>
      <c r="BJ467" s="117">
        <f>IFERROR($BI467*$AW467,"..")</f>
        <v>669266460.12037444</v>
      </c>
      <c r="BK467" s="846">
        <f>IFERROR($BB467/$BJ467,"..")</f>
        <v>4.0374848106298204E-2</v>
      </c>
      <c r="BL467" s="117">
        <f>IFERROR(VLOOKUP($D467,'WB Data'!$C$3:$M$578,7,FALSE)/100,"..")</f>
        <v>7.5355800000000001E-2</v>
      </c>
      <c r="BM467" s="117">
        <f>IFERROR($AW467*$BL467,"..")</f>
        <v>669266460.12037444</v>
      </c>
      <c r="BN467" s="846">
        <f>IFERROR($BB467/$BM467,"..")</f>
        <v>4.0374848106298204E-2</v>
      </c>
      <c r="BO467" s="801">
        <f t="shared" si="80"/>
        <v>48</v>
      </c>
      <c r="BP467" s="117" t="str">
        <f>VLOOKUP($D467,'WB Data'!$C$3:$M$578,9,FALSE)</f>
        <v>..</v>
      </c>
      <c r="BQ467" s="117">
        <f>VLOOKUP($D467,'WB Data'!$C$3:$M$578,10,FALSE)</f>
        <v>58.224853658536588</v>
      </c>
      <c r="BR467" s="117">
        <f>VLOOKUP($D467,'WB Data'!$C$3:$M$578,11,FALSE)</f>
        <v>58.9</v>
      </c>
      <c r="BS467" s="129">
        <f>IFERROR(VLOOKUP($D467,'WB Data 2'!$C$2:$K$545,9,FALSE),"..")</f>
        <v>60.50224</v>
      </c>
      <c r="BT467" s="129">
        <f>_xlfn.IFNA(VLOOKUP($C467,RGI!$A$2:$C$43,2,FALSE),"..")</f>
        <v>32.299999999999997</v>
      </c>
      <c r="BU467" s="129">
        <f>_xlfn.IFNA(VLOOKUP($C467,RGI!$A$2:$C$43,3,FALSE),"..")</f>
        <v>62.723264193960979</v>
      </c>
      <c r="BV467" s="129">
        <f>VLOOKUP($D467,WGI!$C$2:$O$478,7,FALSE)</f>
        <v>0.15143036109805399</v>
      </c>
      <c r="BW467" s="129">
        <f>VLOOKUP($D467,WGI!$C$2:$O$478,4,FALSE)</f>
        <v>6.2279754288806499E-3</v>
      </c>
      <c r="BX467" s="129">
        <f>VLOOKUP($D467,WGI!$C$2:$O$478,3,FALSE)</f>
        <v>-0.16104440204609899</v>
      </c>
      <c r="BY467" s="129">
        <f>VLOOKUP($D467,WGI!$C$2:$O$478,5,FALSE)</f>
        <v>-0.349652907871289</v>
      </c>
      <c r="BZ467" s="129">
        <f>VLOOKUP($D467,WGI!$C$2:$O$478,2,FALSE)</f>
        <v>-0.224504582179965</v>
      </c>
    </row>
    <row r="468" spans="1:80" ht="15" customHeight="1">
      <c r="A468" s="294" t="s">
        <v>194</v>
      </c>
      <c r="B468" s="117">
        <v>2004</v>
      </c>
      <c r="C468" s="117" t="s">
        <v>195</v>
      </c>
      <c r="D468" s="117" t="s">
        <v>3459</v>
      </c>
      <c r="E468" s="117" t="s">
        <v>86</v>
      </c>
      <c r="F468" s="117"/>
      <c r="G468" s="117" t="s">
        <v>24</v>
      </c>
      <c r="H468" s="117" t="str">
        <f t="shared" si="75"/>
        <v>yes</v>
      </c>
      <c r="I468" s="117" t="str">
        <f t="shared" si="76"/>
        <v>no</v>
      </c>
      <c r="J468" s="117" t="str">
        <f t="shared" si="77"/>
        <v>no</v>
      </c>
      <c r="K468" s="117" t="s">
        <v>789</v>
      </c>
      <c r="L468" s="117" t="str">
        <f t="shared" si="79"/>
        <v>detailed</v>
      </c>
      <c r="M468" s="117" t="str">
        <f t="shared" si="78"/>
        <v>detailed Mining</v>
      </c>
      <c r="N468" s="118">
        <f>3329*32.150743126506</f>
        <v>107029.82386813848</v>
      </c>
      <c r="O468" s="118"/>
      <c r="P468" s="118"/>
      <c r="Q468" s="118"/>
      <c r="R468" s="118"/>
      <c r="S468" s="117" t="s">
        <v>785</v>
      </c>
      <c r="T468" s="119">
        <f>6.65786666667/1</f>
        <v>6.6578666666700004</v>
      </c>
      <c r="U468" s="117" t="s">
        <v>786</v>
      </c>
      <c r="V468" s="117" t="s">
        <v>1149</v>
      </c>
      <c r="W468" s="89">
        <f>N468*T468</f>
        <v>712590.29667124036</v>
      </c>
      <c r="X468" s="117"/>
      <c r="Y468" s="117"/>
      <c r="Z468" s="117"/>
      <c r="AA468" s="117"/>
      <c r="AB468" s="117"/>
      <c r="AC468" s="240"/>
      <c r="AD468" s="240"/>
      <c r="AE468" s="240"/>
      <c r="AF468" s="241"/>
      <c r="AG468" s="117"/>
      <c r="AH468" s="124"/>
      <c r="AI468" s="117"/>
      <c r="AJ468" s="117"/>
      <c r="AK468" s="89"/>
      <c r="AL468" s="117"/>
      <c r="AM468" s="117"/>
      <c r="AN468" s="117"/>
      <c r="AO468" s="117"/>
      <c r="AP468" s="117"/>
      <c r="AQ468" s="117"/>
      <c r="AR468" s="117"/>
      <c r="AS468" s="117"/>
      <c r="AT468" s="127"/>
      <c r="AU468" s="117"/>
      <c r="AV468" s="128"/>
      <c r="AW468" s="117">
        <f>VLOOKUP($D468,'WB Data'!$C$3:$M$578,2,FALSE)</f>
        <v>8881419348.2170506</v>
      </c>
      <c r="AX468" s="117">
        <f>VLOOKUP($D468,'WB Data'!$C$3:$M$578,3,FALSE)</f>
        <v>20835514</v>
      </c>
      <c r="AY468" s="847">
        <f t="shared" si="81"/>
        <v>3.0424789789285861E-3</v>
      </c>
      <c r="AZ468" s="117">
        <f>VLOOKUP($D468,'WB Data'!$C$3:$M$578,4,FALSE)/100</f>
        <v>0.2371214600557206</v>
      </c>
      <c r="BA468" s="117">
        <f t="shared" si="82"/>
        <v>2105975123.2163534</v>
      </c>
      <c r="BB468" s="129">
        <f>IFERROR(VLOOKUP($D468,'EITI Revenues'!$C$2:$G$224,5,FALSE),"..")</f>
        <v>27021531.670000002</v>
      </c>
      <c r="BC468" s="846">
        <f t="shared" si="83"/>
        <v>1.2830888348164022E-2</v>
      </c>
      <c r="BD468" s="129" t="str">
        <f>VLOOKUP($D468,'WB Data 2'!$C$2:$K$545,6,FALSE)</f>
        <v>..</v>
      </c>
      <c r="BE468" s="129">
        <f>IFERROR(VLOOKUP($D468,UNCTAD!$C$5:$V$529,4,FALSE),"..")</f>
        <v>3406770000</v>
      </c>
      <c r="BF468" s="846" t="str">
        <f t="shared" si="84"/>
        <v>..</v>
      </c>
      <c r="BG468" s="117">
        <f>VLOOKUP($D468,'WB Data'!$C$3:$M$578,5,FALSE)</f>
        <v>1418690000</v>
      </c>
      <c r="BH468" s="129">
        <f>IFERROR($BB468/$BG468,"..")</f>
        <v>1.9046819016134604E-2</v>
      </c>
      <c r="BI468" s="117">
        <f>IFERROR(VLOOKUP($D468,'WB Data'!$C$3:$M$578,7,FALSE)/100,"..")</f>
        <v>7.5355800000000001E-2</v>
      </c>
      <c r="BJ468" s="117">
        <f>IFERROR($BI468*$AW468,"..")</f>
        <v>669266460.12037444</v>
      </c>
      <c r="BK468" s="846">
        <f>IFERROR($BB468/$BJ468,"..")</f>
        <v>4.0374848106298204E-2</v>
      </c>
      <c r="BL468" s="117">
        <f>IFERROR(VLOOKUP($D468,'WB Data'!$C$3:$M$578,7,FALSE)/100,"..")</f>
        <v>7.5355800000000001E-2</v>
      </c>
      <c r="BM468" s="117">
        <f>IFERROR($AW468*$BL468,"..")</f>
        <v>669266460.12037444</v>
      </c>
      <c r="BN468" s="846">
        <f>IFERROR($BB468/$BM468,"..")</f>
        <v>4.0374848106298204E-2</v>
      </c>
      <c r="BO468" s="801">
        <f t="shared" si="80"/>
        <v>48</v>
      </c>
      <c r="BP468" s="117" t="str">
        <f>VLOOKUP($D468,'WB Data'!$C$3:$M$578,9,FALSE)</f>
        <v>..</v>
      </c>
      <c r="BQ468" s="117">
        <f>VLOOKUP($D468,'WB Data'!$C$3:$M$578,10,FALSE)</f>
        <v>58.224853658536588</v>
      </c>
      <c r="BR468" s="117">
        <f>VLOOKUP($D468,'WB Data'!$C$3:$M$578,11,FALSE)</f>
        <v>58.9</v>
      </c>
      <c r="BS468" s="129">
        <f>IFERROR(VLOOKUP($D468,'WB Data 2'!$C$2:$K$545,9,FALSE),"..")</f>
        <v>60.50224</v>
      </c>
      <c r="BT468" s="129">
        <f>_xlfn.IFNA(VLOOKUP($C468,RGI!$A$2:$C$43,2,FALSE),"..")</f>
        <v>32.299999999999997</v>
      </c>
      <c r="BU468" s="129">
        <f>_xlfn.IFNA(VLOOKUP($C468,RGI!$A$2:$C$43,3,FALSE),"..")</f>
        <v>62.723264193960979</v>
      </c>
      <c r="BV468" s="129">
        <f>VLOOKUP($D468,WGI!$C$2:$O$478,7,FALSE)</f>
        <v>0.15143036109805399</v>
      </c>
      <c r="BW468" s="129">
        <f>VLOOKUP($D468,WGI!$C$2:$O$478,4,FALSE)</f>
        <v>6.2279754288806499E-3</v>
      </c>
      <c r="BX468" s="129">
        <f>VLOOKUP($D468,WGI!$C$2:$O$478,3,FALSE)</f>
        <v>-0.16104440204609899</v>
      </c>
      <c r="BY468" s="129">
        <f>VLOOKUP($D468,WGI!$C$2:$O$478,5,FALSE)</f>
        <v>-0.349652907871289</v>
      </c>
      <c r="BZ468" s="129">
        <f>VLOOKUP($D468,WGI!$C$2:$O$478,2,FALSE)</f>
        <v>-0.224504582179965</v>
      </c>
    </row>
    <row r="469" spans="1:80" s="144" customFormat="1" ht="15" customHeight="1">
      <c r="A469" s="296" t="s">
        <v>198</v>
      </c>
      <c r="B469" s="132">
        <v>2005</v>
      </c>
      <c r="C469" s="117" t="s">
        <v>195</v>
      </c>
      <c r="D469" s="117" t="s">
        <v>3493</v>
      </c>
      <c r="E469" s="132" t="s">
        <v>86</v>
      </c>
      <c r="F469" s="132" t="s">
        <v>1130</v>
      </c>
      <c r="G469" s="132" t="s">
        <v>24</v>
      </c>
      <c r="H469" s="117" t="str">
        <f t="shared" si="75"/>
        <v>yes</v>
      </c>
      <c r="I469" s="117" t="str">
        <f t="shared" si="76"/>
        <v>no</v>
      </c>
      <c r="J469" s="117" t="str">
        <f t="shared" si="77"/>
        <v>no</v>
      </c>
      <c r="K469" s="132" t="s">
        <v>709</v>
      </c>
      <c r="L469" s="117" t="str">
        <f t="shared" si="79"/>
        <v>Total</v>
      </c>
      <c r="M469" s="117" t="str">
        <f t="shared" si="78"/>
        <v>Total Mining</v>
      </c>
      <c r="N469" s="133"/>
      <c r="O469" s="133"/>
      <c r="P469" s="133"/>
      <c r="Q469" s="133"/>
      <c r="R469" s="133"/>
      <c r="S469" s="132"/>
      <c r="T469" s="134"/>
      <c r="U469" s="132"/>
      <c r="V469" s="132"/>
      <c r="W469" s="135">
        <f>SUM(W470:W477)</f>
        <v>1079670872.9350934</v>
      </c>
      <c r="X469" s="136" t="s">
        <v>1150</v>
      </c>
      <c r="Y469" s="132" t="s">
        <v>602</v>
      </c>
      <c r="Z469" s="132" t="s">
        <v>603</v>
      </c>
      <c r="AA469" s="160">
        <v>44654643</v>
      </c>
      <c r="AB469" s="160">
        <v>44137187</v>
      </c>
      <c r="AC469" s="388" t="s">
        <v>1132</v>
      </c>
      <c r="AD469" s="160">
        <f>AA469/80*100</f>
        <v>55818303.75</v>
      </c>
      <c r="AE469" s="388" t="s">
        <v>665</v>
      </c>
      <c r="AF469" s="224">
        <f>AD469/W469</f>
        <v>5.1699369825785449E-2</v>
      </c>
      <c r="AG469" s="132" t="s">
        <v>1133</v>
      </c>
      <c r="AH469" s="140">
        <v>0.91</v>
      </c>
      <c r="AI469" s="132" t="s">
        <v>1151</v>
      </c>
      <c r="AJ469" s="132"/>
      <c r="AK469" s="135"/>
      <c r="AL469" s="132"/>
      <c r="AM469" s="132"/>
      <c r="AN469" s="132">
        <v>9</v>
      </c>
      <c r="AO469" s="132" t="s">
        <v>1152</v>
      </c>
      <c r="AP469" s="132">
        <v>9</v>
      </c>
      <c r="AQ469" s="389" t="s">
        <v>199</v>
      </c>
      <c r="AR469" s="141">
        <v>41891</v>
      </c>
      <c r="AS469" s="132" t="s">
        <v>1135</v>
      </c>
      <c r="AT469" s="142" t="s">
        <v>200</v>
      </c>
      <c r="AU469" s="132">
        <v>18</v>
      </c>
      <c r="AV469" s="143" t="s">
        <v>1153</v>
      </c>
      <c r="AW469" s="117">
        <f>VLOOKUP($D469,'WB Data'!$C$3:$M$578,2,FALSE)</f>
        <v>10731883141.445677</v>
      </c>
      <c r="AX469" s="117">
        <f>VLOOKUP($D469,'WB Data'!$C$3:$M$578,3,FALSE)</f>
        <v>21384034</v>
      </c>
      <c r="AY469" s="847">
        <f t="shared" si="81"/>
        <v>4.1609326537993437E-3</v>
      </c>
      <c r="AZ469" s="117">
        <f>VLOOKUP($D469,'WB Data'!$C$3:$M$578,4,FALSE)/100</f>
        <v>0.236884692085609</v>
      </c>
      <c r="BA469" s="117">
        <f t="shared" si="82"/>
        <v>2542218833.4600973</v>
      </c>
      <c r="BB469" s="129">
        <f>IFERROR(VLOOKUP($D469,'EITI Revenues'!$C$2:$G$224,5,FALSE),"..")</f>
        <v>44654643</v>
      </c>
      <c r="BC469" s="846">
        <f t="shared" si="83"/>
        <v>1.7565223895073822E-2</v>
      </c>
      <c r="BD469" s="129">
        <f>VLOOKUP($D469,'WB Data 2'!$C$2:$K$545,6,FALSE)</f>
        <v>235346363.23273212</v>
      </c>
      <c r="BE469" s="129">
        <f>IFERROR(VLOOKUP($D469,UNCTAD!$C$5:$V$529,4,FALSE),"..")</f>
        <v>3908690000</v>
      </c>
      <c r="BF469" s="846">
        <f t="shared" si="84"/>
        <v>6.0211058751840671E-2</v>
      </c>
      <c r="BG469" s="117">
        <f>VLOOKUP($D469,'WB Data'!$C$3:$M$578,5,FALSE)</f>
        <v>1150690000</v>
      </c>
      <c r="BH469" s="129">
        <f>IFERROR($BB469/$BG469,"..")</f>
        <v>3.8806840243679877E-2</v>
      </c>
      <c r="BI469" s="117">
        <f>IFERROR(VLOOKUP($D469,'WB Data'!$C$3:$M$578,7,FALSE)/100,"..")</f>
        <v>7.4220800000000003E-2</v>
      </c>
      <c r="BJ469" s="117">
        <f>IFERROR($BI469*$AW469,"..")</f>
        <v>796528952.26461136</v>
      </c>
      <c r="BK469" s="846">
        <f>IFERROR($BB469/$BJ469,"..")</f>
        <v>5.6061544119698839E-2</v>
      </c>
      <c r="BL469" s="117">
        <f>IFERROR(VLOOKUP($D469,'WB Data'!$C$3:$M$578,7,FALSE)/100,"..")</f>
        <v>7.4220800000000003E-2</v>
      </c>
      <c r="BM469" s="117">
        <f>IFERROR($AW469*$BL469,"..")</f>
        <v>796528952.26461136</v>
      </c>
      <c r="BN469" s="846">
        <f>IFERROR($BB469/$BM469,"..")</f>
        <v>5.6061544119698839E-2</v>
      </c>
      <c r="BO469" s="801">
        <f t="shared" si="80"/>
        <v>48</v>
      </c>
      <c r="BP469" s="117" t="str">
        <f>VLOOKUP($D469,'WB Data'!$C$3:$M$578,9,FALSE)</f>
        <v>..</v>
      </c>
      <c r="BQ469" s="117">
        <f>VLOOKUP($D469,'WB Data'!$C$3:$M$578,10,FALSE)</f>
        <v>58.704536585365858</v>
      </c>
      <c r="BR469" s="117">
        <f>VLOOKUP($D469,'WB Data'!$C$3:$M$578,11,FALSE)</f>
        <v>57.9</v>
      </c>
      <c r="BS469" s="129">
        <f>IFERROR(VLOOKUP($D469,'WB Data 2'!$C$2:$K$545,9,FALSE),"..")</f>
        <v>67.437200000000004</v>
      </c>
      <c r="BT469" s="129">
        <f>_xlfn.IFNA(VLOOKUP($C469,RGI!$A$2:$C$43,2,FALSE),"..")</f>
        <v>32.299999999999997</v>
      </c>
      <c r="BU469" s="129">
        <f>_xlfn.IFNA(VLOOKUP($C469,RGI!$A$2:$C$43,3,FALSE),"..")</f>
        <v>62.723264193960979</v>
      </c>
      <c r="BV469" s="129">
        <f>VLOOKUP($D469,WGI!$C$2:$O$478,7,FALSE)</f>
        <v>0.23989395967392299</v>
      </c>
      <c r="BW469" s="129">
        <f>VLOOKUP($D469,WGI!$C$2:$O$478,4,FALSE)</f>
        <v>0.17959163187848701</v>
      </c>
      <c r="BX469" s="129">
        <f>VLOOKUP($D469,WGI!$C$2:$O$478,3,FALSE)</f>
        <v>-0.155174502719477</v>
      </c>
      <c r="BY469" s="129">
        <f>VLOOKUP($D469,WGI!$C$2:$O$478,5,FALSE)</f>
        <v>-0.10778984291930301</v>
      </c>
      <c r="BZ469" s="129">
        <f>VLOOKUP($D469,WGI!$C$2:$O$478,2,FALSE)</f>
        <v>-0.36275648264418903</v>
      </c>
      <c r="CB469" s="129"/>
    </row>
    <row r="470" spans="1:80" s="120" customFormat="1" ht="15" customHeight="1">
      <c r="A470" s="294" t="s">
        <v>198</v>
      </c>
      <c r="B470" s="117">
        <v>2005</v>
      </c>
      <c r="C470" s="117" t="s">
        <v>195</v>
      </c>
      <c r="D470" s="117" t="s">
        <v>3493</v>
      </c>
      <c r="E470" s="117" t="s">
        <v>86</v>
      </c>
      <c r="F470" s="117"/>
      <c r="G470" s="117" t="s">
        <v>24</v>
      </c>
      <c r="H470" s="117" t="str">
        <f t="shared" si="75"/>
        <v>yes</v>
      </c>
      <c r="I470" s="117" t="str">
        <f t="shared" si="76"/>
        <v>no</v>
      </c>
      <c r="J470" s="117" t="str">
        <f t="shared" si="77"/>
        <v>no</v>
      </c>
      <c r="K470" s="117" t="s">
        <v>1138</v>
      </c>
      <c r="L470" s="117" t="str">
        <f t="shared" si="79"/>
        <v>detailed</v>
      </c>
      <c r="M470" s="117" t="str">
        <f t="shared" si="78"/>
        <v>detailed Mining</v>
      </c>
      <c r="N470" s="118">
        <v>727</v>
      </c>
      <c r="O470" s="118"/>
      <c r="P470" s="118"/>
      <c r="Q470" s="118"/>
      <c r="R470" s="118"/>
      <c r="S470" s="117" t="s">
        <v>610</v>
      </c>
      <c r="T470" s="119">
        <v>25.87</v>
      </c>
      <c r="U470" s="117" t="s">
        <v>611</v>
      </c>
      <c r="V470" s="117" t="s">
        <v>1139</v>
      </c>
      <c r="W470" s="89">
        <f>N470*T470</f>
        <v>18807.490000000002</v>
      </c>
      <c r="X470" s="117"/>
      <c r="Y470" s="117"/>
      <c r="Z470" s="117"/>
      <c r="AA470" s="177">
        <v>431213</v>
      </c>
      <c r="AB470" s="177">
        <v>431341</v>
      </c>
      <c r="AC470" s="122"/>
      <c r="AD470" s="122"/>
      <c r="AE470" s="122"/>
      <c r="AF470" s="123">
        <f>AA470/W470</f>
        <v>22.927727198047158</v>
      </c>
      <c r="AG470" s="117"/>
      <c r="AH470" s="124"/>
      <c r="AI470" s="117"/>
      <c r="AJ470" s="117"/>
      <c r="AK470" s="89"/>
      <c r="AL470" s="117"/>
      <c r="AM470" s="117"/>
      <c r="AN470" s="117">
        <v>1</v>
      </c>
      <c r="AO470" s="117" t="s">
        <v>1140</v>
      </c>
      <c r="AP470" s="117">
        <v>1</v>
      </c>
      <c r="AQ470" s="117"/>
      <c r="AR470" s="117"/>
      <c r="AS470" s="117"/>
      <c r="AT470" s="127"/>
      <c r="AU470" s="215" t="s">
        <v>1154</v>
      </c>
      <c r="AV470" s="128"/>
      <c r="AW470" s="117">
        <f>VLOOKUP($D470,'WB Data'!$C$3:$M$578,2,FALSE)</f>
        <v>10731883141.445677</v>
      </c>
      <c r="AX470" s="117">
        <f>VLOOKUP($D470,'WB Data'!$C$3:$M$578,3,FALSE)</f>
        <v>21384034</v>
      </c>
      <c r="AY470" s="847">
        <f t="shared" si="81"/>
        <v>4.1609326537993437E-3</v>
      </c>
      <c r="AZ470" s="117">
        <f>VLOOKUP($D470,'WB Data'!$C$3:$M$578,4,FALSE)/100</f>
        <v>0.236884692085609</v>
      </c>
      <c r="BA470" s="117">
        <f t="shared" si="82"/>
        <v>2542218833.4600973</v>
      </c>
      <c r="BB470" s="129">
        <f>IFERROR(VLOOKUP($D470,'EITI Revenues'!$C$2:$G$224,5,FALSE),"..")</f>
        <v>44654643</v>
      </c>
      <c r="BC470" s="846">
        <f t="shared" si="83"/>
        <v>1.7565223895073822E-2</v>
      </c>
      <c r="BD470" s="129">
        <f>VLOOKUP($D470,'WB Data 2'!$C$2:$K$545,6,FALSE)</f>
        <v>235346363.23273212</v>
      </c>
      <c r="BE470" s="129">
        <f>IFERROR(VLOOKUP($D470,UNCTAD!$C$5:$V$529,4,FALSE),"..")</f>
        <v>3908690000</v>
      </c>
      <c r="BF470" s="846">
        <f t="shared" si="84"/>
        <v>6.0211058751840671E-2</v>
      </c>
      <c r="BG470" s="117">
        <f>VLOOKUP($D470,'WB Data'!$C$3:$M$578,5,FALSE)</f>
        <v>1150690000</v>
      </c>
      <c r="BH470" s="129">
        <f>IFERROR($BB470/$BG470,"..")</f>
        <v>3.8806840243679877E-2</v>
      </c>
      <c r="BI470" s="117">
        <f>IFERROR(VLOOKUP($D470,'WB Data'!$C$3:$M$578,7,FALSE)/100,"..")</f>
        <v>7.4220800000000003E-2</v>
      </c>
      <c r="BJ470" s="117">
        <f>IFERROR($BI470*$AW470,"..")</f>
        <v>796528952.26461136</v>
      </c>
      <c r="BK470" s="846">
        <f>IFERROR($BB470/$BJ470,"..")</f>
        <v>5.6061544119698839E-2</v>
      </c>
      <c r="BL470" s="117">
        <f>IFERROR(VLOOKUP($D470,'WB Data'!$C$3:$M$578,7,FALSE)/100,"..")</f>
        <v>7.4220800000000003E-2</v>
      </c>
      <c r="BM470" s="117">
        <f>IFERROR($AW470*$BL470,"..")</f>
        <v>796528952.26461136</v>
      </c>
      <c r="BN470" s="846">
        <f>IFERROR($BB470/$BM470,"..")</f>
        <v>5.6061544119698839E-2</v>
      </c>
      <c r="BO470" s="801">
        <f t="shared" si="80"/>
        <v>48</v>
      </c>
      <c r="BP470" s="117" t="str">
        <f>VLOOKUP($D470,'WB Data'!$C$3:$M$578,9,FALSE)</f>
        <v>..</v>
      </c>
      <c r="BQ470" s="117">
        <f>VLOOKUP($D470,'WB Data'!$C$3:$M$578,10,FALSE)</f>
        <v>58.704536585365858</v>
      </c>
      <c r="BR470" s="117">
        <f>VLOOKUP($D470,'WB Data'!$C$3:$M$578,11,FALSE)</f>
        <v>57.9</v>
      </c>
      <c r="BS470" s="129">
        <f>IFERROR(VLOOKUP($D470,'WB Data 2'!$C$2:$K$545,9,FALSE),"..")</f>
        <v>67.437200000000004</v>
      </c>
      <c r="BT470" s="129">
        <f>_xlfn.IFNA(VLOOKUP($C470,RGI!$A$2:$C$43,2,FALSE),"..")</f>
        <v>32.299999999999997</v>
      </c>
      <c r="BU470" s="129">
        <f>_xlfn.IFNA(VLOOKUP($C470,RGI!$A$2:$C$43,3,FALSE),"..")</f>
        <v>62.723264193960979</v>
      </c>
      <c r="BV470" s="129">
        <f>VLOOKUP($D470,WGI!$C$2:$O$478,7,FALSE)</f>
        <v>0.23989395967392299</v>
      </c>
      <c r="BW470" s="129">
        <f>VLOOKUP($D470,WGI!$C$2:$O$478,4,FALSE)</f>
        <v>0.17959163187848701</v>
      </c>
      <c r="BX470" s="129">
        <f>VLOOKUP($D470,WGI!$C$2:$O$478,3,FALSE)</f>
        <v>-0.155174502719477</v>
      </c>
      <c r="BY470" s="129">
        <f>VLOOKUP($D470,WGI!$C$2:$O$478,5,FALSE)</f>
        <v>-0.10778984291930301</v>
      </c>
      <c r="BZ470" s="129">
        <f>VLOOKUP($D470,WGI!$C$2:$O$478,2,FALSE)</f>
        <v>-0.36275648264418903</v>
      </c>
      <c r="CB470" s="129"/>
    </row>
    <row r="471" spans="1:80" s="120" customFormat="1" ht="15" customHeight="1">
      <c r="A471" s="294" t="s">
        <v>198</v>
      </c>
      <c r="B471" s="117">
        <v>2005</v>
      </c>
      <c r="C471" s="117" t="s">
        <v>195</v>
      </c>
      <c r="D471" s="117" t="s">
        <v>3493</v>
      </c>
      <c r="E471" s="117" t="s">
        <v>86</v>
      </c>
      <c r="F471" s="117"/>
      <c r="G471" s="117" t="s">
        <v>24</v>
      </c>
      <c r="H471" s="117" t="str">
        <f t="shared" si="75"/>
        <v>yes</v>
      </c>
      <c r="I471" s="117" t="str">
        <f t="shared" si="76"/>
        <v>no</v>
      </c>
      <c r="J471" s="117" t="str">
        <f t="shared" si="77"/>
        <v>no</v>
      </c>
      <c r="K471" s="117" t="s">
        <v>980</v>
      </c>
      <c r="L471" s="117" t="str">
        <f t="shared" si="79"/>
        <v>detailed</v>
      </c>
      <c r="M471" s="117" t="str">
        <f t="shared" si="78"/>
        <v>detailed Mining</v>
      </c>
      <c r="N471" s="118">
        <v>1013000</v>
      </c>
      <c r="O471" s="118"/>
      <c r="P471" s="118"/>
      <c r="Q471" s="118"/>
      <c r="R471" s="118"/>
      <c r="S471" s="117" t="s">
        <v>981</v>
      </c>
      <c r="T471" s="119">
        <v>33.42</v>
      </c>
      <c r="U471" s="117" t="s">
        <v>982</v>
      </c>
      <c r="V471" s="117" t="s">
        <v>1155</v>
      </c>
      <c r="W471" s="89">
        <f>N471*T471</f>
        <v>33854460</v>
      </c>
      <c r="X471" s="117"/>
      <c r="Y471" s="117"/>
      <c r="Z471" s="117"/>
      <c r="AA471" s="117"/>
      <c r="AB471" s="117"/>
      <c r="AC471" s="240"/>
      <c r="AD471" s="240"/>
      <c r="AE471" s="240"/>
      <c r="AF471" s="241"/>
      <c r="AG471" s="117"/>
      <c r="AH471" s="124"/>
      <c r="AI471" s="117"/>
      <c r="AJ471" s="117"/>
      <c r="AK471" s="89"/>
      <c r="AL471" s="117"/>
      <c r="AM471" s="117"/>
      <c r="AN471" s="117"/>
      <c r="AO471" s="117"/>
      <c r="AP471" s="117"/>
      <c r="AQ471" s="117"/>
      <c r="AR471" s="117"/>
      <c r="AS471" s="117"/>
      <c r="AT471" s="127"/>
      <c r="AU471" s="117"/>
      <c r="AV471" s="128"/>
      <c r="AW471" s="117">
        <f>VLOOKUP($D471,'WB Data'!$C$3:$M$578,2,FALSE)</f>
        <v>10731883141.445677</v>
      </c>
      <c r="AX471" s="117">
        <f>VLOOKUP($D471,'WB Data'!$C$3:$M$578,3,FALSE)</f>
        <v>21384034</v>
      </c>
      <c r="AY471" s="847">
        <f t="shared" si="81"/>
        <v>4.1609326537993437E-3</v>
      </c>
      <c r="AZ471" s="117">
        <f>VLOOKUP($D471,'WB Data'!$C$3:$M$578,4,FALSE)/100</f>
        <v>0.236884692085609</v>
      </c>
      <c r="BA471" s="117">
        <f t="shared" si="82"/>
        <v>2542218833.4600973</v>
      </c>
      <c r="BB471" s="129">
        <f>IFERROR(VLOOKUP($D471,'EITI Revenues'!$C$2:$G$224,5,FALSE),"..")</f>
        <v>44654643</v>
      </c>
      <c r="BC471" s="846">
        <f t="shared" si="83"/>
        <v>1.7565223895073822E-2</v>
      </c>
      <c r="BD471" s="129">
        <f>VLOOKUP($D471,'WB Data 2'!$C$2:$K$545,6,FALSE)</f>
        <v>235346363.23273212</v>
      </c>
      <c r="BE471" s="129">
        <f>IFERROR(VLOOKUP($D471,UNCTAD!$C$5:$V$529,4,FALSE),"..")</f>
        <v>3908690000</v>
      </c>
      <c r="BF471" s="846">
        <f t="shared" si="84"/>
        <v>6.0211058751840671E-2</v>
      </c>
      <c r="BG471" s="117">
        <f>VLOOKUP($D471,'WB Data'!$C$3:$M$578,5,FALSE)</f>
        <v>1150690000</v>
      </c>
      <c r="BH471" s="129">
        <f>IFERROR($BB471/$BG471,"..")</f>
        <v>3.8806840243679877E-2</v>
      </c>
      <c r="BI471" s="117">
        <f>IFERROR(VLOOKUP($D471,'WB Data'!$C$3:$M$578,7,FALSE)/100,"..")</f>
        <v>7.4220800000000003E-2</v>
      </c>
      <c r="BJ471" s="117">
        <f>IFERROR($BI471*$AW471,"..")</f>
        <v>796528952.26461136</v>
      </c>
      <c r="BK471" s="846">
        <f>IFERROR($BB471/$BJ471,"..")</f>
        <v>5.6061544119698839E-2</v>
      </c>
      <c r="BL471" s="117">
        <f>IFERROR(VLOOKUP($D471,'WB Data'!$C$3:$M$578,7,FALSE)/100,"..")</f>
        <v>7.4220800000000003E-2</v>
      </c>
      <c r="BM471" s="117">
        <f>IFERROR($AW471*$BL471,"..")</f>
        <v>796528952.26461136</v>
      </c>
      <c r="BN471" s="846">
        <f>IFERROR($BB471/$BM471,"..")</f>
        <v>5.6061544119698839E-2</v>
      </c>
      <c r="BO471" s="801">
        <f t="shared" si="80"/>
        <v>48</v>
      </c>
      <c r="BP471" s="117" t="str">
        <f>VLOOKUP($D471,'WB Data'!$C$3:$M$578,9,FALSE)</f>
        <v>..</v>
      </c>
      <c r="BQ471" s="117">
        <f>VLOOKUP($D471,'WB Data'!$C$3:$M$578,10,FALSE)</f>
        <v>58.704536585365858</v>
      </c>
      <c r="BR471" s="117">
        <f>VLOOKUP($D471,'WB Data'!$C$3:$M$578,11,FALSE)</f>
        <v>57.9</v>
      </c>
      <c r="BS471" s="129">
        <f>IFERROR(VLOOKUP($D471,'WB Data 2'!$C$2:$K$545,9,FALSE),"..")</f>
        <v>67.437200000000004</v>
      </c>
      <c r="BT471" s="129">
        <f>_xlfn.IFNA(VLOOKUP($C471,RGI!$A$2:$C$43,2,FALSE),"..")</f>
        <v>32.299999999999997</v>
      </c>
      <c r="BU471" s="129">
        <f>_xlfn.IFNA(VLOOKUP($C471,RGI!$A$2:$C$43,3,FALSE),"..")</f>
        <v>62.723264193960979</v>
      </c>
      <c r="BV471" s="129">
        <f>VLOOKUP($D471,WGI!$C$2:$O$478,7,FALSE)</f>
        <v>0.23989395967392299</v>
      </c>
      <c r="BW471" s="129">
        <f>VLOOKUP($D471,WGI!$C$2:$O$478,4,FALSE)</f>
        <v>0.17959163187848701</v>
      </c>
      <c r="BX471" s="129">
        <f>VLOOKUP($D471,WGI!$C$2:$O$478,3,FALSE)</f>
        <v>-0.155174502719477</v>
      </c>
      <c r="BY471" s="129">
        <f>VLOOKUP($D471,WGI!$C$2:$O$478,5,FALSE)</f>
        <v>-0.10778984291930301</v>
      </c>
      <c r="BZ471" s="129">
        <f>VLOOKUP($D471,WGI!$C$2:$O$478,2,FALSE)</f>
        <v>-0.36275648264418903</v>
      </c>
      <c r="CB471" s="129"/>
    </row>
    <row r="472" spans="1:80" s="120" customFormat="1" ht="15" customHeight="1">
      <c r="A472" s="294" t="s">
        <v>198</v>
      </c>
      <c r="B472" s="117">
        <v>2005</v>
      </c>
      <c r="C472" s="117" t="s">
        <v>195</v>
      </c>
      <c r="D472" s="117" t="s">
        <v>3493</v>
      </c>
      <c r="E472" s="117" t="s">
        <v>86</v>
      </c>
      <c r="F472" s="117"/>
      <c r="G472" s="117" t="s">
        <v>24</v>
      </c>
      <c r="H472" s="117" t="str">
        <f t="shared" si="75"/>
        <v>yes</v>
      </c>
      <c r="I472" s="117" t="str">
        <f t="shared" si="76"/>
        <v>no</v>
      </c>
      <c r="J472" s="117" t="str">
        <f t="shared" si="77"/>
        <v>no</v>
      </c>
      <c r="K472" s="117" t="s">
        <v>784</v>
      </c>
      <c r="L472" s="117" t="str">
        <f t="shared" si="79"/>
        <v>detailed</v>
      </c>
      <c r="M472" s="117" t="str">
        <f t="shared" si="78"/>
        <v>detailed Mining</v>
      </c>
      <c r="N472" s="118">
        <f>66852*32.150743126506</f>
        <v>2149341.4794931794</v>
      </c>
      <c r="O472" s="118"/>
      <c r="P472" s="118"/>
      <c r="Q472" s="118"/>
      <c r="R472" s="118"/>
      <c r="S472" s="117" t="s">
        <v>785</v>
      </c>
      <c r="T472" s="119">
        <f>444.84258333333*1.0929</f>
        <v>486.16845932499638</v>
      </c>
      <c r="U472" s="117" t="s">
        <v>786</v>
      </c>
      <c r="V472" s="117" t="s">
        <v>1142</v>
      </c>
      <c r="W472" s="89">
        <f>N472*T472</f>
        <v>1044942035.6485074</v>
      </c>
      <c r="X472" s="117"/>
      <c r="Y472" s="117"/>
      <c r="Z472" s="117"/>
      <c r="AA472" s="177">
        <v>42823299</v>
      </c>
      <c r="AB472" s="177">
        <v>42305715</v>
      </c>
      <c r="AC472" s="122"/>
      <c r="AD472" s="122"/>
      <c r="AE472" s="122"/>
      <c r="AF472" s="123">
        <f>AA472/W472</f>
        <v>4.098150666646614E-2</v>
      </c>
      <c r="AG472" s="117"/>
      <c r="AH472" s="124"/>
      <c r="AI472" s="117"/>
      <c r="AJ472" s="117"/>
      <c r="AK472" s="89"/>
      <c r="AL472" s="117"/>
      <c r="AM472" s="117"/>
      <c r="AN472" s="117">
        <v>7</v>
      </c>
      <c r="AO472" s="117" t="s">
        <v>1156</v>
      </c>
      <c r="AP472" s="117">
        <v>7</v>
      </c>
      <c r="AQ472" s="117"/>
      <c r="AR472" s="117"/>
      <c r="AS472" s="117"/>
      <c r="AT472" s="127"/>
      <c r="AU472" s="215" t="s">
        <v>1154</v>
      </c>
      <c r="AV472" s="128"/>
      <c r="AW472" s="117">
        <f>VLOOKUP($D472,'WB Data'!$C$3:$M$578,2,FALSE)</f>
        <v>10731883141.445677</v>
      </c>
      <c r="AX472" s="117">
        <f>VLOOKUP($D472,'WB Data'!$C$3:$M$578,3,FALSE)</f>
        <v>21384034</v>
      </c>
      <c r="AY472" s="847">
        <f t="shared" si="81"/>
        <v>4.1609326537993437E-3</v>
      </c>
      <c r="AZ472" s="117">
        <f>VLOOKUP($D472,'WB Data'!$C$3:$M$578,4,FALSE)/100</f>
        <v>0.236884692085609</v>
      </c>
      <c r="BA472" s="117">
        <f t="shared" si="82"/>
        <v>2542218833.4600973</v>
      </c>
      <c r="BB472" s="129">
        <f>IFERROR(VLOOKUP($D472,'EITI Revenues'!$C$2:$G$224,5,FALSE),"..")</f>
        <v>44654643</v>
      </c>
      <c r="BC472" s="846">
        <f t="shared" si="83"/>
        <v>1.7565223895073822E-2</v>
      </c>
      <c r="BD472" s="129">
        <f>VLOOKUP($D472,'WB Data 2'!$C$2:$K$545,6,FALSE)</f>
        <v>235346363.23273212</v>
      </c>
      <c r="BE472" s="129">
        <f>IFERROR(VLOOKUP($D472,UNCTAD!$C$5:$V$529,4,FALSE),"..")</f>
        <v>3908690000</v>
      </c>
      <c r="BF472" s="846">
        <f t="shared" si="84"/>
        <v>6.0211058751840671E-2</v>
      </c>
      <c r="BG472" s="117">
        <f>VLOOKUP($D472,'WB Data'!$C$3:$M$578,5,FALSE)</f>
        <v>1150690000</v>
      </c>
      <c r="BH472" s="129">
        <f>IFERROR($BB472/$BG472,"..")</f>
        <v>3.8806840243679877E-2</v>
      </c>
      <c r="BI472" s="117">
        <f>IFERROR(VLOOKUP($D472,'WB Data'!$C$3:$M$578,7,FALSE)/100,"..")</f>
        <v>7.4220800000000003E-2</v>
      </c>
      <c r="BJ472" s="117">
        <f>IFERROR($BI472*$AW472,"..")</f>
        <v>796528952.26461136</v>
      </c>
      <c r="BK472" s="846">
        <f>IFERROR($BB472/$BJ472,"..")</f>
        <v>5.6061544119698839E-2</v>
      </c>
      <c r="BL472" s="117">
        <f>IFERROR(VLOOKUP($D472,'WB Data'!$C$3:$M$578,7,FALSE)/100,"..")</f>
        <v>7.4220800000000003E-2</v>
      </c>
      <c r="BM472" s="117">
        <f>IFERROR($AW472*$BL472,"..")</f>
        <v>796528952.26461136</v>
      </c>
      <c r="BN472" s="846">
        <f>IFERROR($BB472/$BM472,"..")</f>
        <v>5.6061544119698839E-2</v>
      </c>
      <c r="BO472" s="801">
        <f t="shared" si="80"/>
        <v>48</v>
      </c>
      <c r="BP472" s="117" t="str">
        <f>VLOOKUP($D472,'WB Data'!$C$3:$M$578,9,FALSE)</f>
        <v>..</v>
      </c>
      <c r="BQ472" s="117">
        <f>VLOOKUP($D472,'WB Data'!$C$3:$M$578,10,FALSE)</f>
        <v>58.704536585365858</v>
      </c>
      <c r="BR472" s="117">
        <f>VLOOKUP($D472,'WB Data'!$C$3:$M$578,11,FALSE)</f>
        <v>57.9</v>
      </c>
      <c r="BS472" s="129">
        <f>IFERROR(VLOOKUP($D472,'WB Data 2'!$C$2:$K$545,9,FALSE),"..")</f>
        <v>67.437200000000004</v>
      </c>
      <c r="BT472" s="129">
        <f>_xlfn.IFNA(VLOOKUP($C472,RGI!$A$2:$C$43,2,FALSE),"..")</f>
        <v>32.299999999999997</v>
      </c>
      <c r="BU472" s="129">
        <f>_xlfn.IFNA(VLOOKUP($C472,RGI!$A$2:$C$43,3,FALSE),"..")</f>
        <v>62.723264193960979</v>
      </c>
      <c r="BV472" s="129">
        <f>VLOOKUP($D472,WGI!$C$2:$O$478,7,FALSE)</f>
        <v>0.23989395967392299</v>
      </c>
      <c r="BW472" s="129">
        <f>VLOOKUP($D472,WGI!$C$2:$O$478,4,FALSE)</f>
        <v>0.17959163187848701</v>
      </c>
      <c r="BX472" s="129">
        <f>VLOOKUP($D472,WGI!$C$2:$O$478,3,FALSE)</f>
        <v>-0.155174502719477</v>
      </c>
      <c r="BY472" s="129">
        <f>VLOOKUP($D472,WGI!$C$2:$O$478,5,FALSE)</f>
        <v>-0.10778984291930301</v>
      </c>
      <c r="BZ472" s="129">
        <f>VLOOKUP($D472,WGI!$C$2:$O$478,2,FALSE)</f>
        <v>-0.36275648264418903</v>
      </c>
      <c r="CB472" s="129"/>
    </row>
    <row r="473" spans="1:80" s="120" customFormat="1" ht="15" customHeight="1">
      <c r="A473" s="294" t="s">
        <v>198</v>
      </c>
      <c r="B473" s="117">
        <v>2005</v>
      </c>
      <c r="C473" s="117" t="s">
        <v>195</v>
      </c>
      <c r="D473" s="117" t="s">
        <v>3493</v>
      </c>
      <c r="E473" s="117" t="s">
        <v>86</v>
      </c>
      <c r="F473" s="117"/>
      <c r="G473" s="117" t="s">
        <v>24</v>
      </c>
      <c r="H473" s="117" t="str">
        <f t="shared" si="75"/>
        <v>yes</v>
      </c>
      <c r="I473" s="117" t="str">
        <f t="shared" si="76"/>
        <v>no</v>
      </c>
      <c r="J473" s="117" t="str">
        <f t="shared" si="77"/>
        <v>no</v>
      </c>
      <c r="K473" s="117" t="s">
        <v>843</v>
      </c>
      <c r="L473" s="117" t="str">
        <f t="shared" si="79"/>
        <v>detailed</v>
      </c>
      <c r="M473" s="117" t="str">
        <f t="shared" si="78"/>
        <v>detailed Mining</v>
      </c>
      <c r="N473" s="118"/>
      <c r="O473" s="118"/>
      <c r="P473" s="118"/>
      <c r="Q473" s="118"/>
      <c r="R473" s="118"/>
      <c r="S473" s="117"/>
      <c r="T473" s="119">
        <v>4.3899999999999997</v>
      </c>
      <c r="U473" s="117" t="s">
        <v>611</v>
      </c>
      <c r="V473" s="117" t="s">
        <v>1144</v>
      </c>
      <c r="W473" s="89">
        <f>N475*T473</f>
        <v>2634</v>
      </c>
      <c r="X473" s="117"/>
      <c r="Y473" s="117"/>
      <c r="Z473" s="117"/>
      <c r="AA473" s="177">
        <v>1400131</v>
      </c>
      <c r="AB473" s="177">
        <v>1400131</v>
      </c>
      <c r="AC473" s="122"/>
      <c r="AD473" s="122"/>
      <c r="AE473" s="122"/>
      <c r="AF473" s="123">
        <f>AA473/W473</f>
        <v>531.56074411541385</v>
      </c>
      <c r="AG473" s="117"/>
      <c r="AH473" s="124"/>
      <c r="AI473" s="117"/>
      <c r="AJ473" s="117"/>
      <c r="AK473" s="89"/>
      <c r="AL473" s="117"/>
      <c r="AM473" s="117"/>
      <c r="AN473" s="117">
        <v>1</v>
      </c>
      <c r="AO473" s="117" t="s">
        <v>1145</v>
      </c>
      <c r="AP473" s="117">
        <v>1</v>
      </c>
      <c r="AQ473" s="117"/>
      <c r="AR473" s="117"/>
      <c r="AS473" s="117"/>
      <c r="AT473" s="127"/>
      <c r="AU473" s="215" t="s">
        <v>1154</v>
      </c>
      <c r="AV473" s="128"/>
      <c r="AW473" s="117">
        <f>VLOOKUP($D473,'WB Data'!$C$3:$M$578,2,FALSE)</f>
        <v>10731883141.445677</v>
      </c>
      <c r="AX473" s="117">
        <f>VLOOKUP($D473,'WB Data'!$C$3:$M$578,3,FALSE)</f>
        <v>21384034</v>
      </c>
      <c r="AY473" s="847">
        <f t="shared" si="81"/>
        <v>4.1609326537993437E-3</v>
      </c>
      <c r="AZ473" s="117">
        <f>VLOOKUP($D473,'WB Data'!$C$3:$M$578,4,FALSE)/100</f>
        <v>0.236884692085609</v>
      </c>
      <c r="BA473" s="117">
        <f t="shared" si="82"/>
        <v>2542218833.4600973</v>
      </c>
      <c r="BB473" s="129">
        <f>IFERROR(VLOOKUP($D473,'EITI Revenues'!$C$2:$G$224,5,FALSE),"..")</f>
        <v>44654643</v>
      </c>
      <c r="BC473" s="846">
        <f t="shared" si="83"/>
        <v>1.7565223895073822E-2</v>
      </c>
      <c r="BD473" s="129">
        <f>VLOOKUP($D473,'WB Data 2'!$C$2:$K$545,6,FALSE)</f>
        <v>235346363.23273212</v>
      </c>
      <c r="BE473" s="129">
        <f>IFERROR(VLOOKUP($D473,UNCTAD!$C$5:$V$529,4,FALSE),"..")</f>
        <v>3908690000</v>
      </c>
      <c r="BF473" s="846">
        <f t="shared" si="84"/>
        <v>6.0211058751840671E-2</v>
      </c>
      <c r="BG473" s="117">
        <f>VLOOKUP($D473,'WB Data'!$C$3:$M$578,5,FALSE)</f>
        <v>1150690000</v>
      </c>
      <c r="BH473" s="129">
        <f>IFERROR($BB473/$BG473,"..")</f>
        <v>3.8806840243679877E-2</v>
      </c>
      <c r="BI473" s="117">
        <f>IFERROR(VLOOKUP($D473,'WB Data'!$C$3:$M$578,7,FALSE)/100,"..")</f>
        <v>7.4220800000000003E-2</v>
      </c>
      <c r="BJ473" s="117">
        <f>IFERROR($BI473*$AW473,"..")</f>
        <v>796528952.26461136</v>
      </c>
      <c r="BK473" s="846">
        <f>IFERROR($BB473/$BJ473,"..")</f>
        <v>5.6061544119698839E-2</v>
      </c>
      <c r="BL473" s="117">
        <f>IFERROR(VLOOKUP($D473,'WB Data'!$C$3:$M$578,7,FALSE)/100,"..")</f>
        <v>7.4220800000000003E-2</v>
      </c>
      <c r="BM473" s="117">
        <f>IFERROR($AW473*$BL473,"..")</f>
        <v>796528952.26461136</v>
      </c>
      <c r="BN473" s="846">
        <f>IFERROR($BB473/$BM473,"..")</f>
        <v>5.6061544119698839E-2</v>
      </c>
      <c r="BO473" s="801">
        <f t="shared" si="80"/>
        <v>48</v>
      </c>
      <c r="BP473" s="117" t="str">
        <f>VLOOKUP($D473,'WB Data'!$C$3:$M$578,9,FALSE)</f>
        <v>..</v>
      </c>
      <c r="BQ473" s="117">
        <f>VLOOKUP($D473,'WB Data'!$C$3:$M$578,10,FALSE)</f>
        <v>58.704536585365858</v>
      </c>
      <c r="BR473" s="117">
        <f>VLOOKUP($D473,'WB Data'!$C$3:$M$578,11,FALSE)</f>
        <v>57.9</v>
      </c>
      <c r="BS473" s="129">
        <f>IFERROR(VLOOKUP($D473,'WB Data 2'!$C$2:$K$545,9,FALSE),"..")</f>
        <v>67.437200000000004</v>
      </c>
      <c r="BT473" s="129">
        <f>_xlfn.IFNA(VLOOKUP($C473,RGI!$A$2:$C$43,2,FALSE),"..")</f>
        <v>32.299999999999997</v>
      </c>
      <c r="BU473" s="129">
        <f>_xlfn.IFNA(VLOOKUP($C473,RGI!$A$2:$C$43,3,FALSE),"..")</f>
        <v>62.723264193960979</v>
      </c>
      <c r="BV473" s="129">
        <f>VLOOKUP($D473,WGI!$C$2:$O$478,7,FALSE)</f>
        <v>0.23989395967392299</v>
      </c>
      <c r="BW473" s="129">
        <f>VLOOKUP($D473,WGI!$C$2:$O$478,4,FALSE)</f>
        <v>0.17959163187848701</v>
      </c>
      <c r="BX473" s="129">
        <f>VLOOKUP($D473,WGI!$C$2:$O$478,3,FALSE)</f>
        <v>-0.155174502719477</v>
      </c>
      <c r="BY473" s="129">
        <f>VLOOKUP($D473,WGI!$C$2:$O$478,5,FALSE)</f>
        <v>-0.10778984291930301</v>
      </c>
      <c r="BZ473" s="129">
        <f>VLOOKUP($D473,WGI!$C$2:$O$478,2,FALSE)</f>
        <v>-0.36275648264418903</v>
      </c>
      <c r="CB473" s="129"/>
    </row>
    <row r="474" spans="1:80" s="120" customFormat="1" ht="15" customHeight="1">
      <c r="A474" s="294" t="s">
        <v>198</v>
      </c>
      <c r="B474" s="117">
        <v>2005</v>
      </c>
      <c r="C474" s="117" t="s">
        <v>195</v>
      </c>
      <c r="D474" s="117" t="s">
        <v>3493</v>
      </c>
      <c r="E474" s="117" t="s">
        <v>86</v>
      </c>
      <c r="F474" s="117"/>
      <c r="G474" s="117" t="s">
        <v>24</v>
      </c>
      <c r="H474" s="117" t="str">
        <f t="shared" si="75"/>
        <v>yes</v>
      </c>
      <c r="I474" s="117" t="str">
        <f t="shared" si="76"/>
        <v>no</v>
      </c>
      <c r="J474" s="117" t="str">
        <f t="shared" si="77"/>
        <v>no</v>
      </c>
      <c r="K474" s="117" t="s">
        <v>846</v>
      </c>
      <c r="L474" s="117" t="str">
        <f t="shared" si="79"/>
        <v>detailed</v>
      </c>
      <c r="M474" s="117" t="str">
        <f t="shared" si="78"/>
        <v>detailed Mining</v>
      </c>
      <c r="N474" s="118">
        <v>1715</v>
      </c>
      <c r="O474" s="118"/>
      <c r="P474" s="118"/>
      <c r="Q474" s="118"/>
      <c r="R474" s="118"/>
      <c r="S474" s="117" t="s">
        <v>610</v>
      </c>
      <c r="T474" s="119"/>
      <c r="U474" s="117"/>
      <c r="V474" s="117" t="s">
        <v>1146</v>
      </c>
      <c r="W474" s="89"/>
      <c r="X474" s="117"/>
      <c r="Y474" s="117"/>
      <c r="Z474" s="117"/>
      <c r="AA474" s="117"/>
      <c r="AB474" s="117"/>
      <c r="AC474" s="240"/>
      <c r="AD474" s="240"/>
      <c r="AE474" s="240"/>
      <c r="AF474" s="241"/>
      <c r="AG474" s="117"/>
      <c r="AH474" s="124"/>
      <c r="AI474" s="117"/>
      <c r="AJ474" s="117"/>
      <c r="AK474" s="89"/>
      <c r="AL474" s="117"/>
      <c r="AM474" s="117"/>
      <c r="AN474" s="117"/>
      <c r="AO474" s="117"/>
      <c r="AP474" s="117"/>
      <c r="AQ474" s="117"/>
      <c r="AR474" s="117"/>
      <c r="AS474" s="117"/>
      <c r="AT474" s="127"/>
      <c r="AU474" s="117"/>
      <c r="AV474" s="128"/>
      <c r="AW474" s="117">
        <f>VLOOKUP($D474,'WB Data'!$C$3:$M$578,2,FALSE)</f>
        <v>10731883141.445677</v>
      </c>
      <c r="AX474" s="117">
        <f>VLOOKUP($D474,'WB Data'!$C$3:$M$578,3,FALSE)</f>
        <v>21384034</v>
      </c>
      <c r="AY474" s="847">
        <f t="shared" si="81"/>
        <v>4.1609326537993437E-3</v>
      </c>
      <c r="AZ474" s="117">
        <f>VLOOKUP($D474,'WB Data'!$C$3:$M$578,4,FALSE)/100</f>
        <v>0.236884692085609</v>
      </c>
      <c r="BA474" s="117">
        <f t="shared" si="82"/>
        <v>2542218833.4600973</v>
      </c>
      <c r="BB474" s="129">
        <f>IFERROR(VLOOKUP($D474,'EITI Revenues'!$C$2:$G$224,5,FALSE),"..")</f>
        <v>44654643</v>
      </c>
      <c r="BC474" s="846">
        <f t="shared" si="83"/>
        <v>1.7565223895073822E-2</v>
      </c>
      <c r="BD474" s="129">
        <f>VLOOKUP($D474,'WB Data 2'!$C$2:$K$545,6,FALSE)</f>
        <v>235346363.23273212</v>
      </c>
      <c r="BE474" s="129">
        <f>IFERROR(VLOOKUP($D474,UNCTAD!$C$5:$V$529,4,FALSE),"..")</f>
        <v>3908690000</v>
      </c>
      <c r="BF474" s="846">
        <f t="shared" si="84"/>
        <v>6.0211058751840671E-2</v>
      </c>
      <c r="BG474" s="117">
        <f>VLOOKUP($D474,'WB Data'!$C$3:$M$578,5,FALSE)</f>
        <v>1150690000</v>
      </c>
      <c r="BH474" s="129">
        <f>IFERROR($BB474/$BG474,"..")</f>
        <v>3.8806840243679877E-2</v>
      </c>
      <c r="BI474" s="117">
        <f>IFERROR(VLOOKUP($D474,'WB Data'!$C$3:$M$578,7,FALSE)/100,"..")</f>
        <v>7.4220800000000003E-2</v>
      </c>
      <c r="BJ474" s="117">
        <f>IFERROR($BI474*$AW474,"..")</f>
        <v>796528952.26461136</v>
      </c>
      <c r="BK474" s="846">
        <f>IFERROR($BB474/$BJ474,"..")</f>
        <v>5.6061544119698839E-2</v>
      </c>
      <c r="BL474" s="117">
        <f>IFERROR(VLOOKUP($D474,'WB Data'!$C$3:$M$578,7,FALSE)/100,"..")</f>
        <v>7.4220800000000003E-2</v>
      </c>
      <c r="BM474" s="117">
        <f>IFERROR($AW474*$BL474,"..")</f>
        <v>796528952.26461136</v>
      </c>
      <c r="BN474" s="846">
        <f>IFERROR($BB474/$BM474,"..")</f>
        <v>5.6061544119698839E-2</v>
      </c>
      <c r="BO474" s="801">
        <f t="shared" si="80"/>
        <v>48</v>
      </c>
      <c r="BP474" s="117" t="str">
        <f>VLOOKUP($D474,'WB Data'!$C$3:$M$578,9,FALSE)</f>
        <v>..</v>
      </c>
      <c r="BQ474" s="117">
        <f>VLOOKUP($D474,'WB Data'!$C$3:$M$578,10,FALSE)</f>
        <v>58.704536585365858</v>
      </c>
      <c r="BR474" s="117">
        <f>VLOOKUP($D474,'WB Data'!$C$3:$M$578,11,FALSE)</f>
        <v>57.9</v>
      </c>
      <c r="BS474" s="129">
        <f>IFERROR(VLOOKUP($D474,'WB Data 2'!$C$2:$K$545,9,FALSE),"..")</f>
        <v>67.437200000000004</v>
      </c>
      <c r="BT474" s="129">
        <f>_xlfn.IFNA(VLOOKUP($C474,RGI!$A$2:$C$43,2,FALSE),"..")</f>
        <v>32.299999999999997</v>
      </c>
      <c r="BU474" s="129">
        <f>_xlfn.IFNA(VLOOKUP($C474,RGI!$A$2:$C$43,3,FALSE),"..")</f>
        <v>62.723264193960979</v>
      </c>
      <c r="BV474" s="129">
        <f>VLOOKUP($D474,WGI!$C$2:$O$478,7,FALSE)</f>
        <v>0.23989395967392299</v>
      </c>
      <c r="BW474" s="129">
        <f>VLOOKUP($D474,WGI!$C$2:$O$478,4,FALSE)</f>
        <v>0.17959163187848701</v>
      </c>
      <c r="BX474" s="129">
        <f>VLOOKUP($D474,WGI!$C$2:$O$478,3,FALSE)</f>
        <v>-0.155174502719477</v>
      </c>
      <c r="BY474" s="129">
        <f>VLOOKUP($D474,WGI!$C$2:$O$478,5,FALSE)</f>
        <v>-0.10778984291930301</v>
      </c>
      <c r="BZ474" s="129">
        <f>VLOOKUP($D474,WGI!$C$2:$O$478,2,FALSE)</f>
        <v>-0.36275648264418903</v>
      </c>
      <c r="CB474" s="129"/>
    </row>
    <row r="475" spans="1:80" s="120" customFormat="1" ht="15" customHeight="1">
      <c r="A475" s="294" t="s">
        <v>198</v>
      </c>
      <c r="B475" s="117">
        <v>2005</v>
      </c>
      <c r="C475" s="117" t="s">
        <v>195</v>
      </c>
      <c r="D475" s="117" t="s">
        <v>3493</v>
      </c>
      <c r="E475" s="117" t="s">
        <v>86</v>
      </c>
      <c r="F475" s="117"/>
      <c r="G475" s="117" t="s">
        <v>24</v>
      </c>
      <c r="H475" s="117" t="str">
        <f t="shared" si="75"/>
        <v>yes</v>
      </c>
      <c r="I475" s="117" t="str">
        <f t="shared" si="76"/>
        <v>no</v>
      </c>
      <c r="J475" s="117" t="str">
        <f t="shared" si="77"/>
        <v>no</v>
      </c>
      <c r="K475" s="117" t="s">
        <v>848</v>
      </c>
      <c r="L475" s="117" t="str">
        <f t="shared" si="79"/>
        <v>detailed</v>
      </c>
      <c r="M475" s="117" t="str">
        <f t="shared" si="78"/>
        <v>detailed Mining</v>
      </c>
      <c r="N475" s="118">
        <v>600</v>
      </c>
      <c r="O475" s="118"/>
      <c r="P475" s="118"/>
      <c r="Q475" s="118"/>
      <c r="R475" s="118"/>
      <c r="S475" s="117" t="s">
        <v>610</v>
      </c>
      <c r="T475" s="119"/>
      <c r="U475" s="117"/>
      <c r="V475" s="117" t="s">
        <v>1146</v>
      </c>
      <c r="W475" s="89"/>
      <c r="X475" s="117"/>
      <c r="Y475" s="117"/>
      <c r="Z475" s="117"/>
      <c r="AA475" s="117"/>
      <c r="AB475" s="117"/>
      <c r="AC475" s="240"/>
      <c r="AD475" s="240"/>
      <c r="AE475" s="240"/>
      <c r="AF475" s="241"/>
      <c r="AG475" s="117"/>
      <c r="AH475" s="124"/>
      <c r="AI475" s="117"/>
      <c r="AJ475" s="117"/>
      <c r="AK475" s="89"/>
      <c r="AL475" s="117"/>
      <c r="AM475" s="117"/>
      <c r="AN475" s="117"/>
      <c r="AO475" s="117"/>
      <c r="AP475" s="117"/>
      <c r="AQ475" s="117"/>
      <c r="AR475" s="117"/>
      <c r="AS475" s="117"/>
      <c r="AT475" s="127"/>
      <c r="AU475" s="117"/>
      <c r="AV475" s="128"/>
      <c r="AW475" s="117">
        <f>VLOOKUP($D475,'WB Data'!$C$3:$M$578,2,FALSE)</f>
        <v>10731883141.445677</v>
      </c>
      <c r="AX475" s="117">
        <f>VLOOKUP($D475,'WB Data'!$C$3:$M$578,3,FALSE)</f>
        <v>21384034</v>
      </c>
      <c r="AY475" s="847">
        <f t="shared" si="81"/>
        <v>4.1609326537993437E-3</v>
      </c>
      <c r="AZ475" s="117">
        <f>VLOOKUP($D475,'WB Data'!$C$3:$M$578,4,FALSE)/100</f>
        <v>0.236884692085609</v>
      </c>
      <c r="BA475" s="117">
        <f t="shared" si="82"/>
        <v>2542218833.4600973</v>
      </c>
      <c r="BB475" s="129">
        <f>IFERROR(VLOOKUP($D475,'EITI Revenues'!$C$2:$G$224,5,FALSE),"..")</f>
        <v>44654643</v>
      </c>
      <c r="BC475" s="846">
        <f t="shared" si="83"/>
        <v>1.7565223895073822E-2</v>
      </c>
      <c r="BD475" s="129">
        <f>VLOOKUP($D475,'WB Data 2'!$C$2:$K$545,6,FALSE)</f>
        <v>235346363.23273212</v>
      </c>
      <c r="BE475" s="129">
        <f>IFERROR(VLOOKUP($D475,UNCTAD!$C$5:$V$529,4,FALSE),"..")</f>
        <v>3908690000</v>
      </c>
      <c r="BF475" s="846">
        <f t="shared" si="84"/>
        <v>6.0211058751840671E-2</v>
      </c>
      <c r="BG475" s="117">
        <f>VLOOKUP($D475,'WB Data'!$C$3:$M$578,5,FALSE)</f>
        <v>1150690000</v>
      </c>
      <c r="BH475" s="129">
        <f>IFERROR($BB475/$BG475,"..")</f>
        <v>3.8806840243679877E-2</v>
      </c>
      <c r="BI475" s="117">
        <f>IFERROR(VLOOKUP($D475,'WB Data'!$C$3:$M$578,7,FALSE)/100,"..")</f>
        <v>7.4220800000000003E-2</v>
      </c>
      <c r="BJ475" s="117">
        <f>IFERROR($BI475*$AW475,"..")</f>
        <v>796528952.26461136</v>
      </c>
      <c r="BK475" s="846">
        <f>IFERROR($BB475/$BJ475,"..")</f>
        <v>5.6061544119698839E-2</v>
      </c>
      <c r="BL475" s="117">
        <f>IFERROR(VLOOKUP($D475,'WB Data'!$C$3:$M$578,7,FALSE)/100,"..")</f>
        <v>7.4220800000000003E-2</v>
      </c>
      <c r="BM475" s="117">
        <f>IFERROR($AW475*$BL475,"..")</f>
        <v>796528952.26461136</v>
      </c>
      <c r="BN475" s="846">
        <f>IFERROR($BB475/$BM475,"..")</f>
        <v>5.6061544119698839E-2</v>
      </c>
      <c r="BO475" s="801">
        <f t="shared" si="80"/>
        <v>48</v>
      </c>
      <c r="BP475" s="117" t="str">
        <f>VLOOKUP($D475,'WB Data'!$C$3:$M$578,9,FALSE)</f>
        <v>..</v>
      </c>
      <c r="BQ475" s="117">
        <f>VLOOKUP($D475,'WB Data'!$C$3:$M$578,10,FALSE)</f>
        <v>58.704536585365858</v>
      </c>
      <c r="BR475" s="117">
        <f>VLOOKUP($D475,'WB Data'!$C$3:$M$578,11,FALSE)</f>
        <v>57.9</v>
      </c>
      <c r="BS475" s="129">
        <f>IFERROR(VLOOKUP($D475,'WB Data 2'!$C$2:$K$545,9,FALSE),"..")</f>
        <v>67.437200000000004</v>
      </c>
      <c r="BT475" s="129">
        <f>_xlfn.IFNA(VLOOKUP($C475,RGI!$A$2:$C$43,2,FALSE),"..")</f>
        <v>32.299999999999997</v>
      </c>
      <c r="BU475" s="129">
        <f>_xlfn.IFNA(VLOOKUP($C475,RGI!$A$2:$C$43,3,FALSE),"..")</f>
        <v>62.723264193960979</v>
      </c>
      <c r="BV475" s="129">
        <f>VLOOKUP($D475,WGI!$C$2:$O$478,7,FALSE)</f>
        <v>0.23989395967392299</v>
      </c>
      <c r="BW475" s="129">
        <f>VLOOKUP($D475,WGI!$C$2:$O$478,4,FALSE)</f>
        <v>0.17959163187848701</v>
      </c>
      <c r="BX475" s="129">
        <f>VLOOKUP($D475,WGI!$C$2:$O$478,3,FALSE)</f>
        <v>-0.155174502719477</v>
      </c>
      <c r="BY475" s="129">
        <f>VLOOKUP($D475,WGI!$C$2:$O$478,5,FALSE)</f>
        <v>-0.10778984291930301</v>
      </c>
      <c r="BZ475" s="129">
        <f>VLOOKUP($D475,WGI!$C$2:$O$478,2,FALSE)</f>
        <v>-0.36275648264418903</v>
      </c>
      <c r="CB475" s="129"/>
    </row>
    <row r="476" spans="1:80" s="120" customFormat="1" ht="15" customHeight="1">
      <c r="A476" s="294" t="s">
        <v>198</v>
      </c>
      <c r="B476" s="117">
        <v>2005</v>
      </c>
      <c r="C476" s="117" t="s">
        <v>195</v>
      </c>
      <c r="D476" s="117" t="s">
        <v>3493</v>
      </c>
      <c r="E476" s="117" t="s">
        <v>86</v>
      </c>
      <c r="F476" s="117"/>
      <c r="G476" s="117" t="s">
        <v>24</v>
      </c>
      <c r="H476" s="117" t="str">
        <f t="shared" si="75"/>
        <v>yes</v>
      </c>
      <c r="I476" s="117" t="str">
        <f t="shared" si="76"/>
        <v>no</v>
      </c>
      <c r="J476" s="117" t="str">
        <f t="shared" si="77"/>
        <v>no</v>
      </c>
      <c r="K476" s="117" t="s">
        <v>1147</v>
      </c>
      <c r="L476" s="117" t="str">
        <f t="shared" si="79"/>
        <v>detailed</v>
      </c>
      <c r="M476" s="117" t="str">
        <f t="shared" si="78"/>
        <v>detailed Mining</v>
      </c>
      <c r="N476" s="118">
        <v>250</v>
      </c>
      <c r="O476" s="118"/>
      <c r="P476" s="118"/>
      <c r="Q476" s="118"/>
      <c r="R476" s="118"/>
      <c r="S476" s="117" t="s">
        <v>610</v>
      </c>
      <c r="T476" s="119">
        <v>55.44</v>
      </c>
      <c r="U476" s="117" t="s">
        <v>611</v>
      </c>
      <c r="V476" s="117" t="s">
        <v>1148</v>
      </c>
      <c r="W476" s="89">
        <f>N476*T476</f>
        <v>13860</v>
      </c>
      <c r="X476" s="117"/>
      <c r="Y476" s="117"/>
      <c r="Z476" s="117"/>
      <c r="AA476" s="117"/>
      <c r="AB476" s="117"/>
      <c r="AC476" s="240"/>
      <c r="AD476" s="240"/>
      <c r="AE476" s="240"/>
      <c r="AF476" s="241"/>
      <c r="AG476" s="117"/>
      <c r="AH476" s="124"/>
      <c r="AI476" s="117"/>
      <c r="AJ476" s="117"/>
      <c r="AK476" s="89"/>
      <c r="AL476" s="117"/>
      <c r="AM476" s="117"/>
      <c r="AN476" s="117"/>
      <c r="AO476" s="117"/>
      <c r="AP476" s="117"/>
      <c r="AQ476" s="117"/>
      <c r="AR476" s="117"/>
      <c r="AS476" s="117"/>
      <c r="AT476" s="127"/>
      <c r="AU476" s="117"/>
      <c r="AV476" s="128"/>
      <c r="AW476" s="117">
        <f>VLOOKUP($D476,'WB Data'!$C$3:$M$578,2,FALSE)</f>
        <v>10731883141.445677</v>
      </c>
      <c r="AX476" s="117">
        <f>VLOOKUP($D476,'WB Data'!$C$3:$M$578,3,FALSE)</f>
        <v>21384034</v>
      </c>
      <c r="AY476" s="847">
        <f t="shared" si="81"/>
        <v>4.1609326537993437E-3</v>
      </c>
      <c r="AZ476" s="117">
        <f>VLOOKUP($D476,'WB Data'!$C$3:$M$578,4,FALSE)/100</f>
        <v>0.236884692085609</v>
      </c>
      <c r="BA476" s="117">
        <f t="shared" si="82"/>
        <v>2542218833.4600973</v>
      </c>
      <c r="BB476" s="129">
        <f>IFERROR(VLOOKUP($D476,'EITI Revenues'!$C$2:$G$224,5,FALSE),"..")</f>
        <v>44654643</v>
      </c>
      <c r="BC476" s="846">
        <f t="shared" si="83"/>
        <v>1.7565223895073822E-2</v>
      </c>
      <c r="BD476" s="129">
        <f>VLOOKUP($D476,'WB Data 2'!$C$2:$K$545,6,FALSE)</f>
        <v>235346363.23273212</v>
      </c>
      <c r="BE476" s="129">
        <f>IFERROR(VLOOKUP($D476,UNCTAD!$C$5:$V$529,4,FALSE),"..")</f>
        <v>3908690000</v>
      </c>
      <c r="BF476" s="846">
        <f t="shared" si="84"/>
        <v>6.0211058751840671E-2</v>
      </c>
      <c r="BG476" s="117">
        <f>VLOOKUP($D476,'WB Data'!$C$3:$M$578,5,FALSE)</f>
        <v>1150690000</v>
      </c>
      <c r="BH476" s="129">
        <f>IFERROR($BB476/$BG476,"..")</f>
        <v>3.8806840243679877E-2</v>
      </c>
      <c r="BI476" s="117">
        <f>IFERROR(VLOOKUP($D476,'WB Data'!$C$3:$M$578,7,FALSE)/100,"..")</f>
        <v>7.4220800000000003E-2</v>
      </c>
      <c r="BJ476" s="117">
        <f>IFERROR($BI476*$AW476,"..")</f>
        <v>796528952.26461136</v>
      </c>
      <c r="BK476" s="846">
        <f>IFERROR($BB476/$BJ476,"..")</f>
        <v>5.6061544119698839E-2</v>
      </c>
      <c r="BL476" s="117">
        <f>IFERROR(VLOOKUP($D476,'WB Data'!$C$3:$M$578,7,FALSE)/100,"..")</f>
        <v>7.4220800000000003E-2</v>
      </c>
      <c r="BM476" s="117">
        <f>IFERROR($AW476*$BL476,"..")</f>
        <v>796528952.26461136</v>
      </c>
      <c r="BN476" s="846">
        <f>IFERROR($BB476/$BM476,"..")</f>
        <v>5.6061544119698839E-2</v>
      </c>
      <c r="BO476" s="801">
        <f t="shared" si="80"/>
        <v>48</v>
      </c>
      <c r="BP476" s="117" t="str">
        <f>VLOOKUP($D476,'WB Data'!$C$3:$M$578,9,FALSE)</f>
        <v>..</v>
      </c>
      <c r="BQ476" s="117">
        <f>VLOOKUP($D476,'WB Data'!$C$3:$M$578,10,FALSE)</f>
        <v>58.704536585365858</v>
      </c>
      <c r="BR476" s="117">
        <f>VLOOKUP($D476,'WB Data'!$C$3:$M$578,11,FALSE)</f>
        <v>57.9</v>
      </c>
      <c r="BS476" s="129">
        <f>IFERROR(VLOOKUP($D476,'WB Data 2'!$C$2:$K$545,9,FALSE),"..")</f>
        <v>67.437200000000004</v>
      </c>
      <c r="BT476" s="129">
        <f>_xlfn.IFNA(VLOOKUP($C476,RGI!$A$2:$C$43,2,FALSE),"..")</f>
        <v>32.299999999999997</v>
      </c>
      <c r="BU476" s="129">
        <f>_xlfn.IFNA(VLOOKUP($C476,RGI!$A$2:$C$43,3,FALSE),"..")</f>
        <v>62.723264193960979</v>
      </c>
      <c r="BV476" s="129">
        <f>VLOOKUP($D476,WGI!$C$2:$O$478,7,FALSE)</f>
        <v>0.23989395967392299</v>
      </c>
      <c r="BW476" s="129">
        <f>VLOOKUP($D476,WGI!$C$2:$O$478,4,FALSE)</f>
        <v>0.17959163187848701</v>
      </c>
      <c r="BX476" s="129">
        <f>VLOOKUP($D476,WGI!$C$2:$O$478,3,FALSE)</f>
        <v>-0.155174502719477</v>
      </c>
      <c r="BY476" s="129">
        <f>VLOOKUP($D476,WGI!$C$2:$O$478,5,FALSE)</f>
        <v>-0.10778984291930301</v>
      </c>
      <c r="BZ476" s="129">
        <f>VLOOKUP($D476,WGI!$C$2:$O$478,2,FALSE)</f>
        <v>-0.36275648264418903</v>
      </c>
      <c r="CB476" s="129"/>
    </row>
    <row r="477" spans="1:80" s="158" customFormat="1" ht="15" customHeight="1">
      <c r="A477" s="295" t="s">
        <v>198</v>
      </c>
      <c r="B477" s="149">
        <v>2005</v>
      </c>
      <c r="C477" s="117" t="s">
        <v>195</v>
      </c>
      <c r="D477" s="117" t="s">
        <v>3493</v>
      </c>
      <c r="E477" s="149" t="s">
        <v>86</v>
      </c>
      <c r="F477" s="149"/>
      <c r="G477" s="149" t="s">
        <v>24</v>
      </c>
      <c r="H477" s="149" t="str">
        <f t="shared" si="75"/>
        <v>yes</v>
      </c>
      <c r="I477" s="149" t="str">
        <f t="shared" si="76"/>
        <v>no</v>
      </c>
      <c r="J477" s="149" t="str">
        <f t="shared" si="77"/>
        <v>no</v>
      </c>
      <c r="K477" s="149" t="s">
        <v>789</v>
      </c>
      <c r="L477" s="149" t="str">
        <f t="shared" si="79"/>
        <v>detailed</v>
      </c>
      <c r="M477" s="149" t="str">
        <f t="shared" si="78"/>
        <v>detailed Mining</v>
      </c>
      <c r="N477" s="150">
        <f>3571*32.150743126506</f>
        <v>114810.30370475292</v>
      </c>
      <c r="O477" s="150"/>
      <c r="P477" s="150"/>
      <c r="Q477" s="150"/>
      <c r="R477" s="150"/>
      <c r="S477" s="149" t="s">
        <v>785</v>
      </c>
      <c r="T477" s="151">
        <f>7.30836666667/1</f>
        <v>7.3083666666699996</v>
      </c>
      <c r="U477" s="149" t="s">
        <v>786</v>
      </c>
      <c r="V477" s="149" t="s">
        <v>1149</v>
      </c>
      <c r="W477" s="152">
        <f>N477*T477</f>
        <v>839075.79658607545</v>
      </c>
      <c r="X477" s="149"/>
      <c r="Y477" s="149"/>
      <c r="Z477" s="149"/>
      <c r="AA477" s="149"/>
      <c r="AB477" s="149"/>
      <c r="AC477" s="288"/>
      <c r="AD477" s="288"/>
      <c r="AE477" s="288"/>
      <c r="AF477" s="285"/>
      <c r="AG477" s="149"/>
      <c r="AH477" s="156"/>
      <c r="AI477" s="149"/>
      <c r="AJ477" s="149"/>
      <c r="AK477" s="152"/>
      <c r="AL477" s="149"/>
      <c r="AM477" s="149"/>
      <c r="AN477" s="149"/>
      <c r="AO477" s="149"/>
      <c r="AP477" s="149"/>
      <c r="AQ477" s="149"/>
      <c r="AR477" s="149"/>
      <c r="AS477" s="149"/>
      <c r="AT477" s="221"/>
      <c r="AU477" s="149"/>
      <c r="AV477" s="157"/>
      <c r="AW477" s="117">
        <f>VLOOKUP($D477,'WB Data'!$C$3:$M$578,2,FALSE)</f>
        <v>10731883141.445677</v>
      </c>
      <c r="AX477" s="117">
        <f>VLOOKUP($D477,'WB Data'!$C$3:$M$578,3,FALSE)</f>
        <v>21384034</v>
      </c>
      <c r="AY477" s="847">
        <f t="shared" si="81"/>
        <v>4.1609326537993437E-3</v>
      </c>
      <c r="AZ477" s="117">
        <f>VLOOKUP($D477,'WB Data'!$C$3:$M$578,4,FALSE)/100</f>
        <v>0.236884692085609</v>
      </c>
      <c r="BA477" s="117">
        <f t="shared" si="82"/>
        <v>2542218833.4600973</v>
      </c>
      <c r="BB477" s="129">
        <f>IFERROR(VLOOKUP($D477,'EITI Revenues'!$C$2:$G$224,5,FALSE),"..")</f>
        <v>44654643</v>
      </c>
      <c r="BC477" s="846">
        <f t="shared" si="83"/>
        <v>1.7565223895073822E-2</v>
      </c>
      <c r="BD477" s="129">
        <f>VLOOKUP($D477,'WB Data 2'!$C$2:$K$545,6,FALSE)</f>
        <v>235346363.23273212</v>
      </c>
      <c r="BE477" s="129">
        <f>IFERROR(VLOOKUP($D477,UNCTAD!$C$5:$V$529,4,FALSE),"..")</f>
        <v>3908690000</v>
      </c>
      <c r="BF477" s="846">
        <f t="shared" si="84"/>
        <v>6.0211058751840671E-2</v>
      </c>
      <c r="BG477" s="117">
        <f>VLOOKUP($D477,'WB Data'!$C$3:$M$578,5,FALSE)</f>
        <v>1150690000</v>
      </c>
      <c r="BH477" s="129">
        <f>IFERROR($BB477/$BG477,"..")</f>
        <v>3.8806840243679877E-2</v>
      </c>
      <c r="BI477" s="117">
        <f>IFERROR(VLOOKUP($D477,'WB Data'!$C$3:$M$578,7,FALSE)/100,"..")</f>
        <v>7.4220800000000003E-2</v>
      </c>
      <c r="BJ477" s="117">
        <f>IFERROR($BI477*$AW477,"..")</f>
        <v>796528952.26461136</v>
      </c>
      <c r="BK477" s="846">
        <f>IFERROR($BB477/$BJ477,"..")</f>
        <v>5.6061544119698839E-2</v>
      </c>
      <c r="BL477" s="117">
        <f>IFERROR(VLOOKUP($D477,'WB Data'!$C$3:$M$578,7,FALSE)/100,"..")</f>
        <v>7.4220800000000003E-2</v>
      </c>
      <c r="BM477" s="117">
        <f>IFERROR($AW477*$BL477,"..")</f>
        <v>796528952.26461136</v>
      </c>
      <c r="BN477" s="846">
        <f>IFERROR($BB477/$BM477,"..")</f>
        <v>5.6061544119698839E-2</v>
      </c>
      <c r="BO477" s="801">
        <f t="shared" si="80"/>
        <v>48</v>
      </c>
      <c r="BP477" s="117" t="str">
        <f>VLOOKUP($D477,'WB Data'!$C$3:$M$578,9,FALSE)</f>
        <v>..</v>
      </c>
      <c r="BQ477" s="117">
        <f>VLOOKUP($D477,'WB Data'!$C$3:$M$578,10,FALSE)</f>
        <v>58.704536585365858</v>
      </c>
      <c r="BR477" s="117">
        <f>VLOOKUP($D477,'WB Data'!$C$3:$M$578,11,FALSE)</f>
        <v>57.9</v>
      </c>
      <c r="BS477" s="129">
        <f>IFERROR(VLOOKUP($D477,'WB Data 2'!$C$2:$K$545,9,FALSE),"..")</f>
        <v>67.437200000000004</v>
      </c>
      <c r="BT477" s="129">
        <f>_xlfn.IFNA(VLOOKUP($C477,RGI!$A$2:$C$43,2,FALSE),"..")</f>
        <v>32.299999999999997</v>
      </c>
      <c r="BU477" s="129">
        <f>_xlfn.IFNA(VLOOKUP($C477,RGI!$A$2:$C$43,3,FALSE),"..")</f>
        <v>62.723264193960979</v>
      </c>
      <c r="BV477" s="129">
        <f>VLOOKUP($D477,WGI!$C$2:$O$478,7,FALSE)</f>
        <v>0.23989395967392299</v>
      </c>
      <c r="BW477" s="129">
        <f>VLOOKUP($D477,WGI!$C$2:$O$478,4,FALSE)</f>
        <v>0.17959163187848701</v>
      </c>
      <c r="BX477" s="129">
        <f>VLOOKUP($D477,WGI!$C$2:$O$478,3,FALSE)</f>
        <v>-0.155174502719477</v>
      </c>
      <c r="BY477" s="129">
        <f>VLOOKUP($D477,WGI!$C$2:$O$478,5,FALSE)</f>
        <v>-0.10778984291930301</v>
      </c>
      <c r="BZ477" s="129">
        <f>VLOOKUP($D477,WGI!$C$2:$O$478,2,FALSE)</f>
        <v>-0.36275648264418903</v>
      </c>
      <c r="CB477" s="129"/>
    </row>
    <row r="478" spans="1:80" ht="15" customHeight="1">
      <c r="A478" s="294" t="s">
        <v>201</v>
      </c>
      <c r="B478" s="117">
        <v>2006</v>
      </c>
      <c r="C478" s="117" t="s">
        <v>195</v>
      </c>
      <c r="D478" s="117" t="s">
        <v>3527</v>
      </c>
      <c r="E478" s="117" t="s">
        <v>86</v>
      </c>
      <c r="F478" s="117" t="s">
        <v>1130</v>
      </c>
      <c r="G478" s="117" t="s">
        <v>24</v>
      </c>
      <c r="H478" s="117" t="str">
        <f t="shared" si="75"/>
        <v>yes</v>
      </c>
      <c r="I478" s="117" t="str">
        <f t="shared" si="76"/>
        <v>no</v>
      </c>
      <c r="J478" s="117" t="str">
        <f t="shared" si="77"/>
        <v>no</v>
      </c>
      <c r="K478" s="117" t="s">
        <v>709</v>
      </c>
      <c r="L478" s="117" t="str">
        <f t="shared" si="79"/>
        <v>Total</v>
      </c>
      <c r="M478" s="117" t="str">
        <f t="shared" si="78"/>
        <v>Total Mining</v>
      </c>
      <c r="N478" s="118"/>
      <c r="O478" s="118"/>
      <c r="P478" s="118"/>
      <c r="Q478" s="118"/>
      <c r="R478" s="118"/>
      <c r="S478" s="117"/>
      <c r="T478" s="119"/>
      <c r="U478" s="117"/>
      <c r="V478" s="117"/>
      <c r="W478" s="89">
        <f>SUM(W479:W486)</f>
        <v>1514679564.9949055</v>
      </c>
      <c r="X478" s="125" t="s">
        <v>1150</v>
      </c>
      <c r="Y478" s="117" t="s">
        <v>602</v>
      </c>
      <c r="Z478" s="117" t="s">
        <v>603</v>
      </c>
      <c r="AA478" s="159">
        <v>66220560</v>
      </c>
      <c r="AB478" s="159">
        <v>66776712</v>
      </c>
      <c r="AC478" s="351" t="s">
        <v>1132</v>
      </c>
      <c r="AD478" s="177">
        <f>AA478/80*100</f>
        <v>82775700</v>
      </c>
      <c r="AE478" s="351" t="s">
        <v>665</v>
      </c>
      <c r="AF478" s="213">
        <f>AD478/W478</f>
        <v>5.4648984453869232E-2</v>
      </c>
      <c r="AG478" s="117" t="s">
        <v>1133</v>
      </c>
      <c r="AH478" s="124">
        <v>0.92</v>
      </c>
      <c r="AI478" s="117" t="s">
        <v>1151</v>
      </c>
      <c r="AJ478" s="117"/>
      <c r="AK478" s="89"/>
      <c r="AL478" s="117"/>
      <c r="AM478" s="117"/>
      <c r="AN478" s="117">
        <v>11</v>
      </c>
      <c r="AO478" s="117" t="s">
        <v>1157</v>
      </c>
      <c r="AP478" s="117">
        <v>11</v>
      </c>
      <c r="AQ478" s="390" t="s">
        <v>202</v>
      </c>
      <c r="AR478" s="126">
        <v>41892</v>
      </c>
      <c r="AS478" s="117" t="s">
        <v>1135</v>
      </c>
      <c r="AT478" s="127" t="s">
        <v>203</v>
      </c>
      <c r="AU478" s="117">
        <v>23</v>
      </c>
      <c r="AV478" s="128" t="s">
        <v>1158</v>
      </c>
      <c r="AW478" s="117">
        <f>VLOOKUP($D478,'WB Data'!$C$3:$M$578,2,FALSE)</f>
        <v>20410331625.663353</v>
      </c>
      <c r="AX478" s="117">
        <f>VLOOKUP($D478,'WB Data'!$C$3:$M$578,3,FALSE)</f>
        <v>21947779</v>
      </c>
      <c r="AY478" s="847">
        <f t="shared" si="81"/>
        <v>3.2444627169475387E-3</v>
      </c>
      <c r="AZ478" s="117">
        <f>VLOOKUP($D478,'WB Data'!$C$3:$M$578,4,FALSE)/100</f>
        <v>0.1359415389118315</v>
      </c>
      <c r="BA478" s="117">
        <f t="shared" si="82"/>
        <v>2774611890.8934999</v>
      </c>
      <c r="BB478" s="129">
        <f>IFERROR(VLOOKUP($D478,'EITI Revenues'!$C$2:$G$224,5,FALSE),"..")</f>
        <v>66220560</v>
      </c>
      <c r="BC478" s="846">
        <f t="shared" si="83"/>
        <v>2.3866602827350817E-2</v>
      </c>
      <c r="BD478" s="129">
        <f>VLOOKUP($D478,'WB Data 2'!$C$2:$K$545,6,FALSE)</f>
        <v>141585340.35538939</v>
      </c>
      <c r="BE478" s="129">
        <f>IFERROR(VLOOKUP($D478,UNCTAD!$C$5:$V$529,4,FALSE),"..")</f>
        <v>5109510000</v>
      </c>
      <c r="BF478" s="846">
        <f t="shared" si="84"/>
        <v>2.7710160143612477E-2</v>
      </c>
      <c r="BG478" s="117">
        <f>VLOOKUP($D478,'WB Data'!$C$3:$M$578,5,FALSE)</f>
        <v>1243240000</v>
      </c>
      <c r="BH478" s="129">
        <f>IFERROR($BB478/$BG478,"..")</f>
        <v>5.3264502429136773E-2</v>
      </c>
      <c r="BI478" s="117">
        <f>IFERROR(VLOOKUP($D478,'WB Data'!$C$3:$M$578,7,FALSE)/100,"..")</f>
        <v>5.2599600000000003E-2</v>
      </c>
      <c r="BJ478" s="117">
        <f>IFERROR($BI478*$AW478,"..")</f>
        <v>1073575279.3772422</v>
      </c>
      <c r="BK478" s="846">
        <f>IFERROR($BB478/$BJ478,"..")</f>
        <v>6.1682269769114943E-2</v>
      </c>
      <c r="BL478" s="117">
        <f>IFERROR(VLOOKUP($D478,'WB Data'!$C$3:$M$578,7,FALSE)/100,"..")</f>
        <v>5.2599600000000003E-2</v>
      </c>
      <c r="BM478" s="117">
        <f>IFERROR($AW478*$BL478,"..")</f>
        <v>1073575279.3772422</v>
      </c>
      <c r="BN478" s="846">
        <f>IFERROR($BB478/$BM478,"..")</f>
        <v>6.1682269769114943E-2</v>
      </c>
      <c r="BO478" s="801">
        <f t="shared" si="80"/>
        <v>48</v>
      </c>
      <c r="BP478" s="117">
        <f>VLOOKUP($D478,'WB Data'!$C$3:$M$578,9,FALSE)</f>
        <v>31.9</v>
      </c>
      <c r="BQ478" s="117">
        <f>VLOOKUP($D478,'WB Data'!$C$3:$M$578,10,FALSE)</f>
        <v>59.186707317073179</v>
      </c>
      <c r="BR478" s="117">
        <f>VLOOKUP($D478,'WB Data'!$C$3:$M$578,11,FALSE)</f>
        <v>57.2</v>
      </c>
      <c r="BS478" s="129">
        <f>IFERROR(VLOOKUP($D478,'WB Data 2'!$C$2:$K$545,9,FALSE),"..")</f>
        <v>67.017709999999994</v>
      </c>
      <c r="BT478" s="129">
        <f>_xlfn.IFNA(VLOOKUP($C478,RGI!$A$2:$C$43,2,FALSE),"..")</f>
        <v>32.299999999999997</v>
      </c>
      <c r="BU478" s="129">
        <f>_xlfn.IFNA(VLOOKUP($C478,RGI!$A$2:$C$43,3,FALSE),"..")</f>
        <v>62.723264193960979</v>
      </c>
      <c r="BV478" s="129">
        <f>VLOOKUP($D478,WGI!$C$2:$O$478,7,FALSE)</f>
        <v>0.36521092735796301</v>
      </c>
      <c r="BW478" s="129">
        <f>VLOOKUP($D478,WGI!$C$2:$O$478,4,FALSE)</f>
        <v>1.6425267880939801E-2</v>
      </c>
      <c r="BX478" s="129">
        <f>VLOOKUP($D478,WGI!$C$2:$O$478,3,FALSE)</f>
        <v>0.105214744277195</v>
      </c>
      <c r="BY478" s="129">
        <f>VLOOKUP($D478,WGI!$C$2:$O$478,5,FALSE)</f>
        <v>-7.7542191410285094E-2</v>
      </c>
      <c r="BZ478" s="129">
        <f>VLOOKUP($D478,WGI!$C$2:$O$478,2,FALSE)</f>
        <v>-1.9105712134025201E-2</v>
      </c>
    </row>
    <row r="479" spans="1:80" ht="15" customHeight="1">
      <c r="A479" s="294" t="s">
        <v>201</v>
      </c>
      <c r="B479" s="117">
        <v>2006</v>
      </c>
      <c r="C479" s="117" t="s">
        <v>195</v>
      </c>
      <c r="D479" s="117" t="s">
        <v>3527</v>
      </c>
      <c r="E479" s="117" t="s">
        <v>86</v>
      </c>
      <c r="F479" s="117"/>
      <c r="G479" s="117" t="s">
        <v>24</v>
      </c>
      <c r="H479" s="117" t="str">
        <f t="shared" si="75"/>
        <v>yes</v>
      </c>
      <c r="I479" s="117" t="str">
        <f t="shared" si="76"/>
        <v>no</v>
      </c>
      <c r="J479" s="117" t="str">
        <f t="shared" si="77"/>
        <v>no</v>
      </c>
      <c r="K479" s="117" t="s">
        <v>1138</v>
      </c>
      <c r="L479" s="117" t="str">
        <f t="shared" si="79"/>
        <v>detailed</v>
      </c>
      <c r="M479" s="117" t="str">
        <f t="shared" si="78"/>
        <v>detailed Mining</v>
      </c>
      <c r="N479" s="118">
        <v>886</v>
      </c>
      <c r="O479" s="118"/>
      <c r="P479" s="118"/>
      <c r="Q479" s="118"/>
      <c r="R479" s="118"/>
      <c r="S479" s="117" t="s">
        <v>610</v>
      </c>
      <c r="T479" s="119">
        <v>28.1</v>
      </c>
      <c r="U479" s="117" t="s">
        <v>611</v>
      </c>
      <c r="V479" s="117" t="s">
        <v>1159</v>
      </c>
      <c r="W479" s="89">
        <f>N479*T479</f>
        <v>24896.600000000002</v>
      </c>
      <c r="X479" s="117"/>
      <c r="Y479" s="117"/>
      <c r="Z479" s="117"/>
      <c r="AA479" s="177">
        <v>673443</v>
      </c>
      <c r="AB479" s="177">
        <v>673950</v>
      </c>
      <c r="AC479" s="122"/>
      <c r="AD479" s="122"/>
      <c r="AE479" s="122"/>
      <c r="AF479" s="123">
        <f>AA479/W479</f>
        <v>27.049597133745166</v>
      </c>
      <c r="AG479" s="117"/>
      <c r="AH479" s="124"/>
      <c r="AI479" s="117"/>
      <c r="AJ479" s="117"/>
      <c r="AK479" s="89"/>
      <c r="AL479" s="117"/>
      <c r="AM479" s="117"/>
      <c r="AN479" s="117">
        <v>1</v>
      </c>
      <c r="AO479" s="117" t="s">
        <v>1140</v>
      </c>
      <c r="AP479" s="117">
        <v>1</v>
      </c>
      <c r="AQ479" s="117"/>
      <c r="AR479" s="117"/>
      <c r="AS479" s="117"/>
      <c r="AT479" s="127"/>
      <c r="AU479" s="215" t="s">
        <v>1160</v>
      </c>
      <c r="AV479" s="128"/>
      <c r="AW479" s="117">
        <f>VLOOKUP($D479,'WB Data'!$C$3:$M$578,2,FALSE)</f>
        <v>20410331625.663353</v>
      </c>
      <c r="AX479" s="117">
        <f>VLOOKUP($D479,'WB Data'!$C$3:$M$578,3,FALSE)</f>
        <v>21947779</v>
      </c>
      <c r="AY479" s="847">
        <f t="shared" si="81"/>
        <v>3.2444627169475387E-3</v>
      </c>
      <c r="AZ479" s="117">
        <f>VLOOKUP($D479,'WB Data'!$C$3:$M$578,4,FALSE)/100</f>
        <v>0.1359415389118315</v>
      </c>
      <c r="BA479" s="117">
        <f t="shared" si="82"/>
        <v>2774611890.8934999</v>
      </c>
      <c r="BB479" s="129">
        <f>IFERROR(VLOOKUP($D479,'EITI Revenues'!$C$2:$G$224,5,FALSE),"..")</f>
        <v>66220560</v>
      </c>
      <c r="BC479" s="846">
        <f t="shared" si="83"/>
        <v>2.3866602827350817E-2</v>
      </c>
      <c r="BD479" s="129">
        <f>VLOOKUP($D479,'WB Data 2'!$C$2:$K$545,6,FALSE)</f>
        <v>141585340.35538939</v>
      </c>
      <c r="BE479" s="129">
        <f>IFERROR(VLOOKUP($D479,UNCTAD!$C$5:$V$529,4,FALSE),"..")</f>
        <v>5109510000</v>
      </c>
      <c r="BF479" s="846">
        <f t="shared" si="84"/>
        <v>2.7710160143612477E-2</v>
      </c>
      <c r="BG479" s="117">
        <f>VLOOKUP($D479,'WB Data'!$C$3:$M$578,5,FALSE)</f>
        <v>1243240000</v>
      </c>
      <c r="BH479" s="129">
        <f>IFERROR($BB479/$BG479,"..")</f>
        <v>5.3264502429136773E-2</v>
      </c>
      <c r="BI479" s="117">
        <f>IFERROR(VLOOKUP($D479,'WB Data'!$C$3:$M$578,7,FALSE)/100,"..")</f>
        <v>5.2599600000000003E-2</v>
      </c>
      <c r="BJ479" s="117">
        <f>IFERROR($BI479*$AW479,"..")</f>
        <v>1073575279.3772422</v>
      </c>
      <c r="BK479" s="846">
        <f>IFERROR($BB479/$BJ479,"..")</f>
        <v>6.1682269769114943E-2</v>
      </c>
      <c r="BL479" s="117">
        <f>IFERROR(VLOOKUP($D479,'WB Data'!$C$3:$M$578,7,FALSE)/100,"..")</f>
        <v>5.2599600000000003E-2</v>
      </c>
      <c r="BM479" s="117">
        <f>IFERROR($AW479*$BL479,"..")</f>
        <v>1073575279.3772422</v>
      </c>
      <c r="BN479" s="846">
        <f>IFERROR($BB479/$BM479,"..")</f>
        <v>6.1682269769114943E-2</v>
      </c>
      <c r="BO479" s="801">
        <f t="shared" si="80"/>
        <v>48</v>
      </c>
      <c r="BP479" s="117">
        <f>VLOOKUP($D479,'WB Data'!$C$3:$M$578,9,FALSE)</f>
        <v>31.9</v>
      </c>
      <c r="BQ479" s="117">
        <f>VLOOKUP($D479,'WB Data'!$C$3:$M$578,10,FALSE)</f>
        <v>59.186707317073179</v>
      </c>
      <c r="BR479" s="117">
        <f>VLOOKUP($D479,'WB Data'!$C$3:$M$578,11,FALSE)</f>
        <v>57.2</v>
      </c>
      <c r="BS479" s="129">
        <f>IFERROR(VLOOKUP($D479,'WB Data 2'!$C$2:$K$545,9,FALSE),"..")</f>
        <v>67.017709999999994</v>
      </c>
      <c r="BT479" s="129">
        <f>_xlfn.IFNA(VLOOKUP($C479,RGI!$A$2:$C$43,2,FALSE),"..")</f>
        <v>32.299999999999997</v>
      </c>
      <c r="BU479" s="129">
        <f>_xlfn.IFNA(VLOOKUP($C479,RGI!$A$2:$C$43,3,FALSE),"..")</f>
        <v>62.723264193960979</v>
      </c>
      <c r="BV479" s="129">
        <f>VLOOKUP($D479,WGI!$C$2:$O$478,7,FALSE)</f>
        <v>0.36521092735796301</v>
      </c>
      <c r="BW479" s="129">
        <f>VLOOKUP($D479,WGI!$C$2:$O$478,4,FALSE)</f>
        <v>1.6425267880939801E-2</v>
      </c>
      <c r="BX479" s="129">
        <f>VLOOKUP($D479,WGI!$C$2:$O$478,3,FALSE)</f>
        <v>0.105214744277195</v>
      </c>
      <c r="BY479" s="129">
        <f>VLOOKUP($D479,WGI!$C$2:$O$478,5,FALSE)</f>
        <v>-7.7542191410285094E-2</v>
      </c>
      <c r="BZ479" s="129">
        <f>VLOOKUP($D479,WGI!$C$2:$O$478,2,FALSE)</f>
        <v>-1.9105712134025201E-2</v>
      </c>
    </row>
    <row r="480" spans="1:80" ht="15" customHeight="1">
      <c r="A480" s="294" t="s">
        <v>201</v>
      </c>
      <c r="B480" s="117">
        <v>2006</v>
      </c>
      <c r="C480" s="117" t="s">
        <v>195</v>
      </c>
      <c r="D480" s="117" t="s">
        <v>3527</v>
      </c>
      <c r="E480" s="117" t="s">
        <v>86</v>
      </c>
      <c r="F480" s="117"/>
      <c r="G480" s="117" t="s">
        <v>24</v>
      </c>
      <c r="H480" s="117" t="str">
        <f t="shared" si="75"/>
        <v>yes</v>
      </c>
      <c r="I480" s="117" t="str">
        <f t="shared" si="76"/>
        <v>no</v>
      </c>
      <c r="J480" s="117" t="str">
        <f t="shared" si="77"/>
        <v>no</v>
      </c>
      <c r="K480" s="117" t="s">
        <v>980</v>
      </c>
      <c r="L480" s="117" t="str">
        <f t="shared" si="79"/>
        <v>detailed</v>
      </c>
      <c r="M480" s="117" t="str">
        <f t="shared" si="78"/>
        <v>detailed Mining</v>
      </c>
      <c r="N480" s="118">
        <v>973000</v>
      </c>
      <c r="O480" s="118"/>
      <c r="P480" s="118"/>
      <c r="Q480" s="118"/>
      <c r="R480" s="118"/>
      <c r="S480" s="117" t="s">
        <v>981</v>
      </c>
      <c r="T480" s="119">
        <v>31.78</v>
      </c>
      <c r="U480" s="117" t="s">
        <v>982</v>
      </c>
      <c r="V480" s="117" t="s">
        <v>1161</v>
      </c>
      <c r="W480" s="89">
        <f>N480*T480</f>
        <v>30921940</v>
      </c>
      <c r="X480" s="117"/>
      <c r="Y480" s="117"/>
      <c r="Z480" s="117"/>
      <c r="AA480" s="117"/>
      <c r="AB480" s="117"/>
      <c r="AC480" s="240"/>
      <c r="AD480" s="240"/>
      <c r="AE480" s="240"/>
      <c r="AF480" s="241"/>
      <c r="AG480" s="117"/>
      <c r="AH480" s="124"/>
      <c r="AI480" s="117"/>
      <c r="AJ480" s="117"/>
      <c r="AK480" s="89"/>
      <c r="AL480" s="117"/>
      <c r="AM480" s="117"/>
      <c r="AN480" s="117"/>
      <c r="AO480" s="117"/>
      <c r="AP480" s="117"/>
      <c r="AQ480" s="117"/>
      <c r="AR480" s="117"/>
      <c r="AS480" s="117"/>
      <c r="AT480" s="127"/>
      <c r="AU480" s="117"/>
      <c r="AV480" s="128"/>
      <c r="AW480" s="117">
        <f>VLOOKUP($D480,'WB Data'!$C$3:$M$578,2,FALSE)</f>
        <v>20410331625.663353</v>
      </c>
      <c r="AX480" s="117">
        <f>VLOOKUP($D480,'WB Data'!$C$3:$M$578,3,FALSE)</f>
        <v>21947779</v>
      </c>
      <c r="AY480" s="847">
        <f t="shared" si="81"/>
        <v>3.2444627169475387E-3</v>
      </c>
      <c r="AZ480" s="117">
        <f>VLOOKUP($D480,'WB Data'!$C$3:$M$578,4,FALSE)/100</f>
        <v>0.1359415389118315</v>
      </c>
      <c r="BA480" s="117">
        <f t="shared" si="82"/>
        <v>2774611890.8934999</v>
      </c>
      <c r="BB480" s="129">
        <f>IFERROR(VLOOKUP($D480,'EITI Revenues'!$C$2:$G$224,5,FALSE),"..")</f>
        <v>66220560</v>
      </c>
      <c r="BC480" s="846">
        <f t="shared" si="83"/>
        <v>2.3866602827350817E-2</v>
      </c>
      <c r="BD480" s="129">
        <f>VLOOKUP($D480,'WB Data 2'!$C$2:$K$545,6,FALSE)</f>
        <v>141585340.35538939</v>
      </c>
      <c r="BE480" s="129">
        <f>IFERROR(VLOOKUP($D480,UNCTAD!$C$5:$V$529,4,FALSE),"..")</f>
        <v>5109510000</v>
      </c>
      <c r="BF480" s="846">
        <f t="shared" si="84"/>
        <v>2.7710160143612477E-2</v>
      </c>
      <c r="BG480" s="117">
        <f>VLOOKUP($D480,'WB Data'!$C$3:$M$578,5,FALSE)</f>
        <v>1243240000</v>
      </c>
      <c r="BH480" s="129">
        <f>IFERROR($BB480/$BG480,"..")</f>
        <v>5.3264502429136773E-2</v>
      </c>
      <c r="BI480" s="117">
        <f>IFERROR(VLOOKUP($D480,'WB Data'!$C$3:$M$578,7,FALSE)/100,"..")</f>
        <v>5.2599600000000003E-2</v>
      </c>
      <c r="BJ480" s="117">
        <f>IFERROR($BI480*$AW480,"..")</f>
        <v>1073575279.3772422</v>
      </c>
      <c r="BK480" s="846">
        <f>IFERROR($BB480/$BJ480,"..")</f>
        <v>6.1682269769114943E-2</v>
      </c>
      <c r="BL480" s="117">
        <f>IFERROR(VLOOKUP($D480,'WB Data'!$C$3:$M$578,7,FALSE)/100,"..")</f>
        <v>5.2599600000000003E-2</v>
      </c>
      <c r="BM480" s="117">
        <f>IFERROR($AW480*$BL480,"..")</f>
        <v>1073575279.3772422</v>
      </c>
      <c r="BN480" s="846">
        <f>IFERROR($BB480/$BM480,"..")</f>
        <v>6.1682269769114943E-2</v>
      </c>
      <c r="BO480" s="801">
        <f t="shared" si="80"/>
        <v>48</v>
      </c>
      <c r="BP480" s="117">
        <f>VLOOKUP($D480,'WB Data'!$C$3:$M$578,9,FALSE)</f>
        <v>31.9</v>
      </c>
      <c r="BQ480" s="117">
        <f>VLOOKUP($D480,'WB Data'!$C$3:$M$578,10,FALSE)</f>
        <v>59.186707317073179</v>
      </c>
      <c r="BR480" s="117">
        <f>VLOOKUP($D480,'WB Data'!$C$3:$M$578,11,FALSE)</f>
        <v>57.2</v>
      </c>
      <c r="BS480" s="129">
        <f>IFERROR(VLOOKUP($D480,'WB Data 2'!$C$2:$K$545,9,FALSE),"..")</f>
        <v>67.017709999999994</v>
      </c>
      <c r="BT480" s="129">
        <f>_xlfn.IFNA(VLOOKUP($C480,RGI!$A$2:$C$43,2,FALSE),"..")</f>
        <v>32.299999999999997</v>
      </c>
      <c r="BU480" s="129">
        <f>_xlfn.IFNA(VLOOKUP($C480,RGI!$A$2:$C$43,3,FALSE),"..")</f>
        <v>62.723264193960979</v>
      </c>
      <c r="BV480" s="129">
        <f>VLOOKUP($D480,WGI!$C$2:$O$478,7,FALSE)</f>
        <v>0.36521092735796301</v>
      </c>
      <c r="BW480" s="129">
        <f>VLOOKUP($D480,WGI!$C$2:$O$478,4,FALSE)</f>
        <v>1.6425267880939801E-2</v>
      </c>
      <c r="BX480" s="129">
        <f>VLOOKUP($D480,WGI!$C$2:$O$478,3,FALSE)</f>
        <v>0.105214744277195</v>
      </c>
      <c r="BY480" s="129">
        <f>VLOOKUP($D480,WGI!$C$2:$O$478,5,FALSE)</f>
        <v>-7.7542191410285094E-2</v>
      </c>
      <c r="BZ480" s="129">
        <f>VLOOKUP($D480,WGI!$C$2:$O$478,2,FALSE)</f>
        <v>-1.9105712134025201E-2</v>
      </c>
    </row>
    <row r="481" spans="1:80" ht="15" customHeight="1">
      <c r="A481" s="294" t="s">
        <v>201</v>
      </c>
      <c r="B481" s="117">
        <v>2006</v>
      </c>
      <c r="C481" s="117" t="s">
        <v>195</v>
      </c>
      <c r="D481" s="117" t="s">
        <v>3527</v>
      </c>
      <c r="E481" s="117" t="s">
        <v>86</v>
      </c>
      <c r="F481" s="117"/>
      <c r="G481" s="117" t="s">
        <v>24</v>
      </c>
      <c r="H481" s="117" t="str">
        <f t="shared" si="75"/>
        <v>yes</v>
      </c>
      <c r="I481" s="117" t="str">
        <f t="shared" si="76"/>
        <v>no</v>
      </c>
      <c r="J481" s="117" t="str">
        <f t="shared" si="77"/>
        <v>no</v>
      </c>
      <c r="K481" s="117" t="s">
        <v>784</v>
      </c>
      <c r="L481" s="117" t="str">
        <f t="shared" si="79"/>
        <v>detailed</v>
      </c>
      <c r="M481" s="117" t="str">
        <f t="shared" si="78"/>
        <v>detailed Mining</v>
      </c>
      <c r="N481" s="118">
        <f>69817*32.150743126506</f>
        <v>2244668.4328632695</v>
      </c>
      <c r="O481" s="118"/>
      <c r="P481" s="118"/>
      <c r="Q481" s="118"/>
      <c r="R481" s="118"/>
      <c r="S481" s="117" t="s">
        <v>785</v>
      </c>
      <c r="T481" s="119">
        <f>604.33583333333*1.0929</f>
        <v>660.47863224999639</v>
      </c>
      <c r="U481" s="117" t="s">
        <v>786</v>
      </c>
      <c r="V481" s="117" t="s">
        <v>1142</v>
      </c>
      <c r="W481" s="89">
        <f>N481*T481</f>
        <v>1482555536.3922751</v>
      </c>
      <c r="X481" s="117"/>
      <c r="Y481" s="117"/>
      <c r="Z481" s="117"/>
      <c r="AA481" s="177">
        <v>64400769</v>
      </c>
      <c r="AB481" s="177">
        <v>64955465</v>
      </c>
      <c r="AC481" s="122"/>
      <c r="AD481" s="122"/>
      <c r="AE481" s="122"/>
      <c r="AF481" s="123">
        <f>AA481/W481</f>
        <v>4.343902634279459E-2</v>
      </c>
      <c r="AG481" s="117"/>
      <c r="AH481" s="124"/>
      <c r="AI481" s="117"/>
      <c r="AJ481" s="117"/>
      <c r="AK481" s="89"/>
      <c r="AL481" s="117"/>
      <c r="AM481" s="117"/>
      <c r="AN481" s="117">
        <v>9</v>
      </c>
      <c r="AO481" s="117" t="s">
        <v>1162</v>
      </c>
      <c r="AP481" s="117">
        <v>9</v>
      </c>
      <c r="AQ481" s="117"/>
      <c r="AR481" s="117"/>
      <c r="AS481" s="117"/>
      <c r="AT481" s="127"/>
      <c r="AU481" s="215" t="s">
        <v>1160</v>
      </c>
      <c r="AV481" s="128"/>
      <c r="AW481" s="117">
        <f>VLOOKUP($D481,'WB Data'!$C$3:$M$578,2,FALSE)</f>
        <v>20410331625.663353</v>
      </c>
      <c r="AX481" s="117">
        <f>VLOOKUP($D481,'WB Data'!$C$3:$M$578,3,FALSE)</f>
        <v>21947779</v>
      </c>
      <c r="AY481" s="847">
        <f t="shared" si="81"/>
        <v>3.2444627169475387E-3</v>
      </c>
      <c r="AZ481" s="117">
        <f>VLOOKUP($D481,'WB Data'!$C$3:$M$578,4,FALSE)/100</f>
        <v>0.1359415389118315</v>
      </c>
      <c r="BA481" s="117">
        <f t="shared" si="82"/>
        <v>2774611890.8934999</v>
      </c>
      <c r="BB481" s="129">
        <f>IFERROR(VLOOKUP($D481,'EITI Revenues'!$C$2:$G$224,5,FALSE),"..")</f>
        <v>66220560</v>
      </c>
      <c r="BC481" s="846">
        <f t="shared" si="83"/>
        <v>2.3866602827350817E-2</v>
      </c>
      <c r="BD481" s="129">
        <f>VLOOKUP($D481,'WB Data 2'!$C$2:$K$545,6,FALSE)</f>
        <v>141585340.35538939</v>
      </c>
      <c r="BE481" s="129">
        <f>IFERROR(VLOOKUP($D481,UNCTAD!$C$5:$V$529,4,FALSE),"..")</f>
        <v>5109510000</v>
      </c>
      <c r="BF481" s="846">
        <f t="shared" si="84"/>
        <v>2.7710160143612477E-2</v>
      </c>
      <c r="BG481" s="117">
        <f>VLOOKUP($D481,'WB Data'!$C$3:$M$578,5,FALSE)</f>
        <v>1243240000</v>
      </c>
      <c r="BH481" s="129">
        <f>IFERROR($BB481/$BG481,"..")</f>
        <v>5.3264502429136773E-2</v>
      </c>
      <c r="BI481" s="117">
        <f>IFERROR(VLOOKUP($D481,'WB Data'!$C$3:$M$578,7,FALSE)/100,"..")</f>
        <v>5.2599600000000003E-2</v>
      </c>
      <c r="BJ481" s="117">
        <f>IFERROR($BI481*$AW481,"..")</f>
        <v>1073575279.3772422</v>
      </c>
      <c r="BK481" s="846">
        <f>IFERROR($BB481/$BJ481,"..")</f>
        <v>6.1682269769114943E-2</v>
      </c>
      <c r="BL481" s="117">
        <f>IFERROR(VLOOKUP($D481,'WB Data'!$C$3:$M$578,7,FALSE)/100,"..")</f>
        <v>5.2599600000000003E-2</v>
      </c>
      <c r="BM481" s="117">
        <f>IFERROR($AW481*$BL481,"..")</f>
        <v>1073575279.3772422</v>
      </c>
      <c r="BN481" s="846">
        <f>IFERROR($BB481/$BM481,"..")</f>
        <v>6.1682269769114943E-2</v>
      </c>
      <c r="BO481" s="801">
        <f t="shared" si="80"/>
        <v>48</v>
      </c>
      <c r="BP481" s="117">
        <f>VLOOKUP($D481,'WB Data'!$C$3:$M$578,9,FALSE)</f>
        <v>31.9</v>
      </c>
      <c r="BQ481" s="117">
        <f>VLOOKUP($D481,'WB Data'!$C$3:$M$578,10,FALSE)</f>
        <v>59.186707317073179</v>
      </c>
      <c r="BR481" s="117">
        <f>VLOOKUP($D481,'WB Data'!$C$3:$M$578,11,FALSE)</f>
        <v>57.2</v>
      </c>
      <c r="BS481" s="129">
        <f>IFERROR(VLOOKUP($D481,'WB Data 2'!$C$2:$K$545,9,FALSE),"..")</f>
        <v>67.017709999999994</v>
      </c>
      <c r="BT481" s="129">
        <f>_xlfn.IFNA(VLOOKUP($C481,RGI!$A$2:$C$43,2,FALSE),"..")</f>
        <v>32.299999999999997</v>
      </c>
      <c r="BU481" s="129">
        <f>_xlfn.IFNA(VLOOKUP($C481,RGI!$A$2:$C$43,3,FALSE),"..")</f>
        <v>62.723264193960979</v>
      </c>
      <c r="BV481" s="129">
        <f>VLOOKUP($D481,WGI!$C$2:$O$478,7,FALSE)</f>
        <v>0.36521092735796301</v>
      </c>
      <c r="BW481" s="129">
        <f>VLOOKUP($D481,WGI!$C$2:$O$478,4,FALSE)</f>
        <v>1.6425267880939801E-2</v>
      </c>
      <c r="BX481" s="129">
        <f>VLOOKUP($D481,WGI!$C$2:$O$478,3,FALSE)</f>
        <v>0.105214744277195</v>
      </c>
      <c r="BY481" s="129">
        <f>VLOOKUP($D481,WGI!$C$2:$O$478,5,FALSE)</f>
        <v>-7.7542191410285094E-2</v>
      </c>
      <c r="BZ481" s="129">
        <f>VLOOKUP($D481,WGI!$C$2:$O$478,2,FALSE)</f>
        <v>-1.9105712134025201E-2</v>
      </c>
    </row>
    <row r="482" spans="1:80" ht="15" customHeight="1">
      <c r="A482" s="294" t="s">
        <v>201</v>
      </c>
      <c r="B482" s="117">
        <v>2006</v>
      </c>
      <c r="C482" s="117" t="s">
        <v>195</v>
      </c>
      <c r="D482" s="117" t="s">
        <v>3527</v>
      </c>
      <c r="E482" s="117" t="s">
        <v>86</v>
      </c>
      <c r="F482" s="117"/>
      <c r="G482" s="117" t="s">
        <v>24</v>
      </c>
      <c r="H482" s="117" t="str">
        <f t="shared" si="75"/>
        <v>yes</v>
      </c>
      <c r="I482" s="117" t="str">
        <f t="shared" si="76"/>
        <v>no</v>
      </c>
      <c r="J482" s="117" t="str">
        <f t="shared" si="77"/>
        <v>no</v>
      </c>
      <c r="K482" s="117" t="s">
        <v>843</v>
      </c>
      <c r="L482" s="117" t="str">
        <f t="shared" si="79"/>
        <v>detailed</v>
      </c>
      <c r="M482" s="117" t="str">
        <f t="shared" si="78"/>
        <v>detailed Mining</v>
      </c>
      <c r="N482" s="118"/>
      <c r="O482" s="118"/>
      <c r="P482" s="118"/>
      <c r="Q482" s="118"/>
      <c r="R482" s="118"/>
      <c r="S482" s="117"/>
      <c r="T482" s="119">
        <v>3.51</v>
      </c>
      <c r="U482" s="117" t="s">
        <v>611</v>
      </c>
      <c r="V482" s="117" t="s">
        <v>1144</v>
      </c>
      <c r="W482" s="89">
        <f>N484*T482</f>
        <v>2035.8</v>
      </c>
      <c r="X482" s="117"/>
      <c r="Y482" s="117"/>
      <c r="Z482" s="117"/>
      <c r="AA482" s="177">
        <v>1146348</v>
      </c>
      <c r="AB482" s="177">
        <v>1147297</v>
      </c>
      <c r="AC482" s="122"/>
      <c r="AD482" s="122"/>
      <c r="AE482" s="122"/>
      <c r="AF482" s="123">
        <f>AA482/W482</f>
        <v>563.09460654288239</v>
      </c>
      <c r="AG482" s="117"/>
      <c r="AH482" s="124"/>
      <c r="AI482" s="117"/>
      <c r="AJ482" s="117"/>
      <c r="AK482" s="89"/>
      <c r="AL482" s="117"/>
      <c r="AM482" s="117"/>
      <c r="AN482" s="117">
        <v>1</v>
      </c>
      <c r="AO482" s="117" t="s">
        <v>1145</v>
      </c>
      <c r="AP482" s="117">
        <v>1</v>
      </c>
      <c r="AQ482" s="117"/>
      <c r="AR482" s="117"/>
      <c r="AS482" s="117"/>
      <c r="AT482" s="127"/>
      <c r="AU482" s="215" t="s">
        <v>1160</v>
      </c>
      <c r="AV482" s="128"/>
      <c r="AW482" s="117">
        <f>VLOOKUP($D482,'WB Data'!$C$3:$M$578,2,FALSE)</f>
        <v>20410331625.663353</v>
      </c>
      <c r="AX482" s="117">
        <f>VLOOKUP($D482,'WB Data'!$C$3:$M$578,3,FALSE)</f>
        <v>21947779</v>
      </c>
      <c r="AY482" s="847">
        <f t="shared" si="81"/>
        <v>3.2444627169475387E-3</v>
      </c>
      <c r="AZ482" s="117">
        <f>VLOOKUP($D482,'WB Data'!$C$3:$M$578,4,FALSE)/100</f>
        <v>0.1359415389118315</v>
      </c>
      <c r="BA482" s="117">
        <f t="shared" si="82"/>
        <v>2774611890.8934999</v>
      </c>
      <c r="BB482" s="129">
        <f>IFERROR(VLOOKUP($D482,'EITI Revenues'!$C$2:$G$224,5,FALSE),"..")</f>
        <v>66220560</v>
      </c>
      <c r="BC482" s="846">
        <f t="shared" si="83"/>
        <v>2.3866602827350817E-2</v>
      </c>
      <c r="BD482" s="129">
        <f>VLOOKUP($D482,'WB Data 2'!$C$2:$K$545,6,FALSE)</f>
        <v>141585340.35538939</v>
      </c>
      <c r="BE482" s="129">
        <f>IFERROR(VLOOKUP($D482,UNCTAD!$C$5:$V$529,4,FALSE),"..")</f>
        <v>5109510000</v>
      </c>
      <c r="BF482" s="846">
        <f t="shared" si="84"/>
        <v>2.7710160143612477E-2</v>
      </c>
      <c r="BG482" s="117">
        <f>VLOOKUP($D482,'WB Data'!$C$3:$M$578,5,FALSE)</f>
        <v>1243240000</v>
      </c>
      <c r="BH482" s="129">
        <f>IFERROR($BB482/$BG482,"..")</f>
        <v>5.3264502429136773E-2</v>
      </c>
      <c r="BI482" s="117">
        <f>IFERROR(VLOOKUP($D482,'WB Data'!$C$3:$M$578,7,FALSE)/100,"..")</f>
        <v>5.2599600000000003E-2</v>
      </c>
      <c r="BJ482" s="117">
        <f>IFERROR($BI482*$AW482,"..")</f>
        <v>1073575279.3772422</v>
      </c>
      <c r="BK482" s="846">
        <f>IFERROR($BB482/$BJ482,"..")</f>
        <v>6.1682269769114943E-2</v>
      </c>
      <c r="BL482" s="117">
        <f>IFERROR(VLOOKUP($D482,'WB Data'!$C$3:$M$578,7,FALSE)/100,"..")</f>
        <v>5.2599600000000003E-2</v>
      </c>
      <c r="BM482" s="117">
        <f>IFERROR($AW482*$BL482,"..")</f>
        <v>1073575279.3772422</v>
      </c>
      <c r="BN482" s="846">
        <f>IFERROR($BB482/$BM482,"..")</f>
        <v>6.1682269769114943E-2</v>
      </c>
      <c r="BO482" s="801">
        <f t="shared" si="80"/>
        <v>48</v>
      </c>
      <c r="BP482" s="117">
        <f>VLOOKUP($D482,'WB Data'!$C$3:$M$578,9,FALSE)</f>
        <v>31.9</v>
      </c>
      <c r="BQ482" s="117">
        <f>VLOOKUP($D482,'WB Data'!$C$3:$M$578,10,FALSE)</f>
        <v>59.186707317073179</v>
      </c>
      <c r="BR482" s="117">
        <f>VLOOKUP($D482,'WB Data'!$C$3:$M$578,11,FALSE)</f>
        <v>57.2</v>
      </c>
      <c r="BS482" s="129">
        <f>IFERROR(VLOOKUP($D482,'WB Data 2'!$C$2:$K$545,9,FALSE),"..")</f>
        <v>67.017709999999994</v>
      </c>
      <c r="BT482" s="129">
        <f>_xlfn.IFNA(VLOOKUP($C482,RGI!$A$2:$C$43,2,FALSE),"..")</f>
        <v>32.299999999999997</v>
      </c>
      <c r="BU482" s="129">
        <f>_xlfn.IFNA(VLOOKUP($C482,RGI!$A$2:$C$43,3,FALSE),"..")</f>
        <v>62.723264193960979</v>
      </c>
      <c r="BV482" s="129">
        <f>VLOOKUP($D482,WGI!$C$2:$O$478,7,FALSE)</f>
        <v>0.36521092735796301</v>
      </c>
      <c r="BW482" s="129">
        <f>VLOOKUP($D482,WGI!$C$2:$O$478,4,FALSE)</f>
        <v>1.6425267880939801E-2</v>
      </c>
      <c r="BX482" s="129">
        <f>VLOOKUP($D482,WGI!$C$2:$O$478,3,FALSE)</f>
        <v>0.105214744277195</v>
      </c>
      <c r="BY482" s="129">
        <f>VLOOKUP($D482,WGI!$C$2:$O$478,5,FALSE)</f>
        <v>-7.7542191410285094E-2</v>
      </c>
      <c r="BZ482" s="129">
        <f>VLOOKUP($D482,WGI!$C$2:$O$478,2,FALSE)</f>
        <v>-1.9105712134025201E-2</v>
      </c>
    </row>
    <row r="483" spans="1:80" ht="15" customHeight="1">
      <c r="A483" s="294" t="s">
        <v>201</v>
      </c>
      <c r="B483" s="117">
        <v>2006</v>
      </c>
      <c r="C483" s="117" t="s">
        <v>195</v>
      </c>
      <c r="D483" s="117" t="s">
        <v>3527</v>
      </c>
      <c r="E483" s="117" t="s">
        <v>86</v>
      </c>
      <c r="F483" s="117"/>
      <c r="G483" s="117" t="s">
        <v>24</v>
      </c>
      <c r="H483" s="117" t="str">
        <f t="shared" si="75"/>
        <v>yes</v>
      </c>
      <c r="I483" s="117" t="str">
        <f t="shared" si="76"/>
        <v>no</v>
      </c>
      <c r="J483" s="117" t="str">
        <f t="shared" si="77"/>
        <v>no</v>
      </c>
      <c r="K483" s="117" t="s">
        <v>846</v>
      </c>
      <c r="L483" s="117" t="str">
        <f t="shared" si="79"/>
        <v>detailed</v>
      </c>
      <c r="M483" s="117" t="str">
        <f t="shared" si="78"/>
        <v>detailed Mining</v>
      </c>
      <c r="N483" s="118">
        <v>1659</v>
      </c>
      <c r="O483" s="118"/>
      <c r="P483" s="118"/>
      <c r="Q483" s="118"/>
      <c r="R483" s="118"/>
      <c r="S483" s="117" t="s">
        <v>610</v>
      </c>
      <c r="T483" s="119"/>
      <c r="U483" s="117"/>
      <c r="V483" s="117" t="s">
        <v>1146</v>
      </c>
      <c r="W483" s="89"/>
      <c r="X483" s="117"/>
      <c r="Y483" s="117"/>
      <c r="Z483" s="117"/>
      <c r="AA483" s="117"/>
      <c r="AB483" s="117"/>
      <c r="AC483" s="240"/>
      <c r="AD483" s="240"/>
      <c r="AE483" s="240"/>
      <c r="AF483" s="241"/>
      <c r="AG483" s="117"/>
      <c r="AH483" s="124"/>
      <c r="AI483" s="117"/>
      <c r="AJ483" s="117"/>
      <c r="AK483" s="89"/>
      <c r="AL483" s="117"/>
      <c r="AM483" s="117"/>
      <c r="AN483" s="117"/>
      <c r="AO483" s="117"/>
      <c r="AP483" s="117"/>
      <c r="AQ483" s="117"/>
      <c r="AR483" s="117"/>
      <c r="AS483" s="117"/>
      <c r="AT483" s="127"/>
      <c r="AU483" s="117"/>
      <c r="AV483" s="128"/>
      <c r="AW483" s="117">
        <f>VLOOKUP($D483,'WB Data'!$C$3:$M$578,2,FALSE)</f>
        <v>20410331625.663353</v>
      </c>
      <c r="AX483" s="117">
        <f>VLOOKUP($D483,'WB Data'!$C$3:$M$578,3,FALSE)</f>
        <v>21947779</v>
      </c>
      <c r="AY483" s="847">
        <f t="shared" si="81"/>
        <v>3.2444627169475387E-3</v>
      </c>
      <c r="AZ483" s="117">
        <f>VLOOKUP($D483,'WB Data'!$C$3:$M$578,4,FALSE)/100</f>
        <v>0.1359415389118315</v>
      </c>
      <c r="BA483" s="117">
        <f t="shared" si="82"/>
        <v>2774611890.8934999</v>
      </c>
      <c r="BB483" s="129">
        <f>IFERROR(VLOOKUP($D483,'EITI Revenues'!$C$2:$G$224,5,FALSE),"..")</f>
        <v>66220560</v>
      </c>
      <c r="BC483" s="846">
        <f t="shared" si="83"/>
        <v>2.3866602827350817E-2</v>
      </c>
      <c r="BD483" s="129">
        <f>VLOOKUP($D483,'WB Data 2'!$C$2:$K$545,6,FALSE)</f>
        <v>141585340.35538939</v>
      </c>
      <c r="BE483" s="129">
        <f>IFERROR(VLOOKUP($D483,UNCTAD!$C$5:$V$529,4,FALSE),"..")</f>
        <v>5109510000</v>
      </c>
      <c r="BF483" s="846">
        <f t="shared" si="84"/>
        <v>2.7710160143612477E-2</v>
      </c>
      <c r="BG483" s="117">
        <f>VLOOKUP($D483,'WB Data'!$C$3:$M$578,5,FALSE)</f>
        <v>1243240000</v>
      </c>
      <c r="BH483" s="129">
        <f>IFERROR($BB483/$BG483,"..")</f>
        <v>5.3264502429136773E-2</v>
      </c>
      <c r="BI483" s="117">
        <f>IFERROR(VLOOKUP($D483,'WB Data'!$C$3:$M$578,7,FALSE)/100,"..")</f>
        <v>5.2599600000000003E-2</v>
      </c>
      <c r="BJ483" s="117">
        <f>IFERROR($BI483*$AW483,"..")</f>
        <v>1073575279.3772422</v>
      </c>
      <c r="BK483" s="846">
        <f>IFERROR($BB483/$BJ483,"..")</f>
        <v>6.1682269769114943E-2</v>
      </c>
      <c r="BL483" s="117">
        <f>IFERROR(VLOOKUP($D483,'WB Data'!$C$3:$M$578,7,FALSE)/100,"..")</f>
        <v>5.2599600000000003E-2</v>
      </c>
      <c r="BM483" s="117">
        <f>IFERROR($AW483*$BL483,"..")</f>
        <v>1073575279.3772422</v>
      </c>
      <c r="BN483" s="846">
        <f>IFERROR($BB483/$BM483,"..")</f>
        <v>6.1682269769114943E-2</v>
      </c>
      <c r="BO483" s="801">
        <f t="shared" si="80"/>
        <v>48</v>
      </c>
      <c r="BP483" s="117">
        <f>VLOOKUP($D483,'WB Data'!$C$3:$M$578,9,FALSE)</f>
        <v>31.9</v>
      </c>
      <c r="BQ483" s="117">
        <f>VLOOKUP($D483,'WB Data'!$C$3:$M$578,10,FALSE)</f>
        <v>59.186707317073179</v>
      </c>
      <c r="BR483" s="117">
        <f>VLOOKUP($D483,'WB Data'!$C$3:$M$578,11,FALSE)</f>
        <v>57.2</v>
      </c>
      <c r="BS483" s="129">
        <f>IFERROR(VLOOKUP($D483,'WB Data 2'!$C$2:$K$545,9,FALSE),"..")</f>
        <v>67.017709999999994</v>
      </c>
      <c r="BT483" s="129">
        <f>_xlfn.IFNA(VLOOKUP($C483,RGI!$A$2:$C$43,2,FALSE),"..")</f>
        <v>32.299999999999997</v>
      </c>
      <c r="BU483" s="129">
        <f>_xlfn.IFNA(VLOOKUP($C483,RGI!$A$2:$C$43,3,FALSE),"..")</f>
        <v>62.723264193960979</v>
      </c>
      <c r="BV483" s="129">
        <f>VLOOKUP($D483,WGI!$C$2:$O$478,7,FALSE)</f>
        <v>0.36521092735796301</v>
      </c>
      <c r="BW483" s="129">
        <f>VLOOKUP($D483,WGI!$C$2:$O$478,4,FALSE)</f>
        <v>1.6425267880939801E-2</v>
      </c>
      <c r="BX483" s="129">
        <f>VLOOKUP($D483,WGI!$C$2:$O$478,3,FALSE)</f>
        <v>0.105214744277195</v>
      </c>
      <c r="BY483" s="129">
        <f>VLOOKUP($D483,WGI!$C$2:$O$478,5,FALSE)</f>
        <v>-7.7542191410285094E-2</v>
      </c>
      <c r="BZ483" s="129">
        <f>VLOOKUP($D483,WGI!$C$2:$O$478,2,FALSE)</f>
        <v>-1.9105712134025201E-2</v>
      </c>
    </row>
    <row r="484" spans="1:80" ht="15" customHeight="1">
      <c r="A484" s="294" t="s">
        <v>201</v>
      </c>
      <c r="B484" s="117">
        <v>2006</v>
      </c>
      <c r="C484" s="117" t="s">
        <v>195</v>
      </c>
      <c r="D484" s="117" t="s">
        <v>3527</v>
      </c>
      <c r="E484" s="117" t="s">
        <v>86</v>
      </c>
      <c r="F484" s="117"/>
      <c r="G484" s="117" t="s">
        <v>24</v>
      </c>
      <c r="H484" s="117" t="str">
        <f t="shared" si="75"/>
        <v>yes</v>
      </c>
      <c r="I484" s="117" t="str">
        <f t="shared" si="76"/>
        <v>no</v>
      </c>
      <c r="J484" s="117" t="str">
        <f t="shared" si="77"/>
        <v>no</v>
      </c>
      <c r="K484" s="117" t="s">
        <v>848</v>
      </c>
      <c r="L484" s="117" t="str">
        <f t="shared" si="79"/>
        <v>detailed</v>
      </c>
      <c r="M484" s="117" t="str">
        <f t="shared" si="78"/>
        <v>detailed Mining</v>
      </c>
      <c r="N484" s="118">
        <v>580</v>
      </c>
      <c r="O484" s="118"/>
      <c r="P484" s="118"/>
      <c r="Q484" s="118"/>
      <c r="R484" s="118"/>
      <c r="S484" s="117" t="s">
        <v>610</v>
      </c>
      <c r="T484" s="119"/>
      <c r="U484" s="117"/>
      <c r="V484" s="117" t="s">
        <v>1146</v>
      </c>
      <c r="W484" s="89"/>
      <c r="X484" s="117"/>
      <c r="Y484" s="117"/>
      <c r="Z484" s="117"/>
      <c r="AA484" s="117"/>
      <c r="AB484" s="117"/>
      <c r="AC484" s="240"/>
      <c r="AD484" s="240"/>
      <c r="AE484" s="240"/>
      <c r="AF484" s="241"/>
      <c r="AG484" s="117"/>
      <c r="AH484" s="124"/>
      <c r="AI484" s="117"/>
      <c r="AJ484" s="117"/>
      <c r="AK484" s="89"/>
      <c r="AL484" s="117"/>
      <c r="AM484" s="117"/>
      <c r="AN484" s="117"/>
      <c r="AO484" s="117"/>
      <c r="AP484" s="117"/>
      <c r="AQ484" s="117"/>
      <c r="AR484" s="117"/>
      <c r="AS484" s="117"/>
      <c r="AT484" s="127"/>
      <c r="AU484" s="117"/>
      <c r="AV484" s="128"/>
      <c r="AW484" s="117">
        <f>VLOOKUP($D484,'WB Data'!$C$3:$M$578,2,FALSE)</f>
        <v>20410331625.663353</v>
      </c>
      <c r="AX484" s="117">
        <f>VLOOKUP($D484,'WB Data'!$C$3:$M$578,3,FALSE)</f>
        <v>21947779</v>
      </c>
      <c r="AY484" s="847">
        <f t="shared" si="81"/>
        <v>3.2444627169475387E-3</v>
      </c>
      <c r="AZ484" s="117">
        <f>VLOOKUP($D484,'WB Data'!$C$3:$M$578,4,FALSE)/100</f>
        <v>0.1359415389118315</v>
      </c>
      <c r="BA484" s="117">
        <f t="shared" si="82"/>
        <v>2774611890.8934999</v>
      </c>
      <c r="BB484" s="129">
        <f>IFERROR(VLOOKUP($D484,'EITI Revenues'!$C$2:$G$224,5,FALSE),"..")</f>
        <v>66220560</v>
      </c>
      <c r="BC484" s="846">
        <f t="shared" si="83"/>
        <v>2.3866602827350817E-2</v>
      </c>
      <c r="BD484" s="129">
        <f>VLOOKUP($D484,'WB Data 2'!$C$2:$K$545,6,FALSE)</f>
        <v>141585340.35538939</v>
      </c>
      <c r="BE484" s="129">
        <f>IFERROR(VLOOKUP($D484,UNCTAD!$C$5:$V$529,4,FALSE),"..")</f>
        <v>5109510000</v>
      </c>
      <c r="BF484" s="846">
        <f t="shared" si="84"/>
        <v>2.7710160143612477E-2</v>
      </c>
      <c r="BG484" s="117">
        <f>VLOOKUP($D484,'WB Data'!$C$3:$M$578,5,FALSE)</f>
        <v>1243240000</v>
      </c>
      <c r="BH484" s="129">
        <f>IFERROR($BB484/$BG484,"..")</f>
        <v>5.3264502429136773E-2</v>
      </c>
      <c r="BI484" s="117">
        <f>IFERROR(VLOOKUP($D484,'WB Data'!$C$3:$M$578,7,FALSE)/100,"..")</f>
        <v>5.2599600000000003E-2</v>
      </c>
      <c r="BJ484" s="117">
        <f>IFERROR($BI484*$AW484,"..")</f>
        <v>1073575279.3772422</v>
      </c>
      <c r="BK484" s="846">
        <f>IFERROR($BB484/$BJ484,"..")</f>
        <v>6.1682269769114943E-2</v>
      </c>
      <c r="BL484" s="117">
        <f>IFERROR(VLOOKUP($D484,'WB Data'!$C$3:$M$578,7,FALSE)/100,"..")</f>
        <v>5.2599600000000003E-2</v>
      </c>
      <c r="BM484" s="117">
        <f>IFERROR($AW484*$BL484,"..")</f>
        <v>1073575279.3772422</v>
      </c>
      <c r="BN484" s="846">
        <f>IFERROR($BB484/$BM484,"..")</f>
        <v>6.1682269769114943E-2</v>
      </c>
      <c r="BO484" s="801">
        <f t="shared" si="80"/>
        <v>48</v>
      </c>
      <c r="BP484" s="117">
        <f>VLOOKUP($D484,'WB Data'!$C$3:$M$578,9,FALSE)</f>
        <v>31.9</v>
      </c>
      <c r="BQ484" s="117">
        <f>VLOOKUP($D484,'WB Data'!$C$3:$M$578,10,FALSE)</f>
        <v>59.186707317073179</v>
      </c>
      <c r="BR484" s="117">
        <f>VLOOKUP($D484,'WB Data'!$C$3:$M$578,11,FALSE)</f>
        <v>57.2</v>
      </c>
      <c r="BS484" s="129">
        <f>IFERROR(VLOOKUP($D484,'WB Data 2'!$C$2:$K$545,9,FALSE),"..")</f>
        <v>67.017709999999994</v>
      </c>
      <c r="BT484" s="129">
        <f>_xlfn.IFNA(VLOOKUP($C484,RGI!$A$2:$C$43,2,FALSE),"..")</f>
        <v>32.299999999999997</v>
      </c>
      <c r="BU484" s="129">
        <f>_xlfn.IFNA(VLOOKUP($C484,RGI!$A$2:$C$43,3,FALSE),"..")</f>
        <v>62.723264193960979</v>
      </c>
      <c r="BV484" s="129">
        <f>VLOOKUP($D484,WGI!$C$2:$O$478,7,FALSE)</f>
        <v>0.36521092735796301</v>
      </c>
      <c r="BW484" s="129">
        <f>VLOOKUP($D484,WGI!$C$2:$O$478,4,FALSE)</f>
        <v>1.6425267880939801E-2</v>
      </c>
      <c r="BX484" s="129">
        <f>VLOOKUP($D484,WGI!$C$2:$O$478,3,FALSE)</f>
        <v>0.105214744277195</v>
      </c>
      <c r="BY484" s="129">
        <f>VLOOKUP($D484,WGI!$C$2:$O$478,5,FALSE)</f>
        <v>-7.7542191410285094E-2</v>
      </c>
      <c r="BZ484" s="129">
        <f>VLOOKUP($D484,WGI!$C$2:$O$478,2,FALSE)</f>
        <v>-1.9105712134025201E-2</v>
      </c>
    </row>
    <row r="485" spans="1:80" ht="15" customHeight="1">
      <c r="A485" s="294" t="s">
        <v>201</v>
      </c>
      <c r="B485" s="117">
        <v>2006</v>
      </c>
      <c r="C485" s="117" t="s">
        <v>195</v>
      </c>
      <c r="D485" s="117" t="s">
        <v>3527</v>
      </c>
      <c r="E485" s="117" t="s">
        <v>86</v>
      </c>
      <c r="F485" s="117"/>
      <c r="G485" s="117" t="s">
        <v>24</v>
      </c>
      <c r="H485" s="117" t="str">
        <f t="shared" si="75"/>
        <v>yes</v>
      </c>
      <c r="I485" s="117" t="str">
        <f t="shared" si="76"/>
        <v>no</v>
      </c>
      <c r="J485" s="117" t="str">
        <f t="shared" si="77"/>
        <v>no</v>
      </c>
      <c r="K485" s="117" t="s">
        <v>1147</v>
      </c>
      <c r="L485" s="117" t="str">
        <f t="shared" si="79"/>
        <v>detailed</v>
      </c>
      <c r="M485" s="117" t="str">
        <f t="shared" si="78"/>
        <v>detailed Mining</v>
      </c>
      <c r="N485" s="118">
        <v>123</v>
      </c>
      <c r="O485" s="118"/>
      <c r="P485" s="118"/>
      <c r="Q485" s="118"/>
      <c r="R485" s="118"/>
      <c r="S485" s="117" t="s">
        <v>610</v>
      </c>
      <c r="T485" s="119">
        <v>60.73</v>
      </c>
      <c r="U485" s="117" t="s">
        <v>611</v>
      </c>
      <c r="V485" s="117" t="s">
        <v>1148</v>
      </c>
      <c r="W485" s="89">
        <f>N485*T485</f>
        <v>7469.79</v>
      </c>
      <c r="X485" s="117"/>
      <c r="Y485" s="117"/>
      <c r="Z485" s="117"/>
      <c r="AA485" s="117"/>
      <c r="AB485" s="117"/>
      <c r="AC485" s="240"/>
      <c r="AD485" s="240"/>
      <c r="AE485" s="240"/>
      <c r="AF485" s="241"/>
      <c r="AG485" s="117"/>
      <c r="AH485" s="124"/>
      <c r="AI485" s="117"/>
      <c r="AJ485" s="117"/>
      <c r="AK485" s="89"/>
      <c r="AL485" s="117"/>
      <c r="AM485" s="117"/>
      <c r="AN485" s="117"/>
      <c r="AO485" s="117"/>
      <c r="AP485" s="117"/>
      <c r="AQ485" s="117"/>
      <c r="AR485" s="117"/>
      <c r="AS485" s="117"/>
      <c r="AT485" s="127"/>
      <c r="AU485" s="117"/>
      <c r="AV485" s="128"/>
      <c r="AW485" s="117">
        <f>VLOOKUP($D485,'WB Data'!$C$3:$M$578,2,FALSE)</f>
        <v>20410331625.663353</v>
      </c>
      <c r="AX485" s="117">
        <f>VLOOKUP($D485,'WB Data'!$C$3:$M$578,3,FALSE)</f>
        <v>21947779</v>
      </c>
      <c r="AY485" s="847">
        <f t="shared" si="81"/>
        <v>3.2444627169475387E-3</v>
      </c>
      <c r="AZ485" s="117">
        <f>VLOOKUP($D485,'WB Data'!$C$3:$M$578,4,FALSE)/100</f>
        <v>0.1359415389118315</v>
      </c>
      <c r="BA485" s="117">
        <f t="shared" si="82"/>
        <v>2774611890.8934999</v>
      </c>
      <c r="BB485" s="129">
        <f>IFERROR(VLOOKUP($D485,'EITI Revenues'!$C$2:$G$224,5,FALSE),"..")</f>
        <v>66220560</v>
      </c>
      <c r="BC485" s="846">
        <f t="shared" si="83"/>
        <v>2.3866602827350817E-2</v>
      </c>
      <c r="BD485" s="129">
        <f>VLOOKUP($D485,'WB Data 2'!$C$2:$K$545,6,FALSE)</f>
        <v>141585340.35538939</v>
      </c>
      <c r="BE485" s="129">
        <f>IFERROR(VLOOKUP($D485,UNCTAD!$C$5:$V$529,4,FALSE),"..")</f>
        <v>5109510000</v>
      </c>
      <c r="BF485" s="846">
        <f t="shared" si="84"/>
        <v>2.7710160143612477E-2</v>
      </c>
      <c r="BG485" s="117">
        <f>VLOOKUP($D485,'WB Data'!$C$3:$M$578,5,FALSE)</f>
        <v>1243240000</v>
      </c>
      <c r="BH485" s="129">
        <f>IFERROR($BB485/$BG485,"..")</f>
        <v>5.3264502429136773E-2</v>
      </c>
      <c r="BI485" s="117">
        <f>IFERROR(VLOOKUP($D485,'WB Data'!$C$3:$M$578,7,FALSE)/100,"..")</f>
        <v>5.2599600000000003E-2</v>
      </c>
      <c r="BJ485" s="117">
        <f>IFERROR($BI485*$AW485,"..")</f>
        <v>1073575279.3772422</v>
      </c>
      <c r="BK485" s="846">
        <f>IFERROR($BB485/$BJ485,"..")</f>
        <v>6.1682269769114943E-2</v>
      </c>
      <c r="BL485" s="117">
        <f>IFERROR(VLOOKUP($D485,'WB Data'!$C$3:$M$578,7,FALSE)/100,"..")</f>
        <v>5.2599600000000003E-2</v>
      </c>
      <c r="BM485" s="117">
        <f>IFERROR($AW485*$BL485,"..")</f>
        <v>1073575279.3772422</v>
      </c>
      <c r="BN485" s="846">
        <f>IFERROR($BB485/$BM485,"..")</f>
        <v>6.1682269769114943E-2</v>
      </c>
      <c r="BO485" s="801">
        <f t="shared" si="80"/>
        <v>48</v>
      </c>
      <c r="BP485" s="117">
        <f>VLOOKUP($D485,'WB Data'!$C$3:$M$578,9,FALSE)</f>
        <v>31.9</v>
      </c>
      <c r="BQ485" s="117">
        <f>VLOOKUP($D485,'WB Data'!$C$3:$M$578,10,FALSE)</f>
        <v>59.186707317073179</v>
      </c>
      <c r="BR485" s="117">
        <f>VLOOKUP($D485,'WB Data'!$C$3:$M$578,11,FALSE)</f>
        <v>57.2</v>
      </c>
      <c r="BS485" s="129">
        <f>IFERROR(VLOOKUP($D485,'WB Data 2'!$C$2:$K$545,9,FALSE),"..")</f>
        <v>67.017709999999994</v>
      </c>
      <c r="BT485" s="129">
        <f>_xlfn.IFNA(VLOOKUP($C485,RGI!$A$2:$C$43,2,FALSE),"..")</f>
        <v>32.299999999999997</v>
      </c>
      <c r="BU485" s="129">
        <f>_xlfn.IFNA(VLOOKUP($C485,RGI!$A$2:$C$43,3,FALSE),"..")</f>
        <v>62.723264193960979</v>
      </c>
      <c r="BV485" s="129">
        <f>VLOOKUP($D485,WGI!$C$2:$O$478,7,FALSE)</f>
        <v>0.36521092735796301</v>
      </c>
      <c r="BW485" s="129">
        <f>VLOOKUP($D485,WGI!$C$2:$O$478,4,FALSE)</f>
        <v>1.6425267880939801E-2</v>
      </c>
      <c r="BX485" s="129">
        <f>VLOOKUP($D485,WGI!$C$2:$O$478,3,FALSE)</f>
        <v>0.105214744277195</v>
      </c>
      <c r="BY485" s="129">
        <f>VLOOKUP($D485,WGI!$C$2:$O$478,5,FALSE)</f>
        <v>-7.7542191410285094E-2</v>
      </c>
      <c r="BZ485" s="129">
        <f>VLOOKUP($D485,WGI!$C$2:$O$478,2,FALSE)</f>
        <v>-1.9105712134025201E-2</v>
      </c>
    </row>
    <row r="486" spans="1:80" ht="15" customHeight="1">
      <c r="A486" s="294" t="s">
        <v>201</v>
      </c>
      <c r="B486" s="117">
        <v>2006</v>
      </c>
      <c r="C486" s="117" t="s">
        <v>195</v>
      </c>
      <c r="D486" s="117" t="s">
        <v>3527</v>
      </c>
      <c r="E486" s="117" t="s">
        <v>86</v>
      </c>
      <c r="F486" s="117"/>
      <c r="G486" s="117" t="s">
        <v>24</v>
      </c>
      <c r="H486" s="117" t="str">
        <f t="shared" si="75"/>
        <v>yes</v>
      </c>
      <c r="I486" s="117" t="str">
        <f t="shared" si="76"/>
        <v>no</v>
      </c>
      <c r="J486" s="117" t="str">
        <f t="shared" si="77"/>
        <v>no</v>
      </c>
      <c r="K486" s="117" t="s">
        <v>789</v>
      </c>
      <c r="L486" s="117" t="str">
        <f t="shared" si="79"/>
        <v>detailed</v>
      </c>
      <c r="M486" s="117" t="str">
        <f t="shared" si="78"/>
        <v>detailed Mining</v>
      </c>
      <c r="N486" s="118">
        <f>3142*32.150743126506</f>
        <v>101017.63490348186</v>
      </c>
      <c r="O486" s="118"/>
      <c r="P486" s="118"/>
      <c r="Q486" s="118"/>
      <c r="R486" s="118"/>
      <c r="S486" s="117" t="s">
        <v>785</v>
      </c>
      <c r="T486" s="119">
        <f>11.55923333333/1</f>
        <v>11.559233333330001</v>
      </c>
      <c r="U486" s="117" t="s">
        <v>786</v>
      </c>
      <c r="V486" s="117" t="s">
        <v>1149</v>
      </c>
      <c r="W486" s="89">
        <f>N486*T486</f>
        <v>1167686.4126304877</v>
      </c>
      <c r="X486" s="117"/>
      <c r="Y486" s="117"/>
      <c r="Z486" s="117"/>
      <c r="AA486" s="117"/>
      <c r="AB486" s="117"/>
      <c r="AC486" s="240"/>
      <c r="AD486" s="240"/>
      <c r="AE486" s="240"/>
      <c r="AF486" s="241"/>
      <c r="AG486" s="117"/>
      <c r="AH486" s="124"/>
      <c r="AI486" s="117"/>
      <c r="AJ486" s="117"/>
      <c r="AK486" s="89"/>
      <c r="AL486" s="117"/>
      <c r="AM486" s="117"/>
      <c r="AN486" s="117"/>
      <c r="AO486" s="117"/>
      <c r="AP486" s="117"/>
      <c r="AQ486" s="117"/>
      <c r="AR486" s="117"/>
      <c r="AS486" s="117"/>
      <c r="AT486" s="127"/>
      <c r="AU486" s="117"/>
      <c r="AV486" s="128"/>
      <c r="AW486" s="117">
        <f>VLOOKUP($D486,'WB Data'!$C$3:$M$578,2,FALSE)</f>
        <v>20410331625.663353</v>
      </c>
      <c r="AX486" s="117">
        <f>VLOOKUP($D486,'WB Data'!$C$3:$M$578,3,FALSE)</f>
        <v>21947779</v>
      </c>
      <c r="AY486" s="847">
        <f t="shared" si="81"/>
        <v>3.2444627169475387E-3</v>
      </c>
      <c r="AZ486" s="117">
        <f>VLOOKUP($D486,'WB Data'!$C$3:$M$578,4,FALSE)/100</f>
        <v>0.1359415389118315</v>
      </c>
      <c r="BA486" s="117">
        <f t="shared" si="82"/>
        <v>2774611890.8934999</v>
      </c>
      <c r="BB486" s="129">
        <f>IFERROR(VLOOKUP($D486,'EITI Revenues'!$C$2:$G$224,5,FALSE),"..")</f>
        <v>66220560</v>
      </c>
      <c r="BC486" s="846">
        <f t="shared" si="83"/>
        <v>2.3866602827350817E-2</v>
      </c>
      <c r="BD486" s="129">
        <f>VLOOKUP($D486,'WB Data 2'!$C$2:$K$545,6,FALSE)</f>
        <v>141585340.35538939</v>
      </c>
      <c r="BE486" s="129">
        <f>IFERROR(VLOOKUP($D486,UNCTAD!$C$5:$V$529,4,FALSE),"..")</f>
        <v>5109510000</v>
      </c>
      <c r="BF486" s="846">
        <f t="shared" si="84"/>
        <v>2.7710160143612477E-2</v>
      </c>
      <c r="BG486" s="117">
        <f>VLOOKUP($D486,'WB Data'!$C$3:$M$578,5,FALSE)</f>
        <v>1243240000</v>
      </c>
      <c r="BH486" s="129">
        <f>IFERROR($BB486/$BG486,"..")</f>
        <v>5.3264502429136773E-2</v>
      </c>
      <c r="BI486" s="117">
        <f>IFERROR(VLOOKUP($D486,'WB Data'!$C$3:$M$578,7,FALSE)/100,"..")</f>
        <v>5.2599600000000003E-2</v>
      </c>
      <c r="BJ486" s="117">
        <f>IFERROR($BI486*$AW486,"..")</f>
        <v>1073575279.3772422</v>
      </c>
      <c r="BK486" s="846">
        <f>IFERROR($BB486/$BJ486,"..")</f>
        <v>6.1682269769114943E-2</v>
      </c>
      <c r="BL486" s="117">
        <f>IFERROR(VLOOKUP($D486,'WB Data'!$C$3:$M$578,7,FALSE)/100,"..")</f>
        <v>5.2599600000000003E-2</v>
      </c>
      <c r="BM486" s="117">
        <f>IFERROR($AW486*$BL486,"..")</f>
        <v>1073575279.3772422</v>
      </c>
      <c r="BN486" s="846">
        <f>IFERROR($BB486/$BM486,"..")</f>
        <v>6.1682269769114943E-2</v>
      </c>
      <c r="BO486" s="801">
        <f t="shared" si="80"/>
        <v>48</v>
      </c>
      <c r="BP486" s="117">
        <f>VLOOKUP($D486,'WB Data'!$C$3:$M$578,9,FALSE)</f>
        <v>31.9</v>
      </c>
      <c r="BQ486" s="117">
        <f>VLOOKUP($D486,'WB Data'!$C$3:$M$578,10,FALSE)</f>
        <v>59.186707317073179</v>
      </c>
      <c r="BR486" s="117">
        <f>VLOOKUP($D486,'WB Data'!$C$3:$M$578,11,FALSE)</f>
        <v>57.2</v>
      </c>
      <c r="BS486" s="129">
        <f>IFERROR(VLOOKUP($D486,'WB Data 2'!$C$2:$K$545,9,FALSE),"..")</f>
        <v>67.017709999999994</v>
      </c>
      <c r="BT486" s="129">
        <f>_xlfn.IFNA(VLOOKUP($C486,RGI!$A$2:$C$43,2,FALSE),"..")</f>
        <v>32.299999999999997</v>
      </c>
      <c r="BU486" s="129">
        <f>_xlfn.IFNA(VLOOKUP($C486,RGI!$A$2:$C$43,3,FALSE),"..")</f>
        <v>62.723264193960979</v>
      </c>
      <c r="BV486" s="129">
        <f>VLOOKUP($D486,WGI!$C$2:$O$478,7,FALSE)</f>
        <v>0.36521092735796301</v>
      </c>
      <c r="BW486" s="129">
        <f>VLOOKUP($D486,WGI!$C$2:$O$478,4,FALSE)</f>
        <v>1.6425267880939801E-2</v>
      </c>
      <c r="BX486" s="129">
        <f>VLOOKUP($D486,WGI!$C$2:$O$478,3,FALSE)</f>
        <v>0.105214744277195</v>
      </c>
      <c r="BY486" s="129">
        <f>VLOOKUP($D486,WGI!$C$2:$O$478,5,FALSE)</f>
        <v>-7.7542191410285094E-2</v>
      </c>
      <c r="BZ486" s="129">
        <f>VLOOKUP($D486,WGI!$C$2:$O$478,2,FALSE)</f>
        <v>-1.9105712134025201E-2</v>
      </c>
    </row>
    <row r="487" spans="1:80" s="144" customFormat="1" ht="15" customHeight="1">
      <c r="A487" s="296" t="s">
        <v>204</v>
      </c>
      <c r="B487" s="132">
        <v>2007</v>
      </c>
      <c r="C487" s="117" t="s">
        <v>195</v>
      </c>
      <c r="D487" s="117" t="s">
        <v>3561</v>
      </c>
      <c r="E487" s="132" t="s">
        <v>86</v>
      </c>
      <c r="F487" s="132" t="s">
        <v>1130</v>
      </c>
      <c r="G487" s="132" t="s">
        <v>24</v>
      </c>
      <c r="H487" s="117" t="str">
        <f t="shared" si="75"/>
        <v>yes</v>
      </c>
      <c r="I487" s="117" t="str">
        <f t="shared" si="76"/>
        <v>no</v>
      </c>
      <c r="J487" s="117" t="str">
        <f t="shared" si="77"/>
        <v>no</v>
      </c>
      <c r="K487" s="132" t="s">
        <v>709</v>
      </c>
      <c r="L487" s="117" t="str">
        <f t="shared" si="79"/>
        <v>Total</v>
      </c>
      <c r="M487" s="117" t="str">
        <f t="shared" si="78"/>
        <v>Total Mining</v>
      </c>
      <c r="N487" s="133"/>
      <c r="O487" s="133"/>
      <c r="P487" s="133"/>
      <c r="Q487" s="133"/>
      <c r="R487" s="133"/>
      <c r="S487" s="132"/>
      <c r="T487" s="134"/>
      <c r="U487" s="132"/>
      <c r="V487" s="132"/>
      <c r="W487" s="135">
        <f>SUM(W488:W495)</f>
        <v>1792412596.4344938</v>
      </c>
      <c r="X487" s="136" t="s">
        <v>1150</v>
      </c>
      <c r="Y487" s="132" t="s">
        <v>602</v>
      </c>
      <c r="Z487" s="132" t="s">
        <v>603</v>
      </c>
      <c r="AA487" s="325">
        <v>61767543</v>
      </c>
      <c r="AB487" s="325">
        <v>64548464</v>
      </c>
      <c r="AC487" s="388" t="s">
        <v>1132</v>
      </c>
      <c r="AD487" s="160">
        <f>AA487/80*100</f>
        <v>77209428.75</v>
      </c>
      <c r="AE487" s="388" t="s">
        <v>665</v>
      </c>
      <c r="AF487" s="224">
        <f>AD487/W487</f>
        <v>4.3075700819993498E-2</v>
      </c>
      <c r="AG487" s="132" t="s">
        <v>1133</v>
      </c>
      <c r="AH487" s="140">
        <v>0.99</v>
      </c>
      <c r="AI487" s="132" t="s">
        <v>1151</v>
      </c>
      <c r="AJ487" s="132"/>
      <c r="AK487" s="135"/>
      <c r="AL487" s="132"/>
      <c r="AM487" s="132"/>
      <c r="AN487" s="132">
        <v>11</v>
      </c>
      <c r="AO487" s="132" t="s">
        <v>1157</v>
      </c>
      <c r="AP487" s="132">
        <v>11</v>
      </c>
      <c r="AQ487" s="389" t="s">
        <v>202</v>
      </c>
      <c r="AR487" s="141">
        <v>41892</v>
      </c>
      <c r="AS487" s="132" t="s">
        <v>1135</v>
      </c>
      <c r="AT487" s="142" t="s">
        <v>205</v>
      </c>
      <c r="AU487" s="132">
        <v>20</v>
      </c>
      <c r="AV487" s="143" t="s">
        <v>1163</v>
      </c>
      <c r="AW487" s="117">
        <f>VLOOKUP($D487,'WB Data'!$C$3:$M$578,2,FALSE)</f>
        <v>24757553101.626564</v>
      </c>
      <c r="AX487" s="117">
        <f>VLOOKUP($D487,'WB Data'!$C$3:$M$578,3,FALSE)</f>
        <v>22525659</v>
      </c>
      <c r="AY487" s="847">
        <f t="shared" si="81"/>
        <v>2.494896920808458E-3</v>
      </c>
      <c r="AZ487" s="117">
        <f>VLOOKUP($D487,'WB Data'!$C$3:$M$578,4,FALSE)/100</f>
        <v>0.15666871862660064</v>
      </c>
      <c r="BA487" s="117">
        <f t="shared" si="82"/>
        <v>3878734120.7618561</v>
      </c>
      <c r="BB487" s="129">
        <f>IFERROR(VLOOKUP($D487,'EITI Revenues'!$C$2:$G$224,5,FALSE),"..")</f>
        <v>61767543</v>
      </c>
      <c r="BC487" s="846">
        <f t="shared" si="83"/>
        <v>1.5924665387445452E-2</v>
      </c>
      <c r="BD487" s="129">
        <f>VLOOKUP($D487,'WB Data 2'!$C$2:$K$545,6,FALSE)</f>
        <v>259426522.45093039</v>
      </c>
      <c r="BE487" s="129">
        <f>IFERROR(VLOOKUP($D487,UNCTAD!$C$5:$V$529,4,FALSE),"..")</f>
        <v>6004010000</v>
      </c>
      <c r="BF487" s="846">
        <f t="shared" si="84"/>
        <v>4.3208875809822168E-2</v>
      </c>
      <c r="BG487" s="117">
        <f>VLOOKUP($D487,'WB Data'!$C$3:$M$578,5,FALSE)</f>
        <v>1165210000</v>
      </c>
      <c r="BH487" s="129">
        <f>IFERROR($BB487/$BG487,"..")</f>
        <v>5.300979480093717E-2</v>
      </c>
      <c r="BI487" s="117">
        <f>IFERROR(VLOOKUP($D487,'WB Data'!$C$3:$M$578,7,FALSE)/100,"..")</f>
        <v>5.5198600000000007E-2</v>
      </c>
      <c r="BJ487" s="117">
        <f>IFERROR($BI487*$AW487,"..")</f>
        <v>1366582270.6354442</v>
      </c>
      <c r="BK487" s="846">
        <f>IFERROR($BB487/$BJ487,"..")</f>
        <v>4.5198554325806412E-2</v>
      </c>
      <c r="BL487" s="117">
        <f>IFERROR(VLOOKUP($D487,'WB Data'!$C$3:$M$578,7,FALSE)/100,"..")</f>
        <v>5.5198600000000007E-2</v>
      </c>
      <c r="BM487" s="117">
        <f>IFERROR($AW487*$BL487,"..")</f>
        <v>1366582270.6354442</v>
      </c>
      <c r="BN487" s="846">
        <f>IFERROR($BB487/$BM487,"..")</f>
        <v>4.5198554325806412E-2</v>
      </c>
      <c r="BO487" s="801">
        <f t="shared" si="80"/>
        <v>48</v>
      </c>
      <c r="BP487" s="117" t="str">
        <f>VLOOKUP($D487,'WB Data'!$C$3:$M$578,9,FALSE)</f>
        <v>..</v>
      </c>
      <c r="BQ487" s="117">
        <f>VLOOKUP($D487,'WB Data'!$C$3:$M$578,10,FALSE)</f>
        <v>59.637853658536592</v>
      </c>
      <c r="BR487" s="117">
        <f>VLOOKUP($D487,'WB Data'!$C$3:$M$578,11,FALSE)</f>
        <v>56.6</v>
      </c>
      <c r="BS487" s="129">
        <f>IFERROR(VLOOKUP($D487,'WB Data 2'!$C$2:$K$545,9,FALSE),"..")</f>
        <v>72.374099999999999</v>
      </c>
      <c r="BT487" s="129">
        <f>_xlfn.IFNA(VLOOKUP($C487,RGI!$A$2:$C$43,2,FALSE),"..")</f>
        <v>32.299999999999997</v>
      </c>
      <c r="BU487" s="129">
        <f>_xlfn.IFNA(VLOOKUP($C487,RGI!$A$2:$C$43,3,FALSE),"..")</f>
        <v>62.723264193960979</v>
      </c>
      <c r="BV487" s="129">
        <f>VLOOKUP($D487,WGI!$C$2:$O$478,7,FALSE)</f>
        <v>0.46092205798499603</v>
      </c>
      <c r="BW487" s="129">
        <f>VLOOKUP($D487,WGI!$C$2:$O$478,4,FALSE)</f>
        <v>-5.9158160726272599E-2</v>
      </c>
      <c r="BX487" s="129">
        <f>VLOOKUP($D487,WGI!$C$2:$O$478,3,FALSE)</f>
        <v>8.1160900607623099E-2</v>
      </c>
      <c r="BY487" s="129">
        <f>VLOOKUP($D487,WGI!$C$2:$O$478,5,FALSE)</f>
        <v>-5.5782085219552101E-2</v>
      </c>
      <c r="BZ487" s="129">
        <f>VLOOKUP($D487,WGI!$C$2:$O$478,2,FALSE)</f>
        <v>5.1259508215566997E-2</v>
      </c>
      <c r="CB487" s="129"/>
    </row>
    <row r="488" spans="1:80" s="120" customFormat="1" ht="15" customHeight="1">
      <c r="A488" s="294" t="s">
        <v>204</v>
      </c>
      <c r="B488" s="117">
        <v>2007</v>
      </c>
      <c r="C488" s="117" t="s">
        <v>195</v>
      </c>
      <c r="D488" s="117" t="s">
        <v>3561</v>
      </c>
      <c r="E488" s="117" t="s">
        <v>86</v>
      </c>
      <c r="F488" s="117"/>
      <c r="G488" s="117" t="s">
        <v>24</v>
      </c>
      <c r="H488" s="117" t="str">
        <f t="shared" si="75"/>
        <v>yes</v>
      </c>
      <c r="I488" s="117" t="str">
        <f t="shared" si="76"/>
        <v>no</v>
      </c>
      <c r="J488" s="117" t="str">
        <f t="shared" si="77"/>
        <v>no</v>
      </c>
      <c r="K488" s="117" t="s">
        <v>1138</v>
      </c>
      <c r="L488" s="117" t="str">
        <f t="shared" si="79"/>
        <v>detailed</v>
      </c>
      <c r="M488" s="117" t="str">
        <f t="shared" si="78"/>
        <v>detailed Mining</v>
      </c>
      <c r="N488" s="118">
        <v>748</v>
      </c>
      <c r="O488" s="118"/>
      <c r="P488" s="118"/>
      <c r="Q488" s="118"/>
      <c r="R488" s="118"/>
      <c r="S488" s="117" t="s">
        <v>610</v>
      </c>
      <c r="T488" s="119">
        <v>31.2</v>
      </c>
      <c r="U488" s="117" t="s">
        <v>611</v>
      </c>
      <c r="V488" s="117" t="s">
        <v>1164</v>
      </c>
      <c r="W488" s="89">
        <f>N488*T488</f>
        <v>23337.599999999999</v>
      </c>
      <c r="X488" s="117"/>
      <c r="Y488" s="117"/>
      <c r="Z488" s="117"/>
      <c r="AA488" s="177">
        <v>559648</v>
      </c>
      <c r="AB488" s="177">
        <v>559648</v>
      </c>
      <c r="AC488" s="122"/>
      <c r="AD488" s="122"/>
      <c r="AE488" s="122"/>
      <c r="AF488" s="123">
        <f>AA488/W488</f>
        <v>23.980529274646923</v>
      </c>
      <c r="AG488" s="117"/>
      <c r="AH488" s="124"/>
      <c r="AI488" s="117"/>
      <c r="AJ488" s="117"/>
      <c r="AK488" s="89"/>
      <c r="AL488" s="117"/>
      <c r="AM488" s="117"/>
      <c r="AN488" s="117">
        <v>1</v>
      </c>
      <c r="AO488" s="117" t="s">
        <v>1140</v>
      </c>
      <c r="AP488" s="117">
        <v>1</v>
      </c>
      <c r="AQ488" s="117"/>
      <c r="AR488" s="117"/>
      <c r="AS488" s="117"/>
      <c r="AT488" s="127"/>
      <c r="AU488" s="215" t="s">
        <v>1160</v>
      </c>
      <c r="AV488" s="128"/>
      <c r="AW488" s="117">
        <f>VLOOKUP($D488,'WB Data'!$C$3:$M$578,2,FALSE)</f>
        <v>24757553101.626564</v>
      </c>
      <c r="AX488" s="117">
        <f>VLOOKUP($D488,'WB Data'!$C$3:$M$578,3,FALSE)</f>
        <v>22525659</v>
      </c>
      <c r="AY488" s="847">
        <f t="shared" si="81"/>
        <v>2.494896920808458E-3</v>
      </c>
      <c r="AZ488" s="117">
        <f>VLOOKUP($D488,'WB Data'!$C$3:$M$578,4,FALSE)/100</f>
        <v>0.15666871862660064</v>
      </c>
      <c r="BA488" s="117">
        <f t="shared" si="82"/>
        <v>3878734120.7618561</v>
      </c>
      <c r="BB488" s="129">
        <f>IFERROR(VLOOKUP($D488,'EITI Revenues'!$C$2:$G$224,5,FALSE),"..")</f>
        <v>61767543</v>
      </c>
      <c r="BC488" s="846">
        <f t="shared" si="83"/>
        <v>1.5924665387445452E-2</v>
      </c>
      <c r="BD488" s="129">
        <f>VLOOKUP($D488,'WB Data 2'!$C$2:$K$545,6,FALSE)</f>
        <v>259426522.45093039</v>
      </c>
      <c r="BE488" s="129">
        <f>IFERROR(VLOOKUP($D488,UNCTAD!$C$5:$V$529,4,FALSE),"..")</f>
        <v>6004010000</v>
      </c>
      <c r="BF488" s="846">
        <f t="shared" si="84"/>
        <v>4.3208875809822168E-2</v>
      </c>
      <c r="BG488" s="117">
        <f>VLOOKUP($D488,'WB Data'!$C$3:$M$578,5,FALSE)</f>
        <v>1165210000</v>
      </c>
      <c r="BH488" s="129">
        <f>IFERROR($BB488/$BG488,"..")</f>
        <v>5.300979480093717E-2</v>
      </c>
      <c r="BI488" s="117">
        <f>IFERROR(VLOOKUP($D488,'WB Data'!$C$3:$M$578,7,FALSE)/100,"..")</f>
        <v>5.5198600000000007E-2</v>
      </c>
      <c r="BJ488" s="117">
        <f>IFERROR($BI488*$AW488,"..")</f>
        <v>1366582270.6354442</v>
      </c>
      <c r="BK488" s="846">
        <f>IFERROR($BB488/$BJ488,"..")</f>
        <v>4.5198554325806412E-2</v>
      </c>
      <c r="BL488" s="117">
        <f>IFERROR(VLOOKUP($D488,'WB Data'!$C$3:$M$578,7,FALSE)/100,"..")</f>
        <v>5.5198600000000007E-2</v>
      </c>
      <c r="BM488" s="117">
        <f>IFERROR($AW488*$BL488,"..")</f>
        <v>1366582270.6354442</v>
      </c>
      <c r="BN488" s="846">
        <f>IFERROR($BB488/$BM488,"..")</f>
        <v>4.5198554325806412E-2</v>
      </c>
      <c r="BO488" s="801">
        <f t="shared" si="80"/>
        <v>48</v>
      </c>
      <c r="BP488" s="117" t="str">
        <f>VLOOKUP($D488,'WB Data'!$C$3:$M$578,9,FALSE)</f>
        <v>..</v>
      </c>
      <c r="BQ488" s="117">
        <f>VLOOKUP($D488,'WB Data'!$C$3:$M$578,10,FALSE)</f>
        <v>59.637853658536592</v>
      </c>
      <c r="BR488" s="117">
        <f>VLOOKUP($D488,'WB Data'!$C$3:$M$578,11,FALSE)</f>
        <v>56.6</v>
      </c>
      <c r="BS488" s="129">
        <f>IFERROR(VLOOKUP($D488,'WB Data 2'!$C$2:$K$545,9,FALSE),"..")</f>
        <v>72.374099999999999</v>
      </c>
      <c r="BT488" s="129">
        <f>_xlfn.IFNA(VLOOKUP($C488,RGI!$A$2:$C$43,2,FALSE),"..")</f>
        <v>32.299999999999997</v>
      </c>
      <c r="BU488" s="129">
        <f>_xlfn.IFNA(VLOOKUP($C488,RGI!$A$2:$C$43,3,FALSE),"..")</f>
        <v>62.723264193960979</v>
      </c>
      <c r="BV488" s="129">
        <f>VLOOKUP($D488,WGI!$C$2:$O$478,7,FALSE)</f>
        <v>0.46092205798499603</v>
      </c>
      <c r="BW488" s="129">
        <f>VLOOKUP($D488,WGI!$C$2:$O$478,4,FALSE)</f>
        <v>-5.9158160726272599E-2</v>
      </c>
      <c r="BX488" s="129">
        <f>VLOOKUP($D488,WGI!$C$2:$O$478,3,FALSE)</f>
        <v>8.1160900607623099E-2</v>
      </c>
      <c r="BY488" s="129">
        <f>VLOOKUP($D488,WGI!$C$2:$O$478,5,FALSE)</f>
        <v>-5.5782085219552101E-2</v>
      </c>
      <c r="BZ488" s="129">
        <f>VLOOKUP($D488,WGI!$C$2:$O$478,2,FALSE)</f>
        <v>5.1259508215566997E-2</v>
      </c>
      <c r="CB488" s="129"/>
    </row>
    <row r="489" spans="1:80" s="120" customFormat="1" ht="15" customHeight="1">
      <c r="A489" s="294" t="s">
        <v>204</v>
      </c>
      <c r="B489" s="117">
        <v>2007</v>
      </c>
      <c r="C489" s="117" t="s">
        <v>195</v>
      </c>
      <c r="D489" s="117" t="s">
        <v>3561</v>
      </c>
      <c r="E489" s="117" t="s">
        <v>86</v>
      </c>
      <c r="F489" s="117"/>
      <c r="G489" s="117" t="s">
        <v>24</v>
      </c>
      <c r="H489" s="117" t="str">
        <f t="shared" si="75"/>
        <v>yes</v>
      </c>
      <c r="I489" s="117" t="str">
        <f t="shared" si="76"/>
        <v>no</v>
      </c>
      <c r="J489" s="117" t="str">
        <f t="shared" si="77"/>
        <v>no</v>
      </c>
      <c r="K489" s="117" t="s">
        <v>980</v>
      </c>
      <c r="L489" s="117" t="str">
        <f t="shared" si="79"/>
        <v>detailed</v>
      </c>
      <c r="M489" s="117" t="str">
        <f t="shared" si="78"/>
        <v>detailed Mining</v>
      </c>
      <c r="N489" s="118">
        <v>895000</v>
      </c>
      <c r="O489" s="118"/>
      <c r="P489" s="118"/>
      <c r="Q489" s="118"/>
      <c r="R489" s="118"/>
      <c r="S489" s="117" t="s">
        <v>981</v>
      </c>
      <c r="T489" s="119">
        <v>25.93</v>
      </c>
      <c r="U489" s="117" t="s">
        <v>982</v>
      </c>
      <c r="V489" s="117" t="s">
        <v>1074</v>
      </c>
      <c r="W489" s="89">
        <f>N489*T489</f>
        <v>23207350</v>
      </c>
      <c r="X489" s="117"/>
      <c r="Y489" s="117"/>
      <c r="Z489" s="117"/>
      <c r="AA489" s="117"/>
      <c r="AB489" s="117"/>
      <c r="AC489" s="240"/>
      <c r="AD489" s="240"/>
      <c r="AE489" s="240"/>
      <c r="AF489" s="241"/>
      <c r="AG489" s="117"/>
      <c r="AH489" s="124"/>
      <c r="AI489" s="117"/>
      <c r="AJ489" s="117"/>
      <c r="AK489" s="89"/>
      <c r="AL489" s="117"/>
      <c r="AM489" s="117"/>
      <c r="AN489" s="117"/>
      <c r="AO489" s="117"/>
      <c r="AP489" s="117"/>
      <c r="AQ489" s="117"/>
      <c r="AR489" s="117"/>
      <c r="AS489" s="117"/>
      <c r="AT489" s="127"/>
      <c r="AU489" s="117"/>
      <c r="AV489" s="128"/>
      <c r="AW489" s="117">
        <f>VLOOKUP($D489,'WB Data'!$C$3:$M$578,2,FALSE)</f>
        <v>24757553101.626564</v>
      </c>
      <c r="AX489" s="117">
        <f>VLOOKUP($D489,'WB Data'!$C$3:$M$578,3,FALSE)</f>
        <v>22525659</v>
      </c>
      <c r="AY489" s="847">
        <f t="shared" si="81"/>
        <v>2.494896920808458E-3</v>
      </c>
      <c r="AZ489" s="117">
        <f>VLOOKUP($D489,'WB Data'!$C$3:$M$578,4,FALSE)/100</f>
        <v>0.15666871862660064</v>
      </c>
      <c r="BA489" s="117">
        <f t="shared" si="82"/>
        <v>3878734120.7618561</v>
      </c>
      <c r="BB489" s="129">
        <f>IFERROR(VLOOKUP($D489,'EITI Revenues'!$C$2:$G$224,5,FALSE),"..")</f>
        <v>61767543</v>
      </c>
      <c r="BC489" s="846">
        <f t="shared" si="83"/>
        <v>1.5924665387445452E-2</v>
      </c>
      <c r="BD489" s="129">
        <f>VLOOKUP($D489,'WB Data 2'!$C$2:$K$545,6,FALSE)</f>
        <v>259426522.45093039</v>
      </c>
      <c r="BE489" s="129">
        <f>IFERROR(VLOOKUP($D489,UNCTAD!$C$5:$V$529,4,FALSE),"..")</f>
        <v>6004010000</v>
      </c>
      <c r="BF489" s="846">
        <f t="shared" si="84"/>
        <v>4.3208875809822168E-2</v>
      </c>
      <c r="BG489" s="117">
        <f>VLOOKUP($D489,'WB Data'!$C$3:$M$578,5,FALSE)</f>
        <v>1165210000</v>
      </c>
      <c r="BH489" s="129">
        <f>IFERROR($BB489/$BG489,"..")</f>
        <v>5.300979480093717E-2</v>
      </c>
      <c r="BI489" s="117">
        <f>IFERROR(VLOOKUP($D489,'WB Data'!$C$3:$M$578,7,FALSE)/100,"..")</f>
        <v>5.5198600000000007E-2</v>
      </c>
      <c r="BJ489" s="117">
        <f>IFERROR($BI489*$AW489,"..")</f>
        <v>1366582270.6354442</v>
      </c>
      <c r="BK489" s="846">
        <f>IFERROR($BB489/$BJ489,"..")</f>
        <v>4.5198554325806412E-2</v>
      </c>
      <c r="BL489" s="117">
        <f>IFERROR(VLOOKUP($D489,'WB Data'!$C$3:$M$578,7,FALSE)/100,"..")</f>
        <v>5.5198600000000007E-2</v>
      </c>
      <c r="BM489" s="117">
        <f>IFERROR($AW489*$BL489,"..")</f>
        <v>1366582270.6354442</v>
      </c>
      <c r="BN489" s="846">
        <f>IFERROR($BB489/$BM489,"..")</f>
        <v>4.5198554325806412E-2</v>
      </c>
      <c r="BO489" s="801">
        <f t="shared" si="80"/>
        <v>48</v>
      </c>
      <c r="BP489" s="117" t="str">
        <f>VLOOKUP($D489,'WB Data'!$C$3:$M$578,9,FALSE)</f>
        <v>..</v>
      </c>
      <c r="BQ489" s="117">
        <f>VLOOKUP($D489,'WB Data'!$C$3:$M$578,10,FALSE)</f>
        <v>59.637853658536592</v>
      </c>
      <c r="BR489" s="117">
        <f>VLOOKUP($D489,'WB Data'!$C$3:$M$578,11,FALSE)</f>
        <v>56.6</v>
      </c>
      <c r="BS489" s="129">
        <f>IFERROR(VLOOKUP($D489,'WB Data 2'!$C$2:$K$545,9,FALSE),"..")</f>
        <v>72.374099999999999</v>
      </c>
      <c r="BT489" s="129">
        <f>_xlfn.IFNA(VLOOKUP($C489,RGI!$A$2:$C$43,2,FALSE),"..")</f>
        <v>32.299999999999997</v>
      </c>
      <c r="BU489" s="129">
        <f>_xlfn.IFNA(VLOOKUP($C489,RGI!$A$2:$C$43,3,FALSE),"..")</f>
        <v>62.723264193960979</v>
      </c>
      <c r="BV489" s="129">
        <f>VLOOKUP($D489,WGI!$C$2:$O$478,7,FALSE)</f>
        <v>0.46092205798499603</v>
      </c>
      <c r="BW489" s="129">
        <f>VLOOKUP($D489,WGI!$C$2:$O$478,4,FALSE)</f>
        <v>-5.9158160726272599E-2</v>
      </c>
      <c r="BX489" s="129">
        <f>VLOOKUP($D489,WGI!$C$2:$O$478,3,FALSE)</f>
        <v>8.1160900607623099E-2</v>
      </c>
      <c r="BY489" s="129">
        <f>VLOOKUP($D489,WGI!$C$2:$O$478,5,FALSE)</f>
        <v>-5.5782085219552101E-2</v>
      </c>
      <c r="BZ489" s="129">
        <f>VLOOKUP($D489,WGI!$C$2:$O$478,2,FALSE)</f>
        <v>5.1259508215566997E-2</v>
      </c>
      <c r="CB489" s="129"/>
    </row>
    <row r="490" spans="1:80" s="120" customFormat="1" ht="15" customHeight="1">
      <c r="A490" s="294" t="s">
        <v>204</v>
      </c>
      <c r="B490" s="117">
        <v>2007</v>
      </c>
      <c r="C490" s="117" t="s">
        <v>195</v>
      </c>
      <c r="D490" s="117" t="s">
        <v>3561</v>
      </c>
      <c r="E490" s="117" t="s">
        <v>86</v>
      </c>
      <c r="F490" s="117"/>
      <c r="G490" s="117" t="s">
        <v>24</v>
      </c>
      <c r="H490" s="117" t="str">
        <f t="shared" si="75"/>
        <v>yes</v>
      </c>
      <c r="I490" s="117" t="str">
        <f t="shared" si="76"/>
        <v>no</v>
      </c>
      <c r="J490" s="117" t="str">
        <f t="shared" si="77"/>
        <v>no</v>
      </c>
      <c r="K490" s="117" t="s">
        <v>784</v>
      </c>
      <c r="L490" s="117" t="str">
        <f t="shared" si="79"/>
        <v>detailed</v>
      </c>
      <c r="M490" s="117" t="str">
        <f t="shared" si="78"/>
        <v>detailed Mining</v>
      </c>
      <c r="N490" s="118">
        <f>72209*32.150743126506</f>
        <v>2321573.0104218717</v>
      </c>
      <c r="O490" s="118"/>
      <c r="P490" s="118"/>
      <c r="Q490" s="118"/>
      <c r="R490" s="118"/>
      <c r="S490" s="117" t="s">
        <v>785</v>
      </c>
      <c r="T490" s="119">
        <f>696.72025*1.0929</f>
        <v>761.44556122500001</v>
      </c>
      <c r="U490" s="117" t="s">
        <v>786</v>
      </c>
      <c r="V490" s="117" t="s">
        <v>1165</v>
      </c>
      <c r="W490" s="89">
        <f>N490*T490</f>
        <v>1767751463.8454947</v>
      </c>
      <c r="X490" s="117"/>
      <c r="Y490" s="117"/>
      <c r="Z490" s="117"/>
      <c r="AA490" s="177">
        <v>59949084</v>
      </c>
      <c r="AB490" s="177">
        <v>62729648</v>
      </c>
      <c r="AC490" s="122"/>
      <c r="AD490" s="122"/>
      <c r="AE490" s="122"/>
      <c r="AF490" s="123">
        <f>AA490/W490</f>
        <v>3.3912620199215787E-2</v>
      </c>
      <c r="AG490" s="117"/>
      <c r="AH490" s="124"/>
      <c r="AI490" s="117"/>
      <c r="AJ490" s="117"/>
      <c r="AK490" s="89"/>
      <c r="AL490" s="117"/>
      <c r="AM490" s="117"/>
      <c r="AN490" s="117">
        <v>9</v>
      </c>
      <c r="AO490" s="117" t="s">
        <v>1162</v>
      </c>
      <c r="AP490" s="117">
        <v>9</v>
      </c>
      <c r="AQ490" s="117"/>
      <c r="AR490" s="117"/>
      <c r="AS490" s="117"/>
      <c r="AT490" s="127"/>
      <c r="AU490" s="215" t="s">
        <v>1160</v>
      </c>
      <c r="AV490" s="128"/>
      <c r="AW490" s="117">
        <f>VLOOKUP($D490,'WB Data'!$C$3:$M$578,2,FALSE)</f>
        <v>24757553101.626564</v>
      </c>
      <c r="AX490" s="117">
        <f>VLOOKUP($D490,'WB Data'!$C$3:$M$578,3,FALSE)</f>
        <v>22525659</v>
      </c>
      <c r="AY490" s="847">
        <f t="shared" si="81"/>
        <v>2.494896920808458E-3</v>
      </c>
      <c r="AZ490" s="117">
        <f>VLOOKUP($D490,'WB Data'!$C$3:$M$578,4,FALSE)/100</f>
        <v>0.15666871862660064</v>
      </c>
      <c r="BA490" s="117">
        <f t="shared" si="82"/>
        <v>3878734120.7618561</v>
      </c>
      <c r="BB490" s="129">
        <f>IFERROR(VLOOKUP($D490,'EITI Revenues'!$C$2:$G$224,5,FALSE),"..")</f>
        <v>61767543</v>
      </c>
      <c r="BC490" s="846">
        <f t="shared" si="83"/>
        <v>1.5924665387445452E-2</v>
      </c>
      <c r="BD490" s="129">
        <f>VLOOKUP($D490,'WB Data 2'!$C$2:$K$545,6,FALSE)</f>
        <v>259426522.45093039</v>
      </c>
      <c r="BE490" s="129">
        <f>IFERROR(VLOOKUP($D490,UNCTAD!$C$5:$V$529,4,FALSE),"..")</f>
        <v>6004010000</v>
      </c>
      <c r="BF490" s="846">
        <f t="shared" si="84"/>
        <v>4.3208875809822168E-2</v>
      </c>
      <c r="BG490" s="117">
        <f>VLOOKUP($D490,'WB Data'!$C$3:$M$578,5,FALSE)</f>
        <v>1165210000</v>
      </c>
      <c r="BH490" s="129">
        <f>IFERROR($BB490/$BG490,"..")</f>
        <v>5.300979480093717E-2</v>
      </c>
      <c r="BI490" s="117">
        <f>IFERROR(VLOOKUP($D490,'WB Data'!$C$3:$M$578,7,FALSE)/100,"..")</f>
        <v>5.5198600000000007E-2</v>
      </c>
      <c r="BJ490" s="117">
        <f>IFERROR($BI490*$AW490,"..")</f>
        <v>1366582270.6354442</v>
      </c>
      <c r="BK490" s="846">
        <f>IFERROR($BB490/$BJ490,"..")</f>
        <v>4.5198554325806412E-2</v>
      </c>
      <c r="BL490" s="117">
        <f>IFERROR(VLOOKUP($D490,'WB Data'!$C$3:$M$578,7,FALSE)/100,"..")</f>
        <v>5.5198600000000007E-2</v>
      </c>
      <c r="BM490" s="117">
        <f>IFERROR($AW490*$BL490,"..")</f>
        <v>1366582270.6354442</v>
      </c>
      <c r="BN490" s="846">
        <f>IFERROR($BB490/$BM490,"..")</f>
        <v>4.5198554325806412E-2</v>
      </c>
      <c r="BO490" s="801">
        <f t="shared" si="80"/>
        <v>48</v>
      </c>
      <c r="BP490" s="117" t="str">
        <f>VLOOKUP($D490,'WB Data'!$C$3:$M$578,9,FALSE)</f>
        <v>..</v>
      </c>
      <c r="BQ490" s="117">
        <f>VLOOKUP($D490,'WB Data'!$C$3:$M$578,10,FALSE)</f>
        <v>59.637853658536592</v>
      </c>
      <c r="BR490" s="117">
        <f>VLOOKUP($D490,'WB Data'!$C$3:$M$578,11,FALSE)</f>
        <v>56.6</v>
      </c>
      <c r="BS490" s="129">
        <f>IFERROR(VLOOKUP($D490,'WB Data 2'!$C$2:$K$545,9,FALSE),"..")</f>
        <v>72.374099999999999</v>
      </c>
      <c r="BT490" s="129">
        <f>_xlfn.IFNA(VLOOKUP($C490,RGI!$A$2:$C$43,2,FALSE),"..")</f>
        <v>32.299999999999997</v>
      </c>
      <c r="BU490" s="129">
        <f>_xlfn.IFNA(VLOOKUP($C490,RGI!$A$2:$C$43,3,FALSE),"..")</f>
        <v>62.723264193960979</v>
      </c>
      <c r="BV490" s="129">
        <f>VLOOKUP($D490,WGI!$C$2:$O$478,7,FALSE)</f>
        <v>0.46092205798499603</v>
      </c>
      <c r="BW490" s="129">
        <f>VLOOKUP($D490,WGI!$C$2:$O$478,4,FALSE)</f>
        <v>-5.9158160726272599E-2</v>
      </c>
      <c r="BX490" s="129">
        <f>VLOOKUP($D490,WGI!$C$2:$O$478,3,FALSE)</f>
        <v>8.1160900607623099E-2</v>
      </c>
      <c r="BY490" s="129">
        <f>VLOOKUP($D490,WGI!$C$2:$O$478,5,FALSE)</f>
        <v>-5.5782085219552101E-2</v>
      </c>
      <c r="BZ490" s="129">
        <f>VLOOKUP($D490,WGI!$C$2:$O$478,2,FALSE)</f>
        <v>5.1259508215566997E-2</v>
      </c>
      <c r="CB490" s="129"/>
    </row>
    <row r="491" spans="1:80" s="120" customFormat="1" ht="15" customHeight="1">
      <c r="A491" s="294" t="s">
        <v>204</v>
      </c>
      <c r="B491" s="117">
        <v>2007</v>
      </c>
      <c r="C491" s="117" t="s">
        <v>195</v>
      </c>
      <c r="D491" s="117" t="s">
        <v>3561</v>
      </c>
      <c r="E491" s="117" t="s">
        <v>86</v>
      </c>
      <c r="F491" s="117"/>
      <c r="G491" s="117" t="s">
        <v>24</v>
      </c>
      <c r="H491" s="117" t="str">
        <f t="shared" si="75"/>
        <v>yes</v>
      </c>
      <c r="I491" s="117" t="str">
        <f t="shared" si="76"/>
        <v>no</v>
      </c>
      <c r="J491" s="117" t="str">
        <f t="shared" si="77"/>
        <v>no</v>
      </c>
      <c r="K491" s="117" t="s">
        <v>843</v>
      </c>
      <c r="L491" s="117" t="str">
        <f t="shared" si="79"/>
        <v>detailed</v>
      </c>
      <c r="M491" s="117" t="str">
        <f t="shared" si="78"/>
        <v>detailed Mining</v>
      </c>
      <c r="N491" s="118"/>
      <c r="O491" s="118"/>
      <c r="P491" s="118"/>
      <c r="Q491" s="118"/>
      <c r="R491" s="118"/>
      <c r="S491" s="117"/>
      <c r="T491" s="119">
        <v>3.48</v>
      </c>
      <c r="U491" s="117" t="s">
        <v>611</v>
      </c>
      <c r="V491" s="117" t="s">
        <v>1144</v>
      </c>
      <c r="W491" s="89">
        <f>N493*T491</f>
        <v>1792.2</v>
      </c>
      <c r="X491" s="117"/>
      <c r="Y491" s="117"/>
      <c r="Z491" s="117"/>
      <c r="AA491" s="177">
        <v>1258811</v>
      </c>
      <c r="AB491" s="177">
        <v>1259168</v>
      </c>
      <c r="AC491" s="122"/>
      <c r="AD491" s="122"/>
      <c r="AE491" s="122"/>
      <c r="AF491" s="123">
        <f>AA491/W491</f>
        <v>702.38310456422278</v>
      </c>
      <c r="AG491" s="117"/>
      <c r="AH491" s="124"/>
      <c r="AI491" s="117"/>
      <c r="AJ491" s="117"/>
      <c r="AK491" s="89"/>
      <c r="AL491" s="117"/>
      <c r="AM491" s="117"/>
      <c r="AN491" s="117">
        <v>1</v>
      </c>
      <c r="AO491" s="117" t="s">
        <v>1145</v>
      </c>
      <c r="AP491" s="117">
        <v>1</v>
      </c>
      <c r="AQ491" s="117"/>
      <c r="AR491" s="117"/>
      <c r="AS491" s="117"/>
      <c r="AT491" s="127"/>
      <c r="AU491" s="215" t="s">
        <v>1160</v>
      </c>
      <c r="AV491" s="128"/>
      <c r="AW491" s="117">
        <f>VLOOKUP($D491,'WB Data'!$C$3:$M$578,2,FALSE)</f>
        <v>24757553101.626564</v>
      </c>
      <c r="AX491" s="117">
        <f>VLOOKUP($D491,'WB Data'!$C$3:$M$578,3,FALSE)</f>
        <v>22525659</v>
      </c>
      <c r="AY491" s="847">
        <f t="shared" si="81"/>
        <v>2.494896920808458E-3</v>
      </c>
      <c r="AZ491" s="117">
        <f>VLOOKUP($D491,'WB Data'!$C$3:$M$578,4,FALSE)/100</f>
        <v>0.15666871862660064</v>
      </c>
      <c r="BA491" s="117">
        <f t="shared" si="82"/>
        <v>3878734120.7618561</v>
      </c>
      <c r="BB491" s="129">
        <f>IFERROR(VLOOKUP($D491,'EITI Revenues'!$C$2:$G$224,5,FALSE),"..")</f>
        <v>61767543</v>
      </c>
      <c r="BC491" s="846">
        <f t="shared" si="83"/>
        <v>1.5924665387445452E-2</v>
      </c>
      <c r="BD491" s="129">
        <f>VLOOKUP($D491,'WB Data 2'!$C$2:$K$545,6,FALSE)</f>
        <v>259426522.45093039</v>
      </c>
      <c r="BE491" s="129">
        <f>IFERROR(VLOOKUP($D491,UNCTAD!$C$5:$V$529,4,FALSE),"..")</f>
        <v>6004010000</v>
      </c>
      <c r="BF491" s="846">
        <f t="shared" si="84"/>
        <v>4.3208875809822168E-2</v>
      </c>
      <c r="BG491" s="117">
        <f>VLOOKUP($D491,'WB Data'!$C$3:$M$578,5,FALSE)</f>
        <v>1165210000</v>
      </c>
      <c r="BH491" s="129">
        <f>IFERROR($BB491/$BG491,"..")</f>
        <v>5.300979480093717E-2</v>
      </c>
      <c r="BI491" s="117">
        <f>IFERROR(VLOOKUP($D491,'WB Data'!$C$3:$M$578,7,FALSE)/100,"..")</f>
        <v>5.5198600000000007E-2</v>
      </c>
      <c r="BJ491" s="117">
        <f>IFERROR($BI491*$AW491,"..")</f>
        <v>1366582270.6354442</v>
      </c>
      <c r="BK491" s="846">
        <f>IFERROR($BB491/$BJ491,"..")</f>
        <v>4.5198554325806412E-2</v>
      </c>
      <c r="BL491" s="117">
        <f>IFERROR(VLOOKUP($D491,'WB Data'!$C$3:$M$578,7,FALSE)/100,"..")</f>
        <v>5.5198600000000007E-2</v>
      </c>
      <c r="BM491" s="117">
        <f>IFERROR($AW491*$BL491,"..")</f>
        <v>1366582270.6354442</v>
      </c>
      <c r="BN491" s="846">
        <f>IFERROR($BB491/$BM491,"..")</f>
        <v>4.5198554325806412E-2</v>
      </c>
      <c r="BO491" s="801">
        <f t="shared" si="80"/>
        <v>48</v>
      </c>
      <c r="BP491" s="117" t="str">
        <f>VLOOKUP($D491,'WB Data'!$C$3:$M$578,9,FALSE)</f>
        <v>..</v>
      </c>
      <c r="BQ491" s="117">
        <f>VLOOKUP($D491,'WB Data'!$C$3:$M$578,10,FALSE)</f>
        <v>59.637853658536592</v>
      </c>
      <c r="BR491" s="117">
        <f>VLOOKUP($D491,'WB Data'!$C$3:$M$578,11,FALSE)</f>
        <v>56.6</v>
      </c>
      <c r="BS491" s="129">
        <f>IFERROR(VLOOKUP($D491,'WB Data 2'!$C$2:$K$545,9,FALSE),"..")</f>
        <v>72.374099999999999</v>
      </c>
      <c r="BT491" s="129">
        <f>_xlfn.IFNA(VLOOKUP($C491,RGI!$A$2:$C$43,2,FALSE),"..")</f>
        <v>32.299999999999997</v>
      </c>
      <c r="BU491" s="129">
        <f>_xlfn.IFNA(VLOOKUP($C491,RGI!$A$2:$C$43,3,FALSE),"..")</f>
        <v>62.723264193960979</v>
      </c>
      <c r="BV491" s="129">
        <f>VLOOKUP($D491,WGI!$C$2:$O$478,7,FALSE)</f>
        <v>0.46092205798499603</v>
      </c>
      <c r="BW491" s="129">
        <f>VLOOKUP($D491,WGI!$C$2:$O$478,4,FALSE)</f>
        <v>-5.9158160726272599E-2</v>
      </c>
      <c r="BX491" s="129">
        <f>VLOOKUP($D491,WGI!$C$2:$O$478,3,FALSE)</f>
        <v>8.1160900607623099E-2</v>
      </c>
      <c r="BY491" s="129">
        <f>VLOOKUP($D491,WGI!$C$2:$O$478,5,FALSE)</f>
        <v>-5.5782085219552101E-2</v>
      </c>
      <c r="BZ491" s="129">
        <f>VLOOKUP($D491,WGI!$C$2:$O$478,2,FALSE)</f>
        <v>5.1259508215566997E-2</v>
      </c>
      <c r="CB491" s="129"/>
    </row>
    <row r="492" spans="1:80" s="120" customFormat="1" ht="15" customHeight="1">
      <c r="A492" s="294" t="s">
        <v>204</v>
      </c>
      <c r="B492" s="117">
        <v>2007</v>
      </c>
      <c r="C492" s="117" t="s">
        <v>195</v>
      </c>
      <c r="D492" s="117" t="s">
        <v>3561</v>
      </c>
      <c r="E492" s="117" t="s">
        <v>86</v>
      </c>
      <c r="F492" s="117"/>
      <c r="G492" s="117" t="s">
        <v>24</v>
      </c>
      <c r="H492" s="117" t="str">
        <f t="shared" si="75"/>
        <v>yes</v>
      </c>
      <c r="I492" s="117" t="str">
        <f t="shared" si="76"/>
        <v>no</v>
      </c>
      <c r="J492" s="117" t="str">
        <f t="shared" si="77"/>
        <v>no</v>
      </c>
      <c r="K492" s="117" t="s">
        <v>846</v>
      </c>
      <c r="L492" s="117" t="str">
        <f t="shared" si="79"/>
        <v>detailed</v>
      </c>
      <c r="M492" s="117" t="str">
        <f t="shared" si="78"/>
        <v>detailed Mining</v>
      </c>
      <c r="N492" s="118">
        <v>1854</v>
      </c>
      <c r="O492" s="118"/>
      <c r="P492" s="118"/>
      <c r="Q492" s="118"/>
      <c r="R492" s="118"/>
      <c r="S492" s="117" t="s">
        <v>610</v>
      </c>
      <c r="T492" s="119"/>
      <c r="U492" s="117"/>
      <c r="V492" s="117" t="s">
        <v>847</v>
      </c>
      <c r="W492" s="89"/>
      <c r="X492" s="117"/>
      <c r="Y492" s="117"/>
      <c r="Z492" s="117"/>
      <c r="AA492" s="117"/>
      <c r="AB492" s="117"/>
      <c r="AC492" s="240"/>
      <c r="AD492" s="240"/>
      <c r="AE492" s="240"/>
      <c r="AF492" s="241"/>
      <c r="AG492" s="117"/>
      <c r="AH492" s="124"/>
      <c r="AI492" s="117"/>
      <c r="AJ492" s="117"/>
      <c r="AK492" s="89"/>
      <c r="AL492" s="117"/>
      <c r="AM492" s="117"/>
      <c r="AN492" s="117"/>
      <c r="AO492" s="117"/>
      <c r="AP492" s="117"/>
      <c r="AQ492" s="117"/>
      <c r="AR492" s="117"/>
      <c r="AS492" s="117"/>
      <c r="AT492" s="127"/>
      <c r="AU492" s="117"/>
      <c r="AV492" s="128"/>
      <c r="AW492" s="117">
        <f>VLOOKUP($D492,'WB Data'!$C$3:$M$578,2,FALSE)</f>
        <v>24757553101.626564</v>
      </c>
      <c r="AX492" s="117">
        <f>VLOOKUP($D492,'WB Data'!$C$3:$M$578,3,FALSE)</f>
        <v>22525659</v>
      </c>
      <c r="AY492" s="847">
        <f t="shared" si="81"/>
        <v>2.494896920808458E-3</v>
      </c>
      <c r="AZ492" s="117">
        <f>VLOOKUP($D492,'WB Data'!$C$3:$M$578,4,FALSE)/100</f>
        <v>0.15666871862660064</v>
      </c>
      <c r="BA492" s="117">
        <f t="shared" si="82"/>
        <v>3878734120.7618561</v>
      </c>
      <c r="BB492" s="129">
        <f>IFERROR(VLOOKUP($D492,'EITI Revenues'!$C$2:$G$224,5,FALSE),"..")</f>
        <v>61767543</v>
      </c>
      <c r="BC492" s="846">
        <f t="shared" si="83"/>
        <v>1.5924665387445452E-2</v>
      </c>
      <c r="BD492" s="129">
        <f>VLOOKUP($D492,'WB Data 2'!$C$2:$K$545,6,FALSE)</f>
        <v>259426522.45093039</v>
      </c>
      <c r="BE492" s="129">
        <f>IFERROR(VLOOKUP($D492,UNCTAD!$C$5:$V$529,4,FALSE),"..")</f>
        <v>6004010000</v>
      </c>
      <c r="BF492" s="846">
        <f t="shared" si="84"/>
        <v>4.3208875809822168E-2</v>
      </c>
      <c r="BG492" s="117">
        <f>VLOOKUP($D492,'WB Data'!$C$3:$M$578,5,FALSE)</f>
        <v>1165210000</v>
      </c>
      <c r="BH492" s="129">
        <f>IFERROR($BB492/$BG492,"..")</f>
        <v>5.300979480093717E-2</v>
      </c>
      <c r="BI492" s="117">
        <f>IFERROR(VLOOKUP($D492,'WB Data'!$C$3:$M$578,7,FALSE)/100,"..")</f>
        <v>5.5198600000000007E-2</v>
      </c>
      <c r="BJ492" s="117">
        <f>IFERROR($BI492*$AW492,"..")</f>
        <v>1366582270.6354442</v>
      </c>
      <c r="BK492" s="846">
        <f>IFERROR($BB492/$BJ492,"..")</f>
        <v>4.5198554325806412E-2</v>
      </c>
      <c r="BL492" s="117">
        <f>IFERROR(VLOOKUP($D492,'WB Data'!$C$3:$M$578,7,FALSE)/100,"..")</f>
        <v>5.5198600000000007E-2</v>
      </c>
      <c r="BM492" s="117">
        <f>IFERROR($AW492*$BL492,"..")</f>
        <v>1366582270.6354442</v>
      </c>
      <c r="BN492" s="846">
        <f>IFERROR($BB492/$BM492,"..")</f>
        <v>4.5198554325806412E-2</v>
      </c>
      <c r="BO492" s="801">
        <f t="shared" si="80"/>
        <v>48</v>
      </c>
      <c r="BP492" s="117" t="str">
        <f>VLOOKUP($D492,'WB Data'!$C$3:$M$578,9,FALSE)</f>
        <v>..</v>
      </c>
      <c r="BQ492" s="117">
        <f>VLOOKUP($D492,'WB Data'!$C$3:$M$578,10,FALSE)</f>
        <v>59.637853658536592</v>
      </c>
      <c r="BR492" s="117">
        <f>VLOOKUP($D492,'WB Data'!$C$3:$M$578,11,FALSE)</f>
        <v>56.6</v>
      </c>
      <c r="BS492" s="129">
        <f>IFERROR(VLOOKUP($D492,'WB Data 2'!$C$2:$K$545,9,FALSE),"..")</f>
        <v>72.374099999999999</v>
      </c>
      <c r="BT492" s="129">
        <f>_xlfn.IFNA(VLOOKUP($C492,RGI!$A$2:$C$43,2,FALSE),"..")</f>
        <v>32.299999999999997</v>
      </c>
      <c r="BU492" s="129">
        <f>_xlfn.IFNA(VLOOKUP($C492,RGI!$A$2:$C$43,3,FALSE),"..")</f>
        <v>62.723264193960979</v>
      </c>
      <c r="BV492" s="129">
        <f>VLOOKUP($D492,WGI!$C$2:$O$478,7,FALSE)</f>
        <v>0.46092205798499603</v>
      </c>
      <c r="BW492" s="129">
        <f>VLOOKUP($D492,WGI!$C$2:$O$478,4,FALSE)</f>
        <v>-5.9158160726272599E-2</v>
      </c>
      <c r="BX492" s="129">
        <f>VLOOKUP($D492,WGI!$C$2:$O$478,3,FALSE)</f>
        <v>8.1160900607623099E-2</v>
      </c>
      <c r="BY492" s="129">
        <f>VLOOKUP($D492,WGI!$C$2:$O$478,5,FALSE)</f>
        <v>-5.5782085219552101E-2</v>
      </c>
      <c r="BZ492" s="129">
        <f>VLOOKUP($D492,WGI!$C$2:$O$478,2,FALSE)</f>
        <v>5.1259508215566997E-2</v>
      </c>
      <c r="CB492" s="129"/>
    </row>
    <row r="493" spans="1:80" s="120" customFormat="1" ht="15" customHeight="1">
      <c r="A493" s="294" t="s">
        <v>204</v>
      </c>
      <c r="B493" s="117">
        <v>2007</v>
      </c>
      <c r="C493" s="117" t="s">
        <v>195</v>
      </c>
      <c r="D493" s="117" t="s">
        <v>3561</v>
      </c>
      <c r="E493" s="117" t="s">
        <v>86</v>
      </c>
      <c r="F493" s="117"/>
      <c r="G493" s="117" t="s">
        <v>24</v>
      </c>
      <c r="H493" s="117" t="str">
        <f t="shared" si="75"/>
        <v>yes</v>
      </c>
      <c r="I493" s="117" t="str">
        <f t="shared" si="76"/>
        <v>no</v>
      </c>
      <c r="J493" s="117" t="str">
        <f t="shared" si="77"/>
        <v>no</v>
      </c>
      <c r="K493" s="117" t="s">
        <v>848</v>
      </c>
      <c r="L493" s="117" t="str">
        <f t="shared" si="79"/>
        <v>detailed</v>
      </c>
      <c r="M493" s="117" t="str">
        <f t="shared" si="78"/>
        <v>detailed Mining</v>
      </c>
      <c r="N493" s="118">
        <v>515</v>
      </c>
      <c r="O493" s="118"/>
      <c r="P493" s="118"/>
      <c r="Q493" s="118"/>
      <c r="R493" s="118"/>
      <c r="S493" s="117" t="s">
        <v>610</v>
      </c>
      <c r="T493" s="119"/>
      <c r="U493" s="117"/>
      <c r="V493" s="117" t="s">
        <v>847</v>
      </c>
      <c r="W493" s="89"/>
      <c r="X493" s="117"/>
      <c r="Y493" s="117"/>
      <c r="Z493" s="117"/>
      <c r="AA493" s="117"/>
      <c r="AB493" s="117"/>
      <c r="AC493" s="240"/>
      <c r="AD493" s="240"/>
      <c r="AE493" s="240"/>
      <c r="AF493" s="241"/>
      <c r="AG493" s="117"/>
      <c r="AH493" s="124"/>
      <c r="AI493" s="117"/>
      <c r="AJ493" s="117"/>
      <c r="AK493" s="89"/>
      <c r="AL493" s="117"/>
      <c r="AM493" s="117"/>
      <c r="AN493" s="117"/>
      <c r="AO493" s="117"/>
      <c r="AP493" s="117"/>
      <c r="AQ493" s="117"/>
      <c r="AR493" s="117"/>
      <c r="AS493" s="117"/>
      <c r="AT493" s="127"/>
      <c r="AU493" s="117"/>
      <c r="AV493" s="128"/>
      <c r="AW493" s="117">
        <f>VLOOKUP($D493,'WB Data'!$C$3:$M$578,2,FALSE)</f>
        <v>24757553101.626564</v>
      </c>
      <c r="AX493" s="117">
        <f>VLOOKUP($D493,'WB Data'!$C$3:$M$578,3,FALSE)</f>
        <v>22525659</v>
      </c>
      <c r="AY493" s="847">
        <f t="shared" si="81"/>
        <v>2.494896920808458E-3</v>
      </c>
      <c r="AZ493" s="117">
        <f>VLOOKUP($D493,'WB Data'!$C$3:$M$578,4,FALSE)/100</f>
        <v>0.15666871862660064</v>
      </c>
      <c r="BA493" s="117">
        <f t="shared" si="82"/>
        <v>3878734120.7618561</v>
      </c>
      <c r="BB493" s="129">
        <f>IFERROR(VLOOKUP($D493,'EITI Revenues'!$C$2:$G$224,5,FALSE),"..")</f>
        <v>61767543</v>
      </c>
      <c r="BC493" s="846">
        <f t="shared" si="83"/>
        <v>1.5924665387445452E-2</v>
      </c>
      <c r="BD493" s="129">
        <f>VLOOKUP($D493,'WB Data 2'!$C$2:$K$545,6,FALSE)</f>
        <v>259426522.45093039</v>
      </c>
      <c r="BE493" s="129">
        <f>IFERROR(VLOOKUP($D493,UNCTAD!$C$5:$V$529,4,FALSE),"..")</f>
        <v>6004010000</v>
      </c>
      <c r="BF493" s="846">
        <f t="shared" si="84"/>
        <v>4.3208875809822168E-2</v>
      </c>
      <c r="BG493" s="117">
        <f>VLOOKUP($D493,'WB Data'!$C$3:$M$578,5,FALSE)</f>
        <v>1165210000</v>
      </c>
      <c r="BH493" s="129">
        <f>IFERROR($BB493/$BG493,"..")</f>
        <v>5.300979480093717E-2</v>
      </c>
      <c r="BI493" s="117">
        <f>IFERROR(VLOOKUP($D493,'WB Data'!$C$3:$M$578,7,FALSE)/100,"..")</f>
        <v>5.5198600000000007E-2</v>
      </c>
      <c r="BJ493" s="117">
        <f>IFERROR($BI493*$AW493,"..")</f>
        <v>1366582270.6354442</v>
      </c>
      <c r="BK493" s="846">
        <f>IFERROR($BB493/$BJ493,"..")</f>
        <v>4.5198554325806412E-2</v>
      </c>
      <c r="BL493" s="117">
        <f>IFERROR(VLOOKUP($D493,'WB Data'!$C$3:$M$578,7,FALSE)/100,"..")</f>
        <v>5.5198600000000007E-2</v>
      </c>
      <c r="BM493" s="117">
        <f>IFERROR($AW493*$BL493,"..")</f>
        <v>1366582270.6354442</v>
      </c>
      <c r="BN493" s="846">
        <f>IFERROR($BB493/$BM493,"..")</f>
        <v>4.5198554325806412E-2</v>
      </c>
      <c r="BO493" s="801">
        <f t="shared" si="80"/>
        <v>48</v>
      </c>
      <c r="BP493" s="117" t="str">
        <f>VLOOKUP($D493,'WB Data'!$C$3:$M$578,9,FALSE)</f>
        <v>..</v>
      </c>
      <c r="BQ493" s="117">
        <f>VLOOKUP($D493,'WB Data'!$C$3:$M$578,10,FALSE)</f>
        <v>59.637853658536592</v>
      </c>
      <c r="BR493" s="117">
        <f>VLOOKUP($D493,'WB Data'!$C$3:$M$578,11,FALSE)</f>
        <v>56.6</v>
      </c>
      <c r="BS493" s="129">
        <f>IFERROR(VLOOKUP($D493,'WB Data 2'!$C$2:$K$545,9,FALSE),"..")</f>
        <v>72.374099999999999</v>
      </c>
      <c r="BT493" s="129">
        <f>_xlfn.IFNA(VLOOKUP($C493,RGI!$A$2:$C$43,2,FALSE),"..")</f>
        <v>32.299999999999997</v>
      </c>
      <c r="BU493" s="129">
        <f>_xlfn.IFNA(VLOOKUP($C493,RGI!$A$2:$C$43,3,FALSE),"..")</f>
        <v>62.723264193960979</v>
      </c>
      <c r="BV493" s="129">
        <f>VLOOKUP($D493,WGI!$C$2:$O$478,7,FALSE)</f>
        <v>0.46092205798499603</v>
      </c>
      <c r="BW493" s="129">
        <f>VLOOKUP($D493,WGI!$C$2:$O$478,4,FALSE)</f>
        <v>-5.9158160726272599E-2</v>
      </c>
      <c r="BX493" s="129">
        <f>VLOOKUP($D493,WGI!$C$2:$O$478,3,FALSE)</f>
        <v>8.1160900607623099E-2</v>
      </c>
      <c r="BY493" s="129">
        <f>VLOOKUP($D493,WGI!$C$2:$O$478,5,FALSE)</f>
        <v>-5.5782085219552101E-2</v>
      </c>
      <c r="BZ493" s="129">
        <f>VLOOKUP($D493,WGI!$C$2:$O$478,2,FALSE)</f>
        <v>5.1259508215566997E-2</v>
      </c>
      <c r="CB493" s="129"/>
    </row>
    <row r="494" spans="1:80" s="120" customFormat="1" ht="15" customHeight="1">
      <c r="A494" s="294" t="s">
        <v>204</v>
      </c>
      <c r="B494" s="117">
        <v>2007</v>
      </c>
      <c r="C494" s="117" t="s">
        <v>195</v>
      </c>
      <c r="D494" s="117" t="s">
        <v>3561</v>
      </c>
      <c r="E494" s="117" t="s">
        <v>86</v>
      </c>
      <c r="F494" s="117"/>
      <c r="G494" s="117" t="s">
        <v>24</v>
      </c>
      <c r="H494" s="117" t="str">
        <f t="shared" si="75"/>
        <v>yes</v>
      </c>
      <c r="I494" s="117" t="str">
        <f t="shared" si="76"/>
        <v>no</v>
      </c>
      <c r="J494" s="117" t="str">
        <f t="shared" si="77"/>
        <v>no</v>
      </c>
      <c r="K494" s="117" t="s">
        <v>1147</v>
      </c>
      <c r="L494" s="117" t="str">
        <f t="shared" si="79"/>
        <v>detailed</v>
      </c>
      <c r="M494" s="117" t="str">
        <f t="shared" si="78"/>
        <v>detailed Mining</v>
      </c>
      <c r="N494" s="118">
        <v>124</v>
      </c>
      <c r="O494" s="118"/>
      <c r="P494" s="118"/>
      <c r="Q494" s="118"/>
      <c r="R494" s="118"/>
      <c r="S494" s="117" t="s">
        <v>610</v>
      </c>
      <c r="T494" s="119">
        <v>62.89</v>
      </c>
      <c r="U494" s="117" t="s">
        <v>611</v>
      </c>
      <c r="V494" s="117" t="s">
        <v>1166</v>
      </c>
      <c r="W494" s="89">
        <f>N494*T494</f>
        <v>7798.36</v>
      </c>
      <c r="X494" s="117"/>
      <c r="Y494" s="117"/>
      <c r="Z494" s="117"/>
      <c r="AA494" s="117"/>
      <c r="AB494" s="117"/>
      <c r="AC494" s="240"/>
      <c r="AD494" s="240"/>
      <c r="AE494" s="240"/>
      <c r="AF494" s="241"/>
      <c r="AG494" s="117"/>
      <c r="AH494" s="124"/>
      <c r="AI494" s="117"/>
      <c r="AJ494" s="117"/>
      <c r="AK494" s="89"/>
      <c r="AL494" s="117"/>
      <c r="AM494" s="117"/>
      <c r="AN494" s="117"/>
      <c r="AO494" s="117"/>
      <c r="AP494" s="117"/>
      <c r="AQ494" s="117"/>
      <c r="AR494" s="117"/>
      <c r="AS494" s="117"/>
      <c r="AT494" s="127"/>
      <c r="AU494" s="117"/>
      <c r="AV494" s="128"/>
      <c r="AW494" s="117">
        <f>VLOOKUP($D494,'WB Data'!$C$3:$M$578,2,FALSE)</f>
        <v>24757553101.626564</v>
      </c>
      <c r="AX494" s="117">
        <f>VLOOKUP($D494,'WB Data'!$C$3:$M$578,3,FALSE)</f>
        <v>22525659</v>
      </c>
      <c r="AY494" s="847">
        <f t="shared" si="81"/>
        <v>2.494896920808458E-3</v>
      </c>
      <c r="AZ494" s="117">
        <f>VLOOKUP($D494,'WB Data'!$C$3:$M$578,4,FALSE)/100</f>
        <v>0.15666871862660064</v>
      </c>
      <c r="BA494" s="117">
        <f t="shared" si="82"/>
        <v>3878734120.7618561</v>
      </c>
      <c r="BB494" s="129">
        <f>IFERROR(VLOOKUP($D494,'EITI Revenues'!$C$2:$G$224,5,FALSE),"..")</f>
        <v>61767543</v>
      </c>
      <c r="BC494" s="846">
        <f t="shared" si="83"/>
        <v>1.5924665387445452E-2</v>
      </c>
      <c r="BD494" s="129">
        <f>VLOOKUP($D494,'WB Data 2'!$C$2:$K$545,6,FALSE)</f>
        <v>259426522.45093039</v>
      </c>
      <c r="BE494" s="129">
        <f>IFERROR(VLOOKUP($D494,UNCTAD!$C$5:$V$529,4,FALSE),"..")</f>
        <v>6004010000</v>
      </c>
      <c r="BF494" s="846">
        <f t="shared" si="84"/>
        <v>4.3208875809822168E-2</v>
      </c>
      <c r="BG494" s="117">
        <f>VLOOKUP($D494,'WB Data'!$C$3:$M$578,5,FALSE)</f>
        <v>1165210000</v>
      </c>
      <c r="BH494" s="129">
        <f>IFERROR($BB494/$BG494,"..")</f>
        <v>5.300979480093717E-2</v>
      </c>
      <c r="BI494" s="117">
        <f>IFERROR(VLOOKUP($D494,'WB Data'!$C$3:$M$578,7,FALSE)/100,"..")</f>
        <v>5.5198600000000007E-2</v>
      </c>
      <c r="BJ494" s="117">
        <f>IFERROR($BI494*$AW494,"..")</f>
        <v>1366582270.6354442</v>
      </c>
      <c r="BK494" s="846">
        <f>IFERROR($BB494/$BJ494,"..")</f>
        <v>4.5198554325806412E-2</v>
      </c>
      <c r="BL494" s="117">
        <f>IFERROR(VLOOKUP($D494,'WB Data'!$C$3:$M$578,7,FALSE)/100,"..")</f>
        <v>5.5198600000000007E-2</v>
      </c>
      <c r="BM494" s="117">
        <f>IFERROR($AW494*$BL494,"..")</f>
        <v>1366582270.6354442</v>
      </c>
      <c r="BN494" s="846">
        <f>IFERROR($BB494/$BM494,"..")</f>
        <v>4.5198554325806412E-2</v>
      </c>
      <c r="BO494" s="801">
        <f t="shared" si="80"/>
        <v>48</v>
      </c>
      <c r="BP494" s="117" t="str">
        <f>VLOOKUP($D494,'WB Data'!$C$3:$M$578,9,FALSE)</f>
        <v>..</v>
      </c>
      <c r="BQ494" s="117">
        <f>VLOOKUP($D494,'WB Data'!$C$3:$M$578,10,FALSE)</f>
        <v>59.637853658536592</v>
      </c>
      <c r="BR494" s="117">
        <f>VLOOKUP($D494,'WB Data'!$C$3:$M$578,11,FALSE)</f>
        <v>56.6</v>
      </c>
      <c r="BS494" s="129">
        <f>IFERROR(VLOOKUP($D494,'WB Data 2'!$C$2:$K$545,9,FALSE),"..")</f>
        <v>72.374099999999999</v>
      </c>
      <c r="BT494" s="129">
        <f>_xlfn.IFNA(VLOOKUP($C494,RGI!$A$2:$C$43,2,FALSE),"..")</f>
        <v>32.299999999999997</v>
      </c>
      <c r="BU494" s="129">
        <f>_xlfn.IFNA(VLOOKUP($C494,RGI!$A$2:$C$43,3,FALSE),"..")</f>
        <v>62.723264193960979</v>
      </c>
      <c r="BV494" s="129">
        <f>VLOOKUP($D494,WGI!$C$2:$O$478,7,FALSE)</f>
        <v>0.46092205798499603</v>
      </c>
      <c r="BW494" s="129">
        <f>VLOOKUP($D494,WGI!$C$2:$O$478,4,FALSE)</f>
        <v>-5.9158160726272599E-2</v>
      </c>
      <c r="BX494" s="129">
        <f>VLOOKUP($D494,WGI!$C$2:$O$478,3,FALSE)</f>
        <v>8.1160900607623099E-2</v>
      </c>
      <c r="BY494" s="129">
        <f>VLOOKUP($D494,WGI!$C$2:$O$478,5,FALSE)</f>
        <v>-5.5782085219552101E-2</v>
      </c>
      <c r="BZ494" s="129">
        <f>VLOOKUP($D494,WGI!$C$2:$O$478,2,FALSE)</f>
        <v>5.1259508215566997E-2</v>
      </c>
      <c r="CB494" s="129"/>
    </row>
    <row r="495" spans="1:80" s="158" customFormat="1" ht="15" customHeight="1">
      <c r="A495" s="295" t="s">
        <v>204</v>
      </c>
      <c r="B495" s="149">
        <v>2007</v>
      </c>
      <c r="C495" s="117" t="s">
        <v>195</v>
      </c>
      <c r="D495" s="117" t="s">
        <v>3561</v>
      </c>
      <c r="E495" s="149" t="s">
        <v>86</v>
      </c>
      <c r="F495" s="149"/>
      <c r="G495" s="149" t="s">
        <v>24</v>
      </c>
      <c r="H495" s="117" t="str">
        <f t="shared" si="75"/>
        <v>yes</v>
      </c>
      <c r="I495" s="117" t="str">
        <f t="shared" si="76"/>
        <v>no</v>
      </c>
      <c r="J495" s="117" t="str">
        <f t="shared" si="77"/>
        <v>no</v>
      </c>
      <c r="K495" s="149" t="s">
        <v>789</v>
      </c>
      <c r="L495" s="117" t="str">
        <f t="shared" si="79"/>
        <v>detailed</v>
      </c>
      <c r="M495" s="117" t="str">
        <f t="shared" si="78"/>
        <v>detailed Mining</v>
      </c>
      <c r="N495" s="150">
        <f>3300*32.150743126506</f>
        <v>106097.4523174698</v>
      </c>
      <c r="O495" s="150"/>
      <c r="P495" s="150"/>
      <c r="Q495" s="150"/>
      <c r="R495" s="150"/>
      <c r="S495" s="149" t="s">
        <v>785</v>
      </c>
      <c r="T495" s="151">
        <f>13.391975/1</f>
        <v>13.391975</v>
      </c>
      <c r="U495" s="149" t="s">
        <v>786</v>
      </c>
      <c r="V495" s="149" t="s">
        <v>1167</v>
      </c>
      <c r="W495" s="152">
        <f>N495*T495</f>
        <v>1420854.4289992477</v>
      </c>
      <c r="X495" s="149"/>
      <c r="Y495" s="149"/>
      <c r="Z495" s="149"/>
      <c r="AA495" s="149"/>
      <c r="AB495" s="149"/>
      <c r="AC495" s="288"/>
      <c r="AD495" s="288"/>
      <c r="AE495" s="288"/>
      <c r="AF495" s="285"/>
      <c r="AG495" s="149"/>
      <c r="AH495" s="156"/>
      <c r="AI495" s="149"/>
      <c r="AJ495" s="149"/>
      <c r="AK495" s="152"/>
      <c r="AL495" s="149"/>
      <c r="AM495" s="149"/>
      <c r="AN495" s="149"/>
      <c r="AO495" s="149"/>
      <c r="AP495" s="149"/>
      <c r="AQ495" s="149"/>
      <c r="AR495" s="149"/>
      <c r="AS495" s="149"/>
      <c r="AT495" s="221"/>
      <c r="AU495" s="149"/>
      <c r="AV495" s="157"/>
      <c r="AW495" s="117">
        <f>VLOOKUP($D495,'WB Data'!$C$3:$M$578,2,FALSE)</f>
        <v>24757553101.626564</v>
      </c>
      <c r="AX495" s="117">
        <f>VLOOKUP($D495,'WB Data'!$C$3:$M$578,3,FALSE)</f>
        <v>22525659</v>
      </c>
      <c r="AY495" s="847">
        <f t="shared" si="81"/>
        <v>2.494896920808458E-3</v>
      </c>
      <c r="AZ495" s="117">
        <f>VLOOKUP($D495,'WB Data'!$C$3:$M$578,4,FALSE)/100</f>
        <v>0.15666871862660064</v>
      </c>
      <c r="BA495" s="117">
        <f t="shared" si="82"/>
        <v>3878734120.7618561</v>
      </c>
      <c r="BB495" s="129">
        <f>IFERROR(VLOOKUP($D495,'EITI Revenues'!$C$2:$G$224,5,FALSE),"..")</f>
        <v>61767543</v>
      </c>
      <c r="BC495" s="846">
        <f t="shared" si="83"/>
        <v>1.5924665387445452E-2</v>
      </c>
      <c r="BD495" s="129">
        <f>VLOOKUP($D495,'WB Data 2'!$C$2:$K$545,6,FALSE)</f>
        <v>259426522.45093039</v>
      </c>
      <c r="BE495" s="129">
        <f>IFERROR(VLOOKUP($D495,UNCTAD!$C$5:$V$529,4,FALSE),"..")</f>
        <v>6004010000</v>
      </c>
      <c r="BF495" s="846">
        <f t="shared" si="84"/>
        <v>4.3208875809822168E-2</v>
      </c>
      <c r="BG495" s="117">
        <f>VLOOKUP($D495,'WB Data'!$C$3:$M$578,5,FALSE)</f>
        <v>1165210000</v>
      </c>
      <c r="BH495" s="129">
        <f>IFERROR($BB495/$BG495,"..")</f>
        <v>5.300979480093717E-2</v>
      </c>
      <c r="BI495" s="117">
        <f>IFERROR(VLOOKUP($D495,'WB Data'!$C$3:$M$578,7,FALSE)/100,"..")</f>
        <v>5.5198600000000007E-2</v>
      </c>
      <c r="BJ495" s="117">
        <f>IFERROR($BI495*$AW495,"..")</f>
        <v>1366582270.6354442</v>
      </c>
      <c r="BK495" s="846">
        <f>IFERROR($BB495/$BJ495,"..")</f>
        <v>4.5198554325806412E-2</v>
      </c>
      <c r="BL495" s="117">
        <f>IFERROR(VLOOKUP($D495,'WB Data'!$C$3:$M$578,7,FALSE)/100,"..")</f>
        <v>5.5198600000000007E-2</v>
      </c>
      <c r="BM495" s="117">
        <f>IFERROR($AW495*$BL495,"..")</f>
        <v>1366582270.6354442</v>
      </c>
      <c r="BN495" s="846">
        <f>IFERROR($BB495/$BM495,"..")</f>
        <v>4.5198554325806412E-2</v>
      </c>
      <c r="BO495" s="801">
        <f t="shared" si="80"/>
        <v>48</v>
      </c>
      <c r="BP495" s="117" t="str">
        <f>VLOOKUP($D495,'WB Data'!$C$3:$M$578,9,FALSE)</f>
        <v>..</v>
      </c>
      <c r="BQ495" s="117">
        <f>VLOOKUP($D495,'WB Data'!$C$3:$M$578,10,FALSE)</f>
        <v>59.637853658536592</v>
      </c>
      <c r="BR495" s="117">
        <f>VLOOKUP($D495,'WB Data'!$C$3:$M$578,11,FALSE)</f>
        <v>56.6</v>
      </c>
      <c r="BS495" s="129">
        <f>IFERROR(VLOOKUP($D495,'WB Data 2'!$C$2:$K$545,9,FALSE),"..")</f>
        <v>72.374099999999999</v>
      </c>
      <c r="BT495" s="129">
        <f>_xlfn.IFNA(VLOOKUP($C495,RGI!$A$2:$C$43,2,FALSE),"..")</f>
        <v>32.299999999999997</v>
      </c>
      <c r="BU495" s="129">
        <f>_xlfn.IFNA(VLOOKUP($C495,RGI!$A$2:$C$43,3,FALSE),"..")</f>
        <v>62.723264193960979</v>
      </c>
      <c r="BV495" s="129">
        <f>VLOOKUP($D495,WGI!$C$2:$O$478,7,FALSE)</f>
        <v>0.46092205798499603</v>
      </c>
      <c r="BW495" s="129">
        <f>VLOOKUP($D495,WGI!$C$2:$O$478,4,FALSE)</f>
        <v>-5.9158160726272599E-2</v>
      </c>
      <c r="BX495" s="129">
        <f>VLOOKUP($D495,WGI!$C$2:$O$478,3,FALSE)</f>
        <v>8.1160900607623099E-2</v>
      </c>
      <c r="BY495" s="129">
        <f>VLOOKUP($D495,WGI!$C$2:$O$478,5,FALSE)</f>
        <v>-5.5782085219552101E-2</v>
      </c>
      <c r="BZ495" s="129">
        <f>VLOOKUP($D495,WGI!$C$2:$O$478,2,FALSE)</f>
        <v>5.1259508215566997E-2</v>
      </c>
      <c r="CB495" s="129"/>
    </row>
    <row r="496" spans="1:80" ht="15" customHeight="1">
      <c r="A496" s="294" t="s">
        <v>206</v>
      </c>
      <c r="B496" s="117">
        <v>2008</v>
      </c>
      <c r="C496" s="117" t="s">
        <v>195</v>
      </c>
      <c r="D496" s="117" t="s">
        <v>3595</v>
      </c>
      <c r="E496" s="117" t="s">
        <v>86</v>
      </c>
      <c r="F496" s="117" t="s">
        <v>1130</v>
      </c>
      <c r="G496" s="117" t="s">
        <v>24</v>
      </c>
      <c r="H496" s="117" t="str">
        <f t="shared" si="75"/>
        <v>yes</v>
      </c>
      <c r="I496" s="117" t="str">
        <f t="shared" si="76"/>
        <v>no</v>
      </c>
      <c r="J496" s="117" t="str">
        <f t="shared" si="77"/>
        <v>no</v>
      </c>
      <c r="K496" s="117" t="s">
        <v>709</v>
      </c>
      <c r="L496" s="117" t="str">
        <f t="shared" si="79"/>
        <v>Total</v>
      </c>
      <c r="M496" s="117" t="str">
        <f t="shared" si="78"/>
        <v>Total Mining</v>
      </c>
      <c r="N496" s="118"/>
      <c r="O496" s="118"/>
      <c r="P496" s="118"/>
      <c r="Q496" s="118"/>
      <c r="R496" s="118"/>
      <c r="S496" s="117"/>
      <c r="T496" s="119"/>
      <c r="U496" s="117"/>
      <c r="V496" s="117"/>
      <c r="W496" s="89">
        <f>SUM(W497:W504)</f>
        <v>2255388994.6882257</v>
      </c>
      <c r="X496" s="125" t="s">
        <v>720</v>
      </c>
      <c r="Y496" s="117" t="s">
        <v>602</v>
      </c>
      <c r="Z496" s="117" t="s">
        <v>603</v>
      </c>
      <c r="AA496" s="334">
        <v>91193482</v>
      </c>
      <c r="AB496" s="334">
        <v>90840454</v>
      </c>
      <c r="AC496" s="351" t="s">
        <v>1132</v>
      </c>
      <c r="AD496" s="160">
        <f>AA496/80*100</f>
        <v>113991852.49999999</v>
      </c>
      <c r="AE496" s="388" t="s">
        <v>665</v>
      </c>
      <c r="AF496" s="213">
        <f>AD496/W496</f>
        <v>5.0541991988285677E-2</v>
      </c>
      <c r="AG496" s="117" t="s">
        <v>1133</v>
      </c>
      <c r="AH496" s="124">
        <v>1.05</v>
      </c>
      <c r="AI496" s="117" t="s">
        <v>1151</v>
      </c>
      <c r="AJ496" s="117"/>
      <c r="AK496" s="89"/>
      <c r="AL496" s="117"/>
      <c r="AM496" s="117"/>
      <c r="AN496" s="117">
        <v>11</v>
      </c>
      <c r="AO496" s="117" t="s">
        <v>1157</v>
      </c>
      <c r="AP496" s="117">
        <v>11</v>
      </c>
      <c r="AQ496" s="390" t="s">
        <v>202</v>
      </c>
      <c r="AR496" s="126">
        <v>41892</v>
      </c>
      <c r="AS496" s="117" t="s">
        <v>1135</v>
      </c>
      <c r="AT496" s="127" t="s">
        <v>207</v>
      </c>
      <c r="AU496" s="117">
        <v>19</v>
      </c>
      <c r="AV496" s="128" t="s">
        <v>1168</v>
      </c>
      <c r="AW496" s="117">
        <f>VLOOKUP($D496,'WB Data'!$C$3:$M$578,2,FALSE)</f>
        <v>28528014620.735378</v>
      </c>
      <c r="AX496" s="117">
        <f>VLOOKUP($D496,'WB Data'!$C$3:$M$578,3,FALSE)</f>
        <v>23110139</v>
      </c>
      <c r="AY496" s="847">
        <f t="shared" si="81"/>
        <v>3.1966291104504932E-3</v>
      </c>
      <c r="AZ496" s="117">
        <f>VLOOKUP($D496,'WB Data'!$C$3:$M$578,4,FALSE)/100</f>
        <v>0.15694153475916939</v>
      </c>
      <c r="BA496" s="117">
        <f t="shared" si="82"/>
        <v>4477230398.2102337</v>
      </c>
      <c r="BB496" s="129">
        <f>IFERROR(VLOOKUP($D496,'EITI Revenues'!$C$2:$G$224,5,FALSE),"..")</f>
        <v>91193482</v>
      </c>
      <c r="BC496" s="846">
        <f t="shared" si="83"/>
        <v>2.0368279916185342E-2</v>
      </c>
      <c r="BD496" s="129">
        <f>VLOOKUP($D496,'WB Data 2'!$C$2:$K$545,6,FALSE)</f>
        <v>463798315.49579895</v>
      </c>
      <c r="BE496" s="129">
        <f>IFERROR(VLOOKUP($D496,UNCTAD!$C$5:$V$529,4,FALSE),"..")</f>
        <v>7070630000</v>
      </c>
      <c r="BF496" s="846">
        <f t="shared" si="84"/>
        <v>6.5595048177573848E-2</v>
      </c>
      <c r="BG496" s="117">
        <f>VLOOKUP($D496,'WB Data'!$C$3:$M$578,5,FALSE)</f>
        <v>1306930000</v>
      </c>
      <c r="BH496" s="129">
        <f>IFERROR($BB496/$BG496,"..")</f>
        <v>6.9776867927126937E-2</v>
      </c>
      <c r="BI496" s="117">
        <f>IFERROR(VLOOKUP($D496,'WB Data'!$C$3:$M$578,7,FALSE)/100,"..")</f>
        <v>5.7579599999999995E-2</v>
      </c>
      <c r="BJ496" s="117">
        <f>IFERROR($BI496*$AW496,"..")</f>
        <v>1642631670.6560946</v>
      </c>
      <c r="BK496" s="846">
        <f>IFERROR($BB496/$BJ496,"..")</f>
        <v>5.5516695330472834E-2</v>
      </c>
      <c r="BL496" s="117">
        <f>IFERROR(VLOOKUP($D496,'WB Data'!$C$3:$M$578,7,FALSE)/100,"..")</f>
        <v>5.7579599999999995E-2</v>
      </c>
      <c r="BM496" s="117">
        <f>IFERROR($AW496*$BL496,"..")</f>
        <v>1642631670.6560946</v>
      </c>
      <c r="BN496" s="846">
        <f>IFERROR($BB496/$BM496,"..")</f>
        <v>5.5516695330472834E-2</v>
      </c>
      <c r="BO496" s="801">
        <f t="shared" si="80"/>
        <v>48</v>
      </c>
      <c r="BP496" s="117" t="str">
        <f>VLOOKUP($D496,'WB Data'!$C$3:$M$578,9,FALSE)</f>
        <v>..</v>
      </c>
      <c r="BQ496" s="117">
        <f>VLOOKUP($D496,'WB Data'!$C$3:$M$578,10,FALSE)</f>
        <v>60.029951219512206</v>
      </c>
      <c r="BR496" s="117">
        <f>VLOOKUP($D496,'WB Data'!$C$3:$M$578,11,FALSE)</f>
        <v>56.1</v>
      </c>
      <c r="BS496" s="129">
        <f>IFERROR(VLOOKUP($D496,'WB Data 2'!$C$2:$K$545,9,FALSE),"..")</f>
        <v>77.891919999999999</v>
      </c>
      <c r="BT496" s="129">
        <f>_xlfn.IFNA(VLOOKUP($C496,RGI!$A$2:$C$43,2,FALSE),"..")</f>
        <v>32.299999999999997</v>
      </c>
      <c r="BU496" s="129">
        <f>_xlfn.IFNA(VLOOKUP($C496,RGI!$A$2:$C$43,3,FALSE),"..")</f>
        <v>62.723264193960979</v>
      </c>
      <c r="BV496" s="129">
        <f>VLOOKUP($D496,WGI!$C$2:$O$478,7,FALSE)</f>
        <v>0.383351857136566</v>
      </c>
      <c r="BW496" s="129">
        <f>VLOOKUP($D496,WGI!$C$2:$O$478,4,FALSE)</f>
        <v>-1.4740866742343E-2</v>
      </c>
      <c r="BX496" s="129">
        <f>VLOOKUP($D496,WGI!$C$2:$O$478,3,FALSE)</f>
        <v>2.19835429444157E-2</v>
      </c>
      <c r="BY496" s="129">
        <f>VLOOKUP($D496,WGI!$C$2:$O$478,5,FALSE)</f>
        <v>-3.5495346850020502E-2</v>
      </c>
      <c r="BZ496" s="129">
        <f>VLOOKUP($D496,WGI!$C$2:$O$478,2,FALSE)</f>
        <v>-4.40878305117159E-2</v>
      </c>
    </row>
    <row r="497" spans="1:80" ht="15" customHeight="1">
      <c r="A497" s="294" t="s">
        <v>206</v>
      </c>
      <c r="B497" s="117">
        <v>2008</v>
      </c>
      <c r="C497" s="117" t="s">
        <v>195</v>
      </c>
      <c r="D497" s="117" t="s">
        <v>3595</v>
      </c>
      <c r="E497" s="117" t="s">
        <v>86</v>
      </c>
      <c r="F497" s="117"/>
      <c r="G497" s="117" t="s">
        <v>24</v>
      </c>
      <c r="H497" s="117" t="str">
        <f t="shared" si="75"/>
        <v>yes</v>
      </c>
      <c r="I497" s="117" t="str">
        <f t="shared" si="76"/>
        <v>no</v>
      </c>
      <c r="J497" s="117" t="str">
        <f t="shared" si="77"/>
        <v>no</v>
      </c>
      <c r="K497" s="117" t="s">
        <v>1138</v>
      </c>
      <c r="L497" s="117" t="str">
        <f t="shared" si="79"/>
        <v>detailed</v>
      </c>
      <c r="M497" s="117" t="str">
        <f t="shared" si="78"/>
        <v>detailed Mining</v>
      </c>
      <c r="N497" s="118">
        <v>796</v>
      </c>
      <c r="O497" s="118"/>
      <c r="P497" s="118"/>
      <c r="Q497" s="118"/>
      <c r="R497" s="118"/>
      <c r="S497" s="117" t="s">
        <v>610</v>
      </c>
      <c r="T497" s="119">
        <v>26.43</v>
      </c>
      <c r="U497" s="117" t="s">
        <v>611</v>
      </c>
      <c r="V497" s="117" t="s">
        <v>1169</v>
      </c>
      <c r="W497" s="89">
        <f>N497*T497</f>
        <v>21038.28</v>
      </c>
      <c r="X497" s="117"/>
      <c r="Y497" s="117"/>
      <c r="Z497" s="117"/>
      <c r="AA497" s="177">
        <v>450138</v>
      </c>
      <c r="AB497" s="177">
        <v>451636</v>
      </c>
      <c r="AC497" s="122"/>
      <c r="AD497" s="122"/>
      <c r="AE497" s="122"/>
      <c r="AF497" s="123">
        <f>AA497/W497</f>
        <v>21.396140749148696</v>
      </c>
      <c r="AG497" s="117"/>
      <c r="AH497" s="124"/>
      <c r="AI497" s="117"/>
      <c r="AJ497" s="117"/>
      <c r="AK497" s="89"/>
      <c r="AL497" s="89"/>
      <c r="AM497" s="117"/>
      <c r="AN497" s="117">
        <v>1</v>
      </c>
      <c r="AO497" s="117" t="s">
        <v>1140</v>
      </c>
      <c r="AP497" s="117">
        <v>1</v>
      </c>
      <c r="AQ497" s="117"/>
      <c r="AR497" s="117"/>
      <c r="AS497" s="117"/>
      <c r="AT497" s="127"/>
      <c r="AU497" s="215" t="s">
        <v>1170</v>
      </c>
      <c r="AV497" s="128"/>
      <c r="AW497" s="117">
        <f>VLOOKUP($D497,'WB Data'!$C$3:$M$578,2,FALSE)</f>
        <v>28528014620.735378</v>
      </c>
      <c r="AX497" s="117">
        <f>VLOOKUP($D497,'WB Data'!$C$3:$M$578,3,FALSE)</f>
        <v>23110139</v>
      </c>
      <c r="AY497" s="847">
        <f t="shared" si="81"/>
        <v>3.1966291104504932E-3</v>
      </c>
      <c r="AZ497" s="117">
        <f>VLOOKUP($D497,'WB Data'!$C$3:$M$578,4,FALSE)/100</f>
        <v>0.15694153475916939</v>
      </c>
      <c r="BA497" s="117">
        <f t="shared" si="82"/>
        <v>4477230398.2102337</v>
      </c>
      <c r="BB497" s="129">
        <f>IFERROR(VLOOKUP($D497,'EITI Revenues'!$C$2:$G$224,5,FALSE),"..")</f>
        <v>91193482</v>
      </c>
      <c r="BC497" s="846">
        <f t="shared" si="83"/>
        <v>2.0368279916185342E-2</v>
      </c>
      <c r="BD497" s="129">
        <f>VLOOKUP($D497,'WB Data 2'!$C$2:$K$545,6,FALSE)</f>
        <v>463798315.49579895</v>
      </c>
      <c r="BE497" s="129">
        <f>IFERROR(VLOOKUP($D497,UNCTAD!$C$5:$V$529,4,FALSE),"..")</f>
        <v>7070630000</v>
      </c>
      <c r="BF497" s="846">
        <f t="shared" si="84"/>
        <v>6.5595048177573848E-2</v>
      </c>
      <c r="BG497" s="117">
        <f>VLOOKUP($D497,'WB Data'!$C$3:$M$578,5,FALSE)</f>
        <v>1306930000</v>
      </c>
      <c r="BH497" s="129">
        <f>IFERROR($BB497/$BG497,"..")</f>
        <v>6.9776867927126937E-2</v>
      </c>
      <c r="BI497" s="117">
        <f>IFERROR(VLOOKUP($D497,'WB Data'!$C$3:$M$578,7,FALSE)/100,"..")</f>
        <v>5.7579599999999995E-2</v>
      </c>
      <c r="BJ497" s="117">
        <f>IFERROR($BI497*$AW497,"..")</f>
        <v>1642631670.6560946</v>
      </c>
      <c r="BK497" s="846">
        <f>IFERROR($BB497/$BJ497,"..")</f>
        <v>5.5516695330472834E-2</v>
      </c>
      <c r="BL497" s="117">
        <f>IFERROR(VLOOKUP($D497,'WB Data'!$C$3:$M$578,7,FALSE)/100,"..")</f>
        <v>5.7579599999999995E-2</v>
      </c>
      <c r="BM497" s="117">
        <f>IFERROR($AW497*$BL497,"..")</f>
        <v>1642631670.6560946</v>
      </c>
      <c r="BN497" s="846">
        <f>IFERROR($BB497/$BM497,"..")</f>
        <v>5.5516695330472834E-2</v>
      </c>
      <c r="BO497" s="801">
        <f t="shared" si="80"/>
        <v>48</v>
      </c>
      <c r="BP497" s="117" t="str">
        <f>VLOOKUP($D497,'WB Data'!$C$3:$M$578,9,FALSE)</f>
        <v>..</v>
      </c>
      <c r="BQ497" s="117">
        <f>VLOOKUP($D497,'WB Data'!$C$3:$M$578,10,FALSE)</f>
        <v>60.029951219512206</v>
      </c>
      <c r="BR497" s="117">
        <f>VLOOKUP($D497,'WB Data'!$C$3:$M$578,11,FALSE)</f>
        <v>56.1</v>
      </c>
      <c r="BS497" s="129">
        <f>IFERROR(VLOOKUP($D497,'WB Data 2'!$C$2:$K$545,9,FALSE),"..")</f>
        <v>77.891919999999999</v>
      </c>
      <c r="BT497" s="129">
        <f>_xlfn.IFNA(VLOOKUP($C497,RGI!$A$2:$C$43,2,FALSE),"..")</f>
        <v>32.299999999999997</v>
      </c>
      <c r="BU497" s="129">
        <f>_xlfn.IFNA(VLOOKUP($C497,RGI!$A$2:$C$43,3,FALSE),"..")</f>
        <v>62.723264193960979</v>
      </c>
      <c r="BV497" s="129">
        <f>VLOOKUP($D497,WGI!$C$2:$O$478,7,FALSE)</f>
        <v>0.383351857136566</v>
      </c>
      <c r="BW497" s="129">
        <f>VLOOKUP($D497,WGI!$C$2:$O$478,4,FALSE)</f>
        <v>-1.4740866742343E-2</v>
      </c>
      <c r="BX497" s="129">
        <f>VLOOKUP($D497,WGI!$C$2:$O$478,3,FALSE)</f>
        <v>2.19835429444157E-2</v>
      </c>
      <c r="BY497" s="129">
        <f>VLOOKUP($D497,WGI!$C$2:$O$478,5,FALSE)</f>
        <v>-3.5495346850020502E-2</v>
      </c>
      <c r="BZ497" s="129">
        <f>VLOOKUP($D497,WGI!$C$2:$O$478,2,FALSE)</f>
        <v>-4.40878305117159E-2</v>
      </c>
    </row>
    <row r="498" spans="1:80" ht="15" customHeight="1">
      <c r="A498" s="294" t="s">
        <v>206</v>
      </c>
      <c r="B498" s="117">
        <v>2008</v>
      </c>
      <c r="C498" s="117" t="s">
        <v>195</v>
      </c>
      <c r="D498" s="117" t="s">
        <v>3595</v>
      </c>
      <c r="E498" s="117" t="s">
        <v>86</v>
      </c>
      <c r="F498" s="117"/>
      <c r="G498" s="117" t="s">
        <v>24</v>
      </c>
      <c r="H498" s="117" t="str">
        <f t="shared" si="75"/>
        <v>yes</v>
      </c>
      <c r="I498" s="117" t="str">
        <f t="shared" si="76"/>
        <v>no</v>
      </c>
      <c r="J498" s="117" t="str">
        <f t="shared" si="77"/>
        <v>no</v>
      </c>
      <c r="K498" s="117" t="s">
        <v>980</v>
      </c>
      <c r="L498" s="117" t="str">
        <f t="shared" si="79"/>
        <v>detailed</v>
      </c>
      <c r="M498" s="117" t="str">
        <f t="shared" si="78"/>
        <v>detailed Mining</v>
      </c>
      <c r="N498" s="118">
        <v>643000</v>
      </c>
      <c r="O498" s="118"/>
      <c r="P498" s="118"/>
      <c r="Q498" s="118"/>
      <c r="R498" s="118"/>
      <c r="S498" s="117" t="s">
        <v>981</v>
      </c>
      <c r="T498" s="119">
        <v>28.7</v>
      </c>
      <c r="U498" s="117" t="s">
        <v>982</v>
      </c>
      <c r="V498" s="117" t="s">
        <v>1171</v>
      </c>
      <c r="W498" s="89">
        <f>N498*T498</f>
        <v>18454100</v>
      </c>
      <c r="X498" s="117"/>
      <c r="Y498" s="117"/>
      <c r="Z498" s="117"/>
      <c r="AA498" s="117"/>
      <c r="AB498" s="117"/>
      <c r="AC498" s="240"/>
      <c r="AD498" s="240"/>
      <c r="AE498" s="240"/>
      <c r="AF498" s="241"/>
      <c r="AG498" s="117"/>
      <c r="AH498" s="124"/>
      <c r="AI498" s="117"/>
      <c r="AJ498" s="117"/>
      <c r="AK498" s="89"/>
      <c r="AL498" s="117"/>
      <c r="AM498" s="117"/>
      <c r="AN498" s="117"/>
      <c r="AO498" s="117"/>
      <c r="AP498" s="117"/>
      <c r="AQ498" s="117"/>
      <c r="AR498" s="117"/>
      <c r="AS498" s="117"/>
      <c r="AT498" s="127"/>
      <c r="AU498" s="117"/>
      <c r="AV498" s="128"/>
      <c r="AW498" s="117">
        <f>VLOOKUP($D498,'WB Data'!$C$3:$M$578,2,FALSE)</f>
        <v>28528014620.735378</v>
      </c>
      <c r="AX498" s="117">
        <f>VLOOKUP($D498,'WB Data'!$C$3:$M$578,3,FALSE)</f>
        <v>23110139</v>
      </c>
      <c r="AY498" s="847">
        <f t="shared" si="81"/>
        <v>3.1966291104504932E-3</v>
      </c>
      <c r="AZ498" s="117">
        <f>VLOOKUP($D498,'WB Data'!$C$3:$M$578,4,FALSE)/100</f>
        <v>0.15694153475916939</v>
      </c>
      <c r="BA498" s="117">
        <f t="shared" si="82"/>
        <v>4477230398.2102337</v>
      </c>
      <c r="BB498" s="129">
        <f>IFERROR(VLOOKUP($D498,'EITI Revenues'!$C$2:$G$224,5,FALSE),"..")</f>
        <v>91193482</v>
      </c>
      <c r="BC498" s="846">
        <f t="shared" si="83"/>
        <v>2.0368279916185342E-2</v>
      </c>
      <c r="BD498" s="129">
        <f>VLOOKUP($D498,'WB Data 2'!$C$2:$K$545,6,FALSE)</f>
        <v>463798315.49579895</v>
      </c>
      <c r="BE498" s="129">
        <f>IFERROR(VLOOKUP($D498,UNCTAD!$C$5:$V$529,4,FALSE),"..")</f>
        <v>7070630000</v>
      </c>
      <c r="BF498" s="846">
        <f t="shared" si="84"/>
        <v>6.5595048177573848E-2</v>
      </c>
      <c r="BG498" s="117">
        <f>VLOOKUP($D498,'WB Data'!$C$3:$M$578,5,FALSE)</f>
        <v>1306930000</v>
      </c>
      <c r="BH498" s="129">
        <f>IFERROR($BB498/$BG498,"..")</f>
        <v>6.9776867927126937E-2</v>
      </c>
      <c r="BI498" s="117">
        <f>IFERROR(VLOOKUP($D498,'WB Data'!$C$3:$M$578,7,FALSE)/100,"..")</f>
        <v>5.7579599999999995E-2</v>
      </c>
      <c r="BJ498" s="117">
        <f>IFERROR($BI498*$AW498,"..")</f>
        <v>1642631670.6560946</v>
      </c>
      <c r="BK498" s="846">
        <f>IFERROR($BB498/$BJ498,"..")</f>
        <v>5.5516695330472834E-2</v>
      </c>
      <c r="BL498" s="117">
        <f>IFERROR(VLOOKUP($D498,'WB Data'!$C$3:$M$578,7,FALSE)/100,"..")</f>
        <v>5.7579599999999995E-2</v>
      </c>
      <c r="BM498" s="117">
        <f>IFERROR($AW498*$BL498,"..")</f>
        <v>1642631670.6560946</v>
      </c>
      <c r="BN498" s="846">
        <f>IFERROR($BB498/$BM498,"..")</f>
        <v>5.5516695330472834E-2</v>
      </c>
      <c r="BO498" s="801">
        <f t="shared" si="80"/>
        <v>48</v>
      </c>
      <c r="BP498" s="117" t="str">
        <f>VLOOKUP($D498,'WB Data'!$C$3:$M$578,9,FALSE)</f>
        <v>..</v>
      </c>
      <c r="BQ498" s="117">
        <f>VLOOKUP($D498,'WB Data'!$C$3:$M$578,10,FALSE)</f>
        <v>60.029951219512206</v>
      </c>
      <c r="BR498" s="117">
        <f>VLOOKUP($D498,'WB Data'!$C$3:$M$578,11,FALSE)</f>
        <v>56.1</v>
      </c>
      <c r="BS498" s="129">
        <f>IFERROR(VLOOKUP($D498,'WB Data 2'!$C$2:$K$545,9,FALSE),"..")</f>
        <v>77.891919999999999</v>
      </c>
      <c r="BT498" s="129">
        <f>_xlfn.IFNA(VLOOKUP($C498,RGI!$A$2:$C$43,2,FALSE),"..")</f>
        <v>32.299999999999997</v>
      </c>
      <c r="BU498" s="129">
        <f>_xlfn.IFNA(VLOOKUP($C498,RGI!$A$2:$C$43,3,FALSE),"..")</f>
        <v>62.723264193960979</v>
      </c>
      <c r="BV498" s="129">
        <f>VLOOKUP($D498,WGI!$C$2:$O$478,7,FALSE)</f>
        <v>0.383351857136566</v>
      </c>
      <c r="BW498" s="129">
        <f>VLOOKUP($D498,WGI!$C$2:$O$478,4,FALSE)</f>
        <v>-1.4740866742343E-2</v>
      </c>
      <c r="BX498" s="129">
        <f>VLOOKUP($D498,WGI!$C$2:$O$478,3,FALSE)</f>
        <v>2.19835429444157E-2</v>
      </c>
      <c r="BY498" s="129">
        <f>VLOOKUP($D498,WGI!$C$2:$O$478,5,FALSE)</f>
        <v>-3.5495346850020502E-2</v>
      </c>
      <c r="BZ498" s="129">
        <f>VLOOKUP($D498,WGI!$C$2:$O$478,2,FALSE)</f>
        <v>-4.40878305117159E-2</v>
      </c>
    </row>
    <row r="499" spans="1:80" ht="15" customHeight="1">
      <c r="A499" s="294" t="s">
        <v>206</v>
      </c>
      <c r="B499" s="117">
        <v>2008</v>
      </c>
      <c r="C499" s="117" t="s">
        <v>195</v>
      </c>
      <c r="D499" s="117" t="s">
        <v>3595</v>
      </c>
      <c r="E499" s="117" t="s">
        <v>86</v>
      </c>
      <c r="F499" s="117"/>
      <c r="G499" s="117" t="s">
        <v>24</v>
      </c>
      <c r="H499" s="117" t="str">
        <f t="shared" si="75"/>
        <v>yes</v>
      </c>
      <c r="I499" s="117" t="str">
        <f t="shared" si="76"/>
        <v>no</v>
      </c>
      <c r="J499" s="117" t="str">
        <f t="shared" si="77"/>
        <v>no</v>
      </c>
      <c r="K499" s="117" t="s">
        <v>784</v>
      </c>
      <c r="L499" s="117" t="str">
        <f t="shared" si="79"/>
        <v>detailed</v>
      </c>
      <c r="M499" s="117" t="str">
        <f t="shared" si="78"/>
        <v>detailed Mining</v>
      </c>
      <c r="N499" s="118">
        <f>72980*32.150743126506</f>
        <v>2346361.233372408</v>
      </c>
      <c r="O499" s="118"/>
      <c r="P499" s="118"/>
      <c r="Q499" s="118"/>
      <c r="R499" s="118"/>
      <c r="S499" s="117" t="s">
        <v>785</v>
      </c>
      <c r="T499" s="119">
        <f>871.70725*1.0929</f>
        <v>952.68885352500001</v>
      </c>
      <c r="U499" s="117" t="s">
        <v>786</v>
      </c>
      <c r="V499" s="117" t="s">
        <v>1165</v>
      </c>
      <c r="W499" s="89">
        <f>N499*T499</f>
        <v>2235352193.3770642</v>
      </c>
      <c r="X499" s="117"/>
      <c r="Y499" s="117"/>
      <c r="Z499" s="117"/>
      <c r="AA499" s="177">
        <v>86750625</v>
      </c>
      <c r="AB499" s="177">
        <v>86396099</v>
      </c>
      <c r="AC499" s="122"/>
      <c r="AD499" s="122"/>
      <c r="AE499" s="122"/>
      <c r="AF499" s="123">
        <f>AA499/W499</f>
        <v>3.8808481838801992E-2</v>
      </c>
      <c r="AG499" s="117"/>
      <c r="AH499" s="124"/>
      <c r="AI499" s="117"/>
      <c r="AJ499" s="117"/>
      <c r="AK499" s="89"/>
      <c r="AL499" s="89"/>
      <c r="AM499" s="117"/>
      <c r="AN499" s="117">
        <v>9</v>
      </c>
      <c r="AO499" s="117" t="s">
        <v>1162</v>
      </c>
      <c r="AP499" s="117">
        <v>9</v>
      </c>
      <c r="AQ499" s="117"/>
      <c r="AR499" s="117"/>
      <c r="AS499" s="117"/>
      <c r="AT499" s="127"/>
      <c r="AU499" s="215" t="s">
        <v>1170</v>
      </c>
      <c r="AV499" s="128"/>
      <c r="AW499" s="117">
        <f>VLOOKUP($D499,'WB Data'!$C$3:$M$578,2,FALSE)</f>
        <v>28528014620.735378</v>
      </c>
      <c r="AX499" s="117">
        <f>VLOOKUP($D499,'WB Data'!$C$3:$M$578,3,FALSE)</f>
        <v>23110139</v>
      </c>
      <c r="AY499" s="847">
        <f t="shared" si="81"/>
        <v>3.1966291104504932E-3</v>
      </c>
      <c r="AZ499" s="117">
        <f>VLOOKUP($D499,'WB Data'!$C$3:$M$578,4,FALSE)/100</f>
        <v>0.15694153475916939</v>
      </c>
      <c r="BA499" s="117">
        <f t="shared" si="82"/>
        <v>4477230398.2102337</v>
      </c>
      <c r="BB499" s="129">
        <f>IFERROR(VLOOKUP($D499,'EITI Revenues'!$C$2:$G$224,5,FALSE),"..")</f>
        <v>91193482</v>
      </c>
      <c r="BC499" s="846">
        <f t="shared" si="83"/>
        <v>2.0368279916185342E-2</v>
      </c>
      <c r="BD499" s="129">
        <f>VLOOKUP($D499,'WB Data 2'!$C$2:$K$545,6,FALSE)</f>
        <v>463798315.49579895</v>
      </c>
      <c r="BE499" s="129">
        <f>IFERROR(VLOOKUP($D499,UNCTAD!$C$5:$V$529,4,FALSE),"..")</f>
        <v>7070630000</v>
      </c>
      <c r="BF499" s="846">
        <f t="shared" si="84"/>
        <v>6.5595048177573848E-2</v>
      </c>
      <c r="BG499" s="117">
        <f>VLOOKUP($D499,'WB Data'!$C$3:$M$578,5,FALSE)</f>
        <v>1306930000</v>
      </c>
      <c r="BH499" s="129">
        <f>IFERROR($BB499/$BG499,"..")</f>
        <v>6.9776867927126937E-2</v>
      </c>
      <c r="BI499" s="117">
        <f>IFERROR(VLOOKUP($D499,'WB Data'!$C$3:$M$578,7,FALSE)/100,"..")</f>
        <v>5.7579599999999995E-2</v>
      </c>
      <c r="BJ499" s="117">
        <f>IFERROR($BI499*$AW499,"..")</f>
        <v>1642631670.6560946</v>
      </c>
      <c r="BK499" s="846">
        <f>IFERROR($BB499/$BJ499,"..")</f>
        <v>5.5516695330472834E-2</v>
      </c>
      <c r="BL499" s="117">
        <f>IFERROR(VLOOKUP($D499,'WB Data'!$C$3:$M$578,7,FALSE)/100,"..")</f>
        <v>5.7579599999999995E-2</v>
      </c>
      <c r="BM499" s="117">
        <f>IFERROR($AW499*$BL499,"..")</f>
        <v>1642631670.6560946</v>
      </c>
      <c r="BN499" s="846">
        <f>IFERROR($BB499/$BM499,"..")</f>
        <v>5.5516695330472834E-2</v>
      </c>
      <c r="BO499" s="801">
        <f t="shared" si="80"/>
        <v>48</v>
      </c>
      <c r="BP499" s="117" t="str">
        <f>VLOOKUP($D499,'WB Data'!$C$3:$M$578,9,FALSE)</f>
        <v>..</v>
      </c>
      <c r="BQ499" s="117">
        <f>VLOOKUP($D499,'WB Data'!$C$3:$M$578,10,FALSE)</f>
        <v>60.029951219512206</v>
      </c>
      <c r="BR499" s="117">
        <f>VLOOKUP($D499,'WB Data'!$C$3:$M$578,11,FALSE)</f>
        <v>56.1</v>
      </c>
      <c r="BS499" s="129">
        <f>IFERROR(VLOOKUP($D499,'WB Data 2'!$C$2:$K$545,9,FALSE),"..")</f>
        <v>77.891919999999999</v>
      </c>
      <c r="BT499" s="129">
        <f>_xlfn.IFNA(VLOOKUP($C499,RGI!$A$2:$C$43,2,FALSE),"..")</f>
        <v>32.299999999999997</v>
      </c>
      <c r="BU499" s="129">
        <f>_xlfn.IFNA(VLOOKUP($C499,RGI!$A$2:$C$43,3,FALSE),"..")</f>
        <v>62.723264193960979</v>
      </c>
      <c r="BV499" s="129">
        <f>VLOOKUP($D499,WGI!$C$2:$O$478,7,FALSE)</f>
        <v>0.383351857136566</v>
      </c>
      <c r="BW499" s="129">
        <f>VLOOKUP($D499,WGI!$C$2:$O$478,4,FALSE)</f>
        <v>-1.4740866742343E-2</v>
      </c>
      <c r="BX499" s="129">
        <f>VLOOKUP($D499,WGI!$C$2:$O$478,3,FALSE)</f>
        <v>2.19835429444157E-2</v>
      </c>
      <c r="BY499" s="129">
        <f>VLOOKUP($D499,WGI!$C$2:$O$478,5,FALSE)</f>
        <v>-3.5495346850020502E-2</v>
      </c>
      <c r="BZ499" s="129">
        <f>VLOOKUP($D499,WGI!$C$2:$O$478,2,FALSE)</f>
        <v>-4.40878305117159E-2</v>
      </c>
    </row>
    <row r="500" spans="1:80" ht="15" customHeight="1">
      <c r="A500" s="294" t="s">
        <v>206</v>
      </c>
      <c r="B500" s="117">
        <v>2008</v>
      </c>
      <c r="C500" s="117" t="s">
        <v>195</v>
      </c>
      <c r="D500" s="117" t="s">
        <v>3595</v>
      </c>
      <c r="E500" s="117" t="s">
        <v>86</v>
      </c>
      <c r="F500" s="117"/>
      <c r="G500" s="117" t="s">
        <v>24</v>
      </c>
      <c r="H500" s="117" t="str">
        <f t="shared" si="75"/>
        <v>yes</v>
      </c>
      <c r="I500" s="117" t="str">
        <f t="shared" si="76"/>
        <v>no</v>
      </c>
      <c r="J500" s="117" t="str">
        <f t="shared" si="77"/>
        <v>no</v>
      </c>
      <c r="K500" s="117" t="s">
        <v>843</v>
      </c>
      <c r="L500" s="117" t="str">
        <f t="shared" si="79"/>
        <v>detailed</v>
      </c>
      <c r="M500" s="117" t="str">
        <f t="shared" si="78"/>
        <v>detailed Mining</v>
      </c>
      <c r="N500" s="118"/>
      <c r="O500" s="118"/>
      <c r="P500" s="118"/>
      <c r="Q500" s="118"/>
      <c r="R500" s="118"/>
      <c r="S500" s="117"/>
      <c r="T500" s="119">
        <v>12.15</v>
      </c>
      <c r="U500" s="117" t="s">
        <v>611</v>
      </c>
      <c r="V500" s="117" t="s">
        <v>844</v>
      </c>
      <c r="W500" s="89">
        <f>N502*T500</f>
        <v>3110.4</v>
      </c>
      <c r="X500" s="117"/>
      <c r="Y500" s="117"/>
      <c r="Z500" s="117"/>
      <c r="AA500" s="177">
        <v>3992719</v>
      </c>
      <c r="AB500" s="177">
        <v>3992719</v>
      </c>
      <c r="AC500" s="122"/>
      <c r="AD500" s="122"/>
      <c r="AE500" s="122"/>
      <c r="AF500" s="123">
        <f>AA500/W500</f>
        <v>1283.6673739711935</v>
      </c>
      <c r="AG500" s="117"/>
      <c r="AH500" s="124"/>
      <c r="AI500" s="117"/>
      <c r="AJ500" s="117"/>
      <c r="AK500" s="89"/>
      <c r="AL500" s="89"/>
      <c r="AM500" s="117"/>
      <c r="AN500" s="117">
        <v>1</v>
      </c>
      <c r="AO500" s="117" t="s">
        <v>1145</v>
      </c>
      <c r="AP500" s="117">
        <v>1</v>
      </c>
      <c r="AQ500" s="117"/>
      <c r="AR500" s="117"/>
      <c r="AS500" s="117"/>
      <c r="AT500" s="127"/>
      <c r="AU500" s="215" t="s">
        <v>1170</v>
      </c>
      <c r="AV500" s="128"/>
      <c r="AW500" s="117">
        <f>VLOOKUP($D500,'WB Data'!$C$3:$M$578,2,FALSE)</f>
        <v>28528014620.735378</v>
      </c>
      <c r="AX500" s="117">
        <f>VLOOKUP($D500,'WB Data'!$C$3:$M$578,3,FALSE)</f>
        <v>23110139</v>
      </c>
      <c r="AY500" s="847">
        <f t="shared" si="81"/>
        <v>3.1966291104504932E-3</v>
      </c>
      <c r="AZ500" s="117">
        <f>VLOOKUP($D500,'WB Data'!$C$3:$M$578,4,FALSE)/100</f>
        <v>0.15694153475916939</v>
      </c>
      <c r="BA500" s="117">
        <f t="shared" si="82"/>
        <v>4477230398.2102337</v>
      </c>
      <c r="BB500" s="129">
        <f>IFERROR(VLOOKUP($D500,'EITI Revenues'!$C$2:$G$224,5,FALSE),"..")</f>
        <v>91193482</v>
      </c>
      <c r="BC500" s="846">
        <f t="shared" si="83"/>
        <v>2.0368279916185342E-2</v>
      </c>
      <c r="BD500" s="129">
        <f>VLOOKUP($D500,'WB Data 2'!$C$2:$K$545,6,FALSE)</f>
        <v>463798315.49579895</v>
      </c>
      <c r="BE500" s="129">
        <f>IFERROR(VLOOKUP($D500,UNCTAD!$C$5:$V$529,4,FALSE),"..")</f>
        <v>7070630000</v>
      </c>
      <c r="BF500" s="846">
        <f t="shared" si="84"/>
        <v>6.5595048177573848E-2</v>
      </c>
      <c r="BG500" s="117">
        <f>VLOOKUP($D500,'WB Data'!$C$3:$M$578,5,FALSE)</f>
        <v>1306930000</v>
      </c>
      <c r="BH500" s="129">
        <f>IFERROR($BB500/$BG500,"..")</f>
        <v>6.9776867927126937E-2</v>
      </c>
      <c r="BI500" s="117">
        <f>IFERROR(VLOOKUP($D500,'WB Data'!$C$3:$M$578,7,FALSE)/100,"..")</f>
        <v>5.7579599999999995E-2</v>
      </c>
      <c r="BJ500" s="117">
        <f>IFERROR($BI500*$AW500,"..")</f>
        <v>1642631670.6560946</v>
      </c>
      <c r="BK500" s="846">
        <f>IFERROR($BB500/$BJ500,"..")</f>
        <v>5.5516695330472834E-2</v>
      </c>
      <c r="BL500" s="117">
        <f>IFERROR(VLOOKUP($D500,'WB Data'!$C$3:$M$578,7,FALSE)/100,"..")</f>
        <v>5.7579599999999995E-2</v>
      </c>
      <c r="BM500" s="117">
        <f>IFERROR($AW500*$BL500,"..")</f>
        <v>1642631670.6560946</v>
      </c>
      <c r="BN500" s="846">
        <f>IFERROR($BB500/$BM500,"..")</f>
        <v>5.5516695330472834E-2</v>
      </c>
      <c r="BO500" s="801">
        <f t="shared" si="80"/>
        <v>48</v>
      </c>
      <c r="BP500" s="117" t="str">
        <f>VLOOKUP($D500,'WB Data'!$C$3:$M$578,9,FALSE)</f>
        <v>..</v>
      </c>
      <c r="BQ500" s="117">
        <f>VLOOKUP($D500,'WB Data'!$C$3:$M$578,10,FALSE)</f>
        <v>60.029951219512206</v>
      </c>
      <c r="BR500" s="117">
        <f>VLOOKUP($D500,'WB Data'!$C$3:$M$578,11,FALSE)</f>
        <v>56.1</v>
      </c>
      <c r="BS500" s="129">
        <f>IFERROR(VLOOKUP($D500,'WB Data 2'!$C$2:$K$545,9,FALSE),"..")</f>
        <v>77.891919999999999</v>
      </c>
      <c r="BT500" s="129">
        <f>_xlfn.IFNA(VLOOKUP($C500,RGI!$A$2:$C$43,2,FALSE),"..")</f>
        <v>32.299999999999997</v>
      </c>
      <c r="BU500" s="129">
        <f>_xlfn.IFNA(VLOOKUP($C500,RGI!$A$2:$C$43,3,FALSE),"..")</f>
        <v>62.723264193960979</v>
      </c>
      <c r="BV500" s="129">
        <f>VLOOKUP($D500,WGI!$C$2:$O$478,7,FALSE)</f>
        <v>0.383351857136566</v>
      </c>
      <c r="BW500" s="129">
        <f>VLOOKUP($D500,WGI!$C$2:$O$478,4,FALSE)</f>
        <v>-1.4740866742343E-2</v>
      </c>
      <c r="BX500" s="129">
        <f>VLOOKUP($D500,WGI!$C$2:$O$478,3,FALSE)</f>
        <v>2.19835429444157E-2</v>
      </c>
      <c r="BY500" s="129">
        <f>VLOOKUP($D500,WGI!$C$2:$O$478,5,FALSE)</f>
        <v>-3.5495346850020502E-2</v>
      </c>
      <c r="BZ500" s="129">
        <f>VLOOKUP($D500,WGI!$C$2:$O$478,2,FALSE)</f>
        <v>-4.40878305117159E-2</v>
      </c>
    </row>
    <row r="501" spans="1:80" ht="15" customHeight="1">
      <c r="A501" s="294" t="s">
        <v>206</v>
      </c>
      <c r="B501" s="117">
        <v>2008</v>
      </c>
      <c r="C501" s="117" t="s">
        <v>195</v>
      </c>
      <c r="D501" s="117" t="s">
        <v>3595</v>
      </c>
      <c r="E501" s="117" t="s">
        <v>86</v>
      </c>
      <c r="F501" s="117"/>
      <c r="G501" s="117" t="s">
        <v>24</v>
      </c>
      <c r="H501" s="117" t="str">
        <f t="shared" si="75"/>
        <v>yes</v>
      </c>
      <c r="I501" s="117" t="str">
        <f t="shared" si="76"/>
        <v>no</v>
      </c>
      <c r="J501" s="117" t="str">
        <f t="shared" si="77"/>
        <v>no</v>
      </c>
      <c r="K501" s="117" t="s">
        <v>846</v>
      </c>
      <c r="L501" s="117" t="str">
        <f t="shared" si="79"/>
        <v>detailed</v>
      </c>
      <c r="M501" s="117" t="str">
        <f t="shared" si="78"/>
        <v>detailed Mining</v>
      </c>
      <c r="N501" s="118">
        <v>914</v>
      </c>
      <c r="O501" s="118"/>
      <c r="P501" s="118"/>
      <c r="Q501" s="118"/>
      <c r="R501" s="118"/>
      <c r="S501" s="117" t="s">
        <v>610</v>
      </c>
      <c r="T501" s="119"/>
      <c r="U501" s="117"/>
      <c r="V501" s="117" t="s">
        <v>847</v>
      </c>
      <c r="W501" s="89"/>
      <c r="X501" s="117"/>
      <c r="Y501" s="117"/>
      <c r="Z501" s="117"/>
      <c r="AA501" s="117"/>
      <c r="AB501" s="117"/>
      <c r="AC501" s="240"/>
      <c r="AD501" s="240"/>
      <c r="AE501" s="240"/>
      <c r="AF501" s="241"/>
      <c r="AG501" s="117"/>
      <c r="AH501" s="124"/>
      <c r="AI501" s="117"/>
      <c r="AJ501" s="117"/>
      <c r="AK501" s="89"/>
      <c r="AL501" s="117"/>
      <c r="AM501" s="117"/>
      <c r="AN501" s="117"/>
      <c r="AO501" s="117"/>
      <c r="AP501" s="117"/>
      <c r="AQ501" s="117"/>
      <c r="AR501" s="117"/>
      <c r="AS501" s="117"/>
      <c r="AT501" s="127"/>
      <c r="AU501" s="117"/>
      <c r="AV501" s="128"/>
      <c r="AW501" s="117">
        <f>VLOOKUP($D501,'WB Data'!$C$3:$M$578,2,FALSE)</f>
        <v>28528014620.735378</v>
      </c>
      <c r="AX501" s="117">
        <f>VLOOKUP($D501,'WB Data'!$C$3:$M$578,3,FALSE)</f>
        <v>23110139</v>
      </c>
      <c r="AY501" s="847">
        <f t="shared" si="81"/>
        <v>3.1966291104504932E-3</v>
      </c>
      <c r="AZ501" s="117">
        <f>VLOOKUP($D501,'WB Data'!$C$3:$M$578,4,FALSE)/100</f>
        <v>0.15694153475916939</v>
      </c>
      <c r="BA501" s="117">
        <f t="shared" si="82"/>
        <v>4477230398.2102337</v>
      </c>
      <c r="BB501" s="129">
        <f>IFERROR(VLOOKUP($D501,'EITI Revenues'!$C$2:$G$224,5,FALSE),"..")</f>
        <v>91193482</v>
      </c>
      <c r="BC501" s="846">
        <f t="shared" si="83"/>
        <v>2.0368279916185342E-2</v>
      </c>
      <c r="BD501" s="129">
        <f>VLOOKUP($D501,'WB Data 2'!$C$2:$K$545,6,FALSE)</f>
        <v>463798315.49579895</v>
      </c>
      <c r="BE501" s="129">
        <f>IFERROR(VLOOKUP($D501,UNCTAD!$C$5:$V$529,4,FALSE),"..")</f>
        <v>7070630000</v>
      </c>
      <c r="BF501" s="846">
        <f t="shared" si="84"/>
        <v>6.5595048177573848E-2</v>
      </c>
      <c r="BG501" s="117">
        <f>VLOOKUP($D501,'WB Data'!$C$3:$M$578,5,FALSE)</f>
        <v>1306930000</v>
      </c>
      <c r="BH501" s="129">
        <f>IFERROR($BB501/$BG501,"..")</f>
        <v>6.9776867927126937E-2</v>
      </c>
      <c r="BI501" s="117">
        <f>IFERROR(VLOOKUP($D501,'WB Data'!$C$3:$M$578,7,FALSE)/100,"..")</f>
        <v>5.7579599999999995E-2</v>
      </c>
      <c r="BJ501" s="117">
        <f>IFERROR($BI501*$AW501,"..")</f>
        <v>1642631670.6560946</v>
      </c>
      <c r="BK501" s="846">
        <f>IFERROR($BB501/$BJ501,"..")</f>
        <v>5.5516695330472834E-2</v>
      </c>
      <c r="BL501" s="117">
        <f>IFERROR(VLOOKUP($D501,'WB Data'!$C$3:$M$578,7,FALSE)/100,"..")</f>
        <v>5.7579599999999995E-2</v>
      </c>
      <c r="BM501" s="117">
        <f>IFERROR($AW501*$BL501,"..")</f>
        <v>1642631670.6560946</v>
      </c>
      <c r="BN501" s="846">
        <f>IFERROR($BB501/$BM501,"..")</f>
        <v>5.5516695330472834E-2</v>
      </c>
      <c r="BO501" s="801">
        <f t="shared" si="80"/>
        <v>48</v>
      </c>
      <c r="BP501" s="117" t="str">
        <f>VLOOKUP($D501,'WB Data'!$C$3:$M$578,9,FALSE)</f>
        <v>..</v>
      </c>
      <c r="BQ501" s="117">
        <f>VLOOKUP($D501,'WB Data'!$C$3:$M$578,10,FALSE)</f>
        <v>60.029951219512206</v>
      </c>
      <c r="BR501" s="117">
        <f>VLOOKUP($D501,'WB Data'!$C$3:$M$578,11,FALSE)</f>
        <v>56.1</v>
      </c>
      <c r="BS501" s="129">
        <f>IFERROR(VLOOKUP($D501,'WB Data 2'!$C$2:$K$545,9,FALSE),"..")</f>
        <v>77.891919999999999</v>
      </c>
      <c r="BT501" s="129">
        <f>_xlfn.IFNA(VLOOKUP($C501,RGI!$A$2:$C$43,2,FALSE),"..")</f>
        <v>32.299999999999997</v>
      </c>
      <c r="BU501" s="129">
        <f>_xlfn.IFNA(VLOOKUP($C501,RGI!$A$2:$C$43,3,FALSE),"..")</f>
        <v>62.723264193960979</v>
      </c>
      <c r="BV501" s="129">
        <f>VLOOKUP($D501,WGI!$C$2:$O$478,7,FALSE)</f>
        <v>0.383351857136566</v>
      </c>
      <c r="BW501" s="129">
        <f>VLOOKUP($D501,WGI!$C$2:$O$478,4,FALSE)</f>
        <v>-1.4740866742343E-2</v>
      </c>
      <c r="BX501" s="129">
        <f>VLOOKUP($D501,WGI!$C$2:$O$478,3,FALSE)</f>
        <v>2.19835429444157E-2</v>
      </c>
      <c r="BY501" s="129">
        <f>VLOOKUP($D501,WGI!$C$2:$O$478,5,FALSE)</f>
        <v>-3.5495346850020502E-2</v>
      </c>
      <c r="BZ501" s="129">
        <f>VLOOKUP($D501,WGI!$C$2:$O$478,2,FALSE)</f>
        <v>-4.40878305117159E-2</v>
      </c>
    </row>
    <row r="502" spans="1:80" ht="15" customHeight="1">
      <c r="A502" s="294" t="s">
        <v>206</v>
      </c>
      <c r="B502" s="117">
        <v>2008</v>
      </c>
      <c r="C502" s="117" t="s">
        <v>195</v>
      </c>
      <c r="D502" s="117" t="s">
        <v>3595</v>
      </c>
      <c r="E502" s="117" t="s">
        <v>86</v>
      </c>
      <c r="F502" s="117"/>
      <c r="G502" s="117" t="s">
        <v>24</v>
      </c>
      <c r="H502" s="117" t="str">
        <f t="shared" si="75"/>
        <v>yes</v>
      </c>
      <c r="I502" s="117" t="str">
        <f t="shared" si="76"/>
        <v>no</v>
      </c>
      <c r="J502" s="117" t="str">
        <f t="shared" si="77"/>
        <v>no</v>
      </c>
      <c r="K502" s="117" t="s">
        <v>848</v>
      </c>
      <c r="L502" s="117" t="str">
        <f t="shared" si="79"/>
        <v>detailed</v>
      </c>
      <c r="M502" s="117" t="str">
        <f t="shared" si="78"/>
        <v>detailed Mining</v>
      </c>
      <c r="N502" s="118">
        <v>256</v>
      </c>
      <c r="O502" s="118"/>
      <c r="P502" s="118"/>
      <c r="Q502" s="118"/>
      <c r="R502" s="118"/>
      <c r="S502" s="117" t="s">
        <v>610</v>
      </c>
      <c r="T502" s="119"/>
      <c r="U502" s="117"/>
      <c r="V502" s="117" t="s">
        <v>847</v>
      </c>
      <c r="W502" s="89"/>
      <c r="X502" s="117"/>
      <c r="Y502" s="117"/>
      <c r="Z502" s="117"/>
      <c r="AA502" s="117"/>
      <c r="AB502" s="117"/>
      <c r="AC502" s="240"/>
      <c r="AD502" s="240"/>
      <c r="AE502" s="240"/>
      <c r="AF502" s="241"/>
      <c r="AG502" s="117"/>
      <c r="AH502" s="124"/>
      <c r="AI502" s="117"/>
      <c r="AJ502" s="117"/>
      <c r="AK502" s="89"/>
      <c r="AL502" s="117"/>
      <c r="AM502" s="117"/>
      <c r="AN502" s="117"/>
      <c r="AO502" s="117"/>
      <c r="AP502" s="117"/>
      <c r="AQ502" s="117"/>
      <c r="AR502" s="117"/>
      <c r="AS502" s="117"/>
      <c r="AT502" s="127"/>
      <c r="AU502" s="117"/>
      <c r="AV502" s="128"/>
      <c r="AW502" s="117">
        <f>VLOOKUP($D502,'WB Data'!$C$3:$M$578,2,FALSE)</f>
        <v>28528014620.735378</v>
      </c>
      <c r="AX502" s="117">
        <f>VLOOKUP($D502,'WB Data'!$C$3:$M$578,3,FALSE)</f>
        <v>23110139</v>
      </c>
      <c r="AY502" s="847">
        <f t="shared" si="81"/>
        <v>3.1966291104504932E-3</v>
      </c>
      <c r="AZ502" s="117">
        <f>VLOOKUP($D502,'WB Data'!$C$3:$M$578,4,FALSE)/100</f>
        <v>0.15694153475916939</v>
      </c>
      <c r="BA502" s="117">
        <f t="shared" si="82"/>
        <v>4477230398.2102337</v>
      </c>
      <c r="BB502" s="129">
        <f>IFERROR(VLOOKUP($D502,'EITI Revenues'!$C$2:$G$224,5,FALSE),"..")</f>
        <v>91193482</v>
      </c>
      <c r="BC502" s="846">
        <f t="shared" si="83"/>
        <v>2.0368279916185342E-2</v>
      </c>
      <c r="BD502" s="129">
        <f>VLOOKUP($D502,'WB Data 2'!$C$2:$K$545,6,FALSE)</f>
        <v>463798315.49579895</v>
      </c>
      <c r="BE502" s="129">
        <f>IFERROR(VLOOKUP($D502,UNCTAD!$C$5:$V$529,4,FALSE),"..")</f>
        <v>7070630000</v>
      </c>
      <c r="BF502" s="846">
        <f t="shared" si="84"/>
        <v>6.5595048177573848E-2</v>
      </c>
      <c r="BG502" s="117">
        <f>VLOOKUP($D502,'WB Data'!$C$3:$M$578,5,FALSE)</f>
        <v>1306930000</v>
      </c>
      <c r="BH502" s="129">
        <f>IFERROR($BB502/$BG502,"..")</f>
        <v>6.9776867927126937E-2</v>
      </c>
      <c r="BI502" s="117">
        <f>IFERROR(VLOOKUP($D502,'WB Data'!$C$3:$M$578,7,FALSE)/100,"..")</f>
        <v>5.7579599999999995E-2</v>
      </c>
      <c r="BJ502" s="117">
        <f>IFERROR($BI502*$AW502,"..")</f>
        <v>1642631670.6560946</v>
      </c>
      <c r="BK502" s="846">
        <f>IFERROR($BB502/$BJ502,"..")</f>
        <v>5.5516695330472834E-2</v>
      </c>
      <c r="BL502" s="117">
        <f>IFERROR(VLOOKUP($D502,'WB Data'!$C$3:$M$578,7,FALSE)/100,"..")</f>
        <v>5.7579599999999995E-2</v>
      </c>
      <c r="BM502" s="117">
        <f>IFERROR($AW502*$BL502,"..")</f>
        <v>1642631670.6560946</v>
      </c>
      <c r="BN502" s="846">
        <f>IFERROR($BB502/$BM502,"..")</f>
        <v>5.5516695330472834E-2</v>
      </c>
      <c r="BO502" s="801">
        <f t="shared" si="80"/>
        <v>48</v>
      </c>
      <c r="BP502" s="117" t="str">
        <f>VLOOKUP($D502,'WB Data'!$C$3:$M$578,9,FALSE)</f>
        <v>..</v>
      </c>
      <c r="BQ502" s="117">
        <f>VLOOKUP($D502,'WB Data'!$C$3:$M$578,10,FALSE)</f>
        <v>60.029951219512206</v>
      </c>
      <c r="BR502" s="117">
        <f>VLOOKUP($D502,'WB Data'!$C$3:$M$578,11,FALSE)</f>
        <v>56.1</v>
      </c>
      <c r="BS502" s="129">
        <f>IFERROR(VLOOKUP($D502,'WB Data 2'!$C$2:$K$545,9,FALSE),"..")</f>
        <v>77.891919999999999</v>
      </c>
      <c r="BT502" s="129">
        <f>_xlfn.IFNA(VLOOKUP($C502,RGI!$A$2:$C$43,2,FALSE),"..")</f>
        <v>32.299999999999997</v>
      </c>
      <c r="BU502" s="129">
        <f>_xlfn.IFNA(VLOOKUP($C502,RGI!$A$2:$C$43,3,FALSE),"..")</f>
        <v>62.723264193960979</v>
      </c>
      <c r="BV502" s="129">
        <f>VLOOKUP($D502,WGI!$C$2:$O$478,7,FALSE)</f>
        <v>0.383351857136566</v>
      </c>
      <c r="BW502" s="129">
        <f>VLOOKUP($D502,WGI!$C$2:$O$478,4,FALSE)</f>
        <v>-1.4740866742343E-2</v>
      </c>
      <c r="BX502" s="129">
        <f>VLOOKUP($D502,WGI!$C$2:$O$478,3,FALSE)</f>
        <v>2.19835429444157E-2</v>
      </c>
      <c r="BY502" s="129">
        <f>VLOOKUP($D502,WGI!$C$2:$O$478,5,FALSE)</f>
        <v>-3.5495346850020502E-2</v>
      </c>
      <c r="BZ502" s="129">
        <f>VLOOKUP($D502,WGI!$C$2:$O$478,2,FALSE)</f>
        <v>-4.40878305117159E-2</v>
      </c>
    </row>
    <row r="503" spans="1:80" ht="15" customHeight="1">
      <c r="A503" s="294" t="s">
        <v>206</v>
      </c>
      <c r="B503" s="117">
        <v>2008</v>
      </c>
      <c r="C503" s="117" t="s">
        <v>195</v>
      </c>
      <c r="D503" s="117" t="s">
        <v>3595</v>
      </c>
      <c r="E503" s="117" t="s">
        <v>86</v>
      </c>
      <c r="F503" s="117"/>
      <c r="G503" s="117" t="s">
        <v>24</v>
      </c>
      <c r="H503" s="117" t="str">
        <f t="shared" ref="H503:H566" si="85">IF($G503="Mining","yes",IF($G503="Oil, Gas, Mining","yes",IF($G503="Gas, Mining","yes",IF($G503="Oil, Mining","yes",IF($G503="Oil, Mining, Other","yes","no")))))</f>
        <v>yes</v>
      </c>
      <c r="I503" s="117" t="str">
        <f t="shared" ref="I503:I566" si="86">IF($G503="Gas","yes",IF($G503="Oil, Gas, Mining","yes",IF($G503="Gas, Mining","yes",IF($G503="Oil, Gas","yes",IF($G503="Oil, Gas, Other","yes","no")))))</f>
        <v>no</v>
      </c>
      <c r="J503" s="117" t="str">
        <f t="shared" ref="J503:J566" si="87">IF($G503="Oil","yes",IF($G503="Oil, Gas, Mining","yes",IF($G503="Oil, Mining","yes",IF($G503="Oil, Gas","yes",IF($G503="Oil, Gas, Other","yes","no")))))</f>
        <v>no</v>
      </c>
      <c r="K503" s="117" t="s">
        <v>1147</v>
      </c>
      <c r="L503" s="117" t="str">
        <f t="shared" si="79"/>
        <v>detailed</v>
      </c>
      <c r="M503" s="117" t="str">
        <f t="shared" ref="M503:M566" si="88">L503&amp;" "&amp;G503</f>
        <v>detailed Mining</v>
      </c>
      <c r="N503" s="118">
        <v>239</v>
      </c>
      <c r="O503" s="118"/>
      <c r="P503" s="118"/>
      <c r="Q503" s="118"/>
      <c r="R503" s="118"/>
      <c r="S503" s="117" t="s">
        <v>610</v>
      </c>
      <c r="T503" s="119">
        <v>65.58</v>
      </c>
      <c r="U503" s="117" t="s">
        <v>611</v>
      </c>
      <c r="V503" s="117" t="s">
        <v>1172</v>
      </c>
      <c r="W503" s="89">
        <f>N503*T503</f>
        <v>15673.619999999999</v>
      </c>
      <c r="X503" s="117"/>
      <c r="Y503" s="117"/>
      <c r="Z503" s="117"/>
      <c r="AA503" s="117"/>
      <c r="AB503" s="117"/>
      <c r="AC503" s="240"/>
      <c r="AD503" s="240"/>
      <c r="AE503" s="240"/>
      <c r="AF503" s="241"/>
      <c r="AG503" s="117"/>
      <c r="AH503" s="124"/>
      <c r="AI503" s="117"/>
      <c r="AJ503" s="117"/>
      <c r="AK503" s="89"/>
      <c r="AL503" s="117"/>
      <c r="AM503" s="117"/>
      <c r="AN503" s="117"/>
      <c r="AO503" s="117"/>
      <c r="AP503" s="117"/>
      <c r="AQ503" s="117"/>
      <c r="AR503" s="117"/>
      <c r="AS503" s="117"/>
      <c r="AT503" s="127"/>
      <c r="AU503" s="117"/>
      <c r="AV503" s="128"/>
      <c r="AW503" s="117">
        <f>VLOOKUP($D503,'WB Data'!$C$3:$M$578,2,FALSE)</f>
        <v>28528014620.735378</v>
      </c>
      <c r="AX503" s="117">
        <f>VLOOKUP($D503,'WB Data'!$C$3:$M$578,3,FALSE)</f>
        <v>23110139</v>
      </c>
      <c r="AY503" s="847">
        <f t="shared" si="81"/>
        <v>3.1966291104504932E-3</v>
      </c>
      <c r="AZ503" s="117">
        <f>VLOOKUP($D503,'WB Data'!$C$3:$M$578,4,FALSE)/100</f>
        <v>0.15694153475916939</v>
      </c>
      <c r="BA503" s="117">
        <f t="shared" si="82"/>
        <v>4477230398.2102337</v>
      </c>
      <c r="BB503" s="129">
        <f>IFERROR(VLOOKUP($D503,'EITI Revenues'!$C$2:$G$224,5,FALSE),"..")</f>
        <v>91193482</v>
      </c>
      <c r="BC503" s="846">
        <f t="shared" si="83"/>
        <v>2.0368279916185342E-2</v>
      </c>
      <c r="BD503" s="129">
        <f>VLOOKUP($D503,'WB Data 2'!$C$2:$K$545,6,FALSE)</f>
        <v>463798315.49579895</v>
      </c>
      <c r="BE503" s="129">
        <f>IFERROR(VLOOKUP($D503,UNCTAD!$C$5:$V$529,4,FALSE),"..")</f>
        <v>7070630000</v>
      </c>
      <c r="BF503" s="846">
        <f t="shared" si="84"/>
        <v>6.5595048177573848E-2</v>
      </c>
      <c r="BG503" s="117">
        <f>VLOOKUP($D503,'WB Data'!$C$3:$M$578,5,FALSE)</f>
        <v>1306930000</v>
      </c>
      <c r="BH503" s="129">
        <f>IFERROR($BB503/$BG503,"..")</f>
        <v>6.9776867927126937E-2</v>
      </c>
      <c r="BI503" s="117">
        <f>IFERROR(VLOOKUP($D503,'WB Data'!$C$3:$M$578,7,FALSE)/100,"..")</f>
        <v>5.7579599999999995E-2</v>
      </c>
      <c r="BJ503" s="117">
        <f>IFERROR($BI503*$AW503,"..")</f>
        <v>1642631670.6560946</v>
      </c>
      <c r="BK503" s="846">
        <f>IFERROR($BB503/$BJ503,"..")</f>
        <v>5.5516695330472834E-2</v>
      </c>
      <c r="BL503" s="117">
        <f>IFERROR(VLOOKUP($D503,'WB Data'!$C$3:$M$578,7,FALSE)/100,"..")</f>
        <v>5.7579599999999995E-2</v>
      </c>
      <c r="BM503" s="117">
        <f>IFERROR($AW503*$BL503,"..")</f>
        <v>1642631670.6560946</v>
      </c>
      <c r="BN503" s="846">
        <f>IFERROR($BB503/$BM503,"..")</f>
        <v>5.5516695330472834E-2</v>
      </c>
      <c r="BO503" s="801">
        <f t="shared" si="80"/>
        <v>48</v>
      </c>
      <c r="BP503" s="117" t="str">
        <f>VLOOKUP($D503,'WB Data'!$C$3:$M$578,9,FALSE)</f>
        <v>..</v>
      </c>
      <c r="BQ503" s="117">
        <f>VLOOKUP($D503,'WB Data'!$C$3:$M$578,10,FALSE)</f>
        <v>60.029951219512206</v>
      </c>
      <c r="BR503" s="117">
        <f>VLOOKUP($D503,'WB Data'!$C$3:$M$578,11,FALSE)</f>
        <v>56.1</v>
      </c>
      <c r="BS503" s="129">
        <f>IFERROR(VLOOKUP($D503,'WB Data 2'!$C$2:$K$545,9,FALSE),"..")</f>
        <v>77.891919999999999</v>
      </c>
      <c r="BT503" s="129">
        <f>_xlfn.IFNA(VLOOKUP($C503,RGI!$A$2:$C$43,2,FALSE),"..")</f>
        <v>32.299999999999997</v>
      </c>
      <c r="BU503" s="129">
        <f>_xlfn.IFNA(VLOOKUP($C503,RGI!$A$2:$C$43,3,FALSE),"..")</f>
        <v>62.723264193960979</v>
      </c>
      <c r="BV503" s="129">
        <f>VLOOKUP($D503,WGI!$C$2:$O$478,7,FALSE)</f>
        <v>0.383351857136566</v>
      </c>
      <c r="BW503" s="129">
        <f>VLOOKUP($D503,WGI!$C$2:$O$478,4,FALSE)</f>
        <v>-1.4740866742343E-2</v>
      </c>
      <c r="BX503" s="129">
        <f>VLOOKUP($D503,WGI!$C$2:$O$478,3,FALSE)</f>
        <v>2.19835429444157E-2</v>
      </c>
      <c r="BY503" s="129">
        <f>VLOOKUP($D503,WGI!$C$2:$O$478,5,FALSE)</f>
        <v>-3.5495346850020502E-2</v>
      </c>
      <c r="BZ503" s="129">
        <f>VLOOKUP($D503,WGI!$C$2:$O$478,2,FALSE)</f>
        <v>-4.40878305117159E-2</v>
      </c>
    </row>
    <row r="504" spans="1:80" ht="15" customHeight="1">
      <c r="A504" s="294" t="s">
        <v>206</v>
      </c>
      <c r="B504" s="117">
        <v>2008</v>
      </c>
      <c r="C504" s="117" t="s">
        <v>195</v>
      </c>
      <c r="D504" s="117" t="s">
        <v>3595</v>
      </c>
      <c r="E504" s="117" t="s">
        <v>86</v>
      </c>
      <c r="F504" s="117"/>
      <c r="G504" s="117" t="s">
        <v>24</v>
      </c>
      <c r="H504" s="117" t="str">
        <f t="shared" si="85"/>
        <v>yes</v>
      </c>
      <c r="I504" s="117" t="str">
        <f t="shared" si="86"/>
        <v>no</v>
      </c>
      <c r="J504" s="117" t="str">
        <f t="shared" si="87"/>
        <v>no</v>
      </c>
      <c r="K504" s="117" t="s">
        <v>789</v>
      </c>
      <c r="L504" s="117" t="str">
        <f t="shared" si="79"/>
        <v>detailed</v>
      </c>
      <c r="M504" s="117" t="str">
        <f t="shared" si="88"/>
        <v>detailed Mining</v>
      </c>
      <c r="N504" s="118">
        <f>3200*32.150743126506</f>
        <v>102882.3780048192</v>
      </c>
      <c r="O504" s="118"/>
      <c r="P504" s="118"/>
      <c r="Q504" s="118"/>
      <c r="R504" s="118"/>
      <c r="S504" s="117" t="s">
        <v>785</v>
      </c>
      <c r="T504" s="119">
        <f>14.99653333333/1</f>
        <v>14.996533333329999</v>
      </c>
      <c r="U504" s="117" t="s">
        <v>786</v>
      </c>
      <c r="V504" s="117" t="s">
        <v>1167</v>
      </c>
      <c r="W504" s="89">
        <f>N504*T504</f>
        <v>1542879.0111615283</v>
      </c>
      <c r="X504" s="117"/>
      <c r="Y504" s="117"/>
      <c r="Z504" s="117"/>
      <c r="AA504" s="117"/>
      <c r="AB504" s="117"/>
      <c r="AC504" s="240"/>
      <c r="AD504" s="240"/>
      <c r="AE504" s="240"/>
      <c r="AF504" s="241"/>
      <c r="AG504" s="117"/>
      <c r="AH504" s="124"/>
      <c r="AI504" s="117"/>
      <c r="AJ504" s="117"/>
      <c r="AK504" s="89"/>
      <c r="AL504" s="117"/>
      <c r="AM504" s="117"/>
      <c r="AN504" s="117"/>
      <c r="AO504" s="117"/>
      <c r="AP504" s="117"/>
      <c r="AQ504" s="117"/>
      <c r="AR504" s="117"/>
      <c r="AS504" s="117"/>
      <c r="AT504" s="127"/>
      <c r="AU504" s="117"/>
      <c r="AV504" s="128"/>
      <c r="AW504" s="117">
        <f>VLOOKUP($D504,'WB Data'!$C$3:$M$578,2,FALSE)</f>
        <v>28528014620.735378</v>
      </c>
      <c r="AX504" s="117">
        <f>VLOOKUP($D504,'WB Data'!$C$3:$M$578,3,FALSE)</f>
        <v>23110139</v>
      </c>
      <c r="AY504" s="847">
        <f t="shared" si="81"/>
        <v>3.1966291104504932E-3</v>
      </c>
      <c r="AZ504" s="117">
        <f>VLOOKUP($D504,'WB Data'!$C$3:$M$578,4,FALSE)/100</f>
        <v>0.15694153475916939</v>
      </c>
      <c r="BA504" s="117">
        <f t="shared" si="82"/>
        <v>4477230398.2102337</v>
      </c>
      <c r="BB504" s="129">
        <f>IFERROR(VLOOKUP($D504,'EITI Revenues'!$C$2:$G$224,5,FALSE),"..")</f>
        <v>91193482</v>
      </c>
      <c r="BC504" s="846">
        <f t="shared" si="83"/>
        <v>2.0368279916185342E-2</v>
      </c>
      <c r="BD504" s="129">
        <f>VLOOKUP($D504,'WB Data 2'!$C$2:$K$545,6,FALSE)</f>
        <v>463798315.49579895</v>
      </c>
      <c r="BE504" s="129">
        <f>IFERROR(VLOOKUP($D504,UNCTAD!$C$5:$V$529,4,FALSE),"..")</f>
        <v>7070630000</v>
      </c>
      <c r="BF504" s="846">
        <f t="shared" si="84"/>
        <v>6.5595048177573848E-2</v>
      </c>
      <c r="BG504" s="117">
        <f>VLOOKUP($D504,'WB Data'!$C$3:$M$578,5,FALSE)</f>
        <v>1306930000</v>
      </c>
      <c r="BH504" s="129">
        <f>IFERROR($BB504/$BG504,"..")</f>
        <v>6.9776867927126937E-2</v>
      </c>
      <c r="BI504" s="117">
        <f>IFERROR(VLOOKUP($D504,'WB Data'!$C$3:$M$578,7,FALSE)/100,"..")</f>
        <v>5.7579599999999995E-2</v>
      </c>
      <c r="BJ504" s="117">
        <f>IFERROR($BI504*$AW504,"..")</f>
        <v>1642631670.6560946</v>
      </c>
      <c r="BK504" s="846">
        <f>IFERROR($BB504/$BJ504,"..")</f>
        <v>5.5516695330472834E-2</v>
      </c>
      <c r="BL504" s="117">
        <f>IFERROR(VLOOKUP($D504,'WB Data'!$C$3:$M$578,7,FALSE)/100,"..")</f>
        <v>5.7579599999999995E-2</v>
      </c>
      <c r="BM504" s="117">
        <f>IFERROR($AW504*$BL504,"..")</f>
        <v>1642631670.6560946</v>
      </c>
      <c r="BN504" s="846">
        <f>IFERROR($BB504/$BM504,"..")</f>
        <v>5.5516695330472834E-2</v>
      </c>
      <c r="BO504" s="801">
        <f t="shared" si="80"/>
        <v>48</v>
      </c>
      <c r="BP504" s="117" t="str">
        <f>VLOOKUP($D504,'WB Data'!$C$3:$M$578,9,FALSE)</f>
        <v>..</v>
      </c>
      <c r="BQ504" s="117">
        <f>VLOOKUP($D504,'WB Data'!$C$3:$M$578,10,FALSE)</f>
        <v>60.029951219512206</v>
      </c>
      <c r="BR504" s="117">
        <f>VLOOKUP($D504,'WB Data'!$C$3:$M$578,11,FALSE)</f>
        <v>56.1</v>
      </c>
      <c r="BS504" s="129">
        <f>IFERROR(VLOOKUP($D504,'WB Data 2'!$C$2:$K$545,9,FALSE),"..")</f>
        <v>77.891919999999999</v>
      </c>
      <c r="BT504" s="129">
        <f>_xlfn.IFNA(VLOOKUP($C504,RGI!$A$2:$C$43,2,FALSE),"..")</f>
        <v>32.299999999999997</v>
      </c>
      <c r="BU504" s="129">
        <f>_xlfn.IFNA(VLOOKUP($C504,RGI!$A$2:$C$43,3,FALSE),"..")</f>
        <v>62.723264193960979</v>
      </c>
      <c r="BV504" s="129">
        <f>VLOOKUP($D504,WGI!$C$2:$O$478,7,FALSE)</f>
        <v>0.383351857136566</v>
      </c>
      <c r="BW504" s="129">
        <f>VLOOKUP($D504,WGI!$C$2:$O$478,4,FALSE)</f>
        <v>-1.4740866742343E-2</v>
      </c>
      <c r="BX504" s="129">
        <f>VLOOKUP($D504,WGI!$C$2:$O$478,3,FALSE)</f>
        <v>2.19835429444157E-2</v>
      </c>
      <c r="BY504" s="129">
        <f>VLOOKUP($D504,WGI!$C$2:$O$478,5,FALSE)</f>
        <v>-3.5495346850020502E-2</v>
      </c>
      <c r="BZ504" s="129">
        <f>VLOOKUP($D504,WGI!$C$2:$O$478,2,FALSE)</f>
        <v>-4.40878305117159E-2</v>
      </c>
    </row>
    <row r="505" spans="1:80" s="144" customFormat="1" ht="15" customHeight="1">
      <c r="A505" s="296" t="s">
        <v>208</v>
      </c>
      <c r="B505" s="132">
        <v>2009</v>
      </c>
      <c r="C505" s="117" t="s">
        <v>195</v>
      </c>
      <c r="D505" s="117" t="s">
        <v>3629</v>
      </c>
      <c r="E505" s="132" t="s">
        <v>86</v>
      </c>
      <c r="F505" s="132" t="s">
        <v>1130</v>
      </c>
      <c r="G505" s="132" t="s">
        <v>24</v>
      </c>
      <c r="H505" s="117" t="str">
        <f t="shared" si="85"/>
        <v>yes</v>
      </c>
      <c r="I505" s="117" t="str">
        <f t="shared" si="86"/>
        <v>no</v>
      </c>
      <c r="J505" s="117" t="str">
        <f t="shared" si="87"/>
        <v>no</v>
      </c>
      <c r="K505" s="132" t="s">
        <v>709</v>
      </c>
      <c r="L505" s="117" t="str">
        <f t="shared" si="79"/>
        <v>Total</v>
      </c>
      <c r="M505" s="117" t="str">
        <f t="shared" si="88"/>
        <v>Total Mining</v>
      </c>
      <c r="N505" s="133"/>
      <c r="O505" s="133"/>
      <c r="P505" s="133"/>
      <c r="Q505" s="133"/>
      <c r="R505" s="133"/>
      <c r="S505" s="132"/>
      <c r="T505" s="134"/>
      <c r="U505" s="132"/>
      <c r="V505" s="132"/>
      <c r="W505" s="135">
        <f>SUM(W506:W513)</f>
        <v>2739873764.7794628</v>
      </c>
      <c r="X505" s="136" t="s">
        <v>720</v>
      </c>
      <c r="Y505" s="132" t="s">
        <v>602</v>
      </c>
      <c r="Z505" s="132" t="s">
        <v>603</v>
      </c>
      <c r="AA505" s="325">
        <v>111972313.33333333</v>
      </c>
      <c r="AB505" s="325">
        <v>111975972.38095237</v>
      </c>
      <c r="AC505" s="138"/>
      <c r="AD505" s="138"/>
      <c r="AE505" s="138"/>
      <c r="AF505" s="224">
        <f>AA505/W505</f>
        <v>4.0867690611412592E-2</v>
      </c>
      <c r="AG505" s="132" t="s">
        <v>1133</v>
      </c>
      <c r="AH505" s="140">
        <v>1.05</v>
      </c>
      <c r="AI505" s="132" t="s">
        <v>1151</v>
      </c>
      <c r="AJ505" s="135"/>
      <c r="AK505" s="135"/>
      <c r="AM505" s="132"/>
      <c r="AN505" s="132">
        <v>10</v>
      </c>
      <c r="AO505" s="132" t="s">
        <v>1173</v>
      </c>
      <c r="AP505" s="132">
        <v>10</v>
      </c>
      <c r="AQ505" s="389" t="s">
        <v>209</v>
      </c>
      <c r="AR505" s="141">
        <v>41892</v>
      </c>
      <c r="AS505" s="132" t="s">
        <v>1135</v>
      </c>
      <c r="AT505" s="142" t="s">
        <v>210</v>
      </c>
      <c r="AU505" s="132">
        <v>16</v>
      </c>
      <c r="AV505" s="143" t="s">
        <v>1174</v>
      </c>
      <c r="AW505" s="117">
        <f>VLOOKUP($D505,'WB Data'!$C$3:$M$578,2,FALSE)</f>
        <v>25978508375.922771</v>
      </c>
      <c r="AX505" s="117">
        <f>VLOOKUP($D505,'WB Data'!$C$3:$M$578,3,FALSE)</f>
        <v>23691533</v>
      </c>
      <c r="AY505" s="847">
        <f t="shared" si="81"/>
        <v>4.3101902431438585E-3</v>
      </c>
      <c r="AZ505" s="117">
        <f>VLOOKUP($D505,'WB Data'!$C$3:$M$578,4,FALSE)/100</f>
        <v>0.15418098622920914</v>
      </c>
      <c r="BA505" s="117">
        <f t="shared" si="82"/>
        <v>4005392042.1635432</v>
      </c>
      <c r="BB505" s="129">
        <f>IFERROR(VLOOKUP($D505,'EITI Revenues'!$C$2:$G$224,5,FALSE),"..")</f>
        <v>111972313.33333333</v>
      </c>
      <c r="BC505" s="846">
        <f t="shared" si="83"/>
        <v>2.7955394167321165E-2</v>
      </c>
      <c r="BD505" s="129">
        <f>VLOOKUP($D505,'WB Data 2'!$C$2:$K$545,6,FALSE)</f>
        <v>487955243.03243834</v>
      </c>
      <c r="BE505" s="129">
        <f>IFERROR(VLOOKUP($D505,UNCTAD!$C$5:$V$529,4,FALSE),"..")</f>
        <v>7609410000</v>
      </c>
      <c r="BF505" s="846">
        <f t="shared" si="84"/>
        <v>6.4125240068867148E-2</v>
      </c>
      <c r="BG505" s="117">
        <f>VLOOKUP($D505,'WB Data'!$C$3:$M$578,5,FALSE)</f>
        <v>1581820000</v>
      </c>
      <c r="BH505" s="129">
        <f>IFERROR($BB505/$BG505,"..")</f>
        <v>7.0787013271632254E-2</v>
      </c>
      <c r="BI505" s="117">
        <f>IFERROR(VLOOKUP($D505,'WB Data'!$C$3:$M$578,7,FALSE)/100,"..")</f>
        <v>5.3172899999999995E-2</v>
      </c>
      <c r="BJ505" s="117">
        <f>IFERROR($BI505*$AW505,"..")</f>
        <v>1381352628.0221038</v>
      </c>
      <c r="BK505" s="846">
        <f>IFERROR($BB505/$BJ505,"..")</f>
        <v>8.1059905386839132E-2</v>
      </c>
      <c r="BL505" s="117">
        <f>IFERROR(VLOOKUP($D505,'WB Data'!$C$3:$M$578,7,FALSE)/100,"..")</f>
        <v>5.3172899999999995E-2</v>
      </c>
      <c r="BM505" s="117">
        <f>IFERROR($AW505*$BL505,"..")</f>
        <v>1381352628.0221038</v>
      </c>
      <c r="BN505" s="846">
        <f>IFERROR($BB505/$BM505,"..")</f>
        <v>8.1059905386839132E-2</v>
      </c>
      <c r="BO505" s="801">
        <f t="shared" si="80"/>
        <v>48</v>
      </c>
      <c r="BP505" s="117" t="str">
        <f>VLOOKUP($D505,'WB Data'!$C$3:$M$578,9,FALSE)</f>
        <v>..</v>
      </c>
      <c r="BQ505" s="117">
        <f>VLOOKUP($D505,'WB Data'!$C$3:$M$578,10,FALSE)</f>
        <v>60.351024390243907</v>
      </c>
      <c r="BR505" s="117">
        <f>VLOOKUP($D505,'WB Data'!$C$3:$M$578,11,FALSE)</f>
        <v>55.6</v>
      </c>
      <c r="BS505" s="129">
        <f>IFERROR(VLOOKUP($D505,'WB Data 2'!$C$2:$K$545,9,FALSE),"..")</f>
        <v>76.468360000000004</v>
      </c>
      <c r="BT505" s="129">
        <f>_xlfn.IFNA(VLOOKUP($C505,RGI!$A$2:$C$43,2,FALSE),"..")</f>
        <v>32.299999999999997</v>
      </c>
      <c r="BU505" s="129">
        <f>_xlfn.IFNA(VLOOKUP($C505,RGI!$A$2:$C$43,3,FALSE),"..")</f>
        <v>62.723264193960979</v>
      </c>
      <c r="BV505" s="129">
        <f>VLOOKUP($D505,WGI!$C$2:$O$478,7,FALSE)</f>
        <v>0.48685563342905602</v>
      </c>
      <c r="BW505" s="129">
        <f>VLOOKUP($D505,WGI!$C$2:$O$478,4,FALSE)</f>
        <v>3.5919231106770803E-2</v>
      </c>
      <c r="BX505" s="129">
        <f>VLOOKUP($D505,WGI!$C$2:$O$478,3,FALSE)</f>
        <v>-3.78100282636896E-2</v>
      </c>
      <c r="BY505" s="129">
        <f>VLOOKUP($D505,WGI!$C$2:$O$478,5,FALSE)</f>
        <v>9.0179455574476194E-2</v>
      </c>
      <c r="BZ505" s="129">
        <f>VLOOKUP($D505,WGI!$C$2:$O$478,2,FALSE)</f>
        <v>3.13423438627983E-2</v>
      </c>
      <c r="CB505" s="129"/>
    </row>
    <row r="506" spans="1:80" s="120" customFormat="1" ht="15" customHeight="1">
      <c r="A506" s="294" t="s">
        <v>208</v>
      </c>
      <c r="B506" s="117">
        <v>2009</v>
      </c>
      <c r="C506" s="117" t="s">
        <v>195</v>
      </c>
      <c r="D506" s="117" t="s">
        <v>3629</v>
      </c>
      <c r="E506" s="117" t="s">
        <v>86</v>
      </c>
      <c r="F506" s="117"/>
      <c r="G506" s="117" t="s">
        <v>24</v>
      </c>
      <c r="H506" s="117" t="str">
        <f t="shared" si="85"/>
        <v>yes</v>
      </c>
      <c r="I506" s="117" t="str">
        <f t="shared" si="86"/>
        <v>no</v>
      </c>
      <c r="J506" s="117" t="str">
        <f t="shared" si="87"/>
        <v>no</v>
      </c>
      <c r="K506" s="117" t="s">
        <v>1138</v>
      </c>
      <c r="L506" s="117" t="str">
        <f t="shared" si="79"/>
        <v>detailed</v>
      </c>
      <c r="M506" s="117" t="str">
        <f t="shared" si="88"/>
        <v>detailed Mining</v>
      </c>
      <c r="N506" s="118">
        <v>490</v>
      </c>
      <c r="O506" s="118"/>
      <c r="P506" s="118"/>
      <c r="Q506" s="118"/>
      <c r="R506" s="118"/>
      <c r="S506" s="117" t="s">
        <v>610</v>
      </c>
      <c r="T506" s="119">
        <v>29.8</v>
      </c>
      <c r="U506" s="117" t="s">
        <v>611</v>
      </c>
      <c r="V506" s="117" t="s">
        <v>1175</v>
      </c>
      <c r="W506" s="89">
        <f>N506*T506</f>
        <v>14602</v>
      </c>
      <c r="X506" s="117"/>
      <c r="Y506" s="117"/>
      <c r="Z506" s="117"/>
      <c r="AA506" s="177">
        <v>563882</v>
      </c>
      <c r="AB506" s="177">
        <v>565789</v>
      </c>
      <c r="AC506" s="122"/>
      <c r="AD506" s="122"/>
      <c r="AE506" s="122"/>
      <c r="AF506" s="123">
        <f>AA506/W506</f>
        <v>38.616764826736066</v>
      </c>
      <c r="AG506" s="117"/>
      <c r="AH506" s="124"/>
      <c r="AI506" s="117"/>
      <c r="AJ506" s="117"/>
      <c r="AK506" s="89"/>
      <c r="AL506" s="117"/>
      <c r="AM506" s="117"/>
      <c r="AN506" s="117">
        <v>1</v>
      </c>
      <c r="AO506" s="117" t="s">
        <v>1140</v>
      </c>
      <c r="AP506" s="117">
        <v>1</v>
      </c>
      <c r="AQ506" s="117"/>
      <c r="AR506" s="117"/>
      <c r="AS506" s="117"/>
      <c r="AT506" s="127"/>
      <c r="AU506" s="215" t="s">
        <v>1176</v>
      </c>
      <c r="AV506" s="128"/>
      <c r="AW506" s="117">
        <f>VLOOKUP($D506,'WB Data'!$C$3:$M$578,2,FALSE)</f>
        <v>25978508375.922771</v>
      </c>
      <c r="AX506" s="117">
        <f>VLOOKUP($D506,'WB Data'!$C$3:$M$578,3,FALSE)</f>
        <v>23691533</v>
      </c>
      <c r="AY506" s="847">
        <f t="shared" si="81"/>
        <v>4.3101902431438585E-3</v>
      </c>
      <c r="AZ506" s="117">
        <f>VLOOKUP($D506,'WB Data'!$C$3:$M$578,4,FALSE)/100</f>
        <v>0.15418098622920914</v>
      </c>
      <c r="BA506" s="117">
        <f t="shared" si="82"/>
        <v>4005392042.1635432</v>
      </c>
      <c r="BB506" s="129">
        <f>IFERROR(VLOOKUP($D506,'EITI Revenues'!$C$2:$G$224,5,FALSE),"..")</f>
        <v>111972313.33333333</v>
      </c>
      <c r="BC506" s="846">
        <f t="shared" si="83"/>
        <v>2.7955394167321165E-2</v>
      </c>
      <c r="BD506" s="129">
        <f>VLOOKUP($D506,'WB Data 2'!$C$2:$K$545,6,FALSE)</f>
        <v>487955243.03243834</v>
      </c>
      <c r="BE506" s="129">
        <f>IFERROR(VLOOKUP($D506,UNCTAD!$C$5:$V$529,4,FALSE),"..")</f>
        <v>7609410000</v>
      </c>
      <c r="BF506" s="846">
        <f t="shared" si="84"/>
        <v>6.4125240068867148E-2</v>
      </c>
      <c r="BG506" s="117">
        <f>VLOOKUP($D506,'WB Data'!$C$3:$M$578,5,FALSE)</f>
        <v>1581820000</v>
      </c>
      <c r="BH506" s="129">
        <f>IFERROR($BB506/$BG506,"..")</f>
        <v>7.0787013271632254E-2</v>
      </c>
      <c r="BI506" s="117">
        <f>IFERROR(VLOOKUP($D506,'WB Data'!$C$3:$M$578,7,FALSE)/100,"..")</f>
        <v>5.3172899999999995E-2</v>
      </c>
      <c r="BJ506" s="117">
        <f>IFERROR($BI506*$AW506,"..")</f>
        <v>1381352628.0221038</v>
      </c>
      <c r="BK506" s="846">
        <f>IFERROR($BB506/$BJ506,"..")</f>
        <v>8.1059905386839132E-2</v>
      </c>
      <c r="BL506" s="117">
        <f>IFERROR(VLOOKUP($D506,'WB Data'!$C$3:$M$578,7,FALSE)/100,"..")</f>
        <v>5.3172899999999995E-2</v>
      </c>
      <c r="BM506" s="117">
        <f>IFERROR($AW506*$BL506,"..")</f>
        <v>1381352628.0221038</v>
      </c>
      <c r="BN506" s="846">
        <f>IFERROR($BB506/$BM506,"..")</f>
        <v>8.1059905386839132E-2</v>
      </c>
      <c r="BO506" s="801">
        <f t="shared" si="80"/>
        <v>48</v>
      </c>
      <c r="BP506" s="117" t="str">
        <f>VLOOKUP($D506,'WB Data'!$C$3:$M$578,9,FALSE)</f>
        <v>..</v>
      </c>
      <c r="BQ506" s="117">
        <f>VLOOKUP($D506,'WB Data'!$C$3:$M$578,10,FALSE)</f>
        <v>60.351024390243907</v>
      </c>
      <c r="BR506" s="117">
        <f>VLOOKUP($D506,'WB Data'!$C$3:$M$578,11,FALSE)</f>
        <v>55.6</v>
      </c>
      <c r="BS506" s="129">
        <f>IFERROR(VLOOKUP($D506,'WB Data 2'!$C$2:$K$545,9,FALSE),"..")</f>
        <v>76.468360000000004</v>
      </c>
      <c r="BT506" s="129">
        <f>_xlfn.IFNA(VLOOKUP($C506,RGI!$A$2:$C$43,2,FALSE),"..")</f>
        <v>32.299999999999997</v>
      </c>
      <c r="BU506" s="129">
        <f>_xlfn.IFNA(VLOOKUP($C506,RGI!$A$2:$C$43,3,FALSE),"..")</f>
        <v>62.723264193960979</v>
      </c>
      <c r="BV506" s="129">
        <f>VLOOKUP($D506,WGI!$C$2:$O$478,7,FALSE)</f>
        <v>0.48685563342905602</v>
      </c>
      <c r="BW506" s="129">
        <f>VLOOKUP($D506,WGI!$C$2:$O$478,4,FALSE)</f>
        <v>3.5919231106770803E-2</v>
      </c>
      <c r="BX506" s="129">
        <f>VLOOKUP($D506,WGI!$C$2:$O$478,3,FALSE)</f>
        <v>-3.78100282636896E-2</v>
      </c>
      <c r="BY506" s="129">
        <f>VLOOKUP($D506,WGI!$C$2:$O$478,5,FALSE)</f>
        <v>9.0179455574476194E-2</v>
      </c>
      <c r="BZ506" s="129">
        <f>VLOOKUP($D506,WGI!$C$2:$O$478,2,FALSE)</f>
        <v>3.13423438627983E-2</v>
      </c>
      <c r="CB506" s="129"/>
    </row>
    <row r="507" spans="1:80" s="120" customFormat="1" ht="15" customHeight="1">
      <c r="A507" s="294" t="s">
        <v>208</v>
      </c>
      <c r="B507" s="117">
        <v>2009</v>
      </c>
      <c r="C507" s="117" t="s">
        <v>195</v>
      </c>
      <c r="D507" s="117" t="s">
        <v>3629</v>
      </c>
      <c r="E507" s="117" t="s">
        <v>86</v>
      </c>
      <c r="F507" s="117"/>
      <c r="G507" s="117" t="s">
        <v>24</v>
      </c>
      <c r="H507" s="117" t="str">
        <f t="shared" si="85"/>
        <v>yes</v>
      </c>
      <c r="I507" s="117" t="str">
        <f t="shared" si="86"/>
        <v>no</v>
      </c>
      <c r="J507" s="117" t="str">
        <f t="shared" si="87"/>
        <v>no</v>
      </c>
      <c r="K507" s="117" t="s">
        <v>980</v>
      </c>
      <c r="L507" s="117" t="str">
        <f t="shared" si="79"/>
        <v>detailed</v>
      </c>
      <c r="M507" s="117" t="str">
        <f t="shared" si="88"/>
        <v>detailed Mining</v>
      </c>
      <c r="N507" s="118">
        <v>376000</v>
      </c>
      <c r="O507" s="118"/>
      <c r="P507" s="118"/>
      <c r="Q507" s="118"/>
      <c r="R507" s="118"/>
      <c r="S507" s="117" t="s">
        <v>981</v>
      </c>
      <c r="T507" s="119">
        <v>18.559999999999999</v>
      </c>
      <c r="U507" s="117" t="s">
        <v>982</v>
      </c>
      <c r="V507" s="117" t="s">
        <v>1177</v>
      </c>
      <c r="W507" s="89">
        <f>N507*T507</f>
        <v>6978559.9999999991</v>
      </c>
      <c r="X507" s="117"/>
      <c r="Y507" s="117"/>
      <c r="Z507" s="117"/>
      <c r="AA507" s="117"/>
      <c r="AB507" s="117"/>
      <c r="AC507" s="240"/>
      <c r="AD507" s="240"/>
      <c r="AE507" s="240"/>
      <c r="AF507" s="241"/>
      <c r="AG507" s="117"/>
      <c r="AH507" s="124"/>
      <c r="AI507" s="117"/>
      <c r="AJ507" s="117"/>
      <c r="AK507" s="89"/>
      <c r="AL507" s="117"/>
      <c r="AM507" s="117"/>
      <c r="AN507" s="117"/>
      <c r="AO507" s="117"/>
      <c r="AP507" s="117"/>
      <c r="AQ507" s="117"/>
      <c r="AR507" s="117"/>
      <c r="AS507" s="117"/>
      <c r="AT507" s="127"/>
      <c r="AU507" s="117"/>
      <c r="AV507" s="128"/>
      <c r="AW507" s="117">
        <f>VLOOKUP($D507,'WB Data'!$C$3:$M$578,2,FALSE)</f>
        <v>25978508375.922771</v>
      </c>
      <c r="AX507" s="117">
        <f>VLOOKUP($D507,'WB Data'!$C$3:$M$578,3,FALSE)</f>
        <v>23691533</v>
      </c>
      <c r="AY507" s="847">
        <f t="shared" si="81"/>
        <v>4.3101902431438585E-3</v>
      </c>
      <c r="AZ507" s="117">
        <f>VLOOKUP($D507,'WB Data'!$C$3:$M$578,4,FALSE)/100</f>
        <v>0.15418098622920914</v>
      </c>
      <c r="BA507" s="117">
        <f t="shared" si="82"/>
        <v>4005392042.1635432</v>
      </c>
      <c r="BB507" s="129">
        <f>IFERROR(VLOOKUP($D507,'EITI Revenues'!$C$2:$G$224,5,FALSE),"..")</f>
        <v>111972313.33333333</v>
      </c>
      <c r="BC507" s="846">
        <f t="shared" si="83"/>
        <v>2.7955394167321165E-2</v>
      </c>
      <c r="BD507" s="129">
        <f>VLOOKUP($D507,'WB Data 2'!$C$2:$K$545,6,FALSE)</f>
        <v>487955243.03243834</v>
      </c>
      <c r="BE507" s="129">
        <f>IFERROR(VLOOKUP($D507,UNCTAD!$C$5:$V$529,4,FALSE),"..")</f>
        <v>7609410000</v>
      </c>
      <c r="BF507" s="846">
        <f t="shared" si="84"/>
        <v>6.4125240068867148E-2</v>
      </c>
      <c r="BG507" s="117">
        <f>VLOOKUP($D507,'WB Data'!$C$3:$M$578,5,FALSE)</f>
        <v>1581820000</v>
      </c>
      <c r="BH507" s="129">
        <f>IFERROR($BB507/$BG507,"..")</f>
        <v>7.0787013271632254E-2</v>
      </c>
      <c r="BI507" s="117">
        <f>IFERROR(VLOOKUP($D507,'WB Data'!$C$3:$M$578,7,FALSE)/100,"..")</f>
        <v>5.3172899999999995E-2</v>
      </c>
      <c r="BJ507" s="117">
        <f>IFERROR($BI507*$AW507,"..")</f>
        <v>1381352628.0221038</v>
      </c>
      <c r="BK507" s="846">
        <f>IFERROR($BB507/$BJ507,"..")</f>
        <v>8.1059905386839132E-2</v>
      </c>
      <c r="BL507" s="117">
        <f>IFERROR(VLOOKUP($D507,'WB Data'!$C$3:$M$578,7,FALSE)/100,"..")</f>
        <v>5.3172899999999995E-2</v>
      </c>
      <c r="BM507" s="117">
        <f>IFERROR($AW507*$BL507,"..")</f>
        <v>1381352628.0221038</v>
      </c>
      <c r="BN507" s="846">
        <f>IFERROR($BB507/$BM507,"..")</f>
        <v>8.1059905386839132E-2</v>
      </c>
      <c r="BO507" s="801">
        <f t="shared" si="80"/>
        <v>48</v>
      </c>
      <c r="BP507" s="117" t="str">
        <f>VLOOKUP($D507,'WB Data'!$C$3:$M$578,9,FALSE)</f>
        <v>..</v>
      </c>
      <c r="BQ507" s="117">
        <f>VLOOKUP($D507,'WB Data'!$C$3:$M$578,10,FALSE)</f>
        <v>60.351024390243907</v>
      </c>
      <c r="BR507" s="117">
        <f>VLOOKUP($D507,'WB Data'!$C$3:$M$578,11,FALSE)</f>
        <v>55.6</v>
      </c>
      <c r="BS507" s="129">
        <f>IFERROR(VLOOKUP($D507,'WB Data 2'!$C$2:$K$545,9,FALSE),"..")</f>
        <v>76.468360000000004</v>
      </c>
      <c r="BT507" s="129">
        <f>_xlfn.IFNA(VLOOKUP($C507,RGI!$A$2:$C$43,2,FALSE),"..")</f>
        <v>32.299999999999997</v>
      </c>
      <c r="BU507" s="129">
        <f>_xlfn.IFNA(VLOOKUP($C507,RGI!$A$2:$C$43,3,FALSE),"..")</f>
        <v>62.723264193960979</v>
      </c>
      <c r="BV507" s="129">
        <f>VLOOKUP($D507,WGI!$C$2:$O$478,7,FALSE)</f>
        <v>0.48685563342905602</v>
      </c>
      <c r="BW507" s="129">
        <f>VLOOKUP($D507,WGI!$C$2:$O$478,4,FALSE)</f>
        <v>3.5919231106770803E-2</v>
      </c>
      <c r="BX507" s="129">
        <f>VLOOKUP($D507,WGI!$C$2:$O$478,3,FALSE)</f>
        <v>-3.78100282636896E-2</v>
      </c>
      <c r="BY507" s="129">
        <f>VLOOKUP($D507,WGI!$C$2:$O$478,5,FALSE)</f>
        <v>9.0179455574476194E-2</v>
      </c>
      <c r="BZ507" s="129">
        <f>VLOOKUP($D507,WGI!$C$2:$O$478,2,FALSE)</f>
        <v>3.13423438627983E-2</v>
      </c>
      <c r="CB507" s="129"/>
    </row>
    <row r="508" spans="1:80" s="120" customFormat="1" ht="15" customHeight="1">
      <c r="A508" s="294" t="s">
        <v>208</v>
      </c>
      <c r="B508" s="117">
        <v>2009</v>
      </c>
      <c r="C508" s="117" t="s">
        <v>195</v>
      </c>
      <c r="D508" s="117" t="s">
        <v>3629</v>
      </c>
      <c r="E508" s="117" t="s">
        <v>86</v>
      </c>
      <c r="F508" s="117"/>
      <c r="G508" s="117" t="s">
        <v>24</v>
      </c>
      <c r="H508" s="117" t="str">
        <f t="shared" si="85"/>
        <v>yes</v>
      </c>
      <c r="I508" s="117" t="str">
        <f t="shared" si="86"/>
        <v>no</v>
      </c>
      <c r="J508" s="117" t="str">
        <f t="shared" si="87"/>
        <v>no</v>
      </c>
      <c r="K508" s="117" t="s">
        <v>784</v>
      </c>
      <c r="L508" s="117" t="str">
        <f t="shared" si="79"/>
        <v>detailed</v>
      </c>
      <c r="M508" s="117" t="str">
        <f t="shared" si="88"/>
        <v>detailed Mining</v>
      </c>
      <c r="N508" s="118">
        <f>79883*32.150743126506</f>
        <v>2568297.8131746789</v>
      </c>
      <c r="O508" s="118"/>
      <c r="P508" s="118"/>
      <c r="Q508" s="118"/>
      <c r="R508" s="118"/>
      <c r="S508" s="117" t="s">
        <v>785</v>
      </c>
      <c r="T508" s="119">
        <f>972.96591666667*1.0929</f>
        <v>1063.3544503250037</v>
      </c>
      <c r="U508" s="117" t="s">
        <v>786</v>
      </c>
      <c r="V508" s="117" t="s">
        <v>1165</v>
      </c>
      <c r="W508" s="89">
        <f>N508*T508</f>
        <v>2731010909.3992696</v>
      </c>
      <c r="X508" s="117"/>
      <c r="Y508" s="117"/>
      <c r="Z508" s="117"/>
      <c r="AA508" s="177">
        <v>103065649.33333333</v>
      </c>
      <c r="AB508" s="177">
        <v>103067401.38095237</v>
      </c>
      <c r="AC508" s="122"/>
      <c r="AD508" s="122"/>
      <c r="AE508" s="122"/>
      <c r="AF508" s="123">
        <f>AA508/W508</f>
        <v>3.7739010480922722E-2</v>
      </c>
      <c r="AG508" s="117"/>
      <c r="AH508" s="124"/>
      <c r="AI508" s="117"/>
      <c r="AJ508" s="117"/>
      <c r="AK508" s="89"/>
      <c r="AL508" s="117"/>
      <c r="AM508" s="117"/>
      <c r="AN508" s="117">
        <v>8</v>
      </c>
      <c r="AO508" s="117" t="s">
        <v>1178</v>
      </c>
      <c r="AP508" s="117">
        <v>8</v>
      </c>
      <c r="AQ508" s="117"/>
      <c r="AR508" s="117"/>
      <c r="AS508" s="117"/>
      <c r="AT508" s="127"/>
      <c r="AU508" s="215" t="s">
        <v>1176</v>
      </c>
      <c r="AV508" s="128"/>
      <c r="AW508" s="117">
        <f>VLOOKUP($D508,'WB Data'!$C$3:$M$578,2,FALSE)</f>
        <v>25978508375.922771</v>
      </c>
      <c r="AX508" s="117">
        <f>VLOOKUP($D508,'WB Data'!$C$3:$M$578,3,FALSE)</f>
        <v>23691533</v>
      </c>
      <c r="AY508" s="847">
        <f t="shared" si="81"/>
        <v>4.3101902431438585E-3</v>
      </c>
      <c r="AZ508" s="117">
        <f>VLOOKUP($D508,'WB Data'!$C$3:$M$578,4,FALSE)/100</f>
        <v>0.15418098622920914</v>
      </c>
      <c r="BA508" s="117">
        <f t="shared" si="82"/>
        <v>4005392042.1635432</v>
      </c>
      <c r="BB508" s="129">
        <f>IFERROR(VLOOKUP($D508,'EITI Revenues'!$C$2:$G$224,5,FALSE),"..")</f>
        <v>111972313.33333333</v>
      </c>
      <c r="BC508" s="846">
        <f t="shared" si="83"/>
        <v>2.7955394167321165E-2</v>
      </c>
      <c r="BD508" s="129">
        <f>VLOOKUP($D508,'WB Data 2'!$C$2:$K$545,6,FALSE)</f>
        <v>487955243.03243834</v>
      </c>
      <c r="BE508" s="129">
        <f>IFERROR(VLOOKUP($D508,UNCTAD!$C$5:$V$529,4,FALSE),"..")</f>
        <v>7609410000</v>
      </c>
      <c r="BF508" s="846">
        <f t="shared" si="84"/>
        <v>6.4125240068867148E-2</v>
      </c>
      <c r="BG508" s="117">
        <f>VLOOKUP($D508,'WB Data'!$C$3:$M$578,5,FALSE)</f>
        <v>1581820000</v>
      </c>
      <c r="BH508" s="129">
        <f>IFERROR($BB508/$BG508,"..")</f>
        <v>7.0787013271632254E-2</v>
      </c>
      <c r="BI508" s="117">
        <f>IFERROR(VLOOKUP($D508,'WB Data'!$C$3:$M$578,7,FALSE)/100,"..")</f>
        <v>5.3172899999999995E-2</v>
      </c>
      <c r="BJ508" s="117">
        <f>IFERROR($BI508*$AW508,"..")</f>
        <v>1381352628.0221038</v>
      </c>
      <c r="BK508" s="846">
        <f>IFERROR($BB508/$BJ508,"..")</f>
        <v>8.1059905386839132E-2</v>
      </c>
      <c r="BL508" s="117">
        <f>IFERROR(VLOOKUP($D508,'WB Data'!$C$3:$M$578,7,FALSE)/100,"..")</f>
        <v>5.3172899999999995E-2</v>
      </c>
      <c r="BM508" s="117">
        <f>IFERROR($AW508*$BL508,"..")</f>
        <v>1381352628.0221038</v>
      </c>
      <c r="BN508" s="846">
        <f>IFERROR($BB508/$BM508,"..")</f>
        <v>8.1059905386839132E-2</v>
      </c>
      <c r="BO508" s="801">
        <f t="shared" si="80"/>
        <v>48</v>
      </c>
      <c r="BP508" s="117" t="str">
        <f>VLOOKUP($D508,'WB Data'!$C$3:$M$578,9,FALSE)</f>
        <v>..</v>
      </c>
      <c r="BQ508" s="117">
        <f>VLOOKUP($D508,'WB Data'!$C$3:$M$578,10,FALSE)</f>
        <v>60.351024390243907</v>
      </c>
      <c r="BR508" s="117">
        <f>VLOOKUP($D508,'WB Data'!$C$3:$M$578,11,FALSE)</f>
        <v>55.6</v>
      </c>
      <c r="BS508" s="129">
        <f>IFERROR(VLOOKUP($D508,'WB Data 2'!$C$2:$K$545,9,FALSE),"..")</f>
        <v>76.468360000000004</v>
      </c>
      <c r="BT508" s="129">
        <f>_xlfn.IFNA(VLOOKUP($C508,RGI!$A$2:$C$43,2,FALSE),"..")</f>
        <v>32.299999999999997</v>
      </c>
      <c r="BU508" s="129">
        <f>_xlfn.IFNA(VLOOKUP($C508,RGI!$A$2:$C$43,3,FALSE),"..")</f>
        <v>62.723264193960979</v>
      </c>
      <c r="BV508" s="129">
        <f>VLOOKUP($D508,WGI!$C$2:$O$478,7,FALSE)</f>
        <v>0.48685563342905602</v>
      </c>
      <c r="BW508" s="129">
        <f>VLOOKUP($D508,WGI!$C$2:$O$478,4,FALSE)</f>
        <v>3.5919231106770803E-2</v>
      </c>
      <c r="BX508" s="129">
        <f>VLOOKUP($D508,WGI!$C$2:$O$478,3,FALSE)</f>
        <v>-3.78100282636896E-2</v>
      </c>
      <c r="BY508" s="129">
        <f>VLOOKUP($D508,WGI!$C$2:$O$478,5,FALSE)</f>
        <v>9.0179455574476194E-2</v>
      </c>
      <c r="BZ508" s="129">
        <f>VLOOKUP($D508,WGI!$C$2:$O$478,2,FALSE)</f>
        <v>3.13423438627983E-2</v>
      </c>
      <c r="CB508" s="129"/>
    </row>
    <row r="509" spans="1:80" s="120" customFormat="1" ht="15" customHeight="1">
      <c r="A509" s="294" t="s">
        <v>208</v>
      </c>
      <c r="B509" s="117">
        <v>2009</v>
      </c>
      <c r="C509" s="117" t="s">
        <v>195</v>
      </c>
      <c r="D509" s="117" t="s">
        <v>3629</v>
      </c>
      <c r="E509" s="117" t="s">
        <v>86</v>
      </c>
      <c r="F509" s="117"/>
      <c r="G509" s="117" t="s">
        <v>24</v>
      </c>
      <c r="H509" s="117" t="str">
        <f t="shared" si="85"/>
        <v>yes</v>
      </c>
      <c r="I509" s="117" t="str">
        <f t="shared" si="86"/>
        <v>no</v>
      </c>
      <c r="J509" s="117" t="str">
        <f t="shared" si="87"/>
        <v>no</v>
      </c>
      <c r="K509" s="117" t="s">
        <v>843</v>
      </c>
      <c r="L509" s="117" t="str">
        <f t="shared" si="79"/>
        <v>detailed</v>
      </c>
      <c r="M509" s="117" t="str">
        <f t="shared" si="88"/>
        <v>detailed Mining</v>
      </c>
      <c r="N509" s="118"/>
      <c r="O509" s="118"/>
      <c r="P509" s="118"/>
      <c r="Q509" s="118"/>
      <c r="R509" s="118"/>
      <c r="S509" s="117"/>
      <c r="T509" s="119">
        <v>7.95</v>
      </c>
      <c r="U509" s="117" t="s">
        <v>611</v>
      </c>
      <c r="V509" s="117" t="s">
        <v>844</v>
      </c>
      <c r="W509" s="89">
        <f>N511*T509</f>
        <v>1971.6000000000001</v>
      </c>
      <c r="X509" s="117"/>
      <c r="Y509" s="117"/>
      <c r="Z509" s="117"/>
      <c r="AA509" s="177">
        <v>8342782</v>
      </c>
      <c r="AB509" s="177">
        <v>8342782</v>
      </c>
      <c r="AC509" s="122"/>
      <c r="AD509" s="122"/>
      <c r="AE509" s="122"/>
      <c r="AF509" s="123">
        <f>AA509/W509</f>
        <v>4231.4779874213837</v>
      </c>
      <c r="AG509" s="117"/>
      <c r="AH509" s="124"/>
      <c r="AI509" s="117"/>
      <c r="AJ509" s="117"/>
      <c r="AK509" s="89"/>
      <c r="AL509" s="117"/>
      <c r="AM509" s="117"/>
      <c r="AN509" s="117">
        <v>1</v>
      </c>
      <c r="AO509" s="117" t="s">
        <v>1145</v>
      </c>
      <c r="AP509" s="117">
        <v>1</v>
      </c>
      <c r="AQ509" s="117"/>
      <c r="AR509" s="117"/>
      <c r="AS509" s="117"/>
      <c r="AT509" s="127"/>
      <c r="AU509" s="215" t="s">
        <v>1176</v>
      </c>
      <c r="AV509" s="128"/>
      <c r="AW509" s="117">
        <f>VLOOKUP($D509,'WB Data'!$C$3:$M$578,2,FALSE)</f>
        <v>25978508375.922771</v>
      </c>
      <c r="AX509" s="117">
        <f>VLOOKUP($D509,'WB Data'!$C$3:$M$578,3,FALSE)</f>
        <v>23691533</v>
      </c>
      <c r="AY509" s="847">
        <f t="shared" si="81"/>
        <v>4.3101902431438585E-3</v>
      </c>
      <c r="AZ509" s="117">
        <f>VLOOKUP($D509,'WB Data'!$C$3:$M$578,4,FALSE)/100</f>
        <v>0.15418098622920914</v>
      </c>
      <c r="BA509" s="117">
        <f t="shared" si="82"/>
        <v>4005392042.1635432</v>
      </c>
      <c r="BB509" s="129">
        <f>IFERROR(VLOOKUP($D509,'EITI Revenues'!$C$2:$G$224,5,FALSE),"..")</f>
        <v>111972313.33333333</v>
      </c>
      <c r="BC509" s="846">
        <f t="shared" si="83"/>
        <v>2.7955394167321165E-2</v>
      </c>
      <c r="BD509" s="129">
        <f>VLOOKUP($D509,'WB Data 2'!$C$2:$K$545,6,FALSE)</f>
        <v>487955243.03243834</v>
      </c>
      <c r="BE509" s="129">
        <f>IFERROR(VLOOKUP($D509,UNCTAD!$C$5:$V$529,4,FALSE),"..")</f>
        <v>7609410000</v>
      </c>
      <c r="BF509" s="846">
        <f t="shared" si="84"/>
        <v>6.4125240068867148E-2</v>
      </c>
      <c r="BG509" s="117">
        <f>VLOOKUP($D509,'WB Data'!$C$3:$M$578,5,FALSE)</f>
        <v>1581820000</v>
      </c>
      <c r="BH509" s="129">
        <f>IFERROR($BB509/$BG509,"..")</f>
        <v>7.0787013271632254E-2</v>
      </c>
      <c r="BI509" s="117">
        <f>IFERROR(VLOOKUP($D509,'WB Data'!$C$3:$M$578,7,FALSE)/100,"..")</f>
        <v>5.3172899999999995E-2</v>
      </c>
      <c r="BJ509" s="117">
        <f>IFERROR($BI509*$AW509,"..")</f>
        <v>1381352628.0221038</v>
      </c>
      <c r="BK509" s="846">
        <f>IFERROR($BB509/$BJ509,"..")</f>
        <v>8.1059905386839132E-2</v>
      </c>
      <c r="BL509" s="117">
        <f>IFERROR(VLOOKUP($D509,'WB Data'!$C$3:$M$578,7,FALSE)/100,"..")</f>
        <v>5.3172899999999995E-2</v>
      </c>
      <c r="BM509" s="117">
        <f>IFERROR($AW509*$BL509,"..")</f>
        <v>1381352628.0221038</v>
      </c>
      <c r="BN509" s="846">
        <f>IFERROR($BB509/$BM509,"..")</f>
        <v>8.1059905386839132E-2</v>
      </c>
      <c r="BO509" s="801">
        <f t="shared" si="80"/>
        <v>48</v>
      </c>
      <c r="BP509" s="117" t="str">
        <f>VLOOKUP($D509,'WB Data'!$C$3:$M$578,9,FALSE)</f>
        <v>..</v>
      </c>
      <c r="BQ509" s="117">
        <f>VLOOKUP($D509,'WB Data'!$C$3:$M$578,10,FALSE)</f>
        <v>60.351024390243907</v>
      </c>
      <c r="BR509" s="117">
        <f>VLOOKUP($D509,'WB Data'!$C$3:$M$578,11,FALSE)</f>
        <v>55.6</v>
      </c>
      <c r="BS509" s="129">
        <f>IFERROR(VLOOKUP($D509,'WB Data 2'!$C$2:$K$545,9,FALSE),"..")</f>
        <v>76.468360000000004</v>
      </c>
      <c r="BT509" s="129">
        <f>_xlfn.IFNA(VLOOKUP($C509,RGI!$A$2:$C$43,2,FALSE),"..")</f>
        <v>32.299999999999997</v>
      </c>
      <c r="BU509" s="129">
        <f>_xlfn.IFNA(VLOOKUP($C509,RGI!$A$2:$C$43,3,FALSE),"..")</f>
        <v>62.723264193960979</v>
      </c>
      <c r="BV509" s="129">
        <f>VLOOKUP($D509,WGI!$C$2:$O$478,7,FALSE)</f>
        <v>0.48685563342905602</v>
      </c>
      <c r="BW509" s="129">
        <f>VLOOKUP($D509,WGI!$C$2:$O$478,4,FALSE)</f>
        <v>3.5919231106770803E-2</v>
      </c>
      <c r="BX509" s="129">
        <f>VLOOKUP($D509,WGI!$C$2:$O$478,3,FALSE)</f>
        <v>-3.78100282636896E-2</v>
      </c>
      <c r="BY509" s="129">
        <f>VLOOKUP($D509,WGI!$C$2:$O$478,5,FALSE)</f>
        <v>9.0179455574476194E-2</v>
      </c>
      <c r="BZ509" s="129">
        <f>VLOOKUP($D509,WGI!$C$2:$O$478,2,FALSE)</f>
        <v>3.13423438627983E-2</v>
      </c>
      <c r="CB509" s="129"/>
    </row>
    <row r="510" spans="1:80" s="120" customFormat="1" ht="15" customHeight="1">
      <c r="A510" s="294" t="s">
        <v>208</v>
      </c>
      <c r="B510" s="117">
        <v>2009</v>
      </c>
      <c r="C510" s="117" t="s">
        <v>195</v>
      </c>
      <c r="D510" s="117" t="s">
        <v>3629</v>
      </c>
      <c r="E510" s="117" t="s">
        <v>86</v>
      </c>
      <c r="F510" s="117"/>
      <c r="G510" s="117" t="s">
        <v>24</v>
      </c>
      <c r="H510" s="117" t="str">
        <f t="shared" si="85"/>
        <v>yes</v>
      </c>
      <c r="I510" s="117" t="str">
        <f t="shared" si="86"/>
        <v>no</v>
      </c>
      <c r="J510" s="117" t="str">
        <f t="shared" si="87"/>
        <v>no</v>
      </c>
      <c r="K510" s="117" t="s">
        <v>846</v>
      </c>
      <c r="L510" s="117" t="str">
        <f t="shared" si="79"/>
        <v>detailed</v>
      </c>
      <c r="M510" s="117" t="str">
        <f t="shared" si="88"/>
        <v>detailed Mining</v>
      </c>
      <c r="N510" s="118">
        <v>882</v>
      </c>
      <c r="O510" s="118"/>
      <c r="P510" s="118"/>
      <c r="Q510" s="118"/>
      <c r="R510" s="118"/>
      <c r="S510" s="117" t="s">
        <v>610</v>
      </c>
      <c r="T510" s="119"/>
      <c r="U510" s="117"/>
      <c r="V510" s="117" t="s">
        <v>847</v>
      </c>
      <c r="W510" s="89"/>
      <c r="X510" s="117"/>
      <c r="Y510" s="117"/>
      <c r="Z510" s="117"/>
      <c r="AA510" s="117"/>
      <c r="AB510" s="117"/>
      <c r="AC510" s="240"/>
      <c r="AD510" s="240"/>
      <c r="AE510" s="240"/>
      <c r="AF510" s="241"/>
      <c r="AG510" s="117"/>
      <c r="AH510" s="124"/>
      <c r="AI510" s="117"/>
      <c r="AJ510" s="117"/>
      <c r="AK510" s="89"/>
      <c r="AL510" s="117"/>
      <c r="AM510" s="117"/>
      <c r="AN510" s="117"/>
      <c r="AO510" s="117"/>
      <c r="AP510" s="117"/>
      <c r="AQ510" s="117"/>
      <c r="AR510" s="117"/>
      <c r="AS510" s="117"/>
      <c r="AT510" s="127"/>
      <c r="AU510" s="117"/>
      <c r="AV510" s="128"/>
      <c r="AW510" s="117">
        <f>VLOOKUP($D510,'WB Data'!$C$3:$M$578,2,FALSE)</f>
        <v>25978508375.922771</v>
      </c>
      <c r="AX510" s="117">
        <f>VLOOKUP($D510,'WB Data'!$C$3:$M$578,3,FALSE)</f>
        <v>23691533</v>
      </c>
      <c r="AY510" s="847">
        <f t="shared" si="81"/>
        <v>4.3101902431438585E-3</v>
      </c>
      <c r="AZ510" s="117">
        <f>VLOOKUP($D510,'WB Data'!$C$3:$M$578,4,FALSE)/100</f>
        <v>0.15418098622920914</v>
      </c>
      <c r="BA510" s="117">
        <f t="shared" si="82"/>
        <v>4005392042.1635432</v>
      </c>
      <c r="BB510" s="129">
        <f>IFERROR(VLOOKUP($D510,'EITI Revenues'!$C$2:$G$224,5,FALSE),"..")</f>
        <v>111972313.33333333</v>
      </c>
      <c r="BC510" s="846">
        <f t="shared" si="83"/>
        <v>2.7955394167321165E-2</v>
      </c>
      <c r="BD510" s="129">
        <f>VLOOKUP($D510,'WB Data 2'!$C$2:$K$545,6,FALSE)</f>
        <v>487955243.03243834</v>
      </c>
      <c r="BE510" s="129">
        <f>IFERROR(VLOOKUP($D510,UNCTAD!$C$5:$V$529,4,FALSE),"..")</f>
        <v>7609410000</v>
      </c>
      <c r="BF510" s="846">
        <f t="shared" si="84"/>
        <v>6.4125240068867148E-2</v>
      </c>
      <c r="BG510" s="117">
        <f>VLOOKUP($D510,'WB Data'!$C$3:$M$578,5,FALSE)</f>
        <v>1581820000</v>
      </c>
      <c r="BH510" s="129">
        <f>IFERROR($BB510/$BG510,"..")</f>
        <v>7.0787013271632254E-2</v>
      </c>
      <c r="BI510" s="117">
        <f>IFERROR(VLOOKUP($D510,'WB Data'!$C$3:$M$578,7,FALSE)/100,"..")</f>
        <v>5.3172899999999995E-2</v>
      </c>
      <c r="BJ510" s="117">
        <f>IFERROR($BI510*$AW510,"..")</f>
        <v>1381352628.0221038</v>
      </c>
      <c r="BK510" s="846">
        <f>IFERROR($BB510/$BJ510,"..")</f>
        <v>8.1059905386839132E-2</v>
      </c>
      <c r="BL510" s="117">
        <f>IFERROR(VLOOKUP($D510,'WB Data'!$C$3:$M$578,7,FALSE)/100,"..")</f>
        <v>5.3172899999999995E-2</v>
      </c>
      <c r="BM510" s="117">
        <f>IFERROR($AW510*$BL510,"..")</f>
        <v>1381352628.0221038</v>
      </c>
      <c r="BN510" s="846">
        <f>IFERROR($BB510/$BM510,"..")</f>
        <v>8.1059905386839132E-2</v>
      </c>
      <c r="BO510" s="801">
        <f t="shared" si="80"/>
        <v>48</v>
      </c>
      <c r="BP510" s="117" t="str">
        <f>VLOOKUP($D510,'WB Data'!$C$3:$M$578,9,FALSE)</f>
        <v>..</v>
      </c>
      <c r="BQ510" s="117">
        <f>VLOOKUP($D510,'WB Data'!$C$3:$M$578,10,FALSE)</f>
        <v>60.351024390243907</v>
      </c>
      <c r="BR510" s="117">
        <f>VLOOKUP($D510,'WB Data'!$C$3:$M$578,11,FALSE)</f>
        <v>55.6</v>
      </c>
      <c r="BS510" s="129">
        <f>IFERROR(VLOOKUP($D510,'WB Data 2'!$C$2:$K$545,9,FALSE),"..")</f>
        <v>76.468360000000004</v>
      </c>
      <c r="BT510" s="129">
        <f>_xlfn.IFNA(VLOOKUP($C510,RGI!$A$2:$C$43,2,FALSE),"..")</f>
        <v>32.299999999999997</v>
      </c>
      <c r="BU510" s="129">
        <f>_xlfn.IFNA(VLOOKUP($C510,RGI!$A$2:$C$43,3,FALSE),"..")</f>
        <v>62.723264193960979</v>
      </c>
      <c r="BV510" s="129">
        <f>VLOOKUP($D510,WGI!$C$2:$O$478,7,FALSE)</f>
        <v>0.48685563342905602</v>
      </c>
      <c r="BW510" s="129">
        <f>VLOOKUP($D510,WGI!$C$2:$O$478,4,FALSE)</f>
        <v>3.5919231106770803E-2</v>
      </c>
      <c r="BX510" s="129">
        <f>VLOOKUP($D510,WGI!$C$2:$O$478,3,FALSE)</f>
        <v>-3.78100282636896E-2</v>
      </c>
      <c r="BY510" s="129">
        <f>VLOOKUP($D510,WGI!$C$2:$O$478,5,FALSE)</f>
        <v>9.0179455574476194E-2</v>
      </c>
      <c r="BZ510" s="129">
        <f>VLOOKUP($D510,WGI!$C$2:$O$478,2,FALSE)</f>
        <v>3.13423438627983E-2</v>
      </c>
      <c r="CB510" s="129"/>
    </row>
    <row r="511" spans="1:80" s="120" customFormat="1" ht="15" customHeight="1">
      <c r="A511" s="294" t="s">
        <v>208</v>
      </c>
      <c r="B511" s="117">
        <v>2009</v>
      </c>
      <c r="C511" s="117" t="s">
        <v>195</v>
      </c>
      <c r="D511" s="117" t="s">
        <v>3629</v>
      </c>
      <c r="E511" s="117" t="s">
        <v>86</v>
      </c>
      <c r="F511" s="117"/>
      <c r="G511" s="117" t="s">
        <v>24</v>
      </c>
      <c r="H511" s="117" t="str">
        <f t="shared" si="85"/>
        <v>yes</v>
      </c>
      <c r="I511" s="117" t="str">
        <f t="shared" si="86"/>
        <v>no</v>
      </c>
      <c r="J511" s="117" t="str">
        <f t="shared" si="87"/>
        <v>no</v>
      </c>
      <c r="K511" s="117" t="s">
        <v>848</v>
      </c>
      <c r="L511" s="117" t="str">
        <f t="shared" si="79"/>
        <v>detailed</v>
      </c>
      <c r="M511" s="117" t="str">
        <f t="shared" si="88"/>
        <v>detailed Mining</v>
      </c>
      <c r="N511" s="118">
        <v>248</v>
      </c>
      <c r="O511" s="118"/>
      <c r="P511" s="118"/>
      <c r="Q511" s="118"/>
      <c r="R511" s="118"/>
      <c r="S511" s="117" t="s">
        <v>610</v>
      </c>
      <c r="T511" s="119"/>
      <c r="U511" s="117"/>
      <c r="V511" s="117" t="s">
        <v>847</v>
      </c>
      <c r="W511" s="89"/>
      <c r="X511" s="117"/>
      <c r="Y511" s="117"/>
      <c r="Z511" s="117"/>
      <c r="AA511" s="117"/>
      <c r="AB511" s="117"/>
      <c r="AC511" s="240"/>
      <c r="AD511" s="240"/>
      <c r="AE511" s="240"/>
      <c r="AF511" s="241"/>
      <c r="AG511" s="117"/>
      <c r="AH511" s="124"/>
      <c r="AI511" s="117"/>
      <c r="AJ511" s="117"/>
      <c r="AK511" s="89"/>
      <c r="AL511" s="117"/>
      <c r="AM511" s="117"/>
      <c r="AN511" s="117"/>
      <c r="AO511" s="117"/>
      <c r="AP511" s="117"/>
      <c r="AQ511" s="117"/>
      <c r="AR511" s="117"/>
      <c r="AS511" s="117"/>
      <c r="AT511" s="127"/>
      <c r="AU511" s="117"/>
      <c r="AV511" s="128"/>
      <c r="AW511" s="117">
        <f>VLOOKUP($D511,'WB Data'!$C$3:$M$578,2,FALSE)</f>
        <v>25978508375.922771</v>
      </c>
      <c r="AX511" s="117">
        <f>VLOOKUP($D511,'WB Data'!$C$3:$M$578,3,FALSE)</f>
        <v>23691533</v>
      </c>
      <c r="AY511" s="847">
        <f t="shared" si="81"/>
        <v>4.3101902431438585E-3</v>
      </c>
      <c r="AZ511" s="117">
        <f>VLOOKUP($D511,'WB Data'!$C$3:$M$578,4,FALSE)/100</f>
        <v>0.15418098622920914</v>
      </c>
      <c r="BA511" s="117">
        <f t="shared" si="82"/>
        <v>4005392042.1635432</v>
      </c>
      <c r="BB511" s="129">
        <f>IFERROR(VLOOKUP($D511,'EITI Revenues'!$C$2:$G$224,5,FALSE),"..")</f>
        <v>111972313.33333333</v>
      </c>
      <c r="BC511" s="846">
        <f t="shared" si="83"/>
        <v>2.7955394167321165E-2</v>
      </c>
      <c r="BD511" s="129">
        <f>VLOOKUP($D511,'WB Data 2'!$C$2:$K$545,6,FALSE)</f>
        <v>487955243.03243834</v>
      </c>
      <c r="BE511" s="129">
        <f>IFERROR(VLOOKUP($D511,UNCTAD!$C$5:$V$529,4,FALSE),"..")</f>
        <v>7609410000</v>
      </c>
      <c r="BF511" s="846">
        <f t="shared" si="84"/>
        <v>6.4125240068867148E-2</v>
      </c>
      <c r="BG511" s="117">
        <f>VLOOKUP($D511,'WB Data'!$C$3:$M$578,5,FALSE)</f>
        <v>1581820000</v>
      </c>
      <c r="BH511" s="129">
        <f>IFERROR($BB511/$BG511,"..")</f>
        <v>7.0787013271632254E-2</v>
      </c>
      <c r="BI511" s="117">
        <f>IFERROR(VLOOKUP($D511,'WB Data'!$C$3:$M$578,7,FALSE)/100,"..")</f>
        <v>5.3172899999999995E-2</v>
      </c>
      <c r="BJ511" s="117">
        <f>IFERROR($BI511*$AW511,"..")</f>
        <v>1381352628.0221038</v>
      </c>
      <c r="BK511" s="846">
        <f>IFERROR($BB511/$BJ511,"..")</f>
        <v>8.1059905386839132E-2</v>
      </c>
      <c r="BL511" s="117">
        <f>IFERROR(VLOOKUP($D511,'WB Data'!$C$3:$M$578,7,FALSE)/100,"..")</f>
        <v>5.3172899999999995E-2</v>
      </c>
      <c r="BM511" s="117">
        <f>IFERROR($AW511*$BL511,"..")</f>
        <v>1381352628.0221038</v>
      </c>
      <c r="BN511" s="846">
        <f>IFERROR($BB511/$BM511,"..")</f>
        <v>8.1059905386839132E-2</v>
      </c>
      <c r="BO511" s="801">
        <f t="shared" si="80"/>
        <v>48</v>
      </c>
      <c r="BP511" s="117" t="str">
        <f>VLOOKUP($D511,'WB Data'!$C$3:$M$578,9,FALSE)</f>
        <v>..</v>
      </c>
      <c r="BQ511" s="117">
        <f>VLOOKUP($D511,'WB Data'!$C$3:$M$578,10,FALSE)</f>
        <v>60.351024390243907</v>
      </c>
      <c r="BR511" s="117">
        <f>VLOOKUP($D511,'WB Data'!$C$3:$M$578,11,FALSE)</f>
        <v>55.6</v>
      </c>
      <c r="BS511" s="129">
        <f>IFERROR(VLOOKUP($D511,'WB Data 2'!$C$2:$K$545,9,FALSE),"..")</f>
        <v>76.468360000000004</v>
      </c>
      <c r="BT511" s="129">
        <f>_xlfn.IFNA(VLOOKUP($C511,RGI!$A$2:$C$43,2,FALSE),"..")</f>
        <v>32.299999999999997</v>
      </c>
      <c r="BU511" s="129">
        <f>_xlfn.IFNA(VLOOKUP($C511,RGI!$A$2:$C$43,3,FALSE),"..")</f>
        <v>62.723264193960979</v>
      </c>
      <c r="BV511" s="129">
        <f>VLOOKUP($D511,WGI!$C$2:$O$478,7,FALSE)</f>
        <v>0.48685563342905602</v>
      </c>
      <c r="BW511" s="129">
        <f>VLOOKUP($D511,WGI!$C$2:$O$478,4,FALSE)</f>
        <v>3.5919231106770803E-2</v>
      </c>
      <c r="BX511" s="129">
        <f>VLOOKUP($D511,WGI!$C$2:$O$478,3,FALSE)</f>
        <v>-3.78100282636896E-2</v>
      </c>
      <c r="BY511" s="129">
        <f>VLOOKUP($D511,WGI!$C$2:$O$478,5,FALSE)</f>
        <v>9.0179455574476194E-2</v>
      </c>
      <c r="BZ511" s="129">
        <f>VLOOKUP($D511,WGI!$C$2:$O$478,2,FALSE)</f>
        <v>3.13423438627983E-2</v>
      </c>
      <c r="CB511" s="129"/>
    </row>
    <row r="512" spans="1:80" s="120" customFormat="1" ht="15" customHeight="1">
      <c r="A512" s="294" t="s">
        <v>208</v>
      </c>
      <c r="B512" s="117">
        <v>2009</v>
      </c>
      <c r="C512" s="117" t="s">
        <v>195</v>
      </c>
      <c r="D512" s="117" t="s">
        <v>3629</v>
      </c>
      <c r="E512" s="117" t="s">
        <v>86</v>
      </c>
      <c r="F512" s="117"/>
      <c r="G512" s="117" t="s">
        <v>24</v>
      </c>
      <c r="H512" s="117" t="str">
        <f t="shared" si="85"/>
        <v>yes</v>
      </c>
      <c r="I512" s="117" t="str">
        <f t="shared" si="86"/>
        <v>no</v>
      </c>
      <c r="J512" s="117" t="str">
        <f t="shared" si="87"/>
        <v>no</v>
      </c>
      <c r="K512" s="117" t="s">
        <v>1147</v>
      </c>
      <c r="L512" s="117" t="str">
        <f t="shared" si="79"/>
        <v>detailed</v>
      </c>
      <c r="M512" s="117" t="str">
        <f t="shared" si="88"/>
        <v>detailed Mining</v>
      </c>
      <c r="N512" s="118">
        <v>250</v>
      </c>
      <c r="O512" s="118"/>
      <c r="P512" s="118"/>
      <c r="Q512" s="118"/>
      <c r="R512" s="118"/>
      <c r="S512" s="117" t="s">
        <v>610</v>
      </c>
      <c r="T512" s="119">
        <v>73.67</v>
      </c>
      <c r="U512" s="117" t="s">
        <v>611</v>
      </c>
      <c r="V512" s="117" t="s">
        <v>1172</v>
      </c>
      <c r="W512" s="89">
        <f>N512*T512</f>
        <v>18417.5</v>
      </c>
      <c r="X512" s="117"/>
      <c r="Y512" s="117"/>
      <c r="Z512" s="117"/>
      <c r="AA512" s="117"/>
      <c r="AB512" s="117"/>
      <c r="AC512" s="240"/>
      <c r="AD512" s="240"/>
      <c r="AE512" s="240"/>
      <c r="AF512" s="241"/>
      <c r="AG512" s="117"/>
      <c r="AH512" s="124"/>
      <c r="AI512" s="117"/>
      <c r="AJ512" s="117"/>
      <c r="AK512" s="89"/>
      <c r="AL512" s="117"/>
      <c r="AM512" s="117"/>
      <c r="AN512" s="117"/>
      <c r="AO512" s="117"/>
      <c r="AP512" s="117"/>
      <c r="AQ512" s="117"/>
      <c r="AR512" s="117"/>
      <c r="AS512" s="117"/>
      <c r="AT512" s="127"/>
      <c r="AU512" s="117"/>
      <c r="AV512" s="128"/>
      <c r="AW512" s="117">
        <f>VLOOKUP($D512,'WB Data'!$C$3:$M$578,2,FALSE)</f>
        <v>25978508375.922771</v>
      </c>
      <c r="AX512" s="117">
        <f>VLOOKUP($D512,'WB Data'!$C$3:$M$578,3,FALSE)</f>
        <v>23691533</v>
      </c>
      <c r="AY512" s="847">
        <f t="shared" si="81"/>
        <v>4.3101902431438585E-3</v>
      </c>
      <c r="AZ512" s="117">
        <f>VLOOKUP($D512,'WB Data'!$C$3:$M$578,4,FALSE)/100</f>
        <v>0.15418098622920914</v>
      </c>
      <c r="BA512" s="117">
        <f t="shared" si="82"/>
        <v>4005392042.1635432</v>
      </c>
      <c r="BB512" s="129">
        <f>IFERROR(VLOOKUP($D512,'EITI Revenues'!$C$2:$G$224,5,FALSE),"..")</f>
        <v>111972313.33333333</v>
      </c>
      <c r="BC512" s="846">
        <f t="shared" si="83"/>
        <v>2.7955394167321165E-2</v>
      </c>
      <c r="BD512" s="129">
        <f>VLOOKUP($D512,'WB Data 2'!$C$2:$K$545,6,FALSE)</f>
        <v>487955243.03243834</v>
      </c>
      <c r="BE512" s="129">
        <f>IFERROR(VLOOKUP($D512,UNCTAD!$C$5:$V$529,4,FALSE),"..")</f>
        <v>7609410000</v>
      </c>
      <c r="BF512" s="846">
        <f t="shared" si="84"/>
        <v>6.4125240068867148E-2</v>
      </c>
      <c r="BG512" s="117">
        <f>VLOOKUP($D512,'WB Data'!$C$3:$M$578,5,FALSE)</f>
        <v>1581820000</v>
      </c>
      <c r="BH512" s="129">
        <f>IFERROR($BB512/$BG512,"..")</f>
        <v>7.0787013271632254E-2</v>
      </c>
      <c r="BI512" s="117">
        <f>IFERROR(VLOOKUP($D512,'WB Data'!$C$3:$M$578,7,FALSE)/100,"..")</f>
        <v>5.3172899999999995E-2</v>
      </c>
      <c r="BJ512" s="117">
        <f>IFERROR($BI512*$AW512,"..")</f>
        <v>1381352628.0221038</v>
      </c>
      <c r="BK512" s="846">
        <f>IFERROR($BB512/$BJ512,"..")</f>
        <v>8.1059905386839132E-2</v>
      </c>
      <c r="BL512" s="117">
        <f>IFERROR(VLOOKUP($D512,'WB Data'!$C$3:$M$578,7,FALSE)/100,"..")</f>
        <v>5.3172899999999995E-2</v>
      </c>
      <c r="BM512" s="117">
        <f>IFERROR($AW512*$BL512,"..")</f>
        <v>1381352628.0221038</v>
      </c>
      <c r="BN512" s="846">
        <f>IFERROR($BB512/$BM512,"..")</f>
        <v>8.1059905386839132E-2</v>
      </c>
      <c r="BO512" s="801">
        <f t="shared" si="80"/>
        <v>48</v>
      </c>
      <c r="BP512" s="117" t="str">
        <f>VLOOKUP($D512,'WB Data'!$C$3:$M$578,9,FALSE)</f>
        <v>..</v>
      </c>
      <c r="BQ512" s="117">
        <f>VLOOKUP($D512,'WB Data'!$C$3:$M$578,10,FALSE)</f>
        <v>60.351024390243907</v>
      </c>
      <c r="BR512" s="117">
        <f>VLOOKUP($D512,'WB Data'!$C$3:$M$578,11,FALSE)</f>
        <v>55.6</v>
      </c>
      <c r="BS512" s="129">
        <f>IFERROR(VLOOKUP($D512,'WB Data 2'!$C$2:$K$545,9,FALSE),"..")</f>
        <v>76.468360000000004</v>
      </c>
      <c r="BT512" s="129">
        <f>_xlfn.IFNA(VLOOKUP($C512,RGI!$A$2:$C$43,2,FALSE),"..")</f>
        <v>32.299999999999997</v>
      </c>
      <c r="BU512" s="129">
        <f>_xlfn.IFNA(VLOOKUP($C512,RGI!$A$2:$C$43,3,FALSE),"..")</f>
        <v>62.723264193960979</v>
      </c>
      <c r="BV512" s="129">
        <f>VLOOKUP($D512,WGI!$C$2:$O$478,7,FALSE)</f>
        <v>0.48685563342905602</v>
      </c>
      <c r="BW512" s="129">
        <f>VLOOKUP($D512,WGI!$C$2:$O$478,4,FALSE)</f>
        <v>3.5919231106770803E-2</v>
      </c>
      <c r="BX512" s="129">
        <f>VLOOKUP($D512,WGI!$C$2:$O$478,3,FALSE)</f>
        <v>-3.78100282636896E-2</v>
      </c>
      <c r="BY512" s="129">
        <f>VLOOKUP($D512,WGI!$C$2:$O$478,5,FALSE)</f>
        <v>9.0179455574476194E-2</v>
      </c>
      <c r="BZ512" s="129">
        <f>VLOOKUP($D512,WGI!$C$2:$O$478,2,FALSE)</f>
        <v>3.13423438627983E-2</v>
      </c>
      <c r="CB512" s="129"/>
    </row>
    <row r="513" spans="1:80" s="158" customFormat="1" ht="15" customHeight="1">
      <c r="A513" s="295" t="s">
        <v>208</v>
      </c>
      <c r="B513" s="149">
        <v>2009</v>
      </c>
      <c r="C513" s="117" t="s">
        <v>195</v>
      </c>
      <c r="D513" s="117" t="s">
        <v>3629</v>
      </c>
      <c r="E513" s="149" t="s">
        <v>86</v>
      </c>
      <c r="F513" s="149"/>
      <c r="G513" s="149" t="s">
        <v>24</v>
      </c>
      <c r="H513" s="117" t="str">
        <f t="shared" si="85"/>
        <v>yes</v>
      </c>
      <c r="I513" s="117" t="str">
        <f t="shared" si="86"/>
        <v>no</v>
      </c>
      <c r="J513" s="117" t="str">
        <f t="shared" si="87"/>
        <v>no</v>
      </c>
      <c r="K513" s="149" t="s">
        <v>789</v>
      </c>
      <c r="L513" s="117" t="str">
        <f t="shared" si="79"/>
        <v>detailed</v>
      </c>
      <c r="M513" s="117" t="str">
        <f t="shared" si="88"/>
        <v>detailed Mining</v>
      </c>
      <c r="N513" s="150">
        <f>3928*32.150743126506</f>
        <v>126288.11900091557</v>
      </c>
      <c r="O513" s="150"/>
      <c r="P513" s="150"/>
      <c r="Q513" s="150"/>
      <c r="R513" s="150"/>
      <c r="S513" s="149" t="s">
        <v>785</v>
      </c>
      <c r="T513" s="151">
        <f>14.64353333333/1</f>
        <v>14.64353333333</v>
      </c>
      <c r="U513" s="149" t="s">
        <v>786</v>
      </c>
      <c r="V513" s="149" t="s">
        <v>1167</v>
      </c>
      <c r="W513" s="152">
        <f>N513*T513</f>
        <v>1849304.2801934527</v>
      </c>
      <c r="X513" s="149"/>
      <c r="Y513" s="149"/>
      <c r="Z513" s="149"/>
      <c r="AA513" s="149"/>
      <c r="AB513" s="149"/>
      <c r="AC513" s="288"/>
      <c r="AD513" s="288"/>
      <c r="AE513" s="288"/>
      <c r="AF513" s="285"/>
      <c r="AG513" s="149"/>
      <c r="AH513" s="156"/>
      <c r="AI513" s="149"/>
      <c r="AJ513" s="149"/>
      <c r="AK513" s="152"/>
      <c r="AL513" s="149"/>
      <c r="AM513" s="149"/>
      <c r="AN513" s="149"/>
      <c r="AO513" s="149"/>
      <c r="AP513" s="149"/>
      <c r="AQ513" s="149"/>
      <c r="AR513" s="149"/>
      <c r="AS513" s="149"/>
      <c r="AT513" s="221"/>
      <c r="AU513" s="149"/>
      <c r="AV513" s="157"/>
      <c r="AW513" s="117">
        <f>VLOOKUP($D513,'WB Data'!$C$3:$M$578,2,FALSE)</f>
        <v>25978508375.922771</v>
      </c>
      <c r="AX513" s="117">
        <f>VLOOKUP($D513,'WB Data'!$C$3:$M$578,3,FALSE)</f>
        <v>23691533</v>
      </c>
      <c r="AY513" s="847">
        <f t="shared" si="81"/>
        <v>4.3101902431438585E-3</v>
      </c>
      <c r="AZ513" s="117">
        <f>VLOOKUP($D513,'WB Data'!$C$3:$M$578,4,FALSE)/100</f>
        <v>0.15418098622920914</v>
      </c>
      <c r="BA513" s="117">
        <f t="shared" si="82"/>
        <v>4005392042.1635432</v>
      </c>
      <c r="BB513" s="129">
        <f>IFERROR(VLOOKUP($D513,'EITI Revenues'!$C$2:$G$224,5,FALSE),"..")</f>
        <v>111972313.33333333</v>
      </c>
      <c r="BC513" s="846">
        <f t="shared" si="83"/>
        <v>2.7955394167321165E-2</v>
      </c>
      <c r="BD513" s="129">
        <f>VLOOKUP($D513,'WB Data 2'!$C$2:$K$545,6,FALSE)</f>
        <v>487955243.03243834</v>
      </c>
      <c r="BE513" s="129">
        <f>IFERROR(VLOOKUP($D513,UNCTAD!$C$5:$V$529,4,FALSE),"..")</f>
        <v>7609410000</v>
      </c>
      <c r="BF513" s="846">
        <f t="shared" si="84"/>
        <v>6.4125240068867148E-2</v>
      </c>
      <c r="BG513" s="117">
        <f>VLOOKUP($D513,'WB Data'!$C$3:$M$578,5,FALSE)</f>
        <v>1581820000</v>
      </c>
      <c r="BH513" s="129">
        <f>IFERROR($BB513/$BG513,"..")</f>
        <v>7.0787013271632254E-2</v>
      </c>
      <c r="BI513" s="117">
        <f>IFERROR(VLOOKUP($D513,'WB Data'!$C$3:$M$578,7,FALSE)/100,"..")</f>
        <v>5.3172899999999995E-2</v>
      </c>
      <c r="BJ513" s="117">
        <f>IFERROR($BI513*$AW513,"..")</f>
        <v>1381352628.0221038</v>
      </c>
      <c r="BK513" s="846">
        <f>IFERROR($BB513/$BJ513,"..")</f>
        <v>8.1059905386839132E-2</v>
      </c>
      <c r="BL513" s="117">
        <f>IFERROR(VLOOKUP($D513,'WB Data'!$C$3:$M$578,7,FALSE)/100,"..")</f>
        <v>5.3172899999999995E-2</v>
      </c>
      <c r="BM513" s="117">
        <f>IFERROR($AW513*$BL513,"..")</f>
        <v>1381352628.0221038</v>
      </c>
      <c r="BN513" s="846">
        <f>IFERROR($BB513/$BM513,"..")</f>
        <v>8.1059905386839132E-2</v>
      </c>
      <c r="BO513" s="801">
        <f t="shared" si="80"/>
        <v>48</v>
      </c>
      <c r="BP513" s="117" t="str">
        <f>VLOOKUP($D513,'WB Data'!$C$3:$M$578,9,FALSE)</f>
        <v>..</v>
      </c>
      <c r="BQ513" s="117">
        <f>VLOOKUP($D513,'WB Data'!$C$3:$M$578,10,FALSE)</f>
        <v>60.351024390243907</v>
      </c>
      <c r="BR513" s="117">
        <f>VLOOKUP($D513,'WB Data'!$C$3:$M$578,11,FALSE)</f>
        <v>55.6</v>
      </c>
      <c r="BS513" s="129">
        <f>IFERROR(VLOOKUP($D513,'WB Data 2'!$C$2:$K$545,9,FALSE),"..")</f>
        <v>76.468360000000004</v>
      </c>
      <c r="BT513" s="129">
        <f>_xlfn.IFNA(VLOOKUP($C513,RGI!$A$2:$C$43,2,FALSE),"..")</f>
        <v>32.299999999999997</v>
      </c>
      <c r="BU513" s="129">
        <f>_xlfn.IFNA(VLOOKUP($C513,RGI!$A$2:$C$43,3,FALSE),"..")</f>
        <v>62.723264193960979</v>
      </c>
      <c r="BV513" s="129">
        <f>VLOOKUP($D513,WGI!$C$2:$O$478,7,FALSE)</f>
        <v>0.48685563342905602</v>
      </c>
      <c r="BW513" s="129">
        <f>VLOOKUP($D513,WGI!$C$2:$O$478,4,FALSE)</f>
        <v>3.5919231106770803E-2</v>
      </c>
      <c r="BX513" s="129">
        <f>VLOOKUP($D513,WGI!$C$2:$O$478,3,FALSE)</f>
        <v>-3.78100282636896E-2</v>
      </c>
      <c r="BY513" s="129">
        <f>VLOOKUP($D513,WGI!$C$2:$O$478,5,FALSE)</f>
        <v>9.0179455574476194E-2</v>
      </c>
      <c r="BZ513" s="129">
        <f>VLOOKUP($D513,WGI!$C$2:$O$478,2,FALSE)</f>
        <v>3.13423438627983E-2</v>
      </c>
      <c r="CB513" s="129"/>
    </row>
    <row r="514" spans="1:80" ht="15" customHeight="1">
      <c r="A514" s="294" t="s">
        <v>211</v>
      </c>
      <c r="B514" s="117">
        <v>2010</v>
      </c>
      <c r="C514" s="117" t="s">
        <v>195</v>
      </c>
      <c r="D514" s="117" t="s">
        <v>3663</v>
      </c>
      <c r="E514" s="117" t="s">
        <v>86</v>
      </c>
      <c r="F514" s="117" t="s">
        <v>1130</v>
      </c>
      <c r="G514" s="117" t="s">
        <v>35</v>
      </c>
      <c r="H514" s="117" t="str">
        <f t="shared" si="85"/>
        <v>yes</v>
      </c>
      <c r="I514" s="117" t="str">
        <f t="shared" si="86"/>
        <v>yes</v>
      </c>
      <c r="J514" s="117" t="str">
        <f t="shared" si="87"/>
        <v>yes</v>
      </c>
      <c r="K514" s="117" t="s">
        <v>709</v>
      </c>
      <c r="L514" s="117" t="str">
        <f t="shared" si="79"/>
        <v>Total</v>
      </c>
      <c r="M514" s="117" t="str">
        <f t="shared" si="88"/>
        <v>Total Oil, Gas, Mining</v>
      </c>
      <c r="N514" s="118"/>
      <c r="O514" s="118"/>
      <c r="P514" s="118"/>
      <c r="Q514" s="118"/>
      <c r="R514" s="118"/>
      <c r="S514" s="117"/>
      <c r="T514" s="119"/>
      <c r="U514" s="117"/>
      <c r="V514" s="117"/>
      <c r="W514" s="89">
        <f>W515+W518</f>
        <v>3547091405.7024431</v>
      </c>
      <c r="X514" s="125" t="s">
        <v>1179</v>
      </c>
      <c r="Y514" s="117" t="s">
        <v>602</v>
      </c>
      <c r="Z514" s="117" t="s">
        <v>603</v>
      </c>
      <c r="AA514" s="159">
        <v>212460480</v>
      </c>
      <c r="AB514" s="177">
        <v>192644934</v>
      </c>
      <c r="AC514" s="122"/>
      <c r="AD514" s="122"/>
      <c r="AE514" s="122"/>
      <c r="AF514" s="224">
        <f>AA514/W514</f>
        <v>5.9897097565188261E-2</v>
      </c>
      <c r="AG514" s="117" t="s">
        <v>1180</v>
      </c>
      <c r="AH514" s="124">
        <v>1.41</v>
      </c>
      <c r="AI514" s="117" t="s">
        <v>1151</v>
      </c>
      <c r="AJ514" s="117"/>
      <c r="AK514" s="89"/>
      <c r="AL514" s="117"/>
      <c r="AM514" s="117"/>
      <c r="AN514" s="117">
        <v>18</v>
      </c>
      <c r="AO514" s="117" t="s">
        <v>1181</v>
      </c>
      <c r="AP514" s="117">
        <v>18</v>
      </c>
      <c r="AQ514" s="390" t="s">
        <v>212</v>
      </c>
      <c r="AR514" s="126">
        <v>41892</v>
      </c>
      <c r="AS514" s="117" t="s">
        <v>1135</v>
      </c>
      <c r="AT514" s="127" t="s">
        <v>213</v>
      </c>
      <c r="AU514" s="117" t="s">
        <v>1182</v>
      </c>
      <c r="AV514" s="128" t="s">
        <v>1183</v>
      </c>
      <c r="AW514" s="117">
        <f>VLOOKUP($D514,'WB Data'!$C$3:$M$578,2,FALSE)</f>
        <v>32174839712.793278</v>
      </c>
      <c r="AX514" s="117">
        <f>VLOOKUP($D514,'WB Data'!$C$3:$M$578,3,FALSE)</f>
        <v>24262901</v>
      </c>
      <c r="AY514" s="847">
        <f t="shared" si="81"/>
        <v>6.6033112176009379E-3</v>
      </c>
      <c r="AZ514" s="117">
        <f>VLOOKUP($D514,'WB Data'!$C$3:$M$578,4,FALSE)/100</f>
        <v>0.16691211237321635</v>
      </c>
      <c r="BA514" s="117">
        <f t="shared" si="82"/>
        <v>5370370461.7319756</v>
      </c>
      <c r="BB514" s="129">
        <f>IFERROR(VLOOKUP($D514,'EITI Revenues'!$C$2:$G$224,5,FALSE),"..")</f>
        <v>212460480</v>
      </c>
      <c r="BC514" s="846">
        <f t="shared" si="83"/>
        <v>3.9561605947661248E-2</v>
      </c>
      <c r="BD514" s="129">
        <f>VLOOKUP($D514,'WB Data 2'!$C$2:$K$545,6,FALSE)</f>
        <v>921218389.05993152</v>
      </c>
      <c r="BE514" s="129">
        <f>IFERROR(VLOOKUP($D514,UNCTAD!$C$5:$V$529,4,FALSE),"..")</f>
        <v>9437380000</v>
      </c>
      <c r="BF514" s="846">
        <f t="shared" si="84"/>
        <v>9.7613785718062798E-2</v>
      </c>
      <c r="BG514" s="117">
        <f>VLOOKUP($D514,'WB Data'!$C$3:$M$578,5,FALSE)</f>
        <v>1692540000</v>
      </c>
      <c r="BH514" s="129">
        <f>IFERROR($BB514/$BG514,"..")</f>
        <v>0.12552759757524196</v>
      </c>
      <c r="BI514" s="117">
        <f>IFERROR(VLOOKUP($D514,'WB Data'!$C$3:$M$578,7,FALSE)/100,"..")</f>
        <v>5.5406000000000004E-2</v>
      </c>
      <c r="BJ514" s="117">
        <f>IFERROR($BI514*$AW514,"..")</f>
        <v>1782679169.1270244</v>
      </c>
      <c r="BK514" s="846">
        <f>IFERROR($BB514/$BJ514,"..")</f>
        <v>0.11918043564958557</v>
      </c>
      <c r="BL514" s="117">
        <f>IFERROR(VLOOKUP($D514,'WB Data'!$C$3:$M$578,7,FALSE)/100,"..")</f>
        <v>5.5406000000000004E-2</v>
      </c>
      <c r="BM514" s="117">
        <f>IFERROR($AW514*$BL514,"..")</f>
        <v>1782679169.1270244</v>
      </c>
      <c r="BN514" s="846">
        <f>IFERROR($BB514/$BM514,"..")</f>
        <v>0.11918043564958557</v>
      </c>
      <c r="BO514" s="801">
        <f t="shared" ref="BO514:BO577" si="89">_xlfn.IFNA(VLOOKUP($C514,CPI_2013,2,FALSE),"..")</f>
        <v>48</v>
      </c>
      <c r="BP514" s="117" t="str">
        <f>VLOOKUP($D514,'WB Data'!$C$3:$M$578,9,FALSE)</f>
        <v>..</v>
      </c>
      <c r="BQ514" s="117">
        <f>VLOOKUP($D514,'WB Data'!$C$3:$M$578,10,FALSE)</f>
        <v>60.599560975609762</v>
      </c>
      <c r="BR514" s="117">
        <f>VLOOKUP($D514,'WB Data'!$C$3:$M$578,11,FALSE)</f>
        <v>55</v>
      </c>
      <c r="BS514" s="129" t="str">
        <f>IFERROR(VLOOKUP($D514,'WB Data 2'!$C$2:$K$545,9,FALSE),"..")</f>
        <v>..</v>
      </c>
      <c r="BT514" s="129">
        <f>_xlfn.IFNA(VLOOKUP($C514,RGI!$A$2:$C$43,2,FALSE),"..")</f>
        <v>32.299999999999997</v>
      </c>
      <c r="BU514" s="129">
        <f>_xlfn.IFNA(VLOOKUP($C514,RGI!$A$2:$C$43,3,FALSE),"..")</f>
        <v>62.723264193960979</v>
      </c>
      <c r="BV514" s="129">
        <f>VLOOKUP($D514,WGI!$C$2:$O$478,7,FALSE)</f>
        <v>0.49273590158772701</v>
      </c>
      <c r="BW514" s="129">
        <f>VLOOKUP($D514,WGI!$C$2:$O$478,4,FALSE)</f>
        <v>2.3701678540307001E-2</v>
      </c>
      <c r="BX514" s="129">
        <f>VLOOKUP($D514,WGI!$C$2:$O$478,3,FALSE)</f>
        <v>-3.9284599288337801E-2</v>
      </c>
      <c r="BY514" s="129">
        <f>VLOOKUP($D514,WGI!$C$2:$O$478,5,FALSE)</f>
        <v>0.12388794437980399</v>
      </c>
      <c r="BZ514" s="129">
        <f>VLOOKUP($D514,WGI!$C$2:$O$478,2,FALSE)</f>
        <v>5.9723912887098503E-2</v>
      </c>
    </row>
    <row r="515" spans="1:80" ht="15" customHeight="1">
      <c r="A515" s="294" t="s">
        <v>211</v>
      </c>
      <c r="B515" s="117">
        <v>2010</v>
      </c>
      <c r="C515" s="117" t="s">
        <v>195</v>
      </c>
      <c r="D515" s="117" t="s">
        <v>3663</v>
      </c>
      <c r="E515" s="117" t="s">
        <v>86</v>
      </c>
      <c r="F515" s="117"/>
      <c r="G515" s="117" t="s">
        <v>55</v>
      </c>
      <c r="H515" s="117" t="str">
        <f t="shared" si="85"/>
        <v>no</v>
      </c>
      <c r="I515" s="117" t="str">
        <f t="shared" si="86"/>
        <v>yes</v>
      </c>
      <c r="J515" s="117" t="str">
        <f t="shared" si="87"/>
        <v>yes</v>
      </c>
      <c r="K515" s="117" t="s">
        <v>640</v>
      </c>
      <c r="L515" s="117" t="str">
        <f t="shared" si="79"/>
        <v>Total</v>
      </c>
      <c r="M515" s="117" t="str">
        <f t="shared" si="88"/>
        <v>Total Oil, Gas</v>
      </c>
      <c r="N515" s="118"/>
      <c r="O515" s="118"/>
      <c r="P515" s="118"/>
      <c r="Q515" s="118"/>
      <c r="R515" s="118"/>
      <c r="S515" s="120"/>
      <c r="T515" s="119"/>
      <c r="U515" s="120"/>
      <c r="V515" s="120"/>
      <c r="W515" s="89">
        <f>SUM(W516:W517)</f>
        <v>253323844.86088243</v>
      </c>
      <c r="X515" s="117"/>
      <c r="Y515" s="117"/>
      <c r="Z515" s="117"/>
      <c r="AA515" s="177">
        <v>422252</v>
      </c>
      <c r="AB515" s="177">
        <v>428281</v>
      </c>
      <c r="AC515" s="122"/>
      <c r="AD515" s="122"/>
      <c r="AE515" s="122"/>
      <c r="AF515" s="123">
        <f>AA515/W515</f>
        <v>1.6668466414280411E-3</v>
      </c>
      <c r="AG515" s="117"/>
      <c r="AH515" s="124"/>
      <c r="AI515" s="117"/>
      <c r="AJ515" s="117"/>
      <c r="AK515" s="89"/>
      <c r="AL515" s="117"/>
      <c r="AM515" s="117"/>
      <c r="AN515" s="117">
        <v>7</v>
      </c>
      <c r="AO515" s="117" t="s">
        <v>1184</v>
      </c>
      <c r="AP515" s="117">
        <v>7</v>
      </c>
      <c r="AQ515" s="390"/>
      <c r="AR515" s="126"/>
      <c r="AS515" s="117"/>
      <c r="AT515" s="127"/>
      <c r="AU515" s="117" t="s">
        <v>1185</v>
      </c>
      <c r="AV515" s="281"/>
      <c r="AW515" s="117">
        <f>VLOOKUP($D515,'WB Data'!$C$3:$M$578,2,FALSE)</f>
        <v>32174839712.793278</v>
      </c>
      <c r="AX515" s="117">
        <f>VLOOKUP($D515,'WB Data'!$C$3:$M$578,3,FALSE)</f>
        <v>24262901</v>
      </c>
      <c r="AY515" s="847">
        <f t="shared" ref="AY515:AY578" si="90">IFERROR($BB515/$AW515,"..")</f>
        <v>6.6033112176009379E-3</v>
      </c>
      <c r="AZ515" s="117">
        <f>VLOOKUP($D515,'WB Data'!$C$3:$M$578,4,FALSE)/100</f>
        <v>0.16691211237321635</v>
      </c>
      <c r="BA515" s="117">
        <f t="shared" ref="BA515:BA578" si="91">IFERROR($AW515*$AZ515,"..")</f>
        <v>5370370461.7319756</v>
      </c>
      <c r="BB515" s="129">
        <f>IFERROR(VLOOKUP($D515,'EITI Revenues'!$C$2:$G$224,5,FALSE),"..")</f>
        <v>212460480</v>
      </c>
      <c r="BC515" s="846">
        <f t="shared" ref="BC515:BC578" si="92">IFERROR($BB515/$BA515,"..")</f>
        <v>3.9561605947661248E-2</v>
      </c>
      <c r="BD515" s="129">
        <f>VLOOKUP($D515,'WB Data 2'!$C$2:$K$545,6,FALSE)</f>
        <v>921218389.05993152</v>
      </c>
      <c r="BE515" s="129">
        <f>IFERROR(VLOOKUP($D515,UNCTAD!$C$5:$V$529,4,FALSE),"..")</f>
        <v>9437380000</v>
      </c>
      <c r="BF515" s="846">
        <f t="shared" ref="BF515:BF578" si="93">IFERROR(($BD515/$BE515),"..")</f>
        <v>9.7613785718062798E-2</v>
      </c>
      <c r="BG515" s="117">
        <f>VLOOKUP($D515,'WB Data'!$C$3:$M$578,5,FALSE)</f>
        <v>1692540000</v>
      </c>
      <c r="BH515" s="129">
        <f>IFERROR($BB515/$BG515,"..")</f>
        <v>0.12552759757524196</v>
      </c>
      <c r="BI515" s="117">
        <f>IFERROR(VLOOKUP($D515,'WB Data'!$C$3:$M$578,7,FALSE)/100,"..")</f>
        <v>5.5406000000000004E-2</v>
      </c>
      <c r="BJ515" s="117">
        <f>IFERROR($BI515*$AW515,"..")</f>
        <v>1782679169.1270244</v>
      </c>
      <c r="BK515" s="846">
        <f>IFERROR($BB515/$BJ515,"..")</f>
        <v>0.11918043564958557</v>
      </c>
      <c r="BL515" s="117">
        <f>IFERROR(VLOOKUP($D515,'WB Data'!$C$3:$M$578,7,FALSE)/100,"..")</f>
        <v>5.5406000000000004E-2</v>
      </c>
      <c r="BM515" s="117">
        <f>IFERROR($AW515*$BL515,"..")</f>
        <v>1782679169.1270244</v>
      </c>
      <c r="BN515" s="846">
        <f>IFERROR($BB515/$BM515,"..")</f>
        <v>0.11918043564958557</v>
      </c>
      <c r="BO515" s="801">
        <f t="shared" si="89"/>
        <v>48</v>
      </c>
      <c r="BP515" s="117" t="str">
        <f>VLOOKUP($D515,'WB Data'!$C$3:$M$578,9,FALSE)</f>
        <v>..</v>
      </c>
      <c r="BQ515" s="117">
        <f>VLOOKUP($D515,'WB Data'!$C$3:$M$578,10,FALSE)</f>
        <v>60.599560975609762</v>
      </c>
      <c r="BR515" s="117">
        <f>VLOOKUP($D515,'WB Data'!$C$3:$M$578,11,FALSE)</f>
        <v>55</v>
      </c>
      <c r="BS515" s="129" t="str">
        <f>IFERROR(VLOOKUP($D515,'WB Data 2'!$C$2:$K$545,9,FALSE),"..")</f>
        <v>..</v>
      </c>
      <c r="BT515" s="129">
        <f>_xlfn.IFNA(VLOOKUP($C515,RGI!$A$2:$C$43,2,FALSE),"..")</f>
        <v>32.299999999999997</v>
      </c>
      <c r="BU515" s="129">
        <f>_xlfn.IFNA(VLOOKUP($C515,RGI!$A$2:$C$43,3,FALSE),"..")</f>
        <v>62.723264193960979</v>
      </c>
      <c r="BV515" s="129">
        <f>VLOOKUP($D515,WGI!$C$2:$O$478,7,FALSE)</f>
        <v>0.49273590158772701</v>
      </c>
      <c r="BW515" s="129">
        <f>VLOOKUP($D515,WGI!$C$2:$O$478,4,FALSE)</f>
        <v>2.3701678540307001E-2</v>
      </c>
      <c r="BX515" s="129">
        <f>VLOOKUP($D515,WGI!$C$2:$O$478,3,FALSE)</f>
        <v>-3.9284599288337801E-2</v>
      </c>
      <c r="BY515" s="129">
        <f>VLOOKUP($D515,WGI!$C$2:$O$478,5,FALSE)</f>
        <v>0.12388794437980399</v>
      </c>
      <c r="BZ515" s="129">
        <f>VLOOKUP($D515,WGI!$C$2:$O$478,2,FALSE)</f>
        <v>5.9723912887098503E-2</v>
      </c>
    </row>
    <row r="516" spans="1:80" ht="15" customHeight="1">
      <c r="A516" s="294" t="s">
        <v>211</v>
      </c>
      <c r="B516" s="117">
        <v>2010</v>
      </c>
      <c r="C516" s="117" t="s">
        <v>195</v>
      </c>
      <c r="D516" s="117" t="s">
        <v>3663</v>
      </c>
      <c r="E516" s="117" t="s">
        <v>86</v>
      </c>
      <c r="F516" s="117"/>
      <c r="G516" s="117" t="s">
        <v>561</v>
      </c>
      <c r="H516" s="117" t="str">
        <f t="shared" si="85"/>
        <v>no</v>
      </c>
      <c r="I516" s="117" t="str">
        <f t="shared" si="86"/>
        <v>yes</v>
      </c>
      <c r="J516" s="117" t="str">
        <f t="shared" si="87"/>
        <v>no</v>
      </c>
      <c r="K516" s="117" t="s">
        <v>561</v>
      </c>
      <c r="L516" s="117" t="str">
        <f t="shared" si="79"/>
        <v>detailed</v>
      </c>
      <c r="M516" s="117" t="str">
        <f t="shared" si="88"/>
        <v>detailed Gas</v>
      </c>
      <c r="N516" s="118">
        <f>9000000000*0.0283168</f>
        <v>254851200</v>
      </c>
      <c r="O516" s="118"/>
      <c r="P516" s="118"/>
      <c r="Q516" s="118"/>
      <c r="R516" s="118"/>
      <c r="S516" s="117" t="s">
        <v>642</v>
      </c>
      <c r="T516" s="119">
        <v>0.1741077336927683</v>
      </c>
      <c r="U516" s="117" t="s">
        <v>643</v>
      </c>
      <c r="V516" s="117" t="s">
        <v>880</v>
      </c>
      <c r="W516" s="89">
        <f>N516*T516</f>
        <v>44371564.860882431</v>
      </c>
      <c r="X516" s="117"/>
      <c r="Y516" s="117"/>
      <c r="Z516" s="117"/>
      <c r="AA516" s="177"/>
      <c r="AB516" s="177"/>
      <c r="AC516" s="122"/>
      <c r="AD516" s="122"/>
      <c r="AE516" s="122"/>
      <c r="AF516" s="123"/>
      <c r="AG516" s="117"/>
      <c r="AH516" s="124"/>
      <c r="AI516" s="117"/>
      <c r="AJ516" s="117"/>
      <c r="AK516" s="89"/>
      <c r="AL516" s="117"/>
      <c r="AM516" s="117"/>
      <c r="AN516" s="117"/>
      <c r="AO516" s="117"/>
      <c r="AP516" s="117"/>
      <c r="AQ516" s="390"/>
      <c r="AR516" s="126"/>
      <c r="AS516" s="117"/>
      <c r="AT516" s="127"/>
      <c r="AU516" s="117"/>
      <c r="AV516" s="128"/>
      <c r="AW516" s="117">
        <f>VLOOKUP($D516,'WB Data'!$C$3:$M$578,2,FALSE)</f>
        <v>32174839712.793278</v>
      </c>
      <c r="AX516" s="117">
        <f>VLOOKUP($D516,'WB Data'!$C$3:$M$578,3,FALSE)</f>
        <v>24262901</v>
      </c>
      <c r="AY516" s="847">
        <f t="shared" si="90"/>
        <v>6.6033112176009379E-3</v>
      </c>
      <c r="AZ516" s="117">
        <f>VLOOKUP($D516,'WB Data'!$C$3:$M$578,4,FALSE)/100</f>
        <v>0.16691211237321635</v>
      </c>
      <c r="BA516" s="117">
        <f t="shared" si="91"/>
        <v>5370370461.7319756</v>
      </c>
      <c r="BB516" s="129">
        <f>IFERROR(VLOOKUP($D516,'EITI Revenues'!$C$2:$G$224,5,FALSE),"..")</f>
        <v>212460480</v>
      </c>
      <c r="BC516" s="846">
        <f t="shared" si="92"/>
        <v>3.9561605947661248E-2</v>
      </c>
      <c r="BD516" s="129">
        <f>VLOOKUP($D516,'WB Data 2'!$C$2:$K$545,6,FALSE)</f>
        <v>921218389.05993152</v>
      </c>
      <c r="BE516" s="129">
        <f>IFERROR(VLOOKUP($D516,UNCTAD!$C$5:$V$529,4,FALSE),"..")</f>
        <v>9437380000</v>
      </c>
      <c r="BF516" s="846">
        <f t="shared" si="93"/>
        <v>9.7613785718062798E-2</v>
      </c>
      <c r="BG516" s="117">
        <f>VLOOKUP($D516,'WB Data'!$C$3:$M$578,5,FALSE)</f>
        <v>1692540000</v>
      </c>
      <c r="BH516" s="129">
        <f>IFERROR($BB516/$BG516,"..")</f>
        <v>0.12552759757524196</v>
      </c>
      <c r="BI516" s="117">
        <f>IFERROR(VLOOKUP($D516,'WB Data'!$C$3:$M$578,7,FALSE)/100,"..")</f>
        <v>5.5406000000000004E-2</v>
      </c>
      <c r="BJ516" s="117">
        <f>IFERROR($BI516*$AW516,"..")</f>
        <v>1782679169.1270244</v>
      </c>
      <c r="BK516" s="846">
        <f>IFERROR($BB516/$BJ516,"..")</f>
        <v>0.11918043564958557</v>
      </c>
      <c r="BL516" s="117">
        <f>IFERROR(VLOOKUP($D516,'WB Data'!$C$3:$M$578,7,FALSE)/100,"..")</f>
        <v>5.5406000000000004E-2</v>
      </c>
      <c r="BM516" s="117">
        <f>IFERROR($AW516*$BL516,"..")</f>
        <v>1782679169.1270244</v>
      </c>
      <c r="BN516" s="846">
        <f>IFERROR($BB516/$BM516,"..")</f>
        <v>0.11918043564958557</v>
      </c>
      <c r="BO516" s="801">
        <f t="shared" si="89"/>
        <v>48</v>
      </c>
      <c r="BP516" s="117" t="str">
        <f>VLOOKUP($D516,'WB Data'!$C$3:$M$578,9,FALSE)</f>
        <v>..</v>
      </c>
      <c r="BQ516" s="117">
        <f>VLOOKUP($D516,'WB Data'!$C$3:$M$578,10,FALSE)</f>
        <v>60.599560975609762</v>
      </c>
      <c r="BR516" s="117">
        <f>VLOOKUP($D516,'WB Data'!$C$3:$M$578,11,FALSE)</f>
        <v>55</v>
      </c>
      <c r="BS516" s="129" t="str">
        <f>IFERROR(VLOOKUP($D516,'WB Data 2'!$C$2:$K$545,9,FALSE),"..")</f>
        <v>..</v>
      </c>
      <c r="BT516" s="129">
        <f>_xlfn.IFNA(VLOOKUP($C516,RGI!$A$2:$C$43,2,FALSE),"..")</f>
        <v>32.299999999999997</v>
      </c>
      <c r="BU516" s="129">
        <f>_xlfn.IFNA(VLOOKUP($C516,RGI!$A$2:$C$43,3,FALSE),"..")</f>
        <v>62.723264193960979</v>
      </c>
      <c r="BV516" s="129">
        <f>VLOOKUP($D516,WGI!$C$2:$O$478,7,FALSE)</f>
        <v>0.49273590158772701</v>
      </c>
      <c r="BW516" s="129">
        <f>VLOOKUP($D516,WGI!$C$2:$O$478,4,FALSE)</f>
        <v>2.3701678540307001E-2</v>
      </c>
      <c r="BX516" s="129">
        <f>VLOOKUP($D516,WGI!$C$2:$O$478,3,FALSE)</f>
        <v>-3.9284599288337801E-2</v>
      </c>
      <c r="BY516" s="129">
        <f>VLOOKUP($D516,WGI!$C$2:$O$478,5,FALSE)</f>
        <v>0.12388794437980399</v>
      </c>
      <c r="BZ516" s="129">
        <f>VLOOKUP($D516,WGI!$C$2:$O$478,2,FALSE)</f>
        <v>5.9723912887098503E-2</v>
      </c>
    </row>
    <row r="517" spans="1:80" ht="15" customHeight="1">
      <c r="A517" s="294" t="s">
        <v>211</v>
      </c>
      <c r="B517" s="117">
        <v>2010</v>
      </c>
      <c r="C517" s="117" t="s">
        <v>195</v>
      </c>
      <c r="D517" s="117" t="s">
        <v>3663</v>
      </c>
      <c r="E517" s="117" t="s">
        <v>86</v>
      </c>
      <c r="F517" s="117"/>
      <c r="G517" s="117" t="s">
        <v>103</v>
      </c>
      <c r="H517" s="117" t="str">
        <f t="shared" si="85"/>
        <v>no</v>
      </c>
      <c r="I517" s="117" t="str">
        <f t="shared" si="86"/>
        <v>no</v>
      </c>
      <c r="J517" s="117" t="str">
        <f t="shared" si="87"/>
        <v>yes</v>
      </c>
      <c r="K517" s="117" t="s">
        <v>103</v>
      </c>
      <c r="L517" s="117" t="str">
        <f t="shared" si="79"/>
        <v>detailed</v>
      </c>
      <c r="M517" s="117" t="str">
        <f t="shared" si="88"/>
        <v>detailed Oil</v>
      </c>
      <c r="N517" s="118">
        <v>2628000</v>
      </c>
      <c r="O517" s="118"/>
      <c r="P517" s="118"/>
      <c r="Q517" s="118"/>
      <c r="R517" s="118"/>
      <c r="S517" s="117" t="s">
        <v>646</v>
      </c>
      <c r="T517" s="119">
        <v>79.510000000000005</v>
      </c>
      <c r="U517" s="117" t="s">
        <v>673</v>
      </c>
      <c r="V517" s="117" t="s">
        <v>1030</v>
      </c>
      <c r="W517" s="89">
        <f>N517*T517</f>
        <v>208952280</v>
      </c>
      <c r="X517" s="117"/>
      <c r="Y517" s="117"/>
      <c r="Z517" s="117"/>
      <c r="AA517" s="177"/>
      <c r="AB517" s="177"/>
      <c r="AC517" s="122"/>
      <c r="AD517" s="122"/>
      <c r="AE517" s="122"/>
      <c r="AF517" s="123"/>
      <c r="AG517" s="117"/>
      <c r="AH517" s="124"/>
      <c r="AI517" s="117"/>
      <c r="AJ517" s="117"/>
      <c r="AK517" s="89"/>
      <c r="AL517" s="117"/>
      <c r="AM517" s="117"/>
      <c r="AN517" s="117"/>
      <c r="AO517" s="117"/>
      <c r="AP517" s="117"/>
      <c r="AQ517" s="390"/>
      <c r="AR517" s="126"/>
      <c r="AS517" s="117"/>
      <c r="AT517" s="127"/>
      <c r="AU517" s="117"/>
      <c r="AV517" s="128"/>
      <c r="AW517" s="117">
        <f>VLOOKUP($D517,'WB Data'!$C$3:$M$578,2,FALSE)</f>
        <v>32174839712.793278</v>
      </c>
      <c r="AX517" s="117">
        <f>VLOOKUP($D517,'WB Data'!$C$3:$M$578,3,FALSE)</f>
        <v>24262901</v>
      </c>
      <c r="AY517" s="847">
        <f t="shared" si="90"/>
        <v>6.6033112176009379E-3</v>
      </c>
      <c r="AZ517" s="117">
        <f>VLOOKUP($D517,'WB Data'!$C$3:$M$578,4,FALSE)/100</f>
        <v>0.16691211237321635</v>
      </c>
      <c r="BA517" s="117">
        <f t="shared" si="91"/>
        <v>5370370461.7319756</v>
      </c>
      <c r="BB517" s="129">
        <f>IFERROR(VLOOKUP($D517,'EITI Revenues'!$C$2:$G$224,5,FALSE),"..")</f>
        <v>212460480</v>
      </c>
      <c r="BC517" s="846">
        <f t="shared" si="92"/>
        <v>3.9561605947661248E-2</v>
      </c>
      <c r="BD517" s="129">
        <f>VLOOKUP($D517,'WB Data 2'!$C$2:$K$545,6,FALSE)</f>
        <v>921218389.05993152</v>
      </c>
      <c r="BE517" s="129">
        <f>IFERROR(VLOOKUP($D517,UNCTAD!$C$5:$V$529,4,FALSE),"..")</f>
        <v>9437380000</v>
      </c>
      <c r="BF517" s="846">
        <f t="shared" si="93"/>
        <v>9.7613785718062798E-2</v>
      </c>
      <c r="BG517" s="117">
        <f>VLOOKUP($D517,'WB Data'!$C$3:$M$578,5,FALSE)</f>
        <v>1692540000</v>
      </c>
      <c r="BH517" s="129">
        <f>IFERROR($BB517/$BG517,"..")</f>
        <v>0.12552759757524196</v>
      </c>
      <c r="BI517" s="117">
        <f>IFERROR(VLOOKUP($D517,'WB Data'!$C$3:$M$578,7,FALSE)/100,"..")</f>
        <v>5.5406000000000004E-2</v>
      </c>
      <c r="BJ517" s="117">
        <f>IFERROR($BI517*$AW517,"..")</f>
        <v>1782679169.1270244</v>
      </c>
      <c r="BK517" s="846">
        <f>IFERROR($BB517/$BJ517,"..")</f>
        <v>0.11918043564958557</v>
      </c>
      <c r="BL517" s="117">
        <f>IFERROR(VLOOKUP($D517,'WB Data'!$C$3:$M$578,7,FALSE)/100,"..")</f>
        <v>5.5406000000000004E-2</v>
      </c>
      <c r="BM517" s="117">
        <f>IFERROR($AW517*$BL517,"..")</f>
        <v>1782679169.1270244</v>
      </c>
      <c r="BN517" s="846">
        <f>IFERROR($BB517/$BM517,"..")</f>
        <v>0.11918043564958557</v>
      </c>
      <c r="BO517" s="801">
        <f t="shared" si="89"/>
        <v>48</v>
      </c>
      <c r="BP517" s="117" t="str">
        <f>VLOOKUP($D517,'WB Data'!$C$3:$M$578,9,FALSE)</f>
        <v>..</v>
      </c>
      <c r="BQ517" s="117">
        <f>VLOOKUP($D517,'WB Data'!$C$3:$M$578,10,FALSE)</f>
        <v>60.599560975609762</v>
      </c>
      <c r="BR517" s="117">
        <f>VLOOKUP($D517,'WB Data'!$C$3:$M$578,11,FALSE)</f>
        <v>55</v>
      </c>
      <c r="BS517" s="129" t="str">
        <f>IFERROR(VLOOKUP($D517,'WB Data 2'!$C$2:$K$545,9,FALSE),"..")</f>
        <v>..</v>
      </c>
      <c r="BT517" s="129">
        <f>_xlfn.IFNA(VLOOKUP($C517,RGI!$A$2:$C$43,2,FALSE),"..")</f>
        <v>32.299999999999997</v>
      </c>
      <c r="BU517" s="129">
        <f>_xlfn.IFNA(VLOOKUP($C517,RGI!$A$2:$C$43,3,FALSE),"..")</f>
        <v>62.723264193960979</v>
      </c>
      <c r="BV517" s="129">
        <f>VLOOKUP($D517,WGI!$C$2:$O$478,7,FALSE)</f>
        <v>0.49273590158772701</v>
      </c>
      <c r="BW517" s="129">
        <f>VLOOKUP($D517,WGI!$C$2:$O$478,4,FALSE)</f>
        <v>2.3701678540307001E-2</v>
      </c>
      <c r="BX517" s="129">
        <f>VLOOKUP($D517,WGI!$C$2:$O$478,3,FALSE)</f>
        <v>-3.9284599288337801E-2</v>
      </c>
      <c r="BY517" s="129">
        <f>VLOOKUP($D517,WGI!$C$2:$O$478,5,FALSE)</f>
        <v>0.12388794437980399</v>
      </c>
      <c r="BZ517" s="129">
        <f>VLOOKUP($D517,WGI!$C$2:$O$478,2,FALSE)</f>
        <v>5.9723912887098503E-2</v>
      </c>
    </row>
    <row r="518" spans="1:80" ht="15" customHeight="1">
      <c r="A518" s="294" t="s">
        <v>211</v>
      </c>
      <c r="B518" s="117">
        <v>2010</v>
      </c>
      <c r="C518" s="117" t="s">
        <v>195</v>
      </c>
      <c r="D518" s="117" t="s">
        <v>3663</v>
      </c>
      <c r="E518" s="117" t="s">
        <v>86</v>
      </c>
      <c r="F518" s="117"/>
      <c r="G518" s="117" t="s">
        <v>24</v>
      </c>
      <c r="H518" s="117" t="str">
        <f t="shared" si="85"/>
        <v>yes</v>
      </c>
      <c r="I518" s="117" t="str">
        <f t="shared" si="86"/>
        <v>no</v>
      </c>
      <c r="J518" s="117" t="str">
        <f t="shared" si="87"/>
        <v>no</v>
      </c>
      <c r="K518" s="117" t="s">
        <v>600</v>
      </c>
      <c r="L518" s="117" t="str">
        <f t="shared" ref="L518:L581" si="94">IF(LEFT(K518,5)="Total","Total","detailed")</f>
        <v>Total</v>
      </c>
      <c r="M518" s="117" t="str">
        <f t="shared" si="88"/>
        <v>Total Mining</v>
      </c>
      <c r="N518" s="118"/>
      <c r="O518" s="118"/>
      <c r="P518" s="118"/>
      <c r="Q518" s="118"/>
      <c r="R518" s="118"/>
      <c r="S518" s="117"/>
      <c r="T518" s="119"/>
      <c r="U518" s="117"/>
      <c r="V518" s="117"/>
      <c r="W518" s="89">
        <f>SUM(W519:W524)</f>
        <v>3293767560.8415608</v>
      </c>
      <c r="X518" s="117"/>
      <c r="Y518" s="117"/>
      <c r="Z518" s="117"/>
      <c r="AA518" s="177">
        <v>212038228</v>
      </c>
      <c r="AB518" s="177">
        <v>192216653</v>
      </c>
      <c r="AC518" s="122"/>
      <c r="AD518" s="122"/>
      <c r="AE518" s="122"/>
      <c r="AF518" s="123">
        <f>AA518/W518</f>
        <v>6.4375589376994169E-2</v>
      </c>
      <c r="AG518" s="117"/>
      <c r="AH518" s="124"/>
      <c r="AI518" s="117"/>
      <c r="AJ518" s="117"/>
      <c r="AK518" s="89"/>
      <c r="AL518" s="117"/>
      <c r="AM518" s="117"/>
      <c r="AN518" s="117">
        <v>11</v>
      </c>
      <c r="AO518" s="117" t="s">
        <v>1186</v>
      </c>
      <c r="AP518" s="117">
        <v>11</v>
      </c>
      <c r="AQ518" s="390"/>
      <c r="AR518" s="126"/>
      <c r="AS518" s="117"/>
      <c r="AT518" s="127"/>
      <c r="AU518" s="215" t="s">
        <v>1187</v>
      </c>
      <c r="AV518" s="128"/>
      <c r="AW518" s="117">
        <f>VLOOKUP($D518,'WB Data'!$C$3:$M$578,2,FALSE)</f>
        <v>32174839712.793278</v>
      </c>
      <c r="AX518" s="117">
        <f>VLOOKUP($D518,'WB Data'!$C$3:$M$578,3,FALSE)</f>
        <v>24262901</v>
      </c>
      <c r="AY518" s="847">
        <f t="shared" si="90"/>
        <v>6.6033112176009379E-3</v>
      </c>
      <c r="AZ518" s="117">
        <f>VLOOKUP($D518,'WB Data'!$C$3:$M$578,4,FALSE)/100</f>
        <v>0.16691211237321635</v>
      </c>
      <c r="BA518" s="117">
        <f t="shared" si="91"/>
        <v>5370370461.7319756</v>
      </c>
      <c r="BB518" s="129">
        <f>IFERROR(VLOOKUP($D518,'EITI Revenues'!$C$2:$G$224,5,FALSE),"..")</f>
        <v>212460480</v>
      </c>
      <c r="BC518" s="846">
        <f t="shared" si="92"/>
        <v>3.9561605947661248E-2</v>
      </c>
      <c r="BD518" s="129">
        <f>VLOOKUP($D518,'WB Data 2'!$C$2:$K$545,6,FALSE)</f>
        <v>921218389.05993152</v>
      </c>
      <c r="BE518" s="129">
        <f>IFERROR(VLOOKUP($D518,UNCTAD!$C$5:$V$529,4,FALSE),"..")</f>
        <v>9437380000</v>
      </c>
      <c r="BF518" s="846">
        <f t="shared" si="93"/>
        <v>9.7613785718062798E-2</v>
      </c>
      <c r="BG518" s="117">
        <f>VLOOKUP($D518,'WB Data'!$C$3:$M$578,5,FALSE)</f>
        <v>1692540000</v>
      </c>
      <c r="BH518" s="129">
        <f>IFERROR($BB518/$BG518,"..")</f>
        <v>0.12552759757524196</v>
      </c>
      <c r="BI518" s="117">
        <f>IFERROR(VLOOKUP($D518,'WB Data'!$C$3:$M$578,7,FALSE)/100,"..")</f>
        <v>5.5406000000000004E-2</v>
      </c>
      <c r="BJ518" s="117">
        <f>IFERROR($BI518*$AW518,"..")</f>
        <v>1782679169.1270244</v>
      </c>
      <c r="BK518" s="846">
        <f>IFERROR($BB518/$BJ518,"..")</f>
        <v>0.11918043564958557</v>
      </c>
      <c r="BL518" s="117">
        <f>IFERROR(VLOOKUP($D518,'WB Data'!$C$3:$M$578,7,FALSE)/100,"..")</f>
        <v>5.5406000000000004E-2</v>
      </c>
      <c r="BM518" s="117">
        <f>IFERROR($AW518*$BL518,"..")</f>
        <v>1782679169.1270244</v>
      </c>
      <c r="BN518" s="846">
        <f>IFERROR($BB518/$BM518,"..")</f>
        <v>0.11918043564958557</v>
      </c>
      <c r="BO518" s="801">
        <f t="shared" si="89"/>
        <v>48</v>
      </c>
      <c r="BP518" s="117" t="str">
        <f>VLOOKUP($D518,'WB Data'!$C$3:$M$578,9,FALSE)</f>
        <v>..</v>
      </c>
      <c r="BQ518" s="117">
        <f>VLOOKUP($D518,'WB Data'!$C$3:$M$578,10,FALSE)</f>
        <v>60.599560975609762</v>
      </c>
      <c r="BR518" s="117">
        <f>VLOOKUP($D518,'WB Data'!$C$3:$M$578,11,FALSE)</f>
        <v>55</v>
      </c>
      <c r="BS518" s="129" t="str">
        <f>IFERROR(VLOOKUP($D518,'WB Data 2'!$C$2:$K$545,9,FALSE),"..")</f>
        <v>..</v>
      </c>
      <c r="BT518" s="129">
        <f>_xlfn.IFNA(VLOOKUP($C518,RGI!$A$2:$C$43,2,FALSE),"..")</f>
        <v>32.299999999999997</v>
      </c>
      <c r="BU518" s="129">
        <f>_xlfn.IFNA(VLOOKUP($C518,RGI!$A$2:$C$43,3,FALSE),"..")</f>
        <v>62.723264193960979</v>
      </c>
      <c r="BV518" s="129">
        <f>VLOOKUP($D518,WGI!$C$2:$O$478,7,FALSE)</f>
        <v>0.49273590158772701</v>
      </c>
      <c r="BW518" s="129">
        <f>VLOOKUP($D518,WGI!$C$2:$O$478,4,FALSE)</f>
        <v>2.3701678540307001E-2</v>
      </c>
      <c r="BX518" s="129">
        <f>VLOOKUP($D518,WGI!$C$2:$O$478,3,FALSE)</f>
        <v>-3.9284599288337801E-2</v>
      </c>
      <c r="BY518" s="129">
        <f>VLOOKUP($D518,WGI!$C$2:$O$478,5,FALSE)</f>
        <v>0.12388794437980399</v>
      </c>
      <c r="BZ518" s="129">
        <f>VLOOKUP($D518,WGI!$C$2:$O$478,2,FALSE)</f>
        <v>5.9723912887098503E-2</v>
      </c>
    </row>
    <row r="519" spans="1:80" ht="15" customHeight="1">
      <c r="A519" s="294" t="s">
        <v>211</v>
      </c>
      <c r="B519" s="117">
        <v>2010</v>
      </c>
      <c r="C519" s="117" t="s">
        <v>195</v>
      </c>
      <c r="D519" s="117" t="s">
        <v>3663</v>
      </c>
      <c r="E519" s="117" t="s">
        <v>86</v>
      </c>
      <c r="F519" s="117"/>
      <c r="G519" s="117" t="s">
        <v>24</v>
      </c>
      <c r="H519" s="117" t="str">
        <f t="shared" si="85"/>
        <v>yes</v>
      </c>
      <c r="I519" s="117" t="str">
        <f t="shared" si="86"/>
        <v>no</v>
      </c>
      <c r="J519" s="117" t="str">
        <f t="shared" si="87"/>
        <v>no</v>
      </c>
      <c r="K519" s="117" t="s">
        <v>1138</v>
      </c>
      <c r="L519" s="117" t="str">
        <f t="shared" si="94"/>
        <v>detailed</v>
      </c>
      <c r="M519" s="117" t="str">
        <f t="shared" si="88"/>
        <v>detailed Mining</v>
      </c>
      <c r="N519" s="118">
        <v>595</v>
      </c>
      <c r="O519" s="118"/>
      <c r="P519" s="118"/>
      <c r="Q519" s="118"/>
      <c r="R519" s="118"/>
      <c r="S519" s="117" t="s">
        <v>610</v>
      </c>
      <c r="T519" s="119">
        <v>29.41</v>
      </c>
      <c r="U519" s="117" t="s">
        <v>611</v>
      </c>
      <c r="V519" s="117" t="s">
        <v>1175</v>
      </c>
      <c r="W519" s="89">
        <f>N519*T519</f>
        <v>17498.95</v>
      </c>
      <c r="X519" s="117"/>
      <c r="Y519" s="117"/>
      <c r="Z519" s="117"/>
      <c r="AA519" s="177">
        <v>733208</v>
      </c>
      <c r="AB519" s="177">
        <v>741418</v>
      </c>
      <c r="AC519" s="122"/>
      <c r="AD519" s="122"/>
      <c r="AE519" s="122"/>
      <c r="AF519" s="123">
        <f>AA519/W519</f>
        <v>41.900114006840411</v>
      </c>
      <c r="AG519" s="117"/>
      <c r="AH519" s="124"/>
      <c r="AI519" s="117"/>
      <c r="AJ519" s="117"/>
      <c r="AK519" s="89"/>
      <c r="AL519" s="117"/>
      <c r="AM519" s="117"/>
      <c r="AN519" s="117">
        <v>1</v>
      </c>
      <c r="AO519" s="117" t="s">
        <v>1140</v>
      </c>
      <c r="AP519" s="117">
        <v>1</v>
      </c>
      <c r="AQ519" s="117"/>
      <c r="AR519" s="117"/>
      <c r="AS519" s="117"/>
      <c r="AT519" s="127"/>
      <c r="AU519" s="215" t="s">
        <v>1187</v>
      </c>
      <c r="AV519" s="128"/>
      <c r="AW519" s="117">
        <f>VLOOKUP($D519,'WB Data'!$C$3:$M$578,2,FALSE)</f>
        <v>32174839712.793278</v>
      </c>
      <c r="AX519" s="117">
        <f>VLOOKUP($D519,'WB Data'!$C$3:$M$578,3,FALSE)</f>
        <v>24262901</v>
      </c>
      <c r="AY519" s="847">
        <f t="shared" si="90"/>
        <v>6.6033112176009379E-3</v>
      </c>
      <c r="AZ519" s="117">
        <f>VLOOKUP($D519,'WB Data'!$C$3:$M$578,4,FALSE)/100</f>
        <v>0.16691211237321635</v>
      </c>
      <c r="BA519" s="117">
        <f t="shared" si="91"/>
        <v>5370370461.7319756</v>
      </c>
      <c r="BB519" s="129">
        <f>IFERROR(VLOOKUP($D519,'EITI Revenues'!$C$2:$G$224,5,FALSE),"..")</f>
        <v>212460480</v>
      </c>
      <c r="BC519" s="846">
        <f t="shared" si="92"/>
        <v>3.9561605947661248E-2</v>
      </c>
      <c r="BD519" s="129">
        <f>VLOOKUP($D519,'WB Data 2'!$C$2:$K$545,6,FALSE)</f>
        <v>921218389.05993152</v>
      </c>
      <c r="BE519" s="129">
        <f>IFERROR(VLOOKUP($D519,UNCTAD!$C$5:$V$529,4,FALSE),"..")</f>
        <v>9437380000</v>
      </c>
      <c r="BF519" s="846">
        <f t="shared" si="93"/>
        <v>9.7613785718062798E-2</v>
      </c>
      <c r="BG519" s="117">
        <f>VLOOKUP($D519,'WB Data'!$C$3:$M$578,5,FALSE)</f>
        <v>1692540000</v>
      </c>
      <c r="BH519" s="129">
        <f>IFERROR($BB519/$BG519,"..")</f>
        <v>0.12552759757524196</v>
      </c>
      <c r="BI519" s="117">
        <f>IFERROR(VLOOKUP($D519,'WB Data'!$C$3:$M$578,7,FALSE)/100,"..")</f>
        <v>5.5406000000000004E-2</v>
      </c>
      <c r="BJ519" s="117">
        <f>IFERROR($BI519*$AW519,"..")</f>
        <v>1782679169.1270244</v>
      </c>
      <c r="BK519" s="846">
        <f>IFERROR($BB519/$BJ519,"..")</f>
        <v>0.11918043564958557</v>
      </c>
      <c r="BL519" s="117">
        <f>IFERROR(VLOOKUP($D519,'WB Data'!$C$3:$M$578,7,FALSE)/100,"..")</f>
        <v>5.5406000000000004E-2</v>
      </c>
      <c r="BM519" s="117">
        <f>IFERROR($AW519*$BL519,"..")</f>
        <v>1782679169.1270244</v>
      </c>
      <c r="BN519" s="846">
        <f>IFERROR($BB519/$BM519,"..")</f>
        <v>0.11918043564958557</v>
      </c>
      <c r="BO519" s="801">
        <f t="shared" si="89"/>
        <v>48</v>
      </c>
      <c r="BP519" s="117" t="str">
        <f>VLOOKUP($D519,'WB Data'!$C$3:$M$578,9,FALSE)</f>
        <v>..</v>
      </c>
      <c r="BQ519" s="117">
        <f>VLOOKUP($D519,'WB Data'!$C$3:$M$578,10,FALSE)</f>
        <v>60.599560975609762</v>
      </c>
      <c r="BR519" s="117">
        <f>VLOOKUP($D519,'WB Data'!$C$3:$M$578,11,FALSE)</f>
        <v>55</v>
      </c>
      <c r="BS519" s="129" t="str">
        <f>IFERROR(VLOOKUP($D519,'WB Data 2'!$C$2:$K$545,9,FALSE),"..")</f>
        <v>..</v>
      </c>
      <c r="BT519" s="129">
        <f>_xlfn.IFNA(VLOOKUP($C519,RGI!$A$2:$C$43,2,FALSE),"..")</f>
        <v>32.299999999999997</v>
      </c>
      <c r="BU519" s="129">
        <f>_xlfn.IFNA(VLOOKUP($C519,RGI!$A$2:$C$43,3,FALSE),"..")</f>
        <v>62.723264193960979</v>
      </c>
      <c r="BV519" s="129">
        <f>VLOOKUP($D519,WGI!$C$2:$O$478,7,FALSE)</f>
        <v>0.49273590158772701</v>
      </c>
      <c r="BW519" s="129">
        <f>VLOOKUP($D519,WGI!$C$2:$O$478,4,FALSE)</f>
        <v>2.3701678540307001E-2</v>
      </c>
      <c r="BX519" s="129">
        <f>VLOOKUP($D519,WGI!$C$2:$O$478,3,FALSE)</f>
        <v>-3.9284599288337801E-2</v>
      </c>
      <c r="BY519" s="129">
        <f>VLOOKUP($D519,WGI!$C$2:$O$478,5,FALSE)</f>
        <v>0.12388794437980399</v>
      </c>
      <c r="BZ519" s="129">
        <f>VLOOKUP($D519,WGI!$C$2:$O$478,2,FALSE)</f>
        <v>5.9723912887098503E-2</v>
      </c>
    </row>
    <row r="520" spans="1:80" ht="15" customHeight="1">
      <c r="A520" s="294" t="s">
        <v>211</v>
      </c>
      <c r="B520" s="117">
        <v>2010</v>
      </c>
      <c r="C520" s="117" t="s">
        <v>195</v>
      </c>
      <c r="D520" s="117" t="s">
        <v>3663</v>
      </c>
      <c r="E520" s="117" t="s">
        <v>86</v>
      </c>
      <c r="F520" s="117"/>
      <c r="G520" s="117" t="s">
        <v>24</v>
      </c>
      <c r="H520" s="117" t="str">
        <f t="shared" si="85"/>
        <v>yes</v>
      </c>
      <c r="I520" s="117" t="str">
        <f t="shared" si="86"/>
        <v>no</v>
      </c>
      <c r="J520" s="117" t="str">
        <f t="shared" si="87"/>
        <v>no</v>
      </c>
      <c r="K520" s="117" t="s">
        <v>980</v>
      </c>
      <c r="L520" s="117" t="str">
        <f t="shared" si="94"/>
        <v>detailed</v>
      </c>
      <c r="M520" s="117" t="str">
        <f t="shared" si="88"/>
        <v>detailed Mining</v>
      </c>
      <c r="N520" s="118">
        <v>334000</v>
      </c>
      <c r="O520" s="118"/>
      <c r="P520" s="118"/>
      <c r="Q520" s="118"/>
      <c r="R520" s="118"/>
      <c r="S520" s="117" t="s">
        <v>981</v>
      </c>
      <c r="T520" s="119">
        <v>34.58</v>
      </c>
      <c r="U520" s="117" t="s">
        <v>982</v>
      </c>
      <c r="V520" s="117" t="s">
        <v>1188</v>
      </c>
      <c r="W520" s="89">
        <f>N520*T520</f>
        <v>11549720</v>
      </c>
      <c r="X520" s="117"/>
      <c r="Y520" s="117"/>
      <c r="Z520" s="117"/>
      <c r="AA520" s="177"/>
      <c r="AB520" s="177"/>
      <c r="AC520" s="122"/>
      <c r="AD520" s="122"/>
      <c r="AE520" s="122"/>
      <c r="AF520" s="123"/>
      <c r="AG520" s="117"/>
      <c r="AH520" s="124"/>
      <c r="AI520" s="117"/>
      <c r="AJ520" s="117"/>
      <c r="AK520" s="89"/>
      <c r="AL520" s="117"/>
      <c r="AM520" s="117"/>
      <c r="AN520" s="117"/>
      <c r="AO520" s="117"/>
      <c r="AP520" s="117"/>
      <c r="AQ520" s="117"/>
      <c r="AR520" s="117"/>
      <c r="AS520" s="117"/>
      <c r="AT520" s="127"/>
      <c r="AU520" s="215"/>
      <c r="AV520" s="128"/>
      <c r="AW520" s="117">
        <f>VLOOKUP($D520,'WB Data'!$C$3:$M$578,2,FALSE)</f>
        <v>32174839712.793278</v>
      </c>
      <c r="AX520" s="117">
        <f>VLOOKUP($D520,'WB Data'!$C$3:$M$578,3,FALSE)</f>
        <v>24262901</v>
      </c>
      <c r="AY520" s="847">
        <f t="shared" si="90"/>
        <v>6.6033112176009379E-3</v>
      </c>
      <c r="AZ520" s="117">
        <f>VLOOKUP($D520,'WB Data'!$C$3:$M$578,4,FALSE)/100</f>
        <v>0.16691211237321635</v>
      </c>
      <c r="BA520" s="117">
        <f t="shared" si="91"/>
        <v>5370370461.7319756</v>
      </c>
      <c r="BB520" s="129">
        <f>IFERROR(VLOOKUP($D520,'EITI Revenues'!$C$2:$G$224,5,FALSE),"..")</f>
        <v>212460480</v>
      </c>
      <c r="BC520" s="846">
        <f t="shared" si="92"/>
        <v>3.9561605947661248E-2</v>
      </c>
      <c r="BD520" s="129">
        <f>VLOOKUP($D520,'WB Data 2'!$C$2:$K$545,6,FALSE)</f>
        <v>921218389.05993152</v>
      </c>
      <c r="BE520" s="129">
        <f>IFERROR(VLOOKUP($D520,UNCTAD!$C$5:$V$529,4,FALSE),"..")</f>
        <v>9437380000</v>
      </c>
      <c r="BF520" s="846">
        <f t="shared" si="93"/>
        <v>9.7613785718062798E-2</v>
      </c>
      <c r="BG520" s="117">
        <f>VLOOKUP($D520,'WB Data'!$C$3:$M$578,5,FALSE)</f>
        <v>1692540000</v>
      </c>
      <c r="BH520" s="129">
        <f>IFERROR($BB520/$BG520,"..")</f>
        <v>0.12552759757524196</v>
      </c>
      <c r="BI520" s="117">
        <f>IFERROR(VLOOKUP($D520,'WB Data'!$C$3:$M$578,7,FALSE)/100,"..")</f>
        <v>5.5406000000000004E-2</v>
      </c>
      <c r="BJ520" s="117">
        <f>IFERROR($BI520*$AW520,"..")</f>
        <v>1782679169.1270244</v>
      </c>
      <c r="BK520" s="846">
        <f>IFERROR($BB520/$BJ520,"..")</f>
        <v>0.11918043564958557</v>
      </c>
      <c r="BL520" s="117">
        <f>IFERROR(VLOOKUP($D520,'WB Data'!$C$3:$M$578,7,FALSE)/100,"..")</f>
        <v>5.5406000000000004E-2</v>
      </c>
      <c r="BM520" s="117">
        <f>IFERROR($AW520*$BL520,"..")</f>
        <v>1782679169.1270244</v>
      </c>
      <c r="BN520" s="846">
        <f>IFERROR($BB520/$BM520,"..")</f>
        <v>0.11918043564958557</v>
      </c>
      <c r="BO520" s="801">
        <f t="shared" si="89"/>
        <v>48</v>
      </c>
      <c r="BP520" s="117" t="str">
        <f>VLOOKUP($D520,'WB Data'!$C$3:$M$578,9,FALSE)</f>
        <v>..</v>
      </c>
      <c r="BQ520" s="117">
        <f>VLOOKUP($D520,'WB Data'!$C$3:$M$578,10,FALSE)</f>
        <v>60.599560975609762</v>
      </c>
      <c r="BR520" s="117">
        <f>VLOOKUP($D520,'WB Data'!$C$3:$M$578,11,FALSE)</f>
        <v>55</v>
      </c>
      <c r="BS520" s="129" t="str">
        <f>IFERROR(VLOOKUP($D520,'WB Data 2'!$C$2:$K$545,9,FALSE),"..")</f>
        <v>..</v>
      </c>
      <c r="BT520" s="129">
        <f>_xlfn.IFNA(VLOOKUP($C520,RGI!$A$2:$C$43,2,FALSE),"..")</f>
        <v>32.299999999999997</v>
      </c>
      <c r="BU520" s="129">
        <f>_xlfn.IFNA(VLOOKUP($C520,RGI!$A$2:$C$43,3,FALSE),"..")</f>
        <v>62.723264193960979</v>
      </c>
      <c r="BV520" s="129">
        <f>VLOOKUP($D520,WGI!$C$2:$O$478,7,FALSE)</f>
        <v>0.49273590158772701</v>
      </c>
      <c r="BW520" s="129">
        <f>VLOOKUP($D520,WGI!$C$2:$O$478,4,FALSE)</f>
        <v>2.3701678540307001E-2</v>
      </c>
      <c r="BX520" s="129">
        <f>VLOOKUP($D520,WGI!$C$2:$O$478,3,FALSE)</f>
        <v>-3.9284599288337801E-2</v>
      </c>
      <c r="BY520" s="129">
        <f>VLOOKUP($D520,WGI!$C$2:$O$478,5,FALSE)</f>
        <v>0.12388794437980399</v>
      </c>
      <c r="BZ520" s="129">
        <f>VLOOKUP($D520,WGI!$C$2:$O$478,2,FALSE)</f>
        <v>5.9723912887098503E-2</v>
      </c>
    </row>
    <row r="521" spans="1:80" ht="15" customHeight="1">
      <c r="A521" s="294" t="s">
        <v>211</v>
      </c>
      <c r="B521" s="117">
        <v>2010</v>
      </c>
      <c r="C521" s="117" t="s">
        <v>195</v>
      </c>
      <c r="D521" s="117" t="s">
        <v>3663</v>
      </c>
      <c r="E521" s="117" t="s">
        <v>86</v>
      </c>
      <c r="F521" s="117"/>
      <c r="G521" s="117" t="s">
        <v>24</v>
      </c>
      <c r="H521" s="117" t="str">
        <f t="shared" si="85"/>
        <v>yes</v>
      </c>
      <c r="I521" s="117" t="str">
        <f t="shared" si="86"/>
        <v>no</v>
      </c>
      <c r="J521" s="117" t="str">
        <f t="shared" si="87"/>
        <v>no</v>
      </c>
      <c r="K521" s="117" t="s">
        <v>784</v>
      </c>
      <c r="L521" s="117" t="str">
        <f t="shared" si="94"/>
        <v>detailed</v>
      </c>
      <c r="M521" s="117" t="str">
        <f t="shared" si="88"/>
        <v>detailed Mining</v>
      </c>
      <c r="N521" s="118">
        <f>76332*32.150743126506</f>
        <v>2454130.5243324558</v>
      </c>
      <c r="O521" s="118"/>
      <c r="P521" s="118">
        <f>2556556*0.911458333</f>
        <v>2330194.2699811482</v>
      </c>
      <c r="Q521" s="118"/>
      <c r="R521" s="118"/>
      <c r="S521" s="117" t="s">
        <v>785</v>
      </c>
      <c r="T521" s="119">
        <f>1219/ 0.911458333</f>
        <v>1337.4171433462554</v>
      </c>
      <c r="U521" s="117" t="s">
        <v>786</v>
      </c>
      <c r="V521" s="117" t="s">
        <v>1189</v>
      </c>
      <c r="W521" s="89">
        <f>N521*T521</f>
        <v>3282196235.2515612</v>
      </c>
      <c r="X521" s="117"/>
      <c r="Y521" s="117"/>
      <c r="Z521" s="117"/>
      <c r="AA521" s="177">
        <v>203397829</v>
      </c>
      <c r="AB521" s="177">
        <v>183571999</v>
      </c>
      <c r="AC521" s="122"/>
      <c r="AD521" s="122"/>
      <c r="AE521" s="122"/>
      <c r="AF521" s="123">
        <f>AA521/W521</f>
        <v>6.1970039090124891E-2</v>
      </c>
      <c r="AG521" s="117"/>
      <c r="AH521" s="124"/>
      <c r="AI521" s="117"/>
      <c r="AJ521" s="117"/>
      <c r="AK521" s="89"/>
      <c r="AL521" s="117"/>
      <c r="AM521" s="117"/>
      <c r="AN521" s="117">
        <v>9</v>
      </c>
      <c r="AO521" s="117" t="s">
        <v>1190</v>
      </c>
      <c r="AP521" s="117">
        <v>9</v>
      </c>
      <c r="AQ521" s="117"/>
      <c r="AR521" s="117"/>
      <c r="AS521" s="117"/>
      <c r="AT521" s="127"/>
      <c r="AU521" s="215" t="s">
        <v>1191</v>
      </c>
      <c r="AV521" s="128" t="s">
        <v>1192</v>
      </c>
      <c r="AW521" s="117">
        <f>VLOOKUP($D521,'WB Data'!$C$3:$M$578,2,FALSE)</f>
        <v>32174839712.793278</v>
      </c>
      <c r="AX521" s="117">
        <f>VLOOKUP($D521,'WB Data'!$C$3:$M$578,3,FALSE)</f>
        <v>24262901</v>
      </c>
      <c r="AY521" s="847">
        <f t="shared" si="90"/>
        <v>6.6033112176009379E-3</v>
      </c>
      <c r="AZ521" s="117">
        <f>VLOOKUP($D521,'WB Data'!$C$3:$M$578,4,FALSE)/100</f>
        <v>0.16691211237321635</v>
      </c>
      <c r="BA521" s="117">
        <f t="shared" si="91"/>
        <v>5370370461.7319756</v>
      </c>
      <c r="BB521" s="129">
        <f>IFERROR(VLOOKUP($D521,'EITI Revenues'!$C$2:$G$224,5,FALSE),"..")</f>
        <v>212460480</v>
      </c>
      <c r="BC521" s="846">
        <f t="shared" si="92"/>
        <v>3.9561605947661248E-2</v>
      </c>
      <c r="BD521" s="129">
        <f>VLOOKUP($D521,'WB Data 2'!$C$2:$K$545,6,FALSE)</f>
        <v>921218389.05993152</v>
      </c>
      <c r="BE521" s="129">
        <f>IFERROR(VLOOKUP($D521,UNCTAD!$C$5:$V$529,4,FALSE),"..")</f>
        <v>9437380000</v>
      </c>
      <c r="BF521" s="846">
        <f t="shared" si="93"/>
        <v>9.7613785718062798E-2</v>
      </c>
      <c r="BG521" s="117">
        <f>VLOOKUP($D521,'WB Data'!$C$3:$M$578,5,FALSE)</f>
        <v>1692540000</v>
      </c>
      <c r="BH521" s="129">
        <f>IFERROR($BB521/$BG521,"..")</f>
        <v>0.12552759757524196</v>
      </c>
      <c r="BI521" s="117">
        <f>IFERROR(VLOOKUP($D521,'WB Data'!$C$3:$M$578,7,FALSE)/100,"..")</f>
        <v>5.5406000000000004E-2</v>
      </c>
      <c r="BJ521" s="117">
        <f>IFERROR($BI521*$AW521,"..")</f>
        <v>1782679169.1270244</v>
      </c>
      <c r="BK521" s="846">
        <f>IFERROR($BB521/$BJ521,"..")</f>
        <v>0.11918043564958557</v>
      </c>
      <c r="BL521" s="117">
        <f>IFERROR(VLOOKUP($D521,'WB Data'!$C$3:$M$578,7,FALSE)/100,"..")</f>
        <v>5.5406000000000004E-2</v>
      </c>
      <c r="BM521" s="117">
        <f>IFERROR($AW521*$BL521,"..")</f>
        <v>1782679169.1270244</v>
      </c>
      <c r="BN521" s="846">
        <f>IFERROR($BB521/$BM521,"..")</f>
        <v>0.11918043564958557</v>
      </c>
      <c r="BO521" s="801">
        <f t="shared" si="89"/>
        <v>48</v>
      </c>
      <c r="BP521" s="117" t="str">
        <f>VLOOKUP($D521,'WB Data'!$C$3:$M$578,9,FALSE)</f>
        <v>..</v>
      </c>
      <c r="BQ521" s="117">
        <f>VLOOKUP($D521,'WB Data'!$C$3:$M$578,10,FALSE)</f>
        <v>60.599560975609762</v>
      </c>
      <c r="BR521" s="117">
        <f>VLOOKUP($D521,'WB Data'!$C$3:$M$578,11,FALSE)</f>
        <v>55</v>
      </c>
      <c r="BS521" s="129" t="str">
        <f>IFERROR(VLOOKUP($D521,'WB Data 2'!$C$2:$K$545,9,FALSE),"..")</f>
        <v>..</v>
      </c>
      <c r="BT521" s="129">
        <f>_xlfn.IFNA(VLOOKUP($C521,RGI!$A$2:$C$43,2,FALSE),"..")</f>
        <v>32.299999999999997</v>
      </c>
      <c r="BU521" s="129">
        <f>_xlfn.IFNA(VLOOKUP($C521,RGI!$A$2:$C$43,3,FALSE),"..")</f>
        <v>62.723264193960979</v>
      </c>
      <c r="BV521" s="129">
        <f>VLOOKUP($D521,WGI!$C$2:$O$478,7,FALSE)</f>
        <v>0.49273590158772701</v>
      </c>
      <c r="BW521" s="129">
        <f>VLOOKUP($D521,WGI!$C$2:$O$478,4,FALSE)</f>
        <v>2.3701678540307001E-2</v>
      </c>
      <c r="BX521" s="129">
        <f>VLOOKUP($D521,WGI!$C$2:$O$478,3,FALSE)</f>
        <v>-3.9284599288337801E-2</v>
      </c>
      <c r="BY521" s="129">
        <f>VLOOKUP($D521,WGI!$C$2:$O$478,5,FALSE)</f>
        <v>0.12388794437980399</v>
      </c>
      <c r="BZ521" s="129">
        <f>VLOOKUP($D521,WGI!$C$2:$O$478,2,FALSE)</f>
        <v>5.9723912887098503E-2</v>
      </c>
    </row>
    <row r="522" spans="1:80" ht="15" customHeight="1">
      <c r="A522" s="294" t="s">
        <v>211</v>
      </c>
      <c r="B522" s="117">
        <v>2010</v>
      </c>
      <c r="C522" s="117" t="s">
        <v>195</v>
      </c>
      <c r="D522" s="117" t="s">
        <v>3663</v>
      </c>
      <c r="E522" s="117" t="s">
        <v>86</v>
      </c>
      <c r="F522" s="117"/>
      <c r="G522" s="117" t="s">
        <v>24</v>
      </c>
      <c r="H522" s="117" t="str">
        <f t="shared" si="85"/>
        <v>yes</v>
      </c>
      <c r="I522" s="117" t="str">
        <f t="shared" si="86"/>
        <v>no</v>
      </c>
      <c r="J522" s="117" t="str">
        <f t="shared" si="87"/>
        <v>no</v>
      </c>
      <c r="K522" s="117" t="s">
        <v>843</v>
      </c>
      <c r="L522" s="117" t="str">
        <f t="shared" si="94"/>
        <v>detailed</v>
      </c>
      <c r="M522" s="117" t="str">
        <f t="shared" si="88"/>
        <v>detailed Mining</v>
      </c>
      <c r="N522" s="118"/>
      <c r="O522" s="118"/>
      <c r="P522" s="118"/>
      <c r="Q522" s="118"/>
      <c r="R522" s="118"/>
      <c r="S522" s="117"/>
      <c r="T522" s="119">
        <v>9.64</v>
      </c>
      <c r="U522" s="117" t="s">
        <v>611</v>
      </c>
      <c r="V522" s="117" t="s">
        <v>844</v>
      </c>
      <c r="W522" s="89">
        <f>N524*T522</f>
        <v>4106.6400000000003</v>
      </c>
      <c r="X522" s="117"/>
      <c r="Y522" s="117"/>
      <c r="Z522" s="117"/>
      <c r="AA522" s="177">
        <v>8640399</v>
      </c>
      <c r="AB522" s="177">
        <v>8644654</v>
      </c>
      <c r="AC522" s="122"/>
      <c r="AD522" s="122"/>
      <c r="AE522" s="122"/>
      <c r="AF522" s="123">
        <f>AA522/W522</f>
        <v>2104.0069253696452</v>
      </c>
      <c r="AG522" s="117"/>
      <c r="AH522" s="124"/>
      <c r="AI522" s="117"/>
      <c r="AJ522" s="117"/>
      <c r="AK522" s="89"/>
      <c r="AL522" s="117"/>
      <c r="AM522" s="117"/>
      <c r="AN522" s="117">
        <v>1</v>
      </c>
      <c r="AO522" s="117" t="s">
        <v>1145</v>
      </c>
      <c r="AP522" s="117">
        <v>1</v>
      </c>
      <c r="AQ522" s="117"/>
      <c r="AR522" s="117"/>
      <c r="AS522" s="117"/>
      <c r="AT522" s="127"/>
      <c r="AU522" s="215" t="s">
        <v>1187</v>
      </c>
      <c r="AV522" s="128"/>
      <c r="AW522" s="117">
        <f>VLOOKUP($D522,'WB Data'!$C$3:$M$578,2,FALSE)</f>
        <v>32174839712.793278</v>
      </c>
      <c r="AX522" s="117">
        <f>VLOOKUP($D522,'WB Data'!$C$3:$M$578,3,FALSE)</f>
        <v>24262901</v>
      </c>
      <c r="AY522" s="847">
        <f t="shared" si="90"/>
        <v>6.6033112176009379E-3</v>
      </c>
      <c r="AZ522" s="117">
        <f>VLOOKUP($D522,'WB Data'!$C$3:$M$578,4,FALSE)/100</f>
        <v>0.16691211237321635</v>
      </c>
      <c r="BA522" s="117">
        <f t="shared" si="91"/>
        <v>5370370461.7319756</v>
      </c>
      <c r="BB522" s="129">
        <f>IFERROR(VLOOKUP($D522,'EITI Revenues'!$C$2:$G$224,5,FALSE),"..")</f>
        <v>212460480</v>
      </c>
      <c r="BC522" s="846">
        <f t="shared" si="92"/>
        <v>3.9561605947661248E-2</v>
      </c>
      <c r="BD522" s="129">
        <f>VLOOKUP($D522,'WB Data 2'!$C$2:$K$545,6,FALSE)</f>
        <v>921218389.05993152</v>
      </c>
      <c r="BE522" s="129">
        <f>IFERROR(VLOOKUP($D522,UNCTAD!$C$5:$V$529,4,FALSE),"..")</f>
        <v>9437380000</v>
      </c>
      <c r="BF522" s="846">
        <f t="shared" si="93"/>
        <v>9.7613785718062798E-2</v>
      </c>
      <c r="BG522" s="117">
        <f>VLOOKUP($D522,'WB Data'!$C$3:$M$578,5,FALSE)</f>
        <v>1692540000</v>
      </c>
      <c r="BH522" s="129">
        <f>IFERROR($BB522/$BG522,"..")</f>
        <v>0.12552759757524196</v>
      </c>
      <c r="BI522" s="117">
        <f>IFERROR(VLOOKUP($D522,'WB Data'!$C$3:$M$578,7,FALSE)/100,"..")</f>
        <v>5.5406000000000004E-2</v>
      </c>
      <c r="BJ522" s="117">
        <f>IFERROR($BI522*$AW522,"..")</f>
        <v>1782679169.1270244</v>
      </c>
      <c r="BK522" s="846">
        <f>IFERROR($BB522/$BJ522,"..")</f>
        <v>0.11918043564958557</v>
      </c>
      <c r="BL522" s="117">
        <f>IFERROR(VLOOKUP($D522,'WB Data'!$C$3:$M$578,7,FALSE)/100,"..")</f>
        <v>5.5406000000000004E-2</v>
      </c>
      <c r="BM522" s="117">
        <f>IFERROR($AW522*$BL522,"..")</f>
        <v>1782679169.1270244</v>
      </c>
      <c r="BN522" s="846">
        <f>IFERROR($BB522/$BM522,"..")</f>
        <v>0.11918043564958557</v>
      </c>
      <c r="BO522" s="801">
        <f t="shared" si="89"/>
        <v>48</v>
      </c>
      <c r="BP522" s="117" t="str">
        <f>VLOOKUP($D522,'WB Data'!$C$3:$M$578,9,FALSE)</f>
        <v>..</v>
      </c>
      <c r="BQ522" s="117">
        <f>VLOOKUP($D522,'WB Data'!$C$3:$M$578,10,FALSE)</f>
        <v>60.599560975609762</v>
      </c>
      <c r="BR522" s="117">
        <f>VLOOKUP($D522,'WB Data'!$C$3:$M$578,11,FALSE)</f>
        <v>55</v>
      </c>
      <c r="BS522" s="129" t="str">
        <f>IFERROR(VLOOKUP($D522,'WB Data 2'!$C$2:$K$545,9,FALSE),"..")</f>
        <v>..</v>
      </c>
      <c r="BT522" s="129">
        <f>_xlfn.IFNA(VLOOKUP($C522,RGI!$A$2:$C$43,2,FALSE),"..")</f>
        <v>32.299999999999997</v>
      </c>
      <c r="BU522" s="129">
        <f>_xlfn.IFNA(VLOOKUP($C522,RGI!$A$2:$C$43,3,FALSE),"..")</f>
        <v>62.723264193960979</v>
      </c>
      <c r="BV522" s="129">
        <f>VLOOKUP($D522,WGI!$C$2:$O$478,7,FALSE)</f>
        <v>0.49273590158772701</v>
      </c>
      <c r="BW522" s="129">
        <f>VLOOKUP($D522,WGI!$C$2:$O$478,4,FALSE)</f>
        <v>2.3701678540307001E-2</v>
      </c>
      <c r="BX522" s="129">
        <f>VLOOKUP($D522,WGI!$C$2:$O$478,3,FALSE)</f>
        <v>-3.9284599288337801E-2</v>
      </c>
      <c r="BY522" s="129">
        <f>VLOOKUP($D522,WGI!$C$2:$O$478,5,FALSE)</f>
        <v>0.12388794437980399</v>
      </c>
      <c r="BZ522" s="129">
        <f>VLOOKUP($D522,WGI!$C$2:$O$478,2,FALSE)</f>
        <v>5.9723912887098503E-2</v>
      </c>
    </row>
    <row r="523" spans="1:80" ht="15" customHeight="1">
      <c r="A523" s="294" t="s">
        <v>211</v>
      </c>
      <c r="B523" s="117">
        <v>2010</v>
      </c>
      <c r="C523" s="117" t="s">
        <v>195</v>
      </c>
      <c r="D523" s="117" t="s">
        <v>3663</v>
      </c>
      <c r="E523" s="117" t="s">
        <v>86</v>
      </c>
      <c r="F523" s="117"/>
      <c r="G523" s="117" t="s">
        <v>24</v>
      </c>
      <c r="H523" s="117" t="str">
        <f t="shared" si="85"/>
        <v>yes</v>
      </c>
      <c r="I523" s="117" t="str">
        <f t="shared" si="86"/>
        <v>no</v>
      </c>
      <c r="J523" s="117" t="str">
        <f t="shared" si="87"/>
        <v>no</v>
      </c>
      <c r="K523" s="117" t="s">
        <v>846</v>
      </c>
      <c r="L523" s="117" t="str">
        <f t="shared" si="94"/>
        <v>detailed</v>
      </c>
      <c r="M523" s="117" t="str">
        <f t="shared" si="88"/>
        <v>detailed Mining</v>
      </c>
      <c r="N523" s="118">
        <v>1529</v>
      </c>
      <c r="O523" s="118"/>
      <c r="P523" s="118"/>
      <c r="Q523" s="118"/>
      <c r="R523" s="118"/>
      <c r="S523" s="117" t="s">
        <v>610</v>
      </c>
      <c r="T523" s="119"/>
      <c r="U523" s="117"/>
      <c r="V523" s="117" t="s">
        <v>847</v>
      </c>
      <c r="W523" s="89"/>
      <c r="X523" s="117"/>
      <c r="Y523" s="117"/>
      <c r="Z523" s="117"/>
      <c r="AA523" s="117"/>
      <c r="AB523" s="117"/>
      <c r="AC523" s="240"/>
      <c r="AD523" s="240"/>
      <c r="AE523" s="240"/>
      <c r="AF523" s="241"/>
      <c r="AG523" s="117"/>
      <c r="AH523" s="124"/>
      <c r="AI523" s="117"/>
      <c r="AJ523" s="117"/>
      <c r="AK523" s="89"/>
      <c r="AL523" s="117"/>
      <c r="AM523" s="117"/>
      <c r="AN523" s="117"/>
      <c r="AO523" s="117"/>
      <c r="AP523" s="117"/>
      <c r="AQ523" s="117"/>
      <c r="AR523" s="117"/>
      <c r="AS523" s="117"/>
      <c r="AT523" s="127"/>
      <c r="AU523" s="117"/>
      <c r="AV523" s="128"/>
      <c r="AW523" s="117">
        <f>VLOOKUP($D523,'WB Data'!$C$3:$M$578,2,FALSE)</f>
        <v>32174839712.793278</v>
      </c>
      <c r="AX523" s="117">
        <f>VLOOKUP($D523,'WB Data'!$C$3:$M$578,3,FALSE)</f>
        <v>24262901</v>
      </c>
      <c r="AY523" s="847">
        <f t="shared" si="90"/>
        <v>6.6033112176009379E-3</v>
      </c>
      <c r="AZ523" s="117">
        <f>VLOOKUP($D523,'WB Data'!$C$3:$M$578,4,FALSE)/100</f>
        <v>0.16691211237321635</v>
      </c>
      <c r="BA523" s="117">
        <f t="shared" si="91"/>
        <v>5370370461.7319756</v>
      </c>
      <c r="BB523" s="129">
        <f>IFERROR(VLOOKUP($D523,'EITI Revenues'!$C$2:$G$224,5,FALSE),"..")</f>
        <v>212460480</v>
      </c>
      <c r="BC523" s="846">
        <f t="shared" si="92"/>
        <v>3.9561605947661248E-2</v>
      </c>
      <c r="BD523" s="129">
        <f>VLOOKUP($D523,'WB Data 2'!$C$2:$K$545,6,FALSE)</f>
        <v>921218389.05993152</v>
      </c>
      <c r="BE523" s="129">
        <f>IFERROR(VLOOKUP($D523,UNCTAD!$C$5:$V$529,4,FALSE),"..")</f>
        <v>9437380000</v>
      </c>
      <c r="BF523" s="846">
        <f t="shared" si="93"/>
        <v>9.7613785718062798E-2</v>
      </c>
      <c r="BG523" s="117">
        <f>VLOOKUP($D523,'WB Data'!$C$3:$M$578,5,FALSE)</f>
        <v>1692540000</v>
      </c>
      <c r="BH523" s="129">
        <f>IFERROR($BB523/$BG523,"..")</f>
        <v>0.12552759757524196</v>
      </c>
      <c r="BI523" s="117">
        <f>IFERROR(VLOOKUP($D523,'WB Data'!$C$3:$M$578,7,FALSE)/100,"..")</f>
        <v>5.5406000000000004E-2</v>
      </c>
      <c r="BJ523" s="117">
        <f>IFERROR($BI523*$AW523,"..")</f>
        <v>1782679169.1270244</v>
      </c>
      <c r="BK523" s="846">
        <f>IFERROR($BB523/$BJ523,"..")</f>
        <v>0.11918043564958557</v>
      </c>
      <c r="BL523" s="117">
        <f>IFERROR(VLOOKUP($D523,'WB Data'!$C$3:$M$578,7,FALSE)/100,"..")</f>
        <v>5.5406000000000004E-2</v>
      </c>
      <c r="BM523" s="117">
        <f>IFERROR($AW523*$BL523,"..")</f>
        <v>1782679169.1270244</v>
      </c>
      <c r="BN523" s="846">
        <f>IFERROR($BB523/$BM523,"..")</f>
        <v>0.11918043564958557</v>
      </c>
      <c r="BO523" s="801">
        <f t="shared" si="89"/>
        <v>48</v>
      </c>
      <c r="BP523" s="117" t="str">
        <f>VLOOKUP($D523,'WB Data'!$C$3:$M$578,9,FALSE)</f>
        <v>..</v>
      </c>
      <c r="BQ523" s="117">
        <f>VLOOKUP($D523,'WB Data'!$C$3:$M$578,10,FALSE)</f>
        <v>60.599560975609762</v>
      </c>
      <c r="BR523" s="117">
        <f>VLOOKUP($D523,'WB Data'!$C$3:$M$578,11,FALSE)</f>
        <v>55</v>
      </c>
      <c r="BS523" s="129" t="str">
        <f>IFERROR(VLOOKUP($D523,'WB Data 2'!$C$2:$K$545,9,FALSE),"..")</f>
        <v>..</v>
      </c>
      <c r="BT523" s="129">
        <f>_xlfn.IFNA(VLOOKUP($C523,RGI!$A$2:$C$43,2,FALSE),"..")</f>
        <v>32.299999999999997</v>
      </c>
      <c r="BU523" s="129">
        <f>_xlfn.IFNA(VLOOKUP($C523,RGI!$A$2:$C$43,3,FALSE),"..")</f>
        <v>62.723264193960979</v>
      </c>
      <c r="BV523" s="129">
        <f>VLOOKUP($D523,WGI!$C$2:$O$478,7,FALSE)</f>
        <v>0.49273590158772701</v>
      </c>
      <c r="BW523" s="129">
        <f>VLOOKUP($D523,WGI!$C$2:$O$478,4,FALSE)</f>
        <v>2.3701678540307001E-2</v>
      </c>
      <c r="BX523" s="129">
        <f>VLOOKUP($D523,WGI!$C$2:$O$478,3,FALSE)</f>
        <v>-3.9284599288337801E-2</v>
      </c>
      <c r="BY523" s="129">
        <f>VLOOKUP($D523,WGI!$C$2:$O$478,5,FALSE)</f>
        <v>0.12388794437980399</v>
      </c>
      <c r="BZ523" s="129">
        <f>VLOOKUP($D523,WGI!$C$2:$O$478,2,FALSE)</f>
        <v>5.9723912887098503E-2</v>
      </c>
    </row>
    <row r="524" spans="1:80" ht="15" customHeight="1">
      <c r="A524" s="294" t="s">
        <v>211</v>
      </c>
      <c r="B524" s="117">
        <v>2010</v>
      </c>
      <c r="C524" s="117" t="s">
        <v>195</v>
      </c>
      <c r="D524" s="117" t="s">
        <v>3663</v>
      </c>
      <c r="E524" s="117" t="s">
        <v>86</v>
      </c>
      <c r="F524" s="117"/>
      <c r="G524" s="117" t="s">
        <v>24</v>
      </c>
      <c r="H524" s="117" t="str">
        <f t="shared" si="85"/>
        <v>yes</v>
      </c>
      <c r="I524" s="117" t="str">
        <f t="shared" si="86"/>
        <v>no</v>
      </c>
      <c r="J524" s="117" t="str">
        <f t="shared" si="87"/>
        <v>no</v>
      </c>
      <c r="K524" s="117" t="s">
        <v>848</v>
      </c>
      <c r="L524" s="117" t="str">
        <f t="shared" si="94"/>
        <v>detailed</v>
      </c>
      <c r="M524" s="117" t="str">
        <f t="shared" si="88"/>
        <v>detailed Mining</v>
      </c>
      <c r="N524" s="118">
        <v>426</v>
      </c>
      <c r="O524" s="118"/>
      <c r="P524" s="118"/>
      <c r="Q524" s="118"/>
      <c r="R524" s="118"/>
      <c r="S524" s="117" t="s">
        <v>610</v>
      </c>
      <c r="T524" s="119"/>
      <c r="U524" s="117"/>
      <c r="V524" s="117" t="s">
        <v>847</v>
      </c>
      <c r="W524" s="89"/>
      <c r="X524" s="117"/>
      <c r="Y524" s="117"/>
      <c r="Z524" s="117"/>
      <c r="AA524" s="117"/>
      <c r="AB524" s="117"/>
      <c r="AC524" s="240"/>
      <c r="AD524" s="240"/>
      <c r="AE524" s="240"/>
      <c r="AF524" s="241"/>
      <c r="AG524" s="117"/>
      <c r="AH524" s="124"/>
      <c r="AI524" s="117"/>
      <c r="AJ524" s="117"/>
      <c r="AK524" s="89"/>
      <c r="AL524" s="117"/>
      <c r="AM524" s="117"/>
      <c r="AN524" s="117"/>
      <c r="AO524" s="117"/>
      <c r="AP524" s="117"/>
      <c r="AQ524" s="117"/>
      <c r="AR524" s="117"/>
      <c r="AS524" s="117"/>
      <c r="AT524" s="127"/>
      <c r="AU524" s="117"/>
      <c r="AV524" s="128"/>
      <c r="AW524" s="117">
        <f>VLOOKUP($D524,'WB Data'!$C$3:$M$578,2,FALSE)</f>
        <v>32174839712.793278</v>
      </c>
      <c r="AX524" s="117">
        <f>VLOOKUP($D524,'WB Data'!$C$3:$M$578,3,FALSE)</f>
        <v>24262901</v>
      </c>
      <c r="AY524" s="847">
        <f t="shared" si="90"/>
        <v>6.6033112176009379E-3</v>
      </c>
      <c r="AZ524" s="117">
        <f>VLOOKUP($D524,'WB Data'!$C$3:$M$578,4,FALSE)/100</f>
        <v>0.16691211237321635</v>
      </c>
      <c r="BA524" s="117">
        <f t="shared" si="91"/>
        <v>5370370461.7319756</v>
      </c>
      <c r="BB524" s="129">
        <f>IFERROR(VLOOKUP($D524,'EITI Revenues'!$C$2:$G$224,5,FALSE),"..")</f>
        <v>212460480</v>
      </c>
      <c r="BC524" s="846">
        <f t="shared" si="92"/>
        <v>3.9561605947661248E-2</v>
      </c>
      <c r="BD524" s="129">
        <f>VLOOKUP($D524,'WB Data 2'!$C$2:$K$545,6,FALSE)</f>
        <v>921218389.05993152</v>
      </c>
      <c r="BE524" s="129">
        <f>IFERROR(VLOOKUP($D524,UNCTAD!$C$5:$V$529,4,FALSE),"..")</f>
        <v>9437380000</v>
      </c>
      <c r="BF524" s="846">
        <f t="shared" si="93"/>
        <v>9.7613785718062798E-2</v>
      </c>
      <c r="BG524" s="117">
        <f>VLOOKUP($D524,'WB Data'!$C$3:$M$578,5,FALSE)</f>
        <v>1692540000</v>
      </c>
      <c r="BH524" s="129">
        <f>IFERROR($BB524/$BG524,"..")</f>
        <v>0.12552759757524196</v>
      </c>
      <c r="BI524" s="117">
        <f>IFERROR(VLOOKUP($D524,'WB Data'!$C$3:$M$578,7,FALSE)/100,"..")</f>
        <v>5.5406000000000004E-2</v>
      </c>
      <c r="BJ524" s="117">
        <f>IFERROR($BI524*$AW524,"..")</f>
        <v>1782679169.1270244</v>
      </c>
      <c r="BK524" s="846">
        <f>IFERROR($BB524/$BJ524,"..")</f>
        <v>0.11918043564958557</v>
      </c>
      <c r="BL524" s="117">
        <f>IFERROR(VLOOKUP($D524,'WB Data'!$C$3:$M$578,7,FALSE)/100,"..")</f>
        <v>5.5406000000000004E-2</v>
      </c>
      <c r="BM524" s="117">
        <f>IFERROR($AW524*$BL524,"..")</f>
        <v>1782679169.1270244</v>
      </c>
      <c r="BN524" s="846">
        <f>IFERROR($BB524/$BM524,"..")</f>
        <v>0.11918043564958557</v>
      </c>
      <c r="BO524" s="801">
        <f t="shared" si="89"/>
        <v>48</v>
      </c>
      <c r="BP524" s="117" t="str">
        <f>VLOOKUP($D524,'WB Data'!$C$3:$M$578,9,FALSE)</f>
        <v>..</v>
      </c>
      <c r="BQ524" s="117">
        <f>VLOOKUP($D524,'WB Data'!$C$3:$M$578,10,FALSE)</f>
        <v>60.599560975609762</v>
      </c>
      <c r="BR524" s="117">
        <f>VLOOKUP($D524,'WB Data'!$C$3:$M$578,11,FALSE)</f>
        <v>55</v>
      </c>
      <c r="BS524" s="129" t="str">
        <f>IFERROR(VLOOKUP($D524,'WB Data 2'!$C$2:$K$545,9,FALSE),"..")</f>
        <v>..</v>
      </c>
      <c r="BT524" s="129">
        <f>_xlfn.IFNA(VLOOKUP($C524,RGI!$A$2:$C$43,2,FALSE),"..")</f>
        <v>32.299999999999997</v>
      </c>
      <c r="BU524" s="129">
        <f>_xlfn.IFNA(VLOOKUP($C524,RGI!$A$2:$C$43,3,FALSE),"..")</f>
        <v>62.723264193960979</v>
      </c>
      <c r="BV524" s="129">
        <f>VLOOKUP($D524,WGI!$C$2:$O$478,7,FALSE)</f>
        <v>0.49273590158772701</v>
      </c>
      <c r="BW524" s="129">
        <f>VLOOKUP($D524,WGI!$C$2:$O$478,4,FALSE)</f>
        <v>2.3701678540307001E-2</v>
      </c>
      <c r="BX524" s="129">
        <f>VLOOKUP($D524,WGI!$C$2:$O$478,3,FALSE)</f>
        <v>-3.9284599288337801E-2</v>
      </c>
      <c r="BY524" s="129">
        <f>VLOOKUP($D524,WGI!$C$2:$O$478,5,FALSE)</f>
        <v>0.12388794437980399</v>
      </c>
      <c r="BZ524" s="129">
        <f>VLOOKUP($D524,WGI!$C$2:$O$478,2,FALSE)</f>
        <v>5.9723912887098503E-2</v>
      </c>
    </row>
    <row r="525" spans="1:80" s="144" customFormat="1" ht="15" customHeight="1">
      <c r="A525" s="296" t="s">
        <v>214</v>
      </c>
      <c r="B525" s="132">
        <v>2011</v>
      </c>
      <c r="C525" s="117" t="s">
        <v>195</v>
      </c>
      <c r="D525" s="117" t="s">
        <v>3697</v>
      </c>
      <c r="E525" s="132" t="s">
        <v>86</v>
      </c>
      <c r="F525" s="132" t="s">
        <v>1130</v>
      </c>
      <c r="G525" s="132" t="s">
        <v>35</v>
      </c>
      <c r="H525" s="117" t="str">
        <f t="shared" si="85"/>
        <v>yes</v>
      </c>
      <c r="I525" s="117" t="str">
        <f t="shared" si="86"/>
        <v>yes</v>
      </c>
      <c r="J525" s="117" t="str">
        <f t="shared" si="87"/>
        <v>yes</v>
      </c>
      <c r="K525" s="132" t="s">
        <v>709</v>
      </c>
      <c r="L525" s="117" t="str">
        <f t="shared" si="94"/>
        <v>Total</v>
      </c>
      <c r="M525" s="117" t="str">
        <f t="shared" si="88"/>
        <v>Total Oil, Gas, Mining</v>
      </c>
      <c r="N525" s="133"/>
      <c r="O525" s="133"/>
      <c r="P525" s="133"/>
      <c r="Q525" s="133"/>
      <c r="R525" s="133"/>
      <c r="S525" s="132"/>
      <c r="T525" s="134"/>
      <c r="U525" s="132"/>
      <c r="V525" s="132"/>
      <c r="W525" s="135">
        <f>W526+W529</f>
        <v>7840453223.2120953</v>
      </c>
      <c r="X525" s="136" t="s">
        <v>1179</v>
      </c>
      <c r="Y525" s="132" t="s">
        <v>663</v>
      </c>
      <c r="Z525" s="132" t="s">
        <v>664</v>
      </c>
      <c r="AA525" s="183">
        <v>942698326.41000009</v>
      </c>
      <c r="AB525" s="183">
        <v>897711128</v>
      </c>
      <c r="AC525" s="138"/>
      <c r="AD525" s="138"/>
      <c r="AE525" s="138"/>
      <c r="AF525" s="224">
        <f>AA525/W525</f>
        <v>0.12023518278498105</v>
      </c>
      <c r="AG525" s="132" t="s">
        <v>1180</v>
      </c>
      <c r="AH525" s="140">
        <v>1.41</v>
      </c>
      <c r="AI525" s="132" t="s">
        <v>1151</v>
      </c>
      <c r="AJ525" s="132" t="s">
        <v>1193</v>
      </c>
      <c r="AK525" s="135">
        <v>444124723.69</v>
      </c>
      <c r="AL525" s="132"/>
      <c r="AM525" s="132"/>
      <c r="AN525" s="132">
        <v>18</v>
      </c>
      <c r="AO525" s="132" t="s">
        <v>1181</v>
      </c>
      <c r="AP525" s="132">
        <v>18</v>
      </c>
      <c r="AQ525" s="389" t="s">
        <v>212</v>
      </c>
      <c r="AR525" s="141">
        <v>41896</v>
      </c>
      <c r="AS525" s="132" t="s">
        <v>1135</v>
      </c>
      <c r="AT525" s="142" t="s">
        <v>213</v>
      </c>
      <c r="AU525" s="132" t="s">
        <v>1194</v>
      </c>
      <c r="AV525" s="143" t="s">
        <v>1195</v>
      </c>
      <c r="AW525" s="117">
        <f>VLOOKUP($D525,'WB Data'!$C$3:$M$578,2,FALSE)</f>
        <v>39564771637.397896</v>
      </c>
      <c r="AX525" s="117">
        <f>VLOOKUP($D525,'WB Data'!$C$3:$M$578,3,FALSE)</f>
        <v>24820706</v>
      </c>
      <c r="AY525" s="847">
        <f t="shared" si="90"/>
        <v>2.3826709655994358E-2</v>
      </c>
      <c r="AZ525" s="117">
        <f>VLOOKUP($D525,'WB Data'!$C$3:$M$578,4,FALSE)/100</f>
        <v>0.19371817114150061</v>
      </c>
      <c r="BA525" s="117">
        <f t="shared" si="91"/>
        <v>7664415203.2278347</v>
      </c>
      <c r="BB525" s="129">
        <f>IFERROR(VLOOKUP($D525,'EITI Revenues'!$C$2:$G$224,5,FALSE),"..")</f>
        <v>942698326.41000009</v>
      </c>
      <c r="BC525" s="846">
        <f t="shared" si="92"/>
        <v>0.12299677162753224</v>
      </c>
      <c r="BD525" s="129">
        <f>VLOOKUP($D525,'WB Data 2'!$C$2:$K$545,6,FALSE)</f>
        <v>7147963275.4754887</v>
      </c>
      <c r="BE525" s="129">
        <f>IFERROR(VLOOKUP($D525,UNCTAD!$C$5:$V$529,4,FALSE),"..")</f>
        <v>14656530000</v>
      </c>
      <c r="BF525" s="846">
        <f t="shared" si="93"/>
        <v>0.48769819837816242</v>
      </c>
      <c r="BG525" s="117">
        <f>VLOOKUP($D525,'WB Data'!$C$3:$M$578,5,FALSE)</f>
        <v>1810220000</v>
      </c>
      <c r="BH525" s="129">
        <f>IFERROR($BB525/$BG525,"..")</f>
        <v>0.52076450730297985</v>
      </c>
      <c r="BI525" s="117">
        <f>IFERROR(VLOOKUP($D525,'WB Data'!$C$3:$M$578,7,FALSE)/100,"..")</f>
        <v>8.1409699999999988E-2</v>
      </c>
      <c r="BJ525" s="117">
        <f>IFERROR($BI525*$AW525,"..")</f>
        <v>3220956189.5690708</v>
      </c>
      <c r="BK525" s="846">
        <f>IFERROR($BB525/$BJ525,"..")</f>
        <v>0.29267654414638994</v>
      </c>
      <c r="BL525" s="117">
        <f>IFERROR(VLOOKUP($D525,'WB Data'!$C$3:$M$578,7,FALSE)/100,"..")</f>
        <v>8.1409699999999988E-2</v>
      </c>
      <c r="BM525" s="117">
        <f>IFERROR($AW525*$BL525,"..")</f>
        <v>3220956189.5690708</v>
      </c>
      <c r="BN525" s="846">
        <f>IFERROR($BB525/$BM525,"..")</f>
        <v>0.29267654414638994</v>
      </c>
      <c r="BO525" s="801">
        <f t="shared" si="89"/>
        <v>48</v>
      </c>
      <c r="BP525" s="117" t="str">
        <f>VLOOKUP($D525,'WB Data'!$C$3:$M$578,9,FALSE)</f>
        <v>..</v>
      </c>
      <c r="BQ525" s="117">
        <f>VLOOKUP($D525,'WB Data'!$C$3:$M$578,10,FALSE)</f>
        <v>60.788585365853663</v>
      </c>
      <c r="BR525" s="117">
        <f>VLOOKUP($D525,'WB Data'!$C$3:$M$578,11,FALSE)</f>
        <v>54.2</v>
      </c>
      <c r="BS525" s="129">
        <f>IFERROR(VLOOKUP($D525,'WB Data 2'!$C$2:$K$545,9,FALSE),"..")</f>
        <v>83.901820000000001</v>
      </c>
      <c r="BT525" s="129">
        <f>_xlfn.IFNA(VLOOKUP($C525,RGI!$A$2:$C$43,2,FALSE),"..")</f>
        <v>32.299999999999997</v>
      </c>
      <c r="BU525" s="129">
        <f>_xlfn.IFNA(VLOOKUP($C525,RGI!$A$2:$C$43,3,FALSE),"..")</f>
        <v>62.723264193960979</v>
      </c>
      <c r="BV525" s="129">
        <f>VLOOKUP($D525,WGI!$C$2:$O$478,7,FALSE)</f>
        <v>0.47086549338413702</v>
      </c>
      <c r="BW525" s="129">
        <f>VLOOKUP($D525,WGI!$C$2:$O$478,4,FALSE)</f>
        <v>0.15929445803695699</v>
      </c>
      <c r="BX525" s="129">
        <f>VLOOKUP($D525,WGI!$C$2:$O$478,3,FALSE)</f>
        <v>-5.30835220297124E-2</v>
      </c>
      <c r="BY525" s="129">
        <f>VLOOKUP($D525,WGI!$C$2:$O$478,5,FALSE)</f>
        <v>0.13121087605596901</v>
      </c>
      <c r="BZ525" s="129">
        <f>VLOOKUP($D525,WGI!$C$2:$O$478,2,FALSE)</f>
        <v>5.1506769050044601E-2</v>
      </c>
      <c r="CB525" s="129"/>
    </row>
    <row r="526" spans="1:80" s="120" customFormat="1" ht="15" customHeight="1">
      <c r="A526" s="294" t="s">
        <v>214</v>
      </c>
      <c r="B526" s="117">
        <v>2011</v>
      </c>
      <c r="C526" s="117" t="s">
        <v>195</v>
      </c>
      <c r="D526" s="117" t="s">
        <v>3697</v>
      </c>
      <c r="E526" s="117" t="s">
        <v>86</v>
      </c>
      <c r="F526" s="117"/>
      <c r="G526" s="117" t="s">
        <v>55</v>
      </c>
      <c r="H526" s="117" t="str">
        <f t="shared" si="85"/>
        <v>no</v>
      </c>
      <c r="I526" s="117" t="str">
        <f t="shared" si="86"/>
        <v>yes</v>
      </c>
      <c r="J526" s="117" t="str">
        <f t="shared" si="87"/>
        <v>yes</v>
      </c>
      <c r="K526" s="117" t="s">
        <v>640</v>
      </c>
      <c r="L526" s="117" t="str">
        <f t="shared" si="94"/>
        <v>Total</v>
      </c>
      <c r="M526" s="117" t="str">
        <f t="shared" si="88"/>
        <v>Total Oil, Gas</v>
      </c>
      <c r="N526" s="118"/>
      <c r="O526" s="118"/>
      <c r="P526" s="118"/>
      <c r="Q526" s="118"/>
      <c r="R526" s="118"/>
      <c r="T526" s="119"/>
      <c r="W526" s="89">
        <f>SUM(W527:W528)</f>
        <v>3246577008.6277413</v>
      </c>
      <c r="X526" s="117"/>
      <c r="Y526" s="117"/>
      <c r="Z526" s="117"/>
      <c r="AA526" s="177">
        <v>444350554.41000003</v>
      </c>
      <c r="AB526" s="177">
        <v>444351020</v>
      </c>
      <c r="AC526" s="122"/>
      <c r="AD526" s="122"/>
      <c r="AE526" s="122"/>
      <c r="AF526" s="123">
        <f>AA526/W526</f>
        <v>0.13686740010452347</v>
      </c>
      <c r="AG526" s="117"/>
      <c r="AH526" s="124"/>
      <c r="AI526" s="117"/>
      <c r="AJ526" s="117" t="s">
        <v>1193</v>
      </c>
      <c r="AK526" s="89">
        <v>444124723.69</v>
      </c>
      <c r="AL526" s="117"/>
      <c r="AM526" s="117"/>
      <c r="AN526" s="117">
        <v>7</v>
      </c>
      <c r="AO526" s="117" t="s">
        <v>1184</v>
      </c>
      <c r="AP526" s="117">
        <v>7</v>
      </c>
      <c r="AQ526" s="390"/>
      <c r="AR526" s="126"/>
      <c r="AS526" s="117"/>
      <c r="AT526" s="127"/>
      <c r="AU526" s="117" t="s">
        <v>1196</v>
      </c>
      <c r="AV526" s="281"/>
      <c r="AW526" s="117">
        <f>VLOOKUP($D526,'WB Data'!$C$3:$M$578,2,FALSE)</f>
        <v>39564771637.397896</v>
      </c>
      <c r="AX526" s="117">
        <f>VLOOKUP($D526,'WB Data'!$C$3:$M$578,3,FALSE)</f>
        <v>24820706</v>
      </c>
      <c r="AY526" s="847">
        <f t="shared" si="90"/>
        <v>2.3826709655994358E-2</v>
      </c>
      <c r="AZ526" s="117">
        <f>VLOOKUP($D526,'WB Data'!$C$3:$M$578,4,FALSE)/100</f>
        <v>0.19371817114150061</v>
      </c>
      <c r="BA526" s="117">
        <f t="shared" si="91"/>
        <v>7664415203.2278347</v>
      </c>
      <c r="BB526" s="129">
        <f>IFERROR(VLOOKUP($D526,'EITI Revenues'!$C$2:$G$224,5,FALSE),"..")</f>
        <v>942698326.41000009</v>
      </c>
      <c r="BC526" s="846">
        <f t="shared" si="92"/>
        <v>0.12299677162753224</v>
      </c>
      <c r="BD526" s="129">
        <f>VLOOKUP($D526,'WB Data 2'!$C$2:$K$545,6,FALSE)</f>
        <v>7147963275.4754887</v>
      </c>
      <c r="BE526" s="129">
        <f>IFERROR(VLOOKUP($D526,UNCTAD!$C$5:$V$529,4,FALSE),"..")</f>
        <v>14656530000</v>
      </c>
      <c r="BF526" s="846">
        <f t="shared" si="93"/>
        <v>0.48769819837816242</v>
      </c>
      <c r="BG526" s="117">
        <f>VLOOKUP($D526,'WB Data'!$C$3:$M$578,5,FALSE)</f>
        <v>1810220000</v>
      </c>
      <c r="BH526" s="129">
        <f>IFERROR($BB526/$BG526,"..")</f>
        <v>0.52076450730297985</v>
      </c>
      <c r="BI526" s="117">
        <f>IFERROR(VLOOKUP($D526,'WB Data'!$C$3:$M$578,7,FALSE)/100,"..")</f>
        <v>8.1409699999999988E-2</v>
      </c>
      <c r="BJ526" s="117">
        <f>IFERROR($BI526*$AW526,"..")</f>
        <v>3220956189.5690708</v>
      </c>
      <c r="BK526" s="846">
        <f>IFERROR($BB526/$BJ526,"..")</f>
        <v>0.29267654414638994</v>
      </c>
      <c r="BL526" s="117">
        <f>IFERROR(VLOOKUP($D526,'WB Data'!$C$3:$M$578,7,FALSE)/100,"..")</f>
        <v>8.1409699999999988E-2</v>
      </c>
      <c r="BM526" s="117">
        <f>IFERROR($AW526*$BL526,"..")</f>
        <v>3220956189.5690708</v>
      </c>
      <c r="BN526" s="846">
        <f>IFERROR($BB526/$BM526,"..")</f>
        <v>0.29267654414638994</v>
      </c>
      <c r="BO526" s="801">
        <f t="shared" si="89"/>
        <v>48</v>
      </c>
      <c r="BP526" s="117" t="str">
        <f>VLOOKUP($D526,'WB Data'!$C$3:$M$578,9,FALSE)</f>
        <v>..</v>
      </c>
      <c r="BQ526" s="117">
        <f>VLOOKUP($D526,'WB Data'!$C$3:$M$578,10,FALSE)</f>
        <v>60.788585365853663</v>
      </c>
      <c r="BR526" s="117">
        <f>VLOOKUP($D526,'WB Data'!$C$3:$M$578,11,FALSE)</f>
        <v>54.2</v>
      </c>
      <c r="BS526" s="129">
        <f>IFERROR(VLOOKUP($D526,'WB Data 2'!$C$2:$K$545,9,FALSE),"..")</f>
        <v>83.901820000000001</v>
      </c>
      <c r="BT526" s="129">
        <f>_xlfn.IFNA(VLOOKUP($C526,RGI!$A$2:$C$43,2,FALSE),"..")</f>
        <v>32.299999999999997</v>
      </c>
      <c r="BU526" s="129">
        <f>_xlfn.IFNA(VLOOKUP($C526,RGI!$A$2:$C$43,3,FALSE),"..")</f>
        <v>62.723264193960979</v>
      </c>
      <c r="BV526" s="129">
        <f>VLOOKUP($D526,WGI!$C$2:$O$478,7,FALSE)</f>
        <v>0.47086549338413702</v>
      </c>
      <c r="BW526" s="129">
        <f>VLOOKUP($D526,WGI!$C$2:$O$478,4,FALSE)</f>
        <v>0.15929445803695699</v>
      </c>
      <c r="BX526" s="129">
        <f>VLOOKUP($D526,WGI!$C$2:$O$478,3,FALSE)</f>
        <v>-5.30835220297124E-2</v>
      </c>
      <c r="BY526" s="129">
        <f>VLOOKUP($D526,WGI!$C$2:$O$478,5,FALSE)</f>
        <v>0.13121087605596901</v>
      </c>
      <c r="BZ526" s="129">
        <f>VLOOKUP($D526,WGI!$C$2:$O$478,2,FALSE)</f>
        <v>5.1506769050044601E-2</v>
      </c>
      <c r="CB526" s="129"/>
    </row>
    <row r="527" spans="1:80" s="120" customFormat="1" ht="15" customHeight="1">
      <c r="A527" s="294" t="s">
        <v>214</v>
      </c>
      <c r="B527" s="117">
        <v>2011</v>
      </c>
      <c r="C527" s="117" t="s">
        <v>195</v>
      </c>
      <c r="D527" s="117" t="s">
        <v>3697</v>
      </c>
      <c r="E527" s="117" t="s">
        <v>86</v>
      </c>
      <c r="F527" s="117"/>
      <c r="G527" s="117" t="s">
        <v>561</v>
      </c>
      <c r="H527" s="117" t="str">
        <f t="shared" si="85"/>
        <v>no</v>
      </c>
      <c r="I527" s="117" t="str">
        <f t="shared" si="86"/>
        <v>yes</v>
      </c>
      <c r="J527" s="117" t="str">
        <f t="shared" si="87"/>
        <v>no</v>
      </c>
      <c r="K527" s="117" t="s">
        <v>561</v>
      </c>
      <c r="L527" s="117" t="str">
        <f t="shared" si="94"/>
        <v>detailed</v>
      </c>
      <c r="M527" s="117" t="str">
        <f t="shared" si="88"/>
        <v>detailed Gas</v>
      </c>
      <c r="N527" s="118">
        <f>16000000000*0.0283168</f>
        <v>453068800</v>
      </c>
      <c r="O527" s="118"/>
      <c r="P527" s="118"/>
      <c r="Q527" s="118"/>
      <c r="R527" s="118"/>
      <c r="S527" s="117" t="s">
        <v>642</v>
      </c>
      <c r="T527" s="119">
        <v>0.19666043794616025</v>
      </c>
      <c r="U527" s="117" t="s">
        <v>643</v>
      </c>
      <c r="V527" s="117" t="s">
        <v>880</v>
      </c>
      <c r="W527" s="89">
        <f>N527*T527</f>
        <v>89100708.627741292</v>
      </c>
      <c r="X527" s="117"/>
      <c r="Y527" s="117"/>
      <c r="Z527" s="117"/>
      <c r="AA527" s="177"/>
      <c r="AB527" s="177"/>
      <c r="AC527" s="122"/>
      <c r="AD527" s="122"/>
      <c r="AE527" s="122"/>
      <c r="AF527" s="123"/>
      <c r="AG527" s="117"/>
      <c r="AH527" s="124"/>
      <c r="AI527" s="117"/>
      <c r="AJ527" s="117"/>
      <c r="AK527" s="89"/>
      <c r="AL527" s="117"/>
      <c r="AM527" s="117"/>
      <c r="AN527" s="117"/>
      <c r="AO527" s="117"/>
      <c r="AP527" s="117"/>
      <c r="AQ527" s="390"/>
      <c r="AR527" s="126"/>
      <c r="AS527" s="117"/>
      <c r="AT527" s="127"/>
      <c r="AU527" s="117"/>
      <c r="AV527" s="128"/>
      <c r="AW527" s="117">
        <f>VLOOKUP($D527,'WB Data'!$C$3:$M$578,2,FALSE)</f>
        <v>39564771637.397896</v>
      </c>
      <c r="AX527" s="117">
        <f>VLOOKUP($D527,'WB Data'!$C$3:$M$578,3,FALSE)</f>
        <v>24820706</v>
      </c>
      <c r="AY527" s="847">
        <f t="shared" si="90"/>
        <v>2.3826709655994358E-2</v>
      </c>
      <c r="AZ527" s="117">
        <f>VLOOKUP($D527,'WB Data'!$C$3:$M$578,4,FALSE)/100</f>
        <v>0.19371817114150061</v>
      </c>
      <c r="BA527" s="117">
        <f t="shared" si="91"/>
        <v>7664415203.2278347</v>
      </c>
      <c r="BB527" s="129">
        <f>IFERROR(VLOOKUP($D527,'EITI Revenues'!$C$2:$G$224,5,FALSE),"..")</f>
        <v>942698326.41000009</v>
      </c>
      <c r="BC527" s="846">
        <f t="shared" si="92"/>
        <v>0.12299677162753224</v>
      </c>
      <c r="BD527" s="129">
        <f>VLOOKUP($D527,'WB Data 2'!$C$2:$K$545,6,FALSE)</f>
        <v>7147963275.4754887</v>
      </c>
      <c r="BE527" s="129">
        <f>IFERROR(VLOOKUP($D527,UNCTAD!$C$5:$V$529,4,FALSE),"..")</f>
        <v>14656530000</v>
      </c>
      <c r="BF527" s="846">
        <f t="shared" si="93"/>
        <v>0.48769819837816242</v>
      </c>
      <c r="BG527" s="117">
        <f>VLOOKUP($D527,'WB Data'!$C$3:$M$578,5,FALSE)</f>
        <v>1810220000</v>
      </c>
      <c r="BH527" s="129">
        <f>IFERROR($BB527/$BG527,"..")</f>
        <v>0.52076450730297985</v>
      </c>
      <c r="BI527" s="117">
        <f>IFERROR(VLOOKUP($D527,'WB Data'!$C$3:$M$578,7,FALSE)/100,"..")</f>
        <v>8.1409699999999988E-2</v>
      </c>
      <c r="BJ527" s="117">
        <f>IFERROR($BI527*$AW527,"..")</f>
        <v>3220956189.5690708</v>
      </c>
      <c r="BK527" s="846">
        <f>IFERROR($BB527/$BJ527,"..")</f>
        <v>0.29267654414638994</v>
      </c>
      <c r="BL527" s="117">
        <f>IFERROR(VLOOKUP($D527,'WB Data'!$C$3:$M$578,7,FALSE)/100,"..")</f>
        <v>8.1409699999999988E-2</v>
      </c>
      <c r="BM527" s="117">
        <f>IFERROR($AW527*$BL527,"..")</f>
        <v>3220956189.5690708</v>
      </c>
      <c r="BN527" s="846">
        <f>IFERROR($BB527/$BM527,"..")</f>
        <v>0.29267654414638994</v>
      </c>
      <c r="BO527" s="801">
        <f t="shared" si="89"/>
        <v>48</v>
      </c>
      <c r="BP527" s="117" t="str">
        <f>VLOOKUP($D527,'WB Data'!$C$3:$M$578,9,FALSE)</f>
        <v>..</v>
      </c>
      <c r="BQ527" s="117">
        <f>VLOOKUP($D527,'WB Data'!$C$3:$M$578,10,FALSE)</f>
        <v>60.788585365853663</v>
      </c>
      <c r="BR527" s="117">
        <f>VLOOKUP($D527,'WB Data'!$C$3:$M$578,11,FALSE)</f>
        <v>54.2</v>
      </c>
      <c r="BS527" s="129">
        <f>IFERROR(VLOOKUP($D527,'WB Data 2'!$C$2:$K$545,9,FALSE),"..")</f>
        <v>83.901820000000001</v>
      </c>
      <c r="BT527" s="129">
        <f>_xlfn.IFNA(VLOOKUP($C527,RGI!$A$2:$C$43,2,FALSE),"..")</f>
        <v>32.299999999999997</v>
      </c>
      <c r="BU527" s="129">
        <f>_xlfn.IFNA(VLOOKUP($C527,RGI!$A$2:$C$43,3,FALSE),"..")</f>
        <v>62.723264193960979</v>
      </c>
      <c r="BV527" s="129">
        <f>VLOOKUP($D527,WGI!$C$2:$O$478,7,FALSE)</f>
        <v>0.47086549338413702</v>
      </c>
      <c r="BW527" s="129">
        <f>VLOOKUP($D527,WGI!$C$2:$O$478,4,FALSE)</f>
        <v>0.15929445803695699</v>
      </c>
      <c r="BX527" s="129">
        <f>VLOOKUP($D527,WGI!$C$2:$O$478,3,FALSE)</f>
        <v>-5.30835220297124E-2</v>
      </c>
      <c r="BY527" s="129">
        <f>VLOOKUP($D527,WGI!$C$2:$O$478,5,FALSE)</f>
        <v>0.13121087605596901</v>
      </c>
      <c r="BZ527" s="129">
        <f>VLOOKUP($D527,WGI!$C$2:$O$478,2,FALSE)</f>
        <v>5.1506769050044601E-2</v>
      </c>
      <c r="CB527" s="129"/>
    </row>
    <row r="528" spans="1:80" s="120" customFormat="1" ht="15" customHeight="1">
      <c r="A528" s="294" t="s">
        <v>214</v>
      </c>
      <c r="B528" s="117">
        <v>2011</v>
      </c>
      <c r="C528" s="117" t="s">
        <v>195</v>
      </c>
      <c r="D528" s="117" t="s">
        <v>3697</v>
      </c>
      <c r="E528" s="117" t="s">
        <v>86</v>
      </c>
      <c r="F528" s="117"/>
      <c r="G528" s="117" t="s">
        <v>103</v>
      </c>
      <c r="H528" s="117" t="str">
        <f t="shared" si="85"/>
        <v>no</v>
      </c>
      <c r="I528" s="117" t="str">
        <f t="shared" si="86"/>
        <v>no</v>
      </c>
      <c r="J528" s="117" t="str">
        <f t="shared" si="87"/>
        <v>yes</v>
      </c>
      <c r="K528" s="117" t="s">
        <v>103</v>
      </c>
      <c r="L528" s="117" t="str">
        <f t="shared" si="94"/>
        <v>detailed</v>
      </c>
      <c r="M528" s="117" t="str">
        <f t="shared" si="88"/>
        <v>detailed Oil</v>
      </c>
      <c r="N528" s="118">
        <v>27922500</v>
      </c>
      <c r="O528" s="118"/>
      <c r="P528" s="118"/>
      <c r="Q528" s="118"/>
      <c r="R528" s="118"/>
      <c r="S528" s="117" t="s">
        <v>646</v>
      </c>
      <c r="T528" s="119">
        <v>113.08</v>
      </c>
      <c r="U528" s="117" t="s">
        <v>673</v>
      </c>
      <c r="V528" s="117" t="s">
        <v>1030</v>
      </c>
      <c r="W528" s="89">
        <f>N528*T528</f>
        <v>3157476300</v>
      </c>
      <c r="X528" s="117"/>
      <c r="Y528" s="117"/>
      <c r="Z528" s="117"/>
      <c r="AA528" s="177"/>
      <c r="AB528" s="177"/>
      <c r="AC528" s="122"/>
      <c r="AD528" s="122"/>
      <c r="AE528" s="122"/>
      <c r="AF528" s="123"/>
      <c r="AG528" s="117"/>
      <c r="AH528" s="124"/>
      <c r="AI528" s="117"/>
      <c r="AJ528" s="117"/>
      <c r="AK528" s="391"/>
      <c r="AL528" s="117"/>
      <c r="AM528" s="117"/>
      <c r="AN528" s="117"/>
      <c r="AO528" s="117"/>
      <c r="AP528" s="117"/>
      <c r="AQ528" s="390"/>
      <c r="AR528" s="126"/>
      <c r="AS528" s="117"/>
      <c r="AT528" s="127"/>
      <c r="AU528" s="117" t="s">
        <v>1197</v>
      </c>
      <c r="AV528" s="128"/>
      <c r="AW528" s="117">
        <f>VLOOKUP($D528,'WB Data'!$C$3:$M$578,2,FALSE)</f>
        <v>39564771637.397896</v>
      </c>
      <c r="AX528" s="117">
        <f>VLOOKUP($D528,'WB Data'!$C$3:$M$578,3,FALSE)</f>
        <v>24820706</v>
      </c>
      <c r="AY528" s="847">
        <f t="shared" si="90"/>
        <v>2.3826709655994358E-2</v>
      </c>
      <c r="AZ528" s="117">
        <f>VLOOKUP($D528,'WB Data'!$C$3:$M$578,4,FALSE)/100</f>
        <v>0.19371817114150061</v>
      </c>
      <c r="BA528" s="117">
        <f t="shared" si="91"/>
        <v>7664415203.2278347</v>
      </c>
      <c r="BB528" s="129">
        <f>IFERROR(VLOOKUP($D528,'EITI Revenues'!$C$2:$G$224,5,FALSE),"..")</f>
        <v>942698326.41000009</v>
      </c>
      <c r="BC528" s="846">
        <f t="shared" si="92"/>
        <v>0.12299677162753224</v>
      </c>
      <c r="BD528" s="129">
        <f>VLOOKUP($D528,'WB Data 2'!$C$2:$K$545,6,FALSE)</f>
        <v>7147963275.4754887</v>
      </c>
      <c r="BE528" s="129">
        <f>IFERROR(VLOOKUP($D528,UNCTAD!$C$5:$V$529,4,FALSE),"..")</f>
        <v>14656530000</v>
      </c>
      <c r="BF528" s="846">
        <f t="shared" si="93"/>
        <v>0.48769819837816242</v>
      </c>
      <c r="BG528" s="117">
        <f>VLOOKUP($D528,'WB Data'!$C$3:$M$578,5,FALSE)</f>
        <v>1810220000</v>
      </c>
      <c r="BH528" s="129">
        <f>IFERROR($BB528/$BG528,"..")</f>
        <v>0.52076450730297985</v>
      </c>
      <c r="BI528" s="117">
        <f>IFERROR(VLOOKUP($D528,'WB Data'!$C$3:$M$578,7,FALSE)/100,"..")</f>
        <v>8.1409699999999988E-2</v>
      </c>
      <c r="BJ528" s="117">
        <f>IFERROR($BI528*$AW528,"..")</f>
        <v>3220956189.5690708</v>
      </c>
      <c r="BK528" s="846">
        <f>IFERROR($BB528/$BJ528,"..")</f>
        <v>0.29267654414638994</v>
      </c>
      <c r="BL528" s="117">
        <f>IFERROR(VLOOKUP($D528,'WB Data'!$C$3:$M$578,7,FALSE)/100,"..")</f>
        <v>8.1409699999999988E-2</v>
      </c>
      <c r="BM528" s="117">
        <f>IFERROR($AW528*$BL528,"..")</f>
        <v>3220956189.5690708</v>
      </c>
      <c r="BN528" s="846">
        <f>IFERROR($BB528/$BM528,"..")</f>
        <v>0.29267654414638994</v>
      </c>
      <c r="BO528" s="801">
        <f t="shared" si="89"/>
        <v>48</v>
      </c>
      <c r="BP528" s="117" t="str">
        <f>VLOOKUP($D528,'WB Data'!$C$3:$M$578,9,FALSE)</f>
        <v>..</v>
      </c>
      <c r="BQ528" s="117">
        <f>VLOOKUP($D528,'WB Data'!$C$3:$M$578,10,FALSE)</f>
        <v>60.788585365853663</v>
      </c>
      <c r="BR528" s="117">
        <f>VLOOKUP($D528,'WB Data'!$C$3:$M$578,11,FALSE)</f>
        <v>54.2</v>
      </c>
      <c r="BS528" s="129">
        <f>IFERROR(VLOOKUP($D528,'WB Data 2'!$C$2:$K$545,9,FALSE),"..")</f>
        <v>83.901820000000001</v>
      </c>
      <c r="BT528" s="129">
        <f>_xlfn.IFNA(VLOOKUP($C528,RGI!$A$2:$C$43,2,FALSE),"..")</f>
        <v>32.299999999999997</v>
      </c>
      <c r="BU528" s="129">
        <f>_xlfn.IFNA(VLOOKUP($C528,RGI!$A$2:$C$43,3,FALSE),"..")</f>
        <v>62.723264193960979</v>
      </c>
      <c r="BV528" s="129">
        <f>VLOOKUP($D528,WGI!$C$2:$O$478,7,FALSE)</f>
        <v>0.47086549338413702</v>
      </c>
      <c r="BW528" s="129">
        <f>VLOOKUP($D528,WGI!$C$2:$O$478,4,FALSE)</f>
        <v>0.15929445803695699</v>
      </c>
      <c r="BX528" s="129">
        <f>VLOOKUP($D528,WGI!$C$2:$O$478,3,FALSE)</f>
        <v>-5.30835220297124E-2</v>
      </c>
      <c r="BY528" s="129">
        <f>VLOOKUP($D528,WGI!$C$2:$O$478,5,FALSE)</f>
        <v>0.13121087605596901</v>
      </c>
      <c r="BZ528" s="129">
        <f>VLOOKUP($D528,WGI!$C$2:$O$478,2,FALSE)</f>
        <v>5.1506769050044601E-2</v>
      </c>
      <c r="CB528" s="129"/>
    </row>
    <row r="529" spans="1:80" s="120" customFormat="1" ht="15" customHeight="1">
      <c r="A529" s="294" t="s">
        <v>214</v>
      </c>
      <c r="B529" s="117">
        <v>2011</v>
      </c>
      <c r="C529" s="117" t="s">
        <v>195</v>
      </c>
      <c r="D529" s="117" t="s">
        <v>3697</v>
      </c>
      <c r="E529" s="117" t="s">
        <v>86</v>
      </c>
      <c r="F529" s="117"/>
      <c r="G529" s="117" t="s">
        <v>24</v>
      </c>
      <c r="H529" s="117" t="str">
        <f t="shared" si="85"/>
        <v>yes</v>
      </c>
      <c r="I529" s="117" t="str">
        <f t="shared" si="86"/>
        <v>no</v>
      </c>
      <c r="J529" s="117" t="str">
        <f t="shared" si="87"/>
        <v>no</v>
      </c>
      <c r="K529" s="117" t="s">
        <v>600</v>
      </c>
      <c r="L529" s="117" t="str">
        <f t="shared" si="94"/>
        <v>Total</v>
      </c>
      <c r="M529" s="117" t="str">
        <f t="shared" si="88"/>
        <v>Total Mining</v>
      </c>
      <c r="N529" s="118"/>
      <c r="O529" s="118"/>
      <c r="P529" s="118"/>
      <c r="Q529" s="118"/>
      <c r="R529" s="118"/>
      <c r="S529" s="117"/>
      <c r="T529" s="119"/>
      <c r="U529" s="117"/>
      <c r="V529" s="117"/>
      <c r="W529" s="89">
        <f>SUM(W530:W535)</f>
        <v>4593876214.5843534</v>
      </c>
      <c r="X529" s="117"/>
      <c r="Y529" s="117"/>
      <c r="Z529" s="117"/>
      <c r="AA529" s="177">
        <v>498347772</v>
      </c>
      <c r="AB529" s="177">
        <v>453360108</v>
      </c>
      <c r="AC529" s="122"/>
      <c r="AD529" s="122"/>
      <c r="AE529" s="122"/>
      <c r="AF529" s="123">
        <f>AA529/W529</f>
        <v>0.10848088819151817</v>
      </c>
      <c r="AG529" s="117"/>
      <c r="AH529" s="124"/>
      <c r="AI529" s="117"/>
      <c r="AJ529" s="117"/>
      <c r="AK529" s="89"/>
      <c r="AL529" s="117"/>
      <c r="AM529" s="117"/>
      <c r="AN529" s="117">
        <v>11</v>
      </c>
      <c r="AO529" s="117" t="s">
        <v>1186</v>
      </c>
      <c r="AP529" s="117">
        <v>11</v>
      </c>
      <c r="AQ529" s="390"/>
      <c r="AR529" s="126"/>
      <c r="AS529" s="117"/>
      <c r="AT529" s="127"/>
      <c r="AU529" s="215" t="s">
        <v>1198</v>
      </c>
      <c r="AV529" s="128"/>
      <c r="AW529" s="117">
        <f>VLOOKUP($D529,'WB Data'!$C$3:$M$578,2,FALSE)</f>
        <v>39564771637.397896</v>
      </c>
      <c r="AX529" s="117">
        <f>VLOOKUP($D529,'WB Data'!$C$3:$M$578,3,FALSE)</f>
        <v>24820706</v>
      </c>
      <c r="AY529" s="847">
        <f t="shared" si="90"/>
        <v>2.3826709655994358E-2</v>
      </c>
      <c r="AZ529" s="117">
        <f>VLOOKUP($D529,'WB Data'!$C$3:$M$578,4,FALSE)/100</f>
        <v>0.19371817114150061</v>
      </c>
      <c r="BA529" s="117">
        <f t="shared" si="91"/>
        <v>7664415203.2278347</v>
      </c>
      <c r="BB529" s="129">
        <f>IFERROR(VLOOKUP($D529,'EITI Revenues'!$C$2:$G$224,5,FALSE),"..")</f>
        <v>942698326.41000009</v>
      </c>
      <c r="BC529" s="846">
        <f t="shared" si="92"/>
        <v>0.12299677162753224</v>
      </c>
      <c r="BD529" s="129">
        <f>VLOOKUP($D529,'WB Data 2'!$C$2:$K$545,6,FALSE)</f>
        <v>7147963275.4754887</v>
      </c>
      <c r="BE529" s="129">
        <f>IFERROR(VLOOKUP($D529,UNCTAD!$C$5:$V$529,4,FALSE),"..")</f>
        <v>14656530000</v>
      </c>
      <c r="BF529" s="846">
        <f t="shared" si="93"/>
        <v>0.48769819837816242</v>
      </c>
      <c r="BG529" s="117">
        <f>VLOOKUP($D529,'WB Data'!$C$3:$M$578,5,FALSE)</f>
        <v>1810220000</v>
      </c>
      <c r="BH529" s="129">
        <f>IFERROR($BB529/$BG529,"..")</f>
        <v>0.52076450730297985</v>
      </c>
      <c r="BI529" s="117">
        <f>IFERROR(VLOOKUP($D529,'WB Data'!$C$3:$M$578,7,FALSE)/100,"..")</f>
        <v>8.1409699999999988E-2</v>
      </c>
      <c r="BJ529" s="117">
        <f>IFERROR($BI529*$AW529,"..")</f>
        <v>3220956189.5690708</v>
      </c>
      <c r="BK529" s="846">
        <f>IFERROR($BB529/$BJ529,"..")</f>
        <v>0.29267654414638994</v>
      </c>
      <c r="BL529" s="117">
        <f>IFERROR(VLOOKUP($D529,'WB Data'!$C$3:$M$578,7,FALSE)/100,"..")</f>
        <v>8.1409699999999988E-2</v>
      </c>
      <c r="BM529" s="117">
        <f>IFERROR($AW529*$BL529,"..")</f>
        <v>3220956189.5690708</v>
      </c>
      <c r="BN529" s="846">
        <f>IFERROR($BB529/$BM529,"..")</f>
        <v>0.29267654414638994</v>
      </c>
      <c r="BO529" s="801">
        <f t="shared" si="89"/>
        <v>48</v>
      </c>
      <c r="BP529" s="117" t="str">
        <f>VLOOKUP($D529,'WB Data'!$C$3:$M$578,9,FALSE)</f>
        <v>..</v>
      </c>
      <c r="BQ529" s="117">
        <f>VLOOKUP($D529,'WB Data'!$C$3:$M$578,10,FALSE)</f>
        <v>60.788585365853663</v>
      </c>
      <c r="BR529" s="117">
        <f>VLOOKUP($D529,'WB Data'!$C$3:$M$578,11,FALSE)</f>
        <v>54.2</v>
      </c>
      <c r="BS529" s="129">
        <f>IFERROR(VLOOKUP($D529,'WB Data 2'!$C$2:$K$545,9,FALSE),"..")</f>
        <v>83.901820000000001</v>
      </c>
      <c r="BT529" s="129">
        <f>_xlfn.IFNA(VLOOKUP($C529,RGI!$A$2:$C$43,2,FALSE),"..")</f>
        <v>32.299999999999997</v>
      </c>
      <c r="BU529" s="129">
        <f>_xlfn.IFNA(VLOOKUP($C529,RGI!$A$2:$C$43,3,FALSE),"..")</f>
        <v>62.723264193960979</v>
      </c>
      <c r="BV529" s="129">
        <f>VLOOKUP($D529,WGI!$C$2:$O$478,7,FALSE)</f>
        <v>0.47086549338413702</v>
      </c>
      <c r="BW529" s="129">
        <f>VLOOKUP($D529,WGI!$C$2:$O$478,4,FALSE)</f>
        <v>0.15929445803695699</v>
      </c>
      <c r="BX529" s="129">
        <f>VLOOKUP($D529,WGI!$C$2:$O$478,3,FALSE)</f>
        <v>-5.30835220297124E-2</v>
      </c>
      <c r="BY529" s="129">
        <f>VLOOKUP($D529,WGI!$C$2:$O$478,5,FALSE)</f>
        <v>0.13121087605596901</v>
      </c>
      <c r="BZ529" s="129">
        <f>VLOOKUP($D529,WGI!$C$2:$O$478,2,FALSE)</f>
        <v>5.1506769050044601E-2</v>
      </c>
      <c r="CB529" s="129"/>
    </row>
    <row r="530" spans="1:80" s="120" customFormat="1" ht="15" customHeight="1">
      <c r="A530" s="294" t="s">
        <v>214</v>
      </c>
      <c r="B530" s="117">
        <v>2011</v>
      </c>
      <c r="C530" s="117" t="s">
        <v>195</v>
      </c>
      <c r="D530" s="117" t="s">
        <v>3697</v>
      </c>
      <c r="E530" s="117" t="s">
        <v>86</v>
      </c>
      <c r="F530" s="117"/>
      <c r="G530" s="117" t="s">
        <v>24</v>
      </c>
      <c r="H530" s="117" t="str">
        <f t="shared" si="85"/>
        <v>yes</v>
      </c>
      <c r="I530" s="117" t="str">
        <f t="shared" si="86"/>
        <v>no</v>
      </c>
      <c r="J530" s="117" t="str">
        <f t="shared" si="87"/>
        <v>no</v>
      </c>
      <c r="K530" s="117" t="s">
        <v>1138</v>
      </c>
      <c r="L530" s="117" t="str">
        <f t="shared" si="94"/>
        <v>detailed</v>
      </c>
      <c r="M530" s="117" t="str">
        <f t="shared" si="88"/>
        <v>detailed Mining</v>
      </c>
      <c r="N530" s="118">
        <v>408</v>
      </c>
      <c r="O530" s="118"/>
      <c r="P530" s="118"/>
      <c r="Q530" s="118"/>
      <c r="R530" s="118"/>
      <c r="S530" s="117" t="s">
        <v>610</v>
      </c>
      <c r="T530" s="119">
        <v>30.49</v>
      </c>
      <c r="U530" s="117" t="s">
        <v>611</v>
      </c>
      <c r="V530" s="117" t="s">
        <v>1199</v>
      </c>
      <c r="W530" s="89">
        <f>N530*T530</f>
        <v>12439.92</v>
      </c>
      <c r="X530" s="117"/>
      <c r="Y530" s="117"/>
      <c r="Z530" s="117"/>
      <c r="AA530" s="177">
        <v>489265</v>
      </c>
      <c r="AB530" s="177">
        <v>497474</v>
      </c>
      <c r="AC530" s="122"/>
      <c r="AD530" s="122"/>
      <c r="AE530" s="122"/>
      <c r="AF530" s="123">
        <f>AA530/W530</f>
        <v>39.330236850397753</v>
      </c>
      <c r="AG530" s="117"/>
      <c r="AH530" s="124"/>
      <c r="AI530" s="117"/>
      <c r="AJ530" s="117"/>
      <c r="AK530" s="89"/>
      <c r="AL530" s="117"/>
      <c r="AM530" s="117"/>
      <c r="AN530" s="117">
        <v>1</v>
      </c>
      <c r="AO530" s="117" t="s">
        <v>1140</v>
      </c>
      <c r="AP530" s="117">
        <v>1</v>
      </c>
      <c r="AQ530" s="117"/>
      <c r="AR530" s="117"/>
      <c r="AS530" s="117"/>
      <c r="AT530" s="127"/>
      <c r="AU530" s="215" t="s">
        <v>1198</v>
      </c>
      <c r="AV530" s="128"/>
      <c r="AW530" s="117">
        <f>VLOOKUP($D530,'WB Data'!$C$3:$M$578,2,FALSE)</f>
        <v>39564771637.397896</v>
      </c>
      <c r="AX530" s="117">
        <f>VLOOKUP($D530,'WB Data'!$C$3:$M$578,3,FALSE)</f>
        <v>24820706</v>
      </c>
      <c r="AY530" s="847">
        <f t="shared" si="90"/>
        <v>2.3826709655994358E-2</v>
      </c>
      <c r="AZ530" s="117">
        <f>VLOOKUP($D530,'WB Data'!$C$3:$M$578,4,FALSE)/100</f>
        <v>0.19371817114150061</v>
      </c>
      <c r="BA530" s="117">
        <f t="shared" si="91"/>
        <v>7664415203.2278347</v>
      </c>
      <c r="BB530" s="129">
        <f>IFERROR(VLOOKUP($D530,'EITI Revenues'!$C$2:$G$224,5,FALSE),"..")</f>
        <v>942698326.41000009</v>
      </c>
      <c r="BC530" s="846">
        <f t="shared" si="92"/>
        <v>0.12299677162753224</v>
      </c>
      <c r="BD530" s="129">
        <f>VLOOKUP($D530,'WB Data 2'!$C$2:$K$545,6,FALSE)</f>
        <v>7147963275.4754887</v>
      </c>
      <c r="BE530" s="129">
        <f>IFERROR(VLOOKUP($D530,UNCTAD!$C$5:$V$529,4,FALSE),"..")</f>
        <v>14656530000</v>
      </c>
      <c r="BF530" s="846">
        <f t="shared" si="93"/>
        <v>0.48769819837816242</v>
      </c>
      <c r="BG530" s="117">
        <f>VLOOKUP($D530,'WB Data'!$C$3:$M$578,5,FALSE)</f>
        <v>1810220000</v>
      </c>
      <c r="BH530" s="129">
        <f>IFERROR($BB530/$BG530,"..")</f>
        <v>0.52076450730297985</v>
      </c>
      <c r="BI530" s="117">
        <f>IFERROR(VLOOKUP($D530,'WB Data'!$C$3:$M$578,7,FALSE)/100,"..")</f>
        <v>8.1409699999999988E-2</v>
      </c>
      <c r="BJ530" s="117">
        <f>IFERROR($BI530*$AW530,"..")</f>
        <v>3220956189.5690708</v>
      </c>
      <c r="BK530" s="846">
        <f>IFERROR($BB530/$BJ530,"..")</f>
        <v>0.29267654414638994</v>
      </c>
      <c r="BL530" s="117">
        <f>IFERROR(VLOOKUP($D530,'WB Data'!$C$3:$M$578,7,FALSE)/100,"..")</f>
        <v>8.1409699999999988E-2</v>
      </c>
      <c r="BM530" s="117">
        <f>IFERROR($AW530*$BL530,"..")</f>
        <v>3220956189.5690708</v>
      </c>
      <c r="BN530" s="846">
        <f>IFERROR($BB530/$BM530,"..")</f>
        <v>0.29267654414638994</v>
      </c>
      <c r="BO530" s="801">
        <f t="shared" si="89"/>
        <v>48</v>
      </c>
      <c r="BP530" s="117" t="str">
        <f>VLOOKUP($D530,'WB Data'!$C$3:$M$578,9,FALSE)</f>
        <v>..</v>
      </c>
      <c r="BQ530" s="117">
        <f>VLOOKUP($D530,'WB Data'!$C$3:$M$578,10,FALSE)</f>
        <v>60.788585365853663</v>
      </c>
      <c r="BR530" s="117">
        <f>VLOOKUP($D530,'WB Data'!$C$3:$M$578,11,FALSE)</f>
        <v>54.2</v>
      </c>
      <c r="BS530" s="129">
        <f>IFERROR(VLOOKUP($D530,'WB Data 2'!$C$2:$K$545,9,FALSE),"..")</f>
        <v>83.901820000000001</v>
      </c>
      <c r="BT530" s="129">
        <f>_xlfn.IFNA(VLOOKUP($C530,RGI!$A$2:$C$43,2,FALSE),"..")</f>
        <v>32.299999999999997</v>
      </c>
      <c r="BU530" s="129">
        <f>_xlfn.IFNA(VLOOKUP($C530,RGI!$A$2:$C$43,3,FALSE),"..")</f>
        <v>62.723264193960979</v>
      </c>
      <c r="BV530" s="129">
        <f>VLOOKUP($D530,WGI!$C$2:$O$478,7,FALSE)</f>
        <v>0.47086549338413702</v>
      </c>
      <c r="BW530" s="129">
        <f>VLOOKUP($D530,WGI!$C$2:$O$478,4,FALSE)</f>
        <v>0.15929445803695699</v>
      </c>
      <c r="BX530" s="129">
        <f>VLOOKUP($D530,WGI!$C$2:$O$478,3,FALSE)</f>
        <v>-5.30835220297124E-2</v>
      </c>
      <c r="BY530" s="129">
        <f>VLOOKUP($D530,WGI!$C$2:$O$478,5,FALSE)</f>
        <v>0.13121087605596901</v>
      </c>
      <c r="BZ530" s="129">
        <f>VLOOKUP($D530,WGI!$C$2:$O$478,2,FALSE)</f>
        <v>5.1506769050044601E-2</v>
      </c>
      <c r="CB530" s="129"/>
    </row>
    <row r="531" spans="1:80" s="120" customFormat="1" ht="15" customHeight="1">
      <c r="A531" s="294" t="s">
        <v>214</v>
      </c>
      <c r="B531" s="117">
        <v>2011</v>
      </c>
      <c r="C531" s="117" t="s">
        <v>195</v>
      </c>
      <c r="D531" s="117" t="s">
        <v>3697</v>
      </c>
      <c r="E531" s="117" t="s">
        <v>86</v>
      </c>
      <c r="F531" s="117"/>
      <c r="G531" s="117" t="s">
        <v>24</v>
      </c>
      <c r="H531" s="117" t="str">
        <f t="shared" si="85"/>
        <v>yes</v>
      </c>
      <c r="I531" s="117" t="str">
        <f t="shared" si="86"/>
        <v>no</v>
      </c>
      <c r="J531" s="117" t="str">
        <f t="shared" si="87"/>
        <v>no</v>
      </c>
      <c r="K531" s="117" t="s">
        <v>980</v>
      </c>
      <c r="L531" s="117" t="str">
        <f t="shared" si="94"/>
        <v>detailed</v>
      </c>
      <c r="M531" s="117" t="str">
        <f t="shared" si="88"/>
        <v>detailed Mining</v>
      </c>
      <c r="N531" s="118">
        <v>302000</v>
      </c>
      <c r="O531" s="118"/>
      <c r="P531" s="118"/>
      <c r="Q531" s="118"/>
      <c r="R531" s="118"/>
      <c r="S531" s="117" t="s">
        <v>981</v>
      </c>
      <c r="T531" s="119">
        <v>50.54</v>
      </c>
      <c r="U531" s="117" t="s">
        <v>982</v>
      </c>
      <c r="V531" s="117" t="s">
        <v>1200</v>
      </c>
      <c r="W531" s="89">
        <f>N531*T531</f>
        <v>15263080</v>
      </c>
      <c r="X531" s="117"/>
      <c r="Y531" s="117"/>
      <c r="Z531" s="117"/>
      <c r="AA531" s="177"/>
      <c r="AB531" s="177"/>
      <c r="AC531" s="122"/>
      <c r="AD531" s="122"/>
      <c r="AE531" s="122"/>
      <c r="AF531" s="123"/>
      <c r="AG531" s="117"/>
      <c r="AH531" s="124"/>
      <c r="AI531" s="117"/>
      <c r="AJ531" s="117"/>
      <c r="AK531" s="89"/>
      <c r="AL531" s="117"/>
      <c r="AM531" s="117"/>
      <c r="AN531" s="117"/>
      <c r="AO531" s="117"/>
      <c r="AP531" s="117"/>
      <c r="AQ531" s="117"/>
      <c r="AR531" s="117"/>
      <c r="AS531" s="117"/>
      <c r="AT531" s="127"/>
      <c r="AU531" s="215"/>
      <c r="AV531" s="128"/>
      <c r="AW531" s="117">
        <f>VLOOKUP($D531,'WB Data'!$C$3:$M$578,2,FALSE)</f>
        <v>39564771637.397896</v>
      </c>
      <c r="AX531" s="117">
        <f>VLOOKUP($D531,'WB Data'!$C$3:$M$578,3,FALSE)</f>
        <v>24820706</v>
      </c>
      <c r="AY531" s="847">
        <f t="shared" si="90"/>
        <v>2.3826709655994358E-2</v>
      </c>
      <c r="AZ531" s="117">
        <f>VLOOKUP($D531,'WB Data'!$C$3:$M$578,4,FALSE)/100</f>
        <v>0.19371817114150061</v>
      </c>
      <c r="BA531" s="117">
        <f t="shared" si="91"/>
        <v>7664415203.2278347</v>
      </c>
      <c r="BB531" s="129">
        <f>IFERROR(VLOOKUP($D531,'EITI Revenues'!$C$2:$G$224,5,FALSE),"..")</f>
        <v>942698326.41000009</v>
      </c>
      <c r="BC531" s="846">
        <f t="shared" si="92"/>
        <v>0.12299677162753224</v>
      </c>
      <c r="BD531" s="129">
        <f>VLOOKUP($D531,'WB Data 2'!$C$2:$K$545,6,FALSE)</f>
        <v>7147963275.4754887</v>
      </c>
      <c r="BE531" s="129">
        <f>IFERROR(VLOOKUP($D531,UNCTAD!$C$5:$V$529,4,FALSE),"..")</f>
        <v>14656530000</v>
      </c>
      <c r="BF531" s="846">
        <f t="shared" si="93"/>
        <v>0.48769819837816242</v>
      </c>
      <c r="BG531" s="117">
        <f>VLOOKUP($D531,'WB Data'!$C$3:$M$578,5,FALSE)</f>
        <v>1810220000</v>
      </c>
      <c r="BH531" s="129">
        <f>IFERROR($BB531/$BG531,"..")</f>
        <v>0.52076450730297985</v>
      </c>
      <c r="BI531" s="117">
        <f>IFERROR(VLOOKUP($D531,'WB Data'!$C$3:$M$578,7,FALSE)/100,"..")</f>
        <v>8.1409699999999988E-2</v>
      </c>
      <c r="BJ531" s="117">
        <f>IFERROR($BI531*$AW531,"..")</f>
        <v>3220956189.5690708</v>
      </c>
      <c r="BK531" s="846">
        <f>IFERROR($BB531/$BJ531,"..")</f>
        <v>0.29267654414638994</v>
      </c>
      <c r="BL531" s="117">
        <f>IFERROR(VLOOKUP($D531,'WB Data'!$C$3:$M$578,7,FALSE)/100,"..")</f>
        <v>8.1409699999999988E-2</v>
      </c>
      <c r="BM531" s="117">
        <f>IFERROR($AW531*$BL531,"..")</f>
        <v>3220956189.5690708</v>
      </c>
      <c r="BN531" s="846">
        <f>IFERROR($BB531/$BM531,"..")</f>
        <v>0.29267654414638994</v>
      </c>
      <c r="BO531" s="801">
        <f t="shared" si="89"/>
        <v>48</v>
      </c>
      <c r="BP531" s="117" t="str">
        <f>VLOOKUP($D531,'WB Data'!$C$3:$M$578,9,FALSE)</f>
        <v>..</v>
      </c>
      <c r="BQ531" s="117">
        <f>VLOOKUP($D531,'WB Data'!$C$3:$M$578,10,FALSE)</f>
        <v>60.788585365853663</v>
      </c>
      <c r="BR531" s="117">
        <f>VLOOKUP($D531,'WB Data'!$C$3:$M$578,11,FALSE)</f>
        <v>54.2</v>
      </c>
      <c r="BS531" s="129">
        <f>IFERROR(VLOOKUP($D531,'WB Data 2'!$C$2:$K$545,9,FALSE),"..")</f>
        <v>83.901820000000001</v>
      </c>
      <c r="BT531" s="129">
        <f>_xlfn.IFNA(VLOOKUP($C531,RGI!$A$2:$C$43,2,FALSE),"..")</f>
        <v>32.299999999999997</v>
      </c>
      <c r="BU531" s="129">
        <f>_xlfn.IFNA(VLOOKUP($C531,RGI!$A$2:$C$43,3,FALSE),"..")</f>
        <v>62.723264193960979</v>
      </c>
      <c r="BV531" s="129">
        <f>VLOOKUP($D531,WGI!$C$2:$O$478,7,FALSE)</f>
        <v>0.47086549338413702</v>
      </c>
      <c r="BW531" s="129">
        <f>VLOOKUP($D531,WGI!$C$2:$O$478,4,FALSE)</f>
        <v>0.15929445803695699</v>
      </c>
      <c r="BX531" s="129">
        <f>VLOOKUP($D531,WGI!$C$2:$O$478,3,FALSE)</f>
        <v>-5.30835220297124E-2</v>
      </c>
      <c r="BY531" s="129">
        <f>VLOOKUP($D531,WGI!$C$2:$O$478,5,FALSE)</f>
        <v>0.13121087605596901</v>
      </c>
      <c r="BZ531" s="129">
        <f>VLOOKUP($D531,WGI!$C$2:$O$478,2,FALSE)</f>
        <v>5.1506769050044601E-2</v>
      </c>
      <c r="CB531" s="129"/>
    </row>
    <row r="532" spans="1:80" s="120" customFormat="1" ht="15" customHeight="1">
      <c r="A532" s="294" t="s">
        <v>214</v>
      </c>
      <c r="B532" s="117">
        <v>2011</v>
      </c>
      <c r="C532" s="117" t="s">
        <v>195</v>
      </c>
      <c r="D532" s="117" t="s">
        <v>3697</v>
      </c>
      <c r="E532" s="117" t="s">
        <v>86</v>
      </c>
      <c r="F532" s="117"/>
      <c r="G532" s="117" t="s">
        <v>24</v>
      </c>
      <c r="H532" s="117" t="str">
        <f t="shared" si="85"/>
        <v>yes</v>
      </c>
      <c r="I532" s="117" t="str">
        <f t="shared" si="86"/>
        <v>no</v>
      </c>
      <c r="J532" s="117" t="str">
        <f t="shared" si="87"/>
        <v>no</v>
      </c>
      <c r="K532" s="117" t="s">
        <v>784</v>
      </c>
      <c r="L532" s="117" t="str">
        <f t="shared" si="94"/>
        <v>detailed</v>
      </c>
      <c r="M532" s="117" t="str">
        <f t="shared" si="88"/>
        <v>detailed Mining</v>
      </c>
      <c r="N532" s="118">
        <f>82993*32.150743126506</f>
        <v>2668286.6242981125</v>
      </c>
      <c r="O532" s="118"/>
      <c r="P532" s="118">
        <f>2662943*0.911458333</f>
        <v>2427161.5876540192</v>
      </c>
      <c r="Q532" s="118"/>
      <c r="R532" s="118"/>
      <c r="S532" s="117" t="s">
        <v>785</v>
      </c>
      <c r="T532" s="119">
        <f>1564/0.911458333</f>
        <v>1715.9314291989692</v>
      </c>
      <c r="U532" s="117" t="s">
        <v>786</v>
      </c>
      <c r="V532" s="117" t="s">
        <v>1189</v>
      </c>
      <c r="W532" s="89">
        <f>N532*T532</f>
        <v>4578596880.7443533</v>
      </c>
      <c r="X532" s="117">
        <f>(T521+T532)/(T563+T593)</f>
        <v>1.0928722585915764</v>
      </c>
      <c r="Y532" s="117"/>
      <c r="Z532" s="117"/>
      <c r="AA532" s="177">
        <f>AA529-AA530-AA533</f>
        <v>462115969</v>
      </c>
      <c r="AB532" s="177">
        <f>AB529-AB530-AB533</f>
        <v>437484699</v>
      </c>
      <c r="AC532" s="122"/>
      <c r="AD532" s="122"/>
      <c r="AE532" s="122"/>
      <c r="AF532" s="123">
        <f>AA532/W532</f>
        <v>0.10092960377085496</v>
      </c>
      <c r="AG532" s="117"/>
      <c r="AH532" s="124"/>
      <c r="AI532" s="117"/>
      <c r="AJ532" s="117"/>
      <c r="AK532" s="89"/>
      <c r="AL532" s="117"/>
      <c r="AM532" s="117"/>
      <c r="AN532" s="117">
        <v>9</v>
      </c>
      <c r="AO532" s="117" t="s">
        <v>1190</v>
      </c>
      <c r="AP532" s="117">
        <v>9</v>
      </c>
      <c r="AQ532" s="117"/>
      <c r="AR532" s="117"/>
      <c r="AS532" s="117"/>
      <c r="AT532" s="127"/>
      <c r="AU532" s="215" t="s">
        <v>1201</v>
      </c>
      <c r="AV532" s="128"/>
      <c r="AW532" s="117">
        <f>VLOOKUP($D532,'WB Data'!$C$3:$M$578,2,FALSE)</f>
        <v>39564771637.397896</v>
      </c>
      <c r="AX532" s="117">
        <f>VLOOKUP($D532,'WB Data'!$C$3:$M$578,3,FALSE)</f>
        <v>24820706</v>
      </c>
      <c r="AY532" s="847">
        <f t="shared" si="90"/>
        <v>2.3826709655994358E-2</v>
      </c>
      <c r="AZ532" s="117">
        <f>VLOOKUP($D532,'WB Data'!$C$3:$M$578,4,FALSE)/100</f>
        <v>0.19371817114150061</v>
      </c>
      <c r="BA532" s="117">
        <f t="shared" si="91"/>
        <v>7664415203.2278347</v>
      </c>
      <c r="BB532" s="129">
        <f>IFERROR(VLOOKUP($D532,'EITI Revenues'!$C$2:$G$224,5,FALSE),"..")</f>
        <v>942698326.41000009</v>
      </c>
      <c r="BC532" s="846">
        <f t="shared" si="92"/>
        <v>0.12299677162753224</v>
      </c>
      <c r="BD532" s="129">
        <f>VLOOKUP($D532,'WB Data 2'!$C$2:$K$545,6,FALSE)</f>
        <v>7147963275.4754887</v>
      </c>
      <c r="BE532" s="129">
        <f>IFERROR(VLOOKUP($D532,UNCTAD!$C$5:$V$529,4,FALSE),"..")</f>
        <v>14656530000</v>
      </c>
      <c r="BF532" s="846">
        <f t="shared" si="93"/>
        <v>0.48769819837816242</v>
      </c>
      <c r="BG532" s="117">
        <f>VLOOKUP($D532,'WB Data'!$C$3:$M$578,5,FALSE)</f>
        <v>1810220000</v>
      </c>
      <c r="BH532" s="129">
        <f>IFERROR($BB532/$BG532,"..")</f>
        <v>0.52076450730297985</v>
      </c>
      <c r="BI532" s="117">
        <f>IFERROR(VLOOKUP($D532,'WB Data'!$C$3:$M$578,7,FALSE)/100,"..")</f>
        <v>8.1409699999999988E-2</v>
      </c>
      <c r="BJ532" s="117">
        <f>IFERROR($BI532*$AW532,"..")</f>
        <v>3220956189.5690708</v>
      </c>
      <c r="BK532" s="846">
        <f>IFERROR($BB532/$BJ532,"..")</f>
        <v>0.29267654414638994</v>
      </c>
      <c r="BL532" s="117">
        <f>IFERROR(VLOOKUP($D532,'WB Data'!$C$3:$M$578,7,FALSE)/100,"..")</f>
        <v>8.1409699999999988E-2</v>
      </c>
      <c r="BM532" s="117">
        <f>IFERROR($AW532*$BL532,"..")</f>
        <v>3220956189.5690708</v>
      </c>
      <c r="BN532" s="846">
        <f>IFERROR($BB532/$BM532,"..")</f>
        <v>0.29267654414638994</v>
      </c>
      <c r="BO532" s="801">
        <f t="shared" si="89"/>
        <v>48</v>
      </c>
      <c r="BP532" s="117" t="str">
        <f>VLOOKUP($D532,'WB Data'!$C$3:$M$578,9,FALSE)</f>
        <v>..</v>
      </c>
      <c r="BQ532" s="117">
        <f>VLOOKUP($D532,'WB Data'!$C$3:$M$578,10,FALSE)</f>
        <v>60.788585365853663</v>
      </c>
      <c r="BR532" s="117">
        <f>VLOOKUP($D532,'WB Data'!$C$3:$M$578,11,FALSE)</f>
        <v>54.2</v>
      </c>
      <c r="BS532" s="129">
        <f>IFERROR(VLOOKUP($D532,'WB Data 2'!$C$2:$K$545,9,FALSE),"..")</f>
        <v>83.901820000000001</v>
      </c>
      <c r="BT532" s="129">
        <f>_xlfn.IFNA(VLOOKUP($C532,RGI!$A$2:$C$43,2,FALSE),"..")</f>
        <v>32.299999999999997</v>
      </c>
      <c r="BU532" s="129">
        <f>_xlfn.IFNA(VLOOKUP($C532,RGI!$A$2:$C$43,3,FALSE),"..")</f>
        <v>62.723264193960979</v>
      </c>
      <c r="BV532" s="129">
        <f>VLOOKUP($D532,WGI!$C$2:$O$478,7,FALSE)</f>
        <v>0.47086549338413702</v>
      </c>
      <c r="BW532" s="129">
        <f>VLOOKUP($D532,WGI!$C$2:$O$478,4,FALSE)</f>
        <v>0.15929445803695699</v>
      </c>
      <c r="BX532" s="129">
        <f>VLOOKUP($D532,WGI!$C$2:$O$478,3,FALSE)</f>
        <v>-5.30835220297124E-2</v>
      </c>
      <c r="BY532" s="129">
        <f>VLOOKUP($D532,WGI!$C$2:$O$478,5,FALSE)</f>
        <v>0.13121087605596901</v>
      </c>
      <c r="BZ532" s="129">
        <f>VLOOKUP($D532,WGI!$C$2:$O$478,2,FALSE)</f>
        <v>5.1506769050044601E-2</v>
      </c>
      <c r="CB532" s="129"/>
    </row>
    <row r="533" spans="1:80" s="120" customFormat="1" ht="15" customHeight="1">
      <c r="A533" s="294" t="s">
        <v>214</v>
      </c>
      <c r="B533" s="117">
        <v>2011</v>
      </c>
      <c r="C533" s="117" t="s">
        <v>195</v>
      </c>
      <c r="D533" s="117" t="s">
        <v>3697</v>
      </c>
      <c r="E533" s="117" t="s">
        <v>86</v>
      </c>
      <c r="F533" s="117"/>
      <c r="G533" s="117" t="s">
        <v>24</v>
      </c>
      <c r="H533" s="117" t="str">
        <f t="shared" si="85"/>
        <v>yes</v>
      </c>
      <c r="I533" s="117" t="str">
        <f t="shared" si="86"/>
        <v>no</v>
      </c>
      <c r="J533" s="117" t="str">
        <f t="shared" si="87"/>
        <v>no</v>
      </c>
      <c r="K533" s="117" t="s">
        <v>843</v>
      </c>
      <c r="L533" s="117" t="str">
        <f t="shared" si="94"/>
        <v>detailed</v>
      </c>
      <c r="M533" s="117" t="str">
        <f t="shared" si="88"/>
        <v>detailed Mining</v>
      </c>
      <c r="N533" s="118"/>
      <c r="O533" s="118"/>
      <c r="P533" s="118"/>
      <c r="Q533" s="118"/>
      <c r="R533" s="118"/>
      <c r="S533" s="117"/>
      <c r="T533" s="119">
        <v>7.88</v>
      </c>
      <c r="U533" s="117" t="s">
        <v>611</v>
      </c>
      <c r="V533" s="117" t="s">
        <v>844</v>
      </c>
      <c r="W533" s="89">
        <f>N535*T533</f>
        <v>3813.92</v>
      </c>
      <c r="X533" s="117"/>
      <c r="Y533" s="117"/>
      <c r="Z533" s="117"/>
      <c r="AA533" s="177">
        <v>35742538</v>
      </c>
      <c r="AB533" s="177">
        <v>15377935</v>
      </c>
      <c r="AC533" s="122"/>
      <c r="AD533" s="122"/>
      <c r="AE533" s="122"/>
      <c r="AF533" s="123">
        <f>AA533/W533</f>
        <v>9371.601396987875</v>
      </c>
      <c r="AG533" s="117"/>
      <c r="AH533" s="124"/>
      <c r="AI533" s="117"/>
      <c r="AJ533" s="117"/>
      <c r="AK533" s="89"/>
      <c r="AL533" s="117"/>
      <c r="AM533" s="117"/>
      <c r="AN533" s="117">
        <v>1</v>
      </c>
      <c r="AO533" s="117" t="s">
        <v>1145</v>
      </c>
      <c r="AP533" s="117">
        <v>1</v>
      </c>
      <c r="AQ533" s="117"/>
      <c r="AR533" s="117"/>
      <c r="AS533" s="117"/>
      <c r="AT533" s="127"/>
      <c r="AU533" s="215" t="s">
        <v>1198</v>
      </c>
      <c r="AV533" s="128"/>
      <c r="AW533" s="117">
        <f>VLOOKUP($D533,'WB Data'!$C$3:$M$578,2,FALSE)</f>
        <v>39564771637.397896</v>
      </c>
      <c r="AX533" s="117">
        <f>VLOOKUP($D533,'WB Data'!$C$3:$M$578,3,FALSE)</f>
        <v>24820706</v>
      </c>
      <c r="AY533" s="847">
        <f t="shared" si="90"/>
        <v>2.3826709655994358E-2</v>
      </c>
      <c r="AZ533" s="117">
        <f>VLOOKUP($D533,'WB Data'!$C$3:$M$578,4,FALSE)/100</f>
        <v>0.19371817114150061</v>
      </c>
      <c r="BA533" s="117">
        <f t="shared" si="91"/>
        <v>7664415203.2278347</v>
      </c>
      <c r="BB533" s="129">
        <f>IFERROR(VLOOKUP($D533,'EITI Revenues'!$C$2:$G$224,5,FALSE),"..")</f>
        <v>942698326.41000009</v>
      </c>
      <c r="BC533" s="846">
        <f t="shared" si="92"/>
        <v>0.12299677162753224</v>
      </c>
      <c r="BD533" s="129">
        <f>VLOOKUP($D533,'WB Data 2'!$C$2:$K$545,6,FALSE)</f>
        <v>7147963275.4754887</v>
      </c>
      <c r="BE533" s="129">
        <f>IFERROR(VLOOKUP($D533,UNCTAD!$C$5:$V$529,4,FALSE),"..")</f>
        <v>14656530000</v>
      </c>
      <c r="BF533" s="846">
        <f t="shared" si="93"/>
        <v>0.48769819837816242</v>
      </c>
      <c r="BG533" s="117">
        <f>VLOOKUP($D533,'WB Data'!$C$3:$M$578,5,FALSE)</f>
        <v>1810220000</v>
      </c>
      <c r="BH533" s="129">
        <f>IFERROR($BB533/$BG533,"..")</f>
        <v>0.52076450730297985</v>
      </c>
      <c r="BI533" s="117">
        <f>IFERROR(VLOOKUP($D533,'WB Data'!$C$3:$M$578,7,FALSE)/100,"..")</f>
        <v>8.1409699999999988E-2</v>
      </c>
      <c r="BJ533" s="117">
        <f>IFERROR($BI533*$AW533,"..")</f>
        <v>3220956189.5690708</v>
      </c>
      <c r="BK533" s="846">
        <f>IFERROR($BB533/$BJ533,"..")</f>
        <v>0.29267654414638994</v>
      </c>
      <c r="BL533" s="117">
        <f>IFERROR(VLOOKUP($D533,'WB Data'!$C$3:$M$578,7,FALSE)/100,"..")</f>
        <v>8.1409699999999988E-2</v>
      </c>
      <c r="BM533" s="117">
        <f>IFERROR($AW533*$BL533,"..")</f>
        <v>3220956189.5690708</v>
      </c>
      <c r="BN533" s="846">
        <f>IFERROR($BB533/$BM533,"..")</f>
        <v>0.29267654414638994</v>
      </c>
      <c r="BO533" s="801">
        <f t="shared" si="89"/>
        <v>48</v>
      </c>
      <c r="BP533" s="117" t="str">
        <f>VLOOKUP($D533,'WB Data'!$C$3:$M$578,9,FALSE)</f>
        <v>..</v>
      </c>
      <c r="BQ533" s="117">
        <f>VLOOKUP($D533,'WB Data'!$C$3:$M$578,10,FALSE)</f>
        <v>60.788585365853663</v>
      </c>
      <c r="BR533" s="117">
        <f>VLOOKUP($D533,'WB Data'!$C$3:$M$578,11,FALSE)</f>
        <v>54.2</v>
      </c>
      <c r="BS533" s="129">
        <f>IFERROR(VLOOKUP($D533,'WB Data 2'!$C$2:$K$545,9,FALSE),"..")</f>
        <v>83.901820000000001</v>
      </c>
      <c r="BT533" s="129">
        <f>_xlfn.IFNA(VLOOKUP($C533,RGI!$A$2:$C$43,2,FALSE),"..")</f>
        <v>32.299999999999997</v>
      </c>
      <c r="BU533" s="129">
        <f>_xlfn.IFNA(VLOOKUP($C533,RGI!$A$2:$C$43,3,FALSE),"..")</f>
        <v>62.723264193960979</v>
      </c>
      <c r="BV533" s="129">
        <f>VLOOKUP($D533,WGI!$C$2:$O$478,7,FALSE)</f>
        <v>0.47086549338413702</v>
      </c>
      <c r="BW533" s="129">
        <f>VLOOKUP($D533,WGI!$C$2:$O$478,4,FALSE)</f>
        <v>0.15929445803695699</v>
      </c>
      <c r="BX533" s="129">
        <f>VLOOKUP($D533,WGI!$C$2:$O$478,3,FALSE)</f>
        <v>-5.30835220297124E-2</v>
      </c>
      <c r="BY533" s="129">
        <f>VLOOKUP($D533,WGI!$C$2:$O$478,5,FALSE)</f>
        <v>0.13121087605596901</v>
      </c>
      <c r="BZ533" s="129">
        <f>VLOOKUP($D533,WGI!$C$2:$O$478,2,FALSE)</f>
        <v>5.1506769050044601E-2</v>
      </c>
      <c r="CB533" s="129"/>
    </row>
    <row r="534" spans="1:80" s="120" customFormat="1" ht="15" customHeight="1">
      <c r="A534" s="294" t="s">
        <v>214</v>
      </c>
      <c r="B534" s="117">
        <v>2011</v>
      </c>
      <c r="C534" s="117" t="s">
        <v>195</v>
      </c>
      <c r="D534" s="117" t="s">
        <v>3697</v>
      </c>
      <c r="E534" s="117" t="s">
        <v>86</v>
      </c>
      <c r="F534" s="117"/>
      <c r="G534" s="117" t="s">
        <v>24</v>
      </c>
      <c r="H534" s="117" t="str">
        <f t="shared" si="85"/>
        <v>yes</v>
      </c>
      <c r="I534" s="117" t="str">
        <f t="shared" si="86"/>
        <v>no</v>
      </c>
      <c r="J534" s="117" t="str">
        <f t="shared" si="87"/>
        <v>no</v>
      </c>
      <c r="K534" s="117" t="s">
        <v>846</v>
      </c>
      <c r="L534" s="117" t="str">
        <f t="shared" si="94"/>
        <v>detailed</v>
      </c>
      <c r="M534" s="117" t="str">
        <f t="shared" si="88"/>
        <v>detailed Mining</v>
      </c>
      <c r="N534" s="118">
        <v>1729</v>
      </c>
      <c r="O534" s="118"/>
      <c r="P534" s="118"/>
      <c r="Q534" s="118"/>
      <c r="R534" s="118"/>
      <c r="S534" s="117" t="s">
        <v>610</v>
      </c>
      <c r="T534" s="119"/>
      <c r="U534" s="117"/>
      <c r="V534" s="117" t="s">
        <v>847</v>
      </c>
      <c r="W534" s="89"/>
      <c r="X534" s="117"/>
      <c r="Y534" s="117"/>
      <c r="Z534" s="117"/>
      <c r="AA534" s="117"/>
      <c r="AB534" s="117"/>
      <c r="AC534" s="240"/>
      <c r="AD534" s="240"/>
      <c r="AE534" s="240"/>
      <c r="AF534" s="241"/>
      <c r="AG534" s="117"/>
      <c r="AH534" s="124"/>
      <c r="AI534" s="117"/>
      <c r="AJ534" s="117"/>
      <c r="AK534" s="89"/>
      <c r="AL534" s="117"/>
      <c r="AM534" s="117"/>
      <c r="AN534" s="117"/>
      <c r="AO534" s="117"/>
      <c r="AP534" s="117"/>
      <c r="AQ534" s="117"/>
      <c r="AR534" s="117"/>
      <c r="AS534" s="117"/>
      <c r="AT534" s="127"/>
      <c r="AU534" s="117"/>
      <c r="AV534" s="128"/>
      <c r="AW534" s="117">
        <f>VLOOKUP($D534,'WB Data'!$C$3:$M$578,2,FALSE)</f>
        <v>39564771637.397896</v>
      </c>
      <c r="AX534" s="117">
        <f>VLOOKUP($D534,'WB Data'!$C$3:$M$578,3,FALSE)</f>
        <v>24820706</v>
      </c>
      <c r="AY534" s="847">
        <f t="shared" si="90"/>
        <v>2.3826709655994358E-2</v>
      </c>
      <c r="AZ534" s="117">
        <f>VLOOKUP($D534,'WB Data'!$C$3:$M$578,4,FALSE)/100</f>
        <v>0.19371817114150061</v>
      </c>
      <c r="BA534" s="117">
        <f t="shared" si="91"/>
        <v>7664415203.2278347</v>
      </c>
      <c r="BB534" s="129">
        <f>IFERROR(VLOOKUP($D534,'EITI Revenues'!$C$2:$G$224,5,FALSE),"..")</f>
        <v>942698326.41000009</v>
      </c>
      <c r="BC534" s="846">
        <f t="shared" si="92"/>
        <v>0.12299677162753224</v>
      </c>
      <c r="BD534" s="129">
        <f>VLOOKUP($D534,'WB Data 2'!$C$2:$K$545,6,FALSE)</f>
        <v>7147963275.4754887</v>
      </c>
      <c r="BE534" s="129">
        <f>IFERROR(VLOOKUP($D534,UNCTAD!$C$5:$V$529,4,FALSE),"..")</f>
        <v>14656530000</v>
      </c>
      <c r="BF534" s="846">
        <f t="shared" si="93"/>
        <v>0.48769819837816242</v>
      </c>
      <c r="BG534" s="117">
        <f>VLOOKUP($D534,'WB Data'!$C$3:$M$578,5,FALSE)</f>
        <v>1810220000</v>
      </c>
      <c r="BH534" s="129">
        <f>IFERROR($BB534/$BG534,"..")</f>
        <v>0.52076450730297985</v>
      </c>
      <c r="BI534" s="117">
        <f>IFERROR(VLOOKUP($D534,'WB Data'!$C$3:$M$578,7,FALSE)/100,"..")</f>
        <v>8.1409699999999988E-2</v>
      </c>
      <c r="BJ534" s="117">
        <f>IFERROR($BI534*$AW534,"..")</f>
        <v>3220956189.5690708</v>
      </c>
      <c r="BK534" s="846">
        <f>IFERROR($BB534/$BJ534,"..")</f>
        <v>0.29267654414638994</v>
      </c>
      <c r="BL534" s="117">
        <f>IFERROR(VLOOKUP($D534,'WB Data'!$C$3:$M$578,7,FALSE)/100,"..")</f>
        <v>8.1409699999999988E-2</v>
      </c>
      <c r="BM534" s="117">
        <f>IFERROR($AW534*$BL534,"..")</f>
        <v>3220956189.5690708</v>
      </c>
      <c r="BN534" s="846">
        <f>IFERROR($BB534/$BM534,"..")</f>
        <v>0.29267654414638994</v>
      </c>
      <c r="BO534" s="801">
        <f t="shared" si="89"/>
        <v>48</v>
      </c>
      <c r="BP534" s="117" t="str">
        <f>VLOOKUP($D534,'WB Data'!$C$3:$M$578,9,FALSE)</f>
        <v>..</v>
      </c>
      <c r="BQ534" s="117">
        <f>VLOOKUP($D534,'WB Data'!$C$3:$M$578,10,FALSE)</f>
        <v>60.788585365853663</v>
      </c>
      <c r="BR534" s="117">
        <f>VLOOKUP($D534,'WB Data'!$C$3:$M$578,11,FALSE)</f>
        <v>54.2</v>
      </c>
      <c r="BS534" s="129">
        <f>IFERROR(VLOOKUP($D534,'WB Data 2'!$C$2:$K$545,9,FALSE),"..")</f>
        <v>83.901820000000001</v>
      </c>
      <c r="BT534" s="129">
        <f>_xlfn.IFNA(VLOOKUP($C534,RGI!$A$2:$C$43,2,FALSE),"..")</f>
        <v>32.299999999999997</v>
      </c>
      <c r="BU534" s="129">
        <f>_xlfn.IFNA(VLOOKUP($C534,RGI!$A$2:$C$43,3,FALSE),"..")</f>
        <v>62.723264193960979</v>
      </c>
      <c r="BV534" s="129">
        <f>VLOOKUP($D534,WGI!$C$2:$O$478,7,FALSE)</f>
        <v>0.47086549338413702</v>
      </c>
      <c r="BW534" s="129">
        <f>VLOOKUP($D534,WGI!$C$2:$O$478,4,FALSE)</f>
        <v>0.15929445803695699</v>
      </c>
      <c r="BX534" s="129">
        <f>VLOOKUP($D534,WGI!$C$2:$O$478,3,FALSE)</f>
        <v>-5.30835220297124E-2</v>
      </c>
      <c r="BY534" s="129">
        <f>VLOOKUP($D534,WGI!$C$2:$O$478,5,FALSE)</f>
        <v>0.13121087605596901</v>
      </c>
      <c r="BZ534" s="129">
        <f>VLOOKUP($D534,WGI!$C$2:$O$478,2,FALSE)</f>
        <v>5.1506769050044601E-2</v>
      </c>
      <c r="CB534" s="129"/>
    </row>
    <row r="535" spans="1:80" s="158" customFormat="1" ht="15" customHeight="1">
      <c r="A535" s="295" t="s">
        <v>214</v>
      </c>
      <c r="B535" s="149">
        <v>2011</v>
      </c>
      <c r="C535" s="117" t="s">
        <v>195</v>
      </c>
      <c r="D535" s="117" t="s">
        <v>3697</v>
      </c>
      <c r="E535" s="149" t="s">
        <v>86</v>
      </c>
      <c r="F535" s="149"/>
      <c r="G535" s="149" t="s">
        <v>24</v>
      </c>
      <c r="H535" s="149" t="str">
        <f t="shared" si="85"/>
        <v>yes</v>
      </c>
      <c r="I535" s="149" t="str">
        <f t="shared" si="86"/>
        <v>no</v>
      </c>
      <c r="J535" s="149" t="str">
        <f t="shared" si="87"/>
        <v>no</v>
      </c>
      <c r="K535" s="149" t="s">
        <v>848</v>
      </c>
      <c r="L535" s="149" t="str">
        <f t="shared" si="94"/>
        <v>detailed</v>
      </c>
      <c r="M535" s="149" t="str">
        <f t="shared" si="88"/>
        <v>detailed Mining</v>
      </c>
      <c r="N535" s="150">
        <v>484</v>
      </c>
      <c r="O535" s="150"/>
      <c r="P535" s="150"/>
      <c r="Q535" s="150"/>
      <c r="R535" s="150"/>
      <c r="S535" s="149" t="s">
        <v>610</v>
      </c>
      <c r="T535" s="151"/>
      <c r="U535" s="149"/>
      <c r="V535" s="149" t="s">
        <v>847</v>
      </c>
      <c r="W535" s="152"/>
      <c r="X535" s="149"/>
      <c r="Y535" s="149"/>
      <c r="Z535" s="149"/>
      <c r="AA535" s="149"/>
      <c r="AB535" s="149"/>
      <c r="AC535" s="288"/>
      <c r="AD535" s="288"/>
      <c r="AE535" s="288"/>
      <c r="AF535" s="285"/>
      <c r="AG535" s="149"/>
      <c r="AH535" s="156"/>
      <c r="AI535" s="149"/>
      <c r="AJ535" s="149"/>
      <c r="AK535" s="152"/>
      <c r="AL535" s="149"/>
      <c r="AM535" s="149"/>
      <c r="AN535" s="149"/>
      <c r="AO535" s="149"/>
      <c r="AP535" s="149"/>
      <c r="AQ535" s="149"/>
      <c r="AR535" s="149"/>
      <c r="AS535" s="149"/>
      <c r="AT535" s="221"/>
      <c r="AU535" s="149"/>
      <c r="AV535" s="157"/>
      <c r="AW535" s="117">
        <f>VLOOKUP($D535,'WB Data'!$C$3:$M$578,2,FALSE)</f>
        <v>39564771637.397896</v>
      </c>
      <c r="AX535" s="117">
        <f>VLOOKUP($D535,'WB Data'!$C$3:$M$578,3,FALSE)</f>
        <v>24820706</v>
      </c>
      <c r="AY535" s="847">
        <f t="shared" si="90"/>
        <v>2.3826709655994358E-2</v>
      </c>
      <c r="AZ535" s="117">
        <f>VLOOKUP($D535,'WB Data'!$C$3:$M$578,4,FALSE)/100</f>
        <v>0.19371817114150061</v>
      </c>
      <c r="BA535" s="117">
        <f t="shared" si="91"/>
        <v>7664415203.2278347</v>
      </c>
      <c r="BB535" s="129">
        <f>IFERROR(VLOOKUP($D535,'EITI Revenues'!$C$2:$G$224,5,FALSE),"..")</f>
        <v>942698326.41000009</v>
      </c>
      <c r="BC535" s="846">
        <f t="shared" si="92"/>
        <v>0.12299677162753224</v>
      </c>
      <c r="BD535" s="129">
        <f>VLOOKUP($D535,'WB Data 2'!$C$2:$K$545,6,FALSE)</f>
        <v>7147963275.4754887</v>
      </c>
      <c r="BE535" s="129">
        <f>IFERROR(VLOOKUP($D535,UNCTAD!$C$5:$V$529,4,FALSE),"..")</f>
        <v>14656530000</v>
      </c>
      <c r="BF535" s="846">
        <f t="shared" si="93"/>
        <v>0.48769819837816242</v>
      </c>
      <c r="BG535" s="117">
        <f>VLOOKUP($D535,'WB Data'!$C$3:$M$578,5,FALSE)</f>
        <v>1810220000</v>
      </c>
      <c r="BH535" s="129">
        <f>IFERROR($BB535/$BG535,"..")</f>
        <v>0.52076450730297985</v>
      </c>
      <c r="BI535" s="117">
        <f>IFERROR(VLOOKUP($D535,'WB Data'!$C$3:$M$578,7,FALSE)/100,"..")</f>
        <v>8.1409699999999988E-2</v>
      </c>
      <c r="BJ535" s="117">
        <f>IFERROR($BI535*$AW535,"..")</f>
        <v>3220956189.5690708</v>
      </c>
      <c r="BK535" s="846">
        <f>IFERROR($BB535/$BJ535,"..")</f>
        <v>0.29267654414638994</v>
      </c>
      <c r="BL535" s="117">
        <f>IFERROR(VLOOKUP($D535,'WB Data'!$C$3:$M$578,7,FALSE)/100,"..")</f>
        <v>8.1409699999999988E-2</v>
      </c>
      <c r="BM535" s="117">
        <f>IFERROR($AW535*$BL535,"..")</f>
        <v>3220956189.5690708</v>
      </c>
      <c r="BN535" s="846">
        <f>IFERROR($BB535/$BM535,"..")</f>
        <v>0.29267654414638994</v>
      </c>
      <c r="BO535" s="801">
        <f t="shared" si="89"/>
        <v>48</v>
      </c>
      <c r="BP535" s="117" t="str">
        <f>VLOOKUP($D535,'WB Data'!$C$3:$M$578,9,FALSE)</f>
        <v>..</v>
      </c>
      <c r="BQ535" s="117">
        <f>VLOOKUP($D535,'WB Data'!$C$3:$M$578,10,FALSE)</f>
        <v>60.788585365853663</v>
      </c>
      <c r="BR535" s="117">
        <f>VLOOKUP($D535,'WB Data'!$C$3:$M$578,11,FALSE)</f>
        <v>54.2</v>
      </c>
      <c r="BS535" s="129">
        <f>IFERROR(VLOOKUP($D535,'WB Data 2'!$C$2:$K$545,9,FALSE),"..")</f>
        <v>83.901820000000001</v>
      </c>
      <c r="BT535" s="129">
        <f>_xlfn.IFNA(VLOOKUP($C535,RGI!$A$2:$C$43,2,FALSE),"..")</f>
        <v>32.299999999999997</v>
      </c>
      <c r="BU535" s="129">
        <f>_xlfn.IFNA(VLOOKUP($C535,RGI!$A$2:$C$43,3,FALSE),"..")</f>
        <v>62.723264193960979</v>
      </c>
      <c r="BV535" s="129">
        <f>VLOOKUP($D535,WGI!$C$2:$O$478,7,FALSE)</f>
        <v>0.47086549338413702</v>
      </c>
      <c r="BW535" s="129">
        <f>VLOOKUP($D535,WGI!$C$2:$O$478,4,FALSE)</f>
        <v>0.15929445803695699</v>
      </c>
      <c r="BX535" s="129">
        <f>VLOOKUP($D535,WGI!$C$2:$O$478,3,FALSE)</f>
        <v>-5.30835220297124E-2</v>
      </c>
      <c r="BY535" s="129">
        <f>VLOOKUP($D535,WGI!$C$2:$O$478,5,FALSE)</f>
        <v>0.13121087605596901</v>
      </c>
      <c r="BZ535" s="129">
        <f>VLOOKUP($D535,WGI!$C$2:$O$478,2,FALSE)</f>
        <v>5.1506769050044601E-2</v>
      </c>
      <c r="CB535" s="129"/>
    </row>
    <row r="536" spans="1:80" ht="15" customHeight="1">
      <c r="A536" s="289" t="s">
        <v>215</v>
      </c>
      <c r="B536" s="146">
        <v>2012</v>
      </c>
      <c r="C536" s="117" t="s">
        <v>195</v>
      </c>
      <c r="D536" s="117" t="s">
        <v>3731</v>
      </c>
      <c r="E536" s="146" t="s">
        <v>86</v>
      </c>
      <c r="F536" s="146" t="s">
        <v>1130</v>
      </c>
      <c r="G536" s="146" t="s">
        <v>41</v>
      </c>
      <c r="H536" s="146"/>
      <c r="I536" s="146"/>
      <c r="J536" s="146"/>
      <c r="K536" s="146" t="s">
        <v>709</v>
      </c>
      <c r="L536" s="146"/>
      <c r="M536" s="146"/>
      <c r="N536" s="754"/>
      <c r="O536" s="754"/>
      <c r="P536" s="754"/>
      <c r="Q536" s="146"/>
      <c r="R536" s="754"/>
      <c r="S536" s="146"/>
      <c r="T536" s="119"/>
      <c r="U536" s="146"/>
      <c r="V536" s="146" t="s">
        <v>725</v>
      </c>
      <c r="W536" s="760">
        <v>14517340000</v>
      </c>
      <c r="X536" s="146" t="s">
        <v>742</v>
      </c>
      <c r="Y536" s="146" t="s">
        <v>602</v>
      </c>
      <c r="Z536" s="146" t="s">
        <v>664</v>
      </c>
      <c r="AA536" s="757">
        <v>1112429755.6600001</v>
      </c>
      <c r="AB536" s="757">
        <v>1110806094.97</v>
      </c>
      <c r="AC536" s="756"/>
      <c r="AD536" s="766"/>
      <c r="AE536" s="756"/>
      <c r="AF536" s="758"/>
      <c r="AG536" s="146" t="s">
        <v>1202</v>
      </c>
      <c r="AH536" s="759">
        <v>1.95</v>
      </c>
      <c r="AI536" s="146" t="s">
        <v>1203</v>
      </c>
      <c r="AJ536" s="146"/>
      <c r="AK536" s="760"/>
      <c r="AL536" s="146"/>
      <c r="AM536" s="146"/>
      <c r="AN536" s="146">
        <v>20</v>
      </c>
      <c r="AO536" s="146" t="s">
        <v>1204</v>
      </c>
      <c r="AP536" s="146">
        <v>18</v>
      </c>
      <c r="AQ536" s="239" t="s">
        <v>50</v>
      </c>
      <c r="AR536" s="146"/>
      <c r="AS536" s="146" t="s">
        <v>1135</v>
      </c>
      <c r="AT536" s="767" t="s">
        <v>216</v>
      </c>
      <c r="AU536" s="146"/>
      <c r="AV536" s="128" t="s">
        <v>1205</v>
      </c>
      <c r="AW536" s="117">
        <f>VLOOKUP($D536,'WB Data'!$C$3:$M$578,2,FALSE)</f>
        <v>41740926505.118301</v>
      </c>
      <c r="AX536" s="117">
        <f>VLOOKUP($D536,'WB Data'!$C$3:$M$578,3,FALSE)</f>
        <v>25366462</v>
      </c>
      <c r="AY536" s="847">
        <f t="shared" si="90"/>
        <v>2.665081608870357E-2</v>
      </c>
      <c r="AZ536" s="117" t="e">
        <f>VLOOKUP($D536,'WB Data'!$C$3:$M$578,4,FALSE)/100</f>
        <v>#VALUE!</v>
      </c>
      <c r="BA536" s="117" t="str">
        <f t="shared" si="91"/>
        <v>..</v>
      </c>
      <c r="BB536" s="129">
        <f>IFERROR(VLOOKUP($D536,'EITI Revenues'!$C$2:$G$224,5,FALSE),"..")</f>
        <v>1112429755.6600001</v>
      </c>
      <c r="BC536" s="846" t="str">
        <f t="shared" si="92"/>
        <v>..</v>
      </c>
      <c r="BD536" s="129">
        <f>VLOOKUP($D536,'WB Data 2'!$C$2:$K$545,6,FALSE)</f>
        <v>5577445217.4572601</v>
      </c>
      <c r="BE536" s="129">
        <f>IFERROR(VLOOKUP($D536,UNCTAD!$C$5:$V$529,4,FALSE),"..")</f>
        <v>16802810000.000002</v>
      </c>
      <c r="BF536" s="846">
        <f t="shared" si="93"/>
        <v>0.33193526662845435</v>
      </c>
      <c r="BG536" s="117">
        <f>VLOOKUP($D536,'WB Data'!$C$3:$M$578,5,FALSE)</f>
        <v>1807910000</v>
      </c>
      <c r="BH536" s="129">
        <f>IFERROR($BB536/$BG536,"..")</f>
        <v>0.61531257399981198</v>
      </c>
      <c r="BI536" s="117" t="str">
        <f>IFERROR(VLOOKUP($D536,'WB Data'!$C$3:$M$578,7,FALSE)/100,"..")</f>
        <v>..</v>
      </c>
      <c r="BJ536" s="117" t="str">
        <f>IFERROR($BI536*$AW536,"..")</f>
        <v>..</v>
      </c>
      <c r="BK536" s="846" t="str">
        <f>IFERROR($BB536/$BJ536,"..")</f>
        <v>..</v>
      </c>
      <c r="BL536" s="117" t="str">
        <f>IFERROR(VLOOKUP($D536,'WB Data'!$C$3:$M$578,7,FALSE)/100,"..")</f>
        <v>..</v>
      </c>
      <c r="BM536" s="117" t="str">
        <f>IFERROR($AW536*$BL536,"..")</f>
        <v>..</v>
      </c>
      <c r="BN536" s="846" t="str">
        <f>IFERROR($BB536/$BM536,"..")</f>
        <v>..</v>
      </c>
      <c r="BO536" s="801">
        <f t="shared" si="89"/>
        <v>48</v>
      </c>
      <c r="BP536" s="117">
        <f>VLOOKUP($D536,'WB Data'!$C$3:$M$578,9,FALSE)</f>
        <v>24.2</v>
      </c>
      <c r="BQ536" s="117">
        <f>VLOOKUP($D536,'WB Data'!$C$3:$M$578,10,FALSE)</f>
        <v>60.947121951219515</v>
      </c>
      <c r="BR536" s="117">
        <f>VLOOKUP($D536,'WB Data'!$C$3:$M$578,11,FALSE)</f>
        <v>53.3</v>
      </c>
      <c r="BS536" s="129">
        <f>IFERROR(VLOOKUP($D536,'WB Data 2'!$C$2:$K$545,9,FALSE),"..")</f>
        <v>82.343050000000005</v>
      </c>
      <c r="BT536" s="129">
        <f>_xlfn.IFNA(VLOOKUP($C536,RGI!$A$2:$C$43,2,FALSE),"..")</f>
        <v>32.299999999999997</v>
      </c>
      <c r="BU536" s="129">
        <f>_xlfn.IFNA(VLOOKUP($C536,RGI!$A$2:$C$43,3,FALSE),"..")</f>
        <v>62.723264193960979</v>
      </c>
      <c r="BV536" s="129">
        <f>VLOOKUP($D536,WGI!$C$2:$O$478,7,FALSE)</f>
        <v>0.41305456254643802</v>
      </c>
      <c r="BW536" s="129">
        <f>VLOOKUP($D536,WGI!$C$2:$O$478,4,FALSE)</f>
        <v>0.100284810417618</v>
      </c>
      <c r="BX536" s="129">
        <f>VLOOKUP($D536,WGI!$C$2:$O$478,3,FALSE)</f>
        <v>-7.3201838672357494E-2</v>
      </c>
      <c r="BY536" s="129">
        <f>VLOOKUP($D536,WGI!$C$2:$O$478,5,FALSE)</f>
        <v>0.116592682617531</v>
      </c>
      <c r="BZ536" s="129">
        <f>VLOOKUP($D536,WGI!$C$2:$O$478,2,FALSE)</f>
        <v>-8.6503058626665005E-2</v>
      </c>
    </row>
    <row r="537" spans="1:80" ht="15" customHeight="1">
      <c r="A537" s="289" t="s">
        <v>215</v>
      </c>
      <c r="B537" s="146">
        <v>2012</v>
      </c>
      <c r="C537" s="117" t="s">
        <v>195</v>
      </c>
      <c r="D537" s="117" t="s">
        <v>3731</v>
      </c>
      <c r="E537" s="768" t="s">
        <v>86</v>
      </c>
      <c r="F537" s="146"/>
      <c r="G537" s="146" t="s">
        <v>103</v>
      </c>
      <c r="H537" s="146"/>
      <c r="I537" s="146"/>
      <c r="J537" s="146"/>
      <c r="K537" s="146" t="s">
        <v>709</v>
      </c>
      <c r="L537" s="146"/>
      <c r="M537" s="146"/>
      <c r="N537" s="754"/>
      <c r="O537" s="754"/>
      <c r="P537" s="754"/>
      <c r="Q537" s="146"/>
      <c r="R537" s="754">
        <v>26351278</v>
      </c>
      <c r="S537" s="146" t="s">
        <v>646</v>
      </c>
      <c r="T537" s="119"/>
      <c r="U537" s="146"/>
      <c r="V537" s="146"/>
      <c r="W537" s="760">
        <v>2976060000</v>
      </c>
      <c r="X537" s="146"/>
      <c r="Y537" s="146"/>
      <c r="Z537" s="146"/>
      <c r="AA537" s="757">
        <v>541510082.84000003</v>
      </c>
      <c r="AB537" s="757">
        <v>541507932.21000004</v>
      </c>
      <c r="AC537" s="757"/>
      <c r="AD537" s="756"/>
      <c r="AE537" s="756"/>
      <c r="AF537" s="758"/>
      <c r="AG537" s="146"/>
      <c r="AH537" s="759"/>
      <c r="AI537" s="146"/>
      <c r="AJ537" s="146"/>
      <c r="AK537" s="760"/>
      <c r="AL537" s="146"/>
      <c r="AM537" s="146"/>
      <c r="AN537" s="146"/>
      <c r="AO537" s="146"/>
      <c r="AP537" s="146"/>
      <c r="AQ537" s="146"/>
      <c r="AR537" s="146"/>
      <c r="AS537" s="146"/>
      <c r="AT537" s="146"/>
      <c r="AU537" s="146"/>
      <c r="AV537" s="128"/>
      <c r="AW537" s="117">
        <f>VLOOKUP($D537,'WB Data'!$C$3:$M$578,2,FALSE)</f>
        <v>41740926505.118301</v>
      </c>
      <c r="AX537" s="117">
        <f>VLOOKUP($D537,'WB Data'!$C$3:$M$578,3,FALSE)</f>
        <v>25366462</v>
      </c>
      <c r="AY537" s="847">
        <f t="shared" si="90"/>
        <v>2.665081608870357E-2</v>
      </c>
      <c r="AZ537" s="117" t="e">
        <f>VLOOKUP($D537,'WB Data'!$C$3:$M$578,4,FALSE)/100</f>
        <v>#VALUE!</v>
      </c>
      <c r="BA537" s="117" t="str">
        <f t="shared" si="91"/>
        <v>..</v>
      </c>
      <c r="BB537" s="129">
        <f>IFERROR(VLOOKUP($D537,'EITI Revenues'!$C$2:$G$224,5,FALSE),"..")</f>
        <v>1112429755.6600001</v>
      </c>
      <c r="BC537" s="846" t="str">
        <f t="shared" si="92"/>
        <v>..</v>
      </c>
      <c r="BD537" s="129">
        <f>VLOOKUP($D537,'WB Data 2'!$C$2:$K$545,6,FALSE)</f>
        <v>5577445217.4572601</v>
      </c>
      <c r="BE537" s="129">
        <f>IFERROR(VLOOKUP($D537,UNCTAD!$C$5:$V$529,4,FALSE),"..")</f>
        <v>16802810000.000002</v>
      </c>
      <c r="BF537" s="846">
        <f t="shared" si="93"/>
        <v>0.33193526662845435</v>
      </c>
      <c r="BG537" s="117">
        <f>VLOOKUP($D537,'WB Data'!$C$3:$M$578,5,FALSE)</f>
        <v>1807910000</v>
      </c>
      <c r="BH537" s="129">
        <f>IFERROR($BB537/$BG537,"..")</f>
        <v>0.61531257399981198</v>
      </c>
      <c r="BI537" s="117" t="str">
        <f>IFERROR(VLOOKUP($D537,'WB Data'!$C$3:$M$578,7,FALSE)/100,"..")</f>
        <v>..</v>
      </c>
      <c r="BJ537" s="117" t="str">
        <f>IFERROR($BI537*$AW537,"..")</f>
        <v>..</v>
      </c>
      <c r="BK537" s="846" t="str">
        <f>IFERROR($BB537/$BJ537,"..")</f>
        <v>..</v>
      </c>
      <c r="BL537" s="117" t="str">
        <f>IFERROR(VLOOKUP($D537,'WB Data'!$C$3:$M$578,7,FALSE)/100,"..")</f>
        <v>..</v>
      </c>
      <c r="BM537" s="117" t="str">
        <f>IFERROR($AW537*$BL537,"..")</f>
        <v>..</v>
      </c>
      <c r="BN537" s="846" t="str">
        <f>IFERROR($BB537/$BM537,"..")</f>
        <v>..</v>
      </c>
      <c r="BO537" s="801">
        <f t="shared" si="89"/>
        <v>48</v>
      </c>
      <c r="BP537" s="117">
        <f>VLOOKUP($D537,'WB Data'!$C$3:$M$578,9,FALSE)</f>
        <v>24.2</v>
      </c>
      <c r="BQ537" s="117">
        <f>VLOOKUP($D537,'WB Data'!$C$3:$M$578,10,FALSE)</f>
        <v>60.947121951219515</v>
      </c>
      <c r="BR537" s="117">
        <f>VLOOKUP($D537,'WB Data'!$C$3:$M$578,11,FALSE)</f>
        <v>53.3</v>
      </c>
      <c r="BS537" s="129">
        <f>IFERROR(VLOOKUP($D537,'WB Data 2'!$C$2:$K$545,9,FALSE),"..")</f>
        <v>82.343050000000005</v>
      </c>
      <c r="BT537" s="129">
        <f>_xlfn.IFNA(VLOOKUP($C537,RGI!$A$2:$C$43,2,FALSE),"..")</f>
        <v>32.299999999999997</v>
      </c>
      <c r="BU537" s="129">
        <f>_xlfn.IFNA(VLOOKUP($C537,RGI!$A$2:$C$43,3,FALSE),"..")</f>
        <v>62.723264193960979</v>
      </c>
      <c r="BV537" s="129">
        <f>VLOOKUP($D537,WGI!$C$2:$O$478,7,FALSE)</f>
        <v>0.41305456254643802</v>
      </c>
      <c r="BW537" s="129">
        <f>VLOOKUP($D537,WGI!$C$2:$O$478,4,FALSE)</f>
        <v>0.100284810417618</v>
      </c>
      <c r="BX537" s="129">
        <f>VLOOKUP($D537,WGI!$C$2:$O$478,3,FALSE)</f>
        <v>-7.3201838672357494E-2</v>
      </c>
      <c r="BY537" s="129">
        <f>VLOOKUP($D537,WGI!$C$2:$O$478,5,FALSE)</f>
        <v>0.116592682617531</v>
      </c>
      <c r="BZ537" s="129">
        <f>VLOOKUP($D537,WGI!$C$2:$O$478,2,FALSE)</f>
        <v>-8.6503058626665005E-2</v>
      </c>
    </row>
    <row r="538" spans="1:80" ht="15" customHeight="1">
      <c r="A538" s="289" t="s">
        <v>215</v>
      </c>
      <c r="B538" s="146">
        <v>2012</v>
      </c>
      <c r="C538" s="117" t="s">
        <v>195</v>
      </c>
      <c r="D538" s="117" t="s">
        <v>3731</v>
      </c>
      <c r="E538" s="768" t="s">
        <v>86</v>
      </c>
      <c r="F538" s="146"/>
      <c r="G538" s="146" t="s">
        <v>24</v>
      </c>
      <c r="H538" s="146"/>
      <c r="I538" s="146"/>
      <c r="J538" s="146"/>
      <c r="K538" s="146" t="s">
        <v>600</v>
      </c>
      <c r="L538" s="146"/>
      <c r="M538" s="146"/>
      <c r="N538" s="754"/>
      <c r="O538" s="754"/>
      <c r="P538" s="754"/>
      <c r="Q538" s="146"/>
      <c r="R538" s="754"/>
      <c r="S538" s="146"/>
      <c r="T538" s="119"/>
      <c r="U538" s="146"/>
      <c r="V538" s="146"/>
      <c r="W538" s="760">
        <v>5770640000</v>
      </c>
      <c r="X538" s="146"/>
      <c r="Y538" s="146"/>
      <c r="Z538" s="146"/>
      <c r="AA538" s="757">
        <v>570919672.82000005</v>
      </c>
      <c r="AB538" s="757">
        <v>569298162.75999999</v>
      </c>
      <c r="AC538" s="756"/>
      <c r="AD538" s="756"/>
      <c r="AE538" s="756"/>
      <c r="AF538" s="758"/>
      <c r="AG538" s="146"/>
      <c r="AH538" s="759"/>
      <c r="AI538" s="146"/>
      <c r="AJ538" s="146"/>
      <c r="AK538" s="760"/>
      <c r="AL538" s="146"/>
      <c r="AM538" s="146"/>
      <c r="AN538" s="146"/>
      <c r="AO538" s="146"/>
      <c r="AP538" s="146"/>
      <c r="AQ538" s="146"/>
      <c r="AR538" s="146"/>
      <c r="AS538" s="146"/>
      <c r="AT538" s="146"/>
      <c r="AU538" s="146"/>
      <c r="AV538" s="128"/>
      <c r="AW538" s="117">
        <f>VLOOKUP($D538,'WB Data'!$C$3:$M$578,2,FALSE)</f>
        <v>41740926505.118301</v>
      </c>
      <c r="AX538" s="117">
        <f>VLOOKUP($D538,'WB Data'!$C$3:$M$578,3,FALSE)</f>
        <v>25366462</v>
      </c>
      <c r="AY538" s="847">
        <f t="shared" si="90"/>
        <v>2.665081608870357E-2</v>
      </c>
      <c r="AZ538" s="117" t="e">
        <f>VLOOKUP($D538,'WB Data'!$C$3:$M$578,4,FALSE)/100</f>
        <v>#VALUE!</v>
      </c>
      <c r="BA538" s="117" t="str">
        <f t="shared" si="91"/>
        <v>..</v>
      </c>
      <c r="BB538" s="129">
        <f>IFERROR(VLOOKUP($D538,'EITI Revenues'!$C$2:$G$224,5,FALSE),"..")</f>
        <v>1112429755.6600001</v>
      </c>
      <c r="BC538" s="846" t="str">
        <f t="shared" si="92"/>
        <v>..</v>
      </c>
      <c r="BD538" s="129">
        <f>VLOOKUP($D538,'WB Data 2'!$C$2:$K$545,6,FALSE)</f>
        <v>5577445217.4572601</v>
      </c>
      <c r="BE538" s="129">
        <f>IFERROR(VLOOKUP($D538,UNCTAD!$C$5:$V$529,4,FALSE),"..")</f>
        <v>16802810000.000002</v>
      </c>
      <c r="BF538" s="846">
        <f t="shared" si="93"/>
        <v>0.33193526662845435</v>
      </c>
      <c r="BG538" s="117">
        <f>VLOOKUP($D538,'WB Data'!$C$3:$M$578,5,FALSE)</f>
        <v>1807910000</v>
      </c>
      <c r="BH538" s="129">
        <f>IFERROR($BB538/$BG538,"..")</f>
        <v>0.61531257399981198</v>
      </c>
      <c r="BI538" s="117" t="str">
        <f>IFERROR(VLOOKUP($D538,'WB Data'!$C$3:$M$578,7,FALSE)/100,"..")</f>
        <v>..</v>
      </c>
      <c r="BJ538" s="117" t="str">
        <f>IFERROR($BI538*$AW538,"..")</f>
        <v>..</v>
      </c>
      <c r="BK538" s="846" t="str">
        <f>IFERROR($BB538/$BJ538,"..")</f>
        <v>..</v>
      </c>
      <c r="BL538" s="117" t="str">
        <f>IFERROR(VLOOKUP($D538,'WB Data'!$C$3:$M$578,7,FALSE)/100,"..")</f>
        <v>..</v>
      </c>
      <c r="BM538" s="117" t="str">
        <f>IFERROR($AW538*$BL538,"..")</f>
        <v>..</v>
      </c>
      <c r="BN538" s="846" t="str">
        <f>IFERROR($BB538/$BM538,"..")</f>
        <v>..</v>
      </c>
      <c r="BO538" s="801">
        <f t="shared" si="89"/>
        <v>48</v>
      </c>
      <c r="BP538" s="117">
        <f>VLOOKUP($D538,'WB Data'!$C$3:$M$578,9,FALSE)</f>
        <v>24.2</v>
      </c>
      <c r="BQ538" s="117">
        <f>VLOOKUP($D538,'WB Data'!$C$3:$M$578,10,FALSE)</f>
        <v>60.947121951219515</v>
      </c>
      <c r="BR538" s="117">
        <f>VLOOKUP($D538,'WB Data'!$C$3:$M$578,11,FALSE)</f>
        <v>53.3</v>
      </c>
      <c r="BS538" s="129">
        <f>IFERROR(VLOOKUP($D538,'WB Data 2'!$C$2:$K$545,9,FALSE),"..")</f>
        <v>82.343050000000005</v>
      </c>
      <c r="BT538" s="129">
        <f>_xlfn.IFNA(VLOOKUP($C538,RGI!$A$2:$C$43,2,FALSE),"..")</f>
        <v>32.299999999999997</v>
      </c>
      <c r="BU538" s="129">
        <f>_xlfn.IFNA(VLOOKUP($C538,RGI!$A$2:$C$43,3,FALSE),"..")</f>
        <v>62.723264193960979</v>
      </c>
      <c r="BV538" s="129">
        <f>VLOOKUP($D538,WGI!$C$2:$O$478,7,FALSE)</f>
        <v>0.41305456254643802</v>
      </c>
      <c r="BW538" s="129">
        <f>VLOOKUP($D538,WGI!$C$2:$O$478,4,FALSE)</f>
        <v>0.100284810417618</v>
      </c>
      <c r="BX538" s="129">
        <f>VLOOKUP($D538,WGI!$C$2:$O$478,3,FALSE)</f>
        <v>-7.3201838672357494E-2</v>
      </c>
      <c r="BY538" s="129">
        <f>VLOOKUP($D538,WGI!$C$2:$O$478,5,FALSE)</f>
        <v>0.116592682617531</v>
      </c>
      <c r="BZ538" s="129">
        <f>VLOOKUP($D538,WGI!$C$2:$O$478,2,FALSE)</f>
        <v>-8.6503058626665005E-2</v>
      </c>
    </row>
    <row r="539" spans="1:80" ht="15" customHeight="1">
      <c r="A539" s="289" t="s">
        <v>215</v>
      </c>
      <c r="B539" s="146">
        <v>2012</v>
      </c>
      <c r="C539" s="117" t="s">
        <v>195</v>
      </c>
      <c r="D539" s="117" t="s">
        <v>3731</v>
      </c>
      <c r="E539" s="768" t="s">
        <v>86</v>
      </c>
      <c r="F539" s="146"/>
      <c r="G539" s="146" t="s">
        <v>24</v>
      </c>
      <c r="H539" s="146"/>
      <c r="I539" s="146"/>
      <c r="J539" s="146"/>
      <c r="K539" s="146" t="s">
        <v>784</v>
      </c>
      <c r="L539" s="146"/>
      <c r="M539" s="146"/>
      <c r="N539" s="754"/>
      <c r="O539" s="754"/>
      <c r="P539" s="754"/>
      <c r="Q539" s="760"/>
      <c r="R539" s="760">
        <v>3166483</v>
      </c>
      <c r="S539" s="146" t="s">
        <v>1206</v>
      </c>
      <c r="T539" s="119"/>
      <c r="U539" s="146"/>
      <c r="V539" s="146"/>
      <c r="W539" s="760">
        <v>5643270000</v>
      </c>
      <c r="X539" s="146"/>
      <c r="Y539" s="146"/>
      <c r="Z539" s="146"/>
      <c r="AA539" s="757"/>
      <c r="AB539" s="146"/>
      <c r="AC539" s="757"/>
      <c r="AD539" s="756"/>
      <c r="AE539" s="756"/>
      <c r="AF539" s="758"/>
      <c r="AG539" s="146"/>
      <c r="AH539" s="759"/>
      <c r="AI539" s="146"/>
      <c r="AJ539" s="146"/>
      <c r="AK539" s="760"/>
      <c r="AL539" s="146"/>
      <c r="AM539" s="146"/>
      <c r="AN539" s="146"/>
      <c r="AO539" s="146"/>
      <c r="AP539" s="146"/>
      <c r="AQ539" s="146"/>
      <c r="AR539" s="146"/>
      <c r="AS539" s="146"/>
      <c r="AT539" s="146"/>
      <c r="AU539" s="146"/>
      <c r="AV539" s="128"/>
      <c r="AW539" s="117">
        <f>VLOOKUP($D539,'WB Data'!$C$3:$M$578,2,FALSE)</f>
        <v>41740926505.118301</v>
      </c>
      <c r="AX539" s="117">
        <f>VLOOKUP($D539,'WB Data'!$C$3:$M$578,3,FALSE)</f>
        <v>25366462</v>
      </c>
      <c r="AY539" s="847">
        <f t="shared" si="90"/>
        <v>2.665081608870357E-2</v>
      </c>
      <c r="AZ539" s="117" t="e">
        <f>VLOOKUP($D539,'WB Data'!$C$3:$M$578,4,FALSE)/100</f>
        <v>#VALUE!</v>
      </c>
      <c r="BA539" s="117" t="str">
        <f t="shared" si="91"/>
        <v>..</v>
      </c>
      <c r="BB539" s="129">
        <f>IFERROR(VLOOKUP($D539,'EITI Revenues'!$C$2:$G$224,5,FALSE),"..")</f>
        <v>1112429755.6600001</v>
      </c>
      <c r="BC539" s="846" t="str">
        <f t="shared" si="92"/>
        <v>..</v>
      </c>
      <c r="BD539" s="129">
        <f>VLOOKUP($D539,'WB Data 2'!$C$2:$K$545,6,FALSE)</f>
        <v>5577445217.4572601</v>
      </c>
      <c r="BE539" s="129">
        <f>IFERROR(VLOOKUP($D539,UNCTAD!$C$5:$V$529,4,FALSE),"..")</f>
        <v>16802810000.000002</v>
      </c>
      <c r="BF539" s="846">
        <f t="shared" si="93"/>
        <v>0.33193526662845435</v>
      </c>
      <c r="BG539" s="117">
        <f>VLOOKUP($D539,'WB Data'!$C$3:$M$578,5,FALSE)</f>
        <v>1807910000</v>
      </c>
      <c r="BH539" s="129">
        <f>IFERROR($BB539/$BG539,"..")</f>
        <v>0.61531257399981198</v>
      </c>
      <c r="BI539" s="117" t="str">
        <f>IFERROR(VLOOKUP($D539,'WB Data'!$C$3:$M$578,7,FALSE)/100,"..")</f>
        <v>..</v>
      </c>
      <c r="BJ539" s="117" t="str">
        <f>IFERROR($BI539*$AW539,"..")</f>
        <v>..</v>
      </c>
      <c r="BK539" s="846" t="str">
        <f>IFERROR($BB539/$BJ539,"..")</f>
        <v>..</v>
      </c>
      <c r="BL539" s="117" t="str">
        <f>IFERROR(VLOOKUP($D539,'WB Data'!$C$3:$M$578,7,FALSE)/100,"..")</f>
        <v>..</v>
      </c>
      <c r="BM539" s="117" t="str">
        <f>IFERROR($AW539*$BL539,"..")</f>
        <v>..</v>
      </c>
      <c r="BN539" s="846" t="str">
        <f>IFERROR($BB539/$BM539,"..")</f>
        <v>..</v>
      </c>
      <c r="BO539" s="801">
        <f t="shared" si="89"/>
        <v>48</v>
      </c>
      <c r="BP539" s="117">
        <f>VLOOKUP($D539,'WB Data'!$C$3:$M$578,9,FALSE)</f>
        <v>24.2</v>
      </c>
      <c r="BQ539" s="117">
        <f>VLOOKUP($D539,'WB Data'!$C$3:$M$578,10,FALSE)</f>
        <v>60.947121951219515</v>
      </c>
      <c r="BR539" s="117">
        <f>VLOOKUP($D539,'WB Data'!$C$3:$M$578,11,FALSE)</f>
        <v>53.3</v>
      </c>
      <c r="BS539" s="129">
        <f>IFERROR(VLOOKUP($D539,'WB Data 2'!$C$2:$K$545,9,FALSE),"..")</f>
        <v>82.343050000000005</v>
      </c>
      <c r="BT539" s="129">
        <f>_xlfn.IFNA(VLOOKUP($C539,RGI!$A$2:$C$43,2,FALSE),"..")</f>
        <v>32.299999999999997</v>
      </c>
      <c r="BU539" s="129">
        <f>_xlfn.IFNA(VLOOKUP($C539,RGI!$A$2:$C$43,3,FALSE),"..")</f>
        <v>62.723264193960979</v>
      </c>
      <c r="BV539" s="129">
        <f>VLOOKUP($D539,WGI!$C$2:$O$478,7,FALSE)</f>
        <v>0.41305456254643802</v>
      </c>
      <c r="BW539" s="129">
        <f>VLOOKUP($D539,WGI!$C$2:$O$478,4,FALSE)</f>
        <v>0.100284810417618</v>
      </c>
      <c r="BX539" s="129">
        <f>VLOOKUP($D539,WGI!$C$2:$O$478,3,FALSE)</f>
        <v>-7.3201838672357494E-2</v>
      </c>
      <c r="BY539" s="129">
        <f>VLOOKUP($D539,WGI!$C$2:$O$478,5,FALSE)</f>
        <v>0.116592682617531</v>
      </c>
      <c r="BZ539" s="129">
        <f>VLOOKUP($D539,WGI!$C$2:$O$478,2,FALSE)</f>
        <v>-8.6503058626665005E-2</v>
      </c>
    </row>
    <row r="540" spans="1:80" ht="15" customHeight="1">
      <c r="A540" s="289" t="s">
        <v>215</v>
      </c>
      <c r="B540" s="146">
        <v>2012</v>
      </c>
      <c r="C540" s="117" t="s">
        <v>195</v>
      </c>
      <c r="D540" s="117" t="s">
        <v>3731</v>
      </c>
      <c r="E540" s="768" t="s">
        <v>86</v>
      </c>
      <c r="F540" s="146"/>
      <c r="G540" s="146" t="s">
        <v>24</v>
      </c>
      <c r="H540" s="146"/>
      <c r="I540" s="146"/>
      <c r="J540" s="146"/>
      <c r="K540" s="146" t="s">
        <v>1207</v>
      </c>
      <c r="L540" s="146"/>
      <c r="M540" s="146"/>
      <c r="N540" s="754"/>
      <c r="O540" s="754"/>
      <c r="P540" s="754"/>
      <c r="Q540" s="760"/>
      <c r="R540" s="760">
        <v>215118</v>
      </c>
      <c r="S540" s="146" t="s">
        <v>981</v>
      </c>
      <c r="T540" s="119"/>
      <c r="U540" s="146"/>
      <c r="V540" s="146"/>
      <c r="W540" s="760">
        <v>10380000</v>
      </c>
      <c r="X540" s="146"/>
      <c r="Y540" s="146"/>
      <c r="Z540" s="146"/>
      <c r="AA540" s="757"/>
      <c r="AB540" s="146"/>
      <c r="AC540" s="756"/>
      <c r="AD540" s="757"/>
      <c r="AE540" s="756"/>
      <c r="AF540" s="758"/>
      <c r="AG540" s="146"/>
      <c r="AH540" s="759"/>
      <c r="AI540" s="146"/>
      <c r="AJ540" s="146"/>
      <c r="AK540" s="760"/>
      <c r="AL540" s="146"/>
      <c r="AM540" s="146"/>
      <c r="AN540" s="146"/>
      <c r="AO540" s="146"/>
      <c r="AP540" s="146"/>
      <c r="AQ540" s="146"/>
      <c r="AR540" s="146"/>
      <c r="AS540" s="146"/>
      <c r="AT540" s="146"/>
      <c r="AU540" s="146"/>
      <c r="AV540" s="128"/>
      <c r="AW540" s="117">
        <f>VLOOKUP($D540,'WB Data'!$C$3:$M$578,2,FALSE)</f>
        <v>41740926505.118301</v>
      </c>
      <c r="AX540" s="117">
        <f>VLOOKUP($D540,'WB Data'!$C$3:$M$578,3,FALSE)</f>
        <v>25366462</v>
      </c>
      <c r="AY540" s="847">
        <f t="shared" si="90"/>
        <v>2.665081608870357E-2</v>
      </c>
      <c r="AZ540" s="117" t="e">
        <f>VLOOKUP($D540,'WB Data'!$C$3:$M$578,4,FALSE)/100</f>
        <v>#VALUE!</v>
      </c>
      <c r="BA540" s="117" t="str">
        <f t="shared" si="91"/>
        <v>..</v>
      </c>
      <c r="BB540" s="129">
        <f>IFERROR(VLOOKUP($D540,'EITI Revenues'!$C$2:$G$224,5,FALSE),"..")</f>
        <v>1112429755.6600001</v>
      </c>
      <c r="BC540" s="846" t="str">
        <f t="shared" si="92"/>
        <v>..</v>
      </c>
      <c r="BD540" s="129">
        <f>VLOOKUP($D540,'WB Data 2'!$C$2:$K$545,6,FALSE)</f>
        <v>5577445217.4572601</v>
      </c>
      <c r="BE540" s="129">
        <f>IFERROR(VLOOKUP($D540,UNCTAD!$C$5:$V$529,4,FALSE),"..")</f>
        <v>16802810000.000002</v>
      </c>
      <c r="BF540" s="846">
        <f t="shared" si="93"/>
        <v>0.33193526662845435</v>
      </c>
      <c r="BG540" s="117">
        <f>VLOOKUP($D540,'WB Data'!$C$3:$M$578,5,FALSE)</f>
        <v>1807910000</v>
      </c>
      <c r="BH540" s="129">
        <f>IFERROR($BB540/$BG540,"..")</f>
        <v>0.61531257399981198</v>
      </c>
      <c r="BI540" s="117" t="str">
        <f>IFERROR(VLOOKUP($D540,'WB Data'!$C$3:$M$578,7,FALSE)/100,"..")</f>
        <v>..</v>
      </c>
      <c r="BJ540" s="117" t="str">
        <f>IFERROR($BI540*$AW540,"..")</f>
        <v>..</v>
      </c>
      <c r="BK540" s="846" t="str">
        <f>IFERROR($BB540/$BJ540,"..")</f>
        <v>..</v>
      </c>
      <c r="BL540" s="117" t="str">
        <f>IFERROR(VLOOKUP($D540,'WB Data'!$C$3:$M$578,7,FALSE)/100,"..")</f>
        <v>..</v>
      </c>
      <c r="BM540" s="117" t="str">
        <f>IFERROR($AW540*$BL540,"..")</f>
        <v>..</v>
      </c>
      <c r="BN540" s="846" t="str">
        <f>IFERROR($BB540/$BM540,"..")</f>
        <v>..</v>
      </c>
      <c r="BO540" s="801">
        <f t="shared" si="89"/>
        <v>48</v>
      </c>
      <c r="BP540" s="117">
        <f>VLOOKUP($D540,'WB Data'!$C$3:$M$578,9,FALSE)</f>
        <v>24.2</v>
      </c>
      <c r="BQ540" s="117">
        <f>VLOOKUP($D540,'WB Data'!$C$3:$M$578,10,FALSE)</f>
        <v>60.947121951219515</v>
      </c>
      <c r="BR540" s="117">
        <f>VLOOKUP($D540,'WB Data'!$C$3:$M$578,11,FALSE)</f>
        <v>53.3</v>
      </c>
      <c r="BS540" s="129">
        <f>IFERROR(VLOOKUP($D540,'WB Data 2'!$C$2:$K$545,9,FALSE),"..")</f>
        <v>82.343050000000005</v>
      </c>
      <c r="BT540" s="129">
        <f>_xlfn.IFNA(VLOOKUP($C540,RGI!$A$2:$C$43,2,FALSE),"..")</f>
        <v>32.299999999999997</v>
      </c>
      <c r="BU540" s="129">
        <f>_xlfn.IFNA(VLOOKUP($C540,RGI!$A$2:$C$43,3,FALSE),"..")</f>
        <v>62.723264193960979</v>
      </c>
      <c r="BV540" s="129">
        <f>VLOOKUP($D540,WGI!$C$2:$O$478,7,FALSE)</f>
        <v>0.41305456254643802</v>
      </c>
      <c r="BW540" s="129">
        <f>VLOOKUP($D540,WGI!$C$2:$O$478,4,FALSE)</f>
        <v>0.100284810417618</v>
      </c>
      <c r="BX540" s="129">
        <f>VLOOKUP($D540,WGI!$C$2:$O$478,3,FALSE)</f>
        <v>-7.3201838672357494E-2</v>
      </c>
      <c r="BY540" s="129">
        <f>VLOOKUP($D540,WGI!$C$2:$O$478,5,FALSE)</f>
        <v>0.116592682617531</v>
      </c>
      <c r="BZ540" s="129">
        <f>VLOOKUP($D540,WGI!$C$2:$O$478,2,FALSE)</f>
        <v>-8.6503058626665005E-2</v>
      </c>
    </row>
    <row r="541" spans="1:80" ht="15" customHeight="1">
      <c r="A541" s="289" t="s">
        <v>215</v>
      </c>
      <c r="B541" s="146">
        <v>2012</v>
      </c>
      <c r="C541" s="117" t="s">
        <v>195</v>
      </c>
      <c r="D541" s="117" t="s">
        <v>3731</v>
      </c>
      <c r="E541" s="768" t="s">
        <v>86</v>
      </c>
      <c r="F541" s="146"/>
      <c r="G541" s="146" t="s">
        <v>24</v>
      </c>
      <c r="H541" s="146"/>
      <c r="I541" s="146"/>
      <c r="J541" s="146"/>
      <c r="K541" s="146" t="s">
        <v>1138</v>
      </c>
      <c r="L541" s="146"/>
      <c r="M541" s="146"/>
      <c r="N541" s="754"/>
      <c r="O541" s="754"/>
      <c r="P541" s="754"/>
      <c r="Q541" s="760"/>
      <c r="R541" s="760">
        <v>752771</v>
      </c>
      <c r="S541" s="146" t="s">
        <v>610</v>
      </c>
      <c r="T541" s="119"/>
      <c r="U541" s="146"/>
      <c r="V541" s="146"/>
      <c r="W541" s="760">
        <v>24620000</v>
      </c>
      <c r="X541" s="146"/>
      <c r="Y541" s="146"/>
      <c r="Z541" s="146"/>
      <c r="AA541" s="757"/>
      <c r="AB541" s="146"/>
      <c r="AC541" s="756"/>
      <c r="AD541" s="756"/>
      <c r="AE541" s="756"/>
      <c r="AF541" s="758"/>
      <c r="AG541" s="146"/>
      <c r="AH541" s="759"/>
      <c r="AI541" s="146"/>
      <c r="AJ541" s="146"/>
      <c r="AK541" s="760"/>
      <c r="AL541" s="146"/>
      <c r="AM541" s="146"/>
      <c r="AN541" s="146"/>
      <c r="AO541" s="146"/>
      <c r="AP541" s="146"/>
      <c r="AQ541" s="146"/>
      <c r="AR541" s="146"/>
      <c r="AS541" s="146"/>
      <c r="AT541" s="146"/>
      <c r="AU541" s="146"/>
      <c r="AV541" s="128"/>
      <c r="AW541" s="117">
        <f>VLOOKUP($D541,'WB Data'!$C$3:$M$578,2,FALSE)</f>
        <v>41740926505.118301</v>
      </c>
      <c r="AX541" s="117">
        <f>VLOOKUP($D541,'WB Data'!$C$3:$M$578,3,FALSE)</f>
        <v>25366462</v>
      </c>
      <c r="AY541" s="847">
        <f t="shared" si="90"/>
        <v>2.665081608870357E-2</v>
      </c>
      <c r="AZ541" s="117" t="e">
        <f>VLOOKUP($D541,'WB Data'!$C$3:$M$578,4,FALSE)/100</f>
        <v>#VALUE!</v>
      </c>
      <c r="BA541" s="117" t="str">
        <f t="shared" si="91"/>
        <v>..</v>
      </c>
      <c r="BB541" s="129">
        <f>IFERROR(VLOOKUP($D541,'EITI Revenues'!$C$2:$G$224,5,FALSE),"..")</f>
        <v>1112429755.6600001</v>
      </c>
      <c r="BC541" s="846" t="str">
        <f t="shared" si="92"/>
        <v>..</v>
      </c>
      <c r="BD541" s="129">
        <f>VLOOKUP($D541,'WB Data 2'!$C$2:$K$545,6,FALSE)</f>
        <v>5577445217.4572601</v>
      </c>
      <c r="BE541" s="129">
        <f>IFERROR(VLOOKUP($D541,UNCTAD!$C$5:$V$529,4,FALSE),"..")</f>
        <v>16802810000.000002</v>
      </c>
      <c r="BF541" s="846">
        <f t="shared" si="93"/>
        <v>0.33193526662845435</v>
      </c>
      <c r="BG541" s="117">
        <f>VLOOKUP($D541,'WB Data'!$C$3:$M$578,5,FALSE)</f>
        <v>1807910000</v>
      </c>
      <c r="BH541" s="129">
        <f>IFERROR($BB541/$BG541,"..")</f>
        <v>0.61531257399981198</v>
      </c>
      <c r="BI541" s="117" t="str">
        <f>IFERROR(VLOOKUP($D541,'WB Data'!$C$3:$M$578,7,FALSE)/100,"..")</f>
        <v>..</v>
      </c>
      <c r="BJ541" s="117" t="str">
        <f>IFERROR($BI541*$AW541,"..")</f>
        <v>..</v>
      </c>
      <c r="BK541" s="846" t="str">
        <f>IFERROR($BB541/$BJ541,"..")</f>
        <v>..</v>
      </c>
      <c r="BL541" s="117" t="str">
        <f>IFERROR(VLOOKUP($D541,'WB Data'!$C$3:$M$578,7,FALSE)/100,"..")</f>
        <v>..</v>
      </c>
      <c r="BM541" s="117" t="str">
        <f>IFERROR($AW541*$BL541,"..")</f>
        <v>..</v>
      </c>
      <c r="BN541" s="846" t="str">
        <f>IFERROR($BB541/$BM541,"..")</f>
        <v>..</v>
      </c>
      <c r="BO541" s="801">
        <f t="shared" si="89"/>
        <v>48</v>
      </c>
      <c r="BP541" s="117">
        <f>VLOOKUP($D541,'WB Data'!$C$3:$M$578,9,FALSE)</f>
        <v>24.2</v>
      </c>
      <c r="BQ541" s="117">
        <f>VLOOKUP($D541,'WB Data'!$C$3:$M$578,10,FALSE)</f>
        <v>60.947121951219515</v>
      </c>
      <c r="BR541" s="117">
        <f>VLOOKUP($D541,'WB Data'!$C$3:$M$578,11,FALSE)</f>
        <v>53.3</v>
      </c>
      <c r="BS541" s="129">
        <f>IFERROR(VLOOKUP($D541,'WB Data 2'!$C$2:$K$545,9,FALSE),"..")</f>
        <v>82.343050000000005</v>
      </c>
      <c r="BT541" s="129">
        <f>_xlfn.IFNA(VLOOKUP($C541,RGI!$A$2:$C$43,2,FALSE),"..")</f>
        <v>32.299999999999997</v>
      </c>
      <c r="BU541" s="129">
        <f>_xlfn.IFNA(VLOOKUP($C541,RGI!$A$2:$C$43,3,FALSE),"..")</f>
        <v>62.723264193960979</v>
      </c>
      <c r="BV541" s="129">
        <f>VLOOKUP($D541,WGI!$C$2:$O$478,7,FALSE)</f>
        <v>0.41305456254643802</v>
      </c>
      <c r="BW541" s="129">
        <f>VLOOKUP($D541,WGI!$C$2:$O$478,4,FALSE)</f>
        <v>0.100284810417618</v>
      </c>
      <c r="BX541" s="129">
        <f>VLOOKUP($D541,WGI!$C$2:$O$478,3,FALSE)</f>
        <v>-7.3201838672357494E-2</v>
      </c>
      <c r="BY541" s="129">
        <f>VLOOKUP($D541,WGI!$C$2:$O$478,5,FALSE)</f>
        <v>0.116592682617531</v>
      </c>
      <c r="BZ541" s="129">
        <f>VLOOKUP($D541,WGI!$C$2:$O$478,2,FALSE)</f>
        <v>-8.6503058626665005E-2</v>
      </c>
    </row>
    <row r="542" spans="1:80" s="158" customFormat="1" ht="15" customHeight="1">
      <c r="A542" s="769" t="s">
        <v>215</v>
      </c>
      <c r="B542" s="392">
        <v>2012</v>
      </c>
      <c r="C542" s="117" t="s">
        <v>195</v>
      </c>
      <c r="D542" s="117" t="s">
        <v>3731</v>
      </c>
      <c r="E542" s="394" t="s">
        <v>86</v>
      </c>
      <c r="F542" s="392"/>
      <c r="G542" s="392" t="s">
        <v>24</v>
      </c>
      <c r="H542" s="392"/>
      <c r="I542" s="392"/>
      <c r="J542" s="392"/>
      <c r="K542" s="392" t="s">
        <v>843</v>
      </c>
      <c r="L542" s="392"/>
      <c r="M542" s="392"/>
      <c r="N542" s="395"/>
      <c r="O542" s="395"/>
      <c r="P542" s="395"/>
      <c r="Q542" s="396"/>
      <c r="R542" s="396">
        <v>1484738</v>
      </c>
      <c r="S542" s="392" t="s">
        <v>610</v>
      </c>
      <c r="T542" s="151"/>
      <c r="U542" s="392"/>
      <c r="V542" s="392"/>
      <c r="W542" s="396">
        <v>92370000</v>
      </c>
      <c r="X542" s="392"/>
      <c r="Y542" s="392"/>
      <c r="Z542" s="392"/>
      <c r="AA542" s="397"/>
      <c r="AB542" s="392"/>
      <c r="AC542" s="397"/>
      <c r="AD542" s="398"/>
      <c r="AE542" s="398"/>
      <c r="AF542" s="399"/>
      <c r="AG542" s="392"/>
      <c r="AH542" s="400"/>
      <c r="AI542" s="392"/>
      <c r="AJ542" s="392"/>
      <c r="AK542" s="396"/>
      <c r="AL542" s="392"/>
      <c r="AM542" s="392"/>
      <c r="AN542" s="392"/>
      <c r="AO542" s="392"/>
      <c r="AP542" s="392"/>
      <c r="AQ542" s="392"/>
      <c r="AR542" s="392"/>
      <c r="AS542" s="392"/>
      <c r="AT542" s="392"/>
      <c r="AU542" s="392"/>
      <c r="AV542" s="157"/>
      <c r="AW542" s="117">
        <f>VLOOKUP($D542,'WB Data'!$C$3:$M$578,2,FALSE)</f>
        <v>41740926505.118301</v>
      </c>
      <c r="AX542" s="117">
        <f>VLOOKUP($D542,'WB Data'!$C$3:$M$578,3,FALSE)</f>
        <v>25366462</v>
      </c>
      <c r="AY542" s="847">
        <f t="shared" si="90"/>
        <v>2.665081608870357E-2</v>
      </c>
      <c r="AZ542" s="117" t="e">
        <f>VLOOKUP($D542,'WB Data'!$C$3:$M$578,4,FALSE)/100</f>
        <v>#VALUE!</v>
      </c>
      <c r="BA542" s="117" t="str">
        <f t="shared" si="91"/>
        <v>..</v>
      </c>
      <c r="BB542" s="129">
        <f>IFERROR(VLOOKUP($D542,'EITI Revenues'!$C$2:$G$224,5,FALSE),"..")</f>
        <v>1112429755.6600001</v>
      </c>
      <c r="BC542" s="846" t="str">
        <f t="shared" si="92"/>
        <v>..</v>
      </c>
      <c r="BD542" s="129">
        <f>VLOOKUP($D542,'WB Data 2'!$C$2:$K$545,6,FALSE)</f>
        <v>5577445217.4572601</v>
      </c>
      <c r="BE542" s="129">
        <f>IFERROR(VLOOKUP($D542,UNCTAD!$C$5:$V$529,4,FALSE),"..")</f>
        <v>16802810000.000002</v>
      </c>
      <c r="BF542" s="846">
        <f t="shared" si="93"/>
        <v>0.33193526662845435</v>
      </c>
      <c r="BG542" s="117">
        <f>VLOOKUP($D542,'WB Data'!$C$3:$M$578,5,FALSE)</f>
        <v>1807910000</v>
      </c>
      <c r="BH542" s="129">
        <f>IFERROR($BB542/$BG542,"..")</f>
        <v>0.61531257399981198</v>
      </c>
      <c r="BI542" s="117" t="str">
        <f>IFERROR(VLOOKUP($D542,'WB Data'!$C$3:$M$578,7,FALSE)/100,"..")</f>
        <v>..</v>
      </c>
      <c r="BJ542" s="117" t="str">
        <f>IFERROR($BI542*$AW542,"..")</f>
        <v>..</v>
      </c>
      <c r="BK542" s="846" t="str">
        <f>IFERROR($BB542/$BJ542,"..")</f>
        <v>..</v>
      </c>
      <c r="BL542" s="117" t="str">
        <f>IFERROR(VLOOKUP($D542,'WB Data'!$C$3:$M$578,7,FALSE)/100,"..")</f>
        <v>..</v>
      </c>
      <c r="BM542" s="117" t="str">
        <f>IFERROR($AW542*$BL542,"..")</f>
        <v>..</v>
      </c>
      <c r="BN542" s="846" t="str">
        <f>IFERROR($BB542/$BM542,"..")</f>
        <v>..</v>
      </c>
      <c r="BO542" s="801">
        <f t="shared" si="89"/>
        <v>48</v>
      </c>
      <c r="BP542" s="117">
        <f>VLOOKUP($D542,'WB Data'!$C$3:$M$578,9,FALSE)</f>
        <v>24.2</v>
      </c>
      <c r="BQ542" s="117">
        <f>VLOOKUP($D542,'WB Data'!$C$3:$M$578,10,FALSE)</f>
        <v>60.947121951219515</v>
      </c>
      <c r="BR542" s="117">
        <f>VLOOKUP($D542,'WB Data'!$C$3:$M$578,11,FALSE)</f>
        <v>53.3</v>
      </c>
      <c r="BS542" s="129">
        <f>IFERROR(VLOOKUP($D542,'WB Data 2'!$C$2:$K$545,9,FALSE),"..")</f>
        <v>82.343050000000005</v>
      </c>
      <c r="BT542" s="129">
        <f>_xlfn.IFNA(VLOOKUP($C542,RGI!$A$2:$C$43,2,FALSE),"..")</f>
        <v>32.299999999999997</v>
      </c>
      <c r="BU542" s="129">
        <f>_xlfn.IFNA(VLOOKUP($C542,RGI!$A$2:$C$43,3,FALSE),"..")</f>
        <v>62.723264193960979</v>
      </c>
      <c r="BV542" s="129">
        <f>VLOOKUP($D542,WGI!$C$2:$O$478,7,FALSE)</f>
        <v>0.41305456254643802</v>
      </c>
      <c r="BW542" s="129">
        <f>VLOOKUP($D542,WGI!$C$2:$O$478,4,FALSE)</f>
        <v>0.100284810417618</v>
      </c>
      <c r="BX542" s="129">
        <f>VLOOKUP($D542,WGI!$C$2:$O$478,3,FALSE)</f>
        <v>-7.3201838672357494E-2</v>
      </c>
      <c r="BY542" s="129">
        <f>VLOOKUP($D542,WGI!$C$2:$O$478,5,FALSE)</f>
        <v>0.116592682617531</v>
      </c>
      <c r="BZ542" s="129">
        <f>VLOOKUP($D542,WGI!$C$2:$O$478,2,FALSE)</f>
        <v>-8.6503058626665005E-2</v>
      </c>
      <c r="CB542" s="129"/>
    </row>
    <row r="543" spans="1:80" ht="15" customHeight="1">
      <c r="A543" s="770" t="s">
        <v>217</v>
      </c>
      <c r="B543" s="771">
        <v>2013</v>
      </c>
      <c r="C543" s="117" t="s">
        <v>195</v>
      </c>
      <c r="D543" s="117" t="s">
        <v>3765</v>
      </c>
      <c r="E543" s="772" t="s">
        <v>86</v>
      </c>
      <c r="F543" s="772" t="s">
        <v>1130</v>
      </c>
      <c r="G543" s="772" t="s">
        <v>41</v>
      </c>
      <c r="H543" s="772" t="s">
        <v>103</v>
      </c>
      <c r="I543" s="773"/>
      <c r="J543" s="773"/>
      <c r="K543" s="773" t="s">
        <v>709</v>
      </c>
      <c r="L543" s="773"/>
      <c r="M543" s="773"/>
      <c r="N543" s="774"/>
      <c r="O543" s="774"/>
      <c r="P543" s="774"/>
      <c r="Q543" s="773"/>
      <c r="R543" s="775"/>
      <c r="S543" s="146"/>
      <c r="T543" s="119"/>
      <c r="U543" s="146"/>
      <c r="V543" s="146" t="s">
        <v>725</v>
      </c>
      <c r="W543" s="760">
        <v>14162850000</v>
      </c>
      <c r="X543" s="146" t="s">
        <v>742</v>
      </c>
      <c r="Y543" s="146" t="s">
        <v>602</v>
      </c>
      <c r="Z543" s="146" t="s">
        <v>664</v>
      </c>
      <c r="AA543" s="776">
        <v>1269116732.9300001</v>
      </c>
      <c r="AB543" s="755">
        <v>1215635816.8599999</v>
      </c>
      <c r="AC543" s="757"/>
      <c r="AD543" s="766"/>
      <c r="AE543" s="756"/>
      <c r="AF543" s="758"/>
      <c r="AG543" s="146" t="s">
        <v>1202</v>
      </c>
      <c r="AH543" s="759">
        <v>1.95</v>
      </c>
      <c r="AI543" s="146" t="s">
        <v>722</v>
      </c>
      <c r="AJ543" s="146"/>
      <c r="AK543" s="760"/>
      <c r="AL543" s="146"/>
      <c r="AM543" s="146"/>
      <c r="AN543" s="146">
        <v>21</v>
      </c>
      <c r="AO543" s="146" t="s">
        <v>1208</v>
      </c>
      <c r="AP543" s="146">
        <v>19</v>
      </c>
      <c r="AQ543" s="239" t="s">
        <v>50</v>
      </c>
      <c r="AR543" s="146"/>
      <c r="AS543" s="146" t="s">
        <v>1135</v>
      </c>
      <c r="AT543" s="146" t="s">
        <v>216</v>
      </c>
      <c r="AU543" s="146"/>
      <c r="AV543" s="533" t="s">
        <v>1209</v>
      </c>
      <c r="AW543" s="117">
        <f>VLOOKUP($D543,'WB Data'!$C$3:$M$578,2,FALSE)</f>
        <v>48137027487.179489</v>
      </c>
      <c r="AX543" s="117">
        <f>VLOOKUP($D543,'WB Data'!$C$3:$M$578,3,FALSE)</f>
        <v>25904598</v>
      </c>
      <c r="AY543" s="847">
        <f t="shared" si="90"/>
        <v>2.6364667682648425E-2</v>
      </c>
      <c r="AZ543" s="117" t="e">
        <f>VLOOKUP($D543,'WB Data'!$C$3:$M$578,4,FALSE)/100</f>
        <v>#VALUE!</v>
      </c>
      <c r="BA543" s="117" t="str">
        <f t="shared" si="91"/>
        <v>..</v>
      </c>
      <c r="BB543" s="129">
        <f>IFERROR(VLOOKUP($D543,'EITI Revenues'!$C$2:$G$224,5,FALSE),"..")</f>
        <v>1269116732.9300001</v>
      </c>
      <c r="BC543" s="846" t="str">
        <f t="shared" si="92"/>
        <v>..</v>
      </c>
      <c r="BD543" s="129">
        <f>VLOOKUP($D543,'WB Data 2'!$C$2:$K$545,6,FALSE)</f>
        <v>4573317736.7260075</v>
      </c>
      <c r="BE543" s="129">
        <f>IFERROR(VLOOKUP($D543,UNCTAD!$C$5:$V$529,4,FALSE),"..")</f>
        <v>16196878204</v>
      </c>
      <c r="BF543" s="846">
        <f t="shared" si="93"/>
        <v>0.2823579753533354</v>
      </c>
      <c r="BG543" s="117" t="str">
        <f>VLOOKUP($D543,'WB Data'!$C$3:$M$578,5,FALSE)</f>
        <v>..</v>
      </c>
      <c r="BH543" s="129" t="str">
        <f>IFERROR($BB543/$BG543,"..")</f>
        <v>..</v>
      </c>
      <c r="BI543" s="117" t="str">
        <f>IFERROR(VLOOKUP($D543,'WB Data'!$C$3:$M$578,7,FALSE)/100,"..")</f>
        <v>..</v>
      </c>
      <c r="BJ543" s="117" t="str">
        <f>IFERROR($BI543*$AW543,"..")</f>
        <v>..</v>
      </c>
      <c r="BK543" s="846" t="str">
        <f>IFERROR($BB543/$BJ543,"..")</f>
        <v>..</v>
      </c>
      <c r="BL543" s="117" t="str">
        <f>IFERROR(VLOOKUP($D543,'WB Data'!$C$3:$M$578,7,FALSE)/100,"..")</f>
        <v>..</v>
      </c>
      <c r="BM543" s="117" t="str">
        <f>IFERROR($AW543*$BL543,"..")</f>
        <v>..</v>
      </c>
      <c r="BN543" s="846" t="str">
        <f>IFERROR($BB543/$BM543,"..")</f>
        <v>..</v>
      </c>
      <c r="BO543" s="801">
        <f t="shared" si="89"/>
        <v>48</v>
      </c>
      <c r="BP543" s="117" t="str">
        <f>VLOOKUP($D543,'WB Data'!$C$3:$M$578,9,FALSE)</f>
        <v>..</v>
      </c>
      <c r="BQ543" s="117" t="str">
        <f>VLOOKUP($D543,'WB Data'!$C$3:$M$578,10,FALSE)</f>
        <v>..</v>
      </c>
      <c r="BR543" s="117">
        <f>VLOOKUP($D543,'WB Data'!$C$3:$M$578,11,FALSE)</f>
        <v>52.3</v>
      </c>
      <c r="BS543" s="129">
        <f>IFERROR(VLOOKUP($D543,'WB Data 2'!$C$2:$K$545,9,FALSE),"..")</f>
        <v>87.639740000000003</v>
      </c>
      <c r="BT543" s="129">
        <f>_xlfn.IFNA(VLOOKUP($C543,RGI!$A$2:$C$43,2,FALSE),"..")</f>
        <v>32.299999999999997</v>
      </c>
      <c r="BU543" s="129">
        <f>_xlfn.IFNA(VLOOKUP($C543,RGI!$A$2:$C$43,3,FALSE),"..")</f>
        <v>62.723264193960979</v>
      </c>
      <c r="BV543" s="129">
        <f>VLOOKUP($D543,WGI!$C$2:$O$478,7,FALSE)</f>
        <v>0.41065856814384499</v>
      </c>
      <c r="BW543" s="129">
        <f>VLOOKUP($D543,WGI!$C$2:$O$478,4,FALSE)</f>
        <v>2.0406404510140402E-2</v>
      </c>
      <c r="BX543" s="129">
        <f>VLOOKUP($D543,WGI!$C$2:$O$478,3,FALSE)</f>
        <v>-8.6076162755489294E-2</v>
      </c>
      <c r="BY543" s="129">
        <f>VLOOKUP($D543,WGI!$C$2:$O$478,5,FALSE)</f>
        <v>7.7964797616004902E-2</v>
      </c>
      <c r="BZ543" s="129">
        <f>VLOOKUP($D543,WGI!$C$2:$O$478,2,FALSE)</f>
        <v>-7.4241228401660905E-2</v>
      </c>
    </row>
    <row r="544" spans="1:80" ht="15" customHeight="1">
      <c r="A544" s="770" t="s">
        <v>217</v>
      </c>
      <c r="B544" s="771">
        <v>2013</v>
      </c>
      <c r="C544" s="117" t="s">
        <v>195</v>
      </c>
      <c r="D544" s="117" t="s">
        <v>3765</v>
      </c>
      <c r="E544" s="772" t="s">
        <v>86</v>
      </c>
      <c r="F544" s="772"/>
      <c r="G544" s="772" t="s">
        <v>103</v>
      </c>
      <c r="H544" s="772" t="s">
        <v>784</v>
      </c>
      <c r="I544" s="773"/>
      <c r="J544" s="773"/>
      <c r="K544" s="773" t="s">
        <v>103</v>
      </c>
      <c r="L544" s="773"/>
      <c r="M544" s="773"/>
      <c r="N544" s="774"/>
      <c r="O544" s="774"/>
      <c r="P544" s="774"/>
      <c r="Q544" s="773"/>
      <c r="R544" s="775">
        <v>35587558</v>
      </c>
      <c r="S544" s="146" t="s">
        <v>646</v>
      </c>
      <c r="T544" s="119"/>
      <c r="U544" s="146"/>
      <c r="V544" s="146"/>
      <c r="W544" s="760">
        <v>3885070000</v>
      </c>
      <c r="X544" s="146"/>
      <c r="Y544" s="146"/>
      <c r="Z544" s="146"/>
      <c r="AA544" s="757">
        <v>845870483.70000005</v>
      </c>
      <c r="AB544" s="757">
        <v>790799528.13999999</v>
      </c>
      <c r="AC544" s="756"/>
      <c r="AD544" s="756"/>
      <c r="AE544" s="756"/>
      <c r="AF544" s="758"/>
      <c r="AG544" s="146"/>
      <c r="AH544" s="759"/>
      <c r="AI544" s="146"/>
      <c r="AJ544" s="146"/>
      <c r="AK544" s="760"/>
      <c r="AL544" s="146"/>
      <c r="AM544" s="146"/>
      <c r="AN544" s="146"/>
      <c r="AO544" s="146"/>
      <c r="AP544" s="146"/>
      <c r="AQ544" s="146"/>
      <c r="AR544" s="146"/>
      <c r="AS544" s="146"/>
      <c r="AT544" s="146"/>
      <c r="AU544" s="146"/>
      <c r="AV544" s="128"/>
      <c r="AW544" s="117">
        <f>VLOOKUP($D544,'WB Data'!$C$3:$M$578,2,FALSE)</f>
        <v>48137027487.179489</v>
      </c>
      <c r="AX544" s="117">
        <f>VLOOKUP($D544,'WB Data'!$C$3:$M$578,3,FALSE)</f>
        <v>25904598</v>
      </c>
      <c r="AY544" s="847">
        <f t="shared" si="90"/>
        <v>2.6364667682648425E-2</v>
      </c>
      <c r="AZ544" s="117" t="e">
        <f>VLOOKUP($D544,'WB Data'!$C$3:$M$578,4,FALSE)/100</f>
        <v>#VALUE!</v>
      </c>
      <c r="BA544" s="117" t="str">
        <f t="shared" si="91"/>
        <v>..</v>
      </c>
      <c r="BB544" s="129">
        <f>IFERROR(VLOOKUP($D544,'EITI Revenues'!$C$2:$G$224,5,FALSE),"..")</f>
        <v>1269116732.9300001</v>
      </c>
      <c r="BC544" s="846" t="str">
        <f t="shared" si="92"/>
        <v>..</v>
      </c>
      <c r="BD544" s="129">
        <f>VLOOKUP($D544,'WB Data 2'!$C$2:$K$545,6,FALSE)</f>
        <v>4573317736.7260075</v>
      </c>
      <c r="BE544" s="129">
        <f>IFERROR(VLOOKUP($D544,UNCTAD!$C$5:$V$529,4,FALSE),"..")</f>
        <v>16196878204</v>
      </c>
      <c r="BF544" s="846">
        <f t="shared" si="93"/>
        <v>0.2823579753533354</v>
      </c>
      <c r="BG544" s="117" t="str">
        <f>VLOOKUP($D544,'WB Data'!$C$3:$M$578,5,FALSE)</f>
        <v>..</v>
      </c>
      <c r="BH544" s="129" t="str">
        <f>IFERROR($BB544/$BG544,"..")</f>
        <v>..</v>
      </c>
      <c r="BI544" s="117" t="str">
        <f>IFERROR(VLOOKUP($D544,'WB Data'!$C$3:$M$578,7,FALSE)/100,"..")</f>
        <v>..</v>
      </c>
      <c r="BJ544" s="117" t="str">
        <f>IFERROR($BI544*$AW544,"..")</f>
        <v>..</v>
      </c>
      <c r="BK544" s="846" t="str">
        <f>IFERROR($BB544/$BJ544,"..")</f>
        <v>..</v>
      </c>
      <c r="BL544" s="117" t="str">
        <f>IFERROR(VLOOKUP($D544,'WB Data'!$C$3:$M$578,7,FALSE)/100,"..")</f>
        <v>..</v>
      </c>
      <c r="BM544" s="117" t="str">
        <f>IFERROR($AW544*$BL544,"..")</f>
        <v>..</v>
      </c>
      <c r="BN544" s="846" t="str">
        <f>IFERROR($BB544/$BM544,"..")</f>
        <v>..</v>
      </c>
      <c r="BO544" s="801">
        <f t="shared" si="89"/>
        <v>48</v>
      </c>
      <c r="BP544" s="117" t="str">
        <f>VLOOKUP($D544,'WB Data'!$C$3:$M$578,9,FALSE)</f>
        <v>..</v>
      </c>
      <c r="BQ544" s="117" t="str">
        <f>VLOOKUP($D544,'WB Data'!$C$3:$M$578,10,FALSE)</f>
        <v>..</v>
      </c>
      <c r="BR544" s="117">
        <f>VLOOKUP($D544,'WB Data'!$C$3:$M$578,11,FALSE)</f>
        <v>52.3</v>
      </c>
      <c r="BS544" s="129">
        <f>IFERROR(VLOOKUP($D544,'WB Data 2'!$C$2:$K$545,9,FALSE),"..")</f>
        <v>87.639740000000003</v>
      </c>
      <c r="BT544" s="129">
        <f>_xlfn.IFNA(VLOOKUP($C544,RGI!$A$2:$C$43,2,FALSE),"..")</f>
        <v>32.299999999999997</v>
      </c>
      <c r="BU544" s="129">
        <f>_xlfn.IFNA(VLOOKUP($C544,RGI!$A$2:$C$43,3,FALSE),"..")</f>
        <v>62.723264193960979</v>
      </c>
      <c r="BV544" s="129">
        <f>VLOOKUP($D544,WGI!$C$2:$O$478,7,FALSE)</f>
        <v>0.41065856814384499</v>
      </c>
      <c r="BW544" s="129">
        <f>VLOOKUP($D544,WGI!$C$2:$O$478,4,FALSE)</f>
        <v>2.0406404510140402E-2</v>
      </c>
      <c r="BX544" s="129">
        <f>VLOOKUP($D544,WGI!$C$2:$O$478,3,FALSE)</f>
        <v>-8.6076162755489294E-2</v>
      </c>
      <c r="BY544" s="129">
        <f>VLOOKUP($D544,WGI!$C$2:$O$478,5,FALSE)</f>
        <v>7.7964797616004902E-2</v>
      </c>
      <c r="BZ544" s="129">
        <f>VLOOKUP($D544,WGI!$C$2:$O$478,2,FALSE)</f>
        <v>-7.4241228401660905E-2</v>
      </c>
    </row>
    <row r="545" spans="1:80" ht="15" customHeight="1">
      <c r="A545" s="770" t="s">
        <v>217</v>
      </c>
      <c r="B545" s="777">
        <v>2013</v>
      </c>
      <c r="C545" s="117" t="s">
        <v>195</v>
      </c>
      <c r="D545" s="117" t="s">
        <v>3765</v>
      </c>
      <c r="E545" s="772" t="s">
        <v>86</v>
      </c>
      <c r="F545" s="772"/>
      <c r="G545" s="772" t="s">
        <v>24</v>
      </c>
      <c r="H545" s="772" t="s">
        <v>1138</v>
      </c>
      <c r="I545" s="773"/>
      <c r="J545" s="773"/>
      <c r="K545" s="773" t="s">
        <v>709</v>
      </c>
      <c r="L545" s="773"/>
      <c r="M545" s="773"/>
      <c r="N545" s="774"/>
      <c r="O545" s="774"/>
      <c r="P545" s="774"/>
      <c r="Q545" s="773"/>
      <c r="R545" s="775"/>
      <c r="S545" s="146"/>
      <c r="T545" s="119"/>
      <c r="U545" s="146"/>
      <c r="V545" s="146"/>
      <c r="W545" s="760">
        <v>5138890000</v>
      </c>
      <c r="X545" s="146"/>
      <c r="Y545" s="146"/>
      <c r="Z545" s="146"/>
      <c r="AA545" s="760">
        <v>423246249.23000002</v>
      </c>
      <c r="AB545" s="760">
        <v>424836288.72000003</v>
      </c>
      <c r="AC545" s="756"/>
      <c r="AD545" s="756"/>
      <c r="AE545" s="756"/>
      <c r="AF545" s="758"/>
      <c r="AG545" s="146"/>
      <c r="AH545" s="759"/>
      <c r="AI545" s="146"/>
      <c r="AJ545" s="146"/>
      <c r="AK545" s="760"/>
      <c r="AL545" s="146"/>
      <c r="AM545" s="146"/>
      <c r="AN545" s="146"/>
      <c r="AO545" s="146"/>
      <c r="AP545" s="146"/>
      <c r="AQ545" s="146"/>
      <c r="AR545" s="146"/>
      <c r="AS545" s="146"/>
      <c r="AT545" s="146"/>
      <c r="AU545" s="146"/>
      <c r="AV545" s="128"/>
      <c r="AW545" s="117">
        <f>VLOOKUP($D545,'WB Data'!$C$3:$M$578,2,FALSE)</f>
        <v>48137027487.179489</v>
      </c>
      <c r="AX545" s="117">
        <f>VLOOKUP($D545,'WB Data'!$C$3:$M$578,3,FALSE)</f>
        <v>25904598</v>
      </c>
      <c r="AY545" s="847">
        <f t="shared" si="90"/>
        <v>2.6364667682648425E-2</v>
      </c>
      <c r="AZ545" s="117" t="e">
        <f>VLOOKUP($D545,'WB Data'!$C$3:$M$578,4,FALSE)/100</f>
        <v>#VALUE!</v>
      </c>
      <c r="BA545" s="117" t="str">
        <f t="shared" si="91"/>
        <v>..</v>
      </c>
      <c r="BB545" s="129">
        <f>IFERROR(VLOOKUP($D545,'EITI Revenues'!$C$2:$G$224,5,FALSE),"..")</f>
        <v>1269116732.9300001</v>
      </c>
      <c r="BC545" s="846" t="str">
        <f t="shared" si="92"/>
        <v>..</v>
      </c>
      <c r="BD545" s="129">
        <f>VLOOKUP($D545,'WB Data 2'!$C$2:$K$545,6,FALSE)</f>
        <v>4573317736.7260075</v>
      </c>
      <c r="BE545" s="129">
        <f>IFERROR(VLOOKUP($D545,UNCTAD!$C$5:$V$529,4,FALSE),"..")</f>
        <v>16196878204</v>
      </c>
      <c r="BF545" s="846">
        <f t="shared" si="93"/>
        <v>0.2823579753533354</v>
      </c>
      <c r="BG545" s="117" t="str">
        <f>VLOOKUP($D545,'WB Data'!$C$3:$M$578,5,FALSE)</f>
        <v>..</v>
      </c>
      <c r="BH545" s="129" t="str">
        <f>IFERROR($BB545/$BG545,"..")</f>
        <v>..</v>
      </c>
      <c r="BI545" s="117" t="str">
        <f>IFERROR(VLOOKUP($D545,'WB Data'!$C$3:$M$578,7,FALSE)/100,"..")</f>
        <v>..</v>
      </c>
      <c r="BJ545" s="117" t="str">
        <f>IFERROR($BI545*$AW545,"..")</f>
        <v>..</v>
      </c>
      <c r="BK545" s="846" t="str">
        <f>IFERROR($BB545/$BJ545,"..")</f>
        <v>..</v>
      </c>
      <c r="BL545" s="117" t="str">
        <f>IFERROR(VLOOKUP($D545,'WB Data'!$C$3:$M$578,7,FALSE)/100,"..")</f>
        <v>..</v>
      </c>
      <c r="BM545" s="117" t="str">
        <f>IFERROR($AW545*$BL545,"..")</f>
        <v>..</v>
      </c>
      <c r="BN545" s="846" t="str">
        <f>IFERROR($BB545/$BM545,"..")</f>
        <v>..</v>
      </c>
      <c r="BO545" s="801">
        <f t="shared" si="89"/>
        <v>48</v>
      </c>
      <c r="BP545" s="117" t="str">
        <f>VLOOKUP($D545,'WB Data'!$C$3:$M$578,9,FALSE)</f>
        <v>..</v>
      </c>
      <c r="BQ545" s="117" t="str">
        <f>VLOOKUP($D545,'WB Data'!$C$3:$M$578,10,FALSE)</f>
        <v>..</v>
      </c>
      <c r="BR545" s="117">
        <f>VLOOKUP($D545,'WB Data'!$C$3:$M$578,11,FALSE)</f>
        <v>52.3</v>
      </c>
      <c r="BS545" s="129">
        <f>IFERROR(VLOOKUP($D545,'WB Data 2'!$C$2:$K$545,9,FALSE),"..")</f>
        <v>87.639740000000003</v>
      </c>
      <c r="BT545" s="129">
        <f>_xlfn.IFNA(VLOOKUP($C545,RGI!$A$2:$C$43,2,FALSE),"..")</f>
        <v>32.299999999999997</v>
      </c>
      <c r="BU545" s="129">
        <f>_xlfn.IFNA(VLOOKUP($C545,RGI!$A$2:$C$43,3,FALSE),"..")</f>
        <v>62.723264193960979</v>
      </c>
      <c r="BV545" s="129">
        <f>VLOOKUP($D545,WGI!$C$2:$O$478,7,FALSE)</f>
        <v>0.41065856814384499</v>
      </c>
      <c r="BW545" s="129">
        <f>VLOOKUP($D545,WGI!$C$2:$O$478,4,FALSE)</f>
        <v>2.0406404510140402E-2</v>
      </c>
      <c r="BX545" s="129">
        <f>VLOOKUP($D545,WGI!$C$2:$O$478,3,FALSE)</f>
        <v>-8.6076162755489294E-2</v>
      </c>
      <c r="BY545" s="129">
        <f>VLOOKUP($D545,WGI!$C$2:$O$478,5,FALSE)</f>
        <v>7.7964797616004902E-2</v>
      </c>
      <c r="BZ545" s="129">
        <f>VLOOKUP($D545,WGI!$C$2:$O$478,2,FALSE)</f>
        <v>-7.4241228401660905E-2</v>
      </c>
    </row>
    <row r="546" spans="1:80" ht="15" customHeight="1">
      <c r="A546" s="770" t="s">
        <v>217</v>
      </c>
      <c r="B546" s="777">
        <v>2013</v>
      </c>
      <c r="C546" s="117" t="s">
        <v>195</v>
      </c>
      <c r="D546" s="117" t="s">
        <v>3765</v>
      </c>
      <c r="E546" s="772" t="s">
        <v>86</v>
      </c>
      <c r="F546" s="772"/>
      <c r="G546" s="772" t="s">
        <v>24</v>
      </c>
      <c r="H546" s="772" t="s">
        <v>843</v>
      </c>
      <c r="I546" s="773"/>
      <c r="J546" s="773"/>
      <c r="K546" s="773" t="s">
        <v>784</v>
      </c>
      <c r="L546" s="773"/>
      <c r="M546" s="773"/>
      <c r="N546" s="774"/>
      <c r="O546" s="774"/>
      <c r="P546" s="774"/>
      <c r="Q546" s="773"/>
      <c r="R546" s="775">
        <v>3192648</v>
      </c>
      <c r="S546" s="146" t="s">
        <v>1206</v>
      </c>
      <c r="T546" s="119"/>
      <c r="U546" s="146"/>
      <c r="V546" s="146"/>
      <c r="W546" s="760">
        <v>4965710000</v>
      </c>
      <c r="X546" s="146"/>
      <c r="Y546" s="146"/>
      <c r="Z546" s="146"/>
      <c r="AA546" s="146"/>
      <c r="AB546" s="146"/>
      <c r="AC546" s="756"/>
      <c r="AD546" s="756"/>
      <c r="AE546" s="756"/>
      <c r="AF546" s="758"/>
      <c r="AG546" s="146"/>
      <c r="AH546" s="759"/>
      <c r="AI546" s="146"/>
      <c r="AJ546" s="146"/>
      <c r="AK546" s="760"/>
      <c r="AL546" s="146"/>
      <c r="AM546" s="146"/>
      <c r="AN546" s="146"/>
      <c r="AO546" s="146"/>
      <c r="AP546" s="146"/>
      <c r="AQ546" s="146"/>
      <c r="AR546" s="146"/>
      <c r="AS546" s="146"/>
      <c r="AT546" s="146"/>
      <c r="AU546" s="146"/>
      <c r="AV546" s="128"/>
      <c r="AW546" s="117">
        <f>VLOOKUP($D546,'WB Data'!$C$3:$M$578,2,FALSE)</f>
        <v>48137027487.179489</v>
      </c>
      <c r="AX546" s="117">
        <f>VLOOKUP($D546,'WB Data'!$C$3:$M$578,3,FALSE)</f>
        <v>25904598</v>
      </c>
      <c r="AY546" s="847">
        <f t="shared" si="90"/>
        <v>2.6364667682648425E-2</v>
      </c>
      <c r="AZ546" s="117" t="e">
        <f>VLOOKUP($D546,'WB Data'!$C$3:$M$578,4,FALSE)/100</f>
        <v>#VALUE!</v>
      </c>
      <c r="BA546" s="117" t="str">
        <f t="shared" si="91"/>
        <v>..</v>
      </c>
      <c r="BB546" s="129">
        <f>IFERROR(VLOOKUP($D546,'EITI Revenues'!$C$2:$G$224,5,FALSE),"..")</f>
        <v>1269116732.9300001</v>
      </c>
      <c r="BC546" s="846" t="str">
        <f t="shared" si="92"/>
        <v>..</v>
      </c>
      <c r="BD546" s="129">
        <f>VLOOKUP($D546,'WB Data 2'!$C$2:$K$545,6,FALSE)</f>
        <v>4573317736.7260075</v>
      </c>
      <c r="BE546" s="129">
        <f>IFERROR(VLOOKUP($D546,UNCTAD!$C$5:$V$529,4,FALSE),"..")</f>
        <v>16196878204</v>
      </c>
      <c r="BF546" s="846">
        <f t="shared" si="93"/>
        <v>0.2823579753533354</v>
      </c>
      <c r="BG546" s="117" t="str">
        <f>VLOOKUP($D546,'WB Data'!$C$3:$M$578,5,FALSE)</f>
        <v>..</v>
      </c>
      <c r="BH546" s="129" t="str">
        <f>IFERROR($BB546/$BG546,"..")</f>
        <v>..</v>
      </c>
      <c r="BI546" s="117" t="str">
        <f>IFERROR(VLOOKUP($D546,'WB Data'!$C$3:$M$578,7,FALSE)/100,"..")</f>
        <v>..</v>
      </c>
      <c r="BJ546" s="117" t="str">
        <f>IFERROR($BI546*$AW546,"..")</f>
        <v>..</v>
      </c>
      <c r="BK546" s="846" t="str">
        <f>IFERROR($BB546/$BJ546,"..")</f>
        <v>..</v>
      </c>
      <c r="BL546" s="117" t="str">
        <f>IFERROR(VLOOKUP($D546,'WB Data'!$C$3:$M$578,7,FALSE)/100,"..")</f>
        <v>..</v>
      </c>
      <c r="BM546" s="117" t="str">
        <f>IFERROR($AW546*$BL546,"..")</f>
        <v>..</v>
      </c>
      <c r="BN546" s="846" t="str">
        <f>IFERROR($BB546/$BM546,"..")</f>
        <v>..</v>
      </c>
      <c r="BO546" s="801">
        <f t="shared" si="89"/>
        <v>48</v>
      </c>
      <c r="BP546" s="117" t="str">
        <f>VLOOKUP($D546,'WB Data'!$C$3:$M$578,9,FALSE)</f>
        <v>..</v>
      </c>
      <c r="BQ546" s="117" t="str">
        <f>VLOOKUP($D546,'WB Data'!$C$3:$M$578,10,FALSE)</f>
        <v>..</v>
      </c>
      <c r="BR546" s="117">
        <f>VLOOKUP($D546,'WB Data'!$C$3:$M$578,11,FALSE)</f>
        <v>52.3</v>
      </c>
      <c r="BS546" s="129">
        <f>IFERROR(VLOOKUP($D546,'WB Data 2'!$C$2:$K$545,9,FALSE),"..")</f>
        <v>87.639740000000003</v>
      </c>
      <c r="BT546" s="129">
        <f>_xlfn.IFNA(VLOOKUP($C546,RGI!$A$2:$C$43,2,FALSE),"..")</f>
        <v>32.299999999999997</v>
      </c>
      <c r="BU546" s="129">
        <f>_xlfn.IFNA(VLOOKUP($C546,RGI!$A$2:$C$43,3,FALSE),"..")</f>
        <v>62.723264193960979</v>
      </c>
      <c r="BV546" s="129">
        <f>VLOOKUP($D546,WGI!$C$2:$O$478,7,FALSE)</f>
        <v>0.41065856814384499</v>
      </c>
      <c r="BW546" s="129">
        <f>VLOOKUP($D546,WGI!$C$2:$O$478,4,FALSE)</f>
        <v>2.0406404510140402E-2</v>
      </c>
      <c r="BX546" s="129">
        <f>VLOOKUP($D546,WGI!$C$2:$O$478,3,FALSE)</f>
        <v>-8.6076162755489294E-2</v>
      </c>
      <c r="BY546" s="129">
        <f>VLOOKUP($D546,WGI!$C$2:$O$478,5,FALSE)</f>
        <v>7.7964797616004902E-2</v>
      </c>
      <c r="BZ546" s="129">
        <f>VLOOKUP($D546,WGI!$C$2:$O$478,2,FALSE)</f>
        <v>-7.4241228401660905E-2</v>
      </c>
    </row>
    <row r="547" spans="1:80" ht="15" customHeight="1">
      <c r="A547" s="770" t="s">
        <v>217</v>
      </c>
      <c r="B547" s="777">
        <v>2013</v>
      </c>
      <c r="C547" s="117" t="s">
        <v>195</v>
      </c>
      <c r="D547" s="117" t="s">
        <v>3765</v>
      </c>
      <c r="E547" s="768" t="s">
        <v>86</v>
      </c>
      <c r="F547" s="772"/>
      <c r="G547" s="772" t="s">
        <v>24</v>
      </c>
      <c r="H547" s="772" t="s">
        <v>703</v>
      </c>
      <c r="I547" s="773"/>
      <c r="J547" s="773"/>
      <c r="K547" s="773" t="s">
        <v>1207</v>
      </c>
      <c r="L547" s="773"/>
      <c r="M547" s="773"/>
      <c r="N547" s="774"/>
      <c r="O547" s="774"/>
      <c r="P547" s="774"/>
      <c r="Q547" s="773"/>
      <c r="R547" s="775">
        <v>159074</v>
      </c>
      <c r="S547" s="146" t="s">
        <v>981</v>
      </c>
      <c r="T547" s="119"/>
      <c r="U547" s="146"/>
      <c r="V547" s="146"/>
      <c r="W547" s="760">
        <v>6930000</v>
      </c>
      <c r="X547" s="146"/>
      <c r="Y547" s="146"/>
      <c r="Z547" s="146"/>
      <c r="AA547" s="146"/>
      <c r="AB547" s="146"/>
      <c r="AC547" s="756"/>
      <c r="AD547" s="756"/>
      <c r="AE547" s="756"/>
      <c r="AF547" s="758"/>
      <c r="AG547" s="146"/>
      <c r="AH547" s="759"/>
      <c r="AI547" s="146"/>
      <c r="AJ547" s="146"/>
      <c r="AK547" s="760"/>
      <c r="AL547" s="146"/>
      <c r="AM547" s="146"/>
      <c r="AN547" s="146"/>
      <c r="AO547" s="146"/>
      <c r="AP547" s="146"/>
      <c r="AQ547" s="146"/>
      <c r="AR547" s="146"/>
      <c r="AS547" s="146"/>
      <c r="AT547" s="146"/>
      <c r="AU547" s="146"/>
      <c r="AV547" s="128"/>
      <c r="AW547" s="117">
        <f>VLOOKUP($D547,'WB Data'!$C$3:$M$578,2,FALSE)</f>
        <v>48137027487.179489</v>
      </c>
      <c r="AX547" s="117">
        <f>VLOOKUP($D547,'WB Data'!$C$3:$M$578,3,FALSE)</f>
        <v>25904598</v>
      </c>
      <c r="AY547" s="847">
        <f t="shared" si="90"/>
        <v>2.6364667682648425E-2</v>
      </c>
      <c r="AZ547" s="117" t="e">
        <f>VLOOKUP($D547,'WB Data'!$C$3:$M$578,4,FALSE)/100</f>
        <v>#VALUE!</v>
      </c>
      <c r="BA547" s="117" t="str">
        <f t="shared" si="91"/>
        <v>..</v>
      </c>
      <c r="BB547" s="129">
        <f>IFERROR(VLOOKUP($D547,'EITI Revenues'!$C$2:$G$224,5,FALSE),"..")</f>
        <v>1269116732.9300001</v>
      </c>
      <c r="BC547" s="846" t="str">
        <f t="shared" si="92"/>
        <v>..</v>
      </c>
      <c r="BD547" s="129">
        <f>VLOOKUP($D547,'WB Data 2'!$C$2:$K$545,6,FALSE)</f>
        <v>4573317736.7260075</v>
      </c>
      <c r="BE547" s="129">
        <f>IFERROR(VLOOKUP($D547,UNCTAD!$C$5:$V$529,4,FALSE),"..")</f>
        <v>16196878204</v>
      </c>
      <c r="BF547" s="846">
        <f t="shared" si="93"/>
        <v>0.2823579753533354</v>
      </c>
      <c r="BG547" s="117" t="str">
        <f>VLOOKUP($D547,'WB Data'!$C$3:$M$578,5,FALSE)</f>
        <v>..</v>
      </c>
      <c r="BH547" s="129" t="str">
        <f>IFERROR($BB547/$BG547,"..")</f>
        <v>..</v>
      </c>
      <c r="BI547" s="117" t="str">
        <f>IFERROR(VLOOKUP($D547,'WB Data'!$C$3:$M$578,7,FALSE)/100,"..")</f>
        <v>..</v>
      </c>
      <c r="BJ547" s="117" t="str">
        <f>IFERROR($BI547*$AW547,"..")</f>
        <v>..</v>
      </c>
      <c r="BK547" s="846" t="str">
        <f>IFERROR($BB547/$BJ547,"..")</f>
        <v>..</v>
      </c>
      <c r="BL547" s="117" t="str">
        <f>IFERROR(VLOOKUP($D547,'WB Data'!$C$3:$M$578,7,FALSE)/100,"..")</f>
        <v>..</v>
      </c>
      <c r="BM547" s="117" t="str">
        <f>IFERROR($AW547*$BL547,"..")</f>
        <v>..</v>
      </c>
      <c r="BN547" s="846" t="str">
        <f>IFERROR($BB547/$BM547,"..")</f>
        <v>..</v>
      </c>
      <c r="BO547" s="801">
        <f t="shared" si="89"/>
        <v>48</v>
      </c>
      <c r="BP547" s="117" t="str">
        <f>VLOOKUP($D547,'WB Data'!$C$3:$M$578,9,FALSE)</f>
        <v>..</v>
      </c>
      <c r="BQ547" s="117" t="str">
        <f>VLOOKUP($D547,'WB Data'!$C$3:$M$578,10,FALSE)</f>
        <v>..</v>
      </c>
      <c r="BR547" s="117">
        <f>VLOOKUP($D547,'WB Data'!$C$3:$M$578,11,FALSE)</f>
        <v>52.3</v>
      </c>
      <c r="BS547" s="129">
        <f>IFERROR(VLOOKUP($D547,'WB Data 2'!$C$2:$K$545,9,FALSE),"..")</f>
        <v>87.639740000000003</v>
      </c>
      <c r="BT547" s="129">
        <f>_xlfn.IFNA(VLOOKUP($C547,RGI!$A$2:$C$43,2,FALSE),"..")</f>
        <v>32.299999999999997</v>
      </c>
      <c r="BU547" s="129">
        <f>_xlfn.IFNA(VLOOKUP($C547,RGI!$A$2:$C$43,3,FALSE),"..")</f>
        <v>62.723264193960979</v>
      </c>
      <c r="BV547" s="129">
        <f>VLOOKUP($D547,WGI!$C$2:$O$478,7,FALSE)</f>
        <v>0.41065856814384499</v>
      </c>
      <c r="BW547" s="129">
        <f>VLOOKUP($D547,WGI!$C$2:$O$478,4,FALSE)</f>
        <v>2.0406404510140402E-2</v>
      </c>
      <c r="BX547" s="129">
        <f>VLOOKUP($D547,WGI!$C$2:$O$478,3,FALSE)</f>
        <v>-8.6076162755489294E-2</v>
      </c>
      <c r="BY547" s="129">
        <f>VLOOKUP($D547,WGI!$C$2:$O$478,5,FALSE)</f>
        <v>7.7964797616004902E-2</v>
      </c>
      <c r="BZ547" s="129">
        <f>VLOOKUP($D547,WGI!$C$2:$O$478,2,FALSE)</f>
        <v>-7.4241228401660905E-2</v>
      </c>
    </row>
    <row r="548" spans="1:80" ht="15" customHeight="1">
      <c r="A548" s="770" t="s">
        <v>217</v>
      </c>
      <c r="B548" s="777">
        <v>2013</v>
      </c>
      <c r="C548" s="117" t="s">
        <v>195</v>
      </c>
      <c r="D548" s="117" t="s">
        <v>3765</v>
      </c>
      <c r="E548" s="768" t="s">
        <v>86</v>
      </c>
      <c r="F548" s="773"/>
      <c r="G548" s="773" t="s">
        <v>24</v>
      </c>
      <c r="H548" s="773"/>
      <c r="I548" s="773"/>
      <c r="J548" s="773"/>
      <c r="K548" s="773" t="s">
        <v>1138</v>
      </c>
      <c r="L548" s="773"/>
      <c r="M548" s="773"/>
      <c r="N548" s="774"/>
      <c r="O548" s="774"/>
      <c r="P548" s="774"/>
      <c r="Q548" s="773"/>
      <c r="R548" s="775">
        <v>826994</v>
      </c>
      <c r="S548" s="146" t="s">
        <v>610</v>
      </c>
      <c r="T548" s="119"/>
      <c r="U548" s="146"/>
      <c r="V548" s="146"/>
      <c r="W548" s="760">
        <v>32560000</v>
      </c>
      <c r="X548" s="146"/>
      <c r="Y548" s="146"/>
      <c r="Z548" s="146"/>
      <c r="AA548" s="146"/>
      <c r="AB548" s="146"/>
      <c r="AC548" s="756"/>
      <c r="AD548" s="756"/>
      <c r="AE548" s="756"/>
      <c r="AF548" s="758"/>
      <c r="AG548" s="146"/>
      <c r="AH548" s="759"/>
      <c r="AI548" s="146"/>
      <c r="AJ548" s="146"/>
      <c r="AK548" s="760"/>
      <c r="AL548" s="146"/>
      <c r="AM548" s="146"/>
      <c r="AN548" s="146"/>
      <c r="AO548" s="146"/>
      <c r="AP548" s="146"/>
      <c r="AQ548" s="146"/>
      <c r="AR548" s="146"/>
      <c r="AS548" s="146"/>
      <c r="AT548" s="146"/>
      <c r="AU548" s="146"/>
      <c r="AV548" s="128"/>
      <c r="AW548" s="117">
        <f>VLOOKUP($D548,'WB Data'!$C$3:$M$578,2,FALSE)</f>
        <v>48137027487.179489</v>
      </c>
      <c r="AX548" s="117">
        <f>VLOOKUP($D548,'WB Data'!$C$3:$M$578,3,FALSE)</f>
        <v>25904598</v>
      </c>
      <c r="AY548" s="847">
        <f t="shared" si="90"/>
        <v>2.6364667682648425E-2</v>
      </c>
      <c r="AZ548" s="117" t="e">
        <f>VLOOKUP($D548,'WB Data'!$C$3:$M$578,4,FALSE)/100</f>
        <v>#VALUE!</v>
      </c>
      <c r="BA548" s="117" t="str">
        <f t="shared" si="91"/>
        <v>..</v>
      </c>
      <c r="BB548" s="129">
        <f>IFERROR(VLOOKUP($D548,'EITI Revenues'!$C$2:$G$224,5,FALSE),"..")</f>
        <v>1269116732.9300001</v>
      </c>
      <c r="BC548" s="846" t="str">
        <f t="shared" si="92"/>
        <v>..</v>
      </c>
      <c r="BD548" s="129">
        <f>VLOOKUP($D548,'WB Data 2'!$C$2:$K$545,6,FALSE)</f>
        <v>4573317736.7260075</v>
      </c>
      <c r="BE548" s="129">
        <f>IFERROR(VLOOKUP($D548,UNCTAD!$C$5:$V$529,4,FALSE),"..")</f>
        <v>16196878204</v>
      </c>
      <c r="BF548" s="846">
        <f t="shared" si="93"/>
        <v>0.2823579753533354</v>
      </c>
      <c r="BG548" s="117" t="str">
        <f>VLOOKUP($D548,'WB Data'!$C$3:$M$578,5,FALSE)</f>
        <v>..</v>
      </c>
      <c r="BH548" s="129" t="str">
        <f>IFERROR($BB548/$BG548,"..")</f>
        <v>..</v>
      </c>
      <c r="BI548" s="117" t="str">
        <f>IFERROR(VLOOKUP($D548,'WB Data'!$C$3:$M$578,7,FALSE)/100,"..")</f>
        <v>..</v>
      </c>
      <c r="BJ548" s="117" t="str">
        <f>IFERROR($BI548*$AW548,"..")</f>
        <v>..</v>
      </c>
      <c r="BK548" s="846" t="str">
        <f>IFERROR($BB548/$BJ548,"..")</f>
        <v>..</v>
      </c>
      <c r="BL548" s="117" t="str">
        <f>IFERROR(VLOOKUP($D548,'WB Data'!$C$3:$M$578,7,FALSE)/100,"..")</f>
        <v>..</v>
      </c>
      <c r="BM548" s="117" t="str">
        <f>IFERROR($AW548*$BL548,"..")</f>
        <v>..</v>
      </c>
      <c r="BN548" s="846" t="str">
        <f>IFERROR($BB548/$BM548,"..")</f>
        <v>..</v>
      </c>
      <c r="BO548" s="801">
        <f t="shared" si="89"/>
        <v>48</v>
      </c>
      <c r="BP548" s="117" t="str">
        <f>VLOOKUP($D548,'WB Data'!$C$3:$M$578,9,FALSE)</f>
        <v>..</v>
      </c>
      <c r="BQ548" s="117" t="str">
        <f>VLOOKUP($D548,'WB Data'!$C$3:$M$578,10,FALSE)</f>
        <v>..</v>
      </c>
      <c r="BR548" s="117">
        <f>VLOOKUP($D548,'WB Data'!$C$3:$M$578,11,FALSE)</f>
        <v>52.3</v>
      </c>
      <c r="BS548" s="129">
        <f>IFERROR(VLOOKUP($D548,'WB Data 2'!$C$2:$K$545,9,FALSE),"..")</f>
        <v>87.639740000000003</v>
      </c>
      <c r="BT548" s="129">
        <f>_xlfn.IFNA(VLOOKUP($C548,RGI!$A$2:$C$43,2,FALSE),"..")</f>
        <v>32.299999999999997</v>
      </c>
      <c r="BU548" s="129">
        <f>_xlfn.IFNA(VLOOKUP($C548,RGI!$A$2:$C$43,3,FALSE),"..")</f>
        <v>62.723264193960979</v>
      </c>
      <c r="BV548" s="129">
        <f>VLOOKUP($D548,WGI!$C$2:$O$478,7,FALSE)</f>
        <v>0.41065856814384499</v>
      </c>
      <c r="BW548" s="129">
        <f>VLOOKUP($D548,WGI!$C$2:$O$478,4,FALSE)</f>
        <v>2.0406404510140402E-2</v>
      </c>
      <c r="BX548" s="129">
        <f>VLOOKUP($D548,WGI!$C$2:$O$478,3,FALSE)</f>
        <v>-8.6076162755489294E-2</v>
      </c>
      <c r="BY548" s="129">
        <f>VLOOKUP($D548,WGI!$C$2:$O$478,5,FALSE)</f>
        <v>7.7964797616004902E-2</v>
      </c>
      <c r="BZ548" s="129">
        <f>VLOOKUP($D548,WGI!$C$2:$O$478,2,FALSE)</f>
        <v>-7.4241228401660905E-2</v>
      </c>
    </row>
    <row r="549" spans="1:80" s="173" customFormat="1" ht="15" customHeight="1" thickBot="1">
      <c r="A549" s="778" t="s">
        <v>217</v>
      </c>
      <c r="B549" s="402">
        <v>2013</v>
      </c>
      <c r="C549" s="117" t="s">
        <v>195</v>
      </c>
      <c r="D549" s="117" t="s">
        <v>3765</v>
      </c>
      <c r="E549" s="403" t="s">
        <v>86</v>
      </c>
      <c r="F549" s="404"/>
      <c r="G549" s="404" t="s">
        <v>24</v>
      </c>
      <c r="H549" s="404"/>
      <c r="I549" s="404"/>
      <c r="J549" s="404"/>
      <c r="K549" s="404" t="s">
        <v>843</v>
      </c>
      <c r="L549" s="404"/>
      <c r="M549" s="404"/>
      <c r="N549" s="405"/>
      <c r="O549" s="405"/>
      <c r="P549" s="405"/>
      <c r="Q549" s="404"/>
      <c r="R549" s="406">
        <v>1977911</v>
      </c>
      <c r="S549" s="307" t="s">
        <v>610</v>
      </c>
      <c r="T549" s="166"/>
      <c r="U549" s="307"/>
      <c r="V549" s="307"/>
      <c r="W549" s="314">
        <v>133690000</v>
      </c>
      <c r="X549" s="307"/>
      <c r="Y549" s="307"/>
      <c r="Z549" s="307"/>
      <c r="AA549" s="307"/>
      <c r="AB549" s="307"/>
      <c r="AC549" s="311"/>
      <c r="AD549" s="311"/>
      <c r="AE549" s="311"/>
      <c r="AF549" s="312"/>
      <c r="AG549" s="307"/>
      <c r="AH549" s="313"/>
      <c r="AI549" s="307"/>
      <c r="AJ549" s="307"/>
      <c r="AK549" s="314"/>
      <c r="AL549" s="307"/>
      <c r="AM549" s="307"/>
      <c r="AN549" s="307"/>
      <c r="AO549" s="307"/>
      <c r="AP549" s="307"/>
      <c r="AQ549" s="307"/>
      <c r="AR549" s="307"/>
      <c r="AS549" s="307"/>
      <c r="AT549" s="307"/>
      <c r="AU549" s="307"/>
      <c r="AV549" s="172"/>
      <c r="AW549" s="117">
        <f>VLOOKUP($D549,'WB Data'!$C$3:$M$578,2,FALSE)</f>
        <v>48137027487.179489</v>
      </c>
      <c r="AX549" s="117">
        <f>VLOOKUP($D549,'WB Data'!$C$3:$M$578,3,FALSE)</f>
        <v>25904598</v>
      </c>
      <c r="AY549" s="847">
        <f t="shared" si="90"/>
        <v>2.6364667682648425E-2</v>
      </c>
      <c r="AZ549" s="117" t="e">
        <f>VLOOKUP($D549,'WB Data'!$C$3:$M$578,4,FALSE)/100</f>
        <v>#VALUE!</v>
      </c>
      <c r="BA549" s="117" t="str">
        <f t="shared" si="91"/>
        <v>..</v>
      </c>
      <c r="BB549" s="129">
        <f>IFERROR(VLOOKUP($D549,'EITI Revenues'!$C$2:$G$224,5,FALSE),"..")</f>
        <v>1269116732.9300001</v>
      </c>
      <c r="BC549" s="846" t="str">
        <f t="shared" si="92"/>
        <v>..</v>
      </c>
      <c r="BD549" s="129">
        <f>VLOOKUP($D549,'WB Data 2'!$C$2:$K$545,6,FALSE)</f>
        <v>4573317736.7260075</v>
      </c>
      <c r="BE549" s="129">
        <f>IFERROR(VLOOKUP($D549,UNCTAD!$C$5:$V$529,4,FALSE),"..")</f>
        <v>16196878204</v>
      </c>
      <c r="BF549" s="846">
        <f t="shared" si="93"/>
        <v>0.2823579753533354</v>
      </c>
      <c r="BG549" s="117" t="str">
        <f>VLOOKUP($D549,'WB Data'!$C$3:$M$578,5,FALSE)</f>
        <v>..</v>
      </c>
      <c r="BH549" s="129" t="str">
        <f>IFERROR($BB549/$BG549,"..")</f>
        <v>..</v>
      </c>
      <c r="BI549" s="117" t="str">
        <f>IFERROR(VLOOKUP($D549,'WB Data'!$C$3:$M$578,7,FALSE)/100,"..")</f>
        <v>..</v>
      </c>
      <c r="BJ549" s="117" t="str">
        <f>IFERROR($BI549*$AW549,"..")</f>
        <v>..</v>
      </c>
      <c r="BK549" s="846" t="str">
        <f>IFERROR($BB549/$BJ549,"..")</f>
        <v>..</v>
      </c>
      <c r="BL549" s="117" t="str">
        <f>IFERROR(VLOOKUP($D549,'WB Data'!$C$3:$M$578,7,FALSE)/100,"..")</f>
        <v>..</v>
      </c>
      <c r="BM549" s="117" t="str">
        <f>IFERROR($AW549*$BL549,"..")</f>
        <v>..</v>
      </c>
      <c r="BN549" s="846" t="str">
        <f>IFERROR($BB549/$BM549,"..")</f>
        <v>..</v>
      </c>
      <c r="BO549" s="801">
        <f t="shared" si="89"/>
        <v>48</v>
      </c>
      <c r="BP549" s="117" t="str">
        <f>VLOOKUP($D549,'WB Data'!$C$3:$M$578,9,FALSE)</f>
        <v>..</v>
      </c>
      <c r="BQ549" s="117" t="str">
        <f>VLOOKUP($D549,'WB Data'!$C$3:$M$578,10,FALSE)</f>
        <v>..</v>
      </c>
      <c r="BR549" s="117">
        <f>VLOOKUP($D549,'WB Data'!$C$3:$M$578,11,FALSE)</f>
        <v>52.3</v>
      </c>
      <c r="BS549" s="129">
        <f>IFERROR(VLOOKUP($D549,'WB Data 2'!$C$2:$K$545,9,FALSE),"..")</f>
        <v>87.639740000000003</v>
      </c>
      <c r="BT549" s="129">
        <f>_xlfn.IFNA(VLOOKUP($C549,RGI!$A$2:$C$43,2,FALSE),"..")</f>
        <v>32.299999999999997</v>
      </c>
      <c r="BU549" s="129">
        <f>_xlfn.IFNA(VLOOKUP($C549,RGI!$A$2:$C$43,3,FALSE),"..")</f>
        <v>62.723264193960979</v>
      </c>
      <c r="BV549" s="129">
        <f>VLOOKUP($D549,WGI!$C$2:$O$478,7,FALSE)</f>
        <v>0.41065856814384499</v>
      </c>
      <c r="BW549" s="129">
        <f>VLOOKUP($D549,WGI!$C$2:$O$478,4,FALSE)</f>
        <v>2.0406404510140402E-2</v>
      </c>
      <c r="BX549" s="129">
        <f>VLOOKUP($D549,WGI!$C$2:$O$478,3,FALSE)</f>
        <v>-8.6076162755489294E-2</v>
      </c>
      <c r="BY549" s="129">
        <f>VLOOKUP($D549,WGI!$C$2:$O$478,5,FALSE)</f>
        <v>7.7964797616004902E-2</v>
      </c>
      <c r="BZ549" s="129">
        <f>VLOOKUP($D549,WGI!$C$2:$O$478,2,FALSE)</f>
        <v>-7.4241228401660905E-2</v>
      </c>
      <c r="CB549" s="129"/>
    </row>
    <row r="550" spans="1:80" ht="15" customHeight="1">
      <c r="A550" s="407" t="s">
        <v>218</v>
      </c>
      <c r="B550" s="408">
        <v>2010</v>
      </c>
      <c r="C550" s="830" t="s">
        <v>219</v>
      </c>
      <c r="D550" s="117" t="s">
        <v>3664</v>
      </c>
      <c r="E550" s="409" t="s">
        <v>220</v>
      </c>
      <c r="F550" s="410" t="s">
        <v>1210</v>
      </c>
      <c r="G550" s="410" t="s">
        <v>35</v>
      </c>
      <c r="H550" s="117" t="str">
        <f t="shared" si="85"/>
        <v>yes</v>
      </c>
      <c r="I550" s="117" t="str">
        <f t="shared" si="86"/>
        <v>yes</v>
      </c>
      <c r="J550" s="117" t="str">
        <f t="shared" si="87"/>
        <v>yes</v>
      </c>
      <c r="K550" s="410" t="s">
        <v>709</v>
      </c>
      <c r="L550" s="117" t="str">
        <f t="shared" si="94"/>
        <v>Total</v>
      </c>
      <c r="M550" s="117" t="str">
        <f t="shared" si="88"/>
        <v>Total Oil, Gas, Mining</v>
      </c>
      <c r="N550" s="411"/>
      <c r="O550" s="411"/>
      <c r="P550" s="411"/>
      <c r="Q550" s="411"/>
      <c r="R550" s="411"/>
      <c r="S550" s="410"/>
      <c r="T550" s="412"/>
      <c r="U550" s="410"/>
      <c r="V550" s="410"/>
      <c r="W550" s="413">
        <f>W551+W554</f>
        <v>1371113691.0246789</v>
      </c>
      <c r="X550" s="410" t="s">
        <v>1211</v>
      </c>
      <c r="Y550" s="410" t="s">
        <v>602</v>
      </c>
      <c r="Z550" s="410"/>
      <c r="AA550" s="414">
        <v>155800631</v>
      </c>
      <c r="AB550" s="414">
        <v>157157449</v>
      </c>
      <c r="AC550" s="415"/>
      <c r="AD550" s="415"/>
      <c r="AE550" s="415"/>
      <c r="AF550" s="416">
        <f>AA550/W550</f>
        <v>0.11363071641678743</v>
      </c>
      <c r="AG550" s="410"/>
      <c r="AH550" s="417">
        <v>8.0500000000000007</v>
      </c>
      <c r="AI550" s="410" t="s">
        <v>667</v>
      </c>
      <c r="AJ550" s="410"/>
      <c r="AK550" s="413"/>
      <c r="AL550" s="410"/>
      <c r="AM550" s="410"/>
      <c r="AN550" s="410"/>
      <c r="AO550" s="410"/>
      <c r="AP550" s="410">
        <v>8</v>
      </c>
      <c r="AQ550" s="410" t="s">
        <v>117</v>
      </c>
      <c r="AR550" s="418">
        <v>41922</v>
      </c>
      <c r="AS550" s="410" t="s">
        <v>1212</v>
      </c>
      <c r="AT550" s="410" t="s">
        <v>221</v>
      </c>
      <c r="AU550" s="410"/>
      <c r="AV550" s="419"/>
      <c r="AW550" s="117">
        <f>VLOOKUP($D550,'WB Data'!$C$3:$M$578,2,FALSE)</f>
        <v>41337958251.631958</v>
      </c>
      <c r="AX550" s="117">
        <f>VLOOKUP($D550,'WB Data'!$C$3:$M$578,3,FALSE)</f>
        <v>14341576</v>
      </c>
      <c r="AY550" s="847">
        <f t="shared" si="90"/>
        <v>3.7689483852011299E-3</v>
      </c>
      <c r="AZ550" s="117">
        <f>VLOOKUP($D550,'WB Data'!$C$3:$M$578,4,FALSE)/100</f>
        <v>0.11070848524418105</v>
      </c>
      <c r="BA550" s="117">
        <f t="shared" si="91"/>
        <v>4576462741.1253691</v>
      </c>
      <c r="BB550" s="129">
        <f>IFERROR(VLOOKUP($D550,'EITI Revenues'!$C$2:$G$224,5,FALSE),"..")</f>
        <v>155800631</v>
      </c>
      <c r="BC550" s="846">
        <f t="shared" si="92"/>
        <v>3.4043898052513816E-2</v>
      </c>
      <c r="BD550" s="129">
        <f>VLOOKUP($D550,'WB Data 2'!$C$2:$K$545,6,FALSE)</f>
        <v>933400729.1812427</v>
      </c>
      <c r="BE550" s="129">
        <f>IFERROR(VLOOKUP($D550,UNCTAD!$C$5:$V$529,4,FALSE),"..")</f>
        <v>10803023919</v>
      </c>
      <c r="BF550" s="846">
        <f t="shared" si="93"/>
        <v>8.6401801586277013E-2</v>
      </c>
      <c r="BG550" s="117">
        <f>VLOOKUP($D550,'WB Data'!$C$3:$M$578,5,FALSE)</f>
        <v>393520000</v>
      </c>
      <c r="BH550" s="129">
        <f>IFERROR($BB550/$BG550,"..")</f>
        <v>0.395915407094938</v>
      </c>
      <c r="BI550" s="117">
        <f>IFERROR(VLOOKUP($D550,'WB Data'!$C$3:$M$578,7,FALSE)/100,"..")</f>
        <v>2.8030599999999999E-2</v>
      </c>
      <c r="BJ550" s="117">
        <f>IFERROR($BI550*$AW550,"..")</f>
        <v>1158727772.5681946</v>
      </c>
      <c r="BK550" s="846">
        <f>IFERROR($BB550/$BJ550,"..")</f>
        <v>0.13445835569702863</v>
      </c>
      <c r="BL550" s="117">
        <f>IFERROR(VLOOKUP($D550,'WB Data'!$C$3:$M$578,7,FALSE)/100,"..")</f>
        <v>2.8030599999999999E-2</v>
      </c>
      <c r="BM550" s="117">
        <f>IFERROR($AW550*$BL550,"..")</f>
        <v>1158727772.5681946</v>
      </c>
      <c r="BN550" s="846">
        <f>IFERROR($BB550/$BM550,"..")</f>
        <v>0.13445835569702863</v>
      </c>
      <c r="BO550" s="801">
        <f t="shared" si="89"/>
        <v>32</v>
      </c>
      <c r="BP550" s="117" t="str">
        <f>VLOOKUP($D550,'WB Data'!$C$3:$M$578,9,FALSE)</f>
        <v>..</v>
      </c>
      <c r="BQ550" s="117">
        <f>VLOOKUP($D550,'WB Data'!$C$3:$M$578,10,FALSE)</f>
        <v>70.995975609756101</v>
      </c>
      <c r="BR550" s="117">
        <f>VLOOKUP($D550,'WB Data'!$C$3:$M$578,11,FALSE)</f>
        <v>28.4</v>
      </c>
      <c r="BS550" s="129">
        <f>IFERROR(VLOOKUP($D550,'WB Data 2'!$C$2:$K$545,9,FALSE),"..")</f>
        <v>98.247460000000004</v>
      </c>
      <c r="BT550" s="129" t="str">
        <f>_xlfn.IFNA(VLOOKUP($C550,RGI!$A$2:$C$43,2,FALSE),"..")</f>
        <v>..</v>
      </c>
      <c r="BU550" s="129" t="str">
        <f>_xlfn.IFNA(VLOOKUP($C550,RGI!$A$2:$C$43,3,FALSE),"..")</f>
        <v>..</v>
      </c>
      <c r="BV550" s="129">
        <f>VLOOKUP($D550,WGI!$C$2:$O$478,7,FALSE)</f>
        <v>-0.33446461090524898</v>
      </c>
      <c r="BW550" s="129">
        <f>VLOOKUP($D550,WGI!$C$2:$O$478,4,FALSE)</f>
        <v>-0.87314139642851796</v>
      </c>
      <c r="BX550" s="129">
        <f>VLOOKUP($D550,WGI!$C$2:$O$478,3,FALSE)</f>
        <v>-0.69874816414761298</v>
      </c>
      <c r="BY550" s="129">
        <f>VLOOKUP($D550,WGI!$C$2:$O$478,5,FALSE)</f>
        <v>-0.13028208712700701</v>
      </c>
      <c r="BZ550" s="129">
        <f>VLOOKUP($D550,WGI!$C$2:$O$478,2,FALSE)</f>
        <v>-0.48129935133288498</v>
      </c>
    </row>
    <row r="551" spans="1:80" ht="15" customHeight="1">
      <c r="A551" s="407" t="s">
        <v>218</v>
      </c>
      <c r="B551" s="408">
        <v>2010</v>
      </c>
      <c r="C551" s="805" t="s">
        <v>219</v>
      </c>
      <c r="D551" s="117" t="s">
        <v>3664</v>
      </c>
      <c r="E551" s="409" t="s">
        <v>220</v>
      </c>
      <c r="F551" s="410"/>
      <c r="G551" s="410" t="s">
        <v>55</v>
      </c>
      <c r="H551" s="117" t="str">
        <f t="shared" si="85"/>
        <v>no</v>
      </c>
      <c r="I551" s="117" t="str">
        <f t="shared" si="86"/>
        <v>yes</v>
      </c>
      <c r="J551" s="117" t="str">
        <f t="shared" si="87"/>
        <v>yes</v>
      </c>
      <c r="K551" s="410" t="s">
        <v>640</v>
      </c>
      <c r="L551" s="117" t="str">
        <f t="shared" si="94"/>
        <v>Total</v>
      </c>
      <c r="M551" s="117" t="str">
        <f t="shared" si="88"/>
        <v>Total Oil, Gas</v>
      </c>
      <c r="N551" s="411"/>
      <c r="O551" s="411"/>
      <c r="P551" s="411"/>
      <c r="Q551" s="411"/>
      <c r="R551" s="411"/>
      <c r="S551" s="410"/>
      <c r="T551" s="412"/>
      <c r="U551" s="410"/>
      <c r="V551" s="410"/>
      <c r="W551" s="413">
        <f>SUM(W552:W553)</f>
        <v>435401113.47537935</v>
      </c>
      <c r="X551" s="410"/>
      <c r="Y551" s="410"/>
      <c r="Z551" s="410"/>
      <c r="AA551" s="414"/>
      <c r="AB551" s="414"/>
      <c r="AC551" s="415"/>
      <c r="AD551" s="415"/>
      <c r="AE551" s="415"/>
      <c r="AF551" s="416"/>
      <c r="AG551" s="410"/>
      <c r="AH551" s="417"/>
      <c r="AI551" s="410"/>
      <c r="AJ551" s="410"/>
      <c r="AK551" s="413"/>
      <c r="AL551" s="410"/>
      <c r="AM551" s="410"/>
      <c r="AN551" s="410"/>
      <c r="AO551" s="410"/>
      <c r="AP551" s="410"/>
      <c r="AQ551" s="410"/>
      <c r="AR551" s="418"/>
      <c r="AS551" s="410"/>
      <c r="AT551" s="410"/>
      <c r="AU551" s="410"/>
      <c r="AV551" s="419"/>
      <c r="AW551" s="117">
        <f>VLOOKUP($D551,'WB Data'!$C$3:$M$578,2,FALSE)</f>
        <v>41337958251.631958</v>
      </c>
      <c r="AX551" s="117">
        <f>VLOOKUP($D551,'WB Data'!$C$3:$M$578,3,FALSE)</f>
        <v>14341576</v>
      </c>
      <c r="AY551" s="847">
        <f t="shared" si="90"/>
        <v>3.7689483852011299E-3</v>
      </c>
      <c r="AZ551" s="117">
        <f>VLOOKUP($D551,'WB Data'!$C$3:$M$578,4,FALSE)/100</f>
        <v>0.11070848524418105</v>
      </c>
      <c r="BA551" s="117">
        <f t="shared" si="91"/>
        <v>4576462741.1253691</v>
      </c>
      <c r="BB551" s="129">
        <f>IFERROR(VLOOKUP($D551,'EITI Revenues'!$C$2:$G$224,5,FALSE),"..")</f>
        <v>155800631</v>
      </c>
      <c r="BC551" s="846">
        <f t="shared" si="92"/>
        <v>3.4043898052513816E-2</v>
      </c>
      <c r="BD551" s="129">
        <f>VLOOKUP($D551,'WB Data 2'!$C$2:$K$545,6,FALSE)</f>
        <v>933400729.1812427</v>
      </c>
      <c r="BE551" s="129">
        <f>IFERROR(VLOOKUP($D551,UNCTAD!$C$5:$V$529,4,FALSE),"..")</f>
        <v>10803023919</v>
      </c>
      <c r="BF551" s="846">
        <f t="shared" si="93"/>
        <v>8.6401801586277013E-2</v>
      </c>
      <c r="BG551" s="117">
        <f>VLOOKUP($D551,'WB Data'!$C$3:$M$578,5,FALSE)</f>
        <v>393520000</v>
      </c>
      <c r="BH551" s="129">
        <f>IFERROR($BB551/$BG551,"..")</f>
        <v>0.395915407094938</v>
      </c>
      <c r="BI551" s="117">
        <f>IFERROR(VLOOKUP($D551,'WB Data'!$C$3:$M$578,7,FALSE)/100,"..")</f>
        <v>2.8030599999999999E-2</v>
      </c>
      <c r="BJ551" s="117">
        <f>IFERROR($BI551*$AW551,"..")</f>
        <v>1158727772.5681946</v>
      </c>
      <c r="BK551" s="846">
        <f>IFERROR($BB551/$BJ551,"..")</f>
        <v>0.13445835569702863</v>
      </c>
      <c r="BL551" s="117">
        <f>IFERROR(VLOOKUP($D551,'WB Data'!$C$3:$M$578,7,FALSE)/100,"..")</f>
        <v>2.8030599999999999E-2</v>
      </c>
      <c r="BM551" s="117">
        <f>IFERROR($AW551*$BL551,"..")</f>
        <v>1158727772.5681946</v>
      </c>
      <c r="BN551" s="846">
        <f>IFERROR($BB551/$BM551,"..")</f>
        <v>0.13445835569702863</v>
      </c>
      <c r="BO551" s="801">
        <f t="shared" si="89"/>
        <v>32</v>
      </c>
      <c r="BP551" s="117" t="str">
        <f>VLOOKUP($D551,'WB Data'!$C$3:$M$578,9,FALSE)</f>
        <v>..</v>
      </c>
      <c r="BQ551" s="117">
        <f>VLOOKUP($D551,'WB Data'!$C$3:$M$578,10,FALSE)</f>
        <v>70.995975609756101</v>
      </c>
      <c r="BR551" s="117">
        <f>VLOOKUP($D551,'WB Data'!$C$3:$M$578,11,FALSE)</f>
        <v>28.4</v>
      </c>
      <c r="BS551" s="129">
        <f>IFERROR(VLOOKUP($D551,'WB Data 2'!$C$2:$K$545,9,FALSE),"..")</f>
        <v>98.247460000000004</v>
      </c>
      <c r="BT551" s="129" t="str">
        <f>_xlfn.IFNA(VLOOKUP($C551,RGI!$A$2:$C$43,2,FALSE),"..")</f>
        <v>..</v>
      </c>
      <c r="BU551" s="129" t="str">
        <f>_xlfn.IFNA(VLOOKUP($C551,RGI!$A$2:$C$43,3,FALSE),"..")</f>
        <v>..</v>
      </c>
      <c r="BV551" s="129">
        <f>VLOOKUP($D551,WGI!$C$2:$O$478,7,FALSE)</f>
        <v>-0.33446461090524898</v>
      </c>
      <c r="BW551" s="129">
        <f>VLOOKUP($D551,WGI!$C$2:$O$478,4,FALSE)</f>
        <v>-0.87314139642851796</v>
      </c>
      <c r="BX551" s="129">
        <f>VLOOKUP($D551,WGI!$C$2:$O$478,3,FALSE)</f>
        <v>-0.69874816414761298</v>
      </c>
      <c r="BY551" s="129">
        <f>VLOOKUP($D551,WGI!$C$2:$O$478,5,FALSE)</f>
        <v>-0.13028208712700701</v>
      </c>
      <c r="BZ551" s="129">
        <f>VLOOKUP($D551,WGI!$C$2:$O$478,2,FALSE)</f>
        <v>-0.48129935133288498</v>
      </c>
    </row>
    <row r="552" spans="1:80" ht="15" customHeight="1">
      <c r="A552" s="407" t="s">
        <v>218</v>
      </c>
      <c r="B552" s="408">
        <v>2010</v>
      </c>
      <c r="C552" s="805" t="s">
        <v>219</v>
      </c>
      <c r="D552" s="117" t="s">
        <v>3664</v>
      </c>
      <c r="E552" s="409" t="s">
        <v>220</v>
      </c>
      <c r="F552" s="410"/>
      <c r="G552" s="410" t="s">
        <v>561</v>
      </c>
      <c r="H552" s="117" t="str">
        <f t="shared" si="85"/>
        <v>no</v>
      </c>
      <c r="I552" s="117" t="str">
        <f t="shared" si="86"/>
        <v>yes</v>
      </c>
      <c r="J552" s="117" t="str">
        <f t="shared" si="87"/>
        <v>no</v>
      </c>
      <c r="K552" s="410" t="s">
        <v>561</v>
      </c>
      <c r="L552" s="117" t="str">
        <f t="shared" si="94"/>
        <v>detailed</v>
      </c>
      <c r="M552" s="117" t="str">
        <f t="shared" si="88"/>
        <v>detailed Gas</v>
      </c>
      <c r="N552" s="411">
        <v>360000</v>
      </c>
      <c r="O552" s="411"/>
      <c r="P552" s="411"/>
      <c r="Q552" s="411"/>
      <c r="R552" s="411"/>
      <c r="S552" s="410" t="s">
        <v>642</v>
      </c>
      <c r="T552" s="412">
        <v>0.1741077336927683</v>
      </c>
      <c r="U552" s="410" t="s">
        <v>643</v>
      </c>
      <c r="V552" s="410" t="s">
        <v>1213</v>
      </c>
      <c r="W552" s="413">
        <f>N552*T552</f>
        <v>62678.78412939659</v>
      </c>
      <c r="X552" s="410"/>
      <c r="Y552" s="410"/>
      <c r="Z552" s="410"/>
      <c r="AA552" s="414"/>
      <c r="AB552" s="414"/>
      <c r="AC552" s="415"/>
      <c r="AD552" s="415"/>
      <c r="AE552" s="415"/>
      <c r="AF552" s="416"/>
      <c r="AG552" s="410"/>
      <c r="AH552" s="417"/>
      <c r="AI552" s="410"/>
      <c r="AJ552" s="410"/>
      <c r="AK552" s="413"/>
      <c r="AL552" s="410"/>
      <c r="AM552" s="410"/>
      <c r="AN552" s="410"/>
      <c r="AO552" s="410"/>
      <c r="AP552" s="410"/>
      <c r="AQ552" s="420"/>
      <c r="AR552" s="418"/>
      <c r="AS552" s="410"/>
      <c r="AT552" s="421"/>
      <c r="AU552" s="410"/>
      <c r="AV552" s="419"/>
      <c r="AW552" s="117">
        <f>VLOOKUP($D552,'WB Data'!$C$3:$M$578,2,FALSE)</f>
        <v>41337958251.631958</v>
      </c>
      <c r="AX552" s="117">
        <f>VLOOKUP($D552,'WB Data'!$C$3:$M$578,3,FALSE)</f>
        <v>14341576</v>
      </c>
      <c r="AY552" s="847">
        <f t="shared" si="90"/>
        <v>3.7689483852011299E-3</v>
      </c>
      <c r="AZ552" s="117">
        <f>VLOOKUP($D552,'WB Data'!$C$3:$M$578,4,FALSE)/100</f>
        <v>0.11070848524418105</v>
      </c>
      <c r="BA552" s="117">
        <f t="shared" si="91"/>
        <v>4576462741.1253691</v>
      </c>
      <c r="BB552" s="129">
        <f>IFERROR(VLOOKUP($D552,'EITI Revenues'!$C$2:$G$224,5,FALSE),"..")</f>
        <v>155800631</v>
      </c>
      <c r="BC552" s="846">
        <f t="shared" si="92"/>
        <v>3.4043898052513816E-2</v>
      </c>
      <c r="BD552" s="129">
        <f>VLOOKUP($D552,'WB Data 2'!$C$2:$K$545,6,FALSE)</f>
        <v>933400729.1812427</v>
      </c>
      <c r="BE552" s="129">
        <f>IFERROR(VLOOKUP($D552,UNCTAD!$C$5:$V$529,4,FALSE),"..")</f>
        <v>10803023919</v>
      </c>
      <c r="BF552" s="846">
        <f t="shared" si="93"/>
        <v>8.6401801586277013E-2</v>
      </c>
      <c r="BG552" s="117">
        <f>VLOOKUP($D552,'WB Data'!$C$3:$M$578,5,FALSE)</f>
        <v>393520000</v>
      </c>
      <c r="BH552" s="129">
        <f>IFERROR($BB552/$BG552,"..")</f>
        <v>0.395915407094938</v>
      </c>
      <c r="BI552" s="117">
        <f>IFERROR(VLOOKUP($D552,'WB Data'!$C$3:$M$578,7,FALSE)/100,"..")</f>
        <v>2.8030599999999999E-2</v>
      </c>
      <c r="BJ552" s="117">
        <f>IFERROR($BI552*$AW552,"..")</f>
        <v>1158727772.5681946</v>
      </c>
      <c r="BK552" s="846">
        <f>IFERROR($BB552/$BJ552,"..")</f>
        <v>0.13445835569702863</v>
      </c>
      <c r="BL552" s="117">
        <f>IFERROR(VLOOKUP($D552,'WB Data'!$C$3:$M$578,7,FALSE)/100,"..")</f>
        <v>2.8030599999999999E-2</v>
      </c>
      <c r="BM552" s="117">
        <f>IFERROR($AW552*$BL552,"..")</f>
        <v>1158727772.5681946</v>
      </c>
      <c r="BN552" s="846">
        <f>IFERROR($BB552/$BM552,"..")</f>
        <v>0.13445835569702863</v>
      </c>
      <c r="BO552" s="801">
        <f t="shared" si="89"/>
        <v>32</v>
      </c>
      <c r="BP552" s="117" t="str">
        <f>VLOOKUP($D552,'WB Data'!$C$3:$M$578,9,FALSE)</f>
        <v>..</v>
      </c>
      <c r="BQ552" s="117">
        <f>VLOOKUP($D552,'WB Data'!$C$3:$M$578,10,FALSE)</f>
        <v>70.995975609756101</v>
      </c>
      <c r="BR552" s="117">
        <f>VLOOKUP($D552,'WB Data'!$C$3:$M$578,11,FALSE)</f>
        <v>28.4</v>
      </c>
      <c r="BS552" s="129">
        <f>IFERROR(VLOOKUP($D552,'WB Data 2'!$C$2:$K$545,9,FALSE),"..")</f>
        <v>98.247460000000004</v>
      </c>
      <c r="BT552" s="129" t="str">
        <f>_xlfn.IFNA(VLOOKUP($C552,RGI!$A$2:$C$43,2,FALSE),"..")</f>
        <v>..</v>
      </c>
      <c r="BU552" s="129" t="str">
        <f>_xlfn.IFNA(VLOOKUP($C552,RGI!$A$2:$C$43,3,FALSE),"..")</f>
        <v>..</v>
      </c>
      <c r="BV552" s="129">
        <f>VLOOKUP($D552,WGI!$C$2:$O$478,7,FALSE)</f>
        <v>-0.33446461090524898</v>
      </c>
      <c r="BW552" s="129">
        <f>VLOOKUP($D552,WGI!$C$2:$O$478,4,FALSE)</f>
        <v>-0.87314139642851796</v>
      </c>
      <c r="BX552" s="129">
        <f>VLOOKUP($D552,WGI!$C$2:$O$478,3,FALSE)</f>
        <v>-0.69874816414761298</v>
      </c>
      <c r="BY552" s="129">
        <f>VLOOKUP($D552,WGI!$C$2:$O$478,5,FALSE)</f>
        <v>-0.13028208712700701</v>
      </c>
      <c r="BZ552" s="129">
        <f>VLOOKUP($D552,WGI!$C$2:$O$478,2,FALSE)</f>
        <v>-0.48129935133288498</v>
      </c>
    </row>
    <row r="553" spans="1:80" ht="15" customHeight="1">
      <c r="A553" s="407" t="s">
        <v>218</v>
      </c>
      <c r="B553" s="408">
        <v>2010</v>
      </c>
      <c r="C553" s="805" t="s">
        <v>219</v>
      </c>
      <c r="D553" s="117" t="s">
        <v>3664</v>
      </c>
      <c r="E553" s="409" t="s">
        <v>220</v>
      </c>
      <c r="F553" s="410"/>
      <c r="G553" s="410" t="s">
        <v>103</v>
      </c>
      <c r="H553" s="117" t="str">
        <f t="shared" si="85"/>
        <v>no</v>
      </c>
      <c r="I553" s="117" t="str">
        <f t="shared" si="86"/>
        <v>no</v>
      </c>
      <c r="J553" s="117" t="str">
        <f t="shared" si="87"/>
        <v>yes</v>
      </c>
      <c r="K553" s="410" t="s">
        <v>103</v>
      </c>
      <c r="L553" s="117" t="str">
        <f t="shared" si="94"/>
        <v>detailed</v>
      </c>
      <c r="M553" s="117" t="str">
        <f t="shared" si="88"/>
        <v>detailed Oil</v>
      </c>
      <c r="N553" s="411">
        <v>5475000</v>
      </c>
      <c r="O553" s="411"/>
      <c r="P553" s="411"/>
      <c r="Q553" s="411"/>
      <c r="R553" s="411"/>
      <c r="S553" s="410" t="s">
        <v>646</v>
      </c>
      <c r="T553" s="412">
        <v>79.513869349999993</v>
      </c>
      <c r="U553" s="410" t="s">
        <v>673</v>
      </c>
      <c r="V553" s="410" t="s">
        <v>1030</v>
      </c>
      <c r="W553" s="413">
        <f>N553*T553</f>
        <v>435338434.69124997</v>
      </c>
      <c r="X553" s="410"/>
      <c r="Y553" s="410"/>
      <c r="Z553" s="410"/>
      <c r="AA553" s="414"/>
      <c r="AB553" s="414"/>
      <c r="AC553" s="415"/>
      <c r="AD553" s="415"/>
      <c r="AE553" s="415"/>
      <c r="AF553" s="416"/>
      <c r="AG553" s="410"/>
      <c r="AH553" s="417"/>
      <c r="AI553" s="410"/>
      <c r="AJ553" s="410"/>
      <c r="AK553" s="413"/>
      <c r="AL553" s="410"/>
      <c r="AM553" s="410"/>
      <c r="AN553" s="410"/>
      <c r="AO553" s="410"/>
      <c r="AP553" s="410"/>
      <c r="AQ553" s="420"/>
      <c r="AR553" s="418"/>
      <c r="AS553" s="410"/>
      <c r="AT553" s="421"/>
      <c r="AU553" s="410"/>
      <c r="AV553" s="419"/>
      <c r="AW553" s="117">
        <f>VLOOKUP($D553,'WB Data'!$C$3:$M$578,2,FALSE)</f>
        <v>41337958251.631958</v>
      </c>
      <c r="AX553" s="117">
        <f>VLOOKUP($D553,'WB Data'!$C$3:$M$578,3,FALSE)</f>
        <v>14341576</v>
      </c>
      <c r="AY553" s="847">
        <f t="shared" si="90"/>
        <v>3.7689483852011299E-3</v>
      </c>
      <c r="AZ553" s="117">
        <f>VLOOKUP($D553,'WB Data'!$C$3:$M$578,4,FALSE)/100</f>
        <v>0.11070848524418105</v>
      </c>
      <c r="BA553" s="117">
        <f t="shared" si="91"/>
        <v>4576462741.1253691</v>
      </c>
      <c r="BB553" s="129">
        <f>IFERROR(VLOOKUP($D553,'EITI Revenues'!$C$2:$G$224,5,FALSE),"..")</f>
        <v>155800631</v>
      </c>
      <c r="BC553" s="846">
        <f t="shared" si="92"/>
        <v>3.4043898052513816E-2</v>
      </c>
      <c r="BD553" s="129">
        <f>VLOOKUP($D553,'WB Data 2'!$C$2:$K$545,6,FALSE)</f>
        <v>933400729.1812427</v>
      </c>
      <c r="BE553" s="129">
        <f>IFERROR(VLOOKUP($D553,UNCTAD!$C$5:$V$529,4,FALSE),"..")</f>
        <v>10803023919</v>
      </c>
      <c r="BF553" s="846">
        <f t="shared" si="93"/>
        <v>8.6401801586277013E-2</v>
      </c>
      <c r="BG553" s="117">
        <f>VLOOKUP($D553,'WB Data'!$C$3:$M$578,5,FALSE)</f>
        <v>393520000</v>
      </c>
      <c r="BH553" s="129">
        <f>IFERROR($BB553/$BG553,"..")</f>
        <v>0.395915407094938</v>
      </c>
      <c r="BI553" s="117">
        <f>IFERROR(VLOOKUP($D553,'WB Data'!$C$3:$M$578,7,FALSE)/100,"..")</f>
        <v>2.8030599999999999E-2</v>
      </c>
      <c r="BJ553" s="117">
        <f>IFERROR($BI553*$AW553,"..")</f>
        <v>1158727772.5681946</v>
      </c>
      <c r="BK553" s="846">
        <f>IFERROR($BB553/$BJ553,"..")</f>
        <v>0.13445835569702863</v>
      </c>
      <c r="BL553" s="117">
        <f>IFERROR(VLOOKUP($D553,'WB Data'!$C$3:$M$578,7,FALSE)/100,"..")</f>
        <v>2.8030599999999999E-2</v>
      </c>
      <c r="BM553" s="117">
        <f>IFERROR($AW553*$BL553,"..")</f>
        <v>1158727772.5681946</v>
      </c>
      <c r="BN553" s="846">
        <f>IFERROR($BB553/$BM553,"..")</f>
        <v>0.13445835569702863</v>
      </c>
      <c r="BO553" s="801">
        <f t="shared" si="89"/>
        <v>32</v>
      </c>
      <c r="BP553" s="117" t="str">
        <f>VLOOKUP($D553,'WB Data'!$C$3:$M$578,9,FALSE)</f>
        <v>..</v>
      </c>
      <c r="BQ553" s="117">
        <f>VLOOKUP($D553,'WB Data'!$C$3:$M$578,10,FALSE)</f>
        <v>70.995975609756101</v>
      </c>
      <c r="BR553" s="117">
        <f>VLOOKUP($D553,'WB Data'!$C$3:$M$578,11,FALSE)</f>
        <v>28.4</v>
      </c>
      <c r="BS553" s="129">
        <f>IFERROR(VLOOKUP($D553,'WB Data 2'!$C$2:$K$545,9,FALSE),"..")</f>
        <v>98.247460000000004</v>
      </c>
      <c r="BT553" s="129" t="str">
        <f>_xlfn.IFNA(VLOOKUP($C553,RGI!$A$2:$C$43,2,FALSE),"..")</f>
        <v>..</v>
      </c>
      <c r="BU553" s="129" t="str">
        <f>_xlfn.IFNA(VLOOKUP($C553,RGI!$A$2:$C$43,3,FALSE),"..")</f>
        <v>..</v>
      </c>
      <c r="BV553" s="129">
        <f>VLOOKUP($D553,WGI!$C$2:$O$478,7,FALSE)</f>
        <v>-0.33446461090524898</v>
      </c>
      <c r="BW553" s="129">
        <f>VLOOKUP($D553,WGI!$C$2:$O$478,4,FALSE)</f>
        <v>-0.87314139642851796</v>
      </c>
      <c r="BX553" s="129">
        <f>VLOOKUP($D553,WGI!$C$2:$O$478,3,FALSE)</f>
        <v>-0.69874816414761298</v>
      </c>
      <c r="BY553" s="129">
        <f>VLOOKUP($D553,WGI!$C$2:$O$478,5,FALSE)</f>
        <v>-0.13028208712700701</v>
      </c>
      <c r="BZ553" s="129">
        <f>VLOOKUP($D553,WGI!$C$2:$O$478,2,FALSE)</f>
        <v>-0.48129935133288498</v>
      </c>
    </row>
    <row r="554" spans="1:80" ht="15" customHeight="1">
      <c r="A554" s="407" t="s">
        <v>218</v>
      </c>
      <c r="B554" s="408">
        <v>2010</v>
      </c>
      <c r="C554" s="805" t="s">
        <v>219</v>
      </c>
      <c r="D554" s="117" t="s">
        <v>3664</v>
      </c>
      <c r="E554" s="409" t="s">
        <v>220</v>
      </c>
      <c r="F554" s="410"/>
      <c r="G554" s="410" t="s">
        <v>24</v>
      </c>
      <c r="H554" s="117" t="str">
        <f t="shared" si="85"/>
        <v>yes</v>
      </c>
      <c r="I554" s="117" t="str">
        <f t="shared" si="86"/>
        <v>no</v>
      </c>
      <c r="J554" s="117" t="str">
        <f t="shared" si="87"/>
        <v>no</v>
      </c>
      <c r="K554" s="410" t="s">
        <v>600</v>
      </c>
      <c r="L554" s="117" t="str">
        <f t="shared" si="94"/>
        <v>Total</v>
      </c>
      <c r="M554" s="117" t="str">
        <f t="shared" si="88"/>
        <v>Total Mining</v>
      </c>
      <c r="N554" s="411"/>
      <c r="O554" s="411"/>
      <c r="P554" s="411"/>
      <c r="Q554" s="411"/>
      <c r="R554" s="411"/>
      <c r="S554" s="410"/>
      <c r="T554" s="412"/>
      <c r="U554" s="410"/>
      <c r="V554" s="410"/>
      <c r="W554" s="413">
        <f>SUM(W555:W580)</f>
        <v>935712577.5492996</v>
      </c>
      <c r="X554" s="410"/>
      <c r="Y554" s="410"/>
      <c r="Z554" s="410"/>
      <c r="AA554" s="414"/>
      <c r="AB554" s="414"/>
      <c r="AC554" s="415"/>
      <c r="AD554" s="415"/>
      <c r="AE554" s="415"/>
      <c r="AF554" s="416"/>
      <c r="AG554" s="410"/>
      <c r="AH554" s="417"/>
      <c r="AI554" s="410"/>
      <c r="AJ554" s="410"/>
      <c r="AK554" s="413"/>
      <c r="AL554" s="410"/>
      <c r="AM554" s="410"/>
      <c r="AN554" s="410"/>
      <c r="AO554" s="410"/>
      <c r="AP554" s="410"/>
      <c r="AQ554" s="410"/>
      <c r="AR554" s="418"/>
      <c r="AS554" s="410"/>
      <c r="AT554" s="410"/>
      <c r="AU554" s="410"/>
      <c r="AV554" s="419"/>
      <c r="AW554" s="117">
        <f>VLOOKUP($D554,'WB Data'!$C$3:$M$578,2,FALSE)</f>
        <v>41337958251.631958</v>
      </c>
      <c r="AX554" s="117">
        <f>VLOOKUP($D554,'WB Data'!$C$3:$M$578,3,FALSE)</f>
        <v>14341576</v>
      </c>
      <c r="AY554" s="847">
        <f t="shared" si="90"/>
        <v>3.7689483852011299E-3</v>
      </c>
      <c r="AZ554" s="117">
        <f>VLOOKUP($D554,'WB Data'!$C$3:$M$578,4,FALSE)/100</f>
        <v>0.11070848524418105</v>
      </c>
      <c r="BA554" s="117">
        <f t="shared" si="91"/>
        <v>4576462741.1253691</v>
      </c>
      <c r="BB554" s="129">
        <f>IFERROR(VLOOKUP($D554,'EITI Revenues'!$C$2:$G$224,5,FALSE),"..")</f>
        <v>155800631</v>
      </c>
      <c r="BC554" s="846">
        <f t="shared" si="92"/>
        <v>3.4043898052513816E-2</v>
      </c>
      <c r="BD554" s="129">
        <f>VLOOKUP($D554,'WB Data 2'!$C$2:$K$545,6,FALSE)</f>
        <v>933400729.1812427</v>
      </c>
      <c r="BE554" s="129">
        <f>IFERROR(VLOOKUP($D554,UNCTAD!$C$5:$V$529,4,FALSE),"..")</f>
        <v>10803023919</v>
      </c>
      <c r="BF554" s="846">
        <f t="shared" si="93"/>
        <v>8.6401801586277013E-2</v>
      </c>
      <c r="BG554" s="117">
        <f>VLOOKUP($D554,'WB Data'!$C$3:$M$578,5,FALSE)</f>
        <v>393520000</v>
      </c>
      <c r="BH554" s="129">
        <f>IFERROR($BB554/$BG554,"..")</f>
        <v>0.395915407094938</v>
      </c>
      <c r="BI554" s="117">
        <f>IFERROR(VLOOKUP($D554,'WB Data'!$C$3:$M$578,7,FALSE)/100,"..")</f>
        <v>2.8030599999999999E-2</v>
      </c>
      <c r="BJ554" s="117">
        <f>IFERROR($BI554*$AW554,"..")</f>
        <v>1158727772.5681946</v>
      </c>
      <c r="BK554" s="846">
        <f>IFERROR($BB554/$BJ554,"..")</f>
        <v>0.13445835569702863</v>
      </c>
      <c r="BL554" s="117">
        <f>IFERROR(VLOOKUP($D554,'WB Data'!$C$3:$M$578,7,FALSE)/100,"..")</f>
        <v>2.8030599999999999E-2</v>
      </c>
      <c r="BM554" s="117">
        <f>IFERROR($AW554*$BL554,"..")</f>
        <v>1158727772.5681946</v>
      </c>
      <c r="BN554" s="846">
        <f>IFERROR($BB554/$BM554,"..")</f>
        <v>0.13445835569702863</v>
      </c>
      <c r="BO554" s="801">
        <f t="shared" si="89"/>
        <v>32</v>
      </c>
      <c r="BP554" s="117" t="str">
        <f>VLOOKUP($D554,'WB Data'!$C$3:$M$578,9,FALSE)</f>
        <v>..</v>
      </c>
      <c r="BQ554" s="117">
        <f>VLOOKUP($D554,'WB Data'!$C$3:$M$578,10,FALSE)</f>
        <v>70.995975609756101</v>
      </c>
      <c r="BR554" s="117">
        <f>VLOOKUP($D554,'WB Data'!$C$3:$M$578,11,FALSE)</f>
        <v>28.4</v>
      </c>
      <c r="BS554" s="129">
        <f>IFERROR(VLOOKUP($D554,'WB Data 2'!$C$2:$K$545,9,FALSE),"..")</f>
        <v>98.247460000000004</v>
      </c>
      <c r="BT554" s="129" t="str">
        <f>_xlfn.IFNA(VLOOKUP($C554,RGI!$A$2:$C$43,2,FALSE),"..")</f>
        <v>..</v>
      </c>
      <c r="BU554" s="129" t="str">
        <f>_xlfn.IFNA(VLOOKUP($C554,RGI!$A$2:$C$43,3,FALSE),"..")</f>
        <v>..</v>
      </c>
      <c r="BV554" s="129">
        <f>VLOOKUP($D554,WGI!$C$2:$O$478,7,FALSE)</f>
        <v>-0.33446461090524898</v>
      </c>
      <c r="BW554" s="129">
        <f>VLOOKUP($D554,WGI!$C$2:$O$478,4,FALSE)</f>
        <v>-0.87314139642851796</v>
      </c>
      <c r="BX554" s="129">
        <f>VLOOKUP($D554,WGI!$C$2:$O$478,3,FALSE)</f>
        <v>-0.69874816414761298</v>
      </c>
      <c r="BY554" s="129">
        <f>VLOOKUP($D554,WGI!$C$2:$O$478,5,FALSE)</f>
        <v>-0.13028208712700701</v>
      </c>
      <c r="BZ554" s="129">
        <f>VLOOKUP($D554,WGI!$C$2:$O$478,2,FALSE)</f>
        <v>-0.48129935133288498</v>
      </c>
    </row>
    <row r="555" spans="1:80" ht="15" customHeight="1">
      <c r="A555" s="407" t="s">
        <v>218</v>
      </c>
      <c r="B555" s="408">
        <v>2010</v>
      </c>
      <c r="C555" s="805" t="s">
        <v>219</v>
      </c>
      <c r="D555" s="117" t="s">
        <v>3664</v>
      </c>
      <c r="E555" s="409" t="s">
        <v>220</v>
      </c>
      <c r="F555" s="410"/>
      <c r="G555" s="410" t="s">
        <v>24</v>
      </c>
      <c r="H555" s="117" t="str">
        <f t="shared" si="85"/>
        <v>yes</v>
      </c>
      <c r="I555" s="117" t="str">
        <f t="shared" si="86"/>
        <v>no</v>
      </c>
      <c r="J555" s="117" t="str">
        <f t="shared" si="87"/>
        <v>no</v>
      </c>
      <c r="K555" s="410" t="s">
        <v>1214</v>
      </c>
      <c r="L555" s="117" t="str">
        <f t="shared" si="94"/>
        <v>detailed</v>
      </c>
      <c r="M555" s="117" t="str">
        <f t="shared" si="88"/>
        <v>detailed Mining</v>
      </c>
      <c r="N555" s="411">
        <v>1156000</v>
      </c>
      <c r="O555" s="411"/>
      <c r="P555" s="411"/>
      <c r="Q555" s="411"/>
      <c r="R555" s="411"/>
      <c r="S555" s="410" t="s">
        <v>642</v>
      </c>
      <c r="T555" s="412"/>
      <c r="U555" s="410"/>
      <c r="V555" s="410" t="s">
        <v>684</v>
      </c>
      <c r="W555" s="413"/>
      <c r="X555" s="410"/>
      <c r="Y555" s="410"/>
      <c r="Z555" s="410"/>
      <c r="AA555" s="414"/>
      <c r="AB555" s="414"/>
      <c r="AC555" s="415"/>
      <c r="AD555" s="415"/>
      <c r="AE555" s="415"/>
      <c r="AF555" s="416"/>
      <c r="AG555" s="410"/>
      <c r="AH555" s="417"/>
      <c r="AI555" s="410"/>
      <c r="AJ555" s="410"/>
      <c r="AK555" s="413"/>
      <c r="AL555" s="410"/>
      <c r="AM555" s="410"/>
      <c r="AN555" s="410"/>
      <c r="AO555" s="410"/>
      <c r="AP555" s="410"/>
      <c r="AQ555" s="410"/>
      <c r="AR555" s="418"/>
      <c r="AS555" s="410"/>
      <c r="AT555" s="410"/>
      <c r="AU555" s="410"/>
      <c r="AV555" s="419"/>
      <c r="AW555" s="117">
        <f>VLOOKUP($D555,'WB Data'!$C$3:$M$578,2,FALSE)</f>
        <v>41337958251.631958</v>
      </c>
      <c r="AX555" s="117">
        <f>VLOOKUP($D555,'WB Data'!$C$3:$M$578,3,FALSE)</f>
        <v>14341576</v>
      </c>
      <c r="AY555" s="847">
        <f t="shared" si="90"/>
        <v>3.7689483852011299E-3</v>
      </c>
      <c r="AZ555" s="117">
        <f>VLOOKUP($D555,'WB Data'!$C$3:$M$578,4,FALSE)/100</f>
        <v>0.11070848524418105</v>
      </c>
      <c r="BA555" s="117">
        <f t="shared" si="91"/>
        <v>4576462741.1253691</v>
      </c>
      <c r="BB555" s="129">
        <f>IFERROR(VLOOKUP($D555,'EITI Revenues'!$C$2:$G$224,5,FALSE),"..")</f>
        <v>155800631</v>
      </c>
      <c r="BC555" s="846">
        <f t="shared" si="92"/>
        <v>3.4043898052513816E-2</v>
      </c>
      <c r="BD555" s="129">
        <f>VLOOKUP($D555,'WB Data 2'!$C$2:$K$545,6,FALSE)</f>
        <v>933400729.1812427</v>
      </c>
      <c r="BE555" s="129">
        <f>IFERROR(VLOOKUP($D555,UNCTAD!$C$5:$V$529,4,FALSE),"..")</f>
        <v>10803023919</v>
      </c>
      <c r="BF555" s="846">
        <f t="shared" si="93"/>
        <v>8.6401801586277013E-2</v>
      </c>
      <c r="BG555" s="117">
        <f>VLOOKUP($D555,'WB Data'!$C$3:$M$578,5,FALSE)</f>
        <v>393520000</v>
      </c>
      <c r="BH555" s="129">
        <f>IFERROR($BB555/$BG555,"..")</f>
        <v>0.395915407094938</v>
      </c>
      <c r="BI555" s="117">
        <f>IFERROR(VLOOKUP($D555,'WB Data'!$C$3:$M$578,7,FALSE)/100,"..")</f>
        <v>2.8030599999999999E-2</v>
      </c>
      <c r="BJ555" s="117">
        <f>IFERROR($BI555*$AW555,"..")</f>
        <v>1158727772.5681946</v>
      </c>
      <c r="BK555" s="846">
        <f>IFERROR($BB555/$BJ555,"..")</f>
        <v>0.13445835569702863</v>
      </c>
      <c r="BL555" s="117">
        <f>IFERROR(VLOOKUP($D555,'WB Data'!$C$3:$M$578,7,FALSE)/100,"..")</f>
        <v>2.8030599999999999E-2</v>
      </c>
      <c r="BM555" s="117">
        <f>IFERROR($AW555*$BL555,"..")</f>
        <v>1158727772.5681946</v>
      </c>
      <c r="BN555" s="846">
        <f>IFERROR($BB555/$BM555,"..")</f>
        <v>0.13445835569702863</v>
      </c>
      <c r="BO555" s="801">
        <f t="shared" si="89"/>
        <v>32</v>
      </c>
      <c r="BP555" s="117" t="str">
        <f>VLOOKUP($D555,'WB Data'!$C$3:$M$578,9,FALSE)</f>
        <v>..</v>
      </c>
      <c r="BQ555" s="117">
        <f>VLOOKUP($D555,'WB Data'!$C$3:$M$578,10,FALSE)</f>
        <v>70.995975609756101</v>
      </c>
      <c r="BR555" s="117">
        <f>VLOOKUP($D555,'WB Data'!$C$3:$M$578,11,FALSE)</f>
        <v>28.4</v>
      </c>
      <c r="BS555" s="129">
        <f>IFERROR(VLOOKUP($D555,'WB Data 2'!$C$2:$K$545,9,FALSE),"..")</f>
        <v>98.247460000000004</v>
      </c>
      <c r="BT555" s="129" t="str">
        <f>_xlfn.IFNA(VLOOKUP($C555,RGI!$A$2:$C$43,2,FALSE),"..")</f>
        <v>..</v>
      </c>
      <c r="BU555" s="129" t="str">
        <f>_xlfn.IFNA(VLOOKUP($C555,RGI!$A$2:$C$43,3,FALSE),"..")</f>
        <v>..</v>
      </c>
      <c r="BV555" s="129">
        <f>VLOOKUP($D555,WGI!$C$2:$O$478,7,FALSE)</f>
        <v>-0.33446461090524898</v>
      </c>
      <c r="BW555" s="129">
        <f>VLOOKUP($D555,WGI!$C$2:$O$478,4,FALSE)</f>
        <v>-0.87314139642851796</v>
      </c>
      <c r="BX555" s="129">
        <f>VLOOKUP($D555,WGI!$C$2:$O$478,3,FALSE)</f>
        <v>-0.69874816414761298</v>
      </c>
      <c r="BY555" s="129">
        <f>VLOOKUP($D555,WGI!$C$2:$O$478,5,FALSE)</f>
        <v>-0.13028208712700701</v>
      </c>
      <c r="BZ555" s="129">
        <f>VLOOKUP($D555,WGI!$C$2:$O$478,2,FALSE)</f>
        <v>-0.48129935133288498</v>
      </c>
    </row>
    <row r="556" spans="1:80" ht="15" customHeight="1">
      <c r="A556" s="407" t="s">
        <v>218</v>
      </c>
      <c r="B556" s="408">
        <v>2010</v>
      </c>
      <c r="C556" s="805" t="s">
        <v>219</v>
      </c>
      <c r="D556" s="117" t="s">
        <v>3664</v>
      </c>
      <c r="E556" s="409" t="s">
        <v>220</v>
      </c>
      <c r="F556" s="410"/>
      <c r="G556" s="410" t="s">
        <v>24</v>
      </c>
      <c r="H556" s="117" t="str">
        <f t="shared" si="85"/>
        <v>yes</v>
      </c>
      <c r="I556" s="117" t="str">
        <f t="shared" si="86"/>
        <v>no</v>
      </c>
      <c r="J556" s="117" t="str">
        <f t="shared" si="87"/>
        <v>no</v>
      </c>
      <c r="K556" s="410" t="s">
        <v>1215</v>
      </c>
      <c r="L556" s="117" t="str">
        <f t="shared" si="94"/>
        <v>detailed</v>
      </c>
      <c r="M556" s="117" t="str">
        <f t="shared" si="88"/>
        <v>detailed Mining</v>
      </c>
      <c r="N556" s="411">
        <v>22423</v>
      </c>
      <c r="O556" s="411"/>
      <c r="P556" s="411"/>
      <c r="Q556" s="411"/>
      <c r="R556" s="411"/>
      <c r="S556" s="410" t="s">
        <v>610</v>
      </c>
      <c r="T556" s="412">
        <v>58</v>
      </c>
      <c r="U556" s="410" t="s">
        <v>611</v>
      </c>
      <c r="V556" s="410" t="s">
        <v>1216</v>
      </c>
      <c r="W556" s="413">
        <f t="shared" ref="W556:W561" si="95">N556*T556</f>
        <v>1300534</v>
      </c>
      <c r="X556" s="410"/>
      <c r="Y556" s="410"/>
      <c r="Z556" s="410"/>
      <c r="AA556" s="414"/>
      <c r="AB556" s="414"/>
      <c r="AC556" s="415"/>
      <c r="AD556" s="415"/>
      <c r="AE556" s="415"/>
      <c r="AF556" s="416"/>
      <c r="AG556" s="410"/>
      <c r="AH556" s="417"/>
      <c r="AI556" s="410"/>
      <c r="AJ556" s="410"/>
      <c r="AK556" s="413"/>
      <c r="AL556" s="410"/>
      <c r="AM556" s="410"/>
      <c r="AN556" s="410"/>
      <c r="AO556" s="410"/>
      <c r="AP556" s="410"/>
      <c r="AQ556" s="410"/>
      <c r="AR556" s="418"/>
      <c r="AS556" s="410"/>
      <c r="AT556" s="410"/>
      <c r="AU556" s="410"/>
      <c r="AV556" s="419"/>
      <c r="AW556" s="117">
        <f>VLOOKUP($D556,'WB Data'!$C$3:$M$578,2,FALSE)</f>
        <v>41337958251.631958</v>
      </c>
      <c r="AX556" s="117">
        <f>VLOOKUP($D556,'WB Data'!$C$3:$M$578,3,FALSE)</f>
        <v>14341576</v>
      </c>
      <c r="AY556" s="847">
        <f t="shared" si="90"/>
        <v>3.7689483852011299E-3</v>
      </c>
      <c r="AZ556" s="117">
        <f>VLOOKUP($D556,'WB Data'!$C$3:$M$578,4,FALSE)/100</f>
        <v>0.11070848524418105</v>
      </c>
      <c r="BA556" s="117">
        <f t="shared" si="91"/>
        <v>4576462741.1253691</v>
      </c>
      <c r="BB556" s="129">
        <f>IFERROR(VLOOKUP($D556,'EITI Revenues'!$C$2:$G$224,5,FALSE),"..")</f>
        <v>155800631</v>
      </c>
      <c r="BC556" s="846">
        <f t="shared" si="92"/>
        <v>3.4043898052513816E-2</v>
      </c>
      <c r="BD556" s="129">
        <f>VLOOKUP($D556,'WB Data 2'!$C$2:$K$545,6,FALSE)</f>
        <v>933400729.1812427</v>
      </c>
      <c r="BE556" s="129">
        <f>IFERROR(VLOOKUP($D556,UNCTAD!$C$5:$V$529,4,FALSE),"..")</f>
        <v>10803023919</v>
      </c>
      <c r="BF556" s="846">
        <f t="shared" si="93"/>
        <v>8.6401801586277013E-2</v>
      </c>
      <c r="BG556" s="117">
        <f>VLOOKUP($D556,'WB Data'!$C$3:$M$578,5,FALSE)</f>
        <v>393520000</v>
      </c>
      <c r="BH556" s="129">
        <f>IFERROR($BB556/$BG556,"..")</f>
        <v>0.395915407094938</v>
      </c>
      <c r="BI556" s="117">
        <f>IFERROR(VLOOKUP($D556,'WB Data'!$C$3:$M$578,7,FALSE)/100,"..")</f>
        <v>2.8030599999999999E-2</v>
      </c>
      <c r="BJ556" s="117">
        <f>IFERROR($BI556*$AW556,"..")</f>
        <v>1158727772.5681946</v>
      </c>
      <c r="BK556" s="846">
        <f>IFERROR($BB556/$BJ556,"..")</f>
        <v>0.13445835569702863</v>
      </c>
      <c r="BL556" s="117">
        <f>IFERROR(VLOOKUP($D556,'WB Data'!$C$3:$M$578,7,FALSE)/100,"..")</f>
        <v>2.8030599999999999E-2</v>
      </c>
      <c r="BM556" s="117">
        <f>IFERROR($AW556*$BL556,"..")</f>
        <v>1158727772.5681946</v>
      </c>
      <c r="BN556" s="846">
        <f>IFERROR($BB556/$BM556,"..")</f>
        <v>0.13445835569702863</v>
      </c>
      <c r="BO556" s="801">
        <f t="shared" si="89"/>
        <v>32</v>
      </c>
      <c r="BP556" s="117" t="str">
        <f>VLOOKUP($D556,'WB Data'!$C$3:$M$578,9,FALSE)</f>
        <v>..</v>
      </c>
      <c r="BQ556" s="117">
        <f>VLOOKUP($D556,'WB Data'!$C$3:$M$578,10,FALSE)</f>
        <v>70.995975609756101</v>
      </c>
      <c r="BR556" s="117">
        <f>VLOOKUP($D556,'WB Data'!$C$3:$M$578,11,FALSE)</f>
        <v>28.4</v>
      </c>
      <c r="BS556" s="129">
        <f>IFERROR(VLOOKUP($D556,'WB Data 2'!$C$2:$K$545,9,FALSE),"..")</f>
        <v>98.247460000000004</v>
      </c>
      <c r="BT556" s="129" t="str">
        <f>_xlfn.IFNA(VLOOKUP($C556,RGI!$A$2:$C$43,2,FALSE),"..")</f>
        <v>..</v>
      </c>
      <c r="BU556" s="129" t="str">
        <f>_xlfn.IFNA(VLOOKUP($C556,RGI!$A$2:$C$43,3,FALSE),"..")</f>
        <v>..</v>
      </c>
      <c r="BV556" s="129">
        <f>VLOOKUP($D556,WGI!$C$2:$O$478,7,FALSE)</f>
        <v>-0.33446461090524898</v>
      </c>
      <c r="BW556" s="129">
        <f>VLOOKUP($D556,WGI!$C$2:$O$478,4,FALSE)</f>
        <v>-0.87314139642851796</v>
      </c>
      <c r="BX556" s="129">
        <f>VLOOKUP($D556,WGI!$C$2:$O$478,3,FALSE)</f>
        <v>-0.69874816414761298</v>
      </c>
      <c r="BY556" s="129">
        <f>VLOOKUP($D556,WGI!$C$2:$O$478,5,FALSE)</f>
        <v>-0.13028208712700701</v>
      </c>
      <c r="BZ556" s="129">
        <f>VLOOKUP($D556,WGI!$C$2:$O$478,2,FALSE)</f>
        <v>-0.48129935133288498</v>
      </c>
    </row>
    <row r="557" spans="1:80" ht="15" customHeight="1">
      <c r="A557" s="407" t="s">
        <v>218</v>
      </c>
      <c r="B557" s="408">
        <v>2010</v>
      </c>
      <c r="C557" s="805" t="s">
        <v>219</v>
      </c>
      <c r="D557" s="117" t="s">
        <v>3664</v>
      </c>
      <c r="E557" s="409" t="s">
        <v>220</v>
      </c>
      <c r="F557" s="410"/>
      <c r="G557" s="410" t="s">
        <v>24</v>
      </c>
      <c r="H557" s="117" t="str">
        <f t="shared" si="85"/>
        <v>yes</v>
      </c>
      <c r="I557" s="117" t="str">
        <f t="shared" si="86"/>
        <v>no</v>
      </c>
      <c r="J557" s="117" t="str">
        <f t="shared" si="87"/>
        <v>no</v>
      </c>
      <c r="K557" s="410" t="s">
        <v>609</v>
      </c>
      <c r="L557" s="117" t="str">
        <f t="shared" si="94"/>
        <v>detailed</v>
      </c>
      <c r="M557" s="117" t="str">
        <f t="shared" si="88"/>
        <v>detailed Mining</v>
      </c>
      <c r="N557" s="411">
        <v>1600000</v>
      </c>
      <c r="O557" s="411"/>
      <c r="P557" s="411"/>
      <c r="Q557" s="411"/>
      <c r="R557" s="411"/>
      <c r="S557" s="410" t="s">
        <v>610</v>
      </c>
      <c r="T557" s="412">
        <v>92</v>
      </c>
      <c r="U557" s="410" t="s">
        <v>611</v>
      </c>
      <c r="V557" s="410" t="s">
        <v>1217</v>
      </c>
      <c r="W557" s="413">
        <f t="shared" si="95"/>
        <v>147200000</v>
      </c>
      <c r="X557" s="410"/>
      <c r="Y557" s="410"/>
      <c r="Z557" s="410"/>
      <c r="AA557" s="414"/>
      <c r="AB557" s="414"/>
      <c r="AC557" s="415"/>
      <c r="AD557" s="415"/>
      <c r="AE557" s="415"/>
      <c r="AF557" s="416"/>
      <c r="AG557" s="410"/>
      <c r="AH557" s="417"/>
      <c r="AI557" s="410"/>
      <c r="AJ557" s="410"/>
      <c r="AK557" s="413"/>
      <c r="AL557" s="410"/>
      <c r="AM557" s="410"/>
      <c r="AN557" s="410"/>
      <c r="AO557" s="410"/>
      <c r="AP557" s="410"/>
      <c r="AQ557" s="410"/>
      <c r="AR557" s="418"/>
      <c r="AS557" s="410"/>
      <c r="AT557" s="410"/>
      <c r="AU557" s="410"/>
      <c r="AV557" s="419"/>
      <c r="AW557" s="117">
        <f>VLOOKUP($D557,'WB Data'!$C$3:$M$578,2,FALSE)</f>
        <v>41337958251.631958</v>
      </c>
      <c r="AX557" s="117">
        <f>VLOOKUP($D557,'WB Data'!$C$3:$M$578,3,FALSE)</f>
        <v>14341576</v>
      </c>
      <c r="AY557" s="847">
        <f t="shared" si="90"/>
        <v>3.7689483852011299E-3</v>
      </c>
      <c r="AZ557" s="117">
        <f>VLOOKUP($D557,'WB Data'!$C$3:$M$578,4,FALSE)/100</f>
        <v>0.11070848524418105</v>
      </c>
      <c r="BA557" s="117">
        <f t="shared" si="91"/>
        <v>4576462741.1253691</v>
      </c>
      <c r="BB557" s="129">
        <f>IFERROR(VLOOKUP($D557,'EITI Revenues'!$C$2:$G$224,5,FALSE),"..")</f>
        <v>155800631</v>
      </c>
      <c r="BC557" s="846">
        <f t="shared" si="92"/>
        <v>3.4043898052513816E-2</v>
      </c>
      <c r="BD557" s="129">
        <f>VLOOKUP($D557,'WB Data 2'!$C$2:$K$545,6,FALSE)</f>
        <v>933400729.1812427</v>
      </c>
      <c r="BE557" s="129">
        <f>IFERROR(VLOOKUP($D557,UNCTAD!$C$5:$V$529,4,FALSE),"..")</f>
        <v>10803023919</v>
      </c>
      <c r="BF557" s="846">
        <f t="shared" si="93"/>
        <v>8.6401801586277013E-2</v>
      </c>
      <c r="BG557" s="117">
        <f>VLOOKUP($D557,'WB Data'!$C$3:$M$578,5,FALSE)</f>
        <v>393520000</v>
      </c>
      <c r="BH557" s="129">
        <f>IFERROR($BB557/$BG557,"..")</f>
        <v>0.395915407094938</v>
      </c>
      <c r="BI557" s="117">
        <f>IFERROR(VLOOKUP($D557,'WB Data'!$C$3:$M$578,7,FALSE)/100,"..")</f>
        <v>2.8030599999999999E-2</v>
      </c>
      <c r="BJ557" s="117">
        <f>IFERROR($BI557*$AW557,"..")</f>
        <v>1158727772.5681946</v>
      </c>
      <c r="BK557" s="846">
        <f>IFERROR($BB557/$BJ557,"..")</f>
        <v>0.13445835569702863</v>
      </c>
      <c r="BL557" s="117">
        <f>IFERROR(VLOOKUP($D557,'WB Data'!$C$3:$M$578,7,FALSE)/100,"..")</f>
        <v>2.8030599999999999E-2</v>
      </c>
      <c r="BM557" s="117">
        <f>IFERROR($AW557*$BL557,"..")</f>
        <v>1158727772.5681946</v>
      </c>
      <c r="BN557" s="846">
        <f>IFERROR($BB557/$BM557,"..")</f>
        <v>0.13445835569702863</v>
      </c>
      <c r="BO557" s="801">
        <f t="shared" si="89"/>
        <v>32</v>
      </c>
      <c r="BP557" s="117" t="str">
        <f>VLOOKUP($D557,'WB Data'!$C$3:$M$578,9,FALSE)</f>
        <v>..</v>
      </c>
      <c r="BQ557" s="117">
        <f>VLOOKUP($D557,'WB Data'!$C$3:$M$578,10,FALSE)</f>
        <v>70.995975609756101</v>
      </c>
      <c r="BR557" s="117">
        <f>VLOOKUP($D557,'WB Data'!$C$3:$M$578,11,FALSE)</f>
        <v>28.4</v>
      </c>
      <c r="BS557" s="129">
        <f>IFERROR(VLOOKUP($D557,'WB Data 2'!$C$2:$K$545,9,FALSE),"..")</f>
        <v>98.247460000000004</v>
      </c>
      <c r="BT557" s="129" t="str">
        <f>_xlfn.IFNA(VLOOKUP($C557,RGI!$A$2:$C$43,2,FALSE),"..")</f>
        <v>..</v>
      </c>
      <c r="BU557" s="129" t="str">
        <f>_xlfn.IFNA(VLOOKUP($C557,RGI!$A$2:$C$43,3,FALSE),"..")</f>
        <v>..</v>
      </c>
      <c r="BV557" s="129">
        <f>VLOOKUP($D557,WGI!$C$2:$O$478,7,FALSE)</f>
        <v>-0.33446461090524898</v>
      </c>
      <c r="BW557" s="129">
        <f>VLOOKUP($D557,WGI!$C$2:$O$478,4,FALSE)</f>
        <v>-0.87314139642851796</v>
      </c>
      <c r="BX557" s="129">
        <f>VLOOKUP($D557,WGI!$C$2:$O$478,3,FALSE)</f>
        <v>-0.69874816414761298</v>
      </c>
      <c r="BY557" s="129">
        <f>VLOOKUP($D557,WGI!$C$2:$O$478,5,FALSE)</f>
        <v>-0.13028208712700701</v>
      </c>
      <c r="BZ557" s="129">
        <f>VLOOKUP($D557,WGI!$C$2:$O$478,2,FALSE)</f>
        <v>-0.48129935133288498</v>
      </c>
    </row>
    <row r="558" spans="1:80" ht="15" customHeight="1">
      <c r="A558" s="407" t="s">
        <v>218</v>
      </c>
      <c r="B558" s="408">
        <v>2010</v>
      </c>
      <c r="C558" s="805" t="s">
        <v>219</v>
      </c>
      <c r="D558" s="117" t="s">
        <v>3664</v>
      </c>
      <c r="E558" s="409" t="s">
        <v>220</v>
      </c>
      <c r="F558" s="410"/>
      <c r="G558" s="410" t="s">
        <v>24</v>
      </c>
      <c r="H558" s="117" t="str">
        <f t="shared" si="85"/>
        <v>yes</v>
      </c>
      <c r="I558" s="117" t="str">
        <f t="shared" si="86"/>
        <v>no</v>
      </c>
      <c r="J558" s="117" t="str">
        <f t="shared" si="87"/>
        <v>no</v>
      </c>
      <c r="K558" s="410" t="s">
        <v>616</v>
      </c>
      <c r="L558" s="117" t="str">
        <f t="shared" si="94"/>
        <v>detailed</v>
      </c>
      <c r="M558" s="117" t="str">
        <f t="shared" si="88"/>
        <v>detailed Mining</v>
      </c>
      <c r="N558" s="411">
        <v>2</v>
      </c>
      <c r="O558" s="411"/>
      <c r="P558" s="411"/>
      <c r="Q558" s="411"/>
      <c r="R558" s="411"/>
      <c r="S558" s="410" t="s">
        <v>610</v>
      </c>
      <c r="T558" s="412">
        <v>89.852021850427363</v>
      </c>
      <c r="U558" s="410" t="s">
        <v>611</v>
      </c>
      <c r="V558" s="422" t="s">
        <v>1108</v>
      </c>
      <c r="W558" s="413">
        <f t="shared" si="95"/>
        <v>179.70404370085473</v>
      </c>
      <c r="X558" s="410"/>
      <c r="Y558" s="410"/>
      <c r="Z558" s="410"/>
      <c r="AA558" s="414"/>
      <c r="AB558" s="414"/>
      <c r="AC558" s="415"/>
      <c r="AD558" s="415"/>
      <c r="AE558" s="415"/>
      <c r="AF558" s="416"/>
      <c r="AG558" s="410"/>
      <c r="AH558" s="417"/>
      <c r="AI558" s="410"/>
      <c r="AJ558" s="410"/>
      <c r="AK558" s="413"/>
      <c r="AL558" s="410"/>
      <c r="AM558" s="410"/>
      <c r="AN558" s="410"/>
      <c r="AO558" s="410"/>
      <c r="AP558" s="410"/>
      <c r="AQ558" s="410"/>
      <c r="AR558" s="418"/>
      <c r="AS558" s="410"/>
      <c r="AT558" s="410"/>
      <c r="AU558" s="410"/>
      <c r="AV558" s="423"/>
      <c r="AW558" s="117">
        <f>VLOOKUP($D558,'WB Data'!$C$3:$M$578,2,FALSE)</f>
        <v>41337958251.631958</v>
      </c>
      <c r="AX558" s="117">
        <f>VLOOKUP($D558,'WB Data'!$C$3:$M$578,3,FALSE)</f>
        <v>14341576</v>
      </c>
      <c r="AY558" s="847">
        <f t="shared" si="90"/>
        <v>3.7689483852011299E-3</v>
      </c>
      <c r="AZ558" s="117">
        <f>VLOOKUP($D558,'WB Data'!$C$3:$M$578,4,FALSE)/100</f>
        <v>0.11070848524418105</v>
      </c>
      <c r="BA558" s="117">
        <f t="shared" si="91"/>
        <v>4576462741.1253691</v>
      </c>
      <c r="BB558" s="129">
        <f>IFERROR(VLOOKUP($D558,'EITI Revenues'!$C$2:$G$224,5,FALSE),"..")</f>
        <v>155800631</v>
      </c>
      <c r="BC558" s="846">
        <f t="shared" si="92"/>
        <v>3.4043898052513816E-2</v>
      </c>
      <c r="BD558" s="129">
        <f>VLOOKUP($D558,'WB Data 2'!$C$2:$K$545,6,FALSE)</f>
        <v>933400729.1812427</v>
      </c>
      <c r="BE558" s="129">
        <f>IFERROR(VLOOKUP($D558,UNCTAD!$C$5:$V$529,4,FALSE),"..")</f>
        <v>10803023919</v>
      </c>
      <c r="BF558" s="846">
        <f t="shared" si="93"/>
        <v>8.6401801586277013E-2</v>
      </c>
      <c r="BG558" s="117">
        <f>VLOOKUP($D558,'WB Data'!$C$3:$M$578,5,FALSE)</f>
        <v>393520000</v>
      </c>
      <c r="BH558" s="129">
        <f>IFERROR($BB558/$BG558,"..")</f>
        <v>0.395915407094938</v>
      </c>
      <c r="BI558" s="117">
        <f>IFERROR(VLOOKUP($D558,'WB Data'!$C$3:$M$578,7,FALSE)/100,"..")</f>
        <v>2.8030599999999999E-2</v>
      </c>
      <c r="BJ558" s="117">
        <f>IFERROR($BI558*$AW558,"..")</f>
        <v>1158727772.5681946</v>
      </c>
      <c r="BK558" s="846">
        <f>IFERROR($BB558/$BJ558,"..")</f>
        <v>0.13445835569702863</v>
      </c>
      <c r="BL558" s="117">
        <f>IFERROR(VLOOKUP($D558,'WB Data'!$C$3:$M$578,7,FALSE)/100,"..")</f>
        <v>2.8030599999999999E-2</v>
      </c>
      <c r="BM558" s="117">
        <f>IFERROR($AW558*$BL558,"..")</f>
        <v>1158727772.5681946</v>
      </c>
      <c r="BN558" s="846">
        <f>IFERROR($BB558/$BM558,"..")</f>
        <v>0.13445835569702863</v>
      </c>
      <c r="BO558" s="801">
        <f t="shared" si="89"/>
        <v>32</v>
      </c>
      <c r="BP558" s="117" t="str">
        <f>VLOOKUP($D558,'WB Data'!$C$3:$M$578,9,FALSE)</f>
        <v>..</v>
      </c>
      <c r="BQ558" s="117">
        <f>VLOOKUP($D558,'WB Data'!$C$3:$M$578,10,FALSE)</f>
        <v>70.995975609756101</v>
      </c>
      <c r="BR558" s="117">
        <f>VLOOKUP($D558,'WB Data'!$C$3:$M$578,11,FALSE)</f>
        <v>28.4</v>
      </c>
      <c r="BS558" s="129">
        <f>IFERROR(VLOOKUP($D558,'WB Data 2'!$C$2:$K$545,9,FALSE),"..")</f>
        <v>98.247460000000004</v>
      </c>
      <c r="BT558" s="129" t="str">
        <f>_xlfn.IFNA(VLOOKUP($C558,RGI!$A$2:$C$43,2,FALSE),"..")</f>
        <v>..</v>
      </c>
      <c r="BU558" s="129" t="str">
        <f>_xlfn.IFNA(VLOOKUP($C558,RGI!$A$2:$C$43,3,FALSE),"..")</f>
        <v>..</v>
      </c>
      <c r="BV558" s="129">
        <f>VLOOKUP($D558,WGI!$C$2:$O$478,7,FALSE)</f>
        <v>-0.33446461090524898</v>
      </c>
      <c r="BW558" s="129">
        <f>VLOOKUP($D558,WGI!$C$2:$O$478,4,FALSE)</f>
        <v>-0.87314139642851796</v>
      </c>
      <c r="BX558" s="129">
        <f>VLOOKUP($D558,WGI!$C$2:$O$478,3,FALSE)</f>
        <v>-0.69874816414761298</v>
      </c>
      <c r="BY558" s="129">
        <f>VLOOKUP($D558,WGI!$C$2:$O$478,5,FALSE)</f>
        <v>-0.13028208712700701</v>
      </c>
      <c r="BZ558" s="129">
        <f>VLOOKUP($D558,WGI!$C$2:$O$478,2,FALSE)</f>
        <v>-0.48129935133288498</v>
      </c>
    </row>
    <row r="559" spans="1:80" ht="15" customHeight="1">
      <c r="A559" s="407" t="s">
        <v>218</v>
      </c>
      <c r="B559" s="408">
        <v>2010</v>
      </c>
      <c r="C559" s="805" t="s">
        <v>219</v>
      </c>
      <c r="D559" s="117" t="s">
        <v>3664</v>
      </c>
      <c r="E559" s="409" t="s">
        <v>220</v>
      </c>
      <c r="F559" s="410"/>
      <c r="G559" s="410" t="s">
        <v>24</v>
      </c>
      <c r="H559" s="117" t="str">
        <f t="shared" si="85"/>
        <v>yes</v>
      </c>
      <c r="I559" s="117" t="str">
        <f t="shared" si="86"/>
        <v>no</v>
      </c>
      <c r="J559" s="117" t="str">
        <f t="shared" si="87"/>
        <v>no</v>
      </c>
      <c r="K559" s="410" t="s">
        <v>1218</v>
      </c>
      <c r="L559" s="117" t="str">
        <f t="shared" si="94"/>
        <v>detailed</v>
      </c>
      <c r="M559" s="117" t="str">
        <f t="shared" si="88"/>
        <v>detailed Mining</v>
      </c>
      <c r="N559" s="411">
        <f>3817000*0.74</f>
        <v>2824580</v>
      </c>
      <c r="O559" s="411"/>
      <c r="P559" s="411"/>
      <c r="Q559" s="411"/>
      <c r="R559" s="411"/>
      <c r="S559" s="410" t="s">
        <v>610</v>
      </c>
      <c r="T559" s="412">
        <v>9.6199999999999992</v>
      </c>
      <c r="U559" s="410" t="s">
        <v>611</v>
      </c>
      <c r="V559" s="410" t="s">
        <v>1219</v>
      </c>
      <c r="W559" s="413">
        <f t="shared" si="95"/>
        <v>27172459.599999998</v>
      </c>
      <c r="X559" s="410"/>
      <c r="Y559" s="410"/>
      <c r="Z559" s="410"/>
      <c r="AA559" s="414"/>
      <c r="AB559" s="414"/>
      <c r="AC559" s="415"/>
      <c r="AD559" s="415"/>
      <c r="AE559" s="415"/>
      <c r="AF559" s="416"/>
      <c r="AG559" s="410"/>
      <c r="AH559" s="417"/>
      <c r="AI559" s="410"/>
      <c r="AJ559" s="410"/>
      <c r="AK559" s="413"/>
      <c r="AL559" s="410"/>
      <c r="AM559" s="410"/>
      <c r="AN559" s="410"/>
      <c r="AO559" s="410"/>
      <c r="AP559" s="410"/>
      <c r="AQ559" s="410"/>
      <c r="AR559" s="418"/>
      <c r="AS559" s="410"/>
      <c r="AT559" s="410"/>
      <c r="AU559" s="410"/>
      <c r="AV559" s="419"/>
      <c r="AW559" s="117">
        <f>VLOOKUP($D559,'WB Data'!$C$3:$M$578,2,FALSE)</f>
        <v>41337958251.631958</v>
      </c>
      <c r="AX559" s="117">
        <f>VLOOKUP($D559,'WB Data'!$C$3:$M$578,3,FALSE)</f>
        <v>14341576</v>
      </c>
      <c r="AY559" s="847">
        <f t="shared" si="90"/>
        <v>3.7689483852011299E-3</v>
      </c>
      <c r="AZ559" s="117">
        <f>VLOOKUP($D559,'WB Data'!$C$3:$M$578,4,FALSE)/100</f>
        <v>0.11070848524418105</v>
      </c>
      <c r="BA559" s="117">
        <f t="shared" si="91"/>
        <v>4576462741.1253691</v>
      </c>
      <c r="BB559" s="129">
        <f>IFERROR(VLOOKUP($D559,'EITI Revenues'!$C$2:$G$224,5,FALSE),"..")</f>
        <v>155800631</v>
      </c>
      <c r="BC559" s="846">
        <f t="shared" si="92"/>
        <v>3.4043898052513816E-2</v>
      </c>
      <c r="BD559" s="129">
        <f>VLOOKUP($D559,'WB Data 2'!$C$2:$K$545,6,FALSE)</f>
        <v>933400729.1812427</v>
      </c>
      <c r="BE559" s="129">
        <f>IFERROR(VLOOKUP($D559,UNCTAD!$C$5:$V$529,4,FALSE),"..")</f>
        <v>10803023919</v>
      </c>
      <c r="BF559" s="846">
        <f t="shared" si="93"/>
        <v>8.6401801586277013E-2</v>
      </c>
      <c r="BG559" s="117">
        <f>VLOOKUP($D559,'WB Data'!$C$3:$M$578,5,FALSE)</f>
        <v>393520000</v>
      </c>
      <c r="BH559" s="129">
        <f>IFERROR($BB559/$BG559,"..")</f>
        <v>0.395915407094938</v>
      </c>
      <c r="BI559" s="117">
        <f>IFERROR(VLOOKUP($D559,'WB Data'!$C$3:$M$578,7,FALSE)/100,"..")</f>
        <v>2.8030599999999999E-2</v>
      </c>
      <c r="BJ559" s="117">
        <f>IFERROR($BI559*$AW559,"..")</f>
        <v>1158727772.5681946</v>
      </c>
      <c r="BK559" s="846">
        <f>IFERROR($BB559/$BJ559,"..")</f>
        <v>0.13445835569702863</v>
      </c>
      <c r="BL559" s="117">
        <f>IFERROR(VLOOKUP($D559,'WB Data'!$C$3:$M$578,7,FALSE)/100,"..")</f>
        <v>2.8030599999999999E-2</v>
      </c>
      <c r="BM559" s="117">
        <f>IFERROR($AW559*$BL559,"..")</f>
        <v>1158727772.5681946</v>
      </c>
      <c r="BN559" s="846">
        <f>IFERROR($BB559/$BM559,"..")</f>
        <v>0.13445835569702863</v>
      </c>
      <c r="BO559" s="801">
        <f t="shared" si="89"/>
        <v>32</v>
      </c>
      <c r="BP559" s="117" t="str">
        <f>VLOOKUP($D559,'WB Data'!$C$3:$M$578,9,FALSE)</f>
        <v>..</v>
      </c>
      <c r="BQ559" s="117">
        <f>VLOOKUP($D559,'WB Data'!$C$3:$M$578,10,FALSE)</f>
        <v>70.995975609756101</v>
      </c>
      <c r="BR559" s="117">
        <f>VLOOKUP($D559,'WB Data'!$C$3:$M$578,11,FALSE)</f>
        <v>28.4</v>
      </c>
      <c r="BS559" s="129">
        <f>IFERROR(VLOOKUP($D559,'WB Data 2'!$C$2:$K$545,9,FALSE),"..")</f>
        <v>98.247460000000004</v>
      </c>
      <c r="BT559" s="129" t="str">
        <f>_xlfn.IFNA(VLOOKUP($C559,RGI!$A$2:$C$43,2,FALSE),"..")</f>
        <v>..</v>
      </c>
      <c r="BU559" s="129" t="str">
        <f>_xlfn.IFNA(VLOOKUP($C559,RGI!$A$2:$C$43,3,FALSE),"..")</f>
        <v>..</v>
      </c>
      <c r="BV559" s="129">
        <f>VLOOKUP($D559,WGI!$C$2:$O$478,7,FALSE)</f>
        <v>-0.33446461090524898</v>
      </c>
      <c r="BW559" s="129">
        <f>VLOOKUP($D559,WGI!$C$2:$O$478,4,FALSE)</f>
        <v>-0.87314139642851796</v>
      </c>
      <c r="BX559" s="129">
        <f>VLOOKUP($D559,WGI!$C$2:$O$478,3,FALSE)</f>
        <v>-0.69874816414761298</v>
      </c>
      <c r="BY559" s="129">
        <f>VLOOKUP($D559,WGI!$C$2:$O$478,5,FALSE)</f>
        <v>-0.13028208712700701</v>
      </c>
      <c r="BZ559" s="129">
        <f>VLOOKUP($D559,WGI!$C$2:$O$478,2,FALSE)</f>
        <v>-0.48129935133288498</v>
      </c>
    </row>
    <row r="560" spans="1:80" ht="15" customHeight="1">
      <c r="A560" s="407" t="s">
        <v>218</v>
      </c>
      <c r="B560" s="408">
        <v>2010</v>
      </c>
      <c r="C560" s="805" t="s">
        <v>219</v>
      </c>
      <c r="D560" s="117" t="s">
        <v>3664</v>
      </c>
      <c r="E560" s="409" t="s">
        <v>220</v>
      </c>
      <c r="F560" s="410"/>
      <c r="G560" s="410" t="s">
        <v>24</v>
      </c>
      <c r="H560" s="117" t="str">
        <f t="shared" si="85"/>
        <v>yes</v>
      </c>
      <c r="I560" s="117" t="str">
        <f t="shared" si="86"/>
        <v>no</v>
      </c>
      <c r="J560" s="117" t="str">
        <f t="shared" si="87"/>
        <v>no</v>
      </c>
      <c r="K560" s="410" t="s">
        <v>1220</v>
      </c>
      <c r="L560" s="117" t="str">
        <f t="shared" si="94"/>
        <v>detailed</v>
      </c>
      <c r="M560" s="117" t="str">
        <f t="shared" si="88"/>
        <v>detailed Mining</v>
      </c>
      <c r="N560" s="411">
        <v>402</v>
      </c>
      <c r="O560" s="411"/>
      <c r="P560" s="411"/>
      <c r="Q560" s="411"/>
      <c r="R560" s="411"/>
      <c r="S560" s="410" t="s">
        <v>610</v>
      </c>
      <c r="T560" s="412">
        <v>61</v>
      </c>
      <c r="U560" s="410" t="s">
        <v>611</v>
      </c>
      <c r="V560" s="410" t="s">
        <v>1221</v>
      </c>
      <c r="W560" s="413">
        <f t="shared" si="95"/>
        <v>24522</v>
      </c>
      <c r="X560" s="410"/>
      <c r="Y560" s="410"/>
      <c r="Z560" s="410"/>
      <c r="AA560" s="414"/>
      <c r="AB560" s="414"/>
      <c r="AC560" s="415"/>
      <c r="AD560" s="415"/>
      <c r="AE560" s="415"/>
      <c r="AF560" s="416"/>
      <c r="AG560" s="410"/>
      <c r="AH560" s="417"/>
      <c r="AI560" s="410"/>
      <c r="AJ560" s="410"/>
      <c r="AK560" s="413"/>
      <c r="AL560" s="410"/>
      <c r="AM560" s="410"/>
      <c r="AN560" s="410"/>
      <c r="AO560" s="410"/>
      <c r="AP560" s="410"/>
      <c r="AQ560" s="410"/>
      <c r="AR560" s="418"/>
      <c r="AS560" s="410"/>
      <c r="AT560" s="410"/>
      <c r="AU560" s="410"/>
      <c r="AV560" s="419"/>
      <c r="AW560" s="117">
        <f>VLOOKUP($D560,'WB Data'!$C$3:$M$578,2,FALSE)</f>
        <v>41337958251.631958</v>
      </c>
      <c r="AX560" s="117">
        <f>VLOOKUP($D560,'WB Data'!$C$3:$M$578,3,FALSE)</f>
        <v>14341576</v>
      </c>
      <c r="AY560" s="847">
        <f t="shared" si="90"/>
        <v>3.7689483852011299E-3</v>
      </c>
      <c r="AZ560" s="117">
        <f>VLOOKUP($D560,'WB Data'!$C$3:$M$578,4,FALSE)/100</f>
        <v>0.11070848524418105</v>
      </c>
      <c r="BA560" s="117">
        <f t="shared" si="91"/>
        <v>4576462741.1253691</v>
      </c>
      <c r="BB560" s="129">
        <f>IFERROR(VLOOKUP($D560,'EITI Revenues'!$C$2:$G$224,5,FALSE),"..")</f>
        <v>155800631</v>
      </c>
      <c r="BC560" s="846">
        <f t="shared" si="92"/>
        <v>3.4043898052513816E-2</v>
      </c>
      <c r="BD560" s="129">
        <f>VLOOKUP($D560,'WB Data 2'!$C$2:$K$545,6,FALSE)</f>
        <v>933400729.1812427</v>
      </c>
      <c r="BE560" s="129">
        <f>IFERROR(VLOOKUP($D560,UNCTAD!$C$5:$V$529,4,FALSE),"..")</f>
        <v>10803023919</v>
      </c>
      <c r="BF560" s="846">
        <f t="shared" si="93"/>
        <v>8.6401801586277013E-2</v>
      </c>
      <c r="BG560" s="117">
        <f>VLOOKUP($D560,'WB Data'!$C$3:$M$578,5,FALSE)</f>
        <v>393520000</v>
      </c>
      <c r="BH560" s="129">
        <f>IFERROR($BB560/$BG560,"..")</f>
        <v>0.395915407094938</v>
      </c>
      <c r="BI560" s="117">
        <f>IFERROR(VLOOKUP($D560,'WB Data'!$C$3:$M$578,7,FALSE)/100,"..")</f>
        <v>2.8030599999999999E-2</v>
      </c>
      <c r="BJ560" s="117">
        <f>IFERROR($BI560*$AW560,"..")</f>
        <v>1158727772.5681946</v>
      </c>
      <c r="BK560" s="846">
        <f>IFERROR($BB560/$BJ560,"..")</f>
        <v>0.13445835569702863</v>
      </c>
      <c r="BL560" s="117">
        <f>IFERROR(VLOOKUP($D560,'WB Data'!$C$3:$M$578,7,FALSE)/100,"..")</f>
        <v>2.8030599999999999E-2</v>
      </c>
      <c r="BM560" s="117">
        <f>IFERROR($AW560*$BL560,"..")</f>
        <v>1158727772.5681946</v>
      </c>
      <c r="BN560" s="846">
        <f>IFERROR($BB560/$BM560,"..")</f>
        <v>0.13445835569702863</v>
      </c>
      <c r="BO560" s="801">
        <f t="shared" si="89"/>
        <v>32</v>
      </c>
      <c r="BP560" s="117" t="str">
        <f>VLOOKUP($D560,'WB Data'!$C$3:$M$578,9,FALSE)</f>
        <v>..</v>
      </c>
      <c r="BQ560" s="117">
        <f>VLOOKUP($D560,'WB Data'!$C$3:$M$578,10,FALSE)</f>
        <v>70.995975609756101</v>
      </c>
      <c r="BR560" s="117">
        <f>VLOOKUP($D560,'WB Data'!$C$3:$M$578,11,FALSE)</f>
        <v>28.4</v>
      </c>
      <c r="BS560" s="129">
        <f>IFERROR(VLOOKUP($D560,'WB Data 2'!$C$2:$K$545,9,FALSE),"..")</f>
        <v>98.247460000000004</v>
      </c>
      <c r="BT560" s="129" t="str">
        <f>_xlfn.IFNA(VLOOKUP($C560,RGI!$A$2:$C$43,2,FALSE),"..")</f>
        <v>..</v>
      </c>
      <c r="BU560" s="129" t="str">
        <f>_xlfn.IFNA(VLOOKUP($C560,RGI!$A$2:$C$43,3,FALSE),"..")</f>
        <v>..</v>
      </c>
      <c r="BV560" s="129">
        <f>VLOOKUP($D560,WGI!$C$2:$O$478,7,FALSE)</f>
        <v>-0.33446461090524898</v>
      </c>
      <c r="BW560" s="129">
        <f>VLOOKUP($D560,WGI!$C$2:$O$478,4,FALSE)</f>
        <v>-0.87314139642851796</v>
      </c>
      <c r="BX560" s="129">
        <f>VLOOKUP($D560,WGI!$C$2:$O$478,3,FALSE)</f>
        <v>-0.69874816414761298</v>
      </c>
      <c r="BY560" s="129">
        <f>VLOOKUP($D560,WGI!$C$2:$O$478,5,FALSE)</f>
        <v>-0.13028208712700701</v>
      </c>
      <c r="BZ560" s="129">
        <f>VLOOKUP($D560,WGI!$C$2:$O$478,2,FALSE)</f>
        <v>-0.48129935133288498</v>
      </c>
    </row>
    <row r="561" spans="1:78" ht="15" customHeight="1">
      <c r="A561" s="407" t="s">
        <v>218</v>
      </c>
      <c r="B561" s="408">
        <v>2010</v>
      </c>
      <c r="C561" s="805" t="s">
        <v>219</v>
      </c>
      <c r="D561" s="117" t="s">
        <v>3664</v>
      </c>
      <c r="E561" s="409" t="s">
        <v>220</v>
      </c>
      <c r="F561" s="410"/>
      <c r="G561" s="410" t="s">
        <v>24</v>
      </c>
      <c r="H561" s="117" t="str">
        <f t="shared" si="85"/>
        <v>yes</v>
      </c>
      <c r="I561" s="117" t="str">
        <f t="shared" si="86"/>
        <v>no</v>
      </c>
      <c r="J561" s="117" t="str">
        <f t="shared" si="87"/>
        <v>no</v>
      </c>
      <c r="K561" s="410" t="s">
        <v>1222</v>
      </c>
      <c r="L561" s="117" t="str">
        <f t="shared" si="94"/>
        <v>detailed</v>
      </c>
      <c r="M561" s="117" t="str">
        <f t="shared" si="88"/>
        <v>detailed Mining</v>
      </c>
      <c r="N561" s="411">
        <v>201000</v>
      </c>
      <c r="O561" s="411"/>
      <c r="P561" s="411"/>
      <c r="Q561" s="411"/>
      <c r="R561" s="411"/>
      <c r="S561" s="410" t="s">
        <v>610</v>
      </c>
      <c r="T561" s="412">
        <v>12</v>
      </c>
      <c r="U561" s="410" t="s">
        <v>611</v>
      </c>
      <c r="V561" s="410" t="s">
        <v>1223</v>
      </c>
      <c r="W561" s="413">
        <f t="shared" si="95"/>
        <v>2412000</v>
      </c>
      <c r="X561" s="410"/>
      <c r="Y561" s="410"/>
      <c r="Z561" s="410"/>
      <c r="AA561" s="414"/>
      <c r="AB561" s="414"/>
      <c r="AC561" s="415"/>
      <c r="AD561" s="415"/>
      <c r="AE561" s="415"/>
      <c r="AF561" s="416"/>
      <c r="AG561" s="410"/>
      <c r="AH561" s="417"/>
      <c r="AI561" s="410"/>
      <c r="AJ561" s="410"/>
      <c r="AK561" s="413"/>
      <c r="AL561" s="410"/>
      <c r="AM561" s="410"/>
      <c r="AN561" s="410"/>
      <c r="AO561" s="410"/>
      <c r="AP561" s="410"/>
      <c r="AQ561" s="410"/>
      <c r="AR561" s="418"/>
      <c r="AS561" s="410"/>
      <c r="AT561" s="410"/>
      <c r="AU561" s="410"/>
      <c r="AV561" s="419"/>
      <c r="AW561" s="117">
        <f>VLOOKUP($D561,'WB Data'!$C$3:$M$578,2,FALSE)</f>
        <v>41337958251.631958</v>
      </c>
      <c r="AX561" s="117">
        <f>VLOOKUP($D561,'WB Data'!$C$3:$M$578,3,FALSE)</f>
        <v>14341576</v>
      </c>
      <c r="AY561" s="847">
        <f t="shared" si="90"/>
        <v>3.7689483852011299E-3</v>
      </c>
      <c r="AZ561" s="117">
        <f>VLOOKUP($D561,'WB Data'!$C$3:$M$578,4,FALSE)/100</f>
        <v>0.11070848524418105</v>
      </c>
      <c r="BA561" s="117">
        <f t="shared" si="91"/>
        <v>4576462741.1253691</v>
      </c>
      <c r="BB561" s="129">
        <f>IFERROR(VLOOKUP($D561,'EITI Revenues'!$C$2:$G$224,5,FALSE),"..")</f>
        <v>155800631</v>
      </c>
      <c r="BC561" s="846">
        <f t="shared" si="92"/>
        <v>3.4043898052513816E-2</v>
      </c>
      <c r="BD561" s="129">
        <f>VLOOKUP($D561,'WB Data 2'!$C$2:$K$545,6,FALSE)</f>
        <v>933400729.1812427</v>
      </c>
      <c r="BE561" s="129">
        <f>IFERROR(VLOOKUP($D561,UNCTAD!$C$5:$V$529,4,FALSE),"..")</f>
        <v>10803023919</v>
      </c>
      <c r="BF561" s="846">
        <f t="shared" si="93"/>
        <v>8.6401801586277013E-2</v>
      </c>
      <c r="BG561" s="117">
        <f>VLOOKUP($D561,'WB Data'!$C$3:$M$578,5,FALSE)</f>
        <v>393520000</v>
      </c>
      <c r="BH561" s="129">
        <f>IFERROR($BB561/$BG561,"..")</f>
        <v>0.395915407094938</v>
      </c>
      <c r="BI561" s="117">
        <f>IFERROR(VLOOKUP($D561,'WB Data'!$C$3:$M$578,7,FALSE)/100,"..")</f>
        <v>2.8030599999999999E-2</v>
      </c>
      <c r="BJ561" s="117">
        <f>IFERROR($BI561*$AW561,"..")</f>
        <v>1158727772.5681946</v>
      </c>
      <c r="BK561" s="846">
        <f>IFERROR($BB561/$BJ561,"..")</f>
        <v>0.13445835569702863</v>
      </c>
      <c r="BL561" s="117">
        <f>IFERROR(VLOOKUP($D561,'WB Data'!$C$3:$M$578,7,FALSE)/100,"..")</f>
        <v>2.8030599999999999E-2</v>
      </c>
      <c r="BM561" s="117">
        <f>IFERROR($AW561*$BL561,"..")</f>
        <v>1158727772.5681946</v>
      </c>
      <c r="BN561" s="846">
        <f>IFERROR($BB561/$BM561,"..")</f>
        <v>0.13445835569702863</v>
      </c>
      <c r="BO561" s="801">
        <f t="shared" si="89"/>
        <v>32</v>
      </c>
      <c r="BP561" s="117" t="str">
        <f>VLOOKUP($D561,'WB Data'!$C$3:$M$578,9,FALSE)</f>
        <v>..</v>
      </c>
      <c r="BQ561" s="117">
        <f>VLOOKUP($D561,'WB Data'!$C$3:$M$578,10,FALSE)</f>
        <v>70.995975609756101</v>
      </c>
      <c r="BR561" s="117">
        <f>VLOOKUP($D561,'WB Data'!$C$3:$M$578,11,FALSE)</f>
        <v>28.4</v>
      </c>
      <c r="BS561" s="129">
        <f>IFERROR(VLOOKUP($D561,'WB Data 2'!$C$2:$K$545,9,FALSE),"..")</f>
        <v>98.247460000000004</v>
      </c>
      <c r="BT561" s="129" t="str">
        <f>_xlfn.IFNA(VLOOKUP($C561,RGI!$A$2:$C$43,2,FALSE),"..")</f>
        <v>..</v>
      </c>
      <c r="BU561" s="129" t="str">
        <f>_xlfn.IFNA(VLOOKUP($C561,RGI!$A$2:$C$43,3,FALSE),"..")</f>
        <v>..</v>
      </c>
      <c r="BV561" s="129">
        <f>VLOOKUP($D561,WGI!$C$2:$O$478,7,FALSE)</f>
        <v>-0.33446461090524898</v>
      </c>
      <c r="BW561" s="129">
        <f>VLOOKUP($D561,WGI!$C$2:$O$478,4,FALSE)</f>
        <v>-0.87314139642851796</v>
      </c>
      <c r="BX561" s="129">
        <f>VLOOKUP($D561,WGI!$C$2:$O$478,3,FALSE)</f>
        <v>-0.69874816414761298</v>
      </c>
      <c r="BY561" s="129">
        <f>VLOOKUP($D561,WGI!$C$2:$O$478,5,FALSE)</f>
        <v>-0.13028208712700701</v>
      </c>
      <c r="BZ561" s="129">
        <f>VLOOKUP($D561,WGI!$C$2:$O$478,2,FALSE)</f>
        <v>-0.48129935133288498</v>
      </c>
    </row>
    <row r="562" spans="1:78" ht="15" customHeight="1">
      <c r="A562" s="407" t="s">
        <v>218</v>
      </c>
      <c r="B562" s="408">
        <v>2010</v>
      </c>
      <c r="C562" s="805" t="s">
        <v>219</v>
      </c>
      <c r="D562" s="117" t="s">
        <v>3664</v>
      </c>
      <c r="E562" s="409" t="s">
        <v>220</v>
      </c>
      <c r="F562" s="410"/>
      <c r="G562" s="410" t="s">
        <v>24</v>
      </c>
      <c r="H562" s="117" t="str">
        <f t="shared" si="85"/>
        <v>yes</v>
      </c>
      <c r="I562" s="117" t="str">
        <f t="shared" si="86"/>
        <v>no</v>
      </c>
      <c r="J562" s="117" t="str">
        <f t="shared" si="87"/>
        <v>no</v>
      </c>
      <c r="K562" s="410" t="s">
        <v>1224</v>
      </c>
      <c r="L562" s="117" t="str">
        <f t="shared" si="94"/>
        <v>detailed</v>
      </c>
      <c r="M562" s="117" t="str">
        <f t="shared" si="88"/>
        <v>detailed Mining</v>
      </c>
      <c r="N562" s="411">
        <v>67000</v>
      </c>
      <c r="O562" s="411"/>
      <c r="P562" s="411"/>
      <c r="Q562" s="411"/>
      <c r="R562" s="411"/>
      <c r="S562" s="410" t="s">
        <v>642</v>
      </c>
      <c r="T562" s="412"/>
      <c r="U562" s="410"/>
      <c r="V562" s="410" t="s">
        <v>684</v>
      </c>
      <c r="W562" s="413"/>
      <c r="X562" s="410"/>
      <c r="Y562" s="410"/>
      <c r="Z562" s="410"/>
      <c r="AA562" s="414"/>
      <c r="AB562" s="414"/>
      <c r="AC562" s="415"/>
      <c r="AD562" s="415"/>
      <c r="AE562" s="415"/>
      <c r="AF562" s="416"/>
      <c r="AG562" s="410"/>
      <c r="AH562" s="417"/>
      <c r="AI562" s="410"/>
      <c r="AJ562" s="410"/>
      <c r="AK562" s="413"/>
      <c r="AL562" s="410"/>
      <c r="AM562" s="410"/>
      <c r="AN562" s="410"/>
      <c r="AO562" s="410"/>
      <c r="AP562" s="410"/>
      <c r="AQ562" s="410"/>
      <c r="AR562" s="418"/>
      <c r="AS562" s="410"/>
      <c r="AT562" s="410"/>
      <c r="AU562" s="410"/>
      <c r="AV562" s="419"/>
      <c r="AW562" s="117">
        <f>VLOOKUP($D562,'WB Data'!$C$3:$M$578,2,FALSE)</f>
        <v>41337958251.631958</v>
      </c>
      <c r="AX562" s="117">
        <f>VLOOKUP($D562,'WB Data'!$C$3:$M$578,3,FALSE)</f>
        <v>14341576</v>
      </c>
      <c r="AY562" s="847">
        <f t="shared" si="90"/>
        <v>3.7689483852011299E-3</v>
      </c>
      <c r="AZ562" s="117">
        <f>VLOOKUP($D562,'WB Data'!$C$3:$M$578,4,FALSE)/100</f>
        <v>0.11070848524418105</v>
      </c>
      <c r="BA562" s="117">
        <f t="shared" si="91"/>
        <v>4576462741.1253691</v>
      </c>
      <c r="BB562" s="129">
        <f>IFERROR(VLOOKUP($D562,'EITI Revenues'!$C$2:$G$224,5,FALSE),"..")</f>
        <v>155800631</v>
      </c>
      <c r="BC562" s="846">
        <f t="shared" si="92"/>
        <v>3.4043898052513816E-2</v>
      </c>
      <c r="BD562" s="129">
        <f>VLOOKUP($D562,'WB Data 2'!$C$2:$K$545,6,FALSE)</f>
        <v>933400729.1812427</v>
      </c>
      <c r="BE562" s="129">
        <f>IFERROR(VLOOKUP($D562,UNCTAD!$C$5:$V$529,4,FALSE),"..")</f>
        <v>10803023919</v>
      </c>
      <c r="BF562" s="846">
        <f t="shared" si="93"/>
        <v>8.6401801586277013E-2</v>
      </c>
      <c r="BG562" s="117">
        <f>VLOOKUP($D562,'WB Data'!$C$3:$M$578,5,FALSE)</f>
        <v>393520000</v>
      </c>
      <c r="BH562" s="129">
        <f>IFERROR($BB562/$BG562,"..")</f>
        <v>0.395915407094938</v>
      </c>
      <c r="BI562" s="117">
        <f>IFERROR(VLOOKUP($D562,'WB Data'!$C$3:$M$578,7,FALSE)/100,"..")</f>
        <v>2.8030599999999999E-2</v>
      </c>
      <c r="BJ562" s="117">
        <f>IFERROR($BI562*$AW562,"..")</f>
        <v>1158727772.5681946</v>
      </c>
      <c r="BK562" s="846">
        <f>IFERROR($BB562/$BJ562,"..")</f>
        <v>0.13445835569702863</v>
      </c>
      <c r="BL562" s="117">
        <f>IFERROR(VLOOKUP($D562,'WB Data'!$C$3:$M$578,7,FALSE)/100,"..")</f>
        <v>2.8030599999999999E-2</v>
      </c>
      <c r="BM562" s="117">
        <f>IFERROR($AW562*$BL562,"..")</f>
        <v>1158727772.5681946</v>
      </c>
      <c r="BN562" s="846">
        <f>IFERROR($BB562/$BM562,"..")</f>
        <v>0.13445835569702863</v>
      </c>
      <c r="BO562" s="801">
        <f t="shared" si="89"/>
        <v>32</v>
      </c>
      <c r="BP562" s="117" t="str">
        <f>VLOOKUP($D562,'WB Data'!$C$3:$M$578,9,FALSE)</f>
        <v>..</v>
      </c>
      <c r="BQ562" s="117">
        <f>VLOOKUP($D562,'WB Data'!$C$3:$M$578,10,FALSE)</f>
        <v>70.995975609756101</v>
      </c>
      <c r="BR562" s="117">
        <f>VLOOKUP($D562,'WB Data'!$C$3:$M$578,11,FALSE)</f>
        <v>28.4</v>
      </c>
      <c r="BS562" s="129">
        <f>IFERROR(VLOOKUP($D562,'WB Data 2'!$C$2:$K$545,9,FALSE),"..")</f>
        <v>98.247460000000004</v>
      </c>
      <c r="BT562" s="129" t="str">
        <f>_xlfn.IFNA(VLOOKUP($C562,RGI!$A$2:$C$43,2,FALSE),"..")</f>
        <v>..</v>
      </c>
      <c r="BU562" s="129" t="str">
        <f>_xlfn.IFNA(VLOOKUP($C562,RGI!$A$2:$C$43,3,FALSE),"..")</f>
        <v>..</v>
      </c>
      <c r="BV562" s="129">
        <f>VLOOKUP($D562,WGI!$C$2:$O$478,7,FALSE)</f>
        <v>-0.33446461090524898</v>
      </c>
      <c r="BW562" s="129">
        <f>VLOOKUP($D562,WGI!$C$2:$O$478,4,FALSE)</f>
        <v>-0.87314139642851796</v>
      </c>
      <c r="BX562" s="129">
        <f>VLOOKUP($D562,WGI!$C$2:$O$478,3,FALSE)</f>
        <v>-0.69874816414761298</v>
      </c>
      <c r="BY562" s="129">
        <f>VLOOKUP($D562,WGI!$C$2:$O$478,5,FALSE)</f>
        <v>-0.13028208712700701</v>
      </c>
      <c r="BZ562" s="129">
        <f>VLOOKUP($D562,WGI!$C$2:$O$478,2,FALSE)</f>
        <v>-0.48129935133288498</v>
      </c>
    </row>
    <row r="563" spans="1:78" ht="15" customHeight="1">
      <c r="A563" s="407" t="s">
        <v>218</v>
      </c>
      <c r="B563" s="408">
        <v>2010</v>
      </c>
      <c r="C563" s="805" t="s">
        <v>219</v>
      </c>
      <c r="D563" s="117" t="s">
        <v>3664</v>
      </c>
      <c r="E563" s="409" t="s">
        <v>220</v>
      </c>
      <c r="F563" s="410"/>
      <c r="G563" s="410" t="s">
        <v>24</v>
      </c>
      <c r="H563" s="117" t="str">
        <f t="shared" si="85"/>
        <v>yes</v>
      </c>
      <c r="I563" s="117" t="str">
        <f t="shared" si="86"/>
        <v>no</v>
      </c>
      <c r="J563" s="117" t="str">
        <f t="shared" si="87"/>
        <v>no</v>
      </c>
      <c r="K563" s="410" t="s">
        <v>784</v>
      </c>
      <c r="L563" s="117" t="str">
        <f t="shared" si="94"/>
        <v>detailed</v>
      </c>
      <c r="M563" s="117" t="str">
        <f t="shared" si="88"/>
        <v>detailed Mining</v>
      </c>
      <c r="N563" s="411">
        <f>9213*32.150743126506</f>
        <v>296204.79642449977</v>
      </c>
      <c r="O563" s="411"/>
      <c r="P563" s="411"/>
      <c r="Q563" s="411"/>
      <c r="R563" s="411"/>
      <c r="S563" s="410" t="s">
        <v>785</v>
      </c>
      <c r="T563" s="412">
        <v>1224.66425</v>
      </c>
      <c r="U563" s="410" t="s">
        <v>786</v>
      </c>
      <c r="V563" s="410" t="s">
        <v>787</v>
      </c>
      <c r="W563" s="413">
        <f>N563*T563</f>
        <v>362751424.8596127</v>
      </c>
      <c r="X563" s="410"/>
      <c r="Y563" s="410"/>
      <c r="Z563" s="410"/>
      <c r="AA563" s="414"/>
      <c r="AB563" s="414"/>
      <c r="AC563" s="415"/>
      <c r="AD563" s="415"/>
      <c r="AE563" s="415"/>
      <c r="AF563" s="416"/>
      <c r="AG563" s="410"/>
      <c r="AH563" s="417"/>
      <c r="AI563" s="410"/>
      <c r="AJ563" s="410"/>
      <c r="AK563" s="413"/>
      <c r="AL563" s="410"/>
      <c r="AM563" s="410"/>
      <c r="AN563" s="410"/>
      <c r="AO563" s="410"/>
      <c r="AP563" s="410"/>
      <c r="AQ563" s="410"/>
      <c r="AR563" s="418"/>
      <c r="AS563" s="410"/>
      <c r="AT563" s="410"/>
      <c r="AU563" s="410"/>
      <c r="AV563" s="419"/>
      <c r="AW563" s="117">
        <f>VLOOKUP($D563,'WB Data'!$C$3:$M$578,2,FALSE)</f>
        <v>41337958251.631958</v>
      </c>
      <c r="AX563" s="117">
        <f>VLOOKUP($D563,'WB Data'!$C$3:$M$578,3,FALSE)</f>
        <v>14341576</v>
      </c>
      <c r="AY563" s="847">
        <f t="shared" si="90"/>
        <v>3.7689483852011299E-3</v>
      </c>
      <c r="AZ563" s="117">
        <f>VLOOKUP($D563,'WB Data'!$C$3:$M$578,4,FALSE)/100</f>
        <v>0.11070848524418105</v>
      </c>
      <c r="BA563" s="117">
        <f t="shared" si="91"/>
        <v>4576462741.1253691</v>
      </c>
      <c r="BB563" s="129">
        <f>IFERROR(VLOOKUP($D563,'EITI Revenues'!$C$2:$G$224,5,FALSE),"..")</f>
        <v>155800631</v>
      </c>
      <c r="BC563" s="846">
        <f t="shared" si="92"/>
        <v>3.4043898052513816E-2</v>
      </c>
      <c r="BD563" s="129">
        <f>VLOOKUP($D563,'WB Data 2'!$C$2:$K$545,6,FALSE)</f>
        <v>933400729.1812427</v>
      </c>
      <c r="BE563" s="129">
        <f>IFERROR(VLOOKUP($D563,UNCTAD!$C$5:$V$529,4,FALSE),"..")</f>
        <v>10803023919</v>
      </c>
      <c r="BF563" s="846">
        <f t="shared" si="93"/>
        <v>8.6401801586277013E-2</v>
      </c>
      <c r="BG563" s="117">
        <f>VLOOKUP($D563,'WB Data'!$C$3:$M$578,5,FALSE)</f>
        <v>393520000</v>
      </c>
      <c r="BH563" s="129">
        <f>IFERROR($BB563/$BG563,"..")</f>
        <v>0.395915407094938</v>
      </c>
      <c r="BI563" s="117">
        <f>IFERROR(VLOOKUP($D563,'WB Data'!$C$3:$M$578,7,FALSE)/100,"..")</f>
        <v>2.8030599999999999E-2</v>
      </c>
      <c r="BJ563" s="117">
        <f>IFERROR($BI563*$AW563,"..")</f>
        <v>1158727772.5681946</v>
      </c>
      <c r="BK563" s="846">
        <f>IFERROR($BB563/$BJ563,"..")</f>
        <v>0.13445835569702863</v>
      </c>
      <c r="BL563" s="117">
        <f>IFERROR(VLOOKUP($D563,'WB Data'!$C$3:$M$578,7,FALSE)/100,"..")</f>
        <v>2.8030599999999999E-2</v>
      </c>
      <c r="BM563" s="117">
        <f>IFERROR($AW563*$BL563,"..")</f>
        <v>1158727772.5681946</v>
      </c>
      <c r="BN563" s="846">
        <f>IFERROR($BB563/$BM563,"..")</f>
        <v>0.13445835569702863</v>
      </c>
      <c r="BO563" s="801">
        <f t="shared" si="89"/>
        <v>32</v>
      </c>
      <c r="BP563" s="117" t="str">
        <f>VLOOKUP($D563,'WB Data'!$C$3:$M$578,9,FALSE)</f>
        <v>..</v>
      </c>
      <c r="BQ563" s="117">
        <f>VLOOKUP($D563,'WB Data'!$C$3:$M$578,10,FALSE)</f>
        <v>70.995975609756101</v>
      </c>
      <c r="BR563" s="117">
        <f>VLOOKUP($D563,'WB Data'!$C$3:$M$578,11,FALSE)</f>
        <v>28.4</v>
      </c>
      <c r="BS563" s="129">
        <f>IFERROR(VLOOKUP($D563,'WB Data 2'!$C$2:$K$545,9,FALSE),"..")</f>
        <v>98.247460000000004</v>
      </c>
      <c r="BT563" s="129" t="str">
        <f>_xlfn.IFNA(VLOOKUP($C563,RGI!$A$2:$C$43,2,FALSE),"..")</f>
        <v>..</v>
      </c>
      <c r="BU563" s="129" t="str">
        <f>_xlfn.IFNA(VLOOKUP($C563,RGI!$A$2:$C$43,3,FALSE),"..")</f>
        <v>..</v>
      </c>
      <c r="BV563" s="129">
        <f>VLOOKUP($D563,WGI!$C$2:$O$478,7,FALSE)</f>
        <v>-0.33446461090524898</v>
      </c>
      <c r="BW563" s="129">
        <f>VLOOKUP($D563,WGI!$C$2:$O$478,4,FALSE)</f>
        <v>-0.87314139642851796</v>
      </c>
      <c r="BX563" s="129">
        <f>VLOOKUP($D563,WGI!$C$2:$O$478,3,FALSE)</f>
        <v>-0.69874816414761298</v>
      </c>
      <c r="BY563" s="129">
        <f>VLOOKUP($D563,WGI!$C$2:$O$478,5,FALSE)</f>
        <v>-0.13028208712700701</v>
      </c>
      <c r="BZ563" s="129">
        <f>VLOOKUP($D563,WGI!$C$2:$O$478,2,FALSE)</f>
        <v>-0.48129935133288498</v>
      </c>
    </row>
    <row r="564" spans="1:78" ht="15" customHeight="1">
      <c r="A564" s="407" t="s">
        <v>218</v>
      </c>
      <c r="B564" s="408">
        <v>2010</v>
      </c>
      <c r="C564" s="805" t="s">
        <v>219</v>
      </c>
      <c r="D564" s="117" t="s">
        <v>3664</v>
      </c>
      <c r="E564" s="409" t="s">
        <v>220</v>
      </c>
      <c r="F564" s="410"/>
      <c r="G564" s="410" t="s">
        <v>24</v>
      </c>
      <c r="H564" s="117" t="str">
        <f t="shared" si="85"/>
        <v>yes</v>
      </c>
      <c r="I564" s="117" t="str">
        <f t="shared" si="86"/>
        <v>no</v>
      </c>
      <c r="J564" s="117" t="str">
        <f t="shared" si="87"/>
        <v>no</v>
      </c>
      <c r="K564" s="410" t="s">
        <v>955</v>
      </c>
      <c r="L564" s="117" t="str">
        <f t="shared" si="94"/>
        <v>detailed</v>
      </c>
      <c r="M564" s="117" t="str">
        <f t="shared" si="88"/>
        <v>detailed Mining</v>
      </c>
      <c r="N564" s="411">
        <v>336</v>
      </c>
      <c r="O564" s="411"/>
      <c r="P564" s="411"/>
      <c r="Q564" s="411"/>
      <c r="R564" s="411"/>
      <c r="S564" s="410" t="s">
        <v>610</v>
      </c>
      <c r="T564" s="412">
        <v>11.75</v>
      </c>
      <c r="U564" s="410" t="s">
        <v>611</v>
      </c>
      <c r="V564" s="410" t="s">
        <v>1225</v>
      </c>
      <c r="W564" s="413">
        <f>N564*T564</f>
        <v>3948</v>
      </c>
      <c r="X564" s="410"/>
      <c r="Y564" s="410"/>
      <c r="Z564" s="410"/>
      <c r="AA564" s="414"/>
      <c r="AB564" s="414"/>
      <c r="AC564" s="415"/>
      <c r="AD564" s="415"/>
      <c r="AE564" s="415"/>
      <c r="AF564" s="416"/>
      <c r="AG564" s="410"/>
      <c r="AH564" s="417"/>
      <c r="AI564" s="410"/>
      <c r="AJ564" s="410"/>
      <c r="AK564" s="413"/>
      <c r="AL564" s="410"/>
      <c r="AM564" s="410"/>
      <c r="AN564" s="410"/>
      <c r="AO564" s="410"/>
      <c r="AP564" s="410"/>
      <c r="AQ564" s="410"/>
      <c r="AR564" s="418"/>
      <c r="AS564" s="410"/>
      <c r="AT564" s="410"/>
      <c r="AU564" s="410"/>
      <c r="AV564" s="419"/>
      <c r="AW564" s="117">
        <f>VLOOKUP($D564,'WB Data'!$C$3:$M$578,2,FALSE)</f>
        <v>41337958251.631958</v>
      </c>
      <c r="AX564" s="117">
        <f>VLOOKUP($D564,'WB Data'!$C$3:$M$578,3,FALSE)</f>
        <v>14341576</v>
      </c>
      <c r="AY564" s="847">
        <f t="shared" si="90"/>
        <v>3.7689483852011299E-3</v>
      </c>
      <c r="AZ564" s="117">
        <f>VLOOKUP($D564,'WB Data'!$C$3:$M$578,4,FALSE)/100</f>
        <v>0.11070848524418105</v>
      </c>
      <c r="BA564" s="117">
        <f t="shared" si="91"/>
        <v>4576462741.1253691</v>
      </c>
      <c r="BB564" s="129">
        <f>IFERROR(VLOOKUP($D564,'EITI Revenues'!$C$2:$G$224,5,FALSE),"..")</f>
        <v>155800631</v>
      </c>
      <c r="BC564" s="846">
        <f t="shared" si="92"/>
        <v>3.4043898052513816E-2</v>
      </c>
      <c r="BD564" s="129">
        <f>VLOOKUP($D564,'WB Data 2'!$C$2:$K$545,6,FALSE)</f>
        <v>933400729.1812427</v>
      </c>
      <c r="BE564" s="129">
        <f>IFERROR(VLOOKUP($D564,UNCTAD!$C$5:$V$529,4,FALSE),"..")</f>
        <v>10803023919</v>
      </c>
      <c r="BF564" s="846">
        <f t="shared" si="93"/>
        <v>8.6401801586277013E-2</v>
      </c>
      <c r="BG564" s="117">
        <f>VLOOKUP($D564,'WB Data'!$C$3:$M$578,5,FALSE)</f>
        <v>393520000</v>
      </c>
      <c r="BH564" s="129">
        <f>IFERROR($BB564/$BG564,"..")</f>
        <v>0.395915407094938</v>
      </c>
      <c r="BI564" s="117">
        <f>IFERROR(VLOOKUP($D564,'WB Data'!$C$3:$M$578,7,FALSE)/100,"..")</f>
        <v>2.8030599999999999E-2</v>
      </c>
      <c r="BJ564" s="117">
        <f>IFERROR($BI564*$AW564,"..")</f>
        <v>1158727772.5681946</v>
      </c>
      <c r="BK564" s="846">
        <f>IFERROR($BB564/$BJ564,"..")</f>
        <v>0.13445835569702863</v>
      </c>
      <c r="BL564" s="117">
        <f>IFERROR(VLOOKUP($D564,'WB Data'!$C$3:$M$578,7,FALSE)/100,"..")</f>
        <v>2.8030599999999999E-2</v>
      </c>
      <c r="BM564" s="117">
        <f>IFERROR($AW564*$BL564,"..")</f>
        <v>1158727772.5681946</v>
      </c>
      <c r="BN564" s="846">
        <f>IFERROR($BB564/$BM564,"..")</f>
        <v>0.13445835569702863</v>
      </c>
      <c r="BO564" s="801">
        <f t="shared" si="89"/>
        <v>32</v>
      </c>
      <c r="BP564" s="117" t="str">
        <f>VLOOKUP($D564,'WB Data'!$C$3:$M$578,9,FALSE)</f>
        <v>..</v>
      </c>
      <c r="BQ564" s="117">
        <f>VLOOKUP($D564,'WB Data'!$C$3:$M$578,10,FALSE)</f>
        <v>70.995975609756101</v>
      </c>
      <c r="BR564" s="117">
        <f>VLOOKUP($D564,'WB Data'!$C$3:$M$578,11,FALSE)</f>
        <v>28.4</v>
      </c>
      <c r="BS564" s="129">
        <f>IFERROR(VLOOKUP($D564,'WB Data 2'!$C$2:$K$545,9,FALSE),"..")</f>
        <v>98.247460000000004</v>
      </c>
      <c r="BT564" s="129" t="str">
        <f>_xlfn.IFNA(VLOOKUP($C564,RGI!$A$2:$C$43,2,FALSE),"..")</f>
        <v>..</v>
      </c>
      <c r="BU564" s="129" t="str">
        <f>_xlfn.IFNA(VLOOKUP($C564,RGI!$A$2:$C$43,3,FALSE),"..")</f>
        <v>..</v>
      </c>
      <c r="BV564" s="129">
        <f>VLOOKUP($D564,WGI!$C$2:$O$478,7,FALSE)</f>
        <v>-0.33446461090524898</v>
      </c>
      <c r="BW564" s="129">
        <f>VLOOKUP($D564,WGI!$C$2:$O$478,4,FALSE)</f>
        <v>-0.87314139642851796</v>
      </c>
      <c r="BX564" s="129">
        <f>VLOOKUP($D564,WGI!$C$2:$O$478,3,FALSE)</f>
        <v>-0.69874816414761298</v>
      </c>
      <c r="BY564" s="129">
        <f>VLOOKUP($D564,WGI!$C$2:$O$478,5,FALSE)</f>
        <v>-0.13028208712700701</v>
      </c>
      <c r="BZ564" s="129">
        <f>VLOOKUP($D564,WGI!$C$2:$O$478,2,FALSE)</f>
        <v>-0.48129935133288498</v>
      </c>
    </row>
    <row r="565" spans="1:78" ht="15" customHeight="1">
      <c r="A565" s="407" t="s">
        <v>218</v>
      </c>
      <c r="B565" s="408">
        <v>2010</v>
      </c>
      <c r="C565" s="830" t="s">
        <v>219</v>
      </c>
      <c r="D565" s="117" t="s">
        <v>3664</v>
      </c>
      <c r="E565" s="409" t="s">
        <v>220</v>
      </c>
      <c r="F565" s="410"/>
      <c r="G565" s="410" t="s">
        <v>24</v>
      </c>
      <c r="H565" s="117" t="str">
        <f t="shared" si="85"/>
        <v>yes</v>
      </c>
      <c r="I565" s="117" t="str">
        <f t="shared" si="86"/>
        <v>no</v>
      </c>
      <c r="J565" s="117" t="str">
        <f t="shared" si="87"/>
        <v>no</v>
      </c>
      <c r="K565" s="410" t="s">
        <v>1226</v>
      </c>
      <c r="L565" s="117" t="str">
        <f t="shared" si="94"/>
        <v>detailed</v>
      </c>
      <c r="M565" s="117" t="str">
        <f t="shared" si="88"/>
        <v>detailed Mining</v>
      </c>
      <c r="N565" s="411">
        <v>59000</v>
      </c>
      <c r="O565" s="411"/>
      <c r="P565" s="411"/>
      <c r="Q565" s="411"/>
      <c r="R565" s="411"/>
      <c r="S565" s="410" t="s">
        <v>610</v>
      </c>
      <c r="T565" s="412">
        <v>18.3</v>
      </c>
      <c r="U565" s="410" t="s">
        <v>611</v>
      </c>
      <c r="V565" s="410" t="s">
        <v>1227</v>
      </c>
      <c r="W565" s="413">
        <f>N565*T565</f>
        <v>1079700</v>
      </c>
      <c r="X565" s="410"/>
      <c r="Y565" s="410"/>
      <c r="Z565" s="410"/>
      <c r="AA565" s="414"/>
      <c r="AB565" s="414"/>
      <c r="AC565" s="415"/>
      <c r="AD565" s="415"/>
      <c r="AE565" s="415"/>
      <c r="AF565" s="416"/>
      <c r="AG565" s="410"/>
      <c r="AH565" s="417"/>
      <c r="AI565" s="410"/>
      <c r="AJ565" s="410"/>
      <c r="AK565" s="413"/>
      <c r="AL565" s="410"/>
      <c r="AM565" s="410"/>
      <c r="AN565" s="410"/>
      <c r="AO565" s="410"/>
      <c r="AP565" s="410"/>
      <c r="AQ565" s="410"/>
      <c r="AR565" s="418"/>
      <c r="AS565" s="410"/>
      <c r="AT565" s="410"/>
      <c r="AU565" s="410"/>
      <c r="AV565" s="419"/>
      <c r="AW565" s="117">
        <f>VLOOKUP($D565,'WB Data'!$C$3:$M$578,2,FALSE)</f>
        <v>41337958251.631958</v>
      </c>
      <c r="AX565" s="117">
        <f>VLOOKUP($D565,'WB Data'!$C$3:$M$578,3,FALSE)</f>
        <v>14341576</v>
      </c>
      <c r="AY565" s="847">
        <f t="shared" si="90"/>
        <v>3.7689483852011299E-3</v>
      </c>
      <c r="AZ565" s="117">
        <f>VLOOKUP($D565,'WB Data'!$C$3:$M$578,4,FALSE)/100</f>
        <v>0.11070848524418105</v>
      </c>
      <c r="BA565" s="117">
        <f t="shared" si="91"/>
        <v>4576462741.1253691</v>
      </c>
      <c r="BB565" s="129">
        <f>IFERROR(VLOOKUP($D565,'EITI Revenues'!$C$2:$G$224,5,FALSE),"..")</f>
        <v>155800631</v>
      </c>
      <c r="BC565" s="846">
        <f t="shared" si="92"/>
        <v>3.4043898052513816E-2</v>
      </c>
      <c r="BD565" s="129">
        <f>VLOOKUP($D565,'WB Data 2'!$C$2:$K$545,6,FALSE)</f>
        <v>933400729.1812427</v>
      </c>
      <c r="BE565" s="129">
        <f>IFERROR(VLOOKUP($D565,UNCTAD!$C$5:$V$529,4,FALSE),"..")</f>
        <v>10803023919</v>
      </c>
      <c r="BF565" s="846">
        <f t="shared" si="93"/>
        <v>8.6401801586277013E-2</v>
      </c>
      <c r="BG565" s="117">
        <f>VLOOKUP($D565,'WB Data'!$C$3:$M$578,5,FALSE)</f>
        <v>393520000</v>
      </c>
      <c r="BH565" s="129">
        <f>IFERROR($BB565/$BG565,"..")</f>
        <v>0.395915407094938</v>
      </c>
      <c r="BI565" s="117">
        <f>IFERROR(VLOOKUP($D565,'WB Data'!$C$3:$M$578,7,FALSE)/100,"..")</f>
        <v>2.8030599999999999E-2</v>
      </c>
      <c r="BJ565" s="117">
        <f>IFERROR($BI565*$AW565,"..")</f>
        <v>1158727772.5681946</v>
      </c>
      <c r="BK565" s="846">
        <f>IFERROR($BB565/$BJ565,"..")</f>
        <v>0.13445835569702863</v>
      </c>
      <c r="BL565" s="117">
        <f>IFERROR(VLOOKUP($D565,'WB Data'!$C$3:$M$578,7,FALSE)/100,"..")</f>
        <v>2.8030599999999999E-2</v>
      </c>
      <c r="BM565" s="117">
        <f>IFERROR($AW565*$BL565,"..")</f>
        <v>1158727772.5681946</v>
      </c>
      <c r="BN565" s="846">
        <f>IFERROR($BB565/$BM565,"..")</f>
        <v>0.13445835569702863</v>
      </c>
      <c r="BO565" s="801">
        <f t="shared" si="89"/>
        <v>32</v>
      </c>
      <c r="BP565" s="117" t="str">
        <f>VLOOKUP($D565,'WB Data'!$C$3:$M$578,9,FALSE)</f>
        <v>..</v>
      </c>
      <c r="BQ565" s="117">
        <f>VLOOKUP($D565,'WB Data'!$C$3:$M$578,10,FALSE)</f>
        <v>70.995975609756101</v>
      </c>
      <c r="BR565" s="117">
        <f>VLOOKUP($D565,'WB Data'!$C$3:$M$578,11,FALSE)</f>
        <v>28.4</v>
      </c>
      <c r="BS565" s="129">
        <f>IFERROR(VLOOKUP($D565,'WB Data 2'!$C$2:$K$545,9,FALSE),"..")</f>
        <v>98.247460000000004</v>
      </c>
      <c r="BT565" s="129" t="str">
        <f>_xlfn.IFNA(VLOOKUP($C565,RGI!$A$2:$C$43,2,FALSE),"..")</f>
        <v>..</v>
      </c>
      <c r="BU565" s="129" t="str">
        <f>_xlfn.IFNA(VLOOKUP($C565,RGI!$A$2:$C$43,3,FALSE),"..")</f>
        <v>..</v>
      </c>
      <c r="BV565" s="129">
        <f>VLOOKUP($D565,WGI!$C$2:$O$478,7,FALSE)</f>
        <v>-0.33446461090524898</v>
      </c>
      <c r="BW565" s="129">
        <f>VLOOKUP($D565,WGI!$C$2:$O$478,4,FALSE)</f>
        <v>-0.87314139642851796</v>
      </c>
      <c r="BX565" s="129">
        <f>VLOOKUP($D565,WGI!$C$2:$O$478,3,FALSE)</f>
        <v>-0.69874816414761298</v>
      </c>
      <c r="BY565" s="129">
        <f>VLOOKUP($D565,WGI!$C$2:$O$478,5,FALSE)</f>
        <v>-0.13028208712700701</v>
      </c>
      <c r="BZ565" s="129">
        <f>VLOOKUP($D565,WGI!$C$2:$O$478,2,FALSE)</f>
        <v>-0.48129935133288498</v>
      </c>
    </row>
    <row r="566" spans="1:78" ht="15" customHeight="1">
      <c r="A566" s="407" t="s">
        <v>218</v>
      </c>
      <c r="B566" s="408">
        <v>2010</v>
      </c>
      <c r="C566" s="805" t="s">
        <v>219</v>
      </c>
      <c r="D566" s="117" t="s">
        <v>3664</v>
      </c>
      <c r="E566" s="409" t="s">
        <v>220</v>
      </c>
      <c r="F566" s="410"/>
      <c r="G566" s="410" t="s">
        <v>24</v>
      </c>
      <c r="H566" s="117" t="str">
        <f t="shared" si="85"/>
        <v>yes</v>
      </c>
      <c r="I566" s="117" t="str">
        <f t="shared" si="86"/>
        <v>no</v>
      </c>
      <c r="J566" s="117" t="str">
        <f t="shared" si="87"/>
        <v>no</v>
      </c>
      <c r="K566" s="410" t="s">
        <v>1228</v>
      </c>
      <c r="L566" s="117" t="str">
        <f t="shared" si="94"/>
        <v>detailed</v>
      </c>
      <c r="M566" s="117" t="str">
        <f t="shared" si="88"/>
        <v>detailed Mining</v>
      </c>
      <c r="N566" s="411">
        <v>1604</v>
      </c>
      <c r="O566" s="411"/>
      <c r="P566" s="411"/>
      <c r="Q566" s="411"/>
      <c r="R566" s="411"/>
      <c r="S566" s="410" t="s">
        <v>610</v>
      </c>
      <c r="T566" s="412">
        <v>145.86318542569001</v>
      </c>
      <c r="U566" s="410" t="s">
        <v>611</v>
      </c>
      <c r="V566" s="410" t="s">
        <v>787</v>
      </c>
      <c r="W566" s="413">
        <f>N566*T566</f>
        <v>233964.54942280677</v>
      </c>
      <c r="X566" s="410"/>
      <c r="Y566" s="410"/>
      <c r="Z566" s="410"/>
      <c r="AA566" s="414"/>
      <c r="AB566" s="414"/>
      <c r="AC566" s="415"/>
      <c r="AD566" s="415"/>
      <c r="AE566" s="415"/>
      <c r="AF566" s="416"/>
      <c r="AG566" s="410"/>
      <c r="AH566" s="417"/>
      <c r="AI566" s="410"/>
      <c r="AJ566" s="410"/>
      <c r="AK566" s="413"/>
      <c r="AL566" s="410"/>
      <c r="AM566" s="410"/>
      <c r="AN566" s="410"/>
      <c r="AO566" s="410"/>
      <c r="AP566" s="410"/>
      <c r="AQ566" s="410"/>
      <c r="AR566" s="418"/>
      <c r="AS566" s="410"/>
      <c r="AT566" s="410"/>
      <c r="AU566" s="410"/>
      <c r="AV566" s="419"/>
      <c r="AW566" s="117">
        <f>VLOOKUP($D566,'WB Data'!$C$3:$M$578,2,FALSE)</f>
        <v>41337958251.631958</v>
      </c>
      <c r="AX566" s="117">
        <f>VLOOKUP($D566,'WB Data'!$C$3:$M$578,3,FALSE)</f>
        <v>14341576</v>
      </c>
      <c r="AY566" s="847">
        <f t="shared" si="90"/>
        <v>3.7689483852011299E-3</v>
      </c>
      <c r="AZ566" s="117">
        <f>VLOOKUP($D566,'WB Data'!$C$3:$M$578,4,FALSE)/100</f>
        <v>0.11070848524418105</v>
      </c>
      <c r="BA566" s="117">
        <f t="shared" si="91"/>
        <v>4576462741.1253691</v>
      </c>
      <c r="BB566" s="129">
        <f>IFERROR(VLOOKUP($D566,'EITI Revenues'!$C$2:$G$224,5,FALSE),"..")</f>
        <v>155800631</v>
      </c>
      <c r="BC566" s="846">
        <f t="shared" si="92"/>
        <v>3.4043898052513816E-2</v>
      </c>
      <c r="BD566" s="129">
        <f>VLOOKUP($D566,'WB Data 2'!$C$2:$K$545,6,FALSE)</f>
        <v>933400729.1812427</v>
      </c>
      <c r="BE566" s="129">
        <f>IFERROR(VLOOKUP($D566,UNCTAD!$C$5:$V$529,4,FALSE),"..")</f>
        <v>10803023919</v>
      </c>
      <c r="BF566" s="846">
        <f t="shared" si="93"/>
        <v>8.6401801586277013E-2</v>
      </c>
      <c r="BG566" s="117">
        <f>VLOOKUP($D566,'WB Data'!$C$3:$M$578,5,FALSE)</f>
        <v>393520000</v>
      </c>
      <c r="BH566" s="129">
        <f>IFERROR($BB566/$BG566,"..")</f>
        <v>0.395915407094938</v>
      </c>
      <c r="BI566" s="117">
        <f>IFERROR(VLOOKUP($D566,'WB Data'!$C$3:$M$578,7,FALSE)/100,"..")</f>
        <v>2.8030599999999999E-2</v>
      </c>
      <c r="BJ566" s="117">
        <f>IFERROR($BI566*$AW566,"..")</f>
        <v>1158727772.5681946</v>
      </c>
      <c r="BK566" s="846">
        <f>IFERROR($BB566/$BJ566,"..")</f>
        <v>0.13445835569702863</v>
      </c>
      <c r="BL566" s="117">
        <f>IFERROR(VLOOKUP($D566,'WB Data'!$C$3:$M$578,7,FALSE)/100,"..")</f>
        <v>2.8030599999999999E-2</v>
      </c>
      <c r="BM566" s="117">
        <f>IFERROR($AW566*$BL566,"..")</f>
        <v>1158727772.5681946</v>
      </c>
      <c r="BN566" s="846">
        <f>IFERROR($BB566/$BM566,"..")</f>
        <v>0.13445835569702863</v>
      </c>
      <c r="BO566" s="801">
        <f t="shared" si="89"/>
        <v>32</v>
      </c>
      <c r="BP566" s="117" t="str">
        <f>VLOOKUP($D566,'WB Data'!$C$3:$M$578,9,FALSE)</f>
        <v>..</v>
      </c>
      <c r="BQ566" s="117">
        <f>VLOOKUP($D566,'WB Data'!$C$3:$M$578,10,FALSE)</f>
        <v>70.995975609756101</v>
      </c>
      <c r="BR566" s="117">
        <f>VLOOKUP($D566,'WB Data'!$C$3:$M$578,11,FALSE)</f>
        <v>28.4</v>
      </c>
      <c r="BS566" s="129">
        <f>IFERROR(VLOOKUP($D566,'WB Data 2'!$C$2:$K$545,9,FALSE),"..")</f>
        <v>98.247460000000004</v>
      </c>
      <c r="BT566" s="129" t="str">
        <f>_xlfn.IFNA(VLOOKUP($C566,RGI!$A$2:$C$43,2,FALSE),"..")</f>
        <v>..</v>
      </c>
      <c r="BU566" s="129" t="str">
        <f>_xlfn.IFNA(VLOOKUP($C566,RGI!$A$2:$C$43,3,FALSE),"..")</f>
        <v>..</v>
      </c>
      <c r="BV566" s="129">
        <f>VLOOKUP($D566,WGI!$C$2:$O$478,7,FALSE)</f>
        <v>-0.33446461090524898</v>
      </c>
      <c r="BW566" s="129">
        <f>VLOOKUP($D566,WGI!$C$2:$O$478,4,FALSE)</f>
        <v>-0.87314139642851796</v>
      </c>
      <c r="BX566" s="129">
        <f>VLOOKUP($D566,WGI!$C$2:$O$478,3,FALSE)</f>
        <v>-0.69874816414761298</v>
      </c>
      <c r="BY566" s="129">
        <f>VLOOKUP($D566,WGI!$C$2:$O$478,5,FALSE)</f>
        <v>-0.13028208712700701</v>
      </c>
      <c r="BZ566" s="129">
        <f>VLOOKUP($D566,WGI!$C$2:$O$478,2,FALSE)</f>
        <v>-0.48129935133288498</v>
      </c>
    </row>
    <row r="567" spans="1:78" ht="15" customHeight="1">
      <c r="A567" s="407" t="s">
        <v>218</v>
      </c>
      <c r="B567" s="408">
        <v>2010</v>
      </c>
      <c r="C567" s="805" t="s">
        <v>219</v>
      </c>
      <c r="D567" s="117" t="s">
        <v>3664</v>
      </c>
      <c r="E567" s="409" t="s">
        <v>220</v>
      </c>
      <c r="F567" s="410"/>
      <c r="G567" s="410" t="s">
        <v>24</v>
      </c>
      <c r="H567" s="117" t="str">
        <f t="shared" ref="H567:H641" si="96">IF($G567="Mining","yes",IF($G567="Oil, Gas, Mining","yes",IF($G567="Gas, Mining","yes",IF($G567="Oil, Mining","yes",IF($G567="Oil, Mining, Other","yes","no")))))</f>
        <v>yes</v>
      </c>
      <c r="I567" s="117" t="str">
        <f t="shared" ref="I567:I641" si="97">IF($G567="Gas","yes",IF($G567="Oil, Gas, Mining","yes",IF($G567="Gas, Mining","yes",IF($G567="Oil, Gas","yes",IF($G567="Oil, Gas, Other","yes","no")))))</f>
        <v>no</v>
      </c>
      <c r="J567" s="117" t="str">
        <f t="shared" ref="J567:J641" si="98">IF($G567="Oil","yes",IF($G567="Oil, Gas, Mining","yes",IF($G567="Oil, Mining","yes",IF($G567="Oil, Gas","yes",IF($G567="Oil, Gas, Other","yes","no")))))</f>
        <v>no</v>
      </c>
      <c r="K567" s="410" t="s">
        <v>1229</v>
      </c>
      <c r="L567" s="117" t="str">
        <f t="shared" si="94"/>
        <v>detailed</v>
      </c>
      <c r="M567" s="117" t="str">
        <f t="shared" ref="M567:M641" si="99">L567&amp;" "&amp;G567</f>
        <v>detailed Mining</v>
      </c>
      <c r="N567" s="411">
        <v>8</v>
      </c>
      <c r="O567" s="411"/>
      <c r="P567" s="411"/>
      <c r="Q567" s="411"/>
      <c r="R567" s="411"/>
      <c r="S567" s="410" t="s">
        <v>610</v>
      </c>
      <c r="T567" s="412"/>
      <c r="U567" s="410"/>
      <c r="V567" s="410" t="s">
        <v>684</v>
      </c>
      <c r="W567" s="413"/>
      <c r="X567" s="410"/>
      <c r="Y567" s="410"/>
      <c r="Z567" s="410"/>
      <c r="AA567" s="414"/>
      <c r="AB567" s="414"/>
      <c r="AC567" s="415"/>
      <c r="AD567" s="415"/>
      <c r="AE567" s="415"/>
      <c r="AF567" s="416"/>
      <c r="AG567" s="410"/>
      <c r="AH567" s="417"/>
      <c r="AI567" s="410"/>
      <c r="AJ567" s="410"/>
      <c r="AK567" s="413"/>
      <c r="AL567" s="410"/>
      <c r="AM567" s="410"/>
      <c r="AN567" s="410"/>
      <c r="AO567" s="410"/>
      <c r="AP567" s="410"/>
      <c r="AQ567" s="410"/>
      <c r="AR567" s="418"/>
      <c r="AS567" s="410"/>
      <c r="AT567" s="410"/>
      <c r="AU567" s="410"/>
      <c r="AV567" s="419"/>
      <c r="AW567" s="117">
        <f>VLOOKUP($D567,'WB Data'!$C$3:$M$578,2,FALSE)</f>
        <v>41337958251.631958</v>
      </c>
      <c r="AX567" s="117">
        <f>VLOOKUP($D567,'WB Data'!$C$3:$M$578,3,FALSE)</f>
        <v>14341576</v>
      </c>
      <c r="AY567" s="847">
        <f t="shared" si="90"/>
        <v>3.7689483852011299E-3</v>
      </c>
      <c r="AZ567" s="117">
        <f>VLOOKUP($D567,'WB Data'!$C$3:$M$578,4,FALSE)/100</f>
        <v>0.11070848524418105</v>
      </c>
      <c r="BA567" s="117">
        <f t="shared" si="91"/>
        <v>4576462741.1253691</v>
      </c>
      <c r="BB567" s="129">
        <f>IFERROR(VLOOKUP($D567,'EITI Revenues'!$C$2:$G$224,5,FALSE),"..")</f>
        <v>155800631</v>
      </c>
      <c r="BC567" s="846">
        <f t="shared" si="92"/>
        <v>3.4043898052513816E-2</v>
      </c>
      <c r="BD567" s="129">
        <f>VLOOKUP($D567,'WB Data 2'!$C$2:$K$545,6,FALSE)</f>
        <v>933400729.1812427</v>
      </c>
      <c r="BE567" s="129">
        <f>IFERROR(VLOOKUP($D567,UNCTAD!$C$5:$V$529,4,FALSE),"..")</f>
        <v>10803023919</v>
      </c>
      <c r="BF567" s="846">
        <f t="shared" si="93"/>
        <v>8.6401801586277013E-2</v>
      </c>
      <c r="BG567" s="117">
        <f>VLOOKUP($D567,'WB Data'!$C$3:$M$578,5,FALSE)</f>
        <v>393520000</v>
      </c>
      <c r="BH567" s="129">
        <f>IFERROR($BB567/$BG567,"..")</f>
        <v>0.395915407094938</v>
      </c>
      <c r="BI567" s="117">
        <f>IFERROR(VLOOKUP($D567,'WB Data'!$C$3:$M$578,7,FALSE)/100,"..")</f>
        <v>2.8030599999999999E-2</v>
      </c>
      <c r="BJ567" s="117">
        <f>IFERROR($BI567*$AW567,"..")</f>
        <v>1158727772.5681946</v>
      </c>
      <c r="BK567" s="846">
        <f>IFERROR($BB567/$BJ567,"..")</f>
        <v>0.13445835569702863</v>
      </c>
      <c r="BL567" s="117">
        <f>IFERROR(VLOOKUP($D567,'WB Data'!$C$3:$M$578,7,FALSE)/100,"..")</f>
        <v>2.8030599999999999E-2</v>
      </c>
      <c r="BM567" s="117">
        <f>IFERROR($AW567*$BL567,"..")</f>
        <v>1158727772.5681946</v>
      </c>
      <c r="BN567" s="846">
        <f>IFERROR($BB567/$BM567,"..")</f>
        <v>0.13445835569702863</v>
      </c>
      <c r="BO567" s="801">
        <f t="shared" si="89"/>
        <v>32</v>
      </c>
      <c r="BP567" s="117" t="str">
        <f>VLOOKUP($D567,'WB Data'!$C$3:$M$578,9,FALSE)</f>
        <v>..</v>
      </c>
      <c r="BQ567" s="117">
        <f>VLOOKUP($D567,'WB Data'!$C$3:$M$578,10,FALSE)</f>
        <v>70.995975609756101</v>
      </c>
      <c r="BR567" s="117">
        <f>VLOOKUP($D567,'WB Data'!$C$3:$M$578,11,FALSE)</f>
        <v>28.4</v>
      </c>
      <c r="BS567" s="129">
        <f>IFERROR(VLOOKUP($D567,'WB Data 2'!$C$2:$K$545,9,FALSE),"..")</f>
        <v>98.247460000000004</v>
      </c>
      <c r="BT567" s="129" t="str">
        <f>_xlfn.IFNA(VLOOKUP($C567,RGI!$A$2:$C$43,2,FALSE),"..")</f>
        <v>..</v>
      </c>
      <c r="BU567" s="129" t="str">
        <f>_xlfn.IFNA(VLOOKUP($C567,RGI!$A$2:$C$43,3,FALSE),"..")</f>
        <v>..</v>
      </c>
      <c r="BV567" s="129">
        <f>VLOOKUP($D567,WGI!$C$2:$O$478,7,FALSE)</f>
        <v>-0.33446461090524898</v>
      </c>
      <c r="BW567" s="129">
        <f>VLOOKUP($D567,WGI!$C$2:$O$478,4,FALSE)</f>
        <v>-0.87314139642851796</v>
      </c>
      <c r="BX567" s="129">
        <f>VLOOKUP($D567,WGI!$C$2:$O$478,3,FALSE)</f>
        <v>-0.69874816414761298</v>
      </c>
      <c r="BY567" s="129">
        <f>VLOOKUP($D567,WGI!$C$2:$O$478,5,FALSE)</f>
        <v>-0.13028208712700701</v>
      </c>
      <c r="BZ567" s="129">
        <f>VLOOKUP($D567,WGI!$C$2:$O$478,2,FALSE)</f>
        <v>-0.48129935133288498</v>
      </c>
    </row>
    <row r="568" spans="1:78" ht="15" customHeight="1">
      <c r="A568" s="407" t="s">
        <v>218</v>
      </c>
      <c r="B568" s="408">
        <v>2010</v>
      </c>
      <c r="C568" s="805" t="s">
        <v>219</v>
      </c>
      <c r="D568" s="117" t="s">
        <v>3664</v>
      </c>
      <c r="E568" s="409" t="s">
        <v>220</v>
      </c>
      <c r="F568" s="410"/>
      <c r="G568" s="410" t="s">
        <v>24</v>
      </c>
      <c r="H568" s="117" t="str">
        <f t="shared" si="96"/>
        <v>yes</v>
      </c>
      <c r="I568" s="117" t="str">
        <f t="shared" si="97"/>
        <v>no</v>
      </c>
      <c r="J568" s="117" t="str">
        <f t="shared" si="98"/>
        <v>no</v>
      </c>
      <c r="K568" s="410" t="s">
        <v>1230</v>
      </c>
      <c r="L568" s="117" t="str">
        <f t="shared" si="94"/>
        <v>detailed</v>
      </c>
      <c r="M568" s="117" t="str">
        <f t="shared" si="99"/>
        <v>detailed Mining</v>
      </c>
      <c r="N568" s="411">
        <v>2143</v>
      </c>
      <c r="O568" s="411"/>
      <c r="P568" s="411"/>
      <c r="Q568" s="411"/>
      <c r="R568" s="411"/>
      <c r="S568" s="410" t="s">
        <v>610</v>
      </c>
      <c r="T568" s="412">
        <v>137</v>
      </c>
      <c r="U568" s="410" t="s">
        <v>611</v>
      </c>
      <c r="V568" s="410" t="s">
        <v>1231</v>
      </c>
      <c r="W568" s="413">
        <f>N568*T568</f>
        <v>293591</v>
      </c>
      <c r="X568" s="410"/>
      <c r="Y568" s="410"/>
      <c r="Z568" s="410"/>
      <c r="AA568" s="414"/>
      <c r="AB568" s="414"/>
      <c r="AC568" s="415"/>
      <c r="AD568" s="415"/>
      <c r="AE568" s="415"/>
      <c r="AF568" s="416"/>
      <c r="AG568" s="410"/>
      <c r="AH568" s="417"/>
      <c r="AI568" s="410"/>
      <c r="AJ568" s="410"/>
      <c r="AK568" s="413"/>
      <c r="AL568" s="410"/>
      <c r="AM568" s="410"/>
      <c r="AN568" s="410"/>
      <c r="AO568" s="410"/>
      <c r="AP568" s="410"/>
      <c r="AQ568" s="410"/>
      <c r="AR568" s="418"/>
      <c r="AS568" s="410"/>
      <c r="AT568" s="410"/>
      <c r="AU568" s="410"/>
      <c r="AV568" s="419"/>
      <c r="AW568" s="117">
        <f>VLOOKUP($D568,'WB Data'!$C$3:$M$578,2,FALSE)</f>
        <v>41337958251.631958</v>
      </c>
      <c r="AX568" s="117">
        <f>VLOOKUP($D568,'WB Data'!$C$3:$M$578,3,FALSE)</f>
        <v>14341576</v>
      </c>
      <c r="AY568" s="847">
        <f t="shared" si="90"/>
        <v>3.7689483852011299E-3</v>
      </c>
      <c r="AZ568" s="117">
        <f>VLOOKUP($D568,'WB Data'!$C$3:$M$578,4,FALSE)/100</f>
        <v>0.11070848524418105</v>
      </c>
      <c r="BA568" s="117">
        <f t="shared" si="91"/>
        <v>4576462741.1253691</v>
      </c>
      <c r="BB568" s="129">
        <f>IFERROR(VLOOKUP($D568,'EITI Revenues'!$C$2:$G$224,5,FALSE),"..")</f>
        <v>155800631</v>
      </c>
      <c r="BC568" s="846">
        <f t="shared" si="92"/>
        <v>3.4043898052513816E-2</v>
      </c>
      <c r="BD568" s="129">
        <f>VLOOKUP($D568,'WB Data 2'!$C$2:$K$545,6,FALSE)</f>
        <v>933400729.1812427</v>
      </c>
      <c r="BE568" s="129">
        <f>IFERROR(VLOOKUP($D568,UNCTAD!$C$5:$V$529,4,FALSE),"..")</f>
        <v>10803023919</v>
      </c>
      <c r="BF568" s="846">
        <f t="shared" si="93"/>
        <v>8.6401801586277013E-2</v>
      </c>
      <c r="BG568" s="117">
        <f>VLOOKUP($D568,'WB Data'!$C$3:$M$578,5,FALSE)</f>
        <v>393520000</v>
      </c>
      <c r="BH568" s="129">
        <f>IFERROR($BB568/$BG568,"..")</f>
        <v>0.395915407094938</v>
      </c>
      <c r="BI568" s="117">
        <f>IFERROR(VLOOKUP($D568,'WB Data'!$C$3:$M$578,7,FALSE)/100,"..")</f>
        <v>2.8030599999999999E-2</v>
      </c>
      <c r="BJ568" s="117">
        <f>IFERROR($BI568*$AW568,"..")</f>
        <v>1158727772.5681946</v>
      </c>
      <c r="BK568" s="846">
        <f>IFERROR($BB568/$BJ568,"..")</f>
        <v>0.13445835569702863</v>
      </c>
      <c r="BL568" s="117">
        <f>IFERROR(VLOOKUP($D568,'WB Data'!$C$3:$M$578,7,FALSE)/100,"..")</f>
        <v>2.8030599999999999E-2</v>
      </c>
      <c r="BM568" s="117">
        <f>IFERROR($AW568*$BL568,"..")</f>
        <v>1158727772.5681946</v>
      </c>
      <c r="BN568" s="846">
        <f>IFERROR($BB568/$BM568,"..")</f>
        <v>0.13445835569702863</v>
      </c>
      <c r="BO568" s="801">
        <f t="shared" si="89"/>
        <v>32</v>
      </c>
      <c r="BP568" s="117" t="str">
        <f>VLOOKUP($D568,'WB Data'!$C$3:$M$578,9,FALSE)</f>
        <v>..</v>
      </c>
      <c r="BQ568" s="117">
        <f>VLOOKUP($D568,'WB Data'!$C$3:$M$578,10,FALSE)</f>
        <v>70.995975609756101</v>
      </c>
      <c r="BR568" s="117">
        <f>VLOOKUP($D568,'WB Data'!$C$3:$M$578,11,FALSE)</f>
        <v>28.4</v>
      </c>
      <c r="BS568" s="129">
        <f>IFERROR(VLOOKUP($D568,'WB Data 2'!$C$2:$K$545,9,FALSE),"..")</f>
        <v>98.247460000000004</v>
      </c>
      <c r="BT568" s="129" t="str">
        <f>_xlfn.IFNA(VLOOKUP($C568,RGI!$A$2:$C$43,2,FALSE),"..")</f>
        <v>..</v>
      </c>
      <c r="BU568" s="129" t="str">
        <f>_xlfn.IFNA(VLOOKUP($C568,RGI!$A$2:$C$43,3,FALSE),"..")</f>
        <v>..</v>
      </c>
      <c r="BV568" s="129">
        <f>VLOOKUP($D568,WGI!$C$2:$O$478,7,FALSE)</f>
        <v>-0.33446461090524898</v>
      </c>
      <c r="BW568" s="129">
        <f>VLOOKUP($D568,WGI!$C$2:$O$478,4,FALSE)</f>
        <v>-0.87314139642851796</v>
      </c>
      <c r="BX568" s="129">
        <f>VLOOKUP($D568,WGI!$C$2:$O$478,3,FALSE)</f>
        <v>-0.69874816414761298</v>
      </c>
      <c r="BY568" s="129">
        <f>VLOOKUP($D568,WGI!$C$2:$O$478,5,FALSE)</f>
        <v>-0.13028208712700701</v>
      </c>
      <c r="BZ568" s="129">
        <f>VLOOKUP($D568,WGI!$C$2:$O$478,2,FALSE)</f>
        <v>-0.48129935133288498</v>
      </c>
    </row>
    <row r="569" spans="1:78" ht="15" customHeight="1">
      <c r="A569" s="407" t="s">
        <v>218</v>
      </c>
      <c r="B569" s="408">
        <v>2010</v>
      </c>
      <c r="C569" s="805" t="s">
        <v>219</v>
      </c>
      <c r="D569" s="117" t="s">
        <v>3664</v>
      </c>
      <c r="E569" s="409" t="s">
        <v>220</v>
      </c>
      <c r="F569" s="410"/>
      <c r="G569" s="410" t="s">
        <v>24</v>
      </c>
      <c r="H569" s="117" t="str">
        <f t="shared" si="96"/>
        <v>yes</v>
      </c>
      <c r="I569" s="117" t="str">
        <f t="shared" si="97"/>
        <v>no</v>
      </c>
      <c r="J569" s="117" t="str">
        <f t="shared" si="98"/>
        <v>no</v>
      </c>
      <c r="K569" s="410" t="s">
        <v>1232</v>
      </c>
      <c r="L569" s="117" t="str">
        <f t="shared" si="94"/>
        <v>detailed</v>
      </c>
      <c r="M569" s="117" t="str">
        <f t="shared" si="99"/>
        <v>detailed Mining</v>
      </c>
      <c r="N569" s="411">
        <v>4910000</v>
      </c>
      <c r="O569" s="411"/>
      <c r="P569" s="411"/>
      <c r="Q569" s="411"/>
      <c r="R569" s="411"/>
      <c r="S569" s="410" t="s">
        <v>610</v>
      </c>
      <c r="T569" s="412">
        <v>9.0299999999999994</v>
      </c>
      <c r="U569" s="410" t="s">
        <v>611</v>
      </c>
      <c r="V569" s="410" t="s">
        <v>704</v>
      </c>
      <c r="W569" s="413">
        <f>N569*T569</f>
        <v>44337300</v>
      </c>
      <c r="X569" s="410"/>
      <c r="Y569" s="410"/>
      <c r="Z569" s="410"/>
      <c r="AA569" s="414"/>
      <c r="AB569" s="414"/>
      <c r="AC569" s="415"/>
      <c r="AD569" s="415"/>
      <c r="AE569" s="415"/>
      <c r="AF569" s="416"/>
      <c r="AG569" s="410"/>
      <c r="AH569" s="417"/>
      <c r="AI569" s="410"/>
      <c r="AJ569" s="410"/>
      <c r="AK569" s="413"/>
      <c r="AL569" s="410"/>
      <c r="AM569" s="410"/>
      <c r="AN569" s="410"/>
      <c r="AO569" s="410"/>
      <c r="AP569" s="410"/>
      <c r="AQ569" s="410"/>
      <c r="AR569" s="418"/>
      <c r="AS569" s="410"/>
      <c r="AT569" s="410"/>
      <c r="AU569" s="410"/>
      <c r="AV569" s="419"/>
      <c r="AW569" s="117">
        <f>VLOOKUP($D569,'WB Data'!$C$3:$M$578,2,FALSE)</f>
        <v>41337958251.631958</v>
      </c>
      <c r="AX569" s="117">
        <f>VLOOKUP($D569,'WB Data'!$C$3:$M$578,3,FALSE)</f>
        <v>14341576</v>
      </c>
      <c r="AY569" s="847">
        <f t="shared" si="90"/>
        <v>3.7689483852011299E-3</v>
      </c>
      <c r="AZ569" s="117">
        <f>VLOOKUP($D569,'WB Data'!$C$3:$M$578,4,FALSE)/100</f>
        <v>0.11070848524418105</v>
      </c>
      <c r="BA569" s="117">
        <f t="shared" si="91"/>
        <v>4576462741.1253691</v>
      </c>
      <c r="BB569" s="129">
        <f>IFERROR(VLOOKUP($D569,'EITI Revenues'!$C$2:$G$224,5,FALSE),"..")</f>
        <v>155800631</v>
      </c>
      <c r="BC569" s="846">
        <f t="shared" si="92"/>
        <v>3.4043898052513816E-2</v>
      </c>
      <c r="BD569" s="129">
        <f>VLOOKUP($D569,'WB Data 2'!$C$2:$K$545,6,FALSE)</f>
        <v>933400729.1812427</v>
      </c>
      <c r="BE569" s="129">
        <f>IFERROR(VLOOKUP($D569,UNCTAD!$C$5:$V$529,4,FALSE),"..")</f>
        <v>10803023919</v>
      </c>
      <c r="BF569" s="846">
        <f t="shared" si="93"/>
        <v>8.6401801586277013E-2</v>
      </c>
      <c r="BG569" s="117">
        <f>VLOOKUP($D569,'WB Data'!$C$3:$M$578,5,FALSE)</f>
        <v>393520000</v>
      </c>
      <c r="BH569" s="129">
        <f>IFERROR($BB569/$BG569,"..")</f>
        <v>0.395915407094938</v>
      </c>
      <c r="BI569" s="117">
        <f>IFERROR(VLOOKUP($D569,'WB Data'!$C$3:$M$578,7,FALSE)/100,"..")</f>
        <v>2.8030599999999999E-2</v>
      </c>
      <c r="BJ569" s="117">
        <f>IFERROR($BI569*$AW569,"..")</f>
        <v>1158727772.5681946</v>
      </c>
      <c r="BK569" s="846">
        <f>IFERROR($BB569/$BJ569,"..")</f>
        <v>0.13445835569702863</v>
      </c>
      <c r="BL569" s="117">
        <f>IFERROR(VLOOKUP($D569,'WB Data'!$C$3:$M$578,7,FALSE)/100,"..")</f>
        <v>2.8030599999999999E-2</v>
      </c>
      <c r="BM569" s="117">
        <f>IFERROR($AW569*$BL569,"..")</f>
        <v>1158727772.5681946</v>
      </c>
      <c r="BN569" s="846">
        <f>IFERROR($BB569/$BM569,"..")</f>
        <v>0.13445835569702863</v>
      </c>
      <c r="BO569" s="801">
        <f t="shared" si="89"/>
        <v>32</v>
      </c>
      <c r="BP569" s="117" t="str">
        <f>VLOOKUP($D569,'WB Data'!$C$3:$M$578,9,FALSE)</f>
        <v>..</v>
      </c>
      <c r="BQ569" s="117">
        <f>VLOOKUP($D569,'WB Data'!$C$3:$M$578,10,FALSE)</f>
        <v>70.995975609756101</v>
      </c>
      <c r="BR569" s="117">
        <f>VLOOKUP($D569,'WB Data'!$C$3:$M$578,11,FALSE)</f>
        <v>28.4</v>
      </c>
      <c r="BS569" s="129">
        <f>IFERROR(VLOOKUP($D569,'WB Data 2'!$C$2:$K$545,9,FALSE),"..")</f>
        <v>98.247460000000004</v>
      </c>
      <c r="BT569" s="129" t="str">
        <f>_xlfn.IFNA(VLOOKUP($C569,RGI!$A$2:$C$43,2,FALSE),"..")</f>
        <v>..</v>
      </c>
      <c r="BU569" s="129" t="str">
        <f>_xlfn.IFNA(VLOOKUP($C569,RGI!$A$2:$C$43,3,FALSE),"..")</f>
        <v>..</v>
      </c>
      <c r="BV569" s="129">
        <f>VLOOKUP($D569,WGI!$C$2:$O$478,7,FALSE)</f>
        <v>-0.33446461090524898</v>
      </c>
      <c r="BW569" s="129">
        <f>VLOOKUP($D569,WGI!$C$2:$O$478,4,FALSE)</f>
        <v>-0.87314139642851796</v>
      </c>
      <c r="BX569" s="129">
        <f>VLOOKUP($D569,WGI!$C$2:$O$478,3,FALSE)</f>
        <v>-0.69874816414761298</v>
      </c>
      <c r="BY569" s="129">
        <f>VLOOKUP($D569,WGI!$C$2:$O$478,5,FALSE)</f>
        <v>-0.13028208712700701</v>
      </c>
      <c r="BZ569" s="129">
        <f>VLOOKUP($D569,WGI!$C$2:$O$478,2,FALSE)</f>
        <v>-0.48129935133288498</v>
      </c>
    </row>
    <row r="570" spans="1:78" ht="15" customHeight="1">
      <c r="A570" s="407" t="s">
        <v>218</v>
      </c>
      <c r="B570" s="408">
        <v>2010</v>
      </c>
      <c r="C570" s="805" t="s">
        <v>219</v>
      </c>
      <c r="D570" s="117" t="s">
        <v>3664</v>
      </c>
      <c r="E570" s="409" t="s">
        <v>220</v>
      </c>
      <c r="F570" s="410"/>
      <c r="G570" s="410" t="s">
        <v>24</v>
      </c>
      <c r="H570" s="117" t="str">
        <f t="shared" si="96"/>
        <v>yes</v>
      </c>
      <c r="I570" s="117" t="str">
        <f t="shared" si="97"/>
        <v>no</v>
      </c>
      <c r="J570" s="117" t="str">
        <f t="shared" si="98"/>
        <v>no</v>
      </c>
      <c r="K570" s="410" t="s">
        <v>1233</v>
      </c>
      <c r="L570" s="117" t="str">
        <f t="shared" si="94"/>
        <v>detailed</v>
      </c>
      <c r="M570" s="117" t="str">
        <f t="shared" si="99"/>
        <v>detailed Mining</v>
      </c>
      <c r="N570" s="411">
        <f>72063*2.71</f>
        <v>195290.73</v>
      </c>
      <c r="O570" s="411"/>
      <c r="P570" s="411"/>
      <c r="Q570" s="411"/>
      <c r="R570" s="411"/>
      <c r="S570" s="410" t="s">
        <v>610</v>
      </c>
      <c r="T570" s="412">
        <v>13.27</v>
      </c>
      <c r="U570" s="410" t="s">
        <v>611</v>
      </c>
      <c r="V570" s="410" t="s">
        <v>1234</v>
      </c>
      <c r="W570" s="413">
        <f>N570*T570</f>
        <v>2591507.9871</v>
      </c>
      <c r="X570" s="410"/>
      <c r="Y570" s="410"/>
      <c r="Z570" s="410"/>
      <c r="AA570" s="414"/>
      <c r="AB570" s="414"/>
      <c r="AC570" s="415"/>
      <c r="AD570" s="415"/>
      <c r="AE570" s="415"/>
      <c r="AF570" s="416"/>
      <c r="AG570" s="410"/>
      <c r="AH570" s="417"/>
      <c r="AI570" s="410"/>
      <c r="AJ570" s="410"/>
      <c r="AK570" s="413"/>
      <c r="AL570" s="410"/>
      <c r="AM570" s="410"/>
      <c r="AN570" s="410"/>
      <c r="AO570" s="410"/>
      <c r="AP570" s="410"/>
      <c r="AQ570" s="410"/>
      <c r="AR570" s="418"/>
      <c r="AS570" s="410"/>
      <c r="AT570" s="410"/>
      <c r="AU570" s="410"/>
      <c r="AV570" s="419"/>
      <c r="AW570" s="117">
        <f>VLOOKUP($D570,'WB Data'!$C$3:$M$578,2,FALSE)</f>
        <v>41337958251.631958</v>
      </c>
      <c r="AX570" s="117">
        <f>VLOOKUP($D570,'WB Data'!$C$3:$M$578,3,FALSE)</f>
        <v>14341576</v>
      </c>
      <c r="AY570" s="847">
        <f t="shared" si="90"/>
        <v>3.7689483852011299E-3</v>
      </c>
      <c r="AZ570" s="117">
        <f>VLOOKUP($D570,'WB Data'!$C$3:$M$578,4,FALSE)/100</f>
        <v>0.11070848524418105</v>
      </c>
      <c r="BA570" s="117">
        <f t="shared" si="91"/>
        <v>4576462741.1253691</v>
      </c>
      <c r="BB570" s="129">
        <f>IFERROR(VLOOKUP($D570,'EITI Revenues'!$C$2:$G$224,5,FALSE),"..")</f>
        <v>155800631</v>
      </c>
      <c r="BC570" s="846">
        <f t="shared" si="92"/>
        <v>3.4043898052513816E-2</v>
      </c>
      <c r="BD570" s="129">
        <f>VLOOKUP($D570,'WB Data 2'!$C$2:$K$545,6,FALSE)</f>
        <v>933400729.1812427</v>
      </c>
      <c r="BE570" s="129">
        <f>IFERROR(VLOOKUP($D570,UNCTAD!$C$5:$V$529,4,FALSE),"..")</f>
        <v>10803023919</v>
      </c>
      <c r="BF570" s="846">
        <f t="shared" si="93"/>
        <v>8.6401801586277013E-2</v>
      </c>
      <c r="BG570" s="117">
        <f>VLOOKUP($D570,'WB Data'!$C$3:$M$578,5,FALSE)</f>
        <v>393520000</v>
      </c>
      <c r="BH570" s="129">
        <f>IFERROR($BB570/$BG570,"..")</f>
        <v>0.395915407094938</v>
      </c>
      <c r="BI570" s="117">
        <f>IFERROR(VLOOKUP($D570,'WB Data'!$C$3:$M$578,7,FALSE)/100,"..")</f>
        <v>2.8030599999999999E-2</v>
      </c>
      <c r="BJ570" s="117">
        <f>IFERROR($BI570*$AW570,"..")</f>
        <v>1158727772.5681946</v>
      </c>
      <c r="BK570" s="846">
        <f>IFERROR($BB570/$BJ570,"..")</f>
        <v>0.13445835569702863</v>
      </c>
      <c r="BL570" s="117">
        <f>IFERROR(VLOOKUP($D570,'WB Data'!$C$3:$M$578,7,FALSE)/100,"..")</f>
        <v>2.8030599999999999E-2</v>
      </c>
      <c r="BM570" s="117">
        <f>IFERROR($AW570*$BL570,"..")</f>
        <v>1158727772.5681946</v>
      </c>
      <c r="BN570" s="846">
        <f>IFERROR($BB570/$BM570,"..")</f>
        <v>0.13445835569702863</v>
      </c>
      <c r="BO570" s="801">
        <f t="shared" si="89"/>
        <v>32</v>
      </c>
      <c r="BP570" s="117" t="str">
        <f>VLOOKUP($D570,'WB Data'!$C$3:$M$578,9,FALSE)</f>
        <v>..</v>
      </c>
      <c r="BQ570" s="117">
        <f>VLOOKUP($D570,'WB Data'!$C$3:$M$578,10,FALSE)</f>
        <v>70.995975609756101</v>
      </c>
      <c r="BR570" s="117">
        <f>VLOOKUP($D570,'WB Data'!$C$3:$M$578,11,FALSE)</f>
        <v>28.4</v>
      </c>
      <c r="BS570" s="129">
        <f>IFERROR(VLOOKUP($D570,'WB Data 2'!$C$2:$K$545,9,FALSE),"..")</f>
        <v>98.247460000000004</v>
      </c>
      <c r="BT570" s="129" t="str">
        <f>_xlfn.IFNA(VLOOKUP($C570,RGI!$A$2:$C$43,2,FALSE),"..")</f>
        <v>..</v>
      </c>
      <c r="BU570" s="129" t="str">
        <f>_xlfn.IFNA(VLOOKUP($C570,RGI!$A$2:$C$43,3,FALSE),"..")</f>
        <v>..</v>
      </c>
      <c r="BV570" s="129">
        <f>VLOOKUP($D570,WGI!$C$2:$O$478,7,FALSE)</f>
        <v>-0.33446461090524898</v>
      </c>
      <c r="BW570" s="129">
        <f>VLOOKUP($D570,WGI!$C$2:$O$478,4,FALSE)</f>
        <v>-0.87314139642851796</v>
      </c>
      <c r="BX570" s="129">
        <f>VLOOKUP($D570,WGI!$C$2:$O$478,3,FALSE)</f>
        <v>-0.69874816414761298</v>
      </c>
      <c r="BY570" s="129">
        <f>VLOOKUP($D570,WGI!$C$2:$O$478,5,FALSE)</f>
        <v>-0.13028208712700701</v>
      </c>
      <c r="BZ570" s="129">
        <f>VLOOKUP($D570,WGI!$C$2:$O$478,2,FALSE)</f>
        <v>-0.48129935133288498</v>
      </c>
    </row>
    <row r="571" spans="1:78" ht="15" customHeight="1">
      <c r="A571" s="407" t="s">
        <v>218</v>
      </c>
      <c r="B571" s="408">
        <v>2010</v>
      </c>
      <c r="C571" s="805" t="s">
        <v>219</v>
      </c>
      <c r="D571" s="117" t="s">
        <v>3664</v>
      </c>
      <c r="E571" s="409" t="s">
        <v>220</v>
      </c>
      <c r="F571" s="410"/>
      <c r="G571" s="410" t="s">
        <v>24</v>
      </c>
      <c r="H571" s="117" t="str">
        <f t="shared" si="96"/>
        <v>yes</v>
      </c>
      <c r="I571" s="117" t="str">
        <f t="shared" si="97"/>
        <v>no</v>
      </c>
      <c r="J571" s="117" t="str">
        <f t="shared" si="98"/>
        <v>no</v>
      </c>
      <c r="K571" s="410" t="s">
        <v>1235</v>
      </c>
      <c r="L571" s="117" t="str">
        <f t="shared" si="94"/>
        <v>detailed</v>
      </c>
      <c r="M571" s="117" t="str">
        <f t="shared" si="99"/>
        <v>detailed Mining</v>
      </c>
      <c r="N571" s="411">
        <f>500*2.24</f>
        <v>1120</v>
      </c>
      <c r="O571" s="411"/>
      <c r="P571" s="411"/>
      <c r="Q571" s="411"/>
      <c r="R571" s="411"/>
      <c r="S571" s="410" t="s">
        <v>642</v>
      </c>
      <c r="T571" s="412">
        <v>7.88</v>
      </c>
      <c r="U571" s="410" t="s">
        <v>611</v>
      </c>
      <c r="V571" s="410" t="s">
        <v>1236</v>
      </c>
      <c r="W571" s="413">
        <f>N571*T571</f>
        <v>8825.6</v>
      </c>
      <c r="X571" s="410"/>
      <c r="Y571" s="410"/>
      <c r="Z571" s="410"/>
      <c r="AA571" s="414"/>
      <c r="AB571" s="414"/>
      <c r="AC571" s="415"/>
      <c r="AD571" s="415"/>
      <c r="AE571" s="415"/>
      <c r="AF571" s="416"/>
      <c r="AG571" s="410"/>
      <c r="AH571" s="417"/>
      <c r="AI571" s="410"/>
      <c r="AJ571" s="410"/>
      <c r="AK571" s="413"/>
      <c r="AL571" s="410"/>
      <c r="AM571" s="410"/>
      <c r="AN571" s="410"/>
      <c r="AO571" s="410"/>
      <c r="AP571" s="410"/>
      <c r="AQ571" s="410"/>
      <c r="AR571" s="418"/>
      <c r="AS571" s="410"/>
      <c r="AT571" s="410"/>
      <c r="AU571" s="410"/>
      <c r="AV571" s="419"/>
      <c r="AW571" s="117">
        <f>VLOOKUP($D571,'WB Data'!$C$3:$M$578,2,FALSE)</f>
        <v>41337958251.631958</v>
      </c>
      <c r="AX571" s="117">
        <f>VLOOKUP($D571,'WB Data'!$C$3:$M$578,3,FALSE)</f>
        <v>14341576</v>
      </c>
      <c r="AY571" s="847">
        <f t="shared" si="90"/>
        <v>3.7689483852011299E-3</v>
      </c>
      <c r="AZ571" s="117">
        <f>VLOOKUP($D571,'WB Data'!$C$3:$M$578,4,FALSE)/100</f>
        <v>0.11070848524418105</v>
      </c>
      <c r="BA571" s="117">
        <f t="shared" si="91"/>
        <v>4576462741.1253691</v>
      </c>
      <c r="BB571" s="129">
        <f>IFERROR(VLOOKUP($D571,'EITI Revenues'!$C$2:$G$224,5,FALSE),"..")</f>
        <v>155800631</v>
      </c>
      <c r="BC571" s="846">
        <f t="shared" si="92"/>
        <v>3.4043898052513816E-2</v>
      </c>
      <c r="BD571" s="129">
        <f>VLOOKUP($D571,'WB Data 2'!$C$2:$K$545,6,FALSE)</f>
        <v>933400729.1812427</v>
      </c>
      <c r="BE571" s="129">
        <f>IFERROR(VLOOKUP($D571,UNCTAD!$C$5:$V$529,4,FALSE),"..")</f>
        <v>10803023919</v>
      </c>
      <c r="BF571" s="846">
        <f t="shared" si="93"/>
        <v>8.6401801586277013E-2</v>
      </c>
      <c r="BG571" s="117">
        <f>VLOOKUP($D571,'WB Data'!$C$3:$M$578,5,FALSE)</f>
        <v>393520000</v>
      </c>
      <c r="BH571" s="129">
        <f>IFERROR($BB571/$BG571,"..")</f>
        <v>0.395915407094938</v>
      </c>
      <c r="BI571" s="117">
        <f>IFERROR(VLOOKUP($D571,'WB Data'!$C$3:$M$578,7,FALSE)/100,"..")</f>
        <v>2.8030599999999999E-2</v>
      </c>
      <c r="BJ571" s="117">
        <f>IFERROR($BI571*$AW571,"..")</f>
        <v>1158727772.5681946</v>
      </c>
      <c r="BK571" s="846">
        <f>IFERROR($BB571/$BJ571,"..")</f>
        <v>0.13445835569702863</v>
      </c>
      <c r="BL571" s="117">
        <f>IFERROR(VLOOKUP($D571,'WB Data'!$C$3:$M$578,7,FALSE)/100,"..")</f>
        <v>2.8030599999999999E-2</v>
      </c>
      <c r="BM571" s="117">
        <f>IFERROR($AW571*$BL571,"..")</f>
        <v>1158727772.5681946</v>
      </c>
      <c r="BN571" s="846">
        <f>IFERROR($BB571/$BM571,"..")</f>
        <v>0.13445835569702863</v>
      </c>
      <c r="BO571" s="801">
        <f t="shared" si="89"/>
        <v>32</v>
      </c>
      <c r="BP571" s="117" t="str">
        <f>VLOOKUP($D571,'WB Data'!$C$3:$M$578,9,FALSE)</f>
        <v>..</v>
      </c>
      <c r="BQ571" s="117">
        <f>VLOOKUP($D571,'WB Data'!$C$3:$M$578,10,FALSE)</f>
        <v>70.995975609756101</v>
      </c>
      <c r="BR571" s="117">
        <f>VLOOKUP($D571,'WB Data'!$C$3:$M$578,11,FALSE)</f>
        <v>28.4</v>
      </c>
      <c r="BS571" s="129">
        <f>IFERROR(VLOOKUP($D571,'WB Data 2'!$C$2:$K$545,9,FALSE),"..")</f>
        <v>98.247460000000004</v>
      </c>
      <c r="BT571" s="129" t="str">
        <f>_xlfn.IFNA(VLOOKUP($C571,RGI!$A$2:$C$43,2,FALSE),"..")</f>
        <v>..</v>
      </c>
      <c r="BU571" s="129" t="str">
        <f>_xlfn.IFNA(VLOOKUP($C571,RGI!$A$2:$C$43,3,FALSE),"..")</f>
        <v>..</v>
      </c>
      <c r="BV571" s="129">
        <f>VLOOKUP($D571,WGI!$C$2:$O$478,7,FALSE)</f>
        <v>-0.33446461090524898</v>
      </c>
      <c r="BW571" s="129">
        <f>VLOOKUP($D571,WGI!$C$2:$O$478,4,FALSE)</f>
        <v>-0.87314139642851796</v>
      </c>
      <c r="BX571" s="129">
        <f>VLOOKUP($D571,WGI!$C$2:$O$478,3,FALSE)</f>
        <v>-0.69874816414761298</v>
      </c>
      <c r="BY571" s="129">
        <f>VLOOKUP($D571,WGI!$C$2:$O$478,5,FALSE)</f>
        <v>-0.13028208712700701</v>
      </c>
      <c r="BZ571" s="129">
        <f>VLOOKUP($D571,WGI!$C$2:$O$478,2,FALSE)</f>
        <v>-0.48129935133288498</v>
      </c>
    </row>
    <row r="572" spans="1:78" ht="15" customHeight="1">
      <c r="A572" s="407" t="s">
        <v>218</v>
      </c>
      <c r="B572" s="408">
        <v>2010</v>
      </c>
      <c r="C572" s="805" t="s">
        <v>219</v>
      </c>
      <c r="D572" s="117" t="s">
        <v>3664</v>
      </c>
      <c r="E572" s="409" t="s">
        <v>220</v>
      </c>
      <c r="F572" s="410"/>
      <c r="G572" s="410" t="s">
        <v>24</v>
      </c>
      <c r="H572" s="117" t="str">
        <f t="shared" si="96"/>
        <v>yes</v>
      </c>
      <c r="I572" s="117" t="str">
        <f t="shared" si="97"/>
        <v>no</v>
      </c>
      <c r="J572" s="117" t="str">
        <f t="shared" si="98"/>
        <v>no</v>
      </c>
      <c r="K572" s="410" t="s">
        <v>1237</v>
      </c>
      <c r="L572" s="117" t="str">
        <f t="shared" si="94"/>
        <v>detailed</v>
      </c>
      <c r="M572" s="117" t="str">
        <f t="shared" si="99"/>
        <v>detailed Mining</v>
      </c>
      <c r="N572" s="411">
        <f>34000*0.64</f>
        <v>21760</v>
      </c>
      <c r="O572" s="411"/>
      <c r="P572" s="411"/>
      <c r="Q572" s="411"/>
      <c r="R572" s="411"/>
      <c r="S572" s="410" t="s">
        <v>610</v>
      </c>
      <c r="T572" s="412">
        <v>20</v>
      </c>
      <c r="U572" s="410" t="s">
        <v>611</v>
      </c>
      <c r="V572" s="410" t="s">
        <v>1238</v>
      </c>
      <c r="W572" s="413">
        <f>N572*T572</f>
        <v>435200</v>
      </c>
      <c r="X572" s="410"/>
      <c r="Y572" s="410"/>
      <c r="Z572" s="410"/>
      <c r="AA572" s="414"/>
      <c r="AB572" s="414"/>
      <c r="AC572" s="415"/>
      <c r="AD572" s="415"/>
      <c r="AE572" s="415"/>
      <c r="AF572" s="416"/>
      <c r="AG572" s="410"/>
      <c r="AH572" s="417"/>
      <c r="AI572" s="410"/>
      <c r="AJ572" s="410"/>
      <c r="AK572" s="413"/>
      <c r="AL572" s="410"/>
      <c r="AM572" s="410"/>
      <c r="AN572" s="410"/>
      <c r="AO572" s="410"/>
      <c r="AP572" s="410"/>
      <c r="AQ572" s="410"/>
      <c r="AR572" s="418"/>
      <c r="AS572" s="410"/>
      <c r="AT572" s="410"/>
      <c r="AU572" s="410"/>
      <c r="AV572" s="419"/>
      <c r="AW572" s="117">
        <f>VLOOKUP($D572,'WB Data'!$C$3:$M$578,2,FALSE)</f>
        <v>41337958251.631958</v>
      </c>
      <c r="AX572" s="117">
        <f>VLOOKUP($D572,'WB Data'!$C$3:$M$578,3,FALSE)</f>
        <v>14341576</v>
      </c>
      <c r="AY572" s="847">
        <f t="shared" si="90"/>
        <v>3.7689483852011299E-3</v>
      </c>
      <c r="AZ572" s="117">
        <f>VLOOKUP($D572,'WB Data'!$C$3:$M$578,4,FALSE)/100</f>
        <v>0.11070848524418105</v>
      </c>
      <c r="BA572" s="117">
        <f t="shared" si="91"/>
        <v>4576462741.1253691</v>
      </c>
      <c r="BB572" s="129">
        <f>IFERROR(VLOOKUP($D572,'EITI Revenues'!$C$2:$G$224,5,FALSE),"..")</f>
        <v>155800631</v>
      </c>
      <c r="BC572" s="846">
        <f t="shared" si="92"/>
        <v>3.4043898052513816E-2</v>
      </c>
      <c r="BD572" s="129">
        <f>VLOOKUP($D572,'WB Data 2'!$C$2:$K$545,6,FALSE)</f>
        <v>933400729.1812427</v>
      </c>
      <c r="BE572" s="129">
        <f>IFERROR(VLOOKUP($D572,UNCTAD!$C$5:$V$529,4,FALSE),"..")</f>
        <v>10803023919</v>
      </c>
      <c r="BF572" s="846">
        <f t="shared" si="93"/>
        <v>8.6401801586277013E-2</v>
      </c>
      <c r="BG572" s="117">
        <f>VLOOKUP($D572,'WB Data'!$C$3:$M$578,5,FALSE)</f>
        <v>393520000</v>
      </c>
      <c r="BH572" s="129">
        <f>IFERROR($BB572/$BG572,"..")</f>
        <v>0.395915407094938</v>
      </c>
      <c r="BI572" s="117">
        <f>IFERROR(VLOOKUP($D572,'WB Data'!$C$3:$M$578,7,FALSE)/100,"..")</f>
        <v>2.8030599999999999E-2</v>
      </c>
      <c r="BJ572" s="117">
        <f>IFERROR($BI572*$AW572,"..")</f>
        <v>1158727772.5681946</v>
      </c>
      <c r="BK572" s="846">
        <f>IFERROR($BB572/$BJ572,"..")</f>
        <v>0.13445835569702863</v>
      </c>
      <c r="BL572" s="117">
        <f>IFERROR(VLOOKUP($D572,'WB Data'!$C$3:$M$578,7,FALSE)/100,"..")</f>
        <v>2.8030599999999999E-2</v>
      </c>
      <c r="BM572" s="117">
        <f>IFERROR($AW572*$BL572,"..")</f>
        <v>1158727772.5681946</v>
      </c>
      <c r="BN572" s="846">
        <f>IFERROR($BB572/$BM572,"..")</f>
        <v>0.13445835569702863</v>
      </c>
      <c r="BO572" s="801">
        <f t="shared" si="89"/>
        <v>32</v>
      </c>
      <c r="BP572" s="117" t="str">
        <f>VLOOKUP($D572,'WB Data'!$C$3:$M$578,9,FALSE)</f>
        <v>..</v>
      </c>
      <c r="BQ572" s="117">
        <f>VLOOKUP($D572,'WB Data'!$C$3:$M$578,10,FALSE)</f>
        <v>70.995975609756101</v>
      </c>
      <c r="BR572" s="117">
        <f>VLOOKUP($D572,'WB Data'!$C$3:$M$578,11,FALSE)</f>
        <v>28.4</v>
      </c>
      <c r="BS572" s="129">
        <f>IFERROR(VLOOKUP($D572,'WB Data 2'!$C$2:$K$545,9,FALSE),"..")</f>
        <v>98.247460000000004</v>
      </c>
      <c r="BT572" s="129" t="str">
        <f>_xlfn.IFNA(VLOOKUP($C572,RGI!$A$2:$C$43,2,FALSE),"..")</f>
        <v>..</v>
      </c>
      <c r="BU572" s="129" t="str">
        <f>_xlfn.IFNA(VLOOKUP($C572,RGI!$A$2:$C$43,3,FALSE),"..")</f>
        <v>..</v>
      </c>
      <c r="BV572" s="129">
        <f>VLOOKUP($D572,WGI!$C$2:$O$478,7,FALSE)</f>
        <v>-0.33446461090524898</v>
      </c>
      <c r="BW572" s="129">
        <f>VLOOKUP($D572,WGI!$C$2:$O$478,4,FALSE)</f>
        <v>-0.87314139642851796</v>
      </c>
      <c r="BX572" s="129">
        <f>VLOOKUP($D572,WGI!$C$2:$O$478,3,FALSE)</f>
        <v>-0.69874816414761298</v>
      </c>
      <c r="BY572" s="129">
        <f>VLOOKUP($D572,WGI!$C$2:$O$478,5,FALSE)</f>
        <v>-0.13028208712700701</v>
      </c>
      <c r="BZ572" s="129">
        <f>VLOOKUP($D572,WGI!$C$2:$O$478,2,FALSE)</f>
        <v>-0.48129935133288498</v>
      </c>
    </row>
    <row r="573" spans="1:78" ht="15" customHeight="1">
      <c r="A573" s="407" t="s">
        <v>218</v>
      </c>
      <c r="B573" s="408">
        <v>2010</v>
      </c>
      <c r="C573" s="805" t="s">
        <v>219</v>
      </c>
      <c r="D573" s="117" t="s">
        <v>3664</v>
      </c>
      <c r="E573" s="409" t="s">
        <v>220</v>
      </c>
      <c r="F573" s="410"/>
      <c r="G573" s="410" t="s">
        <v>24</v>
      </c>
      <c r="H573" s="117" t="str">
        <f t="shared" si="96"/>
        <v>yes</v>
      </c>
      <c r="I573" s="117" t="str">
        <f t="shared" si="97"/>
        <v>no</v>
      </c>
      <c r="J573" s="117" t="str">
        <f t="shared" si="98"/>
        <v>no</v>
      </c>
      <c r="K573" s="410" t="s">
        <v>969</v>
      </c>
      <c r="L573" s="117" t="str">
        <f t="shared" si="94"/>
        <v>detailed</v>
      </c>
      <c r="M573" s="117" t="str">
        <f t="shared" si="99"/>
        <v>detailed Mining</v>
      </c>
      <c r="N573" s="411">
        <v>777</v>
      </c>
      <c r="O573" s="411"/>
      <c r="P573" s="411"/>
      <c r="Q573" s="411"/>
      <c r="R573" s="411"/>
      <c r="S573" s="410" t="s">
        <v>610</v>
      </c>
      <c r="T573" s="412"/>
      <c r="U573" s="410"/>
      <c r="V573" s="410" t="s">
        <v>684</v>
      </c>
      <c r="W573" s="413"/>
      <c r="X573" s="410"/>
      <c r="Y573" s="410"/>
      <c r="Z573" s="410"/>
      <c r="AA573" s="414"/>
      <c r="AB573" s="414"/>
      <c r="AC573" s="415"/>
      <c r="AD573" s="415"/>
      <c r="AE573" s="415"/>
      <c r="AF573" s="416"/>
      <c r="AG573" s="410"/>
      <c r="AH573" s="417"/>
      <c r="AI573" s="410"/>
      <c r="AJ573" s="410"/>
      <c r="AK573" s="413"/>
      <c r="AL573" s="410"/>
      <c r="AM573" s="410"/>
      <c r="AN573" s="410"/>
      <c r="AO573" s="410"/>
      <c r="AP573" s="410"/>
      <c r="AQ573" s="410"/>
      <c r="AR573" s="418"/>
      <c r="AS573" s="410"/>
      <c r="AT573" s="410"/>
      <c r="AU573" s="410"/>
      <c r="AV573" s="419"/>
      <c r="AW573" s="117">
        <f>VLOOKUP($D573,'WB Data'!$C$3:$M$578,2,FALSE)</f>
        <v>41337958251.631958</v>
      </c>
      <c r="AX573" s="117">
        <f>VLOOKUP($D573,'WB Data'!$C$3:$M$578,3,FALSE)</f>
        <v>14341576</v>
      </c>
      <c r="AY573" s="847">
        <f t="shared" si="90"/>
        <v>3.7689483852011299E-3</v>
      </c>
      <c r="AZ573" s="117">
        <f>VLOOKUP($D573,'WB Data'!$C$3:$M$578,4,FALSE)/100</f>
        <v>0.11070848524418105</v>
      </c>
      <c r="BA573" s="117">
        <f t="shared" si="91"/>
        <v>4576462741.1253691</v>
      </c>
      <c r="BB573" s="129">
        <f>IFERROR(VLOOKUP($D573,'EITI Revenues'!$C$2:$G$224,5,FALSE),"..")</f>
        <v>155800631</v>
      </c>
      <c r="BC573" s="846">
        <f t="shared" si="92"/>
        <v>3.4043898052513816E-2</v>
      </c>
      <c r="BD573" s="129">
        <f>VLOOKUP($D573,'WB Data 2'!$C$2:$K$545,6,FALSE)</f>
        <v>933400729.1812427</v>
      </c>
      <c r="BE573" s="129">
        <f>IFERROR(VLOOKUP($D573,UNCTAD!$C$5:$V$529,4,FALSE),"..")</f>
        <v>10803023919</v>
      </c>
      <c r="BF573" s="846">
        <f t="shared" si="93"/>
        <v>8.6401801586277013E-2</v>
      </c>
      <c r="BG573" s="117">
        <f>VLOOKUP($D573,'WB Data'!$C$3:$M$578,5,FALSE)</f>
        <v>393520000</v>
      </c>
      <c r="BH573" s="129">
        <f>IFERROR($BB573/$BG573,"..")</f>
        <v>0.395915407094938</v>
      </c>
      <c r="BI573" s="117">
        <f>IFERROR(VLOOKUP($D573,'WB Data'!$C$3:$M$578,7,FALSE)/100,"..")</f>
        <v>2.8030599999999999E-2</v>
      </c>
      <c r="BJ573" s="117">
        <f>IFERROR($BI573*$AW573,"..")</f>
        <v>1158727772.5681946</v>
      </c>
      <c r="BK573" s="846">
        <f>IFERROR($BB573/$BJ573,"..")</f>
        <v>0.13445835569702863</v>
      </c>
      <c r="BL573" s="117">
        <f>IFERROR(VLOOKUP($D573,'WB Data'!$C$3:$M$578,7,FALSE)/100,"..")</f>
        <v>2.8030599999999999E-2</v>
      </c>
      <c r="BM573" s="117">
        <f>IFERROR($AW573*$BL573,"..")</f>
        <v>1158727772.5681946</v>
      </c>
      <c r="BN573" s="846">
        <f>IFERROR($BB573/$BM573,"..")</f>
        <v>0.13445835569702863</v>
      </c>
      <c r="BO573" s="801">
        <f t="shared" si="89"/>
        <v>32</v>
      </c>
      <c r="BP573" s="117" t="str">
        <f>VLOOKUP($D573,'WB Data'!$C$3:$M$578,9,FALSE)</f>
        <v>..</v>
      </c>
      <c r="BQ573" s="117">
        <f>VLOOKUP($D573,'WB Data'!$C$3:$M$578,10,FALSE)</f>
        <v>70.995975609756101</v>
      </c>
      <c r="BR573" s="117">
        <f>VLOOKUP($D573,'WB Data'!$C$3:$M$578,11,FALSE)</f>
        <v>28.4</v>
      </c>
      <c r="BS573" s="129">
        <f>IFERROR(VLOOKUP($D573,'WB Data 2'!$C$2:$K$545,9,FALSE),"..")</f>
        <v>98.247460000000004</v>
      </c>
      <c r="BT573" s="129" t="str">
        <f>_xlfn.IFNA(VLOOKUP($C573,RGI!$A$2:$C$43,2,FALSE),"..")</f>
        <v>..</v>
      </c>
      <c r="BU573" s="129" t="str">
        <f>_xlfn.IFNA(VLOOKUP($C573,RGI!$A$2:$C$43,3,FALSE),"..")</f>
        <v>..</v>
      </c>
      <c r="BV573" s="129">
        <f>VLOOKUP($D573,WGI!$C$2:$O$478,7,FALSE)</f>
        <v>-0.33446461090524898</v>
      </c>
      <c r="BW573" s="129">
        <f>VLOOKUP($D573,WGI!$C$2:$O$478,4,FALSE)</f>
        <v>-0.87314139642851796</v>
      </c>
      <c r="BX573" s="129">
        <f>VLOOKUP($D573,WGI!$C$2:$O$478,3,FALSE)</f>
        <v>-0.69874816414761298</v>
      </c>
      <c r="BY573" s="129">
        <f>VLOOKUP($D573,WGI!$C$2:$O$478,5,FALSE)</f>
        <v>-0.13028208712700701</v>
      </c>
      <c r="BZ573" s="129">
        <f>VLOOKUP($D573,WGI!$C$2:$O$478,2,FALSE)</f>
        <v>-0.48129935133288498</v>
      </c>
    </row>
    <row r="574" spans="1:78" ht="15" customHeight="1">
      <c r="A574" s="407" t="s">
        <v>218</v>
      </c>
      <c r="B574" s="408">
        <v>2010</v>
      </c>
      <c r="C574" s="805" t="s">
        <v>219</v>
      </c>
      <c r="D574" s="117" t="s">
        <v>3664</v>
      </c>
      <c r="E574" s="409" t="s">
        <v>220</v>
      </c>
      <c r="F574" s="410"/>
      <c r="G574" s="410" t="s">
        <v>24</v>
      </c>
      <c r="H574" s="117" t="str">
        <f t="shared" si="96"/>
        <v>yes</v>
      </c>
      <c r="I574" s="117" t="str">
        <f t="shared" si="97"/>
        <v>no</v>
      </c>
      <c r="J574" s="117" t="str">
        <f t="shared" si="98"/>
        <v>no</v>
      </c>
      <c r="K574" s="410" t="s">
        <v>1147</v>
      </c>
      <c r="L574" s="117" t="str">
        <f t="shared" si="94"/>
        <v>detailed</v>
      </c>
      <c r="M574" s="117" t="str">
        <f t="shared" si="99"/>
        <v>detailed Mining</v>
      </c>
      <c r="N574" s="411">
        <v>50000</v>
      </c>
      <c r="O574" s="411"/>
      <c r="P574" s="411"/>
      <c r="Q574" s="411"/>
      <c r="R574" s="411"/>
      <c r="S574" s="410" t="s">
        <v>610</v>
      </c>
      <c r="T574" s="412">
        <v>70.162499999999994</v>
      </c>
      <c r="U574" s="410" t="s">
        <v>611</v>
      </c>
      <c r="V574" s="410" t="s">
        <v>1239</v>
      </c>
      <c r="W574" s="413">
        <f t="shared" ref="W574:W579" si="100">N574*T574</f>
        <v>3508124.9999999995</v>
      </c>
      <c r="X574" s="410"/>
      <c r="Y574" s="410"/>
      <c r="Z574" s="410"/>
      <c r="AA574" s="414"/>
      <c r="AB574" s="414"/>
      <c r="AC574" s="415"/>
      <c r="AD574" s="415"/>
      <c r="AE574" s="415"/>
      <c r="AF574" s="416"/>
      <c r="AG574" s="410"/>
      <c r="AH574" s="417"/>
      <c r="AI574" s="410"/>
      <c r="AJ574" s="410"/>
      <c r="AK574" s="413"/>
      <c r="AL574" s="410"/>
      <c r="AM574" s="410"/>
      <c r="AN574" s="410"/>
      <c r="AO574" s="410"/>
      <c r="AP574" s="410"/>
      <c r="AQ574" s="410"/>
      <c r="AR574" s="418"/>
      <c r="AS574" s="410"/>
      <c r="AT574" s="410"/>
      <c r="AU574" s="410"/>
      <c r="AV574" s="419"/>
      <c r="AW574" s="117">
        <f>VLOOKUP($D574,'WB Data'!$C$3:$M$578,2,FALSE)</f>
        <v>41337958251.631958</v>
      </c>
      <c r="AX574" s="117">
        <f>VLOOKUP($D574,'WB Data'!$C$3:$M$578,3,FALSE)</f>
        <v>14341576</v>
      </c>
      <c r="AY574" s="847">
        <f t="shared" si="90"/>
        <v>3.7689483852011299E-3</v>
      </c>
      <c r="AZ574" s="117">
        <f>VLOOKUP($D574,'WB Data'!$C$3:$M$578,4,FALSE)/100</f>
        <v>0.11070848524418105</v>
      </c>
      <c r="BA574" s="117">
        <f t="shared" si="91"/>
        <v>4576462741.1253691</v>
      </c>
      <c r="BB574" s="129">
        <f>IFERROR(VLOOKUP($D574,'EITI Revenues'!$C$2:$G$224,5,FALSE),"..")</f>
        <v>155800631</v>
      </c>
      <c r="BC574" s="846">
        <f t="shared" si="92"/>
        <v>3.4043898052513816E-2</v>
      </c>
      <c r="BD574" s="129">
        <f>VLOOKUP($D574,'WB Data 2'!$C$2:$K$545,6,FALSE)</f>
        <v>933400729.1812427</v>
      </c>
      <c r="BE574" s="129">
        <f>IFERROR(VLOOKUP($D574,UNCTAD!$C$5:$V$529,4,FALSE),"..")</f>
        <v>10803023919</v>
      </c>
      <c r="BF574" s="846">
        <f t="shared" si="93"/>
        <v>8.6401801586277013E-2</v>
      </c>
      <c r="BG574" s="117">
        <f>VLOOKUP($D574,'WB Data'!$C$3:$M$578,5,FALSE)</f>
        <v>393520000</v>
      </c>
      <c r="BH574" s="129">
        <f>IFERROR($BB574/$BG574,"..")</f>
        <v>0.395915407094938</v>
      </c>
      <c r="BI574" s="117">
        <f>IFERROR(VLOOKUP($D574,'WB Data'!$C$3:$M$578,7,FALSE)/100,"..")</f>
        <v>2.8030599999999999E-2</v>
      </c>
      <c r="BJ574" s="117">
        <f>IFERROR($BI574*$AW574,"..")</f>
        <v>1158727772.5681946</v>
      </c>
      <c r="BK574" s="846">
        <f>IFERROR($BB574/$BJ574,"..")</f>
        <v>0.13445835569702863</v>
      </c>
      <c r="BL574" s="117">
        <f>IFERROR(VLOOKUP($D574,'WB Data'!$C$3:$M$578,7,FALSE)/100,"..")</f>
        <v>2.8030599999999999E-2</v>
      </c>
      <c r="BM574" s="117">
        <f>IFERROR($AW574*$BL574,"..")</f>
        <v>1158727772.5681946</v>
      </c>
      <c r="BN574" s="846">
        <f>IFERROR($BB574/$BM574,"..")</f>
        <v>0.13445835569702863</v>
      </c>
      <c r="BO574" s="801">
        <f t="shared" si="89"/>
        <v>32</v>
      </c>
      <c r="BP574" s="117" t="str">
        <f>VLOOKUP($D574,'WB Data'!$C$3:$M$578,9,FALSE)</f>
        <v>..</v>
      </c>
      <c r="BQ574" s="117">
        <f>VLOOKUP($D574,'WB Data'!$C$3:$M$578,10,FALSE)</f>
        <v>70.995975609756101</v>
      </c>
      <c r="BR574" s="117">
        <f>VLOOKUP($D574,'WB Data'!$C$3:$M$578,11,FALSE)</f>
        <v>28.4</v>
      </c>
      <c r="BS574" s="129">
        <f>IFERROR(VLOOKUP($D574,'WB Data 2'!$C$2:$K$545,9,FALSE),"..")</f>
        <v>98.247460000000004</v>
      </c>
      <c r="BT574" s="129" t="str">
        <f>_xlfn.IFNA(VLOOKUP($C574,RGI!$A$2:$C$43,2,FALSE),"..")</f>
        <v>..</v>
      </c>
      <c r="BU574" s="129" t="str">
        <f>_xlfn.IFNA(VLOOKUP($C574,RGI!$A$2:$C$43,3,FALSE),"..")</f>
        <v>..</v>
      </c>
      <c r="BV574" s="129">
        <f>VLOOKUP($D574,WGI!$C$2:$O$478,7,FALSE)</f>
        <v>-0.33446461090524898</v>
      </c>
      <c r="BW574" s="129">
        <f>VLOOKUP($D574,WGI!$C$2:$O$478,4,FALSE)</f>
        <v>-0.87314139642851796</v>
      </c>
      <c r="BX574" s="129">
        <f>VLOOKUP($D574,WGI!$C$2:$O$478,3,FALSE)</f>
        <v>-0.69874816414761298</v>
      </c>
      <c r="BY574" s="129">
        <f>VLOOKUP($D574,WGI!$C$2:$O$478,5,FALSE)</f>
        <v>-0.13028208712700701</v>
      </c>
      <c r="BZ574" s="129">
        <f>VLOOKUP($D574,WGI!$C$2:$O$478,2,FALSE)</f>
        <v>-0.48129935133288498</v>
      </c>
    </row>
    <row r="575" spans="1:78" ht="15" customHeight="1">
      <c r="A575" s="407" t="s">
        <v>218</v>
      </c>
      <c r="B575" s="408">
        <v>2010</v>
      </c>
      <c r="C575" s="805" t="s">
        <v>219</v>
      </c>
      <c r="D575" s="117" t="s">
        <v>3664</v>
      </c>
      <c r="E575" s="409" t="s">
        <v>220</v>
      </c>
      <c r="F575" s="410"/>
      <c r="G575" s="410" t="s">
        <v>24</v>
      </c>
      <c r="H575" s="117" t="str">
        <f t="shared" si="96"/>
        <v>yes</v>
      </c>
      <c r="I575" s="117" t="str">
        <f t="shared" si="97"/>
        <v>no</v>
      </c>
      <c r="J575" s="117" t="str">
        <f t="shared" si="98"/>
        <v>no</v>
      </c>
      <c r="K575" s="410" t="s">
        <v>907</v>
      </c>
      <c r="L575" s="117" t="str">
        <f t="shared" si="94"/>
        <v>detailed</v>
      </c>
      <c r="M575" s="117" t="str">
        <f t="shared" si="99"/>
        <v>detailed Mining</v>
      </c>
      <c r="N575" s="411">
        <f>1601344*1.65</f>
        <v>2642217.5999999996</v>
      </c>
      <c r="O575" s="411"/>
      <c r="P575" s="411"/>
      <c r="Q575" s="411"/>
      <c r="R575" s="411"/>
      <c r="S575" s="410" t="s">
        <v>610</v>
      </c>
      <c r="T575" s="412">
        <v>7.31</v>
      </c>
      <c r="U575" s="410" t="s">
        <v>611</v>
      </c>
      <c r="V575" s="410" t="s">
        <v>1240</v>
      </c>
      <c r="W575" s="413">
        <f t="shared" si="100"/>
        <v>19314610.655999996</v>
      </c>
      <c r="X575" s="410"/>
      <c r="Y575" s="410"/>
      <c r="Z575" s="410"/>
      <c r="AA575" s="414"/>
      <c r="AB575" s="414"/>
      <c r="AC575" s="415"/>
      <c r="AD575" s="415"/>
      <c r="AE575" s="415"/>
      <c r="AF575" s="416"/>
      <c r="AG575" s="410"/>
      <c r="AH575" s="417"/>
      <c r="AI575" s="410"/>
      <c r="AJ575" s="410"/>
      <c r="AK575" s="413"/>
      <c r="AL575" s="410"/>
      <c r="AM575" s="410"/>
      <c r="AN575" s="410"/>
      <c r="AO575" s="410"/>
      <c r="AP575" s="410"/>
      <c r="AQ575" s="410"/>
      <c r="AR575" s="418"/>
      <c r="AS575" s="410"/>
      <c r="AT575" s="410"/>
      <c r="AU575" s="410"/>
      <c r="AV575" s="419"/>
      <c r="AW575" s="117">
        <f>VLOOKUP($D575,'WB Data'!$C$3:$M$578,2,FALSE)</f>
        <v>41337958251.631958</v>
      </c>
      <c r="AX575" s="117">
        <f>VLOOKUP($D575,'WB Data'!$C$3:$M$578,3,FALSE)</f>
        <v>14341576</v>
      </c>
      <c r="AY575" s="847">
        <f t="shared" si="90"/>
        <v>3.7689483852011299E-3</v>
      </c>
      <c r="AZ575" s="117">
        <f>VLOOKUP($D575,'WB Data'!$C$3:$M$578,4,FALSE)/100</f>
        <v>0.11070848524418105</v>
      </c>
      <c r="BA575" s="117">
        <f t="shared" si="91"/>
        <v>4576462741.1253691</v>
      </c>
      <c r="BB575" s="129">
        <f>IFERROR(VLOOKUP($D575,'EITI Revenues'!$C$2:$G$224,5,FALSE),"..")</f>
        <v>155800631</v>
      </c>
      <c r="BC575" s="846">
        <f t="shared" si="92"/>
        <v>3.4043898052513816E-2</v>
      </c>
      <c r="BD575" s="129">
        <f>VLOOKUP($D575,'WB Data 2'!$C$2:$K$545,6,FALSE)</f>
        <v>933400729.1812427</v>
      </c>
      <c r="BE575" s="129">
        <f>IFERROR(VLOOKUP($D575,UNCTAD!$C$5:$V$529,4,FALSE),"..")</f>
        <v>10803023919</v>
      </c>
      <c r="BF575" s="846">
        <f t="shared" si="93"/>
        <v>8.6401801586277013E-2</v>
      </c>
      <c r="BG575" s="117">
        <f>VLOOKUP($D575,'WB Data'!$C$3:$M$578,5,FALSE)</f>
        <v>393520000</v>
      </c>
      <c r="BH575" s="129">
        <f>IFERROR($BB575/$BG575,"..")</f>
        <v>0.395915407094938</v>
      </c>
      <c r="BI575" s="117">
        <f>IFERROR(VLOOKUP($D575,'WB Data'!$C$3:$M$578,7,FALSE)/100,"..")</f>
        <v>2.8030599999999999E-2</v>
      </c>
      <c r="BJ575" s="117">
        <f>IFERROR($BI575*$AW575,"..")</f>
        <v>1158727772.5681946</v>
      </c>
      <c r="BK575" s="846">
        <f>IFERROR($BB575/$BJ575,"..")</f>
        <v>0.13445835569702863</v>
      </c>
      <c r="BL575" s="117">
        <f>IFERROR(VLOOKUP($D575,'WB Data'!$C$3:$M$578,7,FALSE)/100,"..")</f>
        <v>2.8030599999999999E-2</v>
      </c>
      <c r="BM575" s="117">
        <f>IFERROR($AW575*$BL575,"..")</f>
        <v>1158727772.5681946</v>
      </c>
      <c r="BN575" s="846">
        <f>IFERROR($BB575/$BM575,"..")</f>
        <v>0.13445835569702863</v>
      </c>
      <c r="BO575" s="801">
        <f t="shared" si="89"/>
        <v>32</v>
      </c>
      <c r="BP575" s="117" t="str">
        <f>VLOOKUP($D575,'WB Data'!$C$3:$M$578,9,FALSE)</f>
        <v>..</v>
      </c>
      <c r="BQ575" s="117">
        <f>VLOOKUP($D575,'WB Data'!$C$3:$M$578,10,FALSE)</f>
        <v>70.995975609756101</v>
      </c>
      <c r="BR575" s="117">
        <f>VLOOKUP($D575,'WB Data'!$C$3:$M$578,11,FALSE)</f>
        <v>28.4</v>
      </c>
      <c r="BS575" s="129">
        <f>IFERROR(VLOOKUP($D575,'WB Data 2'!$C$2:$K$545,9,FALSE),"..")</f>
        <v>98.247460000000004</v>
      </c>
      <c r="BT575" s="129" t="str">
        <f>_xlfn.IFNA(VLOOKUP($C575,RGI!$A$2:$C$43,2,FALSE),"..")</f>
        <v>..</v>
      </c>
      <c r="BU575" s="129" t="str">
        <f>_xlfn.IFNA(VLOOKUP($C575,RGI!$A$2:$C$43,3,FALSE),"..")</f>
        <v>..</v>
      </c>
      <c r="BV575" s="129">
        <f>VLOOKUP($D575,WGI!$C$2:$O$478,7,FALSE)</f>
        <v>-0.33446461090524898</v>
      </c>
      <c r="BW575" s="129">
        <f>VLOOKUP($D575,WGI!$C$2:$O$478,4,FALSE)</f>
        <v>-0.87314139642851796</v>
      </c>
      <c r="BX575" s="129">
        <f>VLOOKUP($D575,WGI!$C$2:$O$478,3,FALSE)</f>
        <v>-0.69874816414761298</v>
      </c>
      <c r="BY575" s="129">
        <f>VLOOKUP($D575,WGI!$C$2:$O$478,5,FALSE)</f>
        <v>-0.13028208712700701</v>
      </c>
      <c r="BZ575" s="129">
        <f>VLOOKUP($D575,WGI!$C$2:$O$478,2,FALSE)</f>
        <v>-0.48129935133288498</v>
      </c>
    </row>
    <row r="576" spans="1:78" ht="15" customHeight="1">
      <c r="A576" s="407" t="s">
        <v>218</v>
      </c>
      <c r="B576" s="408">
        <v>2010</v>
      </c>
      <c r="C576" s="805" t="s">
        <v>219</v>
      </c>
      <c r="D576" s="117" t="s">
        <v>3664</v>
      </c>
      <c r="E576" s="409" t="s">
        <v>220</v>
      </c>
      <c r="F576" s="410"/>
      <c r="G576" s="410" t="s">
        <v>24</v>
      </c>
      <c r="H576" s="117" t="str">
        <f t="shared" si="96"/>
        <v>yes</v>
      </c>
      <c r="I576" s="117" t="str">
        <f t="shared" si="97"/>
        <v>no</v>
      </c>
      <c r="J576" s="117" t="str">
        <f t="shared" si="98"/>
        <v>no</v>
      </c>
      <c r="K576" s="410" t="s">
        <v>789</v>
      </c>
      <c r="L576" s="117" t="str">
        <f t="shared" si="94"/>
        <v>detailed</v>
      </c>
      <c r="M576" s="117" t="str">
        <f t="shared" si="99"/>
        <v>detailed Mining</v>
      </c>
      <c r="N576" s="411">
        <f>194683*32.150743126506</f>
        <v>6259203.124097568</v>
      </c>
      <c r="O576" s="411"/>
      <c r="P576" s="411"/>
      <c r="Q576" s="411"/>
      <c r="R576" s="411"/>
      <c r="S576" s="410" t="s">
        <v>785</v>
      </c>
      <c r="T576" s="412">
        <f>20.15295833333/1</f>
        <v>20.152958333330002</v>
      </c>
      <c r="U576" s="410" t="s">
        <v>786</v>
      </c>
      <c r="V576" s="410" t="s">
        <v>798</v>
      </c>
      <c r="W576" s="413">
        <f t="shared" si="100"/>
        <v>126141459.75978726</v>
      </c>
      <c r="X576" s="410"/>
      <c r="Y576" s="410"/>
      <c r="Z576" s="410"/>
      <c r="AA576" s="414"/>
      <c r="AB576" s="414"/>
      <c r="AC576" s="415"/>
      <c r="AD576" s="415"/>
      <c r="AE576" s="415"/>
      <c r="AF576" s="416"/>
      <c r="AG576" s="410"/>
      <c r="AH576" s="417"/>
      <c r="AI576" s="410"/>
      <c r="AJ576" s="410"/>
      <c r="AK576" s="413"/>
      <c r="AL576" s="410"/>
      <c r="AM576" s="410"/>
      <c r="AN576" s="410"/>
      <c r="AO576" s="410"/>
      <c r="AP576" s="410"/>
      <c r="AQ576" s="410"/>
      <c r="AR576" s="418"/>
      <c r="AS576" s="410"/>
      <c r="AT576" s="410"/>
      <c r="AU576" s="410"/>
      <c r="AV576" s="419"/>
      <c r="AW576" s="117">
        <f>VLOOKUP($D576,'WB Data'!$C$3:$M$578,2,FALSE)</f>
        <v>41337958251.631958</v>
      </c>
      <c r="AX576" s="117">
        <f>VLOOKUP($D576,'WB Data'!$C$3:$M$578,3,FALSE)</f>
        <v>14341576</v>
      </c>
      <c r="AY576" s="847">
        <f t="shared" si="90"/>
        <v>3.7689483852011299E-3</v>
      </c>
      <c r="AZ576" s="117">
        <f>VLOOKUP($D576,'WB Data'!$C$3:$M$578,4,FALSE)/100</f>
        <v>0.11070848524418105</v>
      </c>
      <c r="BA576" s="117">
        <f t="shared" si="91"/>
        <v>4576462741.1253691</v>
      </c>
      <c r="BB576" s="129">
        <f>IFERROR(VLOOKUP($D576,'EITI Revenues'!$C$2:$G$224,5,FALSE),"..")</f>
        <v>155800631</v>
      </c>
      <c r="BC576" s="846">
        <f t="shared" si="92"/>
        <v>3.4043898052513816E-2</v>
      </c>
      <c r="BD576" s="129">
        <f>VLOOKUP($D576,'WB Data 2'!$C$2:$K$545,6,FALSE)</f>
        <v>933400729.1812427</v>
      </c>
      <c r="BE576" s="129">
        <f>IFERROR(VLOOKUP($D576,UNCTAD!$C$5:$V$529,4,FALSE),"..")</f>
        <v>10803023919</v>
      </c>
      <c r="BF576" s="846">
        <f t="shared" si="93"/>
        <v>8.6401801586277013E-2</v>
      </c>
      <c r="BG576" s="117">
        <f>VLOOKUP($D576,'WB Data'!$C$3:$M$578,5,FALSE)</f>
        <v>393520000</v>
      </c>
      <c r="BH576" s="129">
        <f>IFERROR($BB576/$BG576,"..")</f>
        <v>0.395915407094938</v>
      </c>
      <c r="BI576" s="117">
        <f>IFERROR(VLOOKUP($D576,'WB Data'!$C$3:$M$578,7,FALSE)/100,"..")</f>
        <v>2.8030599999999999E-2</v>
      </c>
      <c r="BJ576" s="117">
        <f>IFERROR($BI576*$AW576,"..")</f>
        <v>1158727772.5681946</v>
      </c>
      <c r="BK576" s="846">
        <f>IFERROR($BB576/$BJ576,"..")</f>
        <v>0.13445835569702863</v>
      </c>
      <c r="BL576" s="117">
        <f>IFERROR(VLOOKUP($D576,'WB Data'!$C$3:$M$578,7,FALSE)/100,"..")</f>
        <v>2.8030599999999999E-2</v>
      </c>
      <c r="BM576" s="117">
        <f>IFERROR($AW576*$BL576,"..")</f>
        <v>1158727772.5681946</v>
      </c>
      <c r="BN576" s="846">
        <f>IFERROR($BB576/$BM576,"..")</f>
        <v>0.13445835569702863</v>
      </c>
      <c r="BO576" s="801">
        <f t="shared" si="89"/>
        <v>32</v>
      </c>
      <c r="BP576" s="117" t="str">
        <f>VLOOKUP($D576,'WB Data'!$C$3:$M$578,9,FALSE)</f>
        <v>..</v>
      </c>
      <c r="BQ576" s="117">
        <f>VLOOKUP($D576,'WB Data'!$C$3:$M$578,10,FALSE)</f>
        <v>70.995975609756101</v>
      </c>
      <c r="BR576" s="117">
        <f>VLOOKUP($D576,'WB Data'!$C$3:$M$578,11,FALSE)</f>
        <v>28.4</v>
      </c>
      <c r="BS576" s="129">
        <f>IFERROR(VLOOKUP($D576,'WB Data 2'!$C$2:$K$545,9,FALSE),"..")</f>
        <v>98.247460000000004</v>
      </c>
      <c r="BT576" s="129" t="str">
        <f>_xlfn.IFNA(VLOOKUP($C576,RGI!$A$2:$C$43,2,FALSE),"..")</f>
        <v>..</v>
      </c>
      <c r="BU576" s="129" t="str">
        <f>_xlfn.IFNA(VLOOKUP($C576,RGI!$A$2:$C$43,3,FALSE),"..")</f>
        <v>..</v>
      </c>
      <c r="BV576" s="129">
        <f>VLOOKUP($D576,WGI!$C$2:$O$478,7,FALSE)</f>
        <v>-0.33446461090524898</v>
      </c>
      <c r="BW576" s="129">
        <f>VLOOKUP($D576,WGI!$C$2:$O$478,4,FALSE)</f>
        <v>-0.87314139642851796</v>
      </c>
      <c r="BX576" s="129">
        <f>VLOOKUP($D576,WGI!$C$2:$O$478,3,FALSE)</f>
        <v>-0.69874816414761298</v>
      </c>
      <c r="BY576" s="129">
        <f>VLOOKUP($D576,WGI!$C$2:$O$478,5,FALSE)</f>
        <v>-0.13028208712700701</v>
      </c>
      <c r="BZ576" s="129">
        <f>VLOOKUP($D576,WGI!$C$2:$O$478,2,FALSE)</f>
        <v>-0.48129935133288498</v>
      </c>
    </row>
    <row r="577" spans="1:80" ht="15" customHeight="1">
      <c r="A577" s="407" t="s">
        <v>218</v>
      </c>
      <c r="B577" s="408">
        <v>2010</v>
      </c>
      <c r="C577" s="805" t="s">
        <v>219</v>
      </c>
      <c r="D577" s="117" t="s">
        <v>3664</v>
      </c>
      <c r="E577" s="409" t="s">
        <v>220</v>
      </c>
      <c r="F577" s="410"/>
      <c r="G577" s="410" t="s">
        <v>24</v>
      </c>
      <c r="H577" s="117" t="str">
        <f t="shared" si="96"/>
        <v>yes</v>
      </c>
      <c r="I577" s="117" t="str">
        <f t="shared" si="97"/>
        <v>no</v>
      </c>
      <c r="J577" s="117" t="str">
        <f t="shared" si="98"/>
        <v>no</v>
      </c>
      <c r="K577" s="410" t="s">
        <v>1241</v>
      </c>
      <c r="L577" s="117" t="str">
        <f t="shared" si="94"/>
        <v>detailed</v>
      </c>
      <c r="M577" s="117" t="str">
        <f t="shared" si="99"/>
        <v>detailed Mining</v>
      </c>
      <c r="N577" s="411">
        <f>149000*2.69</f>
        <v>400810</v>
      </c>
      <c r="O577" s="411"/>
      <c r="P577" s="411"/>
      <c r="Q577" s="411"/>
      <c r="R577" s="411"/>
      <c r="S577" s="410" t="s">
        <v>610</v>
      </c>
      <c r="T577" s="412">
        <v>10.9</v>
      </c>
      <c r="U577" s="410" t="s">
        <v>611</v>
      </c>
      <c r="V577" s="410" t="s">
        <v>1242</v>
      </c>
      <c r="W577" s="413">
        <f t="shared" si="100"/>
        <v>4368829</v>
      </c>
      <c r="X577" s="410"/>
      <c r="Y577" s="410"/>
      <c r="Z577" s="410"/>
      <c r="AA577" s="414"/>
      <c r="AB577" s="414"/>
      <c r="AC577" s="415"/>
      <c r="AD577" s="415"/>
      <c r="AE577" s="415"/>
      <c r="AF577" s="416"/>
      <c r="AG577" s="410"/>
      <c r="AH577" s="417"/>
      <c r="AI577" s="410"/>
      <c r="AJ577" s="410"/>
      <c r="AK577" s="413"/>
      <c r="AL577" s="410"/>
      <c r="AM577" s="410"/>
      <c r="AN577" s="410"/>
      <c r="AO577" s="410"/>
      <c r="AP577" s="410"/>
      <c r="AQ577" s="410"/>
      <c r="AR577" s="418"/>
      <c r="AS577" s="410"/>
      <c r="AT577" s="410"/>
      <c r="AU577" s="410"/>
      <c r="AV577" s="419"/>
      <c r="AW577" s="117">
        <f>VLOOKUP($D577,'WB Data'!$C$3:$M$578,2,FALSE)</f>
        <v>41337958251.631958</v>
      </c>
      <c r="AX577" s="117">
        <f>VLOOKUP($D577,'WB Data'!$C$3:$M$578,3,FALSE)</f>
        <v>14341576</v>
      </c>
      <c r="AY577" s="847">
        <f t="shared" si="90"/>
        <v>3.7689483852011299E-3</v>
      </c>
      <c r="AZ577" s="117">
        <f>VLOOKUP($D577,'WB Data'!$C$3:$M$578,4,FALSE)/100</f>
        <v>0.11070848524418105</v>
      </c>
      <c r="BA577" s="117">
        <f t="shared" si="91"/>
        <v>4576462741.1253691</v>
      </c>
      <c r="BB577" s="129">
        <f>IFERROR(VLOOKUP($D577,'EITI Revenues'!$C$2:$G$224,5,FALSE),"..")</f>
        <v>155800631</v>
      </c>
      <c r="BC577" s="846">
        <f t="shared" si="92"/>
        <v>3.4043898052513816E-2</v>
      </c>
      <c r="BD577" s="129">
        <f>VLOOKUP($D577,'WB Data 2'!$C$2:$K$545,6,FALSE)</f>
        <v>933400729.1812427</v>
      </c>
      <c r="BE577" s="129">
        <f>IFERROR(VLOOKUP($D577,UNCTAD!$C$5:$V$529,4,FALSE),"..")</f>
        <v>10803023919</v>
      </c>
      <c r="BF577" s="846">
        <f t="shared" si="93"/>
        <v>8.6401801586277013E-2</v>
      </c>
      <c r="BG577" s="117">
        <f>VLOOKUP($D577,'WB Data'!$C$3:$M$578,5,FALSE)</f>
        <v>393520000</v>
      </c>
      <c r="BH577" s="129">
        <f>IFERROR($BB577/$BG577,"..")</f>
        <v>0.395915407094938</v>
      </c>
      <c r="BI577" s="117">
        <f>IFERROR(VLOOKUP($D577,'WB Data'!$C$3:$M$578,7,FALSE)/100,"..")</f>
        <v>2.8030599999999999E-2</v>
      </c>
      <c r="BJ577" s="117">
        <f>IFERROR($BI577*$AW577,"..")</f>
        <v>1158727772.5681946</v>
      </c>
      <c r="BK577" s="846">
        <f>IFERROR($BB577/$BJ577,"..")</f>
        <v>0.13445835569702863</v>
      </c>
      <c r="BL577" s="117">
        <f>IFERROR(VLOOKUP($D577,'WB Data'!$C$3:$M$578,7,FALSE)/100,"..")</f>
        <v>2.8030599999999999E-2</v>
      </c>
      <c r="BM577" s="117">
        <f>IFERROR($AW577*$BL577,"..")</f>
        <v>1158727772.5681946</v>
      </c>
      <c r="BN577" s="846">
        <f>IFERROR($BB577/$BM577,"..")</f>
        <v>0.13445835569702863</v>
      </c>
      <c r="BO577" s="801">
        <f t="shared" si="89"/>
        <v>32</v>
      </c>
      <c r="BP577" s="117" t="str">
        <f>VLOOKUP($D577,'WB Data'!$C$3:$M$578,9,FALSE)</f>
        <v>..</v>
      </c>
      <c r="BQ577" s="117">
        <f>VLOOKUP($D577,'WB Data'!$C$3:$M$578,10,FALSE)</f>
        <v>70.995975609756101</v>
      </c>
      <c r="BR577" s="117">
        <f>VLOOKUP($D577,'WB Data'!$C$3:$M$578,11,FALSE)</f>
        <v>28.4</v>
      </c>
      <c r="BS577" s="129">
        <f>IFERROR(VLOOKUP($D577,'WB Data 2'!$C$2:$K$545,9,FALSE),"..")</f>
        <v>98.247460000000004</v>
      </c>
      <c r="BT577" s="129" t="str">
        <f>_xlfn.IFNA(VLOOKUP($C577,RGI!$A$2:$C$43,2,FALSE),"..")</f>
        <v>..</v>
      </c>
      <c r="BU577" s="129" t="str">
        <f>_xlfn.IFNA(VLOOKUP($C577,RGI!$A$2:$C$43,3,FALSE),"..")</f>
        <v>..</v>
      </c>
      <c r="BV577" s="129">
        <f>VLOOKUP($D577,WGI!$C$2:$O$478,7,FALSE)</f>
        <v>-0.33446461090524898</v>
      </c>
      <c r="BW577" s="129">
        <f>VLOOKUP($D577,WGI!$C$2:$O$478,4,FALSE)</f>
        <v>-0.87314139642851796</v>
      </c>
      <c r="BX577" s="129">
        <f>VLOOKUP($D577,WGI!$C$2:$O$478,3,FALSE)</f>
        <v>-0.69874816414761298</v>
      </c>
      <c r="BY577" s="129">
        <f>VLOOKUP($D577,WGI!$C$2:$O$478,5,FALSE)</f>
        <v>-0.13028208712700701</v>
      </c>
      <c r="BZ577" s="129">
        <f>VLOOKUP($D577,WGI!$C$2:$O$478,2,FALSE)</f>
        <v>-0.48129935133288498</v>
      </c>
    </row>
    <row r="578" spans="1:80" ht="15" customHeight="1">
      <c r="A578" s="407" t="s">
        <v>218</v>
      </c>
      <c r="B578" s="408">
        <v>2010</v>
      </c>
      <c r="C578" s="805" t="s">
        <v>219</v>
      </c>
      <c r="D578" s="117" t="s">
        <v>3664</v>
      </c>
      <c r="E578" s="409" t="s">
        <v>220</v>
      </c>
      <c r="F578" s="410"/>
      <c r="G578" s="410" t="s">
        <v>24</v>
      </c>
      <c r="H578" s="117" t="str">
        <f t="shared" si="96"/>
        <v>yes</v>
      </c>
      <c r="I578" s="117" t="str">
        <f t="shared" si="97"/>
        <v>no</v>
      </c>
      <c r="J578" s="117" t="str">
        <f t="shared" si="98"/>
        <v>no</v>
      </c>
      <c r="K578" s="410" t="s">
        <v>1243</v>
      </c>
      <c r="L578" s="117" t="str">
        <f t="shared" si="94"/>
        <v>detailed</v>
      </c>
      <c r="M578" s="117" t="str">
        <f t="shared" si="99"/>
        <v>detailed Mining</v>
      </c>
      <c r="N578" s="411">
        <v>274000</v>
      </c>
      <c r="O578" s="411"/>
      <c r="P578" s="411"/>
      <c r="Q578" s="411"/>
      <c r="R578" s="411"/>
      <c r="S578" s="410" t="s">
        <v>610</v>
      </c>
      <c r="T578" s="412">
        <v>701.48958333333246</v>
      </c>
      <c r="U578" s="410" t="s">
        <v>611</v>
      </c>
      <c r="V578" s="410" t="s">
        <v>1244</v>
      </c>
      <c r="W578" s="413">
        <f t="shared" si="100"/>
        <v>192208145.8333331</v>
      </c>
      <c r="X578" s="410"/>
      <c r="Y578" s="410"/>
      <c r="Z578" s="410"/>
      <c r="AA578" s="414"/>
      <c r="AB578" s="414"/>
      <c r="AC578" s="415"/>
      <c r="AD578" s="415"/>
      <c r="AE578" s="415"/>
      <c r="AF578" s="416"/>
      <c r="AG578" s="410"/>
      <c r="AH578" s="417"/>
      <c r="AI578" s="410"/>
      <c r="AJ578" s="410"/>
      <c r="AK578" s="413"/>
      <c r="AL578" s="410"/>
      <c r="AM578" s="410"/>
      <c r="AN578" s="410"/>
      <c r="AO578" s="410"/>
      <c r="AP578" s="410"/>
      <c r="AQ578" s="410"/>
      <c r="AR578" s="418"/>
      <c r="AS578" s="410"/>
      <c r="AT578" s="410"/>
      <c r="AU578" s="410"/>
      <c r="AV578" s="419"/>
      <c r="AW578" s="117">
        <f>VLOOKUP($D578,'WB Data'!$C$3:$M$578,2,FALSE)</f>
        <v>41337958251.631958</v>
      </c>
      <c r="AX578" s="117">
        <f>VLOOKUP($D578,'WB Data'!$C$3:$M$578,3,FALSE)</f>
        <v>14341576</v>
      </c>
      <c r="AY578" s="847">
        <f t="shared" si="90"/>
        <v>3.7689483852011299E-3</v>
      </c>
      <c r="AZ578" s="117">
        <f>VLOOKUP($D578,'WB Data'!$C$3:$M$578,4,FALSE)/100</f>
        <v>0.11070848524418105</v>
      </c>
      <c r="BA578" s="117">
        <f t="shared" si="91"/>
        <v>4576462741.1253691</v>
      </c>
      <c r="BB578" s="129">
        <f>IFERROR(VLOOKUP($D578,'EITI Revenues'!$C$2:$G$224,5,FALSE),"..")</f>
        <v>155800631</v>
      </c>
      <c r="BC578" s="846">
        <f t="shared" si="92"/>
        <v>3.4043898052513816E-2</v>
      </c>
      <c r="BD578" s="129">
        <f>VLOOKUP($D578,'WB Data 2'!$C$2:$K$545,6,FALSE)</f>
        <v>933400729.1812427</v>
      </c>
      <c r="BE578" s="129">
        <f>IFERROR(VLOOKUP($D578,UNCTAD!$C$5:$V$529,4,FALSE),"..")</f>
        <v>10803023919</v>
      </c>
      <c r="BF578" s="846">
        <f t="shared" si="93"/>
        <v>8.6401801586277013E-2</v>
      </c>
      <c r="BG578" s="117">
        <f>VLOOKUP($D578,'WB Data'!$C$3:$M$578,5,FALSE)</f>
        <v>393520000</v>
      </c>
      <c r="BH578" s="129">
        <f>IFERROR($BB578/$BG578,"..")</f>
        <v>0.395915407094938</v>
      </c>
      <c r="BI578" s="117">
        <f>IFERROR(VLOOKUP($D578,'WB Data'!$C$3:$M$578,7,FALSE)/100,"..")</f>
        <v>2.8030599999999999E-2</v>
      </c>
      <c r="BJ578" s="117">
        <f>IFERROR($BI578*$AW578,"..")</f>
        <v>1158727772.5681946</v>
      </c>
      <c r="BK578" s="846">
        <f>IFERROR($BB578/$BJ578,"..")</f>
        <v>0.13445835569702863</v>
      </c>
      <c r="BL578" s="117">
        <f>IFERROR(VLOOKUP($D578,'WB Data'!$C$3:$M$578,7,FALSE)/100,"..")</f>
        <v>2.8030599999999999E-2</v>
      </c>
      <c r="BM578" s="117">
        <f>IFERROR($AW578*$BL578,"..")</f>
        <v>1158727772.5681946</v>
      </c>
      <c r="BN578" s="846">
        <f>IFERROR($BB578/$BM578,"..")</f>
        <v>0.13445835569702863</v>
      </c>
      <c r="BO578" s="801">
        <f t="shared" ref="BO578:BO641" si="101">_xlfn.IFNA(VLOOKUP($C578,CPI_2013,2,FALSE),"..")</f>
        <v>32</v>
      </c>
      <c r="BP578" s="117" t="str">
        <f>VLOOKUP($D578,'WB Data'!$C$3:$M$578,9,FALSE)</f>
        <v>..</v>
      </c>
      <c r="BQ578" s="117">
        <f>VLOOKUP($D578,'WB Data'!$C$3:$M$578,10,FALSE)</f>
        <v>70.995975609756101</v>
      </c>
      <c r="BR578" s="117">
        <f>VLOOKUP($D578,'WB Data'!$C$3:$M$578,11,FALSE)</f>
        <v>28.4</v>
      </c>
      <c r="BS578" s="129">
        <f>IFERROR(VLOOKUP($D578,'WB Data 2'!$C$2:$K$545,9,FALSE),"..")</f>
        <v>98.247460000000004</v>
      </c>
      <c r="BT578" s="129" t="str">
        <f>_xlfn.IFNA(VLOOKUP($C578,RGI!$A$2:$C$43,2,FALSE),"..")</f>
        <v>..</v>
      </c>
      <c r="BU578" s="129" t="str">
        <f>_xlfn.IFNA(VLOOKUP($C578,RGI!$A$2:$C$43,3,FALSE),"..")</f>
        <v>..</v>
      </c>
      <c r="BV578" s="129">
        <f>VLOOKUP($D578,WGI!$C$2:$O$478,7,FALSE)</f>
        <v>-0.33446461090524898</v>
      </c>
      <c r="BW578" s="129">
        <f>VLOOKUP($D578,WGI!$C$2:$O$478,4,FALSE)</f>
        <v>-0.87314139642851796</v>
      </c>
      <c r="BX578" s="129">
        <f>VLOOKUP($D578,WGI!$C$2:$O$478,3,FALSE)</f>
        <v>-0.69874816414761298</v>
      </c>
      <c r="BY578" s="129">
        <f>VLOOKUP($D578,WGI!$C$2:$O$478,5,FALSE)</f>
        <v>-0.13028208712700701</v>
      </c>
      <c r="BZ578" s="129">
        <f>VLOOKUP($D578,WGI!$C$2:$O$478,2,FALSE)</f>
        <v>-0.48129935133288498</v>
      </c>
    </row>
    <row r="579" spans="1:80" ht="15" customHeight="1">
      <c r="A579" s="407" t="s">
        <v>218</v>
      </c>
      <c r="B579" s="408">
        <v>2010</v>
      </c>
      <c r="C579" s="805" t="s">
        <v>219</v>
      </c>
      <c r="D579" s="117" t="s">
        <v>3664</v>
      </c>
      <c r="E579" s="409" t="s">
        <v>220</v>
      </c>
      <c r="F579" s="410"/>
      <c r="G579" s="410" t="s">
        <v>24</v>
      </c>
      <c r="H579" s="117" t="str">
        <f t="shared" si="96"/>
        <v>yes</v>
      </c>
      <c r="I579" s="117" t="str">
        <f t="shared" si="97"/>
        <v>no</v>
      </c>
      <c r="J579" s="117" t="str">
        <f t="shared" si="98"/>
        <v>no</v>
      </c>
      <c r="K579" s="410" t="s">
        <v>1245</v>
      </c>
      <c r="L579" s="117" t="str">
        <f t="shared" si="94"/>
        <v>detailed</v>
      </c>
      <c r="M579" s="117" t="str">
        <f t="shared" si="99"/>
        <v>detailed Mining</v>
      </c>
      <c r="N579" s="411">
        <v>2175</v>
      </c>
      <c r="O579" s="411"/>
      <c r="P579" s="411"/>
      <c r="Q579" s="411"/>
      <c r="R579" s="411"/>
      <c r="S579" s="410" t="s">
        <v>610</v>
      </c>
      <c r="T579" s="412">
        <v>150</v>
      </c>
      <c r="U579" s="410" t="s">
        <v>611</v>
      </c>
      <c r="V579" s="410" t="s">
        <v>1246</v>
      </c>
      <c r="W579" s="413">
        <f t="shared" si="100"/>
        <v>326250</v>
      </c>
      <c r="X579" s="410"/>
      <c r="Y579" s="410"/>
      <c r="Z579" s="410"/>
      <c r="AA579" s="414"/>
      <c r="AB579" s="414"/>
      <c r="AC579" s="415"/>
      <c r="AD579" s="415"/>
      <c r="AE579" s="415"/>
      <c r="AF579" s="416"/>
      <c r="AG579" s="410"/>
      <c r="AH579" s="417"/>
      <c r="AI579" s="410"/>
      <c r="AJ579" s="410"/>
      <c r="AK579" s="413"/>
      <c r="AL579" s="410"/>
      <c r="AM579" s="410"/>
      <c r="AN579" s="410"/>
      <c r="AO579" s="410"/>
      <c r="AP579" s="410"/>
      <c r="AQ579" s="410"/>
      <c r="AR579" s="418"/>
      <c r="AS579" s="410"/>
      <c r="AT579" s="410"/>
      <c r="AU579" s="410"/>
      <c r="AV579" s="419"/>
      <c r="AW579" s="117">
        <f>VLOOKUP($D579,'WB Data'!$C$3:$M$578,2,FALSE)</f>
        <v>41337958251.631958</v>
      </c>
      <c r="AX579" s="117">
        <f>VLOOKUP($D579,'WB Data'!$C$3:$M$578,3,FALSE)</f>
        <v>14341576</v>
      </c>
      <c r="AY579" s="847">
        <f t="shared" ref="AY579:AY642" si="102">IFERROR($BB579/$AW579,"..")</f>
        <v>3.7689483852011299E-3</v>
      </c>
      <c r="AZ579" s="117">
        <f>VLOOKUP($D579,'WB Data'!$C$3:$M$578,4,FALSE)/100</f>
        <v>0.11070848524418105</v>
      </c>
      <c r="BA579" s="117">
        <f t="shared" ref="BA579:BA642" si="103">IFERROR($AW579*$AZ579,"..")</f>
        <v>4576462741.1253691</v>
      </c>
      <c r="BB579" s="129">
        <f>IFERROR(VLOOKUP($D579,'EITI Revenues'!$C$2:$G$224,5,FALSE),"..")</f>
        <v>155800631</v>
      </c>
      <c r="BC579" s="846">
        <f t="shared" ref="BC579:BC642" si="104">IFERROR($BB579/$BA579,"..")</f>
        <v>3.4043898052513816E-2</v>
      </c>
      <c r="BD579" s="129">
        <f>VLOOKUP($D579,'WB Data 2'!$C$2:$K$545,6,FALSE)</f>
        <v>933400729.1812427</v>
      </c>
      <c r="BE579" s="129">
        <f>IFERROR(VLOOKUP($D579,UNCTAD!$C$5:$V$529,4,FALSE),"..")</f>
        <v>10803023919</v>
      </c>
      <c r="BF579" s="846">
        <f t="shared" ref="BF579:BF642" si="105">IFERROR(($BD579/$BE579),"..")</f>
        <v>8.6401801586277013E-2</v>
      </c>
      <c r="BG579" s="117">
        <f>VLOOKUP($D579,'WB Data'!$C$3:$M$578,5,FALSE)</f>
        <v>393520000</v>
      </c>
      <c r="BH579" s="129">
        <f>IFERROR($BB579/$BG579,"..")</f>
        <v>0.395915407094938</v>
      </c>
      <c r="BI579" s="117">
        <f>IFERROR(VLOOKUP($D579,'WB Data'!$C$3:$M$578,7,FALSE)/100,"..")</f>
        <v>2.8030599999999999E-2</v>
      </c>
      <c r="BJ579" s="117">
        <f>IFERROR($BI579*$AW579,"..")</f>
        <v>1158727772.5681946</v>
      </c>
      <c r="BK579" s="846">
        <f>IFERROR($BB579/$BJ579,"..")</f>
        <v>0.13445835569702863</v>
      </c>
      <c r="BL579" s="117">
        <f>IFERROR(VLOOKUP($D579,'WB Data'!$C$3:$M$578,7,FALSE)/100,"..")</f>
        <v>2.8030599999999999E-2</v>
      </c>
      <c r="BM579" s="117">
        <f>IFERROR($AW579*$BL579,"..")</f>
        <v>1158727772.5681946</v>
      </c>
      <c r="BN579" s="846">
        <f>IFERROR($BB579/$BM579,"..")</f>
        <v>0.13445835569702863</v>
      </c>
      <c r="BO579" s="801">
        <f t="shared" si="101"/>
        <v>32</v>
      </c>
      <c r="BP579" s="117" t="str">
        <f>VLOOKUP($D579,'WB Data'!$C$3:$M$578,9,FALSE)</f>
        <v>..</v>
      </c>
      <c r="BQ579" s="117">
        <f>VLOOKUP($D579,'WB Data'!$C$3:$M$578,10,FALSE)</f>
        <v>70.995975609756101</v>
      </c>
      <c r="BR579" s="117">
        <f>VLOOKUP($D579,'WB Data'!$C$3:$M$578,11,FALSE)</f>
        <v>28.4</v>
      </c>
      <c r="BS579" s="129">
        <f>IFERROR(VLOOKUP($D579,'WB Data 2'!$C$2:$K$545,9,FALSE),"..")</f>
        <v>98.247460000000004</v>
      </c>
      <c r="BT579" s="129" t="str">
        <f>_xlfn.IFNA(VLOOKUP($C579,RGI!$A$2:$C$43,2,FALSE),"..")</f>
        <v>..</v>
      </c>
      <c r="BU579" s="129" t="str">
        <f>_xlfn.IFNA(VLOOKUP($C579,RGI!$A$2:$C$43,3,FALSE),"..")</f>
        <v>..</v>
      </c>
      <c r="BV579" s="129">
        <f>VLOOKUP($D579,WGI!$C$2:$O$478,7,FALSE)</f>
        <v>-0.33446461090524898</v>
      </c>
      <c r="BW579" s="129">
        <f>VLOOKUP($D579,WGI!$C$2:$O$478,4,FALSE)</f>
        <v>-0.87314139642851796</v>
      </c>
      <c r="BX579" s="129">
        <f>VLOOKUP($D579,WGI!$C$2:$O$478,3,FALSE)</f>
        <v>-0.69874816414761298</v>
      </c>
      <c r="BY579" s="129">
        <f>VLOOKUP($D579,WGI!$C$2:$O$478,5,FALSE)</f>
        <v>-0.13028208712700701</v>
      </c>
      <c r="BZ579" s="129">
        <f>VLOOKUP($D579,WGI!$C$2:$O$478,2,FALSE)</f>
        <v>-0.48129935133288498</v>
      </c>
    </row>
    <row r="580" spans="1:80" ht="15" customHeight="1">
      <c r="A580" s="407" t="s">
        <v>218</v>
      </c>
      <c r="B580" s="408">
        <v>2010</v>
      </c>
      <c r="C580" s="805" t="s">
        <v>219</v>
      </c>
      <c r="D580" s="117" t="s">
        <v>3664</v>
      </c>
      <c r="E580" s="409" t="s">
        <v>220</v>
      </c>
      <c r="F580" s="410"/>
      <c r="G580" s="410" t="s">
        <v>24</v>
      </c>
      <c r="H580" s="117" t="str">
        <f t="shared" si="96"/>
        <v>yes</v>
      </c>
      <c r="I580" s="117" t="str">
        <f t="shared" si="97"/>
        <v>no</v>
      </c>
      <c r="J580" s="117" t="str">
        <f t="shared" si="98"/>
        <v>no</v>
      </c>
      <c r="K580" s="410" t="s">
        <v>1247</v>
      </c>
      <c r="L580" s="117" t="str">
        <f t="shared" si="94"/>
        <v>detailed</v>
      </c>
      <c r="M580" s="117" t="str">
        <f t="shared" si="99"/>
        <v>detailed Mining</v>
      </c>
      <c r="N580" s="411">
        <v>184541</v>
      </c>
      <c r="O580" s="411"/>
      <c r="P580" s="411"/>
      <c r="Q580" s="411"/>
      <c r="R580" s="411"/>
      <c r="S580" s="410" t="s">
        <v>642</v>
      </c>
      <c r="T580" s="412"/>
      <c r="U580" s="410"/>
      <c r="V580" s="410" t="s">
        <v>684</v>
      </c>
      <c r="W580" s="413"/>
      <c r="X580" s="410"/>
      <c r="Y580" s="410"/>
      <c r="Z580" s="410"/>
      <c r="AA580" s="414"/>
      <c r="AB580" s="414"/>
      <c r="AC580" s="415"/>
      <c r="AD580" s="415"/>
      <c r="AE580" s="415"/>
      <c r="AF580" s="416"/>
      <c r="AG580" s="410"/>
      <c r="AH580" s="417"/>
      <c r="AI580" s="410"/>
      <c r="AJ580" s="410"/>
      <c r="AK580" s="413"/>
      <c r="AL580" s="410"/>
      <c r="AM580" s="410"/>
      <c r="AN580" s="410"/>
      <c r="AO580" s="410"/>
      <c r="AP580" s="410"/>
      <c r="AQ580" s="410"/>
      <c r="AR580" s="418"/>
      <c r="AS580" s="410"/>
      <c r="AT580" s="410"/>
      <c r="AU580" s="410"/>
      <c r="AV580" s="419"/>
      <c r="AW580" s="117">
        <f>VLOOKUP($D580,'WB Data'!$C$3:$M$578,2,FALSE)</f>
        <v>41337958251.631958</v>
      </c>
      <c r="AX580" s="117">
        <f>VLOOKUP($D580,'WB Data'!$C$3:$M$578,3,FALSE)</f>
        <v>14341576</v>
      </c>
      <c r="AY580" s="847">
        <f t="shared" si="102"/>
        <v>3.7689483852011299E-3</v>
      </c>
      <c r="AZ580" s="117">
        <f>VLOOKUP($D580,'WB Data'!$C$3:$M$578,4,FALSE)/100</f>
        <v>0.11070848524418105</v>
      </c>
      <c r="BA580" s="117">
        <f t="shared" si="103"/>
        <v>4576462741.1253691</v>
      </c>
      <c r="BB580" s="129">
        <f>IFERROR(VLOOKUP($D580,'EITI Revenues'!$C$2:$G$224,5,FALSE),"..")</f>
        <v>155800631</v>
      </c>
      <c r="BC580" s="846">
        <f t="shared" si="104"/>
        <v>3.4043898052513816E-2</v>
      </c>
      <c r="BD580" s="129">
        <f>VLOOKUP($D580,'WB Data 2'!$C$2:$K$545,6,FALSE)</f>
        <v>933400729.1812427</v>
      </c>
      <c r="BE580" s="129">
        <f>IFERROR(VLOOKUP($D580,UNCTAD!$C$5:$V$529,4,FALSE),"..")</f>
        <v>10803023919</v>
      </c>
      <c r="BF580" s="846">
        <f t="shared" si="105"/>
        <v>8.6401801586277013E-2</v>
      </c>
      <c r="BG580" s="117">
        <f>VLOOKUP($D580,'WB Data'!$C$3:$M$578,5,FALSE)</f>
        <v>393520000</v>
      </c>
      <c r="BH580" s="129">
        <f>IFERROR($BB580/$BG580,"..")</f>
        <v>0.395915407094938</v>
      </c>
      <c r="BI580" s="117">
        <f>IFERROR(VLOOKUP($D580,'WB Data'!$C$3:$M$578,7,FALSE)/100,"..")</f>
        <v>2.8030599999999999E-2</v>
      </c>
      <c r="BJ580" s="117">
        <f>IFERROR($BI580*$AW580,"..")</f>
        <v>1158727772.5681946</v>
      </c>
      <c r="BK580" s="846">
        <f>IFERROR($BB580/$BJ580,"..")</f>
        <v>0.13445835569702863</v>
      </c>
      <c r="BL580" s="117">
        <f>IFERROR(VLOOKUP($D580,'WB Data'!$C$3:$M$578,7,FALSE)/100,"..")</f>
        <v>2.8030599999999999E-2</v>
      </c>
      <c r="BM580" s="117">
        <f>IFERROR($AW580*$BL580,"..")</f>
        <v>1158727772.5681946</v>
      </c>
      <c r="BN580" s="846">
        <f>IFERROR($BB580/$BM580,"..")</f>
        <v>0.13445835569702863</v>
      </c>
      <c r="BO580" s="801">
        <f t="shared" si="101"/>
        <v>32</v>
      </c>
      <c r="BP580" s="117" t="str">
        <f>VLOOKUP($D580,'WB Data'!$C$3:$M$578,9,FALSE)</f>
        <v>..</v>
      </c>
      <c r="BQ580" s="117">
        <f>VLOOKUP($D580,'WB Data'!$C$3:$M$578,10,FALSE)</f>
        <v>70.995975609756101</v>
      </c>
      <c r="BR580" s="117">
        <f>VLOOKUP($D580,'WB Data'!$C$3:$M$578,11,FALSE)</f>
        <v>28.4</v>
      </c>
      <c r="BS580" s="129">
        <f>IFERROR(VLOOKUP($D580,'WB Data 2'!$C$2:$K$545,9,FALSE),"..")</f>
        <v>98.247460000000004</v>
      </c>
      <c r="BT580" s="129" t="str">
        <f>_xlfn.IFNA(VLOOKUP($C580,RGI!$A$2:$C$43,2,FALSE),"..")</f>
        <v>..</v>
      </c>
      <c r="BU580" s="129" t="str">
        <f>_xlfn.IFNA(VLOOKUP($C580,RGI!$A$2:$C$43,3,FALSE),"..")</f>
        <v>..</v>
      </c>
      <c r="BV580" s="129">
        <f>VLOOKUP($D580,WGI!$C$2:$O$478,7,FALSE)</f>
        <v>-0.33446461090524898</v>
      </c>
      <c r="BW580" s="129">
        <f>VLOOKUP($D580,WGI!$C$2:$O$478,4,FALSE)</f>
        <v>-0.87314139642851796</v>
      </c>
      <c r="BX580" s="129">
        <f>VLOOKUP($D580,WGI!$C$2:$O$478,3,FALSE)</f>
        <v>-0.69874816414761298</v>
      </c>
      <c r="BY580" s="129">
        <f>VLOOKUP($D580,WGI!$C$2:$O$478,5,FALSE)</f>
        <v>-0.13028208712700701</v>
      </c>
      <c r="BZ580" s="129">
        <f>VLOOKUP($D580,WGI!$C$2:$O$478,2,FALSE)</f>
        <v>-0.48129935133288498</v>
      </c>
    </row>
    <row r="581" spans="1:80" s="144" customFormat="1" ht="15" customHeight="1">
      <c r="A581" s="424" t="s">
        <v>222</v>
      </c>
      <c r="B581" s="425">
        <v>2011</v>
      </c>
      <c r="C581" s="806" t="s">
        <v>219</v>
      </c>
      <c r="D581" s="117" t="s">
        <v>3698</v>
      </c>
      <c r="E581" s="426" t="s">
        <v>220</v>
      </c>
      <c r="F581" s="427" t="s">
        <v>1210</v>
      </c>
      <c r="G581" s="427" t="s">
        <v>35</v>
      </c>
      <c r="H581" s="117" t="str">
        <f t="shared" si="96"/>
        <v>yes</v>
      </c>
      <c r="I581" s="117" t="str">
        <f t="shared" si="97"/>
        <v>yes</v>
      </c>
      <c r="J581" s="117" t="str">
        <f t="shared" si="98"/>
        <v>yes</v>
      </c>
      <c r="K581" s="427" t="s">
        <v>709</v>
      </c>
      <c r="L581" s="117" t="str">
        <f t="shared" si="94"/>
        <v>Total</v>
      </c>
      <c r="M581" s="117" t="str">
        <f t="shared" si="99"/>
        <v>Total Oil, Gas, Mining</v>
      </c>
      <c r="N581" s="428"/>
      <c r="O581" s="428"/>
      <c r="P581" s="428"/>
      <c r="Q581" s="428"/>
      <c r="R581" s="428"/>
      <c r="S581" s="427"/>
      <c r="T581" s="429"/>
      <c r="U581" s="427"/>
      <c r="V581" s="427"/>
      <c r="W581" s="430">
        <f>W582+W585</f>
        <v>1949529116.1198859</v>
      </c>
      <c r="X581" s="427" t="s">
        <v>1211</v>
      </c>
      <c r="Y581" s="427" t="s">
        <v>602</v>
      </c>
      <c r="Z581" s="427"/>
      <c r="AA581" s="431">
        <v>224641623</v>
      </c>
      <c r="AB581" s="431">
        <v>224641623</v>
      </c>
      <c r="AC581" s="432"/>
      <c r="AD581" s="432"/>
      <c r="AE581" s="432"/>
      <c r="AF581" s="433">
        <f>AA581/W581</f>
        <v>0.11522865759866174</v>
      </c>
      <c r="AG581" s="427"/>
      <c r="AH581" s="434">
        <v>7.78</v>
      </c>
      <c r="AI581" s="427" t="s">
        <v>667</v>
      </c>
      <c r="AJ581" s="427"/>
      <c r="AK581" s="430"/>
      <c r="AL581" s="427"/>
      <c r="AM581" s="427"/>
      <c r="AN581" s="427"/>
      <c r="AO581" s="427"/>
      <c r="AP581" s="427">
        <v>8</v>
      </c>
      <c r="AQ581" s="427" t="s">
        <v>145</v>
      </c>
      <c r="AR581" s="435">
        <v>41922</v>
      </c>
      <c r="AS581" s="427" t="s">
        <v>1248</v>
      </c>
      <c r="AT581" s="427" t="s">
        <v>223</v>
      </c>
      <c r="AU581" s="427"/>
      <c r="AV581" s="436"/>
      <c r="AW581" s="117">
        <f>VLOOKUP($D581,'WB Data'!$C$3:$M$578,2,FALSE)</f>
        <v>47654841112.852264</v>
      </c>
      <c r="AX581" s="117">
        <f>VLOOKUP($D581,'WB Data'!$C$3:$M$578,3,FALSE)</f>
        <v>14706578</v>
      </c>
      <c r="AY581" s="847">
        <f t="shared" si="102"/>
        <v>4.7139307938939981E-3</v>
      </c>
      <c r="AZ581" s="117">
        <f>VLOOKUP($D581,'WB Data'!$C$3:$M$578,4,FALSE)/100</f>
        <v>0.11399262010775933</v>
      </c>
      <c r="BA581" s="117">
        <f t="shared" si="103"/>
        <v>5432300199.2729988</v>
      </c>
      <c r="BB581" s="129">
        <f>IFERROR(VLOOKUP($D581,'EITI Revenues'!$C$2:$G$224,5,FALSE),"..")</f>
        <v>224641623</v>
      </c>
      <c r="BC581" s="846">
        <f t="shared" si="104"/>
        <v>4.135294714199772E-2</v>
      </c>
      <c r="BD581" s="129">
        <f>VLOOKUP($D581,'WB Data 2'!$C$2:$K$545,6,FALSE)</f>
        <v>1533501156.8436511</v>
      </c>
      <c r="BE581" s="129">
        <f>IFERROR(VLOOKUP($D581,UNCTAD!$C$5:$V$529,4,FALSE),"..")</f>
        <v>12757323906</v>
      </c>
      <c r="BF581" s="846">
        <f t="shared" si="105"/>
        <v>0.12020555158299444</v>
      </c>
      <c r="BG581" s="117">
        <f>VLOOKUP($D581,'WB Data'!$C$3:$M$578,5,FALSE)</f>
        <v>387910000</v>
      </c>
      <c r="BH581" s="129">
        <f>IFERROR($BB581/$BG581,"..")</f>
        <v>0.57910758423345621</v>
      </c>
      <c r="BI581" s="117">
        <f>IFERROR(VLOOKUP($D581,'WB Data'!$C$3:$M$578,7,FALSE)/100,"..")</f>
        <v>2.9180399999999999E-2</v>
      </c>
      <c r="BJ581" s="117">
        <f>IFERROR($BI581*$AW581,"..")</f>
        <v>1390587325.6094742</v>
      </c>
      <c r="BK581" s="846">
        <f>IFERROR($BB581/$BJ581,"..")</f>
        <v>0.16154442001802571</v>
      </c>
      <c r="BL581" s="117">
        <f>IFERROR(VLOOKUP($D581,'WB Data'!$C$3:$M$578,7,FALSE)/100,"..")</f>
        <v>2.9180399999999999E-2</v>
      </c>
      <c r="BM581" s="117">
        <f>IFERROR($AW581*$BL581,"..")</f>
        <v>1390587325.6094742</v>
      </c>
      <c r="BN581" s="846">
        <f>IFERROR($BB581/$BM581,"..")</f>
        <v>0.16154442001802571</v>
      </c>
      <c r="BO581" s="801">
        <f t="shared" si="101"/>
        <v>32</v>
      </c>
      <c r="BP581" s="117">
        <f>VLOOKUP($D581,'WB Data'!$C$3:$M$578,9,FALSE)</f>
        <v>53.7</v>
      </c>
      <c r="BQ581" s="117">
        <f>VLOOKUP($D581,'WB Data'!$C$3:$M$578,10,FALSE)</f>
        <v>71.327902439024385</v>
      </c>
      <c r="BR581" s="117">
        <f>VLOOKUP($D581,'WB Data'!$C$3:$M$578,11,FALSE)</f>
        <v>27.5</v>
      </c>
      <c r="BS581" s="129">
        <f>IFERROR(VLOOKUP($D581,'WB Data 2'!$C$2:$K$545,9,FALSE),"..")</f>
        <v>95.268600000000006</v>
      </c>
      <c r="BT581" s="129" t="str">
        <f>_xlfn.IFNA(VLOOKUP($C581,RGI!$A$2:$C$43,2,FALSE),"..")</f>
        <v>..</v>
      </c>
      <c r="BU581" s="129" t="str">
        <f>_xlfn.IFNA(VLOOKUP($C581,RGI!$A$2:$C$43,3,FALSE),"..")</f>
        <v>..</v>
      </c>
      <c r="BV581" s="129">
        <f>VLOOKUP($D581,WGI!$C$2:$O$478,7,FALSE)</f>
        <v>-0.34866950292311899</v>
      </c>
      <c r="BW581" s="129">
        <f>VLOOKUP($D581,WGI!$C$2:$O$478,4,FALSE)</f>
        <v>-0.76425001276209303</v>
      </c>
      <c r="BX581" s="129">
        <f>VLOOKUP($D581,WGI!$C$2:$O$478,3,FALSE)</f>
        <v>-0.69949021593927097</v>
      </c>
      <c r="BY581" s="129">
        <f>VLOOKUP($D581,WGI!$C$2:$O$478,5,FALSE)</f>
        <v>-0.11199757468508301</v>
      </c>
      <c r="BZ581" s="129">
        <f>VLOOKUP($D581,WGI!$C$2:$O$478,2,FALSE)</f>
        <v>-0.46966100737468802</v>
      </c>
      <c r="CB581" s="129"/>
    </row>
    <row r="582" spans="1:80" s="120" customFormat="1" ht="15" customHeight="1">
      <c r="A582" s="407" t="s">
        <v>222</v>
      </c>
      <c r="B582" s="408">
        <v>2011</v>
      </c>
      <c r="C582" s="805" t="s">
        <v>219</v>
      </c>
      <c r="D582" s="117" t="s">
        <v>3698</v>
      </c>
      <c r="E582" s="409" t="s">
        <v>220</v>
      </c>
      <c r="F582" s="410"/>
      <c r="G582" s="410" t="s">
        <v>55</v>
      </c>
      <c r="H582" s="117" t="str">
        <f t="shared" si="96"/>
        <v>no</v>
      </c>
      <c r="I582" s="117" t="str">
        <f t="shared" si="97"/>
        <v>yes</v>
      </c>
      <c r="J582" s="117" t="str">
        <f t="shared" si="98"/>
        <v>yes</v>
      </c>
      <c r="K582" s="410" t="s">
        <v>640</v>
      </c>
      <c r="L582" s="117" t="str">
        <f t="shared" ref="L582:L656" si="106">IF(LEFT(K582,5)="Total","Total","detailed")</f>
        <v>Total</v>
      </c>
      <c r="M582" s="117" t="str">
        <f t="shared" si="99"/>
        <v>Total Oil, Gas</v>
      </c>
      <c r="N582" s="411"/>
      <c r="O582" s="411"/>
      <c r="P582" s="411"/>
      <c r="Q582" s="411"/>
      <c r="R582" s="411"/>
      <c r="S582" s="410"/>
      <c r="T582" s="412"/>
      <c r="U582" s="410"/>
      <c r="V582" s="410"/>
      <c r="W582" s="413">
        <f>SUM(W583:W584)</f>
        <v>583333992.49830341</v>
      </c>
      <c r="X582" s="410"/>
      <c r="Y582" s="410"/>
      <c r="Z582" s="410"/>
      <c r="AA582" s="414"/>
      <c r="AB582" s="414"/>
      <c r="AC582" s="415"/>
      <c r="AD582" s="415"/>
      <c r="AE582" s="415"/>
      <c r="AF582" s="416"/>
      <c r="AG582" s="410"/>
      <c r="AH582" s="417"/>
      <c r="AI582" s="410"/>
      <c r="AJ582" s="410"/>
      <c r="AK582" s="413"/>
      <c r="AL582" s="410"/>
      <c r="AM582" s="410"/>
      <c r="AN582" s="410"/>
      <c r="AO582" s="410"/>
      <c r="AP582" s="410"/>
      <c r="AQ582" s="410"/>
      <c r="AR582" s="418"/>
      <c r="AS582" s="410"/>
      <c r="AT582" s="410"/>
      <c r="AU582" s="410"/>
      <c r="AV582" s="419"/>
      <c r="AW582" s="117">
        <f>VLOOKUP($D582,'WB Data'!$C$3:$M$578,2,FALSE)</f>
        <v>47654841112.852264</v>
      </c>
      <c r="AX582" s="117">
        <f>VLOOKUP($D582,'WB Data'!$C$3:$M$578,3,FALSE)</f>
        <v>14706578</v>
      </c>
      <c r="AY582" s="847">
        <f t="shared" si="102"/>
        <v>4.7139307938939981E-3</v>
      </c>
      <c r="AZ582" s="117">
        <f>VLOOKUP($D582,'WB Data'!$C$3:$M$578,4,FALSE)/100</f>
        <v>0.11399262010775933</v>
      </c>
      <c r="BA582" s="117">
        <f t="shared" si="103"/>
        <v>5432300199.2729988</v>
      </c>
      <c r="BB582" s="129">
        <f>IFERROR(VLOOKUP($D582,'EITI Revenues'!$C$2:$G$224,5,FALSE),"..")</f>
        <v>224641623</v>
      </c>
      <c r="BC582" s="846">
        <f t="shared" si="104"/>
        <v>4.135294714199772E-2</v>
      </c>
      <c r="BD582" s="129">
        <f>VLOOKUP($D582,'WB Data 2'!$C$2:$K$545,6,FALSE)</f>
        <v>1533501156.8436511</v>
      </c>
      <c r="BE582" s="129">
        <f>IFERROR(VLOOKUP($D582,UNCTAD!$C$5:$V$529,4,FALSE),"..")</f>
        <v>12757323906</v>
      </c>
      <c r="BF582" s="846">
        <f t="shared" si="105"/>
        <v>0.12020555158299444</v>
      </c>
      <c r="BG582" s="117">
        <f>VLOOKUP($D582,'WB Data'!$C$3:$M$578,5,FALSE)</f>
        <v>387910000</v>
      </c>
      <c r="BH582" s="129">
        <f>IFERROR($BB582/$BG582,"..")</f>
        <v>0.57910758423345621</v>
      </c>
      <c r="BI582" s="117">
        <f>IFERROR(VLOOKUP($D582,'WB Data'!$C$3:$M$578,7,FALSE)/100,"..")</f>
        <v>2.9180399999999999E-2</v>
      </c>
      <c r="BJ582" s="117">
        <f>IFERROR($BI582*$AW582,"..")</f>
        <v>1390587325.6094742</v>
      </c>
      <c r="BK582" s="846">
        <f>IFERROR($BB582/$BJ582,"..")</f>
        <v>0.16154442001802571</v>
      </c>
      <c r="BL582" s="117">
        <f>IFERROR(VLOOKUP($D582,'WB Data'!$C$3:$M$578,7,FALSE)/100,"..")</f>
        <v>2.9180399999999999E-2</v>
      </c>
      <c r="BM582" s="117">
        <f>IFERROR($AW582*$BL582,"..")</f>
        <v>1390587325.6094742</v>
      </c>
      <c r="BN582" s="846">
        <f>IFERROR($BB582/$BM582,"..")</f>
        <v>0.16154442001802571</v>
      </c>
      <c r="BO582" s="801">
        <f t="shared" si="101"/>
        <v>32</v>
      </c>
      <c r="BP582" s="117">
        <f>VLOOKUP($D582,'WB Data'!$C$3:$M$578,9,FALSE)</f>
        <v>53.7</v>
      </c>
      <c r="BQ582" s="117">
        <f>VLOOKUP($D582,'WB Data'!$C$3:$M$578,10,FALSE)</f>
        <v>71.327902439024385</v>
      </c>
      <c r="BR582" s="117">
        <f>VLOOKUP($D582,'WB Data'!$C$3:$M$578,11,FALSE)</f>
        <v>27.5</v>
      </c>
      <c r="BS582" s="129">
        <f>IFERROR(VLOOKUP($D582,'WB Data 2'!$C$2:$K$545,9,FALSE),"..")</f>
        <v>95.268600000000006</v>
      </c>
      <c r="BT582" s="129" t="str">
        <f>_xlfn.IFNA(VLOOKUP($C582,RGI!$A$2:$C$43,2,FALSE),"..")</f>
        <v>..</v>
      </c>
      <c r="BU582" s="129" t="str">
        <f>_xlfn.IFNA(VLOOKUP($C582,RGI!$A$2:$C$43,3,FALSE),"..")</f>
        <v>..</v>
      </c>
      <c r="BV582" s="129">
        <f>VLOOKUP($D582,WGI!$C$2:$O$478,7,FALSE)</f>
        <v>-0.34866950292311899</v>
      </c>
      <c r="BW582" s="129">
        <f>VLOOKUP($D582,WGI!$C$2:$O$478,4,FALSE)</f>
        <v>-0.76425001276209303</v>
      </c>
      <c r="BX582" s="129">
        <f>VLOOKUP($D582,WGI!$C$2:$O$478,3,FALSE)</f>
        <v>-0.69949021593927097</v>
      </c>
      <c r="BY582" s="129">
        <f>VLOOKUP($D582,WGI!$C$2:$O$478,5,FALSE)</f>
        <v>-0.11199757468508301</v>
      </c>
      <c r="BZ582" s="129">
        <f>VLOOKUP($D582,WGI!$C$2:$O$478,2,FALSE)</f>
        <v>-0.46966100737468802</v>
      </c>
      <c r="CB582" s="129"/>
    </row>
    <row r="583" spans="1:80" s="120" customFormat="1" ht="15" customHeight="1">
      <c r="A583" s="407" t="s">
        <v>222</v>
      </c>
      <c r="B583" s="408">
        <v>2011</v>
      </c>
      <c r="C583" s="805" t="s">
        <v>219</v>
      </c>
      <c r="D583" s="117" t="s">
        <v>3698</v>
      </c>
      <c r="E583" s="409" t="s">
        <v>220</v>
      </c>
      <c r="F583" s="410"/>
      <c r="G583" s="410" t="s">
        <v>561</v>
      </c>
      <c r="H583" s="117" t="str">
        <f t="shared" si="96"/>
        <v>no</v>
      </c>
      <c r="I583" s="117" t="str">
        <f t="shared" si="97"/>
        <v>yes</v>
      </c>
      <c r="J583" s="117" t="str">
        <f t="shared" si="98"/>
        <v>no</v>
      </c>
      <c r="K583" s="410" t="s">
        <v>561</v>
      </c>
      <c r="L583" s="117" t="str">
        <f t="shared" si="106"/>
        <v>detailed</v>
      </c>
      <c r="M583" s="117" t="str">
        <f t="shared" si="99"/>
        <v>detailed Gas</v>
      </c>
      <c r="N583" s="411">
        <v>400000</v>
      </c>
      <c r="O583" s="411"/>
      <c r="P583" s="411"/>
      <c r="Q583" s="411"/>
      <c r="R583" s="411"/>
      <c r="S583" s="410" t="s">
        <v>642</v>
      </c>
      <c r="T583" s="412">
        <v>0.19666043794616025</v>
      </c>
      <c r="U583" s="410" t="s">
        <v>643</v>
      </c>
      <c r="V583" s="410" t="s">
        <v>1213</v>
      </c>
      <c r="W583" s="413">
        <f>N583*T583</f>
        <v>78664.175178464095</v>
      </c>
      <c r="X583" s="410"/>
      <c r="Y583" s="410"/>
      <c r="Z583" s="410"/>
      <c r="AA583" s="414"/>
      <c r="AB583" s="414"/>
      <c r="AC583" s="415"/>
      <c r="AD583" s="415"/>
      <c r="AE583" s="415"/>
      <c r="AF583" s="416"/>
      <c r="AG583" s="410"/>
      <c r="AH583" s="417"/>
      <c r="AI583" s="410"/>
      <c r="AJ583" s="410"/>
      <c r="AK583" s="413"/>
      <c r="AL583" s="410"/>
      <c r="AM583" s="410"/>
      <c r="AN583" s="410"/>
      <c r="AO583" s="410"/>
      <c r="AP583" s="410"/>
      <c r="AQ583" s="420"/>
      <c r="AR583" s="418"/>
      <c r="AS583" s="410"/>
      <c r="AT583" s="421"/>
      <c r="AU583" s="410"/>
      <c r="AV583" s="419"/>
      <c r="AW583" s="117">
        <f>VLOOKUP($D583,'WB Data'!$C$3:$M$578,2,FALSE)</f>
        <v>47654841112.852264</v>
      </c>
      <c r="AX583" s="117">
        <f>VLOOKUP($D583,'WB Data'!$C$3:$M$578,3,FALSE)</f>
        <v>14706578</v>
      </c>
      <c r="AY583" s="847">
        <f t="shared" si="102"/>
        <v>4.7139307938939981E-3</v>
      </c>
      <c r="AZ583" s="117">
        <f>VLOOKUP($D583,'WB Data'!$C$3:$M$578,4,FALSE)/100</f>
        <v>0.11399262010775933</v>
      </c>
      <c r="BA583" s="117">
        <f t="shared" si="103"/>
        <v>5432300199.2729988</v>
      </c>
      <c r="BB583" s="129">
        <f>IFERROR(VLOOKUP($D583,'EITI Revenues'!$C$2:$G$224,5,FALSE),"..")</f>
        <v>224641623</v>
      </c>
      <c r="BC583" s="846">
        <f t="shared" si="104"/>
        <v>4.135294714199772E-2</v>
      </c>
      <c r="BD583" s="129">
        <f>VLOOKUP($D583,'WB Data 2'!$C$2:$K$545,6,FALSE)</f>
        <v>1533501156.8436511</v>
      </c>
      <c r="BE583" s="129">
        <f>IFERROR(VLOOKUP($D583,UNCTAD!$C$5:$V$529,4,FALSE),"..")</f>
        <v>12757323906</v>
      </c>
      <c r="BF583" s="846">
        <f t="shared" si="105"/>
        <v>0.12020555158299444</v>
      </c>
      <c r="BG583" s="117">
        <f>VLOOKUP($D583,'WB Data'!$C$3:$M$578,5,FALSE)</f>
        <v>387910000</v>
      </c>
      <c r="BH583" s="129">
        <f>IFERROR($BB583/$BG583,"..")</f>
        <v>0.57910758423345621</v>
      </c>
      <c r="BI583" s="117">
        <f>IFERROR(VLOOKUP($D583,'WB Data'!$C$3:$M$578,7,FALSE)/100,"..")</f>
        <v>2.9180399999999999E-2</v>
      </c>
      <c r="BJ583" s="117">
        <f>IFERROR($BI583*$AW583,"..")</f>
        <v>1390587325.6094742</v>
      </c>
      <c r="BK583" s="846">
        <f>IFERROR($BB583/$BJ583,"..")</f>
        <v>0.16154442001802571</v>
      </c>
      <c r="BL583" s="117">
        <f>IFERROR(VLOOKUP($D583,'WB Data'!$C$3:$M$578,7,FALSE)/100,"..")</f>
        <v>2.9180399999999999E-2</v>
      </c>
      <c r="BM583" s="117">
        <f>IFERROR($AW583*$BL583,"..")</f>
        <v>1390587325.6094742</v>
      </c>
      <c r="BN583" s="846">
        <f>IFERROR($BB583/$BM583,"..")</f>
        <v>0.16154442001802571</v>
      </c>
      <c r="BO583" s="801">
        <f t="shared" si="101"/>
        <v>32</v>
      </c>
      <c r="BP583" s="117">
        <f>VLOOKUP($D583,'WB Data'!$C$3:$M$578,9,FALSE)</f>
        <v>53.7</v>
      </c>
      <c r="BQ583" s="117">
        <f>VLOOKUP($D583,'WB Data'!$C$3:$M$578,10,FALSE)</f>
        <v>71.327902439024385</v>
      </c>
      <c r="BR583" s="117">
        <f>VLOOKUP($D583,'WB Data'!$C$3:$M$578,11,FALSE)</f>
        <v>27.5</v>
      </c>
      <c r="BS583" s="129">
        <f>IFERROR(VLOOKUP($D583,'WB Data 2'!$C$2:$K$545,9,FALSE),"..")</f>
        <v>95.268600000000006</v>
      </c>
      <c r="BT583" s="129" t="str">
        <f>_xlfn.IFNA(VLOOKUP($C583,RGI!$A$2:$C$43,2,FALSE),"..")</f>
        <v>..</v>
      </c>
      <c r="BU583" s="129" t="str">
        <f>_xlfn.IFNA(VLOOKUP($C583,RGI!$A$2:$C$43,3,FALSE),"..")</f>
        <v>..</v>
      </c>
      <c r="BV583" s="129">
        <f>VLOOKUP($D583,WGI!$C$2:$O$478,7,FALSE)</f>
        <v>-0.34866950292311899</v>
      </c>
      <c r="BW583" s="129">
        <f>VLOOKUP($D583,WGI!$C$2:$O$478,4,FALSE)</f>
        <v>-0.76425001276209303</v>
      </c>
      <c r="BX583" s="129">
        <f>VLOOKUP($D583,WGI!$C$2:$O$478,3,FALSE)</f>
        <v>-0.69949021593927097</v>
      </c>
      <c r="BY583" s="129">
        <f>VLOOKUP($D583,WGI!$C$2:$O$478,5,FALSE)</f>
        <v>-0.11199757468508301</v>
      </c>
      <c r="BZ583" s="129">
        <f>VLOOKUP($D583,WGI!$C$2:$O$478,2,FALSE)</f>
        <v>-0.46966100737468802</v>
      </c>
      <c r="CB583" s="129"/>
    </row>
    <row r="584" spans="1:80" s="120" customFormat="1" ht="15" customHeight="1">
      <c r="A584" s="407" t="s">
        <v>222</v>
      </c>
      <c r="B584" s="408">
        <v>2011</v>
      </c>
      <c r="C584" s="805" t="s">
        <v>219</v>
      </c>
      <c r="D584" s="117" t="s">
        <v>3698</v>
      </c>
      <c r="E584" s="409" t="s">
        <v>220</v>
      </c>
      <c r="F584" s="410"/>
      <c r="G584" s="410" t="s">
        <v>103</v>
      </c>
      <c r="H584" s="117" t="str">
        <f t="shared" si="96"/>
        <v>no</v>
      </c>
      <c r="I584" s="117" t="str">
        <f t="shared" si="97"/>
        <v>no</v>
      </c>
      <c r="J584" s="117" t="str">
        <f t="shared" si="98"/>
        <v>yes</v>
      </c>
      <c r="K584" s="410" t="s">
        <v>103</v>
      </c>
      <c r="L584" s="117" t="str">
        <f t="shared" si="106"/>
        <v>detailed</v>
      </c>
      <c r="M584" s="117" t="str">
        <f t="shared" si="99"/>
        <v>detailed Oil</v>
      </c>
      <c r="N584" s="411">
        <v>5475000</v>
      </c>
      <c r="O584" s="411"/>
      <c r="P584" s="411"/>
      <c r="Q584" s="411"/>
      <c r="R584" s="411"/>
      <c r="S584" s="410" t="s">
        <v>646</v>
      </c>
      <c r="T584" s="412">
        <v>106.530653575</v>
      </c>
      <c r="U584" s="410" t="s">
        <v>673</v>
      </c>
      <c r="V584" s="410" t="s">
        <v>1030</v>
      </c>
      <c r="W584" s="413">
        <f>N584*T584</f>
        <v>583255328.323125</v>
      </c>
      <c r="X584" s="410"/>
      <c r="Y584" s="410"/>
      <c r="Z584" s="410"/>
      <c r="AA584" s="414"/>
      <c r="AB584" s="414"/>
      <c r="AC584" s="415"/>
      <c r="AD584" s="415"/>
      <c r="AE584" s="415"/>
      <c r="AF584" s="416"/>
      <c r="AG584" s="410"/>
      <c r="AH584" s="417"/>
      <c r="AI584" s="410"/>
      <c r="AJ584" s="410"/>
      <c r="AK584" s="413"/>
      <c r="AL584" s="410"/>
      <c r="AM584" s="410"/>
      <c r="AN584" s="410"/>
      <c r="AO584" s="410"/>
      <c r="AP584" s="410"/>
      <c r="AQ584" s="420"/>
      <c r="AR584" s="418"/>
      <c r="AS584" s="410"/>
      <c r="AT584" s="421"/>
      <c r="AU584" s="410"/>
      <c r="AV584" s="419"/>
      <c r="AW584" s="117">
        <f>VLOOKUP($D584,'WB Data'!$C$3:$M$578,2,FALSE)</f>
        <v>47654841112.852264</v>
      </c>
      <c r="AX584" s="117">
        <f>VLOOKUP($D584,'WB Data'!$C$3:$M$578,3,FALSE)</f>
        <v>14706578</v>
      </c>
      <c r="AY584" s="847">
        <f t="shared" si="102"/>
        <v>4.7139307938939981E-3</v>
      </c>
      <c r="AZ584" s="117">
        <f>VLOOKUP($D584,'WB Data'!$C$3:$M$578,4,FALSE)/100</f>
        <v>0.11399262010775933</v>
      </c>
      <c r="BA584" s="117">
        <f t="shared" si="103"/>
        <v>5432300199.2729988</v>
      </c>
      <c r="BB584" s="129">
        <f>IFERROR(VLOOKUP($D584,'EITI Revenues'!$C$2:$G$224,5,FALSE),"..")</f>
        <v>224641623</v>
      </c>
      <c r="BC584" s="846">
        <f t="shared" si="104"/>
        <v>4.135294714199772E-2</v>
      </c>
      <c r="BD584" s="129">
        <f>VLOOKUP($D584,'WB Data 2'!$C$2:$K$545,6,FALSE)</f>
        <v>1533501156.8436511</v>
      </c>
      <c r="BE584" s="129">
        <f>IFERROR(VLOOKUP($D584,UNCTAD!$C$5:$V$529,4,FALSE),"..")</f>
        <v>12757323906</v>
      </c>
      <c r="BF584" s="846">
        <f t="shared" si="105"/>
        <v>0.12020555158299444</v>
      </c>
      <c r="BG584" s="117">
        <f>VLOOKUP($D584,'WB Data'!$C$3:$M$578,5,FALSE)</f>
        <v>387910000</v>
      </c>
      <c r="BH584" s="129">
        <f>IFERROR($BB584/$BG584,"..")</f>
        <v>0.57910758423345621</v>
      </c>
      <c r="BI584" s="117">
        <f>IFERROR(VLOOKUP($D584,'WB Data'!$C$3:$M$578,7,FALSE)/100,"..")</f>
        <v>2.9180399999999999E-2</v>
      </c>
      <c r="BJ584" s="117">
        <f>IFERROR($BI584*$AW584,"..")</f>
        <v>1390587325.6094742</v>
      </c>
      <c r="BK584" s="846">
        <f>IFERROR($BB584/$BJ584,"..")</f>
        <v>0.16154442001802571</v>
      </c>
      <c r="BL584" s="117">
        <f>IFERROR(VLOOKUP($D584,'WB Data'!$C$3:$M$578,7,FALSE)/100,"..")</f>
        <v>2.9180399999999999E-2</v>
      </c>
      <c r="BM584" s="117">
        <f>IFERROR($AW584*$BL584,"..")</f>
        <v>1390587325.6094742</v>
      </c>
      <c r="BN584" s="846">
        <f>IFERROR($BB584/$BM584,"..")</f>
        <v>0.16154442001802571</v>
      </c>
      <c r="BO584" s="801">
        <f t="shared" si="101"/>
        <v>32</v>
      </c>
      <c r="BP584" s="117">
        <f>VLOOKUP($D584,'WB Data'!$C$3:$M$578,9,FALSE)</f>
        <v>53.7</v>
      </c>
      <c r="BQ584" s="117">
        <f>VLOOKUP($D584,'WB Data'!$C$3:$M$578,10,FALSE)</f>
        <v>71.327902439024385</v>
      </c>
      <c r="BR584" s="117">
        <f>VLOOKUP($D584,'WB Data'!$C$3:$M$578,11,FALSE)</f>
        <v>27.5</v>
      </c>
      <c r="BS584" s="129">
        <f>IFERROR(VLOOKUP($D584,'WB Data 2'!$C$2:$K$545,9,FALSE),"..")</f>
        <v>95.268600000000006</v>
      </c>
      <c r="BT584" s="129" t="str">
        <f>_xlfn.IFNA(VLOOKUP($C584,RGI!$A$2:$C$43,2,FALSE),"..")</f>
        <v>..</v>
      </c>
      <c r="BU584" s="129" t="str">
        <f>_xlfn.IFNA(VLOOKUP($C584,RGI!$A$2:$C$43,3,FALSE),"..")</f>
        <v>..</v>
      </c>
      <c r="BV584" s="129">
        <f>VLOOKUP($D584,WGI!$C$2:$O$478,7,FALSE)</f>
        <v>-0.34866950292311899</v>
      </c>
      <c r="BW584" s="129">
        <f>VLOOKUP($D584,WGI!$C$2:$O$478,4,FALSE)</f>
        <v>-0.76425001276209303</v>
      </c>
      <c r="BX584" s="129">
        <f>VLOOKUP($D584,WGI!$C$2:$O$478,3,FALSE)</f>
        <v>-0.69949021593927097</v>
      </c>
      <c r="BY584" s="129">
        <f>VLOOKUP($D584,WGI!$C$2:$O$478,5,FALSE)</f>
        <v>-0.11199757468508301</v>
      </c>
      <c r="BZ584" s="129">
        <f>VLOOKUP($D584,WGI!$C$2:$O$478,2,FALSE)</f>
        <v>-0.46966100737468802</v>
      </c>
      <c r="CB584" s="129"/>
    </row>
    <row r="585" spans="1:80" s="120" customFormat="1" ht="15" customHeight="1">
      <c r="A585" s="407" t="s">
        <v>222</v>
      </c>
      <c r="B585" s="408">
        <v>2011</v>
      </c>
      <c r="C585" s="805" t="s">
        <v>219</v>
      </c>
      <c r="D585" s="117" t="s">
        <v>3698</v>
      </c>
      <c r="E585" s="409" t="s">
        <v>220</v>
      </c>
      <c r="F585" s="410"/>
      <c r="G585" s="410" t="s">
        <v>24</v>
      </c>
      <c r="H585" s="117" t="str">
        <f t="shared" si="96"/>
        <v>yes</v>
      </c>
      <c r="I585" s="117" t="str">
        <f t="shared" si="97"/>
        <v>no</v>
      </c>
      <c r="J585" s="117" t="str">
        <f t="shared" si="98"/>
        <v>no</v>
      </c>
      <c r="K585" s="410" t="s">
        <v>600</v>
      </c>
      <c r="L585" s="117" t="str">
        <f t="shared" si="106"/>
        <v>Total</v>
      </c>
      <c r="M585" s="117" t="str">
        <f t="shared" si="99"/>
        <v>Total Mining</v>
      </c>
      <c r="N585" s="411"/>
      <c r="O585" s="411"/>
      <c r="P585" s="411"/>
      <c r="Q585" s="411"/>
      <c r="R585" s="411"/>
      <c r="S585" s="410"/>
      <c r="T585" s="412"/>
      <c r="U585" s="410"/>
      <c r="V585" s="410"/>
      <c r="W585" s="413">
        <f>SUM(W586:W609)</f>
        <v>1366195123.6215825</v>
      </c>
      <c r="X585" s="410"/>
      <c r="Y585" s="410"/>
      <c r="Z585" s="410"/>
      <c r="AA585" s="414"/>
      <c r="AB585" s="414"/>
      <c r="AC585" s="415"/>
      <c r="AD585" s="415"/>
      <c r="AE585" s="415"/>
      <c r="AF585" s="416"/>
      <c r="AG585" s="410"/>
      <c r="AH585" s="417"/>
      <c r="AI585" s="410"/>
      <c r="AJ585" s="410"/>
      <c r="AK585" s="413"/>
      <c r="AL585" s="410"/>
      <c r="AM585" s="410"/>
      <c r="AN585" s="410"/>
      <c r="AO585" s="410"/>
      <c r="AP585" s="410"/>
      <c r="AQ585" s="410"/>
      <c r="AR585" s="418"/>
      <c r="AS585" s="410"/>
      <c r="AT585" s="410"/>
      <c r="AU585" s="410"/>
      <c r="AV585" s="419"/>
      <c r="AW585" s="117">
        <f>VLOOKUP($D585,'WB Data'!$C$3:$M$578,2,FALSE)</f>
        <v>47654841112.852264</v>
      </c>
      <c r="AX585" s="117">
        <f>VLOOKUP($D585,'WB Data'!$C$3:$M$578,3,FALSE)</f>
        <v>14706578</v>
      </c>
      <c r="AY585" s="847">
        <f t="shared" si="102"/>
        <v>4.7139307938939981E-3</v>
      </c>
      <c r="AZ585" s="117">
        <f>VLOOKUP($D585,'WB Data'!$C$3:$M$578,4,FALSE)/100</f>
        <v>0.11399262010775933</v>
      </c>
      <c r="BA585" s="117">
        <f t="shared" si="103"/>
        <v>5432300199.2729988</v>
      </c>
      <c r="BB585" s="129">
        <f>IFERROR(VLOOKUP($D585,'EITI Revenues'!$C$2:$G$224,5,FALSE),"..")</f>
        <v>224641623</v>
      </c>
      <c r="BC585" s="846">
        <f t="shared" si="104"/>
        <v>4.135294714199772E-2</v>
      </c>
      <c r="BD585" s="129">
        <f>VLOOKUP($D585,'WB Data 2'!$C$2:$K$545,6,FALSE)</f>
        <v>1533501156.8436511</v>
      </c>
      <c r="BE585" s="129">
        <f>IFERROR(VLOOKUP($D585,UNCTAD!$C$5:$V$529,4,FALSE),"..")</f>
        <v>12757323906</v>
      </c>
      <c r="BF585" s="846">
        <f t="shared" si="105"/>
        <v>0.12020555158299444</v>
      </c>
      <c r="BG585" s="117">
        <f>VLOOKUP($D585,'WB Data'!$C$3:$M$578,5,FALSE)</f>
        <v>387910000</v>
      </c>
      <c r="BH585" s="129">
        <f>IFERROR($BB585/$BG585,"..")</f>
        <v>0.57910758423345621</v>
      </c>
      <c r="BI585" s="117">
        <f>IFERROR(VLOOKUP($D585,'WB Data'!$C$3:$M$578,7,FALSE)/100,"..")</f>
        <v>2.9180399999999999E-2</v>
      </c>
      <c r="BJ585" s="117">
        <f>IFERROR($BI585*$AW585,"..")</f>
        <v>1390587325.6094742</v>
      </c>
      <c r="BK585" s="846">
        <f>IFERROR($BB585/$BJ585,"..")</f>
        <v>0.16154442001802571</v>
      </c>
      <c r="BL585" s="117">
        <f>IFERROR(VLOOKUP($D585,'WB Data'!$C$3:$M$578,7,FALSE)/100,"..")</f>
        <v>2.9180399999999999E-2</v>
      </c>
      <c r="BM585" s="117">
        <f>IFERROR($AW585*$BL585,"..")</f>
        <v>1390587325.6094742</v>
      </c>
      <c r="BN585" s="846">
        <f>IFERROR($BB585/$BM585,"..")</f>
        <v>0.16154442001802571</v>
      </c>
      <c r="BO585" s="801">
        <f t="shared" si="101"/>
        <v>32</v>
      </c>
      <c r="BP585" s="117">
        <f>VLOOKUP($D585,'WB Data'!$C$3:$M$578,9,FALSE)</f>
        <v>53.7</v>
      </c>
      <c r="BQ585" s="117">
        <f>VLOOKUP($D585,'WB Data'!$C$3:$M$578,10,FALSE)</f>
        <v>71.327902439024385</v>
      </c>
      <c r="BR585" s="117">
        <f>VLOOKUP($D585,'WB Data'!$C$3:$M$578,11,FALSE)</f>
        <v>27.5</v>
      </c>
      <c r="BS585" s="129">
        <f>IFERROR(VLOOKUP($D585,'WB Data 2'!$C$2:$K$545,9,FALSE),"..")</f>
        <v>95.268600000000006</v>
      </c>
      <c r="BT585" s="129" t="str">
        <f>_xlfn.IFNA(VLOOKUP($C585,RGI!$A$2:$C$43,2,FALSE),"..")</f>
        <v>..</v>
      </c>
      <c r="BU585" s="129" t="str">
        <f>_xlfn.IFNA(VLOOKUP($C585,RGI!$A$2:$C$43,3,FALSE),"..")</f>
        <v>..</v>
      </c>
      <c r="BV585" s="129">
        <f>VLOOKUP($D585,WGI!$C$2:$O$478,7,FALSE)</f>
        <v>-0.34866950292311899</v>
      </c>
      <c r="BW585" s="129">
        <f>VLOOKUP($D585,WGI!$C$2:$O$478,4,FALSE)</f>
        <v>-0.76425001276209303</v>
      </c>
      <c r="BX585" s="129">
        <f>VLOOKUP($D585,WGI!$C$2:$O$478,3,FALSE)</f>
        <v>-0.69949021593927097</v>
      </c>
      <c r="BY585" s="129">
        <f>VLOOKUP($D585,WGI!$C$2:$O$478,5,FALSE)</f>
        <v>-0.11199757468508301</v>
      </c>
      <c r="BZ585" s="129">
        <f>VLOOKUP($D585,WGI!$C$2:$O$478,2,FALSE)</f>
        <v>-0.46966100737468802</v>
      </c>
      <c r="CB585" s="129"/>
    </row>
    <row r="586" spans="1:80" s="120" customFormat="1" ht="15" customHeight="1">
      <c r="A586" s="407" t="s">
        <v>222</v>
      </c>
      <c r="B586" s="408">
        <v>2011</v>
      </c>
      <c r="C586" s="805" t="s">
        <v>219</v>
      </c>
      <c r="D586" s="117" t="s">
        <v>3698</v>
      </c>
      <c r="E586" s="409" t="s">
        <v>220</v>
      </c>
      <c r="F586" s="410"/>
      <c r="G586" s="410" t="s">
        <v>24</v>
      </c>
      <c r="H586" s="117" t="str">
        <f t="shared" si="96"/>
        <v>yes</v>
      </c>
      <c r="I586" s="117" t="str">
        <f t="shared" si="97"/>
        <v>no</v>
      </c>
      <c r="J586" s="117" t="str">
        <f t="shared" si="98"/>
        <v>no</v>
      </c>
      <c r="K586" s="410" t="s">
        <v>1214</v>
      </c>
      <c r="L586" s="117" t="str">
        <f t="shared" si="106"/>
        <v>detailed</v>
      </c>
      <c r="M586" s="117" t="str">
        <f t="shared" si="99"/>
        <v>detailed Mining</v>
      </c>
      <c r="N586" s="411">
        <v>1051000</v>
      </c>
      <c r="O586" s="411"/>
      <c r="P586" s="411"/>
      <c r="Q586" s="411"/>
      <c r="R586" s="411"/>
      <c r="S586" s="410" t="s">
        <v>642</v>
      </c>
      <c r="T586" s="412"/>
      <c r="U586" s="410"/>
      <c r="V586" s="410" t="s">
        <v>684</v>
      </c>
      <c r="W586" s="413">
        <f t="shared" ref="W586:W591" si="107">N586*T586</f>
        <v>0</v>
      </c>
      <c r="X586" s="410"/>
      <c r="Y586" s="410"/>
      <c r="Z586" s="410"/>
      <c r="AA586" s="414"/>
      <c r="AB586" s="414"/>
      <c r="AC586" s="415"/>
      <c r="AD586" s="415"/>
      <c r="AE586" s="415"/>
      <c r="AF586" s="416"/>
      <c r="AG586" s="410"/>
      <c r="AH586" s="417"/>
      <c r="AI586" s="410"/>
      <c r="AJ586" s="410"/>
      <c r="AK586" s="413"/>
      <c r="AL586" s="410"/>
      <c r="AM586" s="410"/>
      <c r="AN586" s="410"/>
      <c r="AO586" s="410"/>
      <c r="AP586" s="410"/>
      <c r="AQ586" s="410"/>
      <c r="AR586" s="418"/>
      <c r="AS586" s="410"/>
      <c r="AT586" s="410"/>
      <c r="AU586" s="410"/>
      <c r="AV586" s="419"/>
      <c r="AW586" s="117">
        <f>VLOOKUP($D586,'WB Data'!$C$3:$M$578,2,FALSE)</f>
        <v>47654841112.852264</v>
      </c>
      <c r="AX586" s="117">
        <f>VLOOKUP($D586,'WB Data'!$C$3:$M$578,3,FALSE)</f>
        <v>14706578</v>
      </c>
      <c r="AY586" s="847">
        <f t="shared" si="102"/>
        <v>4.7139307938939981E-3</v>
      </c>
      <c r="AZ586" s="117">
        <f>VLOOKUP($D586,'WB Data'!$C$3:$M$578,4,FALSE)/100</f>
        <v>0.11399262010775933</v>
      </c>
      <c r="BA586" s="117">
        <f t="shared" si="103"/>
        <v>5432300199.2729988</v>
      </c>
      <c r="BB586" s="129">
        <f>IFERROR(VLOOKUP($D586,'EITI Revenues'!$C$2:$G$224,5,FALSE),"..")</f>
        <v>224641623</v>
      </c>
      <c r="BC586" s="846">
        <f t="shared" si="104"/>
        <v>4.135294714199772E-2</v>
      </c>
      <c r="BD586" s="129">
        <f>VLOOKUP($D586,'WB Data 2'!$C$2:$K$545,6,FALSE)</f>
        <v>1533501156.8436511</v>
      </c>
      <c r="BE586" s="129">
        <f>IFERROR(VLOOKUP($D586,UNCTAD!$C$5:$V$529,4,FALSE),"..")</f>
        <v>12757323906</v>
      </c>
      <c r="BF586" s="846">
        <f t="shared" si="105"/>
        <v>0.12020555158299444</v>
      </c>
      <c r="BG586" s="117">
        <f>VLOOKUP($D586,'WB Data'!$C$3:$M$578,5,FALSE)</f>
        <v>387910000</v>
      </c>
      <c r="BH586" s="129">
        <f>IFERROR($BB586/$BG586,"..")</f>
        <v>0.57910758423345621</v>
      </c>
      <c r="BI586" s="117">
        <f>IFERROR(VLOOKUP($D586,'WB Data'!$C$3:$M$578,7,FALSE)/100,"..")</f>
        <v>2.9180399999999999E-2</v>
      </c>
      <c r="BJ586" s="117">
        <f>IFERROR($BI586*$AW586,"..")</f>
        <v>1390587325.6094742</v>
      </c>
      <c r="BK586" s="846">
        <f>IFERROR($BB586/$BJ586,"..")</f>
        <v>0.16154442001802571</v>
      </c>
      <c r="BL586" s="117">
        <f>IFERROR(VLOOKUP($D586,'WB Data'!$C$3:$M$578,7,FALSE)/100,"..")</f>
        <v>2.9180399999999999E-2</v>
      </c>
      <c r="BM586" s="117">
        <f>IFERROR($AW586*$BL586,"..")</f>
        <v>1390587325.6094742</v>
      </c>
      <c r="BN586" s="846">
        <f>IFERROR($BB586/$BM586,"..")</f>
        <v>0.16154442001802571</v>
      </c>
      <c r="BO586" s="801">
        <f t="shared" si="101"/>
        <v>32</v>
      </c>
      <c r="BP586" s="117">
        <f>VLOOKUP($D586,'WB Data'!$C$3:$M$578,9,FALSE)</f>
        <v>53.7</v>
      </c>
      <c r="BQ586" s="117">
        <f>VLOOKUP($D586,'WB Data'!$C$3:$M$578,10,FALSE)</f>
        <v>71.327902439024385</v>
      </c>
      <c r="BR586" s="117">
        <f>VLOOKUP($D586,'WB Data'!$C$3:$M$578,11,FALSE)</f>
        <v>27.5</v>
      </c>
      <c r="BS586" s="129">
        <f>IFERROR(VLOOKUP($D586,'WB Data 2'!$C$2:$K$545,9,FALSE),"..")</f>
        <v>95.268600000000006</v>
      </c>
      <c r="BT586" s="129" t="str">
        <f>_xlfn.IFNA(VLOOKUP($C586,RGI!$A$2:$C$43,2,FALSE),"..")</f>
        <v>..</v>
      </c>
      <c r="BU586" s="129" t="str">
        <f>_xlfn.IFNA(VLOOKUP($C586,RGI!$A$2:$C$43,3,FALSE),"..")</f>
        <v>..</v>
      </c>
      <c r="BV586" s="129">
        <f>VLOOKUP($D586,WGI!$C$2:$O$478,7,FALSE)</f>
        <v>-0.34866950292311899</v>
      </c>
      <c r="BW586" s="129">
        <f>VLOOKUP($D586,WGI!$C$2:$O$478,4,FALSE)</f>
        <v>-0.76425001276209303</v>
      </c>
      <c r="BX586" s="129">
        <f>VLOOKUP($D586,WGI!$C$2:$O$478,3,FALSE)</f>
        <v>-0.69949021593927097</v>
      </c>
      <c r="BY586" s="129">
        <f>VLOOKUP($D586,WGI!$C$2:$O$478,5,FALSE)</f>
        <v>-0.11199757468508301</v>
      </c>
      <c r="BZ586" s="129">
        <f>VLOOKUP($D586,WGI!$C$2:$O$478,2,FALSE)</f>
        <v>-0.46966100737468802</v>
      </c>
      <c r="CB586" s="129"/>
    </row>
    <row r="587" spans="1:80" s="120" customFormat="1" ht="15" customHeight="1">
      <c r="A587" s="407" t="s">
        <v>222</v>
      </c>
      <c r="B587" s="408">
        <v>2011</v>
      </c>
      <c r="C587" s="805" t="s">
        <v>219</v>
      </c>
      <c r="D587" s="117" t="s">
        <v>3698</v>
      </c>
      <c r="E587" s="409" t="s">
        <v>220</v>
      </c>
      <c r="F587" s="410"/>
      <c r="G587" s="410" t="s">
        <v>24</v>
      </c>
      <c r="H587" s="117" t="str">
        <f t="shared" si="96"/>
        <v>yes</v>
      </c>
      <c r="I587" s="117" t="str">
        <f t="shared" si="97"/>
        <v>no</v>
      </c>
      <c r="J587" s="117" t="str">
        <f t="shared" si="98"/>
        <v>no</v>
      </c>
      <c r="K587" s="410" t="s">
        <v>1215</v>
      </c>
      <c r="L587" s="117" t="str">
        <f t="shared" si="106"/>
        <v>detailed</v>
      </c>
      <c r="M587" s="117" t="str">
        <f t="shared" si="99"/>
        <v>detailed Mining</v>
      </c>
      <c r="N587" s="411">
        <v>44463</v>
      </c>
      <c r="O587" s="411"/>
      <c r="P587" s="411"/>
      <c r="Q587" s="411"/>
      <c r="R587" s="411"/>
      <c r="S587" s="410" t="s">
        <v>610</v>
      </c>
      <c r="T587" s="412">
        <v>61</v>
      </c>
      <c r="U587" s="410" t="s">
        <v>611</v>
      </c>
      <c r="V587" s="410" t="s">
        <v>1216</v>
      </c>
      <c r="W587" s="413">
        <f t="shared" si="107"/>
        <v>2712243</v>
      </c>
      <c r="X587" s="410"/>
      <c r="Y587" s="410"/>
      <c r="Z587" s="410"/>
      <c r="AA587" s="414"/>
      <c r="AB587" s="414"/>
      <c r="AC587" s="415"/>
      <c r="AD587" s="415"/>
      <c r="AE587" s="415"/>
      <c r="AF587" s="416"/>
      <c r="AG587" s="410"/>
      <c r="AH587" s="417"/>
      <c r="AI587" s="410"/>
      <c r="AJ587" s="410"/>
      <c r="AK587" s="413"/>
      <c r="AL587" s="410"/>
      <c r="AM587" s="410"/>
      <c r="AN587" s="410"/>
      <c r="AO587" s="410"/>
      <c r="AP587" s="410"/>
      <c r="AQ587" s="410"/>
      <c r="AR587" s="418"/>
      <c r="AS587" s="410"/>
      <c r="AT587" s="410"/>
      <c r="AU587" s="410"/>
      <c r="AV587" s="419"/>
      <c r="AW587" s="117">
        <f>VLOOKUP($D587,'WB Data'!$C$3:$M$578,2,FALSE)</f>
        <v>47654841112.852264</v>
      </c>
      <c r="AX587" s="117">
        <f>VLOOKUP($D587,'WB Data'!$C$3:$M$578,3,FALSE)</f>
        <v>14706578</v>
      </c>
      <c r="AY587" s="847">
        <f t="shared" si="102"/>
        <v>4.7139307938939981E-3</v>
      </c>
      <c r="AZ587" s="117">
        <f>VLOOKUP($D587,'WB Data'!$C$3:$M$578,4,FALSE)/100</f>
        <v>0.11399262010775933</v>
      </c>
      <c r="BA587" s="117">
        <f t="shared" si="103"/>
        <v>5432300199.2729988</v>
      </c>
      <c r="BB587" s="129">
        <f>IFERROR(VLOOKUP($D587,'EITI Revenues'!$C$2:$G$224,5,FALSE),"..")</f>
        <v>224641623</v>
      </c>
      <c r="BC587" s="846">
        <f t="shared" si="104"/>
        <v>4.135294714199772E-2</v>
      </c>
      <c r="BD587" s="129">
        <f>VLOOKUP($D587,'WB Data 2'!$C$2:$K$545,6,FALSE)</f>
        <v>1533501156.8436511</v>
      </c>
      <c r="BE587" s="129">
        <f>IFERROR(VLOOKUP($D587,UNCTAD!$C$5:$V$529,4,FALSE),"..")</f>
        <v>12757323906</v>
      </c>
      <c r="BF587" s="846">
        <f t="shared" si="105"/>
        <v>0.12020555158299444</v>
      </c>
      <c r="BG587" s="117">
        <f>VLOOKUP($D587,'WB Data'!$C$3:$M$578,5,FALSE)</f>
        <v>387910000</v>
      </c>
      <c r="BH587" s="129">
        <f>IFERROR($BB587/$BG587,"..")</f>
        <v>0.57910758423345621</v>
      </c>
      <c r="BI587" s="117">
        <f>IFERROR(VLOOKUP($D587,'WB Data'!$C$3:$M$578,7,FALSE)/100,"..")</f>
        <v>2.9180399999999999E-2</v>
      </c>
      <c r="BJ587" s="117">
        <f>IFERROR($BI587*$AW587,"..")</f>
        <v>1390587325.6094742</v>
      </c>
      <c r="BK587" s="846">
        <f>IFERROR($BB587/$BJ587,"..")</f>
        <v>0.16154442001802571</v>
      </c>
      <c r="BL587" s="117">
        <f>IFERROR(VLOOKUP($D587,'WB Data'!$C$3:$M$578,7,FALSE)/100,"..")</f>
        <v>2.9180399999999999E-2</v>
      </c>
      <c r="BM587" s="117">
        <f>IFERROR($AW587*$BL587,"..")</f>
        <v>1390587325.6094742</v>
      </c>
      <c r="BN587" s="846">
        <f>IFERROR($BB587/$BM587,"..")</f>
        <v>0.16154442001802571</v>
      </c>
      <c r="BO587" s="801">
        <f t="shared" si="101"/>
        <v>32</v>
      </c>
      <c r="BP587" s="117">
        <f>VLOOKUP($D587,'WB Data'!$C$3:$M$578,9,FALSE)</f>
        <v>53.7</v>
      </c>
      <c r="BQ587" s="117">
        <f>VLOOKUP($D587,'WB Data'!$C$3:$M$578,10,FALSE)</f>
        <v>71.327902439024385</v>
      </c>
      <c r="BR587" s="117">
        <f>VLOOKUP($D587,'WB Data'!$C$3:$M$578,11,FALSE)</f>
        <v>27.5</v>
      </c>
      <c r="BS587" s="129">
        <f>IFERROR(VLOOKUP($D587,'WB Data 2'!$C$2:$K$545,9,FALSE),"..")</f>
        <v>95.268600000000006</v>
      </c>
      <c r="BT587" s="129" t="str">
        <f>_xlfn.IFNA(VLOOKUP($C587,RGI!$A$2:$C$43,2,FALSE),"..")</f>
        <v>..</v>
      </c>
      <c r="BU587" s="129" t="str">
        <f>_xlfn.IFNA(VLOOKUP($C587,RGI!$A$2:$C$43,3,FALSE),"..")</f>
        <v>..</v>
      </c>
      <c r="BV587" s="129">
        <f>VLOOKUP($D587,WGI!$C$2:$O$478,7,FALSE)</f>
        <v>-0.34866950292311899</v>
      </c>
      <c r="BW587" s="129">
        <f>VLOOKUP($D587,WGI!$C$2:$O$478,4,FALSE)</f>
        <v>-0.76425001276209303</v>
      </c>
      <c r="BX587" s="129">
        <f>VLOOKUP($D587,WGI!$C$2:$O$478,3,FALSE)</f>
        <v>-0.69949021593927097</v>
      </c>
      <c r="BY587" s="129">
        <f>VLOOKUP($D587,WGI!$C$2:$O$478,5,FALSE)</f>
        <v>-0.11199757468508301</v>
      </c>
      <c r="BZ587" s="129">
        <f>VLOOKUP($D587,WGI!$C$2:$O$478,2,FALSE)</f>
        <v>-0.46966100737468802</v>
      </c>
      <c r="CB587" s="129"/>
    </row>
    <row r="588" spans="1:80" s="120" customFormat="1" ht="15" customHeight="1">
      <c r="A588" s="407" t="s">
        <v>222</v>
      </c>
      <c r="B588" s="408">
        <v>2011</v>
      </c>
      <c r="C588" s="805" t="s">
        <v>219</v>
      </c>
      <c r="D588" s="117" t="s">
        <v>3698</v>
      </c>
      <c r="E588" s="409" t="s">
        <v>220</v>
      </c>
      <c r="F588" s="410"/>
      <c r="G588" s="410" t="s">
        <v>24</v>
      </c>
      <c r="H588" s="117" t="str">
        <f t="shared" si="96"/>
        <v>yes</v>
      </c>
      <c r="I588" s="117" t="str">
        <f t="shared" si="97"/>
        <v>no</v>
      </c>
      <c r="J588" s="117" t="str">
        <f t="shared" si="98"/>
        <v>no</v>
      </c>
      <c r="K588" s="410" t="s">
        <v>609</v>
      </c>
      <c r="L588" s="117" t="str">
        <f t="shared" si="106"/>
        <v>detailed</v>
      </c>
      <c r="M588" s="117" t="str">
        <f t="shared" si="99"/>
        <v>detailed Mining</v>
      </c>
      <c r="N588" s="411">
        <v>1600000</v>
      </c>
      <c r="O588" s="411"/>
      <c r="P588" s="411"/>
      <c r="Q588" s="411"/>
      <c r="R588" s="411"/>
      <c r="S588" s="410" t="s">
        <v>610</v>
      </c>
      <c r="T588" s="412">
        <v>89.5</v>
      </c>
      <c r="U588" s="410" t="s">
        <v>611</v>
      </c>
      <c r="V588" s="410" t="s">
        <v>1217</v>
      </c>
      <c r="W588" s="413">
        <f t="shared" si="107"/>
        <v>143200000</v>
      </c>
      <c r="X588" s="410"/>
      <c r="Y588" s="410"/>
      <c r="Z588" s="410"/>
      <c r="AA588" s="414"/>
      <c r="AB588" s="414"/>
      <c r="AC588" s="415"/>
      <c r="AD588" s="415"/>
      <c r="AE588" s="415"/>
      <c r="AF588" s="416"/>
      <c r="AG588" s="410"/>
      <c r="AH588" s="417"/>
      <c r="AI588" s="410"/>
      <c r="AJ588" s="410"/>
      <c r="AK588" s="413"/>
      <c r="AL588" s="410"/>
      <c r="AM588" s="410"/>
      <c r="AN588" s="410"/>
      <c r="AO588" s="410"/>
      <c r="AP588" s="410"/>
      <c r="AQ588" s="410"/>
      <c r="AR588" s="418"/>
      <c r="AS588" s="410"/>
      <c r="AT588" s="410"/>
      <c r="AU588" s="410"/>
      <c r="AV588" s="419"/>
      <c r="AW588" s="117">
        <f>VLOOKUP($D588,'WB Data'!$C$3:$M$578,2,FALSE)</f>
        <v>47654841112.852264</v>
      </c>
      <c r="AX588" s="117">
        <f>VLOOKUP($D588,'WB Data'!$C$3:$M$578,3,FALSE)</f>
        <v>14706578</v>
      </c>
      <c r="AY588" s="847">
        <f t="shared" si="102"/>
        <v>4.7139307938939981E-3</v>
      </c>
      <c r="AZ588" s="117">
        <f>VLOOKUP($D588,'WB Data'!$C$3:$M$578,4,FALSE)/100</f>
        <v>0.11399262010775933</v>
      </c>
      <c r="BA588" s="117">
        <f t="shared" si="103"/>
        <v>5432300199.2729988</v>
      </c>
      <c r="BB588" s="129">
        <f>IFERROR(VLOOKUP($D588,'EITI Revenues'!$C$2:$G$224,5,FALSE),"..")</f>
        <v>224641623</v>
      </c>
      <c r="BC588" s="846">
        <f t="shared" si="104"/>
        <v>4.135294714199772E-2</v>
      </c>
      <c r="BD588" s="129">
        <f>VLOOKUP($D588,'WB Data 2'!$C$2:$K$545,6,FALSE)</f>
        <v>1533501156.8436511</v>
      </c>
      <c r="BE588" s="129">
        <f>IFERROR(VLOOKUP($D588,UNCTAD!$C$5:$V$529,4,FALSE),"..")</f>
        <v>12757323906</v>
      </c>
      <c r="BF588" s="846">
        <f t="shared" si="105"/>
        <v>0.12020555158299444</v>
      </c>
      <c r="BG588" s="117">
        <f>VLOOKUP($D588,'WB Data'!$C$3:$M$578,5,FALSE)</f>
        <v>387910000</v>
      </c>
      <c r="BH588" s="129">
        <f>IFERROR($BB588/$BG588,"..")</f>
        <v>0.57910758423345621</v>
      </c>
      <c r="BI588" s="117">
        <f>IFERROR(VLOOKUP($D588,'WB Data'!$C$3:$M$578,7,FALSE)/100,"..")</f>
        <v>2.9180399999999999E-2</v>
      </c>
      <c r="BJ588" s="117">
        <f>IFERROR($BI588*$AW588,"..")</f>
        <v>1390587325.6094742</v>
      </c>
      <c r="BK588" s="846">
        <f>IFERROR($BB588/$BJ588,"..")</f>
        <v>0.16154442001802571</v>
      </c>
      <c r="BL588" s="117">
        <f>IFERROR(VLOOKUP($D588,'WB Data'!$C$3:$M$578,7,FALSE)/100,"..")</f>
        <v>2.9180399999999999E-2</v>
      </c>
      <c r="BM588" s="117">
        <f>IFERROR($AW588*$BL588,"..")</f>
        <v>1390587325.6094742</v>
      </c>
      <c r="BN588" s="846">
        <f>IFERROR($BB588/$BM588,"..")</f>
        <v>0.16154442001802571</v>
      </c>
      <c r="BO588" s="801">
        <f t="shared" si="101"/>
        <v>32</v>
      </c>
      <c r="BP588" s="117">
        <f>VLOOKUP($D588,'WB Data'!$C$3:$M$578,9,FALSE)</f>
        <v>53.7</v>
      </c>
      <c r="BQ588" s="117">
        <f>VLOOKUP($D588,'WB Data'!$C$3:$M$578,10,FALSE)</f>
        <v>71.327902439024385</v>
      </c>
      <c r="BR588" s="117">
        <f>VLOOKUP($D588,'WB Data'!$C$3:$M$578,11,FALSE)</f>
        <v>27.5</v>
      </c>
      <c r="BS588" s="129">
        <f>IFERROR(VLOOKUP($D588,'WB Data 2'!$C$2:$K$545,9,FALSE),"..")</f>
        <v>95.268600000000006</v>
      </c>
      <c r="BT588" s="129" t="str">
        <f>_xlfn.IFNA(VLOOKUP($C588,RGI!$A$2:$C$43,2,FALSE),"..")</f>
        <v>..</v>
      </c>
      <c r="BU588" s="129" t="str">
        <f>_xlfn.IFNA(VLOOKUP($C588,RGI!$A$2:$C$43,3,FALSE),"..")</f>
        <v>..</v>
      </c>
      <c r="BV588" s="129">
        <f>VLOOKUP($D588,WGI!$C$2:$O$478,7,FALSE)</f>
        <v>-0.34866950292311899</v>
      </c>
      <c r="BW588" s="129">
        <f>VLOOKUP($D588,WGI!$C$2:$O$478,4,FALSE)</f>
        <v>-0.76425001276209303</v>
      </c>
      <c r="BX588" s="129">
        <f>VLOOKUP($D588,WGI!$C$2:$O$478,3,FALSE)</f>
        <v>-0.69949021593927097</v>
      </c>
      <c r="BY588" s="129">
        <f>VLOOKUP($D588,WGI!$C$2:$O$478,5,FALSE)</f>
        <v>-0.11199757468508301</v>
      </c>
      <c r="BZ588" s="129">
        <f>VLOOKUP($D588,WGI!$C$2:$O$478,2,FALSE)</f>
        <v>-0.46966100737468802</v>
      </c>
      <c r="CB588" s="129"/>
    </row>
    <row r="589" spans="1:80" s="120" customFormat="1" ht="15" customHeight="1">
      <c r="A589" s="407" t="s">
        <v>222</v>
      </c>
      <c r="B589" s="408">
        <v>2011</v>
      </c>
      <c r="C589" s="805" t="s">
        <v>219</v>
      </c>
      <c r="D589" s="117" t="s">
        <v>3698</v>
      </c>
      <c r="E589" s="409" t="s">
        <v>220</v>
      </c>
      <c r="F589" s="410"/>
      <c r="G589" s="410" t="s">
        <v>24</v>
      </c>
      <c r="H589" s="117" t="str">
        <f t="shared" si="96"/>
        <v>yes</v>
      </c>
      <c r="I589" s="117" t="str">
        <f t="shared" si="97"/>
        <v>no</v>
      </c>
      <c r="J589" s="117" t="str">
        <f t="shared" si="98"/>
        <v>no</v>
      </c>
      <c r="K589" s="410" t="s">
        <v>1218</v>
      </c>
      <c r="L589" s="117" t="str">
        <f t="shared" si="106"/>
        <v>detailed</v>
      </c>
      <c r="M589" s="117" t="str">
        <f t="shared" si="99"/>
        <v>detailed Mining</v>
      </c>
      <c r="N589" s="411">
        <f>4908000*0.74</f>
        <v>3631920</v>
      </c>
      <c r="O589" s="411"/>
      <c r="P589" s="411"/>
      <c r="Q589" s="411"/>
      <c r="R589" s="411"/>
      <c r="S589" s="410" t="s">
        <v>610</v>
      </c>
      <c r="T589" s="412">
        <v>9.9700000000000006</v>
      </c>
      <c r="U589" s="410" t="s">
        <v>611</v>
      </c>
      <c r="V589" s="410" t="s">
        <v>1249</v>
      </c>
      <c r="W589" s="413">
        <f t="shared" si="107"/>
        <v>36210242.400000006</v>
      </c>
      <c r="X589" s="410"/>
      <c r="Y589" s="410"/>
      <c r="Z589" s="410"/>
      <c r="AA589" s="414"/>
      <c r="AB589" s="414"/>
      <c r="AC589" s="415"/>
      <c r="AD589" s="415"/>
      <c r="AE589" s="415"/>
      <c r="AF589" s="416"/>
      <c r="AG589" s="410"/>
      <c r="AH589" s="417"/>
      <c r="AI589" s="410"/>
      <c r="AJ589" s="410"/>
      <c r="AK589" s="413"/>
      <c r="AL589" s="410"/>
      <c r="AM589" s="410"/>
      <c r="AN589" s="410"/>
      <c r="AO589" s="410"/>
      <c r="AP589" s="410"/>
      <c r="AQ589" s="410"/>
      <c r="AR589" s="418"/>
      <c r="AS589" s="410"/>
      <c r="AT589" s="410"/>
      <c r="AU589" s="410"/>
      <c r="AV589" s="419"/>
      <c r="AW589" s="117">
        <f>VLOOKUP($D589,'WB Data'!$C$3:$M$578,2,FALSE)</f>
        <v>47654841112.852264</v>
      </c>
      <c r="AX589" s="117">
        <f>VLOOKUP($D589,'WB Data'!$C$3:$M$578,3,FALSE)</f>
        <v>14706578</v>
      </c>
      <c r="AY589" s="847">
        <f t="shared" si="102"/>
        <v>4.7139307938939981E-3</v>
      </c>
      <c r="AZ589" s="117">
        <f>VLOOKUP($D589,'WB Data'!$C$3:$M$578,4,FALSE)/100</f>
        <v>0.11399262010775933</v>
      </c>
      <c r="BA589" s="117">
        <f t="shared" si="103"/>
        <v>5432300199.2729988</v>
      </c>
      <c r="BB589" s="129">
        <f>IFERROR(VLOOKUP($D589,'EITI Revenues'!$C$2:$G$224,5,FALSE),"..")</f>
        <v>224641623</v>
      </c>
      <c r="BC589" s="846">
        <f t="shared" si="104"/>
        <v>4.135294714199772E-2</v>
      </c>
      <c r="BD589" s="129">
        <f>VLOOKUP($D589,'WB Data 2'!$C$2:$K$545,6,FALSE)</f>
        <v>1533501156.8436511</v>
      </c>
      <c r="BE589" s="129">
        <f>IFERROR(VLOOKUP($D589,UNCTAD!$C$5:$V$529,4,FALSE),"..")</f>
        <v>12757323906</v>
      </c>
      <c r="BF589" s="846">
        <f t="shared" si="105"/>
        <v>0.12020555158299444</v>
      </c>
      <c r="BG589" s="117">
        <f>VLOOKUP($D589,'WB Data'!$C$3:$M$578,5,FALSE)</f>
        <v>387910000</v>
      </c>
      <c r="BH589" s="129">
        <f>IFERROR($BB589/$BG589,"..")</f>
        <v>0.57910758423345621</v>
      </c>
      <c r="BI589" s="117">
        <f>IFERROR(VLOOKUP($D589,'WB Data'!$C$3:$M$578,7,FALSE)/100,"..")</f>
        <v>2.9180399999999999E-2</v>
      </c>
      <c r="BJ589" s="117">
        <f>IFERROR($BI589*$AW589,"..")</f>
        <v>1390587325.6094742</v>
      </c>
      <c r="BK589" s="846">
        <f>IFERROR($BB589/$BJ589,"..")</f>
        <v>0.16154442001802571</v>
      </c>
      <c r="BL589" s="117">
        <f>IFERROR(VLOOKUP($D589,'WB Data'!$C$3:$M$578,7,FALSE)/100,"..")</f>
        <v>2.9180399999999999E-2</v>
      </c>
      <c r="BM589" s="117">
        <f>IFERROR($AW589*$BL589,"..")</f>
        <v>1390587325.6094742</v>
      </c>
      <c r="BN589" s="846">
        <f>IFERROR($BB589/$BM589,"..")</f>
        <v>0.16154442001802571</v>
      </c>
      <c r="BO589" s="801">
        <f t="shared" si="101"/>
        <v>32</v>
      </c>
      <c r="BP589" s="117">
        <f>VLOOKUP($D589,'WB Data'!$C$3:$M$578,9,FALSE)</f>
        <v>53.7</v>
      </c>
      <c r="BQ589" s="117">
        <f>VLOOKUP($D589,'WB Data'!$C$3:$M$578,10,FALSE)</f>
        <v>71.327902439024385</v>
      </c>
      <c r="BR589" s="117">
        <f>VLOOKUP($D589,'WB Data'!$C$3:$M$578,11,FALSE)</f>
        <v>27.5</v>
      </c>
      <c r="BS589" s="129">
        <f>IFERROR(VLOOKUP($D589,'WB Data 2'!$C$2:$K$545,9,FALSE),"..")</f>
        <v>95.268600000000006</v>
      </c>
      <c r="BT589" s="129" t="str">
        <f>_xlfn.IFNA(VLOOKUP($C589,RGI!$A$2:$C$43,2,FALSE),"..")</f>
        <v>..</v>
      </c>
      <c r="BU589" s="129" t="str">
        <f>_xlfn.IFNA(VLOOKUP($C589,RGI!$A$2:$C$43,3,FALSE),"..")</f>
        <v>..</v>
      </c>
      <c r="BV589" s="129">
        <f>VLOOKUP($D589,WGI!$C$2:$O$478,7,FALSE)</f>
        <v>-0.34866950292311899</v>
      </c>
      <c r="BW589" s="129">
        <f>VLOOKUP($D589,WGI!$C$2:$O$478,4,FALSE)</f>
        <v>-0.76425001276209303</v>
      </c>
      <c r="BX589" s="129">
        <f>VLOOKUP($D589,WGI!$C$2:$O$478,3,FALSE)</f>
        <v>-0.69949021593927097</v>
      </c>
      <c r="BY589" s="129">
        <f>VLOOKUP($D589,WGI!$C$2:$O$478,5,FALSE)</f>
        <v>-0.11199757468508301</v>
      </c>
      <c r="BZ589" s="129">
        <f>VLOOKUP($D589,WGI!$C$2:$O$478,2,FALSE)</f>
        <v>-0.46966100737468802</v>
      </c>
      <c r="CB589" s="129"/>
    </row>
    <row r="590" spans="1:80" s="120" customFormat="1" ht="15" customHeight="1">
      <c r="A590" s="407" t="s">
        <v>222</v>
      </c>
      <c r="B590" s="408">
        <v>2011</v>
      </c>
      <c r="C590" s="805" t="s">
        <v>219</v>
      </c>
      <c r="D590" s="117" t="s">
        <v>3698</v>
      </c>
      <c r="E590" s="409" t="s">
        <v>220</v>
      </c>
      <c r="F590" s="410"/>
      <c r="G590" s="410" t="s">
        <v>24</v>
      </c>
      <c r="H590" s="117" t="str">
        <f t="shared" si="96"/>
        <v>yes</v>
      </c>
      <c r="I590" s="117" t="str">
        <f t="shared" si="97"/>
        <v>no</v>
      </c>
      <c r="J590" s="117" t="str">
        <f t="shared" si="98"/>
        <v>no</v>
      </c>
      <c r="K590" s="410" t="s">
        <v>1220</v>
      </c>
      <c r="L590" s="117" t="str">
        <f t="shared" si="106"/>
        <v>detailed</v>
      </c>
      <c r="M590" s="117" t="str">
        <f t="shared" si="99"/>
        <v>detailed Mining</v>
      </c>
      <c r="N590" s="411">
        <v>2890</v>
      </c>
      <c r="O590" s="411"/>
      <c r="P590" s="411"/>
      <c r="Q590" s="411"/>
      <c r="R590" s="411"/>
      <c r="S590" s="410" t="s">
        <v>610</v>
      </c>
      <c r="T590" s="412">
        <v>62</v>
      </c>
      <c r="U590" s="410" t="s">
        <v>611</v>
      </c>
      <c r="V590" s="410" t="s">
        <v>1221</v>
      </c>
      <c r="W590" s="413">
        <f t="shared" si="107"/>
        <v>179180</v>
      </c>
      <c r="X590" s="410"/>
      <c r="Y590" s="410"/>
      <c r="Z590" s="410"/>
      <c r="AA590" s="414"/>
      <c r="AB590" s="414"/>
      <c r="AC590" s="415"/>
      <c r="AD590" s="415"/>
      <c r="AE590" s="415"/>
      <c r="AF590" s="416"/>
      <c r="AG590" s="410"/>
      <c r="AH590" s="417"/>
      <c r="AI590" s="410"/>
      <c r="AJ590" s="410"/>
      <c r="AK590" s="413"/>
      <c r="AL590" s="410"/>
      <c r="AM590" s="410"/>
      <c r="AN590" s="410"/>
      <c r="AO590" s="410"/>
      <c r="AP590" s="410"/>
      <c r="AQ590" s="410"/>
      <c r="AR590" s="418"/>
      <c r="AS590" s="410"/>
      <c r="AT590" s="410"/>
      <c r="AU590" s="410"/>
      <c r="AV590" s="419"/>
      <c r="AW590" s="117">
        <f>VLOOKUP($D590,'WB Data'!$C$3:$M$578,2,FALSE)</f>
        <v>47654841112.852264</v>
      </c>
      <c r="AX590" s="117">
        <f>VLOOKUP($D590,'WB Data'!$C$3:$M$578,3,FALSE)</f>
        <v>14706578</v>
      </c>
      <c r="AY590" s="847">
        <f t="shared" si="102"/>
        <v>4.7139307938939981E-3</v>
      </c>
      <c r="AZ590" s="117">
        <f>VLOOKUP($D590,'WB Data'!$C$3:$M$578,4,FALSE)/100</f>
        <v>0.11399262010775933</v>
      </c>
      <c r="BA590" s="117">
        <f t="shared" si="103"/>
        <v>5432300199.2729988</v>
      </c>
      <c r="BB590" s="129">
        <f>IFERROR(VLOOKUP($D590,'EITI Revenues'!$C$2:$G$224,5,FALSE),"..")</f>
        <v>224641623</v>
      </c>
      <c r="BC590" s="846">
        <f t="shared" si="104"/>
        <v>4.135294714199772E-2</v>
      </c>
      <c r="BD590" s="129">
        <f>VLOOKUP($D590,'WB Data 2'!$C$2:$K$545,6,FALSE)</f>
        <v>1533501156.8436511</v>
      </c>
      <c r="BE590" s="129">
        <f>IFERROR(VLOOKUP($D590,UNCTAD!$C$5:$V$529,4,FALSE),"..")</f>
        <v>12757323906</v>
      </c>
      <c r="BF590" s="846">
        <f t="shared" si="105"/>
        <v>0.12020555158299444</v>
      </c>
      <c r="BG590" s="117">
        <f>VLOOKUP($D590,'WB Data'!$C$3:$M$578,5,FALSE)</f>
        <v>387910000</v>
      </c>
      <c r="BH590" s="129">
        <f>IFERROR($BB590/$BG590,"..")</f>
        <v>0.57910758423345621</v>
      </c>
      <c r="BI590" s="117">
        <f>IFERROR(VLOOKUP($D590,'WB Data'!$C$3:$M$578,7,FALSE)/100,"..")</f>
        <v>2.9180399999999999E-2</v>
      </c>
      <c r="BJ590" s="117">
        <f>IFERROR($BI590*$AW590,"..")</f>
        <v>1390587325.6094742</v>
      </c>
      <c r="BK590" s="846">
        <f>IFERROR($BB590/$BJ590,"..")</f>
        <v>0.16154442001802571</v>
      </c>
      <c r="BL590" s="117">
        <f>IFERROR(VLOOKUP($D590,'WB Data'!$C$3:$M$578,7,FALSE)/100,"..")</f>
        <v>2.9180399999999999E-2</v>
      </c>
      <c r="BM590" s="117">
        <f>IFERROR($AW590*$BL590,"..")</f>
        <v>1390587325.6094742</v>
      </c>
      <c r="BN590" s="846">
        <f>IFERROR($BB590/$BM590,"..")</f>
        <v>0.16154442001802571</v>
      </c>
      <c r="BO590" s="801">
        <f t="shared" si="101"/>
        <v>32</v>
      </c>
      <c r="BP590" s="117">
        <f>VLOOKUP($D590,'WB Data'!$C$3:$M$578,9,FALSE)</f>
        <v>53.7</v>
      </c>
      <c r="BQ590" s="117">
        <f>VLOOKUP($D590,'WB Data'!$C$3:$M$578,10,FALSE)</f>
        <v>71.327902439024385</v>
      </c>
      <c r="BR590" s="117">
        <f>VLOOKUP($D590,'WB Data'!$C$3:$M$578,11,FALSE)</f>
        <v>27.5</v>
      </c>
      <c r="BS590" s="129">
        <f>IFERROR(VLOOKUP($D590,'WB Data 2'!$C$2:$K$545,9,FALSE),"..")</f>
        <v>95.268600000000006</v>
      </c>
      <c r="BT590" s="129" t="str">
        <f>_xlfn.IFNA(VLOOKUP($C590,RGI!$A$2:$C$43,2,FALSE),"..")</f>
        <v>..</v>
      </c>
      <c r="BU590" s="129" t="str">
        <f>_xlfn.IFNA(VLOOKUP($C590,RGI!$A$2:$C$43,3,FALSE),"..")</f>
        <v>..</v>
      </c>
      <c r="BV590" s="129">
        <f>VLOOKUP($D590,WGI!$C$2:$O$478,7,FALSE)</f>
        <v>-0.34866950292311899</v>
      </c>
      <c r="BW590" s="129">
        <f>VLOOKUP($D590,WGI!$C$2:$O$478,4,FALSE)</f>
        <v>-0.76425001276209303</v>
      </c>
      <c r="BX590" s="129">
        <f>VLOOKUP($D590,WGI!$C$2:$O$478,3,FALSE)</f>
        <v>-0.69949021593927097</v>
      </c>
      <c r="BY590" s="129">
        <f>VLOOKUP($D590,WGI!$C$2:$O$478,5,FALSE)</f>
        <v>-0.11199757468508301</v>
      </c>
      <c r="BZ590" s="129">
        <f>VLOOKUP($D590,WGI!$C$2:$O$478,2,FALSE)</f>
        <v>-0.46966100737468802</v>
      </c>
      <c r="CB590" s="129"/>
    </row>
    <row r="591" spans="1:80" s="120" customFormat="1" ht="15" customHeight="1">
      <c r="A591" s="407" t="s">
        <v>222</v>
      </c>
      <c r="B591" s="408">
        <v>2011</v>
      </c>
      <c r="C591" s="805" t="s">
        <v>219</v>
      </c>
      <c r="D591" s="117" t="s">
        <v>3698</v>
      </c>
      <c r="E591" s="409" t="s">
        <v>220</v>
      </c>
      <c r="F591" s="410"/>
      <c r="G591" s="410" t="s">
        <v>24</v>
      </c>
      <c r="H591" s="117" t="str">
        <f t="shared" si="96"/>
        <v>yes</v>
      </c>
      <c r="I591" s="117" t="str">
        <f t="shared" si="97"/>
        <v>no</v>
      </c>
      <c r="J591" s="117" t="str">
        <f t="shared" si="98"/>
        <v>no</v>
      </c>
      <c r="K591" s="410" t="s">
        <v>1222</v>
      </c>
      <c r="L591" s="117" t="str">
        <f t="shared" si="106"/>
        <v>detailed</v>
      </c>
      <c r="M591" s="117" t="str">
        <f t="shared" si="99"/>
        <v>detailed Mining</v>
      </c>
      <c r="N591" s="411">
        <v>152000</v>
      </c>
      <c r="O591" s="411"/>
      <c r="P591" s="411"/>
      <c r="Q591" s="411"/>
      <c r="R591" s="411"/>
      <c r="S591" s="410" t="s">
        <v>610</v>
      </c>
      <c r="T591" s="412">
        <v>12</v>
      </c>
      <c r="U591" s="410" t="s">
        <v>611</v>
      </c>
      <c r="V591" s="410" t="s">
        <v>1223</v>
      </c>
      <c r="W591" s="413">
        <f t="shared" si="107"/>
        <v>1824000</v>
      </c>
      <c r="X591" s="410"/>
      <c r="Y591" s="410"/>
      <c r="Z591" s="410"/>
      <c r="AA591" s="414"/>
      <c r="AB591" s="414"/>
      <c r="AC591" s="415"/>
      <c r="AD591" s="415"/>
      <c r="AE591" s="415"/>
      <c r="AF591" s="416"/>
      <c r="AG591" s="410"/>
      <c r="AH591" s="417"/>
      <c r="AI591" s="410"/>
      <c r="AJ591" s="410"/>
      <c r="AK591" s="413"/>
      <c r="AL591" s="410"/>
      <c r="AM591" s="410"/>
      <c r="AN591" s="410"/>
      <c r="AO591" s="410"/>
      <c r="AP591" s="410"/>
      <c r="AQ591" s="410"/>
      <c r="AR591" s="418"/>
      <c r="AS591" s="410"/>
      <c r="AT591" s="410"/>
      <c r="AU591" s="410"/>
      <c r="AV591" s="419"/>
      <c r="AW591" s="117">
        <f>VLOOKUP($D591,'WB Data'!$C$3:$M$578,2,FALSE)</f>
        <v>47654841112.852264</v>
      </c>
      <c r="AX591" s="117">
        <f>VLOOKUP($D591,'WB Data'!$C$3:$M$578,3,FALSE)</f>
        <v>14706578</v>
      </c>
      <c r="AY591" s="847">
        <f t="shared" si="102"/>
        <v>4.7139307938939981E-3</v>
      </c>
      <c r="AZ591" s="117">
        <f>VLOOKUP($D591,'WB Data'!$C$3:$M$578,4,FALSE)/100</f>
        <v>0.11399262010775933</v>
      </c>
      <c r="BA591" s="117">
        <f t="shared" si="103"/>
        <v>5432300199.2729988</v>
      </c>
      <c r="BB591" s="129">
        <f>IFERROR(VLOOKUP($D591,'EITI Revenues'!$C$2:$G$224,5,FALSE),"..")</f>
        <v>224641623</v>
      </c>
      <c r="BC591" s="846">
        <f t="shared" si="104"/>
        <v>4.135294714199772E-2</v>
      </c>
      <c r="BD591" s="129">
        <f>VLOOKUP($D591,'WB Data 2'!$C$2:$K$545,6,FALSE)</f>
        <v>1533501156.8436511</v>
      </c>
      <c r="BE591" s="129">
        <f>IFERROR(VLOOKUP($D591,UNCTAD!$C$5:$V$529,4,FALSE),"..")</f>
        <v>12757323906</v>
      </c>
      <c r="BF591" s="846">
        <f t="shared" si="105"/>
        <v>0.12020555158299444</v>
      </c>
      <c r="BG591" s="117">
        <f>VLOOKUP($D591,'WB Data'!$C$3:$M$578,5,FALSE)</f>
        <v>387910000</v>
      </c>
      <c r="BH591" s="129">
        <f>IFERROR($BB591/$BG591,"..")</f>
        <v>0.57910758423345621</v>
      </c>
      <c r="BI591" s="117">
        <f>IFERROR(VLOOKUP($D591,'WB Data'!$C$3:$M$578,7,FALSE)/100,"..")</f>
        <v>2.9180399999999999E-2</v>
      </c>
      <c r="BJ591" s="117">
        <f>IFERROR($BI591*$AW591,"..")</f>
        <v>1390587325.6094742</v>
      </c>
      <c r="BK591" s="846">
        <f>IFERROR($BB591/$BJ591,"..")</f>
        <v>0.16154442001802571</v>
      </c>
      <c r="BL591" s="117">
        <f>IFERROR(VLOOKUP($D591,'WB Data'!$C$3:$M$578,7,FALSE)/100,"..")</f>
        <v>2.9180399999999999E-2</v>
      </c>
      <c r="BM591" s="117">
        <f>IFERROR($AW591*$BL591,"..")</f>
        <v>1390587325.6094742</v>
      </c>
      <c r="BN591" s="846">
        <f>IFERROR($BB591/$BM591,"..")</f>
        <v>0.16154442001802571</v>
      </c>
      <c r="BO591" s="801">
        <f t="shared" si="101"/>
        <v>32</v>
      </c>
      <c r="BP591" s="117">
        <f>VLOOKUP($D591,'WB Data'!$C$3:$M$578,9,FALSE)</f>
        <v>53.7</v>
      </c>
      <c r="BQ591" s="117">
        <f>VLOOKUP($D591,'WB Data'!$C$3:$M$578,10,FALSE)</f>
        <v>71.327902439024385</v>
      </c>
      <c r="BR591" s="117">
        <f>VLOOKUP($D591,'WB Data'!$C$3:$M$578,11,FALSE)</f>
        <v>27.5</v>
      </c>
      <c r="BS591" s="129">
        <f>IFERROR(VLOOKUP($D591,'WB Data 2'!$C$2:$K$545,9,FALSE),"..")</f>
        <v>95.268600000000006</v>
      </c>
      <c r="BT591" s="129" t="str">
        <f>_xlfn.IFNA(VLOOKUP($C591,RGI!$A$2:$C$43,2,FALSE),"..")</f>
        <v>..</v>
      </c>
      <c r="BU591" s="129" t="str">
        <f>_xlfn.IFNA(VLOOKUP($C591,RGI!$A$2:$C$43,3,FALSE),"..")</f>
        <v>..</v>
      </c>
      <c r="BV591" s="129">
        <f>VLOOKUP($D591,WGI!$C$2:$O$478,7,FALSE)</f>
        <v>-0.34866950292311899</v>
      </c>
      <c r="BW591" s="129">
        <f>VLOOKUP($D591,WGI!$C$2:$O$478,4,FALSE)</f>
        <v>-0.76425001276209303</v>
      </c>
      <c r="BX591" s="129">
        <f>VLOOKUP($D591,WGI!$C$2:$O$478,3,FALSE)</f>
        <v>-0.69949021593927097</v>
      </c>
      <c r="BY591" s="129">
        <f>VLOOKUP($D591,WGI!$C$2:$O$478,5,FALSE)</f>
        <v>-0.11199757468508301</v>
      </c>
      <c r="BZ591" s="129">
        <f>VLOOKUP($D591,WGI!$C$2:$O$478,2,FALSE)</f>
        <v>-0.46966100737468802</v>
      </c>
      <c r="CB591" s="129"/>
    </row>
    <row r="592" spans="1:80" s="120" customFormat="1" ht="15" customHeight="1">
      <c r="A592" s="407" t="s">
        <v>222</v>
      </c>
      <c r="B592" s="408">
        <v>2011</v>
      </c>
      <c r="C592" s="805" t="s">
        <v>219</v>
      </c>
      <c r="D592" s="117" t="s">
        <v>3698</v>
      </c>
      <c r="E592" s="409" t="s">
        <v>220</v>
      </c>
      <c r="F592" s="410"/>
      <c r="G592" s="410" t="s">
        <v>24</v>
      </c>
      <c r="H592" s="117" t="str">
        <f t="shared" si="96"/>
        <v>yes</v>
      </c>
      <c r="I592" s="117" t="str">
        <f t="shared" si="97"/>
        <v>no</v>
      </c>
      <c r="J592" s="117" t="str">
        <f t="shared" si="98"/>
        <v>no</v>
      </c>
      <c r="K592" s="410" t="s">
        <v>1224</v>
      </c>
      <c r="L592" s="117" t="str">
        <f t="shared" si="106"/>
        <v>detailed</v>
      </c>
      <c r="M592" s="117" t="str">
        <f t="shared" si="99"/>
        <v>detailed Mining</v>
      </c>
      <c r="N592" s="411">
        <v>70000</v>
      </c>
      <c r="O592" s="411"/>
      <c r="P592" s="411"/>
      <c r="Q592" s="411"/>
      <c r="R592" s="411"/>
      <c r="S592" s="410" t="s">
        <v>642</v>
      </c>
      <c r="T592" s="412"/>
      <c r="U592" s="410"/>
      <c r="V592" s="410" t="s">
        <v>684</v>
      </c>
      <c r="W592" s="413"/>
      <c r="X592" s="410"/>
      <c r="Y592" s="410"/>
      <c r="Z592" s="410"/>
      <c r="AA592" s="414"/>
      <c r="AB592" s="414"/>
      <c r="AC592" s="415"/>
      <c r="AD592" s="415"/>
      <c r="AE592" s="415"/>
      <c r="AF592" s="416"/>
      <c r="AG592" s="410"/>
      <c r="AH592" s="417"/>
      <c r="AI592" s="410"/>
      <c r="AJ592" s="410"/>
      <c r="AK592" s="413"/>
      <c r="AL592" s="410"/>
      <c r="AM592" s="410"/>
      <c r="AN592" s="410"/>
      <c r="AO592" s="410"/>
      <c r="AP592" s="410"/>
      <c r="AQ592" s="410"/>
      <c r="AR592" s="418"/>
      <c r="AS592" s="410"/>
      <c r="AT592" s="410"/>
      <c r="AU592" s="410"/>
      <c r="AV592" s="419"/>
      <c r="AW592" s="117">
        <f>VLOOKUP($D592,'WB Data'!$C$3:$M$578,2,FALSE)</f>
        <v>47654841112.852264</v>
      </c>
      <c r="AX592" s="117">
        <f>VLOOKUP($D592,'WB Data'!$C$3:$M$578,3,FALSE)</f>
        <v>14706578</v>
      </c>
      <c r="AY592" s="847">
        <f t="shared" si="102"/>
        <v>4.7139307938939981E-3</v>
      </c>
      <c r="AZ592" s="117">
        <f>VLOOKUP($D592,'WB Data'!$C$3:$M$578,4,FALSE)/100</f>
        <v>0.11399262010775933</v>
      </c>
      <c r="BA592" s="117">
        <f t="shared" si="103"/>
        <v>5432300199.2729988</v>
      </c>
      <c r="BB592" s="129">
        <f>IFERROR(VLOOKUP($D592,'EITI Revenues'!$C$2:$G$224,5,FALSE),"..")</f>
        <v>224641623</v>
      </c>
      <c r="BC592" s="846">
        <f t="shared" si="104"/>
        <v>4.135294714199772E-2</v>
      </c>
      <c r="BD592" s="129">
        <f>VLOOKUP($D592,'WB Data 2'!$C$2:$K$545,6,FALSE)</f>
        <v>1533501156.8436511</v>
      </c>
      <c r="BE592" s="129">
        <f>IFERROR(VLOOKUP($D592,UNCTAD!$C$5:$V$529,4,FALSE),"..")</f>
        <v>12757323906</v>
      </c>
      <c r="BF592" s="846">
        <f t="shared" si="105"/>
        <v>0.12020555158299444</v>
      </c>
      <c r="BG592" s="117">
        <f>VLOOKUP($D592,'WB Data'!$C$3:$M$578,5,FALSE)</f>
        <v>387910000</v>
      </c>
      <c r="BH592" s="129">
        <f>IFERROR($BB592/$BG592,"..")</f>
        <v>0.57910758423345621</v>
      </c>
      <c r="BI592" s="117">
        <f>IFERROR(VLOOKUP($D592,'WB Data'!$C$3:$M$578,7,FALSE)/100,"..")</f>
        <v>2.9180399999999999E-2</v>
      </c>
      <c r="BJ592" s="117">
        <f>IFERROR($BI592*$AW592,"..")</f>
        <v>1390587325.6094742</v>
      </c>
      <c r="BK592" s="846">
        <f>IFERROR($BB592/$BJ592,"..")</f>
        <v>0.16154442001802571</v>
      </c>
      <c r="BL592" s="117">
        <f>IFERROR(VLOOKUP($D592,'WB Data'!$C$3:$M$578,7,FALSE)/100,"..")</f>
        <v>2.9180399999999999E-2</v>
      </c>
      <c r="BM592" s="117">
        <f>IFERROR($AW592*$BL592,"..")</f>
        <v>1390587325.6094742</v>
      </c>
      <c r="BN592" s="846">
        <f>IFERROR($BB592/$BM592,"..")</f>
        <v>0.16154442001802571</v>
      </c>
      <c r="BO592" s="801">
        <f t="shared" si="101"/>
        <v>32</v>
      </c>
      <c r="BP592" s="117">
        <f>VLOOKUP($D592,'WB Data'!$C$3:$M$578,9,FALSE)</f>
        <v>53.7</v>
      </c>
      <c r="BQ592" s="117">
        <f>VLOOKUP($D592,'WB Data'!$C$3:$M$578,10,FALSE)</f>
        <v>71.327902439024385</v>
      </c>
      <c r="BR592" s="117">
        <f>VLOOKUP($D592,'WB Data'!$C$3:$M$578,11,FALSE)</f>
        <v>27.5</v>
      </c>
      <c r="BS592" s="129">
        <f>IFERROR(VLOOKUP($D592,'WB Data 2'!$C$2:$K$545,9,FALSE),"..")</f>
        <v>95.268600000000006</v>
      </c>
      <c r="BT592" s="129" t="str">
        <f>_xlfn.IFNA(VLOOKUP($C592,RGI!$A$2:$C$43,2,FALSE),"..")</f>
        <v>..</v>
      </c>
      <c r="BU592" s="129" t="str">
        <f>_xlfn.IFNA(VLOOKUP($C592,RGI!$A$2:$C$43,3,FALSE),"..")</f>
        <v>..</v>
      </c>
      <c r="BV592" s="129">
        <f>VLOOKUP($D592,WGI!$C$2:$O$478,7,FALSE)</f>
        <v>-0.34866950292311899</v>
      </c>
      <c r="BW592" s="129">
        <f>VLOOKUP($D592,WGI!$C$2:$O$478,4,FALSE)</f>
        <v>-0.76425001276209303</v>
      </c>
      <c r="BX592" s="129">
        <f>VLOOKUP($D592,WGI!$C$2:$O$478,3,FALSE)</f>
        <v>-0.69949021593927097</v>
      </c>
      <c r="BY592" s="129">
        <f>VLOOKUP($D592,WGI!$C$2:$O$478,5,FALSE)</f>
        <v>-0.11199757468508301</v>
      </c>
      <c r="BZ592" s="129">
        <f>VLOOKUP($D592,WGI!$C$2:$O$478,2,FALSE)</f>
        <v>-0.46966100737468802</v>
      </c>
      <c r="CB592" s="129"/>
    </row>
    <row r="593" spans="1:80" s="120" customFormat="1" ht="15" customHeight="1">
      <c r="A593" s="407" t="s">
        <v>222</v>
      </c>
      <c r="B593" s="408">
        <v>2011</v>
      </c>
      <c r="C593" s="805" t="s">
        <v>219</v>
      </c>
      <c r="D593" s="117" t="s">
        <v>3698</v>
      </c>
      <c r="E593" s="409" t="s">
        <v>220</v>
      </c>
      <c r="F593" s="410"/>
      <c r="G593" s="410" t="s">
        <v>24</v>
      </c>
      <c r="H593" s="117" t="str">
        <f t="shared" si="96"/>
        <v>yes</v>
      </c>
      <c r="I593" s="117" t="str">
        <f t="shared" si="97"/>
        <v>no</v>
      </c>
      <c r="J593" s="117" t="str">
        <f t="shared" si="98"/>
        <v>no</v>
      </c>
      <c r="K593" s="410" t="s">
        <v>784</v>
      </c>
      <c r="L593" s="117" t="str">
        <f t="shared" si="106"/>
        <v>detailed</v>
      </c>
      <c r="M593" s="117" t="str">
        <f t="shared" si="99"/>
        <v>detailed Mining</v>
      </c>
      <c r="N593" s="411">
        <f>11898*32.150743126506</f>
        <v>382529.54171916842</v>
      </c>
      <c r="O593" s="411"/>
      <c r="P593" s="411"/>
      <c r="Q593" s="411"/>
      <c r="R593" s="411"/>
      <c r="S593" s="410" t="s">
        <v>785</v>
      </c>
      <c r="T593" s="412">
        <v>1569.2108333333299</v>
      </c>
      <c r="U593" s="410" t="s">
        <v>786</v>
      </c>
      <c r="V593" s="410" t="s">
        <v>787</v>
      </c>
      <c r="W593" s="413">
        <f>N593*T593</f>
        <v>600269500.93575311</v>
      </c>
      <c r="X593" s="410"/>
      <c r="Y593" s="410"/>
      <c r="Z593" s="410"/>
      <c r="AA593" s="414"/>
      <c r="AB593" s="414"/>
      <c r="AC593" s="415"/>
      <c r="AD593" s="415"/>
      <c r="AE593" s="415"/>
      <c r="AF593" s="416"/>
      <c r="AG593" s="410"/>
      <c r="AH593" s="417"/>
      <c r="AI593" s="410"/>
      <c r="AJ593" s="410"/>
      <c r="AK593" s="413"/>
      <c r="AL593" s="410"/>
      <c r="AM593" s="410"/>
      <c r="AN593" s="410"/>
      <c r="AO593" s="410"/>
      <c r="AP593" s="410"/>
      <c r="AQ593" s="410"/>
      <c r="AR593" s="418"/>
      <c r="AS593" s="410"/>
      <c r="AT593" s="410"/>
      <c r="AU593" s="410"/>
      <c r="AV593" s="419"/>
      <c r="AW593" s="117">
        <f>VLOOKUP($D593,'WB Data'!$C$3:$M$578,2,FALSE)</f>
        <v>47654841112.852264</v>
      </c>
      <c r="AX593" s="117">
        <f>VLOOKUP($D593,'WB Data'!$C$3:$M$578,3,FALSE)</f>
        <v>14706578</v>
      </c>
      <c r="AY593" s="847">
        <f t="shared" si="102"/>
        <v>4.7139307938939981E-3</v>
      </c>
      <c r="AZ593" s="117">
        <f>VLOOKUP($D593,'WB Data'!$C$3:$M$578,4,FALSE)/100</f>
        <v>0.11399262010775933</v>
      </c>
      <c r="BA593" s="117">
        <f t="shared" si="103"/>
        <v>5432300199.2729988</v>
      </c>
      <c r="BB593" s="129">
        <f>IFERROR(VLOOKUP($D593,'EITI Revenues'!$C$2:$G$224,5,FALSE),"..")</f>
        <v>224641623</v>
      </c>
      <c r="BC593" s="846">
        <f t="shared" si="104"/>
        <v>4.135294714199772E-2</v>
      </c>
      <c r="BD593" s="129">
        <f>VLOOKUP($D593,'WB Data 2'!$C$2:$K$545,6,FALSE)</f>
        <v>1533501156.8436511</v>
      </c>
      <c r="BE593" s="129">
        <f>IFERROR(VLOOKUP($D593,UNCTAD!$C$5:$V$529,4,FALSE),"..")</f>
        <v>12757323906</v>
      </c>
      <c r="BF593" s="846">
        <f t="shared" si="105"/>
        <v>0.12020555158299444</v>
      </c>
      <c r="BG593" s="117">
        <f>VLOOKUP($D593,'WB Data'!$C$3:$M$578,5,FALSE)</f>
        <v>387910000</v>
      </c>
      <c r="BH593" s="129">
        <f>IFERROR($BB593/$BG593,"..")</f>
        <v>0.57910758423345621</v>
      </c>
      <c r="BI593" s="117">
        <f>IFERROR(VLOOKUP($D593,'WB Data'!$C$3:$M$578,7,FALSE)/100,"..")</f>
        <v>2.9180399999999999E-2</v>
      </c>
      <c r="BJ593" s="117">
        <f>IFERROR($BI593*$AW593,"..")</f>
        <v>1390587325.6094742</v>
      </c>
      <c r="BK593" s="846">
        <f>IFERROR($BB593/$BJ593,"..")</f>
        <v>0.16154442001802571</v>
      </c>
      <c r="BL593" s="117">
        <f>IFERROR(VLOOKUP($D593,'WB Data'!$C$3:$M$578,7,FALSE)/100,"..")</f>
        <v>2.9180399999999999E-2</v>
      </c>
      <c r="BM593" s="117">
        <f>IFERROR($AW593*$BL593,"..")</f>
        <v>1390587325.6094742</v>
      </c>
      <c r="BN593" s="846">
        <f>IFERROR($BB593/$BM593,"..")</f>
        <v>0.16154442001802571</v>
      </c>
      <c r="BO593" s="801">
        <f t="shared" si="101"/>
        <v>32</v>
      </c>
      <c r="BP593" s="117">
        <f>VLOOKUP($D593,'WB Data'!$C$3:$M$578,9,FALSE)</f>
        <v>53.7</v>
      </c>
      <c r="BQ593" s="117">
        <f>VLOOKUP($D593,'WB Data'!$C$3:$M$578,10,FALSE)</f>
        <v>71.327902439024385</v>
      </c>
      <c r="BR593" s="117">
        <f>VLOOKUP($D593,'WB Data'!$C$3:$M$578,11,FALSE)</f>
        <v>27.5</v>
      </c>
      <c r="BS593" s="129">
        <f>IFERROR(VLOOKUP($D593,'WB Data 2'!$C$2:$K$545,9,FALSE),"..")</f>
        <v>95.268600000000006</v>
      </c>
      <c r="BT593" s="129" t="str">
        <f>_xlfn.IFNA(VLOOKUP($C593,RGI!$A$2:$C$43,2,FALSE),"..")</f>
        <v>..</v>
      </c>
      <c r="BU593" s="129" t="str">
        <f>_xlfn.IFNA(VLOOKUP($C593,RGI!$A$2:$C$43,3,FALSE),"..")</f>
        <v>..</v>
      </c>
      <c r="BV593" s="129">
        <f>VLOOKUP($D593,WGI!$C$2:$O$478,7,FALSE)</f>
        <v>-0.34866950292311899</v>
      </c>
      <c r="BW593" s="129">
        <f>VLOOKUP($D593,WGI!$C$2:$O$478,4,FALSE)</f>
        <v>-0.76425001276209303</v>
      </c>
      <c r="BX593" s="129">
        <f>VLOOKUP($D593,WGI!$C$2:$O$478,3,FALSE)</f>
        <v>-0.69949021593927097</v>
      </c>
      <c r="BY593" s="129">
        <f>VLOOKUP($D593,WGI!$C$2:$O$478,5,FALSE)</f>
        <v>-0.11199757468508301</v>
      </c>
      <c r="BZ593" s="129">
        <f>VLOOKUP($D593,WGI!$C$2:$O$478,2,FALSE)</f>
        <v>-0.46966100737468802</v>
      </c>
      <c r="CB593" s="129"/>
    </row>
    <row r="594" spans="1:80" s="120" customFormat="1" ht="15" customHeight="1">
      <c r="A594" s="407" t="s">
        <v>222</v>
      </c>
      <c r="B594" s="408">
        <v>2011</v>
      </c>
      <c r="C594" s="805" t="s">
        <v>219</v>
      </c>
      <c r="D594" s="117" t="s">
        <v>3698</v>
      </c>
      <c r="E594" s="409" t="s">
        <v>220</v>
      </c>
      <c r="F594" s="410"/>
      <c r="G594" s="410" t="s">
        <v>24</v>
      </c>
      <c r="H594" s="117" t="str">
        <f t="shared" si="96"/>
        <v>yes</v>
      </c>
      <c r="I594" s="117" t="str">
        <f t="shared" si="97"/>
        <v>no</v>
      </c>
      <c r="J594" s="117" t="str">
        <f t="shared" si="98"/>
        <v>no</v>
      </c>
      <c r="K594" s="410" t="s">
        <v>955</v>
      </c>
      <c r="L594" s="117" t="str">
        <f t="shared" si="106"/>
        <v>detailed</v>
      </c>
      <c r="M594" s="117" t="str">
        <f t="shared" si="99"/>
        <v>detailed Mining</v>
      </c>
      <c r="N594" s="411">
        <v>161</v>
      </c>
      <c r="O594" s="411"/>
      <c r="P594" s="411"/>
      <c r="Q594" s="411"/>
      <c r="R594" s="411"/>
      <c r="S594" s="410" t="s">
        <v>610</v>
      </c>
      <c r="T594" s="412">
        <v>12.07</v>
      </c>
      <c r="U594" s="410" t="s">
        <v>611</v>
      </c>
      <c r="V594" s="410" t="s">
        <v>1225</v>
      </c>
      <c r="W594" s="413">
        <f>N594*T594</f>
        <v>1943.27</v>
      </c>
      <c r="X594" s="410"/>
      <c r="Y594" s="410"/>
      <c r="Z594" s="410"/>
      <c r="AA594" s="414"/>
      <c r="AB594" s="414"/>
      <c r="AC594" s="415"/>
      <c r="AD594" s="415"/>
      <c r="AE594" s="415"/>
      <c r="AF594" s="416"/>
      <c r="AG594" s="410"/>
      <c r="AH594" s="417"/>
      <c r="AI594" s="410"/>
      <c r="AJ594" s="410"/>
      <c r="AK594" s="413"/>
      <c r="AL594" s="410"/>
      <c r="AM594" s="410"/>
      <c r="AN594" s="410"/>
      <c r="AO594" s="410"/>
      <c r="AP594" s="410"/>
      <c r="AQ594" s="410"/>
      <c r="AR594" s="418"/>
      <c r="AS594" s="410"/>
      <c r="AT594" s="410"/>
      <c r="AU594" s="410"/>
      <c r="AV594" s="419"/>
      <c r="AW594" s="117">
        <f>VLOOKUP($D594,'WB Data'!$C$3:$M$578,2,FALSE)</f>
        <v>47654841112.852264</v>
      </c>
      <c r="AX594" s="117">
        <f>VLOOKUP($D594,'WB Data'!$C$3:$M$578,3,FALSE)</f>
        <v>14706578</v>
      </c>
      <c r="AY594" s="847">
        <f t="shared" si="102"/>
        <v>4.7139307938939981E-3</v>
      </c>
      <c r="AZ594" s="117">
        <f>VLOOKUP($D594,'WB Data'!$C$3:$M$578,4,FALSE)/100</f>
        <v>0.11399262010775933</v>
      </c>
      <c r="BA594" s="117">
        <f t="shared" si="103"/>
        <v>5432300199.2729988</v>
      </c>
      <c r="BB594" s="129">
        <f>IFERROR(VLOOKUP($D594,'EITI Revenues'!$C$2:$G$224,5,FALSE),"..")</f>
        <v>224641623</v>
      </c>
      <c r="BC594" s="846">
        <f t="shared" si="104"/>
        <v>4.135294714199772E-2</v>
      </c>
      <c r="BD594" s="129">
        <f>VLOOKUP($D594,'WB Data 2'!$C$2:$K$545,6,FALSE)</f>
        <v>1533501156.8436511</v>
      </c>
      <c r="BE594" s="129">
        <f>IFERROR(VLOOKUP($D594,UNCTAD!$C$5:$V$529,4,FALSE),"..")</f>
        <v>12757323906</v>
      </c>
      <c r="BF594" s="846">
        <f t="shared" si="105"/>
        <v>0.12020555158299444</v>
      </c>
      <c r="BG594" s="117">
        <f>VLOOKUP($D594,'WB Data'!$C$3:$M$578,5,FALSE)</f>
        <v>387910000</v>
      </c>
      <c r="BH594" s="129">
        <f>IFERROR($BB594/$BG594,"..")</f>
        <v>0.57910758423345621</v>
      </c>
      <c r="BI594" s="117">
        <f>IFERROR(VLOOKUP($D594,'WB Data'!$C$3:$M$578,7,FALSE)/100,"..")</f>
        <v>2.9180399999999999E-2</v>
      </c>
      <c r="BJ594" s="117">
        <f>IFERROR($BI594*$AW594,"..")</f>
        <v>1390587325.6094742</v>
      </c>
      <c r="BK594" s="846">
        <f>IFERROR($BB594/$BJ594,"..")</f>
        <v>0.16154442001802571</v>
      </c>
      <c r="BL594" s="117">
        <f>IFERROR(VLOOKUP($D594,'WB Data'!$C$3:$M$578,7,FALSE)/100,"..")</f>
        <v>2.9180399999999999E-2</v>
      </c>
      <c r="BM594" s="117">
        <f>IFERROR($AW594*$BL594,"..")</f>
        <v>1390587325.6094742</v>
      </c>
      <c r="BN594" s="846">
        <f>IFERROR($BB594/$BM594,"..")</f>
        <v>0.16154442001802571</v>
      </c>
      <c r="BO594" s="801">
        <f t="shared" si="101"/>
        <v>32</v>
      </c>
      <c r="BP594" s="117">
        <f>VLOOKUP($D594,'WB Data'!$C$3:$M$578,9,FALSE)</f>
        <v>53.7</v>
      </c>
      <c r="BQ594" s="117">
        <f>VLOOKUP($D594,'WB Data'!$C$3:$M$578,10,FALSE)</f>
        <v>71.327902439024385</v>
      </c>
      <c r="BR594" s="117">
        <f>VLOOKUP($D594,'WB Data'!$C$3:$M$578,11,FALSE)</f>
        <v>27.5</v>
      </c>
      <c r="BS594" s="129">
        <f>IFERROR(VLOOKUP($D594,'WB Data 2'!$C$2:$K$545,9,FALSE),"..")</f>
        <v>95.268600000000006</v>
      </c>
      <c r="BT594" s="129" t="str">
        <f>_xlfn.IFNA(VLOOKUP($C594,RGI!$A$2:$C$43,2,FALSE),"..")</f>
        <v>..</v>
      </c>
      <c r="BU594" s="129" t="str">
        <f>_xlfn.IFNA(VLOOKUP($C594,RGI!$A$2:$C$43,3,FALSE),"..")</f>
        <v>..</v>
      </c>
      <c r="BV594" s="129">
        <f>VLOOKUP($D594,WGI!$C$2:$O$478,7,FALSE)</f>
        <v>-0.34866950292311899</v>
      </c>
      <c r="BW594" s="129">
        <f>VLOOKUP($D594,WGI!$C$2:$O$478,4,FALSE)</f>
        <v>-0.76425001276209303</v>
      </c>
      <c r="BX594" s="129">
        <f>VLOOKUP($D594,WGI!$C$2:$O$478,3,FALSE)</f>
        <v>-0.69949021593927097</v>
      </c>
      <c r="BY594" s="129">
        <f>VLOOKUP($D594,WGI!$C$2:$O$478,5,FALSE)</f>
        <v>-0.11199757468508301</v>
      </c>
      <c r="BZ594" s="129">
        <f>VLOOKUP($D594,WGI!$C$2:$O$478,2,FALSE)</f>
        <v>-0.46966100737468802</v>
      </c>
      <c r="CB594" s="129"/>
    </row>
    <row r="595" spans="1:80" s="120" customFormat="1" ht="15" customHeight="1">
      <c r="A595" s="407" t="s">
        <v>222</v>
      </c>
      <c r="B595" s="408">
        <v>2011</v>
      </c>
      <c r="C595" s="805" t="s">
        <v>219</v>
      </c>
      <c r="D595" s="117" t="s">
        <v>3698</v>
      </c>
      <c r="E595" s="409" t="s">
        <v>220</v>
      </c>
      <c r="F595" s="410"/>
      <c r="G595" s="410" t="s">
        <v>24</v>
      </c>
      <c r="H595" s="117" t="str">
        <f t="shared" si="96"/>
        <v>yes</v>
      </c>
      <c r="I595" s="117" t="str">
        <f t="shared" si="97"/>
        <v>no</v>
      </c>
      <c r="J595" s="117" t="str">
        <f t="shared" si="98"/>
        <v>no</v>
      </c>
      <c r="K595" s="410" t="s">
        <v>1226</v>
      </c>
      <c r="L595" s="117" t="str">
        <f t="shared" si="106"/>
        <v>detailed</v>
      </c>
      <c r="M595" s="117" t="str">
        <f t="shared" si="99"/>
        <v>detailed Mining</v>
      </c>
      <c r="N595" s="411">
        <v>46000</v>
      </c>
      <c r="O595" s="411"/>
      <c r="P595" s="411"/>
      <c r="Q595" s="411"/>
      <c r="R595" s="411"/>
      <c r="S595" s="410" t="s">
        <v>610</v>
      </c>
      <c r="T595" s="412">
        <v>18.5</v>
      </c>
      <c r="U595" s="410" t="s">
        <v>611</v>
      </c>
      <c r="V595" s="410" t="s">
        <v>1227</v>
      </c>
      <c r="W595" s="413">
        <f>N595*T595</f>
        <v>851000</v>
      </c>
      <c r="X595" s="410"/>
      <c r="Y595" s="410"/>
      <c r="Z595" s="410"/>
      <c r="AA595" s="414"/>
      <c r="AB595" s="414"/>
      <c r="AC595" s="415"/>
      <c r="AD595" s="415"/>
      <c r="AE595" s="415"/>
      <c r="AF595" s="416"/>
      <c r="AG595" s="410"/>
      <c r="AH595" s="417"/>
      <c r="AI595" s="410"/>
      <c r="AJ595" s="410"/>
      <c r="AK595" s="413"/>
      <c r="AL595" s="410"/>
      <c r="AM595" s="410"/>
      <c r="AN595" s="410"/>
      <c r="AO595" s="410"/>
      <c r="AP595" s="410"/>
      <c r="AQ595" s="410"/>
      <c r="AR595" s="418"/>
      <c r="AS595" s="410"/>
      <c r="AT595" s="410"/>
      <c r="AU595" s="410"/>
      <c r="AV595" s="419"/>
      <c r="AW595" s="117">
        <f>VLOOKUP($D595,'WB Data'!$C$3:$M$578,2,FALSE)</f>
        <v>47654841112.852264</v>
      </c>
      <c r="AX595" s="117">
        <f>VLOOKUP($D595,'WB Data'!$C$3:$M$578,3,FALSE)</f>
        <v>14706578</v>
      </c>
      <c r="AY595" s="847">
        <f t="shared" si="102"/>
        <v>4.7139307938939981E-3</v>
      </c>
      <c r="AZ595" s="117">
        <f>VLOOKUP($D595,'WB Data'!$C$3:$M$578,4,FALSE)/100</f>
        <v>0.11399262010775933</v>
      </c>
      <c r="BA595" s="117">
        <f t="shared" si="103"/>
        <v>5432300199.2729988</v>
      </c>
      <c r="BB595" s="129">
        <f>IFERROR(VLOOKUP($D595,'EITI Revenues'!$C$2:$G$224,5,FALSE),"..")</f>
        <v>224641623</v>
      </c>
      <c r="BC595" s="846">
        <f t="shared" si="104"/>
        <v>4.135294714199772E-2</v>
      </c>
      <c r="BD595" s="129">
        <f>VLOOKUP($D595,'WB Data 2'!$C$2:$K$545,6,FALSE)</f>
        <v>1533501156.8436511</v>
      </c>
      <c r="BE595" s="129">
        <f>IFERROR(VLOOKUP($D595,UNCTAD!$C$5:$V$529,4,FALSE),"..")</f>
        <v>12757323906</v>
      </c>
      <c r="BF595" s="846">
        <f t="shared" si="105"/>
        <v>0.12020555158299444</v>
      </c>
      <c r="BG595" s="117">
        <f>VLOOKUP($D595,'WB Data'!$C$3:$M$578,5,FALSE)</f>
        <v>387910000</v>
      </c>
      <c r="BH595" s="129">
        <f>IFERROR($BB595/$BG595,"..")</f>
        <v>0.57910758423345621</v>
      </c>
      <c r="BI595" s="117">
        <f>IFERROR(VLOOKUP($D595,'WB Data'!$C$3:$M$578,7,FALSE)/100,"..")</f>
        <v>2.9180399999999999E-2</v>
      </c>
      <c r="BJ595" s="117">
        <f>IFERROR($BI595*$AW595,"..")</f>
        <v>1390587325.6094742</v>
      </c>
      <c r="BK595" s="846">
        <f>IFERROR($BB595/$BJ595,"..")</f>
        <v>0.16154442001802571</v>
      </c>
      <c r="BL595" s="117">
        <f>IFERROR(VLOOKUP($D595,'WB Data'!$C$3:$M$578,7,FALSE)/100,"..")</f>
        <v>2.9180399999999999E-2</v>
      </c>
      <c r="BM595" s="117">
        <f>IFERROR($AW595*$BL595,"..")</f>
        <v>1390587325.6094742</v>
      </c>
      <c r="BN595" s="846">
        <f>IFERROR($BB595/$BM595,"..")</f>
        <v>0.16154442001802571</v>
      </c>
      <c r="BO595" s="801">
        <f t="shared" si="101"/>
        <v>32</v>
      </c>
      <c r="BP595" s="117">
        <f>VLOOKUP($D595,'WB Data'!$C$3:$M$578,9,FALSE)</f>
        <v>53.7</v>
      </c>
      <c r="BQ595" s="117">
        <f>VLOOKUP($D595,'WB Data'!$C$3:$M$578,10,FALSE)</f>
        <v>71.327902439024385</v>
      </c>
      <c r="BR595" s="117">
        <f>VLOOKUP($D595,'WB Data'!$C$3:$M$578,11,FALSE)</f>
        <v>27.5</v>
      </c>
      <c r="BS595" s="129">
        <f>IFERROR(VLOOKUP($D595,'WB Data 2'!$C$2:$K$545,9,FALSE),"..")</f>
        <v>95.268600000000006</v>
      </c>
      <c r="BT595" s="129" t="str">
        <f>_xlfn.IFNA(VLOOKUP($C595,RGI!$A$2:$C$43,2,FALSE),"..")</f>
        <v>..</v>
      </c>
      <c r="BU595" s="129" t="str">
        <f>_xlfn.IFNA(VLOOKUP($C595,RGI!$A$2:$C$43,3,FALSE),"..")</f>
        <v>..</v>
      </c>
      <c r="BV595" s="129">
        <f>VLOOKUP($D595,WGI!$C$2:$O$478,7,FALSE)</f>
        <v>-0.34866950292311899</v>
      </c>
      <c r="BW595" s="129">
        <f>VLOOKUP($D595,WGI!$C$2:$O$478,4,FALSE)</f>
        <v>-0.76425001276209303</v>
      </c>
      <c r="BX595" s="129">
        <f>VLOOKUP($D595,WGI!$C$2:$O$478,3,FALSE)</f>
        <v>-0.69949021593927097</v>
      </c>
      <c r="BY595" s="129">
        <f>VLOOKUP($D595,WGI!$C$2:$O$478,5,FALSE)</f>
        <v>-0.11199757468508301</v>
      </c>
      <c r="BZ595" s="129">
        <f>VLOOKUP($D595,WGI!$C$2:$O$478,2,FALSE)</f>
        <v>-0.46966100737468802</v>
      </c>
      <c r="CB595" s="129"/>
    </row>
    <row r="596" spans="1:80" s="120" customFormat="1" ht="15" customHeight="1">
      <c r="A596" s="407" t="s">
        <v>222</v>
      </c>
      <c r="B596" s="408">
        <v>2011</v>
      </c>
      <c r="C596" s="805" t="s">
        <v>219</v>
      </c>
      <c r="D596" s="117" t="s">
        <v>3698</v>
      </c>
      <c r="E596" s="409" t="s">
        <v>220</v>
      </c>
      <c r="F596" s="410"/>
      <c r="G596" s="410" t="s">
        <v>24</v>
      </c>
      <c r="H596" s="117" t="str">
        <f t="shared" si="96"/>
        <v>yes</v>
      </c>
      <c r="I596" s="117" t="str">
        <f t="shared" si="97"/>
        <v>no</v>
      </c>
      <c r="J596" s="117" t="str">
        <f t="shared" si="98"/>
        <v>no</v>
      </c>
      <c r="K596" s="410" t="s">
        <v>1228</v>
      </c>
      <c r="L596" s="117" t="str">
        <f t="shared" si="106"/>
        <v>detailed</v>
      </c>
      <c r="M596" s="117" t="str">
        <f t="shared" si="99"/>
        <v>detailed Mining</v>
      </c>
      <c r="N596" s="411">
        <v>1160</v>
      </c>
      <c r="O596" s="411"/>
      <c r="P596" s="411"/>
      <c r="Q596" s="411"/>
      <c r="R596" s="411"/>
      <c r="S596" s="410" t="s">
        <v>610</v>
      </c>
      <c r="T596" s="412">
        <v>167.75416666666999</v>
      </c>
      <c r="U596" s="410" t="s">
        <v>611</v>
      </c>
      <c r="V596" s="410" t="s">
        <v>787</v>
      </c>
      <c r="W596" s="413">
        <f>N596*T596</f>
        <v>194594.83333333718</v>
      </c>
      <c r="X596" s="410"/>
      <c r="Y596" s="410"/>
      <c r="Z596" s="410"/>
      <c r="AA596" s="414"/>
      <c r="AB596" s="414"/>
      <c r="AC596" s="415"/>
      <c r="AD596" s="415"/>
      <c r="AE596" s="415"/>
      <c r="AF596" s="416"/>
      <c r="AG596" s="410"/>
      <c r="AH596" s="417"/>
      <c r="AI596" s="410"/>
      <c r="AJ596" s="410"/>
      <c r="AK596" s="413"/>
      <c r="AL596" s="410"/>
      <c r="AM596" s="410"/>
      <c r="AN596" s="410"/>
      <c r="AO596" s="410"/>
      <c r="AP596" s="410"/>
      <c r="AQ596" s="410"/>
      <c r="AR596" s="418"/>
      <c r="AS596" s="410"/>
      <c r="AT596" s="410"/>
      <c r="AU596" s="410"/>
      <c r="AV596" s="419"/>
      <c r="AW596" s="117">
        <f>VLOOKUP($D596,'WB Data'!$C$3:$M$578,2,FALSE)</f>
        <v>47654841112.852264</v>
      </c>
      <c r="AX596" s="117">
        <f>VLOOKUP($D596,'WB Data'!$C$3:$M$578,3,FALSE)</f>
        <v>14706578</v>
      </c>
      <c r="AY596" s="847">
        <f t="shared" si="102"/>
        <v>4.7139307938939981E-3</v>
      </c>
      <c r="AZ596" s="117">
        <f>VLOOKUP($D596,'WB Data'!$C$3:$M$578,4,FALSE)/100</f>
        <v>0.11399262010775933</v>
      </c>
      <c r="BA596" s="117">
        <f t="shared" si="103"/>
        <v>5432300199.2729988</v>
      </c>
      <c r="BB596" s="129">
        <f>IFERROR(VLOOKUP($D596,'EITI Revenues'!$C$2:$G$224,5,FALSE),"..")</f>
        <v>224641623</v>
      </c>
      <c r="BC596" s="846">
        <f t="shared" si="104"/>
        <v>4.135294714199772E-2</v>
      </c>
      <c r="BD596" s="129">
        <f>VLOOKUP($D596,'WB Data 2'!$C$2:$K$545,6,FALSE)</f>
        <v>1533501156.8436511</v>
      </c>
      <c r="BE596" s="129">
        <f>IFERROR(VLOOKUP($D596,UNCTAD!$C$5:$V$529,4,FALSE),"..")</f>
        <v>12757323906</v>
      </c>
      <c r="BF596" s="846">
        <f t="shared" si="105"/>
        <v>0.12020555158299444</v>
      </c>
      <c r="BG596" s="117">
        <f>VLOOKUP($D596,'WB Data'!$C$3:$M$578,5,FALSE)</f>
        <v>387910000</v>
      </c>
      <c r="BH596" s="129">
        <f>IFERROR($BB596/$BG596,"..")</f>
        <v>0.57910758423345621</v>
      </c>
      <c r="BI596" s="117">
        <f>IFERROR(VLOOKUP($D596,'WB Data'!$C$3:$M$578,7,FALSE)/100,"..")</f>
        <v>2.9180399999999999E-2</v>
      </c>
      <c r="BJ596" s="117">
        <f>IFERROR($BI596*$AW596,"..")</f>
        <v>1390587325.6094742</v>
      </c>
      <c r="BK596" s="846">
        <f>IFERROR($BB596/$BJ596,"..")</f>
        <v>0.16154442001802571</v>
      </c>
      <c r="BL596" s="117">
        <f>IFERROR(VLOOKUP($D596,'WB Data'!$C$3:$M$578,7,FALSE)/100,"..")</f>
        <v>2.9180399999999999E-2</v>
      </c>
      <c r="BM596" s="117">
        <f>IFERROR($AW596*$BL596,"..")</f>
        <v>1390587325.6094742</v>
      </c>
      <c r="BN596" s="846">
        <f>IFERROR($BB596/$BM596,"..")</f>
        <v>0.16154442001802571</v>
      </c>
      <c r="BO596" s="801">
        <f t="shared" si="101"/>
        <v>32</v>
      </c>
      <c r="BP596" s="117">
        <f>VLOOKUP($D596,'WB Data'!$C$3:$M$578,9,FALSE)</f>
        <v>53.7</v>
      </c>
      <c r="BQ596" s="117">
        <f>VLOOKUP($D596,'WB Data'!$C$3:$M$578,10,FALSE)</f>
        <v>71.327902439024385</v>
      </c>
      <c r="BR596" s="117">
        <f>VLOOKUP($D596,'WB Data'!$C$3:$M$578,11,FALSE)</f>
        <v>27.5</v>
      </c>
      <c r="BS596" s="129">
        <f>IFERROR(VLOOKUP($D596,'WB Data 2'!$C$2:$K$545,9,FALSE),"..")</f>
        <v>95.268600000000006</v>
      </c>
      <c r="BT596" s="129" t="str">
        <f>_xlfn.IFNA(VLOOKUP($C596,RGI!$A$2:$C$43,2,FALSE),"..")</f>
        <v>..</v>
      </c>
      <c r="BU596" s="129" t="str">
        <f>_xlfn.IFNA(VLOOKUP($C596,RGI!$A$2:$C$43,3,FALSE),"..")</f>
        <v>..</v>
      </c>
      <c r="BV596" s="129">
        <f>VLOOKUP($D596,WGI!$C$2:$O$478,7,FALSE)</f>
        <v>-0.34866950292311899</v>
      </c>
      <c r="BW596" s="129">
        <f>VLOOKUP($D596,WGI!$C$2:$O$478,4,FALSE)</f>
        <v>-0.76425001276209303</v>
      </c>
      <c r="BX596" s="129">
        <f>VLOOKUP($D596,WGI!$C$2:$O$478,3,FALSE)</f>
        <v>-0.69949021593927097</v>
      </c>
      <c r="BY596" s="129">
        <f>VLOOKUP($D596,WGI!$C$2:$O$478,5,FALSE)</f>
        <v>-0.11199757468508301</v>
      </c>
      <c r="BZ596" s="129">
        <f>VLOOKUP($D596,WGI!$C$2:$O$478,2,FALSE)</f>
        <v>-0.46966100737468802</v>
      </c>
      <c r="CB596" s="129"/>
    </row>
    <row r="597" spans="1:80" s="120" customFormat="1" ht="15" customHeight="1">
      <c r="A597" s="407" t="s">
        <v>222</v>
      </c>
      <c r="B597" s="408">
        <v>2011</v>
      </c>
      <c r="C597" s="805" t="s">
        <v>219</v>
      </c>
      <c r="D597" s="117" t="s">
        <v>3698</v>
      </c>
      <c r="E597" s="409" t="s">
        <v>220</v>
      </c>
      <c r="F597" s="410"/>
      <c r="G597" s="410" t="s">
        <v>24</v>
      </c>
      <c r="H597" s="117" t="str">
        <f t="shared" si="96"/>
        <v>yes</v>
      </c>
      <c r="I597" s="117" t="str">
        <f t="shared" si="97"/>
        <v>no</v>
      </c>
      <c r="J597" s="117" t="str">
        <f t="shared" si="98"/>
        <v>no</v>
      </c>
      <c r="K597" s="410" t="s">
        <v>1229</v>
      </c>
      <c r="L597" s="117" t="str">
        <f t="shared" si="106"/>
        <v>detailed</v>
      </c>
      <c r="M597" s="117" t="str">
        <f t="shared" si="99"/>
        <v>detailed Mining</v>
      </c>
      <c r="N597" s="411">
        <v>27</v>
      </c>
      <c r="O597" s="411"/>
      <c r="P597" s="411"/>
      <c r="Q597" s="411"/>
      <c r="R597" s="411"/>
      <c r="S597" s="410" t="s">
        <v>610</v>
      </c>
      <c r="T597" s="412"/>
      <c r="U597" s="410"/>
      <c r="V597" s="410" t="s">
        <v>684</v>
      </c>
      <c r="W597" s="413"/>
      <c r="X597" s="410"/>
      <c r="Y597" s="410"/>
      <c r="Z597" s="410"/>
      <c r="AA597" s="414"/>
      <c r="AB597" s="414"/>
      <c r="AC597" s="415"/>
      <c r="AD597" s="415"/>
      <c r="AE597" s="415"/>
      <c r="AF597" s="416"/>
      <c r="AG597" s="410"/>
      <c r="AH597" s="417"/>
      <c r="AI597" s="410"/>
      <c r="AJ597" s="410"/>
      <c r="AK597" s="413"/>
      <c r="AL597" s="410"/>
      <c r="AM597" s="410"/>
      <c r="AN597" s="410"/>
      <c r="AO597" s="410"/>
      <c r="AP597" s="410"/>
      <c r="AQ597" s="410"/>
      <c r="AR597" s="418"/>
      <c r="AS597" s="410"/>
      <c r="AT597" s="410"/>
      <c r="AU597" s="410"/>
      <c r="AV597" s="419"/>
      <c r="AW597" s="117">
        <f>VLOOKUP($D597,'WB Data'!$C$3:$M$578,2,FALSE)</f>
        <v>47654841112.852264</v>
      </c>
      <c r="AX597" s="117">
        <f>VLOOKUP($D597,'WB Data'!$C$3:$M$578,3,FALSE)</f>
        <v>14706578</v>
      </c>
      <c r="AY597" s="847">
        <f t="shared" si="102"/>
        <v>4.7139307938939981E-3</v>
      </c>
      <c r="AZ597" s="117">
        <f>VLOOKUP($D597,'WB Data'!$C$3:$M$578,4,FALSE)/100</f>
        <v>0.11399262010775933</v>
      </c>
      <c r="BA597" s="117">
        <f t="shared" si="103"/>
        <v>5432300199.2729988</v>
      </c>
      <c r="BB597" s="129">
        <f>IFERROR(VLOOKUP($D597,'EITI Revenues'!$C$2:$G$224,5,FALSE),"..")</f>
        <v>224641623</v>
      </c>
      <c r="BC597" s="846">
        <f t="shared" si="104"/>
        <v>4.135294714199772E-2</v>
      </c>
      <c r="BD597" s="129">
        <f>VLOOKUP($D597,'WB Data 2'!$C$2:$K$545,6,FALSE)</f>
        <v>1533501156.8436511</v>
      </c>
      <c r="BE597" s="129">
        <f>IFERROR(VLOOKUP($D597,UNCTAD!$C$5:$V$529,4,FALSE),"..")</f>
        <v>12757323906</v>
      </c>
      <c r="BF597" s="846">
        <f t="shared" si="105"/>
        <v>0.12020555158299444</v>
      </c>
      <c r="BG597" s="117">
        <f>VLOOKUP($D597,'WB Data'!$C$3:$M$578,5,FALSE)</f>
        <v>387910000</v>
      </c>
      <c r="BH597" s="129">
        <f>IFERROR($BB597/$BG597,"..")</f>
        <v>0.57910758423345621</v>
      </c>
      <c r="BI597" s="117">
        <f>IFERROR(VLOOKUP($D597,'WB Data'!$C$3:$M$578,7,FALSE)/100,"..")</f>
        <v>2.9180399999999999E-2</v>
      </c>
      <c r="BJ597" s="117">
        <f>IFERROR($BI597*$AW597,"..")</f>
        <v>1390587325.6094742</v>
      </c>
      <c r="BK597" s="846">
        <f>IFERROR($BB597/$BJ597,"..")</f>
        <v>0.16154442001802571</v>
      </c>
      <c r="BL597" s="117">
        <f>IFERROR(VLOOKUP($D597,'WB Data'!$C$3:$M$578,7,FALSE)/100,"..")</f>
        <v>2.9180399999999999E-2</v>
      </c>
      <c r="BM597" s="117">
        <f>IFERROR($AW597*$BL597,"..")</f>
        <v>1390587325.6094742</v>
      </c>
      <c r="BN597" s="846">
        <f>IFERROR($BB597/$BM597,"..")</f>
        <v>0.16154442001802571</v>
      </c>
      <c r="BO597" s="801">
        <f t="shared" si="101"/>
        <v>32</v>
      </c>
      <c r="BP597" s="117">
        <f>VLOOKUP($D597,'WB Data'!$C$3:$M$578,9,FALSE)</f>
        <v>53.7</v>
      </c>
      <c r="BQ597" s="117">
        <f>VLOOKUP($D597,'WB Data'!$C$3:$M$578,10,FALSE)</f>
        <v>71.327902439024385</v>
      </c>
      <c r="BR597" s="117">
        <f>VLOOKUP($D597,'WB Data'!$C$3:$M$578,11,FALSE)</f>
        <v>27.5</v>
      </c>
      <c r="BS597" s="129">
        <f>IFERROR(VLOOKUP($D597,'WB Data 2'!$C$2:$K$545,9,FALSE),"..")</f>
        <v>95.268600000000006</v>
      </c>
      <c r="BT597" s="129" t="str">
        <f>_xlfn.IFNA(VLOOKUP($C597,RGI!$A$2:$C$43,2,FALSE),"..")</f>
        <v>..</v>
      </c>
      <c r="BU597" s="129" t="str">
        <f>_xlfn.IFNA(VLOOKUP($C597,RGI!$A$2:$C$43,3,FALSE),"..")</f>
        <v>..</v>
      </c>
      <c r="BV597" s="129">
        <f>VLOOKUP($D597,WGI!$C$2:$O$478,7,FALSE)</f>
        <v>-0.34866950292311899</v>
      </c>
      <c r="BW597" s="129">
        <f>VLOOKUP($D597,WGI!$C$2:$O$478,4,FALSE)</f>
        <v>-0.76425001276209303</v>
      </c>
      <c r="BX597" s="129">
        <f>VLOOKUP($D597,WGI!$C$2:$O$478,3,FALSE)</f>
        <v>-0.69949021593927097</v>
      </c>
      <c r="BY597" s="129">
        <f>VLOOKUP($D597,WGI!$C$2:$O$478,5,FALSE)</f>
        <v>-0.11199757468508301</v>
      </c>
      <c r="BZ597" s="129">
        <f>VLOOKUP($D597,WGI!$C$2:$O$478,2,FALSE)</f>
        <v>-0.46966100737468802</v>
      </c>
      <c r="CB597" s="129"/>
    </row>
    <row r="598" spans="1:80" s="120" customFormat="1" ht="15" customHeight="1">
      <c r="A598" s="407" t="s">
        <v>222</v>
      </c>
      <c r="B598" s="408">
        <v>2011</v>
      </c>
      <c r="C598" s="805" t="s">
        <v>219</v>
      </c>
      <c r="D598" s="117" t="s">
        <v>3698</v>
      </c>
      <c r="E598" s="409" t="s">
        <v>220</v>
      </c>
      <c r="F598" s="410"/>
      <c r="G598" s="410" t="s">
        <v>24</v>
      </c>
      <c r="H598" s="117" t="str">
        <f t="shared" si="96"/>
        <v>yes</v>
      </c>
      <c r="I598" s="117" t="str">
        <f t="shared" si="97"/>
        <v>no</v>
      </c>
      <c r="J598" s="117" t="str">
        <f t="shared" si="98"/>
        <v>no</v>
      </c>
      <c r="K598" s="410" t="s">
        <v>1230</v>
      </c>
      <c r="L598" s="117" t="str">
        <f t="shared" si="106"/>
        <v>detailed</v>
      </c>
      <c r="M598" s="117" t="str">
        <f t="shared" si="99"/>
        <v>detailed Mining</v>
      </c>
      <c r="N598" s="411">
        <v>4057</v>
      </c>
      <c r="O598" s="411"/>
      <c r="P598" s="411"/>
      <c r="Q598" s="411"/>
      <c r="R598" s="411"/>
      <c r="S598" s="410" t="s">
        <v>610</v>
      </c>
      <c r="T598" s="412">
        <v>143</v>
      </c>
      <c r="U598" s="410" t="s">
        <v>611</v>
      </c>
      <c r="V598" s="410" t="s">
        <v>1231</v>
      </c>
      <c r="W598" s="413">
        <f>N598*T598</f>
        <v>580151</v>
      </c>
      <c r="X598" s="410"/>
      <c r="Y598" s="410"/>
      <c r="Z598" s="410"/>
      <c r="AA598" s="414"/>
      <c r="AB598" s="414"/>
      <c r="AC598" s="415"/>
      <c r="AD598" s="415"/>
      <c r="AE598" s="415"/>
      <c r="AF598" s="416"/>
      <c r="AG598" s="410"/>
      <c r="AH598" s="417"/>
      <c r="AI598" s="410"/>
      <c r="AJ598" s="410"/>
      <c r="AK598" s="413"/>
      <c r="AL598" s="410"/>
      <c r="AM598" s="410"/>
      <c r="AN598" s="410"/>
      <c r="AO598" s="410"/>
      <c r="AP598" s="410"/>
      <c r="AQ598" s="410"/>
      <c r="AR598" s="418"/>
      <c r="AS598" s="410"/>
      <c r="AT598" s="410"/>
      <c r="AU598" s="410"/>
      <c r="AV598" s="419"/>
      <c r="AW598" s="117">
        <f>VLOOKUP($D598,'WB Data'!$C$3:$M$578,2,FALSE)</f>
        <v>47654841112.852264</v>
      </c>
      <c r="AX598" s="117">
        <f>VLOOKUP($D598,'WB Data'!$C$3:$M$578,3,FALSE)</f>
        <v>14706578</v>
      </c>
      <c r="AY598" s="847">
        <f t="shared" si="102"/>
        <v>4.7139307938939981E-3</v>
      </c>
      <c r="AZ598" s="117">
        <f>VLOOKUP($D598,'WB Data'!$C$3:$M$578,4,FALSE)/100</f>
        <v>0.11399262010775933</v>
      </c>
      <c r="BA598" s="117">
        <f t="shared" si="103"/>
        <v>5432300199.2729988</v>
      </c>
      <c r="BB598" s="129">
        <f>IFERROR(VLOOKUP($D598,'EITI Revenues'!$C$2:$G$224,5,FALSE),"..")</f>
        <v>224641623</v>
      </c>
      <c r="BC598" s="846">
        <f t="shared" si="104"/>
        <v>4.135294714199772E-2</v>
      </c>
      <c r="BD598" s="129">
        <f>VLOOKUP($D598,'WB Data 2'!$C$2:$K$545,6,FALSE)</f>
        <v>1533501156.8436511</v>
      </c>
      <c r="BE598" s="129">
        <f>IFERROR(VLOOKUP($D598,UNCTAD!$C$5:$V$529,4,FALSE),"..")</f>
        <v>12757323906</v>
      </c>
      <c r="BF598" s="846">
        <f t="shared" si="105"/>
        <v>0.12020555158299444</v>
      </c>
      <c r="BG598" s="117">
        <f>VLOOKUP($D598,'WB Data'!$C$3:$M$578,5,FALSE)</f>
        <v>387910000</v>
      </c>
      <c r="BH598" s="129">
        <f>IFERROR($BB598/$BG598,"..")</f>
        <v>0.57910758423345621</v>
      </c>
      <c r="BI598" s="117">
        <f>IFERROR(VLOOKUP($D598,'WB Data'!$C$3:$M$578,7,FALSE)/100,"..")</f>
        <v>2.9180399999999999E-2</v>
      </c>
      <c r="BJ598" s="117">
        <f>IFERROR($BI598*$AW598,"..")</f>
        <v>1390587325.6094742</v>
      </c>
      <c r="BK598" s="846">
        <f>IFERROR($BB598/$BJ598,"..")</f>
        <v>0.16154442001802571</v>
      </c>
      <c r="BL598" s="117">
        <f>IFERROR(VLOOKUP($D598,'WB Data'!$C$3:$M$578,7,FALSE)/100,"..")</f>
        <v>2.9180399999999999E-2</v>
      </c>
      <c r="BM598" s="117">
        <f>IFERROR($AW598*$BL598,"..")</f>
        <v>1390587325.6094742</v>
      </c>
      <c r="BN598" s="846">
        <f>IFERROR($BB598/$BM598,"..")</f>
        <v>0.16154442001802571</v>
      </c>
      <c r="BO598" s="801">
        <f t="shared" si="101"/>
        <v>32</v>
      </c>
      <c r="BP598" s="117">
        <f>VLOOKUP($D598,'WB Data'!$C$3:$M$578,9,FALSE)</f>
        <v>53.7</v>
      </c>
      <c r="BQ598" s="117">
        <f>VLOOKUP($D598,'WB Data'!$C$3:$M$578,10,FALSE)</f>
        <v>71.327902439024385</v>
      </c>
      <c r="BR598" s="117">
        <f>VLOOKUP($D598,'WB Data'!$C$3:$M$578,11,FALSE)</f>
        <v>27.5</v>
      </c>
      <c r="BS598" s="129">
        <f>IFERROR(VLOOKUP($D598,'WB Data 2'!$C$2:$K$545,9,FALSE),"..")</f>
        <v>95.268600000000006</v>
      </c>
      <c r="BT598" s="129" t="str">
        <f>_xlfn.IFNA(VLOOKUP($C598,RGI!$A$2:$C$43,2,FALSE),"..")</f>
        <v>..</v>
      </c>
      <c r="BU598" s="129" t="str">
        <f>_xlfn.IFNA(VLOOKUP($C598,RGI!$A$2:$C$43,3,FALSE),"..")</f>
        <v>..</v>
      </c>
      <c r="BV598" s="129">
        <f>VLOOKUP($D598,WGI!$C$2:$O$478,7,FALSE)</f>
        <v>-0.34866950292311899</v>
      </c>
      <c r="BW598" s="129">
        <f>VLOOKUP($D598,WGI!$C$2:$O$478,4,FALSE)</f>
        <v>-0.76425001276209303</v>
      </c>
      <c r="BX598" s="129">
        <f>VLOOKUP($D598,WGI!$C$2:$O$478,3,FALSE)</f>
        <v>-0.69949021593927097</v>
      </c>
      <c r="BY598" s="129">
        <f>VLOOKUP($D598,WGI!$C$2:$O$478,5,FALSE)</f>
        <v>-0.11199757468508301</v>
      </c>
      <c r="BZ598" s="129">
        <f>VLOOKUP($D598,WGI!$C$2:$O$478,2,FALSE)</f>
        <v>-0.46966100737468802</v>
      </c>
      <c r="CB598" s="129"/>
    </row>
    <row r="599" spans="1:80" s="120" customFormat="1" ht="15" customHeight="1">
      <c r="A599" s="407" t="s">
        <v>222</v>
      </c>
      <c r="B599" s="408">
        <v>2011</v>
      </c>
      <c r="C599" s="805" t="s">
        <v>219</v>
      </c>
      <c r="D599" s="117" t="s">
        <v>3698</v>
      </c>
      <c r="E599" s="409" t="s">
        <v>220</v>
      </c>
      <c r="F599" s="410"/>
      <c r="G599" s="410" t="s">
        <v>24</v>
      </c>
      <c r="H599" s="117" t="str">
        <f t="shared" si="96"/>
        <v>yes</v>
      </c>
      <c r="I599" s="117" t="str">
        <f t="shared" si="97"/>
        <v>no</v>
      </c>
      <c r="J599" s="117" t="str">
        <f t="shared" si="98"/>
        <v>no</v>
      </c>
      <c r="K599" s="410" t="s">
        <v>1250</v>
      </c>
      <c r="L599" s="117" t="str">
        <f t="shared" si="106"/>
        <v>detailed</v>
      </c>
      <c r="M599" s="117" t="str">
        <f t="shared" si="99"/>
        <v>detailed Mining</v>
      </c>
      <c r="N599" s="411">
        <v>311</v>
      </c>
      <c r="O599" s="411"/>
      <c r="P599" s="411"/>
      <c r="Q599" s="411"/>
      <c r="R599" s="411"/>
      <c r="S599" s="410" t="s">
        <v>610</v>
      </c>
      <c r="T599" s="412">
        <v>3860.43</v>
      </c>
      <c r="U599" s="410" t="s">
        <v>611</v>
      </c>
      <c r="V599" s="410" t="s">
        <v>1251</v>
      </c>
      <c r="W599" s="413">
        <f>N599*T599</f>
        <v>1200593.73</v>
      </c>
      <c r="X599" s="410"/>
      <c r="Y599" s="410"/>
      <c r="Z599" s="410"/>
      <c r="AA599" s="414"/>
      <c r="AB599" s="414"/>
      <c r="AC599" s="415"/>
      <c r="AD599" s="415"/>
      <c r="AE599" s="415"/>
      <c r="AF599" s="416"/>
      <c r="AG599" s="410"/>
      <c r="AH599" s="417"/>
      <c r="AI599" s="410"/>
      <c r="AJ599" s="410"/>
      <c r="AK599" s="413"/>
      <c r="AL599" s="410"/>
      <c r="AM599" s="410"/>
      <c r="AN599" s="410"/>
      <c r="AO599" s="410"/>
      <c r="AP599" s="410"/>
      <c r="AQ599" s="410"/>
      <c r="AR599" s="418"/>
      <c r="AS599" s="410"/>
      <c r="AT599" s="410"/>
      <c r="AU599" s="410"/>
      <c r="AV599" s="419"/>
      <c r="AW599" s="117">
        <f>VLOOKUP($D599,'WB Data'!$C$3:$M$578,2,FALSE)</f>
        <v>47654841112.852264</v>
      </c>
      <c r="AX599" s="117">
        <f>VLOOKUP($D599,'WB Data'!$C$3:$M$578,3,FALSE)</f>
        <v>14706578</v>
      </c>
      <c r="AY599" s="847">
        <f t="shared" si="102"/>
        <v>4.7139307938939981E-3</v>
      </c>
      <c r="AZ599" s="117">
        <f>VLOOKUP($D599,'WB Data'!$C$3:$M$578,4,FALSE)/100</f>
        <v>0.11399262010775933</v>
      </c>
      <c r="BA599" s="117">
        <f t="shared" si="103"/>
        <v>5432300199.2729988</v>
      </c>
      <c r="BB599" s="129">
        <f>IFERROR(VLOOKUP($D599,'EITI Revenues'!$C$2:$G$224,5,FALSE),"..")</f>
        <v>224641623</v>
      </c>
      <c r="BC599" s="846">
        <f t="shared" si="104"/>
        <v>4.135294714199772E-2</v>
      </c>
      <c r="BD599" s="129">
        <f>VLOOKUP($D599,'WB Data 2'!$C$2:$K$545,6,FALSE)</f>
        <v>1533501156.8436511</v>
      </c>
      <c r="BE599" s="129">
        <f>IFERROR(VLOOKUP($D599,UNCTAD!$C$5:$V$529,4,FALSE),"..")</f>
        <v>12757323906</v>
      </c>
      <c r="BF599" s="846">
        <f t="shared" si="105"/>
        <v>0.12020555158299444</v>
      </c>
      <c r="BG599" s="117">
        <f>VLOOKUP($D599,'WB Data'!$C$3:$M$578,5,FALSE)</f>
        <v>387910000</v>
      </c>
      <c r="BH599" s="129">
        <f>IFERROR($BB599/$BG599,"..")</f>
        <v>0.57910758423345621</v>
      </c>
      <c r="BI599" s="117">
        <f>IFERROR(VLOOKUP($D599,'WB Data'!$C$3:$M$578,7,FALSE)/100,"..")</f>
        <v>2.9180399999999999E-2</v>
      </c>
      <c r="BJ599" s="117">
        <f>IFERROR($BI599*$AW599,"..")</f>
        <v>1390587325.6094742</v>
      </c>
      <c r="BK599" s="846">
        <f>IFERROR($BB599/$BJ599,"..")</f>
        <v>0.16154442001802571</v>
      </c>
      <c r="BL599" s="117">
        <f>IFERROR(VLOOKUP($D599,'WB Data'!$C$3:$M$578,7,FALSE)/100,"..")</f>
        <v>2.9180399999999999E-2</v>
      </c>
      <c r="BM599" s="117">
        <f>IFERROR($AW599*$BL599,"..")</f>
        <v>1390587325.6094742</v>
      </c>
      <c r="BN599" s="846">
        <f>IFERROR($BB599/$BM599,"..")</f>
        <v>0.16154442001802571</v>
      </c>
      <c r="BO599" s="801">
        <f t="shared" si="101"/>
        <v>32</v>
      </c>
      <c r="BP599" s="117">
        <f>VLOOKUP($D599,'WB Data'!$C$3:$M$578,9,FALSE)</f>
        <v>53.7</v>
      </c>
      <c r="BQ599" s="117">
        <f>VLOOKUP($D599,'WB Data'!$C$3:$M$578,10,FALSE)</f>
        <v>71.327902439024385</v>
      </c>
      <c r="BR599" s="117">
        <f>VLOOKUP($D599,'WB Data'!$C$3:$M$578,11,FALSE)</f>
        <v>27.5</v>
      </c>
      <c r="BS599" s="129">
        <f>IFERROR(VLOOKUP($D599,'WB Data 2'!$C$2:$K$545,9,FALSE),"..")</f>
        <v>95.268600000000006</v>
      </c>
      <c r="BT599" s="129" t="str">
        <f>_xlfn.IFNA(VLOOKUP($C599,RGI!$A$2:$C$43,2,FALSE),"..")</f>
        <v>..</v>
      </c>
      <c r="BU599" s="129" t="str">
        <f>_xlfn.IFNA(VLOOKUP($C599,RGI!$A$2:$C$43,3,FALSE),"..")</f>
        <v>..</v>
      </c>
      <c r="BV599" s="129">
        <f>VLOOKUP($D599,WGI!$C$2:$O$478,7,FALSE)</f>
        <v>-0.34866950292311899</v>
      </c>
      <c r="BW599" s="129">
        <f>VLOOKUP($D599,WGI!$C$2:$O$478,4,FALSE)</f>
        <v>-0.76425001276209303</v>
      </c>
      <c r="BX599" s="129">
        <f>VLOOKUP($D599,WGI!$C$2:$O$478,3,FALSE)</f>
        <v>-0.69949021593927097</v>
      </c>
      <c r="BY599" s="129">
        <f>VLOOKUP($D599,WGI!$C$2:$O$478,5,FALSE)</f>
        <v>-0.11199757468508301</v>
      </c>
      <c r="BZ599" s="129">
        <f>VLOOKUP($D599,WGI!$C$2:$O$478,2,FALSE)</f>
        <v>-0.46966100737468802</v>
      </c>
      <c r="CB599" s="129"/>
    </row>
    <row r="600" spans="1:80" s="120" customFormat="1" ht="15" customHeight="1">
      <c r="A600" s="407" t="s">
        <v>222</v>
      </c>
      <c r="B600" s="408">
        <v>2011</v>
      </c>
      <c r="C600" s="805" t="s">
        <v>219</v>
      </c>
      <c r="D600" s="117" t="s">
        <v>3698</v>
      </c>
      <c r="E600" s="409" t="s">
        <v>220</v>
      </c>
      <c r="F600" s="410"/>
      <c r="G600" s="410" t="s">
        <v>24</v>
      </c>
      <c r="H600" s="117" t="str">
        <f t="shared" si="96"/>
        <v>yes</v>
      </c>
      <c r="I600" s="117" t="str">
        <f t="shared" si="97"/>
        <v>no</v>
      </c>
      <c r="J600" s="117" t="str">
        <f t="shared" si="98"/>
        <v>no</v>
      </c>
      <c r="K600" s="410" t="s">
        <v>1233</v>
      </c>
      <c r="L600" s="117" t="str">
        <f t="shared" si="106"/>
        <v>detailed</v>
      </c>
      <c r="M600" s="117" t="str">
        <f t="shared" si="99"/>
        <v>detailed Mining</v>
      </c>
      <c r="N600" s="411">
        <f>738*2.71</f>
        <v>1999.98</v>
      </c>
      <c r="O600" s="411"/>
      <c r="P600" s="411"/>
      <c r="Q600" s="411"/>
      <c r="R600" s="411"/>
      <c r="S600" s="410" t="s">
        <v>610</v>
      </c>
      <c r="T600" s="412">
        <v>15.3</v>
      </c>
      <c r="U600" s="410" t="s">
        <v>611</v>
      </c>
      <c r="V600" s="410" t="s">
        <v>1252</v>
      </c>
      <c r="W600" s="413">
        <f>N600*T600</f>
        <v>30599.694000000003</v>
      </c>
      <c r="X600" s="410"/>
      <c r="Y600" s="410"/>
      <c r="Z600" s="410"/>
      <c r="AA600" s="414"/>
      <c r="AB600" s="414"/>
      <c r="AC600" s="415"/>
      <c r="AD600" s="415"/>
      <c r="AE600" s="415"/>
      <c r="AF600" s="416"/>
      <c r="AG600" s="410"/>
      <c r="AH600" s="417"/>
      <c r="AI600" s="410"/>
      <c r="AJ600" s="410"/>
      <c r="AK600" s="413"/>
      <c r="AL600" s="410"/>
      <c r="AM600" s="410"/>
      <c r="AN600" s="410"/>
      <c r="AO600" s="410"/>
      <c r="AP600" s="410"/>
      <c r="AQ600" s="410"/>
      <c r="AR600" s="418"/>
      <c r="AS600" s="410"/>
      <c r="AT600" s="410"/>
      <c r="AU600" s="410"/>
      <c r="AV600" s="419"/>
      <c r="AW600" s="117">
        <f>VLOOKUP($D600,'WB Data'!$C$3:$M$578,2,FALSE)</f>
        <v>47654841112.852264</v>
      </c>
      <c r="AX600" s="117">
        <f>VLOOKUP($D600,'WB Data'!$C$3:$M$578,3,FALSE)</f>
        <v>14706578</v>
      </c>
      <c r="AY600" s="847">
        <f t="shared" si="102"/>
        <v>4.7139307938939981E-3</v>
      </c>
      <c r="AZ600" s="117">
        <f>VLOOKUP($D600,'WB Data'!$C$3:$M$578,4,FALSE)/100</f>
        <v>0.11399262010775933</v>
      </c>
      <c r="BA600" s="117">
        <f t="shared" si="103"/>
        <v>5432300199.2729988</v>
      </c>
      <c r="BB600" s="129">
        <f>IFERROR(VLOOKUP($D600,'EITI Revenues'!$C$2:$G$224,5,FALSE),"..")</f>
        <v>224641623</v>
      </c>
      <c r="BC600" s="846">
        <f t="shared" si="104"/>
        <v>4.135294714199772E-2</v>
      </c>
      <c r="BD600" s="129">
        <f>VLOOKUP($D600,'WB Data 2'!$C$2:$K$545,6,FALSE)</f>
        <v>1533501156.8436511</v>
      </c>
      <c r="BE600" s="129">
        <f>IFERROR(VLOOKUP($D600,UNCTAD!$C$5:$V$529,4,FALSE),"..")</f>
        <v>12757323906</v>
      </c>
      <c r="BF600" s="846">
        <f t="shared" si="105"/>
        <v>0.12020555158299444</v>
      </c>
      <c r="BG600" s="117">
        <f>VLOOKUP($D600,'WB Data'!$C$3:$M$578,5,FALSE)</f>
        <v>387910000</v>
      </c>
      <c r="BH600" s="129">
        <f>IFERROR($BB600/$BG600,"..")</f>
        <v>0.57910758423345621</v>
      </c>
      <c r="BI600" s="117">
        <f>IFERROR(VLOOKUP($D600,'WB Data'!$C$3:$M$578,7,FALSE)/100,"..")</f>
        <v>2.9180399999999999E-2</v>
      </c>
      <c r="BJ600" s="117">
        <f>IFERROR($BI600*$AW600,"..")</f>
        <v>1390587325.6094742</v>
      </c>
      <c r="BK600" s="846">
        <f>IFERROR($BB600/$BJ600,"..")</f>
        <v>0.16154442001802571</v>
      </c>
      <c r="BL600" s="117">
        <f>IFERROR(VLOOKUP($D600,'WB Data'!$C$3:$M$578,7,FALSE)/100,"..")</f>
        <v>2.9180399999999999E-2</v>
      </c>
      <c r="BM600" s="117">
        <f>IFERROR($AW600*$BL600,"..")</f>
        <v>1390587325.6094742</v>
      </c>
      <c r="BN600" s="846">
        <f>IFERROR($BB600/$BM600,"..")</f>
        <v>0.16154442001802571</v>
      </c>
      <c r="BO600" s="801">
        <f t="shared" si="101"/>
        <v>32</v>
      </c>
      <c r="BP600" s="117">
        <f>VLOOKUP($D600,'WB Data'!$C$3:$M$578,9,FALSE)</f>
        <v>53.7</v>
      </c>
      <c r="BQ600" s="117">
        <f>VLOOKUP($D600,'WB Data'!$C$3:$M$578,10,FALSE)</f>
        <v>71.327902439024385</v>
      </c>
      <c r="BR600" s="117">
        <f>VLOOKUP($D600,'WB Data'!$C$3:$M$578,11,FALSE)</f>
        <v>27.5</v>
      </c>
      <c r="BS600" s="129">
        <f>IFERROR(VLOOKUP($D600,'WB Data 2'!$C$2:$K$545,9,FALSE),"..")</f>
        <v>95.268600000000006</v>
      </c>
      <c r="BT600" s="129" t="str">
        <f>_xlfn.IFNA(VLOOKUP($C600,RGI!$A$2:$C$43,2,FALSE),"..")</f>
        <v>..</v>
      </c>
      <c r="BU600" s="129" t="str">
        <f>_xlfn.IFNA(VLOOKUP($C600,RGI!$A$2:$C$43,3,FALSE),"..")</f>
        <v>..</v>
      </c>
      <c r="BV600" s="129">
        <f>VLOOKUP($D600,WGI!$C$2:$O$478,7,FALSE)</f>
        <v>-0.34866950292311899</v>
      </c>
      <c r="BW600" s="129">
        <f>VLOOKUP($D600,WGI!$C$2:$O$478,4,FALSE)</f>
        <v>-0.76425001276209303</v>
      </c>
      <c r="BX600" s="129">
        <f>VLOOKUP($D600,WGI!$C$2:$O$478,3,FALSE)</f>
        <v>-0.69949021593927097</v>
      </c>
      <c r="BY600" s="129">
        <f>VLOOKUP($D600,WGI!$C$2:$O$478,5,FALSE)</f>
        <v>-0.11199757468508301</v>
      </c>
      <c r="BZ600" s="129">
        <f>VLOOKUP($D600,WGI!$C$2:$O$478,2,FALSE)</f>
        <v>-0.46966100737468802</v>
      </c>
      <c r="CB600" s="129"/>
    </row>
    <row r="601" spans="1:80" s="120" customFormat="1" ht="15" customHeight="1">
      <c r="A601" s="407" t="s">
        <v>222</v>
      </c>
      <c r="B601" s="408">
        <v>2011</v>
      </c>
      <c r="C601" s="805" t="s">
        <v>219</v>
      </c>
      <c r="D601" s="117" t="s">
        <v>3698</v>
      </c>
      <c r="E601" s="409" t="s">
        <v>220</v>
      </c>
      <c r="F601" s="410"/>
      <c r="G601" s="410" t="s">
        <v>24</v>
      </c>
      <c r="H601" s="117" t="str">
        <f t="shared" si="96"/>
        <v>yes</v>
      </c>
      <c r="I601" s="117" t="str">
        <f t="shared" si="97"/>
        <v>no</v>
      </c>
      <c r="J601" s="117" t="str">
        <f t="shared" si="98"/>
        <v>no</v>
      </c>
      <c r="K601" s="410" t="s">
        <v>1235</v>
      </c>
      <c r="L601" s="117" t="str">
        <f t="shared" si="106"/>
        <v>detailed</v>
      </c>
      <c r="M601" s="117" t="str">
        <f t="shared" si="99"/>
        <v>detailed Mining</v>
      </c>
      <c r="N601" s="411">
        <f>500*2.24</f>
        <v>1120</v>
      </c>
      <c r="O601" s="411"/>
      <c r="P601" s="411"/>
      <c r="Q601" s="411"/>
      <c r="R601" s="411"/>
      <c r="S601" s="410" t="s">
        <v>642</v>
      </c>
      <c r="T601" s="412">
        <v>6.14</v>
      </c>
      <c r="U601" s="410" t="s">
        <v>611</v>
      </c>
      <c r="V601" s="410" t="s">
        <v>1236</v>
      </c>
      <c r="W601" s="413">
        <f>N601*T601</f>
        <v>6876.7999999999993</v>
      </c>
      <c r="X601" s="410"/>
      <c r="Y601" s="410"/>
      <c r="Z601" s="410"/>
      <c r="AA601" s="414"/>
      <c r="AB601" s="414"/>
      <c r="AC601" s="415"/>
      <c r="AD601" s="415"/>
      <c r="AE601" s="415"/>
      <c r="AF601" s="416"/>
      <c r="AG601" s="410"/>
      <c r="AH601" s="417"/>
      <c r="AI601" s="410"/>
      <c r="AJ601" s="410"/>
      <c r="AK601" s="413"/>
      <c r="AL601" s="410"/>
      <c r="AM601" s="410"/>
      <c r="AN601" s="410"/>
      <c r="AO601" s="410"/>
      <c r="AP601" s="410"/>
      <c r="AQ601" s="410"/>
      <c r="AR601" s="418"/>
      <c r="AS601" s="410"/>
      <c r="AT601" s="410"/>
      <c r="AU601" s="410"/>
      <c r="AV601" s="419"/>
      <c r="AW601" s="117">
        <f>VLOOKUP($D601,'WB Data'!$C$3:$M$578,2,FALSE)</f>
        <v>47654841112.852264</v>
      </c>
      <c r="AX601" s="117">
        <f>VLOOKUP($D601,'WB Data'!$C$3:$M$578,3,FALSE)</f>
        <v>14706578</v>
      </c>
      <c r="AY601" s="847">
        <f t="shared" si="102"/>
        <v>4.7139307938939981E-3</v>
      </c>
      <c r="AZ601" s="117">
        <f>VLOOKUP($D601,'WB Data'!$C$3:$M$578,4,FALSE)/100</f>
        <v>0.11399262010775933</v>
      </c>
      <c r="BA601" s="117">
        <f t="shared" si="103"/>
        <v>5432300199.2729988</v>
      </c>
      <c r="BB601" s="129">
        <f>IFERROR(VLOOKUP($D601,'EITI Revenues'!$C$2:$G$224,5,FALSE),"..")</f>
        <v>224641623</v>
      </c>
      <c r="BC601" s="846">
        <f t="shared" si="104"/>
        <v>4.135294714199772E-2</v>
      </c>
      <c r="BD601" s="129">
        <f>VLOOKUP($D601,'WB Data 2'!$C$2:$K$545,6,FALSE)</f>
        <v>1533501156.8436511</v>
      </c>
      <c r="BE601" s="129">
        <f>IFERROR(VLOOKUP($D601,UNCTAD!$C$5:$V$529,4,FALSE),"..")</f>
        <v>12757323906</v>
      </c>
      <c r="BF601" s="846">
        <f t="shared" si="105"/>
        <v>0.12020555158299444</v>
      </c>
      <c r="BG601" s="117">
        <f>VLOOKUP($D601,'WB Data'!$C$3:$M$578,5,FALSE)</f>
        <v>387910000</v>
      </c>
      <c r="BH601" s="129">
        <f>IFERROR($BB601/$BG601,"..")</f>
        <v>0.57910758423345621</v>
      </c>
      <c r="BI601" s="117">
        <f>IFERROR(VLOOKUP($D601,'WB Data'!$C$3:$M$578,7,FALSE)/100,"..")</f>
        <v>2.9180399999999999E-2</v>
      </c>
      <c r="BJ601" s="117">
        <f>IFERROR($BI601*$AW601,"..")</f>
        <v>1390587325.6094742</v>
      </c>
      <c r="BK601" s="846">
        <f>IFERROR($BB601/$BJ601,"..")</f>
        <v>0.16154442001802571</v>
      </c>
      <c r="BL601" s="117">
        <f>IFERROR(VLOOKUP($D601,'WB Data'!$C$3:$M$578,7,FALSE)/100,"..")</f>
        <v>2.9180399999999999E-2</v>
      </c>
      <c r="BM601" s="117">
        <f>IFERROR($AW601*$BL601,"..")</f>
        <v>1390587325.6094742</v>
      </c>
      <c r="BN601" s="846">
        <f>IFERROR($BB601/$BM601,"..")</f>
        <v>0.16154442001802571</v>
      </c>
      <c r="BO601" s="801">
        <f t="shared" si="101"/>
        <v>32</v>
      </c>
      <c r="BP601" s="117">
        <f>VLOOKUP($D601,'WB Data'!$C$3:$M$578,9,FALSE)</f>
        <v>53.7</v>
      </c>
      <c r="BQ601" s="117">
        <f>VLOOKUP($D601,'WB Data'!$C$3:$M$578,10,FALSE)</f>
        <v>71.327902439024385</v>
      </c>
      <c r="BR601" s="117">
        <f>VLOOKUP($D601,'WB Data'!$C$3:$M$578,11,FALSE)</f>
        <v>27.5</v>
      </c>
      <c r="BS601" s="129">
        <f>IFERROR(VLOOKUP($D601,'WB Data 2'!$C$2:$K$545,9,FALSE),"..")</f>
        <v>95.268600000000006</v>
      </c>
      <c r="BT601" s="129" t="str">
        <f>_xlfn.IFNA(VLOOKUP($C601,RGI!$A$2:$C$43,2,FALSE),"..")</f>
        <v>..</v>
      </c>
      <c r="BU601" s="129" t="str">
        <f>_xlfn.IFNA(VLOOKUP($C601,RGI!$A$2:$C$43,3,FALSE),"..")</f>
        <v>..</v>
      </c>
      <c r="BV601" s="129">
        <f>VLOOKUP($D601,WGI!$C$2:$O$478,7,FALSE)</f>
        <v>-0.34866950292311899</v>
      </c>
      <c r="BW601" s="129">
        <f>VLOOKUP($D601,WGI!$C$2:$O$478,4,FALSE)</f>
        <v>-0.76425001276209303</v>
      </c>
      <c r="BX601" s="129">
        <f>VLOOKUP($D601,WGI!$C$2:$O$478,3,FALSE)</f>
        <v>-0.69949021593927097</v>
      </c>
      <c r="BY601" s="129">
        <f>VLOOKUP($D601,WGI!$C$2:$O$478,5,FALSE)</f>
        <v>-0.11199757468508301</v>
      </c>
      <c r="BZ601" s="129">
        <f>VLOOKUP($D601,WGI!$C$2:$O$478,2,FALSE)</f>
        <v>-0.46966100737468802</v>
      </c>
      <c r="CB601" s="129"/>
    </row>
    <row r="602" spans="1:80" s="120" customFormat="1" ht="15" customHeight="1">
      <c r="A602" s="407" t="s">
        <v>222</v>
      </c>
      <c r="B602" s="408">
        <v>2011</v>
      </c>
      <c r="C602" s="805" t="s">
        <v>219</v>
      </c>
      <c r="D602" s="117" t="s">
        <v>3698</v>
      </c>
      <c r="E602" s="409" t="s">
        <v>220</v>
      </c>
      <c r="F602" s="410"/>
      <c r="G602" s="410" t="s">
        <v>24</v>
      </c>
      <c r="H602" s="117" t="str">
        <f t="shared" si="96"/>
        <v>yes</v>
      </c>
      <c r="I602" s="117" t="str">
        <f t="shared" si="97"/>
        <v>no</v>
      </c>
      <c r="J602" s="117" t="str">
        <f t="shared" si="98"/>
        <v>no</v>
      </c>
      <c r="K602" s="410" t="s">
        <v>969</v>
      </c>
      <c r="L602" s="117" t="str">
        <f t="shared" si="106"/>
        <v>detailed</v>
      </c>
      <c r="M602" s="117" t="str">
        <f t="shared" si="99"/>
        <v>detailed Mining</v>
      </c>
      <c r="N602" s="411">
        <v>800</v>
      </c>
      <c r="O602" s="411"/>
      <c r="P602" s="411"/>
      <c r="Q602" s="411"/>
      <c r="R602" s="411"/>
      <c r="S602" s="410" t="s">
        <v>610</v>
      </c>
      <c r="T602" s="412"/>
      <c r="U602" s="410"/>
      <c r="V602" s="410" t="s">
        <v>684</v>
      </c>
      <c r="W602" s="413"/>
      <c r="X602" s="410"/>
      <c r="Y602" s="410"/>
      <c r="Z602" s="410"/>
      <c r="AA602" s="414"/>
      <c r="AB602" s="414"/>
      <c r="AC602" s="415"/>
      <c r="AD602" s="415"/>
      <c r="AE602" s="415"/>
      <c r="AF602" s="416"/>
      <c r="AG602" s="410"/>
      <c r="AH602" s="417"/>
      <c r="AI602" s="410"/>
      <c r="AJ602" s="410"/>
      <c r="AK602" s="413"/>
      <c r="AL602" s="410"/>
      <c r="AM602" s="410"/>
      <c r="AN602" s="410"/>
      <c r="AO602" s="410"/>
      <c r="AP602" s="410"/>
      <c r="AQ602" s="410"/>
      <c r="AR602" s="418"/>
      <c r="AS602" s="410"/>
      <c r="AT602" s="410"/>
      <c r="AU602" s="410"/>
      <c r="AV602" s="419"/>
      <c r="AW602" s="117">
        <f>VLOOKUP($D602,'WB Data'!$C$3:$M$578,2,FALSE)</f>
        <v>47654841112.852264</v>
      </c>
      <c r="AX602" s="117">
        <f>VLOOKUP($D602,'WB Data'!$C$3:$M$578,3,FALSE)</f>
        <v>14706578</v>
      </c>
      <c r="AY602" s="847">
        <f t="shared" si="102"/>
        <v>4.7139307938939981E-3</v>
      </c>
      <c r="AZ602" s="117">
        <f>VLOOKUP($D602,'WB Data'!$C$3:$M$578,4,FALSE)/100</f>
        <v>0.11399262010775933</v>
      </c>
      <c r="BA602" s="117">
        <f t="shared" si="103"/>
        <v>5432300199.2729988</v>
      </c>
      <c r="BB602" s="129">
        <f>IFERROR(VLOOKUP($D602,'EITI Revenues'!$C$2:$G$224,5,FALSE),"..")</f>
        <v>224641623</v>
      </c>
      <c r="BC602" s="846">
        <f t="shared" si="104"/>
        <v>4.135294714199772E-2</v>
      </c>
      <c r="BD602" s="129">
        <f>VLOOKUP($D602,'WB Data 2'!$C$2:$K$545,6,FALSE)</f>
        <v>1533501156.8436511</v>
      </c>
      <c r="BE602" s="129">
        <f>IFERROR(VLOOKUP($D602,UNCTAD!$C$5:$V$529,4,FALSE),"..")</f>
        <v>12757323906</v>
      </c>
      <c r="BF602" s="846">
        <f t="shared" si="105"/>
        <v>0.12020555158299444</v>
      </c>
      <c r="BG602" s="117">
        <f>VLOOKUP($D602,'WB Data'!$C$3:$M$578,5,FALSE)</f>
        <v>387910000</v>
      </c>
      <c r="BH602" s="129">
        <f>IFERROR($BB602/$BG602,"..")</f>
        <v>0.57910758423345621</v>
      </c>
      <c r="BI602" s="117">
        <f>IFERROR(VLOOKUP($D602,'WB Data'!$C$3:$M$578,7,FALSE)/100,"..")</f>
        <v>2.9180399999999999E-2</v>
      </c>
      <c r="BJ602" s="117">
        <f>IFERROR($BI602*$AW602,"..")</f>
        <v>1390587325.6094742</v>
      </c>
      <c r="BK602" s="846">
        <f>IFERROR($BB602/$BJ602,"..")</f>
        <v>0.16154442001802571</v>
      </c>
      <c r="BL602" s="117">
        <f>IFERROR(VLOOKUP($D602,'WB Data'!$C$3:$M$578,7,FALSE)/100,"..")</f>
        <v>2.9180399999999999E-2</v>
      </c>
      <c r="BM602" s="117">
        <f>IFERROR($AW602*$BL602,"..")</f>
        <v>1390587325.6094742</v>
      </c>
      <c r="BN602" s="846">
        <f>IFERROR($BB602/$BM602,"..")</f>
        <v>0.16154442001802571</v>
      </c>
      <c r="BO602" s="801">
        <f t="shared" si="101"/>
        <v>32</v>
      </c>
      <c r="BP602" s="117">
        <f>VLOOKUP($D602,'WB Data'!$C$3:$M$578,9,FALSE)</f>
        <v>53.7</v>
      </c>
      <c r="BQ602" s="117">
        <f>VLOOKUP($D602,'WB Data'!$C$3:$M$578,10,FALSE)</f>
        <v>71.327902439024385</v>
      </c>
      <c r="BR602" s="117">
        <f>VLOOKUP($D602,'WB Data'!$C$3:$M$578,11,FALSE)</f>
        <v>27.5</v>
      </c>
      <c r="BS602" s="129">
        <f>IFERROR(VLOOKUP($D602,'WB Data 2'!$C$2:$K$545,9,FALSE),"..")</f>
        <v>95.268600000000006</v>
      </c>
      <c r="BT602" s="129" t="str">
        <f>_xlfn.IFNA(VLOOKUP($C602,RGI!$A$2:$C$43,2,FALSE),"..")</f>
        <v>..</v>
      </c>
      <c r="BU602" s="129" t="str">
        <f>_xlfn.IFNA(VLOOKUP($C602,RGI!$A$2:$C$43,3,FALSE),"..")</f>
        <v>..</v>
      </c>
      <c r="BV602" s="129">
        <f>VLOOKUP($D602,WGI!$C$2:$O$478,7,FALSE)</f>
        <v>-0.34866950292311899</v>
      </c>
      <c r="BW602" s="129">
        <f>VLOOKUP($D602,WGI!$C$2:$O$478,4,FALSE)</f>
        <v>-0.76425001276209303</v>
      </c>
      <c r="BX602" s="129">
        <f>VLOOKUP($D602,WGI!$C$2:$O$478,3,FALSE)</f>
        <v>-0.69949021593927097</v>
      </c>
      <c r="BY602" s="129">
        <f>VLOOKUP($D602,WGI!$C$2:$O$478,5,FALSE)</f>
        <v>-0.11199757468508301</v>
      </c>
      <c r="BZ602" s="129">
        <f>VLOOKUP($D602,WGI!$C$2:$O$478,2,FALSE)</f>
        <v>-0.46966100737468802</v>
      </c>
      <c r="CB602" s="129"/>
    </row>
    <row r="603" spans="1:80" s="120" customFormat="1" ht="15" customHeight="1">
      <c r="A603" s="407" t="s">
        <v>222</v>
      </c>
      <c r="B603" s="408">
        <v>2011</v>
      </c>
      <c r="C603" s="805" t="s">
        <v>219</v>
      </c>
      <c r="D603" s="117" t="s">
        <v>3698</v>
      </c>
      <c r="E603" s="409" t="s">
        <v>220</v>
      </c>
      <c r="F603" s="410"/>
      <c r="G603" s="410" t="s">
        <v>24</v>
      </c>
      <c r="H603" s="117" t="str">
        <f t="shared" si="96"/>
        <v>yes</v>
      </c>
      <c r="I603" s="117" t="str">
        <f t="shared" si="97"/>
        <v>no</v>
      </c>
      <c r="J603" s="117" t="str">
        <f t="shared" si="98"/>
        <v>no</v>
      </c>
      <c r="K603" s="410" t="s">
        <v>1147</v>
      </c>
      <c r="L603" s="117" t="str">
        <f t="shared" si="106"/>
        <v>detailed</v>
      </c>
      <c r="M603" s="117" t="str">
        <f t="shared" si="99"/>
        <v>detailed Mining</v>
      </c>
      <c r="N603" s="411">
        <v>50000</v>
      </c>
      <c r="O603" s="411"/>
      <c r="P603" s="411"/>
      <c r="Q603" s="411"/>
      <c r="R603" s="411"/>
      <c r="S603" s="410" t="s">
        <v>610</v>
      </c>
      <c r="T603" s="412">
        <v>67.89</v>
      </c>
      <c r="U603" s="410" t="s">
        <v>611</v>
      </c>
      <c r="V603" s="410" t="s">
        <v>1239</v>
      </c>
      <c r="W603" s="413">
        <f t="shared" ref="W603:W608" si="108">N603*T603</f>
        <v>3394500</v>
      </c>
      <c r="X603" s="410"/>
      <c r="Y603" s="410"/>
      <c r="Z603" s="410"/>
      <c r="AA603" s="414"/>
      <c r="AB603" s="414"/>
      <c r="AC603" s="415"/>
      <c r="AD603" s="415"/>
      <c r="AE603" s="415"/>
      <c r="AF603" s="416"/>
      <c r="AG603" s="410"/>
      <c r="AH603" s="417"/>
      <c r="AI603" s="410"/>
      <c r="AJ603" s="410"/>
      <c r="AK603" s="413"/>
      <c r="AL603" s="410"/>
      <c r="AM603" s="410"/>
      <c r="AN603" s="410"/>
      <c r="AO603" s="410"/>
      <c r="AP603" s="410"/>
      <c r="AQ603" s="410"/>
      <c r="AR603" s="418"/>
      <c r="AS603" s="410"/>
      <c r="AT603" s="410"/>
      <c r="AU603" s="410"/>
      <c r="AV603" s="419"/>
      <c r="AW603" s="117">
        <f>VLOOKUP($D603,'WB Data'!$C$3:$M$578,2,FALSE)</f>
        <v>47654841112.852264</v>
      </c>
      <c r="AX603" s="117">
        <f>VLOOKUP($D603,'WB Data'!$C$3:$M$578,3,FALSE)</f>
        <v>14706578</v>
      </c>
      <c r="AY603" s="847">
        <f t="shared" si="102"/>
        <v>4.7139307938939981E-3</v>
      </c>
      <c r="AZ603" s="117">
        <f>VLOOKUP($D603,'WB Data'!$C$3:$M$578,4,FALSE)/100</f>
        <v>0.11399262010775933</v>
      </c>
      <c r="BA603" s="117">
        <f t="shared" si="103"/>
        <v>5432300199.2729988</v>
      </c>
      <c r="BB603" s="129">
        <f>IFERROR(VLOOKUP($D603,'EITI Revenues'!$C$2:$G$224,5,FALSE),"..")</f>
        <v>224641623</v>
      </c>
      <c r="BC603" s="846">
        <f t="shared" si="104"/>
        <v>4.135294714199772E-2</v>
      </c>
      <c r="BD603" s="129">
        <f>VLOOKUP($D603,'WB Data 2'!$C$2:$K$545,6,FALSE)</f>
        <v>1533501156.8436511</v>
      </c>
      <c r="BE603" s="129">
        <f>IFERROR(VLOOKUP($D603,UNCTAD!$C$5:$V$529,4,FALSE),"..")</f>
        <v>12757323906</v>
      </c>
      <c r="BF603" s="846">
        <f t="shared" si="105"/>
        <v>0.12020555158299444</v>
      </c>
      <c r="BG603" s="117">
        <f>VLOOKUP($D603,'WB Data'!$C$3:$M$578,5,FALSE)</f>
        <v>387910000</v>
      </c>
      <c r="BH603" s="129">
        <f>IFERROR($BB603/$BG603,"..")</f>
        <v>0.57910758423345621</v>
      </c>
      <c r="BI603" s="117">
        <f>IFERROR(VLOOKUP($D603,'WB Data'!$C$3:$M$578,7,FALSE)/100,"..")</f>
        <v>2.9180399999999999E-2</v>
      </c>
      <c r="BJ603" s="117">
        <f>IFERROR($BI603*$AW603,"..")</f>
        <v>1390587325.6094742</v>
      </c>
      <c r="BK603" s="846">
        <f>IFERROR($BB603/$BJ603,"..")</f>
        <v>0.16154442001802571</v>
      </c>
      <c r="BL603" s="117">
        <f>IFERROR(VLOOKUP($D603,'WB Data'!$C$3:$M$578,7,FALSE)/100,"..")</f>
        <v>2.9180399999999999E-2</v>
      </c>
      <c r="BM603" s="117">
        <f>IFERROR($AW603*$BL603,"..")</f>
        <v>1390587325.6094742</v>
      </c>
      <c r="BN603" s="846">
        <f>IFERROR($BB603/$BM603,"..")</f>
        <v>0.16154442001802571</v>
      </c>
      <c r="BO603" s="801">
        <f t="shared" si="101"/>
        <v>32</v>
      </c>
      <c r="BP603" s="117">
        <f>VLOOKUP($D603,'WB Data'!$C$3:$M$578,9,FALSE)</f>
        <v>53.7</v>
      </c>
      <c r="BQ603" s="117">
        <f>VLOOKUP($D603,'WB Data'!$C$3:$M$578,10,FALSE)</f>
        <v>71.327902439024385</v>
      </c>
      <c r="BR603" s="117">
        <f>VLOOKUP($D603,'WB Data'!$C$3:$M$578,11,FALSE)</f>
        <v>27.5</v>
      </c>
      <c r="BS603" s="129">
        <f>IFERROR(VLOOKUP($D603,'WB Data 2'!$C$2:$K$545,9,FALSE),"..")</f>
        <v>95.268600000000006</v>
      </c>
      <c r="BT603" s="129" t="str">
        <f>_xlfn.IFNA(VLOOKUP($C603,RGI!$A$2:$C$43,2,FALSE),"..")</f>
        <v>..</v>
      </c>
      <c r="BU603" s="129" t="str">
        <f>_xlfn.IFNA(VLOOKUP($C603,RGI!$A$2:$C$43,3,FALSE),"..")</f>
        <v>..</v>
      </c>
      <c r="BV603" s="129">
        <f>VLOOKUP($D603,WGI!$C$2:$O$478,7,FALSE)</f>
        <v>-0.34866950292311899</v>
      </c>
      <c r="BW603" s="129">
        <f>VLOOKUP($D603,WGI!$C$2:$O$478,4,FALSE)</f>
        <v>-0.76425001276209303</v>
      </c>
      <c r="BX603" s="129">
        <f>VLOOKUP($D603,WGI!$C$2:$O$478,3,FALSE)</f>
        <v>-0.69949021593927097</v>
      </c>
      <c r="BY603" s="129">
        <f>VLOOKUP($D603,WGI!$C$2:$O$478,5,FALSE)</f>
        <v>-0.11199757468508301</v>
      </c>
      <c r="BZ603" s="129">
        <f>VLOOKUP($D603,WGI!$C$2:$O$478,2,FALSE)</f>
        <v>-0.46966100737468802</v>
      </c>
      <c r="CB603" s="129"/>
    </row>
    <row r="604" spans="1:80" s="120" customFormat="1" ht="15" customHeight="1">
      <c r="A604" s="407" t="s">
        <v>222</v>
      </c>
      <c r="B604" s="408">
        <v>2011</v>
      </c>
      <c r="C604" s="805" t="s">
        <v>219</v>
      </c>
      <c r="D604" s="117" t="s">
        <v>3698</v>
      </c>
      <c r="E604" s="409" t="s">
        <v>220</v>
      </c>
      <c r="F604" s="410"/>
      <c r="G604" s="410" t="s">
        <v>24</v>
      </c>
      <c r="H604" s="117" t="str">
        <f t="shared" si="96"/>
        <v>yes</v>
      </c>
      <c r="I604" s="117" t="str">
        <f t="shared" si="97"/>
        <v>no</v>
      </c>
      <c r="J604" s="117" t="str">
        <f t="shared" si="98"/>
        <v>no</v>
      </c>
      <c r="K604" s="410" t="s">
        <v>907</v>
      </c>
      <c r="L604" s="117" t="str">
        <f t="shared" si="106"/>
        <v>detailed</v>
      </c>
      <c r="M604" s="117" t="str">
        <f t="shared" si="99"/>
        <v>detailed Mining</v>
      </c>
      <c r="N604" s="411">
        <f>2304607*1.65</f>
        <v>3802601.55</v>
      </c>
      <c r="O604" s="411"/>
      <c r="P604" s="411"/>
      <c r="Q604" s="411"/>
      <c r="R604" s="411"/>
      <c r="S604" s="410" t="s">
        <v>610</v>
      </c>
      <c r="T604" s="412">
        <v>7.49</v>
      </c>
      <c r="U604" s="410" t="s">
        <v>611</v>
      </c>
      <c r="V604" s="410" t="s">
        <v>1253</v>
      </c>
      <c r="W604" s="413">
        <f t="shared" si="108"/>
        <v>28481485.609499998</v>
      </c>
      <c r="X604" s="410"/>
      <c r="Y604" s="410"/>
      <c r="Z604" s="410"/>
      <c r="AA604" s="414"/>
      <c r="AB604" s="414"/>
      <c r="AC604" s="415"/>
      <c r="AD604" s="415"/>
      <c r="AE604" s="415"/>
      <c r="AF604" s="416"/>
      <c r="AG604" s="410"/>
      <c r="AH604" s="417"/>
      <c r="AI604" s="410"/>
      <c r="AJ604" s="410"/>
      <c r="AK604" s="413"/>
      <c r="AL604" s="410"/>
      <c r="AM604" s="410"/>
      <c r="AN604" s="410"/>
      <c r="AO604" s="410"/>
      <c r="AP604" s="410"/>
      <c r="AQ604" s="410"/>
      <c r="AR604" s="418"/>
      <c r="AS604" s="410"/>
      <c r="AT604" s="410"/>
      <c r="AU604" s="410"/>
      <c r="AV604" s="419"/>
      <c r="AW604" s="117">
        <f>VLOOKUP($D604,'WB Data'!$C$3:$M$578,2,FALSE)</f>
        <v>47654841112.852264</v>
      </c>
      <c r="AX604" s="117">
        <f>VLOOKUP($D604,'WB Data'!$C$3:$M$578,3,FALSE)</f>
        <v>14706578</v>
      </c>
      <c r="AY604" s="847">
        <f t="shared" si="102"/>
        <v>4.7139307938939981E-3</v>
      </c>
      <c r="AZ604" s="117">
        <f>VLOOKUP($D604,'WB Data'!$C$3:$M$578,4,FALSE)/100</f>
        <v>0.11399262010775933</v>
      </c>
      <c r="BA604" s="117">
        <f t="shared" si="103"/>
        <v>5432300199.2729988</v>
      </c>
      <c r="BB604" s="129">
        <f>IFERROR(VLOOKUP($D604,'EITI Revenues'!$C$2:$G$224,5,FALSE),"..")</f>
        <v>224641623</v>
      </c>
      <c r="BC604" s="846">
        <f t="shared" si="104"/>
        <v>4.135294714199772E-2</v>
      </c>
      <c r="BD604" s="129">
        <f>VLOOKUP($D604,'WB Data 2'!$C$2:$K$545,6,FALSE)</f>
        <v>1533501156.8436511</v>
      </c>
      <c r="BE604" s="129">
        <f>IFERROR(VLOOKUP($D604,UNCTAD!$C$5:$V$529,4,FALSE),"..")</f>
        <v>12757323906</v>
      </c>
      <c r="BF604" s="846">
        <f t="shared" si="105"/>
        <v>0.12020555158299444</v>
      </c>
      <c r="BG604" s="117">
        <f>VLOOKUP($D604,'WB Data'!$C$3:$M$578,5,FALSE)</f>
        <v>387910000</v>
      </c>
      <c r="BH604" s="129">
        <f>IFERROR($BB604/$BG604,"..")</f>
        <v>0.57910758423345621</v>
      </c>
      <c r="BI604" s="117">
        <f>IFERROR(VLOOKUP($D604,'WB Data'!$C$3:$M$578,7,FALSE)/100,"..")</f>
        <v>2.9180399999999999E-2</v>
      </c>
      <c r="BJ604" s="117">
        <f>IFERROR($BI604*$AW604,"..")</f>
        <v>1390587325.6094742</v>
      </c>
      <c r="BK604" s="846">
        <f>IFERROR($BB604/$BJ604,"..")</f>
        <v>0.16154442001802571</v>
      </c>
      <c r="BL604" s="117">
        <f>IFERROR(VLOOKUP($D604,'WB Data'!$C$3:$M$578,7,FALSE)/100,"..")</f>
        <v>2.9180399999999999E-2</v>
      </c>
      <c r="BM604" s="117">
        <f>IFERROR($AW604*$BL604,"..")</f>
        <v>1390587325.6094742</v>
      </c>
      <c r="BN604" s="846">
        <f>IFERROR($BB604/$BM604,"..")</f>
        <v>0.16154442001802571</v>
      </c>
      <c r="BO604" s="801">
        <f t="shared" si="101"/>
        <v>32</v>
      </c>
      <c r="BP604" s="117">
        <f>VLOOKUP($D604,'WB Data'!$C$3:$M$578,9,FALSE)</f>
        <v>53.7</v>
      </c>
      <c r="BQ604" s="117">
        <f>VLOOKUP($D604,'WB Data'!$C$3:$M$578,10,FALSE)</f>
        <v>71.327902439024385</v>
      </c>
      <c r="BR604" s="117">
        <f>VLOOKUP($D604,'WB Data'!$C$3:$M$578,11,FALSE)</f>
        <v>27.5</v>
      </c>
      <c r="BS604" s="129">
        <f>IFERROR(VLOOKUP($D604,'WB Data 2'!$C$2:$K$545,9,FALSE),"..")</f>
        <v>95.268600000000006</v>
      </c>
      <c r="BT604" s="129" t="str">
        <f>_xlfn.IFNA(VLOOKUP($C604,RGI!$A$2:$C$43,2,FALSE),"..")</f>
        <v>..</v>
      </c>
      <c r="BU604" s="129" t="str">
        <f>_xlfn.IFNA(VLOOKUP($C604,RGI!$A$2:$C$43,3,FALSE),"..")</f>
        <v>..</v>
      </c>
      <c r="BV604" s="129">
        <f>VLOOKUP($D604,WGI!$C$2:$O$478,7,FALSE)</f>
        <v>-0.34866950292311899</v>
      </c>
      <c r="BW604" s="129">
        <f>VLOOKUP($D604,WGI!$C$2:$O$478,4,FALSE)</f>
        <v>-0.76425001276209303</v>
      </c>
      <c r="BX604" s="129">
        <f>VLOOKUP($D604,WGI!$C$2:$O$478,3,FALSE)</f>
        <v>-0.69949021593927097</v>
      </c>
      <c r="BY604" s="129">
        <f>VLOOKUP($D604,WGI!$C$2:$O$478,5,FALSE)</f>
        <v>-0.11199757468508301</v>
      </c>
      <c r="BZ604" s="129">
        <f>VLOOKUP($D604,WGI!$C$2:$O$478,2,FALSE)</f>
        <v>-0.46966100737468802</v>
      </c>
      <c r="CB604" s="129"/>
    </row>
    <row r="605" spans="1:80" s="120" customFormat="1" ht="15" customHeight="1">
      <c r="A605" s="407" t="s">
        <v>222</v>
      </c>
      <c r="B605" s="408">
        <v>2011</v>
      </c>
      <c r="C605" s="805" t="s">
        <v>219</v>
      </c>
      <c r="D605" s="117" t="s">
        <v>3698</v>
      </c>
      <c r="E605" s="409" t="s">
        <v>220</v>
      </c>
      <c r="F605" s="410"/>
      <c r="G605" s="410" t="s">
        <v>24</v>
      </c>
      <c r="H605" s="117" t="str">
        <f t="shared" si="96"/>
        <v>yes</v>
      </c>
      <c r="I605" s="117" t="str">
        <f t="shared" si="97"/>
        <v>no</v>
      </c>
      <c r="J605" s="117" t="str">
        <f t="shared" si="98"/>
        <v>no</v>
      </c>
      <c r="K605" s="410" t="s">
        <v>789</v>
      </c>
      <c r="L605" s="117" t="str">
        <f t="shared" si="106"/>
        <v>detailed</v>
      </c>
      <c r="M605" s="117" t="str">
        <f t="shared" si="99"/>
        <v>detailed Mining</v>
      </c>
      <c r="N605" s="411">
        <f>272771*32.150743126506</f>
        <v>8769790.3533601686</v>
      </c>
      <c r="O605" s="411"/>
      <c r="P605" s="411"/>
      <c r="Q605" s="411"/>
      <c r="R605" s="411"/>
      <c r="S605" s="410" t="s">
        <v>785</v>
      </c>
      <c r="T605" s="412">
        <f>35.22411666667/1</f>
        <v>35.22411666667</v>
      </c>
      <c r="U605" s="410" t="s">
        <v>786</v>
      </c>
      <c r="V605" s="410" t="s">
        <v>798</v>
      </c>
      <c r="W605" s="413">
        <f t="shared" si="108"/>
        <v>308908118.54899567</v>
      </c>
      <c r="X605" s="410"/>
      <c r="Y605" s="410"/>
      <c r="Z605" s="410"/>
      <c r="AA605" s="414"/>
      <c r="AB605" s="414"/>
      <c r="AC605" s="415"/>
      <c r="AD605" s="415"/>
      <c r="AE605" s="415"/>
      <c r="AF605" s="416"/>
      <c r="AG605" s="410"/>
      <c r="AH605" s="417"/>
      <c r="AI605" s="410"/>
      <c r="AJ605" s="410"/>
      <c r="AK605" s="413"/>
      <c r="AL605" s="410"/>
      <c r="AM605" s="410"/>
      <c r="AN605" s="410"/>
      <c r="AO605" s="410"/>
      <c r="AP605" s="410"/>
      <c r="AQ605" s="410"/>
      <c r="AR605" s="418"/>
      <c r="AS605" s="410"/>
      <c r="AT605" s="410"/>
      <c r="AU605" s="410"/>
      <c r="AV605" s="419"/>
      <c r="AW605" s="117">
        <f>VLOOKUP($D605,'WB Data'!$C$3:$M$578,2,FALSE)</f>
        <v>47654841112.852264</v>
      </c>
      <c r="AX605" s="117">
        <f>VLOOKUP($D605,'WB Data'!$C$3:$M$578,3,FALSE)</f>
        <v>14706578</v>
      </c>
      <c r="AY605" s="847">
        <f t="shared" si="102"/>
        <v>4.7139307938939981E-3</v>
      </c>
      <c r="AZ605" s="117">
        <f>VLOOKUP($D605,'WB Data'!$C$3:$M$578,4,FALSE)/100</f>
        <v>0.11399262010775933</v>
      </c>
      <c r="BA605" s="117">
        <f t="shared" si="103"/>
        <v>5432300199.2729988</v>
      </c>
      <c r="BB605" s="129">
        <f>IFERROR(VLOOKUP($D605,'EITI Revenues'!$C$2:$G$224,5,FALSE),"..")</f>
        <v>224641623</v>
      </c>
      <c r="BC605" s="846">
        <f t="shared" si="104"/>
        <v>4.135294714199772E-2</v>
      </c>
      <c r="BD605" s="129">
        <f>VLOOKUP($D605,'WB Data 2'!$C$2:$K$545,6,FALSE)</f>
        <v>1533501156.8436511</v>
      </c>
      <c r="BE605" s="129">
        <f>IFERROR(VLOOKUP($D605,UNCTAD!$C$5:$V$529,4,FALSE),"..")</f>
        <v>12757323906</v>
      </c>
      <c r="BF605" s="846">
        <f t="shared" si="105"/>
        <v>0.12020555158299444</v>
      </c>
      <c r="BG605" s="117">
        <f>VLOOKUP($D605,'WB Data'!$C$3:$M$578,5,FALSE)</f>
        <v>387910000</v>
      </c>
      <c r="BH605" s="129">
        <f>IFERROR($BB605/$BG605,"..")</f>
        <v>0.57910758423345621</v>
      </c>
      <c r="BI605" s="117">
        <f>IFERROR(VLOOKUP($D605,'WB Data'!$C$3:$M$578,7,FALSE)/100,"..")</f>
        <v>2.9180399999999999E-2</v>
      </c>
      <c r="BJ605" s="117">
        <f>IFERROR($BI605*$AW605,"..")</f>
        <v>1390587325.6094742</v>
      </c>
      <c r="BK605" s="846">
        <f>IFERROR($BB605/$BJ605,"..")</f>
        <v>0.16154442001802571</v>
      </c>
      <c r="BL605" s="117">
        <f>IFERROR(VLOOKUP($D605,'WB Data'!$C$3:$M$578,7,FALSE)/100,"..")</f>
        <v>2.9180399999999999E-2</v>
      </c>
      <c r="BM605" s="117">
        <f>IFERROR($AW605*$BL605,"..")</f>
        <v>1390587325.6094742</v>
      </c>
      <c r="BN605" s="846">
        <f>IFERROR($BB605/$BM605,"..")</f>
        <v>0.16154442001802571</v>
      </c>
      <c r="BO605" s="801">
        <f t="shared" si="101"/>
        <v>32</v>
      </c>
      <c r="BP605" s="117">
        <f>VLOOKUP($D605,'WB Data'!$C$3:$M$578,9,FALSE)</f>
        <v>53.7</v>
      </c>
      <c r="BQ605" s="117">
        <f>VLOOKUP($D605,'WB Data'!$C$3:$M$578,10,FALSE)</f>
        <v>71.327902439024385</v>
      </c>
      <c r="BR605" s="117">
        <f>VLOOKUP($D605,'WB Data'!$C$3:$M$578,11,FALSE)</f>
        <v>27.5</v>
      </c>
      <c r="BS605" s="129">
        <f>IFERROR(VLOOKUP($D605,'WB Data 2'!$C$2:$K$545,9,FALSE),"..")</f>
        <v>95.268600000000006</v>
      </c>
      <c r="BT605" s="129" t="str">
        <f>_xlfn.IFNA(VLOOKUP($C605,RGI!$A$2:$C$43,2,FALSE),"..")</f>
        <v>..</v>
      </c>
      <c r="BU605" s="129" t="str">
        <f>_xlfn.IFNA(VLOOKUP($C605,RGI!$A$2:$C$43,3,FALSE),"..")</f>
        <v>..</v>
      </c>
      <c r="BV605" s="129">
        <f>VLOOKUP($D605,WGI!$C$2:$O$478,7,FALSE)</f>
        <v>-0.34866950292311899</v>
      </c>
      <c r="BW605" s="129">
        <f>VLOOKUP($D605,WGI!$C$2:$O$478,4,FALSE)</f>
        <v>-0.76425001276209303</v>
      </c>
      <c r="BX605" s="129">
        <f>VLOOKUP($D605,WGI!$C$2:$O$478,3,FALSE)</f>
        <v>-0.69949021593927097</v>
      </c>
      <c r="BY605" s="129">
        <f>VLOOKUP($D605,WGI!$C$2:$O$478,5,FALSE)</f>
        <v>-0.11199757468508301</v>
      </c>
      <c r="BZ605" s="129">
        <f>VLOOKUP($D605,WGI!$C$2:$O$478,2,FALSE)</f>
        <v>-0.46966100737468802</v>
      </c>
      <c r="CB605" s="129"/>
    </row>
    <row r="606" spans="1:80" s="120" customFormat="1" ht="15" customHeight="1">
      <c r="A606" s="407" t="s">
        <v>222</v>
      </c>
      <c r="B606" s="408">
        <v>2011</v>
      </c>
      <c r="C606" s="805" t="s">
        <v>219</v>
      </c>
      <c r="D606" s="117" t="s">
        <v>3698</v>
      </c>
      <c r="E606" s="409" t="s">
        <v>220</v>
      </c>
      <c r="F606" s="410"/>
      <c r="G606" s="410" t="s">
        <v>24</v>
      </c>
      <c r="H606" s="117" t="str">
        <f t="shared" si="96"/>
        <v>yes</v>
      </c>
      <c r="I606" s="117" t="str">
        <f t="shared" si="97"/>
        <v>no</v>
      </c>
      <c r="J606" s="117" t="str">
        <f t="shared" si="98"/>
        <v>no</v>
      </c>
      <c r="K606" s="410" t="s">
        <v>1241</v>
      </c>
      <c r="L606" s="117" t="str">
        <f t="shared" si="106"/>
        <v>detailed</v>
      </c>
      <c r="M606" s="117" t="str">
        <f t="shared" si="99"/>
        <v>detailed Mining</v>
      </c>
      <c r="N606" s="411">
        <f>181000*2.69</f>
        <v>486890</v>
      </c>
      <c r="O606" s="411"/>
      <c r="P606" s="411"/>
      <c r="Q606" s="411"/>
      <c r="R606" s="411"/>
      <c r="S606" s="410" t="s">
        <v>610</v>
      </c>
      <c r="T606" s="412">
        <v>12.67</v>
      </c>
      <c r="U606" s="410" t="s">
        <v>611</v>
      </c>
      <c r="V606" s="410" t="s">
        <v>1242</v>
      </c>
      <c r="W606" s="413">
        <f t="shared" si="108"/>
        <v>6168896.2999999998</v>
      </c>
      <c r="X606" s="410"/>
      <c r="Y606" s="410"/>
      <c r="Z606" s="410"/>
      <c r="AA606" s="414"/>
      <c r="AB606" s="414"/>
      <c r="AC606" s="415"/>
      <c r="AD606" s="415"/>
      <c r="AE606" s="415"/>
      <c r="AF606" s="416"/>
      <c r="AG606" s="410"/>
      <c r="AH606" s="417"/>
      <c r="AI606" s="410"/>
      <c r="AJ606" s="410"/>
      <c r="AK606" s="413"/>
      <c r="AL606" s="410"/>
      <c r="AM606" s="410"/>
      <c r="AN606" s="410"/>
      <c r="AO606" s="410"/>
      <c r="AP606" s="410"/>
      <c r="AQ606" s="410"/>
      <c r="AR606" s="418"/>
      <c r="AS606" s="410"/>
      <c r="AT606" s="410"/>
      <c r="AU606" s="410"/>
      <c r="AV606" s="419"/>
      <c r="AW606" s="117">
        <f>VLOOKUP($D606,'WB Data'!$C$3:$M$578,2,FALSE)</f>
        <v>47654841112.852264</v>
      </c>
      <c r="AX606" s="117">
        <f>VLOOKUP($D606,'WB Data'!$C$3:$M$578,3,FALSE)</f>
        <v>14706578</v>
      </c>
      <c r="AY606" s="847">
        <f t="shared" si="102"/>
        <v>4.7139307938939981E-3</v>
      </c>
      <c r="AZ606" s="117">
        <f>VLOOKUP($D606,'WB Data'!$C$3:$M$578,4,FALSE)/100</f>
        <v>0.11399262010775933</v>
      </c>
      <c r="BA606" s="117">
        <f t="shared" si="103"/>
        <v>5432300199.2729988</v>
      </c>
      <c r="BB606" s="129">
        <f>IFERROR(VLOOKUP($D606,'EITI Revenues'!$C$2:$G$224,5,FALSE),"..")</f>
        <v>224641623</v>
      </c>
      <c r="BC606" s="846">
        <f t="shared" si="104"/>
        <v>4.135294714199772E-2</v>
      </c>
      <c r="BD606" s="129">
        <f>VLOOKUP($D606,'WB Data 2'!$C$2:$K$545,6,FALSE)</f>
        <v>1533501156.8436511</v>
      </c>
      <c r="BE606" s="129">
        <f>IFERROR(VLOOKUP($D606,UNCTAD!$C$5:$V$529,4,FALSE),"..")</f>
        <v>12757323906</v>
      </c>
      <c r="BF606" s="846">
        <f t="shared" si="105"/>
        <v>0.12020555158299444</v>
      </c>
      <c r="BG606" s="117">
        <f>VLOOKUP($D606,'WB Data'!$C$3:$M$578,5,FALSE)</f>
        <v>387910000</v>
      </c>
      <c r="BH606" s="129">
        <f>IFERROR($BB606/$BG606,"..")</f>
        <v>0.57910758423345621</v>
      </c>
      <c r="BI606" s="117">
        <f>IFERROR(VLOOKUP($D606,'WB Data'!$C$3:$M$578,7,FALSE)/100,"..")</f>
        <v>2.9180399999999999E-2</v>
      </c>
      <c r="BJ606" s="117">
        <f>IFERROR($BI606*$AW606,"..")</f>
        <v>1390587325.6094742</v>
      </c>
      <c r="BK606" s="846">
        <f>IFERROR($BB606/$BJ606,"..")</f>
        <v>0.16154442001802571</v>
      </c>
      <c r="BL606" s="117">
        <f>IFERROR(VLOOKUP($D606,'WB Data'!$C$3:$M$578,7,FALSE)/100,"..")</f>
        <v>2.9180399999999999E-2</v>
      </c>
      <c r="BM606" s="117">
        <f>IFERROR($AW606*$BL606,"..")</f>
        <v>1390587325.6094742</v>
      </c>
      <c r="BN606" s="846">
        <f>IFERROR($BB606/$BM606,"..")</f>
        <v>0.16154442001802571</v>
      </c>
      <c r="BO606" s="801">
        <f t="shared" si="101"/>
        <v>32</v>
      </c>
      <c r="BP606" s="117">
        <f>VLOOKUP($D606,'WB Data'!$C$3:$M$578,9,FALSE)</f>
        <v>53.7</v>
      </c>
      <c r="BQ606" s="117">
        <f>VLOOKUP($D606,'WB Data'!$C$3:$M$578,10,FALSE)</f>
        <v>71.327902439024385</v>
      </c>
      <c r="BR606" s="117">
        <f>VLOOKUP($D606,'WB Data'!$C$3:$M$578,11,FALSE)</f>
        <v>27.5</v>
      </c>
      <c r="BS606" s="129">
        <f>IFERROR(VLOOKUP($D606,'WB Data 2'!$C$2:$K$545,9,FALSE),"..")</f>
        <v>95.268600000000006</v>
      </c>
      <c r="BT606" s="129" t="str">
        <f>_xlfn.IFNA(VLOOKUP($C606,RGI!$A$2:$C$43,2,FALSE),"..")</f>
        <v>..</v>
      </c>
      <c r="BU606" s="129" t="str">
        <f>_xlfn.IFNA(VLOOKUP($C606,RGI!$A$2:$C$43,3,FALSE),"..")</f>
        <v>..</v>
      </c>
      <c r="BV606" s="129">
        <f>VLOOKUP($D606,WGI!$C$2:$O$478,7,FALSE)</f>
        <v>-0.34866950292311899</v>
      </c>
      <c r="BW606" s="129">
        <f>VLOOKUP($D606,WGI!$C$2:$O$478,4,FALSE)</f>
        <v>-0.76425001276209303</v>
      </c>
      <c r="BX606" s="129">
        <f>VLOOKUP($D606,WGI!$C$2:$O$478,3,FALSE)</f>
        <v>-0.69949021593927097</v>
      </c>
      <c r="BY606" s="129">
        <f>VLOOKUP($D606,WGI!$C$2:$O$478,5,FALSE)</f>
        <v>-0.11199757468508301</v>
      </c>
      <c r="BZ606" s="129">
        <f>VLOOKUP($D606,WGI!$C$2:$O$478,2,FALSE)</f>
        <v>-0.46966100737468802</v>
      </c>
      <c r="CB606" s="129"/>
    </row>
    <row r="607" spans="1:80" s="120" customFormat="1" ht="15" customHeight="1">
      <c r="A607" s="407" t="s">
        <v>222</v>
      </c>
      <c r="B607" s="408">
        <v>2011</v>
      </c>
      <c r="C607" s="805" t="s">
        <v>219</v>
      </c>
      <c r="D607" s="117" t="s">
        <v>3698</v>
      </c>
      <c r="E607" s="409" t="s">
        <v>220</v>
      </c>
      <c r="F607" s="410"/>
      <c r="G607" s="410" t="s">
        <v>24</v>
      </c>
      <c r="H607" s="117" t="str">
        <f t="shared" si="96"/>
        <v>yes</v>
      </c>
      <c r="I607" s="117" t="str">
        <f t="shared" si="97"/>
        <v>no</v>
      </c>
      <c r="J607" s="117" t="str">
        <f t="shared" si="98"/>
        <v>no</v>
      </c>
      <c r="K607" s="410" t="s">
        <v>1243</v>
      </c>
      <c r="L607" s="117" t="str">
        <f t="shared" si="106"/>
        <v>detailed</v>
      </c>
      <c r="M607" s="117" t="str">
        <f t="shared" si="99"/>
        <v>detailed Mining</v>
      </c>
      <c r="N607" s="411">
        <v>300000</v>
      </c>
      <c r="O607" s="411"/>
      <c r="P607" s="411"/>
      <c r="Q607" s="411"/>
      <c r="R607" s="411"/>
      <c r="S607" s="410" t="s">
        <v>610</v>
      </c>
      <c r="T607" s="412">
        <v>768.715208333335</v>
      </c>
      <c r="U607" s="410" t="s">
        <v>611</v>
      </c>
      <c r="V607" s="410" t="s">
        <v>1244</v>
      </c>
      <c r="W607" s="413">
        <f t="shared" si="108"/>
        <v>230614562.50000051</v>
      </c>
      <c r="X607" s="410"/>
      <c r="Y607" s="410"/>
      <c r="Z607" s="410"/>
      <c r="AA607" s="414"/>
      <c r="AB607" s="414"/>
      <c r="AC607" s="415"/>
      <c r="AD607" s="415"/>
      <c r="AE607" s="415"/>
      <c r="AF607" s="416"/>
      <c r="AG607" s="410"/>
      <c r="AH607" s="417"/>
      <c r="AI607" s="410"/>
      <c r="AJ607" s="410"/>
      <c r="AK607" s="413"/>
      <c r="AL607" s="410"/>
      <c r="AM607" s="410"/>
      <c r="AN607" s="410"/>
      <c r="AO607" s="410"/>
      <c r="AP607" s="410"/>
      <c r="AQ607" s="410"/>
      <c r="AR607" s="418"/>
      <c r="AS607" s="410"/>
      <c r="AT607" s="410"/>
      <c r="AU607" s="410"/>
      <c r="AV607" s="419"/>
      <c r="AW607" s="117">
        <f>VLOOKUP($D607,'WB Data'!$C$3:$M$578,2,FALSE)</f>
        <v>47654841112.852264</v>
      </c>
      <c r="AX607" s="117">
        <f>VLOOKUP($D607,'WB Data'!$C$3:$M$578,3,FALSE)</f>
        <v>14706578</v>
      </c>
      <c r="AY607" s="847">
        <f t="shared" si="102"/>
        <v>4.7139307938939981E-3</v>
      </c>
      <c r="AZ607" s="117">
        <f>VLOOKUP($D607,'WB Data'!$C$3:$M$578,4,FALSE)/100</f>
        <v>0.11399262010775933</v>
      </c>
      <c r="BA607" s="117">
        <f t="shared" si="103"/>
        <v>5432300199.2729988</v>
      </c>
      <c r="BB607" s="129">
        <f>IFERROR(VLOOKUP($D607,'EITI Revenues'!$C$2:$G$224,5,FALSE),"..")</f>
        <v>224641623</v>
      </c>
      <c r="BC607" s="846">
        <f t="shared" si="104"/>
        <v>4.135294714199772E-2</v>
      </c>
      <c r="BD607" s="129">
        <f>VLOOKUP($D607,'WB Data 2'!$C$2:$K$545,6,FALSE)</f>
        <v>1533501156.8436511</v>
      </c>
      <c r="BE607" s="129">
        <f>IFERROR(VLOOKUP($D607,UNCTAD!$C$5:$V$529,4,FALSE),"..")</f>
        <v>12757323906</v>
      </c>
      <c r="BF607" s="846">
        <f t="shared" si="105"/>
        <v>0.12020555158299444</v>
      </c>
      <c r="BG607" s="117">
        <f>VLOOKUP($D607,'WB Data'!$C$3:$M$578,5,FALSE)</f>
        <v>387910000</v>
      </c>
      <c r="BH607" s="129">
        <f>IFERROR($BB607/$BG607,"..")</f>
        <v>0.57910758423345621</v>
      </c>
      <c r="BI607" s="117">
        <f>IFERROR(VLOOKUP($D607,'WB Data'!$C$3:$M$578,7,FALSE)/100,"..")</f>
        <v>2.9180399999999999E-2</v>
      </c>
      <c r="BJ607" s="117">
        <f>IFERROR($BI607*$AW607,"..")</f>
        <v>1390587325.6094742</v>
      </c>
      <c r="BK607" s="846">
        <f>IFERROR($BB607/$BJ607,"..")</f>
        <v>0.16154442001802571</v>
      </c>
      <c r="BL607" s="117">
        <f>IFERROR(VLOOKUP($D607,'WB Data'!$C$3:$M$578,7,FALSE)/100,"..")</f>
        <v>2.9180399999999999E-2</v>
      </c>
      <c r="BM607" s="117">
        <f>IFERROR($AW607*$BL607,"..")</f>
        <v>1390587325.6094742</v>
      </c>
      <c r="BN607" s="846">
        <f>IFERROR($BB607/$BM607,"..")</f>
        <v>0.16154442001802571</v>
      </c>
      <c r="BO607" s="801">
        <f t="shared" si="101"/>
        <v>32</v>
      </c>
      <c r="BP607" s="117">
        <f>VLOOKUP($D607,'WB Data'!$C$3:$M$578,9,FALSE)</f>
        <v>53.7</v>
      </c>
      <c r="BQ607" s="117">
        <f>VLOOKUP($D607,'WB Data'!$C$3:$M$578,10,FALSE)</f>
        <v>71.327902439024385</v>
      </c>
      <c r="BR607" s="117">
        <f>VLOOKUP($D607,'WB Data'!$C$3:$M$578,11,FALSE)</f>
        <v>27.5</v>
      </c>
      <c r="BS607" s="129">
        <f>IFERROR(VLOOKUP($D607,'WB Data 2'!$C$2:$K$545,9,FALSE),"..")</f>
        <v>95.268600000000006</v>
      </c>
      <c r="BT607" s="129" t="str">
        <f>_xlfn.IFNA(VLOOKUP($C607,RGI!$A$2:$C$43,2,FALSE),"..")</f>
        <v>..</v>
      </c>
      <c r="BU607" s="129" t="str">
        <f>_xlfn.IFNA(VLOOKUP($C607,RGI!$A$2:$C$43,3,FALSE),"..")</f>
        <v>..</v>
      </c>
      <c r="BV607" s="129">
        <f>VLOOKUP($D607,WGI!$C$2:$O$478,7,FALSE)</f>
        <v>-0.34866950292311899</v>
      </c>
      <c r="BW607" s="129">
        <f>VLOOKUP($D607,WGI!$C$2:$O$478,4,FALSE)</f>
        <v>-0.76425001276209303</v>
      </c>
      <c r="BX607" s="129">
        <f>VLOOKUP($D607,WGI!$C$2:$O$478,3,FALSE)</f>
        <v>-0.69949021593927097</v>
      </c>
      <c r="BY607" s="129">
        <f>VLOOKUP($D607,WGI!$C$2:$O$478,5,FALSE)</f>
        <v>-0.11199757468508301</v>
      </c>
      <c r="BZ607" s="129">
        <f>VLOOKUP($D607,WGI!$C$2:$O$478,2,FALSE)</f>
        <v>-0.46966100737468802</v>
      </c>
      <c r="CB607" s="129"/>
    </row>
    <row r="608" spans="1:80" s="120" customFormat="1" ht="15" customHeight="1">
      <c r="A608" s="407" t="s">
        <v>222</v>
      </c>
      <c r="B608" s="408">
        <v>2011</v>
      </c>
      <c r="C608" s="805" t="s">
        <v>219</v>
      </c>
      <c r="D608" s="117" t="s">
        <v>3698</v>
      </c>
      <c r="E608" s="409" t="s">
        <v>220</v>
      </c>
      <c r="F608" s="410"/>
      <c r="G608" s="410" t="s">
        <v>24</v>
      </c>
      <c r="H608" s="117" t="str">
        <f t="shared" si="96"/>
        <v>yes</v>
      </c>
      <c r="I608" s="117" t="str">
        <f t="shared" si="97"/>
        <v>no</v>
      </c>
      <c r="J608" s="117" t="str">
        <f t="shared" si="98"/>
        <v>no</v>
      </c>
      <c r="K608" s="410" t="s">
        <v>1245</v>
      </c>
      <c r="L608" s="117" t="str">
        <f t="shared" si="106"/>
        <v>detailed</v>
      </c>
      <c r="M608" s="117" t="str">
        <f t="shared" si="99"/>
        <v>detailed Mining</v>
      </c>
      <c r="N608" s="411">
        <v>8817</v>
      </c>
      <c r="O608" s="411"/>
      <c r="P608" s="411"/>
      <c r="Q608" s="411"/>
      <c r="R608" s="411"/>
      <c r="S608" s="410" t="s">
        <v>610</v>
      </c>
      <c r="T608" s="412">
        <v>155</v>
      </c>
      <c r="U608" s="410" t="s">
        <v>611</v>
      </c>
      <c r="V608" s="410" t="s">
        <v>1246</v>
      </c>
      <c r="W608" s="413">
        <f t="shared" si="108"/>
        <v>1366635</v>
      </c>
      <c r="X608" s="410"/>
      <c r="Y608" s="410"/>
      <c r="Z608" s="410"/>
      <c r="AA608" s="414"/>
      <c r="AB608" s="414"/>
      <c r="AC608" s="415"/>
      <c r="AD608" s="415"/>
      <c r="AE608" s="415"/>
      <c r="AF608" s="416"/>
      <c r="AG608" s="410"/>
      <c r="AH608" s="417"/>
      <c r="AI608" s="410"/>
      <c r="AJ608" s="410"/>
      <c r="AK608" s="413"/>
      <c r="AL608" s="410"/>
      <c r="AM608" s="410"/>
      <c r="AN608" s="410"/>
      <c r="AO608" s="410"/>
      <c r="AP608" s="410"/>
      <c r="AQ608" s="410"/>
      <c r="AR608" s="418"/>
      <c r="AS608" s="410"/>
      <c r="AT608" s="410"/>
      <c r="AU608" s="410"/>
      <c r="AV608" s="419"/>
      <c r="AW608" s="117">
        <f>VLOOKUP($D608,'WB Data'!$C$3:$M$578,2,FALSE)</f>
        <v>47654841112.852264</v>
      </c>
      <c r="AX608" s="117">
        <f>VLOOKUP($D608,'WB Data'!$C$3:$M$578,3,FALSE)</f>
        <v>14706578</v>
      </c>
      <c r="AY608" s="847">
        <f t="shared" si="102"/>
        <v>4.7139307938939981E-3</v>
      </c>
      <c r="AZ608" s="117">
        <f>VLOOKUP($D608,'WB Data'!$C$3:$M$578,4,FALSE)/100</f>
        <v>0.11399262010775933</v>
      </c>
      <c r="BA608" s="117">
        <f t="shared" si="103"/>
        <v>5432300199.2729988</v>
      </c>
      <c r="BB608" s="129">
        <f>IFERROR(VLOOKUP($D608,'EITI Revenues'!$C$2:$G$224,5,FALSE),"..")</f>
        <v>224641623</v>
      </c>
      <c r="BC608" s="846">
        <f t="shared" si="104"/>
        <v>4.135294714199772E-2</v>
      </c>
      <c r="BD608" s="129">
        <f>VLOOKUP($D608,'WB Data 2'!$C$2:$K$545,6,FALSE)</f>
        <v>1533501156.8436511</v>
      </c>
      <c r="BE608" s="129">
        <f>IFERROR(VLOOKUP($D608,UNCTAD!$C$5:$V$529,4,FALSE),"..")</f>
        <v>12757323906</v>
      </c>
      <c r="BF608" s="846">
        <f t="shared" si="105"/>
        <v>0.12020555158299444</v>
      </c>
      <c r="BG608" s="117">
        <f>VLOOKUP($D608,'WB Data'!$C$3:$M$578,5,FALSE)</f>
        <v>387910000</v>
      </c>
      <c r="BH608" s="129">
        <f>IFERROR($BB608/$BG608,"..")</f>
        <v>0.57910758423345621</v>
      </c>
      <c r="BI608" s="117">
        <f>IFERROR(VLOOKUP($D608,'WB Data'!$C$3:$M$578,7,FALSE)/100,"..")</f>
        <v>2.9180399999999999E-2</v>
      </c>
      <c r="BJ608" s="117">
        <f>IFERROR($BI608*$AW608,"..")</f>
        <v>1390587325.6094742</v>
      </c>
      <c r="BK608" s="846">
        <f>IFERROR($BB608/$BJ608,"..")</f>
        <v>0.16154442001802571</v>
      </c>
      <c r="BL608" s="117">
        <f>IFERROR(VLOOKUP($D608,'WB Data'!$C$3:$M$578,7,FALSE)/100,"..")</f>
        <v>2.9180399999999999E-2</v>
      </c>
      <c r="BM608" s="117">
        <f>IFERROR($AW608*$BL608,"..")</f>
        <v>1390587325.6094742</v>
      </c>
      <c r="BN608" s="846">
        <f>IFERROR($BB608/$BM608,"..")</f>
        <v>0.16154442001802571</v>
      </c>
      <c r="BO608" s="801">
        <f t="shared" si="101"/>
        <v>32</v>
      </c>
      <c r="BP608" s="117">
        <f>VLOOKUP($D608,'WB Data'!$C$3:$M$578,9,FALSE)</f>
        <v>53.7</v>
      </c>
      <c r="BQ608" s="117">
        <f>VLOOKUP($D608,'WB Data'!$C$3:$M$578,10,FALSE)</f>
        <v>71.327902439024385</v>
      </c>
      <c r="BR608" s="117">
        <f>VLOOKUP($D608,'WB Data'!$C$3:$M$578,11,FALSE)</f>
        <v>27.5</v>
      </c>
      <c r="BS608" s="129">
        <f>IFERROR(VLOOKUP($D608,'WB Data 2'!$C$2:$K$545,9,FALSE),"..")</f>
        <v>95.268600000000006</v>
      </c>
      <c r="BT608" s="129" t="str">
        <f>_xlfn.IFNA(VLOOKUP($C608,RGI!$A$2:$C$43,2,FALSE),"..")</f>
        <v>..</v>
      </c>
      <c r="BU608" s="129" t="str">
        <f>_xlfn.IFNA(VLOOKUP($C608,RGI!$A$2:$C$43,3,FALSE),"..")</f>
        <v>..</v>
      </c>
      <c r="BV608" s="129">
        <f>VLOOKUP($D608,WGI!$C$2:$O$478,7,FALSE)</f>
        <v>-0.34866950292311899</v>
      </c>
      <c r="BW608" s="129">
        <f>VLOOKUP($D608,WGI!$C$2:$O$478,4,FALSE)</f>
        <v>-0.76425001276209303</v>
      </c>
      <c r="BX608" s="129">
        <f>VLOOKUP($D608,WGI!$C$2:$O$478,3,FALSE)</f>
        <v>-0.69949021593927097</v>
      </c>
      <c r="BY608" s="129">
        <f>VLOOKUP($D608,WGI!$C$2:$O$478,5,FALSE)</f>
        <v>-0.11199757468508301</v>
      </c>
      <c r="BZ608" s="129">
        <f>VLOOKUP($D608,WGI!$C$2:$O$478,2,FALSE)</f>
        <v>-0.46966100737468802</v>
      </c>
      <c r="CB608" s="129"/>
    </row>
    <row r="609" spans="1:80" s="173" customFormat="1" ht="15" customHeight="1" thickBot="1">
      <c r="A609" s="437" t="s">
        <v>222</v>
      </c>
      <c r="B609" s="438">
        <v>2011</v>
      </c>
      <c r="C609" s="807" t="s">
        <v>219</v>
      </c>
      <c r="D609" s="117" t="s">
        <v>3698</v>
      </c>
      <c r="E609" s="439" t="s">
        <v>220</v>
      </c>
      <c r="F609" s="440"/>
      <c r="G609" s="410" t="s">
        <v>24</v>
      </c>
      <c r="H609" s="117" t="str">
        <f t="shared" si="96"/>
        <v>yes</v>
      </c>
      <c r="I609" s="117" t="str">
        <f t="shared" si="97"/>
        <v>no</v>
      </c>
      <c r="J609" s="117" t="str">
        <f t="shared" si="98"/>
        <v>no</v>
      </c>
      <c r="K609" s="440" t="s">
        <v>1247</v>
      </c>
      <c r="L609" s="117" t="str">
        <f t="shared" si="106"/>
        <v>detailed</v>
      </c>
      <c r="M609" s="117" t="str">
        <f t="shared" si="99"/>
        <v>detailed Mining</v>
      </c>
      <c r="N609" s="441">
        <v>126138</v>
      </c>
      <c r="O609" s="441"/>
      <c r="P609" s="441"/>
      <c r="Q609" s="441"/>
      <c r="R609" s="441"/>
      <c r="S609" s="440" t="s">
        <v>642</v>
      </c>
      <c r="T609" s="442"/>
      <c r="U609" s="440"/>
      <c r="V609" s="440" t="s">
        <v>684</v>
      </c>
      <c r="W609" s="443"/>
      <c r="X609" s="440"/>
      <c r="Y609" s="440"/>
      <c r="Z609" s="440"/>
      <c r="AA609" s="444"/>
      <c r="AB609" s="444"/>
      <c r="AC609" s="445"/>
      <c r="AD609" s="445"/>
      <c r="AE609" s="445"/>
      <c r="AF609" s="446"/>
      <c r="AG609" s="440"/>
      <c r="AH609" s="447"/>
      <c r="AI609" s="440"/>
      <c r="AJ609" s="440"/>
      <c r="AK609" s="443"/>
      <c r="AL609" s="440"/>
      <c r="AM609" s="440"/>
      <c r="AN609" s="440"/>
      <c r="AO609" s="440"/>
      <c r="AP609" s="440"/>
      <c r="AQ609" s="440"/>
      <c r="AR609" s="448"/>
      <c r="AS609" s="440"/>
      <c r="AT609" s="440"/>
      <c r="AU609" s="440"/>
      <c r="AV609" s="449"/>
      <c r="AW609" s="117">
        <f>VLOOKUP($D609,'WB Data'!$C$3:$M$578,2,FALSE)</f>
        <v>47654841112.852264</v>
      </c>
      <c r="AX609" s="117">
        <f>VLOOKUP($D609,'WB Data'!$C$3:$M$578,3,FALSE)</f>
        <v>14706578</v>
      </c>
      <c r="AY609" s="847">
        <f t="shared" si="102"/>
        <v>4.7139307938939981E-3</v>
      </c>
      <c r="AZ609" s="117">
        <f>VLOOKUP($D609,'WB Data'!$C$3:$M$578,4,FALSE)/100</f>
        <v>0.11399262010775933</v>
      </c>
      <c r="BA609" s="117">
        <f t="shared" si="103"/>
        <v>5432300199.2729988</v>
      </c>
      <c r="BB609" s="129">
        <f>IFERROR(VLOOKUP($D609,'EITI Revenues'!$C$2:$G$224,5,FALSE),"..")</f>
        <v>224641623</v>
      </c>
      <c r="BC609" s="846">
        <f t="shared" si="104"/>
        <v>4.135294714199772E-2</v>
      </c>
      <c r="BD609" s="129">
        <f>VLOOKUP($D609,'WB Data 2'!$C$2:$K$545,6,FALSE)</f>
        <v>1533501156.8436511</v>
      </c>
      <c r="BE609" s="129">
        <f>IFERROR(VLOOKUP($D609,UNCTAD!$C$5:$V$529,4,FALSE),"..")</f>
        <v>12757323906</v>
      </c>
      <c r="BF609" s="846">
        <f t="shared" si="105"/>
        <v>0.12020555158299444</v>
      </c>
      <c r="BG609" s="117">
        <f>VLOOKUP($D609,'WB Data'!$C$3:$M$578,5,FALSE)</f>
        <v>387910000</v>
      </c>
      <c r="BH609" s="129">
        <f>IFERROR($BB609/$BG609,"..")</f>
        <v>0.57910758423345621</v>
      </c>
      <c r="BI609" s="117">
        <f>IFERROR(VLOOKUP($D609,'WB Data'!$C$3:$M$578,7,FALSE)/100,"..")</f>
        <v>2.9180399999999999E-2</v>
      </c>
      <c r="BJ609" s="117">
        <f>IFERROR($BI609*$AW609,"..")</f>
        <v>1390587325.6094742</v>
      </c>
      <c r="BK609" s="846">
        <f>IFERROR($BB609/$BJ609,"..")</f>
        <v>0.16154442001802571</v>
      </c>
      <c r="BL609" s="117">
        <f>IFERROR(VLOOKUP($D609,'WB Data'!$C$3:$M$578,7,FALSE)/100,"..")</f>
        <v>2.9180399999999999E-2</v>
      </c>
      <c r="BM609" s="117">
        <f>IFERROR($AW609*$BL609,"..")</f>
        <v>1390587325.6094742</v>
      </c>
      <c r="BN609" s="846">
        <f>IFERROR($BB609/$BM609,"..")</f>
        <v>0.16154442001802571</v>
      </c>
      <c r="BO609" s="801">
        <f t="shared" si="101"/>
        <v>32</v>
      </c>
      <c r="BP609" s="117">
        <f>VLOOKUP($D609,'WB Data'!$C$3:$M$578,9,FALSE)</f>
        <v>53.7</v>
      </c>
      <c r="BQ609" s="117">
        <f>VLOOKUP($D609,'WB Data'!$C$3:$M$578,10,FALSE)</f>
        <v>71.327902439024385</v>
      </c>
      <c r="BR609" s="117">
        <f>VLOOKUP($D609,'WB Data'!$C$3:$M$578,11,FALSE)</f>
        <v>27.5</v>
      </c>
      <c r="BS609" s="129">
        <f>IFERROR(VLOOKUP($D609,'WB Data 2'!$C$2:$K$545,9,FALSE),"..")</f>
        <v>95.268600000000006</v>
      </c>
      <c r="BT609" s="129" t="str">
        <f>_xlfn.IFNA(VLOOKUP($C609,RGI!$A$2:$C$43,2,FALSE),"..")</f>
        <v>..</v>
      </c>
      <c r="BU609" s="129" t="str">
        <f>_xlfn.IFNA(VLOOKUP($C609,RGI!$A$2:$C$43,3,FALSE),"..")</f>
        <v>..</v>
      </c>
      <c r="BV609" s="129">
        <f>VLOOKUP($D609,WGI!$C$2:$O$478,7,FALSE)</f>
        <v>-0.34866950292311899</v>
      </c>
      <c r="BW609" s="129">
        <f>VLOOKUP($D609,WGI!$C$2:$O$478,4,FALSE)</f>
        <v>-0.76425001276209303</v>
      </c>
      <c r="BX609" s="129">
        <f>VLOOKUP($D609,WGI!$C$2:$O$478,3,FALSE)</f>
        <v>-0.69949021593927097</v>
      </c>
      <c r="BY609" s="129">
        <f>VLOOKUP($D609,WGI!$C$2:$O$478,5,FALSE)</f>
        <v>-0.11199757468508301</v>
      </c>
      <c r="BZ609" s="129">
        <f>VLOOKUP($D609,WGI!$C$2:$O$478,2,FALSE)</f>
        <v>-0.46966100737468802</v>
      </c>
      <c r="CB609" s="129"/>
    </row>
    <row r="610" spans="1:80" ht="15" customHeight="1">
      <c r="A610" s="280" t="s">
        <v>224</v>
      </c>
      <c r="B610" s="117">
        <v>2005</v>
      </c>
      <c r="C610" s="117" t="s">
        <v>3089</v>
      </c>
      <c r="D610" s="117" t="s">
        <v>3495</v>
      </c>
      <c r="E610" s="117" t="s">
        <v>86</v>
      </c>
      <c r="F610" s="117" t="s">
        <v>1254</v>
      </c>
      <c r="G610" s="175" t="s">
        <v>24</v>
      </c>
      <c r="H610" s="117" t="str">
        <f t="shared" si="96"/>
        <v>yes</v>
      </c>
      <c r="I610" s="117" t="str">
        <f t="shared" si="97"/>
        <v>no</v>
      </c>
      <c r="J610" s="117" t="str">
        <f t="shared" si="98"/>
        <v>no</v>
      </c>
      <c r="K610" s="117" t="s">
        <v>709</v>
      </c>
      <c r="L610" s="117" t="str">
        <f t="shared" si="106"/>
        <v>Total</v>
      </c>
      <c r="M610" s="117" t="str">
        <f t="shared" si="99"/>
        <v>Total Mining</v>
      </c>
      <c r="N610" s="118"/>
      <c r="O610" s="118"/>
      <c r="P610" s="118"/>
      <c r="Q610" s="118"/>
      <c r="R610" s="118"/>
      <c r="S610" s="117"/>
      <c r="T610" s="119"/>
      <c r="U610" s="117"/>
      <c r="V610" s="117"/>
      <c r="W610" s="89">
        <f>SUM(W611:W613)</f>
        <v>752957716.71964526</v>
      </c>
      <c r="X610" s="117" t="s">
        <v>835</v>
      </c>
      <c r="Y610" s="117" t="s">
        <v>602</v>
      </c>
      <c r="Z610" s="117" t="s">
        <v>603</v>
      </c>
      <c r="AA610" s="159">
        <v>138153403</v>
      </c>
      <c r="AB610" s="159">
        <v>139444841</v>
      </c>
      <c r="AC610" s="122"/>
      <c r="AD610" s="122"/>
      <c r="AE610" s="122"/>
      <c r="AF610" s="123">
        <f>AA610/W610</f>
        <v>0.18348095773808207</v>
      </c>
      <c r="AG610" s="117" t="s">
        <v>1255</v>
      </c>
      <c r="AH610" s="124">
        <v>3.6440000000000001</v>
      </c>
      <c r="AI610" s="117" t="s">
        <v>722</v>
      </c>
      <c r="AJ610" s="117"/>
      <c r="AK610" s="89"/>
      <c r="AL610" s="117"/>
      <c r="AM610" s="117"/>
      <c r="AN610" s="117">
        <v>6</v>
      </c>
      <c r="AO610" s="117" t="s">
        <v>1256</v>
      </c>
      <c r="AP610" s="117">
        <v>6</v>
      </c>
      <c r="AQ610" s="117" t="s">
        <v>64</v>
      </c>
      <c r="AR610" s="126">
        <v>41897</v>
      </c>
      <c r="AS610" s="117" t="s">
        <v>829</v>
      </c>
      <c r="AT610" s="117" t="s">
        <v>226</v>
      </c>
      <c r="AU610" s="215" t="s">
        <v>1257</v>
      </c>
      <c r="AV610" s="128" t="s">
        <v>1258</v>
      </c>
      <c r="AW610" s="117">
        <f>VLOOKUP($D610,'WB Data'!$C$3:$M$578,2,FALSE)</f>
        <v>2937072009.0343008</v>
      </c>
      <c r="AX610" s="117">
        <f>VLOOKUP($D610,'WB Data'!$C$3:$M$578,3,FALSE)</f>
        <v>9576331</v>
      </c>
      <c r="AY610" s="847" t="str">
        <f t="shared" si="102"/>
        <v>..</v>
      </c>
      <c r="AZ610" s="117" t="e">
        <f>VLOOKUP($D610,'WB Data'!$C$3:$M$578,4,FALSE)/100</f>
        <v>#VALUE!</v>
      </c>
      <c r="BA610" s="117" t="str">
        <f t="shared" si="103"/>
        <v>..</v>
      </c>
      <c r="BB610" s="129" t="str">
        <f>IFERROR(VLOOKUP($D610,'EITI Revenues'!$C$2:$G$224,5,FALSE),"..")</f>
        <v>..</v>
      </c>
      <c r="BC610" s="846" t="str">
        <f t="shared" si="104"/>
        <v>..</v>
      </c>
      <c r="BD610" s="129">
        <f>VLOOKUP($D610,'WB Data 2'!$C$2:$K$545,6,FALSE)</f>
        <v>636253428.00568378</v>
      </c>
      <c r="BE610" s="129" t="str">
        <f>IFERROR(VLOOKUP($D610,UNCTAD!$C$5:$V$529,4,FALSE),"..")</f>
        <v>..</v>
      </c>
      <c r="BF610" s="846" t="str">
        <f t="shared" si="105"/>
        <v>..</v>
      </c>
      <c r="BG610" s="117">
        <f>VLOOKUP($D610,'WB Data'!$C$3:$M$578,5,FALSE)</f>
        <v>198180000</v>
      </c>
      <c r="BH610" s="129" t="str">
        <f>IFERROR($BB610/$BG610,"..")</f>
        <v>..</v>
      </c>
      <c r="BI610" s="117">
        <f>IFERROR(VLOOKUP($D610,'WB Data'!$C$3:$M$578,7,FALSE)/100,"..")</f>
        <v>1.8490599999999999E-2</v>
      </c>
      <c r="BJ610" s="117">
        <f>IFERROR($BI610*$AW610,"..")</f>
        <v>54308223.690249644</v>
      </c>
      <c r="BK610" s="846" t="str">
        <f>IFERROR($BB610/$BJ610,"..")</f>
        <v>..</v>
      </c>
      <c r="BL610" s="117">
        <f>IFERROR(VLOOKUP($D610,'WB Data'!$C$3:$M$578,7,FALSE)/100,"..")</f>
        <v>1.8490599999999999E-2</v>
      </c>
      <c r="BM610" s="117">
        <f>IFERROR($AW610*$BL610,"..")</f>
        <v>54308223.690249644</v>
      </c>
      <c r="BN610" s="846" t="str">
        <f>IFERROR($BB610/$BM610,"..")</f>
        <v>..</v>
      </c>
      <c r="BO610" s="801">
        <f t="shared" si="101"/>
        <v>25</v>
      </c>
      <c r="BP610" s="117" t="str">
        <f>VLOOKUP($D610,'WB Data'!$C$3:$M$578,9,FALSE)</f>
        <v>..</v>
      </c>
      <c r="BQ610" s="117">
        <f>VLOOKUP($D610,'WB Data'!$C$3:$M$578,10,FALSE)</f>
        <v>52.745121951219517</v>
      </c>
      <c r="BR610" s="117">
        <f>VLOOKUP($D610,'WB Data'!$C$3:$M$578,11,FALSE)</f>
        <v>85.1</v>
      </c>
      <c r="BS610" s="129">
        <f>IFERROR(VLOOKUP($D610,'WB Data 2'!$C$2:$K$545,9,FALSE),"..")</f>
        <v>65.247399999999999</v>
      </c>
      <c r="BT610" s="129" t="str">
        <f>_xlfn.IFNA(VLOOKUP($C610,RGI!$A$2:$C$43,2,FALSE),"..")</f>
        <v>..</v>
      </c>
      <c r="BU610" s="129" t="str">
        <f>_xlfn.IFNA(VLOOKUP($C610,RGI!$A$2:$C$43,3,FALSE),"..")</f>
        <v>..</v>
      </c>
      <c r="BV610" s="129">
        <f>VLOOKUP($D610,WGI!$C$2:$O$478,7,FALSE)</f>
        <v>-1.14030260595291</v>
      </c>
      <c r="BW610" s="129">
        <f>VLOOKUP($D610,WGI!$C$2:$O$478,4,FALSE)</f>
        <v>-1.1777075163630299</v>
      </c>
      <c r="BX610" s="129">
        <f>VLOOKUP($D610,WGI!$C$2:$O$478,3,FALSE)</f>
        <v>-1.0584098250529099</v>
      </c>
      <c r="BY610" s="129">
        <f>VLOOKUP($D610,WGI!$C$2:$O$478,5,FALSE)</f>
        <v>-1.0567133413027501</v>
      </c>
      <c r="BZ610" s="129">
        <f>VLOOKUP($D610,WGI!$C$2:$O$478,2,FALSE)</f>
        <v>-1.0084424548962001</v>
      </c>
    </row>
    <row r="611" spans="1:80" ht="15" customHeight="1">
      <c r="A611" s="280" t="s">
        <v>224</v>
      </c>
      <c r="B611" s="117">
        <v>2005</v>
      </c>
      <c r="C611" s="117" t="s">
        <v>3089</v>
      </c>
      <c r="D611" s="117" t="s">
        <v>3495</v>
      </c>
      <c r="E611" s="117" t="s">
        <v>86</v>
      </c>
      <c r="F611" s="117"/>
      <c r="G611" s="117" t="s">
        <v>24</v>
      </c>
      <c r="H611" s="117" t="str">
        <f t="shared" si="96"/>
        <v>yes</v>
      </c>
      <c r="I611" s="117" t="str">
        <f t="shared" si="97"/>
        <v>no</v>
      </c>
      <c r="J611" s="117" t="str">
        <f t="shared" si="98"/>
        <v>no</v>
      </c>
      <c r="K611" s="117" t="s">
        <v>1138</v>
      </c>
      <c r="L611" s="117" t="str">
        <f t="shared" si="106"/>
        <v>detailed</v>
      </c>
      <c r="M611" s="117" t="str">
        <f t="shared" si="99"/>
        <v>detailed Mining</v>
      </c>
      <c r="N611" s="118">
        <v>14600000</v>
      </c>
      <c r="O611" s="118"/>
      <c r="P611" s="118"/>
      <c r="Q611" s="118"/>
      <c r="R611" s="118"/>
      <c r="S611" s="117" t="s">
        <v>610</v>
      </c>
      <c r="T611" s="119">
        <f>25.87*0.8609</f>
        <v>22.271483</v>
      </c>
      <c r="U611" s="117" t="s">
        <v>611</v>
      </c>
      <c r="V611" s="117" t="s">
        <v>1259</v>
      </c>
      <c r="W611" s="89">
        <f>N611*T611</f>
        <v>325163651.80000001</v>
      </c>
      <c r="X611" s="117"/>
      <c r="Y611" s="117"/>
      <c r="Z611" s="117"/>
      <c r="AA611" s="117"/>
      <c r="AB611" s="117"/>
      <c r="AC611" s="240"/>
      <c r="AD611" s="240"/>
      <c r="AE611" s="240"/>
      <c r="AF611" s="241"/>
      <c r="AG611" s="117"/>
      <c r="AH611" s="124"/>
      <c r="AI611" s="117"/>
      <c r="AJ611" s="117"/>
      <c r="AK611" s="89"/>
      <c r="AL611" s="117"/>
      <c r="AM611" s="117"/>
      <c r="AN611" s="117"/>
      <c r="AO611" s="117"/>
      <c r="AP611" s="117"/>
      <c r="AQ611" s="117"/>
      <c r="AR611" s="117"/>
      <c r="AS611" s="117"/>
      <c r="AT611" s="117"/>
      <c r="AU611" s="117"/>
      <c r="AV611" s="128"/>
      <c r="AW611" s="117">
        <f>VLOOKUP($D611,'WB Data'!$C$3:$M$578,2,FALSE)</f>
        <v>2937072009.0343008</v>
      </c>
      <c r="AX611" s="117">
        <f>VLOOKUP($D611,'WB Data'!$C$3:$M$578,3,FALSE)</f>
        <v>9576331</v>
      </c>
      <c r="AY611" s="847" t="str">
        <f t="shared" si="102"/>
        <v>..</v>
      </c>
      <c r="AZ611" s="117" t="e">
        <f>VLOOKUP($D611,'WB Data'!$C$3:$M$578,4,FALSE)/100</f>
        <v>#VALUE!</v>
      </c>
      <c r="BA611" s="117" t="str">
        <f t="shared" si="103"/>
        <v>..</v>
      </c>
      <c r="BB611" s="129" t="str">
        <f>IFERROR(VLOOKUP($D611,'EITI Revenues'!$C$2:$G$224,5,FALSE),"..")</f>
        <v>..</v>
      </c>
      <c r="BC611" s="846" t="str">
        <f t="shared" si="104"/>
        <v>..</v>
      </c>
      <c r="BD611" s="129">
        <f>VLOOKUP($D611,'WB Data 2'!$C$2:$K$545,6,FALSE)</f>
        <v>636253428.00568378</v>
      </c>
      <c r="BE611" s="129" t="str">
        <f>IFERROR(VLOOKUP($D611,UNCTAD!$C$5:$V$529,4,FALSE),"..")</f>
        <v>..</v>
      </c>
      <c r="BF611" s="846" t="str">
        <f t="shared" si="105"/>
        <v>..</v>
      </c>
      <c r="BG611" s="117">
        <f>VLOOKUP($D611,'WB Data'!$C$3:$M$578,5,FALSE)</f>
        <v>198180000</v>
      </c>
      <c r="BH611" s="129" t="str">
        <f>IFERROR($BB611/$BG611,"..")</f>
        <v>..</v>
      </c>
      <c r="BI611" s="117">
        <f>IFERROR(VLOOKUP($D611,'WB Data'!$C$3:$M$578,7,FALSE)/100,"..")</f>
        <v>1.8490599999999999E-2</v>
      </c>
      <c r="BJ611" s="117">
        <f>IFERROR($BI611*$AW611,"..")</f>
        <v>54308223.690249644</v>
      </c>
      <c r="BK611" s="846" t="str">
        <f>IFERROR($BB611/$BJ611,"..")</f>
        <v>..</v>
      </c>
      <c r="BL611" s="117">
        <f>IFERROR(VLOOKUP($D611,'WB Data'!$C$3:$M$578,7,FALSE)/100,"..")</f>
        <v>1.8490599999999999E-2</v>
      </c>
      <c r="BM611" s="117">
        <f>IFERROR($AW611*$BL611,"..")</f>
        <v>54308223.690249644</v>
      </c>
      <c r="BN611" s="846" t="str">
        <f>IFERROR($BB611/$BM611,"..")</f>
        <v>..</v>
      </c>
      <c r="BO611" s="801">
        <f t="shared" si="101"/>
        <v>25</v>
      </c>
      <c r="BP611" s="117" t="str">
        <f>VLOOKUP($D611,'WB Data'!$C$3:$M$578,9,FALSE)</f>
        <v>..</v>
      </c>
      <c r="BQ611" s="117">
        <f>VLOOKUP($D611,'WB Data'!$C$3:$M$578,10,FALSE)</f>
        <v>52.745121951219517</v>
      </c>
      <c r="BR611" s="117">
        <f>VLOOKUP($D611,'WB Data'!$C$3:$M$578,11,FALSE)</f>
        <v>85.1</v>
      </c>
      <c r="BS611" s="129">
        <f>IFERROR(VLOOKUP($D611,'WB Data 2'!$C$2:$K$545,9,FALSE),"..")</f>
        <v>65.247399999999999</v>
      </c>
      <c r="BT611" s="129" t="str">
        <f>_xlfn.IFNA(VLOOKUP($C611,RGI!$A$2:$C$43,2,FALSE),"..")</f>
        <v>..</v>
      </c>
      <c r="BU611" s="129" t="str">
        <f>_xlfn.IFNA(VLOOKUP($C611,RGI!$A$2:$C$43,3,FALSE),"..")</f>
        <v>..</v>
      </c>
      <c r="BV611" s="129">
        <f>VLOOKUP($D611,WGI!$C$2:$O$478,7,FALSE)</f>
        <v>-1.14030260595291</v>
      </c>
      <c r="BW611" s="129">
        <f>VLOOKUP($D611,WGI!$C$2:$O$478,4,FALSE)</f>
        <v>-1.1777075163630299</v>
      </c>
      <c r="BX611" s="129">
        <f>VLOOKUP($D611,WGI!$C$2:$O$478,3,FALSE)</f>
        <v>-1.0584098250529099</v>
      </c>
      <c r="BY611" s="129">
        <f>VLOOKUP($D611,WGI!$C$2:$O$478,5,FALSE)</f>
        <v>-1.0567133413027501</v>
      </c>
      <c r="BZ611" s="129">
        <f>VLOOKUP($D611,WGI!$C$2:$O$478,2,FALSE)</f>
        <v>-1.0084424548962001</v>
      </c>
    </row>
    <row r="612" spans="1:80" ht="15" customHeight="1">
      <c r="A612" s="280" t="s">
        <v>224</v>
      </c>
      <c r="B612" s="117">
        <v>2005</v>
      </c>
      <c r="C612" s="117" t="s">
        <v>3089</v>
      </c>
      <c r="D612" s="117" t="s">
        <v>3495</v>
      </c>
      <c r="E612" s="117" t="s">
        <v>86</v>
      </c>
      <c r="F612" s="117"/>
      <c r="G612" s="117" t="s">
        <v>24</v>
      </c>
      <c r="H612" s="117" t="str">
        <f t="shared" si="96"/>
        <v>yes</v>
      </c>
      <c r="I612" s="117" t="str">
        <f t="shared" si="97"/>
        <v>no</v>
      </c>
      <c r="J612" s="117" t="str">
        <f t="shared" si="98"/>
        <v>no</v>
      </c>
      <c r="K612" s="117" t="s">
        <v>980</v>
      </c>
      <c r="L612" s="117" t="str">
        <f t="shared" si="106"/>
        <v>detailed</v>
      </c>
      <c r="M612" s="117" t="str">
        <f t="shared" si="99"/>
        <v>detailed Mining</v>
      </c>
      <c r="N612" s="118">
        <v>549000</v>
      </c>
      <c r="O612" s="118"/>
      <c r="P612" s="118"/>
      <c r="Q612" s="118"/>
      <c r="R612" s="118"/>
      <c r="S612" s="117" t="s">
        <v>981</v>
      </c>
      <c r="T612" s="119">
        <v>86.52</v>
      </c>
      <c r="U612" s="117" t="s">
        <v>982</v>
      </c>
      <c r="V612" s="117" t="s">
        <v>1260</v>
      </c>
      <c r="W612" s="89">
        <f>N612*T612</f>
        <v>47499480</v>
      </c>
      <c r="X612" s="117"/>
      <c r="Y612" s="117"/>
      <c r="Z612" s="117"/>
      <c r="AA612" s="117"/>
      <c r="AB612" s="117"/>
      <c r="AC612" s="240"/>
      <c r="AD612" s="240"/>
      <c r="AE612" s="240"/>
      <c r="AF612" s="241"/>
      <c r="AG612" s="117"/>
      <c r="AH612" s="124"/>
      <c r="AI612" s="117"/>
      <c r="AJ612" s="117"/>
      <c r="AK612" s="89"/>
      <c r="AL612" s="117"/>
      <c r="AM612" s="117"/>
      <c r="AN612" s="117"/>
      <c r="AO612" s="117"/>
      <c r="AP612" s="117"/>
      <c r="AQ612" s="117"/>
      <c r="AR612" s="117"/>
      <c r="AS612" s="117"/>
      <c r="AT612" s="117"/>
      <c r="AU612" s="117"/>
      <c r="AV612" s="128"/>
      <c r="AW612" s="117">
        <f>VLOOKUP($D612,'WB Data'!$C$3:$M$578,2,FALSE)</f>
        <v>2937072009.0343008</v>
      </c>
      <c r="AX612" s="117">
        <f>VLOOKUP($D612,'WB Data'!$C$3:$M$578,3,FALSE)</f>
        <v>9576331</v>
      </c>
      <c r="AY612" s="847" t="str">
        <f t="shared" si="102"/>
        <v>..</v>
      </c>
      <c r="AZ612" s="117" t="e">
        <f>VLOOKUP($D612,'WB Data'!$C$3:$M$578,4,FALSE)/100</f>
        <v>#VALUE!</v>
      </c>
      <c r="BA612" s="117" t="str">
        <f t="shared" si="103"/>
        <v>..</v>
      </c>
      <c r="BB612" s="129" t="str">
        <f>IFERROR(VLOOKUP($D612,'EITI Revenues'!$C$2:$G$224,5,FALSE),"..")</f>
        <v>..</v>
      </c>
      <c r="BC612" s="846" t="str">
        <f t="shared" si="104"/>
        <v>..</v>
      </c>
      <c r="BD612" s="129">
        <f>VLOOKUP($D612,'WB Data 2'!$C$2:$K$545,6,FALSE)</f>
        <v>636253428.00568378</v>
      </c>
      <c r="BE612" s="129" t="str">
        <f>IFERROR(VLOOKUP($D612,UNCTAD!$C$5:$V$529,4,FALSE),"..")</f>
        <v>..</v>
      </c>
      <c r="BF612" s="846" t="str">
        <f t="shared" si="105"/>
        <v>..</v>
      </c>
      <c r="BG612" s="117">
        <f>VLOOKUP($D612,'WB Data'!$C$3:$M$578,5,FALSE)</f>
        <v>198180000</v>
      </c>
      <c r="BH612" s="129" t="str">
        <f>IFERROR($BB612/$BG612,"..")</f>
        <v>..</v>
      </c>
      <c r="BI612" s="117">
        <f>IFERROR(VLOOKUP($D612,'WB Data'!$C$3:$M$578,7,FALSE)/100,"..")</f>
        <v>1.8490599999999999E-2</v>
      </c>
      <c r="BJ612" s="117">
        <f>IFERROR($BI612*$AW612,"..")</f>
        <v>54308223.690249644</v>
      </c>
      <c r="BK612" s="846" t="str">
        <f>IFERROR($BB612/$BJ612,"..")</f>
        <v>..</v>
      </c>
      <c r="BL612" s="117">
        <f>IFERROR(VLOOKUP($D612,'WB Data'!$C$3:$M$578,7,FALSE)/100,"..")</f>
        <v>1.8490599999999999E-2</v>
      </c>
      <c r="BM612" s="117">
        <f>IFERROR($AW612*$BL612,"..")</f>
        <v>54308223.690249644</v>
      </c>
      <c r="BN612" s="846" t="str">
        <f>IFERROR($BB612/$BM612,"..")</f>
        <v>..</v>
      </c>
      <c r="BO612" s="801">
        <f t="shared" si="101"/>
        <v>25</v>
      </c>
      <c r="BP612" s="117" t="str">
        <f>VLOOKUP($D612,'WB Data'!$C$3:$M$578,9,FALSE)</f>
        <v>..</v>
      </c>
      <c r="BQ612" s="117">
        <f>VLOOKUP($D612,'WB Data'!$C$3:$M$578,10,FALSE)</f>
        <v>52.745121951219517</v>
      </c>
      <c r="BR612" s="117">
        <f>VLOOKUP($D612,'WB Data'!$C$3:$M$578,11,FALSE)</f>
        <v>85.1</v>
      </c>
      <c r="BS612" s="129">
        <f>IFERROR(VLOOKUP($D612,'WB Data 2'!$C$2:$K$545,9,FALSE),"..")</f>
        <v>65.247399999999999</v>
      </c>
      <c r="BT612" s="129" t="str">
        <f>_xlfn.IFNA(VLOOKUP($C612,RGI!$A$2:$C$43,2,FALSE),"..")</f>
        <v>..</v>
      </c>
      <c r="BU612" s="129" t="str">
        <f>_xlfn.IFNA(VLOOKUP($C612,RGI!$A$2:$C$43,3,FALSE),"..")</f>
        <v>..</v>
      </c>
      <c r="BV612" s="129">
        <f>VLOOKUP($D612,WGI!$C$2:$O$478,7,FALSE)</f>
        <v>-1.14030260595291</v>
      </c>
      <c r="BW612" s="129">
        <f>VLOOKUP($D612,WGI!$C$2:$O$478,4,FALSE)</f>
        <v>-1.1777075163630299</v>
      </c>
      <c r="BX612" s="129">
        <f>VLOOKUP($D612,WGI!$C$2:$O$478,3,FALSE)</f>
        <v>-1.0584098250529099</v>
      </c>
      <c r="BY612" s="129">
        <f>VLOOKUP($D612,WGI!$C$2:$O$478,5,FALSE)</f>
        <v>-1.0567133413027501</v>
      </c>
      <c r="BZ612" s="129">
        <f>VLOOKUP($D612,WGI!$C$2:$O$478,2,FALSE)</f>
        <v>-1.0084424548962001</v>
      </c>
    </row>
    <row r="613" spans="1:80" ht="15" customHeight="1">
      <c r="A613" s="280" t="s">
        <v>224</v>
      </c>
      <c r="B613" s="117">
        <v>2005</v>
      </c>
      <c r="C613" s="117" t="s">
        <v>3089</v>
      </c>
      <c r="D613" s="117" t="s">
        <v>3495</v>
      </c>
      <c r="E613" s="117" t="s">
        <v>86</v>
      </c>
      <c r="F613" s="117"/>
      <c r="G613" s="117" t="s">
        <v>24</v>
      </c>
      <c r="H613" s="117" t="str">
        <f t="shared" si="96"/>
        <v>yes</v>
      </c>
      <c r="I613" s="117" t="str">
        <f t="shared" si="97"/>
        <v>no</v>
      </c>
      <c r="J613" s="117" t="str">
        <f t="shared" si="98"/>
        <v>no</v>
      </c>
      <c r="K613" s="117" t="s">
        <v>784</v>
      </c>
      <c r="L613" s="117" t="str">
        <f t="shared" si="106"/>
        <v>detailed</v>
      </c>
      <c r="M613" s="117" t="str">
        <f t="shared" si="99"/>
        <v>detailed Mining</v>
      </c>
      <c r="N613" s="118">
        <f>25097*32.150743126506</f>
        <v>806887.20024592115</v>
      </c>
      <c r="O613" s="118"/>
      <c r="P613" s="118"/>
      <c r="Q613" s="118"/>
      <c r="R613" s="118"/>
      <c r="S613" s="117" t="s">
        <v>785</v>
      </c>
      <c r="T613" s="119">
        <f>444.84258333333*1.0595</f>
        <v>471.31071704166322</v>
      </c>
      <c r="U613" s="117" t="s">
        <v>786</v>
      </c>
      <c r="V613" s="117" t="s">
        <v>1261</v>
      </c>
      <c r="W613" s="89">
        <f>N613*T613</f>
        <v>380294584.91964519</v>
      </c>
      <c r="X613" s="117"/>
      <c r="Y613" s="117"/>
      <c r="Z613" s="117"/>
      <c r="AA613" s="117"/>
      <c r="AB613" s="117"/>
      <c r="AC613" s="240"/>
      <c r="AD613" s="240"/>
      <c r="AE613" s="240"/>
      <c r="AF613" s="241"/>
      <c r="AG613" s="117"/>
      <c r="AH613" s="124"/>
      <c r="AI613" s="117"/>
      <c r="AJ613" s="117"/>
      <c r="AK613" s="89"/>
      <c r="AL613" s="117"/>
      <c r="AM613" s="117"/>
      <c r="AN613" s="117"/>
      <c r="AO613" s="117"/>
      <c r="AP613" s="117"/>
      <c r="AQ613" s="117"/>
      <c r="AR613" s="117"/>
      <c r="AS613" s="117"/>
      <c r="AT613" s="117"/>
      <c r="AU613" s="117"/>
      <c r="AV613" s="128"/>
      <c r="AW613" s="117">
        <f>VLOOKUP($D613,'WB Data'!$C$3:$M$578,2,FALSE)</f>
        <v>2937072009.0343008</v>
      </c>
      <c r="AX613" s="117">
        <f>VLOOKUP($D613,'WB Data'!$C$3:$M$578,3,FALSE)</f>
        <v>9576331</v>
      </c>
      <c r="AY613" s="847" t="str">
        <f t="shared" si="102"/>
        <v>..</v>
      </c>
      <c r="AZ613" s="117" t="e">
        <f>VLOOKUP($D613,'WB Data'!$C$3:$M$578,4,FALSE)/100</f>
        <v>#VALUE!</v>
      </c>
      <c r="BA613" s="117" t="str">
        <f t="shared" si="103"/>
        <v>..</v>
      </c>
      <c r="BB613" s="129" t="str">
        <f>IFERROR(VLOOKUP($D613,'EITI Revenues'!$C$2:$G$224,5,FALSE),"..")</f>
        <v>..</v>
      </c>
      <c r="BC613" s="846" t="str">
        <f t="shared" si="104"/>
        <v>..</v>
      </c>
      <c r="BD613" s="129">
        <f>VLOOKUP($D613,'WB Data 2'!$C$2:$K$545,6,FALSE)</f>
        <v>636253428.00568378</v>
      </c>
      <c r="BE613" s="129" t="str">
        <f>IFERROR(VLOOKUP($D613,UNCTAD!$C$5:$V$529,4,FALSE),"..")</f>
        <v>..</v>
      </c>
      <c r="BF613" s="846" t="str">
        <f t="shared" si="105"/>
        <v>..</v>
      </c>
      <c r="BG613" s="117">
        <f>VLOOKUP($D613,'WB Data'!$C$3:$M$578,5,FALSE)</f>
        <v>198180000</v>
      </c>
      <c r="BH613" s="129" t="str">
        <f>IFERROR($BB613/$BG613,"..")</f>
        <v>..</v>
      </c>
      <c r="BI613" s="117">
        <f>IFERROR(VLOOKUP($D613,'WB Data'!$C$3:$M$578,7,FALSE)/100,"..")</f>
        <v>1.8490599999999999E-2</v>
      </c>
      <c r="BJ613" s="117">
        <f>IFERROR($BI613*$AW613,"..")</f>
        <v>54308223.690249644</v>
      </c>
      <c r="BK613" s="846" t="str">
        <f>IFERROR($BB613/$BJ613,"..")</f>
        <v>..</v>
      </c>
      <c r="BL613" s="117">
        <f>IFERROR(VLOOKUP($D613,'WB Data'!$C$3:$M$578,7,FALSE)/100,"..")</f>
        <v>1.8490599999999999E-2</v>
      </c>
      <c r="BM613" s="117">
        <f>IFERROR($AW613*$BL613,"..")</f>
        <v>54308223.690249644</v>
      </c>
      <c r="BN613" s="846" t="str">
        <f>IFERROR($BB613/$BM613,"..")</f>
        <v>..</v>
      </c>
      <c r="BO613" s="801">
        <f t="shared" si="101"/>
        <v>25</v>
      </c>
      <c r="BP613" s="117" t="str">
        <f>VLOOKUP($D613,'WB Data'!$C$3:$M$578,9,FALSE)</f>
        <v>..</v>
      </c>
      <c r="BQ613" s="117">
        <f>VLOOKUP($D613,'WB Data'!$C$3:$M$578,10,FALSE)</f>
        <v>52.745121951219517</v>
      </c>
      <c r="BR613" s="117">
        <f>VLOOKUP($D613,'WB Data'!$C$3:$M$578,11,FALSE)</f>
        <v>85.1</v>
      </c>
      <c r="BS613" s="129">
        <f>IFERROR(VLOOKUP($D613,'WB Data 2'!$C$2:$K$545,9,FALSE),"..")</f>
        <v>65.247399999999999</v>
      </c>
      <c r="BT613" s="129" t="str">
        <f>_xlfn.IFNA(VLOOKUP($C613,RGI!$A$2:$C$43,2,FALSE),"..")</f>
        <v>..</v>
      </c>
      <c r="BU613" s="129" t="str">
        <f>_xlfn.IFNA(VLOOKUP($C613,RGI!$A$2:$C$43,3,FALSE),"..")</f>
        <v>..</v>
      </c>
      <c r="BV613" s="129">
        <f>VLOOKUP($D613,WGI!$C$2:$O$478,7,FALSE)</f>
        <v>-1.14030260595291</v>
      </c>
      <c r="BW613" s="129">
        <f>VLOOKUP($D613,WGI!$C$2:$O$478,4,FALSE)</f>
        <v>-1.1777075163630299</v>
      </c>
      <c r="BX613" s="129">
        <f>VLOOKUP($D613,WGI!$C$2:$O$478,3,FALSE)</f>
        <v>-1.0584098250529099</v>
      </c>
      <c r="BY613" s="129">
        <f>VLOOKUP($D613,WGI!$C$2:$O$478,5,FALSE)</f>
        <v>-1.0567133413027501</v>
      </c>
      <c r="BZ613" s="129">
        <f>VLOOKUP($D613,WGI!$C$2:$O$478,2,FALSE)</f>
        <v>-1.0084424548962001</v>
      </c>
    </row>
    <row r="614" spans="1:80" s="144" customFormat="1" ht="15" customHeight="1">
      <c r="A614" s="296" t="s">
        <v>227</v>
      </c>
      <c r="B614" s="228">
        <v>2006</v>
      </c>
      <c r="C614" s="117" t="s">
        <v>3089</v>
      </c>
      <c r="D614" s="117" t="s">
        <v>3529</v>
      </c>
      <c r="E614" s="450" t="s">
        <v>86</v>
      </c>
      <c r="F614" s="132" t="s">
        <v>1254</v>
      </c>
      <c r="G614" s="132" t="s">
        <v>24</v>
      </c>
      <c r="H614" s="117" t="str">
        <f t="shared" si="96"/>
        <v>yes</v>
      </c>
      <c r="I614" s="117" t="str">
        <f t="shared" si="97"/>
        <v>no</v>
      </c>
      <c r="J614" s="117" t="str">
        <f t="shared" si="98"/>
        <v>no</v>
      </c>
      <c r="K614" s="132" t="s">
        <v>709</v>
      </c>
      <c r="L614" s="117" t="str">
        <f t="shared" si="106"/>
        <v>Total</v>
      </c>
      <c r="M614" s="117" t="str">
        <f t="shared" si="99"/>
        <v>Total Mining</v>
      </c>
      <c r="N614" s="238"/>
      <c r="O614" s="238"/>
      <c r="P614" s="238"/>
      <c r="Q614" s="238"/>
      <c r="R614" s="238"/>
      <c r="S614" s="132"/>
      <c r="T614" s="134"/>
      <c r="U614" s="132"/>
      <c r="V614" s="132"/>
      <c r="W614" s="135">
        <f>SUM(W615:W617)</f>
        <v>742672998.82935083</v>
      </c>
      <c r="X614" s="132" t="s">
        <v>998</v>
      </c>
      <c r="Y614" s="132" t="s">
        <v>602</v>
      </c>
      <c r="Z614" s="132"/>
      <c r="AA614" s="160">
        <v>129435000</v>
      </c>
      <c r="AB614" s="231">
        <v>122473523.42801651</v>
      </c>
      <c r="AC614" s="138"/>
      <c r="AD614" s="138"/>
      <c r="AE614" s="138"/>
      <c r="AF614" s="139">
        <f>AA614/W614</f>
        <v>0.17428262533311945</v>
      </c>
      <c r="AG614" s="132" t="s">
        <v>1262</v>
      </c>
      <c r="AH614" s="451">
        <v>5148.75</v>
      </c>
      <c r="AI614" s="132" t="s">
        <v>722</v>
      </c>
      <c r="AJ614" s="132"/>
      <c r="AK614" s="135"/>
      <c r="AL614" s="132"/>
      <c r="AM614" s="132"/>
      <c r="AN614" s="132">
        <v>6</v>
      </c>
      <c r="AO614" s="132" t="s">
        <v>1256</v>
      </c>
      <c r="AP614" s="132">
        <v>6</v>
      </c>
      <c r="AQ614" s="132" t="s">
        <v>228</v>
      </c>
      <c r="AR614" s="141">
        <v>41950</v>
      </c>
      <c r="AS614" s="132" t="s">
        <v>712</v>
      </c>
      <c r="AT614" s="132" t="s">
        <v>229</v>
      </c>
      <c r="AU614" s="132" t="s">
        <v>1263</v>
      </c>
      <c r="AV614" s="143" t="s">
        <v>1264</v>
      </c>
      <c r="AW614" s="117">
        <f>VLOOKUP($D614,'WB Data'!$C$3:$M$578,2,FALSE)</f>
        <v>2821346683.5140185</v>
      </c>
      <c r="AX614" s="117">
        <f>VLOOKUP($D614,'WB Data'!$C$3:$M$578,3,FALSE)</f>
        <v>9798963</v>
      </c>
      <c r="AY614" s="847" t="str">
        <f t="shared" si="102"/>
        <v>..</v>
      </c>
      <c r="AZ614" s="117" t="e">
        <f>VLOOKUP($D614,'WB Data'!$C$3:$M$578,4,FALSE)/100</f>
        <v>#VALUE!</v>
      </c>
      <c r="BA614" s="117" t="str">
        <f t="shared" si="103"/>
        <v>..</v>
      </c>
      <c r="BB614" s="129" t="str">
        <f>IFERROR(VLOOKUP($D614,'EITI Revenues'!$C$2:$G$224,5,FALSE),"..")</f>
        <v>..</v>
      </c>
      <c r="BC614" s="846" t="str">
        <f t="shared" si="104"/>
        <v>..</v>
      </c>
      <c r="BD614" s="129">
        <f>VLOOKUP($D614,'WB Data 2'!$C$2:$K$545,6,FALSE)</f>
        <v>588747256.68422401</v>
      </c>
      <c r="BE614" s="129" t="str">
        <f>IFERROR(VLOOKUP($D614,UNCTAD!$C$5:$V$529,4,FALSE),"..")</f>
        <v>..</v>
      </c>
      <c r="BF614" s="846" t="str">
        <f t="shared" si="105"/>
        <v>..</v>
      </c>
      <c r="BG614" s="117">
        <f>VLOOKUP($D614,'WB Data'!$C$3:$M$578,5,FALSE)</f>
        <v>169560000</v>
      </c>
      <c r="BH614" s="129" t="str">
        <f>IFERROR($BB614/$BG614,"..")</f>
        <v>..</v>
      </c>
      <c r="BI614" s="117" t="str">
        <f>IFERROR(VLOOKUP($D614,'WB Data'!$C$3:$M$578,7,FALSE)/100,"..")</f>
        <v>..</v>
      </c>
      <c r="BJ614" s="117" t="str">
        <f>IFERROR($BI614*$AW614,"..")</f>
        <v>..</v>
      </c>
      <c r="BK614" s="846" t="str">
        <f>IFERROR($BB614/$BJ614,"..")</f>
        <v>..</v>
      </c>
      <c r="BL614" s="117" t="str">
        <f>IFERROR(VLOOKUP($D614,'WB Data'!$C$3:$M$578,7,FALSE)/100,"..")</f>
        <v>..</v>
      </c>
      <c r="BM614" s="117" t="str">
        <f>IFERROR($AW614*$BL614,"..")</f>
        <v>..</v>
      </c>
      <c r="BN614" s="846" t="str">
        <f>IFERROR($BB614/$BM614,"..")</f>
        <v>..</v>
      </c>
      <c r="BO614" s="801">
        <f t="shared" si="101"/>
        <v>25</v>
      </c>
      <c r="BP614" s="117" t="str">
        <f>VLOOKUP($D614,'WB Data'!$C$3:$M$578,9,FALSE)</f>
        <v>..</v>
      </c>
      <c r="BQ614" s="117">
        <f>VLOOKUP($D614,'WB Data'!$C$3:$M$578,10,FALSE)</f>
        <v>53.349536585365861</v>
      </c>
      <c r="BR614" s="117">
        <f>VLOOKUP($D614,'WB Data'!$C$3:$M$578,11,FALSE)</f>
        <v>82</v>
      </c>
      <c r="BS614" s="129">
        <f>IFERROR(VLOOKUP($D614,'WB Data 2'!$C$2:$K$545,9,FALSE),"..")</f>
        <v>67.585719999999995</v>
      </c>
      <c r="BT614" s="129" t="str">
        <f>_xlfn.IFNA(VLOOKUP($C614,RGI!$A$2:$C$43,2,FALSE),"..")</f>
        <v>..</v>
      </c>
      <c r="BU614" s="129" t="str">
        <f>_xlfn.IFNA(VLOOKUP($C614,RGI!$A$2:$C$43,3,FALSE),"..")</f>
        <v>..</v>
      </c>
      <c r="BV614" s="129">
        <f>VLOOKUP($D614,WGI!$C$2:$O$478,7,FALSE)</f>
        <v>-1.23738874704223</v>
      </c>
      <c r="BW614" s="129">
        <f>VLOOKUP($D614,WGI!$C$2:$O$478,4,FALSE)</f>
        <v>-1.89237485515491</v>
      </c>
      <c r="BX614" s="129">
        <f>VLOOKUP($D614,WGI!$C$2:$O$478,3,FALSE)</f>
        <v>-1.3414672403067001</v>
      </c>
      <c r="BY614" s="129">
        <f>VLOOKUP($D614,WGI!$C$2:$O$478,5,FALSE)</f>
        <v>-1.20269833848503</v>
      </c>
      <c r="BZ614" s="129">
        <f>VLOOKUP($D614,WGI!$C$2:$O$478,2,FALSE)</f>
        <v>-1.0435072072129301</v>
      </c>
      <c r="CB614" s="129"/>
    </row>
    <row r="615" spans="1:80" s="120" customFormat="1" ht="15" customHeight="1">
      <c r="A615" s="294" t="s">
        <v>227</v>
      </c>
      <c r="B615" s="214">
        <v>2006</v>
      </c>
      <c r="C615" s="117" t="s">
        <v>3089</v>
      </c>
      <c r="D615" s="117" t="s">
        <v>3529</v>
      </c>
      <c r="E615" s="452" t="s">
        <v>86</v>
      </c>
      <c r="F615" s="117"/>
      <c r="G615" s="117" t="s">
        <v>24</v>
      </c>
      <c r="H615" s="117" t="str">
        <f t="shared" si="96"/>
        <v>yes</v>
      </c>
      <c r="I615" s="117" t="str">
        <f t="shared" si="97"/>
        <v>no</v>
      </c>
      <c r="J615" s="117" t="str">
        <f t="shared" si="98"/>
        <v>no</v>
      </c>
      <c r="K615" s="117" t="s">
        <v>1138</v>
      </c>
      <c r="L615" s="117" t="str">
        <f t="shared" si="106"/>
        <v>detailed</v>
      </c>
      <c r="M615" s="117" t="str">
        <f t="shared" si="99"/>
        <v>detailed Mining</v>
      </c>
      <c r="N615" s="179">
        <v>16300000</v>
      </c>
      <c r="O615" s="179"/>
      <c r="P615" s="179"/>
      <c r="Q615" s="179"/>
      <c r="R615" s="179"/>
      <c r="S615" s="117" t="s">
        <v>610</v>
      </c>
      <c r="T615" s="119">
        <f>28.1*0.8609</f>
        <v>24.191290000000002</v>
      </c>
      <c r="U615" s="117" t="s">
        <v>611</v>
      </c>
      <c r="V615" s="117" t="s">
        <v>1265</v>
      </c>
      <c r="W615" s="89">
        <f>N615*T615</f>
        <v>394318027.00000006</v>
      </c>
      <c r="X615" s="117"/>
      <c r="Y615" s="117"/>
      <c r="Z615" s="117"/>
      <c r="AA615" s="117"/>
      <c r="AB615" s="117"/>
      <c r="AC615" s="240"/>
      <c r="AD615" s="240"/>
      <c r="AE615" s="240"/>
      <c r="AF615" s="241"/>
      <c r="AG615" s="117"/>
      <c r="AH615" s="124"/>
      <c r="AI615" s="117"/>
      <c r="AJ615" s="117"/>
      <c r="AK615" s="89"/>
      <c r="AL615" s="117"/>
      <c r="AM615" s="117"/>
      <c r="AN615" s="117"/>
      <c r="AO615" s="117"/>
      <c r="AP615" s="117"/>
      <c r="AQ615" s="117"/>
      <c r="AR615" s="117"/>
      <c r="AS615" s="117"/>
      <c r="AT615" s="117"/>
      <c r="AU615" s="117"/>
      <c r="AV615" s="128"/>
      <c r="AW615" s="117">
        <f>VLOOKUP($D615,'WB Data'!$C$3:$M$578,2,FALSE)</f>
        <v>2821346683.5140185</v>
      </c>
      <c r="AX615" s="117">
        <f>VLOOKUP($D615,'WB Data'!$C$3:$M$578,3,FALSE)</f>
        <v>9798963</v>
      </c>
      <c r="AY615" s="847" t="str">
        <f t="shared" si="102"/>
        <v>..</v>
      </c>
      <c r="AZ615" s="117" t="e">
        <f>VLOOKUP($D615,'WB Data'!$C$3:$M$578,4,FALSE)/100</f>
        <v>#VALUE!</v>
      </c>
      <c r="BA615" s="117" t="str">
        <f t="shared" si="103"/>
        <v>..</v>
      </c>
      <c r="BB615" s="129" t="str">
        <f>IFERROR(VLOOKUP($D615,'EITI Revenues'!$C$2:$G$224,5,FALSE),"..")</f>
        <v>..</v>
      </c>
      <c r="BC615" s="846" t="str">
        <f t="shared" si="104"/>
        <v>..</v>
      </c>
      <c r="BD615" s="129">
        <f>VLOOKUP($D615,'WB Data 2'!$C$2:$K$545,6,FALSE)</f>
        <v>588747256.68422401</v>
      </c>
      <c r="BE615" s="129" t="str">
        <f>IFERROR(VLOOKUP($D615,UNCTAD!$C$5:$V$529,4,FALSE),"..")</f>
        <v>..</v>
      </c>
      <c r="BF615" s="846" t="str">
        <f t="shared" si="105"/>
        <v>..</v>
      </c>
      <c r="BG615" s="117">
        <f>VLOOKUP($D615,'WB Data'!$C$3:$M$578,5,FALSE)</f>
        <v>169560000</v>
      </c>
      <c r="BH615" s="129" t="str">
        <f>IFERROR($BB615/$BG615,"..")</f>
        <v>..</v>
      </c>
      <c r="BI615" s="117" t="str">
        <f>IFERROR(VLOOKUP($D615,'WB Data'!$C$3:$M$578,7,FALSE)/100,"..")</f>
        <v>..</v>
      </c>
      <c r="BJ615" s="117" t="str">
        <f>IFERROR($BI615*$AW615,"..")</f>
        <v>..</v>
      </c>
      <c r="BK615" s="846" t="str">
        <f>IFERROR($BB615/$BJ615,"..")</f>
        <v>..</v>
      </c>
      <c r="BL615" s="117" t="str">
        <f>IFERROR(VLOOKUP($D615,'WB Data'!$C$3:$M$578,7,FALSE)/100,"..")</f>
        <v>..</v>
      </c>
      <c r="BM615" s="117" t="str">
        <f>IFERROR($AW615*$BL615,"..")</f>
        <v>..</v>
      </c>
      <c r="BN615" s="846" t="str">
        <f>IFERROR($BB615/$BM615,"..")</f>
        <v>..</v>
      </c>
      <c r="BO615" s="801">
        <f t="shared" si="101"/>
        <v>25</v>
      </c>
      <c r="BP615" s="117" t="str">
        <f>VLOOKUP($D615,'WB Data'!$C$3:$M$578,9,FALSE)</f>
        <v>..</v>
      </c>
      <c r="BQ615" s="117">
        <f>VLOOKUP($D615,'WB Data'!$C$3:$M$578,10,FALSE)</f>
        <v>53.349536585365861</v>
      </c>
      <c r="BR615" s="117">
        <f>VLOOKUP($D615,'WB Data'!$C$3:$M$578,11,FALSE)</f>
        <v>82</v>
      </c>
      <c r="BS615" s="129">
        <f>IFERROR(VLOOKUP($D615,'WB Data 2'!$C$2:$K$545,9,FALSE),"..")</f>
        <v>67.585719999999995</v>
      </c>
      <c r="BT615" s="129" t="str">
        <f>_xlfn.IFNA(VLOOKUP($C615,RGI!$A$2:$C$43,2,FALSE),"..")</f>
        <v>..</v>
      </c>
      <c r="BU615" s="129" t="str">
        <f>_xlfn.IFNA(VLOOKUP($C615,RGI!$A$2:$C$43,3,FALSE),"..")</f>
        <v>..</v>
      </c>
      <c r="BV615" s="129">
        <f>VLOOKUP($D615,WGI!$C$2:$O$478,7,FALSE)</f>
        <v>-1.23738874704223</v>
      </c>
      <c r="BW615" s="129">
        <f>VLOOKUP($D615,WGI!$C$2:$O$478,4,FALSE)</f>
        <v>-1.89237485515491</v>
      </c>
      <c r="BX615" s="129">
        <f>VLOOKUP($D615,WGI!$C$2:$O$478,3,FALSE)</f>
        <v>-1.3414672403067001</v>
      </c>
      <c r="BY615" s="129">
        <f>VLOOKUP($D615,WGI!$C$2:$O$478,5,FALSE)</f>
        <v>-1.20269833848503</v>
      </c>
      <c r="BZ615" s="129">
        <f>VLOOKUP($D615,WGI!$C$2:$O$478,2,FALSE)</f>
        <v>-1.0435072072129301</v>
      </c>
      <c r="CB615" s="129"/>
    </row>
    <row r="616" spans="1:80" s="120" customFormat="1" ht="15" customHeight="1">
      <c r="A616" s="294" t="s">
        <v>227</v>
      </c>
      <c r="B616" s="214">
        <v>2006</v>
      </c>
      <c r="C616" s="117" t="s">
        <v>3089</v>
      </c>
      <c r="D616" s="117" t="s">
        <v>3529</v>
      </c>
      <c r="E616" s="452" t="s">
        <v>86</v>
      </c>
      <c r="F616" s="117"/>
      <c r="G616" s="117" t="s">
        <v>24</v>
      </c>
      <c r="H616" s="117" t="str">
        <f t="shared" si="96"/>
        <v>yes</v>
      </c>
      <c r="I616" s="117" t="str">
        <f t="shared" si="97"/>
        <v>no</v>
      </c>
      <c r="J616" s="117" t="str">
        <f t="shared" si="98"/>
        <v>no</v>
      </c>
      <c r="K616" s="117" t="s">
        <v>980</v>
      </c>
      <c r="L616" s="117" t="str">
        <f t="shared" si="106"/>
        <v>detailed</v>
      </c>
      <c r="M616" s="117" t="str">
        <f t="shared" si="99"/>
        <v>detailed Mining</v>
      </c>
      <c r="N616" s="179">
        <v>474000</v>
      </c>
      <c r="O616" s="179"/>
      <c r="P616" s="179"/>
      <c r="Q616" s="179"/>
      <c r="R616" s="179"/>
      <c r="S616" s="117" t="s">
        <v>981</v>
      </c>
      <c r="T616" s="119">
        <v>84.17</v>
      </c>
      <c r="U616" s="117"/>
      <c r="V616" s="117" t="s">
        <v>1266</v>
      </c>
      <c r="W616" s="89"/>
      <c r="X616" s="117"/>
      <c r="Y616" s="117"/>
      <c r="Z616" s="117"/>
      <c r="AA616" s="117"/>
      <c r="AB616" s="117"/>
      <c r="AC616" s="240"/>
      <c r="AD616" s="240"/>
      <c r="AE616" s="240"/>
      <c r="AF616" s="241"/>
      <c r="AG616" s="117"/>
      <c r="AH616" s="124"/>
      <c r="AI616" s="117"/>
      <c r="AJ616" s="117"/>
      <c r="AK616" s="89"/>
      <c r="AL616" s="117"/>
      <c r="AM616" s="117"/>
      <c r="AN616" s="117"/>
      <c r="AO616" s="117"/>
      <c r="AP616" s="117"/>
      <c r="AQ616" s="117"/>
      <c r="AR616" s="117"/>
      <c r="AS616" s="117"/>
      <c r="AT616" s="117"/>
      <c r="AU616" s="117"/>
      <c r="AV616" s="128"/>
      <c r="AW616" s="117">
        <f>VLOOKUP($D616,'WB Data'!$C$3:$M$578,2,FALSE)</f>
        <v>2821346683.5140185</v>
      </c>
      <c r="AX616" s="117">
        <f>VLOOKUP($D616,'WB Data'!$C$3:$M$578,3,FALSE)</f>
        <v>9798963</v>
      </c>
      <c r="AY616" s="847" t="str">
        <f t="shared" si="102"/>
        <v>..</v>
      </c>
      <c r="AZ616" s="117" t="e">
        <f>VLOOKUP($D616,'WB Data'!$C$3:$M$578,4,FALSE)/100</f>
        <v>#VALUE!</v>
      </c>
      <c r="BA616" s="117" t="str">
        <f t="shared" si="103"/>
        <v>..</v>
      </c>
      <c r="BB616" s="129" t="str">
        <f>IFERROR(VLOOKUP($D616,'EITI Revenues'!$C$2:$G$224,5,FALSE),"..")</f>
        <v>..</v>
      </c>
      <c r="BC616" s="846" t="str">
        <f t="shared" si="104"/>
        <v>..</v>
      </c>
      <c r="BD616" s="129">
        <f>VLOOKUP($D616,'WB Data 2'!$C$2:$K$545,6,FALSE)</f>
        <v>588747256.68422401</v>
      </c>
      <c r="BE616" s="129" t="str">
        <f>IFERROR(VLOOKUP($D616,UNCTAD!$C$5:$V$529,4,FALSE),"..")</f>
        <v>..</v>
      </c>
      <c r="BF616" s="846" t="str">
        <f t="shared" si="105"/>
        <v>..</v>
      </c>
      <c r="BG616" s="117">
        <f>VLOOKUP($D616,'WB Data'!$C$3:$M$578,5,FALSE)</f>
        <v>169560000</v>
      </c>
      <c r="BH616" s="129" t="str">
        <f>IFERROR($BB616/$BG616,"..")</f>
        <v>..</v>
      </c>
      <c r="BI616" s="117" t="str">
        <f>IFERROR(VLOOKUP($D616,'WB Data'!$C$3:$M$578,7,FALSE)/100,"..")</f>
        <v>..</v>
      </c>
      <c r="BJ616" s="117" t="str">
        <f>IFERROR($BI616*$AW616,"..")</f>
        <v>..</v>
      </c>
      <c r="BK616" s="846" t="str">
        <f>IFERROR($BB616/$BJ616,"..")</f>
        <v>..</v>
      </c>
      <c r="BL616" s="117" t="str">
        <f>IFERROR(VLOOKUP($D616,'WB Data'!$C$3:$M$578,7,FALSE)/100,"..")</f>
        <v>..</v>
      </c>
      <c r="BM616" s="117" t="str">
        <f>IFERROR($AW616*$BL616,"..")</f>
        <v>..</v>
      </c>
      <c r="BN616" s="846" t="str">
        <f>IFERROR($BB616/$BM616,"..")</f>
        <v>..</v>
      </c>
      <c r="BO616" s="801">
        <f t="shared" si="101"/>
        <v>25</v>
      </c>
      <c r="BP616" s="117" t="str">
        <f>VLOOKUP($D616,'WB Data'!$C$3:$M$578,9,FALSE)</f>
        <v>..</v>
      </c>
      <c r="BQ616" s="117">
        <f>VLOOKUP($D616,'WB Data'!$C$3:$M$578,10,FALSE)</f>
        <v>53.349536585365861</v>
      </c>
      <c r="BR616" s="117">
        <f>VLOOKUP($D616,'WB Data'!$C$3:$M$578,11,FALSE)</f>
        <v>82</v>
      </c>
      <c r="BS616" s="129">
        <f>IFERROR(VLOOKUP($D616,'WB Data 2'!$C$2:$K$545,9,FALSE),"..")</f>
        <v>67.585719999999995</v>
      </c>
      <c r="BT616" s="129" t="str">
        <f>_xlfn.IFNA(VLOOKUP($C616,RGI!$A$2:$C$43,2,FALSE),"..")</f>
        <v>..</v>
      </c>
      <c r="BU616" s="129" t="str">
        <f>_xlfn.IFNA(VLOOKUP($C616,RGI!$A$2:$C$43,3,FALSE),"..")</f>
        <v>..</v>
      </c>
      <c r="BV616" s="129">
        <f>VLOOKUP($D616,WGI!$C$2:$O$478,7,FALSE)</f>
        <v>-1.23738874704223</v>
      </c>
      <c r="BW616" s="129">
        <f>VLOOKUP($D616,WGI!$C$2:$O$478,4,FALSE)</f>
        <v>-1.89237485515491</v>
      </c>
      <c r="BX616" s="129">
        <f>VLOOKUP($D616,WGI!$C$2:$O$478,3,FALSE)</f>
        <v>-1.3414672403067001</v>
      </c>
      <c r="BY616" s="129">
        <f>VLOOKUP($D616,WGI!$C$2:$O$478,5,FALSE)</f>
        <v>-1.20269833848503</v>
      </c>
      <c r="BZ616" s="129">
        <f>VLOOKUP($D616,WGI!$C$2:$O$478,2,FALSE)</f>
        <v>-1.0435072072129301</v>
      </c>
      <c r="CB616" s="129"/>
    </row>
    <row r="617" spans="1:80" s="158" customFormat="1" ht="15" customHeight="1">
      <c r="A617" s="295" t="s">
        <v>227</v>
      </c>
      <c r="B617" s="218">
        <v>2006</v>
      </c>
      <c r="C617" s="117" t="s">
        <v>3089</v>
      </c>
      <c r="D617" s="117" t="s">
        <v>3529</v>
      </c>
      <c r="E617" s="453" t="s">
        <v>86</v>
      </c>
      <c r="F617" s="149"/>
      <c r="G617" s="149" t="s">
        <v>24</v>
      </c>
      <c r="H617" s="149" t="str">
        <f t="shared" si="96"/>
        <v>yes</v>
      </c>
      <c r="I617" s="149" t="str">
        <f t="shared" si="97"/>
        <v>no</v>
      </c>
      <c r="J617" s="149" t="str">
        <f t="shared" si="98"/>
        <v>no</v>
      </c>
      <c r="K617" s="149" t="s">
        <v>784</v>
      </c>
      <c r="L617" s="149" t="str">
        <f t="shared" si="106"/>
        <v>detailed</v>
      </c>
      <c r="M617" s="149" t="str">
        <f t="shared" si="99"/>
        <v>detailed Mining</v>
      </c>
      <c r="N617" s="216">
        <f>16922*32.150743126506</f>
        <v>544054.8751867346</v>
      </c>
      <c r="O617" s="216"/>
      <c r="P617" s="216"/>
      <c r="Q617" s="216"/>
      <c r="R617" s="216"/>
      <c r="S617" s="149" t="s">
        <v>785</v>
      </c>
      <c r="T617" s="151">
        <f>604.33583333333*1.0595</f>
        <v>640.29381541666316</v>
      </c>
      <c r="U617" s="149" t="s">
        <v>786</v>
      </c>
      <c r="V617" s="149" t="s">
        <v>1261</v>
      </c>
      <c r="W617" s="152">
        <f>N617*T617</f>
        <v>348354971.82935077</v>
      </c>
      <c r="X617" s="149"/>
      <c r="Y617" s="149"/>
      <c r="Z617" s="149"/>
      <c r="AA617" s="149"/>
      <c r="AB617" s="149"/>
      <c r="AC617" s="288"/>
      <c r="AD617" s="288"/>
      <c r="AE617" s="288"/>
      <c r="AF617" s="285"/>
      <c r="AG617" s="149"/>
      <c r="AH617" s="156"/>
      <c r="AI617" s="149"/>
      <c r="AJ617" s="149"/>
      <c r="AK617" s="152"/>
      <c r="AL617" s="149"/>
      <c r="AM617" s="149"/>
      <c r="AN617" s="149"/>
      <c r="AO617" s="149"/>
      <c r="AP617" s="149"/>
      <c r="AQ617" s="149"/>
      <c r="AR617" s="149"/>
      <c r="AS617" s="149"/>
      <c r="AT617" s="149"/>
      <c r="AU617" s="149"/>
      <c r="AV617" s="157"/>
      <c r="AW617" s="117">
        <f>VLOOKUP($D617,'WB Data'!$C$3:$M$578,2,FALSE)</f>
        <v>2821346683.5140185</v>
      </c>
      <c r="AX617" s="117">
        <f>VLOOKUP($D617,'WB Data'!$C$3:$M$578,3,FALSE)</f>
        <v>9798963</v>
      </c>
      <c r="AY617" s="847" t="str">
        <f t="shared" si="102"/>
        <v>..</v>
      </c>
      <c r="AZ617" s="117" t="e">
        <f>VLOOKUP($D617,'WB Data'!$C$3:$M$578,4,FALSE)/100</f>
        <v>#VALUE!</v>
      </c>
      <c r="BA617" s="117" t="str">
        <f t="shared" si="103"/>
        <v>..</v>
      </c>
      <c r="BB617" s="129" t="str">
        <f>IFERROR(VLOOKUP($D617,'EITI Revenues'!$C$2:$G$224,5,FALSE),"..")</f>
        <v>..</v>
      </c>
      <c r="BC617" s="846" t="str">
        <f t="shared" si="104"/>
        <v>..</v>
      </c>
      <c r="BD617" s="129">
        <f>VLOOKUP($D617,'WB Data 2'!$C$2:$K$545,6,FALSE)</f>
        <v>588747256.68422401</v>
      </c>
      <c r="BE617" s="129" t="str">
        <f>IFERROR(VLOOKUP($D617,UNCTAD!$C$5:$V$529,4,FALSE),"..")</f>
        <v>..</v>
      </c>
      <c r="BF617" s="846" t="str">
        <f t="shared" si="105"/>
        <v>..</v>
      </c>
      <c r="BG617" s="117">
        <f>VLOOKUP($D617,'WB Data'!$C$3:$M$578,5,FALSE)</f>
        <v>169560000</v>
      </c>
      <c r="BH617" s="129" t="str">
        <f>IFERROR($BB617/$BG617,"..")</f>
        <v>..</v>
      </c>
      <c r="BI617" s="117" t="str">
        <f>IFERROR(VLOOKUP($D617,'WB Data'!$C$3:$M$578,7,FALSE)/100,"..")</f>
        <v>..</v>
      </c>
      <c r="BJ617" s="117" t="str">
        <f>IFERROR($BI617*$AW617,"..")</f>
        <v>..</v>
      </c>
      <c r="BK617" s="846" t="str">
        <f>IFERROR($BB617/$BJ617,"..")</f>
        <v>..</v>
      </c>
      <c r="BL617" s="117" t="str">
        <f>IFERROR(VLOOKUP($D617,'WB Data'!$C$3:$M$578,7,FALSE)/100,"..")</f>
        <v>..</v>
      </c>
      <c r="BM617" s="117" t="str">
        <f>IFERROR($AW617*$BL617,"..")</f>
        <v>..</v>
      </c>
      <c r="BN617" s="846" t="str">
        <f>IFERROR($BB617/$BM617,"..")</f>
        <v>..</v>
      </c>
      <c r="BO617" s="801">
        <f t="shared" si="101"/>
        <v>25</v>
      </c>
      <c r="BP617" s="117" t="str">
        <f>VLOOKUP($D617,'WB Data'!$C$3:$M$578,9,FALSE)</f>
        <v>..</v>
      </c>
      <c r="BQ617" s="117">
        <f>VLOOKUP($D617,'WB Data'!$C$3:$M$578,10,FALSE)</f>
        <v>53.349536585365861</v>
      </c>
      <c r="BR617" s="117">
        <f>VLOOKUP($D617,'WB Data'!$C$3:$M$578,11,FALSE)</f>
        <v>82</v>
      </c>
      <c r="BS617" s="129">
        <f>IFERROR(VLOOKUP($D617,'WB Data 2'!$C$2:$K$545,9,FALSE),"..")</f>
        <v>67.585719999999995</v>
      </c>
      <c r="BT617" s="129" t="str">
        <f>_xlfn.IFNA(VLOOKUP($C617,RGI!$A$2:$C$43,2,FALSE),"..")</f>
        <v>..</v>
      </c>
      <c r="BU617" s="129" t="str">
        <f>_xlfn.IFNA(VLOOKUP($C617,RGI!$A$2:$C$43,3,FALSE),"..")</f>
        <v>..</v>
      </c>
      <c r="BV617" s="129">
        <f>VLOOKUP($D617,WGI!$C$2:$O$478,7,FALSE)</f>
        <v>-1.23738874704223</v>
      </c>
      <c r="BW617" s="129">
        <f>VLOOKUP($D617,WGI!$C$2:$O$478,4,FALSE)</f>
        <v>-1.89237485515491</v>
      </c>
      <c r="BX617" s="129">
        <f>VLOOKUP($D617,WGI!$C$2:$O$478,3,FALSE)</f>
        <v>-1.3414672403067001</v>
      </c>
      <c r="BY617" s="129">
        <f>VLOOKUP($D617,WGI!$C$2:$O$478,5,FALSE)</f>
        <v>-1.20269833848503</v>
      </c>
      <c r="BZ617" s="129">
        <f>VLOOKUP($D617,WGI!$C$2:$O$478,2,FALSE)</f>
        <v>-1.0435072072129301</v>
      </c>
      <c r="CB617" s="129"/>
    </row>
    <row r="618" spans="1:80" ht="15" customHeight="1">
      <c r="A618" s="294" t="s">
        <v>230</v>
      </c>
      <c r="B618" s="214">
        <v>2007</v>
      </c>
      <c r="C618" s="117" t="s">
        <v>3089</v>
      </c>
      <c r="D618" s="117" t="s">
        <v>3563</v>
      </c>
      <c r="E618" s="452" t="s">
        <v>86</v>
      </c>
      <c r="F618" s="117" t="s">
        <v>1254</v>
      </c>
      <c r="G618" s="117" t="s">
        <v>24</v>
      </c>
      <c r="H618" s="117" t="str">
        <f t="shared" si="96"/>
        <v>yes</v>
      </c>
      <c r="I618" s="117" t="str">
        <f t="shared" si="97"/>
        <v>no</v>
      </c>
      <c r="J618" s="117" t="str">
        <f t="shared" si="98"/>
        <v>no</v>
      </c>
      <c r="K618" s="117" t="s">
        <v>709</v>
      </c>
      <c r="L618" s="117" t="str">
        <f t="shared" si="106"/>
        <v>Total</v>
      </c>
      <c r="M618" s="117" t="str">
        <f t="shared" si="99"/>
        <v>Total Mining</v>
      </c>
      <c r="N618" s="179"/>
      <c r="O618" s="179"/>
      <c r="P618" s="179"/>
      <c r="Q618" s="179"/>
      <c r="R618" s="179"/>
      <c r="S618" s="117"/>
      <c r="T618" s="119"/>
      <c r="U618" s="117"/>
      <c r="V618" s="117"/>
      <c r="W618" s="89">
        <f>SUM(W619:W621)</f>
        <v>849729588.18481493</v>
      </c>
      <c r="X618" s="117" t="s">
        <v>1267</v>
      </c>
      <c r="Y618" s="117" t="s">
        <v>602</v>
      </c>
      <c r="Z618" s="117"/>
      <c r="AA618" s="89">
        <v>171775146.47727105</v>
      </c>
      <c r="AB618" s="90">
        <v>173554249.65628326</v>
      </c>
      <c r="AC618" s="122"/>
      <c r="AD618" s="122"/>
      <c r="AE618" s="122"/>
      <c r="AF618" s="123">
        <f t="shared" ref="AF618:AF633" si="109">AA618/W618</f>
        <v>0.20215271877752974</v>
      </c>
      <c r="AG618" s="117" t="s">
        <v>1262</v>
      </c>
      <c r="AH618" s="124">
        <v>4078.94</v>
      </c>
      <c r="AI618" s="117" t="s">
        <v>722</v>
      </c>
      <c r="AJ618" s="117"/>
      <c r="AK618" s="89"/>
      <c r="AL618" s="117"/>
      <c r="AM618" s="117"/>
      <c r="AN618" s="117">
        <v>6</v>
      </c>
      <c r="AO618" s="117" t="s">
        <v>1268</v>
      </c>
      <c r="AP618" s="117">
        <v>4</v>
      </c>
      <c r="AQ618" s="117" t="s">
        <v>23</v>
      </c>
      <c r="AR618" s="126">
        <v>41950</v>
      </c>
      <c r="AS618" s="117" t="s">
        <v>838</v>
      </c>
      <c r="AT618" s="127" t="s">
        <v>231</v>
      </c>
      <c r="AU618" s="117" t="s">
        <v>1269</v>
      </c>
      <c r="AV618" s="128" t="s">
        <v>1270</v>
      </c>
      <c r="AW618" s="117">
        <f>VLOOKUP($D618,'WB Data'!$C$3:$M$578,2,FALSE)</f>
        <v>4134173271.0208378</v>
      </c>
      <c r="AX618" s="117">
        <f>VLOOKUP($D618,'WB Data'!$C$3:$M$578,3,FALSE)</f>
        <v>10046967</v>
      </c>
      <c r="AY618" s="847" t="str">
        <f t="shared" si="102"/>
        <v>..</v>
      </c>
      <c r="AZ618" s="117" t="e">
        <f>VLOOKUP($D618,'WB Data'!$C$3:$M$578,4,FALSE)/100</f>
        <v>#VALUE!</v>
      </c>
      <c r="BA618" s="117" t="str">
        <f t="shared" si="103"/>
        <v>..</v>
      </c>
      <c r="BB618" s="129" t="str">
        <f>IFERROR(VLOOKUP($D618,'EITI Revenues'!$C$2:$G$224,5,FALSE),"..")</f>
        <v>..</v>
      </c>
      <c r="BC618" s="846" t="str">
        <f t="shared" si="104"/>
        <v>..</v>
      </c>
      <c r="BD618" s="129">
        <f>VLOOKUP($D618,'WB Data 2'!$C$2:$K$545,6,FALSE)</f>
        <v>1001761326.8857646</v>
      </c>
      <c r="BE618" s="129" t="str">
        <f>IFERROR(VLOOKUP($D618,UNCTAD!$C$5:$V$529,4,FALSE),"..")</f>
        <v>..</v>
      </c>
      <c r="BF618" s="846" t="str">
        <f t="shared" si="105"/>
        <v>..</v>
      </c>
      <c r="BG618" s="117">
        <f>VLOOKUP($D618,'WB Data'!$C$3:$M$578,5,FALSE)</f>
        <v>228020000</v>
      </c>
      <c r="BH618" s="129" t="str">
        <f>IFERROR($BB618/$BG618,"..")</f>
        <v>..</v>
      </c>
      <c r="BI618" s="117" t="str">
        <f>IFERROR(VLOOKUP($D618,'WB Data'!$C$3:$M$578,7,FALSE)/100,"..")</f>
        <v>..</v>
      </c>
      <c r="BJ618" s="117" t="str">
        <f>IFERROR($BI618*$AW618,"..")</f>
        <v>..</v>
      </c>
      <c r="BK618" s="846" t="str">
        <f>IFERROR($BB618/$BJ618,"..")</f>
        <v>..</v>
      </c>
      <c r="BL618" s="117" t="str">
        <f>IFERROR(VLOOKUP($D618,'WB Data'!$C$3:$M$578,7,FALSE)/100,"..")</f>
        <v>..</v>
      </c>
      <c r="BM618" s="117" t="str">
        <f>IFERROR($AW618*$BL618,"..")</f>
        <v>..</v>
      </c>
      <c r="BN618" s="846" t="str">
        <f>IFERROR($BB618/$BM618,"..")</f>
        <v>..</v>
      </c>
      <c r="BO618" s="801">
        <f t="shared" si="101"/>
        <v>25</v>
      </c>
      <c r="BP618" s="117">
        <f>VLOOKUP($D618,'WB Data'!$C$3:$M$578,9,FALSE)</f>
        <v>53</v>
      </c>
      <c r="BQ618" s="117">
        <f>VLOOKUP($D618,'WB Data'!$C$3:$M$578,10,FALSE)</f>
        <v>53.943707317073176</v>
      </c>
      <c r="BR618" s="117">
        <f>VLOOKUP($D618,'WB Data'!$C$3:$M$578,11,FALSE)</f>
        <v>79.2</v>
      </c>
      <c r="BS618" s="129">
        <f>IFERROR(VLOOKUP($D618,'WB Data 2'!$C$2:$K$545,9,FALSE),"..")</f>
        <v>69.569850000000002</v>
      </c>
      <c r="BT618" s="129" t="str">
        <f>_xlfn.IFNA(VLOOKUP($C618,RGI!$A$2:$C$43,2,FALSE),"..")</f>
        <v>..</v>
      </c>
      <c r="BU618" s="129" t="str">
        <f>_xlfn.IFNA(VLOOKUP($C618,RGI!$A$2:$C$43,3,FALSE),"..")</f>
        <v>..</v>
      </c>
      <c r="BV618" s="129">
        <f>VLOOKUP($D618,WGI!$C$2:$O$478,7,FALSE)</f>
        <v>-1.3940699673871599</v>
      </c>
      <c r="BW618" s="129">
        <f>VLOOKUP($D618,WGI!$C$2:$O$478,4,FALSE)</f>
        <v>-2.3745976319275601</v>
      </c>
      <c r="BX618" s="129">
        <f>VLOOKUP($D618,WGI!$C$2:$O$478,3,FALSE)</f>
        <v>-1.2737924445228099</v>
      </c>
      <c r="BY618" s="129">
        <f>VLOOKUP($D618,WGI!$C$2:$O$478,5,FALSE)</f>
        <v>-1.22048195172369</v>
      </c>
      <c r="BZ618" s="129">
        <f>VLOOKUP($D618,WGI!$C$2:$O$478,2,FALSE)</f>
        <v>-1.24141249382111</v>
      </c>
    </row>
    <row r="619" spans="1:80" ht="15" customHeight="1">
      <c r="A619" s="294" t="s">
        <v>230</v>
      </c>
      <c r="B619" s="214">
        <v>2007</v>
      </c>
      <c r="C619" s="117" t="s">
        <v>3089</v>
      </c>
      <c r="D619" s="117" t="s">
        <v>3563</v>
      </c>
      <c r="E619" s="452" t="s">
        <v>86</v>
      </c>
      <c r="F619" s="117"/>
      <c r="G619" s="117" t="s">
        <v>24</v>
      </c>
      <c r="H619" s="117" t="str">
        <f t="shared" si="96"/>
        <v>yes</v>
      </c>
      <c r="I619" s="117" t="str">
        <f t="shared" si="97"/>
        <v>no</v>
      </c>
      <c r="J619" s="117" t="str">
        <f t="shared" si="98"/>
        <v>no</v>
      </c>
      <c r="K619" s="117" t="s">
        <v>1138</v>
      </c>
      <c r="L619" s="117" t="str">
        <f t="shared" si="106"/>
        <v>detailed</v>
      </c>
      <c r="M619" s="117" t="str">
        <f t="shared" si="99"/>
        <v>detailed Mining</v>
      </c>
      <c r="N619" s="179">
        <v>16100000</v>
      </c>
      <c r="O619" s="179"/>
      <c r="P619" s="179"/>
      <c r="Q619" s="179"/>
      <c r="R619" s="179"/>
      <c r="S619" s="117" t="s">
        <v>610</v>
      </c>
      <c r="T619" s="119">
        <f>31.2*0.8609</f>
        <v>26.86008</v>
      </c>
      <c r="U619" s="117" t="s">
        <v>611</v>
      </c>
      <c r="V619" s="117" t="s">
        <v>1271</v>
      </c>
      <c r="W619" s="89">
        <f>N619*T619</f>
        <v>432447288</v>
      </c>
      <c r="X619" s="117"/>
      <c r="Y619" s="117"/>
      <c r="Z619" s="117"/>
      <c r="AA619" s="89">
        <v>141416786.19837508</v>
      </c>
      <c r="AB619" s="89">
        <v>145860881.63395393</v>
      </c>
      <c r="AC619" s="240"/>
      <c r="AD619" s="240"/>
      <c r="AE619" s="240"/>
      <c r="AF619" s="241">
        <f t="shared" si="109"/>
        <v>0.32701508397105516</v>
      </c>
      <c r="AG619" s="117"/>
      <c r="AH619" s="124"/>
      <c r="AI619" s="117"/>
      <c r="AJ619" s="117"/>
      <c r="AK619" s="89"/>
      <c r="AL619" s="117"/>
      <c r="AM619" s="117"/>
      <c r="AN619" s="117"/>
      <c r="AO619" s="117"/>
      <c r="AP619" s="117"/>
      <c r="AQ619" s="117"/>
      <c r="AR619" s="117"/>
      <c r="AS619" s="117"/>
      <c r="AT619" s="117"/>
      <c r="AU619" s="117"/>
      <c r="AV619" s="128" t="s">
        <v>1272</v>
      </c>
      <c r="AW619" s="117">
        <f>VLOOKUP($D619,'WB Data'!$C$3:$M$578,2,FALSE)</f>
        <v>4134173271.0208378</v>
      </c>
      <c r="AX619" s="117">
        <f>VLOOKUP($D619,'WB Data'!$C$3:$M$578,3,FALSE)</f>
        <v>10046967</v>
      </c>
      <c r="AY619" s="847" t="str">
        <f t="shared" si="102"/>
        <v>..</v>
      </c>
      <c r="AZ619" s="117" t="e">
        <f>VLOOKUP($D619,'WB Data'!$C$3:$M$578,4,FALSE)/100</f>
        <v>#VALUE!</v>
      </c>
      <c r="BA619" s="117" t="str">
        <f t="shared" si="103"/>
        <v>..</v>
      </c>
      <c r="BB619" s="129" t="str">
        <f>IFERROR(VLOOKUP($D619,'EITI Revenues'!$C$2:$G$224,5,FALSE),"..")</f>
        <v>..</v>
      </c>
      <c r="BC619" s="846" t="str">
        <f t="shared" si="104"/>
        <v>..</v>
      </c>
      <c r="BD619" s="129">
        <f>VLOOKUP($D619,'WB Data 2'!$C$2:$K$545,6,FALSE)</f>
        <v>1001761326.8857646</v>
      </c>
      <c r="BE619" s="129" t="str">
        <f>IFERROR(VLOOKUP($D619,UNCTAD!$C$5:$V$529,4,FALSE),"..")</f>
        <v>..</v>
      </c>
      <c r="BF619" s="846" t="str">
        <f t="shared" si="105"/>
        <v>..</v>
      </c>
      <c r="BG619" s="117">
        <f>VLOOKUP($D619,'WB Data'!$C$3:$M$578,5,FALSE)</f>
        <v>228020000</v>
      </c>
      <c r="BH619" s="129" t="str">
        <f>IFERROR($BB619/$BG619,"..")</f>
        <v>..</v>
      </c>
      <c r="BI619" s="117" t="str">
        <f>IFERROR(VLOOKUP($D619,'WB Data'!$C$3:$M$578,7,FALSE)/100,"..")</f>
        <v>..</v>
      </c>
      <c r="BJ619" s="117" t="str">
        <f>IFERROR($BI619*$AW619,"..")</f>
        <v>..</v>
      </c>
      <c r="BK619" s="846" t="str">
        <f>IFERROR($BB619/$BJ619,"..")</f>
        <v>..</v>
      </c>
      <c r="BL619" s="117" t="str">
        <f>IFERROR(VLOOKUP($D619,'WB Data'!$C$3:$M$578,7,FALSE)/100,"..")</f>
        <v>..</v>
      </c>
      <c r="BM619" s="117" t="str">
        <f>IFERROR($AW619*$BL619,"..")</f>
        <v>..</v>
      </c>
      <c r="BN619" s="846" t="str">
        <f>IFERROR($BB619/$BM619,"..")</f>
        <v>..</v>
      </c>
      <c r="BO619" s="801">
        <f t="shared" si="101"/>
        <v>25</v>
      </c>
      <c r="BP619" s="117">
        <f>VLOOKUP($D619,'WB Data'!$C$3:$M$578,9,FALSE)</f>
        <v>53</v>
      </c>
      <c r="BQ619" s="117">
        <f>VLOOKUP($D619,'WB Data'!$C$3:$M$578,10,FALSE)</f>
        <v>53.943707317073176</v>
      </c>
      <c r="BR619" s="117">
        <f>VLOOKUP($D619,'WB Data'!$C$3:$M$578,11,FALSE)</f>
        <v>79.2</v>
      </c>
      <c r="BS619" s="129">
        <f>IFERROR(VLOOKUP($D619,'WB Data 2'!$C$2:$K$545,9,FALSE),"..")</f>
        <v>69.569850000000002</v>
      </c>
      <c r="BT619" s="129" t="str">
        <f>_xlfn.IFNA(VLOOKUP($C619,RGI!$A$2:$C$43,2,FALSE),"..")</f>
        <v>..</v>
      </c>
      <c r="BU619" s="129" t="str">
        <f>_xlfn.IFNA(VLOOKUP($C619,RGI!$A$2:$C$43,3,FALSE),"..")</f>
        <v>..</v>
      </c>
      <c r="BV619" s="129">
        <f>VLOOKUP($D619,WGI!$C$2:$O$478,7,FALSE)</f>
        <v>-1.3940699673871599</v>
      </c>
      <c r="BW619" s="129">
        <f>VLOOKUP($D619,WGI!$C$2:$O$478,4,FALSE)</f>
        <v>-2.3745976319275601</v>
      </c>
      <c r="BX619" s="129">
        <f>VLOOKUP($D619,WGI!$C$2:$O$478,3,FALSE)</f>
        <v>-1.2737924445228099</v>
      </c>
      <c r="BY619" s="129">
        <f>VLOOKUP($D619,WGI!$C$2:$O$478,5,FALSE)</f>
        <v>-1.22048195172369</v>
      </c>
      <c r="BZ619" s="129">
        <f>VLOOKUP($D619,WGI!$C$2:$O$478,2,FALSE)</f>
        <v>-1.24141249382111</v>
      </c>
    </row>
    <row r="620" spans="1:80" ht="15" customHeight="1">
      <c r="A620" s="294" t="s">
        <v>230</v>
      </c>
      <c r="B620" s="214">
        <v>2007</v>
      </c>
      <c r="C620" s="117" t="s">
        <v>3089</v>
      </c>
      <c r="D620" s="117" t="s">
        <v>3563</v>
      </c>
      <c r="E620" s="452" t="s">
        <v>86</v>
      </c>
      <c r="F620" s="117"/>
      <c r="G620" s="117" t="s">
        <v>24</v>
      </c>
      <c r="H620" s="117" t="str">
        <f t="shared" si="96"/>
        <v>yes</v>
      </c>
      <c r="I620" s="117" t="str">
        <f t="shared" si="97"/>
        <v>no</v>
      </c>
      <c r="J620" s="117" t="str">
        <f t="shared" si="98"/>
        <v>no</v>
      </c>
      <c r="K620" s="117" t="s">
        <v>980</v>
      </c>
      <c r="L620" s="117" t="str">
        <f t="shared" si="106"/>
        <v>detailed</v>
      </c>
      <c r="M620" s="117" t="str">
        <f t="shared" si="99"/>
        <v>detailed Mining</v>
      </c>
      <c r="N620" s="179">
        <v>1019000</v>
      </c>
      <c r="O620" s="179"/>
      <c r="P620" s="179"/>
      <c r="Q620" s="179"/>
      <c r="R620" s="179"/>
      <c r="S620" s="117" t="s">
        <v>981</v>
      </c>
      <c r="T620" s="119">
        <v>45.52</v>
      </c>
      <c r="U620" s="117" t="s">
        <v>982</v>
      </c>
      <c r="V620" s="117" t="s">
        <v>1074</v>
      </c>
      <c r="W620" s="89">
        <f>N620*T620</f>
        <v>46384880</v>
      </c>
      <c r="X620" s="117"/>
      <c r="Y620" s="117"/>
      <c r="Z620" s="117"/>
      <c r="AA620" s="89">
        <v>1714618.2020328811</v>
      </c>
      <c r="AB620" s="89"/>
      <c r="AC620" s="240"/>
      <c r="AD620" s="240"/>
      <c r="AE620" s="240"/>
      <c r="AF620" s="241">
        <f t="shared" si="109"/>
        <v>3.6965023991285116E-2</v>
      </c>
      <c r="AG620" s="117"/>
      <c r="AH620" s="124"/>
      <c r="AI620" s="117"/>
      <c r="AJ620" s="117"/>
      <c r="AK620" s="89"/>
      <c r="AL620" s="117"/>
      <c r="AM620" s="117"/>
      <c r="AN620" s="117"/>
      <c r="AO620" s="117"/>
      <c r="AP620" s="117"/>
      <c r="AQ620" s="117"/>
      <c r="AR620" s="117"/>
      <c r="AS620" s="117"/>
      <c r="AT620" s="117"/>
      <c r="AU620" s="117"/>
      <c r="AV620" s="128" t="s">
        <v>1273</v>
      </c>
      <c r="AW620" s="117">
        <f>VLOOKUP($D620,'WB Data'!$C$3:$M$578,2,FALSE)</f>
        <v>4134173271.0208378</v>
      </c>
      <c r="AX620" s="117">
        <f>VLOOKUP($D620,'WB Data'!$C$3:$M$578,3,FALSE)</f>
        <v>10046967</v>
      </c>
      <c r="AY620" s="847" t="str">
        <f t="shared" si="102"/>
        <v>..</v>
      </c>
      <c r="AZ620" s="117" t="e">
        <f>VLOOKUP($D620,'WB Data'!$C$3:$M$578,4,FALSE)/100</f>
        <v>#VALUE!</v>
      </c>
      <c r="BA620" s="117" t="str">
        <f t="shared" si="103"/>
        <v>..</v>
      </c>
      <c r="BB620" s="129" t="str">
        <f>IFERROR(VLOOKUP($D620,'EITI Revenues'!$C$2:$G$224,5,FALSE),"..")</f>
        <v>..</v>
      </c>
      <c r="BC620" s="846" t="str">
        <f t="shared" si="104"/>
        <v>..</v>
      </c>
      <c r="BD620" s="129">
        <f>VLOOKUP($D620,'WB Data 2'!$C$2:$K$545,6,FALSE)</f>
        <v>1001761326.8857646</v>
      </c>
      <c r="BE620" s="129" t="str">
        <f>IFERROR(VLOOKUP($D620,UNCTAD!$C$5:$V$529,4,FALSE),"..")</f>
        <v>..</v>
      </c>
      <c r="BF620" s="846" t="str">
        <f t="shared" si="105"/>
        <v>..</v>
      </c>
      <c r="BG620" s="117">
        <f>VLOOKUP($D620,'WB Data'!$C$3:$M$578,5,FALSE)</f>
        <v>228020000</v>
      </c>
      <c r="BH620" s="129" t="str">
        <f>IFERROR($BB620/$BG620,"..")</f>
        <v>..</v>
      </c>
      <c r="BI620" s="117" t="str">
        <f>IFERROR(VLOOKUP($D620,'WB Data'!$C$3:$M$578,7,FALSE)/100,"..")</f>
        <v>..</v>
      </c>
      <c r="BJ620" s="117" t="str">
        <f>IFERROR($BI620*$AW620,"..")</f>
        <v>..</v>
      </c>
      <c r="BK620" s="846" t="str">
        <f>IFERROR($BB620/$BJ620,"..")</f>
        <v>..</v>
      </c>
      <c r="BL620" s="117" t="str">
        <f>IFERROR(VLOOKUP($D620,'WB Data'!$C$3:$M$578,7,FALSE)/100,"..")</f>
        <v>..</v>
      </c>
      <c r="BM620" s="117" t="str">
        <f>IFERROR($AW620*$BL620,"..")</f>
        <v>..</v>
      </c>
      <c r="BN620" s="846" t="str">
        <f>IFERROR($BB620/$BM620,"..")</f>
        <v>..</v>
      </c>
      <c r="BO620" s="801">
        <f t="shared" si="101"/>
        <v>25</v>
      </c>
      <c r="BP620" s="117">
        <f>VLOOKUP($D620,'WB Data'!$C$3:$M$578,9,FALSE)</f>
        <v>53</v>
      </c>
      <c r="BQ620" s="117">
        <f>VLOOKUP($D620,'WB Data'!$C$3:$M$578,10,FALSE)</f>
        <v>53.943707317073176</v>
      </c>
      <c r="BR620" s="117">
        <f>VLOOKUP($D620,'WB Data'!$C$3:$M$578,11,FALSE)</f>
        <v>79.2</v>
      </c>
      <c r="BS620" s="129">
        <f>IFERROR(VLOOKUP($D620,'WB Data 2'!$C$2:$K$545,9,FALSE),"..")</f>
        <v>69.569850000000002</v>
      </c>
      <c r="BT620" s="129" t="str">
        <f>_xlfn.IFNA(VLOOKUP($C620,RGI!$A$2:$C$43,2,FALSE),"..")</f>
        <v>..</v>
      </c>
      <c r="BU620" s="129" t="str">
        <f>_xlfn.IFNA(VLOOKUP($C620,RGI!$A$2:$C$43,3,FALSE),"..")</f>
        <v>..</v>
      </c>
      <c r="BV620" s="129">
        <f>VLOOKUP($D620,WGI!$C$2:$O$478,7,FALSE)</f>
        <v>-1.3940699673871599</v>
      </c>
      <c r="BW620" s="129">
        <f>VLOOKUP($D620,WGI!$C$2:$O$478,4,FALSE)</f>
        <v>-2.3745976319275601</v>
      </c>
      <c r="BX620" s="129">
        <f>VLOOKUP($D620,WGI!$C$2:$O$478,3,FALSE)</f>
        <v>-1.2737924445228099</v>
      </c>
      <c r="BY620" s="129">
        <f>VLOOKUP($D620,WGI!$C$2:$O$478,5,FALSE)</f>
        <v>-1.22048195172369</v>
      </c>
      <c r="BZ620" s="129">
        <f>VLOOKUP($D620,WGI!$C$2:$O$478,2,FALSE)</f>
        <v>-1.24141249382111</v>
      </c>
    </row>
    <row r="621" spans="1:80" ht="15" customHeight="1">
      <c r="A621" s="294" t="s">
        <v>230</v>
      </c>
      <c r="B621" s="214">
        <v>2007</v>
      </c>
      <c r="C621" s="117" t="s">
        <v>3089</v>
      </c>
      <c r="D621" s="117" t="s">
        <v>3563</v>
      </c>
      <c r="E621" s="452" t="s">
        <v>86</v>
      </c>
      <c r="F621" s="117"/>
      <c r="G621" s="117" t="s">
        <v>24</v>
      </c>
      <c r="H621" s="117" t="str">
        <f t="shared" si="96"/>
        <v>yes</v>
      </c>
      <c r="I621" s="117" t="str">
        <f t="shared" si="97"/>
        <v>no</v>
      </c>
      <c r="J621" s="117" t="str">
        <f t="shared" si="98"/>
        <v>no</v>
      </c>
      <c r="K621" s="117" t="s">
        <v>784</v>
      </c>
      <c r="L621" s="117" t="str">
        <f t="shared" si="106"/>
        <v>detailed</v>
      </c>
      <c r="M621" s="117" t="str">
        <f t="shared" si="99"/>
        <v>detailed Mining</v>
      </c>
      <c r="N621" s="179">
        <f>15628*32.150743126506</f>
        <v>502451.81358103576</v>
      </c>
      <c r="O621" s="179"/>
      <c r="P621" s="179"/>
      <c r="Q621" s="179"/>
      <c r="R621" s="179"/>
      <c r="S621" s="117" t="s">
        <v>785</v>
      </c>
      <c r="T621" s="119">
        <f>696.72025*1.0595</f>
        <v>738.17510487499999</v>
      </c>
      <c r="U621" s="117" t="s">
        <v>786</v>
      </c>
      <c r="V621" s="117" t="s">
        <v>1274</v>
      </c>
      <c r="W621" s="89">
        <f>N621*T621</f>
        <v>370897420.18481499</v>
      </c>
      <c r="X621" s="117"/>
      <c r="Y621" s="117"/>
      <c r="Z621" s="117"/>
      <c r="AA621" s="89">
        <v>28643742.076863106</v>
      </c>
      <c r="AB621" s="89">
        <v>27693368.02232933</v>
      </c>
      <c r="AC621" s="240"/>
      <c r="AD621" s="240"/>
      <c r="AE621" s="240"/>
      <c r="AF621" s="241">
        <f t="shared" si="109"/>
        <v>7.7228205207224621E-2</v>
      </c>
      <c r="AG621" s="117"/>
      <c r="AH621" s="124"/>
      <c r="AI621" s="117"/>
      <c r="AJ621" s="117"/>
      <c r="AK621" s="89"/>
      <c r="AL621" s="117"/>
      <c r="AM621" s="117"/>
      <c r="AN621" s="117"/>
      <c r="AO621" s="117"/>
      <c r="AP621" s="117"/>
      <c r="AQ621" s="117"/>
      <c r="AR621" s="117"/>
      <c r="AS621" s="117"/>
      <c r="AT621" s="117"/>
      <c r="AU621" s="117"/>
      <c r="AV621" s="128" t="s">
        <v>1275</v>
      </c>
      <c r="AW621" s="117">
        <f>VLOOKUP($D621,'WB Data'!$C$3:$M$578,2,FALSE)</f>
        <v>4134173271.0208378</v>
      </c>
      <c r="AX621" s="117">
        <f>VLOOKUP($D621,'WB Data'!$C$3:$M$578,3,FALSE)</f>
        <v>10046967</v>
      </c>
      <c r="AY621" s="847" t="str">
        <f t="shared" si="102"/>
        <v>..</v>
      </c>
      <c r="AZ621" s="117" t="e">
        <f>VLOOKUP($D621,'WB Data'!$C$3:$M$578,4,FALSE)/100</f>
        <v>#VALUE!</v>
      </c>
      <c r="BA621" s="117" t="str">
        <f t="shared" si="103"/>
        <v>..</v>
      </c>
      <c r="BB621" s="129" t="str">
        <f>IFERROR(VLOOKUP($D621,'EITI Revenues'!$C$2:$G$224,5,FALSE),"..")</f>
        <v>..</v>
      </c>
      <c r="BC621" s="846" t="str">
        <f t="shared" si="104"/>
        <v>..</v>
      </c>
      <c r="BD621" s="129">
        <f>VLOOKUP($D621,'WB Data 2'!$C$2:$K$545,6,FALSE)</f>
        <v>1001761326.8857646</v>
      </c>
      <c r="BE621" s="129" t="str">
        <f>IFERROR(VLOOKUP($D621,UNCTAD!$C$5:$V$529,4,FALSE),"..")</f>
        <v>..</v>
      </c>
      <c r="BF621" s="846" t="str">
        <f t="shared" si="105"/>
        <v>..</v>
      </c>
      <c r="BG621" s="117">
        <f>VLOOKUP($D621,'WB Data'!$C$3:$M$578,5,FALSE)</f>
        <v>228020000</v>
      </c>
      <c r="BH621" s="129" t="str">
        <f>IFERROR($BB621/$BG621,"..")</f>
        <v>..</v>
      </c>
      <c r="BI621" s="117" t="str">
        <f>IFERROR(VLOOKUP($D621,'WB Data'!$C$3:$M$578,7,FALSE)/100,"..")</f>
        <v>..</v>
      </c>
      <c r="BJ621" s="117" t="str">
        <f>IFERROR($BI621*$AW621,"..")</f>
        <v>..</v>
      </c>
      <c r="BK621" s="846" t="str">
        <f>IFERROR($BB621/$BJ621,"..")</f>
        <v>..</v>
      </c>
      <c r="BL621" s="117" t="str">
        <f>IFERROR(VLOOKUP($D621,'WB Data'!$C$3:$M$578,7,FALSE)/100,"..")</f>
        <v>..</v>
      </c>
      <c r="BM621" s="117" t="str">
        <f>IFERROR($AW621*$BL621,"..")</f>
        <v>..</v>
      </c>
      <c r="BN621" s="846" t="str">
        <f>IFERROR($BB621/$BM621,"..")</f>
        <v>..</v>
      </c>
      <c r="BO621" s="801">
        <f t="shared" si="101"/>
        <v>25</v>
      </c>
      <c r="BP621" s="117">
        <f>VLOOKUP($D621,'WB Data'!$C$3:$M$578,9,FALSE)</f>
        <v>53</v>
      </c>
      <c r="BQ621" s="117">
        <f>VLOOKUP($D621,'WB Data'!$C$3:$M$578,10,FALSE)</f>
        <v>53.943707317073176</v>
      </c>
      <c r="BR621" s="117">
        <f>VLOOKUP($D621,'WB Data'!$C$3:$M$578,11,FALSE)</f>
        <v>79.2</v>
      </c>
      <c r="BS621" s="129">
        <f>IFERROR(VLOOKUP($D621,'WB Data 2'!$C$2:$K$545,9,FALSE),"..")</f>
        <v>69.569850000000002</v>
      </c>
      <c r="BT621" s="129" t="str">
        <f>_xlfn.IFNA(VLOOKUP($C621,RGI!$A$2:$C$43,2,FALSE),"..")</f>
        <v>..</v>
      </c>
      <c r="BU621" s="129" t="str">
        <f>_xlfn.IFNA(VLOOKUP($C621,RGI!$A$2:$C$43,3,FALSE),"..")</f>
        <v>..</v>
      </c>
      <c r="BV621" s="129">
        <f>VLOOKUP($D621,WGI!$C$2:$O$478,7,FALSE)</f>
        <v>-1.3940699673871599</v>
      </c>
      <c r="BW621" s="129">
        <f>VLOOKUP($D621,WGI!$C$2:$O$478,4,FALSE)</f>
        <v>-2.3745976319275601</v>
      </c>
      <c r="BX621" s="129">
        <f>VLOOKUP($D621,WGI!$C$2:$O$478,3,FALSE)</f>
        <v>-1.2737924445228099</v>
      </c>
      <c r="BY621" s="129">
        <f>VLOOKUP($D621,WGI!$C$2:$O$478,5,FALSE)</f>
        <v>-1.22048195172369</v>
      </c>
      <c r="BZ621" s="129">
        <f>VLOOKUP($D621,WGI!$C$2:$O$478,2,FALSE)</f>
        <v>-1.24141249382111</v>
      </c>
    </row>
    <row r="622" spans="1:80" s="144" customFormat="1" ht="15" customHeight="1">
      <c r="A622" s="296" t="s">
        <v>232</v>
      </c>
      <c r="B622" s="228">
        <v>2008</v>
      </c>
      <c r="C622" s="117" t="s">
        <v>3089</v>
      </c>
      <c r="D622" s="117" t="s">
        <v>3597</v>
      </c>
      <c r="E622" s="450" t="s">
        <v>86</v>
      </c>
      <c r="F622" s="132" t="s">
        <v>1254</v>
      </c>
      <c r="G622" s="132" t="s">
        <v>24</v>
      </c>
      <c r="H622" s="117" t="str">
        <f t="shared" si="96"/>
        <v>yes</v>
      </c>
      <c r="I622" s="117" t="str">
        <f t="shared" si="97"/>
        <v>no</v>
      </c>
      <c r="J622" s="117" t="str">
        <f t="shared" si="98"/>
        <v>no</v>
      </c>
      <c r="K622" s="132" t="s">
        <v>709</v>
      </c>
      <c r="L622" s="117" t="str">
        <f t="shared" si="106"/>
        <v>Total</v>
      </c>
      <c r="M622" s="117" t="str">
        <f t="shared" si="99"/>
        <v>Total Mining</v>
      </c>
      <c r="N622" s="238"/>
      <c r="O622" s="238"/>
      <c r="P622" s="238"/>
      <c r="Q622" s="238"/>
      <c r="R622" s="238"/>
      <c r="S622" s="132"/>
      <c r="T622" s="134"/>
      <c r="U622" s="132"/>
      <c r="V622" s="132"/>
      <c r="W622" s="135">
        <f>SUM(W623:W625)</f>
        <v>1009984285.0424124</v>
      </c>
      <c r="X622" s="132" t="s">
        <v>998</v>
      </c>
      <c r="Y622" s="132" t="s">
        <v>602</v>
      </c>
      <c r="Z622" s="132"/>
      <c r="AA622" s="135">
        <v>211216758.63145587</v>
      </c>
      <c r="AB622" s="454">
        <v>212638919.54098818</v>
      </c>
      <c r="AC622" s="138"/>
      <c r="AD622" s="138"/>
      <c r="AE622" s="138"/>
      <c r="AF622" s="123">
        <f t="shared" si="109"/>
        <v>0.20912875750595092</v>
      </c>
      <c r="AG622" s="132" t="s">
        <v>1262</v>
      </c>
      <c r="AH622" s="140">
        <v>4592.91</v>
      </c>
      <c r="AI622" s="132" t="s">
        <v>722</v>
      </c>
      <c r="AJ622" s="132"/>
      <c r="AK622" s="135"/>
      <c r="AL622" s="132"/>
      <c r="AM622" s="132"/>
      <c r="AN622" s="132">
        <v>6</v>
      </c>
      <c r="AO622" s="132" t="s">
        <v>1268</v>
      </c>
      <c r="AP622" s="132">
        <v>4</v>
      </c>
      <c r="AQ622" s="132" t="s">
        <v>23</v>
      </c>
      <c r="AR622" s="141">
        <v>41952</v>
      </c>
      <c r="AS622" s="132" t="s">
        <v>838</v>
      </c>
      <c r="AT622" s="142" t="s">
        <v>233</v>
      </c>
      <c r="AU622" s="132" t="s">
        <v>1269</v>
      </c>
      <c r="AV622" s="143" t="s">
        <v>1276</v>
      </c>
      <c r="AW622" s="117">
        <f>VLOOKUP($D622,'WB Data'!$C$3:$M$578,2,FALSE)</f>
        <v>4515824643.3504658</v>
      </c>
      <c r="AX622" s="117">
        <f>VLOOKUP($D622,'WB Data'!$C$3:$M$578,3,FALSE)</f>
        <v>10314678</v>
      </c>
      <c r="AY622" s="847" t="str">
        <f t="shared" si="102"/>
        <v>..</v>
      </c>
      <c r="AZ622" s="117" t="e">
        <f>VLOOKUP($D622,'WB Data'!$C$3:$M$578,4,FALSE)/100</f>
        <v>#VALUE!</v>
      </c>
      <c r="BA622" s="117" t="str">
        <f t="shared" si="103"/>
        <v>..</v>
      </c>
      <c r="BB622" s="129" t="str">
        <f>IFERROR(VLOOKUP($D622,'EITI Revenues'!$C$2:$G$224,5,FALSE),"..")</f>
        <v>..</v>
      </c>
      <c r="BC622" s="846" t="str">
        <f t="shared" si="104"/>
        <v>..</v>
      </c>
      <c r="BD622" s="129">
        <f>VLOOKUP($D622,'WB Data 2'!$C$2:$K$545,6,FALSE)</f>
        <v>814878503.4157654</v>
      </c>
      <c r="BE622" s="129" t="str">
        <f>IFERROR(VLOOKUP($D622,UNCTAD!$C$5:$V$529,4,FALSE),"..")</f>
        <v>..</v>
      </c>
      <c r="BF622" s="846" t="str">
        <f t="shared" si="105"/>
        <v>..</v>
      </c>
      <c r="BG622" s="117">
        <f>VLOOKUP($D622,'WB Data'!$C$3:$M$578,5,FALSE)</f>
        <v>328300000</v>
      </c>
      <c r="BH622" s="129" t="str">
        <f>IFERROR($BB622/$BG622,"..")</f>
        <v>..</v>
      </c>
      <c r="BI622" s="117">
        <f>IFERROR(VLOOKUP($D622,'WB Data'!$C$3:$M$578,7,FALSE)/100,"..")</f>
        <v>2.4383699999999998E-2</v>
      </c>
      <c r="BJ622" s="117">
        <f>IFERROR($BI622*$AW622,"..")</f>
        <v>110112513.35606474</v>
      </c>
      <c r="BK622" s="846" t="str">
        <f>IFERROR($BB622/$BJ622,"..")</f>
        <v>..</v>
      </c>
      <c r="BL622" s="117">
        <f>IFERROR(VLOOKUP($D622,'WB Data'!$C$3:$M$578,7,FALSE)/100,"..")</f>
        <v>2.4383699999999998E-2</v>
      </c>
      <c r="BM622" s="117">
        <f>IFERROR($AW622*$BL622,"..")</f>
        <v>110112513.35606474</v>
      </c>
      <c r="BN622" s="846" t="str">
        <f>IFERROR($BB622/$BM622,"..")</f>
        <v>..</v>
      </c>
      <c r="BO622" s="801">
        <f t="shared" si="101"/>
        <v>25</v>
      </c>
      <c r="BP622" s="117" t="str">
        <f>VLOOKUP($D622,'WB Data'!$C$3:$M$578,9,FALSE)</f>
        <v>..</v>
      </c>
      <c r="BQ622" s="117">
        <f>VLOOKUP($D622,'WB Data'!$C$3:$M$578,10,FALSE)</f>
        <v>54.478439024390248</v>
      </c>
      <c r="BR622" s="117">
        <f>VLOOKUP($D622,'WB Data'!$C$3:$M$578,11,FALSE)</f>
        <v>76.5</v>
      </c>
      <c r="BS622" s="129">
        <f>IFERROR(VLOOKUP($D622,'WB Data 2'!$C$2:$K$545,9,FALSE),"..")</f>
        <v>68.499020000000002</v>
      </c>
      <c r="BT622" s="129" t="str">
        <f>_xlfn.IFNA(VLOOKUP($C622,RGI!$A$2:$C$43,2,FALSE),"..")</f>
        <v>..</v>
      </c>
      <c r="BU622" s="129" t="str">
        <f>_xlfn.IFNA(VLOOKUP($C622,RGI!$A$2:$C$43,3,FALSE),"..")</f>
        <v>..</v>
      </c>
      <c r="BV622" s="129">
        <f>VLOOKUP($D622,WGI!$C$2:$O$478,7,FALSE)</f>
        <v>-1.45444152579007</v>
      </c>
      <c r="BW622" s="129">
        <f>VLOOKUP($D622,WGI!$C$2:$O$478,4,FALSE)</f>
        <v>-2.1012814272521498</v>
      </c>
      <c r="BX622" s="129">
        <f>VLOOKUP($D622,WGI!$C$2:$O$478,3,FALSE)</f>
        <v>-1.1727732588072399</v>
      </c>
      <c r="BY622" s="129">
        <f>VLOOKUP($D622,WGI!$C$2:$O$478,5,FALSE)</f>
        <v>-1.20012711566076</v>
      </c>
      <c r="BZ622" s="129">
        <f>VLOOKUP($D622,WGI!$C$2:$O$478,2,FALSE)</f>
        <v>-1.1548914255032601</v>
      </c>
      <c r="CB622" s="129"/>
    </row>
    <row r="623" spans="1:80" s="120" customFormat="1" ht="15" customHeight="1">
      <c r="A623" s="294" t="s">
        <v>232</v>
      </c>
      <c r="B623" s="214">
        <v>2008</v>
      </c>
      <c r="C623" s="117" t="s">
        <v>3089</v>
      </c>
      <c r="D623" s="117" t="s">
        <v>3597</v>
      </c>
      <c r="E623" s="452" t="s">
        <v>86</v>
      </c>
      <c r="F623" s="117"/>
      <c r="G623" s="117" t="s">
        <v>24</v>
      </c>
      <c r="H623" s="117" t="str">
        <f t="shared" si="96"/>
        <v>yes</v>
      </c>
      <c r="I623" s="117" t="str">
        <f t="shared" si="97"/>
        <v>no</v>
      </c>
      <c r="J623" s="117" t="str">
        <f t="shared" si="98"/>
        <v>no</v>
      </c>
      <c r="K623" s="117" t="s">
        <v>1138</v>
      </c>
      <c r="L623" s="117" t="str">
        <f t="shared" si="106"/>
        <v>detailed</v>
      </c>
      <c r="M623" s="117" t="str">
        <f t="shared" si="99"/>
        <v>detailed Mining</v>
      </c>
      <c r="N623" s="179">
        <v>16000000</v>
      </c>
      <c r="O623" s="179"/>
      <c r="P623" s="179"/>
      <c r="Q623" s="179"/>
      <c r="R623" s="179"/>
      <c r="S623" s="117" t="s">
        <v>610</v>
      </c>
      <c r="T623" s="119">
        <f>26.43*0.8609</f>
        <v>22.753587</v>
      </c>
      <c r="U623" s="117" t="s">
        <v>611</v>
      </c>
      <c r="V623" s="117" t="s">
        <v>1277</v>
      </c>
      <c r="W623" s="89">
        <f>N623*T623</f>
        <v>364057392</v>
      </c>
      <c r="X623" s="117"/>
      <c r="Y623" s="117"/>
      <c r="Z623" s="117"/>
      <c r="AA623" s="89">
        <v>174069661.24004173</v>
      </c>
      <c r="AB623" s="89">
        <v>173689113.73486528</v>
      </c>
      <c r="AC623" s="240"/>
      <c r="AD623" s="240"/>
      <c r="AE623" s="240"/>
      <c r="AF623" s="241">
        <f t="shared" si="109"/>
        <v>0.47813796688419319</v>
      </c>
      <c r="AG623" s="117"/>
      <c r="AH623" s="124"/>
      <c r="AI623" s="117"/>
      <c r="AJ623" s="117"/>
      <c r="AK623" s="89"/>
      <c r="AL623" s="117"/>
      <c r="AM623" s="117"/>
      <c r="AN623" s="117"/>
      <c r="AO623" s="117"/>
      <c r="AP623" s="117"/>
      <c r="AQ623" s="117"/>
      <c r="AR623" s="117"/>
      <c r="AS623" s="117"/>
      <c r="AT623" s="117"/>
      <c r="AU623" s="117"/>
      <c r="AV623" s="128" t="s">
        <v>1272</v>
      </c>
      <c r="AW623" s="117">
        <f>VLOOKUP($D623,'WB Data'!$C$3:$M$578,2,FALSE)</f>
        <v>4515824643.3504658</v>
      </c>
      <c r="AX623" s="117">
        <f>VLOOKUP($D623,'WB Data'!$C$3:$M$578,3,FALSE)</f>
        <v>10314678</v>
      </c>
      <c r="AY623" s="847" t="str">
        <f t="shared" si="102"/>
        <v>..</v>
      </c>
      <c r="AZ623" s="117" t="e">
        <f>VLOOKUP($D623,'WB Data'!$C$3:$M$578,4,FALSE)/100</f>
        <v>#VALUE!</v>
      </c>
      <c r="BA623" s="117" t="str">
        <f t="shared" si="103"/>
        <v>..</v>
      </c>
      <c r="BB623" s="129" t="str">
        <f>IFERROR(VLOOKUP($D623,'EITI Revenues'!$C$2:$G$224,5,FALSE),"..")</f>
        <v>..</v>
      </c>
      <c r="BC623" s="846" t="str">
        <f t="shared" si="104"/>
        <v>..</v>
      </c>
      <c r="BD623" s="129">
        <f>VLOOKUP($D623,'WB Data 2'!$C$2:$K$545,6,FALSE)</f>
        <v>814878503.4157654</v>
      </c>
      <c r="BE623" s="129" t="str">
        <f>IFERROR(VLOOKUP($D623,UNCTAD!$C$5:$V$529,4,FALSE),"..")</f>
        <v>..</v>
      </c>
      <c r="BF623" s="846" t="str">
        <f t="shared" si="105"/>
        <v>..</v>
      </c>
      <c r="BG623" s="117">
        <f>VLOOKUP($D623,'WB Data'!$C$3:$M$578,5,FALSE)</f>
        <v>328300000</v>
      </c>
      <c r="BH623" s="129" t="str">
        <f>IFERROR($BB623/$BG623,"..")</f>
        <v>..</v>
      </c>
      <c r="BI623" s="117">
        <f>IFERROR(VLOOKUP($D623,'WB Data'!$C$3:$M$578,7,FALSE)/100,"..")</f>
        <v>2.4383699999999998E-2</v>
      </c>
      <c r="BJ623" s="117">
        <f>IFERROR($BI623*$AW623,"..")</f>
        <v>110112513.35606474</v>
      </c>
      <c r="BK623" s="846" t="str">
        <f>IFERROR($BB623/$BJ623,"..")</f>
        <v>..</v>
      </c>
      <c r="BL623" s="117">
        <f>IFERROR(VLOOKUP($D623,'WB Data'!$C$3:$M$578,7,FALSE)/100,"..")</f>
        <v>2.4383699999999998E-2</v>
      </c>
      <c r="BM623" s="117">
        <f>IFERROR($AW623*$BL623,"..")</f>
        <v>110112513.35606474</v>
      </c>
      <c r="BN623" s="846" t="str">
        <f>IFERROR($BB623/$BM623,"..")</f>
        <v>..</v>
      </c>
      <c r="BO623" s="801">
        <f t="shared" si="101"/>
        <v>25</v>
      </c>
      <c r="BP623" s="117" t="str">
        <f>VLOOKUP($D623,'WB Data'!$C$3:$M$578,9,FALSE)</f>
        <v>..</v>
      </c>
      <c r="BQ623" s="117">
        <f>VLOOKUP($D623,'WB Data'!$C$3:$M$578,10,FALSE)</f>
        <v>54.478439024390248</v>
      </c>
      <c r="BR623" s="117">
        <f>VLOOKUP($D623,'WB Data'!$C$3:$M$578,11,FALSE)</f>
        <v>76.5</v>
      </c>
      <c r="BS623" s="129">
        <f>IFERROR(VLOOKUP($D623,'WB Data 2'!$C$2:$K$545,9,FALSE),"..")</f>
        <v>68.499020000000002</v>
      </c>
      <c r="BT623" s="129" t="str">
        <f>_xlfn.IFNA(VLOOKUP($C623,RGI!$A$2:$C$43,2,FALSE),"..")</f>
        <v>..</v>
      </c>
      <c r="BU623" s="129" t="str">
        <f>_xlfn.IFNA(VLOOKUP($C623,RGI!$A$2:$C$43,3,FALSE),"..")</f>
        <v>..</v>
      </c>
      <c r="BV623" s="129">
        <f>VLOOKUP($D623,WGI!$C$2:$O$478,7,FALSE)</f>
        <v>-1.45444152579007</v>
      </c>
      <c r="BW623" s="129">
        <f>VLOOKUP($D623,WGI!$C$2:$O$478,4,FALSE)</f>
        <v>-2.1012814272521498</v>
      </c>
      <c r="BX623" s="129">
        <f>VLOOKUP($D623,WGI!$C$2:$O$478,3,FALSE)</f>
        <v>-1.1727732588072399</v>
      </c>
      <c r="BY623" s="129">
        <f>VLOOKUP($D623,WGI!$C$2:$O$478,5,FALSE)</f>
        <v>-1.20012711566076</v>
      </c>
      <c r="BZ623" s="129">
        <f>VLOOKUP($D623,WGI!$C$2:$O$478,2,FALSE)</f>
        <v>-1.1548914255032601</v>
      </c>
      <c r="CB623" s="129"/>
    </row>
    <row r="624" spans="1:80" s="120" customFormat="1" ht="15" customHeight="1">
      <c r="A624" s="294" t="s">
        <v>232</v>
      </c>
      <c r="B624" s="214">
        <v>2008</v>
      </c>
      <c r="C624" s="117" t="s">
        <v>3089</v>
      </c>
      <c r="D624" s="117" t="s">
        <v>3597</v>
      </c>
      <c r="E624" s="452" t="s">
        <v>86</v>
      </c>
      <c r="F624" s="117"/>
      <c r="G624" s="117" t="s">
        <v>24</v>
      </c>
      <c r="H624" s="117" t="str">
        <f t="shared" si="96"/>
        <v>yes</v>
      </c>
      <c r="I624" s="117" t="str">
        <f t="shared" si="97"/>
        <v>no</v>
      </c>
      <c r="J624" s="117" t="str">
        <f t="shared" si="98"/>
        <v>no</v>
      </c>
      <c r="K624" s="117" t="s">
        <v>980</v>
      </c>
      <c r="L624" s="117" t="str">
        <f t="shared" si="106"/>
        <v>detailed</v>
      </c>
      <c r="M624" s="117" t="str">
        <f t="shared" si="99"/>
        <v>detailed Mining</v>
      </c>
      <c r="N624" s="179">
        <v>3098000</v>
      </c>
      <c r="O624" s="179"/>
      <c r="P624" s="179"/>
      <c r="Q624" s="179"/>
      <c r="R624" s="179"/>
      <c r="S624" s="117" t="s">
        <v>981</v>
      </c>
      <c r="T624" s="119">
        <v>17.329999999999998</v>
      </c>
      <c r="U624" s="117" t="s">
        <v>982</v>
      </c>
      <c r="V624" s="117" t="s">
        <v>1171</v>
      </c>
      <c r="W624" s="89">
        <f>N624*T624</f>
        <v>53688339.999999993</v>
      </c>
      <c r="X624" s="117"/>
      <c r="Y624" s="117"/>
      <c r="Z624" s="117"/>
      <c r="AA624" s="89">
        <v>2172705.8535873774</v>
      </c>
      <c r="AB624" s="89"/>
      <c r="AC624" s="240"/>
      <c r="AD624" s="240"/>
      <c r="AE624" s="240"/>
      <c r="AF624" s="241">
        <f t="shared" si="109"/>
        <v>4.0468858854406334E-2</v>
      </c>
      <c r="AG624" s="117"/>
      <c r="AH624" s="124"/>
      <c r="AI624" s="117"/>
      <c r="AJ624" s="117"/>
      <c r="AK624" s="89"/>
      <c r="AL624" s="117"/>
      <c r="AM624" s="117"/>
      <c r="AN624" s="117"/>
      <c r="AO624" s="117"/>
      <c r="AP624" s="117"/>
      <c r="AQ624" s="117"/>
      <c r="AR624" s="117"/>
      <c r="AS624" s="117"/>
      <c r="AT624" s="117"/>
      <c r="AU624" s="117"/>
      <c r="AV624" s="128" t="s">
        <v>1273</v>
      </c>
      <c r="AW624" s="117">
        <f>VLOOKUP($D624,'WB Data'!$C$3:$M$578,2,FALSE)</f>
        <v>4515824643.3504658</v>
      </c>
      <c r="AX624" s="117">
        <f>VLOOKUP($D624,'WB Data'!$C$3:$M$578,3,FALSE)</f>
        <v>10314678</v>
      </c>
      <c r="AY624" s="847" t="str">
        <f t="shared" si="102"/>
        <v>..</v>
      </c>
      <c r="AZ624" s="117" t="e">
        <f>VLOOKUP($D624,'WB Data'!$C$3:$M$578,4,FALSE)/100</f>
        <v>#VALUE!</v>
      </c>
      <c r="BA624" s="117" t="str">
        <f t="shared" si="103"/>
        <v>..</v>
      </c>
      <c r="BB624" s="129" t="str">
        <f>IFERROR(VLOOKUP($D624,'EITI Revenues'!$C$2:$G$224,5,FALSE),"..")</f>
        <v>..</v>
      </c>
      <c r="BC624" s="846" t="str">
        <f t="shared" si="104"/>
        <v>..</v>
      </c>
      <c r="BD624" s="129">
        <f>VLOOKUP($D624,'WB Data 2'!$C$2:$K$545,6,FALSE)</f>
        <v>814878503.4157654</v>
      </c>
      <c r="BE624" s="129" t="str">
        <f>IFERROR(VLOOKUP($D624,UNCTAD!$C$5:$V$529,4,FALSE),"..")</f>
        <v>..</v>
      </c>
      <c r="BF624" s="846" t="str">
        <f t="shared" si="105"/>
        <v>..</v>
      </c>
      <c r="BG624" s="117">
        <f>VLOOKUP($D624,'WB Data'!$C$3:$M$578,5,FALSE)</f>
        <v>328300000</v>
      </c>
      <c r="BH624" s="129" t="str">
        <f>IFERROR($BB624/$BG624,"..")</f>
        <v>..</v>
      </c>
      <c r="BI624" s="117">
        <f>IFERROR(VLOOKUP($D624,'WB Data'!$C$3:$M$578,7,FALSE)/100,"..")</f>
        <v>2.4383699999999998E-2</v>
      </c>
      <c r="BJ624" s="117">
        <f>IFERROR($BI624*$AW624,"..")</f>
        <v>110112513.35606474</v>
      </c>
      <c r="BK624" s="846" t="str">
        <f>IFERROR($BB624/$BJ624,"..")</f>
        <v>..</v>
      </c>
      <c r="BL624" s="117">
        <f>IFERROR(VLOOKUP($D624,'WB Data'!$C$3:$M$578,7,FALSE)/100,"..")</f>
        <v>2.4383699999999998E-2</v>
      </c>
      <c r="BM624" s="117">
        <f>IFERROR($AW624*$BL624,"..")</f>
        <v>110112513.35606474</v>
      </c>
      <c r="BN624" s="846" t="str">
        <f>IFERROR($BB624/$BM624,"..")</f>
        <v>..</v>
      </c>
      <c r="BO624" s="801">
        <f t="shared" si="101"/>
        <v>25</v>
      </c>
      <c r="BP624" s="117" t="str">
        <f>VLOOKUP($D624,'WB Data'!$C$3:$M$578,9,FALSE)</f>
        <v>..</v>
      </c>
      <c r="BQ624" s="117">
        <f>VLOOKUP($D624,'WB Data'!$C$3:$M$578,10,FALSE)</f>
        <v>54.478439024390248</v>
      </c>
      <c r="BR624" s="117">
        <f>VLOOKUP($D624,'WB Data'!$C$3:$M$578,11,FALSE)</f>
        <v>76.5</v>
      </c>
      <c r="BS624" s="129">
        <f>IFERROR(VLOOKUP($D624,'WB Data 2'!$C$2:$K$545,9,FALSE),"..")</f>
        <v>68.499020000000002</v>
      </c>
      <c r="BT624" s="129" t="str">
        <f>_xlfn.IFNA(VLOOKUP($C624,RGI!$A$2:$C$43,2,FALSE),"..")</f>
        <v>..</v>
      </c>
      <c r="BU624" s="129" t="str">
        <f>_xlfn.IFNA(VLOOKUP($C624,RGI!$A$2:$C$43,3,FALSE),"..")</f>
        <v>..</v>
      </c>
      <c r="BV624" s="129">
        <f>VLOOKUP($D624,WGI!$C$2:$O$478,7,FALSE)</f>
        <v>-1.45444152579007</v>
      </c>
      <c r="BW624" s="129">
        <f>VLOOKUP($D624,WGI!$C$2:$O$478,4,FALSE)</f>
        <v>-2.1012814272521498</v>
      </c>
      <c r="BX624" s="129">
        <f>VLOOKUP($D624,WGI!$C$2:$O$478,3,FALSE)</f>
        <v>-1.1727732588072399</v>
      </c>
      <c r="BY624" s="129">
        <f>VLOOKUP($D624,WGI!$C$2:$O$478,5,FALSE)</f>
        <v>-1.20012711566076</v>
      </c>
      <c r="BZ624" s="129">
        <f>VLOOKUP($D624,WGI!$C$2:$O$478,2,FALSE)</f>
        <v>-1.1548914255032601</v>
      </c>
      <c r="CB624" s="129"/>
    </row>
    <row r="625" spans="1:80" s="158" customFormat="1" ht="15" customHeight="1">
      <c r="A625" s="295" t="s">
        <v>232</v>
      </c>
      <c r="B625" s="218">
        <v>2008</v>
      </c>
      <c r="C625" s="117" t="s">
        <v>3089</v>
      </c>
      <c r="D625" s="117" t="s">
        <v>3597</v>
      </c>
      <c r="E625" s="453" t="s">
        <v>86</v>
      </c>
      <c r="F625" s="149"/>
      <c r="G625" s="149" t="s">
        <v>24</v>
      </c>
      <c r="H625" s="149" t="str">
        <f t="shared" si="96"/>
        <v>yes</v>
      </c>
      <c r="I625" s="149" t="str">
        <f t="shared" si="97"/>
        <v>no</v>
      </c>
      <c r="J625" s="149" t="str">
        <f t="shared" si="98"/>
        <v>no</v>
      </c>
      <c r="K625" s="149" t="s">
        <v>784</v>
      </c>
      <c r="L625" s="149" t="str">
        <f t="shared" si="106"/>
        <v>detailed</v>
      </c>
      <c r="M625" s="149" t="str">
        <f t="shared" si="99"/>
        <v>detailed Mining</v>
      </c>
      <c r="N625" s="216">
        <f>19945*32.150743126506</f>
        <v>641246.57165816217</v>
      </c>
      <c r="O625" s="216"/>
      <c r="P625" s="216"/>
      <c r="Q625" s="216"/>
      <c r="R625" s="216"/>
      <c r="S625" s="149" t="s">
        <v>785</v>
      </c>
      <c r="T625" s="151">
        <f>871.70725*1.0595</f>
        <v>923.57383137500017</v>
      </c>
      <c r="U625" s="149" t="s">
        <v>786</v>
      </c>
      <c r="V625" s="149" t="s">
        <v>1274</v>
      </c>
      <c r="W625" s="152">
        <f>N625*T625</f>
        <v>592238553.0424124</v>
      </c>
      <c r="X625" s="149"/>
      <c r="Y625" s="149"/>
      <c r="Z625" s="149"/>
      <c r="AA625" s="152">
        <v>34974391.537826784</v>
      </c>
      <c r="AB625" s="152">
        <v>38949805.806122914</v>
      </c>
      <c r="AC625" s="288"/>
      <c r="AD625" s="288"/>
      <c r="AE625" s="288"/>
      <c r="AF625" s="285">
        <f t="shared" si="109"/>
        <v>5.9054567383630185E-2</v>
      </c>
      <c r="AG625" s="149"/>
      <c r="AH625" s="156"/>
      <c r="AI625" s="149"/>
      <c r="AJ625" s="149"/>
      <c r="AK625" s="152"/>
      <c r="AL625" s="149"/>
      <c r="AM625" s="149"/>
      <c r="AN625" s="149"/>
      <c r="AO625" s="149"/>
      <c r="AP625" s="149"/>
      <c r="AQ625" s="149"/>
      <c r="AR625" s="149"/>
      <c r="AS625" s="149"/>
      <c r="AT625" s="149"/>
      <c r="AU625" s="149"/>
      <c r="AV625" s="157" t="s">
        <v>1275</v>
      </c>
      <c r="AW625" s="117">
        <f>VLOOKUP($D625,'WB Data'!$C$3:$M$578,2,FALSE)</f>
        <v>4515824643.3504658</v>
      </c>
      <c r="AX625" s="117">
        <f>VLOOKUP($D625,'WB Data'!$C$3:$M$578,3,FALSE)</f>
        <v>10314678</v>
      </c>
      <c r="AY625" s="847" t="str">
        <f t="shared" si="102"/>
        <v>..</v>
      </c>
      <c r="AZ625" s="117" t="e">
        <f>VLOOKUP($D625,'WB Data'!$C$3:$M$578,4,FALSE)/100</f>
        <v>#VALUE!</v>
      </c>
      <c r="BA625" s="117" t="str">
        <f t="shared" si="103"/>
        <v>..</v>
      </c>
      <c r="BB625" s="129" t="str">
        <f>IFERROR(VLOOKUP($D625,'EITI Revenues'!$C$2:$G$224,5,FALSE),"..")</f>
        <v>..</v>
      </c>
      <c r="BC625" s="846" t="str">
        <f t="shared" si="104"/>
        <v>..</v>
      </c>
      <c r="BD625" s="129">
        <f>VLOOKUP($D625,'WB Data 2'!$C$2:$K$545,6,FALSE)</f>
        <v>814878503.4157654</v>
      </c>
      <c r="BE625" s="129" t="str">
        <f>IFERROR(VLOOKUP($D625,UNCTAD!$C$5:$V$529,4,FALSE),"..")</f>
        <v>..</v>
      </c>
      <c r="BF625" s="846" t="str">
        <f t="shared" si="105"/>
        <v>..</v>
      </c>
      <c r="BG625" s="117">
        <f>VLOOKUP($D625,'WB Data'!$C$3:$M$578,5,FALSE)</f>
        <v>328300000</v>
      </c>
      <c r="BH625" s="129" t="str">
        <f>IFERROR($BB625/$BG625,"..")</f>
        <v>..</v>
      </c>
      <c r="BI625" s="117">
        <f>IFERROR(VLOOKUP($D625,'WB Data'!$C$3:$M$578,7,FALSE)/100,"..")</f>
        <v>2.4383699999999998E-2</v>
      </c>
      <c r="BJ625" s="117">
        <f>IFERROR($BI625*$AW625,"..")</f>
        <v>110112513.35606474</v>
      </c>
      <c r="BK625" s="846" t="str">
        <f>IFERROR($BB625/$BJ625,"..")</f>
        <v>..</v>
      </c>
      <c r="BL625" s="117">
        <f>IFERROR(VLOOKUP($D625,'WB Data'!$C$3:$M$578,7,FALSE)/100,"..")</f>
        <v>2.4383699999999998E-2</v>
      </c>
      <c r="BM625" s="117">
        <f>IFERROR($AW625*$BL625,"..")</f>
        <v>110112513.35606474</v>
      </c>
      <c r="BN625" s="846" t="str">
        <f>IFERROR($BB625/$BM625,"..")</f>
        <v>..</v>
      </c>
      <c r="BO625" s="801">
        <f t="shared" si="101"/>
        <v>25</v>
      </c>
      <c r="BP625" s="117" t="str">
        <f>VLOOKUP($D625,'WB Data'!$C$3:$M$578,9,FALSE)</f>
        <v>..</v>
      </c>
      <c r="BQ625" s="117">
        <f>VLOOKUP($D625,'WB Data'!$C$3:$M$578,10,FALSE)</f>
        <v>54.478439024390248</v>
      </c>
      <c r="BR625" s="117">
        <f>VLOOKUP($D625,'WB Data'!$C$3:$M$578,11,FALSE)</f>
        <v>76.5</v>
      </c>
      <c r="BS625" s="129">
        <f>IFERROR(VLOOKUP($D625,'WB Data 2'!$C$2:$K$545,9,FALSE),"..")</f>
        <v>68.499020000000002</v>
      </c>
      <c r="BT625" s="129" t="str">
        <f>_xlfn.IFNA(VLOOKUP($C625,RGI!$A$2:$C$43,2,FALSE),"..")</f>
        <v>..</v>
      </c>
      <c r="BU625" s="129" t="str">
        <f>_xlfn.IFNA(VLOOKUP($C625,RGI!$A$2:$C$43,3,FALSE),"..")</f>
        <v>..</v>
      </c>
      <c r="BV625" s="129">
        <f>VLOOKUP($D625,WGI!$C$2:$O$478,7,FALSE)</f>
        <v>-1.45444152579007</v>
      </c>
      <c r="BW625" s="129">
        <f>VLOOKUP($D625,WGI!$C$2:$O$478,4,FALSE)</f>
        <v>-2.1012814272521498</v>
      </c>
      <c r="BX625" s="129">
        <f>VLOOKUP($D625,WGI!$C$2:$O$478,3,FALSE)</f>
        <v>-1.1727732588072399</v>
      </c>
      <c r="BY625" s="129">
        <f>VLOOKUP($D625,WGI!$C$2:$O$478,5,FALSE)</f>
        <v>-1.20012711566076</v>
      </c>
      <c r="BZ625" s="129">
        <f>VLOOKUP($D625,WGI!$C$2:$O$478,2,FALSE)</f>
        <v>-1.1548914255032601</v>
      </c>
      <c r="CB625" s="129"/>
    </row>
    <row r="626" spans="1:80" ht="15" customHeight="1">
      <c r="A626" s="294" t="s">
        <v>234</v>
      </c>
      <c r="B626" s="214">
        <v>2009</v>
      </c>
      <c r="C626" s="117" t="s">
        <v>3089</v>
      </c>
      <c r="D626" s="117" t="s">
        <v>3631</v>
      </c>
      <c r="E626" s="452" t="s">
        <v>86</v>
      </c>
      <c r="F626" s="117" t="s">
        <v>1254</v>
      </c>
      <c r="G626" s="117" t="s">
        <v>24</v>
      </c>
      <c r="H626" s="117" t="str">
        <f t="shared" si="96"/>
        <v>yes</v>
      </c>
      <c r="I626" s="117" t="str">
        <f t="shared" si="97"/>
        <v>no</v>
      </c>
      <c r="J626" s="117" t="str">
        <f t="shared" si="98"/>
        <v>no</v>
      </c>
      <c r="K626" s="117" t="s">
        <v>709</v>
      </c>
      <c r="L626" s="117" t="str">
        <f t="shared" si="106"/>
        <v>Total</v>
      </c>
      <c r="M626" s="117" t="str">
        <f t="shared" si="99"/>
        <v>Total Mining</v>
      </c>
      <c r="N626" s="179"/>
      <c r="O626" s="179"/>
      <c r="P626" s="179"/>
      <c r="Q626" s="179"/>
      <c r="R626" s="179"/>
      <c r="S626" s="117"/>
      <c r="T626" s="119"/>
      <c r="U626" s="117"/>
      <c r="V626" s="117"/>
      <c r="W626" s="89">
        <f>SUM(W627:W629)</f>
        <v>977480739.51010716</v>
      </c>
      <c r="X626" s="117" t="s">
        <v>1278</v>
      </c>
      <c r="Y626" s="117" t="s">
        <v>602</v>
      </c>
      <c r="Z626" s="117"/>
      <c r="AA626" s="177">
        <v>204355820.14115614</v>
      </c>
      <c r="AB626" s="286">
        <v>216639913.76901186</v>
      </c>
      <c r="AC626" s="122"/>
      <c r="AD626" s="122"/>
      <c r="AE626" s="122"/>
      <c r="AF626" s="123">
        <f t="shared" si="109"/>
        <v>0.20906378190487415</v>
      </c>
      <c r="AG626" s="117" t="s">
        <v>1262</v>
      </c>
      <c r="AH626" s="124">
        <v>4772.0200000000004</v>
      </c>
      <c r="AI626" s="117" t="s">
        <v>722</v>
      </c>
      <c r="AJ626" s="117"/>
      <c r="AK626" s="89"/>
      <c r="AL626" s="117"/>
      <c r="AM626" s="117"/>
      <c r="AN626" s="117">
        <v>6</v>
      </c>
      <c r="AO626" s="117" t="s">
        <v>1279</v>
      </c>
      <c r="AP626" s="117">
        <v>4</v>
      </c>
      <c r="AQ626" s="117" t="s">
        <v>23</v>
      </c>
      <c r="AR626" s="126">
        <v>41952</v>
      </c>
      <c r="AS626" s="117" t="s">
        <v>838</v>
      </c>
      <c r="AT626" s="127" t="s">
        <v>235</v>
      </c>
      <c r="AU626" s="117" t="s">
        <v>1269</v>
      </c>
      <c r="AV626" s="128" t="s">
        <v>1280</v>
      </c>
      <c r="AW626" s="117">
        <f>VLOOKUP($D626,'WB Data'!$C$3:$M$578,2,FALSE)</f>
        <v>4609923720.1779509</v>
      </c>
      <c r="AX626" s="117">
        <f>VLOOKUP($D626,'WB Data'!$C$3:$M$578,3,FALSE)</f>
        <v>10593248</v>
      </c>
      <c r="AY626" s="847" t="str">
        <f t="shared" si="102"/>
        <v>..</v>
      </c>
      <c r="AZ626" s="117" t="e">
        <f>VLOOKUP($D626,'WB Data'!$C$3:$M$578,4,FALSE)/100</f>
        <v>#VALUE!</v>
      </c>
      <c r="BA626" s="117" t="str">
        <f t="shared" si="103"/>
        <v>..</v>
      </c>
      <c r="BB626" s="129" t="str">
        <f>IFERROR(VLOOKUP($D626,'EITI Revenues'!$C$2:$G$224,5,FALSE),"..")</f>
        <v>..</v>
      </c>
      <c r="BC626" s="846" t="str">
        <f t="shared" si="104"/>
        <v>..</v>
      </c>
      <c r="BD626" s="129" t="str">
        <f>VLOOKUP($D626,'WB Data 2'!$C$2:$K$545,6,FALSE)</f>
        <v>..</v>
      </c>
      <c r="BE626" s="129" t="str">
        <f>IFERROR(VLOOKUP($D626,UNCTAD!$C$5:$V$529,4,FALSE),"..")</f>
        <v>..</v>
      </c>
      <c r="BF626" s="846" t="str">
        <f t="shared" si="105"/>
        <v>..</v>
      </c>
      <c r="BG626" s="117">
        <f>VLOOKUP($D626,'WB Data'!$C$3:$M$578,5,FALSE)</f>
        <v>214340000</v>
      </c>
      <c r="BH626" s="129" t="str">
        <f>IFERROR($BB626/$BG626,"..")</f>
        <v>..</v>
      </c>
      <c r="BI626" s="117">
        <f>IFERROR(VLOOKUP($D626,'WB Data'!$C$3:$M$578,7,FALSE)/100,"..")</f>
        <v>3.2160799999999996E-2</v>
      </c>
      <c r="BJ626" s="117">
        <f>IFERROR($BI626*$AW626,"..")</f>
        <v>148258834.77989903</v>
      </c>
      <c r="BK626" s="846" t="str">
        <f>IFERROR($BB626/$BJ626,"..")</f>
        <v>..</v>
      </c>
      <c r="BL626" s="117">
        <f>IFERROR(VLOOKUP($D626,'WB Data'!$C$3:$M$578,7,FALSE)/100,"..")</f>
        <v>3.2160799999999996E-2</v>
      </c>
      <c r="BM626" s="117">
        <f>IFERROR($AW626*$BL626,"..")</f>
        <v>148258834.77989903</v>
      </c>
      <c r="BN626" s="846" t="str">
        <f>IFERROR($BB626/$BM626,"..")</f>
        <v>..</v>
      </c>
      <c r="BO626" s="801">
        <f t="shared" si="101"/>
        <v>25</v>
      </c>
      <c r="BP626" s="117" t="str">
        <f>VLOOKUP($D626,'WB Data'!$C$3:$M$578,9,FALSE)</f>
        <v>..</v>
      </c>
      <c r="BQ626" s="117">
        <f>VLOOKUP($D626,'WB Data'!$C$3:$M$578,10,FALSE)</f>
        <v>54.93187804878049</v>
      </c>
      <c r="BR626" s="117">
        <f>VLOOKUP($D626,'WB Data'!$C$3:$M$578,11,FALSE)</f>
        <v>73.900000000000006</v>
      </c>
      <c r="BS626" s="129">
        <f>IFERROR(VLOOKUP($D626,'WB Data 2'!$C$2:$K$545,9,FALSE),"..")</f>
        <v>69.779200000000003</v>
      </c>
      <c r="BT626" s="129" t="str">
        <f>_xlfn.IFNA(VLOOKUP($C626,RGI!$A$2:$C$43,2,FALSE),"..")</f>
        <v>..</v>
      </c>
      <c r="BU626" s="129" t="str">
        <f>_xlfn.IFNA(VLOOKUP($C626,RGI!$A$2:$C$43,3,FALSE),"..")</f>
        <v>..</v>
      </c>
      <c r="BV626" s="129">
        <f>VLOOKUP($D626,WGI!$C$2:$O$478,7,FALSE)</f>
        <v>-1.30149674731851</v>
      </c>
      <c r="BW626" s="129">
        <f>VLOOKUP($D626,WGI!$C$2:$O$478,4,FALSE)</f>
        <v>-2.08628624648868</v>
      </c>
      <c r="BX626" s="129">
        <f>VLOOKUP($D626,WGI!$C$2:$O$478,3,FALSE)</f>
        <v>-1.03147671919396</v>
      </c>
      <c r="BY626" s="129">
        <f>VLOOKUP($D626,WGI!$C$2:$O$478,5,FALSE)</f>
        <v>-1.12656813907442</v>
      </c>
      <c r="BZ626" s="129">
        <f>VLOOKUP($D626,WGI!$C$2:$O$478,2,FALSE)</f>
        <v>-1.0470559901229</v>
      </c>
    </row>
    <row r="627" spans="1:80" ht="15" customHeight="1">
      <c r="A627" s="294" t="s">
        <v>234</v>
      </c>
      <c r="B627" s="214">
        <v>2009</v>
      </c>
      <c r="C627" s="117" t="s">
        <v>3089</v>
      </c>
      <c r="D627" s="117" t="s">
        <v>3631</v>
      </c>
      <c r="E627" s="452" t="s">
        <v>86</v>
      </c>
      <c r="F627" s="117"/>
      <c r="G627" s="117" t="s">
        <v>24</v>
      </c>
      <c r="H627" s="117" t="str">
        <f t="shared" si="96"/>
        <v>yes</v>
      </c>
      <c r="I627" s="117" t="str">
        <f t="shared" si="97"/>
        <v>no</v>
      </c>
      <c r="J627" s="117" t="str">
        <f t="shared" si="98"/>
        <v>no</v>
      </c>
      <c r="K627" s="117" t="s">
        <v>1138</v>
      </c>
      <c r="L627" s="117" t="str">
        <f t="shared" si="106"/>
        <v>detailed</v>
      </c>
      <c r="M627" s="117" t="str">
        <f t="shared" si="99"/>
        <v>detailed Mining</v>
      </c>
      <c r="N627" s="179">
        <v>13600000</v>
      </c>
      <c r="O627" s="179"/>
      <c r="P627" s="179"/>
      <c r="Q627" s="179"/>
      <c r="R627" s="179"/>
      <c r="S627" s="117" t="s">
        <v>610</v>
      </c>
      <c r="T627" s="119">
        <f>29.8*0.8609</f>
        <v>25.654820000000001</v>
      </c>
      <c r="U627" s="117" t="s">
        <v>611</v>
      </c>
      <c r="V627" s="117" t="s">
        <v>1281</v>
      </c>
      <c r="W627" s="89">
        <f>N627*T627</f>
        <v>348905552</v>
      </c>
      <c r="X627" s="117"/>
      <c r="Y627" s="117"/>
      <c r="Z627" s="117"/>
      <c r="AA627" s="89">
        <v>121442384.45375332</v>
      </c>
      <c r="AB627" s="89">
        <v>134171117.16275287</v>
      </c>
      <c r="AC627" s="240"/>
      <c r="AD627" s="240"/>
      <c r="AE627" s="240"/>
      <c r="AF627" s="241">
        <f t="shared" si="109"/>
        <v>0.34806664370234303</v>
      </c>
      <c r="AG627" s="117"/>
      <c r="AH627" s="124"/>
      <c r="AI627" s="117"/>
      <c r="AJ627" s="117"/>
      <c r="AK627" s="89"/>
      <c r="AL627" s="117"/>
      <c r="AM627" s="117"/>
      <c r="AN627" s="117"/>
      <c r="AO627" s="117"/>
      <c r="AP627" s="117"/>
      <c r="AQ627" s="117"/>
      <c r="AR627" s="117"/>
      <c r="AS627" s="117"/>
      <c r="AT627" s="117"/>
      <c r="AU627" s="117"/>
      <c r="AV627" s="128" t="s">
        <v>1282</v>
      </c>
      <c r="AW627" s="117">
        <f>VLOOKUP($D627,'WB Data'!$C$3:$M$578,2,FALSE)</f>
        <v>4609923720.1779509</v>
      </c>
      <c r="AX627" s="117">
        <f>VLOOKUP($D627,'WB Data'!$C$3:$M$578,3,FALSE)</f>
        <v>10593248</v>
      </c>
      <c r="AY627" s="847" t="str">
        <f t="shared" si="102"/>
        <v>..</v>
      </c>
      <c r="AZ627" s="117" t="e">
        <f>VLOOKUP($D627,'WB Data'!$C$3:$M$578,4,FALSE)/100</f>
        <v>#VALUE!</v>
      </c>
      <c r="BA627" s="117" t="str">
        <f t="shared" si="103"/>
        <v>..</v>
      </c>
      <c r="BB627" s="129" t="str">
        <f>IFERROR(VLOOKUP($D627,'EITI Revenues'!$C$2:$G$224,5,FALSE),"..")</f>
        <v>..</v>
      </c>
      <c r="BC627" s="846" t="str">
        <f t="shared" si="104"/>
        <v>..</v>
      </c>
      <c r="BD627" s="129" t="str">
        <f>VLOOKUP($D627,'WB Data 2'!$C$2:$K$545,6,FALSE)</f>
        <v>..</v>
      </c>
      <c r="BE627" s="129" t="str">
        <f>IFERROR(VLOOKUP($D627,UNCTAD!$C$5:$V$529,4,FALSE),"..")</f>
        <v>..</v>
      </c>
      <c r="BF627" s="846" t="str">
        <f t="shared" si="105"/>
        <v>..</v>
      </c>
      <c r="BG627" s="117">
        <f>VLOOKUP($D627,'WB Data'!$C$3:$M$578,5,FALSE)</f>
        <v>214340000</v>
      </c>
      <c r="BH627" s="129" t="str">
        <f>IFERROR($BB627/$BG627,"..")</f>
        <v>..</v>
      </c>
      <c r="BI627" s="117">
        <f>IFERROR(VLOOKUP($D627,'WB Data'!$C$3:$M$578,7,FALSE)/100,"..")</f>
        <v>3.2160799999999996E-2</v>
      </c>
      <c r="BJ627" s="117">
        <f>IFERROR($BI627*$AW627,"..")</f>
        <v>148258834.77989903</v>
      </c>
      <c r="BK627" s="846" t="str">
        <f>IFERROR($BB627/$BJ627,"..")</f>
        <v>..</v>
      </c>
      <c r="BL627" s="117">
        <f>IFERROR(VLOOKUP($D627,'WB Data'!$C$3:$M$578,7,FALSE)/100,"..")</f>
        <v>3.2160799999999996E-2</v>
      </c>
      <c r="BM627" s="117">
        <f>IFERROR($AW627*$BL627,"..")</f>
        <v>148258834.77989903</v>
      </c>
      <c r="BN627" s="846" t="str">
        <f>IFERROR($BB627/$BM627,"..")</f>
        <v>..</v>
      </c>
      <c r="BO627" s="801">
        <f t="shared" si="101"/>
        <v>25</v>
      </c>
      <c r="BP627" s="117" t="str">
        <f>VLOOKUP($D627,'WB Data'!$C$3:$M$578,9,FALSE)</f>
        <v>..</v>
      </c>
      <c r="BQ627" s="117">
        <f>VLOOKUP($D627,'WB Data'!$C$3:$M$578,10,FALSE)</f>
        <v>54.93187804878049</v>
      </c>
      <c r="BR627" s="117">
        <f>VLOOKUP($D627,'WB Data'!$C$3:$M$578,11,FALSE)</f>
        <v>73.900000000000006</v>
      </c>
      <c r="BS627" s="129">
        <f>IFERROR(VLOOKUP($D627,'WB Data 2'!$C$2:$K$545,9,FALSE),"..")</f>
        <v>69.779200000000003</v>
      </c>
      <c r="BT627" s="129" t="str">
        <f>_xlfn.IFNA(VLOOKUP($C627,RGI!$A$2:$C$43,2,FALSE),"..")</f>
        <v>..</v>
      </c>
      <c r="BU627" s="129" t="str">
        <f>_xlfn.IFNA(VLOOKUP($C627,RGI!$A$2:$C$43,3,FALSE),"..")</f>
        <v>..</v>
      </c>
      <c r="BV627" s="129">
        <f>VLOOKUP($D627,WGI!$C$2:$O$478,7,FALSE)</f>
        <v>-1.30149674731851</v>
      </c>
      <c r="BW627" s="129">
        <f>VLOOKUP($D627,WGI!$C$2:$O$478,4,FALSE)</f>
        <v>-2.08628624648868</v>
      </c>
      <c r="BX627" s="129">
        <f>VLOOKUP($D627,WGI!$C$2:$O$478,3,FALSE)</f>
        <v>-1.03147671919396</v>
      </c>
      <c r="BY627" s="129">
        <f>VLOOKUP($D627,WGI!$C$2:$O$478,5,FALSE)</f>
        <v>-1.12656813907442</v>
      </c>
      <c r="BZ627" s="129">
        <f>VLOOKUP($D627,WGI!$C$2:$O$478,2,FALSE)</f>
        <v>-1.0470559901229</v>
      </c>
    </row>
    <row r="628" spans="1:80" ht="15" customHeight="1">
      <c r="A628" s="294" t="s">
        <v>234</v>
      </c>
      <c r="B628" s="214">
        <v>2009</v>
      </c>
      <c r="C628" s="117" t="s">
        <v>3089</v>
      </c>
      <c r="D628" s="117" t="s">
        <v>3631</v>
      </c>
      <c r="E628" s="452" t="s">
        <v>86</v>
      </c>
      <c r="F628" s="117"/>
      <c r="G628" s="117" t="s">
        <v>24</v>
      </c>
      <c r="H628" s="117" t="str">
        <f t="shared" si="96"/>
        <v>yes</v>
      </c>
      <c r="I628" s="117" t="str">
        <f t="shared" si="97"/>
        <v>no</v>
      </c>
      <c r="J628" s="117" t="str">
        <f t="shared" si="98"/>
        <v>no</v>
      </c>
      <c r="K628" s="117" t="s">
        <v>980</v>
      </c>
      <c r="L628" s="117" t="str">
        <f t="shared" si="106"/>
        <v>detailed</v>
      </c>
      <c r="M628" s="117" t="str">
        <f t="shared" si="99"/>
        <v>detailed Mining</v>
      </c>
      <c r="N628" s="179">
        <v>697000</v>
      </c>
      <c r="O628" s="179"/>
      <c r="P628" s="179"/>
      <c r="Q628" s="179"/>
      <c r="R628" s="179"/>
      <c r="S628" s="117" t="s">
        <v>981</v>
      </c>
      <c r="T628" s="119">
        <v>41.59</v>
      </c>
      <c r="U628" s="117" t="s">
        <v>982</v>
      </c>
      <c r="V628" s="117" t="s">
        <v>1177</v>
      </c>
      <c r="W628" s="89">
        <f>N628*T628</f>
        <v>28988230.000000004</v>
      </c>
      <c r="X628" s="117"/>
      <c r="Y628" s="117"/>
      <c r="Z628" s="117"/>
      <c r="AA628" s="89">
        <v>585725.28237517865</v>
      </c>
      <c r="AB628" s="89"/>
      <c r="AC628" s="240"/>
      <c r="AD628" s="240"/>
      <c r="AE628" s="240"/>
      <c r="AF628" s="241">
        <f t="shared" si="109"/>
        <v>2.0205624226631934E-2</v>
      </c>
      <c r="AG628" s="117"/>
      <c r="AH628" s="124"/>
      <c r="AI628" s="117"/>
      <c r="AJ628" s="117"/>
      <c r="AK628" s="89"/>
      <c r="AL628" s="117"/>
      <c r="AM628" s="117"/>
      <c r="AN628" s="117"/>
      <c r="AO628" s="117"/>
      <c r="AP628" s="117"/>
      <c r="AQ628" s="117"/>
      <c r="AR628" s="117"/>
      <c r="AS628" s="117"/>
      <c r="AT628" s="117"/>
      <c r="AU628" s="117"/>
      <c r="AV628" s="128" t="s">
        <v>1283</v>
      </c>
      <c r="AW628" s="117">
        <f>VLOOKUP($D628,'WB Data'!$C$3:$M$578,2,FALSE)</f>
        <v>4609923720.1779509</v>
      </c>
      <c r="AX628" s="117">
        <f>VLOOKUP($D628,'WB Data'!$C$3:$M$578,3,FALSE)</f>
        <v>10593248</v>
      </c>
      <c r="AY628" s="847" t="str">
        <f t="shared" si="102"/>
        <v>..</v>
      </c>
      <c r="AZ628" s="117" t="e">
        <f>VLOOKUP($D628,'WB Data'!$C$3:$M$578,4,FALSE)/100</f>
        <v>#VALUE!</v>
      </c>
      <c r="BA628" s="117" t="str">
        <f t="shared" si="103"/>
        <v>..</v>
      </c>
      <c r="BB628" s="129" t="str">
        <f>IFERROR(VLOOKUP($D628,'EITI Revenues'!$C$2:$G$224,5,FALSE),"..")</f>
        <v>..</v>
      </c>
      <c r="BC628" s="846" t="str">
        <f t="shared" si="104"/>
        <v>..</v>
      </c>
      <c r="BD628" s="129" t="str">
        <f>VLOOKUP($D628,'WB Data 2'!$C$2:$K$545,6,FALSE)</f>
        <v>..</v>
      </c>
      <c r="BE628" s="129" t="str">
        <f>IFERROR(VLOOKUP($D628,UNCTAD!$C$5:$V$529,4,FALSE),"..")</f>
        <v>..</v>
      </c>
      <c r="BF628" s="846" t="str">
        <f t="shared" si="105"/>
        <v>..</v>
      </c>
      <c r="BG628" s="117">
        <f>VLOOKUP($D628,'WB Data'!$C$3:$M$578,5,FALSE)</f>
        <v>214340000</v>
      </c>
      <c r="BH628" s="129" t="str">
        <f>IFERROR($BB628/$BG628,"..")</f>
        <v>..</v>
      </c>
      <c r="BI628" s="117">
        <f>IFERROR(VLOOKUP($D628,'WB Data'!$C$3:$M$578,7,FALSE)/100,"..")</f>
        <v>3.2160799999999996E-2</v>
      </c>
      <c r="BJ628" s="117">
        <f>IFERROR($BI628*$AW628,"..")</f>
        <v>148258834.77989903</v>
      </c>
      <c r="BK628" s="846" t="str">
        <f>IFERROR($BB628/$BJ628,"..")</f>
        <v>..</v>
      </c>
      <c r="BL628" s="117">
        <f>IFERROR(VLOOKUP($D628,'WB Data'!$C$3:$M$578,7,FALSE)/100,"..")</f>
        <v>3.2160799999999996E-2</v>
      </c>
      <c r="BM628" s="117">
        <f>IFERROR($AW628*$BL628,"..")</f>
        <v>148258834.77989903</v>
      </c>
      <c r="BN628" s="846" t="str">
        <f>IFERROR($BB628/$BM628,"..")</f>
        <v>..</v>
      </c>
      <c r="BO628" s="801">
        <f t="shared" si="101"/>
        <v>25</v>
      </c>
      <c r="BP628" s="117" t="str">
        <f>VLOOKUP($D628,'WB Data'!$C$3:$M$578,9,FALSE)</f>
        <v>..</v>
      </c>
      <c r="BQ628" s="117">
        <f>VLOOKUP($D628,'WB Data'!$C$3:$M$578,10,FALSE)</f>
        <v>54.93187804878049</v>
      </c>
      <c r="BR628" s="117">
        <f>VLOOKUP($D628,'WB Data'!$C$3:$M$578,11,FALSE)</f>
        <v>73.900000000000006</v>
      </c>
      <c r="BS628" s="129">
        <f>IFERROR(VLOOKUP($D628,'WB Data 2'!$C$2:$K$545,9,FALSE),"..")</f>
        <v>69.779200000000003</v>
      </c>
      <c r="BT628" s="129" t="str">
        <f>_xlfn.IFNA(VLOOKUP($C628,RGI!$A$2:$C$43,2,FALSE),"..")</f>
        <v>..</v>
      </c>
      <c r="BU628" s="129" t="str">
        <f>_xlfn.IFNA(VLOOKUP($C628,RGI!$A$2:$C$43,3,FALSE),"..")</f>
        <v>..</v>
      </c>
      <c r="BV628" s="129">
        <f>VLOOKUP($D628,WGI!$C$2:$O$478,7,FALSE)</f>
        <v>-1.30149674731851</v>
      </c>
      <c r="BW628" s="129">
        <f>VLOOKUP($D628,WGI!$C$2:$O$478,4,FALSE)</f>
        <v>-2.08628624648868</v>
      </c>
      <c r="BX628" s="129">
        <f>VLOOKUP($D628,WGI!$C$2:$O$478,3,FALSE)</f>
        <v>-1.03147671919396</v>
      </c>
      <c r="BY628" s="129">
        <f>VLOOKUP($D628,WGI!$C$2:$O$478,5,FALSE)</f>
        <v>-1.12656813907442</v>
      </c>
      <c r="BZ628" s="129">
        <f>VLOOKUP($D628,WGI!$C$2:$O$478,2,FALSE)</f>
        <v>-1.0470559901229</v>
      </c>
    </row>
    <row r="629" spans="1:80" ht="15" customHeight="1">
      <c r="A629" s="294" t="s">
        <v>234</v>
      </c>
      <c r="B629" s="214">
        <v>2009</v>
      </c>
      <c r="C629" s="117" t="s">
        <v>3089</v>
      </c>
      <c r="D629" s="117" t="s">
        <v>3631</v>
      </c>
      <c r="E629" s="452" t="s">
        <v>86</v>
      </c>
      <c r="F629" s="117"/>
      <c r="G629" s="117" t="s">
        <v>24</v>
      </c>
      <c r="H629" s="117" t="str">
        <f t="shared" si="96"/>
        <v>yes</v>
      </c>
      <c r="I629" s="117" t="str">
        <f t="shared" si="97"/>
        <v>no</v>
      </c>
      <c r="J629" s="117" t="str">
        <f t="shared" si="98"/>
        <v>no</v>
      </c>
      <c r="K629" s="117" t="s">
        <v>784</v>
      </c>
      <c r="L629" s="117" t="str">
        <f t="shared" si="106"/>
        <v>detailed</v>
      </c>
      <c r="M629" s="117" t="str">
        <f t="shared" si="99"/>
        <v>detailed Mining</v>
      </c>
      <c r="N629" s="179">
        <f>18091*32.150743126506</f>
        <v>581639.09390162001</v>
      </c>
      <c r="O629" s="179"/>
      <c r="P629" s="179"/>
      <c r="Q629" s="179"/>
      <c r="R629" s="179"/>
      <c r="S629" s="117" t="s">
        <v>785</v>
      </c>
      <c r="T629" s="119">
        <f>972.96591666667*1.0595</f>
        <v>1030.8573887083369</v>
      </c>
      <c r="U629" s="117" t="s">
        <v>786</v>
      </c>
      <c r="V629" s="117" t="s">
        <v>1274</v>
      </c>
      <c r="W629" s="89">
        <f>N629*T629</f>
        <v>599586957.51010716</v>
      </c>
      <c r="X629" s="117"/>
      <c r="Y629" s="117"/>
      <c r="Z629" s="117"/>
      <c r="AA629" s="89">
        <v>82327710.405027628</v>
      </c>
      <c r="AB629" s="89">
        <v>82468796.606258973</v>
      </c>
      <c r="AC629" s="240"/>
      <c r="AD629" s="240"/>
      <c r="AE629" s="240"/>
      <c r="AF629" s="241">
        <f t="shared" si="109"/>
        <v>0.13730737364086149</v>
      </c>
      <c r="AG629" s="117"/>
      <c r="AH629" s="124"/>
      <c r="AI629" s="117"/>
      <c r="AJ629" s="117"/>
      <c r="AK629" s="89"/>
      <c r="AL629" s="117"/>
      <c r="AM629" s="117"/>
      <c r="AN629" s="117"/>
      <c r="AO629" s="117"/>
      <c r="AP629" s="117"/>
      <c r="AQ629" s="117"/>
      <c r="AR629" s="117"/>
      <c r="AS629" s="117"/>
      <c r="AT629" s="117"/>
      <c r="AU629" s="117"/>
      <c r="AV629" s="128" t="s">
        <v>1284</v>
      </c>
      <c r="AW629" s="117">
        <f>VLOOKUP($D629,'WB Data'!$C$3:$M$578,2,FALSE)</f>
        <v>4609923720.1779509</v>
      </c>
      <c r="AX629" s="117">
        <f>VLOOKUP($D629,'WB Data'!$C$3:$M$578,3,FALSE)</f>
        <v>10593248</v>
      </c>
      <c r="AY629" s="847" t="str">
        <f t="shared" si="102"/>
        <v>..</v>
      </c>
      <c r="AZ629" s="117" t="e">
        <f>VLOOKUP($D629,'WB Data'!$C$3:$M$578,4,FALSE)/100</f>
        <v>#VALUE!</v>
      </c>
      <c r="BA629" s="117" t="str">
        <f t="shared" si="103"/>
        <v>..</v>
      </c>
      <c r="BB629" s="129" t="str">
        <f>IFERROR(VLOOKUP($D629,'EITI Revenues'!$C$2:$G$224,5,FALSE),"..")</f>
        <v>..</v>
      </c>
      <c r="BC629" s="846" t="str">
        <f t="shared" si="104"/>
        <v>..</v>
      </c>
      <c r="BD629" s="129" t="str">
        <f>VLOOKUP($D629,'WB Data 2'!$C$2:$K$545,6,FALSE)</f>
        <v>..</v>
      </c>
      <c r="BE629" s="129" t="str">
        <f>IFERROR(VLOOKUP($D629,UNCTAD!$C$5:$V$529,4,FALSE),"..")</f>
        <v>..</v>
      </c>
      <c r="BF629" s="846" t="str">
        <f t="shared" si="105"/>
        <v>..</v>
      </c>
      <c r="BG629" s="117">
        <f>VLOOKUP($D629,'WB Data'!$C$3:$M$578,5,FALSE)</f>
        <v>214340000</v>
      </c>
      <c r="BH629" s="129" t="str">
        <f>IFERROR($BB629/$BG629,"..")</f>
        <v>..</v>
      </c>
      <c r="BI629" s="117">
        <f>IFERROR(VLOOKUP($D629,'WB Data'!$C$3:$M$578,7,FALSE)/100,"..")</f>
        <v>3.2160799999999996E-2</v>
      </c>
      <c r="BJ629" s="117">
        <f>IFERROR($BI629*$AW629,"..")</f>
        <v>148258834.77989903</v>
      </c>
      <c r="BK629" s="846" t="str">
        <f>IFERROR($BB629/$BJ629,"..")</f>
        <v>..</v>
      </c>
      <c r="BL629" s="117">
        <f>IFERROR(VLOOKUP($D629,'WB Data'!$C$3:$M$578,7,FALSE)/100,"..")</f>
        <v>3.2160799999999996E-2</v>
      </c>
      <c r="BM629" s="117">
        <f>IFERROR($AW629*$BL629,"..")</f>
        <v>148258834.77989903</v>
      </c>
      <c r="BN629" s="846" t="str">
        <f>IFERROR($BB629/$BM629,"..")</f>
        <v>..</v>
      </c>
      <c r="BO629" s="801">
        <f t="shared" si="101"/>
        <v>25</v>
      </c>
      <c r="BP629" s="117" t="str">
        <f>VLOOKUP($D629,'WB Data'!$C$3:$M$578,9,FALSE)</f>
        <v>..</v>
      </c>
      <c r="BQ629" s="117">
        <f>VLOOKUP($D629,'WB Data'!$C$3:$M$578,10,FALSE)</f>
        <v>54.93187804878049</v>
      </c>
      <c r="BR629" s="117">
        <f>VLOOKUP($D629,'WB Data'!$C$3:$M$578,11,FALSE)</f>
        <v>73.900000000000006</v>
      </c>
      <c r="BS629" s="129">
        <f>IFERROR(VLOOKUP($D629,'WB Data 2'!$C$2:$K$545,9,FALSE),"..")</f>
        <v>69.779200000000003</v>
      </c>
      <c r="BT629" s="129" t="str">
        <f>_xlfn.IFNA(VLOOKUP($C629,RGI!$A$2:$C$43,2,FALSE),"..")</f>
        <v>..</v>
      </c>
      <c r="BU629" s="129" t="str">
        <f>_xlfn.IFNA(VLOOKUP($C629,RGI!$A$2:$C$43,3,FALSE),"..")</f>
        <v>..</v>
      </c>
      <c r="BV629" s="129">
        <f>VLOOKUP($D629,WGI!$C$2:$O$478,7,FALSE)</f>
        <v>-1.30149674731851</v>
      </c>
      <c r="BW629" s="129">
        <f>VLOOKUP($D629,WGI!$C$2:$O$478,4,FALSE)</f>
        <v>-2.08628624648868</v>
      </c>
      <c r="BX629" s="129">
        <f>VLOOKUP($D629,WGI!$C$2:$O$478,3,FALSE)</f>
        <v>-1.03147671919396</v>
      </c>
      <c r="BY629" s="129">
        <f>VLOOKUP($D629,WGI!$C$2:$O$478,5,FALSE)</f>
        <v>-1.12656813907442</v>
      </c>
      <c r="BZ629" s="129">
        <f>VLOOKUP($D629,WGI!$C$2:$O$478,2,FALSE)</f>
        <v>-1.0470559901229</v>
      </c>
    </row>
    <row r="630" spans="1:80" s="144" customFormat="1" ht="15" customHeight="1">
      <c r="A630" s="296" t="s">
        <v>236</v>
      </c>
      <c r="B630" s="228">
        <v>2010</v>
      </c>
      <c r="C630" s="117" t="s">
        <v>3089</v>
      </c>
      <c r="D630" s="117" t="s">
        <v>3665</v>
      </c>
      <c r="E630" s="450" t="s">
        <v>86</v>
      </c>
      <c r="F630" s="132" t="s">
        <v>1254</v>
      </c>
      <c r="G630" s="132" t="s">
        <v>24</v>
      </c>
      <c r="H630" s="117" t="str">
        <f t="shared" si="96"/>
        <v>yes</v>
      </c>
      <c r="I630" s="117" t="str">
        <f t="shared" si="97"/>
        <v>no</v>
      </c>
      <c r="J630" s="117" t="str">
        <f t="shared" si="98"/>
        <v>no</v>
      </c>
      <c r="K630" s="132" t="s">
        <v>709</v>
      </c>
      <c r="L630" s="117" t="str">
        <f t="shared" si="106"/>
        <v>Total</v>
      </c>
      <c r="M630" s="117" t="str">
        <f t="shared" si="99"/>
        <v>Total Mining</v>
      </c>
      <c r="N630" s="238"/>
      <c r="O630" s="238"/>
      <c r="P630" s="238"/>
      <c r="Q630" s="238"/>
      <c r="R630" s="238"/>
      <c r="S630" s="132"/>
      <c r="T630" s="134"/>
      <c r="U630" s="132"/>
      <c r="V630" s="132"/>
      <c r="W630" s="135">
        <f>SUM(W631:W634)</f>
        <v>1050128701.1507769</v>
      </c>
      <c r="X630" s="132" t="s">
        <v>1267</v>
      </c>
      <c r="Y630" s="132" t="s">
        <v>602</v>
      </c>
      <c r="Z630" s="132"/>
      <c r="AA630" s="160">
        <v>218560221.14787036</v>
      </c>
      <c r="AB630" s="297">
        <v>220836821.31086206</v>
      </c>
      <c r="AC630" s="138"/>
      <c r="AD630" s="138"/>
      <c r="AE630" s="138"/>
      <c r="AF630" s="139">
        <f t="shared" si="109"/>
        <v>0.20812708090766641</v>
      </c>
      <c r="AG630" s="132" t="s">
        <v>1262</v>
      </c>
      <c r="AH630" s="140">
        <v>5773.3</v>
      </c>
      <c r="AI630" s="132" t="s">
        <v>722</v>
      </c>
      <c r="AJ630" s="132"/>
      <c r="AK630" s="135"/>
      <c r="AL630" s="132"/>
      <c r="AM630" s="132"/>
      <c r="AN630" s="132">
        <v>7</v>
      </c>
      <c r="AO630" s="132" t="s">
        <v>1285</v>
      </c>
      <c r="AP630" s="132">
        <v>5</v>
      </c>
      <c r="AQ630" s="132" t="s">
        <v>23</v>
      </c>
      <c r="AR630" s="141">
        <v>41952</v>
      </c>
      <c r="AS630" s="132" t="s">
        <v>838</v>
      </c>
      <c r="AT630" s="142" t="s">
        <v>237</v>
      </c>
      <c r="AU630" s="132" t="s">
        <v>1286</v>
      </c>
      <c r="AV630" s="143" t="s">
        <v>1287</v>
      </c>
      <c r="AW630" s="117">
        <f>VLOOKUP($D630,'WB Data'!$C$3:$M$578,2,FALSE)</f>
        <v>4735956475.8338232</v>
      </c>
      <c r="AX630" s="117">
        <f>VLOOKUP($D630,'WB Data'!$C$3:$M$578,3,FALSE)</f>
        <v>10876033</v>
      </c>
      <c r="AY630" s="847" t="str">
        <f t="shared" si="102"/>
        <v>..</v>
      </c>
      <c r="AZ630" s="117" t="e">
        <f>VLOOKUP($D630,'WB Data'!$C$3:$M$578,4,FALSE)/100</f>
        <v>#VALUE!</v>
      </c>
      <c r="BA630" s="117" t="str">
        <f t="shared" si="103"/>
        <v>..</v>
      </c>
      <c r="BB630" s="129" t="str">
        <f>IFERROR(VLOOKUP($D630,'EITI Revenues'!$C$2:$G$224,5,FALSE),"..")</f>
        <v>..</v>
      </c>
      <c r="BC630" s="846" t="str">
        <f t="shared" si="104"/>
        <v>..</v>
      </c>
      <c r="BD630" s="129" t="str">
        <f>VLOOKUP($D630,'WB Data 2'!$C$2:$K$545,6,FALSE)</f>
        <v>..</v>
      </c>
      <c r="BE630" s="129" t="str">
        <f>IFERROR(VLOOKUP($D630,UNCTAD!$C$5:$V$529,4,FALSE),"..")</f>
        <v>..</v>
      </c>
      <c r="BF630" s="846" t="str">
        <f t="shared" si="105"/>
        <v>..</v>
      </c>
      <c r="BG630" s="117">
        <f>VLOOKUP($D630,'WB Data'!$C$3:$M$578,5,FALSE)</f>
        <v>217700000</v>
      </c>
      <c r="BH630" s="129" t="str">
        <f>IFERROR($BB630/$BG630,"..")</f>
        <v>..</v>
      </c>
      <c r="BI630" s="117">
        <f>IFERROR(VLOOKUP($D630,'WB Data'!$C$3:$M$578,7,FALSE)/100,"..")</f>
        <v>3.6918600000000003E-2</v>
      </c>
      <c r="BJ630" s="117">
        <f>IFERROR($BI630*$AW630,"..")</f>
        <v>174844882.74871859</v>
      </c>
      <c r="BK630" s="846" t="str">
        <f>IFERROR($BB630/$BJ630,"..")</f>
        <v>..</v>
      </c>
      <c r="BL630" s="117">
        <f>IFERROR(VLOOKUP($D630,'WB Data'!$C$3:$M$578,7,FALSE)/100,"..")</f>
        <v>3.6918600000000003E-2</v>
      </c>
      <c r="BM630" s="117">
        <f>IFERROR($AW630*$BL630,"..")</f>
        <v>174844882.74871859</v>
      </c>
      <c r="BN630" s="846" t="str">
        <f>IFERROR($BB630/$BM630,"..")</f>
        <v>..</v>
      </c>
      <c r="BO630" s="801">
        <f t="shared" si="101"/>
        <v>25</v>
      </c>
      <c r="BP630" s="117" t="str">
        <f>VLOOKUP($D630,'WB Data'!$C$3:$M$578,9,FALSE)</f>
        <v>..</v>
      </c>
      <c r="BQ630" s="117">
        <f>VLOOKUP($D630,'WB Data'!$C$3:$M$578,10,FALSE)</f>
        <v>55.298000000000009</v>
      </c>
      <c r="BR630" s="117">
        <f>VLOOKUP($D630,'WB Data'!$C$3:$M$578,11,FALSE)</f>
        <v>71.400000000000006</v>
      </c>
      <c r="BS630" s="129">
        <f>IFERROR(VLOOKUP($D630,'WB Data 2'!$C$2:$K$545,9,FALSE),"..")</f>
        <v>72.047970000000007</v>
      </c>
      <c r="BT630" s="129" t="str">
        <f>_xlfn.IFNA(VLOOKUP($C630,RGI!$A$2:$C$43,2,FALSE),"..")</f>
        <v>..</v>
      </c>
      <c r="BU630" s="129" t="str">
        <f>_xlfn.IFNA(VLOOKUP($C630,RGI!$A$2:$C$43,3,FALSE),"..")</f>
        <v>..</v>
      </c>
      <c r="BV630" s="129">
        <f>VLOOKUP($D630,WGI!$C$2:$O$478,7,FALSE)</f>
        <v>-0.94665409682159996</v>
      </c>
      <c r="BW630" s="129">
        <f>VLOOKUP($D630,WGI!$C$2:$O$478,4,FALSE)</f>
        <v>-1.68228926294157</v>
      </c>
      <c r="BX630" s="129">
        <f>VLOOKUP($D630,WGI!$C$2:$O$478,3,FALSE)</f>
        <v>-1.13092764919197</v>
      </c>
      <c r="BY630" s="129">
        <f>VLOOKUP($D630,WGI!$C$2:$O$478,5,FALSE)</f>
        <v>-1.0809142207589799</v>
      </c>
      <c r="BZ630" s="129">
        <f>VLOOKUP($D630,WGI!$C$2:$O$478,2,FALSE)</f>
        <v>-1.1922492001565099</v>
      </c>
      <c r="CB630" s="129"/>
    </row>
    <row r="631" spans="1:80" s="120" customFormat="1" ht="15" customHeight="1">
      <c r="A631" s="294" t="s">
        <v>236</v>
      </c>
      <c r="B631" s="214">
        <v>2010</v>
      </c>
      <c r="C631" s="117" t="s">
        <v>3089</v>
      </c>
      <c r="D631" s="117" t="s">
        <v>3665</v>
      </c>
      <c r="E631" s="452" t="s">
        <v>86</v>
      </c>
      <c r="F631" s="117"/>
      <c r="G631" s="117" t="s">
        <v>24</v>
      </c>
      <c r="H631" s="117" t="str">
        <f t="shared" si="96"/>
        <v>yes</v>
      </c>
      <c r="I631" s="117" t="str">
        <f t="shared" si="97"/>
        <v>no</v>
      </c>
      <c r="J631" s="117" t="str">
        <f t="shared" si="98"/>
        <v>no</v>
      </c>
      <c r="K631" s="117" t="s">
        <v>1138</v>
      </c>
      <c r="L631" s="117" t="str">
        <f t="shared" si="106"/>
        <v>detailed</v>
      </c>
      <c r="M631" s="117" t="str">
        <f t="shared" si="99"/>
        <v>detailed Mining</v>
      </c>
      <c r="N631" s="179">
        <v>15300000</v>
      </c>
      <c r="O631" s="179"/>
      <c r="P631" s="179"/>
      <c r="Q631" s="179"/>
      <c r="R631" s="179"/>
      <c r="S631" s="117" t="s">
        <v>610</v>
      </c>
      <c r="T631" s="119">
        <f>29.41*0.8609</f>
        <v>25.319068999999999</v>
      </c>
      <c r="U631" s="117" t="s">
        <v>611</v>
      </c>
      <c r="V631" s="117" t="s">
        <v>1281</v>
      </c>
      <c r="W631" s="89">
        <f>N631*T631</f>
        <v>387381755.69999999</v>
      </c>
      <c r="X631" s="117"/>
      <c r="Y631" s="117"/>
      <c r="Z631" s="117"/>
      <c r="AA631" s="89">
        <v>105474359.24531896</v>
      </c>
      <c r="AB631" s="89">
        <v>106085169.87719329</v>
      </c>
      <c r="AC631" s="240"/>
      <c r="AD631" s="240"/>
      <c r="AE631" s="240"/>
      <c r="AF631" s="241">
        <f t="shared" si="109"/>
        <v>0.27227497860534627</v>
      </c>
      <c r="AG631" s="117"/>
      <c r="AH631" s="124"/>
      <c r="AI631" s="117"/>
      <c r="AJ631" s="117"/>
      <c r="AK631" s="89"/>
      <c r="AL631" s="117"/>
      <c r="AM631" s="117"/>
      <c r="AN631" s="117"/>
      <c r="AO631" s="117"/>
      <c r="AP631" s="117"/>
      <c r="AQ631" s="117"/>
      <c r="AR631" s="117"/>
      <c r="AS631" s="117"/>
      <c r="AT631" s="117"/>
      <c r="AU631" s="117"/>
      <c r="AV631" s="128" t="s">
        <v>1288</v>
      </c>
      <c r="AW631" s="117">
        <f>VLOOKUP($D631,'WB Data'!$C$3:$M$578,2,FALSE)</f>
        <v>4735956475.8338232</v>
      </c>
      <c r="AX631" s="117">
        <f>VLOOKUP($D631,'WB Data'!$C$3:$M$578,3,FALSE)</f>
        <v>10876033</v>
      </c>
      <c r="AY631" s="847" t="str">
        <f t="shared" si="102"/>
        <v>..</v>
      </c>
      <c r="AZ631" s="117" t="e">
        <f>VLOOKUP($D631,'WB Data'!$C$3:$M$578,4,FALSE)/100</f>
        <v>#VALUE!</v>
      </c>
      <c r="BA631" s="117" t="str">
        <f t="shared" si="103"/>
        <v>..</v>
      </c>
      <c r="BB631" s="129" t="str">
        <f>IFERROR(VLOOKUP($D631,'EITI Revenues'!$C$2:$G$224,5,FALSE),"..")</f>
        <v>..</v>
      </c>
      <c r="BC631" s="846" t="str">
        <f t="shared" si="104"/>
        <v>..</v>
      </c>
      <c r="BD631" s="129" t="str">
        <f>VLOOKUP($D631,'WB Data 2'!$C$2:$K$545,6,FALSE)</f>
        <v>..</v>
      </c>
      <c r="BE631" s="129" t="str">
        <f>IFERROR(VLOOKUP($D631,UNCTAD!$C$5:$V$529,4,FALSE),"..")</f>
        <v>..</v>
      </c>
      <c r="BF631" s="846" t="str">
        <f t="shared" si="105"/>
        <v>..</v>
      </c>
      <c r="BG631" s="117">
        <f>VLOOKUP($D631,'WB Data'!$C$3:$M$578,5,FALSE)</f>
        <v>217700000</v>
      </c>
      <c r="BH631" s="129" t="str">
        <f>IFERROR($BB631/$BG631,"..")</f>
        <v>..</v>
      </c>
      <c r="BI631" s="117">
        <f>IFERROR(VLOOKUP($D631,'WB Data'!$C$3:$M$578,7,FALSE)/100,"..")</f>
        <v>3.6918600000000003E-2</v>
      </c>
      <c r="BJ631" s="117">
        <f>IFERROR($BI631*$AW631,"..")</f>
        <v>174844882.74871859</v>
      </c>
      <c r="BK631" s="846" t="str">
        <f>IFERROR($BB631/$BJ631,"..")</f>
        <v>..</v>
      </c>
      <c r="BL631" s="117">
        <f>IFERROR(VLOOKUP($D631,'WB Data'!$C$3:$M$578,7,FALSE)/100,"..")</f>
        <v>3.6918600000000003E-2</v>
      </c>
      <c r="BM631" s="117">
        <f>IFERROR($AW631*$BL631,"..")</f>
        <v>174844882.74871859</v>
      </c>
      <c r="BN631" s="846" t="str">
        <f>IFERROR($BB631/$BM631,"..")</f>
        <v>..</v>
      </c>
      <c r="BO631" s="801">
        <f t="shared" si="101"/>
        <v>25</v>
      </c>
      <c r="BP631" s="117" t="str">
        <f>VLOOKUP($D631,'WB Data'!$C$3:$M$578,9,FALSE)</f>
        <v>..</v>
      </c>
      <c r="BQ631" s="117">
        <f>VLOOKUP($D631,'WB Data'!$C$3:$M$578,10,FALSE)</f>
        <v>55.298000000000009</v>
      </c>
      <c r="BR631" s="117">
        <f>VLOOKUP($D631,'WB Data'!$C$3:$M$578,11,FALSE)</f>
        <v>71.400000000000006</v>
      </c>
      <c r="BS631" s="129">
        <f>IFERROR(VLOOKUP($D631,'WB Data 2'!$C$2:$K$545,9,FALSE),"..")</f>
        <v>72.047970000000007</v>
      </c>
      <c r="BT631" s="129" t="str">
        <f>_xlfn.IFNA(VLOOKUP($C631,RGI!$A$2:$C$43,2,FALSE),"..")</f>
        <v>..</v>
      </c>
      <c r="BU631" s="129" t="str">
        <f>_xlfn.IFNA(VLOOKUP($C631,RGI!$A$2:$C$43,3,FALSE),"..")</f>
        <v>..</v>
      </c>
      <c r="BV631" s="129">
        <f>VLOOKUP($D631,WGI!$C$2:$O$478,7,FALSE)</f>
        <v>-0.94665409682159996</v>
      </c>
      <c r="BW631" s="129">
        <f>VLOOKUP($D631,WGI!$C$2:$O$478,4,FALSE)</f>
        <v>-1.68228926294157</v>
      </c>
      <c r="BX631" s="129">
        <f>VLOOKUP($D631,WGI!$C$2:$O$478,3,FALSE)</f>
        <v>-1.13092764919197</v>
      </c>
      <c r="BY631" s="129">
        <f>VLOOKUP($D631,WGI!$C$2:$O$478,5,FALSE)</f>
        <v>-1.0809142207589799</v>
      </c>
      <c r="BZ631" s="129">
        <f>VLOOKUP($D631,WGI!$C$2:$O$478,2,FALSE)</f>
        <v>-1.1922492001565099</v>
      </c>
      <c r="CB631" s="129"/>
    </row>
    <row r="632" spans="1:80" s="120" customFormat="1" ht="15" customHeight="1">
      <c r="A632" s="294" t="s">
        <v>236</v>
      </c>
      <c r="B632" s="214">
        <v>2010</v>
      </c>
      <c r="C632" s="117" t="s">
        <v>3089</v>
      </c>
      <c r="D632" s="117" t="s">
        <v>3665</v>
      </c>
      <c r="E632" s="452" t="s">
        <v>86</v>
      </c>
      <c r="F632" s="117"/>
      <c r="G632" s="117" t="s">
        <v>24</v>
      </c>
      <c r="H632" s="117" t="str">
        <f t="shared" si="96"/>
        <v>yes</v>
      </c>
      <c r="I632" s="117" t="str">
        <f t="shared" si="97"/>
        <v>no</v>
      </c>
      <c r="J632" s="117" t="str">
        <f t="shared" si="98"/>
        <v>no</v>
      </c>
      <c r="K632" s="117" t="s">
        <v>980</v>
      </c>
      <c r="L632" s="117" t="str">
        <f t="shared" si="106"/>
        <v>detailed</v>
      </c>
      <c r="M632" s="117" t="str">
        <f t="shared" si="99"/>
        <v>detailed Mining</v>
      </c>
      <c r="N632" s="179">
        <v>374000</v>
      </c>
      <c r="O632" s="179"/>
      <c r="P632" s="179"/>
      <c r="Q632" s="179"/>
      <c r="R632" s="179"/>
      <c r="S632" s="117" t="s">
        <v>981</v>
      </c>
      <c r="T632" s="119">
        <v>74.72</v>
      </c>
      <c r="U632" s="117" t="s">
        <v>982</v>
      </c>
      <c r="V632" s="117" t="s">
        <v>1188</v>
      </c>
      <c r="W632" s="89">
        <f>N632*T632</f>
        <v>27945280</v>
      </c>
      <c r="X632" s="117"/>
      <c r="Y632" s="117"/>
      <c r="Z632" s="117"/>
      <c r="AA632" s="89">
        <v>599058.55836350098</v>
      </c>
      <c r="AB632" s="89"/>
      <c r="AC632" s="240"/>
      <c r="AD632" s="240"/>
      <c r="AE632" s="240"/>
      <c r="AF632" s="241">
        <f t="shared" si="109"/>
        <v>2.1436842227506792E-2</v>
      </c>
      <c r="AG632" s="117"/>
      <c r="AH632" s="124"/>
      <c r="AI632" s="117"/>
      <c r="AJ632" s="117"/>
      <c r="AK632" s="89"/>
      <c r="AL632" s="117"/>
      <c r="AM632" s="117"/>
      <c r="AN632" s="117"/>
      <c r="AO632" s="117"/>
      <c r="AP632" s="117"/>
      <c r="AQ632" s="117"/>
      <c r="AR632" s="117"/>
      <c r="AS632" s="117"/>
      <c r="AT632" s="117"/>
      <c r="AU632" s="117"/>
      <c r="AV632" s="128" t="s">
        <v>1289</v>
      </c>
      <c r="AW632" s="117">
        <f>VLOOKUP($D632,'WB Data'!$C$3:$M$578,2,FALSE)</f>
        <v>4735956475.8338232</v>
      </c>
      <c r="AX632" s="117">
        <f>VLOOKUP($D632,'WB Data'!$C$3:$M$578,3,FALSE)</f>
        <v>10876033</v>
      </c>
      <c r="AY632" s="847" t="str">
        <f t="shared" si="102"/>
        <v>..</v>
      </c>
      <c r="AZ632" s="117" t="e">
        <f>VLOOKUP($D632,'WB Data'!$C$3:$M$578,4,FALSE)/100</f>
        <v>#VALUE!</v>
      </c>
      <c r="BA632" s="117" t="str">
        <f t="shared" si="103"/>
        <v>..</v>
      </c>
      <c r="BB632" s="129" t="str">
        <f>IFERROR(VLOOKUP($D632,'EITI Revenues'!$C$2:$G$224,5,FALSE),"..")</f>
        <v>..</v>
      </c>
      <c r="BC632" s="846" t="str">
        <f t="shared" si="104"/>
        <v>..</v>
      </c>
      <c r="BD632" s="129" t="str">
        <f>VLOOKUP($D632,'WB Data 2'!$C$2:$K$545,6,FALSE)</f>
        <v>..</v>
      </c>
      <c r="BE632" s="129" t="str">
        <f>IFERROR(VLOOKUP($D632,UNCTAD!$C$5:$V$529,4,FALSE),"..")</f>
        <v>..</v>
      </c>
      <c r="BF632" s="846" t="str">
        <f t="shared" si="105"/>
        <v>..</v>
      </c>
      <c r="BG632" s="117">
        <f>VLOOKUP($D632,'WB Data'!$C$3:$M$578,5,FALSE)</f>
        <v>217700000</v>
      </c>
      <c r="BH632" s="129" t="str">
        <f>IFERROR($BB632/$BG632,"..")</f>
        <v>..</v>
      </c>
      <c r="BI632" s="117">
        <f>IFERROR(VLOOKUP($D632,'WB Data'!$C$3:$M$578,7,FALSE)/100,"..")</f>
        <v>3.6918600000000003E-2</v>
      </c>
      <c r="BJ632" s="117">
        <f>IFERROR($BI632*$AW632,"..")</f>
        <v>174844882.74871859</v>
      </c>
      <c r="BK632" s="846" t="str">
        <f>IFERROR($BB632/$BJ632,"..")</f>
        <v>..</v>
      </c>
      <c r="BL632" s="117">
        <f>IFERROR(VLOOKUP($D632,'WB Data'!$C$3:$M$578,7,FALSE)/100,"..")</f>
        <v>3.6918600000000003E-2</v>
      </c>
      <c r="BM632" s="117">
        <f>IFERROR($AW632*$BL632,"..")</f>
        <v>174844882.74871859</v>
      </c>
      <c r="BN632" s="846" t="str">
        <f>IFERROR($BB632/$BM632,"..")</f>
        <v>..</v>
      </c>
      <c r="BO632" s="801">
        <f t="shared" si="101"/>
        <v>25</v>
      </c>
      <c r="BP632" s="117" t="str">
        <f>VLOOKUP($D632,'WB Data'!$C$3:$M$578,9,FALSE)</f>
        <v>..</v>
      </c>
      <c r="BQ632" s="117">
        <f>VLOOKUP($D632,'WB Data'!$C$3:$M$578,10,FALSE)</f>
        <v>55.298000000000009</v>
      </c>
      <c r="BR632" s="117">
        <f>VLOOKUP($D632,'WB Data'!$C$3:$M$578,11,FALSE)</f>
        <v>71.400000000000006</v>
      </c>
      <c r="BS632" s="129">
        <f>IFERROR(VLOOKUP($D632,'WB Data 2'!$C$2:$K$545,9,FALSE),"..")</f>
        <v>72.047970000000007</v>
      </c>
      <c r="BT632" s="129" t="str">
        <f>_xlfn.IFNA(VLOOKUP($C632,RGI!$A$2:$C$43,2,FALSE),"..")</f>
        <v>..</v>
      </c>
      <c r="BU632" s="129" t="str">
        <f>_xlfn.IFNA(VLOOKUP($C632,RGI!$A$2:$C$43,3,FALSE),"..")</f>
        <v>..</v>
      </c>
      <c r="BV632" s="129">
        <f>VLOOKUP($D632,WGI!$C$2:$O$478,7,FALSE)</f>
        <v>-0.94665409682159996</v>
      </c>
      <c r="BW632" s="129">
        <f>VLOOKUP($D632,WGI!$C$2:$O$478,4,FALSE)</f>
        <v>-1.68228926294157</v>
      </c>
      <c r="BX632" s="129">
        <f>VLOOKUP($D632,WGI!$C$2:$O$478,3,FALSE)</f>
        <v>-1.13092764919197</v>
      </c>
      <c r="BY632" s="129">
        <f>VLOOKUP($D632,WGI!$C$2:$O$478,5,FALSE)</f>
        <v>-1.0809142207589799</v>
      </c>
      <c r="BZ632" s="129">
        <f>VLOOKUP($D632,WGI!$C$2:$O$478,2,FALSE)</f>
        <v>-1.1922492001565099</v>
      </c>
      <c r="CB632" s="129"/>
    </row>
    <row r="633" spans="1:80" s="120" customFormat="1" ht="15" customHeight="1">
      <c r="A633" s="294" t="s">
        <v>236</v>
      </c>
      <c r="B633" s="214">
        <v>2010</v>
      </c>
      <c r="C633" s="117" t="s">
        <v>3089</v>
      </c>
      <c r="D633" s="117" t="s">
        <v>3665</v>
      </c>
      <c r="E633" s="452" t="s">
        <v>86</v>
      </c>
      <c r="F633" s="117"/>
      <c r="G633" s="117" t="s">
        <v>24</v>
      </c>
      <c r="H633" s="117" t="str">
        <f t="shared" si="96"/>
        <v>yes</v>
      </c>
      <c r="I633" s="117" t="str">
        <f t="shared" si="97"/>
        <v>no</v>
      </c>
      <c r="J633" s="117" t="str">
        <f t="shared" si="98"/>
        <v>no</v>
      </c>
      <c r="K633" s="117" t="s">
        <v>784</v>
      </c>
      <c r="L633" s="117" t="str">
        <f t="shared" si="106"/>
        <v>detailed</v>
      </c>
      <c r="M633" s="117" t="str">
        <f t="shared" si="99"/>
        <v>detailed Mining</v>
      </c>
      <c r="N633" s="179">
        <f>15217*32.150743126506</f>
        <v>489237.85815604182</v>
      </c>
      <c r="O633" s="179"/>
      <c r="P633" s="179"/>
      <c r="Q633" s="179"/>
      <c r="R633" s="179"/>
      <c r="S633" s="117" t="s">
        <v>785</v>
      </c>
      <c r="T633" s="119">
        <f>1224.66425*1.0595</f>
        <v>1297.5317728750001</v>
      </c>
      <c r="U633" s="117" t="s">
        <v>786</v>
      </c>
      <c r="V633" s="117" t="s">
        <v>1274</v>
      </c>
      <c r="W633" s="89">
        <f>N633*T633</f>
        <v>634801665.45077682</v>
      </c>
      <c r="X633" s="117"/>
      <c r="Y633" s="117"/>
      <c r="Z633" s="117"/>
      <c r="AA633" s="89">
        <v>110045110.42003706</v>
      </c>
      <c r="AB633" s="89">
        <v>110857144.63824849</v>
      </c>
      <c r="AC633" s="240"/>
      <c r="AD633" s="240"/>
      <c r="AE633" s="240"/>
      <c r="AF633" s="241">
        <f t="shared" si="109"/>
        <v>0.17335353136147383</v>
      </c>
      <c r="AG633" s="117"/>
      <c r="AH633" s="124"/>
      <c r="AI633" s="117"/>
      <c r="AJ633" s="117"/>
      <c r="AK633" s="89"/>
      <c r="AL633" s="117"/>
      <c r="AM633" s="117"/>
      <c r="AN633" s="117"/>
      <c r="AO633" s="117"/>
      <c r="AP633" s="117"/>
      <c r="AQ633" s="117"/>
      <c r="AR633" s="117"/>
      <c r="AS633" s="117"/>
      <c r="AT633" s="117"/>
      <c r="AU633" s="117"/>
      <c r="AV633" s="128" t="s">
        <v>1290</v>
      </c>
      <c r="AW633" s="117">
        <f>VLOOKUP($D633,'WB Data'!$C$3:$M$578,2,FALSE)</f>
        <v>4735956475.8338232</v>
      </c>
      <c r="AX633" s="117">
        <f>VLOOKUP($D633,'WB Data'!$C$3:$M$578,3,FALSE)</f>
        <v>10876033</v>
      </c>
      <c r="AY633" s="847" t="str">
        <f t="shared" si="102"/>
        <v>..</v>
      </c>
      <c r="AZ633" s="117" t="e">
        <f>VLOOKUP($D633,'WB Data'!$C$3:$M$578,4,FALSE)/100</f>
        <v>#VALUE!</v>
      </c>
      <c r="BA633" s="117" t="str">
        <f t="shared" si="103"/>
        <v>..</v>
      </c>
      <c r="BB633" s="129" t="str">
        <f>IFERROR(VLOOKUP($D633,'EITI Revenues'!$C$2:$G$224,5,FALSE),"..")</f>
        <v>..</v>
      </c>
      <c r="BC633" s="846" t="str">
        <f t="shared" si="104"/>
        <v>..</v>
      </c>
      <c r="BD633" s="129" t="str">
        <f>VLOOKUP($D633,'WB Data 2'!$C$2:$K$545,6,FALSE)</f>
        <v>..</v>
      </c>
      <c r="BE633" s="129" t="str">
        <f>IFERROR(VLOOKUP($D633,UNCTAD!$C$5:$V$529,4,FALSE),"..")</f>
        <v>..</v>
      </c>
      <c r="BF633" s="846" t="str">
        <f t="shared" si="105"/>
        <v>..</v>
      </c>
      <c r="BG633" s="117">
        <f>VLOOKUP($D633,'WB Data'!$C$3:$M$578,5,FALSE)</f>
        <v>217700000</v>
      </c>
      <c r="BH633" s="129" t="str">
        <f>IFERROR($BB633/$BG633,"..")</f>
        <v>..</v>
      </c>
      <c r="BI633" s="117">
        <f>IFERROR(VLOOKUP($D633,'WB Data'!$C$3:$M$578,7,FALSE)/100,"..")</f>
        <v>3.6918600000000003E-2</v>
      </c>
      <c r="BJ633" s="117">
        <f>IFERROR($BI633*$AW633,"..")</f>
        <v>174844882.74871859</v>
      </c>
      <c r="BK633" s="846" t="str">
        <f>IFERROR($BB633/$BJ633,"..")</f>
        <v>..</v>
      </c>
      <c r="BL633" s="117">
        <f>IFERROR(VLOOKUP($D633,'WB Data'!$C$3:$M$578,7,FALSE)/100,"..")</f>
        <v>3.6918600000000003E-2</v>
      </c>
      <c r="BM633" s="117">
        <f>IFERROR($AW633*$BL633,"..")</f>
        <v>174844882.74871859</v>
      </c>
      <c r="BN633" s="846" t="str">
        <f>IFERROR($BB633/$BM633,"..")</f>
        <v>..</v>
      </c>
      <c r="BO633" s="801">
        <f t="shared" si="101"/>
        <v>25</v>
      </c>
      <c r="BP633" s="117" t="str">
        <f>VLOOKUP($D633,'WB Data'!$C$3:$M$578,9,FALSE)</f>
        <v>..</v>
      </c>
      <c r="BQ633" s="117">
        <f>VLOOKUP($D633,'WB Data'!$C$3:$M$578,10,FALSE)</f>
        <v>55.298000000000009</v>
      </c>
      <c r="BR633" s="117">
        <f>VLOOKUP($D633,'WB Data'!$C$3:$M$578,11,FALSE)</f>
        <v>71.400000000000006</v>
      </c>
      <c r="BS633" s="129">
        <f>IFERROR(VLOOKUP($D633,'WB Data 2'!$C$2:$K$545,9,FALSE),"..")</f>
        <v>72.047970000000007</v>
      </c>
      <c r="BT633" s="129" t="str">
        <f>_xlfn.IFNA(VLOOKUP($C633,RGI!$A$2:$C$43,2,FALSE),"..")</f>
        <v>..</v>
      </c>
      <c r="BU633" s="129" t="str">
        <f>_xlfn.IFNA(VLOOKUP($C633,RGI!$A$2:$C$43,3,FALSE),"..")</f>
        <v>..</v>
      </c>
      <c r="BV633" s="129">
        <f>VLOOKUP($D633,WGI!$C$2:$O$478,7,FALSE)</f>
        <v>-0.94665409682159996</v>
      </c>
      <c r="BW633" s="129">
        <f>VLOOKUP($D633,WGI!$C$2:$O$478,4,FALSE)</f>
        <v>-1.68228926294157</v>
      </c>
      <c r="BX633" s="129">
        <f>VLOOKUP($D633,WGI!$C$2:$O$478,3,FALSE)</f>
        <v>-1.13092764919197</v>
      </c>
      <c r="BY633" s="129">
        <f>VLOOKUP($D633,WGI!$C$2:$O$478,5,FALSE)</f>
        <v>-1.0809142207589799</v>
      </c>
      <c r="BZ633" s="129">
        <f>VLOOKUP($D633,WGI!$C$2:$O$478,2,FALSE)</f>
        <v>-1.1922492001565099</v>
      </c>
      <c r="CB633" s="129"/>
    </row>
    <row r="634" spans="1:80" s="158" customFormat="1" ht="15" customHeight="1">
      <c r="A634" s="295" t="s">
        <v>236</v>
      </c>
      <c r="B634" s="218">
        <v>2010</v>
      </c>
      <c r="C634" s="117" t="s">
        <v>3089</v>
      </c>
      <c r="D634" s="117" t="s">
        <v>3665</v>
      </c>
      <c r="E634" s="453" t="s">
        <v>86</v>
      </c>
      <c r="F634" s="149"/>
      <c r="G634" s="149" t="s">
        <v>24</v>
      </c>
      <c r="H634" s="149" t="str">
        <f t="shared" si="96"/>
        <v>yes</v>
      </c>
      <c r="I634" s="149" t="str">
        <f t="shared" si="97"/>
        <v>no</v>
      </c>
      <c r="J634" s="149" t="str">
        <f t="shared" si="98"/>
        <v>no</v>
      </c>
      <c r="K634" s="149" t="s">
        <v>1291</v>
      </c>
      <c r="L634" s="149" t="str">
        <f t="shared" si="106"/>
        <v>detailed</v>
      </c>
      <c r="M634" s="149" t="str">
        <f t="shared" si="99"/>
        <v>detailed Mining</v>
      </c>
      <c r="N634" s="216">
        <v>0</v>
      </c>
      <c r="O634" s="216"/>
      <c r="P634" s="216"/>
      <c r="Q634" s="216"/>
      <c r="R634" s="216"/>
      <c r="S634" s="149" t="s">
        <v>610</v>
      </c>
      <c r="T634" s="151"/>
      <c r="U634" s="149"/>
      <c r="V634" s="149" t="s">
        <v>725</v>
      </c>
      <c r="W634" s="152"/>
      <c r="X634" s="149"/>
      <c r="Y634" s="149"/>
      <c r="Z634" s="149"/>
      <c r="AA634" s="152">
        <v>2441692.924150832</v>
      </c>
      <c r="AB634" s="152">
        <v>3894506.795420297</v>
      </c>
      <c r="AC634" s="288"/>
      <c r="AD634" s="288"/>
      <c r="AE634" s="288"/>
      <c r="AF634" s="285"/>
      <c r="AG634" s="149"/>
      <c r="AH634" s="156"/>
      <c r="AI634" s="149"/>
      <c r="AJ634" s="149"/>
      <c r="AK634" s="152"/>
      <c r="AL634" s="149"/>
      <c r="AM634" s="149"/>
      <c r="AN634" s="149"/>
      <c r="AO634" s="149"/>
      <c r="AP634" s="149"/>
      <c r="AQ634" s="149"/>
      <c r="AR634" s="149"/>
      <c r="AS634" s="149"/>
      <c r="AT634" s="149"/>
      <c r="AU634" s="149"/>
      <c r="AV634" s="157" t="s">
        <v>1292</v>
      </c>
      <c r="AW634" s="117">
        <f>VLOOKUP($D634,'WB Data'!$C$3:$M$578,2,FALSE)</f>
        <v>4735956475.8338232</v>
      </c>
      <c r="AX634" s="117">
        <f>VLOOKUP($D634,'WB Data'!$C$3:$M$578,3,FALSE)</f>
        <v>10876033</v>
      </c>
      <c r="AY634" s="847" t="str">
        <f t="shared" si="102"/>
        <v>..</v>
      </c>
      <c r="AZ634" s="117" t="e">
        <f>VLOOKUP($D634,'WB Data'!$C$3:$M$578,4,FALSE)/100</f>
        <v>#VALUE!</v>
      </c>
      <c r="BA634" s="117" t="str">
        <f t="shared" si="103"/>
        <v>..</v>
      </c>
      <c r="BB634" s="129" t="str">
        <f>IFERROR(VLOOKUP($D634,'EITI Revenues'!$C$2:$G$224,5,FALSE),"..")</f>
        <v>..</v>
      </c>
      <c r="BC634" s="846" t="str">
        <f t="shared" si="104"/>
        <v>..</v>
      </c>
      <c r="BD634" s="129" t="str">
        <f>VLOOKUP($D634,'WB Data 2'!$C$2:$K$545,6,FALSE)</f>
        <v>..</v>
      </c>
      <c r="BE634" s="129" t="str">
        <f>IFERROR(VLOOKUP($D634,UNCTAD!$C$5:$V$529,4,FALSE),"..")</f>
        <v>..</v>
      </c>
      <c r="BF634" s="846" t="str">
        <f t="shared" si="105"/>
        <v>..</v>
      </c>
      <c r="BG634" s="117">
        <f>VLOOKUP($D634,'WB Data'!$C$3:$M$578,5,FALSE)</f>
        <v>217700000</v>
      </c>
      <c r="BH634" s="129" t="str">
        <f>IFERROR($BB634/$BG634,"..")</f>
        <v>..</v>
      </c>
      <c r="BI634" s="117">
        <f>IFERROR(VLOOKUP($D634,'WB Data'!$C$3:$M$578,7,FALSE)/100,"..")</f>
        <v>3.6918600000000003E-2</v>
      </c>
      <c r="BJ634" s="117">
        <f>IFERROR($BI634*$AW634,"..")</f>
        <v>174844882.74871859</v>
      </c>
      <c r="BK634" s="846" t="str">
        <f>IFERROR($BB634/$BJ634,"..")</f>
        <v>..</v>
      </c>
      <c r="BL634" s="117">
        <f>IFERROR(VLOOKUP($D634,'WB Data'!$C$3:$M$578,7,FALSE)/100,"..")</f>
        <v>3.6918600000000003E-2</v>
      </c>
      <c r="BM634" s="117">
        <f>IFERROR($AW634*$BL634,"..")</f>
        <v>174844882.74871859</v>
      </c>
      <c r="BN634" s="846" t="str">
        <f>IFERROR($BB634/$BM634,"..")</f>
        <v>..</v>
      </c>
      <c r="BO634" s="801">
        <f t="shared" si="101"/>
        <v>25</v>
      </c>
      <c r="BP634" s="117" t="str">
        <f>VLOOKUP($D634,'WB Data'!$C$3:$M$578,9,FALSE)</f>
        <v>..</v>
      </c>
      <c r="BQ634" s="117">
        <f>VLOOKUP($D634,'WB Data'!$C$3:$M$578,10,FALSE)</f>
        <v>55.298000000000009</v>
      </c>
      <c r="BR634" s="117">
        <f>VLOOKUP($D634,'WB Data'!$C$3:$M$578,11,FALSE)</f>
        <v>71.400000000000006</v>
      </c>
      <c r="BS634" s="129">
        <f>IFERROR(VLOOKUP($D634,'WB Data 2'!$C$2:$K$545,9,FALSE),"..")</f>
        <v>72.047970000000007</v>
      </c>
      <c r="BT634" s="129" t="str">
        <f>_xlfn.IFNA(VLOOKUP($C634,RGI!$A$2:$C$43,2,FALSE),"..")</f>
        <v>..</v>
      </c>
      <c r="BU634" s="129" t="str">
        <f>_xlfn.IFNA(VLOOKUP($C634,RGI!$A$2:$C$43,3,FALSE),"..")</f>
        <v>..</v>
      </c>
      <c r="BV634" s="129">
        <f>VLOOKUP($D634,WGI!$C$2:$O$478,7,FALSE)</f>
        <v>-0.94665409682159996</v>
      </c>
      <c r="BW634" s="129">
        <f>VLOOKUP($D634,WGI!$C$2:$O$478,4,FALSE)</f>
        <v>-1.68228926294157</v>
      </c>
      <c r="BX634" s="129">
        <f>VLOOKUP($D634,WGI!$C$2:$O$478,3,FALSE)</f>
        <v>-1.13092764919197</v>
      </c>
      <c r="BY634" s="129">
        <f>VLOOKUP($D634,WGI!$C$2:$O$478,5,FALSE)</f>
        <v>-1.0809142207589799</v>
      </c>
      <c r="BZ634" s="129">
        <f>VLOOKUP($D634,WGI!$C$2:$O$478,2,FALSE)</f>
        <v>-1.1922492001565099</v>
      </c>
      <c r="CB634" s="129"/>
    </row>
    <row r="635" spans="1:80" ht="15" customHeight="1">
      <c r="A635" s="294" t="s">
        <v>238</v>
      </c>
      <c r="B635" s="214">
        <v>2011</v>
      </c>
      <c r="C635" s="117" t="s">
        <v>3089</v>
      </c>
      <c r="D635" s="117" t="s">
        <v>3699</v>
      </c>
      <c r="E635" s="452" t="s">
        <v>86</v>
      </c>
      <c r="F635" s="117" t="s">
        <v>1254</v>
      </c>
      <c r="G635" s="117" t="s">
        <v>24</v>
      </c>
      <c r="H635" s="117" t="str">
        <f t="shared" si="96"/>
        <v>yes</v>
      </c>
      <c r="I635" s="117" t="str">
        <f t="shared" si="97"/>
        <v>no</v>
      </c>
      <c r="J635" s="117" t="str">
        <f t="shared" si="98"/>
        <v>no</v>
      </c>
      <c r="K635" s="117" t="s">
        <v>709</v>
      </c>
      <c r="L635" s="117" t="str">
        <f t="shared" si="106"/>
        <v>Total</v>
      </c>
      <c r="M635" s="117" t="str">
        <f t="shared" si="99"/>
        <v>Total Mining</v>
      </c>
      <c r="N635" s="179"/>
      <c r="O635" s="179"/>
      <c r="P635" s="179"/>
      <c r="Q635" s="179"/>
      <c r="R635" s="179"/>
      <c r="S635" s="117"/>
      <c r="T635" s="119"/>
      <c r="U635" s="117"/>
      <c r="V635" s="117"/>
      <c r="W635" s="89">
        <f>SUM(W636:W639)</f>
        <v>1283736393.579596</v>
      </c>
      <c r="X635" s="117" t="s">
        <v>835</v>
      </c>
      <c r="Y635" s="117" t="s">
        <v>602</v>
      </c>
      <c r="Z635" s="117"/>
      <c r="AA635" s="90">
        <v>975948622.49588823</v>
      </c>
      <c r="AB635" s="90">
        <v>982235037.08119869</v>
      </c>
      <c r="AC635" s="122"/>
      <c r="AD635" s="122"/>
      <c r="AE635" s="122"/>
      <c r="AF635" s="123">
        <f>AA635/W635</f>
        <v>0.7602406750925973</v>
      </c>
      <c r="AG635" s="117" t="s">
        <v>1262</v>
      </c>
      <c r="AH635" s="124">
        <v>6669.93</v>
      </c>
      <c r="AI635" s="117" t="s">
        <v>722</v>
      </c>
      <c r="AJ635" s="117"/>
      <c r="AK635" s="89"/>
      <c r="AL635" s="117"/>
      <c r="AM635" s="117"/>
      <c r="AN635" s="117">
        <v>26</v>
      </c>
      <c r="AO635" s="117" t="s">
        <v>1293</v>
      </c>
      <c r="AP635" s="117">
        <v>26</v>
      </c>
      <c r="AQ635" s="117" t="s">
        <v>95</v>
      </c>
      <c r="AR635" s="126">
        <v>41953</v>
      </c>
      <c r="AS635" s="117" t="s">
        <v>838</v>
      </c>
      <c r="AT635" s="117" t="s">
        <v>239</v>
      </c>
      <c r="AU635" s="117" t="s">
        <v>1294</v>
      </c>
      <c r="AV635" s="128" t="s">
        <v>1295</v>
      </c>
      <c r="AW635" s="117">
        <f>VLOOKUP($D635,'WB Data'!$C$3:$M$578,2,FALSE)</f>
        <v>5067360041.1040449</v>
      </c>
      <c r="AX635" s="117">
        <f>VLOOKUP($D635,'WB Data'!$C$3:$M$578,3,FALSE)</f>
        <v>11161530</v>
      </c>
      <c r="AY635" s="847" t="str">
        <f t="shared" si="102"/>
        <v>..</v>
      </c>
      <c r="AZ635" s="117" t="e">
        <f>VLOOKUP($D635,'WB Data'!$C$3:$M$578,4,FALSE)/100</f>
        <v>#VALUE!</v>
      </c>
      <c r="BA635" s="117" t="str">
        <f t="shared" si="103"/>
        <v>..</v>
      </c>
      <c r="BB635" s="129" t="str">
        <f>IFERROR(VLOOKUP($D635,'EITI Revenues'!$C$2:$G$224,5,FALSE),"..")</f>
        <v>..</v>
      </c>
      <c r="BC635" s="846" t="str">
        <f t="shared" si="104"/>
        <v>..</v>
      </c>
      <c r="BD635" s="129" t="str">
        <f>VLOOKUP($D635,'WB Data 2'!$C$2:$K$545,6,FALSE)</f>
        <v>..</v>
      </c>
      <c r="BE635" s="129" t="str">
        <f>IFERROR(VLOOKUP($D635,UNCTAD!$C$5:$V$529,4,FALSE),"..")</f>
        <v>..</v>
      </c>
      <c r="BF635" s="846" t="str">
        <f t="shared" si="105"/>
        <v>..</v>
      </c>
      <c r="BG635" s="117">
        <f>VLOOKUP($D635,'WB Data'!$C$3:$M$578,5,FALSE)</f>
        <v>204490000</v>
      </c>
      <c r="BH635" s="129" t="str">
        <f>IFERROR($BB635/$BG635,"..")</f>
        <v>..</v>
      </c>
      <c r="BI635" s="117">
        <f>IFERROR(VLOOKUP($D635,'WB Data'!$C$3:$M$578,7,FALSE)/100,"..")</f>
        <v>3.0628300000000001E-2</v>
      </c>
      <c r="BJ635" s="117">
        <f>IFERROR($BI635*$AW635,"..")</f>
        <v>155204623.54694703</v>
      </c>
      <c r="BK635" s="846" t="str">
        <f>IFERROR($BB635/$BJ635,"..")</f>
        <v>..</v>
      </c>
      <c r="BL635" s="117">
        <f>IFERROR(VLOOKUP($D635,'WB Data'!$C$3:$M$578,7,FALSE)/100,"..")</f>
        <v>3.0628300000000001E-2</v>
      </c>
      <c r="BM635" s="117">
        <f>IFERROR($AW635*$BL635,"..")</f>
        <v>155204623.54694703</v>
      </c>
      <c r="BN635" s="846" t="str">
        <f>IFERROR($BB635/$BM635,"..")</f>
        <v>..</v>
      </c>
      <c r="BO635" s="801">
        <f t="shared" si="101"/>
        <v>25</v>
      </c>
      <c r="BP635" s="117" t="str">
        <f>VLOOKUP($D635,'WB Data'!$C$3:$M$578,9,FALSE)</f>
        <v>..</v>
      </c>
      <c r="BQ635" s="117">
        <f>VLOOKUP($D635,'WB Data'!$C$3:$M$578,10,FALSE)</f>
        <v>55.590195121951226</v>
      </c>
      <c r="BR635" s="117">
        <f>VLOOKUP($D635,'WB Data'!$C$3:$M$578,11,FALSE)</f>
        <v>69</v>
      </c>
      <c r="BS635" s="129">
        <f>IFERROR(VLOOKUP($D635,'WB Data 2'!$C$2:$K$545,9,FALSE),"..")</f>
        <v>76.09545</v>
      </c>
      <c r="BT635" s="129" t="str">
        <f>_xlfn.IFNA(VLOOKUP($C635,RGI!$A$2:$C$43,2,FALSE),"..")</f>
        <v>..</v>
      </c>
      <c r="BU635" s="129" t="str">
        <f>_xlfn.IFNA(VLOOKUP($C635,RGI!$A$2:$C$43,3,FALSE),"..")</f>
        <v>..</v>
      </c>
      <c r="BV635" s="129">
        <f>VLOOKUP($D635,WGI!$C$2:$O$478,7,FALSE)</f>
        <v>-0.96892483608290403</v>
      </c>
      <c r="BW635" s="129">
        <f>VLOOKUP($D635,WGI!$C$2:$O$478,4,FALSE)</f>
        <v>-1.3906600652963399</v>
      </c>
      <c r="BX635" s="129">
        <f>VLOOKUP($D635,WGI!$C$2:$O$478,3,FALSE)</f>
        <v>-1.1381946671673699</v>
      </c>
      <c r="BY635" s="129">
        <f>VLOOKUP($D635,WGI!$C$2:$O$478,5,FALSE)</f>
        <v>-1.0020478469227601</v>
      </c>
      <c r="BZ635" s="129">
        <f>VLOOKUP($D635,WGI!$C$2:$O$478,2,FALSE)</f>
        <v>-1.1654397101820499</v>
      </c>
    </row>
    <row r="636" spans="1:80" ht="15" customHeight="1">
      <c r="A636" s="294" t="s">
        <v>238</v>
      </c>
      <c r="B636" s="214">
        <v>2011</v>
      </c>
      <c r="C636" s="117" t="s">
        <v>3089</v>
      </c>
      <c r="D636" s="117" t="s">
        <v>3699</v>
      </c>
      <c r="E636" s="452" t="s">
        <v>86</v>
      </c>
      <c r="F636" s="117"/>
      <c r="G636" s="117" t="s">
        <v>24</v>
      </c>
      <c r="H636" s="117" t="str">
        <f t="shared" si="96"/>
        <v>yes</v>
      </c>
      <c r="I636" s="117" t="str">
        <f t="shared" si="97"/>
        <v>no</v>
      </c>
      <c r="J636" s="117" t="str">
        <f t="shared" si="98"/>
        <v>no</v>
      </c>
      <c r="K636" s="117" t="s">
        <v>1138</v>
      </c>
      <c r="L636" s="117" t="str">
        <f t="shared" si="106"/>
        <v>detailed</v>
      </c>
      <c r="M636" s="117" t="str">
        <f t="shared" si="99"/>
        <v>detailed Mining</v>
      </c>
      <c r="N636" s="179">
        <v>15300000</v>
      </c>
      <c r="O636" s="179"/>
      <c r="P636" s="179"/>
      <c r="Q636" s="179"/>
      <c r="R636" s="179"/>
      <c r="S636" s="117" t="s">
        <v>610</v>
      </c>
      <c r="T636" s="119">
        <v>26.25</v>
      </c>
      <c r="U636" s="117" t="s">
        <v>611</v>
      </c>
      <c r="V636" s="117" t="s">
        <v>1296</v>
      </c>
      <c r="W636" s="89">
        <f>N636*T636</f>
        <v>401625000</v>
      </c>
      <c r="X636" s="117">
        <f>T636/30.49</f>
        <v>0.86093801246310275</v>
      </c>
      <c r="Y636" s="117"/>
      <c r="Z636" s="117"/>
      <c r="AA636" s="117"/>
      <c r="AB636" s="117"/>
      <c r="AC636" s="240"/>
      <c r="AD636" s="240"/>
      <c r="AE636" s="240"/>
      <c r="AF636" s="241"/>
      <c r="AG636" s="117"/>
      <c r="AH636" s="124"/>
      <c r="AI636" s="117"/>
      <c r="AJ636" s="117"/>
      <c r="AK636" s="89"/>
      <c r="AL636" s="117"/>
      <c r="AM636" s="117"/>
      <c r="AN636" s="117"/>
      <c r="AO636" s="117"/>
      <c r="AP636" s="117"/>
      <c r="AQ636" s="117"/>
      <c r="AR636" s="117"/>
      <c r="AS636" s="117"/>
      <c r="AT636" s="117"/>
      <c r="AU636" s="117"/>
      <c r="AV636" s="128"/>
      <c r="AW636" s="117">
        <f>VLOOKUP($D636,'WB Data'!$C$3:$M$578,2,FALSE)</f>
        <v>5067360041.1040449</v>
      </c>
      <c r="AX636" s="117">
        <f>VLOOKUP($D636,'WB Data'!$C$3:$M$578,3,FALSE)</f>
        <v>11161530</v>
      </c>
      <c r="AY636" s="847" t="str">
        <f t="shared" si="102"/>
        <v>..</v>
      </c>
      <c r="AZ636" s="117" t="e">
        <f>VLOOKUP($D636,'WB Data'!$C$3:$M$578,4,FALSE)/100</f>
        <v>#VALUE!</v>
      </c>
      <c r="BA636" s="117" t="str">
        <f t="shared" si="103"/>
        <v>..</v>
      </c>
      <c r="BB636" s="129" t="str">
        <f>IFERROR(VLOOKUP($D636,'EITI Revenues'!$C$2:$G$224,5,FALSE),"..")</f>
        <v>..</v>
      </c>
      <c r="BC636" s="846" t="str">
        <f t="shared" si="104"/>
        <v>..</v>
      </c>
      <c r="BD636" s="129" t="str">
        <f>VLOOKUP($D636,'WB Data 2'!$C$2:$K$545,6,FALSE)</f>
        <v>..</v>
      </c>
      <c r="BE636" s="129" t="str">
        <f>IFERROR(VLOOKUP($D636,UNCTAD!$C$5:$V$529,4,FALSE),"..")</f>
        <v>..</v>
      </c>
      <c r="BF636" s="846" t="str">
        <f t="shared" si="105"/>
        <v>..</v>
      </c>
      <c r="BG636" s="117">
        <f>VLOOKUP($D636,'WB Data'!$C$3:$M$578,5,FALSE)</f>
        <v>204490000</v>
      </c>
      <c r="BH636" s="129" t="str">
        <f>IFERROR($BB636/$BG636,"..")</f>
        <v>..</v>
      </c>
      <c r="BI636" s="117">
        <f>IFERROR(VLOOKUP($D636,'WB Data'!$C$3:$M$578,7,FALSE)/100,"..")</f>
        <v>3.0628300000000001E-2</v>
      </c>
      <c r="BJ636" s="117">
        <f>IFERROR($BI636*$AW636,"..")</f>
        <v>155204623.54694703</v>
      </c>
      <c r="BK636" s="846" t="str">
        <f>IFERROR($BB636/$BJ636,"..")</f>
        <v>..</v>
      </c>
      <c r="BL636" s="117">
        <f>IFERROR(VLOOKUP($D636,'WB Data'!$C$3:$M$578,7,FALSE)/100,"..")</f>
        <v>3.0628300000000001E-2</v>
      </c>
      <c r="BM636" s="117">
        <f>IFERROR($AW636*$BL636,"..")</f>
        <v>155204623.54694703</v>
      </c>
      <c r="BN636" s="846" t="str">
        <f>IFERROR($BB636/$BM636,"..")</f>
        <v>..</v>
      </c>
      <c r="BO636" s="801">
        <f t="shared" si="101"/>
        <v>25</v>
      </c>
      <c r="BP636" s="117" t="str">
        <f>VLOOKUP($D636,'WB Data'!$C$3:$M$578,9,FALSE)</f>
        <v>..</v>
      </c>
      <c r="BQ636" s="117">
        <f>VLOOKUP($D636,'WB Data'!$C$3:$M$578,10,FALSE)</f>
        <v>55.590195121951226</v>
      </c>
      <c r="BR636" s="117">
        <f>VLOOKUP($D636,'WB Data'!$C$3:$M$578,11,FALSE)</f>
        <v>69</v>
      </c>
      <c r="BS636" s="129">
        <f>IFERROR(VLOOKUP($D636,'WB Data 2'!$C$2:$K$545,9,FALSE),"..")</f>
        <v>76.09545</v>
      </c>
      <c r="BT636" s="129" t="str">
        <f>_xlfn.IFNA(VLOOKUP($C636,RGI!$A$2:$C$43,2,FALSE),"..")</f>
        <v>..</v>
      </c>
      <c r="BU636" s="129" t="str">
        <f>_xlfn.IFNA(VLOOKUP($C636,RGI!$A$2:$C$43,3,FALSE),"..")</f>
        <v>..</v>
      </c>
      <c r="BV636" s="129">
        <f>VLOOKUP($D636,WGI!$C$2:$O$478,7,FALSE)</f>
        <v>-0.96892483608290403</v>
      </c>
      <c r="BW636" s="129">
        <f>VLOOKUP($D636,WGI!$C$2:$O$478,4,FALSE)</f>
        <v>-1.3906600652963399</v>
      </c>
      <c r="BX636" s="129">
        <f>VLOOKUP($D636,WGI!$C$2:$O$478,3,FALSE)</f>
        <v>-1.1381946671673699</v>
      </c>
      <c r="BY636" s="129">
        <f>VLOOKUP($D636,WGI!$C$2:$O$478,5,FALSE)</f>
        <v>-1.0020478469227601</v>
      </c>
      <c r="BZ636" s="129">
        <f>VLOOKUP($D636,WGI!$C$2:$O$478,2,FALSE)</f>
        <v>-1.1654397101820499</v>
      </c>
    </row>
    <row r="637" spans="1:80" ht="15" customHeight="1">
      <c r="A637" s="294" t="s">
        <v>238</v>
      </c>
      <c r="B637" s="214">
        <v>2011</v>
      </c>
      <c r="C637" s="117" t="s">
        <v>3089</v>
      </c>
      <c r="D637" s="117" t="s">
        <v>3699</v>
      </c>
      <c r="E637" s="452" t="s">
        <v>86</v>
      </c>
      <c r="F637" s="117"/>
      <c r="G637" s="117" t="s">
        <v>24</v>
      </c>
      <c r="H637" s="117" t="str">
        <f t="shared" si="96"/>
        <v>yes</v>
      </c>
      <c r="I637" s="117" t="str">
        <f t="shared" si="97"/>
        <v>no</v>
      </c>
      <c r="J637" s="117" t="str">
        <f t="shared" si="98"/>
        <v>no</v>
      </c>
      <c r="K637" s="117" t="s">
        <v>980</v>
      </c>
      <c r="L637" s="117" t="str">
        <f t="shared" si="106"/>
        <v>detailed</v>
      </c>
      <c r="M637" s="117" t="str">
        <f t="shared" si="99"/>
        <v>detailed Mining</v>
      </c>
      <c r="N637" s="179">
        <v>304000</v>
      </c>
      <c r="O637" s="179"/>
      <c r="P637" s="179"/>
      <c r="Q637" s="179"/>
      <c r="R637" s="179"/>
      <c r="S637" s="117" t="s">
        <v>981</v>
      </c>
      <c r="T637" s="119">
        <v>109.95</v>
      </c>
      <c r="U637" s="117" t="s">
        <v>982</v>
      </c>
      <c r="V637" s="117" t="s">
        <v>1200</v>
      </c>
      <c r="W637" s="89">
        <f>N637*T637</f>
        <v>33424800</v>
      </c>
      <c r="X637" s="117"/>
      <c r="Y637" s="117"/>
      <c r="Z637" s="117"/>
      <c r="AA637" s="117"/>
      <c r="AB637" s="117"/>
      <c r="AC637" s="240"/>
      <c r="AD637" s="240"/>
      <c r="AE637" s="240"/>
      <c r="AF637" s="241"/>
      <c r="AG637" s="117"/>
      <c r="AH637" s="124"/>
      <c r="AI637" s="117"/>
      <c r="AJ637" s="117"/>
      <c r="AK637" s="89"/>
      <c r="AL637" s="117"/>
      <c r="AM637" s="117"/>
      <c r="AN637" s="117"/>
      <c r="AO637" s="117"/>
      <c r="AP637" s="117"/>
      <c r="AQ637" s="117"/>
      <c r="AR637" s="117"/>
      <c r="AS637" s="117"/>
      <c r="AT637" s="117"/>
      <c r="AU637" s="117"/>
      <c r="AV637" s="128"/>
      <c r="AW637" s="117">
        <f>VLOOKUP($D637,'WB Data'!$C$3:$M$578,2,FALSE)</f>
        <v>5067360041.1040449</v>
      </c>
      <c r="AX637" s="117">
        <f>VLOOKUP($D637,'WB Data'!$C$3:$M$578,3,FALSE)</f>
        <v>11161530</v>
      </c>
      <c r="AY637" s="847" t="str">
        <f t="shared" si="102"/>
        <v>..</v>
      </c>
      <c r="AZ637" s="117" t="e">
        <f>VLOOKUP($D637,'WB Data'!$C$3:$M$578,4,FALSE)/100</f>
        <v>#VALUE!</v>
      </c>
      <c r="BA637" s="117" t="str">
        <f t="shared" si="103"/>
        <v>..</v>
      </c>
      <c r="BB637" s="129" t="str">
        <f>IFERROR(VLOOKUP($D637,'EITI Revenues'!$C$2:$G$224,5,FALSE),"..")</f>
        <v>..</v>
      </c>
      <c r="BC637" s="846" t="str">
        <f t="shared" si="104"/>
        <v>..</v>
      </c>
      <c r="BD637" s="129" t="str">
        <f>VLOOKUP($D637,'WB Data 2'!$C$2:$K$545,6,FALSE)</f>
        <v>..</v>
      </c>
      <c r="BE637" s="129" t="str">
        <f>IFERROR(VLOOKUP($D637,UNCTAD!$C$5:$V$529,4,FALSE),"..")</f>
        <v>..</v>
      </c>
      <c r="BF637" s="846" t="str">
        <f t="shared" si="105"/>
        <v>..</v>
      </c>
      <c r="BG637" s="117">
        <f>VLOOKUP($D637,'WB Data'!$C$3:$M$578,5,FALSE)</f>
        <v>204490000</v>
      </c>
      <c r="BH637" s="129" t="str">
        <f>IFERROR($BB637/$BG637,"..")</f>
        <v>..</v>
      </c>
      <c r="BI637" s="117">
        <f>IFERROR(VLOOKUP($D637,'WB Data'!$C$3:$M$578,7,FALSE)/100,"..")</f>
        <v>3.0628300000000001E-2</v>
      </c>
      <c r="BJ637" s="117">
        <f>IFERROR($BI637*$AW637,"..")</f>
        <v>155204623.54694703</v>
      </c>
      <c r="BK637" s="846" t="str">
        <f>IFERROR($BB637/$BJ637,"..")</f>
        <v>..</v>
      </c>
      <c r="BL637" s="117">
        <f>IFERROR(VLOOKUP($D637,'WB Data'!$C$3:$M$578,7,FALSE)/100,"..")</f>
        <v>3.0628300000000001E-2</v>
      </c>
      <c r="BM637" s="117">
        <f>IFERROR($AW637*$BL637,"..")</f>
        <v>155204623.54694703</v>
      </c>
      <c r="BN637" s="846" t="str">
        <f>IFERROR($BB637/$BM637,"..")</f>
        <v>..</v>
      </c>
      <c r="BO637" s="801">
        <f t="shared" si="101"/>
        <v>25</v>
      </c>
      <c r="BP637" s="117" t="str">
        <f>VLOOKUP($D637,'WB Data'!$C$3:$M$578,9,FALSE)</f>
        <v>..</v>
      </c>
      <c r="BQ637" s="117">
        <f>VLOOKUP($D637,'WB Data'!$C$3:$M$578,10,FALSE)</f>
        <v>55.590195121951226</v>
      </c>
      <c r="BR637" s="117">
        <f>VLOOKUP($D637,'WB Data'!$C$3:$M$578,11,FALSE)</f>
        <v>69</v>
      </c>
      <c r="BS637" s="129">
        <f>IFERROR(VLOOKUP($D637,'WB Data 2'!$C$2:$K$545,9,FALSE),"..")</f>
        <v>76.09545</v>
      </c>
      <c r="BT637" s="129" t="str">
        <f>_xlfn.IFNA(VLOOKUP($C637,RGI!$A$2:$C$43,2,FALSE),"..")</f>
        <v>..</v>
      </c>
      <c r="BU637" s="129" t="str">
        <f>_xlfn.IFNA(VLOOKUP($C637,RGI!$A$2:$C$43,3,FALSE),"..")</f>
        <v>..</v>
      </c>
      <c r="BV637" s="129">
        <f>VLOOKUP($D637,WGI!$C$2:$O$478,7,FALSE)</f>
        <v>-0.96892483608290403</v>
      </c>
      <c r="BW637" s="129">
        <f>VLOOKUP($D637,WGI!$C$2:$O$478,4,FALSE)</f>
        <v>-1.3906600652963399</v>
      </c>
      <c r="BX637" s="129">
        <f>VLOOKUP($D637,WGI!$C$2:$O$478,3,FALSE)</f>
        <v>-1.1381946671673699</v>
      </c>
      <c r="BY637" s="129">
        <f>VLOOKUP($D637,WGI!$C$2:$O$478,5,FALSE)</f>
        <v>-1.0020478469227601</v>
      </c>
      <c r="BZ637" s="129">
        <f>VLOOKUP($D637,WGI!$C$2:$O$478,2,FALSE)</f>
        <v>-1.1654397101820499</v>
      </c>
    </row>
    <row r="638" spans="1:80" ht="15" customHeight="1">
      <c r="A638" s="294" t="s">
        <v>238</v>
      </c>
      <c r="B638" s="214">
        <v>2011</v>
      </c>
      <c r="C638" s="117" t="s">
        <v>3089</v>
      </c>
      <c r="D638" s="117" t="s">
        <v>3699</v>
      </c>
      <c r="E638" s="452" t="s">
        <v>86</v>
      </c>
      <c r="F638" s="117"/>
      <c r="G638" s="117" t="s">
        <v>24</v>
      </c>
      <c r="H638" s="117" t="str">
        <f t="shared" si="96"/>
        <v>yes</v>
      </c>
      <c r="I638" s="117" t="str">
        <f t="shared" si="97"/>
        <v>no</v>
      </c>
      <c r="J638" s="117" t="str">
        <f t="shared" si="98"/>
        <v>no</v>
      </c>
      <c r="K638" s="117" t="s">
        <v>784</v>
      </c>
      <c r="L638" s="117" t="str">
        <f t="shared" si="106"/>
        <v>detailed</v>
      </c>
      <c r="M638" s="117" t="str">
        <f t="shared" si="99"/>
        <v>detailed Mining</v>
      </c>
      <c r="N638" s="179">
        <f>15695*32.150743126506</f>
        <v>504605.91337051167</v>
      </c>
      <c r="O638" s="179"/>
      <c r="P638" s="179"/>
      <c r="Q638" s="179"/>
      <c r="R638" s="179"/>
      <c r="S638" s="117" t="s">
        <v>785</v>
      </c>
      <c r="T638" s="119">
        <v>1681.88</v>
      </c>
      <c r="U638" s="117" t="s">
        <v>786</v>
      </c>
      <c r="V638" s="117" t="s">
        <v>1297</v>
      </c>
      <c r="W638" s="89">
        <f>N638*T638</f>
        <v>848686593.57959616</v>
      </c>
      <c r="X638" s="455">
        <f>SUM(T638+T643)/SUM(T963+T984)</f>
        <v>1.0594480734137288</v>
      </c>
      <c r="Y638" s="117"/>
      <c r="Z638" s="117"/>
      <c r="AA638" s="117"/>
      <c r="AB638" s="117"/>
      <c r="AC638" s="240"/>
      <c r="AD638" s="240"/>
      <c r="AE638" s="240"/>
      <c r="AF638" s="241"/>
      <c r="AG638" s="117"/>
      <c r="AH638" s="124"/>
      <c r="AI638" s="117"/>
      <c r="AJ638" s="117"/>
      <c r="AK638" s="89"/>
      <c r="AL638" s="117"/>
      <c r="AM638" s="117"/>
      <c r="AN638" s="117"/>
      <c r="AO638" s="117"/>
      <c r="AP638" s="117"/>
      <c r="AQ638" s="117"/>
      <c r="AR638" s="117"/>
      <c r="AS638" s="117"/>
      <c r="AT638" s="117"/>
      <c r="AU638" s="117"/>
      <c r="AV638" s="128"/>
      <c r="AW638" s="117">
        <f>VLOOKUP($D638,'WB Data'!$C$3:$M$578,2,FALSE)</f>
        <v>5067360041.1040449</v>
      </c>
      <c r="AX638" s="117">
        <f>VLOOKUP($D638,'WB Data'!$C$3:$M$578,3,FALSE)</f>
        <v>11161530</v>
      </c>
      <c r="AY638" s="847" t="str">
        <f t="shared" si="102"/>
        <v>..</v>
      </c>
      <c r="AZ638" s="117" t="e">
        <f>VLOOKUP($D638,'WB Data'!$C$3:$M$578,4,FALSE)/100</f>
        <v>#VALUE!</v>
      </c>
      <c r="BA638" s="117" t="str">
        <f t="shared" si="103"/>
        <v>..</v>
      </c>
      <c r="BB638" s="129" t="str">
        <f>IFERROR(VLOOKUP($D638,'EITI Revenues'!$C$2:$G$224,5,FALSE),"..")</f>
        <v>..</v>
      </c>
      <c r="BC638" s="846" t="str">
        <f t="shared" si="104"/>
        <v>..</v>
      </c>
      <c r="BD638" s="129" t="str">
        <f>VLOOKUP($D638,'WB Data 2'!$C$2:$K$545,6,FALSE)</f>
        <v>..</v>
      </c>
      <c r="BE638" s="129" t="str">
        <f>IFERROR(VLOOKUP($D638,UNCTAD!$C$5:$V$529,4,FALSE),"..")</f>
        <v>..</v>
      </c>
      <c r="BF638" s="846" t="str">
        <f t="shared" si="105"/>
        <v>..</v>
      </c>
      <c r="BG638" s="117">
        <f>VLOOKUP($D638,'WB Data'!$C$3:$M$578,5,FALSE)</f>
        <v>204490000</v>
      </c>
      <c r="BH638" s="129" t="str">
        <f>IFERROR($BB638/$BG638,"..")</f>
        <v>..</v>
      </c>
      <c r="BI638" s="117">
        <f>IFERROR(VLOOKUP($D638,'WB Data'!$C$3:$M$578,7,FALSE)/100,"..")</f>
        <v>3.0628300000000001E-2</v>
      </c>
      <c r="BJ638" s="117">
        <f>IFERROR($BI638*$AW638,"..")</f>
        <v>155204623.54694703</v>
      </c>
      <c r="BK638" s="846" t="str">
        <f>IFERROR($BB638/$BJ638,"..")</f>
        <v>..</v>
      </c>
      <c r="BL638" s="117">
        <f>IFERROR(VLOOKUP($D638,'WB Data'!$C$3:$M$578,7,FALSE)/100,"..")</f>
        <v>3.0628300000000001E-2</v>
      </c>
      <c r="BM638" s="117">
        <f>IFERROR($AW638*$BL638,"..")</f>
        <v>155204623.54694703</v>
      </c>
      <c r="BN638" s="846" t="str">
        <f>IFERROR($BB638/$BM638,"..")</f>
        <v>..</v>
      </c>
      <c r="BO638" s="801">
        <f t="shared" si="101"/>
        <v>25</v>
      </c>
      <c r="BP638" s="117" t="str">
        <f>VLOOKUP($D638,'WB Data'!$C$3:$M$578,9,FALSE)</f>
        <v>..</v>
      </c>
      <c r="BQ638" s="117">
        <f>VLOOKUP($D638,'WB Data'!$C$3:$M$578,10,FALSE)</f>
        <v>55.590195121951226</v>
      </c>
      <c r="BR638" s="117">
        <f>VLOOKUP($D638,'WB Data'!$C$3:$M$578,11,FALSE)</f>
        <v>69</v>
      </c>
      <c r="BS638" s="129">
        <f>IFERROR(VLOOKUP($D638,'WB Data 2'!$C$2:$K$545,9,FALSE),"..")</f>
        <v>76.09545</v>
      </c>
      <c r="BT638" s="129" t="str">
        <f>_xlfn.IFNA(VLOOKUP($C638,RGI!$A$2:$C$43,2,FALSE),"..")</f>
        <v>..</v>
      </c>
      <c r="BU638" s="129" t="str">
        <f>_xlfn.IFNA(VLOOKUP($C638,RGI!$A$2:$C$43,3,FALSE),"..")</f>
        <v>..</v>
      </c>
      <c r="BV638" s="129">
        <f>VLOOKUP($D638,WGI!$C$2:$O$478,7,FALSE)</f>
        <v>-0.96892483608290403</v>
      </c>
      <c r="BW638" s="129">
        <f>VLOOKUP($D638,WGI!$C$2:$O$478,4,FALSE)</f>
        <v>-1.3906600652963399</v>
      </c>
      <c r="BX638" s="129">
        <f>VLOOKUP($D638,WGI!$C$2:$O$478,3,FALSE)</f>
        <v>-1.1381946671673699</v>
      </c>
      <c r="BY638" s="129">
        <f>VLOOKUP($D638,WGI!$C$2:$O$478,5,FALSE)</f>
        <v>-1.0020478469227601</v>
      </c>
      <c r="BZ638" s="129">
        <f>VLOOKUP($D638,WGI!$C$2:$O$478,2,FALSE)</f>
        <v>-1.1654397101820499</v>
      </c>
    </row>
    <row r="639" spans="1:80" ht="15" customHeight="1">
      <c r="A639" s="294" t="s">
        <v>238</v>
      </c>
      <c r="B639" s="214">
        <v>2011</v>
      </c>
      <c r="C639" s="117" t="s">
        <v>3089</v>
      </c>
      <c r="D639" s="117" t="s">
        <v>3699</v>
      </c>
      <c r="E639" s="452" t="s">
        <v>86</v>
      </c>
      <c r="F639" s="117"/>
      <c r="G639" s="117" t="s">
        <v>24</v>
      </c>
      <c r="H639" s="117" t="str">
        <f t="shared" si="96"/>
        <v>yes</v>
      </c>
      <c r="I639" s="117" t="str">
        <f t="shared" si="97"/>
        <v>no</v>
      </c>
      <c r="J639" s="117" t="str">
        <f t="shared" si="98"/>
        <v>no</v>
      </c>
      <c r="K639" s="117" t="s">
        <v>1291</v>
      </c>
      <c r="L639" s="117" t="str">
        <f t="shared" si="106"/>
        <v>detailed</v>
      </c>
      <c r="M639" s="117" t="str">
        <f t="shared" si="99"/>
        <v>detailed Mining</v>
      </c>
      <c r="N639" s="179">
        <v>0</v>
      </c>
      <c r="O639" s="179"/>
      <c r="P639" s="179"/>
      <c r="Q639" s="179"/>
      <c r="R639" s="179"/>
      <c r="S639" s="117" t="s">
        <v>610</v>
      </c>
      <c r="T639" s="119"/>
      <c r="U639" s="117"/>
      <c r="V639" s="117" t="s">
        <v>725</v>
      </c>
      <c r="W639" s="89"/>
      <c r="X639" s="117"/>
      <c r="Y639" s="117"/>
      <c r="Z639" s="117"/>
      <c r="AA639" s="117"/>
      <c r="AB639" s="117"/>
      <c r="AC639" s="240"/>
      <c r="AD639" s="240"/>
      <c r="AE639" s="240"/>
      <c r="AF639" s="241"/>
      <c r="AG639" s="117"/>
      <c r="AH639" s="124"/>
      <c r="AI639" s="117"/>
      <c r="AJ639" s="117"/>
      <c r="AK639" s="89"/>
      <c r="AL639" s="117"/>
      <c r="AM639" s="117"/>
      <c r="AN639" s="117"/>
      <c r="AO639" s="117"/>
      <c r="AP639" s="117"/>
      <c r="AQ639" s="117"/>
      <c r="AR639" s="117"/>
      <c r="AS639" s="117"/>
      <c r="AT639" s="117"/>
      <c r="AU639" s="117"/>
      <c r="AV639" s="128" t="s">
        <v>1298</v>
      </c>
      <c r="AW639" s="117">
        <f>VLOOKUP($D639,'WB Data'!$C$3:$M$578,2,FALSE)</f>
        <v>5067360041.1040449</v>
      </c>
      <c r="AX639" s="117">
        <f>VLOOKUP($D639,'WB Data'!$C$3:$M$578,3,FALSE)</f>
        <v>11161530</v>
      </c>
      <c r="AY639" s="847" t="str">
        <f t="shared" si="102"/>
        <v>..</v>
      </c>
      <c r="AZ639" s="117" t="e">
        <f>VLOOKUP($D639,'WB Data'!$C$3:$M$578,4,FALSE)/100</f>
        <v>#VALUE!</v>
      </c>
      <c r="BA639" s="117" t="str">
        <f t="shared" si="103"/>
        <v>..</v>
      </c>
      <c r="BB639" s="129" t="str">
        <f>IFERROR(VLOOKUP($D639,'EITI Revenues'!$C$2:$G$224,5,FALSE),"..")</f>
        <v>..</v>
      </c>
      <c r="BC639" s="846" t="str">
        <f t="shared" si="104"/>
        <v>..</v>
      </c>
      <c r="BD639" s="129" t="str">
        <f>VLOOKUP($D639,'WB Data 2'!$C$2:$K$545,6,FALSE)</f>
        <v>..</v>
      </c>
      <c r="BE639" s="129" t="str">
        <f>IFERROR(VLOOKUP($D639,UNCTAD!$C$5:$V$529,4,FALSE),"..")</f>
        <v>..</v>
      </c>
      <c r="BF639" s="846" t="str">
        <f t="shared" si="105"/>
        <v>..</v>
      </c>
      <c r="BG639" s="117">
        <f>VLOOKUP($D639,'WB Data'!$C$3:$M$578,5,FALSE)</f>
        <v>204490000</v>
      </c>
      <c r="BH639" s="129" t="str">
        <f>IFERROR($BB639/$BG639,"..")</f>
        <v>..</v>
      </c>
      <c r="BI639" s="117">
        <f>IFERROR(VLOOKUP($D639,'WB Data'!$C$3:$M$578,7,FALSE)/100,"..")</f>
        <v>3.0628300000000001E-2</v>
      </c>
      <c r="BJ639" s="117">
        <f>IFERROR($BI639*$AW639,"..")</f>
        <v>155204623.54694703</v>
      </c>
      <c r="BK639" s="846" t="str">
        <f>IFERROR($BB639/$BJ639,"..")</f>
        <v>..</v>
      </c>
      <c r="BL639" s="117">
        <f>IFERROR(VLOOKUP($D639,'WB Data'!$C$3:$M$578,7,FALSE)/100,"..")</f>
        <v>3.0628300000000001E-2</v>
      </c>
      <c r="BM639" s="117">
        <f>IFERROR($AW639*$BL639,"..")</f>
        <v>155204623.54694703</v>
      </c>
      <c r="BN639" s="846" t="str">
        <f>IFERROR($BB639/$BM639,"..")</f>
        <v>..</v>
      </c>
      <c r="BO639" s="801">
        <f t="shared" si="101"/>
        <v>25</v>
      </c>
      <c r="BP639" s="117" t="str">
        <f>VLOOKUP($D639,'WB Data'!$C$3:$M$578,9,FALSE)</f>
        <v>..</v>
      </c>
      <c r="BQ639" s="117">
        <f>VLOOKUP($D639,'WB Data'!$C$3:$M$578,10,FALSE)</f>
        <v>55.590195121951226</v>
      </c>
      <c r="BR639" s="117">
        <f>VLOOKUP($D639,'WB Data'!$C$3:$M$578,11,FALSE)</f>
        <v>69</v>
      </c>
      <c r="BS639" s="129">
        <f>IFERROR(VLOOKUP($D639,'WB Data 2'!$C$2:$K$545,9,FALSE),"..")</f>
        <v>76.09545</v>
      </c>
      <c r="BT639" s="129" t="str">
        <f>_xlfn.IFNA(VLOOKUP($C639,RGI!$A$2:$C$43,2,FALSE),"..")</f>
        <v>..</v>
      </c>
      <c r="BU639" s="129" t="str">
        <f>_xlfn.IFNA(VLOOKUP($C639,RGI!$A$2:$C$43,3,FALSE),"..")</f>
        <v>..</v>
      </c>
      <c r="BV639" s="129">
        <f>VLOOKUP($D639,WGI!$C$2:$O$478,7,FALSE)</f>
        <v>-0.96892483608290403</v>
      </c>
      <c r="BW639" s="129">
        <f>VLOOKUP($D639,WGI!$C$2:$O$478,4,FALSE)</f>
        <v>-1.3906600652963399</v>
      </c>
      <c r="BX639" s="129">
        <f>VLOOKUP($D639,WGI!$C$2:$O$478,3,FALSE)</f>
        <v>-1.1381946671673699</v>
      </c>
      <c r="BY639" s="129">
        <f>VLOOKUP($D639,WGI!$C$2:$O$478,5,FALSE)</f>
        <v>-1.0020478469227601</v>
      </c>
      <c r="BZ639" s="129">
        <f>VLOOKUP($D639,WGI!$C$2:$O$478,2,FALSE)</f>
        <v>-1.1654397101820499</v>
      </c>
    </row>
    <row r="640" spans="1:80" s="144" customFormat="1" ht="15" customHeight="1">
      <c r="A640" s="296" t="s">
        <v>240</v>
      </c>
      <c r="B640" s="228">
        <v>2012</v>
      </c>
      <c r="C640" s="117" t="s">
        <v>3089</v>
      </c>
      <c r="D640" s="117" t="s">
        <v>3733</v>
      </c>
      <c r="E640" s="450" t="s">
        <v>86</v>
      </c>
      <c r="F640" s="132" t="s">
        <v>1254</v>
      </c>
      <c r="G640" s="132" t="s">
        <v>24</v>
      </c>
      <c r="H640" s="117" t="str">
        <f t="shared" si="96"/>
        <v>yes</v>
      </c>
      <c r="I640" s="117" t="str">
        <f t="shared" si="97"/>
        <v>no</v>
      </c>
      <c r="J640" s="117" t="str">
        <f t="shared" si="98"/>
        <v>no</v>
      </c>
      <c r="K640" s="132" t="s">
        <v>709</v>
      </c>
      <c r="L640" s="117" t="str">
        <f t="shared" si="106"/>
        <v>Total</v>
      </c>
      <c r="M640" s="117" t="str">
        <f t="shared" si="99"/>
        <v>Total Mining</v>
      </c>
      <c r="N640" s="238"/>
      <c r="O640" s="238"/>
      <c r="P640" s="238"/>
      <c r="Q640" s="238"/>
      <c r="R640" s="238"/>
      <c r="S640" s="132"/>
      <c r="T640" s="134"/>
      <c r="U640" s="132"/>
      <c r="V640" s="132"/>
      <c r="W640" s="135">
        <f>SUM(W641:W644)</f>
        <v>1284378425.849036</v>
      </c>
      <c r="X640" s="132" t="s">
        <v>998</v>
      </c>
      <c r="Y640" s="132" t="s">
        <v>602</v>
      </c>
      <c r="Z640" s="132"/>
      <c r="AA640" s="183">
        <v>371466405.82975137</v>
      </c>
      <c r="AB640" s="325">
        <v>379858335.16916144</v>
      </c>
      <c r="AC640" s="138"/>
      <c r="AD640" s="138"/>
      <c r="AE640" s="138"/>
      <c r="AF640" s="139">
        <f>AA640/W640</f>
        <v>0.28921881460613463</v>
      </c>
      <c r="AG640" s="132" t="s">
        <v>1262</v>
      </c>
      <c r="AH640" s="140">
        <v>6944.55</v>
      </c>
      <c r="AI640" s="132" t="s">
        <v>722</v>
      </c>
      <c r="AJ640" s="132"/>
      <c r="AK640" s="135"/>
      <c r="AL640" s="132"/>
      <c r="AM640" s="132"/>
      <c r="AN640" s="132">
        <v>26</v>
      </c>
      <c r="AO640" s="132" t="s">
        <v>1299</v>
      </c>
      <c r="AP640" s="132">
        <v>26</v>
      </c>
      <c r="AQ640" s="132" t="s">
        <v>95</v>
      </c>
      <c r="AR640" s="141">
        <v>41953</v>
      </c>
      <c r="AS640" s="132" t="s">
        <v>838</v>
      </c>
      <c r="AT640" s="142" t="s">
        <v>241</v>
      </c>
      <c r="AU640" s="132" t="s">
        <v>1300</v>
      </c>
      <c r="AV640" s="456" t="s">
        <v>1301</v>
      </c>
      <c r="AW640" s="117">
        <f>VLOOKUP($D640,'WB Data'!$C$3:$M$578,2,FALSE)</f>
        <v>5651088170.2860603</v>
      </c>
      <c r="AX640" s="117">
        <f>VLOOKUP($D640,'WB Data'!$C$3:$M$578,3,FALSE)</f>
        <v>11451273</v>
      </c>
      <c r="AY640" s="847" t="str">
        <f t="shared" si="102"/>
        <v>..</v>
      </c>
      <c r="AZ640" s="117" t="e">
        <f>VLOOKUP($D640,'WB Data'!$C$3:$M$578,4,FALSE)/100</f>
        <v>#VALUE!</v>
      </c>
      <c r="BA640" s="117" t="str">
        <f t="shared" si="103"/>
        <v>..</v>
      </c>
      <c r="BB640" s="129" t="str">
        <f>IFERROR(VLOOKUP($D640,'EITI Revenues'!$C$2:$G$224,5,FALSE),"..")</f>
        <v>..</v>
      </c>
      <c r="BC640" s="846" t="str">
        <f t="shared" si="104"/>
        <v>..</v>
      </c>
      <c r="BD640" s="129" t="str">
        <f>VLOOKUP($D640,'WB Data 2'!$C$2:$K$545,6,FALSE)</f>
        <v>..</v>
      </c>
      <c r="BE640" s="129" t="str">
        <f>IFERROR(VLOOKUP($D640,UNCTAD!$C$5:$V$529,4,FALSE),"..")</f>
        <v>..</v>
      </c>
      <c r="BF640" s="846" t="str">
        <f t="shared" si="105"/>
        <v>..</v>
      </c>
      <c r="BG640" s="117">
        <f>VLOOKUP($D640,'WB Data'!$C$3:$M$578,5,FALSE)</f>
        <v>339650000</v>
      </c>
      <c r="BH640" s="129" t="str">
        <f>IFERROR($BB640/$BG640,"..")</f>
        <v>..</v>
      </c>
      <c r="BI640" s="117">
        <f>IFERROR(VLOOKUP($D640,'WB Data'!$C$3:$M$578,7,FALSE)/100,"..")</f>
        <v>2.47139E-2</v>
      </c>
      <c r="BJ640" s="117">
        <f>IFERROR($BI640*$AW640,"..")</f>
        <v>139660427.93163267</v>
      </c>
      <c r="BK640" s="846" t="str">
        <f>IFERROR($BB640/$BJ640,"..")</f>
        <v>..</v>
      </c>
      <c r="BL640" s="117">
        <f>IFERROR(VLOOKUP($D640,'WB Data'!$C$3:$M$578,7,FALSE)/100,"..")</f>
        <v>2.47139E-2</v>
      </c>
      <c r="BM640" s="117">
        <f>IFERROR($AW640*$BL640,"..")</f>
        <v>139660427.93163267</v>
      </c>
      <c r="BN640" s="846" t="str">
        <f>IFERROR($BB640/$BM640,"..")</f>
        <v>..</v>
      </c>
      <c r="BO640" s="801">
        <f t="shared" si="101"/>
        <v>25</v>
      </c>
      <c r="BP640" s="117">
        <f>VLOOKUP($D640,'WB Data'!$C$3:$M$578,9,FALSE)</f>
        <v>55.2</v>
      </c>
      <c r="BQ640" s="117">
        <f>VLOOKUP($D640,'WB Data'!$C$3:$M$578,10,FALSE)</f>
        <v>55.844658536585371</v>
      </c>
      <c r="BR640" s="117">
        <f>VLOOKUP($D640,'WB Data'!$C$3:$M$578,11,FALSE)</f>
        <v>67</v>
      </c>
      <c r="BS640" s="129">
        <f>IFERROR(VLOOKUP($D640,'WB Data 2'!$C$2:$K$545,9,FALSE),"..")</f>
        <v>75.526719999999997</v>
      </c>
      <c r="BT640" s="129" t="str">
        <f>_xlfn.IFNA(VLOOKUP($C640,RGI!$A$2:$C$43,2,FALSE),"..")</f>
        <v>..</v>
      </c>
      <c r="BU640" s="129" t="str">
        <f>_xlfn.IFNA(VLOOKUP($C640,RGI!$A$2:$C$43,3,FALSE),"..")</f>
        <v>..</v>
      </c>
      <c r="BV640" s="129">
        <f>VLOOKUP($D640,WGI!$C$2:$O$478,7,FALSE)</f>
        <v>-1.08333303531128</v>
      </c>
      <c r="BW640" s="129">
        <f>VLOOKUP($D640,WGI!$C$2:$O$478,4,FALSE)</f>
        <v>-1.2807007045265699</v>
      </c>
      <c r="BX640" s="129">
        <f>VLOOKUP($D640,WGI!$C$2:$O$478,3,FALSE)</f>
        <v>-1.2712308490911599</v>
      </c>
      <c r="BY640" s="129">
        <f>VLOOKUP($D640,WGI!$C$2:$O$478,5,FALSE)</f>
        <v>-1.0196021012027501</v>
      </c>
      <c r="BZ640" s="129">
        <f>VLOOKUP($D640,WGI!$C$2:$O$478,2,FALSE)</f>
        <v>-1.10865558543161</v>
      </c>
      <c r="CB640" s="129"/>
    </row>
    <row r="641" spans="1:80" s="120" customFormat="1" ht="15" customHeight="1">
      <c r="A641" s="294" t="s">
        <v>240</v>
      </c>
      <c r="B641" s="214">
        <v>2012</v>
      </c>
      <c r="C641" s="117" t="s">
        <v>3089</v>
      </c>
      <c r="D641" s="117" t="s">
        <v>3733</v>
      </c>
      <c r="E641" s="452" t="s">
        <v>86</v>
      </c>
      <c r="F641" s="117"/>
      <c r="G641" s="117" t="s">
        <v>24</v>
      </c>
      <c r="H641" s="117" t="str">
        <f t="shared" si="96"/>
        <v>yes</v>
      </c>
      <c r="I641" s="117" t="str">
        <f t="shared" si="97"/>
        <v>no</v>
      </c>
      <c r="J641" s="117" t="str">
        <f t="shared" si="98"/>
        <v>no</v>
      </c>
      <c r="K641" s="117" t="s">
        <v>1138</v>
      </c>
      <c r="L641" s="117" t="str">
        <f t="shared" si="106"/>
        <v>detailed</v>
      </c>
      <c r="M641" s="117" t="str">
        <f t="shared" si="99"/>
        <v>detailed Mining</v>
      </c>
      <c r="N641" s="179">
        <v>19202874</v>
      </c>
      <c r="O641" s="179"/>
      <c r="P641" s="179">
        <v>19202874</v>
      </c>
      <c r="Q641" s="179"/>
      <c r="R641" s="179"/>
      <c r="S641" s="117" t="s">
        <v>610</v>
      </c>
      <c r="T641" s="119">
        <f>28.46*0.8609</f>
        <v>24.501214000000001</v>
      </c>
      <c r="U641" s="117" t="s">
        <v>611</v>
      </c>
      <c r="V641" s="117" t="s">
        <v>1302</v>
      </c>
      <c r="W641" s="89">
        <f>N641*T641</f>
        <v>470493725.28903604</v>
      </c>
      <c r="X641" s="117"/>
      <c r="Y641" s="117"/>
      <c r="Z641" s="117"/>
      <c r="AA641" s="117"/>
      <c r="AB641" s="117"/>
      <c r="AC641" s="240"/>
      <c r="AD641" s="240"/>
      <c r="AE641" s="240"/>
      <c r="AF641" s="241"/>
      <c r="AG641" s="117"/>
      <c r="AH641" s="124"/>
      <c r="AI641" s="117"/>
      <c r="AJ641" s="117"/>
      <c r="AK641" s="89"/>
      <c r="AL641" s="117"/>
      <c r="AM641" s="117"/>
      <c r="AN641" s="117"/>
      <c r="AO641" s="117"/>
      <c r="AP641" s="117"/>
      <c r="AQ641" s="117"/>
      <c r="AR641" s="117"/>
      <c r="AS641" s="117"/>
      <c r="AT641" s="117"/>
      <c r="AU641" s="117"/>
      <c r="AV641" s="128"/>
      <c r="AW641" s="117">
        <f>VLOOKUP($D641,'WB Data'!$C$3:$M$578,2,FALSE)</f>
        <v>5651088170.2860603</v>
      </c>
      <c r="AX641" s="117">
        <f>VLOOKUP($D641,'WB Data'!$C$3:$M$578,3,FALSE)</f>
        <v>11451273</v>
      </c>
      <c r="AY641" s="847" t="str">
        <f t="shared" si="102"/>
        <v>..</v>
      </c>
      <c r="AZ641" s="117" t="e">
        <f>VLOOKUP($D641,'WB Data'!$C$3:$M$578,4,FALSE)/100</f>
        <v>#VALUE!</v>
      </c>
      <c r="BA641" s="117" t="str">
        <f t="shared" si="103"/>
        <v>..</v>
      </c>
      <c r="BB641" s="129" t="str">
        <f>IFERROR(VLOOKUP($D641,'EITI Revenues'!$C$2:$G$224,5,FALSE),"..")</f>
        <v>..</v>
      </c>
      <c r="BC641" s="846" t="str">
        <f t="shared" si="104"/>
        <v>..</v>
      </c>
      <c r="BD641" s="129" t="str">
        <f>VLOOKUP($D641,'WB Data 2'!$C$2:$K$545,6,FALSE)</f>
        <v>..</v>
      </c>
      <c r="BE641" s="129" t="str">
        <f>IFERROR(VLOOKUP($D641,UNCTAD!$C$5:$V$529,4,FALSE),"..")</f>
        <v>..</v>
      </c>
      <c r="BF641" s="846" t="str">
        <f t="shared" si="105"/>
        <v>..</v>
      </c>
      <c r="BG641" s="117">
        <f>VLOOKUP($D641,'WB Data'!$C$3:$M$578,5,FALSE)</f>
        <v>339650000</v>
      </c>
      <c r="BH641" s="129" t="str">
        <f>IFERROR($BB641/$BG641,"..")</f>
        <v>..</v>
      </c>
      <c r="BI641" s="117">
        <f>IFERROR(VLOOKUP($D641,'WB Data'!$C$3:$M$578,7,FALSE)/100,"..")</f>
        <v>2.47139E-2</v>
      </c>
      <c r="BJ641" s="117">
        <f>IFERROR($BI641*$AW641,"..")</f>
        <v>139660427.93163267</v>
      </c>
      <c r="BK641" s="846" t="str">
        <f>IFERROR($BB641/$BJ641,"..")</f>
        <v>..</v>
      </c>
      <c r="BL641" s="117">
        <f>IFERROR(VLOOKUP($D641,'WB Data'!$C$3:$M$578,7,FALSE)/100,"..")</f>
        <v>2.47139E-2</v>
      </c>
      <c r="BM641" s="117">
        <f>IFERROR($AW641*$BL641,"..")</f>
        <v>139660427.93163267</v>
      </c>
      <c r="BN641" s="846" t="str">
        <f>IFERROR($BB641/$BM641,"..")</f>
        <v>..</v>
      </c>
      <c r="BO641" s="801">
        <f t="shared" si="101"/>
        <v>25</v>
      </c>
      <c r="BP641" s="117">
        <f>VLOOKUP($D641,'WB Data'!$C$3:$M$578,9,FALSE)</f>
        <v>55.2</v>
      </c>
      <c r="BQ641" s="117">
        <f>VLOOKUP($D641,'WB Data'!$C$3:$M$578,10,FALSE)</f>
        <v>55.844658536585371</v>
      </c>
      <c r="BR641" s="117">
        <f>VLOOKUP($D641,'WB Data'!$C$3:$M$578,11,FALSE)</f>
        <v>67</v>
      </c>
      <c r="BS641" s="129">
        <f>IFERROR(VLOOKUP($D641,'WB Data 2'!$C$2:$K$545,9,FALSE),"..")</f>
        <v>75.526719999999997</v>
      </c>
      <c r="BT641" s="129" t="str">
        <f>_xlfn.IFNA(VLOOKUP($C641,RGI!$A$2:$C$43,2,FALSE),"..")</f>
        <v>..</v>
      </c>
      <c r="BU641" s="129" t="str">
        <f>_xlfn.IFNA(VLOOKUP($C641,RGI!$A$2:$C$43,3,FALSE),"..")</f>
        <v>..</v>
      </c>
      <c r="BV641" s="129">
        <f>VLOOKUP($D641,WGI!$C$2:$O$478,7,FALSE)</f>
        <v>-1.08333303531128</v>
      </c>
      <c r="BW641" s="129">
        <f>VLOOKUP($D641,WGI!$C$2:$O$478,4,FALSE)</f>
        <v>-1.2807007045265699</v>
      </c>
      <c r="BX641" s="129">
        <f>VLOOKUP($D641,WGI!$C$2:$O$478,3,FALSE)</f>
        <v>-1.2712308490911599</v>
      </c>
      <c r="BY641" s="129">
        <f>VLOOKUP($D641,WGI!$C$2:$O$478,5,FALSE)</f>
        <v>-1.0196021012027501</v>
      </c>
      <c r="BZ641" s="129">
        <f>VLOOKUP($D641,WGI!$C$2:$O$478,2,FALSE)</f>
        <v>-1.10865558543161</v>
      </c>
      <c r="CB641" s="129"/>
    </row>
    <row r="642" spans="1:80" s="120" customFormat="1" ht="15" customHeight="1">
      <c r="A642" s="294" t="s">
        <v>240</v>
      </c>
      <c r="B642" s="214">
        <v>2012</v>
      </c>
      <c r="C642" s="117" t="s">
        <v>3089</v>
      </c>
      <c r="D642" s="117" t="s">
        <v>3733</v>
      </c>
      <c r="E642" s="452" t="s">
        <v>86</v>
      </c>
      <c r="F642" s="117"/>
      <c r="G642" s="117" t="s">
        <v>24</v>
      </c>
      <c r="H642" s="117" t="str">
        <f t="shared" ref="H642:H705" si="110">IF($G642="Mining","yes",IF($G642="Oil, Gas, Mining","yes",IF($G642="Gas, Mining","yes",IF($G642="Oil, Mining","yes",IF($G642="Oil, Mining, Other","yes","no")))))</f>
        <v>yes</v>
      </c>
      <c r="I642" s="117" t="str">
        <f t="shared" ref="I642:I705" si="111">IF($G642="Gas","yes",IF($G642="Oil, Gas, Mining","yes",IF($G642="Gas, Mining","yes",IF($G642="Oil, Gas","yes",IF($G642="Oil, Gas, Other","yes","no")))))</f>
        <v>no</v>
      </c>
      <c r="J642" s="117" t="str">
        <f t="shared" ref="J642:J705" si="112">IF($G642="Oil","yes",IF($G642="Oil, Gas, Mining","yes",IF($G642="Oil, Mining","yes",IF($G642="Oil, Gas","yes",IF($G642="Oil, Gas, Other","yes","no")))))</f>
        <v>no</v>
      </c>
      <c r="K642" s="117" t="s">
        <v>980</v>
      </c>
      <c r="L642" s="117" t="str">
        <f t="shared" si="106"/>
        <v>detailed</v>
      </c>
      <c r="M642" s="117" t="str">
        <f t="shared" ref="M642:M705" si="113">L642&amp;" "&amp;G642</f>
        <v>detailed Mining</v>
      </c>
      <c r="N642" s="179">
        <f>43019</f>
        <v>43019</v>
      </c>
      <c r="O642" s="179"/>
      <c r="P642" s="179">
        <f>43019</f>
        <v>43019</v>
      </c>
      <c r="Q642" s="179"/>
      <c r="R642" s="179"/>
      <c r="S642" s="117" t="s">
        <v>981</v>
      </c>
      <c r="T642" s="119">
        <v>163.24</v>
      </c>
      <c r="U642" s="117" t="s">
        <v>982</v>
      </c>
      <c r="V642" s="117" t="s">
        <v>1303</v>
      </c>
      <c r="W642" s="89">
        <f>N642*T642</f>
        <v>7022421.5600000005</v>
      </c>
      <c r="X642" s="117"/>
      <c r="Y642" s="117"/>
      <c r="Z642" s="117"/>
      <c r="AA642" s="117"/>
      <c r="AB642" s="117"/>
      <c r="AC642" s="240"/>
      <c r="AD642" s="240"/>
      <c r="AE642" s="240"/>
      <c r="AF642" s="241"/>
      <c r="AG642" s="117"/>
      <c r="AH642" s="124"/>
      <c r="AI642" s="117"/>
      <c r="AJ642" s="117"/>
      <c r="AK642" s="89"/>
      <c r="AL642" s="117"/>
      <c r="AM642" s="117"/>
      <c r="AN642" s="117"/>
      <c r="AO642" s="117"/>
      <c r="AP642" s="117"/>
      <c r="AQ642" s="117"/>
      <c r="AR642" s="117"/>
      <c r="AS642" s="117"/>
      <c r="AT642" s="117"/>
      <c r="AU642" s="117"/>
      <c r="AV642" s="128"/>
      <c r="AW642" s="117">
        <f>VLOOKUP($D642,'WB Data'!$C$3:$M$578,2,FALSE)</f>
        <v>5651088170.2860603</v>
      </c>
      <c r="AX642" s="117">
        <f>VLOOKUP($D642,'WB Data'!$C$3:$M$578,3,FALSE)</f>
        <v>11451273</v>
      </c>
      <c r="AY642" s="847" t="str">
        <f t="shared" si="102"/>
        <v>..</v>
      </c>
      <c r="AZ642" s="117" t="e">
        <f>VLOOKUP($D642,'WB Data'!$C$3:$M$578,4,FALSE)/100</f>
        <v>#VALUE!</v>
      </c>
      <c r="BA642" s="117" t="str">
        <f t="shared" si="103"/>
        <v>..</v>
      </c>
      <c r="BB642" s="129" t="str">
        <f>IFERROR(VLOOKUP($D642,'EITI Revenues'!$C$2:$G$224,5,FALSE),"..")</f>
        <v>..</v>
      </c>
      <c r="BC642" s="846" t="str">
        <f t="shared" si="104"/>
        <v>..</v>
      </c>
      <c r="BD642" s="129" t="str">
        <f>VLOOKUP($D642,'WB Data 2'!$C$2:$K$545,6,FALSE)</f>
        <v>..</v>
      </c>
      <c r="BE642" s="129" t="str">
        <f>IFERROR(VLOOKUP($D642,UNCTAD!$C$5:$V$529,4,FALSE),"..")</f>
        <v>..</v>
      </c>
      <c r="BF642" s="846" t="str">
        <f t="shared" si="105"/>
        <v>..</v>
      </c>
      <c r="BG642" s="117">
        <f>VLOOKUP($D642,'WB Data'!$C$3:$M$578,5,FALSE)</f>
        <v>339650000</v>
      </c>
      <c r="BH642" s="129" t="str">
        <f>IFERROR($BB642/$BG642,"..")</f>
        <v>..</v>
      </c>
      <c r="BI642" s="117">
        <f>IFERROR(VLOOKUP($D642,'WB Data'!$C$3:$M$578,7,FALSE)/100,"..")</f>
        <v>2.47139E-2</v>
      </c>
      <c r="BJ642" s="117">
        <f>IFERROR($BI642*$AW642,"..")</f>
        <v>139660427.93163267</v>
      </c>
      <c r="BK642" s="846" t="str">
        <f>IFERROR($BB642/$BJ642,"..")</f>
        <v>..</v>
      </c>
      <c r="BL642" s="117">
        <f>IFERROR(VLOOKUP($D642,'WB Data'!$C$3:$M$578,7,FALSE)/100,"..")</f>
        <v>2.47139E-2</v>
      </c>
      <c r="BM642" s="117">
        <f>IFERROR($AW642*$BL642,"..")</f>
        <v>139660427.93163267</v>
      </c>
      <c r="BN642" s="846" t="str">
        <f>IFERROR($BB642/$BM642,"..")</f>
        <v>..</v>
      </c>
      <c r="BO642" s="801">
        <f t="shared" ref="BO642:BO705" si="114">_xlfn.IFNA(VLOOKUP($C642,CPI_2013,2,FALSE),"..")</f>
        <v>25</v>
      </c>
      <c r="BP642" s="117">
        <f>VLOOKUP($D642,'WB Data'!$C$3:$M$578,9,FALSE)</f>
        <v>55.2</v>
      </c>
      <c r="BQ642" s="117">
        <f>VLOOKUP($D642,'WB Data'!$C$3:$M$578,10,FALSE)</f>
        <v>55.844658536585371</v>
      </c>
      <c r="BR642" s="117">
        <f>VLOOKUP($D642,'WB Data'!$C$3:$M$578,11,FALSE)</f>
        <v>67</v>
      </c>
      <c r="BS642" s="129">
        <f>IFERROR(VLOOKUP($D642,'WB Data 2'!$C$2:$K$545,9,FALSE),"..")</f>
        <v>75.526719999999997</v>
      </c>
      <c r="BT642" s="129" t="str">
        <f>_xlfn.IFNA(VLOOKUP($C642,RGI!$A$2:$C$43,2,FALSE),"..")</f>
        <v>..</v>
      </c>
      <c r="BU642" s="129" t="str">
        <f>_xlfn.IFNA(VLOOKUP($C642,RGI!$A$2:$C$43,3,FALSE),"..")</f>
        <v>..</v>
      </c>
      <c r="BV642" s="129">
        <f>VLOOKUP($D642,WGI!$C$2:$O$478,7,FALSE)</f>
        <v>-1.08333303531128</v>
      </c>
      <c r="BW642" s="129">
        <f>VLOOKUP($D642,WGI!$C$2:$O$478,4,FALSE)</f>
        <v>-1.2807007045265699</v>
      </c>
      <c r="BX642" s="129">
        <f>VLOOKUP($D642,WGI!$C$2:$O$478,3,FALSE)</f>
        <v>-1.2712308490911599</v>
      </c>
      <c r="BY642" s="129">
        <f>VLOOKUP($D642,WGI!$C$2:$O$478,5,FALSE)</f>
        <v>-1.0196021012027501</v>
      </c>
      <c r="BZ642" s="129">
        <f>VLOOKUP($D642,WGI!$C$2:$O$478,2,FALSE)</f>
        <v>-1.10865558543161</v>
      </c>
      <c r="CB642" s="129"/>
    </row>
    <row r="643" spans="1:80" s="120" customFormat="1" ht="15" customHeight="1">
      <c r="A643" s="294" t="s">
        <v>240</v>
      </c>
      <c r="B643" s="214">
        <v>2012</v>
      </c>
      <c r="C643" s="117" t="s">
        <v>3089</v>
      </c>
      <c r="D643" s="117" t="s">
        <v>3733</v>
      </c>
      <c r="E643" s="452" t="s">
        <v>86</v>
      </c>
      <c r="F643" s="117"/>
      <c r="G643" s="117" t="s">
        <v>24</v>
      </c>
      <c r="H643" s="117" t="str">
        <f t="shared" si="110"/>
        <v>yes</v>
      </c>
      <c r="I643" s="117" t="str">
        <f t="shared" si="111"/>
        <v>no</v>
      </c>
      <c r="J643" s="117" t="str">
        <f t="shared" si="112"/>
        <v>no</v>
      </c>
      <c r="K643" s="117" t="s">
        <v>784</v>
      </c>
      <c r="L643" s="117" t="str">
        <f t="shared" si="106"/>
        <v>detailed</v>
      </c>
      <c r="M643" s="117" t="str">
        <f t="shared" si="113"/>
        <v>detailed Mining</v>
      </c>
      <c r="N643" s="179">
        <f>503409* 0.911458333</f>
        <v>458836.32795719698</v>
      </c>
      <c r="O643" s="179"/>
      <c r="P643" s="179">
        <f>503409* 0.911458333</f>
        <v>458836.32795719698</v>
      </c>
      <c r="Q643" s="179"/>
      <c r="R643" s="179"/>
      <c r="S643" s="117" t="s">
        <v>785</v>
      </c>
      <c r="T643" s="119">
        <v>1749.3846696351361</v>
      </c>
      <c r="U643" s="117" t="s">
        <v>786</v>
      </c>
      <c r="V643" s="117" t="s">
        <v>1304</v>
      </c>
      <c r="W643" s="89">
        <f>N643*T643</f>
        <v>802681238</v>
      </c>
      <c r="X643" s="117"/>
      <c r="Y643" s="117"/>
      <c r="Z643" s="117"/>
      <c r="AA643" s="117"/>
      <c r="AB643" s="117"/>
      <c r="AC643" s="240"/>
      <c r="AD643" s="240"/>
      <c r="AE643" s="240"/>
      <c r="AF643" s="241"/>
      <c r="AG643" s="117"/>
      <c r="AH643" s="124"/>
      <c r="AI643" s="117"/>
      <c r="AJ643" s="117"/>
      <c r="AK643" s="89"/>
      <c r="AL643" s="117"/>
      <c r="AM643" s="117"/>
      <c r="AN643" s="117"/>
      <c r="AO643" s="117"/>
      <c r="AP643" s="117"/>
      <c r="AQ643" s="117"/>
      <c r="AR643" s="117"/>
      <c r="AS643" s="117"/>
      <c r="AT643" s="117"/>
      <c r="AU643" s="117"/>
      <c r="AV643" s="128"/>
      <c r="AW643" s="117">
        <f>VLOOKUP($D643,'WB Data'!$C$3:$M$578,2,FALSE)</f>
        <v>5651088170.2860603</v>
      </c>
      <c r="AX643" s="117">
        <f>VLOOKUP($D643,'WB Data'!$C$3:$M$578,3,FALSE)</f>
        <v>11451273</v>
      </c>
      <c r="AY643" s="847" t="str">
        <f t="shared" ref="AY643:AY706" si="115">IFERROR($BB643/$AW643,"..")</f>
        <v>..</v>
      </c>
      <c r="AZ643" s="117" t="e">
        <f>VLOOKUP($D643,'WB Data'!$C$3:$M$578,4,FALSE)/100</f>
        <v>#VALUE!</v>
      </c>
      <c r="BA643" s="117" t="str">
        <f t="shared" ref="BA643:BA706" si="116">IFERROR($AW643*$AZ643,"..")</f>
        <v>..</v>
      </c>
      <c r="BB643" s="129" t="str">
        <f>IFERROR(VLOOKUP($D643,'EITI Revenues'!$C$2:$G$224,5,FALSE),"..")</f>
        <v>..</v>
      </c>
      <c r="BC643" s="846" t="str">
        <f t="shared" ref="BC643:BC706" si="117">IFERROR($BB643/$BA643,"..")</f>
        <v>..</v>
      </c>
      <c r="BD643" s="129" t="str">
        <f>VLOOKUP($D643,'WB Data 2'!$C$2:$K$545,6,FALSE)</f>
        <v>..</v>
      </c>
      <c r="BE643" s="129" t="str">
        <f>IFERROR(VLOOKUP($D643,UNCTAD!$C$5:$V$529,4,FALSE),"..")</f>
        <v>..</v>
      </c>
      <c r="BF643" s="846" t="str">
        <f t="shared" ref="BF643:BF706" si="118">IFERROR(($BD643/$BE643),"..")</f>
        <v>..</v>
      </c>
      <c r="BG643" s="117">
        <f>VLOOKUP($D643,'WB Data'!$C$3:$M$578,5,FALSE)</f>
        <v>339650000</v>
      </c>
      <c r="BH643" s="129" t="str">
        <f>IFERROR($BB643/$BG643,"..")</f>
        <v>..</v>
      </c>
      <c r="BI643" s="117">
        <f>IFERROR(VLOOKUP($D643,'WB Data'!$C$3:$M$578,7,FALSE)/100,"..")</f>
        <v>2.47139E-2</v>
      </c>
      <c r="BJ643" s="117">
        <f>IFERROR($BI643*$AW643,"..")</f>
        <v>139660427.93163267</v>
      </c>
      <c r="BK643" s="846" t="str">
        <f>IFERROR($BB643/$BJ643,"..")</f>
        <v>..</v>
      </c>
      <c r="BL643" s="117">
        <f>IFERROR(VLOOKUP($D643,'WB Data'!$C$3:$M$578,7,FALSE)/100,"..")</f>
        <v>2.47139E-2</v>
      </c>
      <c r="BM643" s="117">
        <f>IFERROR($AW643*$BL643,"..")</f>
        <v>139660427.93163267</v>
      </c>
      <c r="BN643" s="846" t="str">
        <f>IFERROR($BB643/$BM643,"..")</f>
        <v>..</v>
      </c>
      <c r="BO643" s="801">
        <f t="shared" si="114"/>
        <v>25</v>
      </c>
      <c r="BP643" s="117">
        <f>VLOOKUP($D643,'WB Data'!$C$3:$M$578,9,FALSE)</f>
        <v>55.2</v>
      </c>
      <c r="BQ643" s="117">
        <f>VLOOKUP($D643,'WB Data'!$C$3:$M$578,10,FALSE)</f>
        <v>55.844658536585371</v>
      </c>
      <c r="BR643" s="117">
        <f>VLOOKUP($D643,'WB Data'!$C$3:$M$578,11,FALSE)</f>
        <v>67</v>
      </c>
      <c r="BS643" s="129">
        <f>IFERROR(VLOOKUP($D643,'WB Data 2'!$C$2:$K$545,9,FALSE),"..")</f>
        <v>75.526719999999997</v>
      </c>
      <c r="BT643" s="129" t="str">
        <f>_xlfn.IFNA(VLOOKUP($C643,RGI!$A$2:$C$43,2,FALSE),"..")</f>
        <v>..</v>
      </c>
      <c r="BU643" s="129" t="str">
        <f>_xlfn.IFNA(VLOOKUP($C643,RGI!$A$2:$C$43,3,FALSE),"..")</f>
        <v>..</v>
      </c>
      <c r="BV643" s="129">
        <f>VLOOKUP($D643,WGI!$C$2:$O$478,7,FALSE)</f>
        <v>-1.08333303531128</v>
      </c>
      <c r="BW643" s="129">
        <f>VLOOKUP($D643,WGI!$C$2:$O$478,4,FALSE)</f>
        <v>-1.2807007045265699</v>
      </c>
      <c r="BX643" s="129">
        <f>VLOOKUP($D643,WGI!$C$2:$O$478,3,FALSE)</f>
        <v>-1.2712308490911599</v>
      </c>
      <c r="BY643" s="129">
        <f>VLOOKUP($D643,WGI!$C$2:$O$478,5,FALSE)</f>
        <v>-1.0196021012027501</v>
      </c>
      <c r="BZ643" s="129">
        <f>VLOOKUP($D643,WGI!$C$2:$O$478,2,FALSE)</f>
        <v>-1.10865558543161</v>
      </c>
      <c r="CB643" s="129"/>
    </row>
    <row r="644" spans="1:80" s="173" customFormat="1" ht="15" customHeight="1" thickBot="1">
      <c r="A644" s="457" t="s">
        <v>240</v>
      </c>
      <c r="B644" s="247">
        <v>2012</v>
      </c>
      <c r="C644" s="117" t="s">
        <v>3089</v>
      </c>
      <c r="D644" s="117" t="s">
        <v>3733</v>
      </c>
      <c r="E644" s="458" t="s">
        <v>86</v>
      </c>
      <c r="F644" s="164"/>
      <c r="G644" s="164" t="s">
        <v>24</v>
      </c>
      <c r="H644" s="164" t="str">
        <f t="shared" si="110"/>
        <v>yes</v>
      </c>
      <c r="I644" s="164" t="str">
        <f t="shared" si="111"/>
        <v>no</v>
      </c>
      <c r="J644" s="164" t="str">
        <f t="shared" si="112"/>
        <v>no</v>
      </c>
      <c r="K644" s="164" t="s">
        <v>1291</v>
      </c>
      <c r="L644" s="164" t="str">
        <f t="shared" si="106"/>
        <v>detailed</v>
      </c>
      <c r="M644" s="164" t="str">
        <f t="shared" si="113"/>
        <v>detailed Mining</v>
      </c>
      <c r="N644" s="244">
        <v>47319</v>
      </c>
      <c r="O644" s="244"/>
      <c r="P644" s="244">
        <v>47319</v>
      </c>
      <c r="Q644" s="244"/>
      <c r="R644" s="244"/>
      <c r="S644" s="164" t="s">
        <v>610</v>
      </c>
      <c r="T644" s="166">
        <v>88.358608592742868</v>
      </c>
      <c r="U644" s="164" t="s">
        <v>611</v>
      </c>
      <c r="V644" s="164" t="s">
        <v>1304</v>
      </c>
      <c r="W644" s="167">
        <f>N644*T644</f>
        <v>4181041</v>
      </c>
      <c r="X644" s="164"/>
      <c r="Y644" s="164"/>
      <c r="Z644" s="164"/>
      <c r="AA644" s="164"/>
      <c r="AB644" s="164"/>
      <c r="AC644" s="459"/>
      <c r="AD644" s="459"/>
      <c r="AE644" s="459"/>
      <c r="AF644" s="460"/>
      <c r="AG644" s="164"/>
      <c r="AH644" s="171"/>
      <c r="AI644" s="164"/>
      <c r="AJ644" s="164"/>
      <c r="AK644" s="167"/>
      <c r="AL644" s="164"/>
      <c r="AM644" s="164"/>
      <c r="AN644" s="164"/>
      <c r="AO644" s="164"/>
      <c r="AP644" s="164"/>
      <c r="AQ644" s="164"/>
      <c r="AR644" s="164"/>
      <c r="AS644" s="164"/>
      <c r="AT644" s="164"/>
      <c r="AU644" s="164"/>
      <c r="AV644" s="172"/>
      <c r="AW644" s="117">
        <f>VLOOKUP($D644,'WB Data'!$C$3:$M$578,2,FALSE)</f>
        <v>5651088170.2860603</v>
      </c>
      <c r="AX644" s="117">
        <f>VLOOKUP($D644,'WB Data'!$C$3:$M$578,3,FALSE)</f>
        <v>11451273</v>
      </c>
      <c r="AY644" s="847" t="str">
        <f t="shared" si="115"/>
        <v>..</v>
      </c>
      <c r="AZ644" s="117" t="e">
        <f>VLOOKUP($D644,'WB Data'!$C$3:$M$578,4,FALSE)/100</f>
        <v>#VALUE!</v>
      </c>
      <c r="BA644" s="117" t="str">
        <f t="shared" si="116"/>
        <v>..</v>
      </c>
      <c r="BB644" s="129" t="str">
        <f>IFERROR(VLOOKUP($D644,'EITI Revenues'!$C$2:$G$224,5,FALSE),"..")</f>
        <v>..</v>
      </c>
      <c r="BC644" s="846" t="str">
        <f t="shared" si="117"/>
        <v>..</v>
      </c>
      <c r="BD644" s="129" t="str">
        <f>VLOOKUP($D644,'WB Data 2'!$C$2:$K$545,6,FALSE)</f>
        <v>..</v>
      </c>
      <c r="BE644" s="129" t="str">
        <f>IFERROR(VLOOKUP($D644,UNCTAD!$C$5:$V$529,4,FALSE),"..")</f>
        <v>..</v>
      </c>
      <c r="BF644" s="846" t="str">
        <f t="shared" si="118"/>
        <v>..</v>
      </c>
      <c r="BG644" s="117">
        <f>VLOOKUP($D644,'WB Data'!$C$3:$M$578,5,FALSE)</f>
        <v>339650000</v>
      </c>
      <c r="BH644" s="129" t="str">
        <f>IFERROR($BB644/$BG644,"..")</f>
        <v>..</v>
      </c>
      <c r="BI644" s="117">
        <f>IFERROR(VLOOKUP($D644,'WB Data'!$C$3:$M$578,7,FALSE)/100,"..")</f>
        <v>2.47139E-2</v>
      </c>
      <c r="BJ644" s="117">
        <f>IFERROR($BI644*$AW644,"..")</f>
        <v>139660427.93163267</v>
      </c>
      <c r="BK644" s="846" t="str">
        <f>IFERROR($BB644/$BJ644,"..")</f>
        <v>..</v>
      </c>
      <c r="BL644" s="117">
        <f>IFERROR(VLOOKUP($D644,'WB Data'!$C$3:$M$578,7,FALSE)/100,"..")</f>
        <v>2.47139E-2</v>
      </c>
      <c r="BM644" s="117">
        <f>IFERROR($AW644*$BL644,"..")</f>
        <v>139660427.93163267</v>
      </c>
      <c r="BN644" s="846" t="str">
        <f>IFERROR($BB644/$BM644,"..")</f>
        <v>..</v>
      </c>
      <c r="BO644" s="801">
        <f t="shared" si="114"/>
        <v>25</v>
      </c>
      <c r="BP644" s="117">
        <f>VLOOKUP($D644,'WB Data'!$C$3:$M$578,9,FALSE)</f>
        <v>55.2</v>
      </c>
      <c r="BQ644" s="117">
        <f>VLOOKUP($D644,'WB Data'!$C$3:$M$578,10,FALSE)</f>
        <v>55.844658536585371</v>
      </c>
      <c r="BR644" s="117">
        <f>VLOOKUP($D644,'WB Data'!$C$3:$M$578,11,FALSE)</f>
        <v>67</v>
      </c>
      <c r="BS644" s="129">
        <f>IFERROR(VLOOKUP($D644,'WB Data 2'!$C$2:$K$545,9,FALSE),"..")</f>
        <v>75.526719999999997</v>
      </c>
      <c r="BT644" s="129" t="str">
        <f>_xlfn.IFNA(VLOOKUP($C644,RGI!$A$2:$C$43,2,FALSE),"..")</f>
        <v>..</v>
      </c>
      <c r="BU644" s="129" t="str">
        <f>_xlfn.IFNA(VLOOKUP($C644,RGI!$A$2:$C$43,3,FALSE),"..")</f>
        <v>..</v>
      </c>
      <c r="BV644" s="129">
        <f>VLOOKUP($D644,WGI!$C$2:$O$478,7,FALSE)</f>
        <v>-1.08333303531128</v>
      </c>
      <c r="BW644" s="129">
        <f>VLOOKUP($D644,WGI!$C$2:$O$478,4,FALSE)</f>
        <v>-1.2807007045265699</v>
      </c>
      <c r="BX644" s="129">
        <f>VLOOKUP($D644,WGI!$C$2:$O$478,3,FALSE)</f>
        <v>-1.2712308490911599</v>
      </c>
      <c r="BY644" s="129">
        <f>VLOOKUP($D644,WGI!$C$2:$O$478,5,FALSE)</f>
        <v>-1.0196021012027501</v>
      </c>
      <c r="BZ644" s="129">
        <f>VLOOKUP($D644,WGI!$C$2:$O$478,2,FALSE)</f>
        <v>-1.10865558543161</v>
      </c>
      <c r="CB644" s="129"/>
    </row>
    <row r="645" spans="1:80" ht="15" customHeight="1">
      <c r="A645" s="280" t="s">
        <v>242</v>
      </c>
      <c r="B645" s="117">
        <v>2009</v>
      </c>
      <c r="C645" s="117" t="s">
        <v>243</v>
      </c>
      <c r="D645" s="117" t="s">
        <v>3632</v>
      </c>
      <c r="E645" s="117" t="s">
        <v>244</v>
      </c>
      <c r="F645" s="117" t="s">
        <v>1306</v>
      </c>
      <c r="G645" s="117" t="s">
        <v>35</v>
      </c>
      <c r="H645" s="117" t="str">
        <f t="shared" si="110"/>
        <v>yes</v>
      </c>
      <c r="I645" s="117" t="str">
        <f t="shared" si="111"/>
        <v>yes</v>
      </c>
      <c r="J645" s="117" t="str">
        <f t="shared" si="112"/>
        <v>yes</v>
      </c>
      <c r="K645" s="117" t="s">
        <v>709</v>
      </c>
      <c r="L645" s="117" t="str">
        <f t="shared" si="106"/>
        <v>Total</v>
      </c>
      <c r="M645" s="117" t="str">
        <f t="shared" si="113"/>
        <v>Total Oil, Gas, Mining</v>
      </c>
      <c r="N645" s="118"/>
      <c r="O645" s="118"/>
      <c r="P645" s="118"/>
      <c r="Q645" s="118"/>
      <c r="R645" s="118"/>
      <c r="S645" s="117"/>
      <c r="T645" s="119"/>
      <c r="U645" s="117"/>
      <c r="V645" s="117"/>
      <c r="W645" s="89">
        <f>W646+W649</f>
        <v>63917674476.768425</v>
      </c>
      <c r="X645" s="117" t="s">
        <v>1307</v>
      </c>
      <c r="Y645" s="117" t="s">
        <v>663</v>
      </c>
      <c r="Z645" s="117" t="s">
        <v>664</v>
      </c>
      <c r="AA645" s="286">
        <v>24925055610</v>
      </c>
      <c r="AB645" s="286">
        <v>24682330430</v>
      </c>
      <c r="AC645" s="122"/>
      <c r="AD645" s="122"/>
      <c r="AE645" s="122"/>
      <c r="AF645" s="123">
        <f>AA645/W645</f>
        <v>0.38995560796035034</v>
      </c>
      <c r="AG645" s="117" t="s">
        <v>864</v>
      </c>
      <c r="AH645" s="124"/>
      <c r="AI645" s="117" t="s">
        <v>1308</v>
      </c>
      <c r="AJ645" s="117" t="s">
        <v>1309</v>
      </c>
      <c r="AK645" s="89">
        <v>15316435000</v>
      </c>
      <c r="AL645" s="117" t="s">
        <v>1310</v>
      </c>
      <c r="AM645" s="89">
        <v>697200000</v>
      </c>
      <c r="AN645" s="117">
        <v>129</v>
      </c>
      <c r="AO645" s="117" t="s">
        <v>1311</v>
      </c>
      <c r="AP645" s="117">
        <v>126</v>
      </c>
      <c r="AQ645" s="117" t="s">
        <v>145</v>
      </c>
      <c r="AR645" s="126">
        <v>41911</v>
      </c>
      <c r="AS645" s="117" t="s">
        <v>1312</v>
      </c>
      <c r="AT645" s="117" t="s">
        <v>245</v>
      </c>
      <c r="AU645" s="117" t="s">
        <v>1313</v>
      </c>
      <c r="AV645" s="128" t="s">
        <v>1314</v>
      </c>
      <c r="AW645" s="117">
        <f>VLOOKUP($D645,'WB Data'!$C$3:$M$578,2,FALSE)</f>
        <v>539579955780.06226</v>
      </c>
      <c r="AX645" s="117">
        <f>VLOOKUP($D645,'WB Data'!$C$3:$M$578,3,FALSE)</f>
        <v>237486894</v>
      </c>
      <c r="AY645" s="847">
        <f t="shared" si="115"/>
        <v>4.6193442404594588E-2</v>
      </c>
      <c r="AZ645" s="117">
        <f>VLOOKUP($D645,'WB Data'!$C$3:$M$578,4,FALSE)/100</f>
        <v>0.15375024136545859</v>
      </c>
      <c r="BA645" s="117">
        <f t="shared" si="116"/>
        <v>82960548437.148041</v>
      </c>
      <c r="BB645" s="129">
        <f>IFERROR(VLOOKUP($D645,'EITI Revenues'!$C$2:$G$224,5,FALSE),"..")</f>
        <v>24925055610</v>
      </c>
      <c r="BC645" s="846">
        <f t="shared" si="117"/>
        <v>0.30044468219594206</v>
      </c>
      <c r="BD645" s="129">
        <f>VLOOKUP($D645,'WB Data 2'!$C$2:$K$545,6,FALSE)</f>
        <v>44975155041.107948</v>
      </c>
      <c r="BE645" s="129">
        <f>IFERROR(VLOOKUP($D645,UNCTAD!$C$5:$V$529,4,FALSE),"..")</f>
        <v>133155500000</v>
      </c>
      <c r="BF645" s="846">
        <f t="shared" si="118"/>
        <v>0.33776415575104257</v>
      </c>
      <c r="BG645" s="117">
        <f>VLOOKUP($D645,'WB Data'!$C$3:$M$578,5,FALSE)</f>
        <v>1046530000</v>
      </c>
      <c r="BH645" s="129">
        <f>IFERROR($BB645/$BG645,"..")</f>
        <v>23.816857242506188</v>
      </c>
      <c r="BI645" s="117">
        <f>IFERROR(VLOOKUP($D645,'WB Data'!$C$3:$M$578,7,FALSE)/100,"..")</f>
        <v>3.5251299999999999E-2</v>
      </c>
      <c r="BJ645" s="117">
        <f>IFERROR($BI645*$AW645,"..")</f>
        <v>19020894895.189709</v>
      </c>
      <c r="BK645" s="846">
        <f>IFERROR($BB645/$BJ645,"..")</f>
        <v>1.3104039398431997</v>
      </c>
      <c r="BL645" s="117">
        <f>IFERROR(VLOOKUP($D645,'WB Data'!$C$3:$M$578,7,FALSE)/100,"..")</f>
        <v>3.5251299999999999E-2</v>
      </c>
      <c r="BM645" s="117">
        <f>IFERROR($AW645*$BL645,"..")</f>
        <v>19020894895.189709</v>
      </c>
      <c r="BN645" s="846">
        <f>IFERROR($BB645/$BM645,"..")</f>
        <v>1.3104039398431997</v>
      </c>
      <c r="BO645" s="801">
        <f t="shared" si="114"/>
        <v>34</v>
      </c>
      <c r="BP645" s="117">
        <f>VLOOKUP($D645,'WB Data'!$C$3:$M$578,9,FALSE)</f>
        <v>14.2</v>
      </c>
      <c r="BQ645" s="117">
        <f>VLOOKUP($D645,'WB Data'!$C$3:$M$578,10,FALSE)</f>
        <v>69.933097560975625</v>
      </c>
      <c r="BR645" s="117">
        <f>VLOOKUP($D645,'WB Data'!$C$3:$M$578,11,FALSE)</f>
        <v>28.6</v>
      </c>
      <c r="BS645" s="129">
        <f>IFERROR(VLOOKUP($D645,'WB Data 2'!$C$2:$K$545,9,FALSE),"..")</f>
        <v>98.035229999999999</v>
      </c>
      <c r="BT645" s="129">
        <f>_xlfn.IFNA(VLOOKUP($C645,RGI!$A$2:$C$43,2,FALSE),"..")</f>
        <v>50</v>
      </c>
      <c r="BU645" s="129">
        <f>_xlfn.IFNA(VLOOKUP($C645,RGI!$A$2:$C$43,3,FALSE),"..")</f>
        <v>65.756132994529537</v>
      </c>
      <c r="BV645" s="129">
        <f>VLOOKUP($D645,WGI!$C$2:$O$478,7,FALSE)</f>
        <v>-3.3692223068848899E-2</v>
      </c>
      <c r="BW645" s="129">
        <f>VLOOKUP($D645,WGI!$C$2:$O$478,4,FALSE)</f>
        <v>-0.75851636602946304</v>
      </c>
      <c r="BX645" s="129">
        <f>VLOOKUP($D645,WGI!$C$2:$O$478,3,FALSE)</f>
        <v>-0.27656821064612203</v>
      </c>
      <c r="BY645" s="129">
        <f>VLOOKUP($D645,WGI!$C$2:$O$478,5,FALSE)</f>
        <v>-0.33309293933209</v>
      </c>
      <c r="BZ645" s="129">
        <f>VLOOKUP($D645,WGI!$C$2:$O$478,2,FALSE)</f>
        <v>-0.81582570120773601</v>
      </c>
    </row>
    <row r="646" spans="1:80" ht="15" customHeight="1">
      <c r="A646" s="280" t="s">
        <v>242</v>
      </c>
      <c r="B646" s="117">
        <v>2009</v>
      </c>
      <c r="C646" s="117" t="s">
        <v>243</v>
      </c>
      <c r="D646" s="117" t="s">
        <v>3632</v>
      </c>
      <c r="E646" s="117" t="s">
        <v>244</v>
      </c>
      <c r="F646" s="117"/>
      <c r="G646" s="117" t="s">
        <v>55</v>
      </c>
      <c r="H646" s="117" t="str">
        <f t="shared" si="110"/>
        <v>no</v>
      </c>
      <c r="I646" s="117" t="str">
        <f t="shared" si="111"/>
        <v>yes</v>
      </c>
      <c r="J646" s="117" t="str">
        <f t="shared" si="112"/>
        <v>yes</v>
      </c>
      <c r="K646" s="117" t="s">
        <v>640</v>
      </c>
      <c r="L646" s="117" t="str">
        <f t="shared" si="106"/>
        <v>Total</v>
      </c>
      <c r="M646" s="117" t="str">
        <f t="shared" si="113"/>
        <v>Total Oil, Gas</v>
      </c>
      <c r="N646" s="118"/>
      <c r="O646" s="118"/>
      <c r="P646" s="118"/>
      <c r="Q646" s="118"/>
      <c r="R646" s="118"/>
      <c r="S646" s="117"/>
      <c r="T646" s="119"/>
      <c r="U646" s="117"/>
      <c r="V646" s="117"/>
      <c r="W646" s="89">
        <f>SUM(W647:W648)</f>
        <v>32461193487.104675</v>
      </c>
      <c r="X646" s="117"/>
      <c r="Y646" s="117"/>
      <c r="Z646" s="117"/>
      <c r="AA646" s="177">
        <v>20711929000</v>
      </c>
      <c r="AB646" s="177">
        <v>20615506000</v>
      </c>
      <c r="AC646" s="122"/>
      <c r="AD646" s="122"/>
      <c r="AE646" s="122"/>
      <c r="AF646" s="123">
        <f>AA646/W646</f>
        <v>0.63805198685094211</v>
      </c>
      <c r="AG646" s="117"/>
      <c r="AH646" s="124"/>
      <c r="AI646" s="117"/>
      <c r="AJ646" s="117" t="s">
        <v>1309</v>
      </c>
      <c r="AK646" s="89">
        <v>15316435000</v>
      </c>
      <c r="AL646" s="117" t="s">
        <v>1310</v>
      </c>
      <c r="AM646" s="89">
        <v>697200000</v>
      </c>
      <c r="AN646" s="117">
        <v>57</v>
      </c>
      <c r="AO646" s="117" t="s">
        <v>1315</v>
      </c>
      <c r="AP646" s="117">
        <v>57</v>
      </c>
      <c r="AQ646" s="117"/>
      <c r="AR646" s="126"/>
      <c r="AS646" s="117"/>
      <c r="AT646" s="117"/>
      <c r="AU646" s="117">
        <v>14</v>
      </c>
      <c r="AV646" s="128"/>
      <c r="AW646" s="117">
        <f>VLOOKUP($D646,'WB Data'!$C$3:$M$578,2,FALSE)</f>
        <v>539579955780.06226</v>
      </c>
      <c r="AX646" s="117">
        <f>VLOOKUP($D646,'WB Data'!$C$3:$M$578,3,FALSE)</f>
        <v>237486894</v>
      </c>
      <c r="AY646" s="847">
        <f t="shared" si="115"/>
        <v>4.6193442404594588E-2</v>
      </c>
      <c r="AZ646" s="117">
        <f>VLOOKUP($D646,'WB Data'!$C$3:$M$578,4,FALSE)/100</f>
        <v>0.15375024136545859</v>
      </c>
      <c r="BA646" s="117">
        <f t="shared" si="116"/>
        <v>82960548437.148041</v>
      </c>
      <c r="BB646" s="129">
        <f>IFERROR(VLOOKUP($D646,'EITI Revenues'!$C$2:$G$224,5,FALSE),"..")</f>
        <v>24925055610</v>
      </c>
      <c r="BC646" s="846">
        <f t="shared" si="117"/>
        <v>0.30044468219594206</v>
      </c>
      <c r="BD646" s="129">
        <f>VLOOKUP($D646,'WB Data 2'!$C$2:$K$545,6,FALSE)</f>
        <v>44975155041.107948</v>
      </c>
      <c r="BE646" s="129">
        <f>IFERROR(VLOOKUP($D646,UNCTAD!$C$5:$V$529,4,FALSE),"..")</f>
        <v>133155500000</v>
      </c>
      <c r="BF646" s="846">
        <f t="shared" si="118"/>
        <v>0.33776415575104257</v>
      </c>
      <c r="BG646" s="117">
        <f>VLOOKUP($D646,'WB Data'!$C$3:$M$578,5,FALSE)</f>
        <v>1046530000</v>
      </c>
      <c r="BH646" s="129">
        <f>IFERROR($BB646/$BG646,"..")</f>
        <v>23.816857242506188</v>
      </c>
      <c r="BI646" s="117">
        <f>IFERROR(VLOOKUP($D646,'WB Data'!$C$3:$M$578,7,FALSE)/100,"..")</f>
        <v>3.5251299999999999E-2</v>
      </c>
      <c r="BJ646" s="117">
        <f>IFERROR($BI646*$AW646,"..")</f>
        <v>19020894895.189709</v>
      </c>
      <c r="BK646" s="846">
        <f>IFERROR($BB646/$BJ646,"..")</f>
        <v>1.3104039398431997</v>
      </c>
      <c r="BL646" s="117">
        <f>IFERROR(VLOOKUP($D646,'WB Data'!$C$3:$M$578,7,FALSE)/100,"..")</f>
        <v>3.5251299999999999E-2</v>
      </c>
      <c r="BM646" s="117">
        <f>IFERROR($AW646*$BL646,"..")</f>
        <v>19020894895.189709</v>
      </c>
      <c r="BN646" s="846">
        <f>IFERROR($BB646/$BM646,"..")</f>
        <v>1.3104039398431997</v>
      </c>
      <c r="BO646" s="801">
        <f t="shared" si="114"/>
        <v>34</v>
      </c>
      <c r="BP646" s="117">
        <f>VLOOKUP($D646,'WB Data'!$C$3:$M$578,9,FALSE)</f>
        <v>14.2</v>
      </c>
      <c r="BQ646" s="117">
        <f>VLOOKUP($D646,'WB Data'!$C$3:$M$578,10,FALSE)</f>
        <v>69.933097560975625</v>
      </c>
      <c r="BR646" s="117">
        <f>VLOOKUP($D646,'WB Data'!$C$3:$M$578,11,FALSE)</f>
        <v>28.6</v>
      </c>
      <c r="BS646" s="129">
        <f>IFERROR(VLOOKUP($D646,'WB Data 2'!$C$2:$K$545,9,FALSE),"..")</f>
        <v>98.035229999999999</v>
      </c>
      <c r="BT646" s="129">
        <f>_xlfn.IFNA(VLOOKUP($C646,RGI!$A$2:$C$43,2,FALSE),"..")</f>
        <v>50</v>
      </c>
      <c r="BU646" s="129">
        <f>_xlfn.IFNA(VLOOKUP($C646,RGI!$A$2:$C$43,3,FALSE),"..")</f>
        <v>65.756132994529537</v>
      </c>
      <c r="BV646" s="129">
        <f>VLOOKUP($D646,WGI!$C$2:$O$478,7,FALSE)</f>
        <v>-3.3692223068848899E-2</v>
      </c>
      <c r="BW646" s="129">
        <f>VLOOKUP($D646,WGI!$C$2:$O$478,4,FALSE)</f>
        <v>-0.75851636602946304</v>
      </c>
      <c r="BX646" s="129">
        <f>VLOOKUP($D646,WGI!$C$2:$O$478,3,FALSE)</f>
        <v>-0.27656821064612203</v>
      </c>
      <c r="BY646" s="129">
        <f>VLOOKUP($D646,WGI!$C$2:$O$478,5,FALSE)</f>
        <v>-0.33309293933209</v>
      </c>
      <c r="BZ646" s="129">
        <f>VLOOKUP($D646,WGI!$C$2:$O$478,2,FALSE)</f>
        <v>-0.81582570120773601</v>
      </c>
    </row>
    <row r="647" spans="1:80" ht="15" customHeight="1">
      <c r="A647" s="280" t="s">
        <v>242</v>
      </c>
      <c r="B647" s="117">
        <v>2009</v>
      </c>
      <c r="C647" s="117" t="s">
        <v>243</v>
      </c>
      <c r="D647" s="117" t="s">
        <v>3632</v>
      </c>
      <c r="E647" s="117" t="s">
        <v>244</v>
      </c>
      <c r="F647" s="117"/>
      <c r="G647" s="117" t="s">
        <v>561</v>
      </c>
      <c r="H647" s="117" t="str">
        <f t="shared" si="110"/>
        <v>no</v>
      </c>
      <c r="I647" s="117" t="str">
        <f t="shared" si="111"/>
        <v>yes</v>
      </c>
      <c r="J647" s="117" t="str">
        <f t="shared" si="112"/>
        <v>no</v>
      </c>
      <c r="K647" s="117" t="s">
        <v>561</v>
      </c>
      <c r="L647" s="117" t="str">
        <f t="shared" si="106"/>
        <v>detailed</v>
      </c>
      <c r="M647" s="117" t="str">
        <f t="shared" si="113"/>
        <v>detailed Gas</v>
      </c>
      <c r="N647" s="118">
        <v>71900000000</v>
      </c>
      <c r="O647" s="118">
        <f>N647*0.0066</f>
        <v>474540000</v>
      </c>
      <c r="P647" s="118"/>
      <c r="Q647" s="118"/>
      <c r="R647" s="118"/>
      <c r="S647" s="117" t="s">
        <v>642</v>
      </c>
      <c r="T647" s="119">
        <v>0.14422800000000002</v>
      </c>
      <c r="U647" s="117" t="s">
        <v>643</v>
      </c>
      <c r="V647" s="117" t="s">
        <v>738</v>
      </c>
      <c r="W647" s="89">
        <f>N647*T647</f>
        <v>10369993200.000002</v>
      </c>
      <c r="X647" s="117"/>
      <c r="Y647" s="117"/>
      <c r="Z647" s="117"/>
      <c r="AA647" s="177"/>
      <c r="AB647" s="177"/>
      <c r="AC647" s="122"/>
      <c r="AD647" s="122"/>
      <c r="AE647" s="122"/>
      <c r="AF647" s="123"/>
      <c r="AG647" s="117"/>
      <c r="AH647" s="124"/>
      <c r="AI647" s="117"/>
      <c r="AJ647" s="117"/>
      <c r="AK647" s="89"/>
      <c r="AL647" s="117"/>
      <c r="AM647" s="117"/>
      <c r="AN647" s="117"/>
      <c r="AO647" s="117"/>
      <c r="AP647" s="117"/>
      <c r="AQ647" s="117"/>
      <c r="AR647" s="126"/>
      <c r="AS647" s="117"/>
      <c r="AT647" s="117"/>
      <c r="AU647" s="117">
        <v>26</v>
      </c>
      <c r="AV647" s="128"/>
      <c r="AW647" s="117">
        <f>VLOOKUP($D647,'WB Data'!$C$3:$M$578,2,FALSE)</f>
        <v>539579955780.06226</v>
      </c>
      <c r="AX647" s="117">
        <f>VLOOKUP($D647,'WB Data'!$C$3:$M$578,3,FALSE)</f>
        <v>237486894</v>
      </c>
      <c r="AY647" s="847">
        <f t="shared" si="115"/>
        <v>4.6193442404594588E-2</v>
      </c>
      <c r="AZ647" s="117">
        <f>VLOOKUP($D647,'WB Data'!$C$3:$M$578,4,FALSE)/100</f>
        <v>0.15375024136545859</v>
      </c>
      <c r="BA647" s="117">
        <f t="shared" si="116"/>
        <v>82960548437.148041</v>
      </c>
      <c r="BB647" s="129">
        <f>IFERROR(VLOOKUP($D647,'EITI Revenues'!$C$2:$G$224,5,FALSE),"..")</f>
        <v>24925055610</v>
      </c>
      <c r="BC647" s="846">
        <f t="shared" si="117"/>
        <v>0.30044468219594206</v>
      </c>
      <c r="BD647" s="129">
        <f>VLOOKUP($D647,'WB Data 2'!$C$2:$K$545,6,FALSE)</f>
        <v>44975155041.107948</v>
      </c>
      <c r="BE647" s="129">
        <f>IFERROR(VLOOKUP($D647,UNCTAD!$C$5:$V$529,4,FALSE),"..")</f>
        <v>133155500000</v>
      </c>
      <c r="BF647" s="846">
        <f t="shared" si="118"/>
        <v>0.33776415575104257</v>
      </c>
      <c r="BG647" s="117">
        <f>VLOOKUP($D647,'WB Data'!$C$3:$M$578,5,FALSE)</f>
        <v>1046530000</v>
      </c>
      <c r="BH647" s="129">
        <f>IFERROR($BB647/$BG647,"..")</f>
        <v>23.816857242506188</v>
      </c>
      <c r="BI647" s="117">
        <f>IFERROR(VLOOKUP($D647,'WB Data'!$C$3:$M$578,7,FALSE)/100,"..")</f>
        <v>3.5251299999999999E-2</v>
      </c>
      <c r="BJ647" s="117">
        <f>IFERROR($BI647*$AW647,"..")</f>
        <v>19020894895.189709</v>
      </c>
      <c r="BK647" s="846">
        <f>IFERROR($BB647/$BJ647,"..")</f>
        <v>1.3104039398431997</v>
      </c>
      <c r="BL647" s="117">
        <f>IFERROR(VLOOKUP($D647,'WB Data'!$C$3:$M$578,7,FALSE)/100,"..")</f>
        <v>3.5251299999999999E-2</v>
      </c>
      <c r="BM647" s="117">
        <f>IFERROR($AW647*$BL647,"..")</f>
        <v>19020894895.189709</v>
      </c>
      <c r="BN647" s="846">
        <f>IFERROR($BB647/$BM647,"..")</f>
        <v>1.3104039398431997</v>
      </c>
      <c r="BO647" s="801">
        <f t="shared" si="114"/>
        <v>34</v>
      </c>
      <c r="BP647" s="117">
        <f>VLOOKUP($D647,'WB Data'!$C$3:$M$578,9,FALSE)</f>
        <v>14.2</v>
      </c>
      <c r="BQ647" s="117">
        <f>VLOOKUP($D647,'WB Data'!$C$3:$M$578,10,FALSE)</f>
        <v>69.933097560975625</v>
      </c>
      <c r="BR647" s="117">
        <f>VLOOKUP($D647,'WB Data'!$C$3:$M$578,11,FALSE)</f>
        <v>28.6</v>
      </c>
      <c r="BS647" s="129">
        <f>IFERROR(VLOOKUP($D647,'WB Data 2'!$C$2:$K$545,9,FALSE),"..")</f>
        <v>98.035229999999999</v>
      </c>
      <c r="BT647" s="129">
        <f>_xlfn.IFNA(VLOOKUP($C647,RGI!$A$2:$C$43,2,FALSE),"..")</f>
        <v>50</v>
      </c>
      <c r="BU647" s="129">
        <f>_xlfn.IFNA(VLOOKUP($C647,RGI!$A$2:$C$43,3,FALSE),"..")</f>
        <v>65.756132994529537</v>
      </c>
      <c r="BV647" s="129">
        <f>VLOOKUP($D647,WGI!$C$2:$O$478,7,FALSE)</f>
        <v>-3.3692223068848899E-2</v>
      </c>
      <c r="BW647" s="129">
        <f>VLOOKUP($D647,WGI!$C$2:$O$478,4,FALSE)</f>
        <v>-0.75851636602946304</v>
      </c>
      <c r="BX647" s="129">
        <f>VLOOKUP($D647,WGI!$C$2:$O$478,3,FALSE)</f>
        <v>-0.27656821064612203</v>
      </c>
      <c r="BY647" s="129">
        <f>VLOOKUP($D647,WGI!$C$2:$O$478,5,FALSE)</f>
        <v>-0.33309293933209</v>
      </c>
      <c r="BZ647" s="129">
        <f>VLOOKUP($D647,WGI!$C$2:$O$478,2,FALSE)</f>
        <v>-0.81582570120773601</v>
      </c>
    </row>
    <row r="648" spans="1:80" ht="15" customHeight="1">
      <c r="A648" s="280" t="s">
        <v>242</v>
      </c>
      <c r="B648" s="117">
        <v>2009</v>
      </c>
      <c r="C648" s="117" t="s">
        <v>243</v>
      </c>
      <c r="D648" s="117" t="s">
        <v>3632</v>
      </c>
      <c r="E648" s="117" t="s">
        <v>244</v>
      </c>
      <c r="F648" s="117"/>
      <c r="G648" s="117" t="s">
        <v>103</v>
      </c>
      <c r="H648" s="117" t="str">
        <f t="shared" si="110"/>
        <v>no</v>
      </c>
      <c r="I648" s="117" t="str">
        <f t="shared" si="111"/>
        <v>no</v>
      </c>
      <c r="J648" s="117" t="str">
        <f t="shared" si="112"/>
        <v>yes</v>
      </c>
      <c r="K648" s="117" t="s">
        <v>103</v>
      </c>
      <c r="L648" s="117" t="str">
        <f t="shared" si="106"/>
        <v>detailed</v>
      </c>
      <c r="M648" s="117" t="str">
        <f t="shared" si="113"/>
        <v>detailed Oil</v>
      </c>
      <c r="N648" s="118">
        <v>346750000</v>
      </c>
      <c r="O648" s="461">
        <f>O647/N648</f>
        <v>1.368536409516943</v>
      </c>
      <c r="P648" s="118">
        <v>346750000</v>
      </c>
      <c r="Q648" s="118"/>
      <c r="R648" s="118"/>
      <c r="S648" s="117" t="s">
        <v>646</v>
      </c>
      <c r="T648" s="119">
        <f>62.08273385*1.0262</f>
        <v>63.709301476869996</v>
      </c>
      <c r="U648" s="117" t="s">
        <v>673</v>
      </c>
      <c r="V648" s="117" t="s">
        <v>1316</v>
      </c>
      <c r="W648" s="89">
        <f>N648*T648</f>
        <v>22091200287.104671</v>
      </c>
      <c r="X648" s="117"/>
      <c r="Y648" s="117"/>
      <c r="Z648" s="117"/>
      <c r="AA648" s="177"/>
      <c r="AB648" s="177"/>
      <c r="AC648" s="122"/>
      <c r="AD648" s="122"/>
      <c r="AE648" s="122"/>
      <c r="AF648" s="123"/>
      <c r="AG648" s="117"/>
      <c r="AH648" s="124"/>
      <c r="AI648" s="117"/>
      <c r="AJ648" s="117"/>
      <c r="AK648" s="89"/>
      <c r="AL648" s="117"/>
      <c r="AM648" s="117"/>
      <c r="AN648" s="117"/>
      <c r="AO648" s="117"/>
      <c r="AP648" s="117"/>
      <c r="AQ648" s="117"/>
      <c r="AR648" s="126"/>
      <c r="AS648" s="117"/>
      <c r="AT648" s="117"/>
      <c r="AU648" s="117">
        <v>26</v>
      </c>
      <c r="AV648" s="128"/>
      <c r="AW648" s="117">
        <f>VLOOKUP($D648,'WB Data'!$C$3:$M$578,2,FALSE)</f>
        <v>539579955780.06226</v>
      </c>
      <c r="AX648" s="117">
        <f>VLOOKUP($D648,'WB Data'!$C$3:$M$578,3,FALSE)</f>
        <v>237486894</v>
      </c>
      <c r="AY648" s="847">
        <f t="shared" si="115"/>
        <v>4.6193442404594588E-2</v>
      </c>
      <c r="AZ648" s="117">
        <f>VLOOKUP($D648,'WB Data'!$C$3:$M$578,4,FALSE)/100</f>
        <v>0.15375024136545859</v>
      </c>
      <c r="BA648" s="117">
        <f t="shared" si="116"/>
        <v>82960548437.148041</v>
      </c>
      <c r="BB648" s="129">
        <f>IFERROR(VLOOKUP($D648,'EITI Revenues'!$C$2:$G$224,5,FALSE),"..")</f>
        <v>24925055610</v>
      </c>
      <c r="BC648" s="846">
        <f t="shared" si="117"/>
        <v>0.30044468219594206</v>
      </c>
      <c r="BD648" s="129">
        <f>VLOOKUP($D648,'WB Data 2'!$C$2:$K$545,6,FALSE)</f>
        <v>44975155041.107948</v>
      </c>
      <c r="BE648" s="129">
        <f>IFERROR(VLOOKUP($D648,UNCTAD!$C$5:$V$529,4,FALSE),"..")</f>
        <v>133155500000</v>
      </c>
      <c r="BF648" s="846">
        <f t="shared" si="118"/>
        <v>0.33776415575104257</v>
      </c>
      <c r="BG648" s="117">
        <f>VLOOKUP($D648,'WB Data'!$C$3:$M$578,5,FALSE)</f>
        <v>1046530000</v>
      </c>
      <c r="BH648" s="129">
        <f>IFERROR($BB648/$BG648,"..")</f>
        <v>23.816857242506188</v>
      </c>
      <c r="BI648" s="117">
        <f>IFERROR(VLOOKUP($D648,'WB Data'!$C$3:$M$578,7,FALSE)/100,"..")</f>
        <v>3.5251299999999999E-2</v>
      </c>
      <c r="BJ648" s="117">
        <f>IFERROR($BI648*$AW648,"..")</f>
        <v>19020894895.189709</v>
      </c>
      <c r="BK648" s="846">
        <f>IFERROR($BB648/$BJ648,"..")</f>
        <v>1.3104039398431997</v>
      </c>
      <c r="BL648" s="117">
        <f>IFERROR(VLOOKUP($D648,'WB Data'!$C$3:$M$578,7,FALSE)/100,"..")</f>
        <v>3.5251299999999999E-2</v>
      </c>
      <c r="BM648" s="117">
        <f>IFERROR($AW648*$BL648,"..")</f>
        <v>19020894895.189709</v>
      </c>
      <c r="BN648" s="846">
        <f>IFERROR($BB648/$BM648,"..")</f>
        <v>1.3104039398431997</v>
      </c>
      <c r="BO648" s="801">
        <f t="shared" si="114"/>
        <v>34</v>
      </c>
      <c r="BP648" s="117">
        <f>VLOOKUP($D648,'WB Data'!$C$3:$M$578,9,FALSE)</f>
        <v>14.2</v>
      </c>
      <c r="BQ648" s="117">
        <f>VLOOKUP($D648,'WB Data'!$C$3:$M$578,10,FALSE)</f>
        <v>69.933097560975625</v>
      </c>
      <c r="BR648" s="117">
        <f>VLOOKUP($D648,'WB Data'!$C$3:$M$578,11,FALSE)</f>
        <v>28.6</v>
      </c>
      <c r="BS648" s="129">
        <f>IFERROR(VLOOKUP($D648,'WB Data 2'!$C$2:$K$545,9,FALSE),"..")</f>
        <v>98.035229999999999</v>
      </c>
      <c r="BT648" s="129">
        <f>_xlfn.IFNA(VLOOKUP($C648,RGI!$A$2:$C$43,2,FALSE),"..")</f>
        <v>50</v>
      </c>
      <c r="BU648" s="129">
        <f>_xlfn.IFNA(VLOOKUP($C648,RGI!$A$2:$C$43,3,FALSE),"..")</f>
        <v>65.756132994529537</v>
      </c>
      <c r="BV648" s="129">
        <f>VLOOKUP($D648,WGI!$C$2:$O$478,7,FALSE)</f>
        <v>-3.3692223068848899E-2</v>
      </c>
      <c r="BW648" s="129">
        <f>VLOOKUP($D648,WGI!$C$2:$O$478,4,FALSE)</f>
        <v>-0.75851636602946304</v>
      </c>
      <c r="BX648" s="129">
        <f>VLOOKUP($D648,WGI!$C$2:$O$478,3,FALSE)</f>
        <v>-0.27656821064612203</v>
      </c>
      <c r="BY648" s="129">
        <f>VLOOKUP($D648,WGI!$C$2:$O$478,5,FALSE)</f>
        <v>-0.33309293933209</v>
      </c>
      <c r="BZ648" s="129">
        <f>VLOOKUP($D648,WGI!$C$2:$O$478,2,FALSE)</f>
        <v>-0.81582570120773601</v>
      </c>
    </row>
    <row r="649" spans="1:80" ht="15" customHeight="1">
      <c r="A649" s="280" t="s">
        <v>242</v>
      </c>
      <c r="B649" s="117">
        <v>2009</v>
      </c>
      <c r="C649" s="117" t="s">
        <v>243</v>
      </c>
      <c r="D649" s="117" t="s">
        <v>3632</v>
      </c>
      <c r="E649" s="117" t="s">
        <v>244</v>
      </c>
      <c r="F649" s="117"/>
      <c r="G649" s="117" t="s">
        <v>24</v>
      </c>
      <c r="H649" s="117" t="str">
        <f t="shared" si="110"/>
        <v>yes</v>
      </c>
      <c r="I649" s="117" t="str">
        <f t="shared" si="111"/>
        <v>no</v>
      </c>
      <c r="J649" s="117" t="str">
        <f t="shared" si="112"/>
        <v>no</v>
      </c>
      <c r="K649" s="117" t="s">
        <v>600</v>
      </c>
      <c r="L649" s="117" t="str">
        <f t="shared" si="106"/>
        <v>Total</v>
      </c>
      <c r="M649" s="117" t="str">
        <f t="shared" si="113"/>
        <v>Total Mining</v>
      </c>
      <c r="N649" s="118"/>
      <c r="O649" s="118"/>
      <c r="P649" s="118"/>
      <c r="Q649" s="118"/>
      <c r="R649" s="118"/>
      <c r="S649" s="117"/>
      <c r="T649" s="119"/>
      <c r="U649" s="117"/>
      <c r="V649" s="117"/>
      <c r="W649" s="89">
        <f>SUM(W650:W664)</f>
        <v>31456480989.66375</v>
      </c>
      <c r="X649" s="117"/>
      <c r="Y649" s="117"/>
      <c r="Z649" s="117"/>
      <c r="AA649" s="177">
        <v>4213126610</v>
      </c>
      <c r="AB649" s="177">
        <v>4066824430</v>
      </c>
      <c r="AC649" s="122"/>
      <c r="AD649" s="122"/>
      <c r="AE649" s="122"/>
      <c r="AF649" s="123">
        <f>AA649/W649</f>
        <v>0.13393508992262634</v>
      </c>
      <c r="AG649" s="117"/>
      <c r="AH649" s="124"/>
      <c r="AI649" s="117"/>
      <c r="AJ649" s="117"/>
      <c r="AK649" s="89"/>
      <c r="AL649" s="117"/>
      <c r="AM649" s="117"/>
      <c r="AN649" s="117">
        <v>72</v>
      </c>
      <c r="AO649" s="117" t="s">
        <v>1317</v>
      </c>
      <c r="AP649" s="117">
        <v>69</v>
      </c>
      <c r="AQ649" s="117"/>
      <c r="AR649" s="126"/>
      <c r="AS649" s="117"/>
      <c r="AT649" s="117"/>
      <c r="AU649" s="117" t="s">
        <v>1318</v>
      </c>
      <c r="AV649" s="128"/>
      <c r="AW649" s="117">
        <f>VLOOKUP($D649,'WB Data'!$C$3:$M$578,2,FALSE)</f>
        <v>539579955780.06226</v>
      </c>
      <c r="AX649" s="117">
        <f>VLOOKUP($D649,'WB Data'!$C$3:$M$578,3,FALSE)</f>
        <v>237486894</v>
      </c>
      <c r="AY649" s="847">
        <f t="shared" si="115"/>
        <v>4.6193442404594588E-2</v>
      </c>
      <c r="AZ649" s="117">
        <f>VLOOKUP($D649,'WB Data'!$C$3:$M$578,4,FALSE)/100</f>
        <v>0.15375024136545859</v>
      </c>
      <c r="BA649" s="117">
        <f t="shared" si="116"/>
        <v>82960548437.148041</v>
      </c>
      <c r="BB649" s="129">
        <f>IFERROR(VLOOKUP($D649,'EITI Revenues'!$C$2:$G$224,5,FALSE),"..")</f>
        <v>24925055610</v>
      </c>
      <c r="BC649" s="846">
        <f t="shared" si="117"/>
        <v>0.30044468219594206</v>
      </c>
      <c r="BD649" s="129">
        <f>VLOOKUP($D649,'WB Data 2'!$C$2:$K$545,6,FALSE)</f>
        <v>44975155041.107948</v>
      </c>
      <c r="BE649" s="129">
        <f>IFERROR(VLOOKUP($D649,UNCTAD!$C$5:$V$529,4,FALSE),"..")</f>
        <v>133155500000</v>
      </c>
      <c r="BF649" s="846">
        <f t="shared" si="118"/>
        <v>0.33776415575104257</v>
      </c>
      <c r="BG649" s="117">
        <f>VLOOKUP($D649,'WB Data'!$C$3:$M$578,5,FALSE)</f>
        <v>1046530000</v>
      </c>
      <c r="BH649" s="129">
        <f>IFERROR($BB649/$BG649,"..")</f>
        <v>23.816857242506188</v>
      </c>
      <c r="BI649" s="117">
        <f>IFERROR(VLOOKUP($D649,'WB Data'!$C$3:$M$578,7,FALSE)/100,"..")</f>
        <v>3.5251299999999999E-2</v>
      </c>
      <c r="BJ649" s="117">
        <f>IFERROR($BI649*$AW649,"..")</f>
        <v>19020894895.189709</v>
      </c>
      <c r="BK649" s="846">
        <f>IFERROR($BB649/$BJ649,"..")</f>
        <v>1.3104039398431997</v>
      </c>
      <c r="BL649" s="117">
        <f>IFERROR(VLOOKUP($D649,'WB Data'!$C$3:$M$578,7,FALSE)/100,"..")</f>
        <v>3.5251299999999999E-2</v>
      </c>
      <c r="BM649" s="117">
        <f>IFERROR($AW649*$BL649,"..")</f>
        <v>19020894895.189709</v>
      </c>
      <c r="BN649" s="846">
        <f>IFERROR($BB649/$BM649,"..")</f>
        <v>1.3104039398431997</v>
      </c>
      <c r="BO649" s="801">
        <f t="shared" si="114"/>
        <v>34</v>
      </c>
      <c r="BP649" s="117">
        <f>VLOOKUP($D649,'WB Data'!$C$3:$M$578,9,FALSE)</f>
        <v>14.2</v>
      </c>
      <c r="BQ649" s="117">
        <f>VLOOKUP($D649,'WB Data'!$C$3:$M$578,10,FALSE)</f>
        <v>69.933097560975625</v>
      </c>
      <c r="BR649" s="117">
        <f>VLOOKUP($D649,'WB Data'!$C$3:$M$578,11,FALSE)</f>
        <v>28.6</v>
      </c>
      <c r="BS649" s="129">
        <f>IFERROR(VLOOKUP($D649,'WB Data 2'!$C$2:$K$545,9,FALSE),"..")</f>
        <v>98.035229999999999</v>
      </c>
      <c r="BT649" s="129">
        <f>_xlfn.IFNA(VLOOKUP($C649,RGI!$A$2:$C$43,2,FALSE),"..")</f>
        <v>50</v>
      </c>
      <c r="BU649" s="129">
        <f>_xlfn.IFNA(VLOOKUP($C649,RGI!$A$2:$C$43,3,FALSE),"..")</f>
        <v>65.756132994529537</v>
      </c>
      <c r="BV649" s="129">
        <f>VLOOKUP($D649,WGI!$C$2:$O$478,7,FALSE)</f>
        <v>-3.3692223068848899E-2</v>
      </c>
      <c r="BW649" s="129">
        <f>VLOOKUP($D649,WGI!$C$2:$O$478,4,FALSE)</f>
        <v>-0.75851636602946304</v>
      </c>
      <c r="BX649" s="129">
        <f>VLOOKUP($D649,WGI!$C$2:$O$478,3,FALSE)</f>
        <v>-0.27656821064612203</v>
      </c>
      <c r="BY649" s="129">
        <f>VLOOKUP($D649,WGI!$C$2:$O$478,5,FALSE)</f>
        <v>-0.33309293933209</v>
      </c>
      <c r="BZ649" s="129">
        <f>VLOOKUP($D649,WGI!$C$2:$O$478,2,FALSE)</f>
        <v>-0.81582570120773601</v>
      </c>
    </row>
    <row r="650" spans="1:80" ht="15" customHeight="1">
      <c r="A650" s="280" t="s">
        <v>242</v>
      </c>
      <c r="B650" s="117">
        <v>2009</v>
      </c>
      <c r="C650" s="117" t="s">
        <v>243</v>
      </c>
      <c r="D650" s="117" t="s">
        <v>3632</v>
      </c>
      <c r="E650" s="117" t="s">
        <v>244</v>
      </c>
      <c r="F650" s="117"/>
      <c r="G650" s="117" t="s">
        <v>24</v>
      </c>
      <c r="H650" s="117" t="str">
        <f t="shared" si="110"/>
        <v>yes</v>
      </c>
      <c r="I650" s="117" t="str">
        <f t="shared" si="111"/>
        <v>no</v>
      </c>
      <c r="J650" s="117" t="str">
        <f t="shared" si="112"/>
        <v>no</v>
      </c>
      <c r="K650" s="117" t="s">
        <v>1138</v>
      </c>
      <c r="L650" s="117" t="str">
        <f t="shared" si="106"/>
        <v>detailed</v>
      </c>
      <c r="M650" s="117" t="str">
        <f t="shared" si="113"/>
        <v>detailed Mining</v>
      </c>
      <c r="N650" s="118">
        <v>15000000</v>
      </c>
      <c r="O650" s="118"/>
      <c r="P650" s="118"/>
      <c r="Q650" s="118"/>
      <c r="R650" s="118"/>
      <c r="S650" s="118" t="s">
        <v>610</v>
      </c>
      <c r="T650" s="119">
        <v>29.8</v>
      </c>
      <c r="U650" s="117" t="s">
        <v>611</v>
      </c>
      <c r="V650" s="117" t="s">
        <v>1319</v>
      </c>
      <c r="W650" s="89">
        <f>N650*T650</f>
        <v>447000000</v>
      </c>
      <c r="X650" s="117"/>
      <c r="Y650" s="117"/>
      <c r="Z650" s="117"/>
      <c r="AA650" s="177"/>
      <c r="AB650" s="177"/>
      <c r="AC650" s="122"/>
      <c r="AD650" s="122"/>
      <c r="AE650" s="122"/>
      <c r="AF650" s="123"/>
      <c r="AG650" s="117"/>
      <c r="AH650" s="124"/>
      <c r="AI650" s="117"/>
      <c r="AJ650" s="117"/>
      <c r="AK650" s="89"/>
      <c r="AL650" s="117"/>
      <c r="AM650" s="117"/>
      <c r="AN650" s="117">
        <v>2</v>
      </c>
      <c r="AO650" s="117" t="s">
        <v>1320</v>
      </c>
      <c r="AP650" s="117">
        <v>2</v>
      </c>
      <c r="AQ650" s="117"/>
      <c r="AR650" s="126"/>
      <c r="AS650" s="117"/>
      <c r="AT650" s="117"/>
      <c r="AU650" s="117"/>
      <c r="AV650" s="128"/>
      <c r="AW650" s="117">
        <f>VLOOKUP($D650,'WB Data'!$C$3:$M$578,2,FALSE)</f>
        <v>539579955780.06226</v>
      </c>
      <c r="AX650" s="117">
        <f>VLOOKUP($D650,'WB Data'!$C$3:$M$578,3,FALSE)</f>
        <v>237486894</v>
      </c>
      <c r="AY650" s="847">
        <f t="shared" si="115"/>
        <v>4.6193442404594588E-2</v>
      </c>
      <c r="AZ650" s="117">
        <f>VLOOKUP($D650,'WB Data'!$C$3:$M$578,4,FALSE)/100</f>
        <v>0.15375024136545859</v>
      </c>
      <c r="BA650" s="117">
        <f t="shared" si="116"/>
        <v>82960548437.148041</v>
      </c>
      <c r="BB650" s="129">
        <f>IFERROR(VLOOKUP($D650,'EITI Revenues'!$C$2:$G$224,5,FALSE),"..")</f>
        <v>24925055610</v>
      </c>
      <c r="BC650" s="846">
        <f t="shared" si="117"/>
        <v>0.30044468219594206</v>
      </c>
      <c r="BD650" s="129">
        <f>VLOOKUP($D650,'WB Data 2'!$C$2:$K$545,6,FALSE)</f>
        <v>44975155041.107948</v>
      </c>
      <c r="BE650" s="129">
        <f>IFERROR(VLOOKUP($D650,UNCTAD!$C$5:$V$529,4,FALSE),"..")</f>
        <v>133155500000</v>
      </c>
      <c r="BF650" s="846">
        <f t="shared" si="118"/>
        <v>0.33776415575104257</v>
      </c>
      <c r="BG650" s="117">
        <f>VLOOKUP($D650,'WB Data'!$C$3:$M$578,5,FALSE)</f>
        <v>1046530000</v>
      </c>
      <c r="BH650" s="129">
        <f>IFERROR($BB650/$BG650,"..")</f>
        <v>23.816857242506188</v>
      </c>
      <c r="BI650" s="117">
        <f>IFERROR(VLOOKUP($D650,'WB Data'!$C$3:$M$578,7,FALSE)/100,"..")</f>
        <v>3.5251299999999999E-2</v>
      </c>
      <c r="BJ650" s="117">
        <f>IFERROR($BI650*$AW650,"..")</f>
        <v>19020894895.189709</v>
      </c>
      <c r="BK650" s="846">
        <f>IFERROR($BB650/$BJ650,"..")</f>
        <v>1.3104039398431997</v>
      </c>
      <c r="BL650" s="117">
        <f>IFERROR(VLOOKUP($D650,'WB Data'!$C$3:$M$578,7,FALSE)/100,"..")</f>
        <v>3.5251299999999999E-2</v>
      </c>
      <c r="BM650" s="117">
        <f>IFERROR($AW650*$BL650,"..")</f>
        <v>19020894895.189709</v>
      </c>
      <c r="BN650" s="846">
        <f>IFERROR($BB650/$BM650,"..")</f>
        <v>1.3104039398431997</v>
      </c>
      <c r="BO650" s="801">
        <f t="shared" si="114"/>
        <v>34</v>
      </c>
      <c r="BP650" s="117">
        <f>VLOOKUP($D650,'WB Data'!$C$3:$M$578,9,FALSE)</f>
        <v>14.2</v>
      </c>
      <c r="BQ650" s="117">
        <f>VLOOKUP($D650,'WB Data'!$C$3:$M$578,10,FALSE)</f>
        <v>69.933097560975625</v>
      </c>
      <c r="BR650" s="117">
        <f>VLOOKUP($D650,'WB Data'!$C$3:$M$578,11,FALSE)</f>
        <v>28.6</v>
      </c>
      <c r="BS650" s="129">
        <f>IFERROR(VLOOKUP($D650,'WB Data 2'!$C$2:$K$545,9,FALSE),"..")</f>
        <v>98.035229999999999</v>
      </c>
      <c r="BT650" s="129">
        <f>_xlfn.IFNA(VLOOKUP($C650,RGI!$A$2:$C$43,2,FALSE),"..")</f>
        <v>50</v>
      </c>
      <c r="BU650" s="129">
        <f>_xlfn.IFNA(VLOOKUP($C650,RGI!$A$2:$C$43,3,FALSE),"..")</f>
        <v>65.756132994529537</v>
      </c>
      <c r="BV650" s="129">
        <f>VLOOKUP($D650,WGI!$C$2:$O$478,7,FALSE)</f>
        <v>-3.3692223068848899E-2</v>
      </c>
      <c r="BW650" s="129">
        <f>VLOOKUP($D650,WGI!$C$2:$O$478,4,FALSE)</f>
        <v>-0.75851636602946304</v>
      </c>
      <c r="BX650" s="129">
        <f>VLOOKUP($D650,WGI!$C$2:$O$478,3,FALSE)</f>
        <v>-0.27656821064612203</v>
      </c>
      <c r="BY650" s="129">
        <f>VLOOKUP($D650,WGI!$C$2:$O$478,5,FALSE)</f>
        <v>-0.33309293933209</v>
      </c>
      <c r="BZ650" s="129">
        <f>VLOOKUP($D650,WGI!$C$2:$O$478,2,FALSE)</f>
        <v>-0.81582570120773601</v>
      </c>
    </row>
    <row r="651" spans="1:80" ht="15" customHeight="1">
      <c r="A651" s="280" t="s">
        <v>242</v>
      </c>
      <c r="B651" s="117">
        <v>2009</v>
      </c>
      <c r="C651" s="117" t="s">
        <v>243</v>
      </c>
      <c r="D651" s="117" t="s">
        <v>3632</v>
      </c>
      <c r="E651" s="117" t="s">
        <v>244</v>
      </c>
      <c r="F651" s="117"/>
      <c r="G651" s="117" t="s">
        <v>24</v>
      </c>
      <c r="H651" s="117" t="str">
        <f t="shared" si="110"/>
        <v>yes</v>
      </c>
      <c r="I651" s="117" t="str">
        <f t="shared" si="111"/>
        <v>no</v>
      </c>
      <c r="J651" s="117" t="str">
        <f t="shared" si="112"/>
        <v>no</v>
      </c>
      <c r="K651" s="117" t="s">
        <v>616</v>
      </c>
      <c r="L651" s="117" t="str">
        <f t="shared" si="106"/>
        <v>detailed</v>
      </c>
      <c r="M651" s="117" t="str">
        <f t="shared" si="113"/>
        <v>detailed Mining</v>
      </c>
      <c r="N651" s="118">
        <v>256200000</v>
      </c>
      <c r="O651" s="118"/>
      <c r="P651" s="118"/>
      <c r="Q651" s="118"/>
      <c r="R651" s="118"/>
      <c r="S651" s="117" t="s">
        <v>610</v>
      </c>
      <c r="T651" s="119">
        <v>72.516709165814987</v>
      </c>
      <c r="U651" s="117" t="s">
        <v>611</v>
      </c>
      <c r="V651" s="117" t="s">
        <v>1321</v>
      </c>
      <c r="W651" s="89">
        <f>N651*T651</f>
        <v>18578780888.281799</v>
      </c>
      <c r="X651" s="117"/>
      <c r="Y651" s="117"/>
      <c r="Z651" s="117"/>
      <c r="AA651" s="177">
        <v>2569492290</v>
      </c>
      <c r="AB651" s="177">
        <v>2335419930</v>
      </c>
      <c r="AC651" s="122"/>
      <c r="AD651" s="122"/>
      <c r="AE651" s="122"/>
      <c r="AF651" s="123">
        <f>AA651/W651</f>
        <v>0.13830252401656004</v>
      </c>
      <c r="AG651" s="117"/>
      <c r="AH651" s="124"/>
      <c r="AI651" s="117"/>
      <c r="AJ651" s="117"/>
      <c r="AK651" s="89"/>
      <c r="AL651" s="117"/>
      <c r="AM651" s="117"/>
      <c r="AN651" s="117">
        <v>54</v>
      </c>
      <c r="AO651" s="117" t="s">
        <v>1322</v>
      </c>
      <c r="AP651" s="117">
        <v>53</v>
      </c>
      <c r="AQ651" s="117"/>
      <c r="AR651" s="126"/>
      <c r="AS651" s="117"/>
      <c r="AT651" s="117"/>
      <c r="AU651" s="117">
        <v>17</v>
      </c>
      <c r="AV651" s="128"/>
      <c r="AW651" s="117">
        <f>VLOOKUP($D651,'WB Data'!$C$3:$M$578,2,FALSE)</f>
        <v>539579955780.06226</v>
      </c>
      <c r="AX651" s="117">
        <f>VLOOKUP($D651,'WB Data'!$C$3:$M$578,3,FALSE)</f>
        <v>237486894</v>
      </c>
      <c r="AY651" s="847">
        <f t="shared" si="115"/>
        <v>4.6193442404594588E-2</v>
      </c>
      <c r="AZ651" s="117">
        <f>VLOOKUP($D651,'WB Data'!$C$3:$M$578,4,FALSE)/100</f>
        <v>0.15375024136545859</v>
      </c>
      <c r="BA651" s="117">
        <f t="shared" si="116"/>
        <v>82960548437.148041</v>
      </c>
      <c r="BB651" s="129">
        <f>IFERROR(VLOOKUP($D651,'EITI Revenues'!$C$2:$G$224,5,FALSE),"..")</f>
        <v>24925055610</v>
      </c>
      <c r="BC651" s="846">
        <f t="shared" si="117"/>
        <v>0.30044468219594206</v>
      </c>
      <c r="BD651" s="129">
        <f>VLOOKUP($D651,'WB Data 2'!$C$2:$K$545,6,FALSE)</f>
        <v>44975155041.107948</v>
      </c>
      <c r="BE651" s="129">
        <f>IFERROR(VLOOKUP($D651,UNCTAD!$C$5:$V$529,4,FALSE),"..")</f>
        <v>133155500000</v>
      </c>
      <c r="BF651" s="846">
        <f t="shared" si="118"/>
        <v>0.33776415575104257</v>
      </c>
      <c r="BG651" s="117">
        <f>VLOOKUP($D651,'WB Data'!$C$3:$M$578,5,FALSE)</f>
        <v>1046530000</v>
      </c>
      <c r="BH651" s="129">
        <f>IFERROR($BB651/$BG651,"..")</f>
        <v>23.816857242506188</v>
      </c>
      <c r="BI651" s="117">
        <f>IFERROR(VLOOKUP($D651,'WB Data'!$C$3:$M$578,7,FALSE)/100,"..")</f>
        <v>3.5251299999999999E-2</v>
      </c>
      <c r="BJ651" s="117">
        <f>IFERROR($BI651*$AW651,"..")</f>
        <v>19020894895.189709</v>
      </c>
      <c r="BK651" s="846">
        <f>IFERROR($BB651/$BJ651,"..")</f>
        <v>1.3104039398431997</v>
      </c>
      <c r="BL651" s="117">
        <f>IFERROR(VLOOKUP($D651,'WB Data'!$C$3:$M$578,7,FALSE)/100,"..")</f>
        <v>3.5251299999999999E-2</v>
      </c>
      <c r="BM651" s="117">
        <f>IFERROR($AW651*$BL651,"..")</f>
        <v>19020894895.189709</v>
      </c>
      <c r="BN651" s="846">
        <f>IFERROR($BB651/$BM651,"..")</f>
        <v>1.3104039398431997</v>
      </c>
      <c r="BO651" s="801">
        <f t="shared" si="114"/>
        <v>34</v>
      </c>
      <c r="BP651" s="117">
        <f>VLOOKUP($D651,'WB Data'!$C$3:$M$578,9,FALSE)</f>
        <v>14.2</v>
      </c>
      <c r="BQ651" s="117">
        <f>VLOOKUP($D651,'WB Data'!$C$3:$M$578,10,FALSE)</f>
        <v>69.933097560975625</v>
      </c>
      <c r="BR651" s="117">
        <f>VLOOKUP($D651,'WB Data'!$C$3:$M$578,11,FALSE)</f>
        <v>28.6</v>
      </c>
      <c r="BS651" s="129">
        <f>IFERROR(VLOOKUP($D651,'WB Data 2'!$C$2:$K$545,9,FALSE),"..")</f>
        <v>98.035229999999999</v>
      </c>
      <c r="BT651" s="129">
        <f>_xlfn.IFNA(VLOOKUP($C651,RGI!$A$2:$C$43,2,FALSE),"..")</f>
        <v>50</v>
      </c>
      <c r="BU651" s="129">
        <f>_xlfn.IFNA(VLOOKUP($C651,RGI!$A$2:$C$43,3,FALSE),"..")</f>
        <v>65.756132994529537</v>
      </c>
      <c r="BV651" s="129">
        <f>VLOOKUP($D651,WGI!$C$2:$O$478,7,FALSE)</f>
        <v>-3.3692223068848899E-2</v>
      </c>
      <c r="BW651" s="129">
        <f>VLOOKUP($D651,WGI!$C$2:$O$478,4,FALSE)</f>
        <v>-0.75851636602946304</v>
      </c>
      <c r="BX651" s="129">
        <f>VLOOKUP($D651,WGI!$C$2:$O$478,3,FALSE)</f>
        <v>-0.27656821064612203</v>
      </c>
      <c r="BY651" s="129">
        <f>VLOOKUP($D651,WGI!$C$2:$O$478,5,FALSE)</f>
        <v>-0.33309293933209</v>
      </c>
      <c r="BZ651" s="129">
        <f>VLOOKUP($D651,WGI!$C$2:$O$478,2,FALSE)</f>
        <v>-0.81582570120773601</v>
      </c>
    </row>
    <row r="652" spans="1:80" ht="15" customHeight="1">
      <c r="A652" s="280" t="s">
        <v>242</v>
      </c>
      <c r="B652" s="117">
        <v>2009</v>
      </c>
      <c r="C652" s="117" t="s">
        <v>243</v>
      </c>
      <c r="D652" s="117" t="s">
        <v>3632</v>
      </c>
      <c r="E652" s="117" t="s">
        <v>244</v>
      </c>
      <c r="F652" s="117"/>
      <c r="G652" s="117" t="s">
        <v>24</v>
      </c>
      <c r="H652" s="117" t="str">
        <f t="shared" si="110"/>
        <v>yes</v>
      </c>
      <c r="I652" s="117" t="str">
        <f t="shared" si="111"/>
        <v>no</v>
      </c>
      <c r="J652" s="117" t="str">
        <f t="shared" si="112"/>
        <v>no</v>
      </c>
      <c r="K652" s="117" t="s">
        <v>619</v>
      </c>
      <c r="L652" s="117" t="str">
        <f t="shared" si="106"/>
        <v>detailed</v>
      </c>
      <c r="M652" s="117" t="str">
        <f t="shared" si="113"/>
        <v>detailed Mining</v>
      </c>
      <c r="N652" s="118"/>
      <c r="O652" s="118"/>
      <c r="P652" s="118"/>
      <c r="Q652" s="118"/>
      <c r="R652" s="118"/>
      <c r="S652" s="117"/>
      <c r="T652" s="186">
        <v>5149.7385833333301</v>
      </c>
      <c r="U652" s="117" t="s">
        <v>611</v>
      </c>
      <c r="V652" s="117" t="s">
        <v>681</v>
      </c>
      <c r="W652" s="89">
        <f>(N654+N655)*T652</f>
        <v>3013112045.1083312</v>
      </c>
      <c r="X652" s="117"/>
      <c r="Y652" s="117"/>
      <c r="Z652" s="117"/>
      <c r="AA652" s="177"/>
      <c r="AB652" s="177"/>
      <c r="AC652" s="122"/>
      <c r="AD652" s="122"/>
      <c r="AE652" s="122"/>
      <c r="AF652" s="123"/>
      <c r="AG652" s="117"/>
      <c r="AH652" s="124"/>
      <c r="AI652" s="117"/>
      <c r="AJ652" s="117"/>
      <c r="AK652" s="89"/>
      <c r="AL652" s="117"/>
      <c r="AM652" s="117"/>
      <c r="AN652" s="117">
        <v>6</v>
      </c>
      <c r="AO652" s="117" t="s">
        <v>1323</v>
      </c>
      <c r="AP652" s="117">
        <v>6</v>
      </c>
      <c r="AQ652" s="117"/>
      <c r="AR652" s="126"/>
      <c r="AS652" s="117"/>
      <c r="AT652" s="117"/>
      <c r="AU652" s="117"/>
      <c r="AV652" s="128"/>
      <c r="AW652" s="117">
        <f>VLOOKUP($D652,'WB Data'!$C$3:$M$578,2,FALSE)</f>
        <v>539579955780.06226</v>
      </c>
      <c r="AX652" s="117">
        <f>VLOOKUP($D652,'WB Data'!$C$3:$M$578,3,FALSE)</f>
        <v>237486894</v>
      </c>
      <c r="AY652" s="847">
        <f t="shared" si="115"/>
        <v>4.6193442404594588E-2</v>
      </c>
      <c r="AZ652" s="117">
        <f>VLOOKUP($D652,'WB Data'!$C$3:$M$578,4,FALSE)/100</f>
        <v>0.15375024136545859</v>
      </c>
      <c r="BA652" s="117">
        <f t="shared" si="116"/>
        <v>82960548437.148041</v>
      </c>
      <c r="BB652" s="129">
        <f>IFERROR(VLOOKUP($D652,'EITI Revenues'!$C$2:$G$224,5,FALSE),"..")</f>
        <v>24925055610</v>
      </c>
      <c r="BC652" s="846">
        <f t="shared" si="117"/>
        <v>0.30044468219594206</v>
      </c>
      <c r="BD652" s="129">
        <f>VLOOKUP($D652,'WB Data 2'!$C$2:$K$545,6,FALSE)</f>
        <v>44975155041.107948</v>
      </c>
      <c r="BE652" s="129">
        <f>IFERROR(VLOOKUP($D652,UNCTAD!$C$5:$V$529,4,FALSE),"..")</f>
        <v>133155500000</v>
      </c>
      <c r="BF652" s="846">
        <f t="shared" si="118"/>
        <v>0.33776415575104257</v>
      </c>
      <c r="BG652" s="117">
        <f>VLOOKUP($D652,'WB Data'!$C$3:$M$578,5,FALSE)</f>
        <v>1046530000</v>
      </c>
      <c r="BH652" s="129">
        <f>IFERROR($BB652/$BG652,"..")</f>
        <v>23.816857242506188</v>
      </c>
      <c r="BI652" s="117">
        <f>IFERROR(VLOOKUP($D652,'WB Data'!$C$3:$M$578,7,FALSE)/100,"..")</f>
        <v>3.5251299999999999E-2</v>
      </c>
      <c r="BJ652" s="117">
        <f>IFERROR($BI652*$AW652,"..")</f>
        <v>19020894895.189709</v>
      </c>
      <c r="BK652" s="846">
        <f>IFERROR($BB652/$BJ652,"..")</f>
        <v>1.3104039398431997</v>
      </c>
      <c r="BL652" s="117">
        <f>IFERROR(VLOOKUP($D652,'WB Data'!$C$3:$M$578,7,FALSE)/100,"..")</f>
        <v>3.5251299999999999E-2</v>
      </c>
      <c r="BM652" s="117">
        <f>IFERROR($AW652*$BL652,"..")</f>
        <v>19020894895.189709</v>
      </c>
      <c r="BN652" s="846">
        <f>IFERROR($BB652/$BM652,"..")</f>
        <v>1.3104039398431997</v>
      </c>
      <c r="BO652" s="801">
        <f t="shared" si="114"/>
        <v>34</v>
      </c>
      <c r="BP652" s="117">
        <f>VLOOKUP($D652,'WB Data'!$C$3:$M$578,9,FALSE)</f>
        <v>14.2</v>
      </c>
      <c r="BQ652" s="117">
        <f>VLOOKUP($D652,'WB Data'!$C$3:$M$578,10,FALSE)</f>
        <v>69.933097560975625</v>
      </c>
      <c r="BR652" s="117">
        <f>VLOOKUP($D652,'WB Data'!$C$3:$M$578,11,FALSE)</f>
        <v>28.6</v>
      </c>
      <c r="BS652" s="129">
        <f>IFERROR(VLOOKUP($D652,'WB Data 2'!$C$2:$K$545,9,FALSE),"..")</f>
        <v>98.035229999999999</v>
      </c>
      <c r="BT652" s="129">
        <f>_xlfn.IFNA(VLOOKUP($C652,RGI!$A$2:$C$43,2,FALSE),"..")</f>
        <v>50</v>
      </c>
      <c r="BU652" s="129">
        <f>_xlfn.IFNA(VLOOKUP($C652,RGI!$A$2:$C$43,3,FALSE),"..")</f>
        <v>65.756132994529537</v>
      </c>
      <c r="BV652" s="129">
        <f>VLOOKUP($D652,WGI!$C$2:$O$478,7,FALSE)</f>
        <v>-3.3692223068848899E-2</v>
      </c>
      <c r="BW652" s="129">
        <f>VLOOKUP($D652,WGI!$C$2:$O$478,4,FALSE)</f>
        <v>-0.75851636602946304</v>
      </c>
      <c r="BX652" s="129">
        <f>VLOOKUP($D652,WGI!$C$2:$O$478,3,FALSE)</f>
        <v>-0.27656821064612203</v>
      </c>
      <c r="BY652" s="129">
        <f>VLOOKUP($D652,WGI!$C$2:$O$478,5,FALSE)</f>
        <v>-0.33309293933209</v>
      </c>
      <c r="BZ652" s="129">
        <f>VLOOKUP($D652,WGI!$C$2:$O$478,2,FALSE)</f>
        <v>-0.81582570120773601</v>
      </c>
    </row>
    <row r="653" spans="1:80" ht="15" customHeight="1">
      <c r="A653" s="280" t="s">
        <v>242</v>
      </c>
      <c r="B653" s="117">
        <v>2009</v>
      </c>
      <c r="C653" s="117" t="s">
        <v>243</v>
      </c>
      <c r="D653" s="117" t="s">
        <v>3632</v>
      </c>
      <c r="E653" s="117" t="s">
        <v>244</v>
      </c>
      <c r="F653" s="117"/>
      <c r="G653" s="117" t="s">
        <v>24</v>
      </c>
      <c r="H653" s="117" t="str">
        <f t="shared" si="110"/>
        <v>yes</v>
      </c>
      <c r="I653" s="117" t="str">
        <f t="shared" si="111"/>
        <v>no</v>
      </c>
      <c r="J653" s="117" t="str">
        <f t="shared" si="112"/>
        <v>no</v>
      </c>
      <c r="K653" s="117" t="s">
        <v>1324</v>
      </c>
      <c r="L653" s="117" t="str">
        <f t="shared" si="106"/>
        <v>detailed</v>
      </c>
      <c r="M653" s="117" t="str">
        <f t="shared" si="113"/>
        <v>detailed Mining</v>
      </c>
      <c r="N653" s="118">
        <v>998530</v>
      </c>
      <c r="O653" s="118"/>
      <c r="P653" s="118"/>
      <c r="Q653" s="118"/>
      <c r="R653" s="118"/>
      <c r="S653" s="117" t="s">
        <v>610</v>
      </c>
      <c r="T653" s="119"/>
      <c r="U653" s="117"/>
      <c r="V653" s="117" t="s">
        <v>684</v>
      </c>
      <c r="W653" s="89"/>
      <c r="X653" s="117"/>
      <c r="Y653" s="117"/>
      <c r="Z653" s="117"/>
      <c r="AA653" s="177"/>
      <c r="AB653" s="177"/>
      <c r="AC653" s="122"/>
      <c r="AD653" s="122"/>
      <c r="AE653" s="122"/>
      <c r="AF653" s="123"/>
      <c r="AG653" s="117"/>
      <c r="AH653" s="124"/>
      <c r="AI653" s="117"/>
      <c r="AJ653" s="117"/>
      <c r="AK653" s="89"/>
      <c r="AL653" s="117"/>
      <c r="AM653" s="117"/>
      <c r="AN653" s="117"/>
      <c r="AO653" s="117"/>
      <c r="AP653" s="117"/>
      <c r="AQ653" s="117"/>
      <c r="AR653" s="126"/>
      <c r="AS653" s="117"/>
      <c r="AT653" s="117"/>
      <c r="AU653" s="117"/>
      <c r="AV653" s="128"/>
      <c r="AW653" s="117">
        <f>VLOOKUP($D653,'WB Data'!$C$3:$M$578,2,FALSE)</f>
        <v>539579955780.06226</v>
      </c>
      <c r="AX653" s="117">
        <f>VLOOKUP($D653,'WB Data'!$C$3:$M$578,3,FALSE)</f>
        <v>237486894</v>
      </c>
      <c r="AY653" s="847">
        <f t="shared" si="115"/>
        <v>4.6193442404594588E-2</v>
      </c>
      <c r="AZ653" s="117">
        <f>VLOOKUP($D653,'WB Data'!$C$3:$M$578,4,FALSE)/100</f>
        <v>0.15375024136545859</v>
      </c>
      <c r="BA653" s="117">
        <f t="shared" si="116"/>
        <v>82960548437.148041</v>
      </c>
      <c r="BB653" s="129">
        <f>IFERROR(VLOOKUP($D653,'EITI Revenues'!$C$2:$G$224,5,FALSE),"..")</f>
        <v>24925055610</v>
      </c>
      <c r="BC653" s="846">
        <f t="shared" si="117"/>
        <v>0.30044468219594206</v>
      </c>
      <c r="BD653" s="129">
        <f>VLOOKUP($D653,'WB Data 2'!$C$2:$K$545,6,FALSE)</f>
        <v>44975155041.107948</v>
      </c>
      <c r="BE653" s="129">
        <f>IFERROR(VLOOKUP($D653,UNCTAD!$C$5:$V$529,4,FALSE),"..")</f>
        <v>133155500000</v>
      </c>
      <c r="BF653" s="846">
        <f t="shared" si="118"/>
        <v>0.33776415575104257</v>
      </c>
      <c r="BG653" s="117">
        <f>VLOOKUP($D653,'WB Data'!$C$3:$M$578,5,FALSE)</f>
        <v>1046530000</v>
      </c>
      <c r="BH653" s="129">
        <f>IFERROR($BB653/$BG653,"..")</f>
        <v>23.816857242506188</v>
      </c>
      <c r="BI653" s="117">
        <f>IFERROR(VLOOKUP($D653,'WB Data'!$C$3:$M$578,7,FALSE)/100,"..")</f>
        <v>3.5251299999999999E-2</v>
      </c>
      <c r="BJ653" s="117">
        <f>IFERROR($BI653*$AW653,"..")</f>
        <v>19020894895.189709</v>
      </c>
      <c r="BK653" s="846">
        <f>IFERROR($BB653/$BJ653,"..")</f>
        <v>1.3104039398431997</v>
      </c>
      <c r="BL653" s="117">
        <f>IFERROR(VLOOKUP($D653,'WB Data'!$C$3:$M$578,7,FALSE)/100,"..")</f>
        <v>3.5251299999999999E-2</v>
      </c>
      <c r="BM653" s="117">
        <f>IFERROR($AW653*$BL653,"..")</f>
        <v>19020894895.189709</v>
      </c>
      <c r="BN653" s="846">
        <f>IFERROR($BB653/$BM653,"..")</f>
        <v>1.3104039398431997</v>
      </c>
      <c r="BO653" s="801">
        <f t="shared" si="114"/>
        <v>34</v>
      </c>
      <c r="BP653" s="117">
        <f>VLOOKUP($D653,'WB Data'!$C$3:$M$578,9,FALSE)</f>
        <v>14.2</v>
      </c>
      <c r="BQ653" s="117">
        <f>VLOOKUP($D653,'WB Data'!$C$3:$M$578,10,FALSE)</f>
        <v>69.933097560975625</v>
      </c>
      <c r="BR653" s="117">
        <f>VLOOKUP($D653,'WB Data'!$C$3:$M$578,11,FALSE)</f>
        <v>28.6</v>
      </c>
      <c r="BS653" s="129">
        <f>IFERROR(VLOOKUP($D653,'WB Data 2'!$C$2:$K$545,9,FALSE),"..")</f>
        <v>98.035229999999999</v>
      </c>
      <c r="BT653" s="129">
        <f>_xlfn.IFNA(VLOOKUP($C653,RGI!$A$2:$C$43,2,FALSE),"..")</f>
        <v>50</v>
      </c>
      <c r="BU653" s="129">
        <f>_xlfn.IFNA(VLOOKUP($C653,RGI!$A$2:$C$43,3,FALSE),"..")</f>
        <v>65.756132994529537</v>
      </c>
      <c r="BV653" s="129">
        <f>VLOOKUP($D653,WGI!$C$2:$O$478,7,FALSE)</f>
        <v>-3.3692223068848899E-2</v>
      </c>
      <c r="BW653" s="129">
        <f>VLOOKUP($D653,WGI!$C$2:$O$478,4,FALSE)</f>
        <v>-0.75851636602946304</v>
      </c>
      <c r="BX653" s="129">
        <f>VLOOKUP($D653,WGI!$C$2:$O$478,3,FALSE)</f>
        <v>-0.27656821064612203</v>
      </c>
      <c r="BY653" s="129">
        <f>VLOOKUP($D653,WGI!$C$2:$O$478,5,FALSE)</f>
        <v>-0.33309293933209</v>
      </c>
      <c r="BZ653" s="129">
        <f>VLOOKUP($D653,WGI!$C$2:$O$478,2,FALSE)</f>
        <v>-0.81582570120773601</v>
      </c>
    </row>
    <row r="654" spans="1:80" ht="15" customHeight="1">
      <c r="A654" s="280" t="s">
        <v>242</v>
      </c>
      <c r="B654" s="117">
        <v>2009</v>
      </c>
      <c r="C654" s="117" t="s">
        <v>243</v>
      </c>
      <c r="D654" s="117" t="s">
        <v>3632</v>
      </c>
      <c r="E654" s="117" t="s">
        <v>244</v>
      </c>
      <c r="F654" s="117"/>
      <c r="G654" s="117" t="s">
        <v>24</v>
      </c>
      <c r="H654" s="117" t="str">
        <f t="shared" si="110"/>
        <v>yes</v>
      </c>
      <c r="I654" s="117" t="str">
        <f t="shared" si="111"/>
        <v>no</v>
      </c>
      <c r="J654" s="117" t="str">
        <f t="shared" si="112"/>
        <v>no</v>
      </c>
      <c r="K654" s="117" t="s">
        <v>1325</v>
      </c>
      <c r="L654" s="117" t="str">
        <f t="shared" si="106"/>
        <v>detailed</v>
      </c>
      <c r="M654" s="117" t="str">
        <f t="shared" si="113"/>
        <v>detailed Mining</v>
      </c>
      <c r="N654" s="118">
        <v>295900</v>
      </c>
      <c r="O654" s="118"/>
      <c r="P654" s="118"/>
      <c r="Q654" s="118"/>
      <c r="R654" s="118"/>
      <c r="S654" s="117" t="s">
        <v>610</v>
      </c>
      <c r="T654" s="119"/>
      <c r="U654" s="117"/>
      <c r="V654" s="117" t="s">
        <v>684</v>
      </c>
      <c r="W654" s="89"/>
      <c r="X654" s="117"/>
      <c r="Y654" s="117"/>
      <c r="Z654" s="117"/>
      <c r="AA654" s="177"/>
      <c r="AB654" s="177"/>
      <c r="AC654" s="122"/>
      <c r="AD654" s="122"/>
      <c r="AE654" s="122"/>
      <c r="AF654" s="123"/>
      <c r="AG654" s="117"/>
      <c r="AH654" s="124"/>
      <c r="AI654" s="117"/>
      <c r="AJ654" s="117"/>
      <c r="AK654" s="89"/>
      <c r="AL654" s="117"/>
      <c r="AM654" s="117"/>
      <c r="AN654" s="117"/>
      <c r="AO654" s="117"/>
      <c r="AP654" s="117"/>
      <c r="AQ654" s="117"/>
      <c r="AR654" s="126"/>
      <c r="AS654" s="117"/>
      <c r="AT654" s="117"/>
      <c r="AU654" s="117"/>
      <c r="AV654" s="128"/>
      <c r="AW654" s="117">
        <f>VLOOKUP($D654,'WB Data'!$C$3:$M$578,2,FALSE)</f>
        <v>539579955780.06226</v>
      </c>
      <c r="AX654" s="117">
        <f>VLOOKUP($D654,'WB Data'!$C$3:$M$578,3,FALSE)</f>
        <v>237486894</v>
      </c>
      <c r="AY654" s="847">
        <f t="shared" si="115"/>
        <v>4.6193442404594588E-2</v>
      </c>
      <c r="AZ654" s="117">
        <f>VLOOKUP($D654,'WB Data'!$C$3:$M$578,4,FALSE)/100</f>
        <v>0.15375024136545859</v>
      </c>
      <c r="BA654" s="117">
        <f t="shared" si="116"/>
        <v>82960548437.148041</v>
      </c>
      <c r="BB654" s="129">
        <f>IFERROR(VLOOKUP($D654,'EITI Revenues'!$C$2:$G$224,5,FALSE),"..")</f>
        <v>24925055610</v>
      </c>
      <c r="BC654" s="846">
        <f t="shared" si="117"/>
        <v>0.30044468219594206</v>
      </c>
      <c r="BD654" s="129">
        <f>VLOOKUP($D654,'WB Data 2'!$C$2:$K$545,6,FALSE)</f>
        <v>44975155041.107948</v>
      </c>
      <c r="BE654" s="129">
        <f>IFERROR(VLOOKUP($D654,UNCTAD!$C$5:$V$529,4,FALSE),"..")</f>
        <v>133155500000</v>
      </c>
      <c r="BF654" s="846">
        <f t="shared" si="118"/>
        <v>0.33776415575104257</v>
      </c>
      <c r="BG654" s="117">
        <f>VLOOKUP($D654,'WB Data'!$C$3:$M$578,5,FALSE)</f>
        <v>1046530000</v>
      </c>
      <c r="BH654" s="129">
        <f>IFERROR($BB654/$BG654,"..")</f>
        <v>23.816857242506188</v>
      </c>
      <c r="BI654" s="117">
        <f>IFERROR(VLOOKUP($D654,'WB Data'!$C$3:$M$578,7,FALSE)/100,"..")</f>
        <v>3.5251299999999999E-2</v>
      </c>
      <c r="BJ654" s="117">
        <f>IFERROR($BI654*$AW654,"..")</f>
        <v>19020894895.189709</v>
      </c>
      <c r="BK654" s="846">
        <f>IFERROR($BB654/$BJ654,"..")</f>
        <v>1.3104039398431997</v>
      </c>
      <c r="BL654" s="117">
        <f>IFERROR(VLOOKUP($D654,'WB Data'!$C$3:$M$578,7,FALSE)/100,"..")</f>
        <v>3.5251299999999999E-2</v>
      </c>
      <c r="BM654" s="117">
        <f>IFERROR($AW654*$BL654,"..")</f>
        <v>19020894895.189709</v>
      </c>
      <c r="BN654" s="846">
        <f>IFERROR($BB654/$BM654,"..")</f>
        <v>1.3104039398431997</v>
      </c>
      <c r="BO654" s="801">
        <f t="shared" si="114"/>
        <v>34</v>
      </c>
      <c r="BP654" s="117">
        <f>VLOOKUP($D654,'WB Data'!$C$3:$M$578,9,FALSE)</f>
        <v>14.2</v>
      </c>
      <c r="BQ654" s="117">
        <f>VLOOKUP($D654,'WB Data'!$C$3:$M$578,10,FALSE)</f>
        <v>69.933097560975625</v>
      </c>
      <c r="BR654" s="117">
        <f>VLOOKUP($D654,'WB Data'!$C$3:$M$578,11,FALSE)</f>
        <v>28.6</v>
      </c>
      <c r="BS654" s="129">
        <f>IFERROR(VLOOKUP($D654,'WB Data 2'!$C$2:$K$545,9,FALSE),"..")</f>
        <v>98.035229999999999</v>
      </c>
      <c r="BT654" s="129">
        <f>_xlfn.IFNA(VLOOKUP($C654,RGI!$A$2:$C$43,2,FALSE),"..")</f>
        <v>50</v>
      </c>
      <c r="BU654" s="129">
        <f>_xlfn.IFNA(VLOOKUP($C654,RGI!$A$2:$C$43,3,FALSE),"..")</f>
        <v>65.756132994529537</v>
      </c>
      <c r="BV654" s="129">
        <f>VLOOKUP($D654,WGI!$C$2:$O$478,7,FALSE)</f>
        <v>-3.3692223068848899E-2</v>
      </c>
      <c r="BW654" s="129">
        <f>VLOOKUP($D654,WGI!$C$2:$O$478,4,FALSE)</f>
        <v>-0.75851636602946304</v>
      </c>
      <c r="BX654" s="129">
        <f>VLOOKUP($D654,WGI!$C$2:$O$478,3,FALSE)</f>
        <v>-0.27656821064612203</v>
      </c>
      <c r="BY654" s="129">
        <f>VLOOKUP($D654,WGI!$C$2:$O$478,5,FALSE)</f>
        <v>-0.33309293933209</v>
      </c>
      <c r="BZ654" s="129">
        <f>VLOOKUP($D654,WGI!$C$2:$O$478,2,FALSE)</f>
        <v>-0.81582570120773601</v>
      </c>
    </row>
    <row r="655" spans="1:80" ht="15" customHeight="1">
      <c r="A655" s="280" t="s">
        <v>242</v>
      </c>
      <c r="B655" s="117">
        <v>2009</v>
      </c>
      <c r="C655" s="117" t="s">
        <v>243</v>
      </c>
      <c r="D655" s="117" t="s">
        <v>3632</v>
      </c>
      <c r="E655" s="117" t="s">
        <v>244</v>
      </c>
      <c r="F655" s="117"/>
      <c r="G655" s="117" t="s">
        <v>24</v>
      </c>
      <c r="H655" s="117" t="str">
        <f t="shared" si="110"/>
        <v>yes</v>
      </c>
      <c r="I655" s="117" t="str">
        <f t="shared" si="111"/>
        <v>no</v>
      </c>
      <c r="J655" s="117" t="str">
        <f t="shared" si="112"/>
        <v>no</v>
      </c>
      <c r="K655" s="117" t="s">
        <v>1326</v>
      </c>
      <c r="L655" s="117" t="str">
        <f t="shared" si="106"/>
        <v>detailed</v>
      </c>
      <c r="M655" s="117" t="str">
        <f t="shared" si="113"/>
        <v>detailed Mining</v>
      </c>
      <c r="N655" s="118">
        <v>289200</v>
      </c>
      <c r="O655" s="118"/>
      <c r="P655" s="118"/>
      <c r="Q655" s="118"/>
      <c r="R655" s="118"/>
      <c r="S655" s="117" t="s">
        <v>610</v>
      </c>
      <c r="T655" s="119"/>
      <c r="U655" s="117"/>
      <c r="V655" s="117" t="s">
        <v>684</v>
      </c>
      <c r="W655" s="89"/>
      <c r="X655" s="117"/>
      <c r="Y655" s="117"/>
      <c r="Z655" s="117"/>
      <c r="AA655" s="177"/>
      <c r="AB655" s="177"/>
      <c r="AC655" s="122"/>
      <c r="AD655" s="122"/>
      <c r="AE655" s="122"/>
      <c r="AF655" s="123"/>
      <c r="AG655" s="117"/>
      <c r="AH655" s="124"/>
      <c r="AI655" s="117"/>
      <c r="AJ655" s="117"/>
      <c r="AK655" s="89"/>
      <c r="AL655" s="117"/>
      <c r="AM655" s="117"/>
      <c r="AN655" s="117"/>
      <c r="AO655" s="117"/>
      <c r="AP655" s="117"/>
      <c r="AQ655" s="117"/>
      <c r="AR655" s="126"/>
      <c r="AS655" s="117"/>
      <c r="AT655" s="117"/>
      <c r="AU655" s="117"/>
      <c r="AV655" s="128"/>
      <c r="AW655" s="117">
        <f>VLOOKUP($D655,'WB Data'!$C$3:$M$578,2,FALSE)</f>
        <v>539579955780.06226</v>
      </c>
      <c r="AX655" s="117">
        <f>VLOOKUP($D655,'WB Data'!$C$3:$M$578,3,FALSE)</f>
        <v>237486894</v>
      </c>
      <c r="AY655" s="847">
        <f t="shared" si="115"/>
        <v>4.6193442404594588E-2</v>
      </c>
      <c r="AZ655" s="117">
        <f>VLOOKUP($D655,'WB Data'!$C$3:$M$578,4,FALSE)/100</f>
        <v>0.15375024136545859</v>
      </c>
      <c r="BA655" s="117">
        <f t="shared" si="116"/>
        <v>82960548437.148041</v>
      </c>
      <c r="BB655" s="129">
        <f>IFERROR(VLOOKUP($D655,'EITI Revenues'!$C$2:$G$224,5,FALSE),"..")</f>
        <v>24925055610</v>
      </c>
      <c r="BC655" s="846">
        <f t="shared" si="117"/>
        <v>0.30044468219594206</v>
      </c>
      <c r="BD655" s="129">
        <f>VLOOKUP($D655,'WB Data 2'!$C$2:$K$545,6,FALSE)</f>
        <v>44975155041.107948</v>
      </c>
      <c r="BE655" s="129">
        <f>IFERROR(VLOOKUP($D655,UNCTAD!$C$5:$V$529,4,FALSE),"..")</f>
        <v>133155500000</v>
      </c>
      <c r="BF655" s="846">
        <f t="shared" si="118"/>
        <v>0.33776415575104257</v>
      </c>
      <c r="BG655" s="117">
        <f>VLOOKUP($D655,'WB Data'!$C$3:$M$578,5,FALSE)</f>
        <v>1046530000</v>
      </c>
      <c r="BH655" s="129">
        <f>IFERROR($BB655/$BG655,"..")</f>
        <v>23.816857242506188</v>
      </c>
      <c r="BI655" s="117">
        <f>IFERROR(VLOOKUP($D655,'WB Data'!$C$3:$M$578,7,FALSE)/100,"..")</f>
        <v>3.5251299999999999E-2</v>
      </c>
      <c r="BJ655" s="117">
        <f>IFERROR($BI655*$AW655,"..")</f>
        <v>19020894895.189709</v>
      </c>
      <c r="BK655" s="846">
        <f>IFERROR($BB655/$BJ655,"..")</f>
        <v>1.3104039398431997</v>
      </c>
      <c r="BL655" s="117">
        <f>IFERROR(VLOOKUP($D655,'WB Data'!$C$3:$M$578,7,FALSE)/100,"..")</f>
        <v>3.5251299999999999E-2</v>
      </c>
      <c r="BM655" s="117">
        <f>IFERROR($AW655*$BL655,"..")</f>
        <v>19020894895.189709</v>
      </c>
      <c r="BN655" s="846">
        <f>IFERROR($BB655/$BM655,"..")</f>
        <v>1.3104039398431997</v>
      </c>
      <c r="BO655" s="801">
        <f t="shared" si="114"/>
        <v>34</v>
      </c>
      <c r="BP655" s="117">
        <f>VLOOKUP($D655,'WB Data'!$C$3:$M$578,9,FALSE)</f>
        <v>14.2</v>
      </c>
      <c r="BQ655" s="117">
        <f>VLOOKUP($D655,'WB Data'!$C$3:$M$578,10,FALSE)</f>
        <v>69.933097560975625</v>
      </c>
      <c r="BR655" s="117">
        <f>VLOOKUP($D655,'WB Data'!$C$3:$M$578,11,FALSE)</f>
        <v>28.6</v>
      </c>
      <c r="BS655" s="129">
        <f>IFERROR(VLOOKUP($D655,'WB Data 2'!$C$2:$K$545,9,FALSE),"..")</f>
        <v>98.035229999999999</v>
      </c>
      <c r="BT655" s="129">
        <f>_xlfn.IFNA(VLOOKUP($C655,RGI!$A$2:$C$43,2,FALSE),"..")</f>
        <v>50</v>
      </c>
      <c r="BU655" s="129">
        <f>_xlfn.IFNA(VLOOKUP($C655,RGI!$A$2:$C$43,3,FALSE),"..")</f>
        <v>65.756132994529537</v>
      </c>
      <c r="BV655" s="129">
        <f>VLOOKUP($D655,WGI!$C$2:$O$478,7,FALSE)</f>
        <v>-3.3692223068848899E-2</v>
      </c>
      <c r="BW655" s="129">
        <f>VLOOKUP($D655,WGI!$C$2:$O$478,4,FALSE)</f>
        <v>-0.75851636602946304</v>
      </c>
      <c r="BX655" s="129">
        <f>VLOOKUP($D655,WGI!$C$2:$O$478,3,FALSE)</f>
        <v>-0.27656821064612203</v>
      </c>
      <c r="BY655" s="129">
        <f>VLOOKUP($D655,WGI!$C$2:$O$478,5,FALSE)</f>
        <v>-0.33309293933209</v>
      </c>
      <c r="BZ655" s="129">
        <f>VLOOKUP($D655,WGI!$C$2:$O$478,2,FALSE)</f>
        <v>-0.81582570120773601</v>
      </c>
    </row>
    <row r="656" spans="1:80" ht="15" customHeight="1">
      <c r="A656" s="280" t="s">
        <v>242</v>
      </c>
      <c r="B656" s="117">
        <v>2009</v>
      </c>
      <c r="C656" s="117" t="s">
        <v>243</v>
      </c>
      <c r="D656" s="117" t="s">
        <v>3632</v>
      </c>
      <c r="E656" s="117" t="s">
        <v>244</v>
      </c>
      <c r="F656" s="117"/>
      <c r="G656" s="117" t="s">
        <v>24</v>
      </c>
      <c r="H656" s="117" t="str">
        <f t="shared" si="110"/>
        <v>yes</v>
      </c>
      <c r="I656" s="117" t="str">
        <f t="shared" si="111"/>
        <v>no</v>
      </c>
      <c r="J656" s="117" t="str">
        <f t="shared" si="112"/>
        <v>no</v>
      </c>
      <c r="K656" s="117" t="s">
        <v>784</v>
      </c>
      <c r="L656" s="117" t="str">
        <f t="shared" si="106"/>
        <v>detailed</v>
      </c>
      <c r="M656" s="117" t="str">
        <f t="shared" si="113"/>
        <v>detailed Mining</v>
      </c>
      <c r="N656" s="118">
        <f>140488*32.150743126506</f>
        <v>4516793.6003565751</v>
      </c>
      <c r="O656" s="118"/>
      <c r="P656" s="118"/>
      <c r="Q656" s="118"/>
      <c r="R656" s="118"/>
      <c r="S656" s="117" t="s">
        <v>785</v>
      </c>
      <c r="T656" s="119">
        <v>972.96591666666995</v>
      </c>
      <c r="U656" s="117" t="s">
        <v>786</v>
      </c>
      <c r="V656" s="117" t="s">
        <v>787</v>
      </c>
      <c r="W656" s="89">
        <f>N656*T656</f>
        <v>4394686225.7650833</v>
      </c>
      <c r="X656" s="117"/>
      <c r="Y656" s="117"/>
      <c r="Z656" s="117"/>
      <c r="AA656" s="177"/>
      <c r="AB656" s="177"/>
      <c r="AC656" s="122"/>
      <c r="AD656" s="122"/>
      <c r="AE656" s="122"/>
      <c r="AF656" s="123"/>
      <c r="AG656" s="117"/>
      <c r="AH656" s="124"/>
      <c r="AI656" s="117"/>
      <c r="AJ656" s="117"/>
      <c r="AK656" s="89"/>
      <c r="AL656" s="117"/>
      <c r="AM656" s="117"/>
      <c r="AN656" s="117">
        <v>6</v>
      </c>
      <c r="AO656" s="117" t="s">
        <v>1323</v>
      </c>
      <c r="AP656" s="117">
        <v>6</v>
      </c>
      <c r="AQ656" s="117"/>
      <c r="AR656" s="126"/>
      <c r="AS656" s="117"/>
      <c r="AT656" s="117"/>
      <c r="AU656" s="117"/>
      <c r="AV656" s="128"/>
      <c r="AW656" s="117">
        <f>VLOOKUP($D656,'WB Data'!$C$3:$M$578,2,FALSE)</f>
        <v>539579955780.06226</v>
      </c>
      <c r="AX656" s="117">
        <f>VLOOKUP($D656,'WB Data'!$C$3:$M$578,3,FALSE)</f>
        <v>237486894</v>
      </c>
      <c r="AY656" s="847">
        <f t="shared" si="115"/>
        <v>4.6193442404594588E-2</v>
      </c>
      <c r="AZ656" s="117">
        <f>VLOOKUP($D656,'WB Data'!$C$3:$M$578,4,FALSE)/100</f>
        <v>0.15375024136545859</v>
      </c>
      <c r="BA656" s="117">
        <f t="shared" si="116"/>
        <v>82960548437.148041</v>
      </c>
      <c r="BB656" s="129">
        <f>IFERROR(VLOOKUP($D656,'EITI Revenues'!$C$2:$G$224,5,FALSE),"..")</f>
        <v>24925055610</v>
      </c>
      <c r="BC656" s="846">
        <f t="shared" si="117"/>
        <v>0.30044468219594206</v>
      </c>
      <c r="BD656" s="129">
        <f>VLOOKUP($D656,'WB Data 2'!$C$2:$K$545,6,FALSE)</f>
        <v>44975155041.107948</v>
      </c>
      <c r="BE656" s="129">
        <f>IFERROR(VLOOKUP($D656,UNCTAD!$C$5:$V$529,4,FALSE),"..")</f>
        <v>133155500000</v>
      </c>
      <c r="BF656" s="846">
        <f t="shared" si="118"/>
        <v>0.33776415575104257</v>
      </c>
      <c r="BG656" s="117">
        <f>VLOOKUP($D656,'WB Data'!$C$3:$M$578,5,FALSE)</f>
        <v>1046530000</v>
      </c>
      <c r="BH656" s="129">
        <f>IFERROR($BB656/$BG656,"..")</f>
        <v>23.816857242506188</v>
      </c>
      <c r="BI656" s="117">
        <f>IFERROR(VLOOKUP($D656,'WB Data'!$C$3:$M$578,7,FALSE)/100,"..")</f>
        <v>3.5251299999999999E-2</v>
      </c>
      <c r="BJ656" s="117">
        <f>IFERROR($BI656*$AW656,"..")</f>
        <v>19020894895.189709</v>
      </c>
      <c r="BK656" s="846">
        <f>IFERROR($BB656/$BJ656,"..")</f>
        <v>1.3104039398431997</v>
      </c>
      <c r="BL656" s="117">
        <f>IFERROR(VLOOKUP($D656,'WB Data'!$C$3:$M$578,7,FALSE)/100,"..")</f>
        <v>3.5251299999999999E-2</v>
      </c>
      <c r="BM656" s="117">
        <f>IFERROR($AW656*$BL656,"..")</f>
        <v>19020894895.189709</v>
      </c>
      <c r="BN656" s="846">
        <f>IFERROR($BB656/$BM656,"..")</f>
        <v>1.3104039398431997</v>
      </c>
      <c r="BO656" s="801">
        <f t="shared" si="114"/>
        <v>34</v>
      </c>
      <c r="BP656" s="117">
        <f>VLOOKUP($D656,'WB Data'!$C$3:$M$578,9,FALSE)</f>
        <v>14.2</v>
      </c>
      <c r="BQ656" s="117">
        <f>VLOOKUP($D656,'WB Data'!$C$3:$M$578,10,FALSE)</f>
        <v>69.933097560975625</v>
      </c>
      <c r="BR656" s="117">
        <f>VLOOKUP($D656,'WB Data'!$C$3:$M$578,11,FALSE)</f>
        <v>28.6</v>
      </c>
      <c r="BS656" s="129">
        <f>IFERROR(VLOOKUP($D656,'WB Data 2'!$C$2:$K$545,9,FALSE),"..")</f>
        <v>98.035229999999999</v>
      </c>
      <c r="BT656" s="129">
        <f>_xlfn.IFNA(VLOOKUP($C656,RGI!$A$2:$C$43,2,FALSE),"..")</f>
        <v>50</v>
      </c>
      <c r="BU656" s="129">
        <f>_xlfn.IFNA(VLOOKUP($C656,RGI!$A$2:$C$43,3,FALSE),"..")</f>
        <v>65.756132994529537</v>
      </c>
      <c r="BV656" s="129">
        <f>VLOOKUP($D656,WGI!$C$2:$O$478,7,FALSE)</f>
        <v>-3.3692223068848899E-2</v>
      </c>
      <c r="BW656" s="129">
        <f>VLOOKUP($D656,WGI!$C$2:$O$478,4,FALSE)</f>
        <v>-0.75851636602946304</v>
      </c>
      <c r="BX656" s="129">
        <f>VLOOKUP($D656,WGI!$C$2:$O$478,3,FALSE)</f>
        <v>-0.27656821064612203</v>
      </c>
      <c r="BY656" s="129">
        <f>VLOOKUP($D656,WGI!$C$2:$O$478,5,FALSE)</f>
        <v>-0.33309293933209</v>
      </c>
      <c r="BZ656" s="129">
        <f>VLOOKUP($D656,WGI!$C$2:$O$478,2,FALSE)</f>
        <v>-0.81582570120773601</v>
      </c>
    </row>
    <row r="657" spans="1:80" ht="15" customHeight="1">
      <c r="A657" s="280" t="s">
        <v>242</v>
      </c>
      <c r="B657" s="117">
        <v>2009</v>
      </c>
      <c r="C657" s="117" t="s">
        <v>243</v>
      </c>
      <c r="D657" s="117" t="s">
        <v>3632</v>
      </c>
      <c r="E657" s="117" t="s">
        <v>244</v>
      </c>
      <c r="F657" s="117"/>
      <c r="G657" s="117" t="s">
        <v>24</v>
      </c>
      <c r="H657" s="117" t="str">
        <f t="shared" si="110"/>
        <v>yes</v>
      </c>
      <c r="I657" s="117" t="str">
        <f t="shared" si="111"/>
        <v>no</v>
      </c>
      <c r="J657" s="117" t="str">
        <f t="shared" si="112"/>
        <v>no</v>
      </c>
      <c r="K657" s="117" t="s">
        <v>686</v>
      </c>
      <c r="L657" s="117" t="str">
        <f t="shared" ref="L657:L720" si="119">IF(LEFT(K657,5)="Total","Total","detailed")</f>
        <v>detailed</v>
      </c>
      <c r="M657" s="117" t="str">
        <f t="shared" si="113"/>
        <v>detailed Mining</v>
      </c>
      <c r="N657" s="118"/>
      <c r="O657" s="118"/>
      <c r="P657" s="118"/>
      <c r="Q657" s="118"/>
      <c r="R657" s="118"/>
      <c r="S657" s="117"/>
      <c r="T657" s="186">
        <v>14654.629499999999</v>
      </c>
      <c r="U657" s="117" t="s">
        <v>611</v>
      </c>
      <c r="V657" s="117" t="s">
        <v>1327</v>
      </c>
      <c r="W657" s="89">
        <f>SUM(N658:N660)*T657</f>
        <v>4155730524.3509998</v>
      </c>
      <c r="X657" s="117"/>
      <c r="Y657" s="117"/>
      <c r="Z657" s="117"/>
      <c r="AA657" s="177"/>
      <c r="AB657" s="177"/>
      <c r="AC657" s="122"/>
      <c r="AD657" s="122"/>
      <c r="AE657" s="122"/>
      <c r="AF657" s="123"/>
      <c r="AG657" s="117"/>
      <c r="AH657" s="124"/>
      <c r="AI657" s="117"/>
      <c r="AJ657" s="117"/>
      <c r="AK657" s="89"/>
      <c r="AL657" s="117"/>
      <c r="AM657" s="117"/>
      <c r="AN657" s="117">
        <v>3</v>
      </c>
      <c r="AO657" s="117" t="s">
        <v>1328</v>
      </c>
      <c r="AP657" s="117">
        <v>3</v>
      </c>
      <c r="AQ657" s="117"/>
      <c r="AR657" s="126"/>
      <c r="AS657" s="117"/>
      <c r="AT657" s="117"/>
      <c r="AU657" s="117"/>
      <c r="AV657" s="128"/>
      <c r="AW657" s="117">
        <f>VLOOKUP($D657,'WB Data'!$C$3:$M$578,2,FALSE)</f>
        <v>539579955780.06226</v>
      </c>
      <c r="AX657" s="117">
        <f>VLOOKUP($D657,'WB Data'!$C$3:$M$578,3,FALSE)</f>
        <v>237486894</v>
      </c>
      <c r="AY657" s="847">
        <f t="shared" si="115"/>
        <v>4.6193442404594588E-2</v>
      </c>
      <c r="AZ657" s="117">
        <f>VLOOKUP($D657,'WB Data'!$C$3:$M$578,4,FALSE)/100</f>
        <v>0.15375024136545859</v>
      </c>
      <c r="BA657" s="117">
        <f t="shared" si="116"/>
        <v>82960548437.148041</v>
      </c>
      <c r="BB657" s="129">
        <f>IFERROR(VLOOKUP($D657,'EITI Revenues'!$C$2:$G$224,5,FALSE),"..")</f>
        <v>24925055610</v>
      </c>
      <c r="BC657" s="846">
        <f t="shared" si="117"/>
        <v>0.30044468219594206</v>
      </c>
      <c r="BD657" s="129">
        <f>VLOOKUP($D657,'WB Data 2'!$C$2:$K$545,6,FALSE)</f>
        <v>44975155041.107948</v>
      </c>
      <c r="BE657" s="129">
        <f>IFERROR(VLOOKUP($D657,UNCTAD!$C$5:$V$529,4,FALSE),"..")</f>
        <v>133155500000</v>
      </c>
      <c r="BF657" s="846">
        <f t="shared" si="118"/>
        <v>0.33776415575104257</v>
      </c>
      <c r="BG657" s="117">
        <f>VLOOKUP($D657,'WB Data'!$C$3:$M$578,5,FALSE)</f>
        <v>1046530000</v>
      </c>
      <c r="BH657" s="129">
        <f>IFERROR($BB657/$BG657,"..")</f>
        <v>23.816857242506188</v>
      </c>
      <c r="BI657" s="117">
        <f>IFERROR(VLOOKUP($D657,'WB Data'!$C$3:$M$578,7,FALSE)/100,"..")</f>
        <v>3.5251299999999999E-2</v>
      </c>
      <c r="BJ657" s="117">
        <f>IFERROR($BI657*$AW657,"..")</f>
        <v>19020894895.189709</v>
      </c>
      <c r="BK657" s="846">
        <f>IFERROR($BB657/$BJ657,"..")</f>
        <v>1.3104039398431997</v>
      </c>
      <c r="BL657" s="117">
        <f>IFERROR(VLOOKUP($D657,'WB Data'!$C$3:$M$578,7,FALSE)/100,"..")</f>
        <v>3.5251299999999999E-2</v>
      </c>
      <c r="BM657" s="117">
        <f>IFERROR($AW657*$BL657,"..")</f>
        <v>19020894895.189709</v>
      </c>
      <c r="BN657" s="846">
        <f>IFERROR($BB657/$BM657,"..")</f>
        <v>1.3104039398431997</v>
      </c>
      <c r="BO657" s="801">
        <f t="shared" si="114"/>
        <v>34</v>
      </c>
      <c r="BP657" s="117">
        <f>VLOOKUP($D657,'WB Data'!$C$3:$M$578,9,FALSE)</f>
        <v>14.2</v>
      </c>
      <c r="BQ657" s="117">
        <f>VLOOKUP($D657,'WB Data'!$C$3:$M$578,10,FALSE)</f>
        <v>69.933097560975625</v>
      </c>
      <c r="BR657" s="117">
        <f>VLOOKUP($D657,'WB Data'!$C$3:$M$578,11,FALSE)</f>
        <v>28.6</v>
      </c>
      <c r="BS657" s="129">
        <f>IFERROR(VLOOKUP($D657,'WB Data 2'!$C$2:$K$545,9,FALSE),"..")</f>
        <v>98.035229999999999</v>
      </c>
      <c r="BT657" s="129">
        <f>_xlfn.IFNA(VLOOKUP($C657,RGI!$A$2:$C$43,2,FALSE),"..")</f>
        <v>50</v>
      </c>
      <c r="BU657" s="129">
        <f>_xlfn.IFNA(VLOOKUP($C657,RGI!$A$2:$C$43,3,FALSE),"..")</f>
        <v>65.756132994529537</v>
      </c>
      <c r="BV657" s="129">
        <f>VLOOKUP($D657,WGI!$C$2:$O$478,7,FALSE)</f>
        <v>-3.3692223068848899E-2</v>
      </c>
      <c r="BW657" s="129">
        <f>VLOOKUP($D657,WGI!$C$2:$O$478,4,FALSE)</f>
        <v>-0.75851636602946304</v>
      </c>
      <c r="BX657" s="129">
        <f>VLOOKUP($D657,WGI!$C$2:$O$478,3,FALSE)</f>
        <v>-0.27656821064612203</v>
      </c>
      <c r="BY657" s="129">
        <f>VLOOKUP($D657,WGI!$C$2:$O$478,5,FALSE)</f>
        <v>-0.33309293933209</v>
      </c>
      <c r="BZ657" s="129">
        <f>VLOOKUP($D657,WGI!$C$2:$O$478,2,FALSE)</f>
        <v>-0.81582570120773601</v>
      </c>
    </row>
    <row r="658" spans="1:80" ht="15" customHeight="1">
      <c r="A658" s="280" t="s">
        <v>242</v>
      </c>
      <c r="B658" s="117">
        <v>2009</v>
      </c>
      <c r="C658" s="117" t="s">
        <v>243</v>
      </c>
      <c r="D658" s="117" t="s">
        <v>3632</v>
      </c>
      <c r="E658" s="117" t="s">
        <v>244</v>
      </c>
      <c r="F658" s="117"/>
      <c r="G658" s="117" t="s">
        <v>24</v>
      </c>
      <c r="H658" s="117" t="str">
        <f t="shared" si="110"/>
        <v>yes</v>
      </c>
      <c r="I658" s="117" t="str">
        <f t="shared" si="111"/>
        <v>no</v>
      </c>
      <c r="J658" s="117" t="str">
        <f t="shared" si="112"/>
        <v>no</v>
      </c>
      <c r="K658" s="117" t="s">
        <v>1329</v>
      </c>
      <c r="L658" s="117" t="str">
        <f t="shared" si="119"/>
        <v>detailed</v>
      </c>
      <c r="M658" s="117" t="str">
        <f t="shared" si="113"/>
        <v>detailed Mining</v>
      </c>
      <c r="N658" s="118">
        <v>202800</v>
      </c>
      <c r="O658" s="118"/>
      <c r="P658" s="118"/>
      <c r="Q658" s="118"/>
      <c r="R658" s="118"/>
      <c r="S658" s="117" t="s">
        <v>610</v>
      </c>
      <c r="T658" s="119"/>
      <c r="U658" s="117"/>
      <c r="V658" s="117" t="s">
        <v>684</v>
      </c>
      <c r="W658" s="89"/>
      <c r="X658" s="117"/>
      <c r="Y658" s="117"/>
      <c r="Z658" s="117"/>
      <c r="AA658" s="177"/>
      <c r="AB658" s="177"/>
      <c r="AC658" s="122"/>
      <c r="AD658" s="122"/>
      <c r="AE658" s="122"/>
      <c r="AF658" s="123"/>
      <c r="AG658" s="117"/>
      <c r="AH658" s="124"/>
      <c r="AI658" s="117"/>
      <c r="AJ658" s="117"/>
      <c r="AK658" s="89"/>
      <c r="AL658" s="117"/>
      <c r="AM658" s="117"/>
      <c r="AN658" s="117"/>
      <c r="AO658" s="117"/>
      <c r="AP658" s="117"/>
      <c r="AQ658" s="117"/>
      <c r="AR658" s="126"/>
      <c r="AS658" s="117"/>
      <c r="AT658" s="117"/>
      <c r="AU658" s="117"/>
      <c r="AV658" s="128"/>
      <c r="AW658" s="117">
        <f>VLOOKUP($D658,'WB Data'!$C$3:$M$578,2,FALSE)</f>
        <v>539579955780.06226</v>
      </c>
      <c r="AX658" s="117">
        <f>VLOOKUP($D658,'WB Data'!$C$3:$M$578,3,FALSE)</f>
        <v>237486894</v>
      </c>
      <c r="AY658" s="847">
        <f t="shared" si="115"/>
        <v>4.6193442404594588E-2</v>
      </c>
      <c r="AZ658" s="117">
        <f>VLOOKUP($D658,'WB Data'!$C$3:$M$578,4,FALSE)/100</f>
        <v>0.15375024136545859</v>
      </c>
      <c r="BA658" s="117">
        <f t="shared" si="116"/>
        <v>82960548437.148041</v>
      </c>
      <c r="BB658" s="129">
        <f>IFERROR(VLOOKUP($D658,'EITI Revenues'!$C$2:$G$224,5,FALSE),"..")</f>
        <v>24925055610</v>
      </c>
      <c r="BC658" s="846">
        <f t="shared" si="117"/>
        <v>0.30044468219594206</v>
      </c>
      <c r="BD658" s="129">
        <f>VLOOKUP($D658,'WB Data 2'!$C$2:$K$545,6,FALSE)</f>
        <v>44975155041.107948</v>
      </c>
      <c r="BE658" s="129">
        <f>IFERROR(VLOOKUP($D658,UNCTAD!$C$5:$V$529,4,FALSE),"..")</f>
        <v>133155500000</v>
      </c>
      <c r="BF658" s="846">
        <f t="shared" si="118"/>
        <v>0.33776415575104257</v>
      </c>
      <c r="BG658" s="117">
        <f>VLOOKUP($D658,'WB Data'!$C$3:$M$578,5,FALSE)</f>
        <v>1046530000</v>
      </c>
      <c r="BH658" s="129">
        <f>IFERROR($BB658/$BG658,"..")</f>
        <v>23.816857242506188</v>
      </c>
      <c r="BI658" s="117">
        <f>IFERROR(VLOOKUP($D658,'WB Data'!$C$3:$M$578,7,FALSE)/100,"..")</f>
        <v>3.5251299999999999E-2</v>
      </c>
      <c r="BJ658" s="117">
        <f>IFERROR($BI658*$AW658,"..")</f>
        <v>19020894895.189709</v>
      </c>
      <c r="BK658" s="846">
        <f>IFERROR($BB658/$BJ658,"..")</f>
        <v>1.3104039398431997</v>
      </c>
      <c r="BL658" s="117">
        <f>IFERROR(VLOOKUP($D658,'WB Data'!$C$3:$M$578,7,FALSE)/100,"..")</f>
        <v>3.5251299999999999E-2</v>
      </c>
      <c r="BM658" s="117">
        <f>IFERROR($AW658*$BL658,"..")</f>
        <v>19020894895.189709</v>
      </c>
      <c r="BN658" s="846">
        <f>IFERROR($BB658/$BM658,"..")</f>
        <v>1.3104039398431997</v>
      </c>
      <c r="BO658" s="801">
        <f t="shared" si="114"/>
        <v>34</v>
      </c>
      <c r="BP658" s="117">
        <f>VLOOKUP($D658,'WB Data'!$C$3:$M$578,9,FALSE)</f>
        <v>14.2</v>
      </c>
      <c r="BQ658" s="117">
        <f>VLOOKUP($D658,'WB Data'!$C$3:$M$578,10,FALSE)</f>
        <v>69.933097560975625</v>
      </c>
      <c r="BR658" s="117">
        <f>VLOOKUP($D658,'WB Data'!$C$3:$M$578,11,FALSE)</f>
        <v>28.6</v>
      </c>
      <c r="BS658" s="129">
        <f>IFERROR(VLOOKUP($D658,'WB Data 2'!$C$2:$K$545,9,FALSE),"..")</f>
        <v>98.035229999999999</v>
      </c>
      <c r="BT658" s="129">
        <f>_xlfn.IFNA(VLOOKUP($C658,RGI!$A$2:$C$43,2,FALSE),"..")</f>
        <v>50</v>
      </c>
      <c r="BU658" s="129">
        <f>_xlfn.IFNA(VLOOKUP($C658,RGI!$A$2:$C$43,3,FALSE),"..")</f>
        <v>65.756132994529537</v>
      </c>
      <c r="BV658" s="129">
        <f>VLOOKUP($D658,WGI!$C$2:$O$478,7,FALSE)</f>
        <v>-3.3692223068848899E-2</v>
      </c>
      <c r="BW658" s="129">
        <f>VLOOKUP($D658,WGI!$C$2:$O$478,4,FALSE)</f>
        <v>-0.75851636602946304</v>
      </c>
      <c r="BX658" s="129">
        <f>VLOOKUP($D658,WGI!$C$2:$O$478,3,FALSE)</f>
        <v>-0.27656821064612203</v>
      </c>
      <c r="BY658" s="129">
        <f>VLOOKUP($D658,WGI!$C$2:$O$478,5,FALSE)</f>
        <v>-0.33309293933209</v>
      </c>
      <c r="BZ658" s="129">
        <f>VLOOKUP($D658,WGI!$C$2:$O$478,2,FALSE)</f>
        <v>-0.81582570120773601</v>
      </c>
    </row>
    <row r="659" spans="1:80" ht="15" customHeight="1">
      <c r="A659" s="280" t="s">
        <v>242</v>
      </c>
      <c r="B659" s="117">
        <v>2009</v>
      </c>
      <c r="C659" s="117" t="s">
        <v>243</v>
      </c>
      <c r="D659" s="117" t="s">
        <v>3632</v>
      </c>
      <c r="E659" s="117" t="s">
        <v>244</v>
      </c>
      <c r="F659" s="117"/>
      <c r="G659" s="117" t="s">
        <v>24</v>
      </c>
      <c r="H659" s="117" t="str">
        <f t="shared" si="110"/>
        <v>yes</v>
      </c>
      <c r="I659" s="117" t="str">
        <f t="shared" si="111"/>
        <v>no</v>
      </c>
      <c r="J659" s="117" t="str">
        <f t="shared" si="112"/>
        <v>no</v>
      </c>
      <c r="K659" s="117" t="s">
        <v>1330</v>
      </c>
      <c r="L659" s="117" t="str">
        <f t="shared" si="119"/>
        <v>detailed</v>
      </c>
      <c r="M659" s="117" t="str">
        <f t="shared" si="113"/>
        <v>detailed Mining</v>
      </c>
      <c r="N659" s="118">
        <v>68228</v>
      </c>
      <c r="O659" s="118"/>
      <c r="P659" s="118"/>
      <c r="Q659" s="118"/>
      <c r="R659" s="118"/>
      <c r="S659" s="117" t="s">
        <v>610</v>
      </c>
      <c r="T659" s="119"/>
      <c r="U659" s="117"/>
      <c r="V659" s="117" t="s">
        <v>684</v>
      </c>
      <c r="W659" s="89"/>
      <c r="X659" s="117"/>
      <c r="Y659" s="117"/>
      <c r="Z659" s="117"/>
      <c r="AA659" s="177"/>
      <c r="AB659" s="177"/>
      <c r="AC659" s="122"/>
      <c r="AD659" s="122"/>
      <c r="AE659" s="122"/>
      <c r="AF659" s="123"/>
      <c r="AG659" s="117"/>
      <c r="AH659" s="124"/>
      <c r="AI659" s="117"/>
      <c r="AJ659" s="117"/>
      <c r="AK659" s="89"/>
      <c r="AL659" s="117"/>
      <c r="AM659" s="117"/>
      <c r="AN659" s="117"/>
      <c r="AO659" s="117"/>
      <c r="AP659" s="117"/>
      <c r="AQ659" s="117"/>
      <c r="AR659" s="126"/>
      <c r="AS659" s="117"/>
      <c r="AT659" s="117"/>
      <c r="AU659" s="117"/>
      <c r="AV659" s="128"/>
      <c r="AW659" s="117">
        <f>VLOOKUP($D659,'WB Data'!$C$3:$M$578,2,FALSE)</f>
        <v>539579955780.06226</v>
      </c>
      <c r="AX659" s="117">
        <f>VLOOKUP($D659,'WB Data'!$C$3:$M$578,3,FALSE)</f>
        <v>237486894</v>
      </c>
      <c r="AY659" s="847">
        <f t="shared" si="115"/>
        <v>4.6193442404594588E-2</v>
      </c>
      <c r="AZ659" s="117">
        <f>VLOOKUP($D659,'WB Data'!$C$3:$M$578,4,FALSE)/100</f>
        <v>0.15375024136545859</v>
      </c>
      <c r="BA659" s="117">
        <f t="shared" si="116"/>
        <v>82960548437.148041</v>
      </c>
      <c r="BB659" s="129">
        <f>IFERROR(VLOOKUP($D659,'EITI Revenues'!$C$2:$G$224,5,FALSE),"..")</f>
        <v>24925055610</v>
      </c>
      <c r="BC659" s="846">
        <f t="shared" si="117"/>
        <v>0.30044468219594206</v>
      </c>
      <c r="BD659" s="129">
        <f>VLOOKUP($D659,'WB Data 2'!$C$2:$K$545,6,FALSE)</f>
        <v>44975155041.107948</v>
      </c>
      <c r="BE659" s="129">
        <f>IFERROR(VLOOKUP($D659,UNCTAD!$C$5:$V$529,4,FALSE),"..")</f>
        <v>133155500000</v>
      </c>
      <c r="BF659" s="846">
        <f t="shared" si="118"/>
        <v>0.33776415575104257</v>
      </c>
      <c r="BG659" s="117">
        <f>VLOOKUP($D659,'WB Data'!$C$3:$M$578,5,FALSE)</f>
        <v>1046530000</v>
      </c>
      <c r="BH659" s="129">
        <f>IFERROR($BB659/$BG659,"..")</f>
        <v>23.816857242506188</v>
      </c>
      <c r="BI659" s="117">
        <f>IFERROR(VLOOKUP($D659,'WB Data'!$C$3:$M$578,7,FALSE)/100,"..")</f>
        <v>3.5251299999999999E-2</v>
      </c>
      <c r="BJ659" s="117">
        <f>IFERROR($BI659*$AW659,"..")</f>
        <v>19020894895.189709</v>
      </c>
      <c r="BK659" s="846">
        <f>IFERROR($BB659/$BJ659,"..")</f>
        <v>1.3104039398431997</v>
      </c>
      <c r="BL659" s="117">
        <f>IFERROR(VLOOKUP($D659,'WB Data'!$C$3:$M$578,7,FALSE)/100,"..")</f>
        <v>3.5251299999999999E-2</v>
      </c>
      <c r="BM659" s="117">
        <f>IFERROR($AW659*$BL659,"..")</f>
        <v>19020894895.189709</v>
      </c>
      <c r="BN659" s="846">
        <f>IFERROR($BB659/$BM659,"..")</f>
        <v>1.3104039398431997</v>
      </c>
      <c r="BO659" s="801">
        <f t="shared" si="114"/>
        <v>34</v>
      </c>
      <c r="BP659" s="117">
        <f>VLOOKUP($D659,'WB Data'!$C$3:$M$578,9,FALSE)</f>
        <v>14.2</v>
      </c>
      <c r="BQ659" s="117">
        <f>VLOOKUP($D659,'WB Data'!$C$3:$M$578,10,FALSE)</f>
        <v>69.933097560975625</v>
      </c>
      <c r="BR659" s="117">
        <f>VLOOKUP($D659,'WB Data'!$C$3:$M$578,11,FALSE)</f>
        <v>28.6</v>
      </c>
      <c r="BS659" s="129">
        <f>IFERROR(VLOOKUP($D659,'WB Data 2'!$C$2:$K$545,9,FALSE),"..")</f>
        <v>98.035229999999999</v>
      </c>
      <c r="BT659" s="129">
        <f>_xlfn.IFNA(VLOOKUP($C659,RGI!$A$2:$C$43,2,FALSE),"..")</f>
        <v>50</v>
      </c>
      <c r="BU659" s="129">
        <f>_xlfn.IFNA(VLOOKUP($C659,RGI!$A$2:$C$43,3,FALSE),"..")</f>
        <v>65.756132994529537</v>
      </c>
      <c r="BV659" s="129">
        <f>VLOOKUP($D659,WGI!$C$2:$O$478,7,FALSE)</f>
        <v>-3.3692223068848899E-2</v>
      </c>
      <c r="BW659" s="129">
        <f>VLOOKUP($D659,WGI!$C$2:$O$478,4,FALSE)</f>
        <v>-0.75851636602946304</v>
      </c>
      <c r="BX659" s="129">
        <f>VLOOKUP($D659,WGI!$C$2:$O$478,3,FALSE)</f>
        <v>-0.27656821064612203</v>
      </c>
      <c r="BY659" s="129">
        <f>VLOOKUP($D659,WGI!$C$2:$O$478,5,FALSE)</f>
        <v>-0.33309293933209</v>
      </c>
      <c r="BZ659" s="129">
        <f>VLOOKUP($D659,WGI!$C$2:$O$478,2,FALSE)</f>
        <v>-0.81582570120773601</v>
      </c>
    </row>
    <row r="660" spans="1:80" ht="15" customHeight="1">
      <c r="A660" s="280" t="s">
        <v>242</v>
      </c>
      <c r="B660" s="117">
        <v>2009</v>
      </c>
      <c r="C660" s="117" t="s">
        <v>243</v>
      </c>
      <c r="D660" s="117" t="s">
        <v>3632</v>
      </c>
      <c r="E660" s="117" t="s">
        <v>244</v>
      </c>
      <c r="F660" s="117"/>
      <c r="G660" s="117" t="s">
        <v>24</v>
      </c>
      <c r="H660" s="117" t="str">
        <f t="shared" si="110"/>
        <v>yes</v>
      </c>
      <c r="I660" s="117" t="str">
        <f t="shared" si="111"/>
        <v>no</v>
      </c>
      <c r="J660" s="117" t="str">
        <f t="shared" si="112"/>
        <v>no</v>
      </c>
      <c r="K660" s="117" t="s">
        <v>1331</v>
      </c>
      <c r="L660" s="117" t="str">
        <f t="shared" si="119"/>
        <v>detailed</v>
      </c>
      <c r="M660" s="117" t="str">
        <f t="shared" si="113"/>
        <v>detailed Mining</v>
      </c>
      <c r="N660" s="118">
        <v>12550</v>
      </c>
      <c r="O660" s="118"/>
      <c r="P660" s="118"/>
      <c r="Q660" s="118"/>
      <c r="R660" s="118"/>
      <c r="S660" s="117" t="s">
        <v>610</v>
      </c>
      <c r="T660" s="119"/>
      <c r="U660" s="117"/>
      <c r="V660" s="117" t="s">
        <v>684</v>
      </c>
      <c r="W660" s="89"/>
      <c r="X660" s="117"/>
      <c r="Y660" s="117"/>
      <c r="Z660" s="117"/>
      <c r="AA660" s="177"/>
      <c r="AB660" s="177"/>
      <c r="AC660" s="122"/>
      <c r="AD660" s="122"/>
      <c r="AE660" s="122"/>
      <c r="AF660" s="123"/>
      <c r="AG660" s="117"/>
      <c r="AH660" s="124"/>
      <c r="AI660" s="117"/>
      <c r="AJ660" s="117"/>
      <c r="AK660" s="89"/>
      <c r="AL660" s="117"/>
      <c r="AM660" s="117"/>
      <c r="AN660" s="117"/>
      <c r="AO660" s="117"/>
      <c r="AP660" s="117"/>
      <c r="AQ660" s="117"/>
      <c r="AR660" s="126"/>
      <c r="AS660" s="117"/>
      <c r="AT660" s="117"/>
      <c r="AU660" s="117"/>
      <c r="AV660" s="128"/>
      <c r="AW660" s="117">
        <f>VLOOKUP($D660,'WB Data'!$C$3:$M$578,2,FALSE)</f>
        <v>539579955780.06226</v>
      </c>
      <c r="AX660" s="117">
        <f>VLOOKUP($D660,'WB Data'!$C$3:$M$578,3,FALSE)</f>
        <v>237486894</v>
      </c>
      <c r="AY660" s="847">
        <f t="shared" si="115"/>
        <v>4.6193442404594588E-2</v>
      </c>
      <c r="AZ660" s="117">
        <f>VLOOKUP($D660,'WB Data'!$C$3:$M$578,4,FALSE)/100</f>
        <v>0.15375024136545859</v>
      </c>
      <c r="BA660" s="117">
        <f t="shared" si="116"/>
        <v>82960548437.148041</v>
      </c>
      <c r="BB660" s="129">
        <f>IFERROR(VLOOKUP($D660,'EITI Revenues'!$C$2:$G$224,5,FALSE),"..")</f>
        <v>24925055610</v>
      </c>
      <c r="BC660" s="846">
        <f t="shared" si="117"/>
        <v>0.30044468219594206</v>
      </c>
      <c r="BD660" s="129">
        <f>VLOOKUP($D660,'WB Data 2'!$C$2:$K$545,6,FALSE)</f>
        <v>44975155041.107948</v>
      </c>
      <c r="BE660" s="129">
        <f>IFERROR(VLOOKUP($D660,UNCTAD!$C$5:$V$529,4,FALSE),"..")</f>
        <v>133155500000</v>
      </c>
      <c r="BF660" s="846">
        <f t="shared" si="118"/>
        <v>0.33776415575104257</v>
      </c>
      <c r="BG660" s="117">
        <f>VLOOKUP($D660,'WB Data'!$C$3:$M$578,5,FALSE)</f>
        <v>1046530000</v>
      </c>
      <c r="BH660" s="129">
        <f>IFERROR($BB660/$BG660,"..")</f>
        <v>23.816857242506188</v>
      </c>
      <c r="BI660" s="117">
        <f>IFERROR(VLOOKUP($D660,'WB Data'!$C$3:$M$578,7,FALSE)/100,"..")</f>
        <v>3.5251299999999999E-2</v>
      </c>
      <c r="BJ660" s="117">
        <f>IFERROR($BI660*$AW660,"..")</f>
        <v>19020894895.189709</v>
      </c>
      <c r="BK660" s="846">
        <f>IFERROR($BB660/$BJ660,"..")</f>
        <v>1.3104039398431997</v>
      </c>
      <c r="BL660" s="117">
        <f>IFERROR(VLOOKUP($D660,'WB Data'!$C$3:$M$578,7,FALSE)/100,"..")</f>
        <v>3.5251299999999999E-2</v>
      </c>
      <c r="BM660" s="117">
        <f>IFERROR($AW660*$BL660,"..")</f>
        <v>19020894895.189709</v>
      </c>
      <c r="BN660" s="846">
        <f>IFERROR($BB660/$BM660,"..")</f>
        <v>1.3104039398431997</v>
      </c>
      <c r="BO660" s="801">
        <f t="shared" si="114"/>
        <v>34</v>
      </c>
      <c r="BP660" s="117">
        <f>VLOOKUP($D660,'WB Data'!$C$3:$M$578,9,FALSE)</f>
        <v>14.2</v>
      </c>
      <c r="BQ660" s="117">
        <f>VLOOKUP($D660,'WB Data'!$C$3:$M$578,10,FALSE)</f>
        <v>69.933097560975625</v>
      </c>
      <c r="BR660" s="117">
        <f>VLOOKUP($D660,'WB Data'!$C$3:$M$578,11,FALSE)</f>
        <v>28.6</v>
      </c>
      <c r="BS660" s="129">
        <f>IFERROR(VLOOKUP($D660,'WB Data 2'!$C$2:$K$545,9,FALSE),"..")</f>
        <v>98.035229999999999</v>
      </c>
      <c r="BT660" s="129">
        <f>_xlfn.IFNA(VLOOKUP($C660,RGI!$A$2:$C$43,2,FALSE),"..")</f>
        <v>50</v>
      </c>
      <c r="BU660" s="129">
        <f>_xlfn.IFNA(VLOOKUP($C660,RGI!$A$2:$C$43,3,FALSE),"..")</f>
        <v>65.756132994529537</v>
      </c>
      <c r="BV660" s="129">
        <f>VLOOKUP($D660,WGI!$C$2:$O$478,7,FALSE)</f>
        <v>-3.3692223068848899E-2</v>
      </c>
      <c r="BW660" s="129">
        <f>VLOOKUP($D660,WGI!$C$2:$O$478,4,FALSE)</f>
        <v>-0.75851636602946304</v>
      </c>
      <c r="BX660" s="129">
        <f>VLOOKUP($D660,WGI!$C$2:$O$478,3,FALSE)</f>
        <v>-0.27656821064612203</v>
      </c>
      <c r="BY660" s="129">
        <f>VLOOKUP($D660,WGI!$C$2:$O$478,5,FALSE)</f>
        <v>-0.33309293933209</v>
      </c>
      <c r="BZ660" s="129">
        <f>VLOOKUP($D660,WGI!$C$2:$O$478,2,FALSE)</f>
        <v>-0.81582570120773601</v>
      </c>
    </row>
    <row r="661" spans="1:80" ht="15" customHeight="1">
      <c r="A661" s="280" t="s">
        <v>242</v>
      </c>
      <c r="B661" s="117">
        <v>2009</v>
      </c>
      <c r="C661" s="117" t="s">
        <v>243</v>
      </c>
      <c r="D661" s="117" t="s">
        <v>3632</v>
      </c>
      <c r="E661" s="117" t="s">
        <v>244</v>
      </c>
      <c r="F661" s="117"/>
      <c r="G661" s="117" t="s">
        <v>24</v>
      </c>
      <c r="H661" s="117" t="str">
        <f t="shared" si="110"/>
        <v>yes</v>
      </c>
      <c r="I661" s="117" t="str">
        <f t="shared" si="111"/>
        <v>no</v>
      </c>
      <c r="J661" s="117" t="str">
        <f t="shared" si="112"/>
        <v>no</v>
      </c>
      <c r="K661" s="117" t="s">
        <v>789</v>
      </c>
      <c r="L661" s="117" t="str">
        <f t="shared" si="119"/>
        <v>detailed</v>
      </c>
      <c r="M661" s="117" t="str">
        <f t="shared" si="113"/>
        <v>detailed Mining</v>
      </c>
      <c r="N661" s="118">
        <f>359451*32.150743126506</f>
        <v>11556616.767565709</v>
      </c>
      <c r="O661" s="118"/>
      <c r="P661" s="118"/>
      <c r="Q661" s="118"/>
      <c r="R661" s="118"/>
      <c r="S661" s="117" t="s">
        <v>785</v>
      </c>
      <c r="T661" s="119">
        <f>14.64353333333/1</f>
        <v>14.64353333333</v>
      </c>
      <c r="U661" s="117" t="s">
        <v>786</v>
      </c>
      <c r="V661" s="117" t="s">
        <v>798</v>
      </c>
      <c r="W661" s="89">
        <f>N661*T661</f>
        <v>169229702.85636884</v>
      </c>
      <c r="X661" s="117"/>
      <c r="Y661" s="117"/>
      <c r="Z661" s="117"/>
      <c r="AA661" s="177"/>
      <c r="AB661" s="177"/>
      <c r="AC661" s="122"/>
      <c r="AD661" s="122"/>
      <c r="AE661" s="122"/>
      <c r="AF661" s="123"/>
      <c r="AG661" s="117"/>
      <c r="AH661" s="124"/>
      <c r="AI661" s="117"/>
      <c r="AJ661" s="117"/>
      <c r="AK661" s="89"/>
      <c r="AL661" s="117"/>
      <c r="AM661" s="117"/>
      <c r="AN661" s="117"/>
      <c r="AO661" s="117"/>
      <c r="AP661" s="117"/>
      <c r="AQ661" s="117"/>
      <c r="AR661" s="126"/>
      <c r="AS661" s="117"/>
      <c r="AT661" s="117"/>
      <c r="AU661" s="117"/>
      <c r="AV661" s="128"/>
      <c r="AW661" s="117">
        <f>VLOOKUP($D661,'WB Data'!$C$3:$M$578,2,FALSE)</f>
        <v>539579955780.06226</v>
      </c>
      <c r="AX661" s="117">
        <f>VLOOKUP($D661,'WB Data'!$C$3:$M$578,3,FALSE)</f>
        <v>237486894</v>
      </c>
      <c r="AY661" s="847">
        <f t="shared" si="115"/>
        <v>4.6193442404594588E-2</v>
      </c>
      <c r="AZ661" s="117">
        <f>VLOOKUP($D661,'WB Data'!$C$3:$M$578,4,FALSE)/100</f>
        <v>0.15375024136545859</v>
      </c>
      <c r="BA661" s="117">
        <f t="shared" si="116"/>
        <v>82960548437.148041</v>
      </c>
      <c r="BB661" s="129">
        <f>IFERROR(VLOOKUP($D661,'EITI Revenues'!$C$2:$G$224,5,FALSE),"..")</f>
        <v>24925055610</v>
      </c>
      <c r="BC661" s="846">
        <f t="shared" si="117"/>
        <v>0.30044468219594206</v>
      </c>
      <c r="BD661" s="129">
        <f>VLOOKUP($D661,'WB Data 2'!$C$2:$K$545,6,FALSE)</f>
        <v>44975155041.107948</v>
      </c>
      <c r="BE661" s="129">
        <f>IFERROR(VLOOKUP($D661,UNCTAD!$C$5:$V$529,4,FALSE),"..")</f>
        <v>133155500000</v>
      </c>
      <c r="BF661" s="846">
        <f t="shared" si="118"/>
        <v>0.33776415575104257</v>
      </c>
      <c r="BG661" s="117">
        <f>VLOOKUP($D661,'WB Data'!$C$3:$M$578,5,FALSE)</f>
        <v>1046530000</v>
      </c>
      <c r="BH661" s="129">
        <f>IFERROR($BB661/$BG661,"..")</f>
        <v>23.816857242506188</v>
      </c>
      <c r="BI661" s="117">
        <f>IFERROR(VLOOKUP($D661,'WB Data'!$C$3:$M$578,7,FALSE)/100,"..")</f>
        <v>3.5251299999999999E-2</v>
      </c>
      <c r="BJ661" s="117">
        <f>IFERROR($BI661*$AW661,"..")</f>
        <v>19020894895.189709</v>
      </c>
      <c r="BK661" s="846">
        <f>IFERROR($BB661/$BJ661,"..")</f>
        <v>1.3104039398431997</v>
      </c>
      <c r="BL661" s="117">
        <f>IFERROR(VLOOKUP($D661,'WB Data'!$C$3:$M$578,7,FALSE)/100,"..")</f>
        <v>3.5251299999999999E-2</v>
      </c>
      <c r="BM661" s="117">
        <f>IFERROR($AW661*$BL661,"..")</f>
        <v>19020894895.189709</v>
      </c>
      <c r="BN661" s="846">
        <f>IFERROR($BB661/$BM661,"..")</f>
        <v>1.3104039398431997</v>
      </c>
      <c r="BO661" s="801">
        <f t="shared" si="114"/>
        <v>34</v>
      </c>
      <c r="BP661" s="117">
        <f>VLOOKUP($D661,'WB Data'!$C$3:$M$578,9,FALSE)</f>
        <v>14.2</v>
      </c>
      <c r="BQ661" s="117">
        <f>VLOOKUP($D661,'WB Data'!$C$3:$M$578,10,FALSE)</f>
        <v>69.933097560975625</v>
      </c>
      <c r="BR661" s="117">
        <f>VLOOKUP($D661,'WB Data'!$C$3:$M$578,11,FALSE)</f>
        <v>28.6</v>
      </c>
      <c r="BS661" s="129">
        <f>IFERROR(VLOOKUP($D661,'WB Data 2'!$C$2:$K$545,9,FALSE),"..")</f>
        <v>98.035229999999999</v>
      </c>
      <c r="BT661" s="129">
        <f>_xlfn.IFNA(VLOOKUP($C661,RGI!$A$2:$C$43,2,FALSE),"..")</f>
        <v>50</v>
      </c>
      <c r="BU661" s="129">
        <f>_xlfn.IFNA(VLOOKUP($C661,RGI!$A$2:$C$43,3,FALSE),"..")</f>
        <v>65.756132994529537</v>
      </c>
      <c r="BV661" s="129">
        <f>VLOOKUP($D661,WGI!$C$2:$O$478,7,FALSE)</f>
        <v>-3.3692223068848899E-2</v>
      </c>
      <c r="BW661" s="129">
        <f>VLOOKUP($D661,WGI!$C$2:$O$478,4,FALSE)</f>
        <v>-0.75851636602946304</v>
      </c>
      <c r="BX661" s="129">
        <f>VLOOKUP($D661,WGI!$C$2:$O$478,3,FALSE)</f>
        <v>-0.27656821064612203</v>
      </c>
      <c r="BY661" s="129">
        <f>VLOOKUP($D661,WGI!$C$2:$O$478,5,FALSE)</f>
        <v>-0.33309293933209</v>
      </c>
      <c r="BZ661" s="129">
        <f>VLOOKUP($D661,WGI!$C$2:$O$478,2,FALSE)</f>
        <v>-0.81582570120773601</v>
      </c>
    </row>
    <row r="662" spans="1:80" ht="15" customHeight="1">
      <c r="A662" s="280" t="s">
        <v>242</v>
      </c>
      <c r="B662" s="117">
        <v>2009</v>
      </c>
      <c r="C662" s="117" t="s">
        <v>243</v>
      </c>
      <c r="D662" s="117" t="s">
        <v>3632</v>
      </c>
      <c r="E662" s="117" t="s">
        <v>244</v>
      </c>
      <c r="F662" s="117"/>
      <c r="G662" s="117" t="s">
        <v>24</v>
      </c>
      <c r="H662" s="117" t="str">
        <f t="shared" si="110"/>
        <v>yes</v>
      </c>
      <c r="I662" s="117" t="str">
        <f t="shared" si="111"/>
        <v>no</v>
      </c>
      <c r="J662" s="117" t="str">
        <f t="shared" si="112"/>
        <v>no</v>
      </c>
      <c r="K662" s="117" t="s">
        <v>1332</v>
      </c>
      <c r="L662" s="117" t="str">
        <f t="shared" si="119"/>
        <v>detailed</v>
      </c>
      <c r="M662" s="117" t="str">
        <f t="shared" si="113"/>
        <v>detailed Mining</v>
      </c>
      <c r="N662" s="118"/>
      <c r="O662" s="118"/>
      <c r="P662" s="118"/>
      <c r="Q662" s="118"/>
      <c r="R662" s="118"/>
      <c r="S662" s="117"/>
      <c r="T662" s="186">
        <f>13573.8769166667</f>
        <v>13573.876916666701</v>
      </c>
      <c r="U662" s="117" t="s">
        <v>611</v>
      </c>
      <c r="V662" s="117" t="s">
        <v>1333</v>
      </c>
      <c r="W662" s="89">
        <f>N664*T662</f>
        <v>697941603.30116844</v>
      </c>
      <c r="X662" s="117"/>
      <c r="Y662" s="117"/>
      <c r="Z662" s="117"/>
      <c r="AA662" s="177"/>
      <c r="AB662" s="177"/>
      <c r="AC662" s="122"/>
      <c r="AD662" s="122"/>
      <c r="AE662" s="122"/>
      <c r="AF662" s="123"/>
      <c r="AG662" s="117"/>
      <c r="AH662" s="124"/>
      <c r="AI662" s="117"/>
      <c r="AJ662" s="117"/>
      <c r="AK662" s="89"/>
      <c r="AL662" s="117"/>
      <c r="AM662" s="117"/>
      <c r="AN662" s="117">
        <v>7</v>
      </c>
      <c r="AO662" s="117" t="s">
        <v>1334</v>
      </c>
      <c r="AP662" s="117">
        <v>5</v>
      </c>
      <c r="AQ662" s="117"/>
      <c r="AR662" s="126"/>
      <c r="AS662" s="117"/>
      <c r="AT662" s="117"/>
      <c r="AU662" s="117"/>
      <c r="AV662" s="128"/>
      <c r="AW662" s="117">
        <f>VLOOKUP($D662,'WB Data'!$C$3:$M$578,2,FALSE)</f>
        <v>539579955780.06226</v>
      </c>
      <c r="AX662" s="117">
        <f>VLOOKUP($D662,'WB Data'!$C$3:$M$578,3,FALSE)</f>
        <v>237486894</v>
      </c>
      <c r="AY662" s="847">
        <f t="shared" si="115"/>
        <v>4.6193442404594588E-2</v>
      </c>
      <c r="AZ662" s="117">
        <f>VLOOKUP($D662,'WB Data'!$C$3:$M$578,4,FALSE)/100</f>
        <v>0.15375024136545859</v>
      </c>
      <c r="BA662" s="117">
        <f t="shared" si="116"/>
        <v>82960548437.148041</v>
      </c>
      <c r="BB662" s="129">
        <f>IFERROR(VLOOKUP($D662,'EITI Revenues'!$C$2:$G$224,5,FALSE),"..")</f>
        <v>24925055610</v>
      </c>
      <c r="BC662" s="846">
        <f t="shared" si="117"/>
        <v>0.30044468219594206</v>
      </c>
      <c r="BD662" s="129">
        <f>VLOOKUP($D662,'WB Data 2'!$C$2:$K$545,6,FALSE)</f>
        <v>44975155041.107948</v>
      </c>
      <c r="BE662" s="129">
        <f>IFERROR(VLOOKUP($D662,UNCTAD!$C$5:$V$529,4,FALSE),"..")</f>
        <v>133155500000</v>
      </c>
      <c r="BF662" s="846">
        <f t="shared" si="118"/>
        <v>0.33776415575104257</v>
      </c>
      <c r="BG662" s="117">
        <f>VLOOKUP($D662,'WB Data'!$C$3:$M$578,5,FALSE)</f>
        <v>1046530000</v>
      </c>
      <c r="BH662" s="129">
        <f>IFERROR($BB662/$BG662,"..")</f>
        <v>23.816857242506188</v>
      </c>
      <c r="BI662" s="117">
        <f>IFERROR(VLOOKUP($D662,'WB Data'!$C$3:$M$578,7,FALSE)/100,"..")</f>
        <v>3.5251299999999999E-2</v>
      </c>
      <c r="BJ662" s="117">
        <f>IFERROR($BI662*$AW662,"..")</f>
        <v>19020894895.189709</v>
      </c>
      <c r="BK662" s="846">
        <f>IFERROR($BB662/$BJ662,"..")</f>
        <v>1.3104039398431997</v>
      </c>
      <c r="BL662" s="117">
        <f>IFERROR(VLOOKUP($D662,'WB Data'!$C$3:$M$578,7,FALSE)/100,"..")</f>
        <v>3.5251299999999999E-2</v>
      </c>
      <c r="BM662" s="117">
        <f>IFERROR($AW662*$BL662,"..")</f>
        <v>19020894895.189709</v>
      </c>
      <c r="BN662" s="846">
        <f>IFERROR($BB662/$BM662,"..")</f>
        <v>1.3104039398431997</v>
      </c>
      <c r="BO662" s="801">
        <f t="shared" si="114"/>
        <v>34</v>
      </c>
      <c r="BP662" s="117">
        <f>VLOOKUP($D662,'WB Data'!$C$3:$M$578,9,FALSE)</f>
        <v>14.2</v>
      </c>
      <c r="BQ662" s="117">
        <f>VLOOKUP($D662,'WB Data'!$C$3:$M$578,10,FALSE)</f>
        <v>69.933097560975625</v>
      </c>
      <c r="BR662" s="117">
        <f>VLOOKUP($D662,'WB Data'!$C$3:$M$578,11,FALSE)</f>
        <v>28.6</v>
      </c>
      <c r="BS662" s="129">
        <f>IFERROR(VLOOKUP($D662,'WB Data 2'!$C$2:$K$545,9,FALSE),"..")</f>
        <v>98.035229999999999</v>
      </c>
      <c r="BT662" s="129">
        <f>_xlfn.IFNA(VLOOKUP($C662,RGI!$A$2:$C$43,2,FALSE),"..")</f>
        <v>50</v>
      </c>
      <c r="BU662" s="129">
        <f>_xlfn.IFNA(VLOOKUP($C662,RGI!$A$2:$C$43,3,FALSE),"..")</f>
        <v>65.756132994529537</v>
      </c>
      <c r="BV662" s="129">
        <f>VLOOKUP($D662,WGI!$C$2:$O$478,7,FALSE)</f>
        <v>-3.3692223068848899E-2</v>
      </c>
      <c r="BW662" s="129">
        <f>VLOOKUP($D662,WGI!$C$2:$O$478,4,FALSE)</f>
        <v>-0.75851636602946304</v>
      </c>
      <c r="BX662" s="129">
        <f>VLOOKUP($D662,WGI!$C$2:$O$478,3,FALSE)</f>
        <v>-0.27656821064612203</v>
      </c>
      <c r="BY662" s="129">
        <f>VLOOKUP($D662,WGI!$C$2:$O$478,5,FALSE)</f>
        <v>-0.33309293933209</v>
      </c>
      <c r="BZ662" s="129">
        <f>VLOOKUP($D662,WGI!$C$2:$O$478,2,FALSE)</f>
        <v>-0.81582570120773601</v>
      </c>
    </row>
    <row r="663" spans="1:80" ht="15" customHeight="1">
      <c r="A663" s="280" t="s">
        <v>242</v>
      </c>
      <c r="B663" s="117">
        <v>2009</v>
      </c>
      <c r="C663" s="117" t="s">
        <v>243</v>
      </c>
      <c r="D663" s="117" t="s">
        <v>3632</v>
      </c>
      <c r="E663" s="117" t="s">
        <v>244</v>
      </c>
      <c r="F663" s="117"/>
      <c r="G663" s="117" t="s">
        <v>24</v>
      </c>
      <c r="H663" s="117" t="str">
        <f t="shared" si="110"/>
        <v>yes</v>
      </c>
      <c r="I663" s="117" t="str">
        <f t="shared" si="111"/>
        <v>no</v>
      </c>
      <c r="J663" s="117" t="str">
        <f t="shared" si="112"/>
        <v>no</v>
      </c>
      <c r="K663" s="117" t="s">
        <v>1335</v>
      </c>
      <c r="L663" s="117" t="str">
        <f t="shared" si="119"/>
        <v>detailed</v>
      </c>
      <c r="M663" s="117" t="str">
        <f t="shared" si="113"/>
        <v>detailed Mining</v>
      </c>
      <c r="N663" s="118">
        <v>46078</v>
      </c>
      <c r="O663" s="118"/>
      <c r="P663" s="118"/>
      <c r="Q663" s="118"/>
      <c r="R663" s="118"/>
      <c r="S663" s="117"/>
      <c r="T663" s="119"/>
      <c r="U663" s="117"/>
      <c r="V663" s="117" t="s">
        <v>684</v>
      </c>
      <c r="W663" s="89"/>
      <c r="X663" s="117"/>
      <c r="Y663" s="117"/>
      <c r="Z663" s="117"/>
      <c r="AA663" s="177"/>
      <c r="AB663" s="177"/>
      <c r="AC663" s="122"/>
      <c r="AD663" s="122"/>
      <c r="AE663" s="122"/>
      <c r="AF663" s="123"/>
      <c r="AG663" s="117"/>
      <c r="AH663" s="124"/>
      <c r="AI663" s="117"/>
      <c r="AJ663" s="117"/>
      <c r="AK663" s="89"/>
      <c r="AL663" s="117"/>
      <c r="AM663" s="117"/>
      <c r="AN663" s="117"/>
      <c r="AO663" s="117"/>
      <c r="AP663" s="117"/>
      <c r="AQ663" s="117"/>
      <c r="AR663" s="126"/>
      <c r="AS663" s="117"/>
      <c r="AT663" s="117"/>
      <c r="AU663" s="117"/>
      <c r="AV663" s="128"/>
      <c r="AW663" s="117">
        <f>VLOOKUP($D663,'WB Data'!$C$3:$M$578,2,FALSE)</f>
        <v>539579955780.06226</v>
      </c>
      <c r="AX663" s="117">
        <f>VLOOKUP($D663,'WB Data'!$C$3:$M$578,3,FALSE)</f>
        <v>237486894</v>
      </c>
      <c r="AY663" s="847">
        <f t="shared" si="115"/>
        <v>4.6193442404594588E-2</v>
      </c>
      <c r="AZ663" s="117">
        <f>VLOOKUP($D663,'WB Data'!$C$3:$M$578,4,FALSE)/100</f>
        <v>0.15375024136545859</v>
      </c>
      <c r="BA663" s="117">
        <f t="shared" si="116"/>
        <v>82960548437.148041</v>
      </c>
      <c r="BB663" s="129">
        <f>IFERROR(VLOOKUP($D663,'EITI Revenues'!$C$2:$G$224,5,FALSE),"..")</f>
        <v>24925055610</v>
      </c>
      <c r="BC663" s="846">
        <f t="shared" si="117"/>
        <v>0.30044468219594206</v>
      </c>
      <c r="BD663" s="129">
        <f>VLOOKUP($D663,'WB Data 2'!$C$2:$K$545,6,FALSE)</f>
        <v>44975155041.107948</v>
      </c>
      <c r="BE663" s="129">
        <f>IFERROR(VLOOKUP($D663,UNCTAD!$C$5:$V$529,4,FALSE),"..")</f>
        <v>133155500000</v>
      </c>
      <c r="BF663" s="846">
        <f t="shared" si="118"/>
        <v>0.33776415575104257</v>
      </c>
      <c r="BG663" s="117">
        <f>VLOOKUP($D663,'WB Data'!$C$3:$M$578,5,FALSE)</f>
        <v>1046530000</v>
      </c>
      <c r="BH663" s="129">
        <f>IFERROR($BB663/$BG663,"..")</f>
        <v>23.816857242506188</v>
      </c>
      <c r="BI663" s="117">
        <f>IFERROR(VLOOKUP($D663,'WB Data'!$C$3:$M$578,7,FALSE)/100,"..")</f>
        <v>3.5251299999999999E-2</v>
      </c>
      <c r="BJ663" s="117">
        <f>IFERROR($BI663*$AW663,"..")</f>
        <v>19020894895.189709</v>
      </c>
      <c r="BK663" s="846">
        <f>IFERROR($BB663/$BJ663,"..")</f>
        <v>1.3104039398431997</v>
      </c>
      <c r="BL663" s="117">
        <f>IFERROR(VLOOKUP($D663,'WB Data'!$C$3:$M$578,7,FALSE)/100,"..")</f>
        <v>3.5251299999999999E-2</v>
      </c>
      <c r="BM663" s="117">
        <f>IFERROR($AW663*$BL663,"..")</f>
        <v>19020894895.189709</v>
      </c>
      <c r="BN663" s="846">
        <f>IFERROR($BB663/$BM663,"..")</f>
        <v>1.3104039398431997</v>
      </c>
      <c r="BO663" s="801">
        <f t="shared" si="114"/>
        <v>34</v>
      </c>
      <c r="BP663" s="117">
        <f>VLOOKUP($D663,'WB Data'!$C$3:$M$578,9,FALSE)</f>
        <v>14.2</v>
      </c>
      <c r="BQ663" s="117">
        <f>VLOOKUP($D663,'WB Data'!$C$3:$M$578,10,FALSE)</f>
        <v>69.933097560975625</v>
      </c>
      <c r="BR663" s="117">
        <f>VLOOKUP($D663,'WB Data'!$C$3:$M$578,11,FALSE)</f>
        <v>28.6</v>
      </c>
      <c r="BS663" s="129">
        <f>IFERROR(VLOOKUP($D663,'WB Data 2'!$C$2:$K$545,9,FALSE),"..")</f>
        <v>98.035229999999999</v>
      </c>
      <c r="BT663" s="129">
        <f>_xlfn.IFNA(VLOOKUP($C663,RGI!$A$2:$C$43,2,FALSE),"..")</f>
        <v>50</v>
      </c>
      <c r="BU663" s="129">
        <f>_xlfn.IFNA(VLOOKUP($C663,RGI!$A$2:$C$43,3,FALSE),"..")</f>
        <v>65.756132994529537</v>
      </c>
      <c r="BV663" s="129">
        <f>VLOOKUP($D663,WGI!$C$2:$O$478,7,FALSE)</f>
        <v>-3.3692223068848899E-2</v>
      </c>
      <c r="BW663" s="129">
        <f>VLOOKUP($D663,WGI!$C$2:$O$478,4,FALSE)</f>
        <v>-0.75851636602946304</v>
      </c>
      <c r="BX663" s="129">
        <f>VLOOKUP($D663,WGI!$C$2:$O$478,3,FALSE)</f>
        <v>-0.27656821064612203</v>
      </c>
      <c r="BY663" s="129">
        <f>VLOOKUP($D663,WGI!$C$2:$O$478,5,FALSE)</f>
        <v>-0.33309293933209</v>
      </c>
      <c r="BZ663" s="129">
        <f>VLOOKUP($D663,WGI!$C$2:$O$478,2,FALSE)</f>
        <v>-0.81582570120773601</v>
      </c>
    </row>
    <row r="664" spans="1:80" ht="15" customHeight="1">
      <c r="A664" s="280" t="s">
        <v>242</v>
      </c>
      <c r="B664" s="117">
        <v>2009</v>
      </c>
      <c r="C664" s="117" t="s">
        <v>243</v>
      </c>
      <c r="D664" s="117" t="s">
        <v>3632</v>
      </c>
      <c r="E664" s="117" t="s">
        <v>244</v>
      </c>
      <c r="F664" s="117"/>
      <c r="G664" s="117" t="s">
        <v>24</v>
      </c>
      <c r="H664" s="117" t="str">
        <f t="shared" si="110"/>
        <v>yes</v>
      </c>
      <c r="I664" s="117" t="str">
        <f t="shared" si="111"/>
        <v>no</v>
      </c>
      <c r="J664" s="117" t="str">
        <f t="shared" si="112"/>
        <v>no</v>
      </c>
      <c r="K664" s="117" t="s">
        <v>1336</v>
      </c>
      <c r="L664" s="117" t="str">
        <f t="shared" si="119"/>
        <v>detailed</v>
      </c>
      <c r="M664" s="117" t="str">
        <f t="shared" si="113"/>
        <v>detailed Mining</v>
      </c>
      <c r="N664" s="118">
        <v>51418</v>
      </c>
      <c r="O664" s="118"/>
      <c r="P664" s="118"/>
      <c r="Q664" s="118"/>
      <c r="R664" s="118"/>
      <c r="S664" s="117"/>
      <c r="T664" s="119"/>
      <c r="U664" s="117"/>
      <c r="V664" s="117" t="s">
        <v>684</v>
      </c>
      <c r="W664" s="89"/>
      <c r="X664" s="117"/>
      <c r="Y664" s="117"/>
      <c r="Z664" s="117"/>
      <c r="AA664" s="177"/>
      <c r="AB664" s="177"/>
      <c r="AC664" s="122"/>
      <c r="AD664" s="122"/>
      <c r="AE664" s="122"/>
      <c r="AF664" s="123"/>
      <c r="AG664" s="117"/>
      <c r="AH664" s="124"/>
      <c r="AI664" s="117"/>
      <c r="AJ664" s="117"/>
      <c r="AK664" s="89"/>
      <c r="AL664" s="117"/>
      <c r="AM664" s="117"/>
      <c r="AN664" s="117"/>
      <c r="AO664" s="117"/>
      <c r="AP664" s="117"/>
      <c r="AQ664" s="117"/>
      <c r="AR664" s="126"/>
      <c r="AS664" s="117"/>
      <c r="AT664" s="117"/>
      <c r="AU664" s="117"/>
      <c r="AV664" s="128"/>
      <c r="AW664" s="117">
        <f>VLOOKUP($D664,'WB Data'!$C$3:$M$578,2,FALSE)</f>
        <v>539579955780.06226</v>
      </c>
      <c r="AX664" s="117">
        <f>VLOOKUP($D664,'WB Data'!$C$3:$M$578,3,FALSE)</f>
        <v>237486894</v>
      </c>
      <c r="AY664" s="847">
        <f t="shared" si="115"/>
        <v>4.6193442404594588E-2</v>
      </c>
      <c r="AZ664" s="117">
        <f>VLOOKUP($D664,'WB Data'!$C$3:$M$578,4,FALSE)/100</f>
        <v>0.15375024136545859</v>
      </c>
      <c r="BA664" s="117">
        <f t="shared" si="116"/>
        <v>82960548437.148041</v>
      </c>
      <c r="BB664" s="129">
        <f>IFERROR(VLOOKUP($D664,'EITI Revenues'!$C$2:$G$224,5,FALSE),"..")</f>
        <v>24925055610</v>
      </c>
      <c r="BC664" s="846">
        <f t="shared" si="117"/>
        <v>0.30044468219594206</v>
      </c>
      <c r="BD664" s="129">
        <f>VLOOKUP($D664,'WB Data 2'!$C$2:$K$545,6,FALSE)</f>
        <v>44975155041.107948</v>
      </c>
      <c r="BE664" s="129">
        <f>IFERROR(VLOOKUP($D664,UNCTAD!$C$5:$V$529,4,FALSE),"..")</f>
        <v>133155500000</v>
      </c>
      <c r="BF664" s="846">
        <f t="shared" si="118"/>
        <v>0.33776415575104257</v>
      </c>
      <c r="BG664" s="117">
        <f>VLOOKUP($D664,'WB Data'!$C$3:$M$578,5,FALSE)</f>
        <v>1046530000</v>
      </c>
      <c r="BH664" s="129">
        <f>IFERROR($BB664/$BG664,"..")</f>
        <v>23.816857242506188</v>
      </c>
      <c r="BI664" s="117">
        <f>IFERROR(VLOOKUP($D664,'WB Data'!$C$3:$M$578,7,FALSE)/100,"..")</f>
        <v>3.5251299999999999E-2</v>
      </c>
      <c r="BJ664" s="117">
        <f>IFERROR($BI664*$AW664,"..")</f>
        <v>19020894895.189709</v>
      </c>
      <c r="BK664" s="846">
        <f>IFERROR($BB664/$BJ664,"..")</f>
        <v>1.3104039398431997</v>
      </c>
      <c r="BL664" s="117">
        <f>IFERROR(VLOOKUP($D664,'WB Data'!$C$3:$M$578,7,FALSE)/100,"..")</f>
        <v>3.5251299999999999E-2</v>
      </c>
      <c r="BM664" s="117">
        <f>IFERROR($AW664*$BL664,"..")</f>
        <v>19020894895.189709</v>
      </c>
      <c r="BN664" s="846">
        <f>IFERROR($BB664/$BM664,"..")</f>
        <v>1.3104039398431997</v>
      </c>
      <c r="BO664" s="801">
        <f t="shared" si="114"/>
        <v>34</v>
      </c>
      <c r="BP664" s="117">
        <f>VLOOKUP($D664,'WB Data'!$C$3:$M$578,9,FALSE)</f>
        <v>14.2</v>
      </c>
      <c r="BQ664" s="117">
        <f>VLOOKUP($D664,'WB Data'!$C$3:$M$578,10,FALSE)</f>
        <v>69.933097560975625</v>
      </c>
      <c r="BR664" s="117">
        <f>VLOOKUP($D664,'WB Data'!$C$3:$M$578,11,FALSE)</f>
        <v>28.6</v>
      </c>
      <c r="BS664" s="129">
        <f>IFERROR(VLOOKUP($D664,'WB Data 2'!$C$2:$K$545,9,FALSE),"..")</f>
        <v>98.035229999999999</v>
      </c>
      <c r="BT664" s="129">
        <f>_xlfn.IFNA(VLOOKUP($C664,RGI!$A$2:$C$43,2,FALSE),"..")</f>
        <v>50</v>
      </c>
      <c r="BU664" s="129">
        <f>_xlfn.IFNA(VLOOKUP($C664,RGI!$A$2:$C$43,3,FALSE),"..")</f>
        <v>65.756132994529537</v>
      </c>
      <c r="BV664" s="129">
        <f>VLOOKUP($D664,WGI!$C$2:$O$478,7,FALSE)</f>
        <v>-3.3692223068848899E-2</v>
      </c>
      <c r="BW664" s="129">
        <f>VLOOKUP($D664,WGI!$C$2:$O$478,4,FALSE)</f>
        <v>-0.75851636602946304</v>
      </c>
      <c r="BX664" s="129">
        <f>VLOOKUP($D664,WGI!$C$2:$O$478,3,FALSE)</f>
        <v>-0.27656821064612203</v>
      </c>
      <c r="BY664" s="129">
        <f>VLOOKUP($D664,WGI!$C$2:$O$478,5,FALSE)</f>
        <v>-0.33309293933209</v>
      </c>
      <c r="BZ664" s="129">
        <f>VLOOKUP($D664,WGI!$C$2:$O$478,2,FALSE)</f>
        <v>-0.81582570120773601</v>
      </c>
    </row>
    <row r="665" spans="1:80" s="144" customFormat="1" ht="15" customHeight="1">
      <c r="A665" s="279" t="s">
        <v>246</v>
      </c>
      <c r="B665" s="132">
        <v>2010</v>
      </c>
      <c r="C665" s="117" t="s">
        <v>243</v>
      </c>
      <c r="D665" s="117" t="s">
        <v>3632</v>
      </c>
      <c r="E665" s="132" t="s">
        <v>244</v>
      </c>
      <c r="F665" s="132" t="s">
        <v>1306</v>
      </c>
      <c r="G665" s="132" t="s">
        <v>35</v>
      </c>
      <c r="H665" s="117" t="str">
        <f t="shared" si="110"/>
        <v>yes</v>
      </c>
      <c r="I665" s="117" t="str">
        <f t="shared" si="111"/>
        <v>yes</v>
      </c>
      <c r="J665" s="117" t="str">
        <f t="shared" si="112"/>
        <v>yes</v>
      </c>
      <c r="K665" s="132" t="s">
        <v>709</v>
      </c>
      <c r="L665" s="117" t="str">
        <f t="shared" si="119"/>
        <v>Total</v>
      </c>
      <c r="M665" s="117" t="str">
        <f t="shared" si="113"/>
        <v>Total Oil, Gas, Mining</v>
      </c>
      <c r="N665" s="133"/>
      <c r="O665" s="133"/>
      <c r="P665" s="133"/>
      <c r="Q665" s="133"/>
      <c r="R665" s="133"/>
      <c r="S665" s="132"/>
      <c r="T665" s="134"/>
      <c r="U665" s="132"/>
      <c r="V665" s="132"/>
      <c r="W665" s="135">
        <f>W666+W669</f>
        <v>84222176474.178955</v>
      </c>
      <c r="X665" s="132" t="s">
        <v>1337</v>
      </c>
      <c r="Y665" s="132" t="s">
        <v>663</v>
      </c>
      <c r="Z665" s="132" t="s">
        <v>664</v>
      </c>
      <c r="AA665" s="325">
        <f>AA666+AA669</f>
        <v>32949795856</v>
      </c>
      <c r="AB665" s="325">
        <f>AB666+AB669</f>
        <v>32920365915</v>
      </c>
      <c r="AC665" s="138"/>
      <c r="AD665" s="138"/>
      <c r="AE665" s="138"/>
      <c r="AF665" s="139">
        <f>AA665/W665</f>
        <v>0.39122470156184852</v>
      </c>
      <c r="AG665" s="132" t="s">
        <v>1338</v>
      </c>
      <c r="AH665" s="140">
        <v>9078</v>
      </c>
      <c r="AI665" s="132" t="s">
        <v>1308</v>
      </c>
      <c r="AJ665" s="132" t="s">
        <v>1339</v>
      </c>
      <c r="AK665" s="135">
        <v>20912152000</v>
      </c>
      <c r="AL665" s="132" t="s">
        <v>1310</v>
      </c>
      <c r="AM665" s="135">
        <v>1007323000</v>
      </c>
      <c r="AN665" s="132">
        <v>223</v>
      </c>
      <c r="AO665" s="132" t="s">
        <v>1340</v>
      </c>
      <c r="AP665" s="132">
        <v>211</v>
      </c>
      <c r="AQ665" s="346">
        <v>41760</v>
      </c>
      <c r="AR665" s="141">
        <v>41911</v>
      </c>
      <c r="AS665" s="132" t="s">
        <v>1312</v>
      </c>
      <c r="AT665" s="142" t="s">
        <v>248</v>
      </c>
      <c r="AU665" s="132" t="s">
        <v>1341</v>
      </c>
      <c r="AV665" s="143" t="s">
        <v>1342</v>
      </c>
      <c r="AW665" s="117">
        <f>VLOOKUP($D665,'WB Data'!$C$3:$M$578,2,FALSE)</f>
        <v>539579955780.06226</v>
      </c>
      <c r="AX665" s="117">
        <f>VLOOKUP($D665,'WB Data'!$C$3:$M$578,3,FALSE)</f>
        <v>237486894</v>
      </c>
      <c r="AY665" s="847">
        <f t="shared" si="115"/>
        <v>4.6193442404594588E-2</v>
      </c>
      <c r="AZ665" s="117">
        <f>VLOOKUP($D665,'WB Data'!$C$3:$M$578,4,FALSE)/100</f>
        <v>0.15375024136545859</v>
      </c>
      <c r="BA665" s="117">
        <f t="shared" si="116"/>
        <v>82960548437.148041</v>
      </c>
      <c r="BB665" s="129">
        <f>IFERROR(VLOOKUP($D665,'EITI Revenues'!$C$2:$G$224,5,FALSE),"..")</f>
        <v>24925055610</v>
      </c>
      <c r="BC665" s="846">
        <f t="shared" si="117"/>
        <v>0.30044468219594206</v>
      </c>
      <c r="BD665" s="129">
        <f>VLOOKUP($D665,'WB Data 2'!$C$2:$K$545,6,FALSE)</f>
        <v>44975155041.107948</v>
      </c>
      <c r="BE665" s="129">
        <f>IFERROR(VLOOKUP($D665,UNCTAD!$C$5:$V$529,4,FALSE),"..")</f>
        <v>133155500000</v>
      </c>
      <c r="BF665" s="846">
        <f t="shared" si="118"/>
        <v>0.33776415575104257</v>
      </c>
      <c r="BG665" s="117">
        <f>VLOOKUP($D665,'WB Data'!$C$3:$M$578,5,FALSE)</f>
        <v>1046530000</v>
      </c>
      <c r="BH665" s="129">
        <f>IFERROR($BB665/$BG665,"..")</f>
        <v>23.816857242506188</v>
      </c>
      <c r="BI665" s="117">
        <f>IFERROR(VLOOKUP($D665,'WB Data'!$C$3:$M$578,7,FALSE)/100,"..")</f>
        <v>3.5251299999999999E-2</v>
      </c>
      <c r="BJ665" s="117">
        <f>IFERROR($BI665*$AW665,"..")</f>
        <v>19020894895.189709</v>
      </c>
      <c r="BK665" s="846">
        <f>IFERROR($BB665/$BJ665,"..")</f>
        <v>1.3104039398431997</v>
      </c>
      <c r="BL665" s="117">
        <f>IFERROR(VLOOKUP($D665,'WB Data'!$C$3:$M$578,7,FALSE)/100,"..")</f>
        <v>3.5251299999999999E-2</v>
      </c>
      <c r="BM665" s="117">
        <f>IFERROR($AW665*$BL665,"..")</f>
        <v>19020894895.189709</v>
      </c>
      <c r="BN665" s="846">
        <f>IFERROR($BB665/$BM665,"..")</f>
        <v>1.3104039398431997</v>
      </c>
      <c r="BO665" s="801">
        <f t="shared" si="114"/>
        <v>34</v>
      </c>
      <c r="BP665" s="117">
        <f>VLOOKUP($D665,'WB Data'!$C$3:$M$578,9,FALSE)</f>
        <v>14.2</v>
      </c>
      <c r="BQ665" s="117">
        <f>VLOOKUP($D665,'WB Data'!$C$3:$M$578,10,FALSE)</f>
        <v>69.933097560975625</v>
      </c>
      <c r="BR665" s="117">
        <f>VLOOKUP($D665,'WB Data'!$C$3:$M$578,11,FALSE)</f>
        <v>28.6</v>
      </c>
      <c r="BS665" s="129">
        <f>IFERROR(VLOOKUP($D665,'WB Data 2'!$C$2:$K$545,9,FALSE),"..")</f>
        <v>98.035229999999999</v>
      </c>
      <c r="BT665" s="129">
        <f>_xlfn.IFNA(VLOOKUP($C665,RGI!$A$2:$C$43,2,FALSE),"..")</f>
        <v>50</v>
      </c>
      <c r="BU665" s="129">
        <f>_xlfn.IFNA(VLOOKUP($C665,RGI!$A$2:$C$43,3,FALSE),"..")</f>
        <v>65.756132994529537</v>
      </c>
      <c r="BV665" s="129">
        <f>VLOOKUP($D665,WGI!$C$2:$O$478,7,FALSE)</f>
        <v>-3.3692223068848899E-2</v>
      </c>
      <c r="BW665" s="129">
        <f>VLOOKUP($D665,WGI!$C$2:$O$478,4,FALSE)</f>
        <v>-0.75851636602946304</v>
      </c>
      <c r="BX665" s="129">
        <f>VLOOKUP($D665,WGI!$C$2:$O$478,3,FALSE)</f>
        <v>-0.27656821064612203</v>
      </c>
      <c r="BY665" s="129">
        <f>VLOOKUP($D665,WGI!$C$2:$O$478,5,FALSE)</f>
        <v>-0.33309293933209</v>
      </c>
      <c r="BZ665" s="129">
        <f>VLOOKUP($D665,WGI!$C$2:$O$478,2,FALSE)</f>
        <v>-0.81582570120773601</v>
      </c>
      <c r="CB665" s="129"/>
    </row>
    <row r="666" spans="1:80" s="120" customFormat="1" ht="15" customHeight="1">
      <c r="A666" s="280" t="s">
        <v>246</v>
      </c>
      <c r="B666" s="117">
        <v>2010</v>
      </c>
      <c r="C666" s="117" t="s">
        <v>243</v>
      </c>
      <c r="D666" s="117" t="s">
        <v>3632</v>
      </c>
      <c r="E666" s="117" t="s">
        <v>244</v>
      </c>
      <c r="F666" s="117"/>
      <c r="G666" s="117" t="s">
        <v>55</v>
      </c>
      <c r="H666" s="117" t="str">
        <f t="shared" si="110"/>
        <v>no</v>
      </c>
      <c r="I666" s="117" t="str">
        <f t="shared" si="111"/>
        <v>yes</v>
      </c>
      <c r="J666" s="117" t="str">
        <f t="shared" si="112"/>
        <v>yes</v>
      </c>
      <c r="K666" s="117" t="s">
        <v>640</v>
      </c>
      <c r="L666" s="117" t="str">
        <f t="shared" si="119"/>
        <v>Total</v>
      </c>
      <c r="M666" s="117" t="str">
        <f t="shared" si="113"/>
        <v>Total Oil, Gas</v>
      </c>
      <c r="N666" s="118"/>
      <c r="O666" s="118"/>
      <c r="P666" s="118"/>
      <c r="Q666" s="118"/>
      <c r="R666" s="118"/>
      <c r="S666" s="117"/>
      <c r="T666" s="119"/>
      <c r="U666" s="117"/>
      <c r="V666" s="117"/>
      <c r="W666" s="89">
        <f>SUM(W667:W668)</f>
        <v>42029171162.806999</v>
      </c>
      <c r="X666" s="117"/>
      <c r="Y666" s="117"/>
      <c r="Z666" s="117"/>
      <c r="AA666" s="177">
        <v>27159228000</v>
      </c>
      <c r="AB666" s="177">
        <v>27137433000</v>
      </c>
      <c r="AC666" s="122"/>
      <c r="AD666" s="122"/>
      <c r="AE666" s="122"/>
      <c r="AF666" s="123">
        <f>AA666/W666</f>
        <v>0.64619946690821484</v>
      </c>
      <c r="AG666" s="117"/>
      <c r="AH666" s="124"/>
      <c r="AI666" s="117"/>
      <c r="AJ666" s="117" t="s">
        <v>1339</v>
      </c>
      <c r="AK666" s="89">
        <v>20912152000</v>
      </c>
      <c r="AL666" s="117" t="s">
        <v>1310</v>
      </c>
      <c r="AM666" s="89">
        <v>1007323000</v>
      </c>
      <c r="AN666" s="117">
        <v>170</v>
      </c>
      <c r="AO666" s="117" t="s">
        <v>1343</v>
      </c>
      <c r="AP666" s="117">
        <v>159</v>
      </c>
      <c r="AQ666" s="117"/>
      <c r="AR666" s="126"/>
      <c r="AS666" s="117"/>
      <c r="AT666" s="117"/>
      <c r="AU666" s="117" t="s">
        <v>1344</v>
      </c>
      <c r="AV666" s="128"/>
      <c r="AW666" s="117">
        <f>VLOOKUP($D666,'WB Data'!$C$3:$M$578,2,FALSE)</f>
        <v>539579955780.06226</v>
      </c>
      <c r="AX666" s="117">
        <f>VLOOKUP($D666,'WB Data'!$C$3:$M$578,3,FALSE)</f>
        <v>237486894</v>
      </c>
      <c r="AY666" s="847">
        <f t="shared" si="115"/>
        <v>4.6193442404594588E-2</v>
      </c>
      <c r="AZ666" s="117">
        <f>VLOOKUP($D666,'WB Data'!$C$3:$M$578,4,FALSE)/100</f>
        <v>0.15375024136545859</v>
      </c>
      <c r="BA666" s="117">
        <f t="shared" si="116"/>
        <v>82960548437.148041</v>
      </c>
      <c r="BB666" s="129">
        <f>IFERROR(VLOOKUP($D666,'EITI Revenues'!$C$2:$G$224,5,FALSE),"..")</f>
        <v>24925055610</v>
      </c>
      <c r="BC666" s="846">
        <f t="shared" si="117"/>
        <v>0.30044468219594206</v>
      </c>
      <c r="BD666" s="129">
        <f>VLOOKUP($D666,'WB Data 2'!$C$2:$K$545,6,FALSE)</f>
        <v>44975155041.107948</v>
      </c>
      <c r="BE666" s="129">
        <f>IFERROR(VLOOKUP($D666,UNCTAD!$C$5:$V$529,4,FALSE),"..")</f>
        <v>133155500000</v>
      </c>
      <c r="BF666" s="846">
        <f t="shared" si="118"/>
        <v>0.33776415575104257</v>
      </c>
      <c r="BG666" s="117">
        <f>VLOOKUP($D666,'WB Data'!$C$3:$M$578,5,FALSE)</f>
        <v>1046530000</v>
      </c>
      <c r="BH666" s="129">
        <f>IFERROR($BB666/$BG666,"..")</f>
        <v>23.816857242506188</v>
      </c>
      <c r="BI666" s="117">
        <f>IFERROR(VLOOKUP($D666,'WB Data'!$C$3:$M$578,7,FALSE)/100,"..")</f>
        <v>3.5251299999999999E-2</v>
      </c>
      <c r="BJ666" s="117">
        <f>IFERROR($BI666*$AW666,"..")</f>
        <v>19020894895.189709</v>
      </c>
      <c r="BK666" s="846">
        <f>IFERROR($BB666/$BJ666,"..")</f>
        <v>1.3104039398431997</v>
      </c>
      <c r="BL666" s="117">
        <f>IFERROR(VLOOKUP($D666,'WB Data'!$C$3:$M$578,7,FALSE)/100,"..")</f>
        <v>3.5251299999999999E-2</v>
      </c>
      <c r="BM666" s="117">
        <f>IFERROR($AW666*$BL666,"..")</f>
        <v>19020894895.189709</v>
      </c>
      <c r="BN666" s="846">
        <f>IFERROR($BB666/$BM666,"..")</f>
        <v>1.3104039398431997</v>
      </c>
      <c r="BO666" s="801">
        <f t="shared" si="114"/>
        <v>34</v>
      </c>
      <c r="BP666" s="117">
        <f>VLOOKUP($D666,'WB Data'!$C$3:$M$578,9,FALSE)</f>
        <v>14.2</v>
      </c>
      <c r="BQ666" s="117">
        <f>VLOOKUP($D666,'WB Data'!$C$3:$M$578,10,FALSE)</f>
        <v>69.933097560975625</v>
      </c>
      <c r="BR666" s="117">
        <f>VLOOKUP($D666,'WB Data'!$C$3:$M$578,11,FALSE)</f>
        <v>28.6</v>
      </c>
      <c r="BS666" s="129">
        <f>IFERROR(VLOOKUP($D666,'WB Data 2'!$C$2:$K$545,9,FALSE),"..")</f>
        <v>98.035229999999999</v>
      </c>
      <c r="BT666" s="129">
        <f>_xlfn.IFNA(VLOOKUP($C666,RGI!$A$2:$C$43,2,FALSE),"..")</f>
        <v>50</v>
      </c>
      <c r="BU666" s="129">
        <f>_xlfn.IFNA(VLOOKUP($C666,RGI!$A$2:$C$43,3,FALSE),"..")</f>
        <v>65.756132994529537</v>
      </c>
      <c r="BV666" s="129">
        <f>VLOOKUP($D666,WGI!$C$2:$O$478,7,FALSE)</f>
        <v>-3.3692223068848899E-2</v>
      </c>
      <c r="BW666" s="129">
        <f>VLOOKUP($D666,WGI!$C$2:$O$478,4,FALSE)</f>
        <v>-0.75851636602946304</v>
      </c>
      <c r="BX666" s="129">
        <f>VLOOKUP($D666,WGI!$C$2:$O$478,3,FALSE)</f>
        <v>-0.27656821064612203</v>
      </c>
      <c r="BY666" s="129">
        <f>VLOOKUP($D666,WGI!$C$2:$O$478,5,FALSE)</f>
        <v>-0.33309293933209</v>
      </c>
      <c r="BZ666" s="129">
        <f>VLOOKUP($D666,WGI!$C$2:$O$478,2,FALSE)</f>
        <v>-0.81582570120773601</v>
      </c>
      <c r="CB666" s="129"/>
    </row>
    <row r="667" spans="1:80" s="120" customFormat="1" ht="15" customHeight="1">
      <c r="A667" s="280" t="s">
        <v>246</v>
      </c>
      <c r="B667" s="117">
        <v>2010</v>
      </c>
      <c r="C667" s="117" t="s">
        <v>243</v>
      </c>
      <c r="D667" s="117" t="s">
        <v>3632</v>
      </c>
      <c r="E667" s="117" t="s">
        <v>244</v>
      </c>
      <c r="F667" s="117"/>
      <c r="G667" s="117" t="s">
        <v>561</v>
      </c>
      <c r="H667" s="117" t="str">
        <f t="shared" si="110"/>
        <v>no</v>
      </c>
      <c r="I667" s="117" t="str">
        <f t="shared" si="111"/>
        <v>yes</v>
      </c>
      <c r="J667" s="117" t="str">
        <f t="shared" si="112"/>
        <v>no</v>
      </c>
      <c r="K667" s="117" t="s">
        <v>561</v>
      </c>
      <c r="L667" s="117" t="str">
        <f t="shared" si="119"/>
        <v>detailed</v>
      </c>
      <c r="M667" s="117" t="str">
        <f t="shared" si="113"/>
        <v>detailed Gas</v>
      </c>
      <c r="N667" s="118">
        <v>82000000000</v>
      </c>
      <c r="O667" s="118"/>
      <c r="P667" s="118"/>
      <c r="Q667" s="118"/>
      <c r="R667" s="118"/>
      <c r="S667" s="117" t="s">
        <v>642</v>
      </c>
      <c r="T667" s="119">
        <v>0.1741077336927683</v>
      </c>
      <c r="U667" s="117" t="s">
        <v>643</v>
      </c>
      <c r="V667" s="117" t="s">
        <v>738</v>
      </c>
      <c r="W667" s="89">
        <f>N667*T667</f>
        <v>14276834162.807001</v>
      </c>
      <c r="X667" s="117"/>
      <c r="Y667" s="117"/>
      <c r="Z667" s="117"/>
      <c r="AA667" s="177"/>
      <c r="AB667" s="177"/>
      <c r="AC667" s="122"/>
      <c r="AD667" s="122"/>
      <c r="AE667" s="122"/>
      <c r="AF667" s="123"/>
      <c r="AG667" s="117"/>
      <c r="AH667" s="124"/>
      <c r="AI667" s="117"/>
      <c r="AJ667" s="117"/>
      <c r="AK667" s="89"/>
      <c r="AL667" s="117"/>
      <c r="AM667" s="117"/>
      <c r="AN667" s="117"/>
      <c r="AO667" s="117"/>
      <c r="AP667" s="117"/>
      <c r="AQ667" s="117"/>
      <c r="AR667" s="126"/>
      <c r="AS667" s="117"/>
      <c r="AT667" s="117"/>
      <c r="AU667" s="117"/>
      <c r="AV667" s="128"/>
      <c r="AW667" s="117">
        <f>VLOOKUP($D667,'WB Data'!$C$3:$M$578,2,FALSE)</f>
        <v>539579955780.06226</v>
      </c>
      <c r="AX667" s="117">
        <f>VLOOKUP($D667,'WB Data'!$C$3:$M$578,3,FALSE)</f>
        <v>237486894</v>
      </c>
      <c r="AY667" s="847">
        <f t="shared" si="115"/>
        <v>4.6193442404594588E-2</v>
      </c>
      <c r="AZ667" s="117">
        <f>VLOOKUP($D667,'WB Data'!$C$3:$M$578,4,FALSE)/100</f>
        <v>0.15375024136545859</v>
      </c>
      <c r="BA667" s="117">
        <f t="shared" si="116"/>
        <v>82960548437.148041</v>
      </c>
      <c r="BB667" s="129">
        <f>IFERROR(VLOOKUP($D667,'EITI Revenues'!$C$2:$G$224,5,FALSE),"..")</f>
        <v>24925055610</v>
      </c>
      <c r="BC667" s="846">
        <f t="shared" si="117"/>
        <v>0.30044468219594206</v>
      </c>
      <c r="BD667" s="129">
        <f>VLOOKUP($D667,'WB Data 2'!$C$2:$K$545,6,FALSE)</f>
        <v>44975155041.107948</v>
      </c>
      <c r="BE667" s="129">
        <f>IFERROR(VLOOKUP($D667,UNCTAD!$C$5:$V$529,4,FALSE),"..")</f>
        <v>133155500000</v>
      </c>
      <c r="BF667" s="846">
        <f t="shared" si="118"/>
        <v>0.33776415575104257</v>
      </c>
      <c r="BG667" s="117">
        <f>VLOOKUP($D667,'WB Data'!$C$3:$M$578,5,FALSE)</f>
        <v>1046530000</v>
      </c>
      <c r="BH667" s="129">
        <f>IFERROR($BB667/$BG667,"..")</f>
        <v>23.816857242506188</v>
      </c>
      <c r="BI667" s="117">
        <f>IFERROR(VLOOKUP($D667,'WB Data'!$C$3:$M$578,7,FALSE)/100,"..")</f>
        <v>3.5251299999999999E-2</v>
      </c>
      <c r="BJ667" s="117">
        <f>IFERROR($BI667*$AW667,"..")</f>
        <v>19020894895.189709</v>
      </c>
      <c r="BK667" s="846">
        <f>IFERROR($BB667/$BJ667,"..")</f>
        <v>1.3104039398431997</v>
      </c>
      <c r="BL667" s="117">
        <f>IFERROR(VLOOKUP($D667,'WB Data'!$C$3:$M$578,7,FALSE)/100,"..")</f>
        <v>3.5251299999999999E-2</v>
      </c>
      <c r="BM667" s="117">
        <f>IFERROR($AW667*$BL667,"..")</f>
        <v>19020894895.189709</v>
      </c>
      <c r="BN667" s="846">
        <f>IFERROR($BB667/$BM667,"..")</f>
        <v>1.3104039398431997</v>
      </c>
      <c r="BO667" s="801">
        <f t="shared" si="114"/>
        <v>34</v>
      </c>
      <c r="BP667" s="117">
        <f>VLOOKUP($D667,'WB Data'!$C$3:$M$578,9,FALSE)</f>
        <v>14.2</v>
      </c>
      <c r="BQ667" s="117">
        <f>VLOOKUP($D667,'WB Data'!$C$3:$M$578,10,FALSE)</f>
        <v>69.933097560975625</v>
      </c>
      <c r="BR667" s="117">
        <f>VLOOKUP($D667,'WB Data'!$C$3:$M$578,11,FALSE)</f>
        <v>28.6</v>
      </c>
      <c r="BS667" s="129">
        <f>IFERROR(VLOOKUP($D667,'WB Data 2'!$C$2:$K$545,9,FALSE),"..")</f>
        <v>98.035229999999999</v>
      </c>
      <c r="BT667" s="129">
        <f>_xlfn.IFNA(VLOOKUP($C667,RGI!$A$2:$C$43,2,FALSE),"..")</f>
        <v>50</v>
      </c>
      <c r="BU667" s="129">
        <f>_xlfn.IFNA(VLOOKUP($C667,RGI!$A$2:$C$43,3,FALSE),"..")</f>
        <v>65.756132994529537</v>
      </c>
      <c r="BV667" s="129">
        <f>VLOOKUP($D667,WGI!$C$2:$O$478,7,FALSE)</f>
        <v>-3.3692223068848899E-2</v>
      </c>
      <c r="BW667" s="129">
        <f>VLOOKUP($D667,WGI!$C$2:$O$478,4,FALSE)</f>
        <v>-0.75851636602946304</v>
      </c>
      <c r="BX667" s="129">
        <f>VLOOKUP($D667,WGI!$C$2:$O$478,3,FALSE)</f>
        <v>-0.27656821064612203</v>
      </c>
      <c r="BY667" s="129">
        <f>VLOOKUP($D667,WGI!$C$2:$O$478,5,FALSE)</f>
        <v>-0.33309293933209</v>
      </c>
      <c r="BZ667" s="129">
        <f>VLOOKUP($D667,WGI!$C$2:$O$478,2,FALSE)</f>
        <v>-0.81582570120773601</v>
      </c>
      <c r="CB667" s="129"/>
    </row>
    <row r="668" spans="1:80" s="120" customFormat="1" ht="15" customHeight="1">
      <c r="A668" s="280" t="s">
        <v>246</v>
      </c>
      <c r="B668" s="117">
        <v>2010</v>
      </c>
      <c r="C668" s="117" t="s">
        <v>243</v>
      </c>
      <c r="D668" s="117" t="s">
        <v>3632</v>
      </c>
      <c r="E668" s="117" t="s">
        <v>244</v>
      </c>
      <c r="F668" s="117"/>
      <c r="G668" s="117" t="s">
        <v>103</v>
      </c>
      <c r="H668" s="117" t="str">
        <f t="shared" si="110"/>
        <v>no</v>
      </c>
      <c r="I668" s="117" t="str">
        <f t="shared" si="111"/>
        <v>no</v>
      </c>
      <c r="J668" s="117" t="str">
        <f t="shared" si="112"/>
        <v>yes</v>
      </c>
      <c r="K668" s="117" t="s">
        <v>103</v>
      </c>
      <c r="L668" s="117" t="str">
        <f t="shared" si="119"/>
        <v>detailed</v>
      </c>
      <c r="M668" s="117" t="str">
        <f t="shared" si="113"/>
        <v>detailed Oil</v>
      </c>
      <c r="N668" s="118">
        <v>348210000</v>
      </c>
      <c r="O668" s="118"/>
      <c r="P668" s="118">
        <v>348210000</v>
      </c>
      <c r="Q668" s="118"/>
      <c r="R668" s="118"/>
      <c r="S668" s="117" t="s">
        <v>646</v>
      </c>
      <c r="T668" s="119">
        <v>79.7</v>
      </c>
      <c r="U668" s="117" t="s">
        <v>673</v>
      </c>
      <c r="V668" s="117" t="s">
        <v>1345</v>
      </c>
      <c r="W668" s="89">
        <f>N668*T668</f>
        <v>27752337000</v>
      </c>
      <c r="X668" s="117"/>
      <c r="Y668" s="117"/>
      <c r="Z668" s="117"/>
      <c r="AA668" s="117"/>
      <c r="AB668" s="117"/>
      <c r="AC668" s="462"/>
      <c r="AD668" s="462"/>
      <c r="AE668" s="462"/>
      <c r="AF668" s="463"/>
      <c r="AG668" s="117"/>
      <c r="AH668" s="124"/>
      <c r="AI668" s="117"/>
      <c r="AJ668" s="117"/>
      <c r="AK668" s="89"/>
      <c r="AL668" s="117"/>
      <c r="AM668" s="117"/>
      <c r="AN668" s="117"/>
      <c r="AO668" s="117"/>
      <c r="AP668" s="117"/>
      <c r="AQ668" s="117"/>
      <c r="AR668" s="126"/>
      <c r="AS668" s="117"/>
      <c r="AT668" s="117"/>
      <c r="AU668" s="117" t="s">
        <v>1346</v>
      </c>
      <c r="AV668" s="128"/>
      <c r="AW668" s="117">
        <f>VLOOKUP($D668,'WB Data'!$C$3:$M$578,2,FALSE)</f>
        <v>539579955780.06226</v>
      </c>
      <c r="AX668" s="117">
        <f>VLOOKUP($D668,'WB Data'!$C$3:$M$578,3,FALSE)</f>
        <v>237486894</v>
      </c>
      <c r="AY668" s="847">
        <f t="shared" si="115"/>
        <v>4.6193442404594588E-2</v>
      </c>
      <c r="AZ668" s="117">
        <f>VLOOKUP($D668,'WB Data'!$C$3:$M$578,4,FALSE)/100</f>
        <v>0.15375024136545859</v>
      </c>
      <c r="BA668" s="117">
        <f t="shared" si="116"/>
        <v>82960548437.148041</v>
      </c>
      <c r="BB668" s="129">
        <f>IFERROR(VLOOKUP($D668,'EITI Revenues'!$C$2:$G$224,5,FALSE),"..")</f>
        <v>24925055610</v>
      </c>
      <c r="BC668" s="846">
        <f t="shared" si="117"/>
        <v>0.30044468219594206</v>
      </c>
      <c r="BD668" s="129">
        <f>VLOOKUP($D668,'WB Data 2'!$C$2:$K$545,6,FALSE)</f>
        <v>44975155041.107948</v>
      </c>
      <c r="BE668" s="129">
        <f>IFERROR(VLOOKUP($D668,UNCTAD!$C$5:$V$529,4,FALSE),"..")</f>
        <v>133155500000</v>
      </c>
      <c r="BF668" s="846">
        <f t="shared" si="118"/>
        <v>0.33776415575104257</v>
      </c>
      <c r="BG668" s="117">
        <f>VLOOKUP($D668,'WB Data'!$C$3:$M$578,5,FALSE)</f>
        <v>1046530000</v>
      </c>
      <c r="BH668" s="129">
        <f>IFERROR($BB668/$BG668,"..")</f>
        <v>23.816857242506188</v>
      </c>
      <c r="BI668" s="117">
        <f>IFERROR(VLOOKUP($D668,'WB Data'!$C$3:$M$578,7,FALSE)/100,"..")</f>
        <v>3.5251299999999999E-2</v>
      </c>
      <c r="BJ668" s="117">
        <f>IFERROR($BI668*$AW668,"..")</f>
        <v>19020894895.189709</v>
      </c>
      <c r="BK668" s="846">
        <f>IFERROR($BB668/$BJ668,"..")</f>
        <v>1.3104039398431997</v>
      </c>
      <c r="BL668" s="117">
        <f>IFERROR(VLOOKUP($D668,'WB Data'!$C$3:$M$578,7,FALSE)/100,"..")</f>
        <v>3.5251299999999999E-2</v>
      </c>
      <c r="BM668" s="117">
        <f>IFERROR($AW668*$BL668,"..")</f>
        <v>19020894895.189709</v>
      </c>
      <c r="BN668" s="846">
        <f>IFERROR($BB668/$BM668,"..")</f>
        <v>1.3104039398431997</v>
      </c>
      <c r="BO668" s="801">
        <f t="shared" si="114"/>
        <v>34</v>
      </c>
      <c r="BP668" s="117">
        <f>VLOOKUP($D668,'WB Data'!$C$3:$M$578,9,FALSE)</f>
        <v>14.2</v>
      </c>
      <c r="BQ668" s="117">
        <f>VLOOKUP($D668,'WB Data'!$C$3:$M$578,10,FALSE)</f>
        <v>69.933097560975625</v>
      </c>
      <c r="BR668" s="117">
        <f>VLOOKUP($D668,'WB Data'!$C$3:$M$578,11,FALSE)</f>
        <v>28.6</v>
      </c>
      <c r="BS668" s="129">
        <f>IFERROR(VLOOKUP($D668,'WB Data 2'!$C$2:$K$545,9,FALSE),"..")</f>
        <v>98.035229999999999</v>
      </c>
      <c r="BT668" s="129">
        <f>_xlfn.IFNA(VLOOKUP($C668,RGI!$A$2:$C$43,2,FALSE),"..")</f>
        <v>50</v>
      </c>
      <c r="BU668" s="129">
        <f>_xlfn.IFNA(VLOOKUP($C668,RGI!$A$2:$C$43,3,FALSE),"..")</f>
        <v>65.756132994529537</v>
      </c>
      <c r="BV668" s="129">
        <f>VLOOKUP($D668,WGI!$C$2:$O$478,7,FALSE)</f>
        <v>-3.3692223068848899E-2</v>
      </c>
      <c r="BW668" s="129">
        <f>VLOOKUP($D668,WGI!$C$2:$O$478,4,FALSE)</f>
        <v>-0.75851636602946304</v>
      </c>
      <c r="BX668" s="129">
        <f>VLOOKUP($D668,WGI!$C$2:$O$478,3,FALSE)</f>
        <v>-0.27656821064612203</v>
      </c>
      <c r="BY668" s="129">
        <f>VLOOKUP($D668,WGI!$C$2:$O$478,5,FALSE)</f>
        <v>-0.33309293933209</v>
      </c>
      <c r="BZ668" s="129">
        <f>VLOOKUP($D668,WGI!$C$2:$O$478,2,FALSE)</f>
        <v>-0.81582570120773601</v>
      </c>
      <c r="CB668" s="129"/>
    </row>
    <row r="669" spans="1:80" s="120" customFormat="1" ht="15" customHeight="1">
      <c r="A669" s="280" t="s">
        <v>246</v>
      </c>
      <c r="B669" s="117">
        <v>2010</v>
      </c>
      <c r="C669" s="117" t="s">
        <v>243</v>
      </c>
      <c r="D669" s="117" t="s">
        <v>3632</v>
      </c>
      <c r="E669" s="117" t="s">
        <v>244</v>
      </c>
      <c r="F669" s="117"/>
      <c r="G669" s="117" t="s">
        <v>24</v>
      </c>
      <c r="H669" s="117" t="str">
        <f t="shared" si="110"/>
        <v>yes</v>
      </c>
      <c r="I669" s="117" t="str">
        <f t="shared" si="111"/>
        <v>no</v>
      </c>
      <c r="J669" s="117" t="str">
        <f t="shared" si="112"/>
        <v>no</v>
      </c>
      <c r="K669" s="117" t="s">
        <v>600</v>
      </c>
      <c r="L669" s="117" t="str">
        <f t="shared" si="119"/>
        <v>Total</v>
      </c>
      <c r="M669" s="117" t="str">
        <f t="shared" si="113"/>
        <v>Total Mining</v>
      </c>
      <c r="N669" s="118"/>
      <c r="O669" s="118"/>
      <c r="P669" s="118"/>
      <c r="Q669" s="118"/>
      <c r="R669" s="118"/>
      <c r="S669" s="117"/>
      <c r="T669" s="119"/>
      <c r="U669" s="117"/>
      <c r="V669" s="117"/>
      <c r="W669" s="89">
        <f>SUM(W670:W684)</f>
        <v>42193005311.371964</v>
      </c>
      <c r="X669" s="117"/>
      <c r="Y669" s="117"/>
      <c r="Z669" s="117"/>
      <c r="AA669" s="177">
        <v>5790567856</v>
      </c>
      <c r="AB669" s="177">
        <v>5782932915</v>
      </c>
      <c r="AC669" s="122"/>
      <c r="AD669" s="122"/>
      <c r="AE669" s="122"/>
      <c r="AF669" s="123">
        <f>AA669/W669</f>
        <v>0.13723999542737744</v>
      </c>
      <c r="AG669" s="117"/>
      <c r="AH669" s="124"/>
      <c r="AI669" s="117"/>
      <c r="AJ669" s="117"/>
      <c r="AK669" s="89"/>
      <c r="AL669" s="117"/>
      <c r="AM669" s="117"/>
      <c r="AN669" s="117">
        <v>53</v>
      </c>
      <c r="AO669" s="117" t="s">
        <v>1347</v>
      </c>
      <c r="AP669" s="117">
        <v>52</v>
      </c>
      <c r="AQ669" s="117"/>
      <c r="AR669" s="126"/>
      <c r="AS669" s="117"/>
      <c r="AT669" s="117"/>
      <c r="AU669" s="117" t="s">
        <v>1348</v>
      </c>
      <c r="AV669" s="128"/>
      <c r="AW669" s="117">
        <f>VLOOKUP($D669,'WB Data'!$C$3:$M$578,2,FALSE)</f>
        <v>539579955780.06226</v>
      </c>
      <c r="AX669" s="117">
        <f>VLOOKUP($D669,'WB Data'!$C$3:$M$578,3,FALSE)</f>
        <v>237486894</v>
      </c>
      <c r="AY669" s="847">
        <f t="shared" si="115"/>
        <v>4.6193442404594588E-2</v>
      </c>
      <c r="AZ669" s="117">
        <f>VLOOKUP($D669,'WB Data'!$C$3:$M$578,4,FALSE)/100</f>
        <v>0.15375024136545859</v>
      </c>
      <c r="BA669" s="117">
        <f t="shared" si="116"/>
        <v>82960548437.148041</v>
      </c>
      <c r="BB669" s="129">
        <f>IFERROR(VLOOKUP($D669,'EITI Revenues'!$C$2:$G$224,5,FALSE),"..")</f>
        <v>24925055610</v>
      </c>
      <c r="BC669" s="846">
        <f t="shared" si="117"/>
        <v>0.30044468219594206</v>
      </c>
      <c r="BD669" s="129">
        <f>VLOOKUP($D669,'WB Data 2'!$C$2:$K$545,6,FALSE)</f>
        <v>44975155041.107948</v>
      </c>
      <c r="BE669" s="129">
        <f>IFERROR(VLOOKUP($D669,UNCTAD!$C$5:$V$529,4,FALSE),"..")</f>
        <v>133155500000</v>
      </c>
      <c r="BF669" s="846">
        <f t="shared" si="118"/>
        <v>0.33776415575104257</v>
      </c>
      <c r="BG669" s="117">
        <f>VLOOKUP($D669,'WB Data'!$C$3:$M$578,5,FALSE)</f>
        <v>1046530000</v>
      </c>
      <c r="BH669" s="129">
        <f>IFERROR($BB669/$BG669,"..")</f>
        <v>23.816857242506188</v>
      </c>
      <c r="BI669" s="117">
        <f>IFERROR(VLOOKUP($D669,'WB Data'!$C$3:$M$578,7,FALSE)/100,"..")</f>
        <v>3.5251299999999999E-2</v>
      </c>
      <c r="BJ669" s="117">
        <f>IFERROR($BI669*$AW669,"..")</f>
        <v>19020894895.189709</v>
      </c>
      <c r="BK669" s="846">
        <f>IFERROR($BB669/$BJ669,"..")</f>
        <v>1.3104039398431997</v>
      </c>
      <c r="BL669" s="117">
        <f>IFERROR(VLOOKUP($D669,'WB Data'!$C$3:$M$578,7,FALSE)/100,"..")</f>
        <v>3.5251299999999999E-2</v>
      </c>
      <c r="BM669" s="117">
        <f>IFERROR($AW669*$BL669,"..")</f>
        <v>19020894895.189709</v>
      </c>
      <c r="BN669" s="846">
        <f>IFERROR($BB669/$BM669,"..")</f>
        <v>1.3104039398431997</v>
      </c>
      <c r="BO669" s="801">
        <f t="shared" si="114"/>
        <v>34</v>
      </c>
      <c r="BP669" s="117">
        <f>VLOOKUP($D669,'WB Data'!$C$3:$M$578,9,FALSE)</f>
        <v>14.2</v>
      </c>
      <c r="BQ669" s="117">
        <f>VLOOKUP($D669,'WB Data'!$C$3:$M$578,10,FALSE)</f>
        <v>69.933097560975625</v>
      </c>
      <c r="BR669" s="117">
        <f>VLOOKUP($D669,'WB Data'!$C$3:$M$578,11,FALSE)</f>
        <v>28.6</v>
      </c>
      <c r="BS669" s="129">
        <f>IFERROR(VLOOKUP($D669,'WB Data 2'!$C$2:$K$545,9,FALSE),"..")</f>
        <v>98.035229999999999</v>
      </c>
      <c r="BT669" s="129">
        <f>_xlfn.IFNA(VLOOKUP($C669,RGI!$A$2:$C$43,2,FALSE),"..")</f>
        <v>50</v>
      </c>
      <c r="BU669" s="129">
        <f>_xlfn.IFNA(VLOOKUP($C669,RGI!$A$2:$C$43,3,FALSE),"..")</f>
        <v>65.756132994529537</v>
      </c>
      <c r="BV669" s="129">
        <f>VLOOKUP($D669,WGI!$C$2:$O$478,7,FALSE)</f>
        <v>-3.3692223068848899E-2</v>
      </c>
      <c r="BW669" s="129">
        <f>VLOOKUP($D669,WGI!$C$2:$O$478,4,FALSE)</f>
        <v>-0.75851636602946304</v>
      </c>
      <c r="BX669" s="129">
        <f>VLOOKUP($D669,WGI!$C$2:$O$478,3,FALSE)</f>
        <v>-0.27656821064612203</v>
      </c>
      <c r="BY669" s="129">
        <f>VLOOKUP($D669,WGI!$C$2:$O$478,5,FALSE)</f>
        <v>-0.33309293933209</v>
      </c>
      <c r="BZ669" s="129">
        <f>VLOOKUP($D669,WGI!$C$2:$O$478,2,FALSE)</f>
        <v>-0.81582570120773601</v>
      </c>
      <c r="CB669" s="129"/>
    </row>
    <row r="670" spans="1:80" s="120" customFormat="1" ht="15" customHeight="1">
      <c r="A670" s="280" t="s">
        <v>246</v>
      </c>
      <c r="B670" s="117">
        <v>2010</v>
      </c>
      <c r="C670" s="117" t="s">
        <v>243</v>
      </c>
      <c r="D670" s="117" t="s">
        <v>3632</v>
      </c>
      <c r="E670" s="117" t="s">
        <v>244</v>
      </c>
      <c r="F670" s="117"/>
      <c r="G670" s="117" t="s">
        <v>24</v>
      </c>
      <c r="H670" s="117" t="str">
        <f t="shared" si="110"/>
        <v>yes</v>
      </c>
      <c r="I670" s="117" t="str">
        <f t="shared" si="111"/>
        <v>no</v>
      </c>
      <c r="J670" s="117" t="str">
        <f t="shared" si="112"/>
        <v>no</v>
      </c>
      <c r="K670" s="117" t="s">
        <v>1349</v>
      </c>
      <c r="L670" s="117" t="str">
        <f t="shared" si="119"/>
        <v>detailed</v>
      </c>
      <c r="M670" s="117" t="str">
        <f t="shared" si="113"/>
        <v>detailed Mining</v>
      </c>
      <c r="N670" s="118">
        <v>27000000</v>
      </c>
      <c r="O670" s="118"/>
      <c r="P670" s="118"/>
      <c r="Q670" s="118"/>
      <c r="R670" s="118"/>
      <c r="S670" s="118" t="s">
        <v>610</v>
      </c>
      <c r="T670" s="119">
        <v>29.41</v>
      </c>
      <c r="U670" s="117" t="s">
        <v>611</v>
      </c>
      <c r="V670" s="117" t="s">
        <v>1319</v>
      </c>
      <c r="W670" s="89">
        <f>N670*T670</f>
        <v>794070000</v>
      </c>
      <c r="X670" s="117"/>
      <c r="Y670" s="117"/>
      <c r="Z670" s="117"/>
      <c r="AA670" s="177"/>
      <c r="AB670" s="177"/>
      <c r="AC670" s="122"/>
      <c r="AD670" s="122"/>
      <c r="AE670" s="122"/>
      <c r="AF670" s="123"/>
      <c r="AG670" s="117"/>
      <c r="AH670" s="124"/>
      <c r="AI670" s="117"/>
      <c r="AJ670" s="117"/>
      <c r="AK670" s="89"/>
      <c r="AL670" s="117"/>
      <c r="AM670" s="117"/>
      <c r="AN670" s="117">
        <v>2</v>
      </c>
      <c r="AO670" s="117" t="s">
        <v>1320</v>
      </c>
      <c r="AP670" s="117">
        <v>2</v>
      </c>
      <c r="AQ670" s="117"/>
      <c r="AR670" s="126"/>
      <c r="AS670" s="117"/>
      <c r="AT670" s="117"/>
      <c r="AU670" s="117"/>
      <c r="AV670" s="128"/>
      <c r="AW670" s="117">
        <f>VLOOKUP($D670,'WB Data'!$C$3:$M$578,2,FALSE)</f>
        <v>539579955780.06226</v>
      </c>
      <c r="AX670" s="117">
        <f>VLOOKUP($D670,'WB Data'!$C$3:$M$578,3,FALSE)</f>
        <v>237486894</v>
      </c>
      <c r="AY670" s="847">
        <f t="shared" si="115"/>
        <v>4.6193442404594588E-2</v>
      </c>
      <c r="AZ670" s="117">
        <f>VLOOKUP($D670,'WB Data'!$C$3:$M$578,4,FALSE)/100</f>
        <v>0.15375024136545859</v>
      </c>
      <c r="BA670" s="117">
        <f t="shared" si="116"/>
        <v>82960548437.148041</v>
      </c>
      <c r="BB670" s="129">
        <f>IFERROR(VLOOKUP($D670,'EITI Revenues'!$C$2:$G$224,5,FALSE),"..")</f>
        <v>24925055610</v>
      </c>
      <c r="BC670" s="846">
        <f t="shared" si="117"/>
        <v>0.30044468219594206</v>
      </c>
      <c r="BD670" s="129">
        <f>VLOOKUP($D670,'WB Data 2'!$C$2:$K$545,6,FALSE)</f>
        <v>44975155041.107948</v>
      </c>
      <c r="BE670" s="129">
        <f>IFERROR(VLOOKUP($D670,UNCTAD!$C$5:$V$529,4,FALSE),"..")</f>
        <v>133155500000</v>
      </c>
      <c r="BF670" s="846">
        <f t="shared" si="118"/>
        <v>0.33776415575104257</v>
      </c>
      <c r="BG670" s="117">
        <f>VLOOKUP($D670,'WB Data'!$C$3:$M$578,5,FALSE)</f>
        <v>1046530000</v>
      </c>
      <c r="BH670" s="129">
        <f>IFERROR($BB670/$BG670,"..")</f>
        <v>23.816857242506188</v>
      </c>
      <c r="BI670" s="117">
        <f>IFERROR(VLOOKUP($D670,'WB Data'!$C$3:$M$578,7,FALSE)/100,"..")</f>
        <v>3.5251299999999999E-2</v>
      </c>
      <c r="BJ670" s="117">
        <f>IFERROR($BI670*$AW670,"..")</f>
        <v>19020894895.189709</v>
      </c>
      <c r="BK670" s="846">
        <f>IFERROR($BB670/$BJ670,"..")</f>
        <v>1.3104039398431997</v>
      </c>
      <c r="BL670" s="117">
        <f>IFERROR(VLOOKUP($D670,'WB Data'!$C$3:$M$578,7,FALSE)/100,"..")</f>
        <v>3.5251299999999999E-2</v>
      </c>
      <c r="BM670" s="117">
        <f>IFERROR($AW670*$BL670,"..")</f>
        <v>19020894895.189709</v>
      </c>
      <c r="BN670" s="846">
        <f>IFERROR($BB670/$BM670,"..")</f>
        <v>1.3104039398431997</v>
      </c>
      <c r="BO670" s="801">
        <f t="shared" si="114"/>
        <v>34</v>
      </c>
      <c r="BP670" s="117">
        <f>VLOOKUP($D670,'WB Data'!$C$3:$M$578,9,FALSE)</f>
        <v>14.2</v>
      </c>
      <c r="BQ670" s="117">
        <f>VLOOKUP($D670,'WB Data'!$C$3:$M$578,10,FALSE)</f>
        <v>69.933097560975625</v>
      </c>
      <c r="BR670" s="117">
        <f>VLOOKUP($D670,'WB Data'!$C$3:$M$578,11,FALSE)</f>
        <v>28.6</v>
      </c>
      <c r="BS670" s="129">
        <f>IFERROR(VLOOKUP($D670,'WB Data 2'!$C$2:$K$545,9,FALSE),"..")</f>
        <v>98.035229999999999</v>
      </c>
      <c r="BT670" s="129">
        <f>_xlfn.IFNA(VLOOKUP($C670,RGI!$A$2:$C$43,2,FALSE),"..")</f>
        <v>50</v>
      </c>
      <c r="BU670" s="129">
        <f>_xlfn.IFNA(VLOOKUP($C670,RGI!$A$2:$C$43,3,FALSE),"..")</f>
        <v>65.756132994529537</v>
      </c>
      <c r="BV670" s="129">
        <f>VLOOKUP($D670,WGI!$C$2:$O$478,7,FALSE)</f>
        <v>-3.3692223068848899E-2</v>
      </c>
      <c r="BW670" s="129">
        <f>VLOOKUP($D670,WGI!$C$2:$O$478,4,FALSE)</f>
        <v>-0.75851636602946304</v>
      </c>
      <c r="BX670" s="129">
        <f>VLOOKUP($D670,WGI!$C$2:$O$478,3,FALSE)</f>
        <v>-0.27656821064612203</v>
      </c>
      <c r="BY670" s="129">
        <f>VLOOKUP($D670,WGI!$C$2:$O$478,5,FALSE)</f>
        <v>-0.33309293933209</v>
      </c>
      <c r="BZ670" s="129">
        <f>VLOOKUP($D670,WGI!$C$2:$O$478,2,FALSE)</f>
        <v>-0.81582570120773601</v>
      </c>
      <c r="CB670" s="129"/>
    </row>
    <row r="671" spans="1:80" s="120" customFormat="1" ht="15" customHeight="1">
      <c r="A671" s="280" t="s">
        <v>246</v>
      </c>
      <c r="B671" s="117">
        <v>2010</v>
      </c>
      <c r="C671" s="117" t="s">
        <v>243</v>
      </c>
      <c r="D671" s="117" t="s">
        <v>3632</v>
      </c>
      <c r="E671" s="117" t="s">
        <v>244</v>
      </c>
      <c r="F671" s="117"/>
      <c r="G671" s="117" t="s">
        <v>24</v>
      </c>
      <c r="H671" s="117" t="str">
        <f t="shared" si="110"/>
        <v>yes</v>
      </c>
      <c r="I671" s="117" t="str">
        <f t="shared" si="111"/>
        <v>no</v>
      </c>
      <c r="J671" s="117" t="str">
        <f t="shared" si="112"/>
        <v>no</v>
      </c>
      <c r="K671" s="117" t="s">
        <v>616</v>
      </c>
      <c r="L671" s="117" t="str">
        <f t="shared" si="119"/>
        <v>detailed</v>
      </c>
      <c r="M671" s="117" t="str">
        <f t="shared" si="113"/>
        <v>detailed Mining</v>
      </c>
      <c r="N671" s="118">
        <v>275200000</v>
      </c>
      <c r="O671" s="118"/>
      <c r="P671" s="118"/>
      <c r="Q671" s="118"/>
      <c r="R671" s="118"/>
      <c r="S671" s="117" t="s">
        <v>610</v>
      </c>
      <c r="T671" s="119">
        <v>89.852021850427363</v>
      </c>
      <c r="U671" s="117" t="s">
        <v>611</v>
      </c>
      <c r="V671" s="117" t="s">
        <v>1321</v>
      </c>
      <c r="W671" s="89">
        <f>N671*T671</f>
        <v>24727276413.23761</v>
      </c>
      <c r="X671" s="117"/>
      <c r="Y671" s="117"/>
      <c r="Z671" s="117"/>
      <c r="AA671" s="177"/>
      <c r="AB671" s="177"/>
      <c r="AC671" s="122"/>
      <c r="AD671" s="122"/>
      <c r="AE671" s="122"/>
      <c r="AF671" s="123"/>
      <c r="AG671" s="117"/>
      <c r="AH671" s="124"/>
      <c r="AI671" s="117"/>
      <c r="AJ671" s="117"/>
      <c r="AK671" s="89"/>
      <c r="AL671" s="117"/>
      <c r="AM671" s="117"/>
      <c r="AN671" s="117">
        <v>43</v>
      </c>
      <c r="AO671" s="117" t="s">
        <v>1350</v>
      </c>
      <c r="AP671" s="117">
        <v>43</v>
      </c>
      <c r="AQ671" s="117"/>
      <c r="AR671" s="126"/>
      <c r="AS671" s="117"/>
      <c r="AT671" s="117"/>
      <c r="AU671" s="117"/>
      <c r="AV671" s="128"/>
      <c r="AW671" s="117">
        <f>VLOOKUP($D671,'WB Data'!$C$3:$M$578,2,FALSE)</f>
        <v>539579955780.06226</v>
      </c>
      <c r="AX671" s="117">
        <f>VLOOKUP($D671,'WB Data'!$C$3:$M$578,3,FALSE)</f>
        <v>237486894</v>
      </c>
      <c r="AY671" s="847">
        <f t="shared" si="115"/>
        <v>4.6193442404594588E-2</v>
      </c>
      <c r="AZ671" s="117">
        <f>VLOOKUP($D671,'WB Data'!$C$3:$M$578,4,FALSE)/100</f>
        <v>0.15375024136545859</v>
      </c>
      <c r="BA671" s="117">
        <f t="shared" si="116"/>
        <v>82960548437.148041</v>
      </c>
      <c r="BB671" s="129">
        <f>IFERROR(VLOOKUP($D671,'EITI Revenues'!$C$2:$G$224,5,FALSE),"..")</f>
        <v>24925055610</v>
      </c>
      <c r="BC671" s="846">
        <f t="shared" si="117"/>
        <v>0.30044468219594206</v>
      </c>
      <c r="BD671" s="129">
        <f>VLOOKUP($D671,'WB Data 2'!$C$2:$K$545,6,FALSE)</f>
        <v>44975155041.107948</v>
      </c>
      <c r="BE671" s="129">
        <f>IFERROR(VLOOKUP($D671,UNCTAD!$C$5:$V$529,4,FALSE),"..")</f>
        <v>133155500000</v>
      </c>
      <c r="BF671" s="846">
        <f t="shared" si="118"/>
        <v>0.33776415575104257</v>
      </c>
      <c r="BG671" s="117">
        <f>VLOOKUP($D671,'WB Data'!$C$3:$M$578,5,FALSE)</f>
        <v>1046530000</v>
      </c>
      <c r="BH671" s="129">
        <f>IFERROR($BB671/$BG671,"..")</f>
        <v>23.816857242506188</v>
      </c>
      <c r="BI671" s="117">
        <f>IFERROR(VLOOKUP($D671,'WB Data'!$C$3:$M$578,7,FALSE)/100,"..")</f>
        <v>3.5251299999999999E-2</v>
      </c>
      <c r="BJ671" s="117">
        <f>IFERROR($BI671*$AW671,"..")</f>
        <v>19020894895.189709</v>
      </c>
      <c r="BK671" s="846">
        <f>IFERROR($BB671/$BJ671,"..")</f>
        <v>1.3104039398431997</v>
      </c>
      <c r="BL671" s="117">
        <f>IFERROR(VLOOKUP($D671,'WB Data'!$C$3:$M$578,7,FALSE)/100,"..")</f>
        <v>3.5251299999999999E-2</v>
      </c>
      <c r="BM671" s="117">
        <f>IFERROR($AW671*$BL671,"..")</f>
        <v>19020894895.189709</v>
      </c>
      <c r="BN671" s="846">
        <f>IFERROR($BB671/$BM671,"..")</f>
        <v>1.3104039398431997</v>
      </c>
      <c r="BO671" s="801">
        <f t="shared" si="114"/>
        <v>34</v>
      </c>
      <c r="BP671" s="117">
        <f>VLOOKUP($D671,'WB Data'!$C$3:$M$578,9,FALSE)</f>
        <v>14.2</v>
      </c>
      <c r="BQ671" s="117">
        <f>VLOOKUP($D671,'WB Data'!$C$3:$M$578,10,FALSE)</f>
        <v>69.933097560975625</v>
      </c>
      <c r="BR671" s="117">
        <f>VLOOKUP($D671,'WB Data'!$C$3:$M$578,11,FALSE)</f>
        <v>28.6</v>
      </c>
      <c r="BS671" s="129">
        <f>IFERROR(VLOOKUP($D671,'WB Data 2'!$C$2:$K$545,9,FALSE),"..")</f>
        <v>98.035229999999999</v>
      </c>
      <c r="BT671" s="129">
        <f>_xlfn.IFNA(VLOOKUP($C671,RGI!$A$2:$C$43,2,FALSE),"..")</f>
        <v>50</v>
      </c>
      <c r="BU671" s="129">
        <f>_xlfn.IFNA(VLOOKUP($C671,RGI!$A$2:$C$43,3,FALSE),"..")</f>
        <v>65.756132994529537</v>
      </c>
      <c r="BV671" s="129">
        <f>VLOOKUP($D671,WGI!$C$2:$O$478,7,FALSE)</f>
        <v>-3.3692223068848899E-2</v>
      </c>
      <c r="BW671" s="129">
        <f>VLOOKUP($D671,WGI!$C$2:$O$478,4,FALSE)</f>
        <v>-0.75851636602946304</v>
      </c>
      <c r="BX671" s="129">
        <f>VLOOKUP($D671,WGI!$C$2:$O$478,3,FALSE)</f>
        <v>-0.27656821064612203</v>
      </c>
      <c r="BY671" s="129">
        <f>VLOOKUP($D671,WGI!$C$2:$O$478,5,FALSE)</f>
        <v>-0.33309293933209</v>
      </c>
      <c r="BZ671" s="129">
        <f>VLOOKUP($D671,WGI!$C$2:$O$478,2,FALSE)</f>
        <v>-0.81582570120773601</v>
      </c>
      <c r="CB671" s="129"/>
    </row>
    <row r="672" spans="1:80" s="120" customFormat="1" ht="15" customHeight="1">
      <c r="A672" s="280" t="s">
        <v>246</v>
      </c>
      <c r="B672" s="117">
        <v>2010</v>
      </c>
      <c r="C672" s="117" t="s">
        <v>243</v>
      </c>
      <c r="D672" s="117" t="s">
        <v>3632</v>
      </c>
      <c r="E672" s="117" t="s">
        <v>244</v>
      </c>
      <c r="F672" s="117"/>
      <c r="G672" s="117" t="s">
        <v>24</v>
      </c>
      <c r="H672" s="117" t="str">
        <f t="shared" si="110"/>
        <v>yes</v>
      </c>
      <c r="I672" s="117" t="str">
        <f t="shared" si="111"/>
        <v>no</v>
      </c>
      <c r="J672" s="117" t="str">
        <f t="shared" si="112"/>
        <v>no</v>
      </c>
      <c r="K672" s="117" t="s">
        <v>619</v>
      </c>
      <c r="L672" s="117" t="str">
        <f t="shared" si="119"/>
        <v>detailed</v>
      </c>
      <c r="M672" s="117" t="str">
        <f t="shared" si="113"/>
        <v>detailed Mining</v>
      </c>
      <c r="N672" s="118"/>
      <c r="O672" s="118"/>
      <c r="P672" s="118"/>
      <c r="Q672" s="118"/>
      <c r="R672" s="118"/>
      <c r="S672" s="117"/>
      <c r="T672" s="186">
        <v>7534.7795833333303</v>
      </c>
      <c r="U672" s="117" t="s">
        <v>611</v>
      </c>
      <c r="V672" s="117" t="s">
        <v>681</v>
      </c>
      <c r="W672" s="89">
        <f>SUM(N674:N675)*T672</f>
        <v>4181802668.7499981</v>
      </c>
      <c r="X672" s="117"/>
      <c r="Y672" s="117"/>
      <c r="Z672" s="117"/>
      <c r="AA672" s="177"/>
      <c r="AB672" s="177"/>
      <c r="AC672" s="122"/>
      <c r="AD672" s="122"/>
      <c r="AE672" s="122"/>
      <c r="AF672" s="123"/>
      <c r="AG672" s="117"/>
      <c r="AH672" s="124"/>
      <c r="AI672" s="117"/>
      <c r="AJ672" s="117"/>
      <c r="AK672" s="89"/>
      <c r="AL672" s="117"/>
      <c r="AM672" s="117"/>
      <c r="AN672" s="117">
        <v>4</v>
      </c>
      <c r="AO672" s="117" t="s">
        <v>1351</v>
      </c>
      <c r="AP672" s="117">
        <v>4</v>
      </c>
      <c r="AQ672" s="117"/>
      <c r="AR672" s="126"/>
      <c r="AS672" s="117"/>
      <c r="AT672" s="117"/>
      <c r="AU672" s="117"/>
      <c r="AV672" s="128"/>
      <c r="AW672" s="117">
        <f>VLOOKUP($D672,'WB Data'!$C$3:$M$578,2,FALSE)</f>
        <v>539579955780.06226</v>
      </c>
      <c r="AX672" s="117">
        <f>VLOOKUP($D672,'WB Data'!$C$3:$M$578,3,FALSE)</f>
        <v>237486894</v>
      </c>
      <c r="AY672" s="847">
        <f t="shared" si="115"/>
        <v>4.6193442404594588E-2</v>
      </c>
      <c r="AZ672" s="117">
        <f>VLOOKUP($D672,'WB Data'!$C$3:$M$578,4,FALSE)/100</f>
        <v>0.15375024136545859</v>
      </c>
      <c r="BA672" s="117">
        <f t="shared" si="116"/>
        <v>82960548437.148041</v>
      </c>
      <c r="BB672" s="129">
        <f>IFERROR(VLOOKUP($D672,'EITI Revenues'!$C$2:$G$224,5,FALSE),"..")</f>
        <v>24925055610</v>
      </c>
      <c r="BC672" s="846">
        <f t="shared" si="117"/>
        <v>0.30044468219594206</v>
      </c>
      <c r="BD672" s="129">
        <f>VLOOKUP($D672,'WB Data 2'!$C$2:$K$545,6,FALSE)</f>
        <v>44975155041.107948</v>
      </c>
      <c r="BE672" s="129">
        <f>IFERROR(VLOOKUP($D672,UNCTAD!$C$5:$V$529,4,FALSE),"..")</f>
        <v>133155500000</v>
      </c>
      <c r="BF672" s="846">
        <f t="shared" si="118"/>
        <v>0.33776415575104257</v>
      </c>
      <c r="BG672" s="117">
        <f>VLOOKUP($D672,'WB Data'!$C$3:$M$578,5,FALSE)</f>
        <v>1046530000</v>
      </c>
      <c r="BH672" s="129">
        <f>IFERROR($BB672/$BG672,"..")</f>
        <v>23.816857242506188</v>
      </c>
      <c r="BI672" s="117">
        <f>IFERROR(VLOOKUP($D672,'WB Data'!$C$3:$M$578,7,FALSE)/100,"..")</f>
        <v>3.5251299999999999E-2</v>
      </c>
      <c r="BJ672" s="117">
        <f>IFERROR($BI672*$AW672,"..")</f>
        <v>19020894895.189709</v>
      </c>
      <c r="BK672" s="846">
        <f>IFERROR($BB672/$BJ672,"..")</f>
        <v>1.3104039398431997</v>
      </c>
      <c r="BL672" s="117">
        <f>IFERROR(VLOOKUP($D672,'WB Data'!$C$3:$M$578,7,FALSE)/100,"..")</f>
        <v>3.5251299999999999E-2</v>
      </c>
      <c r="BM672" s="117">
        <f>IFERROR($AW672*$BL672,"..")</f>
        <v>19020894895.189709</v>
      </c>
      <c r="BN672" s="846">
        <f>IFERROR($BB672/$BM672,"..")</f>
        <v>1.3104039398431997</v>
      </c>
      <c r="BO672" s="801">
        <f t="shared" si="114"/>
        <v>34</v>
      </c>
      <c r="BP672" s="117">
        <f>VLOOKUP($D672,'WB Data'!$C$3:$M$578,9,FALSE)</f>
        <v>14.2</v>
      </c>
      <c r="BQ672" s="117">
        <f>VLOOKUP($D672,'WB Data'!$C$3:$M$578,10,FALSE)</f>
        <v>69.933097560975625</v>
      </c>
      <c r="BR672" s="117">
        <f>VLOOKUP($D672,'WB Data'!$C$3:$M$578,11,FALSE)</f>
        <v>28.6</v>
      </c>
      <c r="BS672" s="129">
        <f>IFERROR(VLOOKUP($D672,'WB Data 2'!$C$2:$K$545,9,FALSE),"..")</f>
        <v>98.035229999999999</v>
      </c>
      <c r="BT672" s="129">
        <f>_xlfn.IFNA(VLOOKUP($C672,RGI!$A$2:$C$43,2,FALSE),"..")</f>
        <v>50</v>
      </c>
      <c r="BU672" s="129">
        <f>_xlfn.IFNA(VLOOKUP($C672,RGI!$A$2:$C$43,3,FALSE),"..")</f>
        <v>65.756132994529537</v>
      </c>
      <c r="BV672" s="129">
        <f>VLOOKUP($D672,WGI!$C$2:$O$478,7,FALSE)</f>
        <v>-3.3692223068848899E-2</v>
      </c>
      <c r="BW672" s="129">
        <f>VLOOKUP($D672,WGI!$C$2:$O$478,4,FALSE)</f>
        <v>-0.75851636602946304</v>
      </c>
      <c r="BX672" s="129">
        <f>VLOOKUP($D672,WGI!$C$2:$O$478,3,FALSE)</f>
        <v>-0.27656821064612203</v>
      </c>
      <c r="BY672" s="129">
        <f>VLOOKUP($D672,WGI!$C$2:$O$478,5,FALSE)</f>
        <v>-0.33309293933209</v>
      </c>
      <c r="BZ672" s="129">
        <f>VLOOKUP($D672,WGI!$C$2:$O$478,2,FALSE)</f>
        <v>-0.81582570120773601</v>
      </c>
      <c r="CB672" s="129"/>
    </row>
    <row r="673" spans="1:80" s="120" customFormat="1" ht="15" customHeight="1">
      <c r="A673" s="280" t="s">
        <v>246</v>
      </c>
      <c r="B673" s="117">
        <v>2010</v>
      </c>
      <c r="C673" s="117" t="s">
        <v>243</v>
      </c>
      <c r="D673" s="117" t="s">
        <v>3632</v>
      </c>
      <c r="E673" s="117" t="s">
        <v>244</v>
      </c>
      <c r="F673" s="117"/>
      <c r="G673" s="117" t="s">
        <v>24</v>
      </c>
      <c r="H673" s="117" t="str">
        <f t="shared" si="110"/>
        <v>yes</v>
      </c>
      <c r="I673" s="117" t="str">
        <f t="shared" si="111"/>
        <v>no</v>
      </c>
      <c r="J673" s="117" t="str">
        <f t="shared" si="112"/>
        <v>no</v>
      </c>
      <c r="K673" s="117" t="s">
        <v>1324</v>
      </c>
      <c r="L673" s="117" t="str">
        <f t="shared" si="119"/>
        <v>detailed</v>
      </c>
      <c r="M673" s="117" t="str">
        <f t="shared" si="113"/>
        <v>detailed Mining</v>
      </c>
      <c r="N673" s="118">
        <v>878376</v>
      </c>
      <c r="O673" s="118"/>
      <c r="P673" s="118"/>
      <c r="Q673" s="118"/>
      <c r="R673" s="118"/>
      <c r="S673" s="117" t="s">
        <v>610</v>
      </c>
      <c r="T673" s="119"/>
      <c r="U673" s="117"/>
      <c r="V673" s="117" t="s">
        <v>684</v>
      </c>
      <c r="W673" s="89"/>
      <c r="X673" s="117"/>
      <c r="Y673" s="117"/>
      <c r="Z673" s="117"/>
      <c r="AA673" s="177"/>
      <c r="AB673" s="177"/>
      <c r="AC673" s="122"/>
      <c r="AD673" s="122"/>
      <c r="AE673" s="122"/>
      <c r="AF673" s="123"/>
      <c r="AG673" s="117"/>
      <c r="AH673" s="124"/>
      <c r="AI673" s="117"/>
      <c r="AJ673" s="117"/>
      <c r="AK673" s="89"/>
      <c r="AL673" s="117"/>
      <c r="AM673" s="117"/>
      <c r="AN673" s="117"/>
      <c r="AO673" s="117"/>
      <c r="AP673" s="117"/>
      <c r="AQ673" s="117"/>
      <c r="AR673" s="126"/>
      <c r="AS673" s="117"/>
      <c r="AT673" s="117"/>
      <c r="AU673" s="117"/>
      <c r="AV673" s="128"/>
      <c r="AW673" s="117">
        <f>VLOOKUP($D673,'WB Data'!$C$3:$M$578,2,FALSE)</f>
        <v>539579955780.06226</v>
      </c>
      <c r="AX673" s="117">
        <f>VLOOKUP($D673,'WB Data'!$C$3:$M$578,3,FALSE)</f>
        <v>237486894</v>
      </c>
      <c r="AY673" s="847">
        <f t="shared" si="115"/>
        <v>4.6193442404594588E-2</v>
      </c>
      <c r="AZ673" s="117">
        <f>VLOOKUP($D673,'WB Data'!$C$3:$M$578,4,FALSE)/100</f>
        <v>0.15375024136545859</v>
      </c>
      <c r="BA673" s="117">
        <f t="shared" si="116"/>
        <v>82960548437.148041</v>
      </c>
      <c r="BB673" s="129">
        <f>IFERROR(VLOOKUP($D673,'EITI Revenues'!$C$2:$G$224,5,FALSE),"..")</f>
        <v>24925055610</v>
      </c>
      <c r="BC673" s="846">
        <f t="shared" si="117"/>
        <v>0.30044468219594206</v>
      </c>
      <c r="BD673" s="129">
        <f>VLOOKUP($D673,'WB Data 2'!$C$2:$K$545,6,FALSE)</f>
        <v>44975155041.107948</v>
      </c>
      <c r="BE673" s="129">
        <f>IFERROR(VLOOKUP($D673,UNCTAD!$C$5:$V$529,4,FALSE),"..")</f>
        <v>133155500000</v>
      </c>
      <c r="BF673" s="846">
        <f t="shared" si="118"/>
        <v>0.33776415575104257</v>
      </c>
      <c r="BG673" s="117">
        <f>VLOOKUP($D673,'WB Data'!$C$3:$M$578,5,FALSE)</f>
        <v>1046530000</v>
      </c>
      <c r="BH673" s="129">
        <f>IFERROR($BB673/$BG673,"..")</f>
        <v>23.816857242506188</v>
      </c>
      <c r="BI673" s="117">
        <f>IFERROR(VLOOKUP($D673,'WB Data'!$C$3:$M$578,7,FALSE)/100,"..")</f>
        <v>3.5251299999999999E-2</v>
      </c>
      <c r="BJ673" s="117">
        <f>IFERROR($BI673*$AW673,"..")</f>
        <v>19020894895.189709</v>
      </c>
      <c r="BK673" s="846">
        <f>IFERROR($BB673/$BJ673,"..")</f>
        <v>1.3104039398431997</v>
      </c>
      <c r="BL673" s="117">
        <f>IFERROR(VLOOKUP($D673,'WB Data'!$C$3:$M$578,7,FALSE)/100,"..")</f>
        <v>3.5251299999999999E-2</v>
      </c>
      <c r="BM673" s="117">
        <f>IFERROR($AW673*$BL673,"..")</f>
        <v>19020894895.189709</v>
      </c>
      <c r="BN673" s="846">
        <f>IFERROR($BB673/$BM673,"..")</f>
        <v>1.3104039398431997</v>
      </c>
      <c r="BO673" s="801">
        <f t="shared" si="114"/>
        <v>34</v>
      </c>
      <c r="BP673" s="117">
        <f>VLOOKUP($D673,'WB Data'!$C$3:$M$578,9,FALSE)</f>
        <v>14.2</v>
      </c>
      <c r="BQ673" s="117">
        <f>VLOOKUP($D673,'WB Data'!$C$3:$M$578,10,FALSE)</f>
        <v>69.933097560975625</v>
      </c>
      <c r="BR673" s="117">
        <f>VLOOKUP($D673,'WB Data'!$C$3:$M$578,11,FALSE)</f>
        <v>28.6</v>
      </c>
      <c r="BS673" s="129">
        <f>IFERROR(VLOOKUP($D673,'WB Data 2'!$C$2:$K$545,9,FALSE),"..")</f>
        <v>98.035229999999999</v>
      </c>
      <c r="BT673" s="129">
        <f>_xlfn.IFNA(VLOOKUP($C673,RGI!$A$2:$C$43,2,FALSE),"..")</f>
        <v>50</v>
      </c>
      <c r="BU673" s="129">
        <f>_xlfn.IFNA(VLOOKUP($C673,RGI!$A$2:$C$43,3,FALSE),"..")</f>
        <v>65.756132994529537</v>
      </c>
      <c r="BV673" s="129">
        <f>VLOOKUP($D673,WGI!$C$2:$O$478,7,FALSE)</f>
        <v>-3.3692223068848899E-2</v>
      </c>
      <c r="BW673" s="129">
        <f>VLOOKUP($D673,WGI!$C$2:$O$478,4,FALSE)</f>
        <v>-0.75851636602946304</v>
      </c>
      <c r="BX673" s="129">
        <f>VLOOKUP($D673,WGI!$C$2:$O$478,3,FALSE)</f>
        <v>-0.27656821064612203</v>
      </c>
      <c r="BY673" s="129">
        <f>VLOOKUP($D673,WGI!$C$2:$O$478,5,FALSE)</f>
        <v>-0.33309293933209</v>
      </c>
      <c r="BZ673" s="129">
        <f>VLOOKUP($D673,WGI!$C$2:$O$478,2,FALSE)</f>
        <v>-0.81582570120773601</v>
      </c>
      <c r="CB673" s="129"/>
    </row>
    <row r="674" spans="1:80" s="120" customFormat="1" ht="15" customHeight="1">
      <c r="A674" s="280" t="s">
        <v>246</v>
      </c>
      <c r="B674" s="117">
        <v>2010</v>
      </c>
      <c r="C674" s="117" t="s">
        <v>243</v>
      </c>
      <c r="D674" s="117" t="s">
        <v>3632</v>
      </c>
      <c r="E674" s="117" t="s">
        <v>244</v>
      </c>
      <c r="F674" s="117"/>
      <c r="G674" s="117" t="s">
        <v>24</v>
      </c>
      <c r="H674" s="117" t="str">
        <f t="shared" si="110"/>
        <v>yes</v>
      </c>
      <c r="I674" s="117" t="str">
        <f t="shared" si="111"/>
        <v>no</v>
      </c>
      <c r="J674" s="117" t="str">
        <f t="shared" si="112"/>
        <v>no</v>
      </c>
      <c r="K674" s="117" t="s">
        <v>1325</v>
      </c>
      <c r="L674" s="117" t="str">
        <f t="shared" si="119"/>
        <v>detailed</v>
      </c>
      <c r="M674" s="117" t="str">
        <f t="shared" si="113"/>
        <v>detailed Mining</v>
      </c>
      <c r="N674" s="118">
        <v>276800</v>
      </c>
      <c r="O674" s="118"/>
      <c r="P674" s="118"/>
      <c r="Q674" s="118"/>
      <c r="R674" s="118"/>
      <c r="S674" s="117" t="s">
        <v>610</v>
      </c>
      <c r="T674" s="119"/>
      <c r="U674" s="117"/>
      <c r="V674" s="117" t="s">
        <v>684</v>
      </c>
      <c r="W674" s="89"/>
      <c r="X674" s="117"/>
      <c r="Y674" s="117"/>
      <c r="Z674" s="117"/>
      <c r="AA674" s="177"/>
      <c r="AB674" s="177"/>
      <c r="AC674" s="122"/>
      <c r="AD674" s="122"/>
      <c r="AE674" s="122"/>
      <c r="AF674" s="123"/>
      <c r="AG674" s="117"/>
      <c r="AH674" s="124"/>
      <c r="AI674" s="117"/>
      <c r="AJ674" s="117"/>
      <c r="AK674" s="89"/>
      <c r="AL674" s="117"/>
      <c r="AM674" s="117"/>
      <c r="AN674" s="117"/>
      <c r="AO674" s="117"/>
      <c r="AP674" s="117"/>
      <c r="AQ674" s="117"/>
      <c r="AR674" s="126"/>
      <c r="AS674" s="117"/>
      <c r="AT674" s="117"/>
      <c r="AU674" s="117"/>
      <c r="AV674" s="128"/>
      <c r="AW674" s="117">
        <f>VLOOKUP($D674,'WB Data'!$C$3:$M$578,2,FALSE)</f>
        <v>539579955780.06226</v>
      </c>
      <c r="AX674" s="117">
        <f>VLOOKUP($D674,'WB Data'!$C$3:$M$578,3,FALSE)</f>
        <v>237486894</v>
      </c>
      <c r="AY674" s="847">
        <f t="shared" si="115"/>
        <v>4.6193442404594588E-2</v>
      </c>
      <c r="AZ674" s="117">
        <f>VLOOKUP($D674,'WB Data'!$C$3:$M$578,4,FALSE)/100</f>
        <v>0.15375024136545859</v>
      </c>
      <c r="BA674" s="117">
        <f t="shared" si="116"/>
        <v>82960548437.148041</v>
      </c>
      <c r="BB674" s="129">
        <f>IFERROR(VLOOKUP($D674,'EITI Revenues'!$C$2:$G$224,5,FALSE),"..")</f>
        <v>24925055610</v>
      </c>
      <c r="BC674" s="846">
        <f t="shared" si="117"/>
        <v>0.30044468219594206</v>
      </c>
      <c r="BD674" s="129">
        <f>VLOOKUP($D674,'WB Data 2'!$C$2:$K$545,6,FALSE)</f>
        <v>44975155041.107948</v>
      </c>
      <c r="BE674" s="129">
        <f>IFERROR(VLOOKUP($D674,UNCTAD!$C$5:$V$529,4,FALSE),"..")</f>
        <v>133155500000</v>
      </c>
      <c r="BF674" s="846">
        <f t="shared" si="118"/>
        <v>0.33776415575104257</v>
      </c>
      <c r="BG674" s="117">
        <f>VLOOKUP($D674,'WB Data'!$C$3:$M$578,5,FALSE)</f>
        <v>1046530000</v>
      </c>
      <c r="BH674" s="129">
        <f>IFERROR($BB674/$BG674,"..")</f>
        <v>23.816857242506188</v>
      </c>
      <c r="BI674" s="117">
        <f>IFERROR(VLOOKUP($D674,'WB Data'!$C$3:$M$578,7,FALSE)/100,"..")</f>
        <v>3.5251299999999999E-2</v>
      </c>
      <c r="BJ674" s="117">
        <f>IFERROR($BI674*$AW674,"..")</f>
        <v>19020894895.189709</v>
      </c>
      <c r="BK674" s="846">
        <f>IFERROR($BB674/$BJ674,"..")</f>
        <v>1.3104039398431997</v>
      </c>
      <c r="BL674" s="117">
        <f>IFERROR(VLOOKUP($D674,'WB Data'!$C$3:$M$578,7,FALSE)/100,"..")</f>
        <v>3.5251299999999999E-2</v>
      </c>
      <c r="BM674" s="117">
        <f>IFERROR($AW674*$BL674,"..")</f>
        <v>19020894895.189709</v>
      </c>
      <c r="BN674" s="846">
        <f>IFERROR($BB674/$BM674,"..")</f>
        <v>1.3104039398431997</v>
      </c>
      <c r="BO674" s="801">
        <f t="shared" si="114"/>
        <v>34</v>
      </c>
      <c r="BP674" s="117">
        <f>VLOOKUP($D674,'WB Data'!$C$3:$M$578,9,FALSE)</f>
        <v>14.2</v>
      </c>
      <c r="BQ674" s="117">
        <f>VLOOKUP($D674,'WB Data'!$C$3:$M$578,10,FALSE)</f>
        <v>69.933097560975625</v>
      </c>
      <c r="BR674" s="117">
        <f>VLOOKUP($D674,'WB Data'!$C$3:$M$578,11,FALSE)</f>
        <v>28.6</v>
      </c>
      <c r="BS674" s="129">
        <f>IFERROR(VLOOKUP($D674,'WB Data 2'!$C$2:$K$545,9,FALSE),"..")</f>
        <v>98.035229999999999</v>
      </c>
      <c r="BT674" s="129">
        <f>_xlfn.IFNA(VLOOKUP($C674,RGI!$A$2:$C$43,2,FALSE),"..")</f>
        <v>50</v>
      </c>
      <c r="BU674" s="129">
        <f>_xlfn.IFNA(VLOOKUP($C674,RGI!$A$2:$C$43,3,FALSE),"..")</f>
        <v>65.756132994529537</v>
      </c>
      <c r="BV674" s="129">
        <f>VLOOKUP($D674,WGI!$C$2:$O$478,7,FALSE)</f>
        <v>-3.3692223068848899E-2</v>
      </c>
      <c r="BW674" s="129">
        <f>VLOOKUP($D674,WGI!$C$2:$O$478,4,FALSE)</f>
        <v>-0.75851636602946304</v>
      </c>
      <c r="BX674" s="129">
        <f>VLOOKUP($D674,WGI!$C$2:$O$478,3,FALSE)</f>
        <v>-0.27656821064612203</v>
      </c>
      <c r="BY674" s="129">
        <f>VLOOKUP($D674,WGI!$C$2:$O$478,5,FALSE)</f>
        <v>-0.33309293933209</v>
      </c>
      <c r="BZ674" s="129">
        <f>VLOOKUP($D674,WGI!$C$2:$O$478,2,FALSE)</f>
        <v>-0.81582570120773601</v>
      </c>
      <c r="CB674" s="129"/>
    </row>
    <row r="675" spans="1:80" s="120" customFormat="1" ht="15" customHeight="1">
      <c r="A675" s="280" t="s">
        <v>246</v>
      </c>
      <c r="B675" s="117">
        <v>2010</v>
      </c>
      <c r="C675" s="117" t="s">
        <v>243</v>
      </c>
      <c r="D675" s="117" t="s">
        <v>3632</v>
      </c>
      <c r="E675" s="117" t="s">
        <v>244</v>
      </c>
      <c r="F675" s="117"/>
      <c r="G675" s="117" t="s">
        <v>24</v>
      </c>
      <c r="H675" s="117" t="str">
        <f t="shared" si="110"/>
        <v>yes</v>
      </c>
      <c r="I675" s="117" t="str">
        <f t="shared" si="111"/>
        <v>no</v>
      </c>
      <c r="J675" s="117" t="str">
        <f t="shared" si="112"/>
        <v>no</v>
      </c>
      <c r="K675" s="117" t="s">
        <v>1326</v>
      </c>
      <c r="L675" s="117" t="str">
        <f t="shared" si="119"/>
        <v>detailed</v>
      </c>
      <c r="M675" s="117" t="str">
        <f t="shared" si="113"/>
        <v>detailed Mining</v>
      </c>
      <c r="N675" s="118">
        <v>278200</v>
      </c>
      <c r="O675" s="118"/>
      <c r="P675" s="118"/>
      <c r="Q675" s="118"/>
      <c r="R675" s="118"/>
      <c r="S675" s="117" t="s">
        <v>610</v>
      </c>
      <c r="T675" s="119"/>
      <c r="U675" s="117"/>
      <c r="V675" s="117" t="s">
        <v>684</v>
      </c>
      <c r="W675" s="89"/>
      <c r="X675" s="117"/>
      <c r="Y675" s="117"/>
      <c r="Z675" s="117"/>
      <c r="AA675" s="177"/>
      <c r="AB675" s="177"/>
      <c r="AC675" s="122"/>
      <c r="AD675" s="122"/>
      <c r="AE675" s="122"/>
      <c r="AF675" s="123"/>
      <c r="AG675" s="117"/>
      <c r="AH675" s="124"/>
      <c r="AI675" s="117"/>
      <c r="AJ675" s="117"/>
      <c r="AK675" s="89"/>
      <c r="AL675" s="117"/>
      <c r="AM675" s="117"/>
      <c r="AN675" s="117"/>
      <c r="AO675" s="117"/>
      <c r="AP675" s="117"/>
      <c r="AQ675" s="117"/>
      <c r="AR675" s="126"/>
      <c r="AS675" s="117"/>
      <c r="AT675" s="117"/>
      <c r="AU675" s="117"/>
      <c r="AV675" s="128"/>
      <c r="AW675" s="117">
        <f>VLOOKUP($D675,'WB Data'!$C$3:$M$578,2,FALSE)</f>
        <v>539579955780.06226</v>
      </c>
      <c r="AX675" s="117">
        <f>VLOOKUP($D675,'WB Data'!$C$3:$M$578,3,FALSE)</f>
        <v>237486894</v>
      </c>
      <c r="AY675" s="847">
        <f t="shared" si="115"/>
        <v>4.6193442404594588E-2</v>
      </c>
      <c r="AZ675" s="117">
        <f>VLOOKUP($D675,'WB Data'!$C$3:$M$578,4,FALSE)/100</f>
        <v>0.15375024136545859</v>
      </c>
      <c r="BA675" s="117">
        <f t="shared" si="116"/>
        <v>82960548437.148041</v>
      </c>
      <c r="BB675" s="129">
        <f>IFERROR(VLOOKUP($D675,'EITI Revenues'!$C$2:$G$224,5,FALSE),"..")</f>
        <v>24925055610</v>
      </c>
      <c r="BC675" s="846">
        <f t="shared" si="117"/>
        <v>0.30044468219594206</v>
      </c>
      <c r="BD675" s="129">
        <f>VLOOKUP($D675,'WB Data 2'!$C$2:$K$545,6,FALSE)</f>
        <v>44975155041.107948</v>
      </c>
      <c r="BE675" s="129">
        <f>IFERROR(VLOOKUP($D675,UNCTAD!$C$5:$V$529,4,FALSE),"..")</f>
        <v>133155500000</v>
      </c>
      <c r="BF675" s="846">
        <f t="shared" si="118"/>
        <v>0.33776415575104257</v>
      </c>
      <c r="BG675" s="117">
        <f>VLOOKUP($D675,'WB Data'!$C$3:$M$578,5,FALSE)</f>
        <v>1046530000</v>
      </c>
      <c r="BH675" s="129">
        <f>IFERROR($BB675/$BG675,"..")</f>
        <v>23.816857242506188</v>
      </c>
      <c r="BI675" s="117">
        <f>IFERROR(VLOOKUP($D675,'WB Data'!$C$3:$M$578,7,FALSE)/100,"..")</f>
        <v>3.5251299999999999E-2</v>
      </c>
      <c r="BJ675" s="117">
        <f>IFERROR($BI675*$AW675,"..")</f>
        <v>19020894895.189709</v>
      </c>
      <c r="BK675" s="846">
        <f>IFERROR($BB675/$BJ675,"..")</f>
        <v>1.3104039398431997</v>
      </c>
      <c r="BL675" s="117">
        <f>IFERROR(VLOOKUP($D675,'WB Data'!$C$3:$M$578,7,FALSE)/100,"..")</f>
        <v>3.5251299999999999E-2</v>
      </c>
      <c r="BM675" s="117">
        <f>IFERROR($AW675*$BL675,"..")</f>
        <v>19020894895.189709</v>
      </c>
      <c r="BN675" s="846">
        <f>IFERROR($BB675/$BM675,"..")</f>
        <v>1.3104039398431997</v>
      </c>
      <c r="BO675" s="801">
        <f t="shared" si="114"/>
        <v>34</v>
      </c>
      <c r="BP675" s="117">
        <f>VLOOKUP($D675,'WB Data'!$C$3:$M$578,9,FALSE)</f>
        <v>14.2</v>
      </c>
      <c r="BQ675" s="117">
        <f>VLOOKUP($D675,'WB Data'!$C$3:$M$578,10,FALSE)</f>
        <v>69.933097560975625</v>
      </c>
      <c r="BR675" s="117">
        <f>VLOOKUP($D675,'WB Data'!$C$3:$M$578,11,FALSE)</f>
        <v>28.6</v>
      </c>
      <c r="BS675" s="129">
        <f>IFERROR(VLOOKUP($D675,'WB Data 2'!$C$2:$K$545,9,FALSE),"..")</f>
        <v>98.035229999999999</v>
      </c>
      <c r="BT675" s="129">
        <f>_xlfn.IFNA(VLOOKUP($C675,RGI!$A$2:$C$43,2,FALSE),"..")</f>
        <v>50</v>
      </c>
      <c r="BU675" s="129">
        <f>_xlfn.IFNA(VLOOKUP($C675,RGI!$A$2:$C$43,3,FALSE),"..")</f>
        <v>65.756132994529537</v>
      </c>
      <c r="BV675" s="129">
        <f>VLOOKUP($D675,WGI!$C$2:$O$478,7,FALSE)</f>
        <v>-3.3692223068848899E-2</v>
      </c>
      <c r="BW675" s="129">
        <f>VLOOKUP($D675,WGI!$C$2:$O$478,4,FALSE)</f>
        <v>-0.75851636602946304</v>
      </c>
      <c r="BX675" s="129">
        <f>VLOOKUP($D675,WGI!$C$2:$O$478,3,FALSE)</f>
        <v>-0.27656821064612203</v>
      </c>
      <c r="BY675" s="129">
        <f>VLOOKUP($D675,WGI!$C$2:$O$478,5,FALSE)</f>
        <v>-0.33309293933209</v>
      </c>
      <c r="BZ675" s="129">
        <f>VLOOKUP($D675,WGI!$C$2:$O$478,2,FALSE)</f>
        <v>-0.81582570120773601</v>
      </c>
      <c r="CB675" s="129"/>
    </row>
    <row r="676" spans="1:80" s="120" customFormat="1" ht="15" customHeight="1">
      <c r="A676" s="280" t="s">
        <v>246</v>
      </c>
      <c r="B676" s="117">
        <v>2010</v>
      </c>
      <c r="C676" s="117" t="s">
        <v>243</v>
      </c>
      <c r="D676" s="117" t="s">
        <v>3632</v>
      </c>
      <c r="E676" s="117" t="s">
        <v>244</v>
      </c>
      <c r="F676" s="117"/>
      <c r="G676" s="117" t="s">
        <v>24</v>
      </c>
      <c r="H676" s="117" t="str">
        <f t="shared" si="110"/>
        <v>yes</v>
      </c>
      <c r="I676" s="117" t="str">
        <f t="shared" si="111"/>
        <v>no</v>
      </c>
      <c r="J676" s="117" t="str">
        <f t="shared" si="112"/>
        <v>no</v>
      </c>
      <c r="K676" s="117" t="s">
        <v>784</v>
      </c>
      <c r="L676" s="117" t="str">
        <f t="shared" si="119"/>
        <v>detailed</v>
      </c>
      <c r="M676" s="117" t="str">
        <f t="shared" si="113"/>
        <v>detailed Mining</v>
      </c>
      <c r="N676" s="118">
        <f>106316*32.150743126506</f>
        <v>3418138.406237612</v>
      </c>
      <c r="O676" s="118"/>
      <c r="P676" s="118"/>
      <c r="Q676" s="118"/>
      <c r="R676" s="118"/>
      <c r="S676" s="117" t="s">
        <v>785</v>
      </c>
      <c r="T676" s="119">
        <v>1224.66425</v>
      </c>
      <c r="U676" s="117" t="s">
        <v>786</v>
      </c>
      <c r="V676" s="117" t="s">
        <v>787</v>
      </c>
      <c r="W676" s="89">
        <f>N676*T676</f>
        <v>4186071907.6711807</v>
      </c>
      <c r="X676" s="117"/>
      <c r="Y676" s="117"/>
      <c r="Z676" s="117"/>
      <c r="AA676" s="177"/>
      <c r="AB676" s="177"/>
      <c r="AC676" s="122"/>
      <c r="AD676" s="122"/>
      <c r="AE676" s="122"/>
      <c r="AF676" s="123"/>
      <c r="AG676" s="117"/>
      <c r="AH676" s="124"/>
      <c r="AI676" s="117"/>
      <c r="AJ676" s="117"/>
      <c r="AK676" s="89"/>
      <c r="AL676" s="117"/>
      <c r="AM676" s="117"/>
      <c r="AN676" s="117">
        <v>4</v>
      </c>
      <c r="AO676" s="117" t="s">
        <v>1351</v>
      </c>
      <c r="AP676" s="117">
        <v>4</v>
      </c>
      <c r="AQ676" s="117"/>
      <c r="AR676" s="126"/>
      <c r="AS676" s="117"/>
      <c r="AT676" s="117"/>
      <c r="AU676" s="117"/>
      <c r="AV676" s="128"/>
      <c r="AW676" s="117">
        <f>VLOOKUP($D676,'WB Data'!$C$3:$M$578,2,FALSE)</f>
        <v>539579955780.06226</v>
      </c>
      <c r="AX676" s="117">
        <f>VLOOKUP($D676,'WB Data'!$C$3:$M$578,3,FALSE)</f>
        <v>237486894</v>
      </c>
      <c r="AY676" s="847">
        <f t="shared" si="115"/>
        <v>4.6193442404594588E-2</v>
      </c>
      <c r="AZ676" s="117">
        <f>VLOOKUP($D676,'WB Data'!$C$3:$M$578,4,FALSE)/100</f>
        <v>0.15375024136545859</v>
      </c>
      <c r="BA676" s="117">
        <f t="shared" si="116"/>
        <v>82960548437.148041</v>
      </c>
      <c r="BB676" s="129">
        <f>IFERROR(VLOOKUP($D676,'EITI Revenues'!$C$2:$G$224,5,FALSE),"..")</f>
        <v>24925055610</v>
      </c>
      <c r="BC676" s="846">
        <f t="shared" si="117"/>
        <v>0.30044468219594206</v>
      </c>
      <c r="BD676" s="129">
        <f>VLOOKUP($D676,'WB Data 2'!$C$2:$K$545,6,FALSE)</f>
        <v>44975155041.107948</v>
      </c>
      <c r="BE676" s="129">
        <f>IFERROR(VLOOKUP($D676,UNCTAD!$C$5:$V$529,4,FALSE),"..")</f>
        <v>133155500000</v>
      </c>
      <c r="BF676" s="846">
        <f t="shared" si="118"/>
        <v>0.33776415575104257</v>
      </c>
      <c r="BG676" s="117">
        <f>VLOOKUP($D676,'WB Data'!$C$3:$M$578,5,FALSE)</f>
        <v>1046530000</v>
      </c>
      <c r="BH676" s="129">
        <f>IFERROR($BB676/$BG676,"..")</f>
        <v>23.816857242506188</v>
      </c>
      <c r="BI676" s="117">
        <f>IFERROR(VLOOKUP($D676,'WB Data'!$C$3:$M$578,7,FALSE)/100,"..")</f>
        <v>3.5251299999999999E-2</v>
      </c>
      <c r="BJ676" s="117">
        <f>IFERROR($BI676*$AW676,"..")</f>
        <v>19020894895.189709</v>
      </c>
      <c r="BK676" s="846">
        <f>IFERROR($BB676/$BJ676,"..")</f>
        <v>1.3104039398431997</v>
      </c>
      <c r="BL676" s="117">
        <f>IFERROR(VLOOKUP($D676,'WB Data'!$C$3:$M$578,7,FALSE)/100,"..")</f>
        <v>3.5251299999999999E-2</v>
      </c>
      <c r="BM676" s="117">
        <f>IFERROR($AW676*$BL676,"..")</f>
        <v>19020894895.189709</v>
      </c>
      <c r="BN676" s="846">
        <f>IFERROR($BB676/$BM676,"..")</f>
        <v>1.3104039398431997</v>
      </c>
      <c r="BO676" s="801">
        <f t="shared" si="114"/>
        <v>34</v>
      </c>
      <c r="BP676" s="117">
        <f>VLOOKUP($D676,'WB Data'!$C$3:$M$578,9,FALSE)</f>
        <v>14.2</v>
      </c>
      <c r="BQ676" s="117">
        <f>VLOOKUP($D676,'WB Data'!$C$3:$M$578,10,FALSE)</f>
        <v>69.933097560975625</v>
      </c>
      <c r="BR676" s="117">
        <f>VLOOKUP($D676,'WB Data'!$C$3:$M$578,11,FALSE)</f>
        <v>28.6</v>
      </c>
      <c r="BS676" s="129">
        <f>IFERROR(VLOOKUP($D676,'WB Data 2'!$C$2:$K$545,9,FALSE),"..")</f>
        <v>98.035229999999999</v>
      </c>
      <c r="BT676" s="129">
        <f>_xlfn.IFNA(VLOOKUP($C676,RGI!$A$2:$C$43,2,FALSE),"..")</f>
        <v>50</v>
      </c>
      <c r="BU676" s="129">
        <f>_xlfn.IFNA(VLOOKUP($C676,RGI!$A$2:$C$43,3,FALSE),"..")</f>
        <v>65.756132994529537</v>
      </c>
      <c r="BV676" s="129">
        <f>VLOOKUP($D676,WGI!$C$2:$O$478,7,FALSE)</f>
        <v>-3.3692223068848899E-2</v>
      </c>
      <c r="BW676" s="129">
        <f>VLOOKUP($D676,WGI!$C$2:$O$478,4,FALSE)</f>
        <v>-0.75851636602946304</v>
      </c>
      <c r="BX676" s="129">
        <f>VLOOKUP($D676,WGI!$C$2:$O$478,3,FALSE)</f>
        <v>-0.27656821064612203</v>
      </c>
      <c r="BY676" s="129">
        <f>VLOOKUP($D676,WGI!$C$2:$O$478,5,FALSE)</f>
        <v>-0.33309293933209</v>
      </c>
      <c r="BZ676" s="129">
        <f>VLOOKUP($D676,WGI!$C$2:$O$478,2,FALSE)</f>
        <v>-0.81582570120773601</v>
      </c>
      <c r="CB676" s="129"/>
    </row>
    <row r="677" spans="1:80" s="120" customFormat="1" ht="15" customHeight="1">
      <c r="A677" s="280" t="s">
        <v>246</v>
      </c>
      <c r="B677" s="117">
        <v>2010</v>
      </c>
      <c r="C677" s="117" t="s">
        <v>243</v>
      </c>
      <c r="D677" s="117" t="s">
        <v>3632</v>
      </c>
      <c r="E677" s="117" t="s">
        <v>244</v>
      </c>
      <c r="F677" s="117"/>
      <c r="G677" s="117" t="s">
        <v>24</v>
      </c>
      <c r="H677" s="117" t="str">
        <f t="shared" si="110"/>
        <v>yes</v>
      </c>
      <c r="I677" s="117" t="str">
        <f t="shared" si="111"/>
        <v>no</v>
      </c>
      <c r="J677" s="117" t="str">
        <f t="shared" si="112"/>
        <v>no</v>
      </c>
      <c r="K677" s="117" t="s">
        <v>686</v>
      </c>
      <c r="L677" s="117" t="str">
        <f t="shared" si="119"/>
        <v>detailed</v>
      </c>
      <c r="M677" s="117" t="str">
        <f t="shared" si="113"/>
        <v>detailed Mining</v>
      </c>
      <c r="N677" s="118"/>
      <c r="O677" s="118"/>
      <c r="P677" s="118"/>
      <c r="Q677" s="118"/>
      <c r="R677" s="118"/>
      <c r="S677" s="117"/>
      <c r="T677" s="186">
        <v>21808.852416666701</v>
      </c>
      <c r="U677" s="117" t="s">
        <v>611</v>
      </c>
      <c r="V677" s="117" t="s">
        <v>687</v>
      </c>
      <c r="W677" s="89">
        <f>SUM(N678:N680)*T677</f>
        <v>7233429316.4455118</v>
      </c>
      <c r="X677" s="117"/>
      <c r="Y677" s="117"/>
      <c r="Z677" s="117"/>
      <c r="AA677" s="177"/>
      <c r="AB677" s="177"/>
      <c r="AC677" s="122"/>
      <c r="AD677" s="122"/>
      <c r="AE677" s="122"/>
      <c r="AF677" s="123"/>
      <c r="AG677" s="117"/>
      <c r="AH677" s="124"/>
      <c r="AI677" s="117"/>
      <c r="AJ677" s="117"/>
      <c r="AK677" s="89"/>
      <c r="AL677" s="117"/>
      <c r="AM677" s="117"/>
      <c r="AN677" s="117">
        <v>2</v>
      </c>
      <c r="AO677" s="117" t="s">
        <v>1352</v>
      </c>
      <c r="AP677" s="117">
        <v>2</v>
      </c>
      <c r="AQ677" s="117"/>
      <c r="AR677" s="126"/>
      <c r="AS677" s="117"/>
      <c r="AT677" s="117"/>
      <c r="AU677" s="117"/>
      <c r="AV677" s="128"/>
      <c r="AW677" s="117">
        <f>VLOOKUP($D677,'WB Data'!$C$3:$M$578,2,FALSE)</f>
        <v>539579955780.06226</v>
      </c>
      <c r="AX677" s="117">
        <f>VLOOKUP($D677,'WB Data'!$C$3:$M$578,3,FALSE)</f>
        <v>237486894</v>
      </c>
      <c r="AY677" s="847">
        <f t="shared" si="115"/>
        <v>4.6193442404594588E-2</v>
      </c>
      <c r="AZ677" s="117">
        <f>VLOOKUP($D677,'WB Data'!$C$3:$M$578,4,FALSE)/100</f>
        <v>0.15375024136545859</v>
      </c>
      <c r="BA677" s="117">
        <f t="shared" si="116"/>
        <v>82960548437.148041</v>
      </c>
      <c r="BB677" s="129">
        <f>IFERROR(VLOOKUP($D677,'EITI Revenues'!$C$2:$G$224,5,FALSE),"..")</f>
        <v>24925055610</v>
      </c>
      <c r="BC677" s="846">
        <f t="shared" si="117"/>
        <v>0.30044468219594206</v>
      </c>
      <c r="BD677" s="129">
        <f>VLOOKUP($D677,'WB Data 2'!$C$2:$K$545,6,FALSE)</f>
        <v>44975155041.107948</v>
      </c>
      <c r="BE677" s="129">
        <f>IFERROR(VLOOKUP($D677,UNCTAD!$C$5:$V$529,4,FALSE),"..")</f>
        <v>133155500000</v>
      </c>
      <c r="BF677" s="846">
        <f t="shared" si="118"/>
        <v>0.33776415575104257</v>
      </c>
      <c r="BG677" s="117">
        <f>VLOOKUP($D677,'WB Data'!$C$3:$M$578,5,FALSE)</f>
        <v>1046530000</v>
      </c>
      <c r="BH677" s="129">
        <f>IFERROR($BB677/$BG677,"..")</f>
        <v>23.816857242506188</v>
      </c>
      <c r="BI677" s="117">
        <f>IFERROR(VLOOKUP($D677,'WB Data'!$C$3:$M$578,7,FALSE)/100,"..")</f>
        <v>3.5251299999999999E-2</v>
      </c>
      <c r="BJ677" s="117">
        <f>IFERROR($BI677*$AW677,"..")</f>
        <v>19020894895.189709</v>
      </c>
      <c r="BK677" s="846">
        <f>IFERROR($BB677/$BJ677,"..")</f>
        <v>1.3104039398431997</v>
      </c>
      <c r="BL677" s="117">
        <f>IFERROR(VLOOKUP($D677,'WB Data'!$C$3:$M$578,7,FALSE)/100,"..")</f>
        <v>3.5251299999999999E-2</v>
      </c>
      <c r="BM677" s="117">
        <f>IFERROR($AW677*$BL677,"..")</f>
        <v>19020894895.189709</v>
      </c>
      <c r="BN677" s="846">
        <f>IFERROR($BB677/$BM677,"..")</f>
        <v>1.3104039398431997</v>
      </c>
      <c r="BO677" s="801">
        <f t="shared" si="114"/>
        <v>34</v>
      </c>
      <c r="BP677" s="117">
        <f>VLOOKUP($D677,'WB Data'!$C$3:$M$578,9,FALSE)</f>
        <v>14.2</v>
      </c>
      <c r="BQ677" s="117">
        <f>VLOOKUP($D677,'WB Data'!$C$3:$M$578,10,FALSE)</f>
        <v>69.933097560975625</v>
      </c>
      <c r="BR677" s="117">
        <f>VLOOKUP($D677,'WB Data'!$C$3:$M$578,11,FALSE)</f>
        <v>28.6</v>
      </c>
      <c r="BS677" s="129">
        <f>IFERROR(VLOOKUP($D677,'WB Data 2'!$C$2:$K$545,9,FALSE),"..")</f>
        <v>98.035229999999999</v>
      </c>
      <c r="BT677" s="129">
        <f>_xlfn.IFNA(VLOOKUP($C677,RGI!$A$2:$C$43,2,FALSE),"..")</f>
        <v>50</v>
      </c>
      <c r="BU677" s="129">
        <f>_xlfn.IFNA(VLOOKUP($C677,RGI!$A$2:$C$43,3,FALSE),"..")</f>
        <v>65.756132994529537</v>
      </c>
      <c r="BV677" s="129">
        <f>VLOOKUP($D677,WGI!$C$2:$O$478,7,FALSE)</f>
        <v>-3.3692223068848899E-2</v>
      </c>
      <c r="BW677" s="129">
        <f>VLOOKUP($D677,WGI!$C$2:$O$478,4,FALSE)</f>
        <v>-0.75851636602946304</v>
      </c>
      <c r="BX677" s="129">
        <f>VLOOKUP($D677,WGI!$C$2:$O$478,3,FALSE)</f>
        <v>-0.27656821064612203</v>
      </c>
      <c r="BY677" s="129">
        <f>VLOOKUP($D677,WGI!$C$2:$O$478,5,FALSE)</f>
        <v>-0.33309293933209</v>
      </c>
      <c r="BZ677" s="129">
        <f>VLOOKUP($D677,WGI!$C$2:$O$478,2,FALSE)</f>
        <v>-0.81582570120773601</v>
      </c>
      <c r="CB677" s="129"/>
    </row>
    <row r="678" spans="1:80" s="120" customFormat="1" ht="15" customHeight="1">
      <c r="A678" s="280" t="s">
        <v>246</v>
      </c>
      <c r="B678" s="117">
        <v>2010</v>
      </c>
      <c r="C678" s="117" t="s">
        <v>243</v>
      </c>
      <c r="D678" s="117" t="s">
        <v>3632</v>
      </c>
      <c r="E678" s="117" t="s">
        <v>244</v>
      </c>
      <c r="F678" s="117"/>
      <c r="G678" s="117" t="s">
        <v>24</v>
      </c>
      <c r="H678" s="117" t="str">
        <f t="shared" si="110"/>
        <v>yes</v>
      </c>
      <c r="I678" s="117" t="str">
        <f t="shared" si="111"/>
        <v>no</v>
      </c>
      <c r="J678" s="117" t="str">
        <f t="shared" si="112"/>
        <v>no</v>
      </c>
      <c r="K678" s="117" t="s">
        <v>1329</v>
      </c>
      <c r="L678" s="117" t="str">
        <f t="shared" si="119"/>
        <v>detailed</v>
      </c>
      <c r="M678" s="117" t="str">
        <f t="shared" si="113"/>
        <v>detailed Mining</v>
      </c>
      <c r="N678" s="118">
        <v>235800</v>
      </c>
      <c r="O678" s="118"/>
      <c r="P678" s="118"/>
      <c r="Q678" s="118"/>
      <c r="R678" s="118"/>
      <c r="S678" s="117" t="s">
        <v>610</v>
      </c>
      <c r="T678" s="119"/>
      <c r="U678" s="117"/>
      <c r="V678" s="117" t="s">
        <v>684</v>
      </c>
      <c r="W678" s="89"/>
      <c r="X678" s="117"/>
      <c r="Y678" s="117"/>
      <c r="Z678" s="117"/>
      <c r="AA678" s="177"/>
      <c r="AB678" s="177"/>
      <c r="AC678" s="122"/>
      <c r="AD678" s="122"/>
      <c r="AE678" s="122"/>
      <c r="AF678" s="123"/>
      <c r="AG678" s="117"/>
      <c r="AH678" s="124"/>
      <c r="AI678" s="117"/>
      <c r="AJ678" s="117"/>
      <c r="AK678" s="89"/>
      <c r="AL678" s="117"/>
      <c r="AM678" s="117"/>
      <c r="AN678" s="117"/>
      <c r="AO678" s="117"/>
      <c r="AP678" s="117"/>
      <c r="AQ678" s="117"/>
      <c r="AR678" s="126"/>
      <c r="AS678" s="117"/>
      <c r="AT678" s="117"/>
      <c r="AU678" s="117"/>
      <c r="AV678" s="128"/>
      <c r="AW678" s="117">
        <f>VLOOKUP($D678,'WB Data'!$C$3:$M$578,2,FALSE)</f>
        <v>539579955780.06226</v>
      </c>
      <c r="AX678" s="117">
        <f>VLOOKUP($D678,'WB Data'!$C$3:$M$578,3,FALSE)</f>
        <v>237486894</v>
      </c>
      <c r="AY678" s="847">
        <f t="shared" si="115"/>
        <v>4.6193442404594588E-2</v>
      </c>
      <c r="AZ678" s="117">
        <f>VLOOKUP($D678,'WB Data'!$C$3:$M$578,4,FALSE)/100</f>
        <v>0.15375024136545859</v>
      </c>
      <c r="BA678" s="117">
        <f t="shared" si="116"/>
        <v>82960548437.148041</v>
      </c>
      <c r="BB678" s="129">
        <f>IFERROR(VLOOKUP($D678,'EITI Revenues'!$C$2:$G$224,5,FALSE),"..")</f>
        <v>24925055610</v>
      </c>
      <c r="BC678" s="846">
        <f t="shared" si="117"/>
        <v>0.30044468219594206</v>
      </c>
      <c r="BD678" s="129">
        <f>VLOOKUP($D678,'WB Data 2'!$C$2:$K$545,6,FALSE)</f>
        <v>44975155041.107948</v>
      </c>
      <c r="BE678" s="129">
        <f>IFERROR(VLOOKUP($D678,UNCTAD!$C$5:$V$529,4,FALSE),"..")</f>
        <v>133155500000</v>
      </c>
      <c r="BF678" s="846">
        <f t="shared" si="118"/>
        <v>0.33776415575104257</v>
      </c>
      <c r="BG678" s="117">
        <f>VLOOKUP($D678,'WB Data'!$C$3:$M$578,5,FALSE)</f>
        <v>1046530000</v>
      </c>
      <c r="BH678" s="129">
        <f>IFERROR($BB678/$BG678,"..")</f>
        <v>23.816857242506188</v>
      </c>
      <c r="BI678" s="117">
        <f>IFERROR(VLOOKUP($D678,'WB Data'!$C$3:$M$578,7,FALSE)/100,"..")</f>
        <v>3.5251299999999999E-2</v>
      </c>
      <c r="BJ678" s="117">
        <f>IFERROR($BI678*$AW678,"..")</f>
        <v>19020894895.189709</v>
      </c>
      <c r="BK678" s="846">
        <f>IFERROR($BB678/$BJ678,"..")</f>
        <v>1.3104039398431997</v>
      </c>
      <c r="BL678" s="117">
        <f>IFERROR(VLOOKUP($D678,'WB Data'!$C$3:$M$578,7,FALSE)/100,"..")</f>
        <v>3.5251299999999999E-2</v>
      </c>
      <c r="BM678" s="117">
        <f>IFERROR($AW678*$BL678,"..")</f>
        <v>19020894895.189709</v>
      </c>
      <c r="BN678" s="846">
        <f>IFERROR($BB678/$BM678,"..")</f>
        <v>1.3104039398431997</v>
      </c>
      <c r="BO678" s="801">
        <f t="shared" si="114"/>
        <v>34</v>
      </c>
      <c r="BP678" s="117">
        <f>VLOOKUP($D678,'WB Data'!$C$3:$M$578,9,FALSE)</f>
        <v>14.2</v>
      </c>
      <c r="BQ678" s="117">
        <f>VLOOKUP($D678,'WB Data'!$C$3:$M$578,10,FALSE)</f>
        <v>69.933097560975625</v>
      </c>
      <c r="BR678" s="117">
        <f>VLOOKUP($D678,'WB Data'!$C$3:$M$578,11,FALSE)</f>
        <v>28.6</v>
      </c>
      <c r="BS678" s="129">
        <f>IFERROR(VLOOKUP($D678,'WB Data 2'!$C$2:$K$545,9,FALSE),"..")</f>
        <v>98.035229999999999</v>
      </c>
      <c r="BT678" s="129">
        <f>_xlfn.IFNA(VLOOKUP($C678,RGI!$A$2:$C$43,2,FALSE),"..")</f>
        <v>50</v>
      </c>
      <c r="BU678" s="129">
        <f>_xlfn.IFNA(VLOOKUP($C678,RGI!$A$2:$C$43,3,FALSE),"..")</f>
        <v>65.756132994529537</v>
      </c>
      <c r="BV678" s="129">
        <f>VLOOKUP($D678,WGI!$C$2:$O$478,7,FALSE)</f>
        <v>-3.3692223068848899E-2</v>
      </c>
      <c r="BW678" s="129">
        <f>VLOOKUP($D678,WGI!$C$2:$O$478,4,FALSE)</f>
        <v>-0.75851636602946304</v>
      </c>
      <c r="BX678" s="129">
        <f>VLOOKUP($D678,WGI!$C$2:$O$478,3,FALSE)</f>
        <v>-0.27656821064612203</v>
      </c>
      <c r="BY678" s="129">
        <f>VLOOKUP($D678,WGI!$C$2:$O$478,5,FALSE)</f>
        <v>-0.33309293933209</v>
      </c>
      <c r="BZ678" s="129">
        <f>VLOOKUP($D678,WGI!$C$2:$O$478,2,FALSE)</f>
        <v>-0.81582570120773601</v>
      </c>
      <c r="CB678" s="129"/>
    </row>
    <row r="679" spans="1:80" s="120" customFormat="1" ht="15" customHeight="1">
      <c r="A679" s="280" t="s">
        <v>246</v>
      </c>
      <c r="B679" s="117">
        <v>2010</v>
      </c>
      <c r="C679" s="117" t="s">
        <v>243</v>
      </c>
      <c r="D679" s="117" t="s">
        <v>3632</v>
      </c>
      <c r="E679" s="117" t="s">
        <v>244</v>
      </c>
      <c r="F679" s="117"/>
      <c r="G679" s="117" t="s">
        <v>24</v>
      </c>
      <c r="H679" s="117" t="str">
        <f t="shared" si="110"/>
        <v>yes</v>
      </c>
      <c r="I679" s="117" t="str">
        <f t="shared" si="111"/>
        <v>no</v>
      </c>
      <c r="J679" s="117" t="str">
        <f t="shared" si="112"/>
        <v>no</v>
      </c>
      <c r="K679" s="117" t="s">
        <v>1330</v>
      </c>
      <c r="L679" s="117" t="str">
        <f t="shared" si="119"/>
        <v>detailed</v>
      </c>
      <c r="M679" s="117" t="str">
        <f t="shared" si="113"/>
        <v>detailed Mining</v>
      </c>
      <c r="N679" s="118">
        <v>77186</v>
      </c>
      <c r="O679" s="118"/>
      <c r="P679" s="118"/>
      <c r="Q679" s="118"/>
      <c r="R679" s="118"/>
      <c r="S679" s="117" t="s">
        <v>610</v>
      </c>
      <c r="T679" s="119"/>
      <c r="U679" s="117"/>
      <c r="V679" s="117" t="s">
        <v>684</v>
      </c>
      <c r="W679" s="89"/>
      <c r="X679" s="117"/>
      <c r="Y679" s="117"/>
      <c r="Z679" s="117"/>
      <c r="AA679" s="177"/>
      <c r="AB679" s="177"/>
      <c r="AC679" s="122"/>
      <c r="AD679" s="122"/>
      <c r="AE679" s="122"/>
      <c r="AF679" s="123"/>
      <c r="AG679" s="117"/>
      <c r="AH679" s="124"/>
      <c r="AI679" s="117"/>
      <c r="AJ679" s="117"/>
      <c r="AK679" s="89"/>
      <c r="AL679" s="117"/>
      <c r="AM679" s="117"/>
      <c r="AN679" s="117"/>
      <c r="AO679" s="117"/>
      <c r="AP679" s="117"/>
      <c r="AQ679" s="117"/>
      <c r="AR679" s="126"/>
      <c r="AS679" s="117"/>
      <c r="AT679" s="117"/>
      <c r="AU679" s="117"/>
      <c r="AV679" s="128"/>
      <c r="AW679" s="117">
        <f>VLOOKUP($D679,'WB Data'!$C$3:$M$578,2,FALSE)</f>
        <v>539579955780.06226</v>
      </c>
      <c r="AX679" s="117">
        <f>VLOOKUP($D679,'WB Data'!$C$3:$M$578,3,FALSE)</f>
        <v>237486894</v>
      </c>
      <c r="AY679" s="847">
        <f t="shared" si="115"/>
        <v>4.6193442404594588E-2</v>
      </c>
      <c r="AZ679" s="117">
        <f>VLOOKUP($D679,'WB Data'!$C$3:$M$578,4,FALSE)/100</f>
        <v>0.15375024136545859</v>
      </c>
      <c r="BA679" s="117">
        <f t="shared" si="116"/>
        <v>82960548437.148041</v>
      </c>
      <c r="BB679" s="129">
        <f>IFERROR(VLOOKUP($D679,'EITI Revenues'!$C$2:$G$224,5,FALSE),"..")</f>
        <v>24925055610</v>
      </c>
      <c r="BC679" s="846">
        <f t="shared" si="117"/>
        <v>0.30044468219594206</v>
      </c>
      <c r="BD679" s="129">
        <f>VLOOKUP($D679,'WB Data 2'!$C$2:$K$545,6,FALSE)</f>
        <v>44975155041.107948</v>
      </c>
      <c r="BE679" s="129">
        <f>IFERROR(VLOOKUP($D679,UNCTAD!$C$5:$V$529,4,FALSE),"..")</f>
        <v>133155500000</v>
      </c>
      <c r="BF679" s="846">
        <f t="shared" si="118"/>
        <v>0.33776415575104257</v>
      </c>
      <c r="BG679" s="117">
        <f>VLOOKUP($D679,'WB Data'!$C$3:$M$578,5,FALSE)</f>
        <v>1046530000</v>
      </c>
      <c r="BH679" s="129">
        <f>IFERROR($BB679/$BG679,"..")</f>
        <v>23.816857242506188</v>
      </c>
      <c r="BI679" s="117">
        <f>IFERROR(VLOOKUP($D679,'WB Data'!$C$3:$M$578,7,FALSE)/100,"..")</f>
        <v>3.5251299999999999E-2</v>
      </c>
      <c r="BJ679" s="117">
        <f>IFERROR($BI679*$AW679,"..")</f>
        <v>19020894895.189709</v>
      </c>
      <c r="BK679" s="846">
        <f>IFERROR($BB679/$BJ679,"..")</f>
        <v>1.3104039398431997</v>
      </c>
      <c r="BL679" s="117">
        <f>IFERROR(VLOOKUP($D679,'WB Data'!$C$3:$M$578,7,FALSE)/100,"..")</f>
        <v>3.5251299999999999E-2</v>
      </c>
      <c r="BM679" s="117">
        <f>IFERROR($AW679*$BL679,"..")</f>
        <v>19020894895.189709</v>
      </c>
      <c r="BN679" s="846">
        <f>IFERROR($BB679/$BM679,"..")</f>
        <v>1.3104039398431997</v>
      </c>
      <c r="BO679" s="801">
        <f t="shared" si="114"/>
        <v>34</v>
      </c>
      <c r="BP679" s="117">
        <f>VLOOKUP($D679,'WB Data'!$C$3:$M$578,9,FALSE)</f>
        <v>14.2</v>
      </c>
      <c r="BQ679" s="117">
        <f>VLOOKUP($D679,'WB Data'!$C$3:$M$578,10,FALSE)</f>
        <v>69.933097560975625</v>
      </c>
      <c r="BR679" s="117">
        <f>VLOOKUP($D679,'WB Data'!$C$3:$M$578,11,FALSE)</f>
        <v>28.6</v>
      </c>
      <c r="BS679" s="129">
        <f>IFERROR(VLOOKUP($D679,'WB Data 2'!$C$2:$K$545,9,FALSE),"..")</f>
        <v>98.035229999999999</v>
      </c>
      <c r="BT679" s="129">
        <f>_xlfn.IFNA(VLOOKUP($C679,RGI!$A$2:$C$43,2,FALSE),"..")</f>
        <v>50</v>
      </c>
      <c r="BU679" s="129">
        <f>_xlfn.IFNA(VLOOKUP($C679,RGI!$A$2:$C$43,3,FALSE),"..")</f>
        <v>65.756132994529537</v>
      </c>
      <c r="BV679" s="129">
        <f>VLOOKUP($D679,WGI!$C$2:$O$478,7,FALSE)</f>
        <v>-3.3692223068848899E-2</v>
      </c>
      <c r="BW679" s="129">
        <f>VLOOKUP($D679,WGI!$C$2:$O$478,4,FALSE)</f>
        <v>-0.75851636602946304</v>
      </c>
      <c r="BX679" s="129">
        <f>VLOOKUP($D679,WGI!$C$2:$O$478,3,FALSE)</f>
        <v>-0.27656821064612203</v>
      </c>
      <c r="BY679" s="129">
        <f>VLOOKUP($D679,WGI!$C$2:$O$478,5,FALSE)</f>
        <v>-0.33309293933209</v>
      </c>
      <c r="BZ679" s="129">
        <f>VLOOKUP($D679,WGI!$C$2:$O$478,2,FALSE)</f>
        <v>-0.81582570120773601</v>
      </c>
      <c r="CB679" s="129"/>
    </row>
    <row r="680" spans="1:80" s="120" customFormat="1" ht="15" customHeight="1">
      <c r="A680" s="280" t="s">
        <v>246</v>
      </c>
      <c r="B680" s="117">
        <v>2010</v>
      </c>
      <c r="C680" s="117" t="s">
        <v>243</v>
      </c>
      <c r="D680" s="117" t="s">
        <v>3632</v>
      </c>
      <c r="E680" s="117" t="s">
        <v>244</v>
      </c>
      <c r="F680" s="117"/>
      <c r="G680" s="117" t="s">
        <v>24</v>
      </c>
      <c r="H680" s="117" t="str">
        <f t="shared" si="110"/>
        <v>yes</v>
      </c>
      <c r="I680" s="117" t="str">
        <f t="shared" si="111"/>
        <v>no</v>
      </c>
      <c r="J680" s="117" t="str">
        <f t="shared" si="112"/>
        <v>no</v>
      </c>
      <c r="K680" s="117" t="s">
        <v>1331</v>
      </c>
      <c r="L680" s="117" t="str">
        <f t="shared" si="119"/>
        <v>detailed</v>
      </c>
      <c r="M680" s="117" t="str">
        <f t="shared" si="113"/>
        <v>detailed Mining</v>
      </c>
      <c r="N680" s="118">
        <v>18688</v>
      </c>
      <c r="O680" s="118"/>
      <c r="P680" s="118"/>
      <c r="Q680" s="118"/>
      <c r="R680" s="118"/>
      <c r="S680" s="117" t="s">
        <v>610</v>
      </c>
      <c r="T680" s="119"/>
      <c r="U680" s="117"/>
      <c r="V680" s="117" t="s">
        <v>684</v>
      </c>
      <c r="W680" s="89"/>
      <c r="X680" s="117"/>
      <c r="Y680" s="117"/>
      <c r="Z680" s="117"/>
      <c r="AA680" s="177"/>
      <c r="AB680" s="177"/>
      <c r="AC680" s="122"/>
      <c r="AD680" s="122"/>
      <c r="AE680" s="122"/>
      <c r="AF680" s="123"/>
      <c r="AG680" s="117"/>
      <c r="AH680" s="124"/>
      <c r="AI680" s="117"/>
      <c r="AJ680" s="117"/>
      <c r="AK680" s="89"/>
      <c r="AL680" s="117"/>
      <c r="AM680" s="117"/>
      <c r="AN680" s="117"/>
      <c r="AO680" s="117"/>
      <c r="AP680" s="117"/>
      <c r="AQ680" s="117"/>
      <c r="AR680" s="126"/>
      <c r="AS680" s="117"/>
      <c r="AT680" s="117"/>
      <c r="AU680" s="117"/>
      <c r="AV680" s="128"/>
      <c r="AW680" s="117">
        <f>VLOOKUP($D680,'WB Data'!$C$3:$M$578,2,FALSE)</f>
        <v>539579955780.06226</v>
      </c>
      <c r="AX680" s="117">
        <f>VLOOKUP($D680,'WB Data'!$C$3:$M$578,3,FALSE)</f>
        <v>237486894</v>
      </c>
      <c r="AY680" s="847">
        <f t="shared" si="115"/>
        <v>4.6193442404594588E-2</v>
      </c>
      <c r="AZ680" s="117">
        <f>VLOOKUP($D680,'WB Data'!$C$3:$M$578,4,FALSE)/100</f>
        <v>0.15375024136545859</v>
      </c>
      <c r="BA680" s="117">
        <f t="shared" si="116"/>
        <v>82960548437.148041</v>
      </c>
      <c r="BB680" s="129">
        <f>IFERROR(VLOOKUP($D680,'EITI Revenues'!$C$2:$G$224,5,FALSE),"..")</f>
        <v>24925055610</v>
      </c>
      <c r="BC680" s="846">
        <f t="shared" si="117"/>
        <v>0.30044468219594206</v>
      </c>
      <c r="BD680" s="129">
        <f>VLOOKUP($D680,'WB Data 2'!$C$2:$K$545,6,FALSE)</f>
        <v>44975155041.107948</v>
      </c>
      <c r="BE680" s="129">
        <f>IFERROR(VLOOKUP($D680,UNCTAD!$C$5:$V$529,4,FALSE),"..")</f>
        <v>133155500000</v>
      </c>
      <c r="BF680" s="846">
        <f t="shared" si="118"/>
        <v>0.33776415575104257</v>
      </c>
      <c r="BG680" s="117">
        <f>VLOOKUP($D680,'WB Data'!$C$3:$M$578,5,FALSE)</f>
        <v>1046530000</v>
      </c>
      <c r="BH680" s="129">
        <f>IFERROR($BB680/$BG680,"..")</f>
        <v>23.816857242506188</v>
      </c>
      <c r="BI680" s="117">
        <f>IFERROR(VLOOKUP($D680,'WB Data'!$C$3:$M$578,7,FALSE)/100,"..")</f>
        <v>3.5251299999999999E-2</v>
      </c>
      <c r="BJ680" s="117">
        <f>IFERROR($BI680*$AW680,"..")</f>
        <v>19020894895.189709</v>
      </c>
      <c r="BK680" s="846">
        <f>IFERROR($BB680/$BJ680,"..")</f>
        <v>1.3104039398431997</v>
      </c>
      <c r="BL680" s="117">
        <f>IFERROR(VLOOKUP($D680,'WB Data'!$C$3:$M$578,7,FALSE)/100,"..")</f>
        <v>3.5251299999999999E-2</v>
      </c>
      <c r="BM680" s="117">
        <f>IFERROR($AW680*$BL680,"..")</f>
        <v>19020894895.189709</v>
      </c>
      <c r="BN680" s="846">
        <f>IFERROR($BB680/$BM680,"..")</f>
        <v>1.3104039398431997</v>
      </c>
      <c r="BO680" s="801">
        <f t="shared" si="114"/>
        <v>34</v>
      </c>
      <c r="BP680" s="117">
        <f>VLOOKUP($D680,'WB Data'!$C$3:$M$578,9,FALSE)</f>
        <v>14.2</v>
      </c>
      <c r="BQ680" s="117">
        <f>VLOOKUP($D680,'WB Data'!$C$3:$M$578,10,FALSE)</f>
        <v>69.933097560975625</v>
      </c>
      <c r="BR680" s="117">
        <f>VLOOKUP($D680,'WB Data'!$C$3:$M$578,11,FALSE)</f>
        <v>28.6</v>
      </c>
      <c r="BS680" s="129">
        <f>IFERROR(VLOOKUP($D680,'WB Data 2'!$C$2:$K$545,9,FALSE),"..")</f>
        <v>98.035229999999999</v>
      </c>
      <c r="BT680" s="129">
        <f>_xlfn.IFNA(VLOOKUP($C680,RGI!$A$2:$C$43,2,FALSE),"..")</f>
        <v>50</v>
      </c>
      <c r="BU680" s="129">
        <f>_xlfn.IFNA(VLOOKUP($C680,RGI!$A$2:$C$43,3,FALSE),"..")</f>
        <v>65.756132994529537</v>
      </c>
      <c r="BV680" s="129">
        <f>VLOOKUP($D680,WGI!$C$2:$O$478,7,FALSE)</f>
        <v>-3.3692223068848899E-2</v>
      </c>
      <c r="BW680" s="129">
        <f>VLOOKUP($D680,WGI!$C$2:$O$478,4,FALSE)</f>
        <v>-0.75851636602946304</v>
      </c>
      <c r="BX680" s="129">
        <f>VLOOKUP($D680,WGI!$C$2:$O$478,3,FALSE)</f>
        <v>-0.27656821064612203</v>
      </c>
      <c r="BY680" s="129">
        <f>VLOOKUP($D680,WGI!$C$2:$O$478,5,FALSE)</f>
        <v>-0.33309293933209</v>
      </c>
      <c r="BZ680" s="129">
        <f>VLOOKUP($D680,WGI!$C$2:$O$478,2,FALSE)</f>
        <v>-0.81582570120773601</v>
      </c>
      <c r="CB680" s="129"/>
    </row>
    <row r="681" spans="1:80" s="120" customFormat="1" ht="15" customHeight="1">
      <c r="A681" s="280" t="s">
        <v>246</v>
      </c>
      <c r="B681" s="117">
        <v>2010</v>
      </c>
      <c r="C681" s="117" t="s">
        <v>243</v>
      </c>
      <c r="D681" s="117" t="s">
        <v>3632</v>
      </c>
      <c r="E681" s="117" t="s">
        <v>244</v>
      </c>
      <c r="F681" s="117"/>
      <c r="G681" s="117" t="s">
        <v>24</v>
      </c>
      <c r="H681" s="117" t="str">
        <f t="shared" si="110"/>
        <v>yes</v>
      </c>
      <c r="I681" s="117" t="str">
        <f t="shared" si="111"/>
        <v>no</v>
      </c>
      <c r="J681" s="117" t="str">
        <f t="shared" si="112"/>
        <v>no</v>
      </c>
      <c r="K681" s="117" t="s">
        <v>789</v>
      </c>
      <c r="L681" s="117" t="str">
        <f t="shared" si="119"/>
        <v>detailed</v>
      </c>
      <c r="M681" s="117" t="str">
        <f t="shared" si="113"/>
        <v>detailed Mining</v>
      </c>
      <c r="N681" s="118">
        <f>271534*32.150743126506</f>
        <v>8730019.8841126803</v>
      </c>
      <c r="O681" s="118"/>
      <c r="P681" s="118"/>
      <c r="Q681" s="118"/>
      <c r="R681" s="118"/>
      <c r="S681" s="117" t="s">
        <v>785</v>
      </c>
      <c r="T681" s="119">
        <f>20.15295833333/1</f>
        <v>20.152958333330002</v>
      </c>
      <c r="U681" s="117" t="s">
        <v>786</v>
      </c>
      <c r="V681" s="117" t="s">
        <v>798</v>
      </c>
      <c r="W681" s="89">
        <f>N681*T681</f>
        <v>175935726.97366527</v>
      </c>
      <c r="X681" s="117"/>
      <c r="Y681" s="117"/>
      <c r="Z681" s="117"/>
      <c r="AA681" s="177"/>
      <c r="AB681" s="177"/>
      <c r="AC681" s="122"/>
      <c r="AD681" s="122"/>
      <c r="AE681" s="122"/>
      <c r="AF681" s="123"/>
      <c r="AG681" s="117"/>
      <c r="AH681" s="124"/>
      <c r="AI681" s="117"/>
      <c r="AJ681" s="117"/>
      <c r="AK681" s="89"/>
      <c r="AL681" s="117"/>
      <c r="AM681" s="117"/>
      <c r="AN681" s="117"/>
      <c r="AO681" s="117"/>
      <c r="AP681" s="117"/>
      <c r="AQ681" s="117"/>
      <c r="AR681" s="126"/>
      <c r="AS681" s="117"/>
      <c r="AT681" s="117"/>
      <c r="AU681" s="117"/>
      <c r="AV681" s="128"/>
      <c r="AW681" s="117">
        <f>VLOOKUP($D681,'WB Data'!$C$3:$M$578,2,FALSE)</f>
        <v>539579955780.06226</v>
      </c>
      <c r="AX681" s="117">
        <f>VLOOKUP($D681,'WB Data'!$C$3:$M$578,3,FALSE)</f>
        <v>237486894</v>
      </c>
      <c r="AY681" s="847">
        <f t="shared" si="115"/>
        <v>4.6193442404594588E-2</v>
      </c>
      <c r="AZ681" s="117">
        <f>VLOOKUP($D681,'WB Data'!$C$3:$M$578,4,FALSE)/100</f>
        <v>0.15375024136545859</v>
      </c>
      <c r="BA681" s="117">
        <f t="shared" si="116"/>
        <v>82960548437.148041</v>
      </c>
      <c r="BB681" s="129">
        <f>IFERROR(VLOOKUP($D681,'EITI Revenues'!$C$2:$G$224,5,FALSE),"..")</f>
        <v>24925055610</v>
      </c>
      <c r="BC681" s="846">
        <f t="shared" si="117"/>
        <v>0.30044468219594206</v>
      </c>
      <c r="BD681" s="129">
        <f>VLOOKUP($D681,'WB Data 2'!$C$2:$K$545,6,FALSE)</f>
        <v>44975155041.107948</v>
      </c>
      <c r="BE681" s="129">
        <f>IFERROR(VLOOKUP($D681,UNCTAD!$C$5:$V$529,4,FALSE),"..")</f>
        <v>133155500000</v>
      </c>
      <c r="BF681" s="846">
        <f t="shared" si="118"/>
        <v>0.33776415575104257</v>
      </c>
      <c r="BG681" s="117">
        <f>VLOOKUP($D681,'WB Data'!$C$3:$M$578,5,FALSE)</f>
        <v>1046530000</v>
      </c>
      <c r="BH681" s="129">
        <f>IFERROR($BB681/$BG681,"..")</f>
        <v>23.816857242506188</v>
      </c>
      <c r="BI681" s="117">
        <f>IFERROR(VLOOKUP($D681,'WB Data'!$C$3:$M$578,7,FALSE)/100,"..")</f>
        <v>3.5251299999999999E-2</v>
      </c>
      <c r="BJ681" s="117">
        <f>IFERROR($BI681*$AW681,"..")</f>
        <v>19020894895.189709</v>
      </c>
      <c r="BK681" s="846">
        <f>IFERROR($BB681/$BJ681,"..")</f>
        <v>1.3104039398431997</v>
      </c>
      <c r="BL681" s="117">
        <f>IFERROR(VLOOKUP($D681,'WB Data'!$C$3:$M$578,7,FALSE)/100,"..")</f>
        <v>3.5251299999999999E-2</v>
      </c>
      <c r="BM681" s="117">
        <f>IFERROR($AW681*$BL681,"..")</f>
        <v>19020894895.189709</v>
      </c>
      <c r="BN681" s="846">
        <f>IFERROR($BB681/$BM681,"..")</f>
        <v>1.3104039398431997</v>
      </c>
      <c r="BO681" s="801">
        <f t="shared" si="114"/>
        <v>34</v>
      </c>
      <c r="BP681" s="117">
        <f>VLOOKUP($D681,'WB Data'!$C$3:$M$578,9,FALSE)</f>
        <v>14.2</v>
      </c>
      <c r="BQ681" s="117">
        <f>VLOOKUP($D681,'WB Data'!$C$3:$M$578,10,FALSE)</f>
        <v>69.933097560975625</v>
      </c>
      <c r="BR681" s="117">
        <f>VLOOKUP($D681,'WB Data'!$C$3:$M$578,11,FALSE)</f>
        <v>28.6</v>
      </c>
      <c r="BS681" s="129">
        <f>IFERROR(VLOOKUP($D681,'WB Data 2'!$C$2:$K$545,9,FALSE),"..")</f>
        <v>98.035229999999999</v>
      </c>
      <c r="BT681" s="129">
        <f>_xlfn.IFNA(VLOOKUP($C681,RGI!$A$2:$C$43,2,FALSE),"..")</f>
        <v>50</v>
      </c>
      <c r="BU681" s="129">
        <f>_xlfn.IFNA(VLOOKUP($C681,RGI!$A$2:$C$43,3,FALSE),"..")</f>
        <v>65.756132994529537</v>
      </c>
      <c r="BV681" s="129">
        <f>VLOOKUP($D681,WGI!$C$2:$O$478,7,FALSE)</f>
        <v>-3.3692223068848899E-2</v>
      </c>
      <c r="BW681" s="129">
        <f>VLOOKUP($D681,WGI!$C$2:$O$478,4,FALSE)</f>
        <v>-0.75851636602946304</v>
      </c>
      <c r="BX681" s="129">
        <f>VLOOKUP($D681,WGI!$C$2:$O$478,3,FALSE)</f>
        <v>-0.27656821064612203</v>
      </c>
      <c r="BY681" s="129">
        <f>VLOOKUP($D681,WGI!$C$2:$O$478,5,FALSE)</f>
        <v>-0.33309293933209</v>
      </c>
      <c r="BZ681" s="129">
        <f>VLOOKUP($D681,WGI!$C$2:$O$478,2,FALSE)</f>
        <v>-0.81582570120773601</v>
      </c>
      <c r="CB681" s="129"/>
    </row>
    <row r="682" spans="1:80" s="120" customFormat="1" ht="15" customHeight="1">
      <c r="A682" s="280" t="s">
        <v>246</v>
      </c>
      <c r="B682" s="117">
        <v>2010</v>
      </c>
      <c r="C682" s="117" t="s">
        <v>243</v>
      </c>
      <c r="D682" s="117" t="s">
        <v>3632</v>
      </c>
      <c r="E682" s="117" t="s">
        <v>244</v>
      </c>
      <c r="F682" s="117"/>
      <c r="G682" s="117" t="s">
        <v>24</v>
      </c>
      <c r="H682" s="117" t="str">
        <f t="shared" si="110"/>
        <v>yes</v>
      </c>
      <c r="I682" s="117" t="str">
        <f t="shared" si="111"/>
        <v>no</v>
      </c>
      <c r="J682" s="117" t="str">
        <f t="shared" si="112"/>
        <v>no</v>
      </c>
      <c r="K682" s="117" t="s">
        <v>1332</v>
      </c>
      <c r="L682" s="117" t="str">
        <f t="shared" si="119"/>
        <v>detailed</v>
      </c>
      <c r="M682" s="117" t="str">
        <f t="shared" si="113"/>
        <v>detailed Mining</v>
      </c>
      <c r="N682" s="118"/>
      <c r="O682" s="118"/>
      <c r="P682" s="118"/>
      <c r="Q682" s="118"/>
      <c r="R682" s="118"/>
      <c r="S682" s="117"/>
      <c r="T682" s="186">
        <f>20405.62325</f>
        <v>20405.623250000001</v>
      </c>
      <c r="U682" s="117" t="s">
        <v>611</v>
      </c>
      <c r="V682" s="117" t="s">
        <v>1333</v>
      </c>
      <c r="W682" s="89">
        <f>N684*T682</f>
        <v>894419278.29400003</v>
      </c>
      <c r="X682" s="117"/>
      <c r="Y682" s="117"/>
      <c r="Z682" s="117"/>
      <c r="AA682" s="177"/>
      <c r="AB682" s="177"/>
      <c r="AC682" s="122"/>
      <c r="AD682" s="122"/>
      <c r="AE682" s="122"/>
      <c r="AF682" s="123"/>
      <c r="AG682" s="117"/>
      <c r="AH682" s="124"/>
      <c r="AI682" s="117"/>
      <c r="AJ682" s="117"/>
      <c r="AK682" s="89"/>
      <c r="AL682" s="117"/>
      <c r="AM682" s="117"/>
      <c r="AN682" s="117">
        <v>3</v>
      </c>
      <c r="AO682" s="117" t="s">
        <v>1353</v>
      </c>
      <c r="AP682" s="117">
        <v>2</v>
      </c>
      <c r="AQ682" s="117"/>
      <c r="AR682" s="126"/>
      <c r="AS682" s="117"/>
      <c r="AT682" s="117"/>
      <c r="AU682" s="117"/>
      <c r="AV682" s="128"/>
      <c r="AW682" s="117">
        <f>VLOOKUP($D682,'WB Data'!$C$3:$M$578,2,FALSE)</f>
        <v>539579955780.06226</v>
      </c>
      <c r="AX682" s="117">
        <f>VLOOKUP($D682,'WB Data'!$C$3:$M$578,3,FALSE)</f>
        <v>237486894</v>
      </c>
      <c r="AY682" s="847">
        <f t="shared" si="115"/>
        <v>4.6193442404594588E-2</v>
      </c>
      <c r="AZ682" s="117">
        <f>VLOOKUP($D682,'WB Data'!$C$3:$M$578,4,FALSE)/100</f>
        <v>0.15375024136545859</v>
      </c>
      <c r="BA682" s="117">
        <f t="shared" si="116"/>
        <v>82960548437.148041</v>
      </c>
      <c r="BB682" s="129">
        <f>IFERROR(VLOOKUP($D682,'EITI Revenues'!$C$2:$G$224,5,FALSE),"..")</f>
        <v>24925055610</v>
      </c>
      <c r="BC682" s="846">
        <f t="shared" si="117"/>
        <v>0.30044468219594206</v>
      </c>
      <c r="BD682" s="129">
        <f>VLOOKUP($D682,'WB Data 2'!$C$2:$K$545,6,FALSE)</f>
        <v>44975155041.107948</v>
      </c>
      <c r="BE682" s="129">
        <f>IFERROR(VLOOKUP($D682,UNCTAD!$C$5:$V$529,4,FALSE),"..")</f>
        <v>133155500000</v>
      </c>
      <c r="BF682" s="846">
        <f t="shared" si="118"/>
        <v>0.33776415575104257</v>
      </c>
      <c r="BG682" s="117">
        <f>VLOOKUP($D682,'WB Data'!$C$3:$M$578,5,FALSE)</f>
        <v>1046530000</v>
      </c>
      <c r="BH682" s="129">
        <f>IFERROR($BB682/$BG682,"..")</f>
        <v>23.816857242506188</v>
      </c>
      <c r="BI682" s="117">
        <f>IFERROR(VLOOKUP($D682,'WB Data'!$C$3:$M$578,7,FALSE)/100,"..")</f>
        <v>3.5251299999999999E-2</v>
      </c>
      <c r="BJ682" s="117">
        <f>IFERROR($BI682*$AW682,"..")</f>
        <v>19020894895.189709</v>
      </c>
      <c r="BK682" s="846">
        <f>IFERROR($BB682/$BJ682,"..")</f>
        <v>1.3104039398431997</v>
      </c>
      <c r="BL682" s="117">
        <f>IFERROR(VLOOKUP($D682,'WB Data'!$C$3:$M$578,7,FALSE)/100,"..")</f>
        <v>3.5251299999999999E-2</v>
      </c>
      <c r="BM682" s="117">
        <f>IFERROR($AW682*$BL682,"..")</f>
        <v>19020894895.189709</v>
      </c>
      <c r="BN682" s="846">
        <f>IFERROR($BB682/$BM682,"..")</f>
        <v>1.3104039398431997</v>
      </c>
      <c r="BO682" s="801">
        <f t="shared" si="114"/>
        <v>34</v>
      </c>
      <c r="BP682" s="117">
        <f>VLOOKUP($D682,'WB Data'!$C$3:$M$578,9,FALSE)</f>
        <v>14.2</v>
      </c>
      <c r="BQ682" s="117">
        <f>VLOOKUP($D682,'WB Data'!$C$3:$M$578,10,FALSE)</f>
        <v>69.933097560975625</v>
      </c>
      <c r="BR682" s="117">
        <f>VLOOKUP($D682,'WB Data'!$C$3:$M$578,11,FALSE)</f>
        <v>28.6</v>
      </c>
      <c r="BS682" s="129">
        <f>IFERROR(VLOOKUP($D682,'WB Data 2'!$C$2:$K$545,9,FALSE),"..")</f>
        <v>98.035229999999999</v>
      </c>
      <c r="BT682" s="129">
        <f>_xlfn.IFNA(VLOOKUP($C682,RGI!$A$2:$C$43,2,FALSE),"..")</f>
        <v>50</v>
      </c>
      <c r="BU682" s="129">
        <f>_xlfn.IFNA(VLOOKUP($C682,RGI!$A$2:$C$43,3,FALSE),"..")</f>
        <v>65.756132994529537</v>
      </c>
      <c r="BV682" s="129">
        <f>VLOOKUP($D682,WGI!$C$2:$O$478,7,FALSE)</f>
        <v>-3.3692223068848899E-2</v>
      </c>
      <c r="BW682" s="129">
        <f>VLOOKUP($D682,WGI!$C$2:$O$478,4,FALSE)</f>
        <v>-0.75851636602946304</v>
      </c>
      <c r="BX682" s="129">
        <f>VLOOKUP($D682,WGI!$C$2:$O$478,3,FALSE)</f>
        <v>-0.27656821064612203</v>
      </c>
      <c r="BY682" s="129">
        <f>VLOOKUP($D682,WGI!$C$2:$O$478,5,FALSE)</f>
        <v>-0.33309293933209</v>
      </c>
      <c r="BZ682" s="129">
        <f>VLOOKUP($D682,WGI!$C$2:$O$478,2,FALSE)</f>
        <v>-0.81582570120773601</v>
      </c>
      <c r="CB682" s="129"/>
    </row>
    <row r="683" spans="1:80" s="120" customFormat="1" ht="15" customHeight="1">
      <c r="A683" s="280" t="s">
        <v>246</v>
      </c>
      <c r="B683" s="117">
        <v>2010</v>
      </c>
      <c r="C683" s="117" t="s">
        <v>243</v>
      </c>
      <c r="D683" s="117" t="s">
        <v>3632</v>
      </c>
      <c r="E683" s="117" t="s">
        <v>244</v>
      </c>
      <c r="F683" s="117"/>
      <c r="G683" s="117" t="s">
        <v>24</v>
      </c>
      <c r="H683" s="117" t="str">
        <f t="shared" si="110"/>
        <v>yes</v>
      </c>
      <c r="I683" s="117" t="str">
        <f t="shared" si="111"/>
        <v>no</v>
      </c>
      <c r="J683" s="117" t="str">
        <f t="shared" si="112"/>
        <v>no</v>
      </c>
      <c r="K683" s="117" t="s">
        <v>1335</v>
      </c>
      <c r="L683" s="117" t="str">
        <f t="shared" si="119"/>
        <v>detailed</v>
      </c>
      <c r="M683" s="117" t="str">
        <f t="shared" si="113"/>
        <v>detailed Mining</v>
      </c>
      <c r="N683" s="118">
        <v>43258</v>
      </c>
      <c r="O683" s="118"/>
      <c r="P683" s="118"/>
      <c r="Q683" s="118"/>
      <c r="R683" s="118"/>
      <c r="S683" s="117"/>
      <c r="T683" s="119"/>
      <c r="U683" s="117"/>
      <c r="V683" s="117" t="s">
        <v>684</v>
      </c>
      <c r="W683" s="89"/>
      <c r="X683" s="117"/>
      <c r="Y683" s="117"/>
      <c r="Z683" s="117"/>
      <c r="AA683" s="177"/>
      <c r="AB683" s="177"/>
      <c r="AC683" s="122"/>
      <c r="AD683" s="122"/>
      <c r="AE683" s="122"/>
      <c r="AF683" s="123"/>
      <c r="AG683" s="117"/>
      <c r="AH683" s="124"/>
      <c r="AI683" s="117"/>
      <c r="AJ683" s="117"/>
      <c r="AK683" s="89"/>
      <c r="AL683" s="117"/>
      <c r="AM683" s="117"/>
      <c r="AN683" s="117"/>
      <c r="AO683" s="117"/>
      <c r="AP683" s="117"/>
      <c r="AQ683" s="117"/>
      <c r="AR683" s="126"/>
      <c r="AS683" s="117"/>
      <c r="AT683" s="117"/>
      <c r="AU683" s="117"/>
      <c r="AV683" s="128"/>
      <c r="AW683" s="117">
        <f>VLOOKUP($D683,'WB Data'!$C$3:$M$578,2,FALSE)</f>
        <v>539579955780.06226</v>
      </c>
      <c r="AX683" s="117">
        <f>VLOOKUP($D683,'WB Data'!$C$3:$M$578,3,FALSE)</f>
        <v>237486894</v>
      </c>
      <c r="AY683" s="847">
        <f t="shared" si="115"/>
        <v>4.6193442404594588E-2</v>
      </c>
      <c r="AZ683" s="117">
        <f>VLOOKUP($D683,'WB Data'!$C$3:$M$578,4,FALSE)/100</f>
        <v>0.15375024136545859</v>
      </c>
      <c r="BA683" s="117">
        <f t="shared" si="116"/>
        <v>82960548437.148041</v>
      </c>
      <c r="BB683" s="129">
        <f>IFERROR(VLOOKUP($D683,'EITI Revenues'!$C$2:$G$224,5,FALSE),"..")</f>
        <v>24925055610</v>
      </c>
      <c r="BC683" s="846">
        <f t="shared" si="117"/>
        <v>0.30044468219594206</v>
      </c>
      <c r="BD683" s="129">
        <f>VLOOKUP($D683,'WB Data 2'!$C$2:$K$545,6,FALSE)</f>
        <v>44975155041.107948</v>
      </c>
      <c r="BE683" s="129">
        <f>IFERROR(VLOOKUP($D683,UNCTAD!$C$5:$V$529,4,FALSE),"..")</f>
        <v>133155500000</v>
      </c>
      <c r="BF683" s="846">
        <f t="shared" si="118"/>
        <v>0.33776415575104257</v>
      </c>
      <c r="BG683" s="117">
        <f>VLOOKUP($D683,'WB Data'!$C$3:$M$578,5,FALSE)</f>
        <v>1046530000</v>
      </c>
      <c r="BH683" s="129">
        <f>IFERROR($BB683/$BG683,"..")</f>
        <v>23.816857242506188</v>
      </c>
      <c r="BI683" s="117">
        <f>IFERROR(VLOOKUP($D683,'WB Data'!$C$3:$M$578,7,FALSE)/100,"..")</f>
        <v>3.5251299999999999E-2</v>
      </c>
      <c r="BJ683" s="117">
        <f>IFERROR($BI683*$AW683,"..")</f>
        <v>19020894895.189709</v>
      </c>
      <c r="BK683" s="846">
        <f>IFERROR($BB683/$BJ683,"..")</f>
        <v>1.3104039398431997</v>
      </c>
      <c r="BL683" s="117">
        <f>IFERROR(VLOOKUP($D683,'WB Data'!$C$3:$M$578,7,FALSE)/100,"..")</f>
        <v>3.5251299999999999E-2</v>
      </c>
      <c r="BM683" s="117">
        <f>IFERROR($AW683*$BL683,"..")</f>
        <v>19020894895.189709</v>
      </c>
      <c r="BN683" s="846">
        <f>IFERROR($BB683/$BM683,"..")</f>
        <v>1.3104039398431997</v>
      </c>
      <c r="BO683" s="801">
        <f t="shared" si="114"/>
        <v>34</v>
      </c>
      <c r="BP683" s="117">
        <f>VLOOKUP($D683,'WB Data'!$C$3:$M$578,9,FALSE)</f>
        <v>14.2</v>
      </c>
      <c r="BQ683" s="117">
        <f>VLOOKUP($D683,'WB Data'!$C$3:$M$578,10,FALSE)</f>
        <v>69.933097560975625</v>
      </c>
      <c r="BR683" s="117">
        <f>VLOOKUP($D683,'WB Data'!$C$3:$M$578,11,FALSE)</f>
        <v>28.6</v>
      </c>
      <c r="BS683" s="129">
        <f>IFERROR(VLOOKUP($D683,'WB Data 2'!$C$2:$K$545,9,FALSE),"..")</f>
        <v>98.035229999999999</v>
      </c>
      <c r="BT683" s="129">
        <f>_xlfn.IFNA(VLOOKUP($C683,RGI!$A$2:$C$43,2,FALSE),"..")</f>
        <v>50</v>
      </c>
      <c r="BU683" s="129">
        <f>_xlfn.IFNA(VLOOKUP($C683,RGI!$A$2:$C$43,3,FALSE),"..")</f>
        <v>65.756132994529537</v>
      </c>
      <c r="BV683" s="129">
        <f>VLOOKUP($D683,WGI!$C$2:$O$478,7,FALSE)</f>
        <v>-3.3692223068848899E-2</v>
      </c>
      <c r="BW683" s="129">
        <f>VLOOKUP($D683,WGI!$C$2:$O$478,4,FALSE)</f>
        <v>-0.75851636602946304</v>
      </c>
      <c r="BX683" s="129">
        <f>VLOOKUP($D683,WGI!$C$2:$O$478,3,FALSE)</f>
        <v>-0.27656821064612203</v>
      </c>
      <c r="BY683" s="129">
        <f>VLOOKUP($D683,WGI!$C$2:$O$478,5,FALSE)</f>
        <v>-0.33309293933209</v>
      </c>
      <c r="BZ683" s="129">
        <f>VLOOKUP($D683,WGI!$C$2:$O$478,2,FALSE)</f>
        <v>-0.81582570120773601</v>
      </c>
      <c r="CB683" s="129"/>
    </row>
    <row r="684" spans="1:80" s="158" customFormat="1" ht="15" customHeight="1">
      <c r="A684" s="282" t="s">
        <v>246</v>
      </c>
      <c r="B684" s="149">
        <v>2010</v>
      </c>
      <c r="C684" s="117" t="s">
        <v>243</v>
      </c>
      <c r="D684" s="117" t="s">
        <v>3632</v>
      </c>
      <c r="E684" s="149" t="s">
        <v>244</v>
      </c>
      <c r="F684" s="149"/>
      <c r="G684" s="149" t="s">
        <v>24</v>
      </c>
      <c r="H684" s="149" t="str">
        <f t="shared" si="110"/>
        <v>yes</v>
      </c>
      <c r="I684" s="149" t="str">
        <f t="shared" si="111"/>
        <v>no</v>
      </c>
      <c r="J684" s="149" t="str">
        <f t="shared" si="112"/>
        <v>no</v>
      </c>
      <c r="K684" s="149" t="s">
        <v>1336</v>
      </c>
      <c r="L684" s="149" t="str">
        <f t="shared" si="119"/>
        <v>detailed</v>
      </c>
      <c r="M684" s="149" t="str">
        <f t="shared" si="113"/>
        <v>detailed Mining</v>
      </c>
      <c r="N684" s="150">
        <v>43832</v>
      </c>
      <c r="O684" s="150"/>
      <c r="P684" s="150"/>
      <c r="Q684" s="150"/>
      <c r="R684" s="150"/>
      <c r="S684" s="149"/>
      <c r="T684" s="151"/>
      <c r="U684" s="149"/>
      <c r="V684" s="149" t="s">
        <v>684</v>
      </c>
      <c r="W684" s="152"/>
      <c r="X684" s="149"/>
      <c r="Y684" s="149"/>
      <c r="Z684" s="149"/>
      <c r="AA684" s="284"/>
      <c r="AB684" s="284"/>
      <c r="AC684" s="154"/>
      <c r="AD684" s="154"/>
      <c r="AE684" s="154"/>
      <c r="AF684" s="155"/>
      <c r="AG684" s="149"/>
      <c r="AH684" s="156"/>
      <c r="AI684" s="149"/>
      <c r="AJ684" s="149"/>
      <c r="AK684" s="152"/>
      <c r="AL684" s="149"/>
      <c r="AM684" s="149"/>
      <c r="AN684" s="149"/>
      <c r="AO684" s="149"/>
      <c r="AP684" s="149"/>
      <c r="AQ684" s="149"/>
      <c r="AR684" s="220"/>
      <c r="AS684" s="149"/>
      <c r="AT684" s="149"/>
      <c r="AU684" s="149"/>
      <c r="AV684" s="157"/>
      <c r="AW684" s="117">
        <f>VLOOKUP($D684,'WB Data'!$C$3:$M$578,2,FALSE)</f>
        <v>539579955780.06226</v>
      </c>
      <c r="AX684" s="117">
        <f>VLOOKUP($D684,'WB Data'!$C$3:$M$578,3,FALSE)</f>
        <v>237486894</v>
      </c>
      <c r="AY684" s="847">
        <f t="shared" si="115"/>
        <v>4.6193442404594588E-2</v>
      </c>
      <c r="AZ684" s="117">
        <f>VLOOKUP($D684,'WB Data'!$C$3:$M$578,4,FALSE)/100</f>
        <v>0.15375024136545859</v>
      </c>
      <c r="BA684" s="117">
        <f t="shared" si="116"/>
        <v>82960548437.148041</v>
      </c>
      <c r="BB684" s="129">
        <f>IFERROR(VLOOKUP($D684,'EITI Revenues'!$C$2:$G$224,5,FALSE),"..")</f>
        <v>24925055610</v>
      </c>
      <c r="BC684" s="846">
        <f t="shared" si="117"/>
        <v>0.30044468219594206</v>
      </c>
      <c r="BD684" s="129">
        <f>VLOOKUP($D684,'WB Data 2'!$C$2:$K$545,6,FALSE)</f>
        <v>44975155041.107948</v>
      </c>
      <c r="BE684" s="129">
        <f>IFERROR(VLOOKUP($D684,UNCTAD!$C$5:$V$529,4,FALSE),"..")</f>
        <v>133155500000</v>
      </c>
      <c r="BF684" s="846">
        <f t="shared" si="118"/>
        <v>0.33776415575104257</v>
      </c>
      <c r="BG684" s="117">
        <f>VLOOKUP($D684,'WB Data'!$C$3:$M$578,5,FALSE)</f>
        <v>1046530000</v>
      </c>
      <c r="BH684" s="129">
        <f>IFERROR($BB684/$BG684,"..")</f>
        <v>23.816857242506188</v>
      </c>
      <c r="BI684" s="117">
        <f>IFERROR(VLOOKUP($D684,'WB Data'!$C$3:$M$578,7,FALSE)/100,"..")</f>
        <v>3.5251299999999999E-2</v>
      </c>
      <c r="BJ684" s="117">
        <f>IFERROR($BI684*$AW684,"..")</f>
        <v>19020894895.189709</v>
      </c>
      <c r="BK684" s="846">
        <f>IFERROR($BB684/$BJ684,"..")</f>
        <v>1.3104039398431997</v>
      </c>
      <c r="BL684" s="117">
        <f>IFERROR(VLOOKUP($D684,'WB Data'!$C$3:$M$578,7,FALSE)/100,"..")</f>
        <v>3.5251299999999999E-2</v>
      </c>
      <c r="BM684" s="117">
        <f>IFERROR($AW684*$BL684,"..")</f>
        <v>19020894895.189709</v>
      </c>
      <c r="BN684" s="846">
        <f>IFERROR($BB684/$BM684,"..")</f>
        <v>1.3104039398431997</v>
      </c>
      <c r="BO684" s="801">
        <f t="shared" si="114"/>
        <v>34</v>
      </c>
      <c r="BP684" s="117">
        <f>VLOOKUP($D684,'WB Data'!$C$3:$M$578,9,FALSE)</f>
        <v>14.2</v>
      </c>
      <c r="BQ684" s="117">
        <f>VLOOKUP($D684,'WB Data'!$C$3:$M$578,10,FALSE)</f>
        <v>69.933097560975625</v>
      </c>
      <c r="BR684" s="117">
        <f>VLOOKUP($D684,'WB Data'!$C$3:$M$578,11,FALSE)</f>
        <v>28.6</v>
      </c>
      <c r="BS684" s="129">
        <f>IFERROR(VLOOKUP($D684,'WB Data 2'!$C$2:$K$545,9,FALSE),"..")</f>
        <v>98.035229999999999</v>
      </c>
      <c r="BT684" s="129">
        <f>_xlfn.IFNA(VLOOKUP($C684,RGI!$A$2:$C$43,2,FALSE),"..")</f>
        <v>50</v>
      </c>
      <c r="BU684" s="129">
        <f>_xlfn.IFNA(VLOOKUP($C684,RGI!$A$2:$C$43,3,FALSE),"..")</f>
        <v>65.756132994529537</v>
      </c>
      <c r="BV684" s="129">
        <f>VLOOKUP($D684,WGI!$C$2:$O$478,7,FALSE)</f>
        <v>-3.3692223068848899E-2</v>
      </c>
      <c r="BW684" s="129">
        <f>VLOOKUP($D684,WGI!$C$2:$O$478,4,FALSE)</f>
        <v>-0.75851636602946304</v>
      </c>
      <c r="BX684" s="129">
        <f>VLOOKUP($D684,WGI!$C$2:$O$478,3,FALSE)</f>
        <v>-0.27656821064612203</v>
      </c>
      <c r="BY684" s="129">
        <f>VLOOKUP($D684,WGI!$C$2:$O$478,5,FALSE)</f>
        <v>-0.33309293933209</v>
      </c>
      <c r="BZ684" s="129">
        <f>VLOOKUP($D684,WGI!$C$2:$O$478,2,FALSE)</f>
        <v>-0.81582570120773601</v>
      </c>
      <c r="CB684" s="129"/>
    </row>
    <row r="685" spans="1:80" ht="15" customHeight="1">
      <c r="A685" s="280" t="s">
        <v>249</v>
      </c>
      <c r="B685" s="117">
        <v>2011</v>
      </c>
      <c r="C685" s="117" t="s">
        <v>243</v>
      </c>
      <c r="D685" s="117" t="s">
        <v>3632</v>
      </c>
      <c r="E685" s="117" t="s">
        <v>244</v>
      </c>
      <c r="F685" s="117" t="s">
        <v>1306</v>
      </c>
      <c r="G685" s="117" t="s">
        <v>35</v>
      </c>
      <c r="H685" s="117" t="str">
        <f t="shared" si="110"/>
        <v>yes</v>
      </c>
      <c r="I685" s="117" t="str">
        <f t="shared" si="111"/>
        <v>yes</v>
      </c>
      <c r="J685" s="117" t="str">
        <f t="shared" si="112"/>
        <v>yes</v>
      </c>
      <c r="K685" s="117" t="s">
        <v>709</v>
      </c>
      <c r="L685" s="117" t="str">
        <f t="shared" si="119"/>
        <v>Total</v>
      </c>
      <c r="M685" s="117" t="str">
        <f t="shared" si="113"/>
        <v>Total Oil, Gas, Mining</v>
      </c>
      <c r="N685" s="118"/>
      <c r="O685" s="118"/>
      <c r="P685" s="118"/>
      <c r="Q685" s="118"/>
      <c r="R685" s="118"/>
      <c r="S685" s="117"/>
      <c r="T685" s="119"/>
      <c r="U685" s="117"/>
      <c r="V685" s="117"/>
      <c r="W685" s="89">
        <f>W686+W689</f>
        <v>110037935730.82755</v>
      </c>
      <c r="X685" s="117" t="s">
        <v>1337</v>
      </c>
      <c r="Y685" s="117" t="s">
        <v>663</v>
      </c>
      <c r="Z685" s="117" t="s">
        <v>664</v>
      </c>
      <c r="AA685" s="334">
        <f>AA686+AA689</f>
        <v>44779611925</v>
      </c>
      <c r="AB685" s="334">
        <f>AB686+AB689</f>
        <v>44689847698</v>
      </c>
      <c r="AC685" s="122"/>
      <c r="AD685" s="122"/>
      <c r="AE685" s="122"/>
      <c r="AF685" s="123">
        <f>AA685/W685</f>
        <v>0.40694703719759823</v>
      </c>
      <c r="AG685" s="117" t="s">
        <v>1338</v>
      </c>
      <c r="AH685" s="124">
        <v>8742</v>
      </c>
      <c r="AI685" s="117" t="s">
        <v>1308</v>
      </c>
      <c r="AJ685" s="117" t="s">
        <v>1354</v>
      </c>
      <c r="AK685" s="89">
        <v>28245912000</v>
      </c>
      <c r="AL685" s="117" t="s">
        <v>1310</v>
      </c>
      <c r="AM685" s="89">
        <v>1391756500</v>
      </c>
      <c r="AN685" s="117">
        <v>253</v>
      </c>
      <c r="AO685" s="117" t="s">
        <v>1355</v>
      </c>
      <c r="AP685" s="117">
        <v>233</v>
      </c>
      <c r="AQ685" s="232">
        <v>41760</v>
      </c>
      <c r="AR685" s="126">
        <v>41911</v>
      </c>
      <c r="AS685" s="117" t="s">
        <v>1312</v>
      </c>
      <c r="AT685" s="127" t="s">
        <v>248</v>
      </c>
      <c r="AU685" s="117" t="s">
        <v>1356</v>
      </c>
      <c r="AV685" s="128" t="s">
        <v>1357</v>
      </c>
      <c r="AW685" s="117">
        <f>VLOOKUP($D685,'WB Data'!$C$3:$M$578,2,FALSE)</f>
        <v>539579955780.06226</v>
      </c>
      <c r="AX685" s="117">
        <f>VLOOKUP($D685,'WB Data'!$C$3:$M$578,3,FALSE)</f>
        <v>237486894</v>
      </c>
      <c r="AY685" s="847">
        <f t="shared" si="115"/>
        <v>4.6193442404594588E-2</v>
      </c>
      <c r="AZ685" s="117">
        <f>VLOOKUP($D685,'WB Data'!$C$3:$M$578,4,FALSE)/100</f>
        <v>0.15375024136545859</v>
      </c>
      <c r="BA685" s="117">
        <f t="shared" si="116"/>
        <v>82960548437.148041</v>
      </c>
      <c r="BB685" s="129">
        <f>IFERROR(VLOOKUP($D685,'EITI Revenues'!$C$2:$G$224,5,FALSE),"..")</f>
        <v>24925055610</v>
      </c>
      <c r="BC685" s="846">
        <f t="shared" si="117"/>
        <v>0.30044468219594206</v>
      </c>
      <c r="BD685" s="129">
        <f>VLOOKUP($D685,'WB Data 2'!$C$2:$K$545,6,FALSE)</f>
        <v>44975155041.107948</v>
      </c>
      <c r="BE685" s="129">
        <f>IFERROR(VLOOKUP($D685,UNCTAD!$C$5:$V$529,4,FALSE),"..")</f>
        <v>133155500000</v>
      </c>
      <c r="BF685" s="846">
        <f t="shared" si="118"/>
        <v>0.33776415575104257</v>
      </c>
      <c r="BG685" s="117">
        <f>VLOOKUP($D685,'WB Data'!$C$3:$M$578,5,FALSE)</f>
        <v>1046530000</v>
      </c>
      <c r="BH685" s="129">
        <f>IFERROR($BB685/$BG685,"..")</f>
        <v>23.816857242506188</v>
      </c>
      <c r="BI685" s="117">
        <f>IFERROR(VLOOKUP($D685,'WB Data'!$C$3:$M$578,7,FALSE)/100,"..")</f>
        <v>3.5251299999999999E-2</v>
      </c>
      <c r="BJ685" s="117">
        <f>IFERROR($BI685*$AW685,"..")</f>
        <v>19020894895.189709</v>
      </c>
      <c r="BK685" s="846">
        <f>IFERROR($BB685/$BJ685,"..")</f>
        <v>1.3104039398431997</v>
      </c>
      <c r="BL685" s="117">
        <f>IFERROR(VLOOKUP($D685,'WB Data'!$C$3:$M$578,7,FALSE)/100,"..")</f>
        <v>3.5251299999999999E-2</v>
      </c>
      <c r="BM685" s="117">
        <f>IFERROR($AW685*$BL685,"..")</f>
        <v>19020894895.189709</v>
      </c>
      <c r="BN685" s="846">
        <f>IFERROR($BB685/$BM685,"..")</f>
        <v>1.3104039398431997</v>
      </c>
      <c r="BO685" s="801">
        <f t="shared" si="114"/>
        <v>34</v>
      </c>
      <c r="BP685" s="117">
        <f>VLOOKUP($D685,'WB Data'!$C$3:$M$578,9,FALSE)</f>
        <v>14.2</v>
      </c>
      <c r="BQ685" s="117">
        <f>VLOOKUP($D685,'WB Data'!$C$3:$M$578,10,FALSE)</f>
        <v>69.933097560975625</v>
      </c>
      <c r="BR685" s="117">
        <f>VLOOKUP($D685,'WB Data'!$C$3:$M$578,11,FALSE)</f>
        <v>28.6</v>
      </c>
      <c r="BS685" s="129">
        <f>IFERROR(VLOOKUP($D685,'WB Data 2'!$C$2:$K$545,9,FALSE),"..")</f>
        <v>98.035229999999999</v>
      </c>
      <c r="BT685" s="129">
        <f>_xlfn.IFNA(VLOOKUP($C685,RGI!$A$2:$C$43,2,FALSE),"..")</f>
        <v>50</v>
      </c>
      <c r="BU685" s="129">
        <f>_xlfn.IFNA(VLOOKUP($C685,RGI!$A$2:$C$43,3,FALSE),"..")</f>
        <v>65.756132994529537</v>
      </c>
      <c r="BV685" s="129">
        <f>VLOOKUP($D685,WGI!$C$2:$O$478,7,FALSE)</f>
        <v>-3.3692223068848899E-2</v>
      </c>
      <c r="BW685" s="129">
        <f>VLOOKUP($D685,WGI!$C$2:$O$478,4,FALSE)</f>
        <v>-0.75851636602946304</v>
      </c>
      <c r="BX685" s="129">
        <f>VLOOKUP($D685,WGI!$C$2:$O$478,3,FALSE)</f>
        <v>-0.27656821064612203</v>
      </c>
      <c r="BY685" s="129">
        <f>VLOOKUP($D685,WGI!$C$2:$O$478,5,FALSE)</f>
        <v>-0.33309293933209</v>
      </c>
      <c r="BZ685" s="129">
        <f>VLOOKUP($D685,WGI!$C$2:$O$478,2,FALSE)</f>
        <v>-0.81582570120773601</v>
      </c>
    </row>
    <row r="686" spans="1:80" ht="15" customHeight="1">
      <c r="A686" s="280" t="s">
        <v>249</v>
      </c>
      <c r="B686" s="117">
        <v>2011</v>
      </c>
      <c r="C686" s="117" t="s">
        <v>243</v>
      </c>
      <c r="D686" s="117" t="s">
        <v>3632</v>
      </c>
      <c r="E686" s="117" t="s">
        <v>244</v>
      </c>
      <c r="F686" s="117"/>
      <c r="G686" s="117" t="s">
        <v>55</v>
      </c>
      <c r="H686" s="117" t="str">
        <f t="shared" si="110"/>
        <v>no</v>
      </c>
      <c r="I686" s="117" t="str">
        <f t="shared" si="111"/>
        <v>yes</v>
      </c>
      <c r="J686" s="117" t="str">
        <f t="shared" si="112"/>
        <v>yes</v>
      </c>
      <c r="K686" s="117" t="s">
        <v>640</v>
      </c>
      <c r="L686" s="117" t="str">
        <f t="shared" si="119"/>
        <v>Total</v>
      </c>
      <c r="M686" s="117" t="str">
        <f t="shared" si="113"/>
        <v>Total Oil, Gas</v>
      </c>
      <c r="N686" s="118"/>
      <c r="O686" s="118"/>
      <c r="P686" s="118"/>
      <c r="Q686" s="118"/>
      <c r="R686" s="118"/>
      <c r="S686" s="117"/>
      <c r="T686" s="119"/>
      <c r="U686" s="117"/>
      <c r="V686" s="117"/>
      <c r="W686" s="89">
        <f>SUM(W687:W688)</f>
        <v>51377828940.113564</v>
      </c>
      <c r="X686" s="117"/>
      <c r="Y686" s="117"/>
      <c r="Z686" s="117"/>
      <c r="AA686" s="177">
        <v>37103382000</v>
      </c>
      <c r="AB686" s="177">
        <v>37028897000</v>
      </c>
      <c r="AC686" s="122"/>
      <c r="AD686" s="122"/>
      <c r="AE686" s="122"/>
      <c r="AF686" s="123">
        <f>AA686/W686</f>
        <v>0.72216718311020922</v>
      </c>
      <c r="AG686" s="117"/>
      <c r="AH686" s="124"/>
      <c r="AI686" s="117"/>
      <c r="AJ686" s="117" t="s">
        <v>1354</v>
      </c>
      <c r="AK686" s="89">
        <v>28245912000</v>
      </c>
      <c r="AL686" s="117"/>
      <c r="AM686" s="117"/>
      <c r="AN686" s="117">
        <v>170</v>
      </c>
      <c r="AO686" s="117" t="s">
        <v>1343</v>
      </c>
      <c r="AP686" s="117">
        <v>159</v>
      </c>
      <c r="AQ686" s="117"/>
      <c r="AR686" s="126"/>
      <c r="AS686" s="117"/>
      <c r="AT686" s="117"/>
      <c r="AU686" s="117" t="s">
        <v>1358</v>
      </c>
      <c r="AV686" s="128"/>
      <c r="AW686" s="117">
        <f>VLOOKUP($D686,'WB Data'!$C$3:$M$578,2,FALSE)</f>
        <v>539579955780.06226</v>
      </c>
      <c r="AX686" s="117">
        <f>VLOOKUP($D686,'WB Data'!$C$3:$M$578,3,FALSE)</f>
        <v>237486894</v>
      </c>
      <c r="AY686" s="847">
        <f t="shared" si="115"/>
        <v>4.6193442404594588E-2</v>
      </c>
      <c r="AZ686" s="117">
        <f>VLOOKUP($D686,'WB Data'!$C$3:$M$578,4,FALSE)/100</f>
        <v>0.15375024136545859</v>
      </c>
      <c r="BA686" s="117">
        <f t="shared" si="116"/>
        <v>82960548437.148041</v>
      </c>
      <c r="BB686" s="129">
        <f>IFERROR(VLOOKUP($D686,'EITI Revenues'!$C$2:$G$224,5,FALSE),"..")</f>
        <v>24925055610</v>
      </c>
      <c r="BC686" s="846">
        <f t="shared" si="117"/>
        <v>0.30044468219594206</v>
      </c>
      <c r="BD686" s="129">
        <f>VLOOKUP($D686,'WB Data 2'!$C$2:$K$545,6,FALSE)</f>
        <v>44975155041.107948</v>
      </c>
      <c r="BE686" s="129">
        <f>IFERROR(VLOOKUP($D686,UNCTAD!$C$5:$V$529,4,FALSE),"..")</f>
        <v>133155500000</v>
      </c>
      <c r="BF686" s="846">
        <f t="shared" si="118"/>
        <v>0.33776415575104257</v>
      </c>
      <c r="BG686" s="117">
        <f>VLOOKUP($D686,'WB Data'!$C$3:$M$578,5,FALSE)</f>
        <v>1046530000</v>
      </c>
      <c r="BH686" s="129">
        <f>IFERROR($BB686/$BG686,"..")</f>
        <v>23.816857242506188</v>
      </c>
      <c r="BI686" s="117">
        <f>IFERROR(VLOOKUP($D686,'WB Data'!$C$3:$M$578,7,FALSE)/100,"..")</f>
        <v>3.5251299999999999E-2</v>
      </c>
      <c r="BJ686" s="117">
        <f>IFERROR($BI686*$AW686,"..")</f>
        <v>19020894895.189709</v>
      </c>
      <c r="BK686" s="846">
        <f>IFERROR($BB686/$BJ686,"..")</f>
        <v>1.3104039398431997</v>
      </c>
      <c r="BL686" s="117">
        <f>IFERROR(VLOOKUP($D686,'WB Data'!$C$3:$M$578,7,FALSE)/100,"..")</f>
        <v>3.5251299999999999E-2</v>
      </c>
      <c r="BM686" s="117">
        <f>IFERROR($AW686*$BL686,"..")</f>
        <v>19020894895.189709</v>
      </c>
      <c r="BN686" s="846">
        <f>IFERROR($BB686/$BM686,"..")</f>
        <v>1.3104039398431997</v>
      </c>
      <c r="BO686" s="801">
        <f t="shared" si="114"/>
        <v>34</v>
      </c>
      <c r="BP686" s="117">
        <f>VLOOKUP($D686,'WB Data'!$C$3:$M$578,9,FALSE)</f>
        <v>14.2</v>
      </c>
      <c r="BQ686" s="117">
        <f>VLOOKUP($D686,'WB Data'!$C$3:$M$578,10,FALSE)</f>
        <v>69.933097560975625</v>
      </c>
      <c r="BR686" s="117">
        <f>VLOOKUP($D686,'WB Data'!$C$3:$M$578,11,FALSE)</f>
        <v>28.6</v>
      </c>
      <c r="BS686" s="129">
        <f>IFERROR(VLOOKUP($D686,'WB Data 2'!$C$2:$K$545,9,FALSE),"..")</f>
        <v>98.035229999999999</v>
      </c>
      <c r="BT686" s="129">
        <f>_xlfn.IFNA(VLOOKUP($C686,RGI!$A$2:$C$43,2,FALSE),"..")</f>
        <v>50</v>
      </c>
      <c r="BU686" s="129">
        <f>_xlfn.IFNA(VLOOKUP($C686,RGI!$A$2:$C$43,3,FALSE),"..")</f>
        <v>65.756132994529537</v>
      </c>
      <c r="BV686" s="129">
        <f>VLOOKUP($D686,WGI!$C$2:$O$478,7,FALSE)</f>
        <v>-3.3692223068848899E-2</v>
      </c>
      <c r="BW686" s="129">
        <f>VLOOKUP($D686,WGI!$C$2:$O$478,4,FALSE)</f>
        <v>-0.75851636602946304</v>
      </c>
      <c r="BX686" s="129">
        <f>VLOOKUP($D686,WGI!$C$2:$O$478,3,FALSE)</f>
        <v>-0.27656821064612203</v>
      </c>
      <c r="BY686" s="129">
        <f>VLOOKUP($D686,WGI!$C$2:$O$478,5,FALSE)</f>
        <v>-0.33309293933209</v>
      </c>
      <c r="BZ686" s="129">
        <f>VLOOKUP($D686,WGI!$C$2:$O$478,2,FALSE)</f>
        <v>-0.81582570120773601</v>
      </c>
    </row>
    <row r="687" spans="1:80" ht="15" customHeight="1">
      <c r="A687" s="280" t="s">
        <v>249</v>
      </c>
      <c r="B687" s="117">
        <v>2011</v>
      </c>
      <c r="C687" s="117" t="s">
        <v>243</v>
      </c>
      <c r="D687" s="117" t="s">
        <v>3632</v>
      </c>
      <c r="E687" s="117" t="s">
        <v>244</v>
      </c>
      <c r="F687" s="117"/>
      <c r="G687" s="117" t="s">
        <v>561</v>
      </c>
      <c r="H687" s="117" t="str">
        <f t="shared" si="110"/>
        <v>no</v>
      </c>
      <c r="I687" s="117" t="str">
        <f t="shared" si="111"/>
        <v>yes</v>
      </c>
      <c r="J687" s="117" t="str">
        <f t="shared" si="112"/>
        <v>no</v>
      </c>
      <c r="K687" s="117" t="s">
        <v>561</v>
      </c>
      <c r="L687" s="117" t="str">
        <f t="shared" si="119"/>
        <v>detailed</v>
      </c>
      <c r="M687" s="117" t="str">
        <f t="shared" si="113"/>
        <v>detailed Gas</v>
      </c>
      <c r="N687" s="118">
        <v>75900000000</v>
      </c>
      <c r="O687" s="118"/>
      <c r="P687" s="118"/>
      <c r="Q687" s="118"/>
      <c r="R687" s="118"/>
      <c r="S687" s="117" t="s">
        <v>642</v>
      </c>
      <c r="T687" s="119">
        <v>0.19666043794616025</v>
      </c>
      <c r="U687" s="117" t="s">
        <v>643</v>
      </c>
      <c r="V687" s="117" t="s">
        <v>738</v>
      </c>
      <c r="W687" s="89">
        <f>N687*T687</f>
        <v>14926527240.113564</v>
      </c>
      <c r="X687" s="117"/>
      <c r="Y687" s="117"/>
      <c r="Z687" s="117"/>
      <c r="AA687" s="177"/>
      <c r="AB687" s="177"/>
      <c r="AC687" s="122"/>
      <c r="AD687" s="122"/>
      <c r="AE687" s="122"/>
      <c r="AF687" s="123"/>
      <c r="AG687" s="117"/>
      <c r="AH687" s="124"/>
      <c r="AI687" s="117"/>
      <c r="AJ687" s="117"/>
      <c r="AK687" s="89"/>
      <c r="AL687" s="117"/>
      <c r="AM687" s="117"/>
      <c r="AN687" s="117"/>
      <c r="AO687" s="117"/>
      <c r="AP687" s="117"/>
      <c r="AQ687" s="117"/>
      <c r="AR687" s="126"/>
      <c r="AS687" s="117"/>
      <c r="AT687" s="117"/>
      <c r="AU687" s="117"/>
      <c r="AV687" s="128"/>
      <c r="AW687" s="117">
        <f>VLOOKUP($D687,'WB Data'!$C$3:$M$578,2,FALSE)</f>
        <v>539579955780.06226</v>
      </c>
      <c r="AX687" s="117">
        <f>VLOOKUP($D687,'WB Data'!$C$3:$M$578,3,FALSE)</f>
        <v>237486894</v>
      </c>
      <c r="AY687" s="847">
        <f t="shared" si="115"/>
        <v>4.6193442404594588E-2</v>
      </c>
      <c r="AZ687" s="117">
        <f>VLOOKUP($D687,'WB Data'!$C$3:$M$578,4,FALSE)/100</f>
        <v>0.15375024136545859</v>
      </c>
      <c r="BA687" s="117">
        <f t="shared" si="116"/>
        <v>82960548437.148041</v>
      </c>
      <c r="BB687" s="129">
        <f>IFERROR(VLOOKUP($D687,'EITI Revenues'!$C$2:$G$224,5,FALSE),"..")</f>
        <v>24925055610</v>
      </c>
      <c r="BC687" s="846">
        <f t="shared" si="117"/>
        <v>0.30044468219594206</v>
      </c>
      <c r="BD687" s="129">
        <f>VLOOKUP($D687,'WB Data 2'!$C$2:$K$545,6,FALSE)</f>
        <v>44975155041.107948</v>
      </c>
      <c r="BE687" s="129">
        <f>IFERROR(VLOOKUP($D687,UNCTAD!$C$5:$V$529,4,FALSE),"..")</f>
        <v>133155500000</v>
      </c>
      <c r="BF687" s="846">
        <f t="shared" si="118"/>
        <v>0.33776415575104257</v>
      </c>
      <c r="BG687" s="117">
        <f>VLOOKUP($D687,'WB Data'!$C$3:$M$578,5,FALSE)</f>
        <v>1046530000</v>
      </c>
      <c r="BH687" s="129">
        <f>IFERROR($BB687/$BG687,"..")</f>
        <v>23.816857242506188</v>
      </c>
      <c r="BI687" s="117">
        <f>IFERROR(VLOOKUP($D687,'WB Data'!$C$3:$M$578,7,FALSE)/100,"..")</f>
        <v>3.5251299999999999E-2</v>
      </c>
      <c r="BJ687" s="117">
        <f>IFERROR($BI687*$AW687,"..")</f>
        <v>19020894895.189709</v>
      </c>
      <c r="BK687" s="846">
        <f>IFERROR($BB687/$BJ687,"..")</f>
        <v>1.3104039398431997</v>
      </c>
      <c r="BL687" s="117">
        <f>IFERROR(VLOOKUP($D687,'WB Data'!$C$3:$M$578,7,FALSE)/100,"..")</f>
        <v>3.5251299999999999E-2</v>
      </c>
      <c r="BM687" s="117">
        <f>IFERROR($AW687*$BL687,"..")</f>
        <v>19020894895.189709</v>
      </c>
      <c r="BN687" s="846">
        <f>IFERROR($BB687/$BM687,"..")</f>
        <v>1.3104039398431997</v>
      </c>
      <c r="BO687" s="801">
        <f t="shared" si="114"/>
        <v>34</v>
      </c>
      <c r="BP687" s="117">
        <f>VLOOKUP($D687,'WB Data'!$C$3:$M$578,9,FALSE)</f>
        <v>14.2</v>
      </c>
      <c r="BQ687" s="117">
        <f>VLOOKUP($D687,'WB Data'!$C$3:$M$578,10,FALSE)</f>
        <v>69.933097560975625</v>
      </c>
      <c r="BR687" s="117">
        <f>VLOOKUP($D687,'WB Data'!$C$3:$M$578,11,FALSE)</f>
        <v>28.6</v>
      </c>
      <c r="BS687" s="129">
        <f>IFERROR(VLOOKUP($D687,'WB Data 2'!$C$2:$K$545,9,FALSE),"..")</f>
        <v>98.035229999999999</v>
      </c>
      <c r="BT687" s="129">
        <f>_xlfn.IFNA(VLOOKUP($C687,RGI!$A$2:$C$43,2,FALSE),"..")</f>
        <v>50</v>
      </c>
      <c r="BU687" s="129">
        <f>_xlfn.IFNA(VLOOKUP($C687,RGI!$A$2:$C$43,3,FALSE),"..")</f>
        <v>65.756132994529537</v>
      </c>
      <c r="BV687" s="129">
        <f>VLOOKUP($D687,WGI!$C$2:$O$478,7,FALSE)</f>
        <v>-3.3692223068848899E-2</v>
      </c>
      <c r="BW687" s="129">
        <f>VLOOKUP($D687,WGI!$C$2:$O$478,4,FALSE)</f>
        <v>-0.75851636602946304</v>
      </c>
      <c r="BX687" s="129">
        <f>VLOOKUP($D687,WGI!$C$2:$O$478,3,FALSE)</f>
        <v>-0.27656821064612203</v>
      </c>
      <c r="BY687" s="129">
        <f>VLOOKUP($D687,WGI!$C$2:$O$478,5,FALSE)</f>
        <v>-0.33309293933209</v>
      </c>
      <c r="BZ687" s="129">
        <f>VLOOKUP($D687,WGI!$C$2:$O$478,2,FALSE)</f>
        <v>-0.81582570120773601</v>
      </c>
    </row>
    <row r="688" spans="1:80" ht="15" customHeight="1">
      <c r="A688" s="280" t="s">
        <v>249</v>
      </c>
      <c r="B688" s="117">
        <v>2011</v>
      </c>
      <c r="C688" s="117" t="s">
        <v>243</v>
      </c>
      <c r="D688" s="117" t="s">
        <v>3632</v>
      </c>
      <c r="E688" s="117" t="s">
        <v>244</v>
      </c>
      <c r="F688" s="117"/>
      <c r="G688" s="117" t="s">
        <v>103</v>
      </c>
      <c r="H688" s="117" t="str">
        <f t="shared" si="110"/>
        <v>no</v>
      </c>
      <c r="I688" s="117" t="str">
        <f t="shared" si="111"/>
        <v>no</v>
      </c>
      <c r="J688" s="117" t="str">
        <f t="shared" si="112"/>
        <v>yes</v>
      </c>
      <c r="K688" s="117" t="s">
        <v>103</v>
      </c>
      <c r="L688" s="117" t="str">
        <f t="shared" si="119"/>
        <v>detailed</v>
      </c>
      <c r="M688" s="117" t="str">
        <f t="shared" si="113"/>
        <v>detailed Oil</v>
      </c>
      <c r="N688" s="118">
        <v>327770000</v>
      </c>
      <c r="O688" s="118"/>
      <c r="P688" s="118">
        <v>327770000</v>
      </c>
      <c r="Q688" s="118"/>
      <c r="R688" s="118"/>
      <c r="S688" s="117" t="s">
        <v>646</v>
      </c>
      <c r="T688" s="119">
        <v>111.21</v>
      </c>
      <c r="U688" s="117" t="s">
        <v>673</v>
      </c>
      <c r="V688" s="117" t="s">
        <v>1345</v>
      </c>
      <c r="W688" s="89">
        <f>N688*T688</f>
        <v>36451301700</v>
      </c>
      <c r="X688" s="117"/>
      <c r="Y688" s="117"/>
      <c r="Z688" s="117"/>
      <c r="AA688" s="177"/>
      <c r="AB688" s="177"/>
      <c r="AC688" s="122"/>
      <c r="AD688" s="122"/>
      <c r="AE688" s="122"/>
      <c r="AF688" s="123"/>
      <c r="AG688" s="117"/>
      <c r="AH688" s="124"/>
      <c r="AI688" s="117"/>
      <c r="AJ688" s="117"/>
      <c r="AK688" s="89"/>
      <c r="AL688" s="117"/>
      <c r="AM688" s="117"/>
      <c r="AN688" s="117"/>
      <c r="AO688" s="117"/>
      <c r="AP688" s="117"/>
      <c r="AQ688" s="117"/>
      <c r="AR688" s="126"/>
      <c r="AS688" s="117"/>
      <c r="AT688" s="117"/>
      <c r="AU688" s="117" t="s">
        <v>1346</v>
      </c>
      <c r="AV688" s="128"/>
      <c r="AW688" s="117">
        <f>VLOOKUP($D688,'WB Data'!$C$3:$M$578,2,FALSE)</f>
        <v>539579955780.06226</v>
      </c>
      <c r="AX688" s="117">
        <f>VLOOKUP($D688,'WB Data'!$C$3:$M$578,3,FALSE)</f>
        <v>237486894</v>
      </c>
      <c r="AY688" s="847">
        <f t="shared" si="115"/>
        <v>4.6193442404594588E-2</v>
      </c>
      <c r="AZ688" s="117">
        <f>VLOOKUP($D688,'WB Data'!$C$3:$M$578,4,FALSE)/100</f>
        <v>0.15375024136545859</v>
      </c>
      <c r="BA688" s="117">
        <f t="shared" si="116"/>
        <v>82960548437.148041</v>
      </c>
      <c r="BB688" s="129">
        <f>IFERROR(VLOOKUP($D688,'EITI Revenues'!$C$2:$G$224,5,FALSE),"..")</f>
        <v>24925055610</v>
      </c>
      <c r="BC688" s="846">
        <f t="shared" si="117"/>
        <v>0.30044468219594206</v>
      </c>
      <c r="BD688" s="129">
        <f>VLOOKUP($D688,'WB Data 2'!$C$2:$K$545,6,FALSE)</f>
        <v>44975155041.107948</v>
      </c>
      <c r="BE688" s="129">
        <f>IFERROR(VLOOKUP($D688,UNCTAD!$C$5:$V$529,4,FALSE),"..")</f>
        <v>133155500000</v>
      </c>
      <c r="BF688" s="846">
        <f t="shared" si="118"/>
        <v>0.33776415575104257</v>
      </c>
      <c r="BG688" s="117">
        <f>VLOOKUP($D688,'WB Data'!$C$3:$M$578,5,FALSE)</f>
        <v>1046530000</v>
      </c>
      <c r="BH688" s="129">
        <f>IFERROR($BB688/$BG688,"..")</f>
        <v>23.816857242506188</v>
      </c>
      <c r="BI688" s="117">
        <f>IFERROR(VLOOKUP($D688,'WB Data'!$C$3:$M$578,7,FALSE)/100,"..")</f>
        <v>3.5251299999999999E-2</v>
      </c>
      <c r="BJ688" s="117">
        <f>IFERROR($BI688*$AW688,"..")</f>
        <v>19020894895.189709</v>
      </c>
      <c r="BK688" s="846">
        <f>IFERROR($BB688/$BJ688,"..")</f>
        <v>1.3104039398431997</v>
      </c>
      <c r="BL688" s="117">
        <f>IFERROR(VLOOKUP($D688,'WB Data'!$C$3:$M$578,7,FALSE)/100,"..")</f>
        <v>3.5251299999999999E-2</v>
      </c>
      <c r="BM688" s="117">
        <f>IFERROR($AW688*$BL688,"..")</f>
        <v>19020894895.189709</v>
      </c>
      <c r="BN688" s="846">
        <f>IFERROR($BB688/$BM688,"..")</f>
        <v>1.3104039398431997</v>
      </c>
      <c r="BO688" s="801">
        <f t="shared" si="114"/>
        <v>34</v>
      </c>
      <c r="BP688" s="117">
        <f>VLOOKUP($D688,'WB Data'!$C$3:$M$578,9,FALSE)</f>
        <v>14.2</v>
      </c>
      <c r="BQ688" s="117">
        <f>VLOOKUP($D688,'WB Data'!$C$3:$M$578,10,FALSE)</f>
        <v>69.933097560975625</v>
      </c>
      <c r="BR688" s="117">
        <f>VLOOKUP($D688,'WB Data'!$C$3:$M$578,11,FALSE)</f>
        <v>28.6</v>
      </c>
      <c r="BS688" s="129">
        <f>IFERROR(VLOOKUP($D688,'WB Data 2'!$C$2:$K$545,9,FALSE),"..")</f>
        <v>98.035229999999999</v>
      </c>
      <c r="BT688" s="129">
        <f>_xlfn.IFNA(VLOOKUP($C688,RGI!$A$2:$C$43,2,FALSE),"..")</f>
        <v>50</v>
      </c>
      <c r="BU688" s="129">
        <f>_xlfn.IFNA(VLOOKUP($C688,RGI!$A$2:$C$43,3,FALSE),"..")</f>
        <v>65.756132994529537</v>
      </c>
      <c r="BV688" s="129">
        <f>VLOOKUP($D688,WGI!$C$2:$O$478,7,FALSE)</f>
        <v>-3.3692223068848899E-2</v>
      </c>
      <c r="BW688" s="129">
        <f>VLOOKUP($D688,WGI!$C$2:$O$478,4,FALSE)</f>
        <v>-0.75851636602946304</v>
      </c>
      <c r="BX688" s="129">
        <f>VLOOKUP($D688,WGI!$C$2:$O$478,3,FALSE)</f>
        <v>-0.27656821064612203</v>
      </c>
      <c r="BY688" s="129">
        <f>VLOOKUP($D688,WGI!$C$2:$O$478,5,FALSE)</f>
        <v>-0.33309293933209</v>
      </c>
      <c r="BZ688" s="129">
        <f>VLOOKUP($D688,WGI!$C$2:$O$478,2,FALSE)</f>
        <v>-0.81582570120773601</v>
      </c>
    </row>
    <row r="689" spans="1:80" ht="15" customHeight="1">
      <c r="A689" s="280" t="s">
        <v>249</v>
      </c>
      <c r="B689" s="117">
        <v>2011</v>
      </c>
      <c r="C689" s="117" t="s">
        <v>243</v>
      </c>
      <c r="D689" s="117" t="s">
        <v>3632</v>
      </c>
      <c r="E689" s="117" t="s">
        <v>244</v>
      </c>
      <c r="F689" s="117"/>
      <c r="G689" s="117" t="s">
        <v>24</v>
      </c>
      <c r="H689" s="117" t="str">
        <f t="shared" si="110"/>
        <v>yes</v>
      </c>
      <c r="I689" s="117" t="str">
        <f t="shared" si="111"/>
        <v>no</v>
      </c>
      <c r="J689" s="117" t="str">
        <f t="shared" si="112"/>
        <v>no</v>
      </c>
      <c r="K689" s="117" t="s">
        <v>600</v>
      </c>
      <c r="L689" s="117" t="str">
        <f t="shared" si="119"/>
        <v>Total</v>
      </c>
      <c r="M689" s="117" t="str">
        <f t="shared" si="113"/>
        <v>Total Mining</v>
      </c>
      <c r="N689" s="118"/>
      <c r="O689" s="118"/>
      <c r="P689" s="118"/>
      <c r="Q689" s="118"/>
      <c r="R689" s="118"/>
      <c r="S689" s="117"/>
      <c r="T689" s="119"/>
      <c r="U689" s="117"/>
      <c r="V689" s="117"/>
      <c r="W689" s="89">
        <f>SUM(W690:W704)</f>
        <v>58660106790.713982</v>
      </c>
      <c r="X689" s="117"/>
      <c r="Y689" s="117"/>
      <c r="Z689" s="117"/>
      <c r="AA689" s="177">
        <v>7676229925</v>
      </c>
      <c r="AB689" s="177">
        <v>7660950698</v>
      </c>
      <c r="AC689" s="122"/>
      <c r="AD689" s="122"/>
      <c r="AE689" s="122"/>
      <c r="AF689" s="123">
        <f>AA689/W689</f>
        <v>0.13085946045729263</v>
      </c>
      <c r="AG689" s="117"/>
      <c r="AH689" s="124"/>
      <c r="AI689" s="117"/>
      <c r="AJ689" s="117"/>
      <c r="AK689" s="89"/>
      <c r="AL689" s="117"/>
      <c r="AM689" s="117"/>
      <c r="AN689" s="117">
        <v>83</v>
      </c>
      <c r="AO689" s="117" t="s">
        <v>1359</v>
      </c>
      <c r="AP689" s="117">
        <v>74</v>
      </c>
      <c r="AQ689" s="117"/>
      <c r="AR689" s="126"/>
      <c r="AS689" s="117"/>
      <c r="AT689" s="117"/>
      <c r="AU689" s="117" t="s">
        <v>1360</v>
      </c>
      <c r="AV689" s="128"/>
      <c r="AW689" s="117">
        <f>VLOOKUP($D689,'WB Data'!$C$3:$M$578,2,FALSE)</f>
        <v>539579955780.06226</v>
      </c>
      <c r="AX689" s="117">
        <f>VLOOKUP($D689,'WB Data'!$C$3:$M$578,3,FALSE)</f>
        <v>237486894</v>
      </c>
      <c r="AY689" s="847">
        <f t="shared" si="115"/>
        <v>4.6193442404594588E-2</v>
      </c>
      <c r="AZ689" s="117">
        <f>VLOOKUP($D689,'WB Data'!$C$3:$M$578,4,FALSE)/100</f>
        <v>0.15375024136545859</v>
      </c>
      <c r="BA689" s="117">
        <f t="shared" si="116"/>
        <v>82960548437.148041</v>
      </c>
      <c r="BB689" s="129">
        <f>IFERROR(VLOOKUP($D689,'EITI Revenues'!$C$2:$G$224,5,FALSE),"..")</f>
        <v>24925055610</v>
      </c>
      <c r="BC689" s="846">
        <f t="shared" si="117"/>
        <v>0.30044468219594206</v>
      </c>
      <c r="BD689" s="129">
        <f>VLOOKUP($D689,'WB Data 2'!$C$2:$K$545,6,FALSE)</f>
        <v>44975155041.107948</v>
      </c>
      <c r="BE689" s="129">
        <f>IFERROR(VLOOKUP($D689,UNCTAD!$C$5:$V$529,4,FALSE),"..")</f>
        <v>133155500000</v>
      </c>
      <c r="BF689" s="846">
        <f t="shared" si="118"/>
        <v>0.33776415575104257</v>
      </c>
      <c r="BG689" s="117">
        <f>VLOOKUP($D689,'WB Data'!$C$3:$M$578,5,FALSE)</f>
        <v>1046530000</v>
      </c>
      <c r="BH689" s="129">
        <f>IFERROR($BB689/$BG689,"..")</f>
        <v>23.816857242506188</v>
      </c>
      <c r="BI689" s="117">
        <f>IFERROR(VLOOKUP($D689,'WB Data'!$C$3:$M$578,7,FALSE)/100,"..")</f>
        <v>3.5251299999999999E-2</v>
      </c>
      <c r="BJ689" s="117">
        <f>IFERROR($BI689*$AW689,"..")</f>
        <v>19020894895.189709</v>
      </c>
      <c r="BK689" s="846">
        <f>IFERROR($BB689/$BJ689,"..")</f>
        <v>1.3104039398431997</v>
      </c>
      <c r="BL689" s="117">
        <f>IFERROR(VLOOKUP($D689,'WB Data'!$C$3:$M$578,7,FALSE)/100,"..")</f>
        <v>3.5251299999999999E-2</v>
      </c>
      <c r="BM689" s="117">
        <f>IFERROR($AW689*$BL689,"..")</f>
        <v>19020894895.189709</v>
      </c>
      <c r="BN689" s="846">
        <f>IFERROR($BB689/$BM689,"..")</f>
        <v>1.3104039398431997</v>
      </c>
      <c r="BO689" s="801">
        <f t="shared" si="114"/>
        <v>34</v>
      </c>
      <c r="BP689" s="117">
        <f>VLOOKUP($D689,'WB Data'!$C$3:$M$578,9,FALSE)</f>
        <v>14.2</v>
      </c>
      <c r="BQ689" s="117">
        <f>VLOOKUP($D689,'WB Data'!$C$3:$M$578,10,FALSE)</f>
        <v>69.933097560975625</v>
      </c>
      <c r="BR689" s="117">
        <f>VLOOKUP($D689,'WB Data'!$C$3:$M$578,11,FALSE)</f>
        <v>28.6</v>
      </c>
      <c r="BS689" s="129">
        <f>IFERROR(VLOOKUP($D689,'WB Data 2'!$C$2:$K$545,9,FALSE),"..")</f>
        <v>98.035229999999999</v>
      </c>
      <c r="BT689" s="129">
        <f>_xlfn.IFNA(VLOOKUP($C689,RGI!$A$2:$C$43,2,FALSE),"..")</f>
        <v>50</v>
      </c>
      <c r="BU689" s="129">
        <f>_xlfn.IFNA(VLOOKUP($C689,RGI!$A$2:$C$43,3,FALSE),"..")</f>
        <v>65.756132994529537</v>
      </c>
      <c r="BV689" s="129">
        <f>VLOOKUP($D689,WGI!$C$2:$O$478,7,FALSE)</f>
        <v>-3.3692223068848899E-2</v>
      </c>
      <c r="BW689" s="129">
        <f>VLOOKUP($D689,WGI!$C$2:$O$478,4,FALSE)</f>
        <v>-0.75851636602946304</v>
      </c>
      <c r="BX689" s="129">
        <f>VLOOKUP($D689,WGI!$C$2:$O$478,3,FALSE)</f>
        <v>-0.27656821064612203</v>
      </c>
      <c r="BY689" s="129">
        <f>VLOOKUP($D689,WGI!$C$2:$O$478,5,FALSE)</f>
        <v>-0.33309293933209</v>
      </c>
      <c r="BZ689" s="129">
        <f>VLOOKUP($D689,WGI!$C$2:$O$478,2,FALSE)</f>
        <v>-0.81582570120773601</v>
      </c>
    </row>
    <row r="690" spans="1:80" ht="15" customHeight="1">
      <c r="A690" s="280" t="s">
        <v>249</v>
      </c>
      <c r="B690" s="117">
        <v>2011</v>
      </c>
      <c r="C690" s="117" t="s">
        <v>243</v>
      </c>
      <c r="D690" s="117" t="s">
        <v>3632</v>
      </c>
      <c r="E690" s="117" t="s">
        <v>244</v>
      </c>
      <c r="F690" s="117"/>
      <c r="G690" s="117" t="s">
        <v>24</v>
      </c>
      <c r="H690" s="117" t="str">
        <f t="shared" si="110"/>
        <v>yes</v>
      </c>
      <c r="I690" s="117" t="str">
        <f t="shared" si="111"/>
        <v>no</v>
      </c>
      <c r="J690" s="117" t="str">
        <f t="shared" si="112"/>
        <v>no</v>
      </c>
      <c r="K690" s="117" t="s">
        <v>1349</v>
      </c>
      <c r="L690" s="117" t="str">
        <f t="shared" si="119"/>
        <v>detailed</v>
      </c>
      <c r="M690" s="117" t="str">
        <f t="shared" si="113"/>
        <v>detailed Mining</v>
      </c>
      <c r="N690" s="118">
        <v>40000000</v>
      </c>
      <c r="O690" s="118"/>
      <c r="P690" s="118"/>
      <c r="Q690" s="118"/>
      <c r="R690" s="118"/>
      <c r="S690" s="118" t="s">
        <v>610</v>
      </c>
      <c r="T690" s="119">
        <v>30.49</v>
      </c>
      <c r="U690" s="117" t="s">
        <v>611</v>
      </c>
      <c r="V690" s="117" t="s">
        <v>1361</v>
      </c>
      <c r="W690" s="89">
        <f>N690*T690</f>
        <v>1219600000</v>
      </c>
      <c r="X690" s="117"/>
      <c r="Y690" s="117"/>
      <c r="Z690" s="117"/>
      <c r="AA690" s="177"/>
      <c r="AB690" s="177"/>
      <c r="AC690" s="122"/>
      <c r="AD690" s="122"/>
      <c r="AE690" s="122"/>
      <c r="AF690" s="123"/>
      <c r="AG690" s="117"/>
      <c r="AH690" s="124"/>
      <c r="AI690" s="117"/>
      <c r="AJ690" s="117"/>
      <c r="AK690" s="89"/>
      <c r="AL690" s="117"/>
      <c r="AM690" s="117"/>
      <c r="AN690" s="117">
        <v>3</v>
      </c>
      <c r="AO690" s="117" t="s">
        <v>1362</v>
      </c>
      <c r="AP690" s="117">
        <v>3</v>
      </c>
      <c r="AQ690" s="117"/>
      <c r="AR690" s="126"/>
      <c r="AS690" s="117"/>
      <c r="AT690" s="117"/>
      <c r="AU690" s="117"/>
      <c r="AV690" s="128"/>
      <c r="AW690" s="117">
        <f>VLOOKUP($D690,'WB Data'!$C$3:$M$578,2,FALSE)</f>
        <v>539579955780.06226</v>
      </c>
      <c r="AX690" s="117">
        <f>VLOOKUP($D690,'WB Data'!$C$3:$M$578,3,FALSE)</f>
        <v>237486894</v>
      </c>
      <c r="AY690" s="847">
        <f t="shared" si="115"/>
        <v>4.6193442404594588E-2</v>
      </c>
      <c r="AZ690" s="117">
        <f>VLOOKUP($D690,'WB Data'!$C$3:$M$578,4,FALSE)/100</f>
        <v>0.15375024136545859</v>
      </c>
      <c r="BA690" s="117">
        <f t="shared" si="116"/>
        <v>82960548437.148041</v>
      </c>
      <c r="BB690" s="129">
        <f>IFERROR(VLOOKUP($D690,'EITI Revenues'!$C$2:$G$224,5,FALSE),"..")</f>
        <v>24925055610</v>
      </c>
      <c r="BC690" s="846">
        <f t="shared" si="117"/>
        <v>0.30044468219594206</v>
      </c>
      <c r="BD690" s="129">
        <f>VLOOKUP($D690,'WB Data 2'!$C$2:$K$545,6,FALSE)</f>
        <v>44975155041.107948</v>
      </c>
      <c r="BE690" s="129">
        <f>IFERROR(VLOOKUP($D690,UNCTAD!$C$5:$V$529,4,FALSE),"..")</f>
        <v>133155500000</v>
      </c>
      <c r="BF690" s="846">
        <f t="shared" si="118"/>
        <v>0.33776415575104257</v>
      </c>
      <c r="BG690" s="117">
        <f>VLOOKUP($D690,'WB Data'!$C$3:$M$578,5,FALSE)</f>
        <v>1046530000</v>
      </c>
      <c r="BH690" s="129">
        <f>IFERROR($BB690/$BG690,"..")</f>
        <v>23.816857242506188</v>
      </c>
      <c r="BI690" s="117">
        <f>IFERROR(VLOOKUP($D690,'WB Data'!$C$3:$M$578,7,FALSE)/100,"..")</f>
        <v>3.5251299999999999E-2</v>
      </c>
      <c r="BJ690" s="117">
        <f>IFERROR($BI690*$AW690,"..")</f>
        <v>19020894895.189709</v>
      </c>
      <c r="BK690" s="846">
        <f>IFERROR($BB690/$BJ690,"..")</f>
        <v>1.3104039398431997</v>
      </c>
      <c r="BL690" s="117">
        <f>IFERROR(VLOOKUP($D690,'WB Data'!$C$3:$M$578,7,FALSE)/100,"..")</f>
        <v>3.5251299999999999E-2</v>
      </c>
      <c r="BM690" s="117">
        <f>IFERROR($AW690*$BL690,"..")</f>
        <v>19020894895.189709</v>
      </c>
      <c r="BN690" s="846">
        <f>IFERROR($BB690/$BM690,"..")</f>
        <v>1.3104039398431997</v>
      </c>
      <c r="BO690" s="801">
        <f t="shared" si="114"/>
        <v>34</v>
      </c>
      <c r="BP690" s="117">
        <f>VLOOKUP($D690,'WB Data'!$C$3:$M$578,9,FALSE)</f>
        <v>14.2</v>
      </c>
      <c r="BQ690" s="117">
        <f>VLOOKUP($D690,'WB Data'!$C$3:$M$578,10,FALSE)</f>
        <v>69.933097560975625</v>
      </c>
      <c r="BR690" s="117">
        <f>VLOOKUP($D690,'WB Data'!$C$3:$M$578,11,FALSE)</f>
        <v>28.6</v>
      </c>
      <c r="BS690" s="129">
        <f>IFERROR(VLOOKUP($D690,'WB Data 2'!$C$2:$K$545,9,FALSE),"..")</f>
        <v>98.035229999999999</v>
      </c>
      <c r="BT690" s="129">
        <f>_xlfn.IFNA(VLOOKUP($C690,RGI!$A$2:$C$43,2,FALSE),"..")</f>
        <v>50</v>
      </c>
      <c r="BU690" s="129">
        <f>_xlfn.IFNA(VLOOKUP($C690,RGI!$A$2:$C$43,3,FALSE),"..")</f>
        <v>65.756132994529537</v>
      </c>
      <c r="BV690" s="129">
        <f>VLOOKUP($D690,WGI!$C$2:$O$478,7,FALSE)</f>
        <v>-3.3692223068848899E-2</v>
      </c>
      <c r="BW690" s="129">
        <f>VLOOKUP($D690,WGI!$C$2:$O$478,4,FALSE)</f>
        <v>-0.75851636602946304</v>
      </c>
      <c r="BX690" s="129">
        <f>VLOOKUP($D690,WGI!$C$2:$O$478,3,FALSE)</f>
        <v>-0.27656821064612203</v>
      </c>
      <c r="BY690" s="129">
        <f>VLOOKUP($D690,WGI!$C$2:$O$478,5,FALSE)</f>
        <v>-0.33309293933209</v>
      </c>
      <c r="BZ690" s="129">
        <f>VLOOKUP($D690,WGI!$C$2:$O$478,2,FALSE)</f>
        <v>-0.81582570120773601</v>
      </c>
    </row>
    <row r="691" spans="1:80" ht="15" customHeight="1">
      <c r="A691" s="280" t="s">
        <v>249</v>
      </c>
      <c r="B691" s="117">
        <v>2011</v>
      </c>
      <c r="C691" s="117" t="s">
        <v>243</v>
      </c>
      <c r="D691" s="117" t="s">
        <v>3632</v>
      </c>
      <c r="E691" s="117" t="s">
        <v>244</v>
      </c>
      <c r="F691" s="117"/>
      <c r="G691" s="117" t="s">
        <v>24</v>
      </c>
      <c r="H691" s="117" t="str">
        <f t="shared" si="110"/>
        <v>yes</v>
      </c>
      <c r="I691" s="117" t="str">
        <f t="shared" si="111"/>
        <v>no</v>
      </c>
      <c r="J691" s="117" t="str">
        <f t="shared" si="112"/>
        <v>no</v>
      </c>
      <c r="K691" s="117" t="s">
        <v>616</v>
      </c>
      <c r="L691" s="117" t="str">
        <f t="shared" si="119"/>
        <v>detailed</v>
      </c>
      <c r="M691" s="117" t="str">
        <f t="shared" si="113"/>
        <v>detailed Mining</v>
      </c>
      <c r="N691" s="118">
        <v>353300000</v>
      </c>
      <c r="O691" s="118"/>
      <c r="P691" s="118"/>
      <c r="Q691" s="118"/>
      <c r="R691" s="118"/>
      <c r="S691" s="117" t="s">
        <v>610</v>
      </c>
      <c r="T691" s="119">
        <v>111.54662184722224</v>
      </c>
      <c r="U691" s="117" t="s">
        <v>611</v>
      </c>
      <c r="V691" s="117" t="s">
        <v>1321</v>
      </c>
      <c r="W691" s="89">
        <f>N691*T691</f>
        <v>39409421498.623619</v>
      </c>
      <c r="X691" s="117"/>
      <c r="Y691" s="117"/>
      <c r="Z691" s="117"/>
      <c r="AA691" s="177"/>
      <c r="AB691" s="177"/>
      <c r="AC691" s="122"/>
      <c r="AD691" s="122"/>
      <c r="AE691" s="122"/>
      <c r="AF691" s="123"/>
      <c r="AG691" s="117"/>
      <c r="AH691" s="124"/>
      <c r="AI691" s="117"/>
      <c r="AJ691" s="117"/>
      <c r="AK691" s="89"/>
      <c r="AL691" s="117"/>
      <c r="AM691" s="117"/>
      <c r="AN691" s="117">
        <v>63</v>
      </c>
      <c r="AO691" s="117" t="s">
        <v>1363</v>
      </c>
      <c r="AP691" s="117">
        <v>60</v>
      </c>
      <c r="AQ691" s="117"/>
      <c r="AR691" s="126"/>
      <c r="AS691" s="117"/>
      <c r="AT691" s="117"/>
      <c r="AU691" s="117"/>
      <c r="AV691" s="128"/>
      <c r="AW691" s="117">
        <f>VLOOKUP($D691,'WB Data'!$C$3:$M$578,2,FALSE)</f>
        <v>539579955780.06226</v>
      </c>
      <c r="AX691" s="117">
        <f>VLOOKUP($D691,'WB Data'!$C$3:$M$578,3,FALSE)</f>
        <v>237486894</v>
      </c>
      <c r="AY691" s="847">
        <f t="shared" si="115"/>
        <v>4.6193442404594588E-2</v>
      </c>
      <c r="AZ691" s="117">
        <f>VLOOKUP($D691,'WB Data'!$C$3:$M$578,4,FALSE)/100</f>
        <v>0.15375024136545859</v>
      </c>
      <c r="BA691" s="117">
        <f t="shared" si="116"/>
        <v>82960548437.148041</v>
      </c>
      <c r="BB691" s="129">
        <f>IFERROR(VLOOKUP($D691,'EITI Revenues'!$C$2:$G$224,5,FALSE),"..")</f>
        <v>24925055610</v>
      </c>
      <c r="BC691" s="846">
        <f t="shared" si="117"/>
        <v>0.30044468219594206</v>
      </c>
      <c r="BD691" s="129">
        <f>VLOOKUP($D691,'WB Data 2'!$C$2:$K$545,6,FALSE)</f>
        <v>44975155041.107948</v>
      </c>
      <c r="BE691" s="129">
        <f>IFERROR(VLOOKUP($D691,UNCTAD!$C$5:$V$529,4,FALSE),"..")</f>
        <v>133155500000</v>
      </c>
      <c r="BF691" s="846">
        <f t="shared" si="118"/>
        <v>0.33776415575104257</v>
      </c>
      <c r="BG691" s="117">
        <f>VLOOKUP($D691,'WB Data'!$C$3:$M$578,5,FALSE)</f>
        <v>1046530000</v>
      </c>
      <c r="BH691" s="129">
        <f>IFERROR($BB691/$BG691,"..")</f>
        <v>23.816857242506188</v>
      </c>
      <c r="BI691" s="117">
        <f>IFERROR(VLOOKUP($D691,'WB Data'!$C$3:$M$578,7,FALSE)/100,"..")</f>
        <v>3.5251299999999999E-2</v>
      </c>
      <c r="BJ691" s="117">
        <f>IFERROR($BI691*$AW691,"..")</f>
        <v>19020894895.189709</v>
      </c>
      <c r="BK691" s="846">
        <f>IFERROR($BB691/$BJ691,"..")</f>
        <v>1.3104039398431997</v>
      </c>
      <c r="BL691" s="117">
        <f>IFERROR(VLOOKUP($D691,'WB Data'!$C$3:$M$578,7,FALSE)/100,"..")</f>
        <v>3.5251299999999999E-2</v>
      </c>
      <c r="BM691" s="117">
        <f>IFERROR($AW691*$BL691,"..")</f>
        <v>19020894895.189709</v>
      </c>
      <c r="BN691" s="846">
        <f>IFERROR($BB691/$BM691,"..")</f>
        <v>1.3104039398431997</v>
      </c>
      <c r="BO691" s="801">
        <f t="shared" si="114"/>
        <v>34</v>
      </c>
      <c r="BP691" s="117">
        <f>VLOOKUP($D691,'WB Data'!$C$3:$M$578,9,FALSE)</f>
        <v>14.2</v>
      </c>
      <c r="BQ691" s="117">
        <f>VLOOKUP($D691,'WB Data'!$C$3:$M$578,10,FALSE)</f>
        <v>69.933097560975625</v>
      </c>
      <c r="BR691" s="117">
        <f>VLOOKUP($D691,'WB Data'!$C$3:$M$578,11,FALSE)</f>
        <v>28.6</v>
      </c>
      <c r="BS691" s="129">
        <f>IFERROR(VLOOKUP($D691,'WB Data 2'!$C$2:$K$545,9,FALSE),"..")</f>
        <v>98.035229999999999</v>
      </c>
      <c r="BT691" s="129">
        <f>_xlfn.IFNA(VLOOKUP($C691,RGI!$A$2:$C$43,2,FALSE),"..")</f>
        <v>50</v>
      </c>
      <c r="BU691" s="129">
        <f>_xlfn.IFNA(VLOOKUP($C691,RGI!$A$2:$C$43,3,FALSE),"..")</f>
        <v>65.756132994529537</v>
      </c>
      <c r="BV691" s="129">
        <f>VLOOKUP($D691,WGI!$C$2:$O$478,7,FALSE)</f>
        <v>-3.3692223068848899E-2</v>
      </c>
      <c r="BW691" s="129">
        <f>VLOOKUP($D691,WGI!$C$2:$O$478,4,FALSE)</f>
        <v>-0.75851636602946304</v>
      </c>
      <c r="BX691" s="129">
        <f>VLOOKUP($D691,WGI!$C$2:$O$478,3,FALSE)</f>
        <v>-0.27656821064612203</v>
      </c>
      <c r="BY691" s="129">
        <f>VLOOKUP($D691,WGI!$C$2:$O$478,5,FALSE)</f>
        <v>-0.33309293933209</v>
      </c>
      <c r="BZ691" s="129">
        <f>VLOOKUP($D691,WGI!$C$2:$O$478,2,FALSE)</f>
        <v>-0.81582570120773601</v>
      </c>
    </row>
    <row r="692" spans="1:80" ht="15" customHeight="1">
      <c r="A692" s="280" t="s">
        <v>249</v>
      </c>
      <c r="B692" s="117">
        <v>2011</v>
      </c>
      <c r="C692" s="117" t="s">
        <v>243</v>
      </c>
      <c r="D692" s="117" t="s">
        <v>3632</v>
      </c>
      <c r="E692" s="117" t="s">
        <v>244</v>
      </c>
      <c r="F692" s="117"/>
      <c r="G692" s="117" t="s">
        <v>24</v>
      </c>
      <c r="H692" s="117" t="str">
        <f t="shared" si="110"/>
        <v>yes</v>
      </c>
      <c r="I692" s="117" t="str">
        <f t="shared" si="111"/>
        <v>no</v>
      </c>
      <c r="J692" s="117" t="str">
        <f t="shared" si="112"/>
        <v>no</v>
      </c>
      <c r="K692" s="117" t="s">
        <v>619</v>
      </c>
      <c r="L692" s="117" t="str">
        <f t="shared" si="119"/>
        <v>detailed</v>
      </c>
      <c r="M692" s="117" t="str">
        <f t="shared" si="113"/>
        <v>detailed Mining</v>
      </c>
      <c r="N692" s="118"/>
      <c r="O692" s="118"/>
      <c r="P692" s="118"/>
      <c r="Q692" s="118"/>
      <c r="R692" s="118"/>
      <c r="S692" s="117"/>
      <c r="T692" s="186">
        <v>8828.1875</v>
      </c>
      <c r="U692" s="117" t="s">
        <v>611</v>
      </c>
      <c r="V692" s="117" t="s">
        <v>681</v>
      </c>
      <c r="W692" s="89">
        <f>SUM(N694:N695)*T692</f>
        <v>4707189575</v>
      </c>
      <c r="X692" s="117"/>
      <c r="Y692" s="117"/>
      <c r="Z692" s="117"/>
      <c r="AA692" s="177"/>
      <c r="AB692" s="177"/>
      <c r="AC692" s="122"/>
      <c r="AD692" s="122"/>
      <c r="AE692" s="122"/>
      <c r="AF692" s="123"/>
      <c r="AG692" s="117"/>
      <c r="AH692" s="124"/>
      <c r="AI692" s="117"/>
      <c r="AJ692" s="117"/>
      <c r="AK692" s="89"/>
      <c r="AL692" s="117"/>
      <c r="AM692" s="117"/>
      <c r="AN692" s="117">
        <v>4</v>
      </c>
      <c r="AO692" s="117" t="s">
        <v>1351</v>
      </c>
      <c r="AP692" s="117">
        <v>4</v>
      </c>
      <c r="AQ692" s="117"/>
      <c r="AR692" s="126"/>
      <c r="AS692" s="117"/>
      <c r="AT692" s="117"/>
      <c r="AU692" s="117"/>
      <c r="AV692" s="128"/>
      <c r="AW692" s="117">
        <f>VLOOKUP($D692,'WB Data'!$C$3:$M$578,2,FALSE)</f>
        <v>539579955780.06226</v>
      </c>
      <c r="AX692" s="117">
        <f>VLOOKUP($D692,'WB Data'!$C$3:$M$578,3,FALSE)</f>
        <v>237486894</v>
      </c>
      <c r="AY692" s="847">
        <f t="shared" si="115"/>
        <v>4.6193442404594588E-2</v>
      </c>
      <c r="AZ692" s="117">
        <f>VLOOKUP($D692,'WB Data'!$C$3:$M$578,4,FALSE)/100</f>
        <v>0.15375024136545859</v>
      </c>
      <c r="BA692" s="117">
        <f t="shared" si="116"/>
        <v>82960548437.148041</v>
      </c>
      <c r="BB692" s="129">
        <f>IFERROR(VLOOKUP($D692,'EITI Revenues'!$C$2:$G$224,5,FALSE),"..")</f>
        <v>24925055610</v>
      </c>
      <c r="BC692" s="846">
        <f t="shared" si="117"/>
        <v>0.30044468219594206</v>
      </c>
      <c r="BD692" s="129">
        <f>VLOOKUP($D692,'WB Data 2'!$C$2:$K$545,6,FALSE)</f>
        <v>44975155041.107948</v>
      </c>
      <c r="BE692" s="129">
        <f>IFERROR(VLOOKUP($D692,UNCTAD!$C$5:$V$529,4,FALSE),"..")</f>
        <v>133155500000</v>
      </c>
      <c r="BF692" s="846">
        <f t="shared" si="118"/>
        <v>0.33776415575104257</v>
      </c>
      <c r="BG692" s="117">
        <f>VLOOKUP($D692,'WB Data'!$C$3:$M$578,5,FALSE)</f>
        <v>1046530000</v>
      </c>
      <c r="BH692" s="129">
        <f>IFERROR($BB692/$BG692,"..")</f>
        <v>23.816857242506188</v>
      </c>
      <c r="BI692" s="117">
        <f>IFERROR(VLOOKUP($D692,'WB Data'!$C$3:$M$578,7,FALSE)/100,"..")</f>
        <v>3.5251299999999999E-2</v>
      </c>
      <c r="BJ692" s="117">
        <f>IFERROR($BI692*$AW692,"..")</f>
        <v>19020894895.189709</v>
      </c>
      <c r="BK692" s="846">
        <f>IFERROR($BB692/$BJ692,"..")</f>
        <v>1.3104039398431997</v>
      </c>
      <c r="BL692" s="117">
        <f>IFERROR(VLOOKUP($D692,'WB Data'!$C$3:$M$578,7,FALSE)/100,"..")</f>
        <v>3.5251299999999999E-2</v>
      </c>
      <c r="BM692" s="117">
        <f>IFERROR($AW692*$BL692,"..")</f>
        <v>19020894895.189709</v>
      </c>
      <c r="BN692" s="846">
        <f>IFERROR($BB692/$BM692,"..")</f>
        <v>1.3104039398431997</v>
      </c>
      <c r="BO692" s="801">
        <f t="shared" si="114"/>
        <v>34</v>
      </c>
      <c r="BP692" s="117">
        <f>VLOOKUP($D692,'WB Data'!$C$3:$M$578,9,FALSE)</f>
        <v>14.2</v>
      </c>
      <c r="BQ692" s="117">
        <f>VLOOKUP($D692,'WB Data'!$C$3:$M$578,10,FALSE)</f>
        <v>69.933097560975625</v>
      </c>
      <c r="BR692" s="117">
        <f>VLOOKUP($D692,'WB Data'!$C$3:$M$578,11,FALSE)</f>
        <v>28.6</v>
      </c>
      <c r="BS692" s="129">
        <f>IFERROR(VLOOKUP($D692,'WB Data 2'!$C$2:$K$545,9,FALSE),"..")</f>
        <v>98.035229999999999</v>
      </c>
      <c r="BT692" s="129">
        <f>_xlfn.IFNA(VLOOKUP($C692,RGI!$A$2:$C$43,2,FALSE),"..")</f>
        <v>50</v>
      </c>
      <c r="BU692" s="129">
        <f>_xlfn.IFNA(VLOOKUP($C692,RGI!$A$2:$C$43,3,FALSE),"..")</f>
        <v>65.756132994529537</v>
      </c>
      <c r="BV692" s="129">
        <f>VLOOKUP($D692,WGI!$C$2:$O$478,7,FALSE)</f>
        <v>-3.3692223068848899E-2</v>
      </c>
      <c r="BW692" s="129">
        <f>VLOOKUP($D692,WGI!$C$2:$O$478,4,FALSE)</f>
        <v>-0.75851636602946304</v>
      </c>
      <c r="BX692" s="129">
        <f>VLOOKUP($D692,WGI!$C$2:$O$478,3,FALSE)</f>
        <v>-0.27656821064612203</v>
      </c>
      <c r="BY692" s="129">
        <f>VLOOKUP($D692,WGI!$C$2:$O$478,5,FALSE)</f>
        <v>-0.33309293933209</v>
      </c>
      <c r="BZ692" s="129">
        <f>VLOOKUP($D692,WGI!$C$2:$O$478,2,FALSE)</f>
        <v>-0.81582570120773601</v>
      </c>
    </row>
    <row r="693" spans="1:80" ht="15" customHeight="1">
      <c r="A693" s="280" t="s">
        <v>249</v>
      </c>
      <c r="B693" s="117">
        <v>2011</v>
      </c>
      <c r="C693" s="117" t="s">
        <v>243</v>
      </c>
      <c r="D693" s="117" t="s">
        <v>3632</v>
      </c>
      <c r="E693" s="117" t="s">
        <v>244</v>
      </c>
      <c r="F693" s="117"/>
      <c r="G693" s="117" t="s">
        <v>24</v>
      </c>
      <c r="H693" s="117" t="str">
        <f t="shared" si="110"/>
        <v>yes</v>
      </c>
      <c r="I693" s="117" t="str">
        <f t="shared" si="111"/>
        <v>no</v>
      </c>
      <c r="J693" s="117" t="str">
        <f t="shared" si="112"/>
        <v>no</v>
      </c>
      <c r="K693" s="117" t="s">
        <v>1324</v>
      </c>
      <c r="L693" s="117" t="str">
        <f t="shared" si="119"/>
        <v>detailed</v>
      </c>
      <c r="M693" s="117" t="str">
        <f t="shared" si="113"/>
        <v>detailed Mining</v>
      </c>
      <c r="N693" s="118">
        <v>542700</v>
      </c>
      <c r="O693" s="118"/>
      <c r="P693" s="118"/>
      <c r="Q693" s="118"/>
      <c r="R693" s="118"/>
      <c r="S693" s="117" t="s">
        <v>610</v>
      </c>
      <c r="T693" s="119"/>
      <c r="U693" s="117"/>
      <c r="V693" s="117" t="s">
        <v>684</v>
      </c>
      <c r="W693" s="89"/>
      <c r="X693" s="117"/>
      <c r="Y693" s="117"/>
      <c r="Z693" s="117"/>
      <c r="AA693" s="177"/>
      <c r="AB693" s="177"/>
      <c r="AC693" s="122"/>
      <c r="AD693" s="122"/>
      <c r="AE693" s="122"/>
      <c r="AF693" s="123"/>
      <c r="AG693" s="117"/>
      <c r="AH693" s="124"/>
      <c r="AI693" s="117"/>
      <c r="AJ693" s="117"/>
      <c r="AK693" s="89"/>
      <c r="AL693" s="117"/>
      <c r="AM693" s="117"/>
      <c r="AN693" s="117"/>
      <c r="AO693" s="117"/>
      <c r="AP693" s="117"/>
      <c r="AQ693" s="117"/>
      <c r="AR693" s="126"/>
      <c r="AS693" s="117"/>
      <c r="AT693" s="117"/>
      <c r="AU693" s="117"/>
      <c r="AV693" s="128"/>
      <c r="AW693" s="117">
        <f>VLOOKUP($D693,'WB Data'!$C$3:$M$578,2,FALSE)</f>
        <v>539579955780.06226</v>
      </c>
      <c r="AX693" s="117">
        <f>VLOOKUP($D693,'WB Data'!$C$3:$M$578,3,FALSE)</f>
        <v>237486894</v>
      </c>
      <c r="AY693" s="847">
        <f t="shared" si="115"/>
        <v>4.6193442404594588E-2</v>
      </c>
      <c r="AZ693" s="117">
        <f>VLOOKUP($D693,'WB Data'!$C$3:$M$578,4,FALSE)/100</f>
        <v>0.15375024136545859</v>
      </c>
      <c r="BA693" s="117">
        <f t="shared" si="116"/>
        <v>82960548437.148041</v>
      </c>
      <c r="BB693" s="129">
        <f>IFERROR(VLOOKUP($D693,'EITI Revenues'!$C$2:$G$224,5,FALSE),"..")</f>
        <v>24925055610</v>
      </c>
      <c r="BC693" s="846">
        <f t="shared" si="117"/>
        <v>0.30044468219594206</v>
      </c>
      <c r="BD693" s="129">
        <f>VLOOKUP($D693,'WB Data 2'!$C$2:$K$545,6,FALSE)</f>
        <v>44975155041.107948</v>
      </c>
      <c r="BE693" s="129">
        <f>IFERROR(VLOOKUP($D693,UNCTAD!$C$5:$V$529,4,FALSE),"..")</f>
        <v>133155500000</v>
      </c>
      <c r="BF693" s="846">
        <f t="shared" si="118"/>
        <v>0.33776415575104257</v>
      </c>
      <c r="BG693" s="117">
        <f>VLOOKUP($D693,'WB Data'!$C$3:$M$578,5,FALSE)</f>
        <v>1046530000</v>
      </c>
      <c r="BH693" s="129">
        <f>IFERROR($BB693/$BG693,"..")</f>
        <v>23.816857242506188</v>
      </c>
      <c r="BI693" s="117">
        <f>IFERROR(VLOOKUP($D693,'WB Data'!$C$3:$M$578,7,FALSE)/100,"..")</f>
        <v>3.5251299999999999E-2</v>
      </c>
      <c r="BJ693" s="117">
        <f>IFERROR($BI693*$AW693,"..")</f>
        <v>19020894895.189709</v>
      </c>
      <c r="BK693" s="846">
        <f>IFERROR($BB693/$BJ693,"..")</f>
        <v>1.3104039398431997</v>
      </c>
      <c r="BL693" s="117">
        <f>IFERROR(VLOOKUP($D693,'WB Data'!$C$3:$M$578,7,FALSE)/100,"..")</f>
        <v>3.5251299999999999E-2</v>
      </c>
      <c r="BM693" s="117">
        <f>IFERROR($AW693*$BL693,"..")</f>
        <v>19020894895.189709</v>
      </c>
      <c r="BN693" s="846">
        <f>IFERROR($BB693/$BM693,"..")</f>
        <v>1.3104039398431997</v>
      </c>
      <c r="BO693" s="801">
        <f t="shared" si="114"/>
        <v>34</v>
      </c>
      <c r="BP693" s="117">
        <f>VLOOKUP($D693,'WB Data'!$C$3:$M$578,9,FALSE)</f>
        <v>14.2</v>
      </c>
      <c r="BQ693" s="117">
        <f>VLOOKUP($D693,'WB Data'!$C$3:$M$578,10,FALSE)</f>
        <v>69.933097560975625</v>
      </c>
      <c r="BR693" s="117">
        <f>VLOOKUP($D693,'WB Data'!$C$3:$M$578,11,FALSE)</f>
        <v>28.6</v>
      </c>
      <c r="BS693" s="129">
        <f>IFERROR(VLOOKUP($D693,'WB Data 2'!$C$2:$K$545,9,FALSE),"..")</f>
        <v>98.035229999999999</v>
      </c>
      <c r="BT693" s="129">
        <f>_xlfn.IFNA(VLOOKUP($C693,RGI!$A$2:$C$43,2,FALSE),"..")</f>
        <v>50</v>
      </c>
      <c r="BU693" s="129">
        <f>_xlfn.IFNA(VLOOKUP($C693,RGI!$A$2:$C$43,3,FALSE),"..")</f>
        <v>65.756132994529537</v>
      </c>
      <c r="BV693" s="129">
        <f>VLOOKUP($D693,WGI!$C$2:$O$478,7,FALSE)</f>
        <v>-3.3692223068848899E-2</v>
      </c>
      <c r="BW693" s="129">
        <f>VLOOKUP($D693,WGI!$C$2:$O$478,4,FALSE)</f>
        <v>-0.75851636602946304</v>
      </c>
      <c r="BX693" s="129">
        <f>VLOOKUP($D693,WGI!$C$2:$O$478,3,FALSE)</f>
        <v>-0.27656821064612203</v>
      </c>
      <c r="BY693" s="129">
        <f>VLOOKUP($D693,WGI!$C$2:$O$478,5,FALSE)</f>
        <v>-0.33309293933209</v>
      </c>
      <c r="BZ693" s="129">
        <f>VLOOKUP($D693,WGI!$C$2:$O$478,2,FALSE)</f>
        <v>-0.81582570120773601</v>
      </c>
    </row>
    <row r="694" spans="1:80" ht="15" customHeight="1">
      <c r="A694" s="280" t="s">
        <v>249</v>
      </c>
      <c r="B694" s="117">
        <v>2011</v>
      </c>
      <c r="C694" s="117" t="s">
        <v>243</v>
      </c>
      <c r="D694" s="117" t="s">
        <v>3632</v>
      </c>
      <c r="E694" s="117" t="s">
        <v>244</v>
      </c>
      <c r="F694" s="117"/>
      <c r="G694" s="117" t="s">
        <v>24</v>
      </c>
      <c r="H694" s="117" t="str">
        <f t="shared" si="110"/>
        <v>yes</v>
      </c>
      <c r="I694" s="117" t="str">
        <f t="shared" si="111"/>
        <v>no</v>
      </c>
      <c r="J694" s="117" t="str">
        <f t="shared" si="112"/>
        <v>no</v>
      </c>
      <c r="K694" s="117" t="s">
        <v>1325</v>
      </c>
      <c r="L694" s="117" t="str">
        <f t="shared" si="119"/>
        <v>detailed</v>
      </c>
      <c r="M694" s="117" t="str">
        <f t="shared" si="113"/>
        <v>detailed Mining</v>
      </c>
      <c r="N694" s="118">
        <v>276200</v>
      </c>
      <c r="O694" s="118"/>
      <c r="P694" s="118"/>
      <c r="Q694" s="118"/>
      <c r="R694" s="118"/>
      <c r="S694" s="117" t="s">
        <v>610</v>
      </c>
      <c r="T694" s="119"/>
      <c r="U694" s="117"/>
      <c r="V694" s="117" t="s">
        <v>684</v>
      </c>
      <c r="W694" s="89"/>
      <c r="X694" s="117"/>
      <c r="Y694" s="117"/>
      <c r="Z694" s="117"/>
      <c r="AA694" s="177"/>
      <c r="AB694" s="177"/>
      <c r="AC694" s="122"/>
      <c r="AD694" s="122"/>
      <c r="AE694" s="122"/>
      <c r="AF694" s="123"/>
      <c r="AG694" s="117"/>
      <c r="AH694" s="124"/>
      <c r="AI694" s="117"/>
      <c r="AJ694" s="117"/>
      <c r="AK694" s="89"/>
      <c r="AL694" s="117"/>
      <c r="AM694" s="117"/>
      <c r="AN694" s="117"/>
      <c r="AO694" s="117"/>
      <c r="AP694" s="117"/>
      <c r="AQ694" s="117"/>
      <c r="AR694" s="126"/>
      <c r="AS694" s="117"/>
      <c r="AT694" s="117"/>
      <c r="AU694" s="117"/>
      <c r="AV694" s="128"/>
      <c r="AW694" s="117">
        <f>VLOOKUP($D694,'WB Data'!$C$3:$M$578,2,FALSE)</f>
        <v>539579955780.06226</v>
      </c>
      <c r="AX694" s="117">
        <f>VLOOKUP($D694,'WB Data'!$C$3:$M$578,3,FALSE)</f>
        <v>237486894</v>
      </c>
      <c r="AY694" s="847">
        <f t="shared" si="115"/>
        <v>4.6193442404594588E-2</v>
      </c>
      <c r="AZ694" s="117">
        <f>VLOOKUP($D694,'WB Data'!$C$3:$M$578,4,FALSE)/100</f>
        <v>0.15375024136545859</v>
      </c>
      <c r="BA694" s="117">
        <f t="shared" si="116"/>
        <v>82960548437.148041</v>
      </c>
      <c r="BB694" s="129">
        <f>IFERROR(VLOOKUP($D694,'EITI Revenues'!$C$2:$G$224,5,FALSE),"..")</f>
        <v>24925055610</v>
      </c>
      <c r="BC694" s="846">
        <f t="shared" si="117"/>
        <v>0.30044468219594206</v>
      </c>
      <c r="BD694" s="129">
        <f>VLOOKUP($D694,'WB Data 2'!$C$2:$K$545,6,FALSE)</f>
        <v>44975155041.107948</v>
      </c>
      <c r="BE694" s="129">
        <f>IFERROR(VLOOKUP($D694,UNCTAD!$C$5:$V$529,4,FALSE),"..")</f>
        <v>133155500000</v>
      </c>
      <c r="BF694" s="846">
        <f t="shared" si="118"/>
        <v>0.33776415575104257</v>
      </c>
      <c r="BG694" s="117">
        <f>VLOOKUP($D694,'WB Data'!$C$3:$M$578,5,FALSE)</f>
        <v>1046530000</v>
      </c>
      <c r="BH694" s="129">
        <f>IFERROR($BB694/$BG694,"..")</f>
        <v>23.816857242506188</v>
      </c>
      <c r="BI694" s="117">
        <f>IFERROR(VLOOKUP($D694,'WB Data'!$C$3:$M$578,7,FALSE)/100,"..")</f>
        <v>3.5251299999999999E-2</v>
      </c>
      <c r="BJ694" s="117">
        <f>IFERROR($BI694*$AW694,"..")</f>
        <v>19020894895.189709</v>
      </c>
      <c r="BK694" s="846">
        <f>IFERROR($BB694/$BJ694,"..")</f>
        <v>1.3104039398431997</v>
      </c>
      <c r="BL694" s="117">
        <f>IFERROR(VLOOKUP($D694,'WB Data'!$C$3:$M$578,7,FALSE)/100,"..")</f>
        <v>3.5251299999999999E-2</v>
      </c>
      <c r="BM694" s="117">
        <f>IFERROR($AW694*$BL694,"..")</f>
        <v>19020894895.189709</v>
      </c>
      <c r="BN694" s="846">
        <f>IFERROR($BB694/$BM694,"..")</f>
        <v>1.3104039398431997</v>
      </c>
      <c r="BO694" s="801">
        <f t="shared" si="114"/>
        <v>34</v>
      </c>
      <c r="BP694" s="117">
        <f>VLOOKUP($D694,'WB Data'!$C$3:$M$578,9,FALSE)</f>
        <v>14.2</v>
      </c>
      <c r="BQ694" s="117">
        <f>VLOOKUP($D694,'WB Data'!$C$3:$M$578,10,FALSE)</f>
        <v>69.933097560975625</v>
      </c>
      <c r="BR694" s="117">
        <f>VLOOKUP($D694,'WB Data'!$C$3:$M$578,11,FALSE)</f>
        <v>28.6</v>
      </c>
      <c r="BS694" s="129">
        <f>IFERROR(VLOOKUP($D694,'WB Data 2'!$C$2:$K$545,9,FALSE),"..")</f>
        <v>98.035229999999999</v>
      </c>
      <c r="BT694" s="129">
        <f>_xlfn.IFNA(VLOOKUP($C694,RGI!$A$2:$C$43,2,FALSE),"..")</f>
        <v>50</v>
      </c>
      <c r="BU694" s="129">
        <f>_xlfn.IFNA(VLOOKUP($C694,RGI!$A$2:$C$43,3,FALSE),"..")</f>
        <v>65.756132994529537</v>
      </c>
      <c r="BV694" s="129">
        <f>VLOOKUP($D694,WGI!$C$2:$O$478,7,FALSE)</f>
        <v>-3.3692223068848899E-2</v>
      </c>
      <c r="BW694" s="129">
        <f>VLOOKUP($D694,WGI!$C$2:$O$478,4,FALSE)</f>
        <v>-0.75851636602946304</v>
      </c>
      <c r="BX694" s="129">
        <f>VLOOKUP($D694,WGI!$C$2:$O$478,3,FALSE)</f>
        <v>-0.27656821064612203</v>
      </c>
      <c r="BY694" s="129">
        <f>VLOOKUP($D694,WGI!$C$2:$O$478,5,FALSE)</f>
        <v>-0.33309293933209</v>
      </c>
      <c r="BZ694" s="129">
        <f>VLOOKUP($D694,WGI!$C$2:$O$478,2,FALSE)</f>
        <v>-0.81582570120773601</v>
      </c>
    </row>
    <row r="695" spans="1:80" ht="15" customHeight="1">
      <c r="A695" s="280" t="s">
        <v>249</v>
      </c>
      <c r="B695" s="117">
        <v>2011</v>
      </c>
      <c r="C695" s="117" t="s">
        <v>243</v>
      </c>
      <c r="D695" s="117" t="s">
        <v>3632</v>
      </c>
      <c r="E695" s="117" t="s">
        <v>244</v>
      </c>
      <c r="F695" s="117"/>
      <c r="G695" s="117" t="s">
        <v>24</v>
      </c>
      <c r="H695" s="117" t="str">
        <f t="shared" si="110"/>
        <v>yes</v>
      </c>
      <c r="I695" s="117" t="str">
        <f t="shared" si="111"/>
        <v>no</v>
      </c>
      <c r="J695" s="117" t="str">
        <f t="shared" si="112"/>
        <v>no</v>
      </c>
      <c r="K695" s="117" t="s">
        <v>1326</v>
      </c>
      <c r="L695" s="117" t="str">
        <f t="shared" si="119"/>
        <v>detailed</v>
      </c>
      <c r="M695" s="117" t="str">
        <f t="shared" si="113"/>
        <v>detailed Mining</v>
      </c>
      <c r="N695" s="118">
        <v>257000</v>
      </c>
      <c r="O695" s="118"/>
      <c r="P695" s="118"/>
      <c r="Q695" s="118"/>
      <c r="R695" s="118"/>
      <c r="S695" s="117" t="s">
        <v>610</v>
      </c>
      <c r="T695" s="119"/>
      <c r="U695" s="117"/>
      <c r="V695" s="117" t="s">
        <v>684</v>
      </c>
      <c r="W695" s="89"/>
      <c r="X695" s="117"/>
      <c r="Y695" s="117"/>
      <c r="Z695" s="117"/>
      <c r="AA695" s="177"/>
      <c r="AB695" s="177"/>
      <c r="AC695" s="122"/>
      <c r="AD695" s="122"/>
      <c r="AE695" s="122"/>
      <c r="AF695" s="123"/>
      <c r="AG695" s="117"/>
      <c r="AH695" s="124"/>
      <c r="AI695" s="117"/>
      <c r="AJ695" s="117"/>
      <c r="AK695" s="89"/>
      <c r="AL695" s="117"/>
      <c r="AM695" s="117"/>
      <c r="AN695" s="117"/>
      <c r="AO695" s="117"/>
      <c r="AP695" s="117"/>
      <c r="AQ695" s="117"/>
      <c r="AR695" s="126"/>
      <c r="AS695" s="117"/>
      <c r="AT695" s="117"/>
      <c r="AU695" s="117"/>
      <c r="AV695" s="128"/>
      <c r="AW695" s="117">
        <f>VLOOKUP($D695,'WB Data'!$C$3:$M$578,2,FALSE)</f>
        <v>539579955780.06226</v>
      </c>
      <c r="AX695" s="117">
        <f>VLOOKUP($D695,'WB Data'!$C$3:$M$578,3,FALSE)</f>
        <v>237486894</v>
      </c>
      <c r="AY695" s="847">
        <f t="shared" si="115"/>
        <v>4.6193442404594588E-2</v>
      </c>
      <c r="AZ695" s="117">
        <f>VLOOKUP($D695,'WB Data'!$C$3:$M$578,4,FALSE)/100</f>
        <v>0.15375024136545859</v>
      </c>
      <c r="BA695" s="117">
        <f t="shared" si="116"/>
        <v>82960548437.148041</v>
      </c>
      <c r="BB695" s="129">
        <f>IFERROR(VLOOKUP($D695,'EITI Revenues'!$C$2:$G$224,5,FALSE),"..")</f>
        <v>24925055610</v>
      </c>
      <c r="BC695" s="846">
        <f t="shared" si="117"/>
        <v>0.30044468219594206</v>
      </c>
      <c r="BD695" s="129">
        <f>VLOOKUP($D695,'WB Data 2'!$C$2:$K$545,6,FALSE)</f>
        <v>44975155041.107948</v>
      </c>
      <c r="BE695" s="129">
        <f>IFERROR(VLOOKUP($D695,UNCTAD!$C$5:$V$529,4,FALSE),"..")</f>
        <v>133155500000</v>
      </c>
      <c r="BF695" s="846">
        <f t="shared" si="118"/>
        <v>0.33776415575104257</v>
      </c>
      <c r="BG695" s="117">
        <f>VLOOKUP($D695,'WB Data'!$C$3:$M$578,5,FALSE)</f>
        <v>1046530000</v>
      </c>
      <c r="BH695" s="129">
        <f>IFERROR($BB695/$BG695,"..")</f>
        <v>23.816857242506188</v>
      </c>
      <c r="BI695" s="117">
        <f>IFERROR(VLOOKUP($D695,'WB Data'!$C$3:$M$578,7,FALSE)/100,"..")</f>
        <v>3.5251299999999999E-2</v>
      </c>
      <c r="BJ695" s="117">
        <f>IFERROR($BI695*$AW695,"..")</f>
        <v>19020894895.189709</v>
      </c>
      <c r="BK695" s="846">
        <f>IFERROR($BB695/$BJ695,"..")</f>
        <v>1.3104039398431997</v>
      </c>
      <c r="BL695" s="117">
        <f>IFERROR(VLOOKUP($D695,'WB Data'!$C$3:$M$578,7,FALSE)/100,"..")</f>
        <v>3.5251299999999999E-2</v>
      </c>
      <c r="BM695" s="117">
        <f>IFERROR($AW695*$BL695,"..")</f>
        <v>19020894895.189709</v>
      </c>
      <c r="BN695" s="846">
        <f>IFERROR($BB695/$BM695,"..")</f>
        <v>1.3104039398431997</v>
      </c>
      <c r="BO695" s="801">
        <f t="shared" si="114"/>
        <v>34</v>
      </c>
      <c r="BP695" s="117">
        <f>VLOOKUP($D695,'WB Data'!$C$3:$M$578,9,FALSE)</f>
        <v>14.2</v>
      </c>
      <c r="BQ695" s="117">
        <f>VLOOKUP($D695,'WB Data'!$C$3:$M$578,10,FALSE)</f>
        <v>69.933097560975625</v>
      </c>
      <c r="BR695" s="117">
        <f>VLOOKUP($D695,'WB Data'!$C$3:$M$578,11,FALSE)</f>
        <v>28.6</v>
      </c>
      <c r="BS695" s="129">
        <f>IFERROR(VLOOKUP($D695,'WB Data 2'!$C$2:$K$545,9,FALSE),"..")</f>
        <v>98.035229999999999</v>
      </c>
      <c r="BT695" s="129">
        <f>_xlfn.IFNA(VLOOKUP($C695,RGI!$A$2:$C$43,2,FALSE),"..")</f>
        <v>50</v>
      </c>
      <c r="BU695" s="129">
        <f>_xlfn.IFNA(VLOOKUP($C695,RGI!$A$2:$C$43,3,FALSE),"..")</f>
        <v>65.756132994529537</v>
      </c>
      <c r="BV695" s="129">
        <f>VLOOKUP($D695,WGI!$C$2:$O$478,7,FALSE)</f>
        <v>-3.3692223068848899E-2</v>
      </c>
      <c r="BW695" s="129">
        <f>VLOOKUP($D695,WGI!$C$2:$O$478,4,FALSE)</f>
        <v>-0.75851636602946304</v>
      </c>
      <c r="BX695" s="129">
        <f>VLOOKUP($D695,WGI!$C$2:$O$478,3,FALSE)</f>
        <v>-0.27656821064612203</v>
      </c>
      <c r="BY695" s="129">
        <f>VLOOKUP($D695,WGI!$C$2:$O$478,5,FALSE)</f>
        <v>-0.33309293933209</v>
      </c>
      <c r="BZ695" s="129">
        <f>VLOOKUP($D695,WGI!$C$2:$O$478,2,FALSE)</f>
        <v>-0.81582570120773601</v>
      </c>
    </row>
    <row r="696" spans="1:80" ht="15" customHeight="1">
      <c r="A696" s="280" t="s">
        <v>249</v>
      </c>
      <c r="B696" s="117">
        <v>2011</v>
      </c>
      <c r="C696" s="117" t="s">
        <v>243</v>
      </c>
      <c r="D696" s="117" t="s">
        <v>3632</v>
      </c>
      <c r="E696" s="117" t="s">
        <v>244</v>
      </c>
      <c r="F696" s="117"/>
      <c r="G696" s="117" t="s">
        <v>24</v>
      </c>
      <c r="H696" s="117" t="str">
        <f t="shared" si="110"/>
        <v>yes</v>
      </c>
      <c r="I696" s="117" t="str">
        <f t="shared" si="111"/>
        <v>no</v>
      </c>
      <c r="J696" s="117" t="str">
        <f t="shared" si="112"/>
        <v>no</v>
      </c>
      <c r="K696" s="117" t="s">
        <v>784</v>
      </c>
      <c r="L696" s="117" t="str">
        <f t="shared" si="119"/>
        <v>detailed</v>
      </c>
      <c r="M696" s="117" t="str">
        <f t="shared" si="113"/>
        <v>detailed Mining</v>
      </c>
      <c r="N696" s="118">
        <f>96100*32.150743126506</f>
        <v>3089686.4144572266</v>
      </c>
      <c r="O696" s="118"/>
      <c r="P696" s="118"/>
      <c r="Q696" s="118"/>
      <c r="R696" s="118"/>
      <c r="S696" s="117" t="s">
        <v>785</v>
      </c>
      <c r="T696" s="119">
        <v>1569.2108333333299</v>
      </c>
      <c r="U696" s="117" t="s">
        <v>786</v>
      </c>
      <c r="V696" s="117" t="s">
        <v>787</v>
      </c>
      <c r="W696" s="89">
        <f>N696*T696</f>
        <v>4848369393.1690931</v>
      </c>
      <c r="X696" s="117"/>
      <c r="Y696" s="117"/>
      <c r="Z696" s="117"/>
      <c r="AA696" s="177"/>
      <c r="AB696" s="177"/>
      <c r="AC696" s="122"/>
      <c r="AD696" s="122"/>
      <c r="AE696" s="122"/>
      <c r="AF696" s="123"/>
      <c r="AG696" s="117"/>
      <c r="AH696" s="124"/>
      <c r="AI696" s="117"/>
      <c r="AJ696" s="117"/>
      <c r="AK696" s="89"/>
      <c r="AL696" s="117"/>
      <c r="AM696" s="117"/>
      <c r="AN696" s="117">
        <v>4</v>
      </c>
      <c r="AO696" s="117" t="s">
        <v>1351</v>
      </c>
      <c r="AP696" s="117">
        <v>4</v>
      </c>
      <c r="AQ696" s="117"/>
      <c r="AR696" s="126"/>
      <c r="AS696" s="117"/>
      <c r="AT696" s="117"/>
      <c r="AU696" s="117"/>
      <c r="AV696" s="128"/>
      <c r="AW696" s="117">
        <f>VLOOKUP($D696,'WB Data'!$C$3:$M$578,2,FALSE)</f>
        <v>539579955780.06226</v>
      </c>
      <c r="AX696" s="117">
        <f>VLOOKUP($D696,'WB Data'!$C$3:$M$578,3,FALSE)</f>
        <v>237486894</v>
      </c>
      <c r="AY696" s="847">
        <f t="shared" si="115"/>
        <v>4.6193442404594588E-2</v>
      </c>
      <c r="AZ696" s="117">
        <f>VLOOKUP($D696,'WB Data'!$C$3:$M$578,4,FALSE)/100</f>
        <v>0.15375024136545859</v>
      </c>
      <c r="BA696" s="117">
        <f t="shared" si="116"/>
        <v>82960548437.148041</v>
      </c>
      <c r="BB696" s="129">
        <f>IFERROR(VLOOKUP($D696,'EITI Revenues'!$C$2:$G$224,5,FALSE),"..")</f>
        <v>24925055610</v>
      </c>
      <c r="BC696" s="846">
        <f t="shared" si="117"/>
        <v>0.30044468219594206</v>
      </c>
      <c r="BD696" s="129">
        <f>VLOOKUP($D696,'WB Data 2'!$C$2:$K$545,6,FALSE)</f>
        <v>44975155041.107948</v>
      </c>
      <c r="BE696" s="129">
        <f>IFERROR(VLOOKUP($D696,UNCTAD!$C$5:$V$529,4,FALSE),"..")</f>
        <v>133155500000</v>
      </c>
      <c r="BF696" s="846">
        <f t="shared" si="118"/>
        <v>0.33776415575104257</v>
      </c>
      <c r="BG696" s="117">
        <f>VLOOKUP($D696,'WB Data'!$C$3:$M$578,5,FALSE)</f>
        <v>1046530000</v>
      </c>
      <c r="BH696" s="129">
        <f>IFERROR($BB696/$BG696,"..")</f>
        <v>23.816857242506188</v>
      </c>
      <c r="BI696" s="117">
        <f>IFERROR(VLOOKUP($D696,'WB Data'!$C$3:$M$578,7,FALSE)/100,"..")</f>
        <v>3.5251299999999999E-2</v>
      </c>
      <c r="BJ696" s="117">
        <f>IFERROR($BI696*$AW696,"..")</f>
        <v>19020894895.189709</v>
      </c>
      <c r="BK696" s="846">
        <f>IFERROR($BB696/$BJ696,"..")</f>
        <v>1.3104039398431997</v>
      </c>
      <c r="BL696" s="117">
        <f>IFERROR(VLOOKUP($D696,'WB Data'!$C$3:$M$578,7,FALSE)/100,"..")</f>
        <v>3.5251299999999999E-2</v>
      </c>
      <c r="BM696" s="117">
        <f>IFERROR($AW696*$BL696,"..")</f>
        <v>19020894895.189709</v>
      </c>
      <c r="BN696" s="846">
        <f>IFERROR($BB696/$BM696,"..")</f>
        <v>1.3104039398431997</v>
      </c>
      <c r="BO696" s="801">
        <f t="shared" si="114"/>
        <v>34</v>
      </c>
      <c r="BP696" s="117">
        <f>VLOOKUP($D696,'WB Data'!$C$3:$M$578,9,FALSE)</f>
        <v>14.2</v>
      </c>
      <c r="BQ696" s="117">
        <f>VLOOKUP($D696,'WB Data'!$C$3:$M$578,10,FALSE)</f>
        <v>69.933097560975625</v>
      </c>
      <c r="BR696" s="117">
        <f>VLOOKUP($D696,'WB Data'!$C$3:$M$578,11,FALSE)</f>
        <v>28.6</v>
      </c>
      <c r="BS696" s="129">
        <f>IFERROR(VLOOKUP($D696,'WB Data 2'!$C$2:$K$545,9,FALSE),"..")</f>
        <v>98.035229999999999</v>
      </c>
      <c r="BT696" s="129">
        <f>_xlfn.IFNA(VLOOKUP($C696,RGI!$A$2:$C$43,2,FALSE),"..")</f>
        <v>50</v>
      </c>
      <c r="BU696" s="129">
        <f>_xlfn.IFNA(VLOOKUP($C696,RGI!$A$2:$C$43,3,FALSE),"..")</f>
        <v>65.756132994529537</v>
      </c>
      <c r="BV696" s="129">
        <f>VLOOKUP($D696,WGI!$C$2:$O$478,7,FALSE)</f>
        <v>-3.3692223068848899E-2</v>
      </c>
      <c r="BW696" s="129">
        <f>VLOOKUP($D696,WGI!$C$2:$O$478,4,FALSE)</f>
        <v>-0.75851636602946304</v>
      </c>
      <c r="BX696" s="129">
        <f>VLOOKUP($D696,WGI!$C$2:$O$478,3,FALSE)</f>
        <v>-0.27656821064612203</v>
      </c>
      <c r="BY696" s="129">
        <f>VLOOKUP($D696,WGI!$C$2:$O$478,5,FALSE)</f>
        <v>-0.33309293933209</v>
      </c>
      <c r="BZ696" s="129">
        <f>VLOOKUP($D696,WGI!$C$2:$O$478,2,FALSE)</f>
        <v>-0.81582570120773601</v>
      </c>
    </row>
    <row r="697" spans="1:80" ht="15" customHeight="1">
      <c r="A697" s="280" t="s">
        <v>249</v>
      </c>
      <c r="B697" s="117">
        <v>2011</v>
      </c>
      <c r="C697" s="117" t="s">
        <v>243</v>
      </c>
      <c r="D697" s="117" t="s">
        <v>3632</v>
      </c>
      <c r="E697" s="117" t="s">
        <v>244</v>
      </c>
      <c r="F697" s="117"/>
      <c r="G697" s="117" t="s">
        <v>24</v>
      </c>
      <c r="H697" s="117" t="str">
        <f t="shared" si="110"/>
        <v>yes</v>
      </c>
      <c r="I697" s="117" t="str">
        <f t="shared" si="111"/>
        <v>no</v>
      </c>
      <c r="J697" s="117" t="str">
        <f t="shared" si="112"/>
        <v>no</v>
      </c>
      <c r="K697" s="117" t="s">
        <v>686</v>
      </c>
      <c r="L697" s="117" t="str">
        <f t="shared" si="119"/>
        <v>detailed</v>
      </c>
      <c r="M697" s="117" t="str">
        <f t="shared" si="113"/>
        <v>detailed Mining</v>
      </c>
      <c r="N697" s="118"/>
      <c r="O697" s="118"/>
      <c r="P697" s="118"/>
      <c r="Q697" s="118"/>
      <c r="R697" s="118"/>
      <c r="S697" s="117"/>
      <c r="T697" s="186">
        <v>22910.356666666699</v>
      </c>
      <c r="U697" s="117" t="s">
        <v>611</v>
      </c>
      <c r="V697" s="117" t="s">
        <v>1327</v>
      </c>
      <c r="W697" s="89">
        <f>SUM(N698:N700)*T697</f>
        <v>7003696033.0000095</v>
      </c>
      <c r="X697" s="117"/>
      <c r="Y697" s="117"/>
      <c r="Z697" s="117"/>
      <c r="AA697" s="177"/>
      <c r="AB697" s="177"/>
      <c r="AC697" s="122"/>
      <c r="AD697" s="122"/>
      <c r="AE697" s="122"/>
      <c r="AF697" s="123"/>
      <c r="AG697" s="117"/>
      <c r="AH697" s="124"/>
      <c r="AI697" s="117"/>
      <c r="AJ697" s="117"/>
      <c r="AK697" s="89"/>
      <c r="AL697" s="117"/>
      <c r="AM697" s="117"/>
      <c r="AN697" s="117">
        <v>5</v>
      </c>
      <c r="AO697" s="117" t="s">
        <v>1364</v>
      </c>
      <c r="AP697" s="117">
        <v>5</v>
      </c>
      <c r="AQ697" s="117"/>
      <c r="AR697" s="126"/>
      <c r="AS697" s="117"/>
      <c r="AT697" s="117"/>
      <c r="AU697" s="117"/>
      <c r="AV697" s="128"/>
      <c r="AW697" s="117">
        <f>VLOOKUP($D697,'WB Data'!$C$3:$M$578,2,FALSE)</f>
        <v>539579955780.06226</v>
      </c>
      <c r="AX697" s="117">
        <f>VLOOKUP($D697,'WB Data'!$C$3:$M$578,3,FALSE)</f>
        <v>237486894</v>
      </c>
      <c r="AY697" s="847">
        <f t="shared" si="115"/>
        <v>4.6193442404594588E-2</v>
      </c>
      <c r="AZ697" s="117">
        <f>VLOOKUP($D697,'WB Data'!$C$3:$M$578,4,FALSE)/100</f>
        <v>0.15375024136545859</v>
      </c>
      <c r="BA697" s="117">
        <f t="shared" si="116"/>
        <v>82960548437.148041</v>
      </c>
      <c r="BB697" s="129">
        <f>IFERROR(VLOOKUP($D697,'EITI Revenues'!$C$2:$G$224,5,FALSE),"..")</f>
        <v>24925055610</v>
      </c>
      <c r="BC697" s="846">
        <f t="shared" si="117"/>
        <v>0.30044468219594206</v>
      </c>
      <c r="BD697" s="129">
        <f>VLOOKUP($D697,'WB Data 2'!$C$2:$K$545,6,FALSE)</f>
        <v>44975155041.107948</v>
      </c>
      <c r="BE697" s="129">
        <f>IFERROR(VLOOKUP($D697,UNCTAD!$C$5:$V$529,4,FALSE),"..")</f>
        <v>133155500000</v>
      </c>
      <c r="BF697" s="846">
        <f t="shared" si="118"/>
        <v>0.33776415575104257</v>
      </c>
      <c r="BG697" s="117">
        <f>VLOOKUP($D697,'WB Data'!$C$3:$M$578,5,FALSE)</f>
        <v>1046530000</v>
      </c>
      <c r="BH697" s="129">
        <f>IFERROR($BB697/$BG697,"..")</f>
        <v>23.816857242506188</v>
      </c>
      <c r="BI697" s="117">
        <f>IFERROR(VLOOKUP($D697,'WB Data'!$C$3:$M$578,7,FALSE)/100,"..")</f>
        <v>3.5251299999999999E-2</v>
      </c>
      <c r="BJ697" s="117">
        <f>IFERROR($BI697*$AW697,"..")</f>
        <v>19020894895.189709</v>
      </c>
      <c r="BK697" s="846">
        <f>IFERROR($BB697/$BJ697,"..")</f>
        <v>1.3104039398431997</v>
      </c>
      <c r="BL697" s="117">
        <f>IFERROR(VLOOKUP($D697,'WB Data'!$C$3:$M$578,7,FALSE)/100,"..")</f>
        <v>3.5251299999999999E-2</v>
      </c>
      <c r="BM697" s="117">
        <f>IFERROR($AW697*$BL697,"..")</f>
        <v>19020894895.189709</v>
      </c>
      <c r="BN697" s="846">
        <f>IFERROR($BB697/$BM697,"..")</f>
        <v>1.3104039398431997</v>
      </c>
      <c r="BO697" s="801">
        <f t="shared" si="114"/>
        <v>34</v>
      </c>
      <c r="BP697" s="117">
        <f>VLOOKUP($D697,'WB Data'!$C$3:$M$578,9,FALSE)</f>
        <v>14.2</v>
      </c>
      <c r="BQ697" s="117">
        <f>VLOOKUP($D697,'WB Data'!$C$3:$M$578,10,FALSE)</f>
        <v>69.933097560975625</v>
      </c>
      <c r="BR697" s="117">
        <f>VLOOKUP($D697,'WB Data'!$C$3:$M$578,11,FALSE)</f>
        <v>28.6</v>
      </c>
      <c r="BS697" s="129">
        <f>IFERROR(VLOOKUP($D697,'WB Data 2'!$C$2:$K$545,9,FALSE),"..")</f>
        <v>98.035229999999999</v>
      </c>
      <c r="BT697" s="129">
        <f>_xlfn.IFNA(VLOOKUP($C697,RGI!$A$2:$C$43,2,FALSE),"..")</f>
        <v>50</v>
      </c>
      <c r="BU697" s="129">
        <f>_xlfn.IFNA(VLOOKUP($C697,RGI!$A$2:$C$43,3,FALSE),"..")</f>
        <v>65.756132994529537</v>
      </c>
      <c r="BV697" s="129">
        <f>VLOOKUP($D697,WGI!$C$2:$O$478,7,FALSE)</f>
        <v>-3.3692223068848899E-2</v>
      </c>
      <c r="BW697" s="129">
        <f>VLOOKUP($D697,WGI!$C$2:$O$478,4,FALSE)</f>
        <v>-0.75851636602946304</v>
      </c>
      <c r="BX697" s="129">
        <f>VLOOKUP($D697,WGI!$C$2:$O$478,3,FALSE)</f>
        <v>-0.27656821064612203</v>
      </c>
      <c r="BY697" s="129">
        <f>VLOOKUP($D697,WGI!$C$2:$O$478,5,FALSE)</f>
        <v>-0.33309293933209</v>
      </c>
      <c r="BZ697" s="129">
        <f>VLOOKUP($D697,WGI!$C$2:$O$478,2,FALSE)</f>
        <v>-0.81582570120773601</v>
      </c>
    </row>
    <row r="698" spans="1:80" ht="15" customHeight="1">
      <c r="A698" s="280" t="s">
        <v>249</v>
      </c>
      <c r="B698" s="117">
        <v>2011</v>
      </c>
      <c r="C698" s="117" t="s">
        <v>243</v>
      </c>
      <c r="D698" s="117" t="s">
        <v>3632</v>
      </c>
      <c r="E698" s="117" t="s">
        <v>244</v>
      </c>
      <c r="F698" s="117"/>
      <c r="G698" s="117" t="s">
        <v>24</v>
      </c>
      <c r="H698" s="117" t="str">
        <f t="shared" si="110"/>
        <v>yes</v>
      </c>
      <c r="I698" s="117" t="str">
        <f t="shared" si="111"/>
        <v>no</v>
      </c>
      <c r="J698" s="117" t="str">
        <f t="shared" si="112"/>
        <v>no</v>
      </c>
      <c r="K698" s="117" t="s">
        <v>1329</v>
      </c>
      <c r="L698" s="117" t="str">
        <f t="shared" si="119"/>
        <v>detailed</v>
      </c>
      <c r="M698" s="117" t="str">
        <f t="shared" si="113"/>
        <v>detailed Mining</v>
      </c>
      <c r="N698" s="118">
        <v>218200</v>
      </c>
      <c r="O698" s="118"/>
      <c r="P698" s="118"/>
      <c r="Q698" s="118"/>
      <c r="R698" s="118"/>
      <c r="S698" s="117" t="s">
        <v>610</v>
      </c>
      <c r="T698" s="119"/>
      <c r="U698" s="117"/>
      <c r="V698" s="117" t="s">
        <v>684</v>
      </c>
      <c r="W698" s="89"/>
      <c r="X698" s="117"/>
      <c r="Y698" s="117"/>
      <c r="Z698" s="117"/>
      <c r="AA698" s="177"/>
      <c r="AB698" s="177"/>
      <c r="AC698" s="122"/>
      <c r="AD698" s="122"/>
      <c r="AE698" s="122"/>
      <c r="AF698" s="123"/>
      <c r="AG698" s="117"/>
      <c r="AH698" s="124"/>
      <c r="AI698" s="117"/>
      <c r="AJ698" s="117"/>
      <c r="AK698" s="89"/>
      <c r="AL698" s="117"/>
      <c r="AM698" s="117"/>
      <c r="AN698" s="117"/>
      <c r="AO698" s="117"/>
      <c r="AP698" s="117"/>
      <c r="AQ698" s="117"/>
      <c r="AR698" s="126"/>
      <c r="AS698" s="117"/>
      <c r="AT698" s="117"/>
      <c r="AU698" s="117"/>
      <c r="AV698" s="128"/>
      <c r="AW698" s="117">
        <f>VLOOKUP($D698,'WB Data'!$C$3:$M$578,2,FALSE)</f>
        <v>539579955780.06226</v>
      </c>
      <c r="AX698" s="117">
        <f>VLOOKUP($D698,'WB Data'!$C$3:$M$578,3,FALSE)</f>
        <v>237486894</v>
      </c>
      <c r="AY698" s="847">
        <f t="shared" si="115"/>
        <v>4.6193442404594588E-2</v>
      </c>
      <c r="AZ698" s="117">
        <f>VLOOKUP($D698,'WB Data'!$C$3:$M$578,4,FALSE)/100</f>
        <v>0.15375024136545859</v>
      </c>
      <c r="BA698" s="117">
        <f t="shared" si="116"/>
        <v>82960548437.148041</v>
      </c>
      <c r="BB698" s="129">
        <f>IFERROR(VLOOKUP($D698,'EITI Revenues'!$C$2:$G$224,5,FALSE),"..")</f>
        <v>24925055610</v>
      </c>
      <c r="BC698" s="846">
        <f t="shared" si="117"/>
        <v>0.30044468219594206</v>
      </c>
      <c r="BD698" s="129">
        <f>VLOOKUP($D698,'WB Data 2'!$C$2:$K$545,6,FALSE)</f>
        <v>44975155041.107948</v>
      </c>
      <c r="BE698" s="129">
        <f>IFERROR(VLOOKUP($D698,UNCTAD!$C$5:$V$529,4,FALSE),"..")</f>
        <v>133155500000</v>
      </c>
      <c r="BF698" s="846">
        <f t="shared" si="118"/>
        <v>0.33776415575104257</v>
      </c>
      <c r="BG698" s="117">
        <f>VLOOKUP($D698,'WB Data'!$C$3:$M$578,5,FALSE)</f>
        <v>1046530000</v>
      </c>
      <c r="BH698" s="129">
        <f>IFERROR($BB698/$BG698,"..")</f>
        <v>23.816857242506188</v>
      </c>
      <c r="BI698" s="117">
        <f>IFERROR(VLOOKUP($D698,'WB Data'!$C$3:$M$578,7,FALSE)/100,"..")</f>
        <v>3.5251299999999999E-2</v>
      </c>
      <c r="BJ698" s="117">
        <f>IFERROR($BI698*$AW698,"..")</f>
        <v>19020894895.189709</v>
      </c>
      <c r="BK698" s="846">
        <f>IFERROR($BB698/$BJ698,"..")</f>
        <v>1.3104039398431997</v>
      </c>
      <c r="BL698" s="117">
        <f>IFERROR(VLOOKUP($D698,'WB Data'!$C$3:$M$578,7,FALSE)/100,"..")</f>
        <v>3.5251299999999999E-2</v>
      </c>
      <c r="BM698" s="117">
        <f>IFERROR($AW698*$BL698,"..")</f>
        <v>19020894895.189709</v>
      </c>
      <c r="BN698" s="846">
        <f>IFERROR($BB698/$BM698,"..")</f>
        <v>1.3104039398431997</v>
      </c>
      <c r="BO698" s="801">
        <f t="shared" si="114"/>
        <v>34</v>
      </c>
      <c r="BP698" s="117">
        <f>VLOOKUP($D698,'WB Data'!$C$3:$M$578,9,FALSE)</f>
        <v>14.2</v>
      </c>
      <c r="BQ698" s="117">
        <f>VLOOKUP($D698,'WB Data'!$C$3:$M$578,10,FALSE)</f>
        <v>69.933097560975625</v>
      </c>
      <c r="BR698" s="117">
        <f>VLOOKUP($D698,'WB Data'!$C$3:$M$578,11,FALSE)</f>
        <v>28.6</v>
      </c>
      <c r="BS698" s="129">
        <f>IFERROR(VLOOKUP($D698,'WB Data 2'!$C$2:$K$545,9,FALSE),"..")</f>
        <v>98.035229999999999</v>
      </c>
      <c r="BT698" s="129">
        <f>_xlfn.IFNA(VLOOKUP($C698,RGI!$A$2:$C$43,2,FALSE),"..")</f>
        <v>50</v>
      </c>
      <c r="BU698" s="129">
        <f>_xlfn.IFNA(VLOOKUP($C698,RGI!$A$2:$C$43,3,FALSE),"..")</f>
        <v>65.756132994529537</v>
      </c>
      <c r="BV698" s="129">
        <f>VLOOKUP($D698,WGI!$C$2:$O$478,7,FALSE)</f>
        <v>-3.3692223068848899E-2</v>
      </c>
      <c r="BW698" s="129">
        <f>VLOOKUP($D698,WGI!$C$2:$O$478,4,FALSE)</f>
        <v>-0.75851636602946304</v>
      </c>
      <c r="BX698" s="129">
        <f>VLOOKUP($D698,WGI!$C$2:$O$478,3,FALSE)</f>
        <v>-0.27656821064612203</v>
      </c>
      <c r="BY698" s="129">
        <f>VLOOKUP($D698,WGI!$C$2:$O$478,5,FALSE)</f>
        <v>-0.33309293933209</v>
      </c>
      <c r="BZ698" s="129">
        <f>VLOOKUP($D698,WGI!$C$2:$O$478,2,FALSE)</f>
        <v>-0.81582570120773601</v>
      </c>
    </row>
    <row r="699" spans="1:80" ht="15" customHeight="1">
      <c r="A699" s="280" t="s">
        <v>249</v>
      </c>
      <c r="B699" s="117">
        <v>2011</v>
      </c>
      <c r="C699" s="117" t="s">
        <v>243</v>
      </c>
      <c r="D699" s="117" t="s">
        <v>3632</v>
      </c>
      <c r="E699" s="117" t="s">
        <v>244</v>
      </c>
      <c r="F699" s="117"/>
      <c r="G699" s="117" t="s">
        <v>24</v>
      </c>
      <c r="H699" s="117" t="str">
        <f t="shared" si="110"/>
        <v>yes</v>
      </c>
      <c r="I699" s="117" t="str">
        <f t="shared" si="111"/>
        <v>no</v>
      </c>
      <c r="J699" s="117" t="str">
        <f t="shared" si="112"/>
        <v>no</v>
      </c>
      <c r="K699" s="117" t="s">
        <v>1330</v>
      </c>
      <c r="L699" s="117" t="str">
        <f t="shared" si="119"/>
        <v>detailed</v>
      </c>
      <c r="M699" s="117" t="str">
        <f t="shared" si="113"/>
        <v>detailed Mining</v>
      </c>
      <c r="N699" s="118">
        <v>67800</v>
      </c>
      <c r="O699" s="118"/>
      <c r="P699" s="118"/>
      <c r="Q699" s="118"/>
      <c r="R699" s="118"/>
      <c r="S699" s="117" t="s">
        <v>610</v>
      </c>
      <c r="T699" s="119"/>
      <c r="U699" s="117"/>
      <c r="V699" s="117" t="s">
        <v>684</v>
      </c>
      <c r="W699" s="89"/>
      <c r="X699" s="117"/>
      <c r="Y699" s="117"/>
      <c r="Z699" s="117"/>
      <c r="AA699" s="177"/>
      <c r="AB699" s="177"/>
      <c r="AC699" s="122"/>
      <c r="AD699" s="122"/>
      <c r="AE699" s="122"/>
      <c r="AF699" s="123"/>
      <c r="AG699" s="117"/>
      <c r="AH699" s="124"/>
      <c r="AI699" s="117"/>
      <c r="AJ699" s="117"/>
      <c r="AK699" s="89"/>
      <c r="AL699" s="117"/>
      <c r="AM699" s="117"/>
      <c r="AN699" s="117"/>
      <c r="AO699" s="117"/>
      <c r="AP699" s="117"/>
      <c r="AQ699" s="117"/>
      <c r="AR699" s="126"/>
      <c r="AS699" s="117"/>
      <c r="AT699" s="117"/>
      <c r="AU699" s="117"/>
      <c r="AV699" s="128"/>
      <c r="AW699" s="117">
        <f>VLOOKUP($D699,'WB Data'!$C$3:$M$578,2,FALSE)</f>
        <v>539579955780.06226</v>
      </c>
      <c r="AX699" s="117">
        <f>VLOOKUP($D699,'WB Data'!$C$3:$M$578,3,FALSE)</f>
        <v>237486894</v>
      </c>
      <c r="AY699" s="847">
        <f t="shared" si="115"/>
        <v>4.6193442404594588E-2</v>
      </c>
      <c r="AZ699" s="117">
        <f>VLOOKUP($D699,'WB Data'!$C$3:$M$578,4,FALSE)/100</f>
        <v>0.15375024136545859</v>
      </c>
      <c r="BA699" s="117">
        <f t="shared" si="116"/>
        <v>82960548437.148041</v>
      </c>
      <c r="BB699" s="129">
        <f>IFERROR(VLOOKUP($D699,'EITI Revenues'!$C$2:$G$224,5,FALSE),"..")</f>
        <v>24925055610</v>
      </c>
      <c r="BC699" s="846">
        <f t="shared" si="117"/>
        <v>0.30044468219594206</v>
      </c>
      <c r="BD699" s="129">
        <f>VLOOKUP($D699,'WB Data 2'!$C$2:$K$545,6,FALSE)</f>
        <v>44975155041.107948</v>
      </c>
      <c r="BE699" s="129">
        <f>IFERROR(VLOOKUP($D699,UNCTAD!$C$5:$V$529,4,FALSE),"..")</f>
        <v>133155500000</v>
      </c>
      <c r="BF699" s="846">
        <f t="shared" si="118"/>
        <v>0.33776415575104257</v>
      </c>
      <c r="BG699" s="117">
        <f>VLOOKUP($D699,'WB Data'!$C$3:$M$578,5,FALSE)</f>
        <v>1046530000</v>
      </c>
      <c r="BH699" s="129">
        <f>IFERROR($BB699/$BG699,"..")</f>
        <v>23.816857242506188</v>
      </c>
      <c r="BI699" s="117">
        <f>IFERROR(VLOOKUP($D699,'WB Data'!$C$3:$M$578,7,FALSE)/100,"..")</f>
        <v>3.5251299999999999E-2</v>
      </c>
      <c r="BJ699" s="117">
        <f>IFERROR($BI699*$AW699,"..")</f>
        <v>19020894895.189709</v>
      </c>
      <c r="BK699" s="846">
        <f>IFERROR($BB699/$BJ699,"..")</f>
        <v>1.3104039398431997</v>
      </c>
      <c r="BL699" s="117">
        <f>IFERROR(VLOOKUP($D699,'WB Data'!$C$3:$M$578,7,FALSE)/100,"..")</f>
        <v>3.5251299999999999E-2</v>
      </c>
      <c r="BM699" s="117">
        <f>IFERROR($AW699*$BL699,"..")</f>
        <v>19020894895.189709</v>
      </c>
      <c r="BN699" s="846">
        <f>IFERROR($BB699/$BM699,"..")</f>
        <v>1.3104039398431997</v>
      </c>
      <c r="BO699" s="801">
        <f t="shared" si="114"/>
        <v>34</v>
      </c>
      <c r="BP699" s="117">
        <f>VLOOKUP($D699,'WB Data'!$C$3:$M$578,9,FALSE)</f>
        <v>14.2</v>
      </c>
      <c r="BQ699" s="117">
        <f>VLOOKUP($D699,'WB Data'!$C$3:$M$578,10,FALSE)</f>
        <v>69.933097560975625</v>
      </c>
      <c r="BR699" s="117">
        <f>VLOOKUP($D699,'WB Data'!$C$3:$M$578,11,FALSE)</f>
        <v>28.6</v>
      </c>
      <c r="BS699" s="129">
        <f>IFERROR(VLOOKUP($D699,'WB Data 2'!$C$2:$K$545,9,FALSE),"..")</f>
        <v>98.035229999999999</v>
      </c>
      <c r="BT699" s="129">
        <f>_xlfn.IFNA(VLOOKUP($C699,RGI!$A$2:$C$43,2,FALSE),"..")</f>
        <v>50</v>
      </c>
      <c r="BU699" s="129">
        <f>_xlfn.IFNA(VLOOKUP($C699,RGI!$A$2:$C$43,3,FALSE),"..")</f>
        <v>65.756132994529537</v>
      </c>
      <c r="BV699" s="129">
        <f>VLOOKUP($D699,WGI!$C$2:$O$478,7,FALSE)</f>
        <v>-3.3692223068848899E-2</v>
      </c>
      <c r="BW699" s="129">
        <f>VLOOKUP($D699,WGI!$C$2:$O$478,4,FALSE)</f>
        <v>-0.75851636602946304</v>
      </c>
      <c r="BX699" s="129">
        <f>VLOOKUP($D699,WGI!$C$2:$O$478,3,FALSE)</f>
        <v>-0.27656821064612203</v>
      </c>
      <c r="BY699" s="129">
        <f>VLOOKUP($D699,WGI!$C$2:$O$478,5,FALSE)</f>
        <v>-0.33309293933209</v>
      </c>
      <c r="BZ699" s="129">
        <f>VLOOKUP($D699,WGI!$C$2:$O$478,2,FALSE)</f>
        <v>-0.81582570120773601</v>
      </c>
    </row>
    <row r="700" spans="1:80" ht="15" customHeight="1">
      <c r="A700" s="280" t="s">
        <v>249</v>
      </c>
      <c r="B700" s="117">
        <v>2011</v>
      </c>
      <c r="C700" s="117" t="s">
        <v>243</v>
      </c>
      <c r="D700" s="117" t="s">
        <v>3632</v>
      </c>
      <c r="E700" s="117" t="s">
        <v>244</v>
      </c>
      <c r="F700" s="117"/>
      <c r="G700" s="117" t="s">
        <v>24</v>
      </c>
      <c r="H700" s="117" t="str">
        <f t="shared" si="110"/>
        <v>yes</v>
      </c>
      <c r="I700" s="117" t="str">
        <f t="shared" si="111"/>
        <v>no</v>
      </c>
      <c r="J700" s="117" t="str">
        <f t="shared" si="112"/>
        <v>no</v>
      </c>
      <c r="K700" s="117" t="s">
        <v>1331</v>
      </c>
      <c r="L700" s="117" t="str">
        <f t="shared" si="119"/>
        <v>detailed</v>
      </c>
      <c r="M700" s="117" t="str">
        <f t="shared" si="113"/>
        <v>detailed Mining</v>
      </c>
      <c r="N700" s="118">
        <v>19700</v>
      </c>
      <c r="O700" s="118"/>
      <c r="P700" s="118"/>
      <c r="Q700" s="118"/>
      <c r="R700" s="118"/>
      <c r="S700" s="117" t="s">
        <v>610</v>
      </c>
      <c r="T700" s="119"/>
      <c r="U700" s="117"/>
      <c r="V700" s="117" t="s">
        <v>684</v>
      </c>
      <c r="W700" s="89"/>
      <c r="X700" s="117"/>
      <c r="Y700" s="117"/>
      <c r="Z700" s="117"/>
      <c r="AA700" s="177"/>
      <c r="AB700" s="177"/>
      <c r="AC700" s="122"/>
      <c r="AD700" s="122"/>
      <c r="AE700" s="122"/>
      <c r="AF700" s="123"/>
      <c r="AG700" s="117"/>
      <c r="AH700" s="124"/>
      <c r="AI700" s="117"/>
      <c r="AJ700" s="117"/>
      <c r="AK700" s="89"/>
      <c r="AL700" s="117"/>
      <c r="AM700" s="117"/>
      <c r="AN700" s="117"/>
      <c r="AO700" s="117"/>
      <c r="AP700" s="117"/>
      <c r="AQ700" s="117"/>
      <c r="AR700" s="126"/>
      <c r="AS700" s="117"/>
      <c r="AT700" s="117"/>
      <c r="AU700" s="117"/>
      <c r="AV700" s="128"/>
      <c r="AW700" s="117">
        <f>VLOOKUP($D700,'WB Data'!$C$3:$M$578,2,FALSE)</f>
        <v>539579955780.06226</v>
      </c>
      <c r="AX700" s="117">
        <f>VLOOKUP($D700,'WB Data'!$C$3:$M$578,3,FALSE)</f>
        <v>237486894</v>
      </c>
      <c r="AY700" s="847">
        <f t="shared" si="115"/>
        <v>4.6193442404594588E-2</v>
      </c>
      <c r="AZ700" s="117">
        <f>VLOOKUP($D700,'WB Data'!$C$3:$M$578,4,FALSE)/100</f>
        <v>0.15375024136545859</v>
      </c>
      <c r="BA700" s="117">
        <f t="shared" si="116"/>
        <v>82960548437.148041</v>
      </c>
      <c r="BB700" s="129">
        <f>IFERROR(VLOOKUP($D700,'EITI Revenues'!$C$2:$G$224,5,FALSE),"..")</f>
        <v>24925055610</v>
      </c>
      <c r="BC700" s="846">
        <f t="shared" si="117"/>
        <v>0.30044468219594206</v>
      </c>
      <c r="BD700" s="129">
        <f>VLOOKUP($D700,'WB Data 2'!$C$2:$K$545,6,FALSE)</f>
        <v>44975155041.107948</v>
      </c>
      <c r="BE700" s="129">
        <f>IFERROR(VLOOKUP($D700,UNCTAD!$C$5:$V$529,4,FALSE),"..")</f>
        <v>133155500000</v>
      </c>
      <c r="BF700" s="846">
        <f t="shared" si="118"/>
        <v>0.33776415575104257</v>
      </c>
      <c r="BG700" s="117">
        <f>VLOOKUP($D700,'WB Data'!$C$3:$M$578,5,FALSE)</f>
        <v>1046530000</v>
      </c>
      <c r="BH700" s="129">
        <f>IFERROR($BB700/$BG700,"..")</f>
        <v>23.816857242506188</v>
      </c>
      <c r="BI700" s="117">
        <f>IFERROR(VLOOKUP($D700,'WB Data'!$C$3:$M$578,7,FALSE)/100,"..")</f>
        <v>3.5251299999999999E-2</v>
      </c>
      <c r="BJ700" s="117">
        <f>IFERROR($BI700*$AW700,"..")</f>
        <v>19020894895.189709</v>
      </c>
      <c r="BK700" s="846">
        <f>IFERROR($BB700/$BJ700,"..")</f>
        <v>1.3104039398431997</v>
      </c>
      <c r="BL700" s="117">
        <f>IFERROR(VLOOKUP($D700,'WB Data'!$C$3:$M$578,7,FALSE)/100,"..")</f>
        <v>3.5251299999999999E-2</v>
      </c>
      <c r="BM700" s="117">
        <f>IFERROR($AW700*$BL700,"..")</f>
        <v>19020894895.189709</v>
      </c>
      <c r="BN700" s="846">
        <f>IFERROR($BB700/$BM700,"..")</f>
        <v>1.3104039398431997</v>
      </c>
      <c r="BO700" s="801">
        <f t="shared" si="114"/>
        <v>34</v>
      </c>
      <c r="BP700" s="117">
        <f>VLOOKUP($D700,'WB Data'!$C$3:$M$578,9,FALSE)</f>
        <v>14.2</v>
      </c>
      <c r="BQ700" s="117">
        <f>VLOOKUP($D700,'WB Data'!$C$3:$M$578,10,FALSE)</f>
        <v>69.933097560975625</v>
      </c>
      <c r="BR700" s="117">
        <f>VLOOKUP($D700,'WB Data'!$C$3:$M$578,11,FALSE)</f>
        <v>28.6</v>
      </c>
      <c r="BS700" s="129">
        <f>IFERROR(VLOOKUP($D700,'WB Data 2'!$C$2:$K$545,9,FALSE),"..")</f>
        <v>98.035229999999999</v>
      </c>
      <c r="BT700" s="129">
        <f>_xlfn.IFNA(VLOOKUP($C700,RGI!$A$2:$C$43,2,FALSE),"..")</f>
        <v>50</v>
      </c>
      <c r="BU700" s="129">
        <f>_xlfn.IFNA(VLOOKUP($C700,RGI!$A$2:$C$43,3,FALSE),"..")</f>
        <v>65.756132994529537</v>
      </c>
      <c r="BV700" s="129">
        <f>VLOOKUP($D700,WGI!$C$2:$O$478,7,FALSE)</f>
        <v>-3.3692223068848899E-2</v>
      </c>
      <c r="BW700" s="129">
        <f>VLOOKUP($D700,WGI!$C$2:$O$478,4,FALSE)</f>
        <v>-0.75851636602946304</v>
      </c>
      <c r="BX700" s="129">
        <f>VLOOKUP($D700,WGI!$C$2:$O$478,3,FALSE)</f>
        <v>-0.27656821064612203</v>
      </c>
      <c r="BY700" s="129">
        <f>VLOOKUP($D700,WGI!$C$2:$O$478,5,FALSE)</f>
        <v>-0.33309293933209</v>
      </c>
      <c r="BZ700" s="129">
        <f>VLOOKUP($D700,WGI!$C$2:$O$478,2,FALSE)</f>
        <v>-0.81582570120773601</v>
      </c>
    </row>
    <row r="701" spans="1:80" ht="15" customHeight="1">
      <c r="A701" s="280" t="s">
        <v>249</v>
      </c>
      <c r="B701" s="117">
        <v>2011</v>
      </c>
      <c r="C701" s="117" t="s">
        <v>243</v>
      </c>
      <c r="D701" s="117" t="s">
        <v>3632</v>
      </c>
      <c r="E701" s="117" t="s">
        <v>244</v>
      </c>
      <c r="F701" s="117"/>
      <c r="G701" s="117" t="s">
        <v>24</v>
      </c>
      <c r="H701" s="117" t="str">
        <f t="shared" si="110"/>
        <v>yes</v>
      </c>
      <c r="I701" s="117" t="str">
        <f t="shared" si="111"/>
        <v>no</v>
      </c>
      <c r="J701" s="117" t="str">
        <f t="shared" si="112"/>
        <v>no</v>
      </c>
      <c r="K701" s="117" t="s">
        <v>789</v>
      </c>
      <c r="L701" s="117" t="str">
        <f t="shared" si="119"/>
        <v>detailed</v>
      </c>
      <c r="M701" s="117" t="str">
        <f t="shared" si="113"/>
        <v>detailed Mining</v>
      </c>
      <c r="N701" s="118">
        <f>310400*32.150743126506</f>
        <v>9979590.6664674617</v>
      </c>
      <c r="O701" s="118"/>
      <c r="P701" s="118"/>
      <c r="Q701" s="118"/>
      <c r="R701" s="118"/>
      <c r="S701" s="117" t="s">
        <v>785</v>
      </c>
      <c r="T701" s="119">
        <f>35.22411666667/1</f>
        <v>35.22411666667</v>
      </c>
      <c r="U701" s="117" t="s">
        <v>786</v>
      </c>
      <c r="V701" s="117" t="s">
        <v>798</v>
      </c>
      <c r="W701" s="89">
        <f>N701*T701</f>
        <v>351522265.92126089</v>
      </c>
      <c r="X701" s="117"/>
      <c r="Y701" s="117"/>
      <c r="Z701" s="117"/>
      <c r="AA701" s="177"/>
      <c r="AB701" s="177"/>
      <c r="AC701" s="122"/>
      <c r="AD701" s="122"/>
      <c r="AE701" s="122"/>
      <c r="AF701" s="123"/>
      <c r="AG701" s="117"/>
      <c r="AH701" s="124"/>
      <c r="AI701" s="117"/>
      <c r="AJ701" s="117"/>
      <c r="AK701" s="89"/>
      <c r="AL701" s="117"/>
      <c r="AM701" s="117"/>
      <c r="AN701" s="117"/>
      <c r="AO701" s="117"/>
      <c r="AP701" s="117"/>
      <c r="AQ701" s="117"/>
      <c r="AR701" s="126"/>
      <c r="AS701" s="117"/>
      <c r="AT701" s="117"/>
      <c r="AU701" s="117"/>
      <c r="AV701" s="128"/>
      <c r="AW701" s="117">
        <f>VLOOKUP($D701,'WB Data'!$C$3:$M$578,2,FALSE)</f>
        <v>539579955780.06226</v>
      </c>
      <c r="AX701" s="117">
        <f>VLOOKUP($D701,'WB Data'!$C$3:$M$578,3,FALSE)</f>
        <v>237486894</v>
      </c>
      <c r="AY701" s="847">
        <f t="shared" si="115"/>
        <v>4.6193442404594588E-2</v>
      </c>
      <c r="AZ701" s="117">
        <f>VLOOKUP($D701,'WB Data'!$C$3:$M$578,4,FALSE)/100</f>
        <v>0.15375024136545859</v>
      </c>
      <c r="BA701" s="117">
        <f t="shared" si="116"/>
        <v>82960548437.148041</v>
      </c>
      <c r="BB701" s="129">
        <f>IFERROR(VLOOKUP($D701,'EITI Revenues'!$C$2:$G$224,5,FALSE),"..")</f>
        <v>24925055610</v>
      </c>
      <c r="BC701" s="846">
        <f t="shared" si="117"/>
        <v>0.30044468219594206</v>
      </c>
      <c r="BD701" s="129">
        <f>VLOOKUP($D701,'WB Data 2'!$C$2:$K$545,6,FALSE)</f>
        <v>44975155041.107948</v>
      </c>
      <c r="BE701" s="129">
        <f>IFERROR(VLOOKUP($D701,UNCTAD!$C$5:$V$529,4,FALSE),"..")</f>
        <v>133155500000</v>
      </c>
      <c r="BF701" s="846">
        <f t="shared" si="118"/>
        <v>0.33776415575104257</v>
      </c>
      <c r="BG701" s="117">
        <f>VLOOKUP($D701,'WB Data'!$C$3:$M$578,5,FALSE)</f>
        <v>1046530000</v>
      </c>
      <c r="BH701" s="129">
        <f>IFERROR($BB701/$BG701,"..")</f>
        <v>23.816857242506188</v>
      </c>
      <c r="BI701" s="117">
        <f>IFERROR(VLOOKUP($D701,'WB Data'!$C$3:$M$578,7,FALSE)/100,"..")</f>
        <v>3.5251299999999999E-2</v>
      </c>
      <c r="BJ701" s="117">
        <f>IFERROR($BI701*$AW701,"..")</f>
        <v>19020894895.189709</v>
      </c>
      <c r="BK701" s="846">
        <f>IFERROR($BB701/$BJ701,"..")</f>
        <v>1.3104039398431997</v>
      </c>
      <c r="BL701" s="117">
        <f>IFERROR(VLOOKUP($D701,'WB Data'!$C$3:$M$578,7,FALSE)/100,"..")</f>
        <v>3.5251299999999999E-2</v>
      </c>
      <c r="BM701" s="117">
        <f>IFERROR($AW701*$BL701,"..")</f>
        <v>19020894895.189709</v>
      </c>
      <c r="BN701" s="846">
        <f>IFERROR($BB701/$BM701,"..")</f>
        <v>1.3104039398431997</v>
      </c>
      <c r="BO701" s="801">
        <f t="shared" si="114"/>
        <v>34</v>
      </c>
      <c r="BP701" s="117">
        <f>VLOOKUP($D701,'WB Data'!$C$3:$M$578,9,FALSE)</f>
        <v>14.2</v>
      </c>
      <c r="BQ701" s="117">
        <f>VLOOKUP($D701,'WB Data'!$C$3:$M$578,10,FALSE)</f>
        <v>69.933097560975625</v>
      </c>
      <c r="BR701" s="117">
        <f>VLOOKUP($D701,'WB Data'!$C$3:$M$578,11,FALSE)</f>
        <v>28.6</v>
      </c>
      <c r="BS701" s="129">
        <f>IFERROR(VLOOKUP($D701,'WB Data 2'!$C$2:$K$545,9,FALSE),"..")</f>
        <v>98.035229999999999</v>
      </c>
      <c r="BT701" s="129">
        <f>_xlfn.IFNA(VLOOKUP($C701,RGI!$A$2:$C$43,2,FALSE),"..")</f>
        <v>50</v>
      </c>
      <c r="BU701" s="129">
        <f>_xlfn.IFNA(VLOOKUP($C701,RGI!$A$2:$C$43,3,FALSE),"..")</f>
        <v>65.756132994529537</v>
      </c>
      <c r="BV701" s="129">
        <f>VLOOKUP($D701,WGI!$C$2:$O$478,7,FALSE)</f>
        <v>-3.3692223068848899E-2</v>
      </c>
      <c r="BW701" s="129">
        <f>VLOOKUP($D701,WGI!$C$2:$O$478,4,FALSE)</f>
        <v>-0.75851636602946304</v>
      </c>
      <c r="BX701" s="129">
        <f>VLOOKUP($D701,WGI!$C$2:$O$478,3,FALSE)</f>
        <v>-0.27656821064612203</v>
      </c>
      <c r="BY701" s="129">
        <f>VLOOKUP($D701,WGI!$C$2:$O$478,5,FALSE)</f>
        <v>-0.33309293933209</v>
      </c>
      <c r="BZ701" s="129">
        <f>VLOOKUP($D701,WGI!$C$2:$O$478,2,FALSE)</f>
        <v>-0.81582570120773601</v>
      </c>
    </row>
    <row r="702" spans="1:80" ht="15" customHeight="1">
      <c r="A702" s="280" t="s">
        <v>249</v>
      </c>
      <c r="B702" s="117">
        <v>2011</v>
      </c>
      <c r="C702" s="117" t="s">
        <v>243</v>
      </c>
      <c r="D702" s="117" t="s">
        <v>3632</v>
      </c>
      <c r="E702" s="117" t="s">
        <v>244</v>
      </c>
      <c r="F702" s="117"/>
      <c r="G702" s="117" t="s">
        <v>24</v>
      </c>
      <c r="H702" s="117" t="str">
        <f t="shared" si="110"/>
        <v>yes</v>
      </c>
      <c r="I702" s="117" t="str">
        <f t="shared" si="111"/>
        <v>no</v>
      </c>
      <c r="J702" s="117" t="str">
        <f t="shared" si="112"/>
        <v>no</v>
      </c>
      <c r="K702" s="117" t="s">
        <v>1332</v>
      </c>
      <c r="L702" s="117" t="str">
        <f t="shared" si="119"/>
        <v>detailed</v>
      </c>
      <c r="M702" s="117" t="str">
        <f t="shared" si="113"/>
        <v>detailed Mining</v>
      </c>
      <c r="N702" s="118"/>
      <c r="O702" s="118"/>
      <c r="P702" s="118"/>
      <c r="Q702" s="118"/>
      <c r="R702" s="118"/>
      <c r="S702" s="117"/>
      <c r="T702" s="186">
        <f>26053.675</f>
        <v>26053.674999999999</v>
      </c>
      <c r="U702" s="117" t="s">
        <v>611</v>
      </c>
      <c r="V702" s="117" t="s">
        <v>1333</v>
      </c>
      <c r="W702" s="89">
        <f>N704*T702</f>
        <v>1120308025</v>
      </c>
      <c r="X702" s="117"/>
      <c r="Y702" s="117"/>
      <c r="Z702" s="117"/>
      <c r="AA702" s="177"/>
      <c r="AB702" s="177"/>
      <c r="AC702" s="122"/>
      <c r="AD702" s="122"/>
      <c r="AE702" s="122"/>
      <c r="AF702" s="123"/>
      <c r="AG702" s="117"/>
      <c r="AH702" s="124"/>
      <c r="AI702" s="117"/>
      <c r="AJ702" s="117"/>
      <c r="AK702" s="89"/>
      <c r="AL702" s="117"/>
      <c r="AM702" s="117"/>
      <c r="AN702" s="117">
        <v>9</v>
      </c>
      <c r="AO702" s="117" t="s">
        <v>1365</v>
      </c>
      <c r="AP702" s="117">
        <v>7</v>
      </c>
      <c r="AQ702" s="117"/>
      <c r="AR702" s="126"/>
      <c r="AS702" s="117"/>
      <c r="AT702" s="117"/>
      <c r="AU702" s="117"/>
      <c r="AV702" s="128"/>
      <c r="AW702" s="117">
        <f>VLOOKUP($D702,'WB Data'!$C$3:$M$578,2,FALSE)</f>
        <v>539579955780.06226</v>
      </c>
      <c r="AX702" s="117">
        <f>VLOOKUP($D702,'WB Data'!$C$3:$M$578,3,FALSE)</f>
        <v>237486894</v>
      </c>
      <c r="AY702" s="847">
        <f t="shared" si="115"/>
        <v>4.6193442404594588E-2</v>
      </c>
      <c r="AZ702" s="117">
        <f>VLOOKUP($D702,'WB Data'!$C$3:$M$578,4,FALSE)/100</f>
        <v>0.15375024136545859</v>
      </c>
      <c r="BA702" s="117">
        <f t="shared" si="116"/>
        <v>82960548437.148041</v>
      </c>
      <c r="BB702" s="129">
        <f>IFERROR(VLOOKUP($D702,'EITI Revenues'!$C$2:$G$224,5,FALSE),"..")</f>
        <v>24925055610</v>
      </c>
      <c r="BC702" s="846">
        <f t="shared" si="117"/>
        <v>0.30044468219594206</v>
      </c>
      <c r="BD702" s="129">
        <f>VLOOKUP($D702,'WB Data 2'!$C$2:$K$545,6,FALSE)</f>
        <v>44975155041.107948</v>
      </c>
      <c r="BE702" s="129">
        <f>IFERROR(VLOOKUP($D702,UNCTAD!$C$5:$V$529,4,FALSE),"..")</f>
        <v>133155500000</v>
      </c>
      <c r="BF702" s="846">
        <f t="shared" si="118"/>
        <v>0.33776415575104257</v>
      </c>
      <c r="BG702" s="117">
        <f>VLOOKUP($D702,'WB Data'!$C$3:$M$578,5,FALSE)</f>
        <v>1046530000</v>
      </c>
      <c r="BH702" s="129">
        <f>IFERROR($BB702/$BG702,"..")</f>
        <v>23.816857242506188</v>
      </c>
      <c r="BI702" s="117">
        <f>IFERROR(VLOOKUP($D702,'WB Data'!$C$3:$M$578,7,FALSE)/100,"..")</f>
        <v>3.5251299999999999E-2</v>
      </c>
      <c r="BJ702" s="117">
        <f>IFERROR($BI702*$AW702,"..")</f>
        <v>19020894895.189709</v>
      </c>
      <c r="BK702" s="846">
        <f>IFERROR($BB702/$BJ702,"..")</f>
        <v>1.3104039398431997</v>
      </c>
      <c r="BL702" s="117">
        <f>IFERROR(VLOOKUP($D702,'WB Data'!$C$3:$M$578,7,FALSE)/100,"..")</f>
        <v>3.5251299999999999E-2</v>
      </c>
      <c r="BM702" s="117">
        <f>IFERROR($AW702*$BL702,"..")</f>
        <v>19020894895.189709</v>
      </c>
      <c r="BN702" s="846">
        <f>IFERROR($BB702/$BM702,"..")</f>
        <v>1.3104039398431997</v>
      </c>
      <c r="BO702" s="801">
        <f t="shared" si="114"/>
        <v>34</v>
      </c>
      <c r="BP702" s="117">
        <f>VLOOKUP($D702,'WB Data'!$C$3:$M$578,9,FALSE)</f>
        <v>14.2</v>
      </c>
      <c r="BQ702" s="117">
        <f>VLOOKUP($D702,'WB Data'!$C$3:$M$578,10,FALSE)</f>
        <v>69.933097560975625</v>
      </c>
      <c r="BR702" s="117">
        <f>VLOOKUP($D702,'WB Data'!$C$3:$M$578,11,FALSE)</f>
        <v>28.6</v>
      </c>
      <c r="BS702" s="129">
        <f>IFERROR(VLOOKUP($D702,'WB Data 2'!$C$2:$K$545,9,FALSE),"..")</f>
        <v>98.035229999999999</v>
      </c>
      <c r="BT702" s="129">
        <f>_xlfn.IFNA(VLOOKUP($C702,RGI!$A$2:$C$43,2,FALSE),"..")</f>
        <v>50</v>
      </c>
      <c r="BU702" s="129">
        <f>_xlfn.IFNA(VLOOKUP($C702,RGI!$A$2:$C$43,3,FALSE),"..")</f>
        <v>65.756132994529537</v>
      </c>
      <c r="BV702" s="129">
        <f>VLOOKUP($D702,WGI!$C$2:$O$478,7,FALSE)</f>
        <v>-3.3692223068848899E-2</v>
      </c>
      <c r="BW702" s="129">
        <f>VLOOKUP($D702,WGI!$C$2:$O$478,4,FALSE)</f>
        <v>-0.75851636602946304</v>
      </c>
      <c r="BX702" s="129">
        <f>VLOOKUP($D702,WGI!$C$2:$O$478,3,FALSE)</f>
        <v>-0.27656821064612203</v>
      </c>
      <c r="BY702" s="129">
        <f>VLOOKUP($D702,WGI!$C$2:$O$478,5,FALSE)</f>
        <v>-0.33309293933209</v>
      </c>
      <c r="BZ702" s="129">
        <f>VLOOKUP($D702,WGI!$C$2:$O$478,2,FALSE)</f>
        <v>-0.81582570120773601</v>
      </c>
    </row>
    <row r="703" spans="1:80" ht="15" customHeight="1">
      <c r="A703" s="280" t="s">
        <v>249</v>
      </c>
      <c r="B703" s="117">
        <v>2011</v>
      </c>
      <c r="C703" s="117" t="s">
        <v>243</v>
      </c>
      <c r="D703" s="117" t="s">
        <v>3632</v>
      </c>
      <c r="E703" s="117" t="s">
        <v>244</v>
      </c>
      <c r="F703" s="117"/>
      <c r="G703" s="117" t="s">
        <v>24</v>
      </c>
      <c r="H703" s="117" t="str">
        <f t="shared" si="110"/>
        <v>yes</v>
      </c>
      <c r="I703" s="117" t="str">
        <f t="shared" si="111"/>
        <v>no</v>
      </c>
      <c r="J703" s="117" t="str">
        <f t="shared" si="112"/>
        <v>no</v>
      </c>
      <c r="K703" s="117" t="s">
        <v>1335</v>
      </c>
      <c r="L703" s="117" t="str">
        <f t="shared" si="119"/>
        <v>detailed</v>
      </c>
      <c r="M703" s="117" t="str">
        <f t="shared" si="113"/>
        <v>detailed Mining</v>
      </c>
      <c r="N703" s="118">
        <v>42000</v>
      </c>
      <c r="O703" s="118"/>
      <c r="P703" s="118"/>
      <c r="Q703" s="118"/>
      <c r="R703" s="118"/>
      <c r="S703" s="117"/>
      <c r="T703" s="119"/>
      <c r="U703" s="117"/>
      <c r="V703" s="117" t="s">
        <v>684</v>
      </c>
      <c r="W703" s="89"/>
      <c r="X703" s="117"/>
      <c r="Y703" s="117"/>
      <c r="Z703" s="117"/>
      <c r="AA703" s="177"/>
      <c r="AB703" s="177"/>
      <c r="AC703" s="122"/>
      <c r="AD703" s="122"/>
      <c r="AE703" s="122"/>
      <c r="AF703" s="123"/>
      <c r="AG703" s="117"/>
      <c r="AH703" s="124"/>
      <c r="AI703" s="117"/>
      <c r="AJ703" s="117"/>
      <c r="AK703" s="89"/>
      <c r="AL703" s="117"/>
      <c r="AM703" s="117"/>
      <c r="AN703" s="117"/>
      <c r="AO703" s="117"/>
      <c r="AP703" s="117"/>
      <c r="AQ703" s="117"/>
      <c r="AR703" s="126"/>
      <c r="AS703" s="117"/>
      <c r="AT703" s="117"/>
      <c r="AU703" s="117"/>
      <c r="AV703" s="128"/>
      <c r="AW703" s="117">
        <f>VLOOKUP($D703,'WB Data'!$C$3:$M$578,2,FALSE)</f>
        <v>539579955780.06226</v>
      </c>
      <c r="AX703" s="117">
        <f>VLOOKUP($D703,'WB Data'!$C$3:$M$578,3,FALSE)</f>
        <v>237486894</v>
      </c>
      <c r="AY703" s="847">
        <f t="shared" si="115"/>
        <v>4.6193442404594588E-2</v>
      </c>
      <c r="AZ703" s="117">
        <f>VLOOKUP($D703,'WB Data'!$C$3:$M$578,4,FALSE)/100</f>
        <v>0.15375024136545859</v>
      </c>
      <c r="BA703" s="117">
        <f t="shared" si="116"/>
        <v>82960548437.148041</v>
      </c>
      <c r="BB703" s="129">
        <f>IFERROR(VLOOKUP($D703,'EITI Revenues'!$C$2:$G$224,5,FALSE),"..")</f>
        <v>24925055610</v>
      </c>
      <c r="BC703" s="846">
        <f t="shared" si="117"/>
        <v>0.30044468219594206</v>
      </c>
      <c r="BD703" s="129">
        <f>VLOOKUP($D703,'WB Data 2'!$C$2:$K$545,6,FALSE)</f>
        <v>44975155041.107948</v>
      </c>
      <c r="BE703" s="129">
        <f>IFERROR(VLOOKUP($D703,UNCTAD!$C$5:$V$529,4,FALSE),"..")</f>
        <v>133155500000</v>
      </c>
      <c r="BF703" s="846">
        <f t="shared" si="118"/>
        <v>0.33776415575104257</v>
      </c>
      <c r="BG703" s="117">
        <f>VLOOKUP($D703,'WB Data'!$C$3:$M$578,5,FALSE)</f>
        <v>1046530000</v>
      </c>
      <c r="BH703" s="129">
        <f>IFERROR($BB703/$BG703,"..")</f>
        <v>23.816857242506188</v>
      </c>
      <c r="BI703" s="117">
        <f>IFERROR(VLOOKUP($D703,'WB Data'!$C$3:$M$578,7,FALSE)/100,"..")</f>
        <v>3.5251299999999999E-2</v>
      </c>
      <c r="BJ703" s="117">
        <f>IFERROR($BI703*$AW703,"..")</f>
        <v>19020894895.189709</v>
      </c>
      <c r="BK703" s="846">
        <f>IFERROR($BB703/$BJ703,"..")</f>
        <v>1.3104039398431997</v>
      </c>
      <c r="BL703" s="117">
        <f>IFERROR(VLOOKUP($D703,'WB Data'!$C$3:$M$578,7,FALSE)/100,"..")</f>
        <v>3.5251299999999999E-2</v>
      </c>
      <c r="BM703" s="117">
        <f>IFERROR($AW703*$BL703,"..")</f>
        <v>19020894895.189709</v>
      </c>
      <c r="BN703" s="846">
        <f>IFERROR($BB703/$BM703,"..")</f>
        <v>1.3104039398431997</v>
      </c>
      <c r="BO703" s="801">
        <f t="shared" si="114"/>
        <v>34</v>
      </c>
      <c r="BP703" s="117">
        <f>VLOOKUP($D703,'WB Data'!$C$3:$M$578,9,FALSE)</f>
        <v>14.2</v>
      </c>
      <c r="BQ703" s="117">
        <f>VLOOKUP($D703,'WB Data'!$C$3:$M$578,10,FALSE)</f>
        <v>69.933097560975625</v>
      </c>
      <c r="BR703" s="117">
        <f>VLOOKUP($D703,'WB Data'!$C$3:$M$578,11,FALSE)</f>
        <v>28.6</v>
      </c>
      <c r="BS703" s="129">
        <f>IFERROR(VLOOKUP($D703,'WB Data 2'!$C$2:$K$545,9,FALSE),"..")</f>
        <v>98.035229999999999</v>
      </c>
      <c r="BT703" s="129">
        <f>_xlfn.IFNA(VLOOKUP($C703,RGI!$A$2:$C$43,2,FALSE),"..")</f>
        <v>50</v>
      </c>
      <c r="BU703" s="129">
        <f>_xlfn.IFNA(VLOOKUP($C703,RGI!$A$2:$C$43,3,FALSE),"..")</f>
        <v>65.756132994529537</v>
      </c>
      <c r="BV703" s="129">
        <f>VLOOKUP($D703,WGI!$C$2:$O$478,7,FALSE)</f>
        <v>-3.3692223068848899E-2</v>
      </c>
      <c r="BW703" s="129">
        <f>VLOOKUP($D703,WGI!$C$2:$O$478,4,FALSE)</f>
        <v>-0.75851636602946304</v>
      </c>
      <c r="BX703" s="129">
        <f>VLOOKUP($D703,WGI!$C$2:$O$478,3,FALSE)</f>
        <v>-0.27656821064612203</v>
      </c>
      <c r="BY703" s="129">
        <f>VLOOKUP($D703,WGI!$C$2:$O$478,5,FALSE)</f>
        <v>-0.33309293933209</v>
      </c>
      <c r="BZ703" s="129">
        <f>VLOOKUP($D703,WGI!$C$2:$O$478,2,FALSE)</f>
        <v>-0.81582570120773601</v>
      </c>
    </row>
    <row r="704" spans="1:80" s="173" customFormat="1" ht="15" customHeight="1" thickBot="1">
      <c r="A704" s="341" t="s">
        <v>249</v>
      </c>
      <c r="B704" s="164">
        <v>2011</v>
      </c>
      <c r="C704" s="117" t="s">
        <v>243</v>
      </c>
      <c r="D704" s="117" t="s">
        <v>3632</v>
      </c>
      <c r="E704" s="164" t="s">
        <v>244</v>
      </c>
      <c r="F704" s="164"/>
      <c r="G704" s="164" t="s">
        <v>24</v>
      </c>
      <c r="H704" s="164" t="str">
        <f t="shared" si="110"/>
        <v>yes</v>
      </c>
      <c r="I704" s="164" t="str">
        <f t="shared" si="111"/>
        <v>no</v>
      </c>
      <c r="J704" s="164" t="str">
        <f t="shared" si="112"/>
        <v>no</v>
      </c>
      <c r="K704" s="164" t="s">
        <v>1336</v>
      </c>
      <c r="L704" s="164" t="str">
        <f t="shared" si="119"/>
        <v>detailed</v>
      </c>
      <c r="M704" s="164" t="str">
        <f t="shared" si="113"/>
        <v>detailed Mining</v>
      </c>
      <c r="N704" s="165">
        <v>43000</v>
      </c>
      <c r="O704" s="165"/>
      <c r="P704" s="165"/>
      <c r="Q704" s="165"/>
      <c r="R704" s="165"/>
      <c r="S704" s="164"/>
      <c r="T704" s="166"/>
      <c r="U704" s="164"/>
      <c r="V704" s="164" t="s">
        <v>684</v>
      </c>
      <c r="W704" s="167"/>
      <c r="X704" s="164"/>
      <c r="Y704" s="164"/>
      <c r="Z704" s="164"/>
      <c r="AA704" s="342"/>
      <c r="AB704" s="342"/>
      <c r="AC704" s="169"/>
      <c r="AD704" s="169"/>
      <c r="AE704" s="169"/>
      <c r="AF704" s="170"/>
      <c r="AG704" s="164"/>
      <c r="AH704" s="171"/>
      <c r="AI704" s="164"/>
      <c r="AJ704" s="164"/>
      <c r="AK704" s="167"/>
      <c r="AL704" s="164"/>
      <c r="AM704" s="164"/>
      <c r="AN704" s="164"/>
      <c r="AO704" s="164"/>
      <c r="AP704" s="164"/>
      <c r="AQ704" s="164"/>
      <c r="AR704" s="249"/>
      <c r="AS704" s="164"/>
      <c r="AT704" s="164"/>
      <c r="AU704" s="164"/>
      <c r="AV704" s="172"/>
      <c r="AW704" s="117">
        <f>VLOOKUP($D704,'WB Data'!$C$3:$M$578,2,FALSE)</f>
        <v>539579955780.06226</v>
      </c>
      <c r="AX704" s="117">
        <f>VLOOKUP($D704,'WB Data'!$C$3:$M$578,3,FALSE)</f>
        <v>237486894</v>
      </c>
      <c r="AY704" s="847">
        <f t="shared" si="115"/>
        <v>4.6193442404594588E-2</v>
      </c>
      <c r="AZ704" s="117">
        <f>VLOOKUP($D704,'WB Data'!$C$3:$M$578,4,FALSE)/100</f>
        <v>0.15375024136545859</v>
      </c>
      <c r="BA704" s="117">
        <f t="shared" si="116"/>
        <v>82960548437.148041</v>
      </c>
      <c r="BB704" s="129">
        <f>IFERROR(VLOOKUP($D704,'EITI Revenues'!$C$2:$G$224,5,FALSE),"..")</f>
        <v>24925055610</v>
      </c>
      <c r="BC704" s="846">
        <f t="shared" si="117"/>
        <v>0.30044468219594206</v>
      </c>
      <c r="BD704" s="129">
        <f>VLOOKUP($D704,'WB Data 2'!$C$2:$K$545,6,FALSE)</f>
        <v>44975155041.107948</v>
      </c>
      <c r="BE704" s="129">
        <f>IFERROR(VLOOKUP($D704,UNCTAD!$C$5:$V$529,4,FALSE),"..")</f>
        <v>133155500000</v>
      </c>
      <c r="BF704" s="846">
        <f t="shared" si="118"/>
        <v>0.33776415575104257</v>
      </c>
      <c r="BG704" s="117">
        <f>VLOOKUP($D704,'WB Data'!$C$3:$M$578,5,FALSE)</f>
        <v>1046530000</v>
      </c>
      <c r="BH704" s="129">
        <f>IFERROR($BB704/$BG704,"..")</f>
        <v>23.816857242506188</v>
      </c>
      <c r="BI704" s="117">
        <f>IFERROR(VLOOKUP($D704,'WB Data'!$C$3:$M$578,7,FALSE)/100,"..")</f>
        <v>3.5251299999999999E-2</v>
      </c>
      <c r="BJ704" s="117">
        <f>IFERROR($BI704*$AW704,"..")</f>
        <v>19020894895.189709</v>
      </c>
      <c r="BK704" s="846">
        <f>IFERROR($BB704/$BJ704,"..")</f>
        <v>1.3104039398431997</v>
      </c>
      <c r="BL704" s="117">
        <f>IFERROR(VLOOKUP($D704,'WB Data'!$C$3:$M$578,7,FALSE)/100,"..")</f>
        <v>3.5251299999999999E-2</v>
      </c>
      <c r="BM704" s="117">
        <f>IFERROR($AW704*$BL704,"..")</f>
        <v>19020894895.189709</v>
      </c>
      <c r="BN704" s="846">
        <f>IFERROR($BB704/$BM704,"..")</f>
        <v>1.3104039398431997</v>
      </c>
      <c r="BO704" s="801">
        <f t="shared" si="114"/>
        <v>34</v>
      </c>
      <c r="BP704" s="117">
        <f>VLOOKUP($D704,'WB Data'!$C$3:$M$578,9,FALSE)</f>
        <v>14.2</v>
      </c>
      <c r="BQ704" s="117">
        <f>VLOOKUP($D704,'WB Data'!$C$3:$M$578,10,FALSE)</f>
        <v>69.933097560975625</v>
      </c>
      <c r="BR704" s="117">
        <f>VLOOKUP($D704,'WB Data'!$C$3:$M$578,11,FALSE)</f>
        <v>28.6</v>
      </c>
      <c r="BS704" s="129">
        <f>IFERROR(VLOOKUP($D704,'WB Data 2'!$C$2:$K$545,9,FALSE),"..")</f>
        <v>98.035229999999999</v>
      </c>
      <c r="BT704" s="129">
        <f>_xlfn.IFNA(VLOOKUP($C704,RGI!$A$2:$C$43,2,FALSE),"..")</f>
        <v>50</v>
      </c>
      <c r="BU704" s="129">
        <f>_xlfn.IFNA(VLOOKUP($C704,RGI!$A$2:$C$43,3,FALSE),"..")</f>
        <v>65.756132994529537</v>
      </c>
      <c r="BV704" s="129">
        <f>VLOOKUP($D704,WGI!$C$2:$O$478,7,FALSE)</f>
        <v>-3.3692223068848899E-2</v>
      </c>
      <c r="BW704" s="129">
        <f>VLOOKUP($D704,WGI!$C$2:$O$478,4,FALSE)</f>
        <v>-0.75851636602946304</v>
      </c>
      <c r="BX704" s="129">
        <f>VLOOKUP($D704,WGI!$C$2:$O$478,3,FALSE)</f>
        <v>-0.27656821064612203</v>
      </c>
      <c r="BY704" s="129">
        <f>VLOOKUP($D704,WGI!$C$2:$O$478,5,FALSE)</f>
        <v>-0.33309293933209</v>
      </c>
      <c r="BZ704" s="129">
        <f>VLOOKUP($D704,WGI!$C$2:$O$478,2,FALSE)</f>
        <v>-0.81582570120773601</v>
      </c>
      <c r="CB704" s="129"/>
    </row>
    <row r="705" spans="1:80" s="158" customFormat="1" ht="15" customHeight="1">
      <c r="A705" s="282" t="s">
        <v>250</v>
      </c>
      <c r="B705" s="149">
        <v>2009</v>
      </c>
      <c r="C705" s="149" t="s">
        <v>251</v>
      </c>
      <c r="D705" s="117" t="s">
        <v>3633</v>
      </c>
      <c r="E705" s="453" t="s">
        <v>252</v>
      </c>
      <c r="F705" s="149" t="s">
        <v>1367</v>
      </c>
      <c r="G705" s="149" t="s">
        <v>103</v>
      </c>
      <c r="H705" s="117" t="str">
        <f t="shared" si="110"/>
        <v>no</v>
      </c>
      <c r="I705" s="117" t="str">
        <f t="shared" si="111"/>
        <v>no</v>
      </c>
      <c r="J705" s="117" t="str">
        <f t="shared" si="112"/>
        <v>yes</v>
      </c>
      <c r="K705" s="149" t="s">
        <v>103</v>
      </c>
      <c r="L705" s="117" t="str">
        <f t="shared" si="119"/>
        <v>detailed</v>
      </c>
      <c r="M705" s="117" t="str">
        <f t="shared" si="113"/>
        <v>detailed Oil</v>
      </c>
      <c r="N705" s="150">
        <v>852685651</v>
      </c>
      <c r="O705" s="150"/>
      <c r="P705" s="150">
        <v>852685651</v>
      </c>
      <c r="Q705" s="150"/>
      <c r="R705" s="150"/>
      <c r="S705" s="149" t="s">
        <v>646</v>
      </c>
      <c r="T705" s="151">
        <v>59.31</v>
      </c>
      <c r="U705" s="149" t="s">
        <v>673</v>
      </c>
      <c r="V705" s="149" t="s">
        <v>1368</v>
      </c>
      <c r="W705" s="152">
        <f>N705*T705</f>
        <v>50572785960.810005</v>
      </c>
      <c r="X705" s="149" t="s">
        <v>1369</v>
      </c>
      <c r="Y705" s="149" t="s">
        <v>602</v>
      </c>
      <c r="Z705" s="149" t="s">
        <v>603</v>
      </c>
      <c r="AA705" s="464">
        <v>41249682456.5</v>
      </c>
      <c r="AB705" s="464">
        <v>40159269633.400002</v>
      </c>
      <c r="AC705" s="122" t="s">
        <v>1370</v>
      </c>
      <c r="AD705" s="177"/>
      <c r="AE705" s="122"/>
      <c r="AF705" s="123">
        <f>AA705/(W705*0.82)</f>
        <v>0.99469487086576247</v>
      </c>
      <c r="AG705" s="149" t="s">
        <v>864</v>
      </c>
      <c r="AH705" s="156" t="s">
        <v>865</v>
      </c>
      <c r="AI705" s="149" t="s">
        <v>722</v>
      </c>
      <c r="AJ705" s="149"/>
      <c r="AK705" s="152"/>
      <c r="AL705" s="149"/>
      <c r="AM705" s="149"/>
      <c r="AN705" s="149">
        <v>34</v>
      </c>
      <c r="AO705" s="149" t="s">
        <v>1371</v>
      </c>
      <c r="AP705" s="149">
        <v>34</v>
      </c>
      <c r="AQ705" s="149" t="s">
        <v>253</v>
      </c>
      <c r="AR705" s="220">
        <v>41897</v>
      </c>
      <c r="AS705" s="149" t="s">
        <v>1060</v>
      </c>
      <c r="AT705" s="149" t="s">
        <v>254</v>
      </c>
      <c r="AU705" s="149" t="s">
        <v>1372</v>
      </c>
      <c r="AV705" s="157" t="s">
        <v>1373</v>
      </c>
      <c r="AW705" s="117">
        <f>VLOOKUP($D705,'WB Data'!$C$3:$M$578,2,FALSE)</f>
        <v>111660855042.73505</v>
      </c>
      <c r="AX705" s="117">
        <f>VLOOKUP($D705,'WB Data'!$C$3:$M$578,3,FALSE)</f>
        <v>30163199</v>
      </c>
      <c r="AY705" s="847">
        <f t="shared" si="115"/>
        <v>0.36941936760839639</v>
      </c>
      <c r="AZ705" s="117" t="e">
        <f>VLOOKUP($D705,'WB Data'!$C$3:$M$578,4,FALSE)/100</f>
        <v>#VALUE!</v>
      </c>
      <c r="BA705" s="117" t="str">
        <f t="shared" si="116"/>
        <v>..</v>
      </c>
      <c r="BB705" s="129">
        <f>IFERROR(VLOOKUP($D705,'EITI Revenues'!$C$2:$G$224,5,FALSE),"..")</f>
        <v>41249682456.5</v>
      </c>
      <c r="BC705" s="846" t="str">
        <f t="shared" si="117"/>
        <v>..</v>
      </c>
      <c r="BD705" s="129">
        <f>VLOOKUP($D705,'WB Data 2'!$C$2:$K$545,6,FALSE)</f>
        <v>41369108679.74733</v>
      </c>
      <c r="BE705" s="129">
        <f>IFERROR(VLOOKUP($D705,UNCTAD!$C$5:$V$529,4,FALSE),"..")</f>
        <v>41622700000</v>
      </c>
      <c r="BF705" s="846">
        <f t="shared" si="118"/>
        <v>0.99390737938065843</v>
      </c>
      <c r="BG705" s="117">
        <f>VLOOKUP($D705,'WB Data'!$C$3:$M$578,5,FALSE)</f>
        <v>2791100000</v>
      </c>
      <c r="BH705" s="129">
        <f>IFERROR($BB705/$BG705,"..")</f>
        <v>14.779005573608972</v>
      </c>
      <c r="BI705" s="117" t="str">
        <f>IFERROR(VLOOKUP($D705,'WB Data'!$C$3:$M$578,7,FALSE)/100,"..")</f>
        <v>..</v>
      </c>
      <c r="BJ705" s="117" t="str">
        <f>IFERROR($BI705*$AW705,"..")</f>
        <v>..</v>
      </c>
      <c r="BK705" s="846" t="str">
        <f>IFERROR($BB705/$BJ705,"..")</f>
        <v>..</v>
      </c>
      <c r="BL705" s="117" t="str">
        <f>IFERROR(VLOOKUP($D705,'WB Data'!$C$3:$M$578,7,FALSE)/100,"..")</f>
        <v>..</v>
      </c>
      <c r="BM705" s="117" t="str">
        <f>IFERROR($AW705*$BL705,"..")</f>
        <v>..</v>
      </c>
      <c r="BN705" s="846" t="str">
        <f>IFERROR($BB705/$BM705,"..")</f>
        <v>..</v>
      </c>
      <c r="BO705" s="801">
        <f t="shared" si="114"/>
        <v>16</v>
      </c>
      <c r="BP705" s="117" t="str">
        <f>VLOOKUP($D705,'WB Data'!$C$3:$M$578,9,FALSE)</f>
        <v>..</v>
      </c>
      <c r="BQ705" s="117">
        <f>VLOOKUP($D705,'WB Data'!$C$3:$M$578,10,FALSE)</f>
        <v>68.727951219512221</v>
      </c>
      <c r="BR705" s="117">
        <f>VLOOKUP($D705,'WB Data'!$C$3:$M$578,11,FALSE)</f>
        <v>30.7</v>
      </c>
      <c r="BS705" s="129" t="str">
        <f>IFERROR(VLOOKUP($D705,'WB Data 2'!$C$2:$K$545,9,FALSE),"..")</f>
        <v>..</v>
      </c>
      <c r="BT705" s="129">
        <f>_xlfn.IFNA(VLOOKUP($C705,RGI!$A$2:$C$43,2,FALSE),"..")</f>
        <v>63.8</v>
      </c>
      <c r="BU705" s="129">
        <f>_xlfn.IFNA(VLOOKUP($C705,RGI!$A$2:$C$43,3,FALSE),"..")</f>
        <v>46.872798601284018</v>
      </c>
      <c r="BV705" s="129">
        <f>VLOOKUP($D705,WGI!$C$2:$O$478,7,FALSE)</f>
        <v>-1.1000623897045001</v>
      </c>
      <c r="BW705" s="129">
        <f>VLOOKUP($D705,WGI!$C$2:$O$478,4,FALSE)</f>
        <v>-2.1856993154475899</v>
      </c>
      <c r="BX705" s="129">
        <f>VLOOKUP($D705,WGI!$C$2:$O$478,3,FALSE)</f>
        <v>-1.2020230439441499</v>
      </c>
      <c r="BY705" s="129">
        <f>VLOOKUP($D705,WGI!$C$2:$O$478,5,FALSE)</f>
        <v>-1.0060865909061101</v>
      </c>
      <c r="BZ705" s="129">
        <f>VLOOKUP($D705,WGI!$C$2:$O$478,2,FALSE)</f>
        <v>-1.3922886481096199</v>
      </c>
      <c r="CB705" s="129"/>
    </row>
    <row r="706" spans="1:80" s="158" customFormat="1" ht="15" customHeight="1">
      <c r="A706" s="282" t="s">
        <v>255</v>
      </c>
      <c r="B706" s="149">
        <v>2010</v>
      </c>
      <c r="C706" s="149" t="s">
        <v>251</v>
      </c>
      <c r="D706" s="117" t="s">
        <v>3667</v>
      </c>
      <c r="E706" s="453" t="s">
        <v>252</v>
      </c>
      <c r="F706" s="149"/>
      <c r="G706" s="149" t="s">
        <v>103</v>
      </c>
      <c r="H706" s="149" t="str">
        <f t="shared" ref="H706:H769" si="120">IF($G706="Mining","yes",IF($G706="Oil, Gas, Mining","yes",IF($G706="Gas, Mining","yes",IF($G706="Oil, Mining","yes",IF($G706="Oil, Mining, Other","yes","no")))))</f>
        <v>no</v>
      </c>
      <c r="I706" s="149" t="str">
        <f t="shared" ref="I706:I769" si="121">IF($G706="Gas","yes",IF($G706="Oil, Gas, Mining","yes",IF($G706="Gas, Mining","yes",IF($G706="Oil, Gas","yes",IF($G706="Oil, Gas, Other","yes","no")))))</f>
        <v>no</v>
      </c>
      <c r="J706" s="149" t="str">
        <f t="shared" ref="J706:J769" si="122">IF($G706="Oil","yes",IF($G706="Oil, Gas, Mining","yes",IF($G706="Oil, Mining","yes",IF($G706="Oil, Gas","yes",IF($G706="Oil, Gas, Other","yes","no")))))</f>
        <v>yes</v>
      </c>
      <c r="K706" s="149" t="s">
        <v>103</v>
      </c>
      <c r="L706" s="149" t="str">
        <f t="shared" si="119"/>
        <v>detailed</v>
      </c>
      <c r="M706" s="149" t="str">
        <f t="shared" ref="M706:M769" si="123">L706&amp;" "&amp;G706</f>
        <v>detailed Oil</v>
      </c>
      <c r="N706" s="150">
        <v>860655520</v>
      </c>
      <c r="O706" s="465"/>
      <c r="P706" s="150">
        <v>860655520</v>
      </c>
      <c r="Q706" s="150"/>
      <c r="R706" s="150"/>
      <c r="S706" s="149" t="s">
        <v>646</v>
      </c>
      <c r="T706" s="151">
        <v>75.650000000000006</v>
      </c>
      <c r="U706" s="149" t="s">
        <v>673</v>
      </c>
      <c r="V706" s="149" t="s">
        <v>1368</v>
      </c>
      <c r="W706" s="152">
        <f>N706*T706</f>
        <v>65108590088.000008</v>
      </c>
      <c r="X706" s="149"/>
      <c r="Y706" s="149"/>
      <c r="Z706" s="149"/>
      <c r="AA706" s="466">
        <v>53852645106.349998</v>
      </c>
      <c r="AB706" s="466">
        <v>54037731812.769997</v>
      </c>
      <c r="AC706" s="467" t="s">
        <v>1374</v>
      </c>
      <c r="AD706" s="468"/>
      <c r="AE706" s="467"/>
      <c r="AF706" s="469">
        <f>AA706/(W706*0.8)</f>
        <v>1.0339005389604388</v>
      </c>
      <c r="AG706" s="149" t="s">
        <v>864</v>
      </c>
      <c r="AH706" s="156" t="s">
        <v>865</v>
      </c>
      <c r="AI706" s="149" t="s">
        <v>722</v>
      </c>
      <c r="AJ706" s="149"/>
      <c r="AK706" s="152"/>
      <c r="AL706" s="149"/>
      <c r="AM706" s="149"/>
      <c r="AN706" s="149">
        <v>51</v>
      </c>
      <c r="AO706" s="149" t="s">
        <v>1375</v>
      </c>
      <c r="AP706" s="149">
        <v>51</v>
      </c>
      <c r="AQ706" s="149" t="s">
        <v>44</v>
      </c>
      <c r="AR706" s="220">
        <v>41897</v>
      </c>
      <c r="AS706" s="149" t="s">
        <v>1376</v>
      </c>
      <c r="AT706" s="149" t="s">
        <v>256</v>
      </c>
      <c r="AU706" s="149" t="s">
        <v>1377</v>
      </c>
      <c r="AV706" s="157" t="s">
        <v>1378</v>
      </c>
      <c r="AW706" s="117">
        <f>VLOOKUP($D706,'WB Data'!$C$3:$M$578,2,FALSE)</f>
        <v>138516722649.57266</v>
      </c>
      <c r="AX706" s="117">
        <f>VLOOKUP($D706,'WB Data'!$C$3:$M$578,3,FALSE)</f>
        <v>30962380</v>
      </c>
      <c r="AY706" s="847">
        <f t="shared" si="115"/>
        <v>0.38878082065650243</v>
      </c>
      <c r="AZ706" s="117" t="e">
        <f>VLOOKUP($D706,'WB Data'!$C$3:$M$578,4,FALSE)/100</f>
        <v>#VALUE!</v>
      </c>
      <c r="BA706" s="117" t="str">
        <f t="shared" si="116"/>
        <v>..</v>
      </c>
      <c r="BB706" s="129">
        <f>IFERROR(VLOOKUP($D706,'EITI Revenues'!$C$2:$G$224,5,FALSE),"..")</f>
        <v>53852645106.349998</v>
      </c>
      <c r="BC706" s="846" t="str">
        <f t="shared" si="117"/>
        <v>..</v>
      </c>
      <c r="BD706" s="129" t="str">
        <f>VLOOKUP($D706,'WB Data 2'!$C$2:$K$545,6,FALSE)</f>
        <v>..</v>
      </c>
      <c r="BE706" s="129">
        <f>IFERROR(VLOOKUP($D706,UNCTAD!$C$5:$V$529,4,FALSE),"..")</f>
        <v>54593900000</v>
      </c>
      <c r="BF706" s="846" t="str">
        <f t="shared" si="118"/>
        <v>..</v>
      </c>
      <c r="BG706" s="117">
        <f>VLOOKUP($D706,'WB Data'!$C$3:$M$578,5,FALSE)</f>
        <v>2191630000</v>
      </c>
      <c r="BH706" s="129">
        <f>IFERROR($BB706/$BG706,"..")</f>
        <v>24.571960187782608</v>
      </c>
      <c r="BI706" s="117" t="str">
        <f>IFERROR(VLOOKUP($D706,'WB Data'!$C$3:$M$578,7,FALSE)/100,"..")</f>
        <v>..</v>
      </c>
      <c r="BJ706" s="117" t="str">
        <f>IFERROR($BI706*$AW706,"..")</f>
        <v>..</v>
      </c>
      <c r="BK706" s="846" t="str">
        <f>IFERROR($BB706/$BJ706,"..")</f>
        <v>..</v>
      </c>
      <c r="BL706" s="117" t="str">
        <f>IFERROR(VLOOKUP($D706,'WB Data'!$C$3:$M$578,7,FALSE)/100,"..")</f>
        <v>..</v>
      </c>
      <c r="BM706" s="117" t="str">
        <f>IFERROR($AW706*$BL706,"..")</f>
        <v>..</v>
      </c>
      <c r="BN706" s="846" t="str">
        <f>IFERROR($BB706/$BM706,"..")</f>
        <v>..</v>
      </c>
      <c r="BO706" s="801">
        <f t="shared" ref="BO706:BO769" si="124">_xlfn.IFNA(VLOOKUP($C706,CPI_2013,2,FALSE),"..")</f>
        <v>16</v>
      </c>
      <c r="BP706" s="117" t="str">
        <f>VLOOKUP($D706,'WB Data'!$C$3:$M$578,9,FALSE)</f>
        <v>..</v>
      </c>
      <c r="BQ706" s="117">
        <f>VLOOKUP($D706,'WB Data'!$C$3:$M$578,10,FALSE)</f>
        <v>68.829756097560974</v>
      </c>
      <c r="BR706" s="117">
        <f>VLOOKUP($D706,'WB Data'!$C$3:$M$578,11,FALSE)</f>
        <v>30.1</v>
      </c>
      <c r="BS706" s="129" t="str">
        <f>IFERROR(VLOOKUP($D706,'WB Data 2'!$C$2:$K$545,9,FALSE),"..")</f>
        <v>..</v>
      </c>
      <c r="BT706" s="129">
        <f>_xlfn.IFNA(VLOOKUP($C706,RGI!$A$2:$C$43,2,FALSE),"..")</f>
        <v>63.8</v>
      </c>
      <c r="BU706" s="129">
        <f>_xlfn.IFNA(VLOOKUP($C706,RGI!$A$2:$C$43,3,FALSE),"..")</f>
        <v>46.872798601284018</v>
      </c>
      <c r="BV706" s="129">
        <f>VLOOKUP($D706,WGI!$C$2:$O$478,7,FALSE)</f>
        <v>-1.05609304989007</v>
      </c>
      <c r="BW706" s="129">
        <f>VLOOKUP($D706,WGI!$C$2:$O$478,4,FALSE)</f>
        <v>-2.2555389510886399</v>
      </c>
      <c r="BX706" s="129">
        <f>VLOOKUP($D706,WGI!$C$2:$O$478,3,FALSE)</f>
        <v>-1.22080514370563</v>
      </c>
      <c r="BY706" s="129">
        <f>VLOOKUP($D706,WGI!$C$2:$O$478,5,FALSE)</f>
        <v>-1.05017296506253</v>
      </c>
      <c r="BZ706" s="129">
        <f>VLOOKUP($D706,WGI!$C$2:$O$478,2,FALSE)</f>
        <v>-1.3101540300572501</v>
      </c>
      <c r="CB706" s="129"/>
    </row>
    <row r="707" spans="1:80" s="480" customFormat="1" ht="15" customHeight="1">
      <c r="A707" s="470" t="s">
        <v>257</v>
      </c>
      <c r="B707" s="471">
        <v>2011</v>
      </c>
      <c r="C707" s="471" t="s">
        <v>251</v>
      </c>
      <c r="D707" s="117" t="s">
        <v>3701</v>
      </c>
      <c r="E707" s="472" t="s">
        <v>252</v>
      </c>
      <c r="F707" s="471"/>
      <c r="G707" s="471" t="s">
        <v>103</v>
      </c>
      <c r="H707" s="471" t="str">
        <f t="shared" si="120"/>
        <v>no</v>
      </c>
      <c r="I707" s="471" t="str">
        <f t="shared" si="121"/>
        <v>no</v>
      </c>
      <c r="J707" s="471" t="str">
        <f t="shared" si="122"/>
        <v>yes</v>
      </c>
      <c r="K707" s="471" t="s">
        <v>103</v>
      </c>
      <c r="L707" s="471" t="str">
        <f t="shared" si="119"/>
        <v>detailed</v>
      </c>
      <c r="M707" s="471" t="str">
        <f t="shared" si="123"/>
        <v>detailed Oil</v>
      </c>
      <c r="N707" s="473">
        <v>933670000</v>
      </c>
      <c r="O707" s="473"/>
      <c r="P707" s="473">
        <v>933670000</v>
      </c>
      <c r="Q707" s="473"/>
      <c r="R707" s="473"/>
      <c r="S707" s="471" t="s">
        <v>646</v>
      </c>
      <c r="T707" s="474">
        <v>104.98</v>
      </c>
      <c r="U707" s="471" t="s">
        <v>673</v>
      </c>
      <c r="V707" s="471" t="s">
        <v>1368</v>
      </c>
      <c r="W707" s="475">
        <f>N707*T707</f>
        <v>98016676600</v>
      </c>
      <c r="X707" s="471"/>
      <c r="Y707" s="471"/>
      <c r="Z707" s="471"/>
      <c r="AA707" s="476">
        <v>82986002828</v>
      </c>
      <c r="AB707" s="476">
        <v>81810684105</v>
      </c>
      <c r="AC707" s="467" t="s">
        <v>1379</v>
      </c>
      <c r="AD707" s="468"/>
      <c r="AE707" s="467"/>
      <c r="AF707" s="469">
        <f>AA707/(W707*0.85)</f>
        <v>0.99606102705131849</v>
      </c>
      <c r="AG707" s="471" t="s">
        <v>864</v>
      </c>
      <c r="AH707" s="477" t="s">
        <v>865</v>
      </c>
      <c r="AI707" s="471" t="s">
        <v>722</v>
      </c>
      <c r="AJ707" s="471"/>
      <c r="AK707" s="475"/>
      <c r="AL707" s="471" t="s">
        <v>1380</v>
      </c>
      <c r="AM707" s="468">
        <v>4216659989</v>
      </c>
      <c r="AN707" s="471">
        <v>60</v>
      </c>
      <c r="AO707" s="471" t="s">
        <v>1381</v>
      </c>
      <c r="AP707" s="471">
        <v>47</v>
      </c>
      <c r="AQ707" s="471" t="s">
        <v>95</v>
      </c>
      <c r="AR707" s="478">
        <v>41897</v>
      </c>
      <c r="AS707" s="471" t="s">
        <v>1382</v>
      </c>
      <c r="AT707" s="471" t="s">
        <v>258</v>
      </c>
      <c r="AU707" s="471" t="s">
        <v>1383</v>
      </c>
      <c r="AV707" s="479" t="s">
        <v>1384</v>
      </c>
      <c r="AW707" s="117">
        <f>VLOOKUP($D707,'WB Data'!$C$3:$M$578,2,FALSE)</f>
        <v>185749664444.44446</v>
      </c>
      <c r="AX707" s="117">
        <f>VLOOKUP($D707,'WB Data'!$C$3:$M$578,3,FALSE)</f>
        <v>31760020</v>
      </c>
      <c r="AY707" s="847">
        <f t="shared" ref="AY707:AY770" si="125">IFERROR($BB707/$AW707,"..")</f>
        <v>0.44676259887844988</v>
      </c>
      <c r="AZ707" s="117" t="e">
        <f>VLOOKUP($D707,'WB Data'!$C$3:$M$578,4,FALSE)/100</f>
        <v>#VALUE!</v>
      </c>
      <c r="BA707" s="117" t="str">
        <f t="shared" ref="BA707:BA770" si="126">IFERROR($AW707*$AZ707,"..")</f>
        <v>..</v>
      </c>
      <c r="BB707" s="129">
        <f>IFERROR(VLOOKUP($D707,'EITI Revenues'!$C$2:$G$224,5,FALSE),"..")</f>
        <v>82986002828</v>
      </c>
      <c r="BC707" s="846" t="str">
        <f t="shared" ref="BC707:BC770" si="127">IFERROR($BB707/$BA707,"..")</f>
        <v>..</v>
      </c>
      <c r="BD707" s="129" t="str">
        <f>VLOOKUP($D707,'WB Data 2'!$C$2:$K$545,6,FALSE)</f>
        <v>..</v>
      </c>
      <c r="BE707" s="129">
        <f>IFERROR(VLOOKUP($D707,UNCTAD!$C$5:$V$529,4,FALSE),"..")</f>
        <v>82506000000</v>
      </c>
      <c r="BF707" s="846" t="str">
        <f t="shared" ref="BF707:BF770" si="128">IFERROR(($BD707/$BE707),"..")</f>
        <v>..</v>
      </c>
      <c r="BG707" s="117">
        <f>VLOOKUP($D707,'WB Data'!$C$3:$M$578,5,FALSE)</f>
        <v>1908080000</v>
      </c>
      <c r="BH707" s="129">
        <f>IFERROR($BB707/$BG707,"..")</f>
        <v>43.491888614733135</v>
      </c>
      <c r="BI707" s="117" t="str">
        <f>IFERROR(VLOOKUP($D707,'WB Data'!$C$3:$M$578,7,FALSE)/100,"..")</f>
        <v>..</v>
      </c>
      <c r="BJ707" s="117" t="str">
        <f>IFERROR($BI707*$AW707,"..")</f>
        <v>..</v>
      </c>
      <c r="BK707" s="846" t="str">
        <f>IFERROR($BB707/$BJ707,"..")</f>
        <v>..</v>
      </c>
      <c r="BL707" s="117" t="str">
        <f>IFERROR(VLOOKUP($D707,'WB Data'!$C$3:$M$578,7,FALSE)/100,"..")</f>
        <v>..</v>
      </c>
      <c r="BM707" s="117" t="str">
        <f>IFERROR($AW707*$BL707,"..")</f>
        <v>..</v>
      </c>
      <c r="BN707" s="846" t="str">
        <f>IFERROR($BB707/$BM707,"..")</f>
        <v>..</v>
      </c>
      <c r="BO707" s="801">
        <f t="shared" si="124"/>
        <v>16</v>
      </c>
      <c r="BP707" s="117" t="str">
        <f>VLOOKUP($D707,'WB Data'!$C$3:$M$578,9,FALSE)</f>
        <v>..</v>
      </c>
      <c r="BQ707" s="117">
        <f>VLOOKUP($D707,'WB Data'!$C$3:$M$578,10,FALSE)</f>
        <v>69.015780487804889</v>
      </c>
      <c r="BR707" s="117">
        <f>VLOOKUP($D707,'WB Data'!$C$3:$M$578,11,FALSE)</f>
        <v>29.4</v>
      </c>
      <c r="BS707" s="129" t="str">
        <f>IFERROR(VLOOKUP($D707,'WB Data 2'!$C$2:$K$545,9,FALSE),"..")</f>
        <v>..</v>
      </c>
      <c r="BT707" s="129">
        <f>_xlfn.IFNA(VLOOKUP($C707,RGI!$A$2:$C$43,2,FALSE),"..")</f>
        <v>63.8</v>
      </c>
      <c r="BU707" s="129">
        <f>_xlfn.IFNA(VLOOKUP($C707,RGI!$A$2:$C$43,3,FALSE),"..")</f>
        <v>46.872798601284018</v>
      </c>
      <c r="BV707" s="129">
        <f>VLOOKUP($D707,WGI!$C$2:$O$478,7,FALSE)</f>
        <v>-1.14941272584278</v>
      </c>
      <c r="BW707" s="129">
        <f>VLOOKUP($D707,WGI!$C$2:$O$478,4,FALSE)</f>
        <v>-1.8422029306640999</v>
      </c>
      <c r="BX707" s="129">
        <f>VLOOKUP($D707,WGI!$C$2:$O$478,3,FALSE)</f>
        <v>-1.1508256264483501</v>
      </c>
      <c r="BY707" s="129">
        <f>VLOOKUP($D707,WGI!$C$2:$O$478,5,FALSE)</f>
        <v>-1.09298881572478</v>
      </c>
      <c r="BZ707" s="129">
        <f>VLOOKUP($D707,WGI!$C$2:$O$478,2,FALSE)</f>
        <v>-1.2066321616253699</v>
      </c>
      <c r="CB707" s="129"/>
    </row>
    <row r="708" spans="1:80" s="173" customFormat="1" ht="15" customHeight="1" thickBot="1">
      <c r="A708" s="778" t="s">
        <v>259</v>
      </c>
      <c r="B708" s="481">
        <v>2012</v>
      </c>
      <c r="C708" s="471" t="s">
        <v>251</v>
      </c>
      <c r="D708" s="117" t="s">
        <v>3735</v>
      </c>
      <c r="E708" s="482" t="s">
        <v>252</v>
      </c>
      <c r="F708" s="482" t="s">
        <v>1367</v>
      </c>
      <c r="G708" s="483" t="s">
        <v>103</v>
      </c>
      <c r="H708" s="483" t="s">
        <v>103</v>
      </c>
      <c r="I708" s="404"/>
      <c r="J708" s="404"/>
      <c r="K708" s="404" t="s">
        <v>103</v>
      </c>
      <c r="L708" s="404"/>
      <c r="M708" s="404"/>
      <c r="N708" s="405"/>
      <c r="O708" s="405"/>
      <c r="P708" s="405"/>
      <c r="Q708" s="404"/>
      <c r="R708" s="484">
        <v>1054000000</v>
      </c>
      <c r="S708" s="307" t="s">
        <v>646</v>
      </c>
      <c r="T708" s="166"/>
      <c r="U708" s="485"/>
      <c r="V708" s="307" t="s">
        <v>725</v>
      </c>
      <c r="W708" s="486"/>
      <c r="X708" s="307" t="s">
        <v>1385</v>
      </c>
      <c r="Y708" s="307" t="s">
        <v>602</v>
      </c>
      <c r="Z708" s="307" t="s">
        <v>664</v>
      </c>
      <c r="AA708" s="314">
        <v>94032633453</v>
      </c>
      <c r="AB708" s="487">
        <v>93136980753</v>
      </c>
      <c r="AC708" s="311"/>
      <c r="AD708" s="314">
        <v>102571449547</v>
      </c>
      <c r="AE708" s="311"/>
      <c r="AF708" s="312"/>
      <c r="AG708" s="164" t="s">
        <v>864</v>
      </c>
      <c r="AH708" s="313"/>
      <c r="AI708" s="307" t="s">
        <v>722</v>
      </c>
      <c r="AJ708" s="307"/>
      <c r="AK708" s="314"/>
      <c r="AL708" s="307"/>
      <c r="AM708" s="307"/>
      <c r="AN708" s="307">
        <v>43</v>
      </c>
      <c r="AO708" s="307" t="s">
        <v>1386</v>
      </c>
      <c r="AP708" s="307">
        <v>43</v>
      </c>
      <c r="AQ708" s="488" t="s">
        <v>50</v>
      </c>
      <c r="AR708" s="307"/>
      <c r="AS708" s="307" t="s">
        <v>1382</v>
      </c>
      <c r="AT708" s="307" t="s">
        <v>260</v>
      </c>
      <c r="AU708" s="307"/>
      <c r="AV708" s="779" t="s">
        <v>1387</v>
      </c>
      <c r="AW708" s="117">
        <f>VLOOKUP($D708,'WB Data'!$C$3:$M$578,2,FALSE)</f>
        <v>216044306775.30017</v>
      </c>
      <c r="AX708" s="117">
        <f>VLOOKUP($D708,'WB Data'!$C$3:$M$578,3,FALSE)</f>
        <v>32578209</v>
      </c>
      <c r="AY708" s="847">
        <f t="shared" si="125"/>
        <v>0.43524698640080306</v>
      </c>
      <c r="AZ708" s="117" t="e">
        <f>VLOOKUP($D708,'WB Data'!$C$3:$M$578,4,FALSE)/100</f>
        <v>#VALUE!</v>
      </c>
      <c r="BA708" s="117" t="str">
        <f t="shared" si="126"/>
        <v>..</v>
      </c>
      <c r="BB708" s="129">
        <f>IFERROR(VLOOKUP($D708,'EITI Revenues'!$C$2:$G$224,5,FALSE),"..")</f>
        <v>94032633453</v>
      </c>
      <c r="BC708" s="846" t="str">
        <f t="shared" si="127"/>
        <v>..</v>
      </c>
      <c r="BD708" s="129" t="str">
        <f>VLOOKUP($D708,'WB Data 2'!$C$2:$K$545,6,FALSE)</f>
        <v>..</v>
      </c>
      <c r="BE708" s="129">
        <f>IFERROR(VLOOKUP($D708,UNCTAD!$C$5:$V$529,4,FALSE),"..")</f>
        <v>97040000000</v>
      </c>
      <c r="BF708" s="846" t="str">
        <f t="shared" si="128"/>
        <v>..</v>
      </c>
      <c r="BG708" s="117">
        <f>VLOOKUP($D708,'WB Data'!$C$3:$M$578,5,FALSE)</f>
        <v>1300790000</v>
      </c>
      <c r="BH708" s="129">
        <f>IFERROR($BB708/$BG708,"..")</f>
        <v>72.288865576303635</v>
      </c>
      <c r="BI708" s="117" t="str">
        <f>IFERROR(VLOOKUP($D708,'WB Data'!$C$3:$M$578,7,FALSE)/100,"..")</f>
        <v>..</v>
      </c>
      <c r="BJ708" s="117" t="str">
        <f>IFERROR($BI708*$AW708,"..")</f>
        <v>..</v>
      </c>
      <c r="BK708" s="846" t="str">
        <f>IFERROR($BB708/$BJ708,"..")</f>
        <v>..</v>
      </c>
      <c r="BL708" s="117" t="str">
        <f>IFERROR(VLOOKUP($D708,'WB Data'!$C$3:$M$578,7,FALSE)/100,"..")</f>
        <v>..</v>
      </c>
      <c r="BM708" s="117" t="str">
        <f>IFERROR($AW708*$BL708,"..")</f>
        <v>..</v>
      </c>
      <c r="BN708" s="846" t="str">
        <f>IFERROR($BB708/$BM708,"..")</f>
        <v>..</v>
      </c>
      <c r="BO708" s="801">
        <f t="shared" si="124"/>
        <v>16</v>
      </c>
      <c r="BP708" s="117">
        <f>VLOOKUP($D708,'WB Data'!$C$3:$M$578,9,FALSE)</f>
        <v>18.899999999999999</v>
      </c>
      <c r="BQ708" s="117">
        <f>VLOOKUP($D708,'WB Data'!$C$3:$M$578,10,FALSE)</f>
        <v>69.241926829268309</v>
      </c>
      <c r="BR708" s="117">
        <f>VLOOKUP($D708,'WB Data'!$C$3:$M$578,11,FALSE)</f>
        <v>28.8</v>
      </c>
      <c r="BS708" s="129" t="str">
        <f>IFERROR(VLOOKUP($D708,'WB Data 2'!$C$2:$K$545,9,FALSE),"..")</f>
        <v>..</v>
      </c>
      <c r="BT708" s="129">
        <f>_xlfn.IFNA(VLOOKUP($C708,RGI!$A$2:$C$43,2,FALSE),"..")</f>
        <v>63.8</v>
      </c>
      <c r="BU708" s="129">
        <f>_xlfn.IFNA(VLOOKUP($C708,RGI!$A$2:$C$43,3,FALSE),"..")</f>
        <v>46.872798601284018</v>
      </c>
      <c r="BV708" s="129">
        <f>VLOOKUP($D708,WGI!$C$2:$O$478,7,FALSE)</f>
        <v>-1.1344417600162</v>
      </c>
      <c r="BW708" s="129">
        <f>VLOOKUP($D708,WGI!$C$2:$O$478,4,FALSE)</f>
        <v>-1.93249133973044</v>
      </c>
      <c r="BX708" s="129">
        <f>VLOOKUP($D708,WGI!$C$2:$O$478,3,FALSE)</f>
        <v>-1.11293652359442</v>
      </c>
      <c r="BY708" s="129">
        <f>VLOOKUP($D708,WGI!$C$2:$O$478,5,FALSE)</f>
        <v>-1.27023127643095</v>
      </c>
      <c r="BZ708" s="129">
        <f>VLOOKUP($D708,WGI!$C$2:$O$478,2,FALSE)</f>
        <v>-1.22911513075325</v>
      </c>
      <c r="CB708" s="129"/>
    </row>
    <row r="709" spans="1:80" ht="15" customHeight="1">
      <c r="A709" s="282" t="s">
        <v>1388</v>
      </c>
      <c r="B709" s="149">
        <v>2005</v>
      </c>
      <c r="C709" s="149" t="s">
        <v>280</v>
      </c>
      <c r="D709" s="117" t="s">
        <v>3498</v>
      </c>
      <c r="E709" s="453" t="s">
        <v>39</v>
      </c>
      <c r="F709" s="117" t="s">
        <v>1390</v>
      </c>
      <c r="G709" s="117" t="s">
        <v>103</v>
      </c>
      <c r="H709" s="117" t="str">
        <f t="shared" si="120"/>
        <v>no</v>
      </c>
      <c r="I709" s="117" t="str">
        <f t="shared" si="121"/>
        <v>no</v>
      </c>
      <c r="J709" s="117" t="str">
        <f t="shared" si="122"/>
        <v>yes</v>
      </c>
      <c r="K709" s="117" t="s">
        <v>103</v>
      </c>
      <c r="L709" s="117" t="str">
        <f t="shared" si="119"/>
        <v>detailed</v>
      </c>
      <c r="M709" s="117" t="str">
        <f t="shared" si="123"/>
        <v>detailed Oil</v>
      </c>
      <c r="N709" s="179">
        <v>485450000</v>
      </c>
      <c r="O709" s="179"/>
      <c r="P709" s="179"/>
      <c r="Q709" s="179"/>
      <c r="R709" s="179"/>
      <c r="S709" s="117" t="s">
        <v>646</v>
      </c>
      <c r="T709" s="119">
        <v>54.04</v>
      </c>
      <c r="U709" s="117" t="s">
        <v>673</v>
      </c>
      <c r="V709" s="117" t="s">
        <v>740</v>
      </c>
      <c r="W709" s="89">
        <f>N709*T709</f>
        <v>26233718000</v>
      </c>
      <c r="X709" s="117" t="s">
        <v>1098</v>
      </c>
      <c r="Y709" s="117" t="s">
        <v>602</v>
      </c>
      <c r="Z709" s="117" t="s">
        <v>603</v>
      </c>
      <c r="AA709" s="334">
        <v>2622996991</v>
      </c>
      <c r="AB709" s="334">
        <v>2610384907</v>
      </c>
      <c r="AC709" s="122"/>
      <c r="AD709" s="122"/>
      <c r="AE709" s="122"/>
      <c r="AF709" s="123">
        <f>AA709/W709</f>
        <v>9.9985712699968796E-2</v>
      </c>
      <c r="AG709" s="117" t="s">
        <v>1391</v>
      </c>
      <c r="AH709" s="124">
        <v>131.6</v>
      </c>
      <c r="AI709" s="117" t="s">
        <v>667</v>
      </c>
      <c r="AJ709" s="117"/>
      <c r="AK709" s="89"/>
      <c r="AL709" s="117"/>
      <c r="AM709" s="117"/>
      <c r="AN709" s="117">
        <v>38</v>
      </c>
      <c r="AO709" s="117" t="s">
        <v>1392</v>
      </c>
      <c r="AP709" s="117">
        <v>37</v>
      </c>
      <c r="AQ709" s="117" t="s">
        <v>263</v>
      </c>
      <c r="AR709" s="126">
        <v>41920</v>
      </c>
      <c r="AS709" s="117" t="s">
        <v>712</v>
      </c>
      <c r="AT709" s="117" t="s">
        <v>1393</v>
      </c>
      <c r="AU709" s="215" t="s">
        <v>1394</v>
      </c>
      <c r="AV709" s="128" t="s">
        <v>1395</v>
      </c>
      <c r="AW709" s="117">
        <f>VLOOKUP($D709,'WB Data'!$C$3:$M$578,2,FALSE)</f>
        <v>57123671733.895248</v>
      </c>
      <c r="AX709" s="117">
        <f>VLOOKUP($D709,'WB Data'!$C$3:$M$578,3,FALSE)</f>
        <v>15147029</v>
      </c>
      <c r="AY709" s="847" t="str">
        <f t="shared" si="125"/>
        <v>..</v>
      </c>
      <c r="AZ709" s="117" t="e">
        <f>VLOOKUP($D709,'WB Data'!$C$3:$M$578,4,FALSE)/100</f>
        <v>#VALUE!</v>
      </c>
      <c r="BA709" s="117" t="str">
        <f t="shared" si="126"/>
        <v>..</v>
      </c>
      <c r="BB709" s="129" t="str">
        <f>IFERROR(VLOOKUP($D709,'EITI Revenues'!$C$2:$G$224,5,FALSE),"..")</f>
        <v>..</v>
      </c>
      <c r="BC709" s="846" t="str">
        <f t="shared" si="127"/>
        <v>..</v>
      </c>
      <c r="BD709" s="129">
        <f>VLOOKUP($D709,'WB Data 2'!$C$2:$K$545,6,FALSE)</f>
        <v>23242586749.559624</v>
      </c>
      <c r="BE709" s="129">
        <f>IFERROR(VLOOKUP($D709,UNCTAD!$C$5:$V$529,4,FALSE),"..")</f>
        <v>30529040000</v>
      </c>
      <c r="BF709" s="846">
        <f t="shared" si="128"/>
        <v>0.76132714129103385</v>
      </c>
      <c r="BG709" s="117">
        <f>VLOOKUP($D709,'WB Data'!$C$3:$M$578,5,FALSE)</f>
        <v>228880000</v>
      </c>
      <c r="BH709" s="129" t="str">
        <f>IFERROR($BB709/$BG709,"..")</f>
        <v>..</v>
      </c>
      <c r="BI709" s="117">
        <f>IFERROR(VLOOKUP($D709,'WB Data'!$C$3:$M$578,7,FALSE)/100,"..")</f>
        <v>2.2635299999999997E-2</v>
      </c>
      <c r="BJ709" s="117">
        <f>IFERROR($BI709*$AW709,"..")</f>
        <v>1293011446.798239</v>
      </c>
      <c r="BK709" s="846" t="str">
        <f>IFERROR($BB709/$BJ709,"..")</f>
        <v>..</v>
      </c>
      <c r="BL709" s="117">
        <f>IFERROR(VLOOKUP($D709,'WB Data'!$C$3:$M$578,7,FALSE)/100,"..")</f>
        <v>2.2635299999999997E-2</v>
      </c>
      <c r="BM709" s="117">
        <f>IFERROR($AW709*$BL709,"..")</f>
        <v>1293011446.798239</v>
      </c>
      <c r="BN709" s="846" t="str">
        <f>IFERROR($BB709/$BM709,"..")</f>
        <v>..</v>
      </c>
      <c r="BO709" s="801">
        <f t="shared" si="124"/>
        <v>29</v>
      </c>
      <c r="BP709" s="117">
        <f>VLOOKUP($D709,'WB Data'!$C$3:$M$578,9,FALSE)</f>
        <v>31.6</v>
      </c>
      <c r="BQ709" s="117">
        <f>VLOOKUP($D709,'WB Data'!$C$3:$M$578,10,FALSE)</f>
        <v>65.909756097560987</v>
      </c>
      <c r="BR709" s="117">
        <f>VLOOKUP($D709,'WB Data'!$C$3:$M$578,11,FALSE)</f>
        <v>28.5</v>
      </c>
      <c r="BS709" s="129">
        <f>IFERROR(VLOOKUP($D709,'WB Data 2'!$C$2:$K$545,9,FALSE),"..")</f>
        <v>98.763279999999995</v>
      </c>
      <c r="BT709" s="129">
        <f>_xlfn.IFNA(VLOOKUP($C709,RGI!$A$2:$C$43,2,FALSE),"..")</f>
        <v>77.5</v>
      </c>
      <c r="BU709" s="129">
        <f>_xlfn.IFNA(VLOOKUP($C709,RGI!$A$2:$C$43,3,FALSE),"..")</f>
        <v>57.362887635782535</v>
      </c>
      <c r="BV709" s="129">
        <f>VLOOKUP($D709,WGI!$C$2:$O$478,7,FALSE)</f>
        <v>-1.0029731937432</v>
      </c>
      <c r="BW709" s="129">
        <f>VLOOKUP($D709,WGI!$C$2:$O$478,4,FALSE)</f>
        <v>0.177586919741824</v>
      </c>
      <c r="BX709" s="129">
        <f>VLOOKUP($D709,WGI!$C$2:$O$478,3,FALSE)</f>
        <v>-0.55226747501863804</v>
      </c>
      <c r="BY709" s="129">
        <f>VLOOKUP($D709,WGI!$C$2:$O$478,5,FALSE)</f>
        <v>-0.32629253789044799</v>
      </c>
      <c r="BZ709" s="129">
        <f>VLOOKUP($D709,WGI!$C$2:$O$478,2,FALSE)</f>
        <v>-0.99613384534870197</v>
      </c>
    </row>
    <row r="710" spans="1:80" s="144" customFormat="1" ht="15" customHeight="1">
      <c r="A710" s="279" t="s">
        <v>266</v>
      </c>
      <c r="B710" s="132">
        <v>2006</v>
      </c>
      <c r="C710" s="132" t="s">
        <v>280</v>
      </c>
      <c r="D710" s="117" t="s">
        <v>3532</v>
      </c>
      <c r="E710" s="450" t="s">
        <v>39</v>
      </c>
      <c r="F710" s="132" t="s">
        <v>1390</v>
      </c>
      <c r="G710" s="132" t="s">
        <v>55</v>
      </c>
      <c r="H710" s="117" t="str">
        <f t="shared" si="120"/>
        <v>no</v>
      </c>
      <c r="I710" s="117" t="str">
        <f t="shared" si="121"/>
        <v>yes</v>
      </c>
      <c r="J710" s="117" t="str">
        <f t="shared" si="122"/>
        <v>yes</v>
      </c>
      <c r="K710" s="132" t="s">
        <v>709</v>
      </c>
      <c r="L710" s="117" t="str">
        <f t="shared" si="119"/>
        <v>Total</v>
      </c>
      <c r="M710" s="117" t="str">
        <f t="shared" si="123"/>
        <v>Total Oil, Gas</v>
      </c>
      <c r="N710" s="238"/>
      <c r="O710" s="238"/>
      <c r="P710" s="238"/>
      <c r="Q710" s="238"/>
      <c r="R710" s="238"/>
      <c r="S710" s="132"/>
      <c r="T710" s="134"/>
      <c r="U710" s="132" t="s">
        <v>673</v>
      </c>
      <c r="V710" s="132"/>
      <c r="W710" s="135">
        <f>SUM(W711:W712)</f>
        <v>37511373650</v>
      </c>
      <c r="X710" s="132" t="s">
        <v>1098</v>
      </c>
      <c r="Y710" s="132" t="s">
        <v>602</v>
      </c>
      <c r="Z710" s="132" t="s">
        <v>603</v>
      </c>
      <c r="AA710" s="325">
        <v>10237431640</v>
      </c>
      <c r="AB710" s="325">
        <v>10113048830</v>
      </c>
      <c r="AC710" s="138"/>
      <c r="AD710" s="138"/>
      <c r="AE710" s="138"/>
      <c r="AF710" s="139">
        <f>AA710/W710</f>
        <v>0.2729154025528468</v>
      </c>
      <c r="AG710" s="132" t="s">
        <v>1391</v>
      </c>
      <c r="AH710" s="140">
        <v>121.5</v>
      </c>
      <c r="AI710" s="132" t="s">
        <v>667</v>
      </c>
      <c r="AJ710" s="132"/>
      <c r="AK710" s="135"/>
      <c r="AL710" s="132"/>
      <c r="AM710" s="132"/>
      <c r="AN710" s="132">
        <v>110</v>
      </c>
      <c r="AO710" s="132" t="s">
        <v>1396</v>
      </c>
      <c r="AP710" s="132">
        <v>103</v>
      </c>
      <c r="AQ710" s="229" t="s">
        <v>267</v>
      </c>
      <c r="AR710" s="141">
        <v>41920</v>
      </c>
      <c r="AS710" s="132" t="s">
        <v>1397</v>
      </c>
      <c r="AT710" s="132" t="s">
        <v>1398</v>
      </c>
      <c r="AU710" s="229" t="s">
        <v>1399</v>
      </c>
      <c r="AV710" s="143" t="s">
        <v>1400</v>
      </c>
      <c r="AW710" s="117">
        <f>VLOOKUP($D710,'WB Data'!$C$3:$M$578,2,FALSE)</f>
        <v>81003864915.543655</v>
      </c>
      <c r="AX710" s="117">
        <f>VLOOKUP($D710,'WB Data'!$C$3:$M$578,3,FALSE)</f>
        <v>15308084</v>
      </c>
      <c r="AY710" s="847" t="str">
        <f t="shared" si="125"/>
        <v>..</v>
      </c>
      <c r="AZ710" s="117" t="e">
        <f>VLOOKUP($D710,'WB Data'!$C$3:$M$578,4,FALSE)/100</f>
        <v>#VALUE!</v>
      </c>
      <c r="BA710" s="117" t="str">
        <f t="shared" si="126"/>
        <v>..</v>
      </c>
      <c r="BB710" s="129" t="str">
        <f>IFERROR(VLOOKUP($D710,'EITI Revenues'!$C$2:$G$224,5,FALSE),"..")</f>
        <v>..</v>
      </c>
      <c r="BC710" s="846" t="str">
        <f t="shared" si="127"/>
        <v>..</v>
      </c>
      <c r="BD710" s="129">
        <f>VLOOKUP($D710,'WB Data 2'!$C$2:$K$545,6,FALSE)</f>
        <v>32150701249.390903</v>
      </c>
      <c r="BE710" s="129">
        <f>IFERROR(VLOOKUP($D710,UNCTAD!$C$5:$V$529,4,FALSE),"..")</f>
        <v>41580850000</v>
      </c>
      <c r="BF710" s="846">
        <f t="shared" si="128"/>
        <v>0.7732093319254153</v>
      </c>
      <c r="BG710" s="117">
        <f>VLOOKUP($D710,'WB Data'!$C$3:$M$578,5,FALSE)</f>
        <v>174300000</v>
      </c>
      <c r="BH710" s="129" t="str">
        <f>IFERROR($BB710/$BG710,"..")</f>
        <v>..</v>
      </c>
      <c r="BI710" s="117">
        <f>IFERROR(VLOOKUP($D710,'WB Data'!$C$3:$M$578,7,FALSE)/100,"..")</f>
        <v>2.6267800000000001E-2</v>
      </c>
      <c r="BJ710" s="117">
        <f>IFERROR($BI710*$AW710,"..")</f>
        <v>2127793322.8285177</v>
      </c>
      <c r="BK710" s="846" t="str">
        <f>IFERROR($BB710/$BJ710,"..")</f>
        <v>..</v>
      </c>
      <c r="BL710" s="117">
        <f>IFERROR(VLOOKUP($D710,'WB Data'!$C$3:$M$578,7,FALSE)/100,"..")</f>
        <v>2.6267800000000001E-2</v>
      </c>
      <c r="BM710" s="117">
        <f>IFERROR($AW710*$BL710,"..")</f>
        <v>2127793322.8285177</v>
      </c>
      <c r="BN710" s="846" t="str">
        <f>IFERROR($BB710/$BM710,"..")</f>
        <v>..</v>
      </c>
      <c r="BO710" s="801">
        <f t="shared" si="124"/>
        <v>29</v>
      </c>
      <c r="BP710" s="117">
        <f>VLOOKUP($D710,'WB Data'!$C$3:$M$578,9,FALSE)</f>
        <v>18.2</v>
      </c>
      <c r="BQ710" s="117">
        <f>VLOOKUP($D710,'WB Data'!$C$3:$M$578,10,FALSE)</f>
        <v>66.160975609756107</v>
      </c>
      <c r="BR710" s="117">
        <f>VLOOKUP($D710,'WB Data'!$C$3:$M$578,11,FALSE)</f>
        <v>26.7</v>
      </c>
      <c r="BS710" s="129">
        <f>IFERROR(VLOOKUP($D710,'WB Data 2'!$C$2:$K$545,9,FALSE),"..")</f>
        <v>98.831010000000006</v>
      </c>
      <c r="BT710" s="129">
        <f>_xlfn.IFNA(VLOOKUP($C710,RGI!$A$2:$C$43,2,FALSE),"..")</f>
        <v>77.5</v>
      </c>
      <c r="BU710" s="129">
        <f>_xlfn.IFNA(VLOOKUP($C710,RGI!$A$2:$C$43,3,FALSE),"..")</f>
        <v>57.362887635782535</v>
      </c>
      <c r="BV710" s="129">
        <f>VLOOKUP($D710,WGI!$C$2:$O$478,7,FALSE)</f>
        <v>-1.1430693754560399</v>
      </c>
      <c r="BW710" s="129">
        <f>VLOOKUP($D710,WGI!$C$2:$O$478,4,FALSE)</f>
        <v>0.19965697502830801</v>
      </c>
      <c r="BX710" s="129">
        <f>VLOOKUP($D710,WGI!$C$2:$O$478,3,FALSE)</f>
        <v>-0.45724626354541698</v>
      </c>
      <c r="BY710" s="129">
        <f>VLOOKUP($D710,WGI!$C$2:$O$478,5,FALSE)</f>
        <v>-0.3649877654548</v>
      </c>
      <c r="BZ710" s="129">
        <f>VLOOKUP($D710,WGI!$C$2:$O$478,2,FALSE)</f>
        <v>-0.90072973001074697</v>
      </c>
      <c r="CB710" s="129"/>
    </row>
    <row r="711" spans="1:80" s="120" customFormat="1" ht="15" customHeight="1">
      <c r="A711" s="280" t="s">
        <v>266</v>
      </c>
      <c r="B711" s="117">
        <v>2006</v>
      </c>
      <c r="C711" s="117" t="s">
        <v>280</v>
      </c>
      <c r="D711" s="117" t="s">
        <v>3532</v>
      </c>
      <c r="E711" s="452" t="s">
        <v>39</v>
      </c>
      <c r="F711" s="117"/>
      <c r="G711" s="117" t="s">
        <v>561</v>
      </c>
      <c r="H711" s="117" t="str">
        <f t="shared" si="120"/>
        <v>no</v>
      </c>
      <c r="I711" s="117" t="str">
        <f t="shared" si="121"/>
        <v>yes</v>
      </c>
      <c r="J711" s="117" t="str">
        <f t="shared" si="122"/>
        <v>no</v>
      </c>
      <c r="K711" s="117" t="s">
        <v>561</v>
      </c>
      <c r="L711" s="117" t="str">
        <f t="shared" si="119"/>
        <v>detailed</v>
      </c>
      <c r="M711" s="117" t="str">
        <f t="shared" si="123"/>
        <v>detailed Gas</v>
      </c>
      <c r="N711" s="179">
        <v>13000000000</v>
      </c>
      <c r="O711" s="118">
        <f>N711*0.0066</f>
        <v>85800000</v>
      </c>
      <c r="P711" s="179"/>
      <c r="Q711" s="179"/>
      <c r="R711" s="179"/>
      <c r="S711" s="117" t="s">
        <v>642</v>
      </c>
      <c r="T711" s="119">
        <v>0.243474</v>
      </c>
      <c r="U711" s="117" t="s">
        <v>643</v>
      </c>
      <c r="V711" s="117" t="s">
        <v>738</v>
      </c>
      <c r="W711" s="89">
        <f>N711*T711</f>
        <v>3165162000</v>
      </c>
      <c r="X711" s="117"/>
      <c r="Y711" s="117"/>
      <c r="Z711" s="117"/>
      <c r="AA711" s="489">
        <f>W711/W712</f>
        <v>9.2154617582111131E-2</v>
      </c>
      <c r="AB711" s="177"/>
      <c r="AC711" s="122"/>
      <c r="AD711" s="122"/>
      <c r="AE711" s="122"/>
      <c r="AF711" s="123"/>
      <c r="AG711" s="117"/>
      <c r="AH711" s="124"/>
      <c r="AI711" s="117"/>
      <c r="AJ711" s="117"/>
      <c r="AK711" s="89"/>
      <c r="AL711" s="117"/>
      <c r="AM711" s="117"/>
      <c r="AN711" s="117"/>
      <c r="AO711" s="117"/>
      <c r="AP711" s="117"/>
      <c r="AQ711" s="117"/>
      <c r="AR711" s="126"/>
      <c r="AS711" s="117"/>
      <c r="AT711" s="117"/>
      <c r="AU711" s="215"/>
      <c r="AV711" s="128"/>
      <c r="AW711" s="117">
        <f>VLOOKUP($D711,'WB Data'!$C$3:$M$578,2,FALSE)</f>
        <v>81003864915.543655</v>
      </c>
      <c r="AX711" s="117">
        <f>VLOOKUP($D711,'WB Data'!$C$3:$M$578,3,FALSE)</f>
        <v>15308084</v>
      </c>
      <c r="AY711" s="847" t="str">
        <f t="shared" si="125"/>
        <v>..</v>
      </c>
      <c r="AZ711" s="117" t="e">
        <f>VLOOKUP($D711,'WB Data'!$C$3:$M$578,4,FALSE)/100</f>
        <v>#VALUE!</v>
      </c>
      <c r="BA711" s="117" t="str">
        <f t="shared" si="126"/>
        <v>..</v>
      </c>
      <c r="BB711" s="129" t="str">
        <f>IFERROR(VLOOKUP($D711,'EITI Revenues'!$C$2:$G$224,5,FALSE),"..")</f>
        <v>..</v>
      </c>
      <c r="BC711" s="846" t="str">
        <f t="shared" si="127"/>
        <v>..</v>
      </c>
      <c r="BD711" s="129">
        <f>VLOOKUP($D711,'WB Data 2'!$C$2:$K$545,6,FALSE)</f>
        <v>32150701249.390903</v>
      </c>
      <c r="BE711" s="129">
        <f>IFERROR(VLOOKUP($D711,UNCTAD!$C$5:$V$529,4,FALSE),"..")</f>
        <v>41580850000</v>
      </c>
      <c r="BF711" s="846">
        <f t="shared" si="128"/>
        <v>0.7732093319254153</v>
      </c>
      <c r="BG711" s="117">
        <f>VLOOKUP($D711,'WB Data'!$C$3:$M$578,5,FALSE)</f>
        <v>174300000</v>
      </c>
      <c r="BH711" s="129" t="str">
        <f>IFERROR($BB711/$BG711,"..")</f>
        <v>..</v>
      </c>
      <c r="BI711" s="117">
        <f>IFERROR(VLOOKUP($D711,'WB Data'!$C$3:$M$578,7,FALSE)/100,"..")</f>
        <v>2.6267800000000001E-2</v>
      </c>
      <c r="BJ711" s="117">
        <f>IFERROR($BI711*$AW711,"..")</f>
        <v>2127793322.8285177</v>
      </c>
      <c r="BK711" s="846" t="str">
        <f>IFERROR($BB711/$BJ711,"..")</f>
        <v>..</v>
      </c>
      <c r="BL711" s="117">
        <f>IFERROR(VLOOKUP($D711,'WB Data'!$C$3:$M$578,7,FALSE)/100,"..")</f>
        <v>2.6267800000000001E-2</v>
      </c>
      <c r="BM711" s="117">
        <f>IFERROR($AW711*$BL711,"..")</f>
        <v>2127793322.8285177</v>
      </c>
      <c r="BN711" s="846" t="str">
        <f>IFERROR($BB711/$BM711,"..")</f>
        <v>..</v>
      </c>
      <c r="BO711" s="801">
        <f t="shared" si="124"/>
        <v>29</v>
      </c>
      <c r="BP711" s="117">
        <f>VLOOKUP($D711,'WB Data'!$C$3:$M$578,9,FALSE)</f>
        <v>18.2</v>
      </c>
      <c r="BQ711" s="117">
        <f>VLOOKUP($D711,'WB Data'!$C$3:$M$578,10,FALSE)</f>
        <v>66.160975609756107</v>
      </c>
      <c r="BR711" s="117">
        <f>VLOOKUP($D711,'WB Data'!$C$3:$M$578,11,FALSE)</f>
        <v>26.7</v>
      </c>
      <c r="BS711" s="129">
        <f>IFERROR(VLOOKUP($D711,'WB Data 2'!$C$2:$K$545,9,FALSE),"..")</f>
        <v>98.831010000000006</v>
      </c>
      <c r="BT711" s="129">
        <f>_xlfn.IFNA(VLOOKUP($C711,RGI!$A$2:$C$43,2,FALSE),"..")</f>
        <v>77.5</v>
      </c>
      <c r="BU711" s="129">
        <f>_xlfn.IFNA(VLOOKUP($C711,RGI!$A$2:$C$43,3,FALSE),"..")</f>
        <v>57.362887635782535</v>
      </c>
      <c r="BV711" s="129">
        <f>VLOOKUP($D711,WGI!$C$2:$O$478,7,FALSE)</f>
        <v>-1.1430693754560399</v>
      </c>
      <c r="BW711" s="129">
        <f>VLOOKUP($D711,WGI!$C$2:$O$478,4,FALSE)</f>
        <v>0.19965697502830801</v>
      </c>
      <c r="BX711" s="129">
        <f>VLOOKUP($D711,WGI!$C$2:$O$478,3,FALSE)</f>
        <v>-0.45724626354541698</v>
      </c>
      <c r="BY711" s="129">
        <f>VLOOKUP($D711,WGI!$C$2:$O$478,5,FALSE)</f>
        <v>-0.3649877654548</v>
      </c>
      <c r="BZ711" s="129">
        <f>VLOOKUP($D711,WGI!$C$2:$O$478,2,FALSE)</f>
        <v>-0.90072973001074697</v>
      </c>
      <c r="CB711" s="129"/>
    </row>
    <row r="712" spans="1:80" s="158" customFormat="1" ht="15" customHeight="1">
      <c r="A712" s="282" t="s">
        <v>266</v>
      </c>
      <c r="B712" s="149">
        <v>2006</v>
      </c>
      <c r="C712" s="149" t="s">
        <v>280</v>
      </c>
      <c r="D712" s="117" t="s">
        <v>3532</v>
      </c>
      <c r="E712" s="453" t="s">
        <v>39</v>
      </c>
      <c r="F712" s="149"/>
      <c r="G712" s="149" t="s">
        <v>103</v>
      </c>
      <c r="H712" s="117" t="str">
        <f t="shared" si="120"/>
        <v>no</v>
      </c>
      <c r="I712" s="117" t="str">
        <f t="shared" si="121"/>
        <v>no</v>
      </c>
      <c r="J712" s="117" t="str">
        <f t="shared" si="122"/>
        <v>yes</v>
      </c>
      <c r="K712" s="149" t="s">
        <v>103</v>
      </c>
      <c r="L712" s="117" t="str">
        <f t="shared" si="119"/>
        <v>detailed</v>
      </c>
      <c r="M712" s="117" t="str">
        <f t="shared" si="123"/>
        <v>detailed Oil</v>
      </c>
      <c r="N712" s="216">
        <v>512095000</v>
      </c>
      <c r="O712" s="490">
        <f>O711/N712</f>
        <v>0.16754703717083744</v>
      </c>
      <c r="P712" s="216"/>
      <c r="Q712" s="216"/>
      <c r="R712" s="216"/>
      <c r="S712" s="149" t="s">
        <v>646</v>
      </c>
      <c r="T712" s="151">
        <v>67.069999999999993</v>
      </c>
      <c r="U712" s="149" t="s">
        <v>673</v>
      </c>
      <c r="V712" s="149" t="s">
        <v>740</v>
      </c>
      <c r="W712" s="152">
        <f>N712*T712</f>
        <v>34346211649.999996</v>
      </c>
      <c r="X712" s="149"/>
      <c r="Y712" s="149"/>
      <c r="Z712" s="149"/>
      <c r="AA712" s="284"/>
      <c r="AB712" s="284"/>
      <c r="AC712" s="154"/>
      <c r="AD712" s="154"/>
      <c r="AE712" s="154"/>
      <c r="AF712" s="155"/>
      <c r="AG712" s="149"/>
      <c r="AH712" s="156"/>
      <c r="AI712" s="149"/>
      <c r="AJ712" s="149"/>
      <c r="AK712" s="152"/>
      <c r="AL712" s="149"/>
      <c r="AM712" s="149"/>
      <c r="AN712" s="149"/>
      <c r="AO712" s="149"/>
      <c r="AP712" s="149"/>
      <c r="AQ712" s="149"/>
      <c r="AR712" s="220"/>
      <c r="AS712" s="149"/>
      <c r="AT712" s="149"/>
      <c r="AU712" s="222"/>
      <c r="AV712" s="157"/>
      <c r="AW712" s="117">
        <f>VLOOKUP($D712,'WB Data'!$C$3:$M$578,2,FALSE)</f>
        <v>81003864915.543655</v>
      </c>
      <c r="AX712" s="117">
        <f>VLOOKUP($D712,'WB Data'!$C$3:$M$578,3,FALSE)</f>
        <v>15308084</v>
      </c>
      <c r="AY712" s="847" t="str">
        <f t="shared" si="125"/>
        <v>..</v>
      </c>
      <c r="AZ712" s="117" t="e">
        <f>VLOOKUP($D712,'WB Data'!$C$3:$M$578,4,FALSE)/100</f>
        <v>#VALUE!</v>
      </c>
      <c r="BA712" s="117" t="str">
        <f t="shared" si="126"/>
        <v>..</v>
      </c>
      <c r="BB712" s="129" t="str">
        <f>IFERROR(VLOOKUP($D712,'EITI Revenues'!$C$2:$G$224,5,FALSE),"..")</f>
        <v>..</v>
      </c>
      <c r="BC712" s="846" t="str">
        <f t="shared" si="127"/>
        <v>..</v>
      </c>
      <c r="BD712" s="129">
        <f>VLOOKUP($D712,'WB Data 2'!$C$2:$K$545,6,FALSE)</f>
        <v>32150701249.390903</v>
      </c>
      <c r="BE712" s="129">
        <f>IFERROR(VLOOKUP($D712,UNCTAD!$C$5:$V$529,4,FALSE),"..")</f>
        <v>41580850000</v>
      </c>
      <c r="BF712" s="846">
        <f t="shared" si="128"/>
        <v>0.7732093319254153</v>
      </c>
      <c r="BG712" s="117">
        <f>VLOOKUP($D712,'WB Data'!$C$3:$M$578,5,FALSE)</f>
        <v>174300000</v>
      </c>
      <c r="BH712" s="129" t="str">
        <f>IFERROR($BB712/$BG712,"..")</f>
        <v>..</v>
      </c>
      <c r="BI712" s="117">
        <f>IFERROR(VLOOKUP($D712,'WB Data'!$C$3:$M$578,7,FALSE)/100,"..")</f>
        <v>2.6267800000000001E-2</v>
      </c>
      <c r="BJ712" s="117">
        <f>IFERROR($BI712*$AW712,"..")</f>
        <v>2127793322.8285177</v>
      </c>
      <c r="BK712" s="846" t="str">
        <f>IFERROR($BB712/$BJ712,"..")</f>
        <v>..</v>
      </c>
      <c r="BL712" s="117">
        <f>IFERROR(VLOOKUP($D712,'WB Data'!$C$3:$M$578,7,FALSE)/100,"..")</f>
        <v>2.6267800000000001E-2</v>
      </c>
      <c r="BM712" s="117">
        <f>IFERROR($AW712*$BL712,"..")</f>
        <v>2127793322.8285177</v>
      </c>
      <c r="BN712" s="846" t="str">
        <f>IFERROR($BB712/$BM712,"..")</f>
        <v>..</v>
      </c>
      <c r="BO712" s="801">
        <f t="shared" si="124"/>
        <v>29</v>
      </c>
      <c r="BP712" s="117">
        <f>VLOOKUP($D712,'WB Data'!$C$3:$M$578,9,FALSE)</f>
        <v>18.2</v>
      </c>
      <c r="BQ712" s="117">
        <f>VLOOKUP($D712,'WB Data'!$C$3:$M$578,10,FALSE)</f>
        <v>66.160975609756107</v>
      </c>
      <c r="BR712" s="117">
        <f>VLOOKUP($D712,'WB Data'!$C$3:$M$578,11,FALSE)</f>
        <v>26.7</v>
      </c>
      <c r="BS712" s="129">
        <f>IFERROR(VLOOKUP($D712,'WB Data 2'!$C$2:$K$545,9,FALSE),"..")</f>
        <v>98.831010000000006</v>
      </c>
      <c r="BT712" s="129">
        <f>_xlfn.IFNA(VLOOKUP($C712,RGI!$A$2:$C$43,2,FALSE),"..")</f>
        <v>77.5</v>
      </c>
      <c r="BU712" s="129">
        <f>_xlfn.IFNA(VLOOKUP($C712,RGI!$A$2:$C$43,3,FALSE),"..")</f>
        <v>57.362887635782535</v>
      </c>
      <c r="BV712" s="129">
        <f>VLOOKUP($D712,WGI!$C$2:$O$478,7,FALSE)</f>
        <v>-1.1430693754560399</v>
      </c>
      <c r="BW712" s="129">
        <f>VLOOKUP($D712,WGI!$C$2:$O$478,4,FALSE)</f>
        <v>0.19965697502830801</v>
      </c>
      <c r="BX712" s="129">
        <f>VLOOKUP($D712,WGI!$C$2:$O$478,3,FALSE)</f>
        <v>-0.45724626354541698</v>
      </c>
      <c r="BY712" s="129">
        <f>VLOOKUP($D712,WGI!$C$2:$O$478,5,FALSE)</f>
        <v>-0.3649877654548</v>
      </c>
      <c r="BZ712" s="129">
        <f>VLOOKUP($D712,WGI!$C$2:$O$478,2,FALSE)</f>
        <v>-0.90072973001074697</v>
      </c>
      <c r="CB712" s="129"/>
    </row>
    <row r="713" spans="1:80" ht="15" customHeight="1">
      <c r="A713" s="280" t="s">
        <v>269</v>
      </c>
      <c r="B713" s="117">
        <v>2007</v>
      </c>
      <c r="C713" s="117" t="s">
        <v>280</v>
      </c>
      <c r="D713" s="117" t="s">
        <v>3566</v>
      </c>
      <c r="E713" s="452" t="s">
        <v>39</v>
      </c>
      <c r="F713" s="117" t="s">
        <v>1390</v>
      </c>
      <c r="G713" s="117" t="s">
        <v>55</v>
      </c>
      <c r="H713" s="117" t="str">
        <f t="shared" si="120"/>
        <v>no</v>
      </c>
      <c r="I713" s="117" t="str">
        <f t="shared" si="121"/>
        <v>yes</v>
      </c>
      <c r="J713" s="117" t="str">
        <f t="shared" si="122"/>
        <v>yes</v>
      </c>
      <c r="K713" s="117" t="s">
        <v>709</v>
      </c>
      <c r="L713" s="117" t="str">
        <f t="shared" si="119"/>
        <v>Total</v>
      </c>
      <c r="M713" s="117" t="str">
        <f t="shared" si="123"/>
        <v>Total Oil, Gas</v>
      </c>
      <c r="N713" s="179"/>
      <c r="O713" s="179"/>
      <c r="P713" s="179"/>
      <c r="Q713" s="179"/>
      <c r="R713" s="179"/>
      <c r="S713" s="117"/>
      <c r="T713" s="119"/>
      <c r="U713" s="117" t="s">
        <v>673</v>
      </c>
      <c r="V713" s="117"/>
      <c r="W713" s="89">
        <f>SUM(W714:W715)</f>
        <v>41526847600</v>
      </c>
      <c r="X713" s="117" t="s">
        <v>1098</v>
      </c>
      <c r="Y713" s="117" t="s">
        <v>602</v>
      </c>
      <c r="Z713" s="117" t="s">
        <v>603</v>
      </c>
      <c r="AA713" s="304">
        <v>12635329400</v>
      </c>
      <c r="AB713" s="304">
        <v>12635329400</v>
      </c>
      <c r="AC713" s="122"/>
      <c r="AD713" s="122"/>
      <c r="AE713" s="122"/>
      <c r="AF713" s="491">
        <f>AA713/W713</f>
        <v>0.30426892794048732</v>
      </c>
      <c r="AG713" s="117" t="s">
        <v>1391</v>
      </c>
      <c r="AH713" s="124">
        <v>119.1</v>
      </c>
      <c r="AI713" s="117" t="s">
        <v>667</v>
      </c>
      <c r="AJ713" s="117"/>
      <c r="AK713" s="89"/>
      <c r="AL713" s="117"/>
      <c r="AM713" s="117"/>
      <c r="AN713" s="117">
        <v>108</v>
      </c>
      <c r="AO713" s="117" t="s">
        <v>1401</v>
      </c>
      <c r="AP713" s="117">
        <v>108</v>
      </c>
      <c r="AQ713" s="117" t="s">
        <v>73</v>
      </c>
      <c r="AR713" s="126">
        <v>41921</v>
      </c>
      <c r="AS713" s="117" t="s">
        <v>1402</v>
      </c>
      <c r="AT713" s="117" t="s">
        <v>270</v>
      </c>
      <c r="AU713" s="215" t="s">
        <v>1403</v>
      </c>
      <c r="AV713" s="128" t="s">
        <v>1400</v>
      </c>
      <c r="AW713" s="117">
        <f>VLOOKUP($D713,'WB Data'!$C$3:$M$578,2,FALSE)</f>
        <v>104849886825.58411</v>
      </c>
      <c r="AX713" s="117">
        <f>VLOOKUP($D713,'WB Data'!$C$3:$M$578,3,FALSE)</f>
        <v>15484192</v>
      </c>
      <c r="AY713" s="847" t="str">
        <f t="shared" si="125"/>
        <v>..</v>
      </c>
      <c r="AZ713" s="117" t="e">
        <f>VLOOKUP($D713,'WB Data'!$C$3:$M$578,4,FALSE)/100</f>
        <v>#VALUE!</v>
      </c>
      <c r="BA713" s="117" t="str">
        <f t="shared" si="126"/>
        <v>..</v>
      </c>
      <c r="BB713" s="129" t="str">
        <f>IFERROR(VLOOKUP($D713,'EITI Revenues'!$C$2:$G$224,5,FALSE),"..")</f>
        <v>..</v>
      </c>
      <c r="BC713" s="846" t="str">
        <f t="shared" si="127"/>
        <v>..</v>
      </c>
      <c r="BD713" s="129">
        <f>VLOOKUP($D713,'WB Data 2'!$C$2:$K$545,6,FALSE)</f>
        <v>38546313231.225891</v>
      </c>
      <c r="BE713" s="129">
        <f>IFERROR(VLOOKUP($D713,UNCTAD!$C$5:$V$529,4,FALSE),"..")</f>
        <v>51915430000</v>
      </c>
      <c r="BF713" s="846">
        <f t="shared" si="128"/>
        <v>0.74248278847398341</v>
      </c>
      <c r="BG713" s="117">
        <f>VLOOKUP($D713,'WB Data'!$C$3:$M$578,5,FALSE)</f>
        <v>210820000</v>
      </c>
      <c r="BH713" s="129" t="str">
        <f>IFERROR($BB713/$BG713,"..")</f>
        <v>..</v>
      </c>
      <c r="BI713" s="117">
        <f>IFERROR(VLOOKUP($D713,'WB Data'!$C$3:$M$578,7,FALSE)/100,"..")</f>
        <v>2.8313899999999999E-2</v>
      </c>
      <c r="BJ713" s="117">
        <f>IFERROR($BI713*$AW713,"..")</f>
        <v>2968709210.5909057</v>
      </c>
      <c r="BK713" s="846" t="str">
        <f>IFERROR($BB713/$BJ713,"..")</f>
        <v>..</v>
      </c>
      <c r="BL713" s="117">
        <f>IFERROR(VLOOKUP($D713,'WB Data'!$C$3:$M$578,7,FALSE)/100,"..")</f>
        <v>2.8313899999999999E-2</v>
      </c>
      <c r="BM713" s="117">
        <f>IFERROR($AW713*$BL713,"..")</f>
        <v>2968709210.5909057</v>
      </c>
      <c r="BN713" s="846" t="str">
        <f>IFERROR($BB713/$BM713,"..")</f>
        <v>..</v>
      </c>
      <c r="BO713" s="801">
        <f t="shared" si="124"/>
        <v>29</v>
      </c>
      <c r="BP713" s="117">
        <f>VLOOKUP($D713,'WB Data'!$C$3:$M$578,9,FALSE)</f>
        <v>12.7</v>
      </c>
      <c r="BQ713" s="117">
        <f>VLOOKUP($D713,'WB Data'!$C$3:$M$578,10,FALSE)</f>
        <v>66.504878048780498</v>
      </c>
      <c r="BR713" s="117">
        <f>VLOOKUP($D713,'WB Data'!$C$3:$M$578,11,FALSE)</f>
        <v>24.9</v>
      </c>
      <c r="BS713" s="129">
        <f>IFERROR(VLOOKUP($D713,'WB Data 2'!$C$2:$K$545,9,FALSE),"..")</f>
        <v>98.769270000000006</v>
      </c>
      <c r="BT713" s="129">
        <f>_xlfn.IFNA(VLOOKUP($C713,RGI!$A$2:$C$43,2,FALSE),"..")</f>
        <v>77.5</v>
      </c>
      <c r="BU713" s="129">
        <f>_xlfn.IFNA(VLOOKUP($C713,RGI!$A$2:$C$43,3,FALSE),"..")</f>
        <v>57.362887635782535</v>
      </c>
      <c r="BV713" s="129">
        <f>VLOOKUP($D713,WGI!$C$2:$O$478,7,FALSE)</f>
        <v>-1.13010662813649</v>
      </c>
      <c r="BW713" s="129">
        <f>VLOOKUP($D713,WGI!$C$2:$O$478,4,FALSE)</f>
        <v>0.58275473450669502</v>
      </c>
      <c r="BX713" s="129">
        <f>VLOOKUP($D713,WGI!$C$2:$O$478,3,FALSE)</f>
        <v>-0.55509551754990605</v>
      </c>
      <c r="BY713" s="129">
        <f>VLOOKUP($D713,WGI!$C$2:$O$478,5,FALSE)</f>
        <v>-0.35177229666770399</v>
      </c>
      <c r="BZ713" s="129">
        <f>VLOOKUP($D713,WGI!$C$2:$O$478,2,FALSE)</f>
        <v>-0.91220919230445696</v>
      </c>
    </row>
    <row r="714" spans="1:80" ht="15" customHeight="1">
      <c r="A714" s="280" t="s">
        <v>269</v>
      </c>
      <c r="B714" s="117">
        <v>2007</v>
      </c>
      <c r="C714" s="117" t="s">
        <v>280</v>
      </c>
      <c r="D714" s="117" t="s">
        <v>3566</v>
      </c>
      <c r="E714" s="452" t="s">
        <v>39</v>
      </c>
      <c r="F714" s="117"/>
      <c r="G714" s="117" t="s">
        <v>561</v>
      </c>
      <c r="H714" s="117" t="str">
        <f t="shared" si="120"/>
        <v>no</v>
      </c>
      <c r="I714" s="117" t="str">
        <f t="shared" si="121"/>
        <v>yes</v>
      </c>
      <c r="J714" s="117" t="str">
        <f t="shared" si="122"/>
        <v>no</v>
      </c>
      <c r="K714" s="117" t="s">
        <v>561</v>
      </c>
      <c r="L714" s="117" t="str">
        <f t="shared" si="119"/>
        <v>detailed</v>
      </c>
      <c r="M714" s="117" t="str">
        <f t="shared" si="123"/>
        <v>detailed Gas</v>
      </c>
      <c r="N714" s="179">
        <v>15100000000</v>
      </c>
      <c r="O714" s="118">
        <f>N714*0.0066</f>
        <v>99660000</v>
      </c>
      <c r="P714" s="179"/>
      <c r="Q714" s="179"/>
      <c r="R714" s="179"/>
      <c r="S714" s="117" t="s">
        <v>642</v>
      </c>
      <c r="T714" s="119">
        <v>0.22764700000000004</v>
      </c>
      <c r="U714" s="117" t="s">
        <v>643</v>
      </c>
      <c r="V714" s="117" t="s">
        <v>738</v>
      </c>
      <c r="W714" s="89">
        <f>N714*T714</f>
        <v>3437469700.0000005</v>
      </c>
      <c r="X714" s="117"/>
      <c r="Y714" s="117"/>
      <c r="Z714" s="117"/>
      <c r="AA714" s="177"/>
      <c r="AB714" s="177"/>
      <c r="AC714" s="122"/>
      <c r="AD714" s="122"/>
      <c r="AE714" s="122"/>
      <c r="AF714" s="123"/>
      <c r="AG714" s="117"/>
      <c r="AH714" s="124"/>
      <c r="AI714" s="117"/>
      <c r="AJ714" s="117"/>
      <c r="AK714" s="89"/>
      <c r="AL714" s="117"/>
      <c r="AM714" s="117"/>
      <c r="AN714" s="117"/>
      <c r="AO714" s="117"/>
      <c r="AP714" s="117"/>
      <c r="AQ714" s="117"/>
      <c r="AR714" s="126"/>
      <c r="AS714" s="117"/>
      <c r="AT714" s="117"/>
      <c r="AU714" s="215"/>
      <c r="AV714" s="128"/>
      <c r="AW714" s="117">
        <f>VLOOKUP($D714,'WB Data'!$C$3:$M$578,2,FALSE)</f>
        <v>104849886825.58411</v>
      </c>
      <c r="AX714" s="117">
        <f>VLOOKUP($D714,'WB Data'!$C$3:$M$578,3,FALSE)</f>
        <v>15484192</v>
      </c>
      <c r="AY714" s="847" t="str">
        <f t="shared" si="125"/>
        <v>..</v>
      </c>
      <c r="AZ714" s="117" t="e">
        <f>VLOOKUP($D714,'WB Data'!$C$3:$M$578,4,FALSE)/100</f>
        <v>#VALUE!</v>
      </c>
      <c r="BA714" s="117" t="str">
        <f t="shared" si="126"/>
        <v>..</v>
      </c>
      <c r="BB714" s="129" t="str">
        <f>IFERROR(VLOOKUP($D714,'EITI Revenues'!$C$2:$G$224,5,FALSE),"..")</f>
        <v>..</v>
      </c>
      <c r="BC714" s="846" t="str">
        <f t="shared" si="127"/>
        <v>..</v>
      </c>
      <c r="BD714" s="129">
        <f>VLOOKUP($D714,'WB Data 2'!$C$2:$K$545,6,FALSE)</f>
        <v>38546313231.225891</v>
      </c>
      <c r="BE714" s="129">
        <f>IFERROR(VLOOKUP($D714,UNCTAD!$C$5:$V$529,4,FALSE),"..")</f>
        <v>51915430000</v>
      </c>
      <c r="BF714" s="846">
        <f t="shared" si="128"/>
        <v>0.74248278847398341</v>
      </c>
      <c r="BG714" s="117">
        <f>VLOOKUP($D714,'WB Data'!$C$3:$M$578,5,FALSE)</f>
        <v>210820000</v>
      </c>
      <c r="BH714" s="129" t="str">
        <f>IFERROR($BB714/$BG714,"..")</f>
        <v>..</v>
      </c>
      <c r="BI714" s="117">
        <f>IFERROR(VLOOKUP($D714,'WB Data'!$C$3:$M$578,7,FALSE)/100,"..")</f>
        <v>2.8313899999999999E-2</v>
      </c>
      <c r="BJ714" s="117">
        <f>IFERROR($BI714*$AW714,"..")</f>
        <v>2968709210.5909057</v>
      </c>
      <c r="BK714" s="846" t="str">
        <f>IFERROR($BB714/$BJ714,"..")</f>
        <v>..</v>
      </c>
      <c r="BL714" s="117">
        <f>IFERROR(VLOOKUP($D714,'WB Data'!$C$3:$M$578,7,FALSE)/100,"..")</f>
        <v>2.8313899999999999E-2</v>
      </c>
      <c r="BM714" s="117">
        <f>IFERROR($AW714*$BL714,"..")</f>
        <v>2968709210.5909057</v>
      </c>
      <c r="BN714" s="846" t="str">
        <f>IFERROR($BB714/$BM714,"..")</f>
        <v>..</v>
      </c>
      <c r="BO714" s="801">
        <f t="shared" si="124"/>
        <v>29</v>
      </c>
      <c r="BP714" s="117">
        <f>VLOOKUP($D714,'WB Data'!$C$3:$M$578,9,FALSE)</f>
        <v>12.7</v>
      </c>
      <c r="BQ714" s="117">
        <f>VLOOKUP($D714,'WB Data'!$C$3:$M$578,10,FALSE)</f>
        <v>66.504878048780498</v>
      </c>
      <c r="BR714" s="117">
        <f>VLOOKUP($D714,'WB Data'!$C$3:$M$578,11,FALSE)</f>
        <v>24.9</v>
      </c>
      <c r="BS714" s="129">
        <f>IFERROR(VLOOKUP($D714,'WB Data 2'!$C$2:$K$545,9,FALSE),"..")</f>
        <v>98.769270000000006</v>
      </c>
      <c r="BT714" s="129">
        <f>_xlfn.IFNA(VLOOKUP($C714,RGI!$A$2:$C$43,2,FALSE),"..")</f>
        <v>77.5</v>
      </c>
      <c r="BU714" s="129">
        <f>_xlfn.IFNA(VLOOKUP($C714,RGI!$A$2:$C$43,3,FALSE),"..")</f>
        <v>57.362887635782535</v>
      </c>
      <c r="BV714" s="129">
        <f>VLOOKUP($D714,WGI!$C$2:$O$478,7,FALSE)</f>
        <v>-1.13010662813649</v>
      </c>
      <c r="BW714" s="129">
        <f>VLOOKUP($D714,WGI!$C$2:$O$478,4,FALSE)</f>
        <v>0.58275473450669502</v>
      </c>
      <c r="BX714" s="129">
        <f>VLOOKUP($D714,WGI!$C$2:$O$478,3,FALSE)</f>
        <v>-0.55509551754990605</v>
      </c>
      <c r="BY714" s="129">
        <f>VLOOKUP($D714,WGI!$C$2:$O$478,5,FALSE)</f>
        <v>-0.35177229666770399</v>
      </c>
      <c r="BZ714" s="129">
        <f>VLOOKUP($D714,WGI!$C$2:$O$478,2,FALSE)</f>
        <v>-0.91220919230445696</v>
      </c>
    </row>
    <row r="715" spans="1:80" ht="15" customHeight="1">
      <c r="A715" s="280" t="s">
        <v>269</v>
      </c>
      <c r="B715" s="117">
        <v>2007</v>
      </c>
      <c r="C715" s="117" t="s">
        <v>280</v>
      </c>
      <c r="D715" s="117" t="s">
        <v>3566</v>
      </c>
      <c r="E715" s="452" t="s">
        <v>39</v>
      </c>
      <c r="F715" s="117"/>
      <c r="G715" s="117" t="s">
        <v>103</v>
      </c>
      <c r="H715" s="117" t="str">
        <f t="shared" si="120"/>
        <v>no</v>
      </c>
      <c r="I715" s="117" t="str">
        <f t="shared" si="121"/>
        <v>no</v>
      </c>
      <c r="J715" s="117" t="str">
        <f t="shared" si="122"/>
        <v>yes</v>
      </c>
      <c r="K715" s="117" t="s">
        <v>103</v>
      </c>
      <c r="L715" s="117" t="str">
        <f t="shared" si="119"/>
        <v>detailed</v>
      </c>
      <c r="M715" s="117" t="str">
        <f t="shared" si="123"/>
        <v>detailed Oil</v>
      </c>
      <c r="N715" s="179">
        <v>530345000</v>
      </c>
      <c r="O715" s="179"/>
      <c r="P715" s="179"/>
      <c r="Q715" s="179"/>
      <c r="R715" s="179"/>
      <c r="S715" s="117" t="s">
        <v>646</v>
      </c>
      <c r="T715" s="119">
        <v>71.819999999999993</v>
      </c>
      <c r="U715" s="117" t="s">
        <v>673</v>
      </c>
      <c r="V715" s="117" t="s">
        <v>740</v>
      </c>
      <c r="W715" s="89">
        <f>N715*T715</f>
        <v>38089377900</v>
      </c>
      <c r="X715" s="117"/>
      <c r="Y715" s="117"/>
      <c r="Z715" s="117"/>
      <c r="AA715" s="177"/>
      <c r="AB715" s="177"/>
      <c r="AC715" s="122"/>
      <c r="AD715" s="122"/>
      <c r="AE715" s="122"/>
      <c r="AF715" s="123"/>
      <c r="AG715" s="117"/>
      <c r="AH715" s="124"/>
      <c r="AI715" s="117"/>
      <c r="AJ715" s="117"/>
      <c r="AK715" s="89"/>
      <c r="AL715" s="117"/>
      <c r="AM715" s="117"/>
      <c r="AN715" s="117"/>
      <c r="AO715" s="117"/>
      <c r="AP715" s="117"/>
      <c r="AQ715" s="117"/>
      <c r="AR715" s="126"/>
      <c r="AS715" s="117"/>
      <c r="AT715" s="117"/>
      <c r="AU715" s="215"/>
      <c r="AV715" s="128"/>
      <c r="AW715" s="117">
        <f>VLOOKUP($D715,'WB Data'!$C$3:$M$578,2,FALSE)</f>
        <v>104849886825.58411</v>
      </c>
      <c r="AX715" s="117">
        <f>VLOOKUP($D715,'WB Data'!$C$3:$M$578,3,FALSE)</f>
        <v>15484192</v>
      </c>
      <c r="AY715" s="847" t="str">
        <f t="shared" si="125"/>
        <v>..</v>
      </c>
      <c r="AZ715" s="117" t="e">
        <f>VLOOKUP($D715,'WB Data'!$C$3:$M$578,4,FALSE)/100</f>
        <v>#VALUE!</v>
      </c>
      <c r="BA715" s="117" t="str">
        <f t="shared" si="126"/>
        <v>..</v>
      </c>
      <c r="BB715" s="129" t="str">
        <f>IFERROR(VLOOKUP($D715,'EITI Revenues'!$C$2:$G$224,5,FALSE),"..")</f>
        <v>..</v>
      </c>
      <c r="BC715" s="846" t="str">
        <f t="shared" si="127"/>
        <v>..</v>
      </c>
      <c r="BD715" s="129">
        <f>VLOOKUP($D715,'WB Data 2'!$C$2:$K$545,6,FALSE)</f>
        <v>38546313231.225891</v>
      </c>
      <c r="BE715" s="129">
        <f>IFERROR(VLOOKUP($D715,UNCTAD!$C$5:$V$529,4,FALSE),"..")</f>
        <v>51915430000</v>
      </c>
      <c r="BF715" s="846">
        <f t="shared" si="128"/>
        <v>0.74248278847398341</v>
      </c>
      <c r="BG715" s="117">
        <f>VLOOKUP($D715,'WB Data'!$C$3:$M$578,5,FALSE)</f>
        <v>210820000</v>
      </c>
      <c r="BH715" s="129" t="str">
        <f>IFERROR($BB715/$BG715,"..")</f>
        <v>..</v>
      </c>
      <c r="BI715" s="117">
        <f>IFERROR(VLOOKUP($D715,'WB Data'!$C$3:$M$578,7,FALSE)/100,"..")</f>
        <v>2.8313899999999999E-2</v>
      </c>
      <c r="BJ715" s="117">
        <f>IFERROR($BI715*$AW715,"..")</f>
        <v>2968709210.5909057</v>
      </c>
      <c r="BK715" s="846" t="str">
        <f>IFERROR($BB715/$BJ715,"..")</f>
        <v>..</v>
      </c>
      <c r="BL715" s="117">
        <f>IFERROR(VLOOKUP($D715,'WB Data'!$C$3:$M$578,7,FALSE)/100,"..")</f>
        <v>2.8313899999999999E-2</v>
      </c>
      <c r="BM715" s="117">
        <f>IFERROR($AW715*$BL715,"..")</f>
        <v>2968709210.5909057</v>
      </c>
      <c r="BN715" s="846" t="str">
        <f>IFERROR($BB715/$BM715,"..")</f>
        <v>..</v>
      </c>
      <c r="BO715" s="801">
        <f t="shared" si="124"/>
        <v>29</v>
      </c>
      <c r="BP715" s="117">
        <f>VLOOKUP($D715,'WB Data'!$C$3:$M$578,9,FALSE)</f>
        <v>12.7</v>
      </c>
      <c r="BQ715" s="117">
        <f>VLOOKUP($D715,'WB Data'!$C$3:$M$578,10,FALSE)</f>
        <v>66.504878048780498</v>
      </c>
      <c r="BR715" s="117">
        <f>VLOOKUP($D715,'WB Data'!$C$3:$M$578,11,FALSE)</f>
        <v>24.9</v>
      </c>
      <c r="BS715" s="129">
        <f>IFERROR(VLOOKUP($D715,'WB Data 2'!$C$2:$K$545,9,FALSE),"..")</f>
        <v>98.769270000000006</v>
      </c>
      <c r="BT715" s="129">
        <f>_xlfn.IFNA(VLOOKUP($C715,RGI!$A$2:$C$43,2,FALSE),"..")</f>
        <v>77.5</v>
      </c>
      <c r="BU715" s="129">
        <f>_xlfn.IFNA(VLOOKUP($C715,RGI!$A$2:$C$43,3,FALSE),"..")</f>
        <v>57.362887635782535</v>
      </c>
      <c r="BV715" s="129">
        <f>VLOOKUP($D715,WGI!$C$2:$O$478,7,FALSE)</f>
        <v>-1.13010662813649</v>
      </c>
      <c r="BW715" s="129">
        <f>VLOOKUP($D715,WGI!$C$2:$O$478,4,FALSE)</f>
        <v>0.58275473450669502</v>
      </c>
      <c r="BX715" s="129">
        <f>VLOOKUP($D715,WGI!$C$2:$O$478,3,FALSE)</f>
        <v>-0.55509551754990605</v>
      </c>
      <c r="BY715" s="129">
        <f>VLOOKUP($D715,WGI!$C$2:$O$478,5,FALSE)</f>
        <v>-0.35177229666770399</v>
      </c>
      <c r="BZ715" s="129">
        <f>VLOOKUP($D715,WGI!$C$2:$O$478,2,FALSE)</f>
        <v>-0.91220919230445696</v>
      </c>
    </row>
    <row r="716" spans="1:80" s="144" customFormat="1" ht="15" customHeight="1">
      <c r="A716" s="279" t="s">
        <v>271</v>
      </c>
      <c r="B716" s="132">
        <v>2008</v>
      </c>
      <c r="C716" s="132" t="s">
        <v>280</v>
      </c>
      <c r="D716" s="117" t="s">
        <v>3600</v>
      </c>
      <c r="E716" s="450" t="s">
        <v>39</v>
      </c>
      <c r="F716" s="132" t="s">
        <v>1390</v>
      </c>
      <c r="G716" s="132" t="s">
        <v>55</v>
      </c>
      <c r="H716" s="117" t="str">
        <f t="shared" si="120"/>
        <v>no</v>
      </c>
      <c r="I716" s="117" t="str">
        <f t="shared" si="121"/>
        <v>yes</v>
      </c>
      <c r="J716" s="117" t="str">
        <f t="shared" si="122"/>
        <v>yes</v>
      </c>
      <c r="K716" s="132" t="s">
        <v>709</v>
      </c>
      <c r="L716" s="117" t="str">
        <f t="shared" si="119"/>
        <v>Total</v>
      </c>
      <c r="M716" s="117" t="str">
        <f t="shared" si="123"/>
        <v>Total Oil, Gas</v>
      </c>
      <c r="N716" s="238"/>
      <c r="O716" s="238"/>
      <c r="P716" s="238"/>
      <c r="Q716" s="238"/>
      <c r="R716" s="238"/>
      <c r="S716" s="132"/>
      <c r="T716" s="134"/>
      <c r="U716" s="132" t="s">
        <v>673</v>
      </c>
      <c r="V716" s="132"/>
      <c r="W716" s="135">
        <f>SUM(W717:W718)</f>
        <v>60292076600</v>
      </c>
      <c r="X716" s="132" t="s">
        <v>1098</v>
      </c>
      <c r="Y716" s="132" t="s">
        <v>602</v>
      </c>
      <c r="Z716" s="132"/>
      <c r="AA716" s="302">
        <v>21000131830</v>
      </c>
      <c r="AB716" s="302">
        <v>21000131830</v>
      </c>
      <c r="AC716" s="138"/>
      <c r="AD716" s="138"/>
      <c r="AE716" s="138"/>
      <c r="AF716" s="306">
        <f>AA716/W716</f>
        <v>0.34830666008276118</v>
      </c>
      <c r="AG716" s="132" t="s">
        <v>1391</v>
      </c>
      <c r="AH716" s="140">
        <v>118.3</v>
      </c>
      <c r="AI716" s="132" t="s">
        <v>667</v>
      </c>
      <c r="AJ716" s="132"/>
      <c r="AK716" s="135"/>
      <c r="AL716" s="132"/>
      <c r="AM716" s="132"/>
      <c r="AN716" s="132">
        <v>109</v>
      </c>
      <c r="AO716" s="132" t="s">
        <v>1404</v>
      </c>
      <c r="AP716" s="132">
        <v>109</v>
      </c>
      <c r="AQ716" s="132" t="s">
        <v>73</v>
      </c>
      <c r="AR716" s="141">
        <v>41921</v>
      </c>
      <c r="AS716" s="132" t="s">
        <v>1402</v>
      </c>
      <c r="AT716" s="132" t="s">
        <v>1405</v>
      </c>
      <c r="AU716" s="229" t="s">
        <v>1403</v>
      </c>
      <c r="AV716" s="143" t="s">
        <v>1400</v>
      </c>
      <c r="AW716" s="117">
        <f>VLOOKUP($D716,'WB Data'!$C$3:$M$578,2,FALSE)</f>
        <v>133441612246.79799</v>
      </c>
      <c r="AX716" s="117">
        <f>VLOOKUP($D716,'WB Data'!$C$3:$M$578,3,FALSE)</f>
        <v>15674000</v>
      </c>
      <c r="AY716" s="847" t="str">
        <f t="shared" si="125"/>
        <v>..</v>
      </c>
      <c r="AZ716" s="117" t="e">
        <f>VLOOKUP($D716,'WB Data'!$C$3:$M$578,4,FALSE)/100</f>
        <v>#VALUE!</v>
      </c>
      <c r="BA716" s="117" t="str">
        <f t="shared" si="126"/>
        <v>..</v>
      </c>
      <c r="BB716" s="129" t="str">
        <f>IFERROR(VLOOKUP($D716,'EITI Revenues'!$C$2:$G$224,5,FALSE),"..")</f>
        <v>..</v>
      </c>
      <c r="BC716" s="846" t="str">
        <f t="shared" si="127"/>
        <v>..</v>
      </c>
      <c r="BD716" s="129">
        <f>VLOOKUP($D716,'WB Data 2'!$C$2:$K$545,6,FALSE)</f>
        <v>57577616356.195885</v>
      </c>
      <c r="BE716" s="129">
        <f>IFERROR(VLOOKUP($D716,UNCTAD!$C$5:$V$529,4,FALSE),"..")</f>
        <v>76396390000</v>
      </c>
      <c r="BF716" s="846">
        <f t="shared" si="128"/>
        <v>0.75366933380223711</v>
      </c>
      <c r="BG716" s="117">
        <f>VLOOKUP($D716,'WB Data'!$C$3:$M$578,5,FALSE)</f>
        <v>335410000</v>
      </c>
      <c r="BH716" s="129" t="str">
        <f>IFERROR($BB716/$BG716,"..")</f>
        <v>..</v>
      </c>
      <c r="BI716" s="117">
        <f>IFERROR(VLOOKUP($D716,'WB Data'!$C$3:$M$578,7,FALSE)/100,"..")</f>
        <v>2.58946E-2</v>
      </c>
      <c r="BJ716" s="117">
        <f>IFERROR($BI716*$AW716,"..")</f>
        <v>3455417172.4859352</v>
      </c>
      <c r="BK716" s="846" t="str">
        <f>IFERROR($BB716/$BJ716,"..")</f>
        <v>..</v>
      </c>
      <c r="BL716" s="117">
        <f>IFERROR(VLOOKUP($D716,'WB Data'!$C$3:$M$578,7,FALSE)/100,"..")</f>
        <v>2.58946E-2</v>
      </c>
      <c r="BM716" s="117">
        <f>IFERROR($AW716*$BL716,"..")</f>
        <v>3455417172.4859352</v>
      </c>
      <c r="BN716" s="846" t="str">
        <f>IFERROR($BB716/$BM716,"..")</f>
        <v>..</v>
      </c>
      <c r="BO716" s="801">
        <f t="shared" si="124"/>
        <v>29</v>
      </c>
      <c r="BP716" s="117">
        <f>VLOOKUP($D716,'WB Data'!$C$3:$M$578,9,FALSE)</f>
        <v>12.1</v>
      </c>
      <c r="BQ716" s="117">
        <f>VLOOKUP($D716,'WB Data'!$C$3:$M$578,10,FALSE)</f>
        <v>67.021951219512204</v>
      </c>
      <c r="BR716" s="117">
        <f>VLOOKUP($D716,'WB Data'!$C$3:$M$578,11,FALSE)</f>
        <v>23</v>
      </c>
      <c r="BS716" s="129">
        <f>IFERROR(VLOOKUP($D716,'WB Data 2'!$C$2:$K$545,9,FALSE),"..")</f>
        <v>98.526750000000007</v>
      </c>
      <c r="BT716" s="129">
        <f>_xlfn.IFNA(VLOOKUP($C716,RGI!$A$2:$C$43,2,FALSE),"..")</f>
        <v>77.5</v>
      </c>
      <c r="BU716" s="129">
        <f>_xlfn.IFNA(VLOOKUP($C716,RGI!$A$2:$C$43,3,FALSE),"..")</f>
        <v>57.362887635782535</v>
      </c>
      <c r="BV716" s="129">
        <f>VLOOKUP($D716,WGI!$C$2:$O$478,7,FALSE)</f>
        <v>-1.05016921379902</v>
      </c>
      <c r="BW716" s="129">
        <f>VLOOKUP($D716,WGI!$C$2:$O$478,4,FALSE)</f>
        <v>0.57221457578992696</v>
      </c>
      <c r="BX716" s="129">
        <f>VLOOKUP($D716,WGI!$C$2:$O$478,3,FALSE)</f>
        <v>-0.42425830744728599</v>
      </c>
      <c r="BY716" s="129">
        <f>VLOOKUP($D716,WGI!$C$2:$O$478,5,FALSE)</f>
        <v>-0.30116829922155602</v>
      </c>
      <c r="BZ716" s="129">
        <f>VLOOKUP($D716,WGI!$C$2:$O$478,2,FALSE)</f>
        <v>-0.90394410860004404</v>
      </c>
      <c r="CB716" s="129"/>
    </row>
    <row r="717" spans="1:80" s="120" customFormat="1" ht="15" customHeight="1">
      <c r="A717" s="280" t="s">
        <v>271</v>
      </c>
      <c r="B717" s="117">
        <v>2008</v>
      </c>
      <c r="C717" s="117" t="s">
        <v>280</v>
      </c>
      <c r="D717" s="117" t="s">
        <v>3600</v>
      </c>
      <c r="E717" s="452" t="s">
        <v>39</v>
      </c>
      <c r="F717" s="117"/>
      <c r="G717" s="117" t="s">
        <v>561</v>
      </c>
      <c r="H717" s="117" t="str">
        <f t="shared" si="120"/>
        <v>no</v>
      </c>
      <c r="I717" s="117" t="str">
        <f t="shared" si="121"/>
        <v>yes</v>
      </c>
      <c r="J717" s="117" t="str">
        <f t="shared" si="122"/>
        <v>no</v>
      </c>
      <c r="K717" s="117" t="s">
        <v>561</v>
      </c>
      <c r="L717" s="117" t="str">
        <f t="shared" si="119"/>
        <v>detailed</v>
      </c>
      <c r="M717" s="117" t="str">
        <f t="shared" si="123"/>
        <v>detailed Gas</v>
      </c>
      <c r="N717" s="179">
        <v>16900000000</v>
      </c>
      <c r="O717" s="118">
        <f>N717*0.0066</f>
        <v>111540000</v>
      </c>
      <c r="P717" s="179"/>
      <c r="Q717" s="179"/>
      <c r="R717" s="179"/>
      <c r="S717" s="117" t="s">
        <v>642</v>
      </c>
      <c r="T717" s="119">
        <v>0.32879700000000006</v>
      </c>
      <c r="U717" s="117" t="s">
        <v>643</v>
      </c>
      <c r="V717" s="117" t="s">
        <v>738</v>
      </c>
      <c r="W717" s="89">
        <f>N717*T717</f>
        <v>5556669300.000001</v>
      </c>
      <c r="X717" s="117"/>
      <c r="Y717" s="117"/>
      <c r="Z717" s="117"/>
      <c r="AA717" s="177"/>
      <c r="AB717" s="177"/>
      <c r="AC717" s="122"/>
      <c r="AD717" s="122"/>
      <c r="AE717" s="122"/>
      <c r="AF717" s="123"/>
      <c r="AG717" s="117"/>
      <c r="AH717" s="124"/>
      <c r="AI717" s="117"/>
      <c r="AJ717" s="117"/>
      <c r="AK717" s="89"/>
      <c r="AL717" s="117"/>
      <c r="AM717" s="117"/>
      <c r="AN717" s="117"/>
      <c r="AO717" s="117"/>
      <c r="AP717" s="117"/>
      <c r="AQ717" s="117"/>
      <c r="AR717" s="126"/>
      <c r="AS717" s="117"/>
      <c r="AT717" s="117"/>
      <c r="AU717" s="215"/>
      <c r="AV717" s="128"/>
      <c r="AW717" s="117">
        <f>VLOOKUP($D717,'WB Data'!$C$3:$M$578,2,FALSE)</f>
        <v>133441612246.79799</v>
      </c>
      <c r="AX717" s="117">
        <f>VLOOKUP($D717,'WB Data'!$C$3:$M$578,3,FALSE)</f>
        <v>15674000</v>
      </c>
      <c r="AY717" s="847" t="str">
        <f t="shared" si="125"/>
        <v>..</v>
      </c>
      <c r="AZ717" s="117" t="e">
        <f>VLOOKUP($D717,'WB Data'!$C$3:$M$578,4,FALSE)/100</f>
        <v>#VALUE!</v>
      </c>
      <c r="BA717" s="117" t="str">
        <f t="shared" si="126"/>
        <v>..</v>
      </c>
      <c r="BB717" s="129" t="str">
        <f>IFERROR(VLOOKUP($D717,'EITI Revenues'!$C$2:$G$224,5,FALSE),"..")</f>
        <v>..</v>
      </c>
      <c r="BC717" s="846" t="str">
        <f t="shared" si="127"/>
        <v>..</v>
      </c>
      <c r="BD717" s="129">
        <f>VLOOKUP($D717,'WB Data 2'!$C$2:$K$545,6,FALSE)</f>
        <v>57577616356.195885</v>
      </c>
      <c r="BE717" s="129">
        <f>IFERROR(VLOOKUP($D717,UNCTAD!$C$5:$V$529,4,FALSE),"..")</f>
        <v>76396390000</v>
      </c>
      <c r="BF717" s="846">
        <f t="shared" si="128"/>
        <v>0.75366933380223711</v>
      </c>
      <c r="BG717" s="117">
        <f>VLOOKUP($D717,'WB Data'!$C$3:$M$578,5,FALSE)</f>
        <v>335410000</v>
      </c>
      <c r="BH717" s="129" t="str">
        <f>IFERROR($BB717/$BG717,"..")</f>
        <v>..</v>
      </c>
      <c r="BI717" s="117">
        <f>IFERROR(VLOOKUP($D717,'WB Data'!$C$3:$M$578,7,FALSE)/100,"..")</f>
        <v>2.58946E-2</v>
      </c>
      <c r="BJ717" s="117">
        <f>IFERROR($BI717*$AW717,"..")</f>
        <v>3455417172.4859352</v>
      </c>
      <c r="BK717" s="846" t="str">
        <f>IFERROR($BB717/$BJ717,"..")</f>
        <v>..</v>
      </c>
      <c r="BL717" s="117">
        <f>IFERROR(VLOOKUP($D717,'WB Data'!$C$3:$M$578,7,FALSE)/100,"..")</f>
        <v>2.58946E-2</v>
      </c>
      <c r="BM717" s="117">
        <f>IFERROR($AW717*$BL717,"..")</f>
        <v>3455417172.4859352</v>
      </c>
      <c r="BN717" s="846" t="str">
        <f>IFERROR($BB717/$BM717,"..")</f>
        <v>..</v>
      </c>
      <c r="BO717" s="801">
        <f t="shared" si="124"/>
        <v>29</v>
      </c>
      <c r="BP717" s="117">
        <f>VLOOKUP($D717,'WB Data'!$C$3:$M$578,9,FALSE)</f>
        <v>12.1</v>
      </c>
      <c r="BQ717" s="117">
        <f>VLOOKUP($D717,'WB Data'!$C$3:$M$578,10,FALSE)</f>
        <v>67.021951219512204</v>
      </c>
      <c r="BR717" s="117">
        <f>VLOOKUP($D717,'WB Data'!$C$3:$M$578,11,FALSE)</f>
        <v>23</v>
      </c>
      <c r="BS717" s="129">
        <f>IFERROR(VLOOKUP($D717,'WB Data 2'!$C$2:$K$545,9,FALSE),"..")</f>
        <v>98.526750000000007</v>
      </c>
      <c r="BT717" s="129">
        <f>_xlfn.IFNA(VLOOKUP($C717,RGI!$A$2:$C$43,2,FALSE),"..")</f>
        <v>77.5</v>
      </c>
      <c r="BU717" s="129">
        <f>_xlfn.IFNA(VLOOKUP($C717,RGI!$A$2:$C$43,3,FALSE),"..")</f>
        <v>57.362887635782535</v>
      </c>
      <c r="BV717" s="129">
        <f>VLOOKUP($D717,WGI!$C$2:$O$478,7,FALSE)</f>
        <v>-1.05016921379902</v>
      </c>
      <c r="BW717" s="129">
        <f>VLOOKUP($D717,WGI!$C$2:$O$478,4,FALSE)</f>
        <v>0.57221457578992696</v>
      </c>
      <c r="BX717" s="129">
        <f>VLOOKUP($D717,WGI!$C$2:$O$478,3,FALSE)</f>
        <v>-0.42425830744728599</v>
      </c>
      <c r="BY717" s="129">
        <f>VLOOKUP($D717,WGI!$C$2:$O$478,5,FALSE)</f>
        <v>-0.30116829922155602</v>
      </c>
      <c r="BZ717" s="129">
        <f>VLOOKUP($D717,WGI!$C$2:$O$478,2,FALSE)</f>
        <v>-0.90394410860004404</v>
      </c>
      <c r="CB717" s="129"/>
    </row>
    <row r="718" spans="1:80" s="158" customFormat="1" ht="15" customHeight="1">
      <c r="A718" s="282" t="s">
        <v>271</v>
      </c>
      <c r="B718" s="149">
        <v>2008</v>
      </c>
      <c r="C718" s="149" t="s">
        <v>280</v>
      </c>
      <c r="D718" s="117" t="s">
        <v>3600</v>
      </c>
      <c r="E718" s="453" t="s">
        <v>39</v>
      </c>
      <c r="F718" s="149"/>
      <c r="G718" s="149" t="s">
        <v>103</v>
      </c>
      <c r="H718" s="117" t="str">
        <f t="shared" si="120"/>
        <v>no</v>
      </c>
      <c r="I718" s="117" t="str">
        <f t="shared" si="121"/>
        <v>no</v>
      </c>
      <c r="J718" s="117" t="str">
        <f t="shared" si="122"/>
        <v>yes</v>
      </c>
      <c r="K718" s="149" t="s">
        <v>103</v>
      </c>
      <c r="L718" s="117" t="str">
        <f t="shared" si="119"/>
        <v>detailed</v>
      </c>
      <c r="M718" s="117" t="str">
        <f t="shared" si="123"/>
        <v>detailed Oil</v>
      </c>
      <c r="N718" s="216">
        <v>556990000</v>
      </c>
      <c r="O718" s="216"/>
      <c r="P718" s="216"/>
      <c r="Q718" s="216"/>
      <c r="R718" s="216"/>
      <c r="S718" s="149" t="s">
        <v>646</v>
      </c>
      <c r="T718" s="151">
        <v>98.27</v>
      </c>
      <c r="U718" s="149" t="s">
        <v>673</v>
      </c>
      <c r="V718" s="149" t="s">
        <v>740</v>
      </c>
      <c r="W718" s="152">
        <f>N718*T718</f>
        <v>54735407300</v>
      </c>
      <c r="X718" s="149"/>
      <c r="Y718" s="149"/>
      <c r="Z718" s="149"/>
      <c r="AA718" s="284"/>
      <c r="AB718" s="284"/>
      <c r="AC718" s="154"/>
      <c r="AD718" s="154"/>
      <c r="AE718" s="154"/>
      <c r="AF718" s="155"/>
      <c r="AG718" s="149"/>
      <c r="AH718" s="156"/>
      <c r="AI718" s="149"/>
      <c r="AJ718" s="149"/>
      <c r="AK718" s="152"/>
      <c r="AL718" s="149"/>
      <c r="AM718" s="149"/>
      <c r="AN718" s="149"/>
      <c r="AO718" s="149"/>
      <c r="AP718" s="149"/>
      <c r="AQ718" s="149"/>
      <c r="AR718" s="220"/>
      <c r="AS718" s="149"/>
      <c r="AT718" s="149"/>
      <c r="AU718" s="222"/>
      <c r="AV718" s="157"/>
      <c r="AW718" s="117">
        <f>VLOOKUP($D718,'WB Data'!$C$3:$M$578,2,FALSE)</f>
        <v>133441612246.79799</v>
      </c>
      <c r="AX718" s="117">
        <f>VLOOKUP($D718,'WB Data'!$C$3:$M$578,3,FALSE)</f>
        <v>15674000</v>
      </c>
      <c r="AY718" s="847" t="str">
        <f t="shared" si="125"/>
        <v>..</v>
      </c>
      <c r="AZ718" s="117" t="e">
        <f>VLOOKUP($D718,'WB Data'!$C$3:$M$578,4,FALSE)/100</f>
        <v>#VALUE!</v>
      </c>
      <c r="BA718" s="117" t="str">
        <f t="shared" si="126"/>
        <v>..</v>
      </c>
      <c r="BB718" s="129" t="str">
        <f>IFERROR(VLOOKUP($D718,'EITI Revenues'!$C$2:$G$224,5,FALSE),"..")</f>
        <v>..</v>
      </c>
      <c r="BC718" s="846" t="str">
        <f t="shared" si="127"/>
        <v>..</v>
      </c>
      <c r="BD718" s="129">
        <f>VLOOKUP($D718,'WB Data 2'!$C$2:$K$545,6,FALSE)</f>
        <v>57577616356.195885</v>
      </c>
      <c r="BE718" s="129">
        <f>IFERROR(VLOOKUP($D718,UNCTAD!$C$5:$V$529,4,FALSE),"..")</f>
        <v>76396390000</v>
      </c>
      <c r="BF718" s="846">
        <f t="shared" si="128"/>
        <v>0.75366933380223711</v>
      </c>
      <c r="BG718" s="117">
        <f>VLOOKUP($D718,'WB Data'!$C$3:$M$578,5,FALSE)</f>
        <v>335410000</v>
      </c>
      <c r="BH718" s="129" t="str">
        <f>IFERROR($BB718/$BG718,"..")</f>
        <v>..</v>
      </c>
      <c r="BI718" s="117">
        <f>IFERROR(VLOOKUP($D718,'WB Data'!$C$3:$M$578,7,FALSE)/100,"..")</f>
        <v>2.58946E-2</v>
      </c>
      <c r="BJ718" s="117">
        <f>IFERROR($BI718*$AW718,"..")</f>
        <v>3455417172.4859352</v>
      </c>
      <c r="BK718" s="846" t="str">
        <f>IFERROR($BB718/$BJ718,"..")</f>
        <v>..</v>
      </c>
      <c r="BL718" s="117">
        <f>IFERROR(VLOOKUP($D718,'WB Data'!$C$3:$M$578,7,FALSE)/100,"..")</f>
        <v>2.58946E-2</v>
      </c>
      <c r="BM718" s="117">
        <f>IFERROR($AW718*$BL718,"..")</f>
        <v>3455417172.4859352</v>
      </c>
      <c r="BN718" s="846" t="str">
        <f>IFERROR($BB718/$BM718,"..")</f>
        <v>..</v>
      </c>
      <c r="BO718" s="801">
        <f t="shared" si="124"/>
        <v>29</v>
      </c>
      <c r="BP718" s="117">
        <f>VLOOKUP($D718,'WB Data'!$C$3:$M$578,9,FALSE)</f>
        <v>12.1</v>
      </c>
      <c r="BQ718" s="117">
        <f>VLOOKUP($D718,'WB Data'!$C$3:$M$578,10,FALSE)</f>
        <v>67.021951219512204</v>
      </c>
      <c r="BR718" s="117">
        <f>VLOOKUP($D718,'WB Data'!$C$3:$M$578,11,FALSE)</f>
        <v>23</v>
      </c>
      <c r="BS718" s="129">
        <f>IFERROR(VLOOKUP($D718,'WB Data 2'!$C$2:$K$545,9,FALSE),"..")</f>
        <v>98.526750000000007</v>
      </c>
      <c r="BT718" s="129">
        <f>_xlfn.IFNA(VLOOKUP($C718,RGI!$A$2:$C$43,2,FALSE),"..")</f>
        <v>77.5</v>
      </c>
      <c r="BU718" s="129">
        <f>_xlfn.IFNA(VLOOKUP($C718,RGI!$A$2:$C$43,3,FALSE),"..")</f>
        <v>57.362887635782535</v>
      </c>
      <c r="BV718" s="129">
        <f>VLOOKUP($D718,WGI!$C$2:$O$478,7,FALSE)</f>
        <v>-1.05016921379902</v>
      </c>
      <c r="BW718" s="129">
        <f>VLOOKUP($D718,WGI!$C$2:$O$478,4,FALSE)</f>
        <v>0.57221457578992696</v>
      </c>
      <c r="BX718" s="129">
        <f>VLOOKUP($D718,WGI!$C$2:$O$478,3,FALSE)</f>
        <v>-0.42425830744728599</v>
      </c>
      <c r="BY718" s="129">
        <f>VLOOKUP($D718,WGI!$C$2:$O$478,5,FALSE)</f>
        <v>-0.30116829922155602</v>
      </c>
      <c r="BZ718" s="129">
        <f>VLOOKUP($D718,WGI!$C$2:$O$478,2,FALSE)</f>
        <v>-0.90394410860004404</v>
      </c>
      <c r="CB718" s="129"/>
    </row>
    <row r="719" spans="1:80" ht="15" customHeight="1">
      <c r="A719" s="280" t="s">
        <v>273</v>
      </c>
      <c r="B719" s="117">
        <v>2009</v>
      </c>
      <c r="C719" s="117" t="s">
        <v>280</v>
      </c>
      <c r="D719" s="117" t="s">
        <v>3634</v>
      </c>
      <c r="E719" s="452" t="s">
        <v>39</v>
      </c>
      <c r="F719" s="117" t="s">
        <v>1390</v>
      </c>
      <c r="G719" s="117" t="s">
        <v>35</v>
      </c>
      <c r="H719" s="117" t="str">
        <f t="shared" si="120"/>
        <v>yes</v>
      </c>
      <c r="I719" s="117" t="str">
        <f t="shared" si="121"/>
        <v>yes</v>
      </c>
      <c r="J719" s="117" t="str">
        <f t="shared" si="122"/>
        <v>yes</v>
      </c>
      <c r="K719" s="117" t="s">
        <v>709</v>
      </c>
      <c r="L719" s="117" t="str">
        <f t="shared" si="119"/>
        <v>Total</v>
      </c>
      <c r="M719" s="117" t="str">
        <f t="shared" si="123"/>
        <v>Total Oil, Gas, Mining</v>
      </c>
      <c r="N719" s="179"/>
      <c r="O719" s="179"/>
      <c r="P719" s="179"/>
      <c r="Q719" s="179"/>
      <c r="R719" s="179"/>
      <c r="S719" s="117"/>
      <c r="T719" s="119"/>
      <c r="U719" s="117"/>
      <c r="V719" s="117"/>
      <c r="W719" s="89">
        <f>W720+W723</f>
        <v>49356007139.798973</v>
      </c>
      <c r="X719" s="117" t="s">
        <v>1098</v>
      </c>
      <c r="Y719" s="117" t="s">
        <v>602</v>
      </c>
      <c r="Z719" s="117" t="s">
        <v>603</v>
      </c>
      <c r="AA719" s="159">
        <v>12722411270</v>
      </c>
      <c r="AB719" s="159">
        <v>12971087110</v>
      </c>
      <c r="AC719" s="122"/>
      <c r="AD719" s="122"/>
      <c r="AE719" s="122"/>
      <c r="AF719" s="123">
        <f>AA719/W719</f>
        <v>0.2577682435688986</v>
      </c>
      <c r="AG719" s="117" t="s">
        <v>1391</v>
      </c>
      <c r="AH719" s="124">
        <v>145.5</v>
      </c>
      <c r="AI719" s="117" t="s">
        <v>667</v>
      </c>
      <c r="AJ719" s="117"/>
      <c r="AK719" s="89"/>
      <c r="AL719" s="117"/>
      <c r="AM719" s="117"/>
      <c r="AN719" s="117">
        <v>123</v>
      </c>
      <c r="AO719" s="117" t="s">
        <v>1406</v>
      </c>
      <c r="AP719" s="117">
        <v>123</v>
      </c>
      <c r="AQ719" s="117" t="s">
        <v>76</v>
      </c>
      <c r="AR719" s="126">
        <v>41921</v>
      </c>
      <c r="AS719" s="117" t="s">
        <v>1402</v>
      </c>
      <c r="AT719" s="117" t="s">
        <v>1407</v>
      </c>
      <c r="AU719" s="215" t="s">
        <v>1408</v>
      </c>
      <c r="AV719" s="128" t="s">
        <v>1409</v>
      </c>
      <c r="AW719" s="117">
        <f>VLOOKUP($D719,'WB Data'!$C$3:$M$578,2,FALSE)</f>
        <v>115308661142.92726</v>
      </c>
      <c r="AX719" s="117">
        <f>VLOOKUP($D719,'WB Data'!$C$3:$M$578,3,FALSE)</f>
        <v>16092701</v>
      </c>
      <c r="AY719" s="847" t="str">
        <f t="shared" si="125"/>
        <v>..</v>
      </c>
      <c r="AZ719" s="117" t="e">
        <f>VLOOKUP($D719,'WB Data'!$C$3:$M$578,4,FALSE)/100</f>
        <v>#VALUE!</v>
      </c>
      <c r="BA719" s="117" t="str">
        <f t="shared" si="126"/>
        <v>..</v>
      </c>
      <c r="BB719" s="129" t="str">
        <f>IFERROR(VLOOKUP($D719,'EITI Revenues'!$C$2:$G$224,5,FALSE),"..")</f>
        <v>..</v>
      </c>
      <c r="BC719" s="846" t="str">
        <f t="shared" si="127"/>
        <v>..</v>
      </c>
      <c r="BD719" s="129">
        <f>VLOOKUP($D719,'WB Data 2'!$C$2:$K$545,6,FALSE)</f>
        <v>35331249770.975067</v>
      </c>
      <c r="BE719" s="129">
        <f>IFERROR(VLOOKUP($D719,UNCTAD!$C$5:$V$529,4,FALSE),"..")</f>
        <v>48027080000</v>
      </c>
      <c r="BF719" s="846">
        <f t="shared" si="128"/>
        <v>0.73565267284571678</v>
      </c>
      <c r="BG719" s="117">
        <f>VLOOKUP($D719,'WB Data'!$C$3:$M$578,5,FALSE)</f>
        <v>297500000</v>
      </c>
      <c r="BH719" s="129" t="str">
        <f>IFERROR($BB719/$BG719,"..")</f>
        <v>..</v>
      </c>
      <c r="BI719" s="117">
        <f>IFERROR(VLOOKUP($D719,'WB Data'!$C$3:$M$578,7,FALSE)/100,"..")</f>
        <v>3.0607199999999998E-2</v>
      </c>
      <c r="BJ719" s="117">
        <f>IFERROR($BI719*$AW719,"..")</f>
        <v>3529275253.3338032</v>
      </c>
      <c r="BK719" s="846" t="str">
        <f>IFERROR($BB719/$BJ719,"..")</f>
        <v>..</v>
      </c>
      <c r="BL719" s="117">
        <f>IFERROR(VLOOKUP($D719,'WB Data'!$C$3:$M$578,7,FALSE)/100,"..")</f>
        <v>3.0607199999999998E-2</v>
      </c>
      <c r="BM719" s="117">
        <f>IFERROR($AW719*$BL719,"..")</f>
        <v>3529275253.3338032</v>
      </c>
      <c r="BN719" s="846" t="str">
        <f>IFERROR($BB719/$BM719,"..")</f>
        <v>..</v>
      </c>
      <c r="BO719" s="801">
        <f t="shared" si="124"/>
        <v>29</v>
      </c>
      <c r="BP719" s="117">
        <f>VLOOKUP($D719,'WB Data'!$C$3:$M$578,9,FALSE)</f>
        <v>8.1999999999999993</v>
      </c>
      <c r="BQ719" s="117">
        <f>VLOOKUP($D719,'WB Data'!$C$3:$M$578,10,FALSE)</f>
        <v>68.429268292682934</v>
      </c>
      <c r="BR719" s="117">
        <f>VLOOKUP($D719,'WB Data'!$C$3:$M$578,11,FALSE)</f>
        <v>21.1</v>
      </c>
      <c r="BS719" s="129">
        <f>IFERROR(VLOOKUP($D719,'WB Data 2'!$C$2:$K$545,9,FALSE),"..")</f>
        <v>98.118610000000004</v>
      </c>
      <c r="BT719" s="129">
        <f>_xlfn.IFNA(VLOOKUP($C719,RGI!$A$2:$C$43,2,FALSE),"..")</f>
        <v>77.5</v>
      </c>
      <c r="BU719" s="129">
        <f>_xlfn.IFNA(VLOOKUP($C719,RGI!$A$2:$C$43,3,FALSE),"..")</f>
        <v>57.362887635782535</v>
      </c>
      <c r="BV719" s="129">
        <f>VLOOKUP($D719,WGI!$C$2:$O$478,7,FALSE)</f>
        <v>-1.0437228644659999</v>
      </c>
      <c r="BW719" s="129">
        <f>VLOOKUP($D719,WGI!$C$2:$O$478,4,FALSE)</f>
        <v>0.74874515291924304</v>
      </c>
      <c r="BX719" s="129">
        <f>VLOOKUP($D719,WGI!$C$2:$O$478,3,FALSE)</f>
        <v>-0.36180551130907501</v>
      </c>
      <c r="BY719" s="129">
        <f>VLOOKUP($D719,WGI!$C$2:$O$478,5,FALSE)</f>
        <v>-0.32490139377488098</v>
      </c>
      <c r="BZ719" s="129">
        <f>VLOOKUP($D719,WGI!$C$2:$O$478,2,FALSE)</f>
        <v>-0.88404358302178698</v>
      </c>
    </row>
    <row r="720" spans="1:80" ht="15" customHeight="1">
      <c r="A720" s="280" t="s">
        <v>273</v>
      </c>
      <c r="B720" s="117">
        <v>2009</v>
      </c>
      <c r="C720" s="117" t="s">
        <v>280</v>
      </c>
      <c r="D720" s="117" t="s">
        <v>3634</v>
      </c>
      <c r="E720" s="452" t="s">
        <v>39</v>
      </c>
      <c r="F720" s="117"/>
      <c r="G720" s="117" t="s">
        <v>55</v>
      </c>
      <c r="H720" s="117" t="str">
        <f t="shared" si="120"/>
        <v>no</v>
      </c>
      <c r="I720" s="117" t="str">
        <f t="shared" si="121"/>
        <v>yes</v>
      </c>
      <c r="J720" s="117" t="str">
        <f t="shared" si="122"/>
        <v>yes</v>
      </c>
      <c r="K720" s="117" t="s">
        <v>640</v>
      </c>
      <c r="L720" s="117" t="str">
        <f t="shared" si="119"/>
        <v>Total</v>
      </c>
      <c r="M720" s="117" t="str">
        <f t="shared" si="123"/>
        <v>Total Oil, Gas</v>
      </c>
      <c r="N720" s="179"/>
      <c r="O720" s="179"/>
      <c r="P720" s="179"/>
      <c r="Q720" s="179"/>
      <c r="R720" s="179"/>
      <c r="S720" s="117"/>
      <c r="T720" s="119"/>
      <c r="U720" s="117"/>
      <c r="V720" s="117"/>
      <c r="W720" s="89">
        <f>SUM(W721:W722)</f>
        <v>40071016188.928001</v>
      </c>
      <c r="X720" s="117"/>
      <c r="Y720" s="117"/>
      <c r="Z720" s="117"/>
      <c r="AA720" s="177"/>
      <c r="AB720" s="177"/>
      <c r="AC720" s="122"/>
      <c r="AD720" s="122"/>
      <c r="AE720" s="122"/>
      <c r="AF720" s="123"/>
      <c r="AG720" s="117"/>
      <c r="AH720" s="124"/>
      <c r="AI720" s="117"/>
      <c r="AJ720" s="117"/>
      <c r="AK720" s="89"/>
      <c r="AL720" s="117"/>
      <c r="AM720" s="117"/>
      <c r="AN720" s="117"/>
      <c r="AO720" s="117"/>
      <c r="AP720" s="117"/>
      <c r="AQ720" s="117"/>
      <c r="AR720" s="126"/>
      <c r="AS720" s="117"/>
      <c r="AT720" s="117"/>
      <c r="AU720" s="215"/>
      <c r="AV720" s="128"/>
      <c r="AW720" s="117">
        <f>VLOOKUP($D720,'WB Data'!$C$3:$M$578,2,FALSE)</f>
        <v>115308661142.92726</v>
      </c>
      <c r="AX720" s="117">
        <f>VLOOKUP($D720,'WB Data'!$C$3:$M$578,3,FALSE)</f>
        <v>16092701</v>
      </c>
      <c r="AY720" s="847" t="str">
        <f t="shared" si="125"/>
        <v>..</v>
      </c>
      <c r="AZ720" s="117" t="e">
        <f>VLOOKUP($D720,'WB Data'!$C$3:$M$578,4,FALSE)/100</f>
        <v>#VALUE!</v>
      </c>
      <c r="BA720" s="117" t="str">
        <f t="shared" si="126"/>
        <v>..</v>
      </c>
      <c r="BB720" s="129" t="str">
        <f>IFERROR(VLOOKUP($D720,'EITI Revenues'!$C$2:$G$224,5,FALSE),"..")</f>
        <v>..</v>
      </c>
      <c r="BC720" s="846" t="str">
        <f t="shared" si="127"/>
        <v>..</v>
      </c>
      <c r="BD720" s="129">
        <f>VLOOKUP($D720,'WB Data 2'!$C$2:$K$545,6,FALSE)</f>
        <v>35331249770.975067</v>
      </c>
      <c r="BE720" s="129">
        <f>IFERROR(VLOOKUP($D720,UNCTAD!$C$5:$V$529,4,FALSE),"..")</f>
        <v>48027080000</v>
      </c>
      <c r="BF720" s="846">
        <f t="shared" si="128"/>
        <v>0.73565267284571678</v>
      </c>
      <c r="BG720" s="117">
        <f>VLOOKUP($D720,'WB Data'!$C$3:$M$578,5,FALSE)</f>
        <v>297500000</v>
      </c>
      <c r="BH720" s="129" t="str">
        <f>IFERROR($BB720/$BG720,"..")</f>
        <v>..</v>
      </c>
      <c r="BI720" s="117">
        <f>IFERROR(VLOOKUP($D720,'WB Data'!$C$3:$M$578,7,FALSE)/100,"..")</f>
        <v>3.0607199999999998E-2</v>
      </c>
      <c r="BJ720" s="117">
        <f>IFERROR($BI720*$AW720,"..")</f>
        <v>3529275253.3338032</v>
      </c>
      <c r="BK720" s="846" t="str">
        <f>IFERROR($BB720/$BJ720,"..")</f>
        <v>..</v>
      </c>
      <c r="BL720" s="117">
        <f>IFERROR(VLOOKUP($D720,'WB Data'!$C$3:$M$578,7,FALSE)/100,"..")</f>
        <v>3.0607199999999998E-2</v>
      </c>
      <c r="BM720" s="117">
        <f>IFERROR($AW720*$BL720,"..")</f>
        <v>3529275253.3338032</v>
      </c>
      <c r="BN720" s="846" t="str">
        <f>IFERROR($BB720/$BM720,"..")</f>
        <v>..</v>
      </c>
      <c r="BO720" s="801">
        <f t="shared" si="124"/>
        <v>29</v>
      </c>
      <c r="BP720" s="117">
        <f>VLOOKUP($D720,'WB Data'!$C$3:$M$578,9,FALSE)</f>
        <v>8.1999999999999993</v>
      </c>
      <c r="BQ720" s="117">
        <f>VLOOKUP($D720,'WB Data'!$C$3:$M$578,10,FALSE)</f>
        <v>68.429268292682934</v>
      </c>
      <c r="BR720" s="117">
        <f>VLOOKUP($D720,'WB Data'!$C$3:$M$578,11,FALSE)</f>
        <v>21.1</v>
      </c>
      <c r="BS720" s="129">
        <f>IFERROR(VLOOKUP($D720,'WB Data 2'!$C$2:$K$545,9,FALSE),"..")</f>
        <v>98.118610000000004</v>
      </c>
      <c r="BT720" s="129">
        <f>_xlfn.IFNA(VLOOKUP($C720,RGI!$A$2:$C$43,2,FALSE),"..")</f>
        <v>77.5</v>
      </c>
      <c r="BU720" s="129">
        <f>_xlfn.IFNA(VLOOKUP($C720,RGI!$A$2:$C$43,3,FALSE),"..")</f>
        <v>57.362887635782535</v>
      </c>
      <c r="BV720" s="129">
        <f>VLOOKUP($D720,WGI!$C$2:$O$478,7,FALSE)</f>
        <v>-1.0437228644659999</v>
      </c>
      <c r="BW720" s="129">
        <f>VLOOKUP($D720,WGI!$C$2:$O$478,4,FALSE)</f>
        <v>0.74874515291924304</v>
      </c>
      <c r="BX720" s="129">
        <f>VLOOKUP($D720,WGI!$C$2:$O$478,3,FALSE)</f>
        <v>-0.36180551130907501</v>
      </c>
      <c r="BY720" s="129">
        <f>VLOOKUP($D720,WGI!$C$2:$O$478,5,FALSE)</f>
        <v>-0.32490139377488098</v>
      </c>
      <c r="BZ720" s="129">
        <f>VLOOKUP($D720,WGI!$C$2:$O$478,2,FALSE)</f>
        <v>-0.88404358302178698</v>
      </c>
    </row>
    <row r="721" spans="1:78" ht="15" customHeight="1">
      <c r="A721" s="280" t="s">
        <v>273</v>
      </c>
      <c r="B721" s="117">
        <v>2009</v>
      </c>
      <c r="C721" s="117" t="s">
        <v>280</v>
      </c>
      <c r="D721" s="117" t="s">
        <v>3634</v>
      </c>
      <c r="E721" s="452" t="s">
        <v>39</v>
      </c>
      <c r="F721" s="117"/>
      <c r="G721" s="117" t="s">
        <v>561</v>
      </c>
      <c r="H721" s="117" t="str">
        <f t="shared" si="120"/>
        <v>no</v>
      </c>
      <c r="I721" s="117" t="str">
        <f t="shared" si="121"/>
        <v>yes</v>
      </c>
      <c r="J721" s="117" t="str">
        <f t="shared" si="122"/>
        <v>no</v>
      </c>
      <c r="K721" s="117" t="s">
        <v>561</v>
      </c>
      <c r="L721" s="117" t="str">
        <f t="shared" ref="L721:L784" si="129">IF(LEFT(K721,5)="Total","Total","detailed")</f>
        <v>detailed</v>
      </c>
      <c r="M721" s="117" t="str">
        <f t="shared" si="123"/>
        <v>detailed Gas</v>
      </c>
      <c r="N721" s="179">
        <v>16400000000</v>
      </c>
      <c r="O721" s="118">
        <f>N721*0.0066</f>
        <v>108240000</v>
      </c>
      <c r="P721" s="179"/>
      <c r="Q721" s="179"/>
      <c r="R721" s="179"/>
      <c r="S721" s="117" t="s">
        <v>642</v>
      </c>
      <c r="T721" s="119">
        <v>0.14422800000000002</v>
      </c>
      <c r="U721" s="117" t="s">
        <v>643</v>
      </c>
      <c r="V721" s="117" t="s">
        <v>738</v>
      </c>
      <c r="W721" s="89">
        <f>N721*T721</f>
        <v>2365339200.0000005</v>
      </c>
      <c r="X721" s="117"/>
      <c r="Y721" s="117"/>
      <c r="Z721" s="117"/>
      <c r="AA721" s="177"/>
      <c r="AB721" s="177"/>
      <c r="AC721" s="122"/>
      <c r="AD721" s="122"/>
      <c r="AE721" s="122"/>
      <c r="AF721" s="123"/>
      <c r="AG721" s="117"/>
      <c r="AH721" s="124"/>
      <c r="AI721" s="117"/>
      <c r="AJ721" s="117"/>
      <c r="AK721" s="89"/>
      <c r="AL721" s="117"/>
      <c r="AM721" s="117"/>
      <c r="AN721" s="117"/>
      <c r="AO721" s="117"/>
      <c r="AP721" s="117"/>
      <c r="AQ721" s="117"/>
      <c r="AR721" s="126"/>
      <c r="AS721" s="117"/>
      <c r="AT721" s="117"/>
      <c r="AU721" s="215"/>
      <c r="AV721" s="128"/>
      <c r="AW721" s="117">
        <f>VLOOKUP($D721,'WB Data'!$C$3:$M$578,2,FALSE)</f>
        <v>115308661142.92726</v>
      </c>
      <c r="AX721" s="117">
        <f>VLOOKUP($D721,'WB Data'!$C$3:$M$578,3,FALSE)</f>
        <v>16092701</v>
      </c>
      <c r="AY721" s="847" t="str">
        <f t="shared" si="125"/>
        <v>..</v>
      </c>
      <c r="AZ721" s="117" t="e">
        <f>VLOOKUP($D721,'WB Data'!$C$3:$M$578,4,FALSE)/100</f>
        <v>#VALUE!</v>
      </c>
      <c r="BA721" s="117" t="str">
        <f t="shared" si="126"/>
        <v>..</v>
      </c>
      <c r="BB721" s="129" t="str">
        <f>IFERROR(VLOOKUP($D721,'EITI Revenues'!$C$2:$G$224,5,FALSE),"..")</f>
        <v>..</v>
      </c>
      <c r="BC721" s="846" t="str">
        <f t="shared" si="127"/>
        <v>..</v>
      </c>
      <c r="BD721" s="129">
        <f>VLOOKUP($D721,'WB Data 2'!$C$2:$K$545,6,FALSE)</f>
        <v>35331249770.975067</v>
      </c>
      <c r="BE721" s="129">
        <f>IFERROR(VLOOKUP($D721,UNCTAD!$C$5:$V$529,4,FALSE),"..")</f>
        <v>48027080000</v>
      </c>
      <c r="BF721" s="846">
        <f t="shared" si="128"/>
        <v>0.73565267284571678</v>
      </c>
      <c r="BG721" s="117">
        <f>VLOOKUP($D721,'WB Data'!$C$3:$M$578,5,FALSE)</f>
        <v>297500000</v>
      </c>
      <c r="BH721" s="129" t="str">
        <f>IFERROR($BB721/$BG721,"..")</f>
        <v>..</v>
      </c>
      <c r="BI721" s="117">
        <f>IFERROR(VLOOKUP($D721,'WB Data'!$C$3:$M$578,7,FALSE)/100,"..")</f>
        <v>3.0607199999999998E-2</v>
      </c>
      <c r="BJ721" s="117">
        <f>IFERROR($BI721*$AW721,"..")</f>
        <v>3529275253.3338032</v>
      </c>
      <c r="BK721" s="846" t="str">
        <f>IFERROR($BB721/$BJ721,"..")</f>
        <v>..</v>
      </c>
      <c r="BL721" s="117">
        <f>IFERROR(VLOOKUP($D721,'WB Data'!$C$3:$M$578,7,FALSE)/100,"..")</f>
        <v>3.0607199999999998E-2</v>
      </c>
      <c r="BM721" s="117">
        <f>IFERROR($AW721*$BL721,"..")</f>
        <v>3529275253.3338032</v>
      </c>
      <c r="BN721" s="846" t="str">
        <f>IFERROR($BB721/$BM721,"..")</f>
        <v>..</v>
      </c>
      <c r="BO721" s="801">
        <f t="shared" si="124"/>
        <v>29</v>
      </c>
      <c r="BP721" s="117">
        <f>VLOOKUP($D721,'WB Data'!$C$3:$M$578,9,FALSE)</f>
        <v>8.1999999999999993</v>
      </c>
      <c r="BQ721" s="117">
        <f>VLOOKUP($D721,'WB Data'!$C$3:$M$578,10,FALSE)</f>
        <v>68.429268292682934</v>
      </c>
      <c r="BR721" s="117">
        <f>VLOOKUP($D721,'WB Data'!$C$3:$M$578,11,FALSE)</f>
        <v>21.1</v>
      </c>
      <c r="BS721" s="129">
        <f>IFERROR(VLOOKUP($D721,'WB Data 2'!$C$2:$K$545,9,FALSE),"..")</f>
        <v>98.118610000000004</v>
      </c>
      <c r="BT721" s="129">
        <f>_xlfn.IFNA(VLOOKUP($C721,RGI!$A$2:$C$43,2,FALSE),"..")</f>
        <v>77.5</v>
      </c>
      <c r="BU721" s="129">
        <f>_xlfn.IFNA(VLOOKUP($C721,RGI!$A$2:$C$43,3,FALSE),"..")</f>
        <v>57.362887635782535</v>
      </c>
      <c r="BV721" s="129">
        <f>VLOOKUP($D721,WGI!$C$2:$O$478,7,FALSE)</f>
        <v>-1.0437228644659999</v>
      </c>
      <c r="BW721" s="129">
        <f>VLOOKUP($D721,WGI!$C$2:$O$478,4,FALSE)</f>
        <v>0.74874515291924304</v>
      </c>
      <c r="BX721" s="129">
        <f>VLOOKUP($D721,WGI!$C$2:$O$478,3,FALSE)</f>
        <v>-0.36180551130907501</v>
      </c>
      <c r="BY721" s="129">
        <f>VLOOKUP($D721,WGI!$C$2:$O$478,5,FALSE)</f>
        <v>-0.32490139377488098</v>
      </c>
      <c r="BZ721" s="129">
        <f>VLOOKUP($D721,WGI!$C$2:$O$478,2,FALSE)</f>
        <v>-0.88404358302178698</v>
      </c>
    </row>
    <row r="722" spans="1:78" ht="15" customHeight="1">
      <c r="A722" s="280" t="s">
        <v>273</v>
      </c>
      <c r="B722" s="117">
        <v>2009</v>
      </c>
      <c r="C722" s="117" t="s">
        <v>280</v>
      </c>
      <c r="D722" s="117" t="s">
        <v>3634</v>
      </c>
      <c r="E722" s="452" t="s">
        <v>39</v>
      </c>
      <c r="F722" s="117"/>
      <c r="G722" s="117" t="s">
        <v>103</v>
      </c>
      <c r="H722" s="117" t="str">
        <f t="shared" si="120"/>
        <v>no</v>
      </c>
      <c r="I722" s="117" t="str">
        <f t="shared" si="121"/>
        <v>no</v>
      </c>
      <c r="J722" s="117" t="str">
        <f t="shared" si="122"/>
        <v>yes</v>
      </c>
      <c r="K722" s="117" t="s">
        <v>103</v>
      </c>
      <c r="L722" s="117" t="str">
        <f t="shared" si="129"/>
        <v>detailed</v>
      </c>
      <c r="M722" s="117" t="str">
        <f t="shared" si="123"/>
        <v>detailed Oil</v>
      </c>
      <c r="N722" s="179">
        <v>607360000</v>
      </c>
      <c r="O722" s="179"/>
      <c r="P722" s="179"/>
      <c r="Q722" s="179"/>
      <c r="R722" s="179"/>
      <c r="S722" s="117" t="s">
        <v>646</v>
      </c>
      <c r="T722" s="119">
        <v>62.0812648</v>
      </c>
      <c r="U722" s="117" t="s">
        <v>673</v>
      </c>
      <c r="V722" s="117" t="s">
        <v>740</v>
      </c>
      <c r="W722" s="89">
        <f>N722*T722</f>
        <v>37705676988.928001</v>
      </c>
      <c r="X722" s="117"/>
      <c r="Y722" s="117"/>
      <c r="Z722" s="117"/>
      <c r="AA722" s="177"/>
      <c r="AB722" s="177"/>
      <c r="AC722" s="122"/>
      <c r="AD722" s="122"/>
      <c r="AE722" s="122"/>
      <c r="AF722" s="123"/>
      <c r="AG722" s="117"/>
      <c r="AH722" s="124"/>
      <c r="AI722" s="117"/>
      <c r="AJ722" s="117"/>
      <c r="AK722" s="89"/>
      <c r="AL722" s="117"/>
      <c r="AM722" s="117"/>
      <c r="AN722" s="117"/>
      <c r="AO722" s="117"/>
      <c r="AP722" s="117"/>
      <c r="AQ722" s="117"/>
      <c r="AR722" s="126"/>
      <c r="AS722" s="117"/>
      <c r="AT722" s="117"/>
      <c r="AU722" s="215"/>
      <c r="AV722" s="128"/>
      <c r="AW722" s="117">
        <f>VLOOKUP($D722,'WB Data'!$C$3:$M$578,2,FALSE)</f>
        <v>115308661142.92726</v>
      </c>
      <c r="AX722" s="117">
        <f>VLOOKUP($D722,'WB Data'!$C$3:$M$578,3,FALSE)</f>
        <v>16092701</v>
      </c>
      <c r="AY722" s="847" t="str">
        <f t="shared" si="125"/>
        <v>..</v>
      </c>
      <c r="AZ722" s="117" t="e">
        <f>VLOOKUP($D722,'WB Data'!$C$3:$M$578,4,FALSE)/100</f>
        <v>#VALUE!</v>
      </c>
      <c r="BA722" s="117" t="str">
        <f t="shared" si="126"/>
        <v>..</v>
      </c>
      <c r="BB722" s="129" t="str">
        <f>IFERROR(VLOOKUP($D722,'EITI Revenues'!$C$2:$G$224,5,FALSE),"..")</f>
        <v>..</v>
      </c>
      <c r="BC722" s="846" t="str">
        <f t="shared" si="127"/>
        <v>..</v>
      </c>
      <c r="BD722" s="129">
        <f>VLOOKUP($D722,'WB Data 2'!$C$2:$K$545,6,FALSE)</f>
        <v>35331249770.975067</v>
      </c>
      <c r="BE722" s="129">
        <f>IFERROR(VLOOKUP($D722,UNCTAD!$C$5:$V$529,4,FALSE),"..")</f>
        <v>48027080000</v>
      </c>
      <c r="BF722" s="846">
        <f t="shared" si="128"/>
        <v>0.73565267284571678</v>
      </c>
      <c r="BG722" s="117">
        <f>VLOOKUP($D722,'WB Data'!$C$3:$M$578,5,FALSE)</f>
        <v>297500000</v>
      </c>
      <c r="BH722" s="129" t="str">
        <f>IFERROR($BB722/$BG722,"..")</f>
        <v>..</v>
      </c>
      <c r="BI722" s="117">
        <f>IFERROR(VLOOKUP($D722,'WB Data'!$C$3:$M$578,7,FALSE)/100,"..")</f>
        <v>3.0607199999999998E-2</v>
      </c>
      <c r="BJ722" s="117">
        <f>IFERROR($BI722*$AW722,"..")</f>
        <v>3529275253.3338032</v>
      </c>
      <c r="BK722" s="846" t="str">
        <f>IFERROR($BB722/$BJ722,"..")</f>
        <v>..</v>
      </c>
      <c r="BL722" s="117">
        <f>IFERROR(VLOOKUP($D722,'WB Data'!$C$3:$M$578,7,FALSE)/100,"..")</f>
        <v>3.0607199999999998E-2</v>
      </c>
      <c r="BM722" s="117">
        <f>IFERROR($AW722*$BL722,"..")</f>
        <v>3529275253.3338032</v>
      </c>
      <c r="BN722" s="846" t="str">
        <f>IFERROR($BB722/$BM722,"..")</f>
        <v>..</v>
      </c>
      <c r="BO722" s="801">
        <f t="shared" si="124"/>
        <v>29</v>
      </c>
      <c r="BP722" s="117">
        <f>VLOOKUP($D722,'WB Data'!$C$3:$M$578,9,FALSE)</f>
        <v>8.1999999999999993</v>
      </c>
      <c r="BQ722" s="117">
        <f>VLOOKUP($D722,'WB Data'!$C$3:$M$578,10,FALSE)</f>
        <v>68.429268292682934</v>
      </c>
      <c r="BR722" s="117">
        <f>VLOOKUP($D722,'WB Data'!$C$3:$M$578,11,FALSE)</f>
        <v>21.1</v>
      </c>
      <c r="BS722" s="129">
        <f>IFERROR(VLOOKUP($D722,'WB Data 2'!$C$2:$K$545,9,FALSE),"..")</f>
        <v>98.118610000000004</v>
      </c>
      <c r="BT722" s="129">
        <f>_xlfn.IFNA(VLOOKUP($C722,RGI!$A$2:$C$43,2,FALSE),"..")</f>
        <v>77.5</v>
      </c>
      <c r="BU722" s="129">
        <f>_xlfn.IFNA(VLOOKUP($C722,RGI!$A$2:$C$43,3,FALSE),"..")</f>
        <v>57.362887635782535</v>
      </c>
      <c r="BV722" s="129">
        <f>VLOOKUP($D722,WGI!$C$2:$O$478,7,FALSE)</f>
        <v>-1.0437228644659999</v>
      </c>
      <c r="BW722" s="129">
        <f>VLOOKUP($D722,WGI!$C$2:$O$478,4,FALSE)</f>
        <v>0.74874515291924304</v>
      </c>
      <c r="BX722" s="129">
        <f>VLOOKUP($D722,WGI!$C$2:$O$478,3,FALSE)</f>
        <v>-0.36180551130907501</v>
      </c>
      <c r="BY722" s="129">
        <f>VLOOKUP($D722,WGI!$C$2:$O$478,5,FALSE)</f>
        <v>-0.32490139377488098</v>
      </c>
      <c r="BZ722" s="129">
        <f>VLOOKUP($D722,WGI!$C$2:$O$478,2,FALSE)</f>
        <v>-0.88404358302178698</v>
      </c>
    </row>
    <row r="723" spans="1:78" ht="15" customHeight="1">
      <c r="A723" s="280" t="s">
        <v>273</v>
      </c>
      <c r="B723" s="117">
        <v>2009</v>
      </c>
      <c r="C723" s="117" t="s">
        <v>280</v>
      </c>
      <c r="D723" s="117" t="s">
        <v>3634</v>
      </c>
      <c r="E723" s="452" t="s">
        <v>39</v>
      </c>
      <c r="F723" s="117"/>
      <c r="G723" s="117" t="s">
        <v>24</v>
      </c>
      <c r="H723" s="117" t="str">
        <f t="shared" si="120"/>
        <v>yes</v>
      </c>
      <c r="I723" s="117" t="str">
        <f t="shared" si="121"/>
        <v>no</v>
      </c>
      <c r="J723" s="117" t="str">
        <f t="shared" si="122"/>
        <v>no</v>
      </c>
      <c r="K723" s="120" t="s">
        <v>600</v>
      </c>
      <c r="L723" s="117" t="str">
        <f t="shared" si="129"/>
        <v>Total</v>
      </c>
      <c r="M723" s="117" t="str">
        <f t="shared" si="123"/>
        <v>Total Mining</v>
      </c>
      <c r="N723" s="89"/>
      <c r="O723" s="89"/>
      <c r="P723" s="89"/>
      <c r="Q723" s="89"/>
      <c r="R723" s="89"/>
      <c r="S723" s="120"/>
      <c r="T723" s="119"/>
      <c r="U723" s="120"/>
      <c r="V723" s="120"/>
      <c r="W723" s="89">
        <f>SUM(W724:W750)</f>
        <v>9284990950.8709698</v>
      </c>
      <c r="X723" s="120"/>
      <c r="Y723" s="120"/>
      <c r="Z723" s="120"/>
      <c r="AA723" s="117"/>
      <c r="AB723" s="117"/>
      <c r="AC723" s="462"/>
      <c r="AD723" s="492"/>
      <c r="AE723" s="462"/>
      <c r="AF723" s="463"/>
      <c r="AG723" s="120"/>
      <c r="AH723" s="493"/>
      <c r="AI723" s="120"/>
      <c r="AJ723" s="120"/>
      <c r="AK723" s="120"/>
      <c r="AL723" s="120"/>
      <c r="AM723" s="120"/>
      <c r="AN723" s="120"/>
      <c r="AO723" s="120"/>
      <c r="AP723" s="120"/>
      <c r="AQ723" s="120"/>
      <c r="AR723" s="120"/>
      <c r="AS723" s="120"/>
      <c r="AT723" s="120"/>
      <c r="AU723" s="120"/>
      <c r="AV723" s="281"/>
      <c r="AW723" s="117">
        <f>VLOOKUP($D723,'WB Data'!$C$3:$M$578,2,FALSE)</f>
        <v>115308661142.92726</v>
      </c>
      <c r="AX723" s="117">
        <f>VLOOKUP($D723,'WB Data'!$C$3:$M$578,3,FALSE)</f>
        <v>16092701</v>
      </c>
      <c r="AY723" s="847" t="str">
        <f t="shared" si="125"/>
        <v>..</v>
      </c>
      <c r="AZ723" s="117" t="e">
        <f>VLOOKUP($D723,'WB Data'!$C$3:$M$578,4,FALSE)/100</f>
        <v>#VALUE!</v>
      </c>
      <c r="BA723" s="117" t="str">
        <f t="shared" si="126"/>
        <v>..</v>
      </c>
      <c r="BB723" s="129" t="str">
        <f>IFERROR(VLOOKUP($D723,'EITI Revenues'!$C$2:$G$224,5,FALSE),"..")</f>
        <v>..</v>
      </c>
      <c r="BC723" s="846" t="str">
        <f t="shared" si="127"/>
        <v>..</v>
      </c>
      <c r="BD723" s="129">
        <f>VLOOKUP($D723,'WB Data 2'!$C$2:$K$545,6,FALSE)</f>
        <v>35331249770.975067</v>
      </c>
      <c r="BE723" s="129">
        <f>IFERROR(VLOOKUP($D723,UNCTAD!$C$5:$V$529,4,FALSE),"..")</f>
        <v>48027080000</v>
      </c>
      <c r="BF723" s="846">
        <f t="shared" si="128"/>
        <v>0.73565267284571678</v>
      </c>
      <c r="BG723" s="117">
        <f>VLOOKUP($D723,'WB Data'!$C$3:$M$578,5,FALSE)</f>
        <v>297500000</v>
      </c>
      <c r="BH723" s="129" t="str">
        <f>IFERROR($BB723/$BG723,"..")</f>
        <v>..</v>
      </c>
      <c r="BI723" s="117">
        <f>IFERROR(VLOOKUP($D723,'WB Data'!$C$3:$M$578,7,FALSE)/100,"..")</f>
        <v>3.0607199999999998E-2</v>
      </c>
      <c r="BJ723" s="117">
        <f>IFERROR($BI723*$AW723,"..")</f>
        <v>3529275253.3338032</v>
      </c>
      <c r="BK723" s="846" t="str">
        <f>IFERROR($BB723/$BJ723,"..")</f>
        <v>..</v>
      </c>
      <c r="BL723" s="117">
        <f>IFERROR(VLOOKUP($D723,'WB Data'!$C$3:$M$578,7,FALSE)/100,"..")</f>
        <v>3.0607199999999998E-2</v>
      </c>
      <c r="BM723" s="117">
        <f>IFERROR($AW723*$BL723,"..")</f>
        <v>3529275253.3338032</v>
      </c>
      <c r="BN723" s="846" t="str">
        <f>IFERROR($BB723/$BM723,"..")</f>
        <v>..</v>
      </c>
      <c r="BO723" s="801">
        <f t="shared" si="124"/>
        <v>29</v>
      </c>
      <c r="BP723" s="117">
        <f>VLOOKUP($D723,'WB Data'!$C$3:$M$578,9,FALSE)</f>
        <v>8.1999999999999993</v>
      </c>
      <c r="BQ723" s="117">
        <f>VLOOKUP($D723,'WB Data'!$C$3:$M$578,10,FALSE)</f>
        <v>68.429268292682934</v>
      </c>
      <c r="BR723" s="117">
        <f>VLOOKUP($D723,'WB Data'!$C$3:$M$578,11,FALSE)</f>
        <v>21.1</v>
      </c>
      <c r="BS723" s="129">
        <f>IFERROR(VLOOKUP($D723,'WB Data 2'!$C$2:$K$545,9,FALSE),"..")</f>
        <v>98.118610000000004</v>
      </c>
      <c r="BT723" s="129">
        <f>_xlfn.IFNA(VLOOKUP($C723,RGI!$A$2:$C$43,2,FALSE),"..")</f>
        <v>77.5</v>
      </c>
      <c r="BU723" s="129">
        <f>_xlfn.IFNA(VLOOKUP($C723,RGI!$A$2:$C$43,3,FALSE),"..")</f>
        <v>57.362887635782535</v>
      </c>
      <c r="BV723" s="129">
        <f>VLOOKUP($D723,WGI!$C$2:$O$478,7,FALSE)</f>
        <v>-1.0437228644659999</v>
      </c>
      <c r="BW723" s="129">
        <f>VLOOKUP($D723,WGI!$C$2:$O$478,4,FALSE)</f>
        <v>0.74874515291924304</v>
      </c>
      <c r="BX723" s="129">
        <f>VLOOKUP($D723,WGI!$C$2:$O$478,3,FALSE)</f>
        <v>-0.36180551130907501</v>
      </c>
      <c r="BY723" s="129">
        <f>VLOOKUP($D723,WGI!$C$2:$O$478,5,FALSE)</f>
        <v>-0.32490139377488098</v>
      </c>
      <c r="BZ723" s="129">
        <f>VLOOKUP($D723,WGI!$C$2:$O$478,2,FALSE)</f>
        <v>-0.88404358302178698</v>
      </c>
    </row>
    <row r="724" spans="1:78" ht="15" customHeight="1">
      <c r="A724" s="280" t="s">
        <v>273</v>
      </c>
      <c r="B724" s="117">
        <v>2009</v>
      </c>
      <c r="C724" s="117" t="s">
        <v>280</v>
      </c>
      <c r="D724" s="117" t="s">
        <v>3634</v>
      </c>
      <c r="E724" s="452" t="s">
        <v>39</v>
      </c>
      <c r="F724" s="117"/>
      <c r="G724" s="117" t="s">
        <v>24</v>
      </c>
      <c r="H724" s="117" t="str">
        <f t="shared" si="120"/>
        <v>yes</v>
      </c>
      <c r="I724" s="117" t="str">
        <f t="shared" si="121"/>
        <v>no</v>
      </c>
      <c r="J724" s="117" t="str">
        <f t="shared" si="122"/>
        <v>no</v>
      </c>
      <c r="K724" s="120" t="s">
        <v>1410</v>
      </c>
      <c r="L724" s="117" t="str">
        <f t="shared" si="129"/>
        <v>detailed</v>
      </c>
      <c r="M724" s="117" t="str">
        <f t="shared" si="123"/>
        <v>detailed Mining</v>
      </c>
      <c r="N724" s="89">
        <v>230000</v>
      </c>
      <c r="O724" s="89"/>
      <c r="P724" s="89"/>
      <c r="Q724" s="89"/>
      <c r="R724" s="89"/>
      <c r="S724" s="120" t="s">
        <v>610</v>
      </c>
      <c r="T724" s="119">
        <v>787</v>
      </c>
      <c r="U724" s="117" t="s">
        <v>611</v>
      </c>
      <c r="V724" s="117" t="s">
        <v>1411</v>
      </c>
      <c r="W724" s="89">
        <f>N724*T724</f>
        <v>181010000</v>
      </c>
      <c r="X724" s="120"/>
      <c r="Y724" s="120"/>
      <c r="Z724" s="120"/>
      <c r="AA724" s="117"/>
      <c r="AB724" s="117"/>
      <c r="AC724" s="462"/>
      <c r="AD724" s="462"/>
      <c r="AE724" s="462"/>
      <c r="AF724" s="463"/>
      <c r="AG724" s="120"/>
      <c r="AH724" s="493"/>
      <c r="AI724" s="120"/>
      <c r="AJ724" s="120"/>
      <c r="AK724" s="120"/>
      <c r="AL724" s="120"/>
      <c r="AM724" s="120"/>
      <c r="AN724" s="120"/>
      <c r="AO724" s="120"/>
      <c r="AP724" s="120"/>
      <c r="AQ724" s="120"/>
      <c r="AR724" s="120"/>
      <c r="AS724" s="120"/>
      <c r="AT724" s="120"/>
      <c r="AU724" s="120"/>
      <c r="AV724" s="128" t="s">
        <v>1412</v>
      </c>
      <c r="AW724" s="117">
        <f>VLOOKUP($D724,'WB Data'!$C$3:$M$578,2,FALSE)</f>
        <v>115308661142.92726</v>
      </c>
      <c r="AX724" s="117">
        <f>VLOOKUP($D724,'WB Data'!$C$3:$M$578,3,FALSE)</f>
        <v>16092701</v>
      </c>
      <c r="AY724" s="847" t="str">
        <f t="shared" si="125"/>
        <v>..</v>
      </c>
      <c r="AZ724" s="117" t="e">
        <f>VLOOKUP($D724,'WB Data'!$C$3:$M$578,4,FALSE)/100</f>
        <v>#VALUE!</v>
      </c>
      <c r="BA724" s="117" t="str">
        <f t="shared" si="126"/>
        <v>..</v>
      </c>
      <c r="BB724" s="129" t="str">
        <f>IFERROR(VLOOKUP($D724,'EITI Revenues'!$C$2:$G$224,5,FALSE),"..")</f>
        <v>..</v>
      </c>
      <c r="BC724" s="846" t="str">
        <f t="shared" si="127"/>
        <v>..</v>
      </c>
      <c r="BD724" s="129">
        <f>VLOOKUP($D724,'WB Data 2'!$C$2:$K$545,6,FALSE)</f>
        <v>35331249770.975067</v>
      </c>
      <c r="BE724" s="129">
        <f>IFERROR(VLOOKUP($D724,UNCTAD!$C$5:$V$529,4,FALSE),"..")</f>
        <v>48027080000</v>
      </c>
      <c r="BF724" s="846">
        <f t="shared" si="128"/>
        <v>0.73565267284571678</v>
      </c>
      <c r="BG724" s="117">
        <f>VLOOKUP($D724,'WB Data'!$C$3:$M$578,5,FALSE)</f>
        <v>297500000</v>
      </c>
      <c r="BH724" s="129" t="str">
        <f>IFERROR($BB724/$BG724,"..")</f>
        <v>..</v>
      </c>
      <c r="BI724" s="117">
        <f>IFERROR(VLOOKUP($D724,'WB Data'!$C$3:$M$578,7,FALSE)/100,"..")</f>
        <v>3.0607199999999998E-2</v>
      </c>
      <c r="BJ724" s="117">
        <f>IFERROR($BI724*$AW724,"..")</f>
        <v>3529275253.3338032</v>
      </c>
      <c r="BK724" s="846" t="str">
        <f>IFERROR($BB724/$BJ724,"..")</f>
        <v>..</v>
      </c>
      <c r="BL724" s="117">
        <f>IFERROR(VLOOKUP($D724,'WB Data'!$C$3:$M$578,7,FALSE)/100,"..")</f>
        <v>3.0607199999999998E-2</v>
      </c>
      <c r="BM724" s="117">
        <f>IFERROR($AW724*$BL724,"..")</f>
        <v>3529275253.3338032</v>
      </c>
      <c r="BN724" s="846" t="str">
        <f>IFERROR($BB724/$BM724,"..")</f>
        <v>..</v>
      </c>
      <c r="BO724" s="801">
        <f t="shared" si="124"/>
        <v>29</v>
      </c>
      <c r="BP724" s="117">
        <f>VLOOKUP($D724,'WB Data'!$C$3:$M$578,9,FALSE)</f>
        <v>8.1999999999999993</v>
      </c>
      <c r="BQ724" s="117">
        <f>VLOOKUP($D724,'WB Data'!$C$3:$M$578,10,FALSE)</f>
        <v>68.429268292682934</v>
      </c>
      <c r="BR724" s="117">
        <f>VLOOKUP($D724,'WB Data'!$C$3:$M$578,11,FALSE)</f>
        <v>21.1</v>
      </c>
      <c r="BS724" s="129">
        <f>IFERROR(VLOOKUP($D724,'WB Data 2'!$C$2:$K$545,9,FALSE),"..")</f>
        <v>98.118610000000004</v>
      </c>
      <c r="BT724" s="129">
        <f>_xlfn.IFNA(VLOOKUP($C724,RGI!$A$2:$C$43,2,FALSE),"..")</f>
        <v>77.5</v>
      </c>
      <c r="BU724" s="129">
        <f>_xlfn.IFNA(VLOOKUP($C724,RGI!$A$2:$C$43,3,FALSE),"..")</f>
        <v>57.362887635782535</v>
      </c>
      <c r="BV724" s="129">
        <f>VLOOKUP($D724,WGI!$C$2:$O$478,7,FALSE)</f>
        <v>-1.0437228644659999</v>
      </c>
      <c r="BW724" s="129">
        <f>VLOOKUP($D724,WGI!$C$2:$O$478,4,FALSE)</f>
        <v>0.74874515291924304</v>
      </c>
      <c r="BX724" s="129">
        <f>VLOOKUP($D724,WGI!$C$2:$O$478,3,FALSE)</f>
        <v>-0.36180551130907501</v>
      </c>
      <c r="BY724" s="129">
        <f>VLOOKUP($D724,WGI!$C$2:$O$478,5,FALSE)</f>
        <v>-0.32490139377488098</v>
      </c>
      <c r="BZ724" s="129">
        <f>VLOOKUP($D724,WGI!$C$2:$O$478,2,FALSE)</f>
        <v>-0.88404358302178698</v>
      </c>
    </row>
    <row r="725" spans="1:78" ht="15" customHeight="1">
      <c r="A725" s="280" t="s">
        <v>273</v>
      </c>
      <c r="B725" s="117">
        <v>2009</v>
      </c>
      <c r="C725" s="117" t="s">
        <v>280</v>
      </c>
      <c r="D725" s="117" t="s">
        <v>3634</v>
      </c>
      <c r="E725" s="452" t="s">
        <v>39</v>
      </c>
      <c r="F725" s="117"/>
      <c r="G725" s="117" t="s">
        <v>24</v>
      </c>
      <c r="H725" s="117" t="str">
        <f t="shared" si="120"/>
        <v>yes</v>
      </c>
      <c r="I725" s="117" t="str">
        <f t="shared" si="121"/>
        <v>no</v>
      </c>
      <c r="J725" s="117" t="str">
        <f t="shared" si="122"/>
        <v>no</v>
      </c>
      <c r="K725" s="120" t="s">
        <v>1413</v>
      </c>
      <c r="L725" s="117" t="str">
        <f t="shared" si="129"/>
        <v>detailed</v>
      </c>
      <c r="M725" s="117" t="str">
        <f t="shared" si="123"/>
        <v>detailed Mining</v>
      </c>
      <c r="N725" s="89"/>
      <c r="O725" s="89"/>
      <c r="P725" s="89"/>
      <c r="Q725" s="89"/>
      <c r="R725" s="89"/>
      <c r="S725" s="120"/>
      <c r="T725" s="119">
        <v>80</v>
      </c>
      <c r="U725" s="117" t="s">
        <v>611</v>
      </c>
      <c r="V725" s="117" t="s">
        <v>1414</v>
      </c>
      <c r="W725" s="89">
        <f>N727*T725</f>
        <v>13600000</v>
      </c>
      <c r="X725" s="120"/>
      <c r="Y725" s="120"/>
      <c r="Z725" s="120"/>
      <c r="AA725" s="117"/>
      <c r="AB725" s="117"/>
      <c r="AC725" s="462"/>
      <c r="AD725" s="462"/>
      <c r="AE725" s="462"/>
      <c r="AF725" s="463"/>
      <c r="AG725" s="120"/>
      <c r="AH725" s="493"/>
      <c r="AI725" s="120"/>
      <c r="AJ725" s="120"/>
      <c r="AK725" s="120"/>
      <c r="AL725" s="120"/>
      <c r="AM725" s="120"/>
      <c r="AN725" s="120"/>
      <c r="AO725" s="120"/>
      <c r="AP725" s="120"/>
      <c r="AQ725" s="120"/>
      <c r="AR725" s="120"/>
      <c r="AS725" s="120"/>
      <c r="AT725" s="120"/>
      <c r="AU725" s="120"/>
      <c r="AV725" s="128" t="s">
        <v>1412</v>
      </c>
      <c r="AW725" s="117">
        <f>VLOOKUP($D725,'WB Data'!$C$3:$M$578,2,FALSE)</f>
        <v>115308661142.92726</v>
      </c>
      <c r="AX725" s="117">
        <f>VLOOKUP($D725,'WB Data'!$C$3:$M$578,3,FALSE)</f>
        <v>16092701</v>
      </c>
      <c r="AY725" s="847" t="str">
        <f t="shared" si="125"/>
        <v>..</v>
      </c>
      <c r="AZ725" s="117" t="e">
        <f>VLOOKUP($D725,'WB Data'!$C$3:$M$578,4,FALSE)/100</f>
        <v>#VALUE!</v>
      </c>
      <c r="BA725" s="117" t="str">
        <f t="shared" si="126"/>
        <v>..</v>
      </c>
      <c r="BB725" s="129" t="str">
        <f>IFERROR(VLOOKUP($D725,'EITI Revenues'!$C$2:$G$224,5,FALSE),"..")</f>
        <v>..</v>
      </c>
      <c r="BC725" s="846" t="str">
        <f t="shared" si="127"/>
        <v>..</v>
      </c>
      <c r="BD725" s="129">
        <f>VLOOKUP($D725,'WB Data 2'!$C$2:$K$545,6,FALSE)</f>
        <v>35331249770.975067</v>
      </c>
      <c r="BE725" s="129">
        <f>IFERROR(VLOOKUP($D725,UNCTAD!$C$5:$V$529,4,FALSE),"..")</f>
        <v>48027080000</v>
      </c>
      <c r="BF725" s="846">
        <f t="shared" si="128"/>
        <v>0.73565267284571678</v>
      </c>
      <c r="BG725" s="117">
        <f>VLOOKUP($D725,'WB Data'!$C$3:$M$578,5,FALSE)</f>
        <v>297500000</v>
      </c>
      <c r="BH725" s="129" t="str">
        <f>IFERROR($BB725/$BG725,"..")</f>
        <v>..</v>
      </c>
      <c r="BI725" s="117">
        <f>IFERROR(VLOOKUP($D725,'WB Data'!$C$3:$M$578,7,FALSE)/100,"..")</f>
        <v>3.0607199999999998E-2</v>
      </c>
      <c r="BJ725" s="117">
        <f>IFERROR($BI725*$AW725,"..")</f>
        <v>3529275253.3338032</v>
      </c>
      <c r="BK725" s="846" t="str">
        <f>IFERROR($BB725/$BJ725,"..")</f>
        <v>..</v>
      </c>
      <c r="BL725" s="117">
        <f>IFERROR(VLOOKUP($D725,'WB Data'!$C$3:$M$578,7,FALSE)/100,"..")</f>
        <v>3.0607199999999998E-2</v>
      </c>
      <c r="BM725" s="117">
        <f>IFERROR($AW725*$BL725,"..")</f>
        <v>3529275253.3338032</v>
      </c>
      <c r="BN725" s="846" t="str">
        <f>IFERROR($BB725/$BM725,"..")</f>
        <v>..</v>
      </c>
      <c r="BO725" s="801">
        <f t="shared" si="124"/>
        <v>29</v>
      </c>
      <c r="BP725" s="117">
        <f>VLOOKUP($D725,'WB Data'!$C$3:$M$578,9,FALSE)</f>
        <v>8.1999999999999993</v>
      </c>
      <c r="BQ725" s="117">
        <f>VLOOKUP($D725,'WB Data'!$C$3:$M$578,10,FALSE)</f>
        <v>68.429268292682934</v>
      </c>
      <c r="BR725" s="117">
        <f>VLOOKUP($D725,'WB Data'!$C$3:$M$578,11,FALSE)</f>
        <v>21.1</v>
      </c>
      <c r="BS725" s="129">
        <f>IFERROR(VLOOKUP($D725,'WB Data 2'!$C$2:$K$545,9,FALSE),"..")</f>
        <v>98.118610000000004</v>
      </c>
      <c r="BT725" s="129">
        <f>_xlfn.IFNA(VLOOKUP($C725,RGI!$A$2:$C$43,2,FALSE),"..")</f>
        <v>77.5</v>
      </c>
      <c r="BU725" s="129">
        <f>_xlfn.IFNA(VLOOKUP($C725,RGI!$A$2:$C$43,3,FALSE),"..")</f>
        <v>57.362887635782535</v>
      </c>
      <c r="BV725" s="129">
        <f>VLOOKUP($D725,WGI!$C$2:$O$478,7,FALSE)</f>
        <v>-1.0437228644659999</v>
      </c>
      <c r="BW725" s="129">
        <f>VLOOKUP($D725,WGI!$C$2:$O$478,4,FALSE)</f>
        <v>0.74874515291924304</v>
      </c>
      <c r="BX725" s="129">
        <f>VLOOKUP($D725,WGI!$C$2:$O$478,3,FALSE)</f>
        <v>-0.36180551130907501</v>
      </c>
      <c r="BY725" s="129">
        <f>VLOOKUP($D725,WGI!$C$2:$O$478,5,FALSE)</f>
        <v>-0.32490139377488098</v>
      </c>
      <c r="BZ725" s="129">
        <f>VLOOKUP($D725,WGI!$C$2:$O$478,2,FALSE)</f>
        <v>-0.88404358302178698</v>
      </c>
    </row>
    <row r="726" spans="1:78" ht="15" customHeight="1">
      <c r="A726" s="280" t="s">
        <v>273</v>
      </c>
      <c r="B726" s="117">
        <v>2009</v>
      </c>
      <c r="C726" s="117" t="s">
        <v>280</v>
      </c>
      <c r="D726" s="117" t="s">
        <v>3634</v>
      </c>
      <c r="E726" s="452" t="s">
        <v>39</v>
      </c>
      <c r="F726" s="117"/>
      <c r="G726" s="117" t="s">
        <v>24</v>
      </c>
      <c r="H726" s="117" t="str">
        <f t="shared" si="120"/>
        <v>yes</v>
      </c>
      <c r="I726" s="117" t="str">
        <f t="shared" si="121"/>
        <v>no</v>
      </c>
      <c r="J726" s="117" t="str">
        <f t="shared" si="122"/>
        <v>no</v>
      </c>
      <c r="K726" s="120" t="s">
        <v>1415</v>
      </c>
      <c r="L726" s="117" t="str">
        <f t="shared" si="129"/>
        <v>detailed</v>
      </c>
      <c r="M726" s="117" t="str">
        <f t="shared" si="123"/>
        <v>detailed Mining</v>
      </c>
      <c r="N726" s="89">
        <v>306000</v>
      </c>
      <c r="O726" s="89"/>
      <c r="P726" s="89"/>
      <c r="Q726" s="89"/>
      <c r="R726" s="89"/>
      <c r="S726" s="120" t="s">
        <v>610</v>
      </c>
      <c r="T726" s="119"/>
      <c r="U726" s="120"/>
      <c r="V726" s="117" t="s">
        <v>847</v>
      </c>
      <c r="W726" s="89"/>
      <c r="X726" s="120"/>
      <c r="Y726" s="120"/>
      <c r="Z726" s="120"/>
      <c r="AA726" s="117"/>
      <c r="AB726" s="117"/>
      <c r="AC726" s="462"/>
      <c r="AD726" s="462"/>
      <c r="AE726" s="462"/>
      <c r="AF726" s="463"/>
      <c r="AG726" s="120"/>
      <c r="AH726" s="493"/>
      <c r="AI726" s="120"/>
      <c r="AJ726" s="120"/>
      <c r="AK726" s="120"/>
      <c r="AL726" s="120"/>
      <c r="AM726" s="120"/>
      <c r="AN726" s="120"/>
      <c r="AO726" s="120"/>
      <c r="AP726" s="120"/>
      <c r="AQ726" s="120"/>
      <c r="AR726" s="120"/>
      <c r="AS726" s="120"/>
      <c r="AT726" s="120"/>
      <c r="AU726" s="120"/>
      <c r="AV726" s="128"/>
      <c r="AW726" s="117">
        <f>VLOOKUP($D726,'WB Data'!$C$3:$M$578,2,FALSE)</f>
        <v>115308661142.92726</v>
      </c>
      <c r="AX726" s="117">
        <f>VLOOKUP($D726,'WB Data'!$C$3:$M$578,3,FALSE)</f>
        <v>16092701</v>
      </c>
      <c r="AY726" s="847" t="str">
        <f t="shared" si="125"/>
        <v>..</v>
      </c>
      <c r="AZ726" s="117" t="e">
        <f>VLOOKUP($D726,'WB Data'!$C$3:$M$578,4,FALSE)/100</f>
        <v>#VALUE!</v>
      </c>
      <c r="BA726" s="117" t="str">
        <f t="shared" si="126"/>
        <v>..</v>
      </c>
      <c r="BB726" s="129" t="str">
        <f>IFERROR(VLOOKUP($D726,'EITI Revenues'!$C$2:$G$224,5,FALSE),"..")</f>
        <v>..</v>
      </c>
      <c r="BC726" s="846" t="str">
        <f t="shared" si="127"/>
        <v>..</v>
      </c>
      <c r="BD726" s="129">
        <f>VLOOKUP($D726,'WB Data 2'!$C$2:$K$545,6,FALSE)</f>
        <v>35331249770.975067</v>
      </c>
      <c r="BE726" s="129">
        <f>IFERROR(VLOOKUP($D726,UNCTAD!$C$5:$V$529,4,FALSE),"..")</f>
        <v>48027080000</v>
      </c>
      <c r="BF726" s="846">
        <f t="shared" si="128"/>
        <v>0.73565267284571678</v>
      </c>
      <c r="BG726" s="117">
        <f>VLOOKUP($D726,'WB Data'!$C$3:$M$578,5,FALSE)</f>
        <v>297500000</v>
      </c>
      <c r="BH726" s="129" t="str">
        <f>IFERROR($BB726/$BG726,"..")</f>
        <v>..</v>
      </c>
      <c r="BI726" s="117">
        <f>IFERROR(VLOOKUP($D726,'WB Data'!$C$3:$M$578,7,FALSE)/100,"..")</f>
        <v>3.0607199999999998E-2</v>
      </c>
      <c r="BJ726" s="117">
        <f>IFERROR($BI726*$AW726,"..")</f>
        <v>3529275253.3338032</v>
      </c>
      <c r="BK726" s="846" t="str">
        <f>IFERROR($BB726/$BJ726,"..")</f>
        <v>..</v>
      </c>
      <c r="BL726" s="117">
        <f>IFERROR(VLOOKUP($D726,'WB Data'!$C$3:$M$578,7,FALSE)/100,"..")</f>
        <v>3.0607199999999998E-2</v>
      </c>
      <c r="BM726" s="117">
        <f>IFERROR($AW726*$BL726,"..")</f>
        <v>3529275253.3338032</v>
      </c>
      <c r="BN726" s="846" t="str">
        <f>IFERROR($BB726/$BM726,"..")</f>
        <v>..</v>
      </c>
      <c r="BO726" s="801">
        <f t="shared" si="124"/>
        <v>29</v>
      </c>
      <c r="BP726" s="117">
        <f>VLOOKUP($D726,'WB Data'!$C$3:$M$578,9,FALSE)</f>
        <v>8.1999999999999993</v>
      </c>
      <c r="BQ726" s="117">
        <f>VLOOKUP($D726,'WB Data'!$C$3:$M$578,10,FALSE)</f>
        <v>68.429268292682934</v>
      </c>
      <c r="BR726" s="117">
        <f>VLOOKUP($D726,'WB Data'!$C$3:$M$578,11,FALSE)</f>
        <v>21.1</v>
      </c>
      <c r="BS726" s="129">
        <f>IFERROR(VLOOKUP($D726,'WB Data 2'!$C$2:$K$545,9,FALSE),"..")</f>
        <v>98.118610000000004</v>
      </c>
      <c r="BT726" s="129">
        <f>_xlfn.IFNA(VLOOKUP($C726,RGI!$A$2:$C$43,2,FALSE),"..")</f>
        <v>77.5</v>
      </c>
      <c r="BU726" s="129">
        <f>_xlfn.IFNA(VLOOKUP($C726,RGI!$A$2:$C$43,3,FALSE),"..")</f>
        <v>57.362887635782535</v>
      </c>
      <c r="BV726" s="129">
        <f>VLOOKUP($D726,WGI!$C$2:$O$478,7,FALSE)</f>
        <v>-1.0437228644659999</v>
      </c>
      <c r="BW726" s="129">
        <f>VLOOKUP($D726,WGI!$C$2:$O$478,4,FALSE)</f>
        <v>0.74874515291924304</v>
      </c>
      <c r="BX726" s="129">
        <f>VLOOKUP($D726,WGI!$C$2:$O$478,3,FALSE)</f>
        <v>-0.36180551130907501</v>
      </c>
      <c r="BY726" s="129">
        <f>VLOOKUP($D726,WGI!$C$2:$O$478,5,FALSE)</f>
        <v>-0.32490139377488098</v>
      </c>
      <c r="BZ726" s="129">
        <f>VLOOKUP($D726,WGI!$C$2:$O$478,2,FALSE)</f>
        <v>-0.88404358302178698</v>
      </c>
    </row>
    <row r="727" spans="1:78" ht="15" customHeight="1">
      <c r="A727" s="280" t="s">
        <v>273</v>
      </c>
      <c r="B727" s="117">
        <v>2009</v>
      </c>
      <c r="C727" s="117" t="s">
        <v>280</v>
      </c>
      <c r="D727" s="117" t="s">
        <v>3634</v>
      </c>
      <c r="E727" s="452" t="s">
        <v>39</v>
      </c>
      <c r="F727" s="117"/>
      <c r="G727" s="117" t="s">
        <v>24</v>
      </c>
      <c r="H727" s="117" t="str">
        <f t="shared" si="120"/>
        <v>yes</v>
      </c>
      <c r="I727" s="117" t="str">
        <f t="shared" si="121"/>
        <v>no</v>
      </c>
      <c r="J727" s="117" t="str">
        <f t="shared" si="122"/>
        <v>no</v>
      </c>
      <c r="K727" s="120" t="s">
        <v>1416</v>
      </c>
      <c r="L727" s="117" t="str">
        <f t="shared" si="129"/>
        <v>detailed</v>
      </c>
      <c r="M727" s="117" t="str">
        <f t="shared" si="123"/>
        <v>detailed Mining</v>
      </c>
      <c r="N727" s="89">
        <v>170000</v>
      </c>
      <c r="O727" s="89"/>
      <c r="P727" s="89"/>
      <c r="Q727" s="89"/>
      <c r="R727" s="89"/>
      <c r="S727" s="120" t="s">
        <v>610</v>
      </c>
      <c r="T727" s="119"/>
      <c r="U727" s="120"/>
      <c r="V727" s="117" t="s">
        <v>847</v>
      </c>
      <c r="W727" s="89"/>
      <c r="X727" s="120"/>
      <c r="Y727" s="120"/>
      <c r="Z727" s="120"/>
      <c r="AA727" s="117"/>
      <c r="AB727" s="117"/>
      <c r="AC727" s="462"/>
      <c r="AD727" s="462"/>
      <c r="AE727" s="462"/>
      <c r="AF727" s="463"/>
      <c r="AG727" s="120"/>
      <c r="AH727" s="493"/>
      <c r="AI727" s="120"/>
      <c r="AJ727" s="120"/>
      <c r="AK727" s="120"/>
      <c r="AL727" s="120"/>
      <c r="AM727" s="120"/>
      <c r="AN727" s="120"/>
      <c r="AO727" s="120"/>
      <c r="AP727" s="120"/>
      <c r="AQ727" s="120"/>
      <c r="AR727" s="120"/>
      <c r="AS727" s="120"/>
      <c r="AT727" s="120"/>
      <c r="AU727" s="120"/>
      <c r="AV727" s="128"/>
      <c r="AW727" s="117">
        <f>VLOOKUP($D727,'WB Data'!$C$3:$M$578,2,FALSE)</f>
        <v>115308661142.92726</v>
      </c>
      <c r="AX727" s="117">
        <f>VLOOKUP($D727,'WB Data'!$C$3:$M$578,3,FALSE)</f>
        <v>16092701</v>
      </c>
      <c r="AY727" s="847" t="str">
        <f t="shared" si="125"/>
        <v>..</v>
      </c>
      <c r="AZ727" s="117" t="e">
        <f>VLOOKUP($D727,'WB Data'!$C$3:$M$578,4,FALSE)/100</f>
        <v>#VALUE!</v>
      </c>
      <c r="BA727" s="117" t="str">
        <f t="shared" si="126"/>
        <v>..</v>
      </c>
      <c r="BB727" s="129" t="str">
        <f>IFERROR(VLOOKUP($D727,'EITI Revenues'!$C$2:$G$224,5,FALSE),"..")</f>
        <v>..</v>
      </c>
      <c r="BC727" s="846" t="str">
        <f t="shared" si="127"/>
        <v>..</v>
      </c>
      <c r="BD727" s="129">
        <f>VLOOKUP($D727,'WB Data 2'!$C$2:$K$545,6,FALSE)</f>
        <v>35331249770.975067</v>
      </c>
      <c r="BE727" s="129">
        <f>IFERROR(VLOOKUP($D727,UNCTAD!$C$5:$V$529,4,FALSE),"..")</f>
        <v>48027080000</v>
      </c>
      <c r="BF727" s="846">
        <f t="shared" si="128"/>
        <v>0.73565267284571678</v>
      </c>
      <c r="BG727" s="117">
        <f>VLOOKUP($D727,'WB Data'!$C$3:$M$578,5,FALSE)</f>
        <v>297500000</v>
      </c>
      <c r="BH727" s="129" t="str">
        <f>IFERROR($BB727/$BG727,"..")</f>
        <v>..</v>
      </c>
      <c r="BI727" s="117">
        <f>IFERROR(VLOOKUP($D727,'WB Data'!$C$3:$M$578,7,FALSE)/100,"..")</f>
        <v>3.0607199999999998E-2</v>
      </c>
      <c r="BJ727" s="117">
        <f>IFERROR($BI727*$AW727,"..")</f>
        <v>3529275253.3338032</v>
      </c>
      <c r="BK727" s="846" t="str">
        <f>IFERROR($BB727/$BJ727,"..")</f>
        <v>..</v>
      </c>
      <c r="BL727" s="117">
        <f>IFERROR(VLOOKUP($D727,'WB Data'!$C$3:$M$578,7,FALSE)/100,"..")</f>
        <v>3.0607199999999998E-2</v>
      </c>
      <c r="BM727" s="117">
        <f>IFERROR($AW727*$BL727,"..")</f>
        <v>3529275253.3338032</v>
      </c>
      <c r="BN727" s="846" t="str">
        <f>IFERROR($BB727/$BM727,"..")</f>
        <v>..</v>
      </c>
      <c r="BO727" s="801">
        <f t="shared" si="124"/>
        <v>29</v>
      </c>
      <c r="BP727" s="117">
        <f>VLOOKUP($D727,'WB Data'!$C$3:$M$578,9,FALSE)</f>
        <v>8.1999999999999993</v>
      </c>
      <c r="BQ727" s="117">
        <f>VLOOKUP($D727,'WB Data'!$C$3:$M$578,10,FALSE)</f>
        <v>68.429268292682934</v>
      </c>
      <c r="BR727" s="117">
        <f>VLOOKUP($D727,'WB Data'!$C$3:$M$578,11,FALSE)</f>
        <v>21.1</v>
      </c>
      <c r="BS727" s="129">
        <f>IFERROR(VLOOKUP($D727,'WB Data 2'!$C$2:$K$545,9,FALSE),"..")</f>
        <v>98.118610000000004</v>
      </c>
      <c r="BT727" s="129">
        <f>_xlfn.IFNA(VLOOKUP($C727,RGI!$A$2:$C$43,2,FALSE),"..")</f>
        <v>77.5</v>
      </c>
      <c r="BU727" s="129">
        <f>_xlfn.IFNA(VLOOKUP($C727,RGI!$A$2:$C$43,3,FALSE),"..")</f>
        <v>57.362887635782535</v>
      </c>
      <c r="BV727" s="129">
        <f>VLOOKUP($D727,WGI!$C$2:$O$478,7,FALSE)</f>
        <v>-1.0437228644659999</v>
      </c>
      <c r="BW727" s="129">
        <f>VLOOKUP($D727,WGI!$C$2:$O$478,4,FALSE)</f>
        <v>0.74874515291924304</v>
      </c>
      <c r="BX727" s="129">
        <f>VLOOKUP($D727,WGI!$C$2:$O$478,3,FALSE)</f>
        <v>-0.36180551130907501</v>
      </c>
      <c r="BY727" s="129">
        <f>VLOOKUP($D727,WGI!$C$2:$O$478,5,FALSE)</f>
        <v>-0.32490139377488098</v>
      </c>
      <c r="BZ727" s="129">
        <f>VLOOKUP($D727,WGI!$C$2:$O$478,2,FALSE)</f>
        <v>-0.88404358302178698</v>
      </c>
    </row>
    <row r="728" spans="1:78" ht="15" customHeight="1">
      <c r="A728" s="280" t="s">
        <v>273</v>
      </c>
      <c r="B728" s="117">
        <v>2009</v>
      </c>
      <c r="C728" s="117" t="s">
        <v>280</v>
      </c>
      <c r="D728" s="117" t="s">
        <v>3634</v>
      </c>
      <c r="E728" s="452" t="s">
        <v>39</v>
      </c>
      <c r="F728" s="117"/>
      <c r="G728" s="117" t="s">
        <v>24</v>
      </c>
      <c r="H728" s="117" t="str">
        <f t="shared" si="120"/>
        <v>yes</v>
      </c>
      <c r="I728" s="117" t="str">
        <f t="shared" si="121"/>
        <v>no</v>
      </c>
      <c r="J728" s="117" t="str">
        <f t="shared" si="122"/>
        <v>no</v>
      </c>
      <c r="K728" s="120" t="s">
        <v>1138</v>
      </c>
      <c r="L728" s="117" t="str">
        <f t="shared" si="129"/>
        <v>detailed</v>
      </c>
      <c r="M728" s="117" t="str">
        <f t="shared" si="123"/>
        <v>detailed Mining</v>
      </c>
      <c r="N728" s="89">
        <v>5130000</v>
      </c>
      <c r="O728" s="89"/>
      <c r="P728" s="89"/>
      <c r="Q728" s="89"/>
      <c r="R728" s="89"/>
      <c r="S728" s="120" t="s">
        <v>610</v>
      </c>
      <c r="T728" s="119">
        <v>29.8</v>
      </c>
      <c r="U728" s="117" t="s">
        <v>611</v>
      </c>
      <c r="V728" s="117" t="s">
        <v>1175</v>
      </c>
      <c r="W728" s="89">
        <f>N728*T728</f>
        <v>152874000</v>
      </c>
      <c r="X728" s="120"/>
      <c r="Y728" s="120"/>
      <c r="Z728" s="120"/>
      <c r="AA728" s="117"/>
      <c r="AB728" s="117"/>
      <c r="AC728" s="462"/>
      <c r="AD728" s="462"/>
      <c r="AE728" s="462"/>
      <c r="AF728" s="463"/>
      <c r="AG728" s="120"/>
      <c r="AH728" s="493"/>
      <c r="AI728" s="120"/>
      <c r="AJ728" s="120"/>
      <c r="AK728" s="120"/>
      <c r="AL728" s="120"/>
      <c r="AM728" s="120"/>
      <c r="AN728" s="120"/>
      <c r="AO728" s="120"/>
      <c r="AP728" s="120"/>
      <c r="AQ728" s="120"/>
      <c r="AR728" s="120"/>
      <c r="AS728" s="120"/>
      <c r="AT728" s="120"/>
      <c r="AU728" s="120"/>
      <c r="AV728" s="128" t="s">
        <v>1412</v>
      </c>
      <c r="AW728" s="117">
        <f>VLOOKUP($D728,'WB Data'!$C$3:$M$578,2,FALSE)</f>
        <v>115308661142.92726</v>
      </c>
      <c r="AX728" s="117">
        <f>VLOOKUP($D728,'WB Data'!$C$3:$M$578,3,FALSE)</f>
        <v>16092701</v>
      </c>
      <c r="AY728" s="847" t="str">
        <f t="shared" si="125"/>
        <v>..</v>
      </c>
      <c r="AZ728" s="117" t="e">
        <f>VLOOKUP($D728,'WB Data'!$C$3:$M$578,4,FALSE)/100</f>
        <v>#VALUE!</v>
      </c>
      <c r="BA728" s="117" t="str">
        <f t="shared" si="126"/>
        <v>..</v>
      </c>
      <c r="BB728" s="129" t="str">
        <f>IFERROR(VLOOKUP($D728,'EITI Revenues'!$C$2:$G$224,5,FALSE),"..")</f>
        <v>..</v>
      </c>
      <c r="BC728" s="846" t="str">
        <f t="shared" si="127"/>
        <v>..</v>
      </c>
      <c r="BD728" s="129">
        <f>VLOOKUP($D728,'WB Data 2'!$C$2:$K$545,6,FALSE)</f>
        <v>35331249770.975067</v>
      </c>
      <c r="BE728" s="129">
        <f>IFERROR(VLOOKUP($D728,UNCTAD!$C$5:$V$529,4,FALSE),"..")</f>
        <v>48027080000</v>
      </c>
      <c r="BF728" s="846">
        <f t="shared" si="128"/>
        <v>0.73565267284571678</v>
      </c>
      <c r="BG728" s="117">
        <f>VLOOKUP($D728,'WB Data'!$C$3:$M$578,5,FALSE)</f>
        <v>297500000</v>
      </c>
      <c r="BH728" s="129" t="str">
        <f>IFERROR($BB728/$BG728,"..")</f>
        <v>..</v>
      </c>
      <c r="BI728" s="117">
        <f>IFERROR(VLOOKUP($D728,'WB Data'!$C$3:$M$578,7,FALSE)/100,"..")</f>
        <v>3.0607199999999998E-2</v>
      </c>
      <c r="BJ728" s="117">
        <f>IFERROR($BI728*$AW728,"..")</f>
        <v>3529275253.3338032</v>
      </c>
      <c r="BK728" s="846" t="str">
        <f>IFERROR($BB728/$BJ728,"..")</f>
        <v>..</v>
      </c>
      <c r="BL728" s="117">
        <f>IFERROR(VLOOKUP($D728,'WB Data'!$C$3:$M$578,7,FALSE)/100,"..")</f>
        <v>3.0607199999999998E-2</v>
      </c>
      <c r="BM728" s="117">
        <f>IFERROR($AW728*$BL728,"..")</f>
        <v>3529275253.3338032</v>
      </c>
      <c r="BN728" s="846" t="str">
        <f>IFERROR($BB728/$BM728,"..")</f>
        <v>..</v>
      </c>
      <c r="BO728" s="801">
        <f t="shared" si="124"/>
        <v>29</v>
      </c>
      <c r="BP728" s="117">
        <f>VLOOKUP($D728,'WB Data'!$C$3:$M$578,9,FALSE)</f>
        <v>8.1999999999999993</v>
      </c>
      <c r="BQ728" s="117">
        <f>VLOOKUP($D728,'WB Data'!$C$3:$M$578,10,FALSE)</f>
        <v>68.429268292682934</v>
      </c>
      <c r="BR728" s="117">
        <f>VLOOKUP($D728,'WB Data'!$C$3:$M$578,11,FALSE)</f>
        <v>21.1</v>
      </c>
      <c r="BS728" s="129">
        <f>IFERROR(VLOOKUP($D728,'WB Data 2'!$C$2:$K$545,9,FALSE),"..")</f>
        <v>98.118610000000004</v>
      </c>
      <c r="BT728" s="129">
        <f>_xlfn.IFNA(VLOOKUP($C728,RGI!$A$2:$C$43,2,FALSE),"..")</f>
        <v>77.5</v>
      </c>
      <c r="BU728" s="129">
        <f>_xlfn.IFNA(VLOOKUP($C728,RGI!$A$2:$C$43,3,FALSE),"..")</f>
        <v>57.362887635782535</v>
      </c>
      <c r="BV728" s="129">
        <f>VLOOKUP($D728,WGI!$C$2:$O$478,7,FALSE)</f>
        <v>-1.0437228644659999</v>
      </c>
      <c r="BW728" s="129">
        <f>VLOOKUP($D728,WGI!$C$2:$O$478,4,FALSE)</f>
        <v>0.74874515291924304</v>
      </c>
      <c r="BX728" s="129">
        <f>VLOOKUP($D728,WGI!$C$2:$O$478,3,FALSE)</f>
        <v>-0.36180551130907501</v>
      </c>
      <c r="BY728" s="129">
        <f>VLOOKUP($D728,WGI!$C$2:$O$478,5,FALSE)</f>
        <v>-0.32490139377488098</v>
      </c>
      <c r="BZ728" s="129">
        <f>VLOOKUP($D728,WGI!$C$2:$O$478,2,FALSE)</f>
        <v>-0.88404358302178698</v>
      </c>
    </row>
    <row r="729" spans="1:78" ht="15" customHeight="1">
      <c r="A729" s="280" t="s">
        <v>273</v>
      </c>
      <c r="B729" s="117">
        <v>2009</v>
      </c>
      <c r="C729" s="117" t="s">
        <v>280</v>
      </c>
      <c r="D729" s="117" t="s">
        <v>3634</v>
      </c>
      <c r="E729" s="452" t="s">
        <v>39</v>
      </c>
      <c r="F729" s="117"/>
      <c r="G729" s="117" t="s">
        <v>24</v>
      </c>
      <c r="H729" s="117" t="str">
        <f t="shared" si="120"/>
        <v>yes</v>
      </c>
      <c r="I729" s="117" t="str">
        <f t="shared" si="121"/>
        <v>no</v>
      </c>
      <c r="J729" s="117" t="str">
        <f t="shared" si="122"/>
        <v>no</v>
      </c>
      <c r="K729" s="120" t="s">
        <v>1417</v>
      </c>
      <c r="L729" s="117" t="str">
        <f t="shared" si="129"/>
        <v>detailed</v>
      </c>
      <c r="M729" s="117" t="str">
        <f t="shared" si="123"/>
        <v>detailed Mining</v>
      </c>
      <c r="N729" s="89">
        <v>30000</v>
      </c>
      <c r="O729" s="89"/>
      <c r="P729" s="89"/>
      <c r="Q729" s="89"/>
      <c r="R729" s="89"/>
      <c r="S729" s="120" t="s">
        <v>610</v>
      </c>
      <c r="T729" s="119">
        <v>339</v>
      </c>
      <c r="U729" s="117" t="s">
        <v>611</v>
      </c>
      <c r="V729" s="117" t="s">
        <v>1418</v>
      </c>
      <c r="W729" s="89">
        <f>N729*T729</f>
        <v>10170000</v>
      </c>
      <c r="X729" s="120"/>
      <c r="Y729" s="120"/>
      <c r="Z729" s="120"/>
      <c r="AA729" s="117"/>
      <c r="AB729" s="117"/>
      <c r="AC729" s="462"/>
      <c r="AD729" s="462"/>
      <c r="AE729" s="462"/>
      <c r="AF729" s="463"/>
      <c r="AG729" s="120"/>
      <c r="AH729" s="493"/>
      <c r="AI729" s="120"/>
      <c r="AJ729" s="120"/>
      <c r="AK729" s="120"/>
      <c r="AL729" s="120"/>
      <c r="AM729" s="120"/>
      <c r="AN729" s="120"/>
      <c r="AO729" s="120"/>
      <c r="AP729" s="120"/>
      <c r="AQ729" s="120"/>
      <c r="AR729" s="120"/>
      <c r="AS729" s="120"/>
      <c r="AT729" s="120"/>
      <c r="AU729" s="120"/>
      <c r="AV729" s="128" t="s">
        <v>1412</v>
      </c>
      <c r="AW729" s="117">
        <f>VLOOKUP($D729,'WB Data'!$C$3:$M$578,2,FALSE)</f>
        <v>115308661142.92726</v>
      </c>
      <c r="AX729" s="117">
        <f>VLOOKUP($D729,'WB Data'!$C$3:$M$578,3,FALSE)</f>
        <v>16092701</v>
      </c>
      <c r="AY729" s="847" t="str">
        <f t="shared" si="125"/>
        <v>..</v>
      </c>
      <c r="AZ729" s="117" t="e">
        <f>VLOOKUP($D729,'WB Data'!$C$3:$M$578,4,FALSE)/100</f>
        <v>#VALUE!</v>
      </c>
      <c r="BA729" s="117" t="str">
        <f t="shared" si="126"/>
        <v>..</v>
      </c>
      <c r="BB729" s="129" t="str">
        <f>IFERROR(VLOOKUP($D729,'EITI Revenues'!$C$2:$G$224,5,FALSE),"..")</f>
        <v>..</v>
      </c>
      <c r="BC729" s="846" t="str">
        <f t="shared" si="127"/>
        <v>..</v>
      </c>
      <c r="BD729" s="129">
        <f>VLOOKUP($D729,'WB Data 2'!$C$2:$K$545,6,FALSE)</f>
        <v>35331249770.975067</v>
      </c>
      <c r="BE729" s="129">
        <f>IFERROR(VLOOKUP($D729,UNCTAD!$C$5:$V$529,4,FALSE),"..")</f>
        <v>48027080000</v>
      </c>
      <c r="BF729" s="846">
        <f t="shared" si="128"/>
        <v>0.73565267284571678</v>
      </c>
      <c r="BG729" s="117">
        <f>VLOOKUP($D729,'WB Data'!$C$3:$M$578,5,FALSE)</f>
        <v>297500000</v>
      </c>
      <c r="BH729" s="129" t="str">
        <f>IFERROR($BB729/$BG729,"..")</f>
        <v>..</v>
      </c>
      <c r="BI729" s="117">
        <f>IFERROR(VLOOKUP($D729,'WB Data'!$C$3:$M$578,7,FALSE)/100,"..")</f>
        <v>3.0607199999999998E-2</v>
      </c>
      <c r="BJ729" s="117">
        <f>IFERROR($BI729*$AW729,"..")</f>
        <v>3529275253.3338032</v>
      </c>
      <c r="BK729" s="846" t="str">
        <f>IFERROR($BB729/$BJ729,"..")</f>
        <v>..</v>
      </c>
      <c r="BL729" s="117">
        <f>IFERROR(VLOOKUP($D729,'WB Data'!$C$3:$M$578,7,FALSE)/100,"..")</f>
        <v>3.0607199999999998E-2</v>
      </c>
      <c r="BM729" s="117">
        <f>IFERROR($AW729*$BL729,"..")</f>
        <v>3529275253.3338032</v>
      </c>
      <c r="BN729" s="846" t="str">
        <f>IFERROR($BB729/$BM729,"..")</f>
        <v>..</v>
      </c>
      <c r="BO729" s="801">
        <f t="shared" si="124"/>
        <v>29</v>
      </c>
      <c r="BP729" s="117">
        <f>VLOOKUP($D729,'WB Data'!$C$3:$M$578,9,FALSE)</f>
        <v>8.1999999999999993</v>
      </c>
      <c r="BQ729" s="117">
        <f>VLOOKUP($D729,'WB Data'!$C$3:$M$578,10,FALSE)</f>
        <v>68.429268292682934</v>
      </c>
      <c r="BR729" s="117">
        <f>VLOOKUP($D729,'WB Data'!$C$3:$M$578,11,FALSE)</f>
        <v>21.1</v>
      </c>
      <c r="BS729" s="129">
        <f>IFERROR(VLOOKUP($D729,'WB Data 2'!$C$2:$K$545,9,FALSE),"..")</f>
        <v>98.118610000000004</v>
      </c>
      <c r="BT729" s="129">
        <f>_xlfn.IFNA(VLOOKUP($C729,RGI!$A$2:$C$43,2,FALSE),"..")</f>
        <v>77.5</v>
      </c>
      <c r="BU729" s="129">
        <f>_xlfn.IFNA(VLOOKUP($C729,RGI!$A$2:$C$43,3,FALSE),"..")</f>
        <v>57.362887635782535</v>
      </c>
      <c r="BV729" s="129">
        <f>VLOOKUP($D729,WGI!$C$2:$O$478,7,FALSE)</f>
        <v>-1.0437228644659999</v>
      </c>
      <c r="BW729" s="129">
        <f>VLOOKUP($D729,WGI!$C$2:$O$478,4,FALSE)</f>
        <v>0.74874515291924304</v>
      </c>
      <c r="BX729" s="129">
        <f>VLOOKUP($D729,WGI!$C$2:$O$478,3,FALSE)</f>
        <v>-0.36180551130907501</v>
      </c>
      <c r="BY729" s="129">
        <f>VLOOKUP($D729,WGI!$C$2:$O$478,5,FALSE)</f>
        <v>-0.32490139377488098</v>
      </c>
      <c r="BZ729" s="129">
        <f>VLOOKUP($D729,WGI!$C$2:$O$478,2,FALSE)</f>
        <v>-0.88404358302178698</v>
      </c>
    </row>
    <row r="730" spans="1:78" ht="15" customHeight="1">
      <c r="A730" s="280" t="s">
        <v>273</v>
      </c>
      <c r="B730" s="117">
        <v>2009</v>
      </c>
      <c r="C730" s="117" t="s">
        <v>280</v>
      </c>
      <c r="D730" s="117" t="s">
        <v>3634</v>
      </c>
      <c r="E730" s="452" t="s">
        <v>39</v>
      </c>
      <c r="F730" s="117"/>
      <c r="G730" s="117" t="s">
        <v>24</v>
      </c>
      <c r="H730" s="117" t="str">
        <f t="shared" si="120"/>
        <v>yes</v>
      </c>
      <c r="I730" s="117" t="str">
        <f t="shared" si="121"/>
        <v>no</v>
      </c>
      <c r="J730" s="117" t="str">
        <f t="shared" si="122"/>
        <v>no</v>
      </c>
      <c r="K730" s="120" t="s">
        <v>619</v>
      </c>
      <c r="L730" s="117" t="str">
        <f t="shared" si="129"/>
        <v>detailed</v>
      </c>
      <c r="M730" s="117" t="str">
        <f t="shared" si="123"/>
        <v>detailed Mining</v>
      </c>
      <c r="N730" s="89"/>
      <c r="O730" s="89"/>
      <c r="P730" s="89"/>
      <c r="Q730" s="89"/>
      <c r="R730" s="89"/>
      <c r="S730" s="120"/>
      <c r="T730" s="186">
        <v>5149.7385833333301</v>
      </c>
      <c r="U730" s="117" t="s">
        <v>611</v>
      </c>
      <c r="V730" s="117" t="s">
        <v>1419</v>
      </c>
      <c r="W730" s="89">
        <f>SUM(N732:N733)*T730</f>
        <v>3324779373.9102478</v>
      </c>
      <c r="X730" s="120"/>
      <c r="Y730" s="120"/>
      <c r="Z730" s="120"/>
      <c r="AA730" s="117"/>
      <c r="AB730" s="117"/>
      <c r="AC730" s="462"/>
      <c r="AD730" s="462"/>
      <c r="AE730" s="462"/>
      <c r="AF730" s="463"/>
      <c r="AG730" s="120"/>
      <c r="AH730" s="493"/>
      <c r="AI730" s="120"/>
      <c r="AJ730" s="120"/>
      <c r="AK730" s="120"/>
      <c r="AL730" s="120"/>
      <c r="AM730" s="120"/>
      <c r="AN730" s="120"/>
      <c r="AO730" s="120"/>
      <c r="AP730" s="120"/>
      <c r="AQ730" s="120"/>
      <c r="AR730" s="120"/>
      <c r="AS730" s="120"/>
      <c r="AT730" s="120"/>
      <c r="AU730" s="120"/>
      <c r="AV730" s="128" t="s">
        <v>1420</v>
      </c>
      <c r="AW730" s="117">
        <f>VLOOKUP($D730,'WB Data'!$C$3:$M$578,2,FALSE)</f>
        <v>115308661142.92726</v>
      </c>
      <c r="AX730" s="117">
        <f>VLOOKUP($D730,'WB Data'!$C$3:$M$578,3,FALSE)</f>
        <v>16092701</v>
      </c>
      <c r="AY730" s="847" t="str">
        <f t="shared" si="125"/>
        <v>..</v>
      </c>
      <c r="AZ730" s="117" t="e">
        <f>VLOOKUP($D730,'WB Data'!$C$3:$M$578,4,FALSE)/100</f>
        <v>#VALUE!</v>
      </c>
      <c r="BA730" s="117" t="str">
        <f t="shared" si="126"/>
        <v>..</v>
      </c>
      <c r="BB730" s="129" t="str">
        <f>IFERROR(VLOOKUP($D730,'EITI Revenues'!$C$2:$G$224,5,FALSE),"..")</f>
        <v>..</v>
      </c>
      <c r="BC730" s="846" t="str">
        <f t="shared" si="127"/>
        <v>..</v>
      </c>
      <c r="BD730" s="129">
        <f>VLOOKUP($D730,'WB Data 2'!$C$2:$K$545,6,FALSE)</f>
        <v>35331249770.975067</v>
      </c>
      <c r="BE730" s="129">
        <f>IFERROR(VLOOKUP($D730,UNCTAD!$C$5:$V$529,4,FALSE),"..")</f>
        <v>48027080000</v>
      </c>
      <c r="BF730" s="846">
        <f t="shared" si="128"/>
        <v>0.73565267284571678</v>
      </c>
      <c r="BG730" s="117">
        <f>VLOOKUP($D730,'WB Data'!$C$3:$M$578,5,FALSE)</f>
        <v>297500000</v>
      </c>
      <c r="BH730" s="129" t="str">
        <f>IFERROR($BB730/$BG730,"..")</f>
        <v>..</v>
      </c>
      <c r="BI730" s="117">
        <f>IFERROR(VLOOKUP($D730,'WB Data'!$C$3:$M$578,7,FALSE)/100,"..")</f>
        <v>3.0607199999999998E-2</v>
      </c>
      <c r="BJ730" s="117">
        <f>IFERROR($BI730*$AW730,"..")</f>
        <v>3529275253.3338032</v>
      </c>
      <c r="BK730" s="846" t="str">
        <f>IFERROR($BB730/$BJ730,"..")</f>
        <v>..</v>
      </c>
      <c r="BL730" s="117">
        <f>IFERROR(VLOOKUP($D730,'WB Data'!$C$3:$M$578,7,FALSE)/100,"..")</f>
        <v>3.0607199999999998E-2</v>
      </c>
      <c r="BM730" s="117">
        <f>IFERROR($AW730*$BL730,"..")</f>
        <v>3529275253.3338032</v>
      </c>
      <c r="BN730" s="846" t="str">
        <f>IFERROR($BB730/$BM730,"..")</f>
        <v>..</v>
      </c>
      <c r="BO730" s="801">
        <f t="shared" si="124"/>
        <v>29</v>
      </c>
      <c r="BP730" s="117">
        <f>VLOOKUP($D730,'WB Data'!$C$3:$M$578,9,FALSE)</f>
        <v>8.1999999999999993</v>
      </c>
      <c r="BQ730" s="117">
        <f>VLOOKUP($D730,'WB Data'!$C$3:$M$578,10,FALSE)</f>
        <v>68.429268292682934</v>
      </c>
      <c r="BR730" s="117">
        <f>VLOOKUP($D730,'WB Data'!$C$3:$M$578,11,FALSE)</f>
        <v>21.1</v>
      </c>
      <c r="BS730" s="129">
        <f>IFERROR(VLOOKUP($D730,'WB Data 2'!$C$2:$K$545,9,FALSE),"..")</f>
        <v>98.118610000000004</v>
      </c>
      <c r="BT730" s="129">
        <f>_xlfn.IFNA(VLOOKUP($C730,RGI!$A$2:$C$43,2,FALSE),"..")</f>
        <v>77.5</v>
      </c>
      <c r="BU730" s="129">
        <f>_xlfn.IFNA(VLOOKUP($C730,RGI!$A$2:$C$43,3,FALSE),"..")</f>
        <v>57.362887635782535</v>
      </c>
      <c r="BV730" s="129">
        <f>VLOOKUP($D730,WGI!$C$2:$O$478,7,FALSE)</f>
        <v>-1.0437228644659999</v>
      </c>
      <c r="BW730" s="129">
        <f>VLOOKUP($D730,WGI!$C$2:$O$478,4,FALSE)</f>
        <v>0.74874515291924304</v>
      </c>
      <c r="BX730" s="129">
        <f>VLOOKUP($D730,WGI!$C$2:$O$478,3,FALSE)</f>
        <v>-0.36180551130907501</v>
      </c>
      <c r="BY730" s="129">
        <f>VLOOKUP($D730,WGI!$C$2:$O$478,5,FALSE)</f>
        <v>-0.32490139377488098</v>
      </c>
      <c r="BZ730" s="129">
        <f>VLOOKUP($D730,WGI!$C$2:$O$478,2,FALSE)</f>
        <v>-0.88404358302178698</v>
      </c>
    </row>
    <row r="731" spans="1:78" ht="15" customHeight="1">
      <c r="A731" s="280" t="s">
        <v>273</v>
      </c>
      <c r="B731" s="117">
        <v>2009</v>
      </c>
      <c r="C731" s="117" t="s">
        <v>280</v>
      </c>
      <c r="D731" s="117" t="s">
        <v>3634</v>
      </c>
      <c r="E731" s="452" t="s">
        <v>39</v>
      </c>
      <c r="F731" s="117"/>
      <c r="G731" s="117" t="s">
        <v>24</v>
      </c>
      <c r="H731" s="117" t="str">
        <f t="shared" si="120"/>
        <v>yes</v>
      </c>
      <c r="I731" s="117" t="str">
        <f t="shared" si="121"/>
        <v>no</v>
      </c>
      <c r="J731" s="117" t="str">
        <f t="shared" si="122"/>
        <v>no</v>
      </c>
      <c r="K731" s="120" t="s">
        <v>1072</v>
      </c>
      <c r="L731" s="117" t="str">
        <f t="shared" si="129"/>
        <v>detailed</v>
      </c>
      <c r="M731" s="117" t="str">
        <f t="shared" si="123"/>
        <v>detailed Mining</v>
      </c>
      <c r="N731" s="89">
        <v>455000</v>
      </c>
      <c r="O731" s="89"/>
      <c r="P731" s="89"/>
      <c r="Q731" s="89"/>
      <c r="R731" s="89"/>
      <c r="S731" s="120" t="s">
        <v>610</v>
      </c>
      <c r="T731" s="119"/>
      <c r="U731" s="120"/>
      <c r="V731" s="117" t="s">
        <v>847</v>
      </c>
      <c r="W731" s="89"/>
      <c r="X731" s="120"/>
      <c r="Y731" s="120"/>
      <c r="Z731" s="120"/>
      <c r="AA731" s="117"/>
      <c r="AB731" s="117"/>
      <c r="AC731" s="462"/>
      <c r="AD731" s="462"/>
      <c r="AE731" s="462"/>
      <c r="AF731" s="463"/>
      <c r="AG731" s="120"/>
      <c r="AH731" s="493"/>
      <c r="AI731" s="120"/>
      <c r="AJ731" s="120"/>
      <c r="AK731" s="120"/>
      <c r="AL731" s="120"/>
      <c r="AM731" s="120"/>
      <c r="AN731" s="120"/>
      <c r="AO731" s="120"/>
      <c r="AP731" s="120"/>
      <c r="AQ731" s="120"/>
      <c r="AR731" s="120"/>
      <c r="AS731" s="120"/>
      <c r="AT731" s="120"/>
      <c r="AU731" s="120"/>
      <c r="AV731" s="128"/>
      <c r="AW731" s="117">
        <f>VLOOKUP($D731,'WB Data'!$C$3:$M$578,2,FALSE)</f>
        <v>115308661142.92726</v>
      </c>
      <c r="AX731" s="117">
        <f>VLOOKUP($D731,'WB Data'!$C$3:$M$578,3,FALSE)</f>
        <v>16092701</v>
      </c>
      <c r="AY731" s="847" t="str">
        <f t="shared" si="125"/>
        <v>..</v>
      </c>
      <c r="AZ731" s="117" t="e">
        <f>VLOOKUP($D731,'WB Data'!$C$3:$M$578,4,FALSE)/100</f>
        <v>#VALUE!</v>
      </c>
      <c r="BA731" s="117" t="str">
        <f t="shared" si="126"/>
        <v>..</v>
      </c>
      <c r="BB731" s="129" t="str">
        <f>IFERROR(VLOOKUP($D731,'EITI Revenues'!$C$2:$G$224,5,FALSE),"..")</f>
        <v>..</v>
      </c>
      <c r="BC731" s="846" t="str">
        <f t="shared" si="127"/>
        <v>..</v>
      </c>
      <c r="BD731" s="129">
        <f>VLOOKUP($D731,'WB Data 2'!$C$2:$K$545,6,FALSE)</f>
        <v>35331249770.975067</v>
      </c>
      <c r="BE731" s="129">
        <f>IFERROR(VLOOKUP($D731,UNCTAD!$C$5:$V$529,4,FALSE),"..")</f>
        <v>48027080000</v>
      </c>
      <c r="BF731" s="846">
        <f t="shared" si="128"/>
        <v>0.73565267284571678</v>
      </c>
      <c r="BG731" s="117">
        <f>VLOOKUP($D731,'WB Data'!$C$3:$M$578,5,FALSE)</f>
        <v>297500000</v>
      </c>
      <c r="BH731" s="129" t="str">
        <f>IFERROR($BB731/$BG731,"..")</f>
        <v>..</v>
      </c>
      <c r="BI731" s="117">
        <f>IFERROR(VLOOKUP($D731,'WB Data'!$C$3:$M$578,7,FALSE)/100,"..")</f>
        <v>3.0607199999999998E-2</v>
      </c>
      <c r="BJ731" s="117">
        <f>IFERROR($BI731*$AW731,"..")</f>
        <v>3529275253.3338032</v>
      </c>
      <c r="BK731" s="846" t="str">
        <f>IFERROR($BB731/$BJ731,"..")</f>
        <v>..</v>
      </c>
      <c r="BL731" s="117">
        <f>IFERROR(VLOOKUP($D731,'WB Data'!$C$3:$M$578,7,FALSE)/100,"..")</f>
        <v>3.0607199999999998E-2</v>
      </c>
      <c r="BM731" s="117">
        <f>IFERROR($AW731*$BL731,"..")</f>
        <v>3529275253.3338032</v>
      </c>
      <c r="BN731" s="846" t="str">
        <f>IFERROR($BB731/$BM731,"..")</f>
        <v>..</v>
      </c>
      <c r="BO731" s="801">
        <f t="shared" si="124"/>
        <v>29</v>
      </c>
      <c r="BP731" s="117">
        <f>VLOOKUP($D731,'WB Data'!$C$3:$M$578,9,FALSE)</f>
        <v>8.1999999999999993</v>
      </c>
      <c r="BQ731" s="117">
        <f>VLOOKUP($D731,'WB Data'!$C$3:$M$578,10,FALSE)</f>
        <v>68.429268292682934</v>
      </c>
      <c r="BR731" s="117">
        <f>VLOOKUP($D731,'WB Data'!$C$3:$M$578,11,FALSE)</f>
        <v>21.1</v>
      </c>
      <c r="BS731" s="129">
        <f>IFERROR(VLOOKUP($D731,'WB Data 2'!$C$2:$K$545,9,FALSE),"..")</f>
        <v>98.118610000000004</v>
      </c>
      <c r="BT731" s="129">
        <f>_xlfn.IFNA(VLOOKUP($C731,RGI!$A$2:$C$43,2,FALSE),"..")</f>
        <v>77.5</v>
      </c>
      <c r="BU731" s="129">
        <f>_xlfn.IFNA(VLOOKUP($C731,RGI!$A$2:$C$43,3,FALSE),"..")</f>
        <v>57.362887635782535</v>
      </c>
      <c r="BV731" s="129">
        <f>VLOOKUP($D731,WGI!$C$2:$O$478,7,FALSE)</f>
        <v>-1.0437228644659999</v>
      </c>
      <c r="BW731" s="129">
        <f>VLOOKUP($D731,WGI!$C$2:$O$478,4,FALSE)</f>
        <v>0.74874515291924304</v>
      </c>
      <c r="BX731" s="129">
        <f>VLOOKUP($D731,WGI!$C$2:$O$478,3,FALSE)</f>
        <v>-0.36180551130907501</v>
      </c>
      <c r="BY731" s="129">
        <f>VLOOKUP($D731,WGI!$C$2:$O$478,5,FALSE)</f>
        <v>-0.32490139377488098</v>
      </c>
      <c r="BZ731" s="129">
        <f>VLOOKUP($D731,WGI!$C$2:$O$478,2,FALSE)</f>
        <v>-0.88404358302178698</v>
      </c>
    </row>
    <row r="732" spans="1:78" ht="15" customHeight="1">
      <c r="A732" s="280" t="s">
        <v>273</v>
      </c>
      <c r="B732" s="117">
        <v>2009</v>
      </c>
      <c r="C732" s="117" t="s">
        <v>280</v>
      </c>
      <c r="D732" s="117" t="s">
        <v>3634</v>
      </c>
      <c r="E732" s="452" t="s">
        <v>39</v>
      </c>
      <c r="F732" s="117"/>
      <c r="G732" s="117" t="s">
        <v>24</v>
      </c>
      <c r="H732" s="117" t="str">
        <f t="shared" si="120"/>
        <v>yes</v>
      </c>
      <c r="I732" s="117" t="str">
        <f t="shared" si="121"/>
        <v>no</v>
      </c>
      <c r="J732" s="117" t="str">
        <f t="shared" si="122"/>
        <v>no</v>
      </c>
      <c r="K732" s="120" t="s">
        <v>1421</v>
      </c>
      <c r="L732" s="117" t="str">
        <f t="shared" si="129"/>
        <v>detailed</v>
      </c>
      <c r="M732" s="117" t="str">
        <f t="shared" si="123"/>
        <v>detailed Mining</v>
      </c>
      <c r="N732" s="89">
        <v>332854</v>
      </c>
      <c r="O732" s="89"/>
      <c r="P732" s="89"/>
      <c r="Q732" s="89"/>
      <c r="R732" s="89"/>
      <c r="S732" s="120" t="s">
        <v>610</v>
      </c>
      <c r="T732" s="119"/>
      <c r="U732" s="120"/>
      <c r="V732" s="117" t="s">
        <v>847</v>
      </c>
      <c r="W732" s="89"/>
      <c r="X732" s="120"/>
      <c r="Y732" s="120"/>
      <c r="Z732" s="120"/>
      <c r="AA732" s="117"/>
      <c r="AB732" s="117"/>
      <c r="AC732" s="462"/>
      <c r="AD732" s="462"/>
      <c r="AE732" s="462"/>
      <c r="AF732" s="463"/>
      <c r="AG732" s="120"/>
      <c r="AH732" s="493"/>
      <c r="AI732" s="120"/>
      <c r="AJ732" s="120"/>
      <c r="AK732" s="120"/>
      <c r="AL732" s="120"/>
      <c r="AM732" s="120"/>
      <c r="AN732" s="120"/>
      <c r="AO732" s="120"/>
      <c r="AP732" s="120"/>
      <c r="AQ732" s="120"/>
      <c r="AR732" s="120"/>
      <c r="AS732" s="120"/>
      <c r="AT732" s="120"/>
      <c r="AU732" s="120"/>
      <c r="AV732" s="128"/>
      <c r="AW732" s="117">
        <f>VLOOKUP($D732,'WB Data'!$C$3:$M$578,2,FALSE)</f>
        <v>115308661142.92726</v>
      </c>
      <c r="AX732" s="117">
        <f>VLOOKUP($D732,'WB Data'!$C$3:$M$578,3,FALSE)</f>
        <v>16092701</v>
      </c>
      <c r="AY732" s="847" t="str">
        <f t="shared" si="125"/>
        <v>..</v>
      </c>
      <c r="AZ732" s="117" t="e">
        <f>VLOOKUP($D732,'WB Data'!$C$3:$M$578,4,FALSE)/100</f>
        <v>#VALUE!</v>
      </c>
      <c r="BA732" s="117" t="str">
        <f t="shared" si="126"/>
        <v>..</v>
      </c>
      <c r="BB732" s="129" t="str">
        <f>IFERROR(VLOOKUP($D732,'EITI Revenues'!$C$2:$G$224,5,FALSE),"..")</f>
        <v>..</v>
      </c>
      <c r="BC732" s="846" t="str">
        <f t="shared" si="127"/>
        <v>..</v>
      </c>
      <c r="BD732" s="129">
        <f>VLOOKUP($D732,'WB Data 2'!$C$2:$K$545,6,FALSE)</f>
        <v>35331249770.975067</v>
      </c>
      <c r="BE732" s="129">
        <f>IFERROR(VLOOKUP($D732,UNCTAD!$C$5:$V$529,4,FALSE),"..")</f>
        <v>48027080000</v>
      </c>
      <c r="BF732" s="846">
        <f t="shared" si="128"/>
        <v>0.73565267284571678</v>
      </c>
      <c r="BG732" s="117">
        <f>VLOOKUP($D732,'WB Data'!$C$3:$M$578,5,FALSE)</f>
        <v>297500000</v>
      </c>
      <c r="BH732" s="129" t="str">
        <f>IFERROR($BB732/$BG732,"..")</f>
        <v>..</v>
      </c>
      <c r="BI732" s="117">
        <f>IFERROR(VLOOKUP($D732,'WB Data'!$C$3:$M$578,7,FALSE)/100,"..")</f>
        <v>3.0607199999999998E-2</v>
      </c>
      <c r="BJ732" s="117">
        <f>IFERROR($BI732*$AW732,"..")</f>
        <v>3529275253.3338032</v>
      </c>
      <c r="BK732" s="846" t="str">
        <f>IFERROR($BB732/$BJ732,"..")</f>
        <v>..</v>
      </c>
      <c r="BL732" s="117">
        <f>IFERROR(VLOOKUP($D732,'WB Data'!$C$3:$M$578,7,FALSE)/100,"..")</f>
        <v>3.0607199999999998E-2</v>
      </c>
      <c r="BM732" s="117">
        <f>IFERROR($AW732*$BL732,"..")</f>
        <v>3529275253.3338032</v>
      </c>
      <c r="BN732" s="846" t="str">
        <f>IFERROR($BB732/$BM732,"..")</f>
        <v>..</v>
      </c>
      <c r="BO732" s="801">
        <f t="shared" si="124"/>
        <v>29</v>
      </c>
      <c r="BP732" s="117">
        <f>VLOOKUP($D732,'WB Data'!$C$3:$M$578,9,FALSE)</f>
        <v>8.1999999999999993</v>
      </c>
      <c r="BQ732" s="117">
        <f>VLOOKUP($D732,'WB Data'!$C$3:$M$578,10,FALSE)</f>
        <v>68.429268292682934</v>
      </c>
      <c r="BR732" s="117">
        <f>VLOOKUP($D732,'WB Data'!$C$3:$M$578,11,FALSE)</f>
        <v>21.1</v>
      </c>
      <c r="BS732" s="129">
        <f>IFERROR(VLOOKUP($D732,'WB Data 2'!$C$2:$K$545,9,FALSE),"..")</f>
        <v>98.118610000000004</v>
      </c>
      <c r="BT732" s="129">
        <f>_xlfn.IFNA(VLOOKUP($C732,RGI!$A$2:$C$43,2,FALSE),"..")</f>
        <v>77.5</v>
      </c>
      <c r="BU732" s="129">
        <f>_xlfn.IFNA(VLOOKUP($C732,RGI!$A$2:$C$43,3,FALSE),"..")</f>
        <v>57.362887635782535</v>
      </c>
      <c r="BV732" s="129">
        <f>VLOOKUP($D732,WGI!$C$2:$O$478,7,FALSE)</f>
        <v>-1.0437228644659999</v>
      </c>
      <c r="BW732" s="129">
        <f>VLOOKUP($D732,WGI!$C$2:$O$478,4,FALSE)</f>
        <v>0.74874515291924304</v>
      </c>
      <c r="BX732" s="129">
        <f>VLOOKUP($D732,WGI!$C$2:$O$478,3,FALSE)</f>
        <v>-0.36180551130907501</v>
      </c>
      <c r="BY732" s="129">
        <f>VLOOKUP($D732,WGI!$C$2:$O$478,5,FALSE)</f>
        <v>-0.32490139377488098</v>
      </c>
      <c r="BZ732" s="129">
        <f>VLOOKUP($D732,WGI!$C$2:$O$478,2,FALSE)</f>
        <v>-0.88404358302178698</v>
      </c>
    </row>
    <row r="733" spans="1:78" ht="15" customHeight="1">
      <c r="A733" s="280" t="s">
        <v>273</v>
      </c>
      <c r="B733" s="117">
        <v>2009</v>
      </c>
      <c r="C733" s="117" t="s">
        <v>280</v>
      </c>
      <c r="D733" s="117" t="s">
        <v>3634</v>
      </c>
      <c r="E733" s="452" t="s">
        <v>39</v>
      </c>
      <c r="F733" s="117"/>
      <c r="G733" s="117" t="s">
        <v>24</v>
      </c>
      <c r="H733" s="117" t="str">
        <f t="shared" si="120"/>
        <v>yes</v>
      </c>
      <c r="I733" s="117" t="str">
        <f t="shared" si="121"/>
        <v>no</v>
      </c>
      <c r="J733" s="117" t="str">
        <f t="shared" si="122"/>
        <v>no</v>
      </c>
      <c r="K733" s="120" t="s">
        <v>1422</v>
      </c>
      <c r="L733" s="117" t="str">
        <f t="shared" si="129"/>
        <v>detailed</v>
      </c>
      <c r="M733" s="117" t="str">
        <f t="shared" si="123"/>
        <v>detailed Mining</v>
      </c>
      <c r="N733" s="89">
        <v>312767</v>
      </c>
      <c r="O733" s="89"/>
      <c r="P733" s="89"/>
      <c r="Q733" s="89"/>
      <c r="R733" s="89"/>
      <c r="S733" s="120" t="s">
        <v>610</v>
      </c>
      <c r="T733" s="119"/>
      <c r="U733" s="120"/>
      <c r="V733" s="117" t="s">
        <v>847</v>
      </c>
      <c r="W733" s="89"/>
      <c r="X733" s="120"/>
      <c r="Y733" s="120"/>
      <c r="Z733" s="120"/>
      <c r="AA733" s="117"/>
      <c r="AB733" s="117"/>
      <c r="AC733" s="462"/>
      <c r="AD733" s="462"/>
      <c r="AE733" s="462"/>
      <c r="AF733" s="463"/>
      <c r="AG733" s="120"/>
      <c r="AH733" s="493"/>
      <c r="AI733" s="120"/>
      <c r="AJ733" s="120"/>
      <c r="AK733" s="120"/>
      <c r="AL733" s="120"/>
      <c r="AM733" s="120"/>
      <c r="AN733" s="120"/>
      <c r="AO733" s="120"/>
      <c r="AP733" s="120"/>
      <c r="AQ733" s="120"/>
      <c r="AR733" s="120"/>
      <c r="AS733" s="120"/>
      <c r="AT733" s="120"/>
      <c r="AU733" s="120"/>
      <c r="AV733" s="128"/>
      <c r="AW733" s="117">
        <f>VLOOKUP($D733,'WB Data'!$C$3:$M$578,2,FALSE)</f>
        <v>115308661142.92726</v>
      </c>
      <c r="AX733" s="117">
        <f>VLOOKUP($D733,'WB Data'!$C$3:$M$578,3,FALSE)</f>
        <v>16092701</v>
      </c>
      <c r="AY733" s="847" t="str">
        <f t="shared" si="125"/>
        <v>..</v>
      </c>
      <c r="AZ733" s="117" t="e">
        <f>VLOOKUP($D733,'WB Data'!$C$3:$M$578,4,FALSE)/100</f>
        <v>#VALUE!</v>
      </c>
      <c r="BA733" s="117" t="str">
        <f t="shared" si="126"/>
        <v>..</v>
      </c>
      <c r="BB733" s="129" t="str">
        <f>IFERROR(VLOOKUP($D733,'EITI Revenues'!$C$2:$G$224,5,FALSE),"..")</f>
        <v>..</v>
      </c>
      <c r="BC733" s="846" t="str">
        <f t="shared" si="127"/>
        <v>..</v>
      </c>
      <c r="BD733" s="129">
        <f>VLOOKUP($D733,'WB Data 2'!$C$2:$K$545,6,FALSE)</f>
        <v>35331249770.975067</v>
      </c>
      <c r="BE733" s="129">
        <f>IFERROR(VLOOKUP($D733,UNCTAD!$C$5:$V$529,4,FALSE),"..")</f>
        <v>48027080000</v>
      </c>
      <c r="BF733" s="846">
        <f t="shared" si="128"/>
        <v>0.73565267284571678</v>
      </c>
      <c r="BG733" s="117">
        <f>VLOOKUP($D733,'WB Data'!$C$3:$M$578,5,FALSE)</f>
        <v>297500000</v>
      </c>
      <c r="BH733" s="129" t="str">
        <f>IFERROR($BB733/$BG733,"..")</f>
        <v>..</v>
      </c>
      <c r="BI733" s="117">
        <f>IFERROR(VLOOKUP($D733,'WB Data'!$C$3:$M$578,7,FALSE)/100,"..")</f>
        <v>3.0607199999999998E-2</v>
      </c>
      <c r="BJ733" s="117">
        <f>IFERROR($BI733*$AW733,"..")</f>
        <v>3529275253.3338032</v>
      </c>
      <c r="BK733" s="846" t="str">
        <f>IFERROR($BB733/$BJ733,"..")</f>
        <v>..</v>
      </c>
      <c r="BL733" s="117">
        <f>IFERROR(VLOOKUP($D733,'WB Data'!$C$3:$M$578,7,FALSE)/100,"..")</f>
        <v>3.0607199999999998E-2</v>
      </c>
      <c r="BM733" s="117">
        <f>IFERROR($AW733*$BL733,"..")</f>
        <v>3529275253.3338032</v>
      </c>
      <c r="BN733" s="846" t="str">
        <f>IFERROR($BB733/$BM733,"..")</f>
        <v>..</v>
      </c>
      <c r="BO733" s="801">
        <f t="shared" si="124"/>
        <v>29</v>
      </c>
      <c r="BP733" s="117">
        <f>VLOOKUP($D733,'WB Data'!$C$3:$M$578,9,FALSE)</f>
        <v>8.1999999999999993</v>
      </c>
      <c r="BQ733" s="117">
        <f>VLOOKUP($D733,'WB Data'!$C$3:$M$578,10,FALSE)</f>
        <v>68.429268292682934</v>
      </c>
      <c r="BR733" s="117">
        <f>VLOOKUP($D733,'WB Data'!$C$3:$M$578,11,FALSE)</f>
        <v>21.1</v>
      </c>
      <c r="BS733" s="129">
        <f>IFERROR(VLOOKUP($D733,'WB Data 2'!$C$2:$K$545,9,FALSE),"..")</f>
        <v>98.118610000000004</v>
      </c>
      <c r="BT733" s="129">
        <f>_xlfn.IFNA(VLOOKUP($C733,RGI!$A$2:$C$43,2,FALSE),"..")</f>
        <v>77.5</v>
      </c>
      <c r="BU733" s="129">
        <f>_xlfn.IFNA(VLOOKUP($C733,RGI!$A$2:$C$43,3,FALSE),"..")</f>
        <v>57.362887635782535</v>
      </c>
      <c r="BV733" s="129">
        <f>VLOOKUP($D733,WGI!$C$2:$O$478,7,FALSE)</f>
        <v>-1.0437228644659999</v>
      </c>
      <c r="BW733" s="129">
        <f>VLOOKUP($D733,WGI!$C$2:$O$478,4,FALSE)</f>
        <v>0.74874515291924304</v>
      </c>
      <c r="BX733" s="129">
        <f>VLOOKUP($D733,WGI!$C$2:$O$478,3,FALSE)</f>
        <v>-0.36180551130907501</v>
      </c>
      <c r="BY733" s="129">
        <f>VLOOKUP($D733,WGI!$C$2:$O$478,5,FALSE)</f>
        <v>-0.32490139377488098</v>
      </c>
      <c r="BZ733" s="129">
        <f>VLOOKUP($D733,WGI!$C$2:$O$478,2,FALSE)</f>
        <v>-0.88404358302178698</v>
      </c>
    </row>
    <row r="734" spans="1:78" ht="15" customHeight="1">
      <c r="A734" s="280" t="s">
        <v>273</v>
      </c>
      <c r="B734" s="117">
        <v>2009</v>
      </c>
      <c r="C734" s="117" t="s">
        <v>280</v>
      </c>
      <c r="D734" s="117" t="s">
        <v>3634</v>
      </c>
      <c r="E734" s="452" t="s">
        <v>39</v>
      </c>
      <c r="F734" s="117"/>
      <c r="G734" s="117" t="s">
        <v>24</v>
      </c>
      <c r="H734" s="117" t="str">
        <f t="shared" si="120"/>
        <v>yes</v>
      </c>
      <c r="I734" s="117" t="str">
        <f t="shared" si="121"/>
        <v>no</v>
      </c>
      <c r="J734" s="117" t="str">
        <f t="shared" si="122"/>
        <v>no</v>
      </c>
      <c r="K734" s="120" t="s">
        <v>1423</v>
      </c>
      <c r="L734" s="117" t="str">
        <f t="shared" si="129"/>
        <v>detailed</v>
      </c>
      <c r="M734" s="117" t="str">
        <f t="shared" si="123"/>
        <v>detailed Mining</v>
      </c>
      <c r="N734" s="89">
        <v>1173286</v>
      </c>
      <c r="O734" s="89"/>
      <c r="P734" s="89"/>
      <c r="Q734" s="89"/>
      <c r="R734" s="89"/>
      <c r="S734" s="120" t="s">
        <v>610</v>
      </c>
      <c r="T734" s="119">
        <f>0.8054/0.000453592</f>
        <v>1775.6045080160143</v>
      </c>
      <c r="U734" s="120" t="s">
        <v>611</v>
      </c>
      <c r="V734" s="117" t="s">
        <v>1424</v>
      </c>
      <c r="W734" s="89">
        <f>N734*T734</f>
        <v>2083291910.7920773</v>
      </c>
      <c r="X734" s="120"/>
      <c r="Y734" s="120"/>
      <c r="Z734" s="120"/>
      <c r="AA734" s="117"/>
      <c r="AB734" s="117"/>
      <c r="AC734" s="462"/>
      <c r="AD734" s="462"/>
      <c r="AE734" s="462"/>
      <c r="AF734" s="463"/>
      <c r="AG734" s="120"/>
      <c r="AH734" s="493"/>
      <c r="AI734" s="120"/>
      <c r="AJ734" s="120"/>
      <c r="AK734" s="120"/>
      <c r="AL734" s="120"/>
      <c r="AM734" s="120"/>
      <c r="AN734" s="120"/>
      <c r="AO734" s="120"/>
      <c r="AP734" s="120"/>
      <c r="AQ734" s="120"/>
      <c r="AR734" s="120"/>
      <c r="AS734" s="120"/>
      <c r="AT734" s="120"/>
      <c r="AU734" s="120"/>
      <c r="AV734" s="128" t="s">
        <v>1412</v>
      </c>
      <c r="AW734" s="117">
        <f>VLOOKUP($D734,'WB Data'!$C$3:$M$578,2,FALSE)</f>
        <v>115308661142.92726</v>
      </c>
      <c r="AX734" s="117">
        <f>VLOOKUP($D734,'WB Data'!$C$3:$M$578,3,FALSE)</f>
        <v>16092701</v>
      </c>
      <c r="AY734" s="847" t="str">
        <f t="shared" si="125"/>
        <v>..</v>
      </c>
      <c r="AZ734" s="117" t="e">
        <f>VLOOKUP($D734,'WB Data'!$C$3:$M$578,4,FALSE)/100</f>
        <v>#VALUE!</v>
      </c>
      <c r="BA734" s="117" t="str">
        <f t="shared" si="126"/>
        <v>..</v>
      </c>
      <c r="BB734" s="129" t="str">
        <f>IFERROR(VLOOKUP($D734,'EITI Revenues'!$C$2:$G$224,5,FALSE),"..")</f>
        <v>..</v>
      </c>
      <c r="BC734" s="846" t="str">
        <f t="shared" si="127"/>
        <v>..</v>
      </c>
      <c r="BD734" s="129">
        <f>VLOOKUP($D734,'WB Data 2'!$C$2:$K$545,6,FALSE)</f>
        <v>35331249770.975067</v>
      </c>
      <c r="BE734" s="129">
        <f>IFERROR(VLOOKUP($D734,UNCTAD!$C$5:$V$529,4,FALSE),"..")</f>
        <v>48027080000</v>
      </c>
      <c r="BF734" s="846">
        <f t="shared" si="128"/>
        <v>0.73565267284571678</v>
      </c>
      <c r="BG734" s="117">
        <f>VLOOKUP($D734,'WB Data'!$C$3:$M$578,5,FALSE)</f>
        <v>297500000</v>
      </c>
      <c r="BH734" s="129" t="str">
        <f>IFERROR($BB734/$BG734,"..")</f>
        <v>..</v>
      </c>
      <c r="BI734" s="117">
        <f>IFERROR(VLOOKUP($D734,'WB Data'!$C$3:$M$578,7,FALSE)/100,"..")</f>
        <v>3.0607199999999998E-2</v>
      </c>
      <c r="BJ734" s="117">
        <f>IFERROR($BI734*$AW734,"..")</f>
        <v>3529275253.3338032</v>
      </c>
      <c r="BK734" s="846" t="str">
        <f>IFERROR($BB734/$BJ734,"..")</f>
        <v>..</v>
      </c>
      <c r="BL734" s="117">
        <f>IFERROR(VLOOKUP($D734,'WB Data'!$C$3:$M$578,7,FALSE)/100,"..")</f>
        <v>3.0607199999999998E-2</v>
      </c>
      <c r="BM734" s="117">
        <f>IFERROR($AW734*$BL734,"..")</f>
        <v>3529275253.3338032</v>
      </c>
      <c r="BN734" s="846" t="str">
        <f>IFERROR($BB734/$BM734,"..")</f>
        <v>..</v>
      </c>
      <c r="BO734" s="801">
        <f t="shared" si="124"/>
        <v>29</v>
      </c>
      <c r="BP734" s="117">
        <f>VLOOKUP($D734,'WB Data'!$C$3:$M$578,9,FALSE)</f>
        <v>8.1999999999999993</v>
      </c>
      <c r="BQ734" s="117">
        <f>VLOOKUP($D734,'WB Data'!$C$3:$M$578,10,FALSE)</f>
        <v>68.429268292682934</v>
      </c>
      <c r="BR734" s="117">
        <f>VLOOKUP($D734,'WB Data'!$C$3:$M$578,11,FALSE)</f>
        <v>21.1</v>
      </c>
      <c r="BS734" s="129">
        <f>IFERROR(VLOOKUP($D734,'WB Data 2'!$C$2:$K$545,9,FALSE),"..")</f>
        <v>98.118610000000004</v>
      </c>
      <c r="BT734" s="129">
        <f>_xlfn.IFNA(VLOOKUP($C734,RGI!$A$2:$C$43,2,FALSE),"..")</f>
        <v>77.5</v>
      </c>
      <c r="BU734" s="129">
        <f>_xlfn.IFNA(VLOOKUP($C734,RGI!$A$2:$C$43,3,FALSE),"..")</f>
        <v>57.362887635782535</v>
      </c>
      <c r="BV734" s="129">
        <f>VLOOKUP($D734,WGI!$C$2:$O$478,7,FALSE)</f>
        <v>-1.0437228644659999</v>
      </c>
      <c r="BW734" s="129">
        <f>VLOOKUP($D734,WGI!$C$2:$O$478,4,FALSE)</f>
        <v>0.74874515291924304</v>
      </c>
      <c r="BX734" s="129">
        <f>VLOOKUP($D734,WGI!$C$2:$O$478,3,FALSE)</f>
        <v>-0.36180551130907501</v>
      </c>
      <c r="BY734" s="129">
        <f>VLOOKUP($D734,WGI!$C$2:$O$478,5,FALSE)</f>
        <v>-0.32490139377488098</v>
      </c>
      <c r="BZ734" s="129">
        <f>VLOOKUP($D734,WGI!$C$2:$O$478,2,FALSE)</f>
        <v>-0.88404358302178698</v>
      </c>
    </row>
    <row r="735" spans="1:78" ht="15" customHeight="1">
      <c r="A735" s="280" t="s">
        <v>273</v>
      </c>
      <c r="B735" s="117">
        <v>2009</v>
      </c>
      <c r="C735" s="117" t="s">
        <v>280</v>
      </c>
      <c r="D735" s="117" t="s">
        <v>3634</v>
      </c>
      <c r="E735" s="452" t="s">
        <v>39</v>
      </c>
      <c r="F735" s="117"/>
      <c r="G735" s="117" t="s">
        <v>24</v>
      </c>
      <c r="H735" s="117" t="str">
        <f t="shared" si="120"/>
        <v>yes</v>
      </c>
      <c r="I735" s="117" t="str">
        <f t="shared" si="121"/>
        <v>no</v>
      </c>
      <c r="J735" s="117" t="str">
        <f t="shared" si="122"/>
        <v>no</v>
      </c>
      <c r="K735" s="120" t="s">
        <v>1425</v>
      </c>
      <c r="L735" s="117" t="str">
        <f t="shared" si="129"/>
        <v>detailed</v>
      </c>
      <c r="M735" s="117" t="str">
        <f t="shared" si="123"/>
        <v>detailed Mining</v>
      </c>
      <c r="N735" s="89">
        <v>60829</v>
      </c>
      <c r="O735" s="89"/>
      <c r="P735" s="89"/>
      <c r="Q735" s="89"/>
      <c r="R735" s="89"/>
      <c r="S735" s="120" t="s">
        <v>610</v>
      </c>
      <c r="T735" s="119"/>
      <c r="U735" s="120"/>
      <c r="V735" s="117"/>
      <c r="W735" s="89"/>
      <c r="X735" s="120"/>
      <c r="Y735" s="120"/>
      <c r="Z735" s="120"/>
      <c r="AA735" s="117"/>
      <c r="AB735" s="117"/>
      <c r="AC735" s="462"/>
      <c r="AD735" s="462"/>
      <c r="AE735" s="462"/>
      <c r="AF735" s="463"/>
      <c r="AG735" s="120"/>
      <c r="AH735" s="493"/>
      <c r="AI735" s="120"/>
      <c r="AJ735" s="120"/>
      <c r="AK735" s="120"/>
      <c r="AL735" s="120"/>
      <c r="AM735" s="120"/>
      <c r="AN735" s="120"/>
      <c r="AO735" s="120"/>
      <c r="AP735" s="120"/>
      <c r="AQ735" s="120"/>
      <c r="AR735" s="120"/>
      <c r="AS735" s="120"/>
      <c r="AT735" s="120"/>
      <c r="AU735" s="120"/>
      <c r="AV735" s="128" t="s">
        <v>1412</v>
      </c>
      <c r="AW735" s="117">
        <f>VLOOKUP($D735,'WB Data'!$C$3:$M$578,2,FALSE)</f>
        <v>115308661142.92726</v>
      </c>
      <c r="AX735" s="117">
        <f>VLOOKUP($D735,'WB Data'!$C$3:$M$578,3,FALSE)</f>
        <v>16092701</v>
      </c>
      <c r="AY735" s="847" t="str">
        <f t="shared" si="125"/>
        <v>..</v>
      </c>
      <c r="AZ735" s="117" t="e">
        <f>VLOOKUP($D735,'WB Data'!$C$3:$M$578,4,FALSE)/100</f>
        <v>#VALUE!</v>
      </c>
      <c r="BA735" s="117" t="str">
        <f t="shared" si="126"/>
        <v>..</v>
      </c>
      <c r="BB735" s="129" t="str">
        <f>IFERROR(VLOOKUP($D735,'EITI Revenues'!$C$2:$G$224,5,FALSE),"..")</f>
        <v>..</v>
      </c>
      <c r="BC735" s="846" t="str">
        <f t="shared" si="127"/>
        <v>..</v>
      </c>
      <c r="BD735" s="129">
        <f>VLOOKUP($D735,'WB Data 2'!$C$2:$K$545,6,FALSE)</f>
        <v>35331249770.975067</v>
      </c>
      <c r="BE735" s="129">
        <f>IFERROR(VLOOKUP($D735,UNCTAD!$C$5:$V$529,4,FALSE),"..")</f>
        <v>48027080000</v>
      </c>
      <c r="BF735" s="846">
        <f t="shared" si="128"/>
        <v>0.73565267284571678</v>
      </c>
      <c r="BG735" s="117">
        <f>VLOOKUP($D735,'WB Data'!$C$3:$M$578,5,FALSE)</f>
        <v>297500000</v>
      </c>
      <c r="BH735" s="129" t="str">
        <f>IFERROR($BB735/$BG735,"..")</f>
        <v>..</v>
      </c>
      <c r="BI735" s="117">
        <f>IFERROR(VLOOKUP($D735,'WB Data'!$C$3:$M$578,7,FALSE)/100,"..")</f>
        <v>3.0607199999999998E-2</v>
      </c>
      <c r="BJ735" s="117">
        <f>IFERROR($BI735*$AW735,"..")</f>
        <v>3529275253.3338032</v>
      </c>
      <c r="BK735" s="846" t="str">
        <f>IFERROR($BB735/$BJ735,"..")</f>
        <v>..</v>
      </c>
      <c r="BL735" s="117">
        <f>IFERROR(VLOOKUP($D735,'WB Data'!$C$3:$M$578,7,FALSE)/100,"..")</f>
        <v>3.0607199999999998E-2</v>
      </c>
      <c r="BM735" s="117">
        <f>IFERROR($AW735*$BL735,"..")</f>
        <v>3529275253.3338032</v>
      </c>
      <c r="BN735" s="846" t="str">
        <f>IFERROR($BB735/$BM735,"..")</f>
        <v>..</v>
      </c>
      <c r="BO735" s="801">
        <f t="shared" si="124"/>
        <v>29</v>
      </c>
      <c r="BP735" s="117">
        <f>VLOOKUP($D735,'WB Data'!$C$3:$M$578,9,FALSE)</f>
        <v>8.1999999999999993</v>
      </c>
      <c r="BQ735" s="117">
        <f>VLOOKUP($D735,'WB Data'!$C$3:$M$578,10,FALSE)</f>
        <v>68.429268292682934</v>
      </c>
      <c r="BR735" s="117">
        <f>VLOOKUP($D735,'WB Data'!$C$3:$M$578,11,FALSE)</f>
        <v>21.1</v>
      </c>
      <c r="BS735" s="129">
        <f>IFERROR(VLOOKUP($D735,'WB Data 2'!$C$2:$K$545,9,FALSE),"..")</f>
        <v>98.118610000000004</v>
      </c>
      <c r="BT735" s="129">
        <f>_xlfn.IFNA(VLOOKUP($C735,RGI!$A$2:$C$43,2,FALSE),"..")</f>
        <v>77.5</v>
      </c>
      <c r="BU735" s="129">
        <f>_xlfn.IFNA(VLOOKUP($C735,RGI!$A$2:$C$43,3,FALSE),"..")</f>
        <v>57.362887635782535</v>
      </c>
      <c r="BV735" s="129">
        <f>VLOOKUP($D735,WGI!$C$2:$O$478,7,FALSE)</f>
        <v>-1.0437228644659999</v>
      </c>
      <c r="BW735" s="129">
        <f>VLOOKUP($D735,WGI!$C$2:$O$478,4,FALSE)</f>
        <v>0.74874515291924304</v>
      </c>
      <c r="BX735" s="129">
        <f>VLOOKUP($D735,WGI!$C$2:$O$478,3,FALSE)</f>
        <v>-0.36180551130907501</v>
      </c>
      <c r="BY735" s="129">
        <f>VLOOKUP($D735,WGI!$C$2:$O$478,5,FALSE)</f>
        <v>-0.32490139377488098</v>
      </c>
      <c r="BZ735" s="129">
        <f>VLOOKUP($D735,WGI!$C$2:$O$478,2,FALSE)</f>
        <v>-0.88404358302178698</v>
      </c>
    </row>
    <row r="736" spans="1:78" ht="15" customHeight="1">
      <c r="A736" s="280" t="s">
        <v>273</v>
      </c>
      <c r="B736" s="117">
        <v>2009</v>
      </c>
      <c r="C736" s="117" t="s">
        <v>280</v>
      </c>
      <c r="D736" s="117" t="s">
        <v>3634</v>
      </c>
      <c r="E736" s="452" t="s">
        <v>39</v>
      </c>
      <c r="F736" s="117"/>
      <c r="G736" s="117" t="s">
        <v>24</v>
      </c>
      <c r="H736" s="117" t="str">
        <f t="shared" si="120"/>
        <v>yes</v>
      </c>
      <c r="I736" s="117" t="str">
        <f t="shared" si="121"/>
        <v>no</v>
      </c>
      <c r="J736" s="117" t="str">
        <f t="shared" si="122"/>
        <v>no</v>
      </c>
      <c r="K736" s="120" t="s">
        <v>1426</v>
      </c>
      <c r="L736" s="117" t="str">
        <f t="shared" si="129"/>
        <v>detailed</v>
      </c>
      <c r="M736" s="117" t="str">
        <f t="shared" si="123"/>
        <v>detailed Mining</v>
      </c>
      <c r="N736" s="89">
        <v>33100</v>
      </c>
      <c r="O736" s="89"/>
      <c r="P736" s="89"/>
      <c r="Q736" s="89"/>
      <c r="R736" s="89"/>
      <c r="S736" s="120" t="s">
        <v>610</v>
      </c>
      <c r="T736" s="119">
        <f>0.729/0.000453592</f>
        <v>1607.1712023139737</v>
      </c>
      <c r="U736" s="120" t="s">
        <v>611</v>
      </c>
      <c r="V736" s="117" t="s">
        <v>1427</v>
      </c>
      <c r="W736" s="89">
        <f>N736*T736</f>
        <v>53197366.796592526</v>
      </c>
      <c r="X736" s="120"/>
      <c r="Y736" s="120"/>
      <c r="Z736" s="120"/>
      <c r="AA736" s="117"/>
      <c r="AB736" s="117"/>
      <c r="AC736" s="462"/>
      <c r="AD736" s="462"/>
      <c r="AE736" s="462"/>
      <c r="AF736" s="463"/>
      <c r="AG736" s="120"/>
      <c r="AH736" s="493"/>
      <c r="AI736" s="120"/>
      <c r="AJ736" s="120"/>
      <c r="AK736" s="120"/>
      <c r="AL736" s="120"/>
      <c r="AM736" s="120"/>
      <c r="AN736" s="120"/>
      <c r="AO736" s="120"/>
      <c r="AP736" s="120"/>
      <c r="AQ736" s="120"/>
      <c r="AR736" s="120"/>
      <c r="AS736" s="120"/>
      <c r="AT736" s="120"/>
      <c r="AU736" s="120"/>
      <c r="AV736" s="128" t="s">
        <v>1412</v>
      </c>
      <c r="AW736" s="117">
        <f>VLOOKUP($D736,'WB Data'!$C$3:$M$578,2,FALSE)</f>
        <v>115308661142.92726</v>
      </c>
      <c r="AX736" s="117">
        <f>VLOOKUP($D736,'WB Data'!$C$3:$M$578,3,FALSE)</f>
        <v>16092701</v>
      </c>
      <c r="AY736" s="847" t="str">
        <f t="shared" si="125"/>
        <v>..</v>
      </c>
      <c r="AZ736" s="117" t="e">
        <f>VLOOKUP($D736,'WB Data'!$C$3:$M$578,4,FALSE)/100</f>
        <v>#VALUE!</v>
      </c>
      <c r="BA736" s="117" t="str">
        <f t="shared" si="126"/>
        <v>..</v>
      </c>
      <c r="BB736" s="129" t="str">
        <f>IFERROR(VLOOKUP($D736,'EITI Revenues'!$C$2:$G$224,5,FALSE),"..")</f>
        <v>..</v>
      </c>
      <c r="BC736" s="846" t="str">
        <f t="shared" si="127"/>
        <v>..</v>
      </c>
      <c r="BD736" s="129">
        <f>VLOOKUP($D736,'WB Data 2'!$C$2:$K$545,6,FALSE)</f>
        <v>35331249770.975067</v>
      </c>
      <c r="BE736" s="129">
        <f>IFERROR(VLOOKUP($D736,UNCTAD!$C$5:$V$529,4,FALSE),"..")</f>
        <v>48027080000</v>
      </c>
      <c r="BF736" s="846">
        <f t="shared" si="128"/>
        <v>0.73565267284571678</v>
      </c>
      <c r="BG736" s="117">
        <f>VLOOKUP($D736,'WB Data'!$C$3:$M$578,5,FALSE)</f>
        <v>297500000</v>
      </c>
      <c r="BH736" s="129" t="str">
        <f>IFERROR($BB736/$BG736,"..")</f>
        <v>..</v>
      </c>
      <c r="BI736" s="117">
        <f>IFERROR(VLOOKUP($D736,'WB Data'!$C$3:$M$578,7,FALSE)/100,"..")</f>
        <v>3.0607199999999998E-2</v>
      </c>
      <c r="BJ736" s="117">
        <f>IFERROR($BI736*$AW736,"..")</f>
        <v>3529275253.3338032</v>
      </c>
      <c r="BK736" s="846" t="str">
        <f>IFERROR($BB736/$BJ736,"..")</f>
        <v>..</v>
      </c>
      <c r="BL736" s="117">
        <f>IFERROR(VLOOKUP($D736,'WB Data'!$C$3:$M$578,7,FALSE)/100,"..")</f>
        <v>3.0607199999999998E-2</v>
      </c>
      <c r="BM736" s="117">
        <f>IFERROR($AW736*$BL736,"..")</f>
        <v>3529275253.3338032</v>
      </c>
      <c r="BN736" s="846" t="str">
        <f>IFERROR($BB736/$BM736,"..")</f>
        <v>..</v>
      </c>
      <c r="BO736" s="801">
        <f t="shared" si="124"/>
        <v>29</v>
      </c>
      <c r="BP736" s="117">
        <f>VLOOKUP($D736,'WB Data'!$C$3:$M$578,9,FALSE)</f>
        <v>8.1999999999999993</v>
      </c>
      <c r="BQ736" s="117">
        <f>VLOOKUP($D736,'WB Data'!$C$3:$M$578,10,FALSE)</f>
        <v>68.429268292682934</v>
      </c>
      <c r="BR736" s="117">
        <f>VLOOKUP($D736,'WB Data'!$C$3:$M$578,11,FALSE)</f>
        <v>21.1</v>
      </c>
      <c r="BS736" s="129">
        <f>IFERROR(VLOOKUP($D736,'WB Data 2'!$C$2:$K$545,9,FALSE),"..")</f>
        <v>98.118610000000004</v>
      </c>
      <c r="BT736" s="129">
        <f>_xlfn.IFNA(VLOOKUP($C736,RGI!$A$2:$C$43,2,FALSE),"..")</f>
        <v>77.5</v>
      </c>
      <c r="BU736" s="129">
        <f>_xlfn.IFNA(VLOOKUP($C736,RGI!$A$2:$C$43,3,FALSE),"..")</f>
        <v>57.362887635782535</v>
      </c>
      <c r="BV736" s="129">
        <f>VLOOKUP($D736,WGI!$C$2:$O$478,7,FALSE)</f>
        <v>-1.0437228644659999</v>
      </c>
      <c r="BW736" s="129">
        <f>VLOOKUP($D736,WGI!$C$2:$O$478,4,FALSE)</f>
        <v>0.74874515291924304</v>
      </c>
      <c r="BX736" s="129">
        <f>VLOOKUP($D736,WGI!$C$2:$O$478,3,FALSE)</f>
        <v>-0.36180551130907501</v>
      </c>
      <c r="BY736" s="129">
        <f>VLOOKUP($D736,WGI!$C$2:$O$478,5,FALSE)</f>
        <v>-0.32490139377488098</v>
      </c>
      <c r="BZ736" s="129">
        <f>VLOOKUP($D736,WGI!$C$2:$O$478,2,FALSE)</f>
        <v>-0.88404358302178698</v>
      </c>
    </row>
    <row r="737" spans="1:80" ht="15" customHeight="1">
      <c r="A737" s="280" t="s">
        <v>273</v>
      </c>
      <c r="B737" s="117">
        <v>2009</v>
      </c>
      <c r="C737" s="117" t="s">
        <v>280</v>
      </c>
      <c r="D737" s="117" t="s">
        <v>3634</v>
      </c>
      <c r="E737" s="452" t="s">
        <v>39</v>
      </c>
      <c r="F737" s="117"/>
      <c r="G737" s="117" t="s">
        <v>24</v>
      </c>
      <c r="H737" s="117" t="str">
        <f t="shared" si="120"/>
        <v>yes</v>
      </c>
      <c r="I737" s="117" t="str">
        <f t="shared" si="121"/>
        <v>no</v>
      </c>
      <c r="J737" s="117" t="str">
        <f t="shared" si="122"/>
        <v>no</v>
      </c>
      <c r="K737" s="120" t="s">
        <v>1428</v>
      </c>
      <c r="L737" s="117" t="str">
        <f t="shared" si="129"/>
        <v>detailed</v>
      </c>
      <c r="M737" s="117" t="str">
        <f t="shared" si="123"/>
        <v>detailed Mining</v>
      </c>
      <c r="N737" s="89">
        <v>65000</v>
      </c>
      <c r="O737" s="89"/>
      <c r="P737" s="89"/>
      <c r="Q737" s="89"/>
      <c r="R737" s="89"/>
      <c r="S737" s="120" t="s">
        <v>610</v>
      </c>
      <c r="T737" s="119"/>
      <c r="U737" s="120"/>
      <c r="V737" s="117" t="s">
        <v>847</v>
      </c>
      <c r="W737" s="89"/>
      <c r="X737" s="120"/>
      <c r="Y737" s="120"/>
      <c r="Z737" s="120"/>
      <c r="AA737" s="117"/>
      <c r="AB737" s="117"/>
      <c r="AC737" s="462"/>
      <c r="AD737" s="462"/>
      <c r="AE737" s="462"/>
      <c r="AF737" s="463"/>
      <c r="AG737" s="120"/>
      <c r="AH737" s="493"/>
      <c r="AI737" s="120"/>
      <c r="AJ737" s="120"/>
      <c r="AK737" s="120"/>
      <c r="AL737" s="120"/>
      <c r="AM737" s="120"/>
      <c r="AN737" s="120"/>
      <c r="AO737" s="120"/>
      <c r="AP737" s="120"/>
      <c r="AQ737" s="120"/>
      <c r="AR737" s="120"/>
      <c r="AS737" s="120"/>
      <c r="AT737" s="120"/>
      <c r="AU737" s="120"/>
      <c r="AV737" s="128" t="s">
        <v>1412</v>
      </c>
      <c r="AW737" s="117">
        <f>VLOOKUP($D737,'WB Data'!$C$3:$M$578,2,FALSE)</f>
        <v>115308661142.92726</v>
      </c>
      <c r="AX737" s="117">
        <f>VLOOKUP($D737,'WB Data'!$C$3:$M$578,3,FALSE)</f>
        <v>16092701</v>
      </c>
      <c r="AY737" s="847" t="str">
        <f t="shared" si="125"/>
        <v>..</v>
      </c>
      <c r="AZ737" s="117" t="e">
        <f>VLOOKUP($D737,'WB Data'!$C$3:$M$578,4,FALSE)/100</f>
        <v>#VALUE!</v>
      </c>
      <c r="BA737" s="117" t="str">
        <f t="shared" si="126"/>
        <v>..</v>
      </c>
      <c r="BB737" s="129" t="str">
        <f>IFERROR(VLOOKUP($D737,'EITI Revenues'!$C$2:$G$224,5,FALSE),"..")</f>
        <v>..</v>
      </c>
      <c r="BC737" s="846" t="str">
        <f t="shared" si="127"/>
        <v>..</v>
      </c>
      <c r="BD737" s="129">
        <f>VLOOKUP($D737,'WB Data 2'!$C$2:$K$545,6,FALSE)</f>
        <v>35331249770.975067</v>
      </c>
      <c r="BE737" s="129">
        <f>IFERROR(VLOOKUP($D737,UNCTAD!$C$5:$V$529,4,FALSE),"..")</f>
        <v>48027080000</v>
      </c>
      <c r="BF737" s="846">
        <f t="shared" si="128"/>
        <v>0.73565267284571678</v>
      </c>
      <c r="BG737" s="117">
        <f>VLOOKUP($D737,'WB Data'!$C$3:$M$578,5,FALSE)</f>
        <v>297500000</v>
      </c>
      <c r="BH737" s="129" t="str">
        <f>IFERROR($BB737/$BG737,"..")</f>
        <v>..</v>
      </c>
      <c r="BI737" s="117">
        <f>IFERROR(VLOOKUP($D737,'WB Data'!$C$3:$M$578,7,FALSE)/100,"..")</f>
        <v>3.0607199999999998E-2</v>
      </c>
      <c r="BJ737" s="117">
        <f>IFERROR($BI737*$AW737,"..")</f>
        <v>3529275253.3338032</v>
      </c>
      <c r="BK737" s="846" t="str">
        <f>IFERROR($BB737/$BJ737,"..")</f>
        <v>..</v>
      </c>
      <c r="BL737" s="117">
        <f>IFERROR(VLOOKUP($D737,'WB Data'!$C$3:$M$578,7,FALSE)/100,"..")</f>
        <v>3.0607199999999998E-2</v>
      </c>
      <c r="BM737" s="117">
        <f>IFERROR($AW737*$BL737,"..")</f>
        <v>3529275253.3338032</v>
      </c>
      <c r="BN737" s="846" t="str">
        <f>IFERROR($BB737/$BM737,"..")</f>
        <v>..</v>
      </c>
      <c r="BO737" s="801">
        <f t="shared" si="124"/>
        <v>29</v>
      </c>
      <c r="BP737" s="117">
        <f>VLOOKUP($D737,'WB Data'!$C$3:$M$578,9,FALSE)</f>
        <v>8.1999999999999993</v>
      </c>
      <c r="BQ737" s="117">
        <f>VLOOKUP($D737,'WB Data'!$C$3:$M$578,10,FALSE)</f>
        <v>68.429268292682934</v>
      </c>
      <c r="BR737" s="117">
        <f>VLOOKUP($D737,'WB Data'!$C$3:$M$578,11,FALSE)</f>
        <v>21.1</v>
      </c>
      <c r="BS737" s="129">
        <f>IFERROR(VLOOKUP($D737,'WB Data 2'!$C$2:$K$545,9,FALSE),"..")</f>
        <v>98.118610000000004</v>
      </c>
      <c r="BT737" s="129">
        <f>_xlfn.IFNA(VLOOKUP($C737,RGI!$A$2:$C$43,2,FALSE),"..")</f>
        <v>77.5</v>
      </c>
      <c r="BU737" s="129">
        <f>_xlfn.IFNA(VLOOKUP($C737,RGI!$A$2:$C$43,3,FALSE),"..")</f>
        <v>57.362887635782535</v>
      </c>
      <c r="BV737" s="129">
        <f>VLOOKUP($D737,WGI!$C$2:$O$478,7,FALSE)</f>
        <v>-1.0437228644659999</v>
      </c>
      <c r="BW737" s="129">
        <f>VLOOKUP($D737,WGI!$C$2:$O$478,4,FALSE)</f>
        <v>0.74874515291924304</v>
      </c>
      <c r="BX737" s="129">
        <f>VLOOKUP($D737,WGI!$C$2:$O$478,3,FALSE)</f>
        <v>-0.36180551130907501</v>
      </c>
      <c r="BY737" s="129">
        <f>VLOOKUP($D737,WGI!$C$2:$O$478,5,FALSE)</f>
        <v>-0.32490139377488098</v>
      </c>
      <c r="BZ737" s="129">
        <f>VLOOKUP($D737,WGI!$C$2:$O$478,2,FALSE)</f>
        <v>-0.88404358302178698</v>
      </c>
    </row>
    <row r="738" spans="1:80" ht="15" customHeight="1">
      <c r="A738" s="280" t="s">
        <v>273</v>
      </c>
      <c r="B738" s="117">
        <v>2009</v>
      </c>
      <c r="C738" s="117" t="s">
        <v>280</v>
      </c>
      <c r="D738" s="117" t="s">
        <v>3634</v>
      </c>
      <c r="E738" s="452" t="s">
        <v>39</v>
      </c>
      <c r="F738" s="117"/>
      <c r="G738" s="117" t="s">
        <v>24</v>
      </c>
      <c r="H738" s="117" t="str">
        <f t="shared" si="120"/>
        <v>yes</v>
      </c>
      <c r="I738" s="117" t="str">
        <f t="shared" si="121"/>
        <v>no</v>
      </c>
      <c r="J738" s="117" t="str">
        <f t="shared" si="122"/>
        <v>no</v>
      </c>
      <c r="K738" s="120" t="s">
        <v>784</v>
      </c>
      <c r="L738" s="117" t="str">
        <f t="shared" si="129"/>
        <v>detailed</v>
      </c>
      <c r="M738" s="117" t="str">
        <f t="shared" si="123"/>
        <v>detailed Mining</v>
      </c>
      <c r="N738" s="89">
        <f>22839*32.150743126506</f>
        <v>734290.82226627052</v>
      </c>
      <c r="O738" s="89"/>
      <c r="P738" s="89"/>
      <c r="Q738" s="89"/>
      <c r="R738" s="89"/>
      <c r="S738" s="120" t="s">
        <v>785</v>
      </c>
      <c r="T738" s="119">
        <v>972.96591666666995</v>
      </c>
      <c r="U738" s="120" t="s">
        <v>786</v>
      </c>
      <c r="V738" s="117" t="s">
        <v>841</v>
      </c>
      <c r="W738" s="89">
        <f>N738*T738</f>
        <v>714439942.98622477</v>
      </c>
      <c r="X738" s="120"/>
      <c r="Y738" s="120"/>
      <c r="Z738" s="120"/>
      <c r="AA738" s="117"/>
      <c r="AB738" s="117"/>
      <c r="AC738" s="462"/>
      <c r="AD738" s="462"/>
      <c r="AE738" s="462"/>
      <c r="AF738" s="463"/>
      <c r="AG738" s="120"/>
      <c r="AH738" s="493"/>
      <c r="AI738" s="120"/>
      <c r="AJ738" s="120"/>
      <c r="AK738" s="120"/>
      <c r="AL738" s="120"/>
      <c r="AM738" s="120"/>
      <c r="AN738" s="120"/>
      <c r="AO738" s="120"/>
      <c r="AP738" s="120"/>
      <c r="AQ738" s="120"/>
      <c r="AR738" s="120"/>
      <c r="AS738" s="120"/>
      <c r="AT738" s="120"/>
      <c r="AU738" s="120"/>
      <c r="AV738" s="128" t="s">
        <v>1412</v>
      </c>
      <c r="AW738" s="117">
        <f>VLOOKUP($D738,'WB Data'!$C$3:$M$578,2,FALSE)</f>
        <v>115308661142.92726</v>
      </c>
      <c r="AX738" s="117">
        <f>VLOOKUP($D738,'WB Data'!$C$3:$M$578,3,FALSE)</f>
        <v>16092701</v>
      </c>
      <c r="AY738" s="847" t="str">
        <f t="shared" si="125"/>
        <v>..</v>
      </c>
      <c r="AZ738" s="117" t="e">
        <f>VLOOKUP($D738,'WB Data'!$C$3:$M$578,4,FALSE)/100</f>
        <v>#VALUE!</v>
      </c>
      <c r="BA738" s="117" t="str">
        <f t="shared" si="126"/>
        <v>..</v>
      </c>
      <c r="BB738" s="129" t="str">
        <f>IFERROR(VLOOKUP($D738,'EITI Revenues'!$C$2:$G$224,5,FALSE),"..")</f>
        <v>..</v>
      </c>
      <c r="BC738" s="846" t="str">
        <f t="shared" si="127"/>
        <v>..</v>
      </c>
      <c r="BD738" s="129">
        <f>VLOOKUP($D738,'WB Data 2'!$C$2:$K$545,6,FALSE)</f>
        <v>35331249770.975067</v>
      </c>
      <c r="BE738" s="129">
        <f>IFERROR(VLOOKUP($D738,UNCTAD!$C$5:$V$529,4,FALSE),"..")</f>
        <v>48027080000</v>
      </c>
      <c r="BF738" s="846">
        <f t="shared" si="128"/>
        <v>0.73565267284571678</v>
      </c>
      <c r="BG738" s="117">
        <f>VLOOKUP($D738,'WB Data'!$C$3:$M$578,5,FALSE)</f>
        <v>297500000</v>
      </c>
      <c r="BH738" s="129" t="str">
        <f>IFERROR($BB738/$BG738,"..")</f>
        <v>..</v>
      </c>
      <c r="BI738" s="117">
        <f>IFERROR(VLOOKUP($D738,'WB Data'!$C$3:$M$578,7,FALSE)/100,"..")</f>
        <v>3.0607199999999998E-2</v>
      </c>
      <c r="BJ738" s="117">
        <f>IFERROR($BI738*$AW738,"..")</f>
        <v>3529275253.3338032</v>
      </c>
      <c r="BK738" s="846" t="str">
        <f>IFERROR($BB738/$BJ738,"..")</f>
        <v>..</v>
      </c>
      <c r="BL738" s="117">
        <f>IFERROR(VLOOKUP($D738,'WB Data'!$C$3:$M$578,7,FALSE)/100,"..")</f>
        <v>3.0607199999999998E-2</v>
      </c>
      <c r="BM738" s="117">
        <f>IFERROR($AW738*$BL738,"..")</f>
        <v>3529275253.3338032</v>
      </c>
      <c r="BN738" s="846" t="str">
        <f>IFERROR($BB738/$BM738,"..")</f>
        <v>..</v>
      </c>
      <c r="BO738" s="801">
        <f t="shared" si="124"/>
        <v>29</v>
      </c>
      <c r="BP738" s="117">
        <f>VLOOKUP($D738,'WB Data'!$C$3:$M$578,9,FALSE)</f>
        <v>8.1999999999999993</v>
      </c>
      <c r="BQ738" s="117">
        <f>VLOOKUP($D738,'WB Data'!$C$3:$M$578,10,FALSE)</f>
        <v>68.429268292682934</v>
      </c>
      <c r="BR738" s="117">
        <f>VLOOKUP($D738,'WB Data'!$C$3:$M$578,11,FALSE)</f>
        <v>21.1</v>
      </c>
      <c r="BS738" s="129">
        <f>IFERROR(VLOOKUP($D738,'WB Data 2'!$C$2:$K$545,9,FALSE),"..")</f>
        <v>98.118610000000004</v>
      </c>
      <c r="BT738" s="129">
        <f>_xlfn.IFNA(VLOOKUP($C738,RGI!$A$2:$C$43,2,FALSE),"..")</f>
        <v>77.5</v>
      </c>
      <c r="BU738" s="129">
        <f>_xlfn.IFNA(VLOOKUP($C738,RGI!$A$2:$C$43,3,FALSE),"..")</f>
        <v>57.362887635782535</v>
      </c>
      <c r="BV738" s="129">
        <f>VLOOKUP($D738,WGI!$C$2:$O$478,7,FALSE)</f>
        <v>-1.0437228644659999</v>
      </c>
      <c r="BW738" s="129">
        <f>VLOOKUP($D738,WGI!$C$2:$O$478,4,FALSE)</f>
        <v>0.74874515291924304</v>
      </c>
      <c r="BX738" s="129">
        <f>VLOOKUP($D738,WGI!$C$2:$O$478,3,FALSE)</f>
        <v>-0.36180551130907501</v>
      </c>
      <c r="BY738" s="129">
        <f>VLOOKUP($D738,WGI!$C$2:$O$478,5,FALSE)</f>
        <v>-0.32490139377488098</v>
      </c>
      <c r="BZ738" s="129">
        <f>VLOOKUP($D738,WGI!$C$2:$O$478,2,FALSE)</f>
        <v>-0.88404358302178698</v>
      </c>
    </row>
    <row r="739" spans="1:80" ht="15" customHeight="1">
      <c r="A739" s="280" t="s">
        <v>273</v>
      </c>
      <c r="B739" s="117">
        <v>2009</v>
      </c>
      <c r="C739" s="117" t="s">
        <v>280</v>
      </c>
      <c r="D739" s="117" t="s">
        <v>3634</v>
      </c>
      <c r="E739" s="452" t="s">
        <v>39</v>
      </c>
      <c r="F739" s="117"/>
      <c r="G739" s="117" t="s">
        <v>24</v>
      </c>
      <c r="H739" s="117" t="str">
        <f t="shared" si="120"/>
        <v>yes</v>
      </c>
      <c r="I739" s="117" t="str">
        <f t="shared" si="121"/>
        <v>no</v>
      </c>
      <c r="J739" s="117" t="str">
        <f t="shared" si="122"/>
        <v>no</v>
      </c>
      <c r="K739" s="120" t="s">
        <v>1429</v>
      </c>
      <c r="L739" s="117" t="str">
        <f t="shared" si="129"/>
        <v>detailed</v>
      </c>
      <c r="M739" s="117" t="str">
        <f t="shared" si="123"/>
        <v>detailed Mining</v>
      </c>
      <c r="N739" s="89">
        <v>25000</v>
      </c>
      <c r="O739" s="89"/>
      <c r="P739" s="89"/>
      <c r="Q739" s="89"/>
      <c r="R739" s="89"/>
      <c r="S739" s="120" t="s">
        <v>610</v>
      </c>
      <c r="T739" s="119">
        <v>73</v>
      </c>
      <c r="U739" s="117" t="s">
        <v>611</v>
      </c>
      <c r="V739" s="117" t="s">
        <v>1430</v>
      </c>
      <c r="W739" s="89">
        <f>N739*T739</f>
        <v>1825000</v>
      </c>
      <c r="X739" s="120"/>
      <c r="Y739" s="120"/>
      <c r="Z739" s="120"/>
      <c r="AA739" s="117"/>
      <c r="AB739" s="117"/>
      <c r="AC739" s="462"/>
      <c r="AD739" s="462"/>
      <c r="AE739" s="462"/>
      <c r="AF739" s="463"/>
      <c r="AG739" s="120"/>
      <c r="AH739" s="493"/>
      <c r="AI739" s="120"/>
      <c r="AJ739" s="120"/>
      <c r="AK739" s="120"/>
      <c r="AL739" s="120"/>
      <c r="AM739" s="120"/>
      <c r="AN739" s="120"/>
      <c r="AO739" s="120"/>
      <c r="AP739" s="120"/>
      <c r="AQ739" s="120"/>
      <c r="AR739" s="120"/>
      <c r="AS739" s="120"/>
      <c r="AT739" s="120"/>
      <c r="AU739" s="120"/>
      <c r="AV739" s="128" t="s">
        <v>1412</v>
      </c>
      <c r="AW739" s="117">
        <f>VLOOKUP($D739,'WB Data'!$C$3:$M$578,2,FALSE)</f>
        <v>115308661142.92726</v>
      </c>
      <c r="AX739" s="117">
        <f>VLOOKUP($D739,'WB Data'!$C$3:$M$578,3,FALSE)</f>
        <v>16092701</v>
      </c>
      <c r="AY739" s="847" t="str">
        <f t="shared" si="125"/>
        <v>..</v>
      </c>
      <c r="AZ739" s="117" t="e">
        <f>VLOOKUP($D739,'WB Data'!$C$3:$M$578,4,FALSE)/100</f>
        <v>#VALUE!</v>
      </c>
      <c r="BA739" s="117" t="str">
        <f t="shared" si="126"/>
        <v>..</v>
      </c>
      <c r="BB739" s="129" t="str">
        <f>IFERROR(VLOOKUP($D739,'EITI Revenues'!$C$2:$G$224,5,FALSE),"..")</f>
        <v>..</v>
      </c>
      <c r="BC739" s="846" t="str">
        <f t="shared" si="127"/>
        <v>..</v>
      </c>
      <c r="BD739" s="129">
        <f>VLOOKUP($D739,'WB Data 2'!$C$2:$K$545,6,FALSE)</f>
        <v>35331249770.975067</v>
      </c>
      <c r="BE739" s="129">
        <f>IFERROR(VLOOKUP($D739,UNCTAD!$C$5:$V$529,4,FALSE),"..")</f>
        <v>48027080000</v>
      </c>
      <c r="BF739" s="846">
        <f t="shared" si="128"/>
        <v>0.73565267284571678</v>
      </c>
      <c r="BG739" s="117">
        <f>VLOOKUP($D739,'WB Data'!$C$3:$M$578,5,FALSE)</f>
        <v>297500000</v>
      </c>
      <c r="BH739" s="129" t="str">
        <f>IFERROR($BB739/$BG739,"..")</f>
        <v>..</v>
      </c>
      <c r="BI739" s="117">
        <f>IFERROR(VLOOKUP($D739,'WB Data'!$C$3:$M$578,7,FALSE)/100,"..")</f>
        <v>3.0607199999999998E-2</v>
      </c>
      <c r="BJ739" s="117">
        <f>IFERROR($BI739*$AW739,"..")</f>
        <v>3529275253.3338032</v>
      </c>
      <c r="BK739" s="846" t="str">
        <f>IFERROR($BB739/$BJ739,"..")</f>
        <v>..</v>
      </c>
      <c r="BL739" s="117">
        <f>IFERROR(VLOOKUP($D739,'WB Data'!$C$3:$M$578,7,FALSE)/100,"..")</f>
        <v>3.0607199999999998E-2</v>
      </c>
      <c r="BM739" s="117">
        <f>IFERROR($AW739*$BL739,"..")</f>
        <v>3529275253.3338032</v>
      </c>
      <c r="BN739" s="846" t="str">
        <f>IFERROR($BB739/$BM739,"..")</f>
        <v>..</v>
      </c>
      <c r="BO739" s="801">
        <f t="shared" si="124"/>
        <v>29</v>
      </c>
      <c r="BP739" s="117">
        <f>VLOOKUP($D739,'WB Data'!$C$3:$M$578,9,FALSE)</f>
        <v>8.1999999999999993</v>
      </c>
      <c r="BQ739" s="117">
        <f>VLOOKUP($D739,'WB Data'!$C$3:$M$578,10,FALSE)</f>
        <v>68.429268292682934</v>
      </c>
      <c r="BR739" s="117">
        <f>VLOOKUP($D739,'WB Data'!$C$3:$M$578,11,FALSE)</f>
        <v>21.1</v>
      </c>
      <c r="BS739" s="129">
        <f>IFERROR(VLOOKUP($D739,'WB Data 2'!$C$2:$K$545,9,FALSE),"..")</f>
        <v>98.118610000000004</v>
      </c>
      <c r="BT739" s="129">
        <f>_xlfn.IFNA(VLOOKUP($C739,RGI!$A$2:$C$43,2,FALSE),"..")</f>
        <v>77.5</v>
      </c>
      <c r="BU739" s="129">
        <f>_xlfn.IFNA(VLOOKUP($C739,RGI!$A$2:$C$43,3,FALSE),"..")</f>
        <v>57.362887635782535</v>
      </c>
      <c r="BV739" s="129">
        <f>VLOOKUP($D739,WGI!$C$2:$O$478,7,FALSE)</f>
        <v>-1.0437228644659999</v>
      </c>
      <c r="BW739" s="129">
        <f>VLOOKUP($D739,WGI!$C$2:$O$478,4,FALSE)</f>
        <v>0.74874515291924304</v>
      </c>
      <c r="BX739" s="129">
        <f>VLOOKUP($D739,WGI!$C$2:$O$478,3,FALSE)</f>
        <v>-0.36180551130907501</v>
      </c>
      <c r="BY739" s="129">
        <f>VLOOKUP($D739,WGI!$C$2:$O$478,5,FALSE)</f>
        <v>-0.32490139377488098</v>
      </c>
      <c r="BZ739" s="129">
        <f>VLOOKUP($D739,WGI!$C$2:$O$478,2,FALSE)</f>
        <v>-0.88404358302178698</v>
      </c>
    </row>
    <row r="740" spans="1:80" ht="15" customHeight="1">
      <c r="A740" s="280" t="s">
        <v>273</v>
      </c>
      <c r="B740" s="117">
        <v>2009</v>
      </c>
      <c r="C740" s="117" t="s">
        <v>280</v>
      </c>
      <c r="D740" s="117" t="s">
        <v>3634</v>
      </c>
      <c r="E740" s="452" t="s">
        <v>39</v>
      </c>
      <c r="F740" s="117"/>
      <c r="G740" s="117" t="s">
        <v>24</v>
      </c>
      <c r="H740" s="117" t="str">
        <f t="shared" si="120"/>
        <v>yes</v>
      </c>
      <c r="I740" s="117" t="str">
        <f t="shared" si="121"/>
        <v>no</v>
      </c>
      <c r="J740" s="117" t="str">
        <f t="shared" si="122"/>
        <v>no</v>
      </c>
      <c r="K740" s="120" t="s">
        <v>1228</v>
      </c>
      <c r="L740" s="117" t="str">
        <f t="shared" si="129"/>
        <v>detailed</v>
      </c>
      <c r="M740" s="117" t="str">
        <f t="shared" si="123"/>
        <v>detailed Mining</v>
      </c>
      <c r="N740" s="89">
        <v>22281300</v>
      </c>
      <c r="O740" s="89"/>
      <c r="P740" s="89"/>
      <c r="Q740" s="89"/>
      <c r="R740" s="89"/>
      <c r="S740" s="120" t="s">
        <v>610</v>
      </c>
      <c r="T740" s="119">
        <v>79.979166666669997</v>
      </c>
      <c r="U740" s="120" t="s">
        <v>611</v>
      </c>
      <c r="V740" s="117" t="s">
        <v>1431</v>
      </c>
      <c r="W740" s="89">
        <f>N740*T740</f>
        <v>1782039806.2500741</v>
      </c>
      <c r="X740" s="120"/>
      <c r="Y740" s="120"/>
      <c r="Z740" s="120"/>
      <c r="AA740" s="117"/>
      <c r="AB740" s="117"/>
      <c r="AC740" s="462"/>
      <c r="AD740" s="462"/>
      <c r="AE740" s="462"/>
      <c r="AF740" s="463"/>
      <c r="AG740" s="120"/>
      <c r="AH740" s="493"/>
      <c r="AI740" s="120"/>
      <c r="AJ740" s="120"/>
      <c r="AK740" s="120"/>
      <c r="AL740" s="120"/>
      <c r="AM740" s="120"/>
      <c r="AN740" s="120"/>
      <c r="AO740" s="120"/>
      <c r="AP740" s="120"/>
      <c r="AQ740" s="120"/>
      <c r="AR740" s="120"/>
      <c r="AS740" s="120"/>
      <c r="AT740" s="120"/>
      <c r="AU740" s="120"/>
      <c r="AV740" s="128" t="s">
        <v>1412</v>
      </c>
      <c r="AW740" s="117">
        <f>VLOOKUP($D740,'WB Data'!$C$3:$M$578,2,FALSE)</f>
        <v>115308661142.92726</v>
      </c>
      <c r="AX740" s="117">
        <f>VLOOKUP($D740,'WB Data'!$C$3:$M$578,3,FALSE)</f>
        <v>16092701</v>
      </c>
      <c r="AY740" s="847" t="str">
        <f t="shared" si="125"/>
        <v>..</v>
      </c>
      <c r="AZ740" s="117" t="e">
        <f>VLOOKUP($D740,'WB Data'!$C$3:$M$578,4,FALSE)/100</f>
        <v>#VALUE!</v>
      </c>
      <c r="BA740" s="117" t="str">
        <f t="shared" si="126"/>
        <v>..</v>
      </c>
      <c r="BB740" s="129" t="str">
        <f>IFERROR(VLOOKUP($D740,'EITI Revenues'!$C$2:$G$224,5,FALSE),"..")</f>
        <v>..</v>
      </c>
      <c r="BC740" s="846" t="str">
        <f t="shared" si="127"/>
        <v>..</v>
      </c>
      <c r="BD740" s="129">
        <f>VLOOKUP($D740,'WB Data 2'!$C$2:$K$545,6,FALSE)</f>
        <v>35331249770.975067</v>
      </c>
      <c r="BE740" s="129">
        <f>IFERROR(VLOOKUP($D740,UNCTAD!$C$5:$V$529,4,FALSE),"..")</f>
        <v>48027080000</v>
      </c>
      <c r="BF740" s="846">
        <f t="shared" si="128"/>
        <v>0.73565267284571678</v>
      </c>
      <c r="BG740" s="117">
        <f>VLOOKUP($D740,'WB Data'!$C$3:$M$578,5,FALSE)</f>
        <v>297500000</v>
      </c>
      <c r="BH740" s="129" t="str">
        <f>IFERROR($BB740/$BG740,"..")</f>
        <v>..</v>
      </c>
      <c r="BI740" s="117">
        <f>IFERROR(VLOOKUP($D740,'WB Data'!$C$3:$M$578,7,FALSE)/100,"..")</f>
        <v>3.0607199999999998E-2</v>
      </c>
      <c r="BJ740" s="117">
        <f>IFERROR($BI740*$AW740,"..")</f>
        <v>3529275253.3338032</v>
      </c>
      <c r="BK740" s="846" t="str">
        <f>IFERROR($BB740/$BJ740,"..")</f>
        <v>..</v>
      </c>
      <c r="BL740" s="117">
        <f>IFERROR(VLOOKUP($D740,'WB Data'!$C$3:$M$578,7,FALSE)/100,"..")</f>
        <v>3.0607199999999998E-2</v>
      </c>
      <c r="BM740" s="117">
        <f>IFERROR($AW740*$BL740,"..")</f>
        <v>3529275253.3338032</v>
      </c>
      <c r="BN740" s="846" t="str">
        <f>IFERROR($BB740/$BM740,"..")</f>
        <v>..</v>
      </c>
      <c r="BO740" s="801">
        <f t="shared" si="124"/>
        <v>29</v>
      </c>
      <c r="BP740" s="117">
        <f>VLOOKUP($D740,'WB Data'!$C$3:$M$578,9,FALSE)</f>
        <v>8.1999999999999993</v>
      </c>
      <c r="BQ740" s="117">
        <f>VLOOKUP($D740,'WB Data'!$C$3:$M$578,10,FALSE)</f>
        <v>68.429268292682934</v>
      </c>
      <c r="BR740" s="117">
        <f>VLOOKUP($D740,'WB Data'!$C$3:$M$578,11,FALSE)</f>
        <v>21.1</v>
      </c>
      <c r="BS740" s="129">
        <f>IFERROR(VLOOKUP($D740,'WB Data 2'!$C$2:$K$545,9,FALSE),"..")</f>
        <v>98.118610000000004</v>
      </c>
      <c r="BT740" s="129">
        <f>_xlfn.IFNA(VLOOKUP($C740,RGI!$A$2:$C$43,2,FALSE),"..")</f>
        <v>77.5</v>
      </c>
      <c r="BU740" s="129">
        <f>_xlfn.IFNA(VLOOKUP($C740,RGI!$A$2:$C$43,3,FALSE),"..")</f>
        <v>57.362887635782535</v>
      </c>
      <c r="BV740" s="129">
        <f>VLOOKUP($D740,WGI!$C$2:$O$478,7,FALSE)</f>
        <v>-1.0437228644659999</v>
      </c>
      <c r="BW740" s="129">
        <f>VLOOKUP($D740,WGI!$C$2:$O$478,4,FALSE)</f>
        <v>0.74874515291924304</v>
      </c>
      <c r="BX740" s="129">
        <f>VLOOKUP($D740,WGI!$C$2:$O$478,3,FALSE)</f>
        <v>-0.36180551130907501</v>
      </c>
      <c r="BY740" s="129">
        <f>VLOOKUP($D740,WGI!$C$2:$O$478,5,FALSE)</f>
        <v>-0.32490139377488098</v>
      </c>
      <c r="BZ740" s="129">
        <f>VLOOKUP($D740,WGI!$C$2:$O$478,2,FALSE)</f>
        <v>-0.88404358302178698</v>
      </c>
    </row>
    <row r="741" spans="1:80" ht="15" customHeight="1">
      <c r="A741" s="280" t="s">
        <v>273</v>
      </c>
      <c r="B741" s="117">
        <v>2009</v>
      </c>
      <c r="C741" s="117" t="s">
        <v>280</v>
      </c>
      <c r="D741" s="117" t="s">
        <v>3634</v>
      </c>
      <c r="E741" s="452" t="s">
        <v>39</v>
      </c>
      <c r="F741" s="117"/>
      <c r="G741" s="117" t="s">
        <v>24</v>
      </c>
      <c r="H741" s="117" t="str">
        <f t="shared" si="120"/>
        <v>yes</v>
      </c>
      <c r="I741" s="117" t="str">
        <f t="shared" si="121"/>
        <v>no</v>
      </c>
      <c r="J741" s="117" t="str">
        <f t="shared" si="122"/>
        <v>no</v>
      </c>
      <c r="K741" s="120" t="s">
        <v>843</v>
      </c>
      <c r="L741" s="117" t="str">
        <f t="shared" si="129"/>
        <v>detailed</v>
      </c>
      <c r="M741" s="117" t="str">
        <f t="shared" si="123"/>
        <v>detailed Mining</v>
      </c>
      <c r="N741" s="89"/>
      <c r="O741" s="89"/>
      <c r="P741" s="89"/>
      <c r="Q741" s="89"/>
      <c r="R741" s="89"/>
      <c r="S741" s="120"/>
      <c r="T741" s="119">
        <v>7.95</v>
      </c>
      <c r="U741" s="117" t="s">
        <v>611</v>
      </c>
      <c r="V741" s="117" t="s">
        <v>844</v>
      </c>
      <c r="W741" s="89">
        <f>N743*T741</f>
        <v>6996000</v>
      </c>
      <c r="X741" s="120"/>
      <c r="Y741" s="120"/>
      <c r="Z741" s="120"/>
      <c r="AA741" s="117"/>
      <c r="AB741" s="117"/>
      <c r="AC741" s="462"/>
      <c r="AD741" s="462"/>
      <c r="AE741" s="462"/>
      <c r="AF741" s="463"/>
      <c r="AG741" s="120"/>
      <c r="AH741" s="493"/>
      <c r="AI741" s="120"/>
      <c r="AJ741" s="120"/>
      <c r="AK741" s="120"/>
      <c r="AL741" s="120"/>
      <c r="AM741" s="120"/>
      <c r="AN741" s="120"/>
      <c r="AO741" s="120"/>
      <c r="AP741" s="120"/>
      <c r="AQ741" s="120"/>
      <c r="AR741" s="120"/>
      <c r="AS741" s="120"/>
      <c r="AT741" s="120"/>
      <c r="AU741" s="120"/>
      <c r="AV741" s="128" t="s">
        <v>1412</v>
      </c>
      <c r="AW741" s="117">
        <f>VLOOKUP($D741,'WB Data'!$C$3:$M$578,2,FALSE)</f>
        <v>115308661142.92726</v>
      </c>
      <c r="AX741" s="117">
        <f>VLOOKUP($D741,'WB Data'!$C$3:$M$578,3,FALSE)</f>
        <v>16092701</v>
      </c>
      <c r="AY741" s="847" t="str">
        <f t="shared" si="125"/>
        <v>..</v>
      </c>
      <c r="AZ741" s="117" t="e">
        <f>VLOOKUP($D741,'WB Data'!$C$3:$M$578,4,FALSE)/100</f>
        <v>#VALUE!</v>
      </c>
      <c r="BA741" s="117" t="str">
        <f t="shared" si="126"/>
        <v>..</v>
      </c>
      <c r="BB741" s="129" t="str">
        <f>IFERROR(VLOOKUP($D741,'EITI Revenues'!$C$2:$G$224,5,FALSE),"..")</f>
        <v>..</v>
      </c>
      <c r="BC741" s="846" t="str">
        <f t="shared" si="127"/>
        <v>..</v>
      </c>
      <c r="BD741" s="129">
        <f>VLOOKUP($D741,'WB Data 2'!$C$2:$K$545,6,FALSE)</f>
        <v>35331249770.975067</v>
      </c>
      <c r="BE741" s="129">
        <f>IFERROR(VLOOKUP($D741,UNCTAD!$C$5:$V$529,4,FALSE),"..")</f>
        <v>48027080000</v>
      </c>
      <c r="BF741" s="846">
        <f t="shared" si="128"/>
        <v>0.73565267284571678</v>
      </c>
      <c r="BG741" s="117">
        <f>VLOOKUP($D741,'WB Data'!$C$3:$M$578,5,FALSE)</f>
        <v>297500000</v>
      </c>
      <c r="BH741" s="129" t="str">
        <f>IFERROR($BB741/$BG741,"..")</f>
        <v>..</v>
      </c>
      <c r="BI741" s="117">
        <f>IFERROR(VLOOKUP($D741,'WB Data'!$C$3:$M$578,7,FALSE)/100,"..")</f>
        <v>3.0607199999999998E-2</v>
      </c>
      <c r="BJ741" s="117">
        <f>IFERROR($BI741*$AW741,"..")</f>
        <v>3529275253.3338032</v>
      </c>
      <c r="BK741" s="846" t="str">
        <f>IFERROR($BB741/$BJ741,"..")</f>
        <v>..</v>
      </c>
      <c r="BL741" s="117">
        <f>IFERROR(VLOOKUP($D741,'WB Data'!$C$3:$M$578,7,FALSE)/100,"..")</f>
        <v>3.0607199999999998E-2</v>
      </c>
      <c r="BM741" s="117">
        <f>IFERROR($AW741*$BL741,"..")</f>
        <v>3529275253.3338032</v>
      </c>
      <c r="BN741" s="846" t="str">
        <f>IFERROR($BB741/$BM741,"..")</f>
        <v>..</v>
      </c>
      <c r="BO741" s="801">
        <f t="shared" si="124"/>
        <v>29</v>
      </c>
      <c r="BP741" s="117">
        <f>VLOOKUP($D741,'WB Data'!$C$3:$M$578,9,FALSE)</f>
        <v>8.1999999999999993</v>
      </c>
      <c r="BQ741" s="117">
        <f>VLOOKUP($D741,'WB Data'!$C$3:$M$578,10,FALSE)</f>
        <v>68.429268292682934</v>
      </c>
      <c r="BR741" s="117">
        <f>VLOOKUP($D741,'WB Data'!$C$3:$M$578,11,FALSE)</f>
        <v>21.1</v>
      </c>
      <c r="BS741" s="129">
        <f>IFERROR(VLOOKUP($D741,'WB Data 2'!$C$2:$K$545,9,FALSE),"..")</f>
        <v>98.118610000000004</v>
      </c>
      <c r="BT741" s="129">
        <f>_xlfn.IFNA(VLOOKUP($C741,RGI!$A$2:$C$43,2,FALSE),"..")</f>
        <v>77.5</v>
      </c>
      <c r="BU741" s="129">
        <f>_xlfn.IFNA(VLOOKUP($C741,RGI!$A$2:$C$43,3,FALSE),"..")</f>
        <v>57.362887635782535</v>
      </c>
      <c r="BV741" s="129">
        <f>VLOOKUP($D741,WGI!$C$2:$O$478,7,FALSE)</f>
        <v>-1.0437228644659999</v>
      </c>
      <c r="BW741" s="129">
        <f>VLOOKUP($D741,WGI!$C$2:$O$478,4,FALSE)</f>
        <v>0.74874515291924304</v>
      </c>
      <c r="BX741" s="129">
        <f>VLOOKUP($D741,WGI!$C$2:$O$478,3,FALSE)</f>
        <v>-0.36180551130907501</v>
      </c>
      <c r="BY741" s="129">
        <f>VLOOKUP($D741,WGI!$C$2:$O$478,5,FALSE)</f>
        <v>-0.32490139377488098</v>
      </c>
      <c r="BZ741" s="129">
        <f>VLOOKUP($D741,WGI!$C$2:$O$478,2,FALSE)</f>
        <v>-0.88404358302178698</v>
      </c>
    </row>
    <row r="742" spans="1:80" ht="15" customHeight="1">
      <c r="A742" s="280" t="s">
        <v>273</v>
      </c>
      <c r="B742" s="117">
        <v>2009</v>
      </c>
      <c r="C742" s="117" t="s">
        <v>280</v>
      </c>
      <c r="D742" s="117" t="s">
        <v>3634</v>
      </c>
      <c r="E742" s="452" t="s">
        <v>39</v>
      </c>
      <c r="F742" s="117"/>
      <c r="G742" s="117" t="s">
        <v>24</v>
      </c>
      <c r="H742" s="117" t="str">
        <f t="shared" si="120"/>
        <v>yes</v>
      </c>
      <c r="I742" s="117" t="str">
        <f t="shared" si="121"/>
        <v>no</v>
      </c>
      <c r="J742" s="117" t="str">
        <f t="shared" si="122"/>
        <v>no</v>
      </c>
      <c r="K742" s="120" t="s">
        <v>1066</v>
      </c>
      <c r="L742" s="117" t="str">
        <f t="shared" si="129"/>
        <v>detailed</v>
      </c>
      <c r="M742" s="117" t="str">
        <f t="shared" si="123"/>
        <v>detailed Mining</v>
      </c>
      <c r="N742" s="89">
        <v>3439400</v>
      </c>
      <c r="O742" s="89"/>
      <c r="P742" s="89"/>
      <c r="Q742" s="89"/>
      <c r="R742" s="89"/>
      <c r="S742" s="120" t="s">
        <v>610</v>
      </c>
      <c r="T742" s="119"/>
      <c r="U742" s="120"/>
      <c r="V742" s="117" t="s">
        <v>847</v>
      </c>
      <c r="W742" s="89"/>
      <c r="X742" s="120"/>
      <c r="Y742" s="120"/>
      <c r="Z742" s="120"/>
      <c r="AA742" s="117"/>
      <c r="AB742" s="117"/>
      <c r="AC742" s="462"/>
      <c r="AD742" s="462"/>
      <c r="AE742" s="462"/>
      <c r="AF742" s="463"/>
      <c r="AG742" s="120"/>
      <c r="AH742" s="493"/>
      <c r="AI742" s="120"/>
      <c r="AJ742" s="120"/>
      <c r="AK742" s="120"/>
      <c r="AL742" s="120"/>
      <c r="AM742" s="120"/>
      <c r="AN742" s="120"/>
      <c r="AO742" s="120"/>
      <c r="AP742" s="120"/>
      <c r="AQ742" s="120"/>
      <c r="AR742" s="120"/>
      <c r="AS742" s="120"/>
      <c r="AT742" s="120"/>
      <c r="AU742" s="120"/>
      <c r="AV742" s="128"/>
      <c r="AW742" s="117">
        <f>VLOOKUP($D742,'WB Data'!$C$3:$M$578,2,FALSE)</f>
        <v>115308661142.92726</v>
      </c>
      <c r="AX742" s="117">
        <f>VLOOKUP($D742,'WB Data'!$C$3:$M$578,3,FALSE)</f>
        <v>16092701</v>
      </c>
      <c r="AY742" s="847" t="str">
        <f t="shared" si="125"/>
        <v>..</v>
      </c>
      <c r="AZ742" s="117" t="e">
        <f>VLOOKUP($D742,'WB Data'!$C$3:$M$578,4,FALSE)/100</f>
        <v>#VALUE!</v>
      </c>
      <c r="BA742" s="117" t="str">
        <f t="shared" si="126"/>
        <v>..</v>
      </c>
      <c r="BB742" s="129" t="str">
        <f>IFERROR(VLOOKUP($D742,'EITI Revenues'!$C$2:$G$224,5,FALSE),"..")</f>
        <v>..</v>
      </c>
      <c r="BC742" s="846" t="str">
        <f t="shared" si="127"/>
        <v>..</v>
      </c>
      <c r="BD742" s="129">
        <f>VLOOKUP($D742,'WB Data 2'!$C$2:$K$545,6,FALSE)</f>
        <v>35331249770.975067</v>
      </c>
      <c r="BE742" s="129">
        <f>IFERROR(VLOOKUP($D742,UNCTAD!$C$5:$V$529,4,FALSE),"..")</f>
        <v>48027080000</v>
      </c>
      <c r="BF742" s="846">
        <f t="shared" si="128"/>
        <v>0.73565267284571678</v>
      </c>
      <c r="BG742" s="117">
        <f>VLOOKUP($D742,'WB Data'!$C$3:$M$578,5,FALSE)</f>
        <v>297500000</v>
      </c>
      <c r="BH742" s="129" t="str">
        <f>IFERROR($BB742/$BG742,"..")</f>
        <v>..</v>
      </c>
      <c r="BI742" s="117">
        <f>IFERROR(VLOOKUP($D742,'WB Data'!$C$3:$M$578,7,FALSE)/100,"..")</f>
        <v>3.0607199999999998E-2</v>
      </c>
      <c r="BJ742" s="117">
        <f>IFERROR($BI742*$AW742,"..")</f>
        <v>3529275253.3338032</v>
      </c>
      <c r="BK742" s="846" t="str">
        <f>IFERROR($BB742/$BJ742,"..")</f>
        <v>..</v>
      </c>
      <c r="BL742" s="117">
        <f>IFERROR(VLOOKUP($D742,'WB Data'!$C$3:$M$578,7,FALSE)/100,"..")</f>
        <v>3.0607199999999998E-2</v>
      </c>
      <c r="BM742" s="117">
        <f>IFERROR($AW742*$BL742,"..")</f>
        <v>3529275253.3338032</v>
      </c>
      <c r="BN742" s="846" t="str">
        <f>IFERROR($BB742/$BM742,"..")</f>
        <v>..</v>
      </c>
      <c r="BO742" s="801">
        <f t="shared" si="124"/>
        <v>29</v>
      </c>
      <c r="BP742" s="117">
        <f>VLOOKUP($D742,'WB Data'!$C$3:$M$578,9,FALSE)</f>
        <v>8.1999999999999993</v>
      </c>
      <c r="BQ742" s="117">
        <f>VLOOKUP($D742,'WB Data'!$C$3:$M$578,10,FALSE)</f>
        <v>68.429268292682934</v>
      </c>
      <c r="BR742" s="117">
        <f>VLOOKUP($D742,'WB Data'!$C$3:$M$578,11,FALSE)</f>
        <v>21.1</v>
      </c>
      <c r="BS742" s="129">
        <f>IFERROR(VLOOKUP($D742,'WB Data 2'!$C$2:$K$545,9,FALSE),"..")</f>
        <v>98.118610000000004</v>
      </c>
      <c r="BT742" s="129">
        <f>_xlfn.IFNA(VLOOKUP($C742,RGI!$A$2:$C$43,2,FALSE),"..")</f>
        <v>77.5</v>
      </c>
      <c r="BU742" s="129">
        <f>_xlfn.IFNA(VLOOKUP($C742,RGI!$A$2:$C$43,3,FALSE),"..")</f>
        <v>57.362887635782535</v>
      </c>
      <c r="BV742" s="129">
        <f>VLOOKUP($D742,WGI!$C$2:$O$478,7,FALSE)</f>
        <v>-1.0437228644659999</v>
      </c>
      <c r="BW742" s="129">
        <f>VLOOKUP($D742,WGI!$C$2:$O$478,4,FALSE)</f>
        <v>0.74874515291924304</v>
      </c>
      <c r="BX742" s="129">
        <f>VLOOKUP($D742,WGI!$C$2:$O$478,3,FALSE)</f>
        <v>-0.36180551130907501</v>
      </c>
      <c r="BY742" s="129">
        <f>VLOOKUP($D742,WGI!$C$2:$O$478,5,FALSE)</f>
        <v>-0.32490139377488098</v>
      </c>
      <c r="BZ742" s="129">
        <f>VLOOKUP($D742,WGI!$C$2:$O$478,2,FALSE)</f>
        <v>-0.88404358302178698</v>
      </c>
    </row>
    <row r="743" spans="1:80" ht="15" customHeight="1">
      <c r="A743" s="280" t="s">
        <v>273</v>
      </c>
      <c r="B743" s="117">
        <v>2009</v>
      </c>
      <c r="C743" s="117" t="s">
        <v>280</v>
      </c>
      <c r="D743" s="117" t="s">
        <v>3634</v>
      </c>
      <c r="E743" s="452" t="s">
        <v>39</v>
      </c>
      <c r="F743" s="117"/>
      <c r="G743" s="117" t="s">
        <v>24</v>
      </c>
      <c r="H743" s="117" t="str">
        <f t="shared" si="120"/>
        <v>yes</v>
      </c>
      <c r="I743" s="117" t="str">
        <f t="shared" si="121"/>
        <v>no</v>
      </c>
      <c r="J743" s="117" t="str">
        <f t="shared" si="122"/>
        <v>no</v>
      </c>
      <c r="K743" s="120" t="s">
        <v>1432</v>
      </c>
      <c r="L743" s="117" t="str">
        <f t="shared" si="129"/>
        <v>detailed</v>
      </c>
      <c r="M743" s="117" t="str">
        <f t="shared" si="123"/>
        <v>detailed Mining</v>
      </c>
      <c r="N743" s="89">
        <v>880000</v>
      </c>
      <c r="O743" s="89"/>
      <c r="P743" s="89"/>
      <c r="Q743" s="89"/>
      <c r="R743" s="89"/>
      <c r="S743" s="120" t="s">
        <v>610</v>
      </c>
      <c r="T743" s="119"/>
      <c r="U743" s="120"/>
      <c r="V743" s="117" t="s">
        <v>847</v>
      </c>
      <c r="W743" s="89"/>
      <c r="X743" s="120"/>
      <c r="Y743" s="120"/>
      <c r="Z743" s="120"/>
      <c r="AA743" s="117"/>
      <c r="AB743" s="117"/>
      <c r="AC743" s="462"/>
      <c r="AD743" s="462"/>
      <c r="AE743" s="462"/>
      <c r="AF743" s="463"/>
      <c r="AG743" s="120"/>
      <c r="AH743" s="493"/>
      <c r="AI743" s="120"/>
      <c r="AJ743" s="120"/>
      <c r="AK743" s="120"/>
      <c r="AL743" s="120"/>
      <c r="AM743" s="120"/>
      <c r="AN743" s="120"/>
      <c r="AO743" s="120"/>
      <c r="AP743" s="120"/>
      <c r="AQ743" s="120"/>
      <c r="AR743" s="120"/>
      <c r="AS743" s="120"/>
      <c r="AT743" s="120"/>
      <c r="AU743" s="120"/>
      <c r="AV743" s="128"/>
      <c r="AW743" s="117">
        <f>VLOOKUP($D743,'WB Data'!$C$3:$M$578,2,FALSE)</f>
        <v>115308661142.92726</v>
      </c>
      <c r="AX743" s="117">
        <f>VLOOKUP($D743,'WB Data'!$C$3:$M$578,3,FALSE)</f>
        <v>16092701</v>
      </c>
      <c r="AY743" s="847" t="str">
        <f t="shared" si="125"/>
        <v>..</v>
      </c>
      <c r="AZ743" s="117" t="e">
        <f>VLOOKUP($D743,'WB Data'!$C$3:$M$578,4,FALSE)/100</f>
        <v>#VALUE!</v>
      </c>
      <c r="BA743" s="117" t="str">
        <f t="shared" si="126"/>
        <v>..</v>
      </c>
      <c r="BB743" s="129" t="str">
        <f>IFERROR(VLOOKUP($D743,'EITI Revenues'!$C$2:$G$224,5,FALSE),"..")</f>
        <v>..</v>
      </c>
      <c r="BC743" s="846" t="str">
        <f t="shared" si="127"/>
        <v>..</v>
      </c>
      <c r="BD743" s="129">
        <f>VLOOKUP($D743,'WB Data 2'!$C$2:$K$545,6,FALSE)</f>
        <v>35331249770.975067</v>
      </c>
      <c r="BE743" s="129">
        <f>IFERROR(VLOOKUP($D743,UNCTAD!$C$5:$V$529,4,FALSE),"..")</f>
        <v>48027080000</v>
      </c>
      <c r="BF743" s="846">
        <f t="shared" si="128"/>
        <v>0.73565267284571678</v>
      </c>
      <c r="BG743" s="117">
        <f>VLOOKUP($D743,'WB Data'!$C$3:$M$578,5,FALSE)</f>
        <v>297500000</v>
      </c>
      <c r="BH743" s="129" t="str">
        <f>IFERROR($BB743/$BG743,"..")</f>
        <v>..</v>
      </c>
      <c r="BI743" s="117">
        <f>IFERROR(VLOOKUP($D743,'WB Data'!$C$3:$M$578,7,FALSE)/100,"..")</f>
        <v>3.0607199999999998E-2</v>
      </c>
      <c r="BJ743" s="117">
        <f>IFERROR($BI743*$AW743,"..")</f>
        <v>3529275253.3338032</v>
      </c>
      <c r="BK743" s="846" t="str">
        <f>IFERROR($BB743/$BJ743,"..")</f>
        <v>..</v>
      </c>
      <c r="BL743" s="117">
        <f>IFERROR(VLOOKUP($D743,'WB Data'!$C$3:$M$578,7,FALSE)/100,"..")</f>
        <v>3.0607199999999998E-2</v>
      </c>
      <c r="BM743" s="117">
        <f>IFERROR($AW743*$BL743,"..")</f>
        <v>3529275253.3338032</v>
      </c>
      <c r="BN743" s="846" t="str">
        <f>IFERROR($BB743/$BM743,"..")</f>
        <v>..</v>
      </c>
      <c r="BO743" s="801">
        <f t="shared" si="124"/>
        <v>29</v>
      </c>
      <c r="BP743" s="117">
        <f>VLOOKUP($D743,'WB Data'!$C$3:$M$578,9,FALSE)</f>
        <v>8.1999999999999993</v>
      </c>
      <c r="BQ743" s="117">
        <f>VLOOKUP($D743,'WB Data'!$C$3:$M$578,10,FALSE)</f>
        <v>68.429268292682934</v>
      </c>
      <c r="BR743" s="117">
        <f>VLOOKUP($D743,'WB Data'!$C$3:$M$578,11,FALSE)</f>
        <v>21.1</v>
      </c>
      <c r="BS743" s="129">
        <f>IFERROR(VLOOKUP($D743,'WB Data 2'!$C$2:$K$545,9,FALSE),"..")</f>
        <v>98.118610000000004</v>
      </c>
      <c r="BT743" s="129">
        <f>_xlfn.IFNA(VLOOKUP($C743,RGI!$A$2:$C$43,2,FALSE),"..")</f>
        <v>77.5</v>
      </c>
      <c r="BU743" s="129">
        <f>_xlfn.IFNA(VLOOKUP($C743,RGI!$A$2:$C$43,3,FALSE),"..")</f>
        <v>57.362887635782535</v>
      </c>
      <c r="BV743" s="129">
        <f>VLOOKUP($D743,WGI!$C$2:$O$478,7,FALSE)</f>
        <v>-1.0437228644659999</v>
      </c>
      <c r="BW743" s="129">
        <f>VLOOKUP($D743,WGI!$C$2:$O$478,4,FALSE)</f>
        <v>0.74874515291924304</v>
      </c>
      <c r="BX743" s="129">
        <f>VLOOKUP($D743,WGI!$C$2:$O$478,3,FALSE)</f>
        <v>-0.36180551130907501</v>
      </c>
      <c r="BY743" s="129">
        <f>VLOOKUP($D743,WGI!$C$2:$O$478,5,FALSE)</f>
        <v>-0.32490139377488098</v>
      </c>
      <c r="BZ743" s="129">
        <f>VLOOKUP($D743,WGI!$C$2:$O$478,2,FALSE)</f>
        <v>-0.88404358302178698</v>
      </c>
    </row>
    <row r="744" spans="1:80" ht="15" customHeight="1">
      <c r="A744" s="280" t="s">
        <v>273</v>
      </c>
      <c r="B744" s="117">
        <v>2009</v>
      </c>
      <c r="C744" s="117" t="s">
        <v>280</v>
      </c>
      <c r="D744" s="117" t="s">
        <v>3634</v>
      </c>
      <c r="E744" s="452" t="s">
        <v>39</v>
      </c>
      <c r="F744" s="117"/>
      <c r="G744" s="117" t="s">
        <v>24</v>
      </c>
      <c r="H744" s="117" t="str">
        <f t="shared" si="120"/>
        <v>yes</v>
      </c>
      <c r="I744" s="117" t="str">
        <f t="shared" si="121"/>
        <v>no</v>
      </c>
      <c r="J744" s="117" t="str">
        <f t="shared" si="122"/>
        <v>no</v>
      </c>
      <c r="K744" s="120" t="s">
        <v>1433</v>
      </c>
      <c r="L744" s="117" t="str">
        <f t="shared" si="129"/>
        <v>detailed</v>
      </c>
      <c r="M744" s="117" t="str">
        <f t="shared" si="123"/>
        <v>detailed Mining</v>
      </c>
      <c r="N744" s="89">
        <v>500</v>
      </c>
      <c r="O744" s="89"/>
      <c r="P744" s="89"/>
      <c r="Q744" s="89"/>
      <c r="R744" s="89"/>
      <c r="S744" s="120" t="s">
        <v>610</v>
      </c>
      <c r="T744" s="186">
        <v>14654.629499999999</v>
      </c>
      <c r="U744" s="117" t="s">
        <v>611</v>
      </c>
      <c r="V744" s="117" t="s">
        <v>1434</v>
      </c>
      <c r="W744" s="89">
        <f>N744*T744</f>
        <v>7327314.75</v>
      </c>
      <c r="X744" s="120"/>
      <c r="Y744" s="120"/>
      <c r="Z744" s="120"/>
      <c r="AA744" s="117"/>
      <c r="AB744" s="117"/>
      <c r="AC744" s="462"/>
      <c r="AD744" s="462"/>
      <c r="AE744" s="462"/>
      <c r="AF744" s="463"/>
      <c r="AG744" s="120"/>
      <c r="AH744" s="493"/>
      <c r="AI744" s="120"/>
      <c r="AJ744" s="120"/>
      <c r="AK744" s="120"/>
      <c r="AL744" s="120"/>
      <c r="AM744" s="120"/>
      <c r="AN744" s="120"/>
      <c r="AO744" s="120"/>
      <c r="AP744" s="120"/>
      <c r="AQ744" s="120"/>
      <c r="AR744" s="120"/>
      <c r="AS744" s="120"/>
      <c r="AT744" s="120"/>
      <c r="AU744" s="120"/>
      <c r="AV744" s="128" t="s">
        <v>1412</v>
      </c>
      <c r="AW744" s="117">
        <f>VLOOKUP($D744,'WB Data'!$C$3:$M$578,2,FALSE)</f>
        <v>115308661142.92726</v>
      </c>
      <c r="AX744" s="117">
        <f>VLOOKUP($D744,'WB Data'!$C$3:$M$578,3,FALSE)</f>
        <v>16092701</v>
      </c>
      <c r="AY744" s="847" t="str">
        <f t="shared" si="125"/>
        <v>..</v>
      </c>
      <c r="AZ744" s="117" t="e">
        <f>VLOOKUP($D744,'WB Data'!$C$3:$M$578,4,FALSE)/100</f>
        <v>#VALUE!</v>
      </c>
      <c r="BA744" s="117" t="str">
        <f t="shared" si="126"/>
        <v>..</v>
      </c>
      <c r="BB744" s="129" t="str">
        <f>IFERROR(VLOOKUP($D744,'EITI Revenues'!$C$2:$G$224,5,FALSE),"..")</f>
        <v>..</v>
      </c>
      <c r="BC744" s="846" t="str">
        <f t="shared" si="127"/>
        <v>..</v>
      </c>
      <c r="BD744" s="129">
        <f>VLOOKUP($D744,'WB Data 2'!$C$2:$K$545,6,FALSE)</f>
        <v>35331249770.975067</v>
      </c>
      <c r="BE744" s="129">
        <f>IFERROR(VLOOKUP($D744,UNCTAD!$C$5:$V$529,4,FALSE),"..")</f>
        <v>48027080000</v>
      </c>
      <c r="BF744" s="846">
        <f t="shared" si="128"/>
        <v>0.73565267284571678</v>
      </c>
      <c r="BG744" s="117">
        <f>VLOOKUP($D744,'WB Data'!$C$3:$M$578,5,FALSE)</f>
        <v>297500000</v>
      </c>
      <c r="BH744" s="129" t="str">
        <f>IFERROR($BB744/$BG744,"..")</f>
        <v>..</v>
      </c>
      <c r="BI744" s="117">
        <f>IFERROR(VLOOKUP($D744,'WB Data'!$C$3:$M$578,7,FALSE)/100,"..")</f>
        <v>3.0607199999999998E-2</v>
      </c>
      <c r="BJ744" s="117">
        <f>IFERROR($BI744*$AW744,"..")</f>
        <v>3529275253.3338032</v>
      </c>
      <c r="BK744" s="846" t="str">
        <f>IFERROR($BB744/$BJ744,"..")</f>
        <v>..</v>
      </c>
      <c r="BL744" s="117">
        <f>IFERROR(VLOOKUP($D744,'WB Data'!$C$3:$M$578,7,FALSE)/100,"..")</f>
        <v>3.0607199999999998E-2</v>
      </c>
      <c r="BM744" s="117">
        <f>IFERROR($AW744*$BL744,"..")</f>
        <v>3529275253.3338032</v>
      </c>
      <c r="BN744" s="846" t="str">
        <f>IFERROR($BB744/$BM744,"..")</f>
        <v>..</v>
      </c>
      <c r="BO744" s="801">
        <f t="shared" si="124"/>
        <v>29</v>
      </c>
      <c r="BP744" s="117">
        <f>VLOOKUP($D744,'WB Data'!$C$3:$M$578,9,FALSE)</f>
        <v>8.1999999999999993</v>
      </c>
      <c r="BQ744" s="117">
        <f>VLOOKUP($D744,'WB Data'!$C$3:$M$578,10,FALSE)</f>
        <v>68.429268292682934</v>
      </c>
      <c r="BR744" s="117">
        <f>VLOOKUP($D744,'WB Data'!$C$3:$M$578,11,FALSE)</f>
        <v>21.1</v>
      </c>
      <c r="BS744" s="129">
        <f>IFERROR(VLOOKUP($D744,'WB Data 2'!$C$2:$K$545,9,FALSE),"..")</f>
        <v>98.118610000000004</v>
      </c>
      <c r="BT744" s="129">
        <f>_xlfn.IFNA(VLOOKUP($C744,RGI!$A$2:$C$43,2,FALSE),"..")</f>
        <v>77.5</v>
      </c>
      <c r="BU744" s="129">
        <f>_xlfn.IFNA(VLOOKUP($C744,RGI!$A$2:$C$43,3,FALSE),"..")</f>
        <v>57.362887635782535</v>
      </c>
      <c r="BV744" s="129">
        <f>VLOOKUP($D744,WGI!$C$2:$O$478,7,FALSE)</f>
        <v>-1.0437228644659999</v>
      </c>
      <c r="BW744" s="129">
        <f>VLOOKUP($D744,WGI!$C$2:$O$478,4,FALSE)</f>
        <v>0.74874515291924304</v>
      </c>
      <c r="BX744" s="129">
        <f>VLOOKUP($D744,WGI!$C$2:$O$478,3,FALSE)</f>
        <v>-0.36180551130907501</v>
      </c>
      <c r="BY744" s="129">
        <f>VLOOKUP($D744,WGI!$C$2:$O$478,5,FALSE)</f>
        <v>-0.32490139377488098</v>
      </c>
      <c r="BZ744" s="129">
        <f>VLOOKUP($D744,WGI!$C$2:$O$478,2,FALSE)</f>
        <v>-0.88404358302178698</v>
      </c>
    </row>
    <row r="745" spans="1:80" ht="15" customHeight="1">
      <c r="A745" s="280" t="s">
        <v>273</v>
      </c>
      <c r="B745" s="117">
        <v>2009</v>
      </c>
      <c r="C745" s="117" t="s">
        <v>280</v>
      </c>
      <c r="D745" s="117" t="s">
        <v>3634</v>
      </c>
      <c r="E745" s="452" t="s">
        <v>39</v>
      </c>
      <c r="F745" s="117"/>
      <c r="G745" s="117" t="s">
        <v>24</v>
      </c>
      <c r="H745" s="117" t="str">
        <f t="shared" si="120"/>
        <v>yes</v>
      </c>
      <c r="I745" s="117" t="str">
        <f t="shared" si="121"/>
        <v>no</v>
      </c>
      <c r="J745" s="117" t="str">
        <f t="shared" si="122"/>
        <v>no</v>
      </c>
      <c r="K745" s="120" t="s">
        <v>1435</v>
      </c>
      <c r="L745" s="117" t="str">
        <f t="shared" si="129"/>
        <v>detailed</v>
      </c>
      <c r="M745" s="117" t="str">
        <f t="shared" si="123"/>
        <v>detailed Mining</v>
      </c>
      <c r="N745" s="89">
        <v>1225000</v>
      </c>
      <c r="O745" s="89"/>
      <c r="P745" s="89"/>
      <c r="Q745" s="89"/>
      <c r="R745" s="89"/>
      <c r="S745" s="120" t="s">
        <v>610</v>
      </c>
      <c r="T745" s="119">
        <v>121.65625</v>
      </c>
      <c r="U745" s="120" t="s">
        <v>611</v>
      </c>
      <c r="V745" s="117" t="s">
        <v>1436</v>
      </c>
      <c r="W745" s="89">
        <f>N745*T745</f>
        <v>149028906.25</v>
      </c>
      <c r="X745" s="120"/>
      <c r="Y745" s="120"/>
      <c r="Z745" s="120"/>
      <c r="AA745" s="117"/>
      <c r="AB745" s="117"/>
      <c r="AC745" s="462"/>
      <c r="AD745" s="462"/>
      <c r="AE745" s="462"/>
      <c r="AF745" s="463"/>
      <c r="AG745" s="120"/>
      <c r="AH745" s="493"/>
      <c r="AI745" s="120"/>
      <c r="AJ745" s="120"/>
      <c r="AK745" s="120"/>
      <c r="AL745" s="120"/>
      <c r="AM745" s="120"/>
      <c r="AN745" s="120"/>
      <c r="AO745" s="120"/>
      <c r="AP745" s="120"/>
      <c r="AQ745" s="120"/>
      <c r="AR745" s="120"/>
      <c r="AS745" s="120"/>
      <c r="AT745" s="120"/>
      <c r="AU745" s="120"/>
      <c r="AV745" s="128" t="s">
        <v>1412</v>
      </c>
      <c r="AW745" s="117">
        <f>VLOOKUP($D745,'WB Data'!$C$3:$M$578,2,FALSE)</f>
        <v>115308661142.92726</v>
      </c>
      <c r="AX745" s="117">
        <f>VLOOKUP($D745,'WB Data'!$C$3:$M$578,3,FALSE)</f>
        <v>16092701</v>
      </c>
      <c r="AY745" s="847" t="str">
        <f t="shared" si="125"/>
        <v>..</v>
      </c>
      <c r="AZ745" s="117" t="e">
        <f>VLOOKUP($D745,'WB Data'!$C$3:$M$578,4,FALSE)/100</f>
        <v>#VALUE!</v>
      </c>
      <c r="BA745" s="117" t="str">
        <f t="shared" si="126"/>
        <v>..</v>
      </c>
      <c r="BB745" s="129" t="str">
        <f>IFERROR(VLOOKUP($D745,'EITI Revenues'!$C$2:$G$224,5,FALSE),"..")</f>
        <v>..</v>
      </c>
      <c r="BC745" s="846" t="str">
        <f t="shared" si="127"/>
        <v>..</v>
      </c>
      <c r="BD745" s="129">
        <f>VLOOKUP($D745,'WB Data 2'!$C$2:$K$545,6,FALSE)</f>
        <v>35331249770.975067</v>
      </c>
      <c r="BE745" s="129">
        <f>IFERROR(VLOOKUP($D745,UNCTAD!$C$5:$V$529,4,FALSE),"..")</f>
        <v>48027080000</v>
      </c>
      <c r="BF745" s="846">
        <f t="shared" si="128"/>
        <v>0.73565267284571678</v>
      </c>
      <c r="BG745" s="117">
        <f>VLOOKUP($D745,'WB Data'!$C$3:$M$578,5,FALSE)</f>
        <v>297500000</v>
      </c>
      <c r="BH745" s="129" t="str">
        <f>IFERROR($BB745/$BG745,"..")</f>
        <v>..</v>
      </c>
      <c r="BI745" s="117">
        <f>IFERROR(VLOOKUP($D745,'WB Data'!$C$3:$M$578,7,FALSE)/100,"..")</f>
        <v>3.0607199999999998E-2</v>
      </c>
      <c r="BJ745" s="117">
        <f>IFERROR($BI745*$AW745,"..")</f>
        <v>3529275253.3338032</v>
      </c>
      <c r="BK745" s="846" t="str">
        <f>IFERROR($BB745/$BJ745,"..")</f>
        <v>..</v>
      </c>
      <c r="BL745" s="117">
        <f>IFERROR(VLOOKUP($D745,'WB Data'!$C$3:$M$578,7,FALSE)/100,"..")</f>
        <v>3.0607199999999998E-2</v>
      </c>
      <c r="BM745" s="117">
        <f>IFERROR($AW745*$BL745,"..")</f>
        <v>3529275253.3338032</v>
      </c>
      <c r="BN745" s="846" t="str">
        <f>IFERROR($BB745/$BM745,"..")</f>
        <v>..</v>
      </c>
      <c r="BO745" s="801">
        <f t="shared" si="124"/>
        <v>29</v>
      </c>
      <c r="BP745" s="117">
        <f>VLOOKUP($D745,'WB Data'!$C$3:$M$578,9,FALSE)</f>
        <v>8.1999999999999993</v>
      </c>
      <c r="BQ745" s="117">
        <f>VLOOKUP($D745,'WB Data'!$C$3:$M$578,10,FALSE)</f>
        <v>68.429268292682934</v>
      </c>
      <c r="BR745" s="117">
        <f>VLOOKUP($D745,'WB Data'!$C$3:$M$578,11,FALSE)</f>
        <v>21.1</v>
      </c>
      <c r="BS745" s="129">
        <f>IFERROR(VLOOKUP($D745,'WB Data 2'!$C$2:$K$545,9,FALSE),"..")</f>
        <v>98.118610000000004</v>
      </c>
      <c r="BT745" s="129">
        <f>_xlfn.IFNA(VLOOKUP($C745,RGI!$A$2:$C$43,2,FALSE),"..")</f>
        <v>77.5</v>
      </c>
      <c r="BU745" s="129">
        <f>_xlfn.IFNA(VLOOKUP($C745,RGI!$A$2:$C$43,3,FALSE),"..")</f>
        <v>57.362887635782535</v>
      </c>
      <c r="BV745" s="129">
        <f>VLOOKUP($D745,WGI!$C$2:$O$478,7,FALSE)</f>
        <v>-1.0437228644659999</v>
      </c>
      <c r="BW745" s="129">
        <f>VLOOKUP($D745,WGI!$C$2:$O$478,4,FALSE)</f>
        <v>0.74874515291924304</v>
      </c>
      <c r="BX745" s="129">
        <f>VLOOKUP($D745,WGI!$C$2:$O$478,3,FALSE)</f>
        <v>-0.36180551130907501</v>
      </c>
      <c r="BY745" s="129">
        <f>VLOOKUP($D745,WGI!$C$2:$O$478,5,FALSE)</f>
        <v>-0.32490139377488098</v>
      </c>
      <c r="BZ745" s="129">
        <f>VLOOKUP($D745,WGI!$C$2:$O$478,2,FALSE)</f>
        <v>-0.88404358302178698</v>
      </c>
    </row>
    <row r="746" spans="1:80" ht="15" customHeight="1">
      <c r="A746" s="280" t="s">
        <v>273</v>
      </c>
      <c r="B746" s="117">
        <v>2009</v>
      </c>
      <c r="C746" s="117" t="s">
        <v>280</v>
      </c>
      <c r="D746" s="117" t="s">
        <v>3634</v>
      </c>
      <c r="E746" s="452" t="s">
        <v>39</v>
      </c>
      <c r="F746" s="117"/>
      <c r="G746" s="117" t="s">
        <v>24</v>
      </c>
      <c r="H746" s="117" t="str">
        <f t="shared" si="120"/>
        <v>yes</v>
      </c>
      <c r="I746" s="117" t="str">
        <f t="shared" si="121"/>
        <v>no</v>
      </c>
      <c r="J746" s="117" t="str">
        <f t="shared" si="122"/>
        <v>no</v>
      </c>
      <c r="K746" s="120" t="s">
        <v>1437</v>
      </c>
      <c r="L746" s="117" t="str">
        <f t="shared" si="129"/>
        <v>detailed</v>
      </c>
      <c r="M746" s="117" t="str">
        <f t="shared" si="123"/>
        <v>detailed Mining</v>
      </c>
      <c r="N746" s="89">
        <v>2996000</v>
      </c>
      <c r="O746" s="89"/>
      <c r="P746" s="89"/>
      <c r="Q746" s="89"/>
      <c r="R746" s="89"/>
      <c r="S746" s="120" t="s">
        <v>610</v>
      </c>
      <c r="T746" s="119"/>
      <c r="U746" s="120"/>
      <c r="V746" s="117" t="s">
        <v>847</v>
      </c>
      <c r="W746" s="89"/>
      <c r="X746" s="120"/>
      <c r="Y746" s="120"/>
      <c r="Z746" s="120"/>
      <c r="AA746" s="117"/>
      <c r="AB746" s="117"/>
      <c r="AC746" s="462"/>
      <c r="AD746" s="462"/>
      <c r="AE746" s="462"/>
      <c r="AF746" s="463"/>
      <c r="AG746" s="120"/>
      <c r="AH746" s="493"/>
      <c r="AI746" s="120"/>
      <c r="AJ746" s="120"/>
      <c r="AK746" s="120"/>
      <c r="AL746" s="120"/>
      <c r="AM746" s="120"/>
      <c r="AN746" s="120"/>
      <c r="AO746" s="120"/>
      <c r="AP746" s="120"/>
      <c r="AQ746" s="120"/>
      <c r="AR746" s="120"/>
      <c r="AS746" s="120"/>
      <c r="AT746" s="120"/>
      <c r="AU746" s="120"/>
      <c r="AV746" s="128" t="s">
        <v>1412</v>
      </c>
      <c r="AW746" s="117">
        <f>VLOOKUP($D746,'WB Data'!$C$3:$M$578,2,FALSE)</f>
        <v>115308661142.92726</v>
      </c>
      <c r="AX746" s="117">
        <f>VLOOKUP($D746,'WB Data'!$C$3:$M$578,3,FALSE)</f>
        <v>16092701</v>
      </c>
      <c r="AY746" s="847" t="str">
        <f t="shared" si="125"/>
        <v>..</v>
      </c>
      <c r="AZ746" s="117" t="e">
        <f>VLOOKUP($D746,'WB Data'!$C$3:$M$578,4,FALSE)/100</f>
        <v>#VALUE!</v>
      </c>
      <c r="BA746" s="117" t="str">
        <f t="shared" si="126"/>
        <v>..</v>
      </c>
      <c r="BB746" s="129" t="str">
        <f>IFERROR(VLOOKUP($D746,'EITI Revenues'!$C$2:$G$224,5,FALSE),"..")</f>
        <v>..</v>
      </c>
      <c r="BC746" s="846" t="str">
        <f t="shared" si="127"/>
        <v>..</v>
      </c>
      <c r="BD746" s="129">
        <f>VLOOKUP($D746,'WB Data 2'!$C$2:$K$545,6,FALSE)</f>
        <v>35331249770.975067</v>
      </c>
      <c r="BE746" s="129">
        <f>IFERROR(VLOOKUP($D746,UNCTAD!$C$5:$V$529,4,FALSE),"..")</f>
        <v>48027080000</v>
      </c>
      <c r="BF746" s="846">
        <f t="shared" si="128"/>
        <v>0.73565267284571678</v>
      </c>
      <c r="BG746" s="117">
        <f>VLOOKUP($D746,'WB Data'!$C$3:$M$578,5,FALSE)</f>
        <v>297500000</v>
      </c>
      <c r="BH746" s="129" t="str">
        <f>IFERROR($BB746/$BG746,"..")</f>
        <v>..</v>
      </c>
      <c r="BI746" s="117">
        <f>IFERROR(VLOOKUP($D746,'WB Data'!$C$3:$M$578,7,FALSE)/100,"..")</f>
        <v>3.0607199999999998E-2</v>
      </c>
      <c r="BJ746" s="117">
        <f>IFERROR($BI746*$AW746,"..")</f>
        <v>3529275253.3338032</v>
      </c>
      <c r="BK746" s="846" t="str">
        <f>IFERROR($BB746/$BJ746,"..")</f>
        <v>..</v>
      </c>
      <c r="BL746" s="117">
        <f>IFERROR(VLOOKUP($D746,'WB Data'!$C$3:$M$578,7,FALSE)/100,"..")</f>
        <v>3.0607199999999998E-2</v>
      </c>
      <c r="BM746" s="117">
        <f>IFERROR($AW746*$BL746,"..")</f>
        <v>3529275253.3338032</v>
      </c>
      <c r="BN746" s="846" t="str">
        <f>IFERROR($BB746/$BM746,"..")</f>
        <v>..</v>
      </c>
      <c r="BO746" s="801">
        <f t="shared" si="124"/>
        <v>29</v>
      </c>
      <c r="BP746" s="117">
        <f>VLOOKUP($D746,'WB Data'!$C$3:$M$578,9,FALSE)</f>
        <v>8.1999999999999993</v>
      </c>
      <c r="BQ746" s="117">
        <f>VLOOKUP($D746,'WB Data'!$C$3:$M$578,10,FALSE)</f>
        <v>68.429268292682934</v>
      </c>
      <c r="BR746" s="117">
        <f>VLOOKUP($D746,'WB Data'!$C$3:$M$578,11,FALSE)</f>
        <v>21.1</v>
      </c>
      <c r="BS746" s="129">
        <f>IFERROR(VLOOKUP($D746,'WB Data 2'!$C$2:$K$545,9,FALSE),"..")</f>
        <v>98.118610000000004</v>
      </c>
      <c r="BT746" s="129">
        <f>_xlfn.IFNA(VLOOKUP($C746,RGI!$A$2:$C$43,2,FALSE),"..")</f>
        <v>77.5</v>
      </c>
      <c r="BU746" s="129">
        <f>_xlfn.IFNA(VLOOKUP($C746,RGI!$A$2:$C$43,3,FALSE),"..")</f>
        <v>57.362887635782535</v>
      </c>
      <c r="BV746" s="129">
        <f>VLOOKUP($D746,WGI!$C$2:$O$478,7,FALSE)</f>
        <v>-1.0437228644659999</v>
      </c>
      <c r="BW746" s="129">
        <f>VLOOKUP($D746,WGI!$C$2:$O$478,4,FALSE)</f>
        <v>0.74874515291924304</v>
      </c>
      <c r="BX746" s="129">
        <f>VLOOKUP($D746,WGI!$C$2:$O$478,3,FALSE)</f>
        <v>-0.36180551130907501</v>
      </c>
      <c r="BY746" s="129">
        <f>VLOOKUP($D746,WGI!$C$2:$O$478,5,FALSE)</f>
        <v>-0.32490139377488098</v>
      </c>
      <c r="BZ746" s="129">
        <f>VLOOKUP($D746,WGI!$C$2:$O$478,2,FALSE)</f>
        <v>-0.88404358302178698</v>
      </c>
    </row>
    <row r="747" spans="1:80" ht="15" customHeight="1">
      <c r="A747" s="280" t="s">
        <v>273</v>
      </c>
      <c r="B747" s="117">
        <v>2009</v>
      </c>
      <c r="C747" s="117" t="s">
        <v>280</v>
      </c>
      <c r="D747" s="117" t="s">
        <v>3634</v>
      </c>
      <c r="E747" s="452" t="s">
        <v>39</v>
      </c>
      <c r="F747" s="117"/>
      <c r="G747" s="117" t="s">
        <v>24</v>
      </c>
      <c r="H747" s="117" t="str">
        <f t="shared" si="120"/>
        <v>yes</v>
      </c>
      <c r="I747" s="117" t="str">
        <f t="shared" si="121"/>
        <v>no</v>
      </c>
      <c r="J747" s="117" t="str">
        <f t="shared" si="122"/>
        <v>no</v>
      </c>
      <c r="K747" s="120" t="s">
        <v>1438</v>
      </c>
      <c r="L747" s="117" t="str">
        <f t="shared" si="129"/>
        <v>detailed</v>
      </c>
      <c r="M747" s="117" t="str">
        <f t="shared" si="123"/>
        <v>detailed Mining</v>
      </c>
      <c r="N747" s="89">
        <v>16800</v>
      </c>
      <c r="O747" s="89"/>
      <c r="P747" s="89"/>
      <c r="Q747" s="89"/>
      <c r="R747" s="89"/>
      <c r="S747" s="120" t="s">
        <v>610</v>
      </c>
      <c r="T747" s="119">
        <v>15580</v>
      </c>
      <c r="U747" s="120" t="s">
        <v>611</v>
      </c>
      <c r="V747" s="117" t="s">
        <v>1439</v>
      </c>
      <c r="W747" s="89">
        <f>N747*T747</f>
        <v>261744000</v>
      </c>
      <c r="X747" s="120"/>
      <c r="Y747" s="120"/>
      <c r="Z747" s="120"/>
      <c r="AA747" s="117"/>
      <c r="AB747" s="117"/>
      <c r="AC747" s="462"/>
      <c r="AD747" s="462"/>
      <c r="AE747" s="462"/>
      <c r="AF747" s="463"/>
      <c r="AG747" s="120"/>
      <c r="AH747" s="493"/>
      <c r="AI747" s="120"/>
      <c r="AJ747" s="120"/>
      <c r="AK747" s="120"/>
      <c r="AL747" s="120"/>
      <c r="AM747" s="120"/>
      <c r="AN747" s="120"/>
      <c r="AO747" s="120"/>
      <c r="AP747" s="120"/>
      <c r="AQ747" s="120"/>
      <c r="AR747" s="120"/>
      <c r="AS747" s="120"/>
      <c r="AT747" s="120"/>
      <c r="AU747" s="120"/>
      <c r="AV747" s="128" t="s">
        <v>1412</v>
      </c>
      <c r="AW747" s="117">
        <f>VLOOKUP($D747,'WB Data'!$C$3:$M$578,2,FALSE)</f>
        <v>115308661142.92726</v>
      </c>
      <c r="AX747" s="117">
        <f>VLOOKUP($D747,'WB Data'!$C$3:$M$578,3,FALSE)</f>
        <v>16092701</v>
      </c>
      <c r="AY747" s="847" t="str">
        <f t="shared" si="125"/>
        <v>..</v>
      </c>
      <c r="AZ747" s="117" t="e">
        <f>VLOOKUP($D747,'WB Data'!$C$3:$M$578,4,FALSE)/100</f>
        <v>#VALUE!</v>
      </c>
      <c r="BA747" s="117" t="str">
        <f t="shared" si="126"/>
        <v>..</v>
      </c>
      <c r="BB747" s="129" t="str">
        <f>IFERROR(VLOOKUP($D747,'EITI Revenues'!$C$2:$G$224,5,FALSE),"..")</f>
        <v>..</v>
      </c>
      <c r="BC747" s="846" t="str">
        <f t="shared" si="127"/>
        <v>..</v>
      </c>
      <c r="BD747" s="129">
        <f>VLOOKUP($D747,'WB Data 2'!$C$2:$K$545,6,FALSE)</f>
        <v>35331249770.975067</v>
      </c>
      <c r="BE747" s="129">
        <f>IFERROR(VLOOKUP($D747,UNCTAD!$C$5:$V$529,4,FALSE),"..")</f>
        <v>48027080000</v>
      </c>
      <c r="BF747" s="846">
        <f t="shared" si="128"/>
        <v>0.73565267284571678</v>
      </c>
      <c r="BG747" s="117">
        <f>VLOOKUP($D747,'WB Data'!$C$3:$M$578,5,FALSE)</f>
        <v>297500000</v>
      </c>
      <c r="BH747" s="129" t="str">
        <f>IFERROR($BB747/$BG747,"..")</f>
        <v>..</v>
      </c>
      <c r="BI747" s="117">
        <f>IFERROR(VLOOKUP($D747,'WB Data'!$C$3:$M$578,7,FALSE)/100,"..")</f>
        <v>3.0607199999999998E-2</v>
      </c>
      <c r="BJ747" s="117">
        <f>IFERROR($BI747*$AW747,"..")</f>
        <v>3529275253.3338032</v>
      </c>
      <c r="BK747" s="846" t="str">
        <f>IFERROR($BB747/$BJ747,"..")</f>
        <v>..</v>
      </c>
      <c r="BL747" s="117">
        <f>IFERROR(VLOOKUP($D747,'WB Data'!$C$3:$M$578,7,FALSE)/100,"..")</f>
        <v>3.0607199999999998E-2</v>
      </c>
      <c r="BM747" s="117">
        <f>IFERROR($AW747*$BL747,"..")</f>
        <v>3529275253.3338032</v>
      </c>
      <c r="BN747" s="846" t="str">
        <f>IFERROR($BB747/$BM747,"..")</f>
        <v>..</v>
      </c>
      <c r="BO747" s="801">
        <f t="shared" si="124"/>
        <v>29</v>
      </c>
      <c r="BP747" s="117">
        <f>VLOOKUP($D747,'WB Data'!$C$3:$M$578,9,FALSE)</f>
        <v>8.1999999999999993</v>
      </c>
      <c r="BQ747" s="117">
        <f>VLOOKUP($D747,'WB Data'!$C$3:$M$578,10,FALSE)</f>
        <v>68.429268292682934</v>
      </c>
      <c r="BR747" s="117">
        <f>VLOOKUP($D747,'WB Data'!$C$3:$M$578,11,FALSE)</f>
        <v>21.1</v>
      </c>
      <c r="BS747" s="129">
        <f>IFERROR(VLOOKUP($D747,'WB Data 2'!$C$2:$K$545,9,FALSE),"..")</f>
        <v>98.118610000000004</v>
      </c>
      <c r="BT747" s="129">
        <f>_xlfn.IFNA(VLOOKUP($C747,RGI!$A$2:$C$43,2,FALSE),"..")</f>
        <v>77.5</v>
      </c>
      <c r="BU747" s="129">
        <f>_xlfn.IFNA(VLOOKUP($C747,RGI!$A$2:$C$43,3,FALSE),"..")</f>
        <v>57.362887635782535</v>
      </c>
      <c r="BV747" s="129">
        <f>VLOOKUP($D747,WGI!$C$2:$O$478,7,FALSE)</f>
        <v>-1.0437228644659999</v>
      </c>
      <c r="BW747" s="129">
        <f>VLOOKUP($D747,WGI!$C$2:$O$478,4,FALSE)</f>
        <v>0.74874515291924304</v>
      </c>
      <c r="BX747" s="129">
        <f>VLOOKUP($D747,WGI!$C$2:$O$478,3,FALSE)</f>
        <v>-0.36180551130907501</v>
      </c>
      <c r="BY747" s="129">
        <f>VLOOKUP($D747,WGI!$C$2:$O$478,5,FALSE)</f>
        <v>-0.32490139377488098</v>
      </c>
      <c r="BZ747" s="129">
        <f>VLOOKUP($D747,WGI!$C$2:$O$478,2,FALSE)</f>
        <v>-0.88404358302178698</v>
      </c>
    </row>
    <row r="748" spans="1:80" ht="15" customHeight="1">
      <c r="A748" s="280" t="s">
        <v>273</v>
      </c>
      <c r="B748" s="117">
        <v>2009</v>
      </c>
      <c r="C748" s="117" t="s">
        <v>280</v>
      </c>
      <c r="D748" s="117" t="s">
        <v>3634</v>
      </c>
      <c r="E748" s="452" t="s">
        <v>39</v>
      </c>
      <c r="F748" s="117"/>
      <c r="G748" s="117" t="s">
        <v>24</v>
      </c>
      <c r="H748" s="117" t="str">
        <f t="shared" si="120"/>
        <v>yes</v>
      </c>
      <c r="I748" s="117" t="str">
        <f t="shared" si="121"/>
        <v>no</v>
      </c>
      <c r="J748" s="117" t="str">
        <f t="shared" si="122"/>
        <v>no</v>
      </c>
      <c r="K748" s="120" t="s">
        <v>849</v>
      </c>
      <c r="L748" s="117" t="str">
        <f t="shared" si="129"/>
        <v>detailed</v>
      </c>
      <c r="M748" s="117" t="str">
        <f t="shared" si="123"/>
        <v>detailed Mining</v>
      </c>
      <c r="N748" s="89"/>
      <c r="O748" s="89"/>
      <c r="P748" s="89"/>
      <c r="Q748" s="89"/>
      <c r="R748" s="89"/>
      <c r="S748" s="120"/>
      <c r="T748" s="186">
        <f>1655.11441666667</f>
        <v>1655.11441666667</v>
      </c>
      <c r="U748" s="117" t="s">
        <v>611</v>
      </c>
      <c r="V748" s="117" t="s">
        <v>1440</v>
      </c>
      <c r="W748" s="89">
        <f>N750*T748</f>
        <v>542667329.13575113</v>
      </c>
      <c r="X748" s="120"/>
      <c r="Y748" s="120"/>
      <c r="Z748" s="120"/>
      <c r="AA748" s="117"/>
      <c r="AB748" s="117"/>
      <c r="AC748" s="462"/>
      <c r="AD748" s="462"/>
      <c r="AE748" s="462"/>
      <c r="AF748" s="463"/>
      <c r="AG748" s="120"/>
      <c r="AH748" s="493"/>
      <c r="AI748" s="120"/>
      <c r="AJ748" s="120"/>
      <c r="AK748" s="120"/>
      <c r="AL748" s="120"/>
      <c r="AM748" s="120"/>
      <c r="AN748" s="120"/>
      <c r="AO748" s="120"/>
      <c r="AP748" s="120"/>
      <c r="AQ748" s="120"/>
      <c r="AR748" s="120"/>
      <c r="AS748" s="120"/>
      <c r="AT748" s="120"/>
      <c r="AU748" s="120"/>
      <c r="AV748" s="128" t="s">
        <v>1420</v>
      </c>
      <c r="AW748" s="117">
        <f>VLOOKUP($D748,'WB Data'!$C$3:$M$578,2,FALSE)</f>
        <v>115308661142.92726</v>
      </c>
      <c r="AX748" s="117">
        <f>VLOOKUP($D748,'WB Data'!$C$3:$M$578,3,FALSE)</f>
        <v>16092701</v>
      </c>
      <c r="AY748" s="847" t="str">
        <f t="shared" si="125"/>
        <v>..</v>
      </c>
      <c r="AZ748" s="117" t="e">
        <f>VLOOKUP($D748,'WB Data'!$C$3:$M$578,4,FALSE)/100</f>
        <v>#VALUE!</v>
      </c>
      <c r="BA748" s="117" t="str">
        <f t="shared" si="126"/>
        <v>..</v>
      </c>
      <c r="BB748" s="129" t="str">
        <f>IFERROR(VLOOKUP($D748,'EITI Revenues'!$C$2:$G$224,5,FALSE),"..")</f>
        <v>..</v>
      </c>
      <c r="BC748" s="846" t="str">
        <f t="shared" si="127"/>
        <v>..</v>
      </c>
      <c r="BD748" s="129">
        <f>VLOOKUP($D748,'WB Data 2'!$C$2:$K$545,6,FALSE)</f>
        <v>35331249770.975067</v>
      </c>
      <c r="BE748" s="129">
        <f>IFERROR(VLOOKUP($D748,UNCTAD!$C$5:$V$529,4,FALSE),"..")</f>
        <v>48027080000</v>
      </c>
      <c r="BF748" s="846">
        <f t="shared" si="128"/>
        <v>0.73565267284571678</v>
      </c>
      <c r="BG748" s="117">
        <f>VLOOKUP($D748,'WB Data'!$C$3:$M$578,5,FALSE)</f>
        <v>297500000</v>
      </c>
      <c r="BH748" s="129" t="str">
        <f>IFERROR($BB748/$BG748,"..")</f>
        <v>..</v>
      </c>
      <c r="BI748" s="117">
        <f>IFERROR(VLOOKUP($D748,'WB Data'!$C$3:$M$578,7,FALSE)/100,"..")</f>
        <v>3.0607199999999998E-2</v>
      </c>
      <c r="BJ748" s="117">
        <f>IFERROR($BI748*$AW748,"..")</f>
        <v>3529275253.3338032</v>
      </c>
      <c r="BK748" s="846" t="str">
        <f>IFERROR($BB748/$BJ748,"..")</f>
        <v>..</v>
      </c>
      <c r="BL748" s="117">
        <f>IFERROR(VLOOKUP($D748,'WB Data'!$C$3:$M$578,7,FALSE)/100,"..")</f>
        <v>3.0607199999999998E-2</v>
      </c>
      <c r="BM748" s="117">
        <f>IFERROR($AW748*$BL748,"..")</f>
        <v>3529275253.3338032</v>
      </c>
      <c r="BN748" s="846" t="str">
        <f>IFERROR($BB748/$BM748,"..")</f>
        <v>..</v>
      </c>
      <c r="BO748" s="801">
        <f t="shared" si="124"/>
        <v>29</v>
      </c>
      <c r="BP748" s="117">
        <f>VLOOKUP($D748,'WB Data'!$C$3:$M$578,9,FALSE)</f>
        <v>8.1999999999999993</v>
      </c>
      <c r="BQ748" s="117">
        <f>VLOOKUP($D748,'WB Data'!$C$3:$M$578,10,FALSE)</f>
        <v>68.429268292682934</v>
      </c>
      <c r="BR748" s="117">
        <f>VLOOKUP($D748,'WB Data'!$C$3:$M$578,11,FALSE)</f>
        <v>21.1</v>
      </c>
      <c r="BS748" s="129">
        <f>IFERROR(VLOOKUP($D748,'WB Data 2'!$C$2:$K$545,9,FALSE),"..")</f>
        <v>98.118610000000004</v>
      </c>
      <c r="BT748" s="129">
        <f>_xlfn.IFNA(VLOOKUP($C748,RGI!$A$2:$C$43,2,FALSE),"..")</f>
        <v>77.5</v>
      </c>
      <c r="BU748" s="129">
        <f>_xlfn.IFNA(VLOOKUP($C748,RGI!$A$2:$C$43,3,FALSE),"..")</f>
        <v>57.362887635782535</v>
      </c>
      <c r="BV748" s="129">
        <f>VLOOKUP($D748,WGI!$C$2:$O$478,7,FALSE)</f>
        <v>-1.0437228644659999</v>
      </c>
      <c r="BW748" s="129">
        <f>VLOOKUP($D748,WGI!$C$2:$O$478,4,FALSE)</f>
        <v>0.74874515291924304</v>
      </c>
      <c r="BX748" s="129">
        <f>VLOOKUP($D748,WGI!$C$2:$O$478,3,FALSE)</f>
        <v>-0.36180551130907501</v>
      </c>
      <c r="BY748" s="129">
        <f>VLOOKUP($D748,WGI!$C$2:$O$478,5,FALSE)</f>
        <v>-0.32490139377488098</v>
      </c>
      <c r="BZ748" s="129">
        <f>VLOOKUP($D748,WGI!$C$2:$O$478,2,FALSE)</f>
        <v>-0.88404358302178698</v>
      </c>
    </row>
    <row r="749" spans="1:80" ht="15" customHeight="1">
      <c r="A749" s="280" t="s">
        <v>273</v>
      </c>
      <c r="B749" s="117">
        <v>2009</v>
      </c>
      <c r="C749" s="117" t="s">
        <v>280</v>
      </c>
      <c r="D749" s="117" t="s">
        <v>3634</v>
      </c>
      <c r="E749" s="452" t="s">
        <v>39</v>
      </c>
      <c r="F749" s="117"/>
      <c r="G749" s="117" t="s">
        <v>24</v>
      </c>
      <c r="H749" s="117" t="str">
        <f t="shared" si="120"/>
        <v>yes</v>
      </c>
      <c r="I749" s="117" t="str">
        <f t="shared" si="121"/>
        <v>no</v>
      </c>
      <c r="J749" s="117" t="str">
        <f t="shared" si="122"/>
        <v>no</v>
      </c>
      <c r="K749" s="120" t="s">
        <v>1441</v>
      </c>
      <c r="L749" s="117" t="str">
        <f t="shared" si="129"/>
        <v>detailed</v>
      </c>
      <c r="M749" s="117" t="str">
        <f t="shared" si="123"/>
        <v>detailed Mining</v>
      </c>
      <c r="N749" s="89">
        <v>410000</v>
      </c>
      <c r="O749" s="89"/>
      <c r="P749" s="89"/>
      <c r="Q749" s="89"/>
      <c r="R749" s="89"/>
      <c r="S749" s="89" t="s">
        <v>610</v>
      </c>
      <c r="T749" s="119"/>
      <c r="U749" s="120"/>
      <c r="V749" s="117" t="s">
        <v>847</v>
      </c>
      <c r="W749" s="89"/>
      <c r="X749" s="120"/>
      <c r="Y749" s="120"/>
      <c r="Z749" s="120"/>
      <c r="AA749" s="117"/>
      <c r="AB749" s="117"/>
      <c r="AC749" s="462"/>
      <c r="AD749" s="462"/>
      <c r="AE749" s="462"/>
      <c r="AF749" s="463"/>
      <c r="AG749" s="120"/>
      <c r="AH749" s="493"/>
      <c r="AI749" s="120"/>
      <c r="AJ749" s="120"/>
      <c r="AK749" s="120"/>
      <c r="AL749" s="120"/>
      <c r="AM749" s="120"/>
      <c r="AN749" s="120"/>
      <c r="AO749" s="120"/>
      <c r="AP749" s="120"/>
      <c r="AQ749" s="120"/>
      <c r="AR749" s="120"/>
      <c r="AS749" s="120"/>
      <c r="AT749" s="120"/>
      <c r="AU749" s="120"/>
      <c r="AV749" s="128"/>
      <c r="AW749" s="117">
        <f>VLOOKUP($D749,'WB Data'!$C$3:$M$578,2,FALSE)</f>
        <v>115308661142.92726</v>
      </c>
      <c r="AX749" s="117">
        <f>VLOOKUP($D749,'WB Data'!$C$3:$M$578,3,FALSE)</f>
        <v>16092701</v>
      </c>
      <c r="AY749" s="847" t="str">
        <f t="shared" si="125"/>
        <v>..</v>
      </c>
      <c r="AZ749" s="117" t="e">
        <f>VLOOKUP($D749,'WB Data'!$C$3:$M$578,4,FALSE)/100</f>
        <v>#VALUE!</v>
      </c>
      <c r="BA749" s="117" t="str">
        <f t="shared" si="126"/>
        <v>..</v>
      </c>
      <c r="BB749" s="129" t="str">
        <f>IFERROR(VLOOKUP($D749,'EITI Revenues'!$C$2:$G$224,5,FALSE),"..")</f>
        <v>..</v>
      </c>
      <c r="BC749" s="846" t="str">
        <f t="shared" si="127"/>
        <v>..</v>
      </c>
      <c r="BD749" s="129">
        <f>VLOOKUP($D749,'WB Data 2'!$C$2:$K$545,6,FALSE)</f>
        <v>35331249770.975067</v>
      </c>
      <c r="BE749" s="129">
        <f>IFERROR(VLOOKUP($D749,UNCTAD!$C$5:$V$529,4,FALSE),"..")</f>
        <v>48027080000</v>
      </c>
      <c r="BF749" s="846">
        <f t="shared" si="128"/>
        <v>0.73565267284571678</v>
      </c>
      <c r="BG749" s="117">
        <f>VLOOKUP($D749,'WB Data'!$C$3:$M$578,5,FALSE)</f>
        <v>297500000</v>
      </c>
      <c r="BH749" s="129" t="str">
        <f>IFERROR($BB749/$BG749,"..")</f>
        <v>..</v>
      </c>
      <c r="BI749" s="117">
        <f>IFERROR(VLOOKUP($D749,'WB Data'!$C$3:$M$578,7,FALSE)/100,"..")</f>
        <v>3.0607199999999998E-2</v>
      </c>
      <c r="BJ749" s="117">
        <f>IFERROR($BI749*$AW749,"..")</f>
        <v>3529275253.3338032</v>
      </c>
      <c r="BK749" s="846" t="str">
        <f>IFERROR($BB749/$BJ749,"..")</f>
        <v>..</v>
      </c>
      <c r="BL749" s="117">
        <f>IFERROR(VLOOKUP($D749,'WB Data'!$C$3:$M$578,7,FALSE)/100,"..")</f>
        <v>3.0607199999999998E-2</v>
      </c>
      <c r="BM749" s="117">
        <f>IFERROR($AW749*$BL749,"..")</f>
        <v>3529275253.3338032</v>
      </c>
      <c r="BN749" s="846" t="str">
        <f>IFERROR($BB749/$BM749,"..")</f>
        <v>..</v>
      </c>
      <c r="BO749" s="801">
        <f t="shared" si="124"/>
        <v>29</v>
      </c>
      <c r="BP749" s="117">
        <f>VLOOKUP($D749,'WB Data'!$C$3:$M$578,9,FALSE)</f>
        <v>8.1999999999999993</v>
      </c>
      <c r="BQ749" s="117">
        <f>VLOOKUP($D749,'WB Data'!$C$3:$M$578,10,FALSE)</f>
        <v>68.429268292682934</v>
      </c>
      <c r="BR749" s="117">
        <f>VLOOKUP($D749,'WB Data'!$C$3:$M$578,11,FALSE)</f>
        <v>21.1</v>
      </c>
      <c r="BS749" s="129">
        <f>IFERROR(VLOOKUP($D749,'WB Data 2'!$C$2:$K$545,9,FALSE),"..")</f>
        <v>98.118610000000004</v>
      </c>
      <c r="BT749" s="129">
        <f>_xlfn.IFNA(VLOOKUP($C749,RGI!$A$2:$C$43,2,FALSE),"..")</f>
        <v>77.5</v>
      </c>
      <c r="BU749" s="129">
        <f>_xlfn.IFNA(VLOOKUP($C749,RGI!$A$2:$C$43,3,FALSE),"..")</f>
        <v>57.362887635782535</v>
      </c>
      <c r="BV749" s="129">
        <f>VLOOKUP($D749,WGI!$C$2:$O$478,7,FALSE)</f>
        <v>-1.0437228644659999</v>
      </c>
      <c r="BW749" s="129">
        <f>VLOOKUP($D749,WGI!$C$2:$O$478,4,FALSE)</f>
        <v>0.74874515291924304</v>
      </c>
      <c r="BX749" s="129">
        <f>VLOOKUP($D749,WGI!$C$2:$O$478,3,FALSE)</f>
        <v>-0.36180551130907501</v>
      </c>
      <c r="BY749" s="129">
        <f>VLOOKUP($D749,WGI!$C$2:$O$478,5,FALSE)</f>
        <v>-0.32490139377488098</v>
      </c>
      <c r="BZ749" s="129">
        <f>VLOOKUP($D749,WGI!$C$2:$O$478,2,FALSE)</f>
        <v>-0.88404358302178698</v>
      </c>
    </row>
    <row r="750" spans="1:80" ht="15" customHeight="1">
      <c r="A750" s="280" t="s">
        <v>273</v>
      </c>
      <c r="B750" s="117">
        <v>2009</v>
      </c>
      <c r="C750" s="117" t="s">
        <v>280</v>
      </c>
      <c r="D750" s="117" t="s">
        <v>3634</v>
      </c>
      <c r="E750" s="452" t="s">
        <v>39</v>
      </c>
      <c r="F750" s="117"/>
      <c r="G750" s="117" t="s">
        <v>24</v>
      </c>
      <c r="H750" s="117" t="str">
        <f t="shared" si="120"/>
        <v>yes</v>
      </c>
      <c r="I750" s="117" t="str">
        <f t="shared" si="121"/>
        <v>no</v>
      </c>
      <c r="J750" s="117" t="str">
        <f t="shared" si="122"/>
        <v>no</v>
      </c>
      <c r="K750" s="120" t="s">
        <v>1442</v>
      </c>
      <c r="L750" s="117" t="str">
        <f t="shared" si="129"/>
        <v>detailed</v>
      </c>
      <c r="M750" s="117" t="str">
        <f t="shared" si="123"/>
        <v>detailed Mining</v>
      </c>
      <c r="N750" s="89">
        <v>327873</v>
      </c>
      <c r="O750" s="89"/>
      <c r="P750" s="89"/>
      <c r="Q750" s="89"/>
      <c r="R750" s="89"/>
      <c r="S750" s="89" t="s">
        <v>610</v>
      </c>
      <c r="T750" s="119"/>
      <c r="U750" s="120"/>
      <c r="V750" s="117" t="s">
        <v>847</v>
      </c>
      <c r="W750" s="89"/>
      <c r="X750" s="120"/>
      <c r="Y750" s="120"/>
      <c r="Z750" s="120"/>
      <c r="AA750" s="117"/>
      <c r="AB750" s="117"/>
      <c r="AC750" s="462"/>
      <c r="AD750" s="462"/>
      <c r="AE750" s="462"/>
      <c r="AF750" s="463"/>
      <c r="AG750" s="120"/>
      <c r="AH750" s="493"/>
      <c r="AI750" s="120"/>
      <c r="AJ750" s="120"/>
      <c r="AK750" s="120"/>
      <c r="AL750" s="120"/>
      <c r="AM750" s="120"/>
      <c r="AN750" s="120"/>
      <c r="AO750" s="120"/>
      <c r="AP750" s="120"/>
      <c r="AQ750" s="120"/>
      <c r="AR750" s="120"/>
      <c r="AS750" s="120"/>
      <c r="AT750" s="120"/>
      <c r="AU750" s="120"/>
      <c r="AV750" s="128"/>
      <c r="AW750" s="117">
        <f>VLOOKUP($D750,'WB Data'!$C$3:$M$578,2,FALSE)</f>
        <v>115308661142.92726</v>
      </c>
      <c r="AX750" s="117">
        <f>VLOOKUP($D750,'WB Data'!$C$3:$M$578,3,FALSE)</f>
        <v>16092701</v>
      </c>
      <c r="AY750" s="847" t="str">
        <f t="shared" si="125"/>
        <v>..</v>
      </c>
      <c r="AZ750" s="117" t="e">
        <f>VLOOKUP($D750,'WB Data'!$C$3:$M$578,4,FALSE)/100</f>
        <v>#VALUE!</v>
      </c>
      <c r="BA750" s="117" t="str">
        <f t="shared" si="126"/>
        <v>..</v>
      </c>
      <c r="BB750" s="129" t="str">
        <f>IFERROR(VLOOKUP($D750,'EITI Revenues'!$C$2:$G$224,5,FALSE),"..")</f>
        <v>..</v>
      </c>
      <c r="BC750" s="846" t="str">
        <f t="shared" si="127"/>
        <v>..</v>
      </c>
      <c r="BD750" s="129">
        <f>VLOOKUP($D750,'WB Data 2'!$C$2:$K$545,6,FALSE)</f>
        <v>35331249770.975067</v>
      </c>
      <c r="BE750" s="129">
        <f>IFERROR(VLOOKUP($D750,UNCTAD!$C$5:$V$529,4,FALSE),"..")</f>
        <v>48027080000</v>
      </c>
      <c r="BF750" s="846">
        <f t="shared" si="128"/>
        <v>0.73565267284571678</v>
      </c>
      <c r="BG750" s="117">
        <f>VLOOKUP($D750,'WB Data'!$C$3:$M$578,5,FALSE)</f>
        <v>297500000</v>
      </c>
      <c r="BH750" s="129" t="str">
        <f>IFERROR($BB750/$BG750,"..")</f>
        <v>..</v>
      </c>
      <c r="BI750" s="117">
        <f>IFERROR(VLOOKUP($D750,'WB Data'!$C$3:$M$578,7,FALSE)/100,"..")</f>
        <v>3.0607199999999998E-2</v>
      </c>
      <c r="BJ750" s="117">
        <f>IFERROR($BI750*$AW750,"..")</f>
        <v>3529275253.3338032</v>
      </c>
      <c r="BK750" s="846" t="str">
        <f>IFERROR($BB750/$BJ750,"..")</f>
        <v>..</v>
      </c>
      <c r="BL750" s="117">
        <f>IFERROR(VLOOKUP($D750,'WB Data'!$C$3:$M$578,7,FALSE)/100,"..")</f>
        <v>3.0607199999999998E-2</v>
      </c>
      <c r="BM750" s="117">
        <f>IFERROR($AW750*$BL750,"..")</f>
        <v>3529275253.3338032</v>
      </c>
      <c r="BN750" s="846" t="str">
        <f>IFERROR($BB750/$BM750,"..")</f>
        <v>..</v>
      </c>
      <c r="BO750" s="801">
        <f t="shared" si="124"/>
        <v>29</v>
      </c>
      <c r="BP750" s="117">
        <f>VLOOKUP($D750,'WB Data'!$C$3:$M$578,9,FALSE)</f>
        <v>8.1999999999999993</v>
      </c>
      <c r="BQ750" s="117">
        <f>VLOOKUP($D750,'WB Data'!$C$3:$M$578,10,FALSE)</f>
        <v>68.429268292682934</v>
      </c>
      <c r="BR750" s="117">
        <f>VLOOKUP($D750,'WB Data'!$C$3:$M$578,11,FALSE)</f>
        <v>21.1</v>
      </c>
      <c r="BS750" s="129">
        <f>IFERROR(VLOOKUP($D750,'WB Data 2'!$C$2:$K$545,9,FALSE),"..")</f>
        <v>98.118610000000004</v>
      </c>
      <c r="BT750" s="129">
        <f>_xlfn.IFNA(VLOOKUP($C750,RGI!$A$2:$C$43,2,FALSE),"..")</f>
        <v>77.5</v>
      </c>
      <c r="BU750" s="129">
        <f>_xlfn.IFNA(VLOOKUP($C750,RGI!$A$2:$C$43,3,FALSE),"..")</f>
        <v>57.362887635782535</v>
      </c>
      <c r="BV750" s="129">
        <f>VLOOKUP($D750,WGI!$C$2:$O$478,7,FALSE)</f>
        <v>-1.0437228644659999</v>
      </c>
      <c r="BW750" s="129">
        <f>VLOOKUP($D750,WGI!$C$2:$O$478,4,FALSE)</f>
        <v>0.74874515291924304</v>
      </c>
      <c r="BX750" s="129">
        <f>VLOOKUP($D750,WGI!$C$2:$O$478,3,FALSE)</f>
        <v>-0.36180551130907501</v>
      </c>
      <c r="BY750" s="129">
        <f>VLOOKUP($D750,WGI!$C$2:$O$478,5,FALSE)</f>
        <v>-0.32490139377488098</v>
      </c>
      <c r="BZ750" s="129">
        <f>VLOOKUP($D750,WGI!$C$2:$O$478,2,FALSE)</f>
        <v>-0.88404358302178698</v>
      </c>
    </row>
    <row r="751" spans="1:80" s="144" customFormat="1" ht="15" customHeight="1">
      <c r="A751" s="279" t="s">
        <v>275</v>
      </c>
      <c r="B751" s="132">
        <v>2010</v>
      </c>
      <c r="C751" s="132" t="s">
        <v>280</v>
      </c>
      <c r="D751" s="117" t="s">
        <v>3668</v>
      </c>
      <c r="E751" s="450" t="s">
        <v>39</v>
      </c>
      <c r="F751" s="132" t="s">
        <v>1390</v>
      </c>
      <c r="G751" s="132" t="s">
        <v>35</v>
      </c>
      <c r="H751" s="117" t="str">
        <f t="shared" si="120"/>
        <v>yes</v>
      </c>
      <c r="I751" s="117" t="str">
        <f t="shared" si="121"/>
        <v>yes</v>
      </c>
      <c r="J751" s="117" t="str">
        <f t="shared" si="122"/>
        <v>yes</v>
      </c>
      <c r="K751" s="132" t="s">
        <v>709</v>
      </c>
      <c r="L751" s="117" t="str">
        <f t="shared" si="129"/>
        <v>Total</v>
      </c>
      <c r="M751" s="117" t="str">
        <f t="shared" si="123"/>
        <v>Total Oil, Gas, Mining</v>
      </c>
      <c r="N751" s="238"/>
      <c r="O751" s="238"/>
      <c r="P751" s="238"/>
      <c r="Q751" s="238"/>
      <c r="R751" s="238"/>
      <c r="S751" s="132"/>
      <c r="T751" s="134"/>
      <c r="U751" s="132"/>
      <c r="V751" s="132"/>
      <c r="W751" s="135">
        <f>W752+W755</f>
        <v>68560811535.392632</v>
      </c>
      <c r="X751" s="132" t="s">
        <v>1307</v>
      </c>
      <c r="Y751" s="132" t="s">
        <v>602</v>
      </c>
      <c r="Z751" s="132" t="s">
        <v>603</v>
      </c>
      <c r="AA751" s="325">
        <v>20754211560</v>
      </c>
      <c r="AB751" s="325">
        <v>20787323350</v>
      </c>
      <c r="AC751" s="138"/>
      <c r="AD751" s="160"/>
      <c r="AE751" s="138"/>
      <c r="AF751" s="139">
        <f>AA751/W751</f>
        <v>0.30271245475684327</v>
      </c>
      <c r="AG751" s="132" t="s">
        <v>1391</v>
      </c>
      <c r="AH751" s="140">
        <v>145.5</v>
      </c>
      <c r="AI751" s="132" t="s">
        <v>722</v>
      </c>
      <c r="AJ751" s="132"/>
      <c r="AK751" s="135"/>
      <c r="AL751" s="132"/>
      <c r="AM751" s="132"/>
      <c r="AN751" s="132">
        <v>173</v>
      </c>
      <c r="AO751" s="132" t="s">
        <v>1443</v>
      </c>
      <c r="AP751" s="132">
        <v>164</v>
      </c>
      <c r="AQ751" s="132" t="s">
        <v>44</v>
      </c>
      <c r="AR751" s="141">
        <v>41922</v>
      </c>
      <c r="AS751" s="132" t="s">
        <v>1402</v>
      </c>
      <c r="AT751" s="132" t="s">
        <v>1444</v>
      </c>
      <c r="AU751" s="229" t="s">
        <v>816</v>
      </c>
      <c r="AV751" s="143" t="s">
        <v>1445</v>
      </c>
      <c r="AW751" s="117">
        <f>VLOOKUP($D751,'WB Data'!$C$3:$M$578,2,FALSE)</f>
        <v>148047348240.64334</v>
      </c>
      <c r="AX751" s="117">
        <f>VLOOKUP($D751,'WB Data'!$C$3:$M$578,3,FALSE)</f>
        <v>16321581</v>
      </c>
      <c r="AY751" s="847" t="str">
        <f t="shared" si="125"/>
        <v>..</v>
      </c>
      <c r="AZ751" s="117" t="e">
        <f>VLOOKUP($D751,'WB Data'!$C$3:$M$578,4,FALSE)/100</f>
        <v>#VALUE!</v>
      </c>
      <c r="BA751" s="117" t="str">
        <f t="shared" si="126"/>
        <v>..</v>
      </c>
      <c r="BB751" s="129" t="str">
        <f>IFERROR(VLOOKUP($D751,'EITI Revenues'!$C$2:$G$224,5,FALSE),"..")</f>
        <v>..</v>
      </c>
      <c r="BC751" s="846" t="str">
        <f t="shared" si="127"/>
        <v>..</v>
      </c>
      <c r="BD751" s="129">
        <f>VLOOKUP($D751,'WB Data 2'!$C$2:$K$545,6,FALSE)</f>
        <v>50455901483.121315</v>
      </c>
      <c r="BE751" s="129">
        <f>IFERROR(VLOOKUP($D751,UNCTAD!$C$5:$V$529,4,FALSE),"..")</f>
        <v>65510660000</v>
      </c>
      <c r="BF751" s="846">
        <f t="shared" si="128"/>
        <v>0.77019375904808951</v>
      </c>
      <c r="BG751" s="117">
        <f>VLOOKUP($D751,'WB Data'!$C$3:$M$578,5,FALSE)</f>
        <v>223930000</v>
      </c>
      <c r="BH751" s="129" t="str">
        <f>IFERROR($BB751/$BG751,"..")</f>
        <v>..</v>
      </c>
      <c r="BI751" s="117" t="str">
        <f>IFERROR(VLOOKUP($D751,'WB Data'!$C$3:$M$578,7,FALSE)/100,"..")</f>
        <v>..</v>
      </c>
      <c r="BJ751" s="117" t="str">
        <f>IFERROR($BI751*$AW751,"..")</f>
        <v>..</v>
      </c>
      <c r="BK751" s="846" t="str">
        <f>IFERROR($BB751/$BJ751,"..")</f>
        <v>..</v>
      </c>
      <c r="BL751" s="117" t="str">
        <f>IFERROR(VLOOKUP($D751,'WB Data'!$C$3:$M$578,7,FALSE)/100,"..")</f>
        <v>..</v>
      </c>
      <c r="BM751" s="117" t="str">
        <f>IFERROR($AW751*$BL751,"..")</f>
        <v>..</v>
      </c>
      <c r="BN751" s="846" t="str">
        <f>IFERROR($BB751/$BM751,"..")</f>
        <v>..</v>
      </c>
      <c r="BO751" s="801">
        <f t="shared" si="124"/>
        <v>29</v>
      </c>
      <c r="BP751" s="117">
        <f>VLOOKUP($D751,'WB Data'!$C$3:$M$578,9,FALSE)</f>
        <v>6.5</v>
      </c>
      <c r="BQ751" s="117">
        <f>VLOOKUP($D751,'WB Data'!$C$3:$M$578,10,FALSE)</f>
        <v>68.295365853658538</v>
      </c>
      <c r="BR751" s="117">
        <f>VLOOKUP($D751,'WB Data'!$C$3:$M$578,11,FALSE)</f>
        <v>19.3</v>
      </c>
      <c r="BS751" s="129">
        <f>IFERROR(VLOOKUP($D751,'WB Data 2'!$C$2:$K$545,9,FALSE),"..")</f>
        <v>97.410539999999997</v>
      </c>
      <c r="BT751" s="129">
        <f>_xlfn.IFNA(VLOOKUP($C751,RGI!$A$2:$C$43,2,FALSE),"..")</f>
        <v>77.5</v>
      </c>
      <c r="BU751" s="129">
        <f>_xlfn.IFNA(VLOOKUP($C751,RGI!$A$2:$C$43,3,FALSE),"..")</f>
        <v>57.362887635782535</v>
      </c>
      <c r="BV751" s="129">
        <f>VLOOKUP($D751,WGI!$C$2:$O$478,7,FALSE)</f>
        <v>-1.1020684613614</v>
      </c>
      <c r="BW751" s="129">
        <f>VLOOKUP($D751,WGI!$C$2:$O$478,4,FALSE)</f>
        <v>0.45235036310351401</v>
      </c>
      <c r="BX751" s="129">
        <f>VLOOKUP($D751,WGI!$C$2:$O$478,3,FALSE)</f>
        <v>-0.42554743484187901</v>
      </c>
      <c r="BY751" s="129">
        <f>VLOOKUP($D751,WGI!$C$2:$O$478,5,FALSE)</f>
        <v>-0.336527196038655</v>
      </c>
      <c r="BZ751" s="129">
        <f>VLOOKUP($D751,WGI!$C$2:$O$478,2,FALSE)</f>
        <v>-0.97534524891083396</v>
      </c>
      <c r="CB751" s="129"/>
    </row>
    <row r="752" spans="1:80" s="120" customFormat="1" ht="15" customHeight="1">
      <c r="A752" s="280" t="s">
        <v>275</v>
      </c>
      <c r="B752" s="117">
        <v>2010</v>
      </c>
      <c r="C752" s="117" t="s">
        <v>280</v>
      </c>
      <c r="D752" s="117" t="s">
        <v>3668</v>
      </c>
      <c r="E752" s="452" t="s">
        <v>39</v>
      </c>
      <c r="F752" s="117"/>
      <c r="G752" s="117" t="s">
        <v>55</v>
      </c>
      <c r="H752" s="117" t="str">
        <f t="shared" si="120"/>
        <v>no</v>
      </c>
      <c r="I752" s="117" t="str">
        <f t="shared" si="121"/>
        <v>yes</v>
      </c>
      <c r="J752" s="117" t="str">
        <f t="shared" si="122"/>
        <v>yes</v>
      </c>
      <c r="K752" s="117" t="s">
        <v>640</v>
      </c>
      <c r="L752" s="117" t="str">
        <f t="shared" si="129"/>
        <v>Total</v>
      </c>
      <c r="M752" s="117" t="str">
        <f t="shared" si="123"/>
        <v>Total Oil, Gas</v>
      </c>
      <c r="N752" s="179"/>
      <c r="O752" s="179"/>
      <c r="P752" s="179"/>
      <c r="Q752" s="179"/>
      <c r="R752" s="179"/>
      <c r="S752" s="117"/>
      <c r="T752" s="119"/>
      <c r="U752" s="117"/>
      <c r="V752" s="117"/>
      <c r="W752" s="89">
        <f>SUM(W753:W754)</f>
        <v>53265113965.715019</v>
      </c>
      <c r="X752" s="117"/>
      <c r="Y752" s="117"/>
      <c r="Z752" s="117"/>
      <c r="AA752" s="177">
        <v>17840438480</v>
      </c>
      <c r="AB752" s="177">
        <v>17844153130</v>
      </c>
      <c r="AC752" s="122"/>
      <c r="AD752" s="122"/>
      <c r="AE752" s="122"/>
      <c r="AF752" s="123">
        <f>AA752/W752</f>
        <v>0.33493664336254486</v>
      </c>
      <c r="AG752" s="117"/>
      <c r="AH752" s="124"/>
      <c r="AI752" s="117"/>
      <c r="AJ752" s="117"/>
      <c r="AK752" s="89"/>
      <c r="AL752" s="117"/>
      <c r="AM752" s="117"/>
      <c r="AN752" s="117">
        <v>72</v>
      </c>
      <c r="AO752" s="117" t="s">
        <v>1446</v>
      </c>
      <c r="AP752" s="117">
        <v>71</v>
      </c>
      <c r="AQ752" s="117"/>
      <c r="AR752" s="126"/>
      <c r="AS752" s="117"/>
      <c r="AT752" s="117"/>
      <c r="AU752" s="215" t="s">
        <v>1447</v>
      </c>
      <c r="AV752" s="128"/>
      <c r="AW752" s="117">
        <f>VLOOKUP($D752,'WB Data'!$C$3:$M$578,2,FALSE)</f>
        <v>148047348240.64334</v>
      </c>
      <c r="AX752" s="117">
        <f>VLOOKUP($D752,'WB Data'!$C$3:$M$578,3,FALSE)</f>
        <v>16321581</v>
      </c>
      <c r="AY752" s="847" t="str">
        <f t="shared" si="125"/>
        <v>..</v>
      </c>
      <c r="AZ752" s="117" t="e">
        <f>VLOOKUP($D752,'WB Data'!$C$3:$M$578,4,FALSE)/100</f>
        <v>#VALUE!</v>
      </c>
      <c r="BA752" s="117" t="str">
        <f t="shared" si="126"/>
        <v>..</v>
      </c>
      <c r="BB752" s="129" t="str">
        <f>IFERROR(VLOOKUP($D752,'EITI Revenues'!$C$2:$G$224,5,FALSE),"..")</f>
        <v>..</v>
      </c>
      <c r="BC752" s="846" t="str">
        <f t="shared" si="127"/>
        <v>..</v>
      </c>
      <c r="BD752" s="129">
        <f>VLOOKUP($D752,'WB Data 2'!$C$2:$K$545,6,FALSE)</f>
        <v>50455901483.121315</v>
      </c>
      <c r="BE752" s="129">
        <f>IFERROR(VLOOKUP($D752,UNCTAD!$C$5:$V$529,4,FALSE),"..")</f>
        <v>65510660000</v>
      </c>
      <c r="BF752" s="846">
        <f t="shared" si="128"/>
        <v>0.77019375904808951</v>
      </c>
      <c r="BG752" s="117">
        <f>VLOOKUP($D752,'WB Data'!$C$3:$M$578,5,FALSE)</f>
        <v>223930000</v>
      </c>
      <c r="BH752" s="129" t="str">
        <f>IFERROR($BB752/$BG752,"..")</f>
        <v>..</v>
      </c>
      <c r="BI752" s="117" t="str">
        <f>IFERROR(VLOOKUP($D752,'WB Data'!$C$3:$M$578,7,FALSE)/100,"..")</f>
        <v>..</v>
      </c>
      <c r="BJ752" s="117" t="str">
        <f>IFERROR($BI752*$AW752,"..")</f>
        <v>..</v>
      </c>
      <c r="BK752" s="846" t="str">
        <f>IFERROR($BB752/$BJ752,"..")</f>
        <v>..</v>
      </c>
      <c r="BL752" s="117" t="str">
        <f>IFERROR(VLOOKUP($D752,'WB Data'!$C$3:$M$578,7,FALSE)/100,"..")</f>
        <v>..</v>
      </c>
      <c r="BM752" s="117" t="str">
        <f>IFERROR($AW752*$BL752,"..")</f>
        <v>..</v>
      </c>
      <c r="BN752" s="846" t="str">
        <f>IFERROR($BB752/$BM752,"..")</f>
        <v>..</v>
      </c>
      <c r="BO752" s="801">
        <f t="shared" si="124"/>
        <v>29</v>
      </c>
      <c r="BP752" s="117">
        <f>VLOOKUP($D752,'WB Data'!$C$3:$M$578,9,FALSE)</f>
        <v>6.5</v>
      </c>
      <c r="BQ752" s="117">
        <f>VLOOKUP($D752,'WB Data'!$C$3:$M$578,10,FALSE)</f>
        <v>68.295365853658538</v>
      </c>
      <c r="BR752" s="117">
        <f>VLOOKUP($D752,'WB Data'!$C$3:$M$578,11,FALSE)</f>
        <v>19.3</v>
      </c>
      <c r="BS752" s="129">
        <f>IFERROR(VLOOKUP($D752,'WB Data 2'!$C$2:$K$545,9,FALSE),"..")</f>
        <v>97.410539999999997</v>
      </c>
      <c r="BT752" s="129">
        <f>_xlfn.IFNA(VLOOKUP($C752,RGI!$A$2:$C$43,2,FALSE),"..")</f>
        <v>77.5</v>
      </c>
      <c r="BU752" s="129">
        <f>_xlfn.IFNA(VLOOKUP($C752,RGI!$A$2:$C$43,3,FALSE),"..")</f>
        <v>57.362887635782535</v>
      </c>
      <c r="BV752" s="129">
        <f>VLOOKUP($D752,WGI!$C$2:$O$478,7,FALSE)</f>
        <v>-1.1020684613614</v>
      </c>
      <c r="BW752" s="129">
        <f>VLOOKUP($D752,WGI!$C$2:$O$478,4,FALSE)</f>
        <v>0.45235036310351401</v>
      </c>
      <c r="BX752" s="129">
        <f>VLOOKUP($D752,WGI!$C$2:$O$478,3,FALSE)</f>
        <v>-0.42554743484187901</v>
      </c>
      <c r="BY752" s="129">
        <f>VLOOKUP($D752,WGI!$C$2:$O$478,5,FALSE)</f>
        <v>-0.336527196038655</v>
      </c>
      <c r="BZ752" s="129">
        <f>VLOOKUP($D752,WGI!$C$2:$O$478,2,FALSE)</f>
        <v>-0.97534524891083396</v>
      </c>
      <c r="CB752" s="129"/>
    </row>
    <row r="753" spans="1:80" s="120" customFormat="1" ht="15" customHeight="1">
      <c r="A753" s="280" t="s">
        <v>275</v>
      </c>
      <c r="B753" s="117">
        <v>2010</v>
      </c>
      <c r="C753" s="117" t="s">
        <v>280</v>
      </c>
      <c r="D753" s="117" t="s">
        <v>3668</v>
      </c>
      <c r="E753" s="452" t="s">
        <v>39</v>
      </c>
      <c r="F753" s="117"/>
      <c r="G753" s="117" t="s">
        <v>561</v>
      </c>
      <c r="H753" s="117" t="str">
        <f t="shared" si="120"/>
        <v>no</v>
      </c>
      <c r="I753" s="117" t="str">
        <f t="shared" si="121"/>
        <v>yes</v>
      </c>
      <c r="J753" s="117" t="str">
        <f t="shared" si="122"/>
        <v>no</v>
      </c>
      <c r="K753" s="117" t="s">
        <v>561</v>
      </c>
      <c r="L753" s="117" t="str">
        <f t="shared" si="129"/>
        <v>detailed</v>
      </c>
      <c r="M753" s="117" t="str">
        <f t="shared" si="123"/>
        <v>detailed Gas</v>
      </c>
      <c r="N753" s="179">
        <v>15900000000</v>
      </c>
      <c r="O753" s="118">
        <f>N753*0.0066</f>
        <v>104940000</v>
      </c>
      <c r="P753" s="179"/>
      <c r="Q753" s="179"/>
      <c r="R753" s="179"/>
      <c r="S753" s="117" t="s">
        <v>642</v>
      </c>
      <c r="T753" s="119">
        <v>0.1741077336927683</v>
      </c>
      <c r="U753" s="117" t="s">
        <v>643</v>
      </c>
      <c r="V753" s="117" t="s">
        <v>738</v>
      </c>
      <c r="W753" s="89">
        <f>N753*T753</f>
        <v>2768312965.7150159</v>
      </c>
      <c r="X753" s="117"/>
      <c r="Y753" s="117"/>
      <c r="Z753" s="117"/>
      <c r="AA753" s="177"/>
      <c r="AB753" s="177"/>
      <c r="AC753" s="122"/>
      <c r="AD753" s="122"/>
      <c r="AE753" s="122"/>
      <c r="AF753" s="123"/>
      <c r="AG753" s="117"/>
      <c r="AH753" s="124"/>
      <c r="AI753" s="117"/>
      <c r="AJ753" s="117"/>
      <c r="AK753" s="89"/>
      <c r="AL753" s="117"/>
      <c r="AM753" s="117"/>
      <c r="AN753" s="117"/>
      <c r="AO753" s="117"/>
      <c r="AP753" s="117"/>
      <c r="AQ753" s="117"/>
      <c r="AR753" s="126"/>
      <c r="AS753" s="117"/>
      <c r="AT753" s="117"/>
      <c r="AU753" s="215"/>
      <c r="AV753" s="128"/>
      <c r="AW753" s="117">
        <f>VLOOKUP($D753,'WB Data'!$C$3:$M$578,2,FALSE)</f>
        <v>148047348240.64334</v>
      </c>
      <c r="AX753" s="117">
        <f>VLOOKUP($D753,'WB Data'!$C$3:$M$578,3,FALSE)</f>
        <v>16321581</v>
      </c>
      <c r="AY753" s="847" t="str">
        <f t="shared" si="125"/>
        <v>..</v>
      </c>
      <c r="AZ753" s="117" t="e">
        <f>VLOOKUP($D753,'WB Data'!$C$3:$M$578,4,FALSE)/100</f>
        <v>#VALUE!</v>
      </c>
      <c r="BA753" s="117" t="str">
        <f t="shared" si="126"/>
        <v>..</v>
      </c>
      <c r="BB753" s="129" t="str">
        <f>IFERROR(VLOOKUP($D753,'EITI Revenues'!$C$2:$G$224,5,FALSE),"..")</f>
        <v>..</v>
      </c>
      <c r="BC753" s="846" t="str">
        <f t="shared" si="127"/>
        <v>..</v>
      </c>
      <c r="BD753" s="129">
        <f>VLOOKUP($D753,'WB Data 2'!$C$2:$K$545,6,FALSE)</f>
        <v>50455901483.121315</v>
      </c>
      <c r="BE753" s="129">
        <f>IFERROR(VLOOKUP($D753,UNCTAD!$C$5:$V$529,4,FALSE),"..")</f>
        <v>65510660000</v>
      </c>
      <c r="BF753" s="846">
        <f t="shared" si="128"/>
        <v>0.77019375904808951</v>
      </c>
      <c r="BG753" s="117">
        <f>VLOOKUP($D753,'WB Data'!$C$3:$M$578,5,FALSE)</f>
        <v>223930000</v>
      </c>
      <c r="BH753" s="129" t="str">
        <f>IFERROR($BB753/$BG753,"..")</f>
        <v>..</v>
      </c>
      <c r="BI753" s="117" t="str">
        <f>IFERROR(VLOOKUP($D753,'WB Data'!$C$3:$M$578,7,FALSE)/100,"..")</f>
        <v>..</v>
      </c>
      <c r="BJ753" s="117" t="str">
        <f>IFERROR($BI753*$AW753,"..")</f>
        <v>..</v>
      </c>
      <c r="BK753" s="846" t="str">
        <f>IFERROR($BB753/$BJ753,"..")</f>
        <v>..</v>
      </c>
      <c r="BL753" s="117" t="str">
        <f>IFERROR(VLOOKUP($D753,'WB Data'!$C$3:$M$578,7,FALSE)/100,"..")</f>
        <v>..</v>
      </c>
      <c r="BM753" s="117" t="str">
        <f>IFERROR($AW753*$BL753,"..")</f>
        <v>..</v>
      </c>
      <c r="BN753" s="846" t="str">
        <f>IFERROR($BB753/$BM753,"..")</f>
        <v>..</v>
      </c>
      <c r="BO753" s="801">
        <f t="shared" si="124"/>
        <v>29</v>
      </c>
      <c r="BP753" s="117">
        <f>VLOOKUP($D753,'WB Data'!$C$3:$M$578,9,FALSE)</f>
        <v>6.5</v>
      </c>
      <c r="BQ753" s="117">
        <f>VLOOKUP($D753,'WB Data'!$C$3:$M$578,10,FALSE)</f>
        <v>68.295365853658538</v>
      </c>
      <c r="BR753" s="117">
        <f>VLOOKUP($D753,'WB Data'!$C$3:$M$578,11,FALSE)</f>
        <v>19.3</v>
      </c>
      <c r="BS753" s="129">
        <f>IFERROR(VLOOKUP($D753,'WB Data 2'!$C$2:$K$545,9,FALSE),"..")</f>
        <v>97.410539999999997</v>
      </c>
      <c r="BT753" s="129">
        <f>_xlfn.IFNA(VLOOKUP($C753,RGI!$A$2:$C$43,2,FALSE),"..")</f>
        <v>77.5</v>
      </c>
      <c r="BU753" s="129">
        <f>_xlfn.IFNA(VLOOKUP($C753,RGI!$A$2:$C$43,3,FALSE),"..")</f>
        <v>57.362887635782535</v>
      </c>
      <c r="BV753" s="129">
        <f>VLOOKUP($D753,WGI!$C$2:$O$478,7,FALSE)</f>
        <v>-1.1020684613614</v>
      </c>
      <c r="BW753" s="129">
        <f>VLOOKUP($D753,WGI!$C$2:$O$478,4,FALSE)</f>
        <v>0.45235036310351401</v>
      </c>
      <c r="BX753" s="129">
        <f>VLOOKUP($D753,WGI!$C$2:$O$478,3,FALSE)</f>
        <v>-0.42554743484187901</v>
      </c>
      <c r="BY753" s="129">
        <f>VLOOKUP($D753,WGI!$C$2:$O$478,5,FALSE)</f>
        <v>-0.336527196038655</v>
      </c>
      <c r="BZ753" s="129">
        <f>VLOOKUP($D753,WGI!$C$2:$O$478,2,FALSE)</f>
        <v>-0.97534524891083396</v>
      </c>
      <c r="CB753" s="129"/>
    </row>
    <row r="754" spans="1:80" s="120" customFormat="1" ht="15" customHeight="1">
      <c r="A754" s="280" t="s">
        <v>275</v>
      </c>
      <c r="B754" s="117">
        <v>2010</v>
      </c>
      <c r="C754" s="117" t="s">
        <v>280</v>
      </c>
      <c r="D754" s="117" t="s">
        <v>3668</v>
      </c>
      <c r="E754" s="452" t="s">
        <v>39</v>
      </c>
      <c r="F754" s="117"/>
      <c r="G754" s="117" t="s">
        <v>103</v>
      </c>
      <c r="H754" s="117" t="str">
        <f t="shared" si="120"/>
        <v>no</v>
      </c>
      <c r="I754" s="117" t="str">
        <f t="shared" si="121"/>
        <v>no</v>
      </c>
      <c r="J754" s="117" t="str">
        <f t="shared" si="122"/>
        <v>yes</v>
      </c>
      <c r="K754" s="117" t="s">
        <v>103</v>
      </c>
      <c r="L754" s="117" t="str">
        <f t="shared" si="129"/>
        <v>detailed</v>
      </c>
      <c r="M754" s="117" t="str">
        <f t="shared" si="123"/>
        <v>detailed Oil</v>
      </c>
      <c r="N754" s="179">
        <v>635100000</v>
      </c>
      <c r="O754" s="489">
        <f>O753/N754</f>
        <v>0.16523382144544166</v>
      </c>
      <c r="P754" s="179"/>
      <c r="Q754" s="179"/>
      <c r="R754" s="179"/>
      <c r="S754" s="117" t="s">
        <v>646</v>
      </c>
      <c r="T754" s="119">
        <v>79.510000000000005</v>
      </c>
      <c r="U754" s="117" t="s">
        <v>673</v>
      </c>
      <c r="V754" s="117" t="s">
        <v>740</v>
      </c>
      <c r="W754" s="89">
        <f>N754*T754</f>
        <v>50496801000</v>
      </c>
      <c r="X754" s="117"/>
      <c r="Y754" s="117"/>
      <c r="Z754" s="117"/>
      <c r="AA754" s="177"/>
      <c r="AB754" s="177"/>
      <c r="AC754" s="122"/>
      <c r="AD754" s="122"/>
      <c r="AE754" s="122"/>
      <c r="AF754" s="123"/>
      <c r="AG754" s="117"/>
      <c r="AH754" s="124"/>
      <c r="AI754" s="117"/>
      <c r="AJ754" s="117"/>
      <c r="AK754" s="89"/>
      <c r="AL754" s="117"/>
      <c r="AM754" s="117"/>
      <c r="AN754" s="117"/>
      <c r="AO754" s="117"/>
      <c r="AP754" s="117"/>
      <c r="AQ754" s="117"/>
      <c r="AR754" s="126"/>
      <c r="AS754" s="117"/>
      <c r="AT754" s="117"/>
      <c r="AU754" s="215"/>
      <c r="AV754" s="128"/>
      <c r="AW754" s="117">
        <f>VLOOKUP($D754,'WB Data'!$C$3:$M$578,2,FALSE)</f>
        <v>148047348240.64334</v>
      </c>
      <c r="AX754" s="117">
        <f>VLOOKUP($D754,'WB Data'!$C$3:$M$578,3,FALSE)</f>
        <v>16321581</v>
      </c>
      <c r="AY754" s="847" t="str">
        <f t="shared" si="125"/>
        <v>..</v>
      </c>
      <c r="AZ754" s="117" t="e">
        <f>VLOOKUP($D754,'WB Data'!$C$3:$M$578,4,FALSE)/100</f>
        <v>#VALUE!</v>
      </c>
      <c r="BA754" s="117" t="str">
        <f t="shared" si="126"/>
        <v>..</v>
      </c>
      <c r="BB754" s="129" t="str">
        <f>IFERROR(VLOOKUP($D754,'EITI Revenues'!$C$2:$G$224,5,FALSE),"..")</f>
        <v>..</v>
      </c>
      <c r="BC754" s="846" t="str">
        <f t="shared" si="127"/>
        <v>..</v>
      </c>
      <c r="BD754" s="129">
        <f>VLOOKUP($D754,'WB Data 2'!$C$2:$K$545,6,FALSE)</f>
        <v>50455901483.121315</v>
      </c>
      <c r="BE754" s="129">
        <f>IFERROR(VLOOKUP($D754,UNCTAD!$C$5:$V$529,4,FALSE),"..")</f>
        <v>65510660000</v>
      </c>
      <c r="BF754" s="846">
        <f t="shared" si="128"/>
        <v>0.77019375904808951</v>
      </c>
      <c r="BG754" s="117">
        <f>VLOOKUP($D754,'WB Data'!$C$3:$M$578,5,FALSE)</f>
        <v>223930000</v>
      </c>
      <c r="BH754" s="129" t="str">
        <f>IFERROR($BB754/$BG754,"..")</f>
        <v>..</v>
      </c>
      <c r="BI754" s="117" t="str">
        <f>IFERROR(VLOOKUP($D754,'WB Data'!$C$3:$M$578,7,FALSE)/100,"..")</f>
        <v>..</v>
      </c>
      <c r="BJ754" s="117" t="str">
        <f>IFERROR($BI754*$AW754,"..")</f>
        <v>..</v>
      </c>
      <c r="BK754" s="846" t="str">
        <f>IFERROR($BB754/$BJ754,"..")</f>
        <v>..</v>
      </c>
      <c r="BL754" s="117" t="str">
        <f>IFERROR(VLOOKUP($D754,'WB Data'!$C$3:$M$578,7,FALSE)/100,"..")</f>
        <v>..</v>
      </c>
      <c r="BM754" s="117" t="str">
        <f>IFERROR($AW754*$BL754,"..")</f>
        <v>..</v>
      </c>
      <c r="BN754" s="846" t="str">
        <f>IFERROR($BB754/$BM754,"..")</f>
        <v>..</v>
      </c>
      <c r="BO754" s="801">
        <f t="shared" si="124"/>
        <v>29</v>
      </c>
      <c r="BP754" s="117">
        <f>VLOOKUP($D754,'WB Data'!$C$3:$M$578,9,FALSE)</f>
        <v>6.5</v>
      </c>
      <c r="BQ754" s="117">
        <f>VLOOKUP($D754,'WB Data'!$C$3:$M$578,10,FALSE)</f>
        <v>68.295365853658538</v>
      </c>
      <c r="BR754" s="117">
        <f>VLOOKUP($D754,'WB Data'!$C$3:$M$578,11,FALSE)</f>
        <v>19.3</v>
      </c>
      <c r="BS754" s="129">
        <f>IFERROR(VLOOKUP($D754,'WB Data 2'!$C$2:$K$545,9,FALSE),"..")</f>
        <v>97.410539999999997</v>
      </c>
      <c r="BT754" s="129">
        <f>_xlfn.IFNA(VLOOKUP($C754,RGI!$A$2:$C$43,2,FALSE),"..")</f>
        <v>77.5</v>
      </c>
      <c r="BU754" s="129">
        <f>_xlfn.IFNA(VLOOKUP($C754,RGI!$A$2:$C$43,3,FALSE),"..")</f>
        <v>57.362887635782535</v>
      </c>
      <c r="BV754" s="129">
        <f>VLOOKUP($D754,WGI!$C$2:$O$478,7,FALSE)</f>
        <v>-1.1020684613614</v>
      </c>
      <c r="BW754" s="129">
        <f>VLOOKUP($D754,WGI!$C$2:$O$478,4,FALSE)</f>
        <v>0.45235036310351401</v>
      </c>
      <c r="BX754" s="129">
        <f>VLOOKUP($D754,WGI!$C$2:$O$478,3,FALSE)</f>
        <v>-0.42554743484187901</v>
      </c>
      <c r="BY754" s="129">
        <f>VLOOKUP($D754,WGI!$C$2:$O$478,5,FALSE)</f>
        <v>-0.336527196038655</v>
      </c>
      <c r="BZ754" s="129">
        <f>VLOOKUP($D754,WGI!$C$2:$O$478,2,FALSE)</f>
        <v>-0.97534524891083396</v>
      </c>
      <c r="CB754" s="129"/>
    </row>
    <row r="755" spans="1:80" s="120" customFormat="1" ht="15" customHeight="1">
      <c r="A755" s="280" t="s">
        <v>275</v>
      </c>
      <c r="B755" s="117">
        <v>2010</v>
      </c>
      <c r="C755" s="117" t="s">
        <v>280</v>
      </c>
      <c r="D755" s="117" t="s">
        <v>3668</v>
      </c>
      <c r="E755" s="452" t="s">
        <v>39</v>
      </c>
      <c r="F755" s="117"/>
      <c r="G755" s="117" t="s">
        <v>24</v>
      </c>
      <c r="H755" s="117" t="str">
        <f t="shared" si="120"/>
        <v>yes</v>
      </c>
      <c r="I755" s="117" t="str">
        <f t="shared" si="121"/>
        <v>no</v>
      </c>
      <c r="J755" s="117" t="str">
        <f t="shared" si="122"/>
        <v>no</v>
      </c>
      <c r="K755" s="120" t="s">
        <v>600</v>
      </c>
      <c r="L755" s="117" t="str">
        <f t="shared" si="129"/>
        <v>Total</v>
      </c>
      <c r="M755" s="117" t="str">
        <f t="shared" si="123"/>
        <v>Total Mining</v>
      </c>
      <c r="N755" s="89"/>
      <c r="O755" s="89"/>
      <c r="P755" s="89"/>
      <c r="Q755" s="89"/>
      <c r="R755" s="89"/>
      <c r="T755" s="119"/>
      <c r="W755" s="89">
        <f>SUM(W756:W786)</f>
        <v>15295697569.67761</v>
      </c>
      <c r="AA755" s="177">
        <v>2913773079</v>
      </c>
      <c r="AB755" s="177">
        <v>2943170222</v>
      </c>
      <c r="AC755" s="122"/>
      <c r="AD755" s="122"/>
      <c r="AE755" s="122"/>
      <c r="AF755" s="123">
        <f>AA755/W755</f>
        <v>0.19049625332396095</v>
      </c>
      <c r="AH755" s="493"/>
      <c r="AN755" s="117">
        <v>101</v>
      </c>
      <c r="AO755" s="117" t="s">
        <v>1448</v>
      </c>
      <c r="AP755" s="117">
        <v>92</v>
      </c>
      <c r="AU755" s="117">
        <v>29</v>
      </c>
      <c r="AV755" s="281"/>
      <c r="AW755" s="117">
        <f>VLOOKUP($D755,'WB Data'!$C$3:$M$578,2,FALSE)</f>
        <v>148047348240.64334</v>
      </c>
      <c r="AX755" s="117">
        <f>VLOOKUP($D755,'WB Data'!$C$3:$M$578,3,FALSE)</f>
        <v>16321581</v>
      </c>
      <c r="AY755" s="847" t="str">
        <f t="shared" si="125"/>
        <v>..</v>
      </c>
      <c r="AZ755" s="117" t="e">
        <f>VLOOKUP($D755,'WB Data'!$C$3:$M$578,4,FALSE)/100</f>
        <v>#VALUE!</v>
      </c>
      <c r="BA755" s="117" t="str">
        <f t="shared" si="126"/>
        <v>..</v>
      </c>
      <c r="BB755" s="129" t="str">
        <f>IFERROR(VLOOKUP($D755,'EITI Revenues'!$C$2:$G$224,5,FALSE),"..")</f>
        <v>..</v>
      </c>
      <c r="BC755" s="846" t="str">
        <f t="shared" si="127"/>
        <v>..</v>
      </c>
      <c r="BD755" s="129">
        <f>VLOOKUP($D755,'WB Data 2'!$C$2:$K$545,6,FALSE)</f>
        <v>50455901483.121315</v>
      </c>
      <c r="BE755" s="129">
        <f>IFERROR(VLOOKUP($D755,UNCTAD!$C$5:$V$529,4,FALSE),"..")</f>
        <v>65510660000</v>
      </c>
      <c r="BF755" s="846">
        <f t="shared" si="128"/>
        <v>0.77019375904808951</v>
      </c>
      <c r="BG755" s="117">
        <f>VLOOKUP($D755,'WB Data'!$C$3:$M$578,5,FALSE)</f>
        <v>223930000</v>
      </c>
      <c r="BH755" s="129" t="str">
        <f>IFERROR($BB755/$BG755,"..")</f>
        <v>..</v>
      </c>
      <c r="BI755" s="117" t="str">
        <f>IFERROR(VLOOKUP($D755,'WB Data'!$C$3:$M$578,7,FALSE)/100,"..")</f>
        <v>..</v>
      </c>
      <c r="BJ755" s="117" t="str">
        <f>IFERROR($BI755*$AW755,"..")</f>
        <v>..</v>
      </c>
      <c r="BK755" s="846" t="str">
        <f>IFERROR($BB755/$BJ755,"..")</f>
        <v>..</v>
      </c>
      <c r="BL755" s="117" t="str">
        <f>IFERROR(VLOOKUP($D755,'WB Data'!$C$3:$M$578,7,FALSE)/100,"..")</f>
        <v>..</v>
      </c>
      <c r="BM755" s="117" t="str">
        <f>IFERROR($AW755*$BL755,"..")</f>
        <v>..</v>
      </c>
      <c r="BN755" s="846" t="str">
        <f>IFERROR($BB755/$BM755,"..")</f>
        <v>..</v>
      </c>
      <c r="BO755" s="801">
        <f t="shared" si="124"/>
        <v>29</v>
      </c>
      <c r="BP755" s="117">
        <f>VLOOKUP($D755,'WB Data'!$C$3:$M$578,9,FALSE)</f>
        <v>6.5</v>
      </c>
      <c r="BQ755" s="117">
        <f>VLOOKUP($D755,'WB Data'!$C$3:$M$578,10,FALSE)</f>
        <v>68.295365853658538</v>
      </c>
      <c r="BR755" s="117">
        <f>VLOOKUP($D755,'WB Data'!$C$3:$M$578,11,FALSE)</f>
        <v>19.3</v>
      </c>
      <c r="BS755" s="129">
        <f>IFERROR(VLOOKUP($D755,'WB Data 2'!$C$2:$K$545,9,FALSE),"..")</f>
        <v>97.410539999999997</v>
      </c>
      <c r="BT755" s="129">
        <f>_xlfn.IFNA(VLOOKUP($C755,RGI!$A$2:$C$43,2,FALSE),"..")</f>
        <v>77.5</v>
      </c>
      <c r="BU755" s="129">
        <f>_xlfn.IFNA(VLOOKUP($C755,RGI!$A$2:$C$43,3,FALSE),"..")</f>
        <v>57.362887635782535</v>
      </c>
      <c r="BV755" s="129">
        <f>VLOOKUP($D755,WGI!$C$2:$O$478,7,FALSE)</f>
        <v>-1.1020684613614</v>
      </c>
      <c r="BW755" s="129">
        <f>VLOOKUP($D755,WGI!$C$2:$O$478,4,FALSE)</f>
        <v>0.45235036310351401</v>
      </c>
      <c r="BX755" s="129">
        <f>VLOOKUP($D755,WGI!$C$2:$O$478,3,FALSE)</f>
        <v>-0.42554743484187901</v>
      </c>
      <c r="BY755" s="129">
        <f>VLOOKUP($D755,WGI!$C$2:$O$478,5,FALSE)</f>
        <v>-0.336527196038655</v>
      </c>
      <c r="BZ755" s="129">
        <f>VLOOKUP($D755,WGI!$C$2:$O$478,2,FALSE)</f>
        <v>-0.97534524891083396</v>
      </c>
      <c r="CB755" s="129"/>
    </row>
    <row r="756" spans="1:80" s="120" customFormat="1" ht="15" customHeight="1">
      <c r="A756" s="280" t="s">
        <v>275</v>
      </c>
      <c r="B756" s="117">
        <v>2010</v>
      </c>
      <c r="C756" s="117" t="s">
        <v>280</v>
      </c>
      <c r="D756" s="117" t="s">
        <v>3668</v>
      </c>
      <c r="E756" s="452" t="s">
        <v>39</v>
      </c>
      <c r="F756" s="117"/>
      <c r="G756" s="117" t="s">
        <v>24</v>
      </c>
      <c r="H756" s="117" t="str">
        <f t="shared" si="120"/>
        <v>yes</v>
      </c>
      <c r="I756" s="117" t="str">
        <f t="shared" si="121"/>
        <v>no</v>
      </c>
      <c r="J756" s="117" t="str">
        <f t="shared" si="122"/>
        <v>no</v>
      </c>
      <c r="K756" s="120" t="s">
        <v>1410</v>
      </c>
      <c r="L756" s="117" t="str">
        <f t="shared" si="129"/>
        <v>detailed</v>
      </c>
      <c r="M756" s="117" t="str">
        <f t="shared" si="123"/>
        <v>detailed Mining</v>
      </c>
      <c r="N756" s="89">
        <v>214100</v>
      </c>
      <c r="O756" s="89"/>
      <c r="P756" s="89"/>
      <c r="Q756" s="89"/>
      <c r="R756" s="89"/>
      <c r="S756" s="120" t="s">
        <v>610</v>
      </c>
      <c r="T756" s="119">
        <v>786</v>
      </c>
      <c r="U756" s="117" t="s">
        <v>611</v>
      </c>
      <c r="V756" s="117" t="s">
        <v>1411</v>
      </c>
      <c r="W756" s="89">
        <f>N756*T756</f>
        <v>168282600</v>
      </c>
      <c r="AA756" s="117"/>
      <c r="AB756" s="117"/>
      <c r="AC756" s="462"/>
      <c r="AD756" s="462"/>
      <c r="AE756" s="462"/>
      <c r="AF756" s="463"/>
      <c r="AH756" s="493"/>
      <c r="AV756" s="128"/>
      <c r="AW756" s="117">
        <f>VLOOKUP($D756,'WB Data'!$C$3:$M$578,2,FALSE)</f>
        <v>148047348240.64334</v>
      </c>
      <c r="AX756" s="117">
        <f>VLOOKUP($D756,'WB Data'!$C$3:$M$578,3,FALSE)</f>
        <v>16321581</v>
      </c>
      <c r="AY756" s="847" t="str">
        <f t="shared" si="125"/>
        <v>..</v>
      </c>
      <c r="AZ756" s="117" t="e">
        <f>VLOOKUP($D756,'WB Data'!$C$3:$M$578,4,FALSE)/100</f>
        <v>#VALUE!</v>
      </c>
      <c r="BA756" s="117" t="str">
        <f t="shared" si="126"/>
        <v>..</v>
      </c>
      <c r="BB756" s="129" t="str">
        <f>IFERROR(VLOOKUP($D756,'EITI Revenues'!$C$2:$G$224,5,FALSE),"..")</f>
        <v>..</v>
      </c>
      <c r="BC756" s="846" t="str">
        <f t="shared" si="127"/>
        <v>..</v>
      </c>
      <c r="BD756" s="129">
        <f>VLOOKUP($D756,'WB Data 2'!$C$2:$K$545,6,FALSE)</f>
        <v>50455901483.121315</v>
      </c>
      <c r="BE756" s="129">
        <f>IFERROR(VLOOKUP($D756,UNCTAD!$C$5:$V$529,4,FALSE),"..")</f>
        <v>65510660000</v>
      </c>
      <c r="BF756" s="846">
        <f t="shared" si="128"/>
        <v>0.77019375904808951</v>
      </c>
      <c r="BG756" s="117">
        <f>VLOOKUP($D756,'WB Data'!$C$3:$M$578,5,FALSE)</f>
        <v>223930000</v>
      </c>
      <c r="BH756" s="129" t="str">
        <f>IFERROR($BB756/$BG756,"..")</f>
        <v>..</v>
      </c>
      <c r="BI756" s="117" t="str">
        <f>IFERROR(VLOOKUP($D756,'WB Data'!$C$3:$M$578,7,FALSE)/100,"..")</f>
        <v>..</v>
      </c>
      <c r="BJ756" s="117" t="str">
        <f>IFERROR($BI756*$AW756,"..")</f>
        <v>..</v>
      </c>
      <c r="BK756" s="846" t="str">
        <f>IFERROR($BB756/$BJ756,"..")</f>
        <v>..</v>
      </c>
      <c r="BL756" s="117" t="str">
        <f>IFERROR(VLOOKUP($D756,'WB Data'!$C$3:$M$578,7,FALSE)/100,"..")</f>
        <v>..</v>
      </c>
      <c r="BM756" s="117" t="str">
        <f>IFERROR($AW756*$BL756,"..")</f>
        <v>..</v>
      </c>
      <c r="BN756" s="846" t="str">
        <f>IFERROR($BB756/$BM756,"..")</f>
        <v>..</v>
      </c>
      <c r="BO756" s="801">
        <f t="shared" si="124"/>
        <v>29</v>
      </c>
      <c r="BP756" s="117">
        <f>VLOOKUP($D756,'WB Data'!$C$3:$M$578,9,FALSE)</f>
        <v>6.5</v>
      </c>
      <c r="BQ756" s="117">
        <f>VLOOKUP($D756,'WB Data'!$C$3:$M$578,10,FALSE)</f>
        <v>68.295365853658538</v>
      </c>
      <c r="BR756" s="117">
        <f>VLOOKUP($D756,'WB Data'!$C$3:$M$578,11,FALSE)</f>
        <v>19.3</v>
      </c>
      <c r="BS756" s="129">
        <f>IFERROR(VLOOKUP($D756,'WB Data 2'!$C$2:$K$545,9,FALSE),"..")</f>
        <v>97.410539999999997</v>
      </c>
      <c r="BT756" s="129">
        <f>_xlfn.IFNA(VLOOKUP($C756,RGI!$A$2:$C$43,2,FALSE),"..")</f>
        <v>77.5</v>
      </c>
      <c r="BU756" s="129">
        <f>_xlfn.IFNA(VLOOKUP($C756,RGI!$A$2:$C$43,3,FALSE),"..")</f>
        <v>57.362887635782535</v>
      </c>
      <c r="BV756" s="129">
        <f>VLOOKUP($D756,WGI!$C$2:$O$478,7,FALSE)</f>
        <v>-1.1020684613614</v>
      </c>
      <c r="BW756" s="129">
        <f>VLOOKUP($D756,WGI!$C$2:$O$478,4,FALSE)</f>
        <v>0.45235036310351401</v>
      </c>
      <c r="BX756" s="129">
        <f>VLOOKUP($D756,WGI!$C$2:$O$478,3,FALSE)</f>
        <v>-0.42554743484187901</v>
      </c>
      <c r="BY756" s="129">
        <f>VLOOKUP($D756,WGI!$C$2:$O$478,5,FALSE)</f>
        <v>-0.336527196038655</v>
      </c>
      <c r="BZ756" s="129">
        <f>VLOOKUP($D756,WGI!$C$2:$O$478,2,FALSE)</f>
        <v>-0.97534524891083396</v>
      </c>
      <c r="CB756" s="129"/>
    </row>
    <row r="757" spans="1:80" s="120" customFormat="1" ht="15" customHeight="1">
      <c r="A757" s="280" t="s">
        <v>275</v>
      </c>
      <c r="B757" s="117">
        <v>2010</v>
      </c>
      <c r="C757" s="117" t="s">
        <v>280</v>
      </c>
      <c r="D757" s="117" t="s">
        <v>3668</v>
      </c>
      <c r="E757" s="452" t="s">
        <v>39</v>
      </c>
      <c r="F757" s="117"/>
      <c r="G757" s="117" t="s">
        <v>24</v>
      </c>
      <c r="H757" s="117" t="str">
        <f t="shared" si="120"/>
        <v>yes</v>
      </c>
      <c r="I757" s="117" t="str">
        <f t="shared" si="121"/>
        <v>no</v>
      </c>
      <c r="J757" s="117" t="str">
        <f t="shared" si="122"/>
        <v>no</v>
      </c>
      <c r="K757" s="120" t="s">
        <v>1413</v>
      </c>
      <c r="L757" s="117" t="str">
        <f t="shared" si="129"/>
        <v>detailed</v>
      </c>
      <c r="M757" s="117" t="str">
        <f t="shared" si="123"/>
        <v>detailed Mining</v>
      </c>
      <c r="N757" s="89"/>
      <c r="O757" s="89"/>
      <c r="P757" s="89"/>
      <c r="Q757" s="89"/>
      <c r="R757" s="89"/>
      <c r="T757" s="119">
        <v>77</v>
      </c>
      <c r="U757" s="117" t="s">
        <v>611</v>
      </c>
      <c r="V757" s="117" t="s">
        <v>1414</v>
      </c>
      <c r="W757" s="89">
        <f>N759*T757</f>
        <v>15400000</v>
      </c>
      <c r="AA757" s="117"/>
      <c r="AB757" s="117"/>
      <c r="AC757" s="462"/>
      <c r="AD757" s="462"/>
      <c r="AE757" s="462"/>
      <c r="AF757" s="463"/>
      <c r="AH757" s="493"/>
      <c r="AV757" s="128"/>
      <c r="AW757" s="117">
        <f>VLOOKUP($D757,'WB Data'!$C$3:$M$578,2,FALSE)</f>
        <v>148047348240.64334</v>
      </c>
      <c r="AX757" s="117">
        <f>VLOOKUP($D757,'WB Data'!$C$3:$M$578,3,FALSE)</f>
        <v>16321581</v>
      </c>
      <c r="AY757" s="847" t="str">
        <f t="shared" si="125"/>
        <v>..</v>
      </c>
      <c r="AZ757" s="117" t="e">
        <f>VLOOKUP($D757,'WB Data'!$C$3:$M$578,4,FALSE)/100</f>
        <v>#VALUE!</v>
      </c>
      <c r="BA757" s="117" t="str">
        <f t="shared" si="126"/>
        <v>..</v>
      </c>
      <c r="BB757" s="129" t="str">
        <f>IFERROR(VLOOKUP($D757,'EITI Revenues'!$C$2:$G$224,5,FALSE),"..")</f>
        <v>..</v>
      </c>
      <c r="BC757" s="846" t="str">
        <f t="shared" si="127"/>
        <v>..</v>
      </c>
      <c r="BD757" s="129">
        <f>VLOOKUP($D757,'WB Data 2'!$C$2:$K$545,6,FALSE)</f>
        <v>50455901483.121315</v>
      </c>
      <c r="BE757" s="129">
        <f>IFERROR(VLOOKUP($D757,UNCTAD!$C$5:$V$529,4,FALSE),"..")</f>
        <v>65510660000</v>
      </c>
      <c r="BF757" s="846">
        <f t="shared" si="128"/>
        <v>0.77019375904808951</v>
      </c>
      <c r="BG757" s="117">
        <f>VLOOKUP($D757,'WB Data'!$C$3:$M$578,5,FALSE)</f>
        <v>223930000</v>
      </c>
      <c r="BH757" s="129" t="str">
        <f>IFERROR($BB757/$BG757,"..")</f>
        <v>..</v>
      </c>
      <c r="BI757" s="117" t="str">
        <f>IFERROR(VLOOKUP($D757,'WB Data'!$C$3:$M$578,7,FALSE)/100,"..")</f>
        <v>..</v>
      </c>
      <c r="BJ757" s="117" t="str">
        <f>IFERROR($BI757*$AW757,"..")</f>
        <v>..</v>
      </c>
      <c r="BK757" s="846" t="str">
        <f>IFERROR($BB757/$BJ757,"..")</f>
        <v>..</v>
      </c>
      <c r="BL757" s="117" t="str">
        <f>IFERROR(VLOOKUP($D757,'WB Data'!$C$3:$M$578,7,FALSE)/100,"..")</f>
        <v>..</v>
      </c>
      <c r="BM757" s="117" t="str">
        <f>IFERROR($AW757*$BL757,"..")</f>
        <v>..</v>
      </c>
      <c r="BN757" s="846" t="str">
        <f>IFERROR($BB757/$BM757,"..")</f>
        <v>..</v>
      </c>
      <c r="BO757" s="801">
        <f t="shared" si="124"/>
        <v>29</v>
      </c>
      <c r="BP757" s="117">
        <f>VLOOKUP($D757,'WB Data'!$C$3:$M$578,9,FALSE)</f>
        <v>6.5</v>
      </c>
      <c r="BQ757" s="117">
        <f>VLOOKUP($D757,'WB Data'!$C$3:$M$578,10,FALSE)</f>
        <v>68.295365853658538</v>
      </c>
      <c r="BR757" s="117">
        <f>VLOOKUP($D757,'WB Data'!$C$3:$M$578,11,FALSE)</f>
        <v>19.3</v>
      </c>
      <c r="BS757" s="129">
        <f>IFERROR(VLOOKUP($D757,'WB Data 2'!$C$2:$K$545,9,FALSE),"..")</f>
        <v>97.410539999999997</v>
      </c>
      <c r="BT757" s="129">
        <f>_xlfn.IFNA(VLOOKUP($C757,RGI!$A$2:$C$43,2,FALSE),"..")</f>
        <v>77.5</v>
      </c>
      <c r="BU757" s="129">
        <f>_xlfn.IFNA(VLOOKUP($C757,RGI!$A$2:$C$43,3,FALSE),"..")</f>
        <v>57.362887635782535</v>
      </c>
      <c r="BV757" s="129">
        <f>VLOOKUP($D757,WGI!$C$2:$O$478,7,FALSE)</f>
        <v>-1.1020684613614</v>
      </c>
      <c r="BW757" s="129">
        <f>VLOOKUP($D757,WGI!$C$2:$O$478,4,FALSE)</f>
        <v>0.45235036310351401</v>
      </c>
      <c r="BX757" s="129">
        <f>VLOOKUP($D757,WGI!$C$2:$O$478,3,FALSE)</f>
        <v>-0.42554743484187901</v>
      </c>
      <c r="BY757" s="129">
        <f>VLOOKUP($D757,WGI!$C$2:$O$478,5,FALSE)</f>
        <v>-0.336527196038655</v>
      </c>
      <c r="BZ757" s="129">
        <f>VLOOKUP($D757,WGI!$C$2:$O$478,2,FALSE)</f>
        <v>-0.97534524891083396</v>
      </c>
      <c r="CB757" s="129"/>
    </row>
    <row r="758" spans="1:80" s="120" customFormat="1" ht="15" customHeight="1">
      <c r="A758" s="280" t="s">
        <v>275</v>
      </c>
      <c r="B758" s="117">
        <v>2010</v>
      </c>
      <c r="C758" s="117" t="s">
        <v>280</v>
      </c>
      <c r="D758" s="117" t="s">
        <v>3668</v>
      </c>
      <c r="E758" s="452" t="s">
        <v>39</v>
      </c>
      <c r="F758" s="117"/>
      <c r="G758" s="117" t="s">
        <v>24</v>
      </c>
      <c r="H758" s="117" t="str">
        <f t="shared" si="120"/>
        <v>yes</v>
      </c>
      <c r="I758" s="117" t="str">
        <f t="shared" si="121"/>
        <v>no</v>
      </c>
      <c r="J758" s="117" t="str">
        <f t="shared" si="122"/>
        <v>no</v>
      </c>
      <c r="K758" s="120" t="s">
        <v>1415</v>
      </c>
      <c r="L758" s="117" t="str">
        <f t="shared" si="129"/>
        <v>detailed</v>
      </c>
      <c r="M758" s="117" t="str">
        <f t="shared" si="123"/>
        <v>detailed Mining</v>
      </c>
      <c r="N758" s="89">
        <v>358000</v>
      </c>
      <c r="O758" s="89"/>
      <c r="P758" s="89"/>
      <c r="Q758" s="89"/>
      <c r="R758" s="89"/>
      <c r="S758" s="120" t="s">
        <v>610</v>
      </c>
      <c r="T758" s="119"/>
      <c r="V758" s="117" t="s">
        <v>847</v>
      </c>
      <c r="W758" s="89"/>
      <c r="AA758" s="117"/>
      <c r="AB758" s="117"/>
      <c r="AC758" s="462"/>
      <c r="AD758" s="462"/>
      <c r="AE758" s="462"/>
      <c r="AF758" s="463"/>
      <c r="AH758" s="493"/>
      <c r="AV758" s="128"/>
      <c r="AW758" s="117">
        <f>VLOOKUP($D758,'WB Data'!$C$3:$M$578,2,FALSE)</f>
        <v>148047348240.64334</v>
      </c>
      <c r="AX758" s="117">
        <f>VLOOKUP($D758,'WB Data'!$C$3:$M$578,3,FALSE)</f>
        <v>16321581</v>
      </c>
      <c r="AY758" s="847" t="str">
        <f t="shared" si="125"/>
        <v>..</v>
      </c>
      <c r="AZ758" s="117" t="e">
        <f>VLOOKUP($D758,'WB Data'!$C$3:$M$578,4,FALSE)/100</f>
        <v>#VALUE!</v>
      </c>
      <c r="BA758" s="117" t="str">
        <f t="shared" si="126"/>
        <v>..</v>
      </c>
      <c r="BB758" s="129" t="str">
        <f>IFERROR(VLOOKUP($D758,'EITI Revenues'!$C$2:$G$224,5,FALSE),"..")</f>
        <v>..</v>
      </c>
      <c r="BC758" s="846" t="str">
        <f t="shared" si="127"/>
        <v>..</v>
      </c>
      <c r="BD758" s="129">
        <f>VLOOKUP($D758,'WB Data 2'!$C$2:$K$545,6,FALSE)</f>
        <v>50455901483.121315</v>
      </c>
      <c r="BE758" s="129">
        <f>IFERROR(VLOOKUP($D758,UNCTAD!$C$5:$V$529,4,FALSE),"..")</f>
        <v>65510660000</v>
      </c>
      <c r="BF758" s="846">
        <f t="shared" si="128"/>
        <v>0.77019375904808951</v>
      </c>
      <c r="BG758" s="117">
        <f>VLOOKUP($D758,'WB Data'!$C$3:$M$578,5,FALSE)</f>
        <v>223930000</v>
      </c>
      <c r="BH758" s="129" t="str">
        <f>IFERROR($BB758/$BG758,"..")</f>
        <v>..</v>
      </c>
      <c r="BI758" s="117" t="str">
        <f>IFERROR(VLOOKUP($D758,'WB Data'!$C$3:$M$578,7,FALSE)/100,"..")</f>
        <v>..</v>
      </c>
      <c r="BJ758" s="117" t="str">
        <f>IFERROR($BI758*$AW758,"..")</f>
        <v>..</v>
      </c>
      <c r="BK758" s="846" t="str">
        <f>IFERROR($BB758/$BJ758,"..")</f>
        <v>..</v>
      </c>
      <c r="BL758" s="117" t="str">
        <f>IFERROR(VLOOKUP($D758,'WB Data'!$C$3:$M$578,7,FALSE)/100,"..")</f>
        <v>..</v>
      </c>
      <c r="BM758" s="117" t="str">
        <f>IFERROR($AW758*$BL758,"..")</f>
        <v>..</v>
      </c>
      <c r="BN758" s="846" t="str">
        <f>IFERROR($BB758/$BM758,"..")</f>
        <v>..</v>
      </c>
      <c r="BO758" s="801">
        <f t="shared" si="124"/>
        <v>29</v>
      </c>
      <c r="BP758" s="117">
        <f>VLOOKUP($D758,'WB Data'!$C$3:$M$578,9,FALSE)</f>
        <v>6.5</v>
      </c>
      <c r="BQ758" s="117">
        <f>VLOOKUP($D758,'WB Data'!$C$3:$M$578,10,FALSE)</f>
        <v>68.295365853658538</v>
      </c>
      <c r="BR758" s="117">
        <f>VLOOKUP($D758,'WB Data'!$C$3:$M$578,11,FALSE)</f>
        <v>19.3</v>
      </c>
      <c r="BS758" s="129">
        <f>IFERROR(VLOOKUP($D758,'WB Data 2'!$C$2:$K$545,9,FALSE),"..")</f>
        <v>97.410539999999997</v>
      </c>
      <c r="BT758" s="129">
        <f>_xlfn.IFNA(VLOOKUP($C758,RGI!$A$2:$C$43,2,FALSE),"..")</f>
        <v>77.5</v>
      </c>
      <c r="BU758" s="129">
        <f>_xlfn.IFNA(VLOOKUP($C758,RGI!$A$2:$C$43,3,FALSE),"..")</f>
        <v>57.362887635782535</v>
      </c>
      <c r="BV758" s="129">
        <f>VLOOKUP($D758,WGI!$C$2:$O$478,7,FALSE)</f>
        <v>-1.1020684613614</v>
      </c>
      <c r="BW758" s="129">
        <f>VLOOKUP($D758,WGI!$C$2:$O$478,4,FALSE)</f>
        <v>0.45235036310351401</v>
      </c>
      <c r="BX758" s="129">
        <f>VLOOKUP($D758,WGI!$C$2:$O$478,3,FALSE)</f>
        <v>-0.42554743484187901</v>
      </c>
      <c r="BY758" s="129">
        <f>VLOOKUP($D758,WGI!$C$2:$O$478,5,FALSE)</f>
        <v>-0.336527196038655</v>
      </c>
      <c r="BZ758" s="129">
        <f>VLOOKUP($D758,WGI!$C$2:$O$478,2,FALSE)</f>
        <v>-0.97534524891083396</v>
      </c>
      <c r="CB758" s="129"/>
    </row>
    <row r="759" spans="1:80" s="120" customFormat="1" ht="15" customHeight="1">
      <c r="A759" s="280" t="s">
        <v>275</v>
      </c>
      <c r="B759" s="117">
        <v>2010</v>
      </c>
      <c r="C759" s="117" t="s">
        <v>280</v>
      </c>
      <c r="D759" s="117" t="s">
        <v>3668</v>
      </c>
      <c r="E759" s="452" t="s">
        <v>39</v>
      </c>
      <c r="F759" s="117"/>
      <c r="G759" s="117" t="s">
        <v>24</v>
      </c>
      <c r="H759" s="117" t="str">
        <f t="shared" si="120"/>
        <v>yes</v>
      </c>
      <c r="I759" s="117" t="str">
        <f t="shared" si="121"/>
        <v>no</v>
      </c>
      <c r="J759" s="117" t="str">
        <f t="shared" si="122"/>
        <v>no</v>
      </c>
      <c r="K759" s="120" t="s">
        <v>1416</v>
      </c>
      <c r="L759" s="117" t="str">
        <f t="shared" si="129"/>
        <v>detailed</v>
      </c>
      <c r="M759" s="117" t="str">
        <f t="shared" si="123"/>
        <v>detailed Mining</v>
      </c>
      <c r="N759" s="89">
        <v>200000</v>
      </c>
      <c r="O759" s="89"/>
      <c r="P759" s="89"/>
      <c r="Q759" s="89"/>
      <c r="R759" s="89"/>
      <c r="S759" s="120" t="s">
        <v>610</v>
      </c>
      <c r="T759" s="119"/>
      <c r="V759" s="117" t="s">
        <v>847</v>
      </c>
      <c r="W759" s="89"/>
      <c r="AA759" s="117"/>
      <c r="AB759" s="117"/>
      <c r="AC759" s="462"/>
      <c r="AD759" s="462"/>
      <c r="AE759" s="462"/>
      <c r="AF759" s="463"/>
      <c r="AH759" s="493"/>
      <c r="AV759" s="128"/>
      <c r="AW759" s="117">
        <f>VLOOKUP($D759,'WB Data'!$C$3:$M$578,2,FALSE)</f>
        <v>148047348240.64334</v>
      </c>
      <c r="AX759" s="117">
        <f>VLOOKUP($D759,'WB Data'!$C$3:$M$578,3,FALSE)</f>
        <v>16321581</v>
      </c>
      <c r="AY759" s="847" t="str">
        <f t="shared" si="125"/>
        <v>..</v>
      </c>
      <c r="AZ759" s="117" t="e">
        <f>VLOOKUP($D759,'WB Data'!$C$3:$M$578,4,FALSE)/100</f>
        <v>#VALUE!</v>
      </c>
      <c r="BA759" s="117" t="str">
        <f t="shared" si="126"/>
        <v>..</v>
      </c>
      <c r="BB759" s="129" t="str">
        <f>IFERROR(VLOOKUP($D759,'EITI Revenues'!$C$2:$G$224,5,FALSE),"..")</f>
        <v>..</v>
      </c>
      <c r="BC759" s="846" t="str">
        <f t="shared" si="127"/>
        <v>..</v>
      </c>
      <c r="BD759" s="129">
        <f>VLOOKUP($D759,'WB Data 2'!$C$2:$K$545,6,FALSE)</f>
        <v>50455901483.121315</v>
      </c>
      <c r="BE759" s="129">
        <f>IFERROR(VLOOKUP($D759,UNCTAD!$C$5:$V$529,4,FALSE),"..")</f>
        <v>65510660000</v>
      </c>
      <c r="BF759" s="846">
        <f t="shared" si="128"/>
        <v>0.77019375904808951</v>
      </c>
      <c r="BG759" s="117">
        <f>VLOOKUP($D759,'WB Data'!$C$3:$M$578,5,FALSE)</f>
        <v>223930000</v>
      </c>
      <c r="BH759" s="129" t="str">
        <f>IFERROR($BB759/$BG759,"..")</f>
        <v>..</v>
      </c>
      <c r="BI759" s="117" t="str">
        <f>IFERROR(VLOOKUP($D759,'WB Data'!$C$3:$M$578,7,FALSE)/100,"..")</f>
        <v>..</v>
      </c>
      <c r="BJ759" s="117" t="str">
        <f>IFERROR($BI759*$AW759,"..")</f>
        <v>..</v>
      </c>
      <c r="BK759" s="846" t="str">
        <f>IFERROR($BB759/$BJ759,"..")</f>
        <v>..</v>
      </c>
      <c r="BL759" s="117" t="str">
        <f>IFERROR(VLOOKUP($D759,'WB Data'!$C$3:$M$578,7,FALSE)/100,"..")</f>
        <v>..</v>
      </c>
      <c r="BM759" s="117" t="str">
        <f>IFERROR($AW759*$BL759,"..")</f>
        <v>..</v>
      </c>
      <c r="BN759" s="846" t="str">
        <f>IFERROR($BB759/$BM759,"..")</f>
        <v>..</v>
      </c>
      <c r="BO759" s="801">
        <f t="shared" si="124"/>
        <v>29</v>
      </c>
      <c r="BP759" s="117">
        <f>VLOOKUP($D759,'WB Data'!$C$3:$M$578,9,FALSE)</f>
        <v>6.5</v>
      </c>
      <c r="BQ759" s="117">
        <f>VLOOKUP($D759,'WB Data'!$C$3:$M$578,10,FALSE)</f>
        <v>68.295365853658538</v>
      </c>
      <c r="BR759" s="117">
        <f>VLOOKUP($D759,'WB Data'!$C$3:$M$578,11,FALSE)</f>
        <v>19.3</v>
      </c>
      <c r="BS759" s="129">
        <f>IFERROR(VLOOKUP($D759,'WB Data 2'!$C$2:$K$545,9,FALSE),"..")</f>
        <v>97.410539999999997</v>
      </c>
      <c r="BT759" s="129">
        <f>_xlfn.IFNA(VLOOKUP($C759,RGI!$A$2:$C$43,2,FALSE),"..")</f>
        <v>77.5</v>
      </c>
      <c r="BU759" s="129">
        <f>_xlfn.IFNA(VLOOKUP($C759,RGI!$A$2:$C$43,3,FALSE),"..")</f>
        <v>57.362887635782535</v>
      </c>
      <c r="BV759" s="129">
        <f>VLOOKUP($D759,WGI!$C$2:$O$478,7,FALSE)</f>
        <v>-1.1020684613614</v>
      </c>
      <c r="BW759" s="129">
        <f>VLOOKUP($D759,WGI!$C$2:$O$478,4,FALSE)</f>
        <v>0.45235036310351401</v>
      </c>
      <c r="BX759" s="129">
        <f>VLOOKUP($D759,WGI!$C$2:$O$478,3,FALSE)</f>
        <v>-0.42554743484187901</v>
      </c>
      <c r="BY759" s="129">
        <f>VLOOKUP($D759,WGI!$C$2:$O$478,5,FALSE)</f>
        <v>-0.336527196038655</v>
      </c>
      <c r="BZ759" s="129">
        <f>VLOOKUP($D759,WGI!$C$2:$O$478,2,FALSE)</f>
        <v>-0.97534524891083396</v>
      </c>
      <c r="CB759" s="129"/>
    </row>
    <row r="760" spans="1:80" s="120" customFormat="1" ht="15" customHeight="1">
      <c r="A760" s="280" t="s">
        <v>275</v>
      </c>
      <c r="B760" s="117">
        <v>2010</v>
      </c>
      <c r="C760" s="117" t="s">
        <v>280</v>
      </c>
      <c r="D760" s="117" t="s">
        <v>3668</v>
      </c>
      <c r="E760" s="452" t="s">
        <v>39</v>
      </c>
      <c r="F760" s="117"/>
      <c r="G760" s="117" t="s">
        <v>24</v>
      </c>
      <c r="H760" s="117" t="str">
        <f t="shared" si="120"/>
        <v>yes</v>
      </c>
      <c r="I760" s="117" t="str">
        <f t="shared" si="121"/>
        <v>no</v>
      </c>
      <c r="J760" s="117" t="str">
        <f t="shared" si="122"/>
        <v>no</v>
      </c>
      <c r="K760" s="120" t="s">
        <v>1138</v>
      </c>
      <c r="L760" s="117" t="str">
        <f t="shared" si="129"/>
        <v>detailed</v>
      </c>
      <c r="M760" s="117" t="str">
        <f t="shared" si="123"/>
        <v>detailed Mining</v>
      </c>
      <c r="N760" s="89">
        <v>5310400</v>
      </c>
      <c r="O760" s="89"/>
      <c r="P760" s="89"/>
      <c r="Q760" s="89"/>
      <c r="R760" s="89"/>
      <c r="S760" s="120" t="s">
        <v>610</v>
      </c>
      <c r="T760" s="119">
        <v>29.41</v>
      </c>
      <c r="U760" s="117" t="s">
        <v>611</v>
      </c>
      <c r="V760" s="117" t="s">
        <v>1175</v>
      </c>
      <c r="W760" s="89">
        <f>N760*T760</f>
        <v>156178864</v>
      </c>
      <c r="AA760" s="117"/>
      <c r="AB760" s="117"/>
      <c r="AC760" s="462"/>
      <c r="AD760" s="462"/>
      <c r="AE760" s="462"/>
      <c r="AF760" s="463"/>
      <c r="AH760" s="493"/>
      <c r="AV760" s="128"/>
      <c r="AW760" s="117">
        <f>VLOOKUP($D760,'WB Data'!$C$3:$M$578,2,FALSE)</f>
        <v>148047348240.64334</v>
      </c>
      <c r="AX760" s="117">
        <f>VLOOKUP($D760,'WB Data'!$C$3:$M$578,3,FALSE)</f>
        <v>16321581</v>
      </c>
      <c r="AY760" s="847" t="str">
        <f t="shared" si="125"/>
        <v>..</v>
      </c>
      <c r="AZ760" s="117" t="e">
        <f>VLOOKUP($D760,'WB Data'!$C$3:$M$578,4,FALSE)/100</f>
        <v>#VALUE!</v>
      </c>
      <c r="BA760" s="117" t="str">
        <f t="shared" si="126"/>
        <v>..</v>
      </c>
      <c r="BB760" s="129" t="str">
        <f>IFERROR(VLOOKUP($D760,'EITI Revenues'!$C$2:$G$224,5,FALSE),"..")</f>
        <v>..</v>
      </c>
      <c r="BC760" s="846" t="str">
        <f t="shared" si="127"/>
        <v>..</v>
      </c>
      <c r="BD760" s="129">
        <f>VLOOKUP($D760,'WB Data 2'!$C$2:$K$545,6,FALSE)</f>
        <v>50455901483.121315</v>
      </c>
      <c r="BE760" s="129">
        <f>IFERROR(VLOOKUP($D760,UNCTAD!$C$5:$V$529,4,FALSE),"..")</f>
        <v>65510660000</v>
      </c>
      <c r="BF760" s="846">
        <f t="shared" si="128"/>
        <v>0.77019375904808951</v>
      </c>
      <c r="BG760" s="117">
        <f>VLOOKUP($D760,'WB Data'!$C$3:$M$578,5,FALSE)</f>
        <v>223930000</v>
      </c>
      <c r="BH760" s="129" t="str">
        <f>IFERROR($BB760/$BG760,"..")</f>
        <v>..</v>
      </c>
      <c r="BI760" s="117" t="str">
        <f>IFERROR(VLOOKUP($D760,'WB Data'!$C$3:$M$578,7,FALSE)/100,"..")</f>
        <v>..</v>
      </c>
      <c r="BJ760" s="117" t="str">
        <f>IFERROR($BI760*$AW760,"..")</f>
        <v>..</v>
      </c>
      <c r="BK760" s="846" t="str">
        <f>IFERROR($BB760/$BJ760,"..")</f>
        <v>..</v>
      </c>
      <c r="BL760" s="117" t="str">
        <f>IFERROR(VLOOKUP($D760,'WB Data'!$C$3:$M$578,7,FALSE)/100,"..")</f>
        <v>..</v>
      </c>
      <c r="BM760" s="117" t="str">
        <f>IFERROR($AW760*$BL760,"..")</f>
        <v>..</v>
      </c>
      <c r="BN760" s="846" t="str">
        <f>IFERROR($BB760/$BM760,"..")</f>
        <v>..</v>
      </c>
      <c r="BO760" s="801">
        <f t="shared" si="124"/>
        <v>29</v>
      </c>
      <c r="BP760" s="117">
        <f>VLOOKUP($D760,'WB Data'!$C$3:$M$578,9,FALSE)</f>
        <v>6.5</v>
      </c>
      <c r="BQ760" s="117">
        <f>VLOOKUP($D760,'WB Data'!$C$3:$M$578,10,FALSE)</f>
        <v>68.295365853658538</v>
      </c>
      <c r="BR760" s="117">
        <f>VLOOKUP($D760,'WB Data'!$C$3:$M$578,11,FALSE)</f>
        <v>19.3</v>
      </c>
      <c r="BS760" s="129">
        <f>IFERROR(VLOOKUP($D760,'WB Data 2'!$C$2:$K$545,9,FALSE),"..")</f>
        <v>97.410539999999997</v>
      </c>
      <c r="BT760" s="129">
        <f>_xlfn.IFNA(VLOOKUP($C760,RGI!$A$2:$C$43,2,FALSE),"..")</f>
        <v>77.5</v>
      </c>
      <c r="BU760" s="129">
        <f>_xlfn.IFNA(VLOOKUP($C760,RGI!$A$2:$C$43,3,FALSE),"..")</f>
        <v>57.362887635782535</v>
      </c>
      <c r="BV760" s="129">
        <f>VLOOKUP($D760,WGI!$C$2:$O$478,7,FALSE)</f>
        <v>-1.1020684613614</v>
      </c>
      <c r="BW760" s="129">
        <f>VLOOKUP($D760,WGI!$C$2:$O$478,4,FALSE)</f>
        <v>0.45235036310351401</v>
      </c>
      <c r="BX760" s="129">
        <f>VLOOKUP($D760,WGI!$C$2:$O$478,3,FALSE)</f>
        <v>-0.42554743484187901</v>
      </c>
      <c r="BY760" s="129">
        <f>VLOOKUP($D760,WGI!$C$2:$O$478,5,FALSE)</f>
        <v>-0.336527196038655</v>
      </c>
      <c r="BZ760" s="129">
        <f>VLOOKUP($D760,WGI!$C$2:$O$478,2,FALSE)</f>
        <v>-0.97534524891083396</v>
      </c>
      <c r="CB760" s="129"/>
    </row>
    <row r="761" spans="1:80" s="120" customFormat="1" ht="15" customHeight="1">
      <c r="A761" s="280" t="s">
        <v>275</v>
      </c>
      <c r="B761" s="117">
        <v>2010</v>
      </c>
      <c r="C761" s="117" t="s">
        <v>280</v>
      </c>
      <c r="D761" s="117" t="s">
        <v>3668</v>
      </c>
      <c r="E761" s="452" t="s">
        <v>39</v>
      </c>
      <c r="F761" s="117"/>
      <c r="G761" s="117" t="s">
        <v>24</v>
      </c>
      <c r="H761" s="117" t="str">
        <f t="shared" si="120"/>
        <v>yes</v>
      </c>
      <c r="I761" s="117" t="str">
        <f t="shared" si="121"/>
        <v>no</v>
      </c>
      <c r="J761" s="117" t="str">
        <f t="shared" si="122"/>
        <v>no</v>
      </c>
      <c r="K761" s="120" t="s">
        <v>1417</v>
      </c>
      <c r="L761" s="117" t="str">
        <f t="shared" si="129"/>
        <v>detailed</v>
      </c>
      <c r="M761" s="117" t="str">
        <f t="shared" si="123"/>
        <v>detailed Mining</v>
      </c>
      <c r="N761" s="89">
        <v>30000</v>
      </c>
      <c r="O761" s="89"/>
      <c r="P761" s="89"/>
      <c r="Q761" s="89"/>
      <c r="R761" s="89"/>
      <c r="S761" s="120" t="s">
        <v>610</v>
      </c>
      <c r="T761" s="119">
        <v>361</v>
      </c>
      <c r="U761" s="117" t="s">
        <v>611</v>
      </c>
      <c r="V761" s="117" t="s">
        <v>1418</v>
      </c>
      <c r="W761" s="89">
        <f>N761*T761</f>
        <v>10830000</v>
      </c>
      <c r="AA761" s="117"/>
      <c r="AB761" s="117"/>
      <c r="AC761" s="462"/>
      <c r="AD761" s="462"/>
      <c r="AE761" s="462"/>
      <c r="AF761" s="463"/>
      <c r="AH761" s="493"/>
      <c r="AV761" s="128"/>
      <c r="AW761" s="117">
        <f>VLOOKUP($D761,'WB Data'!$C$3:$M$578,2,FALSE)</f>
        <v>148047348240.64334</v>
      </c>
      <c r="AX761" s="117">
        <f>VLOOKUP($D761,'WB Data'!$C$3:$M$578,3,FALSE)</f>
        <v>16321581</v>
      </c>
      <c r="AY761" s="847" t="str">
        <f t="shared" si="125"/>
        <v>..</v>
      </c>
      <c r="AZ761" s="117" t="e">
        <f>VLOOKUP($D761,'WB Data'!$C$3:$M$578,4,FALSE)/100</f>
        <v>#VALUE!</v>
      </c>
      <c r="BA761" s="117" t="str">
        <f t="shared" si="126"/>
        <v>..</v>
      </c>
      <c r="BB761" s="129" t="str">
        <f>IFERROR(VLOOKUP($D761,'EITI Revenues'!$C$2:$G$224,5,FALSE),"..")</f>
        <v>..</v>
      </c>
      <c r="BC761" s="846" t="str">
        <f t="shared" si="127"/>
        <v>..</v>
      </c>
      <c r="BD761" s="129">
        <f>VLOOKUP($D761,'WB Data 2'!$C$2:$K$545,6,FALSE)</f>
        <v>50455901483.121315</v>
      </c>
      <c r="BE761" s="129">
        <f>IFERROR(VLOOKUP($D761,UNCTAD!$C$5:$V$529,4,FALSE),"..")</f>
        <v>65510660000</v>
      </c>
      <c r="BF761" s="846">
        <f t="shared" si="128"/>
        <v>0.77019375904808951</v>
      </c>
      <c r="BG761" s="117">
        <f>VLOOKUP($D761,'WB Data'!$C$3:$M$578,5,FALSE)</f>
        <v>223930000</v>
      </c>
      <c r="BH761" s="129" t="str">
        <f>IFERROR($BB761/$BG761,"..")</f>
        <v>..</v>
      </c>
      <c r="BI761" s="117" t="str">
        <f>IFERROR(VLOOKUP($D761,'WB Data'!$C$3:$M$578,7,FALSE)/100,"..")</f>
        <v>..</v>
      </c>
      <c r="BJ761" s="117" t="str">
        <f>IFERROR($BI761*$AW761,"..")</f>
        <v>..</v>
      </c>
      <c r="BK761" s="846" t="str">
        <f>IFERROR($BB761/$BJ761,"..")</f>
        <v>..</v>
      </c>
      <c r="BL761" s="117" t="str">
        <f>IFERROR(VLOOKUP($D761,'WB Data'!$C$3:$M$578,7,FALSE)/100,"..")</f>
        <v>..</v>
      </c>
      <c r="BM761" s="117" t="str">
        <f>IFERROR($AW761*$BL761,"..")</f>
        <v>..</v>
      </c>
      <c r="BN761" s="846" t="str">
        <f>IFERROR($BB761/$BM761,"..")</f>
        <v>..</v>
      </c>
      <c r="BO761" s="801">
        <f t="shared" si="124"/>
        <v>29</v>
      </c>
      <c r="BP761" s="117">
        <f>VLOOKUP($D761,'WB Data'!$C$3:$M$578,9,FALSE)</f>
        <v>6.5</v>
      </c>
      <c r="BQ761" s="117">
        <f>VLOOKUP($D761,'WB Data'!$C$3:$M$578,10,FALSE)</f>
        <v>68.295365853658538</v>
      </c>
      <c r="BR761" s="117">
        <f>VLOOKUP($D761,'WB Data'!$C$3:$M$578,11,FALSE)</f>
        <v>19.3</v>
      </c>
      <c r="BS761" s="129">
        <f>IFERROR(VLOOKUP($D761,'WB Data 2'!$C$2:$K$545,9,FALSE),"..")</f>
        <v>97.410539999999997</v>
      </c>
      <c r="BT761" s="129">
        <f>_xlfn.IFNA(VLOOKUP($C761,RGI!$A$2:$C$43,2,FALSE),"..")</f>
        <v>77.5</v>
      </c>
      <c r="BU761" s="129">
        <f>_xlfn.IFNA(VLOOKUP($C761,RGI!$A$2:$C$43,3,FALSE),"..")</f>
        <v>57.362887635782535</v>
      </c>
      <c r="BV761" s="129">
        <f>VLOOKUP($D761,WGI!$C$2:$O$478,7,FALSE)</f>
        <v>-1.1020684613614</v>
      </c>
      <c r="BW761" s="129">
        <f>VLOOKUP($D761,WGI!$C$2:$O$478,4,FALSE)</f>
        <v>0.45235036310351401</v>
      </c>
      <c r="BX761" s="129">
        <f>VLOOKUP($D761,WGI!$C$2:$O$478,3,FALSE)</f>
        <v>-0.42554743484187901</v>
      </c>
      <c r="BY761" s="129">
        <f>VLOOKUP($D761,WGI!$C$2:$O$478,5,FALSE)</f>
        <v>-0.336527196038655</v>
      </c>
      <c r="BZ761" s="129">
        <f>VLOOKUP($D761,WGI!$C$2:$O$478,2,FALSE)</f>
        <v>-0.97534524891083396</v>
      </c>
      <c r="CB761" s="129"/>
    </row>
    <row r="762" spans="1:80" s="120" customFormat="1" ht="15" customHeight="1">
      <c r="A762" s="280" t="s">
        <v>275</v>
      </c>
      <c r="B762" s="117">
        <v>2010</v>
      </c>
      <c r="C762" s="117" t="s">
        <v>280</v>
      </c>
      <c r="D762" s="117" t="s">
        <v>3668</v>
      </c>
      <c r="E762" s="452" t="s">
        <v>39</v>
      </c>
      <c r="F762" s="117"/>
      <c r="G762" s="117" t="s">
        <v>24</v>
      </c>
      <c r="H762" s="117" t="str">
        <f t="shared" si="120"/>
        <v>yes</v>
      </c>
      <c r="I762" s="117" t="str">
        <f t="shared" si="121"/>
        <v>no</v>
      </c>
      <c r="J762" s="117" t="str">
        <f t="shared" si="122"/>
        <v>no</v>
      </c>
      <c r="K762" s="120" t="s">
        <v>1449</v>
      </c>
      <c r="L762" s="117" t="str">
        <f t="shared" si="129"/>
        <v>detailed</v>
      </c>
      <c r="M762" s="117" t="str">
        <f t="shared" si="123"/>
        <v>detailed Mining</v>
      </c>
      <c r="N762" s="89">
        <v>3760000</v>
      </c>
      <c r="O762" s="89"/>
      <c r="P762" s="89"/>
      <c r="Q762" s="89"/>
      <c r="R762" s="89"/>
      <c r="S762" s="120" t="s">
        <v>610</v>
      </c>
      <c r="T762" s="119">
        <v>212</v>
      </c>
      <c r="U762" s="117" t="s">
        <v>611</v>
      </c>
      <c r="V762" s="117" t="s">
        <v>1450</v>
      </c>
      <c r="W762" s="89">
        <f>N762*T762</f>
        <v>797120000</v>
      </c>
      <c r="AA762" s="117"/>
      <c r="AB762" s="117"/>
      <c r="AC762" s="462"/>
      <c r="AD762" s="462"/>
      <c r="AE762" s="462"/>
      <c r="AF762" s="463"/>
      <c r="AH762" s="493"/>
      <c r="AV762" s="128"/>
      <c r="AW762" s="117">
        <f>VLOOKUP($D762,'WB Data'!$C$3:$M$578,2,FALSE)</f>
        <v>148047348240.64334</v>
      </c>
      <c r="AX762" s="117">
        <f>VLOOKUP($D762,'WB Data'!$C$3:$M$578,3,FALSE)</f>
        <v>16321581</v>
      </c>
      <c r="AY762" s="847" t="str">
        <f t="shared" si="125"/>
        <v>..</v>
      </c>
      <c r="AZ762" s="117" t="e">
        <f>VLOOKUP($D762,'WB Data'!$C$3:$M$578,4,FALSE)/100</f>
        <v>#VALUE!</v>
      </c>
      <c r="BA762" s="117" t="str">
        <f t="shared" si="126"/>
        <v>..</v>
      </c>
      <c r="BB762" s="129" t="str">
        <f>IFERROR(VLOOKUP($D762,'EITI Revenues'!$C$2:$G$224,5,FALSE),"..")</f>
        <v>..</v>
      </c>
      <c r="BC762" s="846" t="str">
        <f t="shared" si="127"/>
        <v>..</v>
      </c>
      <c r="BD762" s="129">
        <f>VLOOKUP($D762,'WB Data 2'!$C$2:$K$545,6,FALSE)</f>
        <v>50455901483.121315</v>
      </c>
      <c r="BE762" s="129">
        <f>IFERROR(VLOOKUP($D762,UNCTAD!$C$5:$V$529,4,FALSE),"..")</f>
        <v>65510660000</v>
      </c>
      <c r="BF762" s="846">
        <f t="shared" si="128"/>
        <v>0.77019375904808951</v>
      </c>
      <c r="BG762" s="117">
        <f>VLOOKUP($D762,'WB Data'!$C$3:$M$578,5,FALSE)</f>
        <v>223930000</v>
      </c>
      <c r="BH762" s="129" t="str">
        <f>IFERROR($BB762/$BG762,"..")</f>
        <v>..</v>
      </c>
      <c r="BI762" s="117" t="str">
        <f>IFERROR(VLOOKUP($D762,'WB Data'!$C$3:$M$578,7,FALSE)/100,"..")</f>
        <v>..</v>
      </c>
      <c r="BJ762" s="117" t="str">
        <f>IFERROR($BI762*$AW762,"..")</f>
        <v>..</v>
      </c>
      <c r="BK762" s="846" t="str">
        <f>IFERROR($BB762/$BJ762,"..")</f>
        <v>..</v>
      </c>
      <c r="BL762" s="117" t="str">
        <f>IFERROR(VLOOKUP($D762,'WB Data'!$C$3:$M$578,7,FALSE)/100,"..")</f>
        <v>..</v>
      </c>
      <c r="BM762" s="117" t="str">
        <f>IFERROR($AW762*$BL762,"..")</f>
        <v>..</v>
      </c>
      <c r="BN762" s="846" t="str">
        <f>IFERROR($BB762/$BM762,"..")</f>
        <v>..</v>
      </c>
      <c r="BO762" s="801">
        <f t="shared" si="124"/>
        <v>29</v>
      </c>
      <c r="BP762" s="117">
        <f>VLOOKUP($D762,'WB Data'!$C$3:$M$578,9,FALSE)</f>
        <v>6.5</v>
      </c>
      <c r="BQ762" s="117">
        <f>VLOOKUP($D762,'WB Data'!$C$3:$M$578,10,FALSE)</f>
        <v>68.295365853658538</v>
      </c>
      <c r="BR762" s="117">
        <f>VLOOKUP($D762,'WB Data'!$C$3:$M$578,11,FALSE)</f>
        <v>19.3</v>
      </c>
      <c r="BS762" s="129">
        <f>IFERROR(VLOOKUP($D762,'WB Data 2'!$C$2:$K$545,9,FALSE),"..")</f>
        <v>97.410539999999997</v>
      </c>
      <c r="BT762" s="129">
        <f>_xlfn.IFNA(VLOOKUP($C762,RGI!$A$2:$C$43,2,FALSE),"..")</f>
        <v>77.5</v>
      </c>
      <c r="BU762" s="129">
        <f>_xlfn.IFNA(VLOOKUP($C762,RGI!$A$2:$C$43,3,FALSE),"..")</f>
        <v>57.362887635782535</v>
      </c>
      <c r="BV762" s="129">
        <f>VLOOKUP($D762,WGI!$C$2:$O$478,7,FALSE)</f>
        <v>-1.1020684613614</v>
      </c>
      <c r="BW762" s="129">
        <f>VLOOKUP($D762,WGI!$C$2:$O$478,4,FALSE)</f>
        <v>0.45235036310351401</v>
      </c>
      <c r="BX762" s="129">
        <f>VLOOKUP($D762,WGI!$C$2:$O$478,3,FALSE)</f>
        <v>-0.42554743484187901</v>
      </c>
      <c r="BY762" s="129">
        <f>VLOOKUP($D762,WGI!$C$2:$O$478,5,FALSE)</f>
        <v>-0.336527196038655</v>
      </c>
      <c r="BZ762" s="129">
        <f>VLOOKUP($D762,WGI!$C$2:$O$478,2,FALSE)</f>
        <v>-0.97534524891083396</v>
      </c>
      <c r="CB762" s="129"/>
    </row>
    <row r="763" spans="1:80" s="120" customFormat="1" ht="15" customHeight="1">
      <c r="A763" s="280" t="s">
        <v>275</v>
      </c>
      <c r="B763" s="117">
        <v>2010</v>
      </c>
      <c r="C763" s="117" t="s">
        <v>280</v>
      </c>
      <c r="D763" s="117" t="s">
        <v>3668</v>
      </c>
      <c r="E763" s="452" t="s">
        <v>39</v>
      </c>
      <c r="F763" s="117"/>
      <c r="G763" s="117" t="s">
        <v>24</v>
      </c>
      <c r="H763" s="117" t="str">
        <f t="shared" si="120"/>
        <v>yes</v>
      </c>
      <c r="I763" s="117" t="str">
        <f t="shared" si="121"/>
        <v>no</v>
      </c>
      <c r="J763" s="117" t="str">
        <f t="shared" si="122"/>
        <v>no</v>
      </c>
      <c r="K763" s="120" t="s">
        <v>619</v>
      </c>
      <c r="L763" s="117" t="str">
        <f t="shared" si="129"/>
        <v>detailed</v>
      </c>
      <c r="M763" s="117" t="str">
        <f t="shared" si="123"/>
        <v>detailed Mining</v>
      </c>
      <c r="N763" s="89"/>
      <c r="O763" s="89"/>
      <c r="P763" s="89"/>
      <c r="Q763" s="89"/>
      <c r="R763" s="89"/>
      <c r="T763" s="186">
        <v>7534.7795833333303</v>
      </c>
      <c r="U763" s="117" t="s">
        <v>611</v>
      </c>
      <c r="V763" s="117" t="s">
        <v>1419</v>
      </c>
      <c r="W763" s="89">
        <f>SUM(N765:N766)*T763</f>
        <v>4837366166.3979149</v>
      </c>
      <c r="AA763" s="117"/>
      <c r="AB763" s="117"/>
      <c r="AC763" s="462"/>
      <c r="AD763" s="462"/>
      <c r="AE763" s="462"/>
      <c r="AF763" s="463"/>
      <c r="AH763" s="493"/>
      <c r="AV763" s="128"/>
      <c r="AW763" s="117">
        <f>VLOOKUP($D763,'WB Data'!$C$3:$M$578,2,FALSE)</f>
        <v>148047348240.64334</v>
      </c>
      <c r="AX763" s="117">
        <f>VLOOKUP($D763,'WB Data'!$C$3:$M$578,3,FALSE)</f>
        <v>16321581</v>
      </c>
      <c r="AY763" s="847" t="str">
        <f t="shared" si="125"/>
        <v>..</v>
      </c>
      <c r="AZ763" s="117" t="e">
        <f>VLOOKUP($D763,'WB Data'!$C$3:$M$578,4,FALSE)/100</f>
        <v>#VALUE!</v>
      </c>
      <c r="BA763" s="117" t="str">
        <f t="shared" si="126"/>
        <v>..</v>
      </c>
      <c r="BB763" s="129" t="str">
        <f>IFERROR(VLOOKUP($D763,'EITI Revenues'!$C$2:$G$224,5,FALSE),"..")</f>
        <v>..</v>
      </c>
      <c r="BC763" s="846" t="str">
        <f t="shared" si="127"/>
        <v>..</v>
      </c>
      <c r="BD763" s="129">
        <f>VLOOKUP($D763,'WB Data 2'!$C$2:$K$545,6,FALSE)</f>
        <v>50455901483.121315</v>
      </c>
      <c r="BE763" s="129">
        <f>IFERROR(VLOOKUP($D763,UNCTAD!$C$5:$V$529,4,FALSE),"..")</f>
        <v>65510660000</v>
      </c>
      <c r="BF763" s="846">
        <f t="shared" si="128"/>
        <v>0.77019375904808951</v>
      </c>
      <c r="BG763" s="117">
        <f>VLOOKUP($D763,'WB Data'!$C$3:$M$578,5,FALSE)</f>
        <v>223930000</v>
      </c>
      <c r="BH763" s="129" t="str">
        <f>IFERROR($BB763/$BG763,"..")</f>
        <v>..</v>
      </c>
      <c r="BI763" s="117" t="str">
        <f>IFERROR(VLOOKUP($D763,'WB Data'!$C$3:$M$578,7,FALSE)/100,"..")</f>
        <v>..</v>
      </c>
      <c r="BJ763" s="117" t="str">
        <f>IFERROR($BI763*$AW763,"..")</f>
        <v>..</v>
      </c>
      <c r="BK763" s="846" t="str">
        <f>IFERROR($BB763/$BJ763,"..")</f>
        <v>..</v>
      </c>
      <c r="BL763" s="117" t="str">
        <f>IFERROR(VLOOKUP($D763,'WB Data'!$C$3:$M$578,7,FALSE)/100,"..")</f>
        <v>..</v>
      </c>
      <c r="BM763" s="117" t="str">
        <f>IFERROR($AW763*$BL763,"..")</f>
        <v>..</v>
      </c>
      <c r="BN763" s="846" t="str">
        <f>IFERROR($BB763/$BM763,"..")</f>
        <v>..</v>
      </c>
      <c r="BO763" s="801">
        <f t="shared" si="124"/>
        <v>29</v>
      </c>
      <c r="BP763" s="117">
        <f>VLOOKUP($D763,'WB Data'!$C$3:$M$578,9,FALSE)</f>
        <v>6.5</v>
      </c>
      <c r="BQ763" s="117">
        <f>VLOOKUP($D763,'WB Data'!$C$3:$M$578,10,FALSE)</f>
        <v>68.295365853658538</v>
      </c>
      <c r="BR763" s="117">
        <f>VLOOKUP($D763,'WB Data'!$C$3:$M$578,11,FALSE)</f>
        <v>19.3</v>
      </c>
      <c r="BS763" s="129">
        <f>IFERROR(VLOOKUP($D763,'WB Data 2'!$C$2:$K$545,9,FALSE),"..")</f>
        <v>97.410539999999997</v>
      </c>
      <c r="BT763" s="129">
        <f>_xlfn.IFNA(VLOOKUP($C763,RGI!$A$2:$C$43,2,FALSE),"..")</f>
        <v>77.5</v>
      </c>
      <c r="BU763" s="129">
        <f>_xlfn.IFNA(VLOOKUP($C763,RGI!$A$2:$C$43,3,FALSE),"..")</f>
        <v>57.362887635782535</v>
      </c>
      <c r="BV763" s="129">
        <f>VLOOKUP($D763,WGI!$C$2:$O$478,7,FALSE)</f>
        <v>-1.1020684613614</v>
      </c>
      <c r="BW763" s="129">
        <f>VLOOKUP($D763,WGI!$C$2:$O$478,4,FALSE)</f>
        <v>0.45235036310351401</v>
      </c>
      <c r="BX763" s="129">
        <f>VLOOKUP($D763,WGI!$C$2:$O$478,3,FALSE)</f>
        <v>-0.42554743484187901</v>
      </c>
      <c r="BY763" s="129">
        <f>VLOOKUP($D763,WGI!$C$2:$O$478,5,FALSE)</f>
        <v>-0.336527196038655</v>
      </c>
      <c r="BZ763" s="129">
        <f>VLOOKUP($D763,WGI!$C$2:$O$478,2,FALSE)</f>
        <v>-0.97534524891083396</v>
      </c>
      <c r="CB763" s="129"/>
    </row>
    <row r="764" spans="1:80" s="120" customFormat="1" ht="15" customHeight="1">
      <c r="A764" s="280" t="s">
        <v>275</v>
      </c>
      <c r="B764" s="117">
        <v>2010</v>
      </c>
      <c r="C764" s="117" t="s">
        <v>280</v>
      </c>
      <c r="D764" s="117" t="s">
        <v>3668</v>
      </c>
      <c r="E764" s="452" t="s">
        <v>39</v>
      </c>
      <c r="F764" s="117"/>
      <c r="G764" s="117" t="s">
        <v>24</v>
      </c>
      <c r="H764" s="117" t="str">
        <f t="shared" si="120"/>
        <v>yes</v>
      </c>
      <c r="I764" s="117" t="str">
        <f t="shared" si="121"/>
        <v>no</v>
      </c>
      <c r="J764" s="117" t="str">
        <f t="shared" si="122"/>
        <v>no</v>
      </c>
      <c r="K764" s="120" t="s">
        <v>1072</v>
      </c>
      <c r="L764" s="117" t="str">
        <f t="shared" si="129"/>
        <v>detailed</v>
      </c>
      <c r="M764" s="117" t="str">
        <f t="shared" si="123"/>
        <v>detailed Mining</v>
      </c>
      <c r="N764" s="89">
        <v>427000</v>
      </c>
      <c r="O764" s="89"/>
      <c r="P764" s="89"/>
      <c r="Q764" s="89"/>
      <c r="R764" s="89"/>
      <c r="S764" s="120" t="s">
        <v>610</v>
      </c>
      <c r="T764" s="119"/>
      <c r="V764" s="117" t="s">
        <v>847</v>
      </c>
      <c r="W764" s="89"/>
      <c r="AA764" s="117"/>
      <c r="AB764" s="117"/>
      <c r="AC764" s="462"/>
      <c r="AD764" s="462"/>
      <c r="AE764" s="462"/>
      <c r="AF764" s="463"/>
      <c r="AH764" s="493"/>
      <c r="AV764" s="128"/>
      <c r="AW764" s="117">
        <f>VLOOKUP($D764,'WB Data'!$C$3:$M$578,2,FALSE)</f>
        <v>148047348240.64334</v>
      </c>
      <c r="AX764" s="117">
        <f>VLOOKUP($D764,'WB Data'!$C$3:$M$578,3,FALSE)</f>
        <v>16321581</v>
      </c>
      <c r="AY764" s="847" t="str">
        <f t="shared" si="125"/>
        <v>..</v>
      </c>
      <c r="AZ764" s="117" t="e">
        <f>VLOOKUP($D764,'WB Data'!$C$3:$M$578,4,FALSE)/100</f>
        <v>#VALUE!</v>
      </c>
      <c r="BA764" s="117" t="str">
        <f t="shared" si="126"/>
        <v>..</v>
      </c>
      <c r="BB764" s="129" t="str">
        <f>IFERROR(VLOOKUP($D764,'EITI Revenues'!$C$2:$G$224,5,FALSE),"..")</f>
        <v>..</v>
      </c>
      <c r="BC764" s="846" t="str">
        <f t="shared" si="127"/>
        <v>..</v>
      </c>
      <c r="BD764" s="129">
        <f>VLOOKUP($D764,'WB Data 2'!$C$2:$K$545,6,FALSE)</f>
        <v>50455901483.121315</v>
      </c>
      <c r="BE764" s="129">
        <f>IFERROR(VLOOKUP($D764,UNCTAD!$C$5:$V$529,4,FALSE),"..")</f>
        <v>65510660000</v>
      </c>
      <c r="BF764" s="846">
        <f t="shared" si="128"/>
        <v>0.77019375904808951</v>
      </c>
      <c r="BG764" s="117">
        <f>VLOOKUP($D764,'WB Data'!$C$3:$M$578,5,FALSE)</f>
        <v>223930000</v>
      </c>
      <c r="BH764" s="129" t="str">
        <f>IFERROR($BB764/$BG764,"..")</f>
        <v>..</v>
      </c>
      <c r="BI764" s="117" t="str">
        <f>IFERROR(VLOOKUP($D764,'WB Data'!$C$3:$M$578,7,FALSE)/100,"..")</f>
        <v>..</v>
      </c>
      <c r="BJ764" s="117" t="str">
        <f>IFERROR($BI764*$AW764,"..")</f>
        <v>..</v>
      </c>
      <c r="BK764" s="846" t="str">
        <f>IFERROR($BB764/$BJ764,"..")</f>
        <v>..</v>
      </c>
      <c r="BL764" s="117" t="str">
        <f>IFERROR(VLOOKUP($D764,'WB Data'!$C$3:$M$578,7,FALSE)/100,"..")</f>
        <v>..</v>
      </c>
      <c r="BM764" s="117" t="str">
        <f>IFERROR($AW764*$BL764,"..")</f>
        <v>..</v>
      </c>
      <c r="BN764" s="846" t="str">
        <f>IFERROR($BB764/$BM764,"..")</f>
        <v>..</v>
      </c>
      <c r="BO764" s="801">
        <f t="shared" si="124"/>
        <v>29</v>
      </c>
      <c r="BP764" s="117">
        <f>VLOOKUP($D764,'WB Data'!$C$3:$M$578,9,FALSE)</f>
        <v>6.5</v>
      </c>
      <c r="BQ764" s="117">
        <f>VLOOKUP($D764,'WB Data'!$C$3:$M$578,10,FALSE)</f>
        <v>68.295365853658538</v>
      </c>
      <c r="BR764" s="117">
        <f>VLOOKUP($D764,'WB Data'!$C$3:$M$578,11,FALSE)</f>
        <v>19.3</v>
      </c>
      <c r="BS764" s="129">
        <f>IFERROR(VLOOKUP($D764,'WB Data 2'!$C$2:$K$545,9,FALSE),"..")</f>
        <v>97.410539999999997</v>
      </c>
      <c r="BT764" s="129">
        <f>_xlfn.IFNA(VLOOKUP($C764,RGI!$A$2:$C$43,2,FALSE),"..")</f>
        <v>77.5</v>
      </c>
      <c r="BU764" s="129">
        <f>_xlfn.IFNA(VLOOKUP($C764,RGI!$A$2:$C$43,3,FALSE),"..")</f>
        <v>57.362887635782535</v>
      </c>
      <c r="BV764" s="129">
        <f>VLOOKUP($D764,WGI!$C$2:$O$478,7,FALSE)</f>
        <v>-1.1020684613614</v>
      </c>
      <c r="BW764" s="129">
        <f>VLOOKUP($D764,WGI!$C$2:$O$478,4,FALSE)</f>
        <v>0.45235036310351401</v>
      </c>
      <c r="BX764" s="129">
        <f>VLOOKUP($D764,WGI!$C$2:$O$478,3,FALSE)</f>
        <v>-0.42554743484187901</v>
      </c>
      <c r="BY764" s="129">
        <f>VLOOKUP($D764,WGI!$C$2:$O$478,5,FALSE)</f>
        <v>-0.336527196038655</v>
      </c>
      <c r="BZ764" s="129">
        <f>VLOOKUP($D764,WGI!$C$2:$O$478,2,FALSE)</f>
        <v>-0.97534524891083396</v>
      </c>
      <c r="CB764" s="129"/>
    </row>
    <row r="765" spans="1:80" s="120" customFormat="1" ht="15" customHeight="1">
      <c r="A765" s="280" t="s">
        <v>275</v>
      </c>
      <c r="B765" s="117">
        <v>2010</v>
      </c>
      <c r="C765" s="117" t="s">
        <v>280</v>
      </c>
      <c r="D765" s="117" t="s">
        <v>3668</v>
      </c>
      <c r="E765" s="452" t="s">
        <v>39</v>
      </c>
      <c r="F765" s="117"/>
      <c r="G765" s="117" t="s">
        <v>24</v>
      </c>
      <c r="H765" s="117" t="str">
        <f t="shared" si="120"/>
        <v>yes</v>
      </c>
      <c r="I765" s="117" t="str">
        <f t="shared" si="121"/>
        <v>no</v>
      </c>
      <c r="J765" s="117" t="str">
        <f t="shared" si="122"/>
        <v>no</v>
      </c>
      <c r="K765" s="120" t="s">
        <v>1421</v>
      </c>
      <c r="L765" s="117" t="str">
        <f t="shared" si="129"/>
        <v>detailed</v>
      </c>
      <c r="M765" s="117" t="str">
        <f t="shared" si="123"/>
        <v>detailed Mining</v>
      </c>
      <c r="N765" s="89">
        <v>318637</v>
      </c>
      <c r="O765" s="89"/>
      <c r="P765" s="89"/>
      <c r="Q765" s="89"/>
      <c r="R765" s="89"/>
      <c r="S765" s="120" t="s">
        <v>610</v>
      </c>
      <c r="T765" s="119"/>
      <c r="V765" s="117" t="s">
        <v>847</v>
      </c>
      <c r="W765" s="89"/>
      <c r="AA765" s="117"/>
      <c r="AB765" s="117"/>
      <c r="AC765" s="462"/>
      <c r="AD765" s="462"/>
      <c r="AE765" s="462"/>
      <c r="AF765" s="463"/>
      <c r="AH765" s="493"/>
      <c r="AV765" s="128"/>
      <c r="AW765" s="117">
        <f>VLOOKUP($D765,'WB Data'!$C$3:$M$578,2,FALSE)</f>
        <v>148047348240.64334</v>
      </c>
      <c r="AX765" s="117">
        <f>VLOOKUP($D765,'WB Data'!$C$3:$M$578,3,FALSE)</f>
        <v>16321581</v>
      </c>
      <c r="AY765" s="847" t="str">
        <f t="shared" si="125"/>
        <v>..</v>
      </c>
      <c r="AZ765" s="117" t="e">
        <f>VLOOKUP($D765,'WB Data'!$C$3:$M$578,4,FALSE)/100</f>
        <v>#VALUE!</v>
      </c>
      <c r="BA765" s="117" t="str">
        <f t="shared" si="126"/>
        <v>..</v>
      </c>
      <c r="BB765" s="129" t="str">
        <f>IFERROR(VLOOKUP($D765,'EITI Revenues'!$C$2:$G$224,5,FALSE),"..")</f>
        <v>..</v>
      </c>
      <c r="BC765" s="846" t="str">
        <f t="shared" si="127"/>
        <v>..</v>
      </c>
      <c r="BD765" s="129">
        <f>VLOOKUP($D765,'WB Data 2'!$C$2:$K$545,6,FALSE)</f>
        <v>50455901483.121315</v>
      </c>
      <c r="BE765" s="129">
        <f>IFERROR(VLOOKUP($D765,UNCTAD!$C$5:$V$529,4,FALSE),"..")</f>
        <v>65510660000</v>
      </c>
      <c r="BF765" s="846">
        <f t="shared" si="128"/>
        <v>0.77019375904808951</v>
      </c>
      <c r="BG765" s="117">
        <f>VLOOKUP($D765,'WB Data'!$C$3:$M$578,5,FALSE)</f>
        <v>223930000</v>
      </c>
      <c r="BH765" s="129" t="str">
        <f>IFERROR($BB765/$BG765,"..")</f>
        <v>..</v>
      </c>
      <c r="BI765" s="117" t="str">
        <f>IFERROR(VLOOKUP($D765,'WB Data'!$C$3:$M$578,7,FALSE)/100,"..")</f>
        <v>..</v>
      </c>
      <c r="BJ765" s="117" t="str">
        <f>IFERROR($BI765*$AW765,"..")</f>
        <v>..</v>
      </c>
      <c r="BK765" s="846" t="str">
        <f>IFERROR($BB765/$BJ765,"..")</f>
        <v>..</v>
      </c>
      <c r="BL765" s="117" t="str">
        <f>IFERROR(VLOOKUP($D765,'WB Data'!$C$3:$M$578,7,FALSE)/100,"..")</f>
        <v>..</v>
      </c>
      <c r="BM765" s="117" t="str">
        <f>IFERROR($AW765*$BL765,"..")</f>
        <v>..</v>
      </c>
      <c r="BN765" s="846" t="str">
        <f>IFERROR($BB765/$BM765,"..")</f>
        <v>..</v>
      </c>
      <c r="BO765" s="801">
        <f t="shared" si="124"/>
        <v>29</v>
      </c>
      <c r="BP765" s="117">
        <f>VLOOKUP($D765,'WB Data'!$C$3:$M$578,9,FALSE)</f>
        <v>6.5</v>
      </c>
      <c r="BQ765" s="117">
        <f>VLOOKUP($D765,'WB Data'!$C$3:$M$578,10,FALSE)</f>
        <v>68.295365853658538</v>
      </c>
      <c r="BR765" s="117">
        <f>VLOOKUP($D765,'WB Data'!$C$3:$M$578,11,FALSE)</f>
        <v>19.3</v>
      </c>
      <c r="BS765" s="129">
        <f>IFERROR(VLOOKUP($D765,'WB Data 2'!$C$2:$K$545,9,FALSE),"..")</f>
        <v>97.410539999999997</v>
      </c>
      <c r="BT765" s="129">
        <f>_xlfn.IFNA(VLOOKUP($C765,RGI!$A$2:$C$43,2,FALSE),"..")</f>
        <v>77.5</v>
      </c>
      <c r="BU765" s="129">
        <f>_xlfn.IFNA(VLOOKUP($C765,RGI!$A$2:$C$43,3,FALSE),"..")</f>
        <v>57.362887635782535</v>
      </c>
      <c r="BV765" s="129">
        <f>VLOOKUP($D765,WGI!$C$2:$O$478,7,FALSE)</f>
        <v>-1.1020684613614</v>
      </c>
      <c r="BW765" s="129">
        <f>VLOOKUP($D765,WGI!$C$2:$O$478,4,FALSE)</f>
        <v>0.45235036310351401</v>
      </c>
      <c r="BX765" s="129">
        <f>VLOOKUP($D765,WGI!$C$2:$O$478,3,FALSE)</f>
        <v>-0.42554743484187901</v>
      </c>
      <c r="BY765" s="129">
        <f>VLOOKUP($D765,WGI!$C$2:$O$478,5,FALSE)</f>
        <v>-0.336527196038655</v>
      </c>
      <c r="BZ765" s="129">
        <f>VLOOKUP($D765,WGI!$C$2:$O$478,2,FALSE)</f>
        <v>-0.97534524891083396</v>
      </c>
      <c r="CB765" s="129"/>
    </row>
    <row r="766" spans="1:80" s="120" customFormat="1" ht="15" customHeight="1">
      <c r="A766" s="280" t="s">
        <v>275</v>
      </c>
      <c r="B766" s="117">
        <v>2010</v>
      </c>
      <c r="C766" s="117" t="s">
        <v>280</v>
      </c>
      <c r="D766" s="117" t="s">
        <v>3668</v>
      </c>
      <c r="E766" s="452" t="s">
        <v>39</v>
      </c>
      <c r="F766" s="117"/>
      <c r="G766" s="117" t="s">
        <v>24</v>
      </c>
      <c r="H766" s="117" t="str">
        <f t="shared" si="120"/>
        <v>yes</v>
      </c>
      <c r="I766" s="117" t="str">
        <f t="shared" si="121"/>
        <v>no</v>
      </c>
      <c r="J766" s="117" t="str">
        <f t="shared" si="122"/>
        <v>no</v>
      </c>
      <c r="K766" s="120" t="s">
        <v>1451</v>
      </c>
      <c r="L766" s="117" t="str">
        <f t="shared" si="129"/>
        <v>detailed</v>
      </c>
      <c r="M766" s="117" t="str">
        <f t="shared" si="123"/>
        <v>detailed Mining</v>
      </c>
      <c r="N766" s="89">
        <v>323368</v>
      </c>
      <c r="O766" s="89"/>
      <c r="P766" s="89"/>
      <c r="Q766" s="89"/>
      <c r="R766" s="89"/>
      <c r="S766" s="120" t="s">
        <v>610</v>
      </c>
      <c r="T766" s="119"/>
      <c r="V766" s="117" t="s">
        <v>847</v>
      </c>
      <c r="W766" s="89"/>
      <c r="AA766" s="117"/>
      <c r="AB766" s="117"/>
      <c r="AC766" s="462"/>
      <c r="AD766" s="462"/>
      <c r="AE766" s="462"/>
      <c r="AF766" s="463"/>
      <c r="AH766" s="493"/>
      <c r="AV766" s="128"/>
      <c r="AW766" s="117">
        <f>VLOOKUP($D766,'WB Data'!$C$3:$M$578,2,FALSE)</f>
        <v>148047348240.64334</v>
      </c>
      <c r="AX766" s="117">
        <f>VLOOKUP($D766,'WB Data'!$C$3:$M$578,3,FALSE)</f>
        <v>16321581</v>
      </c>
      <c r="AY766" s="847" t="str">
        <f t="shared" si="125"/>
        <v>..</v>
      </c>
      <c r="AZ766" s="117" t="e">
        <f>VLOOKUP($D766,'WB Data'!$C$3:$M$578,4,FALSE)/100</f>
        <v>#VALUE!</v>
      </c>
      <c r="BA766" s="117" t="str">
        <f t="shared" si="126"/>
        <v>..</v>
      </c>
      <c r="BB766" s="129" t="str">
        <f>IFERROR(VLOOKUP($D766,'EITI Revenues'!$C$2:$G$224,5,FALSE),"..")</f>
        <v>..</v>
      </c>
      <c r="BC766" s="846" t="str">
        <f t="shared" si="127"/>
        <v>..</v>
      </c>
      <c r="BD766" s="129">
        <f>VLOOKUP($D766,'WB Data 2'!$C$2:$K$545,6,FALSE)</f>
        <v>50455901483.121315</v>
      </c>
      <c r="BE766" s="129">
        <f>IFERROR(VLOOKUP($D766,UNCTAD!$C$5:$V$529,4,FALSE),"..")</f>
        <v>65510660000</v>
      </c>
      <c r="BF766" s="846">
        <f t="shared" si="128"/>
        <v>0.77019375904808951</v>
      </c>
      <c r="BG766" s="117">
        <f>VLOOKUP($D766,'WB Data'!$C$3:$M$578,5,FALSE)</f>
        <v>223930000</v>
      </c>
      <c r="BH766" s="129" t="str">
        <f>IFERROR($BB766/$BG766,"..")</f>
        <v>..</v>
      </c>
      <c r="BI766" s="117" t="str">
        <f>IFERROR(VLOOKUP($D766,'WB Data'!$C$3:$M$578,7,FALSE)/100,"..")</f>
        <v>..</v>
      </c>
      <c r="BJ766" s="117" t="str">
        <f>IFERROR($BI766*$AW766,"..")</f>
        <v>..</v>
      </c>
      <c r="BK766" s="846" t="str">
        <f>IFERROR($BB766/$BJ766,"..")</f>
        <v>..</v>
      </c>
      <c r="BL766" s="117" t="str">
        <f>IFERROR(VLOOKUP($D766,'WB Data'!$C$3:$M$578,7,FALSE)/100,"..")</f>
        <v>..</v>
      </c>
      <c r="BM766" s="117" t="str">
        <f>IFERROR($AW766*$BL766,"..")</f>
        <v>..</v>
      </c>
      <c r="BN766" s="846" t="str">
        <f>IFERROR($BB766/$BM766,"..")</f>
        <v>..</v>
      </c>
      <c r="BO766" s="801">
        <f t="shared" si="124"/>
        <v>29</v>
      </c>
      <c r="BP766" s="117">
        <f>VLOOKUP($D766,'WB Data'!$C$3:$M$578,9,FALSE)</f>
        <v>6.5</v>
      </c>
      <c r="BQ766" s="117">
        <f>VLOOKUP($D766,'WB Data'!$C$3:$M$578,10,FALSE)</f>
        <v>68.295365853658538</v>
      </c>
      <c r="BR766" s="117">
        <f>VLOOKUP($D766,'WB Data'!$C$3:$M$578,11,FALSE)</f>
        <v>19.3</v>
      </c>
      <c r="BS766" s="129">
        <f>IFERROR(VLOOKUP($D766,'WB Data 2'!$C$2:$K$545,9,FALSE),"..")</f>
        <v>97.410539999999997</v>
      </c>
      <c r="BT766" s="129">
        <f>_xlfn.IFNA(VLOOKUP($C766,RGI!$A$2:$C$43,2,FALSE),"..")</f>
        <v>77.5</v>
      </c>
      <c r="BU766" s="129">
        <f>_xlfn.IFNA(VLOOKUP($C766,RGI!$A$2:$C$43,3,FALSE),"..")</f>
        <v>57.362887635782535</v>
      </c>
      <c r="BV766" s="129">
        <f>VLOOKUP($D766,WGI!$C$2:$O$478,7,FALSE)</f>
        <v>-1.1020684613614</v>
      </c>
      <c r="BW766" s="129">
        <f>VLOOKUP($D766,WGI!$C$2:$O$478,4,FALSE)</f>
        <v>0.45235036310351401</v>
      </c>
      <c r="BX766" s="129">
        <f>VLOOKUP($D766,WGI!$C$2:$O$478,3,FALSE)</f>
        <v>-0.42554743484187901</v>
      </c>
      <c r="BY766" s="129">
        <f>VLOOKUP($D766,WGI!$C$2:$O$478,5,FALSE)</f>
        <v>-0.336527196038655</v>
      </c>
      <c r="BZ766" s="129">
        <f>VLOOKUP($D766,WGI!$C$2:$O$478,2,FALSE)</f>
        <v>-0.97534524891083396</v>
      </c>
      <c r="CB766" s="129"/>
    </row>
    <row r="767" spans="1:80" s="120" customFormat="1" ht="15" customHeight="1">
      <c r="A767" s="280" t="s">
        <v>275</v>
      </c>
      <c r="B767" s="117">
        <v>2010</v>
      </c>
      <c r="C767" s="117" t="s">
        <v>280</v>
      </c>
      <c r="D767" s="117" t="s">
        <v>3668</v>
      </c>
      <c r="E767" s="452" t="s">
        <v>39</v>
      </c>
      <c r="F767" s="117"/>
      <c r="G767" s="117" t="s">
        <v>24</v>
      </c>
      <c r="H767" s="117" t="str">
        <f t="shared" si="120"/>
        <v>yes</v>
      </c>
      <c r="I767" s="117" t="str">
        <f t="shared" si="121"/>
        <v>no</v>
      </c>
      <c r="J767" s="117" t="str">
        <f t="shared" si="122"/>
        <v>no</v>
      </c>
      <c r="K767" s="120" t="s">
        <v>1423</v>
      </c>
      <c r="L767" s="117" t="str">
        <f t="shared" si="129"/>
        <v>detailed</v>
      </c>
      <c r="M767" s="117" t="str">
        <f t="shared" si="123"/>
        <v>detailed Mining</v>
      </c>
      <c r="N767" s="89">
        <v>1311302</v>
      </c>
      <c r="O767" s="89"/>
      <c r="P767" s="89"/>
      <c r="Q767" s="89"/>
      <c r="R767" s="89"/>
      <c r="S767" s="120" t="s">
        <v>610</v>
      </c>
      <c r="T767" s="119">
        <f>1.2169/0.000453592</f>
        <v>2682.8074569216392</v>
      </c>
      <c r="U767" s="120" t="s">
        <v>611</v>
      </c>
      <c r="V767" s="117" t="s">
        <v>1452</v>
      </c>
      <c r="W767" s="89">
        <f>N767*T767</f>
        <v>3517970783.8762593</v>
      </c>
      <c r="AA767" s="117"/>
      <c r="AB767" s="117"/>
      <c r="AC767" s="462"/>
      <c r="AD767" s="462"/>
      <c r="AE767" s="462"/>
      <c r="AF767" s="463"/>
      <c r="AH767" s="493"/>
      <c r="AV767" s="128"/>
      <c r="AW767" s="117">
        <f>VLOOKUP($D767,'WB Data'!$C$3:$M$578,2,FALSE)</f>
        <v>148047348240.64334</v>
      </c>
      <c r="AX767" s="117">
        <f>VLOOKUP($D767,'WB Data'!$C$3:$M$578,3,FALSE)</f>
        <v>16321581</v>
      </c>
      <c r="AY767" s="847" t="str">
        <f t="shared" si="125"/>
        <v>..</v>
      </c>
      <c r="AZ767" s="117" t="e">
        <f>VLOOKUP($D767,'WB Data'!$C$3:$M$578,4,FALSE)/100</f>
        <v>#VALUE!</v>
      </c>
      <c r="BA767" s="117" t="str">
        <f t="shared" si="126"/>
        <v>..</v>
      </c>
      <c r="BB767" s="129" t="str">
        <f>IFERROR(VLOOKUP($D767,'EITI Revenues'!$C$2:$G$224,5,FALSE),"..")</f>
        <v>..</v>
      </c>
      <c r="BC767" s="846" t="str">
        <f t="shared" si="127"/>
        <v>..</v>
      </c>
      <c r="BD767" s="129">
        <f>VLOOKUP($D767,'WB Data 2'!$C$2:$K$545,6,FALSE)</f>
        <v>50455901483.121315</v>
      </c>
      <c r="BE767" s="129">
        <f>IFERROR(VLOOKUP($D767,UNCTAD!$C$5:$V$529,4,FALSE),"..")</f>
        <v>65510660000</v>
      </c>
      <c r="BF767" s="846">
        <f t="shared" si="128"/>
        <v>0.77019375904808951</v>
      </c>
      <c r="BG767" s="117">
        <f>VLOOKUP($D767,'WB Data'!$C$3:$M$578,5,FALSE)</f>
        <v>223930000</v>
      </c>
      <c r="BH767" s="129" t="str">
        <f>IFERROR($BB767/$BG767,"..")</f>
        <v>..</v>
      </c>
      <c r="BI767" s="117" t="str">
        <f>IFERROR(VLOOKUP($D767,'WB Data'!$C$3:$M$578,7,FALSE)/100,"..")</f>
        <v>..</v>
      </c>
      <c r="BJ767" s="117" t="str">
        <f>IFERROR($BI767*$AW767,"..")</f>
        <v>..</v>
      </c>
      <c r="BK767" s="846" t="str">
        <f>IFERROR($BB767/$BJ767,"..")</f>
        <v>..</v>
      </c>
      <c r="BL767" s="117" t="str">
        <f>IFERROR(VLOOKUP($D767,'WB Data'!$C$3:$M$578,7,FALSE)/100,"..")</f>
        <v>..</v>
      </c>
      <c r="BM767" s="117" t="str">
        <f>IFERROR($AW767*$BL767,"..")</f>
        <v>..</v>
      </c>
      <c r="BN767" s="846" t="str">
        <f>IFERROR($BB767/$BM767,"..")</f>
        <v>..</v>
      </c>
      <c r="BO767" s="801">
        <f t="shared" si="124"/>
        <v>29</v>
      </c>
      <c r="BP767" s="117">
        <f>VLOOKUP($D767,'WB Data'!$C$3:$M$578,9,FALSE)</f>
        <v>6.5</v>
      </c>
      <c r="BQ767" s="117">
        <f>VLOOKUP($D767,'WB Data'!$C$3:$M$578,10,FALSE)</f>
        <v>68.295365853658538</v>
      </c>
      <c r="BR767" s="117">
        <f>VLOOKUP($D767,'WB Data'!$C$3:$M$578,11,FALSE)</f>
        <v>19.3</v>
      </c>
      <c r="BS767" s="129">
        <f>IFERROR(VLOOKUP($D767,'WB Data 2'!$C$2:$K$545,9,FALSE),"..")</f>
        <v>97.410539999999997</v>
      </c>
      <c r="BT767" s="129">
        <f>_xlfn.IFNA(VLOOKUP($C767,RGI!$A$2:$C$43,2,FALSE),"..")</f>
        <v>77.5</v>
      </c>
      <c r="BU767" s="129">
        <f>_xlfn.IFNA(VLOOKUP($C767,RGI!$A$2:$C$43,3,FALSE),"..")</f>
        <v>57.362887635782535</v>
      </c>
      <c r="BV767" s="129">
        <f>VLOOKUP($D767,WGI!$C$2:$O$478,7,FALSE)</f>
        <v>-1.1020684613614</v>
      </c>
      <c r="BW767" s="129">
        <f>VLOOKUP($D767,WGI!$C$2:$O$478,4,FALSE)</f>
        <v>0.45235036310351401</v>
      </c>
      <c r="BX767" s="129">
        <f>VLOOKUP($D767,WGI!$C$2:$O$478,3,FALSE)</f>
        <v>-0.42554743484187901</v>
      </c>
      <c r="BY767" s="129">
        <f>VLOOKUP($D767,WGI!$C$2:$O$478,5,FALSE)</f>
        <v>-0.336527196038655</v>
      </c>
      <c r="BZ767" s="129">
        <f>VLOOKUP($D767,WGI!$C$2:$O$478,2,FALSE)</f>
        <v>-0.97534524891083396</v>
      </c>
      <c r="CB767" s="129"/>
    </row>
    <row r="768" spans="1:80" s="120" customFormat="1" ht="15" customHeight="1">
      <c r="A768" s="280" t="s">
        <v>275</v>
      </c>
      <c r="B768" s="117">
        <v>2010</v>
      </c>
      <c r="C768" s="117" t="s">
        <v>280</v>
      </c>
      <c r="D768" s="117" t="s">
        <v>3668</v>
      </c>
      <c r="E768" s="452" t="s">
        <v>39</v>
      </c>
      <c r="F768" s="117"/>
      <c r="G768" s="117" t="s">
        <v>24</v>
      </c>
      <c r="H768" s="117" t="str">
        <f t="shared" si="120"/>
        <v>yes</v>
      </c>
      <c r="I768" s="117" t="str">
        <f t="shared" si="121"/>
        <v>no</v>
      </c>
      <c r="J768" s="117" t="str">
        <f t="shared" si="122"/>
        <v>no</v>
      </c>
      <c r="K768" s="120" t="s">
        <v>1425</v>
      </c>
      <c r="L768" s="117" t="str">
        <f t="shared" si="129"/>
        <v>detailed</v>
      </c>
      <c r="M768" s="117" t="str">
        <f t="shared" si="123"/>
        <v>detailed Mining</v>
      </c>
      <c r="N768" s="89">
        <v>159765</v>
      </c>
      <c r="O768" s="89"/>
      <c r="P768" s="89"/>
      <c r="Q768" s="89"/>
      <c r="R768" s="89"/>
      <c r="S768" s="120" t="s">
        <v>610</v>
      </c>
      <c r="T768" s="119"/>
      <c r="V768" s="117" t="s">
        <v>847</v>
      </c>
      <c r="W768" s="89"/>
      <c r="AA768" s="117"/>
      <c r="AB768" s="117"/>
      <c r="AC768" s="462"/>
      <c r="AD768" s="462"/>
      <c r="AE768" s="462"/>
      <c r="AF768" s="463"/>
      <c r="AH768" s="493"/>
      <c r="AV768" s="128"/>
      <c r="AW768" s="117">
        <f>VLOOKUP($D768,'WB Data'!$C$3:$M$578,2,FALSE)</f>
        <v>148047348240.64334</v>
      </c>
      <c r="AX768" s="117">
        <f>VLOOKUP($D768,'WB Data'!$C$3:$M$578,3,FALSE)</f>
        <v>16321581</v>
      </c>
      <c r="AY768" s="847" t="str">
        <f t="shared" si="125"/>
        <v>..</v>
      </c>
      <c r="AZ768" s="117" t="e">
        <f>VLOOKUP($D768,'WB Data'!$C$3:$M$578,4,FALSE)/100</f>
        <v>#VALUE!</v>
      </c>
      <c r="BA768" s="117" t="str">
        <f t="shared" si="126"/>
        <v>..</v>
      </c>
      <c r="BB768" s="129" t="str">
        <f>IFERROR(VLOOKUP($D768,'EITI Revenues'!$C$2:$G$224,5,FALSE),"..")</f>
        <v>..</v>
      </c>
      <c r="BC768" s="846" t="str">
        <f t="shared" si="127"/>
        <v>..</v>
      </c>
      <c r="BD768" s="129">
        <f>VLOOKUP($D768,'WB Data 2'!$C$2:$K$545,6,FALSE)</f>
        <v>50455901483.121315</v>
      </c>
      <c r="BE768" s="129">
        <f>IFERROR(VLOOKUP($D768,UNCTAD!$C$5:$V$529,4,FALSE),"..")</f>
        <v>65510660000</v>
      </c>
      <c r="BF768" s="846">
        <f t="shared" si="128"/>
        <v>0.77019375904808951</v>
      </c>
      <c r="BG768" s="117">
        <f>VLOOKUP($D768,'WB Data'!$C$3:$M$578,5,FALSE)</f>
        <v>223930000</v>
      </c>
      <c r="BH768" s="129" t="str">
        <f>IFERROR($BB768/$BG768,"..")</f>
        <v>..</v>
      </c>
      <c r="BI768" s="117" t="str">
        <f>IFERROR(VLOOKUP($D768,'WB Data'!$C$3:$M$578,7,FALSE)/100,"..")</f>
        <v>..</v>
      </c>
      <c r="BJ768" s="117" t="str">
        <f>IFERROR($BI768*$AW768,"..")</f>
        <v>..</v>
      </c>
      <c r="BK768" s="846" t="str">
        <f>IFERROR($BB768/$BJ768,"..")</f>
        <v>..</v>
      </c>
      <c r="BL768" s="117" t="str">
        <f>IFERROR(VLOOKUP($D768,'WB Data'!$C$3:$M$578,7,FALSE)/100,"..")</f>
        <v>..</v>
      </c>
      <c r="BM768" s="117" t="str">
        <f>IFERROR($AW768*$BL768,"..")</f>
        <v>..</v>
      </c>
      <c r="BN768" s="846" t="str">
        <f>IFERROR($BB768/$BM768,"..")</f>
        <v>..</v>
      </c>
      <c r="BO768" s="801">
        <f t="shared" si="124"/>
        <v>29</v>
      </c>
      <c r="BP768" s="117">
        <f>VLOOKUP($D768,'WB Data'!$C$3:$M$578,9,FALSE)</f>
        <v>6.5</v>
      </c>
      <c r="BQ768" s="117">
        <f>VLOOKUP($D768,'WB Data'!$C$3:$M$578,10,FALSE)</f>
        <v>68.295365853658538</v>
      </c>
      <c r="BR768" s="117">
        <f>VLOOKUP($D768,'WB Data'!$C$3:$M$578,11,FALSE)</f>
        <v>19.3</v>
      </c>
      <c r="BS768" s="129">
        <f>IFERROR(VLOOKUP($D768,'WB Data 2'!$C$2:$K$545,9,FALSE),"..")</f>
        <v>97.410539999999997</v>
      </c>
      <c r="BT768" s="129">
        <f>_xlfn.IFNA(VLOOKUP($C768,RGI!$A$2:$C$43,2,FALSE),"..")</f>
        <v>77.5</v>
      </c>
      <c r="BU768" s="129">
        <f>_xlfn.IFNA(VLOOKUP($C768,RGI!$A$2:$C$43,3,FALSE),"..")</f>
        <v>57.362887635782535</v>
      </c>
      <c r="BV768" s="129">
        <f>VLOOKUP($D768,WGI!$C$2:$O$478,7,FALSE)</f>
        <v>-1.1020684613614</v>
      </c>
      <c r="BW768" s="129">
        <f>VLOOKUP($D768,WGI!$C$2:$O$478,4,FALSE)</f>
        <v>0.45235036310351401</v>
      </c>
      <c r="BX768" s="129">
        <f>VLOOKUP($D768,WGI!$C$2:$O$478,3,FALSE)</f>
        <v>-0.42554743484187901</v>
      </c>
      <c r="BY768" s="129">
        <f>VLOOKUP($D768,WGI!$C$2:$O$478,5,FALSE)</f>
        <v>-0.336527196038655</v>
      </c>
      <c r="BZ768" s="129">
        <f>VLOOKUP($D768,WGI!$C$2:$O$478,2,FALSE)</f>
        <v>-0.97534524891083396</v>
      </c>
      <c r="CB768" s="129"/>
    </row>
    <row r="769" spans="1:80" s="120" customFormat="1" ht="15" customHeight="1">
      <c r="A769" s="280" t="s">
        <v>275</v>
      </c>
      <c r="B769" s="117">
        <v>2010</v>
      </c>
      <c r="C769" s="117" t="s">
        <v>280</v>
      </c>
      <c r="D769" s="117" t="s">
        <v>3668</v>
      </c>
      <c r="E769" s="452" t="s">
        <v>39</v>
      </c>
      <c r="F769" s="117"/>
      <c r="G769" s="117" t="s">
        <v>24</v>
      </c>
      <c r="H769" s="117" t="str">
        <f t="shared" si="120"/>
        <v>yes</v>
      </c>
      <c r="I769" s="117" t="str">
        <f t="shared" si="121"/>
        <v>no</v>
      </c>
      <c r="J769" s="117" t="str">
        <f t="shared" si="122"/>
        <v>no</v>
      </c>
      <c r="K769" s="120" t="s">
        <v>1426</v>
      </c>
      <c r="L769" s="117" t="str">
        <f t="shared" si="129"/>
        <v>detailed</v>
      </c>
      <c r="M769" s="117" t="str">
        <f t="shared" si="123"/>
        <v>detailed Mining</v>
      </c>
      <c r="N769" s="89">
        <v>4813</v>
      </c>
      <c r="O769" s="89"/>
      <c r="P769" s="89"/>
      <c r="Q769" s="89"/>
      <c r="R769" s="89"/>
      <c r="S769" s="120" t="s">
        <v>610</v>
      </c>
      <c r="T769" s="119">
        <f>1.031/0.000453592</f>
        <v>2272.9677772094742</v>
      </c>
      <c r="U769" s="120" t="s">
        <v>611</v>
      </c>
      <c r="V769" s="117" t="s">
        <v>1427</v>
      </c>
      <c r="W769" s="89">
        <f>N769*T769</f>
        <v>10939793.911709199</v>
      </c>
      <c r="AA769" s="117"/>
      <c r="AB769" s="117"/>
      <c r="AC769" s="462"/>
      <c r="AD769" s="462"/>
      <c r="AE769" s="462"/>
      <c r="AF769" s="463"/>
      <c r="AH769" s="493"/>
      <c r="AV769" s="128"/>
      <c r="AW769" s="117">
        <f>VLOOKUP($D769,'WB Data'!$C$3:$M$578,2,FALSE)</f>
        <v>148047348240.64334</v>
      </c>
      <c r="AX769" s="117">
        <f>VLOOKUP($D769,'WB Data'!$C$3:$M$578,3,FALSE)</f>
        <v>16321581</v>
      </c>
      <c r="AY769" s="847" t="str">
        <f t="shared" si="125"/>
        <v>..</v>
      </c>
      <c r="AZ769" s="117" t="e">
        <f>VLOOKUP($D769,'WB Data'!$C$3:$M$578,4,FALSE)/100</f>
        <v>#VALUE!</v>
      </c>
      <c r="BA769" s="117" t="str">
        <f t="shared" si="126"/>
        <v>..</v>
      </c>
      <c r="BB769" s="129" t="str">
        <f>IFERROR(VLOOKUP($D769,'EITI Revenues'!$C$2:$G$224,5,FALSE),"..")</f>
        <v>..</v>
      </c>
      <c r="BC769" s="846" t="str">
        <f t="shared" si="127"/>
        <v>..</v>
      </c>
      <c r="BD769" s="129">
        <f>VLOOKUP($D769,'WB Data 2'!$C$2:$K$545,6,FALSE)</f>
        <v>50455901483.121315</v>
      </c>
      <c r="BE769" s="129">
        <f>IFERROR(VLOOKUP($D769,UNCTAD!$C$5:$V$529,4,FALSE),"..")</f>
        <v>65510660000</v>
      </c>
      <c r="BF769" s="846">
        <f t="shared" si="128"/>
        <v>0.77019375904808951</v>
      </c>
      <c r="BG769" s="117">
        <f>VLOOKUP($D769,'WB Data'!$C$3:$M$578,5,FALSE)</f>
        <v>223930000</v>
      </c>
      <c r="BH769" s="129" t="str">
        <f>IFERROR($BB769/$BG769,"..")</f>
        <v>..</v>
      </c>
      <c r="BI769" s="117" t="str">
        <f>IFERROR(VLOOKUP($D769,'WB Data'!$C$3:$M$578,7,FALSE)/100,"..")</f>
        <v>..</v>
      </c>
      <c r="BJ769" s="117" t="str">
        <f>IFERROR($BI769*$AW769,"..")</f>
        <v>..</v>
      </c>
      <c r="BK769" s="846" t="str">
        <f>IFERROR($BB769/$BJ769,"..")</f>
        <v>..</v>
      </c>
      <c r="BL769" s="117" t="str">
        <f>IFERROR(VLOOKUP($D769,'WB Data'!$C$3:$M$578,7,FALSE)/100,"..")</f>
        <v>..</v>
      </c>
      <c r="BM769" s="117" t="str">
        <f>IFERROR($AW769*$BL769,"..")</f>
        <v>..</v>
      </c>
      <c r="BN769" s="846" t="str">
        <f>IFERROR($BB769/$BM769,"..")</f>
        <v>..</v>
      </c>
      <c r="BO769" s="801">
        <f t="shared" si="124"/>
        <v>29</v>
      </c>
      <c r="BP769" s="117">
        <f>VLOOKUP($D769,'WB Data'!$C$3:$M$578,9,FALSE)</f>
        <v>6.5</v>
      </c>
      <c r="BQ769" s="117">
        <f>VLOOKUP($D769,'WB Data'!$C$3:$M$578,10,FALSE)</f>
        <v>68.295365853658538</v>
      </c>
      <c r="BR769" s="117">
        <f>VLOOKUP($D769,'WB Data'!$C$3:$M$578,11,FALSE)</f>
        <v>19.3</v>
      </c>
      <c r="BS769" s="129">
        <f>IFERROR(VLOOKUP($D769,'WB Data 2'!$C$2:$K$545,9,FALSE),"..")</f>
        <v>97.410539999999997</v>
      </c>
      <c r="BT769" s="129">
        <f>_xlfn.IFNA(VLOOKUP($C769,RGI!$A$2:$C$43,2,FALSE),"..")</f>
        <v>77.5</v>
      </c>
      <c r="BU769" s="129">
        <f>_xlfn.IFNA(VLOOKUP($C769,RGI!$A$2:$C$43,3,FALSE),"..")</f>
        <v>57.362887635782535</v>
      </c>
      <c r="BV769" s="129">
        <f>VLOOKUP($D769,WGI!$C$2:$O$478,7,FALSE)</f>
        <v>-1.1020684613614</v>
      </c>
      <c r="BW769" s="129">
        <f>VLOOKUP($D769,WGI!$C$2:$O$478,4,FALSE)</f>
        <v>0.45235036310351401</v>
      </c>
      <c r="BX769" s="129">
        <f>VLOOKUP($D769,WGI!$C$2:$O$478,3,FALSE)</f>
        <v>-0.42554743484187901</v>
      </c>
      <c r="BY769" s="129">
        <f>VLOOKUP($D769,WGI!$C$2:$O$478,5,FALSE)</f>
        <v>-0.336527196038655</v>
      </c>
      <c r="BZ769" s="129">
        <f>VLOOKUP($D769,WGI!$C$2:$O$478,2,FALSE)</f>
        <v>-0.97534524891083396</v>
      </c>
      <c r="CB769" s="129"/>
    </row>
    <row r="770" spans="1:80" s="120" customFormat="1" ht="15" customHeight="1">
      <c r="A770" s="280" t="s">
        <v>275</v>
      </c>
      <c r="B770" s="117">
        <v>2010</v>
      </c>
      <c r="C770" s="117" t="s">
        <v>280</v>
      </c>
      <c r="D770" s="117" t="s">
        <v>3668</v>
      </c>
      <c r="E770" s="452" t="s">
        <v>39</v>
      </c>
      <c r="F770" s="117"/>
      <c r="G770" s="117" t="s">
        <v>24</v>
      </c>
      <c r="H770" s="117" t="str">
        <f t="shared" ref="H770:H824" si="130">IF($G770="Mining","yes",IF($G770="Oil, Gas, Mining","yes",IF($G770="Gas, Mining","yes",IF($G770="Oil, Mining","yes",IF($G770="Oil, Mining, Other","yes","no")))))</f>
        <v>yes</v>
      </c>
      <c r="I770" s="117" t="str">
        <f t="shared" ref="I770:I824" si="131">IF($G770="Gas","yes",IF($G770="Oil, Gas, Mining","yes",IF($G770="Gas, Mining","yes",IF($G770="Oil, Gas","yes",IF($G770="Oil, Gas, Other","yes","no")))))</f>
        <v>no</v>
      </c>
      <c r="J770" s="117" t="str">
        <f t="shared" ref="J770:J824" si="132">IF($G770="Oil","yes",IF($G770="Oil, Gas, Mining","yes",IF($G770="Oil, Mining","yes",IF($G770="Oil, Gas","yes",IF($G770="Oil, Gas, Other","yes","no")))))</f>
        <v>no</v>
      </c>
      <c r="K770" s="120" t="s">
        <v>1428</v>
      </c>
      <c r="L770" s="117" t="str">
        <f t="shared" si="129"/>
        <v>detailed</v>
      </c>
      <c r="M770" s="117" t="str">
        <f t="shared" ref="M770:M824" si="133">L770&amp;" "&amp;G770</f>
        <v>detailed Mining</v>
      </c>
      <c r="N770" s="89">
        <v>65000</v>
      </c>
      <c r="O770" s="89"/>
      <c r="P770" s="89"/>
      <c r="Q770" s="89"/>
      <c r="R770" s="89"/>
      <c r="S770" s="120" t="s">
        <v>610</v>
      </c>
      <c r="T770" s="119"/>
      <c r="V770" s="117" t="s">
        <v>847</v>
      </c>
      <c r="W770" s="89"/>
      <c r="AA770" s="117"/>
      <c r="AB770" s="117"/>
      <c r="AC770" s="462"/>
      <c r="AD770" s="462"/>
      <c r="AE770" s="462"/>
      <c r="AF770" s="463"/>
      <c r="AH770" s="493"/>
      <c r="AV770" s="128"/>
      <c r="AW770" s="117">
        <f>VLOOKUP($D770,'WB Data'!$C$3:$M$578,2,FALSE)</f>
        <v>148047348240.64334</v>
      </c>
      <c r="AX770" s="117">
        <f>VLOOKUP($D770,'WB Data'!$C$3:$M$578,3,FALSE)</f>
        <v>16321581</v>
      </c>
      <c r="AY770" s="847" t="str">
        <f t="shared" si="125"/>
        <v>..</v>
      </c>
      <c r="AZ770" s="117" t="e">
        <f>VLOOKUP($D770,'WB Data'!$C$3:$M$578,4,FALSE)/100</f>
        <v>#VALUE!</v>
      </c>
      <c r="BA770" s="117" t="str">
        <f t="shared" si="126"/>
        <v>..</v>
      </c>
      <c r="BB770" s="129" t="str">
        <f>IFERROR(VLOOKUP($D770,'EITI Revenues'!$C$2:$G$224,5,FALSE),"..")</f>
        <v>..</v>
      </c>
      <c r="BC770" s="846" t="str">
        <f t="shared" si="127"/>
        <v>..</v>
      </c>
      <c r="BD770" s="129">
        <f>VLOOKUP($D770,'WB Data 2'!$C$2:$K$545,6,FALSE)</f>
        <v>50455901483.121315</v>
      </c>
      <c r="BE770" s="129">
        <f>IFERROR(VLOOKUP($D770,UNCTAD!$C$5:$V$529,4,FALSE),"..")</f>
        <v>65510660000</v>
      </c>
      <c r="BF770" s="846">
        <f t="shared" si="128"/>
        <v>0.77019375904808951</v>
      </c>
      <c r="BG770" s="117">
        <f>VLOOKUP($D770,'WB Data'!$C$3:$M$578,5,FALSE)</f>
        <v>223930000</v>
      </c>
      <c r="BH770" s="129" t="str">
        <f>IFERROR($BB770/$BG770,"..")</f>
        <v>..</v>
      </c>
      <c r="BI770" s="117" t="str">
        <f>IFERROR(VLOOKUP($D770,'WB Data'!$C$3:$M$578,7,FALSE)/100,"..")</f>
        <v>..</v>
      </c>
      <c r="BJ770" s="117" t="str">
        <f>IFERROR($BI770*$AW770,"..")</f>
        <v>..</v>
      </c>
      <c r="BK770" s="846" t="str">
        <f>IFERROR($BB770/$BJ770,"..")</f>
        <v>..</v>
      </c>
      <c r="BL770" s="117" t="str">
        <f>IFERROR(VLOOKUP($D770,'WB Data'!$C$3:$M$578,7,FALSE)/100,"..")</f>
        <v>..</v>
      </c>
      <c r="BM770" s="117" t="str">
        <f>IFERROR($AW770*$BL770,"..")</f>
        <v>..</v>
      </c>
      <c r="BN770" s="846" t="str">
        <f>IFERROR($BB770/$BM770,"..")</f>
        <v>..</v>
      </c>
      <c r="BO770" s="801">
        <f t="shared" ref="BO770:BO833" si="134">_xlfn.IFNA(VLOOKUP($C770,CPI_2013,2,FALSE),"..")</f>
        <v>29</v>
      </c>
      <c r="BP770" s="117">
        <f>VLOOKUP($D770,'WB Data'!$C$3:$M$578,9,FALSE)</f>
        <v>6.5</v>
      </c>
      <c r="BQ770" s="117">
        <f>VLOOKUP($D770,'WB Data'!$C$3:$M$578,10,FALSE)</f>
        <v>68.295365853658538</v>
      </c>
      <c r="BR770" s="117">
        <f>VLOOKUP($D770,'WB Data'!$C$3:$M$578,11,FALSE)</f>
        <v>19.3</v>
      </c>
      <c r="BS770" s="129">
        <f>IFERROR(VLOOKUP($D770,'WB Data 2'!$C$2:$K$545,9,FALSE),"..")</f>
        <v>97.410539999999997</v>
      </c>
      <c r="BT770" s="129">
        <f>_xlfn.IFNA(VLOOKUP($C770,RGI!$A$2:$C$43,2,FALSE),"..")</f>
        <v>77.5</v>
      </c>
      <c r="BU770" s="129">
        <f>_xlfn.IFNA(VLOOKUP($C770,RGI!$A$2:$C$43,3,FALSE),"..")</f>
        <v>57.362887635782535</v>
      </c>
      <c r="BV770" s="129">
        <f>VLOOKUP($D770,WGI!$C$2:$O$478,7,FALSE)</f>
        <v>-1.1020684613614</v>
      </c>
      <c r="BW770" s="129">
        <f>VLOOKUP($D770,WGI!$C$2:$O$478,4,FALSE)</f>
        <v>0.45235036310351401</v>
      </c>
      <c r="BX770" s="129">
        <f>VLOOKUP($D770,WGI!$C$2:$O$478,3,FALSE)</f>
        <v>-0.42554743484187901</v>
      </c>
      <c r="BY770" s="129">
        <f>VLOOKUP($D770,WGI!$C$2:$O$478,5,FALSE)</f>
        <v>-0.336527196038655</v>
      </c>
      <c r="BZ770" s="129">
        <f>VLOOKUP($D770,WGI!$C$2:$O$478,2,FALSE)</f>
        <v>-0.97534524891083396</v>
      </c>
      <c r="CB770" s="129"/>
    </row>
    <row r="771" spans="1:80" s="120" customFormat="1" ht="15" customHeight="1">
      <c r="A771" s="280" t="s">
        <v>275</v>
      </c>
      <c r="B771" s="117">
        <v>2010</v>
      </c>
      <c r="C771" s="117" t="s">
        <v>280</v>
      </c>
      <c r="D771" s="117" t="s">
        <v>3668</v>
      </c>
      <c r="E771" s="452" t="s">
        <v>39</v>
      </c>
      <c r="F771" s="117"/>
      <c r="G771" s="117" t="s">
        <v>24</v>
      </c>
      <c r="H771" s="117" t="str">
        <f t="shared" si="130"/>
        <v>yes</v>
      </c>
      <c r="I771" s="117" t="str">
        <f t="shared" si="131"/>
        <v>no</v>
      </c>
      <c r="J771" s="117" t="str">
        <f t="shared" si="132"/>
        <v>no</v>
      </c>
      <c r="K771" s="120" t="s">
        <v>784</v>
      </c>
      <c r="L771" s="117" t="str">
        <f t="shared" si="129"/>
        <v>detailed</v>
      </c>
      <c r="M771" s="117" t="str">
        <f t="shared" si="133"/>
        <v>detailed Mining</v>
      </c>
      <c r="N771" s="89">
        <f>29941*32.150743126506</f>
        <v>962625.39995071618</v>
      </c>
      <c r="O771" s="89"/>
      <c r="P771" s="89"/>
      <c r="Q771" s="89"/>
      <c r="R771" s="89"/>
      <c r="S771" s="120" t="s">
        <v>785</v>
      </c>
      <c r="T771" s="119">
        <v>1224.66425</v>
      </c>
      <c r="U771" s="120" t="s">
        <v>786</v>
      </c>
      <c r="V771" s="117" t="s">
        <v>841</v>
      </c>
      <c r="W771" s="89">
        <f>N771*T771</f>
        <v>1178892913.4615939</v>
      </c>
      <c r="AA771" s="117"/>
      <c r="AB771" s="117"/>
      <c r="AC771" s="462"/>
      <c r="AD771" s="462"/>
      <c r="AE771" s="462"/>
      <c r="AF771" s="463"/>
      <c r="AH771" s="493"/>
      <c r="AV771" s="128"/>
      <c r="AW771" s="117">
        <f>VLOOKUP($D771,'WB Data'!$C$3:$M$578,2,FALSE)</f>
        <v>148047348240.64334</v>
      </c>
      <c r="AX771" s="117">
        <f>VLOOKUP($D771,'WB Data'!$C$3:$M$578,3,FALSE)</f>
        <v>16321581</v>
      </c>
      <c r="AY771" s="847" t="str">
        <f t="shared" ref="AY771:AY834" si="135">IFERROR($BB771/$AW771,"..")</f>
        <v>..</v>
      </c>
      <c r="AZ771" s="117" t="e">
        <f>VLOOKUP($D771,'WB Data'!$C$3:$M$578,4,FALSE)/100</f>
        <v>#VALUE!</v>
      </c>
      <c r="BA771" s="117" t="str">
        <f t="shared" ref="BA771:BA834" si="136">IFERROR($AW771*$AZ771,"..")</f>
        <v>..</v>
      </c>
      <c r="BB771" s="129" t="str">
        <f>IFERROR(VLOOKUP($D771,'EITI Revenues'!$C$2:$G$224,5,FALSE),"..")</f>
        <v>..</v>
      </c>
      <c r="BC771" s="846" t="str">
        <f t="shared" ref="BC771:BC834" si="137">IFERROR($BB771/$BA771,"..")</f>
        <v>..</v>
      </c>
      <c r="BD771" s="129">
        <f>VLOOKUP($D771,'WB Data 2'!$C$2:$K$545,6,FALSE)</f>
        <v>50455901483.121315</v>
      </c>
      <c r="BE771" s="129">
        <f>IFERROR(VLOOKUP($D771,UNCTAD!$C$5:$V$529,4,FALSE),"..")</f>
        <v>65510660000</v>
      </c>
      <c r="BF771" s="846">
        <f t="shared" ref="BF771:BF834" si="138">IFERROR(($BD771/$BE771),"..")</f>
        <v>0.77019375904808951</v>
      </c>
      <c r="BG771" s="117">
        <f>VLOOKUP($D771,'WB Data'!$C$3:$M$578,5,FALSE)</f>
        <v>223930000</v>
      </c>
      <c r="BH771" s="129" t="str">
        <f>IFERROR($BB771/$BG771,"..")</f>
        <v>..</v>
      </c>
      <c r="BI771" s="117" t="str">
        <f>IFERROR(VLOOKUP($D771,'WB Data'!$C$3:$M$578,7,FALSE)/100,"..")</f>
        <v>..</v>
      </c>
      <c r="BJ771" s="117" t="str">
        <f>IFERROR($BI771*$AW771,"..")</f>
        <v>..</v>
      </c>
      <c r="BK771" s="846" t="str">
        <f>IFERROR($BB771/$BJ771,"..")</f>
        <v>..</v>
      </c>
      <c r="BL771" s="117" t="str">
        <f>IFERROR(VLOOKUP($D771,'WB Data'!$C$3:$M$578,7,FALSE)/100,"..")</f>
        <v>..</v>
      </c>
      <c r="BM771" s="117" t="str">
        <f>IFERROR($AW771*$BL771,"..")</f>
        <v>..</v>
      </c>
      <c r="BN771" s="846" t="str">
        <f>IFERROR($BB771/$BM771,"..")</f>
        <v>..</v>
      </c>
      <c r="BO771" s="801">
        <f t="shared" si="134"/>
        <v>29</v>
      </c>
      <c r="BP771" s="117">
        <f>VLOOKUP($D771,'WB Data'!$C$3:$M$578,9,FALSE)</f>
        <v>6.5</v>
      </c>
      <c r="BQ771" s="117">
        <f>VLOOKUP($D771,'WB Data'!$C$3:$M$578,10,FALSE)</f>
        <v>68.295365853658538</v>
      </c>
      <c r="BR771" s="117">
        <f>VLOOKUP($D771,'WB Data'!$C$3:$M$578,11,FALSE)</f>
        <v>19.3</v>
      </c>
      <c r="BS771" s="129">
        <f>IFERROR(VLOOKUP($D771,'WB Data 2'!$C$2:$K$545,9,FALSE),"..")</f>
        <v>97.410539999999997</v>
      </c>
      <c r="BT771" s="129">
        <f>_xlfn.IFNA(VLOOKUP($C771,RGI!$A$2:$C$43,2,FALSE),"..")</f>
        <v>77.5</v>
      </c>
      <c r="BU771" s="129">
        <f>_xlfn.IFNA(VLOOKUP($C771,RGI!$A$2:$C$43,3,FALSE),"..")</f>
        <v>57.362887635782535</v>
      </c>
      <c r="BV771" s="129">
        <f>VLOOKUP($D771,WGI!$C$2:$O$478,7,FALSE)</f>
        <v>-1.1020684613614</v>
      </c>
      <c r="BW771" s="129">
        <f>VLOOKUP($D771,WGI!$C$2:$O$478,4,FALSE)</f>
        <v>0.45235036310351401</v>
      </c>
      <c r="BX771" s="129">
        <f>VLOOKUP($D771,WGI!$C$2:$O$478,3,FALSE)</f>
        <v>-0.42554743484187901</v>
      </c>
      <c r="BY771" s="129">
        <f>VLOOKUP($D771,WGI!$C$2:$O$478,5,FALSE)</f>
        <v>-0.336527196038655</v>
      </c>
      <c r="BZ771" s="129">
        <f>VLOOKUP($D771,WGI!$C$2:$O$478,2,FALSE)</f>
        <v>-0.97534524891083396</v>
      </c>
      <c r="CB771" s="129"/>
    </row>
    <row r="772" spans="1:80" s="120" customFormat="1" ht="15" customHeight="1">
      <c r="A772" s="280" t="s">
        <v>275</v>
      </c>
      <c r="B772" s="117">
        <v>2010</v>
      </c>
      <c r="C772" s="117" t="s">
        <v>280</v>
      </c>
      <c r="D772" s="117" t="s">
        <v>3668</v>
      </c>
      <c r="E772" s="452" t="s">
        <v>39</v>
      </c>
      <c r="F772" s="117"/>
      <c r="G772" s="117" t="s">
        <v>24</v>
      </c>
      <c r="H772" s="117" t="str">
        <f t="shared" si="130"/>
        <v>yes</v>
      </c>
      <c r="I772" s="117" t="str">
        <f t="shared" si="131"/>
        <v>no</v>
      </c>
      <c r="J772" s="117" t="str">
        <f t="shared" si="132"/>
        <v>no</v>
      </c>
      <c r="K772" s="120" t="s">
        <v>1429</v>
      </c>
      <c r="L772" s="117" t="str">
        <f t="shared" si="129"/>
        <v>detailed</v>
      </c>
      <c r="M772" s="117" t="str">
        <f t="shared" si="133"/>
        <v>detailed Mining</v>
      </c>
      <c r="N772" s="89">
        <v>25000</v>
      </c>
      <c r="O772" s="89"/>
      <c r="P772" s="89"/>
      <c r="Q772" s="89"/>
      <c r="R772" s="89"/>
      <c r="S772" s="120" t="s">
        <v>610</v>
      </c>
      <c r="T772" s="119">
        <v>75</v>
      </c>
      <c r="U772" s="117" t="s">
        <v>611</v>
      </c>
      <c r="V772" s="117" t="s">
        <v>1430</v>
      </c>
      <c r="W772" s="89">
        <f>N772*T772</f>
        <v>1875000</v>
      </c>
      <c r="AA772" s="117"/>
      <c r="AB772" s="117"/>
      <c r="AC772" s="462"/>
      <c r="AD772" s="462"/>
      <c r="AE772" s="462"/>
      <c r="AF772" s="463"/>
      <c r="AH772" s="493"/>
      <c r="AV772" s="128"/>
      <c r="AW772" s="117">
        <f>VLOOKUP($D772,'WB Data'!$C$3:$M$578,2,FALSE)</f>
        <v>148047348240.64334</v>
      </c>
      <c r="AX772" s="117">
        <f>VLOOKUP($D772,'WB Data'!$C$3:$M$578,3,FALSE)</f>
        <v>16321581</v>
      </c>
      <c r="AY772" s="847" t="str">
        <f t="shared" si="135"/>
        <v>..</v>
      </c>
      <c r="AZ772" s="117" t="e">
        <f>VLOOKUP($D772,'WB Data'!$C$3:$M$578,4,FALSE)/100</f>
        <v>#VALUE!</v>
      </c>
      <c r="BA772" s="117" t="str">
        <f t="shared" si="136"/>
        <v>..</v>
      </c>
      <c r="BB772" s="129" t="str">
        <f>IFERROR(VLOOKUP($D772,'EITI Revenues'!$C$2:$G$224,5,FALSE),"..")</f>
        <v>..</v>
      </c>
      <c r="BC772" s="846" t="str">
        <f t="shared" si="137"/>
        <v>..</v>
      </c>
      <c r="BD772" s="129">
        <f>VLOOKUP($D772,'WB Data 2'!$C$2:$K$545,6,FALSE)</f>
        <v>50455901483.121315</v>
      </c>
      <c r="BE772" s="129">
        <f>IFERROR(VLOOKUP($D772,UNCTAD!$C$5:$V$529,4,FALSE),"..")</f>
        <v>65510660000</v>
      </c>
      <c r="BF772" s="846">
        <f t="shared" si="138"/>
        <v>0.77019375904808951</v>
      </c>
      <c r="BG772" s="117">
        <f>VLOOKUP($D772,'WB Data'!$C$3:$M$578,5,FALSE)</f>
        <v>223930000</v>
      </c>
      <c r="BH772" s="129" t="str">
        <f>IFERROR($BB772/$BG772,"..")</f>
        <v>..</v>
      </c>
      <c r="BI772" s="117" t="str">
        <f>IFERROR(VLOOKUP($D772,'WB Data'!$C$3:$M$578,7,FALSE)/100,"..")</f>
        <v>..</v>
      </c>
      <c r="BJ772" s="117" t="str">
        <f>IFERROR($BI772*$AW772,"..")</f>
        <v>..</v>
      </c>
      <c r="BK772" s="846" t="str">
        <f>IFERROR($BB772/$BJ772,"..")</f>
        <v>..</v>
      </c>
      <c r="BL772" s="117" t="str">
        <f>IFERROR(VLOOKUP($D772,'WB Data'!$C$3:$M$578,7,FALSE)/100,"..")</f>
        <v>..</v>
      </c>
      <c r="BM772" s="117" t="str">
        <f>IFERROR($AW772*$BL772,"..")</f>
        <v>..</v>
      </c>
      <c r="BN772" s="846" t="str">
        <f>IFERROR($BB772/$BM772,"..")</f>
        <v>..</v>
      </c>
      <c r="BO772" s="801">
        <f t="shared" si="134"/>
        <v>29</v>
      </c>
      <c r="BP772" s="117">
        <f>VLOOKUP($D772,'WB Data'!$C$3:$M$578,9,FALSE)</f>
        <v>6.5</v>
      </c>
      <c r="BQ772" s="117">
        <f>VLOOKUP($D772,'WB Data'!$C$3:$M$578,10,FALSE)</f>
        <v>68.295365853658538</v>
      </c>
      <c r="BR772" s="117">
        <f>VLOOKUP($D772,'WB Data'!$C$3:$M$578,11,FALSE)</f>
        <v>19.3</v>
      </c>
      <c r="BS772" s="129">
        <f>IFERROR(VLOOKUP($D772,'WB Data 2'!$C$2:$K$545,9,FALSE),"..")</f>
        <v>97.410539999999997</v>
      </c>
      <c r="BT772" s="129">
        <f>_xlfn.IFNA(VLOOKUP($C772,RGI!$A$2:$C$43,2,FALSE),"..")</f>
        <v>77.5</v>
      </c>
      <c r="BU772" s="129">
        <f>_xlfn.IFNA(VLOOKUP($C772,RGI!$A$2:$C$43,3,FALSE),"..")</f>
        <v>57.362887635782535</v>
      </c>
      <c r="BV772" s="129">
        <f>VLOOKUP($D772,WGI!$C$2:$O$478,7,FALSE)</f>
        <v>-1.1020684613614</v>
      </c>
      <c r="BW772" s="129">
        <f>VLOOKUP($D772,WGI!$C$2:$O$478,4,FALSE)</f>
        <v>0.45235036310351401</v>
      </c>
      <c r="BX772" s="129">
        <f>VLOOKUP($D772,WGI!$C$2:$O$478,3,FALSE)</f>
        <v>-0.42554743484187901</v>
      </c>
      <c r="BY772" s="129">
        <f>VLOOKUP($D772,WGI!$C$2:$O$478,5,FALSE)</f>
        <v>-0.336527196038655</v>
      </c>
      <c r="BZ772" s="129">
        <f>VLOOKUP($D772,WGI!$C$2:$O$478,2,FALSE)</f>
        <v>-0.97534524891083396</v>
      </c>
      <c r="CB772" s="129"/>
    </row>
    <row r="773" spans="1:80" s="120" customFormat="1" ht="15" customHeight="1">
      <c r="A773" s="280" t="s">
        <v>275</v>
      </c>
      <c r="B773" s="117">
        <v>2010</v>
      </c>
      <c r="C773" s="117" t="s">
        <v>280</v>
      </c>
      <c r="D773" s="117" t="s">
        <v>3668</v>
      </c>
      <c r="E773" s="452" t="s">
        <v>39</v>
      </c>
      <c r="F773" s="117"/>
      <c r="G773" s="117" t="s">
        <v>24</v>
      </c>
      <c r="H773" s="117" t="str">
        <f t="shared" si="130"/>
        <v>yes</v>
      </c>
      <c r="I773" s="117" t="str">
        <f t="shared" si="131"/>
        <v>no</v>
      </c>
      <c r="J773" s="117" t="str">
        <f t="shared" si="132"/>
        <v>no</v>
      </c>
      <c r="K773" s="120" t="s">
        <v>1228</v>
      </c>
      <c r="L773" s="117" t="str">
        <f t="shared" si="129"/>
        <v>detailed</v>
      </c>
      <c r="M773" s="117" t="str">
        <f t="shared" si="133"/>
        <v>detailed Mining</v>
      </c>
      <c r="N773" s="89">
        <v>24229100</v>
      </c>
      <c r="O773" s="89"/>
      <c r="P773" s="89"/>
      <c r="Q773" s="89"/>
      <c r="R773" s="89"/>
      <c r="S773" s="120" t="s">
        <v>610</v>
      </c>
      <c r="T773" s="119">
        <v>145.86318542569001</v>
      </c>
      <c r="U773" s="120" t="s">
        <v>611</v>
      </c>
      <c r="V773" s="117" t="s">
        <v>1431</v>
      </c>
      <c r="W773" s="89">
        <f>N773*T773</f>
        <v>3534133705.9975858</v>
      </c>
      <c r="AA773" s="117"/>
      <c r="AB773" s="117"/>
      <c r="AC773" s="462"/>
      <c r="AD773" s="462"/>
      <c r="AE773" s="462"/>
      <c r="AF773" s="463"/>
      <c r="AH773" s="493"/>
      <c r="AV773" s="128"/>
      <c r="AW773" s="117">
        <f>VLOOKUP($D773,'WB Data'!$C$3:$M$578,2,FALSE)</f>
        <v>148047348240.64334</v>
      </c>
      <c r="AX773" s="117">
        <f>VLOOKUP($D773,'WB Data'!$C$3:$M$578,3,FALSE)</f>
        <v>16321581</v>
      </c>
      <c r="AY773" s="847" t="str">
        <f t="shared" si="135"/>
        <v>..</v>
      </c>
      <c r="AZ773" s="117" t="e">
        <f>VLOOKUP($D773,'WB Data'!$C$3:$M$578,4,FALSE)/100</f>
        <v>#VALUE!</v>
      </c>
      <c r="BA773" s="117" t="str">
        <f t="shared" si="136"/>
        <v>..</v>
      </c>
      <c r="BB773" s="129" t="str">
        <f>IFERROR(VLOOKUP($D773,'EITI Revenues'!$C$2:$G$224,5,FALSE),"..")</f>
        <v>..</v>
      </c>
      <c r="BC773" s="846" t="str">
        <f t="shared" si="137"/>
        <v>..</v>
      </c>
      <c r="BD773" s="129">
        <f>VLOOKUP($D773,'WB Data 2'!$C$2:$K$545,6,FALSE)</f>
        <v>50455901483.121315</v>
      </c>
      <c r="BE773" s="129">
        <f>IFERROR(VLOOKUP($D773,UNCTAD!$C$5:$V$529,4,FALSE),"..")</f>
        <v>65510660000</v>
      </c>
      <c r="BF773" s="846">
        <f t="shared" si="138"/>
        <v>0.77019375904808951</v>
      </c>
      <c r="BG773" s="117">
        <f>VLOOKUP($D773,'WB Data'!$C$3:$M$578,5,FALSE)</f>
        <v>223930000</v>
      </c>
      <c r="BH773" s="129" t="str">
        <f>IFERROR($BB773/$BG773,"..")</f>
        <v>..</v>
      </c>
      <c r="BI773" s="117" t="str">
        <f>IFERROR(VLOOKUP($D773,'WB Data'!$C$3:$M$578,7,FALSE)/100,"..")</f>
        <v>..</v>
      </c>
      <c r="BJ773" s="117" t="str">
        <f>IFERROR($BI773*$AW773,"..")</f>
        <v>..</v>
      </c>
      <c r="BK773" s="846" t="str">
        <f>IFERROR($BB773/$BJ773,"..")</f>
        <v>..</v>
      </c>
      <c r="BL773" s="117" t="str">
        <f>IFERROR(VLOOKUP($D773,'WB Data'!$C$3:$M$578,7,FALSE)/100,"..")</f>
        <v>..</v>
      </c>
      <c r="BM773" s="117" t="str">
        <f>IFERROR($AW773*$BL773,"..")</f>
        <v>..</v>
      </c>
      <c r="BN773" s="846" t="str">
        <f>IFERROR($BB773/$BM773,"..")</f>
        <v>..</v>
      </c>
      <c r="BO773" s="801">
        <f t="shared" si="134"/>
        <v>29</v>
      </c>
      <c r="BP773" s="117">
        <f>VLOOKUP($D773,'WB Data'!$C$3:$M$578,9,FALSE)</f>
        <v>6.5</v>
      </c>
      <c r="BQ773" s="117">
        <f>VLOOKUP($D773,'WB Data'!$C$3:$M$578,10,FALSE)</f>
        <v>68.295365853658538</v>
      </c>
      <c r="BR773" s="117">
        <f>VLOOKUP($D773,'WB Data'!$C$3:$M$578,11,FALSE)</f>
        <v>19.3</v>
      </c>
      <c r="BS773" s="129">
        <f>IFERROR(VLOOKUP($D773,'WB Data 2'!$C$2:$K$545,9,FALSE),"..")</f>
        <v>97.410539999999997</v>
      </c>
      <c r="BT773" s="129">
        <f>_xlfn.IFNA(VLOOKUP($C773,RGI!$A$2:$C$43,2,FALSE),"..")</f>
        <v>77.5</v>
      </c>
      <c r="BU773" s="129">
        <f>_xlfn.IFNA(VLOOKUP($C773,RGI!$A$2:$C$43,3,FALSE),"..")</f>
        <v>57.362887635782535</v>
      </c>
      <c r="BV773" s="129">
        <f>VLOOKUP($D773,WGI!$C$2:$O$478,7,FALSE)</f>
        <v>-1.1020684613614</v>
      </c>
      <c r="BW773" s="129">
        <f>VLOOKUP($D773,WGI!$C$2:$O$478,4,FALSE)</f>
        <v>0.45235036310351401</v>
      </c>
      <c r="BX773" s="129">
        <f>VLOOKUP($D773,WGI!$C$2:$O$478,3,FALSE)</f>
        <v>-0.42554743484187901</v>
      </c>
      <c r="BY773" s="129">
        <f>VLOOKUP($D773,WGI!$C$2:$O$478,5,FALSE)</f>
        <v>-0.336527196038655</v>
      </c>
      <c r="BZ773" s="129">
        <f>VLOOKUP($D773,WGI!$C$2:$O$478,2,FALSE)</f>
        <v>-0.97534524891083396</v>
      </c>
      <c r="CB773" s="129"/>
    </row>
    <row r="774" spans="1:80" s="120" customFormat="1" ht="15" customHeight="1">
      <c r="A774" s="280" t="s">
        <v>275</v>
      </c>
      <c r="B774" s="117">
        <v>2010</v>
      </c>
      <c r="C774" s="117" t="s">
        <v>280</v>
      </c>
      <c r="D774" s="117" t="s">
        <v>3668</v>
      </c>
      <c r="E774" s="452" t="s">
        <v>39</v>
      </c>
      <c r="F774" s="117"/>
      <c r="G774" s="117" t="s">
        <v>24</v>
      </c>
      <c r="H774" s="117" t="str">
        <f t="shared" si="130"/>
        <v>yes</v>
      </c>
      <c r="I774" s="117" t="str">
        <f t="shared" si="131"/>
        <v>no</v>
      </c>
      <c r="J774" s="117" t="str">
        <f t="shared" si="132"/>
        <v>no</v>
      </c>
      <c r="K774" s="120" t="s">
        <v>843</v>
      </c>
      <c r="L774" s="117" t="str">
        <f t="shared" si="129"/>
        <v>detailed</v>
      </c>
      <c r="M774" s="117" t="str">
        <f t="shared" si="133"/>
        <v>detailed Mining</v>
      </c>
      <c r="N774" s="89"/>
      <c r="O774" s="89"/>
      <c r="P774" s="89"/>
      <c r="Q774" s="89"/>
      <c r="R774" s="89"/>
      <c r="T774" s="119">
        <v>9.64</v>
      </c>
      <c r="U774" s="117" t="s">
        <v>611</v>
      </c>
      <c r="V774" s="117" t="s">
        <v>844</v>
      </c>
      <c r="W774" s="89">
        <f>N776*T774</f>
        <v>9640000</v>
      </c>
      <c r="AA774" s="117"/>
      <c r="AB774" s="117"/>
      <c r="AC774" s="462"/>
      <c r="AD774" s="462"/>
      <c r="AE774" s="462"/>
      <c r="AF774" s="463"/>
      <c r="AH774" s="493"/>
      <c r="AV774" s="128"/>
      <c r="AW774" s="117">
        <f>VLOOKUP($D774,'WB Data'!$C$3:$M$578,2,FALSE)</f>
        <v>148047348240.64334</v>
      </c>
      <c r="AX774" s="117">
        <f>VLOOKUP($D774,'WB Data'!$C$3:$M$578,3,FALSE)</f>
        <v>16321581</v>
      </c>
      <c r="AY774" s="847" t="str">
        <f t="shared" si="135"/>
        <v>..</v>
      </c>
      <c r="AZ774" s="117" t="e">
        <f>VLOOKUP($D774,'WB Data'!$C$3:$M$578,4,FALSE)/100</f>
        <v>#VALUE!</v>
      </c>
      <c r="BA774" s="117" t="str">
        <f t="shared" si="136"/>
        <v>..</v>
      </c>
      <c r="BB774" s="129" t="str">
        <f>IFERROR(VLOOKUP($D774,'EITI Revenues'!$C$2:$G$224,5,FALSE),"..")</f>
        <v>..</v>
      </c>
      <c r="BC774" s="846" t="str">
        <f t="shared" si="137"/>
        <v>..</v>
      </c>
      <c r="BD774" s="129">
        <f>VLOOKUP($D774,'WB Data 2'!$C$2:$K$545,6,FALSE)</f>
        <v>50455901483.121315</v>
      </c>
      <c r="BE774" s="129">
        <f>IFERROR(VLOOKUP($D774,UNCTAD!$C$5:$V$529,4,FALSE),"..")</f>
        <v>65510660000</v>
      </c>
      <c r="BF774" s="846">
        <f t="shared" si="138"/>
        <v>0.77019375904808951</v>
      </c>
      <c r="BG774" s="117">
        <f>VLOOKUP($D774,'WB Data'!$C$3:$M$578,5,FALSE)</f>
        <v>223930000</v>
      </c>
      <c r="BH774" s="129" t="str">
        <f>IFERROR($BB774/$BG774,"..")</f>
        <v>..</v>
      </c>
      <c r="BI774" s="117" t="str">
        <f>IFERROR(VLOOKUP($D774,'WB Data'!$C$3:$M$578,7,FALSE)/100,"..")</f>
        <v>..</v>
      </c>
      <c r="BJ774" s="117" t="str">
        <f>IFERROR($BI774*$AW774,"..")</f>
        <v>..</v>
      </c>
      <c r="BK774" s="846" t="str">
        <f>IFERROR($BB774/$BJ774,"..")</f>
        <v>..</v>
      </c>
      <c r="BL774" s="117" t="str">
        <f>IFERROR(VLOOKUP($D774,'WB Data'!$C$3:$M$578,7,FALSE)/100,"..")</f>
        <v>..</v>
      </c>
      <c r="BM774" s="117" t="str">
        <f>IFERROR($AW774*$BL774,"..")</f>
        <v>..</v>
      </c>
      <c r="BN774" s="846" t="str">
        <f>IFERROR($BB774/$BM774,"..")</f>
        <v>..</v>
      </c>
      <c r="BO774" s="801">
        <f t="shared" si="134"/>
        <v>29</v>
      </c>
      <c r="BP774" s="117">
        <f>VLOOKUP($D774,'WB Data'!$C$3:$M$578,9,FALSE)</f>
        <v>6.5</v>
      </c>
      <c r="BQ774" s="117">
        <f>VLOOKUP($D774,'WB Data'!$C$3:$M$578,10,FALSE)</f>
        <v>68.295365853658538</v>
      </c>
      <c r="BR774" s="117">
        <f>VLOOKUP($D774,'WB Data'!$C$3:$M$578,11,FALSE)</f>
        <v>19.3</v>
      </c>
      <c r="BS774" s="129">
        <f>IFERROR(VLOOKUP($D774,'WB Data 2'!$C$2:$K$545,9,FALSE),"..")</f>
        <v>97.410539999999997</v>
      </c>
      <c r="BT774" s="129">
        <f>_xlfn.IFNA(VLOOKUP($C774,RGI!$A$2:$C$43,2,FALSE),"..")</f>
        <v>77.5</v>
      </c>
      <c r="BU774" s="129">
        <f>_xlfn.IFNA(VLOOKUP($C774,RGI!$A$2:$C$43,3,FALSE),"..")</f>
        <v>57.362887635782535</v>
      </c>
      <c r="BV774" s="129">
        <f>VLOOKUP($D774,WGI!$C$2:$O$478,7,FALSE)</f>
        <v>-1.1020684613614</v>
      </c>
      <c r="BW774" s="129">
        <f>VLOOKUP($D774,WGI!$C$2:$O$478,4,FALSE)</f>
        <v>0.45235036310351401</v>
      </c>
      <c r="BX774" s="129">
        <f>VLOOKUP($D774,WGI!$C$2:$O$478,3,FALSE)</f>
        <v>-0.42554743484187901</v>
      </c>
      <c r="BY774" s="129">
        <f>VLOOKUP($D774,WGI!$C$2:$O$478,5,FALSE)</f>
        <v>-0.336527196038655</v>
      </c>
      <c r="BZ774" s="129">
        <f>VLOOKUP($D774,WGI!$C$2:$O$478,2,FALSE)</f>
        <v>-0.97534524891083396</v>
      </c>
      <c r="CB774" s="129"/>
    </row>
    <row r="775" spans="1:80" s="120" customFormat="1" ht="15" customHeight="1">
      <c r="A775" s="280" t="s">
        <v>275</v>
      </c>
      <c r="B775" s="117">
        <v>2010</v>
      </c>
      <c r="C775" s="117" t="s">
        <v>280</v>
      </c>
      <c r="D775" s="117" t="s">
        <v>3668</v>
      </c>
      <c r="E775" s="452" t="s">
        <v>39</v>
      </c>
      <c r="F775" s="117"/>
      <c r="G775" s="117" t="s">
        <v>24</v>
      </c>
      <c r="H775" s="117" t="str">
        <f t="shared" si="130"/>
        <v>yes</v>
      </c>
      <c r="I775" s="117" t="str">
        <f t="shared" si="131"/>
        <v>no</v>
      </c>
      <c r="J775" s="117" t="str">
        <f t="shared" si="132"/>
        <v>no</v>
      </c>
      <c r="K775" s="120" t="s">
        <v>1066</v>
      </c>
      <c r="L775" s="117" t="str">
        <f t="shared" si="129"/>
        <v>detailed</v>
      </c>
      <c r="M775" s="117" t="str">
        <f t="shared" si="133"/>
        <v>detailed Mining</v>
      </c>
      <c r="N775" s="89">
        <v>4135800</v>
      </c>
      <c r="O775" s="89"/>
      <c r="P775" s="89"/>
      <c r="Q775" s="89"/>
      <c r="R775" s="89"/>
      <c r="S775" s="120" t="s">
        <v>610</v>
      </c>
      <c r="T775" s="119"/>
      <c r="V775" s="117" t="s">
        <v>847</v>
      </c>
      <c r="W775" s="89"/>
      <c r="AA775" s="117"/>
      <c r="AB775" s="117"/>
      <c r="AC775" s="462"/>
      <c r="AD775" s="462"/>
      <c r="AE775" s="462"/>
      <c r="AF775" s="463"/>
      <c r="AH775" s="493"/>
      <c r="AV775" s="128"/>
      <c r="AW775" s="117">
        <f>VLOOKUP($D775,'WB Data'!$C$3:$M$578,2,FALSE)</f>
        <v>148047348240.64334</v>
      </c>
      <c r="AX775" s="117">
        <f>VLOOKUP($D775,'WB Data'!$C$3:$M$578,3,FALSE)</f>
        <v>16321581</v>
      </c>
      <c r="AY775" s="847" t="str">
        <f t="shared" si="135"/>
        <v>..</v>
      </c>
      <c r="AZ775" s="117" t="e">
        <f>VLOOKUP($D775,'WB Data'!$C$3:$M$578,4,FALSE)/100</f>
        <v>#VALUE!</v>
      </c>
      <c r="BA775" s="117" t="str">
        <f t="shared" si="136"/>
        <v>..</v>
      </c>
      <c r="BB775" s="129" t="str">
        <f>IFERROR(VLOOKUP($D775,'EITI Revenues'!$C$2:$G$224,5,FALSE),"..")</f>
        <v>..</v>
      </c>
      <c r="BC775" s="846" t="str">
        <f t="shared" si="137"/>
        <v>..</v>
      </c>
      <c r="BD775" s="129">
        <f>VLOOKUP($D775,'WB Data 2'!$C$2:$K$545,6,FALSE)</f>
        <v>50455901483.121315</v>
      </c>
      <c r="BE775" s="129">
        <f>IFERROR(VLOOKUP($D775,UNCTAD!$C$5:$V$529,4,FALSE),"..")</f>
        <v>65510660000</v>
      </c>
      <c r="BF775" s="846">
        <f t="shared" si="138"/>
        <v>0.77019375904808951</v>
      </c>
      <c r="BG775" s="117">
        <f>VLOOKUP($D775,'WB Data'!$C$3:$M$578,5,FALSE)</f>
        <v>223930000</v>
      </c>
      <c r="BH775" s="129" t="str">
        <f>IFERROR($BB775/$BG775,"..")</f>
        <v>..</v>
      </c>
      <c r="BI775" s="117" t="str">
        <f>IFERROR(VLOOKUP($D775,'WB Data'!$C$3:$M$578,7,FALSE)/100,"..")</f>
        <v>..</v>
      </c>
      <c r="BJ775" s="117" t="str">
        <f>IFERROR($BI775*$AW775,"..")</f>
        <v>..</v>
      </c>
      <c r="BK775" s="846" t="str">
        <f>IFERROR($BB775/$BJ775,"..")</f>
        <v>..</v>
      </c>
      <c r="BL775" s="117" t="str">
        <f>IFERROR(VLOOKUP($D775,'WB Data'!$C$3:$M$578,7,FALSE)/100,"..")</f>
        <v>..</v>
      </c>
      <c r="BM775" s="117" t="str">
        <f>IFERROR($AW775*$BL775,"..")</f>
        <v>..</v>
      </c>
      <c r="BN775" s="846" t="str">
        <f>IFERROR($BB775/$BM775,"..")</f>
        <v>..</v>
      </c>
      <c r="BO775" s="801">
        <f t="shared" si="134"/>
        <v>29</v>
      </c>
      <c r="BP775" s="117">
        <f>VLOOKUP($D775,'WB Data'!$C$3:$M$578,9,FALSE)</f>
        <v>6.5</v>
      </c>
      <c r="BQ775" s="117">
        <f>VLOOKUP($D775,'WB Data'!$C$3:$M$578,10,FALSE)</f>
        <v>68.295365853658538</v>
      </c>
      <c r="BR775" s="117">
        <f>VLOOKUP($D775,'WB Data'!$C$3:$M$578,11,FALSE)</f>
        <v>19.3</v>
      </c>
      <c r="BS775" s="129">
        <f>IFERROR(VLOOKUP($D775,'WB Data 2'!$C$2:$K$545,9,FALSE),"..")</f>
        <v>97.410539999999997</v>
      </c>
      <c r="BT775" s="129">
        <f>_xlfn.IFNA(VLOOKUP($C775,RGI!$A$2:$C$43,2,FALSE),"..")</f>
        <v>77.5</v>
      </c>
      <c r="BU775" s="129">
        <f>_xlfn.IFNA(VLOOKUP($C775,RGI!$A$2:$C$43,3,FALSE),"..")</f>
        <v>57.362887635782535</v>
      </c>
      <c r="BV775" s="129">
        <f>VLOOKUP($D775,WGI!$C$2:$O$478,7,FALSE)</f>
        <v>-1.1020684613614</v>
      </c>
      <c r="BW775" s="129">
        <f>VLOOKUP($D775,WGI!$C$2:$O$478,4,FALSE)</f>
        <v>0.45235036310351401</v>
      </c>
      <c r="BX775" s="129">
        <f>VLOOKUP($D775,WGI!$C$2:$O$478,3,FALSE)</f>
        <v>-0.42554743484187901</v>
      </c>
      <c r="BY775" s="129">
        <f>VLOOKUP($D775,WGI!$C$2:$O$478,5,FALSE)</f>
        <v>-0.336527196038655</v>
      </c>
      <c r="BZ775" s="129">
        <f>VLOOKUP($D775,WGI!$C$2:$O$478,2,FALSE)</f>
        <v>-0.97534524891083396</v>
      </c>
      <c r="CB775" s="129"/>
    </row>
    <row r="776" spans="1:80" s="120" customFormat="1" ht="15" customHeight="1">
      <c r="A776" s="280" t="s">
        <v>275</v>
      </c>
      <c r="B776" s="117">
        <v>2010</v>
      </c>
      <c r="C776" s="117" t="s">
        <v>280</v>
      </c>
      <c r="D776" s="117" t="s">
        <v>3668</v>
      </c>
      <c r="E776" s="452" t="s">
        <v>39</v>
      </c>
      <c r="F776" s="117"/>
      <c r="G776" s="117" t="s">
        <v>24</v>
      </c>
      <c r="H776" s="117" t="str">
        <f t="shared" si="130"/>
        <v>yes</v>
      </c>
      <c r="I776" s="117" t="str">
        <f t="shared" si="131"/>
        <v>no</v>
      </c>
      <c r="J776" s="117" t="str">
        <f t="shared" si="132"/>
        <v>no</v>
      </c>
      <c r="K776" s="120" t="s">
        <v>1432</v>
      </c>
      <c r="L776" s="117" t="str">
        <f t="shared" si="129"/>
        <v>detailed</v>
      </c>
      <c r="M776" s="117" t="str">
        <f t="shared" si="133"/>
        <v>detailed Mining</v>
      </c>
      <c r="N776" s="89">
        <v>1000000</v>
      </c>
      <c r="O776" s="89"/>
      <c r="P776" s="89"/>
      <c r="Q776" s="89"/>
      <c r="R776" s="89"/>
      <c r="S776" s="120" t="s">
        <v>610</v>
      </c>
      <c r="T776" s="119"/>
      <c r="V776" s="117" t="s">
        <v>847</v>
      </c>
      <c r="W776" s="89"/>
      <c r="AA776" s="117"/>
      <c r="AB776" s="117"/>
      <c r="AC776" s="462"/>
      <c r="AD776" s="462"/>
      <c r="AE776" s="462"/>
      <c r="AF776" s="463"/>
      <c r="AH776" s="493"/>
      <c r="AV776" s="128"/>
      <c r="AW776" s="117">
        <f>VLOOKUP($D776,'WB Data'!$C$3:$M$578,2,FALSE)</f>
        <v>148047348240.64334</v>
      </c>
      <c r="AX776" s="117">
        <f>VLOOKUP($D776,'WB Data'!$C$3:$M$578,3,FALSE)</f>
        <v>16321581</v>
      </c>
      <c r="AY776" s="847" t="str">
        <f t="shared" si="135"/>
        <v>..</v>
      </c>
      <c r="AZ776" s="117" t="e">
        <f>VLOOKUP($D776,'WB Data'!$C$3:$M$578,4,FALSE)/100</f>
        <v>#VALUE!</v>
      </c>
      <c r="BA776" s="117" t="str">
        <f t="shared" si="136"/>
        <v>..</v>
      </c>
      <c r="BB776" s="129" t="str">
        <f>IFERROR(VLOOKUP($D776,'EITI Revenues'!$C$2:$G$224,5,FALSE),"..")</f>
        <v>..</v>
      </c>
      <c r="BC776" s="846" t="str">
        <f t="shared" si="137"/>
        <v>..</v>
      </c>
      <c r="BD776" s="129">
        <f>VLOOKUP($D776,'WB Data 2'!$C$2:$K$545,6,FALSE)</f>
        <v>50455901483.121315</v>
      </c>
      <c r="BE776" s="129">
        <f>IFERROR(VLOOKUP($D776,UNCTAD!$C$5:$V$529,4,FALSE),"..")</f>
        <v>65510660000</v>
      </c>
      <c r="BF776" s="846">
        <f t="shared" si="138"/>
        <v>0.77019375904808951</v>
      </c>
      <c r="BG776" s="117">
        <f>VLOOKUP($D776,'WB Data'!$C$3:$M$578,5,FALSE)</f>
        <v>223930000</v>
      </c>
      <c r="BH776" s="129" t="str">
        <f>IFERROR($BB776/$BG776,"..")</f>
        <v>..</v>
      </c>
      <c r="BI776" s="117" t="str">
        <f>IFERROR(VLOOKUP($D776,'WB Data'!$C$3:$M$578,7,FALSE)/100,"..")</f>
        <v>..</v>
      </c>
      <c r="BJ776" s="117" t="str">
        <f>IFERROR($BI776*$AW776,"..")</f>
        <v>..</v>
      </c>
      <c r="BK776" s="846" t="str">
        <f>IFERROR($BB776/$BJ776,"..")</f>
        <v>..</v>
      </c>
      <c r="BL776" s="117" t="str">
        <f>IFERROR(VLOOKUP($D776,'WB Data'!$C$3:$M$578,7,FALSE)/100,"..")</f>
        <v>..</v>
      </c>
      <c r="BM776" s="117" t="str">
        <f>IFERROR($AW776*$BL776,"..")</f>
        <v>..</v>
      </c>
      <c r="BN776" s="846" t="str">
        <f>IFERROR($BB776/$BM776,"..")</f>
        <v>..</v>
      </c>
      <c r="BO776" s="801">
        <f t="shared" si="134"/>
        <v>29</v>
      </c>
      <c r="BP776" s="117">
        <f>VLOOKUP($D776,'WB Data'!$C$3:$M$578,9,FALSE)</f>
        <v>6.5</v>
      </c>
      <c r="BQ776" s="117">
        <f>VLOOKUP($D776,'WB Data'!$C$3:$M$578,10,FALSE)</f>
        <v>68.295365853658538</v>
      </c>
      <c r="BR776" s="117">
        <f>VLOOKUP($D776,'WB Data'!$C$3:$M$578,11,FALSE)</f>
        <v>19.3</v>
      </c>
      <c r="BS776" s="129">
        <f>IFERROR(VLOOKUP($D776,'WB Data 2'!$C$2:$K$545,9,FALSE),"..")</f>
        <v>97.410539999999997</v>
      </c>
      <c r="BT776" s="129">
        <f>_xlfn.IFNA(VLOOKUP($C776,RGI!$A$2:$C$43,2,FALSE),"..")</f>
        <v>77.5</v>
      </c>
      <c r="BU776" s="129">
        <f>_xlfn.IFNA(VLOOKUP($C776,RGI!$A$2:$C$43,3,FALSE),"..")</f>
        <v>57.362887635782535</v>
      </c>
      <c r="BV776" s="129">
        <f>VLOOKUP($D776,WGI!$C$2:$O$478,7,FALSE)</f>
        <v>-1.1020684613614</v>
      </c>
      <c r="BW776" s="129">
        <f>VLOOKUP($D776,WGI!$C$2:$O$478,4,FALSE)</f>
        <v>0.45235036310351401</v>
      </c>
      <c r="BX776" s="129">
        <f>VLOOKUP($D776,WGI!$C$2:$O$478,3,FALSE)</f>
        <v>-0.42554743484187901</v>
      </c>
      <c r="BY776" s="129">
        <f>VLOOKUP($D776,WGI!$C$2:$O$478,5,FALSE)</f>
        <v>-0.336527196038655</v>
      </c>
      <c r="BZ776" s="129">
        <f>VLOOKUP($D776,WGI!$C$2:$O$478,2,FALSE)</f>
        <v>-0.97534524891083396</v>
      </c>
      <c r="CB776" s="129"/>
    </row>
    <row r="777" spans="1:80" s="120" customFormat="1" ht="15" customHeight="1">
      <c r="A777" s="280" t="s">
        <v>275</v>
      </c>
      <c r="B777" s="117">
        <v>2010</v>
      </c>
      <c r="C777" s="117" t="s">
        <v>280</v>
      </c>
      <c r="D777" s="117" t="s">
        <v>3668</v>
      </c>
      <c r="E777" s="452" t="s">
        <v>39</v>
      </c>
      <c r="F777" s="117"/>
      <c r="G777" s="117" t="s">
        <v>24</v>
      </c>
      <c r="H777" s="117" t="str">
        <f t="shared" si="130"/>
        <v>yes</v>
      </c>
      <c r="I777" s="117" t="str">
        <f t="shared" si="131"/>
        <v>no</v>
      </c>
      <c r="J777" s="117" t="str">
        <f t="shared" si="132"/>
        <v>no</v>
      </c>
      <c r="K777" s="120" t="s">
        <v>1433</v>
      </c>
      <c r="L777" s="117" t="str">
        <f t="shared" si="129"/>
        <v>detailed</v>
      </c>
      <c r="M777" s="117" t="str">
        <f t="shared" si="133"/>
        <v>detailed Mining</v>
      </c>
      <c r="N777" s="89">
        <v>500</v>
      </c>
      <c r="O777" s="89"/>
      <c r="P777" s="89"/>
      <c r="Q777" s="89"/>
      <c r="R777" s="89"/>
      <c r="S777" s="120" t="s">
        <v>610</v>
      </c>
      <c r="T777" s="186">
        <v>21808.852416666701</v>
      </c>
      <c r="U777" s="117" t="s">
        <v>611</v>
      </c>
      <c r="V777" s="117" t="s">
        <v>1434</v>
      </c>
      <c r="W777" s="89">
        <f>N777*T777</f>
        <v>10904426.208333351</v>
      </c>
      <c r="AA777" s="117"/>
      <c r="AB777" s="117"/>
      <c r="AC777" s="462"/>
      <c r="AD777" s="462"/>
      <c r="AE777" s="462"/>
      <c r="AF777" s="463"/>
      <c r="AH777" s="493"/>
      <c r="AV777" s="128"/>
      <c r="AW777" s="117">
        <f>VLOOKUP($D777,'WB Data'!$C$3:$M$578,2,FALSE)</f>
        <v>148047348240.64334</v>
      </c>
      <c r="AX777" s="117">
        <f>VLOOKUP($D777,'WB Data'!$C$3:$M$578,3,FALSE)</f>
        <v>16321581</v>
      </c>
      <c r="AY777" s="847" t="str">
        <f t="shared" si="135"/>
        <v>..</v>
      </c>
      <c r="AZ777" s="117" t="e">
        <f>VLOOKUP($D777,'WB Data'!$C$3:$M$578,4,FALSE)/100</f>
        <v>#VALUE!</v>
      </c>
      <c r="BA777" s="117" t="str">
        <f t="shared" si="136"/>
        <v>..</v>
      </c>
      <c r="BB777" s="129" t="str">
        <f>IFERROR(VLOOKUP($D777,'EITI Revenues'!$C$2:$G$224,5,FALSE),"..")</f>
        <v>..</v>
      </c>
      <c r="BC777" s="846" t="str">
        <f t="shared" si="137"/>
        <v>..</v>
      </c>
      <c r="BD777" s="129">
        <f>VLOOKUP($D777,'WB Data 2'!$C$2:$K$545,6,FALSE)</f>
        <v>50455901483.121315</v>
      </c>
      <c r="BE777" s="129">
        <f>IFERROR(VLOOKUP($D777,UNCTAD!$C$5:$V$529,4,FALSE),"..")</f>
        <v>65510660000</v>
      </c>
      <c r="BF777" s="846">
        <f t="shared" si="138"/>
        <v>0.77019375904808951</v>
      </c>
      <c r="BG777" s="117">
        <f>VLOOKUP($D777,'WB Data'!$C$3:$M$578,5,FALSE)</f>
        <v>223930000</v>
      </c>
      <c r="BH777" s="129" t="str">
        <f>IFERROR($BB777/$BG777,"..")</f>
        <v>..</v>
      </c>
      <c r="BI777" s="117" t="str">
        <f>IFERROR(VLOOKUP($D777,'WB Data'!$C$3:$M$578,7,FALSE)/100,"..")</f>
        <v>..</v>
      </c>
      <c r="BJ777" s="117" t="str">
        <f>IFERROR($BI777*$AW777,"..")</f>
        <v>..</v>
      </c>
      <c r="BK777" s="846" t="str">
        <f>IFERROR($BB777/$BJ777,"..")</f>
        <v>..</v>
      </c>
      <c r="BL777" s="117" t="str">
        <f>IFERROR(VLOOKUP($D777,'WB Data'!$C$3:$M$578,7,FALSE)/100,"..")</f>
        <v>..</v>
      </c>
      <c r="BM777" s="117" t="str">
        <f>IFERROR($AW777*$BL777,"..")</f>
        <v>..</v>
      </c>
      <c r="BN777" s="846" t="str">
        <f>IFERROR($BB777/$BM777,"..")</f>
        <v>..</v>
      </c>
      <c r="BO777" s="801">
        <f t="shared" si="134"/>
        <v>29</v>
      </c>
      <c r="BP777" s="117">
        <f>VLOOKUP($D777,'WB Data'!$C$3:$M$578,9,FALSE)</f>
        <v>6.5</v>
      </c>
      <c r="BQ777" s="117">
        <f>VLOOKUP($D777,'WB Data'!$C$3:$M$578,10,FALSE)</f>
        <v>68.295365853658538</v>
      </c>
      <c r="BR777" s="117">
        <f>VLOOKUP($D777,'WB Data'!$C$3:$M$578,11,FALSE)</f>
        <v>19.3</v>
      </c>
      <c r="BS777" s="129">
        <f>IFERROR(VLOOKUP($D777,'WB Data 2'!$C$2:$K$545,9,FALSE),"..")</f>
        <v>97.410539999999997</v>
      </c>
      <c r="BT777" s="129">
        <f>_xlfn.IFNA(VLOOKUP($C777,RGI!$A$2:$C$43,2,FALSE),"..")</f>
        <v>77.5</v>
      </c>
      <c r="BU777" s="129">
        <f>_xlfn.IFNA(VLOOKUP($C777,RGI!$A$2:$C$43,3,FALSE),"..")</f>
        <v>57.362887635782535</v>
      </c>
      <c r="BV777" s="129">
        <f>VLOOKUP($D777,WGI!$C$2:$O$478,7,FALSE)</f>
        <v>-1.1020684613614</v>
      </c>
      <c r="BW777" s="129">
        <f>VLOOKUP($D777,WGI!$C$2:$O$478,4,FALSE)</f>
        <v>0.45235036310351401</v>
      </c>
      <c r="BX777" s="129">
        <f>VLOOKUP($D777,WGI!$C$2:$O$478,3,FALSE)</f>
        <v>-0.42554743484187901</v>
      </c>
      <c r="BY777" s="129">
        <f>VLOOKUP($D777,WGI!$C$2:$O$478,5,FALSE)</f>
        <v>-0.336527196038655</v>
      </c>
      <c r="BZ777" s="129">
        <f>VLOOKUP($D777,WGI!$C$2:$O$478,2,FALSE)</f>
        <v>-0.97534524891083396</v>
      </c>
      <c r="CB777" s="129"/>
    </row>
    <row r="778" spans="1:80" s="120" customFormat="1" ht="15" customHeight="1">
      <c r="A778" s="280" t="s">
        <v>275</v>
      </c>
      <c r="B778" s="117">
        <v>2010</v>
      </c>
      <c r="C778" s="117" t="s">
        <v>280</v>
      </c>
      <c r="D778" s="117" t="s">
        <v>3668</v>
      </c>
      <c r="E778" s="452" t="s">
        <v>39</v>
      </c>
      <c r="F778" s="117"/>
      <c r="G778" s="117" t="s">
        <v>24</v>
      </c>
      <c r="H778" s="117" t="str">
        <f t="shared" si="130"/>
        <v>yes</v>
      </c>
      <c r="I778" s="117" t="str">
        <f t="shared" si="131"/>
        <v>no</v>
      </c>
      <c r="J778" s="117" t="str">
        <f t="shared" si="132"/>
        <v>no</v>
      </c>
      <c r="K778" s="120" t="s">
        <v>1435</v>
      </c>
      <c r="L778" s="117" t="str">
        <f t="shared" si="129"/>
        <v>detailed</v>
      </c>
      <c r="M778" s="117" t="str">
        <f t="shared" si="133"/>
        <v>detailed Mining</v>
      </c>
      <c r="N778" s="89">
        <v>1600000</v>
      </c>
      <c r="O778" s="89"/>
      <c r="P778" s="89"/>
      <c r="Q778" s="89"/>
      <c r="R778" s="89"/>
      <c r="S778" s="120" t="s">
        <v>610</v>
      </c>
      <c r="T778" s="119">
        <v>123.02083333333</v>
      </c>
      <c r="U778" s="120" t="s">
        <v>611</v>
      </c>
      <c r="V778" s="117" t="s">
        <v>1436</v>
      </c>
      <c r="W778" s="89">
        <f>N778*T778</f>
        <v>196833333.33332801</v>
      </c>
      <c r="AA778" s="117"/>
      <c r="AB778" s="117"/>
      <c r="AC778" s="462"/>
      <c r="AD778" s="462"/>
      <c r="AE778" s="462"/>
      <c r="AF778" s="463"/>
      <c r="AH778" s="493"/>
      <c r="AV778" s="128"/>
      <c r="AW778" s="117">
        <f>VLOOKUP($D778,'WB Data'!$C$3:$M$578,2,FALSE)</f>
        <v>148047348240.64334</v>
      </c>
      <c r="AX778" s="117">
        <f>VLOOKUP($D778,'WB Data'!$C$3:$M$578,3,FALSE)</f>
        <v>16321581</v>
      </c>
      <c r="AY778" s="847" t="str">
        <f t="shared" si="135"/>
        <v>..</v>
      </c>
      <c r="AZ778" s="117" t="e">
        <f>VLOOKUP($D778,'WB Data'!$C$3:$M$578,4,FALSE)/100</f>
        <v>#VALUE!</v>
      </c>
      <c r="BA778" s="117" t="str">
        <f t="shared" si="136"/>
        <v>..</v>
      </c>
      <c r="BB778" s="129" t="str">
        <f>IFERROR(VLOOKUP($D778,'EITI Revenues'!$C$2:$G$224,5,FALSE),"..")</f>
        <v>..</v>
      </c>
      <c r="BC778" s="846" t="str">
        <f t="shared" si="137"/>
        <v>..</v>
      </c>
      <c r="BD778" s="129">
        <f>VLOOKUP($D778,'WB Data 2'!$C$2:$K$545,6,FALSE)</f>
        <v>50455901483.121315</v>
      </c>
      <c r="BE778" s="129">
        <f>IFERROR(VLOOKUP($D778,UNCTAD!$C$5:$V$529,4,FALSE),"..")</f>
        <v>65510660000</v>
      </c>
      <c r="BF778" s="846">
        <f t="shared" si="138"/>
        <v>0.77019375904808951</v>
      </c>
      <c r="BG778" s="117">
        <f>VLOOKUP($D778,'WB Data'!$C$3:$M$578,5,FALSE)</f>
        <v>223930000</v>
      </c>
      <c r="BH778" s="129" t="str">
        <f>IFERROR($BB778/$BG778,"..")</f>
        <v>..</v>
      </c>
      <c r="BI778" s="117" t="str">
        <f>IFERROR(VLOOKUP($D778,'WB Data'!$C$3:$M$578,7,FALSE)/100,"..")</f>
        <v>..</v>
      </c>
      <c r="BJ778" s="117" t="str">
        <f>IFERROR($BI778*$AW778,"..")</f>
        <v>..</v>
      </c>
      <c r="BK778" s="846" t="str">
        <f>IFERROR($BB778/$BJ778,"..")</f>
        <v>..</v>
      </c>
      <c r="BL778" s="117" t="str">
        <f>IFERROR(VLOOKUP($D778,'WB Data'!$C$3:$M$578,7,FALSE)/100,"..")</f>
        <v>..</v>
      </c>
      <c r="BM778" s="117" t="str">
        <f>IFERROR($AW778*$BL778,"..")</f>
        <v>..</v>
      </c>
      <c r="BN778" s="846" t="str">
        <f>IFERROR($BB778/$BM778,"..")</f>
        <v>..</v>
      </c>
      <c r="BO778" s="801">
        <f t="shared" si="134"/>
        <v>29</v>
      </c>
      <c r="BP778" s="117">
        <f>VLOOKUP($D778,'WB Data'!$C$3:$M$578,9,FALSE)</f>
        <v>6.5</v>
      </c>
      <c r="BQ778" s="117">
        <f>VLOOKUP($D778,'WB Data'!$C$3:$M$578,10,FALSE)</f>
        <v>68.295365853658538</v>
      </c>
      <c r="BR778" s="117">
        <f>VLOOKUP($D778,'WB Data'!$C$3:$M$578,11,FALSE)</f>
        <v>19.3</v>
      </c>
      <c r="BS778" s="129">
        <f>IFERROR(VLOOKUP($D778,'WB Data 2'!$C$2:$K$545,9,FALSE),"..")</f>
        <v>97.410539999999997</v>
      </c>
      <c r="BT778" s="129">
        <f>_xlfn.IFNA(VLOOKUP($C778,RGI!$A$2:$C$43,2,FALSE),"..")</f>
        <v>77.5</v>
      </c>
      <c r="BU778" s="129">
        <f>_xlfn.IFNA(VLOOKUP($C778,RGI!$A$2:$C$43,3,FALSE),"..")</f>
        <v>57.362887635782535</v>
      </c>
      <c r="BV778" s="129">
        <f>VLOOKUP($D778,WGI!$C$2:$O$478,7,FALSE)</f>
        <v>-1.1020684613614</v>
      </c>
      <c r="BW778" s="129">
        <f>VLOOKUP($D778,WGI!$C$2:$O$478,4,FALSE)</f>
        <v>0.45235036310351401</v>
      </c>
      <c r="BX778" s="129">
        <f>VLOOKUP($D778,WGI!$C$2:$O$478,3,FALSE)</f>
        <v>-0.42554743484187901</v>
      </c>
      <c r="BY778" s="129">
        <f>VLOOKUP($D778,WGI!$C$2:$O$478,5,FALSE)</f>
        <v>-0.336527196038655</v>
      </c>
      <c r="BZ778" s="129">
        <f>VLOOKUP($D778,WGI!$C$2:$O$478,2,FALSE)</f>
        <v>-0.97534524891083396</v>
      </c>
      <c r="CB778" s="129"/>
    </row>
    <row r="779" spans="1:80" s="120" customFormat="1" ht="15" customHeight="1">
      <c r="A779" s="280" t="s">
        <v>275</v>
      </c>
      <c r="B779" s="117">
        <v>2010</v>
      </c>
      <c r="C779" s="117" t="s">
        <v>280</v>
      </c>
      <c r="D779" s="117" t="s">
        <v>3668</v>
      </c>
      <c r="E779" s="452" t="s">
        <v>39</v>
      </c>
      <c r="F779" s="117"/>
      <c r="G779" s="117" t="s">
        <v>24</v>
      </c>
      <c r="H779" s="117" t="str">
        <f t="shared" si="130"/>
        <v>yes</v>
      </c>
      <c r="I779" s="117" t="str">
        <f t="shared" si="131"/>
        <v>no</v>
      </c>
      <c r="J779" s="117" t="str">
        <f t="shared" si="132"/>
        <v>no</v>
      </c>
      <c r="K779" s="120" t="s">
        <v>1437</v>
      </c>
      <c r="L779" s="117" t="str">
        <f t="shared" si="129"/>
        <v>detailed</v>
      </c>
      <c r="M779" s="117" t="str">
        <f t="shared" si="133"/>
        <v>detailed Mining</v>
      </c>
      <c r="N779" s="89">
        <v>2984000</v>
      </c>
      <c r="O779" s="89"/>
      <c r="P779" s="89"/>
      <c r="Q779" s="89"/>
      <c r="R779" s="89"/>
      <c r="S779" s="120" t="s">
        <v>610</v>
      </c>
      <c r="T779" s="119"/>
      <c r="V779" s="117" t="s">
        <v>847</v>
      </c>
      <c r="W779" s="89"/>
      <c r="AA779" s="117"/>
      <c r="AB779" s="117"/>
      <c r="AC779" s="462"/>
      <c r="AD779" s="462"/>
      <c r="AE779" s="462"/>
      <c r="AF779" s="463"/>
      <c r="AH779" s="493"/>
      <c r="AV779" s="128"/>
      <c r="AW779" s="117">
        <f>VLOOKUP($D779,'WB Data'!$C$3:$M$578,2,FALSE)</f>
        <v>148047348240.64334</v>
      </c>
      <c r="AX779" s="117">
        <f>VLOOKUP($D779,'WB Data'!$C$3:$M$578,3,FALSE)</f>
        <v>16321581</v>
      </c>
      <c r="AY779" s="847" t="str">
        <f t="shared" si="135"/>
        <v>..</v>
      </c>
      <c r="AZ779" s="117" t="e">
        <f>VLOOKUP($D779,'WB Data'!$C$3:$M$578,4,FALSE)/100</f>
        <v>#VALUE!</v>
      </c>
      <c r="BA779" s="117" t="str">
        <f t="shared" si="136"/>
        <v>..</v>
      </c>
      <c r="BB779" s="129" t="str">
        <f>IFERROR(VLOOKUP($D779,'EITI Revenues'!$C$2:$G$224,5,FALSE),"..")</f>
        <v>..</v>
      </c>
      <c r="BC779" s="846" t="str">
        <f t="shared" si="137"/>
        <v>..</v>
      </c>
      <c r="BD779" s="129">
        <f>VLOOKUP($D779,'WB Data 2'!$C$2:$K$545,6,FALSE)</f>
        <v>50455901483.121315</v>
      </c>
      <c r="BE779" s="129">
        <f>IFERROR(VLOOKUP($D779,UNCTAD!$C$5:$V$529,4,FALSE),"..")</f>
        <v>65510660000</v>
      </c>
      <c r="BF779" s="846">
        <f t="shared" si="138"/>
        <v>0.77019375904808951</v>
      </c>
      <c r="BG779" s="117">
        <f>VLOOKUP($D779,'WB Data'!$C$3:$M$578,5,FALSE)</f>
        <v>223930000</v>
      </c>
      <c r="BH779" s="129" t="str">
        <f>IFERROR($BB779/$BG779,"..")</f>
        <v>..</v>
      </c>
      <c r="BI779" s="117" t="str">
        <f>IFERROR(VLOOKUP($D779,'WB Data'!$C$3:$M$578,7,FALSE)/100,"..")</f>
        <v>..</v>
      </c>
      <c r="BJ779" s="117" t="str">
        <f>IFERROR($BI779*$AW779,"..")</f>
        <v>..</v>
      </c>
      <c r="BK779" s="846" t="str">
        <f>IFERROR($BB779/$BJ779,"..")</f>
        <v>..</v>
      </c>
      <c r="BL779" s="117" t="str">
        <f>IFERROR(VLOOKUP($D779,'WB Data'!$C$3:$M$578,7,FALSE)/100,"..")</f>
        <v>..</v>
      </c>
      <c r="BM779" s="117" t="str">
        <f>IFERROR($AW779*$BL779,"..")</f>
        <v>..</v>
      </c>
      <c r="BN779" s="846" t="str">
        <f>IFERROR($BB779/$BM779,"..")</f>
        <v>..</v>
      </c>
      <c r="BO779" s="801">
        <f t="shared" si="134"/>
        <v>29</v>
      </c>
      <c r="BP779" s="117">
        <f>VLOOKUP($D779,'WB Data'!$C$3:$M$578,9,FALSE)</f>
        <v>6.5</v>
      </c>
      <c r="BQ779" s="117">
        <f>VLOOKUP($D779,'WB Data'!$C$3:$M$578,10,FALSE)</f>
        <v>68.295365853658538</v>
      </c>
      <c r="BR779" s="117">
        <f>VLOOKUP($D779,'WB Data'!$C$3:$M$578,11,FALSE)</f>
        <v>19.3</v>
      </c>
      <c r="BS779" s="129">
        <f>IFERROR(VLOOKUP($D779,'WB Data 2'!$C$2:$K$545,9,FALSE),"..")</f>
        <v>97.410539999999997</v>
      </c>
      <c r="BT779" s="129">
        <f>_xlfn.IFNA(VLOOKUP($C779,RGI!$A$2:$C$43,2,FALSE),"..")</f>
        <v>77.5</v>
      </c>
      <c r="BU779" s="129">
        <f>_xlfn.IFNA(VLOOKUP($C779,RGI!$A$2:$C$43,3,FALSE),"..")</f>
        <v>57.362887635782535</v>
      </c>
      <c r="BV779" s="129">
        <f>VLOOKUP($D779,WGI!$C$2:$O$478,7,FALSE)</f>
        <v>-1.1020684613614</v>
      </c>
      <c r="BW779" s="129">
        <f>VLOOKUP($D779,WGI!$C$2:$O$478,4,FALSE)</f>
        <v>0.45235036310351401</v>
      </c>
      <c r="BX779" s="129">
        <f>VLOOKUP($D779,WGI!$C$2:$O$478,3,FALSE)</f>
        <v>-0.42554743484187901</v>
      </c>
      <c r="BY779" s="129">
        <f>VLOOKUP($D779,WGI!$C$2:$O$478,5,FALSE)</f>
        <v>-0.336527196038655</v>
      </c>
      <c r="BZ779" s="129">
        <f>VLOOKUP($D779,WGI!$C$2:$O$478,2,FALSE)</f>
        <v>-0.97534524891083396</v>
      </c>
      <c r="CB779" s="129"/>
    </row>
    <row r="780" spans="1:80" s="120" customFormat="1" ht="15" customHeight="1">
      <c r="A780" s="280" t="s">
        <v>275</v>
      </c>
      <c r="B780" s="117">
        <v>2010</v>
      </c>
      <c r="C780" s="117" t="s">
        <v>280</v>
      </c>
      <c r="D780" s="117" t="s">
        <v>3668</v>
      </c>
      <c r="E780" s="452" t="s">
        <v>39</v>
      </c>
      <c r="F780" s="117"/>
      <c r="G780" s="117" t="s">
        <v>24</v>
      </c>
      <c r="H780" s="117" t="str">
        <f t="shared" si="130"/>
        <v>yes</v>
      </c>
      <c r="I780" s="117" t="str">
        <f t="shared" si="131"/>
        <v>no</v>
      </c>
      <c r="J780" s="117" t="str">
        <f t="shared" si="132"/>
        <v>no</v>
      </c>
      <c r="K780" s="120" t="s">
        <v>1453</v>
      </c>
      <c r="L780" s="117" t="str">
        <f t="shared" si="129"/>
        <v>detailed</v>
      </c>
      <c r="M780" s="117" t="str">
        <f t="shared" si="133"/>
        <v>detailed Mining</v>
      </c>
      <c r="N780" s="89">
        <v>1500</v>
      </c>
      <c r="O780" s="89"/>
      <c r="P780" s="89"/>
      <c r="Q780" s="89"/>
      <c r="R780" s="89"/>
      <c r="S780" s="120" t="s">
        <v>610</v>
      </c>
      <c r="T780" s="119">
        <f>1.4/0.000453592</f>
        <v>3086.4741882572885</v>
      </c>
      <c r="U780" s="120" t="s">
        <v>611</v>
      </c>
      <c r="V780" s="117" t="s">
        <v>1454</v>
      </c>
      <c r="W780" s="89">
        <f>N780*T780</f>
        <v>4629711.2823859323</v>
      </c>
      <c r="AA780" s="117"/>
      <c r="AB780" s="117"/>
      <c r="AC780" s="462"/>
      <c r="AD780" s="462"/>
      <c r="AE780" s="462"/>
      <c r="AF780" s="463"/>
      <c r="AH780" s="493"/>
      <c r="AV780" s="128"/>
      <c r="AW780" s="117">
        <f>VLOOKUP($D780,'WB Data'!$C$3:$M$578,2,FALSE)</f>
        <v>148047348240.64334</v>
      </c>
      <c r="AX780" s="117">
        <f>VLOOKUP($D780,'WB Data'!$C$3:$M$578,3,FALSE)</f>
        <v>16321581</v>
      </c>
      <c r="AY780" s="847" t="str">
        <f t="shared" si="135"/>
        <v>..</v>
      </c>
      <c r="AZ780" s="117" t="e">
        <f>VLOOKUP($D780,'WB Data'!$C$3:$M$578,4,FALSE)/100</f>
        <v>#VALUE!</v>
      </c>
      <c r="BA780" s="117" t="str">
        <f t="shared" si="136"/>
        <v>..</v>
      </c>
      <c r="BB780" s="129" t="str">
        <f>IFERROR(VLOOKUP($D780,'EITI Revenues'!$C$2:$G$224,5,FALSE),"..")</f>
        <v>..</v>
      </c>
      <c r="BC780" s="846" t="str">
        <f t="shared" si="137"/>
        <v>..</v>
      </c>
      <c r="BD780" s="129">
        <f>VLOOKUP($D780,'WB Data 2'!$C$2:$K$545,6,FALSE)</f>
        <v>50455901483.121315</v>
      </c>
      <c r="BE780" s="129">
        <f>IFERROR(VLOOKUP($D780,UNCTAD!$C$5:$V$529,4,FALSE),"..")</f>
        <v>65510660000</v>
      </c>
      <c r="BF780" s="846">
        <f t="shared" si="138"/>
        <v>0.77019375904808951</v>
      </c>
      <c r="BG780" s="117">
        <f>VLOOKUP($D780,'WB Data'!$C$3:$M$578,5,FALSE)</f>
        <v>223930000</v>
      </c>
      <c r="BH780" s="129" t="str">
        <f>IFERROR($BB780/$BG780,"..")</f>
        <v>..</v>
      </c>
      <c r="BI780" s="117" t="str">
        <f>IFERROR(VLOOKUP($D780,'WB Data'!$C$3:$M$578,7,FALSE)/100,"..")</f>
        <v>..</v>
      </c>
      <c r="BJ780" s="117" t="str">
        <f>IFERROR($BI780*$AW780,"..")</f>
        <v>..</v>
      </c>
      <c r="BK780" s="846" t="str">
        <f>IFERROR($BB780/$BJ780,"..")</f>
        <v>..</v>
      </c>
      <c r="BL780" s="117" t="str">
        <f>IFERROR(VLOOKUP($D780,'WB Data'!$C$3:$M$578,7,FALSE)/100,"..")</f>
        <v>..</v>
      </c>
      <c r="BM780" s="117" t="str">
        <f>IFERROR($AW780*$BL780,"..")</f>
        <v>..</v>
      </c>
      <c r="BN780" s="846" t="str">
        <f>IFERROR($BB780/$BM780,"..")</f>
        <v>..</v>
      </c>
      <c r="BO780" s="801">
        <f t="shared" si="134"/>
        <v>29</v>
      </c>
      <c r="BP780" s="117">
        <f>VLOOKUP($D780,'WB Data'!$C$3:$M$578,9,FALSE)</f>
        <v>6.5</v>
      </c>
      <c r="BQ780" s="117">
        <f>VLOOKUP($D780,'WB Data'!$C$3:$M$578,10,FALSE)</f>
        <v>68.295365853658538</v>
      </c>
      <c r="BR780" s="117">
        <f>VLOOKUP($D780,'WB Data'!$C$3:$M$578,11,FALSE)</f>
        <v>19.3</v>
      </c>
      <c r="BS780" s="129">
        <f>IFERROR(VLOOKUP($D780,'WB Data 2'!$C$2:$K$545,9,FALSE),"..")</f>
        <v>97.410539999999997</v>
      </c>
      <c r="BT780" s="129">
        <f>_xlfn.IFNA(VLOOKUP($C780,RGI!$A$2:$C$43,2,FALSE),"..")</f>
        <v>77.5</v>
      </c>
      <c r="BU780" s="129">
        <f>_xlfn.IFNA(VLOOKUP($C780,RGI!$A$2:$C$43,3,FALSE),"..")</f>
        <v>57.362887635782535</v>
      </c>
      <c r="BV780" s="129">
        <f>VLOOKUP($D780,WGI!$C$2:$O$478,7,FALSE)</f>
        <v>-1.1020684613614</v>
      </c>
      <c r="BW780" s="129">
        <f>VLOOKUP($D780,WGI!$C$2:$O$478,4,FALSE)</f>
        <v>0.45235036310351401</v>
      </c>
      <c r="BX780" s="129">
        <f>VLOOKUP($D780,WGI!$C$2:$O$478,3,FALSE)</f>
        <v>-0.42554743484187901</v>
      </c>
      <c r="BY780" s="129">
        <f>VLOOKUP($D780,WGI!$C$2:$O$478,5,FALSE)</f>
        <v>-0.336527196038655</v>
      </c>
      <c r="BZ780" s="129">
        <f>VLOOKUP($D780,WGI!$C$2:$O$478,2,FALSE)</f>
        <v>-0.97534524891083396</v>
      </c>
      <c r="CB780" s="129"/>
    </row>
    <row r="781" spans="1:80" s="120" customFormat="1" ht="15" customHeight="1">
      <c r="A781" s="280" t="s">
        <v>275</v>
      </c>
      <c r="B781" s="117">
        <v>2010</v>
      </c>
      <c r="C781" s="117" t="s">
        <v>280</v>
      </c>
      <c r="D781" s="117" t="s">
        <v>3668</v>
      </c>
      <c r="E781" s="452" t="s">
        <v>39</v>
      </c>
      <c r="F781" s="117"/>
      <c r="G781" s="117" t="s">
        <v>24</v>
      </c>
      <c r="H781" s="117" t="str">
        <f t="shared" si="130"/>
        <v>yes</v>
      </c>
      <c r="I781" s="117" t="str">
        <f t="shared" si="131"/>
        <v>no</v>
      </c>
      <c r="J781" s="117" t="str">
        <f t="shared" si="132"/>
        <v>no</v>
      </c>
      <c r="K781" s="120" t="s">
        <v>1438</v>
      </c>
      <c r="L781" s="117" t="str">
        <f t="shared" si="129"/>
        <v>detailed</v>
      </c>
      <c r="M781" s="117" t="str">
        <f t="shared" si="133"/>
        <v>detailed Mining</v>
      </c>
      <c r="N781" s="89">
        <v>14500</v>
      </c>
      <c r="O781" s="89"/>
      <c r="P781" s="89"/>
      <c r="Q781" s="89"/>
      <c r="R781" s="89"/>
      <c r="S781" s="120" t="s">
        <v>610</v>
      </c>
      <c r="T781" s="119">
        <v>10740</v>
      </c>
      <c r="U781" s="120" t="s">
        <v>611</v>
      </c>
      <c r="V781" s="117" t="s">
        <v>1439</v>
      </c>
      <c r="W781" s="89">
        <f>N781*T781</f>
        <v>155730000</v>
      </c>
      <c r="AA781" s="117"/>
      <c r="AB781" s="117"/>
      <c r="AC781" s="462"/>
      <c r="AD781" s="462"/>
      <c r="AE781" s="462"/>
      <c r="AF781" s="463"/>
      <c r="AH781" s="493"/>
      <c r="AV781" s="128"/>
      <c r="AW781" s="117">
        <f>VLOOKUP($D781,'WB Data'!$C$3:$M$578,2,FALSE)</f>
        <v>148047348240.64334</v>
      </c>
      <c r="AX781" s="117">
        <f>VLOOKUP($D781,'WB Data'!$C$3:$M$578,3,FALSE)</f>
        <v>16321581</v>
      </c>
      <c r="AY781" s="847" t="str">
        <f t="shared" si="135"/>
        <v>..</v>
      </c>
      <c r="AZ781" s="117" t="e">
        <f>VLOOKUP($D781,'WB Data'!$C$3:$M$578,4,FALSE)/100</f>
        <v>#VALUE!</v>
      </c>
      <c r="BA781" s="117" t="str">
        <f t="shared" si="136"/>
        <v>..</v>
      </c>
      <c r="BB781" s="129" t="str">
        <f>IFERROR(VLOOKUP($D781,'EITI Revenues'!$C$2:$G$224,5,FALSE),"..")</f>
        <v>..</v>
      </c>
      <c r="BC781" s="846" t="str">
        <f t="shared" si="137"/>
        <v>..</v>
      </c>
      <c r="BD781" s="129">
        <f>VLOOKUP($D781,'WB Data 2'!$C$2:$K$545,6,FALSE)</f>
        <v>50455901483.121315</v>
      </c>
      <c r="BE781" s="129">
        <f>IFERROR(VLOOKUP($D781,UNCTAD!$C$5:$V$529,4,FALSE),"..")</f>
        <v>65510660000</v>
      </c>
      <c r="BF781" s="846">
        <f t="shared" si="138"/>
        <v>0.77019375904808951</v>
      </c>
      <c r="BG781" s="117">
        <f>VLOOKUP($D781,'WB Data'!$C$3:$M$578,5,FALSE)</f>
        <v>223930000</v>
      </c>
      <c r="BH781" s="129" t="str">
        <f>IFERROR($BB781/$BG781,"..")</f>
        <v>..</v>
      </c>
      <c r="BI781" s="117" t="str">
        <f>IFERROR(VLOOKUP($D781,'WB Data'!$C$3:$M$578,7,FALSE)/100,"..")</f>
        <v>..</v>
      </c>
      <c r="BJ781" s="117" t="str">
        <f>IFERROR($BI781*$AW781,"..")</f>
        <v>..</v>
      </c>
      <c r="BK781" s="846" t="str">
        <f>IFERROR($BB781/$BJ781,"..")</f>
        <v>..</v>
      </c>
      <c r="BL781" s="117" t="str">
        <f>IFERROR(VLOOKUP($D781,'WB Data'!$C$3:$M$578,7,FALSE)/100,"..")</f>
        <v>..</v>
      </c>
      <c r="BM781" s="117" t="str">
        <f>IFERROR($AW781*$BL781,"..")</f>
        <v>..</v>
      </c>
      <c r="BN781" s="846" t="str">
        <f>IFERROR($BB781/$BM781,"..")</f>
        <v>..</v>
      </c>
      <c r="BO781" s="801">
        <f t="shared" si="134"/>
        <v>29</v>
      </c>
      <c r="BP781" s="117">
        <f>VLOOKUP($D781,'WB Data'!$C$3:$M$578,9,FALSE)</f>
        <v>6.5</v>
      </c>
      <c r="BQ781" s="117">
        <f>VLOOKUP($D781,'WB Data'!$C$3:$M$578,10,FALSE)</f>
        <v>68.295365853658538</v>
      </c>
      <c r="BR781" s="117">
        <f>VLOOKUP($D781,'WB Data'!$C$3:$M$578,11,FALSE)</f>
        <v>19.3</v>
      </c>
      <c r="BS781" s="129">
        <f>IFERROR(VLOOKUP($D781,'WB Data 2'!$C$2:$K$545,9,FALSE),"..")</f>
        <v>97.410539999999997</v>
      </c>
      <c r="BT781" s="129">
        <f>_xlfn.IFNA(VLOOKUP($C781,RGI!$A$2:$C$43,2,FALSE),"..")</f>
        <v>77.5</v>
      </c>
      <c r="BU781" s="129">
        <f>_xlfn.IFNA(VLOOKUP($C781,RGI!$A$2:$C$43,3,FALSE),"..")</f>
        <v>57.362887635782535</v>
      </c>
      <c r="BV781" s="129">
        <f>VLOOKUP($D781,WGI!$C$2:$O$478,7,FALSE)</f>
        <v>-1.1020684613614</v>
      </c>
      <c r="BW781" s="129">
        <f>VLOOKUP($D781,WGI!$C$2:$O$478,4,FALSE)</f>
        <v>0.45235036310351401</v>
      </c>
      <c r="BX781" s="129">
        <f>VLOOKUP($D781,WGI!$C$2:$O$478,3,FALSE)</f>
        <v>-0.42554743484187901</v>
      </c>
      <c r="BY781" s="129">
        <f>VLOOKUP($D781,WGI!$C$2:$O$478,5,FALSE)</f>
        <v>-0.336527196038655</v>
      </c>
      <c r="BZ781" s="129">
        <f>VLOOKUP($D781,WGI!$C$2:$O$478,2,FALSE)</f>
        <v>-0.97534524891083396</v>
      </c>
      <c r="CB781" s="129"/>
    </row>
    <row r="782" spans="1:80" s="120" customFormat="1" ht="15" customHeight="1">
      <c r="A782" s="280" t="s">
        <v>275</v>
      </c>
      <c r="B782" s="117">
        <v>2010</v>
      </c>
      <c r="C782" s="117" t="s">
        <v>280</v>
      </c>
      <c r="D782" s="117" t="s">
        <v>3668</v>
      </c>
      <c r="E782" s="452" t="s">
        <v>39</v>
      </c>
      <c r="F782" s="117"/>
      <c r="G782" s="117" t="s">
        <v>24</v>
      </c>
      <c r="H782" s="117" t="str">
        <f t="shared" si="130"/>
        <v>yes</v>
      </c>
      <c r="I782" s="117" t="str">
        <f t="shared" si="131"/>
        <v>no</v>
      </c>
      <c r="J782" s="117" t="str">
        <f t="shared" si="132"/>
        <v>no</v>
      </c>
      <c r="K782" s="120" t="s">
        <v>1455</v>
      </c>
      <c r="L782" s="117" t="str">
        <f t="shared" si="129"/>
        <v>detailed</v>
      </c>
      <c r="M782" s="117" t="str">
        <f t="shared" si="133"/>
        <v>detailed Mining</v>
      </c>
      <c r="N782" s="89">
        <v>17803</v>
      </c>
      <c r="O782" s="89"/>
      <c r="P782" s="89"/>
      <c r="Q782" s="89"/>
      <c r="R782" s="89"/>
      <c r="S782" s="120" t="s">
        <v>610</v>
      </c>
      <c r="T782" s="119"/>
      <c r="V782" s="117" t="s">
        <v>847</v>
      </c>
      <c r="W782" s="89"/>
      <c r="AA782" s="117"/>
      <c r="AB782" s="117"/>
      <c r="AC782" s="462"/>
      <c r="AD782" s="462"/>
      <c r="AE782" s="462"/>
      <c r="AF782" s="463"/>
      <c r="AH782" s="493"/>
      <c r="AV782" s="128"/>
      <c r="AW782" s="117">
        <f>VLOOKUP($D782,'WB Data'!$C$3:$M$578,2,FALSE)</f>
        <v>148047348240.64334</v>
      </c>
      <c r="AX782" s="117">
        <f>VLOOKUP($D782,'WB Data'!$C$3:$M$578,3,FALSE)</f>
        <v>16321581</v>
      </c>
      <c r="AY782" s="847" t="str">
        <f t="shared" si="135"/>
        <v>..</v>
      </c>
      <c r="AZ782" s="117" t="e">
        <f>VLOOKUP($D782,'WB Data'!$C$3:$M$578,4,FALSE)/100</f>
        <v>#VALUE!</v>
      </c>
      <c r="BA782" s="117" t="str">
        <f t="shared" si="136"/>
        <v>..</v>
      </c>
      <c r="BB782" s="129" t="str">
        <f>IFERROR(VLOOKUP($D782,'EITI Revenues'!$C$2:$G$224,5,FALSE),"..")</f>
        <v>..</v>
      </c>
      <c r="BC782" s="846" t="str">
        <f t="shared" si="137"/>
        <v>..</v>
      </c>
      <c r="BD782" s="129">
        <f>VLOOKUP($D782,'WB Data 2'!$C$2:$K$545,6,FALSE)</f>
        <v>50455901483.121315</v>
      </c>
      <c r="BE782" s="129">
        <f>IFERROR(VLOOKUP($D782,UNCTAD!$C$5:$V$529,4,FALSE),"..")</f>
        <v>65510660000</v>
      </c>
      <c r="BF782" s="846">
        <f t="shared" si="138"/>
        <v>0.77019375904808951</v>
      </c>
      <c r="BG782" s="117">
        <f>VLOOKUP($D782,'WB Data'!$C$3:$M$578,5,FALSE)</f>
        <v>223930000</v>
      </c>
      <c r="BH782" s="129" t="str">
        <f>IFERROR($BB782/$BG782,"..")</f>
        <v>..</v>
      </c>
      <c r="BI782" s="117" t="str">
        <f>IFERROR(VLOOKUP($D782,'WB Data'!$C$3:$M$578,7,FALSE)/100,"..")</f>
        <v>..</v>
      </c>
      <c r="BJ782" s="117" t="str">
        <f>IFERROR($BI782*$AW782,"..")</f>
        <v>..</v>
      </c>
      <c r="BK782" s="846" t="str">
        <f>IFERROR($BB782/$BJ782,"..")</f>
        <v>..</v>
      </c>
      <c r="BL782" s="117" t="str">
        <f>IFERROR(VLOOKUP($D782,'WB Data'!$C$3:$M$578,7,FALSE)/100,"..")</f>
        <v>..</v>
      </c>
      <c r="BM782" s="117" t="str">
        <f>IFERROR($AW782*$BL782,"..")</f>
        <v>..</v>
      </c>
      <c r="BN782" s="846" t="str">
        <f>IFERROR($BB782/$BM782,"..")</f>
        <v>..</v>
      </c>
      <c r="BO782" s="801">
        <f t="shared" si="134"/>
        <v>29</v>
      </c>
      <c r="BP782" s="117">
        <f>VLOOKUP($D782,'WB Data'!$C$3:$M$578,9,FALSE)</f>
        <v>6.5</v>
      </c>
      <c r="BQ782" s="117">
        <f>VLOOKUP($D782,'WB Data'!$C$3:$M$578,10,FALSE)</f>
        <v>68.295365853658538</v>
      </c>
      <c r="BR782" s="117">
        <f>VLOOKUP($D782,'WB Data'!$C$3:$M$578,11,FALSE)</f>
        <v>19.3</v>
      </c>
      <c r="BS782" s="129">
        <f>IFERROR(VLOOKUP($D782,'WB Data 2'!$C$2:$K$545,9,FALSE),"..")</f>
        <v>97.410539999999997</v>
      </c>
      <c r="BT782" s="129">
        <f>_xlfn.IFNA(VLOOKUP($C782,RGI!$A$2:$C$43,2,FALSE),"..")</f>
        <v>77.5</v>
      </c>
      <c r="BU782" s="129">
        <f>_xlfn.IFNA(VLOOKUP($C782,RGI!$A$2:$C$43,3,FALSE),"..")</f>
        <v>57.362887635782535</v>
      </c>
      <c r="BV782" s="129">
        <f>VLOOKUP($D782,WGI!$C$2:$O$478,7,FALSE)</f>
        <v>-1.1020684613614</v>
      </c>
      <c r="BW782" s="129">
        <f>VLOOKUP($D782,WGI!$C$2:$O$478,4,FALSE)</f>
        <v>0.45235036310351401</v>
      </c>
      <c r="BX782" s="129">
        <f>VLOOKUP($D782,WGI!$C$2:$O$478,3,FALSE)</f>
        <v>-0.42554743484187901</v>
      </c>
      <c r="BY782" s="129">
        <f>VLOOKUP($D782,WGI!$C$2:$O$478,5,FALSE)</f>
        <v>-0.336527196038655</v>
      </c>
      <c r="BZ782" s="129">
        <f>VLOOKUP($D782,WGI!$C$2:$O$478,2,FALSE)</f>
        <v>-0.97534524891083396</v>
      </c>
      <c r="CB782" s="129"/>
    </row>
    <row r="783" spans="1:80" s="120" customFormat="1" ht="15" customHeight="1">
      <c r="A783" s="280" t="s">
        <v>275</v>
      </c>
      <c r="B783" s="117">
        <v>2010</v>
      </c>
      <c r="C783" s="117" t="s">
        <v>280</v>
      </c>
      <c r="D783" s="117" t="s">
        <v>3668</v>
      </c>
      <c r="E783" s="452" t="s">
        <v>39</v>
      </c>
      <c r="F783" s="117"/>
      <c r="G783" s="117" t="s">
        <v>24</v>
      </c>
      <c r="H783" s="117" t="str">
        <f t="shared" si="130"/>
        <v>yes</v>
      </c>
      <c r="I783" s="117" t="str">
        <f t="shared" si="131"/>
        <v>no</v>
      </c>
      <c r="J783" s="117" t="str">
        <f t="shared" si="132"/>
        <v>no</v>
      </c>
      <c r="K783" s="120" t="s">
        <v>1456</v>
      </c>
      <c r="L783" s="117" t="str">
        <f t="shared" si="129"/>
        <v>detailed</v>
      </c>
      <c r="M783" s="117" t="str">
        <f t="shared" si="133"/>
        <v>detailed Mining</v>
      </c>
      <c r="N783" s="89">
        <v>20995</v>
      </c>
      <c r="O783" s="89"/>
      <c r="P783" s="89"/>
      <c r="Q783" s="89"/>
      <c r="R783" s="89"/>
      <c r="S783" s="120" t="s">
        <v>610</v>
      </c>
      <c r="T783" s="119"/>
      <c r="V783" s="117" t="s">
        <v>847</v>
      </c>
      <c r="W783" s="89"/>
      <c r="AA783" s="117"/>
      <c r="AB783" s="117"/>
      <c r="AC783" s="462"/>
      <c r="AD783" s="462"/>
      <c r="AE783" s="462"/>
      <c r="AF783" s="463"/>
      <c r="AH783" s="493"/>
      <c r="AV783" s="128"/>
      <c r="AW783" s="117">
        <f>VLOOKUP($D783,'WB Data'!$C$3:$M$578,2,FALSE)</f>
        <v>148047348240.64334</v>
      </c>
      <c r="AX783" s="117">
        <f>VLOOKUP($D783,'WB Data'!$C$3:$M$578,3,FALSE)</f>
        <v>16321581</v>
      </c>
      <c r="AY783" s="847" t="str">
        <f t="shared" si="135"/>
        <v>..</v>
      </c>
      <c r="AZ783" s="117" t="e">
        <f>VLOOKUP($D783,'WB Data'!$C$3:$M$578,4,FALSE)/100</f>
        <v>#VALUE!</v>
      </c>
      <c r="BA783" s="117" t="str">
        <f t="shared" si="136"/>
        <v>..</v>
      </c>
      <c r="BB783" s="129" t="str">
        <f>IFERROR(VLOOKUP($D783,'EITI Revenues'!$C$2:$G$224,5,FALSE),"..")</f>
        <v>..</v>
      </c>
      <c r="BC783" s="846" t="str">
        <f t="shared" si="137"/>
        <v>..</v>
      </c>
      <c r="BD783" s="129">
        <f>VLOOKUP($D783,'WB Data 2'!$C$2:$K$545,6,FALSE)</f>
        <v>50455901483.121315</v>
      </c>
      <c r="BE783" s="129">
        <f>IFERROR(VLOOKUP($D783,UNCTAD!$C$5:$V$529,4,FALSE),"..")</f>
        <v>65510660000</v>
      </c>
      <c r="BF783" s="846">
        <f t="shared" si="138"/>
        <v>0.77019375904808951</v>
      </c>
      <c r="BG783" s="117">
        <f>VLOOKUP($D783,'WB Data'!$C$3:$M$578,5,FALSE)</f>
        <v>223930000</v>
      </c>
      <c r="BH783" s="129" t="str">
        <f>IFERROR($BB783/$BG783,"..")</f>
        <v>..</v>
      </c>
      <c r="BI783" s="117" t="str">
        <f>IFERROR(VLOOKUP($D783,'WB Data'!$C$3:$M$578,7,FALSE)/100,"..")</f>
        <v>..</v>
      </c>
      <c r="BJ783" s="117" t="str">
        <f>IFERROR($BI783*$AW783,"..")</f>
        <v>..</v>
      </c>
      <c r="BK783" s="846" t="str">
        <f>IFERROR($BB783/$BJ783,"..")</f>
        <v>..</v>
      </c>
      <c r="BL783" s="117" t="str">
        <f>IFERROR(VLOOKUP($D783,'WB Data'!$C$3:$M$578,7,FALSE)/100,"..")</f>
        <v>..</v>
      </c>
      <c r="BM783" s="117" t="str">
        <f>IFERROR($AW783*$BL783,"..")</f>
        <v>..</v>
      </c>
      <c r="BN783" s="846" t="str">
        <f>IFERROR($BB783/$BM783,"..")</f>
        <v>..</v>
      </c>
      <c r="BO783" s="801">
        <f t="shared" si="134"/>
        <v>29</v>
      </c>
      <c r="BP783" s="117">
        <f>VLOOKUP($D783,'WB Data'!$C$3:$M$578,9,FALSE)</f>
        <v>6.5</v>
      </c>
      <c r="BQ783" s="117">
        <f>VLOOKUP($D783,'WB Data'!$C$3:$M$578,10,FALSE)</f>
        <v>68.295365853658538</v>
      </c>
      <c r="BR783" s="117">
        <f>VLOOKUP($D783,'WB Data'!$C$3:$M$578,11,FALSE)</f>
        <v>19.3</v>
      </c>
      <c r="BS783" s="129">
        <f>IFERROR(VLOOKUP($D783,'WB Data 2'!$C$2:$K$545,9,FALSE),"..")</f>
        <v>97.410539999999997</v>
      </c>
      <c r="BT783" s="129">
        <f>_xlfn.IFNA(VLOOKUP($C783,RGI!$A$2:$C$43,2,FALSE),"..")</f>
        <v>77.5</v>
      </c>
      <c r="BU783" s="129">
        <f>_xlfn.IFNA(VLOOKUP($C783,RGI!$A$2:$C$43,3,FALSE),"..")</f>
        <v>57.362887635782535</v>
      </c>
      <c r="BV783" s="129">
        <f>VLOOKUP($D783,WGI!$C$2:$O$478,7,FALSE)</f>
        <v>-1.1020684613614</v>
      </c>
      <c r="BW783" s="129">
        <f>VLOOKUP($D783,WGI!$C$2:$O$478,4,FALSE)</f>
        <v>0.45235036310351401</v>
      </c>
      <c r="BX783" s="129">
        <f>VLOOKUP($D783,WGI!$C$2:$O$478,3,FALSE)</f>
        <v>-0.42554743484187901</v>
      </c>
      <c r="BY783" s="129">
        <f>VLOOKUP($D783,WGI!$C$2:$O$478,5,FALSE)</f>
        <v>-0.336527196038655</v>
      </c>
      <c r="BZ783" s="129">
        <f>VLOOKUP($D783,WGI!$C$2:$O$478,2,FALSE)</f>
        <v>-0.97534524891083396</v>
      </c>
      <c r="CB783" s="129"/>
    </row>
    <row r="784" spans="1:80" s="120" customFormat="1" ht="15" customHeight="1">
      <c r="A784" s="280" t="s">
        <v>275</v>
      </c>
      <c r="B784" s="117">
        <v>2010</v>
      </c>
      <c r="C784" s="117" t="s">
        <v>280</v>
      </c>
      <c r="D784" s="117" t="s">
        <v>3668</v>
      </c>
      <c r="E784" s="452" t="s">
        <v>39</v>
      </c>
      <c r="F784" s="117"/>
      <c r="G784" s="117" t="s">
        <v>24</v>
      </c>
      <c r="H784" s="117" t="str">
        <f t="shared" si="130"/>
        <v>yes</v>
      </c>
      <c r="I784" s="117" t="str">
        <f t="shared" si="131"/>
        <v>no</v>
      </c>
      <c r="J784" s="117" t="str">
        <f t="shared" si="132"/>
        <v>no</v>
      </c>
      <c r="K784" s="120" t="s">
        <v>849</v>
      </c>
      <c r="L784" s="117" t="str">
        <f t="shared" si="129"/>
        <v>detailed</v>
      </c>
      <c r="M784" s="117" t="str">
        <f t="shared" si="133"/>
        <v>detailed Mining</v>
      </c>
      <c r="N784" s="89"/>
      <c r="O784" s="89"/>
      <c r="P784" s="89"/>
      <c r="Q784" s="89"/>
      <c r="R784" s="89"/>
      <c r="T784" s="186">
        <f>2160.74325</f>
        <v>2160.74325</v>
      </c>
      <c r="U784" s="117" t="s">
        <v>611</v>
      </c>
      <c r="V784" s="117" t="s">
        <v>1440</v>
      </c>
      <c r="W784" s="89">
        <f>N786*T784</f>
        <v>688970271.20850003</v>
      </c>
      <c r="AA784" s="117"/>
      <c r="AB784" s="117"/>
      <c r="AC784" s="462"/>
      <c r="AD784" s="462"/>
      <c r="AE784" s="462"/>
      <c r="AF784" s="463"/>
      <c r="AH784" s="493"/>
      <c r="AV784" s="128"/>
      <c r="AW784" s="117">
        <f>VLOOKUP($D784,'WB Data'!$C$3:$M$578,2,FALSE)</f>
        <v>148047348240.64334</v>
      </c>
      <c r="AX784" s="117">
        <f>VLOOKUP($D784,'WB Data'!$C$3:$M$578,3,FALSE)</f>
        <v>16321581</v>
      </c>
      <c r="AY784" s="847" t="str">
        <f t="shared" si="135"/>
        <v>..</v>
      </c>
      <c r="AZ784" s="117" t="e">
        <f>VLOOKUP($D784,'WB Data'!$C$3:$M$578,4,FALSE)/100</f>
        <v>#VALUE!</v>
      </c>
      <c r="BA784" s="117" t="str">
        <f t="shared" si="136"/>
        <v>..</v>
      </c>
      <c r="BB784" s="129" t="str">
        <f>IFERROR(VLOOKUP($D784,'EITI Revenues'!$C$2:$G$224,5,FALSE),"..")</f>
        <v>..</v>
      </c>
      <c r="BC784" s="846" t="str">
        <f t="shared" si="137"/>
        <v>..</v>
      </c>
      <c r="BD784" s="129">
        <f>VLOOKUP($D784,'WB Data 2'!$C$2:$K$545,6,FALSE)</f>
        <v>50455901483.121315</v>
      </c>
      <c r="BE784" s="129">
        <f>IFERROR(VLOOKUP($D784,UNCTAD!$C$5:$V$529,4,FALSE),"..")</f>
        <v>65510660000</v>
      </c>
      <c r="BF784" s="846">
        <f t="shared" si="138"/>
        <v>0.77019375904808951</v>
      </c>
      <c r="BG784" s="117">
        <f>VLOOKUP($D784,'WB Data'!$C$3:$M$578,5,FALSE)</f>
        <v>223930000</v>
      </c>
      <c r="BH784" s="129" t="str">
        <f>IFERROR($BB784/$BG784,"..")</f>
        <v>..</v>
      </c>
      <c r="BI784" s="117" t="str">
        <f>IFERROR(VLOOKUP($D784,'WB Data'!$C$3:$M$578,7,FALSE)/100,"..")</f>
        <v>..</v>
      </c>
      <c r="BJ784" s="117" t="str">
        <f>IFERROR($BI784*$AW784,"..")</f>
        <v>..</v>
      </c>
      <c r="BK784" s="846" t="str">
        <f>IFERROR($BB784/$BJ784,"..")</f>
        <v>..</v>
      </c>
      <c r="BL784" s="117" t="str">
        <f>IFERROR(VLOOKUP($D784,'WB Data'!$C$3:$M$578,7,FALSE)/100,"..")</f>
        <v>..</v>
      </c>
      <c r="BM784" s="117" t="str">
        <f>IFERROR($AW784*$BL784,"..")</f>
        <v>..</v>
      </c>
      <c r="BN784" s="846" t="str">
        <f>IFERROR($BB784/$BM784,"..")</f>
        <v>..</v>
      </c>
      <c r="BO784" s="801">
        <f t="shared" si="134"/>
        <v>29</v>
      </c>
      <c r="BP784" s="117">
        <f>VLOOKUP($D784,'WB Data'!$C$3:$M$578,9,FALSE)</f>
        <v>6.5</v>
      </c>
      <c r="BQ784" s="117">
        <f>VLOOKUP($D784,'WB Data'!$C$3:$M$578,10,FALSE)</f>
        <v>68.295365853658538</v>
      </c>
      <c r="BR784" s="117">
        <f>VLOOKUP($D784,'WB Data'!$C$3:$M$578,11,FALSE)</f>
        <v>19.3</v>
      </c>
      <c r="BS784" s="129">
        <f>IFERROR(VLOOKUP($D784,'WB Data 2'!$C$2:$K$545,9,FALSE),"..")</f>
        <v>97.410539999999997</v>
      </c>
      <c r="BT784" s="129">
        <f>_xlfn.IFNA(VLOOKUP($C784,RGI!$A$2:$C$43,2,FALSE),"..")</f>
        <v>77.5</v>
      </c>
      <c r="BU784" s="129">
        <f>_xlfn.IFNA(VLOOKUP($C784,RGI!$A$2:$C$43,3,FALSE),"..")</f>
        <v>57.362887635782535</v>
      </c>
      <c r="BV784" s="129">
        <f>VLOOKUP($D784,WGI!$C$2:$O$478,7,FALSE)</f>
        <v>-1.1020684613614</v>
      </c>
      <c r="BW784" s="129">
        <f>VLOOKUP($D784,WGI!$C$2:$O$478,4,FALSE)</f>
        <v>0.45235036310351401</v>
      </c>
      <c r="BX784" s="129">
        <f>VLOOKUP($D784,WGI!$C$2:$O$478,3,FALSE)</f>
        <v>-0.42554743484187901</v>
      </c>
      <c r="BY784" s="129">
        <f>VLOOKUP($D784,WGI!$C$2:$O$478,5,FALSE)</f>
        <v>-0.336527196038655</v>
      </c>
      <c r="BZ784" s="129">
        <f>VLOOKUP($D784,WGI!$C$2:$O$478,2,FALSE)</f>
        <v>-0.97534524891083396</v>
      </c>
      <c r="CB784" s="129"/>
    </row>
    <row r="785" spans="1:80" s="120" customFormat="1" ht="15" customHeight="1">
      <c r="A785" s="280" t="s">
        <v>275</v>
      </c>
      <c r="B785" s="117">
        <v>2010</v>
      </c>
      <c r="C785" s="117" t="s">
        <v>280</v>
      </c>
      <c r="D785" s="117" t="s">
        <v>3668</v>
      </c>
      <c r="E785" s="452" t="s">
        <v>39</v>
      </c>
      <c r="F785" s="117"/>
      <c r="G785" s="117" t="s">
        <v>24</v>
      </c>
      <c r="H785" s="117" t="str">
        <f t="shared" si="130"/>
        <v>yes</v>
      </c>
      <c r="I785" s="117" t="str">
        <f t="shared" si="131"/>
        <v>no</v>
      </c>
      <c r="J785" s="117" t="str">
        <f t="shared" si="132"/>
        <v>no</v>
      </c>
      <c r="K785" s="120" t="s">
        <v>1441</v>
      </c>
      <c r="L785" s="117" t="str">
        <f t="shared" ref="L785:L824" si="139">IF(LEFT(K785,5)="Total","Total","detailed")</f>
        <v>detailed</v>
      </c>
      <c r="M785" s="117" t="str">
        <f t="shared" si="133"/>
        <v>detailed Mining</v>
      </c>
      <c r="N785" s="89">
        <v>440000</v>
      </c>
      <c r="O785" s="89"/>
      <c r="P785" s="89"/>
      <c r="Q785" s="89"/>
      <c r="R785" s="89"/>
      <c r="S785" s="89" t="s">
        <v>610</v>
      </c>
      <c r="T785" s="119"/>
      <c r="V785" s="117" t="s">
        <v>847</v>
      </c>
      <c r="W785" s="89"/>
      <c r="AA785" s="117"/>
      <c r="AB785" s="117"/>
      <c r="AC785" s="462"/>
      <c r="AD785" s="462"/>
      <c r="AE785" s="462"/>
      <c r="AF785" s="463"/>
      <c r="AH785" s="493"/>
      <c r="AV785" s="128"/>
      <c r="AW785" s="117">
        <f>VLOOKUP($D785,'WB Data'!$C$3:$M$578,2,FALSE)</f>
        <v>148047348240.64334</v>
      </c>
      <c r="AX785" s="117">
        <f>VLOOKUP($D785,'WB Data'!$C$3:$M$578,3,FALSE)</f>
        <v>16321581</v>
      </c>
      <c r="AY785" s="847" t="str">
        <f t="shared" si="135"/>
        <v>..</v>
      </c>
      <c r="AZ785" s="117" t="e">
        <f>VLOOKUP($D785,'WB Data'!$C$3:$M$578,4,FALSE)/100</f>
        <v>#VALUE!</v>
      </c>
      <c r="BA785" s="117" t="str">
        <f t="shared" si="136"/>
        <v>..</v>
      </c>
      <c r="BB785" s="129" t="str">
        <f>IFERROR(VLOOKUP($D785,'EITI Revenues'!$C$2:$G$224,5,FALSE),"..")</f>
        <v>..</v>
      </c>
      <c r="BC785" s="846" t="str">
        <f t="shared" si="137"/>
        <v>..</v>
      </c>
      <c r="BD785" s="129">
        <f>VLOOKUP($D785,'WB Data 2'!$C$2:$K$545,6,FALSE)</f>
        <v>50455901483.121315</v>
      </c>
      <c r="BE785" s="129">
        <f>IFERROR(VLOOKUP($D785,UNCTAD!$C$5:$V$529,4,FALSE),"..")</f>
        <v>65510660000</v>
      </c>
      <c r="BF785" s="846">
        <f t="shared" si="138"/>
        <v>0.77019375904808951</v>
      </c>
      <c r="BG785" s="117">
        <f>VLOOKUP($D785,'WB Data'!$C$3:$M$578,5,FALSE)</f>
        <v>223930000</v>
      </c>
      <c r="BH785" s="129" t="str">
        <f>IFERROR($BB785/$BG785,"..")</f>
        <v>..</v>
      </c>
      <c r="BI785" s="117" t="str">
        <f>IFERROR(VLOOKUP($D785,'WB Data'!$C$3:$M$578,7,FALSE)/100,"..")</f>
        <v>..</v>
      </c>
      <c r="BJ785" s="117" t="str">
        <f>IFERROR($BI785*$AW785,"..")</f>
        <v>..</v>
      </c>
      <c r="BK785" s="846" t="str">
        <f>IFERROR($BB785/$BJ785,"..")</f>
        <v>..</v>
      </c>
      <c r="BL785" s="117" t="str">
        <f>IFERROR(VLOOKUP($D785,'WB Data'!$C$3:$M$578,7,FALSE)/100,"..")</f>
        <v>..</v>
      </c>
      <c r="BM785" s="117" t="str">
        <f>IFERROR($AW785*$BL785,"..")</f>
        <v>..</v>
      </c>
      <c r="BN785" s="846" t="str">
        <f>IFERROR($BB785/$BM785,"..")</f>
        <v>..</v>
      </c>
      <c r="BO785" s="801">
        <f t="shared" si="134"/>
        <v>29</v>
      </c>
      <c r="BP785" s="117">
        <f>VLOOKUP($D785,'WB Data'!$C$3:$M$578,9,FALSE)</f>
        <v>6.5</v>
      </c>
      <c r="BQ785" s="117">
        <f>VLOOKUP($D785,'WB Data'!$C$3:$M$578,10,FALSE)</f>
        <v>68.295365853658538</v>
      </c>
      <c r="BR785" s="117">
        <f>VLOOKUP($D785,'WB Data'!$C$3:$M$578,11,FALSE)</f>
        <v>19.3</v>
      </c>
      <c r="BS785" s="129">
        <f>IFERROR(VLOOKUP($D785,'WB Data 2'!$C$2:$K$545,9,FALSE),"..")</f>
        <v>97.410539999999997</v>
      </c>
      <c r="BT785" s="129">
        <f>_xlfn.IFNA(VLOOKUP($C785,RGI!$A$2:$C$43,2,FALSE),"..")</f>
        <v>77.5</v>
      </c>
      <c r="BU785" s="129">
        <f>_xlfn.IFNA(VLOOKUP($C785,RGI!$A$2:$C$43,3,FALSE),"..")</f>
        <v>57.362887635782535</v>
      </c>
      <c r="BV785" s="129">
        <f>VLOOKUP($D785,WGI!$C$2:$O$478,7,FALSE)</f>
        <v>-1.1020684613614</v>
      </c>
      <c r="BW785" s="129">
        <f>VLOOKUP($D785,WGI!$C$2:$O$478,4,FALSE)</f>
        <v>0.45235036310351401</v>
      </c>
      <c r="BX785" s="129">
        <f>VLOOKUP($D785,WGI!$C$2:$O$478,3,FALSE)</f>
        <v>-0.42554743484187901</v>
      </c>
      <c r="BY785" s="129">
        <f>VLOOKUP($D785,WGI!$C$2:$O$478,5,FALSE)</f>
        <v>-0.336527196038655</v>
      </c>
      <c r="BZ785" s="129">
        <f>VLOOKUP($D785,WGI!$C$2:$O$478,2,FALSE)</f>
        <v>-0.97534524891083396</v>
      </c>
      <c r="CB785" s="129"/>
    </row>
    <row r="786" spans="1:80" s="158" customFormat="1" ht="15" customHeight="1">
      <c r="A786" s="282" t="s">
        <v>275</v>
      </c>
      <c r="B786" s="149">
        <v>2010</v>
      </c>
      <c r="C786" s="149" t="s">
        <v>280</v>
      </c>
      <c r="D786" s="117" t="s">
        <v>3668</v>
      </c>
      <c r="E786" s="453" t="s">
        <v>39</v>
      </c>
      <c r="F786" s="149"/>
      <c r="G786" s="149" t="s">
        <v>24</v>
      </c>
      <c r="H786" s="117" t="str">
        <f t="shared" si="130"/>
        <v>yes</v>
      </c>
      <c r="I786" s="117" t="str">
        <f t="shared" si="131"/>
        <v>no</v>
      </c>
      <c r="J786" s="117" t="str">
        <f t="shared" si="132"/>
        <v>no</v>
      </c>
      <c r="K786" s="158" t="s">
        <v>1442</v>
      </c>
      <c r="L786" s="117" t="str">
        <f t="shared" si="139"/>
        <v>detailed</v>
      </c>
      <c r="M786" s="117" t="str">
        <f t="shared" si="133"/>
        <v>detailed Mining</v>
      </c>
      <c r="N786" s="152">
        <v>318858</v>
      </c>
      <c r="O786" s="152"/>
      <c r="P786" s="152"/>
      <c r="Q786" s="152"/>
      <c r="R786" s="152"/>
      <c r="S786" s="152" t="s">
        <v>610</v>
      </c>
      <c r="T786" s="151"/>
      <c r="V786" s="149" t="s">
        <v>847</v>
      </c>
      <c r="W786" s="152"/>
      <c r="AA786" s="149"/>
      <c r="AB786" s="149"/>
      <c r="AC786" s="494"/>
      <c r="AD786" s="494"/>
      <c r="AE786" s="494"/>
      <c r="AF786" s="495"/>
      <c r="AH786" s="496"/>
      <c r="AV786" s="157"/>
      <c r="AW786" s="117">
        <f>VLOOKUP($D786,'WB Data'!$C$3:$M$578,2,FALSE)</f>
        <v>148047348240.64334</v>
      </c>
      <c r="AX786" s="117">
        <f>VLOOKUP($D786,'WB Data'!$C$3:$M$578,3,FALSE)</f>
        <v>16321581</v>
      </c>
      <c r="AY786" s="847" t="str">
        <f t="shared" si="135"/>
        <v>..</v>
      </c>
      <c r="AZ786" s="117" t="e">
        <f>VLOOKUP($D786,'WB Data'!$C$3:$M$578,4,FALSE)/100</f>
        <v>#VALUE!</v>
      </c>
      <c r="BA786" s="117" t="str">
        <f t="shared" si="136"/>
        <v>..</v>
      </c>
      <c r="BB786" s="129" t="str">
        <f>IFERROR(VLOOKUP($D786,'EITI Revenues'!$C$2:$G$224,5,FALSE),"..")</f>
        <v>..</v>
      </c>
      <c r="BC786" s="846" t="str">
        <f t="shared" si="137"/>
        <v>..</v>
      </c>
      <c r="BD786" s="129">
        <f>VLOOKUP($D786,'WB Data 2'!$C$2:$K$545,6,FALSE)</f>
        <v>50455901483.121315</v>
      </c>
      <c r="BE786" s="129">
        <f>IFERROR(VLOOKUP($D786,UNCTAD!$C$5:$V$529,4,FALSE),"..")</f>
        <v>65510660000</v>
      </c>
      <c r="BF786" s="846">
        <f t="shared" si="138"/>
        <v>0.77019375904808951</v>
      </c>
      <c r="BG786" s="117">
        <f>VLOOKUP($D786,'WB Data'!$C$3:$M$578,5,FALSE)</f>
        <v>223930000</v>
      </c>
      <c r="BH786" s="129" t="str">
        <f>IFERROR($BB786/$BG786,"..")</f>
        <v>..</v>
      </c>
      <c r="BI786" s="117" t="str">
        <f>IFERROR(VLOOKUP($D786,'WB Data'!$C$3:$M$578,7,FALSE)/100,"..")</f>
        <v>..</v>
      </c>
      <c r="BJ786" s="117" t="str">
        <f>IFERROR($BI786*$AW786,"..")</f>
        <v>..</v>
      </c>
      <c r="BK786" s="846" t="str">
        <f>IFERROR($BB786/$BJ786,"..")</f>
        <v>..</v>
      </c>
      <c r="BL786" s="117" t="str">
        <f>IFERROR(VLOOKUP($D786,'WB Data'!$C$3:$M$578,7,FALSE)/100,"..")</f>
        <v>..</v>
      </c>
      <c r="BM786" s="117" t="str">
        <f>IFERROR($AW786*$BL786,"..")</f>
        <v>..</v>
      </c>
      <c r="BN786" s="846" t="str">
        <f>IFERROR($BB786/$BM786,"..")</f>
        <v>..</v>
      </c>
      <c r="BO786" s="801">
        <f t="shared" si="134"/>
        <v>29</v>
      </c>
      <c r="BP786" s="117">
        <f>VLOOKUP($D786,'WB Data'!$C$3:$M$578,9,FALSE)</f>
        <v>6.5</v>
      </c>
      <c r="BQ786" s="117">
        <f>VLOOKUP($D786,'WB Data'!$C$3:$M$578,10,FALSE)</f>
        <v>68.295365853658538</v>
      </c>
      <c r="BR786" s="117">
        <f>VLOOKUP($D786,'WB Data'!$C$3:$M$578,11,FALSE)</f>
        <v>19.3</v>
      </c>
      <c r="BS786" s="129">
        <f>IFERROR(VLOOKUP($D786,'WB Data 2'!$C$2:$K$545,9,FALSE),"..")</f>
        <v>97.410539999999997</v>
      </c>
      <c r="BT786" s="129">
        <f>_xlfn.IFNA(VLOOKUP($C786,RGI!$A$2:$C$43,2,FALSE),"..")</f>
        <v>77.5</v>
      </c>
      <c r="BU786" s="129">
        <f>_xlfn.IFNA(VLOOKUP($C786,RGI!$A$2:$C$43,3,FALSE),"..")</f>
        <v>57.362887635782535</v>
      </c>
      <c r="BV786" s="129">
        <f>VLOOKUP($D786,WGI!$C$2:$O$478,7,FALSE)</f>
        <v>-1.1020684613614</v>
      </c>
      <c r="BW786" s="129">
        <f>VLOOKUP($D786,WGI!$C$2:$O$478,4,FALSE)</f>
        <v>0.45235036310351401</v>
      </c>
      <c r="BX786" s="129">
        <f>VLOOKUP($D786,WGI!$C$2:$O$478,3,FALSE)</f>
        <v>-0.42554743484187901</v>
      </c>
      <c r="BY786" s="129">
        <f>VLOOKUP($D786,WGI!$C$2:$O$478,5,FALSE)</f>
        <v>-0.336527196038655</v>
      </c>
      <c r="BZ786" s="129">
        <f>VLOOKUP($D786,WGI!$C$2:$O$478,2,FALSE)</f>
        <v>-0.97534524891083396</v>
      </c>
      <c r="CB786" s="129"/>
    </row>
    <row r="787" spans="1:80" ht="15" customHeight="1">
      <c r="A787" s="280" t="s">
        <v>277</v>
      </c>
      <c r="B787" s="117">
        <v>2011</v>
      </c>
      <c r="C787" s="117" t="s">
        <v>280</v>
      </c>
      <c r="D787" s="117" t="s">
        <v>3702</v>
      </c>
      <c r="E787" s="452" t="s">
        <v>39</v>
      </c>
      <c r="F787" s="117" t="s">
        <v>1390</v>
      </c>
      <c r="G787" s="117" t="s">
        <v>35</v>
      </c>
      <c r="H787" s="117" t="str">
        <f t="shared" si="130"/>
        <v>yes</v>
      </c>
      <c r="I787" s="117" t="str">
        <f t="shared" si="131"/>
        <v>yes</v>
      </c>
      <c r="J787" s="117" t="str">
        <f t="shared" si="132"/>
        <v>yes</v>
      </c>
      <c r="K787" s="117" t="s">
        <v>709</v>
      </c>
      <c r="L787" s="117" t="str">
        <f t="shared" si="139"/>
        <v>Total</v>
      </c>
      <c r="M787" s="117" t="str">
        <f t="shared" si="133"/>
        <v>Total Oil, Gas, Mining</v>
      </c>
      <c r="N787" s="179"/>
      <c r="O787" s="179"/>
      <c r="P787" s="179"/>
      <c r="Q787" s="179"/>
      <c r="R787" s="179"/>
      <c r="S787" s="117"/>
      <c r="T787" s="119"/>
      <c r="U787" s="117"/>
      <c r="V787" s="117"/>
      <c r="W787" s="89">
        <f>W788+W791</f>
        <v>102282921711.10046</v>
      </c>
      <c r="X787" s="117" t="s">
        <v>1457</v>
      </c>
      <c r="Y787" s="117" t="s">
        <v>602</v>
      </c>
      <c r="Z787" s="117" t="s">
        <v>603</v>
      </c>
      <c r="AA787" s="304">
        <v>28779202170</v>
      </c>
      <c r="AB787" s="304">
        <v>28858076750</v>
      </c>
      <c r="AC787" s="122"/>
      <c r="AD787" s="122"/>
      <c r="AE787" s="122"/>
      <c r="AF787" s="491">
        <f>AA787/W787</f>
        <v>0.28136859691285765</v>
      </c>
      <c r="AG787" s="117" t="s">
        <v>1391</v>
      </c>
      <c r="AH787" s="124">
        <v>144.54</v>
      </c>
      <c r="AI787" s="117" t="s">
        <v>722</v>
      </c>
      <c r="AJ787" s="117"/>
      <c r="AK787" s="89"/>
      <c r="AL787" s="117"/>
      <c r="AM787" s="117"/>
      <c r="AN787" s="117">
        <v>170</v>
      </c>
      <c r="AO787" s="117" t="s">
        <v>1458</v>
      </c>
      <c r="AP787" s="117">
        <v>167</v>
      </c>
      <c r="AQ787" s="117" t="s">
        <v>44</v>
      </c>
      <c r="AR787" s="126">
        <v>41922</v>
      </c>
      <c r="AS787" s="117" t="s">
        <v>1402</v>
      </c>
      <c r="AT787" s="117" t="s">
        <v>1459</v>
      </c>
      <c r="AU787" s="215" t="s">
        <v>1460</v>
      </c>
      <c r="AV787" s="128" t="s">
        <v>1461</v>
      </c>
      <c r="AW787" s="117">
        <f>VLOOKUP($D787,'WB Data'!$C$3:$M$578,2,FALSE)</f>
        <v>188048960311.22461</v>
      </c>
      <c r="AX787" s="117">
        <f>VLOOKUP($D787,'WB Data'!$C$3:$M$578,3,FALSE)</f>
        <v>16556600</v>
      </c>
      <c r="AY787" s="847" t="str">
        <f t="shared" si="135"/>
        <v>..</v>
      </c>
      <c r="AZ787" s="117" t="e">
        <f>VLOOKUP($D787,'WB Data'!$C$3:$M$578,4,FALSE)/100</f>
        <v>#VALUE!</v>
      </c>
      <c r="BA787" s="117" t="str">
        <f t="shared" si="136"/>
        <v>..</v>
      </c>
      <c r="BB787" s="129" t="str">
        <f>IFERROR(VLOOKUP($D787,'EITI Revenues'!$C$2:$G$224,5,FALSE),"..")</f>
        <v>..</v>
      </c>
      <c r="BC787" s="846" t="str">
        <f t="shared" si="137"/>
        <v>..</v>
      </c>
      <c r="BD787" s="129">
        <f>VLOOKUP($D787,'WB Data 2'!$C$2:$K$545,6,FALSE)</f>
        <v>72314639999.574051</v>
      </c>
      <c r="BE787" s="129">
        <f>IFERROR(VLOOKUP($D787,UNCTAD!$C$5:$V$529,4,FALSE),"..")</f>
        <v>89531640000</v>
      </c>
      <c r="BF787" s="846">
        <f t="shared" si="138"/>
        <v>0.80769926698063443</v>
      </c>
      <c r="BG787" s="117">
        <f>VLOOKUP($D787,'WB Data'!$C$3:$M$578,5,FALSE)</f>
        <v>215510000</v>
      </c>
      <c r="BH787" s="129" t="str">
        <f>IFERROR($BB787/$BG787,"..")</f>
        <v>..</v>
      </c>
      <c r="BI787" s="117" t="str">
        <f>IFERROR(VLOOKUP($D787,'WB Data'!$C$3:$M$578,7,FALSE)/100,"..")</f>
        <v>..</v>
      </c>
      <c r="BJ787" s="117" t="str">
        <f>IFERROR($BI787*$AW787,"..")</f>
        <v>..</v>
      </c>
      <c r="BK787" s="846" t="str">
        <f>IFERROR($BB787/$BJ787,"..")</f>
        <v>..</v>
      </c>
      <c r="BL787" s="117" t="str">
        <f>IFERROR(VLOOKUP($D787,'WB Data'!$C$3:$M$578,7,FALSE)/100,"..")</f>
        <v>..</v>
      </c>
      <c r="BM787" s="117" t="str">
        <f>IFERROR($AW787*$BL787,"..")</f>
        <v>..</v>
      </c>
      <c r="BN787" s="846" t="str">
        <f>IFERROR($BB787/$BM787,"..")</f>
        <v>..</v>
      </c>
      <c r="BO787" s="801">
        <f t="shared" si="134"/>
        <v>29</v>
      </c>
      <c r="BP787" s="117">
        <f>VLOOKUP($D787,'WB Data'!$C$3:$M$578,9,FALSE)</f>
        <v>5.5</v>
      </c>
      <c r="BQ787" s="117">
        <f>VLOOKUP($D787,'WB Data'!$C$3:$M$578,10,FALSE)</f>
        <v>68.98</v>
      </c>
      <c r="BR787" s="117">
        <f>VLOOKUP($D787,'WB Data'!$C$3:$M$578,11,FALSE)</f>
        <v>17.600000000000001</v>
      </c>
      <c r="BS787" s="129">
        <f>IFERROR(VLOOKUP($D787,'WB Data 2'!$C$2:$K$545,9,FALSE),"..")</f>
        <v>98.239959999999996</v>
      </c>
      <c r="BT787" s="129">
        <f>_xlfn.IFNA(VLOOKUP($C787,RGI!$A$2:$C$43,2,FALSE),"..")</f>
        <v>77.5</v>
      </c>
      <c r="BU787" s="129">
        <f>_xlfn.IFNA(VLOOKUP($C787,RGI!$A$2:$C$43,3,FALSE),"..")</f>
        <v>57.362887635782535</v>
      </c>
      <c r="BV787" s="129">
        <f>VLOOKUP($D787,WGI!$C$2:$O$478,7,FALSE)</f>
        <v>-1.0947582948953301</v>
      </c>
      <c r="BW787" s="129">
        <f>VLOOKUP($D787,WGI!$C$2:$O$478,4,FALSE)</f>
        <v>-0.32042900556192899</v>
      </c>
      <c r="BX787" s="129">
        <f>VLOOKUP($D787,WGI!$C$2:$O$478,3,FALSE)</f>
        <v>-0.42630117376099602</v>
      </c>
      <c r="BY787" s="129">
        <f>VLOOKUP($D787,WGI!$C$2:$O$478,5,FALSE)</f>
        <v>-0.25995175471842702</v>
      </c>
      <c r="BZ787" s="129">
        <f>VLOOKUP($D787,WGI!$C$2:$O$478,2,FALSE)</f>
        <v>-0.97820473728264901</v>
      </c>
    </row>
    <row r="788" spans="1:80" ht="15" customHeight="1">
      <c r="A788" s="280" t="s">
        <v>277</v>
      </c>
      <c r="B788" s="117">
        <v>2011</v>
      </c>
      <c r="C788" s="117" t="s">
        <v>280</v>
      </c>
      <c r="D788" s="117" t="s">
        <v>3702</v>
      </c>
      <c r="E788" s="452" t="s">
        <v>39</v>
      </c>
      <c r="F788" s="117"/>
      <c r="G788" s="117" t="s">
        <v>55</v>
      </c>
      <c r="H788" s="117" t="str">
        <f t="shared" si="130"/>
        <v>no</v>
      </c>
      <c r="I788" s="117" t="str">
        <f t="shared" si="131"/>
        <v>yes</v>
      </c>
      <c r="J788" s="117" t="str">
        <f t="shared" si="132"/>
        <v>yes</v>
      </c>
      <c r="K788" s="117" t="s">
        <v>640</v>
      </c>
      <c r="L788" s="117" t="str">
        <f t="shared" si="139"/>
        <v>Total</v>
      </c>
      <c r="M788" s="117" t="str">
        <f t="shared" si="133"/>
        <v>Total Oil, Gas</v>
      </c>
      <c r="N788" s="179"/>
      <c r="O788" s="179"/>
      <c r="P788" s="179"/>
      <c r="Q788" s="179"/>
      <c r="R788" s="179"/>
      <c r="S788" s="117"/>
      <c r="T788" s="119"/>
      <c r="U788" s="117"/>
      <c r="V788" s="117"/>
      <c r="W788" s="89">
        <f>SUM(W789:W790)</f>
        <v>71798662764.0578</v>
      </c>
      <c r="X788" s="117"/>
      <c r="Y788" s="117"/>
      <c r="Z788" s="117"/>
      <c r="AA788" s="177">
        <v>25903971390</v>
      </c>
      <c r="AB788" s="177">
        <v>25932111930</v>
      </c>
      <c r="AC788" s="122"/>
      <c r="AD788" s="122"/>
      <c r="AE788" s="122"/>
      <c r="AF788" s="123">
        <f>AA788/W788</f>
        <v>0.36078626526965696</v>
      </c>
      <c r="AG788" s="117"/>
      <c r="AH788" s="124"/>
      <c r="AI788" s="117"/>
      <c r="AJ788" s="117"/>
      <c r="AK788" s="89"/>
      <c r="AL788" s="117"/>
      <c r="AM788" s="117"/>
      <c r="AN788" s="117">
        <v>62</v>
      </c>
      <c r="AO788" s="117" t="s">
        <v>1462</v>
      </c>
      <c r="AP788" s="117">
        <v>62</v>
      </c>
      <c r="AQ788" s="117"/>
      <c r="AR788" s="126"/>
      <c r="AS788" s="117"/>
      <c r="AT788" s="117"/>
      <c r="AU788" s="215" t="s">
        <v>1463</v>
      </c>
      <c r="AV788" s="128"/>
      <c r="AW788" s="117">
        <f>VLOOKUP($D788,'WB Data'!$C$3:$M$578,2,FALSE)</f>
        <v>188048960311.22461</v>
      </c>
      <c r="AX788" s="117">
        <f>VLOOKUP($D788,'WB Data'!$C$3:$M$578,3,FALSE)</f>
        <v>16556600</v>
      </c>
      <c r="AY788" s="847" t="str">
        <f t="shared" si="135"/>
        <v>..</v>
      </c>
      <c r="AZ788" s="117" t="e">
        <f>VLOOKUP($D788,'WB Data'!$C$3:$M$578,4,FALSE)/100</f>
        <v>#VALUE!</v>
      </c>
      <c r="BA788" s="117" t="str">
        <f t="shared" si="136"/>
        <v>..</v>
      </c>
      <c r="BB788" s="129" t="str">
        <f>IFERROR(VLOOKUP($D788,'EITI Revenues'!$C$2:$G$224,5,FALSE),"..")</f>
        <v>..</v>
      </c>
      <c r="BC788" s="846" t="str">
        <f t="shared" si="137"/>
        <v>..</v>
      </c>
      <c r="BD788" s="129">
        <f>VLOOKUP($D788,'WB Data 2'!$C$2:$K$545,6,FALSE)</f>
        <v>72314639999.574051</v>
      </c>
      <c r="BE788" s="129">
        <f>IFERROR(VLOOKUP($D788,UNCTAD!$C$5:$V$529,4,FALSE),"..")</f>
        <v>89531640000</v>
      </c>
      <c r="BF788" s="846">
        <f t="shared" si="138"/>
        <v>0.80769926698063443</v>
      </c>
      <c r="BG788" s="117">
        <f>VLOOKUP($D788,'WB Data'!$C$3:$M$578,5,FALSE)</f>
        <v>215510000</v>
      </c>
      <c r="BH788" s="129" t="str">
        <f>IFERROR($BB788/$BG788,"..")</f>
        <v>..</v>
      </c>
      <c r="BI788" s="117" t="str">
        <f>IFERROR(VLOOKUP($D788,'WB Data'!$C$3:$M$578,7,FALSE)/100,"..")</f>
        <v>..</v>
      </c>
      <c r="BJ788" s="117" t="str">
        <f>IFERROR($BI788*$AW788,"..")</f>
        <v>..</v>
      </c>
      <c r="BK788" s="846" t="str">
        <f>IFERROR($BB788/$BJ788,"..")</f>
        <v>..</v>
      </c>
      <c r="BL788" s="117" t="str">
        <f>IFERROR(VLOOKUP($D788,'WB Data'!$C$3:$M$578,7,FALSE)/100,"..")</f>
        <v>..</v>
      </c>
      <c r="BM788" s="117" t="str">
        <f>IFERROR($AW788*$BL788,"..")</f>
        <v>..</v>
      </c>
      <c r="BN788" s="846" t="str">
        <f>IFERROR($BB788/$BM788,"..")</f>
        <v>..</v>
      </c>
      <c r="BO788" s="801">
        <f t="shared" si="134"/>
        <v>29</v>
      </c>
      <c r="BP788" s="117">
        <f>VLOOKUP($D788,'WB Data'!$C$3:$M$578,9,FALSE)</f>
        <v>5.5</v>
      </c>
      <c r="BQ788" s="117">
        <f>VLOOKUP($D788,'WB Data'!$C$3:$M$578,10,FALSE)</f>
        <v>68.98</v>
      </c>
      <c r="BR788" s="117">
        <f>VLOOKUP($D788,'WB Data'!$C$3:$M$578,11,FALSE)</f>
        <v>17.600000000000001</v>
      </c>
      <c r="BS788" s="129">
        <f>IFERROR(VLOOKUP($D788,'WB Data 2'!$C$2:$K$545,9,FALSE),"..")</f>
        <v>98.239959999999996</v>
      </c>
      <c r="BT788" s="129">
        <f>_xlfn.IFNA(VLOOKUP($C788,RGI!$A$2:$C$43,2,FALSE),"..")</f>
        <v>77.5</v>
      </c>
      <c r="BU788" s="129">
        <f>_xlfn.IFNA(VLOOKUP($C788,RGI!$A$2:$C$43,3,FALSE),"..")</f>
        <v>57.362887635782535</v>
      </c>
      <c r="BV788" s="129">
        <f>VLOOKUP($D788,WGI!$C$2:$O$478,7,FALSE)</f>
        <v>-1.0947582948953301</v>
      </c>
      <c r="BW788" s="129">
        <f>VLOOKUP($D788,WGI!$C$2:$O$478,4,FALSE)</f>
        <v>-0.32042900556192899</v>
      </c>
      <c r="BX788" s="129">
        <f>VLOOKUP($D788,WGI!$C$2:$O$478,3,FALSE)</f>
        <v>-0.42630117376099602</v>
      </c>
      <c r="BY788" s="129">
        <f>VLOOKUP($D788,WGI!$C$2:$O$478,5,FALSE)</f>
        <v>-0.25995175471842702</v>
      </c>
      <c r="BZ788" s="129">
        <f>VLOOKUP($D788,WGI!$C$2:$O$478,2,FALSE)</f>
        <v>-0.97820473728264901</v>
      </c>
    </row>
    <row r="789" spans="1:80" ht="15" customHeight="1">
      <c r="A789" s="280" t="s">
        <v>277</v>
      </c>
      <c r="B789" s="117">
        <v>2011</v>
      </c>
      <c r="C789" s="117" t="s">
        <v>280</v>
      </c>
      <c r="D789" s="117" t="s">
        <v>3702</v>
      </c>
      <c r="E789" s="452" t="s">
        <v>39</v>
      </c>
      <c r="F789" s="117"/>
      <c r="G789" s="117" t="s">
        <v>561</v>
      </c>
      <c r="H789" s="117" t="str">
        <f t="shared" si="130"/>
        <v>no</v>
      </c>
      <c r="I789" s="117" t="str">
        <f t="shared" si="131"/>
        <v>yes</v>
      </c>
      <c r="J789" s="117" t="str">
        <f t="shared" si="132"/>
        <v>no</v>
      </c>
      <c r="K789" s="117" t="s">
        <v>561</v>
      </c>
      <c r="L789" s="117" t="str">
        <f t="shared" si="139"/>
        <v>detailed</v>
      </c>
      <c r="M789" s="117" t="str">
        <f t="shared" si="133"/>
        <v>detailed Gas</v>
      </c>
      <c r="N789" s="179">
        <v>17500000000</v>
      </c>
      <c r="O789" s="118">
        <f>N789*0.0066</f>
        <v>115500000</v>
      </c>
      <c r="P789" s="179"/>
      <c r="Q789" s="179"/>
      <c r="R789" s="179"/>
      <c r="S789" s="117" t="s">
        <v>642</v>
      </c>
      <c r="T789" s="119">
        <v>0.19666043794616025</v>
      </c>
      <c r="U789" s="117" t="s">
        <v>643</v>
      </c>
      <c r="V789" s="117" t="s">
        <v>738</v>
      </c>
      <c r="W789" s="89">
        <f>N789*T789</f>
        <v>3441557664.0578046</v>
      </c>
      <c r="X789" s="117"/>
      <c r="Y789" s="117"/>
      <c r="Z789" s="117"/>
      <c r="AA789" s="177"/>
      <c r="AB789" s="177"/>
      <c r="AC789" s="122"/>
      <c r="AD789" s="177"/>
      <c r="AE789" s="122"/>
      <c r="AF789" s="123"/>
      <c r="AG789" s="117"/>
      <c r="AH789" s="124"/>
      <c r="AI789" s="117"/>
      <c r="AJ789" s="117"/>
      <c r="AK789" s="89"/>
      <c r="AL789" s="117"/>
      <c r="AM789" s="117"/>
      <c r="AN789" s="117"/>
      <c r="AO789" s="117"/>
      <c r="AP789" s="117"/>
      <c r="AQ789" s="117"/>
      <c r="AR789" s="126"/>
      <c r="AS789" s="117"/>
      <c r="AT789" s="117"/>
      <c r="AU789" s="215"/>
      <c r="AV789" s="128"/>
      <c r="AW789" s="117">
        <f>VLOOKUP($D789,'WB Data'!$C$3:$M$578,2,FALSE)</f>
        <v>188048960311.22461</v>
      </c>
      <c r="AX789" s="117">
        <f>VLOOKUP($D789,'WB Data'!$C$3:$M$578,3,FALSE)</f>
        <v>16556600</v>
      </c>
      <c r="AY789" s="847" t="str">
        <f t="shared" si="135"/>
        <v>..</v>
      </c>
      <c r="AZ789" s="117" t="e">
        <f>VLOOKUP($D789,'WB Data'!$C$3:$M$578,4,FALSE)/100</f>
        <v>#VALUE!</v>
      </c>
      <c r="BA789" s="117" t="str">
        <f t="shared" si="136"/>
        <v>..</v>
      </c>
      <c r="BB789" s="129" t="str">
        <f>IFERROR(VLOOKUP($D789,'EITI Revenues'!$C$2:$G$224,5,FALSE),"..")</f>
        <v>..</v>
      </c>
      <c r="BC789" s="846" t="str">
        <f t="shared" si="137"/>
        <v>..</v>
      </c>
      <c r="BD789" s="129">
        <f>VLOOKUP($D789,'WB Data 2'!$C$2:$K$545,6,FALSE)</f>
        <v>72314639999.574051</v>
      </c>
      <c r="BE789" s="129">
        <f>IFERROR(VLOOKUP($D789,UNCTAD!$C$5:$V$529,4,FALSE),"..")</f>
        <v>89531640000</v>
      </c>
      <c r="BF789" s="846">
        <f t="shared" si="138"/>
        <v>0.80769926698063443</v>
      </c>
      <c r="BG789" s="117">
        <f>VLOOKUP($D789,'WB Data'!$C$3:$M$578,5,FALSE)</f>
        <v>215510000</v>
      </c>
      <c r="BH789" s="129" t="str">
        <f>IFERROR($BB789/$BG789,"..")</f>
        <v>..</v>
      </c>
      <c r="BI789" s="117" t="str">
        <f>IFERROR(VLOOKUP($D789,'WB Data'!$C$3:$M$578,7,FALSE)/100,"..")</f>
        <v>..</v>
      </c>
      <c r="BJ789" s="117" t="str">
        <f>IFERROR($BI789*$AW789,"..")</f>
        <v>..</v>
      </c>
      <c r="BK789" s="846" t="str">
        <f>IFERROR($BB789/$BJ789,"..")</f>
        <v>..</v>
      </c>
      <c r="BL789" s="117" t="str">
        <f>IFERROR(VLOOKUP($D789,'WB Data'!$C$3:$M$578,7,FALSE)/100,"..")</f>
        <v>..</v>
      </c>
      <c r="BM789" s="117" t="str">
        <f>IFERROR($AW789*$BL789,"..")</f>
        <v>..</v>
      </c>
      <c r="BN789" s="846" t="str">
        <f>IFERROR($BB789/$BM789,"..")</f>
        <v>..</v>
      </c>
      <c r="BO789" s="801">
        <f t="shared" si="134"/>
        <v>29</v>
      </c>
      <c r="BP789" s="117">
        <f>VLOOKUP($D789,'WB Data'!$C$3:$M$578,9,FALSE)</f>
        <v>5.5</v>
      </c>
      <c r="BQ789" s="117">
        <f>VLOOKUP($D789,'WB Data'!$C$3:$M$578,10,FALSE)</f>
        <v>68.98</v>
      </c>
      <c r="BR789" s="117">
        <f>VLOOKUP($D789,'WB Data'!$C$3:$M$578,11,FALSE)</f>
        <v>17.600000000000001</v>
      </c>
      <c r="BS789" s="129">
        <f>IFERROR(VLOOKUP($D789,'WB Data 2'!$C$2:$K$545,9,FALSE),"..")</f>
        <v>98.239959999999996</v>
      </c>
      <c r="BT789" s="129">
        <f>_xlfn.IFNA(VLOOKUP($C789,RGI!$A$2:$C$43,2,FALSE),"..")</f>
        <v>77.5</v>
      </c>
      <c r="BU789" s="129">
        <f>_xlfn.IFNA(VLOOKUP($C789,RGI!$A$2:$C$43,3,FALSE),"..")</f>
        <v>57.362887635782535</v>
      </c>
      <c r="BV789" s="129">
        <f>VLOOKUP($D789,WGI!$C$2:$O$478,7,FALSE)</f>
        <v>-1.0947582948953301</v>
      </c>
      <c r="BW789" s="129">
        <f>VLOOKUP($D789,WGI!$C$2:$O$478,4,FALSE)</f>
        <v>-0.32042900556192899</v>
      </c>
      <c r="BX789" s="129">
        <f>VLOOKUP($D789,WGI!$C$2:$O$478,3,FALSE)</f>
        <v>-0.42630117376099602</v>
      </c>
      <c r="BY789" s="129">
        <f>VLOOKUP($D789,WGI!$C$2:$O$478,5,FALSE)</f>
        <v>-0.25995175471842702</v>
      </c>
      <c r="BZ789" s="129">
        <f>VLOOKUP($D789,WGI!$C$2:$O$478,2,FALSE)</f>
        <v>-0.97820473728264901</v>
      </c>
    </row>
    <row r="790" spans="1:80" ht="15" customHeight="1">
      <c r="A790" s="280" t="s">
        <v>277</v>
      </c>
      <c r="B790" s="117">
        <v>2011</v>
      </c>
      <c r="C790" s="117" t="s">
        <v>280</v>
      </c>
      <c r="D790" s="117" t="s">
        <v>3702</v>
      </c>
      <c r="E790" s="452" t="s">
        <v>39</v>
      </c>
      <c r="F790" s="117"/>
      <c r="G790" s="117" t="s">
        <v>103</v>
      </c>
      <c r="H790" s="117" t="str">
        <f t="shared" si="130"/>
        <v>no</v>
      </c>
      <c r="I790" s="117" t="str">
        <f t="shared" si="131"/>
        <v>no</v>
      </c>
      <c r="J790" s="117" t="str">
        <f t="shared" si="132"/>
        <v>yes</v>
      </c>
      <c r="K790" s="117" t="s">
        <v>103</v>
      </c>
      <c r="L790" s="117" t="str">
        <f t="shared" si="139"/>
        <v>detailed</v>
      </c>
      <c r="M790" s="117" t="str">
        <f t="shared" si="133"/>
        <v>detailed Oil</v>
      </c>
      <c r="N790" s="179">
        <v>641670000</v>
      </c>
      <c r="O790" s="179"/>
      <c r="P790" s="179"/>
      <c r="Q790" s="179"/>
      <c r="R790" s="179"/>
      <c r="S790" s="117" t="s">
        <v>646</v>
      </c>
      <c r="T790" s="119">
        <v>106.53</v>
      </c>
      <c r="U790" s="117" t="s">
        <v>673</v>
      </c>
      <c r="V790" s="117" t="s">
        <v>740</v>
      </c>
      <c r="W790" s="89">
        <f>N790*T790</f>
        <v>68357105100</v>
      </c>
      <c r="X790" s="117"/>
      <c r="Y790" s="117"/>
      <c r="Z790" s="117"/>
      <c r="AA790" s="177"/>
      <c r="AB790" s="177"/>
      <c r="AC790" s="122"/>
      <c r="AD790" s="122"/>
      <c r="AE790" s="122"/>
      <c r="AF790" s="123"/>
      <c r="AG790" s="117"/>
      <c r="AH790" s="124"/>
      <c r="AI790" s="117"/>
      <c r="AJ790" s="117"/>
      <c r="AK790" s="89"/>
      <c r="AL790" s="117"/>
      <c r="AM790" s="117"/>
      <c r="AN790" s="117"/>
      <c r="AO790" s="117"/>
      <c r="AP790" s="117"/>
      <c r="AQ790" s="117"/>
      <c r="AR790" s="126"/>
      <c r="AS790" s="117"/>
      <c r="AT790" s="117"/>
      <c r="AU790" s="215"/>
      <c r="AV790" s="128"/>
      <c r="AW790" s="117">
        <f>VLOOKUP($D790,'WB Data'!$C$3:$M$578,2,FALSE)</f>
        <v>188048960311.22461</v>
      </c>
      <c r="AX790" s="117">
        <f>VLOOKUP($D790,'WB Data'!$C$3:$M$578,3,FALSE)</f>
        <v>16556600</v>
      </c>
      <c r="AY790" s="847" t="str">
        <f t="shared" si="135"/>
        <v>..</v>
      </c>
      <c r="AZ790" s="117" t="e">
        <f>VLOOKUP($D790,'WB Data'!$C$3:$M$578,4,FALSE)/100</f>
        <v>#VALUE!</v>
      </c>
      <c r="BA790" s="117" t="str">
        <f t="shared" si="136"/>
        <v>..</v>
      </c>
      <c r="BB790" s="129" t="str">
        <f>IFERROR(VLOOKUP($D790,'EITI Revenues'!$C$2:$G$224,5,FALSE),"..")</f>
        <v>..</v>
      </c>
      <c r="BC790" s="846" t="str">
        <f t="shared" si="137"/>
        <v>..</v>
      </c>
      <c r="BD790" s="129">
        <f>VLOOKUP($D790,'WB Data 2'!$C$2:$K$545,6,FALSE)</f>
        <v>72314639999.574051</v>
      </c>
      <c r="BE790" s="129">
        <f>IFERROR(VLOOKUP($D790,UNCTAD!$C$5:$V$529,4,FALSE),"..")</f>
        <v>89531640000</v>
      </c>
      <c r="BF790" s="846">
        <f t="shared" si="138"/>
        <v>0.80769926698063443</v>
      </c>
      <c r="BG790" s="117">
        <f>VLOOKUP($D790,'WB Data'!$C$3:$M$578,5,FALSE)</f>
        <v>215510000</v>
      </c>
      <c r="BH790" s="129" t="str">
        <f>IFERROR($BB790/$BG790,"..")</f>
        <v>..</v>
      </c>
      <c r="BI790" s="117" t="str">
        <f>IFERROR(VLOOKUP($D790,'WB Data'!$C$3:$M$578,7,FALSE)/100,"..")</f>
        <v>..</v>
      </c>
      <c r="BJ790" s="117" t="str">
        <f>IFERROR($BI790*$AW790,"..")</f>
        <v>..</v>
      </c>
      <c r="BK790" s="846" t="str">
        <f>IFERROR($BB790/$BJ790,"..")</f>
        <v>..</v>
      </c>
      <c r="BL790" s="117" t="str">
        <f>IFERROR(VLOOKUP($D790,'WB Data'!$C$3:$M$578,7,FALSE)/100,"..")</f>
        <v>..</v>
      </c>
      <c r="BM790" s="117" t="str">
        <f>IFERROR($AW790*$BL790,"..")</f>
        <v>..</v>
      </c>
      <c r="BN790" s="846" t="str">
        <f>IFERROR($BB790/$BM790,"..")</f>
        <v>..</v>
      </c>
      <c r="BO790" s="801">
        <f t="shared" si="134"/>
        <v>29</v>
      </c>
      <c r="BP790" s="117">
        <f>VLOOKUP($D790,'WB Data'!$C$3:$M$578,9,FALSE)</f>
        <v>5.5</v>
      </c>
      <c r="BQ790" s="117">
        <f>VLOOKUP($D790,'WB Data'!$C$3:$M$578,10,FALSE)</f>
        <v>68.98</v>
      </c>
      <c r="BR790" s="117">
        <f>VLOOKUP($D790,'WB Data'!$C$3:$M$578,11,FALSE)</f>
        <v>17.600000000000001</v>
      </c>
      <c r="BS790" s="129">
        <f>IFERROR(VLOOKUP($D790,'WB Data 2'!$C$2:$K$545,9,FALSE),"..")</f>
        <v>98.239959999999996</v>
      </c>
      <c r="BT790" s="129">
        <f>_xlfn.IFNA(VLOOKUP($C790,RGI!$A$2:$C$43,2,FALSE),"..")</f>
        <v>77.5</v>
      </c>
      <c r="BU790" s="129">
        <f>_xlfn.IFNA(VLOOKUP($C790,RGI!$A$2:$C$43,3,FALSE),"..")</f>
        <v>57.362887635782535</v>
      </c>
      <c r="BV790" s="129">
        <f>VLOOKUP($D790,WGI!$C$2:$O$478,7,FALSE)</f>
        <v>-1.0947582948953301</v>
      </c>
      <c r="BW790" s="129">
        <f>VLOOKUP($D790,WGI!$C$2:$O$478,4,FALSE)</f>
        <v>-0.32042900556192899</v>
      </c>
      <c r="BX790" s="129">
        <f>VLOOKUP($D790,WGI!$C$2:$O$478,3,FALSE)</f>
        <v>-0.42630117376099602</v>
      </c>
      <c r="BY790" s="129">
        <f>VLOOKUP($D790,WGI!$C$2:$O$478,5,FALSE)</f>
        <v>-0.25995175471842702</v>
      </c>
      <c r="BZ790" s="129">
        <f>VLOOKUP($D790,WGI!$C$2:$O$478,2,FALSE)</f>
        <v>-0.97820473728264901</v>
      </c>
    </row>
    <row r="791" spans="1:80" ht="15" customHeight="1">
      <c r="A791" s="280" t="s">
        <v>277</v>
      </c>
      <c r="B791" s="117">
        <v>2011</v>
      </c>
      <c r="C791" s="117" t="s">
        <v>280</v>
      </c>
      <c r="D791" s="117" t="s">
        <v>3702</v>
      </c>
      <c r="E791" s="452" t="s">
        <v>39</v>
      </c>
      <c r="F791" s="117"/>
      <c r="G791" s="117" t="s">
        <v>24</v>
      </c>
      <c r="H791" s="117" t="str">
        <f t="shared" si="130"/>
        <v>yes</v>
      </c>
      <c r="I791" s="117" t="str">
        <f t="shared" si="131"/>
        <v>no</v>
      </c>
      <c r="J791" s="117" t="str">
        <f t="shared" si="132"/>
        <v>no</v>
      </c>
      <c r="K791" s="120" t="s">
        <v>600</v>
      </c>
      <c r="L791" s="117" t="str">
        <f t="shared" si="139"/>
        <v>Total</v>
      </c>
      <c r="M791" s="117" t="str">
        <f t="shared" si="133"/>
        <v>Total Mining</v>
      </c>
      <c r="N791" s="89"/>
      <c r="O791" s="89"/>
      <c r="P791" s="89"/>
      <c r="Q791" s="89"/>
      <c r="R791" s="89"/>
      <c r="S791" s="120"/>
      <c r="T791" s="119"/>
      <c r="U791" s="120"/>
      <c r="V791" s="120"/>
      <c r="W791" s="89">
        <f>SUM(W792:W824)</f>
        <v>30484258947.04266</v>
      </c>
      <c r="X791" s="120"/>
      <c r="Y791" s="120"/>
      <c r="Z791" s="120"/>
      <c r="AA791" s="177">
        <v>2875230773</v>
      </c>
      <c r="AB791" s="177">
        <v>2925964833</v>
      </c>
      <c r="AC791" s="122"/>
      <c r="AD791" s="122"/>
      <c r="AE791" s="122"/>
      <c r="AF791" s="123">
        <f>AA791/W791</f>
        <v>9.4318539217071312E-2</v>
      </c>
      <c r="AG791" s="120"/>
      <c r="AH791" s="493"/>
      <c r="AI791" s="120"/>
      <c r="AJ791" s="120"/>
      <c r="AK791" s="120"/>
      <c r="AL791" s="120"/>
      <c r="AM791" s="120"/>
      <c r="AN791" s="117">
        <v>108</v>
      </c>
      <c r="AO791" s="117" t="s">
        <v>1464</v>
      </c>
      <c r="AP791" s="117">
        <v>105</v>
      </c>
      <c r="AQ791" s="120"/>
      <c r="AR791" s="120"/>
      <c r="AS791" s="120"/>
      <c r="AT791" s="120"/>
      <c r="AU791" s="215">
        <v>31</v>
      </c>
      <c r="AV791" s="281"/>
      <c r="AW791" s="117">
        <f>VLOOKUP($D791,'WB Data'!$C$3:$M$578,2,FALSE)</f>
        <v>188048960311.22461</v>
      </c>
      <c r="AX791" s="117">
        <f>VLOOKUP($D791,'WB Data'!$C$3:$M$578,3,FALSE)</f>
        <v>16556600</v>
      </c>
      <c r="AY791" s="847" t="str">
        <f t="shared" si="135"/>
        <v>..</v>
      </c>
      <c r="AZ791" s="117" t="e">
        <f>VLOOKUP($D791,'WB Data'!$C$3:$M$578,4,FALSE)/100</f>
        <v>#VALUE!</v>
      </c>
      <c r="BA791" s="117" t="str">
        <f t="shared" si="136"/>
        <v>..</v>
      </c>
      <c r="BB791" s="129" t="str">
        <f>IFERROR(VLOOKUP($D791,'EITI Revenues'!$C$2:$G$224,5,FALSE),"..")</f>
        <v>..</v>
      </c>
      <c r="BC791" s="846" t="str">
        <f t="shared" si="137"/>
        <v>..</v>
      </c>
      <c r="BD791" s="129">
        <f>VLOOKUP($D791,'WB Data 2'!$C$2:$K$545,6,FALSE)</f>
        <v>72314639999.574051</v>
      </c>
      <c r="BE791" s="129">
        <f>IFERROR(VLOOKUP($D791,UNCTAD!$C$5:$V$529,4,FALSE),"..")</f>
        <v>89531640000</v>
      </c>
      <c r="BF791" s="846">
        <f t="shared" si="138"/>
        <v>0.80769926698063443</v>
      </c>
      <c r="BG791" s="117">
        <f>VLOOKUP($D791,'WB Data'!$C$3:$M$578,5,FALSE)</f>
        <v>215510000</v>
      </c>
      <c r="BH791" s="129" t="str">
        <f>IFERROR($BB791/$BG791,"..")</f>
        <v>..</v>
      </c>
      <c r="BI791" s="117" t="str">
        <f>IFERROR(VLOOKUP($D791,'WB Data'!$C$3:$M$578,7,FALSE)/100,"..")</f>
        <v>..</v>
      </c>
      <c r="BJ791" s="117" t="str">
        <f>IFERROR($BI791*$AW791,"..")</f>
        <v>..</v>
      </c>
      <c r="BK791" s="846" t="str">
        <f>IFERROR($BB791/$BJ791,"..")</f>
        <v>..</v>
      </c>
      <c r="BL791" s="117" t="str">
        <f>IFERROR(VLOOKUP($D791,'WB Data'!$C$3:$M$578,7,FALSE)/100,"..")</f>
        <v>..</v>
      </c>
      <c r="BM791" s="117" t="str">
        <f>IFERROR($AW791*$BL791,"..")</f>
        <v>..</v>
      </c>
      <c r="BN791" s="846" t="str">
        <f>IFERROR($BB791/$BM791,"..")</f>
        <v>..</v>
      </c>
      <c r="BO791" s="801">
        <f t="shared" si="134"/>
        <v>29</v>
      </c>
      <c r="BP791" s="117">
        <f>VLOOKUP($D791,'WB Data'!$C$3:$M$578,9,FALSE)</f>
        <v>5.5</v>
      </c>
      <c r="BQ791" s="117">
        <f>VLOOKUP($D791,'WB Data'!$C$3:$M$578,10,FALSE)</f>
        <v>68.98</v>
      </c>
      <c r="BR791" s="117">
        <f>VLOOKUP($D791,'WB Data'!$C$3:$M$578,11,FALSE)</f>
        <v>17.600000000000001</v>
      </c>
      <c r="BS791" s="129">
        <f>IFERROR(VLOOKUP($D791,'WB Data 2'!$C$2:$K$545,9,FALSE),"..")</f>
        <v>98.239959999999996</v>
      </c>
      <c r="BT791" s="129">
        <f>_xlfn.IFNA(VLOOKUP($C791,RGI!$A$2:$C$43,2,FALSE),"..")</f>
        <v>77.5</v>
      </c>
      <c r="BU791" s="129">
        <f>_xlfn.IFNA(VLOOKUP($C791,RGI!$A$2:$C$43,3,FALSE),"..")</f>
        <v>57.362887635782535</v>
      </c>
      <c r="BV791" s="129">
        <f>VLOOKUP($D791,WGI!$C$2:$O$478,7,FALSE)</f>
        <v>-1.0947582948953301</v>
      </c>
      <c r="BW791" s="129">
        <f>VLOOKUP($D791,WGI!$C$2:$O$478,4,FALSE)</f>
        <v>-0.32042900556192899</v>
      </c>
      <c r="BX791" s="129">
        <f>VLOOKUP($D791,WGI!$C$2:$O$478,3,FALSE)</f>
        <v>-0.42630117376099602</v>
      </c>
      <c r="BY791" s="129">
        <f>VLOOKUP($D791,WGI!$C$2:$O$478,5,FALSE)</f>
        <v>-0.25995175471842702</v>
      </c>
      <c r="BZ791" s="129">
        <f>VLOOKUP($D791,WGI!$C$2:$O$478,2,FALSE)</f>
        <v>-0.97820473728264901</v>
      </c>
    </row>
    <row r="792" spans="1:80" ht="15" customHeight="1">
      <c r="A792" s="280" t="s">
        <v>277</v>
      </c>
      <c r="B792" s="117">
        <v>2011</v>
      </c>
      <c r="C792" s="117" t="s">
        <v>280</v>
      </c>
      <c r="D792" s="117" t="s">
        <v>3702</v>
      </c>
      <c r="E792" s="452" t="s">
        <v>39</v>
      </c>
      <c r="F792" s="117"/>
      <c r="G792" s="117" t="s">
        <v>24</v>
      </c>
      <c r="H792" s="117" t="str">
        <f t="shared" si="130"/>
        <v>yes</v>
      </c>
      <c r="I792" s="117" t="str">
        <f t="shared" si="131"/>
        <v>no</v>
      </c>
      <c r="J792" s="117" t="str">
        <f t="shared" si="132"/>
        <v>no</v>
      </c>
      <c r="K792" s="120" t="s">
        <v>1410</v>
      </c>
      <c r="L792" s="117" t="str">
        <f t="shared" si="139"/>
        <v>detailed</v>
      </c>
      <c r="M792" s="117" t="str">
        <f t="shared" si="133"/>
        <v>detailed Mining</v>
      </c>
      <c r="N792" s="89">
        <v>223100</v>
      </c>
      <c r="O792" s="89"/>
      <c r="P792" s="89"/>
      <c r="Q792" s="89"/>
      <c r="R792" s="89"/>
      <c r="S792" s="120" t="s">
        <v>610</v>
      </c>
      <c r="T792" s="119">
        <v>931</v>
      </c>
      <c r="U792" s="117" t="s">
        <v>611</v>
      </c>
      <c r="V792" s="117" t="s">
        <v>1411</v>
      </c>
      <c r="W792" s="89">
        <f>N792*T792</f>
        <v>207706100</v>
      </c>
      <c r="X792" s="120"/>
      <c r="Y792" s="120"/>
      <c r="Z792" s="120"/>
      <c r="AA792" s="117"/>
      <c r="AB792" s="117"/>
      <c r="AC792" s="462"/>
      <c r="AD792" s="462"/>
      <c r="AE792" s="462"/>
      <c r="AF792" s="463"/>
      <c r="AG792" s="120"/>
      <c r="AH792" s="493"/>
      <c r="AI792" s="120"/>
      <c r="AJ792" s="120"/>
      <c r="AK792" s="120"/>
      <c r="AL792" s="120"/>
      <c r="AM792" s="120"/>
      <c r="AN792" s="120"/>
      <c r="AO792" s="120"/>
      <c r="AP792" s="120"/>
      <c r="AQ792" s="120"/>
      <c r="AR792" s="120"/>
      <c r="AS792" s="120"/>
      <c r="AT792" s="120"/>
      <c r="AU792" s="120"/>
      <c r="AV792" s="128"/>
      <c r="AW792" s="117">
        <f>VLOOKUP($D792,'WB Data'!$C$3:$M$578,2,FALSE)</f>
        <v>188048960311.22461</v>
      </c>
      <c r="AX792" s="117">
        <f>VLOOKUP($D792,'WB Data'!$C$3:$M$578,3,FALSE)</f>
        <v>16556600</v>
      </c>
      <c r="AY792" s="847" t="str">
        <f t="shared" si="135"/>
        <v>..</v>
      </c>
      <c r="AZ792" s="117" t="e">
        <f>VLOOKUP($D792,'WB Data'!$C$3:$M$578,4,FALSE)/100</f>
        <v>#VALUE!</v>
      </c>
      <c r="BA792" s="117" t="str">
        <f t="shared" si="136"/>
        <v>..</v>
      </c>
      <c r="BB792" s="129" t="str">
        <f>IFERROR(VLOOKUP($D792,'EITI Revenues'!$C$2:$G$224,5,FALSE),"..")</f>
        <v>..</v>
      </c>
      <c r="BC792" s="846" t="str">
        <f t="shared" si="137"/>
        <v>..</v>
      </c>
      <c r="BD792" s="129">
        <f>VLOOKUP($D792,'WB Data 2'!$C$2:$K$545,6,FALSE)</f>
        <v>72314639999.574051</v>
      </c>
      <c r="BE792" s="129">
        <f>IFERROR(VLOOKUP($D792,UNCTAD!$C$5:$V$529,4,FALSE),"..")</f>
        <v>89531640000</v>
      </c>
      <c r="BF792" s="846">
        <f t="shared" si="138"/>
        <v>0.80769926698063443</v>
      </c>
      <c r="BG792" s="117">
        <f>VLOOKUP($D792,'WB Data'!$C$3:$M$578,5,FALSE)</f>
        <v>215510000</v>
      </c>
      <c r="BH792" s="129" t="str">
        <f>IFERROR($BB792/$BG792,"..")</f>
        <v>..</v>
      </c>
      <c r="BI792" s="117" t="str">
        <f>IFERROR(VLOOKUP($D792,'WB Data'!$C$3:$M$578,7,FALSE)/100,"..")</f>
        <v>..</v>
      </c>
      <c r="BJ792" s="117" t="str">
        <f>IFERROR($BI792*$AW792,"..")</f>
        <v>..</v>
      </c>
      <c r="BK792" s="846" t="str">
        <f>IFERROR($BB792/$BJ792,"..")</f>
        <v>..</v>
      </c>
      <c r="BL792" s="117" t="str">
        <f>IFERROR(VLOOKUP($D792,'WB Data'!$C$3:$M$578,7,FALSE)/100,"..")</f>
        <v>..</v>
      </c>
      <c r="BM792" s="117" t="str">
        <f>IFERROR($AW792*$BL792,"..")</f>
        <v>..</v>
      </c>
      <c r="BN792" s="846" t="str">
        <f>IFERROR($BB792/$BM792,"..")</f>
        <v>..</v>
      </c>
      <c r="BO792" s="801">
        <f t="shared" si="134"/>
        <v>29</v>
      </c>
      <c r="BP792" s="117">
        <f>VLOOKUP($D792,'WB Data'!$C$3:$M$578,9,FALSE)</f>
        <v>5.5</v>
      </c>
      <c r="BQ792" s="117">
        <f>VLOOKUP($D792,'WB Data'!$C$3:$M$578,10,FALSE)</f>
        <v>68.98</v>
      </c>
      <c r="BR792" s="117">
        <f>VLOOKUP($D792,'WB Data'!$C$3:$M$578,11,FALSE)</f>
        <v>17.600000000000001</v>
      </c>
      <c r="BS792" s="129">
        <f>IFERROR(VLOOKUP($D792,'WB Data 2'!$C$2:$K$545,9,FALSE),"..")</f>
        <v>98.239959999999996</v>
      </c>
      <c r="BT792" s="129">
        <f>_xlfn.IFNA(VLOOKUP($C792,RGI!$A$2:$C$43,2,FALSE),"..")</f>
        <v>77.5</v>
      </c>
      <c r="BU792" s="129">
        <f>_xlfn.IFNA(VLOOKUP($C792,RGI!$A$2:$C$43,3,FALSE),"..")</f>
        <v>57.362887635782535</v>
      </c>
      <c r="BV792" s="129">
        <f>VLOOKUP($D792,WGI!$C$2:$O$478,7,FALSE)</f>
        <v>-1.0947582948953301</v>
      </c>
      <c r="BW792" s="129">
        <f>VLOOKUP($D792,WGI!$C$2:$O$478,4,FALSE)</f>
        <v>-0.32042900556192899</v>
      </c>
      <c r="BX792" s="129">
        <f>VLOOKUP($D792,WGI!$C$2:$O$478,3,FALSE)</f>
        <v>-0.42630117376099602</v>
      </c>
      <c r="BY792" s="129">
        <f>VLOOKUP($D792,WGI!$C$2:$O$478,5,FALSE)</f>
        <v>-0.25995175471842702</v>
      </c>
      <c r="BZ792" s="129">
        <f>VLOOKUP($D792,WGI!$C$2:$O$478,2,FALSE)</f>
        <v>-0.97820473728264901</v>
      </c>
    </row>
    <row r="793" spans="1:80" ht="15" customHeight="1">
      <c r="A793" s="280" t="s">
        <v>277</v>
      </c>
      <c r="B793" s="117">
        <v>2011</v>
      </c>
      <c r="C793" s="117" t="s">
        <v>280</v>
      </c>
      <c r="D793" s="117" t="s">
        <v>3702</v>
      </c>
      <c r="E793" s="452" t="s">
        <v>39</v>
      </c>
      <c r="F793" s="117"/>
      <c r="G793" s="117" t="s">
        <v>24</v>
      </c>
      <c r="H793" s="117" t="str">
        <f t="shared" si="130"/>
        <v>yes</v>
      </c>
      <c r="I793" s="117" t="str">
        <f t="shared" si="131"/>
        <v>no</v>
      </c>
      <c r="J793" s="117" t="str">
        <f t="shared" si="132"/>
        <v>no</v>
      </c>
      <c r="K793" s="120" t="s">
        <v>1413</v>
      </c>
      <c r="L793" s="117" t="str">
        <f t="shared" si="139"/>
        <v>detailed</v>
      </c>
      <c r="M793" s="117" t="str">
        <f t="shared" si="133"/>
        <v>detailed Mining</v>
      </c>
      <c r="N793" s="89"/>
      <c r="O793" s="89"/>
      <c r="P793" s="89"/>
      <c r="Q793" s="89"/>
      <c r="R793" s="89"/>
      <c r="S793" s="120"/>
      <c r="T793" s="119">
        <v>86</v>
      </c>
      <c r="U793" s="117" t="s">
        <v>611</v>
      </c>
      <c r="V793" s="117" t="s">
        <v>1414</v>
      </c>
      <c r="W793" s="89">
        <f>N795*T793</f>
        <v>17200000</v>
      </c>
      <c r="X793" s="120"/>
      <c r="Y793" s="120"/>
      <c r="Z793" s="120"/>
      <c r="AA793" s="117"/>
      <c r="AB793" s="117"/>
      <c r="AC793" s="462"/>
      <c r="AD793" s="462"/>
      <c r="AE793" s="462"/>
      <c r="AF793" s="463"/>
      <c r="AG793" s="120"/>
      <c r="AH793" s="493"/>
      <c r="AI793" s="120"/>
      <c r="AJ793" s="120"/>
      <c r="AK793" s="120"/>
      <c r="AL793" s="120"/>
      <c r="AM793" s="120"/>
      <c r="AN793" s="120"/>
      <c r="AO793" s="120"/>
      <c r="AP793" s="120"/>
      <c r="AQ793" s="120"/>
      <c r="AR793" s="120"/>
      <c r="AS793" s="120"/>
      <c r="AT793" s="120"/>
      <c r="AU793" s="120"/>
      <c r="AV793" s="128"/>
      <c r="AW793" s="117">
        <f>VLOOKUP($D793,'WB Data'!$C$3:$M$578,2,FALSE)</f>
        <v>188048960311.22461</v>
      </c>
      <c r="AX793" s="117">
        <f>VLOOKUP($D793,'WB Data'!$C$3:$M$578,3,FALSE)</f>
        <v>16556600</v>
      </c>
      <c r="AY793" s="847" t="str">
        <f t="shared" si="135"/>
        <v>..</v>
      </c>
      <c r="AZ793" s="117" t="e">
        <f>VLOOKUP($D793,'WB Data'!$C$3:$M$578,4,FALSE)/100</f>
        <v>#VALUE!</v>
      </c>
      <c r="BA793" s="117" t="str">
        <f t="shared" si="136"/>
        <v>..</v>
      </c>
      <c r="BB793" s="129" t="str">
        <f>IFERROR(VLOOKUP($D793,'EITI Revenues'!$C$2:$G$224,5,FALSE),"..")</f>
        <v>..</v>
      </c>
      <c r="BC793" s="846" t="str">
        <f t="shared" si="137"/>
        <v>..</v>
      </c>
      <c r="BD793" s="129">
        <f>VLOOKUP($D793,'WB Data 2'!$C$2:$K$545,6,FALSE)</f>
        <v>72314639999.574051</v>
      </c>
      <c r="BE793" s="129">
        <f>IFERROR(VLOOKUP($D793,UNCTAD!$C$5:$V$529,4,FALSE),"..")</f>
        <v>89531640000</v>
      </c>
      <c r="BF793" s="846">
        <f t="shared" si="138"/>
        <v>0.80769926698063443</v>
      </c>
      <c r="BG793" s="117">
        <f>VLOOKUP($D793,'WB Data'!$C$3:$M$578,5,FALSE)</f>
        <v>215510000</v>
      </c>
      <c r="BH793" s="129" t="str">
        <f>IFERROR($BB793/$BG793,"..")</f>
        <v>..</v>
      </c>
      <c r="BI793" s="117" t="str">
        <f>IFERROR(VLOOKUP($D793,'WB Data'!$C$3:$M$578,7,FALSE)/100,"..")</f>
        <v>..</v>
      </c>
      <c r="BJ793" s="117" t="str">
        <f>IFERROR($BI793*$AW793,"..")</f>
        <v>..</v>
      </c>
      <c r="BK793" s="846" t="str">
        <f>IFERROR($BB793/$BJ793,"..")</f>
        <v>..</v>
      </c>
      <c r="BL793" s="117" t="str">
        <f>IFERROR(VLOOKUP($D793,'WB Data'!$C$3:$M$578,7,FALSE)/100,"..")</f>
        <v>..</v>
      </c>
      <c r="BM793" s="117" t="str">
        <f>IFERROR($AW793*$BL793,"..")</f>
        <v>..</v>
      </c>
      <c r="BN793" s="846" t="str">
        <f>IFERROR($BB793/$BM793,"..")</f>
        <v>..</v>
      </c>
      <c r="BO793" s="801">
        <f t="shared" si="134"/>
        <v>29</v>
      </c>
      <c r="BP793" s="117">
        <f>VLOOKUP($D793,'WB Data'!$C$3:$M$578,9,FALSE)</f>
        <v>5.5</v>
      </c>
      <c r="BQ793" s="117">
        <f>VLOOKUP($D793,'WB Data'!$C$3:$M$578,10,FALSE)</f>
        <v>68.98</v>
      </c>
      <c r="BR793" s="117">
        <f>VLOOKUP($D793,'WB Data'!$C$3:$M$578,11,FALSE)</f>
        <v>17.600000000000001</v>
      </c>
      <c r="BS793" s="129">
        <f>IFERROR(VLOOKUP($D793,'WB Data 2'!$C$2:$K$545,9,FALSE),"..")</f>
        <v>98.239959999999996</v>
      </c>
      <c r="BT793" s="129">
        <f>_xlfn.IFNA(VLOOKUP($C793,RGI!$A$2:$C$43,2,FALSE),"..")</f>
        <v>77.5</v>
      </c>
      <c r="BU793" s="129">
        <f>_xlfn.IFNA(VLOOKUP($C793,RGI!$A$2:$C$43,3,FALSE),"..")</f>
        <v>57.362887635782535</v>
      </c>
      <c r="BV793" s="129">
        <f>VLOOKUP($D793,WGI!$C$2:$O$478,7,FALSE)</f>
        <v>-1.0947582948953301</v>
      </c>
      <c r="BW793" s="129">
        <f>VLOOKUP($D793,WGI!$C$2:$O$478,4,FALSE)</f>
        <v>-0.32042900556192899</v>
      </c>
      <c r="BX793" s="129">
        <f>VLOOKUP($D793,WGI!$C$2:$O$478,3,FALSE)</f>
        <v>-0.42630117376099602</v>
      </c>
      <c r="BY793" s="129">
        <f>VLOOKUP($D793,WGI!$C$2:$O$478,5,FALSE)</f>
        <v>-0.25995175471842702</v>
      </c>
      <c r="BZ793" s="129">
        <f>VLOOKUP($D793,WGI!$C$2:$O$478,2,FALSE)</f>
        <v>-0.97820473728264901</v>
      </c>
    </row>
    <row r="794" spans="1:80" ht="15" customHeight="1">
      <c r="A794" s="280" t="s">
        <v>277</v>
      </c>
      <c r="B794" s="117">
        <v>2011</v>
      </c>
      <c r="C794" s="117" t="s">
        <v>280</v>
      </c>
      <c r="D794" s="117" t="s">
        <v>3702</v>
      </c>
      <c r="E794" s="452" t="s">
        <v>39</v>
      </c>
      <c r="F794" s="117"/>
      <c r="G794" s="117" t="s">
        <v>24</v>
      </c>
      <c r="H794" s="117" t="str">
        <f t="shared" si="130"/>
        <v>yes</v>
      </c>
      <c r="I794" s="117" t="str">
        <f t="shared" si="131"/>
        <v>no</v>
      </c>
      <c r="J794" s="117" t="str">
        <f t="shared" si="132"/>
        <v>no</v>
      </c>
      <c r="K794" s="120" t="s">
        <v>1415</v>
      </c>
      <c r="L794" s="117" t="str">
        <f t="shared" si="139"/>
        <v>detailed</v>
      </c>
      <c r="M794" s="117" t="str">
        <f t="shared" si="133"/>
        <v>detailed Mining</v>
      </c>
      <c r="N794" s="89">
        <v>466000</v>
      </c>
      <c r="O794" s="89"/>
      <c r="P794" s="89"/>
      <c r="Q794" s="89"/>
      <c r="R794" s="89"/>
      <c r="S794" s="120" t="s">
        <v>610</v>
      </c>
      <c r="T794" s="119"/>
      <c r="U794" s="120"/>
      <c r="V794" s="117" t="s">
        <v>847</v>
      </c>
      <c r="W794" s="89"/>
      <c r="X794" s="120"/>
      <c r="Y794" s="120"/>
      <c r="Z794" s="120"/>
      <c r="AA794" s="117"/>
      <c r="AB794" s="117"/>
      <c r="AC794" s="462"/>
      <c r="AD794" s="462"/>
      <c r="AE794" s="462"/>
      <c r="AF794" s="463"/>
      <c r="AG794" s="120"/>
      <c r="AH794" s="493"/>
      <c r="AI794" s="120"/>
      <c r="AJ794" s="120"/>
      <c r="AK794" s="120"/>
      <c r="AL794" s="120"/>
      <c r="AM794" s="120"/>
      <c r="AN794" s="120"/>
      <c r="AO794" s="120"/>
      <c r="AP794" s="120"/>
      <c r="AQ794" s="120"/>
      <c r="AR794" s="120"/>
      <c r="AS794" s="120"/>
      <c r="AT794" s="120"/>
      <c r="AU794" s="120"/>
      <c r="AV794" s="128"/>
      <c r="AW794" s="117">
        <f>VLOOKUP($D794,'WB Data'!$C$3:$M$578,2,FALSE)</f>
        <v>188048960311.22461</v>
      </c>
      <c r="AX794" s="117">
        <f>VLOOKUP($D794,'WB Data'!$C$3:$M$578,3,FALSE)</f>
        <v>16556600</v>
      </c>
      <c r="AY794" s="847" t="str">
        <f t="shared" si="135"/>
        <v>..</v>
      </c>
      <c r="AZ794" s="117" t="e">
        <f>VLOOKUP($D794,'WB Data'!$C$3:$M$578,4,FALSE)/100</f>
        <v>#VALUE!</v>
      </c>
      <c r="BA794" s="117" t="str">
        <f t="shared" si="136"/>
        <v>..</v>
      </c>
      <c r="BB794" s="129" t="str">
        <f>IFERROR(VLOOKUP($D794,'EITI Revenues'!$C$2:$G$224,5,FALSE),"..")</f>
        <v>..</v>
      </c>
      <c r="BC794" s="846" t="str">
        <f t="shared" si="137"/>
        <v>..</v>
      </c>
      <c r="BD794" s="129">
        <f>VLOOKUP($D794,'WB Data 2'!$C$2:$K$545,6,FALSE)</f>
        <v>72314639999.574051</v>
      </c>
      <c r="BE794" s="129">
        <f>IFERROR(VLOOKUP($D794,UNCTAD!$C$5:$V$529,4,FALSE),"..")</f>
        <v>89531640000</v>
      </c>
      <c r="BF794" s="846">
        <f t="shared" si="138"/>
        <v>0.80769926698063443</v>
      </c>
      <c r="BG794" s="117">
        <f>VLOOKUP($D794,'WB Data'!$C$3:$M$578,5,FALSE)</f>
        <v>215510000</v>
      </c>
      <c r="BH794" s="129" t="str">
        <f>IFERROR($BB794/$BG794,"..")</f>
        <v>..</v>
      </c>
      <c r="BI794" s="117" t="str">
        <f>IFERROR(VLOOKUP($D794,'WB Data'!$C$3:$M$578,7,FALSE)/100,"..")</f>
        <v>..</v>
      </c>
      <c r="BJ794" s="117" t="str">
        <f>IFERROR($BI794*$AW794,"..")</f>
        <v>..</v>
      </c>
      <c r="BK794" s="846" t="str">
        <f>IFERROR($BB794/$BJ794,"..")</f>
        <v>..</v>
      </c>
      <c r="BL794" s="117" t="str">
        <f>IFERROR(VLOOKUP($D794,'WB Data'!$C$3:$M$578,7,FALSE)/100,"..")</f>
        <v>..</v>
      </c>
      <c r="BM794" s="117" t="str">
        <f>IFERROR($AW794*$BL794,"..")</f>
        <v>..</v>
      </c>
      <c r="BN794" s="846" t="str">
        <f>IFERROR($BB794/$BM794,"..")</f>
        <v>..</v>
      </c>
      <c r="BO794" s="801">
        <f t="shared" si="134"/>
        <v>29</v>
      </c>
      <c r="BP794" s="117">
        <f>VLOOKUP($D794,'WB Data'!$C$3:$M$578,9,FALSE)</f>
        <v>5.5</v>
      </c>
      <c r="BQ794" s="117">
        <f>VLOOKUP($D794,'WB Data'!$C$3:$M$578,10,FALSE)</f>
        <v>68.98</v>
      </c>
      <c r="BR794" s="117">
        <f>VLOOKUP($D794,'WB Data'!$C$3:$M$578,11,FALSE)</f>
        <v>17.600000000000001</v>
      </c>
      <c r="BS794" s="129">
        <f>IFERROR(VLOOKUP($D794,'WB Data 2'!$C$2:$K$545,9,FALSE),"..")</f>
        <v>98.239959999999996</v>
      </c>
      <c r="BT794" s="129">
        <f>_xlfn.IFNA(VLOOKUP($C794,RGI!$A$2:$C$43,2,FALSE),"..")</f>
        <v>77.5</v>
      </c>
      <c r="BU794" s="129">
        <f>_xlfn.IFNA(VLOOKUP($C794,RGI!$A$2:$C$43,3,FALSE),"..")</f>
        <v>57.362887635782535</v>
      </c>
      <c r="BV794" s="129">
        <f>VLOOKUP($D794,WGI!$C$2:$O$478,7,FALSE)</f>
        <v>-1.0947582948953301</v>
      </c>
      <c r="BW794" s="129">
        <f>VLOOKUP($D794,WGI!$C$2:$O$478,4,FALSE)</f>
        <v>-0.32042900556192899</v>
      </c>
      <c r="BX794" s="129">
        <f>VLOOKUP($D794,WGI!$C$2:$O$478,3,FALSE)</f>
        <v>-0.42630117376099602</v>
      </c>
      <c r="BY794" s="129">
        <f>VLOOKUP($D794,WGI!$C$2:$O$478,5,FALSE)</f>
        <v>-0.25995175471842702</v>
      </c>
      <c r="BZ794" s="129">
        <f>VLOOKUP($D794,WGI!$C$2:$O$478,2,FALSE)</f>
        <v>-0.97820473728264901</v>
      </c>
    </row>
    <row r="795" spans="1:80" ht="15" customHeight="1">
      <c r="A795" s="280" t="s">
        <v>277</v>
      </c>
      <c r="B795" s="117">
        <v>2011</v>
      </c>
      <c r="C795" s="117" t="s">
        <v>280</v>
      </c>
      <c r="D795" s="117" t="s">
        <v>3702</v>
      </c>
      <c r="E795" s="452" t="s">
        <v>39</v>
      </c>
      <c r="F795" s="117"/>
      <c r="G795" s="117" t="s">
        <v>24</v>
      </c>
      <c r="H795" s="117" t="str">
        <f t="shared" si="130"/>
        <v>yes</v>
      </c>
      <c r="I795" s="117" t="str">
        <f t="shared" si="131"/>
        <v>no</v>
      </c>
      <c r="J795" s="117" t="str">
        <f t="shared" si="132"/>
        <v>no</v>
      </c>
      <c r="K795" s="120" t="s">
        <v>1416</v>
      </c>
      <c r="L795" s="117" t="str">
        <f t="shared" si="139"/>
        <v>detailed</v>
      </c>
      <c r="M795" s="117" t="str">
        <f t="shared" si="133"/>
        <v>detailed Mining</v>
      </c>
      <c r="N795" s="89">
        <v>200000</v>
      </c>
      <c r="O795" s="89"/>
      <c r="P795" s="89"/>
      <c r="Q795" s="89"/>
      <c r="R795" s="89"/>
      <c r="S795" s="120" t="s">
        <v>610</v>
      </c>
      <c r="T795" s="119"/>
      <c r="U795" s="120"/>
      <c r="V795" s="117" t="s">
        <v>847</v>
      </c>
      <c r="W795" s="89"/>
      <c r="X795" s="120"/>
      <c r="Y795" s="120"/>
      <c r="Z795" s="120"/>
      <c r="AA795" s="117"/>
      <c r="AB795" s="117"/>
      <c r="AC795" s="462"/>
      <c r="AD795" s="462"/>
      <c r="AE795" s="462"/>
      <c r="AF795" s="463"/>
      <c r="AG795" s="120"/>
      <c r="AH795" s="493"/>
      <c r="AI795" s="120"/>
      <c r="AJ795" s="120"/>
      <c r="AK795" s="120"/>
      <c r="AL795" s="120"/>
      <c r="AM795" s="120"/>
      <c r="AN795" s="120"/>
      <c r="AO795" s="120"/>
      <c r="AP795" s="120"/>
      <c r="AQ795" s="120"/>
      <c r="AR795" s="120"/>
      <c r="AS795" s="120"/>
      <c r="AT795" s="120"/>
      <c r="AU795" s="120"/>
      <c r="AV795" s="128"/>
      <c r="AW795" s="117">
        <f>VLOOKUP($D795,'WB Data'!$C$3:$M$578,2,FALSE)</f>
        <v>188048960311.22461</v>
      </c>
      <c r="AX795" s="117">
        <f>VLOOKUP($D795,'WB Data'!$C$3:$M$578,3,FALSE)</f>
        <v>16556600</v>
      </c>
      <c r="AY795" s="847" t="str">
        <f t="shared" si="135"/>
        <v>..</v>
      </c>
      <c r="AZ795" s="117" t="e">
        <f>VLOOKUP($D795,'WB Data'!$C$3:$M$578,4,FALSE)/100</f>
        <v>#VALUE!</v>
      </c>
      <c r="BA795" s="117" t="str">
        <f t="shared" si="136"/>
        <v>..</v>
      </c>
      <c r="BB795" s="129" t="str">
        <f>IFERROR(VLOOKUP($D795,'EITI Revenues'!$C$2:$G$224,5,FALSE),"..")</f>
        <v>..</v>
      </c>
      <c r="BC795" s="846" t="str">
        <f t="shared" si="137"/>
        <v>..</v>
      </c>
      <c r="BD795" s="129">
        <f>VLOOKUP($D795,'WB Data 2'!$C$2:$K$545,6,FALSE)</f>
        <v>72314639999.574051</v>
      </c>
      <c r="BE795" s="129">
        <f>IFERROR(VLOOKUP($D795,UNCTAD!$C$5:$V$529,4,FALSE),"..")</f>
        <v>89531640000</v>
      </c>
      <c r="BF795" s="846">
        <f t="shared" si="138"/>
        <v>0.80769926698063443</v>
      </c>
      <c r="BG795" s="117">
        <f>VLOOKUP($D795,'WB Data'!$C$3:$M$578,5,FALSE)</f>
        <v>215510000</v>
      </c>
      <c r="BH795" s="129" t="str">
        <f>IFERROR($BB795/$BG795,"..")</f>
        <v>..</v>
      </c>
      <c r="BI795" s="117" t="str">
        <f>IFERROR(VLOOKUP($D795,'WB Data'!$C$3:$M$578,7,FALSE)/100,"..")</f>
        <v>..</v>
      </c>
      <c r="BJ795" s="117" t="str">
        <f>IFERROR($BI795*$AW795,"..")</f>
        <v>..</v>
      </c>
      <c r="BK795" s="846" t="str">
        <f>IFERROR($BB795/$BJ795,"..")</f>
        <v>..</v>
      </c>
      <c r="BL795" s="117" t="str">
        <f>IFERROR(VLOOKUP($D795,'WB Data'!$C$3:$M$578,7,FALSE)/100,"..")</f>
        <v>..</v>
      </c>
      <c r="BM795" s="117" t="str">
        <f>IFERROR($AW795*$BL795,"..")</f>
        <v>..</v>
      </c>
      <c r="BN795" s="846" t="str">
        <f>IFERROR($BB795/$BM795,"..")</f>
        <v>..</v>
      </c>
      <c r="BO795" s="801">
        <f t="shared" si="134"/>
        <v>29</v>
      </c>
      <c r="BP795" s="117">
        <f>VLOOKUP($D795,'WB Data'!$C$3:$M$578,9,FALSE)</f>
        <v>5.5</v>
      </c>
      <c r="BQ795" s="117">
        <f>VLOOKUP($D795,'WB Data'!$C$3:$M$578,10,FALSE)</f>
        <v>68.98</v>
      </c>
      <c r="BR795" s="117">
        <f>VLOOKUP($D795,'WB Data'!$C$3:$M$578,11,FALSE)</f>
        <v>17.600000000000001</v>
      </c>
      <c r="BS795" s="129">
        <f>IFERROR(VLOOKUP($D795,'WB Data 2'!$C$2:$K$545,9,FALSE),"..")</f>
        <v>98.239959999999996</v>
      </c>
      <c r="BT795" s="129">
        <f>_xlfn.IFNA(VLOOKUP($C795,RGI!$A$2:$C$43,2,FALSE),"..")</f>
        <v>77.5</v>
      </c>
      <c r="BU795" s="129">
        <f>_xlfn.IFNA(VLOOKUP($C795,RGI!$A$2:$C$43,3,FALSE),"..")</f>
        <v>57.362887635782535</v>
      </c>
      <c r="BV795" s="129">
        <f>VLOOKUP($D795,WGI!$C$2:$O$478,7,FALSE)</f>
        <v>-1.0947582948953301</v>
      </c>
      <c r="BW795" s="129">
        <f>VLOOKUP($D795,WGI!$C$2:$O$478,4,FALSE)</f>
        <v>-0.32042900556192899</v>
      </c>
      <c r="BX795" s="129">
        <f>VLOOKUP($D795,WGI!$C$2:$O$478,3,FALSE)</f>
        <v>-0.42630117376099602</v>
      </c>
      <c r="BY795" s="129">
        <f>VLOOKUP($D795,WGI!$C$2:$O$478,5,FALSE)</f>
        <v>-0.25995175471842702</v>
      </c>
      <c r="BZ795" s="129">
        <f>VLOOKUP($D795,WGI!$C$2:$O$478,2,FALSE)</f>
        <v>-0.97820473728264901</v>
      </c>
    </row>
    <row r="796" spans="1:80" ht="15" customHeight="1">
      <c r="A796" s="280" t="s">
        <v>277</v>
      </c>
      <c r="B796" s="117">
        <v>2011</v>
      </c>
      <c r="C796" s="117" t="s">
        <v>280</v>
      </c>
      <c r="D796" s="117" t="s">
        <v>3702</v>
      </c>
      <c r="E796" s="452" t="s">
        <v>39</v>
      </c>
      <c r="F796" s="117"/>
      <c r="G796" s="117" t="s">
        <v>24</v>
      </c>
      <c r="H796" s="117" t="str">
        <f t="shared" si="130"/>
        <v>yes</v>
      </c>
      <c r="I796" s="117" t="str">
        <f t="shared" si="131"/>
        <v>no</v>
      </c>
      <c r="J796" s="117" t="str">
        <f t="shared" si="132"/>
        <v>no</v>
      </c>
      <c r="K796" s="120" t="s">
        <v>1138</v>
      </c>
      <c r="L796" s="117" t="str">
        <f t="shared" si="139"/>
        <v>detailed</v>
      </c>
      <c r="M796" s="117" t="str">
        <f t="shared" si="133"/>
        <v>detailed Mining</v>
      </c>
      <c r="N796" s="89">
        <v>5495000</v>
      </c>
      <c r="O796" s="89"/>
      <c r="P796" s="89"/>
      <c r="Q796" s="89"/>
      <c r="R796" s="89"/>
      <c r="S796" s="120" t="s">
        <v>610</v>
      </c>
      <c r="T796" s="119">
        <v>30.49</v>
      </c>
      <c r="U796" s="117" t="s">
        <v>611</v>
      </c>
      <c r="V796" s="117" t="s">
        <v>1199</v>
      </c>
      <c r="W796" s="89">
        <f>N796*T796</f>
        <v>167542550</v>
      </c>
      <c r="X796" s="120"/>
      <c r="Y796" s="120"/>
      <c r="Z796" s="120"/>
      <c r="AA796" s="117"/>
      <c r="AB796" s="117"/>
      <c r="AC796" s="462"/>
      <c r="AD796" s="462"/>
      <c r="AE796" s="462"/>
      <c r="AF796" s="463"/>
      <c r="AG796" s="120"/>
      <c r="AH796" s="493"/>
      <c r="AI796" s="120"/>
      <c r="AJ796" s="120"/>
      <c r="AK796" s="120"/>
      <c r="AL796" s="120"/>
      <c r="AM796" s="120"/>
      <c r="AN796" s="120"/>
      <c r="AO796" s="120"/>
      <c r="AP796" s="120"/>
      <c r="AQ796" s="120"/>
      <c r="AR796" s="120"/>
      <c r="AS796" s="120"/>
      <c r="AT796" s="120"/>
      <c r="AU796" s="120"/>
      <c r="AV796" s="128"/>
      <c r="AW796" s="117">
        <f>VLOOKUP($D796,'WB Data'!$C$3:$M$578,2,FALSE)</f>
        <v>188048960311.22461</v>
      </c>
      <c r="AX796" s="117">
        <f>VLOOKUP($D796,'WB Data'!$C$3:$M$578,3,FALSE)</f>
        <v>16556600</v>
      </c>
      <c r="AY796" s="847" t="str">
        <f t="shared" si="135"/>
        <v>..</v>
      </c>
      <c r="AZ796" s="117" t="e">
        <f>VLOOKUP($D796,'WB Data'!$C$3:$M$578,4,FALSE)/100</f>
        <v>#VALUE!</v>
      </c>
      <c r="BA796" s="117" t="str">
        <f t="shared" si="136"/>
        <v>..</v>
      </c>
      <c r="BB796" s="129" t="str">
        <f>IFERROR(VLOOKUP($D796,'EITI Revenues'!$C$2:$G$224,5,FALSE),"..")</f>
        <v>..</v>
      </c>
      <c r="BC796" s="846" t="str">
        <f t="shared" si="137"/>
        <v>..</v>
      </c>
      <c r="BD796" s="129">
        <f>VLOOKUP($D796,'WB Data 2'!$C$2:$K$545,6,FALSE)</f>
        <v>72314639999.574051</v>
      </c>
      <c r="BE796" s="129">
        <f>IFERROR(VLOOKUP($D796,UNCTAD!$C$5:$V$529,4,FALSE),"..")</f>
        <v>89531640000</v>
      </c>
      <c r="BF796" s="846">
        <f t="shared" si="138"/>
        <v>0.80769926698063443</v>
      </c>
      <c r="BG796" s="117">
        <f>VLOOKUP($D796,'WB Data'!$C$3:$M$578,5,FALSE)</f>
        <v>215510000</v>
      </c>
      <c r="BH796" s="129" t="str">
        <f>IFERROR($BB796/$BG796,"..")</f>
        <v>..</v>
      </c>
      <c r="BI796" s="117" t="str">
        <f>IFERROR(VLOOKUP($D796,'WB Data'!$C$3:$M$578,7,FALSE)/100,"..")</f>
        <v>..</v>
      </c>
      <c r="BJ796" s="117" t="str">
        <f>IFERROR($BI796*$AW796,"..")</f>
        <v>..</v>
      </c>
      <c r="BK796" s="846" t="str">
        <f>IFERROR($BB796/$BJ796,"..")</f>
        <v>..</v>
      </c>
      <c r="BL796" s="117" t="str">
        <f>IFERROR(VLOOKUP($D796,'WB Data'!$C$3:$M$578,7,FALSE)/100,"..")</f>
        <v>..</v>
      </c>
      <c r="BM796" s="117" t="str">
        <f>IFERROR($AW796*$BL796,"..")</f>
        <v>..</v>
      </c>
      <c r="BN796" s="846" t="str">
        <f>IFERROR($BB796/$BM796,"..")</f>
        <v>..</v>
      </c>
      <c r="BO796" s="801">
        <f t="shared" si="134"/>
        <v>29</v>
      </c>
      <c r="BP796" s="117">
        <f>VLOOKUP($D796,'WB Data'!$C$3:$M$578,9,FALSE)</f>
        <v>5.5</v>
      </c>
      <c r="BQ796" s="117">
        <f>VLOOKUP($D796,'WB Data'!$C$3:$M$578,10,FALSE)</f>
        <v>68.98</v>
      </c>
      <c r="BR796" s="117">
        <f>VLOOKUP($D796,'WB Data'!$C$3:$M$578,11,FALSE)</f>
        <v>17.600000000000001</v>
      </c>
      <c r="BS796" s="129">
        <f>IFERROR(VLOOKUP($D796,'WB Data 2'!$C$2:$K$545,9,FALSE),"..")</f>
        <v>98.239959999999996</v>
      </c>
      <c r="BT796" s="129">
        <f>_xlfn.IFNA(VLOOKUP($C796,RGI!$A$2:$C$43,2,FALSE),"..")</f>
        <v>77.5</v>
      </c>
      <c r="BU796" s="129">
        <f>_xlfn.IFNA(VLOOKUP($C796,RGI!$A$2:$C$43,3,FALSE),"..")</f>
        <v>57.362887635782535</v>
      </c>
      <c r="BV796" s="129">
        <f>VLOOKUP($D796,WGI!$C$2:$O$478,7,FALSE)</f>
        <v>-1.0947582948953301</v>
      </c>
      <c r="BW796" s="129">
        <f>VLOOKUP($D796,WGI!$C$2:$O$478,4,FALSE)</f>
        <v>-0.32042900556192899</v>
      </c>
      <c r="BX796" s="129">
        <f>VLOOKUP($D796,WGI!$C$2:$O$478,3,FALSE)</f>
        <v>-0.42630117376099602</v>
      </c>
      <c r="BY796" s="129">
        <f>VLOOKUP($D796,WGI!$C$2:$O$478,5,FALSE)</f>
        <v>-0.25995175471842702</v>
      </c>
      <c r="BZ796" s="129">
        <f>VLOOKUP($D796,WGI!$C$2:$O$478,2,FALSE)</f>
        <v>-0.97820473728264901</v>
      </c>
    </row>
    <row r="797" spans="1:80" ht="15" customHeight="1">
      <c r="A797" s="280" t="s">
        <v>277</v>
      </c>
      <c r="B797" s="117">
        <v>2011</v>
      </c>
      <c r="C797" s="117" t="s">
        <v>280</v>
      </c>
      <c r="D797" s="117" t="s">
        <v>3702</v>
      </c>
      <c r="E797" s="452" t="s">
        <v>39</v>
      </c>
      <c r="F797" s="117"/>
      <c r="G797" s="117" t="s">
        <v>24</v>
      </c>
      <c r="H797" s="117" t="str">
        <f t="shared" si="130"/>
        <v>yes</v>
      </c>
      <c r="I797" s="117" t="str">
        <f t="shared" si="131"/>
        <v>no</v>
      </c>
      <c r="J797" s="117" t="str">
        <f t="shared" si="132"/>
        <v>no</v>
      </c>
      <c r="K797" s="120" t="s">
        <v>1417</v>
      </c>
      <c r="L797" s="117" t="str">
        <f t="shared" si="139"/>
        <v>detailed</v>
      </c>
      <c r="M797" s="117" t="str">
        <f t="shared" si="133"/>
        <v>detailed Mining</v>
      </c>
      <c r="N797" s="89">
        <v>30000</v>
      </c>
      <c r="O797" s="89"/>
      <c r="P797" s="89"/>
      <c r="Q797" s="89"/>
      <c r="R797" s="89"/>
      <c r="S797" s="120" t="s">
        <v>610</v>
      </c>
      <c r="T797" s="119">
        <v>361</v>
      </c>
      <c r="U797" s="117" t="s">
        <v>611</v>
      </c>
      <c r="V797" s="117" t="s">
        <v>1418</v>
      </c>
      <c r="W797" s="89">
        <f>N797*T797</f>
        <v>10830000</v>
      </c>
      <c r="X797" s="120"/>
      <c r="Y797" s="120"/>
      <c r="Z797" s="120"/>
      <c r="AA797" s="117"/>
      <c r="AB797" s="117"/>
      <c r="AC797" s="462"/>
      <c r="AD797" s="462"/>
      <c r="AE797" s="462"/>
      <c r="AF797" s="463"/>
      <c r="AG797" s="120"/>
      <c r="AH797" s="493"/>
      <c r="AI797" s="120"/>
      <c r="AJ797" s="120"/>
      <c r="AK797" s="120"/>
      <c r="AL797" s="120"/>
      <c r="AM797" s="120"/>
      <c r="AN797" s="120"/>
      <c r="AO797" s="120"/>
      <c r="AP797" s="120"/>
      <c r="AQ797" s="120"/>
      <c r="AR797" s="120"/>
      <c r="AS797" s="120"/>
      <c r="AT797" s="120"/>
      <c r="AU797" s="120"/>
      <c r="AV797" s="128"/>
      <c r="AW797" s="117">
        <f>VLOOKUP($D797,'WB Data'!$C$3:$M$578,2,FALSE)</f>
        <v>188048960311.22461</v>
      </c>
      <c r="AX797" s="117">
        <f>VLOOKUP($D797,'WB Data'!$C$3:$M$578,3,FALSE)</f>
        <v>16556600</v>
      </c>
      <c r="AY797" s="847" t="str">
        <f t="shared" si="135"/>
        <v>..</v>
      </c>
      <c r="AZ797" s="117" t="e">
        <f>VLOOKUP($D797,'WB Data'!$C$3:$M$578,4,FALSE)/100</f>
        <v>#VALUE!</v>
      </c>
      <c r="BA797" s="117" t="str">
        <f t="shared" si="136"/>
        <v>..</v>
      </c>
      <c r="BB797" s="129" t="str">
        <f>IFERROR(VLOOKUP($D797,'EITI Revenues'!$C$2:$G$224,5,FALSE),"..")</f>
        <v>..</v>
      </c>
      <c r="BC797" s="846" t="str">
        <f t="shared" si="137"/>
        <v>..</v>
      </c>
      <c r="BD797" s="129">
        <f>VLOOKUP($D797,'WB Data 2'!$C$2:$K$545,6,FALSE)</f>
        <v>72314639999.574051</v>
      </c>
      <c r="BE797" s="129">
        <f>IFERROR(VLOOKUP($D797,UNCTAD!$C$5:$V$529,4,FALSE),"..")</f>
        <v>89531640000</v>
      </c>
      <c r="BF797" s="846">
        <f t="shared" si="138"/>
        <v>0.80769926698063443</v>
      </c>
      <c r="BG797" s="117">
        <f>VLOOKUP($D797,'WB Data'!$C$3:$M$578,5,FALSE)</f>
        <v>215510000</v>
      </c>
      <c r="BH797" s="129" t="str">
        <f>IFERROR($BB797/$BG797,"..")</f>
        <v>..</v>
      </c>
      <c r="BI797" s="117" t="str">
        <f>IFERROR(VLOOKUP($D797,'WB Data'!$C$3:$M$578,7,FALSE)/100,"..")</f>
        <v>..</v>
      </c>
      <c r="BJ797" s="117" t="str">
        <f>IFERROR($BI797*$AW797,"..")</f>
        <v>..</v>
      </c>
      <c r="BK797" s="846" t="str">
        <f>IFERROR($BB797/$BJ797,"..")</f>
        <v>..</v>
      </c>
      <c r="BL797" s="117" t="str">
        <f>IFERROR(VLOOKUP($D797,'WB Data'!$C$3:$M$578,7,FALSE)/100,"..")</f>
        <v>..</v>
      </c>
      <c r="BM797" s="117" t="str">
        <f>IFERROR($AW797*$BL797,"..")</f>
        <v>..</v>
      </c>
      <c r="BN797" s="846" t="str">
        <f>IFERROR($BB797/$BM797,"..")</f>
        <v>..</v>
      </c>
      <c r="BO797" s="801">
        <f t="shared" si="134"/>
        <v>29</v>
      </c>
      <c r="BP797" s="117">
        <f>VLOOKUP($D797,'WB Data'!$C$3:$M$578,9,FALSE)</f>
        <v>5.5</v>
      </c>
      <c r="BQ797" s="117">
        <f>VLOOKUP($D797,'WB Data'!$C$3:$M$578,10,FALSE)</f>
        <v>68.98</v>
      </c>
      <c r="BR797" s="117">
        <f>VLOOKUP($D797,'WB Data'!$C$3:$M$578,11,FALSE)</f>
        <v>17.600000000000001</v>
      </c>
      <c r="BS797" s="129">
        <f>IFERROR(VLOOKUP($D797,'WB Data 2'!$C$2:$K$545,9,FALSE),"..")</f>
        <v>98.239959999999996</v>
      </c>
      <c r="BT797" s="129">
        <f>_xlfn.IFNA(VLOOKUP($C797,RGI!$A$2:$C$43,2,FALSE),"..")</f>
        <v>77.5</v>
      </c>
      <c r="BU797" s="129">
        <f>_xlfn.IFNA(VLOOKUP($C797,RGI!$A$2:$C$43,3,FALSE),"..")</f>
        <v>57.362887635782535</v>
      </c>
      <c r="BV797" s="129">
        <f>VLOOKUP($D797,WGI!$C$2:$O$478,7,FALSE)</f>
        <v>-1.0947582948953301</v>
      </c>
      <c r="BW797" s="129">
        <f>VLOOKUP($D797,WGI!$C$2:$O$478,4,FALSE)</f>
        <v>-0.32042900556192899</v>
      </c>
      <c r="BX797" s="129">
        <f>VLOOKUP($D797,WGI!$C$2:$O$478,3,FALSE)</f>
        <v>-0.42630117376099602</v>
      </c>
      <c r="BY797" s="129">
        <f>VLOOKUP($D797,WGI!$C$2:$O$478,5,FALSE)</f>
        <v>-0.25995175471842702</v>
      </c>
      <c r="BZ797" s="129">
        <f>VLOOKUP($D797,WGI!$C$2:$O$478,2,FALSE)</f>
        <v>-0.97820473728264901</v>
      </c>
    </row>
    <row r="798" spans="1:80" ht="15" customHeight="1">
      <c r="A798" s="280" t="s">
        <v>277</v>
      </c>
      <c r="B798" s="117">
        <v>2011</v>
      </c>
      <c r="C798" s="117" t="s">
        <v>280</v>
      </c>
      <c r="D798" s="117" t="s">
        <v>3702</v>
      </c>
      <c r="E798" s="452" t="s">
        <v>39</v>
      </c>
      <c r="F798" s="117"/>
      <c r="G798" s="117" t="s">
        <v>24</v>
      </c>
      <c r="H798" s="117" t="str">
        <f t="shared" si="130"/>
        <v>yes</v>
      </c>
      <c r="I798" s="117" t="str">
        <f t="shared" si="131"/>
        <v>no</v>
      </c>
      <c r="J798" s="117" t="str">
        <f t="shared" si="132"/>
        <v>no</v>
      </c>
      <c r="K798" s="120" t="s">
        <v>1449</v>
      </c>
      <c r="L798" s="117" t="str">
        <f t="shared" si="139"/>
        <v>detailed</v>
      </c>
      <c r="M798" s="117" t="str">
        <f t="shared" si="133"/>
        <v>detailed Mining</v>
      </c>
      <c r="N798" s="89">
        <v>3800000</v>
      </c>
      <c r="O798" s="89"/>
      <c r="P798" s="89"/>
      <c r="Q798" s="89"/>
      <c r="R798" s="89"/>
      <c r="S798" s="120" t="s">
        <v>610</v>
      </c>
      <c r="T798" s="119">
        <v>355</v>
      </c>
      <c r="U798" s="117" t="s">
        <v>611</v>
      </c>
      <c r="V798" s="117" t="s">
        <v>1450</v>
      </c>
      <c r="W798" s="89">
        <f>N798*T798</f>
        <v>1349000000</v>
      </c>
      <c r="X798" s="120"/>
      <c r="Y798" s="120"/>
      <c r="Z798" s="120"/>
      <c r="AA798" s="117"/>
      <c r="AB798" s="117"/>
      <c r="AC798" s="462"/>
      <c r="AD798" s="462"/>
      <c r="AE798" s="462"/>
      <c r="AF798" s="463"/>
      <c r="AG798" s="120"/>
      <c r="AH798" s="493"/>
      <c r="AI798" s="120"/>
      <c r="AJ798" s="120"/>
      <c r="AK798" s="120"/>
      <c r="AL798" s="120"/>
      <c r="AM798" s="120"/>
      <c r="AN798" s="120"/>
      <c r="AO798" s="120"/>
      <c r="AP798" s="120"/>
      <c r="AQ798" s="120"/>
      <c r="AR798" s="120"/>
      <c r="AS798" s="120"/>
      <c r="AT798" s="120"/>
      <c r="AU798" s="120"/>
      <c r="AV798" s="128"/>
      <c r="AW798" s="117">
        <f>VLOOKUP($D798,'WB Data'!$C$3:$M$578,2,FALSE)</f>
        <v>188048960311.22461</v>
      </c>
      <c r="AX798" s="117">
        <f>VLOOKUP($D798,'WB Data'!$C$3:$M$578,3,FALSE)</f>
        <v>16556600</v>
      </c>
      <c r="AY798" s="847" t="str">
        <f t="shared" si="135"/>
        <v>..</v>
      </c>
      <c r="AZ798" s="117" t="e">
        <f>VLOOKUP($D798,'WB Data'!$C$3:$M$578,4,FALSE)/100</f>
        <v>#VALUE!</v>
      </c>
      <c r="BA798" s="117" t="str">
        <f t="shared" si="136"/>
        <v>..</v>
      </c>
      <c r="BB798" s="129" t="str">
        <f>IFERROR(VLOOKUP($D798,'EITI Revenues'!$C$2:$G$224,5,FALSE),"..")</f>
        <v>..</v>
      </c>
      <c r="BC798" s="846" t="str">
        <f t="shared" si="137"/>
        <v>..</v>
      </c>
      <c r="BD798" s="129">
        <f>VLOOKUP($D798,'WB Data 2'!$C$2:$K$545,6,FALSE)</f>
        <v>72314639999.574051</v>
      </c>
      <c r="BE798" s="129">
        <f>IFERROR(VLOOKUP($D798,UNCTAD!$C$5:$V$529,4,FALSE),"..")</f>
        <v>89531640000</v>
      </c>
      <c r="BF798" s="846">
        <f t="shared" si="138"/>
        <v>0.80769926698063443</v>
      </c>
      <c r="BG798" s="117">
        <f>VLOOKUP($D798,'WB Data'!$C$3:$M$578,5,FALSE)</f>
        <v>215510000</v>
      </c>
      <c r="BH798" s="129" t="str">
        <f>IFERROR($BB798/$BG798,"..")</f>
        <v>..</v>
      </c>
      <c r="BI798" s="117" t="str">
        <f>IFERROR(VLOOKUP($D798,'WB Data'!$C$3:$M$578,7,FALSE)/100,"..")</f>
        <v>..</v>
      </c>
      <c r="BJ798" s="117" t="str">
        <f>IFERROR($BI798*$AW798,"..")</f>
        <v>..</v>
      </c>
      <c r="BK798" s="846" t="str">
        <f>IFERROR($BB798/$BJ798,"..")</f>
        <v>..</v>
      </c>
      <c r="BL798" s="117" t="str">
        <f>IFERROR(VLOOKUP($D798,'WB Data'!$C$3:$M$578,7,FALSE)/100,"..")</f>
        <v>..</v>
      </c>
      <c r="BM798" s="117" t="str">
        <f>IFERROR($AW798*$BL798,"..")</f>
        <v>..</v>
      </c>
      <c r="BN798" s="846" t="str">
        <f>IFERROR($BB798/$BM798,"..")</f>
        <v>..</v>
      </c>
      <c r="BO798" s="801">
        <f t="shared" si="134"/>
        <v>29</v>
      </c>
      <c r="BP798" s="117">
        <f>VLOOKUP($D798,'WB Data'!$C$3:$M$578,9,FALSE)</f>
        <v>5.5</v>
      </c>
      <c r="BQ798" s="117">
        <f>VLOOKUP($D798,'WB Data'!$C$3:$M$578,10,FALSE)</f>
        <v>68.98</v>
      </c>
      <c r="BR798" s="117">
        <f>VLOOKUP($D798,'WB Data'!$C$3:$M$578,11,FALSE)</f>
        <v>17.600000000000001</v>
      </c>
      <c r="BS798" s="129">
        <f>IFERROR(VLOOKUP($D798,'WB Data 2'!$C$2:$K$545,9,FALSE),"..")</f>
        <v>98.239959999999996</v>
      </c>
      <c r="BT798" s="129">
        <f>_xlfn.IFNA(VLOOKUP($C798,RGI!$A$2:$C$43,2,FALSE),"..")</f>
        <v>77.5</v>
      </c>
      <c r="BU798" s="129">
        <f>_xlfn.IFNA(VLOOKUP($C798,RGI!$A$2:$C$43,3,FALSE),"..")</f>
        <v>57.362887635782535</v>
      </c>
      <c r="BV798" s="129">
        <f>VLOOKUP($D798,WGI!$C$2:$O$478,7,FALSE)</f>
        <v>-1.0947582948953301</v>
      </c>
      <c r="BW798" s="129">
        <f>VLOOKUP($D798,WGI!$C$2:$O$478,4,FALSE)</f>
        <v>-0.32042900556192899</v>
      </c>
      <c r="BX798" s="129">
        <f>VLOOKUP($D798,WGI!$C$2:$O$478,3,FALSE)</f>
        <v>-0.42630117376099602</v>
      </c>
      <c r="BY798" s="129">
        <f>VLOOKUP($D798,WGI!$C$2:$O$478,5,FALSE)</f>
        <v>-0.25995175471842702</v>
      </c>
      <c r="BZ798" s="129">
        <f>VLOOKUP($D798,WGI!$C$2:$O$478,2,FALSE)</f>
        <v>-0.97820473728264901</v>
      </c>
    </row>
    <row r="799" spans="1:80" ht="15" customHeight="1">
      <c r="A799" s="280" t="s">
        <v>277</v>
      </c>
      <c r="B799" s="117">
        <v>2011</v>
      </c>
      <c r="C799" s="117" t="s">
        <v>280</v>
      </c>
      <c r="D799" s="117" t="s">
        <v>3702</v>
      </c>
      <c r="E799" s="452" t="s">
        <v>39</v>
      </c>
      <c r="F799" s="117"/>
      <c r="G799" s="117" t="s">
        <v>24</v>
      </c>
      <c r="H799" s="117" t="str">
        <f t="shared" si="130"/>
        <v>yes</v>
      </c>
      <c r="I799" s="117" t="str">
        <f t="shared" si="131"/>
        <v>no</v>
      </c>
      <c r="J799" s="117" t="str">
        <f t="shared" si="132"/>
        <v>no</v>
      </c>
      <c r="K799" s="120" t="s">
        <v>616</v>
      </c>
      <c r="L799" s="117" t="str">
        <f t="shared" si="139"/>
        <v>detailed</v>
      </c>
      <c r="M799" s="117" t="str">
        <f t="shared" si="133"/>
        <v>detailed Mining</v>
      </c>
      <c r="N799" s="179">
        <v>111400000</v>
      </c>
      <c r="O799" s="179"/>
      <c r="P799" s="179"/>
      <c r="Q799" s="179"/>
      <c r="R799" s="179"/>
      <c r="S799" s="120" t="s">
        <v>610</v>
      </c>
      <c r="T799" s="119">
        <v>111.54662184722224</v>
      </c>
      <c r="U799" s="117" t="s">
        <v>611</v>
      </c>
      <c r="V799" s="117" t="s">
        <v>1321</v>
      </c>
      <c r="W799" s="89">
        <f>N799*T799</f>
        <v>12426293673.780558</v>
      </c>
      <c r="X799" s="120"/>
      <c r="Y799" s="120"/>
      <c r="Z799" s="120"/>
      <c r="AA799" s="177"/>
      <c r="AB799" s="177"/>
      <c r="AC799" s="122"/>
      <c r="AD799" s="122"/>
      <c r="AE799" s="122"/>
      <c r="AF799" s="123"/>
      <c r="AG799" s="120"/>
      <c r="AH799" s="493"/>
      <c r="AI799" s="120"/>
      <c r="AJ799" s="120"/>
      <c r="AK799" s="120"/>
      <c r="AL799" s="120"/>
      <c r="AM799" s="120"/>
      <c r="AN799" s="120"/>
      <c r="AO799" s="120"/>
      <c r="AP799" s="120"/>
      <c r="AQ799" s="120"/>
      <c r="AR799" s="120"/>
      <c r="AS799" s="120"/>
      <c r="AT799" s="120"/>
      <c r="AU799" s="120"/>
      <c r="AV799" s="128"/>
      <c r="AW799" s="117">
        <f>VLOOKUP($D799,'WB Data'!$C$3:$M$578,2,FALSE)</f>
        <v>188048960311.22461</v>
      </c>
      <c r="AX799" s="117">
        <f>VLOOKUP($D799,'WB Data'!$C$3:$M$578,3,FALSE)</f>
        <v>16556600</v>
      </c>
      <c r="AY799" s="847" t="str">
        <f t="shared" si="135"/>
        <v>..</v>
      </c>
      <c r="AZ799" s="117" t="e">
        <f>VLOOKUP($D799,'WB Data'!$C$3:$M$578,4,FALSE)/100</f>
        <v>#VALUE!</v>
      </c>
      <c r="BA799" s="117" t="str">
        <f t="shared" si="136"/>
        <v>..</v>
      </c>
      <c r="BB799" s="129" t="str">
        <f>IFERROR(VLOOKUP($D799,'EITI Revenues'!$C$2:$G$224,5,FALSE),"..")</f>
        <v>..</v>
      </c>
      <c r="BC799" s="846" t="str">
        <f t="shared" si="137"/>
        <v>..</v>
      </c>
      <c r="BD799" s="129">
        <f>VLOOKUP($D799,'WB Data 2'!$C$2:$K$545,6,FALSE)</f>
        <v>72314639999.574051</v>
      </c>
      <c r="BE799" s="129">
        <f>IFERROR(VLOOKUP($D799,UNCTAD!$C$5:$V$529,4,FALSE),"..")</f>
        <v>89531640000</v>
      </c>
      <c r="BF799" s="846">
        <f t="shared" si="138"/>
        <v>0.80769926698063443</v>
      </c>
      <c r="BG799" s="117">
        <f>VLOOKUP($D799,'WB Data'!$C$3:$M$578,5,FALSE)</f>
        <v>215510000</v>
      </c>
      <c r="BH799" s="129" t="str">
        <f>IFERROR($BB799/$BG799,"..")</f>
        <v>..</v>
      </c>
      <c r="BI799" s="117" t="str">
        <f>IFERROR(VLOOKUP($D799,'WB Data'!$C$3:$M$578,7,FALSE)/100,"..")</f>
        <v>..</v>
      </c>
      <c r="BJ799" s="117" t="str">
        <f>IFERROR($BI799*$AW799,"..")</f>
        <v>..</v>
      </c>
      <c r="BK799" s="846" t="str">
        <f>IFERROR($BB799/$BJ799,"..")</f>
        <v>..</v>
      </c>
      <c r="BL799" s="117" t="str">
        <f>IFERROR(VLOOKUP($D799,'WB Data'!$C$3:$M$578,7,FALSE)/100,"..")</f>
        <v>..</v>
      </c>
      <c r="BM799" s="117" t="str">
        <f>IFERROR($AW799*$BL799,"..")</f>
        <v>..</v>
      </c>
      <c r="BN799" s="846" t="str">
        <f>IFERROR($BB799/$BM799,"..")</f>
        <v>..</v>
      </c>
      <c r="BO799" s="801">
        <f t="shared" si="134"/>
        <v>29</v>
      </c>
      <c r="BP799" s="117">
        <f>VLOOKUP($D799,'WB Data'!$C$3:$M$578,9,FALSE)</f>
        <v>5.5</v>
      </c>
      <c r="BQ799" s="117">
        <f>VLOOKUP($D799,'WB Data'!$C$3:$M$578,10,FALSE)</f>
        <v>68.98</v>
      </c>
      <c r="BR799" s="117">
        <f>VLOOKUP($D799,'WB Data'!$C$3:$M$578,11,FALSE)</f>
        <v>17.600000000000001</v>
      </c>
      <c r="BS799" s="129">
        <f>IFERROR(VLOOKUP($D799,'WB Data 2'!$C$2:$K$545,9,FALSE),"..")</f>
        <v>98.239959999999996</v>
      </c>
      <c r="BT799" s="129">
        <f>_xlfn.IFNA(VLOOKUP($C799,RGI!$A$2:$C$43,2,FALSE),"..")</f>
        <v>77.5</v>
      </c>
      <c r="BU799" s="129">
        <f>_xlfn.IFNA(VLOOKUP($C799,RGI!$A$2:$C$43,3,FALSE),"..")</f>
        <v>57.362887635782535</v>
      </c>
      <c r="BV799" s="129">
        <f>VLOOKUP($D799,WGI!$C$2:$O$478,7,FALSE)</f>
        <v>-1.0947582948953301</v>
      </c>
      <c r="BW799" s="129">
        <f>VLOOKUP($D799,WGI!$C$2:$O$478,4,FALSE)</f>
        <v>-0.32042900556192899</v>
      </c>
      <c r="BX799" s="129">
        <f>VLOOKUP($D799,WGI!$C$2:$O$478,3,FALSE)</f>
        <v>-0.42630117376099602</v>
      </c>
      <c r="BY799" s="129">
        <f>VLOOKUP($D799,WGI!$C$2:$O$478,5,FALSE)</f>
        <v>-0.25995175471842702</v>
      </c>
      <c r="BZ799" s="129">
        <f>VLOOKUP($D799,WGI!$C$2:$O$478,2,FALSE)</f>
        <v>-0.97820473728264901</v>
      </c>
    </row>
    <row r="800" spans="1:80" ht="15" customHeight="1">
      <c r="A800" s="280" t="s">
        <v>277</v>
      </c>
      <c r="B800" s="117">
        <v>2011</v>
      </c>
      <c r="C800" s="117" t="s">
        <v>280</v>
      </c>
      <c r="D800" s="117" t="s">
        <v>3702</v>
      </c>
      <c r="E800" s="452" t="s">
        <v>39</v>
      </c>
      <c r="F800" s="117"/>
      <c r="G800" s="117" t="s">
        <v>24</v>
      </c>
      <c r="H800" s="117" t="str">
        <f t="shared" si="130"/>
        <v>yes</v>
      </c>
      <c r="I800" s="117" t="str">
        <f t="shared" si="131"/>
        <v>no</v>
      </c>
      <c r="J800" s="117" t="str">
        <f t="shared" si="132"/>
        <v>no</v>
      </c>
      <c r="K800" s="120" t="s">
        <v>619</v>
      </c>
      <c r="L800" s="117" t="str">
        <f t="shared" si="139"/>
        <v>detailed</v>
      </c>
      <c r="M800" s="117" t="str">
        <f t="shared" si="133"/>
        <v>detailed Mining</v>
      </c>
      <c r="N800" s="89"/>
      <c r="O800" s="89"/>
      <c r="P800" s="89"/>
      <c r="Q800" s="89"/>
      <c r="R800" s="89"/>
      <c r="S800" s="120"/>
      <c r="T800" s="186">
        <v>8828.1875</v>
      </c>
      <c r="U800" s="117" t="s">
        <v>611</v>
      </c>
      <c r="V800" s="117" t="s">
        <v>1419</v>
      </c>
      <c r="W800" s="89">
        <f>SUM(N802:N803)*T800</f>
        <v>5661702035.6875</v>
      </c>
      <c r="X800" s="120"/>
      <c r="Y800" s="120"/>
      <c r="Z800" s="120"/>
      <c r="AA800" s="117"/>
      <c r="AB800" s="117"/>
      <c r="AC800" s="462"/>
      <c r="AD800" s="462"/>
      <c r="AE800" s="462"/>
      <c r="AF800" s="463"/>
      <c r="AG800" s="120"/>
      <c r="AH800" s="493"/>
      <c r="AI800" s="120"/>
      <c r="AJ800" s="120"/>
      <c r="AK800" s="120"/>
      <c r="AL800" s="120"/>
      <c r="AM800" s="120"/>
      <c r="AN800" s="120"/>
      <c r="AO800" s="120"/>
      <c r="AP800" s="120"/>
      <c r="AQ800" s="120"/>
      <c r="AR800" s="120"/>
      <c r="AS800" s="120"/>
      <c r="AT800" s="120"/>
      <c r="AU800" s="120"/>
      <c r="AV800" s="128"/>
      <c r="AW800" s="117">
        <f>VLOOKUP($D800,'WB Data'!$C$3:$M$578,2,FALSE)</f>
        <v>188048960311.22461</v>
      </c>
      <c r="AX800" s="117">
        <f>VLOOKUP($D800,'WB Data'!$C$3:$M$578,3,FALSE)</f>
        <v>16556600</v>
      </c>
      <c r="AY800" s="847" t="str">
        <f t="shared" si="135"/>
        <v>..</v>
      </c>
      <c r="AZ800" s="117" t="e">
        <f>VLOOKUP($D800,'WB Data'!$C$3:$M$578,4,FALSE)/100</f>
        <v>#VALUE!</v>
      </c>
      <c r="BA800" s="117" t="str">
        <f t="shared" si="136"/>
        <v>..</v>
      </c>
      <c r="BB800" s="129" t="str">
        <f>IFERROR(VLOOKUP($D800,'EITI Revenues'!$C$2:$G$224,5,FALSE),"..")</f>
        <v>..</v>
      </c>
      <c r="BC800" s="846" t="str">
        <f t="shared" si="137"/>
        <v>..</v>
      </c>
      <c r="BD800" s="129">
        <f>VLOOKUP($D800,'WB Data 2'!$C$2:$K$545,6,FALSE)</f>
        <v>72314639999.574051</v>
      </c>
      <c r="BE800" s="129">
        <f>IFERROR(VLOOKUP($D800,UNCTAD!$C$5:$V$529,4,FALSE),"..")</f>
        <v>89531640000</v>
      </c>
      <c r="BF800" s="846">
        <f t="shared" si="138"/>
        <v>0.80769926698063443</v>
      </c>
      <c r="BG800" s="117">
        <f>VLOOKUP($D800,'WB Data'!$C$3:$M$578,5,FALSE)</f>
        <v>215510000</v>
      </c>
      <c r="BH800" s="129" t="str">
        <f>IFERROR($BB800/$BG800,"..")</f>
        <v>..</v>
      </c>
      <c r="BI800" s="117" t="str">
        <f>IFERROR(VLOOKUP($D800,'WB Data'!$C$3:$M$578,7,FALSE)/100,"..")</f>
        <v>..</v>
      </c>
      <c r="BJ800" s="117" t="str">
        <f>IFERROR($BI800*$AW800,"..")</f>
        <v>..</v>
      </c>
      <c r="BK800" s="846" t="str">
        <f>IFERROR($BB800/$BJ800,"..")</f>
        <v>..</v>
      </c>
      <c r="BL800" s="117" t="str">
        <f>IFERROR(VLOOKUP($D800,'WB Data'!$C$3:$M$578,7,FALSE)/100,"..")</f>
        <v>..</v>
      </c>
      <c r="BM800" s="117" t="str">
        <f>IFERROR($AW800*$BL800,"..")</f>
        <v>..</v>
      </c>
      <c r="BN800" s="846" t="str">
        <f>IFERROR($BB800/$BM800,"..")</f>
        <v>..</v>
      </c>
      <c r="BO800" s="801">
        <f t="shared" si="134"/>
        <v>29</v>
      </c>
      <c r="BP800" s="117">
        <f>VLOOKUP($D800,'WB Data'!$C$3:$M$578,9,FALSE)</f>
        <v>5.5</v>
      </c>
      <c r="BQ800" s="117">
        <f>VLOOKUP($D800,'WB Data'!$C$3:$M$578,10,FALSE)</f>
        <v>68.98</v>
      </c>
      <c r="BR800" s="117">
        <f>VLOOKUP($D800,'WB Data'!$C$3:$M$578,11,FALSE)</f>
        <v>17.600000000000001</v>
      </c>
      <c r="BS800" s="129">
        <f>IFERROR(VLOOKUP($D800,'WB Data 2'!$C$2:$K$545,9,FALSE),"..")</f>
        <v>98.239959999999996</v>
      </c>
      <c r="BT800" s="129">
        <f>_xlfn.IFNA(VLOOKUP($C800,RGI!$A$2:$C$43,2,FALSE),"..")</f>
        <v>77.5</v>
      </c>
      <c r="BU800" s="129">
        <f>_xlfn.IFNA(VLOOKUP($C800,RGI!$A$2:$C$43,3,FALSE),"..")</f>
        <v>57.362887635782535</v>
      </c>
      <c r="BV800" s="129">
        <f>VLOOKUP($D800,WGI!$C$2:$O$478,7,FALSE)</f>
        <v>-1.0947582948953301</v>
      </c>
      <c r="BW800" s="129">
        <f>VLOOKUP($D800,WGI!$C$2:$O$478,4,FALSE)</f>
        <v>-0.32042900556192899</v>
      </c>
      <c r="BX800" s="129">
        <f>VLOOKUP($D800,WGI!$C$2:$O$478,3,FALSE)</f>
        <v>-0.42630117376099602</v>
      </c>
      <c r="BY800" s="129">
        <f>VLOOKUP($D800,WGI!$C$2:$O$478,5,FALSE)</f>
        <v>-0.25995175471842702</v>
      </c>
      <c r="BZ800" s="129">
        <f>VLOOKUP($D800,WGI!$C$2:$O$478,2,FALSE)</f>
        <v>-0.97820473728264901</v>
      </c>
    </row>
    <row r="801" spans="1:78" ht="15" customHeight="1">
      <c r="A801" s="280" t="s">
        <v>277</v>
      </c>
      <c r="B801" s="117">
        <v>2011</v>
      </c>
      <c r="C801" s="117" t="s">
        <v>280</v>
      </c>
      <c r="D801" s="117" t="s">
        <v>3702</v>
      </c>
      <c r="E801" s="452" t="s">
        <v>39</v>
      </c>
      <c r="F801" s="117"/>
      <c r="G801" s="117" t="s">
        <v>24</v>
      </c>
      <c r="H801" s="117" t="str">
        <f t="shared" si="130"/>
        <v>yes</v>
      </c>
      <c r="I801" s="117" t="str">
        <f t="shared" si="131"/>
        <v>no</v>
      </c>
      <c r="J801" s="117" t="str">
        <f t="shared" si="132"/>
        <v>no</v>
      </c>
      <c r="K801" s="120" t="s">
        <v>1072</v>
      </c>
      <c r="L801" s="117" t="str">
        <f t="shared" si="139"/>
        <v>detailed</v>
      </c>
      <c r="M801" s="117" t="str">
        <f t="shared" si="133"/>
        <v>detailed Mining</v>
      </c>
      <c r="N801" s="89">
        <v>417000</v>
      </c>
      <c r="O801" s="89"/>
      <c r="P801" s="89"/>
      <c r="Q801" s="89"/>
      <c r="R801" s="89"/>
      <c r="S801" s="120" t="s">
        <v>610</v>
      </c>
      <c r="T801" s="119"/>
      <c r="U801" s="120"/>
      <c r="V801" s="117" t="s">
        <v>847</v>
      </c>
      <c r="W801" s="89"/>
      <c r="X801" s="120"/>
      <c r="Y801" s="120"/>
      <c r="Z801" s="120"/>
      <c r="AA801" s="117"/>
      <c r="AB801" s="117"/>
      <c r="AC801" s="462"/>
      <c r="AD801" s="462"/>
      <c r="AE801" s="462"/>
      <c r="AF801" s="463"/>
      <c r="AG801" s="120"/>
      <c r="AH801" s="493"/>
      <c r="AI801" s="120"/>
      <c r="AJ801" s="120"/>
      <c r="AK801" s="120"/>
      <c r="AL801" s="120"/>
      <c r="AM801" s="120"/>
      <c r="AN801" s="120"/>
      <c r="AO801" s="120"/>
      <c r="AP801" s="120"/>
      <c r="AQ801" s="120"/>
      <c r="AR801" s="120"/>
      <c r="AS801" s="120"/>
      <c r="AT801" s="120"/>
      <c r="AU801" s="120"/>
      <c r="AV801" s="128"/>
      <c r="AW801" s="117">
        <f>VLOOKUP($D801,'WB Data'!$C$3:$M$578,2,FALSE)</f>
        <v>188048960311.22461</v>
      </c>
      <c r="AX801" s="117">
        <f>VLOOKUP($D801,'WB Data'!$C$3:$M$578,3,FALSE)</f>
        <v>16556600</v>
      </c>
      <c r="AY801" s="847" t="str">
        <f t="shared" si="135"/>
        <v>..</v>
      </c>
      <c r="AZ801" s="117" t="e">
        <f>VLOOKUP($D801,'WB Data'!$C$3:$M$578,4,FALSE)/100</f>
        <v>#VALUE!</v>
      </c>
      <c r="BA801" s="117" t="str">
        <f t="shared" si="136"/>
        <v>..</v>
      </c>
      <c r="BB801" s="129" t="str">
        <f>IFERROR(VLOOKUP($D801,'EITI Revenues'!$C$2:$G$224,5,FALSE),"..")</f>
        <v>..</v>
      </c>
      <c r="BC801" s="846" t="str">
        <f t="shared" si="137"/>
        <v>..</v>
      </c>
      <c r="BD801" s="129">
        <f>VLOOKUP($D801,'WB Data 2'!$C$2:$K$545,6,FALSE)</f>
        <v>72314639999.574051</v>
      </c>
      <c r="BE801" s="129">
        <f>IFERROR(VLOOKUP($D801,UNCTAD!$C$5:$V$529,4,FALSE),"..")</f>
        <v>89531640000</v>
      </c>
      <c r="BF801" s="846">
        <f t="shared" si="138"/>
        <v>0.80769926698063443</v>
      </c>
      <c r="BG801" s="117">
        <f>VLOOKUP($D801,'WB Data'!$C$3:$M$578,5,FALSE)</f>
        <v>215510000</v>
      </c>
      <c r="BH801" s="129" t="str">
        <f>IFERROR($BB801/$BG801,"..")</f>
        <v>..</v>
      </c>
      <c r="BI801" s="117" t="str">
        <f>IFERROR(VLOOKUP($D801,'WB Data'!$C$3:$M$578,7,FALSE)/100,"..")</f>
        <v>..</v>
      </c>
      <c r="BJ801" s="117" t="str">
        <f>IFERROR($BI801*$AW801,"..")</f>
        <v>..</v>
      </c>
      <c r="BK801" s="846" t="str">
        <f>IFERROR($BB801/$BJ801,"..")</f>
        <v>..</v>
      </c>
      <c r="BL801" s="117" t="str">
        <f>IFERROR(VLOOKUP($D801,'WB Data'!$C$3:$M$578,7,FALSE)/100,"..")</f>
        <v>..</v>
      </c>
      <c r="BM801" s="117" t="str">
        <f>IFERROR($AW801*$BL801,"..")</f>
        <v>..</v>
      </c>
      <c r="BN801" s="846" t="str">
        <f>IFERROR($BB801/$BM801,"..")</f>
        <v>..</v>
      </c>
      <c r="BO801" s="801">
        <f t="shared" si="134"/>
        <v>29</v>
      </c>
      <c r="BP801" s="117">
        <f>VLOOKUP($D801,'WB Data'!$C$3:$M$578,9,FALSE)</f>
        <v>5.5</v>
      </c>
      <c r="BQ801" s="117">
        <f>VLOOKUP($D801,'WB Data'!$C$3:$M$578,10,FALSE)</f>
        <v>68.98</v>
      </c>
      <c r="BR801" s="117">
        <f>VLOOKUP($D801,'WB Data'!$C$3:$M$578,11,FALSE)</f>
        <v>17.600000000000001</v>
      </c>
      <c r="BS801" s="129">
        <f>IFERROR(VLOOKUP($D801,'WB Data 2'!$C$2:$K$545,9,FALSE),"..")</f>
        <v>98.239959999999996</v>
      </c>
      <c r="BT801" s="129">
        <f>_xlfn.IFNA(VLOOKUP($C801,RGI!$A$2:$C$43,2,FALSE),"..")</f>
        <v>77.5</v>
      </c>
      <c r="BU801" s="129">
        <f>_xlfn.IFNA(VLOOKUP($C801,RGI!$A$2:$C$43,3,FALSE),"..")</f>
        <v>57.362887635782535</v>
      </c>
      <c r="BV801" s="129">
        <f>VLOOKUP($D801,WGI!$C$2:$O$478,7,FALSE)</f>
        <v>-1.0947582948953301</v>
      </c>
      <c r="BW801" s="129">
        <f>VLOOKUP($D801,WGI!$C$2:$O$478,4,FALSE)</f>
        <v>-0.32042900556192899</v>
      </c>
      <c r="BX801" s="129">
        <f>VLOOKUP($D801,WGI!$C$2:$O$478,3,FALSE)</f>
        <v>-0.42630117376099602</v>
      </c>
      <c r="BY801" s="129">
        <f>VLOOKUP($D801,WGI!$C$2:$O$478,5,FALSE)</f>
        <v>-0.25995175471842702</v>
      </c>
      <c r="BZ801" s="129">
        <f>VLOOKUP($D801,WGI!$C$2:$O$478,2,FALSE)</f>
        <v>-0.97820473728264901</v>
      </c>
    </row>
    <row r="802" spans="1:78" ht="15" customHeight="1">
      <c r="A802" s="280" t="s">
        <v>277</v>
      </c>
      <c r="B802" s="117">
        <v>2011</v>
      </c>
      <c r="C802" s="117" t="s">
        <v>280</v>
      </c>
      <c r="D802" s="117" t="s">
        <v>3702</v>
      </c>
      <c r="E802" s="452" t="s">
        <v>39</v>
      </c>
      <c r="F802" s="117"/>
      <c r="G802" s="117" t="s">
        <v>24</v>
      </c>
      <c r="H802" s="117" t="str">
        <f t="shared" si="130"/>
        <v>yes</v>
      </c>
      <c r="I802" s="117" t="str">
        <f t="shared" si="131"/>
        <v>no</v>
      </c>
      <c r="J802" s="117" t="str">
        <f t="shared" si="132"/>
        <v>no</v>
      </c>
      <c r="K802" s="120" t="s">
        <v>1421</v>
      </c>
      <c r="L802" s="117" t="str">
        <f t="shared" si="139"/>
        <v>detailed</v>
      </c>
      <c r="M802" s="117" t="str">
        <f t="shared" si="133"/>
        <v>detailed Mining</v>
      </c>
      <c r="N802" s="89">
        <v>302975</v>
      </c>
      <c r="O802" s="89"/>
      <c r="P802" s="89"/>
      <c r="Q802" s="89"/>
      <c r="R802" s="89"/>
      <c r="S802" s="120" t="s">
        <v>610</v>
      </c>
      <c r="T802" s="119"/>
      <c r="U802" s="120"/>
      <c r="V802" s="117" t="s">
        <v>847</v>
      </c>
      <c r="W802" s="89"/>
      <c r="X802" s="120"/>
      <c r="Y802" s="120"/>
      <c r="Z802" s="120"/>
      <c r="AA802" s="117"/>
      <c r="AB802" s="117"/>
      <c r="AC802" s="462"/>
      <c r="AD802" s="462"/>
      <c r="AE802" s="462"/>
      <c r="AF802" s="463"/>
      <c r="AG802" s="120"/>
      <c r="AH802" s="493"/>
      <c r="AI802" s="120"/>
      <c r="AJ802" s="120"/>
      <c r="AK802" s="120"/>
      <c r="AL802" s="120"/>
      <c r="AM802" s="120"/>
      <c r="AN802" s="120"/>
      <c r="AO802" s="120"/>
      <c r="AP802" s="120"/>
      <c r="AQ802" s="120"/>
      <c r="AR802" s="120"/>
      <c r="AS802" s="120"/>
      <c r="AT802" s="120"/>
      <c r="AU802" s="120"/>
      <c r="AV802" s="128"/>
      <c r="AW802" s="117">
        <f>VLOOKUP($D802,'WB Data'!$C$3:$M$578,2,FALSE)</f>
        <v>188048960311.22461</v>
      </c>
      <c r="AX802" s="117">
        <f>VLOOKUP($D802,'WB Data'!$C$3:$M$578,3,FALSE)</f>
        <v>16556600</v>
      </c>
      <c r="AY802" s="847" t="str">
        <f t="shared" si="135"/>
        <v>..</v>
      </c>
      <c r="AZ802" s="117" t="e">
        <f>VLOOKUP($D802,'WB Data'!$C$3:$M$578,4,FALSE)/100</f>
        <v>#VALUE!</v>
      </c>
      <c r="BA802" s="117" t="str">
        <f t="shared" si="136"/>
        <v>..</v>
      </c>
      <c r="BB802" s="129" t="str">
        <f>IFERROR(VLOOKUP($D802,'EITI Revenues'!$C$2:$G$224,5,FALSE),"..")</f>
        <v>..</v>
      </c>
      <c r="BC802" s="846" t="str">
        <f t="shared" si="137"/>
        <v>..</v>
      </c>
      <c r="BD802" s="129">
        <f>VLOOKUP($D802,'WB Data 2'!$C$2:$K$545,6,FALSE)</f>
        <v>72314639999.574051</v>
      </c>
      <c r="BE802" s="129">
        <f>IFERROR(VLOOKUP($D802,UNCTAD!$C$5:$V$529,4,FALSE),"..")</f>
        <v>89531640000</v>
      </c>
      <c r="BF802" s="846">
        <f t="shared" si="138"/>
        <v>0.80769926698063443</v>
      </c>
      <c r="BG802" s="117">
        <f>VLOOKUP($D802,'WB Data'!$C$3:$M$578,5,FALSE)</f>
        <v>215510000</v>
      </c>
      <c r="BH802" s="129" t="str">
        <f>IFERROR($BB802/$BG802,"..")</f>
        <v>..</v>
      </c>
      <c r="BI802" s="117" t="str">
        <f>IFERROR(VLOOKUP($D802,'WB Data'!$C$3:$M$578,7,FALSE)/100,"..")</f>
        <v>..</v>
      </c>
      <c r="BJ802" s="117" t="str">
        <f>IFERROR($BI802*$AW802,"..")</f>
        <v>..</v>
      </c>
      <c r="BK802" s="846" t="str">
        <f>IFERROR($BB802/$BJ802,"..")</f>
        <v>..</v>
      </c>
      <c r="BL802" s="117" t="str">
        <f>IFERROR(VLOOKUP($D802,'WB Data'!$C$3:$M$578,7,FALSE)/100,"..")</f>
        <v>..</v>
      </c>
      <c r="BM802" s="117" t="str">
        <f>IFERROR($AW802*$BL802,"..")</f>
        <v>..</v>
      </c>
      <c r="BN802" s="846" t="str">
        <f>IFERROR($BB802/$BM802,"..")</f>
        <v>..</v>
      </c>
      <c r="BO802" s="801">
        <f t="shared" si="134"/>
        <v>29</v>
      </c>
      <c r="BP802" s="117">
        <f>VLOOKUP($D802,'WB Data'!$C$3:$M$578,9,FALSE)</f>
        <v>5.5</v>
      </c>
      <c r="BQ802" s="117">
        <f>VLOOKUP($D802,'WB Data'!$C$3:$M$578,10,FALSE)</f>
        <v>68.98</v>
      </c>
      <c r="BR802" s="117">
        <f>VLOOKUP($D802,'WB Data'!$C$3:$M$578,11,FALSE)</f>
        <v>17.600000000000001</v>
      </c>
      <c r="BS802" s="129">
        <f>IFERROR(VLOOKUP($D802,'WB Data 2'!$C$2:$K$545,9,FALSE),"..")</f>
        <v>98.239959999999996</v>
      </c>
      <c r="BT802" s="129">
        <f>_xlfn.IFNA(VLOOKUP($C802,RGI!$A$2:$C$43,2,FALSE),"..")</f>
        <v>77.5</v>
      </c>
      <c r="BU802" s="129">
        <f>_xlfn.IFNA(VLOOKUP($C802,RGI!$A$2:$C$43,3,FALSE),"..")</f>
        <v>57.362887635782535</v>
      </c>
      <c r="BV802" s="129">
        <f>VLOOKUP($D802,WGI!$C$2:$O$478,7,FALSE)</f>
        <v>-1.0947582948953301</v>
      </c>
      <c r="BW802" s="129">
        <f>VLOOKUP($D802,WGI!$C$2:$O$478,4,FALSE)</f>
        <v>-0.32042900556192899</v>
      </c>
      <c r="BX802" s="129">
        <f>VLOOKUP($D802,WGI!$C$2:$O$478,3,FALSE)</f>
        <v>-0.42630117376099602</v>
      </c>
      <c r="BY802" s="129">
        <f>VLOOKUP($D802,WGI!$C$2:$O$478,5,FALSE)</f>
        <v>-0.25995175471842702</v>
      </c>
      <c r="BZ802" s="129">
        <f>VLOOKUP($D802,WGI!$C$2:$O$478,2,FALSE)</f>
        <v>-0.97820473728264901</v>
      </c>
    </row>
    <row r="803" spans="1:78" ht="15" customHeight="1">
      <c r="A803" s="280" t="s">
        <v>277</v>
      </c>
      <c r="B803" s="117">
        <v>2011</v>
      </c>
      <c r="C803" s="117" t="s">
        <v>280</v>
      </c>
      <c r="D803" s="117" t="s">
        <v>3702</v>
      </c>
      <c r="E803" s="452" t="s">
        <v>39</v>
      </c>
      <c r="F803" s="117"/>
      <c r="G803" s="117" t="s">
        <v>24</v>
      </c>
      <c r="H803" s="117" t="str">
        <f t="shared" si="130"/>
        <v>yes</v>
      </c>
      <c r="I803" s="117" t="str">
        <f t="shared" si="131"/>
        <v>no</v>
      </c>
      <c r="J803" s="117" t="str">
        <f t="shared" si="132"/>
        <v>no</v>
      </c>
      <c r="K803" s="120" t="s">
        <v>1451</v>
      </c>
      <c r="L803" s="117" t="str">
        <f t="shared" si="139"/>
        <v>detailed</v>
      </c>
      <c r="M803" s="117" t="str">
        <f t="shared" si="133"/>
        <v>detailed Mining</v>
      </c>
      <c r="N803" s="89">
        <v>338346</v>
      </c>
      <c r="O803" s="89"/>
      <c r="P803" s="89"/>
      <c r="Q803" s="89"/>
      <c r="R803" s="89"/>
      <c r="S803" s="120" t="s">
        <v>610</v>
      </c>
      <c r="T803" s="119"/>
      <c r="U803" s="120"/>
      <c r="V803" s="117" t="s">
        <v>847</v>
      </c>
      <c r="W803" s="89"/>
      <c r="X803" s="120"/>
      <c r="Y803" s="120"/>
      <c r="Z803" s="120"/>
      <c r="AA803" s="117"/>
      <c r="AB803" s="117"/>
      <c r="AC803" s="462"/>
      <c r="AD803" s="462"/>
      <c r="AE803" s="462"/>
      <c r="AF803" s="463"/>
      <c r="AG803" s="120"/>
      <c r="AH803" s="493"/>
      <c r="AI803" s="120"/>
      <c r="AJ803" s="120"/>
      <c r="AK803" s="120"/>
      <c r="AL803" s="120"/>
      <c r="AM803" s="120"/>
      <c r="AN803" s="120"/>
      <c r="AO803" s="120"/>
      <c r="AP803" s="120"/>
      <c r="AQ803" s="120"/>
      <c r="AR803" s="120"/>
      <c r="AS803" s="120"/>
      <c r="AT803" s="120"/>
      <c r="AU803" s="120"/>
      <c r="AV803" s="128"/>
      <c r="AW803" s="117">
        <f>VLOOKUP($D803,'WB Data'!$C$3:$M$578,2,FALSE)</f>
        <v>188048960311.22461</v>
      </c>
      <c r="AX803" s="117">
        <f>VLOOKUP($D803,'WB Data'!$C$3:$M$578,3,FALSE)</f>
        <v>16556600</v>
      </c>
      <c r="AY803" s="847" t="str">
        <f t="shared" si="135"/>
        <v>..</v>
      </c>
      <c r="AZ803" s="117" t="e">
        <f>VLOOKUP($D803,'WB Data'!$C$3:$M$578,4,FALSE)/100</f>
        <v>#VALUE!</v>
      </c>
      <c r="BA803" s="117" t="str">
        <f t="shared" si="136"/>
        <v>..</v>
      </c>
      <c r="BB803" s="129" t="str">
        <f>IFERROR(VLOOKUP($D803,'EITI Revenues'!$C$2:$G$224,5,FALSE),"..")</f>
        <v>..</v>
      </c>
      <c r="BC803" s="846" t="str">
        <f t="shared" si="137"/>
        <v>..</v>
      </c>
      <c r="BD803" s="129">
        <f>VLOOKUP($D803,'WB Data 2'!$C$2:$K$545,6,FALSE)</f>
        <v>72314639999.574051</v>
      </c>
      <c r="BE803" s="129">
        <f>IFERROR(VLOOKUP($D803,UNCTAD!$C$5:$V$529,4,FALSE),"..")</f>
        <v>89531640000</v>
      </c>
      <c r="BF803" s="846">
        <f t="shared" si="138"/>
        <v>0.80769926698063443</v>
      </c>
      <c r="BG803" s="117">
        <f>VLOOKUP($D803,'WB Data'!$C$3:$M$578,5,FALSE)</f>
        <v>215510000</v>
      </c>
      <c r="BH803" s="129" t="str">
        <f>IFERROR($BB803/$BG803,"..")</f>
        <v>..</v>
      </c>
      <c r="BI803" s="117" t="str">
        <f>IFERROR(VLOOKUP($D803,'WB Data'!$C$3:$M$578,7,FALSE)/100,"..")</f>
        <v>..</v>
      </c>
      <c r="BJ803" s="117" t="str">
        <f>IFERROR($BI803*$AW803,"..")</f>
        <v>..</v>
      </c>
      <c r="BK803" s="846" t="str">
        <f>IFERROR($BB803/$BJ803,"..")</f>
        <v>..</v>
      </c>
      <c r="BL803" s="117" t="str">
        <f>IFERROR(VLOOKUP($D803,'WB Data'!$C$3:$M$578,7,FALSE)/100,"..")</f>
        <v>..</v>
      </c>
      <c r="BM803" s="117" t="str">
        <f>IFERROR($AW803*$BL803,"..")</f>
        <v>..</v>
      </c>
      <c r="BN803" s="846" t="str">
        <f>IFERROR($BB803/$BM803,"..")</f>
        <v>..</v>
      </c>
      <c r="BO803" s="801">
        <f t="shared" si="134"/>
        <v>29</v>
      </c>
      <c r="BP803" s="117">
        <f>VLOOKUP($D803,'WB Data'!$C$3:$M$578,9,FALSE)</f>
        <v>5.5</v>
      </c>
      <c r="BQ803" s="117">
        <f>VLOOKUP($D803,'WB Data'!$C$3:$M$578,10,FALSE)</f>
        <v>68.98</v>
      </c>
      <c r="BR803" s="117">
        <f>VLOOKUP($D803,'WB Data'!$C$3:$M$578,11,FALSE)</f>
        <v>17.600000000000001</v>
      </c>
      <c r="BS803" s="129">
        <f>IFERROR(VLOOKUP($D803,'WB Data 2'!$C$2:$K$545,9,FALSE),"..")</f>
        <v>98.239959999999996</v>
      </c>
      <c r="BT803" s="129">
        <f>_xlfn.IFNA(VLOOKUP($C803,RGI!$A$2:$C$43,2,FALSE),"..")</f>
        <v>77.5</v>
      </c>
      <c r="BU803" s="129">
        <f>_xlfn.IFNA(VLOOKUP($C803,RGI!$A$2:$C$43,3,FALSE),"..")</f>
        <v>57.362887635782535</v>
      </c>
      <c r="BV803" s="129">
        <f>VLOOKUP($D803,WGI!$C$2:$O$478,7,FALSE)</f>
        <v>-1.0947582948953301</v>
      </c>
      <c r="BW803" s="129">
        <f>VLOOKUP($D803,WGI!$C$2:$O$478,4,FALSE)</f>
        <v>-0.32042900556192899</v>
      </c>
      <c r="BX803" s="129">
        <f>VLOOKUP($D803,WGI!$C$2:$O$478,3,FALSE)</f>
        <v>-0.42630117376099602</v>
      </c>
      <c r="BY803" s="129">
        <f>VLOOKUP($D803,WGI!$C$2:$O$478,5,FALSE)</f>
        <v>-0.25995175471842702</v>
      </c>
      <c r="BZ803" s="129">
        <f>VLOOKUP($D803,WGI!$C$2:$O$478,2,FALSE)</f>
        <v>-0.97820473728264901</v>
      </c>
    </row>
    <row r="804" spans="1:78" ht="15" customHeight="1">
      <c r="A804" s="280" t="s">
        <v>277</v>
      </c>
      <c r="B804" s="117">
        <v>2011</v>
      </c>
      <c r="C804" s="117" t="s">
        <v>280</v>
      </c>
      <c r="D804" s="117" t="s">
        <v>3702</v>
      </c>
      <c r="E804" s="452" t="s">
        <v>39</v>
      </c>
      <c r="F804" s="117"/>
      <c r="G804" s="117" t="s">
        <v>24</v>
      </c>
      <c r="H804" s="117" t="str">
        <f t="shared" si="130"/>
        <v>yes</v>
      </c>
      <c r="I804" s="117" t="str">
        <f t="shared" si="131"/>
        <v>no</v>
      </c>
      <c r="J804" s="117" t="str">
        <f t="shared" si="132"/>
        <v>no</v>
      </c>
      <c r="K804" s="120" t="s">
        <v>1423</v>
      </c>
      <c r="L804" s="117" t="str">
        <f t="shared" si="139"/>
        <v>detailed</v>
      </c>
      <c r="M804" s="117" t="str">
        <f t="shared" si="133"/>
        <v>detailed Mining</v>
      </c>
      <c r="N804" s="89">
        <v>1289917</v>
      </c>
      <c r="O804" s="89"/>
      <c r="P804" s="89"/>
      <c r="Q804" s="89"/>
      <c r="R804" s="89"/>
      <c r="S804" s="120" t="s">
        <v>610</v>
      </c>
      <c r="T804" s="119">
        <f>1.186/0.000453592</f>
        <v>2614.68456233796</v>
      </c>
      <c r="U804" s="120" t="s">
        <v>611</v>
      </c>
      <c r="V804" s="117" t="s">
        <v>1465</v>
      </c>
      <c r="W804" s="89">
        <f>N804*T804</f>
        <v>3372726066.5972943</v>
      </c>
      <c r="X804" s="120"/>
      <c r="Y804" s="120"/>
      <c r="Z804" s="120"/>
      <c r="AA804" s="117"/>
      <c r="AB804" s="117"/>
      <c r="AC804" s="462"/>
      <c r="AD804" s="462"/>
      <c r="AE804" s="462"/>
      <c r="AF804" s="463"/>
      <c r="AG804" s="120"/>
      <c r="AH804" s="493"/>
      <c r="AI804" s="120"/>
      <c r="AJ804" s="120"/>
      <c r="AK804" s="120"/>
      <c r="AL804" s="120"/>
      <c r="AM804" s="120"/>
      <c r="AN804" s="120"/>
      <c r="AO804" s="120"/>
      <c r="AP804" s="120"/>
      <c r="AQ804" s="120"/>
      <c r="AR804" s="120"/>
      <c r="AS804" s="120"/>
      <c r="AT804" s="120"/>
      <c r="AU804" s="120"/>
      <c r="AV804" s="128"/>
      <c r="AW804" s="117">
        <f>VLOOKUP($D804,'WB Data'!$C$3:$M$578,2,FALSE)</f>
        <v>188048960311.22461</v>
      </c>
      <c r="AX804" s="117">
        <f>VLOOKUP($D804,'WB Data'!$C$3:$M$578,3,FALSE)</f>
        <v>16556600</v>
      </c>
      <c r="AY804" s="847" t="str">
        <f t="shared" si="135"/>
        <v>..</v>
      </c>
      <c r="AZ804" s="117" t="e">
        <f>VLOOKUP($D804,'WB Data'!$C$3:$M$578,4,FALSE)/100</f>
        <v>#VALUE!</v>
      </c>
      <c r="BA804" s="117" t="str">
        <f t="shared" si="136"/>
        <v>..</v>
      </c>
      <c r="BB804" s="129" t="str">
        <f>IFERROR(VLOOKUP($D804,'EITI Revenues'!$C$2:$G$224,5,FALSE),"..")</f>
        <v>..</v>
      </c>
      <c r="BC804" s="846" t="str">
        <f t="shared" si="137"/>
        <v>..</v>
      </c>
      <c r="BD804" s="129">
        <f>VLOOKUP($D804,'WB Data 2'!$C$2:$K$545,6,FALSE)</f>
        <v>72314639999.574051</v>
      </c>
      <c r="BE804" s="129">
        <f>IFERROR(VLOOKUP($D804,UNCTAD!$C$5:$V$529,4,FALSE),"..")</f>
        <v>89531640000</v>
      </c>
      <c r="BF804" s="846">
        <f t="shared" si="138"/>
        <v>0.80769926698063443</v>
      </c>
      <c r="BG804" s="117">
        <f>VLOOKUP($D804,'WB Data'!$C$3:$M$578,5,FALSE)</f>
        <v>215510000</v>
      </c>
      <c r="BH804" s="129" t="str">
        <f>IFERROR($BB804/$BG804,"..")</f>
        <v>..</v>
      </c>
      <c r="BI804" s="117" t="str">
        <f>IFERROR(VLOOKUP($D804,'WB Data'!$C$3:$M$578,7,FALSE)/100,"..")</f>
        <v>..</v>
      </c>
      <c r="BJ804" s="117" t="str">
        <f>IFERROR($BI804*$AW804,"..")</f>
        <v>..</v>
      </c>
      <c r="BK804" s="846" t="str">
        <f>IFERROR($BB804/$BJ804,"..")</f>
        <v>..</v>
      </c>
      <c r="BL804" s="117" t="str">
        <f>IFERROR(VLOOKUP($D804,'WB Data'!$C$3:$M$578,7,FALSE)/100,"..")</f>
        <v>..</v>
      </c>
      <c r="BM804" s="117" t="str">
        <f>IFERROR($AW804*$BL804,"..")</f>
        <v>..</v>
      </c>
      <c r="BN804" s="846" t="str">
        <f>IFERROR($BB804/$BM804,"..")</f>
        <v>..</v>
      </c>
      <c r="BO804" s="801">
        <f t="shared" si="134"/>
        <v>29</v>
      </c>
      <c r="BP804" s="117">
        <f>VLOOKUP($D804,'WB Data'!$C$3:$M$578,9,FALSE)</f>
        <v>5.5</v>
      </c>
      <c r="BQ804" s="117">
        <f>VLOOKUP($D804,'WB Data'!$C$3:$M$578,10,FALSE)</f>
        <v>68.98</v>
      </c>
      <c r="BR804" s="117">
        <f>VLOOKUP($D804,'WB Data'!$C$3:$M$578,11,FALSE)</f>
        <v>17.600000000000001</v>
      </c>
      <c r="BS804" s="129">
        <f>IFERROR(VLOOKUP($D804,'WB Data 2'!$C$2:$K$545,9,FALSE),"..")</f>
        <v>98.239959999999996</v>
      </c>
      <c r="BT804" s="129">
        <f>_xlfn.IFNA(VLOOKUP($C804,RGI!$A$2:$C$43,2,FALSE),"..")</f>
        <v>77.5</v>
      </c>
      <c r="BU804" s="129">
        <f>_xlfn.IFNA(VLOOKUP($C804,RGI!$A$2:$C$43,3,FALSE),"..")</f>
        <v>57.362887635782535</v>
      </c>
      <c r="BV804" s="129">
        <f>VLOOKUP($D804,WGI!$C$2:$O$478,7,FALSE)</f>
        <v>-1.0947582948953301</v>
      </c>
      <c r="BW804" s="129">
        <f>VLOOKUP($D804,WGI!$C$2:$O$478,4,FALSE)</f>
        <v>-0.32042900556192899</v>
      </c>
      <c r="BX804" s="129">
        <f>VLOOKUP($D804,WGI!$C$2:$O$478,3,FALSE)</f>
        <v>-0.42630117376099602</v>
      </c>
      <c r="BY804" s="129">
        <f>VLOOKUP($D804,WGI!$C$2:$O$478,5,FALSE)</f>
        <v>-0.25995175471842702</v>
      </c>
      <c r="BZ804" s="129">
        <f>VLOOKUP($D804,WGI!$C$2:$O$478,2,FALSE)</f>
        <v>-0.97820473728264901</v>
      </c>
    </row>
    <row r="805" spans="1:78" ht="15" customHeight="1">
      <c r="A805" s="280" t="s">
        <v>277</v>
      </c>
      <c r="B805" s="117">
        <v>2011</v>
      </c>
      <c r="C805" s="117" t="s">
        <v>280</v>
      </c>
      <c r="D805" s="117" t="s">
        <v>3702</v>
      </c>
      <c r="E805" s="452" t="s">
        <v>39</v>
      </c>
      <c r="F805" s="117"/>
      <c r="G805" s="117" t="s">
        <v>24</v>
      </c>
      <c r="H805" s="117" t="str">
        <f t="shared" si="130"/>
        <v>yes</v>
      </c>
      <c r="I805" s="117" t="str">
        <f t="shared" si="131"/>
        <v>no</v>
      </c>
      <c r="J805" s="117" t="str">
        <f t="shared" si="132"/>
        <v>no</v>
      </c>
      <c r="K805" s="120" t="s">
        <v>1425</v>
      </c>
      <c r="L805" s="117" t="str">
        <f t="shared" si="139"/>
        <v>detailed</v>
      </c>
      <c r="M805" s="117" t="str">
        <f t="shared" si="133"/>
        <v>detailed Mining</v>
      </c>
      <c r="N805" s="89">
        <v>143296</v>
      </c>
      <c r="O805" s="89"/>
      <c r="P805" s="89"/>
      <c r="Q805" s="89"/>
      <c r="R805" s="89"/>
      <c r="S805" s="120" t="s">
        <v>610</v>
      </c>
      <c r="T805" s="119"/>
      <c r="U805" s="120"/>
      <c r="V805" s="117" t="s">
        <v>847</v>
      </c>
      <c r="W805" s="89"/>
      <c r="X805" s="120"/>
      <c r="Y805" s="120"/>
      <c r="Z805" s="120"/>
      <c r="AA805" s="117"/>
      <c r="AB805" s="117"/>
      <c r="AC805" s="462"/>
      <c r="AD805" s="462"/>
      <c r="AE805" s="462"/>
      <c r="AF805" s="463"/>
      <c r="AG805" s="120"/>
      <c r="AH805" s="493"/>
      <c r="AI805" s="120"/>
      <c r="AJ805" s="120"/>
      <c r="AK805" s="120"/>
      <c r="AL805" s="120"/>
      <c r="AM805" s="120"/>
      <c r="AN805" s="120"/>
      <c r="AO805" s="120"/>
      <c r="AP805" s="120"/>
      <c r="AQ805" s="120"/>
      <c r="AR805" s="120"/>
      <c r="AS805" s="120"/>
      <c r="AT805" s="120"/>
      <c r="AU805" s="120"/>
      <c r="AV805" s="128"/>
      <c r="AW805" s="117">
        <f>VLOOKUP($D805,'WB Data'!$C$3:$M$578,2,FALSE)</f>
        <v>188048960311.22461</v>
      </c>
      <c r="AX805" s="117">
        <f>VLOOKUP($D805,'WB Data'!$C$3:$M$578,3,FALSE)</f>
        <v>16556600</v>
      </c>
      <c r="AY805" s="847" t="str">
        <f t="shared" si="135"/>
        <v>..</v>
      </c>
      <c r="AZ805" s="117" t="e">
        <f>VLOOKUP($D805,'WB Data'!$C$3:$M$578,4,FALSE)/100</f>
        <v>#VALUE!</v>
      </c>
      <c r="BA805" s="117" t="str">
        <f t="shared" si="136"/>
        <v>..</v>
      </c>
      <c r="BB805" s="129" t="str">
        <f>IFERROR(VLOOKUP($D805,'EITI Revenues'!$C$2:$G$224,5,FALSE),"..")</f>
        <v>..</v>
      </c>
      <c r="BC805" s="846" t="str">
        <f t="shared" si="137"/>
        <v>..</v>
      </c>
      <c r="BD805" s="129">
        <f>VLOOKUP($D805,'WB Data 2'!$C$2:$K$545,6,FALSE)</f>
        <v>72314639999.574051</v>
      </c>
      <c r="BE805" s="129">
        <f>IFERROR(VLOOKUP($D805,UNCTAD!$C$5:$V$529,4,FALSE),"..")</f>
        <v>89531640000</v>
      </c>
      <c r="BF805" s="846">
        <f t="shared" si="138"/>
        <v>0.80769926698063443</v>
      </c>
      <c r="BG805" s="117">
        <f>VLOOKUP($D805,'WB Data'!$C$3:$M$578,5,FALSE)</f>
        <v>215510000</v>
      </c>
      <c r="BH805" s="129" t="str">
        <f>IFERROR($BB805/$BG805,"..")</f>
        <v>..</v>
      </c>
      <c r="BI805" s="117" t="str">
        <f>IFERROR(VLOOKUP($D805,'WB Data'!$C$3:$M$578,7,FALSE)/100,"..")</f>
        <v>..</v>
      </c>
      <c r="BJ805" s="117" t="str">
        <f>IFERROR($BI805*$AW805,"..")</f>
        <v>..</v>
      </c>
      <c r="BK805" s="846" t="str">
        <f>IFERROR($BB805/$BJ805,"..")</f>
        <v>..</v>
      </c>
      <c r="BL805" s="117" t="str">
        <f>IFERROR(VLOOKUP($D805,'WB Data'!$C$3:$M$578,7,FALSE)/100,"..")</f>
        <v>..</v>
      </c>
      <c r="BM805" s="117" t="str">
        <f>IFERROR($AW805*$BL805,"..")</f>
        <v>..</v>
      </c>
      <c r="BN805" s="846" t="str">
        <f>IFERROR($BB805/$BM805,"..")</f>
        <v>..</v>
      </c>
      <c r="BO805" s="801">
        <f t="shared" si="134"/>
        <v>29</v>
      </c>
      <c r="BP805" s="117">
        <f>VLOOKUP($D805,'WB Data'!$C$3:$M$578,9,FALSE)</f>
        <v>5.5</v>
      </c>
      <c r="BQ805" s="117">
        <f>VLOOKUP($D805,'WB Data'!$C$3:$M$578,10,FALSE)</f>
        <v>68.98</v>
      </c>
      <c r="BR805" s="117">
        <f>VLOOKUP($D805,'WB Data'!$C$3:$M$578,11,FALSE)</f>
        <v>17.600000000000001</v>
      </c>
      <c r="BS805" s="129">
        <f>IFERROR(VLOOKUP($D805,'WB Data 2'!$C$2:$K$545,9,FALSE),"..")</f>
        <v>98.239959999999996</v>
      </c>
      <c r="BT805" s="129">
        <f>_xlfn.IFNA(VLOOKUP($C805,RGI!$A$2:$C$43,2,FALSE),"..")</f>
        <v>77.5</v>
      </c>
      <c r="BU805" s="129">
        <f>_xlfn.IFNA(VLOOKUP($C805,RGI!$A$2:$C$43,3,FALSE),"..")</f>
        <v>57.362887635782535</v>
      </c>
      <c r="BV805" s="129">
        <f>VLOOKUP($D805,WGI!$C$2:$O$478,7,FALSE)</f>
        <v>-1.0947582948953301</v>
      </c>
      <c r="BW805" s="129">
        <f>VLOOKUP($D805,WGI!$C$2:$O$478,4,FALSE)</f>
        <v>-0.32042900556192899</v>
      </c>
      <c r="BX805" s="129">
        <f>VLOOKUP($D805,WGI!$C$2:$O$478,3,FALSE)</f>
        <v>-0.42630117376099602</v>
      </c>
      <c r="BY805" s="129">
        <f>VLOOKUP($D805,WGI!$C$2:$O$478,5,FALSE)</f>
        <v>-0.25995175471842702</v>
      </c>
      <c r="BZ805" s="129">
        <f>VLOOKUP($D805,WGI!$C$2:$O$478,2,FALSE)</f>
        <v>-0.97820473728264901</v>
      </c>
    </row>
    <row r="806" spans="1:78" ht="15" customHeight="1">
      <c r="A806" s="280" t="s">
        <v>277</v>
      </c>
      <c r="B806" s="117">
        <v>2011</v>
      </c>
      <c r="C806" s="117" t="s">
        <v>280</v>
      </c>
      <c r="D806" s="117" t="s">
        <v>3702</v>
      </c>
      <c r="E806" s="452" t="s">
        <v>39</v>
      </c>
      <c r="F806" s="117"/>
      <c r="G806" s="117" t="s">
        <v>24</v>
      </c>
      <c r="H806" s="117" t="str">
        <f t="shared" si="130"/>
        <v>yes</v>
      </c>
      <c r="I806" s="117" t="str">
        <f t="shared" si="131"/>
        <v>no</v>
      </c>
      <c r="J806" s="117" t="str">
        <f t="shared" si="132"/>
        <v>no</v>
      </c>
      <c r="K806" s="120" t="s">
        <v>1426</v>
      </c>
      <c r="L806" s="117" t="str">
        <f t="shared" si="139"/>
        <v>detailed</v>
      </c>
      <c r="M806" s="117" t="str">
        <f t="shared" si="133"/>
        <v>detailed Mining</v>
      </c>
      <c r="N806" s="89">
        <v>1683</v>
      </c>
      <c r="O806" s="89"/>
      <c r="P806" s="89"/>
      <c r="Q806" s="89"/>
      <c r="R806" s="89"/>
      <c r="S806" s="120" t="s">
        <v>610</v>
      </c>
      <c r="T806" s="119">
        <f>1.065/0.000453592</f>
        <v>2347.9250074957231</v>
      </c>
      <c r="U806" s="120" t="s">
        <v>611</v>
      </c>
      <c r="V806" s="117" t="s">
        <v>1427</v>
      </c>
      <c r="W806" s="89">
        <f>N806*T806</f>
        <v>3951557.787615302</v>
      </c>
      <c r="X806" s="120"/>
      <c r="Y806" s="120"/>
      <c r="Z806" s="120"/>
      <c r="AA806" s="117"/>
      <c r="AB806" s="117"/>
      <c r="AC806" s="462"/>
      <c r="AD806" s="462"/>
      <c r="AE806" s="462"/>
      <c r="AF806" s="463"/>
      <c r="AG806" s="120"/>
      <c r="AH806" s="493"/>
      <c r="AI806" s="120"/>
      <c r="AJ806" s="120"/>
      <c r="AK806" s="120"/>
      <c r="AL806" s="120"/>
      <c r="AM806" s="120"/>
      <c r="AN806" s="120"/>
      <c r="AO806" s="120"/>
      <c r="AP806" s="120"/>
      <c r="AQ806" s="120"/>
      <c r="AR806" s="120"/>
      <c r="AS806" s="120"/>
      <c r="AT806" s="120"/>
      <c r="AU806" s="120"/>
      <c r="AV806" s="128"/>
      <c r="AW806" s="117">
        <f>VLOOKUP($D806,'WB Data'!$C$3:$M$578,2,FALSE)</f>
        <v>188048960311.22461</v>
      </c>
      <c r="AX806" s="117">
        <f>VLOOKUP($D806,'WB Data'!$C$3:$M$578,3,FALSE)</f>
        <v>16556600</v>
      </c>
      <c r="AY806" s="847" t="str">
        <f t="shared" si="135"/>
        <v>..</v>
      </c>
      <c r="AZ806" s="117" t="e">
        <f>VLOOKUP($D806,'WB Data'!$C$3:$M$578,4,FALSE)/100</f>
        <v>#VALUE!</v>
      </c>
      <c r="BA806" s="117" t="str">
        <f t="shared" si="136"/>
        <v>..</v>
      </c>
      <c r="BB806" s="129" t="str">
        <f>IFERROR(VLOOKUP($D806,'EITI Revenues'!$C$2:$G$224,5,FALSE),"..")</f>
        <v>..</v>
      </c>
      <c r="BC806" s="846" t="str">
        <f t="shared" si="137"/>
        <v>..</v>
      </c>
      <c r="BD806" s="129">
        <f>VLOOKUP($D806,'WB Data 2'!$C$2:$K$545,6,FALSE)</f>
        <v>72314639999.574051</v>
      </c>
      <c r="BE806" s="129">
        <f>IFERROR(VLOOKUP($D806,UNCTAD!$C$5:$V$529,4,FALSE),"..")</f>
        <v>89531640000</v>
      </c>
      <c r="BF806" s="846">
        <f t="shared" si="138"/>
        <v>0.80769926698063443</v>
      </c>
      <c r="BG806" s="117">
        <f>VLOOKUP($D806,'WB Data'!$C$3:$M$578,5,FALSE)</f>
        <v>215510000</v>
      </c>
      <c r="BH806" s="129" t="str">
        <f>IFERROR($BB806/$BG806,"..")</f>
        <v>..</v>
      </c>
      <c r="BI806" s="117" t="str">
        <f>IFERROR(VLOOKUP($D806,'WB Data'!$C$3:$M$578,7,FALSE)/100,"..")</f>
        <v>..</v>
      </c>
      <c r="BJ806" s="117" t="str">
        <f>IFERROR($BI806*$AW806,"..")</f>
        <v>..</v>
      </c>
      <c r="BK806" s="846" t="str">
        <f>IFERROR($BB806/$BJ806,"..")</f>
        <v>..</v>
      </c>
      <c r="BL806" s="117" t="str">
        <f>IFERROR(VLOOKUP($D806,'WB Data'!$C$3:$M$578,7,FALSE)/100,"..")</f>
        <v>..</v>
      </c>
      <c r="BM806" s="117" t="str">
        <f>IFERROR($AW806*$BL806,"..")</f>
        <v>..</v>
      </c>
      <c r="BN806" s="846" t="str">
        <f>IFERROR($BB806/$BM806,"..")</f>
        <v>..</v>
      </c>
      <c r="BO806" s="801">
        <f t="shared" si="134"/>
        <v>29</v>
      </c>
      <c r="BP806" s="117">
        <f>VLOOKUP($D806,'WB Data'!$C$3:$M$578,9,FALSE)</f>
        <v>5.5</v>
      </c>
      <c r="BQ806" s="117">
        <f>VLOOKUP($D806,'WB Data'!$C$3:$M$578,10,FALSE)</f>
        <v>68.98</v>
      </c>
      <c r="BR806" s="117">
        <f>VLOOKUP($D806,'WB Data'!$C$3:$M$578,11,FALSE)</f>
        <v>17.600000000000001</v>
      </c>
      <c r="BS806" s="129">
        <f>IFERROR(VLOOKUP($D806,'WB Data 2'!$C$2:$K$545,9,FALSE),"..")</f>
        <v>98.239959999999996</v>
      </c>
      <c r="BT806" s="129">
        <f>_xlfn.IFNA(VLOOKUP($C806,RGI!$A$2:$C$43,2,FALSE),"..")</f>
        <v>77.5</v>
      </c>
      <c r="BU806" s="129">
        <f>_xlfn.IFNA(VLOOKUP($C806,RGI!$A$2:$C$43,3,FALSE),"..")</f>
        <v>57.362887635782535</v>
      </c>
      <c r="BV806" s="129">
        <f>VLOOKUP($D806,WGI!$C$2:$O$478,7,FALSE)</f>
        <v>-1.0947582948953301</v>
      </c>
      <c r="BW806" s="129">
        <f>VLOOKUP($D806,WGI!$C$2:$O$478,4,FALSE)</f>
        <v>-0.32042900556192899</v>
      </c>
      <c r="BX806" s="129">
        <f>VLOOKUP($D806,WGI!$C$2:$O$478,3,FALSE)</f>
        <v>-0.42630117376099602</v>
      </c>
      <c r="BY806" s="129">
        <f>VLOOKUP($D806,WGI!$C$2:$O$478,5,FALSE)</f>
        <v>-0.25995175471842702</v>
      </c>
      <c r="BZ806" s="129">
        <f>VLOOKUP($D806,WGI!$C$2:$O$478,2,FALSE)</f>
        <v>-0.97820473728264901</v>
      </c>
    </row>
    <row r="807" spans="1:78" ht="15" customHeight="1">
      <c r="A807" s="280" t="s">
        <v>277</v>
      </c>
      <c r="B807" s="117">
        <v>2011</v>
      </c>
      <c r="C807" s="117" t="s">
        <v>280</v>
      </c>
      <c r="D807" s="117" t="s">
        <v>3702</v>
      </c>
      <c r="E807" s="452" t="s">
        <v>39</v>
      </c>
      <c r="F807" s="117"/>
      <c r="G807" s="117" t="s">
        <v>24</v>
      </c>
      <c r="H807" s="117" t="str">
        <f t="shared" si="130"/>
        <v>yes</v>
      </c>
      <c r="I807" s="117" t="str">
        <f t="shared" si="131"/>
        <v>no</v>
      </c>
      <c r="J807" s="117" t="str">
        <f t="shared" si="132"/>
        <v>no</v>
      </c>
      <c r="K807" s="120" t="s">
        <v>1428</v>
      </c>
      <c r="L807" s="117" t="str">
        <f t="shared" si="139"/>
        <v>detailed</v>
      </c>
      <c r="M807" s="117" t="str">
        <f t="shared" si="133"/>
        <v>detailed Mining</v>
      </c>
      <c r="N807" s="89">
        <v>65000</v>
      </c>
      <c r="O807" s="89"/>
      <c r="P807" s="89"/>
      <c r="Q807" s="89"/>
      <c r="R807" s="89"/>
      <c r="S807" s="120" t="s">
        <v>610</v>
      </c>
      <c r="T807" s="119"/>
      <c r="U807" s="120"/>
      <c r="V807" s="117" t="s">
        <v>847</v>
      </c>
      <c r="W807" s="89"/>
      <c r="X807" s="120"/>
      <c r="Y807" s="120"/>
      <c r="Z807" s="120"/>
      <c r="AA807" s="117"/>
      <c r="AB807" s="117"/>
      <c r="AC807" s="462"/>
      <c r="AD807" s="462"/>
      <c r="AE807" s="462"/>
      <c r="AF807" s="463"/>
      <c r="AG807" s="120"/>
      <c r="AH807" s="493"/>
      <c r="AI807" s="120"/>
      <c r="AJ807" s="120"/>
      <c r="AK807" s="120"/>
      <c r="AL807" s="120"/>
      <c r="AM807" s="120"/>
      <c r="AN807" s="120"/>
      <c r="AO807" s="120"/>
      <c r="AP807" s="120"/>
      <c r="AQ807" s="120"/>
      <c r="AR807" s="120"/>
      <c r="AS807" s="120"/>
      <c r="AT807" s="120"/>
      <c r="AU807" s="120"/>
      <c r="AV807" s="128"/>
      <c r="AW807" s="117">
        <f>VLOOKUP($D807,'WB Data'!$C$3:$M$578,2,FALSE)</f>
        <v>188048960311.22461</v>
      </c>
      <c r="AX807" s="117">
        <f>VLOOKUP($D807,'WB Data'!$C$3:$M$578,3,FALSE)</f>
        <v>16556600</v>
      </c>
      <c r="AY807" s="847" t="str">
        <f t="shared" si="135"/>
        <v>..</v>
      </c>
      <c r="AZ807" s="117" t="e">
        <f>VLOOKUP($D807,'WB Data'!$C$3:$M$578,4,FALSE)/100</f>
        <v>#VALUE!</v>
      </c>
      <c r="BA807" s="117" t="str">
        <f t="shared" si="136"/>
        <v>..</v>
      </c>
      <c r="BB807" s="129" t="str">
        <f>IFERROR(VLOOKUP($D807,'EITI Revenues'!$C$2:$G$224,5,FALSE),"..")</f>
        <v>..</v>
      </c>
      <c r="BC807" s="846" t="str">
        <f t="shared" si="137"/>
        <v>..</v>
      </c>
      <c r="BD807" s="129">
        <f>VLOOKUP($D807,'WB Data 2'!$C$2:$K$545,6,FALSE)</f>
        <v>72314639999.574051</v>
      </c>
      <c r="BE807" s="129">
        <f>IFERROR(VLOOKUP($D807,UNCTAD!$C$5:$V$529,4,FALSE),"..")</f>
        <v>89531640000</v>
      </c>
      <c r="BF807" s="846">
        <f t="shared" si="138"/>
        <v>0.80769926698063443</v>
      </c>
      <c r="BG807" s="117">
        <f>VLOOKUP($D807,'WB Data'!$C$3:$M$578,5,FALSE)</f>
        <v>215510000</v>
      </c>
      <c r="BH807" s="129" t="str">
        <f>IFERROR($BB807/$BG807,"..")</f>
        <v>..</v>
      </c>
      <c r="BI807" s="117" t="str">
        <f>IFERROR(VLOOKUP($D807,'WB Data'!$C$3:$M$578,7,FALSE)/100,"..")</f>
        <v>..</v>
      </c>
      <c r="BJ807" s="117" t="str">
        <f>IFERROR($BI807*$AW807,"..")</f>
        <v>..</v>
      </c>
      <c r="BK807" s="846" t="str">
        <f>IFERROR($BB807/$BJ807,"..")</f>
        <v>..</v>
      </c>
      <c r="BL807" s="117" t="str">
        <f>IFERROR(VLOOKUP($D807,'WB Data'!$C$3:$M$578,7,FALSE)/100,"..")</f>
        <v>..</v>
      </c>
      <c r="BM807" s="117" t="str">
        <f>IFERROR($AW807*$BL807,"..")</f>
        <v>..</v>
      </c>
      <c r="BN807" s="846" t="str">
        <f>IFERROR($BB807/$BM807,"..")</f>
        <v>..</v>
      </c>
      <c r="BO807" s="801">
        <f t="shared" si="134"/>
        <v>29</v>
      </c>
      <c r="BP807" s="117">
        <f>VLOOKUP($D807,'WB Data'!$C$3:$M$578,9,FALSE)</f>
        <v>5.5</v>
      </c>
      <c r="BQ807" s="117">
        <f>VLOOKUP($D807,'WB Data'!$C$3:$M$578,10,FALSE)</f>
        <v>68.98</v>
      </c>
      <c r="BR807" s="117">
        <f>VLOOKUP($D807,'WB Data'!$C$3:$M$578,11,FALSE)</f>
        <v>17.600000000000001</v>
      </c>
      <c r="BS807" s="129">
        <f>IFERROR(VLOOKUP($D807,'WB Data 2'!$C$2:$K$545,9,FALSE),"..")</f>
        <v>98.239959999999996</v>
      </c>
      <c r="BT807" s="129">
        <f>_xlfn.IFNA(VLOOKUP($C807,RGI!$A$2:$C$43,2,FALSE),"..")</f>
        <v>77.5</v>
      </c>
      <c r="BU807" s="129">
        <f>_xlfn.IFNA(VLOOKUP($C807,RGI!$A$2:$C$43,3,FALSE),"..")</f>
        <v>57.362887635782535</v>
      </c>
      <c r="BV807" s="129">
        <f>VLOOKUP($D807,WGI!$C$2:$O$478,7,FALSE)</f>
        <v>-1.0947582948953301</v>
      </c>
      <c r="BW807" s="129">
        <f>VLOOKUP($D807,WGI!$C$2:$O$478,4,FALSE)</f>
        <v>-0.32042900556192899</v>
      </c>
      <c r="BX807" s="129">
        <f>VLOOKUP($D807,WGI!$C$2:$O$478,3,FALSE)</f>
        <v>-0.42630117376099602</v>
      </c>
      <c r="BY807" s="129">
        <f>VLOOKUP($D807,WGI!$C$2:$O$478,5,FALSE)</f>
        <v>-0.25995175471842702</v>
      </c>
      <c r="BZ807" s="129">
        <f>VLOOKUP($D807,WGI!$C$2:$O$478,2,FALSE)</f>
        <v>-0.97820473728264901</v>
      </c>
    </row>
    <row r="808" spans="1:78" ht="15" customHeight="1">
      <c r="A808" s="280" t="s">
        <v>277</v>
      </c>
      <c r="B808" s="117">
        <v>2011</v>
      </c>
      <c r="C808" s="117" t="s">
        <v>280</v>
      </c>
      <c r="D808" s="117" t="s">
        <v>3702</v>
      </c>
      <c r="E808" s="452" t="s">
        <v>39</v>
      </c>
      <c r="F808" s="117"/>
      <c r="G808" s="117" t="s">
        <v>24</v>
      </c>
      <c r="H808" s="117" t="str">
        <f t="shared" si="130"/>
        <v>yes</v>
      </c>
      <c r="I808" s="117" t="str">
        <f t="shared" si="131"/>
        <v>no</v>
      </c>
      <c r="J808" s="117" t="str">
        <f t="shared" si="132"/>
        <v>no</v>
      </c>
      <c r="K808" s="120" t="s">
        <v>784</v>
      </c>
      <c r="L808" s="117" t="str">
        <f t="shared" si="139"/>
        <v>detailed</v>
      </c>
      <c r="M808" s="117" t="str">
        <f t="shared" si="133"/>
        <v>detailed Mining</v>
      </c>
      <c r="N808" s="89">
        <f>36670*32.150743126506</f>
        <v>1178967.750448975</v>
      </c>
      <c r="O808" s="89"/>
      <c r="P808" s="89"/>
      <c r="Q808" s="89"/>
      <c r="R808" s="89"/>
      <c r="S808" s="120" t="s">
        <v>785</v>
      </c>
      <c r="T808" s="119">
        <v>1569.2108333333299</v>
      </c>
      <c r="U808" s="120" t="s">
        <v>786</v>
      </c>
      <c r="V808" s="117" t="s">
        <v>841</v>
      </c>
      <c r="W808" s="89">
        <f>N808*T808</f>
        <v>1850048966.1551573</v>
      </c>
      <c r="X808" s="120"/>
      <c r="Y808" s="120"/>
      <c r="Z808" s="120"/>
      <c r="AA808" s="117"/>
      <c r="AB808" s="117"/>
      <c r="AC808" s="462"/>
      <c r="AD808" s="462"/>
      <c r="AE808" s="462"/>
      <c r="AF808" s="463"/>
      <c r="AG808" s="120"/>
      <c r="AH808" s="493"/>
      <c r="AI808" s="120"/>
      <c r="AJ808" s="120"/>
      <c r="AK808" s="120"/>
      <c r="AL808" s="120"/>
      <c r="AM808" s="120"/>
      <c r="AN808" s="120"/>
      <c r="AO808" s="120"/>
      <c r="AP808" s="120"/>
      <c r="AQ808" s="120"/>
      <c r="AR808" s="120"/>
      <c r="AS808" s="120"/>
      <c r="AT808" s="120"/>
      <c r="AU808" s="120"/>
      <c r="AV808" s="128"/>
      <c r="AW808" s="117">
        <f>VLOOKUP($D808,'WB Data'!$C$3:$M$578,2,FALSE)</f>
        <v>188048960311.22461</v>
      </c>
      <c r="AX808" s="117">
        <f>VLOOKUP($D808,'WB Data'!$C$3:$M$578,3,FALSE)</f>
        <v>16556600</v>
      </c>
      <c r="AY808" s="847" t="str">
        <f t="shared" si="135"/>
        <v>..</v>
      </c>
      <c r="AZ808" s="117" t="e">
        <f>VLOOKUP($D808,'WB Data'!$C$3:$M$578,4,FALSE)/100</f>
        <v>#VALUE!</v>
      </c>
      <c r="BA808" s="117" t="str">
        <f t="shared" si="136"/>
        <v>..</v>
      </c>
      <c r="BB808" s="129" t="str">
        <f>IFERROR(VLOOKUP($D808,'EITI Revenues'!$C$2:$G$224,5,FALSE),"..")</f>
        <v>..</v>
      </c>
      <c r="BC808" s="846" t="str">
        <f t="shared" si="137"/>
        <v>..</v>
      </c>
      <c r="BD808" s="129">
        <f>VLOOKUP($D808,'WB Data 2'!$C$2:$K$545,6,FALSE)</f>
        <v>72314639999.574051</v>
      </c>
      <c r="BE808" s="129">
        <f>IFERROR(VLOOKUP($D808,UNCTAD!$C$5:$V$529,4,FALSE),"..")</f>
        <v>89531640000</v>
      </c>
      <c r="BF808" s="846">
        <f t="shared" si="138"/>
        <v>0.80769926698063443</v>
      </c>
      <c r="BG808" s="117">
        <f>VLOOKUP($D808,'WB Data'!$C$3:$M$578,5,FALSE)</f>
        <v>215510000</v>
      </c>
      <c r="BH808" s="129" t="str">
        <f>IFERROR($BB808/$BG808,"..")</f>
        <v>..</v>
      </c>
      <c r="BI808" s="117" t="str">
        <f>IFERROR(VLOOKUP($D808,'WB Data'!$C$3:$M$578,7,FALSE)/100,"..")</f>
        <v>..</v>
      </c>
      <c r="BJ808" s="117" t="str">
        <f>IFERROR($BI808*$AW808,"..")</f>
        <v>..</v>
      </c>
      <c r="BK808" s="846" t="str">
        <f>IFERROR($BB808/$BJ808,"..")</f>
        <v>..</v>
      </c>
      <c r="BL808" s="117" t="str">
        <f>IFERROR(VLOOKUP($D808,'WB Data'!$C$3:$M$578,7,FALSE)/100,"..")</f>
        <v>..</v>
      </c>
      <c r="BM808" s="117" t="str">
        <f>IFERROR($AW808*$BL808,"..")</f>
        <v>..</v>
      </c>
      <c r="BN808" s="846" t="str">
        <f>IFERROR($BB808/$BM808,"..")</f>
        <v>..</v>
      </c>
      <c r="BO808" s="801">
        <f t="shared" si="134"/>
        <v>29</v>
      </c>
      <c r="BP808" s="117">
        <f>VLOOKUP($D808,'WB Data'!$C$3:$M$578,9,FALSE)</f>
        <v>5.5</v>
      </c>
      <c r="BQ808" s="117">
        <f>VLOOKUP($D808,'WB Data'!$C$3:$M$578,10,FALSE)</f>
        <v>68.98</v>
      </c>
      <c r="BR808" s="117">
        <f>VLOOKUP($D808,'WB Data'!$C$3:$M$578,11,FALSE)</f>
        <v>17.600000000000001</v>
      </c>
      <c r="BS808" s="129">
        <f>IFERROR(VLOOKUP($D808,'WB Data 2'!$C$2:$K$545,9,FALSE),"..")</f>
        <v>98.239959999999996</v>
      </c>
      <c r="BT808" s="129">
        <f>_xlfn.IFNA(VLOOKUP($C808,RGI!$A$2:$C$43,2,FALSE),"..")</f>
        <v>77.5</v>
      </c>
      <c r="BU808" s="129">
        <f>_xlfn.IFNA(VLOOKUP($C808,RGI!$A$2:$C$43,3,FALSE),"..")</f>
        <v>57.362887635782535</v>
      </c>
      <c r="BV808" s="129">
        <f>VLOOKUP($D808,WGI!$C$2:$O$478,7,FALSE)</f>
        <v>-1.0947582948953301</v>
      </c>
      <c r="BW808" s="129">
        <f>VLOOKUP($D808,WGI!$C$2:$O$478,4,FALSE)</f>
        <v>-0.32042900556192899</v>
      </c>
      <c r="BX808" s="129">
        <f>VLOOKUP($D808,WGI!$C$2:$O$478,3,FALSE)</f>
        <v>-0.42630117376099602</v>
      </c>
      <c r="BY808" s="129">
        <f>VLOOKUP($D808,WGI!$C$2:$O$478,5,FALSE)</f>
        <v>-0.25995175471842702</v>
      </c>
      <c r="BZ808" s="129">
        <f>VLOOKUP($D808,WGI!$C$2:$O$478,2,FALSE)</f>
        <v>-0.97820473728264901</v>
      </c>
    </row>
    <row r="809" spans="1:78" ht="15" customHeight="1">
      <c r="A809" s="280" t="s">
        <v>277</v>
      </c>
      <c r="B809" s="117">
        <v>2011</v>
      </c>
      <c r="C809" s="117" t="s">
        <v>280</v>
      </c>
      <c r="D809" s="117" t="s">
        <v>3702</v>
      </c>
      <c r="E809" s="452" t="s">
        <v>39</v>
      </c>
      <c r="F809" s="117"/>
      <c r="G809" s="117" t="s">
        <v>24</v>
      </c>
      <c r="H809" s="117" t="str">
        <f t="shared" si="130"/>
        <v>yes</v>
      </c>
      <c r="I809" s="117" t="str">
        <f t="shared" si="131"/>
        <v>no</v>
      </c>
      <c r="J809" s="117" t="str">
        <f t="shared" si="132"/>
        <v>no</v>
      </c>
      <c r="K809" s="120" t="s">
        <v>1429</v>
      </c>
      <c r="L809" s="117" t="str">
        <f t="shared" si="139"/>
        <v>detailed</v>
      </c>
      <c r="M809" s="117" t="str">
        <f t="shared" si="133"/>
        <v>detailed Mining</v>
      </c>
      <c r="N809" s="89">
        <v>25000</v>
      </c>
      <c r="O809" s="89"/>
      <c r="P809" s="89"/>
      <c r="Q809" s="89"/>
      <c r="R809" s="89"/>
      <c r="S809" s="120" t="s">
        <v>610</v>
      </c>
      <c r="T809" s="119">
        <v>195</v>
      </c>
      <c r="U809" s="117" t="s">
        <v>611</v>
      </c>
      <c r="V809" s="117" t="s">
        <v>1430</v>
      </c>
      <c r="W809" s="89">
        <f>N809*T809</f>
        <v>4875000</v>
      </c>
      <c r="X809" s="120"/>
      <c r="Y809" s="120"/>
      <c r="Z809" s="120"/>
      <c r="AA809" s="117"/>
      <c r="AB809" s="117"/>
      <c r="AC809" s="462"/>
      <c r="AD809" s="462"/>
      <c r="AE809" s="462"/>
      <c r="AF809" s="463"/>
      <c r="AG809" s="120"/>
      <c r="AH809" s="493"/>
      <c r="AI809" s="120"/>
      <c r="AJ809" s="120"/>
      <c r="AK809" s="120"/>
      <c r="AL809" s="120"/>
      <c r="AM809" s="120"/>
      <c r="AN809" s="120"/>
      <c r="AO809" s="120"/>
      <c r="AP809" s="120"/>
      <c r="AQ809" s="120"/>
      <c r="AR809" s="120"/>
      <c r="AS809" s="120"/>
      <c r="AT809" s="120"/>
      <c r="AU809" s="120"/>
      <c r="AV809" s="128"/>
      <c r="AW809" s="117">
        <f>VLOOKUP($D809,'WB Data'!$C$3:$M$578,2,FALSE)</f>
        <v>188048960311.22461</v>
      </c>
      <c r="AX809" s="117">
        <f>VLOOKUP($D809,'WB Data'!$C$3:$M$578,3,FALSE)</f>
        <v>16556600</v>
      </c>
      <c r="AY809" s="847" t="str">
        <f t="shared" si="135"/>
        <v>..</v>
      </c>
      <c r="AZ809" s="117" t="e">
        <f>VLOOKUP($D809,'WB Data'!$C$3:$M$578,4,FALSE)/100</f>
        <v>#VALUE!</v>
      </c>
      <c r="BA809" s="117" t="str">
        <f t="shared" si="136"/>
        <v>..</v>
      </c>
      <c r="BB809" s="129" t="str">
        <f>IFERROR(VLOOKUP($D809,'EITI Revenues'!$C$2:$G$224,5,FALSE),"..")</f>
        <v>..</v>
      </c>
      <c r="BC809" s="846" t="str">
        <f t="shared" si="137"/>
        <v>..</v>
      </c>
      <c r="BD809" s="129">
        <f>VLOOKUP($D809,'WB Data 2'!$C$2:$K$545,6,FALSE)</f>
        <v>72314639999.574051</v>
      </c>
      <c r="BE809" s="129">
        <f>IFERROR(VLOOKUP($D809,UNCTAD!$C$5:$V$529,4,FALSE),"..")</f>
        <v>89531640000</v>
      </c>
      <c r="BF809" s="846">
        <f t="shared" si="138"/>
        <v>0.80769926698063443</v>
      </c>
      <c r="BG809" s="117">
        <f>VLOOKUP($D809,'WB Data'!$C$3:$M$578,5,FALSE)</f>
        <v>215510000</v>
      </c>
      <c r="BH809" s="129" t="str">
        <f>IFERROR($BB809/$BG809,"..")</f>
        <v>..</v>
      </c>
      <c r="BI809" s="117" t="str">
        <f>IFERROR(VLOOKUP($D809,'WB Data'!$C$3:$M$578,7,FALSE)/100,"..")</f>
        <v>..</v>
      </c>
      <c r="BJ809" s="117" t="str">
        <f>IFERROR($BI809*$AW809,"..")</f>
        <v>..</v>
      </c>
      <c r="BK809" s="846" t="str">
        <f>IFERROR($BB809/$BJ809,"..")</f>
        <v>..</v>
      </c>
      <c r="BL809" s="117" t="str">
        <f>IFERROR(VLOOKUP($D809,'WB Data'!$C$3:$M$578,7,FALSE)/100,"..")</f>
        <v>..</v>
      </c>
      <c r="BM809" s="117" t="str">
        <f>IFERROR($AW809*$BL809,"..")</f>
        <v>..</v>
      </c>
      <c r="BN809" s="846" t="str">
        <f>IFERROR($BB809/$BM809,"..")</f>
        <v>..</v>
      </c>
      <c r="BO809" s="801">
        <f t="shared" si="134"/>
        <v>29</v>
      </c>
      <c r="BP809" s="117">
        <f>VLOOKUP($D809,'WB Data'!$C$3:$M$578,9,FALSE)</f>
        <v>5.5</v>
      </c>
      <c r="BQ809" s="117">
        <f>VLOOKUP($D809,'WB Data'!$C$3:$M$578,10,FALSE)</f>
        <v>68.98</v>
      </c>
      <c r="BR809" s="117">
        <f>VLOOKUP($D809,'WB Data'!$C$3:$M$578,11,FALSE)</f>
        <v>17.600000000000001</v>
      </c>
      <c r="BS809" s="129">
        <f>IFERROR(VLOOKUP($D809,'WB Data 2'!$C$2:$K$545,9,FALSE),"..")</f>
        <v>98.239959999999996</v>
      </c>
      <c r="BT809" s="129">
        <f>_xlfn.IFNA(VLOOKUP($C809,RGI!$A$2:$C$43,2,FALSE),"..")</f>
        <v>77.5</v>
      </c>
      <c r="BU809" s="129">
        <f>_xlfn.IFNA(VLOOKUP($C809,RGI!$A$2:$C$43,3,FALSE),"..")</f>
        <v>57.362887635782535</v>
      </c>
      <c r="BV809" s="129">
        <f>VLOOKUP($D809,WGI!$C$2:$O$478,7,FALSE)</f>
        <v>-1.0947582948953301</v>
      </c>
      <c r="BW809" s="129">
        <f>VLOOKUP($D809,WGI!$C$2:$O$478,4,FALSE)</f>
        <v>-0.32042900556192899</v>
      </c>
      <c r="BX809" s="129">
        <f>VLOOKUP($D809,WGI!$C$2:$O$478,3,FALSE)</f>
        <v>-0.42630117376099602</v>
      </c>
      <c r="BY809" s="129">
        <f>VLOOKUP($D809,WGI!$C$2:$O$478,5,FALSE)</f>
        <v>-0.25995175471842702</v>
      </c>
      <c r="BZ809" s="129">
        <f>VLOOKUP($D809,WGI!$C$2:$O$478,2,FALSE)</f>
        <v>-0.97820473728264901</v>
      </c>
    </row>
    <row r="810" spans="1:78" ht="15" customHeight="1">
      <c r="A810" s="280" t="s">
        <v>277</v>
      </c>
      <c r="B810" s="117">
        <v>2011</v>
      </c>
      <c r="C810" s="117" t="s">
        <v>280</v>
      </c>
      <c r="D810" s="117" t="s">
        <v>3702</v>
      </c>
      <c r="E810" s="452" t="s">
        <v>39</v>
      </c>
      <c r="F810" s="117"/>
      <c r="G810" s="117" t="s">
        <v>24</v>
      </c>
      <c r="H810" s="117" t="str">
        <f t="shared" si="130"/>
        <v>yes</v>
      </c>
      <c r="I810" s="117" t="str">
        <f t="shared" si="131"/>
        <v>no</v>
      </c>
      <c r="J810" s="117" t="str">
        <f t="shared" si="132"/>
        <v>no</v>
      </c>
      <c r="K810" s="120" t="s">
        <v>1228</v>
      </c>
      <c r="L810" s="117" t="str">
        <f t="shared" si="139"/>
        <v>detailed</v>
      </c>
      <c r="M810" s="117" t="str">
        <f t="shared" si="133"/>
        <v>detailed Mining</v>
      </c>
      <c r="N810" s="89">
        <v>24812800</v>
      </c>
      <c r="O810" s="89"/>
      <c r="P810" s="89"/>
      <c r="Q810" s="89"/>
      <c r="R810" s="89"/>
      <c r="S810" s="120" t="s">
        <v>610</v>
      </c>
      <c r="T810" s="119">
        <v>167.75416666666999</v>
      </c>
      <c r="U810" s="120" t="s">
        <v>611</v>
      </c>
      <c r="V810" s="117" t="s">
        <v>1431</v>
      </c>
      <c r="W810" s="89">
        <f>N810*T810</f>
        <v>4162450586.666749</v>
      </c>
      <c r="X810" s="120"/>
      <c r="Y810" s="120"/>
      <c r="Z810" s="120"/>
      <c r="AA810" s="117"/>
      <c r="AB810" s="117"/>
      <c r="AC810" s="462"/>
      <c r="AD810" s="462"/>
      <c r="AE810" s="462"/>
      <c r="AF810" s="463"/>
      <c r="AG810" s="120"/>
      <c r="AH810" s="493"/>
      <c r="AI810" s="120"/>
      <c r="AJ810" s="120"/>
      <c r="AK810" s="120"/>
      <c r="AL810" s="120"/>
      <c r="AM810" s="120"/>
      <c r="AN810" s="120"/>
      <c r="AO810" s="120"/>
      <c r="AP810" s="120"/>
      <c r="AQ810" s="120"/>
      <c r="AR810" s="120"/>
      <c r="AS810" s="120"/>
      <c r="AT810" s="120"/>
      <c r="AU810" s="120"/>
      <c r="AV810" s="128"/>
      <c r="AW810" s="117">
        <f>VLOOKUP($D810,'WB Data'!$C$3:$M$578,2,FALSE)</f>
        <v>188048960311.22461</v>
      </c>
      <c r="AX810" s="117">
        <f>VLOOKUP($D810,'WB Data'!$C$3:$M$578,3,FALSE)</f>
        <v>16556600</v>
      </c>
      <c r="AY810" s="847" t="str">
        <f t="shared" si="135"/>
        <v>..</v>
      </c>
      <c r="AZ810" s="117" t="e">
        <f>VLOOKUP($D810,'WB Data'!$C$3:$M$578,4,FALSE)/100</f>
        <v>#VALUE!</v>
      </c>
      <c r="BA810" s="117" t="str">
        <f t="shared" si="136"/>
        <v>..</v>
      </c>
      <c r="BB810" s="129" t="str">
        <f>IFERROR(VLOOKUP($D810,'EITI Revenues'!$C$2:$G$224,5,FALSE),"..")</f>
        <v>..</v>
      </c>
      <c r="BC810" s="846" t="str">
        <f t="shared" si="137"/>
        <v>..</v>
      </c>
      <c r="BD810" s="129">
        <f>VLOOKUP($D810,'WB Data 2'!$C$2:$K$545,6,FALSE)</f>
        <v>72314639999.574051</v>
      </c>
      <c r="BE810" s="129">
        <f>IFERROR(VLOOKUP($D810,UNCTAD!$C$5:$V$529,4,FALSE),"..")</f>
        <v>89531640000</v>
      </c>
      <c r="BF810" s="846">
        <f t="shared" si="138"/>
        <v>0.80769926698063443</v>
      </c>
      <c r="BG810" s="117">
        <f>VLOOKUP($D810,'WB Data'!$C$3:$M$578,5,FALSE)</f>
        <v>215510000</v>
      </c>
      <c r="BH810" s="129" t="str">
        <f>IFERROR($BB810/$BG810,"..")</f>
        <v>..</v>
      </c>
      <c r="BI810" s="117" t="str">
        <f>IFERROR(VLOOKUP($D810,'WB Data'!$C$3:$M$578,7,FALSE)/100,"..")</f>
        <v>..</v>
      </c>
      <c r="BJ810" s="117" t="str">
        <f>IFERROR($BI810*$AW810,"..")</f>
        <v>..</v>
      </c>
      <c r="BK810" s="846" t="str">
        <f>IFERROR($BB810/$BJ810,"..")</f>
        <v>..</v>
      </c>
      <c r="BL810" s="117" t="str">
        <f>IFERROR(VLOOKUP($D810,'WB Data'!$C$3:$M$578,7,FALSE)/100,"..")</f>
        <v>..</v>
      </c>
      <c r="BM810" s="117" t="str">
        <f>IFERROR($AW810*$BL810,"..")</f>
        <v>..</v>
      </c>
      <c r="BN810" s="846" t="str">
        <f>IFERROR($BB810/$BM810,"..")</f>
        <v>..</v>
      </c>
      <c r="BO810" s="801">
        <f t="shared" si="134"/>
        <v>29</v>
      </c>
      <c r="BP810" s="117">
        <f>VLOOKUP($D810,'WB Data'!$C$3:$M$578,9,FALSE)</f>
        <v>5.5</v>
      </c>
      <c r="BQ810" s="117">
        <f>VLOOKUP($D810,'WB Data'!$C$3:$M$578,10,FALSE)</f>
        <v>68.98</v>
      </c>
      <c r="BR810" s="117">
        <f>VLOOKUP($D810,'WB Data'!$C$3:$M$578,11,FALSE)</f>
        <v>17.600000000000001</v>
      </c>
      <c r="BS810" s="129">
        <f>IFERROR(VLOOKUP($D810,'WB Data 2'!$C$2:$K$545,9,FALSE),"..")</f>
        <v>98.239959999999996</v>
      </c>
      <c r="BT810" s="129">
        <f>_xlfn.IFNA(VLOOKUP($C810,RGI!$A$2:$C$43,2,FALSE),"..")</f>
        <v>77.5</v>
      </c>
      <c r="BU810" s="129">
        <f>_xlfn.IFNA(VLOOKUP($C810,RGI!$A$2:$C$43,3,FALSE),"..")</f>
        <v>57.362887635782535</v>
      </c>
      <c r="BV810" s="129">
        <f>VLOOKUP($D810,WGI!$C$2:$O$478,7,FALSE)</f>
        <v>-1.0947582948953301</v>
      </c>
      <c r="BW810" s="129">
        <f>VLOOKUP($D810,WGI!$C$2:$O$478,4,FALSE)</f>
        <v>-0.32042900556192899</v>
      </c>
      <c r="BX810" s="129">
        <f>VLOOKUP($D810,WGI!$C$2:$O$478,3,FALSE)</f>
        <v>-0.42630117376099602</v>
      </c>
      <c r="BY810" s="129">
        <f>VLOOKUP($D810,WGI!$C$2:$O$478,5,FALSE)</f>
        <v>-0.25995175471842702</v>
      </c>
      <c r="BZ810" s="129">
        <f>VLOOKUP($D810,WGI!$C$2:$O$478,2,FALSE)</f>
        <v>-0.97820473728264901</v>
      </c>
    </row>
    <row r="811" spans="1:78" ht="15" customHeight="1">
      <c r="A811" s="280" t="s">
        <v>277</v>
      </c>
      <c r="B811" s="117">
        <v>2011</v>
      </c>
      <c r="C811" s="117" t="s">
        <v>280</v>
      </c>
      <c r="D811" s="117" t="s">
        <v>3702</v>
      </c>
      <c r="E811" s="452" t="s">
        <v>39</v>
      </c>
      <c r="F811" s="117"/>
      <c r="G811" s="117" t="s">
        <v>24</v>
      </c>
      <c r="H811" s="117" t="str">
        <f t="shared" si="130"/>
        <v>yes</v>
      </c>
      <c r="I811" s="117" t="str">
        <f t="shared" si="131"/>
        <v>no</v>
      </c>
      <c r="J811" s="117" t="str">
        <f t="shared" si="132"/>
        <v>no</v>
      </c>
      <c r="K811" s="120" t="s">
        <v>843</v>
      </c>
      <c r="L811" s="117" t="str">
        <f t="shared" si="139"/>
        <v>detailed</v>
      </c>
      <c r="M811" s="117" t="str">
        <f t="shared" si="133"/>
        <v>detailed Mining</v>
      </c>
      <c r="N811" s="89"/>
      <c r="O811" s="89"/>
      <c r="P811" s="89"/>
      <c r="Q811" s="89"/>
      <c r="R811" s="89"/>
      <c r="S811" s="120"/>
      <c r="T811" s="119">
        <v>7.88</v>
      </c>
      <c r="U811" s="117" t="s">
        <v>611</v>
      </c>
      <c r="V811" s="117" t="s">
        <v>844</v>
      </c>
      <c r="W811" s="89">
        <f>N813*T811</f>
        <v>7722400</v>
      </c>
      <c r="X811" s="120"/>
      <c r="Y811" s="120"/>
      <c r="Z811" s="120"/>
      <c r="AA811" s="117"/>
      <c r="AB811" s="117"/>
      <c r="AC811" s="462"/>
      <c r="AD811" s="462"/>
      <c r="AE811" s="462"/>
      <c r="AF811" s="463"/>
      <c r="AG811" s="120"/>
      <c r="AH811" s="493"/>
      <c r="AI811" s="120"/>
      <c r="AJ811" s="120"/>
      <c r="AK811" s="120"/>
      <c r="AL811" s="120"/>
      <c r="AM811" s="120"/>
      <c r="AN811" s="120"/>
      <c r="AO811" s="120"/>
      <c r="AP811" s="120"/>
      <c r="AQ811" s="120"/>
      <c r="AR811" s="120"/>
      <c r="AS811" s="120"/>
      <c r="AT811" s="120"/>
      <c r="AU811" s="120"/>
      <c r="AV811" s="128"/>
      <c r="AW811" s="117">
        <f>VLOOKUP($D811,'WB Data'!$C$3:$M$578,2,FALSE)</f>
        <v>188048960311.22461</v>
      </c>
      <c r="AX811" s="117">
        <f>VLOOKUP($D811,'WB Data'!$C$3:$M$578,3,FALSE)</f>
        <v>16556600</v>
      </c>
      <c r="AY811" s="847" t="str">
        <f t="shared" si="135"/>
        <v>..</v>
      </c>
      <c r="AZ811" s="117" t="e">
        <f>VLOOKUP($D811,'WB Data'!$C$3:$M$578,4,FALSE)/100</f>
        <v>#VALUE!</v>
      </c>
      <c r="BA811" s="117" t="str">
        <f t="shared" si="136"/>
        <v>..</v>
      </c>
      <c r="BB811" s="129" t="str">
        <f>IFERROR(VLOOKUP($D811,'EITI Revenues'!$C$2:$G$224,5,FALSE),"..")</f>
        <v>..</v>
      </c>
      <c r="BC811" s="846" t="str">
        <f t="shared" si="137"/>
        <v>..</v>
      </c>
      <c r="BD811" s="129">
        <f>VLOOKUP($D811,'WB Data 2'!$C$2:$K$545,6,FALSE)</f>
        <v>72314639999.574051</v>
      </c>
      <c r="BE811" s="129">
        <f>IFERROR(VLOOKUP($D811,UNCTAD!$C$5:$V$529,4,FALSE),"..")</f>
        <v>89531640000</v>
      </c>
      <c r="BF811" s="846">
        <f t="shared" si="138"/>
        <v>0.80769926698063443</v>
      </c>
      <c r="BG811" s="117">
        <f>VLOOKUP($D811,'WB Data'!$C$3:$M$578,5,FALSE)</f>
        <v>215510000</v>
      </c>
      <c r="BH811" s="129" t="str">
        <f>IFERROR($BB811/$BG811,"..")</f>
        <v>..</v>
      </c>
      <c r="BI811" s="117" t="str">
        <f>IFERROR(VLOOKUP($D811,'WB Data'!$C$3:$M$578,7,FALSE)/100,"..")</f>
        <v>..</v>
      </c>
      <c r="BJ811" s="117" t="str">
        <f>IFERROR($BI811*$AW811,"..")</f>
        <v>..</v>
      </c>
      <c r="BK811" s="846" t="str">
        <f>IFERROR($BB811/$BJ811,"..")</f>
        <v>..</v>
      </c>
      <c r="BL811" s="117" t="str">
        <f>IFERROR(VLOOKUP($D811,'WB Data'!$C$3:$M$578,7,FALSE)/100,"..")</f>
        <v>..</v>
      </c>
      <c r="BM811" s="117" t="str">
        <f>IFERROR($AW811*$BL811,"..")</f>
        <v>..</v>
      </c>
      <c r="BN811" s="846" t="str">
        <f>IFERROR($BB811/$BM811,"..")</f>
        <v>..</v>
      </c>
      <c r="BO811" s="801">
        <f t="shared" si="134"/>
        <v>29</v>
      </c>
      <c r="BP811" s="117">
        <f>VLOOKUP($D811,'WB Data'!$C$3:$M$578,9,FALSE)</f>
        <v>5.5</v>
      </c>
      <c r="BQ811" s="117">
        <f>VLOOKUP($D811,'WB Data'!$C$3:$M$578,10,FALSE)</f>
        <v>68.98</v>
      </c>
      <c r="BR811" s="117">
        <f>VLOOKUP($D811,'WB Data'!$C$3:$M$578,11,FALSE)</f>
        <v>17.600000000000001</v>
      </c>
      <c r="BS811" s="129">
        <f>IFERROR(VLOOKUP($D811,'WB Data 2'!$C$2:$K$545,9,FALSE),"..")</f>
        <v>98.239959999999996</v>
      </c>
      <c r="BT811" s="129">
        <f>_xlfn.IFNA(VLOOKUP($C811,RGI!$A$2:$C$43,2,FALSE),"..")</f>
        <v>77.5</v>
      </c>
      <c r="BU811" s="129">
        <f>_xlfn.IFNA(VLOOKUP($C811,RGI!$A$2:$C$43,3,FALSE),"..")</f>
        <v>57.362887635782535</v>
      </c>
      <c r="BV811" s="129">
        <f>VLOOKUP($D811,WGI!$C$2:$O$478,7,FALSE)</f>
        <v>-1.0947582948953301</v>
      </c>
      <c r="BW811" s="129">
        <f>VLOOKUP($D811,WGI!$C$2:$O$478,4,FALSE)</f>
        <v>-0.32042900556192899</v>
      </c>
      <c r="BX811" s="129">
        <f>VLOOKUP($D811,WGI!$C$2:$O$478,3,FALSE)</f>
        <v>-0.42630117376099602</v>
      </c>
      <c r="BY811" s="129">
        <f>VLOOKUP($D811,WGI!$C$2:$O$478,5,FALSE)</f>
        <v>-0.25995175471842702</v>
      </c>
      <c r="BZ811" s="129">
        <f>VLOOKUP($D811,WGI!$C$2:$O$478,2,FALSE)</f>
        <v>-0.97820473728264901</v>
      </c>
    </row>
    <row r="812" spans="1:78" ht="15" customHeight="1">
      <c r="A812" s="280" t="s">
        <v>277</v>
      </c>
      <c r="B812" s="117">
        <v>2011</v>
      </c>
      <c r="C812" s="117" t="s">
        <v>280</v>
      </c>
      <c r="D812" s="117" t="s">
        <v>3702</v>
      </c>
      <c r="E812" s="452" t="s">
        <v>39</v>
      </c>
      <c r="F812" s="117"/>
      <c r="G812" s="117" t="s">
        <v>24</v>
      </c>
      <c r="H812" s="117" t="str">
        <f t="shared" si="130"/>
        <v>yes</v>
      </c>
      <c r="I812" s="117" t="str">
        <f t="shared" si="131"/>
        <v>no</v>
      </c>
      <c r="J812" s="117" t="str">
        <f t="shared" si="132"/>
        <v>no</v>
      </c>
      <c r="K812" s="120" t="s">
        <v>1066</v>
      </c>
      <c r="L812" s="117" t="str">
        <f t="shared" si="139"/>
        <v>detailed</v>
      </c>
      <c r="M812" s="117" t="str">
        <f t="shared" si="133"/>
        <v>detailed Mining</v>
      </c>
      <c r="N812" s="89">
        <v>4063000</v>
      </c>
      <c r="O812" s="89"/>
      <c r="P812" s="89"/>
      <c r="Q812" s="89"/>
      <c r="R812" s="89"/>
      <c r="S812" s="120" t="s">
        <v>610</v>
      </c>
      <c r="T812" s="119"/>
      <c r="U812" s="120"/>
      <c r="V812" s="117" t="s">
        <v>847</v>
      </c>
      <c r="W812" s="89"/>
      <c r="X812" s="120"/>
      <c r="Y812" s="120"/>
      <c r="Z812" s="120"/>
      <c r="AA812" s="117"/>
      <c r="AB812" s="117"/>
      <c r="AC812" s="462"/>
      <c r="AD812" s="462"/>
      <c r="AE812" s="462"/>
      <c r="AF812" s="463"/>
      <c r="AG812" s="120"/>
      <c r="AH812" s="493"/>
      <c r="AI812" s="120"/>
      <c r="AJ812" s="120"/>
      <c r="AK812" s="120"/>
      <c r="AL812" s="120"/>
      <c r="AM812" s="120"/>
      <c r="AN812" s="120"/>
      <c r="AO812" s="120"/>
      <c r="AP812" s="120"/>
      <c r="AQ812" s="120"/>
      <c r="AR812" s="120"/>
      <c r="AS812" s="120"/>
      <c r="AT812" s="120"/>
      <c r="AU812" s="120"/>
      <c r="AV812" s="128"/>
      <c r="AW812" s="117">
        <f>VLOOKUP($D812,'WB Data'!$C$3:$M$578,2,FALSE)</f>
        <v>188048960311.22461</v>
      </c>
      <c r="AX812" s="117">
        <f>VLOOKUP($D812,'WB Data'!$C$3:$M$578,3,FALSE)</f>
        <v>16556600</v>
      </c>
      <c r="AY812" s="847" t="str">
        <f t="shared" si="135"/>
        <v>..</v>
      </c>
      <c r="AZ812" s="117" t="e">
        <f>VLOOKUP($D812,'WB Data'!$C$3:$M$578,4,FALSE)/100</f>
        <v>#VALUE!</v>
      </c>
      <c r="BA812" s="117" t="str">
        <f t="shared" si="136"/>
        <v>..</v>
      </c>
      <c r="BB812" s="129" t="str">
        <f>IFERROR(VLOOKUP($D812,'EITI Revenues'!$C$2:$G$224,5,FALSE),"..")</f>
        <v>..</v>
      </c>
      <c r="BC812" s="846" t="str">
        <f t="shared" si="137"/>
        <v>..</v>
      </c>
      <c r="BD812" s="129">
        <f>VLOOKUP($D812,'WB Data 2'!$C$2:$K$545,6,FALSE)</f>
        <v>72314639999.574051</v>
      </c>
      <c r="BE812" s="129">
        <f>IFERROR(VLOOKUP($D812,UNCTAD!$C$5:$V$529,4,FALSE),"..")</f>
        <v>89531640000</v>
      </c>
      <c r="BF812" s="846">
        <f t="shared" si="138"/>
        <v>0.80769926698063443</v>
      </c>
      <c r="BG812" s="117">
        <f>VLOOKUP($D812,'WB Data'!$C$3:$M$578,5,FALSE)</f>
        <v>215510000</v>
      </c>
      <c r="BH812" s="129" t="str">
        <f>IFERROR($BB812/$BG812,"..")</f>
        <v>..</v>
      </c>
      <c r="BI812" s="117" t="str">
        <f>IFERROR(VLOOKUP($D812,'WB Data'!$C$3:$M$578,7,FALSE)/100,"..")</f>
        <v>..</v>
      </c>
      <c r="BJ812" s="117" t="str">
        <f>IFERROR($BI812*$AW812,"..")</f>
        <v>..</v>
      </c>
      <c r="BK812" s="846" t="str">
        <f>IFERROR($BB812/$BJ812,"..")</f>
        <v>..</v>
      </c>
      <c r="BL812" s="117" t="str">
        <f>IFERROR(VLOOKUP($D812,'WB Data'!$C$3:$M$578,7,FALSE)/100,"..")</f>
        <v>..</v>
      </c>
      <c r="BM812" s="117" t="str">
        <f>IFERROR($AW812*$BL812,"..")</f>
        <v>..</v>
      </c>
      <c r="BN812" s="846" t="str">
        <f>IFERROR($BB812/$BM812,"..")</f>
        <v>..</v>
      </c>
      <c r="BO812" s="801">
        <f t="shared" si="134"/>
        <v>29</v>
      </c>
      <c r="BP812" s="117">
        <f>VLOOKUP($D812,'WB Data'!$C$3:$M$578,9,FALSE)</f>
        <v>5.5</v>
      </c>
      <c r="BQ812" s="117">
        <f>VLOOKUP($D812,'WB Data'!$C$3:$M$578,10,FALSE)</f>
        <v>68.98</v>
      </c>
      <c r="BR812" s="117">
        <f>VLOOKUP($D812,'WB Data'!$C$3:$M$578,11,FALSE)</f>
        <v>17.600000000000001</v>
      </c>
      <c r="BS812" s="129">
        <f>IFERROR(VLOOKUP($D812,'WB Data 2'!$C$2:$K$545,9,FALSE),"..")</f>
        <v>98.239959999999996</v>
      </c>
      <c r="BT812" s="129">
        <f>_xlfn.IFNA(VLOOKUP($C812,RGI!$A$2:$C$43,2,FALSE),"..")</f>
        <v>77.5</v>
      </c>
      <c r="BU812" s="129">
        <f>_xlfn.IFNA(VLOOKUP($C812,RGI!$A$2:$C$43,3,FALSE),"..")</f>
        <v>57.362887635782535</v>
      </c>
      <c r="BV812" s="129">
        <f>VLOOKUP($D812,WGI!$C$2:$O$478,7,FALSE)</f>
        <v>-1.0947582948953301</v>
      </c>
      <c r="BW812" s="129">
        <f>VLOOKUP($D812,WGI!$C$2:$O$478,4,FALSE)</f>
        <v>-0.32042900556192899</v>
      </c>
      <c r="BX812" s="129">
        <f>VLOOKUP($D812,WGI!$C$2:$O$478,3,FALSE)</f>
        <v>-0.42630117376099602</v>
      </c>
      <c r="BY812" s="129">
        <f>VLOOKUP($D812,WGI!$C$2:$O$478,5,FALSE)</f>
        <v>-0.25995175471842702</v>
      </c>
      <c r="BZ812" s="129">
        <f>VLOOKUP($D812,WGI!$C$2:$O$478,2,FALSE)</f>
        <v>-0.97820473728264901</v>
      </c>
    </row>
    <row r="813" spans="1:78" ht="15" customHeight="1">
      <c r="A813" s="280" t="s">
        <v>277</v>
      </c>
      <c r="B813" s="117">
        <v>2011</v>
      </c>
      <c r="C813" s="117" t="s">
        <v>280</v>
      </c>
      <c r="D813" s="117" t="s">
        <v>3702</v>
      </c>
      <c r="E813" s="452" t="s">
        <v>39</v>
      </c>
      <c r="F813" s="117"/>
      <c r="G813" s="117" t="s">
        <v>24</v>
      </c>
      <c r="H813" s="117" t="str">
        <f t="shared" si="130"/>
        <v>yes</v>
      </c>
      <c r="I813" s="117" t="str">
        <f t="shared" si="131"/>
        <v>no</v>
      </c>
      <c r="J813" s="117" t="str">
        <f t="shared" si="132"/>
        <v>no</v>
      </c>
      <c r="K813" s="120" t="s">
        <v>1432</v>
      </c>
      <c r="L813" s="117" t="str">
        <f t="shared" si="139"/>
        <v>detailed</v>
      </c>
      <c r="M813" s="117" t="str">
        <f t="shared" si="133"/>
        <v>detailed Mining</v>
      </c>
      <c r="N813" s="89">
        <v>980000</v>
      </c>
      <c r="O813" s="89"/>
      <c r="P813" s="89"/>
      <c r="Q813" s="89"/>
      <c r="R813" s="89"/>
      <c r="S813" s="120" t="s">
        <v>610</v>
      </c>
      <c r="T813" s="119"/>
      <c r="U813" s="120"/>
      <c r="V813" s="117" t="s">
        <v>847</v>
      </c>
      <c r="W813" s="89"/>
      <c r="X813" s="120"/>
      <c r="Y813" s="120"/>
      <c r="Z813" s="120"/>
      <c r="AA813" s="117"/>
      <c r="AB813" s="117"/>
      <c r="AC813" s="462"/>
      <c r="AD813" s="462"/>
      <c r="AE813" s="462"/>
      <c r="AF813" s="463"/>
      <c r="AG813" s="120"/>
      <c r="AH813" s="493"/>
      <c r="AI813" s="120"/>
      <c r="AJ813" s="120"/>
      <c r="AK813" s="120"/>
      <c r="AL813" s="120"/>
      <c r="AM813" s="120"/>
      <c r="AN813" s="120"/>
      <c r="AO813" s="120"/>
      <c r="AP813" s="120"/>
      <c r="AQ813" s="120"/>
      <c r="AR813" s="120"/>
      <c r="AS813" s="120"/>
      <c r="AT813" s="120"/>
      <c r="AU813" s="120"/>
      <c r="AV813" s="128"/>
      <c r="AW813" s="117">
        <f>VLOOKUP($D813,'WB Data'!$C$3:$M$578,2,FALSE)</f>
        <v>188048960311.22461</v>
      </c>
      <c r="AX813" s="117">
        <f>VLOOKUP($D813,'WB Data'!$C$3:$M$578,3,FALSE)</f>
        <v>16556600</v>
      </c>
      <c r="AY813" s="847" t="str">
        <f t="shared" si="135"/>
        <v>..</v>
      </c>
      <c r="AZ813" s="117" t="e">
        <f>VLOOKUP($D813,'WB Data'!$C$3:$M$578,4,FALSE)/100</f>
        <v>#VALUE!</v>
      </c>
      <c r="BA813" s="117" t="str">
        <f t="shared" si="136"/>
        <v>..</v>
      </c>
      <c r="BB813" s="129" t="str">
        <f>IFERROR(VLOOKUP($D813,'EITI Revenues'!$C$2:$G$224,5,FALSE),"..")</f>
        <v>..</v>
      </c>
      <c r="BC813" s="846" t="str">
        <f t="shared" si="137"/>
        <v>..</v>
      </c>
      <c r="BD813" s="129">
        <f>VLOOKUP($D813,'WB Data 2'!$C$2:$K$545,6,FALSE)</f>
        <v>72314639999.574051</v>
      </c>
      <c r="BE813" s="129">
        <f>IFERROR(VLOOKUP($D813,UNCTAD!$C$5:$V$529,4,FALSE),"..")</f>
        <v>89531640000</v>
      </c>
      <c r="BF813" s="846">
        <f t="shared" si="138"/>
        <v>0.80769926698063443</v>
      </c>
      <c r="BG813" s="117">
        <f>VLOOKUP($D813,'WB Data'!$C$3:$M$578,5,FALSE)</f>
        <v>215510000</v>
      </c>
      <c r="BH813" s="129" t="str">
        <f>IFERROR($BB813/$BG813,"..")</f>
        <v>..</v>
      </c>
      <c r="BI813" s="117" t="str">
        <f>IFERROR(VLOOKUP($D813,'WB Data'!$C$3:$M$578,7,FALSE)/100,"..")</f>
        <v>..</v>
      </c>
      <c r="BJ813" s="117" t="str">
        <f>IFERROR($BI813*$AW813,"..")</f>
        <v>..</v>
      </c>
      <c r="BK813" s="846" t="str">
        <f>IFERROR($BB813/$BJ813,"..")</f>
        <v>..</v>
      </c>
      <c r="BL813" s="117" t="str">
        <f>IFERROR(VLOOKUP($D813,'WB Data'!$C$3:$M$578,7,FALSE)/100,"..")</f>
        <v>..</v>
      </c>
      <c r="BM813" s="117" t="str">
        <f>IFERROR($AW813*$BL813,"..")</f>
        <v>..</v>
      </c>
      <c r="BN813" s="846" t="str">
        <f>IFERROR($BB813/$BM813,"..")</f>
        <v>..</v>
      </c>
      <c r="BO813" s="801">
        <f t="shared" si="134"/>
        <v>29</v>
      </c>
      <c r="BP813" s="117">
        <f>VLOOKUP($D813,'WB Data'!$C$3:$M$578,9,FALSE)</f>
        <v>5.5</v>
      </c>
      <c r="BQ813" s="117">
        <f>VLOOKUP($D813,'WB Data'!$C$3:$M$578,10,FALSE)</f>
        <v>68.98</v>
      </c>
      <c r="BR813" s="117">
        <f>VLOOKUP($D813,'WB Data'!$C$3:$M$578,11,FALSE)</f>
        <v>17.600000000000001</v>
      </c>
      <c r="BS813" s="129">
        <f>IFERROR(VLOOKUP($D813,'WB Data 2'!$C$2:$K$545,9,FALSE),"..")</f>
        <v>98.239959999999996</v>
      </c>
      <c r="BT813" s="129">
        <f>_xlfn.IFNA(VLOOKUP($C813,RGI!$A$2:$C$43,2,FALSE),"..")</f>
        <v>77.5</v>
      </c>
      <c r="BU813" s="129">
        <f>_xlfn.IFNA(VLOOKUP($C813,RGI!$A$2:$C$43,3,FALSE),"..")</f>
        <v>57.362887635782535</v>
      </c>
      <c r="BV813" s="129">
        <f>VLOOKUP($D813,WGI!$C$2:$O$478,7,FALSE)</f>
        <v>-1.0947582948953301</v>
      </c>
      <c r="BW813" s="129">
        <f>VLOOKUP($D813,WGI!$C$2:$O$478,4,FALSE)</f>
        <v>-0.32042900556192899</v>
      </c>
      <c r="BX813" s="129">
        <f>VLOOKUP($D813,WGI!$C$2:$O$478,3,FALSE)</f>
        <v>-0.42630117376099602</v>
      </c>
      <c r="BY813" s="129">
        <f>VLOOKUP($D813,WGI!$C$2:$O$478,5,FALSE)</f>
        <v>-0.25995175471842702</v>
      </c>
      <c r="BZ813" s="129">
        <f>VLOOKUP($D813,WGI!$C$2:$O$478,2,FALSE)</f>
        <v>-0.97820473728264901</v>
      </c>
    </row>
    <row r="814" spans="1:78" ht="15" customHeight="1">
      <c r="A814" s="280" t="s">
        <v>277</v>
      </c>
      <c r="B814" s="117">
        <v>2011</v>
      </c>
      <c r="C814" s="117" t="s">
        <v>280</v>
      </c>
      <c r="D814" s="117" t="s">
        <v>3702</v>
      </c>
      <c r="E814" s="452" t="s">
        <v>39</v>
      </c>
      <c r="F814" s="117"/>
      <c r="G814" s="117" t="s">
        <v>24</v>
      </c>
      <c r="H814" s="117" t="str">
        <f t="shared" si="130"/>
        <v>yes</v>
      </c>
      <c r="I814" s="117" t="str">
        <f t="shared" si="131"/>
        <v>no</v>
      </c>
      <c r="J814" s="117" t="str">
        <f t="shared" si="132"/>
        <v>no</v>
      </c>
      <c r="K814" s="120" t="s">
        <v>1433</v>
      </c>
      <c r="L814" s="117" t="str">
        <f t="shared" si="139"/>
        <v>detailed</v>
      </c>
      <c r="M814" s="117" t="str">
        <f t="shared" si="133"/>
        <v>detailed Mining</v>
      </c>
      <c r="N814" s="89">
        <v>500</v>
      </c>
      <c r="O814" s="89"/>
      <c r="P814" s="89"/>
      <c r="Q814" s="89"/>
      <c r="R814" s="89"/>
      <c r="S814" s="120" t="s">
        <v>610</v>
      </c>
      <c r="T814" s="186">
        <v>22910.356666666699</v>
      </c>
      <c r="U814" s="117" t="s">
        <v>611</v>
      </c>
      <c r="V814" s="117" t="s">
        <v>1434</v>
      </c>
      <c r="W814" s="89">
        <f>N814*T814</f>
        <v>11455178.333333349</v>
      </c>
      <c r="X814" s="120"/>
      <c r="Y814" s="120"/>
      <c r="Z814" s="120"/>
      <c r="AA814" s="117"/>
      <c r="AB814" s="117"/>
      <c r="AC814" s="462"/>
      <c r="AD814" s="462"/>
      <c r="AE814" s="462"/>
      <c r="AF814" s="463"/>
      <c r="AG814" s="120"/>
      <c r="AH814" s="493"/>
      <c r="AI814" s="120"/>
      <c r="AJ814" s="120"/>
      <c r="AK814" s="120"/>
      <c r="AL814" s="120"/>
      <c r="AM814" s="120"/>
      <c r="AN814" s="120"/>
      <c r="AO814" s="120"/>
      <c r="AP814" s="120"/>
      <c r="AQ814" s="120"/>
      <c r="AR814" s="120"/>
      <c r="AS814" s="120"/>
      <c r="AT814" s="120"/>
      <c r="AU814" s="120"/>
      <c r="AV814" s="128"/>
      <c r="AW814" s="117">
        <f>VLOOKUP($D814,'WB Data'!$C$3:$M$578,2,FALSE)</f>
        <v>188048960311.22461</v>
      </c>
      <c r="AX814" s="117">
        <f>VLOOKUP($D814,'WB Data'!$C$3:$M$578,3,FALSE)</f>
        <v>16556600</v>
      </c>
      <c r="AY814" s="847" t="str">
        <f t="shared" si="135"/>
        <v>..</v>
      </c>
      <c r="AZ814" s="117" t="e">
        <f>VLOOKUP($D814,'WB Data'!$C$3:$M$578,4,FALSE)/100</f>
        <v>#VALUE!</v>
      </c>
      <c r="BA814" s="117" t="str">
        <f t="shared" si="136"/>
        <v>..</v>
      </c>
      <c r="BB814" s="129" t="str">
        <f>IFERROR(VLOOKUP($D814,'EITI Revenues'!$C$2:$G$224,5,FALSE),"..")</f>
        <v>..</v>
      </c>
      <c r="BC814" s="846" t="str">
        <f t="shared" si="137"/>
        <v>..</v>
      </c>
      <c r="BD814" s="129">
        <f>VLOOKUP($D814,'WB Data 2'!$C$2:$K$545,6,FALSE)</f>
        <v>72314639999.574051</v>
      </c>
      <c r="BE814" s="129">
        <f>IFERROR(VLOOKUP($D814,UNCTAD!$C$5:$V$529,4,FALSE),"..")</f>
        <v>89531640000</v>
      </c>
      <c r="BF814" s="846">
        <f t="shared" si="138"/>
        <v>0.80769926698063443</v>
      </c>
      <c r="BG814" s="117">
        <f>VLOOKUP($D814,'WB Data'!$C$3:$M$578,5,FALSE)</f>
        <v>215510000</v>
      </c>
      <c r="BH814" s="129" t="str">
        <f>IFERROR($BB814/$BG814,"..")</f>
        <v>..</v>
      </c>
      <c r="BI814" s="117" t="str">
        <f>IFERROR(VLOOKUP($D814,'WB Data'!$C$3:$M$578,7,FALSE)/100,"..")</f>
        <v>..</v>
      </c>
      <c r="BJ814" s="117" t="str">
        <f>IFERROR($BI814*$AW814,"..")</f>
        <v>..</v>
      </c>
      <c r="BK814" s="846" t="str">
        <f>IFERROR($BB814/$BJ814,"..")</f>
        <v>..</v>
      </c>
      <c r="BL814" s="117" t="str">
        <f>IFERROR(VLOOKUP($D814,'WB Data'!$C$3:$M$578,7,FALSE)/100,"..")</f>
        <v>..</v>
      </c>
      <c r="BM814" s="117" t="str">
        <f>IFERROR($AW814*$BL814,"..")</f>
        <v>..</v>
      </c>
      <c r="BN814" s="846" t="str">
        <f>IFERROR($BB814/$BM814,"..")</f>
        <v>..</v>
      </c>
      <c r="BO814" s="801">
        <f t="shared" si="134"/>
        <v>29</v>
      </c>
      <c r="BP814" s="117">
        <f>VLOOKUP($D814,'WB Data'!$C$3:$M$578,9,FALSE)</f>
        <v>5.5</v>
      </c>
      <c r="BQ814" s="117">
        <f>VLOOKUP($D814,'WB Data'!$C$3:$M$578,10,FALSE)</f>
        <v>68.98</v>
      </c>
      <c r="BR814" s="117">
        <f>VLOOKUP($D814,'WB Data'!$C$3:$M$578,11,FALSE)</f>
        <v>17.600000000000001</v>
      </c>
      <c r="BS814" s="129">
        <f>IFERROR(VLOOKUP($D814,'WB Data 2'!$C$2:$K$545,9,FALSE),"..")</f>
        <v>98.239959999999996</v>
      </c>
      <c r="BT814" s="129">
        <f>_xlfn.IFNA(VLOOKUP($C814,RGI!$A$2:$C$43,2,FALSE),"..")</f>
        <v>77.5</v>
      </c>
      <c r="BU814" s="129">
        <f>_xlfn.IFNA(VLOOKUP($C814,RGI!$A$2:$C$43,3,FALSE),"..")</f>
        <v>57.362887635782535</v>
      </c>
      <c r="BV814" s="129">
        <f>VLOOKUP($D814,WGI!$C$2:$O$478,7,FALSE)</f>
        <v>-1.0947582948953301</v>
      </c>
      <c r="BW814" s="129">
        <f>VLOOKUP($D814,WGI!$C$2:$O$478,4,FALSE)</f>
        <v>-0.32042900556192899</v>
      </c>
      <c r="BX814" s="129">
        <f>VLOOKUP($D814,WGI!$C$2:$O$478,3,FALSE)</f>
        <v>-0.42630117376099602</v>
      </c>
      <c r="BY814" s="129">
        <f>VLOOKUP($D814,WGI!$C$2:$O$478,5,FALSE)</f>
        <v>-0.25995175471842702</v>
      </c>
      <c r="BZ814" s="129">
        <f>VLOOKUP($D814,WGI!$C$2:$O$478,2,FALSE)</f>
        <v>-0.97820473728264901</v>
      </c>
    </row>
    <row r="815" spans="1:78" ht="15" customHeight="1">
      <c r="A815" s="280" t="s">
        <v>277</v>
      </c>
      <c r="B815" s="117">
        <v>2011</v>
      </c>
      <c r="C815" s="117" t="s">
        <v>280</v>
      </c>
      <c r="D815" s="117" t="s">
        <v>3702</v>
      </c>
      <c r="E815" s="452" t="s">
        <v>39</v>
      </c>
      <c r="F815" s="117"/>
      <c r="G815" s="117" t="s">
        <v>24</v>
      </c>
      <c r="H815" s="117" t="str">
        <f t="shared" si="130"/>
        <v>yes</v>
      </c>
      <c r="I815" s="117" t="str">
        <f t="shared" si="131"/>
        <v>no</v>
      </c>
      <c r="J815" s="117" t="str">
        <f t="shared" si="132"/>
        <v>no</v>
      </c>
      <c r="K815" s="120" t="s">
        <v>1435</v>
      </c>
      <c r="L815" s="117" t="str">
        <f t="shared" si="139"/>
        <v>detailed</v>
      </c>
      <c r="M815" s="117" t="str">
        <f t="shared" si="133"/>
        <v>detailed Mining</v>
      </c>
      <c r="N815" s="89">
        <v>1600000</v>
      </c>
      <c r="O815" s="89"/>
      <c r="P815" s="89"/>
      <c r="Q815" s="89"/>
      <c r="R815" s="89"/>
      <c r="S815" s="120" t="s">
        <v>610</v>
      </c>
      <c r="T815" s="119">
        <v>184.89583333332999</v>
      </c>
      <c r="U815" s="120" t="s">
        <v>611</v>
      </c>
      <c r="V815" s="117" t="s">
        <v>1436</v>
      </c>
      <c r="W815" s="89">
        <f>N815*T815</f>
        <v>295833333.33332801</v>
      </c>
      <c r="X815" s="120"/>
      <c r="Y815" s="120"/>
      <c r="Z815" s="120"/>
      <c r="AA815" s="117"/>
      <c r="AB815" s="117"/>
      <c r="AC815" s="462"/>
      <c r="AD815" s="462"/>
      <c r="AE815" s="462"/>
      <c r="AF815" s="463"/>
      <c r="AG815" s="120"/>
      <c r="AH815" s="493"/>
      <c r="AI815" s="120"/>
      <c r="AJ815" s="120"/>
      <c r="AK815" s="120"/>
      <c r="AL815" s="120"/>
      <c r="AM815" s="120"/>
      <c r="AN815" s="120"/>
      <c r="AO815" s="120"/>
      <c r="AP815" s="120"/>
      <c r="AQ815" s="120"/>
      <c r="AR815" s="120"/>
      <c r="AS815" s="120"/>
      <c r="AT815" s="120"/>
      <c r="AU815" s="120"/>
      <c r="AV815" s="128"/>
      <c r="AW815" s="117">
        <f>VLOOKUP($D815,'WB Data'!$C$3:$M$578,2,FALSE)</f>
        <v>188048960311.22461</v>
      </c>
      <c r="AX815" s="117">
        <f>VLOOKUP($D815,'WB Data'!$C$3:$M$578,3,FALSE)</f>
        <v>16556600</v>
      </c>
      <c r="AY815" s="847" t="str">
        <f t="shared" si="135"/>
        <v>..</v>
      </c>
      <c r="AZ815" s="117" t="e">
        <f>VLOOKUP($D815,'WB Data'!$C$3:$M$578,4,FALSE)/100</f>
        <v>#VALUE!</v>
      </c>
      <c r="BA815" s="117" t="str">
        <f t="shared" si="136"/>
        <v>..</v>
      </c>
      <c r="BB815" s="129" t="str">
        <f>IFERROR(VLOOKUP($D815,'EITI Revenues'!$C$2:$G$224,5,FALSE),"..")</f>
        <v>..</v>
      </c>
      <c r="BC815" s="846" t="str">
        <f t="shared" si="137"/>
        <v>..</v>
      </c>
      <c r="BD815" s="129">
        <f>VLOOKUP($D815,'WB Data 2'!$C$2:$K$545,6,FALSE)</f>
        <v>72314639999.574051</v>
      </c>
      <c r="BE815" s="129">
        <f>IFERROR(VLOOKUP($D815,UNCTAD!$C$5:$V$529,4,FALSE),"..")</f>
        <v>89531640000</v>
      </c>
      <c r="BF815" s="846">
        <f t="shared" si="138"/>
        <v>0.80769926698063443</v>
      </c>
      <c r="BG815" s="117">
        <f>VLOOKUP($D815,'WB Data'!$C$3:$M$578,5,FALSE)</f>
        <v>215510000</v>
      </c>
      <c r="BH815" s="129" t="str">
        <f>IFERROR($BB815/$BG815,"..")</f>
        <v>..</v>
      </c>
      <c r="BI815" s="117" t="str">
        <f>IFERROR(VLOOKUP($D815,'WB Data'!$C$3:$M$578,7,FALSE)/100,"..")</f>
        <v>..</v>
      </c>
      <c r="BJ815" s="117" t="str">
        <f>IFERROR($BI815*$AW815,"..")</f>
        <v>..</v>
      </c>
      <c r="BK815" s="846" t="str">
        <f>IFERROR($BB815/$BJ815,"..")</f>
        <v>..</v>
      </c>
      <c r="BL815" s="117" t="str">
        <f>IFERROR(VLOOKUP($D815,'WB Data'!$C$3:$M$578,7,FALSE)/100,"..")</f>
        <v>..</v>
      </c>
      <c r="BM815" s="117" t="str">
        <f>IFERROR($AW815*$BL815,"..")</f>
        <v>..</v>
      </c>
      <c r="BN815" s="846" t="str">
        <f>IFERROR($BB815/$BM815,"..")</f>
        <v>..</v>
      </c>
      <c r="BO815" s="801">
        <f t="shared" si="134"/>
        <v>29</v>
      </c>
      <c r="BP815" s="117">
        <f>VLOOKUP($D815,'WB Data'!$C$3:$M$578,9,FALSE)</f>
        <v>5.5</v>
      </c>
      <c r="BQ815" s="117">
        <f>VLOOKUP($D815,'WB Data'!$C$3:$M$578,10,FALSE)</f>
        <v>68.98</v>
      </c>
      <c r="BR815" s="117">
        <f>VLOOKUP($D815,'WB Data'!$C$3:$M$578,11,FALSE)</f>
        <v>17.600000000000001</v>
      </c>
      <c r="BS815" s="129">
        <f>IFERROR(VLOOKUP($D815,'WB Data 2'!$C$2:$K$545,9,FALSE),"..")</f>
        <v>98.239959999999996</v>
      </c>
      <c r="BT815" s="129">
        <f>_xlfn.IFNA(VLOOKUP($C815,RGI!$A$2:$C$43,2,FALSE),"..")</f>
        <v>77.5</v>
      </c>
      <c r="BU815" s="129">
        <f>_xlfn.IFNA(VLOOKUP($C815,RGI!$A$2:$C$43,3,FALSE),"..")</f>
        <v>57.362887635782535</v>
      </c>
      <c r="BV815" s="129">
        <f>VLOOKUP($D815,WGI!$C$2:$O$478,7,FALSE)</f>
        <v>-1.0947582948953301</v>
      </c>
      <c r="BW815" s="129">
        <f>VLOOKUP($D815,WGI!$C$2:$O$478,4,FALSE)</f>
        <v>-0.32042900556192899</v>
      </c>
      <c r="BX815" s="129">
        <f>VLOOKUP($D815,WGI!$C$2:$O$478,3,FALSE)</f>
        <v>-0.42630117376099602</v>
      </c>
      <c r="BY815" s="129">
        <f>VLOOKUP($D815,WGI!$C$2:$O$478,5,FALSE)</f>
        <v>-0.25995175471842702</v>
      </c>
      <c r="BZ815" s="129">
        <f>VLOOKUP($D815,WGI!$C$2:$O$478,2,FALSE)</f>
        <v>-0.97820473728264901</v>
      </c>
    </row>
    <row r="816" spans="1:78" ht="15" customHeight="1">
      <c r="A816" s="280" t="s">
        <v>277</v>
      </c>
      <c r="B816" s="117">
        <v>2011</v>
      </c>
      <c r="C816" s="117" t="s">
        <v>280</v>
      </c>
      <c r="D816" s="117" t="s">
        <v>3702</v>
      </c>
      <c r="E816" s="452" t="s">
        <v>39</v>
      </c>
      <c r="F816" s="117"/>
      <c r="G816" s="117" t="s">
        <v>24</v>
      </c>
      <c r="H816" s="117" t="str">
        <f t="shared" si="130"/>
        <v>yes</v>
      </c>
      <c r="I816" s="117" t="str">
        <f t="shared" si="131"/>
        <v>no</v>
      </c>
      <c r="J816" s="117" t="str">
        <f t="shared" si="132"/>
        <v>no</v>
      </c>
      <c r="K816" s="120" t="s">
        <v>1437</v>
      </c>
      <c r="L816" s="117" t="str">
        <f t="shared" si="139"/>
        <v>detailed</v>
      </c>
      <c r="M816" s="117" t="str">
        <f t="shared" si="133"/>
        <v>detailed Mining</v>
      </c>
      <c r="N816" s="89">
        <v>3141200</v>
      </c>
      <c r="O816" s="89"/>
      <c r="P816" s="89"/>
      <c r="Q816" s="89"/>
      <c r="R816" s="89"/>
      <c r="S816" s="120" t="s">
        <v>610</v>
      </c>
      <c r="T816" s="119"/>
      <c r="U816" s="120"/>
      <c r="V816" s="117" t="s">
        <v>847</v>
      </c>
      <c r="W816" s="89"/>
      <c r="X816" s="120"/>
      <c r="Y816" s="120"/>
      <c r="Z816" s="120"/>
      <c r="AA816" s="117"/>
      <c r="AB816" s="117"/>
      <c r="AC816" s="462"/>
      <c r="AD816" s="462"/>
      <c r="AE816" s="462"/>
      <c r="AF816" s="463"/>
      <c r="AG816" s="120"/>
      <c r="AH816" s="493"/>
      <c r="AI816" s="120"/>
      <c r="AJ816" s="120"/>
      <c r="AK816" s="120"/>
      <c r="AL816" s="120"/>
      <c r="AM816" s="120"/>
      <c r="AN816" s="120"/>
      <c r="AO816" s="120"/>
      <c r="AP816" s="120"/>
      <c r="AQ816" s="120"/>
      <c r="AR816" s="120"/>
      <c r="AS816" s="120"/>
      <c r="AT816" s="120"/>
      <c r="AU816" s="120"/>
      <c r="AV816" s="128"/>
      <c r="AW816" s="117">
        <f>VLOOKUP($D816,'WB Data'!$C$3:$M$578,2,FALSE)</f>
        <v>188048960311.22461</v>
      </c>
      <c r="AX816" s="117">
        <f>VLOOKUP($D816,'WB Data'!$C$3:$M$578,3,FALSE)</f>
        <v>16556600</v>
      </c>
      <c r="AY816" s="847" t="str">
        <f t="shared" si="135"/>
        <v>..</v>
      </c>
      <c r="AZ816" s="117" t="e">
        <f>VLOOKUP($D816,'WB Data'!$C$3:$M$578,4,FALSE)/100</f>
        <v>#VALUE!</v>
      </c>
      <c r="BA816" s="117" t="str">
        <f t="shared" si="136"/>
        <v>..</v>
      </c>
      <c r="BB816" s="129" t="str">
        <f>IFERROR(VLOOKUP($D816,'EITI Revenues'!$C$2:$G$224,5,FALSE),"..")</f>
        <v>..</v>
      </c>
      <c r="BC816" s="846" t="str">
        <f t="shared" si="137"/>
        <v>..</v>
      </c>
      <c r="BD816" s="129">
        <f>VLOOKUP($D816,'WB Data 2'!$C$2:$K$545,6,FALSE)</f>
        <v>72314639999.574051</v>
      </c>
      <c r="BE816" s="129">
        <f>IFERROR(VLOOKUP($D816,UNCTAD!$C$5:$V$529,4,FALSE),"..")</f>
        <v>89531640000</v>
      </c>
      <c r="BF816" s="846">
        <f t="shared" si="138"/>
        <v>0.80769926698063443</v>
      </c>
      <c r="BG816" s="117">
        <f>VLOOKUP($D816,'WB Data'!$C$3:$M$578,5,FALSE)</f>
        <v>215510000</v>
      </c>
      <c r="BH816" s="129" t="str">
        <f>IFERROR($BB816/$BG816,"..")</f>
        <v>..</v>
      </c>
      <c r="BI816" s="117" t="str">
        <f>IFERROR(VLOOKUP($D816,'WB Data'!$C$3:$M$578,7,FALSE)/100,"..")</f>
        <v>..</v>
      </c>
      <c r="BJ816" s="117" t="str">
        <f>IFERROR($BI816*$AW816,"..")</f>
        <v>..</v>
      </c>
      <c r="BK816" s="846" t="str">
        <f>IFERROR($BB816/$BJ816,"..")</f>
        <v>..</v>
      </c>
      <c r="BL816" s="117" t="str">
        <f>IFERROR(VLOOKUP($D816,'WB Data'!$C$3:$M$578,7,FALSE)/100,"..")</f>
        <v>..</v>
      </c>
      <c r="BM816" s="117" t="str">
        <f>IFERROR($AW816*$BL816,"..")</f>
        <v>..</v>
      </c>
      <c r="BN816" s="846" t="str">
        <f>IFERROR($BB816/$BM816,"..")</f>
        <v>..</v>
      </c>
      <c r="BO816" s="801">
        <f t="shared" si="134"/>
        <v>29</v>
      </c>
      <c r="BP816" s="117">
        <f>VLOOKUP($D816,'WB Data'!$C$3:$M$578,9,FALSE)</f>
        <v>5.5</v>
      </c>
      <c r="BQ816" s="117">
        <f>VLOOKUP($D816,'WB Data'!$C$3:$M$578,10,FALSE)</f>
        <v>68.98</v>
      </c>
      <c r="BR816" s="117">
        <f>VLOOKUP($D816,'WB Data'!$C$3:$M$578,11,FALSE)</f>
        <v>17.600000000000001</v>
      </c>
      <c r="BS816" s="129">
        <f>IFERROR(VLOOKUP($D816,'WB Data 2'!$C$2:$K$545,9,FALSE),"..")</f>
        <v>98.239959999999996</v>
      </c>
      <c r="BT816" s="129">
        <f>_xlfn.IFNA(VLOOKUP($C816,RGI!$A$2:$C$43,2,FALSE),"..")</f>
        <v>77.5</v>
      </c>
      <c r="BU816" s="129">
        <f>_xlfn.IFNA(VLOOKUP($C816,RGI!$A$2:$C$43,3,FALSE),"..")</f>
        <v>57.362887635782535</v>
      </c>
      <c r="BV816" s="129">
        <f>VLOOKUP($D816,WGI!$C$2:$O$478,7,FALSE)</f>
        <v>-1.0947582948953301</v>
      </c>
      <c r="BW816" s="129">
        <f>VLOOKUP($D816,WGI!$C$2:$O$478,4,FALSE)</f>
        <v>-0.32042900556192899</v>
      </c>
      <c r="BX816" s="129">
        <f>VLOOKUP($D816,WGI!$C$2:$O$478,3,FALSE)</f>
        <v>-0.42630117376099602</v>
      </c>
      <c r="BY816" s="129">
        <f>VLOOKUP($D816,WGI!$C$2:$O$478,5,FALSE)</f>
        <v>-0.25995175471842702</v>
      </c>
      <c r="BZ816" s="129">
        <f>VLOOKUP($D816,WGI!$C$2:$O$478,2,FALSE)</f>
        <v>-0.97820473728264901</v>
      </c>
    </row>
    <row r="817" spans="1:80" ht="15" customHeight="1">
      <c r="A817" s="280" t="s">
        <v>277</v>
      </c>
      <c r="B817" s="117">
        <v>2011</v>
      </c>
      <c r="C817" s="117" t="s">
        <v>280</v>
      </c>
      <c r="D817" s="117" t="s">
        <v>3702</v>
      </c>
      <c r="E817" s="452" t="s">
        <v>39</v>
      </c>
      <c r="F817" s="117"/>
      <c r="G817" s="117" t="s">
        <v>24</v>
      </c>
      <c r="H817" s="117" t="str">
        <f t="shared" si="130"/>
        <v>yes</v>
      </c>
      <c r="I817" s="117" t="str">
        <f t="shared" si="131"/>
        <v>no</v>
      </c>
      <c r="J817" s="117" t="str">
        <f t="shared" si="132"/>
        <v>no</v>
      </c>
      <c r="K817" s="120" t="s">
        <v>1453</v>
      </c>
      <c r="L817" s="117" t="str">
        <f t="shared" si="139"/>
        <v>detailed</v>
      </c>
      <c r="M817" s="117" t="str">
        <f t="shared" si="133"/>
        <v>detailed Mining</v>
      </c>
      <c r="N817" s="89">
        <v>8000</v>
      </c>
      <c r="O817" s="89"/>
      <c r="P817" s="89"/>
      <c r="Q817" s="89"/>
      <c r="R817" s="89"/>
      <c r="S817" s="120" t="s">
        <v>610</v>
      </c>
      <c r="T817" s="119">
        <f>1.58/0.000453592</f>
        <v>3483.3065838903685</v>
      </c>
      <c r="U817" s="120" t="s">
        <v>611</v>
      </c>
      <c r="V817" s="117" t="s">
        <v>1454</v>
      </c>
      <c r="W817" s="89">
        <f>N817*T817</f>
        <v>27866452.67112295</v>
      </c>
      <c r="X817" s="120"/>
      <c r="Y817" s="120"/>
      <c r="Z817" s="120"/>
      <c r="AA817" s="117"/>
      <c r="AB817" s="117"/>
      <c r="AC817" s="462"/>
      <c r="AD817" s="462"/>
      <c r="AE817" s="462"/>
      <c r="AF817" s="463"/>
      <c r="AG817" s="120"/>
      <c r="AH817" s="493"/>
      <c r="AI817" s="120"/>
      <c r="AJ817" s="120"/>
      <c r="AK817" s="120"/>
      <c r="AL817" s="120"/>
      <c r="AM817" s="120"/>
      <c r="AN817" s="120"/>
      <c r="AO817" s="120"/>
      <c r="AP817" s="120"/>
      <c r="AQ817" s="120"/>
      <c r="AR817" s="120"/>
      <c r="AS817" s="120"/>
      <c r="AT817" s="120"/>
      <c r="AU817" s="120"/>
      <c r="AV817" s="128"/>
      <c r="AW817" s="117">
        <f>VLOOKUP($D817,'WB Data'!$C$3:$M$578,2,FALSE)</f>
        <v>188048960311.22461</v>
      </c>
      <c r="AX817" s="117">
        <f>VLOOKUP($D817,'WB Data'!$C$3:$M$578,3,FALSE)</f>
        <v>16556600</v>
      </c>
      <c r="AY817" s="847" t="str">
        <f t="shared" si="135"/>
        <v>..</v>
      </c>
      <c r="AZ817" s="117" t="e">
        <f>VLOOKUP($D817,'WB Data'!$C$3:$M$578,4,FALSE)/100</f>
        <v>#VALUE!</v>
      </c>
      <c r="BA817" s="117" t="str">
        <f t="shared" si="136"/>
        <v>..</v>
      </c>
      <c r="BB817" s="129" t="str">
        <f>IFERROR(VLOOKUP($D817,'EITI Revenues'!$C$2:$G$224,5,FALSE),"..")</f>
        <v>..</v>
      </c>
      <c r="BC817" s="846" t="str">
        <f t="shared" si="137"/>
        <v>..</v>
      </c>
      <c r="BD817" s="129">
        <f>VLOOKUP($D817,'WB Data 2'!$C$2:$K$545,6,FALSE)</f>
        <v>72314639999.574051</v>
      </c>
      <c r="BE817" s="129">
        <f>IFERROR(VLOOKUP($D817,UNCTAD!$C$5:$V$529,4,FALSE),"..")</f>
        <v>89531640000</v>
      </c>
      <c r="BF817" s="846">
        <f t="shared" si="138"/>
        <v>0.80769926698063443</v>
      </c>
      <c r="BG817" s="117">
        <f>VLOOKUP($D817,'WB Data'!$C$3:$M$578,5,FALSE)</f>
        <v>215510000</v>
      </c>
      <c r="BH817" s="129" t="str">
        <f>IFERROR($BB817/$BG817,"..")</f>
        <v>..</v>
      </c>
      <c r="BI817" s="117" t="str">
        <f>IFERROR(VLOOKUP($D817,'WB Data'!$C$3:$M$578,7,FALSE)/100,"..")</f>
        <v>..</v>
      </c>
      <c r="BJ817" s="117" t="str">
        <f>IFERROR($BI817*$AW817,"..")</f>
        <v>..</v>
      </c>
      <c r="BK817" s="846" t="str">
        <f>IFERROR($BB817/$BJ817,"..")</f>
        <v>..</v>
      </c>
      <c r="BL817" s="117" t="str">
        <f>IFERROR(VLOOKUP($D817,'WB Data'!$C$3:$M$578,7,FALSE)/100,"..")</f>
        <v>..</v>
      </c>
      <c r="BM817" s="117" t="str">
        <f>IFERROR($AW817*$BL817,"..")</f>
        <v>..</v>
      </c>
      <c r="BN817" s="846" t="str">
        <f>IFERROR($BB817/$BM817,"..")</f>
        <v>..</v>
      </c>
      <c r="BO817" s="801">
        <f t="shared" si="134"/>
        <v>29</v>
      </c>
      <c r="BP817" s="117">
        <f>VLOOKUP($D817,'WB Data'!$C$3:$M$578,9,FALSE)</f>
        <v>5.5</v>
      </c>
      <c r="BQ817" s="117">
        <f>VLOOKUP($D817,'WB Data'!$C$3:$M$578,10,FALSE)</f>
        <v>68.98</v>
      </c>
      <c r="BR817" s="117">
        <f>VLOOKUP($D817,'WB Data'!$C$3:$M$578,11,FALSE)</f>
        <v>17.600000000000001</v>
      </c>
      <c r="BS817" s="129">
        <f>IFERROR(VLOOKUP($D817,'WB Data 2'!$C$2:$K$545,9,FALSE),"..")</f>
        <v>98.239959999999996</v>
      </c>
      <c r="BT817" s="129">
        <f>_xlfn.IFNA(VLOOKUP($C817,RGI!$A$2:$C$43,2,FALSE),"..")</f>
        <v>77.5</v>
      </c>
      <c r="BU817" s="129">
        <f>_xlfn.IFNA(VLOOKUP($C817,RGI!$A$2:$C$43,3,FALSE),"..")</f>
        <v>57.362887635782535</v>
      </c>
      <c r="BV817" s="129">
        <f>VLOOKUP($D817,WGI!$C$2:$O$478,7,FALSE)</f>
        <v>-1.0947582948953301</v>
      </c>
      <c r="BW817" s="129">
        <f>VLOOKUP($D817,WGI!$C$2:$O$478,4,FALSE)</f>
        <v>-0.32042900556192899</v>
      </c>
      <c r="BX817" s="129">
        <f>VLOOKUP($D817,WGI!$C$2:$O$478,3,FALSE)</f>
        <v>-0.42630117376099602</v>
      </c>
      <c r="BY817" s="129">
        <f>VLOOKUP($D817,WGI!$C$2:$O$478,5,FALSE)</f>
        <v>-0.25995175471842702</v>
      </c>
      <c r="BZ817" s="129">
        <f>VLOOKUP($D817,WGI!$C$2:$O$478,2,FALSE)</f>
        <v>-0.97820473728264901</v>
      </c>
    </row>
    <row r="818" spans="1:80" ht="15" customHeight="1">
      <c r="A818" s="280" t="s">
        <v>277</v>
      </c>
      <c r="B818" s="117">
        <v>2011</v>
      </c>
      <c r="C818" s="117" t="s">
        <v>280</v>
      </c>
      <c r="D818" s="117" t="s">
        <v>3702</v>
      </c>
      <c r="E818" s="452" t="s">
        <v>39</v>
      </c>
      <c r="F818" s="117"/>
      <c r="G818" s="117" t="s">
        <v>24</v>
      </c>
      <c r="H818" s="117" t="str">
        <f t="shared" si="130"/>
        <v>yes</v>
      </c>
      <c r="I818" s="117" t="str">
        <f t="shared" si="131"/>
        <v>no</v>
      </c>
      <c r="J818" s="117" t="str">
        <f t="shared" si="132"/>
        <v>no</v>
      </c>
      <c r="K818" s="120" t="s">
        <v>1438</v>
      </c>
      <c r="L818" s="117" t="str">
        <f t="shared" si="139"/>
        <v>detailed</v>
      </c>
      <c r="M818" s="117" t="str">
        <f t="shared" si="133"/>
        <v>detailed Mining</v>
      </c>
      <c r="N818" s="89">
        <v>20700</v>
      </c>
      <c r="O818" s="89"/>
      <c r="P818" s="89"/>
      <c r="Q818" s="89"/>
      <c r="R818" s="89"/>
      <c r="S818" s="120" t="s">
        <v>610</v>
      </c>
      <c r="T818" s="119">
        <v>9930</v>
      </c>
      <c r="U818" s="120" t="s">
        <v>611</v>
      </c>
      <c r="V818" s="117" t="s">
        <v>1439</v>
      </c>
      <c r="W818" s="89">
        <f>N818*T818</f>
        <v>205551000</v>
      </c>
      <c r="X818" s="120"/>
      <c r="Y818" s="120"/>
      <c r="Z818" s="120"/>
      <c r="AA818" s="117"/>
      <c r="AB818" s="117"/>
      <c r="AC818" s="462"/>
      <c r="AD818" s="462"/>
      <c r="AE818" s="462"/>
      <c r="AF818" s="463"/>
      <c r="AG818" s="120"/>
      <c r="AH818" s="493"/>
      <c r="AI818" s="120"/>
      <c r="AJ818" s="120"/>
      <c r="AK818" s="120"/>
      <c r="AL818" s="120"/>
      <c r="AM818" s="120"/>
      <c r="AN818" s="120"/>
      <c r="AO818" s="120"/>
      <c r="AP818" s="120"/>
      <c r="AQ818" s="120"/>
      <c r="AR818" s="120"/>
      <c r="AS818" s="120"/>
      <c r="AT818" s="120"/>
      <c r="AU818" s="120"/>
      <c r="AV818" s="128"/>
      <c r="AW818" s="117">
        <f>VLOOKUP($D818,'WB Data'!$C$3:$M$578,2,FALSE)</f>
        <v>188048960311.22461</v>
      </c>
      <c r="AX818" s="117">
        <f>VLOOKUP($D818,'WB Data'!$C$3:$M$578,3,FALSE)</f>
        <v>16556600</v>
      </c>
      <c r="AY818" s="847" t="str">
        <f t="shared" si="135"/>
        <v>..</v>
      </c>
      <c r="AZ818" s="117" t="e">
        <f>VLOOKUP($D818,'WB Data'!$C$3:$M$578,4,FALSE)/100</f>
        <v>#VALUE!</v>
      </c>
      <c r="BA818" s="117" t="str">
        <f t="shared" si="136"/>
        <v>..</v>
      </c>
      <c r="BB818" s="129" t="str">
        <f>IFERROR(VLOOKUP($D818,'EITI Revenues'!$C$2:$G$224,5,FALSE),"..")</f>
        <v>..</v>
      </c>
      <c r="BC818" s="846" t="str">
        <f t="shared" si="137"/>
        <v>..</v>
      </c>
      <c r="BD818" s="129">
        <f>VLOOKUP($D818,'WB Data 2'!$C$2:$K$545,6,FALSE)</f>
        <v>72314639999.574051</v>
      </c>
      <c r="BE818" s="129">
        <f>IFERROR(VLOOKUP($D818,UNCTAD!$C$5:$V$529,4,FALSE),"..")</f>
        <v>89531640000</v>
      </c>
      <c r="BF818" s="846">
        <f t="shared" si="138"/>
        <v>0.80769926698063443</v>
      </c>
      <c r="BG818" s="117">
        <f>VLOOKUP($D818,'WB Data'!$C$3:$M$578,5,FALSE)</f>
        <v>215510000</v>
      </c>
      <c r="BH818" s="129" t="str">
        <f>IFERROR($BB818/$BG818,"..")</f>
        <v>..</v>
      </c>
      <c r="BI818" s="117" t="str">
        <f>IFERROR(VLOOKUP($D818,'WB Data'!$C$3:$M$578,7,FALSE)/100,"..")</f>
        <v>..</v>
      </c>
      <c r="BJ818" s="117" t="str">
        <f>IFERROR($BI818*$AW818,"..")</f>
        <v>..</v>
      </c>
      <c r="BK818" s="846" t="str">
        <f>IFERROR($BB818/$BJ818,"..")</f>
        <v>..</v>
      </c>
      <c r="BL818" s="117" t="str">
        <f>IFERROR(VLOOKUP($D818,'WB Data'!$C$3:$M$578,7,FALSE)/100,"..")</f>
        <v>..</v>
      </c>
      <c r="BM818" s="117" t="str">
        <f>IFERROR($AW818*$BL818,"..")</f>
        <v>..</v>
      </c>
      <c r="BN818" s="846" t="str">
        <f>IFERROR($BB818/$BM818,"..")</f>
        <v>..</v>
      </c>
      <c r="BO818" s="801">
        <f t="shared" si="134"/>
        <v>29</v>
      </c>
      <c r="BP818" s="117">
        <f>VLOOKUP($D818,'WB Data'!$C$3:$M$578,9,FALSE)</f>
        <v>5.5</v>
      </c>
      <c r="BQ818" s="117">
        <f>VLOOKUP($D818,'WB Data'!$C$3:$M$578,10,FALSE)</f>
        <v>68.98</v>
      </c>
      <c r="BR818" s="117">
        <f>VLOOKUP($D818,'WB Data'!$C$3:$M$578,11,FALSE)</f>
        <v>17.600000000000001</v>
      </c>
      <c r="BS818" s="129">
        <f>IFERROR(VLOOKUP($D818,'WB Data 2'!$C$2:$K$545,9,FALSE),"..")</f>
        <v>98.239959999999996</v>
      </c>
      <c r="BT818" s="129">
        <f>_xlfn.IFNA(VLOOKUP($C818,RGI!$A$2:$C$43,2,FALSE),"..")</f>
        <v>77.5</v>
      </c>
      <c r="BU818" s="129">
        <f>_xlfn.IFNA(VLOOKUP($C818,RGI!$A$2:$C$43,3,FALSE),"..")</f>
        <v>57.362887635782535</v>
      </c>
      <c r="BV818" s="129">
        <f>VLOOKUP($D818,WGI!$C$2:$O$478,7,FALSE)</f>
        <v>-1.0947582948953301</v>
      </c>
      <c r="BW818" s="129">
        <f>VLOOKUP($D818,WGI!$C$2:$O$478,4,FALSE)</f>
        <v>-0.32042900556192899</v>
      </c>
      <c r="BX818" s="129">
        <f>VLOOKUP($D818,WGI!$C$2:$O$478,3,FALSE)</f>
        <v>-0.42630117376099602</v>
      </c>
      <c r="BY818" s="129">
        <f>VLOOKUP($D818,WGI!$C$2:$O$478,5,FALSE)</f>
        <v>-0.25995175471842702</v>
      </c>
      <c r="BZ818" s="129">
        <f>VLOOKUP($D818,WGI!$C$2:$O$478,2,FALSE)</f>
        <v>-0.97820473728264901</v>
      </c>
    </row>
    <row r="819" spans="1:80" ht="15" customHeight="1">
      <c r="A819" s="280" t="s">
        <v>277</v>
      </c>
      <c r="B819" s="117">
        <v>2011</v>
      </c>
      <c r="C819" s="117" t="s">
        <v>280</v>
      </c>
      <c r="D819" s="117" t="s">
        <v>3702</v>
      </c>
      <c r="E819" s="452" t="s">
        <v>39</v>
      </c>
      <c r="F819" s="117"/>
      <c r="G819" s="117" t="s">
        <v>24</v>
      </c>
      <c r="H819" s="117" t="str">
        <f t="shared" si="130"/>
        <v>yes</v>
      </c>
      <c r="I819" s="117" t="str">
        <f t="shared" si="131"/>
        <v>no</v>
      </c>
      <c r="J819" s="117" t="str">
        <f t="shared" si="132"/>
        <v>no</v>
      </c>
      <c r="K819" s="120" t="s">
        <v>1466</v>
      </c>
      <c r="L819" s="117" t="str">
        <f t="shared" si="139"/>
        <v>detailed</v>
      </c>
      <c r="M819" s="117" t="str">
        <f t="shared" si="133"/>
        <v>detailed Mining</v>
      </c>
      <c r="N819" s="89"/>
      <c r="O819" s="89"/>
      <c r="P819" s="89"/>
      <c r="Q819" s="89"/>
      <c r="R819" s="89"/>
      <c r="S819" s="120"/>
      <c r="T819" s="119"/>
      <c r="U819" s="120"/>
      <c r="V819" s="117"/>
      <c r="W819" s="89"/>
      <c r="X819" s="120"/>
      <c r="Y819" s="120"/>
      <c r="Z819" s="120"/>
      <c r="AA819" s="117"/>
      <c r="AB819" s="117"/>
      <c r="AC819" s="462"/>
      <c r="AD819" s="462"/>
      <c r="AE819" s="462"/>
      <c r="AF819" s="463"/>
      <c r="AG819" s="120"/>
      <c r="AH819" s="493"/>
      <c r="AI819" s="120"/>
      <c r="AJ819" s="120"/>
      <c r="AK819" s="120"/>
      <c r="AL819" s="120"/>
      <c r="AM819" s="120"/>
      <c r="AN819" s="120"/>
      <c r="AO819" s="120"/>
      <c r="AP819" s="120"/>
      <c r="AQ819" s="120"/>
      <c r="AR819" s="120"/>
      <c r="AS819" s="120"/>
      <c r="AT819" s="120"/>
      <c r="AU819" s="120"/>
      <c r="AV819" s="128"/>
      <c r="AW819" s="117">
        <f>VLOOKUP($D819,'WB Data'!$C$3:$M$578,2,FALSE)</f>
        <v>188048960311.22461</v>
      </c>
      <c r="AX819" s="117">
        <f>VLOOKUP($D819,'WB Data'!$C$3:$M$578,3,FALSE)</f>
        <v>16556600</v>
      </c>
      <c r="AY819" s="847" t="str">
        <f t="shared" si="135"/>
        <v>..</v>
      </c>
      <c r="AZ819" s="117" t="e">
        <f>VLOOKUP($D819,'WB Data'!$C$3:$M$578,4,FALSE)/100</f>
        <v>#VALUE!</v>
      </c>
      <c r="BA819" s="117" t="str">
        <f t="shared" si="136"/>
        <v>..</v>
      </c>
      <c r="BB819" s="129" t="str">
        <f>IFERROR(VLOOKUP($D819,'EITI Revenues'!$C$2:$G$224,5,FALSE),"..")</f>
        <v>..</v>
      </c>
      <c r="BC819" s="846" t="str">
        <f t="shared" si="137"/>
        <v>..</v>
      </c>
      <c r="BD819" s="129">
        <f>VLOOKUP($D819,'WB Data 2'!$C$2:$K$545,6,FALSE)</f>
        <v>72314639999.574051</v>
      </c>
      <c r="BE819" s="129">
        <f>IFERROR(VLOOKUP($D819,UNCTAD!$C$5:$V$529,4,FALSE),"..")</f>
        <v>89531640000</v>
      </c>
      <c r="BF819" s="846">
        <f t="shared" si="138"/>
        <v>0.80769926698063443</v>
      </c>
      <c r="BG819" s="117">
        <f>VLOOKUP($D819,'WB Data'!$C$3:$M$578,5,FALSE)</f>
        <v>215510000</v>
      </c>
      <c r="BH819" s="129" t="str">
        <f>IFERROR($BB819/$BG819,"..")</f>
        <v>..</v>
      </c>
      <c r="BI819" s="117" t="str">
        <f>IFERROR(VLOOKUP($D819,'WB Data'!$C$3:$M$578,7,FALSE)/100,"..")</f>
        <v>..</v>
      </c>
      <c r="BJ819" s="117" t="str">
        <f>IFERROR($BI819*$AW819,"..")</f>
        <v>..</v>
      </c>
      <c r="BK819" s="846" t="str">
        <f>IFERROR($BB819/$BJ819,"..")</f>
        <v>..</v>
      </c>
      <c r="BL819" s="117" t="str">
        <f>IFERROR(VLOOKUP($D819,'WB Data'!$C$3:$M$578,7,FALSE)/100,"..")</f>
        <v>..</v>
      </c>
      <c r="BM819" s="117" t="str">
        <f>IFERROR($AW819*$BL819,"..")</f>
        <v>..</v>
      </c>
      <c r="BN819" s="846" t="str">
        <f>IFERROR($BB819/$BM819,"..")</f>
        <v>..</v>
      </c>
      <c r="BO819" s="801">
        <f t="shared" si="134"/>
        <v>29</v>
      </c>
      <c r="BP819" s="117">
        <f>VLOOKUP($D819,'WB Data'!$C$3:$M$578,9,FALSE)</f>
        <v>5.5</v>
      </c>
      <c r="BQ819" s="117">
        <f>VLOOKUP($D819,'WB Data'!$C$3:$M$578,10,FALSE)</f>
        <v>68.98</v>
      </c>
      <c r="BR819" s="117">
        <f>VLOOKUP($D819,'WB Data'!$C$3:$M$578,11,FALSE)</f>
        <v>17.600000000000001</v>
      </c>
      <c r="BS819" s="129">
        <f>IFERROR(VLOOKUP($D819,'WB Data 2'!$C$2:$K$545,9,FALSE),"..")</f>
        <v>98.239959999999996</v>
      </c>
      <c r="BT819" s="129">
        <f>_xlfn.IFNA(VLOOKUP($C819,RGI!$A$2:$C$43,2,FALSE),"..")</f>
        <v>77.5</v>
      </c>
      <c r="BU819" s="129">
        <f>_xlfn.IFNA(VLOOKUP($C819,RGI!$A$2:$C$43,3,FALSE),"..")</f>
        <v>57.362887635782535</v>
      </c>
      <c r="BV819" s="129">
        <f>VLOOKUP($D819,WGI!$C$2:$O$478,7,FALSE)</f>
        <v>-1.0947582948953301</v>
      </c>
      <c r="BW819" s="129">
        <f>VLOOKUP($D819,WGI!$C$2:$O$478,4,FALSE)</f>
        <v>-0.32042900556192899</v>
      </c>
      <c r="BX819" s="129">
        <f>VLOOKUP($D819,WGI!$C$2:$O$478,3,FALSE)</f>
        <v>-0.42630117376099602</v>
      </c>
      <c r="BY819" s="129">
        <f>VLOOKUP($D819,WGI!$C$2:$O$478,5,FALSE)</f>
        <v>-0.25995175471842702</v>
      </c>
      <c r="BZ819" s="129">
        <f>VLOOKUP($D819,WGI!$C$2:$O$478,2,FALSE)</f>
        <v>-0.97820473728264901</v>
      </c>
    </row>
    <row r="820" spans="1:80" ht="15" customHeight="1">
      <c r="A820" s="280" t="s">
        <v>277</v>
      </c>
      <c r="B820" s="117">
        <v>2011</v>
      </c>
      <c r="C820" s="117" t="s">
        <v>280</v>
      </c>
      <c r="D820" s="117" t="s">
        <v>3702</v>
      </c>
      <c r="E820" s="452" t="s">
        <v>39</v>
      </c>
      <c r="F820" s="117"/>
      <c r="G820" s="117" t="s">
        <v>24</v>
      </c>
      <c r="H820" s="117" t="str">
        <f t="shared" si="130"/>
        <v>yes</v>
      </c>
      <c r="I820" s="117" t="str">
        <f t="shared" si="131"/>
        <v>no</v>
      </c>
      <c r="J820" s="117" t="str">
        <f t="shared" si="132"/>
        <v>no</v>
      </c>
      <c r="K820" s="120" t="s">
        <v>1455</v>
      </c>
      <c r="L820" s="117" t="str">
        <f t="shared" si="139"/>
        <v>detailed</v>
      </c>
      <c r="M820" s="117" t="str">
        <f t="shared" si="133"/>
        <v>detailed Mining</v>
      </c>
      <c r="N820" s="89">
        <v>19451</v>
      </c>
      <c r="O820" s="89"/>
      <c r="P820" s="89"/>
      <c r="Q820" s="89"/>
      <c r="R820" s="89"/>
      <c r="S820" s="120" t="s">
        <v>610</v>
      </c>
      <c r="T820" s="119"/>
      <c r="U820" s="120"/>
      <c r="V820" s="117" t="s">
        <v>847</v>
      </c>
      <c r="W820" s="89"/>
      <c r="X820" s="120"/>
      <c r="Y820" s="120"/>
      <c r="Z820" s="120"/>
      <c r="AA820" s="117"/>
      <c r="AB820" s="117"/>
      <c r="AC820" s="462"/>
      <c r="AD820" s="462"/>
      <c r="AE820" s="462"/>
      <c r="AF820" s="463"/>
      <c r="AG820" s="120"/>
      <c r="AH820" s="493"/>
      <c r="AI820" s="120"/>
      <c r="AJ820" s="120"/>
      <c r="AK820" s="120"/>
      <c r="AL820" s="120"/>
      <c r="AM820" s="120"/>
      <c r="AN820" s="120"/>
      <c r="AO820" s="120"/>
      <c r="AP820" s="120"/>
      <c r="AQ820" s="120"/>
      <c r="AR820" s="120"/>
      <c r="AS820" s="120"/>
      <c r="AT820" s="120"/>
      <c r="AU820" s="120"/>
      <c r="AV820" s="128"/>
      <c r="AW820" s="117">
        <f>VLOOKUP($D820,'WB Data'!$C$3:$M$578,2,FALSE)</f>
        <v>188048960311.22461</v>
      </c>
      <c r="AX820" s="117">
        <f>VLOOKUP($D820,'WB Data'!$C$3:$M$578,3,FALSE)</f>
        <v>16556600</v>
      </c>
      <c r="AY820" s="847" t="str">
        <f t="shared" si="135"/>
        <v>..</v>
      </c>
      <c r="AZ820" s="117" t="e">
        <f>VLOOKUP($D820,'WB Data'!$C$3:$M$578,4,FALSE)/100</f>
        <v>#VALUE!</v>
      </c>
      <c r="BA820" s="117" t="str">
        <f t="shared" si="136"/>
        <v>..</v>
      </c>
      <c r="BB820" s="129" t="str">
        <f>IFERROR(VLOOKUP($D820,'EITI Revenues'!$C$2:$G$224,5,FALSE),"..")</f>
        <v>..</v>
      </c>
      <c r="BC820" s="846" t="str">
        <f t="shared" si="137"/>
        <v>..</v>
      </c>
      <c r="BD820" s="129">
        <f>VLOOKUP($D820,'WB Data 2'!$C$2:$K$545,6,FALSE)</f>
        <v>72314639999.574051</v>
      </c>
      <c r="BE820" s="129">
        <f>IFERROR(VLOOKUP($D820,UNCTAD!$C$5:$V$529,4,FALSE),"..")</f>
        <v>89531640000</v>
      </c>
      <c r="BF820" s="846">
        <f t="shared" si="138"/>
        <v>0.80769926698063443</v>
      </c>
      <c r="BG820" s="117">
        <f>VLOOKUP($D820,'WB Data'!$C$3:$M$578,5,FALSE)</f>
        <v>215510000</v>
      </c>
      <c r="BH820" s="129" t="str">
        <f>IFERROR($BB820/$BG820,"..")</f>
        <v>..</v>
      </c>
      <c r="BI820" s="117" t="str">
        <f>IFERROR(VLOOKUP($D820,'WB Data'!$C$3:$M$578,7,FALSE)/100,"..")</f>
        <v>..</v>
      </c>
      <c r="BJ820" s="117" t="str">
        <f>IFERROR($BI820*$AW820,"..")</f>
        <v>..</v>
      </c>
      <c r="BK820" s="846" t="str">
        <f>IFERROR($BB820/$BJ820,"..")</f>
        <v>..</v>
      </c>
      <c r="BL820" s="117" t="str">
        <f>IFERROR(VLOOKUP($D820,'WB Data'!$C$3:$M$578,7,FALSE)/100,"..")</f>
        <v>..</v>
      </c>
      <c r="BM820" s="117" t="str">
        <f>IFERROR($AW820*$BL820,"..")</f>
        <v>..</v>
      </c>
      <c r="BN820" s="846" t="str">
        <f>IFERROR($BB820/$BM820,"..")</f>
        <v>..</v>
      </c>
      <c r="BO820" s="801">
        <f t="shared" si="134"/>
        <v>29</v>
      </c>
      <c r="BP820" s="117">
        <f>VLOOKUP($D820,'WB Data'!$C$3:$M$578,9,FALSE)</f>
        <v>5.5</v>
      </c>
      <c r="BQ820" s="117">
        <f>VLOOKUP($D820,'WB Data'!$C$3:$M$578,10,FALSE)</f>
        <v>68.98</v>
      </c>
      <c r="BR820" s="117">
        <f>VLOOKUP($D820,'WB Data'!$C$3:$M$578,11,FALSE)</f>
        <v>17.600000000000001</v>
      </c>
      <c r="BS820" s="129">
        <f>IFERROR(VLOOKUP($D820,'WB Data 2'!$C$2:$K$545,9,FALSE),"..")</f>
        <v>98.239959999999996</v>
      </c>
      <c r="BT820" s="129">
        <f>_xlfn.IFNA(VLOOKUP($C820,RGI!$A$2:$C$43,2,FALSE),"..")</f>
        <v>77.5</v>
      </c>
      <c r="BU820" s="129">
        <f>_xlfn.IFNA(VLOOKUP($C820,RGI!$A$2:$C$43,3,FALSE),"..")</f>
        <v>57.362887635782535</v>
      </c>
      <c r="BV820" s="129">
        <f>VLOOKUP($D820,WGI!$C$2:$O$478,7,FALSE)</f>
        <v>-1.0947582948953301</v>
      </c>
      <c r="BW820" s="129">
        <f>VLOOKUP($D820,WGI!$C$2:$O$478,4,FALSE)</f>
        <v>-0.32042900556192899</v>
      </c>
      <c r="BX820" s="129">
        <f>VLOOKUP($D820,WGI!$C$2:$O$478,3,FALSE)</f>
        <v>-0.42630117376099602</v>
      </c>
      <c r="BY820" s="129">
        <f>VLOOKUP($D820,WGI!$C$2:$O$478,5,FALSE)</f>
        <v>-0.25995175471842702</v>
      </c>
      <c r="BZ820" s="129">
        <f>VLOOKUP($D820,WGI!$C$2:$O$478,2,FALSE)</f>
        <v>-0.97820473728264901</v>
      </c>
    </row>
    <row r="821" spans="1:80" ht="15" customHeight="1">
      <c r="A821" s="280" t="s">
        <v>277</v>
      </c>
      <c r="B821" s="117">
        <v>2011</v>
      </c>
      <c r="C821" s="117" t="s">
        <v>280</v>
      </c>
      <c r="D821" s="117" t="s">
        <v>3702</v>
      </c>
      <c r="E821" s="452" t="s">
        <v>39</v>
      </c>
      <c r="F821" s="117"/>
      <c r="G821" s="117" t="s">
        <v>24</v>
      </c>
      <c r="H821" s="117" t="str">
        <f t="shared" si="130"/>
        <v>yes</v>
      </c>
      <c r="I821" s="117" t="str">
        <f t="shared" si="131"/>
        <v>no</v>
      </c>
      <c r="J821" s="117" t="str">
        <f t="shared" si="132"/>
        <v>no</v>
      </c>
      <c r="K821" s="120" t="s">
        <v>1456</v>
      </c>
      <c r="L821" s="117" t="str">
        <f t="shared" si="139"/>
        <v>detailed</v>
      </c>
      <c r="M821" s="117" t="str">
        <f t="shared" si="133"/>
        <v>detailed Mining</v>
      </c>
      <c r="N821" s="89">
        <v>22939</v>
      </c>
      <c r="O821" s="89"/>
      <c r="P821" s="89"/>
      <c r="Q821" s="89"/>
      <c r="R821" s="89"/>
      <c r="S821" s="120" t="s">
        <v>610</v>
      </c>
      <c r="T821" s="119"/>
      <c r="U821" s="120"/>
      <c r="V821" s="117" t="s">
        <v>847</v>
      </c>
      <c r="W821" s="89"/>
      <c r="X821" s="120"/>
      <c r="Y821" s="120"/>
      <c r="Z821" s="120"/>
      <c r="AA821" s="117"/>
      <c r="AB821" s="117"/>
      <c r="AC821" s="462"/>
      <c r="AD821" s="462"/>
      <c r="AE821" s="462"/>
      <c r="AF821" s="463"/>
      <c r="AG821" s="120"/>
      <c r="AH821" s="493"/>
      <c r="AI821" s="120"/>
      <c r="AJ821" s="120"/>
      <c r="AK821" s="120"/>
      <c r="AL821" s="120"/>
      <c r="AM821" s="120"/>
      <c r="AN821" s="120"/>
      <c r="AO821" s="120"/>
      <c r="AP821" s="120"/>
      <c r="AQ821" s="120"/>
      <c r="AR821" s="120"/>
      <c r="AS821" s="120"/>
      <c r="AT821" s="120"/>
      <c r="AU821" s="120"/>
      <c r="AV821" s="128"/>
      <c r="AW821" s="117">
        <f>VLOOKUP($D821,'WB Data'!$C$3:$M$578,2,FALSE)</f>
        <v>188048960311.22461</v>
      </c>
      <c r="AX821" s="117">
        <f>VLOOKUP($D821,'WB Data'!$C$3:$M$578,3,FALSE)</f>
        <v>16556600</v>
      </c>
      <c r="AY821" s="847" t="str">
        <f t="shared" si="135"/>
        <v>..</v>
      </c>
      <c r="AZ821" s="117" t="e">
        <f>VLOOKUP($D821,'WB Data'!$C$3:$M$578,4,FALSE)/100</f>
        <v>#VALUE!</v>
      </c>
      <c r="BA821" s="117" t="str">
        <f t="shared" si="136"/>
        <v>..</v>
      </c>
      <c r="BB821" s="129" t="str">
        <f>IFERROR(VLOOKUP($D821,'EITI Revenues'!$C$2:$G$224,5,FALSE),"..")</f>
        <v>..</v>
      </c>
      <c r="BC821" s="846" t="str">
        <f t="shared" si="137"/>
        <v>..</v>
      </c>
      <c r="BD821" s="129">
        <f>VLOOKUP($D821,'WB Data 2'!$C$2:$K$545,6,FALSE)</f>
        <v>72314639999.574051</v>
      </c>
      <c r="BE821" s="129">
        <f>IFERROR(VLOOKUP($D821,UNCTAD!$C$5:$V$529,4,FALSE),"..")</f>
        <v>89531640000</v>
      </c>
      <c r="BF821" s="846">
        <f t="shared" si="138"/>
        <v>0.80769926698063443</v>
      </c>
      <c r="BG821" s="117">
        <f>VLOOKUP($D821,'WB Data'!$C$3:$M$578,5,FALSE)</f>
        <v>215510000</v>
      </c>
      <c r="BH821" s="129" t="str">
        <f>IFERROR($BB821/$BG821,"..")</f>
        <v>..</v>
      </c>
      <c r="BI821" s="117" t="str">
        <f>IFERROR(VLOOKUP($D821,'WB Data'!$C$3:$M$578,7,FALSE)/100,"..")</f>
        <v>..</v>
      </c>
      <c r="BJ821" s="117" t="str">
        <f>IFERROR($BI821*$AW821,"..")</f>
        <v>..</v>
      </c>
      <c r="BK821" s="846" t="str">
        <f>IFERROR($BB821/$BJ821,"..")</f>
        <v>..</v>
      </c>
      <c r="BL821" s="117" t="str">
        <f>IFERROR(VLOOKUP($D821,'WB Data'!$C$3:$M$578,7,FALSE)/100,"..")</f>
        <v>..</v>
      </c>
      <c r="BM821" s="117" t="str">
        <f>IFERROR($AW821*$BL821,"..")</f>
        <v>..</v>
      </c>
      <c r="BN821" s="846" t="str">
        <f>IFERROR($BB821/$BM821,"..")</f>
        <v>..</v>
      </c>
      <c r="BO821" s="801">
        <f t="shared" si="134"/>
        <v>29</v>
      </c>
      <c r="BP821" s="117">
        <f>VLOOKUP($D821,'WB Data'!$C$3:$M$578,9,FALSE)</f>
        <v>5.5</v>
      </c>
      <c r="BQ821" s="117">
        <f>VLOOKUP($D821,'WB Data'!$C$3:$M$578,10,FALSE)</f>
        <v>68.98</v>
      </c>
      <c r="BR821" s="117">
        <f>VLOOKUP($D821,'WB Data'!$C$3:$M$578,11,FALSE)</f>
        <v>17.600000000000001</v>
      </c>
      <c r="BS821" s="129">
        <f>IFERROR(VLOOKUP($D821,'WB Data 2'!$C$2:$K$545,9,FALSE),"..")</f>
        <v>98.239959999999996</v>
      </c>
      <c r="BT821" s="129">
        <f>_xlfn.IFNA(VLOOKUP($C821,RGI!$A$2:$C$43,2,FALSE),"..")</f>
        <v>77.5</v>
      </c>
      <c r="BU821" s="129">
        <f>_xlfn.IFNA(VLOOKUP($C821,RGI!$A$2:$C$43,3,FALSE),"..")</f>
        <v>57.362887635782535</v>
      </c>
      <c r="BV821" s="129">
        <f>VLOOKUP($D821,WGI!$C$2:$O$478,7,FALSE)</f>
        <v>-1.0947582948953301</v>
      </c>
      <c r="BW821" s="129">
        <f>VLOOKUP($D821,WGI!$C$2:$O$478,4,FALSE)</f>
        <v>-0.32042900556192899</v>
      </c>
      <c r="BX821" s="129">
        <f>VLOOKUP($D821,WGI!$C$2:$O$478,3,FALSE)</f>
        <v>-0.42630117376099602</v>
      </c>
      <c r="BY821" s="129">
        <f>VLOOKUP($D821,WGI!$C$2:$O$478,5,FALSE)</f>
        <v>-0.25995175471842702</v>
      </c>
      <c r="BZ821" s="129">
        <f>VLOOKUP($D821,WGI!$C$2:$O$478,2,FALSE)</f>
        <v>-0.97820473728264901</v>
      </c>
    </row>
    <row r="822" spans="1:80" ht="15" customHeight="1">
      <c r="A822" s="280" t="s">
        <v>277</v>
      </c>
      <c r="B822" s="117">
        <v>2011</v>
      </c>
      <c r="C822" s="117" t="s">
        <v>280</v>
      </c>
      <c r="D822" s="117" t="s">
        <v>3702</v>
      </c>
      <c r="E822" s="452" t="s">
        <v>39</v>
      </c>
      <c r="F822" s="117"/>
      <c r="G822" s="117" t="s">
        <v>24</v>
      </c>
      <c r="H822" s="117" t="str">
        <f t="shared" si="130"/>
        <v>yes</v>
      </c>
      <c r="I822" s="117" t="str">
        <f t="shared" si="131"/>
        <v>no</v>
      </c>
      <c r="J822" s="117" t="str">
        <f t="shared" si="132"/>
        <v>no</v>
      </c>
      <c r="K822" s="120" t="s">
        <v>849</v>
      </c>
      <c r="L822" s="117" t="str">
        <f t="shared" si="139"/>
        <v>detailed</v>
      </c>
      <c r="M822" s="117" t="str">
        <f t="shared" si="133"/>
        <v>detailed Mining</v>
      </c>
      <c r="N822" s="89"/>
      <c r="O822" s="89"/>
      <c r="P822" s="89"/>
      <c r="Q822" s="89"/>
      <c r="R822" s="89"/>
      <c r="S822" s="120"/>
      <c r="T822" s="186">
        <f>2193.90041666667</f>
        <v>2193.90041666667</v>
      </c>
      <c r="U822" s="117" t="s">
        <v>611</v>
      </c>
      <c r="V822" s="117" t="s">
        <v>1440</v>
      </c>
      <c r="W822" s="89">
        <f>N824*T822</f>
        <v>701504046.03000104</v>
      </c>
      <c r="X822" s="120"/>
      <c r="Y822" s="120"/>
      <c r="Z822" s="120"/>
      <c r="AA822" s="117"/>
      <c r="AB822" s="117"/>
      <c r="AC822" s="462"/>
      <c r="AD822" s="462"/>
      <c r="AE822" s="462"/>
      <c r="AF822" s="463"/>
      <c r="AG822" s="120"/>
      <c r="AH822" s="493"/>
      <c r="AI822" s="120"/>
      <c r="AJ822" s="120"/>
      <c r="AK822" s="120"/>
      <c r="AL822" s="120"/>
      <c r="AM822" s="120"/>
      <c r="AN822" s="120"/>
      <c r="AO822" s="120"/>
      <c r="AP822" s="120"/>
      <c r="AQ822" s="120"/>
      <c r="AR822" s="120"/>
      <c r="AS822" s="120"/>
      <c r="AT822" s="120"/>
      <c r="AU822" s="120"/>
      <c r="AV822" s="128"/>
      <c r="AW822" s="117">
        <f>VLOOKUP($D822,'WB Data'!$C$3:$M$578,2,FALSE)</f>
        <v>188048960311.22461</v>
      </c>
      <c r="AX822" s="117">
        <f>VLOOKUP($D822,'WB Data'!$C$3:$M$578,3,FALSE)</f>
        <v>16556600</v>
      </c>
      <c r="AY822" s="847" t="str">
        <f t="shared" si="135"/>
        <v>..</v>
      </c>
      <c r="AZ822" s="117" t="e">
        <f>VLOOKUP($D822,'WB Data'!$C$3:$M$578,4,FALSE)/100</f>
        <v>#VALUE!</v>
      </c>
      <c r="BA822" s="117" t="str">
        <f t="shared" si="136"/>
        <v>..</v>
      </c>
      <c r="BB822" s="129" t="str">
        <f>IFERROR(VLOOKUP($D822,'EITI Revenues'!$C$2:$G$224,5,FALSE),"..")</f>
        <v>..</v>
      </c>
      <c r="BC822" s="846" t="str">
        <f t="shared" si="137"/>
        <v>..</v>
      </c>
      <c r="BD822" s="129">
        <f>VLOOKUP($D822,'WB Data 2'!$C$2:$K$545,6,FALSE)</f>
        <v>72314639999.574051</v>
      </c>
      <c r="BE822" s="129">
        <f>IFERROR(VLOOKUP($D822,UNCTAD!$C$5:$V$529,4,FALSE),"..")</f>
        <v>89531640000</v>
      </c>
      <c r="BF822" s="846">
        <f t="shared" si="138"/>
        <v>0.80769926698063443</v>
      </c>
      <c r="BG822" s="117">
        <f>VLOOKUP($D822,'WB Data'!$C$3:$M$578,5,FALSE)</f>
        <v>215510000</v>
      </c>
      <c r="BH822" s="129" t="str">
        <f>IFERROR($BB822/$BG822,"..")</f>
        <v>..</v>
      </c>
      <c r="BI822" s="117" t="str">
        <f>IFERROR(VLOOKUP($D822,'WB Data'!$C$3:$M$578,7,FALSE)/100,"..")</f>
        <v>..</v>
      </c>
      <c r="BJ822" s="117" t="str">
        <f>IFERROR($BI822*$AW822,"..")</f>
        <v>..</v>
      </c>
      <c r="BK822" s="846" t="str">
        <f>IFERROR($BB822/$BJ822,"..")</f>
        <v>..</v>
      </c>
      <c r="BL822" s="117" t="str">
        <f>IFERROR(VLOOKUP($D822,'WB Data'!$C$3:$M$578,7,FALSE)/100,"..")</f>
        <v>..</v>
      </c>
      <c r="BM822" s="117" t="str">
        <f>IFERROR($AW822*$BL822,"..")</f>
        <v>..</v>
      </c>
      <c r="BN822" s="846" t="str">
        <f>IFERROR($BB822/$BM822,"..")</f>
        <v>..</v>
      </c>
      <c r="BO822" s="801">
        <f t="shared" si="134"/>
        <v>29</v>
      </c>
      <c r="BP822" s="117">
        <f>VLOOKUP($D822,'WB Data'!$C$3:$M$578,9,FALSE)</f>
        <v>5.5</v>
      </c>
      <c r="BQ822" s="117">
        <f>VLOOKUP($D822,'WB Data'!$C$3:$M$578,10,FALSE)</f>
        <v>68.98</v>
      </c>
      <c r="BR822" s="117">
        <f>VLOOKUP($D822,'WB Data'!$C$3:$M$578,11,FALSE)</f>
        <v>17.600000000000001</v>
      </c>
      <c r="BS822" s="129">
        <f>IFERROR(VLOOKUP($D822,'WB Data 2'!$C$2:$K$545,9,FALSE),"..")</f>
        <v>98.239959999999996</v>
      </c>
      <c r="BT822" s="129">
        <f>_xlfn.IFNA(VLOOKUP($C822,RGI!$A$2:$C$43,2,FALSE),"..")</f>
        <v>77.5</v>
      </c>
      <c r="BU822" s="129">
        <f>_xlfn.IFNA(VLOOKUP($C822,RGI!$A$2:$C$43,3,FALSE),"..")</f>
        <v>57.362887635782535</v>
      </c>
      <c r="BV822" s="129">
        <f>VLOOKUP($D822,WGI!$C$2:$O$478,7,FALSE)</f>
        <v>-1.0947582948953301</v>
      </c>
      <c r="BW822" s="129">
        <f>VLOOKUP($D822,WGI!$C$2:$O$478,4,FALSE)</f>
        <v>-0.32042900556192899</v>
      </c>
      <c r="BX822" s="129">
        <f>VLOOKUP($D822,WGI!$C$2:$O$478,3,FALSE)</f>
        <v>-0.42630117376099602</v>
      </c>
      <c r="BY822" s="129">
        <f>VLOOKUP($D822,WGI!$C$2:$O$478,5,FALSE)</f>
        <v>-0.25995175471842702</v>
      </c>
      <c r="BZ822" s="129">
        <f>VLOOKUP($D822,WGI!$C$2:$O$478,2,FALSE)</f>
        <v>-0.97820473728264901</v>
      </c>
    </row>
    <row r="823" spans="1:80" ht="15" customHeight="1">
      <c r="A823" s="280" t="s">
        <v>277</v>
      </c>
      <c r="B823" s="117">
        <v>2011</v>
      </c>
      <c r="C823" s="117" t="s">
        <v>280</v>
      </c>
      <c r="D823" s="117" t="s">
        <v>3702</v>
      </c>
      <c r="E823" s="452" t="s">
        <v>39</v>
      </c>
      <c r="F823" s="117"/>
      <c r="G823" s="117" t="s">
        <v>24</v>
      </c>
      <c r="H823" s="117" t="str">
        <f t="shared" si="130"/>
        <v>yes</v>
      </c>
      <c r="I823" s="117" t="str">
        <f t="shared" si="131"/>
        <v>no</v>
      </c>
      <c r="J823" s="117" t="str">
        <f t="shared" si="132"/>
        <v>no</v>
      </c>
      <c r="K823" s="120" t="s">
        <v>1441</v>
      </c>
      <c r="L823" s="117" t="str">
        <f t="shared" si="139"/>
        <v>detailed</v>
      </c>
      <c r="M823" s="117" t="str">
        <f t="shared" si="133"/>
        <v>detailed Mining</v>
      </c>
      <c r="N823" s="89">
        <v>420000</v>
      </c>
      <c r="O823" s="89"/>
      <c r="P823" s="89"/>
      <c r="Q823" s="89"/>
      <c r="R823" s="89"/>
      <c r="S823" s="89" t="s">
        <v>610</v>
      </c>
      <c r="T823" s="119"/>
      <c r="U823" s="120"/>
      <c r="V823" s="117" t="s">
        <v>847</v>
      </c>
      <c r="W823" s="89"/>
      <c r="X823" s="120"/>
      <c r="Y823" s="120"/>
      <c r="Z823" s="120"/>
      <c r="AA823" s="117"/>
      <c r="AB823" s="117"/>
      <c r="AC823" s="462"/>
      <c r="AD823" s="462"/>
      <c r="AE823" s="462"/>
      <c r="AF823" s="463"/>
      <c r="AG823" s="120"/>
      <c r="AH823" s="493"/>
      <c r="AI823" s="120"/>
      <c r="AJ823" s="120"/>
      <c r="AK823" s="120"/>
      <c r="AL823" s="120"/>
      <c r="AM823" s="120"/>
      <c r="AN823" s="120"/>
      <c r="AO823" s="120"/>
      <c r="AP823" s="120"/>
      <c r="AQ823" s="120"/>
      <c r="AR823" s="120"/>
      <c r="AS823" s="120"/>
      <c r="AT823" s="120"/>
      <c r="AU823" s="120"/>
      <c r="AV823" s="128"/>
      <c r="AW823" s="117">
        <f>VLOOKUP($D823,'WB Data'!$C$3:$M$578,2,FALSE)</f>
        <v>188048960311.22461</v>
      </c>
      <c r="AX823" s="117">
        <f>VLOOKUP($D823,'WB Data'!$C$3:$M$578,3,FALSE)</f>
        <v>16556600</v>
      </c>
      <c r="AY823" s="847" t="str">
        <f t="shared" si="135"/>
        <v>..</v>
      </c>
      <c r="AZ823" s="117" t="e">
        <f>VLOOKUP($D823,'WB Data'!$C$3:$M$578,4,FALSE)/100</f>
        <v>#VALUE!</v>
      </c>
      <c r="BA823" s="117" t="str">
        <f t="shared" si="136"/>
        <v>..</v>
      </c>
      <c r="BB823" s="129" t="str">
        <f>IFERROR(VLOOKUP($D823,'EITI Revenues'!$C$2:$G$224,5,FALSE),"..")</f>
        <v>..</v>
      </c>
      <c r="BC823" s="846" t="str">
        <f t="shared" si="137"/>
        <v>..</v>
      </c>
      <c r="BD823" s="129">
        <f>VLOOKUP($D823,'WB Data 2'!$C$2:$K$545,6,FALSE)</f>
        <v>72314639999.574051</v>
      </c>
      <c r="BE823" s="129">
        <f>IFERROR(VLOOKUP($D823,UNCTAD!$C$5:$V$529,4,FALSE),"..")</f>
        <v>89531640000</v>
      </c>
      <c r="BF823" s="846">
        <f t="shared" si="138"/>
        <v>0.80769926698063443</v>
      </c>
      <c r="BG823" s="117">
        <f>VLOOKUP($D823,'WB Data'!$C$3:$M$578,5,FALSE)</f>
        <v>215510000</v>
      </c>
      <c r="BH823" s="129" t="str">
        <f>IFERROR($BB823/$BG823,"..")</f>
        <v>..</v>
      </c>
      <c r="BI823" s="117" t="str">
        <f>IFERROR(VLOOKUP($D823,'WB Data'!$C$3:$M$578,7,FALSE)/100,"..")</f>
        <v>..</v>
      </c>
      <c r="BJ823" s="117" t="str">
        <f>IFERROR($BI823*$AW823,"..")</f>
        <v>..</v>
      </c>
      <c r="BK823" s="846" t="str">
        <f>IFERROR($BB823/$BJ823,"..")</f>
        <v>..</v>
      </c>
      <c r="BL823" s="117" t="str">
        <f>IFERROR(VLOOKUP($D823,'WB Data'!$C$3:$M$578,7,FALSE)/100,"..")</f>
        <v>..</v>
      </c>
      <c r="BM823" s="117" t="str">
        <f>IFERROR($AW823*$BL823,"..")</f>
        <v>..</v>
      </c>
      <c r="BN823" s="846" t="str">
        <f>IFERROR($BB823/$BM823,"..")</f>
        <v>..</v>
      </c>
      <c r="BO823" s="801">
        <f t="shared" si="134"/>
        <v>29</v>
      </c>
      <c r="BP823" s="117">
        <f>VLOOKUP($D823,'WB Data'!$C$3:$M$578,9,FALSE)</f>
        <v>5.5</v>
      </c>
      <c r="BQ823" s="117">
        <f>VLOOKUP($D823,'WB Data'!$C$3:$M$578,10,FALSE)</f>
        <v>68.98</v>
      </c>
      <c r="BR823" s="117">
        <f>VLOOKUP($D823,'WB Data'!$C$3:$M$578,11,FALSE)</f>
        <v>17.600000000000001</v>
      </c>
      <c r="BS823" s="129">
        <f>IFERROR(VLOOKUP($D823,'WB Data 2'!$C$2:$K$545,9,FALSE),"..")</f>
        <v>98.239959999999996</v>
      </c>
      <c r="BT823" s="129">
        <f>_xlfn.IFNA(VLOOKUP($C823,RGI!$A$2:$C$43,2,FALSE),"..")</f>
        <v>77.5</v>
      </c>
      <c r="BU823" s="129">
        <f>_xlfn.IFNA(VLOOKUP($C823,RGI!$A$2:$C$43,3,FALSE),"..")</f>
        <v>57.362887635782535</v>
      </c>
      <c r="BV823" s="129">
        <f>VLOOKUP($D823,WGI!$C$2:$O$478,7,FALSE)</f>
        <v>-1.0947582948953301</v>
      </c>
      <c r="BW823" s="129">
        <f>VLOOKUP($D823,WGI!$C$2:$O$478,4,FALSE)</f>
        <v>-0.32042900556192899</v>
      </c>
      <c r="BX823" s="129">
        <f>VLOOKUP($D823,WGI!$C$2:$O$478,3,FALSE)</f>
        <v>-0.42630117376099602</v>
      </c>
      <c r="BY823" s="129">
        <f>VLOOKUP($D823,WGI!$C$2:$O$478,5,FALSE)</f>
        <v>-0.25995175471842702</v>
      </c>
      <c r="BZ823" s="129">
        <f>VLOOKUP($D823,WGI!$C$2:$O$478,2,FALSE)</f>
        <v>-0.97820473728264901</v>
      </c>
    </row>
    <row r="824" spans="1:80" s="158" customFormat="1" ht="15" customHeight="1">
      <c r="A824" s="282" t="s">
        <v>277</v>
      </c>
      <c r="B824" s="149">
        <v>2011</v>
      </c>
      <c r="C824" s="117" t="s">
        <v>280</v>
      </c>
      <c r="D824" s="117" t="s">
        <v>3702</v>
      </c>
      <c r="E824" s="453" t="s">
        <v>39</v>
      </c>
      <c r="F824" s="149"/>
      <c r="G824" s="149" t="s">
        <v>24</v>
      </c>
      <c r="H824" s="149" t="str">
        <f t="shared" si="130"/>
        <v>yes</v>
      </c>
      <c r="I824" s="149" t="str">
        <f t="shared" si="131"/>
        <v>no</v>
      </c>
      <c r="J824" s="149" t="str">
        <f t="shared" si="132"/>
        <v>no</v>
      </c>
      <c r="K824" s="158" t="s">
        <v>1442</v>
      </c>
      <c r="L824" s="149" t="str">
        <f t="shared" si="139"/>
        <v>detailed</v>
      </c>
      <c r="M824" s="149" t="str">
        <f t="shared" si="133"/>
        <v>detailed Mining</v>
      </c>
      <c r="N824" s="152">
        <v>319752</v>
      </c>
      <c r="O824" s="152"/>
      <c r="P824" s="152"/>
      <c r="Q824" s="152"/>
      <c r="R824" s="152"/>
      <c r="S824" s="152" t="s">
        <v>610</v>
      </c>
      <c r="T824" s="151"/>
      <c r="V824" s="149" t="s">
        <v>847</v>
      </c>
      <c r="W824" s="152"/>
      <c r="AA824" s="149"/>
      <c r="AB824" s="149"/>
      <c r="AC824" s="494"/>
      <c r="AD824" s="494"/>
      <c r="AE824" s="494"/>
      <c r="AF824" s="495"/>
      <c r="AH824" s="496"/>
      <c r="AV824" s="157"/>
      <c r="AW824" s="117">
        <f>VLOOKUP($D824,'WB Data'!$C$3:$M$578,2,FALSE)</f>
        <v>188048960311.22461</v>
      </c>
      <c r="AX824" s="117">
        <f>VLOOKUP($D824,'WB Data'!$C$3:$M$578,3,FALSE)</f>
        <v>16556600</v>
      </c>
      <c r="AY824" s="847" t="str">
        <f t="shared" si="135"/>
        <v>..</v>
      </c>
      <c r="AZ824" s="117" t="e">
        <f>VLOOKUP($D824,'WB Data'!$C$3:$M$578,4,FALSE)/100</f>
        <v>#VALUE!</v>
      </c>
      <c r="BA824" s="117" t="str">
        <f t="shared" si="136"/>
        <v>..</v>
      </c>
      <c r="BB824" s="129" t="str">
        <f>IFERROR(VLOOKUP($D824,'EITI Revenues'!$C$2:$G$224,5,FALSE),"..")</f>
        <v>..</v>
      </c>
      <c r="BC824" s="846" t="str">
        <f t="shared" si="137"/>
        <v>..</v>
      </c>
      <c r="BD824" s="129">
        <f>VLOOKUP($D824,'WB Data 2'!$C$2:$K$545,6,FALSE)</f>
        <v>72314639999.574051</v>
      </c>
      <c r="BE824" s="129">
        <f>IFERROR(VLOOKUP($D824,UNCTAD!$C$5:$V$529,4,FALSE),"..")</f>
        <v>89531640000</v>
      </c>
      <c r="BF824" s="846">
        <f t="shared" si="138"/>
        <v>0.80769926698063443</v>
      </c>
      <c r="BG824" s="117">
        <f>VLOOKUP($D824,'WB Data'!$C$3:$M$578,5,FALSE)</f>
        <v>215510000</v>
      </c>
      <c r="BH824" s="129" t="str">
        <f>IFERROR($BB824/$BG824,"..")</f>
        <v>..</v>
      </c>
      <c r="BI824" s="117" t="str">
        <f>IFERROR(VLOOKUP($D824,'WB Data'!$C$3:$M$578,7,FALSE)/100,"..")</f>
        <v>..</v>
      </c>
      <c r="BJ824" s="117" t="str">
        <f>IFERROR($BI824*$AW824,"..")</f>
        <v>..</v>
      </c>
      <c r="BK824" s="846" t="str">
        <f>IFERROR($BB824/$BJ824,"..")</f>
        <v>..</v>
      </c>
      <c r="BL824" s="117" t="str">
        <f>IFERROR(VLOOKUP($D824,'WB Data'!$C$3:$M$578,7,FALSE)/100,"..")</f>
        <v>..</v>
      </c>
      <c r="BM824" s="117" t="str">
        <f>IFERROR($AW824*$BL824,"..")</f>
        <v>..</v>
      </c>
      <c r="BN824" s="846" t="str">
        <f>IFERROR($BB824/$BM824,"..")</f>
        <v>..</v>
      </c>
      <c r="BO824" s="801">
        <f t="shared" si="134"/>
        <v>29</v>
      </c>
      <c r="BP824" s="117">
        <f>VLOOKUP($D824,'WB Data'!$C$3:$M$578,9,FALSE)</f>
        <v>5.5</v>
      </c>
      <c r="BQ824" s="117">
        <f>VLOOKUP($D824,'WB Data'!$C$3:$M$578,10,FALSE)</f>
        <v>68.98</v>
      </c>
      <c r="BR824" s="117">
        <f>VLOOKUP($D824,'WB Data'!$C$3:$M$578,11,FALSE)</f>
        <v>17.600000000000001</v>
      </c>
      <c r="BS824" s="129">
        <f>IFERROR(VLOOKUP($D824,'WB Data 2'!$C$2:$K$545,9,FALSE),"..")</f>
        <v>98.239959999999996</v>
      </c>
      <c r="BT824" s="129">
        <f>_xlfn.IFNA(VLOOKUP($C824,RGI!$A$2:$C$43,2,FALSE),"..")</f>
        <v>77.5</v>
      </c>
      <c r="BU824" s="129">
        <f>_xlfn.IFNA(VLOOKUP($C824,RGI!$A$2:$C$43,3,FALSE),"..")</f>
        <v>57.362887635782535</v>
      </c>
      <c r="BV824" s="129">
        <f>VLOOKUP($D824,WGI!$C$2:$O$478,7,FALSE)</f>
        <v>-1.0947582948953301</v>
      </c>
      <c r="BW824" s="129">
        <f>VLOOKUP($D824,WGI!$C$2:$O$478,4,FALSE)</f>
        <v>-0.32042900556192899</v>
      </c>
      <c r="BX824" s="129">
        <f>VLOOKUP($D824,WGI!$C$2:$O$478,3,FALSE)</f>
        <v>-0.42630117376099602</v>
      </c>
      <c r="BY824" s="129">
        <f>VLOOKUP($D824,WGI!$C$2:$O$478,5,FALSE)</f>
        <v>-0.25995175471842702</v>
      </c>
      <c r="BZ824" s="129">
        <f>VLOOKUP($D824,WGI!$C$2:$O$478,2,FALSE)</f>
        <v>-0.97820473728264901</v>
      </c>
      <c r="CB824" s="129"/>
    </row>
    <row r="825" spans="1:80" ht="15" customHeight="1">
      <c r="A825" s="289" t="s">
        <v>279</v>
      </c>
      <c r="B825" s="146">
        <v>2012</v>
      </c>
      <c r="C825" s="117" t="s">
        <v>280</v>
      </c>
      <c r="D825" s="117" t="s">
        <v>3736</v>
      </c>
      <c r="E825" s="146" t="s">
        <v>39</v>
      </c>
      <c r="F825" s="146" t="s">
        <v>1467</v>
      </c>
      <c r="G825" s="146" t="s">
        <v>35</v>
      </c>
      <c r="H825" s="146"/>
      <c r="I825" s="146"/>
      <c r="J825" s="146"/>
      <c r="K825" s="146" t="s">
        <v>709</v>
      </c>
      <c r="L825" s="146"/>
      <c r="M825" s="146"/>
      <c r="N825" s="146"/>
      <c r="O825" s="754"/>
      <c r="P825" s="754"/>
      <c r="Q825" s="754"/>
      <c r="R825" s="754"/>
      <c r="S825" s="754"/>
      <c r="T825" s="146"/>
      <c r="U825" s="119"/>
      <c r="V825" s="146" t="s">
        <v>725</v>
      </c>
      <c r="W825" s="146"/>
      <c r="X825" s="146" t="s">
        <v>1468</v>
      </c>
      <c r="Y825" s="146" t="s">
        <v>602</v>
      </c>
      <c r="Z825" s="146" t="s">
        <v>664</v>
      </c>
      <c r="AA825" s="760">
        <v>30672394366</v>
      </c>
      <c r="AB825" s="760">
        <v>30665150905</v>
      </c>
      <c r="AC825" s="120"/>
      <c r="AD825" s="120"/>
      <c r="AE825" s="756"/>
      <c r="AF825" s="240"/>
      <c r="AG825" s="146" t="s">
        <v>1469</v>
      </c>
      <c r="AH825" s="759">
        <v>149.1</v>
      </c>
      <c r="AI825" s="146" t="s">
        <v>722</v>
      </c>
      <c r="AJ825" s="120"/>
      <c r="AK825" s="120"/>
      <c r="AL825" s="146"/>
      <c r="AM825" s="760"/>
      <c r="AN825" s="146"/>
      <c r="AO825" s="146"/>
      <c r="AP825" s="146">
        <v>158</v>
      </c>
      <c r="AQ825" s="239" t="s">
        <v>550</v>
      </c>
      <c r="AR825" s="780">
        <v>42074</v>
      </c>
      <c r="AS825" s="146" t="s">
        <v>1470</v>
      </c>
      <c r="AT825" s="781" t="s">
        <v>281</v>
      </c>
      <c r="AU825" s="120"/>
      <c r="AV825" s="128" t="s">
        <v>1471</v>
      </c>
      <c r="AW825" s="117">
        <f>VLOOKUP($D825,'WB Data'!$C$3:$M$578,2,FALSE)</f>
        <v>203517198088.69141</v>
      </c>
      <c r="AX825" s="117">
        <f>VLOOKUP($D825,'WB Data'!$C$3:$M$578,3,FALSE)</f>
        <v>16791425</v>
      </c>
      <c r="AY825" s="847">
        <f t="shared" si="135"/>
        <v>0.15071155977999059</v>
      </c>
      <c r="AZ825" s="117" t="e">
        <f>VLOOKUP($D825,'WB Data'!$C$3:$M$578,4,FALSE)/100</f>
        <v>#VALUE!</v>
      </c>
      <c r="BA825" s="117" t="str">
        <f t="shared" si="136"/>
        <v>..</v>
      </c>
      <c r="BB825" s="129">
        <f>IFERROR(VLOOKUP($D825,'EITI Revenues'!$C$2:$G$224,5,FALSE),"..")</f>
        <v>30672394366</v>
      </c>
      <c r="BC825" s="846" t="str">
        <f t="shared" si="137"/>
        <v>..</v>
      </c>
      <c r="BD825" s="129">
        <f>VLOOKUP($D825,'WB Data 2'!$C$2:$K$545,6,FALSE)</f>
        <v>72241491181.059692</v>
      </c>
      <c r="BE825" s="129">
        <f>IFERROR(VLOOKUP($D825,UNCTAD!$C$5:$V$529,4,FALSE),"..")</f>
        <v>91759340000</v>
      </c>
      <c r="BF825" s="846">
        <f t="shared" si="138"/>
        <v>0.78729305573753794</v>
      </c>
      <c r="BG825" s="117">
        <f>VLOOKUP($D825,'WB Data'!$C$3:$M$578,5,FALSE)</f>
        <v>129639999.99999999</v>
      </c>
      <c r="BH825" s="129">
        <f>IFERROR($BB825/$BG825,"..")</f>
        <v>236.59668594569581</v>
      </c>
      <c r="BI825" s="117" t="str">
        <f>IFERROR(VLOOKUP($D825,'WB Data'!$C$3:$M$578,7,FALSE)/100,"..")</f>
        <v>..</v>
      </c>
      <c r="BJ825" s="117" t="str">
        <f>IFERROR($BI825*$AW825,"..")</f>
        <v>..</v>
      </c>
      <c r="BK825" s="846" t="str">
        <f>IFERROR($BB825/$BJ825,"..")</f>
        <v>..</v>
      </c>
      <c r="BL825" s="117" t="str">
        <f>IFERROR(VLOOKUP($D825,'WB Data'!$C$3:$M$578,7,FALSE)/100,"..")</f>
        <v>..</v>
      </c>
      <c r="BM825" s="117" t="str">
        <f>IFERROR($AW825*$BL825,"..")</f>
        <v>..</v>
      </c>
      <c r="BN825" s="846" t="str">
        <f>IFERROR($BB825/$BM825,"..")</f>
        <v>..</v>
      </c>
      <c r="BO825" s="801">
        <f t="shared" si="134"/>
        <v>29</v>
      </c>
      <c r="BP825" s="117">
        <f>VLOOKUP($D825,'WB Data'!$C$3:$M$578,9,FALSE)</f>
        <v>3.8</v>
      </c>
      <c r="BQ825" s="117">
        <f>VLOOKUP($D825,'WB Data'!$C$3:$M$578,10,FALSE)</f>
        <v>69.61</v>
      </c>
      <c r="BR825" s="117">
        <f>VLOOKUP($D825,'WB Data'!$C$3:$M$578,11,FALSE)</f>
        <v>16</v>
      </c>
      <c r="BS825" s="129">
        <f>IFERROR(VLOOKUP($D825,'WB Data 2'!$C$2:$K$545,9,FALSE),"..")</f>
        <v>98.947940000000003</v>
      </c>
      <c r="BT825" s="129">
        <f>_xlfn.IFNA(VLOOKUP($C825,RGI!$A$2:$C$43,2,FALSE),"..")</f>
        <v>77.5</v>
      </c>
      <c r="BU825" s="129">
        <f>_xlfn.IFNA(VLOOKUP($C825,RGI!$A$2:$C$43,3,FALSE),"..")</f>
        <v>57.362887635782535</v>
      </c>
      <c r="BV825" s="129">
        <f>VLOOKUP($D825,WGI!$C$2:$O$478,7,FALSE)</f>
        <v>-1.1496385941857801</v>
      </c>
      <c r="BW825" s="129">
        <f>VLOOKUP($D825,WGI!$C$2:$O$478,4,FALSE)</f>
        <v>-0.37452632023538601</v>
      </c>
      <c r="BX825" s="129">
        <f>VLOOKUP($D825,WGI!$C$2:$O$478,3,FALSE)</f>
        <v>-0.44134623486097901</v>
      </c>
      <c r="BY825" s="129">
        <f>VLOOKUP($D825,WGI!$C$2:$O$478,5,FALSE)</f>
        <v>-0.38661082404664399</v>
      </c>
      <c r="BZ825" s="129">
        <f>VLOOKUP($D825,WGI!$C$2:$O$478,2,FALSE)</f>
        <v>-0.88344460269611702</v>
      </c>
    </row>
    <row r="826" spans="1:80" ht="15" customHeight="1">
      <c r="A826" s="289" t="s">
        <v>279</v>
      </c>
      <c r="B826" s="146">
        <v>2012</v>
      </c>
      <c r="C826" s="117" t="s">
        <v>280</v>
      </c>
      <c r="D826" s="117" t="s">
        <v>3736</v>
      </c>
      <c r="E826" s="146" t="s">
        <v>39</v>
      </c>
      <c r="F826" s="146"/>
      <c r="G826" s="146" t="s">
        <v>103</v>
      </c>
      <c r="H826" s="146"/>
      <c r="I826" s="146"/>
      <c r="J826" s="146"/>
      <c r="K826" s="146" t="s">
        <v>103</v>
      </c>
      <c r="L826" s="146"/>
      <c r="M826" s="146"/>
      <c r="N826" s="120"/>
      <c r="O826" s="754"/>
      <c r="P826" s="754"/>
      <c r="Q826" s="760">
        <v>79200000</v>
      </c>
      <c r="R826" s="754"/>
      <c r="S826" s="146" t="s">
        <v>610</v>
      </c>
      <c r="T826" s="120"/>
      <c r="U826" s="119"/>
      <c r="V826" s="146"/>
      <c r="W826" s="146"/>
      <c r="X826" s="757"/>
      <c r="Y826" s="760"/>
      <c r="Z826" s="146"/>
      <c r="AA826" s="146"/>
      <c r="AB826" s="146"/>
      <c r="AC826" s="146"/>
      <c r="AD826" s="146"/>
      <c r="AE826" s="756"/>
      <c r="AF826" s="756"/>
      <c r="AG826" s="756"/>
      <c r="AH826" s="758"/>
      <c r="AI826" s="146"/>
      <c r="AJ826" s="759"/>
      <c r="AK826" s="146"/>
      <c r="AL826" s="146"/>
      <c r="AM826" s="760"/>
      <c r="AN826" s="146"/>
      <c r="AO826" s="146"/>
      <c r="AP826" s="117"/>
      <c r="AQ826" s="146"/>
      <c r="AR826" s="146"/>
      <c r="AS826" s="767"/>
      <c r="AT826" s="146"/>
      <c r="AU826" s="146"/>
      <c r="AV826" s="782"/>
      <c r="AW826" s="117">
        <f>VLOOKUP($D826,'WB Data'!$C$3:$M$578,2,FALSE)</f>
        <v>203517198088.69141</v>
      </c>
      <c r="AX826" s="117">
        <f>VLOOKUP($D826,'WB Data'!$C$3:$M$578,3,FALSE)</f>
        <v>16791425</v>
      </c>
      <c r="AY826" s="847">
        <f t="shared" si="135"/>
        <v>0.15071155977999059</v>
      </c>
      <c r="AZ826" s="117" t="e">
        <f>VLOOKUP($D826,'WB Data'!$C$3:$M$578,4,FALSE)/100</f>
        <v>#VALUE!</v>
      </c>
      <c r="BA826" s="117" t="str">
        <f t="shared" si="136"/>
        <v>..</v>
      </c>
      <c r="BB826" s="129">
        <f>IFERROR(VLOOKUP($D826,'EITI Revenues'!$C$2:$G$224,5,FALSE),"..")</f>
        <v>30672394366</v>
      </c>
      <c r="BC826" s="846" t="str">
        <f t="shared" si="137"/>
        <v>..</v>
      </c>
      <c r="BD826" s="129">
        <f>VLOOKUP($D826,'WB Data 2'!$C$2:$K$545,6,FALSE)</f>
        <v>72241491181.059692</v>
      </c>
      <c r="BE826" s="129">
        <f>IFERROR(VLOOKUP($D826,UNCTAD!$C$5:$V$529,4,FALSE),"..")</f>
        <v>91759340000</v>
      </c>
      <c r="BF826" s="846">
        <f t="shared" si="138"/>
        <v>0.78729305573753794</v>
      </c>
      <c r="BG826" s="117">
        <f>VLOOKUP($D826,'WB Data'!$C$3:$M$578,5,FALSE)</f>
        <v>129639999.99999999</v>
      </c>
      <c r="BH826" s="129">
        <f>IFERROR($BB826/$BG826,"..")</f>
        <v>236.59668594569581</v>
      </c>
      <c r="BI826" s="117" t="str">
        <f>IFERROR(VLOOKUP($D826,'WB Data'!$C$3:$M$578,7,FALSE)/100,"..")</f>
        <v>..</v>
      </c>
      <c r="BJ826" s="117" t="str">
        <f>IFERROR($BI826*$AW826,"..")</f>
        <v>..</v>
      </c>
      <c r="BK826" s="846" t="str">
        <f>IFERROR($BB826/$BJ826,"..")</f>
        <v>..</v>
      </c>
      <c r="BL826" s="117" t="str">
        <f>IFERROR(VLOOKUP($D826,'WB Data'!$C$3:$M$578,7,FALSE)/100,"..")</f>
        <v>..</v>
      </c>
      <c r="BM826" s="117" t="str">
        <f>IFERROR($AW826*$BL826,"..")</f>
        <v>..</v>
      </c>
      <c r="BN826" s="846" t="str">
        <f>IFERROR($BB826/$BM826,"..")</f>
        <v>..</v>
      </c>
      <c r="BO826" s="801">
        <f t="shared" si="134"/>
        <v>29</v>
      </c>
      <c r="BP826" s="117">
        <f>VLOOKUP($D826,'WB Data'!$C$3:$M$578,9,FALSE)</f>
        <v>3.8</v>
      </c>
      <c r="BQ826" s="117">
        <f>VLOOKUP($D826,'WB Data'!$C$3:$M$578,10,FALSE)</f>
        <v>69.61</v>
      </c>
      <c r="BR826" s="117">
        <f>VLOOKUP($D826,'WB Data'!$C$3:$M$578,11,FALSE)</f>
        <v>16</v>
      </c>
      <c r="BS826" s="129">
        <f>IFERROR(VLOOKUP($D826,'WB Data 2'!$C$2:$K$545,9,FALSE),"..")</f>
        <v>98.947940000000003</v>
      </c>
      <c r="BT826" s="129">
        <f>_xlfn.IFNA(VLOOKUP($C826,RGI!$A$2:$C$43,2,FALSE),"..")</f>
        <v>77.5</v>
      </c>
      <c r="BU826" s="129">
        <f>_xlfn.IFNA(VLOOKUP($C826,RGI!$A$2:$C$43,3,FALSE),"..")</f>
        <v>57.362887635782535</v>
      </c>
      <c r="BV826" s="129">
        <f>VLOOKUP($D826,WGI!$C$2:$O$478,7,FALSE)</f>
        <v>-1.1496385941857801</v>
      </c>
      <c r="BW826" s="129">
        <f>VLOOKUP($D826,WGI!$C$2:$O$478,4,FALSE)</f>
        <v>-0.37452632023538601</v>
      </c>
      <c r="BX826" s="129">
        <f>VLOOKUP($D826,WGI!$C$2:$O$478,3,FALSE)</f>
        <v>-0.44134623486097901</v>
      </c>
      <c r="BY826" s="129">
        <f>VLOOKUP($D826,WGI!$C$2:$O$478,5,FALSE)</f>
        <v>-0.38661082404664399</v>
      </c>
      <c r="BZ826" s="129">
        <f>VLOOKUP($D826,WGI!$C$2:$O$478,2,FALSE)</f>
        <v>-0.88344460269611702</v>
      </c>
    </row>
    <row r="827" spans="1:80" ht="15" customHeight="1">
      <c r="A827" s="289" t="s">
        <v>279</v>
      </c>
      <c r="B827" s="146">
        <v>2012</v>
      </c>
      <c r="C827" s="117" t="s">
        <v>280</v>
      </c>
      <c r="D827" s="117" t="s">
        <v>3736</v>
      </c>
      <c r="E827" s="146" t="s">
        <v>39</v>
      </c>
      <c r="F827" s="146"/>
      <c r="G827" s="146" t="s">
        <v>561</v>
      </c>
      <c r="H827" s="146"/>
      <c r="I827" s="146"/>
      <c r="J827" s="146"/>
      <c r="K827" s="146" t="s">
        <v>561</v>
      </c>
      <c r="L827" s="146"/>
      <c r="M827" s="146"/>
      <c r="N827" s="120"/>
      <c r="O827" s="754"/>
      <c r="P827" s="754"/>
      <c r="Q827" s="760">
        <v>40300000000</v>
      </c>
      <c r="R827" s="754"/>
      <c r="S827" s="117" t="s">
        <v>642</v>
      </c>
      <c r="T827" s="120"/>
      <c r="U827" s="119"/>
      <c r="V827" s="146"/>
      <c r="W827" s="146"/>
      <c r="X827" s="146"/>
      <c r="Y827" s="760"/>
      <c r="Z827" s="146"/>
      <c r="AA827" s="146"/>
      <c r="AB827" s="146"/>
      <c r="AC827" s="146"/>
      <c r="AD827" s="146"/>
      <c r="AE827" s="756"/>
      <c r="AF827" s="756"/>
      <c r="AG827" s="756"/>
      <c r="AH827" s="758"/>
      <c r="AI827" s="146"/>
      <c r="AJ827" s="759"/>
      <c r="AK827" s="146"/>
      <c r="AL827" s="146"/>
      <c r="AM827" s="760"/>
      <c r="AN827" s="146"/>
      <c r="AO827" s="146"/>
      <c r="AP827" s="146"/>
      <c r="AQ827" s="146"/>
      <c r="AR827" s="146"/>
      <c r="AS827" s="146"/>
      <c r="AT827" s="146"/>
      <c r="AU827" s="146"/>
      <c r="AV827" s="782"/>
      <c r="AW827" s="117">
        <f>VLOOKUP($D827,'WB Data'!$C$3:$M$578,2,FALSE)</f>
        <v>203517198088.69141</v>
      </c>
      <c r="AX827" s="117">
        <f>VLOOKUP($D827,'WB Data'!$C$3:$M$578,3,FALSE)</f>
        <v>16791425</v>
      </c>
      <c r="AY827" s="847">
        <f t="shared" si="135"/>
        <v>0.15071155977999059</v>
      </c>
      <c r="AZ827" s="117" t="e">
        <f>VLOOKUP($D827,'WB Data'!$C$3:$M$578,4,FALSE)/100</f>
        <v>#VALUE!</v>
      </c>
      <c r="BA827" s="117" t="str">
        <f t="shared" si="136"/>
        <v>..</v>
      </c>
      <c r="BB827" s="129">
        <f>IFERROR(VLOOKUP($D827,'EITI Revenues'!$C$2:$G$224,5,FALSE),"..")</f>
        <v>30672394366</v>
      </c>
      <c r="BC827" s="846" t="str">
        <f t="shared" si="137"/>
        <v>..</v>
      </c>
      <c r="BD827" s="129">
        <f>VLOOKUP($D827,'WB Data 2'!$C$2:$K$545,6,FALSE)</f>
        <v>72241491181.059692</v>
      </c>
      <c r="BE827" s="129">
        <f>IFERROR(VLOOKUP($D827,UNCTAD!$C$5:$V$529,4,FALSE),"..")</f>
        <v>91759340000</v>
      </c>
      <c r="BF827" s="846">
        <f t="shared" si="138"/>
        <v>0.78729305573753794</v>
      </c>
      <c r="BG827" s="117">
        <f>VLOOKUP($D827,'WB Data'!$C$3:$M$578,5,FALSE)</f>
        <v>129639999.99999999</v>
      </c>
      <c r="BH827" s="129">
        <f>IFERROR($BB827/$BG827,"..")</f>
        <v>236.59668594569581</v>
      </c>
      <c r="BI827" s="117" t="str">
        <f>IFERROR(VLOOKUP($D827,'WB Data'!$C$3:$M$578,7,FALSE)/100,"..")</f>
        <v>..</v>
      </c>
      <c r="BJ827" s="117" t="str">
        <f>IFERROR($BI827*$AW827,"..")</f>
        <v>..</v>
      </c>
      <c r="BK827" s="846" t="str">
        <f>IFERROR($BB827/$BJ827,"..")</f>
        <v>..</v>
      </c>
      <c r="BL827" s="117" t="str">
        <f>IFERROR(VLOOKUP($D827,'WB Data'!$C$3:$M$578,7,FALSE)/100,"..")</f>
        <v>..</v>
      </c>
      <c r="BM827" s="117" t="str">
        <f>IFERROR($AW827*$BL827,"..")</f>
        <v>..</v>
      </c>
      <c r="BN827" s="846" t="str">
        <f>IFERROR($BB827/$BM827,"..")</f>
        <v>..</v>
      </c>
      <c r="BO827" s="801">
        <f t="shared" si="134"/>
        <v>29</v>
      </c>
      <c r="BP827" s="117">
        <f>VLOOKUP($D827,'WB Data'!$C$3:$M$578,9,FALSE)</f>
        <v>3.8</v>
      </c>
      <c r="BQ827" s="117">
        <f>VLOOKUP($D827,'WB Data'!$C$3:$M$578,10,FALSE)</f>
        <v>69.61</v>
      </c>
      <c r="BR827" s="117">
        <f>VLOOKUP($D827,'WB Data'!$C$3:$M$578,11,FALSE)</f>
        <v>16</v>
      </c>
      <c r="BS827" s="129">
        <f>IFERROR(VLOOKUP($D827,'WB Data 2'!$C$2:$K$545,9,FALSE),"..")</f>
        <v>98.947940000000003</v>
      </c>
      <c r="BT827" s="129">
        <f>_xlfn.IFNA(VLOOKUP($C827,RGI!$A$2:$C$43,2,FALSE),"..")</f>
        <v>77.5</v>
      </c>
      <c r="BU827" s="129">
        <f>_xlfn.IFNA(VLOOKUP($C827,RGI!$A$2:$C$43,3,FALSE),"..")</f>
        <v>57.362887635782535</v>
      </c>
      <c r="BV827" s="129">
        <f>VLOOKUP($D827,WGI!$C$2:$O$478,7,FALSE)</f>
        <v>-1.1496385941857801</v>
      </c>
      <c r="BW827" s="129">
        <f>VLOOKUP($D827,WGI!$C$2:$O$478,4,FALSE)</f>
        <v>-0.37452632023538601</v>
      </c>
      <c r="BX827" s="129">
        <f>VLOOKUP($D827,WGI!$C$2:$O$478,3,FALSE)</f>
        <v>-0.44134623486097901</v>
      </c>
      <c r="BY827" s="129">
        <f>VLOOKUP($D827,WGI!$C$2:$O$478,5,FALSE)</f>
        <v>-0.38661082404664399</v>
      </c>
      <c r="BZ827" s="129">
        <f>VLOOKUP($D827,WGI!$C$2:$O$478,2,FALSE)</f>
        <v>-0.88344460269611702</v>
      </c>
    </row>
    <row r="828" spans="1:80" ht="15" customHeight="1">
      <c r="A828" s="289" t="s">
        <v>279</v>
      </c>
      <c r="B828" s="146">
        <v>2012</v>
      </c>
      <c r="C828" s="117" t="s">
        <v>280</v>
      </c>
      <c r="D828" s="117" t="s">
        <v>3736</v>
      </c>
      <c r="E828" s="146" t="s">
        <v>39</v>
      </c>
      <c r="F828" s="146"/>
      <c r="G828" s="763" t="s">
        <v>24</v>
      </c>
      <c r="H828" s="763" t="s">
        <v>709</v>
      </c>
      <c r="I828" s="146"/>
      <c r="J828" s="146"/>
      <c r="K828" s="146" t="s">
        <v>709</v>
      </c>
      <c r="L828" s="146"/>
      <c r="M828" s="146"/>
      <c r="N828" s="120"/>
      <c r="O828" s="754"/>
      <c r="P828" s="754"/>
      <c r="Q828" s="146"/>
      <c r="R828" s="754"/>
      <c r="S828" s="146"/>
      <c r="T828" s="120"/>
      <c r="U828" s="119"/>
      <c r="V828" s="146"/>
      <c r="W828" s="146"/>
      <c r="X828" s="146"/>
      <c r="Y828" s="760"/>
      <c r="Z828" s="783"/>
      <c r="AA828" s="146"/>
      <c r="AB828" s="146"/>
      <c r="AC828" s="146"/>
      <c r="AD828" s="146"/>
      <c r="AE828" s="756"/>
      <c r="AF828" s="756"/>
      <c r="AG828" s="756"/>
      <c r="AH828" s="758"/>
      <c r="AI828" s="146"/>
      <c r="AJ828" s="759"/>
      <c r="AK828" s="146"/>
      <c r="AL828" s="146"/>
      <c r="AM828" s="760"/>
      <c r="AN828" s="146"/>
      <c r="AO828" s="146"/>
      <c r="AP828" s="146"/>
      <c r="AQ828" s="146"/>
      <c r="AR828" s="146"/>
      <c r="AS828" s="146"/>
      <c r="AT828" s="146"/>
      <c r="AU828" s="146"/>
      <c r="AV828" s="782"/>
      <c r="AW828" s="117">
        <f>VLOOKUP($D828,'WB Data'!$C$3:$M$578,2,FALSE)</f>
        <v>203517198088.69141</v>
      </c>
      <c r="AX828" s="117">
        <f>VLOOKUP($D828,'WB Data'!$C$3:$M$578,3,FALSE)</f>
        <v>16791425</v>
      </c>
      <c r="AY828" s="847">
        <f t="shared" si="135"/>
        <v>0.15071155977999059</v>
      </c>
      <c r="AZ828" s="117" t="e">
        <f>VLOOKUP($D828,'WB Data'!$C$3:$M$578,4,FALSE)/100</f>
        <v>#VALUE!</v>
      </c>
      <c r="BA828" s="117" t="str">
        <f t="shared" si="136"/>
        <v>..</v>
      </c>
      <c r="BB828" s="129">
        <f>IFERROR(VLOOKUP($D828,'EITI Revenues'!$C$2:$G$224,5,FALSE),"..")</f>
        <v>30672394366</v>
      </c>
      <c r="BC828" s="846" t="str">
        <f t="shared" si="137"/>
        <v>..</v>
      </c>
      <c r="BD828" s="129">
        <f>VLOOKUP($D828,'WB Data 2'!$C$2:$K$545,6,FALSE)</f>
        <v>72241491181.059692</v>
      </c>
      <c r="BE828" s="129">
        <f>IFERROR(VLOOKUP($D828,UNCTAD!$C$5:$V$529,4,FALSE),"..")</f>
        <v>91759340000</v>
      </c>
      <c r="BF828" s="846">
        <f t="shared" si="138"/>
        <v>0.78729305573753794</v>
      </c>
      <c r="BG828" s="117">
        <f>VLOOKUP($D828,'WB Data'!$C$3:$M$578,5,FALSE)</f>
        <v>129639999.99999999</v>
      </c>
      <c r="BH828" s="129">
        <f>IFERROR($BB828/$BG828,"..")</f>
        <v>236.59668594569581</v>
      </c>
      <c r="BI828" s="117" t="str">
        <f>IFERROR(VLOOKUP($D828,'WB Data'!$C$3:$M$578,7,FALSE)/100,"..")</f>
        <v>..</v>
      </c>
      <c r="BJ828" s="117" t="str">
        <f>IFERROR($BI828*$AW828,"..")</f>
        <v>..</v>
      </c>
      <c r="BK828" s="846" t="str">
        <f>IFERROR($BB828/$BJ828,"..")</f>
        <v>..</v>
      </c>
      <c r="BL828" s="117" t="str">
        <f>IFERROR(VLOOKUP($D828,'WB Data'!$C$3:$M$578,7,FALSE)/100,"..")</f>
        <v>..</v>
      </c>
      <c r="BM828" s="117" t="str">
        <f>IFERROR($AW828*$BL828,"..")</f>
        <v>..</v>
      </c>
      <c r="BN828" s="846" t="str">
        <f>IFERROR($BB828/$BM828,"..")</f>
        <v>..</v>
      </c>
      <c r="BO828" s="801">
        <f t="shared" si="134"/>
        <v>29</v>
      </c>
      <c r="BP828" s="117">
        <f>VLOOKUP($D828,'WB Data'!$C$3:$M$578,9,FALSE)</f>
        <v>3.8</v>
      </c>
      <c r="BQ828" s="117">
        <f>VLOOKUP($D828,'WB Data'!$C$3:$M$578,10,FALSE)</f>
        <v>69.61</v>
      </c>
      <c r="BR828" s="117">
        <f>VLOOKUP($D828,'WB Data'!$C$3:$M$578,11,FALSE)</f>
        <v>16</v>
      </c>
      <c r="BS828" s="129">
        <f>IFERROR(VLOOKUP($D828,'WB Data 2'!$C$2:$K$545,9,FALSE),"..")</f>
        <v>98.947940000000003</v>
      </c>
      <c r="BT828" s="129">
        <f>_xlfn.IFNA(VLOOKUP($C828,RGI!$A$2:$C$43,2,FALSE),"..")</f>
        <v>77.5</v>
      </c>
      <c r="BU828" s="129">
        <f>_xlfn.IFNA(VLOOKUP($C828,RGI!$A$2:$C$43,3,FALSE),"..")</f>
        <v>57.362887635782535</v>
      </c>
      <c r="BV828" s="129">
        <f>VLOOKUP($D828,WGI!$C$2:$O$478,7,FALSE)</f>
        <v>-1.1496385941857801</v>
      </c>
      <c r="BW828" s="129">
        <f>VLOOKUP($D828,WGI!$C$2:$O$478,4,FALSE)</f>
        <v>-0.37452632023538601</v>
      </c>
      <c r="BX828" s="129">
        <f>VLOOKUP($D828,WGI!$C$2:$O$478,3,FALSE)</f>
        <v>-0.44134623486097901</v>
      </c>
      <c r="BY828" s="129">
        <f>VLOOKUP($D828,WGI!$C$2:$O$478,5,FALSE)</f>
        <v>-0.38661082404664399</v>
      </c>
      <c r="BZ828" s="129">
        <f>VLOOKUP($D828,WGI!$C$2:$O$478,2,FALSE)</f>
        <v>-0.88344460269611702</v>
      </c>
    </row>
    <row r="829" spans="1:80" ht="15" customHeight="1">
      <c r="A829" s="289" t="s">
        <v>279</v>
      </c>
      <c r="B829" s="146">
        <v>2012</v>
      </c>
      <c r="C829" s="117" t="s">
        <v>280</v>
      </c>
      <c r="D829" s="117" t="s">
        <v>3736</v>
      </c>
      <c r="E829" s="146" t="s">
        <v>39</v>
      </c>
      <c r="F829" s="146"/>
      <c r="G829" s="763" t="s">
        <v>24</v>
      </c>
      <c r="H829" s="763" t="s">
        <v>1466</v>
      </c>
      <c r="I829" s="146"/>
      <c r="J829" s="146"/>
      <c r="K829" s="146" t="s">
        <v>1466</v>
      </c>
      <c r="L829" s="146"/>
      <c r="M829" s="146"/>
      <c r="N829" s="120"/>
      <c r="O829" s="754"/>
      <c r="P829" s="754"/>
      <c r="Q829" s="760">
        <v>21200</v>
      </c>
      <c r="R829" s="754"/>
      <c r="S829" s="146" t="s">
        <v>610</v>
      </c>
      <c r="T829" s="120"/>
      <c r="U829" s="119"/>
      <c r="V829" s="146"/>
      <c r="W829" s="146"/>
      <c r="X829" s="146"/>
      <c r="Y829" s="760"/>
      <c r="Z829" s="784"/>
      <c r="AA829" s="146"/>
      <c r="AB829" s="146"/>
      <c r="AC829" s="146"/>
      <c r="AD829" s="146"/>
      <c r="AE829" s="756"/>
      <c r="AF829" s="756"/>
      <c r="AG829" s="756"/>
      <c r="AH829" s="758"/>
      <c r="AI829" s="146"/>
      <c r="AJ829" s="759"/>
      <c r="AK829" s="146"/>
      <c r="AL829" s="146"/>
      <c r="AM829" s="760"/>
      <c r="AN829" s="146"/>
      <c r="AO829" s="146"/>
      <c r="AP829" s="146"/>
      <c r="AQ829" s="146"/>
      <c r="AR829" s="146"/>
      <c r="AS829" s="146"/>
      <c r="AT829" s="146"/>
      <c r="AU829" s="146"/>
      <c r="AV829" s="782"/>
      <c r="AW829" s="117">
        <f>VLOOKUP($D829,'WB Data'!$C$3:$M$578,2,FALSE)</f>
        <v>203517198088.69141</v>
      </c>
      <c r="AX829" s="117">
        <f>VLOOKUP($D829,'WB Data'!$C$3:$M$578,3,FALSE)</f>
        <v>16791425</v>
      </c>
      <c r="AY829" s="847">
        <f t="shared" si="135"/>
        <v>0.15071155977999059</v>
      </c>
      <c r="AZ829" s="117" t="e">
        <f>VLOOKUP($D829,'WB Data'!$C$3:$M$578,4,FALSE)/100</f>
        <v>#VALUE!</v>
      </c>
      <c r="BA829" s="117" t="str">
        <f t="shared" si="136"/>
        <v>..</v>
      </c>
      <c r="BB829" s="129">
        <f>IFERROR(VLOOKUP($D829,'EITI Revenues'!$C$2:$G$224,5,FALSE),"..")</f>
        <v>30672394366</v>
      </c>
      <c r="BC829" s="846" t="str">
        <f t="shared" si="137"/>
        <v>..</v>
      </c>
      <c r="BD829" s="129">
        <f>VLOOKUP($D829,'WB Data 2'!$C$2:$K$545,6,FALSE)</f>
        <v>72241491181.059692</v>
      </c>
      <c r="BE829" s="129">
        <f>IFERROR(VLOOKUP($D829,UNCTAD!$C$5:$V$529,4,FALSE),"..")</f>
        <v>91759340000</v>
      </c>
      <c r="BF829" s="846">
        <f t="shared" si="138"/>
        <v>0.78729305573753794</v>
      </c>
      <c r="BG829" s="117">
        <f>VLOOKUP($D829,'WB Data'!$C$3:$M$578,5,FALSE)</f>
        <v>129639999.99999999</v>
      </c>
      <c r="BH829" s="129">
        <f>IFERROR($BB829/$BG829,"..")</f>
        <v>236.59668594569581</v>
      </c>
      <c r="BI829" s="117" t="str">
        <f>IFERROR(VLOOKUP($D829,'WB Data'!$C$3:$M$578,7,FALSE)/100,"..")</f>
        <v>..</v>
      </c>
      <c r="BJ829" s="117" t="str">
        <f>IFERROR($BI829*$AW829,"..")</f>
        <v>..</v>
      </c>
      <c r="BK829" s="846" t="str">
        <f>IFERROR($BB829/$BJ829,"..")</f>
        <v>..</v>
      </c>
      <c r="BL829" s="117" t="str">
        <f>IFERROR(VLOOKUP($D829,'WB Data'!$C$3:$M$578,7,FALSE)/100,"..")</f>
        <v>..</v>
      </c>
      <c r="BM829" s="117" t="str">
        <f>IFERROR($AW829*$BL829,"..")</f>
        <v>..</v>
      </c>
      <c r="BN829" s="846" t="str">
        <f>IFERROR($BB829/$BM829,"..")</f>
        <v>..</v>
      </c>
      <c r="BO829" s="801">
        <f t="shared" si="134"/>
        <v>29</v>
      </c>
      <c r="BP829" s="117">
        <f>VLOOKUP($D829,'WB Data'!$C$3:$M$578,9,FALSE)</f>
        <v>3.8</v>
      </c>
      <c r="BQ829" s="117">
        <f>VLOOKUP($D829,'WB Data'!$C$3:$M$578,10,FALSE)</f>
        <v>69.61</v>
      </c>
      <c r="BR829" s="117">
        <f>VLOOKUP($D829,'WB Data'!$C$3:$M$578,11,FALSE)</f>
        <v>16</v>
      </c>
      <c r="BS829" s="129">
        <f>IFERROR(VLOOKUP($D829,'WB Data 2'!$C$2:$K$545,9,FALSE),"..")</f>
        <v>98.947940000000003</v>
      </c>
      <c r="BT829" s="129">
        <f>_xlfn.IFNA(VLOOKUP($C829,RGI!$A$2:$C$43,2,FALSE),"..")</f>
        <v>77.5</v>
      </c>
      <c r="BU829" s="129">
        <f>_xlfn.IFNA(VLOOKUP($C829,RGI!$A$2:$C$43,3,FALSE),"..")</f>
        <v>57.362887635782535</v>
      </c>
      <c r="BV829" s="129">
        <f>VLOOKUP($D829,WGI!$C$2:$O$478,7,FALSE)</f>
        <v>-1.1496385941857801</v>
      </c>
      <c r="BW829" s="129">
        <f>VLOOKUP($D829,WGI!$C$2:$O$478,4,FALSE)</f>
        <v>-0.37452632023538601</v>
      </c>
      <c r="BX829" s="129">
        <f>VLOOKUP($D829,WGI!$C$2:$O$478,3,FALSE)</f>
        <v>-0.44134623486097901</v>
      </c>
      <c r="BY829" s="129">
        <f>VLOOKUP($D829,WGI!$C$2:$O$478,5,FALSE)</f>
        <v>-0.38661082404664399</v>
      </c>
      <c r="BZ829" s="129">
        <f>VLOOKUP($D829,WGI!$C$2:$O$478,2,FALSE)</f>
        <v>-0.88344460269611702</v>
      </c>
    </row>
    <row r="830" spans="1:80" ht="15" customHeight="1">
      <c r="A830" s="289" t="s">
        <v>279</v>
      </c>
      <c r="B830" s="146">
        <v>2012</v>
      </c>
      <c r="C830" s="117" t="s">
        <v>280</v>
      </c>
      <c r="D830" s="117" t="s">
        <v>3736</v>
      </c>
      <c r="E830" s="146" t="s">
        <v>39</v>
      </c>
      <c r="F830" s="146"/>
      <c r="G830" s="763" t="s">
        <v>24</v>
      </c>
      <c r="H830" s="763" t="s">
        <v>616</v>
      </c>
      <c r="I830" s="146"/>
      <c r="J830" s="146"/>
      <c r="K830" s="146" t="s">
        <v>616</v>
      </c>
      <c r="L830" s="146"/>
      <c r="M830" s="146"/>
      <c r="N830" s="120"/>
      <c r="O830" s="754"/>
      <c r="P830" s="754"/>
      <c r="Q830" s="760">
        <v>107900000</v>
      </c>
      <c r="R830" s="754"/>
      <c r="S830" s="146" t="s">
        <v>610</v>
      </c>
      <c r="T830" s="120"/>
      <c r="U830" s="119"/>
      <c r="V830" s="146"/>
      <c r="W830" s="146"/>
      <c r="X830" s="146"/>
      <c r="Y830" s="760"/>
      <c r="Z830" s="146"/>
      <c r="AA830" s="146"/>
      <c r="AB830" s="146"/>
      <c r="AC830" s="146"/>
      <c r="AD830" s="146"/>
      <c r="AE830" s="756"/>
      <c r="AF830" s="756"/>
      <c r="AG830" s="756"/>
      <c r="AH830" s="758"/>
      <c r="AI830" s="146"/>
      <c r="AJ830" s="759"/>
      <c r="AK830" s="146"/>
      <c r="AL830" s="146"/>
      <c r="AM830" s="760"/>
      <c r="AN830" s="146"/>
      <c r="AO830" s="146"/>
      <c r="AP830" s="146"/>
      <c r="AQ830" s="146"/>
      <c r="AR830" s="146"/>
      <c r="AS830" s="146"/>
      <c r="AT830" s="146"/>
      <c r="AU830" s="146"/>
      <c r="AV830" s="782"/>
      <c r="AW830" s="117">
        <f>VLOOKUP($D830,'WB Data'!$C$3:$M$578,2,FALSE)</f>
        <v>203517198088.69141</v>
      </c>
      <c r="AX830" s="117">
        <f>VLOOKUP($D830,'WB Data'!$C$3:$M$578,3,FALSE)</f>
        <v>16791425</v>
      </c>
      <c r="AY830" s="847">
        <f t="shared" si="135"/>
        <v>0.15071155977999059</v>
      </c>
      <c r="AZ830" s="117" t="e">
        <f>VLOOKUP($D830,'WB Data'!$C$3:$M$578,4,FALSE)/100</f>
        <v>#VALUE!</v>
      </c>
      <c r="BA830" s="117" t="str">
        <f t="shared" si="136"/>
        <v>..</v>
      </c>
      <c r="BB830" s="129">
        <f>IFERROR(VLOOKUP($D830,'EITI Revenues'!$C$2:$G$224,5,FALSE),"..")</f>
        <v>30672394366</v>
      </c>
      <c r="BC830" s="846" t="str">
        <f t="shared" si="137"/>
        <v>..</v>
      </c>
      <c r="BD830" s="129">
        <f>VLOOKUP($D830,'WB Data 2'!$C$2:$K$545,6,FALSE)</f>
        <v>72241491181.059692</v>
      </c>
      <c r="BE830" s="129">
        <f>IFERROR(VLOOKUP($D830,UNCTAD!$C$5:$V$529,4,FALSE),"..")</f>
        <v>91759340000</v>
      </c>
      <c r="BF830" s="846">
        <f t="shared" si="138"/>
        <v>0.78729305573753794</v>
      </c>
      <c r="BG830" s="117">
        <f>VLOOKUP($D830,'WB Data'!$C$3:$M$578,5,FALSE)</f>
        <v>129639999.99999999</v>
      </c>
      <c r="BH830" s="129">
        <f>IFERROR($BB830/$BG830,"..")</f>
        <v>236.59668594569581</v>
      </c>
      <c r="BI830" s="117" t="str">
        <f>IFERROR(VLOOKUP($D830,'WB Data'!$C$3:$M$578,7,FALSE)/100,"..")</f>
        <v>..</v>
      </c>
      <c r="BJ830" s="117" t="str">
        <f>IFERROR($BI830*$AW830,"..")</f>
        <v>..</v>
      </c>
      <c r="BK830" s="846" t="str">
        <f>IFERROR($BB830/$BJ830,"..")</f>
        <v>..</v>
      </c>
      <c r="BL830" s="117" t="str">
        <f>IFERROR(VLOOKUP($D830,'WB Data'!$C$3:$M$578,7,FALSE)/100,"..")</f>
        <v>..</v>
      </c>
      <c r="BM830" s="117" t="str">
        <f>IFERROR($AW830*$BL830,"..")</f>
        <v>..</v>
      </c>
      <c r="BN830" s="846" t="str">
        <f>IFERROR($BB830/$BM830,"..")</f>
        <v>..</v>
      </c>
      <c r="BO830" s="801">
        <f t="shared" si="134"/>
        <v>29</v>
      </c>
      <c r="BP830" s="117">
        <f>VLOOKUP($D830,'WB Data'!$C$3:$M$578,9,FALSE)</f>
        <v>3.8</v>
      </c>
      <c r="BQ830" s="117">
        <f>VLOOKUP($D830,'WB Data'!$C$3:$M$578,10,FALSE)</f>
        <v>69.61</v>
      </c>
      <c r="BR830" s="117">
        <f>VLOOKUP($D830,'WB Data'!$C$3:$M$578,11,FALSE)</f>
        <v>16</v>
      </c>
      <c r="BS830" s="129">
        <f>IFERROR(VLOOKUP($D830,'WB Data 2'!$C$2:$K$545,9,FALSE),"..")</f>
        <v>98.947940000000003</v>
      </c>
      <c r="BT830" s="129">
        <f>_xlfn.IFNA(VLOOKUP($C830,RGI!$A$2:$C$43,2,FALSE),"..")</f>
        <v>77.5</v>
      </c>
      <c r="BU830" s="129">
        <f>_xlfn.IFNA(VLOOKUP($C830,RGI!$A$2:$C$43,3,FALSE),"..")</f>
        <v>57.362887635782535</v>
      </c>
      <c r="BV830" s="129">
        <f>VLOOKUP($D830,WGI!$C$2:$O$478,7,FALSE)</f>
        <v>-1.1496385941857801</v>
      </c>
      <c r="BW830" s="129">
        <f>VLOOKUP($D830,WGI!$C$2:$O$478,4,FALSE)</f>
        <v>-0.37452632023538601</v>
      </c>
      <c r="BX830" s="129">
        <f>VLOOKUP($D830,WGI!$C$2:$O$478,3,FALSE)</f>
        <v>-0.44134623486097901</v>
      </c>
      <c r="BY830" s="129">
        <f>VLOOKUP($D830,WGI!$C$2:$O$478,5,FALSE)</f>
        <v>-0.38661082404664399</v>
      </c>
      <c r="BZ830" s="129">
        <f>VLOOKUP($D830,WGI!$C$2:$O$478,2,FALSE)</f>
        <v>-0.88344460269611702</v>
      </c>
    </row>
    <row r="831" spans="1:80" ht="15" customHeight="1">
      <c r="A831" s="289" t="s">
        <v>279</v>
      </c>
      <c r="B831" s="146">
        <v>2012</v>
      </c>
      <c r="C831" s="117" t="s">
        <v>280</v>
      </c>
      <c r="D831" s="117" t="s">
        <v>3736</v>
      </c>
      <c r="E831" s="146" t="s">
        <v>39</v>
      </c>
      <c r="F831" s="146"/>
      <c r="G831" s="763" t="s">
        <v>24</v>
      </c>
      <c r="H831" s="763" t="s">
        <v>784</v>
      </c>
      <c r="I831" s="146"/>
      <c r="J831" s="146"/>
      <c r="K831" s="146" t="s">
        <v>784</v>
      </c>
      <c r="L831" s="146"/>
      <c r="M831" s="146"/>
      <c r="N831" s="120"/>
      <c r="O831" s="754"/>
      <c r="P831" s="754"/>
      <c r="Q831" s="146">
        <v>39.9</v>
      </c>
      <c r="R831" s="754"/>
      <c r="S831" s="146" t="s">
        <v>610</v>
      </c>
      <c r="T831" s="120"/>
      <c r="U831" s="119"/>
      <c r="V831" s="146"/>
      <c r="W831" s="146"/>
      <c r="X831" s="146"/>
      <c r="Y831" s="760"/>
      <c r="Z831" s="146"/>
      <c r="AA831" s="146"/>
      <c r="AB831" s="146"/>
      <c r="AC831" s="146"/>
      <c r="AD831" s="146"/>
      <c r="AE831" s="756"/>
      <c r="AF831" s="756"/>
      <c r="AG831" s="756"/>
      <c r="AH831" s="758"/>
      <c r="AI831" s="146"/>
      <c r="AJ831" s="759"/>
      <c r="AK831" s="146"/>
      <c r="AL831" s="146"/>
      <c r="AM831" s="760"/>
      <c r="AN831" s="146"/>
      <c r="AO831" s="146"/>
      <c r="AP831" s="146"/>
      <c r="AQ831" s="146"/>
      <c r="AR831" s="146"/>
      <c r="AS831" s="146"/>
      <c r="AT831" s="146"/>
      <c r="AU831" s="146"/>
      <c r="AV831" s="782"/>
      <c r="AW831" s="117">
        <f>VLOOKUP($D831,'WB Data'!$C$3:$M$578,2,FALSE)</f>
        <v>203517198088.69141</v>
      </c>
      <c r="AX831" s="117">
        <f>VLOOKUP($D831,'WB Data'!$C$3:$M$578,3,FALSE)</f>
        <v>16791425</v>
      </c>
      <c r="AY831" s="847">
        <f t="shared" si="135"/>
        <v>0.15071155977999059</v>
      </c>
      <c r="AZ831" s="117" t="e">
        <f>VLOOKUP($D831,'WB Data'!$C$3:$M$578,4,FALSE)/100</f>
        <v>#VALUE!</v>
      </c>
      <c r="BA831" s="117" t="str">
        <f t="shared" si="136"/>
        <v>..</v>
      </c>
      <c r="BB831" s="129">
        <f>IFERROR(VLOOKUP($D831,'EITI Revenues'!$C$2:$G$224,5,FALSE),"..")</f>
        <v>30672394366</v>
      </c>
      <c r="BC831" s="846" t="str">
        <f t="shared" si="137"/>
        <v>..</v>
      </c>
      <c r="BD831" s="129">
        <f>VLOOKUP($D831,'WB Data 2'!$C$2:$K$545,6,FALSE)</f>
        <v>72241491181.059692</v>
      </c>
      <c r="BE831" s="129">
        <f>IFERROR(VLOOKUP($D831,UNCTAD!$C$5:$V$529,4,FALSE),"..")</f>
        <v>91759340000</v>
      </c>
      <c r="BF831" s="846">
        <f t="shared" si="138"/>
        <v>0.78729305573753794</v>
      </c>
      <c r="BG831" s="117">
        <f>VLOOKUP($D831,'WB Data'!$C$3:$M$578,5,FALSE)</f>
        <v>129639999.99999999</v>
      </c>
      <c r="BH831" s="129">
        <f>IFERROR($BB831/$BG831,"..")</f>
        <v>236.59668594569581</v>
      </c>
      <c r="BI831" s="117" t="str">
        <f>IFERROR(VLOOKUP($D831,'WB Data'!$C$3:$M$578,7,FALSE)/100,"..")</f>
        <v>..</v>
      </c>
      <c r="BJ831" s="117" t="str">
        <f>IFERROR($BI831*$AW831,"..")</f>
        <v>..</v>
      </c>
      <c r="BK831" s="846" t="str">
        <f>IFERROR($BB831/$BJ831,"..")</f>
        <v>..</v>
      </c>
      <c r="BL831" s="117" t="str">
        <f>IFERROR(VLOOKUP($D831,'WB Data'!$C$3:$M$578,7,FALSE)/100,"..")</f>
        <v>..</v>
      </c>
      <c r="BM831" s="117" t="str">
        <f>IFERROR($AW831*$BL831,"..")</f>
        <v>..</v>
      </c>
      <c r="BN831" s="846" t="str">
        <f>IFERROR($BB831/$BM831,"..")</f>
        <v>..</v>
      </c>
      <c r="BO831" s="801">
        <f t="shared" si="134"/>
        <v>29</v>
      </c>
      <c r="BP831" s="117">
        <f>VLOOKUP($D831,'WB Data'!$C$3:$M$578,9,FALSE)</f>
        <v>3.8</v>
      </c>
      <c r="BQ831" s="117">
        <f>VLOOKUP($D831,'WB Data'!$C$3:$M$578,10,FALSE)</f>
        <v>69.61</v>
      </c>
      <c r="BR831" s="117">
        <f>VLOOKUP($D831,'WB Data'!$C$3:$M$578,11,FALSE)</f>
        <v>16</v>
      </c>
      <c r="BS831" s="129">
        <f>IFERROR(VLOOKUP($D831,'WB Data 2'!$C$2:$K$545,9,FALSE),"..")</f>
        <v>98.947940000000003</v>
      </c>
      <c r="BT831" s="129">
        <f>_xlfn.IFNA(VLOOKUP($C831,RGI!$A$2:$C$43,2,FALSE),"..")</f>
        <v>77.5</v>
      </c>
      <c r="BU831" s="129">
        <f>_xlfn.IFNA(VLOOKUP($C831,RGI!$A$2:$C$43,3,FALSE),"..")</f>
        <v>57.362887635782535</v>
      </c>
      <c r="BV831" s="129">
        <f>VLOOKUP($D831,WGI!$C$2:$O$478,7,FALSE)</f>
        <v>-1.1496385941857801</v>
      </c>
      <c r="BW831" s="129">
        <f>VLOOKUP($D831,WGI!$C$2:$O$478,4,FALSE)</f>
        <v>-0.37452632023538601</v>
      </c>
      <c r="BX831" s="129">
        <f>VLOOKUP($D831,WGI!$C$2:$O$478,3,FALSE)</f>
        <v>-0.44134623486097901</v>
      </c>
      <c r="BY831" s="129">
        <f>VLOOKUP($D831,WGI!$C$2:$O$478,5,FALSE)</f>
        <v>-0.38661082404664399</v>
      </c>
      <c r="BZ831" s="129">
        <f>VLOOKUP($D831,WGI!$C$2:$O$478,2,FALSE)</f>
        <v>-0.88344460269611702</v>
      </c>
    </row>
    <row r="832" spans="1:80" ht="15" customHeight="1">
      <c r="A832" s="289" t="s">
        <v>279</v>
      </c>
      <c r="B832" s="146">
        <v>2012</v>
      </c>
      <c r="C832" s="117" t="s">
        <v>280</v>
      </c>
      <c r="D832" s="117" t="s">
        <v>3736</v>
      </c>
      <c r="E832" s="146" t="s">
        <v>39</v>
      </c>
      <c r="F832" s="146"/>
      <c r="G832" s="763" t="s">
        <v>24</v>
      </c>
      <c r="H832" s="763" t="s">
        <v>789</v>
      </c>
      <c r="I832" s="146"/>
      <c r="J832" s="146"/>
      <c r="K832" s="146" t="s">
        <v>789</v>
      </c>
      <c r="L832" s="146"/>
      <c r="M832" s="146"/>
      <c r="N832" s="120"/>
      <c r="O832" s="754"/>
      <c r="P832" s="754"/>
      <c r="Q832" s="146">
        <v>963.5</v>
      </c>
      <c r="R832" s="754"/>
      <c r="S832" s="146" t="s">
        <v>610</v>
      </c>
      <c r="T832" s="120"/>
      <c r="U832" s="119"/>
      <c r="V832" s="146"/>
      <c r="W832" s="146"/>
      <c r="X832" s="146"/>
      <c r="Y832" s="760"/>
      <c r="Z832" s="146"/>
      <c r="AA832" s="146"/>
      <c r="AB832" s="146"/>
      <c r="AC832" s="146"/>
      <c r="AD832" s="146"/>
      <c r="AE832" s="756"/>
      <c r="AF832" s="756"/>
      <c r="AG832" s="756"/>
      <c r="AH832" s="758"/>
      <c r="AI832" s="146"/>
      <c r="AJ832" s="759"/>
      <c r="AK832" s="146"/>
      <c r="AL832" s="146"/>
      <c r="AM832" s="760"/>
      <c r="AN832" s="146"/>
      <c r="AO832" s="146"/>
      <c r="AP832" s="146"/>
      <c r="AQ832" s="146"/>
      <c r="AR832" s="146"/>
      <c r="AS832" s="146"/>
      <c r="AT832" s="146"/>
      <c r="AU832" s="146"/>
      <c r="AV832" s="782"/>
      <c r="AW832" s="117">
        <f>VLOOKUP($D832,'WB Data'!$C$3:$M$578,2,FALSE)</f>
        <v>203517198088.69141</v>
      </c>
      <c r="AX832" s="117">
        <f>VLOOKUP($D832,'WB Data'!$C$3:$M$578,3,FALSE)</f>
        <v>16791425</v>
      </c>
      <c r="AY832" s="847">
        <f t="shared" si="135"/>
        <v>0.15071155977999059</v>
      </c>
      <c r="AZ832" s="117" t="e">
        <f>VLOOKUP($D832,'WB Data'!$C$3:$M$578,4,FALSE)/100</f>
        <v>#VALUE!</v>
      </c>
      <c r="BA832" s="117" t="str">
        <f t="shared" si="136"/>
        <v>..</v>
      </c>
      <c r="BB832" s="129">
        <f>IFERROR(VLOOKUP($D832,'EITI Revenues'!$C$2:$G$224,5,FALSE),"..")</f>
        <v>30672394366</v>
      </c>
      <c r="BC832" s="846" t="str">
        <f t="shared" si="137"/>
        <v>..</v>
      </c>
      <c r="BD832" s="129">
        <f>VLOOKUP($D832,'WB Data 2'!$C$2:$K$545,6,FALSE)</f>
        <v>72241491181.059692</v>
      </c>
      <c r="BE832" s="129">
        <f>IFERROR(VLOOKUP($D832,UNCTAD!$C$5:$V$529,4,FALSE),"..")</f>
        <v>91759340000</v>
      </c>
      <c r="BF832" s="846">
        <f t="shared" si="138"/>
        <v>0.78729305573753794</v>
      </c>
      <c r="BG832" s="117">
        <f>VLOOKUP($D832,'WB Data'!$C$3:$M$578,5,FALSE)</f>
        <v>129639999.99999999</v>
      </c>
      <c r="BH832" s="129">
        <f>IFERROR($BB832/$BG832,"..")</f>
        <v>236.59668594569581</v>
      </c>
      <c r="BI832" s="117" t="str">
        <f>IFERROR(VLOOKUP($D832,'WB Data'!$C$3:$M$578,7,FALSE)/100,"..")</f>
        <v>..</v>
      </c>
      <c r="BJ832" s="117" t="str">
        <f>IFERROR($BI832*$AW832,"..")</f>
        <v>..</v>
      </c>
      <c r="BK832" s="846" t="str">
        <f>IFERROR($BB832/$BJ832,"..")</f>
        <v>..</v>
      </c>
      <c r="BL832" s="117" t="str">
        <f>IFERROR(VLOOKUP($D832,'WB Data'!$C$3:$M$578,7,FALSE)/100,"..")</f>
        <v>..</v>
      </c>
      <c r="BM832" s="117" t="str">
        <f>IFERROR($AW832*$BL832,"..")</f>
        <v>..</v>
      </c>
      <c r="BN832" s="846" t="str">
        <f>IFERROR($BB832/$BM832,"..")</f>
        <v>..</v>
      </c>
      <c r="BO832" s="801">
        <f t="shared" si="134"/>
        <v>29</v>
      </c>
      <c r="BP832" s="117">
        <f>VLOOKUP($D832,'WB Data'!$C$3:$M$578,9,FALSE)</f>
        <v>3.8</v>
      </c>
      <c r="BQ832" s="117">
        <f>VLOOKUP($D832,'WB Data'!$C$3:$M$578,10,FALSE)</f>
        <v>69.61</v>
      </c>
      <c r="BR832" s="117">
        <f>VLOOKUP($D832,'WB Data'!$C$3:$M$578,11,FALSE)</f>
        <v>16</v>
      </c>
      <c r="BS832" s="129">
        <f>IFERROR(VLOOKUP($D832,'WB Data 2'!$C$2:$K$545,9,FALSE),"..")</f>
        <v>98.947940000000003</v>
      </c>
      <c r="BT832" s="129">
        <f>_xlfn.IFNA(VLOOKUP($C832,RGI!$A$2:$C$43,2,FALSE),"..")</f>
        <v>77.5</v>
      </c>
      <c r="BU832" s="129">
        <f>_xlfn.IFNA(VLOOKUP($C832,RGI!$A$2:$C$43,3,FALSE),"..")</f>
        <v>57.362887635782535</v>
      </c>
      <c r="BV832" s="129">
        <f>VLOOKUP($D832,WGI!$C$2:$O$478,7,FALSE)</f>
        <v>-1.1496385941857801</v>
      </c>
      <c r="BW832" s="129">
        <f>VLOOKUP($D832,WGI!$C$2:$O$478,4,FALSE)</f>
        <v>-0.37452632023538601</v>
      </c>
      <c r="BX832" s="129">
        <f>VLOOKUP($D832,WGI!$C$2:$O$478,3,FALSE)</f>
        <v>-0.44134623486097901</v>
      </c>
      <c r="BY832" s="129">
        <f>VLOOKUP($D832,WGI!$C$2:$O$478,5,FALSE)</f>
        <v>-0.38661082404664399</v>
      </c>
      <c r="BZ832" s="129">
        <f>VLOOKUP($D832,WGI!$C$2:$O$478,2,FALSE)</f>
        <v>-0.88344460269611702</v>
      </c>
    </row>
    <row r="833" spans="1:80" ht="15" customHeight="1">
      <c r="A833" s="289" t="s">
        <v>279</v>
      </c>
      <c r="B833" s="146">
        <v>2012</v>
      </c>
      <c r="C833" s="117" t="s">
        <v>280</v>
      </c>
      <c r="D833" s="117" t="s">
        <v>3736</v>
      </c>
      <c r="E833" s="146" t="s">
        <v>39</v>
      </c>
      <c r="F833" s="146"/>
      <c r="G833" s="763" t="s">
        <v>24</v>
      </c>
      <c r="H833" s="763" t="s">
        <v>619</v>
      </c>
      <c r="I833" s="146"/>
      <c r="J833" s="146"/>
      <c r="K833" s="146" t="s">
        <v>619</v>
      </c>
      <c r="L833" s="146"/>
      <c r="M833" s="146"/>
      <c r="N833" s="120"/>
      <c r="O833" s="754"/>
      <c r="P833" s="754"/>
      <c r="Q833" s="760">
        <v>367100</v>
      </c>
      <c r="R833" s="754"/>
      <c r="S833" s="146" t="s">
        <v>610</v>
      </c>
      <c r="T833" s="120"/>
      <c r="U833" s="119"/>
      <c r="V833" s="146"/>
      <c r="W833" s="146"/>
      <c r="X833" s="146"/>
      <c r="Y833" s="760"/>
      <c r="Z833" s="146"/>
      <c r="AA833" s="146"/>
      <c r="AB833" s="146"/>
      <c r="AC833" s="146"/>
      <c r="AD833" s="146"/>
      <c r="AE833" s="756"/>
      <c r="AF833" s="756"/>
      <c r="AG833" s="756"/>
      <c r="AH833" s="758"/>
      <c r="AI833" s="146"/>
      <c r="AJ833" s="759"/>
      <c r="AK833" s="146"/>
      <c r="AL833" s="146"/>
      <c r="AM833" s="760"/>
      <c r="AN833" s="146"/>
      <c r="AO833" s="146"/>
      <c r="AP833" s="146"/>
      <c r="AQ833" s="146"/>
      <c r="AR833" s="146"/>
      <c r="AS833" s="146"/>
      <c r="AT833" s="146"/>
      <c r="AU833" s="146"/>
      <c r="AV833" s="782"/>
      <c r="AW833" s="117">
        <f>VLOOKUP($D833,'WB Data'!$C$3:$M$578,2,FALSE)</f>
        <v>203517198088.69141</v>
      </c>
      <c r="AX833" s="117">
        <f>VLOOKUP($D833,'WB Data'!$C$3:$M$578,3,FALSE)</f>
        <v>16791425</v>
      </c>
      <c r="AY833" s="847">
        <f t="shared" si="135"/>
        <v>0.15071155977999059</v>
      </c>
      <c r="AZ833" s="117" t="e">
        <f>VLOOKUP($D833,'WB Data'!$C$3:$M$578,4,FALSE)/100</f>
        <v>#VALUE!</v>
      </c>
      <c r="BA833" s="117" t="str">
        <f t="shared" si="136"/>
        <v>..</v>
      </c>
      <c r="BB833" s="129">
        <f>IFERROR(VLOOKUP($D833,'EITI Revenues'!$C$2:$G$224,5,FALSE),"..")</f>
        <v>30672394366</v>
      </c>
      <c r="BC833" s="846" t="str">
        <f t="shared" si="137"/>
        <v>..</v>
      </c>
      <c r="BD833" s="129">
        <f>VLOOKUP($D833,'WB Data 2'!$C$2:$K$545,6,FALSE)</f>
        <v>72241491181.059692</v>
      </c>
      <c r="BE833" s="129">
        <f>IFERROR(VLOOKUP($D833,UNCTAD!$C$5:$V$529,4,FALSE),"..")</f>
        <v>91759340000</v>
      </c>
      <c r="BF833" s="846">
        <f t="shared" si="138"/>
        <v>0.78729305573753794</v>
      </c>
      <c r="BG833" s="117">
        <f>VLOOKUP($D833,'WB Data'!$C$3:$M$578,5,FALSE)</f>
        <v>129639999.99999999</v>
      </c>
      <c r="BH833" s="129">
        <f>IFERROR($BB833/$BG833,"..")</f>
        <v>236.59668594569581</v>
      </c>
      <c r="BI833" s="117" t="str">
        <f>IFERROR(VLOOKUP($D833,'WB Data'!$C$3:$M$578,7,FALSE)/100,"..")</f>
        <v>..</v>
      </c>
      <c r="BJ833" s="117" t="str">
        <f>IFERROR($BI833*$AW833,"..")</f>
        <v>..</v>
      </c>
      <c r="BK833" s="846" t="str">
        <f>IFERROR($BB833/$BJ833,"..")</f>
        <v>..</v>
      </c>
      <c r="BL833" s="117" t="str">
        <f>IFERROR(VLOOKUP($D833,'WB Data'!$C$3:$M$578,7,FALSE)/100,"..")</f>
        <v>..</v>
      </c>
      <c r="BM833" s="117" t="str">
        <f>IFERROR($AW833*$BL833,"..")</f>
        <v>..</v>
      </c>
      <c r="BN833" s="846" t="str">
        <f>IFERROR($BB833/$BM833,"..")</f>
        <v>..</v>
      </c>
      <c r="BO833" s="801">
        <f t="shared" si="134"/>
        <v>29</v>
      </c>
      <c r="BP833" s="117">
        <f>VLOOKUP($D833,'WB Data'!$C$3:$M$578,9,FALSE)</f>
        <v>3.8</v>
      </c>
      <c r="BQ833" s="117">
        <f>VLOOKUP($D833,'WB Data'!$C$3:$M$578,10,FALSE)</f>
        <v>69.61</v>
      </c>
      <c r="BR833" s="117">
        <f>VLOOKUP($D833,'WB Data'!$C$3:$M$578,11,FALSE)</f>
        <v>16</v>
      </c>
      <c r="BS833" s="129">
        <f>IFERROR(VLOOKUP($D833,'WB Data 2'!$C$2:$K$545,9,FALSE),"..")</f>
        <v>98.947940000000003</v>
      </c>
      <c r="BT833" s="129">
        <f>_xlfn.IFNA(VLOOKUP($C833,RGI!$A$2:$C$43,2,FALSE),"..")</f>
        <v>77.5</v>
      </c>
      <c r="BU833" s="129">
        <f>_xlfn.IFNA(VLOOKUP($C833,RGI!$A$2:$C$43,3,FALSE),"..")</f>
        <v>57.362887635782535</v>
      </c>
      <c r="BV833" s="129">
        <f>VLOOKUP($D833,WGI!$C$2:$O$478,7,FALSE)</f>
        <v>-1.1496385941857801</v>
      </c>
      <c r="BW833" s="129">
        <f>VLOOKUP($D833,WGI!$C$2:$O$478,4,FALSE)</f>
        <v>-0.37452632023538601</v>
      </c>
      <c r="BX833" s="129">
        <f>VLOOKUP($D833,WGI!$C$2:$O$478,3,FALSE)</f>
        <v>-0.44134623486097901</v>
      </c>
      <c r="BY833" s="129">
        <f>VLOOKUP($D833,WGI!$C$2:$O$478,5,FALSE)</f>
        <v>-0.38661082404664399</v>
      </c>
      <c r="BZ833" s="129">
        <f>VLOOKUP($D833,WGI!$C$2:$O$478,2,FALSE)</f>
        <v>-0.88344460269611702</v>
      </c>
    </row>
    <row r="834" spans="1:80" ht="15" customHeight="1">
      <c r="A834" s="289" t="s">
        <v>279</v>
      </c>
      <c r="B834" s="146">
        <v>2012</v>
      </c>
      <c r="C834" s="117" t="s">
        <v>280</v>
      </c>
      <c r="D834" s="117" t="s">
        <v>3736</v>
      </c>
      <c r="E834" s="146" t="s">
        <v>39</v>
      </c>
      <c r="F834" s="146"/>
      <c r="G834" s="763" t="s">
        <v>24</v>
      </c>
      <c r="H834" s="763" t="s">
        <v>1472</v>
      </c>
      <c r="I834" s="146"/>
      <c r="J834" s="146"/>
      <c r="K834" s="146" t="s">
        <v>1473</v>
      </c>
      <c r="L834" s="146"/>
      <c r="M834" s="146"/>
      <c r="N834" s="120"/>
      <c r="O834" s="754"/>
      <c r="P834" s="754"/>
      <c r="Q834" s="760">
        <v>88100</v>
      </c>
      <c r="R834" s="754"/>
      <c r="S834" s="146" t="s">
        <v>610</v>
      </c>
      <c r="T834" s="120"/>
      <c r="U834" s="119"/>
      <c r="V834" s="146"/>
      <c r="W834" s="146"/>
      <c r="X834" s="146"/>
      <c r="Y834" s="760"/>
      <c r="Z834" s="146"/>
      <c r="AA834" s="146"/>
      <c r="AB834" s="146"/>
      <c r="AC834" s="146"/>
      <c r="AD834" s="146"/>
      <c r="AE834" s="756"/>
      <c r="AF834" s="756"/>
      <c r="AG834" s="756"/>
      <c r="AH834" s="758"/>
      <c r="AI834" s="146"/>
      <c r="AJ834" s="759"/>
      <c r="AK834" s="146"/>
      <c r="AL834" s="146"/>
      <c r="AM834" s="760"/>
      <c r="AN834" s="146"/>
      <c r="AO834" s="146"/>
      <c r="AP834" s="146"/>
      <c r="AQ834" s="146"/>
      <c r="AR834" s="146"/>
      <c r="AS834" s="146"/>
      <c r="AT834" s="146"/>
      <c r="AU834" s="146"/>
      <c r="AV834" s="782"/>
      <c r="AW834" s="117">
        <f>VLOOKUP($D834,'WB Data'!$C$3:$M$578,2,FALSE)</f>
        <v>203517198088.69141</v>
      </c>
      <c r="AX834" s="117">
        <f>VLOOKUP($D834,'WB Data'!$C$3:$M$578,3,FALSE)</f>
        <v>16791425</v>
      </c>
      <c r="AY834" s="847">
        <f t="shared" si="135"/>
        <v>0.15071155977999059</v>
      </c>
      <c r="AZ834" s="117" t="e">
        <f>VLOOKUP($D834,'WB Data'!$C$3:$M$578,4,FALSE)/100</f>
        <v>#VALUE!</v>
      </c>
      <c r="BA834" s="117" t="str">
        <f t="shared" si="136"/>
        <v>..</v>
      </c>
      <c r="BB834" s="129">
        <f>IFERROR(VLOOKUP($D834,'EITI Revenues'!$C$2:$G$224,5,FALSE),"..")</f>
        <v>30672394366</v>
      </c>
      <c r="BC834" s="846" t="str">
        <f t="shared" si="137"/>
        <v>..</v>
      </c>
      <c r="BD834" s="129">
        <f>VLOOKUP($D834,'WB Data 2'!$C$2:$K$545,6,FALSE)</f>
        <v>72241491181.059692</v>
      </c>
      <c r="BE834" s="129">
        <f>IFERROR(VLOOKUP($D834,UNCTAD!$C$5:$V$529,4,FALSE),"..")</f>
        <v>91759340000</v>
      </c>
      <c r="BF834" s="846">
        <f t="shared" si="138"/>
        <v>0.78729305573753794</v>
      </c>
      <c r="BG834" s="117">
        <f>VLOOKUP($D834,'WB Data'!$C$3:$M$578,5,FALSE)</f>
        <v>129639999.99999999</v>
      </c>
      <c r="BH834" s="129">
        <f>IFERROR($BB834/$BG834,"..")</f>
        <v>236.59668594569581</v>
      </c>
      <c r="BI834" s="117" t="str">
        <f>IFERROR(VLOOKUP($D834,'WB Data'!$C$3:$M$578,7,FALSE)/100,"..")</f>
        <v>..</v>
      </c>
      <c r="BJ834" s="117" t="str">
        <f>IFERROR($BI834*$AW834,"..")</f>
        <v>..</v>
      </c>
      <c r="BK834" s="846" t="str">
        <f>IFERROR($BB834/$BJ834,"..")</f>
        <v>..</v>
      </c>
      <c r="BL834" s="117" t="str">
        <f>IFERROR(VLOOKUP($D834,'WB Data'!$C$3:$M$578,7,FALSE)/100,"..")</f>
        <v>..</v>
      </c>
      <c r="BM834" s="117" t="str">
        <f>IFERROR($AW834*$BL834,"..")</f>
        <v>..</v>
      </c>
      <c r="BN834" s="846" t="str">
        <f>IFERROR($BB834/$BM834,"..")</f>
        <v>..</v>
      </c>
      <c r="BO834" s="801">
        <f t="shared" ref="BO834:BO897" si="140">_xlfn.IFNA(VLOOKUP($C834,CPI_2013,2,FALSE),"..")</f>
        <v>29</v>
      </c>
      <c r="BP834" s="117">
        <f>VLOOKUP($D834,'WB Data'!$C$3:$M$578,9,FALSE)</f>
        <v>3.8</v>
      </c>
      <c r="BQ834" s="117">
        <f>VLOOKUP($D834,'WB Data'!$C$3:$M$578,10,FALSE)</f>
        <v>69.61</v>
      </c>
      <c r="BR834" s="117">
        <f>VLOOKUP($D834,'WB Data'!$C$3:$M$578,11,FALSE)</f>
        <v>16</v>
      </c>
      <c r="BS834" s="129">
        <f>IFERROR(VLOOKUP($D834,'WB Data 2'!$C$2:$K$545,9,FALSE),"..")</f>
        <v>98.947940000000003</v>
      </c>
      <c r="BT834" s="129">
        <f>_xlfn.IFNA(VLOOKUP($C834,RGI!$A$2:$C$43,2,FALSE),"..")</f>
        <v>77.5</v>
      </c>
      <c r="BU834" s="129">
        <f>_xlfn.IFNA(VLOOKUP($C834,RGI!$A$2:$C$43,3,FALSE),"..")</f>
        <v>57.362887635782535</v>
      </c>
      <c r="BV834" s="129">
        <f>VLOOKUP($D834,WGI!$C$2:$O$478,7,FALSE)</f>
        <v>-1.1496385941857801</v>
      </c>
      <c r="BW834" s="129">
        <f>VLOOKUP($D834,WGI!$C$2:$O$478,4,FALSE)</f>
        <v>-0.37452632023538601</v>
      </c>
      <c r="BX834" s="129">
        <f>VLOOKUP($D834,WGI!$C$2:$O$478,3,FALSE)</f>
        <v>-0.44134623486097901</v>
      </c>
      <c r="BY834" s="129">
        <f>VLOOKUP($D834,WGI!$C$2:$O$478,5,FALSE)</f>
        <v>-0.38661082404664399</v>
      </c>
      <c r="BZ834" s="129">
        <f>VLOOKUP($D834,WGI!$C$2:$O$478,2,FALSE)</f>
        <v>-0.88344460269611702</v>
      </c>
    </row>
    <row r="835" spans="1:80" ht="15" customHeight="1">
      <c r="A835" s="289" t="s">
        <v>279</v>
      </c>
      <c r="B835" s="146">
        <v>2012</v>
      </c>
      <c r="C835" s="117" t="s">
        <v>280</v>
      </c>
      <c r="D835" s="117" t="s">
        <v>3736</v>
      </c>
      <c r="E835" s="146" t="s">
        <v>39</v>
      </c>
      <c r="F835" s="146"/>
      <c r="G835" s="763" t="s">
        <v>24</v>
      </c>
      <c r="H835" s="763"/>
      <c r="I835" s="146"/>
      <c r="J835" s="146"/>
      <c r="K835" s="146" t="s">
        <v>849</v>
      </c>
      <c r="L835" s="146"/>
      <c r="M835" s="146"/>
      <c r="N835" s="120"/>
      <c r="O835" s="754"/>
      <c r="P835" s="754"/>
      <c r="Q835" s="760">
        <v>319800</v>
      </c>
      <c r="R835" s="754"/>
      <c r="S835" s="146" t="s">
        <v>610</v>
      </c>
      <c r="T835" s="120"/>
      <c r="U835" s="119"/>
      <c r="V835" s="146"/>
      <c r="W835" s="146"/>
      <c r="X835" s="146"/>
      <c r="Y835" s="760"/>
      <c r="Z835" s="146"/>
      <c r="AA835" s="146"/>
      <c r="AB835" s="146"/>
      <c r="AC835" s="146"/>
      <c r="AD835" s="146"/>
      <c r="AE835" s="756"/>
      <c r="AF835" s="756"/>
      <c r="AG835" s="756"/>
      <c r="AH835" s="758"/>
      <c r="AI835" s="146"/>
      <c r="AJ835" s="759"/>
      <c r="AK835" s="146"/>
      <c r="AL835" s="146"/>
      <c r="AM835" s="760"/>
      <c r="AN835" s="146"/>
      <c r="AO835" s="146"/>
      <c r="AP835" s="146"/>
      <c r="AQ835" s="146"/>
      <c r="AR835" s="146"/>
      <c r="AS835" s="146"/>
      <c r="AT835" s="146"/>
      <c r="AU835" s="146"/>
      <c r="AV835" s="782"/>
      <c r="AW835" s="117">
        <f>VLOOKUP($D835,'WB Data'!$C$3:$M$578,2,FALSE)</f>
        <v>203517198088.69141</v>
      </c>
      <c r="AX835" s="117">
        <f>VLOOKUP($D835,'WB Data'!$C$3:$M$578,3,FALSE)</f>
        <v>16791425</v>
      </c>
      <c r="AY835" s="847">
        <f t="shared" ref="AY835:AY898" si="141">IFERROR($BB835/$AW835,"..")</f>
        <v>0.15071155977999059</v>
      </c>
      <c r="AZ835" s="117" t="e">
        <f>VLOOKUP($D835,'WB Data'!$C$3:$M$578,4,FALSE)/100</f>
        <v>#VALUE!</v>
      </c>
      <c r="BA835" s="117" t="str">
        <f t="shared" ref="BA835:BA898" si="142">IFERROR($AW835*$AZ835,"..")</f>
        <v>..</v>
      </c>
      <c r="BB835" s="129">
        <f>IFERROR(VLOOKUP($D835,'EITI Revenues'!$C$2:$G$224,5,FALSE),"..")</f>
        <v>30672394366</v>
      </c>
      <c r="BC835" s="846" t="str">
        <f t="shared" ref="BC835:BC898" si="143">IFERROR($BB835/$BA835,"..")</f>
        <v>..</v>
      </c>
      <c r="BD835" s="129">
        <f>VLOOKUP($D835,'WB Data 2'!$C$2:$K$545,6,FALSE)</f>
        <v>72241491181.059692</v>
      </c>
      <c r="BE835" s="129">
        <f>IFERROR(VLOOKUP($D835,UNCTAD!$C$5:$V$529,4,FALSE),"..")</f>
        <v>91759340000</v>
      </c>
      <c r="BF835" s="846">
        <f t="shared" ref="BF835:BF898" si="144">IFERROR(($BD835/$BE835),"..")</f>
        <v>0.78729305573753794</v>
      </c>
      <c r="BG835" s="117">
        <f>VLOOKUP($D835,'WB Data'!$C$3:$M$578,5,FALSE)</f>
        <v>129639999.99999999</v>
      </c>
      <c r="BH835" s="129">
        <f>IFERROR($BB835/$BG835,"..")</f>
        <v>236.59668594569581</v>
      </c>
      <c r="BI835" s="117" t="str">
        <f>IFERROR(VLOOKUP($D835,'WB Data'!$C$3:$M$578,7,FALSE)/100,"..")</f>
        <v>..</v>
      </c>
      <c r="BJ835" s="117" t="str">
        <f>IFERROR($BI835*$AW835,"..")</f>
        <v>..</v>
      </c>
      <c r="BK835" s="846" t="str">
        <f>IFERROR($BB835/$BJ835,"..")</f>
        <v>..</v>
      </c>
      <c r="BL835" s="117" t="str">
        <f>IFERROR(VLOOKUP($D835,'WB Data'!$C$3:$M$578,7,FALSE)/100,"..")</f>
        <v>..</v>
      </c>
      <c r="BM835" s="117" t="str">
        <f>IFERROR($AW835*$BL835,"..")</f>
        <v>..</v>
      </c>
      <c r="BN835" s="846" t="str">
        <f>IFERROR($BB835/$BM835,"..")</f>
        <v>..</v>
      </c>
      <c r="BO835" s="801">
        <f t="shared" si="140"/>
        <v>29</v>
      </c>
      <c r="BP835" s="117">
        <f>VLOOKUP($D835,'WB Data'!$C$3:$M$578,9,FALSE)</f>
        <v>3.8</v>
      </c>
      <c r="BQ835" s="117">
        <f>VLOOKUP($D835,'WB Data'!$C$3:$M$578,10,FALSE)</f>
        <v>69.61</v>
      </c>
      <c r="BR835" s="117">
        <f>VLOOKUP($D835,'WB Data'!$C$3:$M$578,11,FALSE)</f>
        <v>16</v>
      </c>
      <c r="BS835" s="129">
        <f>IFERROR(VLOOKUP($D835,'WB Data 2'!$C$2:$K$545,9,FALSE),"..")</f>
        <v>98.947940000000003</v>
      </c>
      <c r="BT835" s="129">
        <f>_xlfn.IFNA(VLOOKUP($C835,RGI!$A$2:$C$43,2,FALSE),"..")</f>
        <v>77.5</v>
      </c>
      <c r="BU835" s="129">
        <f>_xlfn.IFNA(VLOOKUP($C835,RGI!$A$2:$C$43,3,FALSE),"..")</f>
        <v>57.362887635782535</v>
      </c>
      <c r="BV835" s="129">
        <f>VLOOKUP($D835,WGI!$C$2:$O$478,7,FALSE)</f>
        <v>-1.1496385941857801</v>
      </c>
      <c r="BW835" s="129">
        <f>VLOOKUP($D835,WGI!$C$2:$O$478,4,FALSE)</f>
        <v>-0.37452632023538601</v>
      </c>
      <c r="BX835" s="129">
        <f>VLOOKUP($D835,WGI!$C$2:$O$478,3,FALSE)</f>
        <v>-0.44134623486097901</v>
      </c>
      <c r="BY835" s="129">
        <f>VLOOKUP($D835,WGI!$C$2:$O$478,5,FALSE)</f>
        <v>-0.38661082404664399</v>
      </c>
      <c r="BZ835" s="129">
        <f>VLOOKUP($D835,WGI!$C$2:$O$478,2,FALSE)</f>
        <v>-0.88344460269611702</v>
      </c>
    </row>
    <row r="836" spans="1:80" ht="15" customHeight="1">
      <c r="A836" s="289" t="s">
        <v>279</v>
      </c>
      <c r="B836" s="146">
        <v>2012</v>
      </c>
      <c r="C836" s="117" t="s">
        <v>280</v>
      </c>
      <c r="D836" s="117" t="s">
        <v>3736</v>
      </c>
      <c r="E836" s="146" t="s">
        <v>39</v>
      </c>
      <c r="F836" s="146"/>
      <c r="G836" s="763" t="s">
        <v>24</v>
      </c>
      <c r="H836" s="763" t="s">
        <v>1474</v>
      </c>
      <c r="I836" s="146"/>
      <c r="J836" s="146"/>
      <c r="K836" s="146" t="s">
        <v>1474</v>
      </c>
      <c r="L836" s="146"/>
      <c r="M836" s="146"/>
      <c r="N836" s="120"/>
      <c r="O836" s="754"/>
      <c r="P836" s="754"/>
      <c r="Q836" s="760">
        <v>52600000</v>
      </c>
      <c r="R836" s="754"/>
      <c r="S836" s="146" t="s">
        <v>610</v>
      </c>
      <c r="T836" s="120"/>
      <c r="U836" s="119"/>
      <c r="V836" s="146"/>
      <c r="W836" s="146"/>
      <c r="X836" s="146"/>
      <c r="Y836" s="760"/>
      <c r="Z836" s="146"/>
      <c r="AA836" s="146"/>
      <c r="AB836" s="146"/>
      <c r="AC836" s="146"/>
      <c r="AD836" s="146"/>
      <c r="AE836" s="756"/>
      <c r="AF836" s="756"/>
      <c r="AG836" s="756"/>
      <c r="AH836" s="758"/>
      <c r="AI836" s="146"/>
      <c r="AJ836" s="759"/>
      <c r="AK836" s="146"/>
      <c r="AL836" s="146"/>
      <c r="AM836" s="760"/>
      <c r="AN836" s="146"/>
      <c r="AO836" s="146"/>
      <c r="AP836" s="146"/>
      <c r="AQ836" s="146"/>
      <c r="AR836" s="146"/>
      <c r="AS836" s="146"/>
      <c r="AT836" s="146"/>
      <c r="AU836" s="146"/>
      <c r="AV836" s="782"/>
      <c r="AW836" s="117">
        <f>VLOOKUP($D836,'WB Data'!$C$3:$M$578,2,FALSE)</f>
        <v>203517198088.69141</v>
      </c>
      <c r="AX836" s="117">
        <f>VLOOKUP($D836,'WB Data'!$C$3:$M$578,3,FALSE)</f>
        <v>16791425</v>
      </c>
      <c r="AY836" s="847">
        <f t="shared" si="141"/>
        <v>0.15071155977999059</v>
      </c>
      <c r="AZ836" s="117" t="e">
        <f>VLOOKUP($D836,'WB Data'!$C$3:$M$578,4,FALSE)/100</f>
        <v>#VALUE!</v>
      </c>
      <c r="BA836" s="117" t="str">
        <f t="shared" si="142"/>
        <v>..</v>
      </c>
      <c r="BB836" s="129">
        <f>IFERROR(VLOOKUP($D836,'EITI Revenues'!$C$2:$G$224,5,FALSE),"..")</f>
        <v>30672394366</v>
      </c>
      <c r="BC836" s="846" t="str">
        <f t="shared" si="143"/>
        <v>..</v>
      </c>
      <c r="BD836" s="129">
        <f>VLOOKUP($D836,'WB Data 2'!$C$2:$K$545,6,FALSE)</f>
        <v>72241491181.059692</v>
      </c>
      <c r="BE836" s="129">
        <f>IFERROR(VLOOKUP($D836,UNCTAD!$C$5:$V$529,4,FALSE),"..")</f>
        <v>91759340000</v>
      </c>
      <c r="BF836" s="846">
        <f t="shared" si="144"/>
        <v>0.78729305573753794</v>
      </c>
      <c r="BG836" s="117">
        <f>VLOOKUP($D836,'WB Data'!$C$3:$M$578,5,FALSE)</f>
        <v>129639999.99999999</v>
      </c>
      <c r="BH836" s="129">
        <f>IFERROR($BB836/$BG836,"..")</f>
        <v>236.59668594569581</v>
      </c>
      <c r="BI836" s="117" t="str">
        <f>IFERROR(VLOOKUP($D836,'WB Data'!$C$3:$M$578,7,FALSE)/100,"..")</f>
        <v>..</v>
      </c>
      <c r="BJ836" s="117" t="str">
        <f>IFERROR($BI836*$AW836,"..")</f>
        <v>..</v>
      </c>
      <c r="BK836" s="846" t="str">
        <f>IFERROR($BB836/$BJ836,"..")</f>
        <v>..</v>
      </c>
      <c r="BL836" s="117" t="str">
        <f>IFERROR(VLOOKUP($D836,'WB Data'!$C$3:$M$578,7,FALSE)/100,"..")</f>
        <v>..</v>
      </c>
      <c r="BM836" s="117" t="str">
        <f>IFERROR($AW836*$BL836,"..")</f>
        <v>..</v>
      </c>
      <c r="BN836" s="846" t="str">
        <f>IFERROR($BB836/$BM836,"..")</f>
        <v>..</v>
      </c>
      <c r="BO836" s="801">
        <f t="shared" si="140"/>
        <v>29</v>
      </c>
      <c r="BP836" s="117">
        <f>VLOOKUP($D836,'WB Data'!$C$3:$M$578,9,FALSE)</f>
        <v>3.8</v>
      </c>
      <c r="BQ836" s="117">
        <f>VLOOKUP($D836,'WB Data'!$C$3:$M$578,10,FALSE)</f>
        <v>69.61</v>
      </c>
      <c r="BR836" s="117">
        <f>VLOOKUP($D836,'WB Data'!$C$3:$M$578,11,FALSE)</f>
        <v>16</v>
      </c>
      <c r="BS836" s="129">
        <f>IFERROR(VLOOKUP($D836,'WB Data 2'!$C$2:$K$545,9,FALSE),"..")</f>
        <v>98.947940000000003</v>
      </c>
      <c r="BT836" s="129">
        <f>_xlfn.IFNA(VLOOKUP($C836,RGI!$A$2:$C$43,2,FALSE),"..")</f>
        <v>77.5</v>
      </c>
      <c r="BU836" s="129">
        <f>_xlfn.IFNA(VLOOKUP($C836,RGI!$A$2:$C$43,3,FALSE),"..")</f>
        <v>57.362887635782535</v>
      </c>
      <c r="BV836" s="129">
        <f>VLOOKUP($D836,WGI!$C$2:$O$478,7,FALSE)</f>
        <v>-1.1496385941857801</v>
      </c>
      <c r="BW836" s="129">
        <f>VLOOKUP($D836,WGI!$C$2:$O$478,4,FALSE)</f>
        <v>-0.37452632023538601</v>
      </c>
      <c r="BX836" s="129">
        <f>VLOOKUP($D836,WGI!$C$2:$O$478,3,FALSE)</f>
        <v>-0.44134623486097901</v>
      </c>
      <c r="BY836" s="129">
        <f>VLOOKUP($D836,WGI!$C$2:$O$478,5,FALSE)</f>
        <v>-0.38661082404664399</v>
      </c>
      <c r="BZ836" s="129">
        <f>VLOOKUP($D836,WGI!$C$2:$O$478,2,FALSE)</f>
        <v>-0.88344460269611702</v>
      </c>
    </row>
    <row r="837" spans="1:80" ht="15" customHeight="1">
      <c r="A837" s="289" t="s">
        <v>279</v>
      </c>
      <c r="B837" s="146">
        <v>2012</v>
      </c>
      <c r="C837" s="117" t="s">
        <v>280</v>
      </c>
      <c r="D837" s="117" t="s">
        <v>3736</v>
      </c>
      <c r="E837" s="146" t="s">
        <v>39</v>
      </c>
      <c r="F837" s="146"/>
      <c r="G837" s="763" t="s">
        <v>24</v>
      </c>
      <c r="H837" s="763" t="s">
        <v>1475</v>
      </c>
      <c r="I837" s="146"/>
      <c r="J837" s="146"/>
      <c r="K837" s="146" t="s">
        <v>1475</v>
      </c>
      <c r="L837" s="146"/>
      <c r="M837" s="146"/>
      <c r="N837" s="120"/>
      <c r="O837" s="754"/>
      <c r="P837" s="754"/>
      <c r="Q837" s="760">
        <v>3000000</v>
      </c>
      <c r="R837" s="754"/>
      <c r="S837" s="146" t="s">
        <v>610</v>
      </c>
      <c r="T837" s="120"/>
      <c r="U837" s="119"/>
      <c r="V837" s="146"/>
      <c r="W837" s="146"/>
      <c r="X837" s="146"/>
      <c r="Y837" s="760"/>
      <c r="Z837" s="146"/>
      <c r="AA837" s="146"/>
      <c r="AB837" s="146"/>
      <c r="AC837" s="146"/>
      <c r="AD837" s="146"/>
      <c r="AE837" s="756"/>
      <c r="AF837" s="756"/>
      <c r="AG837" s="756"/>
      <c r="AH837" s="758"/>
      <c r="AI837" s="146"/>
      <c r="AJ837" s="759"/>
      <c r="AK837" s="146"/>
      <c r="AL837" s="146"/>
      <c r="AM837" s="760"/>
      <c r="AN837" s="146"/>
      <c r="AO837" s="146"/>
      <c r="AP837" s="146"/>
      <c r="AQ837" s="146"/>
      <c r="AR837" s="146"/>
      <c r="AS837" s="146"/>
      <c r="AT837" s="146"/>
      <c r="AU837" s="146"/>
      <c r="AV837" s="782"/>
      <c r="AW837" s="117">
        <f>VLOOKUP($D837,'WB Data'!$C$3:$M$578,2,FALSE)</f>
        <v>203517198088.69141</v>
      </c>
      <c r="AX837" s="117">
        <f>VLOOKUP($D837,'WB Data'!$C$3:$M$578,3,FALSE)</f>
        <v>16791425</v>
      </c>
      <c r="AY837" s="847">
        <f t="shared" si="141"/>
        <v>0.15071155977999059</v>
      </c>
      <c r="AZ837" s="117" t="e">
        <f>VLOOKUP($D837,'WB Data'!$C$3:$M$578,4,FALSE)/100</f>
        <v>#VALUE!</v>
      </c>
      <c r="BA837" s="117" t="str">
        <f t="shared" si="142"/>
        <v>..</v>
      </c>
      <c r="BB837" s="129">
        <f>IFERROR(VLOOKUP($D837,'EITI Revenues'!$C$2:$G$224,5,FALSE),"..")</f>
        <v>30672394366</v>
      </c>
      <c r="BC837" s="846" t="str">
        <f t="shared" si="143"/>
        <v>..</v>
      </c>
      <c r="BD837" s="129">
        <f>VLOOKUP($D837,'WB Data 2'!$C$2:$K$545,6,FALSE)</f>
        <v>72241491181.059692</v>
      </c>
      <c r="BE837" s="129">
        <f>IFERROR(VLOOKUP($D837,UNCTAD!$C$5:$V$529,4,FALSE),"..")</f>
        <v>91759340000</v>
      </c>
      <c r="BF837" s="846">
        <f t="shared" si="144"/>
        <v>0.78729305573753794</v>
      </c>
      <c r="BG837" s="117">
        <f>VLOOKUP($D837,'WB Data'!$C$3:$M$578,5,FALSE)</f>
        <v>129639999.99999999</v>
      </c>
      <c r="BH837" s="129">
        <f>IFERROR($BB837/$BG837,"..")</f>
        <v>236.59668594569581</v>
      </c>
      <c r="BI837" s="117" t="str">
        <f>IFERROR(VLOOKUP($D837,'WB Data'!$C$3:$M$578,7,FALSE)/100,"..")</f>
        <v>..</v>
      </c>
      <c r="BJ837" s="117" t="str">
        <f>IFERROR($BI837*$AW837,"..")</f>
        <v>..</v>
      </c>
      <c r="BK837" s="846" t="str">
        <f>IFERROR($BB837/$BJ837,"..")</f>
        <v>..</v>
      </c>
      <c r="BL837" s="117" t="str">
        <f>IFERROR(VLOOKUP($D837,'WB Data'!$C$3:$M$578,7,FALSE)/100,"..")</f>
        <v>..</v>
      </c>
      <c r="BM837" s="117" t="str">
        <f>IFERROR($AW837*$BL837,"..")</f>
        <v>..</v>
      </c>
      <c r="BN837" s="846" t="str">
        <f>IFERROR($BB837/$BM837,"..")</f>
        <v>..</v>
      </c>
      <c r="BO837" s="801">
        <f t="shared" si="140"/>
        <v>29</v>
      </c>
      <c r="BP837" s="117">
        <f>VLOOKUP($D837,'WB Data'!$C$3:$M$578,9,FALSE)</f>
        <v>3.8</v>
      </c>
      <c r="BQ837" s="117">
        <f>VLOOKUP($D837,'WB Data'!$C$3:$M$578,10,FALSE)</f>
        <v>69.61</v>
      </c>
      <c r="BR837" s="117">
        <f>VLOOKUP($D837,'WB Data'!$C$3:$M$578,11,FALSE)</f>
        <v>16</v>
      </c>
      <c r="BS837" s="129">
        <f>IFERROR(VLOOKUP($D837,'WB Data 2'!$C$2:$K$545,9,FALSE),"..")</f>
        <v>98.947940000000003</v>
      </c>
      <c r="BT837" s="129">
        <f>_xlfn.IFNA(VLOOKUP($C837,RGI!$A$2:$C$43,2,FALSE),"..")</f>
        <v>77.5</v>
      </c>
      <c r="BU837" s="129">
        <f>_xlfn.IFNA(VLOOKUP($C837,RGI!$A$2:$C$43,3,FALSE),"..")</f>
        <v>57.362887635782535</v>
      </c>
      <c r="BV837" s="129">
        <f>VLOOKUP($D837,WGI!$C$2:$O$478,7,FALSE)</f>
        <v>-1.1496385941857801</v>
      </c>
      <c r="BW837" s="129">
        <f>VLOOKUP($D837,WGI!$C$2:$O$478,4,FALSE)</f>
        <v>-0.37452632023538601</v>
      </c>
      <c r="BX837" s="129">
        <f>VLOOKUP($D837,WGI!$C$2:$O$478,3,FALSE)</f>
        <v>-0.44134623486097901</v>
      </c>
      <c r="BY837" s="129">
        <f>VLOOKUP($D837,WGI!$C$2:$O$478,5,FALSE)</f>
        <v>-0.38661082404664399</v>
      </c>
      <c r="BZ837" s="129">
        <f>VLOOKUP($D837,WGI!$C$2:$O$478,2,FALSE)</f>
        <v>-0.88344460269611702</v>
      </c>
    </row>
    <row r="838" spans="1:80" ht="15" customHeight="1">
      <c r="A838" s="289" t="s">
        <v>279</v>
      </c>
      <c r="B838" s="146">
        <v>2012</v>
      </c>
      <c r="C838" s="117" t="s">
        <v>280</v>
      </c>
      <c r="D838" s="117" t="s">
        <v>3736</v>
      </c>
      <c r="E838" s="146" t="s">
        <v>39</v>
      </c>
      <c r="F838" s="146"/>
      <c r="G838" s="763" t="s">
        <v>24</v>
      </c>
      <c r="H838" s="763" t="s">
        <v>1476</v>
      </c>
      <c r="I838" s="146"/>
      <c r="J838" s="146"/>
      <c r="K838" s="146" t="s">
        <v>1476</v>
      </c>
      <c r="L838" s="146"/>
      <c r="M838" s="146"/>
      <c r="N838" s="120"/>
      <c r="O838" s="754"/>
      <c r="P838" s="754"/>
      <c r="Q838" s="760">
        <v>5200000</v>
      </c>
      <c r="R838" s="754"/>
      <c r="S838" s="146" t="s">
        <v>610</v>
      </c>
      <c r="T838" s="120"/>
      <c r="U838" s="119"/>
      <c r="V838" s="146"/>
      <c r="W838" s="146"/>
      <c r="X838" s="757"/>
      <c r="Y838" s="760"/>
      <c r="Z838" s="146"/>
      <c r="AA838" s="146"/>
      <c r="AB838" s="146"/>
      <c r="AC838" s="146"/>
      <c r="AD838" s="146"/>
      <c r="AE838" s="756"/>
      <c r="AF838" s="756"/>
      <c r="AG838" s="756"/>
      <c r="AH838" s="758"/>
      <c r="AI838" s="146"/>
      <c r="AJ838" s="759"/>
      <c r="AK838" s="146"/>
      <c r="AL838" s="146"/>
      <c r="AM838" s="760"/>
      <c r="AN838" s="146"/>
      <c r="AO838" s="146"/>
      <c r="AP838" s="146"/>
      <c r="AQ838" s="146"/>
      <c r="AR838" s="146"/>
      <c r="AS838" s="146"/>
      <c r="AT838" s="146"/>
      <c r="AU838" s="146"/>
      <c r="AV838" s="782"/>
      <c r="AW838" s="117">
        <f>VLOOKUP($D838,'WB Data'!$C$3:$M$578,2,FALSE)</f>
        <v>203517198088.69141</v>
      </c>
      <c r="AX838" s="117">
        <f>VLOOKUP($D838,'WB Data'!$C$3:$M$578,3,FALSE)</f>
        <v>16791425</v>
      </c>
      <c r="AY838" s="847">
        <f t="shared" si="141"/>
        <v>0.15071155977999059</v>
      </c>
      <c r="AZ838" s="117" t="e">
        <f>VLOOKUP($D838,'WB Data'!$C$3:$M$578,4,FALSE)/100</f>
        <v>#VALUE!</v>
      </c>
      <c r="BA838" s="117" t="str">
        <f t="shared" si="142"/>
        <v>..</v>
      </c>
      <c r="BB838" s="129">
        <f>IFERROR(VLOOKUP($D838,'EITI Revenues'!$C$2:$G$224,5,FALSE),"..")</f>
        <v>30672394366</v>
      </c>
      <c r="BC838" s="846" t="str">
        <f t="shared" si="143"/>
        <v>..</v>
      </c>
      <c r="BD838" s="129">
        <f>VLOOKUP($D838,'WB Data 2'!$C$2:$K$545,6,FALSE)</f>
        <v>72241491181.059692</v>
      </c>
      <c r="BE838" s="129">
        <f>IFERROR(VLOOKUP($D838,UNCTAD!$C$5:$V$529,4,FALSE),"..")</f>
        <v>91759340000</v>
      </c>
      <c r="BF838" s="846">
        <f t="shared" si="144"/>
        <v>0.78729305573753794</v>
      </c>
      <c r="BG838" s="117">
        <f>VLOOKUP($D838,'WB Data'!$C$3:$M$578,5,FALSE)</f>
        <v>129639999.99999999</v>
      </c>
      <c r="BH838" s="129">
        <f>IFERROR($BB838/$BG838,"..")</f>
        <v>236.59668594569581</v>
      </c>
      <c r="BI838" s="117" t="str">
        <f>IFERROR(VLOOKUP($D838,'WB Data'!$C$3:$M$578,7,FALSE)/100,"..")</f>
        <v>..</v>
      </c>
      <c r="BJ838" s="117" t="str">
        <f>IFERROR($BI838*$AW838,"..")</f>
        <v>..</v>
      </c>
      <c r="BK838" s="846" t="str">
        <f>IFERROR($BB838/$BJ838,"..")</f>
        <v>..</v>
      </c>
      <c r="BL838" s="117" t="str">
        <f>IFERROR(VLOOKUP($D838,'WB Data'!$C$3:$M$578,7,FALSE)/100,"..")</f>
        <v>..</v>
      </c>
      <c r="BM838" s="117" t="str">
        <f>IFERROR($AW838*$BL838,"..")</f>
        <v>..</v>
      </c>
      <c r="BN838" s="846" t="str">
        <f>IFERROR($BB838/$BM838,"..")</f>
        <v>..</v>
      </c>
      <c r="BO838" s="801">
        <f t="shared" si="140"/>
        <v>29</v>
      </c>
      <c r="BP838" s="117">
        <f>VLOOKUP($D838,'WB Data'!$C$3:$M$578,9,FALSE)</f>
        <v>3.8</v>
      </c>
      <c r="BQ838" s="117">
        <f>VLOOKUP($D838,'WB Data'!$C$3:$M$578,10,FALSE)</f>
        <v>69.61</v>
      </c>
      <c r="BR838" s="117">
        <f>VLOOKUP($D838,'WB Data'!$C$3:$M$578,11,FALSE)</f>
        <v>16</v>
      </c>
      <c r="BS838" s="129">
        <f>IFERROR(VLOOKUP($D838,'WB Data 2'!$C$2:$K$545,9,FALSE),"..")</f>
        <v>98.947940000000003</v>
      </c>
      <c r="BT838" s="129">
        <f>_xlfn.IFNA(VLOOKUP($C838,RGI!$A$2:$C$43,2,FALSE),"..")</f>
        <v>77.5</v>
      </c>
      <c r="BU838" s="129">
        <f>_xlfn.IFNA(VLOOKUP($C838,RGI!$A$2:$C$43,3,FALSE),"..")</f>
        <v>57.362887635782535</v>
      </c>
      <c r="BV838" s="129">
        <f>VLOOKUP($D838,WGI!$C$2:$O$478,7,FALSE)</f>
        <v>-1.1496385941857801</v>
      </c>
      <c r="BW838" s="129">
        <f>VLOOKUP($D838,WGI!$C$2:$O$478,4,FALSE)</f>
        <v>-0.37452632023538601</v>
      </c>
      <c r="BX838" s="129">
        <f>VLOOKUP($D838,WGI!$C$2:$O$478,3,FALSE)</f>
        <v>-0.44134623486097901</v>
      </c>
      <c r="BY838" s="129">
        <f>VLOOKUP($D838,WGI!$C$2:$O$478,5,FALSE)</f>
        <v>-0.38661082404664399</v>
      </c>
      <c r="BZ838" s="129">
        <f>VLOOKUP($D838,WGI!$C$2:$O$478,2,FALSE)</f>
        <v>-0.88344460269611702</v>
      </c>
    </row>
    <row r="839" spans="1:80" s="158" customFormat="1" ht="15" customHeight="1">
      <c r="A839" s="769" t="s">
        <v>279</v>
      </c>
      <c r="B839" s="392">
        <v>2012</v>
      </c>
      <c r="C839" s="117" t="s">
        <v>280</v>
      </c>
      <c r="D839" s="117" t="s">
        <v>3736</v>
      </c>
      <c r="E839" s="392" t="s">
        <v>39</v>
      </c>
      <c r="F839" s="392"/>
      <c r="G839" s="393" t="s">
        <v>24</v>
      </c>
      <c r="H839" s="393" t="s">
        <v>1477</v>
      </c>
      <c r="I839" s="392"/>
      <c r="J839" s="392"/>
      <c r="K839" s="392" t="s">
        <v>1477</v>
      </c>
      <c r="L839" s="392"/>
      <c r="M839" s="392"/>
      <c r="O839" s="395"/>
      <c r="P839" s="395"/>
      <c r="Q839" s="396">
        <v>5200000</v>
      </c>
      <c r="R839" s="395"/>
      <c r="S839" s="392" t="s">
        <v>610</v>
      </c>
      <c r="U839" s="151"/>
      <c r="V839" s="392"/>
      <c r="W839" s="392"/>
      <c r="X839" s="397"/>
      <c r="Y839" s="396"/>
      <c r="Z839" s="392"/>
      <c r="AA839" s="392"/>
      <c r="AB839" s="392"/>
      <c r="AC839" s="392"/>
      <c r="AD839" s="392"/>
      <c r="AE839" s="398"/>
      <c r="AF839" s="398"/>
      <c r="AG839" s="398"/>
      <c r="AH839" s="399"/>
      <c r="AI839" s="392"/>
      <c r="AJ839" s="400"/>
      <c r="AK839" s="392"/>
      <c r="AL839" s="392"/>
      <c r="AM839" s="396"/>
      <c r="AN839" s="392"/>
      <c r="AO839" s="392"/>
      <c r="AP839" s="392"/>
      <c r="AQ839" s="392"/>
      <c r="AR839" s="392"/>
      <c r="AS839" s="392"/>
      <c r="AT839" s="392"/>
      <c r="AU839" s="392"/>
      <c r="AV839" s="785"/>
      <c r="AW839" s="117">
        <f>VLOOKUP($D839,'WB Data'!$C$3:$M$578,2,FALSE)</f>
        <v>203517198088.69141</v>
      </c>
      <c r="AX839" s="117">
        <f>VLOOKUP($D839,'WB Data'!$C$3:$M$578,3,FALSE)</f>
        <v>16791425</v>
      </c>
      <c r="AY839" s="847">
        <f t="shared" si="141"/>
        <v>0.15071155977999059</v>
      </c>
      <c r="AZ839" s="117" t="e">
        <f>VLOOKUP($D839,'WB Data'!$C$3:$M$578,4,FALSE)/100</f>
        <v>#VALUE!</v>
      </c>
      <c r="BA839" s="117" t="str">
        <f t="shared" si="142"/>
        <v>..</v>
      </c>
      <c r="BB839" s="129">
        <f>IFERROR(VLOOKUP($D839,'EITI Revenues'!$C$2:$G$224,5,FALSE),"..")</f>
        <v>30672394366</v>
      </c>
      <c r="BC839" s="846" t="str">
        <f t="shared" si="143"/>
        <v>..</v>
      </c>
      <c r="BD839" s="129">
        <f>VLOOKUP($D839,'WB Data 2'!$C$2:$K$545,6,FALSE)</f>
        <v>72241491181.059692</v>
      </c>
      <c r="BE839" s="129">
        <f>IFERROR(VLOOKUP($D839,UNCTAD!$C$5:$V$529,4,FALSE),"..")</f>
        <v>91759340000</v>
      </c>
      <c r="BF839" s="846">
        <f t="shared" si="144"/>
        <v>0.78729305573753794</v>
      </c>
      <c r="BG839" s="117">
        <f>VLOOKUP($D839,'WB Data'!$C$3:$M$578,5,FALSE)</f>
        <v>129639999.99999999</v>
      </c>
      <c r="BH839" s="129">
        <f>IFERROR($BB839/$BG839,"..")</f>
        <v>236.59668594569581</v>
      </c>
      <c r="BI839" s="117" t="str">
        <f>IFERROR(VLOOKUP($D839,'WB Data'!$C$3:$M$578,7,FALSE)/100,"..")</f>
        <v>..</v>
      </c>
      <c r="BJ839" s="117" t="str">
        <f>IFERROR($BI839*$AW839,"..")</f>
        <v>..</v>
      </c>
      <c r="BK839" s="846" t="str">
        <f>IFERROR($BB839/$BJ839,"..")</f>
        <v>..</v>
      </c>
      <c r="BL839" s="117" t="str">
        <f>IFERROR(VLOOKUP($D839,'WB Data'!$C$3:$M$578,7,FALSE)/100,"..")</f>
        <v>..</v>
      </c>
      <c r="BM839" s="117" t="str">
        <f>IFERROR($AW839*$BL839,"..")</f>
        <v>..</v>
      </c>
      <c r="BN839" s="846" t="str">
        <f>IFERROR($BB839/$BM839,"..")</f>
        <v>..</v>
      </c>
      <c r="BO839" s="801">
        <f t="shared" si="140"/>
        <v>29</v>
      </c>
      <c r="BP839" s="117">
        <f>VLOOKUP($D839,'WB Data'!$C$3:$M$578,9,FALSE)</f>
        <v>3.8</v>
      </c>
      <c r="BQ839" s="117">
        <f>VLOOKUP($D839,'WB Data'!$C$3:$M$578,10,FALSE)</f>
        <v>69.61</v>
      </c>
      <c r="BR839" s="117">
        <f>VLOOKUP($D839,'WB Data'!$C$3:$M$578,11,FALSE)</f>
        <v>16</v>
      </c>
      <c r="BS839" s="129">
        <f>IFERROR(VLOOKUP($D839,'WB Data 2'!$C$2:$K$545,9,FALSE),"..")</f>
        <v>98.947940000000003</v>
      </c>
      <c r="BT839" s="129">
        <f>_xlfn.IFNA(VLOOKUP($C839,RGI!$A$2:$C$43,2,FALSE),"..")</f>
        <v>77.5</v>
      </c>
      <c r="BU839" s="129">
        <f>_xlfn.IFNA(VLOOKUP($C839,RGI!$A$2:$C$43,3,FALSE),"..")</f>
        <v>57.362887635782535</v>
      </c>
      <c r="BV839" s="129">
        <f>VLOOKUP($D839,WGI!$C$2:$O$478,7,FALSE)</f>
        <v>-1.1496385941857801</v>
      </c>
      <c r="BW839" s="129">
        <f>VLOOKUP($D839,WGI!$C$2:$O$478,4,FALSE)</f>
        <v>-0.37452632023538601</v>
      </c>
      <c r="BX839" s="129">
        <f>VLOOKUP($D839,WGI!$C$2:$O$478,3,FALSE)</f>
        <v>-0.44134623486097901</v>
      </c>
      <c r="BY839" s="129">
        <f>VLOOKUP($D839,WGI!$C$2:$O$478,5,FALSE)</f>
        <v>-0.38661082404664399</v>
      </c>
      <c r="BZ839" s="129">
        <f>VLOOKUP($D839,WGI!$C$2:$O$478,2,FALSE)</f>
        <v>-0.88344460269611702</v>
      </c>
      <c r="CB839" s="129"/>
    </row>
    <row r="840" spans="1:80" ht="15" customHeight="1">
      <c r="A840" s="289" t="s">
        <v>282</v>
      </c>
      <c r="B840" s="146">
        <v>2013</v>
      </c>
      <c r="C840" s="117" t="s">
        <v>280</v>
      </c>
      <c r="D840" s="117" t="s">
        <v>3770</v>
      </c>
      <c r="E840" s="146" t="s">
        <v>39</v>
      </c>
      <c r="F840" s="146" t="s">
        <v>1467</v>
      </c>
      <c r="G840" s="146" t="s">
        <v>35</v>
      </c>
      <c r="H840" s="146"/>
      <c r="I840" s="146"/>
      <c r="J840" s="146"/>
      <c r="K840" s="146" t="s">
        <v>709</v>
      </c>
      <c r="L840" s="146"/>
      <c r="M840" s="146"/>
      <c r="N840" s="754"/>
      <c r="O840" s="754"/>
      <c r="P840" s="754"/>
      <c r="Q840" s="146"/>
      <c r="R840" s="754"/>
      <c r="S840" s="146"/>
      <c r="T840" s="119"/>
      <c r="U840" s="146"/>
      <c r="V840" s="146" t="s">
        <v>725</v>
      </c>
      <c r="W840" s="303"/>
      <c r="X840" s="146" t="s">
        <v>720</v>
      </c>
      <c r="Y840" s="146" t="s">
        <v>602</v>
      </c>
      <c r="Z840" s="146" t="s">
        <v>664</v>
      </c>
      <c r="AA840" s="537">
        <v>30773721236</v>
      </c>
      <c r="AB840" s="537">
        <v>31961400394</v>
      </c>
      <c r="AC840" s="756"/>
      <c r="AD840" s="766"/>
      <c r="AE840" s="756"/>
      <c r="AF840" s="758"/>
      <c r="AG840" s="146" t="s">
        <v>1469</v>
      </c>
      <c r="AH840" s="759">
        <v>152.1</v>
      </c>
      <c r="AI840" s="146" t="s">
        <v>722</v>
      </c>
      <c r="AJ840" s="146"/>
      <c r="AK840" s="760"/>
      <c r="AL840" s="146"/>
      <c r="AM840" s="146"/>
      <c r="AN840" s="146">
        <v>208</v>
      </c>
      <c r="AO840" s="146"/>
      <c r="AP840" s="146">
        <v>203</v>
      </c>
      <c r="AQ840" s="239" t="s">
        <v>50</v>
      </c>
      <c r="AR840" s="146"/>
      <c r="AS840" s="146" t="s">
        <v>1470</v>
      </c>
      <c r="AT840" s="146" t="s">
        <v>283</v>
      </c>
      <c r="AU840" s="146"/>
      <c r="AV840" s="128" t="s">
        <v>1478</v>
      </c>
      <c r="AW840" s="117">
        <f>VLOOKUP($D840,'WB Data'!$C$3:$M$578,2,FALSE)</f>
        <v>231876282133.87042</v>
      </c>
      <c r="AX840" s="117">
        <f>VLOOKUP($D840,'WB Data'!$C$3:$M$578,3,FALSE)</f>
        <v>17037508</v>
      </c>
      <c r="AY840" s="847">
        <f t="shared" si="141"/>
        <v>0.13271612323951804</v>
      </c>
      <c r="AZ840" s="117" t="e">
        <f>VLOOKUP($D840,'WB Data'!$C$3:$M$578,4,FALSE)/100</f>
        <v>#VALUE!</v>
      </c>
      <c r="BA840" s="117" t="str">
        <f t="shared" si="142"/>
        <v>..</v>
      </c>
      <c r="BB840" s="129">
        <f>IFERROR(VLOOKUP($D840,'EITI Revenues'!$C$2:$G$224,5,FALSE),"..")</f>
        <v>30773721236</v>
      </c>
      <c r="BC840" s="846" t="str">
        <f t="shared" si="143"/>
        <v>..</v>
      </c>
      <c r="BD840" s="129">
        <f>VLOOKUP($D840,'WB Data 2'!$C$2:$K$545,6,FALSE)</f>
        <v>71262762634.017365</v>
      </c>
      <c r="BE840" s="129">
        <f>IFERROR(VLOOKUP($D840,UNCTAD!$C$5:$V$529,4,FALSE),"..")</f>
        <v>88675823000</v>
      </c>
      <c r="BF840" s="846">
        <f t="shared" si="144"/>
        <v>0.80363237941436827</v>
      </c>
      <c r="BG840" s="117" t="str">
        <f>VLOOKUP($D840,'WB Data'!$C$3:$M$578,5,FALSE)</f>
        <v>..</v>
      </c>
      <c r="BH840" s="129" t="str">
        <f>IFERROR($BB840/$BG840,"..")</f>
        <v>..</v>
      </c>
      <c r="BI840" s="117" t="str">
        <f>IFERROR(VLOOKUP($D840,'WB Data'!$C$3:$M$578,7,FALSE)/100,"..")</f>
        <v>..</v>
      </c>
      <c r="BJ840" s="117" t="str">
        <f>IFERROR($BI840*$AW840,"..")</f>
        <v>..</v>
      </c>
      <c r="BK840" s="846" t="str">
        <f>IFERROR($BB840/$BJ840,"..")</f>
        <v>..</v>
      </c>
      <c r="BL840" s="117" t="str">
        <f>IFERROR(VLOOKUP($D840,'WB Data'!$C$3:$M$578,7,FALSE)/100,"..")</f>
        <v>..</v>
      </c>
      <c r="BM840" s="117" t="str">
        <f>IFERROR($AW840*$BL840,"..")</f>
        <v>..</v>
      </c>
      <c r="BN840" s="846" t="str">
        <f>IFERROR($BB840/$BM840,"..")</f>
        <v>..</v>
      </c>
      <c r="BO840" s="801">
        <f t="shared" si="140"/>
        <v>29</v>
      </c>
      <c r="BP840" s="117">
        <f>VLOOKUP($D840,'WB Data'!$C$3:$M$578,9,FALSE)</f>
        <v>2.9</v>
      </c>
      <c r="BQ840" s="117" t="str">
        <f>VLOOKUP($D840,'WB Data'!$C$3:$M$578,10,FALSE)</f>
        <v>..</v>
      </c>
      <c r="BR840" s="117">
        <f>VLOOKUP($D840,'WB Data'!$C$3:$M$578,11,FALSE)</f>
        <v>14.6</v>
      </c>
      <c r="BS840" s="129">
        <f>IFERROR(VLOOKUP($D840,'WB Data 2'!$C$2:$K$545,9,FALSE),"..")</f>
        <v>98.741479999999996</v>
      </c>
      <c r="BT840" s="129">
        <f>_xlfn.IFNA(VLOOKUP($C840,RGI!$A$2:$C$43,2,FALSE),"..")</f>
        <v>77.5</v>
      </c>
      <c r="BU840" s="129">
        <f>_xlfn.IFNA(VLOOKUP($C840,RGI!$A$2:$C$43,3,FALSE),"..")</f>
        <v>57.362887635782535</v>
      </c>
      <c r="BV840" s="129">
        <f>VLOOKUP($D840,WGI!$C$2:$O$478,7,FALSE)</f>
        <v>-1.2243735790252701</v>
      </c>
      <c r="BW840" s="129">
        <f>VLOOKUP($D840,WGI!$C$2:$O$478,4,FALSE)</f>
        <v>-0.38138318061828602</v>
      </c>
      <c r="BX840" s="129">
        <f>VLOOKUP($D840,WGI!$C$2:$O$478,3,FALSE)</f>
        <v>-0.53702217340469405</v>
      </c>
      <c r="BY840" s="129">
        <f>VLOOKUP($D840,WGI!$C$2:$O$478,5,FALSE)</f>
        <v>-0.38304501771926902</v>
      </c>
      <c r="BZ840" s="129">
        <f>VLOOKUP($D840,WGI!$C$2:$O$478,2,FALSE)</f>
        <v>-0.89843583106994596</v>
      </c>
    </row>
    <row r="841" spans="1:80" ht="15" customHeight="1">
      <c r="A841" s="289" t="s">
        <v>282</v>
      </c>
      <c r="B841" s="146">
        <v>2013</v>
      </c>
      <c r="C841" s="117" t="s">
        <v>280</v>
      </c>
      <c r="D841" s="117" t="s">
        <v>3770</v>
      </c>
      <c r="E841" s="146" t="s">
        <v>39</v>
      </c>
      <c r="F841" s="146"/>
      <c r="G841" s="146" t="s">
        <v>103</v>
      </c>
      <c r="H841" s="146"/>
      <c r="I841" s="146"/>
      <c r="J841" s="146"/>
      <c r="K841" s="146" t="s">
        <v>103</v>
      </c>
      <c r="L841" s="146"/>
      <c r="M841" s="146"/>
      <c r="N841" s="754"/>
      <c r="O841" s="754"/>
      <c r="P841" s="754"/>
      <c r="Q841" s="760">
        <v>81100000</v>
      </c>
      <c r="R841" s="754"/>
      <c r="S841" s="146" t="s">
        <v>610</v>
      </c>
      <c r="T841" s="119"/>
      <c r="U841" s="146"/>
      <c r="V841" s="760"/>
      <c r="W841" s="146"/>
      <c r="X841" s="146"/>
      <c r="Y841" s="146"/>
      <c r="Z841" s="146"/>
      <c r="AA841" s="146"/>
      <c r="AB841" s="146"/>
      <c r="AC841" s="756"/>
      <c r="AD841" s="756"/>
      <c r="AE841" s="756"/>
      <c r="AF841" s="758"/>
      <c r="AG841" s="146"/>
      <c r="AH841" s="759"/>
      <c r="AI841" s="146"/>
      <c r="AJ841" s="146"/>
      <c r="AK841" s="760"/>
      <c r="AL841" s="146"/>
      <c r="AM841" s="146"/>
      <c r="AN841" s="146"/>
      <c r="AO841" s="146"/>
      <c r="AP841" s="146"/>
      <c r="AQ841" s="146"/>
      <c r="AR841" s="146"/>
      <c r="AS841" s="146"/>
      <c r="AT841" s="146"/>
      <c r="AU841" s="146"/>
      <c r="AV841" s="128"/>
      <c r="AW841" s="117">
        <f>VLOOKUP($D841,'WB Data'!$C$3:$M$578,2,FALSE)</f>
        <v>231876282133.87042</v>
      </c>
      <c r="AX841" s="117">
        <f>VLOOKUP($D841,'WB Data'!$C$3:$M$578,3,FALSE)</f>
        <v>17037508</v>
      </c>
      <c r="AY841" s="847">
        <f t="shared" si="141"/>
        <v>0.13271612323951804</v>
      </c>
      <c r="AZ841" s="117" t="e">
        <f>VLOOKUP($D841,'WB Data'!$C$3:$M$578,4,FALSE)/100</f>
        <v>#VALUE!</v>
      </c>
      <c r="BA841" s="117" t="str">
        <f t="shared" si="142"/>
        <v>..</v>
      </c>
      <c r="BB841" s="129">
        <f>IFERROR(VLOOKUP($D841,'EITI Revenues'!$C$2:$G$224,5,FALSE),"..")</f>
        <v>30773721236</v>
      </c>
      <c r="BC841" s="846" t="str">
        <f t="shared" si="143"/>
        <v>..</v>
      </c>
      <c r="BD841" s="129">
        <f>VLOOKUP($D841,'WB Data 2'!$C$2:$K$545,6,FALSE)</f>
        <v>71262762634.017365</v>
      </c>
      <c r="BE841" s="129">
        <f>IFERROR(VLOOKUP($D841,UNCTAD!$C$5:$V$529,4,FALSE),"..")</f>
        <v>88675823000</v>
      </c>
      <c r="BF841" s="846">
        <f t="shared" si="144"/>
        <v>0.80363237941436827</v>
      </c>
      <c r="BG841" s="117" t="str">
        <f>VLOOKUP($D841,'WB Data'!$C$3:$M$578,5,FALSE)</f>
        <v>..</v>
      </c>
      <c r="BH841" s="129" t="str">
        <f>IFERROR($BB841/$BG841,"..")</f>
        <v>..</v>
      </c>
      <c r="BI841" s="117" t="str">
        <f>IFERROR(VLOOKUP($D841,'WB Data'!$C$3:$M$578,7,FALSE)/100,"..")</f>
        <v>..</v>
      </c>
      <c r="BJ841" s="117" t="str">
        <f>IFERROR($BI841*$AW841,"..")</f>
        <v>..</v>
      </c>
      <c r="BK841" s="846" t="str">
        <f>IFERROR($BB841/$BJ841,"..")</f>
        <v>..</v>
      </c>
      <c r="BL841" s="117" t="str">
        <f>IFERROR(VLOOKUP($D841,'WB Data'!$C$3:$M$578,7,FALSE)/100,"..")</f>
        <v>..</v>
      </c>
      <c r="BM841" s="117" t="str">
        <f>IFERROR($AW841*$BL841,"..")</f>
        <v>..</v>
      </c>
      <c r="BN841" s="846" t="str">
        <f>IFERROR($BB841/$BM841,"..")</f>
        <v>..</v>
      </c>
      <c r="BO841" s="801">
        <f t="shared" si="140"/>
        <v>29</v>
      </c>
      <c r="BP841" s="117">
        <f>VLOOKUP($D841,'WB Data'!$C$3:$M$578,9,FALSE)</f>
        <v>2.9</v>
      </c>
      <c r="BQ841" s="117" t="str">
        <f>VLOOKUP($D841,'WB Data'!$C$3:$M$578,10,FALSE)</f>
        <v>..</v>
      </c>
      <c r="BR841" s="117">
        <f>VLOOKUP($D841,'WB Data'!$C$3:$M$578,11,FALSE)</f>
        <v>14.6</v>
      </c>
      <c r="BS841" s="129">
        <f>IFERROR(VLOOKUP($D841,'WB Data 2'!$C$2:$K$545,9,FALSE),"..")</f>
        <v>98.741479999999996</v>
      </c>
      <c r="BT841" s="129">
        <f>_xlfn.IFNA(VLOOKUP($C841,RGI!$A$2:$C$43,2,FALSE),"..")</f>
        <v>77.5</v>
      </c>
      <c r="BU841" s="129">
        <f>_xlfn.IFNA(VLOOKUP($C841,RGI!$A$2:$C$43,3,FALSE),"..")</f>
        <v>57.362887635782535</v>
      </c>
      <c r="BV841" s="129">
        <f>VLOOKUP($D841,WGI!$C$2:$O$478,7,FALSE)</f>
        <v>-1.2243735790252701</v>
      </c>
      <c r="BW841" s="129">
        <f>VLOOKUP($D841,WGI!$C$2:$O$478,4,FALSE)</f>
        <v>-0.38138318061828602</v>
      </c>
      <c r="BX841" s="129">
        <f>VLOOKUP($D841,WGI!$C$2:$O$478,3,FALSE)</f>
        <v>-0.53702217340469405</v>
      </c>
      <c r="BY841" s="129">
        <f>VLOOKUP($D841,WGI!$C$2:$O$478,5,FALSE)</f>
        <v>-0.38304501771926902</v>
      </c>
      <c r="BZ841" s="129">
        <f>VLOOKUP($D841,WGI!$C$2:$O$478,2,FALSE)</f>
        <v>-0.89843583106994596</v>
      </c>
    </row>
    <row r="842" spans="1:80" ht="15" customHeight="1">
      <c r="A842" s="289" t="s">
        <v>282</v>
      </c>
      <c r="B842" s="146">
        <v>2013</v>
      </c>
      <c r="C842" s="117" t="s">
        <v>280</v>
      </c>
      <c r="D842" s="117" t="s">
        <v>3770</v>
      </c>
      <c r="E842" s="146" t="s">
        <v>39</v>
      </c>
      <c r="F842" s="146"/>
      <c r="G842" s="146" t="s">
        <v>561</v>
      </c>
      <c r="H842" s="146"/>
      <c r="I842" s="146"/>
      <c r="J842" s="146"/>
      <c r="K842" s="146" t="s">
        <v>561</v>
      </c>
      <c r="L842" s="146"/>
      <c r="M842" s="146"/>
      <c r="N842" s="754"/>
      <c r="O842" s="754"/>
      <c r="P842" s="754"/>
      <c r="Q842" s="760">
        <v>42300000</v>
      </c>
      <c r="R842" s="754"/>
      <c r="S842" s="117" t="s">
        <v>642</v>
      </c>
      <c r="T842" s="119"/>
      <c r="U842" s="146"/>
      <c r="V842" s="146"/>
      <c r="W842" s="146"/>
      <c r="X842" s="146"/>
      <c r="Y842" s="146"/>
      <c r="Z842" s="146"/>
      <c r="AA842" s="146"/>
      <c r="AB842" s="146"/>
      <c r="AC842" s="756"/>
      <c r="AD842" s="756"/>
      <c r="AE842" s="756"/>
      <c r="AF842" s="758"/>
      <c r="AG842" s="146"/>
      <c r="AH842" s="759"/>
      <c r="AI842" s="146"/>
      <c r="AJ842" s="146"/>
      <c r="AK842" s="760"/>
      <c r="AL842" s="146"/>
      <c r="AM842" s="146"/>
      <c r="AN842" s="146"/>
      <c r="AO842" s="146"/>
      <c r="AP842" s="146"/>
      <c r="AQ842" s="146"/>
      <c r="AR842" s="146"/>
      <c r="AS842" s="146"/>
      <c r="AT842" s="146"/>
      <c r="AU842" s="146"/>
      <c r="AV842" s="128"/>
      <c r="AW842" s="117">
        <f>VLOOKUP($D842,'WB Data'!$C$3:$M$578,2,FALSE)</f>
        <v>231876282133.87042</v>
      </c>
      <c r="AX842" s="117">
        <f>VLOOKUP($D842,'WB Data'!$C$3:$M$578,3,FALSE)</f>
        <v>17037508</v>
      </c>
      <c r="AY842" s="847">
        <f t="shared" si="141"/>
        <v>0.13271612323951804</v>
      </c>
      <c r="AZ842" s="117" t="e">
        <f>VLOOKUP($D842,'WB Data'!$C$3:$M$578,4,FALSE)/100</f>
        <v>#VALUE!</v>
      </c>
      <c r="BA842" s="117" t="str">
        <f t="shared" si="142"/>
        <v>..</v>
      </c>
      <c r="BB842" s="129">
        <f>IFERROR(VLOOKUP($D842,'EITI Revenues'!$C$2:$G$224,5,FALSE),"..")</f>
        <v>30773721236</v>
      </c>
      <c r="BC842" s="846" t="str">
        <f t="shared" si="143"/>
        <v>..</v>
      </c>
      <c r="BD842" s="129">
        <f>VLOOKUP($D842,'WB Data 2'!$C$2:$K$545,6,FALSE)</f>
        <v>71262762634.017365</v>
      </c>
      <c r="BE842" s="129">
        <f>IFERROR(VLOOKUP($D842,UNCTAD!$C$5:$V$529,4,FALSE),"..")</f>
        <v>88675823000</v>
      </c>
      <c r="BF842" s="846">
        <f t="shared" si="144"/>
        <v>0.80363237941436827</v>
      </c>
      <c r="BG842" s="117" t="str">
        <f>VLOOKUP($D842,'WB Data'!$C$3:$M$578,5,FALSE)</f>
        <v>..</v>
      </c>
      <c r="BH842" s="129" t="str">
        <f>IFERROR($BB842/$BG842,"..")</f>
        <v>..</v>
      </c>
      <c r="BI842" s="117" t="str">
        <f>IFERROR(VLOOKUP($D842,'WB Data'!$C$3:$M$578,7,FALSE)/100,"..")</f>
        <v>..</v>
      </c>
      <c r="BJ842" s="117" t="str">
        <f>IFERROR($BI842*$AW842,"..")</f>
        <v>..</v>
      </c>
      <c r="BK842" s="846" t="str">
        <f>IFERROR($BB842/$BJ842,"..")</f>
        <v>..</v>
      </c>
      <c r="BL842" s="117" t="str">
        <f>IFERROR(VLOOKUP($D842,'WB Data'!$C$3:$M$578,7,FALSE)/100,"..")</f>
        <v>..</v>
      </c>
      <c r="BM842" s="117" t="str">
        <f>IFERROR($AW842*$BL842,"..")</f>
        <v>..</v>
      </c>
      <c r="BN842" s="846" t="str">
        <f>IFERROR($BB842/$BM842,"..")</f>
        <v>..</v>
      </c>
      <c r="BO842" s="801">
        <f t="shared" si="140"/>
        <v>29</v>
      </c>
      <c r="BP842" s="117">
        <f>VLOOKUP($D842,'WB Data'!$C$3:$M$578,9,FALSE)</f>
        <v>2.9</v>
      </c>
      <c r="BQ842" s="117" t="str">
        <f>VLOOKUP($D842,'WB Data'!$C$3:$M$578,10,FALSE)</f>
        <v>..</v>
      </c>
      <c r="BR842" s="117">
        <f>VLOOKUP($D842,'WB Data'!$C$3:$M$578,11,FALSE)</f>
        <v>14.6</v>
      </c>
      <c r="BS842" s="129">
        <f>IFERROR(VLOOKUP($D842,'WB Data 2'!$C$2:$K$545,9,FALSE),"..")</f>
        <v>98.741479999999996</v>
      </c>
      <c r="BT842" s="129">
        <f>_xlfn.IFNA(VLOOKUP($C842,RGI!$A$2:$C$43,2,FALSE),"..")</f>
        <v>77.5</v>
      </c>
      <c r="BU842" s="129">
        <f>_xlfn.IFNA(VLOOKUP($C842,RGI!$A$2:$C$43,3,FALSE),"..")</f>
        <v>57.362887635782535</v>
      </c>
      <c r="BV842" s="129">
        <f>VLOOKUP($D842,WGI!$C$2:$O$478,7,FALSE)</f>
        <v>-1.2243735790252701</v>
      </c>
      <c r="BW842" s="129">
        <f>VLOOKUP($D842,WGI!$C$2:$O$478,4,FALSE)</f>
        <v>-0.38138318061828602</v>
      </c>
      <c r="BX842" s="129">
        <f>VLOOKUP($D842,WGI!$C$2:$O$478,3,FALSE)</f>
        <v>-0.53702217340469405</v>
      </c>
      <c r="BY842" s="129">
        <f>VLOOKUP($D842,WGI!$C$2:$O$478,5,FALSE)</f>
        <v>-0.38304501771926902</v>
      </c>
      <c r="BZ842" s="129">
        <f>VLOOKUP($D842,WGI!$C$2:$O$478,2,FALSE)</f>
        <v>-0.89843583106994596</v>
      </c>
    </row>
    <row r="843" spans="1:80" ht="15" customHeight="1">
      <c r="A843" s="761" t="s">
        <v>282</v>
      </c>
      <c r="B843" s="146">
        <v>2013</v>
      </c>
      <c r="C843" s="117" t="s">
        <v>280</v>
      </c>
      <c r="D843" s="117" t="s">
        <v>3770</v>
      </c>
      <c r="E843" s="146" t="s">
        <v>39</v>
      </c>
      <c r="F843" s="146"/>
      <c r="G843" s="146" t="s">
        <v>24</v>
      </c>
      <c r="H843" s="146"/>
      <c r="I843" s="146"/>
      <c r="J843" s="146"/>
      <c r="K843" s="146" t="s">
        <v>709</v>
      </c>
      <c r="L843" s="146"/>
      <c r="M843" s="146"/>
      <c r="N843" s="754"/>
      <c r="O843" s="754"/>
      <c r="P843" s="754"/>
      <c r="Q843" s="760"/>
      <c r="R843" s="754"/>
      <c r="S843" s="146"/>
      <c r="T843" s="119"/>
      <c r="U843" s="146"/>
      <c r="V843" s="146"/>
      <c r="W843" s="146"/>
      <c r="X843" s="146"/>
      <c r="Y843" s="146"/>
      <c r="Z843" s="146"/>
      <c r="AA843" s="146"/>
      <c r="AB843" s="146"/>
      <c r="AC843" s="756"/>
      <c r="AD843" s="756"/>
      <c r="AE843" s="756"/>
      <c r="AF843" s="758"/>
      <c r="AG843" s="146"/>
      <c r="AH843" s="759"/>
      <c r="AI843" s="146"/>
      <c r="AJ843" s="146"/>
      <c r="AK843" s="760"/>
      <c r="AL843" s="146"/>
      <c r="AM843" s="146"/>
      <c r="AN843" s="146"/>
      <c r="AO843" s="146"/>
      <c r="AP843" s="146"/>
      <c r="AQ843" s="146"/>
      <c r="AR843" s="146"/>
      <c r="AS843" s="146"/>
      <c r="AT843" s="146"/>
      <c r="AU843" s="146"/>
      <c r="AV843" s="128"/>
      <c r="AW843" s="117">
        <f>VLOOKUP($D843,'WB Data'!$C$3:$M$578,2,FALSE)</f>
        <v>231876282133.87042</v>
      </c>
      <c r="AX843" s="117">
        <f>VLOOKUP($D843,'WB Data'!$C$3:$M$578,3,FALSE)</f>
        <v>17037508</v>
      </c>
      <c r="AY843" s="847">
        <f t="shared" si="141"/>
        <v>0.13271612323951804</v>
      </c>
      <c r="AZ843" s="117" t="e">
        <f>VLOOKUP($D843,'WB Data'!$C$3:$M$578,4,FALSE)/100</f>
        <v>#VALUE!</v>
      </c>
      <c r="BA843" s="117" t="str">
        <f t="shared" si="142"/>
        <v>..</v>
      </c>
      <c r="BB843" s="129">
        <f>IFERROR(VLOOKUP($D843,'EITI Revenues'!$C$2:$G$224,5,FALSE),"..")</f>
        <v>30773721236</v>
      </c>
      <c r="BC843" s="846" t="str">
        <f t="shared" si="143"/>
        <v>..</v>
      </c>
      <c r="BD843" s="129">
        <f>VLOOKUP($D843,'WB Data 2'!$C$2:$K$545,6,FALSE)</f>
        <v>71262762634.017365</v>
      </c>
      <c r="BE843" s="129">
        <f>IFERROR(VLOOKUP($D843,UNCTAD!$C$5:$V$529,4,FALSE),"..")</f>
        <v>88675823000</v>
      </c>
      <c r="BF843" s="846">
        <f t="shared" si="144"/>
        <v>0.80363237941436827</v>
      </c>
      <c r="BG843" s="117" t="str">
        <f>VLOOKUP($D843,'WB Data'!$C$3:$M$578,5,FALSE)</f>
        <v>..</v>
      </c>
      <c r="BH843" s="129" t="str">
        <f>IFERROR($BB843/$BG843,"..")</f>
        <v>..</v>
      </c>
      <c r="BI843" s="117" t="str">
        <f>IFERROR(VLOOKUP($D843,'WB Data'!$C$3:$M$578,7,FALSE)/100,"..")</f>
        <v>..</v>
      </c>
      <c r="BJ843" s="117" t="str">
        <f>IFERROR($BI843*$AW843,"..")</f>
        <v>..</v>
      </c>
      <c r="BK843" s="846" t="str">
        <f>IFERROR($BB843/$BJ843,"..")</f>
        <v>..</v>
      </c>
      <c r="BL843" s="117" t="str">
        <f>IFERROR(VLOOKUP($D843,'WB Data'!$C$3:$M$578,7,FALSE)/100,"..")</f>
        <v>..</v>
      </c>
      <c r="BM843" s="117" t="str">
        <f>IFERROR($AW843*$BL843,"..")</f>
        <v>..</v>
      </c>
      <c r="BN843" s="846" t="str">
        <f>IFERROR($BB843/$BM843,"..")</f>
        <v>..</v>
      </c>
      <c r="BO843" s="801">
        <f t="shared" si="140"/>
        <v>29</v>
      </c>
      <c r="BP843" s="117">
        <f>VLOOKUP($D843,'WB Data'!$C$3:$M$578,9,FALSE)</f>
        <v>2.9</v>
      </c>
      <c r="BQ843" s="117" t="str">
        <f>VLOOKUP($D843,'WB Data'!$C$3:$M$578,10,FALSE)</f>
        <v>..</v>
      </c>
      <c r="BR843" s="117">
        <f>VLOOKUP($D843,'WB Data'!$C$3:$M$578,11,FALSE)</f>
        <v>14.6</v>
      </c>
      <c r="BS843" s="129">
        <f>IFERROR(VLOOKUP($D843,'WB Data 2'!$C$2:$K$545,9,FALSE),"..")</f>
        <v>98.741479999999996</v>
      </c>
      <c r="BT843" s="129">
        <f>_xlfn.IFNA(VLOOKUP($C843,RGI!$A$2:$C$43,2,FALSE),"..")</f>
        <v>77.5</v>
      </c>
      <c r="BU843" s="129">
        <f>_xlfn.IFNA(VLOOKUP($C843,RGI!$A$2:$C$43,3,FALSE),"..")</f>
        <v>57.362887635782535</v>
      </c>
      <c r="BV843" s="129">
        <f>VLOOKUP($D843,WGI!$C$2:$O$478,7,FALSE)</f>
        <v>-1.2243735790252701</v>
      </c>
      <c r="BW843" s="129">
        <f>VLOOKUP($D843,WGI!$C$2:$O$478,4,FALSE)</f>
        <v>-0.38138318061828602</v>
      </c>
      <c r="BX843" s="129">
        <f>VLOOKUP($D843,WGI!$C$2:$O$478,3,FALSE)</f>
        <v>-0.53702217340469405</v>
      </c>
      <c r="BY843" s="129">
        <f>VLOOKUP($D843,WGI!$C$2:$O$478,5,FALSE)</f>
        <v>-0.38304501771926902</v>
      </c>
      <c r="BZ843" s="129">
        <f>VLOOKUP($D843,WGI!$C$2:$O$478,2,FALSE)</f>
        <v>-0.89843583106994596</v>
      </c>
    </row>
    <row r="844" spans="1:80" ht="15" customHeight="1">
      <c r="A844" s="761" t="s">
        <v>282</v>
      </c>
      <c r="B844" s="146">
        <v>2013</v>
      </c>
      <c r="C844" s="117" t="s">
        <v>280</v>
      </c>
      <c r="D844" s="117" t="s">
        <v>3770</v>
      </c>
      <c r="E844" s="146" t="s">
        <v>39</v>
      </c>
      <c r="F844" s="146"/>
      <c r="G844" s="146" t="s">
        <v>24</v>
      </c>
      <c r="H844" s="146"/>
      <c r="I844" s="146"/>
      <c r="J844" s="146"/>
      <c r="K844" s="146" t="s">
        <v>1466</v>
      </c>
      <c r="L844" s="146"/>
      <c r="M844" s="146"/>
      <c r="N844" s="754"/>
      <c r="O844" s="754"/>
      <c r="P844" s="754"/>
      <c r="Q844" s="760">
        <v>22500</v>
      </c>
      <c r="R844" s="754"/>
      <c r="S844" s="146" t="s">
        <v>610</v>
      </c>
      <c r="T844" s="119"/>
      <c r="U844" s="146"/>
      <c r="V844" s="146"/>
      <c r="W844" s="146"/>
      <c r="X844" s="146"/>
      <c r="Y844" s="146"/>
      <c r="Z844" s="146"/>
      <c r="AA844" s="146"/>
      <c r="AB844" s="146"/>
      <c r="AC844" s="756"/>
      <c r="AD844" s="756"/>
      <c r="AE844" s="756"/>
      <c r="AF844" s="758"/>
      <c r="AG844" s="146"/>
      <c r="AH844" s="759"/>
      <c r="AI844" s="146"/>
      <c r="AJ844" s="146"/>
      <c r="AK844" s="760"/>
      <c r="AL844" s="146"/>
      <c r="AM844" s="146"/>
      <c r="AN844" s="146"/>
      <c r="AO844" s="146"/>
      <c r="AP844" s="146"/>
      <c r="AQ844" s="146"/>
      <c r="AR844" s="146"/>
      <c r="AS844" s="146"/>
      <c r="AT844" s="146"/>
      <c r="AU844" s="146"/>
      <c r="AV844" s="128"/>
      <c r="AW844" s="117">
        <f>VLOOKUP($D844,'WB Data'!$C$3:$M$578,2,FALSE)</f>
        <v>231876282133.87042</v>
      </c>
      <c r="AX844" s="117">
        <f>VLOOKUP($D844,'WB Data'!$C$3:$M$578,3,FALSE)</f>
        <v>17037508</v>
      </c>
      <c r="AY844" s="847">
        <f t="shared" si="141"/>
        <v>0.13271612323951804</v>
      </c>
      <c r="AZ844" s="117" t="e">
        <f>VLOOKUP($D844,'WB Data'!$C$3:$M$578,4,FALSE)/100</f>
        <v>#VALUE!</v>
      </c>
      <c r="BA844" s="117" t="str">
        <f t="shared" si="142"/>
        <v>..</v>
      </c>
      <c r="BB844" s="129">
        <f>IFERROR(VLOOKUP($D844,'EITI Revenues'!$C$2:$G$224,5,FALSE),"..")</f>
        <v>30773721236</v>
      </c>
      <c r="BC844" s="846" t="str">
        <f t="shared" si="143"/>
        <v>..</v>
      </c>
      <c r="BD844" s="129">
        <f>VLOOKUP($D844,'WB Data 2'!$C$2:$K$545,6,FALSE)</f>
        <v>71262762634.017365</v>
      </c>
      <c r="BE844" s="129">
        <f>IFERROR(VLOOKUP($D844,UNCTAD!$C$5:$V$529,4,FALSE),"..")</f>
        <v>88675823000</v>
      </c>
      <c r="BF844" s="846">
        <f t="shared" si="144"/>
        <v>0.80363237941436827</v>
      </c>
      <c r="BG844" s="117" t="str">
        <f>VLOOKUP($D844,'WB Data'!$C$3:$M$578,5,FALSE)</f>
        <v>..</v>
      </c>
      <c r="BH844" s="129" t="str">
        <f>IFERROR($BB844/$BG844,"..")</f>
        <v>..</v>
      </c>
      <c r="BI844" s="117" t="str">
        <f>IFERROR(VLOOKUP($D844,'WB Data'!$C$3:$M$578,7,FALSE)/100,"..")</f>
        <v>..</v>
      </c>
      <c r="BJ844" s="117" t="str">
        <f>IFERROR($BI844*$AW844,"..")</f>
        <v>..</v>
      </c>
      <c r="BK844" s="846" t="str">
        <f>IFERROR($BB844/$BJ844,"..")</f>
        <v>..</v>
      </c>
      <c r="BL844" s="117" t="str">
        <f>IFERROR(VLOOKUP($D844,'WB Data'!$C$3:$M$578,7,FALSE)/100,"..")</f>
        <v>..</v>
      </c>
      <c r="BM844" s="117" t="str">
        <f>IFERROR($AW844*$BL844,"..")</f>
        <v>..</v>
      </c>
      <c r="BN844" s="846" t="str">
        <f>IFERROR($BB844/$BM844,"..")</f>
        <v>..</v>
      </c>
      <c r="BO844" s="801">
        <f t="shared" si="140"/>
        <v>29</v>
      </c>
      <c r="BP844" s="117">
        <f>VLOOKUP($D844,'WB Data'!$C$3:$M$578,9,FALSE)</f>
        <v>2.9</v>
      </c>
      <c r="BQ844" s="117" t="str">
        <f>VLOOKUP($D844,'WB Data'!$C$3:$M$578,10,FALSE)</f>
        <v>..</v>
      </c>
      <c r="BR844" s="117">
        <f>VLOOKUP($D844,'WB Data'!$C$3:$M$578,11,FALSE)</f>
        <v>14.6</v>
      </c>
      <c r="BS844" s="129">
        <f>IFERROR(VLOOKUP($D844,'WB Data 2'!$C$2:$K$545,9,FALSE),"..")</f>
        <v>98.741479999999996</v>
      </c>
      <c r="BT844" s="129">
        <f>_xlfn.IFNA(VLOOKUP($C844,RGI!$A$2:$C$43,2,FALSE),"..")</f>
        <v>77.5</v>
      </c>
      <c r="BU844" s="129">
        <f>_xlfn.IFNA(VLOOKUP($C844,RGI!$A$2:$C$43,3,FALSE),"..")</f>
        <v>57.362887635782535</v>
      </c>
      <c r="BV844" s="129">
        <f>VLOOKUP($D844,WGI!$C$2:$O$478,7,FALSE)</f>
        <v>-1.2243735790252701</v>
      </c>
      <c r="BW844" s="129">
        <f>VLOOKUP($D844,WGI!$C$2:$O$478,4,FALSE)</f>
        <v>-0.38138318061828602</v>
      </c>
      <c r="BX844" s="129">
        <f>VLOOKUP($D844,WGI!$C$2:$O$478,3,FALSE)</f>
        <v>-0.53702217340469405</v>
      </c>
      <c r="BY844" s="129">
        <f>VLOOKUP($D844,WGI!$C$2:$O$478,5,FALSE)</f>
        <v>-0.38304501771926902</v>
      </c>
      <c r="BZ844" s="129">
        <f>VLOOKUP($D844,WGI!$C$2:$O$478,2,FALSE)</f>
        <v>-0.89843583106994596</v>
      </c>
    </row>
    <row r="845" spans="1:80" ht="15" customHeight="1">
      <c r="A845" s="761" t="s">
        <v>282</v>
      </c>
      <c r="B845" s="146">
        <v>2013</v>
      </c>
      <c r="C845" s="117" t="s">
        <v>280</v>
      </c>
      <c r="D845" s="117" t="s">
        <v>3770</v>
      </c>
      <c r="E845" s="146" t="s">
        <v>39</v>
      </c>
      <c r="F845" s="146"/>
      <c r="G845" s="146" t="s">
        <v>24</v>
      </c>
      <c r="H845" s="146"/>
      <c r="I845" s="146"/>
      <c r="J845" s="146"/>
      <c r="K845" s="146" t="s">
        <v>616</v>
      </c>
      <c r="L845" s="146"/>
      <c r="M845" s="146"/>
      <c r="N845" s="754"/>
      <c r="O845" s="754"/>
      <c r="P845" s="754"/>
      <c r="Q845" s="760">
        <v>114600000</v>
      </c>
      <c r="R845" s="754"/>
      <c r="S845" s="146" t="s">
        <v>610</v>
      </c>
      <c r="T845" s="119"/>
      <c r="U845" s="146"/>
      <c r="V845" s="146"/>
      <c r="W845" s="146"/>
      <c r="X845" s="146"/>
      <c r="Y845" s="146"/>
      <c r="Z845" s="146"/>
      <c r="AA845" s="146"/>
      <c r="AB845" s="146"/>
      <c r="AC845" s="756"/>
      <c r="AD845" s="756"/>
      <c r="AE845" s="756"/>
      <c r="AF845" s="758"/>
      <c r="AG845" s="146"/>
      <c r="AH845" s="759"/>
      <c r="AI845" s="146"/>
      <c r="AJ845" s="146"/>
      <c r="AK845" s="760"/>
      <c r="AL845" s="146"/>
      <c r="AM845" s="146"/>
      <c r="AN845" s="146"/>
      <c r="AO845" s="146"/>
      <c r="AP845" s="146"/>
      <c r="AQ845" s="146"/>
      <c r="AR845" s="146"/>
      <c r="AS845" s="146"/>
      <c r="AT845" s="146"/>
      <c r="AU845" s="146"/>
      <c r="AV845" s="128"/>
      <c r="AW845" s="117">
        <f>VLOOKUP($D845,'WB Data'!$C$3:$M$578,2,FALSE)</f>
        <v>231876282133.87042</v>
      </c>
      <c r="AX845" s="117">
        <f>VLOOKUP($D845,'WB Data'!$C$3:$M$578,3,FALSE)</f>
        <v>17037508</v>
      </c>
      <c r="AY845" s="847">
        <f t="shared" si="141"/>
        <v>0.13271612323951804</v>
      </c>
      <c r="AZ845" s="117" t="e">
        <f>VLOOKUP($D845,'WB Data'!$C$3:$M$578,4,FALSE)/100</f>
        <v>#VALUE!</v>
      </c>
      <c r="BA845" s="117" t="str">
        <f t="shared" si="142"/>
        <v>..</v>
      </c>
      <c r="BB845" s="129">
        <f>IFERROR(VLOOKUP($D845,'EITI Revenues'!$C$2:$G$224,5,FALSE),"..")</f>
        <v>30773721236</v>
      </c>
      <c r="BC845" s="846" t="str">
        <f t="shared" si="143"/>
        <v>..</v>
      </c>
      <c r="BD845" s="129">
        <f>VLOOKUP($D845,'WB Data 2'!$C$2:$K$545,6,FALSE)</f>
        <v>71262762634.017365</v>
      </c>
      <c r="BE845" s="129">
        <f>IFERROR(VLOOKUP($D845,UNCTAD!$C$5:$V$529,4,FALSE),"..")</f>
        <v>88675823000</v>
      </c>
      <c r="BF845" s="846">
        <f t="shared" si="144"/>
        <v>0.80363237941436827</v>
      </c>
      <c r="BG845" s="117" t="str">
        <f>VLOOKUP($D845,'WB Data'!$C$3:$M$578,5,FALSE)</f>
        <v>..</v>
      </c>
      <c r="BH845" s="129" t="str">
        <f>IFERROR($BB845/$BG845,"..")</f>
        <v>..</v>
      </c>
      <c r="BI845" s="117" t="str">
        <f>IFERROR(VLOOKUP($D845,'WB Data'!$C$3:$M$578,7,FALSE)/100,"..")</f>
        <v>..</v>
      </c>
      <c r="BJ845" s="117" t="str">
        <f>IFERROR($BI845*$AW845,"..")</f>
        <v>..</v>
      </c>
      <c r="BK845" s="846" t="str">
        <f>IFERROR($BB845/$BJ845,"..")</f>
        <v>..</v>
      </c>
      <c r="BL845" s="117" t="str">
        <f>IFERROR(VLOOKUP($D845,'WB Data'!$C$3:$M$578,7,FALSE)/100,"..")</f>
        <v>..</v>
      </c>
      <c r="BM845" s="117" t="str">
        <f>IFERROR($AW845*$BL845,"..")</f>
        <v>..</v>
      </c>
      <c r="BN845" s="846" t="str">
        <f>IFERROR($BB845/$BM845,"..")</f>
        <v>..</v>
      </c>
      <c r="BO845" s="801">
        <f t="shared" si="140"/>
        <v>29</v>
      </c>
      <c r="BP845" s="117">
        <f>VLOOKUP($D845,'WB Data'!$C$3:$M$578,9,FALSE)</f>
        <v>2.9</v>
      </c>
      <c r="BQ845" s="117" t="str">
        <f>VLOOKUP($D845,'WB Data'!$C$3:$M$578,10,FALSE)</f>
        <v>..</v>
      </c>
      <c r="BR845" s="117">
        <f>VLOOKUP($D845,'WB Data'!$C$3:$M$578,11,FALSE)</f>
        <v>14.6</v>
      </c>
      <c r="BS845" s="129">
        <f>IFERROR(VLOOKUP($D845,'WB Data 2'!$C$2:$K$545,9,FALSE),"..")</f>
        <v>98.741479999999996</v>
      </c>
      <c r="BT845" s="129">
        <f>_xlfn.IFNA(VLOOKUP($C845,RGI!$A$2:$C$43,2,FALSE),"..")</f>
        <v>77.5</v>
      </c>
      <c r="BU845" s="129">
        <f>_xlfn.IFNA(VLOOKUP($C845,RGI!$A$2:$C$43,3,FALSE),"..")</f>
        <v>57.362887635782535</v>
      </c>
      <c r="BV845" s="129">
        <f>VLOOKUP($D845,WGI!$C$2:$O$478,7,FALSE)</f>
        <v>-1.2243735790252701</v>
      </c>
      <c r="BW845" s="129">
        <f>VLOOKUP($D845,WGI!$C$2:$O$478,4,FALSE)</f>
        <v>-0.38138318061828602</v>
      </c>
      <c r="BX845" s="129">
        <f>VLOOKUP($D845,WGI!$C$2:$O$478,3,FALSE)</f>
        <v>-0.53702217340469405</v>
      </c>
      <c r="BY845" s="129">
        <f>VLOOKUP($D845,WGI!$C$2:$O$478,5,FALSE)</f>
        <v>-0.38304501771926902</v>
      </c>
      <c r="BZ845" s="129">
        <f>VLOOKUP($D845,WGI!$C$2:$O$478,2,FALSE)</f>
        <v>-0.89843583106994596</v>
      </c>
    </row>
    <row r="846" spans="1:80" ht="15" customHeight="1">
      <c r="A846" s="761" t="s">
        <v>282</v>
      </c>
      <c r="B846" s="146">
        <v>2013</v>
      </c>
      <c r="C846" s="117" t="s">
        <v>280</v>
      </c>
      <c r="D846" s="117" t="s">
        <v>3770</v>
      </c>
      <c r="E846" s="146" t="s">
        <v>39</v>
      </c>
      <c r="F846" s="146"/>
      <c r="G846" s="146" t="s">
        <v>24</v>
      </c>
      <c r="H846" s="146"/>
      <c r="I846" s="146"/>
      <c r="J846" s="146"/>
      <c r="K846" s="146" t="s">
        <v>784</v>
      </c>
      <c r="L846" s="146"/>
      <c r="M846" s="146"/>
      <c r="N846" s="754"/>
      <c r="O846" s="754"/>
      <c r="P846" s="754"/>
      <c r="Q846" s="146">
        <v>42.3</v>
      </c>
      <c r="R846" s="754"/>
      <c r="S846" s="146" t="s">
        <v>610</v>
      </c>
      <c r="T846" s="119"/>
      <c r="U846" s="146"/>
      <c r="V846" s="146"/>
      <c r="W846" s="146"/>
      <c r="X846" s="146"/>
      <c r="Y846" s="146"/>
      <c r="Z846" s="146"/>
      <c r="AA846" s="146"/>
      <c r="AB846" s="146"/>
      <c r="AC846" s="756"/>
      <c r="AD846" s="756"/>
      <c r="AE846" s="756"/>
      <c r="AF846" s="758"/>
      <c r="AG846" s="146"/>
      <c r="AH846" s="759"/>
      <c r="AI846" s="146"/>
      <c r="AJ846" s="146"/>
      <c r="AK846" s="760"/>
      <c r="AL846" s="146"/>
      <c r="AM846" s="146"/>
      <c r="AN846" s="146"/>
      <c r="AO846" s="146"/>
      <c r="AP846" s="146"/>
      <c r="AQ846" s="146"/>
      <c r="AR846" s="146"/>
      <c r="AS846" s="146"/>
      <c r="AT846" s="146"/>
      <c r="AU846" s="146"/>
      <c r="AV846" s="128"/>
      <c r="AW846" s="117">
        <f>VLOOKUP($D846,'WB Data'!$C$3:$M$578,2,FALSE)</f>
        <v>231876282133.87042</v>
      </c>
      <c r="AX846" s="117">
        <f>VLOOKUP($D846,'WB Data'!$C$3:$M$578,3,FALSE)</f>
        <v>17037508</v>
      </c>
      <c r="AY846" s="847">
        <f t="shared" si="141"/>
        <v>0.13271612323951804</v>
      </c>
      <c r="AZ846" s="117" t="e">
        <f>VLOOKUP($D846,'WB Data'!$C$3:$M$578,4,FALSE)/100</f>
        <v>#VALUE!</v>
      </c>
      <c r="BA846" s="117" t="str">
        <f t="shared" si="142"/>
        <v>..</v>
      </c>
      <c r="BB846" s="129">
        <f>IFERROR(VLOOKUP($D846,'EITI Revenues'!$C$2:$G$224,5,FALSE),"..")</f>
        <v>30773721236</v>
      </c>
      <c r="BC846" s="846" t="str">
        <f t="shared" si="143"/>
        <v>..</v>
      </c>
      <c r="BD846" s="129">
        <f>VLOOKUP($D846,'WB Data 2'!$C$2:$K$545,6,FALSE)</f>
        <v>71262762634.017365</v>
      </c>
      <c r="BE846" s="129">
        <f>IFERROR(VLOOKUP($D846,UNCTAD!$C$5:$V$529,4,FALSE),"..")</f>
        <v>88675823000</v>
      </c>
      <c r="BF846" s="846">
        <f t="shared" si="144"/>
        <v>0.80363237941436827</v>
      </c>
      <c r="BG846" s="117" t="str">
        <f>VLOOKUP($D846,'WB Data'!$C$3:$M$578,5,FALSE)</f>
        <v>..</v>
      </c>
      <c r="BH846" s="129" t="str">
        <f>IFERROR($BB846/$BG846,"..")</f>
        <v>..</v>
      </c>
      <c r="BI846" s="117" t="str">
        <f>IFERROR(VLOOKUP($D846,'WB Data'!$C$3:$M$578,7,FALSE)/100,"..")</f>
        <v>..</v>
      </c>
      <c r="BJ846" s="117" t="str">
        <f>IFERROR($BI846*$AW846,"..")</f>
        <v>..</v>
      </c>
      <c r="BK846" s="846" t="str">
        <f>IFERROR($BB846/$BJ846,"..")</f>
        <v>..</v>
      </c>
      <c r="BL846" s="117" t="str">
        <f>IFERROR(VLOOKUP($D846,'WB Data'!$C$3:$M$578,7,FALSE)/100,"..")</f>
        <v>..</v>
      </c>
      <c r="BM846" s="117" t="str">
        <f>IFERROR($AW846*$BL846,"..")</f>
        <v>..</v>
      </c>
      <c r="BN846" s="846" t="str">
        <f>IFERROR($BB846/$BM846,"..")</f>
        <v>..</v>
      </c>
      <c r="BO846" s="801">
        <f t="shared" si="140"/>
        <v>29</v>
      </c>
      <c r="BP846" s="117">
        <f>VLOOKUP($D846,'WB Data'!$C$3:$M$578,9,FALSE)</f>
        <v>2.9</v>
      </c>
      <c r="BQ846" s="117" t="str">
        <f>VLOOKUP($D846,'WB Data'!$C$3:$M$578,10,FALSE)</f>
        <v>..</v>
      </c>
      <c r="BR846" s="117">
        <f>VLOOKUP($D846,'WB Data'!$C$3:$M$578,11,FALSE)</f>
        <v>14.6</v>
      </c>
      <c r="BS846" s="129">
        <f>IFERROR(VLOOKUP($D846,'WB Data 2'!$C$2:$K$545,9,FALSE),"..")</f>
        <v>98.741479999999996</v>
      </c>
      <c r="BT846" s="129">
        <f>_xlfn.IFNA(VLOOKUP($C846,RGI!$A$2:$C$43,2,FALSE),"..")</f>
        <v>77.5</v>
      </c>
      <c r="BU846" s="129">
        <f>_xlfn.IFNA(VLOOKUP($C846,RGI!$A$2:$C$43,3,FALSE),"..")</f>
        <v>57.362887635782535</v>
      </c>
      <c r="BV846" s="129">
        <f>VLOOKUP($D846,WGI!$C$2:$O$478,7,FALSE)</f>
        <v>-1.2243735790252701</v>
      </c>
      <c r="BW846" s="129">
        <f>VLOOKUP($D846,WGI!$C$2:$O$478,4,FALSE)</f>
        <v>-0.38138318061828602</v>
      </c>
      <c r="BX846" s="129">
        <f>VLOOKUP($D846,WGI!$C$2:$O$478,3,FALSE)</f>
        <v>-0.53702217340469405</v>
      </c>
      <c r="BY846" s="129">
        <f>VLOOKUP($D846,WGI!$C$2:$O$478,5,FALSE)</f>
        <v>-0.38304501771926902</v>
      </c>
      <c r="BZ846" s="129">
        <f>VLOOKUP($D846,WGI!$C$2:$O$478,2,FALSE)</f>
        <v>-0.89843583106994596</v>
      </c>
    </row>
    <row r="847" spans="1:80" ht="15" customHeight="1">
      <c r="A847" s="761" t="s">
        <v>282</v>
      </c>
      <c r="B847" s="146">
        <v>2013</v>
      </c>
      <c r="C847" s="117" t="s">
        <v>280</v>
      </c>
      <c r="D847" s="117" t="s">
        <v>3770</v>
      </c>
      <c r="E847" s="146" t="s">
        <v>39</v>
      </c>
      <c r="F847" s="146"/>
      <c r="G847" s="146" t="s">
        <v>24</v>
      </c>
      <c r="H847" s="146"/>
      <c r="I847" s="146"/>
      <c r="J847" s="146"/>
      <c r="K847" s="146" t="s">
        <v>789</v>
      </c>
      <c r="L847" s="146"/>
      <c r="M847" s="146"/>
      <c r="N847" s="754"/>
      <c r="O847" s="754"/>
      <c r="P847" s="754"/>
      <c r="Q847" s="146">
        <v>963.5</v>
      </c>
      <c r="R847" s="754"/>
      <c r="S847" s="146" t="s">
        <v>610</v>
      </c>
      <c r="T847" s="119"/>
      <c r="U847" s="146"/>
      <c r="V847" s="146"/>
      <c r="W847" s="146"/>
      <c r="X847" s="146"/>
      <c r="Y847" s="146"/>
      <c r="Z847" s="146"/>
      <c r="AA847" s="146"/>
      <c r="AB847" s="146"/>
      <c r="AC847" s="756"/>
      <c r="AD847" s="756"/>
      <c r="AE847" s="756"/>
      <c r="AF847" s="758"/>
      <c r="AG847" s="146"/>
      <c r="AH847" s="759"/>
      <c r="AI847" s="146"/>
      <c r="AJ847" s="146"/>
      <c r="AK847" s="760"/>
      <c r="AL847" s="146"/>
      <c r="AM847" s="146"/>
      <c r="AN847" s="146"/>
      <c r="AO847" s="146"/>
      <c r="AP847" s="146"/>
      <c r="AQ847" s="146"/>
      <c r="AR847" s="146"/>
      <c r="AS847" s="146"/>
      <c r="AT847" s="146"/>
      <c r="AU847" s="146"/>
      <c r="AV847" s="128"/>
      <c r="AW847" s="117">
        <f>VLOOKUP($D847,'WB Data'!$C$3:$M$578,2,FALSE)</f>
        <v>231876282133.87042</v>
      </c>
      <c r="AX847" s="117">
        <f>VLOOKUP($D847,'WB Data'!$C$3:$M$578,3,FALSE)</f>
        <v>17037508</v>
      </c>
      <c r="AY847" s="847">
        <f t="shared" si="141"/>
        <v>0.13271612323951804</v>
      </c>
      <c r="AZ847" s="117" t="e">
        <f>VLOOKUP($D847,'WB Data'!$C$3:$M$578,4,FALSE)/100</f>
        <v>#VALUE!</v>
      </c>
      <c r="BA847" s="117" t="str">
        <f t="shared" si="142"/>
        <v>..</v>
      </c>
      <c r="BB847" s="129">
        <f>IFERROR(VLOOKUP($D847,'EITI Revenues'!$C$2:$G$224,5,FALSE),"..")</f>
        <v>30773721236</v>
      </c>
      <c r="BC847" s="846" t="str">
        <f t="shared" si="143"/>
        <v>..</v>
      </c>
      <c r="BD847" s="129">
        <f>VLOOKUP($D847,'WB Data 2'!$C$2:$K$545,6,FALSE)</f>
        <v>71262762634.017365</v>
      </c>
      <c r="BE847" s="129">
        <f>IFERROR(VLOOKUP($D847,UNCTAD!$C$5:$V$529,4,FALSE),"..")</f>
        <v>88675823000</v>
      </c>
      <c r="BF847" s="846">
        <f t="shared" si="144"/>
        <v>0.80363237941436827</v>
      </c>
      <c r="BG847" s="117" t="str">
        <f>VLOOKUP($D847,'WB Data'!$C$3:$M$578,5,FALSE)</f>
        <v>..</v>
      </c>
      <c r="BH847" s="129" t="str">
        <f>IFERROR($BB847/$BG847,"..")</f>
        <v>..</v>
      </c>
      <c r="BI847" s="117" t="str">
        <f>IFERROR(VLOOKUP($D847,'WB Data'!$C$3:$M$578,7,FALSE)/100,"..")</f>
        <v>..</v>
      </c>
      <c r="BJ847" s="117" t="str">
        <f>IFERROR($BI847*$AW847,"..")</f>
        <v>..</v>
      </c>
      <c r="BK847" s="846" t="str">
        <f>IFERROR($BB847/$BJ847,"..")</f>
        <v>..</v>
      </c>
      <c r="BL847" s="117" t="str">
        <f>IFERROR(VLOOKUP($D847,'WB Data'!$C$3:$M$578,7,FALSE)/100,"..")</f>
        <v>..</v>
      </c>
      <c r="BM847" s="117" t="str">
        <f>IFERROR($AW847*$BL847,"..")</f>
        <v>..</v>
      </c>
      <c r="BN847" s="846" t="str">
        <f>IFERROR($BB847/$BM847,"..")</f>
        <v>..</v>
      </c>
      <c r="BO847" s="801">
        <f t="shared" si="140"/>
        <v>29</v>
      </c>
      <c r="BP847" s="117">
        <f>VLOOKUP($D847,'WB Data'!$C$3:$M$578,9,FALSE)</f>
        <v>2.9</v>
      </c>
      <c r="BQ847" s="117" t="str">
        <f>VLOOKUP($D847,'WB Data'!$C$3:$M$578,10,FALSE)</f>
        <v>..</v>
      </c>
      <c r="BR847" s="117">
        <f>VLOOKUP($D847,'WB Data'!$C$3:$M$578,11,FALSE)</f>
        <v>14.6</v>
      </c>
      <c r="BS847" s="129">
        <f>IFERROR(VLOOKUP($D847,'WB Data 2'!$C$2:$K$545,9,FALSE),"..")</f>
        <v>98.741479999999996</v>
      </c>
      <c r="BT847" s="129">
        <f>_xlfn.IFNA(VLOOKUP($C847,RGI!$A$2:$C$43,2,FALSE),"..")</f>
        <v>77.5</v>
      </c>
      <c r="BU847" s="129">
        <f>_xlfn.IFNA(VLOOKUP($C847,RGI!$A$2:$C$43,3,FALSE),"..")</f>
        <v>57.362887635782535</v>
      </c>
      <c r="BV847" s="129">
        <f>VLOOKUP($D847,WGI!$C$2:$O$478,7,FALSE)</f>
        <v>-1.2243735790252701</v>
      </c>
      <c r="BW847" s="129">
        <f>VLOOKUP($D847,WGI!$C$2:$O$478,4,FALSE)</f>
        <v>-0.38138318061828602</v>
      </c>
      <c r="BX847" s="129">
        <f>VLOOKUP($D847,WGI!$C$2:$O$478,3,FALSE)</f>
        <v>-0.53702217340469405</v>
      </c>
      <c r="BY847" s="129">
        <f>VLOOKUP($D847,WGI!$C$2:$O$478,5,FALSE)</f>
        <v>-0.38304501771926902</v>
      </c>
      <c r="BZ847" s="129">
        <f>VLOOKUP($D847,WGI!$C$2:$O$478,2,FALSE)</f>
        <v>-0.89843583106994596</v>
      </c>
    </row>
    <row r="848" spans="1:80" ht="15" customHeight="1">
      <c r="A848" s="761" t="s">
        <v>282</v>
      </c>
      <c r="B848" s="146">
        <v>2013</v>
      </c>
      <c r="C848" s="117" t="s">
        <v>280</v>
      </c>
      <c r="D848" s="117" t="s">
        <v>3770</v>
      </c>
      <c r="E848" s="146" t="s">
        <v>39</v>
      </c>
      <c r="F848" s="146"/>
      <c r="G848" s="146" t="s">
        <v>24</v>
      </c>
      <c r="H848" s="146"/>
      <c r="I848" s="146"/>
      <c r="J848" s="146"/>
      <c r="K848" s="146" t="s">
        <v>619</v>
      </c>
      <c r="L848" s="146"/>
      <c r="M848" s="146"/>
      <c r="N848" s="754"/>
      <c r="O848" s="754"/>
      <c r="P848" s="754"/>
      <c r="Q848" s="760">
        <v>350800</v>
      </c>
      <c r="R848" s="754"/>
      <c r="S848" s="146" t="s">
        <v>610</v>
      </c>
      <c r="T848" s="119"/>
      <c r="U848" s="146"/>
      <c r="V848" s="146"/>
      <c r="W848" s="146"/>
      <c r="X848" s="146"/>
      <c r="Y848" s="146"/>
      <c r="Z848" s="146"/>
      <c r="AA848" s="146"/>
      <c r="AB848" s="146"/>
      <c r="AC848" s="756"/>
      <c r="AD848" s="756"/>
      <c r="AE848" s="756"/>
      <c r="AF848" s="758"/>
      <c r="AG848" s="146"/>
      <c r="AH848" s="759"/>
      <c r="AI848" s="146"/>
      <c r="AJ848" s="146"/>
      <c r="AK848" s="760"/>
      <c r="AL848" s="146"/>
      <c r="AM848" s="146"/>
      <c r="AN848" s="146"/>
      <c r="AO848" s="146"/>
      <c r="AP848" s="146"/>
      <c r="AQ848" s="146"/>
      <c r="AR848" s="146"/>
      <c r="AS848" s="146"/>
      <c r="AT848" s="146"/>
      <c r="AU848" s="146"/>
      <c r="AV848" s="128"/>
      <c r="AW848" s="117">
        <f>VLOOKUP($D848,'WB Data'!$C$3:$M$578,2,FALSE)</f>
        <v>231876282133.87042</v>
      </c>
      <c r="AX848" s="117">
        <f>VLOOKUP($D848,'WB Data'!$C$3:$M$578,3,FALSE)</f>
        <v>17037508</v>
      </c>
      <c r="AY848" s="847">
        <f t="shared" si="141"/>
        <v>0.13271612323951804</v>
      </c>
      <c r="AZ848" s="117" t="e">
        <f>VLOOKUP($D848,'WB Data'!$C$3:$M$578,4,FALSE)/100</f>
        <v>#VALUE!</v>
      </c>
      <c r="BA848" s="117" t="str">
        <f t="shared" si="142"/>
        <v>..</v>
      </c>
      <c r="BB848" s="129">
        <f>IFERROR(VLOOKUP($D848,'EITI Revenues'!$C$2:$G$224,5,FALSE),"..")</f>
        <v>30773721236</v>
      </c>
      <c r="BC848" s="846" t="str">
        <f t="shared" si="143"/>
        <v>..</v>
      </c>
      <c r="BD848" s="129">
        <f>VLOOKUP($D848,'WB Data 2'!$C$2:$K$545,6,FALSE)</f>
        <v>71262762634.017365</v>
      </c>
      <c r="BE848" s="129">
        <f>IFERROR(VLOOKUP($D848,UNCTAD!$C$5:$V$529,4,FALSE),"..")</f>
        <v>88675823000</v>
      </c>
      <c r="BF848" s="846">
        <f t="shared" si="144"/>
        <v>0.80363237941436827</v>
      </c>
      <c r="BG848" s="117" t="str">
        <f>VLOOKUP($D848,'WB Data'!$C$3:$M$578,5,FALSE)</f>
        <v>..</v>
      </c>
      <c r="BH848" s="129" t="str">
        <f>IFERROR($BB848/$BG848,"..")</f>
        <v>..</v>
      </c>
      <c r="BI848" s="117" t="str">
        <f>IFERROR(VLOOKUP($D848,'WB Data'!$C$3:$M$578,7,FALSE)/100,"..")</f>
        <v>..</v>
      </c>
      <c r="BJ848" s="117" t="str">
        <f>IFERROR($BI848*$AW848,"..")</f>
        <v>..</v>
      </c>
      <c r="BK848" s="846" t="str">
        <f>IFERROR($BB848/$BJ848,"..")</f>
        <v>..</v>
      </c>
      <c r="BL848" s="117" t="str">
        <f>IFERROR(VLOOKUP($D848,'WB Data'!$C$3:$M$578,7,FALSE)/100,"..")</f>
        <v>..</v>
      </c>
      <c r="BM848" s="117" t="str">
        <f>IFERROR($AW848*$BL848,"..")</f>
        <v>..</v>
      </c>
      <c r="BN848" s="846" t="str">
        <f>IFERROR($BB848/$BM848,"..")</f>
        <v>..</v>
      </c>
      <c r="BO848" s="801">
        <f t="shared" si="140"/>
        <v>29</v>
      </c>
      <c r="BP848" s="117">
        <f>VLOOKUP($D848,'WB Data'!$C$3:$M$578,9,FALSE)</f>
        <v>2.9</v>
      </c>
      <c r="BQ848" s="117" t="str">
        <f>VLOOKUP($D848,'WB Data'!$C$3:$M$578,10,FALSE)</f>
        <v>..</v>
      </c>
      <c r="BR848" s="117">
        <f>VLOOKUP($D848,'WB Data'!$C$3:$M$578,11,FALSE)</f>
        <v>14.6</v>
      </c>
      <c r="BS848" s="129">
        <f>IFERROR(VLOOKUP($D848,'WB Data 2'!$C$2:$K$545,9,FALSE),"..")</f>
        <v>98.741479999999996</v>
      </c>
      <c r="BT848" s="129">
        <f>_xlfn.IFNA(VLOOKUP($C848,RGI!$A$2:$C$43,2,FALSE),"..")</f>
        <v>77.5</v>
      </c>
      <c r="BU848" s="129">
        <f>_xlfn.IFNA(VLOOKUP($C848,RGI!$A$2:$C$43,3,FALSE),"..")</f>
        <v>57.362887635782535</v>
      </c>
      <c r="BV848" s="129">
        <f>VLOOKUP($D848,WGI!$C$2:$O$478,7,FALSE)</f>
        <v>-1.2243735790252701</v>
      </c>
      <c r="BW848" s="129">
        <f>VLOOKUP($D848,WGI!$C$2:$O$478,4,FALSE)</f>
        <v>-0.38138318061828602</v>
      </c>
      <c r="BX848" s="129">
        <f>VLOOKUP($D848,WGI!$C$2:$O$478,3,FALSE)</f>
        <v>-0.53702217340469405</v>
      </c>
      <c r="BY848" s="129">
        <f>VLOOKUP($D848,WGI!$C$2:$O$478,5,FALSE)</f>
        <v>-0.38304501771926902</v>
      </c>
      <c r="BZ848" s="129">
        <f>VLOOKUP($D848,WGI!$C$2:$O$478,2,FALSE)</f>
        <v>-0.89843583106994596</v>
      </c>
    </row>
    <row r="849" spans="1:80" ht="15" customHeight="1">
      <c r="A849" s="761" t="s">
        <v>282</v>
      </c>
      <c r="B849" s="146">
        <v>2013</v>
      </c>
      <c r="C849" s="117" t="s">
        <v>280</v>
      </c>
      <c r="D849" s="117" t="s">
        <v>3770</v>
      </c>
      <c r="E849" s="146" t="s">
        <v>39</v>
      </c>
      <c r="F849" s="146"/>
      <c r="G849" s="146" t="s">
        <v>24</v>
      </c>
      <c r="H849" s="146"/>
      <c r="I849" s="146"/>
      <c r="J849" s="146"/>
      <c r="K849" s="146" t="s">
        <v>1472</v>
      </c>
      <c r="L849" s="146"/>
      <c r="M849" s="146"/>
      <c r="N849" s="754"/>
      <c r="O849" s="754"/>
      <c r="P849" s="754"/>
      <c r="Q849" s="760">
        <v>91100</v>
      </c>
      <c r="R849" s="754"/>
      <c r="S849" s="146" t="s">
        <v>610</v>
      </c>
      <c r="T849" s="119"/>
      <c r="U849" s="146"/>
      <c r="V849" s="146"/>
      <c r="W849" s="146"/>
      <c r="X849" s="146"/>
      <c r="Y849" s="146"/>
      <c r="Z849" s="146"/>
      <c r="AA849" s="146"/>
      <c r="AB849" s="146"/>
      <c r="AC849" s="756"/>
      <c r="AD849" s="756"/>
      <c r="AE849" s="756"/>
      <c r="AF849" s="758"/>
      <c r="AG849" s="146"/>
      <c r="AH849" s="759"/>
      <c r="AI849" s="146"/>
      <c r="AJ849" s="146"/>
      <c r="AK849" s="760"/>
      <c r="AL849" s="146"/>
      <c r="AM849" s="146"/>
      <c r="AN849" s="146"/>
      <c r="AO849" s="146"/>
      <c r="AP849" s="146"/>
      <c r="AQ849" s="146"/>
      <c r="AR849" s="146"/>
      <c r="AS849" s="146"/>
      <c r="AT849" s="146"/>
      <c r="AU849" s="146"/>
      <c r="AV849" s="128"/>
      <c r="AW849" s="117">
        <f>VLOOKUP($D849,'WB Data'!$C$3:$M$578,2,FALSE)</f>
        <v>231876282133.87042</v>
      </c>
      <c r="AX849" s="117">
        <f>VLOOKUP($D849,'WB Data'!$C$3:$M$578,3,FALSE)</f>
        <v>17037508</v>
      </c>
      <c r="AY849" s="847">
        <f t="shared" si="141"/>
        <v>0.13271612323951804</v>
      </c>
      <c r="AZ849" s="117" t="e">
        <f>VLOOKUP($D849,'WB Data'!$C$3:$M$578,4,FALSE)/100</f>
        <v>#VALUE!</v>
      </c>
      <c r="BA849" s="117" t="str">
        <f t="shared" si="142"/>
        <v>..</v>
      </c>
      <c r="BB849" s="129">
        <f>IFERROR(VLOOKUP($D849,'EITI Revenues'!$C$2:$G$224,5,FALSE),"..")</f>
        <v>30773721236</v>
      </c>
      <c r="BC849" s="846" t="str">
        <f t="shared" si="143"/>
        <v>..</v>
      </c>
      <c r="BD849" s="129">
        <f>VLOOKUP($D849,'WB Data 2'!$C$2:$K$545,6,FALSE)</f>
        <v>71262762634.017365</v>
      </c>
      <c r="BE849" s="129">
        <f>IFERROR(VLOOKUP($D849,UNCTAD!$C$5:$V$529,4,FALSE),"..")</f>
        <v>88675823000</v>
      </c>
      <c r="BF849" s="846">
        <f t="shared" si="144"/>
        <v>0.80363237941436827</v>
      </c>
      <c r="BG849" s="117" t="str">
        <f>VLOOKUP($D849,'WB Data'!$C$3:$M$578,5,FALSE)</f>
        <v>..</v>
      </c>
      <c r="BH849" s="129" t="str">
        <f>IFERROR($BB849/$BG849,"..")</f>
        <v>..</v>
      </c>
      <c r="BI849" s="117" t="str">
        <f>IFERROR(VLOOKUP($D849,'WB Data'!$C$3:$M$578,7,FALSE)/100,"..")</f>
        <v>..</v>
      </c>
      <c r="BJ849" s="117" t="str">
        <f>IFERROR($BI849*$AW849,"..")</f>
        <v>..</v>
      </c>
      <c r="BK849" s="846" t="str">
        <f>IFERROR($BB849/$BJ849,"..")</f>
        <v>..</v>
      </c>
      <c r="BL849" s="117" t="str">
        <f>IFERROR(VLOOKUP($D849,'WB Data'!$C$3:$M$578,7,FALSE)/100,"..")</f>
        <v>..</v>
      </c>
      <c r="BM849" s="117" t="str">
        <f>IFERROR($AW849*$BL849,"..")</f>
        <v>..</v>
      </c>
      <c r="BN849" s="846" t="str">
        <f>IFERROR($BB849/$BM849,"..")</f>
        <v>..</v>
      </c>
      <c r="BO849" s="801">
        <f t="shared" si="140"/>
        <v>29</v>
      </c>
      <c r="BP849" s="117">
        <f>VLOOKUP($D849,'WB Data'!$C$3:$M$578,9,FALSE)</f>
        <v>2.9</v>
      </c>
      <c r="BQ849" s="117" t="str">
        <f>VLOOKUP($D849,'WB Data'!$C$3:$M$578,10,FALSE)</f>
        <v>..</v>
      </c>
      <c r="BR849" s="117">
        <f>VLOOKUP($D849,'WB Data'!$C$3:$M$578,11,FALSE)</f>
        <v>14.6</v>
      </c>
      <c r="BS849" s="129">
        <f>IFERROR(VLOOKUP($D849,'WB Data 2'!$C$2:$K$545,9,FALSE),"..")</f>
        <v>98.741479999999996</v>
      </c>
      <c r="BT849" s="129">
        <f>_xlfn.IFNA(VLOOKUP($C849,RGI!$A$2:$C$43,2,FALSE),"..")</f>
        <v>77.5</v>
      </c>
      <c r="BU849" s="129">
        <f>_xlfn.IFNA(VLOOKUP($C849,RGI!$A$2:$C$43,3,FALSE),"..")</f>
        <v>57.362887635782535</v>
      </c>
      <c r="BV849" s="129">
        <f>VLOOKUP($D849,WGI!$C$2:$O$478,7,FALSE)</f>
        <v>-1.2243735790252701</v>
      </c>
      <c r="BW849" s="129">
        <f>VLOOKUP($D849,WGI!$C$2:$O$478,4,FALSE)</f>
        <v>-0.38138318061828602</v>
      </c>
      <c r="BX849" s="129">
        <f>VLOOKUP($D849,WGI!$C$2:$O$478,3,FALSE)</f>
        <v>-0.53702217340469405</v>
      </c>
      <c r="BY849" s="129">
        <f>VLOOKUP($D849,WGI!$C$2:$O$478,5,FALSE)</f>
        <v>-0.38304501771926902</v>
      </c>
      <c r="BZ849" s="129">
        <f>VLOOKUP($D849,WGI!$C$2:$O$478,2,FALSE)</f>
        <v>-0.89843583106994596</v>
      </c>
    </row>
    <row r="850" spans="1:80" ht="15" customHeight="1">
      <c r="A850" s="761" t="s">
        <v>282</v>
      </c>
      <c r="B850" s="146">
        <v>2013</v>
      </c>
      <c r="C850" s="117" t="s">
        <v>280</v>
      </c>
      <c r="D850" s="117" t="s">
        <v>3770</v>
      </c>
      <c r="E850" s="146" t="s">
        <v>39</v>
      </c>
      <c r="F850" s="146"/>
      <c r="G850" s="146" t="s">
        <v>24</v>
      </c>
      <c r="H850" s="146"/>
      <c r="I850" s="146"/>
      <c r="J850" s="146"/>
      <c r="K850" s="146" t="s">
        <v>1474</v>
      </c>
      <c r="L850" s="146"/>
      <c r="M850" s="146"/>
      <c r="N850" s="754"/>
      <c r="O850" s="754"/>
      <c r="P850" s="754"/>
      <c r="Q850" s="760">
        <v>51700000</v>
      </c>
      <c r="R850" s="754"/>
      <c r="S850" s="146" t="s">
        <v>610</v>
      </c>
      <c r="T850" s="119"/>
      <c r="U850" s="146"/>
      <c r="V850" s="146"/>
      <c r="W850" s="146"/>
      <c r="X850" s="146"/>
      <c r="Y850" s="146"/>
      <c r="Z850" s="146"/>
      <c r="AA850" s="146"/>
      <c r="AB850" s="146"/>
      <c r="AC850" s="756"/>
      <c r="AD850" s="756"/>
      <c r="AE850" s="756"/>
      <c r="AF850" s="758"/>
      <c r="AG850" s="146"/>
      <c r="AH850" s="759"/>
      <c r="AI850" s="146"/>
      <c r="AJ850" s="146"/>
      <c r="AK850" s="760"/>
      <c r="AL850" s="146"/>
      <c r="AM850" s="146"/>
      <c r="AN850" s="146"/>
      <c r="AO850" s="146"/>
      <c r="AP850" s="146"/>
      <c r="AQ850" s="146"/>
      <c r="AR850" s="146"/>
      <c r="AS850" s="146"/>
      <c r="AT850" s="146"/>
      <c r="AU850" s="146"/>
      <c r="AV850" s="128"/>
      <c r="AW850" s="117">
        <f>VLOOKUP($D850,'WB Data'!$C$3:$M$578,2,FALSE)</f>
        <v>231876282133.87042</v>
      </c>
      <c r="AX850" s="117">
        <f>VLOOKUP($D850,'WB Data'!$C$3:$M$578,3,FALSE)</f>
        <v>17037508</v>
      </c>
      <c r="AY850" s="847">
        <f t="shared" si="141"/>
        <v>0.13271612323951804</v>
      </c>
      <c r="AZ850" s="117" t="e">
        <f>VLOOKUP($D850,'WB Data'!$C$3:$M$578,4,FALSE)/100</f>
        <v>#VALUE!</v>
      </c>
      <c r="BA850" s="117" t="str">
        <f t="shared" si="142"/>
        <v>..</v>
      </c>
      <c r="BB850" s="129">
        <f>IFERROR(VLOOKUP($D850,'EITI Revenues'!$C$2:$G$224,5,FALSE),"..")</f>
        <v>30773721236</v>
      </c>
      <c r="BC850" s="846" t="str">
        <f t="shared" si="143"/>
        <v>..</v>
      </c>
      <c r="BD850" s="129">
        <f>VLOOKUP($D850,'WB Data 2'!$C$2:$K$545,6,FALSE)</f>
        <v>71262762634.017365</v>
      </c>
      <c r="BE850" s="129">
        <f>IFERROR(VLOOKUP($D850,UNCTAD!$C$5:$V$529,4,FALSE),"..")</f>
        <v>88675823000</v>
      </c>
      <c r="BF850" s="846">
        <f t="shared" si="144"/>
        <v>0.80363237941436827</v>
      </c>
      <c r="BG850" s="117" t="str">
        <f>VLOOKUP($D850,'WB Data'!$C$3:$M$578,5,FALSE)</f>
        <v>..</v>
      </c>
      <c r="BH850" s="129" t="str">
        <f>IFERROR($BB850/$BG850,"..")</f>
        <v>..</v>
      </c>
      <c r="BI850" s="117" t="str">
        <f>IFERROR(VLOOKUP($D850,'WB Data'!$C$3:$M$578,7,FALSE)/100,"..")</f>
        <v>..</v>
      </c>
      <c r="BJ850" s="117" t="str">
        <f>IFERROR($BI850*$AW850,"..")</f>
        <v>..</v>
      </c>
      <c r="BK850" s="846" t="str">
        <f>IFERROR($BB850/$BJ850,"..")</f>
        <v>..</v>
      </c>
      <c r="BL850" s="117" t="str">
        <f>IFERROR(VLOOKUP($D850,'WB Data'!$C$3:$M$578,7,FALSE)/100,"..")</f>
        <v>..</v>
      </c>
      <c r="BM850" s="117" t="str">
        <f>IFERROR($AW850*$BL850,"..")</f>
        <v>..</v>
      </c>
      <c r="BN850" s="846" t="str">
        <f>IFERROR($BB850/$BM850,"..")</f>
        <v>..</v>
      </c>
      <c r="BO850" s="801">
        <f t="shared" si="140"/>
        <v>29</v>
      </c>
      <c r="BP850" s="117">
        <f>VLOOKUP($D850,'WB Data'!$C$3:$M$578,9,FALSE)</f>
        <v>2.9</v>
      </c>
      <c r="BQ850" s="117" t="str">
        <f>VLOOKUP($D850,'WB Data'!$C$3:$M$578,10,FALSE)</f>
        <v>..</v>
      </c>
      <c r="BR850" s="117">
        <f>VLOOKUP($D850,'WB Data'!$C$3:$M$578,11,FALSE)</f>
        <v>14.6</v>
      </c>
      <c r="BS850" s="129">
        <f>IFERROR(VLOOKUP($D850,'WB Data 2'!$C$2:$K$545,9,FALSE),"..")</f>
        <v>98.741479999999996</v>
      </c>
      <c r="BT850" s="129">
        <f>_xlfn.IFNA(VLOOKUP($C850,RGI!$A$2:$C$43,2,FALSE),"..")</f>
        <v>77.5</v>
      </c>
      <c r="BU850" s="129">
        <f>_xlfn.IFNA(VLOOKUP($C850,RGI!$A$2:$C$43,3,FALSE),"..")</f>
        <v>57.362887635782535</v>
      </c>
      <c r="BV850" s="129">
        <f>VLOOKUP($D850,WGI!$C$2:$O$478,7,FALSE)</f>
        <v>-1.2243735790252701</v>
      </c>
      <c r="BW850" s="129">
        <f>VLOOKUP($D850,WGI!$C$2:$O$478,4,FALSE)</f>
        <v>-0.38138318061828602</v>
      </c>
      <c r="BX850" s="129">
        <f>VLOOKUP($D850,WGI!$C$2:$O$478,3,FALSE)</f>
        <v>-0.53702217340469405</v>
      </c>
      <c r="BY850" s="129">
        <f>VLOOKUP($D850,WGI!$C$2:$O$478,5,FALSE)</f>
        <v>-0.38304501771926902</v>
      </c>
      <c r="BZ850" s="129">
        <f>VLOOKUP($D850,WGI!$C$2:$O$478,2,FALSE)</f>
        <v>-0.89843583106994596</v>
      </c>
    </row>
    <row r="851" spans="1:80" ht="15" customHeight="1">
      <c r="A851" s="761" t="s">
        <v>282</v>
      </c>
      <c r="B851" s="146">
        <v>2013</v>
      </c>
      <c r="C851" s="117" t="s">
        <v>280</v>
      </c>
      <c r="D851" s="117" t="s">
        <v>3770</v>
      </c>
      <c r="E851" s="146" t="s">
        <v>39</v>
      </c>
      <c r="F851" s="146"/>
      <c r="G851" s="146" t="s">
        <v>24</v>
      </c>
      <c r="H851" s="146"/>
      <c r="I851" s="146"/>
      <c r="J851" s="146"/>
      <c r="K851" s="146" t="s">
        <v>1475</v>
      </c>
      <c r="L851" s="146"/>
      <c r="M851" s="146"/>
      <c r="N851" s="754"/>
      <c r="O851" s="754"/>
      <c r="P851" s="754"/>
      <c r="Q851" s="760">
        <v>2800000</v>
      </c>
      <c r="R851" s="754"/>
      <c r="S851" s="146" t="s">
        <v>610</v>
      </c>
      <c r="T851" s="119"/>
      <c r="U851" s="146"/>
      <c r="V851" s="146"/>
      <c r="W851" s="146"/>
      <c r="X851" s="146"/>
      <c r="Y851" s="146"/>
      <c r="Z851" s="146"/>
      <c r="AA851" s="146"/>
      <c r="AB851" s="146"/>
      <c r="AC851" s="756"/>
      <c r="AD851" s="756"/>
      <c r="AE851" s="756"/>
      <c r="AF851" s="758"/>
      <c r="AG851" s="146"/>
      <c r="AH851" s="759"/>
      <c r="AI851" s="146"/>
      <c r="AJ851" s="146"/>
      <c r="AK851" s="760"/>
      <c r="AL851" s="146"/>
      <c r="AM851" s="146"/>
      <c r="AN851" s="146"/>
      <c r="AO851" s="146"/>
      <c r="AP851" s="146"/>
      <c r="AQ851" s="146"/>
      <c r="AR851" s="146"/>
      <c r="AS851" s="146"/>
      <c r="AT851" s="146"/>
      <c r="AU851" s="146"/>
      <c r="AV851" s="128"/>
      <c r="AW851" s="117">
        <f>VLOOKUP($D851,'WB Data'!$C$3:$M$578,2,FALSE)</f>
        <v>231876282133.87042</v>
      </c>
      <c r="AX851" s="117">
        <f>VLOOKUP($D851,'WB Data'!$C$3:$M$578,3,FALSE)</f>
        <v>17037508</v>
      </c>
      <c r="AY851" s="847">
        <f t="shared" si="141"/>
        <v>0.13271612323951804</v>
      </c>
      <c r="AZ851" s="117" t="e">
        <f>VLOOKUP($D851,'WB Data'!$C$3:$M$578,4,FALSE)/100</f>
        <v>#VALUE!</v>
      </c>
      <c r="BA851" s="117" t="str">
        <f t="shared" si="142"/>
        <v>..</v>
      </c>
      <c r="BB851" s="129">
        <f>IFERROR(VLOOKUP($D851,'EITI Revenues'!$C$2:$G$224,5,FALSE),"..")</f>
        <v>30773721236</v>
      </c>
      <c r="BC851" s="846" t="str">
        <f t="shared" si="143"/>
        <v>..</v>
      </c>
      <c r="BD851" s="129">
        <f>VLOOKUP($D851,'WB Data 2'!$C$2:$K$545,6,FALSE)</f>
        <v>71262762634.017365</v>
      </c>
      <c r="BE851" s="129">
        <f>IFERROR(VLOOKUP($D851,UNCTAD!$C$5:$V$529,4,FALSE),"..")</f>
        <v>88675823000</v>
      </c>
      <c r="BF851" s="846">
        <f t="shared" si="144"/>
        <v>0.80363237941436827</v>
      </c>
      <c r="BG851" s="117" t="str">
        <f>VLOOKUP($D851,'WB Data'!$C$3:$M$578,5,FALSE)</f>
        <v>..</v>
      </c>
      <c r="BH851" s="129" t="str">
        <f>IFERROR($BB851/$BG851,"..")</f>
        <v>..</v>
      </c>
      <c r="BI851" s="117" t="str">
        <f>IFERROR(VLOOKUP($D851,'WB Data'!$C$3:$M$578,7,FALSE)/100,"..")</f>
        <v>..</v>
      </c>
      <c r="BJ851" s="117" t="str">
        <f>IFERROR($BI851*$AW851,"..")</f>
        <v>..</v>
      </c>
      <c r="BK851" s="846" t="str">
        <f>IFERROR($BB851/$BJ851,"..")</f>
        <v>..</v>
      </c>
      <c r="BL851" s="117" t="str">
        <f>IFERROR(VLOOKUP($D851,'WB Data'!$C$3:$M$578,7,FALSE)/100,"..")</f>
        <v>..</v>
      </c>
      <c r="BM851" s="117" t="str">
        <f>IFERROR($AW851*$BL851,"..")</f>
        <v>..</v>
      </c>
      <c r="BN851" s="846" t="str">
        <f>IFERROR($BB851/$BM851,"..")</f>
        <v>..</v>
      </c>
      <c r="BO851" s="801">
        <f t="shared" si="140"/>
        <v>29</v>
      </c>
      <c r="BP851" s="117">
        <f>VLOOKUP($D851,'WB Data'!$C$3:$M$578,9,FALSE)</f>
        <v>2.9</v>
      </c>
      <c r="BQ851" s="117" t="str">
        <f>VLOOKUP($D851,'WB Data'!$C$3:$M$578,10,FALSE)</f>
        <v>..</v>
      </c>
      <c r="BR851" s="117">
        <f>VLOOKUP($D851,'WB Data'!$C$3:$M$578,11,FALSE)</f>
        <v>14.6</v>
      </c>
      <c r="BS851" s="129">
        <f>IFERROR(VLOOKUP($D851,'WB Data 2'!$C$2:$K$545,9,FALSE),"..")</f>
        <v>98.741479999999996</v>
      </c>
      <c r="BT851" s="129">
        <f>_xlfn.IFNA(VLOOKUP($C851,RGI!$A$2:$C$43,2,FALSE),"..")</f>
        <v>77.5</v>
      </c>
      <c r="BU851" s="129">
        <f>_xlfn.IFNA(VLOOKUP($C851,RGI!$A$2:$C$43,3,FALSE),"..")</f>
        <v>57.362887635782535</v>
      </c>
      <c r="BV851" s="129">
        <f>VLOOKUP($D851,WGI!$C$2:$O$478,7,FALSE)</f>
        <v>-1.2243735790252701</v>
      </c>
      <c r="BW851" s="129">
        <f>VLOOKUP($D851,WGI!$C$2:$O$478,4,FALSE)</f>
        <v>-0.38138318061828602</v>
      </c>
      <c r="BX851" s="129">
        <f>VLOOKUP($D851,WGI!$C$2:$O$478,3,FALSE)</f>
        <v>-0.53702217340469405</v>
      </c>
      <c r="BY851" s="129">
        <f>VLOOKUP($D851,WGI!$C$2:$O$478,5,FALSE)</f>
        <v>-0.38304501771926902</v>
      </c>
      <c r="BZ851" s="129">
        <f>VLOOKUP($D851,WGI!$C$2:$O$478,2,FALSE)</f>
        <v>-0.89843583106994596</v>
      </c>
    </row>
    <row r="852" spans="1:80" ht="15" customHeight="1">
      <c r="A852" s="761" t="s">
        <v>282</v>
      </c>
      <c r="B852" s="146">
        <v>2013</v>
      </c>
      <c r="C852" s="117" t="s">
        <v>280</v>
      </c>
      <c r="D852" s="117" t="s">
        <v>3770</v>
      </c>
      <c r="E852" s="146" t="s">
        <v>39</v>
      </c>
      <c r="F852" s="146"/>
      <c r="G852" s="146" t="s">
        <v>24</v>
      </c>
      <c r="H852" s="146"/>
      <c r="I852" s="146"/>
      <c r="J852" s="146"/>
      <c r="K852" s="146" t="s">
        <v>1476</v>
      </c>
      <c r="L852" s="146"/>
      <c r="M852" s="146"/>
      <c r="N852" s="754"/>
      <c r="O852" s="754"/>
      <c r="P852" s="754"/>
      <c r="Q852" s="760">
        <v>5200000</v>
      </c>
      <c r="R852" s="754"/>
      <c r="S852" s="146" t="s">
        <v>610</v>
      </c>
      <c r="T852" s="119"/>
      <c r="U852" s="146"/>
      <c r="V852" s="146"/>
      <c r="W852" s="146"/>
      <c r="X852" s="146"/>
      <c r="Y852" s="146"/>
      <c r="Z852" s="146"/>
      <c r="AA852" s="146"/>
      <c r="AB852" s="146"/>
      <c r="AC852" s="756"/>
      <c r="AD852" s="756"/>
      <c r="AE852" s="756"/>
      <c r="AF852" s="758"/>
      <c r="AG852" s="146"/>
      <c r="AH852" s="759"/>
      <c r="AI852" s="146"/>
      <c r="AJ852" s="146"/>
      <c r="AK852" s="760"/>
      <c r="AL852" s="146"/>
      <c r="AM852" s="146"/>
      <c r="AN852" s="146"/>
      <c r="AO852" s="146"/>
      <c r="AP852" s="146"/>
      <c r="AQ852" s="146"/>
      <c r="AR852" s="146"/>
      <c r="AS852" s="146"/>
      <c r="AT852" s="146"/>
      <c r="AU852" s="146"/>
      <c r="AV852" s="128"/>
      <c r="AW852" s="117">
        <f>VLOOKUP($D852,'WB Data'!$C$3:$M$578,2,FALSE)</f>
        <v>231876282133.87042</v>
      </c>
      <c r="AX852" s="117">
        <f>VLOOKUP($D852,'WB Data'!$C$3:$M$578,3,FALSE)</f>
        <v>17037508</v>
      </c>
      <c r="AY852" s="847">
        <f t="shared" si="141"/>
        <v>0.13271612323951804</v>
      </c>
      <c r="AZ852" s="117" t="e">
        <f>VLOOKUP($D852,'WB Data'!$C$3:$M$578,4,FALSE)/100</f>
        <v>#VALUE!</v>
      </c>
      <c r="BA852" s="117" t="str">
        <f t="shared" si="142"/>
        <v>..</v>
      </c>
      <c r="BB852" s="129">
        <f>IFERROR(VLOOKUP($D852,'EITI Revenues'!$C$2:$G$224,5,FALSE),"..")</f>
        <v>30773721236</v>
      </c>
      <c r="BC852" s="846" t="str">
        <f t="shared" si="143"/>
        <v>..</v>
      </c>
      <c r="BD852" s="129">
        <f>VLOOKUP($D852,'WB Data 2'!$C$2:$K$545,6,FALSE)</f>
        <v>71262762634.017365</v>
      </c>
      <c r="BE852" s="129">
        <f>IFERROR(VLOOKUP($D852,UNCTAD!$C$5:$V$529,4,FALSE),"..")</f>
        <v>88675823000</v>
      </c>
      <c r="BF852" s="846">
        <f t="shared" si="144"/>
        <v>0.80363237941436827</v>
      </c>
      <c r="BG852" s="117" t="str">
        <f>VLOOKUP($D852,'WB Data'!$C$3:$M$578,5,FALSE)</f>
        <v>..</v>
      </c>
      <c r="BH852" s="129" t="str">
        <f>IFERROR($BB852/$BG852,"..")</f>
        <v>..</v>
      </c>
      <c r="BI852" s="117" t="str">
        <f>IFERROR(VLOOKUP($D852,'WB Data'!$C$3:$M$578,7,FALSE)/100,"..")</f>
        <v>..</v>
      </c>
      <c r="BJ852" s="117" t="str">
        <f>IFERROR($BI852*$AW852,"..")</f>
        <v>..</v>
      </c>
      <c r="BK852" s="846" t="str">
        <f>IFERROR($BB852/$BJ852,"..")</f>
        <v>..</v>
      </c>
      <c r="BL852" s="117" t="str">
        <f>IFERROR(VLOOKUP($D852,'WB Data'!$C$3:$M$578,7,FALSE)/100,"..")</f>
        <v>..</v>
      </c>
      <c r="BM852" s="117" t="str">
        <f>IFERROR($AW852*$BL852,"..")</f>
        <v>..</v>
      </c>
      <c r="BN852" s="846" t="str">
        <f>IFERROR($BB852/$BM852,"..")</f>
        <v>..</v>
      </c>
      <c r="BO852" s="801">
        <f t="shared" si="140"/>
        <v>29</v>
      </c>
      <c r="BP852" s="117">
        <f>VLOOKUP($D852,'WB Data'!$C$3:$M$578,9,FALSE)</f>
        <v>2.9</v>
      </c>
      <c r="BQ852" s="117" t="str">
        <f>VLOOKUP($D852,'WB Data'!$C$3:$M$578,10,FALSE)</f>
        <v>..</v>
      </c>
      <c r="BR852" s="117">
        <f>VLOOKUP($D852,'WB Data'!$C$3:$M$578,11,FALSE)</f>
        <v>14.6</v>
      </c>
      <c r="BS852" s="129">
        <f>IFERROR(VLOOKUP($D852,'WB Data 2'!$C$2:$K$545,9,FALSE),"..")</f>
        <v>98.741479999999996</v>
      </c>
      <c r="BT852" s="129">
        <f>_xlfn.IFNA(VLOOKUP($C852,RGI!$A$2:$C$43,2,FALSE),"..")</f>
        <v>77.5</v>
      </c>
      <c r="BU852" s="129">
        <f>_xlfn.IFNA(VLOOKUP($C852,RGI!$A$2:$C$43,3,FALSE),"..")</f>
        <v>57.362887635782535</v>
      </c>
      <c r="BV852" s="129">
        <f>VLOOKUP($D852,WGI!$C$2:$O$478,7,FALSE)</f>
        <v>-1.2243735790252701</v>
      </c>
      <c r="BW852" s="129">
        <f>VLOOKUP($D852,WGI!$C$2:$O$478,4,FALSE)</f>
        <v>-0.38138318061828602</v>
      </c>
      <c r="BX852" s="129">
        <f>VLOOKUP($D852,WGI!$C$2:$O$478,3,FALSE)</f>
        <v>-0.53702217340469405</v>
      </c>
      <c r="BY852" s="129">
        <f>VLOOKUP($D852,WGI!$C$2:$O$478,5,FALSE)</f>
        <v>-0.38304501771926902</v>
      </c>
      <c r="BZ852" s="129">
        <f>VLOOKUP($D852,WGI!$C$2:$O$478,2,FALSE)</f>
        <v>-0.89843583106994596</v>
      </c>
    </row>
    <row r="853" spans="1:80" ht="15" customHeight="1" thickBot="1">
      <c r="A853" s="761" t="s">
        <v>282</v>
      </c>
      <c r="B853" s="146">
        <v>2013</v>
      </c>
      <c r="C853" s="117" t="s">
        <v>280</v>
      </c>
      <c r="D853" s="117" t="s">
        <v>3770</v>
      </c>
      <c r="E853" s="146" t="s">
        <v>39</v>
      </c>
      <c r="F853" s="146"/>
      <c r="G853" s="146" t="s">
        <v>24</v>
      </c>
      <c r="H853" s="146"/>
      <c r="I853" s="146"/>
      <c r="J853" s="146"/>
      <c r="K853" s="146" t="s">
        <v>1477</v>
      </c>
      <c r="L853" s="146"/>
      <c r="M853" s="146"/>
      <c r="N853" s="754"/>
      <c r="O853" s="754"/>
      <c r="P853" s="754"/>
      <c r="Q853" s="760">
        <v>5200000</v>
      </c>
      <c r="R853" s="754"/>
      <c r="S853" s="146" t="s">
        <v>610</v>
      </c>
      <c r="T853" s="119"/>
      <c r="U853" s="146"/>
      <c r="V853" s="146"/>
      <c r="W853" s="146"/>
      <c r="X853" s="146"/>
      <c r="Y853" s="146"/>
      <c r="Z853" s="146"/>
      <c r="AA853" s="146"/>
      <c r="AB853" s="146"/>
      <c r="AC853" s="756"/>
      <c r="AD853" s="756"/>
      <c r="AE853" s="756"/>
      <c r="AF853" s="758"/>
      <c r="AG853" s="146"/>
      <c r="AH853" s="759"/>
      <c r="AI853" s="146"/>
      <c r="AJ853" s="146"/>
      <c r="AK853" s="760"/>
      <c r="AL853" s="146"/>
      <c r="AM853" s="146"/>
      <c r="AN853" s="146"/>
      <c r="AO853" s="146"/>
      <c r="AP853" s="146"/>
      <c r="AQ853" s="146"/>
      <c r="AR853" s="146"/>
      <c r="AS853" s="146"/>
      <c r="AT853" s="146"/>
      <c r="AU853" s="146"/>
      <c r="AV853" s="128"/>
      <c r="AW853" s="117">
        <f>VLOOKUP($D853,'WB Data'!$C$3:$M$578,2,FALSE)</f>
        <v>231876282133.87042</v>
      </c>
      <c r="AX853" s="117">
        <f>VLOOKUP($D853,'WB Data'!$C$3:$M$578,3,FALSE)</f>
        <v>17037508</v>
      </c>
      <c r="AY853" s="847">
        <f t="shared" si="141"/>
        <v>0.13271612323951804</v>
      </c>
      <c r="AZ853" s="117" t="e">
        <f>VLOOKUP($D853,'WB Data'!$C$3:$M$578,4,FALSE)/100</f>
        <v>#VALUE!</v>
      </c>
      <c r="BA853" s="117" t="str">
        <f t="shared" si="142"/>
        <v>..</v>
      </c>
      <c r="BB853" s="129">
        <f>IFERROR(VLOOKUP($D853,'EITI Revenues'!$C$2:$G$224,5,FALSE),"..")</f>
        <v>30773721236</v>
      </c>
      <c r="BC853" s="846" t="str">
        <f t="shared" si="143"/>
        <v>..</v>
      </c>
      <c r="BD853" s="129">
        <f>VLOOKUP($D853,'WB Data 2'!$C$2:$K$545,6,FALSE)</f>
        <v>71262762634.017365</v>
      </c>
      <c r="BE853" s="129">
        <f>IFERROR(VLOOKUP($D853,UNCTAD!$C$5:$V$529,4,FALSE),"..")</f>
        <v>88675823000</v>
      </c>
      <c r="BF853" s="846">
        <f t="shared" si="144"/>
        <v>0.80363237941436827</v>
      </c>
      <c r="BG853" s="117" t="str">
        <f>VLOOKUP($D853,'WB Data'!$C$3:$M$578,5,FALSE)</f>
        <v>..</v>
      </c>
      <c r="BH853" s="129" t="str">
        <f>IFERROR($BB853/$BG853,"..")</f>
        <v>..</v>
      </c>
      <c r="BI853" s="117" t="str">
        <f>IFERROR(VLOOKUP($D853,'WB Data'!$C$3:$M$578,7,FALSE)/100,"..")</f>
        <v>..</v>
      </c>
      <c r="BJ853" s="117" t="str">
        <f>IFERROR($BI853*$AW853,"..")</f>
        <v>..</v>
      </c>
      <c r="BK853" s="846" t="str">
        <f>IFERROR($BB853/$BJ853,"..")</f>
        <v>..</v>
      </c>
      <c r="BL853" s="117" t="str">
        <f>IFERROR(VLOOKUP($D853,'WB Data'!$C$3:$M$578,7,FALSE)/100,"..")</f>
        <v>..</v>
      </c>
      <c r="BM853" s="117" t="str">
        <f>IFERROR($AW853*$BL853,"..")</f>
        <v>..</v>
      </c>
      <c r="BN853" s="846" t="str">
        <f>IFERROR($BB853/$BM853,"..")</f>
        <v>..</v>
      </c>
      <c r="BO853" s="801">
        <f t="shared" si="140"/>
        <v>29</v>
      </c>
      <c r="BP853" s="117">
        <f>VLOOKUP($D853,'WB Data'!$C$3:$M$578,9,FALSE)</f>
        <v>2.9</v>
      </c>
      <c r="BQ853" s="117" t="str">
        <f>VLOOKUP($D853,'WB Data'!$C$3:$M$578,10,FALSE)</f>
        <v>..</v>
      </c>
      <c r="BR853" s="117">
        <f>VLOOKUP($D853,'WB Data'!$C$3:$M$578,11,FALSE)</f>
        <v>14.6</v>
      </c>
      <c r="BS853" s="129">
        <f>IFERROR(VLOOKUP($D853,'WB Data 2'!$C$2:$K$545,9,FALSE),"..")</f>
        <v>98.741479999999996</v>
      </c>
      <c r="BT853" s="129">
        <f>_xlfn.IFNA(VLOOKUP($C853,RGI!$A$2:$C$43,2,FALSE),"..")</f>
        <v>77.5</v>
      </c>
      <c r="BU853" s="129">
        <f>_xlfn.IFNA(VLOOKUP($C853,RGI!$A$2:$C$43,3,FALSE),"..")</f>
        <v>57.362887635782535</v>
      </c>
      <c r="BV853" s="129">
        <f>VLOOKUP($D853,WGI!$C$2:$O$478,7,FALSE)</f>
        <v>-1.2243735790252701</v>
      </c>
      <c r="BW853" s="129">
        <f>VLOOKUP($D853,WGI!$C$2:$O$478,4,FALSE)</f>
        <v>-0.38138318061828602</v>
      </c>
      <c r="BX853" s="129">
        <f>VLOOKUP($D853,WGI!$C$2:$O$478,3,FALSE)</f>
        <v>-0.53702217340469405</v>
      </c>
      <c r="BY853" s="129">
        <f>VLOOKUP($D853,WGI!$C$2:$O$478,5,FALSE)</f>
        <v>-0.38304501771926902</v>
      </c>
      <c r="BZ853" s="129">
        <f>VLOOKUP($D853,WGI!$C$2:$O$478,2,FALSE)</f>
        <v>-0.89843583106994596</v>
      </c>
    </row>
    <row r="854" spans="1:80" s="210" customFormat="1" ht="15" customHeight="1">
      <c r="A854" s="290" t="s">
        <v>284</v>
      </c>
      <c r="B854" s="175">
        <v>2004</v>
      </c>
      <c r="C854" s="117" t="s">
        <v>285</v>
      </c>
      <c r="D854" s="117" t="s">
        <v>3465</v>
      </c>
      <c r="E854" s="497" t="s">
        <v>39</v>
      </c>
      <c r="F854" s="175" t="s">
        <v>1467</v>
      </c>
      <c r="G854" s="175" t="s">
        <v>24</v>
      </c>
      <c r="H854" s="117" t="str">
        <f t="shared" ref="H854:H918" si="145">IF($G854="Mining","yes",IF($G854="Oil, Gas, Mining","yes",IF($G854="Gas, Mining","yes",IF($G854="Oil, Mining","yes",IF($G854="Oil, Mining, Other","yes","no")))))</f>
        <v>yes</v>
      </c>
      <c r="I854" s="117" t="str">
        <f t="shared" ref="I854:I918" si="146">IF($G854="Gas","yes",IF($G854="Oil, Gas, Mining","yes",IF($G854="Gas, Mining","yes",IF($G854="Oil, Gas","yes",IF($G854="Oil, Gas, Other","yes","no")))))</f>
        <v>no</v>
      </c>
      <c r="J854" s="117" t="str">
        <f t="shared" ref="J854:J918" si="147">IF($G854="Oil","yes",IF($G854="Oil, Gas, Mining","yes",IF($G854="Oil, Mining","yes",IF($G854="Oil, Gas","yes",IF($G854="Oil, Gas, Other","yes","no")))))</f>
        <v>no</v>
      </c>
      <c r="K854" s="175" t="s">
        <v>709</v>
      </c>
      <c r="L854" s="117" t="str">
        <f t="shared" ref="L854:L918" si="148">IF(LEFT(K854,5)="Total","Total","detailed")</f>
        <v>Total</v>
      </c>
      <c r="M854" s="117" t="str">
        <f t="shared" ref="M854:M918" si="149">L854&amp;" "&amp;G854</f>
        <v>Total Mining</v>
      </c>
      <c r="N854" s="197"/>
      <c r="O854" s="197"/>
      <c r="P854" s="197"/>
      <c r="Q854" s="197"/>
      <c r="R854" s="197"/>
      <c r="S854" s="175"/>
      <c r="T854" s="198"/>
      <c r="U854" s="175"/>
      <c r="V854" s="175"/>
      <c r="W854" s="199">
        <f>SUM(W855:W864)</f>
        <v>384220160.45371902</v>
      </c>
      <c r="X854" s="175" t="s">
        <v>633</v>
      </c>
      <c r="Y854" s="175" t="s">
        <v>602</v>
      </c>
      <c r="Z854" s="175" t="s">
        <v>603</v>
      </c>
      <c r="AA854" s="498">
        <v>30473246</v>
      </c>
      <c r="AB854" s="498">
        <v>120576226</v>
      </c>
      <c r="AC854" s="338"/>
      <c r="AD854" s="338"/>
      <c r="AE854" s="338"/>
      <c r="AF854" s="339">
        <f>AA854/W854</f>
        <v>7.9311939186154798E-2</v>
      </c>
      <c r="AG854" s="175" t="s">
        <v>1480</v>
      </c>
      <c r="AH854" s="204">
        <v>42.61</v>
      </c>
      <c r="AI854" s="175" t="s">
        <v>667</v>
      </c>
      <c r="AJ854" s="175"/>
      <c r="AK854" s="199"/>
      <c r="AL854" s="175"/>
      <c r="AM854" s="175"/>
      <c r="AN854" s="175">
        <v>2</v>
      </c>
      <c r="AO854" s="175" t="s">
        <v>943</v>
      </c>
      <c r="AP854" s="175">
        <v>2</v>
      </c>
      <c r="AQ854" s="175" t="s">
        <v>172</v>
      </c>
      <c r="AR854" s="206">
        <v>41911</v>
      </c>
      <c r="AS854" s="175" t="s">
        <v>1481</v>
      </c>
      <c r="AT854" s="175" t="s">
        <v>286</v>
      </c>
      <c r="AU854" s="175" t="s">
        <v>1482</v>
      </c>
      <c r="AV854" s="209" t="s">
        <v>1483</v>
      </c>
      <c r="AW854" s="117">
        <f>VLOOKUP($D854,'WB Data'!$C$3:$M$578,2,FALSE)</f>
        <v>2211535311.6283431</v>
      </c>
      <c r="AX854" s="117">
        <f>VLOOKUP($D854,'WB Data'!$C$3:$M$578,3,FALSE)</f>
        <v>5104700</v>
      </c>
      <c r="AY854" s="847">
        <f t="shared" si="141"/>
        <v>1.3779226512807833E-2</v>
      </c>
      <c r="AZ854" s="117" t="e">
        <f>VLOOKUP($D854,'WB Data'!$C$3:$M$578,4,FALSE)/100</f>
        <v>#VALUE!</v>
      </c>
      <c r="BA854" s="117" t="str">
        <f t="shared" si="142"/>
        <v>..</v>
      </c>
      <c r="BB854" s="129">
        <f>IFERROR(VLOOKUP($D854,'EITI Revenues'!$C$2:$G$224,5,FALSE),"..")</f>
        <v>30473246</v>
      </c>
      <c r="BC854" s="846" t="str">
        <f t="shared" si="143"/>
        <v>..</v>
      </c>
      <c r="BD854" s="129">
        <f>VLOOKUP($D854,'WB Data 2'!$C$2:$K$545,6,FALSE)</f>
        <v>187944032.23618129</v>
      </c>
      <c r="BE854" s="129" t="str">
        <f>IFERROR(VLOOKUP($D854,UNCTAD!$C$5:$V$529,4,FALSE),"..")</f>
        <v>..</v>
      </c>
      <c r="BF854" s="846" t="str">
        <f t="shared" si="144"/>
        <v>..</v>
      </c>
      <c r="BG854" s="117">
        <f>VLOOKUP($D854,'WB Data'!$C$3:$M$578,5,FALSE)</f>
        <v>261370000</v>
      </c>
      <c r="BH854" s="129">
        <f>IFERROR($BB854/$BG854,"..")</f>
        <v>0.11659045031947048</v>
      </c>
      <c r="BI854" s="117">
        <f>IFERROR(VLOOKUP($D854,'WB Data'!$C$3:$M$578,7,FALSE)/100,"..")</f>
        <v>4.6224299999999996E-2</v>
      </c>
      <c r="BJ854" s="117">
        <f>IFERROR($BI854*$AW854,"..")</f>
        <v>102226671.70530201</v>
      </c>
      <c r="BK854" s="846">
        <f>IFERROR($BB854/$BJ854,"..")</f>
        <v>0.2980948659646081</v>
      </c>
      <c r="BL854" s="117">
        <f>IFERROR(VLOOKUP($D854,'WB Data'!$C$3:$M$578,7,FALSE)/100,"..")</f>
        <v>4.6224299999999996E-2</v>
      </c>
      <c r="BM854" s="117">
        <f>IFERROR($AW854*$BL854,"..")</f>
        <v>102226671.70530201</v>
      </c>
      <c r="BN854" s="846">
        <f>IFERROR($BB854/$BM854,"..")</f>
        <v>0.2980948659646081</v>
      </c>
      <c r="BO854" s="801" t="str">
        <f t="shared" si="140"/>
        <v>..</v>
      </c>
      <c r="BP854" s="117" t="str">
        <f>VLOOKUP($D854,'WB Data'!$C$3:$M$578,9,FALSE)</f>
        <v>..</v>
      </c>
      <c r="BQ854" s="117">
        <f>VLOOKUP($D854,'WB Data'!$C$3:$M$578,10,FALSE)</f>
        <v>68.153658536585368</v>
      </c>
      <c r="BR854" s="117">
        <f>VLOOKUP($D854,'WB Data'!$C$3:$M$578,11,FALSE)</f>
        <v>35.700000000000003</v>
      </c>
      <c r="BS854" s="129">
        <f>IFERROR(VLOOKUP($D854,'WB Data 2'!$C$2:$K$545,9,FALSE),"..")</f>
        <v>97.889880000000005</v>
      </c>
      <c r="BT854" s="129" t="str">
        <f>_xlfn.IFNA(VLOOKUP($C854,RGI!$A$2:$C$43,2,FALSE),"..")</f>
        <v>..</v>
      </c>
      <c r="BU854" s="129" t="str">
        <f>_xlfn.IFNA(VLOOKUP($C854,RGI!$A$2:$C$43,3,FALSE),"..")</f>
        <v>..</v>
      </c>
      <c r="BV854" s="129">
        <f>VLOOKUP($D854,WGI!$C$2:$O$478,7,FALSE)</f>
        <v>-0.99783876931018101</v>
      </c>
      <c r="BW854" s="129">
        <f>VLOOKUP($D854,WGI!$C$2:$O$478,4,FALSE)</f>
        <v>-1.17479806695392</v>
      </c>
      <c r="BX854" s="129">
        <f>VLOOKUP($D854,WGI!$C$2:$O$478,3,FALSE)</f>
        <v>-0.71639153301617997</v>
      </c>
      <c r="BY854" s="129">
        <f>VLOOKUP($D854,WGI!$C$2:$O$478,5,FALSE)</f>
        <v>-0.32531996502788701</v>
      </c>
      <c r="BZ854" s="129">
        <f>VLOOKUP($D854,WGI!$C$2:$O$478,2,FALSE)</f>
        <v>-1.0272392511419</v>
      </c>
      <c r="CB854" s="129"/>
    </row>
    <row r="855" spans="1:80" s="120" customFormat="1" ht="15" customHeight="1">
      <c r="A855" s="294" t="s">
        <v>284</v>
      </c>
      <c r="B855" s="117">
        <v>2004</v>
      </c>
      <c r="C855" s="117" t="s">
        <v>285</v>
      </c>
      <c r="D855" s="117" t="s">
        <v>3465</v>
      </c>
      <c r="E855" s="452" t="s">
        <v>39</v>
      </c>
      <c r="F855" s="117"/>
      <c r="G855" s="117" t="s">
        <v>24</v>
      </c>
      <c r="H855" s="117" t="str">
        <f t="shared" si="145"/>
        <v>yes</v>
      </c>
      <c r="I855" s="117" t="str">
        <f t="shared" si="146"/>
        <v>no</v>
      </c>
      <c r="J855" s="117" t="str">
        <f t="shared" si="147"/>
        <v>no</v>
      </c>
      <c r="K855" s="117" t="s">
        <v>616</v>
      </c>
      <c r="L855" s="117" t="str">
        <f t="shared" si="148"/>
        <v>detailed</v>
      </c>
      <c r="M855" s="117" t="str">
        <f t="shared" si="149"/>
        <v>detailed Mining</v>
      </c>
      <c r="N855" s="118">
        <v>453592</v>
      </c>
      <c r="O855" s="118"/>
      <c r="P855" s="118"/>
      <c r="Q855" s="118"/>
      <c r="R855" s="118"/>
      <c r="S855" s="117" t="s">
        <v>610</v>
      </c>
      <c r="T855" s="119">
        <v>69.798891942663829</v>
      </c>
      <c r="U855" s="117" t="s">
        <v>611</v>
      </c>
      <c r="V855" s="117" t="s">
        <v>1484</v>
      </c>
      <c r="W855" s="89">
        <f t="shared" ref="W855:W864" si="150">N855*T855</f>
        <v>31660218.994056772</v>
      </c>
      <c r="X855" s="117"/>
      <c r="Y855" s="117"/>
      <c r="Z855" s="117"/>
      <c r="AA855" s="177"/>
      <c r="AB855" s="177"/>
      <c r="AC855" s="122"/>
      <c r="AD855" s="122"/>
      <c r="AE855" s="122"/>
      <c r="AF855" s="123"/>
      <c r="AG855" s="117"/>
      <c r="AH855" s="124"/>
      <c r="AI855" s="117"/>
      <c r="AJ855" s="117"/>
      <c r="AK855" s="89"/>
      <c r="AL855" s="117"/>
      <c r="AM855" s="117"/>
      <c r="AN855" s="117"/>
      <c r="AO855" s="117"/>
      <c r="AP855" s="117"/>
      <c r="AQ855" s="117"/>
      <c r="AR855" s="126"/>
      <c r="AS855" s="117"/>
      <c r="AT855" s="117"/>
      <c r="AU855" s="117"/>
      <c r="AV855" s="128" t="s">
        <v>1485</v>
      </c>
      <c r="AW855" s="117">
        <f>VLOOKUP($D855,'WB Data'!$C$3:$M$578,2,FALSE)</f>
        <v>2211535311.6283431</v>
      </c>
      <c r="AX855" s="117">
        <f>VLOOKUP($D855,'WB Data'!$C$3:$M$578,3,FALSE)</f>
        <v>5104700</v>
      </c>
      <c r="AY855" s="847">
        <f t="shared" si="141"/>
        <v>1.3779226512807833E-2</v>
      </c>
      <c r="AZ855" s="117" t="e">
        <f>VLOOKUP($D855,'WB Data'!$C$3:$M$578,4,FALSE)/100</f>
        <v>#VALUE!</v>
      </c>
      <c r="BA855" s="117" t="str">
        <f t="shared" si="142"/>
        <v>..</v>
      </c>
      <c r="BB855" s="129">
        <f>IFERROR(VLOOKUP($D855,'EITI Revenues'!$C$2:$G$224,5,FALSE),"..")</f>
        <v>30473246</v>
      </c>
      <c r="BC855" s="846" t="str">
        <f t="shared" si="143"/>
        <v>..</v>
      </c>
      <c r="BD855" s="129">
        <f>VLOOKUP($D855,'WB Data 2'!$C$2:$K$545,6,FALSE)</f>
        <v>187944032.23618129</v>
      </c>
      <c r="BE855" s="129" t="str">
        <f>IFERROR(VLOOKUP($D855,UNCTAD!$C$5:$V$529,4,FALSE),"..")</f>
        <v>..</v>
      </c>
      <c r="BF855" s="846" t="str">
        <f t="shared" si="144"/>
        <v>..</v>
      </c>
      <c r="BG855" s="117">
        <f>VLOOKUP($D855,'WB Data'!$C$3:$M$578,5,FALSE)</f>
        <v>261370000</v>
      </c>
      <c r="BH855" s="129">
        <f>IFERROR($BB855/$BG855,"..")</f>
        <v>0.11659045031947048</v>
      </c>
      <c r="BI855" s="117">
        <f>IFERROR(VLOOKUP($D855,'WB Data'!$C$3:$M$578,7,FALSE)/100,"..")</f>
        <v>4.6224299999999996E-2</v>
      </c>
      <c r="BJ855" s="117">
        <f>IFERROR($BI855*$AW855,"..")</f>
        <v>102226671.70530201</v>
      </c>
      <c r="BK855" s="846">
        <f>IFERROR($BB855/$BJ855,"..")</f>
        <v>0.2980948659646081</v>
      </c>
      <c r="BL855" s="117">
        <f>IFERROR(VLOOKUP($D855,'WB Data'!$C$3:$M$578,7,FALSE)/100,"..")</f>
        <v>4.6224299999999996E-2</v>
      </c>
      <c r="BM855" s="117">
        <f>IFERROR($AW855*$BL855,"..")</f>
        <v>102226671.70530201</v>
      </c>
      <c r="BN855" s="846">
        <f>IFERROR($BB855/$BM855,"..")</f>
        <v>0.2980948659646081</v>
      </c>
      <c r="BO855" s="801" t="str">
        <f t="shared" si="140"/>
        <v>..</v>
      </c>
      <c r="BP855" s="117" t="str">
        <f>VLOOKUP($D855,'WB Data'!$C$3:$M$578,9,FALSE)</f>
        <v>..</v>
      </c>
      <c r="BQ855" s="117">
        <f>VLOOKUP($D855,'WB Data'!$C$3:$M$578,10,FALSE)</f>
        <v>68.153658536585368</v>
      </c>
      <c r="BR855" s="117">
        <f>VLOOKUP($D855,'WB Data'!$C$3:$M$578,11,FALSE)</f>
        <v>35.700000000000003</v>
      </c>
      <c r="BS855" s="129">
        <f>IFERROR(VLOOKUP($D855,'WB Data 2'!$C$2:$K$545,9,FALSE),"..")</f>
        <v>97.889880000000005</v>
      </c>
      <c r="BT855" s="129" t="str">
        <f>_xlfn.IFNA(VLOOKUP($C855,RGI!$A$2:$C$43,2,FALSE),"..")</f>
        <v>..</v>
      </c>
      <c r="BU855" s="129" t="str">
        <f>_xlfn.IFNA(VLOOKUP($C855,RGI!$A$2:$C$43,3,FALSE),"..")</f>
        <v>..</v>
      </c>
      <c r="BV855" s="129">
        <f>VLOOKUP($D855,WGI!$C$2:$O$478,7,FALSE)</f>
        <v>-0.99783876931018101</v>
      </c>
      <c r="BW855" s="129">
        <f>VLOOKUP($D855,WGI!$C$2:$O$478,4,FALSE)</f>
        <v>-1.17479806695392</v>
      </c>
      <c r="BX855" s="129">
        <f>VLOOKUP($D855,WGI!$C$2:$O$478,3,FALSE)</f>
        <v>-0.71639153301617997</v>
      </c>
      <c r="BY855" s="129">
        <f>VLOOKUP($D855,WGI!$C$2:$O$478,5,FALSE)</f>
        <v>-0.32531996502788701</v>
      </c>
      <c r="BZ855" s="129">
        <f>VLOOKUP($D855,WGI!$C$2:$O$478,2,FALSE)</f>
        <v>-1.0272392511419</v>
      </c>
      <c r="CB855" s="129"/>
    </row>
    <row r="856" spans="1:80" s="120" customFormat="1" ht="15" customHeight="1">
      <c r="A856" s="294" t="s">
        <v>284</v>
      </c>
      <c r="B856" s="117">
        <v>2004</v>
      </c>
      <c r="C856" s="117" t="s">
        <v>285</v>
      </c>
      <c r="D856" s="117" t="s">
        <v>3465</v>
      </c>
      <c r="E856" s="452" t="s">
        <v>39</v>
      </c>
      <c r="F856" s="117"/>
      <c r="G856" s="117" t="s">
        <v>24</v>
      </c>
      <c r="H856" s="117" t="str">
        <f t="shared" si="145"/>
        <v>yes</v>
      </c>
      <c r="I856" s="117" t="str">
        <f t="shared" si="146"/>
        <v>no</v>
      </c>
      <c r="J856" s="117" t="str">
        <f t="shared" si="147"/>
        <v>no</v>
      </c>
      <c r="K856" s="117" t="s">
        <v>784</v>
      </c>
      <c r="L856" s="117" t="str">
        <f t="shared" si="148"/>
        <v>detailed</v>
      </c>
      <c r="M856" s="117" t="str">
        <f t="shared" si="149"/>
        <v>detailed Mining</v>
      </c>
      <c r="N856" s="118">
        <f>20445*32.150743126506</f>
        <v>657321.94322141516</v>
      </c>
      <c r="O856" s="118"/>
      <c r="P856" s="118"/>
      <c r="Q856" s="118"/>
      <c r="R856" s="118"/>
      <c r="S856" s="117" t="s">
        <v>785</v>
      </c>
      <c r="T856" s="119">
        <v>409.21158333333</v>
      </c>
      <c r="U856" s="117" t="s">
        <v>786</v>
      </c>
      <c r="V856" s="117" t="s">
        <v>1123</v>
      </c>
      <c r="W856" s="89">
        <f t="shared" si="150"/>
        <v>268983753.14537656</v>
      </c>
      <c r="X856" s="117"/>
      <c r="Y856" s="117"/>
      <c r="Z856" s="117"/>
      <c r="AA856" s="177"/>
      <c r="AB856" s="177"/>
      <c r="AC856" s="122"/>
      <c r="AD856" s="122"/>
      <c r="AE856" s="122"/>
      <c r="AF856" s="123"/>
      <c r="AG856" s="117"/>
      <c r="AH856" s="124"/>
      <c r="AI856" s="117"/>
      <c r="AJ856" s="117"/>
      <c r="AK856" s="89"/>
      <c r="AL856" s="117"/>
      <c r="AM856" s="117"/>
      <c r="AN856" s="117"/>
      <c r="AO856" s="117"/>
      <c r="AP856" s="117"/>
      <c r="AQ856" s="117"/>
      <c r="AR856" s="126"/>
      <c r="AS856" s="117"/>
      <c r="AT856" s="117"/>
      <c r="AU856" s="117"/>
      <c r="AV856" s="128" t="s">
        <v>1485</v>
      </c>
      <c r="AW856" s="117">
        <f>VLOOKUP($D856,'WB Data'!$C$3:$M$578,2,FALSE)</f>
        <v>2211535311.6283431</v>
      </c>
      <c r="AX856" s="117">
        <f>VLOOKUP($D856,'WB Data'!$C$3:$M$578,3,FALSE)</f>
        <v>5104700</v>
      </c>
      <c r="AY856" s="847">
        <f t="shared" si="141"/>
        <v>1.3779226512807833E-2</v>
      </c>
      <c r="AZ856" s="117" t="e">
        <f>VLOOKUP($D856,'WB Data'!$C$3:$M$578,4,FALSE)/100</f>
        <v>#VALUE!</v>
      </c>
      <c r="BA856" s="117" t="str">
        <f t="shared" si="142"/>
        <v>..</v>
      </c>
      <c r="BB856" s="129">
        <f>IFERROR(VLOOKUP($D856,'EITI Revenues'!$C$2:$G$224,5,FALSE),"..")</f>
        <v>30473246</v>
      </c>
      <c r="BC856" s="846" t="str">
        <f t="shared" si="143"/>
        <v>..</v>
      </c>
      <c r="BD856" s="129">
        <f>VLOOKUP($D856,'WB Data 2'!$C$2:$K$545,6,FALSE)</f>
        <v>187944032.23618129</v>
      </c>
      <c r="BE856" s="129" t="str">
        <f>IFERROR(VLOOKUP($D856,UNCTAD!$C$5:$V$529,4,FALSE),"..")</f>
        <v>..</v>
      </c>
      <c r="BF856" s="846" t="str">
        <f t="shared" si="144"/>
        <v>..</v>
      </c>
      <c r="BG856" s="117">
        <f>VLOOKUP($D856,'WB Data'!$C$3:$M$578,5,FALSE)</f>
        <v>261370000</v>
      </c>
      <c r="BH856" s="129">
        <f>IFERROR($BB856/$BG856,"..")</f>
        <v>0.11659045031947048</v>
      </c>
      <c r="BI856" s="117">
        <f>IFERROR(VLOOKUP($D856,'WB Data'!$C$3:$M$578,7,FALSE)/100,"..")</f>
        <v>4.6224299999999996E-2</v>
      </c>
      <c r="BJ856" s="117">
        <f>IFERROR($BI856*$AW856,"..")</f>
        <v>102226671.70530201</v>
      </c>
      <c r="BK856" s="846">
        <f>IFERROR($BB856/$BJ856,"..")</f>
        <v>0.2980948659646081</v>
      </c>
      <c r="BL856" s="117">
        <f>IFERROR(VLOOKUP($D856,'WB Data'!$C$3:$M$578,7,FALSE)/100,"..")</f>
        <v>4.6224299999999996E-2</v>
      </c>
      <c r="BM856" s="117">
        <f>IFERROR($AW856*$BL856,"..")</f>
        <v>102226671.70530201</v>
      </c>
      <c r="BN856" s="846">
        <f>IFERROR($BB856/$BM856,"..")</f>
        <v>0.2980948659646081</v>
      </c>
      <c r="BO856" s="801" t="str">
        <f t="shared" si="140"/>
        <v>..</v>
      </c>
      <c r="BP856" s="117" t="str">
        <f>VLOOKUP($D856,'WB Data'!$C$3:$M$578,9,FALSE)</f>
        <v>..</v>
      </c>
      <c r="BQ856" s="117">
        <f>VLOOKUP($D856,'WB Data'!$C$3:$M$578,10,FALSE)</f>
        <v>68.153658536585368</v>
      </c>
      <c r="BR856" s="117">
        <f>VLOOKUP($D856,'WB Data'!$C$3:$M$578,11,FALSE)</f>
        <v>35.700000000000003</v>
      </c>
      <c r="BS856" s="129">
        <f>IFERROR(VLOOKUP($D856,'WB Data 2'!$C$2:$K$545,9,FALSE),"..")</f>
        <v>97.889880000000005</v>
      </c>
      <c r="BT856" s="129" t="str">
        <f>_xlfn.IFNA(VLOOKUP($C856,RGI!$A$2:$C$43,2,FALSE),"..")</f>
        <v>..</v>
      </c>
      <c r="BU856" s="129" t="str">
        <f>_xlfn.IFNA(VLOOKUP($C856,RGI!$A$2:$C$43,3,FALSE),"..")</f>
        <v>..</v>
      </c>
      <c r="BV856" s="129">
        <f>VLOOKUP($D856,WGI!$C$2:$O$478,7,FALSE)</f>
        <v>-0.99783876931018101</v>
      </c>
      <c r="BW856" s="129">
        <f>VLOOKUP($D856,WGI!$C$2:$O$478,4,FALSE)</f>
        <v>-1.17479806695392</v>
      </c>
      <c r="BX856" s="129">
        <f>VLOOKUP($D856,WGI!$C$2:$O$478,3,FALSE)</f>
        <v>-0.71639153301617997</v>
      </c>
      <c r="BY856" s="129">
        <f>VLOOKUP($D856,WGI!$C$2:$O$478,5,FALSE)</f>
        <v>-0.32531996502788701</v>
      </c>
      <c r="BZ856" s="129">
        <f>VLOOKUP($D856,WGI!$C$2:$O$478,2,FALSE)</f>
        <v>-1.0272392511419</v>
      </c>
      <c r="CB856" s="129"/>
    </row>
    <row r="857" spans="1:80" s="120" customFormat="1" ht="15" customHeight="1">
      <c r="A857" s="294" t="s">
        <v>284</v>
      </c>
      <c r="B857" s="117">
        <v>2004</v>
      </c>
      <c r="C857" s="117" t="s">
        <v>285</v>
      </c>
      <c r="D857" s="117" t="s">
        <v>3465</v>
      </c>
      <c r="E857" s="452" t="s">
        <v>39</v>
      </c>
      <c r="F857" s="117"/>
      <c r="G857" s="117" t="s">
        <v>24</v>
      </c>
      <c r="H857" s="117" t="str">
        <f t="shared" si="145"/>
        <v>yes</v>
      </c>
      <c r="I857" s="117" t="str">
        <f t="shared" si="146"/>
        <v>no</v>
      </c>
      <c r="J857" s="117" t="str">
        <f t="shared" si="147"/>
        <v>no</v>
      </c>
      <c r="K857" s="117" t="s">
        <v>622</v>
      </c>
      <c r="L857" s="117" t="str">
        <f t="shared" si="148"/>
        <v>detailed</v>
      </c>
      <c r="M857" s="117" t="str">
        <f t="shared" si="149"/>
        <v>detailed Mining</v>
      </c>
      <c r="N857" s="118">
        <v>14000</v>
      </c>
      <c r="O857" s="118"/>
      <c r="P857" s="118"/>
      <c r="Q857" s="118"/>
      <c r="R857" s="118"/>
      <c r="S857" s="117" t="s">
        <v>610</v>
      </c>
      <c r="T857" s="119">
        <v>14.14</v>
      </c>
      <c r="U857" s="117" t="s">
        <v>611</v>
      </c>
      <c r="V857" s="117" t="s">
        <v>1486</v>
      </c>
      <c r="W857" s="89">
        <f t="shared" si="150"/>
        <v>197960</v>
      </c>
      <c r="X857" s="117"/>
      <c r="Y857" s="117"/>
      <c r="Z857" s="117"/>
      <c r="AA857" s="177"/>
      <c r="AB857" s="177"/>
      <c r="AC857" s="122"/>
      <c r="AD857" s="122"/>
      <c r="AE857" s="122"/>
      <c r="AF857" s="123"/>
      <c r="AG857" s="117"/>
      <c r="AH857" s="124"/>
      <c r="AI857" s="117"/>
      <c r="AJ857" s="117"/>
      <c r="AK857" s="89"/>
      <c r="AL857" s="117"/>
      <c r="AM857" s="117"/>
      <c r="AN857" s="117"/>
      <c r="AO857" s="117"/>
      <c r="AP857" s="117"/>
      <c r="AQ857" s="117"/>
      <c r="AR857" s="126"/>
      <c r="AS857" s="117"/>
      <c r="AT857" s="117"/>
      <c r="AU857" s="117"/>
      <c r="AV857" s="128" t="s">
        <v>1485</v>
      </c>
      <c r="AW857" s="117">
        <f>VLOOKUP($D857,'WB Data'!$C$3:$M$578,2,FALSE)</f>
        <v>2211535311.6283431</v>
      </c>
      <c r="AX857" s="117">
        <f>VLOOKUP($D857,'WB Data'!$C$3:$M$578,3,FALSE)</f>
        <v>5104700</v>
      </c>
      <c r="AY857" s="847">
        <f t="shared" si="141"/>
        <v>1.3779226512807833E-2</v>
      </c>
      <c r="AZ857" s="117" t="e">
        <f>VLOOKUP($D857,'WB Data'!$C$3:$M$578,4,FALSE)/100</f>
        <v>#VALUE!</v>
      </c>
      <c r="BA857" s="117" t="str">
        <f t="shared" si="142"/>
        <v>..</v>
      </c>
      <c r="BB857" s="129">
        <f>IFERROR(VLOOKUP($D857,'EITI Revenues'!$C$2:$G$224,5,FALSE),"..")</f>
        <v>30473246</v>
      </c>
      <c r="BC857" s="846" t="str">
        <f t="shared" si="143"/>
        <v>..</v>
      </c>
      <c r="BD857" s="129">
        <f>VLOOKUP($D857,'WB Data 2'!$C$2:$K$545,6,FALSE)</f>
        <v>187944032.23618129</v>
      </c>
      <c r="BE857" s="129" t="str">
        <f>IFERROR(VLOOKUP($D857,UNCTAD!$C$5:$V$529,4,FALSE),"..")</f>
        <v>..</v>
      </c>
      <c r="BF857" s="846" t="str">
        <f t="shared" si="144"/>
        <v>..</v>
      </c>
      <c r="BG857" s="117">
        <f>VLOOKUP($D857,'WB Data'!$C$3:$M$578,5,FALSE)</f>
        <v>261370000</v>
      </c>
      <c r="BH857" s="129">
        <f>IFERROR($BB857/$BG857,"..")</f>
        <v>0.11659045031947048</v>
      </c>
      <c r="BI857" s="117">
        <f>IFERROR(VLOOKUP($D857,'WB Data'!$C$3:$M$578,7,FALSE)/100,"..")</f>
        <v>4.6224299999999996E-2</v>
      </c>
      <c r="BJ857" s="117">
        <f>IFERROR($BI857*$AW857,"..")</f>
        <v>102226671.70530201</v>
      </c>
      <c r="BK857" s="846">
        <f>IFERROR($BB857/$BJ857,"..")</f>
        <v>0.2980948659646081</v>
      </c>
      <c r="BL857" s="117">
        <f>IFERROR(VLOOKUP($D857,'WB Data'!$C$3:$M$578,7,FALSE)/100,"..")</f>
        <v>4.6224299999999996E-2</v>
      </c>
      <c r="BM857" s="117">
        <f>IFERROR($AW857*$BL857,"..")</f>
        <v>102226671.70530201</v>
      </c>
      <c r="BN857" s="846">
        <f>IFERROR($BB857/$BM857,"..")</f>
        <v>0.2980948659646081</v>
      </c>
      <c r="BO857" s="801" t="str">
        <f t="shared" si="140"/>
        <v>..</v>
      </c>
      <c r="BP857" s="117" t="str">
        <f>VLOOKUP($D857,'WB Data'!$C$3:$M$578,9,FALSE)</f>
        <v>..</v>
      </c>
      <c r="BQ857" s="117">
        <f>VLOOKUP($D857,'WB Data'!$C$3:$M$578,10,FALSE)</f>
        <v>68.153658536585368</v>
      </c>
      <c r="BR857" s="117">
        <f>VLOOKUP($D857,'WB Data'!$C$3:$M$578,11,FALSE)</f>
        <v>35.700000000000003</v>
      </c>
      <c r="BS857" s="129">
        <f>IFERROR(VLOOKUP($D857,'WB Data 2'!$C$2:$K$545,9,FALSE),"..")</f>
        <v>97.889880000000005</v>
      </c>
      <c r="BT857" s="129" t="str">
        <f>_xlfn.IFNA(VLOOKUP($C857,RGI!$A$2:$C$43,2,FALSE),"..")</f>
        <v>..</v>
      </c>
      <c r="BU857" s="129" t="str">
        <f>_xlfn.IFNA(VLOOKUP($C857,RGI!$A$2:$C$43,3,FALSE),"..")</f>
        <v>..</v>
      </c>
      <c r="BV857" s="129">
        <f>VLOOKUP($D857,WGI!$C$2:$O$478,7,FALSE)</f>
        <v>-0.99783876931018101</v>
      </c>
      <c r="BW857" s="129">
        <f>VLOOKUP($D857,WGI!$C$2:$O$478,4,FALSE)</f>
        <v>-1.17479806695392</v>
      </c>
      <c r="BX857" s="129">
        <f>VLOOKUP($D857,WGI!$C$2:$O$478,3,FALSE)</f>
        <v>-0.71639153301617997</v>
      </c>
      <c r="BY857" s="129">
        <f>VLOOKUP($D857,WGI!$C$2:$O$478,5,FALSE)</f>
        <v>-0.32531996502788701</v>
      </c>
      <c r="BZ857" s="129">
        <f>VLOOKUP($D857,WGI!$C$2:$O$478,2,FALSE)</f>
        <v>-1.0272392511419</v>
      </c>
      <c r="CB857" s="129"/>
    </row>
    <row r="858" spans="1:80" s="120" customFormat="1" ht="15" customHeight="1">
      <c r="A858" s="294" t="s">
        <v>284</v>
      </c>
      <c r="B858" s="117">
        <v>2004</v>
      </c>
      <c r="C858" s="117" t="s">
        <v>285</v>
      </c>
      <c r="D858" s="117" t="s">
        <v>3465</v>
      </c>
      <c r="E858" s="452" t="s">
        <v>39</v>
      </c>
      <c r="F858" s="117"/>
      <c r="G858" s="117" t="s">
        <v>24</v>
      </c>
      <c r="H858" s="117" t="str">
        <f t="shared" si="145"/>
        <v>yes</v>
      </c>
      <c r="I858" s="117" t="str">
        <f t="shared" si="146"/>
        <v>no</v>
      </c>
      <c r="J858" s="117" t="str">
        <f t="shared" si="147"/>
        <v>no</v>
      </c>
      <c r="K858" s="117" t="s">
        <v>1230</v>
      </c>
      <c r="L858" s="117" t="str">
        <f t="shared" si="148"/>
        <v>detailed</v>
      </c>
      <c r="M858" s="117" t="str">
        <f t="shared" si="149"/>
        <v>detailed Mining</v>
      </c>
      <c r="N858" s="118">
        <v>400000</v>
      </c>
      <c r="O858" s="118"/>
      <c r="P858" s="118"/>
      <c r="Q858" s="118"/>
      <c r="R858" s="118"/>
      <c r="S858" s="117" t="s">
        <v>610</v>
      </c>
      <c r="T858" s="119">
        <v>121</v>
      </c>
      <c r="U858" s="117" t="s">
        <v>611</v>
      </c>
      <c r="V858" s="117" t="s">
        <v>1487</v>
      </c>
      <c r="W858" s="89">
        <f t="shared" si="150"/>
        <v>48400000</v>
      </c>
      <c r="X858" s="117"/>
      <c r="Y858" s="117"/>
      <c r="Z858" s="117"/>
      <c r="AA858" s="177"/>
      <c r="AB858" s="177"/>
      <c r="AC858" s="122"/>
      <c r="AD858" s="122"/>
      <c r="AE858" s="122"/>
      <c r="AF858" s="123"/>
      <c r="AG858" s="117"/>
      <c r="AH858" s="124"/>
      <c r="AI858" s="117"/>
      <c r="AJ858" s="117"/>
      <c r="AK858" s="89"/>
      <c r="AL858" s="117"/>
      <c r="AM858" s="117"/>
      <c r="AN858" s="117"/>
      <c r="AO858" s="117"/>
      <c r="AP858" s="117"/>
      <c r="AQ858" s="117"/>
      <c r="AR858" s="126"/>
      <c r="AS858" s="117"/>
      <c r="AT858" s="117"/>
      <c r="AU858" s="117"/>
      <c r="AV858" s="128" t="s">
        <v>1485</v>
      </c>
      <c r="AW858" s="117">
        <f>VLOOKUP($D858,'WB Data'!$C$3:$M$578,2,FALSE)</f>
        <v>2211535311.6283431</v>
      </c>
      <c r="AX858" s="117">
        <f>VLOOKUP($D858,'WB Data'!$C$3:$M$578,3,FALSE)</f>
        <v>5104700</v>
      </c>
      <c r="AY858" s="847">
        <f t="shared" si="141"/>
        <v>1.3779226512807833E-2</v>
      </c>
      <c r="AZ858" s="117" t="e">
        <f>VLOOKUP($D858,'WB Data'!$C$3:$M$578,4,FALSE)/100</f>
        <v>#VALUE!</v>
      </c>
      <c r="BA858" s="117" t="str">
        <f t="shared" si="142"/>
        <v>..</v>
      </c>
      <c r="BB858" s="129">
        <f>IFERROR(VLOOKUP($D858,'EITI Revenues'!$C$2:$G$224,5,FALSE),"..")</f>
        <v>30473246</v>
      </c>
      <c r="BC858" s="846" t="str">
        <f t="shared" si="143"/>
        <v>..</v>
      </c>
      <c r="BD858" s="129">
        <f>VLOOKUP($D858,'WB Data 2'!$C$2:$K$545,6,FALSE)</f>
        <v>187944032.23618129</v>
      </c>
      <c r="BE858" s="129" t="str">
        <f>IFERROR(VLOOKUP($D858,UNCTAD!$C$5:$V$529,4,FALSE),"..")</f>
        <v>..</v>
      </c>
      <c r="BF858" s="846" t="str">
        <f t="shared" si="144"/>
        <v>..</v>
      </c>
      <c r="BG858" s="117">
        <f>VLOOKUP($D858,'WB Data'!$C$3:$M$578,5,FALSE)</f>
        <v>261370000</v>
      </c>
      <c r="BH858" s="129">
        <f>IFERROR($BB858/$BG858,"..")</f>
        <v>0.11659045031947048</v>
      </c>
      <c r="BI858" s="117">
        <f>IFERROR(VLOOKUP($D858,'WB Data'!$C$3:$M$578,7,FALSE)/100,"..")</f>
        <v>4.6224299999999996E-2</v>
      </c>
      <c r="BJ858" s="117">
        <f>IFERROR($BI858*$AW858,"..")</f>
        <v>102226671.70530201</v>
      </c>
      <c r="BK858" s="846">
        <f>IFERROR($BB858/$BJ858,"..")</f>
        <v>0.2980948659646081</v>
      </c>
      <c r="BL858" s="117">
        <f>IFERROR(VLOOKUP($D858,'WB Data'!$C$3:$M$578,7,FALSE)/100,"..")</f>
        <v>4.6224299999999996E-2</v>
      </c>
      <c r="BM858" s="117">
        <f>IFERROR($AW858*$BL858,"..")</f>
        <v>102226671.70530201</v>
      </c>
      <c r="BN858" s="846">
        <f>IFERROR($BB858/$BM858,"..")</f>
        <v>0.2980948659646081</v>
      </c>
      <c r="BO858" s="801" t="str">
        <f t="shared" si="140"/>
        <v>..</v>
      </c>
      <c r="BP858" s="117" t="str">
        <f>VLOOKUP($D858,'WB Data'!$C$3:$M$578,9,FALSE)</f>
        <v>..</v>
      </c>
      <c r="BQ858" s="117">
        <f>VLOOKUP($D858,'WB Data'!$C$3:$M$578,10,FALSE)</f>
        <v>68.153658536585368</v>
      </c>
      <c r="BR858" s="117">
        <f>VLOOKUP($D858,'WB Data'!$C$3:$M$578,11,FALSE)</f>
        <v>35.700000000000003</v>
      </c>
      <c r="BS858" s="129">
        <f>IFERROR(VLOOKUP($D858,'WB Data 2'!$C$2:$K$545,9,FALSE),"..")</f>
        <v>97.889880000000005</v>
      </c>
      <c r="BT858" s="129" t="str">
        <f>_xlfn.IFNA(VLOOKUP($C858,RGI!$A$2:$C$43,2,FALSE),"..")</f>
        <v>..</v>
      </c>
      <c r="BU858" s="129" t="str">
        <f>_xlfn.IFNA(VLOOKUP($C858,RGI!$A$2:$C$43,3,FALSE),"..")</f>
        <v>..</v>
      </c>
      <c r="BV858" s="129">
        <f>VLOOKUP($D858,WGI!$C$2:$O$478,7,FALSE)</f>
        <v>-0.99783876931018101</v>
      </c>
      <c r="BW858" s="129">
        <f>VLOOKUP($D858,WGI!$C$2:$O$478,4,FALSE)</f>
        <v>-1.17479806695392</v>
      </c>
      <c r="BX858" s="129">
        <f>VLOOKUP($D858,WGI!$C$2:$O$478,3,FALSE)</f>
        <v>-0.71639153301617997</v>
      </c>
      <c r="BY858" s="129">
        <f>VLOOKUP($D858,WGI!$C$2:$O$478,5,FALSE)</f>
        <v>-0.32531996502788701</v>
      </c>
      <c r="BZ858" s="129">
        <f>VLOOKUP($D858,WGI!$C$2:$O$478,2,FALSE)</f>
        <v>-1.0272392511419</v>
      </c>
      <c r="CB858" s="129"/>
    </row>
    <row r="859" spans="1:80" s="120" customFormat="1" ht="15" customHeight="1">
      <c r="A859" s="294" t="s">
        <v>284</v>
      </c>
      <c r="B859" s="117">
        <v>2004</v>
      </c>
      <c r="C859" s="117" t="s">
        <v>285</v>
      </c>
      <c r="D859" s="117" t="s">
        <v>3465</v>
      </c>
      <c r="E859" s="452" t="s">
        <v>39</v>
      </c>
      <c r="F859" s="117"/>
      <c r="G859" s="117" t="s">
        <v>24</v>
      </c>
      <c r="H859" s="117" t="str">
        <f t="shared" si="145"/>
        <v>yes</v>
      </c>
      <c r="I859" s="117" t="str">
        <f t="shared" si="146"/>
        <v>no</v>
      </c>
      <c r="J859" s="117" t="str">
        <f t="shared" si="147"/>
        <v>no</v>
      </c>
      <c r="K859" s="117" t="s">
        <v>1488</v>
      </c>
      <c r="L859" s="117" t="str">
        <f t="shared" si="148"/>
        <v>detailed</v>
      </c>
      <c r="M859" s="117" t="str">
        <f t="shared" si="149"/>
        <v>detailed Mining</v>
      </c>
      <c r="N859" s="118">
        <v>11200</v>
      </c>
      <c r="O859" s="118"/>
      <c r="P859" s="118"/>
      <c r="Q859" s="118"/>
      <c r="R859" s="118"/>
      <c r="S859" s="117" t="s">
        <v>610</v>
      </c>
      <c r="T859" s="119">
        <v>77.3</v>
      </c>
      <c r="U859" s="117" t="s">
        <v>611</v>
      </c>
      <c r="V859" s="117" t="s">
        <v>1489</v>
      </c>
      <c r="W859" s="89">
        <f t="shared" si="150"/>
        <v>865760</v>
      </c>
      <c r="X859" s="117"/>
      <c r="Y859" s="117"/>
      <c r="Z859" s="117"/>
      <c r="AA859" s="177"/>
      <c r="AB859" s="177"/>
      <c r="AC859" s="122"/>
      <c r="AD859" s="122"/>
      <c r="AE859" s="122"/>
      <c r="AF859" s="123"/>
      <c r="AG859" s="117"/>
      <c r="AH859" s="124"/>
      <c r="AI859" s="117"/>
      <c r="AJ859" s="117"/>
      <c r="AK859" s="89"/>
      <c r="AL859" s="117"/>
      <c r="AM859" s="117"/>
      <c r="AN859" s="117"/>
      <c r="AO859" s="117"/>
      <c r="AP859" s="117"/>
      <c r="AQ859" s="117"/>
      <c r="AR859" s="126"/>
      <c r="AS859" s="117"/>
      <c r="AT859" s="117"/>
      <c r="AU859" s="117"/>
      <c r="AV859" s="128" t="s">
        <v>1485</v>
      </c>
      <c r="AW859" s="117">
        <f>VLOOKUP($D859,'WB Data'!$C$3:$M$578,2,FALSE)</f>
        <v>2211535311.6283431</v>
      </c>
      <c r="AX859" s="117">
        <f>VLOOKUP($D859,'WB Data'!$C$3:$M$578,3,FALSE)</f>
        <v>5104700</v>
      </c>
      <c r="AY859" s="847">
        <f t="shared" si="141"/>
        <v>1.3779226512807833E-2</v>
      </c>
      <c r="AZ859" s="117" t="e">
        <f>VLOOKUP($D859,'WB Data'!$C$3:$M$578,4,FALSE)/100</f>
        <v>#VALUE!</v>
      </c>
      <c r="BA859" s="117" t="str">
        <f t="shared" si="142"/>
        <v>..</v>
      </c>
      <c r="BB859" s="129">
        <f>IFERROR(VLOOKUP($D859,'EITI Revenues'!$C$2:$G$224,5,FALSE),"..")</f>
        <v>30473246</v>
      </c>
      <c r="BC859" s="846" t="str">
        <f t="shared" si="143"/>
        <v>..</v>
      </c>
      <c r="BD859" s="129">
        <f>VLOOKUP($D859,'WB Data 2'!$C$2:$K$545,6,FALSE)</f>
        <v>187944032.23618129</v>
      </c>
      <c r="BE859" s="129" t="str">
        <f>IFERROR(VLOOKUP($D859,UNCTAD!$C$5:$V$529,4,FALSE),"..")</f>
        <v>..</v>
      </c>
      <c r="BF859" s="846" t="str">
        <f t="shared" si="144"/>
        <v>..</v>
      </c>
      <c r="BG859" s="117">
        <f>VLOOKUP($D859,'WB Data'!$C$3:$M$578,5,FALSE)</f>
        <v>261370000</v>
      </c>
      <c r="BH859" s="129">
        <f>IFERROR($BB859/$BG859,"..")</f>
        <v>0.11659045031947048</v>
      </c>
      <c r="BI859" s="117">
        <f>IFERROR(VLOOKUP($D859,'WB Data'!$C$3:$M$578,7,FALSE)/100,"..")</f>
        <v>4.6224299999999996E-2</v>
      </c>
      <c r="BJ859" s="117">
        <f>IFERROR($BI859*$AW859,"..")</f>
        <v>102226671.70530201</v>
      </c>
      <c r="BK859" s="846">
        <f>IFERROR($BB859/$BJ859,"..")</f>
        <v>0.2980948659646081</v>
      </c>
      <c r="BL859" s="117">
        <f>IFERROR(VLOOKUP($D859,'WB Data'!$C$3:$M$578,7,FALSE)/100,"..")</f>
        <v>4.6224299999999996E-2</v>
      </c>
      <c r="BM859" s="117">
        <f>IFERROR($AW859*$BL859,"..")</f>
        <v>102226671.70530201</v>
      </c>
      <c r="BN859" s="846">
        <f>IFERROR($BB859/$BM859,"..")</f>
        <v>0.2980948659646081</v>
      </c>
      <c r="BO859" s="801" t="str">
        <f t="shared" si="140"/>
        <v>..</v>
      </c>
      <c r="BP859" s="117" t="str">
        <f>VLOOKUP($D859,'WB Data'!$C$3:$M$578,9,FALSE)</f>
        <v>..</v>
      </c>
      <c r="BQ859" s="117">
        <f>VLOOKUP($D859,'WB Data'!$C$3:$M$578,10,FALSE)</f>
        <v>68.153658536585368</v>
      </c>
      <c r="BR859" s="117">
        <f>VLOOKUP($D859,'WB Data'!$C$3:$M$578,11,FALSE)</f>
        <v>35.700000000000003</v>
      </c>
      <c r="BS859" s="129">
        <f>IFERROR(VLOOKUP($D859,'WB Data 2'!$C$2:$K$545,9,FALSE),"..")</f>
        <v>97.889880000000005</v>
      </c>
      <c r="BT859" s="129" t="str">
        <f>_xlfn.IFNA(VLOOKUP($C859,RGI!$A$2:$C$43,2,FALSE),"..")</f>
        <v>..</v>
      </c>
      <c r="BU859" s="129" t="str">
        <f>_xlfn.IFNA(VLOOKUP($C859,RGI!$A$2:$C$43,3,FALSE),"..")</f>
        <v>..</v>
      </c>
      <c r="BV859" s="129">
        <f>VLOOKUP($D859,WGI!$C$2:$O$478,7,FALSE)</f>
        <v>-0.99783876931018101</v>
      </c>
      <c r="BW859" s="129">
        <f>VLOOKUP($D859,WGI!$C$2:$O$478,4,FALSE)</f>
        <v>-1.17479806695392</v>
      </c>
      <c r="BX859" s="129">
        <f>VLOOKUP($D859,WGI!$C$2:$O$478,3,FALSE)</f>
        <v>-0.71639153301617997</v>
      </c>
      <c r="BY859" s="129">
        <f>VLOOKUP($D859,WGI!$C$2:$O$478,5,FALSE)</f>
        <v>-0.32531996502788701</v>
      </c>
      <c r="BZ859" s="129">
        <f>VLOOKUP($D859,WGI!$C$2:$O$478,2,FALSE)</f>
        <v>-1.0272392511419</v>
      </c>
      <c r="CB859" s="129"/>
    </row>
    <row r="860" spans="1:80" s="120" customFormat="1" ht="15" customHeight="1">
      <c r="A860" s="294" t="s">
        <v>284</v>
      </c>
      <c r="B860" s="117">
        <v>2004</v>
      </c>
      <c r="C860" s="117" t="s">
        <v>285</v>
      </c>
      <c r="D860" s="117" t="s">
        <v>3465</v>
      </c>
      <c r="E860" s="452" t="s">
        <v>39</v>
      </c>
      <c r="F860" s="117"/>
      <c r="G860" s="117" t="s">
        <v>24</v>
      </c>
      <c r="H860" s="117" t="str">
        <f t="shared" si="145"/>
        <v>yes</v>
      </c>
      <c r="I860" s="117" t="str">
        <f t="shared" si="146"/>
        <v>no</v>
      </c>
      <c r="J860" s="117" t="str">
        <f t="shared" si="147"/>
        <v>no</v>
      </c>
      <c r="K860" s="117" t="s">
        <v>1232</v>
      </c>
      <c r="L860" s="117" t="str">
        <f t="shared" si="148"/>
        <v>detailed</v>
      </c>
      <c r="M860" s="117" t="str">
        <f t="shared" si="149"/>
        <v>detailed Mining</v>
      </c>
      <c r="N860" s="118">
        <v>445050</v>
      </c>
      <c r="O860" s="118"/>
      <c r="P860" s="118"/>
      <c r="Q860" s="118"/>
      <c r="R860" s="118"/>
      <c r="S860" s="117" t="s">
        <v>610</v>
      </c>
      <c r="T860" s="119">
        <v>5.68</v>
      </c>
      <c r="U860" s="117" t="s">
        <v>611</v>
      </c>
      <c r="V860" s="117" t="s">
        <v>1490</v>
      </c>
      <c r="W860" s="89">
        <f t="shared" si="150"/>
        <v>2527884</v>
      </c>
      <c r="X860" s="117"/>
      <c r="Y860" s="117"/>
      <c r="Z860" s="117"/>
      <c r="AA860" s="177"/>
      <c r="AB860" s="177"/>
      <c r="AC860" s="122"/>
      <c r="AD860" s="122"/>
      <c r="AE860" s="122"/>
      <c r="AF860" s="123"/>
      <c r="AG860" s="117"/>
      <c r="AH860" s="124"/>
      <c r="AI860" s="117"/>
      <c r="AJ860" s="117"/>
      <c r="AK860" s="89"/>
      <c r="AL860" s="117"/>
      <c r="AM860" s="117"/>
      <c r="AN860" s="117"/>
      <c r="AO860" s="117"/>
      <c r="AP860" s="117"/>
      <c r="AQ860" s="117"/>
      <c r="AR860" s="126"/>
      <c r="AS860" s="117"/>
      <c r="AT860" s="117"/>
      <c r="AU860" s="117"/>
      <c r="AV860" s="128" t="s">
        <v>1485</v>
      </c>
      <c r="AW860" s="117">
        <f>VLOOKUP($D860,'WB Data'!$C$3:$M$578,2,FALSE)</f>
        <v>2211535311.6283431</v>
      </c>
      <c r="AX860" s="117">
        <f>VLOOKUP($D860,'WB Data'!$C$3:$M$578,3,FALSE)</f>
        <v>5104700</v>
      </c>
      <c r="AY860" s="847">
        <f t="shared" si="141"/>
        <v>1.3779226512807833E-2</v>
      </c>
      <c r="AZ860" s="117" t="e">
        <f>VLOOKUP($D860,'WB Data'!$C$3:$M$578,4,FALSE)/100</f>
        <v>#VALUE!</v>
      </c>
      <c r="BA860" s="117" t="str">
        <f t="shared" si="142"/>
        <v>..</v>
      </c>
      <c r="BB860" s="129">
        <f>IFERROR(VLOOKUP($D860,'EITI Revenues'!$C$2:$G$224,5,FALSE),"..")</f>
        <v>30473246</v>
      </c>
      <c r="BC860" s="846" t="str">
        <f t="shared" si="143"/>
        <v>..</v>
      </c>
      <c r="BD860" s="129">
        <f>VLOOKUP($D860,'WB Data 2'!$C$2:$K$545,6,FALSE)</f>
        <v>187944032.23618129</v>
      </c>
      <c r="BE860" s="129" t="str">
        <f>IFERROR(VLOOKUP($D860,UNCTAD!$C$5:$V$529,4,FALSE),"..")</f>
        <v>..</v>
      </c>
      <c r="BF860" s="846" t="str">
        <f t="shared" si="144"/>
        <v>..</v>
      </c>
      <c r="BG860" s="117">
        <f>VLOOKUP($D860,'WB Data'!$C$3:$M$578,5,FALSE)</f>
        <v>261370000</v>
      </c>
      <c r="BH860" s="129">
        <f>IFERROR($BB860/$BG860,"..")</f>
        <v>0.11659045031947048</v>
      </c>
      <c r="BI860" s="117">
        <f>IFERROR(VLOOKUP($D860,'WB Data'!$C$3:$M$578,7,FALSE)/100,"..")</f>
        <v>4.6224299999999996E-2</v>
      </c>
      <c r="BJ860" s="117">
        <f>IFERROR($BI860*$AW860,"..")</f>
        <v>102226671.70530201</v>
      </c>
      <c r="BK860" s="846">
        <f>IFERROR($BB860/$BJ860,"..")</f>
        <v>0.2980948659646081</v>
      </c>
      <c r="BL860" s="117">
        <f>IFERROR(VLOOKUP($D860,'WB Data'!$C$3:$M$578,7,FALSE)/100,"..")</f>
        <v>4.6224299999999996E-2</v>
      </c>
      <c r="BM860" s="117">
        <f>IFERROR($AW860*$BL860,"..")</f>
        <v>102226671.70530201</v>
      </c>
      <c r="BN860" s="846">
        <f>IFERROR($BB860/$BM860,"..")</f>
        <v>0.2980948659646081</v>
      </c>
      <c r="BO860" s="801" t="str">
        <f t="shared" si="140"/>
        <v>..</v>
      </c>
      <c r="BP860" s="117" t="str">
        <f>VLOOKUP($D860,'WB Data'!$C$3:$M$578,9,FALSE)</f>
        <v>..</v>
      </c>
      <c r="BQ860" s="117">
        <f>VLOOKUP($D860,'WB Data'!$C$3:$M$578,10,FALSE)</f>
        <v>68.153658536585368</v>
      </c>
      <c r="BR860" s="117">
        <f>VLOOKUP($D860,'WB Data'!$C$3:$M$578,11,FALSE)</f>
        <v>35.700000000000003</v>
      </c>
      <c r="BS860" s="129">
        <f>IFERROR(VLOOKUP($D860,'WB Data 2'!$C$2:$K$545,9,FALSE),"..")</f>
        <v>97.889880000000005</v>
      </c>
      <c r="BT860" s="129" t="str">
        <f>_xlfn.IFNA(VLOOKUP($C860,RGI!$A$2:$C$43,2,FALSE),"..")</f>
        <v>..</v>
      </c>
      <c r="BU860" s="129" t="str">
        <f>_xlfn.IFNA(VLOOKUP($C860,RGI!$A$2:$C$43,3,FALSE),"..")</f>
        <v>..</v>
      </c>
      <c r="BV860" s="129">
        <f>VLOOKUP($D860,WGI!$C$2:$O$478,7,FALSE)</f>
        <v>-0.99783876931018101</v>
      </c>
      <c r="BW860" s="129">
        <f>VLOOKUP($D860,WGI!$C$2:$O$478,4,FALSE)</f>
        <v>-1.17479806695392</v>
      </c>
      <c r="BX860" s="129">
        <f>VLOOKUP($D860,WGI!$C$2:$O$478,3,FALSE)</f>
        <v>-0.71639153301617997</v>
      </c>
      <c r="BY860" s="129">
        <f>VLOOKUP($D860,WGI!$C$2:$O$478,5,FALSE)</f>
        <v>-0.32531996502788701</v>
      </c>
      <c r="BZ860" s="129">
        <f>VLOOKUP($D860,WGI!$C$2:$O$478,2,FALSE)</f>
        <v>-1.0272392511419</v>
      </c>
      <c r="CB860" s="129"/>
    </row>
    <row r="861" spans="1:80" s="120" customFormat="1" ht="15" customHeight="1">
      <c r="A861" s="294" t="s">
        <v>284</v>
      </c>
      <c r="B861" s="117">
        <v>2004</v>
      </c>
      <c r="C861" s="117" t="s">
        <v>285</v>
      </c>
      <c r="D861" s="117" t="s">
        <v>3465</v>
      </c>
      <c r="E861" s="452" t="s">
        <v>39</v>
      </c>
      <c r="F861" s="117"/>
      <c r="G861" s="117" t="s">
        <v>24</v>
      </c>
      <c r="H861" s="117" t="str">
        <f t="shared" si="145"/>
        <v>yes</v>
      </c>
      <c r="I861" s="117" t="str">
        <f t="shared" si="146"/>
        <v>no</v>
      </c>
      <c r="J861" s="117" t="str">
        <f t="shared" si="147"/>
        <v>no</v>
      </c>
      <c r="K861" s="117" t="s">
        <v>1491</v>
      </c>
      <c r="L861" s="117" t="str">
        <f t="shared" si="148"/>
        <v>detailed</v>
      </c>
      <c r="M861" s="117" t="str">
        <f t="shared" si="149"/>
        <v>detailed Mining</v>
      </c>
      <c r="N861" s="118">
        <v>500</v>
      </c>
      <c r="O861" s="118"/>
      <c r="P861" s="118"/>
      <c r="Q861" s="118"/>
      <c r="R861" s="118"/>
      <c r="S861" s="117" t="s">
        <v>610</v>
      </c>
      <c r="T861" s="119">
        <f>365/0.035</f>
        <v>10428.571428571428</v>
      </c>
      <c r="U861" s="117" t="s">
        <v>611</v>
      </c>
      <c r="V861" s="117" t="s">
        <v>1492</v>
      </c>
      <c r="W861" s="89">
        <f t="shared" si="150"/>
        <v>5214285.7142857136</v>
      </c>
      <c r="X861" s="117"/>
      <c r="Y861" s="117"/>
      <c r="Z861" s="117"/>
      <c r="AA861" s="177"/>
      <c r="AB861" s="177"/>
      <c r="AC861" s="122"/>
      <c r="AD861" s="122"/>
      <c r="AE861" s="122"/>
      <c r="AF861" s="123"/>
      <c r="AG861" s="117"/>
      <c r="AH861" s="124"/>
      <c r="AI861" s="117"/>
      <c r="AJ861" s="117"/>
      <c r="AK861" s="89"/>
      <c r="AL861" s="117"/>
      <c r="AM861" s="117"/>
      <c r="AN861" s="117"/>
      <c r="AO861" s="117"/>
      <c r="AP861" s="117"/>
      <c r="AQ861" s="117"/>
      <c r="AR861" s="126"/>
      <c r="AS861" s="117"/>
      <c r="AT861" s="117"/>
      <c r="AU861" s="117"/>
      <c r="AV861" s="128" t="s">
        <v>1485</v>
      </c>
      <c r="AW861" s="117">
        <f>VLOOKUP($D861,'WB Data'!$C$3:$M$578,2,FALSE)</f>
        <v>2211535311.6283431</v>
      </c>
      <c r="AX861" s="117">
        <f>VLOOKUP($D861,'WB Data'!$C$3:$M$578,3,FALSE)</f>
        <v>5104700</v>
      </c>
      <c r="AY861" s="847">
        <f t="shared" si="141"/>
        <v>1.3779226512807833E-2</v>
      </c>
      <c r="AZ861" s="117" t="e">
        <f>VLOOKUP($D861,'WB Data'!$C$3:$M$578,4,FALSE)/100</f>
        <v>#VALUE!</v>
      </c>
      <c r="BA861" s="117" t="str">
        <f t="shared" si="142"/>
        <v>..</v>
      </c>
      <c r="BB861" s="129">
        <f>IFERROR(VLOOKUP($D861,'EITI Revenues'!$C$2:$G$224,5,FALSE),"..")</f>
        <v>30473246</v>
      </c>
      <c r="BC861" s="846" t="str">
        <f t="shared" si="143"/>
        <v>..</v>
      </c>
      <c r="BD861" s="129">
        <f>VLOOKUP($D861,'WB Data 2'!$C$2:$K$545,6,FALSE)</f>
        <v>187944032.23618129</v>
      </c>
      <c r="BE861" s="129" t="str">
        <f>IFERROR(VLOOKUP($D861,UNCTAD!$C$5:$V$529,4,FALSE),"..")</f>
        <v>..</v>
      </c>
      <c r="BF861" s="846" t="str">
        <f t="shared" si="144"/>
        <v>..</v>
      </c>
      <c r="BG861" s="117">
        <f>VLOOKUP($D861,'WB Data'!$C$3:$M$578,5,FALSE)</f>
        <v>261370000</v>
      </c>
      <c r="BH861" s="129">
        <f>IFERROR($BB861/$BG861,"..")</f>
        <v>0.11659045031947048</v>
      </c>
      <c r="BI861" s="117">
        <f>IFERROR(VLOOKUP($D861,'WB Data'!$C$3:$M$578,7,FALSE)/100,"..")</f>
        <v>4.6224299999999996E-2</v>
      </c>
      <c r="BJ861" s="117">
        <f>IFERROR($BI861*$AW861,"..")</f>
        <v>102226671.70530201</v>
      </c>
      <c r="BK861" s="846">
        <f>IFERROR($BB861/$BJ861,"..")</f>
        <v>0.2980948659646081</v>
      </c>
      <c r="BL861" s="117">
        <f>IFERROR(VLOOKUP($D861,'WB Data'!$C$3:$M$578,7,FALSE)/100,"..")</f>
        <v>4.6224299999999996E-2</v>
      </c>
      <c r="BM861" s="117">
        <f>IFERROR($AW861*$BL861,"..")</f>
        <v>102226671.70530201</v>
      </c>
      <c r="BN861" s="846">
        <f>IFERROR($BB861/$BM861,"..")</f>
        <v>0.2980948659646081</v>
      </c>
      <c r="BO861" s="801" t="str">
        <f t="shared" si="140"/>
        <v>..</v>
      </c>
      <c r="BP861" s="117" t="str">
        <f>VLOOKUP($D861,'WB Data'!$C$3:$M$578,9,FALSE)</f>
        <v>..</v>
      </c>
      <c r="BQ861" s="117">
        <f>VLOOKUP($D861,'WB Data'!$C$3:$M$578,10,FALSE)</f>
        <v>68.153658536585368</v>
      </c>
      <c r="BR861" s="117">
        <f>VLOOKUP($D861,'WB Data'!$C$3:$M$578,11,FALSE)</f>
        <v>35.700000000000003</v>
      </c>
      <c r="BS861" s="129">
        <f>IFERROR(VLOOKUP($D861,'WB Data 2'!$C$2:$K$545,9,FALSE),"..")</f>
        <v>97.889880000000005</v>
      </c>
      <c r="BT861" s="129" t="str">
        <f>_xlfn.IFNA(VLOOKUP($C861,RGI!$A$2:$C$43,2,FALSE),"..")</f>
        <v>..</v>
      </c>
      <c r="BU861" s="129" t="str">
        <f>_xlfn.IFNA(VLOOKUP($C861,RGI!$A$2:$C$43,3,FALSE),"..")</f>
        <v>..</v>
      </c>
      <c r="BV861" s="129">
        <f>VLOOKUP($D861,WGI!$C$2:$O$478,7,FALSE)</f>
        <v>-0.99783876931018101</v>
      </c>
      <c r="BW861" s="129">
        <f>VLOOKUP($D861,WGI!$C$2:$O$478,4,FALSE)</f>
        <v>-1.17479806695392</v>
      </c>
      <c r="BX861" s="129">
        <f>VLOOKUP($D861,WGI!$C$2:$O$478,3,FALSE)</f>
        <v>-0.71639153301617997</v>
      </c>
      <c r="BY861" s="129">
        <f>VLOOKUP($D861,WGI!$C$2:$O$478,5,FALSE)</f>
        <v>-0.32531996502788701</v>
      </c>
      <c r="BZ861" s="129">
        <f>VLOOKUP($D861,WGI!$C$2:$O$478,2,FALSE)</f>
        <v>-1.0272392511419</v>
      </c>
      <c r="CB861" s="129"/>
    </row>
    <row r="862" spans="1:80" s="120" customFormat="1" ht="15" customHeight="1">
      <c r="A862" s="294" t="s">
        <v>284</v>
      </c>
      <c r="B862" s="117">
        <v>2004</v>
      </c>
      <c r="C862" s="117" t="s">
        <v>285</v>
      </c>
      <c r="D862" s="117" t="s">
        <v>3465</v>
      </c>
      <c r="E862" s="452" t="s">
        <v>39</v>
      </c>
      <c r="F862" s="117"/>
      <c r="G862" s="117" t="s">
        <v>24</v>
      </c>
      <c r="H862" s="117" t="str">
        <f t="shared" si="145"/>
        <v>yes</v>
      </c>
      <c r="I862" s="117" t="str">
        <f t="shared" si="146"/>
        <v>no</v>
      </c>
      <c r="J862" s="117" t="str">
        <f t="shared" si="147"/>
        <v>no</v>
      </c>
      <c r="K862" s="117" t="s">
        <v>1493</v>
      </c>
      <c r="L862" s="117" t="str">
        <f t="shared" si="148"/>
        <v>detailed</v>
      </c>
      <c r="M862" s="117" t="str">
        <f t="shared" si="149"/>
        <v>detailed Mining</v>
      </c>
      <c r="N862" s="118">
        <v>488</v>
      </c>
      <c r="O862" s="118"/>
      <c r="P862" s="118"/>
      <c r="Q862" s="118"/>
      <c r="R862" s="118"/>
      <c r="S862" s="117" t="s">
        <v>610</v>
      </c>
      <c r="T862" s="119">
        <v>36730</v>
      </c>
      <c r="U862" s="117" t="s">
        <v>611</v>
      </c>
      <c r="V862" s="117" t="s">
        <v>1492</v>
      </c>
      <c r="W862" s="89">
        <f t="shared" si="150"/>
        <v>17924240</v>
      </c>
      <c r="X862" s="117"/>
      <c r="Y862" s="117"/>
      <c r="Z862" s="117"/>
      <c r="AA862" s="177"/>
      <c r="AB862" s="177"/>
      <c r="AC862" s="122"/>
      <c r="AD862" s="122"/>
      <c r="AE862" s="122"/>
      <c r="AF862" s="123"/>
      <c r="AG862" s="117"/>
      <c r="AH862" s="124"/>
      <c r="AI862" s="117"/>
      <c r="AJ862" s="117"/>
      <c r="AK862" s="89"/>
      <c r="AL862" s="117"/>
      <c r="AM862" s="117"/>
      <c r="AN862" s="117"/>
      <c r="AO862" s="117"/>
      <c r="AP862" s="117"/>
      <c r="AQ862" s="117"/>
      <c r="AR862" s="126"/>
      <c r="AS862" s="117"/>
      <c r="AT862" s="117"/>
      <c r="AU862" s="117"/>
      <c r="AV862" s="128" t="s">
        <v>1485</v>
      </c>
      <c r="AW862" s="117">
        <f>VLOOKUP($D862,'WB Data'!$C$3:$M$578,2,FALSE)</f>
        <v>2211535311.6283431</v>
      </c>
      <c r="AX862" s="117">
        <f>VLOOKUP($D862,'WB Data'!$C$3:$M$578,3,FALSE)</f>
        <v>5104700</v>
      </c>
      <c r="AY862" s="847">
        <f t="shared" si="141"/>
        <v>1.3779226512807833E-2</v>
      </c>
      <c r="AZ862" s="117" t="e">
        <f>VLOOKUP($D862,'WB Data'!$C$3:$M$578,4,FALSE)/100</f>
        <v>#VALUE!</v>
      </c>
      <c r="BA862" s="117" t="str">
        <f t="shared" si="142"/>
        <v>..</v>
      </c>
      <c r="BB862" s="129">
        <f>IFERROR(VLOOKUP($D862,'EITI Revenues'!$C$2:$G$224,5,FALSE),"..")</f>
        <v>30473246</v>
      </c>
      <c r="BC862" s="846" t="str">
        <f t="shared" si="143"/>
        <v>..</v>
      </c>
      <c r="BD862" s="129">
        <f>VLOOKUP($D862,'WB Data 2'!$C$2:$K$545,6,FALSE)</f>
        <v>187944032.23618129</v>
      </c>
      <c r="BE862" s="129" t="str">
        <f>IFERROR(VLOOKUP($D862,UNCTAD!$C$5:$V$529,4,FALSE),"..")</f>
        <v>..</v>
      </c>
      <c r="BF862" s="846" t="str">
        <f t="shared" si="144"/>
        <v>..</v>
      </c>
      <c r="BG862" s="117">
        <f>VLOOKUP($D862,'WB Data'!$C$3:$M$578,5,FALSE)</f>
        <v>261370000</v>
      </c>
      <c r="BH862" s="129">
        <f>IFERROR($BB862/$BG862,"..")</f>
        <v>0.11659045031947048</v>
      </c>
      <c r="BI862" s="117">
        <f>IFERROR(VLOOKUP($D862,'WB Data'!$C$3:$M$578,7,FALSE)/100,"..")</f>
        <v>4.6224299999999996E-2</v>
      </c>
      <c r="BJ862" s="117">
        <f>IFERROR($BI862*$AW862,"..")</f>
        <v>102226671.70530201</v>
      </c>
      <c r="BK862" s="846">
        <f>IFERROR($BB862/$BJ862,"..")</f>
        <v>0.2980948659646081</v>
      </c>
      <c r="BL862" s="117">
        <f>IFERROR(VLOOKUP($D862,'WB Data'!$C$3:$M$578,7,FALSE)/100,"..")</f>
        <v>4.6224299999999996E-2</v>
      </c>
      <c r="BM862" s="117">
        <f>IFERROR($AW862*$BL862,"..")</f>
        <v>102226671.70530201</v>
      </c>
      <c r="BN862" s="846">
        <f>IFERROR($BB862/$BM862,"..")</f>
        <v>0.2980948659646081</v>
      </c>
      <c r="BO862" s="801" t="str">
        <f t="shared" si="140"/>
        <v>..</v>
      </c>
      <c r="BP862" s="117" t="str">
        <f>VLOOKUP($D862,'WB Data'!$C$3:$M$578,9,FALSE)</f>
        <v>..</v>
      </c>
      <c r="BQ862" s="117">
        <f>VLOOKUP($D862,'WB Data'!$C$3:$M$578,10,FALSE)</f>
        <v>68.153658536585368</v>
      </c>
      <c r="BR862" s="117">
        <f>VLOOKUP($D862,'WB Data'!$C$3:$M$578,11,FALSE)</f>
        <v>35.700000000000003</v>
      </c>
      <c r="BS862" s="129">
        <f>IFERROR(VLOOKUP($D862,'WB Data 2'!$C$2:$K$545,9,FALSE),"..")</f>
        <v>97.889880000000005</v>
      </c>
      <c r="BT862" s="129" t="str">
        <f>_xlfn.IFNA(VLOOKUP($C862,RGI!$A$2:$C$43,2,FALSE),"..")</f>
        <v>..</v>
      </c>
      <c r="BU862" s="129" t="str">
        <f>_xlfn.IFNA(VLOOKUP($C862,RGI!$A$2:$C$43,3,FALSE),"..")</f>
        <v>..</v>
      </c>
      <c r="BV862" s="129">
        <f>VLOOKUP($D862,WGI!$C$2:$O$478,7,FALSE)</f>
        <v>-0.99783876931018101</v>
      </c>
      <c r="BW862" s="129">
        <f>VLOOKUP($D862,WGI!$C$2:$O$478,4,FALSE)</f>
        <v>-1.17479806695392</v>
      </c>
      <c r="BX862" s="129">
        <f>VLOOKUP($D862,WGI!$C$2:$O$478,3,FALSE)</f>
        <v>-0.71639153301617997</v>
      </c>
      <c r="BY862" s="129">
        <f>VLOOKUP($D862,WGI!$C$2:$O$478,5,FALSE)</f>
        <v>-0.32531996502788701</v>
      </c>
      <c r="BZ862" s="129">
        <f>VLOOKUP($D862,WGI!$C$2:$O$478,2,FALSE)</f>
        <v>-1.0272392511419</v>
      </c>
      <c r="CB862" s="129"/>
    </row>
    <row r="863" spans="1:80" s="120" customFormat="1" ht="15" customHeight="1">
      <c r="A863" s="294" t="s">
        <v>284</v>
      </c>
      <c r="B863" s="117">
        <v>2004</v>
      </c>
      <c r="C863" s="117" t="s">
        <v>285</v>
      </c>
      <c r="D863" s="117" t="s">
        <v>3465</v>
      </c>
      <c r="E863" s="452" t="s">
        <v>39</v>
      </c>
      <c r="F863" s="117"/>
      <c r="G863" s="117" t="s">
        <v>24</v>
      </c>
      <c r="H863" s="117" t="str">
        <f t="shared" si="145"/>
        <v>yes</v>
      </c>
      <c r="I863" s="117" t="str">
        <f t="shared" si="146"/>
        <v>no</v>
      </c>
      <c r="J863" s="117" t="str">
        <f t="shared" si="147"/>
        <v>no</v>
      </c>
      <c r="K863" s="117" t="s">
        <v>1494</v>
      </c>
      <c r="L863" s="117" t="str">
        <f t="shared" si="148"/>
        <v>detailed</v>
      </c>
      <c r="M863" s="117" t="str">
        <f t="shared" si="149"/>
        <v>detailed Mining</v>
      </c>
      <c r="N863" s="118">
        <f>491300*1.65</f>
        <v>810645</v>
      </c>
      <c r="O863" s="118"/>
      <c r="P863" s="118"/>
      <c r="Q863" s="118"/>
      <c r="R863" s="118"/>
      <c r="S863" s="117" t="s">
        <v>610</v>
      </c>
      <c r="T863" s="119">
        <v>5.32</v>
      </c>
      <c r="U863" s="117" t="s">
        <v>611</v>
      </c>
      <c r="V863" s="117" t="s">
        <v>1495</v>
      </c>
      <c r="W863" s="89">
        <f t="shared" si="150"/>
        <v>4312631.4000000004</v>
      </c>
      <c r="X863" s="117"/>
      <c r="Y863" s="117"/>
      <c r="Z863" s="117"/>
      <c r="AA863" s="177"/>
      <c r="AB863" s="177"/>
      <c r="AC863" s="122"/>
      <c r="AD863" s="122"/>
      <c r="AE863" s="122"/>
      <c r="AF863" s="123"/>
      <c r="AG863" s="117"/>
      <c r="AH863" s="124"/>
      <c r="AI863" s="117"/>
      <c r="AJ863" s="117"/>
      <c r="AK863" s="89"/>
      <c r="AL863" s="117"/>
      <c r="AM863" s="117"/>
      <c r="AN863" s="117"/>
      <c r="AO863" s="117"/>
      <c r="AP863" s="117"/>
      <c r="AQ863" s="117"/>
      <c r="AR863" s="126"/>
      <c r="AS863" s="117"/>
      <c r="AT863" s="117"/>
      <c r="AU863" s="117"/>
      <c r="AV863" s="128" t="s">
        <v>1485</v>
      </c>
      <c r="AW863" s="117">
        <f>VLOOKUP($D863,'WB Data'!$C$3:$M$578,2,FALSE)</f>
        <v>2211535311.6283431</v>
      </c>
      <c r="AX863" s="117">
        <f>VLOOKUP($D863,'WB Data'!$C$3:$M$578,3,FALSE)</f>
        <v>5104700</v>
      </c>
      <c r="AY863" s="847">
        <f t="shared" si="141"/>
        <v>1.3779226512807833E-2</v>
      </c>
      <c r="AZ863" s="117" t="e">
        <f>VLOOKUP($D863,'WB Data'!$C$3:$M$578,4,FALSE)/100</f>
        <v>#VALUE!</v>
      </c>
      <c r="BA863" s="117" t="str">
        <f t="shared" si="142"/>
        <v>..</v>
      </c>
      <c r="BB863" s="129">
        <f>IFERROR(VLOOKUP($D863,'EITI Revenues'!$C$2:$G$224,5,FALSE),"..")</f>
        <v>30473246</v>
      </c>
      <c r="BC863" s="846" t="str">
        <f t="shared" si="143"/>
        <v>..</v>
      </c>
      <c r="BD863" s="129">
        <f>VLOOKUP($D863,'WB Data 2'!$C$2:$K$545,6,FALSE)</f>
        <v>187944032.23618129</v>
      </c>
      <c r="BE863" s="129" t="str">
        <f>IFERROR(VLOOKUP($D863,UNCTAD!$C$5:$V$529,4,FALSE),"..")</f>
        <v>..</v>
      </c>
      <c r="BF863" s="846" t="str">
        <f t="shared" si="144"/>
        <v>..</v>
      </c>
      <c r="BG863" s="117">
        <f>VLOOKUP($D863,'WB Data'!$C$3:$M$578,5,FALSE)</f>
        <v>261370000</v>
      </c>
      <c r="BH863" s="129">
        <f>IFERROR($BB863/$BG863,"..")</f>
        <v>0.11659045031947048</v>
      </c>
      <c r="BI863" s="117">
        <f>IFERROR(VLOOKUP($D863,'WB Data'!$C$3:$M$578,7,FALSE)/100,"..")</f>
        <v>4.6224299999999996E-2</v>
      </c>
      <c r="BJ863" s="117">
        <f>IFERROR($BI863*$AW863,"..")</f>
        <v>102226671.70530201</v>
      </c>
      <c r="BK863" s="846">
        <f>IFERROR($BB863/$BJ863,"..")</f>
        <v>0.2980948659646081</v>
      </c>
      <c r="BL863" s="117">
        <f>IFERROR(VLOOKUP($D863,'WB Data'!$C$3:$M$578,7,FALSE)/100,"..")</f>
        <v>4.6224299999999996E-2</v>
      </c>
      <c r="BM863" s="117">
        <f>IFERROR($AW863*$BL863,"..")</f>
        <v>102226671.70530201</v>
      </c>
      <c r="BN863" s="846">
        <f>IFERROR($BB863/$BM863,"..")</f>
        <v>0.2980948659646081</v>
      </c>
      <c r="BO863" s="801" t="str">
        <f t="shared" si="140"/>
        <v>..</v>
      </c>
      <c r="BP863" s="117" t="str">
        <f>VLOOKUP($D863,'WB Data'!$C$3:$M$578,9,FALSE)</f>
        <v>..</v>
      </c>
      <c r="BQ863" s="117">
        <f>VLOOKUP($D863,'WB Data'!$C$3:$M$578,10,FALSE)</f>
        <v>68.153658536585368</v>
      </c>
      <c r="BR863" s="117">
        <f>VLOOKUP($D863,'WB Data'!$C$3:$M$578,11,FALSE)</f>
        <v>35.700000000000003</v>
      </c>
      <c r="BS863" s="129">
        <f>IFERROR(VLOOKUP($D863,'WB Data 2'!$C$2:$K$545,9,FALSE),"..")</f>
        <v>97.889880000000005</v>
      </c>
      <c r="BT863" s="129" t="str">
        <f>_xlfn.IFNA(VLOOKUP($C863,RGI!$A$2:$C$43,2,FALSE),"..")</f>
        <v>..</v>
      </c>
      <c r="BU863" s="129" t="str">
        <f>_xlfn.IFNA(VLOOKUP($C863,RGI!$A$2:$C$43,3,FALSE),"..")</f>
        <v>..</v>
      </c>
      <c r="BV863" s="129">
        <f>VLOOKUP($D863,WGI!$C$2:$O$478,7,FALSE)</f>
        <v>-0.99783876931018101</v>
      </c>
      <c r="BW863" s="129">
        <f>VLOOKUP($D863,WGI!$C$2:$O$478,4,FALSE)</f>
        <v>-1.17479806695392</v>
      </c>
      <c r="BX863" s="129">
        <f>VLOOKUP($D863,WGI!$C$2:$O$478,3,FALSE)</f>
        <v>-0.71639153301617997</v>
      </c>
      <c r="BY863" s="129">
        <f>VLOOKUP($D863,WGI!$C$2:$O$478,5,FALSE)</f>
        <v>-0.32531996502788701</v>
      </c>
      <c r="BZ863" s="129">
        <f>VLOOKUP($D863,WGI!$C$2:$O$478,2,FALSE)</f>
        <v>-1.0272392511419</v>
      </c>
      <c r="CB863" s="129"/>
    </row>
    <row r="864" spans="1:80" s="158" customFormat="1" ht="15" customHeight="1">
      <c r="A864" s="295" t="s">
        <v>284</v>
      </c>
      <c r="B864" s="149">
        <v>2004</v>
      </c>
      <c r="C864" s="149" t="s">
        <v>285</v>
      </c>
      <c r="D864" s="117" t="s">
        <v>3465</v>
      </c>
      <c r="E864" s="453" t="s">
        <v>39</v>
      </c>
      <c r="F864" s="149"/>
      <c r="G864" s="149" t="s">
        <v>24</v>
      </c>
      <c r="H864" s="149" t="str">
        <f t="shared" si="145"/>
        <v>yes</v>
      </c>
      <c r="I864" s="149" t="str">
        <f t="shared" si="146"/>
        <v>no</v>
      </c>
      <c r="J864" s="149" t="str">
        <f t="shared" si="147"/>
        <v>no</v>
      </c>
      <c r="K864" s="149" t="s">
        <v>1496</v>
      </c>
      <c r="L864" s="149" t="str">
        <f t="shared" si="148"/>
        <v>detailed</v>
      </c>
      <c r="M864" s="149" t="str">
        <f t="shared" si="149"/>
        <v>detailed Mining</v>
      </c>
      <c r="N864" s="150">
        <f>485600*1.6</f>
        <v>776960</v>
      </c>
      <c r="O864" s="150"/>
      <c r="P864" s="150"/>
      <c r="Q864" s="150"/>
      <c r="R864" s="150"/>
      <c r="S864" s="149" t="s">
        <v>610</v>
      </c>
      <c r="T864" s="151">
        <v>5.32</v>
      </c>
      <c r="U864" s="149" t="s">
        <v>611</v>
      </c>
      <c r="V864" s="149" t="s">
        <v>1495</v>
      </c>
      <c r="W864" s="152">
        <f t="shared" si="150"/>
        <v>4133427.2000000002</v>
      </c>
      <c r="X864" s="149"/>
      <c r="Y864" s="149"/>
      <c r="Z864" s="149"/>
      <c r="AA864" s="284"/>
      <c r="AB864" s="284"/>
      <c r="AC864" s="154"/>
      <c r="AD864" s="154"/>
      <c r="AE864" s="154"/>
      <c r="AF864" s="155"/>
      <c r="AG864" s="149"/>
      <c r="AH864" s="156"/>
      <c r="AI864" s="149"/>
      <c r="AJ864" s="149"/>
      <c r="AK864" s="152"/>
      <c r="AL864" s="149"/>
      <c r="AM864" s="149"/>
      <c r="AN864" s="149"/>
      <c r="AO864" s="149"/>
      <c r="AP864" s="149"/>
      <c r="AQ864" s="149"/>
      <c r="AR864" s="220"/>
      <c r="AS864" s="149"/>
      <c r="AT864" s="149"/>
      <c r="AU864" s="149"/>
      <c r="AV864" s="157" t="s">
        <v>1485</v>
      </c>
      <c r="AW864" s="117">
        <f>VLOOKUP($D864,'WB Data'!$C$3:$M$578,2,FALSE)</f>
        <v>2211535311.6283431</v>
      </c>
      <c r="AX864" s="117">
        <f>VLOOKUP($D864,'WB Data'!$C$3:$M$578,3,FALSE)</f>
        <v>5104700</v>
      </c>
      <c r="AY864" s="847">
        <f t="shared" si="141"/>
        <v>1.3779226512807833E-2</v>
      </c>
      <c r="AZ864" s="117" t="e">
        <f>VLOOKUP($D864,'WB Data'!$C$3:$M$578,4,FALSE)/100</f>
        <v>#VALUE!</v>
      </c>
      <c r="BA864" s="117" t="str">
        <f t="shared" si="142"/>
        <v>..</v>
      </c>
      <c r="BB864" s="129">
        <f>IFERROR(VLOOKUP($D864,'EITI Revenues'!$C$2:$G$224,5,FALSE),"..")</f>
        <v>30473246</v>
      </c>
      <c r="BC864" s="846" t="str">
        <f t="shared" si="143"/>
        <v>..</v>
      </c>
      <c r="BD864" s="129">
        <f>VLOOKUP($D864,'WB Data 2'!$C$2:$K$545,6,FALSE)</f>
        <v>187944032.23618129</v>
      </c>
      <c r="BE864" s="129" t="str">
        <f>IFERROR(VLOOKUP($D864,UNCTAD!$C$5:$V$529,4,FALSE),"..")</f>
        <v>..</v>
      </c>
      <c r="BF864" s="846" t="str">
        <f t="shared" si="144"/>
        <v>..</v>
      </c>
      <c r="BG864" s="117">
        <f>VLOOKUP($D864,'WB Data'!$C$3:$M$578,5,FALSE)</f>
        <v>261370000</v>
      </c>
      <c r="BH864" s="129">
        <f>IFERROR($BB864/$BG864,"..")</f>
        <v>0.11659045031947048</v>
      </c>
      <c r="BI864" s="117">
        <f>IFERROR(VLOOKUP($D864,'WB Data'!$C$3:$M$578,7,FALSE)/100,"..")</f>
        <v>4.6224299999999996E-2</v>
      </c>
      <c r="BJ864" s="117">
        <f>IFERROR($BI864*$AW864,"..")</f>
        <v>102226671.70530201</v>
      </c>
      <c r="BK864" s="846">
        <f>IFERROR($BB864/$BJ864,"..")</f>
        <v>0.2980948659646081</v>
      </c>
      <c r="BL864" s="117">
        <f>IFERROR(VLOOKUP($D864,'WB Data'!$C$3:$M$578,7,FALSE)/100,"..")</f>
        <v>4.6224299999999996E-2</v>
      </c>
      <c r="BM864" s="117">
        <f>IFERROR($AW864*$BL864,"..")</f>
        <v>102226671.70530201</v>
      </c>
      <c r="BN864" s="846">
        <f>IFERROR($BB864/$BM864,"..")</f>
        <v>0.2980948659646081</v>
      </c>
      <c r="BO864" s="801" t="str">
        <f t="shared" si="140"/>
        <v>..</v>
      </c>
      <c r="BP864" s="117" t="str">
        <f>VLOOKUP($D864,'WB Data'!$C$3:$M$578,9,FALSE)</f>
        <v>..</v>
      </c>
      <c r="BQ864" s="117">
        <f>VLOOKUP($D864,'WB Data'!$C$3:$M$578,10,FALSE)</f>
        <v>68.153658536585368</v>
      </c>
      <c r="BR864" s="117">
        <f>VLOOKUP($D864,'WB Data'!$C$3:$M$578,11,FALSE)</f>
        <v>35.700000000000003</v>
      </c>
      <c r="BS864" s="129">
        <f>IFERROR(VLOOKUP($D864,'WB Data 2'!$C$2:$K$545,9,FALSE),"..")</f>
        <v>97.889880000000005</v>
      </c>
      <c r="BT864" s="129" t="str">
        <f>_xlfn.IFNA(VLOOKUP($C864,RGI!$A$2:$C$43,2,FALSE),"..")</f>
        <v>..</v>
      </c>
      <c r="BU864" s="129" t="str">
        <f>_xlfn.IFNA(VLOOKUP($C864,RGI!$A$2:$C$43,3,FALSE),"..")</f>
        <v>..</v>
      </c>
      <c r="BV864" s="129">
        <f>VLOOKUP($D864,WGI!$C$2:$O$478,7,FALSE)</f>
        <v>-0.99783876931018101</v>
      </c>
      <c r="BW864" s="129">
        <f>VLOOKUP($D864,WGI!$C$2:$O$478,4,FALSE)</f>
        <v>-1.17479806695392</v>
      </c>
      <c r="BX864" s="129">
        <f>VLOOKUP($D864,WGI!$C$2:$O$478,3,FALSE)</f>
        <v>-0.71639153301617997</v>
      </c>
      <c r="BY864" s="129">
        <f>VLOOKUP($D864,WGI!$C$2:$O$478,5,FALSE)</f>
        <v>-0.32531996502788701</v>
      </c>
      <c r="BZ864" s="129">
        <f>VLOOKUP($D864,WGI!$C$2:$O$478,2,FALSE)</f>
        <v>-1.0272392511419</v>
      </c>
      <c r="CB864" s="129"/>
    </row>
    <row r="865" spans="1:80" ht="15" customHeight="1">
      <c r="A865" s="294" t="s">
        <v>287</v>
      </c>
      <c r="B865" s="117">
        <v>2005</v>
      </c>
      <c r="C865" s="117" t="s">
        <v>285</v>
      </c>
      <c r="D865" s="117" t="s">
        <v>3499</v>
      </c>
      <c r="E865" s="452" t="s">
        <v>39</v>
      </c>
      <c r="F865" s="117" t="s">
        <v>1467</v>
      </c>
      <c r="G865" s="117" t="s">
        <v>24</v>
      </c>
      <c r="H865" s="117" t="str">
        <f t="shared" si="145"/>
        <v>yes</v>
      </c>
      <c r="I865" s="117" t="str">
        <f t="shared" si="146"/>
        <v>no</v>
      </c>
      <c r="J865" s="117" t="str">
        <f t="shared" si="147"/>
        <v>no</v>
      </c>
      <c r="K865" s="117" t="s">
        <v>709</v>
      </c>
      <c r="L865" s="117" t="str">
        <f t="shared" si="148"/>
        <v>Total</v>
      </c>
      <c r="M865" s="117" t="str">
        <f t="shared" si="149"/>
        <v>Total Mining</v>
      </c>
      <c r="N865" s="118"/>
      <c r="O865" s="118"/>
      <c r="P865" s="118"/>
      <c r="Q865" s="118"/>
      <c r="R865" s="118"/>
      <c r="S865" s="117"/>
      <c r="T865" s="119"/>
      <c r="U865" s="117"/>
      <c r="V865" s="117"/>
      <c r="W865" s="89">
        <f>SUM(W866:W872)</f>
        <v>330132578.999942</v>
      </c>
      <c r="X865" s="117" t="s">
        <v>633</v>
      </c>
      <c r="Y865" s="117" t="s">
        <v>602</v>
      </c>
      <c r="Z865" s="117" t="s">
        <v>603</v>
      </c>
      <c r="AA865" s="334">
        <v>29106335</v>
      </c>
      <c r="AB865" s="334">
        <v>38337987</v>
      </c>
      <c r="AC865" s="122"/>
      <c r="AD865" s="122"/>
      <c r="AE865" s="122"/>
      <c r="AF865" s="123">
        <f>AA865/W865</f>
        <v>8.8165594223298741E-2</v>
      </c>
      <c r="AG865" s="117" t="s">
        <v>1480</v>
      </c>
      <c r="AH865" s="124">
        <v>41.04</v>
      </c>
      <c r="AI865" s="117" t="s">
        <v>667</v>
      </c>
      <c r="AJ865" s="117"/>
      <c r="AK865" s="89"/>
      <c r="AL865" s="117"/>
      <c r="AM865" s="117"/>
      <c r="AN865" s="117">
        <v>6</v>
      </c>
      <c r="AO865" s="117" t="s">
        <v>943</v>
      </c>
      <c r="AP865" s="117">
        <v>6</v>
      </c>
      <c r="AQ865" s="117" t="s">
        <v>172</v>
      </c>
      <c r="AR865" s="126">
        <v>41911</v>
      </c>
      <c r="AS865" s="117" t="s">
        <v>1481</v>
      </c>
      <c r="AT865" s="117" t="s">
        <v>286</v>
      </c>
      <c r="AU865" s="117" t="s">
        <v>1482</v>
      </c>
      <c r="AV865" s="128" t="s">
        <v>1497</v>
      </c>
      <c r="AW865" s="117">
        <f>VLOOKUP($D865,'WB Data'!$C$3:$M$578,2,FALSE)</f>
        <v>2459876151.9332976</v>
      </c>
      <c r="AX865" s="117">
        <f>VLOOKUP($D865,'WB Data'!$C$3:$M$578,3,FALSE)</f>
        <v>5162600</v>
      </c>
      <c r="AY865" s="847">
        <f t="shared" si="141"/>
        <v>1.1832439197040214E-2</v>
      </c>
      <c r="AZ865" s="117" t="e">
        <f>VLOOKUP($D865,'WB Data'!$C$3:$M$578,4,FALSE)/100</f>
        <v>#VALUE!</v>
      </c>
      <c r="BA865" s="117" t="str">
        <f t="shared" si="142"/>
        <v>..</v>
      </c>
      <c r="BB865" s="129">
        <f>IFERROR(VLOOKUP($D865,'EITI Revenues'!$C$2:$G$224,5,FALSE),"..")</f>
        <v>29106335</v>
      </c>
      <c r="BC865" s="846" t="str">
        <f t="shared" si="143"/>
        <v>..</v>
      </c>
      <c r="BD865" s="129">
        <f>VLOOKUP($D865,'WB Data 2'!$C$2:$K$545,6,FALSE)</f>
        <v>77595350.163570479</v>
      </c>
      <c r="BE865" s="129" t="str">
        <f>IFERROR(VLOOKUP($D865,UNCTAD!$C$5:$V$529,4,FALSE),"..")</f>
        <v>..</v>
      </c>
      <c r="BF865" s="846" t="str">
        <f t="shared" si="144"/>
        <v>..</v>
      </c>
      <c r="BG865" s="117">
        <f>VLOOKUP($D865,'WB Data'!$C$3:$M$578,5,FALSE)</f>
        <v>267880000</v>
      </c>
      <c r="BH865" s="129">
        <f>IFERROR($BB865/$BG865,"..")</f>
        <v>0.10865437882634016</v>
      </c>
      <c r="BI865" s="117">
        <f>IFERROR(VLOOKUP($D865,'WB Data'!$C$3:$M$578,7,FALSE)/100,"..")</f>
        <v>4.8738400000000001E-2</v>
      </c>
      <c r="BJ865" s="117">
        <f>IFERROR($BI865*$AW865,"..")</f>
        <v>119890427.84338583</v>
      </c>
      <c r="BK865" s="846">
        <f>IFERROR($BB865/$BJ865,"..")</f>
        <v>0.24277446935148086</v>
      </c>
      <c r="BL865" s="117">
        <f>IFERROR(VLOOKUP($D865,'WB Data'!$C$3:$M$578,7,FALSE)/100,"..")</f>
        <v>4.8738400000000001E-2</v>
      </c>
      <c r="BM865" s="117">
        <f>IFERROR($AW865*$BL865,"..")</f>
        <v>119890427.84338583</v>
      </c>
      <c r="BN865" s="846">
        <f>IFERROR($BB865/$BM865,"..")</f>
        <v>0.24277446935148086</v>
      </c>
      <c r="BO865" s="801" t="str">
        <f t="shared" si="140"/>
        <v>..</v>
      </c>
      <c r="BP865" s="117" t="str">
        <f>VLOOKUP($D865,'WB Data'!$C$3:$M$578,9,FALSE)</f>
        <v>..</v>
      </c>
      <c r="BQ865" s="117">
        <f>VLOOKUP($D865,'WB Data'!$C$3:$M$578,10,FALSE)</f>
        <v>67.956097560975621</v>
      </c>
      <c r="BR865" s="117">
        <f>VLOOKUP($D865,'WB Data'!$C$3:$M$578,11,FALSE)</f>
        <v>34.4</v>
      </c>
      <c r="BS865" s="129">
        <f>IFERROR(VLOOKUP($D865,'WB Data 2'!$C$2:$K$545,9,FALSE),"..")</f>
        <v>95.451449999999994</v>
      </c>
      <c r="BT865" s="129" t="str">
        <f>_xlfn.IFNA(VLOOKUP($C865,RGI!$A$2:$C$43,2,FALSE),"..")</f>
        <v>..</v>
      </c>
      <c r="BU865" s="129" t="str">
        <f>_xlfn.IFNA(VLOOKUP($C865,RGI!$A$2:$C$43,3,FALSE),"..")</f>
        <v>..</v>
      </c>
      <c r="BV865" s="129">
        <f>VLOOKUP($D865,WGI!$C$2:$O$478,7,FALSE)</f>
        <v>-0.80955538455482101</v>
      </c>
      <c r="BW865" s="129">
        <f>VLOOKUP($D865,WGI!$C$2:$O$478,4,FALSE)</f>
        <v>-1.13361994914459</v>
      </c>
      <c r="BX865" s="129">
        <f>VLOOKUP($D865,WGI!$C$2:$O$478,3,FALSE)</f>
        <v>-0.83027922470362103</v>
      </c>
      <c r="BY865" s="129">
        <f>VLOOKUP($D865,WGI!$C$2:$O$478,5,FALSE)</f>
        <v>-0.879417721672345</v>
      </c>
      <c r="BZ865" s="129">
        <f>VLOOKUP($D865,WGI!$C$2:$O$478,2,FALSE)</f>
        <v>-1.1703095305947999</v>
      </c>
    </row>
    <row r="866" spans="1:80" ht="15" customHeight="1">
      <c r="A866" s="294" t="s">
        <v>287</v>
      </c>
      <c r="B866" s="117">
        <v>2005</v>
      </c>
      <c r="C866" s="117" t="s">
        <v>285</v>
      </c>
      <c r="D866" s="117" t="s">
        <v>3499</v>
      </c>
      <c r="E866" s="452" t="s">
        <v>39</v>
      </c>
      <c r="F866" s="117"/>
      <c r="G866" s="117" t="s">
        <v>24</v>
      </c>
      <c r="H866" s="117" t="str">
        <f t="shared" si="145"/>
        <v>yes</v>
      </c>
      <c r="I866" s="117" t="str">
        <f t="shared" si="146"/>
        <v>no</v>
      </c>
      <c r="J866" s="117" t="str">
        <f t="shared" si="147"/>
        <v>no</v>
      </c>
      <c r="K866" s="117" t="s">
        <v>616</v>
      </c>
      <c r="L866" s="117" t="str">
        <f t="shared" si="148"/>
        <v>detailed</v>
      </c>
      <c r="M866" s="117" t="str">
        <f t="shared" si="149"/>
        <v>detailed Mining</v>
      </c>
      <c r="N866" s="118">
        <v>335500</v>
      </c>
      <c r="O866" s="118"/>
      <c r="P866" s="118"/>
      <c r="Q866" s="118"/>
      <c r="R866" s="118"/>
      <c r="S866" s="117" t="s">
        <v>610</v>
      </c>
      <c r="T866" s="119">
        <v>64.167195325854706</v>
      </c>
      <c r="U866" s="117" t="s">
        <v>611</v>
      </c>
      <c r="V866" s="117" t="s">
        <v>1498</v>
      </c>
      <c r="W866" s="89">
        <f t="shared" ref="W866:W872" si="151">N866*T866</f>
        <v>21528094.031824253</v>
      </c>
      <c r="X866" s="117"/>
      <c r="Y866" s="117"/>
      <c r="Z866" s="117"/>
      <c r="AA866" s="177"/>
      <c r="AB866" s="177"/>
      <c r="AC866" s="122"/>
      <c r="AD866" s="122"/>
      <c r="AE866" s="122"/>
      <c r="AF866" s="123"/>
      <c r="AG866" s="117"/>
      <c r="AH866" s="124"/>
      <c r="AI866" s="117"/>
      <c r="AJ866" s="117"/>
      <c r="AK866" s="89"/>
      <c r="AL866" s="117"/>
      <c r="AM866" s="117"/>
      <c r="AN866" s="117"/>
      <c r="AO866" s="117"/>
      <c r="AP866" s="117"/>
      <c r="AQ866" s="117"/>
      <c r="AR866" s="126"/>
      <c r="AS866" s="117"/>
      <c r="AT866" s="117"/>
      <c r="AU866" s="117"/>
      <c r="AV866" s="128" t="s">
        <v>1499</v>
      </c>
      <c r="AW866" s="117">
        <f>VLOOKUP($D866,'WB Data'!$C$3:$M$578,2,FALSE)</f>
        <v>2459876151.9332976</v>
      </c>
      <c r="AX866" s="117">
        <f>VLOOKUP($D866,'WB Data'!$C$3:$M$578,3,FALSE)</f>
        <v>5162600</v>
      </c>
      <c r="AY866" s="847">
        <f t="shared" si="141"/>
        <v>1.1832439197040214E-2</v>
      </c>
      <c r="AZ866" s="117" t="e">
        <f>VLOOKUP($D866,'WB Data'!$C$3:$M$578,4,FALSE)/100</f>
        <v>#VALUE!</v>
      </c>
      <c r="BA866" s="117" t="str">
        <f t="shared" si="142"/>
        <v>..</v>
      </c>
      <c r="BB866" s="129">
        <f>IFERROR(VLOOKUP($D866,'EITI Revenues'!$C$2:$G$224,5,FALSE),"..")</f>
        <v>29106335</v>
      </c>
      <c r="BC866" s="846" t="str">
        <f t="shared" si="143"/>
        <v>..</v>
      </c>
      <c r="BD866" s="129">
        <f>VLOOKUP($D866,'WB Data 2'!$C$2:$K$545,6,FALSE)</f>
        <v>77595350.163570479</v>
      </c>
      <c r="BE866" s="129" t="str">
        <f>IFERROR(VLOOKUP($D866,UNCTAD!$C$5:$V$529,4,FALSE),"..")</f>
        <v>..</v>
      </c>
      <c r="BF866" s="846" t="str">
        <f t="shared" si="144"/>
        <v>..</v>
      </c>
      <c r="BG866" s="117">
        <f>VLOOKUP($D866,'WB Data'!$C$3:$M$578,5,FALSE)</f>
        <v>267880000</v>
      </c>
      <c r="BH866" s="129">
        <f>IFERROR($BB866/$BG866,"..")</f>
        <v>0.10865437882634016</v>
      </c>
      <c r="BI866" s="117">
        <f>IFERROR(VLOOKUP($D866,'WB Data'!$C$3:$M$578,7,FALSE)/100,"..")</f>
        <v>4.8738400000000001E-2</v>
      </c>
      <c r="BJ866" s="117">
        <f>IFERROR($BI866*$AW866,"..")</f>
        <v>119890427.84338583</v>
      </c>
      <c r="BK866" s="846">
        <f>IFERROR($BB866/$BJ866,"..")</f>
        <v>0.24277446935148086</v>
      </c>
      <c r="BL866" s="117">
        <f>IFERROR(VLOOKUP($D866,'WB Data'!$C$3:$M$578,7,FALSE)/100,"..")</f>
        <v>4.8738400000000001E-2</v>
      </c>
      <c r="BM866" s="117">
        <f>IFERROR($AW866*$BL866,"..")</f>
        <v>119890427.84338583</v>
      </c>
      <c r="BN866" s="846">
        <f>IFERROR($BB866/$BM866,"..")</f>
        <v>0.24277446935148086</v>
      </c>
      <c r="BO866" s="801" t="str">
        <f t="shared" si="140"/>
        <v>..</v>
      </c>
      <c r="BP866" s="117" t="str">
        <f>VLOOKUP($D866,'WB Data'!$C$3:$M$578,9,FALSE)</f>
        <v>..</v>
      </c>
      <c r="BQ866" s="117">
        <f>VLOOKUP($D866,'WB Data'!$C$3:$M$578,10,FALSE)</f>
        <v>67.956097560975621</v>
      </c>
      <c r="BR866" s="117">
        <f>VLOOKUP($D866,'WB Data'!$C$3:$M$578,11,FALSE)</f>
        <v>34.4</v>
      </c>
      <c r="BS866" s="129">
        <f>IFERROR(VLOOKUP($D866,'WB Data 2'!$C$2:$K$545,9,FALSE),"..")</f>
        <v>95.451449999999994</v>
      </c>
      <c r="BT866" s="129" t="str">
        <f>_xlfn.IFNA(VLOOKUP($C866,RGI!$A$2:$C$43,2,FALSE),"..")</f>
        <v>..</v>
      </c>
      <c r="BU866" s="129" t="str">
        <f>_xlfn.IFNA(VLOOKUP($C866,RGI!$A$2:$C$43,3,FALSE),"..")</f>
        <v>..</v>
      </c>
      <c r="BV866" s="129">
        <f>VLOOKUP($D866,WGI!$C$2:$O$478,7,FALSE)</f>
        <v>-0.80955538455482101</v>
      </c>
      <c r="BW866" s="129">
        <f>VLOOKUP($D866,WGI!$C$2:$O$478,4,FALSE)</f>
        <v>-1.13361994914459</v>
      </c>
      <c r="BX866" s="129">
        <f>VLOOKUP($D866,WGI!$C$2:$O$478,3,FALSE)</f>
        <v>-0.83027922470362103</v>
      </c>
      <c r="BY866" s="129">
        <f>VLOOKUP($D866,WGI!$C$2:$O$478,5,FALSE)</f>
        <v>-0.879417721672345</v>
      </c>
      <c r="BZ866" s="129">
        <f>VLOOKUP($D866,WGI!$C$2:$O$478,2,FALSE)</f>
        <v>-1.1703095305947999</v>
      </c>
    </row>
    <row r="867" spans="1:80" ht="15" customHeight="1">
      <c r="A867" s="294" t="s">
        <v>287</v>
      </c>
      <c r="B867" s="117">
        <v>2005</v>
      </c>
      <c r="C867" s="117" t="s">
        <v>285</v>
      </c>
      <c r="D867" s="117" t="s">
        <v>3499</v>
      </c>
      <c r="E867" s="452" t="s">
        <v>39</v>
      </c>
      <c r="F867" s="117"/>
      <c r="G867" s="117" t="s">
        <v>24</v>
      </c>
      <c r="H867" s="117" t="str">
        <f t="shared" si="145"/>
        <v>yes</v>
      </c>
      <c r="I867" s="117" t="str">
        <f t="shared" si="146"/>
        <v>no</v>
      </c>
      <c r="J867" s="117" t="str">
        <f t="shared" si="147"/>
        <v>no</v>
      </c>
      <c r="K867" s="117" t="s">
        <v>784</v>
      </c>
      <c r="L867" s="117" t="str">
        <f t="shared" si="148"/>
        <v>detailed</v>
      </c>
      <c r="M867" s="117" t="str">
        <f t="shared" si="149"/>
        <v>detailed Mining</v>
      </c>
      <c r="N867" s="118">
        <f>16751*32.150743126506</f>
        <v>538557.09811210202</v>
      </c>
      <c r="O867" s="118"/>
      <c r="P867" s="118"/>
      <c r="Q867" s="118"/>
      <c r="R867" s="118"/>
      <c r="S867" s="117" t="s">
        <v>785</v>
      </c>
      <c r="T867" s="119">
        <v>444.84258333333003</v>
      </c>
      <c r="U867" s="117" t="s">
        <v>786</v>
      </c>
      <c r="V867" s="117" t="s">
        <v>1500</v>
      </c>
      <c r="W867" s="89">
        <f t="shared" si="151"/>
        <v>239573130.79668912</v>
      </c>
      <c r="X867" s="117"/>
      <c r="Y867" s="117"/>
      <c r="Z867" s="117"/>
      <c r="AA867" s="177"/>
      <c r="AB867" s="177"/>
      <c r="AC867" s="122"/>
      <c r="AD867" s="122"/>
      <c r="AE867" s="122"/>
      <c r="AF867" s="123"/>
      <c r="AG867" s="117"/>
      <c r="AH867" s="124"/>
      <c r="AI867" s="117"/>
      <c r="AJ867" s="117"/>
      <c r="AK867" s="89"/>
      <c r="AL867" s="117"/>
      <c r="AM867" s="117"/>
      <c r="AN867" s="117"/>
      <c r="AO867" s="117"/>
      <c r="AP867" s="117"/>
      <c r="AQ867" s="117"/>
      <c r="AR867" s="126"/>
      <c r="AS867" s="117"/>
      <c r="AT867" s="117"/>
      <c r="AU867" s="117"/>
      <c r="AV867" s="128" t="s">
        <v>1499</v>
      </c>
      <c r="AW867" s="117">
        <f>VLOOKUP($D867,'WB Data'!$C$3:$M$578,2,FALSE)</f>
        <v>2459876151.9332976</v>
      </c>
      <c r="AX867" s="117">
        <f>VLOOKUP($D867,'WB Data'!$C$3:$M$578,3,FALSE)</f>
        <v>5162600</v>
      </c>
      <c r="AY867" s="847">
        <f t="shared" si="141"/>
        <v>1.1832439197040214E-2</v>
      </c>
      <c r="AZ867" s="117" t="e">
        <f>VLOOKUP($D867,'WB Data'!$C$3:$M$578,4,FALSE)/100</f>
        <v>#VALUE!</v>
      </c>
      <c r="BA867" s="117" t="str">
        <f t="shared" si="142"/>
        <v>..</v>
      </c>
      <c r="BB867" s="129">
        <f>IFERROR(VLOOKUP($D867,'EITI Revenues'!$C$2:$G$224,5,FALSE),"..")</f>
        <v>29106335</v>
      </c>
      <c r="BC867" s="846" t="str">
        <f t="shared" si="143"/>
        <v>..</v>
      </c>
      <c r="BD867" s="129">
        <f>VLOOKUP($D867,'WB Data 2'!$C$2:$K$545,6,FALSE)</f>
        <v>77595350.163570479</v>
      </c>
      <c r="BE867" s="129" t="str">
        <f>IFERROR(VLOOKUP($D867,UNCTAD!$C$5:$V$529,4,FALSE),"..")</f>
        <v>..</v>
      </c>
      <c r="BF867" s="846" t="str">
        <f t="shared" si="144"/>
        <v>..</v>
      </c>
      <c r="BG867" s="117">
        <f>VLOOKUP($D867,'WB Data'!$C$3:$M$578,5,FALSE)</f>
        <v>267880000</v>
      </c>
      <c r="BH867" s="129">
        <f>IFERROR($BB867/$BG867,"..")</f>
        <v>0.10865437882634016</v>
      </c>
      <c r="BI867" s="117">
        <f>IFERROR(VLOOKUP($D867,'WB Data'!$C$3:$M$578,7,FALSE)/100,"..")</f>
        <v>4.8738400000000001E-2</v>
      </c>
      <c r="BJ867" s="117">
        <f>IFERROR($BI867*$AW867,"..")</f>
        <v>119890427.84338583</v>
      </c>
      <c r="BK867" s="846">
        <f>IFERROR($BB867/$BJ867,"..")</f>
        <v>0.24277446935148086</v>
      </c>
      <c r="BL867" s="117">
        <f>IFERROR(VLOOKUP($D867,'WB Data'!$C$3:$M$578,7,FALSE)/100,"..")</f>
        <v>4.8738400000000001E-2</v>
      </c>
      <c r="BM867" s="117">
        <f>IFERROR($AW867*$BL867,"..")</f>
        <v>119890427.84338583</v>
      </c>
      <c r="BN867" s="846">
        <f>IFERROR($BB867/$BM867,"..")</f>
        <v>0.24277446935148086</v>
      </c>
      <c r="BO867" s="801" t="str">
        <f t="shared" si="140"/>
        <v>..</v>
      </c>
      <c r="BP867" s="117" t="str">
        <f>VLOOKUP($D867,'WB Data'!$C$3:$M$578,9,FALSE)</f>
        <v>..</v>
      </c>
      <c r="BQ867" s="117">
        <f>VLOOKUP($D867,'WB Data'!$C$3:$M$578,10,FALSE)</f>
        <v>67.956097560975621</v>
      </c>
      <c r="BR867" s="117">
        <f>VLOOKUP($D867,'WB Data'!$C$3:$M$578,11,FALSE)</f>
        <v>34.4</v>
      </c>
      <c r="BS867" s="129">
        <f>IFERROR(VLOOKUP($D867,'WB Data 2'!$C$2:$K$545,9,FALSE),"..")</f>
        <v>95.451449999999994</v>
      </c>
      <c r="BT867" s="129" t="str">
        <f>_xlfn.IFNA(VLOOKUP($C867,RGI!$A$2:$C$43,2,FALSE),"..")</f>
        <v>..</v>
      </c>
      <c r="BU867" s="129" t="str">
        <f>_xlfn.IFNA(VLOOKUP($C867,RGI!$A$2:$C$43,3,FALSE),"..")</f>
        <v>..</v>
      </c>
      <c r="BV867" s="129">
        <f>VLOOKUP($D867,WGI!$C$2:$O$478,7,FALSE)</f>
        <v>-0.80955538455482101</v>
      </c>
      <c r="BW867" s="129">
        <f>VLOOKUP($D867,WGI!$C$2:$O$478,4,FALSE)</f>
        <v>-1.13361994914459</v>
      </c>
      <c r="BX867" s="129">
        <f>VLOOKUP($D867,WGI!$C$2:$O$478,3,FALSE)</f>
        <v>-0.83027922470362103</v>
      </c>
      <c r="BY867" s="129">
        <f>VLOOKUP($D867,WGI!$C$2:$O$478,5,FALSE)</f>
        <v>-0.879417721672345</v>
      </c>
      <c r="BZ867" s="129">
        <f>VLOOKUP($D867,WGI!$C$2:$O$478,2,FALSE)</f>
        <v>-1.1703095305947999</v>
      </c>
    </row>
    <row r="868" spans="1:80" ht="15" customHeight="1">
      <c r="A868" s="294" t="s">
        <v>287</v>
      </c>
      <c r="B868" s="117">
        <v>2005</v>
      </c>
      <c r="C868" s="117" t="s">
        <v>285</v>
      </c>
      <c r="D868" s="117" t="s">
        <v>3499</v>
      </c>
      <c r="E868" s="452" t="s">
        <v>39</v>
      </c>
      <c r="F868" s="117"/>
      <c r="G868" s="117" t="s">
        <v>24</v>
      </c>
      <c r="H868" s="117" t="str">
        <f t="shared" si="145"/>
        <v>yes</v>
      </c>
      <c r="I868" s="117" t="str">
        <f t="shared" si="146"/>
        <v>no</v>
      </c>
      <c r="J868" s="117" t="str">
        <f t="shared" si="147"/>
        <v>no</v>
      </c>
      <c r="K868" s="117" t="s">
        <v>1230</v>
      </c>
      <c r="L868" s="117" t="str">
        <f t="shared" si="148"/>
        <v>detailed</v>
      </c>
      <c r="M868" s="117" t="str">
        <f t="shared" si="149"/>
        <v>detailed Mining</v>
      </c>
      <c r="N868" s="118">
        <v>400000</v>
      </c>
      <c r="O868" s="118"/>
      <c r="P868" s="118"/>
      <c r="Q868" s="118"/>
      <c r="R868" s="118"/>
      <c r="S868" s="117" t="s">
        <v>610</v>
      </c>
      <c r="T868" s="119">
        <v>110</v>
      </c>
      <c r="U868" s="117" t="s">
        <v>611</v>
      </c>
      <c r="V868" s="117" t="s">
        <v>1501</v>
      </c>
      <c r="W868" s="89">
        <f t="shared" si="151"/>
        <v>44000000</v>
      </c>
      <c r="X868" s="117"/>
      <c r="Y868" s="117"/>
      <c r="Z868" s="117"/>
      <c r="AA868" s="177"/>
      <c r="AB868" s="177"/>
      <c r="AC868" s="122"/>
      <c r="AD868" s="122"/>
      <c r="AE868" s="122"/>
      <c r="AF868" s="123"/>
      <c r="AG868" s="117"/>
      <c r="AH868" s="124"/>
      <c r="AI868" s="117"/>
      <c r="AJ868" s="117"/>
      <c r="AK868" s="89"/>
      <c r="AL868" s="117"/>
      <c r="AM868" s="117"/>
      <c r="AN868" s="117"/>
      <c r="AO868" s="117"/>
      <c r="AP868" s="117"/>
      <c r="AQ868" s="117"/>
      <c r="AR868" s="126"/>
      <c r="AS868" s="117"/>
      <c r="AT868" s="117"/>
      <c r="AU868" s="117"/>
      <c r="AV868" s="128" t="s">
        <v>1499</v>
      </c>
      <c r="AW868" s="117">
        <f>VLOOKUP($D868,'WB Data'!$C$3:$M$578,2,FALSE)</f>
        <v>2459876151.9332976</v>
      </c>
      <c r="AX868" s="117">
        <f>VLOOKUP($D868,'WB Data'!$C$3:$M$578,3,FALSE)</f>
        <v>5162600</v>
      </c>
      <c r="AY868" s="847">
        <f t="shared" si="141"/>
        <v>1.1832439197040214E-2</v>
      </c>
      <c r="AZ868" s="117" t="e">
        <f>VLOOKUP($D868,'WB Data'!$C$3:$M$578,4,FALSE)/100</f>
        <v>#VALUE!</v>
      </c>
      <c r="BA868" s="117" t="str">
        <f t="shared" si="142"/>
        <v>..</v>
      </c>
      <c r="BB868" s="129">
        <f>IFERROR(VLOOKUP($D868,'EITI Revenues'!$C$2:$G$224,5,FALSE),"..")</f>
        <v>29106335</v>
      </c>
      <c r="BC868" s="846" t="str">
        <f t="shared" si="143"/>
        <v>..</v>
      </c>
      <c r="BD868" s="129">
        <f>VLOOKUP($D868,'WB Data 2'!$C$2:$K$545,6,FALSE)</f>
        <v>77595350.163570479</v>
      </c>
      <c r="BE868" s="129" t="str">
        <f>IFERROR(VLOOKUP($D868,UNCTAD!$C$5:$V$529,4,FALSE),"..")</f>
        <v>..</v>
      </c>
      <c r="BF868" s="846" t="str">
        <f t="shared" si="144"/>
        <v>..</v>
      </c>
      <c r="BG868" s="117">
        <f>VLOOKUP($D868,'WB Data'!$C$3:$M$578,5,FALSE)</f>
        <v>267880000</v>
      </c>
      <c r="BH868" s="129">
        <f>IFERROR($BB868/$BG868,"..")</f>
        <v>0.10865437882634016</v>
      </c>
      <c r="BI868" s="117">
        <f>IFERROR(VLOOKUP($D868,'WB Data'!$C$3:$M$578,7,FALSE)/100,"..")</f>
        <v>4.8738400000000001E-2</v>
      </c>
      <c r="BJ868" s="117">
        <f>IFERROR($BI868*$AW868,"..")</f>
        <v>119890427.84338583</v>
      </c>
      <c r="BK868" s="846">
        <f>IFERROR($BB868/$BJ868,"..")</f>
        <v>0.24277446935148086</v>
      </c>
      <c r="BL868" s="117">
        <f>IFERROR(VLOOKUP($D868,'WB Data'!$C$3:$M$578,7,FALSE)/100,"..")</f>
        <v>4.8738400000000001E-2</v>
      </c>
      <c r="BM868" s="117">
        <f>IFERROR($AW868*$BL868,"..")</f>
        <v>119890427.84338583</v>
      </c>
      <c r="BN868" s="846">
        <f>IFERROR($BB868/$BM868,"..")</f>
        <v>0.24277446935148086</v>
      </c>
      <c r="BO868" s="801" t="str">
        <f t="shared" si="140"/>
        <v>..</v>
      </c>
      <c r="BP868" s="117" t="str">
        <f>VLOOKUP($D868,'WB Data'!$C$3:$M$578,9,FALSE)</f>
        <v>..</v>
      </c>
      <c r="BQ868" s="117">
        <f>VLOOKUP($D868,'WB Data'!$C$3:$M$578,10,FALSE)</f>
        <v>67.956097560975621</v>
      </c>
      <c r="BR868" s="117">
        <f>VLOOKUP($D868,'WB Data'!$C$3:$M$578,11,FALSE)</f>
        <v>34.4</v>
      </c>
      <c r="BS868" s="129">
        <f>IFERROR(VLOOKUP($D868,'WB Data 2'!$C$2:$K$545,9,FALSE),"..")</f>
        <v>95.451449999999994</v>
      </c>
      <c r="BT868" s="129" t="str">
        <f>_xlfn.IFNA(VLOOKUP($C868,RGI!$A$2:$C$43,2,FALSE),"..")</f>
        <v>..</v>
      </c>
      <c r="BU868" s="129" t="str">
        <f>_xlfn.IFNA(VLOOKUP($C868,RGI!$A$2:$C$43,3,FALSE),"..")</f>
        <v>..</v>
      </c>
      <c r="BV868" s="129">
        <f>VLOOKUP($D868,WGI!$C$2:$O$478,7,FALSE)</f>
        <v>-0.80955538455482101</v>
      </c>
      <c r="BW868" s="129">
        <f>VLOOKUP($D868,WGI!$C$2:$O$478,4,FALSE)</f>
        <v>-1.13361994914459</v>
      </c>
      <c r="BX868" s="129">
        <f>VLOOKUP($D868,WGI!$C$2:$O$478,3,FALSE)</f>
        <v>-0.83027922470362103</v>
      </c>
      <c r="BY868" s="129">
        <f>VLOOKUP($D868,WGI!$C$2:$O$478,5,FALSE)</f>
        <v>-0.879417721672345</v>
      </c>
      <c r="BZ868" s="129">
        <f>VLOOKUP($D868,WGI!$C$2:$O$478,2,FALSE)</f>
        <v>-1.1703095305947999</v>
      </c>
    </row>
    <row r="869" spans="1:80" ht="15" customHeight="1">
      <c r="A869" s="294" t="s">
        <v>287</v>
      </c>
      <c r="B869" s="117">
        <v>2005</v>
      </c>
      <c r="C869" s="117" t="s">
        <v>285</v>
      </c>
      <c r="D869" s="117" t="s">
        <v>3499</v>
      </c>
      <c r="E869" s="452" t="s">
        <v>39</v>
      </c>
      <c r="F869" s="117"/>
      <c r="G869" s="117" t="s">
        <v>24</v>
      </c>
      <c r="H869" s="117" t="str">
        <f t="shared" si="145"/>
        <v>yes</v>
      </c>
      <c r="I869" s="117" t="str">
        <f t="shared" si="146"/>
        <v>no</v>
      </c>
      <c r="J869" s="117" t="str">
        <f t="shared" si="147"/>
        <v>no</v>
      </c>
      <c r="K869" s="117" t="s">
        <v>1488</v>
      </c>
      <c r="L869" s="117" t="str">
        <f t="shared" si="148"/>
        <v>detailed</v>
      </c>
      <c r="M869" s="117" t="str">
        <f t="shared" si="149"/>
        <v>detailed Mining</v>
      </c>
      <c r="N869" s="118">
        <v>8500</v>
      </c>
      <c r="O869" s="118"/>
      <c r="P869" s="118"/>
      <c r="Q869" s="118"/>
      <c r="R869" s="118"/>
      <c r="S869" s="117" t="s">
        <v>610</v>
      </c>
      <c r="T869" s="119">
        <v>81.599999999999994</v>
      </c>
      <c r="U869" s="117" t="s">
        <v>611</v>
      </c>
      <c r="V869" s="117" t="s">
        <v>1502</v>
      </c>
      <c r="W869" s="89">
        <f t="shared" si="151"/>
        <v>693600</v>
      </c>
      <c r="X869" s="117"/>
      <c r="Y869" s="117"/>
      <c r="Z869" s="117"/>
      <c r="AA869" s="177"/>
      <c r="AB869" s="177"/>
      <c r="AC869" s="122"/>
      <c r="AD869" s="122"/>
      <c r="AE869" s="122"/>
      <c r="AF869" s="123"/>
      <c r="AG869" s="117"/>
      <c r="AH869" s="124"/>
      <c r="AI869" s="117"/>
      <c r="AJ869" s="117"/>
      <c r="AK869" s="89"/>
      <c r="AL869" s="117"/>
      <c r="AM869" s="117"/>
      <c r="AN869" s="117"/>
      <c r="AO869" s="117"/>
      <c r="AP869" s="117"/>
      <c r="AQ869" s="117"/>
      <c r="AR869" s="126"/>
      <c r="AS869" s="117"/>
      <c r="AT869" s="117"/>
      <c r="AU869" s="117"/>
      <c r="AV869" s="128" t="s">
        <v>1499</v>
      </c>
      <c r="AW869" s="117">
        <f>VLOOKUP($D869,'WB Data'!$C$3:$M$578,2,FALSE)</f>
        <v>2459876151.9332976</v>
      </c>
      <c r="AX869" s="117">
        <f>VLOOKUP($D869,'WB Data'!$C$3:$M$578,3,FALSE)</f>
        <v>5162600</v>
      </c>
      <c r="AY869" s="847">
        <f t="shared" si="141"/>
        <v>1.1832439197040214E-2</v>
      </c>
      <c r="AZ869" s="117" t="e">
        <f>VLOOKUP($D869,'WB Data'!$C$3:$M$578,4,FALSE)/100</f>
        <v>#VALUE!</v>
      </c>
      <c r="BA869" s="117" t="str">
        <f t="shared" si="142"/>
        <v>..</v>
      </c>
      <c r="BB869" s="129">
        <f>IFERROR(VLOOKUP($D869,'EITI Revenues'!$C$2:$G$224,5,FALSE),"..")</f>
        <v>29106335</v>
      </c>
      <c r="BC869" s="846" t="str">
        <f t="shared" si="143"/>
        <v>..</v>
      </c>
      <c r="BD869" s="129">
        <f>VLOOKUP($D869,'WB Data 2'!$C$2:$K$545,6,FALSE)</f>
        <v>77595350.163570479</v>
      </c>
      <c r="BE869" s="129" t="str">
        <f>IFERROR(VLOOKUP($D869,UNCTAD!$C$5:$V$529,4,FALSE),"..")</f>
        <v>..</v>
      </c>
      <c r="BF869" s="846" t="str">
        <f t="shared" si="144"/>
        <v>..</v>
      </c>
      <c r="BG869" s="117">
        <f>VLOOKUP($D869,'WB Data'!$C$3:$M$578,5,FALSE)</f>
        <v>267880000</v>
      </c>
      <c r="BH869" s="129">
        <f>IFERROR($BB869/$BG869,"..")</f>
        <v>0.10865437882634016</v>
      </c>
      <c r="BI869" s="117">
        <f>IFERROR(VLOOKUP($D869,'WB Data'!$C$3:$M$578,7,FALSE)/100,"..")</f>
        <v>4.8738400000000001E-2</v>
      </c>
      <c r="BJ869" s="117">
        <f>IFERROR($BI869*$AW869,"..")</f>
        <v>119890427.84338583</v>
      </c>
      <c r="BK869" s="846">
        <f>IFERROR($BB869/$BJ869,"..")</f>
        <v>0.24277446935148086</v>
      </c>
      <c r="BL869" s="117">
        <f>IFERROR(VLOOKUP($D869,'WB Data'!$C$3:$M$578,7,FALSE)/100,"..")</f>
        <v>4.8738400000000001E-2</v>
      </c>
      <c r="BM869" s="117">
        <f>IFERROR($AW869*$BL869,"..")</f>
        <v>119890427.84338583</v>
      </c>
      <c r="BN869" s="846">
        <f>IFERROR($BB869/$BM869,"..")</f>
        <v>0.24277446935148086</v>
      </c>
      <c r="BO869" s="801" t="str">
        <f t="shared" si="140"/>
        <v>..</v>
      </c>
      <c r="BP869" s="117" t="str">
        <f>VLOOKUP($D869,'WB Data'!$C$3:$M$578,9,FALSE)</f>
        <v>..</v>
      </c>
      <c r="BQ869" s="117">
        <f>VLOOKUP($D869,'WB Data'!$C$3:$M$578,10,FALSE)</f>
        <v>67.956097560975621</v>
      </c>
      <c r="BR869" s="117">
        <f>VLOOKUP($D869,'WB Data'!$C$3:$M$578,11,FALSE)</f>
        <v>34.4</v>
      </c>
      <c r="BS869" s="129">
        <f>IFERROR(VLOOKUP($D869,'WB Data 2'!$C$2:$K$545,9,FALSE),"..")</f>
        <v>95.451449999999994</v>
      </c>
      <c r="BT869" s="129" t="str">
        <f>_xlfn.IFNA(VLOOKUP($C869,RGI!$A$2:$C$43,2,FALSE),"..")</f>
        <v>..</v>
      </c>
      <c r="BU869" s="129" t="str">
        <f>_xlfn.IFNA(VLOOKUP($C869,RGI!$A$2:$C$43,3,FALSE),"..")</f>
        <v>..</v>
      </c>
      <c r="BV869" s="129">
        <f>VLOOKUP($D869,WGI!$C$2:$O$478,7,FALSE)</f>
        <v>-0.80955538455482101</v>
      </c>
      <c r="BW869" s="129">
        <f>VLOOKUP($D869,WGI!$C$2:$O$478,4,FALSE)</f>
        <v>-1.13361994914459</v>
      </c>
      <c r="BX869" s="129">
        <f>VLOOKUP($D869,WGI!$C$2:$O$478,3,FALSE)</f>
        <v>-0.83027922470362103</v>
      </c>
      <c r="BY869" s="129">
        <f>VLOOKUP($D869,WGI!$C$2:$O$478,5,FALSE)</f>
        <v>-0.879417721672345</v>
      </c>
      <c r="BZ869" s="129">
        <f>VLOOKUP($D869,WGI!$C$2:$O$478,2,FALSE)</f>
        <v>-1.1703095305947999</v>
      </c>
    </row>
    <row r="870" spans="1:80" ht="15" customHeight="1">
      <c r="A870" s="294" t="s">
        <v>287</v>
      </c>
      <c r="B870" s="117">
        <v>2005</v>
      </c>
      <c r="C870" s="117" t="s">
        <v>285</v>
      </c>
      <c r="D870" s="117" t="s">
        <v>3499</v>
      </c>
      <c r="E870" s="452" t="s">
        <v>39</v>
      </c>
      <c r="F870" s="117"/>
      <c r="G870" s="117" t="s">
        <v>24</v>
      </c>
      <c r="H870" s="117" t="str">
        <f t="shared" si="145"/>
        <v>yes</v>
      </c>
      <c r="I870" s="117" t="str">
        <f t="shared" si="146"/>
        <v>no</v>
      </c>
      <c r="J870" s="117" t="str">
        <f t="shared" si="147"/>
        <v>no</v>
      </c>
      <c r="K870" s="117" t="s">
        <v>1491</v>
      </c>
      <c r="L870" s="117" t="str">
        <f t="shared" si="148"/>
        <v>detailed</v>
      </c>
      <c r="M870" s="117" t="str">
        <f t="shared" si="149"/>
        <v>detailed Mining</v>
      </c>
      <c r="N870" s="118">
        <v>200</v>
      </c>
      <c r="O870" s="118"/>
      <c r="P870" s="118"/>
      <c r="Q870" s="118"/>
      <c r="R870" s="118"/>
      <c r="S870" s="117" t="s">
        <v>610</v>
      </c>
      <c r="T870" s="119">
        <f>555/0.035</f>
        <v>15857.142857142855</v>
      </c>
      <c r="U870" s="117" t="s">
        <v>611</v>
      </c>
      <c r="V870" s="117" t="s">
        <v>1503</v>
      </c>
      <c r="W870" s="89">
        <f t="shared" si="151"/>
        <v>3171428.5714285709</v>
      </c>
      <c r="X870" s="117"/>
      <c r="Y870" s="117"/>
      <c r="Z870" s="117"/>
      <c r="AA870" s="177"/>
      <c r="AB870" s="177"/>
      <c r="AC870" s="122"/>
      <c r="AD870" s="122"/>
      <c r="AE870" s="122"/>
      <c r="AF870" s="123"/>
      <c r="AG870" s="117"/>
      <c r="AH870" s="124"/>
      <c r="AI870" s="117"/>
      <c r="AJ870" s="117"/>
      <c r="AK870" s="89"/>
      <c r="AL870" s="117"/>
      <c r="AM870" s="117"/>
      <c r="AN870" s="117"/>
      <c r="AO870" s="117"/>
      <c r="AP870" s="117"/>
      <c r="AQ870" s="117"/>
      <c r="AR870" s="126"/>
      <c r="AS870" s="117"/>
      <c r="AT870" s="117"/>
      <c r="AU870" s="117"/>
      <c r="AV870" s="128" t="s">
        <v>1499</v>
      </c>
      <c r="AW870" s="117">
        <f>VLOOKUP($D870,'WB Data'!$C$3:$M$578,2,FALSE)</f>
        <v>2459876151.9332976</v>
      </c>
      <c r="AX870" s="117">
        <f>VLOOKUP($D870,'WB Data'!$C$3:$M$578,3,FALSE)</f>
        <v>5162600</v>
      </c>
      <c r="AY870" s="847">
        <f t="shared" si="141"/>
        <v>1.1832439197040214E-2</v>
      </c>
      <c r="AZ870" s="117" t="e">
        <f>VLOOKUP($D870,'WB Data'!$C$3:$M$578,4,FALSE)/100</f>
        <v>#VALUE!</v>
      </c>
      <c r="BA870" s="117" t="str">
        <f t="shared" si="142"/>
        <v>..</v>
      </c>
      <c r="BB870" s="129">
        <f>IFERROR(VLOOKUP($D870,'EITI Revenues'!$C$2:$G$224,5,FALSE),"..")</f>
        <v>29106335</v>
      </c>
      <c r="BC870" s="846" t="str">
        <f t="shared" si="143"/>
        <v>..</v>
      </c>
      <c r="BD870" s="129">
        <f>VLOOKUP($D870,'WB Data 2'!$C$2:$K$545,6,FALSE)</f>
        <v>77595350.163570479</v>
      </c>
      <c r="BE870" s="129" t="str">
        <f>IFERROR(VLOOKUP($D870,UNCTAD!$C$5:$V$529,4,FALSE),"..")</f>
        <v>..</v>
      </c>
      <c r="BF870" s="846" t="str">
        <f t="shared" si="144"/>
        <v>..</v>
      </c>
      <c r="BG870" s="117">
        <f>VLOOKUP($D870,'WB Data'!$C$3:$M$578,5,FALSE)</f>
        <v>267880000</v>
      </c>
      <c r="BH870" s="129">
        <f>IFERROR($BB870/$BG870,"..")</f>
        <v>0.10865437882634016</v>
      </c>
      <c r="BI870" s="117">
        <f>IFERROR(VLOOKUP($D870,'WB Data'!$C$3:$M$578,7,FALSE)/100,"..")</f>
        <v>4.8738400000000001E-2</v>
      </c>
      <c r="BJ870" s="117">
        <f>IFERROR($BI870*$AW870,"..")</f>
        <v>119890427.84338583</v>
      </c>
      <c r="BK870" s="846">
        <f>IFERROR($BB870/$BJ870,"..")</f>
        <v>0.24277446935148086</v>
      </c>
      <c r="BL870" s="117">
        <f>IFERROR(VLOOKUP($D870,'WB Data'!$C$3:$M$578,7,FALSE)/100,"..")</f>
        <v>4.8738400000000001E-2</v>
      </c>
      <c r="BM870" s="117">
        <f>IFERROR($AW870*$BL870,"..")</f>
        <v>119890427.84338583</v>
      </c>
      <c r="BN870" s="846">
        <f>IFERROR($BB870/$BM870,"..")</f>
        <v>0.24277446935148086</v>
      </c>
      <c r="BO870" s="801" t="str">
        <f t="shared" si="140"/>
        <v>..</v>
      </c>
      <c r="BP870" s="117" t="str">
        <f>VLOOKUP($D870,'WB Data'!$C$3:$M$578,9,FALSE)</f>
        <v>..</v>
      </c>
      <c r="BQ870" s="117">
        <f>VLOOKUP($D870,'WB Data'!$C$3:$M$578,10,FALSE)</f>
        <v>67.956097560975621</v>
      </c>
      <c r="BR870" s="117">
        <f>VLOOKUP($D870,'WB Data'!$C$3:$M$578,11,FALSE)</f>
        <v>34.4</v>
      </c>
      <c r="BS870" s="129">
        <f>IFERROR(VLOOKUP($D870,'WB Data 2'!$C$2:$K$545,9,FALSE),"..")</f>
        <v>95.451449999999994</v>
      </c>
      <c r="BT870" s="129" t="str">
        <f>_xlfn.IFNA(VLOOKUP($C870,RGI!$A$2:$C$43,2,FALSE),"..")</f>
        <v>..</v>
      </c>
      <c r="BU870" s="129" t="str">
        <f>_xlfn.IFNA(VLOOKUP($C870,RGI!$A$2:$C$43,3,FALSE),"..")</f>
        <v>..</v>
      </c>
      <c r="BV870" s="129">
        <f>VLOOKUP($D870,WGI!$C$2:$O$478,7,FALSE)</f>
        <v>-0.80955538455482101</v>
      </c>
      <c r="BW870" s="129">
        <f>VLOOKUP($D870,WGI!$C$2:$O$478,4,FALSE)</f>
        <v>-1.13361994914459</v>
      </c>
      <c r="BX870" s="129">
        <f>VLOOKUP($D870,WGI!$C$2:$O$478,3,FALSE)</f>
        <v>-0.83027922470362103</v>
      </c>
      <c r="BY870" s="129">
        <f>VLOOKUP($D870,WGI!$C$2:$O$478,5,FALSE)</f>
        <v>-0.879417721672345</v>
      </c>
      <c r="BZ870" s="129">
        <f>VLOOKUP($D870,WGI!$C$2:$O$478,2,FALSE)</f>
        <v>-1.1703095305947999</v>
      </c>
    </row>
    <row r="871" spans="1:80" ht="15" customHeight="1">
      <c r="A871" s="294" t="s">
        <v>287</v>
      </c>
      <c r="B871" s="117">
        <v>2005</v>
      </c>
      <c r="C871" s="117" t="s">
        <v>285</v>
      </c>
      <c r="D871" s="117" t="s">
        <v>3499</v>
      </c>
      <c r="E871" s="452" t="s">
        <v>39</v>
      </c>
      <c r="F871" s="117"/>
      <c r="G871" s="117" t="s">
        <v>24</v>
      </c>
      <c r="H871" s="117" t="str">
        <f t="shared" si="145"/>
        <v>yes</v>
      </c>
      <c r="I871" s="117" t="str">
        <f t="shared" si="146"/>
        <v>no</v>
      </c>
      <c r="J871" s="117" t="str">
        <f t="shared" si="147"/>
        <v>no</v>
      </c>
      <c r="K871" s="117" t="s">
        <v>1493</v>
      </c>
      <c r="L871" s="117" t="str">
        <f t="shared" si="148"/>
        <v>detailed</v>
      </c>
      <c r="M871" s="117" t="str">
        <f t="shared" si="149"/>
        <v>detailed Mining</v>
      </c>
      <c r="N871" s="118">
        <v>250</v>
      </c>
      <c r="O871" s="118"/>
      <c r="P871" s="118"/>
      <c r="Q871" s="118"/>
      <c r="R871" s="118"/>
      <c r="S871" s="117" t="s">
        <v>610</v>
      </c>
      <c r="T871" s="119">
        <v>70110</v>
      </c>
      <c r="U871" s="117" t="s">
        <v>611</v>
      </c>
      <c r="V871" s="117" t="s">
        <v>1503</v>
      </c>
      <c r="W871" s="89">
        <f t="shared" si="151"/>
        <v>17527500</v>
      </c>
      <c r="X871" s="117"/>
      <c r="Y871" s="117"/>
      <c r="Z871" s="117"/>
      <c r="AA871" s="177"/>
      <c r="AB871" s="177"/>
      <c r="AC871" s="122"/>
      <c r="AD871" s="122"/>
      <c r="AE871" s="122"/>
      <c r="AF871" s="123"/>
      <c r="AG871" s="117"/>
      <c r="AH871" s="124"/>
      <c r="AI871" s="117"/>
      <c r="AJ871" s="117"/>
      <c r="AK871" s="89"/>
      <c r="AL871" s="117"/>
      <c r="AM871" s="117"/>
      <c r="AN871" s="117"/>
      <c r="AO871" s="117"/>
      <c r="AP871" s="117"/>
      <c r="AQ871" s="117"/>
      <c r="AR871" s="126"/>
      <c r="AS871" s="117"/>
      <c r="AT871" s="117"/>
      <c r="AU871" s="117"/>
      <c r="AV871" s="128" t="s">
        <v>1499</v>
      </c>
      <c r="AW871" s="117">
        <f>VLOOKUP($D871,'WB Data'!$C$3:$M$578,2,FALSE)</f>
        <v>2459876151.9332976</v>
      </c>
      <c r="AX871" s="117">
        <f>VLOOKUP($D871,'WB Data'!$C$3:$M$578,3,FALSE)</f>
        <v>5162600</v>
      </c>
      <c r="AY871" s="847">
        <f t="shared" si="141"/>
        <v>1.1832439197040214E-2</v>
      </c>
      <c r="AZ871" s="117" t="e">
        <f>VLOOKUP($D871,'WB Data'!$C$3:$M$578,4,FALSE)/100</f>
        <v>#VALUE!</v>
      </c>
      <c r="BA871" s="117" t="str">
        <f t="shared" si="142"/>
        <v>..</v>
      </c>
      <c r="BB871" s="129">
        <f>IFERROR(VLOOKUP($D871,'EITI Revenues'!$C$2:$G$224,5,FALSE),"..")</f>
        <v>29106335</v>
      </c>
      <c r="BC871" s="846" t="str">
        <f t="shared" si="143"/>
        <v>..</v>
      </c>
      <c r="BD871" s="129">
        <f>VLOOKUP($D871,'WB Data 2'!$C$2:$K$545,6,FALSE)</f>
        <v>77595350.163570479</v>
      </c>
      <c r="BE871" s="129" t="str">
        <f>IFERROR(VLOOKUP($D871,UNCTAD!$C$5:$V$529,4,FALSE),"..")</f>
        <v>..</v>
      </c>
      <c r="BF871" s="846" t="str">
        <f t="shared" si="144"/>
        <v>..</v>
      </c>
      <c r="BG871" s="117">
        <f>VLOOKUP($D871,'WB Data'!$C$3:$M$578,5,FALSE)</f>
        <v>267880000</v>
      </c>
      <c r="BH871" s="129">
        <f>IFERROR($BB871/$BG871,"..")</f>
        <v>0.10865437882634016</v>
      </c>
      <c r="BI871" s="117">
        <f>IFERROR(VLOOKUP($D871,'WB Data'!$C$3:$M$578,7,FALSE)/100,"..")</f>
        <v>4.8738400000000001E-2</v>
      </c>
      <c r="BJ871" s="117">
        <f>IFERROR($BI871*$AW871,"..")</f>
        <v>119890427.84338583</v>
      </c>
      <c r="BK871" s="846">
        <f>IFERROR($BB871/$BJ871,"..")</f>
        <v>0.24277446935148086</v>
      </c>
      <c r="BL871" s="117">
        <f>IFERROR(VLOOKUP($D871,'WB Data'!$C$3:$M$578,7,FALSE)/100,"..")</f>
        <v>4.8738400000000001E-2</v>
      </c>
      <c r="BM871" s="117">
        <f>IFERROR($AW871*$BL871,"..")</f>
        <v>119890427.84338583</v>
      </c>
      <c r="BN871" s="846">
        <f>IFERROR($BB871/$BM871,"..")</f>
        <v>0.24277446935148086</v>
      </c>
      <c r="BO871" s="801" t="str">
        <f t="shared" si="140"/>
        <v>..</v>
      </c>
      <c r="BP871" s="117" t="str">
        <f>VLOOKUP($D871,'WB Data'!$C$3:$M$578,9,FALSE)</f>
        <v>..</v>
      </c>
      <c r="BQ871" s="117">
        <f>VLOOKUP($D871,'WB Data'!$C$3:$M$578,10,FALSE)</f>
        <v>67.956097560975621</v>
      </c>
      <c r="BR871" s="117">
        <f>VLOOKUP($D871,'WB Data'!$C$3:$M$578,11,FALSE)</f>
        <v>34.4</v>
      </c>
      <c r="BS871" s="129">
        <f>IFERROR(VLOOKUP($D871,'WB Data 2'!$C$2:$K$545,9,FALSE),"..")</f>
        <v>95.451449999999994</v>
      </c>
      <c r="BT871" s="129" t="str">
        <f>_xlfn.IFNA(VLOOKUP($C871,RGI!$A$2:$C$43,2,FALSE),"..")</f>
        <v>..</v>
      </c>
      <c r="BU871" s="129" t="str">
        <f>_xlfn.IFNA(VLOOKUP($C871,RGI!$A$2:$C$43,3,FALSE),"..")</f>
        <v>..</v>
      </c>
      <c r="BV871" s="129">
        <f>VLOOKUP($D871,WGI!$C$2:$O$478,7,FALSE)</f>
        <v>-0.80955538455482101</v>
      </c>
      <c r="BW871" s="129">
        <f>VLOOKUP($D871,WGI!$C$2:$O$478,4,FALSE)</f>
        <v>-1.13361994914459</v>
      </c>
      <c r="BX871" s="129">
        <f>VLOOKUP($D871,WGI!$C$2:$O$478,3,FALSE)</f>
        <v>-0.83027922470362103</v>
      </c>
      <c r="BY871" s="129">
        <f>VLOOKUP($D871,WGI!$C$2:$O$478,5,FALSE)</f>
        <v>-0.879417721672345</v>
      </c>
      <c r="BZ871" s="129">
        <f>VLOOKUP($D871,WGI!$C$2:$O$478,2,FALSE)</f>
        <v>-1.1703095305947999</v>
      </c>
    </row>
    <row r="872" spans="1:80" ht="15" customHeight="1">
      <c r="A872" s="294" t="s">
        <v>287</v>
      </c>
      <c r="B872" s="117">
        <v>2005</v>
      </c>
      <c r="C872" s="117" t="s">
        <v>285</v>
      </c>
      <c r="D872" s="117" t="s">
        <v>3499</v>
      </c>
      <c r="E872" s="452" t="s">
        <v>39</v>
      </c>
      <c r="F872" s="117"/>
      <c r="G872" s="117" t="s">
        <v>24</v>
      </c>
      <c r="H872" s="117" t="str">
        <f t="shared" si="145"/>
        <v>yes</v>
      </c>
      <c r="I872" s="117" t="str">
        <f t="shared" si="146"/>
        <v>no</v>
      </c>
      <c r="J872" s="117" t="str">
        <f t="shared" si="147"/>
        <v>no</v>
      </c>
      <c r="K872" s="117" t="s">
        <v>1496</v>
      </c>
      <c r="L872" s="117" t="str">
        <f t="shared" si="148"/>
        <v>detailed</v>
      </c>
      <c r="M872" s="117" t="str">
        <f t="shared" si="149"/>
        <v>detailed Mining</v>
      </c>
      <c r="N872" s="118">
        <f>388100*1.6</f>
        <v>620960</v>
      </c>
      <c r="O872" s="118"/>
      <c r="P872" s="118"/>
      <c r="Q872" s="118"/>
      <c r="R872" s="118"/>
      <c r="S872" s="117" t="s">
        <v>610</v>
      </c>
      <c r="T872" s="119">
        <v>5.86</v>
      </c>
      <c r="U872" s="117" t="s">
        <v>611</v>
      </c>
      <c r="V872" s="117" t="s">
        <v>1504</v>
      </c>
      <c r="W872" s="89">
        <f t="shared" si="151"/>
        <v>3638825.6</v>
      </c>
      <c r="X872" s="117"/>
      <c r="Y872" s="117"/>
      <c r="Z872" s="117"/>
      <c r="AA872" s="177"/>
      <c r="AB872" s="177"/>
      <c r="AC872" s="122"/>
      <c r="AD872" s="122"/>
      <c r="AE872" s="122"/>
      <c r="AF872" s="123"/>
      <c r="AG872" s="117"/>
      <c r="AH872" s="124"/>
      <c r="AI872" s="117"/>
      <c r="AJ872" s="117"/>
      <c r="AK872" s="89"/>
      <c r="AL872" s="117"/>
      <c r="AM872" s="117"/>
      <c r="AN872" s="117"/>
      <c r="AO872" s="117"/>
      <c r="AP872" s="117"/>
      <c r="AQ872" s="117"/>
      <c r="AR872" s="126"/>
      <c r="AS872" s="117"/>
      <c r="AT872" s="117"/>
      <c r="AU872" s="117"/>
      <c r="AV872" s="128" t="s">
        <v>1499</v>
      </c>
      <c r="AW872" s="117">
        <f>VLOOKUP($D872,'WB Data'!$C$3:$M$578,2,FALSE)</f>
        <v>2459876151.9332976</v>
      </c>
      <c r="AX872" s="117">
        <f>VLOOKUP($D872,'WB Data'!$C$3:$M$578,3,FALSE)</f>
        <v>5162600</v>
      </c>
      <c r="AY872" s="847">
        <f t="shared" si="141"/>
        <v>1.1832439197040214E-2</v>
      </c>
      <c r="AZ872" s="117" t="e">
        <f>VLOOKUP($D872,'WB Data'!$C$3:$M$578,4,FALSE)/100</f>
        <v>#VALUE!</v>
      </c>
      <c r="BA872" s="117" t="str">
        <f t="shared" si="142"/>
        <v>..</v>
      </c>
      <c r="BB872" s="129">
        <f>IFERROR(VLOOKUP($D872,'EITI Revenues'!$C$2:$G$224,5,FALSE),"..")</f>
        <v>29106335</v>
      </c>
      <c r="BC872" s="846" t="str">
        <f t="shared" si="143"/>
        <v>..</v>
      </c>
      <c r="BD872" s="129">
        <f>VLOOKUP($D872,'WB Data 2'!$C$2:$K$545,6,FALSE)</f>
        <v>77595350.163570479</v>
      </c>
      <c r="BE872" s="129" t="str">
        <f>IFERROR(VLOOKUP($D872,UNCTAD!$C$5:$V$529,4,FALSE),"..")</f>
        <v>..</v>
      </c>
      <c r="BF872" s="846" t="str">
        <f t="shared" si="144"/>
        <v>..</v>
      </c>
      <c r="BG872" s="117">
        <f>VLOOKUP($D872,'WB Data'!$C$3:$M$578,5,FALSE)</f>
        <v>267880000</v>
      </c>
      <c r="BH872" s="129">
        <f>IFERROR($BB872/$BG872,"..")</f>
        <v>0.10865437882634016</v>
      </c>
      <c r="BI872" s="117">
        <f>IFERROR(VLOOKUP($D872,'WB Data'!$C$3:$M$578,7,FALSE)/100,"..")</f>
        <v>4.8738400000000001E-2</v>
      </c>
      <c r="BJ872" s="117">
        <f>IFERROR($BI872*$AW872,"..")</f>
        <v>119890427.84338583</v>
      </c>
      <c r="BK872" s="846">
        <f>IFERROR($BB872/$BJ872,"..")</f>
        <v>0.24277446935148086</v>
      </c>
      <c r="BL872" s="117">
        <f>IFERROR(VLOOKUP($D872,'WB Data'!$C$3:$M$578,7,FALSE)/100,"..")</f>
        <v>4.8738400000000001E-2</v>
      </c>
      <c r="BM872" s="117">
        <f>IFERROR($AW872*$BL872,"..")</f>
        <v>119890427.84338583</v>
      </c>
      <c r="BN872" s="846">
        <f>IFERROR($BB872/$BM872,"..")</f>
        <v>0.24277446935148086</v>
      </c>
      <c r="BO872" s="801" t="str">
        <f t="shared" si="140"/>
        <v>..</v>
      </c>
      <c r="BP872" s="117" t="str">
        <f>VLOOKUP($D872,'WB Data'!$C$3:$M$578,9,FALSE)</f>
        <v>..</v>
      </c>
      <c r="BQ872" s="117">
        <f>VLOOKUP($D872,'WB Data'!$C$3:$M$578,10,FALSE)</f>
        <v>67.956097560975621</v>
      </c>
      <c r="BR872" s="117">
        <f>VLOOKUP($D872,'WB Data'!$C$3:$M$578,11,FALSE)</f>
        <v>34.4</v>
      </c>
      <c r="BS872" s="129">
        <f>IFERROR(VLOOKUP($D872,'WB Data 2'!$C$2:$K$545,9,FALSE),"..")</f>
        <v>95.451449999999994</v>
      </c>
      <c r="BT872" s="129" t="str">
        <f>_xlfn.IFNA(VLOOKUP($C872,RGI!$A$2:$C$43,2,FALSE),"..")</f>
        <v>..</v>
      </c>
      <c r="BU872" s="129" t="str">
        <f>_xlfn.IFNA(VLOOKUP($C872,RGI!$A$2:$C$43,3,FALSE),"..")</f>
        <v>..</v>
      </c>
      <c r="BV872" s="129">
        <f>VLOOKUP($D872,WGI!$C$2:$O$478,7,FALSE)</f>
        <v>-0.80955538455482101</v>
      </c>
      <c r="BW872" s="129">
        <f>VLOOKUP($D872,WGI!$C$2:$O$478,4,FALSE)</f>
        <v>-1.13361994914459</v>
      </c>
      <c r="BX872" s="129">
        <f>VLOOKUP($D872,WGI!$C$2:$O$478,3,FALSE)</f>
        <v>-0.83027922470362103</v>
      </c>
      <c r="BY872" s="129">
        <f>VLOOKUP($D872,WGI!$C$2:$O$478,5,FALSE)</f>
        <v>-0.879417721672345</v>
      </c>
      <c r="BZ872" s="129">
        <f>VLOOKUP($D872,WGI!$C$2:$O$478,2,FALSE)</f>
        <v>-1.1703095305947999</v>
      </c>
    </row>
    <row r="873" spans="1:80" s="144" customFormat="1" ht="15" customHeight="1">
      <c r="A873" s="296" t="s">
        <v>288</v>
      </c>
      <c r="B873" s="132">
        <v>2006</v>
      </c>
      <c r="C873" s="132" t="s">
        <v>285</v>
      </c>
      <c r="D873" s="117" t="s">
        <v>3533</v>
      </c>
      <c r="E873" s="450" t="s">
        <v>39</v>
      </c>
      <c r="F873" s="132" t="s">
        <v>1467</v>
      </c>
      <c r="G873" s="132" t="s">
        <v>24</v>
      </c>
      <c r="H873" s="117" t="str">
        <f t="shared" si="145"/>
        <v>yes</v>
      </c>
      <c r="I873" s="117" t="str">
        <f t="shared" si="146"/>
        <v>no</v>
      </c>
      <c r="J873" s="117" t="str">
        <f t="shared" si="147"/>
        <v>no</v>
      </c>
      <c r="K873" s="132" t="s">
        <v>709</v>
      </c>
      <c r="L873" s="117" t="str">
        <f t="shared" si="148"/>
        <v>Total</v>
      </c>
      <c r="M873" s="117" t="str">
        <f t="shared" si="149"/>
        <v>Total Mining</v>
      </c>
      <c r="N873" s="133"/>
      <c r="O873" s="133"/>
      <c r="P873" s="133"/>
      <c r="Q873" s="133"/>
      <c r="R873" s="133"/>
      <c r="S873" s="132"/>
      <c r="T873" s="134"/>
      <c r="U873" s="132"/>
      <c r="V873" s="132"/>
      <c r="W873" s="135">
        <f>SUM(W874:W880)</f>
        <v>305007447.71433735</v>
      </c>
      <c r="X873" s="132" t="s">
        <v>633</v>
      </c>
      <c r="Y873" s="132" t="s">
        <v>602</v>
      </c>
      <c r="Z873" s="132" t="s">
        <v>603</v>
      </c>
      <c r="AA873" s="325">
        <v>26120301</v>
      </c>
      <c r="AB873" s="325">
        <v>33994038</v>
      </c>
      <c r="AC873" s="138"/>
      <c r="AD873" s="138"/>
      <c r="AE873" s="138"/>
      <c r="AF873" s="123">
        <f>AA873/W873</f>
        <v>8.5638239970007704E-2</v>
      </c>
      <c r="AG873" s="132" t="s">
        <v>1480</v>
      </c>
      <c r="AH873" s="140">
        <v>40.590000000000003</v>
      </c>
      <c r="AI873" s="132" t="s">
        <v>667</v>
      </c>
      <c r="AJ873" s="132"/>
      <c r="AK873" s="135"/>
      <c r="AL873" s="132"/>
      <c r="AM873" s="132"/>
      <c r="AN873" s="132">
        <v>6</v>
      </c>
      <c r="AO873" s="132" t="s">
        <v>943</v>
      </c>
      <c r="AP873" s="132">
        <v>6</v>
      </c>
      <c r="AQ873" s="132" t="s">
        <v>172</v>
      </c>
      <c r="AR873" s="141">
        <v>41911</v>
      </c>
      <c r="AS873" s="132" t="s">
        <v>1481</v>
      </c>
      <c r="AT873" s="132" t="s">
        <v>286</v>
      </c>
      <c r="AU873" s="132" t="s">
        <v>1482</v>
      </c>
      <c r="AV873" s="143" t="s">
        <v>1505</v>
      </c>
      <c r="AW873" s="117">
        <f>VLOOKUP($D873,'WB Data'!$C$3:$M$578,2,FALSE)</f>
        <v>2834168889.4201913</v>
      </c>
      <c r="AX873" s="117">
        <f>VLOOKUP($D873,'WB Data'!$C$3:$M$578,3,FALSE)</f>
        <v>5218400</v>
      </c>
      <c r="AY873" s="847">
        <f t="shared" si="141"/>
        <v>9.216211884022071E-3</v>
      </c>
      <c r="AZ873" s="117">
        <f>VLOOKUP($D873,'WB Data'!$C$3:$M$578,4,FALSE)/100</f>
        <v>0.16467632980990352</v>
      </c>
      <c r="BA873" s="117">
        <f t="shared" si="142"/>
        <v>466720530.7711274</v>
      </c>
      <c r="BB873" s="129">
        <f>IFERROR(VLOOKUP($D873,'EITI Revenues'!$C$2:$G$224,5,FALSE),"..")</f>
        <v>26120301</v>
      </c>
      <c r="BC873" s="846">
        <f t="shared" si="143"/>
        <v>5.5965613847848907E-2</v>
      </c>
      <c r="BD873" s="129">
        <f>VLOOKUP($D873,'WB Data 2'!$C$2:$K$545,6,FALSE)</f>
        <v>212081358.42616799</v>
      </c>
      <c r="BE873" s="129" t="str">
        <f>IFERROR(VLOOKUP($D873,UNCTAD!$C$5:$V$529,4,FALSE),"..")</f>
        <v>..</v>
      </c>
      <c r="BF873" s="846" t="str">
        <f t="shared" si="144"/>
        <v>..</v>
      </c>
      <c r="BG873" s="117">
        <f>VLOOKUP($D873,'WB Data'!$C$3:$M$578,5,FALSE)</f>
        <v>310550000</v>
      </c>
      <c r="BH873" s="129">
        <f>IFERROR($BB873/$BG873,"..")</f>
        <v>8.4109808404443723E-2</v>
      </c>
      <c r="BI873" s="117">
        <f>IFERROR(VLOOKUP($D873,'WB Data'!$C$3:$M$578,7,FALSE)/100,"..")</f>
        <v>5.5498599999999995E-2</v>
      </c>
      <c r="BJ873" s="117">
        <f>IFERROR($BI873*$AW873,"..")</f>
        <v>157292405.52637541</v>
      </c>
      <c r="BK873" s="846">
        <f>IFERROR($BB873/$BJ873,"..")</f>
        <v>0.16606206073706492</v>
      </c>
      <c r="BL873" s="117">
        <f>IFERROR(VLOOKUP($D873,'WB Data'!$C$3:$M$578,7,FALSE)/100,"..")</f>
        <v>5.5498599999999995E-2</v>
      </c>
      <c r="BM873" s="117">
        <f>IFERROR($AW873*$BL873,"..")</f>
        <v>157292405.52637541</v>
      </c>
      <c r="BN873" s="846">
        <f>IFERROR($BB873/$BM873,"..")</f>
        <v>0.16606206073706492</v>
      </c>
      <c r="BO873" s="801" t="str">
        <f t="shared" si="140"/>
        <v>..</v>
      </c>
      <c r="BP873" s="117">
        <f>VLOOKUP($D873,'WB Data'!$C$3:$M$578,9,FALSE)</f>
        <v>39.9</v>
      </c>
      <c r="BQ873" s="117">
        <f>VLOOKUP($D873,'WB Data'!$C$3:$M$578,10,FALSE)</f>
        <v>67.695121951219505</v>
      </c>
      <c r="BR873" s="117">
        <f>VLOOKUP($D873,'WB Data'!$C$3:$M$578,11,FALSE)</f>
        <v>33.1</v>
      </c>
      <c r="BS873" s="129">
        <f>IFERROR(VLOOKUP($D873,'WB Data 2'!$C$2:$K$545,9,FALSE),"..")</f>
        <v>96.313199999999995</v>
      </c>
      <c r="BT873" s="129" t="str">
        <f>_xlfn.IFNA(VLOOKUP($C873,RGI!$A$2:$C$43,2,FALSE),"..")</f>
        <v>..</v>
      </c>
      <c r="BU873" s="129" t="str">
        <f>_xlfn.IFNA(VLOOKUP($C873,RGI!$A$2:$C$43,3,FALSE),"..")</f>
        <v>..</v>
      </c>
      <c r="BV873" s="129">
        <f>VLOOKUP($D873,WGI!$C$2:$O$478,7,FALSE)</f>
        <v>-0.73458801683765396</v>
      </c>
      <c r="BW873" s="129">
        <f>VLOOKUP($D873,WGI!$C$2:$O$478,4,FALSE)</f>
        <v>-1.3758674382674601</v>
      </c>
      <c r="BX873" s="129">
        <f>VLOOKUP($D873,WGI!$C$2:$O$478,3,FALSE)</f>
        <v>-0.77730986159114102</v>
      </c>
      <c r="BY873" s="129">
        <f>VLOOKUP($D873,WGI!$C$2:$O$478,5,FALSE)</f>
        <v>-0.63413667060158896</v>
      </c>
      <c r="BZ873" s="129">
        <f>VLOOKUP($D873,WGI!$C$2:$O$478,2,FALSE)</f>
        <v>-1.2613129733617701</v>
      </c>
      <c r="CB873" s="129"/>
    </row>
    <row r="874" spans="1:80" s="120" customFormat="1" ht="15" customHeight="1">
      <c r="A874" s="294" t="s">
        <v>288</v>
      </c>
      <c r="B874" s="117">
        <v>2006</v>
      </c>
      <c r="C874" s="117" t="s">
        <v>285</v>
      </c>
      <c r="D874" s="117" t="s">
        <v>3533</v>
      </c>
      <c r="E874" s="452" t="s">
        <v>39</v>
      </c>
      <c r="F874" s="117"/>
      <c r="G874" s="117" t="s">
        <v>24</v>
      </c>
      <c r="H874" s="117" t="str">
        <f t="shared" si="145"/>
        <v>yes</v>
      </c>
      <c r="I874" s="117" t="str">
        <f t="shared" si="146"/>
        <v>no</v>
      </c>
      <c r="J874" s="117" t="str">
        <f t="shared" si="147"/>
        <v>no</v>
      </c>
      <c r="K874" s="117" t="s">
        <v>616</v>
      </c>
      <c r="L874" s="117" t="str">
        <f t="shared" si="148"/>
        <v>detailed</v>
      </c>
      <c r="M874" s="117" t="str">
        <f t="shared" si="149"/>
        <v>detailed Mining</v>
      </c>
      <c r="N874" s="118">
        <v>321300</v>
      </c>
      <c r="O874" s="118"/>
      <c r="P874" s="118"/>
      <c r="Q874" s="118"/>
      <c r="R874" s="118"/>
      <c r="S874" s="117" t="s">
        <v>610</v>
      </c>
      <c r="T874" s="119">
        <v>61.17946892471906</v>
      </c>
      <c r="U874" s="117" t="s">
        <v>611</v>
      </c>
      <c r="V874" s="117" t="s">
        <v>1498</v>
      </c>
      <c r="W874" s="89">
        <f t="shared" ref="W874:W880" si="152">N874*T874</f>
        <v>19656963.365512233</v>
      </c>
      <c r="X874" s="117"/>
      <c r="Y874" s="117"/>
      <c r="Z874" s="117"/>
      <c r="AA874" s="177"/>
      <c r="AB874" s="177"/>
      <c r="AC874" s="122"/>
      <c r="AD874" s="122"/>
      <c r="AE874" s="122"/>
      <c r="AF874" s="123"/>
      <c r="AG874" s="117"/>
      <c r="AH874" s="124"/>
      <c r="AI874" s="117"/>
      <c r="AJ874" s="117"/>
      <c r="AK874" s="89"/>
      <c r="AL874" s="117"/>
      <c r="AM874" s="117"/>
      <c r="AN874" s="117"/>
      <c r="AO874" s="117"/>
      <c r="AP874" s="117"/>
      <c r="AQ874" s="117"/>
      <c r="AR874" s="126"/>
      <c r="AS874" s="117"/>
      <c r="AT874" s="117"/>
      <c r="AU874" s="117"/>
      <c r="AV874" s="128" t="s">
        <v>1499</v>
      </c>
      <c r="AW874" s="117">
        <f>VLOOKUP($D874,'WB Data'!$C$3:$M$578,2,FALSE)</f>
        <v>2834168889.4201913</v>
      </c>
      <c r="AX874" s="117">
        <f>VLOOKUP($D874,'WB Data'!$C$3:$M$578,3,FALSE)</f>
        <v>5218400</v>
      </c>
      <c r="AY874" s="847">
        <f t="shared" si="141"/>
        <v>9.216211884022071E-3</v>
      </c>
      <c r="AZ874" s="117">
        <f>VLOOKUP($D874,'WB Data'!$C$3:$M$578,4,FALSE)/100</f>
        <v>0.16467632980990352</v>
      </c>
      <c r="BA874" s="117">
        <f t="shared" si="142"/>
        <v>466720530.7711274</v>
      </c>
      <c r="BB874" s="129">
        <f>IFERROR(VLOOKUP($D874,'EITI Revenues'!$C$2:$G$224,5,FALSE),"..")</f>
        <v>26120301</v>
      </c>
      <c r="BC874" s="846">
        <f t="shared" si="143"/>
        <v>5.5965613847848907E-2</v>
      </c>
      <c r="BD874" s="129">
        <f>VLOOKUP($D874,'WB Data 2'!$C$2:$K$545,6,FALSE)</f>
        <v>212081358.42616799</v>
      </c>
      <c r="BE874" s="129" t="str">
        <f>IFERROR(VLOOKUP($D874,UNCTAD!$C$5:$V$529,4,FALSE),"..")</f>
        <v>..</v>
      </c>
      <c r="BF874" s="846" t="str">
        <f t="shared" si="144"/>
        <v>..</v>
      </c>
      <c r="BG874" s="117">
        <f>VLOOKUP($D874,'WB Data'!$C$3:$M$578,5,FALSE)</f>
        <v>310550000</v>
      </c>
      <c r="BH874" s="129">
        <f>IFERROR($BB874/$BG874,"..")</f>
        <v>8.4109808404443723E-2</v>
      </c>
      <c r="BI874" s="117">
        <f>IFERROR(VLOOKUP($D874,'WB Data'!$C$3:$M$578,7,FALSE)/100,"..")</f>
        <v>5.5498599999999995E-2</v>
      </c>
      <c r="BJ874" s="117">
        <f>IFERROR($BI874*$AW874,"..")</f>
        <v>157292405.52637541</v>
      </c>
      <c r="BK874" s="846">
        <f>IFERROR($BB874/$BJ874,"..")</f>
        <v>0.16606206073706492</v>
      </c>
      <c r="BL874" s="117">
        <f>IFERROR(VLOOKUP($D874,'WB Data'!$C$3:$M$578,7,FALSE)/100,"..")</f>
        <v>5.5498599999999995E-2</v>
      </c>
      <c r="BM874" s="117">
        <f>IFERROR($AW874*$BL874,"..")</f>
        <v>157292405.52637541</v>
      </c>
      <c r="BN874" s="846">
        <f>IFERROR($BB874/$BM874,"..")</f>
        <v>0.16606206073706492</v>
      </c>
      <c r="BO874" s="801" t="str">
        <f t="shared" si="140"/>
        <v>..</v>
      </c>
      <c r="BP874" s="117">
        <f>VLOOKUP($D874,'WB Data'!$C$3:$M$578,9,FALSE)</f>
        <v>39.9</v>
      </c>
      <c r="BQ874" s="117">
        <f>VLOOKUP($D874,'WB Data'!$C$3:$M$578,10,FALSE)</f>
        <v>67.695121951219505</v>
      </c>
      <c r="BR874" s="117">
        <f>VLOOKUP($D874,'WB Data'!$C$3:$M$578,11,FALSE)</f>
        <v>33.1</v>
      </c>
      <c r="BS874" s="129">
        <f>IFERROR(VLOOKUP($D874,'WB Data 2'!$C$2:$K$545,9,FALSE),"..")</f>
        <v>96.313199999999995</v>
      </c>
      <c r="BT874" s="129" t="str">
        <f>_xlfn.IFNA(VLOOKUP($C874,RGI!$A$2:$C$43,2,FALSE),"..")</f>
        <v>..</v>
      </c>
      <c r="BU874" s="129" t="str">
        <f>_xlfn.IFNA(VLOOKUP($C874,RGI!$A$2:$C$43,3,FALSE),"..")</f>
        <v>..</v>
      </c>
      <c r="BV874" s="129">
        <f>VLOOKUP($D874,WGI!$C$2:$O$478,7,FALSE)</f>
        <v>-0.73458801683765396</v>
      </c>
      <c r="BW874" s="129">
        <f>VLOOKUP($D874,WGI!$C$2:$O$478,4,FALSE)</f>
        <v>-1.3758674382674601</v>
      </c>
      <c r="BX874" s="129">
        <f>VLOOKUP($D874,WGI!$C$2:$O$478,3,FALSE)</f>
        <v>-0.77730986159114102</v>
      </c>
      <c r="BY874" s="129">
        <f>VLOOKUP($D874,WGI!$C$2:$O$478,5,FALSE)</f>
        <v>-0.63413667060158896</v>
      </c>
      <c r="BZ874" s="129">
        <f>VLOOKUP($D874,WGI!$C$2:$O$478,2,FALSE)</f>
        <v>-1.2613129733617701</v>
      </c>
      <c r="CB874" s="129"/>
    </row>
    <row r="875" spans="1:80" s="120" customFormat="1" ht="15" customHeight="1">
      <c r="A875" s="294" t="s">
        <v>288</v>
      </c>
      <c r="B875" s="117">
        <v>2006</v>
      </c>
      <c r="C875" s="117" t="s">
        <v>285</v>
      </c>
      <c r="D875" s="117" t="s">
        <v>3533</v>
      </c>
      <c r="E875" s="452" t="s">
        <v>39</v>
      </c>
      <c r="F875" s="117"/>
      <c r="G875" s="117" t="s">
        <v>24</v>
      </c>
      <c r="H875" s="117" t="str">
        <f t="shared" si="145"/>
        <v>yes</v>
      </c>
      <c r="I875" s="117" t="str">
        <f t="shared" si="146"/>
        <v>no</v>
      </c>
      <c r="J875" s="117" t="str">
        <f t="shared" si="147"/>
        <v>no</v>
      </c>
      <c r="K875" s="117" t="s">
        <v>784</v>
      </c>
      <c r="L875" s="117" t="str">
        <f t="shared" si="148"/>
        <v>detailed</v>
      </c>
      <c r="M875" s="117" t="str">
        <f t="shared" si="149"/>
        <v>detailed Mining</v>
      </c>
      <c r="N875" s="118">
        <f>10721*32.150743126506</f>
        <v>344688.11705927085</v>
      </c>
      <c r="O875" s="118"/>
      <c r="P875" s="118"/>
      <c r="Q875" s="118"/>
      <c r="R875" s="118"/>
      <c r="S875" s="117" t="s">
        <v>785</v>
      </c>
      <c r="T875" s="119">
        <v>604.33583333333002</v>
      </c>
      <c r="U875" s="117" t="s">
        <v>786</v>
      </c>
      <c r="V875" s="117" t="s">
        <v>1500</v>
      </c>
      <c r="W875" s="89">
        <f t="shared" si="152"/>
        <v>208307380.46311086</v>
      </c>
      <c r="X875" s="117"/>
      <c r="Y875" s="117"/>
      <c r="Z875" s="117"/>
      <c r="AA875" s="177"/>
      <c r="AB875" s="177"/>
      <c r="AC875" s="122"/>
      <c r="AD875" s="122"/>
      <c r="AE875" s="122"/>
      <c r="AF875" s="123"/>
      <c r="AG875" s="117"/>
      <c r="AH875" s="124"/>
      <c r="AI875" s="117"/>
      <c r="AJ875" s="117"/>
      <c r="AK875" s="89"/>
      <c r="AL875" s="117"/>
      <c r="AM875" s="117"/>
      <c r="AN875" s="117"/>
      <c r="AO875" s="117"/>
      <c r="AP875" s="117"/>
      <c r="AQ875" s="117"/>
      <c r="AR875" s="126"/>
      <c r="AS875" s="117"/>
      <c r="AT875" s="117"/>
      <c r="AU875" s="117"/>
      <c r="AV875" s="128" t="s">
        <v>1499</v>
      </c>
      <c r="AW875" s="117">
        <f>VLOOKUP($D875,'WB Data'!$C$3:$M$578,2,FALSE)</f>
        <v>2834168889.4201913</v>
      </c>
      <c r="AX875" s="117">
        <f>VLOOKUP($D875,'WB Data'!$C$3:$M$578,3,FALSE)</f>
        <v>5218400</v>
      </c>
      <c r="AY875" s="847">
        <f t="shared" si="141"/>
        <v>9.216211884022071E-3</v>
      </c>
      <c r="AZ875" s="117">
        <f>VLOOKUP($D875,'WB Data'!$C$3:$M$578,4,FALSE)/100</f>
        <v>0.16467632980990352</v>
      </c>
      <c r="BA875" s="117">
        <f t="shared" si="142"/>
        <v>466720530.7711274</v>
      </c>
      <c r="BB875" s="129">
        <f>IFERROR(VLOOKUP($D875,'EITI Revenues'!$C$2:$G$224,5,FALSE),"..")</f>
        <v>26120301</v>
      </c>
      <c r="BC875" s="846">
        <f t="shared" si="143"/>
        <v>5.5965613847848907E-2</v>
      </c>
      <c r="BD875" s="129">
        <f>VLOOKUP($D875,'WB Data 2'!$C$2:$K$545,6,FALSE)</f>
        <v>212081358.42616799</v>
      </c>
      <c r="BE875" s="129" t="str">
        <f>IFERROR(VLOOKUP($D875,UNCTAD!$C$5:$V$529,4,FALSE),"..")</f>
        <v>..</v>
      </c>
      <c r="BF875" s="846" t="str">
        <f t="shared" si="144"/>
        <v>..</v>
      </c>
      <c r="BG875" s="117">
        <f>VLOOKUP($D875,'WB Data'!$C$3:$M$578,5,FALSE)</f>
        <v>310550000</v>
      </c>
      <c r="BH875" s="129">
        <f>IFERROR($BB875/$BG875,"..")</f>
        <v>8.4109808404443723E-2</v>
      </c>
      <c r="BI875" s="117">
        <f>IFERROR(VLOOKUP($D875,'WB Data'!$C$3:$M$578,7,FALSE)/100,"..")</f>
        <v>5.5498599999999995E-2</v>
      </c>
      <c r="BJ875" s="117">
        <f>IFERROR($BI875*$AW875,"..")</f>
        <v>157292405.52637541</v>
      </c>
      <c r="BK875" s="846">
        <f>IFERROR($BB875/$BJ875,"..")</f>
        <v>0.16606206073706492</v>
      </c>
      <c r="BL875" s="117">
        <f>IFERROR(VLOOKUP($D875,'WB Data'!$C$3:$M$578,7,FALSE)/100,"..")</f>
        <v>5.5498599999999995E-2</v>
      </c>
      <c r="BM875" s="117">
        <f>IFERROR($AW875*$BL875,"..")</f>
        <v>157292405.52637541</v>
      </c>
      <c r="BN875" s="846">
        <f>IFERROR($BB875/$BM875,"..")</f>
        <v>0.16606206073706492</v>
      </c>
      <c r="BO875" s="801" t="str">
        <f t="shared" si="140"/>
        <v>..</v>
      </c>
      <c r="BP875" s="117">
        <f>VLOOKUP($D875,'WB Data'!$C$3:$M$578,9,FALSE)</f>
        <v>39.9</v>
      </c>
      <c r="BQ875" s="117">
        <f>VLOOKUP($D875,'WB Data'!$C$3:$M$578,10,FALSE)</f>
        <v>67.695121951219505</v>
      </c>
      <c r="BR875" s="117">
        <f>VLOOKUP($D875,'WB Data'!$C$3:$M$578,11,FALSE)</f>
        <v>33.1</v>
      </c>
      <c r="BS875" s="129">
        <f>IFERROR(VLOOKUP($D875,'WB Data 2'!$C$2:$K$545,9,FALSE),"..")</f>
        <v>96.313199999999995</v>
      </c>
      <c r="BT875" s="129" t="str">
        <f>_xlfn.IFNA(VLOOKUP($C875,RGI!$A$2:$C$43,2,FALSE),"..")</f>
        <v>..</v>
      </c>
      <c r="BU875" s="129" t="str">
        <f>_xlfn.IFNA(VLOOKUP($C875,RGI!$A$2:$C$43,3,FALSE),"..")</f>
        <v>..</v>
      </c>
      <c r="BV875" s="129">
        <f>VLOOKUP($D875,WGI!$C$2:$O$478,7,FALSE)</f>
        <v>-0.73458801683765396</v>
      </c>
      <c r="BW875" s="129">
        <f>VLOOKUP($D875,WGI!$C$2:$O$478,4,FALSE)</f>
        <v>-1.3758674382674601</v>
      </c>
      <c r="BX875" s="129">
        <f>VLOOKUP($D875,WGI!$C$2:$O$478,3,FALSE)</f>
        <v>-0.77730986159114102</v>
      </c>
      <c r="BY875" s="129">
        <f>VLOOKUP($D875,WGI!$C$2:$O$478,5,FALSE)</f>
        <v>-0.63413667060158896</v>
      </c>
      <c r="BZ875" s="129">
        <f>VLOOKUP($D875,WGI!$C$2:$O$478,2,FALSE)</f>
        <v>-1.2613129733617701</v>
      </c>
      <c r="CB875" s="129"/>
    </row>
    <row r="876" spans="1:80" s="120" customFormat="1" ht="15" customHeight="1">
      <c r="A876" s="294" t="s">
        <v>288</v>
      </c>
      <c r="B876" s="117">
        <v>2006</v>
      </c>
      <c r="C876" s="117" t="s">
        <v>285</v>
      </c>
      <c r="D876" s="117" t="s">
        <v>3533</v>
      </c>
      <c r="E876" s="452" t="s">
        <v>39</v>
      </c>
      <c r="F876" s="117"/>
      <c r="G876" s="117" t="s">
        <v>24</v>
      </c>
      <c r="H876" s="117" t="str">
        <f t="shared" si="145"/>
        <v>yes</v>
      </c>
      <c r="I876" s="117" t="str">
        <f t="shared" si="146"/>
        <v>no</v>
      </c>
      <c r="J876" s="117" t="str">
        <f t="shared" si="147"/>
        <v>no</v>
      </c>
      <c r="K876" s="117" t="s">
        <v>1230</v>
      </c>
      <c r="L876" s="117" t="str">
        <f t="shared" si="148"/>
        <v>detailed</v>
      </c>
      <c r="M876" s="117" t="str">
        <f t="shared" si="149"/>
        <v>detailed Mining</v>
      </c>
      <c r="N876" s="118">
        <v>400000</v>
      </c>
      <c r="O876" s="118"/>
      <c r="P876" s="118"/>
      <c r="Q876" s="118"/>
      <c r="R876" s="118"/>
      <c r="S876" s="117" t="s">
        <v>610</v>
      </c>
      <c r="T876" s="119">
        <v>131</v>
      </c>
      <c r="U876" s="117" t="s">
        <v>611</v>
      </c>
      <c r="V876" s="117" t="s">
        <v>1501</v>
      </c>
      <c r="W876" s="89">
        <f t="shared" si="152"/>
        <v>52400000</v>
      </c>
      <c r="X876" s="117"/>
      <c r="Y876" s="117"/>
      <c r="Z876" s="117"/>
      <c r="AA876" s="177"/>
      <c r="AB876" s="177"/>
      <c r="AC876" s="122"/>
      <c r="AD876" s="122"/>
      <c r="AE876" s="122"/>
      <c r="AF876" s="123"/>
      <c r="AG876" s="117"/>
      <c r="AH876" s="124"/>
      <c r="AI876" s="117"/>
      <c r="AJ876" s="117"/>
      <c r="AK876" s="89"/>
      <c r="AL876" s="117"/>
      <c r="AM876" s="117"/>
      <c r="AN876" s="117"/>
      <c r="AO876" s="117"/>
      <c r="AP876" s="117"/>
      <c r="AQ876" s="117"/>
      <c r="AR876" s="126"/>
      <c r="AS876" s="117"/>
      <c r="AT876" s="117"/>
      <c r="AU876" s="117"/>
      <c r="AV876" s="128" t="s">
        <v>1499</v>
      </c>
      <c r="AW876" s="117">
        <f>VLOOKUP($D876,'WB Data'!$C$3:$M$578,2,FALSE)</f>
        <v>2834168889.4201913</v>
      </c>
      <c r="AX876" s="117">
        <f>VLOOKUP($D876,'WB Data'!$C$3:$M$578,3,FALSE)</f>
        <v>5218400</v>
      </c>
      <c r="AY876" s="847">
        <f t="shared" si="141"/>
        <v>9.216211884022071E-3</v>
      </c>
      <c r="AZ876" s="117">
        <f>VLOOKUP($D876,'WB Data'!$C$3:$M$578,4,FALSE)/100</f>
        <v>0.16467632980990352</v>
      </c>
      <c r="BA876" s="117">
        <f t="shared" si="142"/>
        <v>466720530.7711274</v>
      </c>
      <c r="BB876" s="129">
        <f>IFERROR(VLOOKUP($D876,'EITI Revenues'!$C$2:$G$224,5,FALSE),"..")</f>
        <v>26120301</v>
      </c>
      <c r="BC876" s="846">
        <f t="shared" si="143"/>
        <v>5.5965613847848907E-2</v>
      </c>
      <c r="BD876" s="129">
        <f>VLOOKUP($D876,'WB Data 2'!$C$2:$K$545,6,FALSE)</f>
        <v>212081358.42616799</v>
      </c>
      <c r="BE876" s="129" t="str">
        <f>IFERROR(VLOOKUP($D876,UNCTAD!$C$5:$V$529,4,FALSE),"..")</f>
        <v>..</v>
      </c>
      <c r="BF876" s="846" t="str">
        <f t="shared" si="144"/>
        <v>..</v>
      </c>
      <c r="BG876" s="117">
        <f>VLOOKUP($D876,'WB Data'!$C$3:$M$578,5,FALSE)</f>
        <v>310550000</v>
      </c>
      <c r="BH876" s="129">
        <f>IFERROR($BB876/$BG876,"..")</f>
        <v>8.4109808404443723E-2</v>
      </c>
      <c r="BI876" s="117">
        <f>IFERROR(VLOOKUP($D876,'WB Data'!$C$3:$M$578,7,FALSE)/100,"..")</f>
        <v>5.5498599999999995E-2</v>
      </c>
      <c r="BJ876" s="117">
        <f>IFERROR($BI876*$AW876,"..")</f>
        <v>157292405.52637541</v>
      </c>
      <c r="BK876" s="846">
        <f>IFERROR($BB876/$BJ876,"..")</f>
        <v>0.16606206073706492</v>
      </c>
      <c r="BL876" s="117">
        <f>IFERROR(VLOOKUP($D876,'WB Data'!$C$3:$M$578,7,FALSE)/100,"..")</f>
        <v>5.5498599999999995E-2</v>
      </c>
      <c r="BM876" s="117">
        <f>IFERROR($AW876*$BL876,"..")</f>
        <v>157292405.52637541</v>
      </c>
      <c r="BN876" s="846">
        <f>IFERROR($BB876/$BM876,"..")</f>
        <v>0.16606206073706492</v>
      </c>
      <c r="BO876" s="801" t="str">
        <f t="shared" si="140"/>
        <v>..</v>
      </c>
      <c r="BP876" s="117">
        <f>VLOOKUP($D876,'WB Data'!$C$3:$M$578,9,FALSE)</f>
        <v>39.9</v>
      </c>
      <c r="BQ876" s="117">
        <f>VLOOKUP($D876,'WB Data'!$C$3:$M$578,10,FALSE)</f>
        <v>67.695121951219505</v>
      </c>
      <c r="BR876" s="117">
        <f>VLOOKUP($D876,'WB Data'!$C$3:$M$578,11,FALSE)</f>
        <v>33.1</v>
      </c>
      <c r="BS876" s="129">
        <f>IFERROR(VLOOKUP($D876,'WB Data 2'!$C$2:$K$545,9,FALSE),"..")</f>
        <v>96.313199999999995</v>
      </c>
      <c r="BT876" s="129" t="str">
        <f>_xlfn.IFNA(VLOOKUP($C876,RGI!$A$2:$C$43,2,FALSE),"..")</f>
        <v>..</v>
      </c>
      <c r="BU876" s="129" t="str">
        <f>_xlfn.IFNA(VLOOKUP($C876,RGI!$A$2:$C$43,3,FALSE),"..")</f>
        <v>..</v>
      </c>
      <c r="BV876" s="129">
        <f>VLOOKUP($D876,WGI!$C$2:$O$478,7,FALSE)</f>
        <v>-0.73458801683765396</v>
      </c>
      <c r="BW876" s="129">
        <f>VLOOKUP($D876,WGI!$C$2:$O$478,4,FALSE)</f>
        <v>-1.3758674382674601</v>
      </c>
      <c r="BX876" s="129">
        <f>VLOOKUP($D876,WGI!$C$2:$O$478,3,FALSE)</f>
        <v>-0.77730986159114102</v>
      </c>
      <c r="BY876" s="129">
        <f>VLOOKUP($D876,WGI!$C$2:$O$478,5,FALSE)</f>
        <v>-0.63413667060158896</v>
      </c>
      <c r="BZ876" s="129">
        <f>VLOOKUP($D876,WGI!$C$2:$O$478,2,FALSE)</f>
        <v>-1.2613129733617701</v>
      </c>
      <c r="CB876" s="129"/>
    </row>
    <row r="877" spans="1:80" s="120" customFormat="1" ht="15" customHeight="1">
      <c r="A877" s="294" t="s">
        <v>288</v>
      </c>
      <c r="B877" s="117">
        <v>2006</v>
      </c>
      <c r="C877" s="117" t="s">
        <v>285</v>
      </c>
      <c r="D877" s="117" t="s">
        <v>3533</v>
      </c>
      <c r="E877" s="452" t="s">
        <v>39</v>
      </c>
      <c r="F877" s="117"/>
      <c r="G877" s="117" t="s">
        <v>24</v>
      </c>
      <c r="H877" s="117" t="str">
        <f t="shared" si="145"/>
        <v>yes</v>
      </c>
      <c r="I877" s="117" t="str">
        <f t="shared" si="146"/>
        <v>no</v>
      </c>
      <c r="J877" s="117" t="str">
        <f t="shared" si="147"/>
        <v>no</v>
      </c>
      <c r="K877" s="117" t="s">
        <v>1488</v>
      </c>
      <c r="L877" s="117" t="str">
        <f t="shared" si="148"/>
        <v>detailed</v>
      </c>
      <c r="M877" s="117" t="str">
        <f t="shared" si="149"/>
        <v>detailed Mining</v>
      </c>
      <c r="N877" s="118">
        <v>9900</v>
      </c>
      <c r="O877" s="118"/>
      <c r="P877" s="118"/>
      <c r="Q877" s="118"/>
      <c r="R877" s="118"/>
      <c r="S877" s="117" t="s">
        <v>610</v>
      </c>
      <c r="T877" s="119">
        <v>88.2</v>
      </c>
      <c r="U877" s="117" t="s">
        <v>611</v>
      </c>
      <c r="V877" s="117" t="s">
        <v>1502</v>
      </c>
      <c r="W877" s="89">
        <f t="shared" si="152"/>
        <v>873180</v>
      </c>
      <c r="X877" s="117"/>
      <c r="Y877" s="117"/>
      <c r="Z877" s="117"/>
      <c r="AA877" s="177"/>
      <c r="AB877" s="177"/>
      <c r="AC877" s="122"/>
      <c r="AD877" s="122"/>
      <c r="AE877" s="122"/>
      <c r="AF877" s="123"/>
      <c r="AG877" s="117"/>
      <c r="AH877" s="124"/>
      <c r="AI877" s="117"/>
      <c r="AJ877" s="117"/>
      <c r="AK877" s="89"/>
      <c r="AL877" s="117"/>
      <c r="AM877" s="117"/>
      <c r="AN877" s="117"/>
      <c r="AO877" s="117"/>
      <c r="AP877" s="117"/>
      <c r="AQ877" s="117"/>
      <c r="AR877" s="126"/>
      <c r="AS877" s="117"/>
      <c r="AT877" s="117"/>
      <c r="AU877" s="117"/>
      <c r="AV877" s="128" t="s">
        <v>1499</v>
      </c>
      <c r="AW877" s="117">
        <f>VLOOKUP($D877,'WB Data'!$C$3:$M$578,2,FALSE)</f>
        <v>2834168889.4201913</v>
      </c>
      <c r="AX877" s="117">
        <f>VLOOKUP($D877,'WB Data'!$C$3:$M$578,3,FALSE)</f>
        <v>5218400</v>
      </c>
      <c r="AY877" s="847">
        <f t="shared" si="141"/>
        <v>9.216211884022071E-3</v>
      </c>
      <c r="AZ877" s="117">
        <f>VLOOKUP($D877,'WB Data'!$C$3:$M$578,4,FALSE)/100</f>
        <v>0.16467632980990352</v>
      </c>
      <c r="BA877" s="117">
        <f t="shared" si="142"/>
        <v>466720530.7711274</v>
      </c>
      <c r="BB877" s="129">
        <f>IFERROR(VLOOKUP($D877,'EITI Revenues'!$C$2:$G$224,5,FALSE),"..")</f>
        <v>26120301</v>
      </c>
      <c r="BC877" s="846">
        <f t="shared" si="143"/>
        <v>5.5965613847848907E-2</v>
      </c>
      <c r="BD877" s="129">
        <f>VLOOKUP($D877,'WB Data 2'!$C$2:$K$545,6,FALSE)</f>
        <v>212081358.42616799</v>
      </c>
      <c r="BE877" s="129" t="str">
        <f>IFERROR(VLOOKUP($D877,UNCTAD!$C$5:$V$529,4,FALSE),"..")</f>
        <v>..</v>
      </c>
      <c r="BF877" s="846" t="str">
        <f t="shared" si="144"/>
        <v>..</v>
      </c>
      <c r="BG877" s="117">
        <f>VLOOKUP($D877,'WB Data'!$C$3:$M$578,5,FALSE)</f>
        <v>310550000</v>
      </c>
      <c r="BH877" s="129">
        <f>IFERROR($BB877/$BG877,"..")</f>
        <v>8.4109808404443723E-2</v>
      </c>
      <c r="BI877" s="117">
        <f>IFERROR(VLOOKUP($D877,'WB Data'!$C$3:$M$578,7,FALSE)/100,"..")</f>
        <v>5.5498599999999995E-2</v>
      </c>
      <c r="BJ877" s="117">
        <f>IFERROR($BI877*$AW877,"..")</f>
        <v>157292405.52637541</v>
      </c>
      <c r="BK877" s="846">
        <f>IFERROR($BB877/$BJ877,"..")</f>
        <v>0.16606206073706492</v>
      </c>
      <c r="BL877" s="117">
        <f>IFERROR(VLOOKUP($D877,'WB Data'!$C$3:$M$578,7,FALSE)/100,"..")</f>
        <v>5.5498599999999995E-2</v>
      </c>
      <c r="BM877" s="117">
        <f>IFERROR($AW877*$BL877,"..")</f>
        <v>157292405.52637541</v>
      </c>
      <c r="BN877" s="846">
        <f>IFERROR($BB877/$BM877,"..")</f>
        <v>0.16606206073706492</v>
      </c>
      <c r="BO877" s="801" t="str">
        <f t="shared" si="140"/>
        <v>..</v>
      </c>
      <c r="BP877" s="117">
        <f>VLOOKUP($D877,'WB Data'!$C$3:$M$578,9,FALSE)</f>
        <v>39.9</v>
      </c>
      <c r="BQ877" s="117">
        <f>VLOOKUP($D877,'WB Data'!$C$3:$M$578,10,FALSE)</f>
        <v>67.695121951219505</v>
      </c>
      <c r="BR877" s="117">
        <f>VLOOKUP($D877,'WB Data'!$C$3:$M$578,11,FALSE)</f>
        <v>33.1</v>
      </c>
      <c r="BS877" s="129">
        <f>IFERROR(VLOOKUP($D877,'WB Data 2'!$C$2:$K$545,9,FALSE),"..")</f>
        <v>96.313199999999995</v>
      </c>
      <c r="BT877" s="129" t="str">
        <f>_xlfn.IFNA(VLOOKUP($C877,RGI!$A$2:$C$43,2,FALSE),"..")</f>
        <v>..</v>
      </c>
      <c r="BU877" s="129" t="str">
        <f>_xlfn.IFNA(VLOOKUP($C877,RGI!$A$2:$C$43,3,FALSE),"..")</f>
        <v>..</v>
      </c>
      <c r="BV877" s="129">
        <f>VLOOKUP($D877,WGI!$C$2:$O$478,7,FALSE)</f>
        <v>-0.73458801683765396</v>
      </c>
      <c r="BW877" s="129">
        <f>VLOOKUP($D877,WGI!$C$2:$O$478,4,FALSE)</f>
        <v>-1.3758674382674601</v>
      </c>
      <c r="BX877" s="129">
        <f>VLOOKUP($D877,WGI!$C$2:$O$478,3,FALSE)</f>
        <v>-0.77730986159114102</v>
      </c>
      <c r="BY877" s="129">
        <f>VLOOKUP($D877,WGI!$C$2:$O$478,5,FALSE)</f>
        <v>-0.63413667060158896</v>
      </c>
      <c r="BZ877" s="129">
        <f>VLOOKUP($D877,WGI!$C$2:$O$478,2,FALSE)</f>
        <v>-1.2613129733617701</v>
      </c>
      <c r="CB877" s="129"/>
    </row>
    <row r="878" spans="1:80" s="120" customFormat="1" ht="15" customHeight="1">
      <c r="A878" s="294" t="s">
        <v>288</v>
      </c>
      <c r="B878" s="117">
        <v>2006</v>
      </c>
      <c r="C878" s="117" t="s">
        <v>285</v>
      </c>
      <c r="D878" s="117" t="s">
        <v>3533</v>
      </c>
      <c r="E878" s="452" t="s">
        <v>39</v>
      </c>
      <c r="F878" s="117"/>
      <c r="G878" s="117" t="s">
        <v>24</v>
      </c>
      <c r="H878" s="117" t="str">
        <f t="shared" si="145"/>
        <v>yes</v>
      </c>
      <c r="I878" s="117" t="str">
        <f t="shared" si="146"/>
        <v>no</v>
      </c>
      <c r="J878" s="117" t="str">
        <f t="shared" si="147"/>
        <v>no</v>
      </c>
      <c r="K878" s="117" t="s">
        <v>1491</v>
      </c>
      <c r="L878" s="117" t="str">
        <f t="shared" si="148"/>
        <v>detailed</v>
      </c>
      <c r="M878" s="117" t="str">
        <f t="shared" si="149"/>
        <v>detailed Mining</v>
      </c>
      <c r="N878" s="118">
        <v>250</v>
      </c>
      <c r="O878" s="118"/>
      <c r="P878" s="118"/>
      <c r="Q878" s="118"/>
      <c r="R878" s="118"/>
      <c r="S878" s="117" t="s">
        <v>610</v>
      </c>
      <c r="T878" s="119">
        <f>670/0.035</f>
        <v>19142.857142857141</v>
      </c>
      <c r="U878" s="117" t="s">
        <v>611</v>
      </c>
      <c r="V878" s="117" t="s">
        <v>1503</v>
      </c>
      <c r="W878" s="89">
        <f t="shared" si="152"/>
        <v>4785714.2857142854</v>
      </c>
      <c r="X878" s="117"/>
      <c r="Y878" s="117"/>
      <c r="Z878" s="117"/>
      <c r="AA878" s="177"/>
      <c r="AB878" s="177"/>
      <c r="AC878" s="122"/>
      <c r="AD878" s="122"/>
      <c r="AE878" s="122"/>
      <c r="AF878" s="123"/>
      <c r="AG878" s="117"/>
      <c r="AH878" s="124"/>
      <c r="AI878" s="117"/>
      <c r="AJ878" s="117"/>
      <c r="AK878" s="89"/>
      <c r="AL878" s="117"/>
      <c r="AM878" s="117"/>
      <c r="AN878" s="117"/>
      <c r="AO878" s="117"/>
      <c r="AP878" s="117"/>
      <c r="AQ878" s="117"/>
      <c r="AR878" s="126"/>
      <c r="AS878" s="117"/>
      <c r="AT878" s="117"/>
      <c r="AU878" s="117"/>
      <c r="AV878" s="128" t="s">
        <v>1499</v>
      </c>
      <c r="AW878" s="117">
        <f>VLOOKUP($D878,'WB Data'!$C$3:$M$578,2,FALSE)</f>
        <v>2834168889.4201913</v>
      </c>
      <c r="AX878" s="117">
        <f>VLOOKUP($D878,'WB Data'!$C$3:$M$578,3,FALSE)</f>
        <v>5218400</v>
      </c>
      <c r="AY878" s="847">
        <f t="shared" si="141"/>
        <v>9.216211884022071E-3</v>
      </c>
      <c r="AZ878" s="117">
        <f>VLOOKUP($D878,'WB Data'!$C$3:$M$578,4,FALSE)/100</f>
        <v>0.16467632980990352</v>
      </c>
      <c r="BA878" s="117">
        <f t="shared" si="142"/>
        <v>466720530.7711274</v>
      </c>
      <c r="BB878" s="129">
        <f>IFERROR(VLOOKUP($D878,'EITI Revenues'!$C$2:$G$224,5,FALSE),"..")</f>
        <v>26120301</v>
      </c>
      <c r="BC878" s="846">
        <f t="shared" si="143"/>
        <v>5.5965613847848907E-2</v>
      </c>
      <c r="BD878" s="129">
        <f>VLOOKUP($D878,'WB Data 2'!$C$2:$K$545,6,FALSE)</f>
        <v>212081358.42616799</v>
      </c>
      <c r="BE878" s="129" t="str">
        <f>IFERROR(VLOOKUP($D878,UNCTAD!$C$5:$V$529,4,FALSE),"..")</f>
        <v>..</v>
      </c>
      <c r="BF878" s="846" t="str">
        <f t="shared" si="144"/>
        <v>..</v>
      </c>
      <c r="BG878" s="117">
        <f>VLOOKUP($D878,'WB Data'!$C$3:$M$578,5,FALSE)</f>
        <v>310550000</v>
      </c>
      <c r="BH878" s="129">
        <f>IFERROR($BB878/$BG878,"..")</f>
        <v>8.4109808404443723E-2</v>
      </c>
      <c r="BI878" s="117">
        <f>IFERROR(VLOOKUP($D878,'WB Data'!$C$3:$M$578,7,FALSE)/100,"..")</f>
        <v>5.5498599999999995E-2</v>
      </c>
      <c r="BJ878" s="117">
        <f>IFERROR($BI878*$AW878,"..")</f>
        <v>157292405.52637541</v>
      </c>
      <c r="BK878" s="846">
        <f>IFERROR($BB878/$BJ878,"..")</f>
        <v>0.16606206073706492</v>
      </c>
      <c r="BL878" s="117">
        <f>IFERROR(VLOOKUP($D878,'WB Data'!$C$3:$M$578,7,FALSE)/100,"..")</f>
        <v>5.5498599999999995E-2</v>
      </c>
      <c r="BM878" s="117">
        <f>IFERROR($AW878*$BL878,"..")</f>
        <v>157292405.52637541</v>
      </c>
      <c r="BN878" s="846">
        <f>IFERROR($BB878/$BM878,"..")</f>
        <v>0.16606206073706492</v>
      </c>
      <c r="BO878" s="801" t="str">
        <f t="shared" si="140"/>
        <v>..</v>
      </c>
      <c r="BP878" s="117">
        <f>VLOOKUP($D878,'WB Data'!$C$3:$M$578,9,FALSE)</f>
        <v>39.9</v>
      </c>
      <c r="BQ878" s="117">
        <f>VLOOKUP($D878,'WB Data'!$C$3:$M$578,10,FALSE)</f>
        <v>67.695121951219505</v>
      </c>
      <c r="BR878" s="117">
        <f>VLOOKUP($D878,'WB Data'!$C$3:$M$578,11,FALSE)</f>
        <v>33.1</v>
      </c>
      <c r="BS878" s="129">
        <f>IFERROR(VLOOKUP($D878,'WB Data 2'!$C$2:$K$545,9,FALSE),"..")</f>
        <v>96.313199999999995</v>
      </c>
      <c r="BT878" s="129" t="str">
        <f>_xlfn.IFNA(VLOOKUP($C878,RGI!$A$2:$C$43,2,FALSE),"..")</f>
        <v>..</v>
      </c>
      <c r="BU878" s="129" t="str">
        <f>_xlfn.IFNA(VLOOKUP($C878,RGI!$A$2:$C$43,3,FALSE),"..")</f>
        <v>..</v>
      </c>
      <c r="BV878" s="129">
        <f>VLOOKUP($D878,WGI!$C$2:$O$478,7,FALSE)</f>
        <v>-0.73458801683765396</v>
      </c>
      <c r="BW878" s="129">
        <f>VLOOKUP($D878,WGI!$C$2:$O$478,4,FALSE)</f>
        <v>-1.3758674382674601</v>
      </c>
      <c r="BX878" s="129">
        <f>VLOOKUP($D878,WGI!$C$2:$O$478,3,FALSE)</f>
        <v>-0.77730986159114102</v>
      </c>
      <c r="BY878" s="129">
        <f>VLOOKUP($D878,WGI!$C$2:$O$478,5,FALSE)</f>
        <v>-0.63413667060158896</v>
      </c>
      <c r="BZ878" s="129">
        <f>VLOOKUP($D878,WGI!$C$2:$O$478,2,FALSE)</f>
        <v>-1.2613129733617701</v>
      </c>
      <c r="CB878" s="129"/>
    </row>
    <row r="879" spans="1:80" s="120" customFormat="1" ht="15" customHeight="1">
      <c r="A879" s="294" t="s">
        <v>288</v>
      </c>
      <c r="B879" s="117">
        <v>2006</v>
      </c>
      <c r="C879" s="117" t="s">
        <v>285</v>
      </c>
      <c r="D879" s="117" t="s">
        <v>3533</v>
      </c>
      <c r="E879" s="452" t="s">
        <v>39</v>
      </c>
      <c r="F879" s="117"/>
      <c r="G879" s="117" t="s">
        <v>24</v>
      </c>
      <c r="H879" s="117" t="str">
        <f t="shared" si="145"/>
        <v>yes</v>
      </c>
      <c r="I879" s="117" t="str">
        <f t="shared" si="146"/>
        <v>no</v>
      </c>
      <c r="J879" s="117" t="str">
        <f t="shared" si="147"/>
        <v>no</v>
      </c>
      <c r="K879" s="117" t="s">
        <v>1493</v>
      </c>
      <c r="L879" s="117" t="str">
        <f t="shared" si="148"/>
        <v>detailed</v>
      </c>
      <c r="M879" s="117" t="str">
        <f t="shared" si="149"/>
        <v>detailed Mining</v>
      </c>
      <c r="N879" s="118">
        <v>250</v>
      </c>
      <c r="O879" s="118"/>
      <c r="P879" s="118"/>
      <c r="Q879" s="118"/>
      <c r="R879" s="118"/>
      <c r="S879" s="117" t="s">
        <v>610</v>
      </c>
      <c r="T879" s="119">
        <v>54620</v>
      </c>
      <c r="U879" s="117" t="s">
        <v>611</v>
      </c>
      <c r="V879" s="117" t="s">
        <v>1503</v>
      </c>
      <c r="W879" s="89">
        <f t="shared" si="152"/>
        <v>13655000</v>
      </c>
      <c r="X879" s="117"/>
      <c r="Y879" s="117"/>
      <c r="Z879" s="117"/>
      <c r="AA879" s="177"/>
      <c r="AB879" s="177"/>
      <c r="AC879" s="122"/>
      <c r="AD879" s="122"/>
      <c r="AE879" s="122"/>
      <c r="AF879" s="123"/>
      <c r="AG879" s="117"/>
      <c r="AH879" s="124"/>
      <c r="AI879" s="117"/>
      <c r="AJ879" s="117"/>
      <c r="AK879" s="89"/>
      <c r="AL879" s="117"/>
      <c r="AM879" s="117"/>
      <c r="AN879" s="117"/>
      <c r="AO879" s="117"/>
      <c r="AP879" s="117"/>
      <c r="AQ879" s="117"/>
      <c r="AR879" s="126"/>
      <c r="AS879" s="117"/>
      <c r="AT879" s="117"/>
      <c r="AU879" s="117"/>
      <c r="AV879" s="128" t="s">
        <v>1499</v>
      </c>
      <c r="AW879" s="117">
        <f>VLOOKUP($D879,'WB Data'!$C$3:$M$578,2,FALSE)</f>
        <v>2834168889.4201913</v>
      </c>
      <c r="AX879" s="117">
        <f>VLOOKUP($D879,'WB Data'!$C$3:$M$578,3,FALSE)</f>
        <v>5218400</v>
      </c>
      <c r="AY879" s="847">
        <f t="shared" si="141"/>
        <v>9.216211884022071E-3</v>
      </c>
      <c r="AZ879" s="117">
        <f>VLOOKUP($D879,'WB Data'!$C$3:$M$578,4,FALSE)/100</f>
        <v>0.16467632980990352</v>
      </c>
      <c r="BA879" s="117">
        <f t="shared" si="142"/>
        <v>466720530.7711274</v>
      </c>
      <c r="BB879" s="129">
        <f>IFERROR(VLOOKUP($D879,'EITI Revenues'!$C$2:$G$224,5,FALSE),"..")</f>
        <v>26120301</v>
      </c>
      <c r="BC879" s="846">
        <f t="shared" si="143"/>
        <v>5.5965613847848907E-2</v>
      </c>
      <c r="BD879" s="129">
        <f>VLOOKUP($D879,'WB Data 2'!$C$2:$K$545,6,FALSE)</f>
        <v>212081358.42616799</v>
      </c>
      <c r="BE879" s="129" t="str">
        <f>IFERROR(VLOOKUP($D879,UNCTAD!$C$5:$V$529,4,FALSE),"..")</f>
        <v>..</v>
      </c>
      <c r="BF879" s="846" t="str">
        <f t="shared" si="144"/>
        <v>..</v>
      </c>
      <c r="BG879" s="117">
        <f>VLOOKUP($D879,'WB Data'!$C$3:$M$578,5,FALSE)</f>
        <v>310550000</v>
      </c>
      <c r="BH879" s="129">
        <f>IFERROR($BB879/$BG879,"..")</f>
        <v>8.4109808404443723E-2</v>
      </c>
      <c r="BI879" s="117">
        <f>IFERROR(VLOOKUP($D879,'WB Data'!$C$3:$M$578,7,FALSE)/100,"..")</f>
        <v>5.5498599999999995E-2</v>
      </c>
      <c r="BJ879" s="117">
        <f>IFERROR($BI879*$AW879,"..")</f>
        <v>157292405.52637541</v>
      </c>
      <c r="BK879" s="846">
        <f>IFERROR($BB879/$BJ879,"..")</f>
        <v>0.16606206073706492</v>
      </c>
      <c r="BL879" s="117">
        <f>IFERROR(VLOOKUP($D879,'WB Data'!$C$3:$M$578,7,FALSE)/100,"..")</f>
        <v>5.5498599999999995E-2</v>
      </c>
      <c r="BM879" s="117">
        <f>IFERROR($AW879*$BL879,"..")</f>
        <v>157292405.52637541</v>
      </c>
      <c r="BN879" s="846">
        <f>IFERROR($BB879/$BM879,"..")</f>
        <v>0.16606206073706492</v>
      </c>
      <c r="BO879" s="801" t="str">
        <f t="shared" si="140"/>
        <v>..</v>
      </c>
      <c r="BP879" s="117">
        <f>VLOOKUP($D879,'WB Data'!$C$3:$M$578,9,FALSE)</f>
        <v>39.9</v>
      </c>
      <c r="BQ879" s="117">
        <f>VLOOKUP($D879,'WB Data'!$C$3:$M$578,10,FALSE)</f>
        <v>67.695121951219505</v>
      </c>
      <c r="BR879" s="117">
        <f>VLOOKUP($D879,'WB Data'!$C$3:$M$578,11,FALSE)</f>
        <v>33.1</v>
      </c>
      <c r="BS879" s="129">
        <f>IFERROR(VLOOKUP($D879,'WB Data 2'!$C$2:$K$545,9,FALSE),"..")</f>
        <v>96.313199999999995</v>
      </c>
      <c r="BT879" s="129" t="str">
        <f>_xlfn.IFNA(VLOOKUP($C879,RGI!$A$2:$C$43,2,FALSE),"..")</f>
        <v>..</v>
      </c>
      <c r="BU879" s="129" t="str">
        <f>_xlfn.IFNA(VLOOKUP($C879,RGI!$A$2:$C$43,3,FALSE),"..")</f>
        <v>..</v>
      </c>
      <c r="BV879" s="129">
        <f>VLOOKUP($D879,WGI!$C$2:$O$478,7,FALSE)</f>
        <v>-0.73458801683765396</v>
      </c>
      <c r="BW879" s="129">
        <f>VLOOKUP($D879,WGI!$C$2:$O$478,4,FALSE)</f>
        <v>-1.3758674382674601</v>
      </c>
      <c r="BX879" s="129">
        <f>VLOOKUP($D879,WGI!$C$2:$O$478,3,FALSE)</f>
        <v>-0.77730986159114102</v>
      </c>
      <c r="BY879" s="129">
        <f>VLOOKUP($D879,WGI!$C$2:$O$478,5,FALSE)</f>
        <v>-0.63413667060158896</v>
      </c>
      <c r="BZ879" s="129">
        <f>VLOOKUP($D879,WGI!$C$2:$O$478,2,FALSE)</f>
        <v>-1.2613129733617701</v>
      </c>
      <c r="CB879" s="129"/>
    </row>
    <row r="880" spans="1:80" s="158" customFormat="1" ht="15" customHeight="1">
      <c r="A880" s="295" t="s">
        <v>288</v>
      </c>
      <c r="B880" s="149">
        <v>2006</v>
      </c>
      <c r="C880" s="149" t="s">
        <v>285</v>
      </c>
      <c r="D880" s="117" t="s">
        <v>3533</v>
      </c>
      <c r="E880" s="453" t="s">
        <v>39</v>
      </c>
      <c r="F880" s="149"/>
      <c r="G880" s="149" t="s">
        <v>24</v>
      </c>
      <c r="H880" s="149" t="str">
        <f t="shared" si="145"/>
        <v>yes</v>
      </c>
      <c r="I880" s="149" t="str">
        <f t="shared" si="146"/>
        <v>no</v>
      </c>
      <c r="J880" s="149" t="str">
        <f t="shared" si="147"/>
        <v>no</v>
      </c>
      <c r="K880" s="149" t="s">
        <v>1496</v>
      </c>
      <c r="L880" s="149" t="str">
        <f t="shared" si="148"/>
        <v>detailed</v>
      </c>
      <c r="M880" s="149" t="str">
        <f t="shared" si="149"/>
        <v>detailed Mining</v>
      </c>
      <c r="N880" s="150">
        <f>514800*1.6</f>
        <v>823680</v>
      </c>
      <c r="O880" s="150"/>
      <c r="P880" s="150"/>
      <c r="Q880" s="150"/>
      <c r="R880" s="150"/>
      <c r="S880" s="149" t="s">
        <v>610</v>
      </c>
      <c r="T880" s="151">
        <v>6.47</v>
      </c>
      <c r="U880" s="149" t="s">
        <v>611</v>
      </c>
      <c r="V880" s="149" t="s">
        <v>1506</v>
      </c>
      <c r="W880" s="152">
        <f t="shared" si="152"/>
        <v>5329209.5999999996</v>
      </c>
      <c r="X880" s="149"/>
      <c r="Y880" s="149"/>
      <c r="Z880" s="149"/>
      <c r="AA880" s="284"/>
      <c r="AB880" s="284"/>
      <c r="AC880" s="154"/>
      <c r="AD880" s="154"/>
      <c r="AE880" s="154"/>
      <c r="AF880" s="155"/>
      <c r="AG880" s="149"/>
      <c r="AH880" s="156"/>
      <c r="AI880" s="149"/>
      <c r="AJ880" s="149"/>
      <c r="AK880" s="152"/>
      <c r="AL880" s="149"/>
      <c r="AM880" s="149"/>
      <c r="AN880" s="149"/>
      <c r="AO880" s="149"/>
      <c r="AP880" s="149"/>
      <c r="AQ880" s="149"/>
      <c r="AR880" s="220"/>
      <c r="AS880" s="149"/>
      <c r="AT880" s="149"/>
      <c r="AU880" s="149"/>
      <c r="AV880" s="157" t="s">
        <v>1499</v>
      </c>
      <c r="AW880" s="117">
        <f>VLOOKUP($D880,'WB Data'!$C$3:$M$578,2,FALSE)</f>
        <v>2834168889.4201913</v>
      </c>
      <c r="AX880" s="117">
        <f>VLOOKUP($D880,'WB Data'!$C$3:$M$578,3,FALSE)</f>
        <v>5218400</v>
      </c>
      <c r="AY880" s="847">
        <f t="shared" si="141"/>
        <v>9.216211884022071E-3</v>
      </c>
      <c r="AZ880" s="117">
        <f>VLOOKUP($D880,'WB Data'!$C$3:$M$578,4,FALSE)/100</f>
        <v>0.16467632980990352</v>
      </c>
      <c r="BA880" s="117">
        <f t="shared" si="142"/>
        <v>466720530.7711274</v>
      </c>
      <c r="BB880" s="129">
        <f>IFERROR(VLOOKUP($D880,'EITI Revenues'!$C$2:$G$224,5,FALSE),"..")</f>
        <v>26120301</v>
      </c>
      <c r="BC880" s="846">
        <f t="shared" si="143"/>
        <v>5.5965613847848907E-2</v>
      </c>
      <c r="BD880" s="129">
        <f>VLOOKUP($D880,'WB Data 2'!$C$2:$K$545,6,FALSE)</f>
        <v>212081358.42616799</v>
      </c>
      <c r="BE880" s="129" t="str">
        <f>IFERROR(VLOOKUP($D880,UNCTAD!$C$5:$V$529,4,FALSE),"..")</f>
        <v>..</v>
      </c>
      <c r="BF880" s="846" t="str">
        <f t="shared" si="144"/>
        <v>..</v>
      </c>
      <c r="BG880" s="117">
        <f>VLOOKUP($D880,'WB Data'!$C$3:$M$578,5,FALSE)</f>
        <v>310550000</v>
      </c>
      <c r="BH880" s="129">
        <f>IFERROR($BB880/$BG880,"..")</f>
        <v>8.4109808404443723E-2</v>
      </c>
      <c r="BI880" s="117">
        <f>IFERROR(VLOOKUP($D880,'WB Data'!$C$3:$M$578,7,FALSE)/100,"..")</f>
        <v>5.5498599999999995E-2</v>
      </c>
      <c r="BJ880" s="117">
        <f>IFERROR($BI880*$AW880,"..")</f>
        <v>157292405.52637541</v>
      </c>
      <c r="BK880" s="846">
        <f>IFERROR($BB880/$BJ880,"..")</f>
        <v>0.16606206073706492</v>
      </c>
      <c r="BL880" s="117">
        <f>IFERROR(VLOOKUP($D880,'WB Data'!$C$3:$M$578,7,FALSE)/100,"..")</f>
        <v>5.5498599999999995E-2</v>
      </c>
      <c r="BM880" s="117">
        <f>IFERROR($AW880*$BL880,"..")</f>
        <v>157292405.52637541</v>
      </c>
      <c r="BN880" s="846">
        <f>IFERROR($BB880/$BM880,"..")</f>
        <v>0.16606206073706492</v>
      </c>
      <c r="BO880" s="801" t="str">
        <f t="shared" si="140"/>
        <v>..</v>
      </c>
      <c r="BP880" s="117">
        <f>VLOOKUP($D880,'WB Data'!$C$3:$M$578,9,FALSE)</f>
        <v>39.9</v>
      </c>
      <c r="BQ880" s="117">
        <f>VLOOKUP($D880,'WB Data'!$C$3:$M$578,10,FALSE)</f>
        <v>67.695121951219505</v>
      </c>
      <c r="BR880" s="117">
        <f>VLOOKUP($D880,'WB Data'!$C$3:$M$578,11,FALSE)</f>
        <v>33.1</v>
      </c>
      <c r="BS880" s="129">
        <f>IFERROR(VLOOKUP($D880,'WB Data 2'!$C$2:$K$545,9,FALSE),"..")</f>
        <v>96.313199999999995</v>
      </c>
      <c r="BT880" s="129" t="str">
        <f>_xlfn.IFNA(VLOOKUP($C880,RGI!$A$2:$C$43,2,FALSE),"..")</f>
        <v>..</v>
      </c>
      <c r="BU880" s="129" t="str">
        <f>_xlfn.IFNA(VLOOKUP($C880,RGI!$A$2:$C$43,3,FALSE),"..")</f>
        <v>..</v>
      </c>
      <c r="BV880" s="129">
        <f>VLOOKUP($D880,WGI!$C$2:$O$478,7,FALSE)</f>
        <v>-0.73458801683765396</v>
      </c>
      <c r="BW880" s="129">
        <f>VLOOKUP($D880,WGI!$C$2:$O$478,4,FALSE)</f>
        <v>-1.3758674382674601</v>
      </c>
      <c r="BX880" s="129">
        <f>VLOOKUP($D880,WGI!$C$2:$O$478,3,FALSE)</f>
        <v>-0.77730986159114102</v>
      </c>
      <c r="BY880" s="129">
        <f>VLOOKUP($D880,WGI!$C$2:$O$478,5,FALSE)</f>
        <v>-0.63413667060158896</v>
      </c>
      <c r="BZ880" s="129">
        <f>VLOOKUP($D880,WGI!$C$2:$O$478,2,FALSE)</f>
        <v>-1.2613129733617701</v>
      </c>
      <c r="CB880" s="129"/>
    </row>
    <row r="881" spans="1:80" s="120" customFormat="1" ht="15" customHeight="1">
      <c r="A881" s="294" t="s">
        <v>289</v>
      </c>
      <c r="B881" s="117">
        <v>2007</v>
      </c>
      <c r="C881" s="117" t="s">
        <v>285</v>
      </c>
      <c r="D881" s="117" t="s">
        <v>3567</v>
      </c>
      <c r="E881" s="452" t="s">
        <v>39</v>
      </c>
      <c r="F881" s="117" t="s">
        <v>1467</v>
      </c>
      <c r="G881" s="117" t="s">
        <v>24</v>
      </c>
      <c r="H881" s="117" t="str">
        <f t="shared" si="145"/>
        <v>yes</v>
      </c>
      <c r="I881" s="117" t="str">
        <f t="shared" si="146"/>
        <v>no</v>
      </c>
      <c r="J881" s="117" t="str">
        <f t="shared" si="147"/>
        <v>no</v>
      </c>
      <c r="K881" s="117" t="s">
        <v>709</v>
      </c>
      <c r="L881" s="117" t="str">
        <f t="shared" si="148"/>
        <v>Total</v>
      </c>
      <c r="M881" s="117" t="str">
        <f t="shared" si="149"/>
        <v>Total Mining</v>
      </c>
      <c r="N881" s="118"/>
      <c r="O881" s="118"/>
      <c r="P881" s="118"/>
      <c r="Q881" s="118"/>
      <c r="R881" s="118"/>
      <c r="S881" s="117"/>
      <c r="T881" s="119"/>
      <c r="U881" s="117"/>
      <c r="V881" s="117"/>
      <c r="W881" s="89">
        <f>SUM(W882:W889)</f>
        <v>348516282.12970024</v>
      </c>
      <c r="X881" s="117" t="s">
        <v>633</v>
      </c>
      <c r="Y881" s="117" t="s">
        <v>602</v>
      </c>
      <c r="Z881" s="117" t="s">
        <v>603</v>
      </c>
      <c r="AA881" s="334">
        <v>28210188</v>
      </c>
      <c r="AB881" s="334">
        <v>37580429</v>
      </c>
      <c r="AC881" s="122"/>
      <c r="AD881" s="122"/>
      <c r="AE881" s="122"/>
      <c r="AF881" s="123">
        <f>AA881/W881</f>
        <v>8.0943673069201361E-2</v>
      </c>
      <c r="AG881" s="117" t="s">
        <v>1480</v>
      </c>
      <c r="AH881" s="124">
        <v>37.299999999999997</v>
      </c>
      <c r="AI881" s="117" t="s">
        <v>667</v>
      </c>
      <c r="AJ881" s="117"/>
      <c r="AK881" s="89"/>
      <c r="AL881" s="117"/>
      <c r="AM881" s="117"/>
      <c r="AN881" s="117">
        <v>6</v>
      </c>
      <c r="AO881" s="117" t="s">
        <v>943</v>
      </c>
      <c r="AP881" s="117">
        <v>6</v>
      </c>
      <c r="AQ881" s="117" t="s">
        <v>172</v>
      </c>
      <c r="AR881" s="126">
        <v>41911</v>
      </c>
      <c r="AS881" s="117" t="s">
        <v>1481</v>
      </c>
      <c r="AT881" s="117" t="s">
        <v>286</v>
      </c>
      <c r="AU881" s="117" t="s">
        <v>1482</v>
      </c>
      <c r="AV881" s="128" t="s">
        <v>1507</v>
      </c>
      <c r="AW881" s="117">
        <f>VLOOKUP($D881,'WB Data'!$C$3:$M$578,2,FALSE)</f>
        <v>3802566170.8154349</v>
      </c>
      <c r="AX881" s="117">
        <f>VLOOKUP($D881,'WB Data'!$C$3:$M$578,3,FALSE)</f>
        <v>5268400</v>
      </c>
      <c r="AY881" s="847">
        <f t="shared" si="141"/>
        <v>7.4187237598946276E-3</v>
      </c>
      <c r="AZ881" s="117">
        <f>VLOOKUP($D881,'WB Data'!$C$3:$M$578,4,FALSE)/100</f>
        <v>0.20723230468147122</v>
      </c>
      <c r="BA881" s="117">
        <f t="shared" si="142"/>
        <v>788014551.28187954</v>
      </c>
      <c r="BB881" s="129">
        <f>IFERROR(VLOOKUP($D881,'EITI Revenues'!$C$2:$G$224,5,FALSE),"..")</f>
        <v>28210188</v>
      </c>
      <c r="BC881" s="846">
        <f t="shared" si="143"/>
        <v>3.5799069895485945E-2</v>
      </c>
      <c r="BD881" s="129">
        <f>VLOOKUP($D881,'WB Data 2'!$C$2:$K$545,6,FALSE)</f>
        <v>268692909.42354131</v>
      </c>
      <c r="BE881" s="129" t="str">
        <f>IFERROR(VLOOKUP($D881,UNCTAD!$C$5:$V$529,4,FALSE),"..")</f>
        <v>..</v>
      </c>
      <c r="BF881" s="846" t="str">
        <f t="shared" si="144"/>
        <v>..</v>
      </c>
      <c r="BG881" s="117">
        <f>VLOOKUP($D881,'WB Data'!$C$3:$M$578,5,FALSE)</f>
        <v>274450000</v>
      </c>
      <c r="BH881" s="129">
        <f>IFERROR($BB881/$BG881,"..")</f>
        <v>0.10278807797413007</v>
      </c>
      <c r="BI881" s="117">
        <f>IFERROR(VLOOKUP($D881,'WB Data'!$C$3:$M$578,7,FALSE)/100,"..")</f>
        <v>6.4669999999999991E-2</v>
      </c>
      <c r="BJ881" s="117">
        <f>IFERROR($BI881*$AW881,"..")</f>
        <v>245911954.26663414</v>
      </c>
      <c r="BK881" s="846">
        <f>IFERROR($BB881/$BJ881,"..")</f>
        <v>0.11471661914171376</v>
      </c>
      <c r="BL881" s="117">
        <f>IFERROR(VLOOKUP($D881,'WB Data'!$C$3:$M$578,7,FALSE)/100,"..")</f>
        <v>6.4669999999999991E-2</v>
      </c>
      <c r="BM881" s="117">
        <f>IFERROR($AW881*$BL881,"..")</f>
        <v>245911954.26663414</v>
      </c>
      <c r="BN881" s="846">
        <f>IFERROR($BB881/$BM881,"..")</f>
        <v>0.11471661914171376</v>
      </c>
      <c r="BO881" s="801" t="str">
        <f t="shared" si="140"/>
        <v>..</v>
      </c>
      <c r="BP881" s="117">
        <f>VLOOKUP($D881,'WB Data'!$C$3:$M$578,9,FALSE)</f>
        <v>35</v>
      </c>
      <c r="BQ881" s="117">
        <f>VLOOKUP($D881,'WB Data'!$C$3:$M$578,10,FALSE)</f>
        <v>67.846341463414646</v>
      </c>
      <c r="BR881" s="117">
        <f>VLOOKUP($D881,'WB Data'!$C$3:$M$578,11,FALSE)</f>
        <v>31.7</v>
      </c>
      <c r="BS881" s="129">
        <f>IFERROR(VLOOKUP($D881,'WB Data 2'!$C$2:$K$545,9,FALSE),"..")</f>
        <v>94.921390000000002</v>
      </c>
      <c r="BT881" s="129" t="str">
        <f>_xlfn.IFNA(VLOOKUP($C881,RGI!$A$2:$C$43,2,FALSE),"..")</f>
        <v>..</v>
      </c>
      <c r="BU881" s="129" t="str">
        <f>_xlfn.IFNA(VLOOKUP($C881,RGI!$A$2:$C$43,3,FALSE),"..")</f>
        <v>..</v>
      </c>
      <c r="BV881" s="129">
        <f>VLOOKUP($D881,WGI!$C$2:$O$478,7,FALSE)</f>
        <v>-0.94869703075312295</v>
      </c>
      <c r="BW881" s="129">
        <f>VLOOKUP($D881,WGI!$C$2:$O$478,4,FALSE)</f>
        <v>-1.00640824404331</v>
      </c>
      <c r="BX881" s="129">
        <f>VLOOKUP($D881,WGI!$C$2:$O$478,3,FALSE)</f>
        <v>-0.74999233625046102</v>
      </c>
      <c r="BY881" s="129">
        <f>VLOOKUP($D881,WGI!$C$2:$O$478,5,FALSE)</f>
        <v>-0.40526827434856499</v>
      </c>
      <c r="BZ881" s="129">
        <f>VLOOKUP($D881,WGI!$C$2:$O$478,2,FALSE)</f>
        <v>-1.2406601372186701</v>
      </c>
      <c r="CB881" s="129"/>
    </row>
    <row r="882" spans="1:80" ht="15" customHeight="1">
      <c r="A882" s="294" t="s">
        <v>289</v>
      </c>
      <c r="B882" s="117">
        <v>2007</v>
      </c>
      <c r="C882" s="117" t="s">
        <v>285</v>
      </c>
      <c r="D882" s="117" t="s">
        <v>3567</v>
      </c>
      <c r="E882" s="452" t="s">
        <v>39</v>
      </c>
      <c r="F882" s="117"/>
      <c r="G882" s="117" t="s">
        <v>24</v>
      </c>
      <c r="H882" s="117" t="str">
        <f t="shared" si="145"/>
        <v>yes</v>
      </c>
      <c r="I882" s="117" t="str">
        <f t="shared" si="146"/>
        <v>no</v>
      </c>
      <c r="J882" s="117" t="str">
        <f t="shared" si="147"/>
        <v>no</v>
      </c>
      <c r="K882" s="117" t="s">
        <v>616</v>
      </c>
      <c r="L882" s="117" t="str">
        <f t="shared" si="148"/>
        <v>detailed</v>
      </c>
      <c r="M882" s="117" t="str">
        <f t="shared" si="149"/>
        <v>detailed Mining</v>
      </c>
      <c r="N882" s="118">
        <v>395500</v>
      </c>
      <c r="O882" s="118"/>
      <c r="P882" s="118"/>
      <c r="Q882" s="118"/>
      <c r="R882" s="118"/>
      <c r="S882" s="117" t="s">
        <v>610</v>
      </c>
      <c r="T882" s="119">
        <v>74.838160071314121</v>
      </c>
      <c r="U882" s="117" t="s">
        <v>611</v>
      </c>
      <c r="V882" s="117" t="s">
        <v>1498</v>
      </c>
      <c r="W882" s="89">
        <f>N882*T882</f>
        <v>29598492.308204737</v>
      </c>
      <c r="X882" s="117"/>
      <c r="Y882" s="117"/>
      <c r="Z882" s="117"/>
      <c r="AA882" s="177"/>
      <c r="AB882" s="177"/>
      <c r="AC882" s="122"/>
      <c r="AD882" s="122"/>
      <c r="AE882" s="122"/>
      <c r="AF882" s="123"/>
      <c r="AG882" s="117"/>
      <c r="AH882" s="124"/>
      <c r="AI882" s="117"/>
      <c r="AJ882" s="117"/>
      <c r="AK882" s="89"/>
      <c r="AL882" s="117"/>
      <c r="AM882" s="117"/>
      <c r="AN882" s="117"/>
      <c r="AO882" s="117"/>
      <c r="AP882" s="117"/>
      <c r="AQ882" s="117"/>
      <c r="AR882" s="126"/>
      <c r="AS882" s="117"/>
      <c r="AT882" s="117"/>
      <c r="AU882" s="117"/>
      <c r="AV882" s="128" t="s">
        <v>1499</v>
      </c>
      <c r="AW882" s="117">
        <f>VLOOKUP($D882,'WB Data'!$C$3:$M$578,2,FALSE)</f>
        <v>3802566170.8154349</v>
      </c>
      <c r="AX882" s="117">
        <f>VLOOKUP($D882,'WB Data'!$C$3:$M$578,3,FALSE)</f>
        <v>5268400</v>
      </c>
      <c r="AY882" s="847">
        <f t="shared" si="141"/>
        <v>7.4187237598946276E-3</v>
      </c>
      <c r="AZ882" s="117">
        <f>VLOOKUP($D882,'WB Data'!$C$3:$M$578,4,FALSE)/100</f>
        <v>0.20723230468147122</v>
      </c>
      <c r="BA882" s="117">
        <f t="shared" si="142"/>
        <v>788014551.28187954</v>
      </c>
      <c r="BB882" s="129">
        <f>IFERROR(VLOOKUP($D882,'EITI Revenues'!$C$2:$G$224,5,FALSE),"..")</f>
        <v>28210188</v>
      </c>
      <c r="BC882" s="846">
        <f t="shared" si="143"/>
        <v>3.5799069895485945E-2</v>
      </c>
      <c r="BD882" s="129">
        <f>VLOOKUP($D882,'WB Data 2'!$C$2:$K$545,6,FALSE)</f>
        <v>268692909.42354131</v>
      </c>
      <c r="BE882" s="129" t="str">
        <f>IFERROR(VLOOKUP($D882,UNCTAD!$C$5:$V$529,4,FALSE),"..")</f>
        <v>..</v>
      </c>
      <c r="BF882" s="846" t="str">
        <f t="shared" si="144"/>
        <v>..</v>
      </c>
      <c r="BG882" s="117">
        <f>VLOOKUP($D882,'WB Data'!$C$3:$M$578,5,FALSE)</f>
        <v>274450000</v>
      </c>
      <c r="BH882" s="129">
        <f>IFERROR($BB882/$BG882,"..")</f>
        <v>0.10278807797413007</v>
      </c>
      <c r="BI882" s="117">
        <f>IFERROR(VLOOKUP($D882,'WB Data'!$C$3:$M$578,7,FALSE)/100,"..")</f>
        <v>6.4669999999999991E-2</v>
      </c>
      <c r="BJ882" s="117">
        <f>IFERROR($BI882*$AW882,"..")</f>
        <v>245911954.26663414</v>
      </c>
      <c r="BK882" s="846">
        <f>IFERROR($BB882/$BJ882,"..")</f>
        <v>0.11471661914171376</v>
      </c>
      <c r="BL882" s="117">
        <f>IFERROR(VLOOKUP($D882,'WB Data'!$C$3:$M$578,7,FALSE)/100,"..")</f>
        <v>6.4669999999999991E-2</v>
      </c>
      <c r="BM882" s="117">
        <f>IFERROR($AW882*$BL882,"..")</f>
        <v>245911954.26663414</v>
      </c>
      <c r="BN882" s="846">
        <f>IFERROR($BB882/$BM882,"..")</f>
        <v>0.11471661914171376</v>
      </c>
      <c r="BO882" s="801" t="str">
        <f t="shared" si="140"/>
        <v>..</v>
      </c>
      <c r="BP882" s="117">
        <f>VLOOKUP($D882,'WB Data'!$C$3:$M$578,9,FALSE)</f>
        <v>35</v>
      </c>
      <c r="BQ882" s="117">
        <f>VLOOKUP($D882,'WB Data'!$C$3:$M$578,10,FALSE)</f>
        <v>67.846341463414646</v>
      </c>
      <c r="BR882" s="117">
        <f>VLOOKUP($D882,'WB Data'!$C$3:$M$578,11,FALSE)</f>
        <v>31.7</v>
      </c>
      <c r="BS882" s="129">
        <f>IFERROR(VLOOKUP($D882,'WB Data 2'!$C$2:$K$545,9,FALSE),"..")</f>
        <v>94.921390000000002</v>
      </c>
      <c r="BT882" s="129" t="str">
        <f>_xlfn.IFNA(VLOOKUP($C882,RGI!$A$2:$C$43,2,FALSE),"..")</f>
        <v>..</v>
      </c>
      <c r="BU882" s="129" t="str">
        <f>_xlfn.IFNA(VLOOKUP($C882,RGI!$A$2:$C$43,3,FALSE),"..")</f>
        <v>..</v>
      </c>
      <c r="BV882" s="129">
        <f>VLOOKUP($D882,WGI!$C$2:$O$478,7,FALSE)</f>
        <v>-0.94869703075312295</v>
      </c>
      <c r="BW882" s="129">
        <f>VLOOKUP($D882,WGI!$C$2:$O$478,4,FALSE)</f>
        <v>-1.00640824404331</v>
      </c>
      <c r="BX882" s="129">
        <f>VLOOKUP($D882,WGI!$C$2:$O$478,3,FALSE)</f>
        <v>-0.74999233625046102</v>
      </c>
      <c r="BY882" s="129">
        <f>VLOOKUP($D882,WGI!$C$2:$O$478,5,FALSE)</f>
        <v>-0.40526827434856499</v>
      </c>
      <c r="BZ882" s="129">
        <f>VLOOKUP($D882,WGI!$C$2:$O$478,2,FALSE)</f>
        <v>-1.2406601372186701</v>
      </c>
    </row>
    <row r="883" spans="1:80" ht="15" customHeight="1">
      <c r="A883" s="294" t="s">
        <v>289</v>
      </c>
      <c r="B883" s="117">
        <v>2007</v>
      </c>
      <c r="C883" s="117" t="s">
        <v>285</v>
      </c>
      <c r="D883" s="117" t="s">
        <v>3567</v>
      </c>
      <c r="E883" s="452" t="s">
        <v>39</v>
      </c>
      <c r="F883" s="117"/>
      <c r="G883" s="117" t="s">
        <v>24</v>
      </c>
      <c r="H883" s="117" t="str">
        <f t="shared" si="145"/>
        <v>yes</v>
      </c>
      <c r="I883" s="117" t="str">
        <f t="shared" si="146"/>
        <v>no</v>
      </c>
      <c r="J883" s="117" t="str">
        <f t="shared" si="147"/>
        <v>no</v>
      </c>
      <c r="K883" s="117" t="s">
        <v>784</v>
      </c>
      <c r="L883" s="117" t="str">
        <f t="shared" si="148"/>
        <v>detailed</v>
      </c>
      <c r="M883" s="117" t="str">
        <f t="shared" si="149"/>
        <v>detailed Mining</v>
      </c>
      <c r="N883" s="118">
        <f>10559*32.150743126506</f>
        <v>339479.69667277689</v>
      </c>
      <c r="O883" s="118"/>
      <c r="P883" s="118"/>
      <c r="Q883" s="118"/>
      <c r="R883" s="118"/>
      <c r="S883" s="117" t="s">
        <v>785</v>
      </c>
      <c r="T883" s="119">
        <v>696.72024999999996</v>
      </c>
      <c r="U883" s="117" t="s">
        <v>786</v>
      </c>
      <c r="V883" s="117" t="s">
        <v>1500</v>
      </c>
      <c r="W883" s="89">
        <f>N883*T883</f>
        <v>236522379.13578126</v>
      </c>
      <c r="X883" s="117"/>
      <c r="Y883" s="117"/>
      <c r="Z883" s="117"/>
      <c r="AA883" s="177"/>
      <c r="AB883" s="177"/>
      <c r="AC883" s="122"/>
      <c r="AD883" s="122"/>
      <c r="AE883" s="122"/>
      <c r="AF883" s="123"/>
      <c r="AG883" s="117"/>
      <c r="AH883" s="124"/>
      <c r="AI883" s="117"/>
      <c r="AJ883" s="117"/>
      <c r="AK883" s="89"/>
      <c r="AL883" s="117"/>
      <c r="AM883" s="117"/>
      <c r="AN883" s="117"/>
      <c r="AO883" s="117"/>
      <c r="AP883" s="117"/>
      <c r="AQ883" s="117"/>
      <c r="AR883" s="126"/>
      <c r="AS883" s="117"/>
      <c r="AT883" s="117"/>
      <c r="AU883" s="117"/>
      <c r="AV883" s="128" t="s">
        <v>1499</v>
      </c>
      <c r="AW883" s="117">
        <f>VLOOKUP($D883,'WB Data'!$C$3:$M$578,2,FALSE)</f>
        <v>3802566170.8154349</v>
      </c>
      <c r="AX883" s="117">
        <f>VLOOKUP($D883,'WB Data'!$C$3:$M$578,3,FALSE)</f>
        <v>5268400</v>
      </c>
      <c r="AY883" s="847">
        <f t="shared" si="141"/>
        <v>7.4187237598946276E-3</v>
      </c>
      <c r="AZ883" s="117">
        <f>VLOOKUP($D883,'WB Data'!$C$3:$M$578,4,FALSE)/100</f>
        <v>0.20723230468147122</v>
      </c>
      <c r="BA883" s="117">
        <f t="shared" si="142"/>
        <v>788014551.28187954</v>
      </c>
      <c r="BB883" s="129">
        <f>IFERROR(VLOOKUP($D883,'EITI Revenues'!$C$2:$G$224,5,FALSE),"..")</f>
        <v>28210188</v>
      </c>
      <c r="BC883" s="846">
        <f t="shared" si="143"/>
        <v>3.5799069895485945E-2</v>
      </c>
      <c r="BD883" s="129">
        <f>VLOOKUP($D883,'WB Data 2'!$C$2:$K$545,6,FALSE)</f>
        <v>268692909.42354131</v>
      </c>
      <c r="BE883" s="129" t="str">
        <f>IFERROR(VLOOKUP($D883,UNCTAD!$C$5:$V$529,4,FALSE),"..")</f>
        <v>..</v>
      </c>
      <c r="BF883" s="846" t="str">
        <f t="shared" si="144"/>
        <v>..</v>
      </c>
      <c r="BG883" s="117">
        <f>VLOOKUP($D883,'WB Data'!$C$3:$M$578,5,FALSE)</f>
        <v>274450000</v>
      </c>
      <c r="BH883" s="129">
        <f>IFERROR($BB883/$BG883,"..")</f>
        <v>0.10278807797413007</v>
      </c>
      <c r="BI883" s="117">
        <f>IFERROR(VLOOKUP($D883,'WB Data'!$C$3:$M$578,7,FALSE)/100,"..")</f>
        <v>6.4669999999999991E-2</v>
      </c>
      <c r="BJ883" s="117">
        <f>IFERROR($BI883*$AW883,"..")</f>
        <v>245911954.26663414</v>
      </c>
      <c r="BK883" s="846">
        <f>IFERROR($BB883/$BJ883,"..")</f>
        <v>0.11471661914171376</v>
      </c>
      <c r="BL883" s="117">
        <f>IFERROR(VLOOKUP($D883,'WB Data'!$C$3:$M$578,7,FALSE)/100,"..")</f>
        <v>6.4669999999999991E-2</v>
      </c>
      <c r="BM883" s="117">
        <f>IFERROR($AW883*$BL883,"..")</f>
        <v>245911954.26663414</v>
      </c>
      <c r="BN883" s="846">
        <f>IFERROR($BB883/$BM883,"..")</f>
        <v>0.11471661914171376</v>
      </c>
      <c r="BO883" s="801" t="str">
        <f t="shared" si="140"/>
        <v>..</v>
      </c>
      <c r="BP883" s="117">
        <f>VLOOKUP($D883,'WB Data'!$C$3:$M$578,9,FALSE)</f>
        <v>35</v>
      </c>
      <c r="BQ883" s="117">
        <f>VLOOKUP($D883,'WB Data'!$C$3:$M$578,10,FALSE)</f>
        <v>67.846341463414646</v>
      </c>
      <c r="BR883" s="117">
        <f>VLOOKUP($D883,'WB Data'!$C$3:$M$578,11,FALSE)</f>
        <v>31.7</v>
      </c>
      <c r="BS883" s="129">
        <f>IFERROR(VLOOKUP($D883,'WB Data 2'!$C$2:$K$545,9,FALSE),"..")</f>
        <v>94.921390000000002</v>
      </c>
      <c r="BT883" s="129" t="str">
        <f>_xlfn.IFNA(VLOOKUP($C883,RGI!$A$2:$C$43,2,FALSE),"..")</f>
        <v>..</v>
      </c>
      <c r="BU883" s="129" t="str">
        <f>_xlfn.IFNA(VLOOKUP($C883,RGI!$A$2:$C$43,3,FALSE),"..")</f>
        <v>..</v>
      </c>
      <c r="BV883" s="129">
        <f>VLOOKUP($D883,WGI!$C$2:$O$478,7,FALSE)</f>
        <v>-0.94869703075312295</v>
      </c>
      <c r="BW883" s="129">
        <f>VLOOKUP($D883,WGI!$C$2:$O$478,4,FALSE)</f>
        <v>-1.00640824404331</v>
      </c>
      <c r="BX883" s="129">
        <f>VLOOKUP($D883,WGI!$C$2:$O$478,3,FALSE)</f>
        <v>-0.74999233625046102</v>
      </c>
      <c r="BY883" s="129">
        <f>VLOOKUP($D883,WGI!$C$2:$O$478,5,FALSE)</f>
        <v>-0.40526827434856499</v>
      </c>
      <c r="BZ883" s="129">
        <f>VLOOKUP($D883,WGI!$C$2:$O$478,2,FALSE)</f>
        <v>-1.2406601372186701</v>
      </c>
    </row>
    <row r="884" spans="1:80" ht="15" customHeight="1">
      <c r="A884" s="294" t="s">
        <v>289</v>
      </c>
      <c r="B884" s="117">
        <v>2007</v>
      </c>
      <c r="C884" s="117" t="s">
        <v>285</v>
      </c>
      <c r="D884" s="117" t="s">
        <v>3567</v>
      </c>
      <c r="E884" s="452" t="s">
        <v>39</v>
      </c>
      <c r="F884" s="117"/>
      <c r="G884" s="117" t="s">
        <v>24</v>
      </c>
      <c r="H884" s="117" t="str">
        <f t="shared" si="145"/>
        <v>yes</v>
      </c>
      <c r="I884" s="117" t="str">
        <f t="shared" si="146"/>
        <v>no</v>
      </c>
      <c r="J884" s="117" t="str">
        <f t="shared" si="147"/>
        <v>no</v>
      </c>
      <c r="K884" s="117" t="s">
        <v>622</v>
      </c>
      <c r="L884" s="117" t="str">
        <f t="shared" si="148"/>
        <v>detailed</v>
      </c>
      <c r="M884" s="117" t="str">
        <f t="shared" si="149"/>
        <v>detailed Mining</v>
      </c>
      <c r="N884" s="118"/>
      <c r="O884" s="118"/>
      <c r="P884" s="118"/>
      <c r="Q884" s="118"/>
      <c r="R884" s="118"/>
      <c r="S884" s="117"/>
      <c r="T884" s="119"/>
      <c r="U884" s="117"/>
      <c r="V884" s="117"/>
      <c r="W884" s="89"/>
      <c r="X884" s="117"/>
      <c r="Y884" s="117"/>
      <c r="Z884" s="117"/>
      <c r="AA884" s="177"/>
      <c r="AB884" s="177"/>
      <c r="AC884" s="122"/>
      <c r="AD884" s="122"/>
      <c r="AE884" s="122"/>
      <c r="AF884" s="123"/>
      <c r="AG884" s="117"/>
      <c r="AH884" s="124"/>
      <c r="AI884" s="117"/>
      <c r="AJ884" s="117"/>
      <c r="AK884" s="89"/>
      <c r="AL884" s="117"/>
      <c r="AM884" s="117"/>
      <c r="AN884" s="117"/>
      <c r="AO884" s="117"/>
      <c r="AP884" s="117"/>
      <c r="AQ884" s="117"/>
      <c r="AR884" s="126"/>
      <c r="AS884" s="117"/>
      <c r="AT884" s="117"/>
      <c r="AU884" s="117"/>
      <c r="AV884" s="128" t="s">
        <v>1508</v>
      </c>
      <c r="AW884" s="117">
        <f>VLOOKUP($D884,'WB Data'!$C$3:$M$578,2,FALSE)</f>
        <v>3802566170.8154349</v>
      </c>
      <c r="AX884" s="117">
        <f>VLOOKUP($D884,'WB Data'!$C$3:$M$578,3,FALSE)</f>
        <v>5268400</v>
      </c>
      <c r="AY884" s="847">
        <f t="shared" si="141"/>
        <v>7.4187237598946276E-3</v>
      </c>
      <c r="AZ884" s="117">
        <f>VLOOKUP($D884,'WB Data'!$C$3:$M$578,4,FALSE)/100</f>
        <v>0.20723230468147122</v>
      </c>
      <c r="BA884" s="117">
        <f t="shared" si="142"/>
        <v>788014551.28187954</v>
      </c>
      <c r="BB884" s="129">
        <f>IFERROR(VLOOKUP($D884,'EITI Revenues'!$C$2:$G$224,5,FALSE),"..")</f>
        <v>28210188</v>
      </c>
      <c r="BC884" s="846">
        <f t="shared" si="143"/>
        <v>3.5799069895485945E-2</v>
      </c>
      <c r="BD884" s="129">
        <f>VLOOKUP($D884,'WB Data 2'!$C$2:$K$545,6,FALSE)</f>
        <v>268692909.42354131</v>
      </c>
      <c r="BE884" s="129" t="str">
        <f>IFERROR(VLOOKUP($D884,UNCTAD!$C$5:$V$529,4,FALSE),"..")</f>
        <v>..</v>
      </c>
      <c r="BF884" s="846" t="str">
        <f t="shared" si="144"/>
        <v>..</v>
      </c>
      <c r="BG884" s="117">
        <f>VLOOKUP($D884,'WB Data'!$C$3:$M$578,5,FALSE)</f>
        <v>274450000</v>
      </c>
      <c r="BH884" s="129">
        <f>IFERROR($BB884/$BG884,"..")</f>
        <v>0.10278807797413007</v>
      </c>
      <c r="BI884" s="117">
        <f>IFERROR(VLOOKUP($D884,'WB Data'!$C$3:$M$578,7,FALSE)/100,"..")</f>
        <v>6.4669999999999991E-2</v>
      </c>
      <c r="BJ884" s="117">
        <f>IFERROR($BI884*$AW884,"..")</f>
        <v>245911954.26663414</v>
      </c>
      <c r="BK884" s="846">
        <f>IFERROR($BB884/$BJ884,"..")</f>
        <v>0.11471661914171376</v>
      </c>
      <c r="BL884" s="117">
        <f>IFERROR(VLOOKUP($D884,'WB Data'!$C$3:$M$578,7,FALSE)/100,"..")</f>
        <v>6.4669999999999991E-2</v>
      </c>
      <c r="BM884" s="117">
        <f>IFERROR($AW884*$BL884,"..")</f>
        <v>245911954.26663414</v>
      </c>
      <c r="BN884" s="846">
        <f>IFERROR($BB884/$BM884,"..")</f>
        <v>0.11471661914171376</v>
      </c>
      <c r="BO884" s="801" t="str">
        <f t="shared" si="140"/>
        <v>..</v>
      </c>
      <c r="BP884" s="117">
        <f>VLOOKUP($D884,'WB Data'!$C$3:$M$578,9,FALSE)</f>
        <v>35</v>
      </c>
      <c r="BQ884" s="117">
        <f>VLOOKUP($D884,'WB Data'!$C$3:$M$578,10,FALSE)</f>
        <v>67.846341463414646</v>
      </c>
      <c r="BR884" s="117">
        <f>VLOOKUP($D884,'WB Data'!$C$3:$M$578,11,FALSE)</f>
        <v>31.7</v>
      </c>
      <c r="BS884" s="129">
        <f>IFERROR(VLOOKUP($D884,'WB Data 2'!$C$2:$K$545,9,FALSE),"..")</f>
        <v>94.921390000000002</v>
      </c>
      <c r="BT884" s="129" t="str">
        <f>_xlfn.IFNA(VLOOKUP($C884,RGI!$A$2:$C$43,2,FALSE),"..")</f>
        <v>..</v>
      </c>
      <c r="BU884" s="129" t="str">
        <f>_xlfn.IFNA(VLOOKUP($C884,RGI!$A$2:$C$43,3,FALSE),"..")</f>
        <v>..</v>
      </c>
      <c r="BV884" s="129">
        <f>VLOOKUP($D884,WGI!$C$2:$O$478,7,FALSE)</f>
        <v>-0.94869703075312295</v>
      </c>
      <c r="BW884" s="129">
        <f>VLOOKUP($D884,WGI!$C$2:$O$478,4,FALSE)</f>
        <v>-1.00640824404331</v>
      </c>
      <c r="BX884" s="129">
        <f>VLOOKUP($D884,WGI!$C$2:$O$478,3,FALSE)</f>
        <v>-0.74999233625046102</v>
      </c>
      <c r="BY884" s="129">
        <f>VLOOKUP($D884,WGI!$C$2:$O$478,5,FALSE)</f>
        <v>-0.40526827434856499</v>
      </c>
      <c r="BZ884" s="129">
        <f>VLOOKUP($D884,WGI!$C$2:$O$478,2,FALSE)</f>
        <v>-1.2406601372186701</v>
      </c>
    </row>
    <row r="885" spans="1:80" ht="15" customHeight="1">
      <c r="A885" s="294" t="s">
        <v>289</v>
      </c>
      <c r="B885" s="117">
        <v>2007</v>
      </c>
      <c r="C885" s="117" t="s">
        <v>285</v>
      </c>
      <c r="D885" s="117" t="s">
        <v>3567</v>
      </c>
      <c r="E885" s="452" t="s">
        <v>39</v>
      </c>
      <c r="F885" s="117"/>
      <c r="G885" s="117" t="s">
        <v>24</v>
      </c>
      <c r="H885" s="117" t="str">
        <f t="shared" si="145"/>
        <v>yes</v>
      </c>
      <c r="I885" s="117" t="str">
        <f t="shared" si="146"/>
        <v>no</v>
      </c>
      <c r="J885" s="117" t="str">
        <f t="shared" si="147"/>
        <v>no</v>
      </c>
      <c r="K885" s="117" t="s">
        <v>1230</v>
      </c>
      <c r="L885" s="117" t="str">
        <f t="shared" si="148"/>
        <v>detailed</v>
      </c>
      <c r="M885" s="117" t="str">
        <f t="shared" si="149"/>
        <v>detailed Mining</v>
      </c>
      <c r="N885" s="118">
        <v>400000</v>
      </c>
      <c r="O885" s="118"/>
      <c r="P885" s="118"/>
      <c r="Q885" s="118"/>
      <c r="R885" s="118"/>
      <c r="S885" s="117" t="s">
        <v>610</v>
      </c>
      <c r="T885" s="119">
        <v>135</v>
      </c>
      <c r="U885" s="117" t="s">
        <v>611</v>
      </c>
      <c r="V885" s="117" t="s">
        <v>1501</v>
      </c>
      <c r="W885" s="89">
        <f>N885*T885</f>
        <v>54000000</v>
      </c>
      <c r="X885" s="117"/>
      <c r="Y885" s="117"/>
      <c r="Z885" s="117"/>
      <c r="AA885" s="177"/>
      <c r="AB885" s="177"/>
      <c r="AC885" s="122"/>
      <c r="AD885" s="122"/>
      <c r="AE885" s="122"/>
      <c r="AF885" s="123"/>
      <c r="AG885" s="117"/>
      <c r="AH885" s="124"/>
      <c r="AI885" s="117"/>
      <c r="AJ885" s="117"/>
      <c r="AK885" s="89"/>
      <c r="AL885" s="117"/>
      <c r="AM885" s="117"/>
      <c r="AN885" s="117"/>
      <c r="AO885" s="117"/>
      <c r="AP885" s="117"/>
      <c r="AQ885" s="117"/>
      <c r="AR885" s="126"/>
      <c r="AS885" s="117"/>
      <c r="AT885" s="117"/>
      <c r="AU885" s="117"/>
      <c r="AV885" s="128" t="s">
        <v>1499</v>
      </c>
      <c r="AW885" s="117">
        <f>VLOOKUP($D885,'WB Data'!$C$3:$M$578,2,FALSE)</f>
        <v>3802566170.8154349</v>
      </c>
      <c r="AX885" s="117">
        <f>VLOOKUP($D885,'WB Data'!$C$3:$M$578,3,FALSE)</f>
        <v>5268400</v>
      </c>
      <c r="AY885" s="847">
        <f t="shared" si="141"/>
        <v>7.4187237598946276E-3</v>
      </c>
      <c r="AZ885" s="117">
        <f>VLOOKUP($D885,'WB Data'!$C$3:$M$578,4,FALSE)/100</f>
        <v>0.20723230468147122</v>
      </c>
      <c r="BA885" s="117">
        <f t="shared" si="142"/>
        <v>788014551.28187954</v>
      </c>
      <c r="BB885" s="129">
        <f>IFERROR(VLOOKUP($D885,'EITI Revenues'!$C$2:$G$224,5,FALSE),"..")</f>
        <v>28210188</v>
      </c>
      <c r="BC885" s="846">
        <f t="shared" si="143"/>
        <v>3.5799069895485945E-2</v>
      </c>
      <c r="BD885" s="129">
        <f>VLOOKUP($D885,'WB Data 2'!$C$2:$K$545,6,FALSE)</f>
        <v>268692909.42354131</v>
      </c>
      <c r="BE885" s="129" t="str">
        <f>IFERROR(VLOOKUP($D885,UNCTAD!$C$5:$V$529,4,FALSE),"..")</f>
        <v>..</v>
      </c>
      <c r="BF885" s="846" t="str">
        <f t="shared" si="144"/>
        <v>..</v>
      </c>
      <c r="BG885" s="117">
        <f>VLOOKUP($D885,'WB Data'!$C$3:$M$578,5,FALSE)</f>
        <v>274450000</v>
      </c>
      <c r="BH885" s="129">
        <f>IFERROR($BB885/$BG885,"..")</f>
        <v>0.10278807797413007</v>
      </c>
      <c r="BI885" s="117">
        <f>IFERROR(VLOOKUP($D885,'WB Data'!$C$3:$M$578,7,FALSE)/100,"..")</f>
        <v>6.4669999999999991E-2</v>
      </c>
      <c r="BJ885" s="117">
        <f>IFERROR($BI885*$AW885,"..")</f>
        <v>245911954.26663414</v>
      </c>
      <c r="BK885" s="846">
        <f>IFERROR($BB885/$BJ885,"..")</f>
        <v>0.11471661914171376</v>
      </c>
      <c r="BL885" s="117">
        <f>IFERROR(VLOOKUP($D885,'WB Data'!$C$3:$M$578,7,FALSE)/100,"..")</f>
        <v>6.4669999999999991E-2</v>
      </c>
      <c r="BM885" s="117">
        <f>IFERROR($AW885*$BL885,"..")</f>
        <v>245911954.26663414</v>
      </c>
      <c r="BN885" s="846">
        <f>IFERROR($BB885/$BM885,"..")</f>
        <v>0.11471661914171376</v>
      </c>
      <c r="BO885" s="801" t="str">
        <f t="shared" si="140"/>
        <v>..</v>
      </c>
      <c r="BP885" s="117">
        <f>VLOOKUP($D885,'WB Data'!$C$3:$M$578,9,FALSE)</f>
        <v>35</v>
      </c>
      <c r="BQ885" s="117">
        <f>VLOOKUP($D885,'WB Data'!$C$3:$M$578,10,FALSE)</f>
        <v>67.846341463414646</v>
      </c>
      <c r="BR885" s="117">
        <f>VLOOKUP($D885,'WB Data'!$C$3:$M$578,11,FALSE)</f>
        <v>31.7</v>
      </c>
      <c r="BS885" s="129">
        <f>IFERROR(VLOOKUP($D885,'WB Data 2'!$C$2:$K$545,9,FALSE),"..")</f>
        <v>94.921390000000002</v>
      </c>
      <c r="BT885" s="129" t="str">
        <f>_xlfn.IFNA(VLOOKUP($C885,RGI!$A$2:$C$43,2,FALSE),"..")</f>
        <v>..</v>
      </c>
      <c r="BU885" s="129" t="str">
        <f>_xlfn.IFNA(VLOOKUP($C885,RGI!$A$2:$C$43,3,FALSE),"..")</f>
        <v>..</v>
      </c>
      <c r="BV885" s="129">
        <f>VLOOKUP($D885,WGI!$C$2:$O$478,7,FALSE)</f>
        <v>-0.94869703075312295</v>
      </c>
      <c r="BW885" s="129">
        <f>VLOOKUP($D885,WGI!$C$2:$O$478,4,FALSE)</f>
        <v>-1.00640824404331</v>
      </c>
      <c r="BX885" s="129">
        <f>VLOOKUP($D885,WGI!$C$2:$O$478,3,FALSE)</f>
        <v>-0.74999233625046102</v>
      </c>
      <c r="BY885" s="129">
        <f>VLOOKUP($D885,WGI!$C$2:$O$478,5,FALSE)</f>
        <v>-0.40526827434856499</v>
      </c>
      <c r="BZ885" s="129">
        <f>VLOOKUP($D885,WGI!$C$2:$O$478,2,FALSE)</f>
        <v>-1.2406601372186701</v>
      </c>
    </row>
    <row r="886" spans="1:80" ht="15" customHeight="1">
      <c r="A886" s="294" t="s">
        <v>289</v>
      </c>
      <c r="B886" s="117">
        <v>2007</v>
      </c>
      <c r="C886" s="117" t="s">
        <v>285</v>
      </c>
      <c r="D886" s="117" t="s">
        <v>3567</v>
      </c>
      <c r="E886" s="452" t="s">
        <v>39</v>
      </c>
      <c r="F886" s="117"/>
      <c r="G886" s="117" t="s">
        <v>24</v>
      </c>
      <c r="H886" s="117" t="str">
        <f t="shared" si="145"/>
        <v>yes</v>
      </c>
      <c r="I886" s="117" t="str">
        <f t="shared" si="146"/>
        <v>no</v>
      </c>
      <c r="J886" s="117" t="str">
        <f t="shared" si="147"/>
        <v>no</v>
      </c>
      <c r="K886" s="117" t="s">
        <v>1488</v>
      </c>
      <c r="L886" s="117" t="str">
        <f t="shared" si="148"/>
        <v>detailed</v>
      </c>
      <c r="M886" s="117" t="str">
        <f t="shared" si="149"/>
        <v>detailed Mining</v>
      </c>
      <c r="N886" s="118">
        <v>12900</v>
      </c>
      <c r="O886" s="118"/>
      <c r="P886" s="118"/>
      <c r="Q886" s="118"/>
      <c r="R886" s="118"/>
      <c r="S886" s="117" t="s">
        <v>610</v>
      </c>
      <c r="T886" s="119">
        <v>93.5</v>
      </c>
      <c r="U886" s="117" t="s">
        <v>611</v>
      </c>
      <c r="V886" s="117" t="s">
        <v>1502</v>
      </c>
      <c r="W886" s="89">
        <f>N886*T886</f>
        <v>1206150</v>
      </c>
      <c r="X886" s="117"/>
      <c r="Y886" s="117"/>
      <c r="Z886" s="117"/>
      <c r="AA886" s="177"/>
      <c r="AB886" s="177"/>
      <c r="AC886" s="122"/>
      <c r="AD886" s="122"/>
      <c r="AE886" s="122"/>
      <c r="AF886" s="123"/>
      <c r="AG886" s="117"/>
      <c r="AH886" s="124"/>
      <c r="AI886" s="117"/>
      <c r="AJ886" s="117"/>
      <c r="AK886" s="89"/>
      <c r="AL886" s="117"/>
      <c r="AM886" s="117"/>
      <c r="AN886" s="117"/>
      <c r="AO886" s="117"/>
      <c r="AP886" s="117"/>
      <c r="AQ886" s="117"/>
      <c r="AR886" s="126"/>
      <c r="AS886" s="117"/>
      <c r="AT886" s="117"/>
      <c r="AU886" s="117"/>
      <c r="AV886" s="128" t="s">
        <v>1499</v>
      </c>
      <c r="AW886" s="117">
        <f>VLOOKUP($D886,'WB Data'!$C$3:$M$578,2,FALSE)</f>
        <v>3802566170.8154349</v>
      </c>
      <c r="AX886" s="117">
        <f>VLOOKUP($D886,'WB Data'!$C$3:$M$578,3,FALSE)</f>
        <v>5268400</v>
      </c>
      <c r="AY886" s="847">
        <f t="shared" si="141"/>
        <v>7.4187237598946276E-3</v>
      </c>
      <c r="AZ886" s="117">
        <f>VLOOKUP($D886,'WB Data'!$C$3:$M$578,4,FALSE)/100</f>
        <v>0.20723230468147122</v>
      </c>
      <c r="BA886" s="117">
        <f t="shared" si="142"/>
        <v>788014551.28187954</v>
      </c>
      <c r="BB886" s="129">
        <f>IFERROR(VLOOKUP($D886,'EITI Revenues'!$C$2:$G$224,5,FALSE),"..")</f>
        <v>28210188</v>
      </c>
      <c r="BC886" s="846">
        <f t="shared" si="143"/>
        <v>3.5799069895485945E-2</v>
      </c>
      <c r="BD886" s="129">
        <f>VLOOKUP($D886,'WB Data 2'!$C$2:$K$545,6,FALSE)</f>
        <v>268692909.42354131</v>
      </c>
      <c r="BE886" s="129" t="str">
        <f>IFERROR(VLOOKUP($D886,UNCTAD!$C$5:$V$529,4,FALSE),"..")</f>
        <v>..</v>
      </c>
      <c r="BF886" s="846" t="str">
        <f t="shared" si="144"/>
        <v>..</v>
      </c>
      <c r="BG886" s="117">
        <f>VLOOKUP($D886,'WB Data'!$C$3:$M$578,5,FALSE)</f>
        <v>274450000</v>
      </c>
      <c r="BH886" s="129">
        <f>IFERROR($BB886/$BG886,"..")</f>
        <v>0.10278807797413007</v>
      </c>
      <c r="BI886" s="117">
        <f>IFERROR(VLOOKUP($D886,'WB Data'!$C$3:$M$578,7,FALSE)/100,"..")</f>
        <v>6.4669999999999991E-2</v>
      </c>
      <c r="BJ886" s="117">
        <f>IFERROR($BI886*$AW886,"..")</f>
        <v>245911954.26663414</v>
      </c>
      <c r="BK886" s="846">
        <f>IFERROR($BB886/$BJ886,"..")</f>
        <v>0.11471661914171376</v>
      </c>
      <c r="BL886" s="117">
        <f>IFERROR(VLOOKUP($D886,'WB Data'!$C$3:$M$578,7,FALSE)/100,"..")</f>
        <v>6.4669999999999991E-2</v>
      </c>
      <c r="BM886" s="117">
        <f>IFERROR($AW886*$BL886,"..")</f>
        <v>245911954.26663414</v>
      </c>
      <c r="BN886" s="846">
        <f>IFERROR($BB886/$BM886,"..")</f>
        <v>0.11471661914171376</v>
      </c>
      <c r="BO886" s="801" t="str">
        <f t="shared" si="140"/>
        <v>..</v>
      </c>
      <c r="BP886" s="117">
        <f>VLOOKUP($D886,'WB Data'!$C$3:$M$578,9,FALSE)</f>
        <v>35</v>
      </c>
      <c r="BQ886" s="117">
        <f>VLOOKUP($D886,'WB Data'!$C$3:$M$578,10,FALSE)</f>
        <v>67.846341463414646</v>
      </c>
      <c r="BR886" s="117">
        <f>VLOOKUP($D886,'WB Data'!$C$3:$M$578,11,FALSE)</f>
        <v>31.7</v>
      </c>
      <c r="BS886" s="129">
        <f>IFERROR(VLOOKUP($D886,'WB Data 2'!$C$2:$K$545,9,FALSE),"..")</f>
        <v>94.921390000000002</v>
      </c>
      <c r="BT886" s="129" t="str">
        <f>_xlfn.IFNA(VLOOKUP($C886,RGI!$A$2:$C$43,2,FALSE),"..")</f>
        <v>..</v>
      </c>
      <c r="BU886" s="129" t="str">
        <f>_xlfn.IFNA(VLOOKUP($C886,RGI!$A$2:$C$43,3,FALSE),"..")</f>
        <v>..</v>
      </c>
      <c r="BV886" s="129">
        <f>VLOOKUP($D886,WGI!$C$2:$O$478,7,FALSE)</f>
        <v>-0.94869703075312295</v>
      </c>
      <c r="BW886" s="129">
        <f>VLOOKUP($D886,WGI!$C$2:$O$478,4,FALSE)</f>
        <v>-1.00640824404331</v>
      </c>
      <c r="BX886" s="129">
        <f>VLOOKUP($D886,WGI!$C$2:$O$478,3,FALSE)</f>
        <v>-0.74999233625046102</v>
      </c>
      <c r="BY886" s="129">
        <f>VLOOKUP($D886,WGI!$C$2:$O$478,5,FALSE)</f>
        <v>-0.40526827434856499</v>
      </c>
      <c r="BZ886" s="129">
        <f>VLOOKUP($D886,WGI!$C$2:$O$478,2,FALSE)</f>
        <v>-1.2406601372186701</v>
      </c>
    </row>
    <row r="887" spans="1:80" ht="15" customHeight="1">
      <c r="A887" s="294" t="s">
        <v>289</v>
      </c>
      <c r="B887" s="117">
        <v>2007</v>
      </c>
      <c r="C887" s="117" t="s">
        <v>285</v>
      </c>
      <c r="D887" s="117" t="s">
        <v>3567</v>
      </c>
      <c r="E887" s="452" t="s">
        <v>39</v>
      </c>
      <c r="F887" s="117"/>
      <c r="G887" s="117" t="s">
        <v>24</v>
      </c>
      <c r="H887" s="117" t="str">
        <f t="shared" si="145"/>
        <v>yes</v>
      </c>
      <c r="I887" s="117" t="str">
        <f t="shared" si="146"/>
        <v>no</v>
      </c>
      <c r="J887" s="117" t="str">
        <f t="shared" si="147"/>
        <v>no</v>
      </c>
      <c r="K887" s="117" t="s">
        <v>1491</v>
      </c>
      <c r="L887" s="117" t="str">
        <f t="shared" si="148"/>
        <v>detailed</v>
      </c>
      <c r="M887" s="117" t="str">
        <f t="shared" si="149"/>
        <v>detailed Mining</v>
      </c>
      <c r="N887" s="118">
        <v>250</v>
      </c>
      <c r="O887" s="118"/>
      <c r="P887" s="118"/>
      <c r="Q887" s="118"/>
      <c r="R887" s="118"/>
      <c r="S887" s="117" t="s">
        <v>610</v>
      </c>
      <c r="T887" s="119">
        <f>530/0.035</f>
        <v>15142.857142857141</v>
      </c>
      <c r="U887" s="117" t="s">
        <v>611</v>
      </c>
      <c r="V887" s="117" t="s">
        <v>1503</v>
      </c>
      <c r="W887" s="89">
        <f>N887*T887</f>
        <v>3785714.2857142854</v>
      </c>
      <c r="X887" s="117"/>
      <c r="Y887" s="117"/>
      <c r="Z887" s="117"/>
      <c r="AA887" s="177"/>
      <c r="AB887" s="177"/>
      <c r="AC887" s="122"/>
      <c r="AD887" s="122"/>
      <c r="AE887" s="122"/>
      <c r="AF887" s="123"/>
      <c r="AG887" s="117"/>
      <c r="AH887" s="124"/>
      <c r="AI887" s="117"/>
      <c r="AJ887" s="117"/>
      <c r="AK887" s="89"/>
      <c r="AL887" s="117"/>
      <c r="AM887" s="117"/>
      <c r="AN887" s="117"/>
      <c r="AO887" s="117"/>
      <c r="AP887" s="117"/>
      <c r="AQ887" s="117"/>
      <c r="AR887" s="126"/>
      <c r="AS887" s="117"/>
      <c r="AT887" s="117"/>
      <c r="AU887" s="117"/>
      <c r="AV887" s="128" t="s">
        <v>1499</v>
      </c>
      <c r="AW887" s="117">
        <f>VLOOKUP($D887,'WB Data'!$C$3:$M$578,2,FALSE)</f>
        <v>3802566170.8154349</v>
      </c>
      <c r="AX887" s="117">
        <f>VLOOKUP($D887,'WB Data'!$C$3:$M$578,3,FALSE)</f>
        <v>5268400</v>
      </c>
      <c r="AY887" s="847">
        <f t="shared" si="141"/>
        <v>7.4187237598946276E-3</v>
      </c>
      <c r="AZ887" s="117">
        <f>VLOOKUP($D887,'WB Data'!$C$3:$M$578,4,FALSE)/100</f>
        <v>0.20723230468147122</v>
      </c>
      <c r="BA887" s="117">
        <f t="shared" si="142"/>
        <v>788014551.28187954</v>
      </c>
      <c r="BB887" s="129">
        <f>IFERROR(VLOOKUP($D887,'EITI Revenues'!$C$2:$G$224,5,FALSE),"..")</f>
        <v>28210188</v>
      </c>
      <c r="BC887" s="846">
        <f t="shared" si="143"/>
        <v>3.5799069895485945E-2</v>
      </c>
      <c r="BD887" s="129">
        <f>VLOOKUP($D887,'WB Data 2'!$C$2:$K$545,6,FALSE)</f>
        <v>268692909.42354131</v>
      </c>
      <c r="BE887" s="129" t="str">
        <f>IFERROR(VLOOKUP($D887,UNCTAD!$C$5:$V$529,4,FALSE),"..")</f>
        <v>..</v>
      </c>
      <c r="BF887" s="846" t="str">
        <f t="shared" si="144"/>
        <v>..</v>
      </c>
      <c r="BG887" s="117">
        <f>VLOOKUP($D887,'WB Data'!$C$3:$M$578,5,FALSE)</f>
        <v>274450000</v>
      </c>
      <c r="BH887" s="129">
        <f>IFERROR($BB887/$BG887,"..")</f>
        <v>0.10278807797413007</v>
      </c>
      <c r="BI887" s="117">
        <f>IFERROR(VLOOKUP($D887,'WB Data'!$C$3:$M$578,7,FALSE)/100,"..")</f>
        <v>6.4669999999999991E-2</v>
      </c>
      <c r="BJ887" s="117">
        <f>IFERROR($BI887*$AW887,"..")</f>
        <v>245911954.26663414</v>
      </c>
      <c r="BK887" s="846">
        <f>IFERROR($BB887/$BJ887,"..")</f>
        <v>0.11471661914171376</v>
      </c>
      <c r="BL887" s="117">
        <f>IFERROR(VLOOKUP($D887,'WB Data'!$C$3:$M$578,7,FALSE)/100,"..")</f>
        <v>6.4669999999999991E-2</v>
      </c>
      <c r="BM887" s="117">
        <f>IFERROR($AW887*$BL887,"..")</f>
        <v>245911954.26663414</v>
      </c>
      <c r="BN887" s="846">
        <f>IFERROR($BB887/$BM887,"..")</f>
        <v>0.11471661914171376</v>
      </c>
      <c r="BO887" s="801" t="str">
        <f t="shared" si="140"/>
        <v>..</v>
      </c>
      <c r="BP887" s="117">
        <f>VLOOKUP($D887,'WB Data'!$C$3:$M$578,9,FALSE)</f>
        <v>35</v>
      </c>
      <c r="BQ887" s="117">
        <f>VLOOKUP($D887,'WB Data'!$C$3:$M$578,10,FALSE)</f>
        <v>67.846341463414646</v>
      </c>
      <c r="BR887" s="117">
        <f>VLOOKUP($D887,'WB Data'!$C$3:$M$578,11,FALSE)</f>
        <v>31.7</v>
      </c>
      <c r="BS887" s="129">
        <f>IFERROR(VLOOKUP($D887,'WB Data 2'!$C$2:$K$545,9,FALSE),"..")</f>
        <v>94.921390000000002</v>
      </c>
      <c r="BT887" s="129" t="str">
        <f>_xlfn.IFNA(VLOOKUP($C887,RGI!$A$2:$C$43,2,FALSE),"..")</f>
        <v>..</v>
      </c>
      <c r="BU887" s="129" t="str">
        <f>_xlfn.IFNA(VLOOKUP($C887,RGI!$A$2:$C$43,3,FALSE),"..")</f>
        <v>..</v>
      </c>
      <c r="BV887" s="129">
        <f>VLOOKUP($D887,WGI!$C$2:$O$478,7,FALSE)</f>
        <v>-0.94869703075312295</v>
      </c>
      <c r="BW887" s="129">
        <f>VLOOKUP($D887,WGI!$C$2:$O$478,4,FALSE)</f>
        <v>-1.00640824404331</v>
      </c>
      <c r="BX887" s="129">
        <f>VLOOKUP($D887,WGI!$C$2:$O$478,3,FALSE)</f>
        <v>-0.74999233625046102</v>
      </c>
      <c r="BY887" s="129">
        <f>VLOOKUP($D887,WGI!$C$2:$O$478,5,FALSE)</f>
        <v>-0.40526827434856499</v>
      </c>
      <c r="BZ887" s="129">
        <f>VLOOKUP($D887,WGI!$C$2:$O$478,2,FALSE)</f>
        <v>-1.2406601372186701</v>
      </c>
    </row>
    <row r="888" spans="1:80" ht="15" customHeight="1">
      <c r="A888" s="294" t="s">
        <v>289</v>
      </c>
      <c r="B888" s="117">
        <v>2007</v>
      </c>
      <c r="C888" s="117" t="s">
        <v>285</v>
      </c>
      <c r="D888" s="117" t="s">
        <v>3567</v>
      </c>
      <c r="E888" s="452" t="s">
        <v>39</v>
      </c>
      <c r="F888" s="117"/>
      <c r="G888" s="117" t="s">
        <v>24</v>
      </c>
      <c r="H888" s="117" t="str">
        <f t="shared" si="145"/>
        <v>yes</v>
      </c>
      <c r="I888" s="117" t="str">
        <f t="shared" si="146"/>
        <v>no</v>
      </c>
      <c r="J888" s="117" t="str">
        <f t="shared" si="147"/>
        <v>no</v>
      </c>
      <c r="K888" s="117" t="s">
        <v>1493</v>
      </c>
      <c r="L888" s="117" t="str">
        <f t="shared" si="148"/>
        <v>detailed</v>
      </c>
      <c r="M888" s="117" t="str">
        <f t="shared" si="149"/>
        <v>detailed Mining</v>
      </c>
      <c r="N888" s="118">
        <v>250</v>
      </c>
      <c r="O888" s="118"/>
      <c r="P888" s="118"/>
      <c r="Q888" s="118"/>
      <c r="R888" s="118"/>
      <c r="S888" s="117" t="s">
        <v>610</v>
      </c>
      <c r="T888" s="119">
        <v>66790</v>
      </c>
      <c r="U888" s="117" t="s">
        <v>611</v>
      </c>
      <c r="V888" s="117" t="s">
        <v>1503</v>
      </c>
      <c r="W888" s="89">
        <f>N888*T888</f>
        <v>16697500</v>
      </c>
      <c r="X888" s="117"/>
      <c r="Y888" s="117"/>
      <c r="Z888" s="117"/>
      <c r="AA888" s="177"/>
      <c r="AB888" s="177"/>
      <c r="AC888" s="122"/>
      <c r="AD888" s="122"/>
      <c r="AE888" s="122"/>
      <c r="AF888" s="123"/>
      <c r="AG888" s="117"/>
      <c r="AH888" s="124"/>
      <c r="AI888" s="117"/>
      <c r="AJ888" s="117"/>
      <c r="AK888" s="89"/>
      <c r="AL888" s="117"/>
      <c r="AM888" s="117"/>
      <c r="AN888" s="117"/>
      <c r="AO888" s="117"/>
      <c r="AP888" s="117"/>
      <c r="AQ888" s="117"/>
      <c r="AR888" s="126"/>
      <c r="AS888" s="117"/>
      <c r="AT888" s="117"/>
      <c r="AU888" s="117"/>
      <c r="AV888" s="128" t="s">
        <v>1499</v>
      </c>
      <c r="AW888" s="117">
        <f>VLOOKUP($D888,'WB Data'!$C$3:$M$578,2,FALSE)</f>
        <v>3802566170.8154349</v>
      </c>
      <c r="AX888" s="117">
        <f>VLOOKUP($D888,'WB Data'!$C$3:$M$578,3,FALSE)</f>
        <v>5268400</v>
      </c>
      <c r="AY888" s="847">
        <f t="shared" si="141"/>
        <v>7.4187237598946276E-3</v>
      </c>
      <c r="AZ888" s="117">
        <f>VLOOKUP($D888,'WB Data'!$C$3:$M$578,4,FALSE)/100</f>
        <v>0.20723230468147122</v>
      </c>
      <c r="BA888" s="117">
        <f t="shared" si="142"/>
        <v>788014551.28187954</v>
      </c>
      <c r="BB888" s="129">
        <f>IFERROR(VLOOKUP($D888,'EITI Revenues'!$C$2:$G$224,5,FALSE),"..")</f>
        <v>28210188</v>
      </c>
      <c r="BC888" s="846">
        <f t="shared" si="143"/>
        <v>3.5799069895485945E-2</v>
      </c>
      <c r="BD888" s="129">
        <f>VLOOKUP($D888,'WB Data 2'!$C$2:$K$545,6,FALSE)</f>
        <v>268692909.42354131</v>
      </c>
      <c r="BE888" s="129" t="str">
        <f>IFERROR(VLOOKUP($D888,UNCTAD!$C$5:$V$529,4,FALSE),"..")</f>
        <v>..</v>
      </c>
      <c r="BF888" s="846" t="str">
        <f t="shared" si="144"/>
        <v>..</v>
      </c>
      <c r="BG888" s="117">
        <f>VLOOKUP($D888,'WB Data'!$C$3:$M$578,5,FALSE)</f>
        <v>274450000</v>
      </c>
      <c r="BH888" s="129">
        <f>IFERROR($BB888/$BG888,"..")</f>
        <v>0.10278807797413007</v>
      </c>
      <c r="BI888" s="117">
        <f>IFERROR(VLOOKUP($D888,'WB Data'!$C$3:$M$578,7,FALSE)/100,"..")</f>
        <v>6.4669999999999991E-2</v>
      </c>
      <c r="BJ888" s="117">
        <f>IFERROR($BI888*$AW888,"..")</f>
        <v>245911954.26663414</v>
      </c>
      <c r="BK888" s="846">
        <f>IFERROR($BB888/$BJ888,"..")</f>
        <v>0.11471661914171376</v>
      </c>
      <c r="BL888" s="117">
        <f>IFERROR(VLOOKUP($D888,'WB Data'!$C$3:$M$578,7,FALSE)/100,"..")</f>
        <v>6.4669999999999991E-2</v>
      </c>
      <c r="BM888" s="117">
        <f>IFERROR($AW888*$BL888,"..")</f>
        <v>245911954.26663414</v>
      </c>
      <c r="BN888" s="846">
        <f>IFERROR($BB888/$BM888,"..")</f>
        <v>0.11471661914171376</v>
      </c>
      <c r="BO888" s="801" t="str">
        <f t="shared" si="140"/>
        <v>..</v>
      </c>
      <c r="BP888" s="117">
        <f>VLOOKUP($D888,'WB Data'!$C$3:$M$578,9,FALSE)</f>
        <v>35</v>
      </c>
      <c r="BQ888" s="117">
        <f>VLOOKUP($D888,'WB Data'!$C$3:$M$578,10,FALSE)</f>
        <v>67.846341463414646</v>
      </c>
      <c r="BR888" s="117">
        <f>VLOOKUP($D888,'WB Data'!$C$3:$M$578,11,FALSE)</f>
        <v>31.7</v>
      </c>
      <c r="BS888" s="129">
        <f>IFERROR(VLOOKUP($D888,'WB Data 2'!$C$2:$K$545,9,FALSE),"..")</f>
        <v>94.921390000000002</v>
      </c>
      <c r="BT888" s="129" t="str">
        <f>_xlfn.IFNA(VLOOKUP($C888,RGI!$A$2:$C$43,2,FALSE),"..")</f>
        <v>..</v>
      </c>
      <c r="BU888" s="129" t="str">
        <f>_xlfn.IFNA(VLOOKUP($C888,RGI!$A$2:$C$43,3,FALSE),"..")</f>
        <v>..</v>
      </c>
      <c r="BV888" s="129">
        <f>VLOOKUP($D888,WGI!$C$2:$O$478,7,FALSE)</f>
        <v>-0.94869703075312295</v>
      </c>
      <c r="BW888" s="129">
        <f>VLOOKUP($D888,WGI!$C$2:$O$478,4,FALSE)</f>
        <v>-1.00640824404331</v>
      </c>
      <c r="BX888" s="129">
        <f>VLOOKUP($D888,WGI!$C$2:$O$478,3,FALSE)</f>
        <v>-0.74999233625046102</v>
      </c>
      <c r="BY888" s="129">
        <f>VLOOKUP($D888,WGI!$C$2:$O$478,5,FALSE)</f>
        <v>-0.40526827434856499</v>
      </c>
      <c r="BZ888" s="129">
        <f>VLOOKUP($D888,WGI!$C$2:$O$478,2,FALSE)</f>
        <v>-1.2406601372186701</v>
      </c>
    </row>
    <row r="889" spans="1:80" ht="15" customHeight="1">
      <c r="A889" s="294" t="s">
        <v>289</v>
      </c>
      <c r="B889" s="117">
        <v>2007</v>
      </c>
      <c r="C889" s="117" t="s">
        <v>285</v>
      </c>
      <c r="D889" s="117" t="s">
        <v>3567</v>
      </c>
      <c r="E889" s="452" t="s">
        <v>39</v>
      </c>
      <c r="F889" s="117"/>
      <c r="G889" s="117" t="s">
        <v>24</v>
      </c>
      <c r="H889" s="117" t="str">
        <f t="shared" si="145"/>
        <v>yes</v>
      </c>
      <c r="I889" s="117" t="str">
        <f t="shared" si="146"/>
        <v>no</v>
      </c>
      <c r="J889" s="117" t="str">
        <f t="shared" si="147"/>
        <v>no</v>
      </c>
      <c r="K889" s="117" t="s">
        <v>1496</v>
      </c>
      <c r="L889" s="117" t="str">
        <f t="shared" si="148"/>
        <v>detailed</v>
      </c>
      <c r="M889" s="117" t="str">
        <f t="shared" si="149"/>
        <v>detailed Mining</v>
      </c>
      <c r="N889" s="118">
        <f>597900*1.6</f>
        <v>956640</v>
      </c>
      <c r="O889" s="118"/>
      <c r="P889" s="118"/>
      <c r="Q889" s="118"/>
      <c r="R889" s="118"/>
      <c r="S889" s="117" t="s">
        <v>610</v>
      </c>
      <c r="T889" s="119">
        <v>7.01</v>
      </c>
      <c r="U889" s="117" t="s">
        <v>611</v>
      </c>
      <c r="V889" s="117" t="s">
        <v>1506</v>
      </c>
      <c r="W889" s="89">
        <f>N889*T889</f>
        <v>6706046.3999999994</v>
      </c>
      <c r="X889" s="117"/>
      <c r="Y889" s="117"/>
      <c r="Z889" s="117"/>
      <c r="AA889" s="177"/>
      <c r="AB889" s="177"/>
      <c r="AC889" s="122"/>
      <c r="AD889" s="122"/>
      <c r="AE889" s="122"/>
      <c r="AF889" s="123"/>
      <c r="AG889" s="117"/>
      <c r="AH889" s="124"/>
      <c r="AI889" s="117"/>
      <c r="AJ889" s="117"/>
      <c r="AK889" s="89"/>
      <c r="AL889" s="117"/>
      <c r="AM889" s="117"/>
      <c r="AN889" s="117"/>
      <c r="AO889" s="117"/>
      <c r="AP889" s="117"/>
      <c r="AQ889" s="117"/>
      <c r="AR889" s="126"/>
      <c r="AS889" s="117"/>
      <c r="AT889" s="117"/>
      <c r="AU889" s="117"/>
      <c r="AV889" s="128" t="s">
        <v>1499</v>
      </c>
      <c r="AW889" s="117">
        <f>VLOOKUP($D889,'WB Data'!$C$3:$M$578,2,FALSE)</f>
        <v>3802566170.8154349</v>
      </c>
      <c r="AX889" s="117">
        <f>VLOOKUP($D889,'WB Data'!$C$3:$M$578,3,FALSE)</f>
        <v>5268400</v>
      </c>
      <c r="AY889" s="847">
        <f t="shared" si="141"/>
        <v>7.4187237598946276E-3</v>
      </c>
      <c r="AZ889" s="117">
        <f>VLOOKUP($D889,'WB Data'!$C$3:$M$578,4,FALSE)/100</f>
        <v>0.20723230468147122</v>
      </c>
      <c r="BA889" s="117">
        <f t="shared" si="142"/>
        <v>788014551.28187954</v>
      </c>
      <c r="BB889" s="129">
        <f>IFERROR(VLOOKUP($D889,'EITI Revenues'!$C$2:$G$224,5,FALSE),"..")</f>
        <v>28210188</v>
      </c>
      <c r="BC889" s="846">
        <f t="shared" si="143"/>
        <v>3.5799069895485945E-2</v>
      </c>
      <c r="BD889" s="129">
        <f>VLOOKUP($D889,'WB Data 2'!$C$2:$K$545,6,FALSE)</f>
        <v>268692909.42354131</v>
      </c>
      <c r="BE889" s="129" t="str">
        <f>IFERROR(VLOOKUP($D889,UNCTAD!$C$5:$V$529,4,FALSE),"..")</f>
        <v>..</v>
      </c>
      <c r="BF889" s="846" t="str">
        <f t="shared" si="144"/>
        <v>..</v>
      </c>
      <c r="BG889" s="117">
        <f>VLOOKUP($D889,'WB Data'!$C$3:$M$578,5,FALSE)</f>
        <v>274450000</v>
      </c>
      <c r="BH889" s="129">
        <f>IFERROR($BB889/$BG889,"..")</f>
        <v>0.10278807797413007</v>
      </c>
      <c r="BI889" s="117">
        <f>IFERROR(VLOOKUP($D889,'WB Data'!$C$3:$M$578,7,FALSE)/100,"..")</f>
        <v>6.4669999999999991E-2</v>
      </c>
      <c r="BJ889" s="117">
        <f>IFERROR($BI889*$AW889,"..")</f>
        <v>245911954.26663414</v>
      </c>
      <c r="BK889" s="846">
        <f>IFERROR($BB889/$BJ889,"..")</f>
        <v>0.11471661914171376</v>
      </c>
      <c r="BL889" s="117">
        <f>IFERROR(VLOOKUP($D889,'WB Data'!$C$3:$M$578,7,FALSE)/100,"..")</f>
        <v>6.4669999999999991E-2</v>
      </c>
      <c r="BM889" s="117">
        <f>IFERROR($AW889*$BL889,"..")</f>
        <v>245911954.26663414</v>
      </c>
      <c r="BN889" s="846">
        <f>IFERROR($BB889/$BM889,"..")</f>
        <v>0.11471661914171376</v>
      </c>
      <c r="BO889" s="801" t="str">
        <f t="shared" si="140"/>
        <v>..</v>
      </c>
      <c r="BP889" s="117">
        <f>VLOOKUP($D889,'WB Data'!$C$3:$M$578,9,FALSE)</f>
        <v>35</v>
      </c>
      <c r="BQ889" s="117">
        <f>VLOOKUP($D889,'WB Data'!$C$3:$M$578,10,FALSE)</f>
        <v>67.846341463414646</v>
      </c>
      <c r="BR889" s="117">
        <f>VLOOKUP($D889,'WB Data'!$C$3:$M$578,11,FALSE)</f>
        <v>31.7</v>
      </c>
      <c r="BS889" s="129">
        <f>IFERROR(VLOOKUP($D889,'WB Data 2'!$C$2:$K$545,9,FALSE),"..")</f>
        <v>94.921390000000002</v>
      </c>
      <c r="BT889" s="129" t="str">
        <f>_xlfn.IFNA(VLOOKUP($C889,RGI!$A$2:$C$43,2,FALSE),"..")</f>
        <v>..</v>
      </c>
      <c r="BU889" s="129" t="str">
        <f>_xlfn.IFNA(VLOOKUP($C889,RGI!$A$2:$C$43,3,FALSE),"..")</f>
        <v>..</v>
      </c>
      <c r="BV889" s="129">
        <f>VLOOKUP($D889,WGI!$C$2:$O$478,7,FALSE)</f>
        <v>-0.94869703075312295</v>
      </c>
      <c r="BW889" s="129">
        <f>VLOOKUP($D889,WGI!$C$2:$O$478,4,FALSE)</f>
        <v>-1.00640824404331</v>
      </c>
      <c r="BX889" s="129">
        <f>VLOOKUP($D889,WGI!$C$2:$O$478,3,FALSE)</f>
        <v>-0.74999233625046102</v>
      </c>
      <c r="BY889" s="129">
        <f>VLOOKUP($D889,WGI!$C$2:$O$478,5,FALSE)</f>
        <v>-0.40526827434856499</v>
      </c>
      <c r="BZ889" s="129">
        <f>VLOOKUP($D889,WGI!$C$2:$O$478,2,FALSE)</f>
        <v>-1.2406601372186701</v>
      </c>
    </row>
    <row r="890" spans="1:80" s="144" customFormat="1" ht="15" customHeight="1">
      <c r="A890" s="296" t="s">
        <v>290</v>
      </c>
      <c r="B890" s="132">
        <v>2008</v>
      </c>
      <c r="C890" s="132" t="s">
        <v>285</v>
      </c>
      <c r="D890" s="117" t="s">
        <v>3601</v>
      </c>
      <c r="E890" s="450" t="s">
        <v>39</v>
      </c>
      <c r="F890" s="132" t="s">
        <v>1467</v>
      </c>
      <c r="G890" s="132" t="s">
        <v>35</v>
      </c>
      <c r="H890" s="117" t="str">
        <f t="shared" si="145"/>
        <v>yes</v>
      </c>
      <c r="I890" s="117" t="str">
        <f t="shared" si="146"/>
        <v>yes</v>
      </c>
      <c r="J890" s="117" t="str">
        <f t="shared" si="147"/>
        <v>yes</v>
      </c>
      <c r="K890" s="132" t="s">
        <v>709</v>
      </c>
      <c r="L890" s="117" t="str">
        <f t="shared" si="148"/>
        <v>Total</v>
      </c>
      <c r="M890" s="117" t="str">
        <f t="shared" si="149"/>
        <v>Total Oil, Gas, Mining</v>
      </c>
      <c r="N890" s="133"/>
      <c r="O890" s="133"/>
      <c r="P890" s="133"/>
      <c r="Q890" s="133"/>
      <c r="R890" s="133"/>
      <c r="S890" s="132"/>
      <c r="T890" s="134"/>
      <c r="U890" s="132"/>
      <c r="V890" s="132"/>
      <c r="W890" s="135">
        <f>W891+W894</f>
        <v>776090210.89612758</v>
      </c>
      <c r="X890" s="132" t="s">
        <v>633</v>
      </c>
      <c r="Y890" s="132" t="s">
        <v>602</v>
      </c>
      <c r="Z890" s="132" t="s">
        <v>603</v>
      </c>
      <c r="AA890" s="183">
        <v>72855334</v>
      </c>
      <c r="AB890" s="183">
        <v>74794639</v>
      </c>
      <c r="AC890" s="138"/>
      <c r="AD890" s="138"/>
      <c r="AE890" s="138"/>
      <c r="AF890" s="139">
        <f>AA890/W890</f>
        <v>9.3874826633718489E-2</v>
      </c>
      <c r="AG890" s="132" t="s">
        <v>1480</v>
      </c>
      <c r="AH890" s="140">
        <v>36.56</v>
      </c>
      <c r="AI890" s="132" t="s">
        <v>667</v>
      </c>
      <c r="AJ890" s="132"/>
      <c r="AK890" s="135"/>
      <c r="AL890" s="132"/>
      <c r="AM890" s="132"/>
      <c r="AN890" s="132">
        <v>27</v>
      </c>
      <c r="AO890" s="132" t="s">
        <v>1509</v>
      </c>
      <c r="AP890" s="132">
        <v>26</v>
      </c>
      <c r="AQ890" s="132" t="s">
        <v>172</v>
      </c>
      <c r="AR890" s="141">
        <v>41911</v>
      </c>
      <c r="AS890" s="132" t="s">
        <v>1481</v>
      </c>
      <c r="AT890" s="132" t="s">
        <v>286</v>
      </c>
      <c r="AU890" s="132" t="s">
        <v>1510</v>
      </c>
      <c r="AV890" s="143" t="s">
        <v>1511</v>
      </c>
      <c r="AW890" s="117">
        <f>VLOOKUP($D890,'WB Data'!$C$3:$M$578,2,FALSE)</f>
        <v>5139957784.91084</v>
      </c>
      <c r="AX890" s="117">
        <f>VLOOKUP($D890,'WB Data'!$C$3:$M$578,3,FALSE)</f>
        <v>5318700</v>
      </c>
      <c r="AY890" s="847">
        <f t="shared" si="141"/>
        <v>1.4174305908480098E-2</v>
      </c>
      <c r="AZ890" s="117">
        <f>VLOOKUP($D890,'WB Data'!$C$3:$M$578,4,FALSE)/100</f>
        <v>0.20129508239450739</v>
      </c>
      <c r="BA890" s="117">
        <f t="shared" si="142"/>
        <v>1034648225.8179172</v>
      </c>
      <c r="BB890" s="129">
        <f>IFERROR(VLOOKUP($D890,'EITI Revenues'!$C$2:$G$224,5,FALSE),"..")</f>
        <v>72855334</v>
      </c>
      <c r="BC890" s="846">
        <f t="shared" si="143"/>
        <v>7.0415559783525358E-2</v>
      </c>
      <c r="BD890" s="129">
        <f>VLOOKUP($D890,'WB Data 2'!$C$2:$K$545,6,FALSE)</f>
        <v>174631077.22816646</v>
      </c>
      <c r="BE890" s="129" t="str">
        <f>IFERROR(VLOOKUP($D890,UNCTAD!$C$5:$V$529,4,FALSE),"..")</f>
        <v>..</v>
      </c>
      <c r="BF890" s="846" t="str">
        <f t="shared" si="144"/>
        <v>..</v>
      </c>
      <c r="BG890" s="117">
        <f>VLOOKUP($D890,'WB Data'!$C$3:$M$578,5,FALSE)</f>
        <v>359830000</v>
      </c>
      <c r="BH890" s="129">
        <f>IFERROR($BB890/$BG890,"..")</f>
        <v>0.20247153933802073</v>
      </c>
      <c r="BI890" s="117">
        <f>IFERROR(VLOOKUP($D890,'WB Data'!$C$3:$M$578,7,FALSE)/100,"..")</f>
        <v>5.9131900000000001E-2</v>
      </c>
      <c r="BJ890" s="117">
        <f>IFERROR($BI890*$AW890,"..")</f>
        <v>303935469.74156928</v>
      </c>
      <c r="BK890" s="846">
        <f>IFERROR($BB890/$BJ890,"..")</f>
        <v>0.23970658660520125</v>
      </c>
      <c r="BL890" s="117">
        <f>IFERROR(VLOOKUP($D890,'WB Data'!$C$3:$M$578,7,FALSE)/100,"..")</f>
        <v>5.9131900000000001E-2</v>
      </c>
      <c r="BM890" s="117">
        <f>IFERROR($AW890*$BL890,"..")</f>
        <v>303935469.74156928</v>
      </c>
      <c r="BN890" s="846">
        <f>IFERROR($BB890/$BM890,"..")</f>
        <v>0.23970658660520125</v>
      </c>
      <c r="BO890" s="801" t="str">
        <f t="shared" si="140"/>
        <v>..</v>
      </c>
      <c r="BP890" s="117">
        <f>VLOOKUP($D890,'WB Data'!$C$3:$M$578,9,FALSE)</f>
        <v>31.7</v>
      </c>
      <c r="BQ890" s="117">
        <f>VLOOKUP($D890,'WB Data'!$C$3:$M$578,10,FALSE)</f>
        <v>68.451219512195124</v>
      </c>
      <c r="BR890" s="117">
        <f>VLOOKUP($D890,'WB Data'!$C$3:$M$578,11,FALSE)</f>
        <v>30.2</v>
      </c>
      <c r="BS890" s="129">
        <f>IFERROR(VLOOKUP($D890,'WB Data 2'!$C$2:$K$545,9,FALSE),"..")</f>
        <v>94.302660000000003</v>
      </c>
      <c r="BT890" s="129" t="str">
        <f>_xlfn.IFNA(VLOOKUP($C890,RGI!$A$2:$C$43,2,FALSE),"..")</f>
        <v>..</v>
      </c>
      <c r="BU890" s="129" t="str">
        <f>_xlfn.IFNA(VLOOKUP($C890,RGI!$A$2:$C$43,3,FALSE),"..")</f>
        <v>..</v>
      </c>
      <c r="BV890" s="129">
        <f>VLOOKUP($D890,WGI!$C$2:$O$478,7,FALSE)</f>
        <v>-1.0786996552027499</v>
      </c>
      <c r="BW890" s="129">
        <f>VLOOKUP($D890,WGI!$C$2:$O$478,4,FALSE)</f>
        <v>-0.58212276375498595</v>
      </c>
      <c r="BX890" s="129">
        <f>VLOOKUP($D890,WGI!$C$2:$O$478,3,FALSE)</f>
        <v>-0.76679444361734395</v>
      </c>
      <c r="BY890" s="129">
        <f>VLOOKUP($D890,WGI!$C$2:$O$478,5,FALSE)</f>
        <v>-0.34593290142494398</v>
      </c>
      <c r="BZ890" s="129">
        <f>VLOOKUP($D890,WGI!$C$2:$O$478,2,FALSE)</f>
        <v>-1.1211356630628699</v>
      </c>
      <c r="CB890" s="129"/>
    </row>
    <row r="891" spans="1:80" s="120" customFormat="1" ht="15" customHeight="1">
      <c r="A891" s="294" t="s">
        <v>290</v>
      </c>
      <c r="B891" s="117">
        <v>2008</v>
      </c>
      <c r="C891" s="117" t="s">
        <v>285</v>
      </c>
      <c r="D891" s="117" t="s">
        <v>3601</v>
      </c>
      <c r="E891" s="452" t="s">
        <v>39</v>
      </c>
      <c r="F891" s="117"/>
      <c r="G891" s="117" t="s">
        <v>55</v>
      </c>
      <c r="H891" s="117" t="str">
        <f t="shared" si="145"/>
        <v>no</v>
      </c>
      <c r="I891" s="117" t="str">
        <f t="shared" si="146"/>
        <v>yes</v>
      </c>
      <c r="J891" s="117" t="str">
        <f t="shared" si="147"/>
        <v>yes</v>
      </c>
      <c r="K891" s="117" t="s">
        <v>640</v>
      </c>
      <c r="L891" s="117" t="str">
        <f t="shared" si="148"/>
        <v>Total</v>
      </c>
      <c r="M891" s="117" t="str">
        <f t="shared" si="149"/>
        <v>Total Oil, Gas</v>
      </c>
      <c r="N891" s="118"/>
      <c r="O891" s="118"/>
      <c r="P891" s="118"/>
      <c r="Q891" s="118"/>
      <c r="R891" s="118"/>
      <c r="S891" s="117"/>
      <c r="T891" s="119"/>
      <c r="U891" s="117"/>
      <c r="V891" s="117"/>
      <c r="W891" s="89">
        <f>SUM(W892:W893)</f>
        <v>57217500.600000001</v>
      </c>
      <c r="X891" s="117"/>
      <c r="Y891" s="117"/>
      <c r="Z891" s="117"/>
      <c r="AA891" s="177"/>
      <c r="AB891" s="177"/>
      <c r="AC891" s="122"/>
      <c r="AD891" s="122"/>
      <c r="AE891" s="122"/>
      <c r="AF891" s="123"/>
      <c r="AG891" s="117"/>
      <c r="AH891" s="124"/>
      <c r="AI891" s="117"/>
      <c r="AJ891" s="117"/>
      <c r="AK891" s="89"/>
      <c r="AL891" s="117"/>
      <c r="AM891" s="117"/>
      <c r="AN891" s="117">
        <v>1</v>
      </c>
      <c r="AO891" s="117" t="s">
        <v>1512</v>
      </c>
      <c r="AP891" s="117">
        <v>1</v>
      </c>
      <c r="AQ891" s="117"/>
      <c r="AR891" s="126"/>
      <c r="AS891" s="117"/>
      <c r="AT891" s="117"/>
      <c r="AU891" s="117"/>
      <c r="AV891" s="128"/>
      <c r="AW891" s="117">
        <f>VLOOKUP($D891,'WB Data'!$C$3:$M$578,2,FALSE)</f>
        <v>5139957784.91084</v>
      </c>
      <c r="AX891" s="117">
        <f>VLOOKUP($D891,'WB Data'!$C$3:$M$578,3,FALSE)</f>
        <v>5318700</v>
      </c>
      <c r="AY891" s="847">
        <f t="shared" si="141"/>
        <v>1.4174305908480098E-2</v>
      </c>
      <c r="AZ891" s="117">
        <f>VLOOKUP($D891,'WB Data'!$C$3:$M$578,4,FALSE)/100</f>
        <v>0.20129508239450739</v>
      </c>
      <c r="BA891" s="117">
        <f t="shared" si="142"/>
        <v>1034648225.8179172</v>
      </c>
      <c r="BB891" s="129">
        <f>IFERROR(VLOOKUP($D891,'EITI Revenues'!$C$2:$G$224,5,FALSE),"..")</f>
        <v>72855334</v>
      </c>
      <c r="BC891" s="846">
        <f t="shared" si="143"/>
        <v>7.0415559783525358E-2</v>
      </c>
      <c r="BD891" s="129">
        <f>VLOOKUP($D891,'WB Data 2'!$C$2:$K$545,6,FALSE)</f>
        <v>174631077.22816646</v>
      </c>
      <c r="BE891" s="129" t="str">
        <f>IFERROR(VLOOKUP($D891,UNCTAD!$C$5:$V$529,4,FALSE),"..")</f>
        <v>..</v>
      </c>
      <c r="BF891" s="846" t="str">
        <f t="shared" si="144"/>
        <v>..</v>
      </c>
      <c r="BG891" s="117">
        <f>VLOOKUP($D891,'WB Data'!$C$3:$M$578,5,FALSE)</f>
        <v>359830000</v>
      </c>
      <c r="BH891" s="129">
        <f>IFERROR($BB891/$BG891,"..")</f>
        <v>0.20247153933802073</v>
      </c>
      <c r="BI891" s="117">
        <f>IFERROR(VLOOKUP($D891,'WB Data'!$C$3:$M$578,7,FALSE)/100,"..")</f>
        <v>5.9131900000000001E-2</v>
      </c>
      <c r="BJ891" s="117">
        <f>IFERROR($BI891*$AW891,"..")</f>
        <v>303935469.74156928</v>
      </c>
      <c r="BK891" s="846">
        <f>IFERROR($BB891/$BJ891,"..")</f>
        <v>0.23970658660520125</v>
      </c>
      <c r="BL891" s="117">
        <f>IFERROR(VLOOKUP($D891,'WB Data'!$C$3:$M$578,7,FALSE)/100,"..")</f>
        <v>5.9131900000000001E-2</v>
      </c>
      <c r="BM891" s="117">
        <f>IFERROR($AW891*$BL891,"..")</f>
        <v>303935469.74156928</v>
      </c>
      <c r="BN891" s="846">
        <f>IFERROR($BB891/$BM891,"..")</f>
        <v>0.23970658660520125</v>
      </c>
      <c r="BO891" s="801" t="str">
        <f t="shared" si="140"/>
        <v>..</v>
      </c>
      <c r="BP891" s="117">
        <f>VLOOKUP($D891,'WB Data'!$C$3:$M$578,9,FALSE)</f>
        <v>31.7</v>
      </c>
      <c r="BQ891" s="117">
        <f>VLOOKUP($D891,'WB Data'!$C$3:$M$578,10,FALSE)</f>
        <v>68.451219512195124</v>
      </c>
      <c r="BR891" s="117">
        <f>VLOOKUP($D891,'WB Data'!$C$3:$M$578,11,FALSE)</f>
        <v>30.2</v>
      </c>
      <c r="BS891" s="129">
        <f>IFERROR(VLOOKUP($D891,'WB Data 2'!$C$2:$K$545,9,FALSE),"..")</f>
        <v>94.302660000000003</v>
      </c>
      <c r="BT891" s="129" t="str">
        <f>_xlfn.IFNA(VLOOKUP($C891,RGI!$A$2:$C$43,2,FALSE),"..")</f>
        <v>..</v>
      </c>
      <c r="BU891" s="129" t="str">
        <f>_xlfn.IFNA(VLOOKUP($C891,RGI!$A$2:$C$43,3,FALSE),"..")</f>
        <v>..</v>
      </c>
      <c r="BV891" s="129">
        <f>VLOOKUP($D891,WGI!$C$2:$O$478,7,FALSE)</f>
        <v>-1.0786996552027499</v>
      </c>
      <c r="BW891" s="129">
        <f>VLOOKUP($D891,WGI!$C$2:$O$478,4,FALSE)</f>
        <v>-0.58212276375498595</v>
      </c>
      <c r="BX891" s="129">
        <f>VLOOKUP($D891,WGI!$C$2:$O$478,3,FALSE)</f>
        <v>-0.76679444361734395</v>
      </c>
      <c r="BY891" s="129">
        <f>VLOOKUP($D891,WGI!$C$2:$O$478,5,FALSE)</f>
        <v>-0.34593290142494398</v>
      </c>
      <c r="BZ891" s="129">
        <f>VLOOKUP($D891,WGI!$C$2:$O$478,2,FALSE)</f>
        <v>-1.1211356630628699</v>
      </c>
      <c r="CB891" s="129"/>
    </row>
    <row r="892" spans="1:80" s="120" customFormat="1" ht="15" customHeight="1">
      <c r="A892" s="294" t="s">
        <v>290</v>
      </c>
      <c r="B892" s="117">
        <v>2008</v>
      </c>
      <c r="C892" s="117" t="s">
        <v>285</v>
      </c>
      <c r="D892" s="117" t="s">
        <v>3601</v>
      </c>
      <c r="E892" s="452" t="s">
        <v>39</v>
      </c>
      <c r="F892" s="117"/>
      <c r="G892" s="117" t="s">
        <v>561</v>
      </c>
      <c r="H892" s="117" t="str">
        <f t="shared" si="145"/>
        <v>no</v>
      </c>
      <c r="I892" s="117" t="str">
        <f t="shared" si="146"/>
        <v>yes</v>
      </c>
      <c r="J892" s="117" t="str">
        <f t="shared" si="147"/>
        <v>no</v>
      </c>
      <c r="K892" s="117" t="s">
        <v>561</v>
      </c>
      <c r="L892" s="117" t="str">
        <f t="shared" si="148"/>
        <v>detailed</v>
      </c>
      <c r="M892" s="117" t="str">
        <f t="shared" si="149"/>
        <v>detailed Gas</v>
      </c>
      <c r="N892" s="118">
        <v>19800000</v>
      </c>
      <c r="O892" s="118"/>
      <c r="P892" s="118"/>
      <c r="Q892" s="118"/>
      <c r="R892" s="118"/>
      <c r="S892" s="117" t="s">
        <v>642</v>
      </c>
      <c r="T892" s="119">
        <v>0.32879700000000006</v>
      </c>
      <c r="U892" s="117" t="s">
        <v>643</v>
      </c>
      <c r="V892" s="117" t="s">
        <v>1513</v>
      </c>
      <c r="W892" s="89">
        <f>N892*T892</f>
        <v>6510180.6000000015</v>
      </c>
      <c r="X892" s="117"/>
      <c r="Y892" s="117"/>
      <c r="Z892" s="117"/>
      <c r="AA892" s="177"/>
      <c r="AB892" s="177"/>
      <c r="AC892" s="122"/>
      <c r="AD892" s="122"/>
      <c r="AE892" s="122"/>
      <c r="AF892" s="123"/>
      <c r="AG892" s="117"/>
      <c r="AH892" s="124"/>
      <c r="AI892" s="117"/>
      <c r="AJ892" s="117"/>
      <c r="AK892" s="89"/>
      <c r="AL892" s="117"/>
      <c r="AM892" s="117"/>
      <c r="AN892" s="117"/>
      <c r="AO892" s="117"/>
      <c r="AP892" s="117"/>
      <c r="AQ892" s="117"/>
      <c r="AR892" s="126"/>
      <c r="AS892" s="117"/>
      <c r="AT892" s="117"/>
      <c r="AU892" s="117"/>
      <c r="AV892" s="128"/>
      <c r="AW892" s="117">
        <f>VLOOKUP($D892,'WB Data'!$C$3:$M$578,2,FALSE)</f>
        <v>5139957784.91084</v>
      </c>
      <c r="AX892" s="117">
        <f>VLOOKUP($D892,'WB Data'!$C$3:$M$578,3,FALSE)</f>
        <v>5318700</v>
      </c>
      <c r="AY892" s="847">
        <f t="shared" si="141"/>
        <v>1.4174305908480098E-2</v>
      </c>
      <c r="AZ892" s="117">
        <f>VLOOKUP($D892,'WB Data'!$C$3:$M$578,4,FALSE)/100</f>
        <v>0.20129508239450739</v>
      </c>
      <c r="BA892" s="117">
        <f t="shared" si="142"/>
        <v>1034648225.8179172</v>
      </c>
      <c r="BB892" s="129">
        <f>IFERROR(VLOOKUP($D892,'EITI Revenues'!$C$2:$G$224,5,FALSE),"..")</f>
        <v>72855334</v>
      </c>
      <c r="BC892" s="846">
        <f t="shared" si="143"/>
        <v>7.0415559783525358E-2</v>
      </c>
      <c r="BD892" s="129">
        <f>VLOOKUP($D892,'WB Data 2'!$C$2:$K$545,6,FALSE)</f>
        <v>174631077.22816646</v>
      </c>
      <c r="BE892" s="129" t="str">
        <f>IFERROR(VLOOKUP($D892,UNCTAD!$C$5:$V$529,4,FALSE),"..")</f>
        <v>..</v>
      </c>
      <c r="BF892" s="846" t="str">
        <f t="shared" si="144"/>
        <v>..</v>
      </c>
      <c r="BG892" s="117">
        <f>VLOOKUP($D892,'WB Data'!$C$3:$M$578,5,FALSE)</f>
        <v>359830000</v>
      </c>
      <c r="BH892" s="129">
        <f>IFERROR($BB892/$BG892,"..")</f>
        <v>0.20247153933802073</v>
      </c>
      <c r="BI892" s="117">
        <f>IFERROR(VLOOKUP($D892,'WB Data'!$C$3:$M$578,7,FALSE)/100,"..")</f>
        <v>5.9131900000000001E-2</v>
      </c>
      <c r="BJ892" s="117">
        <f>IFERROR($BI892*$AW892,"..")</f>
        <v>303935469.74156928</v>
      </c>
      <c r="BK892" s="846">
        <f>IFERROR($BB892/$BJ892,"..")</f>
        <v>0.23970658660520125</v>
      </c>
      <c r="BL892" s="117">
        <f>IFERROR(VLOOKUP($D892,'WB Data'!$C$3:$M$578,7,FALSE)/100,"..")</f>
        <v>5.9131900000000001E-2</v>
      </c>
      <c r="BM892" s="117">
        <f>IFERROR($AW892*$BL892,"..")</f>
        <v>303935469.74156928</v>
      </c>
      <c r="BN892" s="846">
        <f>IFERROR($BB892/$BM892,"..")</f>
        <v>0.23970658660520125</v>
      </c>
      <c r="BO892" s="801" t="str">
        <f t="shared" si="140"/>
        <v>..</v>
      </c>
      <c r="BP892" s="117">
        <f>VLOOKUP($D892,'WB Data'!$C$3:$M$578,9,FALSE)</f>
        <v>31.7</v>
      </c>
      <c r="BQ892" s="117">
        <f>VLOOKUP($D892,'WB Data'!$C$3:$M$578,10,FALSE)</f>
        <v>68.451219512195124</v>
      </c>
      <c r="BR892" s="117">
        <f>VLOOKUP($D892,'WB Data'!$C$3:$M$578,11,FALSE)</f>
        <v>30.2</v>
      </c>
      <c r="BS892" s="129">
        <f>IFERROR(VLOOKUP($D892,'WB Data 2'!$C$2:$K$545,9,FALSE),"..")</f>
        <v>94.302660000000003</v>
      </c>
      <c r="BT892" s="129" t="str">
        <f>_xlfn.IFNA(VLOOKUP($C892,RGI!$A$2:$C$43,2,FALSE),"..")</f>
        <v>..</v>
      </c>
      <c r="BU892" s="129" t="str">
        <f>_xlfn.IFNA(VLOOKUP($C892,RGI!$A$2:$C$43,3,FALSE),"..")</f>
        <v>..</v>
      </c>
      <c r="BV892" s="129">
        <f>VLOOKUP($D892,WGI!$C$2:$O$478,7,FALSE)</f>
        <v>-1.0786996552027499</v>
      </c>
      <c r="BW892" s="129">
        <f>VLOOKUP($D892,WGI!$C$2:$O$478,4,FALSE)</f>
        <v>-0.58212276375498595</v>
      </c>
      <c r="BX892" s="129">
        <f>VLOOKUP($D892,WGI!$C$2:$O$478,3,FALSE)</f>
        <v>-0.76679444361734395</v>
      </c>
      <c r="BY892" s="129">
        <f>VLOOKUP($D892,WGI!$C$2:$O$478,5,FALSE)</f>
        <v>-0.34593290142494398</v>
      </c>
      <c r="BZ892" s="129">
        <f>VLOOKUP($D892,WGI!$C$2:$O$478,2,FALSE)</f>
        <v>-1.1211356630628699</v>
      </c>
      <c r="CB892" s="129"/>
    </row>
    <row r="893" spans="1:80" s="120" customFormat="1" ht="15" customHeight="1">
      <c r="A893" s="294" t="s">
        <v>290</v>
      </c>
      <c r="B893" s="117">
        <v>2008</v>
      </c>
      <c r="C893" s="117" t="s">
        <v>285</v>
      </c>
      <c r="D893" s="117" t="s">
        <v>3601</v>
      </c>
      <c r="E893" s="452" t="s">
        <v>39</v>
      </c>
      <c r="F893" s="117"/>
      <c r="G893" s="117" t="s">
        <v>1514</v>
      </c>
      <c r="H893" s="117" t="str">
        <f t="shared" si="145"/>
        <v>no</v>
      </c>
      <c r="I893" s="117" t="str">
        <f t="shared" si="146"/>
        <v>no</v>
      </c>
      <c r="J893" s="117" t="str">
        <f t="shared" si="147"/>
        <v>no</v>
      </c>
      <c r="K893" s="117" t="s">
        <v>103</v>
      </c>
      <c r="L893" s="117" t="str">
        <f t="shared" si="148"/>
        <v>detailed</v>
      </c>
      <c r="M893" s="117" t="str">
        <f t="shared" si="149"/>
        <v xml:space="preserve">detailed Oil </v>
      </c>
      <c r="N893" s="118">
        <v>516000</v>
      </c>
      <c r="O893" s="118"/>
      <c r="P893" s="118"/>
      <c r="Q893" s="118"/>
      <c r="R893" s="118"/>
      <c r="S893" s="117" t="s">
        <v>646</v>
      </c>
      <c r="T893" s="119">
        <v>98.27</v>
      </c>
      <c r="U893" s="117" t="s">
        <v>673</v>
      </c>
      <c r="V893" s="117" t="s">
        <v>1515</v>
      </c>
      <c r="W893" s="89">
        <f>N893*T893</f>
        <v>50707320</v>
      </c>
      <c r="X893" s="117"/>
      <c r="Y893" s="117"/>
      <c r="Z893" s="117"/>
      <c r="AA893" s="177"/>
      <c r="AB893" s="177"/>
      <c r="AC893" s="122"/>
      <c r="AD893" s="122"/>
      <c r="AE893" s="122"/>
      <c r="AF893" s="123"/>
      <c r="AG893" s="117"/>
      <c r="AH893" s="124"/>
      <c r="AI893" s="117"/>
      <c r="AJ893" s="117"/>
      <c r="AK893" s="89"/>
      <c r="AL893" s="117"/>
      <c r="AM893" s="117"/>
      <c r="AN893" s="117"/>
      <c r="AO893" s="117"/>
      <c r="AP893" s="117"/>
      <c r="AQ893" s="117"/>
      <c r="AR893" s="126"/>
      <c r="AS893" s="117"/>
      <c r="AT893" s="117"/>
      <c r="AU893" s="117"/>
      <c r="AV893" s="128"/>
      <c r="AW893" s="117">
        <f>VLOOKUP($D893,'WB Data'!$C$3:$M$578,2,FALSE)</f>
        <v>5139957784.91084</v>
      </c>
      <c r="AX893" s="117">
        <f>VLOOKUP($D893,'WB Data'!$C$3:$M$578,3,FALSE)</f>
        <v>5318700</v>
      </c>
      <c r="AY893" s="847">
        <f t="shared" si="141"/>
        <v>1.4174305908480098E-2</v>
      </c>
      <c r="AZ893" s="117">
        <f>VLOOKUP($D893,'WB Data'!$C$3:$M$578,4,FALSE)/100</f>
        <v>0.20129508239450739</v>
      </c>
      <c r="BA893" s="117">
        <f t="shared" si="142"/>
        <v>1034648225.8179172</v>
      </c>
      <c r="BB893" s="129">
        <f>IFERROR(VLOOKUP($D893,'EITI Revenues'!$C$2:$G$224,5,FALSE),"..")</f>
        <v>72855334</v>
      </c>
      <c r="BC893" s="846">
        <f t="shared" si="143"/>
        <v>7.0415559783525358E-2</v>
      </c>
      <c r="BD893" s="129">
        <f>VLOOKUP($D893,'WB Data 2'!$C$2:$K$545,6,FALSE)</f>
        <v>174631077.22816646</v>
      </c>
      <c r="BE893" s="129" t="str">
        <f>IFERROR(VLOOKUP($D893,UNCTAD!$C$5:$V$529,4,FALSE),"..")</f>
        <v>..</v>
      </c>
      <c r="BF893" s="846" t="str">
        <f t="shared" si="144"/>
        <v>..</v>
      </c>
      <c r="BG893" s="117">
        <f>VLOOKUP($D893,'WB Data'!$C$3:$M$578,5,FALSE)</f>
        <v>359830000</v>
      </c>
      <c r="BH893" s="129">
        <f>IFERROR($BB893/$BG893,"..")</f>
        <v>0.20247153933802073</v>
      </c>
      <c r="BI893" s="117">
        <f>IFERROR(VLOOKUP($D893,'WB Data'!$C$3:$M$578,7,FALSE)/100,"..")</f>
        <v>5.9131900000000001E-2</v>
      </c>
      <c r="BJ893" s="117">
        <f>IFERROR($BI893*$AW893,"..")</f>
        <v>303935469.74156928</v>
      </c>
      <c r="BK893" s="846">
        <f>IFERROR($BB893/$BJ893,"..")</f>
        <v>0.23970658660520125</v>
      </c>
      <c r="BL893" s="117">
        <f>IFERROR(VLOOKUP($D893,'WB Data'!$C$3:$M$578,7,FALSE)/100,"..")</f>
        <v>5.9131900000000001E-2</v>
      </c>
      <c r="BM893" s="117">
        <f>IFERROR($AW893*$BL893,"..")</f>
        <v>303935469.74156928</v>
      </c>
      <c r="BN893" s="846">
        <f>IFERROR($BB893/$BM893,"..")</f>
        <v>0.23970658660520125</v>
      </c>
      <c r="BO893" s="801" t="str">
        <f t="shared" si="140"/>
        <v>..</v>
      </c>
      <c r="BP893" s="117">
        <f>VLOOKUP($D893,'WB Data'!$C$3:$M$578,9,FALSE)</f>
        <v>31.7</v>
      </c>
      <c r="BQ893" s="117">
        <f>VLOOKUP($D893,'WB Data'!$C$3:$M$578,10,FALSE)</f>
        <v>68.451219512195124</v>
      </c>
      <c r="BR893" s="117">
        <f>VLOOKUP($D893,'WB Data'!$C$3:$M$578,11,FALSE)</f>
        <v>30.2</v>
      </c>
      <c r="BS893" s="129">
        <f>IFERROR(VLOOKUP($D893,'WB Data 2'!$C$2:$K$545,9,FALSE),"..")</f>
        <v>94.302660000000003</v>
      </c>
      <c r="BT893" s="129" t="str">
        <f>_xlfn.IFNA(VLOOKUP($C893,RGI!$A$2:$C$43,2,FALSE),"..")</f>
        <v>..</v>
      </c>
      <c r="BU893" s="129" t="str">
        <f>_xlfn.IFNA(VLOOKUP($C893,RGI!$A$2:$C$43,3,FALSE),"..")</f>
        <v>..</v>
      </c>
      <c r="BV893" s="129">
        <f>VLOOKUP($D893,WGI!$C$2:$O$478,7,FALSE)</f>
        <v>-1.0786996552027499</v>
      </c>
      <c r="BW893" s="129">
        <f>VLOOKUP($D893,WGI!$C$2:$O$478,4,FALSE)</f>
        <v>-0.58212276375498595</v>
      </c>
      <c r="BX893" s="129">
        <f>VLOOKUP($D893,WGI!$C$2:$O$478,3,FALSE)</f>
        <v>-0.76679444361734395</v>
      </c>
      <c r="BY893" s="129">
        <f>VLOOKUP($D893,WGI!$C$2:$O$478,5,FALSE)</f>
        <v>-0.34593290142494398</v>
      </c>
      <c r="BZ893" s="129">
        <f>VLOOKUP($D893,WGI!$C$2:$O$478,2,FALSE)</f>
        <v>-1.1211356630628699</v>
      </c>
      <c r="CB893" s="129"/>
    </row>
    <row r="894" spans="1:80" s="120" customFormat="1" ht="15" customHeight="1">
      <c r="A894" s="294" t="s">
        <v>290</v>
      </c>
      <c r="B894" s="117">
        <v>2008</v>
      </c>
      <c r="C894" s="117" t="s">
        <v>285</v>
      </c>
      <c r="D894" s="117" t="s">
        <v>3601</v>
      </c>
      <c r="E894" s="452" t="s">
        <v>39</v>
      </c>
      <c r="F894" s="117"/>
      <c r="G894" s="117" t="s">
        <v>24</v>
      </c>
      <c r="H894" s="117" t="str">
        <f t="shared" si="145"/>
        <v>yes</v>
      </c>
      <c r="I894" s="117" t="str">
        <f t="shared" si="146"/>
        <v>no</v>
      </c>
      <c r="J894" s="117" t="str">
        <f t="shared" si="147"/>
        <v>no</v>
      </c>
      <c r="K894" s="117" t="s">
        <v>600</v>
      </c>
      <c r="L894" s="117" t="str">
        <f t="shared" si="148"/>
        <v>Total</v>
      </c>
      <c r="M894" s="117" t="str">
        <f t="shared" si="149"/>
        <v>Total Mining</v>
      </c>
      <c r="N894" s="118"/>
      <c r="O894" s="118"/>
      <c r="P894" s="118"/>
      <c r="Q894" s="118"/>
      <c r="R894" s="118"/>
      <c r="S894" s="117"/>
      <c r="T894" s="119"/>
      <c r="U894" s="117"/>
      <c r="V894" s="117"/>
      <c r="W894" s="89">
        <f>SUM(W895:W911)</f>
        <v>718872710.29612756</v>
      </c>
      <c r="X894" s="117"/>
      <c r="Y894" s="117"/>
      <c r="Z894" s="117"/>
      <c r="AA894" s="177"/>
      <c r="AB894" s="177"/>
      <c r="AC894" s="122"/>
      <c r="AD894" s="122"/>
      <c r="AE894" s="122"/>
      <c r="AF894" s="123"/>
      <c r="AG894" s="117"/>
      <c r="AH894" s="124"/>
      <c r="AI894" s="117"/>
      <c r="AJ894" s="117"/>
      <c r="AK894" s="89"/>
      <c r="AL894" s="117"/>
      <c r="AM894" s="117"/>
      <c r="AN894" s="117">
        <v>26</v>
      </c>
      <c r="AO894" s="117" t="s">
        <v>1516</v>
      </c>
      <c r="AP894" s="117">
        <v>25</v>
      </c>
      <c r="AQ894" s="117"/>
      <c r="AR894" s="126"/>
      <c r="AS894" s="117"/>
      <c r="AT894" s="117"/>
      <c r="AU894" s="117"/>
      <c r="AV894" s="128"/>
      <c r="AW894" s="117">
        <f>VLOOKUP($D894,'WB Data'!$C$3:$M$578,2,FALSE)</f>
        <v>5139957784.91084</v>
      </c>
      <c r="AX894" s="117">
        <f>VLOOKUP($D894,'WB Data'!$C$3:$M$578,3,FALSE)</f>
        <v>5318700</v>
      </c>
      <c r="AY894" s="847">
        <f t="shared" si="141"/>
        <v>1.4174305908480098E-2</v>
      </c>
      <c r="AZ894" s="117">
        <f>VLOOKUP($D894,'WB Data'!$C$3:$M$578,4,FALSE)/100</f>
        <v>0.20129508239450739</v>
      </c>
      <c r="BA894" s="117">
        <f t="shared" si="142"/>
        <v>1034648225.8179172</v>
      </c>
      <c r="BB894" s="129">
        <f>IFERROR(VLOOKUP($D894,'EITI Revenues'!$C$2:$G$224,5,FALSE),"..")</f>
        <v>72855334</v>
      </c>
      <c r="BC894" s="846">
        <f t="shared" si="143"/>
        <v>7.0415559783525358E-2</v>
      </c>
      <c r="BD894" s="129">
        <f>VLOOKUP($D894,'WB Data 2'!$C$2:$K$545,6,FALSE)</f>
        <v>174631077.22816646</v>
      </c>
      <c r="BE894" s="129" t="str">
        <f>IFERROR(VLOOKUP($D894,UNCTAD!$C$5:$V$529,4,FALSE),"..")</f>
        <v>..</v>
      </c>
      <c r="BF894" s="846" t="str">
        <f t="shared" si="144"/>
        <v>..</v>
      </c>
      <c r="BG894" s="117">
        <f>VLOOKUP($D894,'WB Data'!$C$3:$M$578,5,FALSE)</f>
        <v>359830000</v>
      </c>
      <c r="BH894" s="129">
        <f>IFERROR($BB894/$BG894,"..")</f>
        <v>0.20247153933802073</v>
      </c>
      <c r="BI894" s="117">
        <f>IFERROR(VLOOKUP($D894,'WB Data'!$C$3:$M$578,7,FALSE)/100,"..")</f>
        <v>5.9131900000000001E-2</v>
      </c>
      <c r="BJ894" s="117">
        <f>IFERROR($BI894*$AW894,"..")</f>
        <v>303935469.74156928</v>
      </c>
      <c r="BK894" s="846">
        <f>IFERROR($BB894/$BJ894,"..")</f>
        <v>0.23970658660520125</v>
      </c>
      <c r="BL894" s="117">
        <f>IFERROR(VLOOKUP($D894,'WB Data'!$C$3:$M$578,7,FALSE)/100,"..")</f>
        <v>5.9131900000000001E-2</v>
      </c>
      <c r="BM894" s="117">
        <f>IFERROR($AW894*$BL894,"..")</f>
        <v>303935469.74156928</v>
      </c>
      <c r="BN894" s="846">
        <f>IFERROR($BB894/$BM894,"..")</f>
        <v>0.23970658660520125</v>
      </c>
      <c r="BO894" s="801" t="str">
        <f t="shared" si="140"/>
        <v>..</v>
      </c>
      <c r="BP894" s="117">
        <f>VLOOKUP($D894,'WB Data'!$C$3:$M$578,9,FALSE)</f>
        <v>31.7</v>
      </c>
      <c r="BQ894" s="117">
        <f>VLOOKUP($D894,'WB Data'!$C$3:$M$578,10,FALSE)</f>
        <v>68.451219512195124</v>
      </c>
      <c r="BR894" s="117">
        <f>VLOOKUP($D894,'WB Data'!$C$3:$M$578,11,FALSE)</f>
        <v>30.2</v>
      </c>
      <c r="BS894" s="129">
        <f>IFERROR(VLOOKUP($D894,'WB Data 2'!$C$2:$K$545,9,FALSE),"..")</f>
        <v>94.302660000000003</v>
      </c>
      <c r="BT894" s="129" t="str">
        <f>_xlfn.IFNA(VLOOKUP($C894,RGI!$A$2:$C$43,2,FALSE),"..")</f>
        <v>..</v>
      </c>
      <c r="BU894" s="129" t="str">
        <f>_xlfn.IFNA(VLOOKUP($C894,RGI!$A$2:$C$43,3,FALSE),"..")</f>
        <v>..</v>
      </c>
      <c r="BV894" s="129">
        <f>VLOOKUP($D894,WGI!$C$2:$O$478,7,FALSE)</f>
        <v>-1.0786996552027499</v>
      </c>
      <c r="BW894" s="129">
        <f>VLOOKUP($D894,WGI!$C$2:$O$478,4,FALSE)</f>
        <v>-0.58212276375498595</v>
      </c>
      <c r="BX894" s="129">
        <f>VLOOKUP($D894,WGI!$C$2:$O$478,3,FALSE)</f>
        <v>-0.76679444361734395</v>
      </c>
      <c r="BY894" s="129">
        <f>VLOOKUP($D894,WGI!$C$2:$O$478,5,FALSE)</f>
        <v>-0.34593290142494398</v>
      </c>
      <c r="BZ894" s="129">
        <f>VLOOKUP($D894,WGI!$C$2:$O$478,2,FALSE)</f>
        <v>-1.1211356630628699</v>
      </c>
      <c r="CB894" s="129"/>
    </row>
    <row r="895" spans="1:80" s="120" customFormat="1" ht="15" customHeight="1">
      <c r="A895" s="294" t="s">
        <v>290</v>
      </c>
      <c r="B895" s="117">
        <v>2008</v>
      </c>
      <c r="C895" s="117" t="s">
        <v>285</v>
      </c>
      <c r="D895" s="117" t="s">
        <v>3601</v>
      </c>
      <c r="E895" s="452" t="s">
        <v>39</v>
      </c>
      <c r="F895" s="117"/>
      <c r="G895" s="117" t="s">
        <v>24</v>
      </c>
      <c r="H895" s="117" t="str">
        <f t="shared" si="145"/>
        <v>yes</v>
      </c>
      <c r="I895" s="117" t="str">
        <f t="shared" si="146"/>
        <v>no</v>
      </c>
      <c r="J895" s="117" t="str">
        <f t="shared" si="147"/>
        <v>no</v>
      </c>
      <c r="K895" s="117" t="s">
        <v>616</v>
      </c>
      <c r="L895" s="117" t="str">
        <f t="shared" si="148"/>
        <v>detailed</v>
      </c>
      <c r="M895" s="117" t="str">
        <f t="shared" si="149"/>
        <v>detailed Mining</v>
      </c>
      <c r="N895" s="118">
        <v>492601</v>
      </c>
      <c r="O895" s="118"/>
      <c r="P895" s="118"/>
      <c r="Q895" s="118"/>
      <c r="R895" s="118"/>
      <c r="S895" s="117" t="s">
        <v>610</v>
      </c>
      <c r="T895" s="119">
        <v>138.17277433644946</v>
      </c>
      <c r="U895" s="117" t="s">
        <v>611</v>
      </c>
      <c r="V895" s="117" t="s">
        <v>1108</v>
      </c>
      <c r="W895" s="89">
        <f>N895*T895</f>
        <v>68064046.810909346</v>
      </c>
      <c r="X895" s="117"/>
      <c r="Y895" s="117"/>
      <c r="Z895" s="117"/>
      <c r="AA895" s="177"/>
      <c r="AB895" s="177"/>
      <c r="AC895" s="122"/>
      <c r="AD895" s="122"/>
      <c r="AE895" s="122"/>
      <c r="AF895" s="123"/>
      <c r="AG895" s="117"/>
      <c r="AH895" s="124"/>
      <c r="AI895" s="117"/>
      <c r="AJ895" s="117"/>
      <c r="AK895" s="89"/>
      <c r="AL895" s="117"/>
      <c r="AM895" s="117"/>
      <c r="AN895" s="117">
        <v>9</v>
      </c>
      <c r="AO895" s="117" t="s">
        <v>1517</v>
      </c>
      <c r="AP895" s="117">
        <v>9</v>
      </c>
      <c r="AQ895" s="117"/>
      <c r="AR895" s="126"/>
      <c r="AS895" s="117"/>
      <c r="AT895" s="117"/>
      <c r="AU895" s="117"/>
      <c r="AV895" s="128"/>
      <c r="AW895" s="117">
        <f>VLOOKUP($D895,'WB Data'!$C$3:$M$578,2,FALSE)</f>
        <v>5139957784.91084</v>
      </c>
      <c r="AX895" s="117">
        <f>VLOOKUP($D895,'WB Data'!$C$3:$M$578,3,FALSE)</f>
        <v>5318700</v>
      </c>
      <c r="AY895" s="847">
        <f t="shared" si="141"/>
        <v>1.4174305908480098E-2</v>
      </c>
      <c r="AZ895" s="117">
        <f>VLOOKUP($D895,'WB Data'!$C$3:$M$578,4,FALSE)/100</f>
        <v>0.20129508239450739</v>
      </c>
      <c r="BA895" s="117">
        <f t="shared" si="142"/>
        <v>1034648225.8179172</v>
      </c>
      <c r="BB895" s="129">
        <f>IFERROR(VLOOKUP($D895,'EITI Revenues'!$C$2:$G$224,5,FALSE),"..")</f>
        <v>72855334</v>
      </c>
      <c r="BC895" s="846">
        <f t="shared" si="143"/>
        <v>7.0415559783525358E-2</v>
      </c>
      <c r="BD895" s="129">
        <f>VLOOKUP($D895,'WB Data 2'!$C$2:$K$545,6,FALSE)</f>
        <v>174631077.22816646</v>
      </c>
      <c r="BE895" s="129" t="str">
        <f>IFERROR(VLOOKUP($D895,UNCTAD!$C$5:$V$529,4,FALSE),"..")</f>
        <v>..</v>
      </c>
      <c r="BF895" s="846" t="str">
        <f t="shared" si="144"/>
        <v>..</v>
      </c>
      <c r="BG895" s="117">
        <f>VLOOKUP($D895,'WB Data'!$C$3:$M$578,5,FALSE)</f>
        <v>359830000</v>
      </c>
      <c r="BH895" s="129">
        <f>IFERROR($BB895/$BG895,"..")</f>
        <v>0.20247153933802073</v>
      </c>
      <c r="BI895" s="117">
        <f>IFERROR(VLOOKUP($D895,'WB Data'!$C$3:$M$578,7,FALSE)/100,"..")</f>
        <v>5.9131900000000001E-2</v>
      </c>
      <c r="BJ895" s="117">
        <f>IFERROR($BI895*$AW895,"..")</f>
        <v>303935469.74156928</v>
      </c>
      <c r="BK895" s="846">
        <f>IFERROR($BB895/$BJ895,"..")</f>
        <v>0.23970658660520125</v>
      </c>
      <c r="BL895" s="117">
        <f>IFERROR(VLOOKUP($D895,'WB Data'!$C$3:$M$578,7,FALSE)/100,"..")</f>
        <v>5.9131900000000001E-2</v>
      </c>
      <c r="BM895" s="117">
        <f>IFERROR($AW895*$BL895,"..")</f>
        <v>303935469.74156928</v>
      </c>
      <c r="BN895" s="846">
        <f>IFERROR($BB895/$BM895,"..")</f>
        <v>0.23970658660520125</v>
      </c>
      <c r="BO895" s="801" t="str">
        <f t="shared" si="140"/>
        <v>..</v>
      </c>
      <c r="BP895" s="117">
        <f>VLOOKUP($D895,'WB Data'!$C$3:$M$578,9,FALSE)</f>
        <v>31.7</v>
      </c>
      <c r="BQ895" s="117">
        <f>VLOOKUP($D895,'WB Data'!$C$3:$M$578,10,FALSE)</f>
        <v>68.451219512195124</v>
      </c>
      <c r="BR895" s="117">
        <f>VLOOKUP($D895,'WB Data'!$C$3:$M$578,11,FALSE)</f>
        <v>30.2</v>
      </c>
      <c r="BS895" s="129">
        <f>IFERROR(VLOOKUP($D895,'WB Data 2'!$C$2:$K$545,9,FALSE),"..")</f>
        <v>94.302660000000003</v>
      </c>
      <c r="BT895" s="129" t="str">
        <f>_xlfn.IFNA(VLOOKUP($C895,RGI!$A$2:$C$43,2,FALSE),"..")</f>
        <v>..</v>
      </c>
      <c r="BU895" s="129" t="str">
        <f>_xlfn.IFNA(VLOOKUP($C895,RGI!$A$2:$C$43,3,FALSE),"..")</f>
        <v>..</v>
      </c>
      <c r="BV895" s="129">
        <f>VLOOKUP($D895,WGI!$C$2:$O$478,7,FALSE)</f>
        <v>-1.0786996552027499</v>
      </c>
      <c r="BW895" s="129">
        <f>VLOOKUP($D895,WGI!$C$2:$O$478,4,FALSE)</f>
        <v>-0.58212276375498595</v>
      </c>
      <c r="BX895" s="129">
        <f>VLOOKUP($D895,WGI!$C$2:$O$478,3,FALSE)</f>
        <v>-0.76679444361734395</v>
      </c>
      <c r="BY895" s="129">
        <f>VLOOKUP($D895,WGI!$C$2:$O$478,5,FALSE)</f>
        <v>-0.34593290142494398</v>
      </c>
      <c r="BZ895" s="129">
        <f>VLOOKUP($D895,WGI!$C$2:$O$478,2,FALSE)</f>
        <v>-1.1211356630628699</v>
      </c>
      <c r="CB895" s="129"/>
    </row>
    <row r="896" spans="1:80" s="120" customFormat="1" ht="15" customHeight="1">
      <c r="A896" s="294" t="s">
        <v>290</v>
      </c>
      <c r="B896" s="117">
        <v>2008</v>
      </c>
      <c r="C896" s="117" t="s">
        <v>285</v>
      </c>
      <c r="D896" s="117" t="s">
        <v>3601</v>
      </c>
      <c r="E896" s="452" t="s">
        <v>39</v>
      </c>
      <c r="F896" s="117"/>
      <c r="G896" s="117" t="s">
        <v>24</v>
      </c>
      <c r="H896" s="117" t="str">
        <f t="shared" si="145"/>
        <v>yes</v>
      </c>
      <c r="I896" s="117" t="str">
        <f t="shared" si="146"/>
        <v>no</v>
      </c>
      <c r="J896" s="117" t="str">
        <f t="shared" si="147"/>
        <v>no</v>
      </c>
      <c r="K896" s="117" t="s">
        <v>1518</v>
      </c>
      <c r="L896" s="117" t="str">
        <f t="shared" si="148"/>
        <v>detailed</v>
      </c>
      <c r="M896" s="117" t="str">
        <f t="shared" si="149"/>
        <v>detailed Mining</v>
      </c>
      <c r="N896" s="118"/>
      <c r="O896" s="118"/>
      <c r="P896" s="118"/>
      <c r="Q896" s="118"/>
      <c r="R896" s="118"/>
      <c r="S896" s="117"/>
      <c r="T896" s="119"/>
      <c r="U896" s="117"/>
      <c r="V896" s="117"/>
      <c r="W896" s="89"/>
      <c r="X896" s="117"/>
      <c r="Y896" s="117"/>
      <c r="Z896" s="117"/>
      <c r="AA896" s="177"/>
      <c r="AB896" s="177"/>
      <c r="AC896" s="122"/>
      <c r="AD896" s="122"/>
      <c r="AE896" s="122"/>
      <c r="AF896" s="123"/>
      <c r="AG896" s="117"/>
      <c r="AH896" s="124"/>
      <c r="AI896" s="117"/>
      <c r="AJ896" s="117"/>
      <c r="AK896" s="89"/>
      <c r="AL896" s="117"/>
      <c r="AM896" s="117"/>
      <c r="AN896" s="117">
        <v>5</v>
      </c>
      <c r="AO896" s="117" t="s">
        <v>1519</v>
      </c>
      <c r="AP896" s="117">
        <v>5</v>
      </c>
      <c r="AQ896" s="117"/>
      <c r="AR896" s="126"/>
      <c r="AS896" s="117"/>
      <c r="AT896" s="117"/>
      <c r="AU896" s="117"/>
      <c r="AV896" s="128"/>
      <c r="AW896" s="117">
        <f>VLOOKUP($D896,'WB Data'!$C$3:$M$578,2,FALSE)</f>
        <v>5139957784.91084</v>
      </c>
      <c r="AX896" s="117">
        <f>VLOOKUP($D896,'WB Data'!$C$3:$M$578,3,FALSE)</f>
        <v>5318700</v>
      </c>
      <c r="AY896" s="847">
        <f t="shared" si="141"/>
        <v>1.4174305908480098E-2</v>
      </c>
      <c r="AZ896" s="117">
        <f>VLOOKUP($D896,'WB Data'!$C$3:$M$578,4,FALSE)/100</f>
        <v>0.20129508239450739</v>
      </c>
      <c r="BA896" s="117">
        <f t="shared" si="142"/>
        <v>1034648225.8179172</v>
      </c>
      <c r="BB896" s="129">
        <f>IFERROR(VLOOKUP($D896,'EITI Revenues'!$C$2:$G$224,5,FALSE),"..")</f>
        <v>72855334</v>
      </c>
      <c r="BC896" s="846">
        <f t="shared" si="143"/>
        <v>7.0415559783525358E-2</v>
      </c>
      <c r="BD896" s="129">
        <f>VLOOKUP($D896,'WB Data 2'!$C$2:$K$545,6,FALSE)</f>
        <v>174631077.22816646</v>
      </c>
      <c r="BE896" s="129" t="str">
        <f>IFERROR(VLOOKUP($D896,UNCTAD!$C$5:$V$529,4,FALSE),"..")</f>
        <v>..</v>
      </c>
      <c r="BF896" s="846" t="str">
        <f t="shared" si="144"/>
        <v>..</v>
      </c>
      <c r="BG896" s="117">
        <f>VLOOKUP($D896,'WB Data'!$C$3:$M$578,5,FALSE)</f>
        <v>359830000</v>
      </c>
      <c r="BH896" s="129">
        <f>IFERROR($BB896/$BG896,"..")</f>
        <v>0.20247153933802073</v>
      </c>
      <c r="BI896" s="117">
        <f>IFERROR(VLOOKUP($D896,'WB Data'!$C$3:$M$578,7,FALSE)/100,"..")</f>
        <v>5.9131900000000001E-2</v>
      </c>
      <c r="BJ896" s="117">
        <f>IFERROR($BI896*$AW896,"..")</f>
        <v>303935469.74156928</v>
      </c>
      <c r="BK896" s="846">
        <f>IFERROR($BB896/$BJ896,"..")</f>
        <v>0.23970658660520125</v>
      </c>
      <c r="BL896" s="117">
        <f>IFERROR(VLOOKUP($D896,'WB Data'!$C$3:$M$578,7,FALSE)/100,"..")</f>
        <v>5.9131900000000001E-2</v>
      </c>
      <c r="BM896" s="117">
        <f>IFERROR($AW896*$BL896,"..")</f>
        <v>303935469.74156928</v>
      </c>
      <c r="BN896" s="846">
        <f>IFERROR($BB896/$BM896,"..")</f>
        <v>0.23970658660520125</v>
      </c>
      <c r="BO896" s="801" t="str">
        <f t="shared" si="140"/>
        <v>..</v>
      </c>
      <c r="BP896" s="117">
        <f>VLOOKUP($D896,'WB Data'!$C$3:$M$578,9,FALSE)</f>
        <v>31.7</v>
      </c>
      <c r="BQ896" s="117">
        <f>VLOOKUP($D896,'WB Data'!$C$3:$M$578,10,FALSE)</f>
        <v>68.451219512195124</v>
      </c>
      <c r="BR896" s="117">
        <f>VLOOKUP($D896,'WB Data'!$C$3:$M$578,11,FALSE)</f>
        <v>30.2</v>
      </c>
      <c r="BS896" s="129">
        <f>IFERROR(VLOOKUP($D896,'WB Data 2'!$C$2:$K$545,9,FALSE),"..")</f>
        <v>94.302660000000003</v>
      </c>
      <c r="BT896" s="129" t="str">
        <f>_xlfn.IFNA(VLOOKUP($C896,RGI!$A$2:$C$43,2,FALSE),"..")</f>
        <v>..</v>
      </c>
      <c r="BU896" s="129" t="str">
        <f>_xlfn.IFNA(VLOOKUP($C896,RGI!$A$2:$C$43,3,FALSE),"..")</f>
        <v>..</v>
      </c>
      <c r="BV896" s="129">
        <f>VLOOKUP($D896,WGI!$C$2:$O$478,7,FALSE)</f>
        <v>-1.0786996552027499</v>
      </c>
      <c r="BW896" s="129">
        <f>VLOOKUP($D896,WGI!$C$2:$O$478,4,FALSE)</f>
        <v>-0.58212276375498595</v>
      </c>
      <c r="BX896" s="129">
        <f>VLOOKUP($D896,WGI!$C$2:$O$478,3,FALSE)</f>
        <v>-0.76679444361734395</v>
      </c>
      <c r="BY896" s="129">
        <f>VLOOKUP($D896,WGI!$C$2:$O$478,5,FALSE)</f>
        <v>-0.34593290142494398</v>
      </c>
      <c r="BZ896" s="129">
        <f>VLOOKUP($D896,WGI!$C$2:$O$478,2,FALSE)</f>
        <v>-1.1211356630628699</v>
      </c>
      <c r="CB896" s="129"/>
    </row>
    <row r="897" spans="1:80" s="120" customFormat="1" ht="15" customHeight="1">
      <c r="A897" s="294" t="s">
        <v>290</v>
      </c>
      <c r="B897" s="117">
        <v>2008</v>
      </c>
      <c r="C897" s="117" t="s">
        <v>285</v>
      </c>
      <c r="D897" s="117" t="s">
        <v>3601</v>
      </c>
      <c r="E897" s="452" t="s">
        <v>39</v>
      </c>
      <c r="F897" s="117"/>
      <c r="G897" s="117" t="s">
        <v>24</v>
      </c>
      <c r="H897" s="117" t="str">
        <f t="shared" si="145"/>
        <v>yes</v>
      </c>
      <c r="I897" s="117" t="str">
        <f t="shared" si="146"/>
        <v>no</v>
      </c>
      <c r="J897" s="117" t="str">
        <f t="shared" si="147"/>
        <v>no</v>
      </c>
      <c r="K897" s="117" t="s">
        <v>1520</v>
      </c>
      <c r="L897" s="117" t="str">
        <f t="shared" si="148"/>
        <v>detailed</v>
      </c>
      <c r="M897" s="117" t="str">
        <f t="shared" si="149"/>
        <v>detailed Mining</v>
      </c>
      <c r="N897" s="118">
        <v>1218100</v>
      </c>
      <c r="O897" s="118"/>
      <c r="P897" s="118"/>
      <c r="Q897" s="118"/>
      <c r="R897" s="118"/>
      <c r="S897" s="117" t="s">
        <v>610</v>
      </c>
      <c r="T897" s="119">
        <v>107</v>
      </c>
      <c r="U897" s="117" t="s">
        <v>611</v>
      </c>
      <c r="V897" s="117" t="s">
        <v>1521</v>
      </c>
      <c r="W897" s="89">
        <f>N897*T897</f>
        <v>130336700</v>
      </c>
      <c r="X897" s="117"/>
      <c r="Y897" s="117"/>
      <c r="Z897" s="117"/>
      <c r="AA897" s="177"/>
      <c r="AB897" s="177"/>
      <c r="AC897" s="122"/>
      <c r="AD897" s="122"/>
      <c r="AE897" s="122"/>
      <c r="AF897" s="123"/>
      <c r="AG897" s="117"/>
      <c r="AH897" s="124"/>
      <c r="AI897" s="117"/>
      <c r="AJ897" s="117"/>
      <c r="AK897" s="89"/>
      <c r="AL897" s="117"/>
      <c r="AM897" s="117"/>
      <c r="AN897" s="117"/>
      <c r="AO897" s="117"/>
      <c r="AP897" s="117"/>
      <c r="AQ897" s="117"/>
      <c r="AR897" s="126"/>
      <c r="AS897" s="117"/>
      <c r="AT897" s="117"/>
      <c r="AU897" s="117"/>
      <c r="AV897" s="128"/>
      <c r="AW897" s="117">
        <f>VLOOKUP($D897,'WB Data'!$C$3:$M$578,2,FALSE)</f>
        <v>5139957784.91084</v>
      </c>
      <c r="AX897" s="117">
        <f>VLOOKUP($D897,'WB Data'!$C$3:$M$578,3,FALSE)</f>
        <v>5318700</v>
      </c>
      <c r="AY897" s="847">
        <f t="shared" si="141"/>
        <v>1.4174305908480098E-2</v>
      </c>
      <c r="AZ897" s="117">
        <f>VLOOKUP($D897,'WB Data'!$C$3:$M$578,4,FALSE)/100</f>
        <v>0.20129508239450739</v>
      </c>
      <c r="BA897" s="117">
        <f t="shared" si="142"/>
        <v>1034648225.8179172</v>
      </c>
      <c r="BB897" s="129">
        <f>IFERROR(VLOOKUP($D897,'EITI Revenues'!$C$2:$G$224,5,FALSE),"..")</f>
        <v>72855334</v>
      </c>
      <c r="BC897" s="846">
        <f t="shared" si="143"/>
        <v>7.0415559783525358E-2</v>
      </c>
      <c r="BD897" s="129">
        <f>VLOOKUP($D897,'WB Data 2'!$C$2:$K$545,6,FALSE)</f>
        <v>174631077.22816646</v>
      </c>
      <c r="BE897" s="129" t="str">
        <f>IFERROR(VLOOKUP($D897,UNCTAD!$C$5:$V$529,4,FALSE),"..")</f>
        <v>..</v>
      </c>
      <c r="BF897" s="846" t="str">
        <f t="shared" si="144"/>
        <v>..</v>
      </c>
      <c r="BG897" s="117">
        <f>VLOOKUP($D897,'WB Data'!$C$3:$M$578,5,FALSE)</f>
        <v>359830000</v>
      </c>
      <c r="BH897" s="129">
        <f>IFERROR($BB897/$BG897,"..")</f>
        <v>0.20247153933802073</v>
      </c>
      <c r="BI897" s="117">
        <f>IFERROR(VLOOKUP($D897,'WB Data'!$C$3:$M$578,7,FALSE)/100,"..")</f>
        <v>5.9131900000000001E-2</v>
      </c>
      <c r="BJ897" s="117">
        <f>IFERROR($BI897*$AW897,"..")</f>
        <v>303935469.74156928</v>
      </c>
      <c r="BK897" s="846">
        <f>IFERROR($BB897/$BJ897,"..")</f>
        <v>0.23970658660520125</v>
      </c>
      <c r="BL897" s="117">
        <f>IFERROR(VLOOKUP($D897,'WB Data'!$C$3:$M$578,7,FALSE)/100,"..")</f>
        <v>5.9131900000000001E-2</v>
      </c>
      <c r="BM897" s="117">
        <f>IFERROR($AW897*$BL897,"..")</f>
        <v>303935469.74156928</v>
      </c>
      <c r="BN897" s="846">
        <f>IFERROR($BB897/$BM897,"..")</f>
        <v>0.23970658660520125</v>
      </c>
      <c r="BO897" s="801" t="str">
        <f t="shared" si="140"/>
        <v>..</v>
      </c>
      <c r="BP897" s="117">
        <f>VLOOKUP($D897,'WB Data'!$C$3:$M$578,9,FALSE)</f>
        <v>31.7</v>
      </c>
      <c r="BQ897" s="117">
        <f>VLOOKUP($D897,'WB Data'!$C$3:$M$578,10,FALSE)</f>
        <v>68.451219512195124</v>
      </c>
      <c r="BR897" s="117">
        <f>VLOOKUP($D897,'WB Data'!$C$3:$M$578,11,FALSE)</f>
        <v>30.2</v>
      </c>
      <c r="BS897" s="129">
        <f>IFERROR(VLOOKUP($D897,'WB Data 2'!$C$2:$K$545,9,FALSE),"..")</f>
        <v>94.302660000000003</v>
      </c>
      <c r="BT897" s="129" t="str">
        <f>_xlfn.IFNA(VLOOKUP($C897,RGI!$A$2:$C$43,2,FALSE),"..")</f>
        <v>..</v>
      </c>
      <c r="BU897" s="129" t="str">
        <f>_xlfn.IFNA(VLOOKUP($C897,RGI!$A$2:$C$43,3,FALSE),"..")</f>
        <v>..</v>
      </c>
      <c r="BV897" s="129">
        <f>VLOOKUP($D897,WGI!$C$2:$O$478,7,FALSE)</f>
        <v>-1.0786996552027499</v>
      </c>
      <c r="BW897" s="129">
        <f>VLOOKUP($D897,WGI!$C$2:$O$478,4,FALSE)</f>
        <v>-0.58212276375498595</v>
      </c>
      <c r="BX897" s="129">
        <f>VLOOKUP($D897,WGI!$C$2:$O$478,3,FALSE)</f>
        <v>-0.76679444361734395</v>
      </c>
      <c r="BY897" s="129">
        <f>VLOOKUP($D897,WGI!$C$2:$O$478,5,FALSE)</f>
        <v>-0.34593290142494398</v>
      </c>
      <c r="BZ897" s="129">
        <f>VLOOKUP($D897,WGI!$C$2:$O$478,2,FALSE)</f>
        <v>-1.1211356630628699</v>
      </c>
      <c r="CB897" s="129"/>
    </row>
    <row r="898" spans="1:80" s="120" customFormat="1" ht="15" customHeight="1">
      <c r="A898" s="294" t="s">
        <v>290</v>
      </c>
      <c r="B898" s="117">
        <v>2008</v>
      </c>
      <c r="C898" s="117" t="s">
        <v>285</v>
      </c>
      <c r="D898" s="117" t="s">
        <v>3601</v>
      </c>
      <c r="E898" s="452" t="s">
        <v>39</v>
      </c>
      <c r="F898" s="117"/>
      <c r="G898" s="117" t="s">
        <v>24</v>
      </c>
      <c r="H898" s="117" t="str">
        <f t="shared" si="145"/>
        <v>yes</v>
      </c>
      <c r="I898" s="117" t="str">
        <f t="shared" si="146"/>
        <v>no</v>
      </c>
      <c r="J898" s="117" t="str">
        <f t="shared" si="147"/>
        <v>no</v>
      </c>
      <c r="K898" s="117" t="s">
        <v>1522</v>
      </c>
      <c r="L898" s="117" t="str">
        <f t="shared" si="148"/>
        <v>detailed</v>
      </c>
      <c r="M898" s="117" t="str">
        <f t="shared" si="149"/>
        <v>detailed Mining</v>
      </c>
      <c r="N898" s="118"/>
      <c r="O898" s="118"/>
      <c r="P898" s="118"/>
      <c r="Q898" s="118"/>
      <c r="R898" s="118"/>
      <c r="S898" s="117"/>
      <c r="T898" s="119"/>
      <c r="U898" s="117"/>
      <c r="V898" s="117"/>
      <c r="W898" s="89"/>
      <c r="X898" s="117"/>
      <c r="Y898" s="117"/>
      <c r="Z898" s="117"/>
      <c r="AA898" s="177"/>
      <c r="AB898" s="177"/>
      <c r="AC898" s="122"/>
      <c r="AD898" s="122"/>
      <c r="AE898" s="122"/>
      <c r="AF898" s="123"/>
      <c r="AG898" s="117"/>
      <c r="AH898" s="124"/>
      <c r="AI898" s="117"/>
      <c r="AJ898" s="117"/>
      <c r="AK898" s="89"/>
      <c r="AL898" s="117"/>
      <c r="AM898" s="117"/>
      <c r="AN898" s="117"/>
      <c r="AO898" s="117"/>
      <c r="AP898" s="117"/>
      <c r="AQ898" s="117"/>
      <c r="AR898" s="126"/>
      <c r="AS898" s="117"/>
      <c r="AT898" s="117"/>
      <c r="AU898" s="117"/>
      <c r="AV898" s="128" t="s">
        <v>957</v>
      </c>
      <c r="AW898" s="117">
        <f>VLOOKUP($D898,'WB Data'!$C$3:$M$578,2,FALSE)</f>
        <v>5139957784.91084</v>
      </c>
      <c r="AX898" s="117">
        <f>VLOOKUP($D898,'WB Data'!$C$3:$M$578,3,FALSE)</f>
        <v>5318700</v>
      </c>
      <c r="AY898" s="847">
        <f t="shared" si="141"/>
        <v>1.4174305908480098E-2</v>
      </c>
      <c r="AZ898" s="117">
        <f>VLOOKUP($D898,'WB Data'!$C$3:$M$578,4,FALSE)/100</f>
        <v>0.20129508239450739</v>
      </c>
      <c r="BA898" s="117">
        <f t="shared" si="142"/>
        <v>1034648225.8179172</v>
      </c>
      <c r="BB898" s="129">
        <f>IFERROR(VLOOKUP($D898,'EITI Revenues'!$C$2:$G$224,5,FALSE),"..")</f>
        <v>72855334</v>
      </c>
      <c r="BC898" s="846">
        <f t="shared" si="143"/>
        <v>7.0415559783525358E-2</v>
      </c>
      <c r="BD898" s="129">
        <f>VLOOKUP($D898,'WB Data 2'!$C$2:$K$545,6,FALSE)</f>
        <v>174631077.22816646</v>
      </c>
      <c r="BE898" s="129" t="str">
        <f>IFERROR(VLOOKUP($D898,UNCTAD!$C$5:$V$529,4,FALSE),"..")</f>
        <v>..</v>
      </c>
      <c r="BF898" s="846" t="str">
        <f t="shared" si="144"/>
        <v>..</v>
      </c>
      <c r="BG898" s="117">
        <f>VLOOKUP($D898,'WB Data'!$C$3:$M$578,5,FALSE)</f>
        <v>359830000</v>
      </c>
      <c r="BH898" s="129">
        <f>IFERROR($BB898/$BG898,"..")</f>
        <v>0.20247153933802073</v>
      </c>
      <c r="BI898" s="117">
        <f>IFERROR(VLOOKUP($D898,'WB Data'!$C$3:$M$578,7,FALSE)/100,"..")</f>
        <v>5.9131900000000001E-2</v>
      </c>
      <c r="BJ898" s="117">
        <f>IFERROR($BI898*$AW898,"..")</f>
        <v>303935469.74156928</v>
      </c>
      <c r="BK898" s="846">
        <f>IFERROR($BB898/$BJ898,"..")</f>
        <v>0.23970658660520125</v>
      </c>
      <c r="BL898" s="117">
        <f>IFERROR(VLOOKUP($D898,'WB Data'!$C$3:$M$578,7,FALSE)/100,"..")</f>
        <v>5.9131900000000001E-2</v>
      </c>
      <c r="BM898" s="117">
        <f>IFERROR($AW898*$BL898,"..")</f>
        <v>303935469.74156928</v>
      </c>
      <c r="BN898" s="846">
        <f>IFERROR($BB898/$BM898,"..")</f>
        <v>0.23970658660520125</v>
      </c>
      <c r="BO898" s="801" t="str">
        <f t="shared" ref="BO898:BO961" si="153">_xlfn.IFNA(VLOOKUP($C898,CPI_2013,2,FALSE),"..")</f>
        <v>..</v>
      </c>
      <c r="BP898" s="117">
        <f>VLOOKUP($D898,'WB Data'!$C$3:$M$578,9,FALSE)</f>
        <v>31.7</v>
      </c>
      <c r="BQ898" s="117">
        <f>VLOOKUP($D898,'WB Data'!$C$3:$M$578,10,FALSE)</f>
        <v>68.451219512195124</v>
      </c>
      <c r="BR898" s="117">
        <f>VLOOKUP($D898,'WB Data'!$C$3:$M$578,11,FALSE)</f>
        <v>30.2</v>
      </c>
      <c r="BS898" s="129">
        <f>IFERROR(VLOOKUP($D898,'WB Data 2'!$C$2:$K$545,9,FALSE),"..")</f>
        <v>94.302660000000003</v>
      </c>
      <c r="BT898" s="129" t="str">
        <f>_xlfn.IFNA(VLOOKUP($C898,RGI!$A$2:$C$43,2,FALSE),"..")</f>
        <v>..</v>
      </c>
      <c r="BU898" s="129" t="str">
        <f>_xlfn.IFNA(VLOOKUP($C898,RGI!$A$2:$C$43,3,FALSE),"..")</f>
        <v>..</v>
      </c>
      <c r="BV898" s="129">
        <f>VLOOKUP($D898,WGI!$C$2:$O$478,7,FALSE)</f>
        <v>-1.0786996552027499</v>
      </c>
      <c r="BW898" s="129">
        <f>VLOOKUP($D898,WGI!$C$2:$O$478,4,FALSE)</f>
        <v>-0.58212276375498595</v>
      </c>
      <c r="BX898" s="129">
        <f>VLOOKUP($D898,WGI!$C$2:$O$478,3,FALSE)</f>
        <v>-0.76679444361734395</v>
      </c>
      <c r="BY898" s="129">
        <f>VLOOKUP($D898,WGI!$C$2:$O$478,5,FALSE)</f>
        <v>-0.34593290142494398</v>
      </c>
      <c r="BZ898" s="129">
        <f>VLOOKUP($D898,WGI!$C$2:$O$478,2,FALSE)</f>
        <v>-1.1211356630628699</v>
      </c>
      <c r="CB898" s="129"/>
    </row>
    <row r="899" spans="1:80" s="120" customFormat="1" ht="15" customHeight="1">
      <c r="A899" s="294" t="s">
        <v>290</v>
      </c>
      <c r="B899" s="117">
        <v>2008</v>
      </c>
      <c r="C899" s="117" t="s">
        <v>285</v>
      </c>
      <c r="D899" s="117" t="s">
        <v>3601</v>
      </c>
      <c r="E899" s="452" t="s">
        <v>39</v>
      </c>
      <c r="F899" s="117"/>
      <c r="G899" s="117" t="s">
        <v>24</v>
      </c>
      <c r="H899" s="117" t="str">
        <f t="shared" si="145"/>
        <v>yes</v>
      </c>
      <c r="I899" s="117" t="str">
        <f t="shared" si="146"/>
        <v>no</v>
      </c>
      <c r="J899" s="117" t="str">
        <f t="shared" si="147"/>
        <v>no</v>
      </c>
      <c r="K899" s="117" t="s">
        <v>1523</v>
      </c>
      <c r="L899" s="117" t="str">
        <f t="shared" si="148"/>
        <v>detailed</v>
      </c>
      <c r="M899" s="117" t="str">
        <f t="shared" si="149"/>
        <v>detailed Mining</v>
      </c>
      <c r="N899" s="118">
        <v>55</v>
      </c>
      <c r="O899" s="118"/>
      <c r="P899" s="118"/>
      <c r="Q899" s="118"/>
      <c r="R899" s="118"/>
      <c r="S899" s="117" t="s">
        <v>610</v>
      </c>
      <c r="T899" s="119">
        <v>25.65</v>
      </c>
      <c r="U899" s="117" t="s">
        <v>611</v>
      </c>
      <c r="V899" s="117" t="s">
        <v>1227</v>
      </c>
      <c r="W899" s="89">
        <f>N899*T899</f>
        <v>1410.75</v>
      </c>
      <c r="X899" s="117"/>
      <c r="Y899" s="117"/>
      <c r="Z899" s="117"/>
      <c r="AA899" s="177"/>
      <c r="AB899" s="177"/>
      <c r="AC899" s="122"/>
      <c r="AD899" s="122"/>
      <c r="AE899" s="122"/>
      <c r="AF899" s="123"/>
      <c r="AG899" s="117"/>
      <c r="AH899" s="124"/>
      <c r="AI899" s="117"/>
      <c r="AJ899" s="117"/>
      <c r="AK899" s="89"/>
      <c r="AL899" s="117"/>
      <c r="AM899" s="117"/>
      <c r="AN899" s="117"/>
      <c r="AO899" s="117"/>
      <c r="AP899" s="117"/>
      <c r="AQ899" s="117"/>
      <c r="AR899" s="126"/>
      <c r="AS899" s="117"/>
      <c r="AT899" s="117"/>
      <c r="AU899" s="117"/>
      <c r="AV899" s="128" t="s">
        <v>957</v>
      </c>
      <c r="AW899" s="117">
        <f>VLOOKUP($D899,'WB Data'!$C$3:$M$578,2,FALSE)</f>
        <v>5139957784.91084</v>
      </c>
      <c r="AX899" s="117">
        <f>VLOOKUP($D899,'WB Data'!$C$3:$M$578,3,FALSE)</f>
        <v>5318700</v>
      </c>
      <c r="AY899" s="847">
        <f t="shared" ref="AY899:AY962" si="154">IFERROR($BB899/$AW899,"..")</f>
        <v>1.4174305908480098E-2</v>
      </c>
      <c r="AZ899" s="117">
        <f>VLOOKUP($D899,'WB Data'!$C$3:$M$578,4,FALSE)/100</f>
        <v>0.20129508239450739</v>
      </c>
      <c r="BA899" s="117">
        <f t="shared" ref="BA899:BA962" si="155">IFERROR($AW899*$AZ899,"..")</f>
        <v>1034648225.8179172</v>
      </c>
      <c r="BB899" s="129">
        <f>IFERROR(VLOOKUP($D899,'EITI Revenues'!$C$2:$G$224,5,FALSE),"..")</f>
        <v>72855334</v>
      </c>
      <c r="BC899" s="846">
        <f t="shared" ref="BC899:BC962" si="156">IFERROR($BB899/$BA899,"..")</f>
        <v>7.0415559783525358E-2</v>
      </c>
      <c r="BD899" s="129">
        <f>VLOOKUP($D899,'WB Data 2'!$C$2:$K$545,6,FALSE)</f>
        <v>174631077.22816646</v>
      </c>
      <c r="BE899" s="129" t="str">
        <f>IFERROR(VLOOKUP($D899,UNCTAD!$C$5:$V$529,4,FALSE),"..")</f>
        <v>..</v>
      </c>
      <c r="BF899" s="846" t="str">
        <f t="shared" ref="BF899:BF962" si="157">IFERROR(($BD899/$BE899),"..")</f>
        <v>..</v>
      </c>
      <c r="BG899" s="117">
        <f>VLOOKUP($D899,'WB Data'!$C$3:$M$578,5,FALSE)</f>
        <v>359830000</v>
      </c>
      <c r="BH899" s="129">
        <f>IFERROR($BB899/$BG899,"..")</f>
        <v>0.20247153933802073</v>
      </c>
      <c r="BI899" s="117">
        <f>IFERROR(VLOOKUP($D899,'WB Data'!$C$3:$M$578,7,FALSE)/100,"..")</f>
        <v>5.9131900000000001E-2</v>
      </c>
      <c r="BJ899" s="117">
        <f>IFERROR($BI899*$AW899,"..")</f>
        <v>303935469.74156928</v>
      </c>
      <c r="BK899" s="846">
        <f>IFERROR($BB899/$BJ899,"..")</f>
        <v>0.23970658660520125</v>
      </c>
      <c r="BL899" s="117">
        <f>IFERROR(VLOOKUP($D899,'WB Data'!$C$3:$M$578,7,FALSE)/100,"..")</f>
        <v>5.9131900000000001E-2</v>
      </c>
      <c r="BM899" s="117">
        <f>IFERROR($AW899*$BL899,"..")</f>
        <v>303935469.74156928</v>
      </c>
      <c r="BN899" s="846">
        <f>IFERROR($BB899/$BM899,"..")</f>
        <v>0.23970658660520125</v>
      </c>
      <c r="BO899" s="801" t="str">
        <f t="shared" si="153"/>
        <v>..</v>
      </c>
      <c r="BP899" s="117">
        <f>VLOOKUP($D899,'WB Data'!$C$3:$M$578,9,FALSE)</f>
        <v>31.7</v>
      </c>
      <c r="BQ899" s="117">
        <f>VLOOKUP($D899,'WB Data'!$C$3:$M$578,10,FALSE)</f>
        <v>68.451219512195124</v>
      </c>
      <c r="BR899" s="117">
        <f>VLOOKUP($D899,'WB Data'!$C$3:$M$578,11,FALSE)</f>
        <v>30.2</v>
      </c>
      <c r="BS899" s="129">
        <f>IFERROR(VLOOKUP($D899,'WB Data 2'!$C$2:$K$545,9,FALSE),"..")</f>
        <v>94.302660000000003</v>
      </c>
      <c r="BT899" s="129" t="str">
        <f>_xlfn.IFNA(VLOOKUP($C899,RGI!$A$2:$C$43,2,FALSE),"..")</f>
        <v>..</v>
      </c>
      <c r="BU899" s="129" t="str">
        <f>_xlfn.IFNA(VLOOKUP($C899,RGI!$A$2:$C$43,3,FALSE),"..")</f>
        <v>..</v>
      </c>
      <c r="BV899" s="129">
        <f>VLOOKUP($D899,WGI!$C$2:$O$478,7,FALSE)</f>
        <v>-1.0786996552027499</v>
      </c>
      <c r="BW899" s="129">
        <f>VLOOKUP($D899,WGI!$C$2:$O$478,4,FALSE)</f>
        <v>-0.58212276375498595</v>
      </c>
      <c r="BX899" s="129">
        <f>VLOOKUP($D899,WGI!$C$2:$O$478,3,FALSE)</f>
        <v>-0.76679444361734395</v>
      </c>
      <c r="BY899" s="129">
        <f>VLOOKUP($D899,WGI!$C$2:$O$478,5,FALSE)</f>
        <v>-0.34593290142494398</v>
      </c>
      <c r="BZ899" s="129">
        <f>VLOOKUP($D899,WGI!$C$2:$O$478,2,FALSE)</f>
        <v>-1.1211356630628699</v>
      </c>
      <c r="CB899" s="129"/>
    </row>
    <row r="900" spans="1:80" s="120" customFormat="1" ht="15" customHeight="1">
      <c r="A900" s="294" t="s">
        <v>290</v>
      </c>
      <c r="B900" s="117">
        <v>2008</v>
      </c>
      <c r="C900" s="117" t="s">
        <v>285</v>
      </c>
      <c r="D900" s="117" t="s">
        <v>3601</v>
      </c>
      <c r="E900" s="452" t="s">
        <v>39</v>
      </c>
      <c r="F900" s="117"/>
      <c r="G900" s="117" t="s">
        <v>24</v>
      </c>
      <c r="H900" s="117" t="str">
        <f t="shared" si="145"/>
        <v>yes</v>
      </c>
      <c r="I900" s="117" t="str">
        <f t="shared" si="146"/>
        <v>no</v>
      </c>
      <c r="J900" s="117" t="str">
        <f t="shared" si="147"/>
        <v>no</v>
      </c>
      <c r="K900" s="117" t="s">
        <v>1524</v>
      </c>
      <c r="L900" s="117" t="str">
        <f t="shared" si="148"/>
        <v>detailed</v>
      </c>
      <c r="M900" s="117" t="str">
        <f t="shared" si="149"/>
        <v>detailed Mining</v>
      </c>
      <c r="N900" s="118"/>
      <c r="O900" s="118"/>
      <c r="P900" s="118"/>
      <c r="Q900" s="118"/>
      <c r="R900" s="118"/>
      <c r="S900" s="117"/>
      <c r="T900" s="119"/>
      <c r="U900" s="117"/>
      <c r="V900" s="117"/>
      <c r="W900" s="89"/>
      <c r="X900" s="117"/>
      <c r="Y900" s="117"/>
      <c r="Z900" s="117"/>
      <c r="AA900" s="177"/>
      <c r="AB900" s="177"/>
      <c r="AC900" s="122"/>
      <c r="AD900" s="122"/>
      <c r="AE900" s="122"/>
      <c r="AF900" s="123"/>
      <c r="AG900" s="117"/>
      <c r="AH900" s="124"/>
      <c r="AI900" s="117"/>
      <c r="AJ900" s="117"/>
      <c r="AK900" s="89"/>
      <c r="AL900" s="117"/>
      <c r="AM900" s="117"/>
      <c r="AN900" s="117"/>
      <c r="AO900" s="117"/>
      <c r="AP900" s="117"/>
      <c r="AQ900" s="117"/>
      <c r="AR900" s="126"/>
      <c r="AS900" s="117"/>
      <c r="AT900" s="117"/>
      <c r="AU900" s="117"/>
      <c r="AV900" s="128" t="s">
        <v>957</v>
      </c>
      <c r="AW900" s="117">
        <f>VLOOKUP($D900,'WB Data'!$C$3:$M$578,2,FALSE)</f>
        <v>5139957784.91084</v>
      </c>
      <c r="AX900" s="117">
        <f>VLOOKUP($D900,'WB Data'!$C$3:$M$578,3,FALSE)</f>
        <v>5318700</v>
      </c>
      <c r="AY900" s="847">
        <f t="shared" si="154"/>
        <v>1.4174305908480098E-2</v>
      </c>
      <c r="AZ900" s="117">
        <f>VLOOKUP($D900,'WB Data'!$C$3:$M$578,4,FALSE)/100</f>
        <v>0.20129508239450739</v>
      </c>
      <c r="BA900" s="117">
        <f t="shared" si="155"/>
        <v>1034648225.8179172</v>
      </c>
      <c r="BB900" s="129">
        <f>IFERROR(VLOOKUP($D900,'EITI Revenues'!$C$2:$G$224,5,FALSE),"..")</f>
        <v>72855334</v>
      </c>
      <c r="BC900" s="846">
        <f t="shared" si="156"/>
        <v>7.0415559783525358E-2</v>
      </c>
      <c r="BD900" s="129">
        <f>VLOOKUP($D900,'WB Data 2'!$C$2:$K$545,6,FALSE)</f>
        <v>174631077.22816646</v>
      </c>
      <c r="BE900" s="129" t="str">
        <f>IFERROR(VLOOKUP($D900,UNCTAD!$C$5:$V$529,4,FALSE),"..")</f>
        <v>..</v>
      </c>
      <c r="BF900" s="846" t="str">
        <f t="shared" si="157"/>
        <v>..</v>
      </c>
      <c r="BG900" s="117">
        <f>VLOOKUP($D900,'WB Data'!$C$3:$M$578,5,FALSE)</f>
        <v>359830000</v>
      </c>
      <c r="BH900" s="129">
        <f>IFERROR($BB900/$BG900,"..")</f>
        <v>0.20247153933802073</v>
      </c>
      <c r="BI900" s="117">
        <f>IFERROR(VLOOKUP($D900,'WB Data'!$C$3:$M$578,7,FALSE)/100,"..")</f>
        <v>5.9131900000000001E-2</v>
      </c>
      <c r="BJ900" s="117">
        <f>IFERROR($BI900*$AW900,"..")</f>
        <v>303935469.74156928</v>
      </c>
      <c r="BK900" s="846">
        <f>IFERROR($BB900/$BJ900,"..")</f>
        <v>0.23970658660520125</v>
      </c>
      <c r="BL900" s="117">
        <f>IFERROR(VLOOKUP($D900,'WB Data'!$C$3:$M$578,7,FALSE)/100,"..")</f>
        <v>5.9131900000000001E-2</v>
      </c>
      <c r="BM900" s="117">
        <f>IFERROR($AW900*$BL900,"..")</f>
        <v>303935469.74156928</v>
      </c>
      <c r="BN900" s="846">
        <f>IFERROR($BB900/$BM900,"..")</f>
        <v>0.23970658660520125</v>
      </c>
      <c r="BO900" s="801" t="str">
        <f t="shared" si="153"/>
        <v>..</v>
      </c>
      <c r="BP900" s="117">
        <f>VLOOKUP($D900,'WB Data'!$C$3:$M$578,9,FALSE)</f>
        <v>31.7</v>
      </c>
      <c r="BQ900" s="117">
        <f>VLOOKUP($D900,'WB Data'!$C$3:$M$578,10,FALSE)</f>
        <v>68.451219512195124</v>
      </c>
      <c r="BR900" s="117">
        <f>VLOOKUP($D900,'WB Data'!$C$3:$M$578,11,FALSE)</f>
        <v>30.2</v>
      </c>
      <c r="BS900" s="129">
        <f>IFERROR(VLOOKUP($D900,'WB Data 2'!$C$2:$K$545,9,FALSE),"..")</f>
        <v>94.302660000000003</v>
      </c>
      <c r="BT900" s="129" t="str">
        <f>_xlfn.IFNA(VLOOKUP($C900,RGI!$A$2:$C$43,2,FALSE),"..")</f>
        <v>..</v>
      </c>
      <c r="BU900" s="129" t="str">
        <f>_xlfn.IFNA(VLOOKUP($C900,RGI!$A$2:$C$43,3,FALSE),"..")</f>
        <v>..</v>
      </c>
      <c r="BV900" s="129">
        <f>VLOOKUP($D900,WGI!$C$2:$O$478,7,FALSE)</f>
        <v>-1.0786996552027499</v>
      </c>
      <c r="BW900" s="129">
        <f>VLOOKUP($D900,WGI!$C$2:$O$478,4,FALSE)</f>
        <v>-0.58212276375498595</v>
      </c>
      <c r="BX900" s="129">
        <f>VLOOKUP($D900,WGI!$C$2:$O$478,3,FALSE)</f>
        <v>-0.76679444361734395</v>
      </c>
      <c r="BY900" s="129">
        <f>VLOOKUP($D900,WGI!$C$2:$O$478,5,FALSE)</f>
        <v>-0.34593290142494398</v>
      </c>
      <c r="BZ900" s="129">
        <f>VLOOKUP($D900,WGI!$C$2:$O$478,2,FALSE)</f>
        <v>-1.1211356630628699</v>
      </c>
      <c r="CB900" s="129"/>
    </row>
    <row r="901" spans="1:80" s="120" customFormat="1" ht="15" customHeight="1">
      <c r="A901" s="294" t="s">
        <v>290</v>
      </c>
      <c r="B901" s="117">
        <v>2008</v>
      </c>
      <c r="C901" s="117" t="s">
        <v>285</v>
      </c>
      <c r="D901" s="117" t="s">
        <v>3601</v>
      </c>
      <c r="E901" s="452" t="s">
        <v>39</v>
      </c>
      <c r="F901" s="117"/>
      <c r="G901" s="117" t="s">
        <v>24</v>
      </c>
      <c r="H901" s="117" t="str">
        <f t="shared" si="145"/>
        <v>yes</v>
      </c>
      <c r="I901" s="117" t="str">
        <f t="shared" si="146"/>
        <v>no</v>
      </c>
      <c r="J901" s="117" t="str">
        <f t="shared" si="147"/>
        <v>no</v>
      </c>
      <c r="K901" s="117" t="s">
        <v>1525</v>
      </c>
      <c r="L901" s="117" t="str">
        <f t="shared" si="148"/>
        <v>detailed</v>
      </c>
      <c r="M901" s="117" t="str">
        <f t="shared" si="149"/>
        <v>detailed Mining</v>
      </c>
      <c r="N901" s="118">
        <v>8700</v>
      </c>
      <c r="O901" s="118"/>
      <c r="P901" s="118"/>
      <c r="Q901" s="118"/>
      <c r="R901" s="118"/>
      <c r="S901" s="117" t="s">
        <v>610</v>
      </c>
      <c r="T901" s="119">
        <v>97.75</v>
      </c>
      <c r="U901" s="117" t="s">
        <v>611</v>
      </c>
      <c r="V901" s="117" t="s">
        <v>1526</v>
      </c>
      <c r="W901" s="89">
        <f>N901*T901</f>
        <v>850425</v>
      </c>
      <c r="X901" s="117"/>
      <c r="Y901" s="117"/>
      <c r="Z901" s="117"/>
      <c r="AA901" s="177"/>
      <c r="AB901" s="177"/>
      <c r="AC901" s="122"/>
      <c r="AD901" s="122"/>
      <c r="AE901" s="122"/>
      <c r="AF901" s="123"/>
      <c r="AG901" s="117"/>
      <c r="AH901" s="124"/>
      <c r="AI901" s="117"/>
      <c r="AJ901" s="117"/>
      <c r="AK901" s="89"/>
      <c r="AL901" s="117"/>
      <c r="AM901" s="117"/>
      <c r="AN901" s="117"/>
      <c r="AO901" s="117"/>
      <c r="AP901" s="117"/>
      <c r="AQ901" s="117"/>
      <c r="AR901" s="126"/>
      <c r="AS901" s="117"/>
      <c r="AT901" s="117"/>
      <c r="AU901" s="117"/>
      <c r="AV901" s="128"/>
      <c r="AW901" s="117">
        <f>VLOOKUP($D901,'WB Data'!$C$3:$M$578,2,FALSE)</f>
        <v>5139957784.91084</v>
      </c>
      <c r="AX901" s="117">
        <f>VLOOKUP($D901,'WB Data'!$C$3:$M$578,3,FALSE)</f>
        <v>5318700</v>
      </c>
      <c r="AY901" s="847">
        <f t="shared" si="154"/>
        <v>1.4174305908480098E-2</v>
      </c>
      <c r="AZ901" s="117">
        <f>VLOOKUP($D901,'WB Data'!$C$3:$M$578,4,FALSE)/100</f>
        <v>0.20129508239450739</v>
      </c>
      <c r="BA901" s="117">
        <f t="shared" si="155"/>
        <v>1034648225.8179172</v>
      </c>
      <c r="BB901" s="129">
        <f>IFERROR(VLOOKUP($D901,'EITI Revenues'!$C$2:$G$224,5,FALSE),"..")</f>
        <v>72855334</v>
      </c>
      <c r="BC901" s="846">
        <f t="shared" si="156"/>
        <v>7.0415559783525358E-2</v>
      </c>
      <c r="BD901" s="129">
        <f>VLOOKUP($D901,'WB Data 2'!$C$2:$K$545,6,FALSE)</f>
        <v>174631077.22816646</v>
      </c>
      <c r="BE901" s="129" t="str">
        <f>IFERROR(VLOOKUP($D901,UNCTAD!$C$5:$V$529,4,FALSE),"..")</f>
        <v>..</v>
      </c>
      <c r="BF901" s="846" t="str">
        <f t="shared" si="157"/>
        <v>..</v>
      </c>
      <c r="BG901" s="117">
        <f>VLOOKUP($D901,'WB Data'!$C$3:$M$578,5,FALSE)</f>
        <v>359830000</v>
      </c>
      <c r="BH901" s="129">
        <f>IFERROR($BB901/$BG901,"..")</f>
        <v>0.20247153933802073</v>
      </c>
      <c r="BI901" s="117">
        <f>IFERROR(VLOOKUP($D901,'WB Data'!$C$3:$M$578,7,FALSE)/100,"..")</f>
        <v>5.9131900000000001E-2</v>
      </c>
      <c r="BJ901" s="117">
        <f>IFERROR($BI901*$AW901,"..")</f>
        <v>303935469.74156928</v>
      </c>
      <c r="BK901" s="846">
        <f>IFERROR($BB901/$BJ901,"..")</f>
        <v>0.23970658660520125</v>
      </c>
      <c r="BL901" s="117">
        <f>IFERROR(VLOOKUP($D901,'WB Data'!$C$3:$M$578,7,FALSE)/100,"..")</f>
        <v>5.9131900000000001E-2</v>
      </c>
      <c r="BM901" s="117">
        <f>IFERROR($AW901*$BL901,"..")</f>
        <v>303935469.74156928</v>
      </c>
      <c r="BN901" s="846">
        <f>IFERROR($BB901/$BM901,"..")</f>
        <v>0.23970658660520125</v>
      </c>
      <c r="BO901" s="801" t="str">
        <f t="shared" si="153"/>
        <v>..</v>
      </c>
      <c r="BP901" s="117">
        <f>VLOOKUP($D901,'WB Data'!$C$3:$M$578,9,FALSE)</f>
        <v>31.7</v>
      </c>
      <c r="BQ901" s="117">
        <f>VLOOKUP($D901,'WB Data'!$C$3:$M$578,10,FALSE)</f>
        <v>68.451219512195124</v>
      </c>
      <c r="BR901" s="117">
        <f>VLOOKUP($D901,'WB Data'!$C$3:$M$578,11,FALSE)</f>
        <v>30.2</v>
      </c>
      <c r="BS901" s="129">
        <f>IFERROR(VLOOKUP($D901,'WB Data 2'!$C$2:$K$545,9,FALSE),"..")</f>
        <v>94.302660000000003</v>
      </c>
      <c r="BT901" s="129" t="str">
        <f>_xlfn.IFNA(VLOOKUP($C901,RGI!$A$2:$C$43,2,FALSE),"..")</f>
        <v>..</v>
      </c>
      <c r="BU901" s="129" t="str">
        <f>_xlfn.IFNA(VLOOKUP($C901,RGI!$A$2:$C$43,3,FALSE),"..")</f>
        <v>..</v>
      </c>
      <c r="BV901" s="129">
        <f>VLOOKUP($D901,WGI!$C$2:$O$478,7,FALSE)</f>
        <v>-1.0786996552027499</v>
      </c>
      <c r="BW901" s="129">
        <f>VLOOKUP($D901,WGI!$C$2:$O$478,4,FALSE)</f>
        <v>-0.58212276375498595</v>
      </c>
      <c r="BX901" s="129">
        <f>VLOOKUP($D901,WGI!$C$2:$O$478,3,FALSE)</f>
        <v>-0.76679444361734395</v>
      </c>
      <c r="BY901" s="129">
        <f>VLOOKUP($D901,WGI!$C$2:$O$478,5,FALSE)</f>
        <v>-0.34593290142494398</v>
      </c>
      <c r="BZ901" s="129">
        <f>VLOOKUP($D901,WGI!$C$2:$O$478,2,FALSE)</f>
        <v>-1.1211356630628699</v>
      </c>
      <c r="CB901" s="129"/>
    </row>
    <row r="902" spans="1:80" s="120" customFormat="1" ht="15" customHeight="1">
      <c r="A902" s="294" t="s">
        <v>290</v>
      </c>
      <c r="B902" s="117">
        <v>2008</v>
      </c>
      <c r="C902" s="117" t="s">
        <v>285</v>
      </c>
      <c r="D902" s="117" t="s">
        <v>3601</v>
      </c>
      <c r="E902" s="452" t="s">
        <v>39</v>
      </c>
      <c r="F902" s="117"/>
      <c r="G902" s="117" t="s">
        <v>24</v>
      </c>
      <c r="H902" s="117" t="str">
        <f t="shared" si="145"/>
        <v>yes</v>
      </c>
      <c r="I902" s="117" t="str">
        <f t="shared" si="146"/>
        <v>no</v>
      </c>
      <c r="J902" s="117" t="str">
        <f t="shared" si="147"/>
        <v>no</v>
      </c>
      <c r="K902" s="117" t="s">
        <v>1527</v>
      </c>
      <c r="L902" s="117" t="str">
        <f t="shared" si="148"/>
        <v>detailed</v>
      </c>
      <c r="M902" s="117" t="str">
        <f t="shared" si="149"/>
        <v>detailed Mining</v>
      </c>
      <c r="N902" s="118"/>
      <c r="O902" s="118"/>
      <c r="P902" s="118"/>
      <c r="Q902" s="118"/>
      <c r="R902" s="118"/>
      <c r="S902" s="117"/>
      <c r="T902" s="119"/>
      <c r="U902" s="117"/>
      <c r="V902" s="117"/>
      <c r="W902" s="89"/>
      <c r="X902" s="117"/>
      <c r="Y902" s="117"/>
      <c r="Z902" s="117"/>
      <c r="AA902" s="177"/>
      <c r="AB902" s="177"/>
      <c r="AC902" s="122"/>
      <c r="AD902" s="122"/>
      <c r="AE902" s="122"/>
      <c r="AF902" s="123"/>
      <c r="AG902" s="117"/>
      <c r="AH902" s="124"/>
      <c r="AI902" s="117"/>
      <c r="AJ902" s="117"/>
      <c r="AK902" s="89"/>
      <c r="AL902" s="117"/>
      <c r="AM902" s="117"/>
      <c r="AN902" s="117"/>
      <c r="AO902" s="117"/>
      <c r="AP902" s="117"/>
      <c r="AQ902" s="117"/>
      <c r="AR902" s="126"/>
      <c r="AS902" s="117"/>
      <c r="AT902" s="117"/>
      <c r="AU902" s="117"/>
      <c r="AV902" s="128" t="s">
        <v>957</v>
      </c>
      <c r="AW902" s="117">
        <f>VLOOKUP($D902,'WB Data'!$C$3:$M$578,2,FALSE)</f>
        <v>5139957784.91084</v>
      </c>
      <c r="AX902" s="117">
        <f>VLOOKUP($D902,'WB Data'!$C$3:$M$578,3,FALSE)</f>
        <v>5318700</v>
      </c>
      <c r="AY902" s="847">
        <f t="shared" si="154"/>
        <v>1.4174305908480098E-2</v>
      </c>
      <c r="AZ902" s="117">
        <f>VLOOKUP($D902,'WB Data'!$C$3:$M$578,4,FALSE)/100</f>
        <v>0.20129508239450739</v>
      </c>
      <c r="BA902" s="117">
        <f t="shared" si="155"/>
        <v>1034648225.8179172</v>
      </c>
      <c r="BB902" s="129">
        <f>IFERROR(VLOOKUP($D902,'EITI Revenues'!$C$2:$G$224,5,FALSE),"..")</f>
        <v>72855334</v>
      </c>
      <c r="BC902" s="846">
        <f t="shared" si="156"/>
        <v>7.0415559783525358E-2</v>
      </c>
      <c r="BD902" s="129">
        <f>VLOOKUP($D902,'WB Data 2'!$C$2:$K$545,6,FALSE)</f>
        <v>174631077.22816646</v>
      </c>
      <c r="BE902" s="129" t="str">
        <f>IFERROR(VLOOKUP($D902,UNCTAD!$C$5:$V$529,4,FALSE),"..")</f>
        <v>..</v>
      </c>
      <c r="BF902" s="846" t="str">
        <f t="shared" si="157"/>
        <v>..</v>
      </c>
      <c r="BG902" s="117">
        <f>VLOOKUP($D902,'WB Data'!$C$3:$M$578,5,FALSE)</f>
        <v>359830000</v>
      </c>
      <c r="BH902" s="129">
        <f>IFERROR($BB902/$BG902,"..")</f>
        <v>0.20247153933802073</v>
      </c>
      <c r="BI902" s="117">
        <f>IFERROR(VLOOKUP($D902,'WB Data'!$C$3:$M$578,7,FALSE)/100,"..")</f>
        <v>5.9131900000000001E-2</v>
      </c>
      <c r="BJ902" s="117">
        <f>IFERROR($BI902*$AW902,"..")</f>
        <v>303935469.74156928</v>
      </c>
      <c r="BK902" s="846">
        <f>IFERROR($BB902/$BJ902,"..")</f>
        <v>0.23970658660520125</v>
      </c>
      <c r="BL902" s="117">
        <f>IFERROR(VLOOKUP($D902,'WB Data'!$C$3:$M$578,7,FALSE)/100,"..")</f>
        <v>5.9131900000000001E-2</v>
      </c>
      <c r="BM902" s="117">
        <f>IFERROR($AW902*$BL902,"..")</f>
        <v>303935469.74156928</v>
      </c>
      <c r="BN902" s="846">
        <f>IFERROR($BB902/$BM902,"..")</f>
        <v>0.23970658660520125</v>
      </c>
      <c r="BO902" s="801" t="str">
        <f t="shared" si="153"/>
        <v>..</v>
      </c>
      <c r="BP902" s="117">
        <f>VLOOKUP($D902,'WB Data'!$C$3:$M$578,9,FALSE)</f>
        <v>31.7</v>
      </c>
      <c r="BQ902" s="117">
        <f>VLOOKUP($D902,'WB Data'!$C$3:$M$578,10,FALSE)</f>
        <v>68.451219512195124</v>
      </c>
      <c r="BR902" s="117">
        <f>VLOOKUP($D902,'WB Data'!$C$3:$M$578,11,FALSE)</f>
        <v>30.2</v>
      </c>
      <c r="BS902" s="129">
        <f>IFERROR(VLOOKUP($D902,'WB Data 2'!$C$2:$K$545,9,FALSE),"..")</f>
        <v>94.302660000000003</v>
      </c>
      <c r="BT902" s="129" t="str">
        <f>_xlfn.IFNA(VLOOKUP($C902,RGI!$A$2:$C$43,2,FALSE),"..")</f>
        <v>..</v>
      </c>
      <c r="BU902" s="129" t="str">
        <f>_xlfn.IFNA(VLOOKUP($C902,RGI!$A$2:$C$43,3,FALSE),"..")</f>
        <v>..</v>
      </c>
      <c r="BV902" s="129">
        <f>VLOOKUP($D902,WGI!$C$2:$O$478,7,FALSE)</f>
        <v>-1.0786996552027499</v>
      </c>
      <c r="BW902" s="129">
        <f>VLOOKUP($D902,WGI!$C$2:$O$478,4,FALSE)</f>
        <v>-0.58212276375498595</v>
      </c>
      <c r="BX902" s="129">
        <f>VLOOKUP($D902,WGI!$C$2:$O$478,3,FALSE)</f>
        <v>-0.76679444361734395</v>
      </c>
      <c r="BY902" s="129">
        <f>VLOOKUP($D902,WGI!$C$2:$O$478,5,FALSE)</f>
        <v>-0.34593290142494398</v>
      </c>
      <c r="BZ902" s="129">
        <f>VLOOKUP($D902,WGI!$C$2:$O$478,2,FALSE)</f>
        <v>-1.1211356630628699</v>
      </c>
      <c r="CB902" s="129"/>
    </row>
    <row r="903" spans="1:80" s="120" customFormat="1" ht="15" customHeight="1">
      <c r="A903" s="294" t="s">
        <v>290</v>
      </c>
      <c r="B903" s="117">
        <v>2008</v>
      </c>
      <c r="C903" s="117" t="s">
        <v>285</v>
      </c>
      <c r="D903" s="117" t="s">
        <v>3601</v>
      </c>
      <c r="E903" s="452" t="s">
        <v>39</v>
      </c>
      <c r="F903" s="117"/>
      <c r="G903" s="117" t="s">
        <v>24</v>
      </c>
      <c r="H903" s="117" t="str">
        <f t="shared" si="145"/>
        <v>yes</v>
      </c>
      <c r="I903" s="117" t="str">
        <f t="shared" si="146"/>
        <v>no</v>
      </c>
      <c r="J903" s="117" t="str">
        <f t="shared" si="147"/>
        <v>no</v>
      </c>
      <c r="K903" s="117" t="s">
        <v>1528</v>
      </c>
      <c r="L903" s="117" t="str">
        <f t="shared" si="148"/>
        <v>detailed</v>
      </c>
      <c r="M903" s="117" t="str">
        <f t="shared" si="149"/>
        <v>detailed Mining</v>
      </c>
      <c r="N903" s="118"/>
      <c r="O903" s="118"/>
      <c r="P903" s="118"/>
      <c r="Q903" s="118"/>
      <c r="R903" s="118"/>
      <c r="S903" s="117"/>
      <c r="T903" s="119"/>
      <c r="U903" s="117"/>
      <c r="V903" s="117"/>
      <c r="W903" s="89"/>
      <c r="X903" s="117"/>
      <c r="Y903" s="117"/>
      <c r="Z903" s="117"/>
      <c r="AA903" s="177"/>
      <c r="AB903" s="177"/>
      <c r="AC903" s="122"/>
      <c r="AD903" s="122"/>
      <c r="AE903" s="122"/>
      <c r="AF903" s="123"/>
      <c r="AG903" s="117"/>
      <c r="AH903" s="124"/>
      <c r="AI903" s="117"/>
      <c r="AJ903" s="117"/>
      <c r="AK903" s="89"/>
      <c r="AL903" s="117"/>
      <c r="AM903" s="117"/>
      <c r="AN903" s="117"/>
      <c r="AO903" s="117"/>
      <c r="AP903" s="117"/>
      <c r="AQ903" s="117"/>
      <c r="AR903" s="126"/>
      <c r="AS903" s="117"/>
      <c r="AT903" s="117"/>
      <c r="AU903" s="117"/>
      <c r="AV903" s="128" t="s">
        <v>957</v>
      </c>
      <c r="AW903" s="117">
        <f>VLOOKUP($D903,'WB Data'!$C$3:$M$578,2,FALSE)</f>
        <v>5139957784.91084</v>
      </c>
      <c r="AX903" s="117">
        <f>VLOOKUP($D903,'WB Data'!$C$3:$M$578,3,FALSE)</f>
        <v>5318700</v>
      </c>
      <c r="AY903" s="847">
        <f t="shared" si="154"/>
        <v>1.4174305908480098E-2</v>
      </c>
      <c r="AZ903" s="117">
        <f>VLOOKUP($D903,'WB Data'!$C$3:$M$578,4,FALSE)/100</f>
        <v>0.20129508239450739</v>
      </c>
      <c r="BA903" s="117">
        <f t="shared" si="155"/>
        <v>1034648225.8179172</v>
      </c>
      <c r="BB903" s="129">
        <f>IFERROR(VLOOKUP($D903,'EITI Revenues'!$C$2:$G$224,5,FALSE),"..")</f>
        <v>72855334</v>
      </c>
      <c r="BC903" s="846">
        <f t="shared" si="156"/>
        <v>7.0415559783525358E-2</v>
      </c>
      <c r="BD903" s="129">
        <f>VLOOKUP($D903,'WB Data 2'!$C$2:$K$545,6,FALSE)</f>
        <v>174631077.22816646</v>
      </c>
      <c r="BE903" s="129" t="str">
        <f>IFERROR(VLOOKUP($D903,UNCTAD!$C$5:$V$529,4,FALSE),"..")</f>
        <v>..</v>
      </c>
      <c r="BF903" s="846" t="str">
        <f t="shared" si="157"/>
        <v>..</v>
      </c>
      <c r="BG903" s="117">
        <f>VLOOKUP($D903,'WB Data'!$C$3:$M$578,5,FALSE)</f>
        <v>359830000</v>
      </c>
      <c r="BH903" s="129">
        <f>IFERROR($BB903/$BG903,"..")</f>
        <v>0.20247153933802073</v>
      </c>
      <c r="BI903" s="117">
        <f>IFERROR(VLOOKUP($D903,'WB Data'!$C$3:$M$578,7,FALSE)/100,"..")</f>
        <v>5.9131900000000001E-2</v>
      </c>
      <c r="BJ903" s="117">
        <f>IFERROR($BI903*$AW903,"..")</f>
        <v>303935469.74156928</v>
      </c>
      <c r="BK903" s="846">
        <f>IFERROR($BB903/$BJ903,"..")</f>
        <v>0.23970658660520125</v>
      </c>
      <c r="BL903" s="117">
        <f>IFERROR(VLOOKUP($D903,'WB Data'!$C$3:$M$578,7,FALSE)/100,"..")</f>
        <v>5.9131900000000001E-2</v>
      </c>
      <c r="BM903" s="117">
        <f>IFERROR($AW903*$BL903,"..")</f>
        <v>303935469.74156928</v>
      </c>
      <c r="BN903" s="846">
        <f>IFERROR($BB903/$BM903,"..")</f>
        <v>0.23970658660520125</v>
      </c>
      <c r="BO903" s="801" t="str">
        <f t="shared" si="153"/>
        <v>..</v>
      </c>
      <c r="BP903" s="117">
        <f>VLOOKUP($D903,'WB Data'!$C$3:$M$578,9,FALSE)</f>
        <v>31.7</v>
      </c>
      <c r="BQ903" s="117">
        <f>VLOOKUP($D903,'WB Data'!$C$3:$M$578,10,FALSE)</f>
        <v>68.451219512195124</v>
      </c>
      <c r="BR903" s="117">
        <f>VLOOKUP($D903,'WB Data'!$C$3:$M$578,11,FALSE)</f>
        <v>30.2</v>
      </c>
      <c r="BS903" s="129">
        <f>IFERROR(VLOOKUP($D903,'WB Data 2'!$C$2:$K$545,9,FALSE),"..")</f>
        <v>94.302660000000003</v>
      </c>
      <c r="BT903" s="129" t="str">
        <f>_xlfn.IFNA(VLOOKUP($C903,RGI!$A$2:$C$43,2,FALSE),"..")</f>
        <v>..</v>
      </c>
      <c r="BU903" s="129" t="str">
        <f>_xlfn.IFNA(VLOOKUP($C903,RGI!$A$2:$C$43,3,FALSE),"..")</f>
        <v>..</v>
      </c>
      <c r="BV903" s="129">
        <f>VLOOKUP($D903,WGI!$C$2:$O$478,7,FALSE)</f>
        <v>-1.0786996552027499</v>
      </c>
      <c r="BW903" s="129">
        <f>VLOOKUP($D903,WGI!$C$2:$O$478,4,FALSE)</f>
        <v>-0.58212276375498595</v>
      </c>
      <c r="BX903" s="129">
        <f>VLOOKUP($D903,WGI!$C$2:$O$478,3,FALSE)</f>
        <v>-0.76679444361734395</v>
      </c>
      <c r="BY903" s="129">
        <f>VLOOKUP($D903,WGI!$C$2:$O$478,5,FALSE)</f>
        <v>-0.34593290142494398</v>
      </c>
      <c r="BZ903" s="129">
        <f>VLOOKUP($D903,WGI!$C$2:$O$478,2,FALSE)</f>
        <v>-1.1211356630628699</v>
      </c>
      <c r="CB903" s="129"/>
    </row>
    <row r="904" spans="1:80" s="120" customFormat="1" ht="15" customHeight="1">
      <c r="A904" s="294" t="s">
        <v>290</v>
      </c>
      <c r="B904" s="117">
        <v>2008</v>
      </c>
      <c r="C904" s="117" t="s">
        <v>285</v>
      </c>
      <c r="D904" s="117" t="s">
        <v>3601</v>
      </c>
      <c r="E904" s="452" t="s">
        <v>39</v>
      </c>
      <c r="F904" s="117"/>
      <c r="G904" s="117" t="s">
        <v>24</v>
      </c>
      <c r="H904" s="117" t="str">
        <f t="shared" si="145"/>
        <v>yes</v>
      </c>
      <c r="I904" s="117" t="str">
        <f t="shared" si="146"/>
        <v>no</v>
      </c>
      <c r="J904" s="117" t="str">
        <f t="shared" si="147"/>
        <v>no</v>
      </c>
      <c r="K904" s="117" t="s">
        <v>1529</v>
      </c>
      <c r="L904" s="117" t="str">
        <f t="shared" si="148"/>
        <v>detailed</v>
      </c>
      <c r="M904" s="117" t="str">
        <f t="shared" si="149"/>
        <v>detailed Mining</v>
      </c>
      <c r="N904" s="118">
        <f>836200*1.6</f>
        <v>1337920</v>
      </c>
      <c r="O904" s="118"/>
      <c r="P904" s="118"/>
      <c r="Q904" s="118"/>
      <c r="R904" s="118"/>
      <c r="S904" s="117" t="s">
        <v>610</v>
      </c>
      <c r="T904" s="119">
        <v>7.47</v>
      </c>
      <c r="U904" s="117" t="s">
        <v>611</v>
      </c>
      <c r="V904" s="117" t="s">
        <v>1530</v>
      </c>
      <c r="W904" s="89">
        <f>N904*T904</f>
        <v>9994262.4000000004</v>
      </c>
      <c r="X904" s="117"/>
      <c r="Y904" s="117"/>
      <c r="Z904" s="117"/>
      <c r="AA904" s="177"/>
      <c r="AB904" s="177"/>
      <c r="AC904" s="122"/>
      <c r="AD904" s="122"/>
      <c r="AE904" s="122"/>
      <c r="AF904" s="123"/>
      <c r="AG904" s="117"/>
      <c r="AH904" s="124"/>
      <c r="AI904" s="117"/>
      <c r="AJ904" s="117"/>
      <c r="AK904" s="89"/>
      <c r="AL904" s="117"/>
      <c r="AM904" s="117"/>
      <c r="AN904" s="117"/>
      <c r="AO904" s="117"/>
      <c r="AP904" s="117"/>
      <c r="AQ904" s="117"/>
      <c r="AR904" s="126"/>
      <c r="AS904" s="117"/>
      <c r="AT904" s="117"/>
      <c r="AU904" s="117"/>
      <c r="AV904" s="128"/>
      <c r="AW904" s="117">
        <f>VLOOKUP($D904,'WB Data'!$C$3:$M$578,2,FALSE)</f>
        <v>5139957784.91084</v>
      </c>
      <c r="AX904" s="117">
        <f>VLOOKUP($D904,'WB Data'!$C$3:$M$578,3,FALSE)</f>
        <v>5318700</v>
      </c>
      <c r="AY904" s="847">
        <f t="shared" si="154"/>
        <v>1.4174305908480098E-2</v>
      </c>
      <c r="AZ904" s="117">
        <f>VLOOKUP($D904,'WB Data'!$C$3:$M$578,4,FALSE)/100</f>
        <v>0.20129508239450739</v>
      </c>
      <c r="BA904" s="117">
        <f t="shared" si="155"/>
        <v>1034648225.8179172</v>
      </c>
      <c r="BB904" s="129">
        <f>IFERROR(VLOOKUP($D904,'EITI Revenues'!$C$2:$G$224,5,FALSE),"..")</f>
        <v>72855334</v>
      </c>
      <c r="BC904" s="846">
        <f t="shared" si="156"/>
        <v>7.0415559783525358E-2</v>
      </c>
      <c r="BD904" s="129">
        <f>VLOOKUP($D904,'WB Data 2'!$C$2:$K$545,6,FALSE)</f>
        <v>174631077.22816646</v>
      </c>
      <c r="BE904" s="129" t="str">
        <f>IFERROR(VLOOKUP($D904,UNCTAD!$C$5:$V$529,4,FALSE),"..")</f>
        <v>..</v>
      </c>
      <c r="BF904" s="846" t="str">
        <f t="shared" si="157"/>
        <v>..</v>
      </c>
      <c r="BG904" s="117">
        <f>VLOOKUP($D904,'WB Data'!$C$3:$M$578,5,FALSE)</f>
        <v>359830000</v>
      </c>
      <c r="BH904" s="129">
        <f>IFERROR($BB904/$BG904,"..")</f>
        <v>0.20247153933802073</v>
      </c>
      <c r="BI904" s="117">
        <f>IFERROR(VLOOKUP($D904,'WB Data'!$C$3:$M$578,7,FALSE)/100,"..")</f>
        <v>5.9131900000000001E-2</v>
      </c>
      <c r="BJ904" s="117">
        <f>IFERROR($BI904*$AW904,"..")</f>
        <v>303935469.74156928</v>
      </c>
      <c r="BK904" s="846">
        <f>IFERROR($BB904/$BJ904,"..")</f>
        <v>0.23970658660520125</v>
      </c>
      <c r="BL904" s="117">
        <f>IFERROR(VLOOKUP($D904,'WB Data'!$C$3:$M$578,7,FALSE)/100,"..")</f>
        <v>5.9131900000000001E-2</v>
      </c>
      <c r="BM904" s="117">
        <f>IFERROR($AW904*$BL904,"..")</f>
        <v>303935469.74156928</v>
      </c>
      <c r="BN904" s="846">
        <f>IFERROR($BB904/$BM904,"..")</f>
        <v>0.23970658660520125</v>
      </c>
      <c r="BO904" s="801" t="str">
        <f t="shared" si="153"/>
        <v>..</v>
      </c>
      <c r="BP904" s="117">
        <f>VLOOKUP($D904,'WB Data'!$C$3:$M$578,9,FALSE)</f>
        <v>31.7</v>
      </c>
      <c r="BQ904" s="117">
        <f>VLOOKUP($D904,'WB Data'!$C$3:$M$578,10,FALSE)</f>
        <v>68.451219512195124</v>
      </c>
      <c r="BR904" s="117">
        <f>VLOOKUP($D904,'WB Data'!$C$3:$M$578,11,FALSE)</f>
        <v>30.2</v>
      </c>
      <c r="BS904" s="129">
        <f>IFERROR(VLOOKUP($D904,'WB Data 2'!$C$2:$K$545,9,FALSE),"..")</f>
        <v>94.302660000000003</v>
      </c>
      <c r="BT904" s="129" t="str">
        <f>_xlfn.IFNA(VLOOKUP($C904,RGI!$A$2:$C$43,2,FALSE),"..")</f>
        <v>..</v>
      </c>
      <c r="BU904" s="129" t="str">
        <f>_xlfn.IFNA(VLOOKUP($C904,RGI!$A$2:$C$43,3,FALSE),"..")</f>
        <v>..</v>
      </c>
      <c r="BV904" s="129">
        <f>VLOOKUP($D904,WGI!$C$2:$O$478,7,FALSE)</f>
        <v>-1.0786996552027499</v>
      </c>
      <c r="BW904" s="129">
        <f>VLOOKUP($D904,WGI!$C$2:$O$478,4,FALSE)</f>
        <v>-0.58212276375498595</v>
      </c>
      <c r="BX904" s="129">
        <f>VLOOKUP($D904,WGI!$C$2:$O$478,3,FALSE)</f>
        <v>-0.76679444361734395</v>
      </c>
      <c r="BY904" s="129">
        <f>VLOOKUP($D904,WGI!$C$2:$O$478,5,FALSE)</f>
        <v>-0.34593290142494398</v>
      </c>
      <c r="BZ904" s="129">
        <f>VLOOKUP($D904,WGI!$C$2:$O$478,2,FALSE)</f>
        <v>-1.1211356630628699</v>
      </c>
      <c r="CB904" s="129"/>
    </row>
    <row r="905" spans="1:80" s="120" customFormat="1" ht="15" customHeight="1">
      <c r="A905" s="294" t="s">
        <v>290</v>
      </c>
      <c r="B905" s="117">
        <v>2008</v>
      </c>
      <c r="C905" s="117" t="s">
        <v>285</v>
      </c>
      <c r="D905" s="117" t="s">
        <v>3601</v>
      </c>
      <c r="E905" s="452" t="s">
        <v>39</v>
      </c>
      <c r="F905" s="117"/>
      <c r="G905" s="117" t="s">
        <v>24</v>
      </c>
      <c r="H905" s="117" t="str">
        <f t="shared" si="145"/>
        <v>yes</v>
      </c>
      <c r="I905" s="117" t="str">
        <f t="shared" si="146"/>
        <v>no</v>
      </c>
      <c r="J905" s="117" t="str">
        <f t="shared" si="147"/>
        <v>no</v>
      </c>
      <c r="K905" s="117" t="s">
        <v>784</v>
      </c>
      <c r="L905" s="117" t="str">
        <f t="shared" si="148"/>
        <v>detailed</v>
      </c>
      <c r="M905" s="117" t="str">
        <f t="shared" si="149"/>
        <v>detailed Mining</v>
      </c>
      <c r="N905" s="118">
        <f>18144*32.150743126506</f>
        <v>583343.08328732487</v>
      </c>
      <c r="O905" s="118"/>
      <c r="P905" s="118"/>
      <c r="Q905" s="118"/>
      <c r="R905" s="118"/>
      <c r="S905" s="117" t="s">
        <v>785</v>
      </c>
      <c r="T905" s="119">
        <v>871.70725000000004</v>
      </c>
      <c r="U905" s="117" t="s">
        <v>786</v>
      </c>
      <c r="V905" s="117" t="s">
        <v>787</v>
      </c>
      <c r="W905" s="89">
        <f>N905*T905</f>
        <v>508504394.93891495</v>
      </c>
      <c r="X905" s="117"/>
      <c r="Y905" s="117"/>
      <c r="Z905" s="117"/>
      <c r="AA905" s="177"/>
      <c r="AB905" s="177"/>
      <c r="AC905" s="122"/>
      <c r="AD905" s="122"/>
      <c r="AE905" s="122"/>
      <c r="AF905" s="123"/>
      <c r="AG905" s="117"/>
      <c r="AH905" s="124"/>
      <c r="AI905" s="117"/>
      <c r="AJ905" s="117"/>
      <c r="AK905" s="89"/>
      <c r="AL905" s="117"/>
      <c r="AM905" s="117"/>
      <c r="AN905" s="117">
        <v>1</v>
      </c>
      <c r="AO905" s="117" t="s">
        <v>1531</v>
      </c>
      <c r="AP905" s="117">
        <v>1</v>
      </c>
      <c r="AQ905" s="117"/>
      <c r="AR905" s="126"/>
      <c r="AS905" s="117"/>
      <c r="AT905" s="117"/>
      <c r="AU905" s="117"/>
      <c r="AV905" s="128"/>
      <c r="AW905" s="117">
        <f>VLOOKUP($D905,'WB Data'!$C$3:$M$578,2,FALSE)</f>
        <v>5139957784.91084</v>
      </c>
      <c r="AX905" s="117">
        <f>VLOOKUP($D905,'WB Data'!$C$3:$M$578,3,FALSE)</f>
        <v>5318700</v>
      </c>
      <c r="AY905" s="847">
        <f t="shared" si="154"/>
        <v>1.4174305908480098E-2</v>
      </c>
      <c r="AZ905" s="117">
        <f>VLOOKUP($D905,'WB Data'!$C$3:$M$578,4,FALSE)/100</f>
        <v>0.20129508239450739</v>
      </c>
      <c r="BA905" s="117">
        <f t="shared" si="155"/>
        <v>1034648225.8179172</v>
      </c>
      <c r="BB905" s="129">
        <f>IFERROR(VLOOKUP($D905,'EITI Revenues'!$C$2:$G$224,5,FALSE),"..")</f>
        <v>72855334</v>
      </c>
      <c r="BC905" s="846">
        <f t="shared" si="156"/>
        <v>7.0415559783525358E-2</v>
      </c>
      <c r="BD905" s="129">
        <f>VLOOKUP($D905,'WB Data 2'!$C$2:$K$545,6,FALSE)</f>
        <v>174631077.22816646</v>
      </c>
      <c r="BE905" s="129" t="str">
        <f>IFERROR(VLOOKUP($D905,UNCTAD!$C$5:$V$529,4,FALSE),"..")</f>
        <v>..</v>
      </c>
      <c r="BF905" s="846" t="str">
        <f t="shared" si="157"/>
        <v>..</v>
      </c>
      <c r="BG905" s="117">
        <f>VLOOKUP($D905,'WB Data'!$C$3:$M$578,5,FALSE)</f>
        <v>359830000</v>
      </c>
      <c r="BH905" s="129">
        <f>IFERROR($BB905/$BG905,"..")</f>
        <v>0.20247153933802073</v>
      </c>
      <c r="BI905" s="117">
        <f>IFERROR(VLOOKUP($D905,'WB Data'!$C$3:$M$578,7,FALSE)/100,"..")</f>
        <v>5.9131900000000001E-2</v>
      </c>
      <c r="BJ905" s="117">
        <f>IFERROR($BI905*$AW905,"..")</f>
        <v>303935469.74156928</v>
      </c>
      <c r="BK905" s="846">
        <f>IFERROR($BB905/$BJ905,"..")</f>
        <v>0.23970658660520125</v>
      </c>
      <c r="BL905" s="117">
        <f>IFERROR(VLOOKUP($D905,'WB Data'!$C$3:$M$578,7,FALSE)/100,"..")</f>
        <v>5.9131900000000001E-2</v>
      </c>
      <c r="BM905" s="117">
        <f>IFERROR($AW905*$BL905,"..")</f>
        <v>303935469.74156928</v>
      </c>
      <c r="BN905" s="846">
        <f>IFERROR($BB905/$BM905,"..")</f>
        <v>0.23970658660520125</v>
      </c>
      <c r="BO905" s="801" t="str">
        <f t="shared" si="153"/>
        <v>..</v>
      </c>
      <c r="BP905" s="117">
        <f>VLOOKUP($D905,'WB Data'!$C$3:$M$578,9,FALSE)</f>
        <v>31.7</v>
      </c>
      <c r="BQ905" s="117">
        <f>VLOOKUP($D905,'WB Data'!$C$3:$M$578,10,FALSE)</f>
        <v>68.451219512195124</v>
      </c>
      <c r="BR905" s="117">
        <f>VLOOKUP($D905,'WB Data'!$C$3:$M$578,11,FALSE)</f>
        <v>30.2</v>
      </c>
      <c r="BS905" s="129">
        <f>IFERROR(VLOOKUP($D905,'WB Data 2'!$C$2:$K$545,9,FALSE),"..")</f>
        <v>94.302660000000003</v>
      </c>
      <c r="BT905" s="129" t="str">
        <f>_xlfn.IFNA(VLOOKUP($C905,RGI!$A$2:$C$43,2,FALSE),"..")</f>
        <v>..</v>
      </c>
      <c r="BU905" s="129" t="str">
        <f>_xlfn.IFNA(VLOOKUP($C905,RGI!$A$2:$C$43,3,FALSE),"..")</f>
        <v>..</v>
      </c>
      <c r="BV905" s="129">
        <f>VLOOKUP($D905,WGI!$C$2:$O$478,7,FALSE)</f>
        <v>-1.0786996552027499</v>
      </c>
      <c r="BW905" s="129">
        <f>VLOOKUP($D905,WGI!$C$2:$O$478,4,FALSE)</f>
        <v>-0.58212276375498595</v>
      </c>
      <c r="BX905" s="129">
        <f>VLOOKUP($D905,WGI!$C$2:$O$478,3,FALSE)</f>
        <v>-0.76679444361734395</v>
      </c>
      <c r="BY905" s="129">
        <f>VLOOKUP($D905,WGI!$C$2:$O$478,5,FALSE)</f>
        <v>-0.34593290142494398</v>
      </c>
      <c r="BZ905" s="129">
        <f>VLOOKUP($D905,WGI!$C$2:$O$478,2,FALSE)</f>
        <v>-1.1211356630628699</v>
      </c>
      <c r="CB905" s="129"/>
    </row>
    <row r="906" spans="1:80" s="120" customFormat="1" ht="15" customHeight="1">
      <c r="A906" s="294" t="s">
        <v>290</v>
      </c>
      <c r="B906" s="117">
        <v>2008</v>
      </c>
      <c r="C906" s="117" t="s">
        <v>285</v>
      </c>
      <c r="D906" s="117" t="s">
        <v>3601</v>
      </c>
      <c r="E906" s="452" t="s">
        <v>39</v>
      </c>
      <c r="F906" s="117"/>
      <c r="G906" s="117" t="s">
        <v>24</v>
      </c>
      <c r="H906" s="117" t="str">
        <f t="shared" si="145"/>
        <v>yes</v>
      </c>
      <c r="I906" s="117" t="str">
        <f t="shared" si="146"/>
        <v>no</v>
      </c>
      <c r="J906" s="117" t="str">
        <f t="shared" si="147"/>
        <v>no</v>
      </c>
      <c r="K906" s="117" t="s">
        <v>1532</v>
      </c>
      <c r="L906" s="117" t="str">
        <f t="shared" si="148"/>
        <v>detailed</v>
      </c>
      <c r="M906" s="117" t="str">
        <f t="shared" si="149"/>
        <v>detailed Mining</v>
      </c>
      <c r="N906" s="118"/>
      <c r="O906" s="118"/>
      <c r="P906" s="118"/>
      <c r="Q906" s="118"/>
      <c r="R906" s="118"/>
      <c r="S906" s="117"/>
      <c r="T906" s="119"/>
      <c r="U906" s="117"/>
      <c r="V906" s="117"/>
      <c r="W906" s="89"/>
      <c r="X906" s="117"/>
      <c r="Y906" s="117"/>
      <c r="Z906" s="117"/>
      <c r="AA906" s="177"/>
      <c r="AB906" s="177"/>
      <c r="AC906" s="122"/>
      <c r="AD906" s="122"/>
      <c r="AE906" s="122"/>
      <c r="AF906" s="123"/>
      <c r="AG906" s="117"/>
      <c r="AH906" s="124"/>
      <c r="AI906" s="117"/>
      <c r="AJ906" s="117"/>
      <c r="AK906" s="89"/>
      <c r="AL906" s="117"/>
      <c r="AM906" s="117"/>
      <c r="AN906" s="117">
        <v>5</v>
      </c>
      <c r="AO906" s="117" t="s">
        <v>1533</v>
      </c>
      <c r="AP906" s="117">
        <v>4</v>
      </c>
      <c r="AQ906" s="117"/>
      <c r="AR906" s="126"/>
      <c r="AS906" s="117"/>
      <c r="AT906" s="117"/>
      <c r="AU906" s="117"/>
      <c r="AV906" s="128"/>
      <c r="AW906" s="117">
        <f>VLOOKUP($D906,'WB Data'!$C$3:$M$578,2,FALSE)</f>
        <v>5139957784.91084</v>
      </c>
      <c r="AX906" s="117">
        <f>VLOOKUP($D906,'WB Data'!$C$3:$M$578,3,FALSE)</f>
        <v>5318700</v>
      </c>
      <c r="AY906" s="847">
        <f t="shared" si="154"/>
        <v>1.4174305908480098E-2</v>
      </c>
      <c r="AZ906" s="117">
        <f>VLOOKUP($D906,'WB Data'!$C$3:$M$578,4,FALSE)/100</f>
        <v>0.20129508239450739</v>
      </c>
      <c r="BA906" s="117">
        <f t="shared" si="155"/>
        <v>1034648225.8179172</v>
      </c>
      <c r="BB906" s="129">
        <f>IFERROR(VLOOKUP($D906,'EITI Revenues'!$C$2:$G$224,5,FALSE),"..")</f>
        <v>72855334</v>
      </c>
      <c r="BC906" s="846">
        <f t="shared" si="156"/>
        <v>7.0415559783525358E-2</v>
      </c>
      <c r="BD906" s="129">
        <f>VLOOKUP($D906,'WB Data 2'!$C$2:$K$545,6,FALSE)</f>
        <v>174631077.22816646</v>
      </c>
      <c r="BE906" s="129" t="str">
        <f>IFERROR(VLOOKUP($D906,UNCTAD!$C$5:$V$529,4,FALSE),"..")</f>
        <v>..</v>
      </c>
      <c r="BF906" s="846" t="str">
        <f t="shared" si="157"/>
        <v>..</v>
      </c>
      <c r="BG906" s="117">
        <f>VLOOKUP($D906,'WB Data'!$C$3:$M$578,5,FALSE)</f>
        <v>359830000</v>
      </c>
      <c r="BH906" s="129">
        <f>IFERROR($BB906/$BG906,"..")</f>
        <v>0.20247153933802073</v>
      </c>
      <c r="BI906" s="117">
        <f>IFERROR(VLOOKUP($D906,'WB Data'!$C$3:$M$578,7,FALSE)/100,"..")</f>
        <v>5.9131900000000001E-2</v>
      </c>
      <c r="BJ906" s="117">
        <f>IFERROR($BI906*$AW906,"..")</f>
        <v>303935469.74156928</v>
      </c>
      <c r="BK906" s="846">
        <f>IFERROR($BB906/$BJ906,"..")</f>
        <v>0.23970658660520125</v>
      </c>
      <c r="BL906" s="117">
        <f>IFERROR(VLOOKUP($D906,'WB Data'!$C$3:$M$578,7,FALSE)/100,"..")</f>
        <v>5.9131900000000001E-2</v>
      </c>
      <c r="BM906" s="117">
        <f>IFERROR($AW906*$BL906,"..")</f>
        <v>303935469.74156928</v>
      </c>
      <c r="BN906" s="846">
        <f>IFERROR($BB906/$BM906,"..")</f>
        <v>0.23970658660520125</v>
      </c>
      <c r="BO906" s="801" t="str">
        <f t="shared" si="153"/>
        <v>..</v>
      </c>
      <c r="BP906" s="117">
        <f>VLOOKUP($D906,'WB Data'!$C$3:$M$578,9,FALSE)</f>
        <v>31.7</v>
      </c>
      <c r="BQ906" s="117">
        <f>VLOOKUP($D906,'WB Data'!$C$3:$M$578,10,FALSE)</f>
        <v>68.451219512195124</v>
      </c>
      <c r="BR906" s="117">
        <f>VLOOKUP($D906,'WB Data'!$C$3:$M$578,11,FALSE)</f>
        <v>30.2</v>
      </c>
      <c r="BS906" s="129">
        <f>IFERROR(VLOOKUP($D906,'WB Data 2'!$C$2:$K$545,9,FALSE),"..")</f>
        <v>94.302660000000003</v>
      </c>
      <c r="BT906" s="129" t="str">
        <f>_xlfn.IFNA(VLOOKUP($C906,RGI!$A$2:$C$43,2,FALSE),"..")</f>
        <v>..</v>
      </c>
      <c r="BU906" s="129" t="str">
        <f>_xlfn.IFNA(VLOOKUP($C906,RGI!$A$2:$C$43,3,FALSE),"..")</f>
        <v>..</v>
      </c>
      <c r="BV906" s="129">
        <f>VLOOKUP($D906,WGI!$C$2:$O$478,7,FALSE)</f>
        <v>-1.0786996552027499</v>
      </c>
      <c r="BW906" s="129">
        <f>VLOOKUP($D906,WGI!$C$2:$O$478,4,FALSE)</f>
        <v>-0.58212276375498595</v>
      </c>
      <c r="BX906" s="129">
        <f>VLOOKUP($D906,WGI!$C$2:$O$478,3,FALSE)</f>
        <v>-0.76679444361734395</v>
      </c>
      <c r="BY906" s="129">
        <f>VLOOKUP($D906,WGI!$C$2:$O$478,5,FALSE)</f>
        <v>-0.34593290142494398</v>
      </c>
      <c r="BZ906" s="129">
        <f>VLOOKUP($D906,WGI!$C$2:$O$478,2,FALSE)</f>
        <v>-1.1211356630628699</v>
      </c>
      <c r="CB906" s="129"/>
    </row>
    <row r="907" spans="1:80" s="120" customFormat="1" ht="15" customHeight="1">
      <c r="A907" s="294" t="s">
        <v>290</v>
      </c>
      <c r="B907" s="117">
        <v>2008</v>
      </c>
      <c r="C907" s="117" t="s">
        <v>285</v>
      </c>
      <c r="D907" s="117" t="s">
        <v>3601</v>
      </c>
      <c r="E907" s="452" t="s">
        <v>39</v>
      </c>
      <c r="F907" s="117"/>
      <c r="G907" s="117" t="s">
        <v>24</v>
      </c>
      <c r="H907" s="117" t="str">
        <f t="shared" si="145"/>
        <v>yes</v>
      </c>
      <c r="I907" s="117" t="str">
        <f t="shared" si="146"/>
        <v>no</v>
      </c>
      <c r="J907" s="117" t="str">
        <f t="shared" si="147"/>
        <v>no</v>
      </c>
      <c r="K907" s="117" t="s">
        <v>1534</v>
      </c>
      <c r="L907" s="117" t="str">
        <f t="shared" si="148"/>
        <v>detailed</v>
      </c>
      <c r="M907" s="117" t="str">
        <f t="shared" si="149"/>
        <v>detailed Mining</v>
      </c>
      <c r="N907" s="118"/>
      <c r="O907" s="118"/>
      <c r="P907" s="118"/>
      <c r="Q907" s="118"/>
      <c r="R907" s="118"/>
      <c r="S907" s="117"/>
      <c r="T907" s="119">
        <f>279.5/0.000453592*0.0026</f>
        <v>1602.100566147551</v>
      </c>
      <c r="U907" s="120" t="s">
        <v>611</v>
      </c>
      <c r="V907" s="117" t="s">
        <v>1535</v>
      </c>
      <c r="W907" s="89">
        <f>N908*T907</f>
        <v>1121470.3963032856</v>
      </c>
      <c r="X907" s="117"/>
      <c r="Y907" s="117"/>
      <c r="Z907" s="117"/>
      <c r="AA907" s="177"/>
      <c r="AB907" s="177"/>
      <c r="AC907" s="122"/>
      <c r="AD907" s="122"/>
      <c r="AE907" s="122"/>
      <c r="AF907" s="123"/>
      <c r="AG907" s="117"/>
      <c r="AH907" s="124"/>
      <c r="AI907" s="117"/>
      <c r="AJ907" s="117"/>
      <c r="AK907" s="89"/>
      <c r="AL907" s="117"/>
      <c r="AM907" s="117"/>
      <c r="AN907" s="117">
        <v>1</v>
      </c>
      <c r="AO907" s="117" t="s">
        <v>1536</v>
      </c>
      <c r="AP907" s="117">
        <v>1</v>
      </c>
      <c r="AQ907" s="117"/>
      <c r="AR907" s="126"/>
      <c r="AS907" s="117"/>
      <c r="AT907" s="117"/>
      <c r="AU907" s="117"/>
      <c r="AV907" s="128"/>
      <c r="AW907" s="117">
        <f>VLOOKUP($D907,'WB Data'!$C$3:$M$578,2,FALSE)</f>
        <v>5139957784.91084</v>
      </c>
      <c r="AX907" s="117">
        <f>VLOOKUP($D907,'WB Data'!$C$3:$M$578,3,FALSE)</f>
        <v>5318700</v>
      </c>
      <c r="AY907" s="847">
        <f t="shared" si="154"/>
        <v>1.4174305908480098E-2</v>
      </c>
      <c r="AZ907" s="117">
        <f>VLOOKUP($D907,'WB Data'!$C$3:$M$578,4,FALSE)/100</f>
        <v>0.20129508239450739</v>
      </c>
      <c r="BA907" s="117">
        <f t="shared" si="155"/>
        <v>1034648225.8179172</v>
      </c>
      <c r="BB907" s="129">
        <f>IFERROR(VLOOKUP($D907,'EITI Revenues'!$C$2:$G$224,5,FALSE),"..")</f>
        <v>72855334</v>
      </c>
      <c r="BC907" s="846">
        <f t="shared" si="156"/>
        <v>7.0415559783525358E-2</v>
      </c>
      <c r="BD907" s="129">
        <f>VLOOKUP($D907,'WB Data 2'!$C$2:$K$545,6,FALSE)</f>
        <v>174631077.22816646</v>
      </c>
      <c r="BE907" s="129" t="str">
        <f>IFERROR(VLOOKUP($D907,UNCTAD!$C$5:$V$529,4,FALSE),"..")</f>
        <v>..</v>
      </c>
      <c r="BF907" s="846" t="str">
        <f t="shared" si="157"/>
        <v>..</v>
      </c>
      <c r="BG907" s="117">
        <f>VLOOKUP($D907,'WB Data'!$C$3:$M$578,5,FALSE)</f>
        <v>359830000</v>
      </c>
      <c r="BH907" s="129">
        <f>IFERROR($BB907/$BG907,"..")</f>
        <v>0.20247153933802073</v>
      </c>
      <c r="BI907" s="117">
        <f>IFERROR(VLOOKUP($D907,'WB Data'!$C$3:$M$578,7,FALSE)/100,"..")</f>
        <v>5.9131900000000001E-2</v>
      </c>
      <c r="BJ907" s="117">
        <f>IFERROR($BI907*$AW907,"..")</f>
        <v>303935469.74156928</v>
      </c>
      <c r="BK907" s="846">
        <f>IFERROR($BB907/$BJ907,"..")</f>
        <v>0.23970658660520125</v>
      </c>
      <c r="BL907" s="117">
        <f>IFERROR(VLOOKUP($D907,'WB Data'!$C$3:$M$578,7,FALSE)/100,"..")</f>
        <v>5.9131900000000001E-2</v>
      </c>
      <c r="BM907" s="117">
        <f>IFERROR($AW907*$BL907,"..")</f>
        <v>303935469.74156928</v>
      </c>
      <c r="BN907" s="846">
        <f>IFERROR($BB907/$BM907,"..")</f>
        <v>0.23970658660520125</v>
      </c>
      <c r="BO907" s="801" t="str">
        <f t="shared" si="153"/>
        <v>..</v>
      </c>
      <c r="BP907" s="117">
        <f>VLOOKUP($D907,'WB Data'!$C$3:$M$578,9,FALSE)</f>
        <v>31.7</v>
      </c>
      <c r="BQ907" s="117">
        <f>VLOOKUP($D907,'WB Data'!$C$3:$M$578,10,FALSE)</f>
        <v>68.451219512195124</v>
      </c>
      <c r="BR907" s="117">
        <f>VLOOKUP($D907,'WB Data'!$C$3:$M$578,11,FALSE)</f>
        <v>30.2</v>
      </c>
      <c r="BS907" s="129">
        <f>IFERROR(VLOOKUP($D907,'WB Data 2'!$C$2:$K$545,9,FALSE),"..")</f>
        <v>94.302660000000003</v>
      </c>
      <c r="BT907" s="129" t="str">
        <f>_xlfn.IFNA(VLOOKUP($C907,RGI!$A$2:$C$43,2,FALSE),"..")</f>
        <v>..</v>
      </c>
      <c r="BU907" s="129" t="str">
        <f>_xlfn.IFNA(VLOOKUP($C907,RGI!$A$2:$C$43,3,FALSE),"..")</f>
        <v>..</v>
      </c>
      <c r="BV907" s="129">
        <f>VLOOKUP($D907,WGI!$C$2:$O$478,7,FALSE)</f>
        <v>-1.0786996552027499</v>
      </c>
      <c r="BW907" s="129">
        <f>VLOOKUP($D907,WGI!$C$2:$O$478,4,FALSE)</f>
        <v>-0.58212276375498595</v>
      </c>
      <c r="BX907" s="129">
        <f>VLOOKUP($D907,WGI!$C$2:$O$478,3,FALSE)</f>
        <v>-0.76679444361734395</v>
      </c>
      <c r="BY907" s="129">
        <f>VLOOKUP($D907,WGI!$C$2:$O$478,5,FALSE)</f>
        <v>-0.34593290142494398</v>
      </c>
      <c r="BZ907" s="129">
        <f>VLOOKUP($D907,WGI!$C$2:$O$478,2,FALSE)</f>
        <v>-1.1211356630628699</v>
      </c>
      <c r="CB907" s="129"/>
    </row>
    <row r="908" spans="1:80" s="120" customFormat="1" ht="15" customHeight="1">
      <c r="A908" s="294" t="s">
        <v>290</v>
      </c>
      <c r="B908" s="117">
        <v>2008</v>
      </c>
      <c r="C908" s="117" t="s">
        <v>285</v>
      </c>
      <c r="D908" s="117" t="s">
        <v>3601</v>
      </c>
      <c r="E908" s="452" t="s">
        <v>39</v>
      </c>
      <c r="F908" s="117"/>
      <c r="G908" s="117" t="s">
        <v>24</v>
      </c>
      <c r="H908" s="117" t="str">
        <f t="shared" si="145"/>
        <v>yes</v>
      </c>
      <c r="I908" s="117" t="str">
        <f t="shared" si="146"/>
        <v>no</v>
      </c>
      <c r="J908" s="117" t="str">
        <f t="shared" si="147"/>
        <v>no</v>
      </c>
      <c r="K908" s="117" t="s">
        <v>1537</v>
      </c>
      <c r="L908" s="117" t="str">
        <f t="shared" si="148"/>
        <v>detailed</v>
      </c>
      <c r="M908" s="117" t="str">
        <f t="shared" si="149"/>
        <v>detailed Mining</v>
      </c>
      <c r="N908" s="118">
        <v>700</v>
      </c>
      <c r="O908" s="118"/>
      <c r="P908" s="118"/>
      <c r="Q908" s="118"/>
      <c r="R908" s="118"/>
      <c r="S908" s="117" t="s">
        <v>610</v>
      </c>
      <c r="T908" s="119"/>
      <c r="U908" s="117"/>
      <c r="V908" s="117" t="s">
        <v>684</v>
      </c>
      <c r="W908" s="89"/>
      <c r="X908" s="117"/>
      <c r="Y908" s="117"/>
      <c r="Z908" s="117"/>
      <c r="AA908" s="177"/>
      <c r="AB908" s="177"/>
      <c r="AC908" s="122"/>
      <c r="AD908" s="122"/>
      <c r="AE908" s="122"/>
      <c r="AF908" s="123"/>
      <c r="AG908" s="117"/>
      <c r="AH908" s="124"/>
      <c r="AI908" s="117"/>
      <c r="AJ908" s="117"/>
      <c r="AK908" s="89"/>
      <c r="AL908" s="117"/>
      <c r="AM908" s="117"/>
      <c r="AN908" s="117"/>
      <c r="AO908" s="117"/>
      <c r="AP908" s="117"/>
      <c r="AQ908" s="117"/>
      <c r="AR908" s="126"/>
      <c r="AS908" s="117"/>
      <c r="AT908" s="117"/>
      <c r="AU908" s="117"/>
      <c r="AV908" s="128"/>
      <c r="AW908" s="117">
        <f>VLOOKUP($D908,'WB Data'!$C$3:$M$578,2,FALSE)</f>
        <v>5139957784.91084</v>
      </c>
      <c r="AX908" s="117">
        <f>VLOOKUP($D908,'WB Data'!$C$3:$M$578,3,FALSE)</f>
        <v>5318700</v>
      </c>
      <c r="AY908" s="847">
        <f t="shared" si="154"/>
        <v>1.4174305908480098E-2</v>
      </c>
      <c r="AZ908" s="117">
        <f>VLOOKUP($D908,'WB Data'!$C$3:$M$578,4,FALSE)/100</f>
        <v>0.20129508239450739</v>
      </c>
      <c r="BA908" s="117">
        <f t="shared" si="155"/>
        <v>1034648225.8179172</v>
      </c>
      <c r="BB908" s="129">
        <f>IFERROR(VLOOKUP($D908,'EITI Revenues'!$C$2:$G$224,5,FALSE),"..")</f>
        <v>72855334</v>
      </c>
      <c r="BC908" s="846">
        <f t="shared" si="156"/>
        <v>7.0415559783525358E-2</v>
      </c>
      <c r="BD908" s="129">
        <f>VLOOKUP($D908,'WB Data 2'!$C$2:$K$545,6,FALSE)</f>
        <v>174631077.22816646</v>
      </c>
      <c r="BE908" s="129" t="str">
        <f>IFERROR(VLOOKUP($D908,UNCTAD!$C$5:$V$529,4,FALSE),"..")</f>
        <v>..</v>
      </c>
      <c r="BF908" s="846" t="str">
        <f t="shared" si="157"/>
        <v>..</v>
      </c>
      <c r="BG908" s="117">
        <f>VLOOKUP($D908,'WB Data'!$C$3:$M$578,5,FALSE)</f>
        <v>359830000</v>
      </c>
      <c r="BH908" s="129">
        <f>IFERROR($BB908/$BG908,"..")</f>
        <v>0.20247153933802073</v>
      </c>
      <c r="BI908" s="117">
        <f>IFERROR(VLOOKUP($D908,'WB Data'!$C$3:$M$578,7,FALSE)/100,"..")</f>
        <v>5.9131900000000001E-2</v>
      </c>
      <c r="BJ908" s="117">
        <f>IFERROR($BI908*$AW908,"..")</f>
        <v>303935469.74156928</v>
      </c>
      <c r="BK908" s="846">
        <f>IFERROR($BB908/$BJ908,"..")</f>
        <v>0.23970658660520125</v>
      </c>
      <c r="BL908" s="117">
        <f>IFERROR(VLOOKUP($D908,'WB Data'!$C$3:$M$578,7,FALSE)/100,"..")</f>
        <v>5.9131900000000001E-2</v>
      </c>
      <c r="BM908" s="117">
        <f>IFERROR($AW908*$BL908,"..")</f>
        <v>303935469.74156928</v>
      </c>
      <c r="BN908" s="846">
        <f>IFERROR($BB908/$BM908,"..")</f>
        <v>0.23970658660520125</v>
      </c>
      <c r="BO908" s="801" t="str">
        <f t="shared" si="153"/>
        <v>..</v>
      </c>
      <c r="BP908" s="117">
        <f>VLOOKUP($D908,'WB Data'!$C$3:$M$578,9,FALSE)</f>
        <v>31.7</v>
      </c>
      <c r="BQ908" s="117">
        <f>VLOOKUP($D908,'WB Data'!$C$3:$M$578,10,FALSE)</f>
        <v>68.451219512195124</v>
      </c>
      <c r="BR908" s="117">
        <f>VLOOKUP($D908,'WB Data'!$C$3:$M$578,11,FALSE)</f>
        <v>30.2</v>
      </c>
      <c r="BS908" s="129">
        <f>IFERROR(VLOOKUP($D908,'WB Data 2'!$C$2:$K$545,9,FALSE),"..")</f>
        <v>94.302660000000003</v>
      </c>
      <c r="BT908" s="129" t="str">
        <f>_xlfn.IFNA(VLOOKUP($C908,RGI!$A$2:$C$43,2,FALSE),"..")</f>
        <v>..</v>
      </c>
      <c r="BU908" s="129" t="str">
        <f>_xlfn.IFNA(VLOOKUP($C908,RGI!$A$2:$C$43,3,FALSE),"..")</f>
        <v>..</v>
      </c>
      <c r="BV908" s="129">
        <f>VLOOKUP($D908,WGI!$C$2:$O$478,7,FALSE)</f>
        <v>-1.0786996552027499</v>
      </c>
      <c r="BW908" s="129">
        <f>VLOOKUP($D908,WGI!$C$2:$O$478,4,FALSE)</f>
        <v>-0.58212276375498595</v>
      </c>
      <c r="BX908" s="129">
        <f>VLOOKUP($D908,WGI!$C$2:$O$478,3,FALSE)</f>
        <v>-0.76679444361734395</v>
      </c>
      <c r="BY908" s="129">
        <f>VLOOKUP($D908,WGI!$C$2:$O$478,5,FALSE)</f>
        <v>-0.34593290142494398</v>
      </c>
      <c r="BZ908" s="129">
        <f>VLOOKUP($D908,WGI!$C$2:$O$478,2,FALSE)</f>
        <v>-1.1211356630628699</v>
      </c>
      <c r="CB908" s="129"/>
    </row>
    <row r="909" spans="1:80" s="120" customFormat="1" ht="15" customHeight="1">
      <c r="A909" s="294" t="s">
        <v>290</v>
      </c>
      <c r="B909" s="117">
        <v>2008</v>
      </c>
      <c r="C909" s="117" t="s">
        <v>285</v>
      </c>
      <c r="D909" s="117" t="s">
        <v>3601</v>
      </c>
      <c r="E909" s="452" t="s">
        <v>39</v>
      </c>
      <c r="F909" s="117"/>
      <c r="G909" s="117" t="s">
        <v>24</v>
      </c>
      <c r="H909" s="117" t="str">
        <f t="shared" si="145"/>
        <v>yes</v>
      </c>
      <c r="I909" s="117" t="str">
        <f t="shared" si="146"/>
        <v>no</v>
      </c>
      <c r="J909" s="117" t="str">
        <f t="shared" si="147"/>
        <v>no</v>
      </c>
      <c r="K909" s="117" t="s">
        <v>1538</v>
      </c>
      <c r="L909" s="117" t="str">
        <f t="shared" si="148"/>
        <v>detailed</v>
      </c>
      <c r="M909" s="117" t="str">
        <f t="shared" si="149"/>
        <v>detailed Mining</v>
      </c>
      <c r="N909" s="118">
        <v>700</v>
      </c>
      <c r="O909" s="118"/>
      <c r="P909" s="118"/>
      <c r="Q909" s="118"/>
      <c r="R909" s="118"/>
      <c r="S909" s="117" t="s">
        <v>610</v>
      </c>
      <c r="T909" s="119"/>
      <c r="U909" s="117"/>
      <c r="V909" s="117" t="s">
        <v>684</v>
      </c>
      <c r="W909" s="89"/>
      <c r="X909" s="117"/>
      <c r="Y909" s="117"/>
      <c r="Z909" s="117"/>
      <c r="AA909" s="177"/>
      <c r="AB909" s="177"/>
      <c r="AC909" s="122"/>
      <c r="AD909" s="122"/>
      <c r="AE909" s="122"/>
      <c r="AF909" s="123"/>
      <c r="AG909" s="117"/>
      <c r="AH909" s="124"/>
      <c r="AI909" s="117"/>
      <c r="AJ909" s="117"/>
      <c r="AK909" s="89"/>
      <c r="AL909" s="117"/>
      <c r="AM909" s="117"/>
      <c r="AN909" s="117"/>
      <c r="AO909" s="117"/>
      <c r="AP909" s="117"/>
      <c r="AQ909" s="117"/>
      <c r="AR909" s="126"/>
      <c r="AS909" s="117"/>
      <c r="AT909" s="117"/>
      <c r="AU909" s="117"/>
      <c r="AV909" s="128"/>
      <c r="AW909" s="117">
        <f>VLOOKUP($D909,'WB Data'!$C$3:$M$578,2,FALSE)</f>
        <v>5139957784.91084</v>
      </c>
      <c r="AX909" s="117">
        <f>VLOOKUP($D909,'WB Data'!$C$3:$M$578,3,FALSE)</f>
        <v>5318700</v>
      </c>
      <c r="AY909" s="847">
        <f t="shared" si="154"/>
        <v>1.4174305908480098E-2</v>
      </c>
      <c r="AZ909" s="117">
        <f>VLOOKUP($D909,'WB Data'!$C$3:$M$578,4,FALSE)/100</f>
        <v>0.20129508239450739</v>
      </c>
      <c r="BA909" s="117">
        <f t="shared" si="155"/>
        <v>1034648225.8179172</v>
      </c>
      <c r="BB909" s="129">
        <f>IFERROR(VLOOKUP($D909,'EITI Revenues'!$C$2:$G$224,5,FALSE),"..")</f>
        <v>72855334</v>
      </c>
      <c r="BC909" s="846">
        <f t="shared" si="156"/>
        <v>7.0415559783525358E-2</v>
      </c>
      <c r="BD909" s="129">
        <f>VLOOKUP($D909,'WB Data 2'!$C$2:$K$545,6,FALSE)</f>
        <v>174631077.22816646</v>
      </c>
      <c r="BE909" s="129" t="str">
        <f>IFERROR(VLOOKUP($D909,UNCTAD!$C$5:$V$529,4,FALSE),"..")</f>
        <v>..</v>
      </c>
      <c r="BF909" s="846" t="str">
        <f t="shared" si="157"/>
        <v>..</v>
      </c>
      <c r="BG909" s="117">
        <f>VLOOKUP($D909,'WB Data'!$C$3:$M$578,5,FALSE)</f>
        <v>359830000</v>
      </c>
      <c r="BH909" s="129">
        <f>IFERROR($BB909/$BG909,"..")</f>
        <v>0.20247153933802073</v>
      </c>
      <c r="BI909" s="117">
        <f>IFERROR(VLOOKUP($D909,'WB Data'!$C$3:$M$578,7,FALSE)/100,"..")</f>
        <v>5.9131900000000001E-2</v>
      </c>
      <c r="BJ909" s="117">
        <f>IFERROR($BI909*$AW909,"..")</f>
        <v>303935469.74156928</v>
      </c>
      <c r="BK909" s="846">
        <f>IFERROR($BB909/$BJ909,"..")</f>
        <v>0.23970658660520125</v>
      </c>
      <c r="BL909" s="117">
        <f>IFERROR(VLOOKUP($D909,'WB Data'!$C$3:$M$578,7,FALSE)/100,"..")</f>
        <v>5.9131900000000001E-2</v>
      </c>
      <c r="BM909" s="117">
        <f>IFERROR($AW909*$BL909,"..")</f>
        <v>303935469.74156928</v>
      </c>
      <c r="BN909" s="846">
        <f>IFERROR($BB909/$BM909,"..")</f>
        <v>0.23970658660520125</v>
      </c>
      <c r="BO909" s="801" t="str">
        <f t="shared" si="153"/>
        <v>..</v>
      </c>
      <c r="BP909" s="117">
        <f>VLOOKUP($D909,'WB Data'!$C$3:$M$578,9,FALSE)</f>
        <v>31.7</v>
      </c>
      <c r="BQ909" s="117">
        <f>VLOOKUP($D909,'WB Data'!$C$3:$M$578,10,FALSE)</f>
        <v>68.451219512195124</v>
      </c>
      <c r="BR909" s="117">
        <f>VLOOKUP($D909,'WB Data'!$C$3:$M$578,11,FALSE)</f>
        <v>30.2</v>
      </c>
      <c r="BS909" s="129">
        <f>IFERROR(VLOOKUP($D909,'WB Data 2'!$C$2:$K$545,9,FALSE),"..")</f>
        <v>94.302660000000003</v>
      </c>
      <c r="BT909" s="129" t="str">
        <f>_xlfn.IFNA(VLOOKUP($C909,RGI!$A$2:$C$43,2,FALSE),"..")</f>
        <v>..</v>
      </c>
      <c r="BU909" s="129" t="str">
        <f>_xlfn.IFNA(VLOOKUP($C909,RGI!$A$2:$C$43,3,FALSE),"..")</f>
        <v>..</v>
      </c>
      <c r="BV909" s="129">
        <f>VLOOKUP($D909,WGI!$C$2:$O$478,7,FALSE)</f>
        <v>-1.0786996552027499</v>
      </c>
      <c r="BW909" s="129">
        <f>VLOOKUP($D909,WGI!$C$2:$O$478,4,FALSE)</f>
        <v>-0.58212276375498595</v>
      </c>
      <c r="BX909" s="129">
        <f>VLOOKUP($D909,WGI!$C$2:$O$478,3,FALSE)</f>
        <v>-0.76679444361734395</v>
      </c>
      <c r="BY909" s="129">
        <f>VLOOKUP($D909,WGI!$C$2:$O$478,5,FALSE)</f>
        <v>-0.34593290142494398</v>
      </c>
      <c r="BZ909" s="129">
        <f>VLOOKUP($D909,WGI!$C$2:$O$478,2,FALSE)</f>
        <v>-1.1211356630628699</v>
      </c>
      <c r="CB909" s="129"/>
    </row>
    <row r="910" spans="1:80" s="120" customFormat="1" ht="15" customHeight="1">
      <c r="A910" s="294" t="s">
        <v>290</v>
      </c>
      <c r="B910" s="117">
        <v>2008</v>
      </c>
      <c r="C910" s="117" t="s">
        <v>285</v>
      </c>
      <c r="D910" s="117" t="s">
        <v>3601</v>
      </c>
      <c r="E910" s="452" t="s">
        <v>39</v>
      </c>
      <c r="F910" s="117"/>
      <c r="G910" s="117" t="s">
        <v>24</v>
      </c>
      <c r="H910" s="117" t="str">
        <f t="shared" si="145"/>
        <v>yes</v>
      </c>
      <c r="I910" s="117" t="str">
        <f t="shared" si="146"/>
        <v>no</v>
      </c>
      <c r="J910" s="117" t="str">
        <f t="shared" si="147"/>
        <v>no</v>
      </c>
      <c r="K910" s="117" t="s">
        <v>1539</v>
      </c>
      <c r="L910" s="117" t="str">
        <f t="shared" si="148"/>
        <v>detailed</v>
      </c>
      <c r="M910" s="117" t="str">
        <f t="shared" si="149"/>
        <v>detailed Mining</v>
      </c>
      <c r="N910" s="118">
        <v>1097</v>
      </c>
      <c r="O910" s="118"/>
      <c r="P910" s="118"/>
      <c r="Q910" s="118"/>
      <c r="R910" s="118"/>
      <c r="S910" s="117" t="s">
        <v>610</v>
      </c>
      <c r="T910" s="119"/>
      <c r="U910" s="117"/>
      <c r="V910" s="117" t="s">
        <v>684</v>
      </c>
      <c r="W910" s="89"/>
      <c r="X910" s="117"/>
      <c r="Y910" s="117"/>
      <c r="Z910" s="117"/>
      <c r="AA910" s="177"/>
      <c r="AB910" s="177"/>
      <c r="AC910" s="122"/>
      <c r="AD910" s="122"/>
      <c r="AE910" s="122"/>
      <c r="AF910" s="123"/>
      <c r="AG910" s="117"/>
      <c r="AH910" s="124"/>
      <c r="AI910" s="117"/>
      <c r="AJ910" s="117"/>
      <c r="AK910" s="89"/>
      <c r="AL910" s="117"/>
      <c r="AM910" s="117"/>
      <c r="AN910" s="117"/>
      <c r="AO910" s="117"/>
      <c r="AP910" s="117"/>
      <c r="AQ910" s="117"/>
      <c r="AR910" s="126"/>
      <c r="AS910" s="117"/>
      <c r="AT910" s="117"/>
      <c r="AU910" s="117"/>
      <c r="AV910" s="128"/>
      <c r="AW910" s="117">
        <f>VLOOKUP($D910,'WB Data'!$C$3:$M$578,2,FALSE)</f>
        <v>5139957784.91084</v>
      </c>
      <c r="AX910" s="117">
        <f>VLOOKUP($D910,'WB Data'!$C$3:$M$578,3,FALSE)</f>
        <v>5318700</v>
      </c>
      <c r="AY910" s="847">
        <f t="shared" si="154"/>
        <v>1.4174305908480098E-2</v>
      </c>
      <c r="AZ910" s="117">
        <f>VLOOKUP($D910,'WB Data'!$C$3:$M$578,4,FALSE)/100</f>
        <v>0.20129508239450739</v>
      </c>
      <c r="BA910" s="117">
        <f t="shared" si="155"/>
        <v>1034648225.8179172</v>
      </c>
      <c r="BB910" s="129">
        <f>IFERROR(VLOOKUP($D910,'EITI Revenues'!$C$2:$G$224,5,FALSE),"..")</f>
        <v>72855334</v>
      </c>
      <c r="BC910" s="846">
        <f t="shared" si="156"/>
        <v>7.0415559783525358E-2</v>
      </c>
      <c r="BD910" s="129">
        <f>VLOOKUP($D910,'WB Data 2'!$C$2:$K$545,6,FALSE)</f>
        <v>174631077.22816646</v>
      </c>
      <c r="BE910" s="129" t="str">
        <f>IFERROR(VLOOKUP($D910,UNCTAD!$C$5:$V$529,4,FALSE),"..")</f>
        <v>..</v>
      </c>
      <c r="BF910" s="846" t="str">
        <f t="shared" si="157"/>
        <v>..</v>
      </c>
      <c r="BG910" s="117">
        <f>VLOOKUP($D910,'WB Data'!$C$3:$M$578,5,FALSE)</f>
        <v>359830000</v>
      </c>
      <c r="BH910" s="129">
        <f>IFERROR($BB910/$BG910,"..")</f>
        <v>0.20247153933802073</v>
      </c>
      <c r="BI910" s="117">
        <f>IFERROR(VLOOKUP($D910,'WB Data'!$C$3:$M$578,7,FALSE)/100,"..")</f>
        <v>5.9131900000000001E-2</v>
      </c>
      <c r="BJ910" s="117">
        <f>IFERROR($BI910*$AW910,"..")</f>
        <v>303935469.74156928</v>
      </c>
      <c r="BK910" s="846">
        <f>IFERROR($BB910/$BJ910,"..")</f>
        <v>0.23970658660520125</v>
      </c>
      <c r="BL910" s="117">
        <f>IFERROR(VLOOKUP($D910,'WB Data'!$C$3:$M$578,7,FALSE)/100,"..")</f>
        <v>5.9131900000000001E-2</v>
      </c>
      <c r="BM910" s="117">
        <f>IFERROR($AW910*$BL910,"..")</f>
        <v>303935469.74156928</v>
      </c>
      <c r="BN910" s="846">
        <f>IFERROR($BB910/$BM910,"..")</f>
        <v>0.23970658660520125</v>
      </c>
      <c r="BO910" s="801" t="str">
        <f t="shared" si="153"/>
        <v>..</v>
      </c>
      <c r="BP910" s="117">
        <f>VLOOKUP($D910,'WB Data'!$C$3:$M$578,9,FALSE)</f>
        <v>31.7</v>
      </c>
      <c r="BQ910" s="117">
        <f>VLOOKUP($D910,'WB Data'!$C$3:$M$578,10,FALSE)</f>
        <v>68.451219512195124</v>
      </c>
      <c r="BR910" s="117">
        <f>VLOOKUP($D910,'WB Data'!$C$3:$M$578,11,FALSE)</f>
        <v>30.2</v>
      </c>
      <c r="BS910" s="129">
        <f>IFERROR(VLOOKUP($D910,'WB Data 2'!$C$2:$K$545,9,FALSE),"..")</f>
        <v>94.302660000000003</v>
      </c>
      <c r="BT910" s="129" t="str">
        <f>_xlfn.IFNA(VLOOKUP($C910,RGI!$A$2:$C$43,2,FALSE),"..")</f>
        <v>..</v>
      </c>
      <c r="BU910" s="129" t="str">
        <f>_xlfn.IFNA(VLOOKUP($C910,RGI!$A$2:$C$43,3,FALSE),"..")</f>
        <v>..</v>
      </c>
      <c r="BV910" s="129">
        <f>VLOOKUP($D910,WGI!$C$2:$O$478,7,FALSE)</f>
        <v>-1.0786996552027499</v>
      </c>
      <c r="BW910" s="129">
        <f>VLOOKUP($D910,WGI!$C$2:$O$478,4,FALSE)</f>
        <v>-0.58212276375498595</v>
      </c>
      <c r="BX910" s="129">
        <f>VLOOKUP($D910,WGI!$C$2:$O$478,3,FALSE)</f>
        <v>-0.76679444361734395</v>
      </c>
      <c r="BY910" s="129">
        <f>VLOOKUP($D910,WGI!$C$2:$O$478,5,FALSE)</f>
        <v>-0.34593290142494398</v>
      </c>
      <c r="BZ910" s="129">
        <f>VLOOKUP($D910,WGI!$C$2:$O$478,2,FALSE)</f>
        <v>-1.1211356630628699</v>
      </c>
      <c r="CB910" s="129"/>
    </row>
    <row r="911" spans="1:80" s="158" customFormat="1" ht="15" customHeight="1">
      <c r="A911" s="295" t="s">
        <v>290</v>
      </c>
      <c r="B911" s="149">
        <v>2008</v>
      </c>
      <c r="C911" s="149" t="s">
        <v>285</v>
      </c>
      <c r="D911" s="117" t="s">
        <v>3601</v>
      </c>
      <c r="E911" s="453" t="s">
        <v>39</v>
      </c>
      <c r="F911" s="149"/>
      <c r="G911" s="149" t="s">
        <v>24</v>
      </c>
      <c r="H911" s="149" t="str">
        <f t="shared" si="145"/>
        <v>yes</v>
      </c>
      <c r="I911" s="149" t="str">
        <f t="shared" si="146"/>
        <v>no</v>
      </c>
      <c r="J911" s="149" t="str">
        <f t="shared" si="147"/>
        <v>no</v>
      </c>
      <c r="K911" s="149" t="s">
        <v>1540</v>
      </c>
      <c r="L911" s="149" t="str">
        <f t="shared" si="148"/>
        <v>detailed</v>
      </c>
      <c r="M911" s="149" t="str">
        <f t="shared" si="149"/>
        <v>detailed Mining</v>
      </c>
      <c r="N911" s="150">
        <v>1309</v>
      </c>
      <c r="O911" s="150"/>
      <c r="P911" s="150"/>
      <c r="Q911" s="150"/>
      <c r="R911" s="150"/>
      <c r="S911" s="149" t="s">
        <v>610</v>
      </c>
      <c r="T911" s="151"/>
      <c r="U911" s="149"/>
      <c r="V911" s="149" t="s">
        <v>684</v>
      </c>
      <c r="W911" s="152"/>
      <c r="X911" s="149"/>
      <c r="Y911" s="149"/>
      <c r="Z911" s="149"/>
      <c r="AA911" s="284"/>
      <c r="AB911" s="284"/>
      <c r="AC911" s="154"/>
      <c r="AD911" s="154"/>
      <c r="AE911" s="154"/>
      <c r="AF911" s="155"/>
      <c r="AG911" s="149"/>
      <c r="AH911" s="156"/>
      <c r="AI911" s="149"/>
      <c r="AJ911" s="149"/>
      <c r="AK911" s="152"/>
      <c r="AL911" s="149"/>
      <c r="AM911" s="149"/>
      <c r="AN911" s="149"/>
      <c r="AO911" s="149"/>
      <c r="AP911" s="149"/>
      <c r="AQ911" s="149"/>
      <c r="AR911" s="220"/>
      <c r="AS911" s="149"/>
      <c r="AT911" s="149"/>
      <c r="AU911" s="149"/>
      <c r="AV911" s="157"/>
      <c r="AW911" s="117">
        <f>VLOOKUP($D911,'WB Data'!$C$3:$M$578,2,FALSE)</f>
        <v>5139957784.91084</v>
      </c>
      <c r="AX911" s="117">
        <f>VLOOKUP($D911,'WB Data'!$C$3:$M$578,3,FALSE)</f>
        <v>5318700</v>
      </c>
      <c r="AY911" s="847">
        <f t="shared" si="154"/>
        <v>1.4174305908480098E-2</v>
      </c>
      <c r="AZ911" s="117">
        <f>VLOOKUP($D911,'WB Data'!$C$3:$M$578,4,FALSE)/100</f>
        <v>0.20129508239450739</v>
      </c>
      <c r="BA911" s="117">
        <f t="shared" si="155"/>
        <v>1034648225.8179172</v>
      </c>
      <c r="BB911" s="129">
        <f>IFERROR(VLOOKUP($D911,'EITI Revenues'!$C$2:$G$224,5,FALSE),"..")</f>
        <v>72855334</v>
      </c>
      <c r="BC911" s="846">
        <f t="shared" si="156"/>
        <v>7.0415559783525358E-2</v>
      </c>
      <c r="BD911" s="129">
        <f>VLOOKUP($D911,'WB Data 2'!$C$2:$K$545,6,FALSE)</f>
        <v>174631077.22816646</v>
      </c>
      <c r="BE911" s="129" t="str">
        <f>IFERROR(VLOOKUP($D911,UNCTAD!$C$5:$V$529,4,FALSE),"..")</f>
        <v>..</v>
      </c>
      <c r="BF911" s="846" t="str">
        <f t="shared" si="157"/>
        <v>..</v>
      </c>
      <c r="BG911" s="117">
        <f>VLOOKUP($D911,'WB Data'!$C$3:$M$578,5,FALSE)</f>
        <v>359830000</v>
      </c>
      <c r="BH911" s="129">
        <f>IFERROR($BB911/$BG911,"..")</f>
        <v>0.20247153933802073</v>
      </c>
      <c r="BI911" s="117">
        <f>IFERROR(VLOOKUP($D911,'WB Data'!$C$3:$M$578,7,FALSE)/100,"..")</f>
        <v>5.9131900000000001E-2</v>
      </c>
      <c r="BJ911" s="117">
        <f>IFERROR($BI911*$AW911,"..")</f>
        <v>303935469.74156928</v>
      </c>
      <c r="BK911" s="846">
        <f>IFERROR($BB911/$BJ911,"..")</f>
        <v>0.23970658660520125</v>
      </c>
      <c r="BL911" s="117">
        <f>IFERROR(VLOOKUP($D911,'WB Data'!$C$3:$M$578,7,FALSE)/100,"..")</f>
        <v>5.9131900000000001E-2</v>
      </c>
      <c r="BM911" s="117">
        <f>IFERROR($AW911*$BL911,"..")</f>
        <v>303935469.74156928</v>
      </c>
      <c r="BN911" s="846">
        <f>IFERROR($BB911/$BM911,"..")</f>
        <v>0.23970658660520125</v>
      </c>
      <c r="BO911" s="801" t="str">
        <f t="shared" si="153"/>
        <v>..</v>
      </c>
      <c r="BP911" s="117">
        <f>VLOOKUP($D911,'WB Data'!$C$3:$M$578,9,FALSE)</f>
        <v>31.7</v>
      </c>
      <c r="BQ911" s="117">
        <f>VLOOKUP($D911,'WB Data'!$C$3:$M$578,10,FALSE)</f>
        <v>68.451219512195124</v>
      </c>
      <c r="BR911" s="117">
        <f>VLOOKUP($D911,'WB Data'!$C$3:$M$578,11,FALSE)</f>
        <v>30.2</v>
      </c>
      <c r="BS911" s="129">
        <f>IFERROR(VLOOKUP($D911,'WB Data 2'!$C$2:$K$545,9,FALSE),"..")</f>
        <v>94.302660000000003</v>
      </c>
      <c r="BT911" s="129" t="str">
        <f>_xlfn.IFNA(VLOOKUP($C911,RGI!$A$2:$C$43,2,FALSE),"..")</f>
        <v>..</v>
      </c>
      <c r="BU911" s="129" t="str">
        <f>_xlfn.IFNA(VLOOKUP($C911,RGI!$A$2:$C$43,3,FALSE),"..")</f>
        <v>..</v>
      </c>
      <c r="BV911" s="129">
        <f>VLOOKUP($D911,WGI!$C$2:$O$478,7,FALSE)</f>
        <v>-1.0786996552027499</v>
      </c>
      <c r="BW911" s="129">
        <f>VLOOKUP($D911,WGI!$C$2:$O$478,4,FALSE)</f>
        <v>-0.58212276375498595</v>
      </c>
      <c r="BX911" s="129">
        <f>VLOOKUP($D911,WGI!$C$2:$O$478,3,FALSE)</f>
        <v>-0.76679444361734395</v>
      </c>
      <c r="BY911" s="129">
        <f>VLOOKUP($D911,WGI!$C$2:$O$478,5,FALSE)</f>
        <v>-0.34593290142494398</v>
      </c>
      <c r="BZ911" s="129">
        <f>VLOOKUP($D911,WGI!$C$2:$O$478,2,FALSE)</f>
        <v>-1.1211356630628699</v>
      </c>
      <c r="CB911" s="129"/>
    </row>
    <row r="912" spans="1:80" ht="15" customHeight="1">
      <c r="A912" s="294" t="s">
        <v>291</v>
      </c>
      <c r="B912" s="117">
        <v>2009</v>
      </c>
      <c r="C912" s="117" t="s">
        <v>285</v>
      </c>
      <c r="D912" s="117" t="s">
        <v>3635</v>
      </c>
      <c r="E912" s="452" t="s">
        <v>39</v>
      </c>
      <c r="F912" s="117" t="s">
        <v>1467</v>
      </c>
      <c r="G912" s="117" t="s">
        <v>35</v>
      </c>
      <c r="H912" s="117" t="str">
        <f t="shared" si="145"/>
        <v>yes</v>
      </c>
      <c r="I912" s="117" t="str">
        <f t="shared" si="146"/>
        <v>yes</v>
      </c>
      <c r="J912" s="117" t="str">
        <f t="shared" si="147"/>
        <v>yes</v>
      </c>
      <c r="K912" s="117" t="s">
        <v>709</v>
      </c>
      <c r="L912" s="117" t="str">
        <f t="shared" si="148"/>
        <v>Total</v>
      </c>
      <c r="M912" s="117" t="str">
        <f t="shared" si="149"/>
        <v>Total Oil, Gas, Mining</v>
      </c>
      <c r="N912" s="118"/>
      <c r="O912" s="118"/>
      <c r="P912" s="118"/>
      <c r="Q912" s="118"/>
      <c r="R912" s="118"/>
      <c r="S912" s="117"/>
      <c r="T912" s="119"/>
      <c r="U912" s="117"/>
      <c r="V912" s="117"/>
      <c r="W912" s="89">
        <f>W913+W916</f>
        <v>683487545.61636233</v>
      </c>
      <c r="X912" s="117" t="s">
        <v>1111</v>
      </c>
      <c r="Y912" s="117" t="s">
        <v>602</v>
      </c>
      <c r="Z912" s="117" t="s">
        <v>603</v>
      </c>
      <c r="AA912" s="159">
        <v>96148291</v>
      </c>
      <c r="AB912" s="159">
        <v>99435121</v>
      </c>
      <c r="AC912" s="122"/>
      <c r="AD912" s="122"/>
      <c r="AE912" s="122"/>
      <c r="AF912" s="123">
        <f>AA912/W912</f>
        <v>0.14067306948994135</v>
      </c>
      <c r="AG912" s="117" t="s">
        <v>1480</v>
      </c>
      <c r="AH912" s="124">
        <v>42.96</v>
      </c>
      <c r="AI912" s="117" t="s">
        <v>667</v>
      </c>
      <c r="AJ912" s="117"/>
      <c r="AK912" s="89"/>
      <c r="AL912" s="117"/>
      <c r="AM912" s="117"/>
      <c r="AN912" s="117">
        <v>26</v>
      </c>
      <c r="AO912" s="117" t="s">
        <v>1509</v>
      </c>
      <c r="AP912" s="117">
        <v>26</v>
      </c>
      <c r="AQ912" s="117" t="s">
        <v>292</v>
      </c>
      <c r="AR912" s="126">
        <v>41913</v>
      </c>
      <c r="AS912" s="117" t="s">
        <v>1481</v>
      </c>
      <c r="AT912" s="117" t="s">
        <v>293</v>
      </c>
      <c r="AU912" s="117" t="s">
        <v>1510</v>
      </c>
      <c r="AV912" s="128" t="s">
        <v>1541</v>
      </c>
      <c r="AW912" s="117">
        <f>VLOOKUP($D912,'WB Data'!$C$3:$M$578,2,FALSE)</f>
        <v>4690062255.1224709</v>
      </c>
      <c r="AX912" s="117">
        <f>VLOOKUP($D912,'WB Data'!$C$3:$M$578,3,FALSE)</f>
        <v>5383300</v>
      </c>
      <c r="AY912" s="847">
        <f t="shared" si="154"/>
        <v>2.0500429582781581E-2</v>
      </c>
      <c r="AZ912" s="117">
        <f>VLOOKUP($D912,'WB Data'!$C$3:$M$578,4,FALSE)/100</f>
        <v>0.18787700604652849</v>
      </c>
      <c r="BA912" s="117">
        <f t="shared" si="155"/>
        <v>881154854.66423953</v>
      </c>
      <c r="BB912" s="129">
        <f>IFERROR(VLOOKUP($D912,'EITI Revenues'!$C$2:$G$224,5,FALSE),"..")</f>
        <v>96148291</v>
      </c>
      <c r="BC912" s="846">
        <f t="shared" si="156"/>
        <v>0.10911622456717544</v>
      </c>
      <c r="BD912" s="129">
        <f>VLOOKUP($D912,'WB Data 2'!$C$2:$K$545,6,FALSE)</f>
        <v>152850762.10018548</v>
      </c>
      <c r="BE912" s="129" t="str">
        <f>IFERROR(VLOOKUP($D912,UNCTAD!$C$5:$V$529,4,FALSE),"..")</f>
        <v>..</v>
      </c>
      <c r="BF912" s="846" t="str">
        <f t="shared" si="157"/>
        <v>..</v>
      </c>
      <c r="BG912" s="117">
        <f>VLOOKUP($D912,'WB Data'!$C$3:$M$578,5,FALSE)</f>
        <v>313360000</v>
      </c>
      <c r="BH912" s="129">
        <f>IFERROR($BB912/$BG912,"..")</f>
        <v>0.30683013466938985</v>
      </c>
      <c r="BI912" s="117">
        <f>IFERROR(VLOOKUP($D912,'WB Data'!$C$3:$M$578,7,FALSE)/100,"..")</f>
        <v>6.2326800000000002E-2</v>
      </c>
      <c r="BJ912" s="117">
        <f>IFERROR($BI912*$AW912,"..")</f>
        <v>292316572.1625672</v>
      </c>
      <c r="BK912" s="846">
        <f>IFERROR($BB912/$BJ912,"..")</f>
        <v>0.32891837191676104</v>
      </c>
      <c r="BL912" s="117">
        <f>IFERROR(VLOOKUP($D912,'WB Data'!$C$3:$M$578,7,FALSE)/100,"..")</f>
        <v>6.2326800000000002E-2</v>
      </c>
      <c r="BM912" s="117">
        <f>IFERROR($AW912*$BL912,"..")</f>
        <v>292316572.1625672</v>
      </c>
      <c r="BN912" s="846">
        <f>IFERROR($BB912/$BM912,"..")</f>
        <v>0.32891837191676104</v>
      </c>
      <c r="BO912" s="801" t="str">
        <f t="shared" si="153"/>
        <v>..</v>
      </c>
      <c r="BP912" s="117">
        <f>VLOOKUP($D912,'WB Data'!$C$3:$M$578,9,FALSE)</f>
        <v>31.7</v>
      </c>
      <c r="BQ912" s="117">
        <f>VLOOKUP($D912,'WB Data'!$C$3:$M$578,10,FALSE)</f>
        <v>69.102439024390264</v>
      </c>
      <c r="BR912" s="117">
        <f>VLOOKUP($D912,'WB Data'!$C$3:$M$578,11,FALSE)</f>
        <v>28.5</v>
      </c>
      <c r="BS912" s="129">
        <f>IFERROR(VLOOKUP($D912,'WB Data 2'!$C$2:$K$545,9,FALSE),"..")</f>
        <v>93.910719999999998</v>
      </c>
      <c r="BT912" s="129" t="str">
        <f>_xlfn.IFNA(VLOOKUP($C912,RGI!$A$2:$C$43,2,FALSE),"..")</f>
        <v>..</v>
      </c>
      <c r="BU912" s="129" t="str">
        <f>_xlfn.IFNA(VLOOKUP($C912,RGI!$A$2:$C$43,3,FALSE),"..")</f>
        <v>..</v>
      </c>
      <c r="BV912" s="129">
        <f>VLOOKUP($D912,WGI!$C$2:$O$478,7,FALSE)</f>
        <v>-1.0022108347477501</v>
      </c>
      <c r="BW912" s="129">
        <f>VLOOKUP($D912,WGI!$C$2:$O$478,4,FALSE)</f>
        <v>-0.64256559582778106</v>
      </c>
      <c r="BX912" s="129">
        <f>VLOOKUP($D912,WGI!$C$2:$O$478,3,FALSE)</f>
        <v>-0.95015902344371395</v>
      </c>
      <c r="BY912" s="129">
        <f>VLOOKUP($D912,WGI!$C$2:$O$478,5,FALSE)</f>
        <v>-0.320715483525574</v>
      </c>
      <c r="BZ912" s="129">
        <f>VLOOKUP($D912,WGI!$C$2:$O$478,2,FALSE)</f>
        <v>-1.2305684234293699</v>
      </c>
    </row>
    <row r="913" spans="1:78" ht="15" customHeight="1">
      <c r="A913" s="294" t="s">
        <v>291</v>
      </c>
      <c r="B913" s="117">
        <v>2009</v>
      </c>
      <c r="C913" s="117" t="s">
        <v>285</v>
      </c>
      <c r="D913" s="117" t="s">
        <v>3635</v>
      </c>
      <c r="E913" s="452" t="s">
        <v>39</v>
      </c>
      <c r="F913" s="117"/>
      <c r="G913" s="117" t="s">
        <v>55</v>
      </c>
      <c r="H913" s="117" t="str">
        <f t="shared" si="145"/>
        <v>no</v>
      </c>
      <c r="I913" s="117" t="str">
        <f t="shared" si="146"/>
        <v>yes</v>
      </c>
      <c r="J913" s="117" t="str">
        <f t="shared" si="147"/>
        <v>yes</v>
      </c>
      <c r="K913" s="117" t="s">
        <v>640</v>
      </c>
      <c r="L913" s="117" t="str">
        <f t="shared" si="148"/>
        <v>Total</v>
      </c>
      <c r="M913" s="117" t="str">
        <f t="shared" si="149"/>
        <v>Total Oil, Gas</v>
      </c>
      <c r="N913" s="118"/>
      <c r="O913" s="118"/>
      <c r="P913" s="118"/>
      <c r="Q913" s="118"/>
      <c r="R913" s="118"/>
      <c r="S913" s="117"/>
      <c r="T913" s="119"/>
      <c r="U913" s="117"/>
      <c r="V913" s="117"/>
      <c r="W913" s="89">
        <f>SUM(W914:W915)</f>
        <v>37110782.0176</v>
      </c>
      <c r="X913" s="117"/>
      <c r="Y913" s="117"/>
      <c r="Z913" s="117"/>
      <c r="AA913" s="177">
        <v>3653635.0579999997</v>
      </c>
      <c r="AB913" s="177">
        <v>3778534.5979999998</v>
      </c>
      <c r="AC913" s="122"/>
      <c r="AD913" s="122"/>
      <c r="AE913" s="122"/>
      <c r="AF913" s="123">
        <f>AA913/W913</f>
        <v>9.8452117130467434E-2</v>
      </c>
      <c r="AG913" s="117"/>
      <c r="AH913" s="124"/>
      <c r="AI913" s="117"/>
      <c r="AJ913" s="117"/>
      <c r="AK913" s="89"/>
      <c r="AL913" s="117"/>
      <c r="AM913" s="117"/>
      <c r="AN913" s="117">
        <v>1</v>
      </c>
      <c r="AO913" s="117" t="s">
        <v>1512</v>
      </c>
      <c r="AP913" s="117">
        <v>1</v>
      </c>
      <c r="AQ913" s="117"/>
      <c r="AR913" s="126"/>
      <c r="AS913" s="117"/>
      <c r="AT913" s="117"/>
      <c r="AU913" s="117">
        <v>7</v>
      </c>
      <c r="AV913" s="128"/>
      <c r="AW913" s="117">
        <f>VLOOKUP($D913,'WB Data'!$C$3:$M$578,2,FALSE)</f>
        <v>4690062255.1224709</v>
      </c>
      <c r="AX913" s="117">
        <f>VLOOKUP($D913,'WB Data'!$C$3:$M$578,3,FALSE)</f>
        <v>5383300</v>
      </c>
      <c r="AY913" s="847">
        <f t="shared" si="154"/>
        <v>2.0500429582781581E-2</v>
      </c>
      <c r="AZ913" s="117">
        <f>VLOOKUP($D913,'WB Data'!$C$3:$M$578,4,FALSE)/100</f>
        <v>0.18787700604652849</v>
      </c>
      <c r="BA913" s="117">
        <f t="shared" si="155"/>
        <v>881154854.66423953</v>
      </c>
      <c r="BB913" s="129">
        <f>IFERROR(VLOOKUP($D913,'EITI Revenues'!$C$2:$G$224,5,FALSE),"..")</f>
        <v>96148291</v>
      </c>
      <c r="BC913" s="846">
        <f t="shared" si="156"/>
        <v>0.10911622456717544</v>
      </c>
      <c r="BD913" s="129">
        <f>VLOOKUP($D913,'WB Data 2'!$C$2:$K$545,6,FALSE)</f>
        <v>152850762.10018548</v>
      </c>
      <c r="BE913" s="129" t="str">
        <f>IFERROR(VLOOKUP($D913,UNCTAD!$C$5:$V$529,4,FALSE),"..")</f>
        <v>..</v>
      </c>
      <c r="BF913" s="846" t="str">
        <f t="shared" si="157"/>
        <v>..</v>
      </c>
      <c r="BG913" s="117">
        <f>VLOOKUP($D913,'WB Data'!$C$3:$M$578,5,FALSE)</f>
        <v>313360000</v>
      </c>
      <c r="BH913" s="129">
        <f>IFERROR($BB913/$BG913,"..")</f>
        <v>0.30683013466938985</v>
      </c>
      <c r="BI913" s="117">
        <f>IFERROR(VLOOKUP($D913,'WB Data'!$C$3:$M$578,7,FALSE)/100,"..")</f>
        <v>6.2326800000000002E-2</v>
      </c>
      <c r="BJ913" s="117">
        <f>IFERROR($BI913*$AW913,"..")</f>
        <v>292316572.1625672</v>
      </c>
      <c r="BK913" s="846">
        <f>IFERROR($BB913/$BJ913,"..")</f>
        <v>0.32891837191676104</v>
      </c>
      <c r="BL913" s="117">
        <f>IFERROR(VLOOKUP($D913,'WB Data'!$C$3:$M$578,7,FALSE)/100,"..")</f>
        <v>6.2326800000000002E-2</v>
      </c>
      <c r="BM913" s="117">
        <f>IFERROR($AW913*$BL913,"..")</f>
        <v>292316572.1625672</v>
      </c>
      <c r="BN913" s="846">
        <f>IFERROR($BB913/$BM913,"..")</f>
        <v>0.32891837191676104</v>
      </c>
      <c r="BO913" s="801" t="str">
        <f t="shared" si="153"/>
        <v>..</v>
      </c>
      <c r="BP913" s="117">
        <f>VLOOKUP($D913,'WB Data'!$C$3:$M$578,9,FALSE)</f>
        <v>31.7</v>
      </c>
      <c r="BQ913" s="117">
        <f>VLOOKUP($D913,'WB Data'!$C$3:$M$578,10,FALSE)</f>
        <v>69.102439024390264</v>
      </c>
      <c r="BR913" s="117">
        <f>VLOOKUP($D913,'WB Data'!$C$3:$M$578,11,FALSE)</f>
        <v>28.5</v>
      </c>
      <c r="BS913" s="129">
        <f>IFERROR(VLOOKUP($D913,'WB Data 2'!$C$2:$K$545,9,FALSE),"..")</f>
        <v>93.910719999999998</v>
      </c>
      <c r="BT913" s="129" t="str">
        <f>_xlfn.IFNA(VLOOKUP($C913,RGI!$A$2:$C$43,2,FALSE),"..")</f>
        <v>..</v>
      </c>
      <c r="BU913" s="129" t="str">
        <f>_xlfn.IFNA(VLOOKUP($C913,RGI!$A$2:$C$43,3,FALSE),"..")</f>
        <v>..</v>
      </c>
      <c r="BV913" s="129">
        <f>VLOOKUP($D913,WGI!$C$2:$O$478,7,FALSE)</f>
        <v>-1.0022108347477501</v>
      </c>
      <c r="BW913" s="129">
        <f>VLOOKUP($D913,WGI!$C$2:$O$478,4,FALSE)</f>
        <v>-0.64256559582778106</v>
      </c>
      <c r="BX913" s="129">
        <f>VLOOKUP($D913,WGI!$C$2:$O$478,3,FALSE)</f>
        <v>-0.95015902344371395</v>
      </c>
      <c r="BY913" s="129">
        <f>VLOOKUP($D913,WGI!$C$2:$O$478,5,FALSE)</f>
        <v>-0.320715483525574</v>
      </c>
      <c r="BZ913" s="129">
        <f>VLOOKUP($D913,WGI!$C$2:$O$478,2,FALSE)</f>
        <v>-1.2305684234293699</v>
      </c>
    </row>
    <row r="914" spans="1:78" ht="15" customHeight="1">
      <c r="A914" s="294" t="s">
        <v>291</v>
      </c>
      <c r="B914" s="117">
        <v>2009</v>
      </c>
      <c r="C914" s="117" t="s">
        <v>285</v>
      </c>
      <c r="D914" s="117" t="s">
        <v>3635</v>
      </c>
      <c r="E914" s="452" t="s">
        <v>39</v>
      </c>
      <c r="F914" s="117"/>
      <c r="G914" s="117" t="s">
        <v>561</v>
      </c>
      <c r="H914" s="117" t="str">
        <f t="shared" si="145"/>
        <v>no</v>
      </c>
      <c r="I914" s="117" t="str">
        <f t="shared" si="146"/>
        <v>yes</v>
      </c>
      <c r="J914" s="117" t="str">
        <f t="shared" si="147"/>
        <v>no</v>
      </c>
      <c r="K914" s="117" t="s">
        <v>561</v>
      </c>
      <c r="L914" s="117" t="str">
        <f t="shared" si="148"/>
        <v>detailed</v>
      </c>
      <c r="M914" s="117" t="str">
        <f t="shared" si="149"/>
        <v>detailed Gas</v>
      </c>
      <c r="N914" s="118">
        <v>15400000</v>
      </c>
      <c r="O914" s="118">
        <f>N914*0.006</f>
        <v>92400</v>
      </c>
      <c r="P914" s="118"/>
      <c r="Q914" s="118"/>
      <c r="R914" s="118"/>
      <c r="S914" s="117" t="s">
        <v>642</v>
      </c>
      <c r="T914" s="119">
        <v>0.14422800000000002</v>
      </c>
      <c r="U914" s="117" t="s">
        <v>643</v>
      </c>
      <c r="V914" s="117" t="s">
        <v>1513</v>
      </c>
      <c r="W914" s="89">
        <f>N914*T914</f>
        <v>2221111.2000000002</v>
      </c>
      <c r="X914" s="117"/>
      <c r="Y914" s="117"/>
      <c r="Z914" s="117"/>
      <c r="AA914" s="489">
        <f>W914/W915</f>
        <v>6.366099616163666E-2</v>
      </c>
      <c r="AB914" s="177"/>
      <c r="AC914" s="122"/>
      <c r="AD914" s="122"/>
      <c r="AE914" s="122"/>
      <c r="AF914" s="123"/>
      <c r="AG914" s="117"/>
      <c r="AH914" s="124"/>
      <c r="AI914" s="117"/>
      <c r="AJ914" s="117"/>
      <c r="AK914" s="89"/>
      <c r="AL914" s="117"/>
      <c r="AM914" s="117"/>
      <c r="AN914" s="117"/>
      <c r="AO914" s="117"/>
      <c r="AP914" s="117"/>
      <c r="AQ914" s="117"/>
      <c r="AR914" s="126"/>
      <c r="AS914" s="117"/>
      <c r="AT914" s="117"/>
      <c r="AU914" s="117"/>
      <c r="AV914" s="128"/>
      <c r="AW914" s="117">
        <f>VLOOKUP($D914,'WB Data'!$C$3:$M$578,2,FALSE)</f>
        <v>4690062255.1224709</v>
      </c>
      <c r="AX914" s="117">
        <f>VLOOKUP($D914,'WB Data'!$C$3:$M$578,3,FALSE)</f>
        <v>5383300</v>
      </c>
      <c r="AY914" s="847">
        <f t="shared" si="154"/>
        <v>2.0500429582781581E-2</v>
      </c>
      <c r="AZ914" s="117">
        <f>VLOOKUP($D914,'WB Data'!$C$3:$M$578,4,FALSE)/100</f>
        <v>0.18787700604652849</v>
      </c>
      <c r="BA914" s="117">
        <f t="shared" si="155"/>
        <v>881154854.66423953</v>
      </c>
      <c r="BB914" s="129">
        <f>IFERROR(VLOOKUP($D914,'EITI Revenues'!$C$2:$G$224,5,FALSE),"..")</f>
        <v>96148291</v>
      </c>
      <c r="BC914" s="846">
        <f t="shared" si="156"/>
        <v>0.10911622456717544</v>
      </c>
      <c r="BD914" s="129">
        <f>VLOOKUP($D914,'WB Data 2'!$C$2:$K$545,6,FALSE)</f>
        <v>152850762.10018548</v>
      </c>
      <c r="BE914" s="129" t="str">
        <f>IFERROR(VLOOKUP($D914,UNCTAD!$C$5:$V$529,4,FALSE),"..")</f>
        <v>..</v>
      </c>
      <c r="BF914" s="846" t="str">
        <f t="shared" si="157"/>
        <v>..</v>
      </c>
      <c r="BG914" s="117">
        <f>VLOOKUP($D914,'WB Data'!$C$3:$M$578,5,FALSE)</f>
        <v>313360000</v>
      </c>
      <c r="BH914" s="129">
        <f>IFERROR($BB914/$BG914,"..")</f>
        <v>0.30683013466938985</v>
      </c>
      <c r="BI914" s="117">
        <f>IFERROR(VLOOKUP($D914,'WB Data'!$C$3:$M$578,7,FALSE)/100,"..")</f>
        <v>6.2326800000000002E-2</v>
      </c>
      <c r="BJ914" s="117">
        <f>IFERROR($BI914*$AW914,"..")</f>
        <v>292316572.1625672</v>
      </c>
      <c r="BK914" s="846">
        <f>IFERROR($BB914/$BJ914,"..")</f>
        <v>0.32891837191676104</v>
      </c>
      <c r="BL914" s="117">
        <f>IFERROR(VLOOKUP($D914,'WB Data'!$C$3:$M$578,7,FALSE)/100,"..")</f>
        <v>6.2326800000000002E-2</v>
      </c>
      <c r="BM914" s="117">
        <f>IFERROR($AW914*$BL914,"..")</f>
        <v>292316572.1625672</v>
      </c>
      <c r="BN914" s="846">
        <f>IFERROR($BB914/$BM914,"..")</f>
        <v>0.32891837191676104</v>
      </c>
      <c r="BO914" s="801" t="str">
        <f t="shared" si="153"/>
        <v>..</v>
      </c>
      <c r="BP914" s="117">
        <f>VLOOKUP($D914,'WB Data'!$C$3:$M$578,9,FALSE)</f>
        <v>31.7</v>
      </c>
      <c r="BQ914" s="117">
        <f>VLOOKUP($D914,'WB Data'!$C$3:$M$578,10,FALSE)</f>
        <v>69.102439024390264</v>
      </c>
      <c r="BR914" s="117">
        <f>VLOOKUP($D914,'WB Data'!$C$3:$M$578,11,FALSE)</f>
        <v>28.5</v>
      </c>
      <c r="BS914" s="129">
        <f>IFERROR(VLOOKUP($D914,'WB Data 2'!$C$2:$K$545,9,FALSE),"..")</f>
        <v>93.910719999999998</v>
      </c>
      <c r="BT914" s="129" t="str">
        <f>_xlfn.IFNA(VLOOKUP($C914,RGI!$A$2:$C$43,2,FALSE),"..")</f>
        <v>..</v>
      </c>
      <c r="BU914" s="129" t="str">
        <f>_xlfn.IFNA(VLOOKUP($C914,RGI!$A$2:$C$43,3,FALSE),"..")</f>
        <v>..</v>
      </c>
      <c r="BV914" s="129">
        <f>VLOOKUP($D914,WGI!$C$2:$O$478,7,FALSE)</f>
        <v>-1.0022108347477501</v>
      </c>
      <c r="BW914" s="129">
        <f>VLOOKUP($D914,WGI!$C$2:$O$478,4,FALSE)</f>
        <v>-0.64256559582778106</v>
      </c>
      <c r="BX914" s="129">
        <f>VLOOKUP($D914,WGI!$C$2:$O$478,3,FALSE)</f>
        <v>-0.95015902344371395</v>
      </c>
      <c r="BY914" s="129">
        <f>VLOOKUP($D914,WGI!$C$2:$O$478,5,FALSE)</f>
        <v>-0.320715483525574</v>
      </c>
      <c r="BZ914" s="129">
        <f>VLOOKUP($D914,WGI!$C$2:$O$478,2,FALSE)</f>
        <v>-1.2305684234293699</v>
      </c>
    </row>
    <row r="915" spans="1:78" ht="15" customHeight="1">
      <c r="A915" s="294" t="s">
        <v>291</v>
      </c>
      <c r="B915" s="117">
        <v>2009</v>
      </c>
      <c r="C915" s="117" t="s">
        <v>285</v>
      </c>
      <c r="D915" s="117" t="s">
        <v>3635</v>
      </c>
      <c r="E915" s="452" t="s">
        <v>39</v>
      </c>
      <c r="F915" s="117"/>
      <c r="G915" s="117" t="s">
        <v>1514</v>
      </c>
      <c r="H915" s="117" t="str">
        <f t="shared" si="145"/>
        <v>no</v>
      </c>
      <c r="I915" s="117" t="str">
        <f t="shared" si="146"/>
        <v>no</v>
      </c>
      <c r="J915" s="117" t="str">
        <f t="shared" si="147"/>
        <v>no</v>
      </c>
      <c r="K915" s="117" t="s">
        <v>103</v>
      </c>
      <c r="L915" s="117" t="str">
        <f t="shared" si="148"/>
        <v>detailed</v>
      </c>
      <c r="M915" s="117" t="str">
        <f t="shared" si="149"/>
        <v xml:space="preserve">detailed Oil </v>
      </c>
      <c r="N915" s="118">
        <v>562000</v>
      </c>
      <c r="O915" s="461">
        <f>O914/N915</f>
        <v>0.16441281138790034</v>
      </c>
      <c r="P915" s="118"/>
      <c r="Q915" s="118"/>
      <c r="R915" s="118"/>
      <c r="S915" s="117" t="s">
        <v>646</v>
      </c>
      <c r="T915" s="119">
        <v>62.0812648</v>
      </c>
      <c r="U915" s="117" t="s">
        <v>673</v>
      </c>
      <c r="V915" s="117" t="s">
        <v>1515</v>
      </c>
      <c r="W915" s="89">
        <f>N915*T915</f>
        <v>34889670.817599997</v>
      </c>
      <c r="X915" s="117"/>
      <c r="Y915" s="117"/>
      <c r="Z915" s="117"/>
      <c r="AA915" s="177"/>
      <c r="AB915" s="177"/>
      <c r="AC915" s="122"/>
      <c r="AD915" s="122"/>
      <c r="AE915" s="122"/>
      <c r="AF915" s="123"/>
      <c r="AG915" s="117"/>
      <c r="AH915" s="124"/>
      <c r="AI915" s="117"/>
      <c r="AJ915" s="117"/>
      <c r="AK915" s="89"/>
      <c r="AL915" s="117"/>
      <c r="AM915" s="117"/>
      <c r="AN915" s="117"/>
      <c r="AO915" s="117"/>
      <c r="AP915" s="117"/>
      <c r="AQ915" s="117"/>
      <c r="AR915" s="126"/>
      <c r="AS915" s="117"/>
      <c r="AT915" s="117"/>
      <c r="AU915" s="117"/>
      <c r="AV915" s="128"/>
      <c r="AW915" s="117">
        <f>VLOOKUP($D915,'WB Data'!$C$3:$M$578,2,FALSE)</f>
        <v>4690062255.1224709</v>
      </c>
      <c r="AX915" s="117">
        <f>VLOOKUP($D915,'WB Data'!$C$3:$M$578,3,FALSE)</f>
        <v>5383300</v>
      </c>
      <c r="AY915" s="847">
        <f t="shared" si="154"/>
        <v>2.0500429582781581E-2</v>
      </c>
      <c r="AZ915" s="117">
        <f>VLOOKUP($D915,'WB Data'!$C$3:$M$578,4,FALSE)/100</f>
        <v>0.18787700604652849</v>
      </c>
      <c r="BA915" s="117">
        <f t="shared" si="155"/>
        <v>881154854.66423953</v>
      </c>
      <c r="BB915" s="129">
        <f>IFERROR(VLOOKUP($D915,'EITI Revenues'!$C$2:$G$224,5,FALSE),"..")</f>
        <v>96148291</v>
      </c>
      <c r="BC915" s="846">
        <f t="shared" si="156"/>
        <v>0.10911622456717544</v>
      </c>
      <c r="BD915" s="129">
        <f>VLOOKUP($D915,'WB Data 2'!$C$2:$K$545,6,FALSE)</f>
        <v>152850762.10018548</v>
      </c>
      <c r="BE915" s="129" t="str">
        <f>IFERROR(VLOOKUP($D915,UNCTAD!$C$5:$V$529,4,FALSE),"..")</f>
        <v>..</v>
      </c>
      <c r="BF915" s="846" t="str">
        <f t="shared" si="157"/>
        <v>..</v>
      </c>
      <c r="BG915" s="117">
        <f>VLOOKUP($D915,'WB Data'!$C$3:$M$578,5,FALSE)</f>
        <v>313360000</v>
      </c>
      <c r="BH915" s="129">
        <f>IFERROR($BB915/$BG915,"..")</f>
        <v>0.30683013466938985</v>
      </c>
      <c r="BI915" s="117">
        <f>IFERROR(VLOOKUP($D915,'WB Data'!$C$3:$M$578,7,FALSE)/100,"..")</f>
        <v>6.2326800000000002E-2</v>
      </c>
      <c r="BJ915" s="117">
        <f>IFERROR($BI915*$AW915,"..")</f>
        <v>292316572.1625672</v>
      </c>
      <c r="BK915" s="846">
        <f>IFERROR($BB915/$BJ915,"..")</f>
        <v>0.32891837191676104</v>
      </c>
      <c r="BL915" s="117">
        <f>IFERROR(VLOOKUP($D915,'WB Data'!$C$3:$M$578,7,FALSE)/100,"..")</f>
        <v>6.2326800000000002E-2</v>
      </c>
      <c r="BM915" s="117">
        <f>IFERROR($AW915*$BL915,"..")</f>
        <v>292316572.1625672</v>
      </c>
      <c r="BN915" s="846">
        <f>IFERROR($BB915/$BM915,"..")</f>
        <v>0.32891837191676104</v>
      </c>
      <c r="BO915" s="801" t="str">
        <f t="shared" si="153"/>
        <v>..</v>
      </c>
      <c r="BP915" s="117">
        <f>VLOOKUP($D915,'WB Data'!$C$3:$M$578,9,FALSE)</f>
        <v>31.7</v>
      </c>
      <c r="BQ915" s="117">
        <f>VLOOKUP($D915,'WB Data'!$C$3:$M$578,10,FALSE)</f>
        <v>69.102439024390264</v>
      </c>
      <c r="BR915" s="117">
        <f>VLOOKUP($D915,'WB Data'!$C$3:$M$578,11,FALSE)</f>
        <v>28.5</v>
      </c>
      <c r="BS915" s="129">
        <f>IFERROR(VLOOKUP($D915,'WB Data 2'!$C$2:$K$545,9,FALSE),"..")</f>
        <v>93.910719999999998</v>
      </c>
      <c r="BT915" s="129" t="str">
        <f>_xlfn.IFNA(VLOOKUP($C915,RGI!$A$2:$C$43,2,FALSE),"..")</f>
        <v>..</v>
      </c>
      <c r="BU915" s="129" t="str">
        <f>_xlfn.IFNA(VLOOKUP($C915,RGI!$A$2:$C$43,3,FALSE),"..")</f>
        <v>..</v>
      </c>
      <c r="BV915" s="129">
        <f>VLOOKUP($D915,WGI!$C$2:$O$478,7,FALSE)</f>
        <v>-1.0022108347477501</v>
      </c>
      <c r="BW915" s="129">
        <f>VLOOKUP($D915,WGI!$C$2:$O$478,4,FALSE)</f>
        <v>-0.64256559582778106</v>
      </c>
      <c r="BX915" s="129">
        <f>VLOOKUP($D915,WGI!$C$2:$O$478,3,FALSE)</f>
        <v>-0.95015902344371395</v>
      </c>
      <c r="BY915" s="129">
        <f>VLOOKUP($D915,WGI!$C$2:$O$478,5,FALSE)</f>
        <v>-0.320715483525574</v>
      </c>
      <c r="BZ915" s="129">
        <f>VLOOKUP($D915,WGI!$C$2:$O$478,2,FALSE)</f>
        <v>-1.2305684234293699</v>
      </c>
    </row>
    <row r="916" spans="1:78" ht="15" customHeight="1">
      <c r="A916" s="294" t="s">
        <v>291</v>
      </c>
      <c r="B916" s="117">
        <v>2009</v>
      </c>
      <c r="C916" s="117" t="s">
        <v>285</v>
      </c>
      <c r="D916" s="117" t="s">
        <v>3635</v>
      </c>
      <c r="E916" s="452" t="s">
        <v>39</v>
      </c>
      <c r="F916" s="117"/>
      <c r="G916" s="117" t="s">
        <v>24</v>
      </c>
      <c r="H916" s="117" t="str">
        <f t="shared" si="145"/>
        <v>yes</v>
      </c>
      <c r="I916" s="117" t="str">
        <f t="shared" si="146"/>
        <v>no</v>
      </c>
      <c r="J916" s="117" t="str">
        <f t="shared" si="147"/>
        <v>no</v>
      </c>
      <c r="K916" s="117" t="s">
        <v>600</v>
      </c>
      <c r="L916" s="117" t="str">
        <f t="shared" si="148"/>
        <v>Total</v>
      </c>
      <c r="M916" s="117" t="str">
        <f t="shared" si="149"/>
        <v>Total Mining</v>
      </c>
      <c r="N916" s="118"/>
      <c r="O916" s="118"/>
      <c r="P916" s="118"/>
      <c r="Q916" s="118"/>
      <c r="R916" s="118"/>
      <c r="S916" s="117"/>
      <c r="T916" s="119"/>
      <c r="U916" s="117"/>
      <c r="V916" s="117"/>
      <c r="W916" s="89">
        <f>SUM(W917:W931)-SUM(W919:W922)-SUM(W925:W931)</f>
        <v>646376763.59876227</v>
      </c>
      <c r="X916" s="117"/>
      <c r="Y916" s="117"/>
      <c r="Z916" s="117"/>
      <c r="AA916" s="177">
        <v>92494655.942000017</v>
      </c>
      <c r="AB916" s="177">
        <v>95656586.40200001</v>
      </c>
      <c r="AC916" s="122"/>
      <c r="AD916" s="122"/>
      <c r="AE916" s="122"/>
      <c r="AF916" s="123">
        <f>AA916/W916</f>
        <v>0.14309712407826589</v>
      </c>
      <c r="AG916" s="117"/>
      <c r="AH916" s="124"/>
      <c r="AI916" s="117"/>
      <c r="AJ916" s="117"/>
      <c r="AK916" s="89"/>
      <c r="AL916" s="117"/>
      <c r="AM916" s="117"/>
      <c r="AN916" s="117">
        <v>25</v>
      </c>
      <c r="AO916" s="117" t="s">
        <v>1516</v>
      </c>
      <c r="AP916" s="117">
        <v>25</v>
      </c>
      <c r="AQ916" s="117"/>
      <c r="AR916" s="126"/>
      <c r="AS916" s="117"/>
      <c r="AT916" s="117"/>
      <c r="AU916" s="117">
        <v>7</v>
      </c>
      <c r="AV916" s="128"/>
      <c r="AW916" s="117">
        <f>VLOOKUP($D916,'WB Data'!$C$3:$M$578,2,FALSE)</f>
        <v>4690062255.1224709</v>
      </c>
      <c r="AX916" s="117">
        <f>VLOOKUP($D916,'WB Data'!$C$3:$M$578,3,FALSE)</f>
        <v>5383300</v>
      </c>
      <c r="AY916" s="847">
        <f t="shared" si="154"/>
        <v>2.0500429582781581E-2</v>
      </c>
      <c r="AZ916" s="117">
        <f>VLOOKUP($D916,'WB Data'!$C$3:$M$578,4,FALSE)/100</f>
        <v>0.18787700604652849</v>
      </c>
      <c r="BA916" s="117">
        <f t="shared" si="155"/>
        <v>881154854.66423953</v>
      </c>
      <c r="BB916" s="129">
        <f>IFERROR(VLOOKUP($D916,'EITI Revenues'!$C$2:$G$224,5,FALSE),"..")</f>
        <v>96148291</v>
      </c>
      <c r="BC916" s="846">
        <f t="shared" si="156"/>
        <v>0.10911622456717544</v>
      </c>
      <c r="BD916" s="129">
        <f>VLOOKUP($D916,'WB Data 2'!$C$2:$K$545,6,FALSE)</f>
        <v>152850762.10018548</v>
      </c>
      <c r="BE916" s="129" t="str">
        <f>IFERROR(VLOOKUP($D916,UNCTAD!$C$5:$V$529,4,FALSE),"..")</f>
        <v>..</v>
      </c>
      <c r="BF916" s="846" t="str">
        <f t="shared" si="157"/>
        <v>..</v>
      </c>
      <c r="BG916" s="117">
        <f>VLOOKUP($D916,'WB Data'!$C$3:$M$578,5,FALSE)</f>
        <v>313360000</v>
      </c>
      <c r="BH916" s="129">
        <f>IFERROR($BB916/$BG916,"..")</f>
        <v>0.30683013466938985</v>
      </c>
      <c r="BI916" s="117">
        <f>IFERROR(VLOOKUP($D916,'WB Data'!$C$3:$M$578,7,FALSE)/100,"..")</f>
        <v>6.2326800000000002E-2</v>
      </c>
      <c r="BJ916" s="117">
        <f>IFERROR($BI916*$AW916,"..")</f>
        <v>292316572.1625672</v>
      </c>
      <c r="BK916" s="846">
        <f>IFERROR($BB916/$BJ916,"..")</f>
        <v>0.32891837191676104</v>
      </c>
      <c r="BL916" s="117">
        <f>IFERROR(VLOOKUP($D916,'WB Data'!$C$3:$M$578,7,FALSE)/100,"..")</f>
        <v>6.2326800000000002E-2</v>
      </c>
      <c r="BM916" s="117">
        <f>IFERROR($AW916*$BL916,"..")</f>
        <v>292316572.1625672</v>
      </c>
      <c r="BN916" s="846">
        <f>IFERROR($BB916/$BM916,"..")</f>
        <v>0.32891837191676104</v>
      </c>
      <c r="BO916" s="801" t="str">
        <f t="shared" si="153"/>
        <v>..</v>
      </c>
      <c r="BP916" s="117">
        <f>VLOOKUP($D916,'WB Data'!$C$3:$M$578,9,FALSE)</f>
        <v>31.7</v>
      </c>
      <c r="BQ916" s="117">
        <f>VLOOKUP($D916,'WB Data'!$C$3:$M$578,10,FALSE)</f>
        <v>69.102439024390264</v>
      </c>
      <c r="BR916" s="117">
        <f>VLOOKUP($D916,'WB Data'!$C$3:$M$578,11,FALSE)</f>
        <v>28.5</v>
      </c>
      <c r="BS916" s="129">
        <f>IFERROR(VLOOKUP($D916,'WB Data 2'!$C$2:$K$545,9,FALSE),"..")</f>
        <v>93.910719999999998</v>
      </c>
      <c r="BT916" s="129" t="str">
        <f>_xlfn.IFNA(VLOOKUP($C916,RGI!$A$2:$C$43,2,FALSE),"..")</f>
        <v>..</v>
      </c>
      <c r="BU916" s="129" t="str">
        <f>_xlfn.IFNA(VLOOKUP($C916,RGI!$A$2:$C$43,3,FALSE),"..")</f>
        <v>..</v>
      </c>
      <c r="BV916" s="129">
        <f>VLOOKUP($D916,WGI!$C$2:$O$478,7,FALSE)</f>
        <v>-1.0022108347477501</v>
      </c>
      <c r="BW916" s="129">
        <f>VLOOKUP($D916,WGI!$C$2:$O$478,4,FALSE)</f>
        <v>-0.64256559582778106</v>
      </c>
      <c r="BX916" s="129">
        <f>VLOOKUP($D916,WGI!$C$2:$O$478,3,FALSE)</f>
        <v>-0.95015902344371395</v>
      </c>
      <c r="BY916" s="129">
        <f>VLOOKUP($D916,WGI!$C$2:$O$478,5,FALSE)</f>
        <v>-0.320715483525574</v>
      </c>
      <c r="BZ916" s="129">
        <f>VLOOKUP($D916,WGI!$C$2:$O$478,2,FALSE)</f>
        <v>-1.2305684234293699</v>
      </c>
    </row>
    <row r="917" spans="1:78" ht="15" customHeight="1">
      <c r="A917" s="294" t="s">
        <v>291</v>
      </c>
      <c r="B917" s="117">
        <v>2009</v>
      </c>
      <c r="C917" s="117" t="s">
        <v>285</v>
      </c>
      <c r="D917" s="117" t="s">
        <v>3635</v>
      </c>
      <c r="E917" s="452" t="s">
        <v>39</v>
      </c>
      <c r="F917" s="117"/>
      <c r="G917" s="117" t="s">
        <v>24</v>
      </c>
      <c r="H917" s="117" t="str">
        <f t="shared" si="145"/>
        <v>yes</v>
      </c>
      <c r="I917" s="117" t="str">
        <f t="shared" si="146"/>
        <v>no</v>
      </c>
      <c r="J917" s="117" t="str">
        <f t="shared" si="147"/>
        <v>no</v>
      </c>
      <c r="K917" s="117" t="s">
        <v>616</v>
      </c>
      <c r="L917" s="117" t="str">
        <f t="shared" si="148"/>
        <v>detailed</v>
      </c>
      <c r="M917" s="117" t="str">
        <f t="shared" si="149"/>
        <v>detailed Mining</v>
      </c>
      <c r="N917" s="118">
        <v>606900</v>
      </c>
      <c r="O917" s="118"/>
      <c r="P917" s="118"/>
      <c r="Q917" s="118"/>
      <c r="R917" s="118"/>
      <c r="S917" s="117" t="s">
        <v>610</v>
      </c>
      <c r="T917" s="119">
        <v>72.516709165814987</v>
      </c>
      <c r="U917" s="117" t="s">
        <v>611</v>
      </c>
      <c r="V917" s="117" t="s">
        <v>1108</v>
      </c>
      <c r="W917" s="89">
        <f>N917*T917</f>
        <v>44010390.792733118</v>
      </c>
      <c r="X917" s="117"/>
      <c r="Y917" s="117"/>
      <c r="Z917" s="117"/>
      <c r="AA917" s="177">
        <v>769186.32799999998</v>
      </c>
      <c r="AB917" s="177">
        <v>795480.96799999999</v>
      </c>
      <c r="AC917" s="122"/>
      <c r="AD917" s="122"/>
      <c r="AE917" s="122"/>
      <c r="AF917" s="123">
        <f>AA917/W917</f>
        <v>1.7477380094679959E-2</v>
      </c>
      <c r="AG917" s="117"/>
      <c r="AH917" s="124"/>
      <c r="AI917" s="117"/>
      <c r="AJ917" s="117"/>
      <c r="AK917" s="89"/>
      <c r="AL917" s="117"/>
      <c r="AM917" s="117"/>
      <c r="AN917" s="117">
        <v>9</v>
      </c>
      <c r="AO917" s="117" t="s">
        <v>1542</v>
      </c>
      <c r="AP917" s="117">
        <v>9</v>
      </c>
      <c r="AQ917" s="117"/>
      <c r="AR917" s="126"/>
      <c r="AS917" s="117"/>
      <c r="AT917" s="117"/>
      <c r="AU917" s="117">
        <v>7</v>
      </c>
      <c r="AV917" s="128"/>
      <c r="AW917" s="117">
        <f>VLOOKUP($D917,'WB Data'!$C$3:$M$578,2,FALSE)</f>
        <v>4690062255.1224709</v>
      </c>
      <c r="AX917" s="117">
        <f>VLOOKUP($D917,'WB Data'!$C$3:$M$578,3,FALSE)</f>
        <v>5383300</v>
      </c>
      <c r="AY917" s="847">
        <f t="shared" si="154"/>
        <v>2.0500429582781581E-2</v>
      </c>
      <c r="AZ917" s="117">
        <f>VLOOKUP($D917,'WB Data'!$C$3:$M$578,4,FALSE)/100</f>
        <v>0.18787700604652849</v>
      </c>
      <c r="BA917" s="117">
        <f t="shared" si="155"/>
        <v>881154854.66423953</v>
      </c>
      <c r="BB917" s="129">
        <f>IFERROR(VLOOKUP($D917,'EITI Revenues'!$C$2:$G$224,5,FALSE),"..")</f>
        <v>96148291</v>
      </c>
      <c r="BC917" s="846">
        <f t="shared" si="156"/>
        <v>0.10911622456717544</v>
      </c>
      <c r="BD917" s="129">
        <f>VLOOKUP($D917,'WB Data 2'!$C$2:$K$545,6,FALSE)</f>
        <v>152850762.10018548</v>
      </c>
      <c r="BE917" s="129" t="str">
        <f>IFERROR(VLOOKUP($D917,UNCTAD!$C$5:$V$529,4,FALSE),"..")</f>
        <v>..</v>
      </c>
      <c r="BF917" s="846" t="str">
        <f t="shared" si="157"/>
        <v>..</v>
      </c>
      <c r="BG917" s="117">
        <f>VLOOKUP($D917,'WB Data'!$C$3:$M$578,5,FALSE)</f>
        <v>313360000</v>
      </c>
      <c r="BH917" s="129">
        <f>IFERROR($BB917/$BG917,"..")</f>
        <v>0.30683013466938985</v>
      </c>
      <c r="BI917" s="117">
        <f>IFERROR(VLOOKUP($D917,'WB Data'!$C$3:$M$578,7,FALSE)/100,"..")</f>
        <v>6.2326800000000002E-2</v>
      </c>
      <c r="BJ917" s="117">
        <f>IFERROR($BI917*$AW917,"..")</f>
        <v>292316572.1625672</v>
      </c>
      <c r="BK917" s="846">
        <f>IFERROR($BB917/$BJ917,"..")</f>
        <v>0.32891837191676104</v>
      </c>
      <c r="BL917" s="117">
        <f>IFERROR(VLOOKUP($D917,'WB Data'!$C$3:$M$578,7,FALSE)/100,"..")</f>
        <v>6.2326800000000002E-2</v>
      </c>
      <c r="BM917" s="117">
        <f>IFERROR($AW917*$BL917,"..")</f>
        <v>292316572.1625672</v>
      </c>
      <c r="BN917" s="846">
        <f>IFERROR($BB917/$BM917,"..")</f>
        <v>0.32891837191676104</v>
      </c>
      <c r="BO917" s="801" t="str">
        <f t="shared" si="153"/>
        <v>..</v>
      </c>
      <c r="BP917" s="117">
        <f>VLOOKUP($D917,'WB Data'!$C$3:$M$578,9,FALSE)</f>
        <v>31.7</v>
      </c>
      <c r="BQ917" s="117">
        <f>VLOOKUP($D917,'WB Data'!$C$3:$M$578,10,FALSE)</f>
        <v>69.102439024390264</v>
      </c>
      <c r="BR917" s="117">
        <f>VLOOKUP($D917,'WB Data'!$C$3:$M$578,11,FALSE)</f>
        <v>28.5</v>
      </c>
      <c r="BS917" s="129">
        <f>IFERROR(VLOOKUP($D917,'WB Data 2'!$C$2:$K$545,9,FALSE),"..")</f>
        <v>93.910719999999998</v>
      </c>
      <c r="BT917" s="129" t="str">
        <f>_xlfn.IFNA(VLOOKUP($C917,RGI!$A$2:$C$43,2,FALSE),"..")</f>
        <v>..</v>
      </c>
      <c r="BU917" s="129" t="str">
        <f>_xlfn.IFNA(VLOOKUP($C917,RGI!$A$2:$C$43,3,FALSE),"..")</f>
        <v>..</v>
      </c>
      <c r="BV917" s="129">
        <f>VLOOKUP($D917,WGI!$C$2:$O$478,7,FALSE)</f>
        <v>-1.0022108347477501</v>
      </c>
      <c r="BW917" s="129">
        <f>VLOOKUP($D917,WGI!$C$2:$O$478,4,FALSE)</f>
        <v>-0.64256559582778106</v>
      </c>
      <c r="BX917" s="129">
        <f>VLOOKUP($D917,WGI!$C$2:$O$478,3,FALSE)</f>
        <v>-0.95015902344371395</v>
      </c>
      <c r="BY917" s="129">
        <f>VLOOKUP($D917,WGI!$C$2:$O$478,5,FALSE)</f>
        <v>-0.320715483525574</v>
      </c>
      <c r="BZ917" s="129">
        <f>VLOOKUP($D917,WGI!$C$2:$O$478,2,FALSE)</f>
        <v>-1.2305684234293699</v>
      </c>
    </row>
    <row r="918" spans="1:78" ht="15" customHeight="1">
      <c r="A918" s="294" t="s">
        <v>291</v>
      </c>
      <c r="B918" s="117">
        <v>2009</v>
      </c>
      <c r="C918" s="117" t="s">
        <v>285</v>
      </c>
      <c r="D918" s="117" t="s">
        <v>3635</v>
      </c>
      <c r="E918" s="452" t="s">
        <v>39</v>
      </c>
      <c r="F918" s="117"/>
      <c r="G918" s="117" t="s">
        <v>24</v>
      </c>
      <c r="H918" s="117" t="str">
        <f t="shared" si="145"/>
        <v>yes</v>
      </c>
      <c r="I918" s="117" t="str">
        <f t="shared" si="146"/>
        <v>no</v>
      </c>
      <c r="J918" s="117" t="str">
        <f t="shared" si="147"/>
        <v>no</v>
      </c>
      <c r="K918" s="117" t="s">
        <v>1518</v>
      </c>
      <c r="L918" s="117" t="str">
        <f t="shared" si="148"/>
        <v>detailed</v>
      </c>
      <c r="M918" s="117" t="str">
        <f t="shared" si="149"/>
        <v>detailed Mining</v>
      </c>
      <c r="N918" s="118"/>
      <c r="O918" s="118"/>
      <c r="P918" s="118"/>
      <c r="Q918" s="118"/>
      <c r="R918" s="118"/>
      <c r="S918" s="117"/>
      <c r="T918" s="119"/>
      <c r="U918" s="117"/>
      <c r="V918" s="117"/>
      <c r="W918" s="89">
        <f>SUM(W919:W922)</f>
        <v>67588027.5</v>
      </c>
      <c r="X918" s="117"/>
      <c r="Y918" s="117"/>
      <c r="Z918" s="117"/>
      <c r="AA918" s="177">
        <v>1249927.7830000001</v>
      </c>
      <c r="AB918" s="177">
        <v>1292656.5729999999</v>
      </c>
      <c r="AC918" s="122"/>
      <c r="AD918" s="122"/>
      <c r="AE918" s="122"/>
      <c r="AF918" s="123">
        <f>AA918/W918</f>
        <v>1.8493331278235631E-2</v>
      </c>
      <c r="AG918" s="117"/>
      <c r="AH918" s="124"/>
      <c r="AI918" s="117"/>
      <c r="AJ918" s="117"/>
      <c r="AK918" s="89"/>
      <c r="AL918" s="117"/>
      <c r="AM918" s="117"/>
      <c r="AN918" s="117">
        <v>5</v>
      </c>
      <c r="AO918" s="117" t="s">
        <v>1519</v>
      </c>
      <c r="AP918" s="117">
        <v>5</v>
      </c>
      <c r="AQ918" s="117"/>
      <c r="AR918" s="126"/>
      <c r="AS918" s="117"/>
      <c r="AT918" s="117"/>
      <c r="AU918" s="117">
        <v>7</v>
      </c>
      <c r="AV918" s="281"/>
      <c r="AW918" s="117">
        <f>VLOOKUP($D918,'WB Data'!$C$3:$M$578,2,FALSE)</f>
        <v>4690062255.1224709</v>
      </c>
      <c r="AX918" s="117">
        <f>VLOOKUP($D918,'WB Data'!$C$3:$M$578,3,FALSE)</f>
        <v>5383300</v>
      </c>
      <c r="AY918" s="847">
        <f t="shared" si="154"/>
        <v>2.0500429582781581E-2</v>
      </c>
      <c r="AZ918" s="117">
        <f>VLOOKUP($D918,'WB Data'!$C$3:$M$578,4,FALSE)/100</f>
        <v>0.18787700604652849</v>
      </c>
      <c r="BA918" s="117">
        <f t="shared" si="155"/>
        <v>881154854.66423953</v>
      </c>
      <c r="BB918" s="129">
        <f>IFERROR(VLOOKUP($D918,'EITI Revenues'!$C$2:$G$224,5,FALSE),"..")</f>
        <v>96148291</v>
      </c>
      <c r="BC918" s="846">
        <f t="shared" si="156"/>
        <v>0.10911622456717544</v>
      </c>
      <c r="BD918" s="129">
        <f>VLOOKUP($D918,'WB Data 2'!$C$2:$K$545,6,FALSE)</f>
        <v>152850762.10018548</v>
      </c>
      <c r="BE918" s="129" t="str">
        <f>IFERROR(VLOOKUP($D918,UNCTAD!$C$5:$V$529,4,FALSE),"..")</f>
        <v>..</v>
      </c>
      <c r="BF918" s="846" t="str">
        <f t="shared" si="157"/>
        <v>..</v>
      </c>
      <c r="BG918" s="117">
        <f>VLOOKUP($D918,'WB Data'!$C$3:$M$578,5,FALSE)</f>
        <v>313360000</v>
      </c>
      <c r="BH918" s="129">
        <f>IFERROR($BB918/$BG918,"..")</f>
        <v>0.30683013466938985</v>
      </c>
      <c r="BI918" s="117">
        <f>IFERROR(VLOOKUP($D918,'WB Data'!$C$3:$M$578,7,FALSE)/100,"..")</f>
        <v>6.2326800000000002E-2</v>
      </c>
      <c r="BJ918" s="117">
        <f>IFERROR($BI918*$AW918,"..")</f>
        <v>292316572.1625672</v>
      </c>
      <c r="BK918" s="846">
        <f>IFERROR($BB918/$BJ918,"..")</f>
        <v>0.32891837191676104</v>
      </c>
      <c r="BL918" s="117">
        <f>IFERROR(VLOOKUP($D918,'WB Data'!$C$3:$M$578,7,FALSE)/100,"..")</f>
        <v>6.2326800000000002E-2</v>
      </c>
      <c r="BM918" s="117">
        <f>IFERROR($AW918*$BL918,"..")</f>
        <v>292316572.1625672</v>
      </c>
      <c r="BN918" s="846">
        <f>IFERROR($BB918/$BM918,"..")</f>
        <v>0.32891837191676104</v>
      </c>
      <c r="BO918" s="801" t="str">
        <f t="shared" si="153"/>
        <v>..</v>
      </c>
      <c r="BP918" s="117">
        <f>VLOOKUP($D918,'WB Data'!$C$3:$M$578,9,FALSE)</f>
        <v>31.7</v>
      </c>
      <c r="BQ918" s="117">
        <f>VLOOKUP($D918,'WB Data'!$C$3:$M$578,10,FALSE)</f>
        <v>69.102439024390264</v>
      </c>
      <c r="BR918" s="117">
        <f>VLOOKUP($D918,'WB Data'!$C$3:$M$578,11,FALSE)</f>
        <v>28.5</v>
      </c>
      <c r="BS918" s="129">
        <f>IFERROR(VLOOKUP($D918,'WB Data 2'!$C$2:$K$545,9,FALSE),"..")</f>
        <v>93.910719999999998</v>
      </c>
      <c r="BT918" s="129" t="str">
        <f>_xlfn.IFNA(VLOOKUP($C918,RGI!$A$2:$C$43,2,FALSE),"..")</f>
        <v>..</v>
      </c>
      <c r="BU918" s="129" t="str">
        <f>_xlfn.IFNA(VLOOKUP($C918,RGI!$A$2:$C$43,3,FALSE),"..")</f>
        <v>..</v>
      </c>
      <c r="BV918" s="129">
        <f>VLOOKUP($D918,WGI!$C$2:$O$478,7,FALSE)</f>
        <v>-1.0022108347477501</v>
      </c>
      <c r="BW918" s="129">
        <f>VLOOKUP($D918,WGI!$C$2:$O$478,4,FALSE)</f>
        <v>-0.64256559582778106</v>
      </c>
      <c r="BX918" s="129">
        <f>VLOOKUP($D918,WGI!$C$2:$O$478,3,FALSE)</f>
        <v>-0.95015902344371395</v>
      </c>
      <c r="BY918" s="129">
        <f>VLOOKUP($D918,WGI!$C$2:$O$478,5,FALSE)</f>
        <v>-0.320715483525574</v>
      </c>
      <c r="BZ918" s="129">
        <f>VLOOKUP($D918,WGI!$C$2:$O$478,2,FALSE)</f>
        <v>-1.2305684234293699</v>
      </c>
    </row>
    <row r="919" spans="1:78" ht="15" customHeight="1">
      <c r="A919" s="294" t="s">
        <v>291</v>
      </c>
      <c r="B919" s="117">
        <v>2009</v>
      </c>
      <c r="C919" s="117" t="s">
        <v>285</v>
      </c>
      <c r="D919" s="117" t="s">
        <v>3635</v>
      </c>
      <c r="E919" s="452" t="s">
        <v>39</v>
      </c>
      <c r="F919" s="117"/>
      <c r="G919" s="117" t="s">
        <v>24</v>
      </c>
      <c r="H919" s="117" t="str">
        <f t="shared" ref="H919:H982" si="158">IF($G919="Mining","yes",IF($G919="Oil, Gas, Mining","yes",IF($G919="Gas, Mining","yes",IF($G919="Oil, Mining","yes",IF($G919="Oil, Mining, Other","yes","no")))))</f>
        <v>yes</v>
      </c>
      <c r="I919" s="117" t="str">
        <f t="shared" ref="I919:I982" si="159">IF($G919="Gas","yes",IF($G919="Oil, Gas, Mining","yes",IF($G919="Gas, Mining","yes",IF($G919="Oil, Gas","yes",IF($G919="Oil, Gas, Other","yes","no")))))</f>
        <v>no</v>
      </c>
      <c r="J919" s="117" t="str">
        <f t="shared" ref="J919:J982" si="160">IF($G919="Oil","yes",IF($G919="Oil, Gas, Mining","yes",IF($G919="Oil, Mining","yes",IF($G919="Oil, Gas","yes",IF($G919="Oil, Gas, Other","yes","no")))))</f>
        <v>no</v>
      </c>
      <c r="K919" s="117" t="s">
        <v>1520</v>
      </c>
      <c r="L919" s="117" t="str">
        <f t="shared" ref="L919:L982" si="161">IF(LEFT(K919,5)="Total","Total","detailed")</f>
        <v>detailed</v>
      </c>
      <c r="M919" s="117" t="str">
        <f t="shared" ref="M919:M982" si="162">L919&amp;" "&amp;G919</f>
        <v>detailed Mining</v>
      </c>
      <c r="N919" s="118">
        <v>579400</v>
      </c>
      <c r="O919" s="118"/>
      <c r="P919" s="118"/>
      <c r="Q919" s="118"/>
      <c r="R919" s="118"/>
      <c r="S919" s="117" t="s">
        <v>610</v>
      </c>
      <c r="T919" s="119">
        <v>99</v>
      </c>
      <c r="U919" s="117" t="s">
        <v>611</v>
      </c>
      <c r="V919" s="117" t="s">
        <v>1217</v>
      </c>
      <c r="W919" s="89">
        <f>N919*T919</f>
        <v>57360600</v>
      </c>
      <c r="X919" s="117"/>
      <c r="Y919" s="117"/>
      <c r="Z919" s="117"/>
      <c r="AA919" s="177"/>
      <c r="AB919" s="177"/>
      <c r="AC919" s="122"/>
      <c r="AD919" s="122"/>
      <c r="AE919" s="122"/>
      <c r="AF919" s="123"/>
      <c r="AG919" s="117"/>
      <c r="AH919" s="124"/>
      <c r="AI919" s="117"/>
      <c r="AJ919" s="117"/>
      <c r="AK919" s="89"/>
      <c r="AL919" s="117"/>
      <c r="AM919" s="117"/>
      <c r="AN919" s="117"/>
      <c r="AO919" s="117"/>
      <c r="AP919" s="117"/>
      <c r="AQ919" s="117"/>
      <c r="AR919" s="126"/>
      <c r="AS919" s="117"/>
      <c r="AT919" s="117"/>
      <c r="AU919" s="117"/>
      <c r="AV919" s="128"/>
      <c r="AW919" s="117">
        <f>VLOOKUP($D919,'WB Data'!$C$3:$M$578,2,FALSE)</f>
        <v>4690062255.1224709</v>
      </c>
      <c r="AX919" s="117">
        <f>VLOOKUP($D919,'WB Data'!$C$3:$M$578,3,FALSE)</f>
        <v>5383300</v>
      </c>
      <c r="AY919" s="847">
        <f t="shared" si="154"/>
        <v>2.0500429582781581E-2</v>
      </c>
      <c r="AZ919" s="117">
        <f>VLOOKUP($D919,'WB Data'!$C$3:$M$578,4,FALSE)/100</f>
        <v>0.18787700604652849</v>
      </c>
      <c r="BA919" s="117">
        <f t="shared" si="155"/>
        <v>881154854.66423953</v>
      </c>
      <c r="BB919" s="129">
        <f>IFERROR(VLOOKUP($D919,'EITI Revenues'!$C$2:$G$224,5,FALSE),"..")</f>
        <v>96148291</v>
      </c>
      <c r="BC919" s="846">
        <f t="shared" si="156"/>
        <v>0.10911622456717544</v>
      </c>
      <c r="BD919" s="129">
        <f>VLOOKUP($D919,'WB Data 2'!$C$2:$K$545,6,FALSE)</f>
        <v>152850762.10018548</v>
      </c>
      <c r="BE919" s="129" t="str">
        <f>IFERROR(VLOOKUP($D919,UNCTAD!$C$5:$V$529,4,FALSE),"..")</f>
        <v>..</v>
      </c>
      <c r="BF919" s="846" t="str">
        <f t="shared" si="157"/>
        <v>..</v>
      </c>
      <c r="BG919" s="117">
        <f>VLOOKUP($D919,'WB Data'!$C$3:$M$578,5,FALSE)</f>
        <v>313360000</v>
      </c>
      <c r="BH919" s="129">
        <f>IFERROR($BB919/$BG919,"..")</f>
        <v>0.30683013466938985</v>
      </c>
      <c r="BI919" s="117">
        <f>IFERROR(VLOOKUP($D919,'WB Data'!$C$3:$M$578,7,FALSE)/100,"..")</f>
        <v>6.2326800000000002E-2</v>
      </c>
      <c r="BJ919" s="117">
        <f>IFERROR($BI919*$AW919,"..")</f>
        <v>292316572.1625672</v>
      </c>
      <c r="BK919" s="846">
        <f>IFERROR($BB919/$BJ919,"..")</f>
        <v>0.32891837191676104</v>
      </c>
      <c r="BL919" s="117">
        <f>IFERROR(VLOOKUP($D919,'WB Data'!$C$3:$M$578,7,FALSE)/100,"..")</f>
        <v>6.2326800000000002E-2</v>
      </c>
      <c r="BM919" s="117">
        <f>IFERROR($AW919*$BL919,"..")</f>
        <v>292316572.1625672</v>
      </c>
      <c r="BN919" s="846">
        <f>IFERROR($BB919/$BM919,"..")</f>
        <v>0.32891837191676104</v>
      </c>
      <c r="BO919" s="801" t="str">
        <f t="shared" si="153"/>
        <v>..</v>
      </c>
      <c r="BP919" s="117">
        <f>VLOOKUP($D919,'WB Data'!$C$3:$M$578,9,FALSE)</f>
        <v>31.7</v>
      </c>
      <c r="BQ919" s="117">
        <f>VLOOKUP($D919,'WB Data'!$C$3:$M$578,10,FALSE)</f>
        <v>69.102439024390264</v>
      </c>
      <c r="BR919" s="117">
        <f>VLOOKUP($D919,'WB Data'!$C$3:$M$578,11,FALSE)</f>
        <v>28.5</v>
      </c>
      <c r="BS919" s="129">
        <f>IFERROR(VLOOKUP($D919,'WB Data 2'!$C$2:$K$545,9,FALSE),"..")</f>
        <v>93.910719999999998</v>
      </c>
      <c r="BT919" s="129" t="str">
        <f>_xlfn.IFNA(VLOOKUP($C919,RGI!$A$2:$C$43,2,FALSE),"..")</f>
        <v>..</v>
      </c>
      <c r="BU919" s="129" t="str">
        <f>_xlfn.IFNA(VLOOKUP($C919,RGI!$A$2:$C$43,3,FALSE),"..")</f>
        <v>..</v>
      </c>
      <c r="BV919" s="129">
        <f>VLOOKUP($D919,WGI!$C$2:$O$478,7,FALSE)</f>
        <v>-1.0022108347477501</v>
      </c>
      <c r="BW919" s="129">
        <f>VLOOKUP($D919,WGI!$C$2:$O$478,4,FALSE)</f>
        <v>-0.64256559582778106</v>
      </c>
      <c r="BX919" s="129">
        <f>VLOOKUP($D919,WGI!$C$2:$O$478,3,FALSE)</f>
        <v>-0.95015902344371395</v>
      </c>
      <c r="BY919" s="129">
        <f>VLOOKUP($D919,WGI!$C$2:$O$478,5,FALSE)</f>
        <v>-0.320715483525574</v>
      </c>
      <c r="BZ919" s="129">
        <f>VLOOKUP($D919,WGI!$C$2:$O$478,2,FALSE)</f>
        <v>-1.2305684234293699</v>
      </c>
    </row>
    <row r="920" spans="1:78" ht="15" customHeight="1">
      <c r="A920" s="294" t="s">
        <v>291</v>
      </c>
      <c r="B920" s="117">
        <v>2009</v>
      </c>
      <c r="C920" s="117" t="s">
        <v>285</v>
      </c>
      <c r="D920" s="117" t="s">
        <v>3635</v>
      </c>
      <c r="E920" s="452" t="s">
        <v>39</v>
      </c>
      <c r="F920" s="117"/>
      <c r="G920" s="117" t="s">
        <v>24</v>
      </c>
      <c r="H920" s="117" t="str">
        <f t="shared" si="158"/>
        <v>yes</v>
      </c>
      <c r="I920" s="117" t="str">
        <f t="shared" si="159"/>
        <v>no</v>
      </c>
      <c r="J920" s="117" t="str">
        <f t="shared" si="160"/>
        <v>no</v>
      </c>
      <c r="K920" s="117" t="s">
        <v>1523</v>
      </c>
      <c r="L920" s="117" t="str">
        <f t="shared" si="161"/>
        <v>detailed</v>
      </c>
      <c r="M920" s="117" t="str">
        <f t="shared" si="162"/>
        <v>detailed Mining</v>
      </c>
      <c r="N920" s="118">
        <v>50</v>
      </c>
      <c r="O920" s="118"/>
      <c r="P920" s="118"/>
      <c r="Q920" s="118"/>
      <c r="R920" s="118"/>
      <c r="S920" s="117" t="s">
        <v>610</v>
      </c>
      <c r="T920" s="119">
        <v>21.75</v>
      </c>
      <c r="U920" s="117" t="s">
        <v>611</v>
      </c>
      <c r="V920" s="117" t="s">
        <v>1227</v>
      </c>
      <c r="W920" s="89">
        <f>N920*T920</f>
        <v>1087.5</v>
      </c>
      <c r="X920" s="117"/>
      <c r="Y920" s="117"/>
      <c r="Z920" s="117"/>
      <c r="AA920" s="177"/>
      <c r="AB920" s="177"/>
      <c r="AC920" s="122"/>
      <c r="AD920" s="122"/>
      <c r="AE920" s="122"/>
      <c r="AF920" s="123"/>
      <c r="AG920" s="117"/>
      <c r="AH920" s="124"/>
      <c r="AI920" s="117"/>
      <c r="AJ920" s="117"/>
      <c r="AK920" s="89"/>
      <c r="AL920" s="117"/>
      <c r="AM920" s="117"/>
      <c r="AN920" s="117"/>
      <c r="AO920" s="117"/>
      <c r="AP920" s="117"/>
      <c r="AQ920" s="117"/>
      <c r="AR920" s="126"/>
      <c r="AS920" s="117"/>
      <c r="AT920" s="117"/>
      <c r="AU920" s="117"/>
      <c r="AV920" s="128"/>
      <c r="AW920" s="117">
        <f>VLOOKUP($D920,'WB Data'!$C$3:$M$578,2,FALSE)</f>
        <v>4690062255.1224709</v>
      </c>
      <c r="AX920" s="117">
        <f>VLOOKUP($D920,'WB Data'!$C$3:$M$578,3,FALSE)</f>
        <v>5383300</v>
      </c>
      <c r="AY920" s="847">
        <f t="shared" si="154"/>
        <v>2.0500429582781581E-2</v>
      </c>
      <c r="AZ920" s="117">
        <f>VLOOKUP($D920,'WB Data'!$C$3:$M$578,4,FALSE)/100</f>
        <v>0.18787700604652849</v>
      </c>
      <c r="BA920" s="117">
        <f t="shared" si="155"/>
        <v>881154854.66423953</v>
      </c>
      <c r="BB920" s="129">
        <f>IFERROR(VLOOKUP($D920,'EITI Revenues'!$C$2:$G$224,5,FALSE),"..")</f>
        <v>96148291</v>
      </c>
      <c r="BC920" s="846">
        <f t="shared" si="156"/>
        <v>0.10911622456717544</v>
      </c>
      <c r="BD920" s="129">
        <f>VLOOKUP($D920,'WB Data 2'!$C$2:$K$545,6,FALSE)</f>
        <v>152850762.10018548</v>
      </c>
      <c r="BE920" s="129" t="str">
        <f>IFERROR(VLOOKUP($D920,UNCTAD!$C$5:$V$529,4,FALSE),"..")</f>
        <v>..</v>
      </c>
      <c r="BF920" s="846" t="str">
        <f t="shared" si="157"/>
        <v>..</v>
      </c>
      <c r="BG920" s="117">
        <f>VLOOKUP($D920,'WB Data'!$C$3:$M$578,5,FALSE)</f>
        <v>313360000</v>
      </c>
      <c r="BH920" s="129">
        <f>IFERROR($BB920/$BG920,"..")</f>
        <v>0.30683013466938985</v>
      </c>
      <c r="BI920" s="117">
        <f>IFERROR(VLOOKUP($D920,'WB Data'!$C$3:$M$578,7,FALSE)/100,"..")</f>
        <v>6.2326800000000002E-2</v>
      </c>
      <c r="BJ920" s="117">
        <f>IFERROR($BI920*$AW920,"..")</f>
        <v>292316572.1625672</v>
      </c>
      <c r="BK920" s="846">
        <f>IFERROR($BB920/$BJ920,"..")</f>
        <v>0.32891837191676104</v>
      </c>
      <c r="BL920" s="117">
        <f>IFERROR(VLOOKUP($D920,'WB Data'!$C$3:$M$578,7,FALSE)/100,"..")</f>
        <v>6.2326800000000002E-2</v>
      </c>
      <c r="BM920" s="117">
        <f>IFERROR($AW920*$BL920,"..")</f>
        <v>292316572.1625672</v>
      </c>
      <c r="BN920" s="846">
        <f>IFERROR($BB920/$BM920,"..")</f>
        <v>0.32891837191676104</v>
      </c>
      <c r="BO920" s="801" t="str">
        <f t="shared" si="153"/>
        <v>..</v>
      </c>
      <c r="BP920" s="117">
        <f>VLOOKUP($D920,'WB Data'!$C$3:$M$578,9,FALSE)</f>
        <v>31.7</v>
      </c>
      <c r="BQ920" s="117">
        <f>VLOOKUP($D920,'WB Data'!$C$3:$M$578,10,FALSE)</f>
        <v>69.102439024390264</v>
      </c>
      <c r="BR920" s="117">
        <f>VLOOKUP($D920,'WB Data'!$C$3:$M$578,11,FALSE)</f>
        <v>28.5</v>
      </c>
      <c r="BS920" s="129">
        <f>IFERROR(VLOOKUP($D920,'WB Data 2'!$C$2:$K$545,9,FALSE),"..")</f>
        <v>93.910719999999998</v>
      </c>
      <c r="BT920" s="129" t="str">
        <f>_xlfn.IFNA(VLOOKUP($C920,RGI!$A$2:$C$43,2,FALSE),"..")</f>
        <v>..</v>
      </c>
      <c r="BU920" s="129" t="str">
        <f>_xlfn.IFNA(VLOOKUP($C920,RGI!$A$2:$C$43,3,FALSE),"..")</f>
        <v>..</v>
      </c>
      <c r="BV920" s="129">
        <f>VLOOKUP($D920,WGI!$C$2:$O$478,7,FALSE)</f>
        <v>-1.0022108347477501</v>
      </c>
      <c r="BW920" s="129">
        <f>VLOOKUP($D920,WGI!$C$2:$O$478,4,FALSE)</f>
        <v>-0.64256559582778106</v>
      </c>
      <c r="BX920" s="129">
        <f>VLOOKUP($D920,WGI!$C$2:$O$478,3,FALSE)</f>
        <v>-0.95015902344371395</v>
      </c>
      <c r="BY920" s="129">
        <f>VLOOKUP($D920,WGI!$C$2:$O$478,5,FALSE)</f>
        <v>-0.320715483525574</v>
      </c>
      <c r="BZ920" s="129">
        <f>VLOOKUP($D920,WGI!$C$2:$O$478,2,FALSE)</f>
        <v>-1.2305684234293699</v>
      </c>
    </row>
    <row r="921" spans="1:78" ht="15" customHeight="1">
      <c r="A921" s="294" t="s">
        <v>291</v>
      </c>
      <c r="B921" s="117">
        <v>2009</v>
      </c>
      <c r="C921" s="117" t="s">
        <v>285</v>
      </c>
      <c r="D921" s="117" t="s">
        <v>3635</v>
      </c>
      <c r="E921" s="452" t="s">
        <v>39</v>
      </c>
      <c r="F921" s="117"/>
      <c r="G921" s="117" t="s">
        <v>24</v>
      </c>
      <c r="H921" s="117" t="str">
        <f t="shared" si="158"/>
        <v>yes</v>
      </c>
      <c r="I921" s="117" t="str">
        <f t="shared" si="159"/>
        <v>no</v>
      </c>
      <c r="J921" s="117" t="str">
        <f t="shared" si="160"/>
        <v>no</v>
      </c>
      <c r="K921" s="117" t="s">
        <v>1525</v>
      </c>
      <c r="L921" s="117" t="str">
        <f t="shared" si="161"/>
        <v>detailed</v>
      </c>
      <c r="M921" s="117" t="str">
        <f t="shared" si="162"/>
        <v>detailed Mining</v>
      </c>
      <c r="N921" s="118">
        <v>4700</v>
      </c>
      <c r="O921" s="118"/>
      <c r="P921" s="118"/>
      <c r="Q921" s="118"/>
      <c r="R921" s="118"/>
      <c r="S921" s="117" t="s">
        <v>610</v>
      </c>
      <c r="T921" s="119">
        <v>114.2</v>
      </c>
      <c r="U921" s="117" t="s">
        <v>611</v>
      </c>
      <c r="V921" s="117" t="s">
        <v>1543</v>
      </c>
      <c r="W921" s="89">
        <f>N921*T921</f>
        <v>536740</v>
      </c>
      <c r="X921" s="117"/>
      <c r="Y921" s="117"/>
      <c r="Z921" s="117"/>
      <c r="AA921" s="177"/>
      <c r="AB921" s="177"/>
      <c r="AC921" s="122"/>
      <c r="AD921" s="122"/>
      <c r="AE921" s="122"/>
      <c r="AF921" s="123"/>
      <c r="AG921" s="117"/>
      <c r="AH921" s="124"/>
      <c r="AI921" s="117"/>
      <c r="AJ921" s="117"/>
      <c r="AK921" s="89"/>
      <c r="AL921" s="117"/>
      <c r="AM921" s="117"/>
      <c r="AN921" s="117"/>
      <c r="AO921" s="117"/>
      <c r="AP921" s="117"/>
      <c r="AQ921" s="117"/>
      <c r="AR921" s="126"/>
      <c r="AS921" s="117"/>
      <c r="AT921" s="117"/>
      <c r="AU921" s="117"/>
      <c r="AV921" s="128"/>
      <c r="AW921" s="117">
        <f>VLOOKUP($D921,'WB Data'!$C$3:$M$578,2,FALSE)</f>
        <v>4690062255.1224709</v>
      </c>
      <c r="AX921" s="117">
        <f>VLOOKUP($D921,'WB Data'!$C$3:$M$578,3,FALSE)</f>
        <v>5383300</v>
      </c>
      <c r="AY921" s="847">
        <f t="shared" si="154"/>
        <v>2.0500429582781581E-2</v>
      </c>
      <c r="AZ921" s="117">
        <f>VLOOKUP($D921,'WB Data'!$C$3:$M$578,4,FALSE)/100</f>
        <v>0.18787700604652849</v>
      </c>
      <c r="BA921" s="117">
        <f t="shared" si="155"/>
        <v>881154854.66423953</v>
      </c>
      <c r="BB921" s="129">
        <f>IFERROR(VLOOKUP($D921,'EITI Revenues'!$C$2:$G$224,5,FALSE),"..")</f>
        <v>96148291</v>
      </c>
      <c r="BC921" s="846">
        <f t="shared" si="156"/>
        <v>0.10911622456717544</v>
      </c>
      <c r="BD921" s="129">
        <f>VLOOKUP($D921,'WB Data 2'!$C$2:$K$545,6,FALSE)</f>
        <v>152850762.10018548</v>
      </c>
      <c r="BE921" s="129" t="str">
        <f>IFERROR(VLOOKUP($D921,UNCTAD!$C$5:$V$529,4,FALSE),"..")</f>
        <v>..</v>
      </c>
      <c r="BF921" s="846" t="str">
        <f t="shared" si="157"/>
        <v>..</v>
      </c>
      <c r="BG921" s="117">
        <f>VLOOKUP($D921,'WB Data'!$C$3:$M$578,5,FALSE)</f>
        <v>313360000</v>
      </c>
      <c r="BH921" s="129">
        <f>IFERROR($BB921/$BG921,"..")</f>
        <v>0.30683013466938985</v>
      </c>
      <c r="BI921" s="117">
        <f>IFERROR(VLOOKUP($D921,'WB Data'!$C$3:$M$578,7,FALSE)/100,"..")</f>
        <v>6.2326800000000002E-2</v>
      </c>
      <c r="BJ921" s="117">
        <f>IFERROR($BI921*$AW921,"..")</f>
        <v>292316572.1625672</v>
      </c>
      <c r="BK921" s="846">
        <f>IFERROR($BB921/$BJ921,"..")</f>
        <v>0.32891837191676104</v>
      </c>
      <c r="BL921" s="117">
        <f>IFERROR(VLOOKUP($D921,'WB Data'!$C$3:$M$578,7,FALSE)/100,"..")</f>
        <v>6.2326800000000002E-2</v>
      </c>
      <c r="BM921" s="117">
        <f>IFERROR($AW921*$BL921,"..")</f>
        <v>292316572.1625672</v>
      </c>
      <c r="BN921" s="846">
        <f>IFERROR($BB921/$BM921,"..")</f>
        <v>0.32891837191676104</v>
      </c>
      <c r="BO921" s="801" t="str">
        <f t="shared" si="153"/>
        <v>..</v>
      </c>
      <c r="BP921" s="117">
        <f>VLOOKUP($D921,'WB Data'!$C$3:$M$578,9,FALSE)</f>
        <v>31.7</v>
      </c>
      <c r="BQ921" s="117">
        <f>VLOOKUP($D921,'WB Data'!$C$3:$M$578,10,FALSE)</f>
        <v>69.102439024390264</v>
      </c>
      <c r="BR921" s="117">
        <f>VLOOKUP($D921,'WB Data'!$C$3:$M$578,11,FALSE)</f>
        <v>28.5</v>
      </c>
      <c r="BS921" s="129">
        <f>IFERROR(VLOOKUP($D921,'WB Data 2'!$C$2:$K$545,9,FALSE),"..")</f>
        <v>93.910719999999998</v>
      </c>
      <c r="BT921" s="129" t="str">
        <f>_xlfn.IFNA(VLOOKUP($C921,RGI!$A$2:$C$43,2,FALSE),"..")</f>
        <v>..</v>
      </c>
      <c r="BU921" s="129" t="str">
        <f>_xlfn.IFNA(VLOOKUP($C921,RGI!$A$2:$C$43,3,FALSE),"..")</f>
        <v>..</v>
      </c>
      <c r="BV921" s="129">
        <f>VLOOKUP($D921,WGI!$C$2:$O$478,7,FALSE)</f>
        <v>-1.0022108347477501</v>
      </c>
      <c r="BW921" s="129">
        <f>VLOOKUP($D921,WGI!$C$2:$O$478,4,FALSE)</f>
        <v>-0.64256559582778106</v>
      </c>
      <c r="BX921" s="129">
        <f>VLOOKUP($D921,WGI!$C$2:$O$478,3,FALSE)</f>
        <v>-0.95015902344371395</v>
      </c>
      <c r="BY921" s="129">
        <f>VLOOKUP($D921,WGI!$C$2:$O$478,5,FALSE)</f>
        <v>-0.320715483525574</v>
      </c>
      <c r="BZ921" s="129">
        <f>VLOOKUP($D921,WGI!$C$2:$O$478,2,FALSE)</f>
        <v>-1.2305684234293699</v>
      </c>
    </row>
    <row r="922" spans="1:78" ht="15" customHeight="1">
      <c r="A922" s="294" t="s">
        <v>291</v>
      </c>
      <c r="B922" s="117">
        <v>2009</v>
      </c>
      <c r="C922" s="117" t="s">
        <v>285</v>
      </c>
      <c r="D922" s="117" t="s">
        <v>3635</v>
      </c>
      <c r="E922" s="452" t="s">
        <v>39</v>
      </c>
      <c r="F922" s="117"/>
      <c r="G922" s="117" t="s">
        <v>24</v>
      </c>
      <c r="H922" s="117" t="str">
        <f t="shared" si="158"/>
        <v>yes</v>
      </c>
      <c r="I922" s="117" t="str">
        <f t="shared" si="159"/>
        <v>no</v>
      </c>
      <c r="J922" s="117" t="str">
        <f t="shared" si="160"/>
        <v>no</v>
      </c>
      <c r="K922" s="117" t="s">
        <v>1529</v>
      </c>
      <c r="L922" s="117" t="str">
        <f t="shared" si="161"/>
        <v>detailed</v>
      </c>
      <c r="M922" s="117" t="str">
        <f t="shared" si="162"/>
        <v>detailed Mining</v>
      </c>
      <c r="N922" s="118">
        <f>800000*1.6</f>
        <v>1280000</v>
      </c>
      <c r="O922" s="118"/>
      <c r="P922" s="118"/>
      <c r="Q922" s="118"/>
      <c r="R922" s="118"/>
      <c r="S922" s="117" t="s">
        <v>610</v>
      </c>
      <c r="T922" s="119">
        <v>7.57</v>
      </c>
      <c r="U922" s="117" t="s">
        <v>611</v>
      </c>
      <c r="V922" s="117" t="s">
        <v>1530</v>
      </c>
      <c r="W922" s="89">
        <f>N922*T922</f>
        <v>9689600</v>
      </c>
      <c r="X922" s="117"/>
      <c r="Y922" s="117"/>
      <c r="Z922" s="117"/>
      <c r="AA922" s="177"/>
      <c r="AB922" s="177"/>
      <c r="AC922" s="122"/>
      <c r="AD922" s="122"/>
      <c r="AE922" s="122"/>
      <c r="AF922" s="123"/>
      <c r="AG922" s="117"/>
      <c r="AH922" s="124"/>
      <c r="AI922" s="117"/>
      <c r="AJ922" s="117"/>
      <c r="AK922" s="89"/>
      <c r="AL922" s="117"/>
      <c r="AM922" s="117"/>
      <c r="AN922" s="117"/>
      <c r="AO922" s="117"/>
      <c r="AP922" s="117"/>
      <c r="AQ922" s="117"/>
      <c r="AR922" s="126"/>
      <c r="AS922" s="117"/>
      <c r="AT922" s="117"/>
      <c r="AU922" s="117"/>
      <c r="AV922" s="128"/>
      <c r="AW922" s="117">
        <f>VLOOKUP($D922,'WB Data'!$C$3:$M$578,2,FALSE)</f>
        <v>4690062255.1224709</v>
      </c>
      <c r="AX922" s="117">
        <f>VLOOKUP($D922,'WB Data'!$C$3:$M$578,3,FALSE)</f>
        <v>5383300</v>
      </c>
      <c r="AY922" s="847">
        <f t="shared" si="154"/>
        <v>2.0500429582781581E-2</v>
      </c>
      <c r="AZ922" s="117">
        <f>VLOOKUP($D922,'WB Data'!$C$3:$M$578,4,FALSE)/100</f>
        <v>0.18787700604652849</v>
      </c>
      <c r="BA922" s="117">
        <f t="shared" si="155"/>
        <v>881154854.66423953</v>
      </c>
      <c r="BB922" s="129">
        <f>IFERROR(VLOOKUP($D922,'EITI Revenues'!$C$2:$G$224,5,FALSE),"..")</f>
        <v>96148291</v>
      </c>
      <c r="BC922" s="846">
        <f t="shared" si="156"/>
        <v>0.10911622456717544</v>
      </c>
      <c r="BD922" s="129">
        <f>VLOOKUP($D922,'WB Data 2'!$C$2:$K$545,6,FALSE)</f>
        <v>152850762.10018548</v>
      </c>
      <c r="BE922" s="129" t="str">
        <f>IFERROR(VLOOKUP($D922,UNCTAD!$C$5:$V$529,4,FALSE),"..")</f>
        <v>..</v>
      </c>
      <c r="BF922" s="846" t="str">
        <f t="shared" si="157"/>
        <v>..</v>
      </c>
      <c r="BG922" s="117">
        <f>VLOOKUP($D922,'WB Data'!$C$3:$M$578,5,FALSE)</f>
        <v>313360000</v>
      </c>
      <c r="BH922" s="129">
        <f>IFERROR($BB922/$BG922,"..")</f>
        <v>0.30683013466938985</v>
      </c>
      <c r="BI922" s="117">
        <f>IFERROR(VLOOKUP($D922,'WB Data'!$C$3:$M$578,7,FALSE)/100,"..")</f>
        <v>6.2326800000000002E-2</v>
      </c>
      <c r="BJ922" s="117">
        <f>IFERROR($BI922*$AW922,"..")</f>
        <v>292316572.1625672</v>
      </c>
      <c r="BK922" s="846">
        <f>IFERROR($BB922/$BJ922,"..")</f>
        <v>0.32891837191676104</v>
      </c>
      <c r="BL922" s="117">
        <f>IFERROR(VLOOKUP($D922,'WB Data'!$C$3:$M$578,7,FALSE)/100,"..")</f>
        <v>6.2326800000000002E-2</v>
      </c>
      <c r="BM922" s="117">
        <f>IFERROR($AW922*$BL922,"..")</f>
        <v>292316572.1625672</v>
      </c>
      <c r="BN922" s="846">
        <f>IFERROR($BB922/$BM922,"..")</f>
        <v>0.32891837191676104</v>
      </c>
      <c r="BO922" s="801" t="str">
        <f t="shared" si="153"/>
        <v>..</v>
      </c>
      <c r="BP922" s="117">
        <f>VLOOKUP($D922,'WB Data'!$C$3:$M$578,9,FALSE)</f>
        <v>31.7</v>
      </c>
      <c r="BQ922" s="117">
        <f>VLOOKUP($D922,'WB Data'!$C$3:$M$578,10,FALSE)</f>
        <v>69.102439024390264</v>
      </c>
      <c r="BR922" s="117">
        <f>VLOOKUP($D922,'WB Data'!$C$3:$M$578,11,FALSE)</f>
        <v>28.5</v>
      </c>
      <c r="BS922" s="129">
        <f>IFERROR(VLOOKUP($D922,'WB Data 2'!$C$2:$K$545,9,FALSE),"..")</f>
        <v>93.910719999999998</v>
      </c>
      <c r="BT922" s="129" t="str">
        <f>_xlfn.IFNA(VLOOKUP($C922,RGI!$A$2:$C$43,2,FALSE),"..")</f>
        <v>..</v>
      </c>
      <c r="BU922" s="129" t="str">
        <f>_xlfn.IFNA(VLOOKUP($C922,RGI!$A$2:$C$43,3,FALSE),"..")</f>
        <v>..</v>
      </c>
      <c r="BV922" s="129">
        <f>VLOOKUP($D922,WGI!$C$2:$O$478,7,FALSE)</f>
        <v>-1.0022108347477501</v>
      </c>
      <c r="BW922" s="129">
        <f>VLOOKUP($D922,WGI!$C$2:$O$478,4,FALSE)</f>
        <v>-0.64256559582778106</v>
      </c>
      <c r="BX922" s="129">
        <f>VLOOKUP($D922,WGI!$C$2:$O$478,3,FALSE)</f>
        <v>-0.95015902344371395</v>
      </c>
      <c r="BY922" s="129">
        <f>VLOOKUP($D922,WGI!$C$2:$O$478,5,FALSE)</f>
        <v>-0.320715483525574</v>
      </c>
      <c r="BZ922" s="129">
        <f>VLOOKUP($D922,WGI!$C$2:$O$478,2,FALSE)</f>
        <v>-1.2305684234293699</v>
      </c>
    </row>
    <row r="923" spans="1:78" ht="15" customHeight="1">
      <c r="A923" s="294" t="s">
        <v>291</v>
      </c>
      <c r="B923" s="117">
        <v>2009</v>
      </c>
      <c r="C923" s="117" t="s">
        <v>285</v>
      </c>
      <c r="D923" s="117" t="s">
        <v>3635</v>
      </c>
      <c r="E923" s="452" t="s">
        <v>39</v>
      </c>
      <c r="F923" s="117"/>
      <c r="G923" s="117" t="s">
        <v>24</v>
      </c>
      <c r="H923" s="117" t="str">
        <f t="shared" si="158"/>
        <v>yes</v>
      </c>
      <c r="I923" s="117" t="str">
        <f t="shared" si="159"/>
        <v>no</v>
      </c>
      <c r="J923" s="117" t="str">
        <f t="shared" si="160"/>
        <v>no</v>
      </c>
      <c r="K923" s="117" t="s">
        <v>784</v>
      </c>
      <c r="L923" s="117" t="str">
        <f t="shared" si="161"/>
        <v>detailed</v>
      </c>
      <c r="M923" s="117" t="str">
        <f t="shared" si="162"/>
        <v>detailed Mining</v>
      </c>
      <c r="N923" s="118">
        <f>16978*32.150743126506</f>
        <v>545855.3168018189</v>
      </c>
      <c r="O923" s="118"/>
      <c r="P923" s="118"/>
      <c r="Q923" s="118"/>
      <c r="R923" s="118"/>
      <c r="S923" s="117" t="s">
        <v>785</v>
      </c>
      <c r="T923" s="119">
        <v>972.96591666666995</v>
      </c>
      <c r="U923" s="117" t="s">
        <v>786</v>
      </c>
      <c r="V923" s="117" t="s">
        <v>787</v>
      </c>
      <c r="W923" s="89">
        <f>N923*T923</f>
        <v>531098618.67945725</v>
      </c>
      <c r="X923" s="117"/>
      <c r="Y923" s="117"/>
      <c r="Z923" s="117"/>
      <c r="AA923" s="177">
        <v>82014492.223000005</v>
      </c>
      <c r="AB923" s="177">
        <v>84818158.213</v>
      </c>
      <c r="AC923" s="122"/>
      <c r="AD923" s="122"/>
      <c r="AE923" s="122"/>
      <c r="AF923" s="123">
        <f>AA923/W923</f>
        <v>0.15442422431247099</v>
      </c>
      <c r="AG923" s="117"/>
      <c r="AH923" s="124"/>
      <c r="AI923" s="117"/>
      <c r="AJ923" s="117"/>
      <c r="AK923" s="89"/>
      <c r="AL923" s="117"/>
      <c r="AM923" s="117"/>
      <c r="AN923" s="117">
        <v>1</v>
      </c>
      <c r="AO923" s="117" t="s">
        <v>1531</v>
      </c>
      <c r="AP923" s="117">
        <v>1</v>
      </c>
      <c r="AQ923" s="117"/>
      <c r="AR923" s="126"/>
      <c r="AS923" s="117"/>
      <c r="AT923" s="117"/>
      <c r="AU923" s="117">
        <v>7</v>
      </c>
      <c r="AV923" s="128"/>
      <c r="AW923" s="117">
        <f>VLOOKUP($D923,'WB Data'!$C$3:$M$578,2,FALSE)</f>
        <v>4690062255.1224709</v>
      </c>
      <c r="AX923" s="117">
        <f>VLOOKUP($D923,'WB Data'!$C$3:$M$578,3,FALSE)</f>
        <v>5383300</v>
      </c>
      <c r="AY923" s="847">
        <f t="shared" si="154"/>
        <v>2.0500429582781581E-2</v>
      </c>
      <c r="AZ923" s="117">
        <f>VLOOKUP($D923,'WB Data'!$C$3:$M$578,4,FALSE)/100</f>
        <v>0.18787700604652849</v>
      </c>
      <c r="BA923" s="117">
        <f t="shared" si="155"/>
        <v>881154854.66423953</v>
      </c>
      <c r="BB923" s="129">
        <f>IFERROR(VLOOKUP($D923,'EITI Revenues'!$C$2:$G$224,5,FALSE),"..")</f>
        <v>96148291</v>
      </c>
      <c r="BC923" s="846">
        <f t="shared" si="156"/>
        <v>0.10911622456717544</v>
      </c>
      <c r="BD923" s="129">
        <f>VLOOKUP($D923,'WB Data 2'!$C$2:$K$545,6,FALSE)</f>
        <v>152850762.10018548</v>
      </c>
      <c r="BE923" s="129" t="str">
        <f>IFERROR(VLOOKUP($D923,UNCTAD!$C$5:$V$529,4,FALSE),"..")</f>
        <v>..</v>
      </c>
      <c r="BF923" s="846" t="str">
        <f t="shared" si="157"/>
        <v>..</v>
      </c>
      <c r="BG923" s="117">
        <f>VLOOKUP($D923,'WB Data'!$C$3:$M$578,5,FALSE)</f>
        <v>313360000</v>
      </c>
      <c r="BH923" s="129">
        <f>IFERROR($BB923/$BG923,"..")</f>
        <v>0.30683013466938985</v>
      </c>
      <c r="BI923" s="117">
        <f>IFERROR(VLOOKUP($D923,'WB Data'!$C$3:$M$578,7,FALSE)/100,"..")</f>
        <v>6.2326800000000002E-2</v>
      </c>
      <c r="BJ923" s="117">
        <f>IFERROR($BI923*$AW923,"..")</f>
        <v>292316572.1625672</v>
      </c>
      <c r="BK923" s="846">
        <f>IFERROR($BB923/$BJ923,"..")</f>
        <v>0.32891837191676104</v>
      </c>
      <c r="BL923" s="117">
        <f>IFERROR(VLOOKUP($D923,'WB Data'!$C$3:$M$578,7,FALSE)/100,"..")</f>
        <v>6.2326800000000002E-2</v>
      </c>
      <c r="BM923" s="117">
        <f>IFERROR($AW923*$BL923,"..")</f>
        <v>292316572.1625672</v>
      </c>
      <c r="BN923" s="846">
        <f>IFERROR($BB923/$BM923,"..")</f>
        <v>0.32891837191676104</v>
      </c>
      <c r="BO923" s="801" t="str">
        <f t="shared" si="153"/>
        <v>..</v>
      </c>
      <c r="BP923" s="117">
        <f>VLOOKUP($D923,'WB Data'!$C$3:$M$578,9,FALSE)</f>
        <v>31.7</v>
      </c>
      <c r="BQ923" s="117">
        <f>VLOOKUP($D923,'WB Data'!$C$3:$M$578,10,FALSE)</f>
        <v>69.102439024390264</v>
      </c>
      <c r="BR923" s="117">
        <f>VLOOKUP($D923,'WB Data'!$C$3:$M$578,11,FALSE)</f>
        <v>28.5</v>
      </c>
      <c r="BS923" s="129">
        <f>IFERROR(VLOOKUP($D923,'WB Data 2'!$C$2:$K$545,9,FALSE),"..")</f>
        <v>93.910719999999998</v>
      </c>
      <c r="BT923" s="129" t="str">
        <f>_xlfn.IFNA(VLOOKUP($C923,RGI!$A$2:$C$43,2,FALSE),"..")</f>
        <v>..</v>
      </c>
      <c r="BU923" s="129" t="str">
        <f>_xlfn.IFNA(VLOOKUP($C923,RGI!$A$2:$C$43,3,FALSE),"..")</f>
        <v>..</v>
      </c>
      <c r="BV923" s="129">
        <f>VLOOKUP($D923,WGI!$C$2:$O$478,7,FALSE)</f>
        <v>-1.0022108347477501</v>
      </c>
      <c r="BW923" s="129">
        <f>VLOOKUP($D923,WGI!$C$2:$O$478,4,FALSE)</f>
        <v>-0.64256559582778106</v>
      </c>
      <c r="BX923" s="129">
        <f>VLOOKUP($D923,WGI!$C$2:$O$478,3,FALSE)</f>
        <v>-0.95015902344371395</v>
      </c>
      <c r="BY923" s="129">
        <f>VLOOKUP($D923,WGI!$C$2:$O$478,5,FALSE)</f>
        <v>-0.320715483525574</v>
      </c>
      <c r="BZ923" s="129">
        <f>VLOOKUP($D923,WGI!$C$2:$O$478,2,FALSE)</f>
        <v>-1.2305684234293699</v>
      </c>
    </row>
    <row r="924" spans="1:78" ht="15" customHeight="1">
      <c r="A924" s="294" t="s">
        <v>291</v>
      </c>
      <c r="B924" s="117">
        <v>2009</v>
      </c>
      <c r="C924" s="117" t="s">
        <v>285</v>
      </c>
      <c r="D924" s="117" t="s">
        <v>3635</v>
      </c>
      <c r="E924" s="452" t="s">
        <v>39</v>
      </c>
      <c r="F924" s="117"/>
      <c r="G924" s="117" t="s">
        <v>24</v>
      </c>
      <c r="H924" s="117" t="str">
        <f t="shared" si="158"/>
        <v>yes</v>
      </c>
      <c r="I924" s="117" t="str">
        <f t="shared" si="159"/>
        <v>no</v>
      </c>
      <c r="J924" s="117" t="str">
        <f t="shared" si="160"/>
        <v>no</v>
      </c>
      <c r="K924" s="117" t="s">
        <v>1532</v>
      </c>
      <c r="L924" s="117" t="str">
        <f t="shared" si="161"/>
        <v>detailed</v>
      </c>
      <c r="M924" s="117" t="str">
        <f t="shared" si="162"/>
        <v>detailed Mining</v>
      </c>
      <c r="N924" s="118"/>
      <c r="O924" s="118"/>
      <c r="P924" s="118"/>
      <c r="Q924" s="118"/>
      <c r="R924" s="118"/>
      <c r="S924" s="117"/>
      <c r="T924" s="119"/>
      <c r="U924" s="117"/>
      <c r="V924" s="117"/>
      <c r="W924" s="89">
        <f>SUM(W925:W931)</f>
        <v>3679726.6265718974</v>
      </c>
      <c r="X924" s="117"/>
      <c r="Y924" s="117"/>
      <c r="Z924" s="117"/>
      <c r="AA924" s="177">
        <v>576889.74600000004</v>
      </c>
      <c r="AB924" s="177">
        <v>596610.72600000014</v>
      </c>
      <c r="AC924" s="122"/>
      <c r="AD924" s="122"/>
      <c r="AE924" s="122"/>
      <c r="AF924" s="123">
        <f>AA924/W924</f>
        <v>0.15677516417501955</v>
      </c>
      <c r="AG924" s="117"/>
      <c r="AH924" s="124"/>
      <c r="AI924" s="117"/>
      <c r="AJ924" s="117"/>
      <c r="AK924" s="89"/>
      <c r="AL924" s="117"/>
      <c r="AM924" s="117"/>
      <c r="AN924" s="117">
        <v>4</v>
      </c>
      <c r="AO924" s="117" t="s">
        <v>1544</v>
      </c>
      <c r="AP924" s="117">
        <v>4</v>
      </c>
      <c r="AQ924" s="117"/>
      <c r="AR924" s="126"/>
      <c r="AS924" s="117"/>
      <c r="AT924" s="117"/>
      <c r="AU924" s="117">
        <v>7</v>
      </c>
      <c r="AV924" s="128"/>
      <c r="AW924" s="117">
        <f>VLOOKUP($D924,'WB Data'!$C$3:$M$578,2,FALSE)</f>
        <v>4690062255.1224709</v>
      </c>
      <c r="AX924" s="117">
        <f>VLOOKUP($D924,'WB Data'!$C$3:$M$578,3,FALSE)</f>
        <v>5383300</v>
      </c>
      <c r="AY924" s="847">
        <f t="shared" si="154"/>
        <v>2.0500429582781581E-2</v>
      </c>
      <c r="AZ924" s="117">
        <f>VLOOKUP($D924,'WB Data'!$C$3:$M$578,4,FALSE)/100</f>
        <v>0.18787700604652849</v>
      </c>
      <c r="BA924" s="117">
        <f t="shared" si="155"/>
        <v>881154854.66423953</v>
      </c>
      <c r="BB924" s="129">
        <f>IFERROR(VLOOKUP($D924,'EITI Revenues'!$C$2:$G$224,5,FALSE),"..")</f>
        <v>96148291</v>
      </c>
      <c r="BC924" s="846">
        <f t="shared" si="156"/>
        <v>0.10911622456717544</v>
      </c>
      <c r="BD924" s="129">
        <f>VLOOKUP($D924,'WB Data 2'!$C$2:$K$545,6,FALSE)</f>
        <v>152850762.10018548</v>
      </c>
      <c r="BE924" s="129" t="str">
        <f>IFERROR(VLOOKUP($D924,UNCTAD!$C$5:$V$529,4,FALSE),"..")</f>
        <v>..</v>
      </c>
      <c r="BF924" s="846" t="str">
        <f t="shared" si="157"/>
        <v>..</v>
      </c>
      <c r="BG924" s="117">
        <f>VLOOKUP($D924,'WB Data'!$C$3:$M$578,5,FALSE)</f>
        <v>313360000</v>
      </c>
      <c r="BH924" s="129">
        <f>IFERROR($BB924/$BG924,"..")</f>
        <v>0.30683013466938985</v>
      </c>
      <c r="BI924" s="117">
        <f>IFERROR(VLOOKUP($D924,'WB Data'!$C$3:$M$578,7,FALSE)/100,"..")</f>
        <v>6.2326800000000002E-2</v>
      </c>
      <c r="BJ924" s="117">
        <f>IFERROR($BI924*$AW924,"..")</f>
        <v>292316572.1625672</v>
      </c>
      <c r="BK924" s="846">
        <f>IFERROR($BB924/$BJ924,"..")</f>
        <v>0.32891837191676104</v>
      </c>
      <c r="BL924" s="117">
        <f>IFERROR(VLOOKUP($D924,'WB Data'!$C$3:$M$578,7,FALSE)/100,"..")</f>
        <v>6.2326800000000002E-2</v>
      </c>
      <c r="BM924" s="117">
        <f>IFERROR($AW924*$BL924,"..")</f>
        <v>292316572.1625672</v>
      </c>
      <c r="BN924" s="846">
        <f>IFERROR($BB924/$BM924,"..")</f>
        <v>0.32891837191676104</v>
      </c>
      <c r="BO924" s="801" t="str">
        <f t="shared" si="153"/>
        <v>..</v>
      </c>
      <c r="BP924" s="117">
        <f>VLOOKUP($D924,'WB Data'!$C$3:$M$578,9,FALSE)</f>
        <v>31.7</v>
      </c>
      <c r="BQ924" s="117">
        <f>VLOOKUP($D924,'WB Data'!$C$3:$M$578,10,FALSE)</f>
        <v>69.102439024390264</v>
      </c>
      <c r="BR924" s="117">
        <f>VLOOKUP($D924,'WB Data'!$C$3:$M$578,11,FALSE)</f>
        <v>28.5</v>
      </c>
      <c r="BS924" s="129">
        <f>IFERROR(VLOOKUP($D924,'WB Data 2'!$C$2:$K$545,9,FALSE),"..")</f>
        <v>93.910719999999998</v>
      </c>
      <c r="BT924" s="129" t="str">
        <f>_xlfn.IFNA(VLOOKUP($C924,RGI!$A$2:$C$43,2,FALSE),"..")</f>
        <v>..</v>
      </c>
      <c r="BU924" s="129" t="str">
        <f>_xlfn.IFNA(VLOOKUP($C924,RGI!$A$2:$C$43,3,FALSE),"..")</f>
        <v>..</v>
      </c>
      <c r="BV924" s="129">
        <f>VLOOKUP($D924,WGI!$C$2:$O$478,7,FALSE)</f>
        <v>-1.0022108347477501</v>
      </c>
      <c r="BW924" s="129">
        <f>VLOOKUP($D924,WGI!$C$2:$O$478,4,FALSE)</f>
        <v>-0.64256559582778106</v>
      </c>
      <c r="BX924" s="129">
        <f>VLOOKUP($D924,WGI!$C$2:$O$478,3,FALSE)</f>
        <v>-0.95015902344371395</v>
      </c>
      <c r="BY924" s="129">
        <f>VLOOKUP($D924,WGI!$C$2:$O$478,5,FALSE)</f>
        <v>-0.320715483525574</v>
      </c>
      <c r="BZ924" s="129">
        <f>VLOOKUP($D924,WGI!$C$2:$O$478,2,FALSE)</f>
        <v>-1.2305684234293699</v>
      </c>
    </row>
    <row r="925" spans="1:78" ht="15" customHeight="1">
      <c r="A925" s="294" t="s">
        <v>291</v>
      </c>
      <c r="B925" s="117">
        <v>2009</v>
      </c>
      <c r="C925" s="117" t="s">
        <v>285</v>
      </c>
      <c r="D925" s="117" t="s">
        <v>3635</v>
      </c>
      <c r="E925" s="452" t="s">
        <v>39</v>
      </c>
      <c r="F925" s="117"/>
      <c r="G925" s="117" t="s">
        <v>24</v>
      </c>
      <c r="H925" s="117" t="str">
        <f t="shared" si="158"/>
        <v>yes</v>
      </c>
      <c r="I925" s="117" t="str">
        <f t="shared" si="159"/>
        <v>no</v>
      </c>
      <c r="J925" s="117" t="str">
        <f t="shared" si="160"/>
        <v>no</v>
      </c>
      <c r="K925" s="117" t="s">
        <v>1534</v>
      </c>
      <c r="L925" s="117" t="str">
        <f t="shared" si="161"/>
        <v>detailed</v>
      </c>
      <c r="M925" s="117" t="str">
        <f t="shared" si="162"/>
        <v>detailed Mining</v>
      </c>
      <c r="N925" s="118"/>
      <c r="O925" s="118"/>
      <c r="P925" s="118"/>
      <c r="Q925" s="118"/>
      <c r="R925" s="118"/>
      <c r="S925" s="117"/>
      <c r="T925" s="119">
        <f>235.6/0.000453592</f>
        <v>519409.51339529798</v>
      </c>
      <c r="U925" s="120" t="s">
        <v>611</v>
      </c>
      <c r="V925" s="117" t="s">
        <v>1535</v>
      </c>
      <c r="W925" s="89">
        <f>N926*T925*0.0026</f>
        <v>1239726.6265718972</v>
      </c>
      <c r="X925" s="117"/>
      <c r="Y925" s="117"/>
      <c r="Z925" s="117"/>
      <c r="AA925" s="177"/>
      <c r="AB925" s="177"/>
      <c r="AC925" s="122"/>
      <c r="AD925" s="122"/>
      <c r="AE925" s="122"/>
      <c r="AF925" s="123"/>
      <c r="AG925" s="117"/>
      <c r="AH925" s="124"/>
      <c r="AI925" s="117"/>
      <c r="AJ925" s="117"/>
      <c r="AK925" s="89"/>
      <c r="AL925" s="117"/>
      <c r="AM925" s="117"/>
      <c r="AN925" s="117">
        <v>1</v>
      </c>
      <c r="AO925" s="117" t="s">
        <v>1536</v>
      </c>
      <c r="AP925" s="117">
        <v>1</v>
      </c>
      <c r="AQ925" s="117"/>
      <c r="AR925" s="126"/>
      <c r="AS925" s="117"/>
      <c r="AT925" s="117"/>
      <c r="AU925" s="117"/>
      <c r="AV925" s="128"/>
      <c r="AW925" s="117">
        <f>VLOOKUP($D925,'WB Data'!$C$3:$M$578,2,FALSE)</f>
        <v>4690062255.1224709</v>
      </c>
      <c r="AX925" s="117">
        <f>VLOOKUP($D925,'WB Data'!$C$3:$M$578,3,FALSE)</f>
        <v>5383300</v>
      </c>
      <c r="AY925" s="847">
        <f t="shared" si="154"/>
        <v>2.0500429582781581E-2</v>
      </c>
      <c r="AZ925" s="117">
        <f>VLOOKUP($D925,'WB Data'!$C$3:$M$578,4,FALSE)/100</f>
        <v>0.18787700604652849</v>
      </c>
      <c r="BA925" s="117">
        <f t="shared" si="155"/>
        <v>881154854.66423953</v>
      </c>
      <c r="BB925" s="129">
        <f>IFERROR(VLOOKUP($D925,'EITI Revenues'!$C$2:$G$224,5,FALSE),"..")</f>
        <v>96148291</v>
      </c>
      <c r="BC925" s="846">
        <f t="shared" si="156"/>
        <v>0.10911622456717544</v>
      </c>
      <c r="BD925" s="129">
        <f>VLOOKUP($D925,'WB Data 2'!$C$2:$K$545,6,FALSE)</f>
        <v>152850762.10018548</v>
      </c>
      <c r="BE925" s="129" t="str">
        <f>IFERROR(VLOOKUP($D925,UNCTAD!$C$5:$V$529,4,FALSE),"..")</f>
        <v>..</v>
      </c>
      <c r="BF925" s="846" t="str">
        <f t="shared" si="157"/>
        <v>..</v>
      </c>
      <c r="BG925" s="117">
        <f>VLOOKUP($D925,'WB Data'!$C$3:$M$578,5,FALSE)</f>
        <v>313360000</v>
      </c>
      <c r="BH925" s="129">
        <f>IFERROR($BB925/$BG925,"..")</f>
        <v>0.30683013466938985</v>
      </c>
      <c r="BI925" s="117">
        <f>IFERROR(VLOOKUP($D925,'WB Data'!$C$3:$M$578,7,FALSE)/100,"..")</f>
        <v>6.2326800000000002E-2</v>
      </c>
      <c r="BJ925" s="117">
        <f>IFERROR($BI925*$AW925,"..")</f>
        <v>292316572.1625672</v>
      </c>
      <c r="BK925" s="846">
        <f>IFERROR($BB925/$BJ925,"..")</f>
        <v>0.32891837191676104</v>
      </c>
      <c r="BL925" s="117">
        <f>IFERROR(VLOOKUP($D925,'WB Data'!$C$3:$M$578,7,FALSE)/100,"..")</f>
        <v>6.2326800000000002E-2</v>
      </c>
      <c r="BM925" s="117">
        <f>IFERROR($AW925*$BL925,"..")</f>
        <v>292316572.1625672</v>
      </c>
      <c r="BN925" s="846">
        <f>IFERROR($BB925/$BM925,"..")</f>
        <v>0.32891837191676104</v>
      </c>
      <c r="BO925" s="801" t="str">
        <f t="shared" si="153"/>
        <v>..</v>
      </c>
      <c r="BP925" s="117">
        <f>VLOOKUP($D925,'WB Data'!$C$3:$M$578,9,FALSE)</f>
        <v>31.7</v>
      </c>
      <c r="BQ925" s="117">
        <f>VLOOKUP($D925,'WB Data'!$C$3:$M$578,10,FALSE)</f>
        <v>69.102439024390264</v>
      </c>
      <c r="BR925" s="117">
        <f>VLOOKUP($D925,'WB Data'!$C$3:$M$578,11,FALSE)</f>
        <v>28.5</v>
      </c>
      <c r="BS925" s="129">
        <f>IFERROR(VLOOKUP($D925,'WB Data 2'!$C$2:$K$545,9,FALSE),"..")</f>
        <v>93.910719999999998</v>
      </c>
      <c r="BT925" s="129" t="str">
        <f>_xlfn.IFNA(VLOOKUP($C925,RGI!$A$2:$C$43,2,FALSE),"..")</f>
        <v>..</v>
      </c>
      <c r="BU925" s="129" t="str">
        <f>_xlfn.IFNA(VLOOKUP($C925,RGI!$A$2:$C$43,3,FALSE),"..")</f>
        <v>..</v>
      </c>
      <c r="BV925" s="129">
        <f>VLOOKUP($D925,WGI!$C$2:$O$478,7,FALSE)</f>
        <v>-1.0022108347477501</v>
      </c>
      <c r="BW925" s="129">
        <f>VLOOKUP($D925,WGI!$C$2:$O$478,4,FALSE)</f>
        <v>-0.64256559582778106</v>
      </c>
      <c r="BX925" s="129">
        <f>VLOOKUP($D925,WGI!$C$2:$O$478,3,FALSE)</f>
        <v>-0.95015902344371395</v>
      </c>
      <c r="BY925" s="129">
        <f>VLOOKUP($D925,WGI!$C$2:$O$478,5,FALSE)</f>
        <v>-0.320715483525574</v>
      </c>
      <c r="BZ925" s="129">
        <f>VLOOKUP($D925,WGI!$C$2:$O$478,2,FALSE)</f>
        <v>-1.2305684234293699</v>
      </c>
    </row>
    <row r="926" spans="1:78" ht="15" customHeight="1">
      <c r="A926" s="294" t="s">
        <v>291</v>
      </c>
      <c r="B926" s="117">
        <v>2009</v>
      </c>
      <c r="C926" s="117" t="s">
        <v>285</v>
      </c>
      <c r="D926" s="117" t="s">
        <v>3635</v>
      </c>
      <c r="E926" s="452" t="s">
        <v>39</v>
      </c>
      <c r="F926" s="117"/>
      <c r="G926" s="117" t="s">
        <v>24</v>
      </c>
      <c r="H926" s="117" t="str">
        <f t="shared" si="158"/>
        <v>yes</v>
      </c>
      <c r="I926" s="117" t="str">
        <f t="shared" si="159"/>
        <v>no</v>
      </c>
      <c r="J926" s="117" t="str">
        <f t="shared" si="160"/>
        <v>no</v>
      </c>
      <c r="K926" s="117" t="s">
        <v>1537</v>
      </c>
      <c r="L926" s="117" t="str">
        <f t="shared" si="161"/>
        <v>detailed</v>
      </c>
      <c r="M926" s="117" t="str">
        <f t="shared" si="162"/>
        <v>detailed Mining</v>
      </c>
      <c r="N926" s="118">
        <v>918</v>
      </c>
      <c r="O926" s="118"/>
      <c r="P926" s="118"/>
      <c r="Q926" s="118"/>
      <c r="R926" s="118"/>
      <c r="S926" s="117" t="s">
        <v>610</v>
      </c>
      <c r="T926" s="119"/>
      <c r="U926" s="117" t="s">
        <v>611</v>
      </c>
      <c r="V926" s="117" t="s">
        <v>1503</v>
      </c>
      <c r="W926" s="89"/>
      <c r="X926" s="117"/>
      <c r="Y926" s="117"/>
      <c r="Z926" s="117"/>
      <c r="AA926" s="177"/>
      <c r="AB926" s="177"/>
      <c r="AC926" s="122"/>
      <c r="AD926" s="122"/>
      <c r="AE926" s="122"/>
      <c r="AF926" s="123"/>
      <c r="AG926" s="117"/>
      <c r="AH926" s="124"/>
      <c r="AI926" s="117"/>
      <c r="AJ926" s="117"/>
      <c r="AK926" s="89"/>
      <c r="AL926" s="117"/>
      <c r="AM926" s="117"/>
      <c r="AN926" s="117"/>
      <c r="AO926" s="117"/>
      <c r="AP926" s="117"/>
      <c r="AQ926" s="117"/>
      <c r="AR926" s="126"/>
      <c r="AS926" s="117"/>
      <c r="AT926" s="117"/>
      <c r="AU926" s="117"/>
      <c r="AV926" s="128"/>
      <c r="AW926" s="117">
        <f>VLOOKUP($D926,'WB Data'!$C$3:$M$578,2,FALSE)</f>
        <v>4690062255.1224709</v>
      </c>
      <c r="AX926" s="117">
        <f>VLOOKUP($D926,'WB Data'!$C$3:$M$578,3,FALSE)</f>
        <v>5383300</v>
      </c>
      <c r="AY926" s="847">
        <f t="shared" si="154"/>
        <v>2.0500429582781581E-2</v>
      </c>
      <c r="AZ926" s="117">
        <f>VLOOKUP($D926,'WB Data'!$C$3:$M$578,4,FALSE)/100</f>
        <v>0.18787700604652849</v>
      </c>
      <c r="BA926" s="117">
        <f t="shared" si="155"/>
        <v>881154854.66423953</v>
      </c>
      <c r="BB926" s="129">
        <f>IFERROR(VLOOKUP($D926,'EITI Revenues'!$C$2:$G$224,5,FALSE),"..")</f>
        <v>96148291</v>
      </c>
      <c r="BC926" s="846">
        <f t="shared" si="156"/>
        <v>0.10911622456717544</v>
      </c>
      <c r="BD926" s="129">
        <f>VLOOKUP($D926,'WB Data 2'!$C$2:$K$545,6,FALSE)</f>
        <v>152850762.10018548</v>
      </c>
      <c r="BE926" s="129" t="str">
        <f>IFERROR(VLOOKUP($D926,UNCTAD!$C$5:$V$529,4,FALSE),"..")</f>
        <v>..</v>
      </c>
      <c r="BF926" s="846" t="str">
        <f t="shared" si="157"/>
        <v>..</v>
      </c>
      <c r="BG926" s="117">
        <f>VLOOKUP($D926,'WB Data'!$C$3:$M$578,5,FALSE)</f>
        <v>313360000</v>
      </c>
      <c r="BH926" s="129">
        <f>IFERROR($BB926/$BG926,"..")</f>
        <v>0.30683013466938985</v>
      </c>
      <c r="BI926" s="117">
        <f>IFERROR(VLOOKUP($D926,'WB Data'!$C$3:$M$578,7,FALSE)/100,"..")</f>
        <v>6.2326800000000002E-2</v>
      </c>
      <c r="BJ926" s="117">
        <f>IFERROR($BI926*$AW926,"..")</f>
        <v>292316572.1625672</v>
      </c>
      <c r="BK926" s="846">
        <f>IFERROR($BB926/$BJ926,"..")</f>
        <v>0.32891837191676104</v>
      </c>
      <c r="BL926" s="117">
        <f>IFERROR(VLOOKUP($D926,'WB Data'!$C$3:$M$578,7,FALSE)/100,"..")</f>
        <v>6.2326800000000002E-2</v>
      </c>
      <c r="BM926" s="117">
        <f>IFERROR($AW926*$BL926,"..")</f>
        <v>292316572.1625672</v>
      </c>
      <c r="BN926" s="846">
        <f>IFERROR($BB926/$BM926,"..")</f>
        <v>0.32891837191676104</v>
      </c>
      <c r="BO926" s="801" t="str">
        <f t="shared" si="153"/>
        <v>..</v>
      </c>
      <c r="BP926" s="117">
        <f>VLOOKUP($D926,'WB Data'!$C$3:$M$578,9,FALSE)</f>
        <v>31.7</v>
      </c>
      <c r="BQ926" s="117">
        <f>VLOOKUP($D926,'WB Data'!$C$3:$M$578,10,FALSE)</f>
        <v>69.102439024390264</v>
      </c>
      <c r="BR926" s="117">
        <f>VLOOKUP($D926,'WB Data'!$C$3:$M$578,11,FALSE)</f>
        <v>28.5</v>
      </c>
      <c r="BS926" s="129">
        <f>IFERROR(VLOOKUP($D926,'WB Data 2'!$C$2:$K$545,9,FALSE),"..")</f>
        <v>93.910719999999998</v>
      </c>
      <c r="BT926" s="129" t="str">
        <f>_xlfn.IFNA(VLOOKUP($C926,RGI!$A$2:$C$43,2,FALSE),"..")</f>
        <v>..</v>
      </c>
      <c r="BU926" s="129" t="str">
        <f>_xlfn.IFNA(VLOOKUP($C926,RGI!$A$2:$C$43,3,FALSE),"..")</f>
        <v>..</v>
      </c>
      <c r="BV926" s="129">
        <f>VLOOKUP($D926,WGI!$C$2:$O$478,7,FALSE)</f>
        <v>-1.0022108347477501</v>
      </c>
      <c r="BW926" s="129">
        <f>VLOOKUP($D926,WGI!$C$2:$O$478,4,FALSE)</f>
        <v>-0.64256559582778106</v>
      </c>
      <c r="BX926" s="129">
        <f>VLOOKUP($D926,WGI!$C$2:$O$478,3,FALSE)</f>
        <v>-0.95015902344371395</v>
      </c>
      <c r="BY926" s="129">
        <f>VLOOKUP($D926,WGI!$C$2:$O$478,5,FALSE)</f>
        <v>-0.320715483525574</v>
      </c>
      <c r="BZ926" s="129">
        <f>VLOOKUP($D926,WGI!$C$2:$O$478,2,FALSE)</f>
        <v>-1.2305684234293699</v>
      </c>
    </row>
    <row r="927" spans="1:78" ht="15" customHeight="1">
      <c r="A927" s="294" t="s">
        <v>291</v>
      </c>
      <c r="B927" s="117">
        <v>2009</v>
      </c>
      <c r="C927" s="117" t="s">
        <v>285</v>
      </c>
      <c r="D927" s="117" t="s">
        <v>3635</v>
      </c>
      <c r="E927" s="452" t="s">
        <v>39</v>
      </c>
      <c r="F927" s="117"/>
      <c r="G927" s="117" t="s">
        <v>24</v>
      </c>
      <c r="H927" s="117" t="str">
        <f t="shared" si="158"/>
        <v>yes</v>
      </c>
      <c r="I927" s="117" t="str">
        <f t="shared" si="159"/>
        <v>no</v>
      </c>
      <c r="J927" s="117" t="str">
        <f t="shared" si="160"/>
        <v>no</v>
      </c>
      <c r="K927" s="117" t="s">
        <v>1538</v>
      </c>
      <c r="L927" s="117" t="str">
        <f t="shared" si="161"/>
        <v>detailed</v>
      </c>
      <c r="M927" s="117" t="str">
        <f t="shared" si="162"/>
        <v>detailed Mining</v>
      </c>
      <c r="N927" s="118">
        <v>700</v>
      </c>
      <c r="O927" s="118"/>
      <c r="P927" s="118"/>
      <c r="Q927" s="118"/>
      <c r="R927" s="118"/>
      <c r="S927" s="117" t="s">
        <v>610</v>
      </c>
      <c r="T927" s="119"/>
      <c r="U927" s="117"/>
      <c r="V927" s="117" t="s">
        <v>684</v>
      </c>
      <c r="W927" s="89"/>
      <c r="X927" s="117"/>
      <c r="Y927" s="117"/>
      <c r="Z927" s="117"/>
      <c r="AA927" s="177"/>
      <c r="AB927" s="177"/>
      <c r="AC927" s="122"/>
      <c r="AD927" s="122"/>
      <c r="AE927" s="122"/>
      <c r="AF927" s="123"/>
      <c r="AG927" s="117"/>
      <c r="AH927" s="124"/>
      <c r="AI927" s="117"/>
      <c r="AJ927" s="117"/>
      <c r="AK927" s="89"/>
      <c r="AL927" s="117"/>
      <c r="AM927" s="117"/>
      <c r="AN927" s="117"/>
      <c r="AO927" s="117"/>
      <c r="AP927" s="117"/>
      <c r="AQ927" s="117"/>
      <c r="AR927" s="126"/>
      <c r="AS927" s="117"/>
      <c r="AT927" s="117"/>
      <c r="AU927" s="117"/>
      <c r="AV927" s="128"/>
      <c r="AW927" s="117">
        <f>VLOOKUP($D927,'WB Data'!$C$3:$M$578,2,FALSE)</f>
        <v>4690062255.1224709</v>
      </c>
      <c r="AX927" s="117">
        <f>VLOOKUP($D927,'WB Data'!$C$3:$M$578,3,FALSE)</f>
        <v>5383300</v>
      </c>
      <c r="AY927" s="847">
        <f t="shared" si="154"/>
        <v>2.0500429582781581E-2</v>
      </c>
      <c r="AZ927" s="117">
        <f>VLOOKUP($D927,'WB Data'!$C$3:$M$578,4,FALSE)/100</f>
        <v>0.18787700604652849</v>
      </c>
      <c r="BA927" s="117">
        <f t="shared" si="155"/>
        <v>881154854.66423953</v>
      </c>
      <c r="BB927" s="129">
        <f>IFERROR(VLOOKUP($D927,'EITI Revenues'!$C$2:$G$224,5,FALSE),"..")</f>
        <v>96148291</v>
      </c>
      <c r="BC927" s="846">
        <f t="shared" si="156"/>
        <v>0.10911622456717544</v>
      </c>
      <c r="BD927" s="129">
        <f>VLOOKUP($D927,'WB Data 2'!$C$2:$K$545,6,FALSE)</f>
        <v>152850762.10018548</v>
      </c>
      <c r="BE927" s="129" t="str">
        <f>IFERROR(VLOOKUP($D927,UNCTAD!$C$5:$V$529,4,FALSE),"..")</f>
        <v>..</v>
      </c>
      <c r="BF927" s="846" t="str">
        <f t="shared" si="157"/>
        <v>..</v>
      </c>
      <c r="BG927" s="117">
        <f>VLOOKUP($D927,'WB Data'!$C$3:$M$578,5,FALSE)</f>
        <v>313360000</v>
      </c>
      <c r="BH927" s="129">
        <f>IFERROR($BB927/$BG927,"..")</f>
        <v>0.30683013466938985</v>
      </c>
      <c r="BI927" s="117">
        <f>IFERROR(VLOOKUP($D927,'WB Data'!$C$3:$M$578,7,FALSE)/100,"..")</f>
        <v>6.2326800000000002E-2</v>
      </c>
      <c r="BJ927" s="117">
        <f>IFERROR($BI927*$AW927,"..")</f>
        <v>292316572.1625672</v>
      </c>
      <c r="BK927" s="846">
        <f>IFERROR($BB927/$BJ927,"..")</f>
        <v>0.32891837191676104</v>
      </c>
      <c r="BL927" s="117">
        <f>IFERROR(VLOOKUP($D927,'WB Data'!$C$3:$M$578,7,FALSE)/100,"..")</f>
        <v>6.2326800000000002E-2</v>
      </c>
      <c r="BM927" s="117">
        <f>IFERROR($AW927*$BL927,"..")</f>
        <v>292316572.1625672</v>
      </c>
      <c r="BN927" s="846">
        <f>IFERROR($BB927/$BM927,"..")</f>
        <v>0.32891837191676104</v>
      </c>
      <c r="BO927" s="801" t="str">
        <f t="shared" si="153"/>
        <v>..</v>
      </c>
      <c r="BP927" s="117">
        <f>VLOOKUP($D927,'WB Data'!$C$3:$M$578,9,FALSE)</f>
        <v>31.7</v>
      </c>
      <c r="BQ927" s="117">
        <f>VLOOKUP($D927,'WB Data'!$C$3:$M$578,10,FALSE)</f>
        <v>69.102439024390264</v>
      </c>
      <c r="BR927" s="117">
        <f>VLOOKUP($D927,'WB Data'!$C$3:$M$578,11,FALSE)</f>
        <v>28.5</v>
      </c>
      <c r="BS927" s="129">
        <f>IFERROR(VLOOKUP($D927,'WB Data 2'!$C$2:$K$545,9,FALSE),"..")</f>
        <v>93.910719999999998</v>
      </c>
      <c r="BT927" s="129" t="str">
        <f>_xlfn.IFNA(VLOOKUP($C927,RGI!$A$2:$C$43,2,FALSE),"..")</f>
        <v>..</v>
      </c>
      <c r="BU927" s="129" t="str">
        <f>_xlfn.IFNA(VLOOKUP($C927,RGI!$A$2:$C$43,3,FALSE),"..")</f>
        <v>..</v>
      </c>
      <c r="BV927" s="129">
        <f>VLOOKUP($D927,WGI!$C$2:$O$478,7,FALSE)</f>
        <v>-1.0022108347477501</v>
      </c>
      <c r="BW927" s="129">
        <f>VLOOKUP($D927,WGI!$C$2:$O$478,4,FALSE)</f>
        <v>-0.64256559582778106</v>
      </c>
      <c r="BX927" s="129">
        <f>VLOOKUP($D927,WGI!$C$2:$O$478,3,FALSE)</f>
        <v>-0.95015902344371395</v>
      </c>
      <c r="BY927" s="129">
        <f>VLOOKUP($D927,WGI!$C$2:$O$478,5,FALSE)</f>
        <v>-0.320715483525574</v>
      </c>
      <c r="BZ927" s="129">
        <f>VLOOKUP($D927,WGI!$C$2:$O$478,2,FALSE)</f>
        <v>-1.2305684234293699</v>
      </c>
    </row>
    <row r="928" spans="1:78" ht="15" customHeight="1">
      <c r="A928" s="294" t="s">
        <v>291</v>
      </c>
      <c r="B928" s="117">
        <v>2009</v>
      </c>
      <c r="C928" s="117" t="s">
        <v>285</v>
      </c>
      <c r="D928" s="117" t="s">
        <v>3635</v>
      </c>
      <c r="E928" s="452" t="s">
        <v>39</v>
      </c>
      <c r="F928" s="117"/>
      <c r="G928" s="117" t="s">
        <v>24</v>
      </c>
      <c r="H928" s="117" t="str">
        <f t="shared" si="158"/>
        <v>yes</v>
      </c>
      <c r="I928" s="117" t="str">
        <f t="shared" si="159"/>
        <v>no</v>
      </c>
      <c r="J928" s="117" t="str">
        <f t="shared" si="160"/>
        <v>no</v>
      </c>
      <c r="K928" s="117" t="s">
        <v>1545</v>
      </c>
      <c r="L928" s="117" t="str">
        <f t="shared" si="161"/>
        <v>detailed</v>
      </c>
      <c r="M928" s="117" t="str">
        <f t="shared" si="162"/>
        <v>detailed Mining</v>
      </c>
      <c r="N928" s="118">
        <v>140</v>
      </c>
      <c r="O928" s="118"/>
      <c r="P928" s="118"/>
      <c r="Q928" s="118"/>
      <c r="R928" s="118"/>
      <c r="S928" s="117" t="s">
        <v>610</v>
      </c>
      <c r="T928" s="119">
        <f>610/0.035</f>
        <v>17428.571428571428</v>
      </c>
      <c r="U928" s="117" t="s">
        <v>611</v>
      </c>
      <c r="V928" s="117" t="s">
        <v>1546</v>
      </c>
      <c r="W928" s="89">
        <f>N928*T928</f>
        <v>2440000</v>
      </c>
      <c r="X928" s="117"/>
      <c r="Y928" s="117"/>
      <c r="Z928" s="117"/>
      <c r="AA928" s="177"/>
      <c r="AB928" s="177"/>
      <c r="AC928" s="122"/>
      <c r="AD928" s="122"/>
      <c r="AE928" s="122"/>
      <c r="AF928" s="123"/>
      <c r="AG928" s="117"/>
      <c r="AH928" s="124"/>
      <c r="AI928" s="117"/>
      <c r="AJ928" s="117"/>
      <c r="AK928" s="89"/>
      <c r="AL928" s="117"/>
      <c r="AM928" s="117"/>
      <c r="AN928" s="117"/>
      <c r="AO928" s="117"/>
      <c r="AP928" s="117"/>
      <c r="AQ928" s="117"/>
      <c r="AR928" s="126"/>
      <c r="AS928" s="117"/>
      <c r="AT928" s="117"/>
      <c r="AU928" s="117"/>
      <c r="AV928" s="128"/>
      <c r="AW928" s="117">
        <f>VLOOKUP($D928,'WB Data'!$C$3:$M$578,2,FALSE)</f>
        <v>4690062255.1224709</v>
      </c>
      <c r="AX928" s="117">
        <f>VLOOKUP($D928,'WB Data'!$C$3:$M$578,3,FALSE)</f>
        <v>5383300</v>
      </c>
      <c r="AY928" s="847">
        <f t="shared" si="154"/>
        <v>2.0500429582781581E-2</v>
      </c>
      <c r="AZ928" s="117">
        <f>VLOOKUP($D928,'WB Data'!$C$3:$M$578,4,FALSE)/100</f>
        <v>0.18787700604652849</v>
      </c>
      <c r="BA928" s="117">
        <f t="shared" si="155"/>
        <v>881154854.66423953</v>
      </c>
      <c r="BB928" s="129">
        <f>IFERROR(VLOOKUP($D928,'EITI Revenues'!$C$2:$G$224,5,FALSE),"..")</f>
        <v>96148291</v>
      </c>
      <c r="BC928" s="846">
        <f t="shared" si="156"/>
        <v>0.10911622456717544</v>
      </c>
      <c r="BD928" s="129">
        <f>VLOOKUP($D928,'WB Data 2'!$C$2:$K$545,6,FALSE)</f>
        <v>152850762.10018548</v>
      </c>
      <c r="BE928" s="129" t="str">
        <f>IFERROR(VLOOKUP($D928,UNCTAD!$C$5:$V$529,4,FALSE),"..")</f>
        <v>..</v>
      </c>
      <c r="BF928" s="846" t="str">
        <f t="shared" si="157"/>
        <v>..</v>
      </c>
      <c r="BG928" s="117">
        <f>VLOOKUP($D928,'WB Data'!$C$3:$M$578,5,FALSE)</f>
        <v>313360000</v>
      </c>
      <c r="BH928" s="129">
        <f>IFERROR($BB928/$BG928,"..")</f>
        <v>0.30683013466938985</v>
      </c>
      <c r="BI928" s="117">
        <f>IFERROR(VLOOKUP($D928,'WB Data'!$C$3:$M$578,7,FALSE)/100,"..")</f>
        <v>6.2326800000000002E-2</v>
      </c>
      <c r="BJ928" s="117">
        <f>IFERROR($BI928*$AW928,"..")</f>
        <v>292316572.1625672</v>
      </c>
      <c r="BK928" s="846">
        <f>IFERROR($BB928/$BJ928,"..")</f>
        <v>0.32891837191676104</v>
      </c>
      <c r="BL928" s="117">
        <f>IFERROR(VLOOKUP($D928,'WB Data'!$C$3:$M$578,7,FALSE)/100,"..")</f>
        <v>6.2326800000000002E-2</v>
      </c>
      <c r="BM928" s="117">
        <f>IFERROR($AW928*$BL928,"..")</f>
        <v>292316572.1625672</v>
      </c>
      <c r="BN928" s="846">
        <f>IFERROR($BB928/$BM928,"..")</f>
        <v>0.32891837191676104</v>
      </c>
      <c r="BO928" s="801" t="str">
        <f t="shared" si="153"/>
        <v>..</v>
      </c>
      <c r="BP928" s="117">
        <f>VLOOKUP($D928,'WB Data'!$C$3:$M$578,9,FALSE)</f>
        <v>31.7</v>
      </c>
      <c r="BQ928" s="117">
        <f>VLOOKUP($D928,'WB Data'!$C$3:$M$578,10,FALSE)</f>
        <v>69.102439024390264</v>
      </c>
      <c r="BR928" s="117">
        <f>VLOOKUP($D928,'WB Data'!$C$3:$M$578,11,FALSE)</f>
        <v>28.5</v>
      </c>
      <c r="BS928" s="129">
        <f>IFERROR(VLOOKUP($D928,'WB Data 2'!$C$2:$K$545,9,FALSE),"..")</f>
        <v>93.910719999999998</v>
      </c>
      <c r="BT928" s="129" t="str">
        <f>_xlfn.IFNA(VLOOKUP($C928,RGI!$A$2:$C$43,2,FALSE),"..")</f>
        <v>..</v>
      </c>
      <c r="BU928" s="129" t="str">
        <f>_xlfn.IFNA(VLOOKUP($C928,RGI!$A$2:$C$43,3,FALSE),"..")</f>
        <v>..</v>
      </c>
      <c r="BV928" s="129">
        <f>VLOOKUP($D928,WGI!$C$2:$O$478,7,FALSE)</f>
        <v>-1.0022108347477501</v>
      </c>
      <c r="BW928" s="129">
        <f>VLOOKUP($D928,WGI!$C$2:$O$478,4,FALSE)</f>
        <v>-0.64256559582778106</v>
      </c>
      <c r="BX928" s="129">
        <f>VLOOKUP($D928,WGI!$C$2:$O$478,3,FALSE)</f>
        <v>-0.95015902344371395</v>
      </c>
      <c r="BY928" s="129">
        <f>VLOOKUP($D928,WGI!$C$2:$O$478,5,FALSE)</f>
        <v>-0.320715483525574</v>
      </c>
      <c r="BZ928" s="129">
        <f>VLOOKUP($D928,WGI!$C$2:$O$478,2,FALSE)</f>
        <v>-1.2305684234293699</v>
      </c>
    </row>
    <row r="929" spans="1:80" ht="15" customHeight="1">
      <c r="A929" s="294" t="s">
        <v>291</v>
      </c>
      <c r="B929" s="117">
        <v>2009</v>
      </c>
      <c r="C929" s="117" t="s">
        <v>285</v>
      </c>
      <c r="D929" s="117" t="s">
        <v>3635</v>
      </c>
      <c r="E929" s="452" t="s">
        <v>39</v>
      </c>
      <c r="F929" s="117"/>
      <c r="G929" s="117" t="s">
        <v>24</v>
      </c>
      <c r="H929" s="117" t="str">
        <f t="shared" si="158"/>
        <v>yes</v>
      </c>
      <c r="I929" s="117" t="str">
        <f t="shared" si="159"/>
        <v>no</v>
      </c>
      <c r="J929" s="117" t="str">
        <f t="shared" si="160"/>
        <v>no</v>
      </c>
      <c r="K929" s="117" t="s">
        <v>1547</v>
      </c>
      <c r="L929" s="117" t="str">
        <f t="shared" si="161"/>
        <v>detailed</v>
      </c>
      <c r="M929" s="117" t="str">
        <f t="shared" si="162"/>
        <v>detailed Mining</v>
      </c>
      <c r="N929" s="118"/>
      <c r="O929" s="118"/>
      <c r="P929" s="118"/>
      <c r="Q929" s="118"/>
      <c r="R929" s="118"/>
      <c r="S929" s="117"/>
      <c r="T929" s="119"/>
      <c r="U929" s="117"/>
      <c r="V929" s="117"/>
      <c r="W929" s="89"/>
      <c r="X929" s="117"/>
      <c r="Y929" s="117"/>
      <c r="Z929" s="117"/>
      <c r="AA929" s="177"/>
      <c r="AB929" s="177"/>
      <c r="AC929" s="122"/>
      <c r="AD929" s="122"/>
      <c r="AE929" s="122"/>
      <c r="AF929" s="123"/>
      <c r="AG929" s="117"/>
      <c r="AH929" s="124"/>
      <c r="AI929" s="117"/>
      <c r="AJ929" s="117"/>
      <c r="AK929" s="89"/>
      <c r="AL929" s="117"/>
      <c r="AM929" s="117"/>
      <c r="AN929" s="117"/>
      <c r="AO929" s="117"/>
      <c r="AP929" s="117"/>
      <c r="AQ929" s="117"/>
      <c r="AR929" s="126"/>
      <c r="AS929" s="117"/>
      <c r="AT929" s="117"/>
      <c r="AU929" s="117"/>
      <c r="AV929" s="128"/>
      <c r="AW929" s="117">
        <f>VLOOKUP($D929,'WB Data'!$C$3:$M$578,2,FALSE)</f>
        <v>4690062255.1224709</v>
      </c>
      <c r="AX929" s="117">
        <f>VLOOKUP($D929,'WB Data'!$C$3:$M$578,3,FALSE)</f>
        <v>5383300</v>
      </c>
      <c r="AY929" s="847">
        <f t="shared" si="154"/>
        <v>2.0500429582781581E-2</v>
      </c>
      <c r="AZ929" s="117">
        <f>VLOOKUP($D929,'WB Data'!$C$3:$M$578,4,FALSE)/100</f>
        <v>0.18787700604652849</v>
      </c>
      <c r="BA929" s="117">
        <f t="shared" si="155"/>
        <v>881154854.66423953</v>
      </c>
      <c r="BB929" s="129">
        <f>IFERROR(VLOOKUP($D929,'EITI Revenues'!$C$2:$G$224,5,FALSE),"..")</f>
        <v>96148291</v>
      </c>
      <c r="BC929" s="846">
        <f t="shared" si="156"/>
        <v>0.10911622456717544</v>
      </c>
      <c r="BD929" s="129">
        <f>VLOOKUP($D929,'WB Data 2'!$C$2:$K$545,6,FALSE)</f>
        <v>152850762.10018548</v>
      </c>
      <c r="BE929" s="129" t="str">
        <f>IFERROR(VLOOKUP($D929,UNCTAD!$C$5:$V$529,4,FALSE),"..")</f>
        <v>..</v>
      </c>
      <c r="BF929" s="846" t="str">
        <f t="shared" si="157"/>
        <v>..</v>
      </c>
      <c r="BG929" s="117">
        <f>VLOOKUP($D929,'WB Data'!$C$3:$M$578,5,FALSE)</f>
        <v>313360000</v>
      </c>
      <c r="BH929" s="129">
        <f>IFERROR($BB929/$BG929,"..")</f>
        <v>0.30683013466938985</v>
      </c>
      <c r="BI929" s="117">
        <f>IFERROR(VLOOKUP($D929,'WB Data'!$C$3:$M$578,7,FALSE)/100,"..")</f>
        <v>6.2326800000000002E-2</v>
      </c>
      <c r="BJ929" s="117">
        <f>IFERROR($BI929*$AW929,"..")</f>
        <v>292316572.1625672</v>
      </c>
      <c r="BK929" s="846">
        <f>IFERROR($BB929/$BJ929,"..")</f>
        <v>0.32891837191676104</v>
      </c>
      <c r="BL929" s="117">
        <f>IFERROR(VLOOKUP($D929,'WB Data'!$C$3:$M$578,7,FALSE)/100,"..")</f>
        <v>6.2326800000000002E-2</v>
      </c>
      <c r="BM929" s="117">
        <f>IFERROR($AW929*$BL929,"..")</f>
        <v>292316572.1625672</v>
      </c>
      <c r="BN929" s="846">
        <f>IFERROR($BB929/$BM929,"..")</f>
        <v>0.32891837191676104</v>
      </c>
      <c r="BO929" s="801" t="str">
        <f t="shared" si="153"/>
        <v>..</v>
      </c>
      <c r="BP929" s="117">
        <f>VLOOKUP($D929,'WB Data'!$C$3:$M$578,9,FALSE)</f>
        <v>31.7</v>
      </c>
      <c r="BQ929" s="117">
        <f>VLOOKUP($D929,'WB Data'!$C$3:$M$578,10,FALSE)</f>
        <v>69.102439024390264</v>
      </c>
      <c r="BR929" s="117">
        <f>VLOOKUP($D929,'WB Data'!$C$3:$M$578,11,FALSE)</f>
        <v>28.5</v>
      </c>
      <c r="BS929" s="129">
        <f>IFERROR(VLOOKUP($D929,'WB Data 2'!$C$2:$K$545,9,FALSE),"..")</f>
        <v>93.910719999999998</v>
      </c>
      <c r="BT929" s="129" t="str">
        <f>_xlfn.IFNA(VLOOKUP($C929,RGI!$A$2:$C$43,2,FALSE),"..")</f>
        <v>..</v>
      </c>
      <c r="BU929" s="129" t="str">
        <f>_xlfn.IFNA(VLOOKUP($C929,RGI!$A$2:$C$43,3,FALSE),"..")</f>
        <v>..</v>
      </c>
      <c r="BV929" s="129">
        <f>VLOOKUP($D929,WGI!$C$2:$O$478,7,FALSE)</f>
        <v>-1.0022108347477501</v>
      </c>
      <c r="BW929" s="129">
        <f>VLOOKUP($D929,WGI!$C$2:$O$478,4,FALSE)</f>
        <v>-0.64256559582778106</v>
      </c>
      <c r="BX929" s="129">
        <f>VLOOKUP($D929,WGI!$C$2:$O$478,3,FALSE)</f>
        <v>-0.95015902344371395</v>
      </c>
      <c r="BY929" s="129">
        <f>VLOOKUP($D929,WGI!$C$2:$O$478,5,FALSE)</f>
        <v>-0.320715483525574</v>
      </c>
      <c r="BZ929" s="129">
        <f>VLOOKUP($D929,WGI!$C$2:$O$478,2,FALSE)</f>
        <v>-1.2305684234293699</v>
      </c>
    </row>
    <row r="930" spans="1:80" ht="15" customHeight="1">
      <c r="A930" s="294" t="s">
        <v>291</v>
      </c>
      <c r="B930" s="117">
        <v>2009</v>
      </c>
      <c r="C930" s="117" t="s">
        <v>285</v>
      </c>
      <c r="D930" s="117" t="s">
        <v>3635</v>
      </c>
      <c r="E930" s="452" t="s">
        <v>39</v>
      </c>
      <c r="F930" s="117"/>
      <c r="G930" s="117" t="s">
        <v>24</v>
      </c>
      <c r="H930" s="117" t="str">
        <f t="shared" si="158"/>
        <v>yes</v>
      </c>
      <c r="I930" s="117" t="str">
        <f t="shared" si="159"/>
        <v>no</v>
      </c>
      <c r="J930" s="117" t="str">
        <f t="shared" si="160"/>
        <v>no</v>
      </c>
      <c r="K930" s="117" t="s">
        <v>1539</v>
      </c>
      <c r="L930" s="117" t="str">
        <f t="shared" si="161"/>
        <v>detailed</v>
      </c>
      <c r="M930" s="117" t="str">
        <f t="shared" si="162"/>
        <v>detailed Mining</v>
      </c>
      <c r="N930" s="118">
        <v>2574</v>
      </c>
      <c r="O930" s="118"/>
      <c r="P930" s="118"/>
      <c r="Q930" s="118"/>
      <c r="R930" s="118"/>
      <c r="S930" s="117" t="s">
        <v>610</v>
      </c>
      <c r="T930" s="119"/>
      <c r="U930" s="117"/>
      <c r="V930" s="117" t="s">
        <v>684</v>
      </c>
      <c r="W930" s="89"/>
      <c r="X930" s="117"/>
      <c r="Y930" s="117"/>
      <c r="Z930" s="117"/>
      <c r="AA930" s="177"/>
      <c r="AB930" s="177"/>
      <c r="AC930" s="122"/>
      <c r="AD930" s="122"/>
      <c r="AE930" s="122"/>
      <c r="AF930" s="123"/>
      <c r="AG930" s="117"/>
      <c r="AH930" s="124"/>
      <c r="AI930" s="117"/>
      <c r="AJ930" s="117"/>
      <c r="AK930" s="89"/>
      <c r="AL930" s="117"/>
      <c r="AM930" s="117"/>
      <c r="AN930" s="117"/>
      <c r="AO930" s="117"/>
      <c r="AP930" s="117"/>
      <c r="AQ930" s="117"/>
      <c r="AR930" s="126"/>
      <c r="AS930" s="117"/>
      <c r="AT930" s="117"/>
      <c r="AU930" s="117"/>
      <c r="AV930" s="128"/>
      <c r="AW930" s="117">
        <f>VLOOKUP($D930,'WB Data'!$C$3:$M$578,2,FALSE)</f>
        <v>4690062255.1224709</v>
      </c>
      <c r="AX930" s="117">
        <f>VLOOKUP($D930,'WB Data'!$C$3:$M$578,3,FALSE)</f>
        <v>5383300</v>
      </c>
      <c r="AY930" s="847">
        <f t="shared" si="154"/>
        <v>2.0500429582781581E-2</v>
      </c>
      <c r="AZ930" s="117">
        <f>VLOOKUP($D930,'WB Data'!$C$3:$M$578,4,FALSE)/100</f>
        <v>0.18787700604652849</v>
      </c>
      <c r="BA930" s="117">
        <f t="shared" si="155"/>
        <v>881154854.66423953</v>
      </c>
      <c r="BB930" s="129">
        <f>IFERROR(VLOOKUP($D930,'EITI Revenues'!$C$2:$G$224,5,FALSE),"..")</f>
        <v>96148291</v>
      </c>
      <c r="BC930" s="846">
        <f t="shared" si="156"/>
        <v>0.10911622456717544</v>
      </c>
      <c r="BD930" s="129">
        <f>VLOOKUP($D930,'WB Data 2'!$C$2:$K$545,6,FALSE)</f>
        <v>152850762.10018548</v>
      </c>
      <c r="BE930" s="129" t="str">
        <f>IFERROR(VLOOKUP($D930,UNCTAD!$C$5:$V$529,4,FALSE),"..")</f>
        <v>..</v>
      </c>
      <c r="BF930" s="846" t="str">
        <f t="shared" si="157"/>
        <v>..</v>
      </c>
      <c r="BG930" s="117">
        <f>VLOOKUP($D930,'WB Data'!$C$3:$M$578,5,FALSE)</f>
        <v>313360000</v>
      </c>
      <c r="BH930" s="129">
        <f>IFERROR($BB930/$BG930,"..")</f>
        <v>0.30683013466938985</v>
      </c>
      <c r="BI930" s="117">
        <f>IFERROR(VLOOKUP($D930,'WB Data'!$C$3:$M$578,7,FALSE)/100,"..")</f>
        <v>6.2326800000000002E-2</v>
      </c>
      <c r="BJ930" s="117">
        <f>IFERROR($BI930*$AW930,"..")</f>
        <v>292316572.1625672</v>
      </c>
      <c r="BK930" s="846">
        <f>IFERROR($BB930/$BJ930,"..")</f>
        <v>0.32891837191676104</v>
      </c>
      <c r="BL930" s="117">
        <f>IFERROR(VLOOKUP($D930,'WB Data'!$C$3:$M$578,7,FALSE)/100,"..")</f>
        <v>6.2326800000000002E-2</v>
      </c>
      <c r="BM930" s="117">
        <f>IFERROR($AW930*$BL930,"..")</f>
        <v>292316572.1625672</v>
      </c>
      <c r="BN930" s="846">
        <f>IFERROR($BB930/$BM930,"..")</f>
        <v>0.32891837191676104</v>
      </c>
      <c r="BO930" s="801" t="str">
        <f t="shared" si="153"/>
        <v>..</v>
      </c>
      <c r="BP930" s="117">
        <f>VLOOKUP($D930,'WB Data'!$C$3:$M$578,9,FALSE)</f>
        <v>31.7</v>
      </c>
      <c r="BQ930" s="117">
        <f>VLOOKUP($D930,'WB Data'!$C$3:$M$578,10,FALSE)</f>
        <v>69.102439024390264</v>
      </c>
      <c r="BR930" s="117">
        <f>VLOOKUP($D930,'WB Data'!$C$3:$M$578,11,FALSE)</f>
        <v>28.5</v>
      </c>
      <c r="BS930" s="129">
        <f>IFERROR(VLOOKUP($D930,'WB Data 2'!$C$2:$K$545,9,FALSE),"..")</f>
        <v>93.910719999999998</v>
      </c>
      <c r="BT930" s="129" t="str">
        <f>_xlfn.IFNA(VLOOKUP($C930,RGI!$A$2:$C$43,2,FALSE),"..")</f>
        <v>..</v>
      </c>
      <c r="BU930" s="129" t="str">
        <f>_xlfn.IFNA(VLOOKUP($C930,RGI!$A$2:$C$43,3,FALSE),"..")</f>
        <v>..</v>
      </c>
      <c r="BV930" s="129">
        <f>VLOOKUP($D930,WGI!$C$2:$O$478,7,FALSE)</f>
        <v>-1.0022108347477501</v>
      </c>
      <c r="BW930" s="129">
        <f>VLOOKUP($D930,WGI!$C$2:$O$478,4,FALSE)</f>
        <v>-0.64256559582778106</v>
      </c>
      <c r="BX930" s="129">
        <f>VLOOKUP($D930,WGI!$C$2:$O$478,3,FALSE)</f>
        <v>-0.95015902344371395</v>
      </c>
      <c r="BY930" s="129">
        <f>VLOOKUP($D930,WGI!$C$2:$O$478,5,FALSE)</f>
        <v>-0.320715483525574</v>
      </c>
      <c r="BZ930" s="129">
        <f>VLOOKUP($D930,WGI!$C$2:$O$478,2,FALSE)</f>
        <v>-1.2305684234293699</v>
      </c>
    </row>
    <row r="931" spans="1:80" ht="15" customHeight="1">
      <c r="A931" s="294" t="s">
        <v>291</v>
      </c>
      <c r="B931" s="117">
        <v>2009</v>
      </c>
      <c r="C931" s="117" t="s">
        <v>285</v>
      </c>
      <c r="D931" s="117" t="s">
        <v>3635</v>
      </c>
      <c r="E931" s="452" t="s">
        <v>39</v>
      </c>
      <c r="F931" s="117"/>
      <c r="G931" s="117" t="s">
        <v>24</v>
      </c>
      <c r="H931" s="117" t="str">
        <f t="shared" si="158"/>
        <v>yes</v>
      </c>
      <c r="I931" s="117" t="str">
        <f t="shared" si="159"/>
        <v>no</v>
      </c>
      <c r="J931" s="117" t="str">
        <f t="shared" si="160"/>
        <v>no</v>
      </c>
      <c r="K931" s="117" t="s">
        <v>1540</v>
      </c>
      <c r="L931" s="117" t="str">
        <f t="shared" si="161"/>
        <v>detailed</v>
      </c>
      <c r="M931" s="117" t="str">
        <f t="shared" si="162"/>
        <v>detailed Mining</v>
      </c>
      <c r="N931" s="118">
        <v>3071</v>
      </c>
      <c r="O931" s="118"/>
      <c r="P931" s="118"/>
      <c r="Q931" s="118"/>
      <c r="R931" s="118"/>
      <c r="S931" s="117" t="s">
        <v>610</v>
      </c>
      <c r="T931" s="119"/>
      <c r="U931" s="117"/>
      <c r="V931" s="117" t="s">
        <v>684</v>
      </c>
      <c r="W931" s="89"/>
      <c r="X931" s="117"/>
      <c r="Y931" s="117"/>
      <c r="Z931" s="117"/>
      <c r="AA931" s="177"/>
      <c r="AB931" s="177"/>
      <c r="AC931" s="122"/>
      <c r="AD931" s="122"/>
      <c r="AE931" s="122"/>
      <c r="AF931" s="123"/>
      <c r="AG931" s="117"/>
      <c r="AH931" s="124"/>
      <c r="AI931" s="117"/>
      <c r="AJ931" s="117"/>
      <c r="AK931" s="89"/>
      <c r="AL931" s="117"/>
      <c r="AM931" s="117"/>
      <c r="AN931" s="117"/>
      <c r="AO931" s="117"/>
      <c r="AP931" s="117"/>
      <c r="AQ931" s="117"/>
      <c r="AR931" s="126"/>
      <c r="AS931" s="117"/>
      <c r="AT931" s="117"/>
      <c r="AU931" s="117"/>
      <c r="AV931" s="128"/>
      <c r="AW931" s="117">
        <f>VLOOKUP($D931,'WB Data'!$C$3:$M$578,2,FALSE)</f>
        <v>4690062255.1224709</v>
      </c>
      <c r="AX931" s="117">
        <f>VLOOKUP($D931,'WB Data'!$C$3:$M$578,3,FALSE)</f>
        <v>5383300</v>
      </c>
      <c r="AY931" s="847">
        <f t="shared" si="154"/>
        <v>2.0500429582781581E-2</v>
      </c>
      <c r="AZ931" s="117">
        <f>VLOOKUP($D931,'WB Data'!$C$3:$M$578,4,FALSE)/100</f>
        <v>0.18787700604652849</v>
      </c>
      <c r="BA931" s="117">
        <f t="shared" si="155"/>
        <v>881154854.66423953</v>
      </c>
      <c r="BB931" s="129">
        <f>IFERROR(VLOOKUP($D931,'EITI Revenues'!$C$2:$G$224,5,FALSE),"..")</f>
        <v>96148291</v>
      </c>
      <c r="BC931" s="846">
        <f t="shared" si="156"/>
        <v>0.10911622456717544</v>
      </c>
      <c r="BD931" s="129">
        <f>VLOOKUP($D931,'WB Data 2'!$C$2:$K$545,6,FALSE)</f>
        <v>152850762.10018548</v>
      </c>
      <c r="BE931" s="129" t="str">
        <f>IFERROR(VLOOKUP($D931,UNCTAD!$C$5:$V$529,4,FALSE),"..")</f>
        <v>..</v>
      </c>
      <c r="BF931" s="846" t="str">
        <f t="shared" si="157"/>
        <v>..</v>
      </c>
      <c r="BG931" s="117">
        <f>VLOOKUP($D931,'WB Data'!$C$3:$M$578,5,FALSE)</f>
        <v>313360000</v>
      </c>
      <c r="BH931" s="129">
        <f>IFERROR($BB931/$BG931,"..")</f>
        <v>0.30683013466938985</v>
      </c>
      <c r="BI931" s="117">
        <f>IFERROR(VLOOKUP($D931,'WB Data'!$C$3:$M$578,7,FALSE)/100,"..")</f>
        <v>6.2326800000000002E-2</v>
      </c>
      <c r="BJ931" s="117">
        <f>IFERROR($BI931*$AW931,"..")</f>
        <v>292316572.1625672</v>
      </c>
      <c r="BK931" s="846">
        <f>IFERROR($BB931/$BJ931,"..")</f>
        <v>0.32891837191676104</v>
      </c>
      <c r="BL931" s="117">
        <f>IFERROR(VLOOKUP($D931,'WB Data'!$C$3:$M$578,7,FALSE)/100,"..")</f>
        <v>6.2326800000000002E-2</v>
      </c>
      <c r="BM931" s="117">
        <f>IFERROR($AW931*$BL931,"..")</f>
        <v>292316572.1625672</v>
      </c>
      <c r="BN931" s="846">
        <f>IFERROR($BB931/$BM931,"..")</f>
        <v>0.32891837191676104</v>
      </c>
      <c r="BO931" s="801" t="str">
        <f t="shared" si="153"/>
        <v>..</v>
      </c>
      <c r="BP931" s="117">
        <f>VLOOKUP($D931,'WB Data'!$C$3:$M$578,9,FALSE)</f>
        <v>31.7</v>
      </c>
      <c r="BQ931" s="117">
        <f>VLOOKUP($D931,'WB Data'!$C$3:$M$578,10,FALSE)</f>
        <v>69.102439024390264</v>
      </c>
      <c r="BR931" s="117">
        <f>VLOOKUP($D931,'WB Data'!$C$3:$M$578,11,FALSE)</f>
        <v>28.5</v>
      </c>
      <c r="BS931" s="129">
        <f>IFERROR(VLOOKUP($D931,'WB Data 2'!$C$2:$K$545,9,FALSE),"..")</f>
        <v>93.910719999999998</v>
      </c>
      <c r="BT931" s="129" t="str">
        <f>_xlfn.IFNA(VLOOKUP($C931,RGI!$A$2:$C$43,2,FALSE),"..")</f>
        <v>..</v>
      </c>
      <c r="BU931" s="129" t="str">
        <f>_xlfn.IFNA(VLOOKUP($C931,RGI!$A$2:$C$43,3,FALSE),"..")</f>
        <v>..</v>
      </c>
      <c r="BV931" s="129">
        <f>VLOOKUP($D931,WGI!$C$2:$O$478,7,FALSE)</f>
        <v>-1.0022108347477501</v>
      </c>
      <c r="BW931" s="129">
        <f>VLOOKUP($D931,WGI!$C$2:$O$478,4,FALSE)</f>
        <v>-0.64256559582778106</v>
      </c>
      <c r="BX931" s="129">
        <f>VLOOKUP($D931,WGI!$C$2:$O$478,3,FALSE)</f>
        <v>-0.95015902344371395</v>
      </c>
      <c r="BY931" s="129">
        <f>VLOOKUP($D931,WGI!$C$2:$O$478,5,FALSE)</f>
        <v>-0.320715483525574</v>
      </c>
      <c r="BZ931" s="129">
        <f>VLOOKUP($D931,WGI!$C$2:$O$478,2,FALSE)</f>
        <v>-1.2305684234293699</v>
      </c>
    </row>
    <row r="932" spans="1:80" s="144" customFormat="1" ht="15" customHeight="1">
      <c r="A932" s="296" t="s">
        <v>294</v>
      </c>
      <c r="B932" s="132">
        <v>2010</v>
      </c>
      <c r="C932" s="132" t="s">
        <v>285</v>
      </c>
      <c r="D932" s="117" t="s">
        <v>3669</v>
      </c>
      <c r="E932" s="450" t="s">
        <v>39</v>
      </c>
      <c r="F932" s="132" t="s">
        <v>1467</v>
      </c>
      <c r="G932" s="132" t="s">
        <v>35</v>
      </c>
      <c r="H932" s="117" t="str">
        <f t="shared" si="158"/>
        <v>yes</v>
      </c>
      <c r="I932" s="117" t="str">
        <f t="shared" si="159"/>
        <v>yes</v>
      </c>
      <c r="J932" s="117" t="str">
        <f t="shared" si="160"/>
        <v>yes</v>
      </c>
      <c r="K932" s="132" t="s">
        <v>709</v>
      </c>
      <c r="L932" s="117" t="str">
        <f t="shared" si="161"/>
        <v>Total</v>
      </c>
      <c r="M932" s="117" t="str">
        <f t="shared" si="162"/>
        <v>Total Oil, Gas, Mining</v>
      </c>
      <c r="N932" s="133"/>
      <c r="O932" s="133"/>
      <c r="P932" s="133"/>
      <c r="Q932" s="133"/>
      <c r="R932" s="133"/>
      <c r="S932" s="132"/>
      <c r="T932" s="134"/>
      <c r="U932" s="132"/>
      <c r="V932" s="132"/>
      <c r="W932" s="135">
        <f>W933+W936</f>
        <v>188992923.66981843</v>
      </c>
      <c r="X932" s="132" t="s">
        <v>601</v>
      </c>
      <c r="Y932" s="132" t="s">
        <v>602</v>
      </c>
      <c r="Z932" s="132" t="s">
        <v>603</v>
      </c>
      <c r="AA932" s="325">
        <v>143976791</v>
      </c>
      <c r="AB932" s="325">
        <v>142159547</v>
      </c>
      <c r="AC932" s="138"/>
      <c r="AD932" s="138"/>
      <c r="AE932" s="138"/>
      <c r="AF932" s="139">
        <f>AA932/W932</f>
        <v>0.76181048583351074</v>
      </c>
      <c r="AG932" s="132" t="s">
        <v>1480</v>
      </c>
      <c r="AH932" s="140">
        <v>45.93</v>
      </c>
      <c r="AI932" s="132" t="s">
        <v>1548</v>
      </c>
      <c r="AJ932" s="132"/>
      <c r="AK932" s="132"/>
      <c r="AL932" s="132"/>
      <c r="AM932" s="132"/>
      <c r="AN932" s="132">
        <v>45</v>
      </c>
      <c r="AO932" s="132" t="s">
        <v>1549</v>
      </c>
      <c r="AP932" s="132">
        <v>42</v>
      </c>
      <c r="AQ932" s="132" t="s">
        <v>44</v>
      </c>
      <c r="AR932" s="141">
        <v>41913</v>
      </c>
      <c r="AS932" s="132" t="s">
        <v>1550</v>
      </c>
      <c r="AT932" s="132" t="s">
        <v>1551</v>
      </c>
      <c r="AU932" s="132">
        <v>11</v>
      </c>
      <c r="AV932" s="143" t="s">
        <v>1552</v>
      </c>
      <c r="AW932" s="117">
        <f>VLOOKUP($D932,'WB Data'!$C$3:$M$578,2,FALSE)</f>
        <v>4794357795.0713921</v>
      </c>
      <c r="AX932" s="117">
        <f>VLOOKUP($D932,'WB Data'!$C$3:$M$578,3,FALSE)</f>
        <v>5447900</v>
      </c>
      <c r="AY932" s="847">
        <f t="shared" si="154"/>
        <v>3.0030464382113573E-2</v>
      </c>
      <c r="AZ932" s="117">
        <f>VLOOKUP($D932,'WB Data'!$C$3:$M$578,4,FALSE)/100</f>
        <v>0.19422486253756763</v>
      </c>
      <c r="BA932" s="117">
        <f t="shared" si="155"/>
        <v>931183483.70365691</v>
      </c>
      <c r="BB932" s="129">
        <f>IFERROR(VLOOKUP($D932,'EITI Revenues'!$C$2:$G$224,5,FALSE),"..")</f>
        <v>143976791</v>
      </c>
      <c r="BC932" s="846">
        <f t="shared" si="156"/>
        <v>0.15461699387896324</v>
      </c>
      <c r="BD932" s="129">
        <f>VLOOKUP($D932,'WB Data 2'!$C$2:$K$545,6,FALSE)</f>
        <v>343035950.59742367</v>
      </c>
      <c r="BE932" s="129" t="str">
        <f>IFERROR(VLOOKUP($D932,UNCTAD!$C$5:$V$529,4,FALSE),"..")</f>
        <v>..</v>
      </c>
      <c r="BF932" s="846" t="str">
        <f t="shared" si="157"/>
        <v>..</v>
      </c>
      <c r="BG932" s="117">
        <f>VLOOKUP($D932,'WB Data'!$C$3:$M$578,5,FALSE)</f>
        <v>380370000</v>
      </c>
      <c r="BH932" s="129">
        <f>IFERROR($BB932/$BG932,"..")</f>
        <v>0.37851773536293609</v>
      </c>
      <c r="BI932" s="117">
        <f>IFERROR(VLOOKUP($D932,'WB Data'!$C$3:$M$578,7,FALSE)/100,"..")</f>
        <v>5.8188299999999998E-2</v>
      </c>
      <c r="BJ932" s="117">
        <f>IFERROR($BI932*$AW932,"..")</f>
        <v>278975529.68695265</v>
      </c>
      <c r="BK932" s="846">
        <f>IFERROR($BB932/$BJ932,"..")</f>
        <v>0.51609111079226533</v>
      </c>
      <c r="BL932" s="117">
        <f>IFERROR(VLOOKUP($D932,'WB Data'!$C$3:$M$578,7,FALSE)/100,"..")</f>
        <v>5.8188299999999998E-2</v>
      </c>
      <c r="BM932" s="117">
        <f>IFERROR($AW932*$BL932,"..")</f>
        <v>278975529.68695265</v>
      </c>
      <c r="BN932" s="846">
        <f>IFERROR($BB932/$BM932,"..")</f>
        <v>0.51609111079226533</v>
      </c>
      <c r="BO932" s="801" t="str">
        <f t="shared" si="153"/>
        <v>..</v>
      </c>
      <c r="BP932" s="117">
        <f>VLOOKUP($D932,'WB Data'!$C$3:$M$578,9,FALSE)</f>
        <v>33.700000000000003</v>
      </c>
      <c r="BQ932" s="117">
        <f>VLOOKUP($D932,'WB Data'!$C$3:$M$578,10,FALSE)</f>
        <v>69.300000000000011</v>
      </c>
      <c r="BR932" s="117">
        <f>VLOOKUP($D932,'WB Data'!$C$3:$M$578,11,FALSE)</f>
        <v>26.7</v>
      </c>
      <c r="BS932" s="129">
        <f>IFERROR(VLOOKUP($D932,'WB Data 2'!$C$2:$K$545,9,FALSE),"..")</f>
        <v>95.272779999999997</v>
      </c>
      <c r="BT932" s="129" t="str">
        <f>_xlfn.IFNA(VLOOKUP($C932,RGI!$A$2:$C$43,2,FALSE),"..")</f>
        <v>..</v>
      </c>
      <c r="BU932" s="129" t="str">
        <f>_xlfn.IFNA(VLOOKUP($C932,RGI!$A$2:$C$43,3,FALSE),"..")</f>
        <v>..</v>
      </c>
      <c r="BV932" s="129">
        <f>VLOOKUP($D932,WGI!$C$2:$O$478,7,FALSE)</f>
        <v>-0.95874429933139405</v>
      </c>
      <c r="BW932" s="129">
        <f>VLOOKUP($D932,WGI!$C$2:$O$478,4,FALSE)</f>
        <v>-1.0331283700851901</v>
      </c>
      <c r="BX932" s="129">
        <f>VLOOKUP($D932,WGI!$C$2:$O$478,3,FALSE)</f>
        <v>-0.63482368678068302</v>
      </c>
      <c r="BY932" s="129">
        <f>VLOOKUP($D932,WGI!$C$2:$O$478,5,FALSE)</f>
        <v>-0.25426987328707201</v>
      </c>
      <c r="BZ932" s="129">
        <f>VLOOKUP($D932,WGI!$C$2:$O$478,2,FALSE)</f>
        <v>-1.1090655234363</v>
      </c>
      <c r="CB932" s="129"/>
    </row>
    <row r="933" spans="1:80" s="120" customFormat="1" ht="15" customHeight="1">
      <c r="A933" s="294" t="s">
        <v>294</v>
      </c>
      <c r="B933" s="117">
        <v>2010</v>
      </c>
      <c r="C933" s="117" t="s">
        <v>285</v>
      </c>
      <c r="D933" s="117" t="s">
        <v>3669</v>
      </c>
      <c r="E933" s="452" t="s">
        <v>39</v>
      </c>
      <c r="F933" s="117"/>
      <c r="G933" s="117" t="s">
        <v>55</v>
      </c>
      <c r="H933" s="117" t="str">
        <f t="shared" si="158"/>
        <v>no</v>
      </c>
      <c r="I933" s="117" t="str">
        <f t="shared" si="159"/>
        <v>yes</v>
      </c>
      <c r="J933" s="117" t="str">
        <f t="shared" si="160"/>
        <v>yes</v>
      </c>
      <c r="K933" s="117" t="s">
        <v>640</v>
      </c>
      <c r="L933" s="117" t="str">
        <f t="shared" si="161"/>
        <v>Total</v>
      </c>
      <c r="M933" s="117" t="str">
        <f t="shared" si="162"/>
        <v>Total Oil, Gas</v>
      </c>
      <c r="N933" s="118"/>
      <c r="O933" s="118"/>
      <c r="P933" s="118"/>
      <c r="Q933" s="118"/>
      <c r="R933" s="118"/>
      <c r="S933" s="117"/>
      <c r="T933" s="119"/>
      <c r="U933" s="117"/>
      <c r="V933" s="117"/>
      <c r="W933" s="89">
        <f>SUM(W934:W935)</f>
        <v>51834676.328195117</v>
      </c>
      <c r="X933" s="117"/>
      <c r="Y933" s="117"/>
      <c r="Z933" s="117"/>
      <c r="AA933" s="177">
        <v>7300523</v>
      </c>
      <c r="AB933" s="177">
        <v>5805378</v>
      </c>
      <c r="AC933" s="122"/>
      <c r="AD933" s="122"/>
      <c r="AE933" s="122"/>
      <c r="AF933" s="123">
        <f>AA933/W933</f>
        <v>0.14084245368440607</v>
      </c>
      <c r="AG933" s="117"/>
      <c r="AH933" s="124"/>
      <c r="AI933" s="117"/>
      <c r="AJ933" s="117"/>
      <c r="AK933" s="89"/>
      <c r="AL933" s="117"/>
      <c r="AM933" s="117"/>
      <c r="AN933" s="117">
        <v>1</v>
      </c>
      <c r="AO933" s="117" t="s">
        <v>1512</v>
      </c>
      <c r="AP933" s="117">
        <v>1</v>
      </c>
      <c r="AQ933" s="117"/>
      <c r="AR933" s="126"/>
      <c r="AS933" s="117"/>
      <c r="AT933" s="117"/>
      <c r="AU933" s="117">
        <v>14</v>
      </c>
      <c r="AV933" s="128"/>
      <c r="AW933" s="117">
        <f>VLOOKUP($D933,'WB Data'!$C$3:$M$578,2,FALSE)</f>
        <v>4794357795.0713921</v>
      </c>
      <c r="AX933" s="117">
        <f>VLOOKUP($D933,'WB Data'!$C$3:$M$578,3,FALSE)</f>
        <v>5447900</v>
      </c>
      <c r="AY933" s="847">
        <f t="shared" si="154"/>
        <v>3.0030464382113573E-2</v>
      </c>
      <c r="AZ933" s="117">
        <f>VLOOKUP($D933,'WB Data'!$C$3:$M$578,4,FALSE)/100</f>
        <v>0.19422486253756763</v>
      </c>
      <c r="BA933" s="117">
        <f t="shared" si="155"/>
        <v>931183483.70365691</v>
      </c>
      <c r="BB933" s="129">
        <f>IFERROR(VLOOKUP($D933,'EITI Revenues'!$C$2:$G$224,5,FALSE),"..")</f>
        <v>143976791</v>
      </c>
      <c r="BC933" s="846">
        <f t="shared" si="156"/>
        <v>0.15461699387896324</v>
      </c>
      <c r="BD933" s="129">
        <f>VLOOKUP($D933,'WB Data 2'!$C$2:$K$545,6,FALSE)</f>
        <v>343035950.59742367</v>
      </c>
      <c r="BE933" s="129" t="str">
        <f>IFERROR(VLOOKUP($D933,UNCTAD!$C$5:$V$529,4,FALSE),"..")</f>
        <v>..</v>
      </c>
      <c r="BF933" s="846" t="str">
        <f t="shared" si="157"/>
        <v>..</v>
      </c>
      <c r="BG933" s="117">
        <f>VLOOKUP($D933,'WB Data'!$C$3:$M$578,5,FALSE)</f>
        <v>380370000</v>
      </c>
      <c r="BH933" s="129">
        <f>IFERROR($BB933/$BG933,"..")</f>
        <v>0.37851773536293609</v>
      </c>
      <c r="BI933" s="117">
        <f>IFERROR(VLOOKUP($D933,'WB Data'!$C$3:$M$578,7,FALSE)/100,"..")</f>
        <v>5.8188299999999998E-2</v>
      </c>
      <c r="BJ933" s="117">
        <f>IFERROR($BI933*$AW933,"..")</f>
        <v>278975529.68695265</v>
      </c>
      <c r="BK933" s="846">
        <f>IFERROR($BB933/$BJ933,"..")</f>
        <v>0.51609111079226533</v>
      </c>
      <c r="BL933" s="117">
        <f>IFERROR(VLOOKUP($D933,'WB Data'!$C$3:$M$578,7,FALSE)/100,"..")</f>
        <v>5.8188299999999998E-2</v>
      </c>
      <c r="BM933" s="117">
        <f>IFERROR($AW933*$BL933,"..")</f>
        <v>278975529.68695265</v>
      </c>
      <c r="BN933" s="846">
        <f>IFERROR($BB933/$BM933,"..")</f>
        <v>0.51609111079226533</v>
      </c>
      <c r="BO933" s="801" t="str">
        <f t="shared" si="153"/>
        <v>..</v>
      </c>
      <c r="BP933" s="117">
        <f>VLOOKUP($D933,'WB Data'!$C$3:$M$578,9,FALSE)</f>
        <v>33.700000000000003</v>
      </c>
      <c r="BQ933" s="117">
        <f>VLOOKUP($D933,'WB Data'!$C$3:$M$578,10,FALSE)</f>
        <v>69.300000000000011</v>
      </c>
      <c r="BR933" s="117">
        <f>VLOOKUP($D933,'WB Data'!$C$3:$M$578,11,FALSE)</f>
        <v>26.7</v>
      </c>
      <c r="BS933" s="129">
        <f>IFERROR(VLOOKUP($D933,'WB Data 2'!$C$2:$K$545,9,FALSE),"..")</f>
        <v>95.272779999999997</v>
      </c>
      <c r="BT933" s="129" t="str">
        <f>_xlfn.IFNA(VLOOKUP($C933,RGI!$A$2:$C$43,2,FALSE),"..")</f>
        <v>..</v>
      </c>
      <c r="BU933" s="129" t="str">
        <f>_xlfn.IFNA(VLOOKUP($C933,RGI!$A$2:$C$43,3,FALSE),"..")</f>
        <v>..</v>
      </c>
      <c r="BV933" s="129">
        <f>VLOOKUP($D933,WGI!$C$2:$O$478,7,FALSE)</f>
        <v>-0.95874429933139405</v>
      </c>
      <c r="BW933" s="129">
        <f>VLOOKUP($D933,WGI!$C$2:$O$478,4,FALSE)</f>
        <v>-1.0331283700851901</v>
      </c>
      <c r="BX933" s="129">
        <f>VLOOKUP($D933,WGI!$C$2:$O$478,3,FALSE)</f>
        <v>-0.63482368678068302</v>
      </c>
      <c r="BY933" s="129">
        <f>VLOOKUP($D933,WGI!$C$2:$O$478,5,FALSE)</f>
        <v>-0.25426987328707201</v>
      </c>
      <c r="BZ933" s="129">
        <f>VLOOKUP($D933,WGI!$C$2:$O$478,2,FALSE)</f>
        <v>-1.1090655234363</v>
      </c>
      <c r="CB933" s="129"/>
    </row>
    <row r="934" spans="1:80" s="120" customFormat="1" ht="15" customHeight="1">
      <c r="A934" s="294" t="s">
        <v>294</v>
      </c>
      <c r="B934" s="117">
        <v>2010</v>
      </c>
      <c r="C934" s="117" t="s">
        <v>285</v>
      </c>
      <c r="D934" s="117" t="s">
        <v>3669</v>
      </c>
      <c r="E934" s="452" t="s">
        <v>39</v>
      </c>
      <c r="F934" s="117"/>
      <c r="G934" s="117" t="s">
        <v>561</v>
      </c>
      <c r="H934" s="117" t="str">
        <f t="shared" si="158"/>
        <v>no</v>
      </c>
      <c r="I934" s="117" t="str">
        <f t="shared" si="159"/>
        <v>yes</v>
      </c>
      <c r="J934" s="117" t="str">
        <f t="shared" si="160"/>
        <v>no</v>
      </c>
      <c r="K934" s="117" t="s">
        <v>561</v>
      </c>
      <c r="L934" s="117" t="str">
        <f t="shared" si="161"/>
        <v>detailed</v>
      </c>
      <c r="M934" s="117" t="str">
        <f t="shared" si="162"/>
        <v>detailed Gas</v>
      </c>
      <c r="N934" s="118">
        <v>22800000</v>
      </c>
      <c r="O934" s="118"/>
      <c r="P934" s="118"/>
      <c r="Q934" s="118"/>
      <c r="R934" s="118"/>
      <c r="S934" s="117" t="s">
        <v>642</v>
      </c>
      <c r="T934" s="119">
        <v>0.1741077336927683</v>
      </c>
      <c r="U934" s="117" t="s">
        <v>643</v>
      </c>
      <c r="V934" s="117" t="s">
        <v>1513</v>
      </c>
      <c r="W934" s="89">
        <f>N934*T934</f>
        <v>3969656.3281951174</v>
      </c>
      <c r="X934" s="117"/>
      <c r="Y934" s="117"/>
      <c r="Z934" s="117"/>
      <c r="AA934" s="177"/>
      <c r="AB934" s="177"/>
      <c r="AC934" s="122"/>
      <c r="AD934" s="122"/>
      <c r="AE934" s="122"/>
      <c r="AF934" s="123"/>
      <c r="AG934" s="117"/>
      <c r="AH934" s="124"/>
      <c r="AI934" s="117"/>
      <c r="AJ934" s="117"/>
      <c r="AK934" s="89"/>
      <c r="AL934" s="117"/>
      <c r="AM934" s="117"/>
      <c r="AN934" s="117"/>
      <c r="AO934" s="117"/>
      <c r="AP934" s="117"/>
      <c r="AQ934" s="117"/>
      <c r="AR934" s="126"/>
      <c r="AS934" s="117"/>
      <c r="AT934" s="117"/>
      <c r="AU934" s="117"/>
      <c r="AV934" s="128"/>
      <c r="AW934" s="117">
        <f>VLOOKUP($D934,'WB Data'!$C$3:$M$578,2,FALSE)</f>
        <v>4794357795.0713921</v>
      </c>
      <c r="AX934" s="117">
        <f>VLOOKUP($D934,'WB Data'!$C$3:$M$578,3,FALSE)</f>
        <v>5447900</v>
      </c>
      <c r="AY934" s="847">
        <f t="shared" si="154"/>
        <v>3.0030464382113573E-2</v>
      </c>
      <c r="AZ934" s="117">
        <f>VLOOKUP($D934,'WB Data'!$C$3:$M$578,4,FALSE)/100</f>
        <v>0.19422486253756763</v>
      </c>
      <c r="BA934" s="117">
        <f t="shared" si="155"/>
        <v>931183483.70365691</v>
      </c>
      <c r="BB934" s="129">
        <f>IFERROR(VLOOKUP($D934,'EITI Revenues'!$C$2:$G$224,5,FALSE),"..")</f>
        <v>143976791</v>
      </c>
      <c r="BC934" s="846">
        <f t="shared" si="156"/>
        <v>0.15461699387896324</v>
      </c>
      <c r="BD934" s="129">
        <f>VLOOKUP($D934,'WB Data 2'!$C$2:$K$545,6,FALSE)</f>
        <v>343035950.59742367</v>
      </c>
      <c r="BE934" s="129" t="str">
        <f>IFERROR(VLOOKUP($D934,UNCTAD!$C$5:$V$529,4,FALSE),"..")</f>
        <v>..</v>
      </c>
      <c r="BF934" s="846" t="str">
        <f t="shared" si="157"/>
        <v>..</v>
      </c>
      <c r="BG934" s="117">
        <f>VLOOKUP($D934,'WB Data'!$C$3:$M$578,5,FALSE)</f>
        <v>380370000</v>
      </c>
      <c r="BH934" s="129">
        <f>IFERROR($BB934/$BG934,"..")</f>
        <v>0.37851773536293609</v>
      </c>
      <c r="BI934" s="117">
        <f>IFERROR(VLOOKUP($D934,'WB Data'!$C$3:$M$578,7,FALSE)/100,"..")</f>
        <v>5.8188299999999998E-2</v>
      </c>
      <c r="BJ934" s="117">
        <f>IFERROR($BI934*$AW934,"..")</f>
        <v>278975529.68695265</v>
      </c>
      <c r="BK934" s="846">
        <f>IFERROR($BB934/$BJ934,"..")</f>
        <v>0.51609111079226533</v>
      </c>
      <c r="BL934" s="117">
        <f>IFERROR(VLOOKUP($D934,'WB Data'!$C$3:$M$578,7,FALSE)/100,"..")</f>
        <v>5.8188299999999998E-2</v>
      </c>
      <c r="BM934" s="117">
        <f>IFERROR($AW934*$BL934,"..")</f>
        <v>278975529.68695265</v>
      </c>
      <c r="BN934" s="846">
        <f>IFERROR($BB934/$BM934,"..")</f>
        <v>0.51609111079226533</v>
      </c>
      <c r="BO934" s="801" t="str">
        <f t="shared" si="153"/>
        <v>..</v>
      </c>
      <c r="BP934" s="117">
        <f>VLOOKUP($D934,'WB Data'!$C$3:$M$578,9,FALSE)</f>
        <v>33.700000000000003</v>
      </c>
      <c r="BQ934" s="117">
        <f>VLOOKUP($D934,'WB Data'!$C$3:$M$578,10,FALSE)</f>
        <v>69.300000000000011</v>
      </c>
      <c r="BR934" s="117">
        <f>VLOOKUP($D934,'WB Data'!$C$3:$M$578,11,FALSE)</f>
        <v>26.7</v>
      </c>
      <c r="BS934" s="129">
        <f>IFERROR(VLOOKUP($D934,'WB Data 2'!$C$2:$K$545,9,FALSE),"..")</f>
        <v>95.272779999999997</v>
      </c>
      <c r="BT934" s="129" t="str">
        <f>_xlfn.IFNA(VLOOKUP($C934,RGI!$A$2:$C$43,2,FALSE),"..")</f>
        <v>..</v>
      </c>
      <c r="BU934" s="129" t="str">
        <f>_xlfn.IFNA(VLOOKUP($C934,RGI!$A$2:$C$43,3,FALSE),"..")</f>
        <v>..</v>
      </c>
      <c r="BV934" s="129">
        <f>VLOOKUP($D934,WGI!$C$2:$O$478,7,FALSE)</f>
        <v>-0.95874429933139405</v>
      </c>
      <c r="BW934" s="129">
        <f>VLOOKUP($D934,WGI!$C$2:$O$478,4,FALSE)</f>
        <v>-1.0331283700851901</v>
      </c>
      <c r="BX934" s="129">
        <f>VLOOKUP($D934,WGI!$C$2:$O$478,3,FALSE)</f>
        <v>-0.63482368678068302</v>
      </c>
      <c r="BY934" s="129">
        <f>VLOOKUP($D934,WGI!$C$2:$O$478,5,FALSE)</f>
        <v>-0.25426987328707201</v>
      </c>
      <c r="BZ934" s="129">
        <f>VLOOKUP($D934,WGI!$C$2:$O$478,2,FALSE)</f>
        <v>-1.1090655234363</v>
      </c>
      <c r="CB934" s="129"/>
    </row>
    <row r="935" spans="1:80" s="120" customFormat="1" ht="15" customHeight="1">
      <c r="A935" s="294" t="s">
        <v>294</v>
      </c>
      <c r="B935" s="117">
        <v>2010</v>
      </c>
      <c r="C935" s="117" t="s">
        <v>285</v>
      </c>
      <c r="D935" s="117" t="s">
        <v>3669</v>
      </c>
      <c r="E935" s="452" t="s">
        <v>39</v>
      </c>
      <c r="F935" s="117"/>
      <c r="G935" s="117" t="s">
        <v>1514</v>
      </c>
      <c r="H935" s="117" t="str">
        <f t="shared" si="158"/>
        <v>no</v>
      </c>
      <c r="I935" s="117" t="str">
        <f t="shared" si="159"/>
        <v>no</v>
      </c>
      <c r="J935" s="117" t="str">
        <f t="shared" si="160"/>
        <v>no</v>
      </c>
      <c r="K935" s="117" t="s">
        <v>103</v>
      </c>
      <c r="L935" s="117" t="str">
        <f t="shared" si="161"/>
        <v>detailed</v>
      </c>
      <c r="M935" s="117" t="str">
        <f t="shared" si="162"/>
        <v xml:space="preserve">detailed Oil </v>
      </c>
      <c r="N935" s="118">
        <v>602000</v>
      </c>
      <c r="O935" s="118"/>
      <c r="P935" s="118"/>
      <c r="Q935" s="118"/>
      <c r="R935" s="118"/>
      <c r="S935" s="117" t="s">
        <v>646</v>
      </c>
      <c r="T935" s="119">
        <v>79.510000000000005</v>
      </c>
      <c r="U935" s="117" t="s">
        <v>673</v>
      </c>
      <c r="V935" s="117" t="s">
        <v>1515</v>
      </c>
      <c r="W935" s="89">
        <f>N935*T935</f>
        <v>47865020</v>
      </c>
      <c r="X935" s="117"/>
      <c r="Y935" s="117"/>
      <c r="Z935" s="117"/>
      <c r="AA935" s="177"/>
      <c r="AB935" s="177"/>
      <c r="AC935" s="122"/>
      <c r="AD935" s="122"/>
      <c r="AE935" s="122"/>
      <c r="AF935" s="123"/>
      <c r="AG935" s="499"/>
      <c r="AH935" s="124"/>
      <c r="AI935" s="117"/>
      <c r="AJ935" s="117"/>
      <c r="AK935" s="89"/>
      <c r="AL935" s="117"/>
      <c r="AM935" s="117"/>
      <c r="AN935" s="117"/>
      <c r="AO935" s="117"/>
      <c r="AP935" s="117"/>
      <c r="AQ935" s="117"/>
      <c r="AR935" s="126"/>
      <c r="AS935" s="117"/>
      <c r="AT935" s="117"/>
      <c r="AU935" s="117"/>
      <c r="AV935" s="128"/>
      <c r="AW935" s="117">
        <f>VLOOKUP($D935,'WB Data'!$C$3:$M$578,2,FALSE)</f>
        <v>4794357795.0713921</v>
      </c>
      <c r="AX935" s="117">
        <f>VLOOKUP($D935,'WB Data'!$C$3:$M$578,3,FALSE)</f>
        <v>5447900</v>
      </c>
      <c r="AY935" s="847">
        <f t="shared" si="154"/>
        <v>3.0030464382113573E-2</v>
      </c>
      <c r="AZ935" s="117">
        <f>VLOOKUP($D935,'WB Data'!$C$3:$M$578,4,FALSE)/100</f>
        <v>0.19422486253756763</v>
      </c>
      <c r="BA935" s="117">
        <f t="shared" si="155"/>
        <v>931183483.70365691</v>
      </c>
      <c r="BB935" s="129">
        <f>IFERROR(VLOOKUP($D935,'EITI Revenues'!$C$2:$G$224,5,FALSE),"..")</f>
        <v>143976791</v>
      </c>
      <c r="BC935" s="846">
        <f t="shared" si="156"/>
        <v>0.15461699387896324</v>
      </c>
      <c r="BD935" s="129">
        <f>VLOOKUP($D935,'WB Data 2'!$C$2:$K$545,6,FALSE)</f>
        <v>343035950.59742367</v>
      </c>
      <c r="BE935" s="129" t="str">
        <f>IFERROR(VLOOKUP($D935,UNCTAD!$C$5:$V$529,4,FALSE),"..")</f>
        <v>..</v>
      </c>
      <c r="BF935" s="846" t="str">
        <f t="shared" si="157"/>
        <v>..</v>
      </c>
      <c r="BG935" s="117">
        <f>VLOOKUP($D935,'WB Data'!$C$3:$M$578,5,FALSE)</f>
        <v>380370000</v>
      </c>
      <c r="BH935" s="129">
        <f>IFERROR($BB935/$BG935,"..")</f>
        <v>0.37851773536293609</v>
      </c>
      <c r="BI935" s="117">
        <f>IFERROR(VLOOKUP($D935,'WB Data'!$C$3:$M$578,7,FALSE)/100,"..")</f>
        <v>5.8188299999999998E-2</v>
      </c>
      <c r="BJ935" s="117">
        <f>IFERROR($BI935*$AW935,"..")</f>
        <v>278975529.68695265</v>
      </c>
      <c r="BK935" s="846">
        <f>IFERROR($BB935/$BJ935,"..")</f>
        <v>0.51609111079226533</v>
      </c>
      <c r="BL935" s="117">
        <f>IFERROR(VLOOKUP($D935,'WB Data'!$C$3:$M$578,7,FALSE)/100,"..")</f>
        <v>5.8188299999999998E-2</v>
      </c>
      <c r="BM935" s="117">
        <f>IFERROR($AW935*$BL935,"..")</f>
        <v>278975529.68695265</v>
      </c>
      <c r="BN935" s="846">
        <f>IFERROR($BB935/$BM935,"..")</f>
        <v>0.51609111079226533</v>
      </c>
      <c r="BO935" s="801" t="str">
        <f t="shared" si="153"/>
        <v>..</v>
      </c>
      <c r="BP935" s="117">
        <f>VLOOKUP($D935,'WB Data'!$C$3:$M$578,9,FALSE)</f>
        <v>33.700000000000003</v>
      </c>
      <c r="BQ935" s="117">
        <f>VLOOKUP($D935,'WB Data'!$C$3:$M$578,10,FALSE)</f>
        <v>69.300000000000011</v>
      </c>
      <c r="BR935" s="117">
        <f>VLOOKUP($D935,'WB Data'!$C$3:$M$578,11,FALSE)</f>
        <v>26.7</v>
      </c>
      <c r="BS935" s="129">
        <f>IFERROR(VLOOKUP($D935,'WB Data 2'!$C$2:$K$545,9,FALSE),"..")</f>
        <v>95.272779999999997</v>
      </c>
      <c r="BT935" s="129" t="str">
        <f>_xlfn.IFNA(VLOOKUP($C935,RGI!$A$2:$C$43,2,FALSE),"..")</f>
        <v>..</v>
      </c>
      <c r="BU935" s="129" t="str">
        <f>_xlfn.IFNA(VLOOKUP($C935,RGI!$A$2:$C$43,3,FALSE),"..")</f>
        <v>..</v>
      </c>
      <c r="BV935" s="129">
        <f>VLOOKUP($D935,WGI!$C$2:$O$478,7,FALSE)</f>
        <v>-0.95874429933139405</v>
      </c>
      <c r="BW935" s="129">
        <f>VLOOKUP($D935,WGI!$C$2:$O$478,4,FALSE)</f>
        <v>-1.0331283700851901</v>
      </c>
      <c r="BX935" s="129">
        <f>VLOOKUP($D935,WGI!$C$2:$O$478,3,FALSE)</f>
        <v>-0.63482368678068302</v>
      </c>
      <c r="BY935" s="129">
        <f>VLOOKUP($D935,WGI!$C$2:$O$478,5,FALSE)</f>
        <v>-0.25426987328707201</v>
      </c>
      <c r="BZ935" s="129">
        <f>VLOOKUP($D935,WGI!$C$2:$O$478,2,FALSE)</f>
        <v>-1.1090655234363</v>
      </c>
      <c r="CB935" s="129"/>
    </row>
    <row r="936" spans="1:80" s="120" customFormat="1" ht="15" customHeight="1">
      <c r="A936" s="294" t="s">
        <v>294</v>
      </c>
      <c r="B936" s="117">
        <v>2010</v>
      </c>
      <c r="C936" s="117" t="s">
        <v>285</v>
      </c>
      <c r="D936" s="117" t="s">
        <v>3669</v>
      </c>
      <c r="E936" s="452" t="s">
        <v>39</v>
      </c>
      <c r="F936" s="117"/>
      <c r="G936" s="117" t="s">
        <v>24</v>
      </c>
      <c r="H936" s="117" t="str">
        <f t="shared" si="158"/>
        <v>yes</v>
      </c>
      <c r="I936" s="117" t="str">
        <f t="shared" si="159"/>
        <v>no</v>
      </c>
      <c r="J936" s="117" t="str">
        <f t="shared" si="160"/>
        <v>no</v>
      </c>
      <c r="K936" s="117" t="s">
        <v>600</v>
      </c>
      <c r="L936" s="117" t="str">
        <f t="shared" si="161"/>
        <v>Total</v>
      </c>
      <c r="M936" s="117" t="str">
        <f t="shared" si="162"/>
        <v>Total Mining</v>
      </c>
      <c r="N936" s="118"/>
      <c r="O936" s="118"/>
      <c r="P936" s="118"/>
      <c r="Q936" s="118"/>
      <c r="R936" s="118"/>
      <c r="S936" s="117"/>
      <c r="T936" s="119"/>
      <c r="U936" s="117"/>
      <c r="V936" s="117"/>
      <c r="W936" s="89">
        <f>SUM(W937:W951)-SUM(W939:W942)-SUM(W945:W951)-SUM(W943:W943)</f>
        <v>137158247.34162331</v>
      </c>
      <c r="X936" s="117"/>
      <c r="Y936" s="117"/>
      <c r="Z936" s="117"/>
      <c r="AA936" s="177">
        <f>SUM(AA937:AA951)</f>
        <v>135289779.07999998</v>
      </c>
      <c r="AB936" s="177">
        <f>SUM(AB937:AB951)</f>
        <v>133442574.36</v>
      </c>
      <c r="AC936" s="122"/>
      <c r="AD936" s="122"/>
      <c r="AE936" s="122"/>
      <c r="AF936" s="123">
        <f>AA936/W936</f>
        <v>0.98637728100323796</v>
      </c>
      <c r="AG936" s="117"/>
      <c r="AH936" s="124"/>
      <c r="AI936" s="117"/>
      <c r="AJ936" s="117"/>
      <c r="AK936" s="89"/>
      <c r="AL936" s="117"/>
      <c r="AM936" s="117"/>
      <c r="AN936" s="117">
        <v>44</v>
      </c>
      <c r="AO936" s="117" t="s">
        <v>1553</v>
      </c>
      <c r="AP936" s="117">
        <v>41</v>
      </c>
      <c r="AQ936" s="117"/>
      <c r="AR936" s="126"/>
      <c r="AS936" s="117"/>
      <c r="AT936" s="117"/>
      <c r="AU936" s="117" t="s">
        <v>1554</v>
      </c>
      <c r="AV936" s="128"/>
      <c r="AW936" s="117">
        <f>VLOOKUP($D936,'WB Data'!$C$3:$M$578,2,FALSE)</f>
        <v>4794357795.0713921</v>
      </c>
      <c r="AX936" s="117">
        <f>VLOOKUP($D936,'WB Data'!$C$3:$M$578,3,FALSE)</f>
        <v>5447900</v>
      </c>
      <c r="AY936" s="847">
        <f t="shared" si="154"/>
        <v>3.0030464382113573E-2</v>
      </c>
      <c r="AZ936" s="117">
        <f>VLOOKUP($D936,'WB Data'!$C$3:$M$578,4,FALSE)/100</f>
        <v>0.19422486253756763</v>
      </c>
      <c r="BA936" s="117">
        <f t="shared" si="155"/>
        <v>931183483.70365691</v>
      </c>
      <c r="BB936" s="129">
        <f>IFERROR(VLOOKUP($D936,'EITI Revenues'!$C$2:$G$224,5,FALSE),"..")</f>
        <v>143976791</v>
      </c>
      <c r="BC936" s="846">
        <f t="shared" si="156"/>
        <v>0.15461699387896324</v>
      </c>
      <c r="BD936" s="129">
        <f>VLOOKUP($D936,'WB Data 2'!$C$2:$K$545,6,FALSE)</f>
        <v>343035950.59742367</v>
      </c>
      <c r="BE936" s="129" t="str">
        <f>IFERROR(VLOOKUP($D936,UNCTAD!$C$5:$V$529,4,FALSE),"..")</f>
        <v>..</v>
      </c>
      <c r="BF936" s="846" t="str">
        <f t="shared" si="157"/>
        <v>..</v>
      </c>
      <c r="BG936" s="117">
        <f>VLOOKUP($D936,'WB Data'!$C$3:$M$578,5,FALSE)</f>
        <v>380370000</v>
      </c>
      <c r="BH936" s="129">
        <f>IFERROR($BB936/$BG936,"..")</f>
        <v>0.37851773536293609</v>
      </c>
      <c r="BI936" s="117">
        <f>IFERROR(VLOOKUP($D936,'WB Data'!$C$3:$M$578,7,FALSE)/100,"..")</f>
        <v>5.8188299999999998E-2</v>
      </c>
      <c r="BJ936" s="117">
        <f>IFERROR($BI936*$AW936,"..")</f>
        <v>278975529.68695265</v>
      </c>
      <c r="BK936" s="846">
        <f>IFERROR($BB936/$BJ936,"..")</f>
        <v>0.51609111079226533</v>
      </c>
      <c r="BL936" s="117">
        <f>IFERROR(VLOOKUP($D936,'WB Data'!$C$3:$M$578,7,FALSE)/100,"..")</f>
        <v>5.8188299999999998E-2</v>
      </c>
      <c r="BM936" s="117">
        <f>IFERROR($AW936*$BL936,"..")</f>
        <v>278975529.68695265</v>
      </c>
      <c r="BN936" s="846">
        <f>IFERROR($BB936/$BM936,"..")</f>
        <v>0.51609111079226533</v>
      </c>
      <c r="BO936" s="801" t="str">
        <f t="shared" si="153"/>
        <v>..</v>
      </c>
      <c r="BP936" s="117">
        <f>VLOOKUP($D936,'WB Data'!$C$3:$M$578,9,FALSE)</f>
        <v>33.700000000000003</v>
      </c>
      <c r="BQ936" s="117">
        <f>VLOOKUP($D936,'WB Data'!$C$3:$M$578,10,FALSE)</f>
        <v>69.300000000000011</v>
      </c>
      <c r="BR936" s="117">
        <f>VLOOKUP($D936,'WB Data'!$C$3:$M$578,11,FALSE)</f>
        <v>26.7</v>
      </c>
      <c r="BS936" s="129">
        <f>IFERROR(VLOOKUP($D936,'WB Data 2'!$C$2:$K$545,9,FALSE),"..")</f>
        <v>95.272779999999997</v>
      </c>
      <c r="BT936" s="129" t="str">
        <f>_xlfn.IFNA(VLOOKUP($C936,RGI!$A$2:$C$43,2,FALSE),"..")</f>
        <v>..</v>
      </c>
      <c r="BU936" s="129" t="str">
        <f>_xlfn.IFNA(VLOOKUP($C936,RGI!$A$2:$C$43,3,FALSE),"..")</f>
        <v>..</v>
      </c>
      <c r="BV936" s="129">
        <f>VLOOKUP($D936,WGI!$C$2:$O$478,7,FALSE)</f>
        <v>-0.95874429933139405</v>
      </c>
      <c r="BW936" s="129">
        <f>VLOOKUP($D936,WGI!$C$2:$O$478,4,FALSE)</f>
        <v>-1.0331283700851901</v>
      </c>
      <c r="BX936" s="129">
        <f>VLOOKUP($D936,WGI!$C$2:$O$478,3,FALSE)</f>
        <v>-0.63482368678068302</v>
      </c>
      <c r="BY936" s="129">
        <f>VLOOKUP($D936,WGI!$C$2:$O$478,5,FALSE)</f>
        <v>-0.25426987328707201</v>
      </c>
      <c r="BZ936" s="129">
        <f>VLOOKUP($D936,WGI!$C$2:$O$478,2,FALSE)</f>
        <v>-1.1090655234363</v>
      </c>
      <c r="CB936" s="129"/>
    </row>
    <row r="937" spans="1:80" s="120" customFormat="1" ht="15" customHeight="1">
      <c r="A937" s="294" t="s">
        <v>294</v>
      </c>
      <c r="B937" s="117">
        <v>2010</v>
      </c>
      <c r="C937" s="117" t="s">
        <v>285</v>
      </c>
      <c r="D937" s="117" t="s">
        <v>3669</v>
      </c>
      <c r="E937" s="452" t="s">
        <v>39</v>
      </c>
      <c r="F937" s="117"/>
      <c r="G937" s="117" t="s">
        <v>24</v>
      </c>
      <c r="H937" s="117" t="str">
        <f t="shared" si="158"/>
        <v>yes</v>
      </c>
      <c r="I937" s="117" t="str">
        <f t="shared" si="159"/>
        <v>no</v>
      </c>
      <c r="J937" s="117" t="str">
        <f t="shared" si="160"/>
        <v>no</v>
      </c>
      <c r="K937" s="117" t="s">
        <v>616</v>
      </c>
      <c r="L937" s="117" t="str">
        <f t="shared" si="161"/>
        <v>detailed</v>
      </c>
      <c r="M937" s="117" t="str">
        <f t="shared" si="162"/>
        <v>detailed Mining</v>
      </c>
      <c r="N937" s="118">
        <v>575000</v>
      </c>
      <c r="O937" s="118"/>
      <c r="P937" s="118"/>
      <c r="Q937" s="118"/>
      <c r="R937" s="118"/>
      <c r="S937" s="117" t="s">
        <v>610</v>
      </c>
      <c r="T937" s="119">
        <v>89.852021850427363</v>
      </c>
      <c r="U937" s="117" t="s">
        <v>611</v>
      </c>
      <c r="V937" s="117" t="s">
        <v>1108</v>
      </c>
      <c r="W937" s="89">
        <f>N937*T937</f>
        <v>51664912.563995734</v>
      </c>
      <c r="X937" s="117"/>
      <c r="Y937" s="117"/>
      <c r="Z937" s="117"/>
      <c r="AA937" s="177">
        <v>985674</v>
      </c>
      <c r="AB937" s="177">
        <v>773590</v>
      </c>
      <c r="AC937" s="122"/>
      <c r="AD937" s="122"/>
      <c r="AE937" s="122"/>
      <c r="AF937" s="123">
        <f>AA937/W937</f>
        <v>1.907820900265874E-2</v>
      </c>
      <c r="AG937" s="117"/>
      <c r="AH937" s="124"/>
      <c r="AI937" s="117"/>
      <c r="AJ937" s="117"/>
      <c r="AK937" s="89"/>
      <c r="AL937" s="117"/>
      <c r="AM937" s="117"/>
      <c r="AN937" s="117">
        <v>10</v>
      </c>
      <c r="AO937" s="117" t="s">
        <v>1555</v>
      </c>
      <c r="AP937" s="117">
        <v>8</v>
      </c>
      <c r="AQ937" s="117"/>
      <c r="AR937" s="126"/>
      <c r="AS937" s="117"/>
      <c r="AT937" s="117"/>
      <c r="AU937" s="117">
        <v>14</v>
      </c>
      <c r="AV937" s="128"/>
      <c r="AW937" s="117">
        <f>VLOOKUP($D937,'WB Data'!$C$3:$M$578,2,FALSE)</f>
        <v>4794357795.0713921</v>
      </c>
      <c r="AX937" s="117">
        <f>VLOOKUP($D937,'WB Data'!$C$3:$M$578,3,FALSE)</f>
        <v>5447900</v>
      </c>
      <c r="AY937" s="847">
        <f t="shared" si="154"/>
        <v>3.0030464382113573E-2</v>
      </c>
      <c r="AZ937" s="117">
        <f>VLOOKUP($D937,'WB Data'!$C$3:$M$578,4,FALSE)/100</f>
        <v>0.19422486253756763</v>
      </c>
      <c r="BA937" s="117">
        <f t="shared" si="155"/>
        <v>931183483.70365691</v>
      </c>
      <c r="BB937" s="129">
        <f>IFERROR(VLOOKUP($D937,'EITI Revenues'!$C$2:$G$224,5,FALSE),"..")</f>
        <v>143976791</v>
      </c>
      <c r="BC937" s="846">
        <f t="shared" si="156"/>
        <v>0.15461699387896324</v>
      </c>
      <c r="BD937" s="129">
        <f>VLOOKUP($D937,'WB Data 2'!$C$2:$K$545,6,FALSE)</f>
        <v>343035950.59742367</v>
      </c>
      <c r="BE937" s="129" t="str">
        <f>IFERROR(VLOOKUP($D937,UNCTAD!$C$5:$V$529,4,FALSE),"..")</f>
        <v>..</v>
      </c>
      <c r="BF937" s="846" t="str">
        <f t="shared" si="157"/>
        <v>..</v>
      </c>
      <c r="BG937" s="117">
        <f>VLOOKUP($D937,'WB Data'!$C$3:$M$578,5,FALSE)</f>
        <v>380370000</v>
      </c>
      <c r="BH937" s="129">
        <f>IFERROR($BB937/$BG937,"..")</f>
        <v>0.37851773536293609</v>
      </c>
      <c r="BI937" s="117">
        <f>IFERROR(VLOOKUP($D937,'WB Data'!$C$3:$M$578,7,FALSE)/100,"..")</f>
        <v>5.8188299999999998E-2</v>
      </c>
      <c r="BJ937" s="117">
        <f>IFERROR($BI937*$AW937,"..")</f>
        <v>278975529.68695265</v>
      </c>
      <c r="BK937" s="846">
        <f>IFERROR($BB937/$BJ937,"..")</f>
        <v>0.51609111079226533</v>
      </c>
      <c r="BL937" s="117">
        <f>IFERROR(VLOOKUP($D937,'WB Data'!$C$3:$M$578,7,FALSE)/100,"..")</f>
        <v>5.8188299999999998E-2</v>
      </c>
      <c r="BM937" s="117">
        <f>IFERROR($AW937*$BL937,"..")</f>
        <v>278975529.68695265</v>
      </c>
      <c r="BN937" s="846">
        <f>IFERROR($BB937/$BM937,"..")</f>
        <v>0.51609111079226533</v>
      </c>
      <c r="BO937" s="801" t="str">
        <f t="shared" si="153"/>
        <v>..</v>
      </c>
      <c r="BP937" s="117">
        <f>VLOOKUP($D937,'WB Data'!$C$3:$M$578,9,FALSE)</f>
        <v>33.700000000000003</v>
      </c>
      <c r="BQ937" s="117">
        <f>VLOOKUP($D937,'WB Data'!$C$3:$M$578,10,FALSE)</f>
        <v>69.300000000000011</v>
      </c>
      <c r="BR937" s="117">
        <f>VLOOKUP($D937,'WB Data'!$C$3:$M$578,11,FALSE)</f>
        <v>26.7</v>
      </c>
      <c r="BS937" s="129">
        <f>IFERROR(VLOOKUP($D937,'WB Data 2'!$C$2:$K$545,9,FALSE),"..")</f>
        <v>95.272779999999997</v>
      </c>
      <c r="BT937" s="129" t="str">
        <f>_xlfn.IFNA(VLOOKUP($C937,RGI!$A$2:$C$43,2,FALSE),"..")</f>
        <v>..</v>
      </c>
      <c r="BU937" s="129" t="str">
        <f>_xlfn.IFNA(VLOOKUP($C937,RGI!$A$2:$C$43,3,FALSE),"..")</f>
        <v>..</v>
      </c>
      <c r="BV937" s="129">
        <f>VLOOKUP($D937,WGI!$C$2:$O$478,7,FALSE)</f>
        <v>-0.95874429933139405</v>
      </c>
      <c r="BW937" s="129">
        <f>VLOOKUP($D937,WGI!$C$2:$O$478,4,FALSE)</f>
        <v>-1.0331283700851901</v>
      </c>
      <c r="BX937" s="129">
        <f>VLOOKUP($D937,WGI!$C$2:$O$478,3,FALSE)</f>
        <v>-0.63482368678068302</v>
      </c>
      <c r="BY937" s="129">
        <f>VLOOKUP($D937,WGI!$C$2:$O$478,5,FALSE)</f>
        <v>-0.25426987328707201</v>
      </c>
      <c r="BZ937" s="129">
        <f>VLOOKUP($D937,WGI!$C$2:$O$478,2,FALSE)</f>
        <v>-1.1090655234363</v>
      </c>
      <c r="CB937" s="129"/>
    </row>
    <row r="938" spans="1:80" s="120" customFormat="1" ht="15" customHeight="1">
      <c r="A938" s="294" t="s">
        <v>294</v>
      </c>
      <c r="B938" s="117">
        <v>2010</v>
      </c>
      <c r="C938" s="117" t="s">
        <v>285</v>
      </c>
      <c r="D938" s="117" t="s">
        <v>3669</v>
      </c>
      <c r="E938" s="452" t="s">
        <v>39</v>
      </c>
      <c r="F938" s="117"/>
      <c r="G938" s="117" t="s">
        <v>24</v>
      </c>
      <c r="H938" s="117" t="str">
        <f t="shared" si="158"/>
        <v>yes</v>
      </c>
      <c r="I938" s="117" t="str">
        <f t="shared" si="159"/>
        <v>no</v>
      </c>
      <c r="J938" s="117" t="str">
        <f t="shared" si="160"/>
        <v>no</v>
      </c>
      <c r="K938" s="117" t="s">
        <v>1518</v>
      </c>
      <c r="L938" s="117" t="str">
        <f t="shared" si="161"/>
        <v>detailed</v>
      </c>
      <c r="M938" s="117" t="str">
        <f t="shared" si="162"/>
        <v>detailed Mining</v>
      </c>
      <c r="N938" s="118"/>
      <c r="O938" s="118"/>
      <c r="P938" s="118"/>
      <c r="Q938" s="118"/>
      <c r="R938" s="118"/>
      <c r="S938" s="117"/>
      <c r="T938" s="119"/>
      <c r="U938" s="117"/>
      <c r="V938" s="117"/>
      <c r="W938" s="89">
        <f>SUM(W939:W942)</f>
        <v>80849233.299999997</v>
      </c>
      <c r="X938" s="117"/>
      <c r="Y938" s="117"/>
      <c r="Z938" s="117"/>
      <c r="AA938" s="177">
        <v>6615219</v>
      </c>
      <c r="AB938" s="177">
        <v>6569998</v>
      </c>
      <c r="AC938" s="122"/>
      <c r="AD938" s="122"/>
      <c r="AE938" s="122"/>
      <c r="AF938" s="123">
        <f>AA938/W938</f>
        <v>8.182166645233975E-2</v>
      </c>
      <c r="AG938" s="117"/>
      <c r="AH938" s="124"/>
      <c r="AI938" s="117"/>
      <c r="AJ938" s="117"/>
      <c r="AK938" s="89"/>
      <c r="AL938" s="117"/>
      <c r="AM938" s="117"/>
      <c r="AN938" s="117">
        <v>12</v>
      </c>
      <c r="AO938" s="117" t="s">
        <v>1556</v>
      </c>
      <c r="AP938" s="117">
        <v>5</v>
      </c>
      <c r="AQ938" s="117"/>
      <c r="AR938" s="126"/>
      <c r="AS938" s="117"/>
      <c r="AT938" s="117"/>
      <c r="AU938" s="117" t="s">
        <v>693</v>
      </c>
      <c r="AV938" s="128"/>
      <c r="AW938" s="117">
        <f>VLOOKUP($D938,'WB Data'!$C$3:$M$578,2,FALSE)</f>
        <v>4794357795.0713921</v>
      </c>
      <c r="AX938" s="117">
        <f>VLOOKUP($D938,'WB Data'!$C$3:$M$578,3,FALSE)</f>
        <v>5447900</v>
      </c>
      <c r="AY938" s="847">
        <f t="shared" si="154"/>
        <v>3.0030464382113573E-2</v>
      </c>
      <c r="AZ938" s="117">
        <f>VLOOKUP($D938,'WB Data'!$C$3:$M$578,4,FALSE)/100</f>
        <v>0.19422486253756763</v>
      </c>
      <c r="BA938" s="117">
        <f t="shared" si="155"/>
        <v>931183483.70365691</v>
      </c>
      <c r="BB938" s="129">
        <f>IFERROR(VLOOKUP($D938,'EITI Revenues'!$C$2:$G$224,5,FALSE),"..")</f>
        <v>143976791</v>
      </c>
      <c r="BC938" s="846">
        <f t="shared" si="156"/>
        <v>0.15461699387896324</v>
      </c>
      <c r="BD938" s="129">
        <f>VLOOKUP($D938,'WB Data 2'!$C$2:$K$545,6,FALSE)</f>
        <v>343035950.59742367</v>
      </c>
      <c r="BE938" s="129" t="str">
        <f>IFERROR(VLOOKUP($D938,UNCTAD!$C$5:$V$529,4,FALSE),"..")</f>
        <v>..</v>
      </c>
      <c r="BF938" s="846" t="str">
        <f t="shared" si="157"/>
        <v>..</v>
      </c>
      <c r="BG938" s="117">
        <f>VLOOKUP($D938,'WB Data'!$C$3:$M$578,5,FALSE)</f>
        <v>380370000</v>
      </c>
      <c r="BH938" s="129">
        <f>IFERROR($BB938/$BG938,"..")</f>
        <v>0.37851773536293609</v>
      </c>
      <c r="BI938" s="117">
        <f>IFERROR(VLOOKUP($D938,'WB Data'!$C$3:$M$578,7,FALSE)/100,"..")</f>
        <v>5.8188299999999998E-2</v>
      </c>
      <c r="BJ938" s="117">
        <f>IFERROR($BI938*$AW938,"..")</f>
        <v>278975529.68695265</v>
      </c>
      <c r="BK938" s="846">
        <f>IFERROR($BB938/$BJ938,"..")</f>
        <v>0.51609111079226533</v>
      </c>
      <c r="BL938" s="117">
        <f>IFERROR(VLOOKUP($D938,'WB Data'!$C$3:$M$578,7,FALSE)/100,"..")</f>
        <v>5.8188299999999998E-2</v>
      </c>
      <c r="BM938" s="117">
        <f>IFERROR($AW938*$BL938,"..")</f>
        <v>278975529.68695265</v>
      </c>
      <c r="BN938" s="846">
        <f>IFERROR($BB938/$BM938,"..")</f>
        <v>0.51609111079226533</v>
      </c>
      <c r="BO938" s="801" t="str">
        <f t="shared" si="153"/>
        <v>..</v>
      </c>
      <c r="BP938" s="117">
        <f>VLOOKUP($D938,'WB Data'!$C$3:$M$578,9,FALSE)</f>
        <v>33.700000000000003</v>
      </c>
      <c r="BQ938" s="117">
        <f>VLOOKUP($D938,'WB Data'!$C$3:$M$578,10,FALSE)</f>
        <v>69.300000000000011</v>
      </c>
      <c r="BR938" s="117">
        <f>VLOOKUP($D938,'WB Data'!$C$3:$M$578,11,FALSE)</f>
        <v>26.7</v>
      </c>
      <c r="BS938" s="129">
        <f>IFERROR(VLOOKUP($D938,'WB Data 2'!$C$2:$K$545,9,FALSE),"..")</f>
        <v>95.272779999999997</v>
      </c>
      <c r="BT938" s="129" t="str">
        <f>_xlfn.IFNA(VLOOKUP($C938,RGI!$A$2:$C$43,2,FALSE),"..")</f>
        <v>..</v>
      </c>
      <c r="BU938" s="129" t="str">
        <f>_xlfn.IFNA(VLOOKUP($C938,RGI!$A$2:$C$43,3,FALSE),"..")</f>
        <v>..</v>
      </c>
      <c r="BV938" s="129">
        <f>VLOOKUP($D938,WGI!$C$2:$O$478,7,FALSE)</f>
        <v>-0.95874429933139405</v>
      </c>
      <c r="BW938" s="129">
        <f>VLOOKUP($D938,WGI!$C$2:$O$478,4,FALSE)</f>
        <v>-1.0331283700851901</v>
      </c>
      <c r="BX938" s="129">
        <f>VLOOKUP($D938,WGI!$C$2:$O$478,3,FALSE)</f>
        <v>-0.63482368678068302</v>
      </c>
      <c r="BY938" s="129">
        <f>VLOOKUP($D938,WGI!$C$2:$O$478,5,FALSE)</f>
        <v>-0.25426987328707201</v>
      </c>
      <c r="BZ938" s="129">
        <f>VLOOKUP($D938,WGI!$C$2:$O$478,2,FALSE)</f>
        <v>-1.1090655234363</v>
      </c>
      <c r="CB938" s="129"/>
    </row>
    <row r="939" spans="1:80" s="120" customFormat="1" ht="15" customHeight="1">
      <c r="A939" s="294" t="s">
        <v>294</v>
      </c>
      <c r="B939" s="117">
        <v>2010</v>
      </c>
      <c r="C939" s="117" t="s">
        <v>285</v>
      </c>
      <c r="D939" s="117" t="s">
        <v>3669</v>
      </c>
      <c r="E939" s="452" t="s">
        <v>39</v>
      </c>
      <c r="F939" s="117"/>
      <c r="G939" s="117" t="s">
        <v>24</v>
      </c>
      <c r="H939" s="117" t="str">
        <f t="shared" si="158"/>
        <v>yes</v>
      </c>
      <c r="I939" s="117" t="str">
        <f t="shared" si="159"/>
        <v>no</v>
      </c>
      <c r="J939" s="117" t="str">
        <f t="shared" si="160"/>
        <v>no</v>
      </c>
      <c r="K939" s="117" t="s">
        <v>1520</v>
      </c>
      <c r="L939" s="117" t="str">
        <f t="shared" si="161"/>
        <v>detailed</v>
      </c>
      <c r="M939" s="117" t="str">
        <f t="shared" si="162"/>
        <v>detailed Mining</v>
      </c>
      <c r="N939" s="118">
        <v>759700</v>
      </c>
      <c r="O939" s="118"/>
      <c r="P939" s="118"/>
      <c r="Q939" s="118"/>
      <c r="R939" s="118"/>
      <c r="S939" s="117" t="s">
        <v>610</v>
      </c>
      <c r="T939" s="119">
        <v>92</v>
      </c>
      <c r="U939" s="117" t="s">
        <v>611</v>
      </c>
      <c r="V939" s="117" t="s">
        <v>1217</v>
      </c>
      <c r="W939" s="89">
        <f>N939*T939</f>
        <v>69892400</v>
      </c>
      <c r="X939" s="117"/>
      <c r="Y939" s="117"/>
      <c r="Z939" s="117"/>
      <c r="AA939" s="177"/>
      <c r="AB939" s="177"/>
      <c r="AC939" s="122"/>
      <c r="AD939" s="122"/>
      <c r="AE939" s="122"/>
      <c r="AF939" s="123"/>
      <c r="AG939" s="117"/>
      <c r="AH939" s="124"/>
      <c r="AI939" s="117"/>
      <c r="AJ939" s="117"/>
      <c r="AK939" s="89"/>
      <c r="AL939" s="117"/>
      <c r="AM939" s="117"/>
      <c r="AN939" s="117"/>
      <c r="AO939" s="117"/>
      <c r="AP939" s="117"/>
      <c r="AQ939" s="117"/>
      <c r="AR939" s="126"/>
      <c r="AS939" s="117"/>
      <c r="AT939" s="117"/>
      <c r="AU939" s="117"/>
      <c r="AV939" s="128"/>
      <c r="AW939" s="117">
        <f>VLOOKUP($D939,'WB Data'!$C$3:$M$578,2,FALSE)</f>
        <v>4794357795.0713921</v>
      </c>
      <c r="AX939" s="117">
        <f>VLOOKUP($D939,'WB Data'!$C$3:$M$578,3,FALSE)</f>
        <v>5447900</v>
      </c>
      <c r="AY939" s="847">
        <f t="shared" si="154"/>
        <v>3.0030464382113573E-2</v>
      </c>
      <c r="AZ939" s="117">
        <f>VLOOKUP($D939,'WB Data'!$C$3:$M$578,4,FALSE)/100</f>
        <v>0.19422486253756763</v>
      </c>
      <c r="BA939" s="117">
        <f t="shared" si="155"/>
        <v>931183483.70365691</v>
      </c>
      <c r="BB939" s="129">
        <f>IFERROR(VLOOKUP($D939,'EITI Revenues'!$C$2:$G$224,5,FALSE),"..")</f>
        <v>143976791</v>
      </c>
      <c r="BC939" s="846">
        <f t="shared" si="156"/>
        <v>0.15461699387896324</v>
      </c>
      <c r="BD939" s="129">
        <f>VLOOKUP($D939,'WB Data 2'!$C$2:$K$545,6,FALSE)</f>
        <v>343035950.59742367</v>
      </c>
      <c r="BE939" s="129" t="str">
        <f>IFERROR(VLOOKUP($D939,UNCTAD!$C$5:$V$529,4,FALSE),"..")</f>
        <v>..</v>
      </c>
      <c r="BF939" s="846" t="str">
        <f t="shared" si="157"/>
        <v>..</v>
      </c>
      <c r="BG939" s="117">
        <f>VLOOKUP($D939,'WB Data'!$C$3:$M$578,5,FALSE)</f>
        <v>380370000</v>
      </c>
      <c r="BH939" s="129">
        <f>IFERROR($BB939/$BG939,"..")</f>
        <v>0.37851773536293609</v>
      </c>
      <c r="BI939" s="117">
        <f>IFERROR(VLOOKUP($D939,'WB Data'!$C$3:$M$578,7,FALSE)/100,"..")</f>
        <v>5.8188299999999998E-2</v>
      </c>
      <c r="BJ939" s="117">
        <f>IFERROR($BI939*$AW939,"..")</f>
        <v>278975529.68695265</v>
      </c>
      <c r="BK939" s="846">
        <f>IFERROR($BB939/$BJ939,"..")</f>
        <v>0.51609111079226533</v>
      </c>
      <c r="BL939" s="117">
        <f>IFERROR(VLOOKUP($D939,'WB Data'!$C$3:$M$578,7,FALSE)/100,"..")</f>
        <v>5.8188299999999998E-2</v>
      </c>
      <c r="BM939" s="117">
        <f>IFERROR($AW939*$BL939,"..")</f>
        <v>278975529.68695265</v>
      </c>
      <c r="BN939" s="846">
        <f>IFERROR($BB939/$BM939,"..")</f>
        <v>0.51609111079226533</v>
      </c>
      <c r="BO939" s="801" t="str">
        <f t="shared" si="153"/>
        <v>..</v>
      </c>
      <c r="BP939" s="117">
        <f>VLOOKUP($D939,'WB Data'!$C$3:$M$578,9,FALSE)</f>
        <v>33.700000000000003</v>
      </c>
      <c r="BQ939" s="117">
        <f>VLOOKUP($D939,'WB Data'!$C$3:$M$578,10,FALSE)</f>
        <v>69.300000000000011</v>
      </c>
      <c r="BR939" s="117">
        <f>VLOOKUP($D939,'WB Data'!$C$3:$M$578,11,FALSE)</f>
        <v>26.7</v>
      </c>
      <c r="BS939" s="129">
        <f>IFERROR(VLOOKUP($D939,'WB Data 2'!$C$2:$K$545,9,FALSE),"..")</f>
        <v>95.272779999999997</v>
      </c>
      <c r="BT939" s="129" t="str">
        <f>_xlfn.IFNA(VLOOKUP($C939,RGI!$A$2:$C$43,2,FALSE),"..")</f>
        <v>..</v>
      </c>
      <c r="BU939" s="129" t="str">
        <f>_xlfn.IFNA(VLOOKUP($C939,RGI!$A$2:$C$43,3,FALSE),"..")</f>
        <v>..</v>
      </c>
      <c r="BV939" s="129">
        <f>VLOOKUP($D939,WGI!$C$2:$O$478,7,FALSE)</f>
        <v>-0.95874429933139405</v>
      </c>
      <c r="BW939" s="129">
        <f>VLOOKUP($D939,WGI!$C$2:$O$478,4,FALSE)</f>
        <v>-1.0331283700851901</v>
      </c>
      <c r="BX939" s="129">
        <f>VLOOKUP($D939,WGI!$C$2:$O$478,3,FALSE)</f>
        <v>-0.63482368678068302</v>
      </c>
      <c r="BY939" s="129">
        <f>VLOOKUP($D939,WGI!$C$2:$O$478,5,FALSE)</f>
        <v>-0.25426987328707201</v>
      </c>
      <c r="BZ939" s="129">
        <f>VLOOKUP($D939,WGI!$C$2:$O$478,2,FALSE)</f>
        <v>-1.1090655234363</v>
      </c>
      <c r="CB939" s="129"/>
    </row>
    <row r="940" spans="1:80" s="120" customFormat="1" ht="15" customHeight="1">
      <c r="A940" s="294" t="s">
        <v>294</v>
      </c>
      <c r="B940" s="117">
        <v>2010</v>
      </c>
      <c r="C940" s="117" t="s">
        <v>285</v>
      </c>
      <c r="D940" s="117" t="s">
        <v>3669</v>
      </c>
      <c r="E940" s="452" t="s">
        <v>39</v>
      </c>
      <c r="F940" s="117"/>
      <c r="G940" s="117" t="s">
        <v>24</v>
      </c>
      <c r="H940" s="117" t="str">
        <f t="shared" si="158"/>
        <v>yes</v>
      </c>
      <c r="I940" s="117" t="str">
        <f t="shared" si="159"/>
        <v>no</v>
      </c>
      <c r="J940" s="117" t="str">
        <f t="shared" si="160"/>
        <v>no</v>
      </c>
      <c r="K940" s="117" t="s">
        <v>1523</v>
      </c>
      <c r="L940" s="117" t="str">
        <f t="shared" si="161"/>
        <v>detailed</v>
      </c>
      <c r="M940" s="117" t="str">
        <f t="shared" si="162"/>
        <v>detailed Mining</v>
      </c>
      <c r="N940" s="118">
        <v>51</v>
      </c>
      <c r="O940" s="118"/>
      <c r="P940" s="118"/>
      <c r="Q940" s="118"/>
      <c r="R940" s="118"/>
      <c r="S940" s="117" t="s">
        <v>610</v>
      </c>
      <c r="T940" s="119">
        <v>18.3</v>
      </c>
      <c r="U940" s="117" t="s">
        <v>611</v>
      </c>
      <c r="V940" s="117" t="s">
        <v>1227</v>
      </c>
      <c r="W940" s="89">
        <f>N940*T940</f>
        <v>933.30000000000007</v>
      </c>
      <c r="X940" s="117"/>
      <c r="Y940" s="117"/>
      <c r="Z940" s="117"/>
      <c r="AA940" s="177"/>
      <c r="AB940" s="177"/>
      <c r="AC940" s="122"/>
      <c r="AD940" s="122"/>
      <c r="AE940" s="122"/>
      <c r="AF940" s="123"/>
      <c r="AG940" s="117"/>
      <c r="AH940" s="124"/>
      <c r="AI940" s="117"/>
      <c r="AJ940" s="117"/>
      <c r="AK940" s="89"/>
      <c r="AL940" s="117"/>
      <c r="AM940" s="117"/>
      <c r="AN940" s="117"/>
      <c r="AO940" s="117"/>
      <c r="AP940" s="117"/>
      <c r="AQ940" s="117"/>
      <c r="AR940" s="126"/>
      <c r="AS940" s="117"/>
      <c r="AT940" s="117"/>
      <c r="AU940" s="117"/>
      <c r="AV940" s="128"/>
      <c r="AW940" s="117">
        <f>VLOOKUP($D940,'WB Data'!$C$3:$M$578,2,FALSE)</f>
        <v>4794357795.0713921</v>
      </c>
      <c r="AX940" s="117">
        <f>VLOOKUP($D940,'WB Data'!$C$3:$M$578,3,FALSE)</f>
        <v>5447900</v>
      </c>
      <c r="AY940" s="847">
        <f t="shared" si="154"/>
        <v>3.0030464382113573E-2</v>
      </c>
      <c r="AZ940" s="117">
        <f>VLOOKUP($D940,'WB Data'!$C$3:$M$578,4,FALSE)/100</f>
        <v>0.19422486253756763</v>
      </c>
      <c r="BA940" s="117">
        <f t="shared" si="155"/>
        <v>931183483.70365691</v>
      </c>
      <c r="BB940" s="129">
        <f>IFERROR(VLOOKUP($D940,'EITI Revenues'!$C$2:$G$224,5,FALSE),"..")</f>
        <v>143976791</v>
      </c>
      <c r="BC940" s="846">
        <f t="shared" si="156"/>
        <v>0.15461699387896324</v>
      </c>
      <c r="BD940" s="129">
        <f>VLOOKUP($D940,'WB Data 2'!$C$2:$K$545,6,FALSE)</f>
        <v>343035950.59742367</v>
      </c>
      <c r="BE940" s="129" t="str">
        <f>IFERROR(VLOOKUP($D940,UNCTAD!$C$5:$V$529,4,FALSE),"..")</f>
        <v>..</v>
      </c>
      <c r="BF940" s="846" t="str">
        <f t="shared" si="157"/>
        <v>..</v>
      </c>
      <c r="BG940" s="117">
        <f>VLOOKUP($D940,'WB Data'!$C$3:$M$578,5,FALSE)</f>
        <v>380370000</v>
      </c>
      <c r="BH940" s="129">
        <f>IFERROR($BB940/$BG940,"..")</f>
        <v>0.37851773536293609</v>
      </c>
      <c r="BI940" s="117">
        <f>IFERROR(VLOOKUP($D940,'WB Data'!$C$3:$M$578,7,FALSE)/100,"..")</f>
        <v>5.8188299999999998E-2</v>
      </c>
      <c r="BJ940" s="117">
        <f>IFERROR($BI940*$AW940,"..")</f>
        <v>278975529.68695265</v>
      </c>
      <c r="BK940" s="846">
        <f>IFERROR($BB940/$BJ940,"..")</f>
        <v>0.51609111079226533</v>
      </c>
      <c r="BL940" s="117">
        <f>IFERROR(VLOOKUP($D940,'WB Data'!$C$3:$M$578,7,FALSE)/100,"..")</f>
        <v>5.8188299999999998E-2</v>
      </c>
      <c r="BM940" s="117">
        <f>IFERROR($AW940*$BL940,"..")</f>
        <v>278975529.68695265</v>
      </c>
      <c r="BN940" s="846">
        <f>IFERROR($BB940/$BM940,"..")</f>
        <v>0.51609111079226533</v>
      </c>
      <c r="BO940" s="801" t="str">
        <f t="shared" si="153"/>
        <v>..</v>
      </c>
      <c r="BP940" s="117">
        <f>VLOOKUP($D940,'WB Data'!$C$3:$M$578,9,FALSE)</f>
        <v>33.700000000000003</v>
      </c>
      <c r="BQ940" s="117">
        <f>VLOOKUP($D940,'WB Data'!$C$3:$M$578,10,FALSE)</f>
        <v>69.300000000000011</v>
      </c>
      <c r="BR940" s="117">
        <f>VLOOKUP($D940,'WB Data'!$C$3:$M$578,11,FALSE)</f>
        <v>26.7</v>
      </c>
      <c r="BS940" s="129">
        <f>IFERROR(VLOOKUP($D940,'WB Data 2'!$C$2:$K$545,9,FALSE),"..")</f>
        <v>95.272779999999997</v>
      </c>
      <c r="BT940" s="129" t="str">
        <f>_xlfn.IFNA(VLOOKUP($C940,RGI!$A$2:$C$43,2,FALSE),"..")</f>
        <v>..</v>
      </c>
      <c r="BU940" s="129" t="str">
        <f>_xlfn.IFNA(VLOOKUP($C940,RGI!$A$2:$C$43,3,FALSE),"..")</f>
        <v>..</v>
      </c>
      <c r="BV940" s="129">
        <f>VLOOKUP($D940,WGI!$C$2:$O$478,7,FALSE)</f>
        <v>-0.95874429933139405</v>
      </c>
      <c r="BW940" s="129">
        <f>VLOOKUP($D940,WGI!$C$2:$O$478,4,FALSE)</f>
        <v>-1.0331283700851901</v>
      </c>
      <c r="BX940" s="129">
        <f>VLOOKUP($D940,WGI!$C$2:$O$478,3,FALSE)</f>
        <v>-0.63482368678068302</v>
      </c>
      <c r="BY940" s="129">
        <f>VLOOKUP($D940,WGI!$C$2:$O$478,5,FALSE)</f>
        <v>-0.25426987328707201</v>
      </c>
      <c r="BZ940" s="129">
        <f>VLOOKUP($D940,WGI!$C$2:$O$478,2,FALSE)</f>
        <v>-1.1090655234363</v>
      </c>
      <c r="CB940" s="129"/>
    </row>
    <row r="941" spans="1:80" s="120" customFormat="1" ht="15" customHeight="1">
      <c r="A941" s="294" t="s">
        <v>294</v>
      </c>
      <c r="B941" s="117">
        <v>2010</v>
      </c>
      <c r="C941" s="117" t="s">
        <v>285</v>
      </c>
      <c r="D941" s="117" t="s">
        <v>3669</v>
      </c>
      <c r="E941" s="452" t="s">
        <v>39</v>
      </c>
      <c r="F941" s="117"/>
      <c r="G941" s="117" t="s">
        <v>24</v>
      </c>
      <c r="H941" s="117" t="str">
        <f t="shared" si="158"/>
        <v>yes</v>
      </c>
      <c r="I941" s="117" t="str">
        <f t="shared" si="159"/>
        <v>no</v>
      </c>
      <c r="J941" s="117" t="str">
        <f t="shared" si="160"/>
        <v>no</v>
      </c>
      <c r="K941" s="117" t="s">
        <v>1525</v>
      </c>
      <c r="L941" s="117" t="str">
        <f t="shared" si="161"/>
        <v>detailed</v>
      </c>
      <c r="M941" s="117" t="str">
        <f t="shared" si="162"/>
        <v>detailed Mining</v>
      </c>
      <c r="N941" s="118">
        <v>6500</v>
      </c>
      <c r="O941" s="118"/>
      <c r="P941" s="118"/>
      <c r="Q941" s="118"/>
      <c r="R941" s="118"/>
      <c r="S941" s="117" t="s">
        <v>610</v>
      </c>
      <c r="T941" s="119">
        <v>114.2</v>
      </c>
      <c r="U941" s="117" t="s">
        <v>611</v>
      </c>
      <c r="V941" s="117" t="s">
        <v>1543</v>
      </c>
      <c r="W941" s="89">
        <f>N941*T941</f>
        <v>742300</v>
      </c>
      <c r="X941" s="117"/>
      <c r="Y941" s="117"/>
      <c r="Z941" s="117"/>
      <c r="AA941" s="177"/>
      <c r="AB941" s="177"/>
      <c r="AC941" s="122"/>
      <c r="AD941" s="122"/>
      <c r="AE941" s="122"/>
      <c r="AF941" s="123"/>
      <c r="AG941" s="117"/>
      <c r="AH941" s="124"/>
      <c r="AI941" s="117"/>
      <c r="AJ941" s="117"/>
      <c r="AK941" s="89"/>
      <c r="AL941" s="117"/>
      <c r="AM941" s="117"/>
      <c r="AN941" s="117"/>
      <c r="AO941" s="117"/>
      <c r="AP941" s="117"/>
      <c r="AQ941" s="117"/>
      <c r="AR941" s="126"/>
      <c r="AS941" s="117"/>
      <c r="AT941" s="117"/>
      <c r="AU941" s="117"/>
      <c r="AV941" s="128"/>
      <c r="AW941" s="117">
        <f>VLOOKUP($D941,'WB Data'!$C$3:$M$578,2,FALSE)</f>
        <v>4794357795.0713921</v>
      </c>
      <c r="AX941" s="117">
        <f>VLOOKUP($D941,'WB Data'!$C$3:$M$578,3,FALSE)</f>
        <v>5447900</v>
      </c>
      <c r="AY941" s="847">
        <f t="shared" si="154"/>
        <v>3.0030464382113573E-2</v>
      </c>
      <c r="AZ941" s="117">
        <f>VLOOKUP($D941,'WB Data'!$C$3:$M$578,4,FALSE)/100</f>
        <v>0.19422486253756763</v>
      </c>
      <c r="BA941" s="117">
        <f t="shared" si="155"/>
        <v>931183483.70365691</v>
      </c>
      <c r="BB941" s="129">
        <f>IFERROR(VLOOKUP($D941,'EITI Revenues'!$C$2:$G$224,5,FALSE),"..")</f>
        <v>143976791</v>
      </c>
      <c r="BC941" s="846">
        <f t="shared" si="156"/>
        <v>0.15461699387896324</v>
      </c>
      <c r="BD941" s="129">
        <f>VLOOKUP($D941,'WB Data 2'!$C$2:$K$545,6,FALSE)</f>
        <v>343035950.59742367</v>
      </c>
      <c r="BE941" s="129" t="str">
        <f>IFERROR(VLOOKUP($D941,UNCTAD!$C$5:$V$529,4,FALSE),"..")</f>
        <v>..</v>
      </c>
      <c r="BF941" s="846" t="str">
        <f t="shared" si="157"/>
        <v>..</v>
      </c>
      <c r="BG941" s="117">
        <f>VLOOKUP($D941,'WB Data'!$C$3:$M$578,5,FALSE)</f>
        <v>380370000</v>
      </c>
      <c r="BH941" s="129">
        <f>IFERROR($BB941/$BG941,"..")</f>
        <v>0.37851773536293609</v>
      </c>
      <c r="BI941" s="117">
        <f>IFERROR(VLOOKUP($D941,'WB Data'!$C$3:$M$578,7,FALSE)/100,"..")</f>
        <v>5.8188299999999998E-2</v>
      </c>
      <c r="BJ941" s="117">
        <f>IFERROR($BI941*$AW941,"..")</f>
        <v>278975529.68695265</v>
      </c>
      <c r="BK941" s="846">
        <f>IFERROR($BB941/$BJ941,"..")</f>
        <v>0.51609111079226533</v>
      </c>
      <c r="BL941" s="117">
        <f>IFERROR(VLOOKUP($D941,'WB Data'!$C$3:$M$578,7,FALSE)/100,"..")</f>
        <v>5.8188299999999998E-2</v>
      </c>
      <c r="BM941" s="117">
        <f>IFERROR($AW941*$BL941,"..")</f>
        <v>278975529.68695265</v>
      </c>
      <c r="BN941" s="846">
        <f>IFERROR($BB941/$BM941,"..")</f>
        <v>0.51609111079226533</v>
      </c>
      <c r="BO941" s="801" t="str">
        <f t="shared" si="153"/>
        <v>..</v>
      </c>
      <c r="BP941" s="117">
        <f>VLOOKUP($D941,'WB Data'!$C$3:$M$578,9,FALSE)</f>
        <v>33.700000000000003</v>
      </c>
      <c r="BQ941" s="117">
        <f>VLOOKUP($D941,'WB Data'!$C$3:$M$578,10,FALSE)</f>
        <v>69.300000000000011</v>
      </c>
      <c r="BR941" s="117">
        <f>VLOOKUP($D941,'WB Data'!$C$3:$M$578,11,FALSE)</f>
        <v>26.7</v>
      </c>
      <c r="BS941" s="129">
        <f>IFERROR(VLOOKUP($D941,'WB Data 2'!$C$2:$K$545,9,FALSE),"..")</f>
        <v>95.272779999999997</v>
      </c>
      <c r="BT941" s="129" t="str">
        <f>_xlfn.IFNA(VLOOKUP($C941,RGI!$A$2:$C$43,2,FALSE),"..")</f>
        <v>..</v>
      </c>
      <c r="BU941" s="129" t="str">
        <f>_xlfn.IFNA(VLOOKUP($C941,RGI!$A$2:$C$43,3,FALSE),"..")</f>
        <v>..</v>
      </c>
      <c r="BV941" s="129">
        <f>VLOOKUP($D941,WGI!$C$2:$O$478,7,FALSE)</f>
        <v>-0.95874429933139405</v>
      </c>
      <c r="BW941" s="129">
        <f>VLOOKUP($D941,WGI!$C$2:$O$478,4,FALSE)</f>
        <v>-1.0331283700851901</v>
      </c>
      <c r="BX941" s="129">
        <f>VLOOKUP($D941,WGI!$C$2:$O$478,3,FALSE)</f>
        <v>-0.63482368678068302</v>
      </c>
      <c r="BY941" s="129">
        <f>VLOOKUP($D941,WGI!$C$2:$O$478,5,FALSE)</f>
        <v>-0.25426987328707201</v>
      </c>
      <c r="BZ941" s="129">
        <f>VLOOKUP($D941,WGI!$C$2:$O$478,2,FALSE)</f>
        <v>-1.1090655234363</v>
      </c>
      <c r="CB941" s="129"/>
    </row>
    <row r="942" spans="1:80" s="120" customFormat="1" ht="15" customHeight="1">
      <c r="A942" s="294" t="s">
        <v>294</v>
      </c>
      <c r="B942" s="117">
        <v>2010</v>
      </c>
      <c r="C942" s="117" t="s">
        <v>285</v>
      </c>
      <c r="D942" s="117" t="s">
        <v>3669</v>
      </c>
      <c r="E942" s="452" t="s">
        <v>39</v>
      </c>
      <c r="F942" s="117"/>
      <c r="G942" s="117" t="s">
        <v>24</v>
      </c>
      <c r="H942" s="117" t="str">
        <f t="shared" si="158"/>
        <v>yes</v>
      </c>
      <c r="I942" s="117" t="str">
        <f t="shared" si="159"/>
        <v>no</v>
      </c>
      <c r="J942" s="117" t="str">
        <f t="shared" si="160"/>
        <v>no</v>
      </c>
      <c r="K942" s="117" t="s">
        <v>1529</v>
      </c>
      <c r="L942" s="117" t="str">
        <f t="shared" si="161"/>
        <v>detailed</v>
      </c>
      <c r="M942" s="117" t="str">
        <f t="shared" si="162"/>
        <v>detailed Mining</v>
      </c>
      <c r="N942" s="118">
        <f>850000*1.6</f>
        <v>1360000</v>
      </c>
      <c r="O942" s="118"/>
      <c r="P942" s="118"/>
      <c r="Q942" s="118"/>
      <c r="R942" s="118"/>
      <c r="S942" s="117" t="s">
        <v>610</v>
      </c>
      <c r="T942" s="119">
        <v>7.51</v>
      </c>
      <c r="U942" s="117" t="s">
        <v>611</v>
      </c>
      <c r="V942" s="117" t="s">
        <v>1240</v>
      </c>
      <c r="W942" s="89">
        <f>N942*T942</f>
        <v>10213600</v>
      </c>
      <c r="X942" s="117"/>
      <c r="Y942" s="117"/>
      <c r="Z942" s="117"/>
      <c r="AA942" s="177"/>
      <c r="AB942" s="177"/>
      <c r="AC942" s="122"/>
      <c r="AD942" s="122"/>
      <c r="AE942" s="122"/>
      <c r="AF942" s="123"/>
      <c r="AG942" s="117"/>
      <c r="AH942" s="124"/>
      <c r="AI942" s="117"/>
      <c r="AJ942" s="117"/>
      <c r="AK942" s="89"/>
      <c r="AL942" s="117"/>
      <c r="AM942" s="117"/>
      <c r="AN942" s="117"/>
      <c r="AO942" s="117"/>
      <c r="AP942" s="117"/>
      <c r="AQ942" s="117"/>
      <c r="AR942" s="126"/>
      <c r="AS942" s="117"/>
      <c r="AT942" s="117"/>
      <c r="AU942" s="117"/>
      <c r="AV942" s="128"/>
      <c r="AW942" s="117">
        <f>VLOOKUP($D942,'WB Data'!$C$3:$M$578,2,FALSE)</f>
        <v>4794357795.0713921</v>
      </c>
      <c r="AX942" s="117">
        <f>VLOOKUP($D942,'WB Data'!$C$3:$M$578,3,FALSE)</f>
        <v>5447900</v>
      </c>
      <c r="AY942" s="847">
        <f t="shared" si="154"/>
        <v>3.0030464382113573E-2</v>
      </c>
      <c r="AZ942" s="117">
        <f>VLOOKUP($D942,'WB Data'!$C$3:$M$578,4,FALSE)/100</f>
        <v>0.19422486253756763</v>
      </c>
      <c r="BA942" s="117">
        <f t="shared" si="155"/>
        <v>931183483.70365691</v>
      </c>
      <c r="BB942" s="129">
        <f>IFERROR(VLOOKUP($D942,'EITI Revenues'!$C$2:$G$224,5,FALSE),"..")</f>
        <v>143976791</v>
      </c>
      <c r="BC942" s="846">
        <f t="shared" si="156"/>
        <v>0.15461699387896324</v>
      </c>
      <c r="BD942" s="129">
        <f>VLOOKUP($D942,'WB Data 2'!$C$2:$K$545,6,FALSE)</f>
        <v>343035950.59742367</v>
      </c>
      <c r="BE942" s="129" t="str">
        <f>IFERROR(VLOOKUP($D942,UNCTAD!$C$5:$V$529,4,FALSE),"..")</f>
        <v>..</v>
      </c>
      <c r="BF942" s="846" t="str">
        <f t="shared" si="157"/>
        <v>..</v>
      </c>
      <c r="BG942" s="117">
        <f>VLOOKUP($D942,'WB Data'!$C$3:$M$578,5,FALSE)</f>
        <v>380370000</v>
      </c>
      <c r="BH942" s="129">
        <f>IFERROR($BB942/$BG942,"..")</f>
        <v>0.37851773536293609</v>
      </c>
      <c r="BI942" s="117">
        <f>IFERROR(VLOOKUP($D942,'WB Data'!$C$3:$M$578,7,FALSE)/100,"..")</f>
        <v>5.8188299999999998E-2</v>
      </c>
      <c r="BJ942" s="117">
        <f>IFERROR($BI942*$AW942,"..")</f>
        <v>278975529.68695265</v>
      </c>
      <c r="BK942" s="846">
        <f>IFERROR($BB942/$BJ942,"..")</f>
        <v>0.51609111079226533</v>
      </c>
      <c r="BL942" s="117">
        <f>IFERROR(VLOOKUP($D942,'WB Data'!$C$3:$M$578,7,FALSE)/100,"..")</f>
        <v>5.8188299999999998E-2</v>
      </c>
      <c r="BM942" s="117">
        <f>IFERROR($AW942*$BL942,"..")</f>
        <v>278975529.68695265</v>
      </c>
      <c r="BN942" s="846">
        <f>IFERROR($BB942/$BM942,"..")</f>
        <v>0.51609111079226533</v>
      </c>
      <c r="BO942" s="801" t="str">
        <f t="shared" si="153"/>
        <v>..</v>
      </c>
      <c r="BP942" s="117">
        <f>VLOOKUP($D942,'WB Data'!$C$3:$M$578,9,FALSE)</f>
        <v>33.700000000000003</v>
      </c>
      <c r="BQ942" s="117">
        <f>VLOOKUP($D942,'WB Data'!$C$3:$M$578,10,FALSE)</f>
        <v>69.300000000000011</v>
      </c>
      <c r="BR942" s="117">
        <f>VLOOKUP($D942,'WB Data'!$C$3:$M$578,11,FALSE)</f>
        <v>26.7</v>
      </c>
      <c r="BS942" s="129">
        <f>IFERROR(VLOOKUP($D942,'WB Data 2'!$C$2:$K$545,9,FALSE),"..")</f>
        <v>95.272779999999997</v>
      </c>
      <c r="BT942" s="129" t="str">
        <f>_xlfn.IFNA(VLOOKUP($C942,RGI!$A$2:$C$43,2,FALSE),"..")</f>
        <v>..</v>
      </c>
      <c r="BU942" s="129" t="str">
        <f>_xlfn.IFNA(VLOOKUP($C942,RGI!$A$2:$C$43,3,FALSE),"..")</f>
        <v>..</v>
      </c>
      <c r="BV942" s="129">
        <f>VLOOKUP($D942,WGI!$C$2:$O$478,7,FALSE)</f>
        <v>-0.95874429933139405</v>
      </c>
      <c r="BW942" s="129">
        <f>VLOOKUP($D942,WGI!$C$2:$O$478,4,FALSE)</f>
        <v>-1.0331283700851901</v>
      </c>
      <c r="BX942" s="129">
        <f>VLOOKUP($D942,WGI!$C$2:$O$478,3,FALSE)</f>
        <v>-0.63482368678068302</v>
      </c>
      <c r="BY942" s="129">
        <f>VLOOKUP($D942,WGI!$C$2:$O$478,5,FALSE)</f>
        <v>-0.25426987328707201</v>
      </c>
      <c r="BZ942" s="129">
        <f>VLOOKUP($D942,WGI!$C$2:$O$478,2,FALSE)</f>
        <v>-1.1090655234363</v>
      </c>
      <c r="CB942" s="129"/>
    </row>
    <row r="943" spans="1:80" s="120" customFormat="1" ht="15" customHeight="1">
      <c r="A943" s="294" t="s">
        <v>294</v>
      </c>
      <c r="B943" s="117">
        <v>2010</v>
      </c>
      <c r="C943" s="117" t="s">
        <v>285</v>
      </c>
      <c r="D943" s="117" t="s">
        <v>3669</v>
      </c>
      <c r="E943" s="452" t="s">
        <v>39</v>
      </c>
      <c r="F943" s="117"/>
      <c r="G943" s="117" t="s">
        <v>24</v>
      </c>
      <c r="H943" s="117" t="str">
        <f>IF($G943="Mining","yes",IF($G943="Oil, Gas, Mining","yes",IF($G943="Gas, Mining","yes",IF($G943="Oil, Mining","yes",IF($G943="Oil, Mining, Other","yes","no")))))</f>
        <v>yes</v>
      </c>
      <c r="I943" s="117" t="str">
        <f>IF($G943="Gas","yes",IF($G943="Oil, Gas, Mining","yes",IF($G943="Gas, Mining","yes",IF($G943="Oil, Gas","yes",IF($G943="Oil, Gas, Other","yes","no")))))</f>
        <v>no</v>
      </c>
      <c r="J943" s="117" t="str">
        <f>IF($G943="Oil","yes",IF($G943="Oil, Gas, Mining","yes",IF($G943="Oil, Mining","yes",IF($G943="Oil, Gas","yes",IF($G943="Oil, Gas, Other","yes","no")))))</f>
        <v>no</v>
      </c>
      <c r="K943" s="117" t="s">
        <v>784</v>
      </c>
      <c r="L943" s="117" t="str">
        <f>IF(LEFT(K943,5)="Total","Total","detailed")</f>
        <v>detailed</v>
      </c>
      <c r="M943" s="117" t="str">
        <f>L943&amp;" "&amp;G943</f>
        <v>detailed Mining</v>
      </c>
      <c r="N943" s="118">
        <f>18072*32.150743126506</f>
        <v>581028.22978221648</v>
      </c>
      <c r="O943" s="118"/>
      <c r="P943" s="118"/>
      <c r="Q943" s="118"/>
      <c r="R943" s="118"/>
      <c r="S943" s="117" t="s">
        <v>785</v>
      </c>
      <c r="T943" s="119">
        <v>1224.66425</v>
      </c>
      <c r="U943" s="117" t="s">
        <v>786</v>
      </c>
      <c r="V943" s="117" t="s">
        <v>787</v>
      </c>
      <c r="W943" s="89">
        <f>N943*T943</f>
        <v>711564501.2550658</v>
      </c>
      <c r="X943" s="117"/>
      <c r="Y943" s="117"/>
      <c r="Z943" s="117"/>
      <c r="AA943" s="177">
        <f>0.88*AA932</f>
        <v>126699576.08</v>
      </c>
      <c r="AB943" s="177">
        <f>0.88*AB932</f>
        <v>125100401.36</v>
      </c>
      <c r="AC943" s="122"/>
      <c r="AD943" s="122"/>
      <c r="AE943" s="122"/>
      <c r="AF943" s="123">
        <f>AA943/W943</f>
        <v>0.17805775282005468</v>
      </c>
      <c r="AG943" s="117"/>
      <c r="AH943" s="124"/>
      <c r="AJ943" s="492"/>
      <c r="AK943" s="89"/>
      <c r="AL943" s="117"/>
      <c r="AM943" s="117"/>
      <c r="AN943" s="117"/>
      <c r="AO943" s="117"/>
      <c r="AP943" s="117"/>
      <c r="AQ943" s="117"/>
      <c r="AR943" s="126"/>
      <c r="AS943" s="117"/>
      <c r="AT943" s="117"/>
      <c r="AU943" s="117"/>
      <c r="AV943" s="128"/>
      <c r="AW943" s="117">
        <f>VLOOKUP($D943,'WB Data'!$C$3:$M$578,2,FALSE)</f>
        <v>4794357795.0713921</v>
      </c>
      <c r="AX943" s="117">
        <f>VLOOKUP($D943,'WB Data'!$C$3:$M$578,3,FALSE)</f>
        <v>5447900</v>
      </c>
      <c r="AY943" s="847">
        <f t="shared" si="154"/>
        <v>3.0030464382113573E-2</v>
      </c>
      <c r="AZ943" s="117">
        <f>VLOOKUP($D943,'WB Data'!$C$3:$M$578,4,FALSE)/100</f>
        <v>0.19422486253756763</v>
      </c>
      <c r="BA943" s="117">
        <f t="shared" si="155"/>
        <v>931183483.70365691</v>
      </c>
      <c r="BB943" s="129">
        <f>IFERROR(VLOOKUP($D943,'EITI Revenues'!$C$2:$G$224,5,FALSE),"..")</f>
        <v>143976791</v>
      </c>
      <c r="BC943" s="846">
        <f t="shared" si="156"/>
        <v>0.15461699387896324</v>
      </c>
      <c r="BD943" s="129">
        <f>VLOOKUP($D943,'WB Data 2'!$C$2:$K$545,6,FALSE)</f>
        <v>343035950.59742367</v>
      </c>
      <c r="BE943" s="129" t="str">
        <f>IFERROR(VLOOKUP($D943,UNCTAD!$C$5:$V$529,4,FALSE),"..")</f>
        <v>..</v>
      </c>
      <c r="BF943" s="846" t="str">
        <f t="shared" si="157"/>
        <v>..</v>
      </c>
      <c r="BG943" s="117">
        <f>VLOOKUP($D943,'WB Data'!$C$3:$M$578,5,FALSE)</f>
        <v>380370000</v>
      </c>
      <c r="BH943" s="129">
        <f>IFERROR($BB943/$BG943,"..")</f>
        <v>0.37851773536293609</v>
      </c>
      <c r="BI943" s="117">
        <f>IFERROR(VLOOKUP($D943,'WB Data'!$C$3:$M$578,7,FALSE)/100,"..")</f>
        <v>5.8188299999999998E-2</v>
      </c>
      <c r="BJ943" s="117">
        <f>IFERROR($BI943*$AW943,"..")</f>
        <v>278975529.68695265</v>
      </c>
      <c r="BK943" s="846">
        <f>IFERROR($BB943/$BJ943,"..")</f>
        <v>0.51609111079226533</v>
      </c>
      <c r="BL943" s="117">
        <f>IFERROR(VLOOKUP($D943,'WB Data'!$C$3:$M$578,7,FALSE)/100,"..")</f>
        <v>5.8188299999999998E-2</v>
      </c>
      <c r="BM943" s="117">
        <f>IFERROR($AW943*$BL943,"..")</f>
        <v>278975529.68695265</v>
      </c>
      <c r="BN943" s="846">
        <f>IFERROR($BB943/$BM943,"..")</f>
        <v>0.51609111079226533</v>
      </c>
      <c r="BO943" s="801" t="str">
        <f t="shared" si="153"/>
        <v>..</v>
      </c>
      <c r="BP943" s="117">
        <f>VLOOKUP($D943,'WB Data'!$C$3:$M$578,9,FALSE)</f>
        <v>33.700000000000003</v>
      </c>
      <c r="BQ943" s="117">
        <f>VLOOKUP($D943,'WB Data'!$C$3:$M$578,10,FALSE)</f>
        <v>69.300000000000011</v>
      </c>
      <c r="BR943" s="117">
        <f>VLOOKUP($D943,'WB Data'!$C$3:$M$578,11,FALSE)</f>
        <v>26.7</v>
      </c>
      <c r="BS943" s="129">
        <f>IFERROR(VLOOKUP($D943,'WB Data 2'!$C$2:$K$545,9,FALSE),"..")</f>
        <v>95.272779999999997</v>
      </c>
      <c r="BT943" s="129" t="str">
        <f>_xlfn.IFNA(VLOOKUP($C943,RGI!$A$2:$C$43,2,FALSE),"..")</f>
        <v>..</v>
      </c>
      <c r="BU943" s="129" t="str">
        <f>_xlfn.IFNA(VLOOKUP($C943,RGI!$A$2:$C$43,3,FALSE),"..")</f>
        <v>..</v>
      </c>
      <c r="BV943" s="129">
        <f>VLOOKUP($D943,WGI!$C$2:$O$478,7,FALSE)</f>
        <v>-0.95874429933139405</v>
      </c>
      <c r="BW943" s="129">
        <f>VLOOKUP($D943,WGI!$C$2:$O$478,4,FALSE)</f>
        <v>-1.0331283700851901</v>
      </c>
      <c r="BX943" s="129">
        <f>VLOOKUP($D943,WGI!$C$2:$O$478,3,FALSE)</f>
        <v>-0.63482368678068302</v>
      </c>
      <c r="BY943" s="129">
        <f>VLOOKUP($D943,WGI!$C$2:$O$478,5,FALSE)</f>
        <v>-0.25426987328707201</v>
      </c>
      <c r="BZ943" s="129">
        <f>VLOOKUP($D943,WGI!$C$2:$O$478,2,FALSE)</f>
        <v>-1.1090655234363</v>
      </c>
      <c r="CB943" s="129"/>
    </row>
    <row r="944" spans="1:80" s="120" customFormat="1" ht="15" customHeight="1">
      <c r="A944" s="294" t="s">
        <v>294</v>
      </c>
      <c r="B944" s="117">
        <v>2010</v>
      </c>
      <c r="C944" s="117" t="s">
        <v>285</v>
      </c>
      <c r="D944" s="117" t="s">
        <v>3669</v>
      </c>
      <c r="E944" s="452" t="s">
        <v>39</v>
      </c>
      <c r="F944" s="117"/>
      <c r="G944" s="117" t="s">
        <v>24</v>
      </c>
      <c r="H944" s="117" t="str">
        <f t="shared" si="158"/>
        <v>yes</v>
      </c>
      <c r="I944" s="117" t="str">
        <f t="shared" si="159"/>
        <v>no</v>
      </c>
      <c r="J944" s="117" t="str">
        <f t="shared" si="160"/>
        <v>no</v>
      </c>
      <c r="K944" s="117" t="s">
        <v>1532</v>
      </c>
      <c r="L944" s="117" t="str">
        <f t="shared" si="161"/>
        <v>detailed</v>
      </c>
      <c r="M944" s="117" t="str">
        <f t="shared" si="162"/>
        <v>detailed Mining</v>
      </c>
      <c r="N944" s="118"/>
      <c r="O944" s="118"/>
      <c r="P944" s="118"/>
      <c r="Q944" s="118"/>
      <c r="R944" s="118"/>
      <c r="S944" s="117"/>
      <c r="T944" s="119"/>
      <c r="U944" s="117"/>
      <c r="V944" s="117"/>
      <c r="W944" s="89">
        <f>SUM(W945:W951)</f>
        <v>4644101.4776274711</v>
      </c>
      <c r="X944" s="117"/>
      <c r="Y944" s="117"/>
      <c r="Z944" s="117"/>
      <c r="AA944" s="177">
        <v>989310</v>
      </c>
      <c r="AB944" s="177">
        <v>998585</v>
      </c>
      <c r="AC944" s="122"/>
      <c r="AD944" s="122"/>
      <c r="AE944" s="122"/>
      <c r="AF944" s="123">
        <f>AA944/W944</f>
        <v>0.2130250608790332</v>
      </c>
      <c r="AG944" s="117"/>
      <c r="AH944" s="177"/>
      <c r="AI944" s="117"/>
      <c r="AJ944" s="117"/>
      <c r="AK944" s="89"/>
      <c r="AL944" s="117"/>
      <c r="AM944" s="117"/>
      <c r="AN944" s="117">
        <v>7</v>
      </c>
      <c r="AO944" s="117" t="s">
        <v>1557</v>
      </c>
      <c r="AP944" s="117">
        <v>6</v>
      </c>
      <c r="AQ944" s="117"/>
      <c r="AR944" s="126"/>
      <c r="AS944" s="117"/>
      <c r="AT944" s="117"/>
      <c r="AU944" s="117" t="s">
        <v>1558</v>
      </c>
      <c r="AV944" s="128"/>
      <c r="AW944" s="117">
        <f>VLOOKUP($D944,'WB Data'!$C$3:$M$578,2,FALSE)</f>
        <v>4794357795.0713921</v>
      </c>
      <c r="AX944" s="117">
        <f>VLOOKUP($D944,'WB Data'!$C$3:$M$578,3,FALSE)</f>
        <v>5447900</v>
      </c>
      <c r="AY944" s="847">
        <f t="shared" si="154"/>
        <v>3.0030464382113573E-2</v>
      </c>
      <c r="AZ944" s="117">
        <f>VLOOKUP($D944,'WB Data'!$C$3:$M$578,4,FALSE)/100</f>
        <v>0.19422486253756763</v>
      </c>
      <c r="BA944" s="117">
        <f t="shared" si="155"/>
        <v>931183483.70365691</v>
      </c>
      <c r="BB944" s="129">
        <f>IFERROR(VLOOKUP($D944,'EITI Revenues'!$C$2:$G$224,5,FALSE),"..")</f>
        <v>143976791</v>
      </c>
      <c r="BC944" s="846">
        <f t="shared" si="156"/>
        <v>0.15461699387896324</v>
      </c>
      <c r="BD944" s="129">
        <f>VLOOKUP($D944,'WB Data 2'!$C$2:$K$545,6,FALSE)</f>
        <v>343035950.59742367</v>
      </c>
      <c r="BE944" s="129" t="str">
        <f>IFERROR(VLOOKUP($D944,UNCTAD!$C$5:$V$529,4,FALSE),"..")</f>
        <v>..</v>
      </c>
      <c r="BF944" s="846" t="str">
        <f t="shared" si="157"/>
        <v>..</v>
      </c>
      <c r="BG944" s="117">
        <f>VLOOKUP($D944,'WB Data'!$C$3:$M$578,5,FALSE)</f>
        <v>380370000</v>
      </c>
      <c r="BH944" s="129">
        <f>IFERROR($BB944/$BG944,"..")</f>
        <v>0.37851773536293609</v>
      </c>
      <c r="BI944" s="117">
        <f>IFERROR(VLOOKUP($D944,'WB Data'!$C$3:$M$578,7,FALSE)/100,"..")</f>
        <v>5.8188299999999998E-2</v>
      </c>
      <c r="BJ944" s="117">
        <f>IFERROR($BI944*$AW944,"..")</f>
        <v>278975529.68695265</v>
      </c>
      <c r="BK944" s="846">
        <f>IFERROR($BB944/$BJ944,"..")</f>
        <v>0.51609111079226533</v>
      </c>
      <c r="BL944" s="117">
        <f>IFERROR(VLOOKUP($D944,'WB Data'!$C$3:$M$578,7,FALSE)/100,"..")</f>
        <v>5.8188299999999998E-2</v>
      </c>
      <c r="BM944" s="117">
        <f>IFERROR($AW944*$BL944,"..")</f>
        <v>278975529.68695265</v>
      </c>
      <c r="BN944" s="846">
        <f>IFERROR($BB944/$BM944,"..")</f>
        <v>0.51609111079226533</v>
      </c>
      <c r="BO944" s="801" t="str">
        <f t="shared" si="153"/>
        <v>..</v>
      </c>
      <c r="BP944" s="117">
        <f>VLOOKUP($D944,'WB Data'!$C$3:$M$578,9,FALSE)</f>
        <v>33.700000000000003</v>
      </c>
      <c r="BQ944" s="117">
        <f>VLOOKUP($D944,'WB Data'!$C$3:$M$578,10,FALSE)</f>
        <v>69.300000000000011</v>
      </c>
      <c r="BR944" s="117">
        <f>VLOOKUP($D944,'WB Data'!$C$3:$M$578,11,FALSE)</f>
        <v>26.7</v>
      </c>
      <c r="BS944" s="129">
        <f>IFERROR(VLOOKUP($D944,'WB Data 2'!$C$2:$K$545,9,FALSE),"..")</f>
        <v>95.272779999999997</v>
      </c>
      <c r="BT944" s="129" t="str">
        <f>_xlfn.IFNA(VLOOKUP($C944,RGI!$A$2:$C$43,2,FALSE),"..")</f>
        <v>..</v>
      </c>
      <c r="BU944" s="129" t="str">
        <f>_xlfn.IFNA(VLOOKUP($C944,RGI!$A$2:$C$43,3,FALSE),"..")</f>
        <v>..</v>
      </c>
      <c r="BV944" s="129">
        <f>VLOOKUP($D944,WGI!$C$2:$O$478,7,FALSE)</f>
        <v>-0.95874429933139405</v>
      </c>
      <c r="BW944" s="129">
        <f>VLOOKUP($D944,WGI!$C$2:$O$478,4,FALSE)</f>
        <v>-1.0331283700851901</v>
      </c>
      <c r="BX944" s="129">
        <f>VLOOKUP($D944,WGI!$C$2:$O$478,3,FALSE)</f>
        <v>-0.63482368678068302</v>
      </c>
      <c r="BY944" s="129">
        <f>VLOOKUP($D944,WGI!$C$2:$O$478,5,FALSE)</f>
        <v>-0.25426987328707201</v>
      </c>
      <c r="BZ944" s="129">
        <f>VLOOKUP($D944,WGI!$C$2:$O$478,2,FALSE)</f>
        <v>-1.1090655234363</v>
      </c>
      <c r="CB944" s="129"/>
    </row>
    <row r="945" spans="1:80" s="120" customFormat="1" ht="15" customHeight="1">
      <c r="A945" s="294" t="s">
        <v>294</v>
      </c>
      <c r="B945" s="117">
        <v>2010</v>
      </c>
      <c r="C945" s="117" t="s">
        <v>285</v>
      </c>
      <c r="D945" s="117" t="s">
        <v>3669</v>
      </c>
      <c r="E945" s="452" t="s">
        <v>39</v>
      </c>
      <c r="F945" s="117"/>
      <c r="G945" s="117" t="s">
        <v>24</v>
      </c>
      <c r="H945" s="117" t="str">
        <f t="shared" si="158"/>
        <v>yes</v>
      </c>
      <c r="I945" s="117" t="str">
        <f t="shared" si="159"/>
        <v>no</v>
      </c>
      <c r="J945" s="117" t="str">
        <f t="shared" si="160"/>
        <v>no</v>
      </c>
      <c r="K945" s="117" t="s">
        <v>1534</v>
      </c>
      <c r="L945" s="117" t="str">
        <f t="shared" si="161"/>
        <v>detailed</v>
      </c>
      <c r="M945" s="117" t="str">
        <f t="shared" si="162"/>
        <v>detailed Mining</v>
      </c>
      <c r="N945" s="118"/>
      <c r="O945" s="118"/>
      <c r="P945" s="118"/>
      <c r="Q945" s="118"/>
      <c r="R945" s="118"/>
      <c r="S945" s="117"/>
      <c r="T945" s="119">
        <f>401.2/0.000453592*0.0026</f>
        <v>2299.6878251821017</v>
      </c>
      <c r="U945" s="120" t="s">
        <v>611</v>
      </c>
      <c r="V945" s="117" t="s">
        <v>1535</v>
      </c>
      <c r="W945" s="89">
        <f>N947*T945</f>
        <v>1609781.4776274713</v>
      </c>
      <c r="X945" s="117"/>
      <c r="Y945" s="117"/>
      <c r="Z945" s="117"/>
      <c r="AA945" s="177"/>
      <c r="AB945" s="177"/>
      <c r="AC945" s="122"/>
      <c r="AD945" s="122"/>
      <c r="AE945" s="122"/>
      <c r="AF945" s="123"/>
      <c r="AG945" s="117"/>
      <c r="AH945" s="124"/>
      <c r="AI945" s="117"/>
      <c r="AJ945" s="117"/>
      <c r="AK945" s="89"/>
      <c r="AL945" s="117"/>
      <c r="AM945" s="117"/>
      <c r="AN945" s="117">
        <v>1</v>
      </c>
      <c r="AO945" s="117" t="s">
        <v>1536</v>
      </c>
      <c r="AP945" s="117">
        <v>1</v>
      </c>
      <c r="AQ945" s="117"/>
      <c r="AR945" s="126"/>
      <c r="AS945" s="117"/>
      <c r="AT945" s="117"/>
      <c r="AU945" s="117"/>
      <c r="AV945" s="128"/>
      <c r="AW945" s="117">
        <f>VLOOKUP($D945,'WB Data'!$C$3:$M$578,2,FALSE)</f>
        <v>4794357795.0713921</v>
      </c>
      <c r="AX945" s="117">
        <f>VLOOKUP($D945,'WB Data'!$C$3:$M$578,3,FALSE)</f>
        <v>5447900</v>
      </c>
      <c r="AY945" s="847">
        <f t="shared" si="154"/>
        <v>3.0030464382113573E-2</v>
      </c>
      <c r="AZ945" s="117">
        <f>VLOOKUP($D945,'WB Data'!$C$3:$M$578,4,FALSE)/100</f>
        <v>0.19422486253756763</v>
      </c>
      <c r="BA945" s="117">
        <f t="shared" si="155"/>
        <v>931183483.70365691</v>
      </c>
      <c r="BB945" s="129">
        <f>IFERROR(VLOOKUP($D945,'EITI Revenues'!$C$2:$G$224,5,FALSE),"..")</f>
        <v>143976791</v>
      </c>
      <c r="BC945" s="846">
        <f t="shared" si="156"/>
        <v>0.15461699387896324</v>
      </c>
      <c r="BD945" s="129">
        <f>VLOOKUP($D945,'WB Data 2'!$C$2:$K$545,6,FALSE)</f>
        <v>343035950.59742367</v>
      </c>
      <c r="BE945" s="129" t="str">
        <f>IFERROR(VLOOKUP($D945,UNCTAD!$C$5:$V$529,4,FALSE),"..")</f>
        <v>..</v>
      </c>
      <c r="BF945" s="846" t="str">
        <f t="shared" si="157"/>
        <v>..</v>
      </c>
      <c r="BG945" s="117">
        <f>VLOOKUP($D945,'WB Data'!$C$3:$M$578,5,FALSE)</f>
        <v>380370000</v>
      </c>
      <c r="BH945" s="129">
        <f>IFERROR($BB945/$BG945,"..")</f>
        <v>0.37851773536293609</v>
      </c>
      <c r="BI945" s="117">
        <f>IFERROR(VLOOKUP($D945,'WB Data'!$C$3:$M$578,7,FALSE)/100,"..")</f>
        <v>5.8188299999999998E-2</v>
      </c>
      <c r="BJ945" s="117">
        <f>IFERROR($BI945*$AW945,"..")</f>
        <v>278975529.68695265</v>
      </c>
      <c r="BK945" s="846">
        <f>IFERROR($BB945/$BJ945,"..")</f>
        <v>0.51609111079226533</v>
      </c>
      <c r="BL945" s="117">
        <f>IFERROR(VLOOKUP($D945,'WB Data'!$C$3:$M$578,7,FALSE)/100,"..")</f>
        <v>5.8188299999999998E-2</v>
      </c>
      <c r="BM945" s="117">
        <f>IFERROR($AW945*$BL945,"..")</f>
        <v>278975529.68695265</v>
      </c>
      <c r="BN945" s="846">
        <f>IFERROR($BB945/$BM945,"..")</f>
        <v>0.51609111079226533</v>
      </c>
      <c r="BO945" s="801" t="str">
        <f t="shared" si="153"/>
        <v>..</v>
      </c>
      <c r="BP945" s="117">
        <f>VLOOKUP($D945,'WB Data'!$C$3:$M$578,9,FALSE)</f>
        <v>33.700000000000003</v>
      </c>
      <c r="BQ945" s="117">
        <f>VLOOKUP($D945,'WB Data'!$C$3:$M$578,10,FALSE)</f>
        <v>69.300000000000011</v>
      </c>
      <c r="BR945" s="117">
        <f>VLOOKUP($D945,'WB Data'!$C$3:$M$578,11,FALSE)</f>
        <v>26.7</v>
      </c>
      <c r="BS945" s="129">
        <f>IFERROR(VLOOKUP($D945,'WB Data 2'!$C$2:$K$545,9,FALSE),"..")</f>
        <v>95.272779999999997</v>
      </c>
      <c r="BT945" s="129" t="str">
        <f>_xlfn.IFNA(VLOOKUP($C945,RGI!$A$2:$C$43,2,FALSE),"..")</f>
        <v>..</v>
      </c>
      <c r="BU945" s="129" t="str">
        <f>_xlfn.IFNA(VLOOKUP($C945,RGI!$A$2:$C$43,3,FALSE),"..")</f>
        <v>..</v>
      </c>
      <c r="BV945" s="129">
        <f>VLOOKUP($D945,WGI!$C$2:$O$478,7,FALSE)</f>
        <v>-0.95874429933139405</v>
      </c>
      <c r="BW945" s="129">
        <f>VLOOKUP($D945,WGI!$C$2:$O$478,4,FALSE)</f>
        <v>-1.0331283700851901</v>
      </c>
      <c r="BX945" s="129">
        <f>VLOOKUP($D945,WGI!$C$2:$O$478,3,FALSE)</f>
        <v>-0.63482368678068302</v>
      </c>
      <c r="BY945" s="129">
        <f>VLOOKUP($D945,WGI!$C$2:$O$478,5,FALSE)</f>
        <v>-0.25426987328707201</v>
      </c>
      <c r="BZ945" s="129">
        <f>VLOOKUP($D945,WGI!$C$2:$O$478,2,FALSE)</f>
        <v>-1.1090655234363</v>
      </c>
      <c r="CB945" s="129"/>
    </row>
    <row r="946" spans="1:80" s="120" customFormat="1" ht="15" customHeight="1">
      <c r="A946" s="294" t="s">
        <v>294</v>
      </c>
      <c r="B946" s="117">
        <v>2010</v>
      </c>
      <c r="C946" s="117" t="s">
        <v>285</v>
      </c>
      <c r="D946" s="117" t="s">
        <v>3669</v>
      </c>
      <c r="E946" s="452" t="s">
        <v>39</v>
      </c>
      <c r="F946" s="117"/>
      <c r="G946" s="117" t="s">
        <v>24</v>
      </c>
      <c r="H946" s="117" t="str">
        <f t="shared" si="158"/>
        <v>yes</v>
      </c>
      <c r="I946" s="117" t="str">
        <f t="shared" si="159"/>
        <v>no</v>
      </c>
      <c r="J946" s="117" t="str">
        <f t="shared" si="160"/>
        <v>no</v>
      </c>
      <c r="K946" s="117" t="s">
        <v>1537</v>
      </c>
      <c r="L946" s="117" t="str">
        <f t="shared" si="161"/>
        <v>detailed</v>
      </c>
      <c r="M946" s="117" t="str">
        <f t="shared" si="162"/>
        <v>detailed Mining</v>
      </c>
      <c r="N946" s="118">
        <v>842</v>
      </c>
      <c r="O946" s="118"/>
      <c r="P946" s="118"/>
      <c r="Q946" s="118"/>
      <c r="R946" s="118"/>
      <c r="S946" s="117" t="s">
        <v>610</v>
      </c>
      <c r="T946" s="119"/>
      <c r="U946" s="117"/>
      <c r="V946" s="117" t="s">
        <v>684</v>
      </c>
      <c r="W946" s="89"/>
      <c r="X946" s="117"/>
      <c r="Y946" s="117"/>
      <c r="Z946" s="117"/>
      <c r="AA946" s="177"/>
      <c r="AB946" s="177"/>
      <c r="AC946" s="122"/>
      <c r="AD946" s="122"/>
      <c r="AE946" s="122"/>
      <c r="AF946" s="123"/>
      <c r="AG946" s="117"/>
      <c r="AH946" s="124"/>
      <c r="AI946" s="117"/>
      <c r="AJ946" s="117"/>
      <c r="AK946" s="89"/>
      <c r="AL946" s="117"/>
      <c r="AM946" s="117"/>
      <c r="AN946" s="117"/>
      <c r="AO946" s="117"/>
      <c r="AP946" s="117"/>
      <c r="AQ946" s="117"/>
      <c r="AR946" s="126"/>
      <c r="AS946" s="117"/>
      <c r="AT946" s="117"/>
      <c r="AU946" s="117"/>
      <c r="AV946" s="128"/>
      <c r="AW946" s="117">
        <f>VLOOKUP($D946,'WB Data'!$C$3:$M$578,2,FALSE)</f>
        <v>4794357795.0713921</v>
      </c>
      <c r="AX946" s="117">
        <f>VLOOKUP($D946,'WB Data'!$C$3:$M$578,3,FALSE)</f>
        <v>5447900</v>
      </c>
      <c r="AY946" s="847">
        <f t="shared" si="154"/>
        <v>3.0030464382113573E-2</v>
      </c>
      <c r="AZ946" s="117">
        <f>VLOOKUP($D946,'WB Data'!$C$3:$M$578,4,FALSE)/100</f>
        <v>0.19422486253756763</v>
      </c>
      <c r="BA946" s="117">
        <f t="shared" si="155"/>
        <v>931183483.70365691</v>
      </c>
      <c r="BB946" s="129">
        <f>IFERROR(VLOOKUP($D946,'EITI Revenues'!$C$2:$G$224,5,FALSE),"..")</f>
        <v>143976791</v>
      </c>
      <c r="BC946" s="846">
        <f t="shared" si="156"/>
        <v>0.15461699387896324</v>
      </c>
      <c r="BD946" s="129">
        <f>VLOOKUP($D946,'WB Data 2'!$C$2:$K$545,6,FALSE)</f>
        <v>343035950.59742367</v>
      </c>
      <c r="BE946" s="129" t="str">
        <f>IFERROR(VLOOKUP($D946,UNCTAD!$C$5:$V$529,4,FALSE),"..")</f>
        <v>..</v>
      </c>
      <c r="BF946" s="846" t="str">
        <f t="shared" si="157"/>
        <v>..</v>
      </c>
      <c r="BG946" s="117">
        <f>VLOOKUP($D946,'WB Data'!$C$3:$M$578,5,FALSE)</f>
        <v>380370000</v>
      </c>
      <c r="BH946" s="129">
        <f>IFERROR($BB946/$BG946,"..")</f>
        <v>0.37851773536293609</v>
      </c>
      <c r="BI946" s="117">
        <f>IFERROR(VLOOKUP($D946,'WB Data'!$C$3:$M$578,7,FALSE)/100,"..")</f>
        <v>5.8188299999999998E-2</v>
      </c>
      <c r="BJ946" s="117">
        <f>IFERROR($BI946*$AW946,"..")</f>
        <v>278975529.68695265</v>
      </c>
      <c r="BK946" s="846">
        <f>IFERROR($BB946/$BJ946,"..")</f>
        <v>0.51609111079226533</v>
      </c>
      <c r="BL946" s="117">
        <f>IFERROR(VLOOKUP($D946,'WB Data'!$C$3:$M$578,7,FALSE)/100,"..")</f>
        <v>5.8188299999999998E-2</v>
      </c>
      <c r="BM946" s="117">
        <f>IFERROR($AW946*$BL946,"..")</f>
        <v>278975529.68695265</v>
      </c>
      <c r="BN946" s="846">
        <f>IFERROR($BB946/$BM946,"..")</f>
        <v>0.51609111079226533</v>
      </c>
      <c r="BO946" s="801" t="str">
        <f t="shared" si="153"/>
        <v>..</v>
      </c>
      <c r="BP946" s="117">
        <f>VLOOKUP($D946,'WB Data'!$C$3:$M$578,9,FALSE)</f>
        <v>33.700000000000003</v>
      </c>
      <c r="BQ946" s="117">
        <f>VLOOKUP($D946,'WB Data'!$C$3:$M$578,10,FALSE)</f>
        <v>69.300000000000011</v>
      </c>
      <c r="BR946" s="117">
        <f>VLOOKUP($D946,'WB Data'!$C$3:$M$578,11,FALSE)</f>
        <v>26.7</v>
      </c>
      <c r="BS946" s="129">
        <f>IFERROR(VLOOKUP($D946,'WB Data 2'!$C$2:$K$545,9,FALSE),"..")</f>
        <v>95.272779999999997</v>
      </c>
      <c r="BT946" s="129" t="str">
        <f>_xlfn.IFNA(VLOOKUP($C946,RGI!$A$2:$C$43,2,FALSE),"..")</f>
        <v>..</v>
      </c>
      <c r="BU946" s="129" t="str">
        <f>_xlfn.IFNA(VLOOKUP($C946,RGI!$A$2:$C$43,3,FALSE),"..")</f>
        <v>..</v>
      </c>
      <c r="BV946" s="129">
        <f>VLOOKUP($D946,WGI!$C$2:$O$478,7,FALSE)</f>
        <v>-0.95874429933139405</v>
      </c>
      <c r="BW946" s="129">
        <f>VLOOKUP($D946,WGI!$C$2:$O$478,4,FALSE)</f>
        <v>-1.0331283700851901</v>
      </c>
      <c r="BX946" s="129">
        <f>VLOOKUP($D946,WGI!$C$2:$O$478,3,FALSE)</f>
        <v>-0.63482368678068302</v>
      </c>
      <c r="BY946" s="129">
        <f>VLOOKUP($D946,WGI!$C$2:$O$478,5,FALSE)</f>
        <v>-0.25426987328707201</v>
      </c>
      <c r="BZ946" s="129">
        <f>VLOOKUP($D946,WGI!$C$2:$O$478,2,FALSE)</f>
        <v>-1.1090655234363</v>
      </c>
      <c r="CB946" s="129"/>
    </row>
    <row r="947" spans="1:80" s="120" customFormat="1" ht="15" customHeight="1">
      <c r="A947" s="294" t="s">
        <v>294</v>
      </c>
      <c r="B947" s="117">
        <v>2010</v>
      </c>
      <c r="C947" s="117" t="s">
        <v>285</v>
      </c>
      <c r="D947" s="117" t="s">
        <v>3669</v>
      </c>
      <c r="E947" s="452" t="s">
        <v>39</v>
      </c>
      <c r="F947" s="117"/>
      <c r="G947" s="117" t="s">
        <v>24</v>
      </c>
      <c r="H947" s="117" t="str">
        <f t="shared" si="158"/>
        <v>yes</v>
      </c>
      <c r="I947" s="117" t="str">
        <f t="shared" si="159"/>
        <v>no</v>
      </c>
      <c r="J947" s="117" t="str">
        <f t="shared" si="160"/>
        <v>no</v>
      </c>
      <c r="K947" s="117" t="s">
        <v>1538</v>
      </c>
      <c r="L947" s="117" t="str">
        <f t="shared" si="161"/>
        <v>detailed</v>
      </c>
      <c r="M947" s="117" t="str">
        <f t="shared" si="162"/>
        <v>detailed Mining</v>
      </c>
      <c r="N947" s="118">
        <v>700</v>
      </c>
      <c r="O947" s="118"/>
      <c r="P947" s="118"/>
      <c r="Q947" s="118"/>
      <c r="R947" s="118"/>
      <c r="S947" s="117" t="s">
        <v>610</v>
      </c>
      <c r="T947" s="119"/>
      <c r="U947" s="117"/>
      <c r="V947" s="117" t="s">
        <v>684</v>
      </c>
      <c r="W947" s="89"/>
      <c r="X947" s="117"/>
      <c r="Y947" s="117"/>
      <c r="Z947" s="117"/>
      <c r="AA947" s="177"/>
      <c r="AB947" s="177"/>
      <c r="AC947" s="122"/>
      <c r="AD947" s="122"/>
      <c r="AE947" s="122"/>
      <c r="AF947" s="123"/>
      <c r="AG947" s="117"/>
      <c r="AH947" s="124"/>
      <c r="AI947" s="117"/>
      <c r="AJ947" s="117"/>
      <c r="AK947" s="89"/>
      <c r="AL947" s="117"/>
      <c r="AM947" s="117"/>
      <c r="AN947" s="117"/>
      <c r="AO947" s="117"/>
      <c r="AP947" s="117"/>
      <c r="AQ947" s="117"/>
      <c r="AR947" s="126"/>
      <c r="AS947" s="117"/>
      <c r="AT947" s="117"/>
      <c r="AU947" s="117"/>
      <c r="AV947" s="128"/>
      <c r="AW947" s="117">
        <f>VLOOKUP($D947,'WB Data'!$C$3:$M$578,2,FALSE)</f>
        <v>4794357795.0713921</v>
      </c>
      <c r="AX947" s="117">
        <f>VLOOKUP($D947,'WB Data'!$C$3:$M$578,3,FALSE)</f>
        <v>5447900</v>
      </c>
      <c r="AY947" s="847">
        <f t="shared" si="154"/>
        <v>3.0030464382113573E-2</v>
      </c>
      <c r="AZ947" s="117">
        <f>VLOOKUP($D947,'WB Data'!$C$3:$M$578,4,FALSE)/100</f>
        <v>0.19422486253756763</v>
      </c>
      <c r="BA947" s="117">
        <f t="shared" si="155"/>
        <v>931183483.70365691</v>
      </c>
      <c r="BB947" s="129">
        <f>IFERROR(VLOOKUP($D947,'EITI Revenues'!$C$2:$G$224,5,FALSE),"..")</f>
        <v>143976791</v>
      </c>
      <c r="BC947" s="846">
        <f t="shared" si="156"/>
        <v>0.15461699387896324</v>
      </c>
      <c r="BD947" s="129">
        <f>VLOOKUP($D947,'WB Data 2'!$C$2:$K$545,6,FALSE)</f>
        <v>343035950.59742367</v>
      </c>
      <c r="BE947" s="129" t="str">
        <f>IFERROR(VLOOKUP($D947,UNCTAD!$C$5:$V$529,4,FALSE),"..")</f>
        <v>..</v>
      </c>
      <c r="BF947" s="846" t="str">
        <f t="shared" si="157"/>
        <v>..</v>
      </c>
      <c r="BG947" s="117">
        <f>VLOOKUP($D947,'WB Data'!$C$3:$M$578,5,FALSE)</f>
        <v>380370000</v>
      </c>
      <c r="BH947" s="129">
        <f>IFERROR($BB947/$BG947,"..")</f>
        <v>0.37851773536293609</v>
      </c>
      <c r="BI947" s="117">
        <f>IFERROR(VLOOKUP($D947,'WB Data'!$C$3:$M$578,7,FALSE)/100,"..")</f>
        <v>5.8188299999999998E-2</v>
      </c>
      <c r="BJ947" s="117">
        <f>IFERROR($BI947*$AW947,"..")</f>
        <v>278975529.68695265</v>
      </c>
      <c r="BK947" s="846">
        <f>IFERROR($BB947/$BJ947,"..")</f>
        <v>0.51609111079226533</v>
      </c>
      <c r="BL947" s="117">
        <f>IFERROR(VLOOKUP($D947,'WB Data'!$C$3:$M$578,7,FALSE)/100,"..")</f>
        <v>5.8188299999999998E-2</v>
      </c>
      <c r="BM947" s="117">
        <f>IFERROR($AW947*$BL947,"..")</f>
        <v>278975529.68695265</v>
      </c>
      <c r="BN947" s="846">
        <f>IFERROR($BB947/$BM947,"..")</f>
        <v>0.51609111079226533</v>
      </c>
      <c r="BO947" s="801" t="str">
        <f t="shared" si="153"/>
        <v>..</v>
      </c>
      <c r="BP947" s="117">
        <f>VLOOKUP($D947,'WB Data'!$C$3:$M$578,9,FALSE)</f>
        <v>33.700000000000003</v>
      </c>
      <c r="BQ947" s="117">
        <f>VLOOKUP($D947,'WB Data'!$C$3:$M$578,10,FALSE)</f>
        <v>69.300000000000011</v>
      </c>
      <c r="BR947" s="117">
        <f>VLOOKUP($D947,'WB Data'!$C$3:$M$578,11,FALSE)</f>
        <v>26.7</v>
      </c>
      <c r="BS947" s="129">
        <f>IFERROR(VLOOKUP($D947,'WB Data 2'!$C$2:$K$545,9,FALSE),"..")</f>
        <v>95.272779999999997</v>
      </c>
      <c r="BT947" s="129" t="str">
        <f>_xlfn.IFNA(VLOOKUP($C947,RGI!$A$2:$C$43,2,FALSE),"..")</f>
        <v>..</v>
      </c>
      <c r="BU947" s="129" t="str">
        <f>_xlfn.IFNA(VLOOKUP($C947,RGI!$A$2:$C$43,3,FALSE),"..")</f>
        <v>..</v>
      </c>
      <c r="BV947" s="129">
        <f>VLOOKUP($D947,WGI!$C$2:$O$478,7,FALSE)</f>
        <v>-0.95874429933139405</v>
      </c>
      <c r="BW947" s="129">
        <f>VLOOKUP($D947,WGI!$C$2:$O$478,4,FALSE)</f>
        <v>-1.0331283700851901</v>
      </c>
      <c r="BX947" s="129">
        <f>VLOOKUP($D947,WGI!$C$2:$O$478,3,FALSE)</f>
        <v>-0.63482368678068302</v>
      </c>
      <c r="BY947" s="129">
        <f>VLOOKUP($D947,WGI!$C$2:$O$478,5,FALSE)</f>
        <v>-0.25426987328707201</v>
      </c>
      <c r="BZ947" s="129">
        <f>VLOOKUP($D947,WGI!$C$2:$O$478,2,FALSE)</f>
        <v>-1.1090655234363</v>
      </c>
      <c r="CB947" s="129"/>
    </row>
    <row r="948" spans="1:80" s="120" customFormat="1" ht="15" customHeight="1">
      <c r="A948" s="294" t="s">
        <v>294</v>
      </c>
      <c r="B948" s="117">
        <v>2010</v>
      </c>
      <c r="C948" s="117" t="s">
        <v>285</v>
      </c>
      <c r="D948" s="117" t="s">
        <v>3669</v>
      </c>
      <c r="E948" s="452" t="s">
        <v>39</v>
      </c>
      <c r="F948" s="117"/>
      <c r="G948" s="117" t="s">
        <v>24</v>
      </c>
      <c r="H948" s="117" t="str">
        <f t="shared" si="158"/>
        <v>yes</v>
      </c>
      <c r="I948" s="117" t="str">
        <f t="shared" si="159"/>
        <v>no</v>
      </c>
      <c r="J948" s="117" t="str">
        <f t="shared" si="160"/>
        <v>no</v>
      </c>
      <c r="K948" s="117" t="s">
        <v>1545</v>
      </c>
      <c r="L948" s="117" t="str">
        <f t="shared" si="161"/>
        <v>detailed</v>
      </c>
      <c r="M948" s="117" t="str">
        <f t="shared" si="162"/>
        <v>detailed Mining</v>
      </c>
      <c r="N948" s="118">
        <v>98.7</v>
      </c>
      <c r="O948" s="118"/>
      <c r="P948" s="118"/>
      <c r="Q948" s="118"/>
      <c r="R948" s="118"/>
      <c r="S948" s="117" t="s">
        <v>610</v>
      </c>
      <c r="T948" s="119">
        <f>1076/0.035</f>
        <v>30742.857142857141</v>
      </c>
      <c r="U948" s="117" t="s">
        <v>611</v>
      </c>
      <c r="V948" s="117" t="s">
        <v>1546</v>
      </c>
      <c r="W948" s="89">
        <f>N948*T948</f>
        <v>3034320</v>
      </c>
      <c r="X948" s="117"/>
      <c r="Y948" s="117"/>
      <c r="Z948" s="117"/>
      <c r="AA948" s="177"/>
      <c r="AB948" s="177"/>
      <c r="AC948" s="122"/>
      <c r="AD948" s="122"/>
      <c r="AE948" s="122"/>
      <c r="AF948" s="123"/>
      <c r="AG948" s="117"/>
      <c r="AH948" s="124"/>
      <c r="AI948" s="117"/>
      <c r="AJ948" s="117"/>
      <c r="AK948" s="89"/>
      <c r="AL948" s="117"/>
      <c r="AM948" s="117"/>
      <c r="AN948" s="117"/>
      <c r="AO948" s="117"/>
      <c r="AP948" s="117"/>
      <c r="AQ948" s="117"/>
      <c r="AR948" s="126"/>
      <c r="AS948" s="117"/>
      <c r="AT948" s="117"/>
      <c r="AU948" s="117"/>
      <c r="AV948" s="128"/>
      <c r="AW948" s="117">
        <f>VLOOKUP($D948,'WB Data'!$C$3:$M$578,2,FALSE)</f>
        <v>4794357795.0713921</v>
      </c>
      <c r="AX948" s="117">
        <f>VLOOKUP($D948,'WB Data'!$C$3:$M$578,3,FALSE)</f>
        <v>5447900</v>
      </c>
      <c r="AY948" s="847">
        <f t="shared" si="154"/>
        <v>3.0030464382113573E-2</v>
      </c>
      <c r="AZ948" s="117">
        <f>VLOOKUP($D948,'WB Data'!$C$3:$M$578,4,FALSE)/100</f>
        <v>0.19422486253756763</v>
      </c>
      <c r="BA948" s="117">
        <f t="shared" si="155"/>
        <v>931183483.70365691</v>
      </c>
      <c r="BB948" s="129">
        <f>IFERROR(VLOOKUP($D948,'EITI Revenues'!$C$2:$G$224,5,FALSE),"..")</f>
        <v>143976791</v>
      </c>
      <c r="BC948" s="846">
        <f t="shared" si="156"/>
        <v>0.15461699387896324</v>
      </c>
      <c r="BD948" s="129">
        <f>VLOOKUP($D948,'WB Data 2'!$C$2:$K$545,6,FALSE)</f>
        <v>343035950.59742367</v>
      </c>
      <c r="BE948" s="129" t="str">
        <f>IFERROR(VLOOKUP($D948,UNCTAD!$C$5:$V$529,4,FALSE),"..")</f>
        <v>..</v>
      </c>
      <c r="BF948" s="846" t="str">
        <f t="shared" si="157"/>
        <v>..</v>
      </c>
      <c r="BG948" s="117">
        <f>VLOOKUP($D948,'WB Data'!$C$3:$M$578,5,FALSE)</f>
        <v>380370000</v>
      </c>
      <c r="BH948" s="129">
        <f>IFERROR($BB948/$BG948,"..")</f>
        <v>0.37851773536293609</v>
      </c>
      <c r="BI948" s="117">
        <f>IFERROR(VLOOKUP($D948,'WB Data'!$C$3:$M$578,7,FALSE)/100,"..")</f>
        <v>5.8188299999999998E-2</v>
      </c>
      <c r="BJ948" s="117">
        <f>IFERROR($BI948*$AW948,"..")</f>
        <v>278975529.68695265</v>
      </c>
      <c r="BK948" s="846">
        <f>IFERROR($BB948/$BJ948,"..")</f>
        <v>0.51609111079226533</v>
      </c>
      <c r="BL948" s="117">
        <f>IFERROR(VLOOKUP($D948,'WB Data'!$C$3:$M$578,7,FALSE)/100,"..")</f>
        <v>5.8188299999999998E-2</v>
      </c>
      <c r="BM948" s="117">
        <f>IFERROR($AW948*$BL948,"..")</f>
        <v>278975529.68695265</v>
      </c>
      <c r="BN948" s="846">
        <f>IFERROR($BB948/$BM948,"..")</f>
        <v>0.51609111079226533</v>
      </c>
      <c r="BO948" s="801" t="str">
        <f t="shared" si="153"/>
        <v>..</v>
      </c>
      <c r="BP948" s="117">
        <f>VLOOKUP($D948,'WB Data'!$C$3:$M$578,9,FALSE)</f>
        <v>33.700000000000003</v>
      </c>
      <c r="BQ948" s="117">
        <f>VLOOKUP($D948,'WB Data'!$C$3:$M$578,10,FALSE)</f>
        <v>69.300000000000011</v>
      </c>
      <c r="BR948" s="117">
        <f>VLOOKUP($D948,'WB Data'!$C$3:$M$578,11,FALSE)</f>
        <v>26.7</v>
      </c>
      <c r="BS948" s="129">
        <f>IFERROR(VLOOKUP($D948,'WB Data 2'!$C$2:$K$545,9,FALSE),"..")</f>
        <v>95.272779999999997</v>
      </c>
      <c r="BT948" s="129" t="str">
        <f>_xlfn.IFNA(VLOOKUP($C948,RGI!$A$2:$C$43,2,FALSE),"..")</f>
        <v>..</v>
      </c>
      <c r="BU948" s="129" t="str">
        <f>_xlfn.IFNA(VLOOKUP($C948,RGI!$A$2:$C$43,3,FALSE),"..")</f>
        <v>..</v>
      </c>
      <c r="BV948" s="129">
        <f>VLOOKUP($D948,WGI!$C$2:$O$478,7,FALSE)</f>
        <v>-0.95874429933139405</v>
      </c>
      <c r="BW948" s="129">
        <f>VLOOKUP($D948,WGI!$C$2:$O$478,4,FALSE)</f>
        <v>-1.0331283700851901</v>
      </c>
      <c r="BX948" s="129">
        <f>VLOOKUP($D948,WGI!$C$2:$O$478,3,FALSE)</f>
        <v>-0.63482368678068302</v>
      </c>
      <c r="BY948" s="129">
        <f>VLOOKUP($D948,WGI!$C$2:$O$478,5,FALSE)</f>
        <v>-0.25426987328707201</v>
      </c>
      <c r="BZ948" s="129">
        <f>VLOOKUP($D948,WGI!$C$2:$O$478,2,FALSE)</f>
        <v>-1.1090655234363</v>
      </c>
      <c r="CB948" s="129"/>
    </row>
    <row r="949" spans="1:80" s="120" customFormat="1" ht="15" customHeight="1">
      <c r="A949" s="294" t="s">
        <v>294</v>
      </c>
      <c r="B949" s="117">
        <v>2010</v>
      </c>
      <c r="C949" s="117" t="s">
        <v>285</v>
      </c>
      <c r="D949" s="117" t="s">
        <v>3669</v>
      </c>
      <c r="E949" s="452" t="s">
        <v>39</v>
      </c>
      <c r="F949" s="117"/>
      <c r="G949" s="117" t="s">
        <v>24</v>
      </c>
      <c r="H949" s="117" t="str">
        <f t="shared" si="158"/>
        <v>yes</v>
      </c>
      <c r="I949" s="117" t="str">
        <f t="shared" si="159"/>
        <v>no</v>
      </c>
      <c r="J949" s="117" t="str">
        <f t="shared" si="160"/>
        <v>no</v>
      </c>
      <c r="K949" s="117" t="s">
        <v>1547</v>
      </c>
      <c r="L949" s="117" t="str">
        <f t="shared" si="161"/>
        <v>detailed</v>
      </c>
      <c r="M949" s="117" t="str">
        <f t="shared" si="162"/>
        <v>detailed Mining</v>
      </c>
      <c r="N949" s="118"/>
      <c r="O949" s="118"/>
      <c r="P949" s="118"/>
      <c r="Q949" s="118"/>
      <c r="R949" s="118"/>
      <c r="S949" s="117"/>
      <c r="T949" s="119"/>
      <c r="U949" s="117"/>
      <c r="V949" s="117"/>
      <c r="W949" s="89"/>
      <c r="X949" s="117"/>
      <c r="Y949" s="117"/>
      <c r="Z949" s="117"/>
      <c r="AA949" s="177"/>
      <c r="AB949" s="177"/>
      <c r="AC949" s="122"/>
      <c r="AD949" s="122"/>
      <c r="AE949" s="122"/>
      <c r="AF949" s="123"/>
      <c r="AG949" s="117"/>
      <c r="AH949" s="124"/>
      <c r="AI949" s="117"/>
      <c r="AJ949" s="117"/>
      <c r="AK949" s="89"/>
      <c r="AL949" s="117"/>
      <c r="AM949" s="117"/>
      <c r="AN949" s="117"/>
      <c r="AO949" s="117"/>
      <c r="AP949" s="117"/>
      <c r="AQ949" s="117"/>
      <c r="AR949" s="126"/>
      <c r="AS949" s="117"/>
      <c r="AT949" s="117"/>
      <c r="AU949" s="117"/>
      <c r="AV949" s="128"/>
      <c r="AW949" s="117">
        <f>VLOOKUP($D949,'WB Data'!$C$3:$M$578,2,FALSE)</f>
        <v>4794357795.0713921</v>
      </c>
      <c r="AX949" s="117">
        <f>VLOOKUP($D949,'WB Data'!$C$3:$M$578,3,FALSE)</f>
        <v>5447900</v>
      </c>
      <c r="AY949" s="847">
        <f t="shared" si="154"/>
        <v>3.0030464382113573E-2</v>
      </c>
      <c r="AZ949" s="117">
        <f>VLOOKUP($D949,'WB Data'!$C$3:$M$578,4,FALSE)/100</f>
        <v>0.19422486253756763</v>
      </c>
      <c r="BA949" s="117">
        <f t="shared" si="155"/>
        <v>931183483.70365691</v>
      </c>
      <c r="BB949" s="129">
        <f>IFERROR(VLOOKUP($D949,'EITI Revenues'!$C$2:$G$224,5,FALSE),"..")</f>
        <v>143976791</v>
      </c>
      <c r="BC949" s="846">
        <f t="shared" si="156"/>
        <v>0.15461699387896324</v>
      </c>
      <c r="BD949" s="129">
        <f>VLOOKUP($D949,'WB Data 2'!$C$2:$K$545,6,FALSE)</f>
        <v>343035950.59742367</v>
      </c>
      <c r="BE949" s="129" t="str">
        <f>IFERROR(VLOOKUP($D949,UNCTAD!$C$5:$V$529,4,FALSE),"..")</f>
        <v>..</v>
      </c>
      <c r="BF949" s="846" t="str">
        <f t="shared" si="157"/>
        <v>..</v>
      </c>
      <c r="BG949" s="117">
        <f>VLOOKUP($D949,'WB Data'!$C$3:$M$578,5,FALSE)</f>
        <v>380370000</v>
      </c>
      <c r="BH949" s="129">
        <f>IFERROR($BB949/$BG949,"..")</f>
        <v>0.37851773536293609</v>
      </c>
      <c r="BI949" s="117">
        <f>IFERROR(VLOOKUP($D949,'WB Data'!$C$3:$M$578,7,FALSE)/100,"..")</f>
        <v>5.8188299999999998E-2</v>
      </c>
      <c r="BJ949" s="117">
        <f>IFERROR($BI949*$AW949,"..")</f>
        <v>278975529.68695265</v>
      </c>
      <c r="BK949" s="846">
        <f>IFERROR($BB949/$BJ949,"..")</f>
        <v>0.51609111079226533</v>
      </c>
      <c r="BL949" s="117">
        <f>IFERROR(VLOOKUP($D949,'WB Data'!$C$3:$M$578,7,FALSE)/100,"..")</f>
        <v>5.8188299999999998E-2</v>
      </c>
      <c r="BM949" s="117">
        <f>IFERROR($AW949*$BL949,"..")</f>
        <v>278975529.68695265</v>
      </c>
      <c r="BN949" s="846">
        <f>IFERROR($BB949/$BM949,"..")</f>
        <v>0.51609111079226533</v>
      </c>
      <c r="BO949" s="801" t="str">
        <f t="shared" si="153"/>
        <v>..</v>
      </c>
      <c r="BP949" s="117">
        <f>VLOOKUP($D949,'WB Data'!$C$3:$M$578,9,FALSE)</f>
        <v>33.700000000000003</v>
      </c>
      <c r="BQ949" s="117">
        <f>VLOOKUP($D949,'WB Data'!$C$3:$M$578,10,FALSE)</f>
        <v>69.300000000000011</v>
      </c>
      <c r="BR949" s="117">
        <f>VLOOKUP($D949,'WB Data'!$C$3:$M$578,11,FALSE)</f>
        <v>26.7</v>
      </c>
      <c r="BS949" s="129">
        <f>IFERROR(VLOOKUP($D949,'WB Data 2'!$C$2:$K$545,9,FALSE),"..")</f>
        <v>95.272779999999997</v>
      </c>
      <c r="BT949" s="129" t="str">
        <f>_xlfn.IFNA(VLOOKUP($C949,RGI!$A$2:$C$43,2,FALSE),"..")</f>
        <v>..</v>
      </c>
      <c r="BU949" s="129" t="str">
        <f>_xlfn.IFNA(VLOOKUP($C949,RGI!$A$2:$C$43,3,FALSE),"..")</f>
        <v>..</v>
      </c>
      <c r="BV949" s="129">
        <f>VLOOKUP($D949,WGI!$C$2:$O$478,7,FALSE)</f>
        <v>-0.95874429933139405</v>
      </c>
      <c r="BW949" s="129">
        <f>VLOOKUP($D949,WGI!$C$2:$O$478,4,FALSE)</f>
        <v>-1.0331283700851901</v>
      </c>
      <c r="BX949" s="129">
        <f>VLOOKUP($D949,WGI!$C$2:$O$478,3,FALSE)</f>
        <v>-0.63482368678068302</v>
      </c>
      <c r="BY949" s="129">
        <f>VLOOKUP($D949,WGI!$C$2:$O$478,5,FALSE)</f>
        <v>-0.25426987328707201</v>
      </c>
      <c r="BZ949" s="129">
        <f>VLOOKUP($D949,WGI!$C$2:$O$478,2,FALSE)</f>
        <v>-1.1090655234363</v>
      </c>
      <c r="CB949" s="129"/>
    </row>
    <row r="950" spans="1:80" s="120" customFormat="1" ht="15" customHeight="1">
      <c r="A950" s="294" t="s">
        <v>294</v>
      </c>
      <c r="B950" s="117">
        <v>2010</v>
      </c>
      <c r="C950" s="117" t="s">
        <v>285</v>
      </c>
      <c r="D950" s="117" t="s">
        <v>3669</v>
      </c>
      <c r="E950" s="452" t="s">
        <v>39</v>
      </c>
      <c r="F950" s="117"/>
      <c r="G950" s="117" t="s">
        <v>24</v>
      </c>
      <c r="H950" s="117" t="str">
        <f t="shared" si="158"/>
        <v>yes</v>
      </c>
      <c r="I950" s="117" t="str">
        <f t="shared" si="159"/>
        <v>no</v>
      </c>
      <c r="J950" s="117" t="str">
        <f t="shared" si="160"/>
        <v>no</v>
      </c>
      <c r="K950" s="117" t="s">
        <v>1539</v>
      </c>
      <c r="L950" s="117" t="str">
        <f t="shared" si="161"/>
        <v>detailed</v>
      </c>
      <c r="M950" s="117" t="str">
        <f t="shared" si="162"/>
        <v>detailed Mining</v>
      </c>
      <c r="N950" s="118">
        <v>2000</v>
      </c>
      <c r="O950" s="118"/>
      <c r="P950" s="118"/>
      <c r="Q950" s="118"/>
      <c r="R950" s="118"/>
      <c r="S950" s="117" t="s">
        <v>610</v>
      </c>
      <c r="T950" s="119"/>
      <c r="U950" s="117"/>
      <c r="V950" s="117" t="s">
        <v>684</v>
      </c>
      <c r="W950" s="89"/>
      <c r="X950" s="117"/>
      <c r="Y950" s="117"/>
      <c r="Z950" s="117"/>
      <c r="AA950" s="177"/>
      <c r="AB950" s="177"/>
      <c r="AC950" s="122"/>
      <c r="AD950" s="122"/>
      <c r="AE950" s="122"/>
      <c r="AF950" s="123"/>
      <c r="AG950" s="117"/>
      <c r="AH950" s="124"/>
      <c r="AI950" s="117"/>
      <c r="AJ950" s="117"/>
      <c r="AK950" s="89"/>
      <c r="AL950" s="117"/>
      <c r="AM950" s="117"/>
      <c r="AN950" s="117"/>
      <c r="AO950" s="117"/>
      <c r="AP950" s="117"/>
      <c r="AQ950" s="117"/>
      <c r="AR950" s="126"/>
      <c r="AS950" s="117"/>
      <c r="AT950" s="117"/>
      <c r="AU950" s="117"/>
      <c r="AV950" s="128"/>
      <c r="AW950" s="117">
        <f>VLOOKUP($D950,'WB Data'!$C$3:$M$578,2,FALSE)</f>
        <v>4794357795.0713921</v>
      </c>
      <c r="AX950" s="117">
        <f>VLOOKUP($D950,'WB Data'!$C$3:$M$578,3,FALSE)</f>
        <v>5447900</v>
      </c>
      <c r="AY950" s="847">
        <f t="shared" si="154"/>
        <v>3.0030464382113573E-2</v>
      </c>
      <c r="AZ950" s="117">
        <f>VLOOKUP($D950,'WB Data'!$C$3:$M$578,4,FALSE)/100</f>
        <v>0.19422486253756763</v>
      </c>
      <c r="BA950" s="117">
        <f t="shared" si="155"/>
        <v>931183483.70365691</v>
      </c>
      <c r="BB950" s="129">
        <f>IFERROR(VLOOKUP($D950,'EITI Revenues'!$C$2:$G$224,5,FALSE),"..")</f>
        <v>143976791</v>
      </c>
      <c r="BC950" s="846">
        <f t="shared" si="156"/>
        <v>0.15461699387896324</v>
      </c>
      <c r="BD950" s="129">
        <f>VLOOKUP($D950,'WB Data 2'!$C$2:$K$545,6,FALSE)</f>
        <v>343035950.59742367</v>
      </c>
      <c r="BE950" s="129" t="str">
        <f>IFERROR(VLOOKUP($D950,UNCTAD!$C$5:$V$529,4,FALSE),"..")</f>
        <v>..</v>
      </c>
      <c r="BF950" s="846" t="str">
        <f t="shared" si="157"/>
        <v>..</v>
      </c>
      <c r="BG950" s="117">
        <f>VLOOKUP($D950,'WB Data'!$C$3:$M$578,5,FALSE)</f>
        <v>380370000</v>
      </c>
      <c r="BH950" s="129">
        <f>IFERROR($BB950/$BG950,"..")</f>
        <v>0.37851773536293609</v>
      </c>
      <c r="BI950" s="117">
        <f>IFERROR(VLOOKUP($D950,'WB Data'!$C$3:$M$578,7,FALSE)/100,"..")</f>
        <v>5.8188299999999998E-2</v>
      </c>
      <c r="BJ950" s="117">
        <f>IFERROR($BI950*$AW950,"..")</f>
        <v>278975529.68695265</v>
      </c>
      <c r="BK950" s="846">
        <f>IFERROR($BB950/$BJ950,"..")</f>
        <v>0.51609111079226533</v>
      </c>
      <c r="BL950" s="117">
        <f>IFERROR(VLOOKUP($D950,'WB Data'!$C$3:$M$578,7,FALSE)/100,"..")</f>
        <v>5.8188299999999998E-2</v>
      </c>
      <c r="BM950" s="117">
        <f>IFERROR($AW950*$BL950,"..")</f>
        <v>278975529.68695265</v>
      </c>
      <c r="BN950" s="846">
        <f>IFERROR($BB950/$BM950,"..")</f>
        <v>0.51609111079226533</v>
      </c>
      <c r="BO950" s="801" t="str">
        <f t="shared" si="153"/>
        <v>..</v>
      </c>
      <c r="BP950" s="117">
        <f>VLOOKUP($D950,'WB Data'!$C$3:$M$578,9,FALSE)</f>
        <v>33.700000000000003</v>
      </c>
      <c r="BQ950" s="117">
        <f>VLOOKUP($D950,'WB Data'!$C$3:$M$578,10,FALSE)</f>
        <v>69.300000000000011</v>
      </c>
      <c r="BR950" s="117">
        <f>VLOOKUP($D950,'WB Data'!$C$3:$M$578,11,FALSE)</f>
        <v>26.7</v>
      </c>
      <c r="BS950" s="129">
        <f>IFERROR(VLOOKUP($D950,'WB Data 2'!$C$2:$K$545,9,FALSE),"..")</f>
        <v>95.272779999999997</v>
      </c>
      <c r="BT950" s="129" t="str">
        <f>_xlfn.IFNA(VLOOKUP($C950,RGI!$A$2:$C$43,2,FALSE),"..")</f>
        <v>..</v>
      </c>
      <c r="BU950" s="129" t="str">
        <f>_xlfn.IFNA(VLOOKUP($C950,RGI!$A$2:$C$43,3,FALSE),"..")</f>
        <v>..</v>
      </c>
      <c r="BV950" s="129">
        <f>VLOOKUP($D950,WGI!$C$2:$O$478,7,FALSE)</f>
        <v>-0.95874429933139405</v>
      </c>
      <c r="BW950" s="129">
        <f>VLOOKUP($D950,WGI!$C$2:$O$478,4,FALSE)</f>
        <v>-1.0331283700851901</v>
      </c>
      <c r="BX950" s="129">
        <f>VLOOKUP($D950,WGI!$C$2:$O$478,3,FALSE)</f>
        <v>-0.63482368678068302</v>
      </c>
      <c r="BY950" s="129">
        <f>VLOOKUP($D950,WGI!$C$2:$O$478,5,FALSE)</f>
        <v>-0.25426987328707201</v>
      </c>
      <c r="BZ950" s="129">
        <f>VLOOKUP($D950,WGI!$C$2:$O$478,2,FALSE)</f>
        <v>-1.1090655234363</v>
      </c>
      <c r="CB950" s="129"/>
    </row>
    <row r="951" spans="1:80" s="158" customFormat="1" ht="15" customHeight="1">
      <c r="A951" s="295" t="s">
        <v>294</v>
      </c>
      <c r="B951" s="149">
        <v>2010</v>
      </c>
      <c r="C951" s="149" t="s">
        <v>285</v>
      </c>
      <c r="D951" s="117" t="s">
        <v>3669</v>
      </c>
      <c r="E951" s="453" t="s">
        <v>39</v>
      </c>
      <c r="F951" s="149"/>
      <c r="G951" s="149" t="s">
        <v>24</v>
      </c>
      <c r="H951" s="149" t="str">
        <f t="shared" si="158"/>
        <v>yes</v>
      </c>
      <c r="I951" s="149" t="str">
        <f t="shared" si="159"/>
        <v>no</v>
      </c>
      <c r="J951" s="149" t="str">
        <f t="shared" si="160"/>
        <v>no</v>
      </c>
      <c r="K951" s="149" t="s">
        <v>1540</v>
      </c>
      <c r="L951" s="149" t="str">
        <f t="shared" si="161"/>
        <v>detailed</v>
      </c>
      <c r="M951" s="149" t="str">
        <f t="shared" si="162"/>
        <v>detailed Mining</v>
      </c>
      <c r="N951" s="150">
        <v>2385</v>
      </c>
      <c r="O951" s="150"/>
      <c r="P951" s="150"/>
      <c r="Q951" s="150"/>
      <c r="R951" s="150"/>
      <c r="S951" s="149" t="s">
        <v>610</v>
      </c>
      <c r="T951" s="151"/>
      <c r="U951" s="149"/>
      <c r="V951" s="149" t="s">
        <v>684</v>
      </c>
      <c r="W951" s="152"/>
      <c r="X951" s="149"/>
      <c r="Y951" s="149"/>
      <c r="Z951" s="149"/>
      <c r="AA951" s="284"/>
      <c r="AB951" s="284"/>
      <c r="AC951" s="154"/>
      <c r="AD951" s="154"/>
      <c r="AE951" s="154"/>
      <c r="AF951" s="155"/>
      <c r="AG951" s="149"/>
      <c r="AH951" s="156"/>
      <c r="AI951" s="149"/>
      <c r="AJ951" s="149"/>
      <c r="AK951" s="152"/>
      <c r="AL951" s="149"/>
      <c r="AM951" s="149"/>
      <c r="AN951" s="149"/>
      <c r="AO951" s="149"/>
      <c r="AP951" s="149"/>
      <c r="AQ951" s="149"/>
      <c r="AR951" s="220"/>
      <c r="AS951" s="149"/>
      <c r="AT951" s="149"/>
      <c r="AU951" s="149"/>
      <c r="AV951" s="157"/>
      <c r="AW951" s="117">
        <f>VLOOKUP($D951,'WB Data'!$C$3:$M$578,2,FALSE)</f>
        <v>4794357795.0713921</v>
      </c>
      <c r="AX951" s="117">
        <f>VLOOKUP($D951,'WB Data'!$C$3:$M$578,3,FALSE)</f>
        <v>5447900</v>
      </c>
      <c r="AY951" s="847">
        <f t="shared" si="154"/>
        <v>3.0030464382113573E-2</v>
      </c>
      <c r="AZ951" s="117">
        <f>VLOOKUP($D951,'WB Data'!$C$3:$M$578,4,FALSE)/100</f>
        <v>0.19422486253756763</v>
      </c>
      <c r="BA951" s="117">
        <f t="shared" si="155"/>
        <v>931183483.70365691</v>
      </c>
      <c r="BB951" s="129">
        <f>IFERROR(VLOOKUP($D951,'EITI Revenues'!$C$2:$G$224,5,FALSE),"..")</f>
        <v>143976791</v>
      </c>
      <c r="BC951" s="846">
        <f t="shared" si="156"/>
        <v>0.15461699387896324</v>
      </c>
      <c r="BD951" s="129">
        <f>VLOOKUP($D951,'WB Data 2'!$C$2:$K$545,6,FALSE)</f>
        <v>343035950.59742367</v>
      </c>
      <c r="BE951" s="129" t="str">
        <f>IFERROR(VLOOKUP($D951,UNCTAD!$C$5:$V$529,4,FALSE),"..")</f>
        <v>..</v>
      </c>
      <c r="BF951" s="846" t="str">
        <f t="shared" si="157"/>
        <v>..</v>
      </c>
      <c r="BG951" s="117">
        <f>VLOOKUP($D951,'WB Data'!$C$3:$M$578,5,FALSE)</f>
        <v>380370000</v>
      </c>
      <c r="BH951" s="129">
        <f>IFERROR($BB951/$BG951,"..")</f>
        <v>0.37851773536293609</v>
      </c>
      <c r="BI951" s="117">
        <f>IFERROR(VLOOKUP($D951,'WB Data'!$C$3:$M$578,7,FALSE)/100,"..")</f>
        <v>5.8188299999999998E-2</v>
      </c>
      <c r="BJ951" s="117">
        <f>IFERROR($BI951*$AW951,"..")</f>
        <v>278975529.68695265</v>
      </c>
      <c r="BK951" s="846">
        <f>IFERROR($BB951/$BJ951,"..")</f>
        <v>0.51609111079226533</v>
      </c>
      <c r="BL951" s="117">
        <f>IFERROR(VLOOKUP($D951,'WB Data'!$C$3:$M$578,7,FALSE)/100,"..")</f>
        <v>5.8188299999999998E-2</v>
      </c>
      <c r="BM951" s="117">
        <f>IFERROR($AW951*$BL951,"..")</f>
        <v>278975529.68695265</v>
      </c>
      <c r="BN951" s="846">
        <f>IFERROR($BB951/$BM951,"..")</f>
        <v>0.51609111079226533</v>
      </c>
      <c r="BO951" s="801" t="str">
        <f t="shared" si="153"/>
        <v>..</v>
      </c>
      <c r="BP951" s="117">
        <f>VLOOKUP($D951,'WB Data'!$C$3:$M$578,9,FALSE)</f>
        <v>33.700000000000003</v>
      </c>
      <c r="BQ951" s="117">
        <f>VLOOKUP($D951,'WB Data'!$C$3:$M$578,10,FALSE)</f>
        <v>69.300000000000011</v>
      </c>
      <c r="BR951" s="117">
        <f>VLOOKUP($D951,'WB Data'!$C$3:$M$578,11,FALSE)</f>
        <v>26.7</v>
      </c>
      <c r="BS951" s="129">
        <f>IFERROR(VLOOKUP($D951,'WB Data 2'!$C$2:$K$545,9,FALSE),"..")</f>
        <v>95.272779999999997</v>
      </c>
      <c r="BT951" s="129" t="str">
        <f>_xlfn.IFNA(VLOOKUP($C951,RGI!$A$2:$C$43,2,FALSE),"..")</f>
        <v>..</v>
      </c>
      <c r="BU951" s="129" t="str">
        <f>_xlfn.IFNA(VLOOKUP($C951,RGI!$A$2:$C$43,3,FALSE),"..")</f>
        <v>..</v>
      </c>
      <c r="BV951" s="129">
        <f>VLOOKUP($D951,WGI!$C$2:$O$478,7,FALSE)</f>
        <v>-0.95874429933139405</v>
      </c>
      <c r="BW951" s="129">
        <f>VLOOKUP($D951,WGI!$C$2:$O$478,4,FALSE)</f>
        <v>-1.0331283700851901</v>
      </c>
      <c r="BX951" s="129">
        <f>VLOOKUP($D951,WGI!$C$2:$O$478,3,FALSE)</f>
        <v>-0.63482368678068302</v>
      </c>
      <c r="BY951" s="129">
        <f>VLOOKUP($D951,WGI!$C$2:$O$478,5,FALSE)</f>
        <v>-0.25426987328707201</v>
      </c>
      <c r="BZ951" s="129">
        <f>VLOOKUP($D951,WGI!$C$2:$O$478,2,FALSE)</f>
        <v>-1.1090655234363</v>
      </c>
      <c r="CB951" s="129"/>
    </row>
    <row r="952" spans="1:80" ht="15" customHeight="1">
      <c r="A952" s="294" t="s">
        <v>295</v>
      </c>
      <c r="B952" s="117">
        <v>2011</v>
      </c>
      <c r="C952" s="117" t="s">
        <v>285</v>
      </c>
      <c r="D952" s="117" t="s">
        <v>3703</v>
      </c>
      <c r="E952" s="452" t="s">
        <v>39</v>
      </c>
      <c r="F952" s="117" t="s">
        <v>1467</v>
      </c>
      <c r="G952" s="117" t="s">
        <v>35</v>
      </c>
      <c r="H952" s="117" t="str">
        <f t="shared" si="158"/>
        <v>yes</v>
      </c>
      <c r="I952" s="117" t="str">
        <f t="shared" si="159"/>
        <v>yes</v>
      </c>
      <c r="J952" s="117" t="str">
        <f t="shared" si="160"/>
        <v>yes</v>
      </c>
      <c r="K952" s="117" t="s">
        <v>709</v>
      </c>
      <c r="L952" s="117" t="str">
        <f t="shared" si="161"/>
        <v>Total</v>
      </c>
      <c r="M952" s="117" t="str">
        <f t="shared" si="162"/>
        <v>Total Oil, Gas, Mining</v>
      </c>
      <c r="N952" s="118"/>
      <c r="O952" s="118"/>
      <c r="P952" s="118"/>
      <c r="Q952" s="118"/>
      <c r="R952" s="118"/>
      <c r="S952" s="117"/>
      <c r="T952" s="119"/>
      <c r="U952" s="117"/>
      <c r="V952" s="117"/>
      <c r="W952" s="89">
        <f>W953+W956</f>
        <v>188847543.40092915</v>
      </c>
      <c r="X952" s="117" t="s">
        <v>601</v>
      </c>
      <c r="Y952" s="117" t="s">
        <v>602</v>
      </c>
      <c r="Z952" s="117" t="s">
        <v>603</v>
      </c>
      <c r="AA952" s="334">
        <v>246173059</v>
      </c>
      <c r="AB952" s="334">
        <v>246031215</v>
      </c>
      <c r="AC952" s="212" t="s">
        <v>1559</v>
      </c>
      <c r="AD952" s="212"/>
      <c r="AE952" s="212"/>
      <c r="AF952" s="213">
        <f>AA952/(W952*0.965)</f>
        <v>1.350833645754411</v>
      </c>
      <c r="AG952" s="117" t="s">
        <v>1480</v>
      </c>
      <c r="AH952" s="124">
        <v>46.1</v>
      </c>
      <c r="AI952" s="117" t="s">
        <v>1548</v>
      </c>
      <c r="AJ952" s="117"/>
      <c r="AK952" s="117"/>
      <c r="AL952" s="117"/>
      <c r="AM952" s="117"/>
      <c r="AN952" s="117">
        <v>57</v>
      </c>
      <c r="AO952" s="117" t="s">
        <v>1560</v>
      </c>
      <c r="AP952" s="117">
        <v>57</v>
      </c>
      <c r="AQ952" s="117" t="s">
        <v>44</v>
      </c>
      <c r="AR952" s="126">
        <v>41913</v>
      </c>
      <c r="AS952" s="117" t="s">
        <v>1550</v>
      </c>
      <c r="AT952" s="117" t="s">
        <v>296</v>
      </c>
      <c r="AU952" s="215" t="s">
        <v>1561</v>
      </c>
      <c r="AV952" s="128" t="s">
        <v>1562</v>
      </c>
      <c r="AW952" s="117">
        <f>VLOOKUP($D952,'WB Data'!$C$3:$M$578,2,FALSE)</f>
        <v>6197766118.5985575</v>
      </c>
      <c r="AX952" s="117">
        <f>VLOOKUP($D952,'WB Data'!$C$3:$M$578,3,FALSE)</f>
        <v>5514600</v>
      </c>
      <c r="AY952" s="847">
        <f t="shared" si="154"/>
        <v>3.9719643221332916E-2</v>
      </c>
      <c r="AZ952" s="117">
        <f>VLOOKUP($D952,'WB Data'!$C$3:$M$578,4,FALSE)/100</f>
        <v>0.21073965406373879</v>
      </c>
      <c r="BA952" s="117">
        <f t="shared" si="155"/>
        <v>1306115087.8014212</v>
      </c>
      <c r="BB952" s="129">
        <f>IFERROR(VLOOKUP($D952,'EITI Revenues'!$C$2:$G$224,5,FALSE),"..")</f>
        <v>246173059</v>
      </c>
      <c r="BC952" s="846">
        <f t="shared" si="156"/>
        <v>0.18847731053653335</v>
      </c>
      <c r="BD952" s="129">
        <f>VLOOKUP($D952,'WB Data 2'!$C$2:$K$545,6,FALSE)</f>
        <v>572997094.34538686</v>
      </c>
      <c r="BE952" s="129" t="str">
        <f>IFERROR(VLOOKUP($D952,UNCTAD!$C$5:$V$529,4,FALSE),"..")</f>
        <v>..</v>
      </c>
      <c r="BF952" s="846" t="str">
        <f t="shared" si="157"/>
        <v>..</v>
      </c>
      <c r="BG952" s="117">
        <f>VLOOKUP($D952,'WB Data'!$C$3:$M$578,5,FALSE)</f>
        <v>525030000</v>
      </c>
      <c r="BH952" s="129">
        <f>IFERROR($BB952/$BG952,"..")</f>
        <v>0.468874271946365</v>
      </c>
      <c r="BI952" s="117">
        <f>IFERROR(VLOOKUP($D952,'WB Data'!$C$3:$M$578,7,FALSE)/100,"..")</f>
        <v>6.79062E-2</v>
      </c>
      <c r="BJ952" s="117">
        <f>IFERROR($BI952*$AW952,"..")</f>
        <v>420866745.60277736</v>
      </c>
      <c r="BK952" s="846">
        <f>IFERROR($BB952/$BJ952,"..")</f>
        <v>0.58491924480140123</v>
      </c>
      <c r="BL952" s="117">
        <f>IFERROR(VLOOKUP($D952,'WB Data'!$C$3:$M$578,7,FALSE)/100,"..")</f>
        <v>6.79062E-2</v>
      </c>
      <c r="BM952" s="117">
        <f>IFERROR($AW952*$BL952,"..")</f>
        <v>420866745.60277736</v>
      </c>
      <c r="BN952" s="846">
        <f>IFERROR($BB952/$BM952,"..")</f>
        <v>0.58491924480140123</v>
      </c>
      <c r="BO952" s="801" t="str">
        <f t="shared" si="153"/>
        <v>..</v>
      </c>
      <c r="BP952" s="117">
        <f>VLOOKUP($D952,'WB Data'!$C$3:$M$578,9,FALSE)</f>
        <v>36.799999999999997</v>
      </c>
      <c r="BQ952" s="117">
        <f>VLOOKUP($D952,'WB Data'!$C$3:$M$578,10,FALSE)</f>
        <v>69.60243902439025</v>
      </c>
      <c r="BR952" s="117">
        <f>VLOOKUP($D952,'WB Data'!$C$3:$M$578,11,FALSE)</f>
        <v>24.9</v>
      </c>
      <c r="BS952" s="129">
        <f>IFERROR(VLOOKUP($D952,'WB Data 2'!$C$2:$K$545,9,FALSE),"..")</f>
        <v>96.062510000000003</v>
      </c>
      <c r="BT952" s="129" t="str">
        <f>_xlfn.IFNA(VLOOKUP($C952,RGI!$A$2:$C$43,2,FALSE),"..")</f>
        <v>..</v>
      </c>
      <c r="BU952" s="129" t="str">
        <f>_xlfn.IFNA(VLOOKUP($C952,RGI!$A$2:$C$43,3,FALSE),"..")</f>
        <v>..</v>
      </c>
      <c r="BV952" s="129">
        <f>VLOOKUP($D952,WGI!$C$2:$O$478,7,FALSE)</f>
        <v>-0.733062043201957</v>
      </c>
      <c r="BW952" s="129">
        <f>VLOOKUP($D952,WGI!$C$2:$O$478,4,FALSE)</f>
        <v>-1.0763722910942799</v>
      </c>
      <c r="BX952" s="129">
        <f>VLOOKUP($D952,WGI!$C$2:$O$478,3,FALSE)</f>
        <v>-0.62813373017797802</v>
      </c>
      <c r="BY952" s="129">
        <f>VLOOKUP($D952,WGI!$C$2:$O$478,5,FALSE)</f>
        <v>-0.215674009622323</v>
      </c>
      <c r="BZ952" s="129">
        <f>VLOOKUP($D952,WGI!$C$2:$O$478,2,FALSE)</f>
        <v>-1.1536330480467301</v>
      </c>
    </row>
    <row r="953" spans="1:80" ht="15" customHeight="1">
      <c r="A953" s="294" t="s">
        <v>295</v>
      </c>
      <c r="B953" s="117">
        <v>2011</v>
      </c>
      <c r="C953" s="117" t="s">
        <v>285</v>
      </c>
      <c r="D953" s="117" t="s">
        <v>3703</v>
      </c>
      <c r="E953" s="452" t="s">
        <v>39</v>
      </c>
      <c r="F953" s="117"/>
      <c r="G953" s="117" t="s">
        <v>55</v>
      </c>
      <c r="H953" s="117" t="str">
        <f t="shared" si="158"/>
        <v>no</v>
      </c>
      <c r="I953" s="117" t="str">
        <f t="shared" si="159"/>
        <v>yes</v>
      </c>
      <c r="J953" s="117" t="str">
        <f t="shared" si="160"/>
        <v>yes</v>
      </c>
      <c r="K953" s="117" t="s">
        <v>640</v>
      </c>
      <c r="L953" s="117" t="str">
        <f t="shared" si="161"/>
        <v>Total</v>
      </c>
      <c r="M953" s="117" t="str">
        <f t="shared" si="162"/>
        <v>Total Oil, Gas</v>
      </c>
      <c r="N953" s="118"/>
      <c r="O953" s="118"/>
      <c r="P953" s="118"/>
      <c r="Q953" s="118"/>
      <c r="R953" s="118"/>
      <c r="S953" s="117"/>
      <c r="T953" s="119"/>
      <c r="U953" s="117"/>
      <c r="V953" s="117"/>
      <c r="W953" s="89">
        <f>SUM(W954:W955)</f>
        <v>75114847.649367869</v>
      </c>
      <c r="X953" s="117"/>
      <c r="Y953" s="117"/>
      <c r="Z953" s="117"/>
      <c r="AA953" s="177">
        <v>10775466</v>
      </c>
      <c r="AB953" s="177">
        <v>10774924</v>
      </c>
      <c r="AC953" s="122"/>
      <c r="AD953" s="122"/>
      <c r="AE953" s="122"/>
      <c r="AF953" s="123">
        <f>AA953/W953</f>
        <v>0.1434532098141143</v>
      </c>
      <c r="AG953" s="117"/>
      <c r="AH953" s="124"/>
      <c r="AI953" s="117"/>
      <c r="AJ953" s="117"/>
      <c r="AK953" s="89"/>
      <c r="AL953" s="117"/>
      <c r="AM953" s="117"/>
      <c r="AN953" s="117">
        <v>1</v>
      </c>
      <c r="AO953" s="117" t="s">
        <v>1512</v>
      </c>
      <c r="AP953" s="117">
        <v>1</v>
      </c>
      <c r="AQ953" s="117"/>
      <c r="AR953" s="126"/>
      <c r="AS953" s="117"/>
      <c r="AT953" s="117"/>
      <c r="AU953" s="117">
        <v>14</v>
      </c>
      <c r="AV953" s="128"/>
      <c r="AW953" s="117">
        <f>VLOOKUP($D953,'WB Data'!$C$3:$M$578,2,FALSE)</f>
        <v>6197766118.5985575</v>
      </c>
      <c r="AX953" s="117">
        <f>VLOOKUP($D953,'WB Data'!$C$3:$M$578,3,FALSE)</f>
        <v>5514600</v>
      </c>
      <c r="AY953" s="847">
        <f t="shared" si="154"/>
        <v>3.9719643221332916E-2</v>
      </c>
      <c r="AZ953" s="117">
        <f>VLOOKUP($D953,'WB Data'!$C$3:$M$578,4,FALSE)/100</f>
        <v>0.21073965406373879</v>
      </c>
      <c r="BA953" s="117">
        <f t="shared" si="155"/>
        <v>1306115087.8014212</v>
      </c>
      <c r="BB953" s="129">
        <f>IFERROR(VLOOKUP($D953,'EITI Revenues'!$C$2:$G$224,5,FALSE),"..")</f>
        <v>246173059</v>
      </c>
      <c r="BC953" s="846">
        <f t="shared" si="156"/>
        <v>0.18847731053653335</v>
      </c>
      <c r="BD953" s="129">
        <f>VLOOKUP($D953,'WB Data 2'!$C$2:$K$545,6,FALSE)</f>
        <v>572997094.34538686</v>
      </c>
      <c r="BE953" s="129" t="str">
        <f>IFERROR(VLOOKUP($D953,UNCTAD!$C$5:$V$529,4,FALSE),"..")</f>
        <v>..</v>
      </c>
      <c r="BF953" s="846" t="str">
        <f t="shared" si="157"/>
        <v>..</v>
      </c>
      <c r="BG953" s="117">
        <f>VLOOKUP($D953,'WB Data'!$C$3:$M$578,5,FALSE)</f>
        <v>525030000</v>
      </c>
      <c r="BH953" s="129">
        <f>IFERROR($BB953/$BG953,"..")</f>
        <v>0.468874271946365</v>
      </c>
      <c r="BI953" s="117">
        <f>IFERROR(VLOOKUP($D953,'WB Data'!$C$3:$M$578,7,FALSE)/100,"..")</f>
        <v>6.79062E-2</v>
      </c>
      <c r="BJ953" s="117">
        <f>IFERROR($BI953*$AW953,"..")</f>
        <v>420866745.60277736</v>
      </c>
      <c r="BK953" s="846">
        <f>IFERROR($BB953/$BJ953,"..")</f>
        <v>0.58491924480140123</v>
      </c>
      <c r="BL953" s="117">
        <f>IFERROR(VLOOKUP($D953,'WB Data'!$C$3:$M$578,7,FALSE)/100,"..")</f>
        <v>6.79062E-2</v>
      </c>
      <c r="BM953" s="117">
        <f>IFERROR($AW953*$BL953,"..")</f>
        <v>420866745.60277736</v>
      </c>
      <c r="BN953" s="846">
        <f>IFERROR($BB953/$BM953,"..")</f>
        <v>0.58491924480140123</v>
      </c>
      <c r="BO953" s="801" t="str">
        <f t="shared" si="153"/>
        <v>..</v>
      </c>
      <c r="BP953" s="117">
        <f>VLOOKUP($D953,'WB Data'!$C$3:$M$578,9,FALSE)</f>
        <v>36.799999999999997</v>
      </c>
      <c r="BQ953" s="117">
        <f>VLOOKUP($D953,'WB Data'!$C$3:$M$578,10,FALSE)</f>
        <v>69.60243902439025</v>
      </c>
      <c r="BR953" s="117">
        <f>VLOOKUP($D953,'WB Data'!$C$3:$M$578,11,FALSE)</f>
        <v>24.9</v>
      </c>
      <c r="BS953" s="129">
        <f>IFERROR(VLOOKUP($D953,'WB Data 2'!$C$2:$K$545,9,FALSE),"..")</f>
        <v>96.062510000000003</v>
      </c>
      <c r="BT953" s="129" t="str">
        <f>_xlfn.IFNA(VLOOKUP($C953,RGI!$A$2:$C$43,2,FALSE),"..")</f>
        <v>..</v>
      </c>
      <c r="BU953" s="129" t="str">
        <f>_xlfn.IFNA(VLOOKUP($C953,RGI!$A$2:$C$43,3,FALSE),"..")</f>
        <v>..</v>
      </c>
      <c r="BV953" s="129">
        <f>VLOOKUP($D953,WGI!$C$2:$O$478,7,FALSE)</f>
        <v>-0.733062043201957</v>
      </c>
      <c r="BW953" s="129">
        <f>VLOOKUP($D953,WGI!$C$2:$O$478,4,FALSE)</f>
        <v>-1.0763722910942799</v>
      </c>
      <c r="BX953" s="129">
        <f>VLOOKUP($D953,WGI!$C$2:$O$478,3,FALSE)</f>
        <v>-0.62813373017797802</v>
      </c>
      <c r="BY953" s="129">
        <f>VLOOKUP($D953,WGI!$C$2:$O$478,5,FALSE)</f>
        <v>-0.215674009622323</v>
      </c>
      <c r="BZ953" s="129">
        <f>VLOOKUP($D953,WGI!$C$2:$O$478,2,FALSE)</f>
        <v>-1.1536330480467301</v>
      </c>
    </row>
    <row r="954" spans="1:80" ht="15" customHeight="1">
      <c r="A954" s="294" t="s">
        <v>295</v>
      </c>
      <c r="B954" s="117">
        <v>2011</v>
      </c>
      <c r="C954" s="117" t="s">
        <v>285</v>
      </c>
      <c r="D954" s="117" t="s">
        <v>3703</v>
      </c>
      <c r="E954" s="452" t="s">
        <v>39</v>
      </c>
      <c r="F954" s="117"/>
      <c r="G954" s="117" t="s">
        <v>561</v>
      </c>
      <c r="H954" s="117" t="str">
        <f t="shared" si="158"/>
        <v>no</v>
      </c>
      <c r="I954" s="117" t="str">
        <f t="shared" si="159"/>
        <v>yes</v>
      </c>
      <c r="J954" s="117" t="str">
        <f t="shared" si="160"/>
        <v>no</v>
      </c>
      <c r="K954" s="117" t="s">
        <v>561</v>
      </c>
      <c r="L954" s="117" t="str">
        <f t="shared" si="161"/>
        <v>detailed</v>
      </c>
      <c r="M954" s="117" t="str">
        <f t="shared" si="162"/>
        <v>detailed Gas</v>
      </c>
      <c r="N954" s="118">
        <v>26600000</v>
      </c>
      <c r="O954" s="118"/>
      <c r="P954" s="118"/>
      <c r="Q954" s="118"/>
      <c r="R954" s="118"/>
      <c r="S954" s="117" t="s">
        <v>642</v>
      </c>
      <c r="T954" s="119">
        <v>0.19666043794616025</v>
      </c>
      <c r="U954" s="117" t="s">
        <v>643</v>
      </c>
      <c r="V954" s="117" t="s">
        <v>1513</v>
      </c>
      <c r="W954" s="89">
        <f>N954*T954</f>
        <v>5231167.6493678624</v>
      </c>
      <c r="X954" s="117"/>
      <c r="Y954" s="117"/>
      <c r="Z954" s="117"/>
      <c r="AA954" s="177"/>
      <c r="AB954" s="177"/>
      <c r="AC954" s="122"/>
      <c r="AD954" s="122"/>
      <c r="AE954" s="122"/>
      <c r="AF954" s="123"/>
      <c r="AG954" s="117"/>
      <c r="AH954" s="124"/>
      <c r="AI954" s="117"/>
      <c r="AJ954" s="117"/>
      <c r="AK954" s="89"/>
      <c r="AL954" s="117"/>
      <c r="AM954" s="117"/>
      <c r="AN954" s="120"/>
      <c r="AO954" s="117"/>
      <c r="AP954" s="120"/>
      <c r="AQ954" s="117"/>
      <c r="AR954" s="126"/>
      <c r="AS954" s="117"/>
      <c r="AT954" s="117"/>
      <c r="AU954" s="117">
        <v>3</v>
      </c>
      <c r="AV954" s="128"/>
      <c r="AW954" s="117">
        <f>VLOOKUP($D954,'WB Data'!$C$3:$M$578,2,FALSE)</f>
        <v>6197766118.5985575</v>
      </c>
      <c r="AX954" s="117">
        <f>VLOOKUP($D954,'WB Data'!$C$3:$M$578,3,FALSE)</f>
        <v>5514600</v>
      </c>
      <c r="AY954" s="847">
        <f t="shared" si="154"/>
        <v>3.9719643221332916E-2</v>
      </c>
      <c r="AZ954" s="117">
        <f>VLOOKUP($D954,'WB Data'!$C$3:$M$578,4,FALSE)/100</f>
        <v>0.21073965406373879</v>
      </c>
      <c r="BA954" s="117">
        <f t="shared" si="155"/>
        <v>1306115087.8014212</v>
      </c>
      <c r="BB954" s="129">
        <f>IFERROR(VLOOKUP($D954,'EITI Revenues'!$C$2:$G$224,5,FALSE),"..")</f>
        <v>246173059</v>
      </c>
      <c r="BC954" s="846">
        <f t="shared" si="156"/>
        <v>0.18847731053653335</v>
      </c>
      <c r="BD954" s="129">
        <f>VLOOKUP($D954,'WB Data 2'!$C$2:$K$545,6,FALSE)</f>
        <v>572997094.34538686</v>
      </c>
      <c r="BE954" s="129" t="str">
        <f>IFERROR(VLOOKUP($D954,UNCTAD!$C$5:$V$529,4,FALSE),"..")</f>
        <v>..</v>
      </c>
      <c r="BF954" s="846" t="str">
        <f t="shared" si="157"/>
        <v>..</v>
      </c>
      <c r="BG954" s="117">
        <f>VLOOKUP($D954,'WB Data'!$C$3:$M$578,5,FALSE)</f>
        <v>525030000</v>
      </c>
      <c r="BH954" s="129">
        <f>IFERROR($BB954/$BG954,"..")</f>
        <v>0.468874271946365</v>
      </c>
      <c r="BI954" s="117">
        <f>IFERROR(VLOOKUP($D954,'WB Data'!$C$3:$M$578,7,FALSE)/100,"..")</f>
        <v>6.79062E-2</v>
      </c>
      <c r="BJ954" s="117">
        <f>IFERROR($BI954*$AW954,"..")</f>
        <v>420866745.60277736</v>
      </c>
      <c r="BK954" s="846">
        <f>IFERROR($BB954/$BJ954,"..")</f>
        <v>0.58491924480140123</v>
      </c>
      <c r="BL954" s="117">
        <f>IFERROR(VLOOKUP($D954,'WB Data'!$C$3:$M$578,7,FALSE)/100,"..")</f>
        <v>6.79062E-2</v>
      </c>
      <c r="BM954" s="117">
        <f>IFERROR($AW954*$BL954,"..")</f>
        <v>420866745.60277736</v>
      </c>
      <c r="BN954" s="846">
        <f>IFERROR($BB954/$BM954,"..")</f>
        <v>0.58491924480140123</v>
      </c>
      <c r="BO954" s="801" t="str">
        <f t="shared" si="153"/>
        <v>..</v>
      </c>
      <c r="BP954" s="117">
        <f>VLOOKUP($D954,'WB Data'!$C$3:$M$578,9,FALSE)</f>
        <v>36.799999999999997</v>
      </c>
      <c r="BQ954" s="117">
        <f>VLOOKUP($D954,'WB Data'!$C$3:$M$578,10,FALSE)</f>
        <v>69.60243902439025</v>
      </c>
      <c r="BR954" s="117">
        <f>VLOOKUP($D954,'WB Data'!$C$3:$M$578,11,FALSE)</f>
        <v>24.9</v>
      </c>
      <c r="BS954" s="129">
        <f>IFERROR(VLOOKUP($D954,'WB Data 2'!$C$2:$K$545,9,FALSE),"..")</f>
        <v>96.062510000000003</v>
      </c>
      <c r="BT954" s="129" t="str">
        <f>_xlfn.IFNA(VLOOKUP($C954,RGI!$A$2:$C$43,2,FALSE),"..")</f>
        <v>..</v>
      </c>
      <c r="BU954" s="129" t="str">
        <f>_xlfn.IFNA(VLOOKUP($C954,RGI!$A$2:$C$43,3,FALSE),"..")</f>
        <v>..</v>
      </c>
      <c r="BV954" s="129">
        <f>VLOOKUP($D954,WGI!$C$2:$O$478,7,FALSE)</f>
        <v>-0.733062043201957</v>
      </c>
      <c r="BW954" s="129">
        <f>VLOOKUP($D954,WGI!$C$2:$O$478,4,FALSE)</f>
        <v>-1.0763722910942799</v>
      </c>
      <c r="BX954" s="129">
        <f>VLOOKUP($D954,WGI!$C$2:$O$478,3,FALSE)</f>
        <v>-0.62813373017797802</v>
      </c>
      <c r="BY954" s="129">
        <f>VLOOKUP($D954,WGI!$C$2:$O$478,5,FALSE)</f>
        <v>-0.215674009622323</v>
      </c>
      <c r="BZ954" s="129">
        <f>VLOOKUP($D954,WGI!$C$2:$O$478,2,FALSE)</f>
        <v>-1.1536330480467301</v>
      </c>
    </row>
    <row r="955" spans="1:80" ht="15" customHeight="1">
      <c r="A955" s="294" t="s">
        <v>295</v>
      </c>
      <c r="B955" s="117">
        <v>2011</v>
      </c>
      <c r="C955" s="117" t="s">
        <v>285</v>
      </c>
      <c r="D955" s="117" t="s">
        <v>3703</v>
      </c>
      <c r="E955" s="452" t="s">
        <v>39</v>
      </c>
      <c r="F955" s="117"/>
      <c r="G955" s="117" t="s">
        <v>1514</v>
      </c>
      <c r="H955" s="117" t="str">
        <f t="shared" si="158"/>
        <v>no</v>
      </c>
      <c r="I955" s="117" t="str">
        <f t="shared" si="159"/>
        <v>no</v>
      </c>
      <c r="J955" s="117" t="str">
        <f t="shared" si="160"/>
        <v>no</v>
      </c>
      <c r="K955" s="117" t="s">
        <v>103</v>
      </c>
      <c r="L955" s="117" t="str">
        <f t="shared" si="161"/>
        <v>detailed</v>
      </c>
      <c r="M955" s="117" t="str">
        <f t="shared" si="162"/>
        <v xml:space="preserve">detailed Oil </v>
      </c>
      <c r="N955" s="118">
        <v>656000</v>
      </c>
      <c r="O955" s="118"/>
      <c r="P955" s="118"/>
      <c r="Q955" s="118"/>
      <c r="R955" s="118"/>
      <c r="S955" s="117" t="s">
        <v>646</v>
      </c>
      <c r="T955" s="119">
        <v>106.53</v>
      </c>
      <c r="U955" s="117" t="s">
        <v>673</v>
      </c>
      <c r="V955" s="117" t="s">
        <v>1515</v>
      </c>
      <c r="W955" s="89">
        <f>N955*T955</f>
        <v>69883680</v>
      </c>
      <c r="X955" s="117"/>
      <c r="Y955" s="117"/>
      <c r="Z955" s="117"/>
      <c r="AA955" s="177"/>
      <c r="AB955" s="177"/>
      <c r="AC955" s="122"/>
      <c r="AD955" s="122"/>
      <c r="AE955" s="122"/>
      <c r="AF955" s="123"/>
      <c r="AG955" s="117"/>
      <c r="AH955" s="124"/>
      <c r="AI955" s="117"/>
      <c r="AJ955" s="117"/>
      <c r="AK955" s="89"/>
      <c r="AL955" s="117"/>
      <c r="AM955" s="117"/>
      <c r="AN955" s="120"/>
      <c r="AO955" s="117"/>
      <c r="AP955" s="120"/>
      <c r="AQ955" s="117"/>
      <c r="AR955" s="126"/>
      <c r="AS955" s="117"/>
      <c r="AT955" s="117"/>
      <c r="AU955" s="117"/>
      <c r="AV955" s="128"/>
      <c r="AW955" s="117">
        <f>VLOOKUP($D955,'WB Data'!$C$3:$M$578,2,FALSE)</f>
        <v>6197766118.5985575</v>
      </c>
      <c r="AX955" s="117">
        <f>VLOOKUP($D955,'WB Data'!$C$3:$M$578,3,FALSE)</f>
        <v>5514600</v>
      </c>
      <c r="AY955" s="847">
        <f t="shared" si="154"/>
        <v>3.9719643221332916E-2</v>
      </c>
      <c r="AZ955" s="117">
        <f>VLOOKUP($D955,'WB Data'!$C$3:$M$578,4,FALSE)/100</f>
        <v>0.21073965406373879</v>
      </c>
      <c r="BA955" s="117">
        <f t="shared" si="155"/>
        <v>1306115087.8014212</v>
      </c>
      <c r="BB955" s="129">
        <f>IFERROR(VLOOKUP($D955,'EITI Revenues'!$C$2:$G$224,5,FALSE),"..")</f>
        <v>246173059</v>
      </c>
      <c r="BC955" s="846">
        <f t="shared" si="156"/>
        <v>0.18847731053653335</v>
      </c>
      <c r="BD955" s="129">
        <f>VLOOKUP($D955,'WB Data 2'!$C$2:$K$545,6,FALSE)</f>
        <v>572997094.34538686</v>
      </c>
      <c r="BE955" s="129" t="str">
        <f>IFERROR(VLOOKUP($D955,UNCTAD!$C$5:$V$529,4,FALSE),"..")</f>
        <v>..</v>
      </c>
      <c r="BF955" s="846" t="str">
        <f t="shared" si="157"/>
        <v>..</v>
      </c>
      <c r="BG955" s="117">
        <f>VLOOKUP($D955,'WB Data'!$C$3:$M$578,5,FALSE)</f>
        <v>525030000</v>
      </c>
      <c r="BH955" s="129">
        <f>IFERROR($BB955/$BG955,"..")</f>
        <v>0.468874271946365</v>
      </c>
      <c r="BI955" s="117">
        <f>IFERROR(VLOOKUP($D955,'WB Data'!$C$3:$M$578,7,FALSE)/100,"..")</f>
        <v>6.79062E-2</v>
      </c>
      <c r="BJ955" s="117">
        <f>IFERROR($BI955*$AW955,"..")</f>
        <v>420866745.60277736</v>
      </c>
      <c r="BK955" s="846">
        <f>IFERROR($BB955/$BJ955,"..")</f>
        <v>0.58491924480140123</v>
      </c>
      <c r="BL955" s="117">
        <f>IFERROR(VLOOKUP($D955,'WB Data'!$C$3:$M$578,7,FALSE)/100,"..")</f>
        <v>6.79062E-2</v>
      </c>
      <c r="BM955" s="117">
        <f>IFERROR($AW955*$BL955,"..")</f>
        <v>420866745.60277736</v>
      </c>
      <c r="BN955" s="846">
        <f>IFERROR($BB955/$BM955,"..")</f>
        <v>0.58491924480140123</v>
      </c>
      <c r="BO955" s="801" t="str">
        <f t="shared" si="153"/>
        <v>..</v>
      </c>
      <c r="BP955" s="117">
        <f>VLOOKUP($D955,'WB Data'!$C$3:$M$578,9,FALSE)</f>
        <v>36.799999999999997</v>
      </c>
      <c r="BQ955" s="117">
        <f>VLOOKUP($D955,'WB Data'!$C$3:$M$578,10,FALSE)</f>
        <v>69.60243902439025</v>
      </c>
      <c r="BR955" s="117">
        <f>VLOOKUP($D955,'WB Data'!$C$3:$M$578,11,FALSE)</f>
        <v>24.9</v>
      </c>
      <c r="BS955" s="129">
        <f>IFERROR(VLOOKUP($D955,'WB Data 2'!$C$2:$K$545,9,FALSE),"..")</f>
        <v>96.062510000000003</v>
      </c>
      <c r="BT955" s="129" t="str">
        <f>_xlfn.IFNA(VLOOKUP($C955,RGI!$A$2:$C$43,2,FALSE),"..")</f>
        <v>..</v>
      </c>
      <c r="BU955" s="129" t="str">
        <f>_xlfn.IFNA(VLOOKUP($C955,RGI!$A$2:$C$43,3,FALSE),"..")</f>
        <v>..</v>
      </c>
      <c r="BV955" s="129">
        <f>VLOOKUP($D955,WGI!$C$2:$O$478,7,FALSE)</f>
        <v>-0.733062043201957</v>
      </c>
      <c r="BW955" s="129">
        <f>VLOOKUP($D955,WGI!$C$2:$O$478,4,FALSE)</f>
        <v>-1.0763722910942799</v>
      </c>
      <c r="BX955" s="129">
        <f>VLOOKUP($D955,WGI!$C$2:$O$478,3,FALSE)</f>
        <v>-0.62813373017797802</v>
      </c>
      <c r="BY955" s="129">
        <f>VLOOKUP($D955,WGI!$C$2:$O$478,5,FALSE)</f>
        <v>-0.215674009622323</v>
      </c>
      <c r="BZ955" s="129">
        <f>VLOOKUP($D955,WGI!$C$2:$O$478,2,FALSE)</f>
        <v>-1.1536330480467301</v>
      </c>
    </row>
    <row r="956" spans="1:80" ht="15" customHeight="1">
      <c r="A956" s="294" t="s">
        <v>295</v>
      </c>
      <c r="B956" s="117">
        <v>2011</v>
      </c>
      <c r="C956" s="117" t="s">
        <v>285</v>
      </c>
      <c r="D956" s="117" t="s">
        <v>3703</v>
      </c>
      <c r="E956" s="452" t="s">
        <v>39</v>
      </c>
      <c r="F956" s="117"/>
      <c r="G956" s="117" t="s">
        <v>24</v>
      </c>
      <c r="H956" s="117" t="str">
        <f t="shared" si="158"/>
        <v>yes</v>
      </c>
      <c r="I956" s="117" t="str">
        <f t="shared" si="159"/>
        <v>no</v>
      </c>
      <c r="J956" s="117" t="str">
        <f t="shared" si="160"/>
        <v>no</v>
      </c>
      <c r="K956" s="117" t="s">
        <v>600</v>
      </c>
      <c r="L956" s="117" t="str">
        <f t="shared" si="161"/>
        <v>Total</v>
      </c>
      <c r="M956" s="117" t="str">
        <f t="shared" si="162"/>
        <v>Total Mining</v>
      </c>
      <c r="N956" s="118"/>
      <c r="O956" s="118"/>
      <c r="P956" s="118"/>
      <c r="Q956" s="118"/>
      <c r="R956" s="118"/>
      <c r="S956" s="117"/>
      <c r="T956" s="119"/>
      <c r="U956" s="117"/>
      <c r="V956" s="117"/>
      <c r="W956" s="89">
        <f>SUM(W957:W971)-SUM(W959:W962)-SUM(W965:W971)-SUM(W963:W963)</f>
        <v>113732695.75156128</v>
      </c>
      <c r="X956" s="117"/>
      <c r="Y956" s="117"/>
      <c r="Z956" s="117"/>
      <c r="AA956" s="177">
        <f>SUM(AA957:AA971)</f>
        <v>235397592</v>
      </c>
      <c r="AB956" s="177">
        <f>SUM(AB957:AB971)</f>
        <v>235256291</v>
      </c>
      <c r="AC956" s="212"/>
      <c r="AD956" s="212"/>
      <c r="AE956" s="212"/>
      <c r="AF956" s="123">
        <f>AA956/W956</f>
        <v>2.0697442406025846</v>
      </c>
      <c r="AG956" s="117"/>
      <c r="AH956" s="124"/>
      <c r="AI956" s="117"/>
      <c r="AJ956" s="117"/>
      <c r="AK956" s="89"/>
      <c r="AL956" s="117"/>
      <c r="AM956" s="117"/>
      <c r="AN956" s="117">
        <v>56</v>
      </c>
      <c r="AO956" s="117" t="s">
        <v>1563</v>
      </c>
      <c r="AP956" s="117">
        <v>56</v>
      </c>
      <c r="AQ956" s="117"/>
      <c r="AR956" s="126"/>
      <c r="AS956" s="117"/>
      <c r="AT956" s="117"/>
      <c r="AU956" s="117" t="s">
        <v>1554</v>
      </c>
      <c r="AV956" s="128"/>
      <c r="AW956" s="117">
        <f>VLOOKUP($D956,'WB Data'!$C$3:$M$578,2,FALSE)</f>
        <v>6197766118.5985575</v>
      </c>
      <c r="AX956" s="117">
        <f>VLOOKUP($D956,'WB Data'!$C$3:$M$578,3,FALSE)</f>
        <v>5514600</v>
      </c>
      <c r="AY956" s="847">
        <f t="shared" si="154"/>
        <v>3.9719643221332916E-2</v>
      </c>
      <c r="AZ956" s="117">
        <f>VLOOKUP($D956,'WB Data'!$C$3:$M$578,4,FALSE)/100</f>
        <v>0.21073965406373879</v>
      </c>
      <c r="BA956" s="117">
        <f t="shared" si="155"/>
        <v>1306115087.8014212</v>
      </c>
      <c r="BB956" s="129">
        <f>IFERROR(VLOOKUP($D956,'EITI Revenues'!$C$2:$G$224,5,FALSE),"..")</f>
        <v>246173059</v>
      </c>
      <c r="BC956" s="846">
        <f t="shared" si="156"/>
        <v>0.18847731053653335</v>
      </c>
      <c r="BD956" s="129">
        <f>VLOOKUP($D956,'WB Data 2'!$C$2:$K$545,6,FALSE)</f>
        <v>572997094.34538686</v>
      </c>
      <c r="BE956" s="129" t="str">
        <f>IFERROR(VLOOKUP($D956,UNCTAD!$C$5:$V$529,4,FALSE),"..")</f>
        <v>..</v>
      </c>
      <c r="BF956" s="846" t="str">
        <f t="shared" si="157"/>
        <v>..</v>
      </c>
      <c r="BG956" s="117">
        <f>VLOOKUP($D956,'WB Data'!$C$3:$M$578,5,FALSE)</f>
        <v>525030000</v>
      </c>
      <c r="BH956" s="129">
        <f>IFERROR($BB956/$BG956,"..")</f>
        <v>0.468874271946365</v>
      </c>
      <c r="BI956" s="117">
        <f>IFERROR(VLOOKUP($D956,'WB Data'!$C$3:$M$578,7,FALSE)/100,"..")</f>
        <v>6.79062E-2</v>
      </c>
      <c r="BJ956" s="117">
        <f>IFERROR($BI956*$AW956,"..")</f>
        <v>420866745.60277736</v>
      </c>
      <c r="BK956" s="846">
        <f>IFERROR($BB956/$BJ956,"..")</f>
        <v>0.58491924480140123</v>
      </c>
      <c r="BL956" s="117">
        <f>IFERROR(VLOOKUP($D956,'WB Data'!$C$3:$M$578,7,FALSE)/100,"..")</f>
        <v>6.79062E-2</v>
      </c>
      <c r="BM956" s="117">
        <f>IFERROR($AW956*$BL956,"..")</f>
        <v>420866745.60277736</v>
      </c>
      <c r="BN956" s="846">
        <f>IFERROR($BB956/$BM956,"..")</f>
        <v>0.58491924480140123</v>
      </c>
      <c r="BO956" s="801" t="str">
        <f t="shared" si="153"/>
        <v>..</v>
      </c>
      <c r="BP956" s="117">
        <f>VLOOKUP($D956,'WB Data'!$C$3:$M$578,9,FALSE)</f>
        <v>36.799999999999997</v>
      </c>
      <c r="BQ956" s="117">
        <f>VLOOKUP($D956,'WB Data'!$C$3:$M$578,10,FALSE)</f>
        <v>69.60243902439025</v>
      </c>
      <c r="BR956" s="117">
        <f>VLOOKUP($D956,'WB Data'!$C$3:$M$578,11,FALSE)</f>
        <v>24.9</v>
      </c>
      <c r="BS956" s="129">
        <f>IFERROR(VLOOKUP($D956,'WB Data 2'!$C$2:$K$545,9,FALSE),"..")</f>
        <v>96.062510000000003</v>
      </c>
      <c r="BT956" s="129" t="str">
        <f>_xlfn.IFNA(VLOOKUP($C956,RGI!$A$2:$C$43,2,FALSE),"..")</f>
        <v>..</v>
      </c>
      <c r="BU956" s="129" t="str">
        <f>_xlfn.IFNA(VLOOKUP($C956,RGI!$A$2:$C$43,3,FALSE),"..")</f>
        <v>..</v>
      </c>
      <c r="BV956" s="129">
        <f>VLOOKUP($D956,WGI!$C$2:$O$478,7,FALSE)</f>
        <v>-0.733062043201957</v>
      </c>
      <c r="BW956" s="129">
        <f>VLOOKUP($D956,WGI!$C$2:$O$478,4,FALSE)</f>
        <v>-1.0763722910942799</v>
      </c>
      <c r="BX956" s="129">
        <f>VLOOKUP($D956,WGI!$C$2:$O$478,3,FALSE)</f>
        <v>-0.62813373017797802</v>
      </c>
      <c r="BY956" s="129">
        <f>VLOOKUP($D956,WGI!$C$2:$O$478,5,FALSE)</f>
        <v>-0.215674009622323</v>
      </c>
      <c r="BZ956" s="129">
        <f>VLOOKUP($D956,WGI!$C$2:$O$478,2,FALSE)</f>
        <v>-1.1536330480467301</v>
      </c>
    </row>
    <row r="957" spans="1:80" ht="15" customHeight="1">
      <c r="A957" s="294" t="s">
        <v>295</v>
      </c>
      <c r="B957" s="117">
        <v>2011</v>
      </c>
      <c r="C957" s="117" t="s">
        <v>285</v>
      </c>
      <c r="D957" s="117" t="s">
        <v>3703</v>
      </c>
      <c r="E957" s="452" t="s">
        <v>39</v>
      </c>
      <c r="F957" s="117"/>
      <c r="G957" s="117" t="s">
        <v>24</v>
      </c>
      <c r="H957" s="117" t="str">
        <f t="shared" si="158"/>
        <v>yes</v>
      </c>
      <c r="I957" s="117" t="str">
        <f t="shared" si="159"/>
        <v>no</v>
      </c>
      <c r="J957" s="117" t="str">
        <f t="shared" si="160"/>
        <v>no</v>
      </c>
      <c r="K957" s="117" t="s">
        <v>616</v>
      </c>
      <c r="L957" s="117" t="str">
        <f t="shared" si="161"/>
        <v>detailed</v>
      </c>
      <c r="M957" s="117" t="str">
        <f t="shared" si="162"/>
        <v>detailed Mining</v>
      </c>
      <c r="N957" s="118">
        <v>26600</v>
      </c>
      <c r="O957" s="118"/>
      <c r="P957" s="118"/>
      <c r="Q957" s="118"/>
      <c r="R957" s="118"/>
      <c r="S957" s="117" t="s">
        <v>610</v>
      </c>
      <c r="T957" s="119">
        <v>111.54662184722224</v>
      </c>
      <c r="U957" s="117" t="s">
        <v>611</v>
      </c>
      <c r="V957" s="117" t="s">
        <v>1108</v>
      </c>
      <c r="W957" s="89">
        <f>N957*T957</f>
        <v>2967140.1411361117</v>
      </c>
      <c r="X957" s="117"/>
      <c r="Y957" s="117"/>
      <c r="Z957" s="117"/>
      <c r="AA957" s="177">
        <v>4391562</v>
      </c>
      <c r="AB957" s="177">
        <v>4426811</v>
      </c>
      <c r="AC957" s="122"/>
      <c r="AD957" s="122"/>
      <c r="AE957" s="122"/>
      <c r="AF957" s="123">
        <f>AA957/W957</f>
        <v>1.4800655820451003</v>
      </c>
      <c r="AG957" s="117"/>
      <c r="AH957" s="124"/>
      <c r="AI957" s="117"/>
      <c r="AJ957" s="117"/>
      <c r="AK957" s="89"/>
      <c r="AL957" s="117"/>
      <c r="AM957" s="117"/>
      <c r="AN957" s="117">
        <v>23</v>
      </c>
      <c r="AO957" s="117" t="s">
        <v>1564</v>
      </c>
      <c r="AP957" s="117">
        <v>23</v>
      </c>
      <c r="AQ957" s="117"/>
      <c r="AR957" s="126"/>
      <c r="AS957" s="117"/>
      <c r="AT957" s="117"/>
      <c r="AU957" s="117" t="s">
        <v>1565</v>
      </c>
      <c r="AV957" s="128"/>
      <c r="AW957" s="117">
        <f>VLOOKUP($D957,'WB Data'!$C$3:$M$578,2,FALSE)</f>
        <v>6197766118.5985575</v>
      </c>
      <c r="AX957" s="117">
        <f>VLOOKUP($D957,'WB Data'!$C$3:$M$578,3,FALSE)</f>
        <v>5514600</v>
      </c>
      <c r="AY957" s="847">
        <f t="shared" si="154"/>
        <v>3.9719643221332916E-2</v>
      </c>
      <c r="AZ957" s="117">
        <f>VLOOKUP($D957,'WB Data'!$C$3:$M$578,4,FALSE)/100</f>
        <v>0.21073965406373879</v>
      </c>
      <c r="BA957" s="117">
        <f t="shared" si="155"/>
        <v>1306115087.8014212</v>
      </c>
      <c r="BB957" s="129">
        <f>IFERROR(VLOOKUP($D957,'EITI Revenues'!$C$2:$G$224,5,FALSE),"..")</f>
        <v>246173059</v>
      </c>
      <c r="BC957" s="846">
        <f t="shared" si="156"/>
        <v>0.18847731053653335</v>
      </c>
      <c r="BD957" s="129">
        <f>VLOOKUP($D957,'WB Data 2'!$C$2:$K$545,6,FALSE)</f>
        <v>572997094.34538686</v>
      </c>
      <c r="BE957" s="129" t="str">
        <f>IFERROR(VLOOKUP($D957,UNCTAD!$C$5:$V$529,4,FALSE),"..")</f>
        <v>..</v>
      </c>
      <c r="BF957" s="846" t="str">
        <f t="shared" si="157"/>
        <v>..</v>
      </c>
      <c r="BG957" s="117">
        <f>VLOOKUP($D957,'WB Data'!$C$3:$M$578,5,FALSE)</f>
        <v>525030000</v>
      </c>
      <c r="BH957" s="129">
        <f>IFERROR($BB957/$BG957,"..")</f>
        <v>0.468874271946365</v>
      </c>
      <c r="BI957" s="117">
        <f>IFERROR(VLOOKUP($D957,'WB Data'!$C$3:$M$578,7,FALSE)/100,"..")</f>
        <v>6.79062E-2</v>
      </c>
      <c r="BJ957" s="117">
        <f>IFERROR($BI957*$AW957,"..")</f>
        <v>420866745.60277736</v>
      </c>
      <c r="BK957" s="846">
        <f>IFERROR($BB957/$BJ957,"..")</f>
        <v>0.58491924480140123</v>
      </c>
      <c r="BL957" s="117">
        <f>IFERROR(VLOOKUP($D957,'WB Data'!$C$3:$M$578,7,FALSE)/100,"..")</f>
        <v>6.79062E-2</v>
      </c>
      <c r="BM957" s="117">
        <f>IFERROR($AW957*$BL957,"..")</f>
        <v>420866745.60277736</v>
      </c>
      <c r="BN957" s="846">
        <f>IFERROR($BB957/$BM957,"..")</f>
        <v>0.58491924480140123</v>
      </c>
      <c r="BO957" s="801" t="str">
        <f t="shared" si="153"/>
        <v>..</v>
      </c>
      <c r="BP957" s="117">
        <f>VLOOKUP($D957,'WB Data'!$C$3:$M$578,9,FALSE)</f>
        <v>36.799999999999997</v>
      </c>
      <c r="BQ957" s="117">
        <f>VLOOKUP($D957,'WB Data'!$C$3:$M$578,10,FALSE)</f>
        <v>69.60243902439025</v>
      </c>
      <c r="BR957" s="117">
        <f>VLOOKUP($D957,'WB Data'!$C$3:$M$578,11,FALSE)</f>
        <v>24.9</v>
      </c>
      <c r="BS957" s="129">
        <f>IFERROR(VLOOKUP($D957,'WB Data 2'!$C$2:$K$545,9,FALSE),"..")</f>
        <v>96.062510000000003</v>
      </c>
      <c r="BT957" s="129" t="str">
        <f>_xlfn.IFNA(VLOOKUP($C957,RGI!$A$2:$C$43,2,FALSE),"..")</f>
        <v>..</v>
      </c>
      <c r="BU957" s="129" t="str">
        <f>_xlfn.IFNA(VLOOKUP($C957,RGI!$A$2:$C$43,3,FALSE),"..")</f>
        <v>..</v>
      </c>
      <c r="BV957" s="129">
        <f>VLOOKUP($D957,WGI!$C$2:$O$478,7,FALSE)</f>
        <v>-0.733062043201957</v>
      </c>
      <c r="BW957" s="129">
        <f>VLOOKUP($D957,WGI!$C$2:$O$478,4,FALSE)</f>
        <v>-1.0763722910942799</v>
      </c>
      <c r="BX957" s="129">
        <f>VLOOKUP($D957,WGI!$C$2:$O$478,3,FALSE)</f>
        <v>-0.62813373017797802</v>
      </c>
      <c r="BY957" s="129">
        <f>VLOOKUP($D957,WGI!$C$2:$O$478,5,FALSE)</f>
        <v>-0.215674009622323</v>
      </c>
      <c r="BZ957" s="129">
        <f>VLOOKUP($D957,WGI!$C$2:$O$478,2,FALSE)</f>
        <v>-1.1536330480467301</v>
      </c>
    </row>
    <row r="958" spans="1:80" ht="15" customHeight="1">
      <c r="A958" s="294" t="s">
        <v>295</v>
      </c>
      <c r="B958" s="117">
        <v>2011</v>
      </c>
      <c r="C958" s="117" t="s">
        <v>285</v>
      </c>
      <c r="D958" s="117" t="s">
        <v>3703</v>
      </c>
      <c r="E958" s="452" t="s">
        <v>39</v>
      </c>
      <c r="F958" s="117"/>
      <c r="G958" s="117" t="s">
        <v>24</v>
      </c>
      <c r="H958" s="117" t="str">
        <f t="shared" si="158"/>
        <v>yes</v>
      </c>
      <c r="I958" s="117" t="str">
        <f t="shared" si="159"/>
        <v>no</v>
      </c>
      <c r="J958" s="117" t="str">
        <f t="shared" si="160"/>
        <v>no</v>
      </c>
      <c r="K958" s="117" t="s">
        <v>1518</v>
      </c>
      <c r="L958" s="117" t="str">
        <f t="shared" si="161"/>
        <v>detailed</v>
      </c>
      <c r="M958" s="117" t="str">
        <f t="shared" si="162"/>
        <v>detailed Mining</v>
      </c>
      <c r="N958" s="118"/>
      <c r="O958" s="118"/>
      <c r="P958" s="118"/>
      <c r="Q958" s="118"/>
      <c r="R958" s="118"/>
      <c r="S958" s="117"/>
      <c r="T958" s="119"/>
      <c r="U958" s="117"/>
      <c r="V958" s="117"/>
      <c r="W958" s="89">
        <f>SUM(W959:W962)</f>
        <v>101483594.5</v>
      </c>
      <c r="X958" s="117"/>
      <c r="Y958" s="117"/>
      <c r="Z958" s="117"/>
      <c r="AA958" s="177">
        <v>8277657</v>
      </c>
      <c r="AB958" s="177">
        <v>8240803</v>
      </c>
      <c r="AC958" s="122"/>
      <c r="AD958" s="122"/>
      <c r="AE958" s="122"/>
      <c r="AF958" s="123">
        <f>AA958/W958</f>
        <v>8.15664545662107E-2</v>
      </c>
      <c r="AG958" s="117"/>
      <c r="AH958" s="124"/>
      <c r="AI958" s="117"/>
      <c r="AJ958" s="117"/>
      <c r="AK958" s="89"/>
      <c r="AL958" s="117"/>
      <c r="AM958" s="117"/>
      <c r="AN958" s="117">
        <v>13</v>
      </c>
      <c r="AO958" s="117" t="s">
        <v>1566</v>
      </c>
      <c r="AP958" s="117">
        <v>13</v>
      </c>
      <c r="AQ958" s="117"/>
      <c r="AR958" s="126"/>
      <c r="AS958" s="117"/>
      <c r="AT958" s="117"/>
      <c r="AU958" s="117">
        <v>15</v>
      </c>
      <c r="AV958" s="128"/>
      <c r="AW958" s="117">
        <f>VLOOKUP($D958,'WB Data'!$C$3:$M$578,2,FALSE)</f>
        <v>6197766118.5985575</v>
      </c>
      <c r="AX958" s="117">
        <f>VLOOKUP($D958,'WB Data'!$C$3:$M$578,3,FALSE)</f>
        <v>5514600</v>
      </c>
      <c r="AY958" s="847">
        <f t="shared" si="154"/>
        <v>3.9719643221332916E-2</v>
      </c>
      <c r="AZ958" s="117">
        <f>VLOOKUP($D958,'WB Data'!$C$3:$M$578,4,FALSE)/100</f>
        <v>0.21073965406373879</v>
      </c>
      <c r="BA958" s="117">
        <f t="shared" si="155"/>
        <v>1306115087.8014212</v>
      </c>
      <c r="BB958" s="129">
        <f>IFERROR(VLOOKUP($D958,'EITI Revenues'!$C$2:$G$224,5,FALSE),"..")</f>
        <v>246173059</v>
      </c>
      <c r="BC958" s="846">
        <f t="shared" si="156"/>
        <v>0.18847731053653335</v>
      </c>
      <c r="BD958" s="129">
        <f>VLOOKUP($D958,'WB Data 2'!$C$2:$K$545,6,FALSE)</f>
        <v>572997094.34538686</v>
      </c>
      <c r="BE958" s="129" t="str">
        <f>IFERROR(VLOOKUP($D958,UNCTAD!$C$5:$V$529,4,FALSE),"..")</f>
        <v>..</v>
      </c>
      <c r="BF958" s="846" t="str">
        <f t="shared" si="157"/>
        <v>..</v>
      </c>
      <c r="BG958" s="117">
        <f>VLOOKUP($D958,'WB Data'!$C$3:$M$578,5,FALSE)</f>
        <v>525030000</v>
      </c>
      <c r="BH958" s="129">
        <f>IFERROR($BB958/$BG958,"..")</f>
        <v>0.468874271946365</v>
      </c>
      <c r="BI958" s="117">
        <f>IFERROR(VLOOKUP($D958,'WB Data'!$C$3:$M$578,7,FALSE)/100,"..")</f>
        <v>6.79062E-2</v>
      </c>
      <c r="BJ958" s="117">
        <f>IFERROR($BI958*$AW958,"..")</f>
        <v>420866745.60277736</v>
      </c>
      <c r="BK958" s="846">
        <f>IFERROR($BB958/$BJ958,"..")</f>
        <v>0.58491924480140123</v>
      </c>
      <c r="BL958" s="117">
        <f>IFERROR(VLOOKUP($D958,'WB Data'!$C$3:$M$578,7,FALSE)/100,"..")</f>
        <v>6.79062E-2</v>
      </c>
      <c r="BM958" s="117">
        <f>IFERROR($AW958*$BL958,"..")</f>
        <v>420866745.60277736</v>
      </c>
      <c r="BN958" s="846">
        <f>IFERROR($BB958/$BM958,"..")</f>
        <v>0.58491924480140123</v>
      </c>
      <c r="BO958" s="801" t="str">
        <f t="shared" si="153"/>
        <v>..</v>
      </c>
      <c r="BP958" s="117">
        <f>VLOOKUP($D958,'WB Data'!$C$3:$M$578,9,FALSE)</f>
        <v>36.799999999999997</v>
      </c>
      <c r="BQ958" s="117">
        <f>VLOOKUP($D958,'WB Data'!$C$3:$M$578,10,FALSE)</f>
        <v>69.60243902439025</v>
      </c>
      <c r="BR958" s="117">
        <f>VLOOKUP($D958,'WB Data'!$C$3:$M$578,11,FALSE)</f>
        <v>24.9</v>
      </c>
      <c r="BS958" s="129">
        <f>IFERROR(VLOOKUP($D958,'WB Data 2'!$C$2:$K$545,9,FALSE),"..")</f>
        <v>96.062510000000003</v>
      </c>
      <c r="BT958" s="129" t="str">
        <f>_xlfn.IFNA(VLOOKUP($C958,RGI!$A$2:$C$43,2,FALSE),"..")</f>
        <v>..</v>
      </c>
      <c r="BU958" s="129" t="str">
        <f>_xlfn.IFNA(VLOOKUP($C958,RGI!$A$2:$C$43,3,FALSE),"..")</f>
        <v>..</v>
      </c>
      <c r="BV958" s="129">
        <f>VLOOKUP($D958,WGI!$C$2:$O$478,7,FALSE)</f>
        <v>-0.733062043201957</v>
      </c>
      <c r="BW958" s="129">
        <f>VLOOKUP($D958,WGI!$C$2:$O$478,4,FALSE)</f>
        <v>-1.0763722910942799</v>
      </c>
      <c r="BX958" s="129">
        <f>VLOOKUP($D958,WGI!$C$2:$O$478,3,FALSE)</f>
        <v>-0.62813373017797802</v>
      </c>
      <c r="BY958" s="129">
        <f>VLOOKUP($D958,WGI!$C$2:$O$478,5,FALSE)</f>
        <v>-0.215674009622323</v>
      </c>
      <c r="BZ958" s="129">
        <f>VLOOKUP($D958,WGI!$C$2:$O$478,2,FALSE)</f>
        <v>-1.1536330480467301</v>
      </c>
    </row>
    <row r="959" spans="1:80" ht="15" customHeight="1">
      <c r="A959" s="294" t="s">
        <v>295</v>
      </c>
      <c r="B959" s="117">
        <v>2011</v>
      </c>
      <c r="C959" s="117" t="s">
        <v>285</v>
      </c>
      <c r="D959" s="117" t="s">
        <v>3703</v>
      </c>
      <c r="E959" s="452" t="s">
        <v>39</v>
      </c>
      <c r="F959" s="117"/>
      <c r="G959" s="117" t="s">
        <v>24</v>
      </c>
      <c r="H959" s="117" t="str">
        <f t="shared" si="158"/>
        <v>yes</v>
      </c>
      <c r="I959" s="117" t="str">
        <f t="shared" si="159"/>
        <v>no</v>
      </c>
      <c r="J959" s="117" t="str">
        <f t="shared" si="160"/>
        <v>no</v>
      </c>
      <c r="K959" s="117" t="s">
        <v>1520</v>
      </c>
      <c r="L959" s="117" t="str">
        <f t="shared" si="161"/>
        <v>detailed</v>
      </c>
      <c r="M959" s="117" t="str">
        <f t="shared" si="162"/>
        <v>detailed Mining</v>
      </c>
      <c r="N959" s="118">
        <v>1016600</v>
      </c>
      <c r="O959" s="118"/>
      <c r="P959" s="118"/>
      <c r="Q959" s="118"/>
      <c r="R959" s="118"/>
      <c r="S959" s="117" t="s">
        <v>610</v>
      </c>
      <c r="T959" s="119">
        <v>89.5</v>
      </c>
      <c r="U959" s="117" t="s">
        <v>611</v>
      </c>
      <c r="V959" s="117" t="s">
        <v>1217</v>
      </c>
      <c r="W959" s="89">
        <f>N959*T959</f>
        <v>90985700</v>
      </c>
      <c r="X959" s="117"/>
      <c r="Y959" s="117"/>
      <c r="Z959" s="117"/>
      <c r="AA959" s="177"/>
      <c r="AB959" s="177"/>
      <c r="AC959" s="122"/>
      <c r="AD959" s="122"/>
      <c r="AE959" s="122"/>
      <c r="AF959" s="123"/>
      <c r="AG959" s="117"/>
      <c r="AH959" s="124"/>
      <c r="AI959" s="117"/>
      <c r="AJ959" s="117"/>
      <c r="AK959" s="89"/>
      <c r="AL959" s="117"/>
      <c r="AM959" s="117"/>
      <c r="AN959" s="117"/>
      <c r="AO959" s="117"/>
      <c r="AP959" s="117"/>
      <c r="AQ959" s="117"/>
      <c r="AR959" s="126"/>
      <c r="AS959" s="117"/>
      <c r="AT959" s="117"/>
      <c r="AU959" s="117"/>
      <c r="AV959" s="128"/>
      <c r="AW959" s="117">
        <f>VLOOKUP($D959,'WB Data'!$C$3:$M$578,2,FALSE)</f>
        <v>6197766118.5985575</v>
      </c>
      <c r="AX959" s="117">
        <f>VLOOKUP($D959,'WB Data'!$C$3:$M$578,3,FALSE)</f>
        <v>5514600</v>
      </c>
      <c r="AY959" s="847">
        <f t="shared" si="154"/>
        <v>3.9719643221332916E-2</v>
      </c>
      <c r="AZ959" s="117">
        <f>VLOOKUP($D959,'WB Data'!$C$3:$M$578,4,FALSE)/100</f>
        <v>0.21073965406373879</v>
      </c>
      <c r="BA959" s="117">
        <f t="shared" si="155"/>
        <v>1306115087.8014212</v>
      </c>
      <c r="BB959" s="129">
        <f>IFERROR(VLOOKUP($D959,'EITI Revenues'!$C$2:$G$224,5,FALSE),"..")</f>
        <v>246173059</v>
      </c>
      <c r="BC959" s="846">
        <f t="shared" si="156"/>
        <v>0.18847731053653335</v>
      </c>
      <c r="BD959" s="129">
        <f>VLOOKUP($D959,'WB Data 2'!$C$2:$K$545,6,FALSE)</f>
        <v>572997094.34538686</v>
      </c>
      <c r="BE959" s="129" t="str">
        <f>IFERROR(VLOOKUP($D959,UNCTAD!$C$5:$V$529,4,FALSE),"..")</f>
        <v>..</v>
      </c>
      <c r="BF959" s="846" t="str">
        <f t="shared" si="157"/>
        <v>..</v>
      </c>
      <c r="BG959" s="117">
        <f>VLOOKUP($D959,'WB Data'!$C$3:$M$578,5,FALSE)</f>
        <v>525030000</v>
      </c>
      <c r="BH959" s="129">
        <f>IFERROR($BB959/$BG959,"..")</f>
        <v>0.468874271946365</v>
      </c>
      <c r="BI959" s="117">
        <f>IFERROR(VLOOKUP($D959,'WB Data'!$C$3:$M$578,7,FALSE)/100,"..")</f>
        <v>6.79062E-2</v>
      </c>
      <c r="BJ959" s="117">
        <f>IFERROR($BI959*$AW959,"..")</f>
        <v>420866745.60277736</v>
      </c>
      <c r="BK959" s="846">
        <f>IFERROR($BB959/$BJ959,"..")</f>
        <v>0.58491924480140123</v>
      </c>
      <c r="BL959" s="117">
        <f>IFERROR(VLOOKUP($D959,'WB Data'!$C$3:$M$578,7,FALSE)/100,"..")</f>
        <v>6.79062E-2</v>
      </c>
      <c r="BM959" s="117">
        <f>IFERROR($AW959*$BL959,"..")</f>
        <v>420866745.60277736</v>
      </c>
      <c r="BN959" s="846">
        <f>IFERROR($BB959/$BM959,"..")</f>
        <v>0.58491924480140123</v>
      </c>
      <c r="BO959" s="801" t="str">
        <f t="shared" si="153"/>
        <v>..</v>
      </c>
      <c r="BP959" s="117">
        <f>VLOOKUP($D959,'WB Data'!$C$3:$M$578,9,FALSE)</f>
        <v>36.799999999999997</v>
      </c>
      <c r="BQ959" s="117">
        <f>VLOOKUP($D959,'WB Data'!$C$3:$M$578,10,FALSE)</f>
        <v>69.60243902439025</v>
      </c>
      <c r="BR959" s="117">
        <f>VLOOKUP($D959,'WB Data'!$C$3:$M$578,11,FALSE)</f>
        <v>24.9</v>
      </c>
      <c r="BS959" s="129">
        <f>IFERROR(VLOOKUP($D959,'WB Data 2'!$C$2:$K$545,9,FALSE),"..")</f>
        <v>96.062510000000003</v>
      </c>
      <c r="BT959" s="129" t="str">
        <f>_xlfn.IFNA(VLOOKUP($C959,RGI!$A$2:$C$43,2,FALSE),"..")</f>
        <v>..</v>
      </c>
      <c r="BU959" s="129" t="str">
        <f>_xlfn.IFNA(VLOOKUP($C959,RGI!$A$2:$C$43,3,FALSE),"..")</f>
        <v>..</v>
      </c>
      <c r="BV959" s="129">
        <f>VLOOKUP($D959,WGI!$C$2:$O$478,7,FALSE)</f>
        <v>-0.733062043201957</v>
      </c>
      <c r="BW959" s="129">
        <f>VLOOKUP($D959,WGI!$C$2:$O$478,4,FALSE)</f>
        <v>-1.0763722910942799</v>
      </c>
      <c r="BX959" s="129">
        <f>VLOOKUP($D959,WGI!$C$2:$O$478,3,FALSE)</f>
        <v>-0.62813373017797802</v>
      </c>
      <c r="BY959" s="129">
        <f>VLOOKUP($D959,WGI!$C$2:$O$478,5,FALSE)</f>
        <v>-0.215674009622323</v>
      </c>
      <c r="BZ959" s="129">
        <f>VLOOKUP($D959,WGI!$C$2:$O$478,2,FALSE)</f>
        <v>-1.1536330480467301</v>
      </c>
    </row>
    <row r="960" spans="1:80" ht="15" customHeight="1">
      <c r="A960" s="294" t="s">
        <v>295</v>
      </c>
      <c r="B960" s="117">
        <v>2011</v>
      </c>
      <c r="C960" s="117" t="s">
        <v>285</v>
      </c>
      <c r="D960" s="117" t="s">
        <v>3703</v>
      </c>
      <c r="E960" s="452" t="s">
        <v>39</v>
      </c>
      <c r="F960" s="117"/>
      <c r="G960" s="117" t="s">
        <v>24</v>
      </c>
      <c r="H960" s="117" t="str">
        <f t="shared" si="158"/>
        <v>yes</v>
      </c>
      <c r="I960" s="117" t="str">
        <f t="shared" si="159"/>
        <v>no</v>
      </c>
      <c r="J960" s="117" t="str">
        <f t="shared" si="160"/>
        <v>no</v>
      </c>
      <c r="K960" s="117" t="s">
        <v>1523</v>
      </c>
      <c r="L960" s="117" t="str">
        <f t="shared" si="161"/>
        <v>detailed</v>
      </c>
      <c r="M960" s="117" t="str">
        <f t="shared" si="162"/>
        <v>detailed Mining</v>
      </c>
      <c r="N960" s="118">
        <v>57</v>
      </c>
      <c r="O960" s="118"/>
      <c r="P960" s="118"/>
      <c r="Q960" s="118"/>
      <c r="R960" s="118"/>
      <c r="S960" s="117" t="s">
        <v>610</v>
      </c>
      <c r="T960" s="119">
        <v>18.5</v>
      </c>
      <c r="U960" s="117" t="s">
        <v>611</v>
      </c>
      <c r="V960" s="117" t="s">
        <v>1227</v>
      </c>
      <c r="W960" s="89">
        <f>N960*T960</f>
        <v>1054.5</v>
      </c>
      <c r="X960" s="117"/>
      <c r="Y960" s="117"/>
      <c r="Z960" s="117"/>
      <c r="AA960" s="177"/>
      <c r="AB960" s="177"/>
      <c r="AC960" s="122"/>
      <c r="AD960" s="122"/>
      <c r="AE960" s="122"/>
      <c r="AF960" s="123"/>
      <c r="AG960" s="117"/>
      <c r="AH960" s="124"/>
      <c r="AI960" s="117"/>
      <c r="AJ960" s="117"/>
      <c r="AK960" s="89"/>
      <c r="AL960" s="117"/>
      <c r="AM960" s="117"/>
      <c r="AN960" s="117"/>
      <c r="AO960" s="117"/>
      <c r="AP960" s="117"/>
      <c r="AQ960" s="117"/>
      <c r="AR960" s="126"/>
      <c r="AS960" s="117"/>
      <c r="AT960" s="117"/>
      <c r="AU960" s="117"/>
      <c r="AV960" s="128"/>
      <c r="AW960" s="117">
        <f>VLOOKUP($D960,'WB Data'!$C$3:$M$578,2,FALSE)</f>
        <v>6197766118.5985575</v>
      </c>
      <c r="AX960" s="117">
        <f>VLOOKUP($D960,'WB Data'!$C$3:$M$578,3,FALSE)</f>
        <v>5514600</v>
      </c>
      <c r="AY960" s="847">
        <f t="shared" si="154"/>
        <v>3.9719643221332916E-2</v>
      </c>
      <c r="AZ960" s="117">
        <f>VLOOKUP($D960,'WB Data'!$C$3:$M$578,4,FALSE)/100</f>
        <v>0.21073965406373879</v>
      </c>
      <c r="BA960" s="117">
        <f t="shared" si="155"/>
        <v>1306115087.8014212</v>
      </c>
      <c r="BB960" s="129">
        <f>IFERROR(VLOOKUP($D960,'EITI Revenues'!$C$2:$G$224,5,FALSE),"..")</f>
        <v>246173059</v>
      </c>
      <c r="BC960" s="846">
        <f t="shared" si="156"/>
        <v>0.18847731053653335</v>
      </c>
      <c r="BD960" s="129">
        <f>VLOOKUP($D960,'WB Data 2'!$C$2:$K$545,6,FALSE)</f>
        <v>572997094.34538686</v>
      </c>
      <c r="BE960" s="129" t="str">
        <f>IFERROR(VLOOKUP($D960,UNCTAD!$C$5:$V$529,4,FALSE),"..")</f>
        <v>..</v>
      </c>
      <c r="BF960" s="846" t="str">
        <f t="shared" si="157"/>
        <v>..</v>
      </c>
      <c r="BG960" s="117">
        <f>VLOOKUP($D960,'WB Data'!$C$3:$M$578,5,FALSE)</f>
        <v>525030000</v>
      </c>
      <c r="BH960" s="129">
        <f>IFERROR($BB960/$BG960,"..")</f>
        <v>0.468874271946365</v>
      </c>
      <c r="BI960" s="117">
        <f>IFERROR(VLOOKUP($D960,'WB Data'!$C$3:$M$578,7,FALSE)/100,"..")</f>
        <v>6.79062E-2</v>
      </c>
      <c r="BJ960" s="117">
        <f>IFERROR($BI960*$AW960,"..")</f>
        <v>420866745.60277736</v>
      </c>
      <c r="BK960" s="846">
        <f>IFERROR($BB960/$BJ960,"..")</f>
        <v>0.58491924480140123</v>
      </c>
      <c r="BL960" s="117">
        <f>IFERROR(VLOOKUP($D960,'WB Data'!$C$3:$M$578,7,FALSE)/100,"..")</f>
        <v>6.79062E-2</v>
      </c>
      <c r="BM960" s="117">
        <f>IFERROR($AW960*$BL960,"..")</f>
        <v>420866745.60277736</v>
      </c>
      <c r="BN960" s="846">
        <f>IFERROR($BB960/$BM960,"..")</f>
        <v>0.58491924480140123</v>
      </c>
      <c r="BO960" s="801" t="str">
        <f t="shared" si="153"/>
        <v>..</v>
      </c>
      <c r="BP960" s="117">
        <f>VLOOKUP($D960,'WB Data'!$C$3:$M$578,9,FALSE)</f>
        <v>36.799999999999997</v>
      </c>
      <c r="BQ960" s="117">
        <f>VLOOKUP($D960,'WB Data'!$C$3:$M$578,10,FALSE)</f>
        <v>69.60243902439025</v>
      </c>
      <c r="BR960" s="117">
        <f>VLOOKUP($D960,'WB Data'!$C$3:$M$578,11,FALSE)</f>
        <v>24.9</v>
      </c>
      <c r="BS960" s="129">
        <f>IFERROR(VLOOKUP($D960,'WB Data 2'!$C$2:$K$545,9,FALSE),"..")</f>
        <v>96.062510000000003</v>
      </c>
      <c r="BT960" s="129" t="str">
        <f>_xlfn.IFNA(VLOOKUP($C960,RGI!$A$2:$C$43,2,FALSE),"..")</f>
        <v>..</v>
      </c>
      <c r="BU960" s="129" t="str">
        <f>_xlfn.IFNA(VLOOKUP($C960,RGI!$A$2:$C$43,3,FALSE),"..")</f>
        <v>..</v>
      </c>
      <c r="BV960" s="129">
        <f>VLOOKUP($D960,WGI!$C$2:$O$478,7,FALSE)</f>
        <v>-0.733062043201957</v>
      </c>
      <c r="BW960" s="129">
        <f>VLOOKUP($D960,WGI!$C$2:$O$478,4,FALSE)</f>
        <v>-1.0763722910942799</v>
      </c>
      <c r="BX960" s="129">
        <f>VLOOKUP($D960,WGI!$C$2:$O$478,3,FALSE)</f>
        <v>-0.62813373017797802</v>
      </c>
      <c r="BY960" s="129">
        <f>VLOOKUP($D960,WGI!$C$2:$O$478,5,FALSE)</f>
        <v>-0.215674009622323</v>
      </c>
      <c r="BZ960" s="129">
        <f>VLOOKUP($D960,WGI!$C$2:$O$478,2,FALSE)</f>
        <v>-1.1536330480467301</v>
      </c>
    </row>
    <row r="961" spans="1:80" ht="15" customHeight="1">
      <c r="A961" s="294" t="s">
        <v>295</v>
      </c>
      <c r="B961" s="117">
        <v>2011</v>
      </c>
      <c r="C961" s="117" t="s">
        <v>285</v>
      </c>
      <c r="D961" s="117" t="s">
        <v>3703</v>
      </c>
      <c r="E961" s="452" t="s">
        <v>39</v>
      </c>
      <c r="F961" s="117"/>
      <c r="G961" s="117" t="s">
        <v>24</v>
      </c>
      <c r="H961" s="117" t="str">
        <f t="shared" si="158"/>
        <v>yes</v>
      </c>
      <c r="I961" s="117" t="str">
        <f t="shared" si="159"/>
        <v>no</v>
      </c>
      <c r="J961" s="117" t="str">
        <f t="shared" si="160"/>
        <v>no</v>
      </c>
      <c r="K961" s="117" t="s">
        <v>1525</v>
      </c>
      <c r="L961" s="117" t="str">
        <f t="shared" si="161"/>
        <v>detailed</v>
      </c>
      <c r="M961" s="117" t="str">
        <f t="shared" si="162"/>
        <v>detailed Mining</v>
      </c>
      <c r="N961" s="118">
        <v>2600</v>
      </c>
      <c r="O961" s="118"/>
      <c r="P961" s="118"/>
      <c r="Q961" s="118"/>
      <c r="R961" s="118"/>
      <c r="S961" s="117" t="s">
        <v>610</v>
      </c>
      <c r="T961" s="119">
        <v>119.4</v>
      </c>
      <c r="U961" s="117" t="s">
        <v>611</v>
      </c>
      <c r="V961" s="117" t="s">
        <v>1543</v>
      </c>
      <c r="W961" s="89">
        <f>N961*T961</f>
        <v>310440</v>
      </c>
      <c r="X961" s="117"/>
      <c r="Y961" s="117"/>
      <c r="Z961" s="117"/>
      <c r="AA961" s="177"/>
      <c r="AB961" s="177"/>
      <c r="AC961" s="122"/>
      <c r="AD961" s="122"/>
      <c r="AE961" s="122"/>
      <c r="AF961" s="123"/>
      <c r="AG961" s="117"/>
      <c r="AH961" s="124"/>
      <c r="AI961" s="117"/>
      <c r="AJ961" s="117"/>
      <c r="AK961" s="89"/>
      <c r="AL961" s="117"/>
      <c r="AM961" s="117"/>
      <c r="AN961" s="117"/>
      <c r="AO961" s="117"/>
      <c r="AP961" s="117"/>
      <c r="AQ961" s="117"/>
      <c r="AR961" s="126"/>
      <c r="AS961" s="117"/>
      <c r="AT961" s="117"/>
      <c r="AU961" s="117"/>
      <c r="AV961" s="128"/>
      <c r="AW961" s="117">
        <f>VLOOKUP($D961,'WB Data'!$C$3:$M$578,2,FALSE)</f>
        <v>6197766118.5985575</v>
      </c>
      <c r="AX961" s="117">
        <f>VLOOKUP($D961,'WB Data'!$C$3:$M$578,3,FALSE)</f>
        <v>5514600</v>
      </c>
      <c r="AY961" s="847">
        <f t="shared" si="154"/>
        <v>3.9719643221332916E-2</v>
      </c>
      <c r="AZ961" s="117">
        <f>VLOOKUP($D961,'WB Data'!$C$3:$M$578,4,FALSE)/100</f>
        <v>0.21073965406373879</v>
      </c>
      <c r="BA961" s="117">
        <f t="shared" si="155"/>
        <v>1306115087.8014212</v>
      </c>
      <c r="BB961" s="129">
        <f>IFERROR(VLOOKUP($D961,'EITI Revenues'!$C$2:$G$224,5,FALSE),"..")</f>
        <v>246173059</v>
      </c>
      <c r="BC961" s="846">
        <f t="shared" si="156"/>
        <v>0.18847731053653335</v>
      </c>
      <c r="BD961" s="129">
        <f>VLOOKUP($D961,'WB Data 2'!$C$2:$K$545,6,FALSE)</f>
        <v>572997094.34538686</v>
      </c>
      <c r="BE961" s="129" t="str">
        <f>IFERROR(VLOOKUP($D961,UNCTAD!$C$5:$V$529,4,FALSE),"..")</f>
        <v>..</v>
      </c>
      <c r="BF961" s="846" t="str">
        <f t="shared" si="157"/>
        <v>..</v>
      </c>
      <c r="BG961" s="117">
        <f>VLOOKUP($D961,'WB Data'!$C$3:$M$578,5,FALSE)</f>
        <v>525030000</v>
      </c>
      <c r="BH961" s="129">
        <f>IFERROR($BB961/$BG961,"..")</f>
        <v>0.468874271946365</v>
      </c>
      <c r="BI961" s="117">
        <f>IFERROR(VLOOKUP($D961,'WB Data'!$C$3:$M$578,7,FALSE)/100,"..")</f>
        <v>6.79062E-2</v>
      </c>
      <c r="BJ961" s="117">
        <f>IFERROR($BI961*$AW961,"..")</f>
        <v>420866745.60277736</v>
      </c>
      <c r="BK961" s="846">
        <f>IFERROR($BB961/$BJ961,"..")</f>
        <v>0.58491924480140123</v>
      </c>
      <c r="BL961" s="117">
        <f>IFERROR(VLOOKUP($D961,'WB Data'!$C$3:$M$578,7,FALSE)/100,"..")</f>
        <v>6.79062E-2</v>
      </c>
      <c r="BM961" s="117">
        <f>IFERROR($AW961*$BL961,"..")</f>
        <v>420866745.60277736</v>
      </c>
      <c r="BN961" s="846">
        <f>IFERROR($BB961/$BM961,"..")</f>
        <v>0.58491924480140123</v>
      </c>
      <c r="BO961" s="801" t="str">
        <f t="shared" si="153"/>
        <v>..</v>
      </c>
      <c r="BP961" s="117">
        <f>VLOOKUP($D961,'WB Data'!$C$3:$M$578,9,FALSE)</f>
        <v>36.799999999999997</v>
      </c>
      <c r="BQ961" s="117">
        <f>VLOOKUP($D961,'WB Data'!$C$3:$M$578,10,FALSE)</f>
        <v>69.60243902439025</v>
      </c>
      <c r="BR961" s="117">
        <f>VLOOKUP($D961,'WB Data'!$C$3:$M$578,11,FALSE)</f>
        <v>24.9</v>
      </c>
      <c r="BS961" s="129">
        <f>IFERROR(VLOOKUP($D961,'WB Data 2'!$C$2:$K$545,9,FALSE),"..")</f>
        <v>96.062510000000003</v>
      </c>
      <c r="BT961" s="129" t="str">
        <f>_xlfn.IFNA(VLOOKUP($C961,RGI!$A$2:$C$43,2,FALSE),"..")</f>
        <v>..</v>
      </c>
      <c r="BU961" s="129" t="str">
        <f>_xlfn.IFNA(VLOOKUP($C961,RGI!$A$2:$C$43,3,FALSE),"..")</f>
        <v>..</v>
      </c>
      <c r="BV961" s="129">
        <f>VLOOKUP($D961,WGI!$C$2:$O$478,7,FALSE)</f>
        <v>-0.733062043201957</v>
      </c>
      <c r="BW961" s="129">
        <f>VLOOKUP($D961,WGI!$C$2:$O$478,4,FALSE)</f>
        <v>-1.0763722910942799</v>
      </c>
      <c r="BX961" s="129">
        <f>VLOOKUP($D961,WGI!$C$2:$O$478,3,FALSE)</f>
        <v>-0.62813373017797802</v>
      </c>
      <c r="BY961" s="129">
        <f>VLOOKUP($D961,WGI!$C$2:$O$478,5,FALSE)</f>
        <v>-0.215674009622323</v>
      </c>
      <c r="BZ961" s="129">
        <f>VLOOKUP($D961,WGI!$C$2:$O$478,2,FALSE)</f>
        <v>-1.1536330480467301</v>
      </c>
    </row>
    <row r="962" spans="1:80" ht="15" customHeight="1">
      <c r="A962" s="294" t="s">
        <v>295</v>
      </c>
      <c r="B962" s="117">
        <v>2011</v>
      </c>
      <c r="C962" s="117" t="s">
        <v>285</v>
      </c>
      <c r="D962" s="117" t="s">
        <v>3703</v>
      </c>
      <c r="E962" s="452" t="s">
        <v>39</v>
      </c>
      <c r="F962" s="117"/>
      <c r="G962" s="117" t="s">
        <v>24</v>
      </c>
      <c r="H962" s="117" t="str">
        <f t="shared" si="158"/>
        <v>yes</v>
      </c>
      <c r="I962" s="117" t="str">
        <f t="shared" si="159"/>
        <v>no</v>
      </c>
      <c r="J962" s="117" t="str">
        <f t="shared" si="160"/>
        <v>no</v>
      </c>
      <c r="K962" s="117" t="s">
        <v>1529</v>
      </c>
      <c r="L962" s="117" t="str">
        <f t="shared" si="161"/>
        <v>detailed</v>
      </c>
      <c r="M962" s="117" t="str">
        <f t="shared" si="162"/>
        <v>detailed Mining</v>
      </c>
      <c r="N962" s="118">
        <f>850000*1.6</f>
        <v>1360000</v>
      </c>
      <c r="O962" s="118"/>
      <c r="P962" s="118"/>
      <c r="Q962" s="118"/>
      <c r="R962" s="118"/>
      <c r="S962" s="117" t="s">
        <v>610</v>
      </c>
      <c r="T962" s="119">
        <v>7.49</v>
      </c>
      <c r="U962" s="117" t="s">
        <v>611</v>
      </c>
      <c r="V962" s="117" t="s">
        <v>1253</v>
      </c>
      <c r="W962" s="89">
        <f>N962*T962</f>
        <v>10186400</v>
      </c>
      <c r="X962" s="117"/>
      <c r="Y962" s="117"/>
      <c r="Z962" s="117"/>
      <c r="AA962" s="177"/>
      <c r="AB962" s="177"/>
      <c r="AC962" s="122"/>
      <c r="AD962" s="122"/>
      <c r="AE962" s="122"/>
      <c r="AF962" s="123"/>
      <c r="AG962" s="117"/>
      <c r="AH962" s="124"/>
      <c r="AI962" s="117"/>
      <c r="AJ962" s="117"/>
      <c r="AK962" s="89"/>
      <c r="AL962" s="117"/>
      <c r="AM962" s="117"/>
      <c r="AN962" s="117"/>
      <c r="AO962" s="117"/>
      <c r="AP962" s="117"/>
      <c r="AQ962" s="117"/>
      <c r="AR962" s="126"/>
      <c r="AS962" s="117"/>
      <c r="AT962" s="117"/>
      <c r="AU962" s="117"/>
      <c r="AV962" s="128"/>
      <c r="AW962" s="117">
        <f>VLOOKUP($D962,'WB Data'!$C$3:$M$578,2,FALSE)</f>
        <v>6197766118.5985575</v>
      </c>
      <c r="AX962" s="117">
        <f>VLOOKUP($D962,'WB Data'!$C$3:$M$578,3,FALSE)</f>
        <v>5514600</v>
      </c>
      <c r="AY962" s="847">
        <f t="shared" si="154"/>
        <v>3.9719643221332916E-2</v>
      </c>
      <c r="AZ962" s="117">
        <f>VLOOKUP($D962,'WB Data'!$C$3:$M$578,4,FALSE)/100</f>
        <v>0.21073965406373879</v>
      </c>
      <c r="BA962" s="117">
        <f t="shared" si="155"/>
        <v>1306115087.8014212</v>
      </c>
      <c r="BB962" s="129">
        <f>IFERROR(VLOOKUP($D962,'EITI Revenues'!$C$2:$G$224,5,FALSE),"..")</f>
        <v>246173059</v>
      </c>
      <c r="BC962" s="846">
        <f t="shared" si="156"/>
        <v>0.18847731053653335</v>
      </c>
      <c r="BD962" s="129">
        <f>VLOOKUP($D962,'WB Data 2'!$C$2:$K$545,6,FALSE)</f>
        <v>572997094.34538686</v>
      </c>
      <c r="BE962" s="129" t="str">
        <f>IFERROR(VLOOKUP($D962,UNCTAD!$C$5:$V$529,4,FALSE),"..")</f>
        <v>..</v>
      </c>
      <c r="BF962" s="846" t="str">
        <f t="shared" si="157"/>
        <v>..</v>
      </c>
      <c r="BG962" s="117">
        <f>VLOOKUP($D962,'WB Data'!$C$3:$M$578,5,FALSE)</f>
        <v>525030000</v>
      </c>
      <c r="BH962" s="129">
        <f>IFERROR($BB962/$BG962,"..")</f>
        <v>0.468874271946365</v>
      </c>
      <c r="BI962" s="117">
        <f>IFERROR(VLOOKUP($D962,'WB Data'!$C$3:$M$578,7,FALSE)/100,"..")</f>
        <v>6.79062E-2</v>
      </c>
      <c r="BJ962" s="117">
        <f>IFERROR($BI962*$AW962,"..")</f>
        <v>420866745.60277736</v>
      </c>
      <c r="BK962" s="846">
        <f>IFERROR($BB962/$BJ962,"..")</f>
        <v>0.58491924480140123</v>
      </c>
      <c r="BL962" s="117">
        <f>IFERROR(VLOOKUP($D962,'WB Data'!$C$3:$M$578,7,FALSE)/100,"..")</f>
        <v>6.79062E-2</v>
      </c>
      <c r="BM962" s="117">
        <f>IFERROR($AW962*$BL962,"..")</f>
        <v>420866745.60277736</v>
      </c>
      <c r="BN962" s="846">
        <f>IFERROR($BB962/$BM962,"..")</f>
        <v>0.58491924480140123</v>
      </c>
      <c r="BO962" s="801" t="str">
        <f t="shared" ref="BO962:BO1025" si="163">_xlfn.IFNA(VLOOKUP($C962,CPI_2013,2,FALSE),"..")</f>
        <v>..</v>
      </c>
      <c r="BP962" s="117">
        <f>VLOOKUP($D962,'WB Data'!$C$3:$M$578,9,FALSE)</f>
        <v>36.799999999999997</v>
      </c>
      <c r="BQ962" s="117">
        <f>VLOOKUP($D962,'WB Data'!$C$3:$M$578,10,FALSE)</f>
        <v>69.60243902439025</v>
      </c>
      <c r="BR962" s="117">
        <f>VLOOKUP($D962,'WB Data'!$C$3:$M$578,11,FALSE)</f>
        <v>24.9</v>
      </c>
      <c r="BS962" s="129">
        <f>IFERROR(VLOOKUP($D962,'WB Data 2'!$C$2:$K$545,9,FALSE),"..")</f>
        <v>96.062510000000003</v>
      </c>
      <c r="BT962" s="129" t="str">
        <f>_xlfn.IFNA(VLOOKUP($C962,RGI!$A$2:$C$43,2,FALSE),"..")</f>
        <v>..</v>
      </c>
      <c r="BU962" s="129" t="str">
        <f>_xlfn.IFNA(VLOOKUP($C962,RGI!$A$2:$C$43,3,FALSE),"..")</f>
        <v>..</v>
      </c>
      <c r="BV962" s="129">
        <f>VLOOKUP($D962,WGI!$C$2:$O$478,7,FALSE)</f>
        <v>-0.733062043201957</v>
      </c>
      <c r="BW962" s="129">
        <f>VLOOKUP($D962,WGI!$C$2:$O$478,4,FALSE)</f>
        <v>-1.0763722910942799</v>
      </c>
      <c r="BX962" s="129">
        <f>VLOOKUP($D962,WGI!$C$2:$O$478,3,FALSE)</f>
        <v>-0.62813373017797802</v>
      </c>
      <c r="BY962" s="129">
        <f>VLOOKUP($D962,WGI!$C$2:$O$478,5,FALSE)</f>
        <v>-0.215674009622323</v>
      </c>
      <c r="BZ962" s="129">
        <f>VLOOKUP($D962,WGI!$C$2:$O$478,2,FALSE)</f>
        <v>-1.1536330480467301</v>
      </c>
    </row>
    <row r="963" spans="1:80" s="120" customFormat="1" ht="15" customHeight="1">
      <c r="A963" s="294" t="s">
        <v>295</v>
      </c>
      <c r="B963" s="117">
        <v>2011</v>
      </c>
      <c r="C963" s="117" t="s">
        <v>285</v>
      </c>
      <c r="D963" s="117" t="s">
        <v>3703</v>
      </c>
      <c r="E963" s="452" t="s">
        <v>39</v>
      </c>
      <c r="F963" s="117"/>
      <c r="G963" s="117" t="s">
        <v>24</v>
      </c>
      <c r="H963" s="117" t="str">
        <f>IF($G963="Mining","yes",IF($G963="Oil, Gas, Mining","yes",IF($G963="Gas, Mining","yes",IF($G963="Oil, Mining","yes",IF($G963="Oil, Mining, Other","yes","no")))))</f>
        <v>yes</v>
      </c>
      <c r="I963" s="117" t="str">
        <f t="shared" si="159"/>
        <v>no</v>
      </c>
      <c r="J963" s="117" t="str">
        <f t="shared" si="160"/>
        <v>no</v>
      </c>
      <c r="K963" s="117" t="s">
        <v>784</v>
      </c>
      <c r="L963" s="117" t="str">
        <f>IF(LEFT(K963,5)="Total","Total","detailed")</f>
        <v>detailed</v>
      </c>
      <c r="M963" s="117" t="str">
        <f t="shared" si="162"/>
        <v>detailed Mining</v>
      </c>
      <c r="N963" s="118">
        <f>18648*32.150743126506</f>
        <v>599547.05782308395</v>
      </c>
      <c r="O963" s="118"/>
      <c r="P963" s="118"/>
      <c r="Q963" s="118"/>
      <c r="R963" s="118"/>
      <c r="S963" s="117" t="s">
        <v>785</v>
      </c>
      <c r="T963" s="119">
        <v>1569.2108333333299</v>
      </c>
      <c r="U963" s="117" t="s">
        <v>786</v>
      </c>
      <c r="V963" s="117" t="s">
        <v>787</v>
      </c>
      <c r="W963" s="89">
        <f>N963*T963</f>
        <v>940815738.22910774</v>
      </c>
      <c r="X963" s="117"/>
      <c r="Y963" s="117"/>
      <c r="Z963" s="117"/>
      <c r="AA963" s="177">
        <v>220799306</v>
      </c>
      <c r="AB963" s="177">
        <v>220786226</v>
      </c>
      <c r="AC963" s="122"/>
      <c r="AD963" s="122"/>
      <c r="AE963" s="122"/>
      <c r="AF963" s="123">
        <f>AA963/W963</f>
        <v>0.23468921386839181</v>
      </c>
      <c r="AG963" s="117"/>
      <c r="AH963" s="124"/>
      <c r="AI963" s="117"/>
      <c r="AJ963" s="117"/>
      <c r="AK963" s="89"/>
      <c r="AL963" s="117"/>
      <c r="AM963" s="117"/>
      <c r="AN963" s="117">
        <v>15</v>
      </c>
      <c r="AO963" s="117" t="s">
        <v>1567</v>
      </c>
      <c r="AP963" s="117">
        <v>14</v>
      </c>
      <c r="AQ963" s="117"/>
      <c r="AR963" s="126"/>
      <c r="AS963" s="117"/>
      <c r="AT963" s="117"/>
      <c r="AU963" s="117">
        <v>13</v>
      </c>
      <c r="AV963" s="128"/>
      <c r="AW963" s="117">
        <f>VLOOKUP($D963,'WB Data'!$C$3:$M$578,2,FALSE)</f>
        <v>6197766118.5985575</v>
      </c>
      <c r="AX963" s="117">
        <f>VLOOKUP($D963,'WB Data'!$C$3:$M$578,3,FALSE)</f>
        <v>5514600</v>
      </c>
      <c r="AY963" s="847">
        <f t="shared" ref="AY963:AY1026" si="164">IFERROR($BB963/$AW963,"..")</f>
        <v>3.9719643221332916E-2</v>
      </c>
      <c r="AZ963" s="117">
        <f>VLOOKUP($D963,'WB Data'!$C$3:$M$578,4,FALSE)/100</f>
        <v>0.21073965406373879</v>
      </c>
      <c r="BA963" s="117">
        <f t="shared" ref="BA963:BA1026" si="165">IFERROR($AW963*$AZ963,"..")</f>
        <v>1306115087.8014212</v>
      </c>
      <c r="BB963" s="129">
        <f>IFERROR(VLOOKUP($D963,'EITI Revenues'!$C$2:$G$224,5,FALSE),"..")</f>
        <v>246173059</v>
      </c>
      <c r="BC963" s="846">
        <f t="shared" ref="BC963:BC1026" si="166">IFERROR($BB963/$BA963,"..")</f>
        <v>0.18847731053653335</v>
      </c>
      <c r="BD963" s="129">
        <f>VLOOKUP($D963,'WB Data 2'!$C$2:$K$545,6,FALSE)</f>
        <v>572997094.34538686</v>
      </c>
      <c r="BE963" s="129" t="str">
        <f>IFERROR(VLOOKUP($D963,UNCTAD!$C$5:$V$529,4,FALSE),"..")</f>
        <v>..</v>
      </c>
      <c r="BF963" s="846" t="str">
        <f t="shared" ref="BF963:BF1026" si="167">IFERROR(($BD963/$BE963),"..")</f>
        <v>..</v>
      </c>
      <c r="BG963" s="117">
        <f>VLOOKUP($D963,'WB Data'!$C$3:$M$578,5,FALSE)</f>
        <v>525030000</v>
      </c>
      <c r="BH963" s="129">
        <f>IFERROR($BB963/$BG963,"..")</f>
        <v>0.468874271946365</v>
      </c>
      <c r="BI963" s="117">
        <f>IFERROR(VLOOKUP($D963,'WB Data'!$C$3:$M$578,7,FALSE)/100,"..")</f>
        <v>6.79062E-2</v>
      </c>
      <c r="BJ963" s="117">
        <f>IFERROR($BI963*$AW963,"..")</f>
        <v>420866745.60277736</v>
      </c>
      <c r="BK963" s="846">
        <f>IFERROR($BB963/$BJ963,"..")</f>
        <v>0.58491924480140123</v>
      </c>
      <c r="BL963" s="117">
        <f>IFERROR(VLOOKUP($D963,'WB Data'!$C$3:$M$578,7,FALSE)/100,"..")</f>
        <v>6.79062E-2</v>
      </c>
      <c r="BM963" s="117">
        <f>IFERROR($AW963*$BL963,"..")</f>
        <v>420866745.60277736</v>
      </c>
      <c r="BN963" s="846">
        <f>IFERROR($BB963/$BM963,"..")</f>
        <v>0.58491924480140123</v>
      </c>
      <c r="BO963" s="801" t="str">
        <f t="shared" si="163"/>
        <v>..</v>
      </c>
      <c r="BP963" s="117">
        <f>VLOOKUP($D963,'WB Data'!$C$3:$M$578,9,FALSE)</f>
        <v>36.799999999999997</v>
      </c>
      <c r="BQ963" s="117">
        <f>VLOOKUP($D963,'WB Data'!$C$3:$M$578,10,FALSE)</f>
        <v>69.60243902439025</v>
      </c>
      <c r="BR963" s="117">
        <f>VLOOKUP($D963,'WB Data'!$C$3:$M$578,11,FALSE)</f>
        <v>24.9</v>
      </c>
      <c r="BS963" s="129">
        <f>IFERROR(VLOOKUP($D963,'WB Data 2'!$C$2:$K$545,9,FALSE),"..")</f>
        <v>96.062510000000003</v>
      </c>
      <c r="BT963" s="129" t="str">
        <f>_xlfn.IFNA(VLOOKUP($C963,RGI!$A$2:$C$43,2,FALSE),"..")</f>
        <v>..</v>
      </c>
      <c r="BU963" s="129" t="str">
        <f>_xlfn.IFNA(VLOOKUP($C963,RGI!$A$2:$C$43,3,FALSE),"..")</f>
        <v>..</v>
      </c>
      <c r="BV963" s="129">
        <f>VLOOKUP($D963,WGI!$C$2:$O$478,7,FALSE)</f>
        <v>-0.733062043201957</v>
      </c>
      <c r="BW963" s="129">
        <f>VLOOKUP($D963,WGI!$C$2:$O$478,4,FALSE)</f>
        <v>-1.0763722910942799</v>
      </c>
      <c r="BX963" s="129">
        <f>VLOOKUP($D963,WGI!$C$2:$O$478,3,FALSE)</f>
        <v>-0.62813373017797802</v>
      </c>
      <c r="BY963" s="129">
        <f>VLOOKUP($D963,WGI!$C$2:$O$478,5,FALSE)</f>
        <v>-0.215674009622323</v>
      </c>
      <c r="BZ963" s="129">
        <f>VLOOKUP($D963,WGI!$C$2:$O$478,2,FALSE)</f>
        <v>-1.1536330480467301</v>
      </c>
      <c r="CB963" s="129"/>
    </row>
    <row r="964" spans="1:80" ht="15" customHeight="1">
      <c r="A964" s="294" t="s">
        <v>295</v>
      </c>
      <c r="B964" s="117">
        <v>2011</v>
      </c>
      <c r="C964" s="117" t="s">
        <v>285</v>
      </c>
      <c r="D964" s="117" t="s">
        <v>3703</v>
      </c>
      <c r="E964" s="452" t="s">
        <v>39</v>
      </c>
      <c r="F964" s="117"/>
      <c r="G964" s="117" t="s">
        <v>24</v>
      </c>
      <c r="H964" s="117" t="str">
        <f t="shared" si="158"/>
        <v>yes</v>
      </c>
      <c r="I964" s="117" t="str">
        <f t="shared" si="159"/>
        <v>no</v>
      </c>
      <c r="J964" s="117" t="str">
        <f t="shared" si="160"/>
        <v>no</v>
      </c>
      <c r="K964" s="117" t="s">
        <v>1532</v>
      </c>
      <c r="L964" s="117" t="str">
        <f t="shared" si="161"/>
        <v>detailed</v>
      </c>
      <c r="M964" s="117" t="str">
        <f t="shared" si="162"/>
        <v>detailed Mining</v>
      </c>
      <c r="N964" s="118"/>
      <c r="O964" s="118"/>
      <c r="P964" s="118"/>
      <c r="Q964" s="118"/>
      <c r="R964" s="118"/>
      <c r="S964" s="117"/>
      <c r="T964" s="119"/>
      <c r="U964" s="117"/>
      <c r="V964" s="117"/>
      <c r="W964" s="89">
        <f>SUM(W965:W971)</f>
        <v>9281961.1104252283</v>
      </c>
      <c r="X964" s="117"/>
      <c r="Y964" s="117"/>
      <c r="Z964" s="117"/>
      <c r="AA964" s="177">
        <v>1929067</v>
      </c>
      <c r="AB964" s="177">
        <v>1802451</v>
      </c>
      <c r="AC964" s="122"/>
      <c r="AD964" s="122"/>
      <c r="AE964" s="122"/>
      <c r="AF964" s="123">
        <f>AA964/W964</f>
        <v>0.20782967920791309</v>
      </c>
      <c r="AG964" s="117"/>
      <c r="AH964" s="124"/>
      <c r="AI964" s="117"/>
      <c r="AJ964" s="117"/>
      <c r="AK964" s="89"/>
      <c r="AL964" s="117"/>
      <c r="AM964" s="117"/>
      <c r="AN964" s="117">
        <v>6</v>
      </c>
      <c r="AO964" s="117" t="s">
        <v>1568</v>
      </c>
      <c r="AP964" s="117">
        <v>6</v>
      </c>
      <c r="AQ964" s="117"/>
      <c r="AR964" s="126"/>
      <c r="AS964" s="117"/>
      <c r="AT964" s="117"/>
      <c r="AU964" s="117">
        <v>13</v>
      </c>
      <c r="AV964" s="128"/>
      <c r="AW964" s="117">
        <f>VLOOKUP($D964,'WB Data'!$C$3:$M$578,2,FALSE)</f>
        <v>6197766118.5985575</v>
      </c>
      <c r="AX964" s="117">
        <f>VLOOKUP($D964,'WB Data'!$C$3:$M$578,3,FALSE)</f>
        <v>5514600</v>
      </c>
      <c r="AY964" s="847">
        <f t="shared" si="164"/>
        <v>3.9719643221332916E-2</v>
      </c>
      <c r="AZ964" s="117">
        <f>VLOOKUP($D964,'WB Data'!$C$3:$M$578,4,FALSE)/100</f>
        <v>0.21073965406373879</v>
      </c>
      <c r="BA964" s="117">
        <f t="shared" si="165"/>
        <v>1306115087.8014212</v>
      </c>
      <c r="BB964" s="129">
        <f>IFERROR(VLOOKUP($D964,'EITI Revenues'!$C$2:$G$224,5,FALSE),"..")</f>
        <v>246173059</v>
      </c>
      <c r="BC964" s="846">
        <f t="shared" si="166"/>
        <v>0.18847731053653335</v>
      </c>
      <c r="BD964" s="129">
        <f>VLOOKUP($D964,'WB Data 2'!$C$2:$K$545,6,FALSE)</f>
        <v>572997094.34538686</v>
      </c>
      <c r="BE964" s="129" t="str">
        <f>IFERROR(VLOOKUP($D964,UNCTAD!$C$5:$V$529,4,FALSE),"..")</f>
        <v>..</v>
      </c>
      <c r="BF964" s="846" t="str">
        <f t="shared" si="167"/>
        <v>..</v>
      </c>
      <c r="BG964" s="117">
        <f>VLOOKUP($D964,'WB Data'!$C$3:$M$578,5,FALSE)</f>
        <v>525030000</v>
      </c>
      <c r="BH964" s="129">
        <f>IFERROR($BB964/$BG964,"..")</f>
        <v>0.468874271946365</v>
      </c>
      <c r="BI964" s="117">
        <f>IFERROR(VLOOKUP($D964,'WB Data'!$C$3:$M$578,7,FALSE)/100,"..")</f>
        <v>6.79062E-2</v>
      </c>
      <c r="BJ964" s="117">
        <f>IFERROR($BI964*$AW964,"..")</f>
        <v>420866745.60277736</v>
      </c>
      <c r="BK964" s="846">
        <f>IFERROR($BB964/$BJ964,"..")</f>
        <v>0.58491924480140123</v>
      </c>
      <c r="BL964" s="117">
        <f>IFERROR(VLOOKUP($D964,'WB Data'!$C$3:$M$578,7,FALSE)/100,"..")</f>
        <v>6.79062E-2</v>
      </c>
      <c r="BM964" s="117">
        <f>IFERROR($AW964*$BL964,"..")</f>
        <v>420866745.60277736</v>
      </c>
      <c r="BN964" s="846">
        <f>IFERROR($BB964/$BM964,"..")</f>
        <v>0.58491924480140123</v>
      </c>
      <c r="BO964" s="801" t="str">
        <f t="shared" si="163"/>
        <v>..</v>
      </c>
      <c r="BP964" s="117">
        <f>VLOOKUP($D964,'WB Data'!$C$3:$M$578,9,FALSE)</f>
        <v>36.799999999999997</v>
      </c>
      <c r="BQ964" s="117">
        <f>VLOOKUP($D964,'WB Data'!$C$3:$M$578,10,FALSE)</f>
        <v>69.60243902439025</v>
      </c>
      <c r="BR964" s="117">
        <f>VLOOKUP($D964,'WB Data'!$C$3:$M$578,11,FALSE)</f>
        <v>24.9</v>
      </c>
      <c r="BS964" s="129">
        <f>IFERROR(VLOOKUP($D964,'WB Data 2'!$C$2:$K$545,9,FALSE),"..")</f>
        <v>96.062510000000003</v>
      </c>
      <c r="BT964" s="129" t="str">
        <f>_xlfn.IFNA(VLOOKUP($C964,RGI!$A$2:$C$43,2,FALSE),"..")</f>
        <v>..</v>
      </c>
      <c r="BU964" s="129" t="str">
        <f>_xlfn.IFNA(VLOOKUP($C964,RGI!$A$2:$C$43,3,FALSE),"..")</f>
        <v>..</v>
      </c>
      <c r="BV964" s="129">
        <f>VLOOKUP($D964,WGI!$C$2:$O$478,7,FALSE)</f>
        <v>-0.733062043201957</v>
      </c>
      <c r="BW964" s="129">
        <f>VLOOKUP($D964,WGI!$C$2:$O$478,4,FALSE)</f>
        <v>-1.0763722910942799</v>
      </c>
      <c r="BX964" s="129">
        <f>VLOOKUP($D964,WGI!$C$2:$O$478,3,FALSE)</f>
        <v>-0.62813373017797802</v>
      </c>
      <c r="BY964" s="129">
        <f>VLOOKUP($D964,WGI!$C$2:$O$478,5,FALSE)</f>
        <v>-0.215674009622323</v>
      </c>
      <c r="BZ964" s="129">
        <f>VLOOKUP($D964,WGI!$C$2:$O$478,2,FALSE)</f>
        <v>-1.1536330480467301</v>
      </c>
    </row>
    <row r="965" spans="1:80" ht="15" customHeight="1">
      <c r="A965" s="294" t="s">
        <v>295</v>
      </c>
      <c r="B965" s="117">
        <v>2011</v>
      </c>
      <c r="C965" s="117" t="s">
        <v>285</v>
      </c>
      <c r="D965" s="117" t="s">
        <v>3703</v>
      </c>
      <c r="E965" s="452" t="s">
        <v>39</v>
      </c>
      <c r="F965" s="117"/>
      <c r="G965" s="117" t="s">
        <v>24</v>
      </c>
      <c r="H965" s="117" t="str">
        <f t="shared" si="158"/>
        <v>yes</v>
      </c>
      <c r="I965" s="117" t="str">
        <f t="shared" si="159"/>
        <v>no</v>
      </c>
      <c r="J965" s="117" t="str">
        <f t="shared" si="160"/>
        <v>no</v>
      </c>
      <c r="K965" s="117" t="s">
        <v>1534</v>
      </c>
      <c r="L965" s="117" t="str">
        <f t="shared" si="161"/>
        <v>detailed</v>
      </c>
      <c r="M965" s="117" t="str">
        <f t="shared" si="162"/>
        <v>detailed Mining</v>
      </c>
      <c r="N965" s="118"/>
      <c r="O965" s="118"/>
      <c r="P965" s="118"/>
      <c r="Q965" s="118"/>
      <c r="R965" s="118"/>
      <c r="S965" s="117"/>
      <c r="T965" s="119">
        <f>650.3/0.000453592*0.0026</f>
        <v>3727.5348771583272</v>
      </c>
      <c r="U965" s="120" t="s">
        <v>611</v>
      </c>
      <c r="V965" s="117" t="s">
        <v>1535</v>
      </c>
      <c r="W965" s="89">
        <f>N966*T965</f>
        <v>3324961.1104252278</v>
      </c>
      <c r="X965" s="117"/>
      <c r="Y965" s="117"/>
      <c r="Z965" s="117"/>
      <c r="AA965" s="177"/>
      <c r="AB965" s="177"/>
      <c r="AC965" s="122"/>
      <c r="AD965" s="122"/>
      <c r="AE965" s="122"/>
      <c r="AF965" s="123"/>
      <c r="AG965" s="117"/>
      <c r="AH965" s="124"/>
      <c r="AI965" s="117"/>
      <c r="AJ965" s="117"/>
      <c r="AK965" s="89"/>
      <c r="AL965" s="117"/>
      <c r="AM965" s="117"/>
      <c r="AN965" s="117"/>
      <c r="AO965" s="117"/>
      <c r="AP965" s="117"/>
      <c r="AQ965" s="117"/>
      <c r="AR965" s="126"/>
      <c r="AS965" s="117"/>
      <c r="AT965" s="117"/>
      <c r="AU965" s="117">
        <v>3</v>
      </c>
      <c r="AV965" s="128"/>
      <c r="AW965" s="117">
        <f>VLOOKUP($D965,'WB Data'!$C$3:$M$578,2,FALSE)</f>
        <v>6197766118.5985575</v>
      </c>
      <c r="AX965" s="117">
        <f>VLOOKUP($D965,'WB Data'!$C$3:$M$578,3,FALSE)</f>
        <v>5514600</v>
      </c>
      <c r="AY965" s="847">
        <f t="shared" si="164"/>
        <v>3.9719643221332916E-2</v>
      </c>
      <c r="AZ965" s="117">
        <f>VLOOKUP($D965,'WB Data'!$C$3:$M$578,4,FALSE)/100</f>
        <v>0.21073965406373879</v>
      </c>
      <c r="BA965" s="117">
        <f t="shared" si="165"/>
        <v>1306115087.8014212</v>
      </c>
      <c r="BB965" s="129">
        <f>IFERROR(VLOOKUP($D965,'EITI Revenues'!$C$2:$G$224,5,FALSE),"..")</f>
        <v>246173059</v>
      </c>
      <c r="BC965" s="846">
        <f t="shared" si="166"/>
        <v>0.18847731053653335</v>
      </c>
      <c r="BD965" s="129">
        <f>VLOOKUP($D965,'WB Data 2'!$C$2:$K$545,6,FALSE)</f>
        <v>572997094.34538686</v>
      </c>
      <c r="BE965" s="129" t="str">
        <f>IFERROR(VLOOKUP($D965,UNCTAD!$C$5:$V$529,4,FALSE),"..")</f>
        <v>..</v>
      </c>
      <c r="BF965" s="846" t="str">
        <f t="shared" si="167"/>
        <v>..</v>
      </c>
      <c r="BG965" s="117">
        <f>VLOOKUP($D965,'WB Data'!$C$3:$M$578,5,FALSE)</f>
        <v>525030000</v>
      </c>
      <c r="BH965" s="129">
        <f>IFERROR($BB965/$BG965,"..")</f>
        <v>0.468874271946365</v>
      </c>
      <c r="BI965" s="117">
        <f>IFERROR(VLOOKUP($D965,'WB Data'!$C$3:$M$578,7,FALSE)/100,"..")</f>
        <v>6.79062E-2</v>
      </c>
      <c r="BJ965" s="117">
        <f>IFERROR($BI965*$AW965,"..")</f>
        <v>420866745.60277736</v>
      </c>
      <c r="BK965" s="846">
        <f>IFERROR($BB965/$BJ965,"..")</f>
        <v>0.58491924480140123</v>
      </c>
      <c r="BL965" s="117">
        <f>IFERROR(VLOOKUP($D965,'WB Data'!$C$3:$M$578,7,FALSE)/100,"..")</f>
        <v>6.79062E-2</v>
      </c>
      <c r="BM965" s="117">
        <f>IFERROR($AW965*$BL965,"..")</f>
        <v>420866745.60277736</v>
      </c>
      <c r="BN965" s="846">
        <f>IFERROR($BB965/$BM965,"..")</f>
        <v>0.58491924480140123</v>
      </c>
      <c r="BO965" s="801" t="str">
        <f t="shared" si="163"/>
        <v>..</v>
      </c>
      <c r="BP965" s="117">
        <f>VLOOKUP($D965,'WB Data'!$C$3:$M$578,9,FALSE)</f>
        <v>36.799999999999997</v>
      </c>
      <c r="BQ965" s="117">
        <f>VLOOKUP($D965,'WB Data'!$C$3:$M$578,10,FALSE)</f>
        <v>69.60243902439025</v>
      </c>
      <c r="BR965" s="117">
        <f>VLOOKUP($D965,'WB Data'!$C$3:$M$578,11,FALSE)</f>
        <v>24.9</v>
      </c>
      <c r="BS965" s="129">
        <f>IFERROR(VLOOKUP($D965,'WB Data 2'!$C$2:$K$545,9,FALSE),"..")</f>
        <v>96.062510000000003</v>
      </c>
      <c r="BT965" s="129" t="str">
        <f>_xlfn.IFNA(VLOOKUP($C965,RGI!$A$2:$C$43,2,FALSE),"..")</f>
        <v>..</v>
      </c>
      <c r="BU965" s="129" t="str">
        <f>_xlfn.IFNA(VLOOKUP($C965,RGI!$A$2:$C$43,3,FALSE),"..")</f>
        <v>..</v>
      </c>
      <c r="BV965" s="129">
        <f>VLOOKUP($D965,WGI!$C$2:$O$478,7,FALSE)</f>
        <v>-0.733062043201957</v>
      </c>
      <c r="BW965" s="129">
        <f>VLOOKUP($D965,WGI!$C$2:$O$478,4,FALSE)</f>
        <v>-1.0763722910942799</v>
      </c>
      <c r="BX965" s="129">
        <f>VLOOKUP($D965,WGI!$C$2:$O$478,3,FALSE)</f>
        <v>-0.62813373017797802</v>
      </c>
      <c r="BY965" s="129">
        <f>VLOOKUP($D965,WGI!$C$2:$O$478,5,FALSE)</f>
        <v>-0.215674009622323</v>
      </c>
      <c r="BZ965" s="129">
        <f>VLOOKUP($D965,WGI!$C$2:$O$478,2,FALSE)</f>
        <v>-1.1536330480467301</v>
      </c>
    </row>
    <row r="966" spans="1:80" ht="15" customHeight="1">
      <c r="A966" s="294" t="s">
        <v>295</v>
      </c>
      <c r="B966" s="117">
        <v>2011</v>
      </c>
      <c r="C966" s="117" t="s">
        <v>285</v>
      </c>
      <c r="D966" s="117" t="s">
        <v>3703</v>
      </c>
      <c r="E966" s="452" t="s">
        <v>39</v>
      </c>
      <c r="F966" s="117"/>
      <c r="G966" s="117" t="s">
        <v>24</v>
      </c>
      <c r="H966" s="117" t="str">
        <f t="shared" si="158"/>
        <v>yes</v>
      </c>
      <c r="I966" s="117" t="str">
        <f t="shared" si="159"/>
        <v>no</v>
      </c>
      <c r="J966" s="117" t="str">
        <f t="shared" si="160"/>
        <v>no</v>
      </c>
      <c r="K966" s="117" t="s">
        <v>1537</v>
      </c>
      <c r="L966" s="117" t="str">
        <f t="shared" si="161"/>
        <v>detailed</v>
      </c>
      <c r="M966" s="117" t="str">
        <f t="shared" si="162"/>
        <v>detailed Mining</v>
      </c>
      <c r="N966" s="118">
        <v>892</v>
      </c>
      <c r="O966" s="118"/>
      <c r="P966" s="118"/>
      <c r="Q966" s="118"/>
      <c r="R966" s="118"/>
      <c r="S966" s="117" t="s">
        <v>610</v>
      </c>
      <c r="T966" s="119"/>
      <c r="U966" s="117"/>
      <c r="V966" s="117" t="s">
        <v>684</v>
      </c>
      <c r="W966" s="89"/>
      <c r="X966" s="117"/>
      <c r="Y966" s="117"/>
      <c r="Z966" s="117"/>
      <c r="AA966" s="177"/>
      <c r="AB966" s="177"/>
      <c r="AC966" s="122"/>
      <c r="AD966" s="122"/>
      <c r="AE966" s="122"/>
      <c r="AF966" s="123"/>
      <c r="AG966" s="117"/>
      <c r="AH966" s="124"/>
      <c r="AI966" s="117"/>
      <c r="AJ966" s="117"/>
      <c r="AK966" s="89"/>
      <c r="AL966" s="117"/>
      <c r="AM966" s="117"/>
      <c r="AN966" s="117"/>
      <c r="AO966" s="117"/>
      <c r="AP966" s="117"/>
      <c r="AQ966" s="117"/>
      <c r="AR966" s="126"/>
      <c r="AS966" s="117"/>
      <c r="AT966" s="117"/>
      <c r="AU966" s="117"/>
      <c r="AV966" s="128"/>
      <c r="AW966" s="117">
        <f>VLOOKUP($D966,'WB Data'!$C$3:$M$578,2,FALSE)</f>
        <v>6197766118.5985575</v>
      </c>
      <c r="AX966" s="117">
        <f>VLOOKUP($D966,'WB Data'!$C$3:$M$578,3,FALSE)</f>
        <v>5514600</v>
      </c>
      <c r="AY966" s="847">
        <f t="shared" si="164"/>
        <v>3.9719643221332916E-2</v>
      </c>
      <c r="AZ966" s="117">
        <f>VLOOKUP($D966,'WB Data'!$C$3:$M$578,4,FALSE)/100</f>
        <v>0.21073965406373879</v>
      </c>
      <c r="BA966" s="117">
        <f t="shared" si="165"/>
        <v>1306115087.8014212</v>
      </c>
      <c r="BB966" s="129">
        <f>IFERROR(VLOOKUP($D966,'EITI Revenues'!$C$2:$G$224,5,FALSE),"..")</f>
        <v>246173059</v>
      </c>
      <c r="BC966" s="846">
        <f t="shared" si="166"/>
        <v>0.18847731053653335</v>
      </c>
      <c r="BD966" s="129">
        <f>VLOOKUP($D966,'WB Data 2'!$C$2:$K$545,6,FALSE)</f>
        <v>572997094.34538686</v>
      </c>
      <c r="BE966" s="129" t="str">
        <f>IFERROR(VLOOKUP($D966,UNCTAD!$C$5:$V$529,4,FALSE),"..")</f>
        <v>..</v>
      </c>
      <c r="BF966" s="846" t="str">
        <f t="shared" si="167"/>
        <v>..</v>
      </c>
      <c r="BG966" s="117">
        <f>VLOOKUP($D966,'WB Data'!$C$3:$M$578,5,FALSE)</f>
        <v>525030000</v>
      </c>
      <c r="BH966" s="129">
        <f>IFERROR($BB966/$BG966,"..")</f>
        <v>0.468874271946365</v>
      </c>
      <c r="BI966" s="117">
        <f>IFERROR(VLOOKUP($D966,'WB Data'!$C$3:$M$578,7,FALSE)/100,"..")</f>
        <v>6.79062E-2</v>
      </c>
      <c r="BJ966" s="117">
        <f>IFERROR($BI966*$AW966,"..")</f>
        <v>420866745.60277736</v>
      </c>
      <c r="BK966" s="846">
        <f>IFERROR($BB966/$BJ966,"..")</f>
        <v>0.58491924480140123</v>
      </c>
      <c r="BL966" s="117">
        <f>IFERROR(VLOOKUP($D966,'WB Data'!$C$3:$M$578,7,FALSE)/100,"..")</f>
        <v>6.79062E-2</v>
      </c>
      <c r="BM966" s="117">
        <f>IFERROR($AW966*$BL966,"..")</f>
        <v>420866745.60277736</v>
      </c>
      <c r="BN966" s="846">
        <f>IFERROR($BB966/$BM966,"..")</f>
        <v>0.58491924480140123</v>
      </c>
      <c r="BO966" s="801" t="str">
        <f t="shared" si="163"/>
        <v>..</v>
      </c>
      <c r="BP966" s="117">
        <f>VLOOKUP($D966,'WB Data'!$C$3:$M$578,9,FALSE)</f>
        <v>36.799999999999997</v>
      </c>
      <c r="BQ966" s="117">
        <f>VLOOKUP($D966,'WB Data'!$C$3:$M$578,10,FALSE)</f>
        <v>69.60243902439025</v>
      </c>
      <c r="BR966" s="117">
        <f>VLOOKUP($D966,'WB Data'!$C$3:$M$578,11,FALSE)</f>
        <v>24.9</v>
      </c>
      <c r="BS966" s="129">
        <f>IFERROR(VLOOKUP($D966,'WB Data 2'!$C$2:$K$545,9,FALSE),"..")</f>
        <v>96.062510000000003</v>
      </c>
      <c r="BT966" s="129" t="str">
        <f>_xlfn.IFNA(VLOOKUP($C966,RGI!$A$2:$C$43,2,FALSE),"..")</f>
        <v>..</v>
      </c>
      <c r="BU966" s="129" t="str">
        <f>_xlfn.IFNA(VLOOKUP($C966,RGI!$A$2:$C$43,3,FALSE),"..")</f>
        <v>..</v>
      </c>
      <c r="BV966" s="129">
        <f>VLOOKUP($D966,WGI!$C$2:$O$478,7,FALSE)</f>
        <v>-0.733062043201957</v>
      </c>
      <c r="BW966" s="129">
        <f>VLOOKUP($D966,WGI!$C$2:$O$478,4,FALSE)</f>
        <v>-1.0763722910942799</v>
      </c>
      <c r="BX966" s="129">
        <f>VLOOKUP($D966,WGI!$C$2:$O$478,3,FALSE)</f>
        <v>-0.62813373017797802</v>
      </c>
      <c r="BY966" s="129">
        <f>VLOOKUP($D966,WGI!$C$2:$O$478,5,FALSE)</f>
        <v>-0.215674009622323</v>
      </c>
      <c r="BZ966" s="129">
        <f>VLOOKUP($D966,WGI!$C$2:$O$478,2,FALSE)</f>
        <v>-1.1536330480467301</v>
      </c>
    </row>
    <row r="967" spans="1:80" ht="15" customHeight="1">
      <c r="A967" s="294" t="s">
        <v>295</v>
      </c>
      <c r="B967" s="117">
        <v>2011</v>
      </c>
      <c r="C967" s="117" t="s">
        <v>285</v>
      </c>
      <c r="D967" s="117" t="s">
        <v>3703</v>
      </c>
      <c r="E967" s="452" t="s">
        <v>39</v>
      </c>
      <c r="F967" s="117"/>
      <c r="G967" s="117" t="s">
        <v>24</v>
      </c>
      <c r="H967" s="117" t="str">
        <f t="shared" si="158"/>
        <v>yes</v>
      </c>
      <c r="I967" s="117" t="str">
        <f t="shared" si="159"/>
        <v>no</v>
      </c>
      <c r="J967" s="117" t="str">
        <f t="shared" si="160"/>
        <v>no</v>
      </c>
      <c r="K967" s="117" t="s">
        <v>1538</v>
      </c>
      <c r="L967" s="117" t="str">
        <f t="shared" si="161"/>
        <v>detailed</v>
      </c>
      <c r="M967" s="117" t="str">
        <f t="shared" si="162"/>
        <v>detailed Mining</v>
      </c>
      <c r="N967" s="118">
        <v>1500</v>
      </c>
      <c r="O967" s="118"/>
      <c r="P967" s="118"/>
      <c r="Q967" s="118"/>
      <c r="R967" s="118"/>
      <c r="S967" s="117" t="s">
        <v>610</v>
      </c>
      <c r="T967" s="119"/>
      <c r="U967" s="117"/>
      <c r="V967" s="117" t="s">
        <v>684</v>
      </c>
      <c r="W967" s="89"/>
      <c r="X967" s="117"/>
      <c r="Y967" s="117"/>
      <c r="Z967" s="117"/>
      <c r="AA967" s="177"/>
      <c r="AB967" s="177"/>
      <c r="AC967" s="122"/>
      <c r="AD967" s="122"/>
      <c r="AE967" s="122"/>
      <c r="AF967" s="123"/>
      <c r="AG967" s="117"/>
      <c r="AH967" s="124"/>
      <c r="AI967" s="117"/>
      <c r="AJ967" s="117"/>
      <c r="AK967" s="89"/>
      <c r="AL967" s="117"/>
      <c r="AM967" s="117"/>
      <c r="AN967" s="117"/>
      <c r="AO967" s="117"/>
      <c r="AP967" s="117"/>
      <c r="AQ967" s="117"/>
      <c r="AR967" s="126"/>
      <c r="AS967" s="117"/>
      <c r="AT967" s="117"/>
      <c r="AU967" s="117"/>
      <c r="AV967" s="128"/>
      <c r="AW967" s="117">
        <f>VLOOKUP($D967,'WB Data'!$C$3:$M$578,2,FALSE)</f>
        <v>6197766118.5985575</v>
      </c>
      <c r="AX967" s="117">
        <f>VLOOKUP($D967,'WB Data'!$C$3:$M$578,3,FALSE)</f>
        <v>5514600</v>
      </c>
      <c r="AY967" s="847">
        <f t="shared" si="164"/>
        <v>3.9719643221332916E-2</v>
      </c>
      <c r="AZ967" s="117">
        <f>VLOOKUP($D967,'WB Data'!$C$3:$M$578,4,FALSE)/100</f>
        <v>0.21073965406373879</v>
      </c>
      <c r="BA967" s="117">
        <f t="shared" si="165"/>
        <v>1306115087.8014212</v>
      </c>
      <c r="BB967" s="129">
        <f>IFERROR(VLOOKUP($D967,'EITI Revenues'!$C$2:$G$224,5,FALSE),"..")</f>
        <v>246173059</v>
      </c>
      <c r="BC967" s="846">
        <f t="shared" si="166"/>
        <v>0.18847731053653335</v>
      </c>
      <c r="BD967" s="129">
        <f>VLOOKUP($D967,'WB Data 2'!$C$2:$K$545,6,FALSE)</f>
        <v>572997094.34538686</v>
      </c>
      <c r="BE967" s="129" t="str">
        <f>IFERROR(VLOOKUP($D967,UNCTAD!$C$5:$V$529,4,FALSE),"..")</f>
        <v>..</v>
      </c>
      <c r="BF967" s="846" t="str">
        <f t="shared" si="167"/>
        <v>..</v>
      </c>
      <c r="BG967" s="117">
        <f>VLOOKUP($D967,'WB Data'!$C$3:$M$578,5,FALSE)</f>
        <v>525030000</v>
      </c>
      <c r="BH967" s="129">
        <f>IFERROR($BB967/$BG967,"..")</f>
        <v>0.468874271946365</v>
      </c>
      <c r="BI967" s="117">
        <f>IFERROR(VLOOKUP($D967,'WB Data'!$C$3:$M$578,7,FALSE)/100,"..")</f>
        <v>6.79062E-2</v>
      </c>
      <c r="BJ967" s="117">
        <f>IFERROR($BI967*$AW967,"..")</f>
        <v>420866745.60277736</v>
      </c>
      <c r="BK967" s="846">
        <f>IFERROR($BB967/$BJ967,"..")</f>
        <v>0.58491924480140123</v>
      </c>
      <c r="BL967" s="117">
        <f>IFERROR(VLOOKUP($D967,'WB Data'!$C$3:$M$578,7,FALSE)/100,"..")</f>
        <v>6.79062E-2</v>
      </c>
      <c r="BM967" s="117">
        <f>IFERROR($AW967*$BL967,"..")</f>
        <v>420866745.60277736</v>
      </c>
      <c r="BN967" s="846">
        <f>IFERROR($BB967/$BM967,"..")</f>
        <v>0.58491924480140123</v>
      </c>
      <c r="BO967" s="801" t="str">
        <f t="shared" si="163"/>
        <v>..</v>
      </c>
      <c r="BP967" s="117">
        <f>VLOOKUP($D967,'WB Data'!$C$3:$M$578,9,FALSE)</f>
        <v>36.799999999999997</v>
      </c>
      <c r="BQ967" s="117">
        <f>VLOOKUP($D967,'WB Data'!$C$3:$M$578,10,FALSE)</f>
        <v>69.60243902439025</v>
      </c>
      <c r="BR967" s="117">
        <f>VLOOKUP($D967,'WB Data'!$C$3:$M$578,11,FALSE)</f>
        <v>24.9</v>
      </c>
      <c r="BS967" s="129">
        <f>IFERROR(VLOOKUP($D967,'WB Data 2'!$C$2:$K$545,9,FALSE),"..")</f>
        <v>96.062510000000003</v>
      </c>
      <c r="BT967" s="129" t="str">
        <f>_xlfn.IFNA(VLOOKUP($C967,RGI!$A$2:$C$43,2,FALSE),"..")</f>
        <v>..</v>
      </c>
      <c r="BU967" s="129" t="str">
        <f>_xlfn.IFNA(VLOOKUP($C967,RGI!$A$2:$C$43,3,FALSE),"..")</f>
        <v>..</v>
      </c>
      <c r="BV967" s="129">
        <f>VLOOKUP($D967,WGI!$C$2:$O$478,7,FALSE)</f>
        <v>-0.733062043201957</v>
      </c>
      <c r="BW967" s="129">
        <f>VLOOKUP($D967,WGI!$C$2:$O$478,4,FALSE)</f>
        <v>-1.0763722910942799</v>
      </c>
      <c r="BX967" s="129">
        <f>VLOOKUP($D967,WGI!$C$2:$O$478,3,FALSE)</f>
        <v>-0.62813373017797802</v>
      </c>
      <c r="BY967" s="129">
        <f>VLOOKUP($D967,WGI!$C$2:$O$478,5,FALSE)</f>
        <v>-0.215674009622323</v>
      </c>
      <c r="BZ967" s="129">
        <f>VLOOKUP($D967,WGI!$C$2:$O$478,2,FALSE)</f>
        <v>-1.1536330480467301</v>
      </c>
    </row>
    <row r="968" spans="1:80" ht="15" customHeight="1">
      <c r="A968" s="294" t="s">
        <v>295</v>
      </c>
      <c r="B968" s="117">
        <v>2011</v>
      </c>
      <c r="C968" s="117" t="s">
        <v>285</v>
      </c>
      <c r="D968" s="117" t="s">
        <v>3703</v>
      </c>
      <c r="E968" s="452" t="s">
        <v>39</v>
      </c>
      <c r="F968" s="117"/>
      <c r="G968" s="117" t="s">
        <v>24</v>
      </c>
      <c r="H968" s="117" t="str">
        <f t="shared" si="158"/>
        <v>yes</v>
      </c>
      <c r="I968" s="117" t="str">
        <f t="shared" si="159"/>
        <v>no</v>
      </c>
      <c r="J968" s="117" t="str">
        <f t="shared" si="160"/>
        <v>no</v>
      </c>
      <c r="K968" s="117" t="s">
        <v>1545</v>
      </c>
      <c r="L968" s="117" t="str">
        <f t="shared" si="161"/>
        <v>detailed</v>
      </c>
      <c r="M968" s="117" t="str">
        <f t="shared" si="162"/>
        <v>detailed Mining</v>
      </c>
      <c r="N968" s="118">
        <v>112.7</v>
      </c>
      <c r="O968" s="118"/>
      <c r="P968" s="118"/>
      <c r="Q968" s="118"/>
      <c r="R968" s="118"/>
      <c r="S968" s="117" t="s">
        <v>610</v>
      </c>
      <c r="T968" s="119">
        <f>1850/0.035</f>
        <v>52857.142857142855</v>
      </c>
      <c r="U968" s="117" t="s">
        <v>611</v>
      </c>
      <c r="V968" s="117" t="s">
        <v>1546</v>
      </c>
      <c r="W968" s="89">
        <f>N968*T968</f>
        <v>5957000</v>
      </c>
      <c r="X968" s="117"/>
      <c r="Y968" s="117"/>
      <c r="Z968" s="117"/>
      <c r="AA968" s="177"/>
      <c r="AB968" s="177"/>
      <c r="AC968" s="122"/>
      <c r="AD968" s="122"/>
      <c r="AE968" s="122"/>
      <c r="AF968" s="123"/>
      <c r="AG968" s="117"/>
      <c r="AH968" s="124"/>
      <c r="AI968" s="117"/>
      <c r="AJ968" s="117"/>
      <c r="AK968" s="89"/>
      <c r="AL968" s="117"/>
      <c r="AM968" s="117"/>
      <c r="AN968" s="117"/>
      <c r="AO968" s="117"/>
      <c r="AP968" s="117"/>
      <c r="AQ968" s="117"/>
      <c r="AR968" s="126"/>
      <c r="AS968" s="117"/>
      <c r="AT968" s="117"/>
      <c r="AU968" s="117">
        <v>3</v>
      </c>
      <c r="AV968" s="128"/>
      <c r="AW968" s="117">
        <f>VLOOKUP($D968,'WB Data'!$C$3:$M$578,2,FALSE)</f>
        <v>6197766118.5985575</v>
      </c>
      <c r="AX968" s="117">
        <f>VLOOKUP($D968,'WB Data'!$C$3:$M$578,3,FALSE)</f>
        <v>5514600</v>
      </c>
      <c r="AY968" s="847">
        <f t="shared" si="164"/>
        <v>3.9719643221332916E-2</v>
      </c>
      <c r="AZ968" s="117">
        <f>VLOOKUP($D968,'WB Data'!$C$3:$M$578,4,FALSE)/100</f>
        <v>0.21073965406373879</v>
      </c>
      <c r="BA968" s="117">
        <f t="shared" si="165"/>
        <v>1306115087.8014212</v>
      </c>
      <c r="BB968" s="129">
        <f>IFERROR(VLOOKUP($D968,'EITI Revenues'!$C$2:$G$224,5,FALSE),"..")</f>
        <v>246173059</v>
      </c>
      <c r="BC968" s="846">
        <f t="shared" si="166"/>
        <v>0.18847731053653335</v>
      </c>
      <c r="BD968" s="129">
        <f>VLOOKUP($D968,'WB Data 2'!$C$2:$K$545,6,FALSE)</f>
        <v>572997094.34538686</v>
      </c>
      <c r="BE968" s="129" t="str">
        <f>IFERROR(VLOOKUP($D968,UNCTAD!$C$5:$V$529,4,FALSE),"..")</f>
        <v>..</v>
      </c>
      <c r="BF968" s="846" t="str">
        <f t="shared" si="167"/>
        <v>..</v>
      </c>
      <c r="BG968" s="117">
        <f>VLOOKUP($D968,'WB Data'!$C$3:$M$578,5,FALSE)</f>
        <v>525030000</v>
      </c>
      <c r="BH968" s="129">
        <f>IFERROR($BB968/$BG968,"..")</f>
        <v>0.468874271946365</v>
      </c>
      <c r="BI968" s="117">
        <f>IFERROR(VLOOKUP($D968,'WB Data'!$C$3:$M$578,7,FALSE)/100,"..")</f>
        <v>6.79062E-2</v>
      </c>
      <c r="BJ968" s="117">
        <f>IFERROR($BI968*$AW968,"..")</f>
        <v>420866745.60277736</v>
      </c>
      <c r="BK968" s="846">
        <f>IFERROR($BB968/$BJ968,"..")</f>
        <v>0.58491924480140123</v>
      </c>
      <c r="BL968" s="117">
        <f>IFERROR(VLOOKUP($D968,'WB Data'!$C$3:$M$578,7,FALSE)/100,"..")</f>
        <v>6.79062E-2</v>
      </c>
      <c r="BM968" s="117">
        <f>IFERROR($AW968*$BL968,"..")</f>
        <v>420866745.60277736</v>
      </c>
      <c r="BN968" s="846">
        <f>IFERROR($BB968/$BM968,"..")</f>
        <v>0.58491924480140123</v>
      </c>
      <c r="BO968" s="801" t="str">
        <f t="shared" si="163"/>
        <v>..</v>
      </c>
      <c r="BP968" s="117">
        <f>VLOOKUP($D968,'WB Data'!$C$3:$M$578,9,FALSE)</f>
        <v>36.799999999999997</v>
      </c>
      <c r="BQ968" s="117">
        <f>VLOOKUP($D968,'WB Data'!$C$3:$M$578,10,FALSE)</f>
        <v>69.60243902439025</v>
      </c>
      <c r="BR968" s="117">
        <f>VLOOKUP($D968,'WB Data'!$C$3:$M$578,11,FALSE)</f>
        <v>24.9</v>
      </c>
      <c r="BS968" s="129">
        <f>IFERROR(VLOOKUP($D968,'WB Data 2'!$C$2:$K$545,9,FALSE),"..")</f>
        <v>96.062510000000003</v>
      </c>
      <c r="BT968" s="129" t="str">
        <f>_xlfn.IFNA(VLOOKUP($C968,RGI!$A$2:$C$43,2,FALSE),"..")</f>
        <v>..</v>
      </c>
      <c r="BU968" s="129" t="str">
        <f>_xlfn.IFNA(VLOOKUP($C968,RGI!$A$2:$C$43,3,FALSE),"..")</f>
        <v>..</v>
      </c>
      <c r="BV968" s="129">
        <f>VLOOKUP($D968,WGI!$C$2:$O$478,7,FALSE)</f>
        <v>-0.733062043201957</v>
      </c>
      <c r="BW968" s="129">
        <f>VLOOKUP($D968,WGI!$C$2:$O$478,4,FALSE)</f>
        <v>-1.0763722910942799</v>
      </c>
      <c r="BX968" s="129">
        <f>VLOOKUP($D968,WGI!$C$2:$O$478,3,FALSE)</f>
        <v>-0.62813373017797802</v>
      </c>
      <c r="BY968" s="129">
        <f>VLOOKUP($D968,WGI!$C$2:$O$478,5,FALSE)</f>
        <v>-0.215674009622323</v>
      </c>
      <c r="BZ968" s="129">
        <f>VLOOKUP($D968,WGI!$C$2:$O$478,2,FALSE)</f>
        <v>-1.1536330480467301</v>
      </c>
    </row>
    <row r="969" spans="1:80" ht="15" customHeight="1">
      <c r="A969" s="294" t="s">
        <v>295</v>
      </c>
      <c r="B969" s="117">
        <v>2011</v>
      </c>
      <c r="C969" s="117" t="s">
        <v>285</v>
      </c>
      <c r="D969" s="117" t="s">
        <v>3703</v>
      </c>
      <c r="E969" s="452" t="s">
        <v>39</v>
      </c>
      <c r="F969" s="117"/>
      <c r="G969" s="117" t="s">
        <v>24</v>
      </c>
      <c r="H969" s="117" t="str">
        <f t="shared" si="158"/>
        <v>yes</v>
      </c>
      <c r="I969" s="117" t="str">
        <f t="shared" si="159"/>
        <v>no</v>
      </c>
      <c r="J969" s="117" t="str">
        <f t="shared" si="160"/>
        <v>no</v>
      </c>
      <c r="K969" s="117" t="s">
        <v>1569</v>
      </c>
      <c r="L969" s="117" t="str">
        <f t="shared" si="161"/>
        <v>detailed</v>
      </c>
      <c r="M969" s="117" t="str">
        <f t="shared" si="162"/>
        <v>detailed Mining</v>
      </c>
      <c r="N969" s="118"/>
      <c r="O969" s="118"/>
      <c r="P969" s="118"/>
      <c r="Q969" s="118"/>
      <c r="R969" s="118"/>
      <c r="S969" s="117"/>
      <c r="T969" s="119"/>
      <c r="U969" s="117"/>
      <c r="V969" s="117"/>
      <c r="W969" s="89"/>
      <c r="X969" s="117"/>
      <c r="Y969" s="117"/>
      <c r="Z969" s="117"/>
      <c r="AA969" s="177"/>
      <c r="AB969" s="177"/>
      <c r="AC969" s="122"/>
      <c r="AD969" s="122"/>
      <c r="AE969" s="122"/>
      <c r="AF969" s="123"/>
      <c r="AG969" s="117"/>
      <c r="AH969" s="124"/>
      <c r="AI969" s="117"/>
      <c r="AJ969" s="117"/>
      <c r="AK969" s="89"/>
      <c r="AL969" s="117"/>
      <c r="AM969" s="117"/>
      <c r="AN969" s="117"/>
      <c r="AO969" s="117"/>
      <c r="AP969" s="117"/>
      <c r="AQ969" s="117"/>
      <c r="AR969" s="126"/>
      <c r="AS969" s="117"/>
      <c r="AT969" s="117"/>
      <c r="AU969" s="117">
        <v>3</v>
      </c>
      <c r="AV969" s="128"/>
      <c r="AW969" s="117">
        <f>VLOOKUP($D969,'WB Data'!$C$3:$M$578,2,FALSE)</f>
        <v>6197766118.5985575</v>
      </c>
      <c r="AX969" s="117">
        <f>VLOOKUP($D969,'WB Data'!$C$3:$M$578,3,FALSE)</f>
        <v>5514600</v>
      </c>
      <c r="AY969" s="847">
        <f t="shared" si="164"/>
        <v>3.9719643221332916E-2</v>
      </c>
      <c r="AZ969" s="117">
        <f>VLOOKUP($D969,'WB Data'!$C$3:$M$578,4,FALSE)/100</f>
        <v>0.21073965406373879</v>
      </c>
      <c r="BA969" s="117">
        <f t="shared" si="165"/>
        <v>1306115087.8014212</v>
      </c>
      <c r="BB969" s="129">
        <f>IFERROR(VLOOKUP($D969,'EITI Revenues'!$C$2:$G$224,5,FALSE),"..")</f>
        <v>246173059</v>
      </c>
      <c r="BC969" s="846">
        <f t="shared" si="166"/>
        <v>0.18847731053653335</v>
      </c>
      <c r="BD969" s="129">
        <f>VLOOKUP($D969,'WB Data 2'!$C$2:$K$545,6,FALSE)</f>
        <v>572997094.34538686</v>
      </c>
      <c r="BE969" s="129" t="str">
        <f>IFERROR(VLOOKUP($D969,UNCTAD!$C$5:$V$529,4,FALSE),"..")</f>
        <v>..</v>
      </c>
      <c r="BF969" s="846" t="str">
        <f t="shared" si="167"/>
        <v>..</v>
      </c>
      <c r="BG969" s="117">
        <f>VLOOKUP($D969,'WB Data'!$C$3:$M$578,5,FALSE)</f>
        <v>525030000</v>
      </c>
      <c r="BH969" s="129">
        <f>IFERROR($BB969/$BG969,"..")</f>
        <v>0.468874271946365</v>
      </c>
      <c r="BI969" s="117">
        <f>IFERROR(VLOOKUP($D969,'WB Data'!$C$3:$M$578,7,FALSE)/100,"..")</f>
        <v>6.79062E-2</v>
      </c>
      <c r="BJ969" s="117">
        <f>IFERROR($BI969*$AW969,"..")</f>
        <v>420866745.60277736</v>
      </c>
      <c r="BK969" s="846">
        <f>IFERROR($BB969/$BJ969,"..")</f>
        <v>0.58491924480140123</v>
      </c>
      <c r="BL969" s="117">
        <f>IFERROR(VLOOKUP($D969,'WB Data'!$C$3:$M$578,7,FALSE)/100,"..")</f>
        <v>6.79062E-2</v>
      </c>
      <c r="BM969" s="117">
        <f>IFERROR($AW969*$BL969,"..")</f>
        <v>420866745.60277736</v>
      </c>
      <c r="BN969" s="846">
        <f>IFERROR($BB969/$BM969,"..")</f>
        <v>0.58491924480140123</v>
      </c>
      <c r="BO969" s="801" t="str">
        <f t="shared" si="163"/>
        <v>..</v>
      </c>
      <c r="BP969" s="117">
        <f>VLOOKUP($D969,'WB Data'!$C$3:$M$578,9,FALSE)</f>
        <v>36.799999999999997</v>
      </c>
      <c r="BQ969" s="117">
        <f>VLOOKUP($D969,'WB Data'!$C$3:$M$578,10,FALSE)</f>
        <v>69.60243902439025</v>
      </c>
      <c r="BR969" s="117">
        <f>VLOOKUP($D969,'WB Data'!$C$3:$M$578,11,FALSE)</f>
        <v>24.9</v>
      </c>
      <c r="BS969" s="129">
        <f>IFERROR(VLOOKUP($D969,'WB Data 2'!$C$2:$K$545,9,FALSE),"..")</f>
        <v>96.062510000000003</v>
      </c>
      <c r="BT969" s="129" t="str">
        <f>_xlfn.IFNA(VLOOKUP($C969,RGI!$A$2:$C$43,2,FALSE),"..")</f>
        <v>..</v>
      </c>
      <c r="BU969" s="129" t="str">
        <f>_xlfn.IFNA(VLOOKUP($C969,RGI!$A$2:$C$43,3,FALSE),"..")</f>
        <v>..</v>
      </c>
      <c r="BV969" s="129">
        <f>VLOOKUP($D969,WGI!$C$2:$O$478,7,FALSE)</f>
        <v>-0.733062043201957</v>
      </c>
      <c r="BW969" s="129">
        <f>VLOOKUP($D969,WGI!$C$2:$O$478,4,FALSE)</f>
        <v>-1.0763722910942799</v>
      </c>
      <c r="BX969" s="129">
        <f>VLOOKUP($D969,WGI!$C$2:$O$478,3,FALSE)</f>
        <v>-0.62813373017797802</v>
      </c>
      <c r="BY969" s="129">
        <f>VLOOKUP($D969,WGI!$C$2:$O$478,5,FALSE)</f>
        <v>-0.215674009622323</v>
      </c>
      <c r="BZ969" s="129">
        <f>VLOOKUP($D969,WGI!$C$2:$O$478,2,FALSE)</f>
        <v>-1.1536330480467301</v>
      </c>
    </row>
    <row r="970" spans="1:80" ht="15" customHeight="1">
      <c r="A970" s="294" t="s">
        <v>295</v>
      </c>
      <c r="B970" s="117">
        <v>2011</v>
      </c>
      <c r="C970" s="117" t="s">
        <v>285</v>
      </c>
      <c r="D970" s="117" t="s">
        <v>3703</v>
      </c>
      <c r="E970" s="452" t="s">
        <v>39</v>
      </c>
      <c r="F970" s="117"/>
      <c r="G970" s="117" t="s">
        <v>24</v>
      </c>
      <c r="H970" s="117" t="str">
        <f t="shared" si="158"/>
        <v>yes</v>
      </c>
      <c r="I970" s="117" t="str">
        <f t="shared" si="159"/>
        <v>no</v>
      </c>
      <c r="J970" s="117" t="str">
        <f t="shared" si="160"/>
        <v>no</v>
      </c>
      <c r="K970" s="117" t="s">
        <v>1539</v>
      </c>
      <c r="L970" s="117" t="str">
        <f t="shared" si="161"/>
        <v>detailed</v>
      </c>
      <c r="M970" s="117" t="str">
        <f t="shared" si="162"/>
        <v>detailed Mining</v>
      </c>
      <c r="N970" s="118">
        <v>2000</v>
      </c>
      <c r="O970" s="118"/>
      <c r="P970" s="118"/>
      <c r="Q970" s="118"/>
      <c r="R970" s="118"/>
      <c r="S970" s="117" t="s">
        <v>610</v>
      </c>
      <c r="T970" s="119"/>
      <c r="U970" s="117"/>
      <c r="V970" s="117" t="s">
        <v>684</v>
      </c>
      <c r="W970" s="89"/>
      <c r="X970" s="117"/>
      <c r="Y970" s="117"/>
      <c r="Z970" s="117"/>
      <c r="AA970" s="177"/>
      <c r="AB970" s="177"/>
      <c r="AC970" s="122"/>
      <c r="AD970" s="122"/>
      <c r="AE970" s="122"/>
      <c r="AF970" s="123"/>
      <c r="AG970" s="117"/>
      <c r="AH970" s="124"/>
      <c r="AI970" s="117"/>
      <c r="AJ970" s="117"/>
      <c r="AK970" s="89"/>
      <c r="AL970" s="117"/>
      <c r="AM970" s="117"/>
      <c r="AN970" s="117"/>
      <c r="AO970" s="117"/>
      <c r="AP970" s="117"/>
      <c r="AQ970" s="117"/>
      <c r="AR970" s="126"/>
      <c r="AS970" s="117"/>
      <c r="AT970" s="117"/>
      <c r="AU970" s="117"/>
      <c r="AV970" s="128"/>
      <c r="AW970" s="117">
        <f>VLOOKUP($D970,'WB Data'!$C$3:$M$578,2,FALSE)</f>
        <v>6197766118.5985575</v>
      </c>
      <c r="AX970" s="117">
        <f>VLOOKUP($D970,'WB Data'!$C$3:$M$578,3,FALSE)</f>
        <v>5514600</v>
      </c>
      <c r="AY970" s="847">
        <f t="shared" si="164"/>
        <v>3.9719643221332916E-2</v>
      </c>
      <c r="AZ970" s="117">
        <f>VLOOKUP($D970,'WB Data'!$C$3:$M$578,4,FALSE)/100</f>
        <v>0.21073965406373879</v>
      </c>
      <c r="BA970" s="117">
        <f t="shared" si="165"/>
        <v>1306115087.8014212</v>
      </c>
      <c r="BB970" s="129">
        <f>IFERROR(VLOOKUP($D970,'EITI Revenues'!$C$2:$G$224,5,FALSE),"..")</f>
        <v>246173059</v>
      </c>
      <c r="BC970" s="846">
        <f t="shared" si="166"/>
        <v>0.18847731053653335</v>
      </c>
      <c r="BD970" s="129">
        <f>VLOOKUP($D970,'WB Data 2'!$C$2:$K$545,6,FALSE)</f>
        <v>572997094.34538686</v>
      </c>
      <c r="BE970" s="129" t="str">
        <f>IFERROR(VLOOKUP($D970,UNCTAD!$C$5:$V$529,4,FALSE),"..")</f>
        <v>..</v>
      </c>
      <c r="BF970" s="846" t="str">
        <f t="shared" si="167"/>
        <v>..</v>
      </c>
      <c r="BG970" s="117">
        <f>VLOOKUP($D970,'WB Data'!$C$3:$M$578,5,FALSE)</f>
        <v>525030000</v>
      </c>
      <c r="BH970" s="129">
        <f>IFERROR($BB970/$BG970,"..")</f>
        <v>0.468874271946365</v>
      </c>
      <c r="BI970" s="117">
        <f>IFERROR(VLOOKUP($D970,'WB Data'!$C$3:$M$578,7,FALSE)/100,"..")</f>
        <v>6.79062E-2</v>
      </c>
      <c r="BJ970" s="117">
        <f>IFERROR($BI970*$AW970,"..")</f>
        <v>420866745.60277736</v>
      </c>
      <c r="BK970" s="846">
        <f>IFERROR($BB970/$BJ970,"..")</f>
        <v>0.58491924480140123</v>
      </c>
      <c r="BL970" s="117">
        <f>IFERROR(VLOOKUP($D970,'WB Data'!$C$3:$M$578,7,FALSE)/100,"..")</f>
        <v>6.79062E-2</v>
      </c>
      <c r="BM970" s="117">
        <f>IFERROR($AW970*$BL970,"..")</f>
        <v>420866745.60277736</v>
      </c>
      <c r="BN970" s="846">
        <f>IFERROR($BB970/$BM970,"..")</f>
        <v>0.58491924480140123</v>
      </c>
      <c r="BO970" s="801" t="str">
        <f t="shared" si="163"/>
        <v>..</v>
      </c>
      <c r="BP970" s="117">
        <f>VLOOKUP($D970,'WB Data'!$C$3:$M$578,9,FALSE)</f>
        <v>36.799999999999997</v>
      </c>
      <c r="BQ970" s="117">
        <f>VLOOKUP($D970,'WB Data'!$C$3:$M$578,10,FALSE)</f>
        <v>69.60243902439025</v>
      </c>
      <c r="BR970" s="117">
        <f>VLOOKUP($D970,'WB Data'!$C$3:$M$578,11,FALSE)</f>
        <v>24.9</v>
      </c>
      <c r="BS970" s="129">
        <f>IFERROR(VLOOKUP($D970,'WB Data 2'!$C$2:$K$545,9,FALSE),"..")</f>
        <v>96.062510000000003</v>
      </c>
      <c r="BT970" s="129" t="str">
        <f>_xlfn.IFNA(VLOOKUP($C970,RGI!$A$2:$C$43,2,FALSE),"..")</f>
        <v>..</v>
      </c>
      <c r="BU970" s="129" t="str">
        <f>_xlfn.IFNA(VLOOKUP($C970,RGI!$A$2:$C$43,3,FALSE),"..")</f>
        <v>..</v>
      </c>
      <c r="BV970" s="129">
        <f>VLOOKUP($D970,WGI!$C$2:$O$478,7,FALSE)</f>
        <v>-0.733062043201957</v>
      </c>
      <c r="BW970" s="129">
        <f>VLOOKUP($D970,WGI!$C$2:$O$478,4,FALSE)</f>
        <v>-1.0763722910942799</v>
      </c>
      <c r="BX970" s="129">
        <f>VLOOKUP($D970,WGI!$C$2:$O$478,3,FALSE)</f>
        <v>-0.62813373017797802</v>
      </c>
      <c r="BY970" s="129">
        <f>VLOOKUP($D970,WGI!$C$2:$O$478,5,FALSE)</f>
        <v>-0.215674009622323</v>
      </c>
      <c r="BZ970" s="129">
        <f>VLOOKUP($D970,WGI!$C$2:$O$478,2,FALSE)</f>
        <v>-1.1536330480467301</v>
      </c>
    </row>
    <row r="971" spans="1:80" s="158" customFormat="1" ht="15" customHeight="1">
      <c r="A971" s="295" t="s">
        <v>295</v>
      </c>
      <c r="B971" s="149">
        <v>2011</v>
      </c>
      <c r="C971" s="149" t="s">
        <v>285</v>
      </c>
      <c r="D971" s="117" t="s">
        <v>3703</v>
      </c>
      <c r="E971" s="453" t="s">
        <v>39</v>
      </c>
      <c r="F971" s="149"/>
      <c r="G971" s="149" t="s">
        <v>24</v>
      </c>
      <c r="H971" s="149" t="str">
        <f t="shared" si="158"/>
        <v>yes</v>
      </c>
      <c r="I971" s="149" t="str">
        <f t="shared" si="159"/>
        <v>no</v>
      </c>
      <c r="J971" s="149" t="str">
        <f t="shared" si="160"/>
        <v>no</v>
      </c>
      <c r="K971" s="149" t="s">
        <v>1540</v>
      </c>
      <c r="L971" s="149" t="str">
        <f t="shared" si="161"/>
        <v>detailed</v>
      </c>
      <c r="M971" s="149" t="str">
        <f t="shared" si="162"/>
        <v>detailed Mining</v>
      </c>
      <c r="N971" s="150">
        <v>2385</v>
      </c>
      <c r="O971" s="150"/>
      <c r="P971" s="150"/>
      <c r="Q971" s="150"/>
      <c r="R971" s="150"/>
      <c r="S971" s="149" t="s">
        <v>610</v>
      </c>
      <c r="T971" s="151"/>
      <c r="U971" s="149"/>
      <c r="V971" s="149" t="s">
        <v>684</v>
      </c>
      <c r="W971" s="152"/>
      <c r="X971" s="149"/>
      <c r="Y971" s="149"/>
      <c r="Z971" s="149"/>
      <c r="AA971" s="284"/>
      <c r="AB971" s="284"/>
      <c r="AC971" s="154"/>
      <c r="AD971" s="154"/>
      <c r="AE971" s="154"/>
      <c r="AF971" s="155"/>
      <c r="AG971" s="149"/>
      <c r="AH971" s="156"/>
      <c r="AI971" s="149"/>
      <c r="AJ971" s="149"/>
      <c r="AK971" s="152"/>
      <c r="AL971" s="149"/>
      <c r="AM971" s="149"/>
      <c r="AN971" s="149"/>
      <c r="AO971" s="149"/>
      <c r="AP971" s="149"/>
      <c r="AQ971" s="149"/>
      <c r="AR971" s="220"/>
      <c r="AS971" s="149"/>
      <c r="AT971" s="149"/>
      <c r="AU971" s="149"/>
      <c r="AV971" s="157"/>
      <c r="AW971" s="117">
        <f>VLOOKUP($D971,'WB Data'!$C$3:$M$578,2,FALSE)</f>
        <v>6197766118.5985575</v>
      </c>
      <c r="AX971" s="117">
        <f>VLOOKUP($D971,'WB Data'!$C$3:$M$578,3,FALSE)</f>
        <v>5514600</v>
      </c>
      <c r="AY971" s="847">
        <f t="shared" si="164"/>
        <v>3.9719643221332916E-2</v>
      </c>
      <c r="AZ971" s="117">
        <f>VLOOKUP($D971,'WB Data'!$C$3:$M$578,4,FALSE)/100</f>
        <v>0.21073965406373879</v>
      </c>
      <c r="BA971" s="117">
        <f t="shared" si="165"/>
        <v>1306115087.8014212</v>
      </c>
      <c r="BB971" s="129">
        <f>IFERROR(VLOOKUP($D971,'EITI Revenues'!$C$2:$G$224,5,FALSE),"..")</f>
        <v>246173059</v>
      </c>
      <c r="BC971" s="846">
        <f t="shared" si="166"/>
        <v>0.18847731053653335</v>
      </c>
      <c r="BD971" s="129">
        <f>VLOOKUP($D971,'WB Data 2'!$C$2:$K$545,6,FALSE)</f>
        <v>572997094.34538686</v>
      </c>
      <c r="BE971" s="129" t="str">
        <f>IFERROR(VLOOKUP($D971,UNCTAD!$C$5:$V$529,4,FALSE),"..")</f>
        <v>..</v>
      </c>
      <c r="BF971" s="846" t="str">
        <f t="shared" si="167"/>
        <v>..</v>
      </c>
      <c r="BG971" s="117">
        <f>VLOOKUP($D971,'WB Data'!$C$3:$M$578,5,FALSE)</f>
        <v>525030000</v>
      </c>
      <c r="BH971" s="129">
        <f>IFERROR($BB971/$BG971,"..")</f>
        <v>0.468874271946365</v>
      </c>
      <c r="BI971" s="117">
        <f>IFERROR(VLOOKUP($D971,'WB Data'!$C$3:$M$578,7,FALSE)/100,"..")</f>
        <v>6.79062E-2</v>
      </c>
      <c r="BJ971" s="117">
        <f>IFERROR($BI971*$AW971,"..")</f>
        <v>420866745.60277736</v>
      </c>
      <c r="BK971" s="846">
        <f>IFERROR($BB971/$BJ971,"..")</f>
        <v>0.58491924480140123</v>
      </c>
      <c r="BL971" s="117">
        <f>IFERROR(VLOOKUP($D971,'WB Data'!$C$3:$M$578,7,FALSE)/100,"..")</f>
        <v>6.79062E-2</v>
      </c>
      <c r="BM971" s="117">
        <f>IFERROR($AW971*$BL971,"..")</f>
        <v>420866745.60277736</v>
      </c>
      <c r="BN971" s="846">
        <f>IFERROR($BB971/$BM971,"..")</f>
        <v>0.58491924480140123</v>
      </c>
      <c r="BO971" s="801" t="str">
        <f t="shared" si="163"/>
        <v>..</v>
      </c>
      <c r="BP971" s="117">
        <f>VLOOKUP($D971,'WB Data'!$C$3:$M$578,9,FALSE)</f>
        <v>36.799999999999997</v>
      </c>
      <c r="BQ971" s="117">
        <f>VLOOKUP($D971,'WB Data'!$C$3:$M$578,10,FALSE)</f>
        <v>69.60243902439025</v>
      </c>
      <c r="BR971" s="117">
        <f>VLOOKUP($D971,'WB Data'!$C$3:$M$578,11,FALSE)</f>
        <v>24.9</v>
      </c>
      <c r="BS971" s="129">
        <f>IFERROR(VLOOKUP($D971,'WB Data 2'!$C$2:$K$545,9,FALSE),"..")</f>
        <v>96.062510000000003</v>
      </c>
      <c r="BT971" s="129" t="str">
        <f>_xlfn.IFNA(VLOOKUP($C971,RGI!$A$2:$C$43,2,FALSE),"..")</f>
        <v>..</v>
      </c>
      <c r="BU971" s="129" t="str">
        <f>_xlfn.IFNA(VLOOKUP($C971,RGI!$A$2:$C$43,3,FALSE),"..")</f>
        <v>..</v>
      </c>
      <c r="BV971" s="129">
        <f>VLOOKUP($D971,WGI!$C$2:$O$478,7,FALSE)</f>
        <v>-0.733062043201957</v>
      </c>
      <c r="BW971" s="129">
        <f>VLOOKUP($D971,WGI!$C$2:$O$478,4,FALSE)</f>
        <v>-1.0763722910942799</v>
      </c>
      <c r="BX971" s="129">
        <f>VLOOKUP($D971,WGI!$C$2:$O$478,3,FALSE)</f>
        <v>-0.62813373017797802</v>
      </c>
      <c r="BY971" s="129">
        <f>VLOOKUP($D971,WGI!$C$2:$O$478,5,FALSE)</f>
        <v>-0.215674009622323</v>
      </c>
      <c r="BZ971" s="129">
        <f>VLOOKUP($D971,WGI!$C$2:$O$478,2,FALSE)</f>
        <v>-1.1536330480467301</v>
      </c>
      <c r="CB971" s="129"/>
    </row>
    <row r="972" spans="1:80" s="120" customFormat="1" ht="15" customHeight="1">
      <c r="A972" s="294" t="s">
        <v>297</v>
      </c>
      <c r="B972" s="117">
        <v>2012</v>
      </c>
      <c r="C972" s="117" t="s">
        <v>285</v>
      </c>
      <c r="D972" s="117" t="s">
        <v>3737</v>
      </c>
      <c r="E972" s="452" t="s">
        <v>39</v>
      </c>
      <c r="F972" s="117" t="s">
        <v>1467</v>
      </c>
      <c r="G972" s="117" t="s">
        <v>35</v>
      </c>
      <c r="H972" s="117" t="str">
        <f t="shared" si="158"/>
        <v>yes</v>
      </c>
      <c r="I972" s="117" t="str">
        <f t="shared" si="159"/>
        <v>yes</v>
      </c>
      <c r="J972" s="117" t="str">
        <f t="shared" si="160"/>
        <v>yes</v>
      </c>
      <c r="K972" s="117" t="s">
        <v>709</v>
      </c>
      <c r="L972" s="117" t="str">
        <f t="shared" si="161"/>
        <v>Total</v>
      </c>
      <c r="M972" s="117" t="str">
        <f t="shared" si="162"/>
        <v>Total Oil, Gas, Mining</v>
      </c>
      <c r="N972" s="118"/>
      <c r="O972" s="118"/>
      <c r="P972" s="118"/>
      <c r="Q972" s="118"/>
      <c r="R972" s="118"/>
      <c r="S972" s="117"/>
      <c r="T972" s="119"/>
      <c r="U972" s="117"/>
      <c r="V972" s="117"/>
      <c r="W972" s="89">
        <f>W973+W976</f>
        <v>277910112.20197368</v>
      </c>
      <c r="X972" s="117" t="s">
        <v>890</v>
      </c>
      <c r="Y972" s="117" t="s">
        <v>602</v>
      </c>
      <c r="Z972" s="117" t="s">
        <v>603</v>
      </c>
      <c r="AA972" s="159">
        <v>217306922</v>
      </c>
      <c r="AB972" s="159">
        <v>217274931</v>
      </c>
      <c r="AC972" s="122"/>
      <c r="AD972" s="122"/>
      <c r="AE972" s="122"/>
      <c r="AF972" s="123">
        <f>AA972/W972</f>
        <v>0.78193240353222637</v>
      </c>
      <c r="AG972" s="117" t="s">
        <v>1480</v>
      </c>
      <c r="AH972" s="124">
        <v>46.95</v>
      </c>
      <c r="AI972" s="117" t="s">
        <v>1570</v>
      </c>
      <c r="AJ972" s="117"/>
      <c r="AK972" s="117"/>
      <c r="AL972" s="117"/>
      <c r="AM972" s="117"/>
      <c r="AN972" s="117">
        <v>73</v>
      </c>
      <c r="AO972" s="117" t="s">
        <v>1571</v>
      </c>
      <c r="AP972" s="117">
        <v>72</v>
      </c>
      <c r="AQ972" s="232">
        <v>41730</v>
      </c>
      <c r="AR972" s="126">
        <v>41914</v>
      </c>
      <c r="AS972" s="117" t="s">
        <v>712</v>
      </c>
      <c r="AT972" s="117" t="s">
        <v>36</v>
      </c>
      <c r="AU972" s="215" t="s">
        <v>1572</v>
      </c>
      <c r="AV972" s="128" t="s">
        <v>1573</v>
      </c>
      <c r="AW972" s="117">
        <f>VLOOKUP($D972,'WB Data'!$C$3:$M$578,2,FALSE)</f>
        <v>6605139933.4106312</v>
      </c>
      <c r="AX972" s="117">
        <f>VLOOKUP($D972,'WB Data'!$C$3:$M$578,3,FALSE)</f>
        <v>5607200</v>
      </c>
      <c r="AY972" s="847">
        <f t="shared" si="164"/>
        <v>3.2899669680092815E-2</v>
      </c>
      <c r="AZ972" s="117">
        <f>VLOOKUP($D972,'WB Data'!$C$3:$M$578,4,FALSE)/100</f>
        <v>0.23155222721069549</v>
      </c>
      <c r="BA972" s="117">
        <f t="shared" si="165"/>
        <v>1529434862.6195366</v>
      </c>
      <c r="BB972" s="129">
        <f>IFERROR(VLOOKUP($D972,'EITI Revenues'!$C$2:$G$224,5,FALSE),"..")</f>
        <v>217306922</v>
      </c>
      <c r="BC972" s="846">
        <f t="shared" si="166"/>
        <v>0.14208314934563998</v>
      </c>
      <c r="BD972" s="129">
        <f>VLOOKUP($D972,'WB Data 2'!$C$2:$K$545,6,FALSE)</f>
        <v>568644822.96004164</v>
      </c>
      <c r="BE972" s="129" t="str">
        <f>IFERROR(VLOOKUP($D972,UNCTAD!$C$5:$V$529,4,FALSE),"..")</f>
        <v>..</v>
      </c>
      <c r="BF972" s="846" t="str">
        <f t="shared" si="167"/>
        <v>..</v>
      </c>
      <c r="BG972" s="117">
        <f>VLOOKUP($D972,'WB Data'!$C$3:$M$578,5,FALSE)</f>
        <v>472910000</v>
      </c>
      <c r="BH972" s="129">
        <f>IFERROR($BB972/$BG972,"..")</f>
        <v>0.45951010128777148</v>
      </c>
      <c r="BI972" s="117" t="str">
        <f>IFERROR(VLOOKUP($D972,'WB Data'!$C$3:$M$578,7,FALSE)/100,"..")</f>
        <v>..</v>
      </c>
      <c r="BJ972" s="117" t="str">
        <f>IFERROR($BI972*$AW972,"..")</f>
        <v>..</v>
      </c>
      <c r="BK972" s="846" t="str">
        <f>IFERROR($BB972/$BJ972,"..")</f>
        <v>..</v>
      </c>
      <c r="BL972" s="117" t="str">
        <f>IFERROR(VLOOKUP($D972,'WB Data'!$C$3:$M$578,7,FALSE)/100,"..")</f>
        <v>..</v>
      </c>
      <c r="BM972" s="117" t="str">
        <f>IFERROR($AW972*$BL972,"..")</f>
        <v>..</v>
      </c>
      <c r="BN972" s="846" t="str">
        <f>IFERROR($BB972/$BM972,"..")</f>
        <v>..</v>
      </c>
      <c r="BO972" s="801" t="str">
        <f t="shared" si="163"/>
        <v>..</v>
      </c>
      <c r="BP972" s="117">
        <f>VLOOKUP($D972,'WB Data'!$C$3:$M$578,9,FALSE)</f>
        <v>38</v>
      </c>
      <c r="BQ972" s="117">
        <f>VLOOKUP($D972,'WB Data'!$C$3:$M$578,10,FALSE)</f>
        <v>70.002439024390242</v>
      </c>
      <c r="BR972" s="117">
        <f>VLOOKUP($D972,'WB Data'!$C$3:$M$578,11,FALSE)</f>
        <v>23.2</v>
      </c>
      <c r="BS972" s="129">
        <f>IFERROR(VLOOKUP($D972,'WB Data 2'!$C$2:$K$545,9,FALSE),"..")</f>
        <v>98.370930000000001</v>
      </c>
      <c r="BT972" s="129" t="str">
        <f>_xlfn.IFNA(VLOOKUP($C972,RGI!$A$2:$C$43,2,FALSE),"..")</f>
        <v>..</v>
      </c>
      <c r="BU972" s="129" t="str">
        <f>_xlfn.IFNA(VLOOKUP($C972,RGI!$A$2:$C$43,3,FALSE),"..")</f>
        <v>..</v>
      </c>
      <c r="BV972" s="129">
        <f>VLOOKUP($D972,WGI!$C$2:$O$478,7,FALSE)</f>
        <v>-0.63880197540335404</v>
      </c>
      <c r="BW972" s="129">
        <f>VLOOKUP($D972,WGI!$C$2:$O$478,4,FALSE)</f>
        <v>-0.88911325472912595</v>
      </c>
      <c r="BX972" s="129">
        <f>VLOOKUP($D972,WGI!$C$2:$O$478,3,FALSE)</f>
        <v>-0.65869903860661405</v>
      </c>
      <c r="BY972" s="129">
        <f>VLOOKUP($D972,WGI!$C$2:$O$478,5,FALSE)</f>
        <v>-0.34552718722248699</v>
      </c>
      <c r="BZ972" s="129">
        <f>VLOOKUP($D972,WGI!$C$2:$O$478,2,FALSE)</f>
        <v>-1.0902106656717001</v>
      </c>
      <c r="CB972" s="129"/>
    </row>
    <row r="973" spans="1:80" s="120" customFormat="1" ht="15" customHeight="1">
      <c r="A973" s="294" t="s">
        <v>297</v>
      </c>
      <c r="B973" s="117">
        <v>2012</v>
      </c>
      <c r="C973" s="117" t="s">
        <v>285</v>
      </c>
      <c r="D973" s="117" t="s">
        <v>3737</v>
      </c>
      <c r="E973" s="452" t="s">
        <v>39</v>
      </c>
      <c r="F973" s="117"/>
      <c r="G973" s="117" t="s">
        <v>55</v>
      </c>
      <c r="H973" s="117" t="str">
        <f t="shared" si="158"/>
        <v>no</v>
      </c>
      <c r="I973" s="117" t="str">
        <f t="shared" si="159"/>
        <v>yes</v>
      </c>
      <c r="J973" s="117" t="str">
        <f t="shared" si="160"/>
        <v>yes</v>
      </c>
      <c r="K973" s="117" t="s">
        <v>640</v>
      </c>
      <c r="L973" s="117" t="str">
        <f t="shared" si="161"/>
        <v>Total</v>
      </c>
      <c r="M973" s="117" t="str">
        <f t="shared" si="162"/>
        <v>Total Oil, Gas</v>
      </c>
      <c r="N973" s="118"/>
      <c r="O973" s="118"/>
      <c r="P973" s="118"/>
      <c r="Q973" s="118"/>
      <c r="R973" s="118"/>
      <c r="S973" s="117"/>
      <c r="T973" s="119"/>
      <c r="U973" s="117"/>
      <c r="V973" s="117"/>
      <c r="W973" s="89">
        <f>SUM(W974:W975)</f>
        <v>73665991.485046834</v>
      </c>
      <c r="X973" s="117"/>
      <c r="Y973" s="117"/>
      <c r="Z973" s="117"/>
      <c r="AA973" s="177">
        <v>12378189.563365281</v>
      </c>
      <c r="AB973" s="177">
        <v>12315058.572949946</v>
      </c>
      <c r="AC973" s="122"/>
      <c r="AD973" s="122"/>
      <c r="AE973" s="122"/>
      <c r="AF973" s="123">
        <f>AA973/W973</f>
        <v>0.16803126264686033</v>
      </c>
      <c r="AG973" s="117"/>
      <c r="AH973" s="124"/>
      <c r="AJ973" s="492"/>
      <c r="AK973" s="89"/>
      <c r="AL973" s="117"/>
      <c r="AM973" s="117"/>
      <c r="AN973" s="117">
        <v>5</v>
      </c>
      <c r="AO973" s="117" t="s">
        <v>1574</v>
      </c>
      <c r="AP973" s="117">
        <v>5</v>
      </c>
      <c r="AQ973" s="117"/>
      <c r="AR973" s="126"/>
      <c r="AS973" s="117"/>
      <c r="AT973" s="117"/>
      <c r="AU973" s="117">
        <v>19</v>
      </c>
      <c r="AV973" s="128"/>
      <c r="AW973" s="117">
        <f>VLOOKUP($D973,'WB Data'!$C$3:$M$578,2,FALSE)</f>
        <v>6605139933.4106312</v>
      </c>
      <c r="AX973" s="117">
        <f>VLOOKUP($D973,'WB Data'!$C$3:$M$578,3,FALSE)</f>
        <v>5607200</v>
      </c>
      <c r="AY973" s="847">
        <f t="shared" si="164"/>
        <v>3.2899669680092815E-2</v>
      </c>
      <c r="AZ973" s="117">
        <f>VLOOKUP($D973,'WB Data'!$C$3:$M$578,4,FALSE)/100</f>
        <v>0.23155222721069549</v>
      </c>
      <c r="BA973" s="117">
        <f t="shared" si="165"/>
        <v>1529434862.6195366</v>
      </c>
      <c r="BB973" s="129">
        <f>IFERROR(VLOOKUP($D973,'EITI Revenues'!$C$2:$G$224,5,FALSE),"..")</f>
        <v>217306922</v>
      </c>
      <c r="BC973" s="846">
        <f t="shared" si="166"/>
        <v>0.14208314934563998</v>
      </c>
      <c r="BD973" s="129">
        <f>VLOOKUP($D973,'WB Data 2'!$C$2:$K$545,6,FALSE)</f>
        <v>568644822.96004164</v>
      </c>
      <c r="BE973" s="129" t="str">
        <f>IFERROR(VLOOKUP($D973,UNCTAD!$C$5:$V$529,4,FALSE),"..")</f>
        <v>..</v>
      </c>
      <c r="BF973" s="846" t="str">
        <f t="shared" si="167"/>
        <v>..</v>
      </c>
      <c r="BG973" s="117">
        <f>VLOOKUP($D973,'WB Data'!$C$3:$M$578,5,FALSE)</f>
        <v>472910000</v>
      </c>
      <c r="BH973" s="129">
        <f>IFERROR($BB973/$BG973,"..")</f>
        <v>0.45951010128777148</v>
      </c>
      <c r="BI973" s="117" t="str">
        <f>IFERROR(VLOOKUP($D973,'WB Data'!$C$3:$M$578,7,FALSE)/100,"..")</f>
        <v>..</v>
      </c>
      <c r="BJ973" s="117" t="str">
        <f>IFERROR($BI973*$AW973,"..")</f>
        <v>..</v>
      </c>
      <c r="BK973" s="846" t="str">
        <f>IFERROR($BB973/$BJ973,"..")</f>
        <v>..</v>
      </c>
      <c r="BL973" s="117" t="str">
        <f>IFERROR(VLOOKUP($D973,'WB Data'!$C$3:$M$578,7,FALSE)/100,"..")</f>
        <v>..</v>
      </c>
      <c r="BM973" s="117" t="str">
        <f>IFERROR($AW973*$BL973,"..")</f>
        <v>..</v>
      </c>
      <c r="BN973" s="846" t="str">
        <f>IFERROR($BB973/$BM973,"..")</f>
        <v>..</v>
      </c>
      <c r="BO973" s="801" t="str">
        <f t="shared" si="163"/>
        <v>..</v>
      </c>
      <c r="BP973" s="117">
        <f>VLOOKUP($D973,'WB Data'!$C$3:$M$578,9,FALSE)</f>
        <v>38</v>
      </c>
      <c r="BQ973" s="117">
        <f>VLOOKUP($D973,'WB Data'!$C$3:$M$578,10,FALSE)</f>
        <v>70.002439024390242</v>
      </c>
      <c r="BR973" s="117">
        <f>VLOOKUP($D973,'WB Data'!$C$3:$M$578,11,FALSE)</f>
        <v>23.2</v>
      </c>
      <c r="BS973" s="129">
        <f>IFERROR(VLOOKUP($D973,'WB Data 2'!$C$2:$K$545,9,FALSE),"..")</f>
        <v>98.370930000000001</v>
      </c>
      <c r="BT973" s="129" t="str">
        <f>_xlfn.IFNA(VLOOKUP($C973,RGI!$A$2:$C$43,2,FALSE),"..")</f>
        <v>..</v>
      </c>
      <c r="BU973" s="129" t="str">
        <f>_xlfn.IFNA(VLOOKUP($C973,RGI!$A$2:$C$43,3,FALSE),"..")</f>
        <v>..</v>
      </c>
      <c r="BV973" s="129">
        <f>VLOOKUP($D973,WGI!$C$2:$O$478,7,FALSE)</f>
        <v>-0.63880197540335404</v>
      </c>
      <c r="BW973" s="129">
        <f>VLOOKUP($D973,WGI!$C$2:$O$478,4,FALSE)</f>
        <v>-0.88911325472912595</v>
      </c>
      <c r="BX973" s="129">
        <f>VLOOKUP($D973,WGI!$C$2:$O$478,3,FALSE)</f>
        <v>-0.65869903860661405</v>
      </c>
      <c r="BY973" s="129">
        <f>VLOOKUP($D973,WGI!$C$2:$O$478,5,FALSE)</f>
        <v>-0.34552718722248699</v>
      </c>
      <c r="BZ973" s="129">
        <f>VLOOKUP($D973,WGI!$C$2:$O$478,2,FALSE)</f>
        <v>-1.0902106656717001</v>
      </c>
      <c r="CB973" s="129"/>
    </row>
    <row r="974" spans="1:80" s="120" customFormat="1" ht="15" customHeight="1">
      <c r="A974" s="294" t="s">
        <v>297</v>
      </c>
      <c r="B974" s="117">
        <v>2012</v>
      </c>
      <c r="C974" s="117" t="s">
        <v>285</v>
      </c>
      <c r="D974" s="117" t="s">
        <v>3737</v>
      </c>
      <c r="E974" s="452" t="s">
        <v>39</v>
      </c>
      <c r="F974" s="117"/>
      <c r="G974" s="117" t="s">
        <v>561</v>
      </c>
      <c r="H974" s="117" t="str">
        <f t="shared" si="158"/>
        <v>no</v>
      </c>
      <c r="I974" s="117" t="str">
        <f t="shared" si="159"/>
        <v>yes</v>
      </c>
      <c r="J974" s="117" t="str">
        <f t="shared" si="160"/>
        <v>no</v>
      </c>
      <c r="K974" s="117" t="s">
        <v>561</v>
      </c>
      <c r="L974" s="117" t="str">
        <f t="shared" si="161"/>
        <v>detailed</v>
      </c>
      <c r="M974" s="117" t="str">
        <f t="shared" si="162"/>
        <v>detailed Gas</v>
      </c>
      <c r="N974" s="118">
        <v>18500000</v>
      </c>
      <c r="O974" s="118"/>
      <c r="P974" s="118"/>
      <c r="Q974" s="118"/>
      <c r="R974" s="118"/>
      <c r="S974" s="117" t="s">
        <v>642</v>
      </c>
      <c r="T974" s="119">
        <v>0.17241089108361263</v>
      </c>
      <c r="U974" s="117" t="s">
        <v>643</v>
      </c>
      <c r="V974" s="117" t="s">
        <v>1513</v>
      </c>
      <c r="W974" s="89">
        <f>N974*T974</f>
        <v>3189601.4850468338</v>
      </c>
      <c r="X974" s="117"/>
      <c r="Y974" s="117"/>
      <c r="Z974" s="117"/>
      <c r="AA974" s="177"/>
      <c r="AB974" s="177"/>
      <c r="AC974" s="122"/>
      <c r="AD974" s="122"/>
      <c r="AE974" s="122"/>
      <c r="AF974" s="123"/>
      <c r="AG974" s="117"/>
      <c r="AH974" s="124"/>
      <c r="AI974" s="117"/>
      <c r="AJ974" s="117"/>
      <c r="AK974" s="89"/>
      <c r="AL974" s="117"/>
      <c r="AM974" s="117"/>
      <c r="AN974" s="117"/>
      <c r="AO974" s="117"/>
      <c r="AP974" s="117"/>
      <c r="AQ974" s="117"/>
      <c r="AR974" s="126"/>
      <c r="AS974" s="117"/>
      <c r="AT974" s="117"/>
      <c r="AU974" s="117"/>
      <c r="AV974" s="128" t="s">
        <v>1575</v>
      </c>
      <c r="AW974" s="117">
        <f>VLOOKUP($D974,'WB Data'!$C$3:$M$578,2,FALSE)</f>
        <v>6605139933.4106312</v>
      </c>
      <c r="AX974" s="117">
        <f>VLOOKUP($D974,'WB Data'!$C$3:$M$578,3,FALSE)</f>
        <v>5607200</v>
      </c>
      <c r="AY974" s="847">
        <f t="shared" si="164"/>
        <v>3.2899669680092815E-2</v>
      </c>
      <c r="AZ974" s="117">
        <f>VLOOKUP($D974,'WB Data'!$C$3:$M$578,4,FALSE)/100</f>
        <v>0.23155222721069549</v>
      </c>
      <c r="BA974" s="117">
        <f t="shared" si="165"/>
        <v>1529434862.6195366</v>
      </c>
      <c r="BB974" s="129">
        <f>IFERROR(VLOOKUP($D974,'EITI Revenues'!$C$2:$G$224,5,FALSE),"..")</f>
        <v>217306922</v>
      </c>
      <c r="BC974" s="846">
        <f t="shared" si="166"/>
        <v>0.14208314934563998</v>
      </c>
      <c r="BD974" s="129">
        <f>VLOOKUP($D974,'WB Data 2'!$C$2:$K$545,6,FALSE)</f>
        <v>568644822.96004164</v>
      </c>
      <c r="BE974" s="129" t="str">
        <f>IFERROR(VLOOKUP($D974,UNCTAD!$C$5:$V$529,4,FALSE),"..")</f>
        <v>..</v>
      </c>
      <c r="BF974" s="846" t="str">
        <f t="shared" si="167"/>
        <v>..</v>
      </c>
      <c r="BG974" s="117">
        <f>VLOOKUP($D974,'WB Data'!$C$3:$M$578,5,FALSE)</f>
        <v>472910000</v>
      </c>
      <c r="BH974" s="129">
        <f>IFERROR($BB974/$BG974,"..")</f>
        <v>0.45951010128777148</v>
      </c>
      <c r="BI974" s="117" t="str">
        <f>IFERROR(VLOOKUP($D974,'WB Data'!$C$3:$M$578,7,FALSE)/100,"..")</f>
        <v>..</v>
      </c>
      <c r="BJ974" s="117" t="str">
        <f>IFERROR($BI974*$AW974,"..")</f>
        <v>..</v>
      </c>
      <c r="BK974" s="846" t="str">
        <f>IFERROR($BB974/$BJ974,"..")</f>
        <v>..</v>
      </c>
      <c r="BL974" s="117" t="str">
        <f>IFERROR(VLOOKUP($D974,'WB Data'!$C$3:$M$578,7,FALSE)/100,"..")</f>
        <v>..</v>
      </c>
      <c r="BM974" s="117" t="str">
        <f>IFERROR($AW974*$BL974,"..")</f>
        <v>..</v>
      </c>
      <c r="BN974" s="846" t="str">
        <f>IFERROR($BB974/$BM974,"..")</f>
        <v>..</v>
      </c>
      <c r="BO974" s="801" t="str">
        <f t="shared" si="163"/>
        <v>..</v>
      </c>
      <c r="BP974" s="117">
        <f>VLOOKUP($D974,'WB Data'!$C$3:$M$578,9,FALSE)</f>
        <v>38</v>
      </c>
      <c r="BQ974" s="117">
        <f>VLOOKUP($D974,'WB Data'!$C$3:$M$578,10,FALSE)</f>
        <v>70.002439024390242</v>
      </c>
      <c r="BR974" s="117">
        <f>VLOOKUP($D974,'WB Data'!$C$3:$M$578,11,FALSE)</f>
        <v>23.2</v>
      </c>
      <c r="BS974" s="129">
        <f>IFERROR(VLOOKUP($D974,'WB Data 2'!$C$2:$K$545,9,FALSE),"..")</f>
        <v>98.370930000000001</v>
      </c>
      <c r="BT974" s="129" t="str">
        <f>_xlfn.IFNA(VLOOKUP($C974,RGI!$A$2:$C$43,2,FALSE),"..")</f>
        <v>..</v>
      </c>
      <c r="BU974" s="129" t="str">
        <f>_xlfn.IFNA(VLOOKUP($C974,RGI!$A$2:$C$43,3,FALSE),"..")</f>
        <v>..</v>
      </c>
      <c r="BV974" s="129">
        <f>VLOOKUP($D974,WGI!$C$2:$O$478,7,FALSE)</f>
        <v>-0.63880197540335404</v>
      </c>
      <c r="BW974" s="129">
        <f>VLOOKUP($D974,WGI!$C$2:$O$478,4,FALSE)</f>
        <v>-0.88911325472912595</v>
      </c>
      <c r="BX974" s="129">
        <f>VLOOKUP($D974,WGI!$C$2:$O$478,3,FALSE)</f>
        <v>-0.65869903860661405</v>
      </c>
      <c r="BY974" s="129">
        <f>VLOOKUP($D974,WGI!$C$2:$O$478,5,FALSE)</f>
        <v>-0.34552718722248699</v>
      </c>
      <c r="BZ974" s="129">
        <f>VLOOKUP($D974,WGI!$C$2:$O$478,2,FALSE)</f>
        <v>-1.0902106656717001</v>
      </c>
      <c r="CB974" s="129"/>
    </row>
    <row r="975" spans="1:80" s="120" customFormat="1" ht="15" customHeight="1">
      <c r="A975" s="294" t="s">
        <v>297</v>
      </c>
      <c r="B975" s="117">
        <v>2012</v>
      </c>
      <c r="C975" s="117" t="s">
        <v>285</v>
      </c>
      <c r="D975" s="117" t="s">
        <v>3737</v>
      </c>
      <c r="E975" s="452" t="s">
        <v>39</v>
      </c>
      <c r="F975" s="117"/>
      <c r="G975" s="117" t="s">
        <v>1514</v>
      </c>
      <c r="H975" s="117" t="str">
        <f t="shared" si="158"/>
        <v>no</v>
      </c>
      <c r="I975" s="117" t="str">
        <f t="shared" si="159"/>
        <v>no</v>
      </c>
      <c r="J975" s="117" t="str">
        <f t="shared" si="160"/>
        <v>no</v>
      </c>
      <c r="K975" s="117" t="s">
        <v>103</v>
      </c>
      <c r="L975" s="117" t="str">
        <f t="shared" si="161"/>
        <v>detailed</v>
      </c>
      <c r="M975" s="117" t="str">
        <f t="shared" si="162"/>
        <v xml:space="preserve">detailed Oil </v>
      </c>
      <c r="N975" s="118">
        <v>657000</v>
      </c>
      <c r="O975" s="118"/>
      <c r="P975" s="118"/>
      <c r="Q975" s="118"/>
      <c r="R975" s="118"/>
      <c r="S975" s="117" t="s">
        <v>646</v>
      </c>
      <c r="T975" s="119">
        <v>107.27</v>
      </c>
      <c r="U975" s="117" t="s">
        <v>673</v>
      </c>
      <c r="V975" s="117" t="s">
        <v>1515</v>
      </c>
      <c r="W975" s="89">
        <f>N975*T975</f>
        <v>70476390</v>
      </c>
      <c r="X975" s="117"/>
      <c r="Y975" s="117"/>
      <c r="Z975" s="117"/>
      <c r="AA975" s="177"/>
      <c r="AB975" s="177"/>
      <c r="AC975" s="122"/>
      <c r="AD975" s="122"/>
      <c r="AE975" s="122"/>
      <c r="AF975" s="123"/>
      <c r="AG975" s="117"/>
      <c r="AH975" s="124"/>
      <c r="AI975" s="117"/>
      <c r="AJ975" s="117"/>
      <c r="AK975" s="89"/>
      <c r="AL975" s="117"/>
      <c r="AM975" s="117"/>
      <c r="AN975" s="117"/>
      <c r="AO975" s="117"/>
      <c r="AP975" s="117"/>
      <c r="AQ975" s="117"/>
      <c r="AR975" s="126"/>
      <c r="AS975" s="117"/>
      <c r="AT975" s="117"/>
      <c r="AU975" s="117"/>
      <c r="AV975" s="128" t="s">
        <v>1576</v>
      </c>
      <c r="AW975" s="117">
        <f>VLOOKUP($D975,'WB Data'!$C$3:$M$578,2,FALSE)</f>
        <v>6605139933.4106312</v>
      </c>
      <c r="AX975" s="117">
        <f>VLOOKUP($D975,'WB Data'!$C$3:$M$578,3,FALSE)</f>
        <v>5607200</v>
      </c>
      <c r="AY975" s="847">
        <f t="shared" si="164"/>
        <v>3.2899669680092815E-2</v>
      </c>
      <c r="AZ975" s="117">
        <f>VLOOKUP($D975,'WB Data'!$C$3:$M$578,4,FALSE)/100</f>
        <v>0.23155222721069549</v>
      </c>
      <c r="BA975" s="117">
        <f t="shared" si="165"/>
        <v>1529434862.6195366</v>
      </c>
      <c r="BB975" s="129">
        <f>IFERROR(VLOOKUP($D975,'EITI Revenues'!$C$2:$G$224,5,FALSE),"..")</f>
        <v>217306922</v>
      </c>
      <c r="BC975" s="846">
        <f t="shared" si="166"/>
        <v>0.14208314934563998</v>
      </c>
      <c r="BD975" s="129">
        <f>VLOOKUP($D975,'WB Data 2'!$C$2:$K$545,6,FALSE)</f>
        <v>568644822.96004164</v>
      </c>
      <c r="BE975" s="129" t="str">
        <f>IFERROR(VLOOKUP($D975,UNCTAD!$C$5:$V$529,4,FALSE),"..")</f>
        <v>..</v>
      </c>
      <c r="BF975" s="846" t="str">
        <f t="shared" si="167"/>
        <v>..</v>
      </c>
      <c r="BG975" s="117">
        <f>VLOOKUP($D975,'WB Data'!$C$3:$M$578,5,FALSE)</f>
        <v>472910000</v>
      </c>
      <c r="BH975" s="129">
        <f>IFERROR($BB975/$BG975,"..")</f>
        <v>0.45951010128777148</v>
      </c>
      <c r="BI975" s="117" t="str">
        <f>IFERROR(VLOOKUP($D975,'WB Data'!$C$3:$M$578,7,FALSE)/100,"..")</f>
        <v>..</v>
      </c>
      <c r="BJ975" s="117" t="str">
        <f>IFERROR($BI975*$AW975,"..")</f>
        <v>..</v>
      </c>
      <c r="BK975" s="846" t="str">
        <f>IFERROR($BB975/$BJ975,"..")</f>
        <v>..</v>
      </c>
      <c r="BL975" s="117" t="str">
        <f>IFERROR(VLOOKUP($D975,'WB Data'!$C$3:$M$578,7,FALSE)/100,"..")</f>
        <v>..</v>
      </c>
      <c r="BM975" s="117" t="str">
        <f>IFERROR($AW975*$BL975,"..")</f>
        <v>..</v>
      </c>
      <c r="BN975" s="846" t="str">
        <f>IFERROR($BB975/$BM975,"..")</f>
        <v>..</v>
      </c>
      <c r="BO975" s="801" t="str">
        <f t="shared" si="163"/>
        <v>..</v>
      </c>
      <c r="BP975" s="117">
        <f>VLOOKUP($D975,'WB Data'!$C$3:$M$578,9,FALSE)</f>
        <v>38</v>
      </c>
      <c r="BQ975" s="117">
        <f>VLOOKUP($D975,'WB Data'!$C$3:$M$578,10,FALSE)</f>
        <v>70.002439024390242</v>
      </c>
      <c r="BR975" s="117">
        <f>VLOOKUP($D975,'WB Data'!$C$3:$M$578,11,FALSE)</f>
        <v>23.2</v>
      </c>
      <c r="BS975" s="129">
        <f>IFERROR(VLOOKUP($D975,'WB Data 2'!$C$2:$K$545,9,FALSE),"..")</f>
        <v>98.370930000000001</v>
      </c>
      <c r="BT975" s="129" t="str">
        <f>_xlfn.IFNA(VLOOKUP($C975,RGI!$A$2:$C$43,2,FALSE),"..")</f>
        <v>..</v>
      </c>
      <c r="BU975" s="129" t="str">
        <f>_xlfn.IFNA(VLOOKUP($C975,RGI!$A$2:$C$43,3,FALSE),"..")</f>
        <v>..</v>
      </c>
      <c r="BV975" s="129">
        <f>VLOOKUP($D975,WGI!$C$2:$O$478,7,FALSE)</f>
        <v>-0.63880197540335404</v>
      </c>
      <c r="BW975" s="129">
        <f>VLOOKUP($D975,WGI!$C$2:$O$478,4,FALSE)</f>
        <v>-0.88911325472912595</v>
      </c>
      <c r="BX975" s="129">
        <f>VLOOKUP($D975,WGI!$C$2:$O$478,3,FALSE)</f>
        <v>-0.65869903860661405</v>
      </c>
      <c r="BY975" s="129">
        <f>VLOOKUP($D975,WGI!$C$2:$O$478,5,FALSE)</f>
        <v>-0.34552718722248699</v>
      </c>
      <c r="BZ975" s="129">
        <f>VLOOKUP($D975,WGI!$C$2:$O$478,2,FALSE)</f>
        <v>-1.0902106656717001</v>
      </c>
      <c r="CB975" s="129"/>
    </row>
    <row r="976" spans="1:80" s="120" customFormat="1" ht="15" customHeight="1">
      <c r="A976" s="294" t="s">
        <v>297</v>
      </c>
      <c r="B976" s="117">
        <v>2012</v>
      </c>
      <c r="C976" s="117" t="s">
        <v>285</v>
      </c>
      <c r="D976" s="117" t="s">
        <v>3737</v>
      </c>
      <c r="E976" s="452" t="s">
        <v>39</v>
      </c>
      <c r="F976" s="117"/>
      <c r="G976" s="117" t="s">
        <v>24</v>
      </c>
      <c r="H976" s="117" t="str">
        <f t="shared" si="158"/>
        <v>yes</v>
      </c>
      <c r="I976" s="117" t="str">
        <f t="shared" si="159"/>
        <v>no</v>
      </c>
      <c r="J976" s="117" t="str">
        <f t="shared" si="160"/>
        <v>no</v>
      </c>
      <c r="K976" s="117" t="s">
        <v>600</v>
      </c>
      <c r="L976" s="117" t="str">
        <f t="shared" si="161"/>
        <v>Total</v>
      </c>
      <c r="M976" s="117" t="str">
        <f t="shared" si="162"/>
        <v>Total Mining</v>
      </c>
      <c r="N976" s="118"/>
      <c r="O976" s="118"/>
      <c r="P976" s="118"/>
      <c r="Q976" s="118"/>
      <c r="R976" s="118"/>
      <c r="S976" s="117"/>
      <c r="T976" s="119"/>
      <c r="U976" s="117"/>
      <c r="V976" s="117"/>
      <c r="W976" s="89">
        <f>SUM(W977:W993)-SUM(W979:W983)-SUM(W986:W993)-SUM(W984:W984)</f>
        <v>204244120.71692681</v>
      </c>
      <c r="X976" s="117"/>
      <c r="Y976" s="117"/>
      <c r="Z976" s="117"/>
      <c r="AA976" s="177">
        <v>204928732.6943557</v>
      </c>
      <c r="AB976" s="177">
        <v>204959872.20447284</v>
      </c>
      <c r="AC976" s="122"/>
      <c r="AD976" s="122"/>
      <c r="AE976" s="122"/>
      <c r="AF976" s="123">
        <f>AA976/W976</f>
        <v>1.0033519299112541</v>
      </c>
      <c r="AG976" s="117"/>
      <c r="AH976" s="124"/>
      <c r="AL976" s="117"/>
      <c r="AM976" s="117"/>
      <c r="AN976" s="117">
        <v>68</v>
      </c>
      <c r="AO976" s="117" t="s">
        <v>1577</v>
      </c>
      <c r="AP976" s="117">
        <v>67</v>
      </c>
      <c r="AQ976" s="117"/>
      <c r="AR976" s="126"/>
      <c r="AS976" s="117"/>
      <c r="AT976" s="117"/>
      <c r="AU976" s="117" t="s">
        <v>1578</v>
      </c>
      <c r="AV976" s="128"/>
      <c r="AW976" s="117">
        <f>VLOOKUP($D976,'WB Data'!$C$3:$M$578,2,FALSE)</f>
        <v>6605139933.4106312</v>
      </c>
      <c r="AX976" s="117">
        <f>VLOOKUP($D976,'WB Data'!$C$3:$M$578,3,FALSE)</f>
        <v>5607200</v>
      </c>
      <c r="AY976" s="847">
        <f t="shared" si="164"/>
        <v>3.2899669680092815E-2</v>
      </c>
      <c r="AZ976" s="117">
        <f>VLOOKUP($D976,'WB Data'!$C$3:$M$578,4,FALSE)/100</f>
        <v>0.23155222721069549</v>
      </c>
      <c r="BA976" s="117">
        <f t="shared" si="165"/>
        <v>1529434862.6195366</v>
      </c>
      <c r="BB976" s="129">
        <f>IFERROR(VLOOKUP($D976,'EITI Revenues'!$C$2:$G$224,5,FALSE),"..")</f>
        <v>217306922</v>
      </c>
      <c r="BC976" s="846">
        <f t="shared" si="166"/>
        <v>0.14208314934563998</v>
      </c>
      <c r="BD976" s="129">
        <f>VLOOKUP($D976,'WB Data 2'!$C$2:$K$545,6,FALSE)</f>
        <v>568644822.96004164</v>
      </c>
      <c r="BE976" s="129" t="str">
        <f>IFERROR(VLOOKUP($D976,UNCTAD!$C$5:$V$529,4,FALSE),"..")</f>
        <v>..</v>
      </c>
      <c r="BF976" s="846" t="str">
        <f t="shared" si="167"/>
        <v>..</v>
      </c>
      <c r="BG976" s="117">
        <f>VLOOKUP($D976,'WB Data'!$C$3:$M$578,5,FALSE)</f>
        <v>472910000</v>
      </c>
      <c r="BH976" s="129">
        <f>IFERROR($BB976/$BG976,"..")</f>
        <v>0.45951010128777148</v>
      </c>
      <c r="BI976" s="117" t="str">
        <f>IFERROR(VLOOKUP($D976,'WB Data'!$C$3:$M$578,7,FALSE)/100,"..")</f>
        <v>..</v>
      </c>
      <c r="BJ976" s="117" t="str">
        <f>IFERROR($BI976*$AW976,"..")</f>
        <v>..</v>
      </c>
      <c r="BK976" s="846" t="str">
        <f>IFERROR($BB976/$BJ976,"..")</f>
        <v>..</v>
      </c>
      <c r="BL976" s="117" t="str">
        <f>IFERROR(VLOOKUP($D976,'WB Data'!$C$3:$M$578,7,FALSE)/100,"..")</f>
        <v>..</v>
      </c>
      <c r="BM976" s="117" t="str">
        <f>IFERROR($AW976*$BL976,"..")</f>
        <v>..</v>
      </c>
      <c r="BN976" s="846" t="str">
        <f>IFERROR($BB976/$BM976,"..")</f>
        <v>..</v>
      </c>
      <c r="BO976" s="801" t="str">
        <f t="shared" si="163"/>
        <v>..</v>
      </c>
      <c r="BP976" s="117">
        <f>VLOOKUP($D976,'WB Data'!$C$3:$M$578,9,FALSE)</f>
        <v>38</v>
      </c>
      <c r="BQ976" s="117">
        <f>VLOOKUP($D976,'WB Data'!$C$3:$M$578,10,FALSE)</f>
        <v>70.002439024390242</v>
      </c>
      <c r="BR976" s="117">
        <f>VLOOKUP($D976,'WB Data'!$C$3:$M$578,11,FALSE)</f>
        <v>23.2</v>
      </c>
      <c r="BS976" s="129">
        <f>IFERROR(VLOOKUP($D976,'WB Data 2'!$C$2:$K$545,9,FALSE),"..")</f>
        <v>98.370930000000001</v>
      </c>
      <c r="BT976" s="129" t="str">
        <f>_xlfn.IFNA(VLOOKUP($C976,RGI!$A$2:$C$43,2,FALSE),"..")</f>
        <v>..</v>
      </c>
      <c r="BU976" s="129" t="str">
        <f>_xlfn.IFNA(VLOOKUP($C976,RGI!$A$2:$C$43,3,FALSE),"..")</f>
        <v>..</v>
      </c>
      <c r="BV976" s="129">
        <f>VLOOKUP($D976,WGI!$C$2:$O$478,7,FALSE)</f>
        <v>-0.63880197540335404</v>
      </c>
      <c r="BW976" s="129">
        <f>VLOOKUP($D976,WGI!$C$2:$O$478,4,FALSE)</f>
        <v>-0.88911325472912595</v>
      </c>
      <c r="BX976" s="129">
        <f>VLOOKUP($D976,WGI!$C$2:$O$478,3,FALSE)</f>
        <v>-0.65869903860661405</v>
      </c>
      <c r="BY976" s="129">
        <f>VLOOKUP($D976,WGI!$C$2:$O$478,5,FALSE)</f>
        <v>-0.34552718722248699</v>
      </c>
      <c r="BZ976" s="129">
        <f>VLOOKUP($D976,WGI!$C$2:$O$478,2,FALSE)</f>
        <v>-1.0902106656717001</v>
      </c>
      <c r="CB976" s="129"/>
    </row>
    <row r="977" spans="1:80" s="120" customFormat="1" ht="15" customHeight="1">
      <c r="A977" s="294" t="s">
        <v>297</v>
      </c>
      <c r="B977" s="117">
        <v>2012</v>
      </c>
      <c r="C977" s="117" t="s">
        <v>285</v>
      </c>
      <c r="D977" s="117" t="s">
        <v>3737</v>
      </c>
      <c r="E977" s="452" t="s">
        <v>39</v>
      </c>
      <c r="F977" s="117"/>
      <c r="G977" s="117" t="s">
        <v>24</v>
      </c>
      <c r="H977" s="117" t="str">
        <f t="shared" si="158"/>
        <v>yes</v>
      </c>
      <c r="I977" s="117" t="str">
        <f t="shared" si="159"/>
        <v>no</v>
      </c>
      <c r="J977" s="117" t="str">
        <f t="shared" si="160"/>
        <v>no</v>
      </c>
      <c r="K977" s="117" t="s">
        <v>616</v>
      </c>
      <c r="L977" s="117" t="str">
        <f t="shared" si="161"/>
        <v>detailed</v>
      </c>
      <c r="M977" s="117" t="str">
        <f t="shared" si="162"/>
        <v>detailed Mining</v>
      </c>
      <c r="N977" s="118">
        <v>1184000</v>
      </c>
      <c r="O977" s="118"/>
      <c r="P977" s="118"/>
      <c r="Q977" s="118"/>
      <c r="R977" s="118"/>
      <c r="S977" s="117" t="s">
        <v>610</v>
      </c>
      <c r="T977" s="119">
        <v>90.020556297186616</v>
      </c>
      <c r="U977" s="117" t="s">
        <v>611</v>
      </c>
      <c r="V977" s="117" t="s">
        <v>1108</v>
      </c>
      <c r="W977" s="89">
        <f>N977*T977</f>
        <v>106584338.65586895</v>
      </c>
      <c r="X977" s="117"/>
      <c r="Y977" s="117"/>
      <c r="Z977" s="117"/>
      <c r="AA977" s="177">
        <v>7124707.1352502657</v>
      </c>
      <c r="AB977" s="177">
        <v>7183706.0702875396</v>
      </c>
      <c r="AC977" s="122"/>
      <c r="AD977" s="122"/>
      <c r="AE977" s="122"/>
      <c r="AF977" s="123">
        <f>AA977/W977</f>
        <v>6.6845722599583365E-2</v>
      </c>
      <c r="AG977" s="117"/>
      <c r="AH977" s="124"/>
      <c r="AJ977" s="492"/>
      <c r="AK977" s="89"/>
      <c r="AL977" s="117"/>
      <c r="AM977" s="117"/>
      <c r="AN977" s="117">
        <v>24</v>
      </c>
      <c r="AO977" s="117" t="s">
        <v>1579</v>
      </c>
      <c r="AP977" s="117">
        <v>24</v>
      </c>
      <c r="AQ977" s="117"/>
      <c r="AR977" s="126"/>
      <c r="AS977" s="117"/>
      <c r="AT977" s="117"/>
      <c r="AU977" s="117">
        <v>19</v>
      </c>
      <c r="AV977" s="128" t="s">
        <v>1580</v>
      </c>
      <c r="AW977" s="117">
        <f>VLOOKUP($D977,'WB Data'!$C$3:$M$578,2,FALSE)</f>
        <v>6605139933.4106312</v>
      </c>
      <c r="AX977" s="117">
        <f>VLOOKUP($D977,'WB Data'!$C$3:$M$578,3,FALSE)</f>
        <v>5607200</v>
      </c>
      <c r="AY977" s="847">
        <f t="shared" si="164"/>
        <v>3.2899669680092815E-2</v>
      </c>
      <c r="AZ977" s="117">
        <f>VLOOKUP($D977,'WB Data'!$C$3:$M$578,4,FALSE)/100</f>
        <v>0.23155222721069549</v>
      </c>
      <c r="BA977" s="117">
        <f t="shared" si="165"/>
        <v>1529434862.6195366</v>
      </c>
      <c r="BB977" s="129">
        <f>IFERROR(VLOOKUP($D977,'EITI Revenues'!$C$2:$G$224,5,FALSE),"..")</f>
        <v>217306922</v>
      </c>
      <c r="BC977" s="846">
        <f t="shared" si="166"/>
        <v>0.14208314934563998</v>
      </c>
      <c r="BD977" s="129">
        <f>VLOOKUP($D977,'WB Data 2'!$C$2:$K$545,6,FALSE)</f>
        <v>568644822.96004164</v>
      </c>
      <c r="BE977" s="129" t="str">
        <f>IFERROR(VLOOKUP($D977,UNCTAD!$C$5:$V$529,4,FALSE),"..")</f>
        <v>..</v>
      </c>
      <c r="BF977" s="846" t="str">
        <f t="shared" si="167"/>
        <v>..</v>
      </c>
      <c r="BG977" s="117">
        <f>VLOOKUP($D977,'WB Data'!$C$3:$M$578,5,FALSE)</f>
        <v>472910000</v>
      </c>
      <c r="BH977" s="129">
        <f>IFERROR($BB977/$BG977,"..")</f>
        <v>0.45951010128777148</v>
      </c>
      <c r="BI977" s="117" t="str">
        <f>IFERROR(VLOOKUP($D977,'WB Data'!$C$3:$M$578,7,FALSE)/100,"..")</f>
        <v>..</v>
      </c>
      <c r="BJ977" s="117" t="str">
        <f>IFERROR($BI977*$AW977,"..")</f>
        <v>..</v>
      </c>
      <c r="BK977" s="846" t="str">
        <f>IFERROR($BB977/$BJ977,"..")</f>
        <v>..</v>
      </c>
      <c r="BL977" s="117" t="str">
        <f>IFERROR(VLOOKUP($D977,'WB Data'!$C$3:$M$578,7,FALSE)/100,"..")</f>
        <v>..</v>
      </c>
      <c r="BM977" s="117" t="str">
        <f>IFERROR($AW977*$BL977,"..")</f>
        <v>..</v>
      </c>
      <c r="BN977" s="846" t="str">
        <f>IFERROR($BB977/$BM977,"..")</f>
        <v>..</v>
      </c>
      <c r="BO977" s="801" t="str">
        <f t="shared" si="163"/>
        <v>..</v>
      </c>
      <c r="BP977" s="117">
        <f>VLOOKUP($D977,'WB Data'!$C$3:$M$578,9,FALSE)</f>
        <v>38</v>
      </c>
      <c r="BQ977" s="117">
        <f>VLOOKUP($D977,'WB Data'!$C$3:$M$578,10,FALSE)</f>
        <v>70.002439024390242</v>
      </c>
      <c r="BR977" s="117">
        <f>VLOOKUP($D977,'WB Data'!$C$3:$M$578,11,FALSE)</f>
        <v>23.2</v>
      </c>
      <c r="BS977" s="129">
        <f>IFERROR(VLOOKUP($D977,'WB Data 2'!$C$2:$K$545,9,FALSE),"..")</f>
        <v>98.370930000000001</v>
      </c>
      <c r="BT977" s="129" t="str">
        <f>_xlfn.IFNA(VLOOKUP($C977,RGI!$A$2:$C$43,2,FALSE),"..")</f>
        <v>..</v>
      </c>
      <c r="BU977" s="129" t="str">
        <f>_xlfn.IFNA(VLOOKUP($C977,RGI!$A$2:$C$43,3,FALSE),"..")</f>
        <v>..</v>
      </c>
      <c r="BV977" s="129">
        <f>VLOOKUP($D977,WGI!$C$2:$O$478,7,FALSE)</f>
        <v>-0.63880197540335404</v>
      </c>
      <c r="BW977" s="129">
        <f>VLOOKUP($D977,WGI!$C$2:$O$478,4,FALSE)</f>
        <v>-0.88911325472912595</v>
      </c>
      <c r="BX977" s="129">
        <f>VLOOKUP($D977,WGI!$C$2:$O$478,3,FALSE)</f>
        <v>-0.65869903860661405</v>
      </c>
      <c r="BY977" s="129">
        <f>VLOOKUP($D977,WGI!$C$2:$O$478,5,FALSE)</f>
        <v>-0.34552718722248699</v>
      </c>
      <c r="BZ977" s="129">
        <f>VLOOKUP($D977,WGI!$C$2:$O$478,2,FALSE)</f>
        <v>-1.0902106656717001</v>
      </c>
      <c r="CB977" s="129"/>
    </row>
    <row r="978" spans="1:80" s="120" customFormat="1" ht="15" customHeight="1">
      <c r="A978" s="294" t="s">
        <v>297</v>
      </c>
      <c r="B978" s="117">
        <v>2012</v>
      </c>
      <c r="C978" s="117" t="s">
        <v>285</v>
      </c>
      <c r="D978" s="117" t="s">
        <v>3737</v>
      </c>
      <c r="E978" s="452" t="s">
        <v>39</v>
      </c>
      <c r="F978" s="117"/>
      <c r="G978" s="117" t="s">
        <v>24</v>
      </c>
      <c r="H978" s="117" t="str">
        <f t="shared" si="158"/>
        <v>yes</v>
      </c>
      <c r="I978" s="117" t="str">
        <f t="shared" si="159"/>
        <v>no</v>
      </c>
      <c r="J978" s="117" t="str">
        <f t="shared" si="160"/>
        <v>no</v>
      </c>
      <c r="K978" s="117" t="s">
        <v>1518</v>
      </c>
      <c r="L978" s="117" t="str">
        <f t="shared" si="161"/>
        <v>detailed</v>
      </c>
      <c r="M978" s="117" t="str">
        <f t="shared" si="162"/>
        <v>detailed Mining</v>
      </c>
      <c r="N978" s="118"/>
      <c r="O978" s="118"/>
      <c r="P978" s="118"/>
      <c r="Q978" s="118"/>
      <c r="R978" s="118"/>
      <c r="S978" s="117"/>
      <c r="T978" s="119"/>
      <c r="U978" s="117"/>
      <c r="V978" s="117"/>
      <c r="W978" s="89">
        <f>SUM(W979:W983)</f>
        <v>90721541.5</v>
      </c>
      <c r="X978" s="117"/>
      <c r="Y978" s="117"/>
      <c r="Z978" s="117"/>
      <c r="AA978" s="177">
        <v>8933972.3109691162</v>
      </c>
      <c r="AB978" s="177">
        <v>8858679.4462193809</v>
      </c>
      <c r="AC978" s="122"/>
      <c r="AD978" s="122"/>
      <c r="AE978" s="122"/>
      <c r="AF978" s="123">
        <f>AA978/W978</f>
        <v>9.8476857461346337E-2</v>
      </c>
      <c r="AG978" s="117"/>
      <c r="AH978" s="124"/>
      <c r="AJ978" s="492"/>
      <c r="AK978" s="89"/>
      <c r="AL978" s="117"/>
      <c r="AM978" s="117"/>
      <c r="AN978" s="117">
        <v>14</v>
      </c>
      <c r="AO978" s="117" t="s">
        <v>1581</v>
      </c>
      <c r="AP978" s="117">
        <v>14</v>
      </c>
      <c r="AQ978" s="117"/>
      <c r="AR978" s="126"/>
      <c r="AS978" s="117"/>
      <c r="AT978" s="117"/>
      <c r="AU978" s="117">
        <v>20</v>
      </c>
      <c r="AV978" s="128"/>
      <c r="AW978" s="117">
        <f>VLOOKUP($D978,'WB Data'!$C$3:$M$578,2,FALSE)</f>
        <v>6605139933.4106312</v>
      </c>
      <c r="AX978" s="117">
        <f>VLOOKUP($D978,'WB Data'!$C$3:$M$578,3,FALSE)</f>
        <v>5607200</v>
      </c>
      <c r="AY978" s="847">
        <f t="shared" si="164"/>
        <v>3.2899669680092815E-2</v>
      </c>
      <c r="AZ978" s="117">
        <f>VLOOKUP($D978,'WB Data'!$C$3:$M$578,4,FALSE)/100</f>
        <v>0.23155222721069549</v>
      </c>
      <c r="BA978" s="117">
        <f t="shared" si="165"/>
        <v>1529434862.6195366</v>
      </c>
      <c r="BB978" s="129">
        <f>IFERROR(VLOOKUP($D978,'EITI Revenues'!$C$2:$G$224,5,FALSE),"..")</f>
        <v>217306922</v>
      </c>
      <c r="BC978" s="846">
        <f t="shared" si="166"/>
        <v>0.14208314934563998</v>
      </c>
      <c r="BD978" s="129">
        <f>VLOOKUP($D978,'WB Data 2'!$C$2:$K$545,6,FALSE)</f>
        <v>568644822.96004164</v>
      </c>
      <c r="BE978" s="129" t="str">
        <f>IFERROR(VLOOKUP($D978,UNCTAD!$C$5:$V$529,4,FALSE),"..")</f>
        <v>..</v>
      </c>
      <c r="BF978" s="846" t="str">
        <f t="shared" si="167"/>
        <v>..</v>
      </c>
      <c r="BG978" s="117">
        <f>VLOOKUP($D978,'WB Data'!$C$3:$M$578,5,FALSE)</f>
        <v>472910000</v>
      </c>
      <c r="BH978" s="129">
        <f>IFERROR($BB978/$BG978,"..")</f>
        <v>0.45951010128777148</v>
      </c>
      <c r="BI978" s="117" t="str">
        <f>IFERROR(VLOOKUP($D978,'WB Data'!$C$3:$M$578,7,FALSE)/100,"..")</f>
        <v>..</v>
      </c>
      <c r="BJ978" s="117" t="str">
        <f>IFERROR($BI978*$AW978,"..")</f>
        <v>..</v>
      </c>
      <c r="BK978" s="846" t="str">
        <f>IFERROR($BB978/$BJ978,"..")</f>
        <v>..</v>
      </c>
      <c r="BL978" s="117" t="str">
        <f>IFERROR(VLOOKUP($D978,'WB Data'!$C$3:$M$578,7,FALSE)/100,"..")</f>
        <v>..</v>
      </c>
      <c r="BM978" s="117" t="str">
        <f>IFERROR($AW978*$BL978,"..")</f>
        <v>..</v>
      </c>
      <c r="BN978" s="846" t="str">
        <f>IFERROR($BB978/$BM978,"..")</f>
        <v>..</v>
      </c>
      <c r="BO978" s="801" t="str">
        <f t="shared" si="163"/>
        <v>..</v>
      </c>
      <c r="BP978" s="117">
        <f>VLOOKUP($D978,'WB Data'!$C$3:$M$578,9,FALSE)</f>
        <v>38</v>
      </c>
      <c r="BQ978" s="117">
        <f>VLOOKUP($D978,'WB Data'!$C$3:$M$578,10,FALSE)</f>
        <v>70.002439024390242</v>
      </c>
      <c r="BR978" s="117">
        <f>VLOOKUP($D978,'WB Data'!$C$3:$M$578,11,FALSE)</f>
        <v>23.2</v>
      </c>
      <c r="BS978" s="129">
        <f>IFERROR(VLOOKUP($D978,'WB Data 2'!$C$2:$K$545,9,FALSE),"..")</f>
        <v>98.370930000000001</v>
      </c>
      <c r="BT978" s="129" t="str">
        <f>_xlfn.IFNA(VLOOKUP($C978,RGI!$A$2:$C$43,2,FALSE),"..")</f>
        <v>..</v>
      </c>
      <c r="BU978" s="129" t="str">
        <f>_xlfn.IFNA(VLOOKUP($C978,RGI!$A$2:$C$43,3,FALSE),"..")</f>
        <v>..</v>
      </c>
      <c r="BV978" s="129">
        <f>VLOOKUP($D978,WGI!$C$2:$O$478,7,FALSE)</f>
        <v>-0.63880197540335404</v>
      </c>
      <c r="BW978" s="129">
        <f>VLOOKUP($D978,WGI!$C$2:$O$478,4,FALSE)</f>
        <v>-0.88911325472912595</v>
      </c>
      <c r="BX978" s="129">
        <f>VLOOKUP($D978,WGI!$C$2:$O$478,3,FALSE)</f>
        <v>-0.65869903860661405</v>
      </c>
      <c r="BY978" s="129">
        <f>VLOOKUP($D978,WGI!$C$2:$O$478,5,FALSE)</f>
        <v>-0.34552718722248699</v>
      </c>
      <c r="BZ978" s="129">
        <f>VLOOKUP($D978,WGI!$C$2:$O$478,2,FALSE)</f>
        <v>-1.0902106656717001</v>
      </c>
      <c r="CB978" s="129"/>
    </row>
    <row r="979" spans="1:80" s="120" customFormat="1" ht="15" customHeight="1">
      <c r="A979" s="294" t="s">
        <v>297</v>
      </c>
      <c r="B979" s="117">
        <v>2012</v>
      </c>
      <c r="C979" s="117" t="s">
        <v>285</v>
      </c>
      <c r="D979" s="117" t="s">
        <v>3737</v>
      </c>
      <c r="E979" s="452" t="s">
        <v>39</v>
      </c>
      <c r="F979" s="117"/>
      <c r="G979" s="117" t="s">
        <v>24</v>
      </c>
      <c r="H979" s="117" t="str">
        <f t="shared" si="158"/>
        <v>yes</v>
      </c>
      <c r="I979" s="117" t="str">
        <f t="shared" si="159"/>
        <v>no</v>
      </c>
      <c r="J979" s="117" t="str">
        <f t="shared" si="160"/>
        <v>no</v>
      </c>
      <c r="K979" s="117" t="s">
        <v>1520</v>
      </c>
      <c r="L979" s="117" t="str">
        <f t="shared" si="161"/>
        <v>detailed</v>
      </c>
      <c r="M979" s="117" t="str">
        <f t="shared" si="162"/>
        <v>detailed Mining</v>
      </c>
      <c r="N979" s="118">
        <v>900000</v>
      </c>
      <c r="O979" s="118"/>
      <c r="P979" s="118"/>
      <c r="Q979" s="118"/>
      <c r="R979" s="118"/>
      <c r="S979" s="117" t="s">
        <v>610</v>
      </c>
      <c r="T979" s="119">
        <v>89.5</v>
      </c>
      <c r="U979" s="117" t="s">
        <v>611</v>
      </c>
      <c r="V979" s="117" t="s">
        <v>1217</v>
      </c>
      <c r="W979" s="89">
        <f>N979*T979</f>
        <v>80550000</v>
      </c>
      <c r="X979" s="117"/>
      <c r="Y979" s="117"/>
      <c r="Z979" s="117"/>
      <c r="AA979" s="177"/>
      <c r="AB979" s="177"/>
      <c r="AC979" s="122"/>
      <c r="AD979" s="122"/>
      <c r="AE979" s="122"/>
      <c r="AF979" s="123"/>
      <c r="AG979" s="117"/>
      <c r="AH979" s="124"/>
      <c r="AJ979" s="492"/>
      <c r="AK979" s="89"/>
      <c r="AL979" s="117"/>
      <c r="AM979" s="117"/>
      <c r="AN979" s="117"/>
      <c r="AO979" s="117"/>
      <c r="AP979" s="117"/>
      <c r="AQ979" s="117"/>
      <c r="AR979" s="126"/>
      <c r="AS979" s="117"/>
      <c r="AT979" s="117"/>
      <c r="AU979" s="117"/>
      <c r="AV979" s="128"/>
      <c r="AW979" s="117">
        <f>VLOOKUP($D979,'WB Data'!$C$3:$M$578,2,FALSE)</f>
        <v>6605139933.4106312</v>
      </c>
      <c r="AX979" s="117">
        <f>VLOOKUP($D979,'WB Data'!$C$3:$M$578,3,FALSE)</f>
        <v>5607200</v>
      </c>
      <c r="AY979" s="847">
        <f t="shared" si="164"/>
        <v>3.2899669680092815E-2</v>
      </c>
      <c r="AZ979" s="117">
        <f>VLOOKUP($D979,'WB Data'!$C$3:$M$578,4,FALSE)/100</f>
        <v>0.23155222721069549</v>
      </c>
      <c r="BA979" s="117">
        <f t="shared" si="165"/>
        <v>1529434862.6195366</v>
      </c>
      <c r="BB979" s="129">
        <f>IFERROR(VLOOKUP($D979,'EITI Revenues'!$C$2:$G$224,5,FALSE),"..")</f>
        <v>217306922</v>
      </c>
      <c r="BC979" s="846">
        <f t="shared" si="166"/>
        <v>0.14208314934563998</v>
      </c>
      <c r="BD979" s="129">
        <f>VLOOKUP($D979,'WB Data 2'!$C$2:$K$545,6,FALSE)</f>
        <v>568644822.96004164</v>
      </c>
      <c r="BE979" s="129" t="str">
        <f>IFERROR(VLOOKUP($D979,UNCTAD!$C$5:$V$529,4,FALSE),"..")</f>
        <v>..</v>
      </c>
      <c r="BF979" s="846" t="str">
        <f t="shared" si="167"/>
        <v>..</v>
      </c>
      <c r="BG979" s="117">
        <f>VLOOKUP($D979,'WB Data'!$C$3:$M$578,5,FALSE)</f>
        <v>472910000</v>
      </c>
      <c r="BH979" s="129">
        <f>IFERROR($BB979/$BG979,"..")</f>
        <v>0.45951010128777148</v>
      </c>
      <c r="BI979" s="117" t="str">
        <f>IFERROR(VLOOKUP($D979,'WB Data'!$C$3:$M$578,7,FALSE)/100,"..")</f>
        <v>..</v>
      </c>
      <c r="BJ979" s="117" t="str">
        <f>IFERROR($BI979*$AW979,"..")</f>
        <v>..</v>
      </c>
      <c r="BK979" s="846" t="str">
        <f>IFERROR($BB979/$BJ979,"..")</f>
        <v>..</v>
      </c>
      <c r="BL979" s="117" t="str">
        <f>IFERROR(VLOOKUP($D979,'WB Data'!$C$3:$M$578,7,FALSE)/100,"..")</f>
        <v>..</v>
      </c>
      <c r="BM979" s="117" t="str">
        <f>IFERROR($AW979*$BL979,"..")</f>
        <v>..</v>
      </c>
      <c r="BN979" s="846" t="str">
        <f>IFERROR($BB979/$BM979,"..")</f>
        <v>..</v>
      </c>
      <c r="BO979" s="801" t="str">
        <f t="shared" si="163"/>
        <v>..</v>
      </c>
      <c r="BP979" s="117">
        <f>VLOOKUP($D979,'WB Data'!$C$3:$M$578,9,FALSE)</f>
        <v>38</v>
      </c>
      <c r="BQ979" s="117">
        <f>VLOOKUP($D979,'WB Data'!$C$3:$M$578,10,FALSE)</f>
        <v>70.002439024390242</v>
      </c>
      <c r="BR979" s="117">
        <f>VLOOKUP($D979,'WB Data'!$C$3:$M$578,11,FALSE)</f>
        <v>23.2</v>
      </c>
      <c r="BS979" s="129">
        <f>IFERROR(VLOOKUP($D979,'WB Data 2'!$C$2:$K$545,9,FALSE),"..")</f>
        <v>98.370930000000001</v>
      </c>
      <c r="BT979" s="129" t="str">
        <f>_xlfn.IFNA(VLOOKUP($C979,RGI!$A$2:$C$43,2,FALSE),"..")</f>
        <v>..</v>
      </c>
      <c r="BU979" s="129" t="str">
        <f>_xlfn.IFNA(VLOOKUP($C979,RGI!$A$2:$C$43,3,FALSE),"..")</f>
        <v>..</v>
      </c>
      <c r="BV979" s="129">
        <f>VLOOKUP($D979,WGI!$C$2:$O$478,7,FALSE)</f>
        <v>-0.63880197540335404</v>
      </c>
      <c r="BW979" s="129">
        <f>VLOOKUP($D979,WGI!$C$2:$O$478,4,FALSE)</f>
        <v>-0.88911325472912595</v>
      </c>
      <c r="BX979" s="129">
        <f>VLOOKUP($D979,WGI!$C$2:$O$478,3,FALSE)</f>
        <v>-0.65869903860661405</v>
      </c>
      <c r="BY979" s="129">
        <f>VLOOKUP($D979,WGI!$C$2:$O$478,5,FALSE)</f>
        <v>-0.34552718722248699</v>
      </c>
      <c r="BZ979" s="129">
        <f>VLOOKUP($D979,WGI!$C$2:$O$478,2,FALSE)</f>
        <v>-1.0902106656717001</v>
      </c>
      <c r="CB979" s="129"/>
    </row>
    <row r="980" spans="1:80" s="120" customFormat="1" ht="15" customHeight="1">
      <c r="A980" s="294" t="s">
        <v>297</v>
      </c>
      <c r="B980" s="117">
        <v>2012</v>
      </c>
      <c r="C980" s="117" t="s">
        <v>285</v>
      </c>
      <c r="D980" s="117" t="s">
        <v>3737</v>
      </c>
      <c r="E980" s="452" t="s">
        <v>39</v>
      </c>
      <c r="F980" s="117"/>
      <c r="G980" s="117" t="s">
        <v>24</v>
      </c>
      <c r="H980" s="117" t="str">
        <f t="shared" si="158"/>
        <v>yes</v>
      </c>
      <c r="I980" s="117" t="str">
        <f t="shared" si="159"/>
        <v>no</v>
      </c>
      <c r="J980" s="117" t="str">
        <f t="shared" si="160"/>
        <v>no</v>
      </c>
      <c r="K980" s="117" t="s">
        <v>1523</v>
      </c>
      <c r="L980" s="117" t="str">
        <f t="shared" si="161"/>
        <v>detailed</v>
      </c>
      <c r="M980" s="117" t="str">
        <f t="shared" si="162"/>
        <v>detailed Mining</v>
      </c>
      <c r="N980" s="118">
        <v>59</v>
      </c>
      <c r="O980" s="118"/>
      <c r="P980" s="118"/>
      <c r="Q980" s="118"/>
      <c r="R980" s="118"/>
      <c r="S980" s="117" t="s">
        <v>610</v>
      </c>
      <c r="T980" s="119">
        <v>18.5</v>
      </c>
      <c r="U980" s="117" t="s">
        <v>611</v>
      </c>
      <c r="V980" s="117" t="s">
        <v>1227</v>
      </c>
      <c r="W980" s="89">
        <f>N980*T980</f>
        <v>1091.5</v>
      </c>
      <c r="X980" s="117"/>
      <c r="Y980" s="117"/>
      <c r="Z980" s="117"/>
      <c r="AA980" s="177"/>
      <c r="AB980" s="177"/>
      <c r="AC980" s="122"/>
      <c r="AD980" s="122"/>
      <c r="AE980" s="122"/>
      <c r="AF980" s="123"/>
      <c r="AG980" s="117"/>
      <c r="AH980" s="124"/>
      <c r="AI980" s="117"/>
      <c r="AJ980" s="117"/>
      <c r="AK980" s="89"/>
      <c r="AL980" s="117"/>
      <c r="AM980" s="117"/>
      <c r="AN980" s="117"/>
      <c r="AO980" s="117"/>
      <c r="AP980" s="117"/>
      <c r="AQ980" s="117"/>
      <c r="AR980" s="126"/>
      <c r="AS980" s="117"/>
      <c r="AT980" s="117"/>
      <c r="AU980" s="117"/>
      <c r="AV980" s="128" t="s">
        <v>957</v>
      </c>
      <c r="AW980" s="117">
        <f>VLOOKUP($D980,'WB Data'!$C$3:$M$578,2,FALSE)</f>
        <v>6605139933.4106312</v>
      </c>
      <c r="AX980" s="117">
        <f>VLOOKUP($D980,'WB Data'!$C$3:$M$578,3,FALSE)</f>
        <v>5607200</v>
      </c>
      <c r="AY980" s="847">
        <f t="shared" si="164"/>
        <v>3.2899669680092815E-2</v>
      </c>
      <c r="AZ980" s="117">
        <f>VLOOKUP($D980,'WB Data'!$C$3:$M$578,4,FALSE)/100</f>
        <v>0.23155222721069549</v>
      </c>
      <c r="BA980" s="117">
        <f t="shared" si="165"/>
        <v>1529434862.6195366</v>
      </c>
      <c r="BB980" s="129">
        <f>IFERROR(VLOOKUP($D980,'EITI Revenues'!$C$2:$G$224,5,FALSE),"..")</f>
        <v>217306922</v>
      </c>
      <c r="BC980" s="846">
        <f t="shared" si="166"/>
        <v>0.14208314934563998</v>
      </c>
      <c r="BD980" s="129">
        <f>VLOOKUP($D980,'WB Data 2'!$C$2:$K$545,6,FALSE)</f>
        <v>568644822.96004164</v>
      </c>
      <c r="BE980" s="129" t="str">
        <f>IFERROR(VLOOKUP($D980,UNCTAD!$C$5:$V$529,4,FALSE),"..")</f>
        <v>..</v>
      </c>
      <c r="BF980" s="846" t="str">
        <f t="shared" si="167"/>
        <v>..</v>
      </c>
      <c r="BG980" s="117">
        <f>VLOOKUP($D980,'WB Data'!$C$3:$M$578,5,FALSE)</f>
        <v>472910000</v>
      </c>
      <c r="BH980" s="129">
        <f>IFERROR($BB980/$BG980,"..")</f>
        <v>0.45951010128777148</v>
      </c>
      <c r="BI980" s="117" t="str">
        <f>IFERROR(VLOOKUP($D980,'WB Data'!$C$3:$M$578,7,FALSE)/100,"..")</f>
        <v>..</v>
      </c>
      <c r="BJ980" s="117" t="str">
        <f>IFERROR($BI980*$AW980,"..")</f>
        <v>..</v>
      </c>
      <c r="BK980" s="846" t="str">
        <f>IFERROR($BB980/$BJ980,"..")</f>
        <v>..</v>
      </c>
      <c r="BL980" s="117" t="str">
        <f>IFERROR(VLOOKUP($D980,'WB Data'!$C$3:$M$578,7,FALSE)/100,"..")</f>
        <v>..</v>
      </c>
      <c r="BM980" s="117" t="str">
        <f>IFERROR($AW980*$BL980,"..")</f>
        <v>..</v>
      </c>
      <c r="BN980" s="846" t="str">
        <f>IFERROR($BB980/$BM980,"..")</f>
        <v>..</v>
      </c>
      <c r="BO980" s="801" t="str">
        <f t="shared" si="163"/>
        <v>..</v>
      </c>
      <c r="BP980" s="117">
        <f>VLOOKUP($D980,'WB Data'!$C$3:$M$578,9,FALSE)</f>
        <v>38</v>
      </c>
      <c r="BQ980" s="117">
        <f>VLOOKUP($D980,'WB Data'!$C$3:$M$578,10,FALSE)</f>
        <v>70.002439024390242</v>
      </c>
      <c r="BR980" s="117">
        <f>VLOOKUP($D980,'WB Data'!$C$3:$M$578,11,FALSE)</f>
        <v>23.2</v>
      </c>
      <c r="BS980" s="129">
        <f>IFERROR(VLOOKUP($D980,'WB Data 2'!$C$2:$K$545,9,FALSE),"..")</f>
        <v>98.370930000000001</v>
      </c>
      <c r="BT980" s="129" t="str">
        <f>_xlfn.IFNA(VLOOKUP($C980,RGI!$A$2:$C$43,2,FALSE),"..")</f>
        <v>..</v>
      </c>
      <c r="BU980" s="129" t="str">
        <f>_xlfn.IFNA(VLOOKUP($C980,RGI!$A$2:$C$43,3,FALSE),"..")</f>
        <v>..</v>
      </c>
      <c r="BV980" s="129">
        <f>VLOOKUP($D980,WGI!$C$2:$O$478,7,FALSE)</f>
        <v>-0.63880197540335404</v>
      </c>
      <c r="BW980" s="129">
        <f>VLOOKUP($D980,WGI!$C$2:$O$478,4,FALSE)</f>
        <v>-0.88911325472912595</v>
      </c>
      <c r="BX980" s="129">
        <f>VLOOKUP($D980,WGI!$C$2:$O$478,3,FALSE)</f>
        <v>-0.65869903860661405</v>
      </c>
      <c r="BY980" s="129">
        <f>VLOOKUP($D980,WGI!$C$2:$O$478,5,FALSE)</f>
        <v>-0.34552718722248699</v>
      </c>
      <c r="BZ980" s="129">
        <f>VLOOKUP($D980,WGI!$C$2:$O$478,2,FALSE)</f>
        <v>-1.0902106656717001</v>
      </c>
      <c r="CB980" s="129"/>
    </row>
    <row r="981" spans="1:80" s="120" customFormat="1" ht="16.5" customHeight="1">
      <c r="A981" s="294" t="s">
        <v>297</v>
      </c>
      <c r="B981" s="117">
        <v>2012</v>
      </c>
      <c r="C981" s="117" t="s">
        <v>285</v>
      </c>
      <c r="D981" s="117" t="s">
        <v>3737</v>
      </c>
      <c r="E981" s="452" t="s">
        <v>39</v>
      </c>
      <c r="F981" s="117"/>
      <c r="G981" s="117" t="s">
        <v>24</v>
      </c>
      <c r="H981" s="117" t="str">
        <f t="shared" si="158"/>
        <v>yes</v>
      </c>
      <c r="I981" s="117" t="str">
        <f t="shared" si="159"/>
        <v>no</v>
      </c>
      <c r="J981" s="117" t="str">
        <f t="shared" si="160"/>
        <v>no</v>
      </c>
      <c r="K981" s="117" t="s">
        <v>1524</v>
      </c>
      <c r="L981" s="117" t="str">
        <f t="shared" si="161"/>
        <v>detailed</v>
      </c>
      <c r="M981" s="117" t="str">
        <f t="shared" si="162"/>
        <v>detailed Mining</v>
      </c>
      <c r="N981" s="118"/>
      <c r="O981" s="118"/>
      <c r="P981" s="118"/>
      <c r="Q981" s="118"/>
      <c r="R981" s="118"/>
      <c r="S981" s="117"/>
      <c r="T981" s="119"/>
      <c r="U981" s="117"/>
      <c r="V981" s="117"/>
      <c r="W981" s="89"/>
      <c r="X981" s="117"/>
      <c r="Y981" s="117"/>
      <c r="Z981" s="117"/>
      <c r="AA981" s="177"/>
      <c r="AB981" s="177"/>
      <c r="AC981" s="122"/>
      <c r="AD981" s="122"/>
      <c r="AE981" s="122"/>
      <c r="AF981" s="123"/>
      <c r="AG981" s="117"/>
      <c r="AH981" s="124"/>
      <c r="AI981" s="117"/>
      <c r="AJ981" s="117"/>
      <c r="AK981" s="89"/>
      <c r="AL981" s="117"/>
      <c r="AM981" s="117"/>
      <c r="AN981" s="117"/>
      <c r="AO981" s="117"/>
      <c r="AP981" s="117"/>
      <c r="AQ981" s="117"/>
      <c r="AR981" s="126"/>
      <c r="AS981" s="117"/>
      <c r="AT981" s="117"/>
      <c r="AU981" s="117"/>
      <c r="AV981" s="128" t="s">
        <v>957</v>
      </c>
      <c r="AW981" s="117">
        <f>VLOOKUP($D981,'WB Data'!$C$3:$M$578,2,FALSE)</f>
        <v>6605139933.4106312</v>
      </c>
      <c r="AX981" s="117">
        <f>VLOOKUP($D981,'WB Data'!$C$3:$M$578,3,FALSE)</f>
        <v>5607200</v>
      </c>
      <c r="AY981" s="847">
        <f t="shared" si="164"/>
        <v>3.2899669680092815E-2</v>
      </c>
      <c r="AZ981" s="117">
        <f>VLOOKUP($D981,'WB Data'!$C$3:$M$578,4,FALSE)/100</f>
        <v>0.23155222721069549</v>
      </c>
      <c r="BA981" s="117">
        <f t="shared" si="165"/>
        <v>1529434862.6195366</v>
      </c>
      <c r="BB981" s="129">
        <f>IFERROR(VLOOKUP($D981,'EITI Revenues'!$C$2:$G$224,5,FALSE),"..")</f>
        <v>217306922</v>
      </c>
      <c r="BC981" s="846">
        <f t="shared" si="166"/>
        <v>0.14208314934563998</v>
      </c>
      <c r="BD981" s="129">
        <f>VLOOKUP($D981,'WB Data 2'!$C$2:$K$545,6,FALSE)</f>
        <v>568644822.96004164</v>
      </c>
      <c r="BE981" s="129" t="str">
        <f>IFERROR(VLOOKUP($D981,UNCTAD!$C$5:$V$529,4,FALSE),"..")</f>
        <v>..</v>
      </c>
      <c r="BF981" s="846" t="str">
        <f t="shared" si="167"/>
        <v>..</v>
      </c>
      <c r="BG981" s="117">
        <f>VLOOKUP($D981,'WB Data'!$C$3:$M$578,5,FALSE)</f>
        <v>472910000</v>
      </c>
      <c r="BH981" s="129">
        <f>IFERROR($BB981/$BG981,"..")</f>
        <v>0.45951010128777148</v>
      </c>
      <c r="BI981" s="117" t="str">
        <f>IFERROR(VLOOKUP($D981,'WB Data'!$C$3:$M$578,7,FALSE)/100,"..")</f>
        <v>..</v>
      </c>
      <c r="BJ981" s="117" t="str">
        <f>IFERROR($BI981*$AW981,"..")</f>
        <v>..</v>
      </c>
      <c r="BK981" s="846" t="str">
        <f>IFERROR($BB981/$BJ981,"..")</f>
        <v>..</v>
      </c>
      <c r="BL981" s="117" t="str">
        <f>IFERROR(VLOOKUP($D981,'WB Data'!$C$3:$M$578,7,FALSE)/100,"..")</f>
        <v>..</v>
      </c>
      <c r="BM981" s="117" t="str">
        <f>IFERROR($AW981*$BL981,"..")</f>
        <v>..</v>
      </c>
      <c r="BN981" s="846" t="str">
        <f>IFERROR($BB981/$BM981,"..")</f>
        <v>..</v>
      </c>
      <c r="BO981" s="801" t="str">
        <f t="shared" si="163"/>
        <v>..</v>
      </c>
      <c r="BP981" s="117">
        <f>VLOOKUP($D981,'WB Data'!$C$3:$M$578,9,FALSE)</f>
        <v>38</v>
      </c>
      <c r="BQ981" s="117">
        <f>VLOOKUP($D981,'WB Data'!$C$3:$M$578,10,FALSE)</f>
        <v>70.002439024390242</v>
      </c>
      <c r="BR981" s="117">
        <f>VLOOKUP($D981,'WB Data'!$C$3:$M$578,11,FALSE)</f>
        <v>23.2</v>
      </c>
      <c r="BS981" s="129">
        <f>IFERROR(VLOOKUP($D981,'WB Data 2'!$C$2:$K$545,9,FALSE),"..")</f>
        <v>98.370930000000001</v>
      </c>
      <c r="BT981" s="129" t="str">
        <f>_xlfn.IFNA(VLOOKUP($C981,RGI!$A$2:$C$43,2,FALSE),"..")</f>
        <v>..</v>
      </c>
      <c r="BU981" s="129" t="str">
        <f>_xlfn.IFNA(VLOOKUP($C981,RGI!$A$2:$C$43,3,FALSE),"..")</f>
        <v>..</v>
      </c>
      <c r="BV981" s="129">
        <f>VLOOKUP($D981,WGI!$C$2:$O$478,7,FALSE)</f>
        <v>-0.63880197540335404</v>
      </c>
      <c r="BW981" s="129">
        <f>VLOOKUP($D981,WGI!$C$2:$O$478,4,FALSE)</f>
        <v>-0.88911325472912595</v>
      </c>
      <c r="BX981" s="129">
        <f>VLOOKUP($D981,WGI!$C$2:$O$478,3,FALSE)</f>
        <v>-0.65869903860661405</v>
      </c>
      <c r="BY981" s="129">
        <f>VLOOKUP($D981,WGI!$C$2:$O$478,5,FALSE)</f>
        <v>-0.34552718722248699</v>
      </c>
      <c r="BZ981" s="129">
        <f>VLOOKUP($D981,WGI!$C$2:$O$478,2,FALSE)</f>
        <v>-1.0902106656717001</v>
      </c>
      <c r="CB981" s="129"/>
    </row>
    <row r="982" spans="1:80" s="120" customFormat="1" ht="15" customHeight="1">
      <c r="A982" s="294" t="s">
        <v>297</v>
      </c>
      <c r="B982" s="117">
        <v>2012</v>
      </c>
      <c r="C982" s="117" t="s">
        <v>285</v>
      </c>
      <c r="D982" s="117" t="s">
        <v>3737</v>
      </c>
      <c r="E982" s="452" t="s">
        <v>39</v>
      </c>
      <c r="F982" s="117"/>
      <c r="G982" s="117" t="s">
        <v>24</v>
      </c>
      <c r="H982" s="117" t="str">
        <f t="shared" si="158"/>
        <v>yes</v>
      </c>
      <c r="I982" s="117" t="str">
        <f t="shared" si="159"/>
        <v>no</v>
      </c>
      <c r="J982" s="117" t="str">
        <f t="shared" si="160"/>
        <v>no</v>
      </c>
      <c r="K982" s="117" t="s">
        <v>1525</v>
      </c>
      <c r="L982" s="117" t="str">
        <f t="shared" si="161"/>
        <v>detailed</v>
      </c>
      <c r="M982" s="117" t="str">
        <f t="shared" si="162"/>
        <v>detailed Mining</v>
      </c>
      <c r="N982" s="118">
        <v>3000</v>
      </c>
      <c r="O982" s="118"/>
      <c r="P982" s="118"/>
      <c r="Q982" s="118"/>
      <c r="R982" s="118"/>
      <c r="S982" s="117" t="s">
        <v>610</v>
      </c>
      <c r="T982" s="119">
        <v>126.15</v>
      </c>
      <c r="U982" s="117" t="s">
        <v>611</v>
      </c>
      <c r="V982" s="117" t="s">
        <v>1543</v>
      </c>
      <c r="W982" s="89">
        <f>N982*T982</f>
        <v>378450</v>
      </c>
      <c r="X982" s="117"/>
      <c r="Y982" s="117"/>
      <c r="Z982" s="117"/>
      <c r="AA982" s="177"/>
      <c r="AB982" s="177"/>
      <c r="AC982" s="122"/>
      <c r="AD982" s="122"/>
      <c r="AE982" s="122"/>
      <c r="AF982" s="123"/>
      <c r="AG982" s="117"/>
      <c r="AH982" s="124"/>
      <c r="AI982" s="117"/>
      <c r="AJ982" s="117"/>
      <c r="AK982" s="89"/>
      <c r="AL982" s="117"/>
      <c r="AM982" s="117"/>
      <c r="AN982" s="117"/>
      <c r="AO982" s="117"/>
      <c r="AP982" s="117"/>
      <c r="AQ982" s="117"/>
      <c r="AR982" s="126"/>
      <c r="AS982" s="117"/>
      <c r="AT982" s="117"/>
      <c r="AU982" s="117"/>
      <c r="AV982" s="128"/>
      <c r="AW982" s="117">
        <f>VLOOKUP($D982,'WB Data'!$C$3:$M$578,2,FALSE)</f>
        <v>6605139933.4106312</v>
      </c>
      <c r="AX982" s="117">
        <f>VLOOKUP($D982,'WB Data'!$C$3:$M$578,3,FALSE)</f>
        <v>5607200</v>
      </c>
      <c r="AY982" s="847">
        <f t="shared" si="164"/>
        <v>3.2899669680092815E-2</v>
      </c>
      <c r="AZ982" s="117">
        <f>VLOOKUP($D982,'WB Data'!$C$3:$M$578,4,FALSE)/100</f>
        <v>0.23155222721069549</v>
      </c>
      <c r="BA982" s="117">
        <f t="shared" si="165"/>
        <v>1529434862.6195366</v>
      </c>
      <c r="BB982" s="129">
        <f>IFERROR(VLOOKUP($D982,'EITI Revenues'!$C$2:$G$224,5,FALSE),"..")</f>
        <v>217306922</v>
      </c>
      <c r="BC982" s="846">
        <f t="shared" si="166"/>
        <v>0.14208314934563998</v>
      </c>
      <c r="BD982" s="129">
        <f>VLOOKUP($D982,'WB Data 2'!$C$2:$K$545,6,FALSE)</f>
        <v>568644822.96004164</v>
      </c>
      <c r="BE982" s="129" t="str">
        <f>IFERROR(VLOOKUP($D982,UNCTAD!$C$5:$V$529,4,FALSE),"..")</f>
        <v>..</v>
      </c>
      <c r="BF982" s="846" t="str">
        <f t="shared" si="167"/>
        <v>..</v>
      </c>
      <c r="BG982" s="117">
        <f>VLOOKUP($D982,'WB Data'!$C$3:$M$578,5,FALSE)</f>
        <v>472910000</v>
      </c>
      <c r="BH982" s="129">
        <f>IFERROR($BB982/$BG982,"..")</f>
        <v>0.45951010128777148</v>
      </c>
      <c r="BI982" s="117" t="str">
        <f>IFERROR(VLOOKUP($D982,'WB Data'!$C$3:$M$578,7,FALSE)/100,"..")</f>
        <v>..</v>
      </c>
      <c r="BJ982" s="117" t="str">
        <f>IFERROR($BI982*$AW982,"..")</f>
        <v>..</v>
      </c>
      <c r="BK982" s="846" t="str">
        <f>IFERROR($BB982/$BJ982,"..")</f>
        <v>..</v>
      </c>
      <c r="BL982" s="117" t="str">
        <f>IFERROR(VLOOKUP($D982,'WB Data'!$C$3:$M$578,7,FALSE)/100,"..")</f>
        <v>..</v>
      </c>
      <c r="BM982" s="117" t="str">
        <f>IFERROR($AW982*$BL982,"..")</f>
        <v>..</v>
      </c>
      <c r="BN982" s="846" t="str">
        <f>IFERROR($BB982/$BM982,"..")</f>
        <v>..</v>
      </c>
      <c r="BO982" s="801" t="str">
        <f t="shared" si="163"/>
        <v>..</v>
      </c>
      <c r="BP982" s="117">
        <f>VLOOKUP($D982,'WB Data'!$C$3:$M$578,9,FALSE)</f>
        <v>38</v>
      </c>
      <c r="BQ982" s="117">
        <f>VLOOKUP($D982,'WB Data'!$C$3:$M$578,10,FALSE)</f>
        <v>70.002439024390242</v>
      </c>
      <c r="BR982" s="117">
        <f>VLOOKUP($D982,'WB Data'!$C$3:$M$578,11,FALSE)</f>
        <v>23.2</v>
      </c>
      <c r="BS982" s="129">
        <f>IFERROR(VLOOKUP($D982,'WB Data 2'!$C$2:$K$545,9,FALSE),"..")</f>
        <v>98.370930000000001</v>
      </c>
      <c r="BT982" s="129" t="str">
        <f>_xlfn.IFNA(VLOOKUP($C982,RGI!$A$2:$C$43,2,FALSE),"..")</f>
        <v>..</v>
      </c>
      <c r="BU982" s="129" t="str">
        <f>_xlfn.IFNA(VLOOKUP($C982,RGI!$A$2:$C$43,3,FALSE),"..")</f>
        <v>..</v>
      </c>
      <c r="BV982" s="129">
        <f>VLOOKUP($D982,WGI!$C$2:$O$478,7,FALSE)</f>
        <v>-0.63880197540335404</v>
      </c>
      <c r="BW982" s="129">
        <f>VLOOKUP($D982,WGI!$C$2:$O$478,4,FALSE)</f>
        <v>-0.88911325472912595</v>
      </c>
      <c r="BX982" s="129">
        <f>VLOOKUP($D982,WGI!$C$2:$O$478,3,FALSE)</f>
        <v>-0.65869903860661405</v>
      </c>
      <c r="BY982" s="129">
        <f>VLOOKUP($D982,WGI!$C$2:$O$478,5,FALSE)</f>
        <v>-0.34552718722248699</v>
      </c>
      <c r="BZ982" s="129">
        <f>VLOOKUP($D982,WGI!$C$2:$O$478,2,FALSE)</f>
        <v>-1.0902106656717001</v>
      </c>
      <c r="CB982" s="129"/>
    </row>
    <row r="983" spans="1:80" s="120" customFormat="1" ht="15" customHeight="1">
      <c r="A983" s="294" t="s">
        <v>297</v>
      </c>
      <c r="B983" s="117">
        <v>2012</v>
      </c>
      <c r="C983" s="117" t="s">
        <v>285</v>
      </c>
      <c r="D983" s="117" t="s">
        <v>3737</v>
      </c>
      <c r="E983" s="452" t="s">
        <v>39</v>
      </c>
      <c r="F983" s="117"/>
      <c r="G983" s="117" t="s">
        <v>24</v>
      </c>
      <c r="H983" s="117" t="str">
        <f>IF($G983="Mining","yes",IF($G983="Oil, Gas, Mining","yes",IF($G983="Gas, Mining","yes",IF($G983="Oil, Mining","yes",IF($G983="Oil, Mining, Other","yes","no")))))</f>
        <v>yes</v>
      </c>
      <c r="I983" s="117" t="str">
        <f t="shared" ref="I983:I1046" si="168">IF($G983="Gas","yes",IF($G983="Oil, Gas, Mining","yes",IF($G983="Gas, Mining","yes",IF($G983="Oil, Gas","yes",IF($G983="Oil, Gas, Other","yes","no")))))</f>
        <v>no</v>
      </c>
      <c r="J983" s="117" t="str">
        <f t="shared" ref="J983:J1046" si="169">IF($G983="Oil","yes",IF($G983="Oil, Gas, Mining","yes",IF($G983="Oil, Mining","yes",IF($G983="Oil, Gas","yes",IF($G983="Oil, Gas, Other","yes","no")))))</f>
        <v>no</v>
      </c>
      <c r="K983" s="117" t="s">
        <v>1529</v>
      </c>
      <c r="L983" s="117" t="str">
        <f>IF(LEFT(K983,5)="Total","Total","detailed")</f>
        <v>detailed</v>
      </c>
      <c r="M983" s="117" t="str">
        <f t="shared" ref="M983:M1046" si="170">L983&amp;" "&amp;G983</f>
        <v>detailed Mining</v>
      </c>
      <c r="N983" s="118">
        <f>800000*1.6</f>
        <v>1280000</v>
      </c>
      <c r="O983" s="118"/>
      <c r="P983" s="118"/>
      <c r="Q983" s="118"/>
      <c r="R983" s="118"/>
      <c r="S983" s="117" t="s">
        <v>610</v>
      </c>
      <c r="T983" s="119">
        <v>7.65</v>
      </c>
      <c r="U983" s="117" t="s">
        <v>611</v>
      </c>
      <c r="V983" s="117" t="s">
        <v>1253</v>
      </c>
      <c r="W983" s="89">
        <f>N983*T983</f>
        <v>9792000</v>
      </c>
      <c r="X983" s="117"/>
      <c r="Y983" s="117"/>
      <c r="Z983" s="117"/>
      <c r="AA983" s="177"/>
      <c r="AB983" s="177"/>
      <c r="AC983" s="122"/>
      <c r="AD983" s="122"/>
      <c r="AE983" s="122"/>
      <c r="AF983" s="123"/>
      <c r="AG983" s="117"/>
      <c r="AH983" s="124"/>
      <c r="AJ983" s="492"/>
      <c r="AK983" s="89"/>
      <c r="AL983" s="117"/>
      <c r="AM983" s="117"/>
      <c r="AN983" s="117"/>
      <c r="AO983" s="117"/>
      <c r="AP983" s="117"/>
      <c r="AQ983" s="117"/>
      <c r="AR983" s="126"/>
      <c r="AS983" s="117"/>
      <c r="AT983" s="117"/>
      <c r="AU983" s="117"/>
      <c r="AV983" s="128"/>
      <c r="AW983" s="117">
        <f>VLOOKUP($D983,'WB Data'!$C$3:$M$578,2,FALSE)</f>
        <v>6605139933.4106312</v>
      </c>
      <c r="AX983" s="117">
        <f>VLOOKUP($D983,'WB Data'!$C$3:$M$578,3,FALSE)</f>
        <v>5607200</v>
      </c>
      <c r="AY983" s="847">
        <f t="shared" si="164"/>
        <v>3.2899669680092815E-2</v>
      </c>
      <c r="AZ983" s="117">
        <f>VLOOKUP($D983,'WB Data'!$C$3:$M$578,4,FALSE)/100</f>
        <v>0.23155222721069549</v>
      </c>
      <c r="BA983" s="117">
        <f t="shared" si="165"/>
        <v>1529434862.6195366</v>
      </c>
      <c r="BB983" s="129">
        <f>IFERROR(VLOOKUP($D983,'EITI Revenues'!$C$2:$G$224,5,FALSE),"..")</f>
        <v>217306922</v>
      </c>
      <c r="BC983" s="846">
        <f t="shared" si="166"/>
        <v>0.14208314934563998</v>
      </c>
      <c r="BD983" s="129">
        <f>VLOOKUP($D983,'WB Data 2'!$C$2:$K$545,6,FALSE)</f>
        <v>568644822.96004164</v>
      </c>
      <c r="BE983" s="129" t="str">
        <f>IFERROR(VLOOKUP($D983,UNCTAD!$C$5:$V$529,4,FALSE),"..")</f>
        <v>..</v>
      </c>
      <c r="BF983" s="846" t="str">
        <f t="shared" si="167"/>
        <v>..</v>
      </c>
      <c r="BG983" s="117">
        <f>VLOOKUP($D983,'WB Data'!$C$3:$M$578,5,FALSE)</f>
        <v>472910000</v>
      </c>
      <c r="BH983" s="129">
        <f>IFERROR($BB983/$BG983,"..")</f>
        <v>0.45951010128777148</v>
      </c>
      <c r="BI983" s="117" t="str">
        <f>IFERROR(VLOOKUP($D983,'WB Data'!$C$3:$M$578,7,FALSE)/100,"..")</f>
        <v>..</v>
      </c>
      <c r="BJ983" s="117" t="str">
        <f>IFERROR($BI983*$AW983,"..")</f>
        <v>..</v>
      </c>
      <c r="BK983" s="846" t="str">
        <f>IFERROR($BB983/$BJ983,"..")</f>
        <v>..</v>
      </c>
      <c r="BL983" s="117" t="str">
        <f>IFERROR(VLOOKUP($D983,'WB Data'!$C$3:$M$578,7,FALSE)/100,"..")</f>
        <v>..</v>
      </c>
      <c r="BM983" s="117" t="str">
        <f>IFERROR($AW983*$BL983,"..")</f>
        <v>..</v>
      </c>
      <c r="BN983" s="846" t="str">
        <f>IFERROR($BB983/$BM983,"..")</f>
        <v>..</v>
      </c>
      <c r="BO983" s="801" t="str">
        <f t="shared" si="163"/>
        <v>..</v>
      </c>
      <c r="BP983" s="117">
        <f>VLOOKUP($D983,'WB Data'!$C$3:$M$578,9,FALSE)</f>
        <v>38</v>
      </c>
      <c r="BQ983" s="117">
        <f>VLOOKUP($D983,'WB Data'!$C$3:$M$578,10,FALSE)</f>
        <v>70.002439024390242</v>
      </c>
      <c r="BR983" s="117">
        <f>VLOOKUP($D983,'WB Data'!$C$3:$M$578,11,FALSE)</f>
        <v>23.2</v>
      </c>
      <c r="BS983" s="129">
        <f>IFERROR(VLOOKUP($D983,'WB Data 2'!$C$2:$K$545,9,FALSE),"..")</f>
        <v>98.370930000000001</v>
      </c>
      <c r="BT983" s="129" t="str">
        <f>_xlfn.IFNA(VLOOKUP($C983,RGI!$A$2:$C$43,2,FALSE),"..")</f>
        <v>..</v>
      </c>
      <c r="BU983" s="129" t="str">
        <f>_xlfn.IFNA(VLOOKUP($C983,RGI!$A$2:$C$43,3,FALSE),"..")</f>
        <v>..</v>
      </c>
      <c r="BV983" s="129">
        <f>VLOOKUP($D983,WGI!$C$2:$O$478,7,FALSE)</f>
        <v>-0.63880197540335404</v>
      </c>
      <c r="BW983" s="129">
        <f>VLOOKUP($D983,WGI!$C$2:$O$478,4,FALSE)</f>
        <v>-0.88911325472912595</v>
      </c>
      <c r="BX983" s="129">
        <f>VLOOKUP($D983,WGI!$C$2:$O$478,3,FALSE)</f>
        <v>-0.65869903860661405</v>
      </c>
      <c r="BY983" s="129">
        <f>VLOOKUP($D983,WGI!$C$2:$O$478,5,FALSE)</f>
        <v>-0.34552718722248699</v>
      </c>
      <c r="BZ983" s="129">
        <f>VLOOKUP($D983,WGI!$C$2:$O$478,2,FALSE)</f>
        <v>-1.0902106656717001</v>
      </c>
      <c r="CB983" s="129"/>
    </row>
    <row r="984" spans="1:80" s="120" customFormat="1" ht="15" customHeight="1">
      <c r="A984" s="294" t="s">
        <v>297</v>
      </c>
      <c r="B984" s="117">
        <v>2012</v>
      </c>
      <c r="C984" s="117" t="s">
        <v>285</v>
      </c>
      <c r="D984" s="117" t="s">
        <v>3737</v>
      </c>
      <c r="E984" s="452" t="s">
        <v>39</v>
      </c>
      <c r="F984" s="117"/>
      <c r="G984" s="117" t="s">
        <v>24</v>
      </c>
      <c r="H984" s="117" t="str">
        <f>IF($G984="Mining","yes",IF($G984="Oil, Gas, Mining","yes",IF($G984="Gas, Mining","yes",IF($G984="Oil, Mining","yes",IF($G984="Oil, Mining, Other","yes","no")))))</f>
        <v>yes</v>
      </c>
      <c r="I984" s="117" t="str">
        <f t="shared" si="168"/>
        <v>no</v>
      </c>
      <c r="J984" s="117" t="str">
        <f t="shared" si="169"/>
        <v>no</v>
      </c>
      <c r="K984" s="117" t="s">
        <v>784</v>
      </c>
      <c r="L984" s="117" t="str">
        <f>IF(LEFT(K984,5)="Total","Total","detailed")</f>
        <v>detailed</v>
      </c>
      <c r="M984" s="117" t="str">
        <f t="shared" si="170"/>
        <v>detailed Mining</v>
      </c>
      <c r="N984" s="118">
        <f>10333*32.150743126506</f>
        <v>332213.62872618652</v>
      </c>
      <c r="O984" s="118"/>
      <c r="P984" s="118"/>
      <c r="Q984" s="118"/>
      <c r="R984" s="118"/>
      <c r="S984" s="117" t="s">
        <v>785</v>
      </c>
      <c r="T984" s="119">
        <v>1669.51766666667</v>
      </c>
      <c r="U984" s="117" t="s">
        <v>786</v>
      </c>
      <c r="V984" s="117" t="s">
        <v>787</v>
      </c>
      <c r="W984" s="89">
        <f>N984*T984</f>
        <v>554636522.26581037</v>
      </c>
      <c r="X984" s="117"/>
      <c r="Y984" s="117"/>
      <c r="Z984" s="117"/>
      <c r="AA984" s="177">
        <v>186428349.30777422</v>
      </c>
      <c r="AB984" s="177">
        <v>186472992.54526091</v>
      </c>
      <c r="AC984" s="122"/>
      <c r="AD984" s="122"/>
      <c r="AE984" s="122"/>
      <c r="AF984" s="123">
        <f>AA984/W984</f>
        <v>0.33612707029492761</v>
      </c>
      <c r="AG984" s="117"/>
      <c r="AH984" s="124"/>
      <c r="AJ984" s="492"/>
      <c r="AK984" s="89"/>
      <c r="AL984" s="117"/>
      <c r="AM984" s="117"/>
      <c r="AN984" s="117">
        <v>23</v>
      </c>
      <c r="AO984" s="117" t="s">
        <v>1582</v>
      </c>
      <c r="AP984" s="117">
        <v>21</v>
      </c>
      <c r="AQ984" s="117"/>
      <c r="AR984" s="126"/>
      <c r="AS984" s="117"/>
      <c r="AT984" s="117"/>
      <c r="AU984" s="117">
        <v>18</v>
      </c>
      <c r="AV984" s="128"/>
      <c r="AW984" s="117">
        <f>VLOOKUP($D984,'WB Data'!$C$3:$M$578,2,FALSE)</f>
        <v>6605139933.4106312</v>
      </c>
      <c r="AX984" s="117">
        <f>VLOOKUP($D984,'WB Data'!$C$3:$M$578,3,FALSE)</f>
        <v>5607200</v>
      </c>
      <c r="AY984" s="847">
        <f t="shared" si="164"/>
        <v>3.2899669680092815E-2</v>
      </c>
      <c r="AZ984" s="117">
        <f>VLOOKUP($D984,'WB Data'!$C$3:$M$578,4,FALSE)/100</f>
        <v>0.23155222721069549</v>
      </c>
      <c r="BA984" s="117">
        <f t="shared" si="165"/>
        <v>1529434862.6195366</v>
      </c>
      <c r="BB984" s="129">
        <f>IFERROR(VLOOKUP($D984,'EITI Revenues'!$C$2:$G$224,5,FALSE),"..")</f>
        <v>217306922</v>
      </c>
      <c r="BC984" s="846">
        <f t="shared" si="166"/>
        <v>0.14208314934563998</v>
      </c>
      <c r="BD984" s="129">
        <f>VLOOKUP($D984,'WB Data 2'!$C$2:$K$545,6,FALSE)</f>
        <v>568644822.96004164</v>
      </c>
      <c r="BE984" s="129" t="str">
        <f>IFERROR(VLOOKUP($D984,UNCTAD!$C$5:$V$529,4,FALSE),"..")</f>
        <v>..</v>
      </c>
      <c r="BF984" s="846" t="str">
        <f t="shared" si="167"/>
        <v>..</v>
      </c>
      <c r="BG984" s="117">
        <f>VLOOKUP($D984,'WB Data'!$C$3:$M$578,5,FALSE)</f>
        <v>472910000</v>
      </c>
      <c r="BH984" s="129">
        <f>IFERROR($BB984/$BG984,"..")</f>
        <v>0.45951010128777148</v>
      </c>
      <c r="BI984" s="117" t="str">
        <f>IFERROR(VLOOKUP($D984,'WB Data'!$C$3:$M$578,7,FALSE)/100,"..")</f>
        <v>..</v>
      </c>
      <c r="BJ984" s="117" t="str">
        <f>IFERROR($BI984*$AW984,"..")</f>
        <v>..</v>
      </c>
      <c r="BK984" s="846" t="str">
        <f>IFERROR($BB984/$BJ984,"..")</f>
        <v>..</v>
      </c>
      <c r="BL984" s="117" t="str">
        <f>IFERROR(VLOOKUP($D984,'WB Data'!$C$3:$M$578,7,FALSE)/100,"..")</f>
        <v>..</v>
      </c>
      <c r="BM984" s="117" t="str">
        <f>IFERROR($AW984*$BL984,"..")</f>
        <v>..</v>
      </c>
      <c r="BN984" s="846" t="str">
        <f>IFERROR($BB984/$BM984,"..")</f>
        <v>..</v>
      </c>
      <c r="BO984" s="801" t="str">
        <f t="shared" si="163"/>
        <v>..</v>
      </c>
      <c r="BP984" s="117">
        <f>VLOOKUP($D984,'WB Data'!$C$3:$M$578,9,FALSE)</f>
        <v>38</v>
      </c>
      <c r="BQ984" s="117">
        <f>VLOOKUP($D984,'WB Data'!$C$3:$M$578,10,FALSE)</f>
        <v>70.002439024390242</v>
      </c>
      <c r="BR984" s="117">
        <f>VLOOKUP($D984,'WB Data'!$C$3:$M$578,11,FALSE)</f>
        <v>23.2</v>
      </c>
      <c r="BS984" s="129">
        <f>IFERROR(VLOOKUP($D984,'WB Data 2'!$C$2:$K$545,9,FALSE),"..")</f>
        <v>98.370930000000001</v>
      </c>
      <c r="BT984" s="129" t="str">
        <f>_xlfn.IFNA(VLOOKUP($C984,RGI!$A$2:$C$43,2,FALSE),"..")</f>
        <v>..</v>
      </c>
      <c r="BU984" s="129" t="str">
        <f>_xlfn.IFNA(VLOOKUP($C984,RGI!$A$2:$C$43,3,FALSE),"..")</f>
        <v>..</v>
      </c>
      <c r="BV984" s="129">
        <f>VLOOKUP($D984,WGI!$C$2:$O$478,7,FALSE)</f>
        <v>-0.63880197540335404</v>
      </c>
      <c r="BW984" s="129">
        <f>VLOOKUP($D984,WGI!$C$2:$O$478,4,FALSE)</f>
        <v>-0.88911325472912595</v>
      </c>
      <c r="BX984" s="129">
        <f>VLOOKUP($D984,WGI!$C$2:$O$478,3,FALSE)</f>
        <v>-0.65869903860661405</v>
      </c>
      <c r="BY984" s="129">
        <f>VLOOKUP($D984,WGI!$C$2:$O$478,5,FALSE)</f>
        <v>-0.34552718722248699</v>
      </c>
      <c r="BZ984" s="129">
        <f>VLOOKUP($D984,WGI!$C$2:$O$478,2,FALSE)</f>
        <v>-1.0902106656717001</v>
      </c>
      <c r="CB984" s="129"/>
    </row>
    <row r="985" spans="1:80" s="120" customFormat="1" ht="15" customHeight="1">
      <c r="A985" s="294" t="s">
        <v>297</v>
      </c>
      <c r="B985" s="117">
        <v>2012</v>
      </c>
      <c r="C985" s="117" t="s">
        <v>285</v>
      </c>
      <c r="D985" s="117" t="s">
        <v>3737</v>
      </c>
      <c r="E985" s="452" t="s">
        <v>39</v>
      </c>
      <c r="F985" s="117"/>
      <c r="G985" s="117" t="s">
        <v>24</v>
      </c>
      <c r="H985" s="117" t="str">
        <f t="shared" ref="H985:H1048" si="171">IF($G985="Mining","yes",IF($G985="Oil, Gas, Mining","yes",IF($G985="Gas, Mining","yes",IF($G985="Oil, Mining","yes",IF($G985="Oil, Mining, Other","yes","no")))))</f>
        <v>yes</v>
      </c>
      <c r="I985" s="117" t="str">
        <f t="shared" si="168"/>
        <v>no</v>
      </c>
      <c r="J985" s="117" t="str">
        <f t="shared" si="169"/>
        <v>no</v>
      </c>
      <c r="K985" s="117" t="s">
        <v>1532</v>
      </c>
      <c r="L985" s="117" t="str">
        <f t="shared" ref="L985:L1048" si="172">IF(LEFT(K985,5)="Total","Total","detailed")</f>
        <v>detailed</v>
      </c>
      <c r="M985" s="117" t="str">
        <f t="shared" si="170"/>
        <v>detailed Mining</v>
      </c>
      <c r="N985" s="118"/>
      <c r="O985" s="118"/>
      <c r="P985" s="118"/>
      <c r="Q985" s="118"/>
      <c r="R985" s="118"/>
      <c r="S985" s="117"/>
      <c r="T985" s="119"/>
      <c r="U985" s="117"/>
      <c r="V985" s="117"/>
      <c r="W985" s="89">
        <f>SUM(W986:W993)</f>
        <v>6938240.5610580184</v>
      </c>
      <c r="X985" s="117"/>
      <c r="Y985" s="117"/>
      <c r="Z985" s="117"/>
      <c r="AA985" s="177">
        <v>2441703.940362087</v>
      </c>
      <c r="AB985" s="177">
        <v>2444494.1427050051</v>
      </c>
      <c r="AC985" s="122"/>
      <c r="AD985" s="122"/>
      <c r="AE985" s="122"/>
      <c r="AF985" s="123">
        <f>AA985/W985</f>
        <v>0.35191975816845267</v>
      </c>
      <c r="AG985" s="117"/>
      <c r="AH985" s="124"/>
      <c r="AJ985" s="492"/>
      <c r="AK985" s="89"/>
      <c r="AL985" s="117"/>
      <c r="AM985" s="117"/>
      <c r="AN985" s="117">
        <v>8</v>
      </c>
      <c r="AO985" s="117" t="s">
        <v>1583</v>
      </c>
      <c r="AP985" s="117">
        <v>8</v>
      </c>
      <c r="AQ985" s="117"/>
      <c r="AR985" s="126"/>
      <c r="AS985" s="117"/>
      <c r="AT985" s="117"/>
      <c r="AU985" s="117">
        <v>18</v>
      </c>
      <c r="AV985" s="128"/>
      <c r="AW985" s="117">
        <f>VLOOKUP($D985,'WB Data'!$C$3:$M$578,2,FALSE)</f>
        <v>6605139933.4106312</v>
      </c>
      <c r="AX985" s="117">
        <f>VLOOKUP($D985,'WB Data'!$C$3:$M$578,3,FALSE)</f>
        <v>5607200</v>
      </c>
      <c r="AY985" s="847">
        <f t="shared" si="164"/>
        <v>3.2899669680092815E-2</v>
      </c>
      <c r="AZ985" s="117">
        <f>VLOOKUP($D985,'WB Data'!$C$3:$M$578,4,FALSE)/100</f>
        <v>0.23155222721069549</v>
      </c>
      <c r="BA985" s="117">
        <f t="shared" si="165"/>
        <v>1529434862.6195366</v>
      </c>
      <c r="BB985" s="129">
        <f>IFERROR(VLOOKUP($D985,'EITI Revenues'!$C$2:$G$224,5,FALSE),"..")</f>
        <v>217306922</v>
      </c>
      <c r="BC985" s="846">
        <f t="shared" si="166"/>
        <v>0.14208314934563998</v>
      </c>
      <c r="BD985" s="129">
        <f>VLOOKUP($D985,'WB Data 2'!$C$2:$K$545,6,FALSE)</f>
        <v>568644822.96004164</v>
      </c>
      <c r="BE985" s="129" t="str">
        <f>IFERROR(VLOOKUP($D985,UNCTAD!$C$5:$V$529,4,FALSE),"..")</f>
        <v>..</v>
      </c>
      <c r="BF985" s="846" t="str">
        <f t="shared" si="167"/>
        <v>..</v>
      </c>
      <c r="BG985" s="117">
        <f>VLOOKUP($D985,'WB Data'!$C$3:$M$578,5,FALSE)</f>
        <v>472910000</v>
      </c>
      <c r="BH985" s="129">
        <f>IFERROR($BB985/$BG985,"..")</f>
        <v>0.45951010128777148</v>
      </c>
      <c r="BI985" s="117" t="str">
        <f>IFERROR(VLOOKUP($D985,'WB Data'!$C$3:$M$578,7,FALSE)/100,"..")</f>
        <v>..</v>
      </c>
      <c r="BJ985" s="117" t="str">
        <f>IFERROR($BI985*$AW985,"..")</f>
        <v>..</v>
      </c>
      <c r="BK985" s="846" t="str">
        <f>IFERROR($BB985/$BJ985,"..")</f>
        <v>..</v>
      </c>
      <c r="BL985" s="117" t="str">
        <f>IFERROR(VLOOKUP($D985,'WB Data'!$C$3:$M$578,7,FALSE)/100,"..")</f>
        <v>..</v>
      </c>
      <c r="BM985" s="117" t="str">
        <f>IFERROR($AW985*$BL985,"..")</f>
        <v>..</v>
      </c>
      <c r="BN985" s="846" t="str">
        <f>IFERROR($BB985/$BM985,"..")</f>
        <v>..</v>
      </c>
      <c r="BO985" s="801" t="str">
        <f t="shared" si="163"/>
        <v>..</v>
      </c>
      <c r="BP985" s="117">
        <f>VLOOKUP($D985,'WB Data'!$C$3:$M$578,9,FALSE)</f>
        <v>38</v>
      </c>
      <c r="BQ985" s="117">
        <f>VLOOKUP($D985,'WB Data'!$C$3:$M$578,10,FALSE)</f>
        <v>70.002439024390242</v>
      </c>
      <c r="BR985" s="117">
        <f>VLOOKUP($D985,'WB Data'!$C$3:$M$578,11,FALSE)</f>
        <v>23.2</v>
      </c>
      <c r="BS985" s="129">
        <f>IFERROR(VLOOKUP($D985,'WB Data 2'!$C$2:$K$545,9,FALSE),"..")</f>
        <v>98.370930000000001</v>
      </c>
      <c r="BT985" s="129" t="str">
        <f>_xlfn.IFNA(VLOOKUP($C985,RGI!$A$2:$C$43,2,FALSE),"..")</f>
        <v>..</v>
      </c>
      <c r="BU985" s="129" t="str">
        <f>_xlfn.IFNA(VLOOKUP($C985,RGI!$A$2:$C$43,3,FALSE),"..")</f>
        <v>..</v>
      </c>
      <c r="BV985" s="129">
        <f>VLOOKUP($D985,WGI!$C$2:$O$478,7,FALSE)</f>
        <v>-0.63880197540335404</v>
      </c>
      <c r="BW985" s="129">
        <f>VLOOKUP($D985,WGI!$C$2:$O$478,4,FALSE)</f>
        <v>-0.88911325472912595</v>
      </c>
      <c r="BX985" s="129">
        <f>VLOOKUP($D985,WGI!$C$2:$O$478,3,FALSE)</f>
        <v>-0.65869903860661405</v>
      </c>
      <c r="BY985" s="129">
        <f>VLOOKUP($D985,WGI!$C$2:$O$478,5,FALSE)</f>
        <v>-0.34552718722248699</v>
      </c>
      <c r="BZ985" s="129">
        <f>VLOOKUP($D985,WGI!$C$2:$O$478,2,FALSE)</f>
        <v>-1.0902106656717001</v>
      </c>
      <c r="CB985" s="129"/>
    </row>
    <row r="986" spans="1:80" s="120" customFormat="1" ht="15" customHeight="1">
      <c r="A986" s="294" t="s">
        <v>297</v>
      </c>
      <c r="B986" s="117">
        <v>2012</v>
      </c>
      <c r="C986" s="117" t="s">
        <v>285</v>
      </c>
      <c r="D986" s="117" t="s">
        <v>3737</v>
      </c>
      <c r="E986" s="452" t="s">
        <v>39</v>
      </c>
      <c r="F986" s="117"/>
      <c r="G986" s="117" t="s">
        <v>24</v>
      </c>
      <c r="H986" s="117" t="str">
        <f t="shared" si="171"/>
        <v>yes</v>
      </c>
      <c r="I986" s="117" t="str">
        <f t="shared" si="168"/>
        <v>no</v>
      </c>
      <c r="J986" s="117" t="str">
        <f t="shared" si="169"/>
        <v>no</v>
      </c>
      <c r="K986" s="117" t="s">
        <v>1534</v>
      </c>
      <c r="L986" s="117" t="str">
        <f t="shared" si="172"/>
        <v>detailed</v>
      </c>
      <c r="M986" s="117" t="str">
        <f t="shared" si="170"/>
        <v>detailed Mining</v>
      </c>
      <c r="N986" s="118"/>
      <c r="O986" s="118"/>
      <c r="P986" s="118"/>
      <c r="Q986" s="118"/>
      <c r="R986" s="118"/>
      <c r="S986" s="117"/>
      <c r="T986" s="119">
        <f>564.5/0.000453592*0.0026</f>
        <v>3235.72726150373</v>
      </c>
      <c r="U986" s="120" t="s">
        <v>611</v>
      </c>
      <c r="V986" s="117" t="s">
        <v>1535</v>
      </c>
      <c r="W986" s="89">
        <f>N987*T986</f>
        <v>2989811.9896294465</v>
      </c>
      <c r="X986" s="117"/>
      <c r="Y986" s="117"/>
      <c r="Z986" s="117"/>
      <c r="AA986" s="177"/>
      <c r="AB986" s="177"/>
      <c r="AC986" s="122"/>
      <c r="AD986" s="122"/>
      <c r="AE986" s="122"/>
      <c r="AF986" s="123"/>
      <c r="AG986" s="117"/>
      <c r="AH986" s="124"/>
      <c r="AI986" s="117"/>
      <c r="AJ986" s="117"/>
      <c r="AK986" s="89"/>
      <c r="AL986" s="117"/>
      <c r="AM986" s="117"/>
      <c r="AN986" s="117"/>
      <c r="AO986" s="117"/>
      <c r="AP986" s="117"/>
      <c r="AQ986" s="117"/>
      <c r="AR986" s="126"/>
      <c r="AS986" s="117"/>
      <c r="AT986" s="117"/>
      <c r="AU986" s="117">
        <v>3</v>
      </c>
      <c r="AV986" s="128"/>
      <c r="AW986" s="117">
        <f>VLOOKUP($D986,'WB Data'!$C$3:$M$578,2,FALSE)</f>
        <v>6605139933.4106312</v>
      </c>
      <c r="AX986" s="117">
        <f>VLOOKUP($D986,'WB Data'!$C$3:$M$578,3,FALSE)</f>
        <v>5607200</v>
      </c>
      <c r="AY986" s="847">
        <f t="shared" si="164"/>
        <v>3.2899669680092815E-2</v>
      </c>
      <c r="AZ986" s="117">
        <f>VLOOKUP($D986,'WB Data'!$C$3:$M$578,4,FALSE)/100</f>
        <v>0.23155222721069549</v>
      </c>
      <c r="BA986" s="117">
        <f t="shared" si="165"/>
        <v>1529434862.6195366</v>
      </c>
      <c r="BB986" s="129">
        <f>IFERROR(VLOOKUP($D986,'EITI Revenues'!$C$2:$G$224,5,FALSE),"..")</f>
        <v>217306922</v>
      </c>
      <c r="BC986" s="846">
        <f t="shared" si="166"/>
        <v>0.14208314934563998</v>
      </c>
      <c r="BD986" s="129">
        <f>VLOOKUP($D986,'WB Data 2'!$C$2:$K$545,6,FALSE)</f>
        <v>568644822.96004164</v>
      </c>
      <c r="BE986" s="129" t="str">
        <f>IFERROR(VLOOKUP($D986,UNCTAD!$C$5:$V$529,4,FALSE),"..")</f>
        <v>..</v>
      </c>
      <c r="BF986" s="846" t="str">
        <f t="shared" si="167"/>
        <v>..</v>
      </c>
      <c r="BG986" s="117">
        <f>VLOOKUP($D986,'WB Data'!$C$3:$M$578,5,FALSE)</f>
        <v>472910000</v>
      </c>
      <c r="BH986" s="129">
        <f>IFERROR($BB986/$BG986,"..")</f>
        <v>0.45951010128777148</v>
      </c>
      <c r="BI986" s="117" t="str">
        <f>IFERROR(VLOOKUP($D986,'WB Data'!$C$3:$M$578,7,FALSE)/100,"..")</f>
        <v>..</v>
      </c>
      <c r="BJ986" s="117" t="str">
        <f>IFERROR($BI986*$AW986,"..")</f>
        <v>..</v>
      </c>
      <c r="BK986" s="846" t="str">
        <f>IFERROR($BB986/$BJ986,"..")</f>
        <v>..</v>
      </c>
      <c r="BL986" s="117" t="str">
        <f>IFERROR(VLOOKUP($D986,'WB Data'!$C$3:$M$578,7,FALSE)/100,"..")</f>
        <v>..</v>
      </c>
      <c r="BM986" s="117" t="str">
        <f>IFERROR($AW986*$BL986,"..")</f>
        <v>..</v>
      </c>
      <c r="BN986" s="846" t="str">
        <f>IFERROR($BB986/$BM986,"..")</f>
        <v>..</v>
      </c>
      <c r="BO986" s="801" t="str">
        <f t="shared" si="163"/>
        <v>..</v>
      </c>
      <c r="BP986" s="117">
        <f>VLOOKUP($D986,'WB Data'!$C$3:$M$578,9,FALSE)</f>
        <v>38</v>
      </c>
      <c r="BQ986" s="117">
        <f>VLOOKUP($D986,'WB Data'!$C$3:$M$578,10,FALSE)</f>
        <v>70.002439024390242</v>
      </c>
      <c r="BR986" s="117">
        <f>VLOOKUP($D986,'WB Data'!$C$3:$M$578,11,FALSE)</f>
        <v>23.2</v>
      </c>
      <c r="BS986" s="129">
        <f>IFERROR(VLOOKUP($D986,'WB Data 2'!$C$2:$K$545,9,FALSE),"..")</f>
        <v>98.370930000000001</v>
      </c>
      <c r="BT986" s="129" t="str">
        <f>_xlfn.IFNA(VLOOKUP($C986,RGI!$A$2:$C$43,2,FALSE),"..")</f>
        <v>..</v>
      </c>
      <c r="BU986" s="129" t="str">
        <f>_xlfn.IFNA(VLOOKUP($C986,RGI!$A$2:$C$43,3,FALSE),"..")</f>
        <v>..</v>
      </c>
      <c r="BV986" s="129">
        <f>VLOOKUP($D986,WGI!$C$2:$O$478,7,FALSE)</f>
        <v>-0.63880197540335404</v>
      </c>
      <c r="BW986" s="129">
        <f>VLOOKUP($D986,WGI!$C$2:$O$478,4,FALSE)</f>
        <v>-0.88911325472912595</v>
      </c>
      <c r="BX986" s="129">
        <f>VLOOKUP($D986,WGI!$C$2:$O$478,3,FALSE)</f>
        <v>-0.65869903860661405</v>
      </c>
      <c r="BY986" s="129">
        <f>VLOOKUP($D986,WGI!$C$2:$O$478,5,FALSE)</f>
        <v>-0.34552718722248699</v>
      </c>
      <c r="BZ986" s="129">
        <f>VLOOKUP($D986,WGI!$C$2:$O$478,2,FALSE)</f>
        <v>-1.0902106656717001</v>
      </c>
      <c r="CB986" s="129"/>
    </row>
    <row r="987" spans="1:80" s="120" customFormat="1" ht="15" customHeight="1">
      <c r="A987" s="294" t="s">
        <v>297</v>
      </c>
      <c r="B987" s="117">
        <v>2012</v>
      </c>
      <c r="C987" s="117" t="s">
        <v>285</v>
      </c>
      <c r="D987" s="117" t="s">
        <v>3737</v>
      </c>
      <c r="E987" s="452" t="s">
        <v>39</v>
      </c>
      <c r="F987" s="117"/>
      <c r="G987" s="117" t="s">
        <v>24</v>
      </c>
      <c r="H987" s="117" t="str">
        <f t="shared" si="171"/>
        <v>yes</v>
      </c>
      <c r="I987" s="117" t="str">
        <f t="shared" si="168"/>
        <v>no</v>
      </c>
      <c r="J987" s="117" t="str">
        <f t="shared" si="169"/>
        <v>no</v>
      </c>
      <c r="K987" s="117" t="s">
        <v>1537</v>
      </c>
      <c r="L987" s="117" t="str">
        <f t="shared" si="172"/>
        <v>detailed</v>
      </c>
      <c r="M987" s="117" t="str">
        <f t="shared" si="170"/>
        <v>detailed Mining</v>
      </c>
      <c r="N987" s="118">
        <v>924</v>
      </c>
      <c r="O987" s="118"/>
      <c r="P987" s="118"/>
      <c r="Q987" s="118"/>
      <c r="R987" s="118"/>
      <c r="S987" s="117" t="s">
        <v>610</v>
      </c>
      <c r="T987" s="119"/>
      <c r="U987" s="117"/>
      <c r="V987" s="117" t="s">
        <v>684</v>
      </c>
      <c r="W987" s="89"/>
      <c r="X987" s="117"/>
      <c r="Y987" s="117"/>
      <c r="Z987" s="117"/>
      <c r="AA987" s="177"/>
      <c r="AB987" s="177"/>
      <c r="AC987" s="122"/>
      <c r="AD987" s="122"/>
      <c r="AE987" s="122"/>
      <c r="AF987" s="123"/>
      <c r="AG987" s="117"/>
      <c r="AH987" s="124"/>
      <c r="AI987" s="117"/>
      <c r="AJ987" s="117"/>
      <c r="AK987" s="89"/>
      <c r="AL987" s="117"/>
      <c r="AM987" s="117"/>
      <c r="AN987" s="117"/>
      <c r="AO987" s="117"/>
      <c r="AP987" s="117"/>
      <c r="AQ987" s="117"/>
      <c r="AR987" s="126"/>
      <c r="AS987" s="117"/>
      <c r="AT987" s="117"/>
      <c r="AU987" s="117"/>
      <c r="AV987" s="128"/>
      <c r="AW987" s="117">
        <f>VLOOKUP($D987,'WB Data'!$C$3:$M$578,2,FALSE)</f>
        <v>6605139933.4106312</v>
      </c>
      <c r="AX987" s="117">
        <f>VLOOKUP($D987,'WB Data'!$C$3:$M$578,3,FALSE)</f>
        <v>5607200</v>
      </c>
      <c r="AY987" s="847">
        <f t="shared" si="164"/>
        <v>3.2899669680092815E-2</v>
      </c>
      <c r="AZ987" s="117">
        <f>VLOOKUP($D987,'WB Data'!$C$3:$M$578,4,FALSE)/100</f>
        <v>0.23155222721069549</v>
      </c>
      <c r="BA987" s="117">
        <f t="shared" si="165"/>
        <v>1529434862.6195366</v>
      </c>
      <c r="BB987" s="129">
        <f>IFERROR(VLOOKUP($D987,'EITI Revenues'!$C$2:$G$224,5,FALSE),"..")</f>
        <v>217306922</v>
      </c>
      <c r="BC987" s="846">
        <f t="shared" si="166"/>
        <v>0.14208314934563998</v>
      </c>
      <c r="BD987" s="129">
        <f>VLOOKUP($D987,'WB Data 2'!$C$2:$K$545,6,FALSE)</f>
        <v>568644822.96004164</v>
      </c>
      <c r="BE987" s="129" t="str">
        <f>IFERROR(VLOOKUP($D987,UNCTAD!$C$5:$V$529,4,FALSE),"..")</f>
        <v>..</v>
      </c>
      <c r="BF987" s="846" t="str">
        <f t="shared" si="167"/>
        <v>..</v>
      </c>
      <c r="BG987" s="117">
        <f>VLOOKUP($D987,'WB Data'!$C$3:$M$578,5,FALSE)</f>
        <v>472910000</v>
      </c>
      <c r="BH987" s="129">
        <f>IFERROR($BB987/$BG987,"..")</f>
        <v>0.45951010128777148</v>
      </c>
      <c r="BI987" s="117" t="str">
        <f>IFERROR(VLOOKUP($D987,'WB Data'!$C$3:$M$578,7,FALSE)/100,"..")</f>
        <v>..</v>
      </c>
      <c r="BJ987" s="117" t="str">
        <f>IFERROR($BI987*$AW987,"..")</f>
        <v>..</v>
      </c>
      <c r="BK987" s="846" t="str">
        <f>IFERROR($BB987/$BJ987,"..")</f>
        <v>..</v>
      </c>
      <c r="BL987" s="117" t="str">
        <f>IFERROR(VLOOKUP($D987,'WB Data'!$C$3:$M$578,7,FALSE)/100,"..")</f>
        <v>..</v>
      </c>
      <c r="BM987" s="117" t="str">
        <f>IFERROR($AW987*$BL987,"..")</f>
        <v>..</v>
      </c>
      <c r="BN987" s="846" t="str">
        <f>IFERROR($BB987/$BM987,"..")</f>
        <v>..</v>
      </c>
      <c r="BO987" s="801" t="str">
        <f t="shared" si="163"/>
        <v>..</v>
      </c>
      <c r="BP987" s="117">
        <f>VLOOKUP($D987,'WB Data'!$C$3:$M$578,9,FALSE)</f>
        <v>38</v>
      </c>
      <c r="BQ987" s="117">
        <f>VLOOKUP($D987,'WB Data'!$C$3:$M$578,10,FALSE)</f>
        <v>70.002439024390242</v>
      </c>
      <c r="BR987" s="117">
        <f>VLOOKUP($D987,'WB Data'!$C$3:$M$578,11,FALSE)</f>
        <v>23.2</v>
      </c>
      <c r="BS987" s="129">
        <f>IFERROR(VLOOKUP($D987,'WB Data 2'!$C$2:$K$545,9,FALSE),"..")</f>
        <v>98.370930000000001</v>
      </c>
      <c r="BT987" s="129" t="str">
        <f>_xlfn.IFNA(VLOOKUP($C987,RGI!$A$2:$C$43,2,FALSE),"..")</f>
        <v>..</v>
      </c>
      <c r="BU987" s="129" t="str">
        <f>_xlfn.IFNA(VLOOKUP($C987,RGI!$A$2:$C$43,3,FALSE),"..")</f>
        <v>..</v>
      </c>
      <c r="BV987" s="129">
        <f>VLOOKUP($D987,WGI!$C$2:$O$478,7,FALSE)</f>
        <v>-0.63880197540335404</v>
      </c>
      <c r="BW987" s="129">
        <f>VLOOKUP($D987,WGI!$C$2:$O$478,4,FALSE)</f>
        <v>-0.88911325472912595</v>
      </c>
      <c r="BX987" s="129">
        <f>VLOOKUP($D987,WGI!$C$2:$O$478,3,FALSE)</f>
        <v>-0.65869903860661405</v>
      </c>
      <c r="BY987" s="129">
        <f>VLOOKUP($D987,WGI!$C$2:$O$478,5,FALSE)</f>
        <v>-0.34552718722248699</v>
      </c>
      <c r="BZ987" s="129">
        <f>VLOOKUP($D987,WGI!$C$2:$O$478,2,FALSE)</f>
        <v>-1.0902106656717001</v>
      </c>
      <c r="CB987" s="129"/>
    </row>
    <row r="988" spans="1:80" s="120" customFormat="1" ht="15" customHeight="1">
      <c r="A988" s="294" t="s">
        <v>297</v>
      </c>
      <c r="B988" s="117">
        <v>2012</v>
      </c>
      <c r="C988" s="117" t="s">
        <v>285</v>
      </c>
      <c r="D988" s="117" t="s">
        <v>3737</v>
      </c>
      <c r="E988" s="452" t="s">
        <v>39</v>
      </c>
      <c r="F988" s="117"/>
      <c r="G988" s="117" t="s">
        <v>24</v>
      </c>
      <c r="H988" s="117" t="str">
        <f t="shared" si="171"/>
        <v>yes</v>
      </c>
      <c r="I988" s="117" t="str">
        <f t="shared" si="168"/>
        <v>no</v>
      </c>
      <c r="J988" s="117" t="str">
        <f t="shared" si="169"/>
        <v>no</v>
      </c>
      <c r="K988" s="117" t="s">
        <v>1538</v>
      </c>
      <c r="L988" s="117" t="str">
        <f t="shared" si="172"/>
        <v>detailed</v>
      </c>
      <c r="M988" s="117" t="str">
        <f t="shared" si="170"/>
        <v>detailed Mining</v>
      </c>
      <c r="N988" s="118">
        <v>1200</v>
      </c>
      <c r="O988" s="118"/>
      <c r="P988" s="118"/>
      <c r="Q988" s="118"/>
      <c r="R988" s="118"/>
      <c r="S988" s="117" t="s">
        <v>610</v>
      </c>
      <c r="T988" s="119"/>
      <c r="U988" s="117"/>
      <c r="V988" s="117" t="s">
        <v>684</v>
      </c>
      <c r="W988" s="89"/>
      <c r="X988" s="117"/>
      <c r="Y988" s="117"/>
      <c r="Z988" s="117"/>
      <c r="AA988" s="177"/>
      <c r="AB988" s="177"/>
      <c r="AC988" s="122"/>
      <c r="AD988" s="122"/>
      <c r="AE988" s="122"/>
      <c r="AF988" s="123"/>
      <c r="AG988" s="117"/>
      <c r="AH988" s="124"/>
      <c r="AI988" s="117"/>
      <c r="AJ988" s="117"/>
      <c r="AK988" s="89"/>
      <c r="AL988" s="117"/>
      <c r="AM988" s="117"/>
      <c r="AN988" s="117"/>
      <c r="AO988" s="117"/>
      <c r="AP988" s="117"/>
      <c r="AQ988" s="117"/>
      <c r="AR988" s="126"/>
      <c r="AS988" s="117"/>
      <c r="AT988" s="117"/>
      <c r="AU988" s="117"/>
      <c r="AV988" s="128"/>
      <c r="AW988" s="117">
        <f>VLOOKUP($D988,'WB Data'!$C$3:$M$578,2,FALSE)</f>
        <v>6605139933.4106312</v>
      </c>
      <c r="AX988" s="117">
        <f>VLOOKUP($D988,'WB Data'!$C$3:$M$578,3,FALSE)</f>
        <v>5607200</v>
      </c>
      <c r="AY988" s="847">
        <f t="shared" si="164"/>
        <v>3.2899669680092815E-2</v>
      </c>
      <c r="AZ988" s="117">
        <f>VLOOKUP($D988,'WB Data'!$C$3:$M$578,4,FALSE)/100</f>
        <v>0.23155222721069549</v>
      </c>
      <c r="BA988" s="117">
        <f t="shared" si="165"/>
        <v>1529434862.6195366</v>
      </c>
      <c r="BB988" s="129">
        <f>IFERROR(VLOOKUP($D988,'EITI Revenues'!$C$2:$G$224,5,FALSE),"..")</f>
        <v>217306922</v>
      </c>
      <c r="BC988" s="846">
        <f t="shared" si="166"/>
        <v>0.14208314934563998</v>
      </c>
      <c r="BD988" s="129">
        <f>VLOOKUP($D988,'WB Data 2'!$C$2:$K$545,6,FALSE)</f>
        <v>568644822.96004164</v>
      </c>
      <c r="BE988" s="129" t="str">
        <f>IFERROR(VLOOKUP($D988,UNCTAD!$C$5:$V$529,4,FALSE),"..")</f>
        <v>..</v>
      </c>
      <c r="BF988" s="846" t="str">
        <f t="shared" si="167"/>
        <v>..</v>
      </c>
      <c r="BG988" s="117">
        <f>VLOOKUP($D988,'WB Data'!$C$3:$M$578,5,FALSE)</f>
        <v>472910000</v>
      </c>
      <c r="BH988" s="129">
        <f>IFERROR($BB988/$BG988,"..")</f>
        <v>0.45951010128777148</v>
      </c>
      <c r="BI988" s="117" t="str">
        <f>IFERROR(VLOOKUP($D988,'WB Data'!$C$3:$M$578,7,FALSE)/100,"..")</f>
        <v>..</v>
      </c>
      <c r="BJ988" s="117" t="str">
        <f>IFERROR($BI988*$AW988,"..")</f>
        <v>..</v>
      </c>
      <c r="BK988" s="846" t="str">
        <f>IFERROR($BB988/$BJ988,"..")</f>
        <v>..</v>
      </c>
      <c r="BL988" s="117" t="str">
        <f>IFERROR(VLOOKUP($D988,'WB Data'!$C$3:$M$578,7,FALSE)/100,"..")</f>
        <v>..</v>
      </c>
      <c r="BM988" s="117" t="str">
        <f>IFERROR($AW988*$BL988,"..")</f>
        <v>..</v>
      </c>
      <c r="BN988" s="846" t="str">
        <f>IFERROR($BB988/$BM988,"..")</f>
        <v>..</v>
      </c>
      <c r="BO988" s="801" t="str">
        <f t="shared" si="163"/>
        <v>..</v>
      </c>
      <c r="BP988" s="117">
        <f>VLOOKUP($D988,'WB Data'!$C$3:$M$578,9,FALSE)</f>
        <v>38</v>
      </c>
      <c r="BQ988" s="117">
        <f>VLOOKUP($D988,'WB Data'!$C$3:$M$578,10,FALSE)</f>
        <v>70.002439024390242</v>
      </c>
      <c r="BR988" s="117">
        <f>VLOOKUP($D988,'WB Data'!$C$3:$M$578,11,FALSE)</f>
        <v>23.2</v>
      </c>
      <c r="BS988" s="129">
        <f>IFERROR(VLOOKUP($D988,'WB Data 2'!$C$2:$K$545,9,FALSE),"..")</f>
        <v>98.370930000000001</v>
      </c>
      <c r="BT988" s="129" t="str">
        <f>_xlfn.IFNA(VLOOKUP($C988,RGI!$A$2:$C$43,2,FALSE),"..")</f>
        <v>..</v>
      </c>
      <c r="BU988" s="129" t="str">
        <f>_xlfn.IFNA(VLOOKUP($C988,RGI!$A$2:$C$43,3,FALSE),"..")</f>
        <v>..</v>
      </c>
      <c r="BV988" s="129">
        <f>VLOOKUP($D988,WGI!$C$2:$O$478,7,FALSE)</f>
        <v>-0.63880197540335404</v>
      </c>
      <c r="BW988" s="129">
        <f>VLOOKUP($D988,WGI!$C$2:$O$478,4,FALSE)</f>
        <v>-0.88911325472912595</v>
      </c>
      <c r="BX988" s="129">
        <f>VLOOKUP($D988,WGI!$C$2:$O$478,3,FALSE)</f>
        <v>-0.65869903860661405</v>
      </c>
      <c r="BY988" s="129">
        <f>VLOOKUP($D988,WGI!$C$2:$O$478,5,FALSE)</f>
        <v>-0.34552718722248699</v>
      </c>
      <c r="BZ988" s="129">
        <f>VLOOKUP($D988,WGI!$C$2:$O$478,2,FALSE)</f>
        <v>-1.0902106656717001</v>
      </c>
      <c r="CB988" s="129"/>
    </row>
    <row r="989" spans="1:80" s="120" customFormat="1" ht="15" customHeight="1">
      <c r="A989" s="294" t="s">
        <v>297</v>
      </c>
      <c r="B989" s="117">
        <v>2012</v>
      </c>
      <c r="C989" s="117" t="s">
        <v>285</v>
      </c>
      <c r="D989" s="117" t="s">
        <v>3737</v>
      </c>
      <c r="E989" s="452" t="s">
        <v>39</v>
      </c>
      <c r="F989" s="117"/>
      <c r="G989" s="117" t="s">
        <v>24</v>
      </c>
      <c r="H989" s="117" t="str">
        <f t="shared" si="171"/>
        <v>yes</v>
      </c>
      <c r="I989" s="117" t="str">
        <f t="shared" si="168"/>
        <v>no</v>
      </c>
      <c r="J989" s="117" t="str">
        <f t="shared" si="169"/>
        <v>no</v>
      </c>
      <c r="K989" s="117" t="s">
        <v>1584</v>
      </c>
      <c r="L989" s="117" t="str">
        <f t="shared" si="172"/>
        <v>detailed</v>
      </c>
      <c r="M989" s="117" t="str">
        <f t="shared" si="170"/>
        <v>detailed Mining</v>
      </c>
      <c r="N989" s="118">
        <v>0</v>
      </c>
      <c r="O989" s="118"/>
      <c r="P989" s="118"/>
      <c r="Q989" s="118"/>
      <c r="R989" s="118"/>
      <c r="S989" s="117" t="s">
        <v>610</v>
      </c>
      <c r="T989" s="119"/>
      <c r="U989" s="117"/>
      <c r="V989" s="117" t="s">
        <v>684</v>
      </c>
      <c r="W989" s="89">
        <f>N989*T989</f>
        <v>0</v>
      </c>
      <c r="X989" s="117"/>
      <c r="Y989" s="117"/>
      <c r="Z989" s="117"/>
      <c r="AA989" s="177"/>
      <c r="AB989" s="177"/>
      <c r="AC989" s="122"/>
      <c r="AD989" s="122"/>
      <c r="AE989" s="122"/>
      <c r="AF989" s="123"/>
      <c r="AG989" s="117"/>
      <c r="AH989" s="124"/>
      <c r="AJ989" s="492"/>
      <c r="AK989" s="89"/>
      <c r="AL989" s="117"/>
      <c r="AM989" s="117"/>
      <c r="AN989" s="117"/>
      <c r="AO989" s="117"/>
      <c r="AP989" s="117"/>
      <c r="AQ989" s="117"/>
      <c r="AR989" s="126"/>
      <c r="AS989" s="117"/>
      <c r="AT989" s="117"/>
      <c r="AU989" s="117"/>
      <c r="AV989" s="128"/>
      <c r="AW989" s="117">
        <f>VLOOKUP($D989,'WB Data'!$C$3:$M$578,2,FALSE)</f>
        <v>6605139933.4106312</v>
      </c>
      <c r="AX989" s="117">
        <f>VLOOKUP($D989,'WB Data'!$C$3:$M$578,3,FALSE)</f>
        <v>5607200</v>
      </c>
      <c r="AY989" s="847">
        <f t="shared" si="164"/>
        <v>3.2899669680092815E-2</v>
      </c>
      <c r="AZ989" s="117">
        <f>VLOOKUP($D989,'WB Data'!$C$3:$M$578,4,FALSE)/100</f>
        <v>0.23155222721069549</v>
      </c>
      <c r="BA989" s="117">
        <f t="shared" si="165"/>
        <v>1529434862.6195366</v>
      </c>
      <c r="BB989" s="129">
        <f>IFERROR(VLOOKUP($D989,'EITI Revenues'!$C$2:$G$224,5,FALSE),"..")</f>
        <v>217306922</v>
      </c>
      <c r="BC989" s="846">
        <f t="shared" si="166"/>
        <v>0.14208314934563998</v>
      </c>
      <c r="BD989" s="129">
        <f>VLOOKUP($D989,'WB Data 2'!$C$2:$K$545,6,FALSE)</f>
        <v>568644822.96004164</v>
      </c>
      <c r="BE989" s="129" t="str">
        <f>IFERROR(VLOOKUP($D989,UNCTAD!$C$5:$V$529,4,FALSE),"..")</f>
        <v>..</v>
      </c>
      <c r="BF989" s="846" t="str">
        <f t="shared" si="167"/>
        <v>..</v>
      </c>
      <c r="BG989" s="117">
        <f>VLOOKUP($D989,'WB Data'!$C$3:$M$578,5,FALSE)</f>
        <v>472910000</v>
      </c>
      <c r="BH989" s="129">
        <f>IFERROR($BB989/$BG989,"..")</f>
        <v>0.45951010128777148</v>
      </c>
      <c r="BI989" s="117" t="str">
        <f>IFERROR(VLOOKUP($D989,'WB Data'!$C$3:$M$578,7,FALSE)/100,"..")</f>
        <v>..</v>
      </c>
      <c r="BJ989" s="117" t="str">
        <f>IFERROR($BI989*$AW989,"..")</f>
        <v>..</v>
      </c>
      <c r="BK989" s="846" t="str">
        <f>IFERROR($BB989/$BJ989,"..")</f>
        <v>..</v>
      </c>
      <c r="BL989" s="117" t="str">
        <f>IFERROR(VLOOKUP($D989,'WB Data'!$C$3:$M$578,7,FALSE)/100,"..")</f>
        <v>..</v>
      </c>
      <c r="BM989" s="117" t="str">
        <f>IFERROR($AW989*$BL989,"..")</f>
        <v>..</v>
      </c>
      <c r="BN989" s="846" t="str">
        <f>IFERROR($BB989/$BM989,"..")</f>
        <v>..</v>
      </c>
      <c r="BO989" s="801" t="str">
        <f t="shared" si="163"/>
        <v>..</v>
      </c>
      <c r="BP989" s="117">
        <f>VLOOKUP($D989,'WB Data'!$C$3:$M$578,9,FALSE)</f>
        <v>38</v>
      </c>
      <c r="BQ989" s="117">
        <f>VLOOKUP($D989,'WB Data'!$C$3:$M$578,10,FALSE)</f>
        <v>70.002439024390242</v>
      </c>
      <c r="BR989" s="117">
        <f>VLOOKUP($D989,'WB Data'!$C$3:$M$578,11,FALSE)</f>
        <v>23.2</v>
      </c>
      <c r="BS989" s="129">
        <f>IFERROR(VLOOKUP($D989,'WB Data 2'!$C$2:$K$545,9,FALSE),"..")</f>
        <v>98.370930000000001</v>
      </c>
      <c r="BT989" s="129" t="str">
        <f>_xlfn.IFNA(VLOOKUP($C989,RGI!$A$2:$C$43,2,FALSE),"..")</f>
        <v>..</v>
      </c>
      <c r="BU989" s="129" t="str">
        <f>_xlfn.IFNA(VLOOKUP($C989,RGI!$A$2:$C$43,3,FALSE),"..")</f>
        <v>..</v>
      </c>
      <c r="BV989" s="129">
        <f>VLOOKUP($D989,WGI!$C$2:$O$478,7,FALSE)</f>
        <v>-0.63880197540335404</v>
      </c>
      <c r="BW989" s="129">
        <f>VLOOKUP($D989,WGI!$C$2:$O$478,4,FALSE)</f>
        <v>-0.88911325472912595</v>
      </c>
      <c r="BX989" s="129">
        <f>VLOOKUP($D989,WGI!$C$2:$O$478,3,FALSE)</f>
        <v>-0.65869903860661405</v>
      </c>
      <c r="BY989" s="129">
        <f>VLOOKUP($D989,WGI!$C$2:$O$478,5,FALSE)</f>
        <v>-0.34552718722248699</v>
      </c>
      <c r="BZ989" s="129">
        <f>VLOOKUP($D989,WGI!$C$2:$O$478,2,FALSE)</f>
        <v>-1.0902106656717001</v>
      </c>
      <c r="CB989" s="129"/>
    </row>
    <row r="990" spans="1:80" s="120" customFormat="1" ht="15" customHeight="1">
      <c r="A990" s="294" t="s">
        <v>297</v>
      </c>
      <c r="B990" s="117">
        <v>2012</v>
      </c>
      <c r="C990" s="117" t="s">
        <v>285</v>
      </c>
      <c r="D990" s="117" t="s">
        <v>3737</v>
      </c>
      <c r="E990" s="452" t="s">
        <v>39</v>
      </c>
      <c r="F990" s="117"/>
      <c r="G990" s="117" t="s">
        <v>24</v>
      </c>
      <c r="H990" s="117" t="str">
        <f t="shared" si="171"/>
        <v>yes</v>
      </c>
      <c r="I990" s="117" t="str">
        <f t="shared" si="168"/>
        <v>no</v>
      </c>
      <c r="J990" s="117" t="str">
        <f t="shared" si="169"/>
        <v>no</v>
      </c>
      <c r="K990" s="117" t="s">
        <v>1545</v>
      </c>
      <c r="L990" s="117" t="str">
        <f t="shared" si="172"/>
        <v>detailed</v>
      </c>
      <c r="M990" s="117" t="str">
        <f t="shared" si="170"/>
        <v>detailed Mining</v>
      </c>
      <c r="N990" s="118">
        <v>74.7</v>
      </c>
      <c r="O990" s="118"/>
      <c r="P990" s="118"/>
      <c r="Q990" s="118"/>
      <c r="R990" s="118"/>
      <c r="S990" s="117" t="s">
        <v>610</v>
      </c>
      <c r="T990" s="119">
        <f>1850/0.035</f>
        <v>52857.142857142855</v>
      </c>
      <c r="U990" s="117" t="s">
        <v>611</v>
      </c>
      <c r="V990" s="117" t="s">
        <v>1546</v>
      </c>
      <c r="W990" s="89">
        <f>N990*T990</f>
        <v>3948428.5714285714</v>
      </c>
      <c r="X990" s="117"/>
      <c r="Y990" s="117"/>
      <c r="Z990" s="117"/>
      <c r="AA990" s="177"/>
      <c r="AB990" s="177"/>
      <c r="AC990" s="122"/>
      <c r="AD990" s="122"/>
      <c r="AE990" s="122"/>
      <c r="AF990" s="123"/>
      <c r="AG990" s="117"/>
      <c r="AH990" s="124"/>
      <c r="AJ990" s="492"/>
      <c r="AK990" s="89"/>
      <c r="AL990" s="117"/>
      <c r="AM990" s="117"/>
      <c r="AN990" s="117"/>
      <c r="AO990" s="117"/>
      <c r="AP990" s="117"/>
      <c r="AQ990" s="117"/>
      <c r="AR990" s="126"/>
      <c r="AS990" s="117"/>
      <c r="AT990" s="117"/>
      <c r="AU990" s="117"/>
      <c r="AV990" s="128"/>
      <c r="AW990" s="117">
        <f>VLOOKUP($D990,'WB Data'!$C$3:$M$578,2,FALSE)</f>
        <v>6605139933.4106312</v>
      </c>
      <c r="AX990" s="117">
        <f>VLOOKUP($D990,'WB Data'!$C$3:$M$578,3,FALSE)</f>
        <v>5607200</v>
      </c>
      <c r="AY990" s="847">
        <f t="shared" si="164"/>
        <v>3.2899669680092815E-2</v>
      </c>
      <c r="AZ990" s="117">
        <f>VLOOKUP($D990,'WB Data'!$C$3:$M$578,4,FALSE)/100</f>
        <v>0.23155222721069549</v>
      </c>
      <c r="BA990" s="117">
        <f t="shared" si="165"/>
        <v>1529434862.6195366</v>
      </c>
      <c r="BB990" s="129">
        <f>IFERROR(VLOOKUP($D990,'EITI Revenues'!$C$2:$G$224,5,FALSE),"..")</f>
        <v>217306922</v>
      </c>
      <c r="BC990" s="846">
        <f t="shared" si="166"/>
        <v>0.14208314934563998</v>
      </c>
      <c r="BD990" s="129">
        <f>VLOOKUP($D990,'WB Data 2'!$C$2:$K$545,6,FALSE)</f>
        <v>568644822.96004164</v>
      </c>
      <c r="BE990" s="129" t="str">
        <f>IFERROR(VLOOKUP($D990,UNCTAD!$C$5:$V$529,4,FALSE),"..")</f>
        <v>..</v>
      </c>
      <c r="BF990" s="846" t="str">
        <f t="shared" si="167"/>
        <v>..</v>
      </c>
      <c r="BG990" s="117">
        <f>VLOOKUP($D990,'WB Data'!$C$3:$M$578,5,FALSE)</f>
        <v>472910000</v>
      </c>
      <c r="BH990" s="129">
        <f>IFERROR($BB990/$BG990,"..")</f>
        <v>0.45951010128777148</v>
      </c>
      <c r="BI990" s="117" t="str">
        <f>IFERROR(VLOOKUP($D990,'WB Data'!$C$3:$M$578,7,FALSE)/100,"..")</f>
        <v>..</v>
      </c>
      <c r="BJ990" s="117" t="str">
        <f>IFERROR($BI990*$AW990,"..")</f>
        <v>..</v>
      </c>
      <c r="BK990" s="846" t="str">
        <f>IFERROR($BB990/$BJ990,"..")</f>
        <v>..</v>
      </c>
      <c r="BL990" s="117" t="str">
        <f>IFERROR(VLOOKUP($D990,'WB Data'!$C$3:$M$578,7,FALSE)/100,"..")</f>
        <v>..</v>
      </c>
      <c r="BM990" s="117" t="str">
        <f>IFERROR($AW990*$BL990,"..")</f>
        <v>..</v>
      </c>
      <c r="BN990" s="846" t="str">
        <f>IFERROR($BB990/$BM990,"..")</f>
        <v>..</v>
      </c>
      <c r="BO990" s="801" t="str">
        <f t="shared" si="163"/>
        <v>..</v>
      </c>
      <c r="BP990" s="117">
        <f>VLOOKUP($D990,'WB Data'!$C$3:$M$578,9,FALSE)</f>
        <v>38</v>
      </c>
      <c r="BQ990" s="117">
        <f>VLOOKUP($D990,'WB Data'!$C$3:$M$578,10,FALSE)</f>
        <v>70.002439024390242</v>
      </c>
      <c r="BR990" s="117">
        <f>VLOOKUP($D990,'WB Data'!$C$3:$M$578,11,FALSE)</f>
        <v>23.2</v>
      </c>
      <c r="BS990" s="129">
        <f>IFERROR(VLOOKUP($D990,'WB Data 2'!$C$2:$K$545,9,FALSE),"..")</f>
        <v>98.370930000000001</v>
      </c>
      <c r="BT990" s="129" t="str">
        <f>_xlfn.IFNA(VLOOKUP($C990,RGI!$A$2:$C$43,2,FALSE),"..")</f>
        <v>..</v>
      </c>
      <c r="BU990" s="129" t="str">
        <f>_xlfn.IFNA(VLOOKUP($C990,RGI!$A$2:$C$43,3,FALSE),"..")</f>
        <v>..</v>
      </c>
      <c r="BV990" s="129">
        <f>VLOOKUP($D990,WGI!$C$2:$O$478,7,FALSE)</f>
        <v>-0.63880197540335404</v>
      </c>
      <c r="BW990" s="129">
        <f>VLOOKUP($D990,WGI!$C$2:$O$478,4,FALSE)</f>
        <v>-0.88911325472912595</v>
      </c>
      <c r="BX990" s="129">
        <f>VLOOKUP($D990,WGI!$C$2:$O$478,3,FALSE)</f>
        <v>-0.65869903860661405</v>
      </c>
      <c r="BY990" s="129">
        <f>VLOOKUP($D990,WGI!$C$2:$O$478,5,FALSE)</f>
        <v>-0.34552718722248699</v>
      </c>
      <c r="BZ990" s="129">
        <f>VLOOKUP($D990,WGI!$C$2:$O$478,2,FALSE)</f>
        <v>-1.0902106656717001</v>
      </c>
      <c r="CB990" s="129"/>
    </row>
    <row r="991" spans="1:80" s="120" customFormat="1" ht="15" customHeight="1">
      <c r="A991" s="294" t="s">
        <v>297</v>
      </c>
      <c r="B991" s="117">
        <v>2012</v>
      </c>
      <c r="C991" s="117" t="s">
        <v>285</v>
      </c>
      <c r="D991" s="117" t="s">
        <v>3737</v>
      </c>
      <c r="E991" s="452" t="s">
        <v>39</v>
      </c>
      <c r="F991" s="117"/>
      <c r="G991" s="117" t="s">
        <v>24</v>
      </c>
      <c r="H991" s="117" t="str">
        <f t="shared" si="171"/>
        <v>yes</v>
      </c>
      <c r="I991" s="117" t="str">
        <f t="shared" si="168"/>
        <v>no</v>
      </c>
      <c r="J991" s="117" t="str">
        <f t="shared" si="169"/>
        <v>no</v>
      </c>
      <c r="K991" s="117" t="s">
        <v>1569</v>
      </c>
      <c r="L991" s="117" t="str">
        <f t="shared" si="172"/>
        <v>detailed</v>
      </c>
      <c r="M991" s="117" t="str">
        <f t="shared" si="170"/>
        <v>detailed Mining</v>
      </c>
      <c r="N991" s="118"/>
      <c r="O991" s="118"/>
      <c r="P991" s="118"/>
      <c r="Q991" s="118"/>
      <c r="R991" s="118"/>
      <c r="S991" s="117"/>
      <c r="T991" s="119"/>
      <c r="U991" s="117"/>
      <c r="V991" s="117"/>
      <c r="W991" s="89"/>
      <c r="X991" s="117"/>
      <c r="Y991" s="117"/>
      <c r="Z991" s="117"/>
      <c r="AA991" s="177"/>
      <c r="AB991" s="177"/>
      <c r="AC991" s="122"/>
      <c r="AD991" s="122"/>
      <c r="AE991" s="122"/>
      <c r="AF991" s="123"/>
      <c r="AG991" s="117"/>
      <c r="AH991" s="124"/>
      <c r="AI991" s="117"/>
      <c r="AJ991" s="117"/>
      <c r="AK991" s="89"/>
      <c r="AL991" s="117"/>
      <c r="AM991" s="117"/>
      <c r="AN991" s="117"/>
      <c r="AO991" s="117"/>
      <c r="AP991" s="117"/>
      <c r="AQ991" s="117"/>
      <c r="AR991" s="126"/>
      <c r="AS991" s="117"/>
      <c r="AT991" s="117"/>
      <c r="AU991" s="117"/>
      <c r="AV991" s="128"/>
      <c r="AW991" s="117">
        <f>VLOOKUP($D991,'WB Data'!$C$3:$M$578,2,FALSE)</f>
        <v>6605139933.4106312</v>
      </c>
      <c r="AX991" s="117">
        <f>VLOOKUP($D991,'WB Data'!$C$3:$M$578,3,FALSE)</f>
        <v>5607200</v>
      </c>
      <c r="AY991" s="847">
        <f t="shared" si="164"/>
        <v>3.2899669680092815E-2</v>
      </c>
      <c r="AZ991" s="117">
        <f>VLOOKUP($D991,'WB Data'!$C$3:$M$578,4,FALSE)/100</f>
        <v>0.23155222721069549</v>
      </c>
      <c r="BA991" s="117">
        <f t="shared" si="165"/>
        <v>1529434862.6195366</v>
      </c>
      <c r="BB991" s="129">
        <f>IFERROR(VLOOKUP($D991,'EITI Revenues'!$C$2:$G$224,5,FALSE),"..")</f>
        <v>217306922</v>
      </c>
      <c r="BC991" s="846">
        <f t="shared" si="166"/>
        <v>0.14208314934563998</v>
      </c>
      <c r="BD991" s="129">
        <f>VLOOKUP($D991,'WB Data 2'!$C$2:$K$545,6,FALSE)</f>
        <v>568644822.96004164</v>
      </c>
      <c r="BE991" s="129" t="str">
        <f>IFERROR(VLOOKUP($D991,UNCTAD!$C$5:$V$529,4,FALSE),"..")</f>
        <v>..</v>
      </c>
      <c r="BF991" s="846" t="str">
        <f t="shared" si="167"/>
        <v>..</v>
      </c>
      <c r="BG991" s="117">
        <f>VLOOKUP($D991,'WB Data'!$C$3:$M$578,5,FALSE)</f>
        <v>472910000</v>
      </c>
      <c r="BH991" s="129">
        <f>IFERROR($BB991/$BG991,"..")</f>
        <v>0.45951010128777148</v>
      </c>
      <c r="BI991" s="117" t="str">
        <f>IFERROR(VLOOKUP($D991,'WB Data'!$C$3:$M$578,7,FALSE)/100,"..")</f>
        <v>..</v>
      </c>
      <c r="BJ991" s="117" t="str">
        <f>IFERROR($BI991*$AW991,"..")</f>
        <v>..</v>
      </c>
      <c r="BK991" s="846" t="str">
        <f>IFERROR($BB991/$BJ991,"..")</f>
        <v>..</v>
      </c>
      <c r="BL991" s="117" t="str">
        <f>IFERROR(VLOOKUP($D991,'WB Data'!$C$3:$M$578,7,FALSE)/100,"..")</f>
        <v>..</v>
      </c>
      <c r="BM991" s="117" t="str">
        <f>IFERROR($AW991*$BL991,"..")</f>
        <v>..</v>
      </c>
      <c r="BN991" s="846" t="str">
        <f>IFERROR($BB991/$BM991,"..")</f>
        <v>..</v>
      </c>
      <c r="BO991" s="801" t="str">
        <f t="shared" si="163"/>
        <v>..</v>
      </c>
      <c r="BP991" s="117">
        <f>VLOOKUP($D991,'WB Data'!$C$3:$M$578,9,FALSE)</f>
        <v>38</v>
      </c>
      <c r="BQ991" s="117">
        <f>VLOOKUP($D991,'WB Data'!$C$3:$M$578,10,FALSE)</f>
        <v>70.002439024390242</v>
      </c>
      <c r="BR991" s="117">
        <f>VLOOKUP($D991,'WB Data'!$C$3:$M$578,11,FALSE)</f>
        <v>23.2</v>
      </c>
      <c r="BS991" s="129">
        <f>IFERROR(VLOOKUP($D991,'WB Data 2'!$C$2:$K$545,9,FALSE),"..")</f>
        <v>98.370930000000001</v>
      </c>
      <c r="BT991" s="129" t="str">
        <f>_xlfn.IFNA(VLOOKUP($C991,RGI!$A$2:$C$43,2,FALSE),"..")</f>
        <v>..</v>
      </c>
      <c r="BU991" s="129" t="str">
        <f>_xlfn.IFNA(VLOOKUP($C991,RGI!$A$2:$C$43,3,FALSE),"..")</f>
        <v>..</v>
      </c>
      <c r="BV991" s="129">
        <f>VLOOKUP($D991,WGI!$C$2:$O$478,7,FALSE)</f>
        <v>-0.63880197540335404</v>
      </c>
      <c r="BW991" s="129">
        <f>VLOOKUP($D991,WGI!$C$2:$O$478,4,FALSE)</f>
        <v>-0.88911325472912595</v>
      </c>
      <c r="BX991" s="129">
        <f>VLOOKUP($D991,WGI!$C$2:$O$478,3,FALSE)</f>
        <v>-0.65869903860661405</v>
      </c>
      <c r="BY991" s="129">
        <f>VLOOKUP($D991,WGI!$C$2:$O$478,5,FALSE)</f>
        <v>-0.34552718722248699</v>
      </c>
      <c r="BZ991" s="129">
        <f>VLOOKUP($D991,WGI!$C$2:$O$478,2,FALSE)</f>
        <v>-1.0902106656717001</v>
      </c>
      <c r="CB991" s="129"/>
    </row>
    <row r="992" spans="1:80" s="120" customFormat="1" ht="15" customHeight="1">
      <c r="A992" s="294" t="s">
        <v>297</v>
      </c>
      <c r="B992" s="117">
        <v>2012</v>
      </c>
      <c r="C992" s="117" t="s">
        <v>285</v>
      </c>
      <c r="D992" s="117" t="s">
        <v>3737</v>
      </c>
      <c r="E992" s="452" t="s">
        <v>39</v>
      </c>
      <c r="F992" s="117"/>
      <c r="G992" s="117" t="s">
        <v>24</v>
      </c>
      <c r="H992" s="117" t="str">
        <f t="shared" si="171"/>
        <v>yes</v>
      </c>
      <c r="I992" s="117" t="str">
        <f t="shared" si="168"/>
        <v>no</v>
      </c>
      <c r="J992" s="117" t="str">
        <f t="shared" si="169"/>
        <v>no</v>
      </c>
      <c r="K992" s="117" t="s">
        <v>1539</v>
      </c>
      <c r="L992" s="117" t="str">
        <f t="shared" si="172"/>
        <v>detailed</v>
      </c>
      <c r="M992" s="117" t="str">
        <f t="shared" si="170"/>
        <v>detailed Mining</v>
      </c>
      <c r="N992" s="118">
        <v>1800</v>
      </c>
      <c r="O992" s="118"/>
      <c r="P992" s="118"/>
      <c r="Q992" s="118"/>
      <c r="R992" s="118"/>
      <c r="S992" s="117" t="s">
        <v>610</v>
      </c>
      <c r="T992" s="119"/>
      <c r="U992" s="117"/>
      <c r="V992" s="117" t="s">
        <v>684</v>
      </c>
      <c r="W992" s="89"/>
      <c r="X992" s="117"/>
      <c r="Y992" s="117"/>
      <c r="Z992" s="117"/>
      <c r="AA992" s="177"/>
      <c r="AB992" s="177"/>
      <c r="AC992" s="122"/>
      <c r="AD992" s="122"/>
      <c r="AE992" s="122"/>
      <c r="AF992" s="123"/>
      <c r="AG992" s="117"/>
      <c r="AH992" s="124"/>
      <c r="AI992" s="117"/>
      <c r="AJ992" s="117"/>
      <c r="AK992" s="89"/>
      <c r="AL992" s="117"/>
      <c r="AM992" s="117"/>
      <c r="AN992" s="117"/>
      <c r="AO992" s="117"/>
      <c r="AP992" s="117"/>
      <c r="AQ992" s="117"/>
      <c r="AR992" s="126"/>
      <c r="AS992" s="117"/>
      <c r="AT992" s="117"/>
      <c r="AU992" s="117"/>
      <c r="AV992" s="128" t="s">
        <v>1585</v>
      </c>
      <c r="AW992" s="117">
        <f>VLOOKUP($D992,'WB Data'!$C$3:$M$578,2,FALSE)</f>
        <v>6605139933.4106312</v>
      </c>
      <c r="AX992" s="117">
        <f>VLOOKUP($D992,'WB Data'!$C$3:$M$578,3,FALSE)</f>
        <v>5607200</v>
      </c>
      <c r="AY992" s="847">
        <f t="shared" si="164"/>
        <v>3.2899669680092815E-2</v>
      </c>
      <c r="AZ992" s="117">
        <f>VLOOKUP($D992,'WB Data'!$C$3:$M$578,4,FALSE)/100</f>
        <v>0.23155222721069549</v>
      </c>
      <c r="BA992" s="117">
        <f t="shared" si="165"/>
        <v>1529434862.6195366</v>
      </c>
      <c r="BB992" s="129">
        <f>IFERROR(VLOOKUP($D992,'EITI Revenues'!$C$2:$G$224,5,FALSE),"..")</f>
        <v>217306922</v>
      </c>
      <c r="BC992" s="846">
        <f t="shared" si="166"/>
        <v>0.14208314934563998</v>
      </c>
      <c r="BD992" s="129">
        <f>VLOOKUP($D992,'WB Data 2'!$C$2:$K$545,6,FALSE)</f>
        <v>568644822.96004164</v>
      </c>
      <c r="BE992" s="129" t="str">
        <f>IFERROR(VLOOKUP($D992,UNCTAD!$C$5:$V$529,4,FALSE),"..")</f>
        <v>..</v>
      </c>
      <c r="BF992" s="846" t="str">
        <f t="shared" si="167"/>
        <v>..</v>
      </c>
      <c r="BG992" s="117">
        <f>VLOOKUP($D992,'WB Data'!$C$3:$M$578,5,FALSE)</f>
        <v>472910000</v>
      </c>
      <c r="BH992" s="129">
        <f>IFERROR($BB992/$BG992,"..")</f>
        <v>0.45951010128777148</v>
      </c>
      <c r="BI992" s="117" t="str">
        <f>IFERROR(VLOOKUP($D992,'WB Data'!$C$3:$M$578,7,FALSE)/100,"..")</f>
        <v>..</v>
      </c>
      <c r="BJ992" s="117" t="str">
        <f>IFERROR($BI992*$AW992,"..")</f>
        <v>..</v>
      </c>
      <c r="BK992" s="846" t="str">
        <f>IFERROR($BB992/$BJ992,"..")</f>
        <v>..</v>
      </c>
      <c r="BL992" s="117" t="str">
        <f>IFERROR(VLOOKUP($D992,'WB Data'!$C$3:$M$578,7,FALSE)/100,"..")</f>
        <v>..</v>
      </c>
      <c r="BM992" s="117" t="str">
        <f>IFERROR($AW992*$BL992,"..")</f>
        <v>..</v>
      </c>
      <c r="BN992" s="846" t="str">
        <f>IFERROR($BB992/$BM992,"..")</f>
        <v>..</v>
      </c>
      <c r="BO992" s="801" t="str">
        <f t="shared" si="163"/>
        <v>..</v>
      </c>
      <c r="BP992" s="117">
        <f>VLOOKUP($D992,'WB Data'!$C$3:$M$578,9,FALSE)</f>
        <v>38</v>
      </c>
      <c r="BQ992" s="117">
        <f>VLOOKUP($D992,'WB Data'!$C$3:$M$578,10,FALSE)</f>
        <v>70.002439024390242</v>
      </c>
      <c r="BR992" s="117">
        <f>VLOOKUP($D992,'WB Data'!$C$3:$M$578,11,FALSE)</f>
        <v>23.2</v>
      </c>
      <c r="BS992" s="129">
        <f>IFERROR(VLOOKUP($D992,'WB Data 2'!$C$2:$K$545,9,FALSE),"..")</f>
        <v>98.370930000000001</v>
      </c>
      <c r="BT992" s="129" t="str">
        <f>_xlfn.IFNA(VLOOKUP($C992,RGI!$A$2:$C$43,2,FALSE),"..")</f>
        <v>..</v>
      </c>
      <c r="BU992" s="129" t="str">
        <f>_xlfn.IFNA(VLOOKUP($C992,RGI!$A$2:$C$43,3,FALSE),"..")</f>
        <v>..</v>
      </c>
      <c r="BV992" s="129">
        <f>VLOOKUP($D992,WGI!$C$2:$O$478,7,FALSE)</f>
        <v>-0.63880197540335404</v>
      </c>
      <c r="BW992" s="129">
        <f>VLOOKUP($D992,WGI!$C$2:$O$478,4,FALSE)</f>
        <v>-0.88911325472912595</v>
      </c>
      <c r="BX992" s="129">
        <f>VLOOKUP($D992,WGI!$C$2:$O$478,3,FALSE)</f>
        <v>-0.65869903860661405</v>
      </c>
      <c r="BY992" s="129">
        <f>VLOOKUP($D992,WGI!$C$2:$O$478,5,FALSE)</f>
        <v>-0.34552718722248699</v>
      </c>
      <c r="BZ992" s="129">
        <f>VLOOKUP($D992,WGI!$C$2:$O$478,2,FALSE)</f>
        <v>-1.0902106656717001</v>
      </c>
      <c r="CB992" s="129"/>
    </row>
    <row r="993" spans="1:80" s="173" customFormat="1" ht="15" customHeight="1" thickBot="1">
      <c r="A993" s="457" t="s">
        <v>297</v>
      </c>
      <c r="B993" s="164">
        <v>2012</v>
      </c>
      <c r="C993" s="164" t="s">
        <v>285</v>
      </c>
      <c r="D993" s="117" t="s">
        <v>3737</v>
      </c>
      <c r="E993" s="458" t="s">
        <v>39</v>
      </c>
      <c r="F993" s="164"/>
      <c r="G993" s="164" t="s">
        <v>24</v>
      </c>
      <c r="H993" s="164" t="str">
        <f t="shared" si="171"/>
        <v>yes</v>
      </c>
      <c r="I993" s="164" t="str">
        <f t="shared" si="168"/>
        <v>no</v>
      </c>
      <c r="J993" s="164" t="str">
        <f t="shared" si="169"/>
        <v>no</v>
      </c>
      <c r="K993" s="164" t="s">
        <v>1540</v>
      </c>
      <c r="L993" s="164" t="str">
        <f t="shared" si="172"/>
        <v>detailed</v>
      </c>
      <c r="M993" s="164" t="str">
        <f t="shared" si="170"/>
        <v>detailed Mining</v>
      </c>
      <c r="N993" s="165">
        <v>2150</v>
      </c>
      <c r="O993" s="165"/>
      <c r="P993" s="165"/>
      <c r="Q993" s="165"/>
      <c r="R993" s="165"/>
      <c r="S993" s="164" t="s">
        <v>610</v>
      </c>
      <c r="T993" s="166"/>
      <c r="U993" s="164"/>
      <c r="V993" s="164" t="s">
        <v>684</v>
      </c>
      <c r="W993" s="167"/>
      <c r="X993" s="164"/>
      <c r="Y993" s="164"/>
      <c r="Z993" s="164"/>
      <c r="AA993" s="342"/>
      <c r="AB993" s="342"/>
      <c r="AC993" s="169"/>
      <c r="AD993" s="169"/>
      <c r="AE993" s="169"/>
      <c r="AF993" s="170"/>
      <c r="AG993" s="164"/>
      <c r="AH993" s="171"/>
      <c r="AI993" s="164"/>
      <c r="AJ993" s="164"/>
      <c r="AK993" s="167"/>
      <c r="AL993" s="164"/>
      <c r="AM993" s="164"/>
      <c r="AN993" s="164"/>
      <c r="AO993" s="164"/>
      <c r="AP993" s="164"/>
      <c r="AQ993" s="164"/>
      <c r="AR993" s="249"/>
      <c r="AS993" s="164"/>
      <c r="AT993" s="164"/>
      <c r="AU993" s="164"/>
      <c r="AV993" s="172" t="s">
        <v>1585</v>
      </c>
      <c r="AW993" s="117">
        <f>VLOOKUP($D993,'WB Data'!$C$3:$M$578,2,FALSE)</f>
        <v>6605139933.4106312</v>
      </c>
      <c r="AX993" s="117">
        <f>VLOOKUP($D993,'WB Data'!$C$3:$M$578,3,FALSE)</f>
        <v>5607200</v>
      </c>
      <c r="AY993" s="847">
        <f t="shared" si="164"/>
        <v>3.2899669680092815E-2</v>
      </c>
      <c r="AZ993" s="117">
        <f>VLOOKUP($D993,'WB Data'!$C$3:$M$578,4,FALSE)/100</f>
        <v>0.23155222721069549</v>
      </c>
      <c r="BA993" s="117">
        <f t="shared" si="165"/>
        <v>1529434862.6195366</v>
      </c>
      <c r="BB993" s="129">
        <f>IFERROR(VLOOKUP($D993,'EITI Revenues'!$C$2:$G$224,5,FALSE),"..")</f>
        <v>217306922</v>
      </c>
      <c r="BC993" s="846">
        <f t="shared" si="166"/>
        <v>0.14208314934563998</v>
      </c>
      <c r="BD993" s="129">
        <f>VLOOKUP($D993,'WB Data 2'!$C$2:$K$545,6,FALSE)</f>
        <v>568644822.96004164</v>
      </c>
      <c r="BE993" s="129" t="str">
        <f>IFERROR(VLOOKUP($D993,UNCTAD!$C$5:$V$529,4,FALSE),"..")</f>
        <v>..</v>
      </c>
      <c r="BF993" s="846" t="str">
        <f t="shared" si="167"/>
        <v>..</v>
      </c>
      <c r="BG993" s="117">
        <f>VLOOKUP($D993,'WB Data'!$C$3:$M$578,5,FALSE)</f>
        <v>472910000</v>
      </c>
      <c r="BH993" s="129">
        <f>IFERROR($BB993/$BG993,"..")</f>
        <v>0.45951010128777148</v>
      </c>
      <c r="BI993" s="117" t="str">
        <f>IFERROR(VLOOKUP($D993,'WB Data'!$C$3:$M$578,7,FALSE)/100,"..")</f>
        <v>..</v>
      </c>
      <c r="BJ993" s="117" t="str">
        <f>IFERROR($BI993*$AW993,"..")</f>
        <v>..</v>
      </c>
      <c r="BK993" s="846" t="str">
        <f>IFERROR($BB993/$BJ993,"..")</f>
        <v>..</v>
      </c>
      <c r="BL993" s="117" t="str">
        <f>IFERROR(VLOOKUP($D993,'WB Data'!$C$3:$M$578,7,FALSE)/100,"..")</f>
        <v>..</v>
      </c>
      <c r="BM993" s="117" t="str">
        <f>IFERROR($AW993*$BL993,"..")</f>
        <v>..</v>
      </c>
      <c r="BN993" s="846" t="str">
        <f>IFERROR($BB993/$BM993,"..")</f>
        <v>..</v>
      </c>
      <c r="BO993" s="801" t="str">
        <f t="shared" si="163"/>
        <v>..</v>
      </c>
      <c r="BP993" s="117">
        <f>VLOOKUP($D993,'WB Data'!$C$3:$M$578,9,FALSE)</f>
        <v>38</v>
      </c>
      <c r="BQ993" s="117">
        <f>VLOOKUP($D993,'WB Data'!$C$3:$M$578,10,FALSE)</f>
        <v>70.002439024390242</v>
      </c>
      <c r="BR993" s="117">
        <f>VLOOKUP($D993,'WB Data'!$C$3:$M$578,11,FALSE)</f>
        <v>23.2</v>
      </c>
      <c r="BS993" s="129">
        <f>IFERROR(VLOOKUP($D993,'WB Data 2'!$C$2:$K$545,9,FALSE),"..")</f>
        <v>98.370930000000001</v>
      </c>
      <c r="BT993" s="129" t="str">
        <f>_xlfn.IFNA(VLOOKUP($C993,RGI!$A$2:$C$43,2,FALSE),"..")</f>
        <v>..</v>
      </c>
      <c r="BU993" s="129" t="str">
        <f>_xlfn.IFNA(VLOOKUP($C993,RGI!$A$2:$C$43,3,FALSE),"..")</f>
        <v>..</v>
      </c>
      <c r="BV993" s="129">
        <f>VLOOKUP($D993,WGI!$C$2:$O$478,7,FALSE)</f>
        <v>-0.63880197540335404</v>
      </c>
      <c r="BW993" s="129">
        <f>VLOOKUP($D993,WGI!$C$2:$O$478,4,FALSE)</f>
        <v>-0.88911325472912595</v>
      </c>
      <c r="BX993" s="129">
        <f>VLOOKUP($D993,WGI!$C$2:$O$478,3,FALSE)</f>
        <v>-0.65869903860661405</v>
      </c>
      <c r="BY993" s="129">
        <f>VLOOKUP($D993,WGI!$C$2:$O$478,5,FALSE)</f>
        <v>-0.34552718722248699</v>
      </c>
      <c r="BZ993" s="129">
        <f>VLOOKUP($D993,WGI!$C$2:$O$478,2,FALSE)</f>
        <v>-1.0902106656717001</v>
      </c>
      <c r="CB993" s="129"/>
    </row>
    <row r="994" spans="1:80" ht="15" customHeight="1">
      <c r="A994" s="294" t="s">
        <v>300</v>
      </c>
      <c r="B994" s="117">
        <v>2008</v>
      </c>
      <c r="C994" s="117" t="s">
        <v>301</v>
      </c>
      <c r="D994" s="117" t="s">
        <v>3602</v>
      </c>
      <c r="E994" s="452" t="s">
        <v>86</v>
      </c>
      <c r="F994" s="117" t="s">
        <v>1587</v>
      </c>
      <c r="G994" s="117" t="s">
        <v>519</v>
      </c>
      <c r="H994" s="117" t="str">
        <f t="shared" si="171"/>
        <v>yes</v>
      </c>
      <c r="I994" s="117" t="str">
        <f t="shared" si="168"/>
        <v>no</v>
      </c>
      <c r="J994" s="117" t="str">
        <f t="shared" si="169"/>
        <v>no</v>
      </c>
      <c r="K994" s="117" t="s">
        <v>709</v>
      </c>
      <c r="L994" s="117" t="str">
        <f t="shared" si="172"/>
        <v>Total</v>
      </c>
      <c r="M994" s="117" t="str">
        <f t="shared" si="170"/>
        <v>Total Oil, Mining, Other</v>
      </c>
      <c r="N994" s="118"/>
      <c r="O994" s="118"/>
      <c r="P994" s="118"/>
      <c r="Q994" s="118"/>
      <c r="R994" s="118"/>
      <c r="S994" s="117"/>
      <c r="T994" s="119"/>
      <c r="U994" s="117"/>
      <c r="V994" s="117"/>
      <c r="W994" s="298">
        <f>W995+W996+W1002</f>
        <v>30824036.095368151</v>
      </c>
      <c r="X994" s="117" t="s">
        <v>998</v>
      </c>
      <c r="Y994" s="117" t="s">
        <v>602</v>
      </c>
      <c r="Z994" s="117" t="s">
        <v>603</v>
      </c>
      <c r="AA994" s="179">
        <f>29447339+(220300/AH994)</f>
        <v>29450878.977873351</v>
      </c>
      <c r="AB994" s="500">
        <f>29454662+(32420/AH994)</f>
        <v>29455182.953620762</v>
      </c>
      <c r="AC994" s="212"/>
      <c r="AD994" s="212"/>
      <c r="AE994" s="212"/>
      <c r="AF994" s="300">
        <f>AA994/W994</f>
        <v>0.95545174184048076</v>
      </c>
      <c r="AG994" s="117" t="s">
        <v>1588</v>
      </c>
      <c r="AH994" s="124">
        <f>((61.27/365)*184)+((63.21/365)*181)</f>
        <v>62.232027397260282</v>
      </c>
      <c r="AI994" s="117" t="s">
        <v>605</v>
      </c>
      <c r="AJ994" s="117"/>
      <c r="AK994" s="89"/>
      <c r="AL994" s="117"/>
      <c r="AM994" s="117"/>
      <c r="AN994" s="117">
        <v>67</v>
      </c>
      <c r="AO994" s="117" t="s">
        <v>1589</v>
      </c>
      <c r="AP994" s="117">
        <v>30</v>
      </c>
      <c r="AQ994" s="117" t="s">
        <v>302</v>
      </c>
      <c r="AR994" s="126">
        <v>41900</v>
      </c>
      <c r="AS994" s="117" t="s">
        <v>1590</v>
      </c>
      <c r="AT994" s="117" t="s">
        <v>304</v>
      </c>
      <c r="AU994" s="117" t="s">
        <v>1554</v>
      </c>
      <c r="AV994" s="128" t="s">
        <v>1591</v>
      </c>
      <c r="AW994" s="117">
        <f>VLOOKUP($D994,'WB Data'!$C$3:$M$578,2,FALSE)</f>
        <v>850040458.83963132</v>
      </c>
      <c r="AX994" s="117">
        <f>VLOOKUP($D994,'WB Data'!$C$3:$M$578,3,FALSE)</f>
        <v>3672714</v>
      </c>
      <c r="AY994" s="847">
        <f t="shared" si="164"/>
        <v>3.4646443791717864E-2</v>
      </c>
      <c r="AZ994" s="117">
        <f>VLOOKUP($D994,'WB Data'!$C$3:$M$578,4,FALSE)/100</f>
        <v>0.23669902286140398</v>
      </c>
      <c r="BA994" s="117">
        <f t="shared" si="165"/>
        <v>201203746.00000024</v>
      </c>
      <c r="BB994" s="129">
        <f>IFERROR(VLOOKUP($D994,'EITI Revenues'!$C$2:$G$224,5,FALSE),"..")</f>
        <v>29450878.977873351</v>
      </c>
      <c r="BC994" s="846">
        <f t="shared" si="166"/>
        <v>0.14637341283831423</v>
      </c>
      <c r="BD994" s="129" t="str">
        <f>VLOOKUP($D994,'WB Data 2'!$C$2:$K$545,6,FALSE)</f>
        <v>..</v>
      </c>
      <c r="BE994" s="129">
        <f>IFERROR(VLOOKUP($D994,UNCTAD!$C$5:$V$529,4,FALSE),"..")</f>
        <v>758570000</v>
      </c>
      <c r="BF994" s="846" t="str">
        <f t="shared" si="167"/>
        <v>..</v>
      </c>
      <c r="BG994" s="117">
        <f>VLOOKUP($D994,'WB Data'!$C$3:$M$578,5,FALSE)</f>
        <v>1250990000</v>
      </c>
      <c r="BH994" s="129">
        <f>IFERROR($BB994/$BG994,"..")</f>
        <v>2.354205787246369E-2</v>
      </c>
      <c r="BI994" s="117">
        <f>IFERROR(VLOOKUP($D994,'WB Data'!$C$3:$M$578,7,FALSE)/100,"..")</f>
        <v>3.2612700000000001E-2</v>
      </c>
      <c r="BJ994" s="117">
        <f>IFERROR($BI994*$AW994,"..")</f>
        <v>27722114.471999247</v>
      </c>
      <c r="BK994" s="846">
        <f>IFERROR($BB994/$BJ994,"..")</f>
        <v>1.0623604850784469</v>
      </c>
      <c r="BL994" s="117">
        <f>IFERROR(VLOOKUP($D994,'WB Data'!$C$3:$M$578,7,FALSE)/100,"..")</f>
        <v>3.2612700000000001E-2</v>
      </c>
      <c r="BM994" s="117">
        <f>IFERROR($AW994*$BL994,"..")</f>
        <v>27722114.471999247</v>
      </c>
      <c r="BN994" s="846">
        <f>IFERROR($BB994/$BM994,"..")</f>
        <v>1.0623604850784469</v>
      </c>
      <c r="BO994" s="801">
        <f t="shared" si="163"/>
        <v>37</v>
      </c>
      <c r="BP994" s="117" t="str">
        <f>VLOOKUP($D994,'WB Data'!$C$3:$M$578,9,FALSE)</f>
        <v>..</v>
      </c>
      <c r="BQ994" s="117">
        <f>VLOOKUP($D994,'WB Data'!$C$3:$M$578,10,FALSE)</f>
        <v>58.107487804878055</v>
      </c>
      <c r="BR994" s="117">
        <f>VLOOKUP($D994,'WB Data'!$C$3:$M$578,11,FALSE)</f>
        <v>67.3</v>
      </c>
      <c r="BS994" s="129">
        <f>IFERROR(VLOOKUP($D994,'WB Data 2'!$C$2:$K$545,9,FALSE),"..")</f>
        <v>42.623980000000003</v>
      </c>
      <c r="BT994" s="129">
        <f>_xlfn.IFNA(VLOOKUP($C994,RGI!$A$2:$C$43,2,FALSE),"..")</f>
        <v>60.5</v>
      </c>
      <c r="BU994" s="129">
        <f>_xlfn.IFNA(VLOOKUP($C994,RGI!$A$2:$C$43,3,FALSE),"..")</f>
        <v>61.600874881317473</v>
      </c>
      <c r="BV994" s="129">
        <f>VLOOKUP($D994,WGI!$C$2:$O$478,7,FALSE)</f>
        <v>-0.244130800472245</v>
      </c>
      <c r="BW994" s="129">
        <f>VLOOKUP($D994,WGI!$C$2:$O$478,4,FALSE)</f>
        <v>-1.2833706522674</v>
      </c>
      <c r="BX994" s="129">
        <f>VLOOKUP($D994,WGI!$C$2:$O$478,3,FALSE)</f>
        <v>-1.3146435488689701</v>
      </c>
      <c r="BY994" s="129">
        <f>VLOOKUP($D994,WGI!$C$2:$O$478,5,FALSE)</f>
        <v>-1.33582247690553</v>
      </c>
      <c r="BZ994" s="129">
        <f>VLOOKUP($D994,WGI!$C$2:$O$478,2,FALSE)</f>
        <v>-0.700397447012164</v>
      </c>
    </row>
    <row r="995" spans="1:80" ht="15" customHeight="1">
      <c r="A995" s="294" t="s">
        <v>300</v>
      </c>
      <c r="B995" s="117">
        <v>2008</v>
      </c>
      <c r="C995" s="117" t="s">
        <v>301</v>
      </c>
      <c r="D995" s="117" t="s">
        <v>3602</v>
      </c>
      <c r="E995" s="452" t="s">
        <v>86</v>
      </c>
      <c r="F995" s="117"/>
      <c r="G995" s="117" t="s">
        <v>103</v>
      </c>
      <c r="H995" s="117" t="str">
        <f t="shared" si="171"/>
        <v>no</v>
      </c>
      <c r="I995" s="117" t="str">
        <f t="shared" si="168"/>
        <v>no</v>
      </c>
      <c r="J995" s="117" t="str">
        <f t="shared" si="169"/>
        <v>yes</v>
      </c>
      <c r="K995" s="117" t="s">
        <v>103</v>
      </c>
      <c r="L995" s="117" t="str">
        <f t="shared" si="172"/>
        <v>detailed</v>
      </c>
      <c r="M995" s="117" t="str">
        <f t="shared" si="170"/>
        <v>detailed Oil</v>
      </c>
      <c r="N995" s="118">
        <v>0</v>
      </c>
      <c r="O995" s="118"/>
      <c r="P995" s="118"/>
      <c r="Q995" s="118"/>
      <c r="R995" s="118"/>
      <c r="S995" s="117" t="s">
        <v>646</v>
      </c>
      <c r="T995" s="119"/>
      <c r="U995" s="117"/>
      <c r="V995" s="117" t="s">
        <v>647</v>
      </c>
      <c r="W995" s="89">
        <f>N995*T995</f>
        <v>0</v>
      </c>
      <c r="X995" s="117"/>
      <c r="Y995" s="117"/>
      <c r="Z995" s="117"/>
      <c r="AA995" s="89">
        <f>3102732+(160000/AH994)</f>
        <v>3105303.0234214072</v>
      </c>
      <c r="AB995" s="89">
        <v>3024000</v>
      </c>
      <c r="AC995" s="240"/>
      <c r="AD995" s="240"/>
      <c r="AE995" s="240"/>
      <c r="AF995" s="241"/>
      <c r="AG995" s="117"/>
      <c r="AH995" s="124"/>
      <c r="AI995" s="117"/>
      <c r="AJ995" s="117"/>
      <c r="AK995" s="89"/>
      <c r="AL995" s="117"/>
      <c r="AM995" s="117"/>
      <c r="AN995" s="117"/>
      <c r="AO995" s="117" t="s">
        <v>1592</v>
      </c>
      <c r="AP995" s="117">
        <v>3</v>
      </c>
      <c r="AQ995" s="117"/>
      <c r="AR995" s="117"/>
      <c r="AS995" s="117"/>
      <c r="AT995" s="117"/>
      <c r="AU995" s="117" t="s">
        <v>1554</v>
      </c>
      <c r="AV995" s="128" t="s">
        <v>1593</v>
      </c>
      <c r="AW995" s="117">
        <f>VLOOKUP($D995,'WB Data'!$C$3:$M$578,2,FALSE)</f>
        <v>850040458.83963132</v>
      </c>
      <c r="AX995" s="117">
        <f>VLOOKUP($D995,'WB Data'!$C$3:$M$578,3,FALSE)</f>
        <v>3672714</v>
      </c>
      <c r="AY995" s="847">
        <f t="shared" si="164"/>
        <v>3.4646443791717864E-2</v>
      </c>
      <c r="AZ995" s="117">
        <f>VLOOKUP($D995,'WB Data'!$C$3:$M$578,4,FALSE)/100</f>
        <v>0.23669902286140398</v>
      </c>
      <c r="BA995" s="117">
        <f t="shared" si="165"/>
        <v>201203746.00000024</v>
      </c>
      <c r="BB995" s="129">
        <f>IFERROR(VLOOKUP($D995,'EITI Revenues'!$C$2:$G$224,5,FALSE),"..")</f>
        <v>29450878.977873351</v>
      </c>
      <c r="BC995" s="846">
        <f t="shared" si="166"/>
        <v>0.14637341283831423</v>
      </c>
      <c r="BD995" s="129" t="str">
        <f>VLOOKUP($D995,'WB Data 2'!$C$2:$K$545,6,FALSE)</f>
        <v>..</v>
      </c>
      <c r="BE995" s="129">
        <f>IFERROR(VLOOKUP($D995,UNCTAD!$C$5:$V$529,4,FALSE),"..")</f>
        <v>758570000</v>
      </c>
      <c r="BF995" s="846" t="str">
        <f t="shared" si="167"/>
        <v>..</v>
      </c>
      <c r="BG995" s="117">
        <f>VLOOKUP($D995,'WB Data'!$C$3:$M$578,5,FALSE)</f>
        <v>1250990000</v>
      </c>
      <c r="BH995" s="129">
        <f>IFERROR($BB995/$BG995,"..")</f>
        <v>2.354205787246369E-2</v>
      </c>
      <c r="BI995" s="117">
        <f>IFERROR(VLOOKUP($D995,'WB Data'!$C$3:$M$578,7,FALSE)/100,"..")</f>
        <v>3.2612700000000001E-2</v>
      </c>
      <c r="BJ995" s="117">
        <f>IFERROR($BI995*$AW995,"..")</f>
        <v>27722114.471999247</v>
      </c>
      <c r="BK995" s="846">
        <f>IFERROR($BB995/$BJ995,"..")</f>
        <v>1.0623604850784469</v>
      </c>
      <c r="BL995" s="117">
        <f>IFERROR(VLOOKUP($D995,'WB Data'!$C$3:$M$578,7,FALSE)/100,"..")</f>
        <v>3.2612700000000001E-2</v>
      </c>
      <c r="BM995" s="117">
        <f>IFERROR($AW995*$BL995,"..")</f>
        <v>27722114.471999247</v>
      </c>
      <c r="BN995" s="846">
        <f>IFERROR($BB995/$BM995,"..")</f>
        <v>1.0623604850784469</v>
      </c>
      <c r="BO995" s="801">
        <f t="shared" si="163"/>
        <v>37</v>
      </c>
      <c r="BP995" s="117" t="str">
        <f>VLOOKUP($D995,'WB Data'!$C$3:$M$578,9,FALSE)</f>
        <v>..</v>
      </c>
      <c r="BQ995" s="117">
        <f>VLOOKUP($D995,'WB Data'!$C$3:$M$578,10,FALSE)</f>
        <v>58.107487804878055</v>
      </c>
      <c r="BR995" s="117">
        <f>VLOOKUP($D995,'WB Data'!$C$3:$M$578,11,FALSE)</f>
        <v>67.3</v>
      </c>
      <c r="BS995" s="129">
        <f>IFERROR(VLOOKUP($D995,'WB Data 2'!$C$2:$K$545,9,FALSE),"..")</f>
        <v>42.623980000000003</v>
      </c>
      <c r="BT995" s="129">
        <f>_xlfn.IFNA(VLOOKUP($C995,RGI!$A$2:$C$43,2,FALSE),"..")</f>
        <v>60.5</v>
      </c>
      <c r="BU995" s="129">
        <f>_xlfn.IFNA(VLOOKUP($C995,RGI!$A$2:$C$43,3,FALSE),"..")</f>
        <v>61.600874881317473</v>
      </c>
      <c r="BV995" s="129">
        <f>VLOOKUP($D995,WGI!$C$2:$O$478,7,FALSE)</f>
        <v>-0.244130800472245</v>
      </c>
      <c r="BW995" s="129">
        <f>VLOOKUP($D995,WGI!$C$2:$O$478,4,FALSE)</f>
        <v>-1.2833706522674</v>
      </c>
      <c r="BX995" s="129">
        <f>VLOOKUP($D995,WGI!$C$2:$O$478,3,FALSE)</f>
        <v>-1.3146435488689701</v>
      </c>
      <c r="BY995" s="129">
        <f>VLOOKUP($D995,WGI!$C$2:$O$478,5,FALSE)</f>
        <v>-1.33582247690553</v>
      </c>
      <c r="BZ995" s="129">
        <f>VLOOKUP($D995,WGI!$C$2:$O$478,2,FALSE)</f>
        <v>-0.700397447012164</v>
      </c>
    </row>
    <row r="996" spans="1:80" ht="15" customHeight="1">
      <c r="A996" s="294" t="s">
        <v>300</v>
      </c>
      <c r="B996" s="117">
        <v>2008</v>
      </c>
      <c r="C996" s="117" t="s">
        <v>301</v>
      </c>
      <c r="D996" s="117" t="s">
        <v>3602</v>
      </c>
      <c r="E996" s="452" t="s">
        <v>86</v>
      </c>
      <c r="F996" s="117"/>
      <c r="G996" s="117" t="s">
        <v>24</v>
      </c>
      <c r="H996" s="117" t="str">
        <f t="shared" si="171"/>
        <v>yes</v>
      </c>
      <c r="I996" s="117" t="str">
        <f t="shared" si="168"/>
        <v>no</v>
      </c>
      <c r="J996" s="117" t="str">
        <f t="shared" si="169"/>
        <v>no</v>
      </c>
      <c r="K996" s="117" t="s">
        <v>600</v>
      </c>
      <c r="L996" s="117" t="str">
        <f t="shared" si="172"/>
        <v>Total</v>
      </c>
      <c r="M996" s="117" t="str">
        <f t="shared" si="170"/>
        <v>Total Mining</v>
      </c>
      <c r="N996" s="118"/>
      <c r="O996" s="118"/>
      <c r="P996" s="118"/>
      <c r="Q996" s="118"/>
      <c r="R996" s="118"/>
      <c r="S996" s="117"/>
      <c r="T996" s="119"/>
      <c r="U996" s="117"/>
      <c r="V996" s="117"/>
      <c r="W996" s="89">
        <f>SUM(W997:W1001)</f>
        <v>30824036.095368151</v>
      </c>
      <c r="X996" s="117"/>
      <c r="Y996" s="117"/>
      <c r="Z996" s="117"/>
      <c r="AA996" s="89">
        <f>203201+(12200/AH994)</f>
        <v>203397.04053588229</v>
      </c>
      <c r="AB996" s="89">
        <f>291920+(7420/AH994)</f>
        <v>292039.23121116776</v>
      </c>
      <c r="AC996" s="240"/>
      <c r="AD996" s="240"/>
      <c r="AE996" s="240"/>
      <c r="AF996" s="241">
        <f>AA996/W996</f>
        <v>6.5986504786907591E-3</v>
      </c>
      <c r="AG996" s="117"/>
      <c r="AH996" s="124"/>
      <c r="AI996" s="117"/>
      <c r="AJ996" s="117"/>
      <c r="AK996" s="89"/>
      <c r="AL996" s="117"/>
      <c r="AM996" s="120"/>
      <c r="AN996" s="120"/>
      <c r="AO996" s="117" t="s">
        <v>1594</v>
      </c>
      <c r="AP996" s="117">
        <v>25</v>
      </c>
      <c r="AQ996" s="117"/>
      <c r="AR996" s="117"/>
      <c r="AS996" s="117"/>
      <c r="AT996" s="117"/>
      <c r="AU996" s="117" t="s">
        <v>1554</v>
      </c>
      <c r="AV996" s="128"/>
      <c r="AW996" s="117">
        <f>VLOOKUP($D996,'WB Data'!$C$3:$M$578,2,FALSE)</f>
        <v>850040458.83963132</v>
      </c>
      <c r="AX996" s="117">
        <f>VLOOKUP($D996,'WB Data'!$C$3:$M$578,3,FALSE)</f>
        <v>3672714</v>
      </c>
      <c r="AY996" s="847">
        <f t="shared" si="164"/>
        <v>3.4646443791717864E-2</v>
      </c>
      <c r="AZ996" s="117">
        <f>VLOOKUP($D996,'WB Data'!$C$3:$M$578,4,FALSE)/100</f>
        <v>0.23669902286140398</v>
      </c>
      <c r="BA996" s="117">
        <f t="shared" si="165"/>
        <v>201203746.00000024</v>
      </c>
      <c r="BB996" s="129">
        <f>IFERROR(VLOOKUP($D996,'EITI Revenues'!$C$2:$G$224,5,FALSE),"..")</f>
        <v>29450878.977873351</v>
      </c>
      <c r="BC996" s="846">
        <f t="shared" si="166"/>
        <v>0.14637341283831423</v>
      </c>
      <c r="BD996" s="129" t="str">
        <f>VLOOKUP($D996,'WB Data 2'!$C$2:$K$545,6,FALSE)</f>
        <v>..</v>
      </c>
      <c r="BE996" s="129">
        <f>IFERROR(VLOOKUP($D996,UNCTAD!$C$5:$V$529,4,FALSE),"..")</f>
        <v>758570000</v>
      </c>
      <c r="BF996" s="846" t="str">
        <f t="shared" si="167"/>
        <v>..</v>
      </c>
      <c r="BG996" s="117">
        <f>VLOOKUP($D996,'WB Data'!$C$3:$M$578,5,FALSE)</f>
        <v>1250990000</v>
      </c>
      <c r="BH996" s="129">
        <f>IFERROR($BB996/$BG996,"..")</f>
        <v>2.354205787246369E-2</v>
      </c>
      <c r="BI996" s="117">
        <f>IFERROR(VLOOKUP($D996,'WB Data'!$C$3:$M$578,7,FALSE)/100,"..")</f>
        <v>3.2612700000000001E-2</v>
      </c>
      <c r="BJ996" s="117">
        <f>IFERROR($BI996*$AW996,"..")</f>
        <v>27722114.471999247</v>
      </c>
      <c r="BK996" s="846">
        <f>IFERROR($BB996/$BJ996,"..")</f>
        <v>1.0623604850784469</v>
      </c>
      <c r="BL996" s="117">
        <f>IFERROR(VLOOKUP($D996,'WB Data'!$C$3:$M$578,7,FALSE)/100,"..")</f>
        <v>3.2612700000000001E-2</v>
      </c>
      <c r="BM996" s="117">
        <f>IFERROR($AW996*$BL996,"..")</f>
        <v>27722114.471999247</v>
      </c>
      <c r="BN996" s="846">
        <f>IFERROR($BB996/$BM996,"..")</f>
        <v>1.0623604850784469</v>
      </c>
      <c r="BO996" s="801">
        <f t="shared" si="163"/>
        <v>37</v>
      </c>
      <c r="BP996" s="117" t="str">
        <f>VLOOKUP($D996,'WB Data'!$C$3:$M$578,9,FALSE)</f>
        <v>..</v>
      </c>
      <c r="BQ996" s="117">
        <f>VLOOKUP($D996,'WB Data'!$C$3:$M$578,10,FALSE)</f>
        <v>58.107487804878055</v>
      </c>
      <c r="BR996" s="117">
        <f>VLOOKUP($D996,'WB Data'!$C$3:$M$578,11,FALSE)</f>
        <v>67.3</v>
      </c>
      <c r="BS996" s="129">
        <f>IFERROR(VLOOKUP($D996,'WB Data 2'!$C$2:$K$545,9,FALSE),"..")</f>
        <v>42.623980000000003</v>
      </c>
      <c r="BT996" s="129">
        <f>_xlfn.IFNA(VLOOKUP($C996,RGI!$A$2:$C$43,2,FALSE),"..")</f>
        <v>60.5</v>
      </c>
      <c r="BU996" s="129">
        <f>_xlfn.IFNA(VLOOKUP($C996,RGI!$A$2:$C$43,3,FALSE),"..")</f>
        <v>61.600874881317473</v>
      </c>
      <c r="BV996" s="129">
        <f>VLOOKUP($D996,WGI!$C$2:$O$478,7,FALSE)</f>
        <v>-0.244130800472245</v>
      </c>
      <c r="BW996" s="129">
        <f>VLOOKUP($D996,WGI!$C$2:$O$478,4,FALSE)</f>
        <v>-1.2833706522674</v>
      </c>
      <c r="BX996" s="129">
        <f>VLOOKUP($D996,WGI!$C$2:$O$478,3,FALSE)</f>
        <v>-1.3146435488689701</v>
      </c>
      <c r="BY996" s="129">
        <f>VLOOKUP($D996,WGI!$C$2:$O$478,5,FALSE)</f>
        <v>-1.33582247690553</v>
      </c>
      <c r="BZ996" s="129">
        <f>VLOOKUP($D996,WGI!$C$2:$O$478,2,FALSE)</f>
        <v>-0.700397447012164</v>
      </c>
    </row>
    <row r="997" spans="1:80" ht="15" customHeight="1">
      <c r="A997" s="294" t="s">
        <v>300</v>
      </c>
      <c r="B997" s="117">
        <v>2008</v>
      </c>
      <c r="C997" s="117" t="s">
        <v>301</v>
      </c>
      <c r="D997" s="117" t="s">
        <v>3602</v>
      </c>
      <c r="E997" s="452" t="s">
        <v>86</v>
      </c>
      <c r="F997" s="117"/>
      <c r="G997" s="117" t="s">
        <v>24</v>
      </c>
      <c r="H997" s="117" t="str">
        <f t="shared" si="171"/>
        <v>yes</v>
      </c>
      <c r="I997" s="117" t="str">
        <f t="shared" si="168"/>
        <v>no</v>
      </c>
      <c r="J997" s="117" t="str">
        <f t="shared" si="169"/>
        <v>no</v>
      </c>
      <c r="K997" s="117" t="s">
        <v>609</v>
      </c>
      <c r="L997" s="117" t="str">
        <f t="shared" si="172"/>
        <v>detailed</v>
      </c>
      <c r="M997" s="117" t="str">
        <f t="shared" si="170"/>
        <v>detailed Mining</v>
      </c>
      <c r="N997" s="118">
        <f>((157200/365)*184)+((94037/365)*181)</f>
        <v>125878.07397260274</v>
      </c>
      <c r="O997" s="118"/>
      <c r="P997" s="118"/>
      <c r="Q997" s="118"/>
      <c r="R997" s="118"/>
      <c r="S997" s="117" t="s">
        <v>610</v>
      </c>
      <c r="T997" s="119">
        <f>((105/365)*184)+((107/365)*181)</f>
        <v>105.99178082191781</v>
      </c>
      <c r="U997" s="117" t="s">
        <v>611</v>
      </c>
      <c r="V997" s="117" t="s">
        <v>1595</v>
      </c>
      <c r="W997" s="89">
        <f>N997*T997</f>
        <v>13342041.226789268</v>
      </c>
      <c r="X997" s="117"/>
      <c r="Y997" s="117"/>
      <c r="Z997" s="117"/>
      <c r="AA997" s="89"/>
      <c r="AB997" s="89"/>
      <c r="AC997" s="240"/>
      <c r="AD997" s="240"/>
      <c r="AE997" s="240"/>
      <c r="AF997" s="241"/>
      <c r="AG997" s="117"/>
      <c r="AH997" s="124"/>
      <c r="AI997" s="117"/>
      <c r="AJ997" s="117"/>
      <c r="AK997" s="89"/>
      <c r="AL997" s="117"/>
      <c r="AM997" s="120"/>
      <c r="AN997" s="120"/>
      <c r="AO997" s="117"/>
      <c r="AP997" s="117"/>
      <c r="AQ997" s="117"/>
      <c r="AR997" s="117"/>
      <c r="AS997" s="117"/>
      <c r="AT997" s="117"/>
      <c r="AU997" s="117"/>
      <c r="AV997" s="128" t="s">
        <v>1596</v>
      </c>
      <c r="AW997" s="117">
        <f>VLOOKUP($D997,'WB Data'!$C$3:$M$578,2,FALSE)</f>
        <v>850040458.83963132</v>
      </c>
      <c r="AX997" s="117">
        <f>VLOOKUP($D997,'WB Data'!$C$3:$M$578,3,FALSE)</f>
        <v>3672714</v>
      </c>
      <c r="AY997" s="847">
        <f t="shared" si="164"/>
        <v>3.4646443791717864E-2</v>
      </c>
      <c r="AZ997" s="117">
        <f>VLOOKUP($D997,'WB Data'!$C$3:$M$578,4,FALSE)/100</f>
        <v>0.23669902286140398</v>
      </c>
      <c r="BA997" s="117">
        <f t="shared" si="165"/>
        <v>201203746.00000024</v>
      </c>
      <c r="BB997" s="129">
        <f>IFERROR(VLOOKUP($D997,'EITI Revenues'!$C$2:$G$224,5,FALSE),"..")</f>
        <v>29450878.977873351</v>
      </c>
      <c r="BC997" s="846">
        <f t="shared" si="166"/>
        <v>0.14637341283831423</v>
      </c>
      <c r="BD997" s="129" t="str">
        <f>VLOOKUP($D997,'WB Data 2'!$C$2:$K$545,6,FALSE)</f>
        <v>..</v>
      </c>
      <c r="BE997" s="129">
        <f>IFERROR(VLOOKUP($D997,UNCTAD!$C$5:$V$529,4,FALSE),"..")</f>
        <v>758570000</v>
      </c>
      <c r="BF997" s="846" t="str">
        <f t="shared" si="167"/>
        <v>..</v>
      </c>
      <c r="BG997" s="117">
        <f>VLOOKUP($D997,'WB Data'!$C$3:$M$578,5,FALSE)</f>
        <v>1250990000</v>
      </c>
      <c r="BH997" s="129">
        <f>IFERROR($BB997/$BG997,"..")</f>
        <v>2.354205787246369E-2</v>
      </c>
      <c r="BI997" s="117">
        <f>IFERROR(VLOOKUP($D997,'WB Data'!$C$3:$M$578,7,FALSE)/100,"..")</f>
        <v>3.2612700000000001E-2</v>
      </c>
      <c r="BJ997" s="117">
        <f>IFERROR($BI997*$AW997,"..")</f>
        <v>27722114.471999247</v>
      </c>
      <c r="BK997" s="846">
        <f>IFERROR($BB997/$BJ997,"..")</f>
        <v>1.0623604850784469</v>
      </c>
      <c r="BL997" s="117">
        <f>IFERROR(VLOOKUP($D997,'WB Data'!$C$3:$M$578,7,FALSE)/100,"..")</f>
        <v>3.2612700000000001E-2</v>
      </c>
      <c r="BM997" s="117">
        <f>IFERROR($AW997*$BL997,"..")</f>
        <v>27722114.471999247</v>
      </c>
      <c r="BN997" s="846">
        <f>IFERROR($BB997/$BM997,"..")</f>
        <v>1.0623604850784469</v>
      </c>
      <c r="BO997" s="801">
        <f t="shared" si="163"/>
        <v>37</v>
      </c>
      <c r="BP997" s="117" t="str">
        <f>VLOOKUP($D997,'WB Data'!$C$3:$M$578,9,FALSE)</f>
        <v>..</v>
      </c>
      <c r="BQ997" s="117">
        <f>VLOOKUP($D997,'WB Data'!$C$3:$M$578,10,FALSE)</f>
        <v>58.107487804878055</v>
      </c>
      <c r="BR997" s="117">
        <f>VLOOKUP($D997,'WB Data'!$C$3:$M$578,11,FALSE)</f>
        <v>67.3</v>
      </c>
      <c r="BS997" s="129">
        <f>IFERROR(VLOOKUP($D997,'WB Data 2'!$C$2:$K$545,9,FALSE),"..")</f>
        <v>42.623980000000003</v>
      </c>
      <c r="BT997" s="129">
        <f>_xlfn.IFNA(VLOOKUP($C997,RGI!$A$2:$C$43,2,FALSE),"..")</f>
        <v>60.5</v>
      </c>
      <c r="BU997" s="129">
        <f>_xlfn.IFNA(VLOOKUP($C997,RGI!$A$2:$C$43,3,FALSE),"..")</f>
        <v>61.600874881317473</v>
      </c>
      <c r="BV997" s="129">
        <f>VLOOKUP($D997,WGI!$C$2:$O$478,7,FALSE)</f>
        <v>-0.244130800472245</v>
      </c>
      <c r="BW997" s="129">
        <f>VLOOKUP($D997,WGI!$C$2:$O$478,4,FALSE)</f>
        <v>-1.2833706522674</v>
      </c>
      <c r="BX997" s="129">
        <f>VLOOKUP($D997,WGI!$C$2:$O$478,3,FALSE)</f>
        <v>-1.3146435488689701</v>
      </c>
      <c r="BY997" s="129">
        <f>VLOOKUP($D997,WGI!$C$2:$O$478,5,FALSE)</f>
        <v>-1.33582247690553</v>
      </c>
      <c r="BZ997" s="129">
        <f>VLOOKUP($D997,WGI!$C$2:$O$478,2,FALSE)</f>
        <v>-0.700397447012164</v>
      </c>
    </row>
    <row r="998" spans="1:80" ht="15" customHeight="1">
      <c r="A998" s="294" t="s">
        <v>300</v>
      </c>
      <c r="B998" s="117">
        <v>2008</v>
      </c>
      <c r="C998" s="117" t="s">
        <v>301</v>
      </c>
      <c r="D998" s="117" t="s">
        <v>3602</v>
      </c>
      <c r="E998" s="452" t="s">
        <v>86</v>
      </c>
      <c r="F998" s="117"/>
      <c r="G998" s="117" t="s">
        <v>24</v>
      </c>
      <c r="H998" s="117" t="str">
        <f t="shared" si="171"/>
        <v>yes</v>
      </c>
      <c r="I998" s="117" t="str">
        <f t="shared" si="168"/>
        <v>no</v>
      </c>
      <c r="J998" s="117" t="str">
        <f t="shared" si="169"/>
        <v>no</v>
      </c>
      <c r="K998" s="117" t="s">
        <v>980</v>
      </c>
      <c r="L998" s="117" t="str">
        <f t="shared" si="172"/>
        <v>detailed</v>
      </c>
      <c r="M998" s="117" t="str">
        <f t="shared" si="170"/>
        <v>detailed Mining</v>
      </c>
      <c r="N998" s="118">
        <f>((21700/365)*184)+((47007/365)*181)</f>
        <v>34249.498630136994</v>
      </c>
      <c r="O998" s="118"/>
      <c r="P998" s="118"/>
      <c r="Q998" s="118"/>
      <c r="R998" s="118"/>
      <c r="S998" s="117" t="s">
        <v>981</v>
      </c>
      <c r="T998" s="119">
        <f>((122.47/365)*184)+((210.43/365)*181)</f>
        <v>166.08852054794519</v>
      </c>
      <c r="U998" s="117" t="s">
        <v>982</v>
      </c>
      <c r="V998" s="117" t="s">
        <v>1597</v>
      </c>
      <c r="W998" s="89">
        <f>N998*T998</f>
        <v>5688448.5569883287</v>
      </c>
      <c r="X998" s="117"/>
      <c r="Y998" s="117"/>
      <c r="Z998" s="117"/>
      <c r="AA998" s="89"/>
      <c r="AB998" s="89"/>
      <c r="AC998" s="240"/>
      <c r="AD998" s="240"/>
      <c r="AE998" s="240"/>
      <c r="AF998" s="241"/>
      <c r="AG998" s="117"/>
      <c r="AH998" s="124"/>
      <c r="AI998" s="117"/>
      <c r="AJ998" s="117"/>
      <c r="AK998" s="89"/>
      <c r="AL998" s="117"/>
      <c r="AM998" s="120"/>
      <c r="AN998" s="120"/>
      <c r="AO998" s="117"/>
      <c r="AP998" s="117"/>
      <c r="AQ998" s="117"/>
      <c r="AR998" s="117"/>
      <c r="AS998" s="117"/>
      <c r="AT998" s="117"/>
      <c r="AU998" s="117"/>
      <c r="AV998" s="128" t="s">
        <v>1596</v>
      </c>
      <c r="AW998" s="117">
        <f>VLOOKUP($D998,'WB Data'!$C$3:$M$578,2,FALSE)</f>
        <v>850040458.83963132</v>
      </c>
      <c r="AX998" s="117">
        <f>VLOOKUP($D998,'WB Data'!$C$3:$M$578,3,FALSE)</f>
        <v>3672714</v>
      </c>
      <c r="AY998" s="847">
        <f t="shared" si="164"/>
        <v>3.4646443791717864E-2</v>
      </c>
      <c r="AZ998" s="117">
        <f>VLOOKUP($D998,'WB Data'!$C$3:$M$578,4,FALSE)/100</f>
        <v>0.23669902286140398</v>
      </c>
      <c r="BA998" s="117">
        <f t="shared" si="165"/>
        <v>201203746.00000024</v>
      </c>
      <c r="BB998" s="129">
        <f>IFERROR(VLOOKUP($D998,'EITI Revenues'!$C$2:$G$224,5,FALSE),"..")</f>
        <v>29450878.977873351</v>
      </c>
      <c r="BC998" s="846">
        <f t="shared" si="166"/>
        <v>0.14637341283831423</v>
      </c>
      <c r="BD998" s="129" t="str">
        <f>VLOOKUP($D998,'WB Data 2'!$C$2:$K$545,6,FALSE)</f>
        <v>..</v>
      </c>
      <c r="BE998" s="129">
        <f>IFERROR(VLOOKUP($D998,UNCTAD!$C$5:$V$529,4,FALSE),"..")</f>
        <v>758570000</v>
      </c>
      <c r="BF998" s="846" t="str">
        <f t="shared" si="167"/>
        <v>..</v>
      </c>
      <c r="BG998" s="117">
        <f>VLOOKUP($D998,'WB Data'!$C$3:$M$578,5,FALSE)</f>
        <v>1250990000</v>
      </c>
      <c r="BH998" s="129">
        <f>IFERROR($BB998/$BG998,"..")</f>
        <v>2.354205787246369E-2</v>
      </c>
      <c r="BI998" s="117">
        <f>IFERROR(VLOOKUP($D998,'WB Data'!$C$3:$M$578,7,FALSE)/100,"..")</f>
        <v>3.2612700000000001E-2</v>
      </c>
      <c r="BJ998" s="117">
        <f>IFERROR($BI998*$AW998,"..")</f>
        <v>27722114.471999247</v>
      </c>
      <c r="BK998" s="846">
        <f>IFERROR($BB998/$BJ998,"..")</f>
        <v>1.0623604850784469</v>
      </c>
      <c r="BL998" s="117">
        <f>IFERROR(VLOOKUP($D998,'WB Data'!$C$3:$M$578,7,FALSE)/100,"..")</f>
        <v>3.2612700000000001E-2</v>
      </c>
      <c r="BM998" s="117">
        <f>IFERROR($AW998*$BL998,"..")</f>
        <v>27722114.471999247</v>
      </c>
      <c r="BN998" s="846">
        <f>IFERROR($BB998/$BM998,"..")</f>
        <v>1.0623604850784469</v>
      </c>
      <c r="BO998" s="801">
        <f t="shared" si="163"/>
        <v>37</v>
      </c>
      <c r="BP998" s="117" t="str">
        <f>VLOOKUP($D998,'WB Data'!$C$3:$M$578,9,FALSE)</f>
        <v>..</v>
      </c>
      <c r="BQ998" s="117">
        <f>VLOOKUP($D998,'WB Data'!$C$3:$M$578,10,FALSE)</f>
        <v>58.107487804878055</v>
      </c>
      <c r="BR998" s="117">
        <f>VLOOKUP($D998,'WB Data'!$C$3:$M$578,11,FALSE)</f>
        <v>67.3</v>
      </c>
      <c r="BS998" s="129">
        <f>IFERROR(VLOOKUP($D998,'WB Data 2'!$C$2:$K$545,9,FALSE),"..")</f>
        <v>42.623980000000003</v>
      </c>
      <c r="BT998" s="129">
        <f>_xlfn.IFNA(VLOOKUP($C998,RGI!$A$2:$C$43,2,FALSE),"..")</f>
        <v>60.5</v>
      </c>
      <c r="BU998" s="129">
        <f>_xlfn.IFNA(VLOOKUP($C998,RGI!$A$2:$C$43,3,FALSE),"..")</f>
        <v>61.600874881317473</v>
      </c>
      <c r="BV998" s="129">
        <f>VLOOKUP($D998,WGI!$C$2:$O$478,7,FALSE)</f>
        <v>-0.244130800472245</v>
      </c>
      <c r="BW998" s="129">
        <f>VLOOKUP($D998,WGI!$C$2:$O$478,4,FALSE)</f>
        <v>-1.2833706522674</v>
      </c>
      <c r="BX998" s="129">
        <f>VLOOKUP($D998,WGI!$C$2:$O$478,3,FALSE)</f>
        <v>-1.3146435488689701</v>
      </c>
      <c r="BY998" s="129">
        <f>VLOOKUP($D998,WGI!$C$2:$O$478,5,FALSE)</f>
        <v>-1.33582247690553</v>
      </c>
      <c r="BZ998" s="129">
        <f>VLOOKUP($D998,WGI!$C$2:$O$478,2,FALSE)</f>
        <v>-0.700397447012164</v>
      </c>
    </row>
    <row r="999" spans="1:80" ht="15" customHeight="1">
      <c r="A999" s="294" t="s">
        <v>300</v>
      </c>
      <c r="B999" s="117">
        <v>2008</v>
      </c>
      <c r="C999" s="117" t="s">
        <v>301</v>
      </c>
      <c r="D999" s="117" t="s">
        <v>3602</v>
      </c>
      <c r="E999" s="452" t="s">
        <v>86</v>
      </c>
      <c r="F999" s="117"/>
      <c r="G999" s="117" t="s">
        <v>24</v>
      </c>
      <c r="H999" s="117" t="str">
        <f t="shared" si="171"/>
        <v>yes</v>
      </c>
      <c r="I999" s="117" t="str">
        <f t="shared" si="168"/>
        <v>no</v>
      </c>
      <c r="J999" s="117" t="str">
        <f t="shared" si="169"/>
        <v>no</v>
      </c>
      <c r="K999" s="117" t="s">
        <v>784</v>
      </c>
      <c r="L999" s="117" t="str">
        <f t="shared" si="172"/>
        <v>detailed</v>
      </c>
      <c r="M999" s="117" t="str">
        <f t="shared" si="170"/>
        <v>detailed Mining</v>
      </c>
      <c r="N999" s="118">
        <f>(((311/365)*184)+((624/365)*181))*32.150743126506</f>
        <v>14989.11686671582</v>
      </c>
      <c r="O999" s="118"/>
      <c r="P999" s="118"/>
      <c r="Q999" s="118"/>
      <c r="R999" s="118"/>
      <c r="S999" s="117" t="s">
        <v>785</v>
      </c>
      <c r="T999" s="119">
        <f>(((696.72/365)*184)+((871.71/365)*181))*0.8663</f>
        <v>678.74246612876709</v>
      </c>
      <c r="U999" s="117" t="s">
        <v>786</v>
      </c>
      <c r="V999" s="117" t="s">
        <v>1598</v>
      </c>
      <c r="W999" s="89">
        <f>N999*T999</f>
        <v>10173750.147206994</v>
      </c>
      <c r="X999" s="119"/>
      <c r="Y999" s="117"/>
      <c r="Z999" s="117"/>
      <c r="AA999" s="89"/>
      <c r="AB999" s="89"/>
      <c r="AC999" s="240"/>
      <c r="AD999" s="240"/>
      <c r="AE999" s="240"/>
      <c r="AF999" s="241"/>
      <c r="AG999" s="117"/>
      <c r="AH999" s="124"/>
      <c r="AI999" s="117"/>
      <c r="AJ999" s="117"/>
      <c r="AK999" s="89"/>
      <c r="AL999" s="117"/>
      <c r="AM999" s="120"/>
      <c r="AN999" s="120"/>
      <c r="AO999" s="117"/>
      <c r="AP999" s="117"/>
      <c r="AQ999" s="117"/>
      <c r="AR999" s="117"/>
      <c r="AS999" s="117"/>
      <c r="AT999" s="117"/>
      <c r="AU999" s="117"/>
      <c r="AV999" s="128" t="s">
        <v>1599</v>
      </c>
      <c r="AW999" s="117">
        <f>VLOOKUP($D999,'WB Data'!$C$3:$M$578,2,FALSE)</f>
        <v>850040458.83963132</v>
      </c>
      <c r="AX999" s="117">
        <f>VLOOKUP($D999,'WB Data'!$C$3:$M$578,3,FALSE)</f>
        <v>3672714</v>
      </c>
      <c r="AY999" s="847">
        <f t="shared" si="164"/>
        <v>3.4646443791717864E-2</v>
      </c>
      <c r="AZ999" s="117">
        <f>VLOOKUP($D999,'WB Data'!$C$3:$M$578,4,FALSE)/100</f>
        <v>0.23669902286140398</v>
      </c>
      <c r="BA999" s="117">
        <f t="shared" si="165"/>
        <v>201203746.00000024</v>
      </c>
      <c r="BB999" s="129">
        <f>IFERROR(VLOOKUP($D999,'EITI Revenues'!$C$2:$G$224,5,FALSE),"..")</f>
        <v>29450878.977873351</v>
      </c>
      <c r="BC999" s="846">
        <f t="shared" si="166"/>
        <v>0.14637341283831423</v>
      </c>
      <c r="BD999" s="129" t="str">
        <f>VLOOKUP($D999,'WB Data 2'!$C$2:$K$545,6,FALSE)</f>
        <v>..</v>
      </c>
      <c r="BE999" s="129">
        <f>IFERROR(VLOOKUP($D999,UNCTAD!$C$5:$V$529,4,FALSE),"..")</f>
        <v>758570000</v>
      </c>
      <c r="BF999" s="846" t="str">
        <f t="shared" si="167"/>
        <v>..</v>
      </c>
      <c r="BG999" s="117">
        <f>VLOOKUP($D999,'WB Data'!$C$3:$M$578,5,FALSE)</f>
        <v>1250990000</v>
      </c>
      <c r="BH999" s="129">
        <f>IFERROR($BB999/$BG999,"..")</f>
        <v>2.354205787246369E-2</v>
      </c>
      <c r="BI999" s="117">
        <f>IFERROR(VLOOKUP($D999,'WB Data'!$C$3:$M$578,7,FALSE)/100,"..")</f>
        <v>3.2612700000000001E-2</v>
      </c>
      <c r="BJ999" s="117">
        <f>IFERROR($BI999*$AW999,"..")</f>
        <v>27722114.471999247</v>
      </c>
      <c r="BK999" s="846">
        <f>IFERROR($BB999/$BJ999,"..")</f>
        <v>1.0623604850784469</v>
      </c>
      <c r="BL999" s="117">
        <f>IFERROR(VLOOKUP($D999,'WB Data'!$C$3:$M$578,7,FALSE)/100,"..")</f>
        <v>3.2612700000000001E-2</v>
      </c>
      <c r="BM999" s="117">
        <f>IFERROR($AW999*$BL999,"..")</f>
        <v>27722114.471999247</v>
      </c>
      <c r="BN999" s="846">
        <f>IFERROR($BB999/$BM999,"..")</f>
        <v>1.0623604850784469</v>
      </c>
      <c r="BO999" s="801">
        <f t="shared" si="163"/>
        <v>37</v>
      </c>
      <c r="BP999" s="117" t="str">
        <f>VLOOKUP($D999,'WB Data'!$C$3:$M$578,9,FALSE)</f>
        <v>..</v>
      </c>
      <c r="BQ999" s="117">
        <f>VLOOKUP($D999,'WB Data'!$C$3:$M$578,10,FALSE)</f>
        <v>58.107487804878055</v>
      </c>
      <c r="BR999" s="117">
        <f>VLOOKUP($D999,'WB Data'!$C$3:$M$578,11,FALSE)</f>
        <v>67.3</v>
      </c>
      <c r="BS999" s="129">
        <f>IFERROR(VLOOKUP($D999,'WB Data 2'!$C$2:$K$545,9,FALSE),"..")</f>
        <v>42.623980000000003</v>
      </c>
      <c r="BT999" s="129">
        <f>_xlfn.IFNA(VLOOKUP($C999,RGI!$A$2:$C$43,2,FALSE),"..")</f>
        <v>60.5</v>
      </c>
      <c r="BU999" s="129">
        <f>_xlfn.IFNA(VLOOKUP($C999,RGI!$A$2:$C$43,3,FALSE),"..")</f>
        <v>61.600874881317473</v>
      </c>
      <c r="BV999" s="129">
        <f>VLOOKUP($D999,WGI!$C$2:$O$478,7,FALSE)</f>
        <v>-0.244130800472245</v>
      </c>
      <c r="BW999" s="129">
        <f>VLOOKUP($D999,WGI!$C$2:$O$478,4,FALSE)</f>
        <v>-1.2833706522674</v>
      </c>
      <c r="BX999" s="129">
        <f>VLOOKUP($D999,WGI!$C$2:$O$478,3,FALSE)</f>
        <v>-1.3146435488689701</v>
      </c>
      <c r="BY999" s="129">
        <f>VLOOKUP($D999,WGI!$C$2:$O$478,5,FALSE)</f>
        <v>-1.33582247690553</v>
      </c>
      <c r="BZ999" s="129">
        <f>VLOOKUP($D999,WGI!$C$2:$O$478,2,FALSE)</f>
        <v>-0.700397447012164</v>
      </c>
    </row>
    <row r="1000" spans="1:80" ht="15" customHeight="1">
      <c r="A1000" s="294" t="s">
        <v>300</v>
      </c>
      <c r="B1000" s="117">
        <v>2008</v>
      </c>
      <c r="C1000" s="117" t="s">
        <v>301</v>
      </c>
      <c r="D1000" s="117" t="s">
        <v>3602</v>
      </c>
      <c r="E1000" s="452" t="s">
        <v>86</v>
      </c>
      <c r="F1000" s="117"/>
      <c r="G1000" s="117" t="s">
        <v>24</v>
      </c>
      <c r="H1000" s="117" t="str">
        <f t="shared" si="171"/>
        <v>yes</v>
      </c>
      <c r="I1000" s="117" t="str">
        <f t="shared" si="168"/>
        <v>no</v>
      </c>
      <c r="J1000" s="117" t="str">
        <f t="shared" si="169"/>
        <v>no</v>
      </c>
      <c r="K1000" s="117" t="s">
        <v>970</v>
      </c>
      <c r="L1000" s="117" t="str">
        <f t="shared" si="172"/>
        <v>detailed</v>
      </c>
      <c r="M1000" s="117" t="str">
        <f t="shared" si="170"/>
        <v>detailed Mining</v>
      </c>
      <c r="N1000" s="118">
        <f>((260000/365)*184)+((160000/365)*181)</f>
        <v>210410.95890410958</v>
      </c>
      <c r="O1000" s="118"/>
      <c r="P1000" s="118"/>
      <c r="Q1000" s="118"/>
      <c r="R1000" s="118"/>
      <c r="S1000" s="117" t="s">
        <v>610</v>
      </c>
      <c r="T1000" s="119">
        <v>7.47</v>
      </c>
      <c r="U1000" s="117" t="s">
        <v>611</v>
      </c>
      <c r="V1000" s="117" t="s">
        <v>1600</v>
      </c>
      <c r="W1000" s="89">
        <f>N1000*T1000</f>
        <v>1571769.8630136985</v>
      </c>
      <c r="X1000" s="117"/>
      <c r="Y1000" s="117"/>
      <c r="Z1000" s="117"/>
      <c r="AA1000" s="89"/>
      <c r="AB1000" s="89"/>
      <c r="AC1000" s="240"/>
      <c r="AD1000" s="240"/>
      <c r="AE1000" s="240"/>
      <c r="AF1000" s="241"/>
      <c r="AG1000" s="117"/>
      <c r="AH1000" s="124"/>
      <c r="AI1000" s="117"/>
      <c r="AJ1000" s="117"/>
      <c r="AK1000" s="89"/>
      <c r="AL1000" s="117"/>
      <c r="AM1000" s="120"/>
      <c r="AN1000" s="120"/>
      <c r="AO1000" s="117"/>
      <c r="AP1000" s="117"/>
      <c r="AQ1000" s="117"/>
      <c r="AR1000" s="117"/>
      <c r="AS1000" s="117"/>
      <c r="AT1000" s="117"/>
      <c r="AU1000" s="117"/>
      <c r="AV1000" s="128" t="s">
        <v>1596</v>
      </c>
      <c r="AW1000" s="117">
        <f>VLOOKUP($D1000,'WB Data'!$C$3:$M$578,2,FALSE)</f>
        <v>850040458.83963132</v>
      </c>
      <c r="AX1000" s="117">
        <f>VLOOKUP($D1000,'WB Data'!$C$3:$M$578,3,FALSE)</f>
        <v>3672714</v>
      </c>
      <c r="AY1000" s="847">
        <f t="shared" si="164"/>
        <v>3.4646443791717864E-2</v>
      </c>
      <c r="AZ1000" s="117">
        <f>VLOOKUP($D1000,'WB Data'!$C$3:$M$578,4,FALSE)/100</f>
        <v>0.23669902286140398</v>
      </c>
      <c r="BA1000" s="117">
        <f t="shared" si="165"/>
        <v>201203746.00000024</v>
      </c>
      <c r="BB1000" s="129">
        <f>IFERROR(VLOOKUP($D1000,'EITI Revenues'!$C$2:$G$224,5,FALSE),"..")</f>
        <v>29450878.977873351</v>
      </c>
      <c r="BC1000" s="846">
        <f t="shared" si="166"/>
        <v>0.14637341283831423</v>
      </c>
      <c r="BD1000" s="129" t="str">
        <f>VLOOKUP($D1000,'WB Data 2'!$C$2:$K$545,6,FALSE)</f>
        <v>..</v>
      </c>
      <c r="BE1000" s="129">
        <f>IFERROR(VLOOKUP($D1000,UNCTAD!$C$5:$V$529,4,FALSE),"..")</f>
        <v>758570000</v>
      </c>
      <c r="BF1000" s="846" t="str">
        <f t="shared" si="167"/>
        <v>..</v>
      </c>
      <c r="BG1000" s="117">
        <f>VLOOKUP($D1000,'WB Data'!$C$3:$M$578,5,FALSE)</f>
        <v>1250990000</v>
      </c>
      <c r="BH1000" s="129">
        <f>IFERROR($BB1000/$BG1000,"..")</f>
        <v>2.354205787246369E-2</v>
      </c>
      <c r="BI1000" s="117">
        <f>IFERROR(VLOOKUP($D1000,'WB Data'!$C$3:$M$578,7,FALSE)/100,"..")</f>
        <v>3.2612700000000001E-2</v>
      </c>
      <c r="BJ1000" s="117">
        <f>IFERROR($BI1000*$AW1000,"..")</f>
        <v>27722114.471999247</v>
      </c>
      <c r="BK1000" s="846">
        <f>IFERROR($BB1000/$BJ1000,"..")</f>
        <v>1.0623604850784469</v>
      </c>
      <c r="BL1000" s="117">
        <f>IFERROR(VLOOKUP($D1000,'WB Data'!$C$3:$M$578,7,FALSE)/100,"..")</f>
        <v>3.2612700000000001E-2</v>
      </c>
      <c r="BM1000" s="117">
        <f>IFERROR($AW1000*$BL1000,"..")</f>
        <v>27722114.471999247</v>
      </c>
      <c r="BN1000" s="846">
        <f>IFERROR($BB1000/$BM1000,"..")</f>
        <v>1.0623604850784469</v>
      </c>
      <c r="BO1000" s="801">
        <f t="shared" si="163"/>
        <v>37</v>
      </c>
      <c r="BP1000" s="117" t="str">
        <f>VLOOKUP($D1000,'WB Data'!$C$3:$M$578,9,FALSE)</f>
        <v>..</v>
      </c>
      <c r="BQ1000" s="117">
        <f>VLOOKUP($D1000,'WB Data'!$C$3:$M$578,10,FALSE)</f>
        <v>58.107487804878055</v>
      </c>
      <c r="BR1000" s="117">
        <f>VLOOKUP($D1000,'WB Data'!$C$3:$M$578,11,FALSE)</f>
        <v>67.3</v>
      </c>
      <c r="BS1000" s="129">
        <f>IFERROR(VLOOKUP($D1000,'WB Data 2'!$C$2:$K$545,9,FALSE),"..")</f>
        <v>42.623980000000003</v>
      </c>
      <c r="BT1000" s="129">
        <f>_xlfn.IFNA(VLOOKUP($C1000,RGI!$A$2:$C$43,2,FALSE),"..")</f>
        <v>60.5</v>
      </c>
      <c r="BU1000" s="129">
        <f>_xlfn.IFNA(VLOOKUP($C1000,RGI!$A$2:$C$43,3,FALSE),"..")</f>
        <v>61.600874881317473</v>
      </c>
      <c r="BV1000" s="129">
        <f>VLOOKUP($D1000,WGI!$C$2:$O$478,7,FALSE)</f>
        <v>-0.244130800472245</v>
      </c>
      <c r="BW1000" s="129">
        <f>VLOOKUP($D1000,WGI!$C$2:$O$478,4,FALSE)</f>
        <v>-1.2833706522674</v>
      </c>
      <c r="BX1000" s="129">
        <f>VLOOKUP($D1000,WGI!$C$2:$O$478,3,FALSE)</f>
        <v>-1.3146435488689701</v>
      </c>
      <c r="BY1000" s="129">
        <f>VLOOKUP($D1000,WGI!$C$2:$O$478,5,FALSE)</f>
        <v>-1.33582247690553</v>
      </c>
      <c r="BZ1000" s="129">
        <f>VLOOKUP($D1000,WGI!$C$2:$O$478,2,FALSE)</f>
        <v>-0.700397447012164</v>
      </c>
    </row>
    <row r="1001" spans="1:80" ht="15" customHeight="1">
      <c r="A1001" s="294" t="s">
        <v>300</v>
      </c>
      <c r="B1001" s="117">
        <v>2008</v>
      </c>
      <c r="C1001" s="117" t="s">
        <v>301</v>
      </c>
      <c r="D1001" s="117" t="s">
        <v>3602</v>
      </c>
      <c r="E1001" s="452" t="s">
        <v>86</v>
      </c>
      <c r="F1001" s="117"/>
      <c r="G1001" s="117" t="s">
        <v>24</v>
      </c>
      <c r="H1001" s="117" t="str">
        <f t="shared" si="171"/>
        <v>yes</v>
      </c>
      <c r="I1001" s="117" t="str">
        <f t="shared" si="168"/>
        <v>no</v>
      </c>
      <c r="J1001" s="117" t="str">
        <f t="shared" si="169"/>
        <v>no</v>
      </c>
      <c r="K1001" s="117" t="s">
        <v>1601</v>
      </c>
      <c r="L1001" s="117" t="str">
        <f t="shared" si="172"/>
        <v>detailed</v>
      </c>
      <c r="M1001" s="117" t="str">
        <f t="shared" si="170"/>
        <v>detailed Mining</v>
      </c>
      <c r="N1001" s="118">
        <f>((6500/365)*184)+((4000/365)*181)</f>
        <v>5260.2739726027394</v>
      </c>
      <c r="O1001" s="118"/>
      <c r="P1001" s="118"/>
      <c r="Q1001" s="118"/>
      <c r="R1001" s="118"/>
      <c r="S1001" s="117" t="s">
        <v>610</v>
      </c>
      <c r="T1001" s="119">
        <v>9.1300000000000008</v>
      </c>
      <c r="U1001" s="117" t="s">
        <v>611</v>
      </c>
      <c r="V1001" s="117" t="s">
        <v>1602</v>
      </c>
      <c r="W1001" s="89">
        <f>N1001*T1001</f>
        <v>48026.301369863017</v>
      </c>
      <c r="X1001" s="117"/>
      <c r="Y1001" s="117"/>
      <c r="Z1001" s="117"/>
      <c r="AA1001" s="89"/>
      <c r="AB1001" s="89"/>
      <c r="AC1001" s="240"/>
      <c r="AD1001" s="240"/>
      <c r="AE1001" s="240"/>
      <c r="AF1001" s="241"/>
      <c r="AG1001" s="117"/>
      <c r="AH1001" s="124"/>
      <c r="AI1001" s="117"/>
      <c r="AJ1001" s="117"/>
      <c r="AK1001" s="89"/>
      <c r="AL1001" s="117"/>
      <c r="AM1001" s="120"/>
      <c r="AN1001" s="120"/>
      <c r="AO1001" s="117"/>
      <c r="AP1001" s="117"/>
      <c r="AQ1001" s="117"/>
      <c r="AR1001" s="117"/>
      <c r="AS1001" s="117"/>
      <c r="AT1001" s="117"/>
      <c r="AU1001" s="117"/>
      <c r="AV1001" s="128" t="s">
        <v>1596</v>
      </c>
      <c r="AW1001" s="117">
        <f>VLOOKUP($D1001,'WB Data'!$C$3:$M$578,2,FALSE)</f>
        <v>850040458.83963132</v>
      </c>
      <c r="AX1001" s="117">
        <f>VLOOKUP($D1001,'WB Data'!$C$3:$M$578,3,FALSE)</f>
        <v>3672714</v>
      </c>
      <c r="AY1001" s="847">
        <f t="shared" si="164"/>
        <v>3.4646443791717864E-2</v>
      </c>
      <c r="AZ1001" s="117">
        <f>VLOOKUP($D1001,'WB Data'!$C$3:$M$578,4,FALSE)/100</f>
        <v>0.23669902286140398</v>
      </c>
      <c r="BA1001" s="117">
        <f t="shared" si="165"/>
        <v>201203746.00000024</v>
      </c>
      <c r="BB1001" s="129">
        <f>IFERROR(VLOOKUP($D1001,'EITI Revenues'!$C$2:$G$224,5,FALSE),"..")</f>
        <v>29450878.977873351</v>
      </c>
      <c r="BC1001" s="846">
        <f t="shared" si="166"/>
        <v>0.14637341283831423</v>
      </c>
      <c r="BD1001" s="129" t="str">
        <f>VLOOKUP($D1001,'WB Data 2'!$C$2:$K$545,6,FALSE)</f>
        <v>..</v>
      </c>
      <c r="BE1001" s="129">
        <f>IFERROR(VLOOKUP($D1001,UNCTAD!$C$5:$V$529,4,FALSE),"..")</f>
        <v>758570000</v>
      </c>
      <c r="BF1001" s="846" t="str">
        <f t="shared" si="167"/>
        <v>..</v>
      </c>
      <c r="BG1001" s="117">
        <f>VLOOKUP($D1001,'WB Data'!$C$3:$M$578,5,FALSE)</f>
        <v>1250990000</v>
      </c>
      <c r="BH1001" s="129">
        <f>IFERROR($BB1001/$BG1001,"..")</f>
        <v>2.354205787246369E-2</v>
      </c>
      <c r="BI1001" s="117">
        <f>IFERROR(VLOOKUP($D1001,'WB Data'!$C$3:$M$578,7,FALSE)/100,"..")</f>
        <v>3.2612700000000001E-2</v>
      </c>
      <c r="BJ1001" s="117">
        <f>IFERROR($BI1001*$AW1001,"..")</f>
        <v>27722114.471999247</v>
      </c>
      <c r="BK1001" s="846">
        <f>IFERROR($BB1001/$BJ1001,"..")</f>
        <v>1.0623604850784469</v>
      </c>
      <c r="BL1001" s="117">
        <f>IFERROR(VLOOKUP($D1001,'WB Data'!$C$3:$M$578,7,FALSE)/100,"..")</f>
        <v>3.2612700000000001E-2</v>
      </c>
      <c r="BM1001" s="117">
        <f>IFERROR($AW1001*$BL1001,"..")</f>
        <v>27722114.471999247</v>
      </c>
      <c r="BN1001" s="846">
        <f>IFERROR($BB1001/$BM1001,"..")</f>
        <v>1.0623604850784469</v>
      </c>
      <c r="BO1001" s="801">
        <f t="shared" si="163"/>
        <v>37</v>
      </c>
      <c r="BP1001" s="117" t="str">
        <f>VLOOKUP($D1001,'WB Data'!$C$3:$M$578,9,FALSE)</f>
        <v>..</v>
      </c>
      <c r="BQ1001" s="117">
        <f>VLOOKUP($D1001,'WB Data'!$C$3:$M$578,10,FALSE)</f>
        <v>58.107487804878055</v>
      </c>
      <c r="BR1001" s="117">
        <f>VLOOKUP($D1001,'WB Data'!$C$3:$M$578,11,FALSE)</f>
        <v>67.3</v>
      </c>
      <c r="BS1001" s="129">
        <f>IFERROR(VLOOKUP($D1001,'WB Data 2'!$C$2:$K$545,9,FALSE),"..")</f>
        <v>42.623980000000003</v>
      </c>
      <c r="BT1001" s="129">
        <f>_xlfn.IFNA(VLOOKUP($C1001,RGI!$A$2:$C$43,2,FALSE),"..")</f>
        <v>60.5</v>
      </c>
      <c r="BU1001" s="129">
        <f>_xlfn.IFNA(VLOOKUP($C1001,RGI!$A$2:$C$43,3,FALSE),"..")</f>
        <v>61.600874881317473</v>
      </c>
      <c r="BV1001" s="129">
        <f>VLOOKUP($D1001,WGI!$C$2:$O$478,7,FALSE)</f>
        <v>-0.244130800472245</v>
      </c>
      <c r="BW1001" s="129">
        <f>VLOOKUP($D1001,WGI!$C$2:$O$478,4,FALSE)</f>
        <v>-1.2833706522674</v>
      </c>
      <c r="BX1001" s="129">
        <f>VLOOKUP($D1001,WGI!$C$2:$O$478,3,FALSE)</f>
        <v>-1.3146435488689701</v>
      </c>
      <c r="BY1001" s="129">
        <f>VLOOKUP($D1001,WGI!$C$2:$O$478,5,FALSE)</f>
        <v>-1.33582247690553</v>
      </c>
      <c r="BZ1001" s="129">
        <f>VLOOKUP($D1001,WGI!$C$2:$O$478,2,FALSE)</f>
        <v>-0.700397447012164</v>
      </c>
    </row>
    <row r="1002" spans="1:80" ht="15" customHeight="1">
      <c r="A1002" s="295" t="s">
        <v>300</v>
      </c>
      <c r="B1002" s="149">
        <v>2008</v>
      </c>
      <c r="C1002" s="149" t="s">
        <v>301</v>
      </c>
      <c r="D1002" s="117" t="s">
        <v>3602</v>
      </c>
      <c r="E1002" s="453" t="s">
        <v>86</v>
      </c>
      <c r="F1002" s="117"/>
      <c r="G1002" s="117" t="s">
        <v>1603</v>
      </c>
      <c r="H1002" s="117" t="str">
        <f t="shared" si="171"/>
        <v>no</v>
      </c>
      <c r="I1002" s="117" t="str">
        <f t="shared" si="168"/>
        <v>no</v>
      </c>
      <c r="J1002" s="117" t="str">
        <f t="shared" si="169"/>
        <v>no</v>
      </c>
      <c r="K1002" s="117" t="s">
        <v>1604</v>
      </c>
      <c r="L1002" s="117" t="str">
        <f t="shared" si="172"/>
        <v>detailed</v>
      </c>
      <c r="M1002" s="117" t="str">
        <f t="shared" si="170"/>
        <v>detailed Other</v>
      </c>
      <c r="N1002" s="118"/>
      <c r="O1002" s="118"/>
      <c r="P1002" s="118"/>
      <c r="Q1002" s="118"/>
      <c r="R1002" s="118"/>
      <c r="S1002" s="117"/>
      <c r="T1002" s="119"/>
      <c r="U1002" s="117"/>
      <c r="V1002" s="117"/>
      <c r="W1002" s="89"/>
      <c r="X1002" s="117"/>
      <c r="Y1002" s="117"/>
      <c r="Z1002" s="117"/>
      <c r="AA1002" s="89">
        <f>26141406+(48100/AH994)</f>
        <v>26142178.913916059</v>
      </c>
      <c r="AB1002" s="89">
        <f>26138742+(25000/AH994)</f>
        <v>26139143.722409595</v>
      </c>
      <c r="AC1002" s="240"/>
      <c r="AD1002" s="240"/>
      <c r="AE1002" s="240"/>
      <c r="AF1002" s="241"/>
      <c r="AG1002" s="117"/>
      <c r="AH1002" s="124"/>
      <c r="AI1002" s="117"/>
      <c r="AJ1002" s="117"/>
      <c r="AK1002" s="89"/>
      <c r="AL1002" s="117"/>
      <c r="AM1002" s="117"/>
      <c r="AN1002" s="117"/>
      <c r="AO1002" s="117" t="s">
        <v>1605</v>
      </c>
      <c r="AP1002" s="117">
        <v>2</v>
      </c>
      <c r="AQ1002" s="117"/>
      <c r="AR1002" s="117"/>
      <c r="AS1002" s="117"/>
      <c r="AT1002" s="117"/>
      <c r="AU1002" s="117" t="s">
        <v>1554</v>
      </c>
      <c r="AV1002" s="128"/>
      <c r="AW1002" s="117">
        <f>VLOOKUP($D1002,'WB Data'!$C$3:$M$578,2,FALSE)</f>
        <v>850040458.83963132</v>
      </c>
      <c r="AX1002" s="117">
        <f>VLOOKUP($D1002,'WB Data'!$C$3:$M$578,3,FALSE)</f>
        <v>3672714</v>
      </c>
      <c r="AY1002" s="847">
        <f t="shared" si="164"/>
        <v>3.4646443791717864E-2</v>
      </c>
      <c r="AZ1002" s="117">
        <f>VLOOKUP($D1002,'WB Data'!$C$3:$M$578,4,FALSE)/100</f>
        <v>0.23669902286140398</v>
      </c>
      <c r="BA1002" s="117">
        <f t="shared" si="165"/>
        <v>201203746.00000024</v>
      </c>
      <c r="BB1002" s="129">
        <f>IFERROR(VLOOKUP($D1002,'EITI Revenues'!$C$2:$G$224,5,FALSE),"..")</f>
        <v>29450878.977873351</v>
      </c>
      <c r="BC1002" s="846">
        <f t="shared" si="166"/>
        <v>0.14637341283831423</v>
      </c>
      <c r="BD1002" s="129" t="str">
        <f>VLOOKUP($D1002,'WB Data 2'!$C$2:$K$545,6,FALSE)</f>
        <v>..</v>
      </c>
      <c r="BE1002" s="129">
        <f>IFERROR(VLOOKUP($D1002,UNCTAD!$C$5:$V$529,4,FALSE),"..")</f>
        <v>758570000</v>
      </c>
      <c r="BF1002" s="846" t="str">
        <f t="shared" si="167"/>
        <v>..</v>
      </c>
      <c r="BG1002" s="117">
        <f>VLOOKUP($D1002,'WB Data'!$C$3:$M$578,5,FALSE)</f>
        <v>1250990000</v>
      </c>
      <c r="BH1002" s="129">
        <f>IFERROR($BB1002/$BG1002,"..")</f>
        <v>2.354205787246369E-2</v>
      </c>
      <c r="BI1002" s="117">
        <f>IFERROR(VLOOKUP($D1002,'WB Data'!$C$3:$M$578,7,FALSE)/100,"..")</f>
        <v>3.2612700000000001E-2</v>
      </c>
      <c r="BJ1002" s="117">
        <f>IFERROR($BI1002*$AW1002,"..")</f>
        <v>27722114.471999247</v>
      </c>
      <c r="BK1002" s="846">
        <f>IFERROR($BB1002/$BJ1002,"..")</f>
        <v>1.0623604850784469</v>
      </c>
      <c r="BL1002" s="117">
        <f>IFERROR(VLOOKUP($D1002,'WB Data'!$C$3:$M$578,7,FALSE)/100,"..")</f>
        <v>3.2612700000000001E-2</v>
      </c>
      <c r="BM1002" s="117">
        <f>IFERROR($AW1002*$BL1002,"..")</f>
        <v>27722114.471999247</v>
      </c>
      <c r="BN1002" s="846">
        <f>IFERROR($BB1002/$BM1002,"..")</f>
        <v>1.0623604850784469</v>
      </c>
      <c r="BO1002" s="801">
        <f t="shared" si="163"/>
        <v>37</v>
      </c>
      <c r="BP1002" s="117" t="str">
        <f>VLOOKUP($D1002,'WB Data'!$C$3:$M$578,9,FALSE)</f>
        <v>..</v>
      </c>
      <c r="BQ1002" s="117">
        <f>VLOOKUP($D1002,'WB Data'!$C$3:$M$578,10,FALSE)</f>
        <v>58.107487804878055</v>
      </c>
      <c r="BR1002" s="117">
        <f>VLOOKUP($D1002,'WB Data'!$C$3:$M$578,11,FALSE)</f>
        <v>67.3</v>
      </c>
      <c r="BS1002" s="129">
        <f>IFERROR(VLOOKUP($D1002,'WB Data 2'!$C$2:$K$545,9,FALSE),"..")</f>
        <v>42.623980000000003</v>
      </c>
      <c r="BT1002" s="129">
        <f>_xlfn.IFNA(VLOOKUP($C1002,RGI!$A$2:$C$43,2,FALSE),"..")</f>
        <v>60.5</v>
      </c>
      <c r="BU1002" s="129">
        <f>_xlfn.IFNA(VLOOKUP($C1002,RGI!$A$2:$C$43,3,FALSE),"..")</f>
        <v>61.600874881317473</v>
      </c>
      <c r="BV1002" s="129">
        <f>VLOOKUP($D1002,WGI!$C$2:$O$478,7,FALSE)</f>
        <v>-0.244130800472245</v>
      </c>
      <c r="BW1002" s="129">
        <f>VLOOKUP($D1002,WGI!$C$2:$O$478,4,FALSE)</f>
        <v>-1.2833706522674</v>
      </c>
      <c r="BX1002" s="129">
        <f>VLOOKUP($D1002,WGI!$C$2:$O$478,3,FALSE)</f>
        <v>-1.3146435488689701</v>
      </c>
      <c r="BY1002" s="129">
        <f>VLOOKUP($D1002,WGI!$C$2:$O$478,5,FALSE)</f>
        <v>-1.33582247690553</v>
      </c>
      <c r="BZ1002" s="129">
        <f>VLOOKUP($D1002,WGI!$C$2:$O$478,2,FALSE)</f>
        <v>-0.700397447012164</v>
      </c>
    </row>
    <row r="1003" spans="1:80" s="144" customFormat="1" ht="15" customHeight="1">
      <c r="A1003" s="279" t="s">
        <v>305</v>
      </c>
      <c r="B1003" s="132">
        <v>2009</v>
      </c>
      <c r="C1003" s="132" t="s">
        <v>301</v>
      </c>
      <c r="D1003" s="117" t="s">
        <v>3636</v>
      </c>
      <c r="E1003" s="132" t="s">
        <v>86</v>
      </c>
      <c r="F1003" s="132" t="s">
        <v>1587</v>
      </c>
      <c r="G1003" s="132" t="s">
        <v>519</v>
      </c>
      <c r="H1003" s="117" t="str">
        <f t="shared" si="171"/>
        <v>yes</v>
      </c>
      <c r="I1003" s="117" t="str">
        <f t="shared" si="168"/>
        <v>no</v>
      </c>
      <c r="J1003" s="117" t="str">
        <f t="shared" si="169"/>
        <v>no</v>
      </c>
      <c r="K1003" s="132" t="s">
        <v>709</v>
      </c>
      <c r="L1003" s="117" t="str">
        <f t="shared" si="172"/>
        <v>Total</v>
      </c>
      <c r="M1003" s="117" t="str">
        <f t="shared" si="170"/>
        <v>Total Oil, Mining, Other</v>
      </c>
      <c r="N1003" s="133"/>
      <c r="O1003" s="133"/>
      <c r="P1003" s="133"/>
      <c r="Q1003" s="133"/>
      <c r="R1003" s="133"/>
      <c r="S1003" s="132"/>
      <c r="T1003" s="134"/>
      <c r="U1003" s="132"/>
      <c r="V1003" s="132"/>
      <c r="W1003" s="299">
        <f>W1004+W1005+W1011+W1012</f>
        <v>35773679.580103055</v>
      </c>
      <c r="X1003" s="132" t="s">
        <v>998</v>
      </c>
      <c r="Y1003" s="132" t="s">
        <v>602</v>
      </c>
      <c r="Z1003" s="132" t="s">
        <v>603</v>
      </c>
      <c r="AA1003" s="238">
        <v>35425230</v>
      </c>
      <c r="AB1003" s="238">
        <v>35280235</v>
      </c>
      <c r="AC1003" s="226"/>
      <c r="AD1003" s="226"/>
      <c r="AE1003" s="226"/>
      <c r="AF1003" s="227">
        <f>AA1003/W1003</f>
        <v>0.99025961030028187</v>
      </c>
      <c r="AG1003" s="132" t="s">
        <v>864</v>
      </c>
      <c r="AH1003" s="140"/>
      <c r="AI1003" s="132" t="s">
        <v>605</v>
      </c>
      <c r="AJ1003" s="132"/>
      <c r="AK1003" s="135"/>
      <c r="AL1003" s="132"/>
      <c r="AM1003" s="132"/>
      <c r="AN1003" s="132">
        <v>72</v>
      </c>
      <c r="AO1003" s="132" t="s">
        <v>1606</v>
      </c>
      <c r="AP1003" s="132">
        <v>65</v>
      </c>
      <c r="AQ1003" s="389" t="s">
        <v>154</v>
      </c>
      <c r="AR1003" s="141">
        <v>41900</v>
      </c>
      <c r="AS1003" s="132" t="s">
        <v>838</v>
      </c>
      <c r="AT1003" s="132" t="s">
        <v>307</v>
      </c>
      <c r="AU1003" s="132">
        <v>4</v>
      </c>
      <c r="AV1003" s="143" t="s">
        <v>1607</v>
      </c>
      <c r="AW1003" s="117">
        <f>VLOOKUP($D1003,'WB Data'!$C$3:$M$578,2,FALSE)</f>
        <v>1155146229.7859976</v>
      </c>
      <c r="AX1003" s="117">
        <f>VLOOKUP($D1003,'WB Data'!$C$3:$M$578,3,FALSE)</f>
        <v>3821440</v>
      </c>
      <c r="AY1003" s="847">
        <f t="shared" si="164"/>
        <v>3.0667312143297112E-2</v>
      </c>
      <c r="AZ1003" s="117" t="e">
        <f>VLOOKUP($D1003,'WB Data'!$C$3:$M$578,4,FALSE)/100</f>
        <v>#VALUE!</v>
      </c>
      <c r="BA1003" s="117" t="str">
        <f t="shared" si="165"/>
        <v>..</v>
      </c>
      <c r="BB1003" s="129">
        <f>IFERROR(VLOOKUP($D1003,'EITI Revenues'!$C$2:$G$224,5,FALSE),"..")</f>
        <v>35425230</v>
      </c>
      <c r="BC1003" s="846" t="str">
        <f t="shared" si="166"/>
        <v>..</v>
      </c>
      <c r="BD1003" s="129" t="str">
        <f>VLOOKUP($D1003,'WB Data 2'!$C$2:$K$545,6,FALSE)</f>
        <v>..</v>
      </c>
      <c r="BE1003" s="129">
        <f>IFERROR(VLOOKUP($D1003,UNCTAD!$C$5:$V$529,4,FALSE),"..")</f>
        <v>454073000</v>
      </c>
      <c r="BF1003" s="846" t="str">
        <f t="shared" si="167"/>
        <v>..</v>
      </c>
      <c r="BG1003" s="117">
        <f>VLOOKUP($D1003,'WB Data'!$C$3:$M$578,5,FALSE)</f>
        <v>512570000.00000006</v>
      </c>
      <c r="BH1003" s="129">
        <f>IFERROR($BB1003/$BG1003,"..")</f>
        <v>6.9112960181048427E-2</v>
      </c>
      <c r="BI1003" s="117" t="str">
        <f>IFERROR(VLOOKUP($D1003,'WB Data'!$C$3:$M$578,7,FALSE)/100,"..")</f>
        <v>..</v>
      </c>
      <c r="BJ1003" s="117" t="str">
        <f>IFERROR($BI1003*$AW1003,"..")</f>
        <v>..</v>
      </c>
      <c r="BK1003" s="846" t="str">
        <f>IFERROR($BB1003/$BJ1003,"..")</f>
        <v>..</v>
      </c>
      <c r="BL1003" s="117" t="str">
        <f>IFERROR(VLOOKUP($D1003,'WB Data'!$C$3:$M$578,7,FALSE)/100,"..")</f>
        <v>..</v>
      </c>
      <c r="BM1003" s="117" t="str">
        <f>IFERROR($AW1003*$BL1003,"..")</f>
        <v>..</v>
      </c>
      <c r="BN1003" s="846" t="str">
        <f>IFERROR($BB1003/$BM1003,"..")</f>
        <v>..</v>
      </c>
      <c r="BO1003" s="801">
        <f t="shared" si="163"/>
        <v>37</v>
      </c>
      <c r="BP1003" s="117" t="str">
        <f>VLOOKUP($D1003,'WB Data'!$C$3:$M$578,9,FALSE)</f>
        <v>..</v>
      </c>
      <c r="BQ1003" s="117">
        <f>VLOOKUP($D1003,'WB Data'!$C$3:$M$578,10,FALSE)</f>
        <v>58.859195121951224</v>
      </c>
      <c r="BR1003" s="117">
        <f>VLOOKUP($D1003,'WB Data'!$C$3:$M$578,11,FALSE)</f>
        <v>63.5</v>
      </c>
      <c r="BS1003" s="129">
        <f>IFERROR(VLOOKUP($D1003,'WB Data 2'!$C$2:$K$545,9,FALSE),"..")</f>
        <v>40.164589999999997</v>
      </c>
      <c r="BT1003" s="129">
        <f>_xlfn.IFNA(VLOOKUP($C1003,RGI!$A$2:$C$43,2,FALSE),"..")</f>
        <v>60.5</v>
      </c>
      <c r="BU1003" s="129">
        <f>_xlfn.IFNA(VLOOKUP($C1003,RGI!$A$2:$C$43,3,FALSE),"..")</f>
        <v>61.600874881317473</v>
      </c>
      <c r="BV1003" s="129">
        <f>VLOOKUP($D1003,WGI!$C$2:$O$478,7,FALSE)</f>
        <v>-0.20433352732342799</v>
      </c>
      <c r="BW1003" s="129">
        <f>VLOOKUP($D1003,WGI!$C$2:$O$478,4,FALSE)</f>
        <v>-1.0754025802234199</v>
      </c>
      <c r="BX1003" s="129">
        <f>VLOOKUP($D1003,WGI!$C$2:$O$478,3,FALSE)</f>
        <v>-1.2388153058748701</v>
      </c>
      <c r="BY1003" s="129">
        <f>VLOOKUP($D1003,WGI!$C$2:$O$478,5,FALSE)</f>
        <v>-1.19120965876653</v>
      </c>
      <c r="BZ1003" s="129">
        <f>VLOOKUP($D1003,WGI!$C$2:$O$478,2,FALSE)</f>
        <v>-0.56271051797997396</v>
      </c>
      <c r="CB1003" s="129"/>
    </row>
    <row r="1004" spans="1:80" s="120" customFormat="1" ht="15" customHeight="1">
      <c r="A1004" s="280" t="s">
        <v>305</v>
      </c>
      <c r="B1004" s="117">
        <v>2009</v>
      </c>
      <c r="C1004" s="117" t="s">
        <v>301</v>
      </c>
      <c r="D1004" s="117" t="s">
        <v>3636</v>
      </c>
      <c r="E1004" s="117" t="s">
        <v>86</v>
      </c>
      <c r="F1004" s="117"/>
      <c r="G1004" s="117" t="s">
        <v>103</v>
      </c>
      <c r="H1004" s="117" t="str">
        <f t="shared" si="171"/>
        <v>no</v>
      </c>
      <c r="I1004" s="117" t="str">
        <f t="shared" si="168"/>
        <v>no</v>
      </c>
      <c r="J1004" s="117" t="str">
        <f t="shared" si="169"/>
        <v>yes</v>
      </c>
      <c r="K1004" s="117" t="s">
        <v>103</v>
      </c>
      <c r="L1004" s="117" t="str">
        <f t="shared" si="172"/>
        <v>detailed</v>
      </c>
      <c r="M1004" s="117" t="str">
        <f t="shared" si="170"/>
        <v>detailed Oil</v>
      </c>
      <c r="N1004" s="118">
        <v>0</v>
      </c>
      <c r="O1004" s="118"/>
      <c r="P1004" s="118"/>
      <c r="Q1004" s="118"/>
      <c r="R1004" s="118"/>
      <c r="S1004" s="117" t="s">
        <v>646</v>
      </c>
      <c r="T1004" s="119"/>
      <c r="U1004" s="117"/>
      <c r="V1004" s="117" t="s">
        <v>647</v>
      </c>
      <c r="W1004" s="89">
        <f>N1004*T1004</f>
        <v>0</v>
      </c>
      <c r="X1004" s="117"/>
      <c r="Y1004" s="117"/>
      <c r="Z1004" s="117"/>
      <c r="AA1004" s="89">
        <v>4460685</v>
      </c>
      <c r="AB1004" s="89">
        <v>4460685</v>
      </c>
      <c r="AC1004" s="240"/>
      <c r="AD1004" s="240"/>
      <c r="AE1004" s="240"/>
      <c r="AF1004" s="241"/>
      <c r="AG1004" s="117"/>
      <c r="AH1004" s="124"/>
      <c r="AI1004" s="117"/>
      <c r="AJ1004" s="117"/>
      <c r="AK1004" s="89"/>
      <c r="AL1004" s="117"/>
      <c r="AM1004" s="117"/>
      <c r="AN1004" s="117">
        <v>5</v>
      </c>
      <c r="AO1004" s="117" t="s">
        <v>1608</v>
      </c>
      <c r="AP1004" s="117">
        <v>5</v>
      </c>
      <c r="AQ1004" s="117"/>
      <c r="AR1004" s="117"/>
      <c r="AS1004" s="117"/>
      <c r="AT1004" s="117"/>
      <c r="AU1004" s="117">
        <v>7</v>
      </c>
      <c r="AV1004" s="128"/>
      <c r="AW1004" s="117">
        <f>VLOOKUP($D1004,'WB Data'!$C$3:$M$578,2,FALSE)</f>
        <v>1155146229.7859976</v>
      </c>
      <c r="AX1004" s="117">
        <f>VLOOKUP($D1004,'WB Data'!$C$3:$M$578,3,FALSE)</f>
        <v>3821440</v>
      </c>
      <c r="AY1004" s="847">
        <f t="shared" si="164"/>
        <v>3.0667312143297112E-2</v>
      </c>
      <c r="AZ1004" s="117" t="e">
        <f>VLOOKUP($D1004,'WB Data'!$C$3:$M$578,4,FALSE)/100</f>
        <v>#VALUE!</v>
      </c>
      <c r="BA1004" s="117" t="str">
        <f t="shared" si="165"/>
        <v>..</v>
      </c>
      <c r="BB1004" s="129">
        <f>IFERROR(VLOOKUP($D1004,'EITI Revenues'!$C$2:$G$224,5,FALSE),"..")</f>
        <v>35425230</v>
      </c>
      <c r="BC1004" s="846" t="str">
        <f t="shared" si="166"/>
        <v>..</v>
      </c>
      <c r="BD1004" s="129" t="str">
        <f>VLOOKUP($D1004,'WB Data 2'!$C$2:$K$545,6,FALSE)</f>
        <v>..</v>
      </c>
      <c r="BE1004" s="129">
        <f>IFERROR(VLOOKUP($D1004,UNCTAD!$C$5:$V$529,4,FALSE),"..")</f>
        <v>454073000</v>
      </c>
      <c r="BF1004" s="846" t="str">
        <f t="shared" si="167"/>
        <v>..</v>
      </c>
      <c r="BG1004" s="117">
        <f>VLOOKUP($D1004,'WB Data'!$C$3:$M$578,5,FALSE)</f>
        <v>512570000.00000006</v>
      </c>
      <c r="BH1004" s="129">
        <f>IFERROR($BB1004/$BG1004,"..")</f>
        <v>6.9112960181048427E-2</v>
      </c>
      <c r="BI1004" s="117" t="str">
        <f>IFERROR(VLOOKUP($D1004,'WB Data'!$C$3:$M$578,7,FALSE)/100,"..")</f>
        <v>..</v>
      </c>
      <c r="BJ1004" s="117" t="str">
        <f>IFERROR($BI1004*$AW1004,"..")</f>
        <v>..</v>
      </c>
      <c r="BK1004" s="846" t="str">
        <f>IFERROR($BB1004/$BJ1004,"..")</f>
        <v>..</v>
      </c>
      <c r="BL1004" s="117" t="str">
        <f>IFERROR(VLOOKUP($D1004,'WB Data'!$C$3:$M$578,7,FALSE)/100,"..")</f>
        <v>..</v>
      </c>
      <c r="BM1004" s="117" t="str">
        <f>IFERROR($AW1004*$BL1004,"..")</f>
        <v>..</v>
      </c>
      <c r="BN1004" s="846" t="str">
        <f>IFERROR($BB1004/$BM1004,"..")</f>
        <v>..</v>
      </c>
      <c r="BO1004" s="801">
        <f t="shared" si="163"/>
        <v>37</v>
      </c>
      <c r="BP1004" s="117" t="str">
        <f>VLOOKUP($D1004,'WB Data'!$C$3:$M$578,9,FALSE)</f>
        <v>..</v>
      </c>
      <c r="BQ1004" s="117">
        <f>VLOOKUP($D1004,'WB Data'!$C$3:$M$578,10,FALSE)</f>
        <v>58.859195121951224</v>
      </c>
      <c r="BR1004" s="117">
        <f>VLOOKUP($D1004,'WB Data'!$C$3:$M$578,11,FALSE)</f>
        <v>63.5</v>
      </c>
      <c r="BS1004" s="129">
        <f>IFERROR(VLOOKUP($D1004,'WB Data 2'!$C$2:$K$545,9,FALSE),"..")</f>
        <v>40.164589999999997</v>
      </c>
      <c r="BT1004" s="129">
        <f>_xlfn.IFNA(VLOOKUP($C1004,RGI!$A$2:$C$43,2,FALSE),"..")</f>
        <v>60.5</v>
      </c>
      <c r="BU1004" s="129">
        <f>_xlfn.IFNA(VLOOKUP($C1004,RGI!$A$2:$C$43,3,FALSE),"..")</f>
        <v>61.600874881317473</v>
      </c>
      <c r="BV1004" s="129">
        <f>VLOOKUP($D1004,WGI!$C$2:$O$478,7,FALSE)</f>
        <v>-0.20433352732342799</v>
      </c>
      <c r="BW1004" s="129">
        <f>VLOOKUP($D1004,WGI!$C$2:$O$478,4,FALSE)</f>
        <v>-1.0754025802234199</v>
      </c>
      <c r="BX1004" s="129">
        <f>VLOOKUP($D1004,WGI!$C$2:$O$478,3,FALSE)</f>
        <v>-1.2388153058748701</v>
      </c>
      <c r="BY1004" s="129">
        <f>VLOOKUP($D1004,WGI!$C$2:$O$478,5,FALSE)</f>
        <v>-1.19120965876653</v>
      </c>
      <c r="BZ1004" s="129">
        <f>VLOOKUP($D1004,WGI!$C$2:$O$478,2,FALSE)</f>
        <v>-0.56271051797997396</v>
      </c>
      <c r="CB1004" s="129"/>
    </row>
    <row r="1005" spans="1:80" s="120" customFormat="1" ht="15" customHeight="1">
      <c r="A1005" s="280" t="s">
        <v>305</v>
      </c>
      <c r="B1005" s="117">
        <v>2009</v>
      </c>
      <c r="C1005" s="117" t="s">
        <v>301</v>
      </c>
      <c r="D1005" s="117" t="s">
        <v>3636</v>
      </c>
      <c r="E1005" s="117" t="s">
        <v>86</v>
      </c>
      <c r="F1005" s="117"/>
      <c r="G1005" s="117" t="s">
        <v>24</v>
      </c>
      <c r="H1005" s="117" t="str">
        <f t="shared" si="171"/>
        <v>yes</v>
      </c>
      <c r="I1005" s="117" t="str">
        <f t="shared" si="168"/>
        <v>no</v>
      </c>
      <c r="J1005" s="117" t="str">
        <f t="shared" si="169"/>
        <v>no</v>
      </c>
      <c r="K1005" s="117" t="s">
        <v>600</v>
      </c>
      <c r="L1005" s="117" t="str">
        <f t="shared" si="172"/>
        <v>Total</v>
      </c>
      <c r="M1005" s="117" t="str">
        <f t="shared" si="170"/>
        <v>Total Mining</v>
      </c>
      <c r="N1005" s="118"/>
      <c r="O1005" s="118"/>
      <c r="P1005" s="118"/>
      <c r="Q1005" s="118"/>
      <c r="R1005" s="118"/>
      <c r="S1005" s="117"/>
      <c r="T1005" s="119"/>
      <c r="U1005" s="117"/>
      <c r="V1005" s="117"/>
      <c r="W1005" s="89">
        <f>SUM(W1006:W1010)</f>
        <v>35773679.580103055</v>
      </c>
      <c r="X1005" s="117"/>
      <c r="Y1005" s="117"/>
      <c r="Z1005" s="117"/>
      <c r="AA1005" s="89">
        <v>10816190</v>
      </c>
      <c r="AB1005" s="89">
        <v>10632601</v>
      </c>
      <c r="AC1005" s="240"/>
      <c r="AD1005" s="240"/>
      <c r="AE1005" s="240"/>
      <c r="AF1005" s="241">
        <f>AA1005/W1005</f>
        <v>0.30235050257496721</v>
      </c>
      <c r="AG1005" s="117"/>
      <c r="AH1005" s="124"/>
      <c r="AI1005" s="117"/>
      <c r="AJ1005" s="117"/>
      <c r="AK1005" s="89"/>
      <c r="AL1005" s="117"/>
      <c r="AM1005" s="117"/>
      <c r="AN1005" s="117">
        <v>38</v>
      </c>
      <c r="AO1005" s="117" t="s">
        <v>1609</v>
      </c>
      <c r="AP1005" s="117">
        <v>35</v>
      </c>
      <c r="AQ1005" s="117"/>
      <c r="AR1005" s="117"/>
      <c r="AS1005" s="117"/>
      <c r="AT1005" s="117"/>
      <c r="AU1005" s="117">
        <v>6</v>
      </c>
      <c r="AV1005" s="128"/>
      <c r="AW1005" s="117">
        <f>VLOOKUP($D1005,'WB Data'!$C$3:$M$578,2,FALSE)</f>
        <v>1155146229.7859976</v>
      </c>
      <c r="AX1005" s="117">
        <f>VLOOKUP($D1005,'WB Data'!$C$3:$M$578,3,FALSE)</f>
        <v>3821440</v>
      </c>
      <c r="AY1005" s="847">
        <f t="shared" si="164"/>
        <v>3.0667312143297112E-2</v>
      </c>
      <c r="AZ1005" s="117" t="e">
        <f>VLOOKUP($D1005,'WB Data'!$C$3:$M$578,4,FALSE)/100</f>
        <v>#VALUE!</v>
      </c>
      <c r="BA1005" s="117" t="str">
        <f t="shared" si="165"/>
        <v>..</v>
      </c>
      <c r="BB1005" s="129">
        <f>IFERROR(VLOOKUP($D1005,'EITI Revenues'!$C$2:$G$224,5,FALSE),"..")</f>
        <v>35425230</v>
      </c>
      <c r="BC1005" s="846" t="str">
        <f t="shared" si="166"/>
        <v>..</v>
      </c>
      <c r="BD1005" s="129" t="str">
        <f>VLOOKUP($D1005,'WB Data 2'!$C$2:$K$545,6,FALSE)</f>
        <v>..</v>
      </c>
      <c r="BE1005" s="129">
        <f>IFERROR(VLOOKUP($D1005,UNCTAD!$C$5:$V$529,4,FALSE),"..")</f>
        <v>454073000</v>
      </c>
      <c r="BF1005" s="846" t="str">
        <f t="shared" si="167"/>
        <v>..</v>
      </c>
      <c r="BG1005" s="117">
        <f>VLOOKUP($D1005,'WB Data'!$C$3:$M$578,5,FALSE)</f>
        <v>512570000.00000006</v>
      </c>
      <c r="BH1005" s="129">
        <f>IFERROR($BB1005/$BG1005,"..")</f>
        <v>6.9112960181048427E-2</v>
      </c>
      <c r="BI1005" s="117" t="str">
        <f>IFERROR(VLOOKUP($D1005,'WB Data'!$C$3:$M$578,7,FALSE)/100,"..")</f>
        <v>..</v>
      </c>
      <c r="BJ1005" s="117" t="str">
        <f>IFERROR($BI1005*$AW1005,"..")</f>
        <v>..</v>
      </c>
      <c r="BK1005" s="846" t="str">
        <f>IFERROR($BB1005/$BJ1005,"..")</f>
        <v>..</v>
      </c>
      <c r="BL1005" s="117" t="str">
        <f>IFERROR(VLOOKUP($D1005,'WB Data'!$C$3:$M$578,7,FALSE)/100,"..")</f>
        <v>..</v>
      </c>
      <c r="BM1005" s="117" t="str">
        <f>IFERROR($AW1005*$BL1005,"..")</f>
        <v>..</v>
      </c>
      <c r="BN1005" s="846" t="str">
        <f>IFERROR($BB1005/$BM1005,"..")</f>
        <v>..</v>
      </c>
      <c r="BO1005" s="801">
        <f t="shared" si="163"/>
        <v>37</v>
      </c>
      <c r="BP1005" s="117" t="str">
        <f>VLOOKUP($D1005,'WB Data'!$C$3:$M$578,9,FALSE)</f>
        <v>..</v>
      </c>
      <c r="BQ1005" s="117">
        <f>VLOOKUP($D1005,'WB Data'!$C$3:$M$578,10,FALSE)</f>
        <v>58.859195121951224</v>
      </c>
      <c r="BR1005" s="117">
        <f>VLOOKUP($D1005,'WB Data'!$C$3:$M$578,11,FALSE)</f>
        <v>63.5</v>
      </c>
      <c r="BS1005" s="129">
        <f>IFERROR(VLOOKUP($D1005,'WB Data 2'!$C$2:$K$545,9,FALSE),"..")</f>
        <v>40.164589999999997</v>
      </c>
      <c r="BT1005" s="129">
        <f>_xlfn.IFNA(VLOOKUP($C1005,RGI!$A$2:$C$43,2,FALSE),"..")</f>
        <v>60.5</v>
      </c>
      <c r="BU1005" s="129">
        <f>_xlfn.IFNA(VLOOKUP($C1005,RGI!$A$2:$C$43,3,FALSE),"..")</f>
        <v>61.600874881317473</v>
      </c>
      <c r="BV1005" s="129">
        <f>VLOOKUP($D1005,WGI!$C$2:$O$478,7,FALSE)</f>
        <v>-0.20433352732342799</v>
      </c>
      <c r="BW1005" s="129">
        <f>VLOOKUP($D1005,WGI!$C$2:$O$478,4,FALSE)</f>
        <v>-1.0754025802234199</v>
      </c>
      <c r="BX1005" s="129">
        <f>VLOOKUP($D1005,WGI!$C$2:$O$478,3,FALSE)</f>
        <v>-1.2388153058748701</v>
      </c>
      <c r="BY1005" s="129">
        <f>VLOOKUP($D1005,WGI!$C$2:$O$478,5,FALSE)</f>
        <v>-1.19120965876653</v>
      </c>
      <c r="BZ1005" s="129">
        <f>VLOOKUP($D1005,WGI!$C$2:$O$478,2,FALSE)</f>
        <v>-0.56271051797997396</v>
      </c>
      <c r="CB1005" s="129"/>
    </row>
    <row r="1006" spans="1:80" s="120" customFormat="1" ht="15" customHeight="1">
      <c r="A1006" s="280" t="s">
        <v>305</v>
      </c>
      <c r="B1006" s="117">
        <v>2009</v>
      </c>
      <c r="C1006" s="117" t="s">
        <v>301</v>
      </c>
      <c r="D1006" s="117" t="s">
        <v>3636</v>
      </c>
      <c r="E1006" s="117" t="s">
        <v>86</v>
      </c>
      <c r="F1006" s="117"/>
      <c r="G1006" s="117" t="s">
        <v>24</v>
      </c>
      <c r="H1006" s="117" t="str">
        <f t="shared" si="171"/>
        <v>yes</v>
      </c>
      <c r="I1006" s="117" t="str">
        <f t="shared" si="168"/>
        <v>no</v>
      </c>
      <c r="J1006" s="117" t="str">
        <f t="shared" si="169"/>
        <v>no</v>
      </c>
      <c r="K1006" s="117" t="s">
        <v>609</v>
      </c>
      <c r="L1006" s="117" t="str">
        <f t="shared" si="172"/>
        <v>detailed</v>
      </c>
      <c r="M1006" s="117" t="str">
        <f t="shared" si="170"/>
        <v>detailed Mining</v>
      </c>
      <c r="N1006" s="118">
        <f>((94037/365)*184)+((70584/365)*181)</f>
        <v>82406.882191780824</v>
      </c>
      <c r="O1006" s="118"/>
      <c r="P1006" s="118"/>
      <c r="Q1006" s="118"/>
      <c r="R1006" s="118"/>
      <c r="S1006" s="117" t="s">
        <v>610</v>
      </c>
      <c r="T1006" s="119">
        <f>((107/365)*184)+((99/365)*181)</f>
        <v>103.03287671232877</v>
      </c>
      <c r="U1006" s="117" t="s">
        <v>611</v>
      </c>
      <c r="V1006" s="117" t="s">
        <v>1595</v>
      </c>
      <c r="W1006" s="89">
        <f>N1006*T1006</f>
        <v>8490618.1331131551</v>
      </c>
      <c r="X1006" s="117"/>
      <c r="Y1006" s="117"/>
      <c r="Z1006" s="117"/>
      <c r="AA1006" s="89"/>
      <c r="AB1006" s="89"/>
      <c r="AC1006" s="240"/>
      <c r="AD1006" s="240"/>
      <c r="AE1006" s="240"/>
      <c r="AF1006" s="241"/>
      <c r="AG1006" s="117"/>
      <c r="AH1006" s="124"/>
      <c r="AI1006" s="117"/>
      <c r="AJ1006" s="117"/>
      <c r="AK1006" s="89"/>
      <c r="AL1006" s="117"/>
      <c r="AO1006" s="117"/>
      <c r="AP1006" s="117"/>
      <c r="AQ1006" s="117"/>
      <c r="AR1006" s="117"/>
      <c r="AS1006" s="117"/>
      <c r="AT1006" s="117"/>
      <c r="AU1006" s="117"/>
      <c r="AV1006" s="128"/>
      <c r="AW1006" s="117">
        <f>VLOOKUP($D1006,'WB Data'!$C$3:$M$578,2,FALSE)</f>
        <v>1155146229.7859976</v>
      </c>
      <c r="AX1006" s="117">
        <f>VLOOKUP($D1006,'WB Data'!$C$3:$M$578,3,FALSE)</f>
        <v>3821440</v>
      </c>
      <c r="AY1006" s="847">
        <f t="shared" si="164"/>
        <v>3.0667312143297112E-2</v>
      </c>
      <c r="AZ1006" s="117" t="e">
        <f>VLOOKUP($D1006,'WB Data'!$C$3:$M$578,4,FALSE)/100</f>
        <v>#VALUE!</v>
      </c>
      <c r="BA1006" s="117" t="str">
        <f t="shared" si="165"/>
        <v>..</v>
      </c>
      <c r="BB1006" s="129">
        <f>IFERROR(VLOOKUP($D1006,'EITI Revenues'!$C$2:$G$224,5,FALSE),"..")</f>
        <v>35425230</v>
      </c>
      <c r="BC1006" s="846" t="str">
        <f t="shared" si="166"/>
        <v>..</v>
      </c>
      <c r="BD1006" s="129" t="str">
        <f>VLOOKUP($D1006,'WB Data 2'!$C$2:$K$545,6,FALSE)</f>
        <v>..</v>
      </c>
      <c r="BE1006" s="129">
        <f>IFERROR(VLOOKUP($D1006,UNCTAD!$C$5:$V$529,4,FALSE),"..")</f>
        <v>454073000</v>
      </c>
      <c r="BF1006" s="846" t="str">
        <f t="shared" si="167"/>
        <v>..</v>
      </c>
      <c r="BG1006" s="117">
        <f>VLOOKUP($D1006,'WB Data'!$C$3:$M$578,5,FALSE)</f>
        <v>512570000.00000006</v>
      </c>
      <c r="BH1006" s="129">
        <f>IFERROR($BB1006/$BG1006,"..")</f>
        <v>6.9112960181048427E-2</v>
      </c>
      <c r="BI1006" s="117" t="str">
        <f>IFERROR(VLOOKUP($D1006,'WB Data'!$C$3:$M$578,7,FALSE)/100,"..")</f>
        <v>..</v>
      </c>
      <c r="BJ1006" s="117" t="str">
        <f>IFERROR($BI1006*$AW1006,"..")</f>
        <v>..</v>
      </c>
      <c r="BK1006" s="846" t="str">
        <f>IFERROR($BB1006/$BJ1006,"..")</f>
        <v>..</v>
      </c>
      <c r="BL1006" s="117" t="str">
        <f>IFERROR(VLOOKUP($D1006,'WB Data'!$C$3:$M$578,7,FALSE)/100,"..")</f>
        <v>..</v>
      </c>
      <c r="BM1006" s="117" t="str">
        <f>IFERROR($AW1006*$BL1006,"..")</f>
        <v>..</v>
      </c>
      <c r="BN1006" s="846" t="str">
        <f>IFERROR($BB1006/$BM1006,"..")</f>
        <v>..</v>
      </c>
      <c r="BO1006" s="801">
        <f t="shared" si="163"/>
        <v>37</v>
      </c>
      <c r="BP1006" s="117" t="str">
        <f>VLOOKUP($D1006,'WB Data'!$C$3:$M$578,9,FALSE)</f>
        <v>..</v>
      </c>
      <c r="BQ1006" s="117">
        <f>VLOOKUP($D1006,'WB Data'!$C$3:$M$578,10,FALSE)</f>
        <v>58.859195121951224</v>
      </c>
      <c r="BR1006" s="117">
        <f>VLOOKUP($D1006,'WB Data'!$C$3:$M$578,11,FALSE)</f>
        <v>63.5</v>
      </c>
      <c r="BS1006" s="129">
        <f>IFERROR(VLOOKUP($D1006,'WB Data 2'!$C$2:$K$545,9,FALSE),"..")</f>
        <v>40.164589999999997</v>
      </c>
      <c r="BT1006" s="129">
        <f>_xlfn.IFNA(VLOOKUP($C1006,RGI!$A$2:$C$43,2,FALSE),"..")</f>
        <v>60.5</v>
      </c>
      <c r="BU1006" s="129">
        <f>_xlfn.IFNA(VLOOKUP($C1006,RGI!$A$2:$C$43,3,FALSE),"..")</f>
        <v>61.600874881317473</v>
      </c>
      <c r="BV1006" s="129">
        <f>VLOOKUP($D1006,WGI!$C$2:$O$478,7,FALSE)</f>
        <v>-0.20433352732342799</v>
      </c>
      <c r="BW1006" s="129">
        <f>VLOOKUP($D1006,WGI!$C$2:$O$478,4,FALSE)</f>
        <v>-1.0754025802234199</v>
      </c>
      <c r="BX1006" s="129">
        <f>VLOOKUP($D1006,WGI!$C$2:$O$478,3,FALSE)</f>
        <v>-1.2388153058748701</v>
      </c>
      <c r="BY1006" s="129">
        <f>VLOOKUP($D1006,WGI!$C$2:$O$478,5,FALSE)</f>
        <v>-1.19120965876653</v>
      </c>
      <c r="BZ1006" s="129">
        <f>VLOOKUP($D1006,WGI!$C$2:$O$478,2,FALSE)</f>
        <v>-0.56271051797997396</v>
      </c>
      <c r="CB1006" s="129"/>
    </row>
    <row r="1007" spans="1:80" s="120" customFormat="1" ht="15" customHeight="1">
      <c r="A1007" s="280" t="s">
        <v>305</v>
      </c>
      <c r="B1007" s="117">
        <v>2009</v>
      </c>
      <c r="C1007" s="117" t="s">
        <v>301</v>
      </c>
      <c r="D1007" s="117" t="s">
        <v>3636</v>
      </c>
      <c r="E1007" s="117" t="s">
        <v>86</v>
      </c>
      <c r="F1007" s="117"/>
      <c r="G1007" s="117" t="s">
        <v>24</v>
      </c>
      <c r="H1007" s="117" t="str">
        <f t="shared" si="171"/>
        <v>yes</v>
      </c>
      <c r="I1007" s="117" t="str">
        <f t="shared" si="168"/>
        <v>no</v>
      </c>
      <c r="J1007" s="117" t="str">
        <f t="shared" si="169"/>
        <v>no</v>
      </c>
      <c r="K1007" s="117" t="s">
        <v>980</v>
      </c>
      <c r="L1007" s="117" t="str">
        <f t="shared" si="172"/>
        <v>detailed</v>
      </c>
      <c r="M1007" s="117" t="str">
        <f t="shared" si="170"/>
        <v>detailed Mining</v>
      </c>
      <c r="N1007" s="118">
        <f>((47007/365)*184)+((28368/365)*181)</f>
        <v>37764.098630136985</v>
      </c>
      <c r="O1007" s="118"/>
      <c r="P1007" s="118"/>
      <c r="Q1007" s="118"/>
      <c r="R1007" s="118"/>
      <c r="S1007" s="117" t="s">
        <v>981</v>
      </c>
      <c r="T1007" s="119">
        <f>((210.43/365)*184)+((396.94/365)*181)</f>
        <v>302.91852054794526</v>
      </c>
      <c r="U1007" s="117" t="s">
        <v>982</v>
      </c>
      <c r="V1007" s="117" t="s">
        <v>1610</v>
      </c>
      <c r="W1007" s="89">
        <f>N1007*T1007</f>
        <v>11439444.886867782</v>
      </c>
      <c r="X1007" s="117"/>
      <c r="Y1007" s="117"/>
      <c r="Z1007" s="117"/>
      <c r="AA1007" s="89"/>
      <c r="AB1007" s="89"/>
      <c r="AC1007" s="240"/>
      <c r="AD1007" s="240"/>
      <c r="AE1007" s="240"/>
      <c r="AF1007" s="241"/>
      <c r="AG1007" s="117"/>
      <c r="AH1007" s="124"/>
      <c r="AI1007" s="117"/>
      <c r="AJ1007" s="117"/>
      <c r="AK1007" s="89"/>
      <c r="AL1007" s="117"/>
      <c r="AO1007" s="117"/>
      <c r="AP1007" s="117"/>
      <c r="AQ1007" s="117"/>
      <c r="AR1007" s="117"/>
      <c r="AS1007" s="117"/>
      <c r="AT1007" s="117"/>
      <c r="AU1007" s="117"/>
      <c r="AV1007" s="128"/>
      <c r="AW1007" s="117">
        <f>VLOOKUP($D1007,'WB Data'!$C$3:$M$578,2,FALSE)</f>
        <v>1155146229.7859976</v>
      </c>
      <c r="AX1007" s="117">
        <f>VLOOKUP($D1007,'WB Data'!$C$3:$M$578,3,FALSE)</f>
        <v>3821440</v>
      </c>
      <c r="AY1007" s="847">
        <f t="shared" si="164"/>
        <v>3.0667312143297112E-2</v>
      </c>
      <c r="AZ1007" s="117" t="e">
        <f>VLOOKUP($D1007,'WB Data'!$C$3:$M$578,4,FALSE)/100</f>
        <v>#VALUE!</v>
      </c>
      <c r="BA1007" s="117" t="str">
        <f t="shared" si="165"/>
        <v>..</v>
      </c>
      <c r="BB1007" s="129">
        <f>IFERROR(VLOOKUP($D1007,'EITI Revenues'!$C$2:$G$224,5,FALSE),"..")</f>
        <v>35425230</v>
      </c>
      <c r="BC1007" s="846" t="str">
        <f t="shared" si="166"/>
        <v>..</v>
      </c>
      <c r="BD1007" s="129" t="str">
        <f>VLOOKUP($D1007,'WB Data 2'!$C$2:$K$545,6,FALSE)</f>
        <v>..</v>
      </c>
      <c r="BE1007" s="129">
        <f>IFERROR(VLOOKUP($D1007,UNCTAD!$C$5:$V$529,4,FALSE),"..")</f>
        <v>454073000</v>
      </c>
      <c r="BF1007" s="846" t="str">
        <f t="shared" si="167"/>
        <v>..</v>
      </c>
      <c r="BG1007" s="117">
        <f>VLOOKUP($D1007,'WB Data'!$C$3:$M$578,5,FALSE)</f>
        <v>512570000.00000006</v>
      </c>
      <c r="BH1007" s="129">
        <f>IFERROR($BB1007/$BG1007,"..")</f>
        <v>6.9112960181048427E-2</v>
      </c>
      <c r="BI1007" s="117" t="str">
        <f>IFERROR(VLOOKUP($D1007,'WB Data'!$C$3:$M$578,7,FALSE)/100,"..")</f>
        <v>..</v>
      </c>
      <c r="BJ1007" s="117" t="str">
        <f>IFERROR($BI1007*$AW1007,"..")</f>
        <v>..</v>
      </c>
      <c r="BK1007" s="846" t="str">
        <f>IFERROR($BB1007/$BJ1007,"..")</f>
        <v>..</v>
      </c>
      <c r="BL1007" s="117" t="str">
        <f>IFERROR(VLOOKUP($D1007,'WB Data'!$C$3:$M$578,7,FALSE)/100,"..")</f>
        <v>..</v>
      </c>
      <c r="BM1007" s="117" t="str">
        <f>IFERROR($AW1007*$BL1007,"..")</f>
        <v>..</v>
      </c>
      <c r="BN1007" s="846" t="str">
        <f>IFERROR($BB1007/$BM1007,"..")</f>
        <v>..</v>
      </c>
      <c r="BO1007" s="801">
        <f t="shared" si="163"/>
        <v>37</v>
      </c>
      <c r="BP1007" s="117" t="str">
        <f>VLOOKUP($D1007,'WB Data'!$C$3:$M$578,9,FALSE)</f>
        <v>..</v>
      </c>
      <c r="BQ1007" s="117">
        <f>VLOOKUP($D1007,'WB Data'!$C$3:$M$578,10,FALSE)</f>
        <v>58.859195121951224</v>
      </c>
      <c r="BR1007" s="117">
        <f>VLOOKUP($D1007,'WB Data'!$C$3:$M$578,11,FALSE)</f>
        <v>63.5</v>
      </c>
      <c r="BS1007" s="129">
        <f>IFERROR(VLOOKUP($D1007,'WB Data 2'!$C$2:$K$545,9,FALSE),"..")</f>
        <v>40.164589999999997</v>
      </c>
      <c r="BT1007" s="129">
        <f>_xlfn.IFNA(VLOOKUP($C1007,RGI!$A$2:$C$43,2,FALSE),"..")</f>
        <v>60.5</v>
      </c>
      <c r="BU1007" s="129">
        <f>_xlfn.IFNA(VLOOKUP($C1007,RGI!$A$2:$C$43,3,FALSE),"..")</f>
        <v>61.600874881317473</v>
      </c>
      <c r="BV1007" s="129">
        <f>VLOOKUP($D1007,WGI!$C$2:$O$478,7,FALSE)</f>
        <v>-0.20433352732342799</v>
      </c>
      <c r="BW1007" s="129">
        <f>VLOOKUP($D1007,WGI!$C$2:$O$478,4,FALSE)</f>
        <v>-1.0754025802234199</v>
      </c>
      <c r="BX1007" s="129">
        <f>VLOOKUP($D1007,WGI!$C$2:$O$478,3,FALSE)</f>
        <v>-1.2388153058748701</v>
      </c>
      <c r="BY1007" s="129">
        <f>VLOOKUP($D1007,WGI!$C$2:$O$478,5,FALSE)</f>
        <v>-1.19120965876653</v>
      </c>
      <c r="BZ1007" s="129">
        <f>VLOOKUP($D1007,WGI!$C$2:$O$478,2,FALSE)</f>
        <v>-0.56271051797997396</v>
      </c>
      <c r="CB1007" s="129"/>
    </row>
    <row r="1008" spans="1:80" s="120" customFormat="1" ht="15" customHeight="1">
      <c r="A1008" s="280" t="s">
        <v>305</v>
      </c>
      <c r="B1008" s="117">
        <v>2009</v>
      </c>
      <c r="C1008" s="117" t="s">
        <v>301</v>
      </c>
      <c r="D1008" s="117" t="s">
        <v>3636</v>
      </c>
      <c r="E1008" s="117" t="s">
        <v>86</v>
      </c>
      <c r="F1008" s="117"/>
      <c r="G1008" s="117" t="s">
        <v>24</v>
      </c>
      <c r="H1008" s="117" t="str">
        <f t="shared" si="171"/>
        <v>yes</v>
      </c>
      <c r="I1008" s="117" t="str">
        <f t="shared" si="168"/>
        <v>no</v>
      </c>
      <c r="J1008" s="117" t="str">
        <f t="shared" si="169"/>
        <v>no</v>
      </c>
      <c r="K1008" s="117" t="s">
        <v>784</v>
      </c>
      <c r="L1008" s="117" t="str">
        <f t="shared" si="172"/>
        <v>detailed</v>
      </c>
      <c r="M1008" s="117" t="str">
        <f t="shared" si="170"/>
        <v>detailed Mining</v>
      </c>
      <c r="N1008" s="118">
        <f>(((624/365)*184)+((524/365)*181))*32.150743126506</f>
        <v>18467.739188776024</v>
      </c>
      <c r="O1008" s="118"/>
      <c r="P1008" s="118"/>
      <c r="Q1008" s="118"/>
      <c r="R1008" s="118"/>
      <c r="S1008" s="117" t="s">
        <v>785</v>
      </c>
      <c r="T1008" s="119">
        <f>(((871.71/365)*184)+((972.97/365)*181))*0.8663</f>
        <v>798.66264252876704</v>
      </c>
      <c r="U1008" s="117" t="s">
        <v>786</v>
      </c>
      <c r="V1008" s="117" t="s">
        <v>1598</v>
      </c>
      <c r="W1008" s="89">
        <f>N1008*T1008</f>
        <v>14749493.382039929</v>
      </c>
      <c r="X1008" s="117"/>
      <c r="Y1008" s="117"/>
      <c r="Z1008" s="117"/>
      <c r="AA1008" s="89"/>
      <c r="AB1008" s="89"/>
      <c r="AC1008" s="240"/>
      <c r="AD1008" s="240"/>
      <c r="AE1008" s="240"/>
      <c r="AF1008" s="241"/>
      <c r="AG1008" s="117"/>
      <c r="AH1008" s="124"/>
      <c r="AI1008" s="117"/>
      <c r="AJ1008" s="117"/>
      <c r="AK1008" s="89"/>
      <c r="AL1008" s="117"/>
      <c r="AO1008" s="117"/>
      <c r="AP1008" s="117"/>
      <c r="AQ1008" s="117"/>
      <c r="AR1008" s="117"/>
      <c r="AS1008" s="117"/>
      <c r="AT1008" s="117"/>
      <c r="AU1008" s="117"/>
      <c r="AV1008" s="128"/>
      <c r="AW1008" s="117">
        <f>VLOOKUP($D1008,'WB Data'!$C$3:$M$578,2,FALSE)</f>
        <v>1155146229.7859976</v>
      </c>
      <c r="AX1008" s="117">
        <f>VLOOKUP($D1008,'WB Data'!$C$3:$M$578,3,FALSE)</f>
        <v>3821440</v>
      </c>
      <c r="AY1008" s="847">
        <f t="shared" si="164"/>
        <v>3.0667312143297112E-2</v>
      </c>
      <c r="AZ1008" s="117" t="e">
        <f>VLOOKUP($D1008,'WB Data'!$C$3:$M$578,4,FALSE)/100</f>
        <v>#VALUE!</v>
      </c>
      <c r="BA1008" s="117" t="str">
        <f t="shared" si="165"/>
        <v>..</v>
      </c>
      <c r="BB1008" s="129">
        <f>IFERROR(VLOOKUP($D1008,'EITI Revenues'!$C$2:$G$224,5,FALSE),"..")</f>
        <v>35425230</v>
      </c>
      <c r="BC1008" s="846" t="str">
        <f t="shared" si="166"/>
        <v>..</v>
      </c>
      <c r="BD1008" s="129" t="str">
        <f>VLOOKUP($D1008,'WB Data 2'!$C$2:$K$545,6,FALSE)</f>
        <v>..</v>
      </c>
      <c r="BE1008" s="129">
        <f>IFERROR(VLOOKUP($D1008,UNCTAD!$C$5:$V$529,4,FALSE),"..")</f>
        <v>454073000</v>
      </c>
      <c r="BF1008" s="846" t="str">
        <f t="shared" si="167"/>
        <v>..</v>
      </c>
      <c r="BG1008" s="117">
        <f>VLOOKUP($D1008,'WB Data'!$C$3:$M$578,5,FALSE)</f>
        <v>512570000.00000006</v>
      </c>
      <c r="BH1008" s="129">
        <f>IFERROR($BB1008/$BG1008,"..")</f>
        <v>6.9112960181048427E-2</v>
      </c>
      <c r="BI1008" s="117" t="str">
        <f>IFERROR(VLOOKUP($D1008,'WB Data'!$C$3:$M$578,7,FALSE)/100,"..")</f>
        <v>..</v>
      </c>
      <c r="BJ1008" s="117" t="str">
        <f>IFERROR($BI1008*$AW1008,"..")</f>
        <v>..</v>
      </c>
      <c r="BK1008" s="846" t="str">
        <f>IFERROR($BB1008/$BJ1008,"..")</f>
        <v>..</v>
      </c>
      <c r="BL1008" s="117" t="str">
        <f>IFERROR(VLOOKUP($D1008,'WB Data'!$C$3:$M$578,7,FALSE)/100,"..")</f>
        <v>..</v>
      </c>
      <c r="BM1008" s="117" t="str">
        <f>IFERROR($AW1008*$BL1008,"..")</f>
        <v>..</v>
      </c>
      <c r="BN1008" s="846" t="str">
        <f>IFERROR($BB1008/$BM1008,"..")</f>
        <v>..</v>
      </c>
      <c r="BO1008" s="801">
        <f t="shared" si="163"/>
        <v>37</v>
      </c>
      <c r="BP1008" s="117" t="str">
        <f>VLOOKUP($D1008,'WB Data'!$C$3:$M$578,9,FALSE)</f>
        <v>..</v>
      </c>
      <c r="BQ1008" s="117">
        <f>VLOOKUP($D1008,'WB Data'!$C$3:$M$578,10,FALSE)</f>
        <v>58.859195121951224</v>
      </c>
      <c r="BR1008" s="117">
        <f>VLOOKUP($D1008,'WB Data'!$C$3:$M$578,11,FALSE)</f>
        <v>63.5</v>
      </c>
      <c r="BS1008" s="129">
        <f>IFERROR(VLOOKUP($D1008,'WB Data 2'!$C$2:$K$545,9,FALSE),"..")</f>
        <v>40.164589999999997</v>
      </c>
      <c r="BT1008" s="129">
        <f>_xlfn.IFNA(VLOOKUP($C1008,RGI!$A$2:$C$43,2,FALSE),"..")</f>
        <v>60.5</v>
      </c>
      <c r="BU1008" s="129">
        <f>_xlfn.IFNA(VLOOKUP($C1008,RGI!$A$2:$C$43,3,FALSE),"..")</f>
        <v>61.600874881317473</v>
      </c>
      <c r="BV1008" s="129">
        <f>VLOOKUP($D1008,WGI!$C$2:$O$478,7,FALSE)</f>
        <v>-0.20433352732342799</v>
      </c>
      <c r="BW1008" s="129">
        <f>VLOOKUP($D1008,WGI!$C$2:$O$478,4,FALSE)</f>
        <v>-1.0754025802234199</v>
      </c>
      <c r="BX1008" s="129">
        <f>VLOOKUP($D1008,WGI!$C$2:$O$478,3,FALSE)</f>
        <v>-1.2388153058748701</v>
      </c>
      <c r="BY1008" s="129">
        <f>VLOOKUP($D1008,WGI!$C$2:$O$478,5,FALSE)</f>
        <v>-1.19120965876653</v>
      </c>
      <c r="BZ1008" s="129">
        <f>VLOOKUP($D1008,WGI!$C$2:$O$478,2,FALSE)</f>
        <v>-0.56271051797997396</v>
      </c>
      <c r="CB1008" s="129"/>
    </row>
    <row r="1009" spans="1:80" s="120" customFormat="1" ht="15" customHeight="1">
      <c r="A1009" s="280" t="s">
        <v>305</v>
      </c>
      <c r="B1009" s="117">
        <v>2009</v>
      </c>
      <c r="C1009" s="117" t="s">
        <v>301</v>
      </c>
      <c r="D1009" s="117" t="s">
        <v>3636</v>
      </c>
      <c r="E1009" s="117" t="s">
        <v>86</v>
      </c>
      <c r="F1009" s="117"/>
      <c r="G1009" s="117" t="s">
        <v>24</v>
      </c>
      <c r="H1009" s="117" t="str">
        <f t="shared" si="171"/>
        <v>yes</v>
      </c>
      <c r="I1009" s="117" t="str">
        <f t="shared" si="168"/>
        <v>no</v>
      </c>
      <c r="J1009" s="117" t="str">
        <f t="shared" si="169"/>
        <v>no</v>
      </c>
      <c r="K1009" s="117" t="s">
        <v>970</v>
      </c>
      <c r="L1009" s="117" t="str">
        <f t="shared" si="172"/>
        <v>detailed</v>
      </c>
      <c r="M1009" s="117" t="str">
        <f t="shared" si="170"/>
        <v>detailed Mining</v>
      </c>
      <c r="N1009" s="118">
        <f>((160000/365)*184)+((120000/365)*181)</f>
        <v>140164.38356164383</v>
      </c>
      <c r="O1009" s="118"/>
      <c r="P1009" s="118"/>
      <c r="Q1009" s="118"/>
      <c r="R1009" s="118"/>
      <c r="S1009" s="117" t="s">
        <v>610</v>
      </c>
      <c r="T1009" s="119">
        <v>7.57</v>
      </c>
      <c r="U1009" s="117" t="s">
        <v>611</v>
      </c>
      <c r="V1009" s="117" t="s">
        <v>1600</v>
      </c>
      <c r="W1009" s="89">
        <f>N1009*T1009</f>
        <v>1061044.3835616438</v>
      </c>
      <c r="X1009" s="117"/>
      <c r="Y1009" s="117"/>
      <c r="Z1009" s="117"/>
      <c r="AA1009" s="89"/>
      <c r="AB1009" s="89"/>
      <c r="AC1009" s="240"/>
      <c r="AD1009" s="240"/>
      <c r="AE1009" s="240"/>
      <c r="AF1009" s="241"/>
      <c r="AG1009" s="117"/>
      <c r="AH1009" s="124"/>
      <c r="AI1009" s="117"/>
      <c r="AJ1009" s="117"/>
      <c r="AK1009" s="89"/>
      <c r="AL1009" s="117"/>
      <c r="AO1009" s="117"/>
      <c r="AP1009" s="117"/>
      <c r="AQ1009" s="117"/>
      <c r="AR1009" s="117"/>
      <c r="AS1009" s="117"/>
      <c r="AT1009" s="117"/>
      <c r="AU1009" s="117"/>
      <c r="AV1009" s="128"/>
      <c r="AW1009" s="117">
        <f>VLOOKUP($D1009,'WB Data'!$C$3:$M$578,2,FALSE)</f>
        <v>1155146229.7859976</v>
      </c>
      <c r="AX1009" s="117">
        <f>VLOOKUP($D1009,'WB Data'!$C$3:$M$578,3,FALSE)</f>
        <v>3821440</v>
      </c>
      <c r="AY1009" s="847">
        <f t="shared" si="164"/>
        <v>3.0667312143297112E-2</v>
      </c>
      <c r="AZ1009" s="117" t="e">
        <f>VLOOKUP($D1009,'WB Data'!$C$3:$M$578,4,FALSE)/100</f>
        <v>#VALUE!</v>
      </c>
      <c r="BA1009" s="117" t="str">
        <f t="shared" si="165"/>
        <v>..</v>
      </c>
      <c r="BB1009" s="129">
        <f>IFERROR(VLOOKUP($D1009,'EITI Revenues'!$C$2:$G$224,5,FALSE),"..")</f>
        <v>35425230</v>
      </c>
      <c r="BC1009" s="846" t="str">
        <f t="shared" si="166"/>
        <v>..</v>
      </c>
      <c r="BD1009" s="129" t="str">
        <f>VLOOKUP($D1009,'WB Data 2'!$C$2:$K$545,6,FALSE)</f>
        <v>..</v>
      </c>
      <c r="BE1009" s="129">
        <f>IFERROR(VLOOKUP($D1009,UNCTAD!$C$5:$V$529,4,FALSE),"..")</f>
        <v>454073000</v>
      </c>
      <c r="BF1009" s="846" t="str">
        <f t="shared" si="167"/>
        <v>..</v>
      </c>
      <c r="BG1009" s="117">
        <f>VLOOKUP($D1009,'WB Data'!$C$3:$M$578,5,FALSE)</f>
        <v>512570000.00000006</v>
      </c>
      <c r="BH1009" s="129">
        <f>IFERROR($BB1009/$BG1009,"..")</f>
        <v>6.9112960181048427E-2</v>
      </c>
      <c r="BI1009" s="117" t="str">
        <f>IFERROR(VLOOKUP($D1009,'WB Data'!$C$3:$M$578,7,FALSE)/100,"..")</f>
        <v>..</v>
      </c>
      <c r="BJ1009" s="117" t="str">
        <f>IFERROR($BI1009*$AW1009,"..")</f>
        <v>..</v>
      </c>
      <c r="BK1009" s="846" t="str">
        <f>IFERROR($BB1009/$BJ1009,"..")</f>
        <v>..</v>
      </c>
      <c r="BL1009" s="117" t="str">
        <f>IFERROR(VLOOKUP($D1009,'WB Data'!$C$3:$M$578,7,FALSE)/100,"..")</f>
        <v>..</v>
      </c>
      <c r="BM1009" s="117" t="str">
        <f>IFERROR($AW1009*$BL1009,"..")</f>
        <v>..</v>
      </c>
      <c r="BN1009" s="846" t="str">
        <f>IFERROR($BB1009/$BM1009,"..")</f>
        <v>..</v>
      </c>
      <c r="BO1009" s="801">
        <f t="shared" si="163"/>
        <v>37</v>
      </c>
      <c r="BP1009" s="117" t="str">
        <f>VLOOKUP($D1009,'WB Data'!$C$3:$M$578,9,FALSE)</f>
        <v>..</v>
      </c>
      <c r="BQ1009" s="117">
        <f>VLOOKUP($D1009,'WB Data'!$C$3:$M$578,10,FALSE)</f>
        <v>58.859195121951224</v>
      </c>
      <c r="BR1009" s="117">
        <f>VLOOKUP($D1009,'WB Data'!$C$3:$M$578,11,FALSE)</f>
        <v>63.5</v>
      </c>
      <c r="BS1009" s="129">
        <f>IFERROR(VLOOKUP($D1009,'WB Data 2'!$C$2:$K$545,9,FALSE),"..")</f>
        <v>40.164589999999997</v>
      </c>
      <c r="BT1009" s="129">
        <f>_xlfn.IFNA(VLOOKUP($C1009,RGI!$A$2:$C$43,2,FALSE),"..")</f>
        <v>60.5</v>
      </c>
      <c r="BU1009" s="129">
        <f>_xlfn.IFNA(VLOOKUP($C1009,RGI!$A$2:$C$43,3,FALSE),"..")</f>
        <v>61.600874881317473</v>
      </c>
      <c r="BV1009" s="129">
        <f>VLOOKUP($D1009,WGI!$C$2:$O$478,7,FALSE)</f>
        <v>-0.20433352732342799</v>
      </c>
      <c r="BW1009" s="129">
        <f>VLOOKUP($D1009,WGI!$C$2:$O$478,4,FALSE)</f>
        <v>-1.0754025802234199</v>
      </c>
      <c r="BX1009" s="129">
        <f>VLOOKUP($D1009,WGI!$C$2:$O$478,3,FALSE)</f>
        <v>-1.2388153058748701</v>
      </c>
      <c r="BY1009" s="129">
        <f>VLOOKUP($D1009,WGI!$C$2:$O$478,5,FALSE)</f>
        <v>-1.19120965876653</v>
      </c>
      <c r="BZ1009" s="129">
        <f>VLOOKUP($D1009,WGI!$C$2:$O$478,2,FALSE)</f>
        <v>-0.56271051797997396</v>
      </c>
      <c r="CB1009" s="129"/>
    </row>
    <row r="1010" spans="1:80" s="120" customFormat="1" ht="15" customHeight="1">
      <c r="A1010" s="280" t="s">
        <v>305</v>
      </c>
      <c r="B1010" s="117">
        <v>2009</v>
      </c>
      <c r="C1010" s="117" t="s">
        <v>301</v>
      </c>
      <c r="D1010" s="117" t="s">
        <v>3636</v>
      </c>
      <c r="E1010" s="117" t="s">
        <v>86</v>
      </c>
      <c r="F1010" s="117"/>
      <c r="G1010" s="117" t="s">
        <v>24</v>
      </c>
      <c r="H1010" s="117" t="str">
        <f t="shared" si="171"/>
        <v>yes</v>
      </c>
      <c r="I1010" s="117" t="str">
        <f t="shared" si="168"/>
        <v>no</v>
      </c>
      <c r="J1010" s="117" t="str">
        <f t="shared" si="169"/>
        <v>no</v>
      </c>
      <c r="K1010" s="117" t="s">
        <v>1601</v>
      </c>
      <c r="L1010" s="117" t="str">
        <f t="shared" si="172"/>
        <v>detailed</v>
      </c>
      <c r="M1010" s="117" t="str">
        <f t="shared" si="170"/>
        <v>detailed Mining</v>
      </c>
      <c r="N1010" s="118">
        <f>((4000/365)*184)+((3000/365)*181)</f>
        <v>3504.1095890410961</v>
      </c>
      <c r="O1010" s="118"/>
      <c r="P1010" s="118"/>
      <c r="Q1010" s="118"/>
      <c r="R1010" s="118"/>
      <c r="S1010" s="117" t="s">
        <v>610</v>
      </c>
      <c r="T1010" s="119">
        <v>9.44</v>
      </c>
      <c r="U1010" s="117" t="s">
        <v>611</v>
      </c>
      <c r="V1010" s="117" t="s">
        <v>1602</v>
      </c>
      <c r="W1010" s="89">
        <f>N1010*T1010</f>
        <v>33078.794520547948</v>
      </c>
      <c r="X1010" s="117"/>
      <c r="Y1010" s="117"/>
      <c r="Z1010" s="117"/>
      <c r="AA1010" s="89"/>
      <c r="AB1010" s="89"/>
      <c r="AC1010" s="240"/>
      <c r="AD1010" s="240"/>
      <c r="AE1010" s="240"/>
      <c r="AF1010" s="241"/>
      <c r="AG1010" s="117"/>
      <c r="AH1010" s="124"/>
      <c r="AI1010" s="117"/>
      <c r="AJ1010" s="117"/>
      <c r="AK1010" s="89"/>
      <c r="AL1010" s="117"/>
      <c r="AO1010" s="117"/>
      <c r="AP1010" s="117"/>
      <c r="AQ1010" s="117"/>
      <c r="AR1010" s="117"/>
      <c r="AS1010" s="117"/>
      <c r="AT1010" s="117"/>
      <c r="AU1010" s="117"/>
      <c r="AV1010" s="128"/>
      <c r="AW1010" s="117">
        <f>VLOOKUP($D1010,'WB Data'!$C$3:$M$578,2,FALSE)</f>
        <v>1155146229.7859976</v>
      </c>
      <c r="AX1010" s="117">
        <f>VLOOKUP($D1010,'WB Data'!$C$3:$M$578,3,FALSE)</f>
        <v>3821440</v>
      </c>
      <c r="AY1010" s="847">
        <f t="shared" si="164"/>
        <v>3.0667312143297112E-2</v>
      </c>
      <c r="AZ1010" s="117" t="e">
        <f>VLOOKUP($D1010,'WB Data'!$C$3:$M$578,4,FALSE)/100</f>
        <v>#VALUE!</v>
      </c>
      <c r="BA1010" s="117" t="str">
        <f t="shared" si="165"/>
        <v>..</v>
      </c>
      <c r="BB1010" s="129">
        <f>IFERROR(VLOOKUP($D1010,'EITI Revenues'!$C$2:$G$224,5,FALSE),"..")</f>
        <v>35425230</v>
      </c>
      <c r="BC1010" s="846" t="str">
        <f t="shared" si="166"/>
        <v>..</v>
      </c>
      <c r="BD1010" s="129" t="str">
        <f>VLOOKUP($D1010,'WB Data 2'!$C$2:$K$545,6,FALSE)</f>
        <v>..</v>
      </c>
      <c r="BE1010" s="129">
        <f>IFERROR(VLOOKUP($D1010,UNCTAD!$C$5:$V$529,4,FALSE),"..")</f>
        <v>454073000</v>
      </c>
      <c r="BF1010" s="846" t="str">
        <f t="shared" si="167"/>
        <v>..</v>
      </c>
      <c r="BG1010" s="117">
        <f>VLOOKUP($D1010,'WB Data'!$C$3:$M$578,5,FALSE)</f>
        <v>512570000.00000006</v>
      </c>
      <c r="BH1010" s="129">
        <f>IFERROR($BB1010/$BG1010,"..")</f>
        <v>6.9112960181048427E-2</v>
      </c>
      <c r="BI1010" s="117" t="str">
        <f>IFERROR(VLOOKUP($D1010,'WB Data'!$C$3:$M$578,7,FALSE)/100,"..")</f>
        <v>..</v>
      </c>
      <c r="BJ1010" s="117" t="str">
        <f>IFERROR($BI1010*$AW1010,"..")</f>
        <v>..</v>
      </c>
      <c r="BK1010" s="846" t="str">
        <f>IFERROR($BB1010/$BJ1010,"..")</f>
        <v>..</v>
      </c>
      <c r="BL1010" s="117" t="str">
        <f>IFERROR(VLOOKUP($D1010,'WB Data'!$C$3:$M$578,7,FALSE)/100,"..")</f>
        <v>..</v>
      </c>
      <c r="BM1010" s="117" t="str">
        <f>IFERROR($AW1010*$BL1010,"..")</f>
        <v>..</v>
      </c>
      <c r="BN1010" s="846" t="str">
        <f>IFERROR($BB1010/$BM1010,"..")</f>
        <v>..</v>
      </c>
      <c r="BO1010" s="801">
        <f t="shared" si="163"/>
        <v>37</v>
      </c>
      <c r="BP1010" s="117" t="str">
        <f>VLOOKUP($D1010,'WB Data'!$C$3:$M$578,9,FALSE)</f>
        <v>..</v>
      </c>
      <c r="BQ1010" s="117">
        <f>VLOOKUP($D1010,'WB Data'!$C$3:$M$578,10,FALSE)</f>
        <v>58.859195121951224</v>
      </c>
      <c r="BR1010" s="117">
        <f>VLOOKUP($D1010,'WB Data'!$C$3:$M$578,11,FALSE)</f>
        <v>63.5</v>
      </c>
      <c r="BS1010" s="129">
        <f>IFERROR(VLOOKUP($D1010,'WB Data 2'!$C$2:$K$545,9,FALSE),"..")</f>
        <v>40.164589999999997</v>
      </c>
      <c r="BT1010" s="129">
        <f>_xlfn.IFNA(VLOOKUP($C1010,RGI!$A$2:$C$43,2,FALSE),"..")</f>
        <v>60.5</v>
      </c>
      <c r="BU1010" s="129">
        <f>_xlfn.IFNA(VLOOKUP($C1010,RGI!$A$2:$C$43,3,FALSE),"..")</f>
        <v>61.600874881317473</v>
      </c>
      <c r="BV1010" s="129">
        <f>VLOOKUP($D1010,WGI!$C$2:$O$478,7,FALSE)</f>
        <v>-0.20433352732342799</v>
      </c>
      <c r="BW1010" s="129">
        <f>VLOOKUP($D1010,WGI!$C$2:$O$478,4,FALSE)</f>
        <v>-1.0754025802234199</v>
      </c>
      <c r="BX1010" s="129">
        <f>VLOOKUP($D1010,WGI!$C$2:$O$478,3,FALSE)</f>
        <v>-1.2388153058748701</v>
      </c>
      <c r="BY1010" s="129">
        <f>VLOOKUP($D1010,WGI!$C$2:$O$478,5,FALSE)</f>
        <v>-1.19120965876653</v>
      </c>
      <c r="BZ1010" s="129">
        <f>VLOOKUP($D1010,WGI!$C$2:$O$478,2,FALSE)</f>
        <v>-0.56271051797997396</v>
      </c>
      <c r="CB1010" s="129"/>
    </row>
    <row r="1011" spans="1:80" s="120" customFormat="1" ht="15" customHeight="1">
      <c r="A1011" s="280" t="s">
        <v>305</v>
      </c>
      <c r="B1011" s="117">
        <v>2009</v>
      </c>
      <c r="C1011" s="117" t="s">
        <v>301</v>
      </c>
      <c r="D1011" s="117" t="s">
        <v>3636</v>
      </c>
      <c r="E1011" s="117" t="s">
        <v>86</v>
      </c>
      <c r="F1011" s="117"/>
      <c r="G1011" s="117" t="s">
        <v>1603</v>
      </c>
      <c r="H1011" s="117" t="str">
        <f t="shared" si="171"/>
        <v>no</v>
      </c>
      <c r="I1011" s="117" t="str">
        <f t="shared" si="168"/>
        <v>no</v>
      </c>
      <c r="J1011" s="117" t="str">
        <f t="shared" si="169"/>
        <v>no</v>
      </c>
      <c r="K1011" s="117" t="s">
        <v>1604</v>
      </c>
      <c r="L1011" s="117" t="str">
        <f t="shared" si="172"/>
        <v>detailed</v>
      </c>
      <c r="M1011" s="117" t="str">
        <f t="shared" si="170"/>
        <v>detailed Other</v>
      </c>
      <c r="N1011" s="118"/>
      <c r="O1011" s="118"/>
      <c r="P1011" s="118"/>
      <c r="Q1011" s="118"/>
      <c r="R1011" s="118"/>
      <c r="S1011" s="117"/>
      <c r="T1011" s="119"/>
      <c r="U1011" s="117"/>
      <c r="V1011" s="117"/>
      <c r="W1011" s="89"/>
      <c r="X1011" s="117"/>
      <c r="Y1011" s="117"/>
      <c r="Z1011" s="117"/>
      <c r="AA1011" s="89">
        <v>1889117</v>
      </c>
      <c r="AB1011" s="89">
        <v>1838558</v>
      </c>
      <c r="AC1011" s="240"/>
      <c r="AD1011" s="240"/>
      <c r="AE1011" s="240"/>
      <c r="AF1011" s="241"/>
      <c r="AG1011" s="117"/>
      <c r="AH1011" s="124"/>
      <c r="AI1011" s="117"/>
      <c r="AJ1011" s="117"/>
      <c r="AK1011" s="89"/>
      <c r="AL1011" s="117"/>
      <c r="AM1011" s="117"/>
      <c r="AN1011" s="117">
        <v>20</v>
      </c>
      <c r="AO1011" s="117" t="s">
        <v>1611</v>
      </c>
      <c r="AP1011" s="117">
        <v>17</v>
      </c>
      <c r="AQ1011" s="117"/>
      <c r="AR1011" s="117"/>
      <c r="AS1011" s="117"/>
      <c r="AT1011" s="117"/>
      <c r="AU1011" s="117">
        <v>5</v>
      </c>
      <c r="AV1011" s="128"/>
      <c r="AW1011" s="117">
        <f>VLOOKUP($D1011,'WB Data'!$C$3:$M$578,2,FALSE)</f>
        <v>1155146229.7859976</v>
      </c>
      <c r="AX1011" s="117">
        <f>VLOOKUP($D1011,'WB Data'!$C$3:$M$578,3,FALSE)</f>
        <v>3821440</v>
      </c>
      <c r="AY1011" s="847">
        <f t="shared" si="164"/>
        <v>3.0667312143297112E-2</v>
      </c>
      <c r="AZ1011" s="117" t="e">
        <f>VLOOKUP($D1011,'WB Data'!$C$3:$M$578,4,FALSE)/100</f>
        <v>#VALUE!</v>
      </c>
      <c r="BA1011" s="117" t="str">
        <f t="shared" si="165"/>
        <v>..</v>
      </c>
      <c r="BB1011" s="129">
        <f>IFERROR(VLOOKUP($D1011,'EITI Revenues'!$C$2:$G$224,5,FALSE),"..")</f>
        <v>35425230</v>
      </c>
      <c r="BC1011" s="846" t="str">
        <f t="shared" si="166"/>
        <v>..</v>
      </c>
      <c r="BD1011" s="129" t="str">
        <f>VLOOKUP($D1011,'WB Data 2'!$C$2:$K$545,6,FALSE)</f>
        <v>..</v>
      </c>
      <c r="BE1011" s="129">
        <f>IFERROR(VLOOKUP($D1011,UNCTAD!$C$5:$V$529,4,FALSE),"..")</f>
        <v>454073000</v>
      </c>
      <c r="BF1011" s="846" t="str">
        <f t="shared" si="167"/>
        <v>..</v>
      </c>
      <c r="BG1011" s="117">
        <f>VLOOKUP($D1011,'WB Data'!$C$3:$M$578,5,FALSE)</f>
        <v>512570000.00000006</v>
      </c>
      <c r="BH1011" s="129">
        <f>IFERROR($BB1011/$BG1011,"..")</f>
        <v>6.9112960181048427E-2</v>
      </c>
      <c r="BI1011" s="117" t="str">
        <f>IFERROR(VLOOKUP($D1011,'WB Data'!$C$3:$M$578,7,FALSE)/100,"..")</f>
        <v>..</v>
      </c>
      <c r="BJ1011" s="117" t="str">
        <f>IFERROR($BI1011*$AW1011,"..")</f>
        <v>..</v>
      </c>
      <c r="BK1011" s="846" t="str">
        <f>IFERROR($BB1011/$BJ1011,"..")</f>
        <v>..</v>
      </c>
      <c r="BL1011" s="117" t="str">
        <f>IFERROR(VLOOKUP($D1011,'WB Data'!$C$3:$M$578,7,FALSE)/100,"..")</f>
        <v>..</v>
      </c>
      <c r="BM1011" s="117" t="str">
        <f>IFERROR($AW1011*$BL1011,"..")</f>
        <v>..</v>
      </c>
      <c r="BN1011" s="846" t="str">
        <f>IFERROR($BB1011/$BM1011,"..")</f>
        <v>..</v>
      </c>
      <c r="BO1011" s="801">
        <f t="shared" si="163"/>
        <v>37</v>
      </c>
      <c r="BP1011" s="117" t="str">
        <f>VLOOKUP($D1011,'WB Data'!$C$3:$M$578,9,FALSE)</f>
        <v>..</v>
      </c>
      <c r="BQ1011" s="117">
        <f>VLOOKUP($D1011,'WB Data'!$C$3:$M$578,10,FALSE)</f>
        <v>58.859195121951224</v>
      </c>
      <c r="BR1011" s="117">
        <f>VLOOKUP($D1011,'WB Data'!$C$3:$M$578,11,FALSE)</f>
        <v>63.5</v>
      </c>
      <c r="BS1011" s="129">
        <f>IFERROR(VLOOKUP($D1011,'WB Data 2'!$C$2:$K$545,9,FALSE),"..")</f>
        <v>40.164589999999997</v>
      </c>
      <c r="BT1011" s="129">
        <f>_xlfn.IFNA(VLOOKUP($C1011,RGI!$A$2:$C$43,2,FALSE),"..")</f>
        <v>60.5</v>
      </c>
      <c r="BU1011" s="129">
        <f>_xlfn.IFNA(VLOOKUP($C1011,RGI!$A$2:$C$43,3,FALSE),"..")</f>
        <v>61.600874881317473</v>
      </c>
      <c r="BV1011" s="129">
        <f>VLOOKUP($D1011,WGI!$C$2:$O$478,7,FALSE)</f>
        <v>-0.20433352732342799</v>
      </c>
      <c r="BW1011" s="129">
        <f>VLOOKUP($D1011,WGI!$C$2:$O$478,4,FALSE)</f>
        <v>-1.0754025802234199</v>
      </c>
      <c r="BX1011" s="129">
        <f>VLOOKUP($D1011,WGI!$C$2:$O$478,3,FALSE)</f>
        <v>-1.2388153058748701</v>
      </c>
      <c r="BY1011" s="129">
        <f>VLOOKUP($D1011,WGI!$C$2:$O$478,5,FALSE)</f>
        <v>-1.19120965876653</v>
      </c>
      <c r="BZ1011" s="129">
        <f>VLOOKUP($D1011,WGI!$C$2:$O$478,2,FALSE)</f>
        <v>-0.56271051797997396</v>
      </c>
      <c r="CB1011" s="129"/>
    </row>
    <row r="1012" spans="1:80" s="158" customFormat="1" ht="15" customHeight="1">
      <c r="A1012" s="282" t="s">
        <v>305</v>
      </c>
      <c r="B1012" s="149">
        <v>2009</v>
      </c>
      <c r="C1012" s="149" t="s">
        <v>301</v>
      </c>
      <c r="D1012" s="117" t="s">
        <v>3636</v>
      </c>
      <c r="E1012" s="149" t="s">
        <v>86</v>
      </c>
      <c r="F1012" s="149"/>
      <c r="G1012" s="149" t="s">
        <v>1603</v>
      </c>
      <c r="H1012" s="117" t="str">
        <f t="shared" si="171"/>
        <v>no</v>
      </c>
      <c r="I1012" s="117" t="str">
        <f t="shared" si="168"/>
        <v>no</v>
      </c>
      <c r="J1012" s="117" t="str">
        <f t="shared" si="169"/>
        <v>no</v>
      </c>
      <c r="K1012" s="149" t="s">
        <v>1612</v>
      </c>
      <c r="L1012" s="117" t="str">
        <f t="shared" si="172"/>
        <v>detailed</v>
      </c>
      <c r="M1012" s="117" t="str">
        <f t="shared" si="170"/>
        <v>detailed Other</v>
      </c>
      <c r="N1012" s="150"/>
      <c r="O1012" s="150"/>
      <c r="P1012" s="150"/>
      <c r="Q1012" s="150"/>
      <c r="R1012" s="150"/>
      <c r="S1012" s="149"/>
      <c r="T1012" s="151"/>
      <c r="U1012" s="149"/>
      <c r="V1012" s="149"/>
      <c r="W1012" s="152"/>
      <c r="X1012" s="149"/>
      <c r="Y1012" s="149"/>
      <c r="Z1012" s="149"/>
      <c r="AA1012" s="152">
        <v>18259238</v>
      </c>
      <c r="AB1012" s="152">
        <v>18348391</v>
      </c>
      <c r="AC1012" s="288"/>
      <c r="AD1012" s="288"/>
      <c r="AE1012" s="288"/>
      <c r="AF1012" s="285"/>
      <c r="AG1012" s="149"/>
      <c r="AH1012" s="156"/>
      <c r="AI1012" s="149"/>
      <c r="AJ1012" s="149"/>
      <c r="AK1012" s="152"/>
      <c r="AL1012" s="149"/>
      <c r="AM1012" s="149"/>
      <c r="AN1012" s="149">
        <v>9</v>
      </c>
      <c r="AO1012" s="149" t="s">
        <v>1613</v>
      </c>
      <c r="AP1012" s="149">
        <v>8</v>
      </c>
      <c r="AQ1012" s="149"/>
      <c r="AR1012" s="149"/>
      <c r="AS1012" s="149"/>
      <c r="AT1012" s="149"/>
      <c r="AU1012" s="149">
        <v>5</v>
      </c>
      <c r="AV1012" s="157"/>
      <c r="AW1012" s="117">
        <f>VLOOKUP($D1012,'WB Data'!$C$3:$M$578,2,FALSE)</f>
        <v>1155146229.7859976</v>
      </c>
      <c r="AX1012" s="117">
        <f>VLOOKUP($D1012,'WB Data'!$C$3:$M$578,3,FALSE)</f>
        <v>3821440</v>
      </c>
      <c r="AY1012" s="847">
        <f t="shared" si="164"/>
        <v>3.0667312143297112E-2</v>
      </c>
      <c r="AZ1012" s="117" t="e">
        <f>VLOOKUP($D1012,'WB Data'!$C$3:$M$578,4,FALSE)/100</f>
        <v>#VALUE!</v>
      </c>
      <c r="BA1012" s="117" t="str">
        <f t="shared" si="165"/>
        <v>..</v>
      </c>
      <c r="BB1012" s="129">
        <f>IFERROR(VLOOKUP($D1012,'EITI Revenues'!$C$2:$G$224,5,FALSE),"..")</f>
        <v>35425230</v>
      </c>
      <c r="BC1012" s="846" t="str">
        <f t="shared" si="166"/>
        <v>..</v>
      </c>
      <c r="BD1012" s="129" t="str">
        <f>VLOOKUP($D1012,'WB Data 2'!$C$2:$K$545,6,FALSE)</f>
        <v>..</v>
      </c>
      <c r="BE1012" s="129">
        <f>IFERROR(VLOOKUP($D1012,UNCTAD!$C$5:$V$529,4,FALSE),"..")</f>
        <v>454073000</v>
      </c>
      <c r="BF1012" s="846" t="str">
        <f t="shared" si="167"/>
        <v>..</v>
      </c>
      <c r="BG1012" s="117">
        <f>VLOOKUP($D1012,'WB Data'!$C$3:$M$578,5,FALSE)</f>
        <v>512570000.00000006</v>
      </c>
      <c r="BH1012" s="129">
        <f>IFERROR($BB1012/$BG1012,"..")</f>
        <v>6.9112960181048427E-2</v>
      </c>
      <c r="BI1012" s="117" t="str">
        <f>IFERROR(VLOOKUP($D1012,'WB Data'!$C$3:$M$578,7,FALSE)/100,"..")</f>
        <v>..</v>
      </c>
      <c r="BJ1012" s="117" t="str">
        <f>IFERROR($BI1012*$AW1012,"..")</f>
        <v>..</v>
      </c>
      <c r="BK1012" s="846" t="str">
        <f>IFERROR($BB1012/$BJ1012,"..")</f>
        <v>..</v>
      </c>
      <c r="BL1012" s="117" t="str">
        <f>IFERROR(VLOOKUP($D1012,'WB Data'!$C$3:$M$578,7,FALSE)/100,"..")</f>
        <v>..</v>
      </c>
      <c r="BM1012" s="117" t="str">
        <f>IFERROR($AW1012*$BL1012,"..")</f>
        <v>..</v>
      </c>
      <c r="BN1012" s="846" t="str">
        <f>IFERROR($BB1012/$BM1012,"..")</f>
        <v>..</v>
      </c>
      <c r="BO1012" s="801">
        <f t="shared" si="163"/>
        <v>37</v>
      </c>
      <c r="BP1012" s="117" t="str">
        <f>VLOOKUP($D1012,'WB Data'!$C$3:$M$578,9,FALSE)</f>
        <v>..</v>
      </c>
      <c r="BQ1012" s="117">
        <f>VLOOKUP($D1012,'WB Data'!$C$3:$M$578,10,FALSE)</f>
        <v>58.859195121951224</v>
      </c>
      <c r="BR1012" s="117">
        <f>VLOOKUP($D1012,'WB Data'!$C$3:$M$578,11,FALSE)</f>
        <v>63.5</v>
      </c>
      <c r="BS1012" s="129">
        <f>IFERROR(VLOOKUP($D1012,'WB Data 2'!$C$2:$K$545,9,FALSE),"..")</f>
        <v>40.164589999999997</v>
      </c>
      <c r="BT1012" s="129">
        <f>_xlfn.IFNA(VLOOKUP($C1012,RGI!$A$2:$C$43,2,FALSE),"..")</f>
        <v>60.5</v>
      </c>
      <c r="BU1012" s="129">
        <f>_xlfn.IFNA(VLOOKUP($C1012,RGI!$A$2:$C$43,3,FALSE),"..")</f>
        <v>61.600874881317473</v>
      </c>
      <c r="BV1012" s="129">
        <f>VLOOKUP($D1012,WGI!$C$2:$O$478,7,FALSE)</f>
        <v>-0.20433352732342799</v>
      </c>
      <c r="BW1012" s="129">
        <f>VLOOKUP($D1012,WGI!$C$2:$O$478,4,FALSE)</f>
        <v>-1.0754025802234199</v>
      </c>
      <c r="BX1012" s="129">
        <f>VLOOKUP($D1012,WGI!$C$2:$O$478,3,FALSE)</f>
        <v>-1.2388153058748701</v>
      </c>
      <c r="BY1012" s="129">
        <f>VLOOKUP($D1012,WGI!$C$2:$O$478,5,FALSE)</f>
        <v>-1.19120965876653</v>
      </c>
      <c r="BZ1012" s="129">
        <f>VLOOKUP($D1012,WGI!$C$2:$O$478,2,FALSE)</f>
        <v>-0.56271051797997396</v>
      </c>
      <c r="CB1012" s="129"/>
    </row>
    <row r="1013" spans="1:80" ht="15" customHeight="1">
      <c r="A1013" s="280" t="s">
        <v>308</v>
      </c>
      <c r="B1013" s="117">
        <v>2010</v>
      </c>
      <c r="C1013" s="117" t="s">
        <v>301</v>
      </c>
      <c r="D1013" s="117" t="s">
        <v>3670</v>
      </c>
      <c r="E1013" s="117" t="s">
        <v>86</v>
      </c>
      <c r="F1013" s="117" t="s">
        <v>1587</v>
      </c>
      <c r="G1013" s="117" t="s">
        <v>519</v>
      </c>
      <c r="H1013" s="117" t="str">
        <f t="shared" si="171"/>
        <v>yes</v>
      </c>
      <c r="I1013" s="117" t="str">
        <f t="shared" si="168"/>
        <v>no</v>
      </c>
      <c r="J1013" s="117" t="str">
        <f t="shared" si="169"/>
        <v>no</v>
      </c>
      <c r="K1013" s="117" t="s">
        <v>709</v>
      </c>
      <c r="L1013" s="117" t="str">
        <f t="shared" si="172"/>
        <v>Total</v>
      </c>
      <c r="M1013" s="117" t="str">
        <f t="shared" si="170"/>
        <v>Total Oil, Mining, Other</v>
      </c>
      <c r="N1013" s="118"/>
      <c r="O1013" s="118"/>
      <c r="P1013" s="118"/>
      <c r="Q1013" s="118"/>
      <c r="R1013" s="118"/>
      <c r="S1013" s="117"/>
      <c r="T1013" s="119"/>
      <c r="U1013" s="117"/>
      <c r="V1013" s="117"/>
      <c r="W1013" s="298">
        <f>W1014+W1015+W1021+W1022</f>
        <v>39516487.867241949</v>
      </c>
      <c r="X1013" s="117" t="s">
        <v>998</v>
      </c>
      <c r="Y1013" s="117" t="s">
        <v>602</v>
      </c>
      <c r="Z1013" s="117" t="s">
        <v>603</v>
      </c>
      <c r="AA1013" s="179">
        <v>71896113</v>
      </c>
      <c r="AB1013" s="179">
        <v>69720697</v>
      </c>
      <c r="AC1013" s="212"/>
      <c r="AD1013" s="179">
        <f>AA1013+945825</f>
        <v>72841938</v>
      </c>
      <c r="AE1013" s="212" t="s">
        <v>665</v>
      </c>
      <c r="AF1013" s="300">
        <f>AD1013/W1013</f>
        <v>1.843330263679225</v>
      </c>
      <c r="AG1013" s="117" t="s">
        <v>864</v>
      </c>
      <c r="AH1013" s="124"/>
      <c r="AI1013" s="117" t="s">
        <v>605</v>
      </c>
      <c r="AJ1013" s="117"/>
      <c r="AK1013" s="89"/>
      <c r="AL1013" s="117"/>
      <c r="AM1013" s="117"/>
      <c r="AN1013" s="117">
        <v>119</v>
      </c>
      <c r="AO1013" s="117" t="s">
        <v>1614</v>
      </c>
      <c r="AP1013" s="117">
        <v>71</v>
      </c>
      <c r="AQ1013" s="390" t="s">
        <v>253</v>
      </c>
      <c r="AR1013" s="126">
        <v>41900</v>
      </c>
      <c r="AS1013" s="117" t="s">
        <v>838</v>
      </c>
      <c r="AT1013" s="117" t="s">
        <v>310</v>
      </c>
      <c r="AU1013" s="117">
        <v>5</v>
      </c>
      <c r="AV1013" s="128" t="s">
        <v>1615</v>
      </c>
      <c r="AW1013" s="117">
        <f>VLOOKUP($D1013,'WB Data'!$C$3:$M$578,2,FALSE)</f>
        <v>1292696475.9587305</v>
      </c>
      <c r="AX1013" s="117">
        <f>VLOOKUP($D1013,'WB Data'!$C$3:$M$578,3,FALSE)</f>
        <v>3957990</v>
      </c>
      <c r="AY1013" s="847">
        <f t="shared" si="164"/>
        <v>5.5617164846587928E-2</v>
      </c>
      <c r="AZ1013" s="117">
        <f>VLOOKUP($D1013,'WB Data'!$C$3:$M$578,4,FALSE)/100</f>
        <v>0.20899193520608825</v>
      </c>
      <c r="BA1013" s="117">
        <f t="shared" si="165"/>
        <v>270163138.14470559</v>
      </c>
      <c r="BB1013" s="129">
        <f>IFERROR(VLOOKUP($D1013,'EITI Revenues'!$C$2:$G$224,5,FALSE),"..")</f>
        <v>71896113</v>
      </c>
      <c r="BC1013" s="846">
        <f t="shared" si="166"/>
        <v>0.26612110554286939</v>
      </c>
      <c r="BD1013" s="129" t="str">
        <f>VLOOKUP($D1013,'WB Data 2'!$C$2:$K$545,6,FALSE)</f>
        <v>..</v>
      </c>
      <c r="BE1013" s="129">
        <f>IFERROR(VLOOKUP($D1013,UNCTAD!$C$5:$V$529,4,FALSE),"..")</f>
        <v>399203000</v>
      </c>
      <c r="BF1013" s="846" t="str">
        <f t="shared" si="167"/>
        <v>..</v>
      </c>
      <c r="BG1013" s="117">
        <f>VLOOKUP($D1013,'WB Data'!$C$3:$M$578,5,FALSE)</f>
        <v>1417010000</v>
      </c>
      <c r="BH1013" s="129">
        <f>IFERROR($BB1013/$BG1013,"..")</f>
        <v>5.0737900932244659E-2</v>
      </c>
      <c r="BI1013" s="117" t="str">
        <f>IFERROR(VLOOKUP($D1013,'WB Data'!$C$3:$M$578,7,FALSE)/100,"..")</f>
        <v>..</v>
      </c>
      <c r="BJ1013" s="117" t="str">
        <f>IFERROR($BI1013*$AW1013,"..")</f>
        <v>..</v>
      </c>
      <c r="BK1013" s="846" t="str">
        <f>IFERROR($BB1013/$BJ1013,"..")</f>
        <v>..</v>
      </c>
      <c r="BL1013" s="117" t="str">
        <f>IFERROR(VLOOKUP($D1013,'WB Data'!$C$3:$M$578,7,FALSE)/100,"..")</f>
        <v>..</v>
      </c>
      <c r="BM1013" s="117" t="str">
        <f>IFERROR($AW1013*$BL1013,"..")</f>
        <v>..</v>
      </c>
      <c r="BN1013" s="846" t="str">
        <f>IFERROR($BB1013/$BM1013,"..")</f>
        <v>..</v>
      </c>
      <c r="BO1013" s="801">
        <f t="shared" si="163"/>
        <v>37</v>
      </c>
      <c r="BP1013" s="117" t="str">
        <f>VLOOKUP($D1013,'WB Data'!$C$3:$M$578,9,FALSE)</f>
        <v>..</v>
      </c>
      <c r="BQ1013" s="117">
        <f>VLOOKUP($D1013,'WB Data'!$C$3:$M$578,10,FALSE)</f>
        <v>59.434317073170739</v>
      </c>
      <c r="BR1013" s="117">
        <f>VLOOKUP($D1013,'WB Data'!$C$3:$M$578,11,FALSE)</f>
        <v>60.4</v>
      </c>
      <c r="BS1013" s="129" t="str">
        <f>IFERROR(VLOOKUP($D1013,'WB Data 2'!$C$2:$K$545,9,FALSE),"..")</f>
        <v>..</v>
      </c>
      <c r="BT1013" s="129">
        <f>_xlfn.IFNA(VLOOKUP($C1013,RGI!$A$2:$C$43,2,FALSE),"..")</f>
        <v>60.5</v>
      </c>
      <c r="BU1013" s="129">
        <f>_xlfn.IFNA(VLOOKUP($C1013,RGI!$A$2:$C$43,3,FALSE),"..")</f>
        <v>61.600874881317473</v>
      </c>
      <c r="BV1013" s="129">
        <f>VLOOKUP($D1013,WGI!$C$2:$O$478,7,FALSE)</f>
        <v>-0.25923041502880501</v>
      </c>
      <c r="BW1013" s="129">
        <f>VLOOKUP($D1013,WGI!$C$2:$O$478,4,FALSE)</f>
        <v>-0.45823244394614299</v>
      </c>
      <c r="BX1013" s="129">
        <f>VLOOKUP($D1013,WGI!$C$2:$O$478,3,FALSE)</f>
        <v>-1.26971615130245</v>
      </c>
      <c r="BY1013" s="129">
        <f>VLOOKUP($D1013,WGI!$C$2:$O$478,5,FALSE)</f>
        <v>-1.05371982904254</v>
      </c>
      <c r="BZ1013" s="129">
        <f>VLOOKUP($D1013,WGI!$C$2:$O$478,2,FALSE)</f>
        <v>-0.52783845709357602</v>
      </c>
    </row>
    <row r="1014" spans="1:80" ht="15" customHeight="1">
      <c r="A1014" s="280" t="s">
        <v>308</v>
      </c>
      <c r="B1014" s="117">
        <v>2010</v>
      </c>
      <c r="C1014" s="117" t="s">
        <v>301</v>
      </c>
      <c r="D1014" s="117" t="s">
        <v>3670</v>
      </c>
      <c r="E1014" s="117" t="s">
        <v>86</v>
      </c>
      <c r="F1014" s="117"/>
      <c r="G1014" s="117" t="s">
        <v>103</v>
      </c>
      <c r="H1014" s="117" t="str">
        <f t="shared" si="171"/>
        <v>no</v>
      </c>
      <c r="I1014" s="117" t="str">
        <f t="shared" si="168"/>
        <v>no</v>
      </c>
      <c r="J1014" s="117" t="str">
        <f t="shared" si="169"/>
        <v>yes</v>
      </c>
      <c r="K1014" s="117" t="s">
        <v>103</v>
      </c>
      <c r="L1014" s="117" t="str">
        <f t="shared" si="172"/>
        <v>detailed</v>
      </c>
      <c r="M1014" s="117" t="str">
        <f t="shared" si="170"/>
        <v>detailed Oil</v>
      </c>
      <c r="N1014" s="118">
        <v>0</v>
      </c>
      <c r="O1014" s="118"/>
      <c r="P1014" s="118"/>
      <c r="Q1014" s="118"/>
      <c r="R1014" s="118"/>
      <c r="S1014" s="117" t="s">
        <v>646</v>
      </c>
      <c r="T1014" s="119"/>
      <c r="U1014" s="117"/>
      <c r="V1014" s="117" t="s">
        <v>647</v>
      </c>
      <c r="W1014" s="89">
        <f>N1014*T1014</f>
        <v>0</v>
      </c>
      <c r="X1014" s="117"/>
      <c r="Y1014" s="117"/>
      <c r="Z1014" s="117"/>
      <c r="AA1014" s="89">
        <v>9035942</v>
      </c>
      <c r="AB1014" s="89">
        <v>9036042</v>
      </c>
      <c r="AC1014" s="240"/>
      <c r="AD1014" s="240"/>
      <c r="AE1014" s="240"/>
      <c r="AF1014" s="241"/>
      <c r="AG1014" s="117"/>
      <c r="AH1014" s="124"/>
      <c r="AI1014" s="117"/>
      <c r="AJ1014" s="117"/>
      <c r="AK1014" s="89"/>
      <c r="AL1014" s="117"/>
      <c r="AM1014" s="117"/>
      <c r="AN1014" s="117">
        <v>6</v>
      </c>
      <c r="AO1014" s="117" t="s">
        <v>1616</v>
      </c>
      <c r="AP1014" s="117">
        <v>6</v>
      </c>
      <c r="AQ1014" s="117"/>
      <c r="AR1014" s="117"/>
      <c r="AS1014" s="117"/>
      <c r="AT1014" s="117"/>
      <c r="AU1014" s="117">
        <v>9</v>
      </c>
      <c r="AV1014" s="128"/>
      <c r="AW1014" s="117">
        <f>VLOOKUP($D1014,'WB Data'!$C$3:$M$578,2,FALSE)</f>
        <v>1292696475.9587305</v>
      </c>
      <c r="AX1014" s="117">
        <f>VLOOKUP($D1014,'WB Data'!$C$3:$M$578,3,FALSE)</f>
        <v>3957990</v>
      </c>
      <c r="AY1014" s="847">
        <f t="shared" si="164"/>
        <v>5.5617164846587928E-2</v>
      </c>
      <c r="AZ1014" s="117">
        <f>VLOOKUP($D1014,'WB Data'!$C$3:$M$578,4,FALSE)/100</f>
        <v>0.20899193520608825</v>
      </c>
      <c r="BA1014" s="117">
        <f t="shared" si="165"/>
        <v>270163138.14470559</v>
      </c>
      <c r="BB1014" s="129">
        <f>IFERROR(VLOOKUP($D1014,'EITI Revenues'!$C$2:$G$224,5,FALSE),"..")</f>
        <v>71896113</v>
      </c>
      <c r="BC1014" s="846">
        <f t="shared" si="166"/>
        <v>0.26612110554286939</v>
      </c>
      <c r="BD1014" s="129" t="str">
        <f>VLOOKUP($D1014,'WB Data 2'!$C$2:$K$545,6,FALSE)</f>
        <v>..</v>
      </c>
      <c r="BE1014" s="129">
        <f>IFERROR(VLOOKUP($D1014,UNCTAD!$C$5:$V$529,4,FALSE),"..")</f>
        <v>399203000</v>
      </c>
      <c r="BF1014" s="846" t="str">
        <f t="shared" si="167"/>
        <v>..</v>
      </c>
      <c r="BG1014" s="117">
        <f>VLOOKUP($D1014,'WB Data'!$C$3:$M$578,5,FALSE)</f>
        <v>1417010000</v>
      </c>
      <c r="BH1014" s="129">
        <f>IFERROR($BB1014/$BG1014,"..")</f>
        <v>5.0737900932244659E-2</v>
      </c>
      <c r="BI1014" s="117" t="str">
        <f>IFERROR(VLOOKUP($D1014,'WB Data'!$C$3:$M$578,7,FALSE)/100,"..")</f>
        <v>..</v>
      </c>
      <c r="BJ1014" s="117" t="str">
        <f>IFERROR($BI1014*$AW1014,"..")</f>
        <v>..</v>
      </c>
      <c r="BK1014" s="846" t="str">
        <f>IFERROR($BB1014/$BJ1014,"..")</f>
        <v>..</v>
      </c>
      <c r="BL1014" s="117" t="str">
        <f>IFERROR(VLOOKUP($D1014,'WB Data'!$C$3:$M$578,7,FALSE)/100,"..")</f>
        <v>..</v>
      </c>
      <c r="BM1014" s="117" t="str">
        <f>IFERROR($AW1014*$BL1014,"..")</f>
        <v>..</v>
      </c>
      <c r="BN1014" s="846" t="str">
        <f>IFERROR($BB1014/$BM1014,"..")</f>
        <v>..</v>
      </c>
      <c r="BO1014" s="801">
        <f t="shared" si="163"/>
        <v>37</v>
      </c>
      <c r="BP1014" s="117" t="str">
        <f>VLOOKUP($D1014,'WB Data'!$C$3:$M$578,9,FALSE)</f>
        <v>..</v>
      </c>
      <c r="BQ1014" s="117">
        <f>VLOOKUP($D1014,'WB Data'!$C$3:$M$578,10,FALSE)</f>
        <v>59.434317073170739</v>
      </c>
      <c r="BR1014" s="117">
        <f>VLOOKUP($D1014,'WB Data'!$C$3:$M$578,11,FALSE)</f>
        <v>60.4</v>
      </c>
      <c r="BS1014" s="129" t="str">
        <f>IFERROR(VLOOKUP($D1014,'WB Data 2'!$C$2:$K$545,9,FALSE),"..")</f>
        <v>..</v>
      </c>
      <c r="BT1014" s="129">
        <f>_xlfn.IFNA(VLOOKUP($C1014,RGI!$A$2:$C$43,2,FALSE),"..")</f>
        <v>60.5</v>
      </c>
      <c r="BU1014" s="129">
        <f>_xlfn.IFNA(VLOOKUP($C1014,RGI!$A$2:$C$43,3,FALSE),"..")</f>
        <v>61.600874881317473</v>
      </c>
      <c r="BV1014" s="129">
        <f>VLOOKUP($D1014,WGI!$C$2:$O$478,7,FALSE)</f>
        <v>-0.25923041502880501</v>
      </c>
      <c r="BW1014" s="129">
        <f>VLOOKUP($D1014,WGI!$C$2:$O$478,4,FALSE)</f>
        <v>-0.45823244394614299</v>
      </c>
      <c r="BX1014" s="129">
        <f>VLOOKUP($D1014,WGI!$C$2:$O$478,3,FALSE)</f>
        <v>-1.26971615130245</v>
      </c>
      <c r="BY1014" s="129">
        <f>VLOOKUP($D1014,WGI!$C$2:$O$478,5,FALSE)</f>
        <v>-1.05371982904254</v>
      </c>
      <c r="BZ1014" s="129">
        <f>VLOOKUP($D1014,WGI!$C$2:$O$478,2,FALSE)</f>
        <v>-0.52783845709357602</v>
      </c>
    </row>
    <row r="1015" spans="1:80" ht="15" customHeight="1">
      <c r="A1015" s="280" t="s">
        <v>308</v>
      </c>
      <c r="B1015" s="117">
        <v>2010</v>
      </c>
      <c r="C1015" s="117" t="s">
        <v>301</v>
      </c>
      <c r="D1015" s="117" t="s">
        <v>3670</v>
      </c>
      <c r="E1015" s="117" t="s">
        <v>86</v>
      </c>
      <c r="F1015" s="117"/>
      <c r="G1015" s="117" t="s">
        <v>24</v>
      </c>
      <c r="H1015" s="117" t="str">
        <f t="shared" si="171"/>
        <v>yes</v>
      </c>
      <c r="I1015" s="117" t="str">
        <f t="shared" si="168"/>
        <v>no</v>
      </c>
      <c r="J1015" s="117" t="str">
        <f t="shared" si="169"/>
        <v>no</v>
      </c>
      <c r="K1015" s="117" t="s">
        <v>600</v>
      </c>
      <c r="L1015" s="117" t="str">
        <f t="shared" si="172"/>
        <v>Total</v>
      </c>
      <c r="M1015" s="117" t="str">
        <f t="shared" si="170"/>
        <v>Total Mining</v>
      </c>
      <c r="N1015" s="118"/>
      <c r="O1015" s="118"/>
      <c r="P1015" s="118"/>
      <c r="Q1015" s="118"/>
      <c r="R1015" s="118"/>
      <c r="S1015" s="117"/>
      <c r="T1015" s="119"/>
      <c r="U1015" s="117"/>
      <c r="V1015" s="117"/>
      <c r="W1015" s="89">
        <f>SUM(W1016:W1020)</f>
        <v>39516487.867241949</v>
      </c>
      <c r="X1015" s="117"/>
      <c r="Y1015" s="117"/>
      <c r="Z1015" s="117"/>
      <c r="AA1015" s="89">
        <v>38382860</v>
      </c>
      <c r="AB1015" s="89">
        <v>37082120</v>
      </c>
      <c r="AC1015" s="240"/>
      <c r="AD1015" s="240"/>
      <c r="AE1015" s="240"/>
      <c r="AF1015" s="241">
        <f>AA1015/W1015</f>
        <v>0.97131253488289648</v>
      </c>
      <c r="AG1015" s="117"/>
      <c r="AH1015" s="124"/>
      <c r="AI1015" s="117"/>
      <c r="AJ1015" s="117"/>
      <c r="AK1015" s="89"/>
      <c r="AL1015" s="117"/>
      <c r="AM1015" s="117"/>
      <c r="AN1015" s="117">
        <v>78</v>
      </c>
      <c r="AO1015" s="117" t="s">
        <v>1617</v>
      </c>
      <c r="AP1015" s="117">
        <v>34</v>
      </c>
      <c r="AQ1015" s="117"/>
      <c r="AR1015" s="117"/>
      <c r="AS1015" s="117"/>
      <c r="AT1015" s="117"/>
      <c r="AU1015" s="215" t="s">
        <v>1618</v>
      </c>
      <c r="AV1015" s="128"/>
      <c r="AW1015" s="117">
        <f>VLOOKUP($D1015,'WB Data'!$C$3:$M$578,2,FALSE)</f>
        <v>1292696475.9587305</v>
      </c>
      <c r="AX1015" s="117">
        <f>VLOOKUP($D1015,'WB Data'!$C$3:$M$578,3,FALSE)</f>
        <v>3957990</v>
      </c>
      <c r="AY1015" s="847">
        <f t="shared" si="164"/>
        <v>5.5617164846587928E-2</v>
      </c>
      <c r="AZ1015" s="117">
        <f>VLOOKUP($D1015,'WB Data'!$C$3:$M$578,4,FALSE)/100</f>
        <v>0.20899193520608825</v>
      </c>
      <c r="BA1015" s="117">
        <f t="shared" si="165"/>
        <v>270163138.14470559</v>
      </c>
      <c r="BB1015" s="129">
        <f>IFERROR(VLOOKUP($D1015,'EITI Revenues'!$C$2:$G$224,5,FALSE),"..")</f>
        <v>71896113</v>
      </c>
      <c r="BC1015" s="846">
        <f t="shared" si="166"/>
        <v>0.26612110554286939</v>
      </c>
      <c r="BD1015" s="129" t="str">
        <f>VLOOKUP($D1015,'WB Data 2'!$C$2:$K$545,6,FALSE)</f>
        <v>..</v>
      </c>
      <c r="BE1015" s="129">
        <f>IFERROR(VLOOKUP($D1015,UNCTAD!$C$5:$V$529,4,FALSE),"..")</f>
        <v>399203000</v>
      </c>
      <c r="BF1015" s="846" t="str">
        <f t="shared" si="167"/>
        <v>..</v>
      </c>
      <c r="BG1015" s="117">
        <f>VLOOKUP($D1015,'WB Data'!$C$3:$M$578,5,FALSE)</f>
        <v>1417010000</v>
      </c>
      <c r="BH1015" s="129">
        <f>IFERROR($BB1015/$BG1015,"..")</f>
        <v>5.0737900932244659E-2</v>
      </c>
      <c r="BI1015" s="117" t="str">
        <f>IFERROR(VLOOKUP($D1015,'WB Data'!$C$3:$M$578,7,FALSE)/100,"..")</f>
        <v>..</v>
      </c>
      <c r="BJ1015" s="117" t="str">
        <f>IFERROR($BI1015*$AW1015,"..")</f>
        <v>..</v>
      </c>
      <c r="BK1015" s="846" t="str">
        <f>IFERROR($BB1015/$BJ1015,"..")</f>
        <v>..</v>
      </c>
      <c r="BL1015" s="117" t="str">
        <f>IFERROR(VLOOKUP($D1015,'WB Data'!$C$3:$M$578,7,FALSE)/100,"..")</f>
        <v>..</v>
      </c>
      <c r="BM1015" s="117" t="str">
        <f>IFERROR($AW1015*$BL1015,"..")</f>
        <v>..</v>
      </c>
      <c r="BN1015" s="846" t="str">
        <f>IFERROR($BB1015/$BM1015,"..")</f>
        <v>..</v>
      </c>
      <c r="BO1015" s="801">
        <f t="shared" si="163"/>
        <v>37</v>
      </c>
      <c r="BP1015" s="117" t="str">
        <f>VLOOKUP($D1015,'WB Data'!$C$3:$M$578,9,FALSE)</f>
        <v>..</v>
      </c>
      <c r="BQ1015" s="117">
        <f>VLOOKUP($D1015,'WB Data'!$C$3:$M$578,10,FALSE)</f>
        <v>59.434317073170739</v>
      </c>
      <c r="BR1015" s="117">
        <f>VLOOKUP($D1015,'WB Data'!$C$3:$M$578,11,FALSE)</f>
        <v>60.4</v>
      </c>
      <c r="BS1015" s="129" t="str">
        <f>IFERROR(VLOOKUP($D1015,'WB Data 2'!$C$2:$K$545,9,FALSE),"..")</f>
        <v>..</v>
      </c>
      <c r="BT1015" s="129">
        <f>_xlfn.IFNA(VLOOKUP($C1015,RGI!$A$2:$C$43,2,FALSE),"..")</f>
        <v>60.5</v>
      </c>
      <c r="BU1015" s="129">
        <f>_xlfn.IFNA(VLOOKUP($C1015,RGI!$A$2:$C$43,3,FALSE),"..")</f>
        <v>61.600874881317473</v>
      </c>
      <c r="BV1015" s="129">
        <f>VLOOKUP($D1015,WGI!$C$2:$O$478,7,FALSE)</f>
        <v>-0.25923041502880501</v>
      </c>
      <c r="BW1015" s="129">
        <f>VLOOKUP($D1015,WGI!$C$2:$O$478,4,FALSE)</f>
        <v>-0.45823244394614299</v>
      </c>
      <c r="BX1015" s="129">
        <f>VLOOKUP($D1015,WGI!$C$2:$O$478,3,FALSE)</f>
        <v>-1.26971615130245</v>
      </c>
      <c r="BY1015" s="129">
        <f>VLOOKUP($D1015,WGI!$C$2:$O$478,5,FALSE)</f>
        <v>-1.05371982904254</v>
      </c>
      <c r="BZ1015" s="129">
        <f>VLOOKUP($D1015,WGI!$C$2:$O$478,2,FALSE)</f>
        <v>-0.52783845709357602</v>
      </c>
    </row>
    <row r="1016" spans="1:80" ht="15" customHeight="1">
      <c r="A1016" s="280" t="s">
        <v>308</v>
      </c>
      <c r="B1016" s="117">
        <v>2010</v>
      </c>
      <c r="C1016" s="117" t="s">
        <v>301</v>
      </c>
      <c r="D1016" s="117" t="s">
        <v>3670</v>
      </c>
      <c r="E1016" s="117" t="s">
        <v>86</v>
      </c>
      <c r="F1016" s="117"/>
      <c r="G1016" s="117" t="s">
        <v>24</v>
      </c>
      <c r="H1016" s="117" t="str">
        <f t="shared" si="171"/>
        <v>yes</v>
      </c>
      <c r="I1016" s="117" t="str">
        <f t="shared" si="168"/>
        <v>no</v>
      </c>
      <c r="J1016" s="117" t="str">
        <f t="shared" si="169"/>
        <v>no</v>
      </c>
      <c r="K1016" s="117" t="s">
        <v>609</v>
      </c>
      <c r="L1016" s="117" t="str">
        <f t="shared" si="172"/>
        <v>detailed</v>
      </c>
      <c r="M1016" s="117" t="str">
        <f t="shared" si="170"/>
        <v>detailed Mining</v>
      </c>
      <c r="N1016" s="118">
        <f>((70584/365)*184)+((71733/365)*181)</f>
        <v>71153.778082191784</v>
      </c>
      <c r="O1016" s="118"/>
      <c r="P1016" s="118"/>
      <c r="Q1016" s="118"/>
      <c r="R1016" s="118"/>
      <c r="S1016" s="117" t="s">
        <v>610</v>
      </c>
      <c r="T1016" s="119">
        <f>((99/365)*184)+((92/365)*181)</f>
        <v>95.528767123287679</v>
      </c>
      <c r="U1016" s="117" t="s">
        <v>611</v>
      </c>
      <c r="V1016" s="117" t="s">
        <v>1619</v>
      </c>
      <c r="W1016" s="89">
        <f>N1016*T1016</f>
        <v>6797232.6963557899</v>
      </c>
      <c r="X1016" s="117"/>
      <c r="Y1016" s="117"/>
      <c r="Z1016" s="117"/>
      <c r="AA1016" s="89"/>
      <c r="AB1016" s="89"/>
      <c r="AC1016" s="240"/>
      <c r="AD1016" s="240"/>
      <c r="AE1016" s="240"/>
      <c r="AF1016" s="241"/>
      <c r="AG1016" s="117"/>
      <c r="AH1016" s="124"/>
      <c r="AI1016" s="117"/>
      <c r="AJ1016" s="117"/>
      <c r="AK1016" s="89"/>
      <c r="AL1016" s="117"/>
      <c r="AM1016" s="120"/>
      <c r="AN1016" s="120"/>
      <c r="AO1016" s="117"/>
      <c r="AP1016" s="117"/>
      <c r="AQ1016" s="117"/>
      <c r="AR1016" s="117"/>
      <c r="AS1016" s="117"/>
      <c r="AT1016" s="117"/>
      <c r="AU1016" s="117"/>
      <c r="AV1016" s="128"/>
      <c r="AW1016" s="117">
        <f>VLOOKUP($D1016,'WB Data'!$C$3:$M$578,2,FALSE)</f>
        <v>1292696475.9587305</v>
      </c>
      <c r="AX1016" s="117">
        <f>VLOOKUP($D1016,'WB Data'!$C$3:$M$578,3,FALSE)</f>
        <v>3957990</v>
      </c>
      <c r="AY1016" s="847">
        <f t="shared" si="164"/>
        <v>5.5617164846587928E-2</v>
      </c>
      <c r="AZ1016" s="117">
        <f>VLOOKUP($D1016,'WB Data'!$C$3:$M$578,4,FALSE)/100</f>
        <v>0.20899193520608825</v>
      </c>
      <c r="BA1016" s="117">
        <f t="shared" si="165"/>
        <v>270163138.14470559</v>
      </c>
      <c r="BB1016" s="129">
        <f>IFERROR(VLOOKUP($D1016,'EITI Revenues'!$C$2:$G$224,5,FALSE),"..")</f>
        <v>71896113</v>
      </c>
      <c r="BC1016" s="846">
        <f t="shared" si="166"/>
        <v>0.26612110554286939</v>
      </c>
      <c r="BD1016" s="129" t="str">
        <f>VLOOKUP($D1016,'WB Data 2'!$C$2:$K$545,6,FALSE)</f>
        <v>..</v>
      </c>
      <c r="BE1016" s="129">
        <f>IFERROR(VLOOKUP($D1016,UNCTAD!$C$5:$V$529,4,FALSE),"..")</f>
        <v>399203000</v>
      </c>
      <c r="BF1016" s="846" t="str">
        <f t="shared" si="167"/>
        <v>..</v>
      </c>
      <c r="BG1016" s="117">
        <f>VLOOKUP($D1016,'WB Data'!$C$3:$M$578,5,FALSE)</f>
        <v>1417010000</v>
      </c>
      <c r="BH1016" s="129">
        <f>IFERROR($BB1016/$BG1016,"..")</f>
        <v>5.0737900932244659E-2</v>
      </c>
      <c r="BI1016" s="117" t="str">
        <f>IFERROR(VLOOKUP($D1016,'WB Data'!$C$3:$M$578,7,FALSE)/100,"..")</f>
        <v>..</v>
      </c>
      <c r="BJ1016" s="117" t="str">
        <f>IFERROR($BI1016*$AW1016,"..")</f>
        <v>..</v>
      </c>
      <c r="BK1016" s="846" t="str">
        <f>IFERROR($BB1016/$BJ1016,"..")</f>
        <v>..</v>
      </c>
      <c r="BL1016" s="117" t="str">
        <f>IFERROR(VLOOKUP($D1016,'WB Data'!$C$3:$M$578,7,FALSE)/100,"..")</f>
        <v>..</v>
      </c>
      <c r="BM1016" s="117" t="str">
        <f>IFERROR($AW1016*$BL1016,"..")</f>
        <v>..</v>
      </c>
      <c r="BN1016" s="846" t="str">
        <f>IFERROR($BB1016/$BM1016,"..")</f>
        <v>..</v>
      </c>
      <c r="BO1016" s="801">
        <f t="shared" si="163"/>
        <v>37</v>
      </c>
      <c r="BP1016" s="117" t="str">
        <f>VLOOKUP($D1016,'WB Data'!$C$3:$M$578,9,FALSE)</f>
        <v>..</v>
      </c>
      <c r="BQ1016" s="117">
        <f>VLOOKUP($D1016,'WB Data'!$C$3:$M$578,10,FALSE)</f>
        <v>59.434317073170739</v>
      </c>
      <c r="BR1016" s="117">
        <f>VLOOKUP($D1016,'WB Data'!$C$3:$M$578,11,FALSE)</f>
        <v>60.4</v>
      </c>
      <c r="BS1016" s="129" t="str">
        <f>IFERROR(VLOOKUP($D1016,'WB Data 2'!$C$2:$K$545,9,FALSE),"..")</f>
        <v>..</v>
      </c>
      <c r="BT1016" s="129">
        <f>_xlfn.IFNA(VLOOKUP($C1016,RGI!$A$2:$C$43,2,FALSE),"..")</f>
        <v>60.5</v>
      </c>
      <c r="BU1016" s="129">
        <f>_xlfn.IFNA(VLOOKUP($C1016,RGI!$A$2:$C$43,3,FALSE),"..")</f>
        <v>61.600874881317473</v>
      </c>
      <c r="BV1016" s="129">
        <f>VLOOKUP($D1016,WGI!$C$2:$O$478,7,FALSE)</f>
        <v>-0.25923041502880501</v>
      </c>
      <c r="BW1016" s="129">
        <f>VLOOKUP($D1016,WGI!$C$2:$O$478,4,FALSE)</f>
        <v>-0.45823244394614299</v>
      </c>
      <c r="BX1016" s="129">
        <f>VLOOKUP($D1016,WGI!$C$2:$O$478,3,FALSE)</f>
        <v>-1.26971615130245</v>
      </c>
      <c r="BY1016" s="129">
        <f>VLOOKUP($D1016,WGI!$C$2:$O$478,5,FALSE)</f>
        <v>-1.05371982904254</v>
      </c>
      <c r="BZ1016" s="129">
        <f>VLOOKUP($D1016,WGI!$C$2:$O$478,2,FALSE)</f>
        <v>-0.52783845709357602</v>
      </c>
    </row>
    <row r="1017" spans="1:80" ht="15" customHeight="1">
      <c r="A1017" s="280" t="s">
        <v>308</v>
      </c>
      <c r="B1017" s="117">
        <v>2010</v>
      </c>
      <c r="C1017" s="117" t="s">
        <v>301</v>
      </c>
      <c r="D1017" s="117" t="s">
        <v>3670</v>
      </c>
      <c r="E1017" s="117" t="s">
        <v>86</v>
      </c>
      <c r="F1017" s="117"/>
      <c r="G1017" s="117" t="s">
        <v>24</v>
      </c>
      <c r="H1017" s="117" t="str">
        <f t="shared" si="171"/>
        <v>yes</v>
      </c>
      <c r="I1017" s="117" t="str">
        <f t="shared" si="168"/>
        <v>no</v>
      </c>
      <c r="J1017" s="117" t="str">
        <f t="shared" si="169"/>
        <v>no</v>
      </c>
      <c r="K1017" s="117" t="s">
        <v>980</v>
      </c>
      <c r="L1017" s="117" t="str">
        <f t="shared" si="172"/>
        <v>detailed</v>
      </c>
      <c r="M1017" s="117" t="str">
        <f t="shared" si="170"/>
        <v>detailed Mining</v>
      </c>
      <c r="N1017" s="118">
        <f>((28368/365)*184)+((26591/365)*181)</f>
        <v>27486.80273972603</v>
      </c>
      <c r="O1017" s="118"/>
      <c r="P1017" s="118"/>
      <c r="Q1017" s="118"/>
      <c r="R1017" s="118"/>
      <c r="S1017" s="117" t="s">
        <v>981</v>
      </c>
      <c r="T1017" s="119">
        <f>((396.94/365)*184)+((600/365)*181)</f>
        <v>497.63550684931505</v>
      </c>
      <c r="U1017" s="117" t="s">
        <v>982</v>
      </c>
      <c r="V1017" s="117" t="s">
        <v>1620</v>
      </c>
      <c r="W1017" s="89">
        <f>N1017*T1017</f>
        <v>13678409.013050705</v>
      </c>
      <c r="X1017" s="117"/>
      <c r="Y1017" s="117"/>
      <c r="Z1017" s="117"/>
      <c r="AA1017" s="89"/>
      <c r="AB1017" s="89"/>
      <c r="AC1017" s="240"/>
      <c r="AD1017" s="240"/>
      <c r="AE1017" s="240"/>
      <c r="AF1017" s="241"/>
      <c r="AG1017" s="117"/>
      <c r="AH1017" s="124"/>
      <c r="AI1017" s="117"/>
      <c r="AJ1017" s="117"/>
      <c r="AK1017" s="89"/>
      <c r="AL1017" s="117"/>
      <c r="AM1017" s="120"/>
      <c r="AN1017" s="120"/>
      <c r="AO1017" s="117"/>
      <c r="AP1017" s="117"/>
      <c r="AQ1017" s="117"/>
      <c r="AR1017" s="117"/>
      <c r="AS1017" s="117"/>
      <c r="AT1017" s="117"/>
      <c r="AU1017" s="117"/>
      <c r="AV1017" s="128"/>
      <c r="AW1017" s="117">
        <f>VLOOKUP($D1017,'WB Data'!$C$3:$M$578,2,FALSE)</f>
        <v>1292696475.9587305</v>
      </c>
      <c r="AX1017" s="117">
        <f>VLOOKUP($D1017,'WB Data'!$C$3:$M$578,3,FALSE)</f>
        <v>3957990</v>
      </c>
      <c r="AY1017" s="847">
        <f t="shared" si="164"/>
        <v>5.5617164846587928E-2</v>
      </c>
      <c r="AZ1017" s="117">
        <f>VLOOKUP($D1017,'WB Data'!$C$3:$M$578,4,FALSE)/100</f>
        <v>0.20899193520608825</v>
      </c>
      <c r="BA1017" s="117">
        <f t="shared" si="165"/>
        <v>270163138.14470559</v>
      </c>
      <c r="BB1017" s="129">
        <f>IFERROR(VLOOKUP($D1017,'EITI Revenues'!$C$2:$G$224,5,FALSE),"..")</f>
        <v>71896113</v>
      </c>
      <c r="BC1017" s="846">
        <f t="shared" si="166"/>
        <v>0.26612110554286939</v>
      </c>
      <c r="BD1017" s="129" t="str">
        <f>VLOOKUP($D1017,'WB Data 2'!$C$2:$K$545,6,FALSE)</f>
        <v>..</v>
      </c>
      <c r="BE1017" s="129">
        <f>IFERROR(VLOOKUP($D1017,UNCTAD!$C$5:$V$529,4,FALSE),"..")</f>
        <v>399203000</v>
      </c>
      <c r="BF1017" s="846" t="str">
        <f t="shared" si="167"/>
        <v>..</v>
      </c>
      <c r="BG1017" s="117">
        <f>VLOOKUP($D1017,'WB Data'!$C$3:$M$578,5,FALSE)</f>
        <v>1417010000</v>
      </c>
      <c r="BH1017" s="129">
        <f>IFERROR($BB1017/$BG1017,"..")</f>
        <v>5.0737900932244659E-2</v>
      </c>
      <c r="BI1017" s="117" t="str">
        <f>IFERROR(VLOOKUP($D1017,'WB Data'!$C$3:$M$578,7,FALSE)/100,"..")</f>
        <v>..</v>
      </c>
      <c r="BJ1017" s="117" t="str">
        <f>IFERROR($BI1017*$AW1017,"..")</f>
        <v>..</v>
      </c>
      <c r="BK1017" s="846" t="str">
        <f>IFERROR($BB1017/$BJ1017,"..")</f>
        <v>..</v>
      </c>
      <c r="BL1017" s="117" t="str">
        <f>IFERROR(VLOOKUP($D1017,'WB Data'!$C$3:$M$578,7,FALSE)/100,"..")</f>
        <v>..</v>
      </c>
      <c r="BM1017" s="117" t="str">
        <f>IFERROR($AW1017*$BL1017,"..")</f>
        <v>..</v>
      </c>
      <c r="BN1017" s="846" t="str">
        <f>IFERROR($BB1017/$BM1017,"..")</f>
        <v>..</v>
      </c>
      <c r="BO1017" s="801">
        <f t="shared" si="163"/>
        <v>37</v>
      </c>
      <c r="BP1017" s="117" t="str">
        <f>VLOOKUP($D1017,'WB Data'!$C$3:$M$578,9,FALSE)</f>
        <v>..</v>
      </c>
      <c r="BQ1017" s="117">
        <f>VLOOKUP($D1017,'WB Data'!$C$3:$M$578,10,FALSE)</f>
        <v>59.434317073170739</v>
      </c>
      <c r="BR1017" s="117">
        <f>VLOOKUP($D1017,'WB Data'!$C$3:$M$578,11,FALSE)</f>
        <v>60.4</v>
      </c>
      <c r="BS1017" s="129" t="str">
        <f>IFERROR(VLOOKUP($D1017,'WB Data 2'!$C$2:$K$545,9,FALSE),"..")</f>
        <v>..</v>
      </c>
      <c r="BT1017" s="129">
        <f>_xlfn.IFNA(VLOOKUP($C1017,RGI!$A$2:$C$43,2,FALSE),"..")</f>
        <v>60.5</v>
      </c>
      <c r="BU1017" s="129">
        <f>_xlfn.IFNA(VLOOKUP($C1017,RGI!$A$2:$C$43,3,FALSE),"..")</f>
        <v>61.600874881317473</v>
      </c>
      <c r="BV1017" s="129">
        <f>VLOOKUP($D1017,WGI!$C$2:$O$478,7,FALSE)</f>
        <v>-0.25923041502880501</v>
      </c>
      <c r="BW1017" s="129">
        <f>VLOOKUP($D1017,WGI!$C$2:$O$478,4,FALSE)</f>
        <v>-0.45823244394614299</v>
      </c>
      <c r="BX1017" s="129">
        <f>VLOOKUP($D1017,WGI!$C$2:$O$478,3,FALSE)</f>
        <v>-1.26971615130245</v>
      </c>
      <c r="BY1017" s="129">
        <f>VLOOKUP($D1017,WGI!$C$2:$O$478,5,FALSE)</f>
        <v>-1.05371982904254</v>
      </c>
      <c r="BZ1017" s="129">
        <f>VLOOKUP($D1017,WGI!$C$2:$O$478,2,FALSE)</f>
        <v>-0.52783845709357602</v>
      </c>
    </row>
    <row r="1018" spans="1:80" ht="15" customHeight="1">
      <c r="A1018" s="280" t="s">
        <v>308</v>
      </c>
      <c r="B1018" s="117">
        <v>2010</v>
      </c>
      <c r="C1018" s="117" t="s">
        <v>301</v>
      </c>
      <c r="D1018" s="117" t="s">
        <v>3670</v>
      </c>
      <c r="E1018" s="117" t="s">
        <v>86</v>
      </c>
      <c r="F1018" s="117"/>
      <c r="G1018" s="117" t="s">
        <v>24</v>
      </c>
      <c r="H1018" s="117" t="str">
        <f t="shared" si="171"/>
        <v>yes</v>
      </c>
      <c r="I1018" s="117" t="str">
        <f t="shared" si="168"/>
        <v>no</v>
      </c>
      <c r="J1018" s="117" t="str">
        <f t="shared" si="169"/>
        <v>no</v>
      </c>
      <c r="K1018" s="117" t="s">
        <v>784</v>
      </c>
      <c r="L1018" s="117" t="str">
        <f t="shared" si="172"/>
        <v>detailed</v>
      </c>
      <c r="M1018" s="117" t="str">
        <f t="shared" si="170"/>
        <v>detailed Mining</v>
      </c>
      <c r="N1018" s="118">
        <f>(((524/365)*184)+((666/365)*181))*32.150743126506</f>
        <v>19110.930219761631</v>
      </c>
      <c r="O1018" s="118"/>
      <c r="P1018" s="118"/>
      <c r="Q1018" s="118"/>
      <c r="R1018" s="118"/>
      <c r="S1018" s="117" t="s">
        <v>785</v>
      </c>
      <c r="T1018" s="119">
        <f>(((972.97/365)*184)+((1224.66/365)*181))*0.8663</f>
        <v>951.00738362191771</v>
      </c>
      <c r="U1018" s="117" t="s">
        <v>786</v>
      </c>
      <c r="V1018" s="117" t="s">
        <v>1598</v>
      </c>
      <c r="W1018" s="89">
        <f>N1018*T1018</f>
        <v>18174635.746876549</v>
      </c>
      <c r="X1018" s="117"/>
      <c r="Y1018" s="117"/>
      <c r="Z1018" s="117"/>
      <c r="AA1018" s="89"/>
      <c r="AB1018" s="89"/>
      <c r="AC1018" s="240"/>
      <c r="AD1018" s="240"/>
      <c r="AE1018" s="240"/>
      <c r="AF1018" s="241"/>
      <c r="AG1018" s="117"/>
      <c r="AH1018" s="124"/>
      <c r="AI1018" s="117"/>
      <c r="AJ1018" s="117"/>
      <c r="AK1018" s="89"/>
      <c r="AL1018" s="117"/>
      <c r="AM1018" s="120"/>
      <c r="AN1018" s="120"/>
      <c r="AO1018" s="117"/>
      <c r="AP1018" s="117"/>
      <c r="AQ1018" s="117"/>
      <c r="AR1018" s="117"/>
      <c r="AS1018" s="117"/>
      <c r="AT1018" s="117"/>
      <c r="AU1018" s="117"/>
      <c r="AV1018" s="128"/>
      <c r="AW1018" s="117">
        <f>VLOOKUP($D1018,'WB Data'!$C$3:$M$578,2,FALSE)</f>
        <v>1292696475.9587305</v>
      </c>
      <c r="AX1018" s="117">
        <f>VLOOKUP($D1018,'WB Data'!$C$3:$M$578,3,FALSE)</f>
        <v>3957990</v>
      </c>
      <c r="AY1018" s="847">
        <f t="shared" si="164"/>
        <v>5.5617164846587928E-2</v>
      </c>
      <c r="AZ1018" s="117">
        <f>VLOOKUP($D1018,'WB Data'!$C$3:$M$578,4,FALSE)/100</f>
        <v>0.20899193520608825</v>
      </c>
      <c r="BA1018" s="117">
        <f t="shared" si="165"/>
        <v>270163138.14470559</v>
      </c>
      <c r="BB1018" s="129">
        <f>IFERROR(VLOOKUP($D1018,'EITI Revenues'!$C$2:$G$224,5,FALSE),"..")</f>
        <v>71896113</v>
      </c>
      <c r="BC1018" s="846">
        <f t="shared" si="166"/>
        <v>0.26612110554286939</v>
      </c>
      <c r="BD1018" s="129" t="str">
        <f>VLOOKUP($D1018,'WB Data 2'!$C$2:$K$545,6,FALSE)</f>
        <v>..</v>
      </c>
      <c r="BE1018" s="129">
        <f>IFERROR(VLOOKUP($D1018,UNCTAD!$C$5:$V$529,4,FALSE),"..")</f>
        <v>399203000</v>
      </c>
      <c r="BF1018" s="846" t="str">
        <f t="shared" si="167"/>
        <v>..</v>
      </c>
      <c r="BG1018" s="117">
        <f>VLOOKUP($D1018,'WB Data'!$C$3:$M$578,5,FALSE)</f>
        <v>1417010000</v>
      </c>
      <c r="BH1018" s="129">
        <f>IFERROR($BB1018/$BG1018,"..")</f>
        <v>5.0737900932244659E-2</v>
      </c>
      <c r="BI1018" s="117" t="str">
        <f>IFERROR(VLOOKUP($D1018,'WB Data'!$C$3:$M$578,7,FALSE)/100,"..")</f>
        <v>..</v>
      </c>
      <c r="BJ1018" s="117" t="str">
        <f>IFERROR($BI1018*$AW1018,"..")</f>
        <v>..</v>
      </c>
      <c r="BK1018" s="846" t="str">
        <f>IFERROR($BB1018/$BJ1018,"..")</f>
        <v>..</v>
      </c>
      <c r="BL1018" s="117" t="str">
        <f>IFERROR(VLOOKUP($D1018,'WB Data'!$C$3:$M$578,7,FALSE)/100,"..")</f>
        <v>..</v>
      </c>
      <c r="BM1018" s="117" t="str">
        <f>IFERROR($AW1018*$BL1018,"..")</f>
        <v>..</v>
      </c>
      <c r="BN1018" s="846" t="str">
        <f>IFERROR($BB1018/$BM1018,"..")</f>
        <v>..</v>
      </c>
      <c r="BO1018" s="801">
        <f t="shared" si="163"/>
        <v>37</v>
      </c>
      <c r="BP1018" s="117" t="str">
        <f>VLOOKUP($D1018,'WB Data'!$C$3:$M$578,9,FALSE)</f>
        <v>..</v>
      </c>
      <c r="BQ1018" s="117">
        <f>VLOOKUP($D1018,'WB Data'!$C$3:$M$578,10,FALSE)</f>
        <v>59.434317073170739</v>
      </c>
      <c r="BR1018" s="117">
        <f>VLOOKUP($D1018,'WB Data'!$C$3:$M$578,11,FALSE)</f>
        <v>60.4</v>
      </c>
      <c r="BS1018" s="129" t="str">
        <f>IFERROR(VLOOKUP($D1018,'WB Data 2'!$C$2:$K$545,9,FALSE),"..")</f>
        <v>..</v>
      </c>
      <c r="BT1018" s="129">
        <f>_xlfn.IFNA(VLOOKUP($C1018,RGI!$A$2:$C$43,2,FALSE),"..")</f>
        <v>60.5</v>
      </c>
      <c r="BU1018" s="129">
        <f>_xlfn.IFNA(VLOOKUP($C1018,RGI!$A$2:$C$43,3,FALSE),"..")</f>
        <v>61.600874881317473</v>
      </c>
      <c r="BV1018" s="129">
        <f>VLOOKUP($D1018,WGI!$C$2:$O$478,7,FALSE)</f>
        <v>-0.25923041502880501</v>
      </c>
      <c r="BW1018" s="129">
        <f>VLOOKUP($D1018,WGI!$C$2:$O$478,4,FALSE)</f>
        <v>-0.45823244394614299</v>
      </c>
      <c r="BX1018" s="129">
        <f>VLOOKUP($D1018,WGI!$C$2:$O$478,3,FALSE)</f>
        <v>-1.26971615130245</v>
      </c>
      <c r="BY1018" s="129">
        <f>VLOOKUP($D1018,WGI!$C$2:$O$478,5,FALSE)</f>
        <v>-1.05371982904254</v>
      </c>
      <c r="BZ1018" s="129">
        <f>VLOOKUP($D1018,WGI!$C$2:$O$478,2,FALSE)</f>
        <v>-0.52783845709357602</v>
      </c>
    </row>
    <row r="1019" spans="1:80" ht="15" customHeight="1">
      <c r="A1019" s="280" t="s">
        <v>308</v>
      </c>
      <c r="B1019" s="117">
        <v>2010</v>
      </c>
      <c r="C1019" s="117" t="s">
        <v>301</v>
      </c>
      <c r="D1019" s="117" t="s">
        <v>3670</v>
      </c>
      <c r="E1019" s="117" t="s">
        <v>86</v>
      </c>
      <c r="F1019" s="117"/>
      <c r="G1019" s="117" t="s">
        <v>24</v>
      </c>
      <c r="H1019" s="117" t="str">
        <f t="shared" si="171"/>
        <v>yes</v>
      </c>
      <c r="I1019" s="117" t="str">
        <f t="shared" si="168"/>
        <v>no</v>
      </c>
      <c r="J1019" s="117" t="str">
        <f t="shared" si="169"/>
        <v>no</v>
      </c>
      <c r="K1019" s="117" t="s">
        <v>970</v>
      </c>
      <c r="L1019" s="117" t="str">
        <f t="shared" si="172"/>
        <v>detailed</v>
      </c>
      <c r="M1019" s="117" t="str">
        <f t="shared" si="170"/>
        <v>detailed Mining</v>
      </c>
      <c r="N1019" s="118">
        <f>((120000/365)*184)+((110000/365)*181)</f>
        <v>115041.09589041096</v>
      </c>
      <c r="O1019" s="118"/>
      <c r="P1019" s="118"/>
      <c r="Q1019" s="118"/>
      <c r="R1019" s="118"/>
      <c r="S1019" s="117" t="s">
        <v>610</v>
      </c>
      <c r="T1019" s="119">
        <v>7.31</v>
      </c>
      <c r="U1019" s="117" t="s">
        <v>611</v>
      </c>
      <c r="V1019" s="117" t="s">
        <v>1621</v>
      </c>
      <c r="W1019" s="89">
        <f>N1019*T1019</f>
        <v>840950.41095890407</v>
      </c>
      <c r="X1019" s="117"/>
      <c r="Y1019" s="117"/>
      <c r="Z1019" s="117"/>
      <c r="AA1019" s="89"/>
      <c r="AB1019" s="89"/>
      <c r="AC1019" s="240"/>
      <c r="AD1019" s="240"/>
      <c r="AE1019" s="240"/>
      <c r="AF1019" s="241"/>
      <c r="AG1019" s="117"/>
      <c r="AH1019" s="124"/>
      <c r="AI1019" s="117"/>
      <c r="AJ1019" s="117"/>
      <c r="AK1019" s="89"/>
      <c r="AL1019" s="117"/>
      <c r="AM1019" s="120"/>
      <c r="AN1019" s="120"/>
      <c r="AO1019" s="117"/>
      <c r="AP1019" s="117"/>
      <c r="AQ1019" s="117"/>
      <c r="AR1019" s="117"/>
      <c r="AS1019" s="117"/>
      <c r="AT1019" s="117"/>
      <c r="AU1019" s="117"/>
      <c r="AV1019" s="128"/>
      <c r="AW1019" s="117">
        <f>VLOOKUP($D1019,'WB Data'!$C$3:$M$578,2,FALSE)</f>
        <v>1292696475.9587305</v>
      </c>
      <c r="AX1019" s="117">
        <f>VLOOKUP($D1019,'WB Data'!$C$3:$M$578,3,FALSE)</f>
        <v>3957990</v>
      </c>
      <c r="AY1019" s="847">
        <f t="shared" si="164"/>
        <v>5.5617164846587928E-2</v>
      </c>
      <c r="AZ1019" s="117">
        <f>VLOOKUP($D1019,'WB Data'!$C$3:$M$578,4,FALSE)/100</f>
        <v>0.20899193520608825</v>
      </c>
      <c r="BA1019" s="117">
        <f t="shared" si="165"/>
        <v>270163138.14470559</v>
      </c>
      <c r="BB1019" s="129">
        <f>IFERROR(VLOOKUP($D1019,'EITI Revenues'!$C$2:$G$224,5,FALSE),"..")</f>
        <v>71896113</v>
      </c>
      <c r="BC1019" s="846">
        <f t="shared" si="166"/>
        <v>0.26612110554286939</v>
      </c>
      <c r="BD1019" s="129" t="str">
        <f>VLOOKUP($D1019,'WB Data 2'!$C$2:$K$545,6,FALSE)</f>
        <v>..</v>
      </c>
      <c r="BE1019" s="129">
        <f>IFERROR(VLOOKUP($D1019,UNCTAD!$C$5:$V$529,4,FALSE),"..")</f>
        <v>399203000</v>
      </c>
      <c r="BF1019" s="846" t="str">
        <f t="shared" si="167"/>
        <v>..</v>
      </c>
      <c r="BG1019" s="117">
        <f>VLOOKUP($D1019,'WB Data'!$C$3:$M$578,5,FALSE)</f>
        <v>1417010000</v>
      </c>
      <c r="BH1019" s="129">
        <f>IFERROR($BB1019/$BG1019,"..")</f>
        <v>5.0737900932244659E-2</v>
      </c>
      <c r="BI1019" s="117" t="str">
        <f>IFERROR(VLOOKUP($D1019,'WB Data'!$C$3:$M$578,7,FALSE)/100,"..")</f>
        <v>..</v>
      </c>
      <c r="BJ1019" s="117" t="str">
        <f>IFERROR($BI1019*$AW1019,"..")</f>
        <v>..</v>
      </c>
      <c r="BK1019" s="846" t="str">
        <f>IFERROR($BB1019/$BJ1019,"..")</f>
        <v>..</v>
      </c>
      <c r="BL1019" s="117" t="str">
        <f>IFERROR(VLOOKUP($D1019,'WB Data'!$C$3:$M$578,7,FALSE)/100,"..")</f>
        <v>..</v>
      </c>
      <c r="BM1019" s="117" t="str">
        <f>IFERROR($AW1019*$BL1019,"..")</f>
        <v>..</v>
      </c>
      <c r="BN1019" s="846" t="str">
        <f>IFERROR($BB1019/$BM1019,"..")</f>
        <v>..</v>
      </c>
      <c r="BO1019" s="801">
        <f t="shared" si="163"/>
        <v>37</v>
      </c>
      <c r="BP1019" s="117" t="str">
        <f>VLOOKUP($D1019,'WB Data'!$C$3:$M$578,9,FALSE)</f>
        <v>..</v>
      </c>
      <c r="BQ1019" s="117">
        <f>VLOOKUP($D1019,'WB Data'!$C$3:$M$578,10,FALSE)</f>
        <v>59.434317073170739</v>
      </c>
      <c r="BR1019" s="117">
        <f>VLOOKUP($D1019,'WB Data'!$C$3:$M$578,11,FALSE)</f>
        <v>60.4</v>
      </c>
      <c r="BS1019" s="129" t="str">
        <f>IFERROR(VLOOKUP($D1019,'WB Data 2'!$C$2:$K$545,9,FALSE),"..")</f>
        <v>..</v>
      </c>
      <c r="BT1019" s="129">
        <f>_xlfn.IFNA(VLOOKUP($C1019,RGI!$A$2:$C$43,2,FALSE),"..")</f>
        <v>60.5</v>
      </c>
      <c r="BU1019" s="129">
        <f>_xlfn.IFNA(VLOOKUP($C1019,RGI!$A$2:$C$43,3,FALSE),"..")</f>
        <v>61.600874881317473</v>
      </c>
      <c r="BV1019" s="129">
        <f>VLOOKUP($D1019,WGI!$C$2:$O$478,7,FALSE)</f>
        <v>-0.25923041502880501</v>
      </c>
      <c r="BW1019" s="129">
        <f>VLOOKUP($D1019,WGI!$C$2:$O$478,4,FALSE)</f>
        <v>-0.45823244394614299</v>
      </c>
      <c r="BX1019" s="129">
        <f>VLOOKUP($D1019,WGI!$C$2:$O$478,3,FALSE)</f>
        <v>-1.26971615130245</v>
      </c>
      <c r="BY1019" s="129">
        <f>VLOOKUP($D1019,WGI!$C$2:$O$478,5,FALSE)</f>
        <v>-1.05371982904254</v>
      </c>
      <c r="BZ1019" s="129">
        <f>VLOOKUP($D1019,WGI!$C$2:$O$478,2,FALSE)</f>
        <v>-0.52783845709357602</v>
      </c>
    </row>
    <row r="1020" spans="1:80" ht="15" customHeight="1">
      <c r="A1020" s="280" t="s">
        <v>308</v>
      </c>
      <c r="B1020" s="117">
        <v>2010</v>
      </c>
      <c r="C1020" s="117" t="s">
        <v>301</v>
      </c>
      <c r="D1020" s="117" t="s">
        <v>3670</v>
      </c>
      <c r="E1020" s="117" t="s">
        <v>86</v>
      </c>
      <c r="F1020" s="117"/>
      <c r="G1020" s="117" t="s">
        <v>24</v>
      </c>
      <c r="H1020" s="117" t="str">
        <f t="shared" si="171"/>
        <v>yes</v>
      </c>
      <c r="I1020" s="117" t="str">
        <f t="shared" si="168"/>
        <v>no</v>
      </c>
      <c r="J1020" s="117" t="str">
        <f t="shared" si="169"/>
        <v>no</v>
      </c>
      <c r="K1020" s="117" t="s">
        <v>1601</v>
      </c>
      <c r="L1020" s="117" t="str">
        <f t="shared" si="172"/>
        <v>detailed</v>
      </c>
      <c r="M1020" s="117" t="str">
        <f t="shared" si="170"/>
        <v>detailed Mining</v>
      </c>
      <c r="N1020" s="118">
        <f>((3000/365)*184)+((3000/365)*181)</f>
        <v>3000.0000000000005</v>
      </c>
      <c r="O1020" s="118"/>
      <c r="P1020" s="118"/>
      <c r="Q1020" s="118"/>
      <c r="R1020" s="118"/>
      <c r="S1020" s="117" t="s">
        <v>610</v>
      </c>
      <c r="T1020" s="119">
        <v>8.42</v>
      </c>
      <c r="U1020" s="117" t="s">
        <v>611</v>
      </c>
      <c r="V1020" s="117" t="s">
        <v>1622</v>
      </c>
      <c r="W1020" s="89">
        <f>N1020*T1020</f>
        <v>25260.000000000004</v>
      </c>
      <c r="X1020" s="117"/>
      <c r="Y1020" s="117"/>
      <c r="Z1020" s="117"/>
      <c r="AA1020" s="89"/>
      <c r="AB1020" s="89"/>
      <c r="AC1020" s="240"/>
      <c r="AD1020" s="240"/>
      <c r="AE1020" s="240"/>
      <c r="AF1020" s="241"/>
      <c r="AG1020" s="117"/>
      <c r="AH1020" s="124"/>
      <c r="AI1020" s="117"/>
      <c r="AJ1020" s="117"/>
      <c r="AK1020" s="89"/>
      <c r="AL1020" s="117"/>
      <c r="AM1020" s="120"/>
      <c r="AN1020" s="120"/>
      <c r="AO1020" s="117"/>
      <c r="AP1020" s="117"/>
      <c r="AQ1020" s="117"/>
      <c r="AR1020" s="117"/>
      <c r="AS1020" s="117"/>
      <c r="AT1020" s="117"/>
      <c r="AU1020" s="117"/>
      <c r="AV1020" s="128"/>
      <c r="AW1020" s="117">
        <f>VLOOKUP($D1020,'WB Data'!$C$3:$M$578,2,FALSE)</f>
        <v>1292696475.9587305</v>
      </c>
      <c r="AX1020" s="117">
        <f>VLOOKUP($D1020,'WB Data'!$C$3:$M$578,3,FALSE)</f>
        <v>3957990</v>
      </c>
      <c r="AY1020" s="847">
        <f t="shared" si="164"/>
        <v>5.5617164846587928E-2</v>
      </c>
      <c r="AZ1020" s="117">
        <f>VLOOKUP($D1020,'WB Data'!$C$3:$M$578,4,FALSE)/100</f>
        <v>0.20899193520608825</v>
      </c>
      <c r="BA1020" s="117">
        <f t="shared" si="165"/>
        <v>270163138.14470559</v>
      </c>
      <c r="BB1020" s="129">
        <f>IFERROR(VLOOKUP($D1020,'EITI Revenues'!$C$2:$G$224,5,FALSE),"..")</f>
        <v>71896113</v>
      </c>
      <c r="BC1020" s="846">
        <f t="shared" si="166"/>
        <v>0.26612110554286939</v>
      </c>
      <c r="BD1020" s="129" t="str">
        <f>VLOOKUP($D1020,'WB Data 2'!$C$2:$K$545,6,FALSE)</f>
        <v>..</v>
      </c>
      <c r="BE1020" s="129">
        <f>IFERROR(VLOOKUP($D1020,UNCTAD!$C$5:$V$529,4,FALSE),"..")</f>
        <v>399203000</v>
      </c>
      <c r="BF1020" s="846" t="str">
        <f t="shared" si="167"/>
        <v>..</v>
      </c>
      <c r="BG1020" s="117">
        <f>VLOOKUP($D1020,'WB Data'!$C$3:$M$578,5,FALSE)</f>
        <v>1417010000</v>
      </c>
      <c r="BH1020" s="129">
        <f>IFERROR($BB1020/$BG1020,"..")</f>
        <v>5.0737900932244659E-2</v>
      </c>
      <c r="BI1020" s="117" t="str">
        <f>IFERROR(VLOOKUP($D1020,'WB Data'!$C$3:$M$578,7,FALSE)/100,"..")</f>
        <v>..</v>
      </c>
      <c r="BJ1020" s="117" t="str">
        <f>IFERROR($BI1020*$AW1020,"..")</f>
        <v>..</v>
      </c>
      <c r="BK1020" s="846" t="str">
        <f>IFERROR($BB1020/$BJ1020,"..")</f>
        <v>..</v>
      </c>
      <c r="BL1020" s="117" t="str">
        <f>IFERROR(VLOOKUP($D1020,'WB Data'!$C$3:$M$578,7,FALSE)/100,"..")</f>
        <v>..</v>
      </c>
      <c r="BM1020" s="117" t="str">
        <f>IFERROR($AW1020*$BL1020,"..")</f>
        <v>..</v>
      </c>
      <c r="BN1020" s="846" t="str">
        <f>IFERROR($BB1020/$BM1020,"..")</f>
        <v>..</v>
      </c>
      <c r="BO1020" s="801">
        <f t="shared" si="163"/>
        <v>37</v>
      </c>
      <c r="BP1020" s="117" t="str">
        <f>VLOOKUP($D1020,'WB Data'!$C$3:$M$578,9,FALSE)</f>
        <v>..</v>
      </c>
      <c r="BQ1020" s="117">
        <f>VLOOKUP($D1020,'WB Data'!$C$3:$M$578,10,FALSE)</f>
        <v>59.434317073170739</v>
      </c>
      <c r="BR1020" s="117">
        <f>VLOOKUP($D1020,'WB Data'!$C$3:$M$578,11,FALSE)</f>
        <v>60.4</v>
      </c>
      <c r="BS1020" s="129" t="str">
        <f>IFERROR(VLOOKUP($D1020,'WB Data 2'!$C$2:$K$545,9,FALSE),"..")</f>
        <v>..</v>
      </c>
      <c r="BT1020" s="129">
        <f>_xlfn.IFNA(VLOOKUP($C1020,RGI!$A$2:$C$43,2,FALSE),"..")</f>
        <v>60.5</v>
      </c>
      <c r="BU1020" s="129">
        <f>_xlfn.IFNA(VLOOKUP($C1020,RGI!$A$2:$C$43,3,FALSE),"..")</f>
        <v>61.600874881317473</v>
      </c>
      <c r="BV1020" s="129">
        <f>VLOOKUP($D1020,WGI!$C$2:$O$478,7,FALSE)</f>
        <v>-0.25923041502880501</v>
      </c>
      <c r="BW1020" s="129">
        <f>VLOOKUP($D1020,WGI!$C$2:$O$478,4,FALSE)</f>
        <v>-0.45823244394614299</v>
      </c>
      <c r="BX1020" s="129">
        <f>VLOOKUP($D1020,WGI!$C$2:$O$478,3,FALSE)</f>
        <v>-1.26971615130245</v>
      </c>
      <c r="BY1020" s="129">
        <f>VLOOKUP($D1020,WGI!$C$2:$O$478,5,FALSE)</f>
        <v>-1.05371982904254</v>
      </c>
      <c r="BZ1020" s="129">
        <f>VLOOKUP($D1020,WGI!$C$2:$O$478,2,FALSE)</f>
        <v>-0.52783845709357602</v>
      </c>
    </row>
    <row r="1021" spans="1:80" ht="15" customHeight="1">
      <c r="A1021" s="280" t="s">
        <v>308</v>
      </c>
      <c r="B1021" s="117">
        <v>2010</v>
      </c>
      <c r="C1021" s="117" t="s">
        <v>301</v>
      </c>
      <c r="D1021" s="117" t="s">
        <v>3670</v>
      </c>
      <c r="E1021" s="117" t="s">
        <v>86</v>
      </c>
      <c r="F1021" s="117"/>
      <c r="G1021" s="117" t="s">
        <v>1603</v>
      </c>
      <c r="H1021" s="117" t="str">
        <f t="shared" si="171"/>
        <v>no</v>
      </c>
      <c r="I1021" s="117" t="str">
        <f t="shared" si="168"/>
        <v>no</v>
      </c>
      <c r="J1021" s="117" t="str">
        <f t="shared" si="169"/>
        <v>no</v>
      </c>
      <c r="K1021" s="117" t="s">
        <v>1604</v>
      </c>
      <c r="L1021" s="117" t="str">
        <f t="shared" si="172"/>
        <v>detailed</v>
      </c>
      <c r="M1021" s="117" t="str">
        <f t="shared" si="170"/>
        <v>detailed Other</v>
      </c>
      <c r="N1021" s="118"/>
      <c r="O1021" s="118"/>
      <c r="P1021" s="118"/>
      <c r="Q1021" s="118"/>
      <c r="R1021" s="118"/>
      <c r="S1021" s="117"/>
      <c r="T1021" s="119"/>
      <c r="U1021" s="117"/>
      <c r="V1021" s="117"/>
      <c r="W1021" s="89"/>
      <c r="X1021" s="117"/>
      <c r="Y1021" s="117"/>
      <c r="Z1021" s="117"/>
      <c r="AA1021" s="89">
        <v>12177453</v>
      </c>
      <c r="AB1021" s="89">
        <v>11504265</v>
      </c>
      <c r="AC1021" s="240"/>
      <c r="AD1021" s="240"/>
      <c r="AE1021" s="240"/>
      <c r="AF1021" s="241"/>
      <c r="AG1021" s="117"/>
      <c r="AH1021" s="124"/>
      <c r="AI1021" s="117"/>
      <c r="AJ1021" s="117"/>
      <c r="AK1021" s="89"/>
      <c r="AL1021" s="117"/>
      <c r="AM1021" s="117"/>
      <c r="AN1021" s="117">
        <v>21</v>
      </c>
      <c r="AO1021" s="117" t="s">
        <v>1623</v>
      </c>
      <c r="AP1021" s="117">
        <v>19</v>
      </c>
      <c r="AQ1021" s="117"/>
      <c r="AR1021" s="117"/>
      <c r="AS1021" s="117"/>
      <c r="AT1021" s="117"/>
      <c r="AU1021" s="215" t="s">
        <v>1624</v>
      </c>
      <c r="AV1021" s="128"/>
      <c r="AW1021" s="117">
        <f>VLOOKUP($D1021,'WB Data'!$C$3:$M$578,2,FALSE)</f>
        <v>1292696475.9587305</v>
      </c>
      <c r="AX1021" s="117">
        <f>VLOOKUP($D1021,'WB Data'!$C$3:$M$578,3,FALSE)</f>
        <v>3957990</v>
      </c>
      <c r="AY1021" s="847">
        <f t="shared" si="164"/>
        <v>5.5617164846587928E-2</v>
      </c>
      <c r="AZ1021" s="117">
        <f>VLOOKUP($D1021,'WB Data'!$C$3:$M$578,4,FALSE)/100</f>
        <v>0.20899193520608825</v>
      </c>
      <c r="BA1021" s="117">
        <f t="shared" si="165"/>
        <v>270163138.14470559</v>
      </c>
      <c r="BB1021" s="129">
        <f>IFERROR(VLOOKUP($D1021,'EITI Revenues'!$C$2:$G$224,5,FALSE),"..")</f>
        <v>71896113</v>
      </c>
      <c r="BC1021" s="846">
        <f t="shared" si="166"/>
        <v>0.26612110554286939</v>
      </c>
      <c r="BD1021" s="129" t="str">
        <f>VLOOKUP($D1021,'WB Data 2'!$C$2:$K$545,6,FALSE)</f>
        <v>..</v>
      </c>
      <c r="BE1021" s="129">
        <f>IFERROR(VLOOKUP($D1021,UNCTAD!$C$5:$V$529,4,FALSE),"..")</f>
        <v>399203000</v>
      </c>
      <c r="BF1021" s="846" t="str">
        <f t="shared" si="167"/>
        <v>..</v>
      </c>
      <c r="BG1021" s="117">
        <f>VLOOKUP($D1021,'WB Data'!$C$3:$M$578,5,FALSE)</f>
        <v>1417010000</v>
      </c>
      <c r="BH1021" s="129">
        <f>IFERROR($BB1021/$BG1021,"..")</f>
        <v>5.0737900932244659E-2</v>
      </c>
      <c r="BI1021" s="117" t="str">
        <f>IFERROR(VLOOKUP($D1021,'WB Data'!$C$3:$M$578,7,FALSE)/100,"..")</f>
        <v>..</v>
      </c>
      <c r="BJ1021" s="117" t="str">
        <f>IFERROR($BI1021*$AW1021,"..")</f>
        <v>..</v>
      </c>
      <c r="BK1021" s="846" t="str">
        <f>IFERROR($BB1021/$BJ1021,"..")</f>
        <v>..</v>
      </c>
      <c r="BL1021" s="117" t="str">
        <f>IFERROR(VLOOKUP($D1021,'WB Data'!$C$3:$M$578,7,FALSE)/100,"..")</f>
        <v>..</v>
      </c>
      <c r="BM1021" s="117" t="str">
        <f>IFERROR($AW1021*$BL1021,"..")</f>
        <v>..</v>
      </c>
      <c r="BN1021" s="846" t="str">
        <f>IFERROR($BB1021/$BM1021,"..")</f>
        <v>..</v>
      </c>
      <c r="BO1021" s="801">
        <f t="shared" si="163"/>
        <v>37</v>
      </c>
      <c r="BP1021" s="117" t="str">
        <f>VLOOKUP($D1021,'WB Data'!$C$3:$M$578,9,FALSE)</f>
        <v>..</v>
      </c>
      <c r="BQ1021" s="117">
        <f>VLOOKUP($D1021,'WB Data'!$C$3:$M$578,10,FALSE)</f>
        <v>59.434317073170739</v>
      </c>
      <c r="BR1021" s="117">
        <f>VLOOKUP($D1021,'WB Data'!$C$3:$M$578,11,FALSE)</f>
        <v>60.4</v>
      </c>
      <c r="BS1021" s="129" t="str">
        <f>IFERROR(VLOOKUP($D1021,'WB Data 2'!$C$2:$K$545,9,FALSE),"..")</f>
        <v>..</v>
      </c>
      <c r="BT1021" s="129">
        <f>_xlfn.IFNA(VLOOKUP($C1021,RGI!$A$2:$C$43,2,FALSE),"..")</f>
        <v>60.5</v>
      </c>
      <c r="BU1021" s="129">
        <f>_xlfn.IFNA(VLOOKUP($C1021,RGI!$A$2:$C$43,3,FALSE),"..")</f>
        <v>61.600874881317473</v>
      </c>
      <c r="BV1021" s="129">
        <f>VLOOKUP($D1021,WGI!$C$2:$O$478,7,FALSE)</f>
        <v>-0.25923041502880501</v>
      </c>
      <c r="BW1021" s="129">
        <f>VLOOKUP($D1021,WGI!$C$2:$O$478,4,FALSE)</f>
        <v>-0.45823244394614299</v>
      </c>
      <c r="BX1021" s="129">
        <f>VLOOKUP($D1021,WGI!$C$2:$O$478,3,FALSE)</f>
        <v>-1.26971615130245</v>
      </c>
      <c r="BY1021" s="129">
        <f>VLOOKUP($D1021,WGI!$C$2:$O$478,5,FALSE)</f>
        <v>-1.05371982904254</v>
      </c>
      <c r="BZ1021" s="129">
        <f>VLOOKUP($D1021,WGI!$C$2:$O$478,2,FALSE)</f>
        <v>-0.52783845709357602</v>
      </c>
    </row>
    <row r="1022" spans="1:80" ht="15" customHeight="1">
      <c r="A1022" s="280" t="s">
        <v>308</v>
      </c>
      <c r="B1022" s="117">
        <v>2010</v>
      </c>
      <c r="C1022" s="117" t="s">
        <v>301</v>
      </c>
      <c r="D1022" s="117" t="s">
        <v>3670</v>
      </c>
      <c r="E1022" s="117" t="s">
        <v>86</v>
      </c>
      <c r="F1022" s="117"/>
      <c r="G1022" s="149" t="s">
        <v>1603</v>
      </c>
      <c r="H1022" s="117" t="str">
        <f t="shared" si="171"/>
        <v>no</v>
      </c>
      <c r="I1022" s="117" t="str">
        <f t="shared" si="168"/>
        <v>no</v>
      </c>
      <c r="J1022" s="117" t="str">
        <f t="shared" si="169"/>
        <v>no</v>
      </c>
      <c r="K1022" s="117" t="s">
        <v>1612</v>
      </c>
      <c r="L1022" s="117" t="str">
        <f t="shared" si="172"/>
        <v>detailed</v>
      </c>
      <c r="M1022" s="117" t="str">
        <f t="shared" si="170"/>
        <v>detailed Other</v>
      </c>
      <c r="N1022" s="118"/>
      <c r="O1022" s="118"/>
      <c r="P1022" s="118"/>
      <c r="Q1022" s="118"/>
      <c r="R1022" s="118"/>
      <c r="S1022" s="117"/>
      <c r="T1022" s="119"/>
      <c r="U1022" s="117"/>
      <c r="V1022" s="117"/>
      <c r="W1022" s="89"/>
      <c r="X1022" s="117"/>
      <c r="Y1022" s="117"/>
      <c r="Z1022" s="117"/>
      <c r="AA1022" s="89">
        <v>12299858</v>
      </c>
      <c r="AB1022" s="89">
        <v>12098270</v>
      </c>
      <c r="AC1022" s="240"/>
      <c r="AD1022" s="240"/>
      <c r="AE1022" s="240"/>
      <c r="AF1022" s="241"/>
      <c r="AG1022" s="117"/>
      <c r="AH1022" s="124"/>
      <c r="AI1022" s="117"/>
      <c r="AJ1022" s="117"/>
      <c r="AK1022" s="89"/>
      <c r="AL1022" s="117"/>
      <c r="AM1022" s="117"/>
      <c r="AN1022" s="117">
        <v>14</v>
      </c>
      <c r="AO1022" s="117" t="s">
        <v>1625</v>
      </c>
      <c r="AP1022" s="117">
        <v>12</v>
      </c>
      <c r="AQ1022" s="117"/>
      <c r="AR1022" s="117"/>
      <c r="AS1022" s="117"/>
      <c r="AT1022" s="117"/>
      <c r="AU1022" s="117">
        <v>8</v>
      </c>
      <c r="AV1022" s="128"/>
      <c r="AW1022" s="117">
        <f>VLOOKUP($D1022,'WB Data'!$C$3:$M$578,2,FALSE)</f>
        <v>1292696475.9587305</v>
      </c>
      <c r="AX1022" s="117">
        <f>VLOOKUP($D1022,'WB Data'!$C$3:$M$578,3,FALSE)</f>
        <v>3957990</v>
      </c>
      <c r="AY1022" s="847">
        <f t="shared" si="164"/>
        <v>5.5617164846587928E-2</v>
      </c>
      <c r="AZ1022" s="117">
        <f>VLOOKUP($D1022,'WB Data'!$C$3:$M$578,4,FALSE)/100</f>
        <v>0.20899193520608825</v>
      </c>
      <c r="BA1022" s="117">
        <f t="shared" si="165"/>
        <v>270163138.14470559</v>
      </c>
      <c r="BB1022" s="129">
        <f>IFERROR(VLOOKUP($D1022,'EITI Revenues'!$C$2:$G$224,5,FALSE),"..")</f>
        <v>71896113</v>
      </c>
      <c r="BC1022" s="846">
        <f t="shared" si="166"/>
        <v>0.26612110554286939</v>
      </c>
      <c r="BD1022" s="129" t="str">
        <f>VLOOKUP($D1022,'WB Data 2'!$C$2:$K$545,6,FALSE)</f>
        <v>..</v>
      </c>
      <c r="BE1022" s="129">
        <f>IFERROR(VLOOKUP($D1022,UNCTAD!$C$5:$V$529,4,FALSE),"..")</f>
        <v>399203000</v>
      </c>
      <c r="BF1022" s="846" t="str">
        <f t="shared" si="167"/>
        <v>..</v>
      </c>
      <c r="BG1022" s="117">
        <f>VLOOKUP($D1022,'WB Data'!$C$3:$M$578,5,FALSE)</f>
        <v>1417010000</v>
      </c>
      <c r="BH1022" s="129">
        <f>IFERROR($BB1022/$BG1022,"..")</f>
        <v>5.0737900932244659E-2</v>
      </c>
      <c r="BI1022" s="117" t="str">
        <f>IFERROR(VLOOKUP($D1022,'WB Data'!$C$3:$M$578,7,FALSE)/100,"..")</f>
        <v>..</v>
      </c>
      <c r="BJ1022" s="117" t="str">
        <f>IFERROR($BI1022*$AW1022,"..")</f>
        <v>..</v>
      </c>
      <c r="BK1022" s="846" t="str">
        <f>IFERROR($BB1022/$BJ1022,"..")</f>
        <v>..</v>
      </c>
      <c r="BL1022" s="117" t="str">
        <f>IFERROR(VLOOKUP($D1022,'WB Data'!$C$3:$M$578,7,FALSE)/100,"..")</f>
        <v>..</v>
      </c>
      <c r="BM1022" s="117" t="str">
        <f>IFERROR($AW1022*$BL1022,"..")</f>
        <v>..</v>
      </c>
      <c r="BN1022" s="846" t="str">
        <f>IFERROR($BB1022/$BM1022,"..")</f>
        <v>..</v>
      </c>
      <c r="BO1022" s="801">
        <f t="shared" si="163"/>
        <v>37</v>
      </c>
      <c r="BP1022" s="117" t="str">
        <f>VLOOKUP($D1022,'WB Data'!$C$3:$M$578,9,FALSE)</f>
        <v>..</v>
      </c>
      <c r="BQ1022" s="117">
        <f>VLOOKUP($D1022,'WB Data'!$C$3:$M$578,10,FALSE)</f>
        <v>59.434317073170739</v>
      </c>
      <c r="BR1022" s="117">
        <f>VLOOKUP($D1022,'WB Data'!$C$3:$M$578,11,FALSE)</f>
        <v>60.4</v>
      </c>
      <c r="BS1022" s="129" t="str">
        <f>IFERROR(VLOOKUP($D1022,'WB Data 2'!$C$2:$K$545,9,FALSE),"..")</f>
        <v>..</v>
      </c>
      <c r="BT1022" s="129">
        <f>_xlfn.IFNA(VLOOKUP($C1022,RGI!$A$2:$C$43,2,FALSE),"..")</f>
        <v>60.5</v>
      </c>
      <c r="BU1022" s="129">
        <f>_xlfn.IFNA(VLOOKUP($C1022,RGI!$A$2:$C$43,3,FALSE),"..")</f>
        <v>61.600874881317473</v>
      </c>
      <c r="BV1022" s="129">
        <f>VLOOKUP($D1022,WGI!$C$2:$O$478,7,FALSE)</f>
        <v>-0.25923041502880501</v>
      </c>
      <c r="BW1022" s="129">
        <f>VLOOKUP($D1022,WGI!$C$2:$O$478,4,FALSE)</f>
        <v>-0.45823244394614299</v>
      </c>
      <c r="BX1022" s="129">
        <f>VLOOKUP($D1022,WGI!$C$2:$O$478,3,FALSE)</f>
        <v>-1.26971615130245</v>
      </c>
      <c r="BY1022" s="129">
        <f>VLOOKUP($D1022,WGI!$C$2:$O$478,5,FALSE)</f>
        <v>-1.05371982904254</v>
      </c>
      <c r="BZ1022" s="129">
        <f>VLOOKUP($D1022,WGI!$C$2:$O$478,2,FALSE)</f>
        <v>-0.52783845709357602</v>
      </c>
    </row>
    <row r="1023" spans="1:80" s="144" customFormat="1" ht="15" customHeight="1">
      <c r="A1023" s="279" t="s">
        <v>311</v>
      </c>
      <c r="B1023" s="132">
        <v>2011</v>
      </c>
      <c r="C1023" s="132" t="s">
        <v>301</v>
      </c>
      <c r="D1023" s="117" t="s">
        <v>3704</v>
      </c>
      <c r="E1023" s="132" t="s">
        <v>86</v>
      </c>
      <c r="F1023" s="132" t="s">
        <v>1587</v>
      </c>
      <c r="G1023" s="117" t="s">
        <v>519</v>
      </c>
      <c r="H1023" s="117" t="str">
        <f t="shared" si="171"/>
        <v>yes</v>
      </c>
      <c r="I1023" s="117" t="str">
        <f t="shared" si="168"/>
        <v>no</v>
      </c>
      <c r="J1023" s="117" t="str">
        <f t="shared" si="169"/>
        <v>no</v>
      </c>
      <c r="K1023" s="132" t="s">
        <v>709</v>
      </c>
      <c r="L1023" s="117" t="str">
        <f t="shared" si="172"/>
        <v>Total</v>
      </c>
      <c r="M1023" s="117" t="str">
        <f t="shared" si="170"/>
        <v>Total Oil, Mining, Other</v>
      </c>
      <c r="N1023" s="133"/>
      <c r="O1023" s="133"/>
      <c r="P1023" s="133"/>
      <c r="Q1023" s="133"/>
      <c r="R1023" s="133"/>
      <c r="S1023" s="132"/>
      <c r="T1023" s="134"/>
      <c r="U1023" s="132"/>
      <c r="V1023" s="132"/>
      <c r="W1023" s="299">
        <f>W1024+W1025+W1032+W1033</f>
        <v>147332348.74315965</v>
      </c>
      <c r="X1023" s="132" t="s">
        <v>998</v>
      </c>
      <c r="Y1023" s="132" t="s">
        <v>1626</v>
      </c>
      <c r="Z1023" s="132" t="s">
        <v>732</v>
      </c>
      <c r="AA1023" s="238">
        <v>102802566.91</v>
      </c>
      <c r="AB1023" s="231">
        <v>115407282</v>
      </c>
      <c r="AC1023" s="226"/>
      <c r="AD1023" s="226"/>
      <c r="AE1023" s="226"/>
      <c r="AF1023" s="227">
        <f>AA1023/W1023</f>
        <v>0.6977596419725367</v>
      </c>
      <c r="AG1023" s="132" t="s">
        <v>864</v>
      </c>
      <c r="AH1023" s="140"/>
      <c r="AI1023" s="132" t="s">
        <v>605</v>
      </c>
      <c r="AJ1023" s="132" t="s">
        <v>1627</v>
      </c>
      <c r="AK1023" s="135">
        <v>12958352</v>
      </c>
      <c r="AL1023" s="132"/>
      <c r="AM1023" s="132"/>
      <c r="AN1023" s="132">
        <v>111</v>
      </c>
      <c r="AO1023" s="132" t="s">
        <v>1628</v>
      </c>
      <c r="AP1023" s="132">
        <v>65</v>
      </c>
      <c r="AQ1023" s="389" t="s">
        <v>145</v>
      </c>
      <c r="AR1023" s="141">
        <v>41900</v>
      </c>
      <c r="AS1023" s="132" t="s">
        <v>1629</v>
      </c>
      <c r="AT1023" s="132" t="s">
        <v>312</v>
      </c>
      <c r="AU1023" s="132" t="s">
        <v>1630</v>
      </c>
      <c r="AV1023" s="143" t="s">
        <v>1631</v>
      </c>
      <c r="AW1023" s="117">
        <f>VLOOKUP($D1023,'WB Data'!$C$3:$M$578,2,FALSE)</f>
        <v>1537753884.5750225</v>
      </c>
      <c r="AX1023" s="117">
        <f>VLOOKUP($D1023,'WB Data'!$C$3:$M$578,3,FALSE)</f>
        <v>4079697</v>
      </c>
      <c r="AY1023" s="847">
        <f t="shared" si="164"/>
        <v>6.6852418934653365E-2</v>
      </c>
      <c r="AZ1023" s="117">
        <f>VLOOKUP($D1023,'WB Data'!$C$3:$M$578,4,FALSE)/100</f>
        <v>0.20786675890617212</v>
      </c>
      <c r="BA1023" s="117">
        <f t="shared" si="165"/>
        <v>319647915.98198581</v>
      </c>
      <c r="BB1023" s="129">
        <f>IFERROR(VLOOKUP($D1023,'EITI Revenues'!$C$2:$G$224,5,FALSE),"..")</f>
        <v>102802566.91</v>
      </c>
      <c r="BC1023" s="846">
        <f t="shared" si="166"/>
        <v>0.32161187910198535</v>
      </c>
      <c r="BD1023" s="129" t="str">
        <f>VLOOKUP($D1023,'WB Data 2'!$C$2:$K$545,6,FALSE)</f>
        <v>..</v>
      </c>
      <c r="BE1023" s="129">
        <f>IFERROR(VLOOKUP($D1023,UNCTAD!$C$5:$V$529,4,FALSE),"..")</f>
        <v>1249737000</v>
      </c>
      <c r="BF1023" s="846" t="str">
        <f t="shared" si="167"/>
        <v>..</v>
      </c>
      <c r="BG1023" s="117">
        <f>VLOOKUP($D1023,'WB Data'!$C$3:$M$578,5,FALSE)</f>
        <v>764840000</v>
      </c>
      <c r="BH1023" s="129">
        <f>IFERROR($BB1023/$BG1023,"..")</f>
        <v>0.13441055241619163</v>
      </c>
      <c r="BI1023" s="117" t="str">
        <f>IFERROR(VLOOKUP($D1023,'WB Data'!$C$3:$M$578,7,FALSE)/100,"..")</f>
        <v>..</v>
      </c>
      <c r="BJ1023" s="117" t="str">
        <f>IFERROR($BI1023*$AW1023,"..")</f>
        <v>..</v>
      </c>
      <c r="BK1023" s="846" t="str">
        <f>IFERROR($BB1023/$BJ1023,"..")</f>
        <v>..</v>
      </c>
      <c r="BL1023" s="117" t="str">
        <f>IFERROR(VLOOKUP($D1023,'WB Data'!$C$3:$M$578,7,FALSE)/100,"..")</f>
        <v>..</v>
      </c>
      <c r="BM1023" s="117" t="str">
        <f>IFERROR($AW1023*$BL1023,"..")</f>
        <v>..</v>
      </c>
      <c r="BN1023" s="846" t="str">
        <f>IFERROR($BB1023/$BM1023,"..")</f>
        <v>..</v>
      </c>
      <c r="BO1023" s="801">
        <f t="shared" si="163"/>
        <v>37</v>
      </c>
      <c r="BP1023" s="117" t="str">
        <f>VLOOKUP($D1023,'WB Data'!$C$3:$M$578,9,FALSE)</f>
        <v>..</v>
      </c>
      <c r="BQ1023" s="117">
        <f>VLOOKUP($D1023,'WB Data'!$C$3:$M$578,10,FALSE)</f>
        <v>59.859878048780494</v>
      </c>
      <c r="BR1023" s="117">
        <f>VLOOKUP($D1023,'WB Data'!$C$3:$M$578,11,FALSE)</f>
        <v>57.9</v>
      </c>
      <c r="BS1023" s="129">
        <f>IFERROR(VLOOKUP($D1023,'WB Data 2'!$C$2:$K$545,9,FALSE),"..")</f>
        <v>40.915999999999997</v>
      </c>
      <c r="BT1023" s="129">
        <f>_xlfn.IFNA(VLOOKUP($C1023,RGI!$A$2:$C$43,2,FALSE),"..")</f>
        <v>60.5</v>
      </c>
      <c r="BU1023" s="129">
        <f>_xlfn.IFNA(VLOOKUP($C1023,RGI!$A$2:$C$43,3,FALSE),"..")</f>
        <v>61.600874881317473</v>
      </c>
      <c r="BV1023" s="129">
        <f>VLOOKUP($D1023,WGI!$C$2:$O$478,7,FALSE)</f>
        <v>-0.31685403331256001</v>
      </c>
      <c r="BW1023" s="129">
        <f>VLOOKUP($D1023,WGI!$C$2:$O$478,4,FALSE)</f>
        <v>-0.42485539628227698</v>
      </c>
      <c r="BX1023" s="129">
        <f>VLOOKUP($D1023,WGI!$C$2:$O$478,3,FALSE)</f>
        <v>-1.24471848937616</v>
      </c>
      <c r="BY1023" s="129">
        <f>VLOOKUP($D1023,WGI!$C$2:$O$478,5,FALSE)</f>
        <v>-1.0947736633522001</v>
      </c>
      <c r="BZ1023" s="129">
        <f>VLOOKUP($D1023,WGI!$C$2:$O$478,2,FALSE)</f>
        <v>-0.60890822259611399</v>
      </c>
      <c r="CB1023" s="129"/>
    </row>
    <row r="1024" spans="1:80" s="120" customFormat="1" ht="15" customHeight="1">
      <c r="A1024" s="280" t="s">
        <v>311</v>
      </c>
      <c r="B1024" s="117">
        <v>2011</v>
      </c>
      <c r="C1024" s="117" t="s">
        <v>301</v>
      </c>
      <c r="D1024" s="117" t="s">
        <v>3704</v>
      </c>
      <c r="E1024" s="117" t="s">
        <v>86</v>
      </c>
      <c r="F1024" s="117"/>
      <c r="G1024" s="117" t="s">
        <v>103</v>
      </c>
      <c r="H1024" s="117" t="str">
        <f t="shared" si="171"/>
        <v>no</v>
      </c>
      <c r="I1024" s="117" t="str">
        <f t="shared" si="168"/>
        <v>no</v>
      </c>
      <c r="J1024" s="117" t="str">
        <f t="shared" si="169"/>
        <v>yes</v>
      </c>
      <c r="K1024" s="117" t="s">
        <v>103</v>
      </c>
      <c r="L1024" s="117" t="str">
        <f t="shared" si="172"/>
        <v>detailed</v>
      </c>
      <c r="M1024" s="117" t="str">
        <f t="shared" si="170"/>
        <v>detailed Oil</v>
      </c>
      <c r="N1024" s="118">
        <v>0</v>
      </c>
      <c r="O1024" s="118"/>
      <c r="P1024" s="118"/>
      <c r="Q1024" s="118"/>
      <c r="R1024" s="118"/>
      <c r="S1024" s="117" t="s">
        <v>646</v>
      </c>
      <c r="T1024" s="119"/>
      <c r="U1024" s="117"/>
      <c r="V1024" s="117" t="s">
        <v>647</v>
      </c>
      <c r="W1024" s="89">
        <f>N1024*T1024</f>
        <v>0</v>
      </c>
      <c r="X1024" s="117"/>
      <c r="Y1024" s="117"/>
      <c r="Z1024" s="117"/>
      <c r="AA1024" s="89">
        <v>49681073.859999999</v>
      </c>
      <c r="AB1024" s="89">
        <v>49911073.859999999</v>
      </c>
      <c r="AC1024" s="240"/>
      <c r="AD1024" s="240"/>
      <c r="AE1024" s="240"/>
      <c r="AF1024" s="241"/>
      <c r="AG1024" s="117"/>
      <c r="AH1024" s="124"/>
      <c r="AI1024" s="117"/>
      <c r="AJ1024" s="117" t="s">
        <v>1632</v>
      </c>
      <c r="AK1024" s="89">
        <v>701600</v>
      </c>
      <c r="AL1024" s="117"/>
      <c r="AM1024" s="117"/>
      <c r="AN1024" s="117">
        <v>6</v>
      </c>
      <c r="AO1024" s="117" t="s">
        <v>1633</v>
      </c>
      <c r="AP1024" s="117">
        <v>5</v>
      </c>
      <c r="AQ1024" s="117"/>
      <c r="AR1024" s="117"/>
      <c r="AS1024" s="117"/>
      <c r="AT1024" s="117"/>
      <c r="AU1024" s="117" t="s">
        <v>1634</v>
      </c>
      <c r="AV1024" s="128"/>
      <c r="AW1024" s="117">
        <f>VLOOKUP($D1024,'WB Data'!$C$3:$M$578,2,FALSE)</f>
        <v>1537753884.5750225</v>
      </c>
      <c r="AX1024" s="117">
        <f>VLOOKUP($D1024,'WB Data'!$C$3:$M$578,3,FALSE)</f>
        <v>4079697</v>
      </c>
      <c r="AY1024" s="847">
        <f t="shared" si="164"/>
        <v>6.6852418934653365E-2</v>
      </c>
      <c r="AZ1024" s="117">
        <f>VLOOKUP($D1024,'WB Data'!$C$3:$M$578,4,FALSE)/100</f>
        <v>0.20786675890617212</v>
      </c>
      <c r="BA1024" s="117">
        <f t="shared" si="165"/>
        <v>319647915.98198581</v>
      </c>
      <c r="BB1024" s="129">
        <f>IFERROR(VLOOKUP($D1024,'EITI Revenues'!$C$2:$G$224,5,FALSE),"..")</f>
        <v>102802566.91</v>
      </c>
      <c r="BC1024" s="846">
        <f t="shared" si="166"/>
        <v>0.32161187910198535</v>
      </c>
      <c r="BD1024" s="129" t="str">
        <f>VLOOKUP($D1024,'WB Data 2'!$C$2:$K$545,6,FALSE)</f>
        <v>..</v>
      </c>
      <c r="BE1024" s="129">
        <f>IFERROR(VLOOKUP($D1024,UNCTAD!$C$5:$V$529,4,FALSE),"..")</f>
        <v>1249737000</v>
      </c>
      <c r="BF1024" s="846" t="str">
        <f t="shared" si="167"/>
        <v>..</v>
      </c>
      <c r="BG1024" s="117">
        <f>VLOOKUP($D1024,'WB Data'!$C$3:$M$578,5,FALSE)</f>
        <v>764840000</v>
      </c>
      <c r="BH1024" s="129">
        <f>IFERROR($BB1024/$BG1024,"..")</f>
        <v>0.13441055241619163</v>
      </c>
      <c r="BI1024" s="117" t="str">
        <f>IFERROR(VLOOKUP($D1024,'WB Data'!$C$3:$M$578,7,FALSE)/100,"..")</f>
        <v>..</v>
      </c>
      <c r="BJ1024" s="117" t="str">
        <f>IFERROR($BI1024*$AW1024,"..")</f>
        <v>..</v>
      </c>
      <c r="BK1024" s="846" t="str">
        <f>IFERROR($BB1024/$BJ1024,"..")</f>
        <v>..</v>
      </c>
      <c r="BL1024" s="117" t="str">
        <f>IFERROR(VLOOKUP($D1024,'WB Data'!$C$3:$M$578,7,FALSE)/100,"..")</f>
        <v>..</v>
      </c>
      <c r="BM1024" s="117" t="str">
        <f>IFERROR($AW1024*$BL1024,"..")</f>
        <v>..</v>
      </c>
      <c r="BN1024" s="846" t="str">
        <f>IFERROR($BB1024/$BM1024,"..")</f>
        <v>..</v>
      </c>
      <c r="BO1024" s="801">
        <f t="shared" si="163"/>
        <v>37</v>
      </c>
      <c r="BP1024" s="117" t="str">
        <f>VLOOKUP($D1024,'WB Data'!$C$3:$M$578,9,FALSE)</f>
        <v>..</v>
      </c>
      <c r="BQ1024" s="117">
        <f>VLOOKUP($D1024,'WB Data'!$C$3:$M$578,10,FALSE)</f>
        <v>59.859878048780494</v>
      </c>
      <c r="BR1024" s="117">
        <f>VLOOKUP($D1024,'WB Data'!$C$3:$M$578,11,FALSE)</f>
        <v>57.9</v>
      </c>
      <c r="BS1024" s="129">
        <f>IFERROR(VLOOKUP($D1024,'WB Data 2'!$C$2:$K$545,9,FALSE),"..")</f>
        <v>40.915999999999997</v>
      </c>
      <c r="BT1024" s="129">
        <f>_xlfn.IFNA(VLOOKUP($C1024,RGI!$A$2:$C$43,2,FALSE),"..")</f>
        <v>60.5</v>
      </c>
      <c r="BU1024" s="129">
        <f>_xlfn.IFNA(VLOOKUP($C1024,RGI!$A$2:$C$43,3,FALSE),"..")</f>
        <v>61.600874881317473</v>
      </c>
      <c r="BV1024" s="129">
        <f>VLOOKUP($D1024,WGI!$C$2:$O$478,7,FALSE)</f>
        <v>-0.31685403331256001</v>
      </c>
      <c r="BW1024" s="129">
        <f>VLOOKUP($D1024,WGI!$C$2:$O$478,4,FALSE)</f>
        <v>-0.42485539628227698</v>
      </c>
      <c r="BX1024" s="129">
        <f>VLOOKUP($D1024,WGI!$C$2:$O$478,3,FALSE)</f>
        <v>-1.24471848937616</v>
      </c>
      <c r="BY1024" s="129">
        <f>VLOOKUP($D1024,WGI!$C$2:$O$478,5,FALSE)</f>
        <v>-1.0947736633522001</v>
      </c>
      <c r="BZ1024" s="129">
        <f>VLOOKUP($D1024,WGI!$C$2:$O$478,2,FALSE)</f>
        <v>-0.60890822259611399</v>
      </c>
      <c r="CB1024" s="129"/>
    </row>
    <row r="1025" spans="1:80" s="120" customFormat="1" ht="15" customHeight="1">
      <c r="A1025" s="280" t="s">
        <v>311</v>
      </c>
      <c r="B1025" s="117">
        <v>2011</v>
      </c>
      <c r="C1025" s="117" t="s">
        <v>301</v>
      </c>
      <c r="D1025" s="117" t="s">
        <v>3704</v>
      </c>
      <c r="E1025" s="117" t="s">
        <v>86</v>
      </c>
      <c r="F1025" s="117"/>
      <c r="G1025" s="117" t="s">
        <v>24</v>
      </c>
      <c r="H1025" s="117" t="str">
        <f t="shared" si="171"/>
        <v>yes</v>
      </c>
      <c r="I1025" s="117" t="str">
        <f t="shared" si="168"/>
        <v>no</v>
      </c>
      <c r="J1025" s="117" t="str">
        <f t="shared" si="169"/>
        <v>no</v>
      </c>
      <c r="K1025" s="117" t="s">
        <v>600</v>
      </c>
      <c r="L1025" s="117" t="str">
        <f t="shared" si="172"/>
        <v>Total</v>
      </c>
      <c r="M1025" s="117" t="str">
        <f t="shared" si="170"/>
        <v>Total Mining</v>
      </c>
      <c r="N1025" s="118"/>
      <c r="O1025" s="118"/>
      <c r="P1025" s="118"/>
      <c r="Q1025" s="118"/>
      <c r="R1025" s="118"/>
      <c r="S1025" s="117"/>
      <c r="T1025" s="119"/>
      <c r="U1025" s="117"/>
      <c r="V1025" s="117"/>
      <c r="W1025" s="89">
        <f>SUM(W1026:W1031)</f>
        <v>147332348.74315965</v>
      </c>
      <c r="X1025" s="117"/>
      <c r="Y1025" s="117"/>
      <c r="Z1025" s="117"/>
      <c r="AA1025" s="89">
        <v>44223697.119999997</v>
      </c>
      <c r="AB1025" s="89">
        <v>43798764.75</v>
      </c>
      <c r="AC1025" s="240"/>
      <c r="AD1025" s="240"/>
      <c r="AE1025" s="240"/>
      <c r="AF1025" s="241">
        <f>AA1025/W1025</f>
        <v>0.30016284609087396</v>
      </c>
      <c r="AG1025" s="117"/>
      <c r="AH1025" s="124"/>
      <c r="AI1025" s="117"/>
      <c r="AJ1025" s="117" t="s">
        <v>1635</v>
      </c>
      <c r="AK1025" s="89">
        <v>6123779</v>
      </c>
      <c r="AL1025" s="117"/>
      <c r="AM1025" s="117"/>
      <c r="AN1025" s="117">
        <v>75</v>
      </c>
      <c r="AO1025" s="117" t="s">
        <v>1636</v>
      </c>
      <c r="AP1025" s="117">
        <v>32</v>
      </c>
      <c r="AQ1025" s="117"/>
      <c r="AR1025" s="117"/>
      <c r="AS1025" s="117"/>
      <c r="AT1025" s="117"/>
      <c r="AU1025" s="117" t="s">
        <v>1637</v>
      </c>
      <c r="AV1025" s="128"/>
      <c r="AW1025" s="117">
        <f>VLOOKUP($D1025,'WB Data'!$C$3:$M$578,2,FALSE)</f>
        <v>1537753884.5750225</v>
      </c>
      <c r="AX1025" s="117">
        <f>VLOOKUP($D1025,'WB Data'!$C$3:$M$578,3,FALSE)</f>
        <v>4079697</v>
      </c>
      <c r="AY1025" s="847">
        <f t="shared" si="164"/>
        <v>6.6852418934653365E-2</v>
      </c>
      <c r="AZ1025" s="117">
        <f>VLOOKUP($D1025,'WB Data'!$C$3:$M$578,4,FALSE)/100</f>
        <v>0.20786675890617212</v>
      </c>
      <c r="BA1025" s="117">
        <f t="shared" si="165"/>
        <v>319647915.98198581</v>
      </c>
      <c r="BB1025" s="129">
        <f>IFERROR(VLOOKUP($D1025,'EITI Revenues'!$C$2:$G$224,5,FALSE),"..")</f>
        <v>102802566.91</v>
      </c>
      <c r="BC1025" s="846">
        <f t="shared" si="166"/>
        <v>0.32161187910198535</v>
      </c>
      <c r="BD1025" s="129" t="str">
        <f>VLOOKUP($D1025,'WB Data 2'!$C$2:$K$545,6,FALSE)</f>
        <v>..</v>
      </c>
      <c r="BE1025" s="129">
        <f>IFERROR(VLOOKUP($D1025,UNCTAD!$C$5:$V$529,4,FALSE),"..")</f>
        <v>1249737000</v>
      </c>
      <c r="BF1025" s="846" t="str">
        <f t="shared" si="167"/>
        <v>..</v>
      </c>
      <c r="BG1025" s="117">
        <f>VLOOKUP($D1025,'WB Data'!$C$3:$M$578,5,FALSE)</f>
        <v>764840000</v>
      </c>
      <c r="BH1025" s="129">
        <f>IFERROR($BB1025/$BG1025,"..")</f>
        <v>0.13441055241619163</v>
      </c>
      <c r="BI1025" s="117" t="str">
        <f>IFERROR(VLOOKUP($D1025,'WB Data'!$C$3:$M$578,7,FALSE)/100,"..")</f>
        <v>..</v>
      </c>
      <c r="BJ1025" s="117" t="str">
        <f>IFERROR($BI1025*$AW1025,"..")</f>
        <v>..</v>
      </c>
      <c r="BK1025" s="846" t="str">
        <f>IFERROR($BB1025/$BJ1025,"..")</f>
        <v>..</v>
      </c>
      <c r="BL1025" s="117" t="str">
        <f>IFERROR(VLOOKUP($D1025,'WB Data'!$C$3:$M$578,7,FALSE)/100,"..")</f>
        <v>..</v>
      </c>
      <c r="BM1025" s="117" t="str">
        <f>IFERROR($AW1025*$BL1025,"..")</f>
        <v>..</v>
      </c>
      <c r="BN1025" s="846" t="str">
        <f>IFERROR($BB1025/$BM1025,"..")</f>
        <v>..</v>
      </c>
      <c r="BO1025" s="801">
        <f t="shared" si="163"/>
        <v>37</v>
      </c>
      <c r="BP1025" s="117" t="str">
        <f>VLOOKUP($D1025,'WB Data'!$C$3:$M$578,9,FALSE)</f>
        <v>..</v>
      </c>
      <c r="BQ1025" s="117">
        <f>VLOOKUP($D1025,'WB Data'!$C$3:$M$578,10,FALSE)</f>
        <v>59.859878048780494</v>
      </c>
      <c r="BR1025" s="117">
        <f>VLOOKUP($D1025,'WB Data'!$C$3:$M$578,11,FALSE)</f>
        <v>57.9</v>
      </c>
      <c r="BS1025" s="129">
        <f>IFERROR(VLOOKUP($D1025,'WB Data 2'!$C$2:$K$545,9,FALSE),"..")</f>
        <v>40.915999999999997</v>
      </c>
      <c r="BT1025" s="129">
        <f>_xlfn.IFNA(VLOOKUP($C1025,RGI!$A$2:$C$43,2,FALSE),"..")</f>
        <v>60.5</v>
      </c>
      <c r="BU1025" s="129">
        <f>_xlfn.IFNA(VLOOKUP($C1025,RGI!$A$2:$C$43,3,FALSE),"..")</f>
        <v>61.600874881317473</v>
      </c>
      <c r="BV1025" s="129">
        <f>VLOOKUP($D1025,WGI!$C$2:$O$478,7,FALSE)</f>
        <v>-0.31685403331256001</v>
      </c>
      <c r="BW1025" s="129">
        <f>VLOOKUP($D1025,WGI!$C$2:$O$478,4,FALSE)</f>
        <v>-0.42485539628227698</v>
      </c>
      <c r="BX1025" s="129">
        <f>VLOOKUP($D1025,WGI!$C$2:$O$478,3,FALSE)</f>
        <v>-1.24471848937616</v>
      </c>
      <c r="BY1025" s="129">
        <f>VLOOKUP($D1025,WGI!$C$2:$O$478,5,FALSE)</f>
        <v>-1.0947736633522001</v>
      </c>
      <c r="BZ1025" s="129">
        <f>VLOOKUP($D1025,WGI!$C$2:$O$478,2,FALSE)</f>
        <v>-0.60890822259611399</v>
      </c>
      <c r="CB1025" s="129"/>
    </row>
    <row r="1026" spans="1:80" s="120" customFormat="1" ht="15" customHeight="1">
      <c r="A1026" s="280" t="s">
        <v>311</v>
      </c>
      <c r="B1026" s="117">
        <v>2011</v>
      </c>
      <c r="C1026" s="117" t="s">
        <v>301</v>
      </c>
      <c r="D1026" s="117" t="s">
        <v>3704</v>
      </c>
      <c r="E1026" s="117" t="s">
        <v>86</v>
      </c>
      <c r="F1026" s="117"/>
      <c r="G1026" s="117" t="s">
        <v>24</v>
      </c>
      <c r="H1026" s="117" t="str">
        <f t="shared" si="171"/>
        <v>yes</v>
      </c>
      <c r="I1026" s="117" t="str">
        <f t="shared" si="168"/>
        <v>no</v>
      </c>
      <c r="J1026" s="117" t="str">
        <f t="shared" si="169"/>
        <v>no</v>
      </c>
      <c r="K1026" s="117" t="s">
        <v>609</v>
      </c>
      <c r="L1026" s="117" t="str">
        <f t="shared" si="172"/>
        <v>detailed</v>
      </c>
      <c r="M1026" s="117" t="str">
        <f t="shared" si="170"/>
        <v>detailed Mining</v>
      </c>
      <c r="N1026" s="118">
        <f>((71733/365)*184)+((80594/365)*181)</f>
        <v>76127.084931506848</v>
      </c>
      <c r="O1026" s="118"/>
      <c r="P1026" s="118"/>
      <c r="Q1026" s="118"/>
      <c r="R1026" s="118"/>
      <c r="S1026" s="117" t="s">
        <v>610</v>
      </c>
      <c r="T1026" s="119">
        <f>((92/365)*184)+((89.5/365)*181)</f>
        <v>90.760273972602747</v>
      </c>
      <c r="U1026" s="117" t="s">
        <v>611</v>
      </c>
      <c r="V1026" s="117" t="s">
        <v>1619</v>
      </c>
      <c r="W1026" s="89">
        <f t="shared" ref="W1026:W1031" si="173">N1026*T1026</f>
        <v>6909315.0851191599</v>
      </c>
      <c r="X1026" s="117"/>
      <c r="Y1026" s="117"/>
      <c r="Z1026" s="117"/>
      <c r="AA1026" s="89"/>
      <c r="AB1026" s="89"/>
      <c r="AC1026" s="240"/>
      <c r="AD1026" s="240"/>
      <c r="AE1026" s="240"/>
      <c r="AF1026" s="241"/>
      <c r="AG1026" s="117"/>
      <c r="AH1026" s="124"/>
      <c r="AI1026" s="117"/>
      <c r="AJ1026" s="117"/>
      <c r="AK1026" s="89"/>
      <c r="AL1026" s="117"/>
      <c r="AO1026" s="117"/>
      <c r="AP1026" s="117"/>
      <c r="AQ1026" s="117"/>
      <c r="AR1026" s="117"/>
      <c r="AS1026" s="117"/>
      <c r="AT1026" s="117"/>
      <c r="AU1026" s="117"/>
      <c r="AV1026" s="128"/>
      <c r="AW1026" s="117">
        <f>VLOOKUP($D1026,'WB Data'!$C$3:$M$578,2,FALSE)</f>
        <v>1537753884.5750225</v>
      </c>
      <c r="AX1026" s="117">
        <f>VLOOKUP($D1026,'WB Data'!$C$3:$M$578,3,FALSE)</f>
        <v>4079697</v>
      </c>
      <c r="AY1026" s="847">
        <f t="shared" si="164"/>
        <v>6.6852418934653365E-2</v>
      </c>
      <c r="AZ1026" s="117">
        <f>VLOOKUP($D1026,'WB Data'!$C$3:$M$578,4,FALSE)/100</f>
        <v>0.20786675890617212</v>
      </c>
      <c r="BA1026" s="117">
        <f t="shared" si="165"/>
        <v>319647915.98198581</v>
      </c>
      <c r="BB1026" s="129">
        <f>IFERROR(VLOOKUP($D1026,'EITI Revenues'!$C$2:$G$224,5,FALSE),"..")</f>
        <v>102802566.91</v>
      </c>
      <c r="BC1026" s="846">
        <f t="shared" si="166"/>
        <v>0.32161187910198535</v>
      </c>
      <c r="BD1026" s="129" t="str">
        <f>VLOOKUP($D1026,'WB Data 2'!$C$2:$K$545,6,FALSE)</f>
        <v>..</v>
      </c>
      <c r="BE1026" s="129">
        <f>IFERROR(VLOOKUP($D1026,UNCTAD!$C$5:$V$529,4,FALSE),"..")</f>
        <v>1249737000</v>
      </c>
      <c r="BF1026" s="846" t="str">
        <f t="shared" si="167"/>
        <v>..</v>
      </c>
      <c r="BG1026" s="117">
        <f>VLOOKUP($D1026,'WB Data'!$C$3:$M$578,5,FALSE)</f>
        <v>764840000</v>
      </c>
      <c r="BH1026" s="129">
        <f>IFERROR($BB1026/$BG1026,"..")</f>
        <v>0.13441055241619163</v>
      </c>
      <c r="BI1026" s="117" t="str">
        <f>IFERROR(VLOOKUP($D1026,'WB Data'!$C$3:$M$578,7,FALSE)/100,"..")</f>
        <v>..</v>
      </c>
      <c r="BJ1026" s="117" t="str">
        <f>IFERROR($BI1026*$AW1026,"..")</f>
        <v>..</v>
      </c>
      <c r="BK1026" s="846" t="str">
        <f>IFERROR($BB1026/$BJ1026,"..")</f>
        <v>..</v>
      </c>
      <c r="BL1026" s="117" t="str">
        <f>IFERROR(VLOOKUP($D1026,'WB Data'!$C$3:$M$578,7,FALSE)/100,"..")</f>
        <v>..</v>
      </c>
      <c r="BM1026" s="117" t="str">
        <f>IFERROR($AW1026*$BL1026,"..")</f>
        <v>..</v>
      </c>
      <c r="BN1026" s="846" t="str">
        <f>IFERROR($BB1026/$BM1026,"..")</f>
        <v>..</v>
      </c>
      <c r="BO1026" s="801">
        <f t="shared" ref="BO1026:BO1089" si="174">_xlfn.IFNA(VLOOKUP($C1026,CPI_2013,2,FALSE),"..")</f>
        <v>37</v>
      </c>
      <c r="BP1026" s="117" t="str">
        <f>VLOOKUP($D1026,'WB Data'!$C$3:$M$578,9,FALSE)</f>
        <v>..</v>
      </c>
      <c r="BQ1026" s="117">
        <f>VLOOKUP($D1026,'WB Data'!$C$3:$M$578,10,FALSE)</f>
        <v>59.859878048780494</v>
      </c>
      <c r="BR1026" s="117">
        <f>VLOOKUP($D1026,'WB Data'!$C$3:$M$578,11,FALSE)</f>
        <v>57.9</v>
      </c>
      <c r="BS1026" s="129">
        <f>IFERROR(VLOOKUP($D1026,'WB Data 2'!$C$2:$K$545,9,FALSE),"..")</f>
        <v>40.915999999999997</v>
      </c>
      <c r="BT1026" s="129">
        <f>_xlfn.IFNA(VLOOKUP($C1026,RGI!$A$2:$C$43,2,FALSE),"..")</f>
        <v>60.5</v>
      </c>
      <c r="BU1026" s="129">
        <f>_xlfn.IFNA(VLOOKUP($C1026,RGI!$A$2:$C$43,3,FALSE),"..")</f>
        <v>61.600874881317473</v>
      </c>
      <c r="BV1026" s="129">
        <f>VLOOKUP($D1026,WGI!$C$2:$O$478,7,FALSE)</f>
        <v>-0.31685403331256001</v>
      </c>
      <c r="BW1026" s="129">
        <f>VLOOKUP($D1026,WGI!$C$2:$O$478,4,FALSE)</f>
        <v>-0.42485539628227698</v>
      </c>
      <c r="BX1026" s="129">
        <f>VLOOKUP($D1026,WGI!$C$2:$O$478,3,FALSE)</f>
        <v>-1.24471848937616</v>
      </c>
      <c r="BY1026" s="129">
        <f>VLOOKUP($D1026,WGI!$C$2:$O$478,5,FALSE)</f>
        <v>-1.0947736633522001</v>
      </c>
      <c r="BZ1026" s="129">
        <f>VLOOKUP($D1026,WGI!$C$2:$O$478,2,FALSE)</f>
        <v>-0.60890822259611399</v>
      </c>
      <c r="CB1026" s="129"/>
    </row>
    <row r="1027" spans="1:80" s="120" customFormat="1" ht="15" customHeight="1">
      <c r="A1027" s="280" t="s">
        <v>311</v>
      </c>
      <c r="B1027" s="117">
        <v>2011</v>
      </c>
      <c r="C1027" s="117" t="s">
        <v>301</v>
      </c>
      <c r="D1027" s="117" t="s">
        <v>3704</v>
      </c>
      <c r="E1027" s="117" t="s">
        <v>86</v>
      </c>
      <c r="F1027" s="117"/>
      <c r="G1027" s="117" t="s">
        <v>24</v>
      </c>
      <c r="H1027" s="117" t="str">
        <f t="shared" si="171"/>
        <v>yes</v>
      </c>
      <c r="I1027" s="117" t="str">
        <f t="shared" si="168"/>
        <v>no</v>
      </c>
      <c r="J1027" s="117" t="str">
        <f t="shared" si="169"/>
        <v>no</v>
      </c>
      <c r="K1027" s="117" t="s">
        <v>980</v>
      </c>
      <c r="L1027" s="117" t="str">
        <f t="shared" si="172"/>
        <v>detailed</v>
      </c>
      <c r="M1027" s="117" t="str">
        <f t="shared" si="170"/>
        <v>detailed Mining</v>
      </c>
      <c r="N1027" s="118">
        <f>((26591/365)*184)+((41932/365)*181)</f>
        <v>34198.454794520549</v>
      </c>
      <c r="O1027" s="118"/>
      <c r="P1027" s="118"/>
      <c r="Q1027" s="118"/>
      <c r="R1027" s="118"/>
      <c r="S1027" s="117" t="s">
        <v>981</v>
      </c>
      <c r="T1027" s="119">
        <f>((600/365)*184)+((385.94/365)*181)</f>
        <v>493.84969863013703</v>
      </c>
      <c r="U1027" s="117" t="s">
        <v>982</v>
      </c>
      <c r="V1027" s="117" t="s">
        <v>1638</v>
      </c>
      <c r="W1027" s="89">
        <f t="shared" si="173"/>
        <v>16888896.593890339</v>
      </c>
      <c r="X1027" s="117"/>
      <c r="Y1027" s="117"/>
      <c r="Z1027" s="117"/>
      <c r="AA1027" s="89"/>
      <c r="AB1027" s="89"/>
      <c r="AC1027" s="240"/>
      <c r="AD1027" s="240"/>
      <c r="AE1027" s="240"/>
      <c r="AF1027" s="241"/>
      <c r="AG1027" s="117"/>
      <c r="AH1027" s="124"/>
      <c r="AI1027" s="117"/>
      <c r="AJ1027" s="117"/>
      <c r="AK1027" s="89"/>
      <c r="AL1027" s="117"/>
      <c r="AO1027" s="117"/>
      <c r="AP1027" s="117"/>
      <c r="AQ1027" s="117"/>
      <c r="AR1027" s="117"/>
      <c r="AS1027" s="117"/>
      <c r="AT1027" s="117"/>
      <c r="AU1027" s="117"/>
      <c r="AV1027" s="128"/>
      <c r="AW1027" s="117">
        <f>VLOOKUP($D1027,'WB Data'!$C$3:$M$578,2,FALSE)</f>
        <v>1537753884.5750225</v>
      </c>
      <c r="AX1027" s="117">
        <f>VLOOKUP($D1027,'WB Data'!$C$3:$M$578,3,FALSE)</f>
        <v>4079697</v>
      </c>
      <c r="AY1027" s="847">
        <f t="shared" ref="AY1027:AY1090" si="175">IFERROR($BB1027/$AW1027,"..")</f>
        <v>6.6852418934653365E-2</v>
      </c>
      <c r="AZ1027" s="117">
        <f>VLOOKUP($D1027,'WB Data'!$C$3:$M$578,4,FALSE)/100</f>
        <v>0.20786675890617212</v>
      </c>
      <c r="BA1027" s="117">
        <f t="shared" ref="BA1027:BA1090" si="176">IFERROR($AW1027*$AZ1027,"..")</f>
        <v>319647915.98198581</v>
      </c>
      <c r="BB1027" s="129">
        <f>IFERROR(VLOOKUP($D1027,'EITI Revenues'!$C$2:$G$224,5,FALSE),"..")</f>
        <v>102802566.91</v>
      </c>
      <c r="BC1027" s="846">
        <f t="shared" ref="BC1027:BC1090" si="177">IFERROR($BB1027/$BA1027,"..")</f>
        <v>0.32161187910198535</v>
      </c>
      <c r="BD1027" s="129" t="str">
        <f>VLOOKUP($D1027,'WB Data 2'!$C$2:$K$545,6,FALSE)</f>
        <v>..</v>
      </c>
      <c r="BE1027" s="129">
        <f>IFERROR(VLOOKUP($D1027,UNCTAD!$C$5:$V$529,4,FALSE),"..")</f>
        <v>1249737000</v>
      </c>
      <c r="BF1027" s="846" t="str">
        <f t="shared" ref="BF1027:BF1090" si="178">IFERROR(($BD1027/$BE1027),"..")</f>
        <v>..</v>
      </c>
      <c r="BG1027" s="117">
        <f>VLOOKUP($D1027,'WB Data'!$C$3:$M$578,5,FALSE)</f>
        <v>764840000</v>
      </c>
      <c r="BH1027" s="129">
        <f>IFERROR($BB1027/$BG1027,"..")</f>
        <v>0.13441055241619163</v>
      </c>
      <c r="BI1027" s="117" t="str">
        <f>IFERROR(VLOOKUP($D1027,'WB Data'!$C$3:$M$578,7,FALSE)/100,"..")</f>
        <v>..</v>
      </c>
      <c r="BJ1027" s="117" t="str">
        <f>IFERROR($BI1027*$AW1027,"..")</f>
        <v>..</v>
      </c>
      <c r="BK1027" s="846" t="str">
        <f>IFERROR($BB1027/$BJ1027,"..")</f>
        <v>..</v>
      </c>
      <c r="BL1027" s="117" t="str">
        <f>IFERROR(VLOOKUP($D1027,'WB Data'!$C$3:$M$578,7,FALSE)/100,"..")</f>
        <v>..</v>
      </c>
      <c r="BM1027" s="117" t="str">
        <f>IFERROR($AW1027*$BL1027,"..")</f>
        <v>..</v>
      </c>
      <c r="BN1027" s="846" t="str">
        <f>IFERROR($BB1027/$BM1027,"..")</f>
        <v>..</v>
      </c>
      <c r="BO1027" s="801">
        <f t="shared" si="174"/>
        <v>37</v>
      </c>
      <c r="BP1027" s="117" t="str">
        <f>VLOOKUP($D1027,'WB Data'!$C$3:$M$578,9,FALSE)</f>
        <v>..</v>
      </c>
      <c r="BQ1027" s="117">
        <f>VLOOKUP($D1027,'WB Data'!$C$3:$M$578,10,FALSE)</f>
        <v>59.859878048780494</v>
      </c>
      <c r="BR1027" s="117">
        <f>VLOOKUP($D1027,'WB Data'!$C$3:$M$578,11,FALSE)</f>
        <v>57.9</v>
      </c>
      <c r="BS1027" s="129">
        <f>IFERROR(VLOOKUP($D1027,'WB Data 2'!$C$2:$K$545,9,FALSE),"..")</f>
        <v>40.915999999999997</v>
      </c>
      <c r="BT1027" s="129">
        <f>_xlfn.IFNA(VLOOKUP($C1027,RGI!$A$2:$C$43,2,FALSE),"..")</f>
        <v>60.5</v>
      </c>
      <c r="BU1027" s="129">
        <f>_xlfn.IFNA(VLOOKUP($C1027,RGI!$A$2:$C$43,3,FALSE),"..")</f>
        <v>61.600874881317473</v>
      </c>
      <c r="BV1027" s="129">
        <f>VLOOKUP($D1027,WGI!$C$2:$O$478,7,FALSE)</f>
        <v>-0.31685403331256001</v>
      </c>
      <c r="BW1027" s="129">
        <f>VLOOKUP($D1027,WGI!$C$2:$O$478,4,FALSE)</f>
        <v>-0.42485539628227698</v>
      </c>
      <c r="BX1027" s="129">
        <f>VLOOKUP($D1027,WGI!$C$2:$O$478,3,FALSE)</f>
        <v>-1.24471848937616</v>
      </c>
      <c r="BY1027" s="129">
        <f>VLOOKUP($D1027,WGI!$C$2:$O$478,5,FALSE)</f>
        <v>-1.0947736633522001</v>
      </c>
      <c r="BZ1027" s="129">
        <f>VLOOKUP($D1027,WGI!$C$2:$O$478,2,FALSE)</f>
        <v>-0.60890822259611399</v>
      </c>
      <c r="CB1027" s="129"/>
    </row>
    <row r="1028" spans="1:80" s="120" customFormat="1" ht="15" customHeight="1">
      <c r="A1028" s="280" t="s">
        <v>311</v>
      </c>
      <c r="B1028" s="117">
        <v>2011</v>
      </c>
      <c r="C1028" s="117" t="s">
        <v>301</v>
      </c>
      <c r="D1028" s="117" t="s">
        <v>3704</v>
      </c>
      <c r="E1028" s="117" t="s">
        <v>86</v>
      </c>
      <c r="F1028" s="117"/>
      <c r="G1028" s="117" t="s">
        <v>24</v>
      </c>
      <c r="H1028" s="117" t="str">
        <f t="shared" si="171"/>
        <v>yes</v>
      </c>
      <c r="I1028" s="117" t="str">
        <f t="shared" si="168"/>
        <v>no</v>
      </c>
      <c r="J1028" s="117" t="str">
        <f t="shared" si="169"/>
        <v>no</v>
      </c>
      <c r="K1028" s="117" t="s">
        <v>784</v>
      </c>
      <c r="L1028" s="117" t="str">
        <f t="shared" si="172"/>
        <v>detailed</v>
      </c>
      <c r="M1028" s="117" t="str">
        <f t="shared" si="170"/>
        <v>detailed Mining</v>
      </c>
      <c r="N1028" s="118">
        <f>(((666/365)*184)+((448/365)*181))*32.150743126506</f>
        <v>17936.767463936085</v>
      </c>
      <c r="O1028" s="118"/>
      <c r="P1028" s="118"/>
      <c r="Q1028" s="118"/>
      <c r="R1028" s="118"/>
      <c r="S1028" s="117" t="s">
        <v>785</v>
      </c>
      <c r="T1028" s="119">
        <f>(((1224.66/365)*184)+((1569.21/365)*181))*0.8663</f>
        <v>1208.9381453013698</v>
      </c>
      <c r="U1028" s="117" t="s">
        <v>786</v>
      </c>
      <c r="V1028" s="117" t="s">
        <v>1598</v>
      </c>
      <c r="W1028" s="89">
        <f t="shared" si="173"/>
        <v>21684442.390552845</v>
      </c>
      <c r="X1028" s="117"/>
      <c r="Y1028" s="117"/>
      <c r="Z1028" s="117"/>
      <c r="AA1028" s="89"/>
      <c r="AB1028" s="89"/>
      <c r="AC1028" s="240"/>
      <c r="AD1028" s="240"/>
      <c r="AE1028" s="240"/>
      <c r="AF1028" s="241"/>
      <c r="AG1028" s="117"/>
      <c r="AH1028" s="124"/>
      <c r="AI1028" s="117"/>
      <c r="AJ1028" s="117"/>
      <c r="AK1028" s="89"/>
      <c r="AL1028" s="117"/>
      <c r="AO1028" s="117"/>
      <c r="AP1028" s="117"/>
      <c r="AQ1028" s="117"/>
      <c r="AR1028" s="117"/>
      <c r="AS1028" s="117"/>
      <c r="AT1028" s="117"/>
      <c r="AU1028" s="117"/>
      <c r="AV1028" s="128"/>
      <c r="AW1028" s="117">
        <f>VLOOKUP($D1028,'WB Data'!$C$3:$M$578,2,FALSE)</f>
        <v>1537753884.5750225</v>
      </c>
      <c r="AX1028" s="117">
        <f>VLOOKUP($D1028,'WB Data'!$C$3:$M$578,3,FALSE)</f>
        <v>4079697</v>
      </c>
      <c r="AY1028" s="847">
        <f t="shared" si="175"/>
        <v>6.6852418934653365E-2</v>
      </c>
      <c r="AZ1028" s="117">
        <f>VLOOKUP($D1028,'WB Data'!$C$3:$M$578,4,FALSE)/100</f>
        <v>0.20786675890617212</v>
      </c>
      <c r="BA1028" s="117">
        <f t="shared" si="176"/>
        <v>319647915.98198581</v>
      </c>
      <c r="BB1028" s="129">
        <f>IFERROR(VLOOKUP($D1028,'EITI Revenues'!$C$2:$G$224,5,FALSE),"..")</f>
        <v>102802566.91</v>
      </c>
      <c r="BC1028" s="846">
        <f t="shared" si="177"/>
        <v>0.32161187910198535</v>
      </c>
      <c r="BD1028" s="129" t="str">
        <f>VLOOKUP($D1028,'WB Data 2'!$C$2:$K$545,6,FALSE)</f>
        <v>..</v>
      </c>
      <c r="BE1028" s="129">
        <f>IFERROR(VLOOKUP($D1028,UNCTAD!$C$5:$V$529,4,FALSE),"..")</f>
        <v>1249737000</v>
      </c>
      <c r="BF1028" s="846" t="str">
        <f t="shared" si="178"/>
        <v>..</v>
      </c>
      <c r="BG1028" s="117">
        <f>VLOOKUP($D1028,'WB Data'!$C$3:$M$578,5,FALSE)</f>
        <v>764840000</v>
      </c>
      <c r="BH1028" s="129">
        <f>IFERROR($BB1028/$BG1028,"..")</f>
        <v>0.13441055241619163</v>
      </c>
      <c r="BI1028" s="117" t="str">
        <f>IFERROR(VLOOKUP($D1028,'WB Data'!$C$3:$M$578,7,FALSE)/100,"..")</f>
        <v>..</v>
      </c>
      <c r="BJ1028" s="117" t="str">
        <f>IFERROR($BI1028*$AW1028,"..")</f>
        <v>..</v>
      </c>
      <c r="BK1028" s="846" t="str">
        <f>IFERROR($BB1028/$BJ1028,"..")</f>
        <v>..</v>
      </c>
      <c r="BL1028" s="117" t="str">
        <f>IFERROR(VLOOKUP($D1028,'WB Data'!$C$3:$M$578,7,FALSE)/100,"..")</f>
        <v>..</v>
      </c>
      <c r="BM1028" s="117" t="str">
        <f>IFERROR($AW1028*$BL1028,"..")</f>
        <v>..</v>
      </c>
      <c r="BN1028" s="846" t="str">
        <f>IFERROR($BB1028/$BM1028,"..")</f>
        <v>..</v>
      </c>
      <c r="BO1028" s="801">
        <f t="shared" si="174"/>
        <v>37</v>
      </c>
      <c r="BP1028" s="117" t="str">
        <f>VLOOKUP($D1028,'WB Data'!$C$3:$M$578,9,FALSE)</f>
        <v>..</v>
      </c>
      <c r="BQ1028" s="117">
        <f>VLOOKUP($D1028,'WB Data'!$C$3:$M$578,10,FALSE)</f>
        <v>59.859878048780494</v>
      </c>
      <c r="BR1028" s="117">
        <f>VLOOKUP($D1028,'WB Data'!$C$3:$M$578,11,FALSE)</f>
        <v>57.9</v>
      </c>
      <c r="BS1028" s="129">
        <f>IFERROR(VLOOKUP($D1028,'WB Data 2'!$C$2:$K$545,9,FALSE),"..")</f>
        <v>40.915999999999997</v>
      </c>
      <c r="BT1028" s="129">
        <f>_xlfn.IFNA(VLOOKUP($C1028,RGI!$A$2:$C$43,2,FALSE),"..")</f>
        <v>60.5</v>
      </c>
      <c r="BU1028" s="129">
        <f>_xlfn.IFNA(VLOOKUP($C1028,RGI!$A$2:$C$43,3,FALSE),"..")</f>
        <v>61.600874881317473</v>
      </c>
      <c r="BV1028" s="129">
        <f>VLOOKUP($D1028,WGI!$C$2:$O$478,7,FALSE)</f>
        <v>-0.31685403331256001</v>
      </c>
      <c r="BW1028" s="129">
        <f>VLOOKUP($D1028,WGI!$C$2:$O$478,4,FALSE)</f>
        <v>-0.42485539628227698</v>
      </c>
      <c r="BX1028" s="129">
        <f>VLOOKUP($D1028,WGI!$C$2:$O$478,3,FALSE)</f>
        <v>-1.24471848937616</v>
      </c>
      <c r="BY1028" s="129">
        <f>VLOOKUP($D1028,WGI!$C$2:$O$478,5,FALSE)</f>
        <v>-1.0947736633522001</v>
      </c>
      <c r="BZ1028" s="129">
        <f>VLOOKUP($D1028,WGI!$C$2:$O$478,2,FALSE)</f>
        <v>-0.60890822259611399</v>
      </c>
      <c r="CB1028" s="129"/>
    </row>
    <row r="1029" spans="1:80" s="120" customFormat="1" ht="15" customHeight="1">
      <c r="A1029" s="280" t="s">
        <v>311</v>
      </c>
      <c r="B1029" s="117">
        <v>2011</v>
      </c>
      <c r="C1029" s="117" t="s">
        <v>301</v>
      </c>
      <c r="D1029" s="117" t="s">
        <v>3704</v>
      </c>
      <c r="E1029" s="117" t="s">
        <v>86</v>
      </c>
      <c r="F1029" s="117"/>
      <c r="G1029" s="117" t="s">
        <v>24</v>
      </c>
      <c r="H1029" s="117" t="str">
        <f t="shared" si="171"/>
        <v>yes</v>
      </c>
      <c r="I1029" s="117" t="str">
        <f t="shared" si="168"/>
        <v>no</v>
      </c>
      <c r="J1029" s="117" t="str">
        <f t="shared" si="169"/>
        <v>no</v>
      </c>
      <c r="K1029" s="117" t="s">
        <v>1228</v>
      </c>
      <c r="L1029" s="117" t="str">
        <f t="shared" si="172"/>
        <v>detailed</v>
      </c>
      <c r="M1029" s="117" t="str">
        <f t="shared" si="170"/>
        <v>detailed Mining</v>
      </c>
      <c r="N1029" s="118">
        <f>((0/365)*184)+((1300000/365)*181)</f>
        <v>644657.53424657532</v>
      </c>
      <c r="O1029" s="118"/>
      <c r="P1029" s="118"/>
      <c r="Q1029" s="118"/>
      <c r="R1029" s="118"/>
      <c r="S1029" s="117" t="s">
        <v>610</v>
      </c>
      <c r="T1029" s="119">
        <f>((145.86/365)*184)+((167.75/365)*181)</f>
        <v>156.7150410958904</v>
      </c>
      <c r="U1029" s="117" t="s">
        <v>611</v>
      </c>
      <c r="V1029" s="117" t="s">
        <v>1639</v>
      </c>
      <c r="W1029" s="89">
        <f t="shared" si="173"/>
        <v>101027531.97222742</v>
      </c>
      <c r="X1029" s="117"/>
      <c r="Y1029" s="117"/>
      <c r="Z1029" s="117"/>
      <c r="AA1029" s="89"/>
      <c r="AB1029" s="89"/>
      <c r="AC1029" s="240"/>
      <c r="AD1029" s="240"/>
      <c r="AE1029" s="240"/>
      <c r="AF1029" s="241"/>
      <c r="AG1029" s="117"/>
      <c r="AH1029" s="124"/>
      <c r="AI1029" s="117"/>
      <c r="AJ1029" s="117"/>
      <c r="AK1029" s="89"/>
      <c r="AL1029" s="117"/>
      <c r="AO1029" s="117"/>
      <c r="AP1029" s="117"/>
      <c r="AQ1029" s="117"/>
      <c r="AR1029" s="117"/>
      <c r="AS1029" s="117"/>
      <c r="AT1029" s="117"/>
      <c r="AU1029" s="117"/>
      <c r="AV1029" s="128"/>
      <c r="AW1029" s="117">
        <f>VLOOKUP($D1029,'WB Data'!$C$3:$M$578,2,FALSE)</f>
        <v>1537753884.5750225</v>
      </c>
      <c r="AX1029" s="117">
        <f>VLOOKUP($D1029,'WB Data'!$C$3:$M$578,3,FALSE)</f>
        <v>4079697</v>
      </c>
      <c r="AY1029" s="847">
        <f t="shared" si="175"/>
        <v>6.6852418934653365E-2</v>
      </c>
      <c r="AZ1029" s="117">
        <f>VLOOKUP($D1029,'WB Data'!$C$3:$M$578,4,FALSE)/100</f>
        <v>0.20786675890617212</v>
      </c>
      <c r="BA1029" s="117">
        <f t="shared" si="176"/>
        <v>319647915.98198581</v>
      </c>
      <c r="BB1029" s="129">
        <f>IFERROR(VLOOKUP($D1029,'EITI Revenues'!$C$2:$G$224,5,FALSE),"..")</f>
        <v>102802566.91</v>
      </c>
      <c r="BC1029" s="846">
        <f t="shared" si="177"/>
        <v>0.32161187910198535</v>
      </c>
      <c r="BD1029" s="129" t="str">
        <f>VLOOKUP($D1029,'WB Data 2'!$C$2:$K$545,6,FALSE)</f>
        <v>..</v>
      </c>
      <c r="BE1029" s="129">
        <f>IFERROR(VLOOKUP($D1029,UNCTAD!$C$5:$V$529,4,FALSE),"..")</f>
        <v>1249737000</v>
      </c>
      <c r="BF1029" s="846" t="str">
        <f t="shared" si="178"/>
        <v>..</v>
      </c>
      <c r="BG1029" s="117">
        <f>VLOOKUP($D1029,'WB Data'!$C$3:$M$578,5,FALSE)</f>
        <v>764840000</v>
      </c>
      <c r="BH1029" s="129">
        <f>IFERROR($BB1029/$BG1029,"..")</f>
        <v>0.13441055241619163</v>
      </c>
      <c r="BI1029" s="117" t="str">
        <f>IFERROR(VLOOKUP($D1029,'WB Data'!$C$3:$M$578,7,FALSE)/100,"..")</f>
        <v>..</v>
      </c>
      <c r="BJ1029" s="117" t="str">
        <f>IFERROR($BI1029*$AW1029,"..")</f>
        <v>..</v>
      </c>
      <c r="BK1029" s="846" t="str">
        <f>IFERROR($BB1029/$BJ1029,"..")</f>
        <v>..</v>
      </c>
      <c r="BL1029" s="117" t="str">
        <f>IFERROR(VLOOKUP($D1029,'WB Data'!$C$3:$M$578,7,FALSE)/100,"..")</f>
        <v>..</v>
      </c>
      <c r="BM1029" s="117" t="str">
        <f>IFERROR($AW1029*$BL1029,"..")</f>
        <v>..</v>
      </c>
      <c r="BN1029" s="846" t="str">
        <f>IFERROR($BB1029/$BM1029,"..")</f>
        <v>..</v>
      </c>
      <c r="BO1029" s="801">
        <f t="shared" si="174"/>
        <v>37</v>
      </c>
      <c r="BP1029" s="117" t="str">
        <f>VLOOKUP($D1029,'WB Data'!$C$3:$M$578,9,FALSE)</f>
        <v>..</v>
      </c>
      <c r="BQ1029" s="117">
        <f>VLOOKUP($D1029,'WB Data'!$C$3:$M$578,10,FALSE)</f>
        <v>59.859878048780494</v>
      </c>
      <c r="BR1029" s="117">
        <f>VLOOKUP($D1029,'WB Data'!$C$3:$M$578,11,FALSE)</f>
        <v>57.9</v>
      </c>
      <c r="BS1029" s="129">
        <f>IFERROR(VLOOKUP($D1029,'WB Data 2'!$C$2:$K$545,9,FALSE),"..")</f>
        <v>40.915999999999997</v>
      </c>
      <c r="BT1029" s="129">
        <f>_xlfn.IFNA(VLOOKUP($C1029,RGI!$A$2:$C$43,2,FALSE),"..")</f>
        <v>60.5</v>
      </c>
      <c r="BU1029" s="129">
        <f>_xlfn.IFNA(VLOOKUP($C1029,RGI!$A$2:$C$43,3,FALSE),"..")</f>
        <v>61.600874881317473</v>
      </c>
      <c r="BV1029" s="129">
        <f>VLOOKUP($D1029,WGI!$C$2:$O$478,7,FALSE)</f>
        <v>-0.31685403331256001</v>
      </c>
      <c r="BW1029" s="129">
        <f>VLOOKUP($D1029,WGI!$C$2:$O$478,4,FALSE)</f>
        <v>-0.42485539628227698</v>
      </c>
      <c r="BX1029" s="129">
        <f>VLOOKUP($D1029,WGI!$C$2:$O$478,3,FALSE)</f>
        <v>-1.24471848937616</v>
      </c>
      <c r="BY1029" s="129">
        <f>VLOOKUP($D1029,WGI!$C$2:$O$478,5,FALSE)</f>
        <v>-1.0947736633522001</v>
      </c>
      <c r="BZ1029" s="129">
        <f>VLOOKUP($D1029,WGI!$C$2:$O$478,2,FALSE)</f>
        <v>-0.60890822259611399</v>
      </c>
      <c r="CB1029" s="129"/>
    </row>
    <row r="1030" spans="1:80" s="120" customFormat="1" ht="15" customHeight="1">
      <c r="A1030" s="280" t="s">
        <v>311</v>
      </c>
      <c r="B1030" s="117">
        <v>2011</v>
      </c>
      <c r="C1030" s="117" t="s">
        <v>301</v>
      </c>
      <c r="D1030" s="117" t="s">
        <v>3704</v>
      </c>
      <c r="E1030" s="117" t="s">
        <v>86</v>
      </c>
      <c r="F1030" s="117"/>
      <c r="G1030" s="117" t="s">
        <v>24</v>
      </c>
      <c r="H1030" s="117" t="str">
        <f t="shared" si="171"/>
        <v>yes</v>
      </c>
      <c r="I1030" s="117" t="str">
        <f t="shared" si="168"/>
        <v>no</v>
      </c>
      <c r="J1030" s="117" t="str">
        <f t="shared" si="169"/>
        <v>no</v>
      </c>
      <c r="K1030" s="117" t="s">
        <v>970</v>
      </c>
      <c r="L1030" s="117" t="str">
        <f t="shared" si="172"/>
        <v>detailed</v>
      </c>
      <c r="M1030" s="117" t="str">
        <f t="shared" si="170"/>
        <v>detailed Mining</v>
      </c>
      <c r="N1030" s="118">
        <f>((110000/365)*184)+((103000/365)*181)</f>
        <v>106528.76712328767</v>
      </c>
      <c r="O1030" s="118"/>
      <c r="P1030" s="118"/>
      <c r="Q1030" s="118"/>
      <c r="R1030" s="118"/>
      <c r="S1030" s="117" t="s">
        <v>610</v>
      </c>
      <c r="T1030" s="119">
        <v>7.49</v>
      </c>
      <c r="U1030" s="117" t="s">
        <v>611</v>
      </c>
      <c r="V1030" s="117" t="s">
        <v>1640</v>
      </c>
      <c r="W1030" s="89">
        <f t="shared" si="173"/>
        <v>797900.46575342468</v>
      </c>
      <c r="X1030" s="117"/>
      <c r="Y1030" s="117"/>
      <c r="Z1030" s="117"/>
      <c r="AA1030" s="89"/>
      <c r="AB1030" s="89"/>
      <c r="AC1030" s="240"/>
      <c r="AD1030" s="240"/>
      <c r="AE1030" s="240"/>
      <c r="AF1030" s="241"/>
      <c r="AG1030" s="117"/>
      <c r="AH1030" s="124"/>
      <c r="AI1030" s="117"/>
      <c r="AJ1030" s="117"/>
      <c r="AK1030" s="89"/>
      <c r="AL1030" s="117"/>
      <c r="AO1030" s="117"/>
      <c r="AP1030" s="117"/>
      <c r="AQ1030" s="117"/>
      <c r="AR1030" s="117"/>
      <c r="AS1030" s="117"/>
      <c r="AT1030" s="117"/>
      <c r="AU1030" s="117"/>
      <c r="AV1030" s="128"/>
      <c r="AW1030" s="117">
        <f>VLOOKUP($D1030,'WB Data'!$C$3:$M$578,2,FALSE)</f>
        <v>1537753884.5750225</v>
      </c>
      <c r="AX1030" s="117">
        <f>VLOOKUP($D1030,'WB Data'!$C$3:$M$578,3,FALSE)</f>
        <v>4079697</v>
      </c>
      <c r="AY1030" s="847">
        <f t="shared" si="175"/>
        <v>6.6852418934653365E-2</v>
      </c>
      <c r="AZ1030" s="117">
        <f>VLOOKUP($D1030,'WB Data'!$C$3:$M$578,4,FALSE)/100</f>
        <v>0.20786675890617212</v>
      </c>
      <c r="BA1030" s="117">
        <f t="shared" si="176"/>
        <v>319647915.98198581</v>
      </c>
      <c r="BB1030" s="129">
        <f>IFERROR(VLOOKUP($D1030,'EITI Revenues'!$C$2:$G$224,5,FALSE),"..")</f>
        <v>102802566.91</v>
      </c>
      <c r="BC1030" s="846">
        <f t="shared" si="177"/>
        <v>0.32161187910198535</v>
      </c>
      <c r="BD1030" s="129" t="str">
        <f>VLOOKUP($D1030,'WB Data 2'!$C$2:$K$545,6,FALSE)</f>
        <v>..</v>
      </c>
      <c r="BE1030" s="129">
        <f>IFERROR(VLOOKUP($D1030,UNCTAD!$C$5:$V$529,4,FALSE),"..")</f>
        <v>1249737000</v>
      </c>
      <c r="BF1030" s="846" t="str">
        <f t="shared" si="178"/>
        <v>..</v>
      </c>
      <c r="BG1030" s="117">
        <f>VLOOKUP($D1030,'WB Data'!$C$3:$M$578,5,FALSE)</f>
        <v>764840000</v>
      </c>
      <c r="BH1030" s="129">
        <f>IFERROR($BB1030/$BG1030,"..")</f>
        <v>0.13441055241619163</v>
      </c>
      <c r="BI1030" s="117" t="str">
        <f>IFERROR(VLOOKUP($D1030,'WB Data'!$C$3:$M$578,7,FALSE)/100,"..")</f>
        <v>..</v>
      </c>
      <c r="BJ1030" s="117" t="str">
        <f>IFERROR($BI1030*$AW1030,"..")</f>
        <v>..</v>
      </c>
      <c r="BK1030" s="846" t="str">
        <f>IFERROR($BB1030/$BJ1030,"..")</f>
        <v>..</v>
      </c>
      <c r="BL1030" s="117" t="str">
        <f>IFERROR(VLOOKUP($D1030,'WB Data'!$C$3:$M$578,7,FALSE)/100,"..")</f>
        <v>..</v>
      </c>
      <c r="BM1030" s="117" t="str">
        <f>IFERROR($AW1030*$BL1030,"..")</f>
        <v>..</v>
      </c>
      <c r="BN1030" s="846" t="str">
        <f>IFERROR($BB1030/$BM1030,"..")</f>
        <v>..</v>
      </c>
      <c r="BO1030" s="801">
        <f t="shared" si="174"/>
        <v>37</v>
      </c>
      <c r="BP1030" s="117" t="str">
        <f>VLOOKUP($D1030,'WB Data'!$C$3:$M$578,9,FALSE)</f>
        <v>..</v>
      </c>
      <c r="BQ1030" s="117">
        <f>VLOOKUP($D1030,'WB Data'!$C$3:$M$578,10,FALSE)</f>
        <v>59.859878048780494</v>
      </c>
      <c r="BR1030" s="117">
        <f>VLOOKUP($D1030,'WB Data'!$C$3:$M$578,11,FALSE)</f>
        <v>57.9</v>
      </c>
      <c r="BS1030" s="129">
        <f>IFERROR(VLOOKUP($D1030,'WB Data 2'!$C$2:$K$545,9,FALSE),"..")</f>
        <v>40.915999999999997</v>
      </c>
      <c r="BT1030" s="129">
        <f>_xlfn.IFNA(VLOOKUP($C1030,RGI!$A$2:$C$43,2,FALSE),"..")</f>
        <v>60.5</v>
      </c>
      <c r="BU1030" s="129">
        <f>_xlfn.IFNA(VLOOKUP($C1030,RGI!$A$2:$C$43,3,FALSE),"..")</f>
        <v>61.600874881317473</v>
      </c>
      <c r="BV1030" s="129">
        <f>VLOOKUP($D1030,WGI!$C$2:$O$478,7,FALSE)</f>
        <v>-0.31685403331256001</v>
      </c>
      <c r="BW1030" s="129">
        <f>VLOOKUP($D1030,WGI!$C$2:$O$478,4,FALSE)</f>
        <v>-0.42485539628227698</v>
      </c>
      <c r="BX1030" s="129">
        <f>VLOOKUP($D1030,WGI!$C$2:$O$478,3,FALSE)</f>
        <v>-1.24471848937616</v>
      </c>
      <c r="BY1030" s="129">
        <f>VLOOKUP($D1030,WGI!$C$2:$O$478,5,FALSE)</f>
        <v>-1.0947736633522001</v>
      </c>
      <c r="BZ1030" s="129">
        <f>VLOOKUP($D1030,WGI!$C$2:$O$478,2,FALSE)</f>
        <v>-0.60890822259611399</v>
      </c>
      <c r="CB1030" s="129"/>
    </row>
    <row r="1031" spans="1:80" s="120" customFormat="1" ht="15" customHeight="1">
      <c r="A1031" s="280" t="s">
        <v>311</v>
      </c>
      <c r="B1031" s="117">
        <v>2011</v>
      </c>
      <c r="C1031" s="117" t="s">
        <v>301</v>
      </c>
      <c r="D1031" s="117" t="s">
        <v>3704</v>
      </c>
      <c r="E1031" s="117" t="s">
        <v>86</v>
      </c>
      <c r="F1031" s="117"/>
      <c r="G1031" s="117" t="s">
        <v>24</v>
      </c>
      <c r="H1031" s="117" t="str">
        <f t="shared" si="171"/>
        <v>yes</v>
      </c>
      <c r="I1031" s="117" t="str">
        <f t="shared" si="168"/>
        <v>no</v>
      </c>
      <c r="J1031" s="117" t="str">
        <f t="shared" si="169"/>
        <v>no</v>
      </c>
      <c r="K1031" s="117" t="s">
        <v>1601</v>
      </c>
      <c r="L1031" s="117" t="str">
        <f t="shared" si="172"/>
        <v>detailed</v>
      </c>
      <c r="M1031" s="117" t="str">
        <f t="shared" si="170"/>
        <v>detailed Mining</v>
      </c>
      <c r="N1031" s="118">
        <f>((3000/365)*184)+((2600/365)*181)</f>
        <v>2801.6438356164385</v>
      </c>
      <c r="O1031" s="118"/>
      <c r="P1031" s="118"/>
      <c r="Q1031" s="118"/>
      <c r="R1031" s="118"/>
      <c r="S1031" s="117" t="s">
        <v>610</v>
      </c>
      <c r="T1031" s="119">
        <v>8.66</v>
      </c>
      <c r="U1031" s="117" t="s">
        <v>611</v>
      </c>
      <c r="V1031" s="117" t="s">
        <v>1641</v>
      </c>
      <c r="W1031" s="89">
        <f t="shared" si="173"/>
        <v>24262.235616438356</v>
      </c>
      <c r="X1031" s="117"/>
      <c r="Y1031" s="117"/>
      <c r="Z1031" s="117"/>
      <c r="AA1031" s="89"/>
      <c r="AB1031" s="89"/>
      <c r="AC1031" s="240"/>
      <c r="AD1031" s="240"/>
      <c r="AE1031" s="240"/>
      <c r="AF1031" s="241"/>
      <c r="AG1031" s="117"/>
      <c r="AH1031" s="124"/>
      <c r="AI1031" s="117"/>
      <c r="AJ1031" s="117"/>
      <c r="AK1031" s="89"/>
      <c r="AL1031" s="117"/>
      <c r="AO1031" s="117"/>
      <c r="AP1031" s="117"/>
      <c r="AQ1031" s="117"/>
      <c r="AR1031" s="117"/>
      <c r="AS1031" s="117"/>
      <c r="AT1031" s="117"/>
      <c r="AU1031" s="117"/>
      <c r="AV1031" s="128"/>
      <c r="AW1031" s="117">
        <f>VLOOKUP($D1031,'WB Data'!$C$3:$M$578,2,FALSE)</f>
        <v>1537753884.5750225</v>
      </c>
      <c r="AX1031" s="117">
        <f>VLOOKUP($D1031,'WB Data'!$C$3:$M$578,3,FALSE)</f>
        <v>4079697</v>
      </c>
      <c r="AY1031" s="847">
        <f t="shared" si="175"/>
        <v>6.6852418934653365E-2</v>
      </c>
      <c r="AZ1031" s="117">
        <f>VLOOKUP($D1031,'WB Data'!$C$3:$M$578,4,FALSE)/100</f>
        <v>0.20786675890617212</v>
      </c>
      <c r="BA1031" s="117">
        <f t="shared" si="176"/>
        <v>319647915.98198581</v>
      </c>
      <c r="BB1031" s="129">
        <f>IFERROR(VLOOKUP($D1031,'EITI Revenues'!$C$2:$G$224,5,FALSE),"..")</f>
        <v>102802566.91</v>
      </c>
      <c r="BC1031" s="846">
        <f t="shared" si="177"/>
        <v>0.32161187910198535</v>
      </c>
      <c r="BD1031" s="129" t="str">
        <f>VLOOKUP($D1031,'WB Data 2'!$C$2:$K$545,6,FALSE)</f>
        <v>..</v>
      </c>
      <c r="BE1031" s="129">
        <f>IFERROR(VLOOKUP($D1031,UNCTAD!$C$5:$V$529,4,FALSE),"..")</f>
        <v>1249737000</v>
      </c>
      <c r="BF1031" s="846" t="str">
        <f t="shared" si="178"/>
        <v>..</v>
      </c>
      <c r="BG1031" s="117">
        <f>VLOOKUP($D1031,'WB Data'!$C$3:$M$578,5,FALSE)</f>
        <v>764840000</v>
      </c>
      <c r="BH1031" s="129">
        <f>IFERROR($BB1031/$BG1031,"..")</f>
        <v>0.13441055241619163</v>
      </c>
      <c r="BI1031" s="117" t="str">
        <f>IFERROR(VLOOKUP($D1031,'WB Data'!$C$3:$M$578,7,FALSE)/100,"..")</f>
        <v>..</v>
      </c>
      <c r="BJ1031" s="117" t="str">
        <f>IFERROR($BI1031*$AW1031,"..")</f>
        <v>..</v>
      </c>
      <c r="BK1031" s="846" t="str">
        <f>IFERROR($BB1031/$BJ1031,"..")</f>
        <v>..</v>
      </c>
      <c r="BL1031" s="117" t="str">
        <f>IFERROR(VLOOKUP($D1031,'WB Data'!$C$3:$M$578,7,FALSE)/100,"..")</f>
        <v>..</v>
      </c>
      <c r="BM1031" s="117" t="str">
        <f>IFERROR($AW1031*$BL1031,"..")</f>
        <v>..</v>
      </c>
      <c r="BN1031" s="846" t="str">
        <f>IFERROR($BB1031/$BM1031,"..")</f>
        <v>..</v>
      </c>
      <c r="BO1031" s="801">
        <f t="shared" si="174"/>
        <v>37</v>
      </c>
      <c r="BP1031" s="117" t="str">
        <f>VLOOKUP($D1031,'WB Data'!$C$3:$M$578,9,FALSE)</f>
        <v>..</v>
      </c>
      <c r="BQ1031" s="117">
        <f>VLOOKUP($D1031,'WB Data'!$C$3:$M$578,10,FALSE)</f>
        <v>59.859878048780494</v>
      </c>
      <c r="BR1031" s="117">
        <f>VLOOKUP($D1031,'WB Data'!$C$3:$M$578,11,FALSE)</f>
        <v>57.9</v>
      </c>
      <c r="BS1031" s="129">
        <f>IFERROR(VLOOKUP($D1031,'WB Data 2'!$C$2:$K$545,9,FALSE),"..")</f>
        <v>40.915999999999997</v>
      </c>
      <c r="BT1031" s="129">
        <f>_xlfn.IFNA(VLOOKUP($C1031,RGI!$A$2:$C$43,2,FALSE),"..")</f>
        <v>60.5</v>
      </c>
      <c r="BU1031" s="129">
        <f>_xlfn.IFNA(VLOOKUP($C1031,RGI!$A$2:$C$43,3,FALSE),"..")</f>
        <v>61.600874881317473</v>
      </c>
      <c r="BV1031" s="129">
        <f>VLOOKUP($D1031,WGI!$C$2:$O$478,7,FALSE)</f>
        <v>-0.31685403331256001</v>
      </c>
      <c r="BW1031" s="129">
        <f>VLOOKUP($D1031,WGI!$C$2:$O$478,4,FALSE)</f>
        <v>-0.42485539628227698</v>
      </c>
      <c r="BX1031" s="129">
        <f>VLOOKUP($D1031,WGI!$C$2:$O$478,3,FALSE)</f>
        <v>-1.24471848937616</v>
      </c>
      <c r="BY1031" s="129">
        <f>VLOOKUP($D1031,WGI!$C$2:$O$478,5,FALSE)</f>
        <v>-1.0947736633522001</v>
      </c>
      <c r="BZ1031" s="129">
        <f>VLOOKUP($D1031,WGI!$C$2:$O$478,2,FALSE)</f>
        <v>-0.60890822259611399</v>
      </c>
      <c r="CB1031" s="129"/>
    </row>
    <row r="1032" spans="1:80" s="120" customFormat="1" ht="15" customHeight="1">
      <c r="A1032" s="280" t="s">
        <v>311</v>
      </c>
      <c r="B1032" s="117">
        <v>2011</v>
      </c>
      <c r="C1032" s="117" t="s">
        <v>301</v>
      </c>
      <c r="D1032" s="117" t="s">
        <v>3704</v>
      </c>
      <c r="E1032" s="117" t="s">
        <v>86</v>
      </c>
      <c r="F1032" s="117"/>
      <c r="G1032" s="117" t="s">
        <v>1603</v>
      </c>
      <c r="H1032" s="117" t="str">
        <f t="shared" si="171"/>
        <v>no</v>
      </c>
      <c r="I1032" s="117" t="str">
        <f t="shared" si="168"/>
        <v>no</v>
      </c>
      <c r="J1032" s="117" t="str">
        <f t="shared" si="169"/>
        <v>no</v>
      </c>
      <c r="K1032" s="117" t="s">
        <v>1604</v>
      </c>
      <c r="L1032" s="117" t="str">
        <f t="shared" si="172"/>
        <v>detailed</v>
      </c>
      <c r="M1032" s="117" t="str">
        <f t="shared" si="170"/>
        <v>detailed Other</v>
      </c>
      <c r="N1032" s="118"/>
      <c r="O1032" s="118"/>
      <c r="P1032" s="118"/>
      <c r="Q1032" s="118"/>
      <c r="R1032" s="118"/>
      <c r="S1032" s="117"/>
      <c r="T1032" s="119"/>
      <c r="U1032" s="117"/>
      <c r="V1032" s="117"/>
      <c r="W1032" s="89"/>
      <c r="X1032" s="117"/>
      <c r="Y1032" s="117"/>
      <c r="Z1032" s="117"/>
      <c r="AA1032" s="89">
        <v>5616076.2300000004</v>
      </c>
      <c r="AB1032" s="89">
        <v>5408592.1799999997</v>
      </c>
      <c r="AC1032" s="240"/>
      <c r="AD1032" s="240"/>
      <c r="AE1032" s="240"/>
      <c r="AF1032" s="241"/>
      <c r="AG1032" s="117"/>
      <c r="AH1032" s="124"/>
      <c r="AI1032" s="117"/>
      <c r="AJ1032" s="117" t="s">
        <v>1642</v>
      </c>
      <c r="AK1032" s="89">
        <v>78000</v>
      </c>
      <c r="AL1032" s="117"/>
      <c r="AM1032" s="117"/>
      <c r="AN1032" s="117">
        <v>20</v>
      </c>
      <c r="AO1032" s="117" t="s">
        <v>1643</v>
      </c>
      <c r="AP1032" s="117">
        <v>17</v>
      </c>
      <c r="AQ1032" s="117"/>
      <c r="AR1032" s="117"/>
      <c r="AS1032" s="117"/>
      <c r="AT1032" s="117"/>
      <c r="AU1032" s="117" t="s">
        <v>1644</v>
      </c>
      <c r="AV1032" s="128"/>
      <c r="AW1032" s="117">
        <f>VLOOKUP($D1032,'WB Data'!$C$3:$M$578,2,FALSE)</f>
        <v>1537753884.5750225</v>
      </c>
      <c r="AX1032" s="117">
        <f>VLOOKUP($D1032,'WB Data'!$C$3:$M$578,3,FALSE)</f>
        <v>4079697</v>
      </c>
      <c r="AY1032" s="847">
        <f t="shared" si="175"/>
        <v>6.6852418934653365E-2</v>
      </c>
      <c r="AZ1032" s="117">
        <f>VLOOKUP($D1032,'WB Data'!$C$3:$M$578,4,FALSE)/100</f>
        <v>0.20786675890617212</v>
      </c>
      <c r="BA1032" s="117">
        <f t="shared" si="176"/>
        <v>319647915.98198581</v>
      </c>
      <c r="BB1032" s="129">
        <f>IFERROR(VLOOKUP($D1032,'EITI Revenues'!$C$2:$G$224,5,FALSE),"..")</f>
        <v>102802566.91</v>
      </c>
      <c r="BC1032" s="846">
        <f t="shared" si="177"/>
        <v>0.32161187910198535</v>
      </c>
      <c r="BD1032" s="129" t="str">
        <f>VLOOKUP($D1032,'WB Data 2'!$C$2:$K$545,6,FALSE)</f>
        <v>..</v>
      </c>
      <c r="BE1032" s="129">
        <f>IFERROR(VLOOKUP($D1032,UNCTAD!$C$5:$V$529,4,FALSE),"..")</f>
        <v>1249737000</v>
      </c>
      <c r="BF1032" s="846" t="str">
        <f t="shared" si="178"/>
        <v>..</v>
      </c>
      <c r="BG1032" s="117">
        <f>VLOOKUP($D1032,'WB Data'!$C$3:$M$578,5,FALSE)</f>
        <v>764840000</v>
      </c>
      <c r="BH1032" s="129">
        <f>IFERROR($BB1032/$BG1032,"..")</f>
        <v>0.13441055241619163</v>
      </c>
      <c r="BI1032" s="117" t="str">
        <f>IFERROR(VLOOKUP($D1032,'WB Data'!$C$3:$M$578,7,FALSE)/100,"..")</f>
        <v>..</v>
      </c>
      <c r="BJ1032" s="117" t="str">
        <f>IFERROR($BI1032*$AW1032,"..")</f>
        <v>..</v>
      </c>
      <c r="BK1032" s="846" t="str">
        <f>IFERROR($BB1032/$BJ1032,"..")</f>
        <v>..</v>
      </c>
      <c r="BL1032" s="117" t="str">
        <f>IFERROR(VLOOKUP($D1032,'WB Data'!$C$3:$M$578,7,FALSE)/100,"..")</f>
        <v>..</v>
      </c>
      <c r="BM1032" s="117" t="str">
        <f>IFERROR($AW1032*$BL1032,"..")</f>
        <v>..</v>
      </c>
      <c r="BN1032" s="846" t="str">
        <f>IFERROR($BB1032/$BM1032,"..")</f>
        <v>..</v>
      </c>
      <c r="BO1032" s="801">
        <f t="shared" si="174"/>
        <v>37</v>
      </c>
      <c r="BP1032" s="117" t="str">
        <f>VLOOKUP($D1032,'WB Data'!$C$3:$M$578,9,FALSE)</f>
        <v>..</v>
      </c>
      <c r="BQ1032" s="117">
        <f>VLOOKUP($D1032,'WB Data'!$C$3:$M$578,10,FALSE)</f>
        <v>59.859878048780494</v>
      </c>
      <c r="BR1032" s="117">
        <f>VLOOKUP($D1032,'WB Data'!$C$3:$M$578,11,FALSE)</f>
        <v>57.9</v>
      </c>
      <c r="BS1032" s="129">
        <f>IFERROR(VLOOKUP($D1032,'WB Data 2'!$C$2:$K$545,9,FALSE),"..")</f>
        <v>40.915999999999997</v>
      </c>
      <c r="BT1032" s="129">
        <f>_xlfn.IFNA(VLOOKUP($C1032,RGI!$A$2:$C$43,2,FALSE),"..")</f>
        <v>60.5</v>
      </c>
      <c r="BU1032" s="129">
        <f>_xlfn.IFNA(VLOOKUP($C1032,RGI!$A$2:$C$43,3,FALSE),"..")</f>
        <v>61.600874881317473</v>
      </c>
      <c r="BV1032" s="129">
        <f>VLOOKUP($D1032,WGI!$C$2:$O$478,7,FALSE)</f>
        <v>-0.31685403331256001</v>
      </c>
      <c r="BW1032" s="129">
        <f>VLOOKUP($D1032,WGI!$C$2:$O$478,4,FALSE)</f>
        <v>-0.42485539628227698</v>
      </c>
      <c r="BX1032" s="129">
        <f>VLOOKUP($D1032,WGI!$C$2:$O$478,3,FALSE)</f>
        <v>-1.24471848937616</v>
      </c>
      <c r="BY1032" s="129">
        <f>VLOOKUP($D1032,WGI!$C$2:$O$478,5,FALSE)</f>
        <v>-1.0947736633522001</v>
      </c>
      <c r="BZ1032" s="129">
        <f>VLOOKUP($D1032,WGI!$C$2:$O$478,2,FALSE)</f>
        <v>-0.60890822259611399</v>
      </c>
      <c r="CB1032" s="129"/>
    </row>
    <row r="1033" spans="1:80" s="158" customFormat="1" ht="15" customHeight="1">
      <c r="A1033" s="282" t="s">
        <v>311</v>
      </c>
      <c r="B1033" s="149">
        <v>2011</v>
      </c>
      <c r="C1033" s="149" t="s">
        <v>301</v>
      </c>
      <c r="D1033" s="117" t="s">
        <v>3704</v>
      </c>
      <c r="E1033" s="149" t="s">
        <v>86</v>
      </c>
      <c r="F1033" s="149"/>
      <c r="G1033" s="149" t="s">
        <v>1603</v>
      </c>
      <c r="H1033" s="117" t="str">
        <f t="shared" si="171"/>
        <v>no</v>
      </c>
      <c r="I1033" s="117" t="str">
        <f t="shared" si="168"/>
        <v>no</v>
      </c>
      <c r="J1033" s="117" t="str">
        <f t="shared" si="169"/>
        <v>no</v>
      </c>
      <c r="K1033" s="149" t="s">
        <v>1612</v>
      </c>
      <c r="L1033" s="117" t="str">
        <f t="shared" si="172"/>
        <v>detailed</v>
      </c>
      <c r="M1033" s="117" t="str">
        <f t="shared" si="170"/>
        <v>detailed Other</v>
      </c>
      <c r="N1033" s="150"/>
      <c r="O1033" s="150"/>
      <c r="P1033" s="150"/>
      <c r="Q1033" s="150"/>
      <c r="R1033" s="150"/>
      <c r="S1033" s="149"/>
      <c r="T1033" s="151"/>
      <c r="U1033" s="149"/>
      <c r="V1033" s="149"/>
      <c r="W1033" s="152"/>
      <c r="X1033" s="149"/>
      <c r="Y1033" s="149"/>
      <c r="Z1033" s="149"/>
      <c r="AA1033" s="152">
        <v>18281719.699999999</v>
      </c>
      <c r="AB1033" s="152">
        <v>18330499.66</v>
      </c>
      <c r="AC1033" s="288"/>
      <c r="AD1033" s="288"/>
      <c r="AE1033" s="288"/>
      <c r="AF1033" s="285"/>
      <c r="AG1033" s="149"/>
      <c r="AH1033" s="156"/>
      <c r="AI1033" s="149"/>
      <c r="AJ1033" s="149" t="s">
        <v>1645</v>
      </c>
      <c r="AK1033" s="152">
        <v>6054973</v>
      </c>
      <c r="AL1033" s="149"/>
      <c r="AM1033" s="149"/>
      <c r="AN1033" s="149">
        <v>11</v>
      </c>
      <c r="AO1033" s="149" t="s">
        <v>1646</v>
      </c>
      <c r="AP1033" s="149">
        <v>11</v>
      </c>
      <c r="AQ1033" s="149"/>
      <c r="AR1033" s="149"/>
      <c r="AS1033" s="149"/>
      <c r="AT1033" s="149"/>
      <c r="AU1033" s="149" t="s">
        <v>1647</v>
      </c>
      <c r="AV1033" s="157"/>
      <c r="AW1033" s="117">
        <f>VLOOKUP($D1033,'WB Data'!$C$3:$M$578,2,FALSE)</f>
        <v>1537753884.5750225</v>
      </c>
      <c r="AX1033" s="117">
        <f>VLOOKUP($D1033,'WB Data'!$C$3:$M$578,3,FALSE)</f>
        <v>4079697</v>
      </c>
      <c r="AY1033" s="847">
        <f t="shared" si="175"/>
        <v>6.6852418934653365E-2</v>
      </c>
      <c r="AZ1033" s="117">
        <f>VLOOKUP($D1033,'WB Data'!$C$3:$M$578,4,FALSE)/100</f>
        <v>0.20786675890617212</v>
      </c>
      <c r="BA1033" s="117">
        <f t="shared" si="176"/>
        <v>319647915.98198581</v>
      </c>
      <c r="BB1033" s="129">
        <f>IFERROR(VLOOKUP($D1033,'EITI Revenues'!$C$2:$G$224,5,FALSE),"..")</f>
        <v>102802566.91</v>
      </c>
      <c r="BC1033" s="846">
        <f t="shared" si="177"/>
        <v>0.32161187910198535</v>
      </c>
      <c r="BD1033" s="129" t="str">
        <f>VLOOKUP($D1033,'WB Data 2'!$C$2:$K$545,6,FALSE)</f>
        <v>..</v>
      </c>
      <c r="BE1033" s="129">
        <f>IFERROR(VLOOKUP($D1033,UNCTAD!$C$5:$V$529,4,FALSE),"..")</f>
        <v>1249737000</v>
      </c>
      <c r="BF1033" s="846" t="str">
        <f t="shared" si="178"/>
        <v>..</v>
      </c>
      <c r="BG1033" s="117">
        <f>VLOOKUP($D1033,'WB Data'!$C$3:$M$578,5,FALSE)</f>
        <v>764840000</v>
      </c>
      <c r="BH1033" s="129">
        <f>IFERROR($BB1033/$BG1033,"..")</f>
        <v>0.13441055241619163</v>
      </c>
      <c r="BI1033" s="117" t="str">
        <f>IFERROR(VLOOKUP($D1033,'WB Data'!$C$3:$M$578,7,FALSE)/100,"..")</f>
        <v>..</v>
      </c>
      <c r="BJ1033" s="117" t="str">
        <f>IFERROR($BI1033*$AW1033,"..")</f>
        <v>..</v>
      </c>
      <c r="BK1033" s="846" t="str">
        <f>IFERROR($BB1033/$BJ1033,"..")</f>
        <v>..</v>
      </c>
      <c r="BL1033" s="117" t="str">
        <f>IFERROR(VLOOKUP($D1033,'WB Data'!$C$3:$M$578,7,FALSE)/100,"..")</f>
        <v>..</v>
      </c>
      <c r="BM1033" s="117" t="str">
        <f>IFERROR($AW1033*$BL1033,"..")</f>
        <v>..</v>
      </c>
      <c r="BN1033" s="846" t="str">
        <f>IFERROR($BB1033/$BM1033,"..")</f>
        <v>..</v>
      </c>
      <c r="BO1033" s="801">
        <f t="shared" si="174"/>
        <v>37</v>
      </c>
      <c r="BP1033" s="117" t="str">
        <f>VLOOKUP($D1033,'WB Data'!$C$3:$M$578,9,FALSE)</f>
        <v>..</v>
      </c>
      <c r="BQ1033" s="117">
        <f>VLOOKUP($D1033,'WB Data'!$C$3:$M$578,10,FALSE)</f>
        <v>59.859878048780494</v>
      </c>
      <c r="BR1033" s="117">
        <f>VLOOKUP($D1033,'WB Data'!$C$3:$M$578,11,FALSE)</f>
        <v>57.9</v>
      </c>
      <c r="BS1033" s="129">
        <f>IFERROR(VLOOKUP($D1033,'WB Data 2'!$C$2:$K$545,9,FALSE),"..")</f>
        <v>40.915999999999997</v>
      </c>
      <c r="BT1033" s="129">
        <f>_xlfn.IFNA(VLOOKUP($C1033,RGI!$A$2:$C$43,2,FALSE),"..")</f>
        <v>60.5</v>
      </c>
      <c r="BU1033" s="129">
        <f>_xlfn.IFNA(VLOOKUP($C1033,RGI!$A$2:$C$43,3,FALSE),"..")</f>
        <v>61.600874881317473</v>
      </c>
      <c r="BV1033" s="129">
        <f>VLOOKUP($D1033,WGI!$C$2:$O$478,7,FALSE)</f>
        <v>-0.31685403331256001</v>
      </c>
      <c r="BW1033" s="129">
        <f>VLOOKUP($D1033,WGI!$C$2:$O$478,4,FALSE)</f>
        <v>-0.42485539628227698</v>
      </c>
      <c r="BX1033" s="129">
        <f>VLOOKUP($D1033,WGI!$C$2:$O$478,3,FALSE)</f>
        <v>-1.24471848937616</v>
      </c>
      <c r="BY1033" s="129">
        <f>VLOOKUP($D1033,WGI!$C$2:$O$478,5,FALSE)</f>
        <v>-1.0947736633522001</v>
      </c>
      <c r="BZ1033" s="129">
        <f>VLOOKUP($D1033,WGI!$C$2:$O$478,2,FALSE)</f>
        <v>-0.60890822259611399</v>
      </c>
      <c r="CB1033" s="129"/>
    </row>
    <row r="1034" spans="1:80" ht="15" customHeight="1">
      <c r="A1034" s="280" t="s">
        <v>313</v>
      </c>
      <c r="B1034" s="117">
        <v>2012</v>
      </c>
      <c r="C1034" s="117" t="s">
        <v>301</v>
      </c>
      <c r="D1034" s="117" t="s">
        <v>3738</v>
      </c>
      <c r="E1034" s="117" t="s">
        <v>86</v>
      </c>
      <c r="F1034" s="117" t="s">
        <v>1587</v>
      </c>
      <c r="G1034" s="117" t="s">
        <v>519</v>
      </c>
      <c r="H1034" s="117" t="str">
        <f t="shared" si="171"/>
        <v>yes</v>
      </c>
      <c r="I1034" s="117" t="str">
        <f t="shared" si="168"/>
        <v>no</v>
      </c>
      <c r="J1034" s="117" t="str">
        <f t="shared" si="169"/>
        <v>no</v>
      </c>
      <c r="K1034" s="117" t="s">
        <v>709</v>
      </c>
      <c r="L1034" s="117" t="str">
        <f t="shared" si="172"/>
        <v>Total</v>
      </c>
      <c r="M1034" s="117" t="str">
        <f t="shared" si="170"/>
        <v>Total Oil, Mining, Other</v>
      </c>
      <c r="N1034" s="118"/>
      <c r="O1034" s="118"/>
      <c r="P1034" s="118"/>
      <c r="Q1034" s="118"/>
      <c r="R1034" s="118"/>
      <c r="S1034" s="117"/>
      <c r="T1034" s="119"/>
      <c r="U1034" s="117"/>
      <c r="V1034" s="117"/>
      <c r="W1034" s="298">
        <f>W1035+W1036+W1043+W1046</f>
        <v>386039338.55077028</v>
      </c>
      <c r="X1034" s="117" t="s">
        <v>998</v>
      </c>
      <c r="Y1034" s="117" t="s">
        <v>602</v>
      </c>
      <c r="Z1034" s="117" t="s">
        <v>603</v>
      </c>
      <c r="AA1034" s="179">
        <v>110146657</v>
      </c>
      <c r="AB1034" s="179">
        <v>100809819</v>
      </c>
      <c r="AC1034" s="212"/>
      <c r="AD1034" s="212"/>
      <c r="AE1034" s="212"/>
      <c r="AF1034" s="300">
        <f>AA1034/W1034</f>
        <v>0.28532495525844959</v>
      </c>
      <c r="AG1034" s="117" t="s">
        <v>864</v>
      </c>
      <c r="AH1034" s="124"/>
      <c r="AI1034" s="117" t="s">
        <v>605</v>
      </c>
      <c r="AJ1034" s="117" t="s">
        <v>1648</v>
      </c>
      <c r="AK1034" s="89" t="s">
        <v>943</v>
      </c>
      <c r="AL1034" s="117"/>
      <c r="AM1034" s="117"/>
      <c r="AN1034" s="117">
        <v>149</v>
      </c>
      <c r="AO1034" s="117" t="s">
        <v>1649</v>
      </c>
      <c r="AP1034" s="117">
        <v>80</v>
      </c>
      <c r="AQ1034" s="390" t="s">
        <v>47</v>
      </c>
      <c r="AR1034" s="126">
        <v>41901</v>
      </c>
      <c r="AS1034" s="117" t="s">
        <v>1629</v>
      </c>
      <c r="AT1034" s="117" t="s">
        <v>314</v>
      </c>
      <c r="AU1034" s="117">
        <v>58</v>
      </c>
      <c r="AV1034" s="128" t="s">
        <v>1650</v>
      </c>
      <c r="AW1034" s="117">
        <f>VLOOKUP($D1034,'WB Data'!$C$3:$M$578,2,FALSE)</f>
        <v>1733828404.7414153</v>
      </c>
      <c r="AX1034" s="117">
        <f>VLOOKUP($D1034,'WB Data'!$C$3:$M$578,3,FALSE)</f>
        <v>4190435</v>
      </c>
      <c r="AY1034" s="847">
        <f t="shared" si="175"/>
        <v>6.3528003520294946E-2</v>
      </c>
      <c r="AZ1034" s="117">
        <f>VLOOKUP($D1034,'WB Data'!$C$3:$M$578,4,FALSE)/100</f>
        <v>0.2483990315581153</v>
      </c>
      <c r="BA1034" s="117">
        <f t="shared" si="176"/>
        <v>430681296.62571949</v>
      </c>
      <c r="BB1034" s="129">
        <f>IFERROR(VLOOKUP($D1034,'EITI Revenues'!$C$2:$G$224,5,FALSE),"..")</f>
        <v>110146657</v>
      </c>
      <c r="BC1034" s="846">
        <f t="shared" si="177"/>
        <v>0.25574980353911714</v>
      </c>
      <c r="BD1034" s="129" t="str">
        <f>VLOOKUP($D1034,'WB Data 2'!$C$2:$K$545,6,FALSE)</f>
        <v>..</v>
      </c>
      <c r="BE1034" s="129">
        <f>IFERROR(VLOOKUP($D1034,UNCTAD!$C$5:$V$529,4,FALSE),"..")</f>
        <v>1288543802</v>
      </c>
      <c r="BF1034" s="846" t="str">
        <f t="shared" si="178"/>
        <v>..</v>
      </c>
      <c r="BG1034" s="117">
        <f>VLOOKUP($D1034,'WB Data'!$C$3:$M$578,5,FALSE)</f>
        <v>570970000</v>
      </c>
      <c r="BH1034" s="129">
        <f>IFERROR($BB1034/$BG1034,"..")</f>
        <v>0.19291146119761107</v>
      </c>
      <c r="BI1034" s="117">
        <f>IFERROR(VLOOKUP($D1034,'WB Data'!$C$3:$M$578,7,FALSE)/100,"..")</f>
        <v>2.82069E-2</v>
      </c>
      <c r="BJ1034" s="117">
        <f>IFERROR($BI1034*$AW1034,"..")</f>
        <v>48905924.429700628</v>
      </c>
      <c r="BK1034" s="846">
        <f>IFERROR($BB1034/$BJ1034,"..")</f>
        <v>2.2522150083949297</v>
      </c>
      <c r="BL1034" s="117">
        <f>IFERROR(VLOOKUP($D1034,'WB Data'!$C$3:$M$578,7,FALSE)/100,"..")</f>
        <v>2.82069E-2</v>
      </c>
      <c r="BM1034" s="117">
        <f>IFERROR($AW1034*$BL1034,"..")</f>
        <v>48905924.429700628</v>
      </c>
      <c r="BN1034" s="846">
        <f>IFERROR($BB1034/$BM1034,"..")</f>
        <v>2.2522150083949297</v>
      </c>
      <c r="BO1034" s="801">
        <f t="shared" si="174"/>
        <v>37</v>
      </c>
      <c r="BP1034" s="117" t="str">
        <f>VLOOKUP($D1034,'WB Data'!$C$3:$M$578,9,FALSE)</f>
        <v>..</v>
      </c>
      <c r="BQ1034" s="117">
        <f>VLOOKUP($D1034,'WB Data'!$C$3:$M$578,10,FALSE)</f>
        <v>60.206390243902447</v>
      </c>
      <c r="BR1034" s="117">
        <f>VLOOKUP($D1034,'WB Data'!$C$3:$M$578,11,FALSE)</f>
        <v>55.6</v>
      </c>
      <c r="BS1034" s="129" t="str">
        <f>IFERROR(VLOOKUP($D1034,'WB Data 2'!$C$2:$K$545,9,FALSE),"..")</f>
        <v>..</v>
      </c>
      <c r="BT1034" s="129">
        <f>_xlfn.IFNA(VLOOKUP($C1034,RGI!$A$2:$C$43,2,FALSE),"..")</f>
        <v>60.5</v>
      </c>
      <c r="BU1034" s="129">
        <f>_xlfn.IFNA(VLOOKUP($C1034,RGI!$A$2:$C$43,3,FALSE),"..")</f>
        <v>61.600874881317473</v>
      </c>
      <c r="BV1034" s="129">
        <f>VLOOKUP($D1034,WGI!$C$2:$O$478,7,FALSE)</f>
        <v>-0.36000126064831101</v>
      </c>
      <c r="BW1034" s="129">
        <f>VLOOKUP($D1034,WGI!$C$2:$O$478,4,FALSE)</f>
        <v>-0.47485979537934597</v>
      </c>
      <c r="BX1034" s="129">
        <f>VLOOKUP($D1034,WGI!$C$2:$O$478,3,FALSE)</f>
        <v>-1.1795661163166</v>
      </c>
      <c r="BY1034" s="129">
        <f>VLOOKUP($D1034,WGI!$C$2:$O$478,5,FALSE)</f>
        <v>-1.05284207395271</v>
      </c>
      <c r="BZ1034" s="129">
        <f>VLOOKUP($D1034,WGI!$C$2:$O$478,2,FALSE)</f>
        <v>-0.57292022809860899</v>
      </c>
    </row>
    <row r="1035" spans="1:80" ht="15" customHeight="1">
      <c r="A1035" s="280" t="s">
        <v>313</v>
      </c>
      <c r="B1035" s="117">
        <v>2012</v>
      </c>
      <c r="C1035" s="117" t="s">
        <v>301</v>
      </c>
      <c r="D1035" s="117" t="s">
        <v>3738</v>
      </c>
      <c r="E1035" s="117" t="s">
        <v>86</v>
      </c>
      <c r="F1035" s="117"/>
      <c r="G1035" s="117" t="s">
        <v>103</v>
      </c>
      <c r="H1035" s="117" t="str">
        <f t="shared" si="171"/>
        <v>no</v>
      </c>
      <c r="I1035" s="117" t="str">
        <f t="shared" si="168"/>
        <v>no</v>
      </c>
      <c r="J1035" s="117" t="str">
        <f t="shared" si="169"/>
        <v>yes</v>
      </c>
      <c r="K1035" s="117" t="s">
        <v>103</v>
      </c>
      <c r="L1035" s="117" t="str">
        <f t="shared" si="172"/>
        <v>detailed</v>
      </c>
      <c r="M1035" s="117" t="str">
        <f t="shared" si="170"/>
        <v>detailed Oil</v>
      </c>
      <c r="N1035" s="118">
        <v>0</v>
      </c>
      <c r="O1035" s="118"/>
      <c r="P1035" s="118"/>
      <c r="Q1035" s="118"/>
      <c r="R1035" s="118"/>
      <c r="S1035" s="117" t="s">
        <v>646</v>
      </c>
      <c r="T1035" s="119"/>
      <c r="U1035" s="117"/>
      <c r="V1035" s="117" t="s">
        <v>647</v>
      </c>
      <c r="W1035" s="89">
        <f>N1035*T1035</f>
        <v>0</v>
      </c>
      <c r="X1035" s="117"/>
      <c r="Y1035" s="117"/>
      <c r="Z1035" s="117"/>
      <c r="AA1035" s="89">
        <v>14071894</v>
      </c>
      <c r="AB1035" s="89">
        <v>14089915</v>
      </c>
      <c r="AC1035" s="240"/>
      <c r="AD1035" s="240"/>
      <c r="AE1035" s="240"/>
      <c r="AF1035" s="241"/>
      <c r="AG1035" s="117"/>
      <c r="AH1035" s="124"/>
      <c r="AI1035" s="117"/>
      <c r="AJ1035" s="117"/>
      <c r="AK1035" s="89"/>
      <c r="AL1035" s="117"/>
      <c r="AM1035" s="117"/>
      <c r="AN1035" s="117">
        <v>6</v>
      </c>
      <c r="AO1035" s="117" t="s">
        <v>1651</v>
      </c>
      <c r="AP1035" s="117">
        <v>5</v>
      </c>
      <c r="AQ1035" s="117"/>
      <c r="AR1035" s="117"/>
      <c r="AS1035" s="117"/>
      <c r="AT1035" s="117"/>
      <c r="AU1035" s="117">
        <v>58</v>
      </c>
      <c r="AV1035" s="128"/>
      <c r="AW1035" s="117">
        <f>VLOOKUP($D1035,'WB Data'!$C$3:$M$578,2,FALSE)</f>
        <v>1733828404.7414153</v>
      </c>
      <c r="AX1035" s="117">
        <f>VLOOKUP($D1035,'WB Data'!$C$3:$M$578,3,FALSE)</f>
        <v>4190435</v>
      </c>
      <c r="AY1035" s="847">
        <f t="shared" si="175"/>
        <v>6.3528003520294946E-2</v>
      </c>
      <c r="AZ1035" s="117">
        <f>VLOOKUP($D1035,'WB Data'!$C$3:$M$578,4,FALSE)/100</f>
        <v>0.2483990315581153</v>
      </c>
      <c r="BA1035" s="117">
        <f t="shared" si="176"/>
        <v>430681296.62571949</v>
      </c>
      <c r="BB1035" s="129">
        <f>IFERROR(VLOOKUP($D1035,'EITI Revenues'!$C$2:$G$224,5,FALSE),"..")</f>
        <v>110146657</v>
      </c>
      <c r="BC1035" s="846">
        <f t="shared" si="177"/>
        <v>0.25574980353911714</v>
      </c>
      <c r="BD1035" s="129" t="str">
        <f>VLOOKUP($D1035,'WB Data 2'!$C$2:$K$545,6,FALSE)</f>
        <v>..</v>
      </c>
      <c r="BE1035" s="129">
        <f>IFERROR(VLOOKUP($D1035,UNCTAD!$C$5:$V$529,4,FALSE),"..")</f>
        <v>1288543802</v>
      </c>
      <c r="BF1035" s="846" t="str">
        <f t="shared" si="178"/>
        <v>..</v>
      </c>
      <c r="BG1035" s="117">
        <f>VLOOKUP($D1035,'WB Data'!$C$3:$M$578,5,FALSE)</f>
        <v>570970000</v>
      </c>
      <c r="BH1035" s="129">
        <f>IFERROR($BB1035/$BG1035,"..")</f>
        <v>0.19291146119761107</v>
      </c>
      <c r="BI1035" s="117">
        <f>IFERROR(VLOOKUP($D1035,'WB Data'!$C$3:$M$578,7,FALSE)/100,"..")</f>
        <v>2.82069E-2</v>
      </c>
      <c r="BJ1035" s="117">
        <f>IFERROR($BI1035*$AW1035,"..")</f>
        <v>48905924.429700628</v>
      </c>
      <c r="BK1035" s="846">
        <f>IFERROR($BB1035/$BJ1035,"..")</f>
        <v>2.2522150083949297</v>
      </c>
      <c r="BL1035" s="117">
        <f>IFERROR(VLOOKUP($D1035,'WB Data'!$C$3:$M$578,7,FALSE)/100,"..")</f>
        <v>2.82069E-2</v>
      </c>
      <c r="BM1035" s="117">
        <f>IFERROR($AW1035*$BL1035,"..")</f>
        <v>48905924.429700628</v>
      </c>
      <c r="BN1035" s="846">
        <f>IFERROR($BB1035/$BM1035,"..")</f>
        <v>2.2522150083949297</v>
      </c>
      <c r="BO1035" s="801">
        <f t="shared" si="174"/>
        <v>37</v>
      </c>
      <c r="BP1035" s="117" t="str">
        <f>VLOOKUP($D1035,'WB Data'!$C$3:$M$578,9,FALSE)</f>
        <v>..</v>
      </c>
      <c r="BQ1035" s="117">
        <f>VLOOKUP($D1035,'WB Data'!$C$3:$M$578,10,FALSE)</f>
        <v>60.206390243902447</v>
      </c>
      <c r="BR1035" s="117">
        <f>VLOOKUP($D1035,'WB Data'!$C$3:$M$578,11,FALSE)</f>
        <v>55.6</v>
      </c>
      <c r="BS1035" s="129" t="str">
        <f>IFERROR(VLOOKUP($D1035,'WB Data 2'!$C$2:$K$545,9,FALSE),"..")</f>
        <v>..</v>
      </c>
      <c r="BT1035" s="129">
        <f>_xlfn.IFNA(VLOOKUP($C1035,RGI!$A$2:$C$43,2,FALSE),"..")</f>
        <v>60.5</v>
      </c>
      <c r="BU1035" s="129">
        <f>_xlfn.IFNA(VLOOKUP($C1035,RGI!$A$2:$C$43,3,FALSE),"..")</f>
        <v>61.600874881317473</v>
      </c>
      <c r="BV1035" s="129">
        <f>VLOOKUP($D1035,WGI!$C$2:$O$478,7,FALSE)</f>
        <v>-0.36000126064831101</v>
      </c>
      <c r="BW1035" s="129">
        <f>VLOOKUP($D1035,WGI!$C$2:$O$478,4,FALSE)</f>
        <v>-0.47485979537934597</v>
      </c>
      <c r="BX1035" s="129">
        <f>VLOOKUP($D1035,WGI!$C$2:$O$478,3,FALSE)</f>
        <v>-1.1795661163166</v>
      </c>
      <c r="BY1035" s="129">
        <f>VLOOKUP($D1035,WGI!$C$2:$O$478,5,FALSE)</f>
        <v>-1.05284207395271</v>
      </c>
      <c r="BZ1035" s="129">
        <f>VLOOKUP($D1035,WGI!$C$2:$O$478,2,FALSE)</f>
        <v>-0.57292022809860899</v>
      </c>
    </row>
    <row r="1036" spans="1:80" ht="15" customHeight="1">
      <c r="A1036" s="280" t="s">
        <v>313</v>
      </c>
      <c r="B1036" s="117">
        <v>2012</v>
      </c>
      <c r="C1036" s="117" t="s">
        <v>301</v>
      </c>
      <c r="D1036" s="117" t="s">
        <v>3738</v>
      </c>
      <c r="E1036" s="117" t="s">
        <v>86</v>
      </c>
      <c r="F1036" s="117"/>
      <c r="G1036" s="117" t="s">
        <v>24</v>
      </c>
      <c r="H1036" s="117" t="str">
        <f t="shared" si="171"/>
        <v>yes</v>
      </c>
      <c r="I1036" s="117" t="str">
        <f t="shared" si="168"/>
        <v>no</v>
      </c>
      <c r="J1036" s="117" t="str">
        <f t="shared" si="169"/>
        <v>no</v>
      </c>
      <c r="K1036" s="117" t="s">
        <v>600</v>
      </c>
      <c r="L1036" s="117" t="str">
        <f t="shared" si="172"/>
        <v>Total</v>
      </c>
      <c r="M1036" s="117" t="str">
        <f t="shared" si="170"/>
        <v>Total Mining</v>
      </c>
      <c r="N1036" s="118"/>
      <c r="O1036" s="118"/>
      <c r="P1036" s="118"/>
      <c r="Q1036" s="118"/>
      <c r="R1036" s="118"/>
      <c r="S1036" s="117"/>
      <c r="T1036" s="119"/>
      <c r="U1036" s="117"/>
      <c r="V1036" s="117"/>
      <c r="W1036" s="89">
        <f>SUM(W1037:W1042)</f>
        <v>386039338.55077028</v>
      </c>
      <c r="X1036" s="117"/>
      <c r="Y1036" s="117"/>
      <c r="Z1036" s="117"/>
      <c r="AA1036" s="89">
        <v>56961469</v>
      </c>
      <c r="AB1036" s="89">
        <v>53429371</v>
      </c>
      <c r="AC1036" s="240"/>
      <c r="AD1036" s="240"/>
      <c r="AE1036" s="240"/>
      <c r="AF1036" s="241">
        <f>AA1036/W1036</f>
        <v>0.14755353486470826</v>
      </c>
      <c r="AG1036" s="117"/>
      <c r="AH1036" s="124"/>
      <c r="AI1036" s="117"/>
      <c r="AJ1036" s="117"/>
      <c r="AK1036" s="89"/>
      <c r="AL1036" s="117"/>
      <c r="AM1036" s="117"/>
      <c r="AN1036" s="117">
        <v>102</v>
      </c>
      <c r="AO1036" s="117" t="s">
        <v>1652</v>
      </c>
      <c r="AP1036" s="117">
        <v>51</v>
      </c>
      <c r="AQ1036" s="117"/>
      <c r="AR1036" s="117"/>
      <c r="AS1036" s="117"/>
      <c r="AT1036" s="117"/>
      <c r="AU1036" s="117">
        <v>58</v>
      </c>
      <c r="AV1036" s="128"/>
      <c r="AW1036" s="117">
        <f>VLOOKUP($D1036,'WB Data'!$C$3:$M$578,2,FALSE)</f>
        <v>1733828404.7414153</v>
      </c>
      <c r="AX1036" s="117">
        <f>VLOOKUP($D1036,'WB Data'!$C$3:$M$578,3,FALSE)</f>
        <v>4190435</v>
      </c>
      <c r="AY1036" s="847">
        <f t="shared" si="175"/>
        <v>6.3528003520294946E-2</v>
      </c>
      <c r="AZ1036" s="117">
        <f>VLOOKUP($D1036,'WB Data'!$C$3:$M$578,4,FALSE)/100</f>
        <v>0.2483990315581153</v>
      </c>
      <c r="BA1036" s="117">
        <f t="shared" si="176"/>
        <v>430681296.62571949</v>
      </c>
      <c r="BB1036" s="129">
        <f>IFERROR(VLOOKUP($D1036,'EITI Revenues'!$C$2:$G$224,5,FALSE),"..")</f>
        <v>110146657</v>
      </c>
      <c r="BC1036" s="846">
        <f t="shared" si="177"/>
        <v>0.25574980353911714</v>
      </c>
      <c r="BD1036" s="129" t="str">
        <f>VLOOKUP($D1036,'WB Data 2'!$C$2:$K$545,6,FALSE)</f>
        <v>..</v>
      </c>
      <c r="BE1036" s="129">
        <f>IFERROR(VLOOKUP($D1036,UNCTAD!$C$5:$V$529,4,FALSE),"..")</f>
        <v>1288543802</v>
      </c>
      <c r="BF1036" s="846" t="str">
        <f t="shared" si="178"/>
        <v>..</v>
      </c>
      <c r="BG1036" s="117">
        <f>VLOOKUP($D1036,'WB Data'!$C$3:$M$578,5,FALSE)</f>
        <v>570970000</v>
      </c>
      <c r="BH1036" s="129">
        <f>IFERROR($BB1036/$BG1036,"..")</f>
        <v>0.19291146119761107</v>
      </c>
      <c r="BI1036" s="117">
        <f>IFERROR(VLOOKUP($D1036,'WB Data'!$C$3:$M$578,7,FALSE)/100,"..")</f>
        <v>2.82069E-2</v>
      </c>
      <c r="BJ1036" s="117">
        <f>IFERROR($BI1036*$AW1036,"..")</f>
        <v>48905924.429700628</v>
      </c>
      <c r="BK1036" s="846">
        <f>IFERROR($BB1036/$BJ1036,"..")</f>
        <v>2.2522150083949297</v>
      </c>
      <c r="BL1036" s="117">
        <f>IFERROR(VLOOKUP($D1036,'WB Data'!$C$3:$M$578,7,FALSE)/100,"..")</f>
        <v>2.82069E-2</v>
      </c>
      <c r="BM1036" s="117">
        <f>IFERROR($AW1036*$BL1036,"..")</f>
        <v>48905924.429700628</v>
      </c>
      <c r="BN1036" s="846">
        <f>IFERROR($BB1036/$BM1036,"..")</f>
        <v>2.2522150083949297</v>
      </c>
      <c r="BO1036" s="801">
        <f t="shared" si="174"/>
        <v>37</v>
      </c>
      <c r="BP1036" s="117" t="str">
        <f>VLOOKUP($D1036,'WB Data'!$C$3:$M$578,9,FALSE)</f>
        <v>..</v>
      </c>
      <c r="BQ1036" s="117">
        <f>VLOOKUP($D1036,'WB Data'!$C$3:$M$578,10,FALSE)</f>
        <v>60.206390243902447</v>
      </c>
      <c r="BR1036" s="117">
        <f>VLOOKUP($D1036,'WB Data'!$C$3:$M$578,11,FALSE)</f>
        <v>55.6</v>
      </c>
      <c r="BS1036" s="129" t="str">
        <f>IFERROR(VLOOKUP($D1036,'WB Data 2'!$C$2:$K$545,9,FALSE),"..")</f>
        <v>..</v>
      </c>
      <c r="BT1036" s="129">
        <f>_xlfn.IFNA(VLOOKUP($C1036,RGI!$A$2:$C$43,2,FALSE),"..")</f>
        <v>60.5</v>
      </c>
      <c r="BU1036" s="129">
        <f>_xlfn.IFNA(VLOOKUP($C1036,RGI!$A$2:$C$43,3,FALSE),"..")</f>
        <v>61.600874881317473</v>
      </c>
      <c r="BV1036" s="129">
        <f>VLOOKUP($D1036,WGI!$C$2:$O$478,7,FALSE)</f>
        <v>-0.36000126064831101</v>
      </c>
      <c r="BW1036" s="129">
        <f>VLOOKUP($D1036,WGI!$C$2:$O$478,4,FALSE)</f>
        <v>-0.47485979537934597</v>
      </c>
      <c r="BX1036" s="129">
        <f>VLOOKUP($D1036,WGI!$C$2:$O$478,3,FALSE)</f>
        <v>-1.1795661163166</v>
      </c>
      <c r="BY1036" s="129">
        <f>VLOOKUP($D1036,WGI!$C$2:$O$478,5,FALSE)</f>
        <v>-1.05284207395271</v>
      </c>
      <c r="BZ1036" s="129">
        <f>VLOOKUP($D1036,WGI!$C$2:$O$478,2,FALSE)</f>
        <v>-0.57292022809860899</v>
      </c>
    </row>
    <row r="1037" spans="1:80" ht="15" customHeight="1">
      <c r="A1037" s="280" t="s">
        <v>313</v>
      </c>
      <c r="B1037" s="117">
        <v>2012</v>
      </c>
      <c r="C1037" s="117" t="s">
        <v>301</v>
      </c>
      <c r="D1037" s="117" t="s">
        <v>3738</v>
      </c>
      <c r="E1037" s="117" t="s">
        <v>86</v>
      </c>
      <c r="F1037" s="117"/>
      <c r="G1037" s="117" t="s">
        <v>24</v>
      </c>
      <c r="H1037" s="117" t="str">
        <f t="shared" si="171"/>
        <v>yes</v>
      </c>
      <c r="I1037" s="117" t="str">
        <f t="shared" si="168"/>
        <v>no</v>
      </c>
      <c r="J1037" s="117" t="str">
        <f t="shared" si="169"/>
        <v>no</v>
      </c>
      <c r="K1037" s="117" t="s">
        <v>609</v>
      </c>
      <c r="L1037" s="117" t="str">
        <f t="shared" si="172"/>
        <v>detailed</v>
      </c>
      <c r="M1037" s="117" t="str">
        <f t="shared" si="170"/>
        <v>detailed Mining</v>
      </c>
      <c r="N1037" s="118">
        <f>((80594/365)*184)+((108840/365)*181)</f>
        <v>94600.920547945192</v>
      </c>
      <c r="O1037" s="118"/>
      <c r="P1037" s="118"/>
      <c r="Q1037" s="118"/>
      <c r="R1037" s="118"/>
      <c r="S1037" s="117" t="s">
        <v>610</v>
      </c>
      <c r="T1037" s="119">
        <f>((89.5/365)*184)+((89.5/365)*181)</f>
        <v>89.5</v>
      </c>
      <c r="U1037" s="117" t="s">
        <v>611</v>
      </c>
      <c r="V1037" s="117" t="s">
        <v>1619</v>
      </c>
      <c r="W1037" s="89">
        <f t="shared" ref="W1037:W1042" si="179">N1037*T1037</f>
        <v>8466782.3890410941</v>
      </c>
      <c r="X1037" s="117"/>
      <c r="Y1037" s="117"/>
      <c r="Z1037" s="117"/>
      <c r="AA1037" s="89"/>
      <c r="AB1037" s="89"/>
      <c r="AC1037" s="240"/>
      <c r="AD1037" s="240"/>
      <c r="AE1037" s="240"/>
      <c r="AF1037" s="241"/>
      <c r="AG1037" s="117"/>
      <c r="AH1037" s="124"/>
      <c r="AI1037" s="117"/>
      <c r="AJ1037" s="117"/>
      <c r="AK1037" s="89"/>
      <c r="AL1037" s="117"/>
      <c r="AM1037" s="120"/>
      <c r="AN1037" s="120"/>
      <c r="AO1037" s="117"/>
      <c r="AP1037" s="117"/>
      <c r="AQ1037" s="117"/>
      <c r="AR1037" s="117"/>
      <c r="AS1037" s="117"/>
      <c r="AT1037" s="117"/>
      <c r="AU1037" s="117"/>
      <c r="AV1037" s="128"/>
      <c r="AW1037" s="117">
        <f>VLOOKUP($D1037,'WB Data'!$C$3:$M$578,2,FALSE)</f>
        <v>1733828404.7414153</v>
      </c>
      <c r="AX1037" s="117">
        <f>VLOOKUP($D1037,'WB Data'!$C$3:$M$578,3,FALSE)</f>
        <v>4190435</v>
      </c>
      <c r="AY1037" s="847">
        <f t="shared" si="175"/>
        <v>6.3528003520294946E-2</v>
      </c>
      <c r="AZ1037" s="117">
        <f>VLOOKUP($D1037,'WB Data'!$C$3:$M$578,4,FALSE)/100</f>
        <v>0.2483990315581153</v>
      </c>
      <c r="BA1037" s="117">
        <f t="shared" si="176"/>
        <v>430681296.62571949</v>
      </c>
      <c r="BB1037" s="129">
        <f>IFERROR(VLOOKUP($D1037,'EITI Revenues'!$C$2:$G$224,5,FALSE),"..")</f>
        <v>110146657</v>
      </c>
      <c r="BC1037" s="846">
        <f t="shared" si="177"/>
        <v>0.25574980353911714</v>
      </c>
      <c r="BD1037" s="129" t="str">
        <f>VLOOKUP($D1037,'WB Data 2'!$C$2:$K$545,6,FALSE)</f>
        <v>..</v>
      </c>
      <c r="BE1037" s="129">
        <f>IFERROR(VLOOKUP($D1037,UNCTAD!$C$5:$V$529,4,FALSE),"..")</f>
        <v>1288543802</v>
      </c>
      <c r="BF1037" s="846" t="str">
        <f t="shared" si="178"/>
        <v>..</v>
      </c>
      <c r="BG1037" s="117">
        <f>VLOOKUP($D1037,'WB Data'!$C$3:$M$578,5,FALSE)</f>
        <v>570970000</v>
      </c>
      <c r="BH1037" s="129">
        <f>IFERROR($BB1037/$BG1037,"..")</f>
        <v>0.19291146119761107</v>
      </c>
      <c r="BI1037" s="117">
        <f>IFERROR(VLOOKUP($D1037,'WB Data'!$C$3:$M$578,7,FALSE)/100,"..")</f>
        <v>2.82069E-2</v>
      </c>
      <c r="BJ1037" s="117">
        <f>IFERROR($BI1037*$AW1037,"..")</f>
        <v>48905924.429700628</v>
      </c>
      <c r="BK1037" s="846">
        <f>IFERROR($BB1037/$BJ1037,"..")</f>
        <v>2.2522150083949297</v>
      </c>
      <c r="BL1037" s="117">
        <f>IFERROR(VLOOKUP($D1037,'WB Data'!$C$3:$M$578,7,FALSE)/100,"..")</f>
        <v>2.82069E-2</v>
      </c>
      <c r="BM1037" s="117">
        <f>IFERROR($AW1037*$BL1037,"..")</f>
        <v>48905924.429700628</v>
      </c>
      <c r="BN1037" s="846">
        <f>IFERROR($BB1037/$BM1037,"..")</f>
        <v>2.2522150083949297</v>
      </c>
      <c r="BO1037" s="801">
        <f t="shared" si="174"/>
        <v>37</v>
      </c>
      <c r="BP1037" s="117" t="str">
        <f>VLOOKUP($D1037,'WB Data'!$C$3:$M$578,9,FALSE)</f>
        <v>..</v>
      </c>
      <c r="BQ1037" s="117">
        <f>VLOOKUP($D1037,'WB Data'!$C$3:$M$578,10,FALSE)</f>
        <v>60.206390243902447</v>
      </c>
      <c r="BR1037" s="117">
        <f>VLOOKUP($D1037,'WB Data'!$C$3:$M$578,11,FALSE)</f>
        <v>55.6</v>
      </c>
      <c r="BS1037" s="129" t="str">
        <f>IFERROR(VLOOKUP($D1037,'WB Data 2'!$C$2:$K$545,9,FALSE),"..")</f>
        <v>..</v>
      </c>
      <c r="BT1037" s="129">
        <f>_xlfn.IFNA(VLOOKUP($C1037,RGI!$A$2:$C$43,2,FALSE),"..")</f>
        <v>60.5</v>
      </c>
      <c r="BU1037" s="129">
        <f>_xlfn.IFNA(VLOOKUP($C1037,RGI!$A$2:$C$43,3,FALSE),"..")</f>
        <v>61.600874881317473</v>
      </c>
      <c r="BV1037" s="129">
        <f>VLOOKUP($D1037,WGI!$C$2:$O$478,7,FALSE)</f>
        <v>-0.36000126064831101</v>
      </c>
      <c r="BW1037" s="129">
        <f>VLOOKUP($D1037,WGI!$C$2:$O$478,4,FALSE)</f>
        <v>-0.47485979537934597</v>
      </c>
      <c r="BX1037" s="129">
        <f>VLOOKUP($D1037,WGI!$C$2:$O$478,3,FALSE)</f>
        <v>-1.1795661163166</v>
      </c>
      <c r="BY1037" s="129">
        <f>VLOOKUP($D1037,WGI!$C$2:$O$478,5,FALSE)</f>
        <v>-1.05284207395271</v>
      </c>
      <c r="BZ1037" s="129">
        <f>VLOOKUP($D1037,WGI!$C$2:$O$478,2,FALSE)</f>
        <v>-0.57292022809860899</v>
      </c>
    </row>
    <row r="1038" spans="1:80" ht="15" customHeight="1">
      <c r="A1038" s="280" t="s">
        <v>313</v>
      </c>
      <c r="B1038" s="117">
        <v>2012</v>
      </c>
      <c r="C1038" s="117" t="s">
        <v>301</v>
      </c>
      <c r="D1038" s="117" t="s">
        <v>3738</v>
      </c>
      <c r="E1038" s="117" t="s">
        <v>86</v>
      </c>
      <c r="F1038" s="117"/>
      <c r="G1038" s="117" t="s">
        <v>24</v>
      </c>
      <c r="H1038" s="117" t="str">
        <f t="shared" si="171"/>
        <v>yes</v>
      </c>
      <c r="I1038" s="117" t="str">
        <f t="shared" si="168"/>
        <v>no</v>
      </c>
      <c r="J1038" s="117" t="str">
        <f t="shared" si="169"/>
        <v>no</v>
      </c>
      <c r="K1038" s="117" t="s">
        <v>980</v>
      </c>
      <c r="L1038" s="117" t="str">
        <f t="shared" si="172"/>
        <v>detailed</v>
      </c>
      <c r="M1038" s="117" t="str">
        <f t="shared" si="170"/>
        <v>detailed Mining</v>
      </c>
      <c r="N1038" s="118">
        <f>((41932/365)*184)+((34271/365)*181)</f>
        <v>38132.983561643836</v>
      </c>
      <c r="O1038" s="118"/>
      <c r="P1038" s="118"/>
      <c r="Q1038" s="118"/>
      <c r="R1038" s="118"/>
      <c r="S1038" s="117" t="s">
        <v>981</v>
      </c>
      <c r="T1038" s="119">
        <v>317.39999999999998</v>
      </c>
      <c r="U1038" s="117" t="s">
        <v>982</v>
      </c>
      <c r="V1038" s="117" t="s">
        <v>1653</v>
      </c>
      <c r="W1038" s="89">
        <f t="shared" si="179"/>
        <v>12103408.982465753</v>
      </c>
      <c r="X1038" s="117"/>
      <c r="Y1038" s="117"/>
      <c r="Z1038" s="117"/>
      <c r="AA1038" s="89"/>
      <c r="AB1038" s="89"/>
      <c r="AC1038" s="240"/>
      <c r="AD1038" s="240"/>
      <c r="AE1038" s="240"/>
      <c r="AF1038" s="241"/>
      <c r="AG1038" s="117"/>
      <c r="AH1038" s="124"/>
      <c r="AI1038" s="117"/>
      <c r="AJ1038" s="117"/>
      <c r="AK1038" s="89"/>
      <c r="AL1038" s="117"/>
      <c r="AM1038" s="120"/>
      <c r="AN1038" s="120"/>
      <c r="AO1038" s="117"/>
      <c r="AP1038" s="117"/>
      <c r="AQ1038" s="117"/>
      <c r="AR1038" s="117"/>
      <c r="AS1038" s="117"/>
      <c r="AT1038" s="117"/>
      <c r="AU1038" s="117"/>
      <c r="AV1038" s="128"/>
      <c r="AW1038" s="117">
        <f>VLOOKUP($D1038,'WB Data'!$C$3:$M$578,2,FALSE)</f>
        <v>1733828404.7414153</v>
      </c>
      <c r="AX1038" s="117">
        <f>VLOOKUP($D1038,'WB Data'!$C$3:$M$578,3,FALSE)</f>
        <v>4190435</v>
      </c>
      <c r="AY1038" s="847">
        <f t="shared" si="175"/>
        <v>6.3528003520294946E-2</v>
      </c>
      <c r="AZ1038" s="117">
        <f>VLOOKUP($D1038,'WB Data'!$C$3:$M$578,4,FALSE)/100</f>
        <v>0.2483990315581153</v>
      </c>
      <c r="BA1038" s="117">
        <f t="shared" si="176"/>
        <v>430681296.62571949</v>
      </c>
      <c r="BB1038" s="129">
        <f>IFERROR(VLOOKUP($D1038,'EITI Revenues'!$C$2:$G$224,5,FALSE),"..")</f>
        <v>110146657</v>
      </c>
      <c r="BC1038" s="846">
        <f t="shared" si="177"/>
        <v>0.25574980353911714</v>
      </c>
      <c r="BD1038" s="129" t="str">
        <f>VLOOKUP($D1038,'WB Data 2'!$C$2:$K$545,6,FALSE)</f>
        <v>..</v>
      </c>
      <c r="BE1038" s="129">
        <f>IFERROR(VLOOKUP($D1038,UNCTAD!$C$5:$V$529,4,FALSE),"..")</f>
        <v>1288543802</v>
      </c>
      <c r="BF1038" s="846" t="str">
        <f t="shared" si="178"/>
        <v>..</v>
      </c>
      <c r="BG1038" s="117">
        <f>VLOOKUP($D1038,'WB Data'!$C$3:$M$578,5,FALSE)</f>
        <v>570970000</v>
      </c>
      <c r="BH1038" s="129">
        <f>IFERROR($BB1038/$BG1038,"..")</f>
        <v>0.19291146119761107</v>
      </c>
      <c r="BI1038" s="117">
        <f>IFERROR(VLOOKUP($D1038,'WB Data'!$C$3:$M$578,7,FALSE)/100,"..")</f>
        <v>2.82069E-2</v>
      </c>
      <c r="BJ1038" s="117">
        <f>IFERROR($BI1038*$AW1038,"..")</f>
        <v>48905924.429700628</v>
      </c>
      <c r="BK1038" s="846">
        <f>IFERROR($BB1038/$BJ1038,"..")</f>
        <v>2.2522150083949297</v>
      </c>
      <c r="BL1038" s="117">
        <f>IFERROR(VLOOKUP($D1038,'WB Data'!$C$3:$M$578,7,FALSE)/100,"..")</f>
        <v>2.82069E-2</v>
      </c>
      <c r="BM1038" s="117">
        <f>IFERROR($AW1038*$BL1038,"..")</f>
        <v>48905924.429700628</v>
      </c>
      <c r="BN1038" s="846">
        <f>IFERROR($BB1038/$BM1038,"..")</f>
        <v>2.2522150083949297</v>
      </c>
      <c r="BO1038" s="801">
        <f t="shared" si="174"/>
        <v>37</v>
      </c>
      <c r="BP1038" s="117" t="str">
        <f>VLOOKUP($D1038,'WB Data'!$C$3:$M$578,9,FALSE)</f>
        <v>..</v>
      </c>
      <c r="BQ1038" s="117">
        <f>VLOOKUP($D1038,'WB Data'!$C$3:$M$578,10,FALSE)</f>
        <v>60.206390243902447</v>
      </c>
      <c r="BR1038" s="117">
        <f>VLOOKUP($D1038,'WB Data'!$C$3:$M$578,11,FALSE)</f>
        <v>55.6</v>
      </c>
      <c r="BS1038" s="129" t="str">
        <f>IFERROR(VLOOKUP($D1038,'WB Data 2'!$C$2:$K$545,9,FALSE),"..")</f>
        <v>..</v>
      </c>
      <c r="BT1038" s="129">
        <f>_xlfn.IFNA(VLOOKUP($C1038,RGI!$A$2:$C$43,2,FALSE),"..")</f>
        <v>60.5</v>
      </c>
      <c r="BU1038" s="129">
        <f>_xlfn.IFNA(VLOOKUP($C1038,RGI!$A$2:$C$43,3,FALSE),"..")</f>
        <v>61.600874881317473</v>
      </c>
      <c r="BV1038" s="129">
        <f>VLOOKUP($D1038,WGI!$C$2:$O$478,7,FALSE)</f>
        <v>-0.36000126064831101</v>
      </c>
      <c r="BW1038" s="129">
        <f>VLOOKUP($D1038,WGI!$C$2:$O$478,4,FALSE)</f>
        <v>-0.47485979537934597</v>
      </c>
      <c r="BX1038" s="129">
        <f>VLOOKUP($D1038,WGI!$C$2:$O$478,3,FALSE)</f>
        <v>-1.1795661163166</v>
      </c>
      <c r="BY1038" s="129">
        <f>VLOOKUP($D1038,WGI!$C$2:$O$478,5,FALSE)</f>
        <v>-1.05284207395271</v>
      </c>
      <c r="BZ1038" s="129">
        <f>VLOOKUP($D1038,WGI!$C$2:$O$478,2,FALSE)</f>
        <v>-0.57292022809860899</v>
      </c>
    </row>
    <row r="1039" spans="1:80" ht="15" customHeight="1">
      <c r="A1039" s="280" t="s">
        <v>313</v>
      </c>
      <c r="B1039" s="117">
        <v>2012</v>
      </c>
      <c r="C1039" s="117" t="s">
        <v>301</v>
      </c>
      <c r="D1039" s="117" t="s">
        <v>3738</v>
      </c>
      <c r="E1039" s="117" t="s">
        <v>86</v>
      </c>
      <c r="F1039" s="117"/>
      <c r="G1039" s="117" t="s">
        <v>24</v>
      </c>
      <c r="H1039" s="117" t="str">
        <f t="shared" si="171"/>
        <v>yes</v>
      </c>
      <c r="I1039" s="117" t="str">
        <f t="shared" si="168"/>
        <v>no</v>
      </c>
      <c r="J1039" s="117" t="str">
        <f t="shared" si="169"/>
        <v>no</v>
      </c>
      <c r="K1039" s="117" t="s">
        <v>784</v>
      </c>
      <c r="L1039" s="117" t="str">
        <f t="shared" si="172"/>
        <v>detailed</v>
      </c>
      <c r="M1039" s="117" t="str">
        <f t="shared" si="170"/>
        <v>detailed Mining</v>
      </c>
      <c r="N1039" s="118">
        <f>(((448/365)*184)+((641/365)*181))*32.150743126506</f>
        <v>17480.579248450675</v>
      </c>
      <c r="O1039" s="118"/>
      <c r="P1039" s="118"/>
      <c r="Q1039" s="118"/>
      <c r="R1039" s="118"/>
      <c r="S1039" s="117" t="s">
        <v>785</v>
      </c>
      <c r="T1039" s="119">
        <f>1278.29/0.911458333</f>
        <v>1402.4667433700449</v>
      </c>
      <c r="U1039" s="117" t="s">
        <v>786</v>
      </c>
      <c r="V1039" s="117" t="s">
        <v>1654</v>
      </c>
      <c r="W1039" s="89">
        <f t="shared" si="179"/>
        <v>24515931.050796606</v>
      </c>
      <c r="X1039" s="119"/>
      <c r="Y1039" s="117"/>
      <c r="Z1039" s="117"/>
      <c r="AA1039" s="89"/>
      <c r="AB1039" s="89"/>
      <c r="AC1039" s="240"/>
      <c r="AD1039" s="240"/>
      <c r="AE1039" s="240"/>
      <c r="AF1039" s="241"/>
      <c r="AG1039" s="117"/>
      <c r="AH1039" s="124"/>
      <c r="AI1039" s="117"/>
      <c r="AJ1039" s="117"/>
      <c r="AK1039" s="89"/>
      <c r="AL1039" s="117"/>
      <c r="AM1039" s="120"/>
      <c r="AN1039" s="120"/>
      <c r="AO1039" s="117"/>
      <c r="AP1039" s="117"/>
      <c r="AQ1039" s="117"/>
      <c r="AR1039" s="117"/>
      <c r="AS1039" s="117"/>
      <c r="AT1039" s="117"/>
      <c r="AU1039" s="117"/>
      <c r="AV1039" s="128"/>
      <c r="AW1039" s="117">
        <f>VLOOKUP($D1039,'WB Data'!$C$3:$M$578,2,FALSE)</f>
        <v>1733828404.7414153</v>
      </c>
      <c r="AX1039" s="117">
        <f>VLOOKUP($D1039,'WB Data'!$C$3:$M$578,3,FALSE)</f>
        <v>4190435</v>
      </c>
      <c r="AY1039" s="847">
        <f t="shared" si="175"/>
        <v>6.3528003520294946E-2</v>
      </c>
      <c r="AZ1039" s="117">
        <f>VLOOKUP($D1039,'WB Data'!$C$3:$M$578,4,FALSE)/100</f>
        <v>0.2483990315581153</v>
      </c>
      <c r="BA1039" s="117">
        <f t="shared" si="176"/>
        <v>430681296.62571949</v>
      </c>
      <c r="BB1039" s="129">
        <f>IFERROR(VLOOKUP($D1039,'EITI Revenues'!$C$2:$G$224,5,FALSE),"..")</f>
        <v>110146657</v>
      </c>
      <c r="BC1039" s="846">
        <f t="shared" si="177"/>
        <v>0.25574980353911714</v>
      </c>
      <c r="BD1039" s="129" t="str">
        <f>VLOOKUP($D1039,'WB Data 2'!$C$2:$K$545,6,FALSE)</f>
        <v>..</v>
      </c>
      <c r="BE1039" s="129">
        <f>IFERROR(VLOOKUP($D1039,UNCTAD!$C$5:$V$529,4,FALSE),"..")</f>
        <v>1288543802</v>
      </c>
      <c r="BF1039" s="846" t="str">
        <f t="shared" si="178"/>
        <v>..</v>
      </c>
      <c r="BG1039" s="117">
        <f>VLOOKUP($D1039,'WB Data'!$C$3:$M$578,5,FALSE)</f>
        <v>570970000</v>
      </c>
      <c r="BH1039" s="129">
        <f>IFERROR($BB1039/$BG1039,"..")</f>
        <v>0.19291146119761107</v>
      </c>
      <c r="BI1039" s="117">
        <f>IFERROR(VLOOKUP($D1039,'WB Data'!$C$3:$M$578,7,FALSE)/100,"..")</f>
        <v>2.82069E-2</v>
      </c>
      <c r="BJ1039" s="117">
        <f>IFERROR($BI1039*$AW1039,"..")</f>
        <v>48905924.429700628</v>
      </c>
      <c r="BK1039" s="846">
        <f>IFERROR($BB1039/$BJ1039,"..")</f>
        <v>2.2522150083949297</v>
      </c>
      <c r="BL1039" s="117">
        <f>IFERROR(VLOOKUP($D1039,'WB Data'!$C$3:$M$578,7,FALSE)/100,"..")</f>
        <v>2.82069E-2</v>
      </c>
      <c r="BM1039" s="117">
        <f>IFERROR($AW1039*$BL1039,"..")</f>
        <v>48905924.429700628</v>
      </c>
      <c r="BN1039" s="846">
        <f>IFERROR($BB1039/$BM1039,"..")</f>
        <v>2.2522150083949297</v>
      </c>
      <c r="BO1039" s="801">
        <f t="shared" si="174"/>
        <v>37</v>
      </c>
      <c r="BP1039" s="117" t="str">
        <f>VLOOKUP($D1039,'WB Data'!$C$3:$M$578,9,FALSE)</f>
        <v>..</v>
      </c>
      <c r="BQ1039" s="117">
        <f>VLOOKUP($D1039,'WB Data'!$C$3:$M$578,10,FALSE)</f>
        <v>60.206390243902447</v>
      </c>
      <c r="BR1039" s="117">
        <f>VLOOKUP($D1039,'WB Data'!$C$3:$M$578,11,FALSE)</f>
        <v>55.6</v>
      </c>
      <c r="BS1039" s="129" t="str">
        <f>IFERROR(VLOOKUP($D1039,'WB Data 2'!$C$2:$K$545,9,FALSE),"..")</f>
        <v>..</v>
      </c>
      <c r="BT1039" s="129">
        <f>_xlfn.IFNA(VLOOKUP($C1039,RGI!$A$2:$C$43,2,FALSE),"..")</f>
        <v>60.5</v>
      </c>
      <c r="BU1039" s="129">
        <f>_xlfn.IFNA(VLOOKUP($C1039,RGI!$A$2:$C$43,3,FALSE),"..")</f>
        <v>61.600874881317473</v>
      </c>
      <c r="BV1039" s="129">
        <f>VLOOKUP($D1039,WGI!$C$2:$O$478,7,FALSE)</f>
        <v>-0.36000126064831101</v>
      </c>
      <c r="BW1039" s="129">
        <f>VLOOKUP($D1039,WGI!$C$2:$O$478,4,FALSE)</f>
        <v>-0.47485979537934597</v>
      </c>
      <c r="BX1039" s="129">
        <f>VLOOKUP($D1039,WGI!$C$2:$O$478,3,FALSE)</f>
        <v>-1.1795661163166</v>
      </c>
      <c r="BY1039" s="129">
        <f>VLOOKUP($D1039,WGI!$C$2:$O$478,5,FALSE)</f>
        <v>-1.05284207395271</v>
      </c>
      <c r="BZ1039" s="129">
        <f>VLOOKUP($D1039,WGI!$C$2:$O$478,2,FALSE)</f>
        <v>-0.57292022809860899</v>
      </c>
    </row>
    <row r="1040" spans="1:80" ht="15" customHeight="1">
      <c r="A1040" s="280" t="s">
        <v>313</v>
      </c>
      <c r="B1040" s="117">
        <v>2012</v>
      </c>
      <c r="C1040" s="117" t="s">
        <v>301</v>
      </c>
      <c r="D1040" s="117" t="s">
        <v>3738</v>
      </c>
      <c r="E1040" s="117" t="s">
        <v>86</v>
      </c>
      <c r="F1040" s="117"/>
      <c r="G1040" s="117" t="s">
        <v>24</v>
      </c>
      <c r="H1040" s="117" t="str">
        <f t="shared" si="171"/>
        <v>yes</v>
      </c>
      <c r="I1040" s="117" t="str">
        <f t="shared" si="168"/>
        <v>no</v>
      </c>
      <c r="J1040" s="117" t="str">
        <f t="shared" si="169"/>
        <v>no</v>
      </c>
      <c r="K1040" s="117" t="s">
        <v>1228</v>
      </c>
      <c r="L1040" s="117" t="str">
        <f t="shared" si="172"/>
        <v>detailed</v>
      </c>
      <c r="M1040" s="117" t="str">
        <f t="shared" si="170"/>
        <v>detailed Mining</v>
      </c>
      <c r="N1040" s="118">
        <f>((1300000/365)*184)+((3300000/365)*181)</f>
        <v>2291780.8219178086</v>
      </c>
      <c r="O1040" s="118"/>
      <c r="P1040" s="118"/>
      <c r="Q1040" s="118"/>
      <c r="R1040" s="118"/>
      <c r="S1040" s="117" t="s">
        <v>610</v>
      </c>
      <c r="T1040" s="119">
        <f>((167.75/365)*184)+((128.5/365)*181)</f>
        <v>148.286301369863</v>
      </c>
      <c r="U1040" s="117" t="s">
        <v>611</v>
      </c>
      <c r="V1040" s="117" t="s">
        <v>1655</v>
      </c>
      <c r="W1040" s="89">
        <f t="shared" si="179"/>
        <v>339839701.63257647</v>
      </c>
      <c r="X1040" s="117"/>
      <c r="Y1040" s="117"/>
      <c r="Z1040" s="117"/>
      <c r="AA1040" s="89"/>
      <c r="AB1040" s="89"/>
      <c r="AC1040" s="240"/>
      <c r="AD1040" s="240"/>
      <c r="AE1040" s="240"/>
      <c r="AF1040" s="241"/>
      <c r="AG1040" s="117"/>
      <c r="AH1040" s="124"/>
      <c r="AI1040" s="117"/>
      <c r="AJ1040" s="117"/>
      <c r="AK1040" s="89"/>
      <c r="AL1040" s="117"/>
      <c r="AM1040" s="120"/>
      <c r="AN1040" s="120"/>
      <c r="AO1040" s="117"/>
      <c r="AP1040" s="117"/>
      <c r="AQ1040" s="117"/>
      <c r="AR1040" s="117"/>
      <c r="AS1040" s="117"/>
      <c r="AT1040" s="117"/>
      <c r="AU1040" s="117"/>
      <c r="AV1040" s="128"/>
      <c r="AW1040" s="117">
        <f>VLOOKUP($D1040,'WB Data'!$C$3:$M$578,2,FALSE)</f>
        <v>1733828404.7414153</v>
      </c>
      <c r="AX1040" s="117">
        <f>VLOOKUP($D1040,'WB Data'!$C$3:$M$578,3,FALSE)</f>
        <v>4190435</v>
      </c>
      <c r="AY1040" s="847">
        <f t="shared" si="175"/>
        <v>6.3528003520294946E-2</v>
      </c>
      <c r="AZ1040" s="117">
        <f>VLOOKUP($D1040,'WB Data'!$C$3:$M$578,4,FALSE)/100</f>
        <v>0.2483990315581153</v>
      </c>
      <c r="BA1040" s="117">
        <f t="shared" si="176"/>
        <v>430681296.62571949</v>
      </c>
      <c r="BB1040" s="129">
        <f>IFERROR(VLOOKUP($D1040,'EITI Revenues'!$C$2:$G$224,5,FALSE),"..")</f>
        <v>110146657</v>
      </c>
      <c r="BC1040" s="846">
        <f t="shared" si="177"/>
        <v>0.25574980353911714</v>
      </c>
      <c r="BD1040" s="129" t="str">
        <f>VLOOKUP($D1040,'WB Data 2'!$C$2:$K$545,6,FALSE)</f>
        <v>..</v>
      </c>
      <c r="BE1040" s="129">
        <f>IFERROR(VLOOKUP($D1040,UNCTAD!$C$5:$V$529,4,FALSE),"..")</f>
        <v>1288543802</v>
      </c>
      <c r="BF1040" s="846" t="str">
        <f t="shared" si="178"/>
        <v>..</v>
      </c>
      <c r="BG1040" s="117">
        <f>VLOOKUP($D1040,'WB Data'!$C$3:$M$578,5,FALSE)</f>
        <v>570970000</v>
      </c>
      <c r="BH1040" s="129">
        <f>IFERROR($BB1040/$BG1040,"..")</f>
        <v>0.19291146119761107</v>
      </c>
      <c r="BI1040" s="117">
        <f>IFERROR(VLOOKUP($D1040,'WB Data'!$C$3:$M$578,7,FALSE)/100,"..")</f>
        <v>2.82069E-2</v>
      </c>
      <c r="BJ1040" s="117">
        <f>IFERROR($BI1040*$AW1040,"..")</f>
        <v>48905924.429700628</v>
      </c>
      <c r="BK1040" s="846">
        <f>IFERROR($BB1040/$BJ1040,"..")</f>
        <v>2.2522150083949297</v>
      </c>
      <c r="BL1040" s="117">
        <f>IFERROR(VLOOKUP($D1040,'WB Data'!$C$3:$M$578,7,FALSE)/100,"..")</f>
        <v>2.82069E-2</v>
      </c>
      <c r="BM1040" s="117">
        <f>IFERROR($AW1040*$BL1040,"..")</f>
        <v>48905924.429700628</v>
      </c>
      <c r="BN1040" s="846">
        <f>IFERROR($BB1040/$BM1040,"..")</f>
        <v>2.2522150083949297</v>
      </c>
      <c r="BO1040" s="801">
        <f t="shared" si="174"/>
        <v>37</v>
      </c>
      <c r="BP1040" s="117" t="str">
        <f>VLOOKUP($D1040,'WB Data'!$C$3:$M$578,9,FALSE)</f>
        <v>..</v>
      </c>
      <c r="BQ1040" s="117">
        <f>VLOOKUP($D1040,'WB Data'!$C$3:$M$578,10,FALSE)</f>
        <v>60.206390243902447</v>
      </c>
      <c r="BR1040" s="117">
        <f>VLOOKUP($D1040,'WB Data'!$C$3:$M$578,11,FALSE)</f>
        <v>55.6</v>
      </c>
      <c r="BS1040" s="129" t="str">
        <f>IFERROR(VLOOKUP($D1040,'WB Data 2'!$C$2:$K$545,9,FALSE),"..")</f>
        <v>..</v>
      </c>
      <c r="BT1040" s="129">
        <f>_xlfn.IFNA(VLOOKUP($C1040,RGI!$A$2:$C$43,2,FALSE),"..")</f>
        <v>60.5</v>
      </c>
      <c r="BU1040" s="129">
        <f>_xlfn.IFNA(VLOOKUP($C1040,RGI!$A$2:$C$43,3,FALSE),"..")</f>
        <v>61.600874881317473</v>
      </c>
      <c r="BV1040" s="129">
        <f>VLOOKUP($D1040,WGI!$C$2:$O$478,7,FALSE)</f>
        <v>-0.36000126064831101</v>
      </c>
      <c r="BW1040" s="129">
        <f>VLOOKUP($D1040,WGI!$C$2:$O$478,4,FALSE)</f>
        <v>-0.47485979537934597</v>
      </c>
      <c r="BX1040" s="129">
        <f>VLOOKUP($D1040,WGI!$C$2:$O$478,3,FALSE)</f>
        <v>-1.1795661163166</v>
      </c>
      <c r="BY1040" s="129">
        <f>VLOOKUP($D1040,WGI!$C$2:$O$478,5,FALSE)</f>
        <v>-1.05284207395271</v>
      </c>
      <c r="BZ1040" s="129">
        <f>VLOOKUP($D1040,WGI!$C$2:$O$478,2,FALSE)</f>
        <v>-0.57292022809860899</v>
      </c>
    </row>
    <row r="1041" spans="1:80" ht="15" customHeight="1">
      <c r="A1041" s="280" t="s">
        <v>313</v>
      </c>
      <c r="B1041" s="117">
        <v>2012</v>
      </c>
      <c r="C1041" s="117" t="s">
        <v>301</v>
      </c>
      <c r="D1041" s="117" t="s">
        <v>3738</v>
      </c>
      <c r="E1041" s="117" t="s">
        <v>86</v>
      </c>
      <c r="F1041" s="117"/>
      <c r="G1041" s="117" t="s">
        <v>24</v>
      </c>
      <c r="H1041" s="117" t="str">
        <f t="shared" si="171"/>
        <v>yes</v>
      </c>
      <c r="I1041" s="117" t="str">
        <f t="shared" si="168"/>
        <v>no</v>
      </c>
      <c r="J1041" s="117" t="str">
        <f t="shared" si="169"/>
        <v>no</v>
      </c>
      <c r="K1041" s="117" t="s">
        <v>970</v>
      </c>
      <c r="L1041" s="117" t="str">
        <f t="shared" si="172"/>
        <v>detailed</v>
      </c>
      <c r="M1041" s="117" t="str">
        <f t="shared" si="170"/>
        <v>detailed Mining</v>
      </c>
      <c r="N1041" s="118">
        <f>((103000/365)*184)+((180700/365)*181)</f>
        <v>141530.68493150687</v>
      </c>
      <c r="O1041" s="118"/>
      <c r="P1041" s="118"/>
      <c r="Q1041" s="118"/>
      <c r="R1041" s="118"/>
      <c r="S1041" s="117" t="s">
        <v>610</v>
      </c>
      <c r="T1041" s="119">
        <v>7.65</v>
      </c>
      <c r="U1041" s="117" t="s">
        <v>611</v>
      </c>
      <c r="V1041" s="117" t="s">
        <v>1640</v>
      </c>
      <c r="W1041" s="89">
        <f t="shared" si="179"/>
        <v>1082709.7397260277</v>
      </c>
      <c r="X1041" s="117"/>
      <c r="Y1041" s="117"/>
      <c r="Z1041" s="117"/>
      <c r="AA1041" s="89"/>
      <c r="AB1041" s="89"/>
      <c r="AC1041" s="240"/>
      <c r="AD1041" s="240"/>
      <c r="AE1041" s="240"/>
      <c r="AF1041" s="241"/>
      <c r="AG1041" s="117"/>
      <c r="AH1041" s="124"/>
      <c r="AI1041" s="117"/>
      <c r="AJ1041" s="117"/>
      <c r="AK1041" s="89"/>
      <c r="AL1041" s="117"/>
      <c r="AM1041" s="120"/>
      <c r="AN1041" s="120"/>
      <c r="AO1041" s="117"/>
      <c r="AP1041" s="117"/>
      <c r="AQ1041" s="117"/>
      <c r="AR1041" s="117"/>
      <c r="AS1041" s="117"/>
      <c r="AT1041" s="117"/>
      <c r="AU1041" s="117"/>
      <c r="AV1041" s="128"/>
      <c r="AW1041" s="117">
        <f>VLOOKUP($D1041,'WB Data'!$C$3:$M$578,2,FALSE)</f>
        <v>1733828404.7414153</v>
      </c>
      <c r="AX1041" s="117">
        <f>VLOOKUP($D1041,'WB Data'!$C$3:$M$578,3,FALSE)</f>
        <v>4190435</v>
      </c>
      <c r="AY1041" s="847">
        <f t="shared" si="175"/>
        <v>6.3528003520294946E-2</v>
      </c>
      <c r="AZ1041" s="117">
        <f>VLOOKUP($D1041,'WB Data'!$C$3:$M$578,4,FALSE)/100</f>
        <v>0.2483990315581153</v>
      </c>
      <c r="BA1041" s="117">
        <f t="shared" si="176"/>
        <v>430681296.62571949</v>
      </c>
      <c r="BB1041" s="129">
        <f>IFERROR(VLOOKUP($D1041,'EITI Revenues'!$C$2:$G$224,5,FALSE),"..")</f>
        <v>110146657</v>
      </c>
      <c r="BC1041" s="846">
        <f t="shared" si="177"/>
        <v>0.25574980353911714</v>
      </c>
      <c r="BD1041" s="129" t="str">
        <f>VLOOKUP($D1041,'WB Data 2'!$C$2:$K$545,6,FALSE)</f>
        <v>..</v>
      </c>
      <c r="BE1041" s="129">
        <f>IFERROR(VLOOKUP($D1041,UNCTAD!$C$5:$V$529,4,FALSE),"..")</f>
        <v>1288543802</v>
      </c>
      <c r="BF1041" s="846" t="str">
        <f t="shared" si="178"/>
        <v>..</v>
      </c>
      <c r="BG1041" s="117">
        <f>VLOOKUP($D1041,'WB Data'!$C$3:$M$578,5,FALSE)</f>
        <v>570970000</v>
      </c>
      <c r="BH1041" s="129">
        <f>IFERROR($BB1041/$BG1041,"..")</f>
        <v>0.19291146119761107</v>
      </c>
      <c r="BI1041" s="117">
        <f>IFERROR(VLOOKUP($D1041,'WB Data'!$C$3:$M$578,7,FALSE)/100,"..")</f>
        <v>2.82069E-2</v>
      </c>
      <c r="BJ1041" s="117">
        <f>IFERROR($BI1041*$AW1041,"..")</f>
        <v>48905924.429700628</v>
      </c>
      <c r="BK1041" s="846">
        <f>IFERROR($BB1041/$BJ1041,"..")</f>
        <v>2.2522150083949297</v>
      </c>
      <c r="BL1041" s="117">
        <f>IFERROR(VLOOKUP($D1041,'WB Data'!$C$3:$M$578,7,FALSE)/100,"..")</f>
        <v>2.82069E-2</v>
      </c>
      <c r="BM1041" s="117">
        <f>IFERROR($AW1041*$BL1041,"..")</f>
        <v>48905924.429700628</v>
      </c>
      <c r="BN1041" s="846">
        <f>IFERROR($BB1041/$BM1041,"..")</f>
        <v>2.2522150083949297</v>
      </c>
      <c r="BO1041" s="801">
        <f t="shared" si="174"/>
        <v>37</v>
      </c>
      <c r="BP1041" s="117" t="str">
        <f>VLOOKUP($D1041,'WB Data'!$C$3:$M$578,9,FALSE)</f>
        <v>..</v>
      </c>
      <c r="BQ1041" s="117">
        <f>VLOOKUP($D1041,'WB Data'!$C$3:$M$578,10,FALSE)</f>
        <v>60.206390243902447</v>
      </c>
      <c r="BR1041" s="117">
        <f>VLOOKUP($D1041,'WB Data'!$C$3:$M$578,11,FALSE)</f>
        <v>55.6</v>
      </c>
      <c r="BS1041" s="129" t="str">
        <f>IFERROR(VLOOKUP($D1041,'WB Data 2'!$C$2:$K$545,9,FALSE),"..")</f>
        <v>..</v>
      </c>
      <c r="BT1041" s="129">
        <f>_xlfn.IFNA(VLOOKUP($C1041,RGI!$A$2:$C$43,2,FALSE),"..")</f>
        <v>60.5</v>
      </c>
      <c r="BU1041" s="129">
        <f>_xlfn.IFNA(VLOOKUP($C1041,RGI!$A$2:$C$43,3,FALSE),"..")</f>
        <v>61.600874881317473</v>
      </c>
      <c r="BV1041" s="129">
        <f>VLOOKUP($D1041,WGI!$C$2:$O$478,7,FALSE)</f>
        <v>-0.36000126064831101</v>
      </c>
      <c r="BW1041" s="129">
        <f>VLOOKUP($D1041,WGI!$C$2:$O$478,4,FALSE)</f>
        <v>-0.47485979537934597</v>
      </c>
      <c r="BX1041" s="129">
        <f>VLOOKUP($D1041,WGI!$C$2:$O$478,3,FALSE)</f>
        <v>-1.1795661163166</v>
      </c>
      <c r="BY1041" s="129">
        <f>VLOOKUP($D1041,WGI!$C$2:$O$478,5,FALSE)</f>
        <v>-1.05284207395271</v>
      </c>
      <c r="BZ1041" s="129">
        <f>VLOOKUP($D1041,WGI!$C$2:$O$478,2,FALSE)</f>
        <v>-0.57292022809860899</v>
      </c>
    </row>
    <row r="1042" spans="1:80" ht="15" customHeight="1">
      <c r="A1042" s="280" t="s">
        <v>313</v>
      </c>
      <c r="B1042" s="117">
        <v>2012</v>
      </c>
      <c r="C1042" s="117" t="s">
        <v>301</v>
      </c>
      <c r="D1042" s="117" t="s">
        <v>3738</v>
      </c>
      <c r="E1042" s="117" t="s">
        <v>86</v>
      </c>
      <c r="F1042" s="117"/>
      <c r="G1042" s="117" t="s">
        <v>24</v>
      </c>
      <c r="H1042" s="117" t="str">
        <f t="shared" si="171"/>
        <v>yes</v>
      </c>
      <c r="I1042" s="117" t="str">
        <f t="shared" si="168"/>
        <v>no</v>
      </c>
      <c r="J1042" s="117" t="str">
        <f t="shared" si="169"/>
        <v>no</v>
      </c>
      <c r="K1042" s="117" t="s">
        <v>1601</v>
      </c>
      <c r="L1042" s="117" t="str">
        <f t="shared" si="172"/>
        <v>detailed</v>
      </c>
      <c r="M1042" s="117" t="str">
        <f t="shared" si="170"/>
        <v>detailed Mining</v>
      </c>
      <c r="N1042" s="118">
        <f>((2600/365)*184)+((4400/365)*181)</f>
        <v>3492.6027397260273</v>
      </c>
      <c r="O1042" s="118"/>
      <c r="P1042" s="118"/>
      <c r="Q1042" s="118"/>
      <c r="R1042" s="118"/>
      <c r="S1042" s="117" t="s">
        <v>610</v>
      </c>
      <c r="T1042" s="119">
        <v>8.82</v>
      </c>
      <c r="U1042" s="117" t="s">
        <v>611</v>
      </c>
      <c r="V1042" s="117" t="s">
        <v>1641</v>
      </c>
      <c r="W1042" s="89">
        <f t="shared" si="179"/>
        <v>30804.756164383562</v>
      </c>
      <c r="X1042" s="117"/>
      <c r="Y1042" s="117"/>
      <c r="Z1042" s="117"/>
      <c r="AA1042" s="89"/>
      <c r="AB1042" s="89"/>
      <c r="AC1042" s="240"/>
      <c r="AD1042" s="240"/>
      <c r="AE1042" s="240"/>
      <c r="AF1042" s="241"/>
      <c r="AG1042" s="117"/>
      <c r="AH1042" s="124"/>
      <c r="AI1042" s="117"/>
      <c r="AJ1042" s="117"/>
      <c r="AK1042" s="89"/>
      <c r="AL1042" s="117"/>
      <c r="AM1042" s="120"/>
      <c r="AN1042" s="120"/>
      <c r="AO1042" s="117"/>
      <c r="AP1042" s="117"/>
      <c r="AQ1042" s="117"/>
      <c r="AR1042" s="117"/>
      <c r="AS1042" s="117"/>
      <c r="AT1042" s="117"/>
      <c r="AU1042" s="117"/>
      <c r="AV1042" s="128"/>
      <c r="AW1042" s="117">
        <f>VLOOKUP($D1042,'WB Data'!$C$3:$M$578,2,FALSE)</f>
        <v>1733828404.7414153</v>
      </c>
      <c r="AX1042" s="117">
        <f>VLOOKUP($D1042,'WB Data'!$C$3:$M$578,3,FALSE)</f>
        <v>4190435</v>
      </c>
      <c r="AY1042" s="847">
        <f t="shared" si="175"/>
        <v>6.3528003520294946E-2</v>
      </c>
      <c r="AZ1042" s="117">
        <f>VLOOKUP($D1042,'WB Data'!$C$3:$M$578,4,FALSE)/100</f>
        <v>0.2483990315581153</v>
      </c>
      <c r="BA1042" s="117">
        <f t="shared" si="176"/>
        <v>430681296.62571949</v>
      </c>
      <c r="BB1042" s="129">
        <f>IFERROR(VLOOKUP($D1042,'EITI Revenues'!$C$2:$G$224,5,FALSE),"..")</f>
        <v>110146657</v>
      </c>
      <c r="BC1042" s="846">
        <f t="shared" si="177"/>
        <v>0.25574980353911714</v>
      </c>
      <c r="BD1042" s="129" t="str">
        <f>VLOOKUP($D1042,'WB Data 2'!$C$2:$K$545,6,FALSE)</f>
        <v>..</v>
      </c>
      <c r="BE1042" s="129">
        <f>IFERROR(VLOOKUP($D1042,UNCTAD!$C$5:$V$529,4,FALSE),"..")</f>
        <v>1288543802</v>
      </c>
      <c r="BF1042" s="846" t="str">
        <f t="shared" si="178"/>
        <v>..</v>
      </c>
      <c r="BG1042" s="117">
        <f>VLOOKUP($D1042,'WB Data'!$C$3:$M$578,5,FALSE)</f>
        <v>570970000</v>
      </c>
      <c r="BH1042" s="129">
        <f>IFERROR($BB1042/$BG1042,"..")</f>
        <v>0.19291146119761107</v>
      </c>
      <c r="BI1042" s="117">
        <f>IFERROR(VLOOKUP($D1042,'WB Data'!$C$3:$M$578,7,FALSE)/100,"..")</f>
        <v>2.82069E-2</v>
      </c>
      <c r="BJ1042" s="117">
        <f>IFERROR($BI1042*$AW1042,"..")</f>
        <v>48905924.429700628</v>
      </c>
      <c r="BK1042" s="846">
        <f>IFERROR($BB1042/$BJ1042,"..")</f>
        <v>2.2522150083949297</v>
      </c>
      <c r="BL1042" s="117">
        <f>IFERROR(VLOOKUP($D1042,'WB Data'!$C$3:$M$578,7,FALSE)/100,"..")</f>
        <v>2.82069E-2</v>
      </c>
      <c r="BM1042" s="117">
        <f>IFERROR($AW1042*$BL1042,"..")</f>
        <v>48905924.429700628</v>
      </c>
      <c r="BN1042" s="846">
        <f>IFERROR($BB1042/$BM1042,"..")</f>
        <v>2.2522150083949297</v>
      </c>
      <c r="BO1042" s="801">
        <f t="shared" si="174"/>
        <v>37</v>
      </c>
      <c r="BP1042" s="117" t="str">
        <f>VLOOKUP($D1042,'WB Data'!$C$3:$M$578,9,FALSE)</f>
        <v>..</v>
      </c>
      <c r="BQ1042" s="117">
        <f>VLOOKUP($D1042,'WB Data'!$C$3:$M$578,10,FALSE)</f>
        <v>60.206390243902447</v>
      </c>
      <c r="BR1042" s="117">
        <f>VLOOKUP($D1042,'WB Data'!$C$3:$M$578,11,FALSE)</f>
        <v>55.6</v>
      </c>
      <c r="BS1042" s="129" t="str">
        <f>IFERROR(VLOOKUP($D1042,'WB Data 2'!$C$2:$K$545,9,FALSE),"..")</f>
        <v>..</v>
      </c>
      <c r="BT1042" s="129">
        <f>_xlfn.IFNA(VLOOKUP($C1042,RGI!$A$2:$C$43,2,FALSE),"..")</f>
        <v>60.5</v>
      </c>
      <c r="BU1042" s="129">
        <f>_xlfn.IFNA(VLOOKUP($C1042,RGI!$A$2:$C$43,3,FALSE),"..")</f>
        <v>61.600874881317473</v>
      </c>
      <c r="BV1042" s="129">
        <f>VLOOKUP($D1042,WGI!$C$2:$O$478,7,FALSE)</f>
        <v>-0.36000126064831101</v>
      </c>
      <c r="BW1042" s="129">
        <f>VLOOKUP($D1042,WGI!$C$2:$O$478,4,FALSE)</f>
        <v>-0.47485979537934597</v>
      </c>
      <c r="BX1042" s="129">
        <f>VLOOKUP($D1042,WGI!$C$2:$O$478,3,FALSE)</f>
        <v>-1.1795661163166</v>
      </c>
      <c r="BY1042" s="129">
        <f>VLOOKUP($D1042,WGI!$C$2:$O$478,5,FALSE)</f>
        <v>-1.05284207395271</v>
      </c>
      <c r="BZ1042" s="129">
        <f>VLOOKUP($D1042,WGI!$C$2:$O$478,2,FALSE)</f>
        <v>-0.57292022809860899</v>
      </c>
    </row>
    <row r="1043" spans="1:80" ht="15" customHeight="1">
      <c r="A1043" s="280" t="s">
        <v>313</v>
      </c>
      <c r="B1043" s="117">
        <v>2012</v>
      </c>
      <c r="C1043" s="117" t="s">
        <v>301</v>
      </c>
      <c r="D1043" s="117" t="s">
        <v>3738</v>
      </c>
      <c r="E1043" s="117" t="s">
        <v>86</v>
      </c>
      <c r="F1043" s="117"/>
      <c r="G1043" s="117" t="s">
        <v>1603</v>
      </c>
      <c r="H1043" s="117" t="str">
        <f t="shared" si="171"/>
        <v>no</v>
      </c>
      <c r="I1043" s="117" t="str">
        <f t="shared" si="168"/>
        <v>no</v>
      </c>
      <c r="J1043" s="117" t="str">
        <f t="shared" si="169"/>
        <v>no</v>
      </c>
      <c r="K1043" s="117" t="s">
        <v>1656</v>
      </c>
      <c r="L1043" s="117" t="str">
        <f t="shared" si="172"/>
        <v>Total</v>
      </c>
      <c r="M1043" s="117" t="str">
        <f t="shared" si="170"/>
        <v>Total Other</v>
      </c>
      <c r="N1043" s="118"/>
      <c r="O1043" s="118"/>
      <c r="P1043" s="118"/>
      <c r="Q1043" s="118"/>
      <c r="R1043" s="118"/>
      <c r="S1043" s="117"/>
      <c r="T1043" s="119"/>
      <c r="U1043" s="117"/>
      <c r="V1043" s="117"/>
      <c r="W1043" s="89"/>
      <c r="X1043" s="117"/>
      <c r="Y1043" s="117"/>
      <c r="Z1043" s="117"/>
      <c r="AA1043" s="89">
        <v>11110035</v>
      </c>
      <c r="AB1043" s="89">
        <v>6072631</v>
      </c>
      <c r="AC1043" s="240"/>
      <c r="AD1043" s="240"/>
      <c r="AE1043" s="240"/>
      <c r="AF1043" s="241"/>
      <c r="AG1043" s="117"/>
      <c r="AH1043" s="124"/>
      <c r="AI1043" s="117"/>
      <c r="AJ1043" s="117"/>
      <c r="AK1043" s="89"/>
      <c r="AL1043" s="117"/>
      <c r="AM1043" s="117"/>
      <c r="AN1043" s="117">
        <v>28</v>
      </c>
      <c r="AO1043" s="117" t="s">
        <v>1657</v>
      </c>
      <c r="AP1043" s="117">
        <v>14</v>
      </c>
      <c r="AQ1043" s="117"/>
      <c r="AR1043" s="117"/>
      <c r="AS1043" s="117"/>
      <c r="AT1043" s="117"/>
      <c r="AU1043" s="117">
        <v>58</v>
      </c>
      <c r="AV1043" s="128"/>
      <c r="AW1043" s="117">
        <f>VLOOKUP($D1043,'WB Data'!$C$3:$M$578,2,FALSE)</f>
        <v>1733828404.7414153</v>
      </c>
      <c r="AX1043" s="117">
        <f>VLOOKUP($D1043,'WB Data'!$C$3:$M$578,3,FALSE)</f>
        <v>4190435</v>
      </c>
      <c r="AY1043" s="847">
        <f t="shared" si="175"/>
        <v>6.3528003520294946E-2</v>
      </c>
      <c r="AZ1043" s="117">
        <f>VLOOKUP($D1043,'WB Data'!$C$3:$M$578,4,FALSE)/100</f>
        <v>0.2483990315581153</v>
      </c>
      <c r="BA1043" s="117">
        <f t="shared" si="176"/>
        <v>430681296.62571949</v>
      </c>
      <c r="BB1043" s="129">
        <f>IFERROR(VLOOKUP($D1043,'EITI Revenues'!$C$2:$G$224,5,FALSE),"..")</f>
        <v>110146657</v>
      </c>
      <c r="BC1043" s="846">
        <f t="shared" si="177"/>
        <v>0.25574980353911714</v>
      </c>
      <c r="BD1043" s="129" t="str">
        <f>VLOOKUP($D1043,'WB Data 2'!$C$2:$K$545,6,FALSE)</f>
        <v>..</v>
      </c>
      <c r="BE1043" s="129">
        <f>IFERROR(VLOOKUP($D1043,UNCTAD!$C$5:$V$529,4,FALSE),"..")</f>
        <v>1288543802</v>
      </c>
      <c r="BF1043" s="846" t="str">
        <f t="shared" si="178"/>
        <v>..</v>
      </c>
      <c r="BG1043" s="117">
        <f>VLOOKUP($D1043,'WB Data'!$C$3:$M$578,5,FALSE)</f>
        <v>570970000</v>
      </c>
      <c r="BH1043" s="129">
        <f>IFERROR($BB1043/$BG1043,"..")</f>
        <v>0.19291146119761107</v>
      </c>
      <c r="BI1043" s="117">
        <f>IFERROR(VLOOKUP($D1043,'WB Data'!$C$3:$M$578,7,FALSE)/100,"..")</f>
        <v>2.82069E-2</v>
      </c>
      <c r="BJ1043" s="117">
        <f>IFERROR($BI1043*$AW1043,"..")</f>
        <v>48905924.429700628</v>
      </c>
      <c r="BK1043" s="846">
        <f>IFERROR($BB1043/$BJ1043,"..")</f>
        <v>2.2522150083949297</v>
      </c>
      <c r="BL1043" s="117">
        <f>IFERROR(VLOOKUP($D1043,'WB Data'!$C$3:$M$578,7,FALSE)/100,"..")</f>
        <v>2.82069E-2</v>
      </c>
      <c r="BM1043" s="117">
        <f>IFERROR($AW1043*$BL1043,"..")</f>
        <v>48905924.429700628</v>
      </c>
      <c r="BN1043" s="846">
        <f>IFERROR($BB1043/$BM1043,"..")</f>
        <v>2.2522150083949297</v>
      </c>
      <c r="BO1043" s="801">
        <f t="shared" si="174"/>
        <v>37</v>
      </c>
      <c r="BP1043" s="117" t="str">
        <f>VLOOKUP($D1043,'WB Data'!$C$3:$M$578,9,FALSE)</f>
        <v>..</v>
      </c>
      <c r="BQ1043" s="117">
        <f>VLOOKUP($D1043,'WB Data'!$C$3:$M$578,10,FALSE)</f>
        <v>60.206390243902447</v>
      </c>
      <c r="BR1043" s="117">
        <f>VLOOKUP($D1043,'WB Data'!$C$3:$M$578,11,FALSE)</f>
        <v>55.6</v>
      </c>
      <c r="BS1043" s="129" t="str">
        <f>IFERROR(VLOOKUP($D1043,'WB Data 2'!$C$2:$K$545,9,FALSE),"..")</f>
        <v>..</v>
      </c>
      <c r="BT1043" s="129">
        <f>_xlfn.IFNA(VLOOKUP($C1043,RGI!$A$2:$C$43,2,FALSE),"..")</f>
        <v>60.5</v>
      </c>
      <c r="BU1043" s="129">
        <f>_xlfn.IFNA(VLOOKUP($C1043,RGI!$A$2:$C$43,3,FALSE),"..")</f>
        <v>61.600874881317473</v>
      </c>
      <c r="BV1043" s="129">
        <f>VLOOKUP($D1043,WGI!$C$2:$O$478,7,FALSE)</f>
        <v>-0.36000126064831101</v>
      </c>
      <c r="BW1043" s="129">
        <f>VLOOKUP($D1043,WGI!$C$2:$O$478,4,FALSE)</f>
        <v>-0.47485979537934597</v>
      </c>
      <c r="BX1043" s="129">
        <f>VLOOKUP($D1043,WGI!$C$2:$O$478,3,FALSE)</f>
        <v>-1.1795661163166</v>
      </c>
      <c r="BY1043" s="129">
        <f>VLOOKUP($D1043,WGI!$C$2:$O$478,5,FALSE)</f>
        <v>-1.05284207395271</v>
      </c>
      <c r="BZ1043" s="129">
        <f>VLOOKUP($D1043,WGI!$C$2:$O$478,2,FALSE)</f>
        <v>-0.57292022809860899</v>
      </c>
    </row>
    <row r="1044" spans="1:80" ht="15" customHeight="1">
      <c r="A1044" s="280" t="s">
        <v>313</v>
      </c>
      <c r="B1044" s="117">
        <v>2012</v>
      </c>
      <c r="C1044" s="117" t="s">
        <v>301</v>
      </c>
      <c r="D1044" s="117" t="s">
        <v>3738</v>
      </c>
      <c r="E1044" s="117" t="s">
        <v>86</v>
      </c>
      <c r="F1044" s="117"/>
      <c r="G1044" s="117" t="s">
        <v>1603</v>
      </c>
      <c r="H1044" s="117" t="str">
        <f t="shared" si="171"/>
        <v>no</v>
      </c>
      <c r="I1044" s="117" t="str">
        <f t="shared" si="168"/>
        <v>no</v>
      </c>
      <c r="J1044" s="117" t="str">
        <f t="shared" si="169"/>
        <v>no</v>
      </c>
      <c r="K1044" s="117" t="s">
        <v>1658</v>
      </c>
      <c r="L1044" s="117" t="str">
        <f t="shared" si="172"/>
        <v>detailed</v>
      </c>
      <c r="M1044" s="117" t="str">
        <f t="shared" si="170"/>
        <v>detailed Other</v>
      </c>
      <c r="N1044" s="118">
        <v>135741</v>
      </c>
      <c r="O1044" s="118"/>
      <c r="P1044" s="118"/>
      <c r="Q1044" s="118"/>
      <c r="R1044" s="118"/>
      <c r="S1044" s="117" t="s">
        <v>642</v>
      </c>
      <c r="T1044" s="119"/>
      <c r="U1044" s="117"/>
      <c r="V1044" s="117" t="s">
        <v>725</v>
      </c>
      <c r="W1044" s="89"/>
      <c r="X1044" s="117"/>
      <c r="Y1044" s="117"/>
      <c r="Z1044" s="117"/>
      <c r="AA1044" s="89"/>
      <c r="AB1044" s="89"/>
      <c r="AC1044" s="240"/>
      <c r="AD1044" s="240"/>
      <c r="AE1044" s="240"/>
      <c r="AF1044" s="241"/>
      <c r="AG1044" s="117"/>
      <c r="AH1044" s="124"/>
      <c r="AI1044" s="117"/>
      <c r="AJ1044" s="117"/>
      <c r="AK1044" s="89"/>
      <c r="AL1044" s="117"/>
      <c r="AM1044" s="117"/>
      <c r="AN1044" s="117"/>
      <c r="AO1044" s="117"/>
      <c r="AP1044" s="117"/>
      <c r="AQ1044" s="117"/>
      <c r="AR1044" s="117"/>
      <c r="AS1044" s="117"/>
      <c r="AT1044" s="117"/>
      <c r="AU1044" s="117">
        <v>23</v>
      </c>
      <c r="AV1044" s="128"/>
      <c r="AW1044" s="117">
        <f>VLOOKUP($D1044,'WB Data'!$C$3:$M$578,2,FALSE)</f>
        <v>1733828404.7414153</v>
      </c>
      <c r="AX1044" s="117">
        <f>VLOOKUP($D1044,'WB Data'!$C$3:$M$578,3,FALSE)</f>
        <v>4190435</v>
      </c>
      <c r="AY1044" s="847">
        <f t="shared" si="175"/>
        <v>6.3528003520294946E-2</v>
      </c>
      <c r="AZ1044" s="117">
        <f>VLOOKUP($D1044,'WB Data'!$C$3:$M$578,4,FALSE)/100</f>
        <v>0.2483990315581153</v>
      </c>
      <c r="BA1044" s="117">
        <f t="shared" si="176"/>
        <v>430681296.62571949</v>
      </c>
      <c r="BB1044" s="129">
        <f>IFERROR(VLOOKUP($D1044,'EITI Revenues'!$C$2:$G$224,5,FALSE),"..")</f>
        <v>110146657</v>
      </c>
      <c r="BC1044" s="846">
        <f t="shared" si="177"/>
        <v>0.25574980353911714</v>
      </c>
      <c r="BD1044" s="129" t="str">
        <f>VLOOKUP($D1044,'WB Data 2'!$C$2:$K$545,6,FALSE)</f>
        <v>..</v>
      </c>
      <c r="BE1044" s="129">
        <f>IFERROR(VLOOKUP($D1044,UNCTAD!$C$5:$V$529,4,FALSE),"..")</f>
        <v>1288543802</v>
      </c>
      <c r="BF1044" s="846" t="str">
        <f t="shared" si="178"/>
        <v>..</v>
      </c>
      <c r="BG1044" s="117">
        <f>VLOOKUP($D1044,'WB Data'!$C$3:$M$578,5,FALSE)</f>
        <v>570970000</v>
      </c>
      <c r="BH1044" s="129">
        <f>IFERROR($BB1044/$BG1044,"..")</f>
        <v>0.19291146119761107</v>
      </c>
      <c r="BI1044" s="117">
        <f>IFERROR(VLOOKUP($D1044,'WB Data'!$C$3:$M$578,7,FALSE)/100,"..")</f>
        <v>2.82069E-2</v>
      </c>
      <c r="BJ1044" s="117">
        <f>IFERROR($BI1044*$AW1044,"..")</f>
        <v>48905924.429700628</v>
      </c>
      <c r="BK1044" s="846">
        <f>IFERROR($BB1044/$BJ1044,"..")</f>
        <v>2.2522150083949297</v>
      </c>
      <c r="BL1044" s="117">
        <f>IFERROR(VLOOKUP($D1044,'WB Data'!$C$3:$M$578,7,FALSE)/100,"..")</f>
        <v>2.82069E-2</v>
      </c>
      <c r="BM1044" s="117">
        <f>IFERROR($AW1044*$BL1044,"..")</f>
        <v>48905924.429700628</v>
      </c>
      <c r="BN1044" s="846">
        <f>IFERROR($BB1044/$BM1044,"..")</f>
        <v>2.2522150083949297</v>
      </c>
      <c r="BO1044" s="801">
        <f t="shared" si="174"/>
        <v>37</v>
      </c>
      <c r="BP1044" s="117" t="str">
        <f>VLOOKUP($D1044,'WB Data'!$C$3:$M$578,9,FALSE)</f>
        <v>..</v>
      </c>
      <c r="BQ1044" s="117">
        <f>VLOOKUP($D1044,'WB Data'!$C$3:$M$578,10,FALSE)</f>
        <v>60.206390243902447</v>
      </c>
      <c r="BR1044" s="117">
        <f>VLOOKUP($D1044,'WB Data'!$C$3:$M$578,11,FALSE)</f>
        <v>55.6</v>
      </c>
      <c r="BS1044" s="129" t="str">
        <f>IFERROR(VLOOKUP($D1044,'WB Data 2'!$C$2:$K$545,9,FALSE),"..")</f>
        <v>..</v>
      </c>
      <c r="BT1044" s="129">
        <f>_xlfn.IFNA(VLOOKUP($C1044,RGI!$A$2:$C$43,2,FALSE),"..")</f>
        <v>60.5</v>
      </c>
      <c r="BU1044" s="129">
        <f>_xlfn.IFNA(VLOOKUP($C1044,RGI!$A$2:$C$43,3,FALSE),"..")</f>
        <v>61.600874881317473</v>
      </c>
      <c r="BV1044" s="129">
        <f>VLOOKUP($D1044,WGI!$C$2:$O$478,7,FALSE)</f>
        <v>-0.36000126064831101</v>
      </c>
      <c r="BW1044" s="129">
        <f>VLOOKUP($D1044,WGI!$C$2:$O$478,4,FALSE)</f>
        <v>-0.47485979537934597</v>
      </c>
      <c r="BX1044" s="129">
        <f>VLOOKUP($D1044,WGI!$C$2:$O$478,3,FALSE)</f>
        <v>-1.1795661163166</v>
      </c>
      <c r="BY1044" s="129">
        <f>VLOOKUP($D1044,WGI!$C$2:$O$478,5,FALSE)</f>
        <v>-1.05284207395271</v>
      </c>
      <c r="BZ1044" s="129">
        <f>VLOOKUP($D1044,WGI!$C$2:$O$478,2,FALSE)</f>
        <v>-0.57292022809860899</v>
      </c>
    </row>
    <row r="1045" spans="1:80" ht="15" customHeight="1">
      <c r="A1045" s="280" t="s">
        <v>313</v>
      </c>
      <c r="B1045" s="117">
        <v>2012</v>
      </c>
      <c r="C1045" s="117" t="s">
        <v>301</v>
      </c>
      <c r="D1045" s="117" t="s">
        <v>3738</v>
      </c>
      <c r="E1045" s="117" t="s">
        <v>86</v>
      </c>
      <c r="F1045" s="117"/>
      <c r="G1045" s="117" t="s">
        <v>1603</v>
      </c>
      <c r="H1045" s="117" t="str">
        <f t="shared" si="171"/>
        <v>no</v>
      </c>
      <c r="I1045" s="117" t="str">
        <f t="shared" si="168"/>
        <v>no</v>
      </c>
      <c r="J1045" s="117" t="str">
        <f t="shared" si="169"/>
        <v>no</v>
      </c>
      <c r="K1045" s="117" t="s">
        <v>1659</v>
      </c>
      <c r="L1045" s="117" t="str">
        <f t="shared" si="172"/>
        <v>detailed</v>
      </c>
      <c r="M1045" s="117" t="str">
        <f t="shared" si="170"/>
        <v>detailed Other</v>
      </c>
      <c r="N1045" s="118">
        <v>247453</v>
      </c>
      <c r="O1045" s="118"/>
      <c r="P1045" s="118"/>
      <c r="Q1045" s="118"/>
      <c r="R1045" s="118"/>
      <c r="S1045" s="117" t="s">
        <v>1660</v>
      </c>
      <c r="T1045" s="119"/>
      <c r="U1045" s="117"/>
      <c r="V1045" s="117" t="s">
        <v>725</v>
      </c>
      <c r="W1045" s="89"/>
      <c r="X1045" s="117"/>
      <c r="Y1045" s="117"/>
      <c r="Z1045" s="117"/>
      <c r="AA1045" s="89"/>
      <c r="AB1045" s="89"/>
      <c r="AC1045" s="240"/>
      <c r="AD1045" s="240"/>
      <c r="AE1045" s="240"/>
      <c r="AF1045" s="241"/>
      <c r="AG1045" s="117"/>
      <c r="AH1045" s="124"/>
      <c r="AI1045" s="117"/>
      <c r="AJ1045" s="117"/>
      <c r="AK1045" s="89"/>
      <c r="AL1045" s="117"/>
      <c r="AM1045" s="117"/>
      <c r="AN1045" s="117"/>
      <c r="AO1045" s="117"/>
      <c r="AP1045" s="117"/>
      <c r="AQ1045" s="117"/>
      <c r="AR1045" s="117"/>
      <c r="AS1045" s="117"/>
      <c r="AT1045" s="117"/>
      <c r="AU1045" s="117">
        <v>23</v>
      </c>
      <c r="AV1045" s="128"/>
      <c r="AW1045" s="117">
        <f>VLOOKUP($D1045,'WB Data'!$C$3:$M$578,2,FALSE)</f>
        <v>1733828404.7414153</v>
      </c>
      <c r="AX1045" s="117">
        <f>VLOOKUP($D1045,'WB Data'!$C$3:$M$578,3,FALSE)</f>
        <v>4190435</v>
      </c>
      <c r="AY1045" s="847">
        <f t="shared" si="175"/>
        <v>6.3528003520294946E-2</v>
      </c>
      <c r="AZ1045" s="117">
        <f>VLOOKUP($D1045,'WB Data'!$C$3:$M$578,4,FALSE)/100</f>
        <v>0.2483990315581153</v>
      </c>
      <c r="BA1045" s="117">
        <f t="shared" si="176"/>
        <v>430681296.62571949</v>
      </c>
      <c r="BB1045" s="129">
        <f>IFERROR(VLOOKUP($D1045,'EITI Revenues'!$C$2:$G$224,5,FALSE),"..")</f>
        <v>110146657</v>
      </c>
      <c r="BC1045" s="846">
        <f t="shared" si="177"/>
        <v>0.25574980353911714</v>
      </c>
      <c r="BD1045" s="129" t="str">
        <f>VLOOKUP($D1045,'WB Data 2'!$C$2:$K$545,6,FALSE)</f>
        <v>..</v>
      </c>
      <c r="BE1045" s="129">
        <f>IFERROR(VLOOKUP($D1045,UNCTAD!$C$5:$V$529,4,FALSE),"..")</f>
        <v>1288543802</v>
      </c>
      <c r="BF1045" s="846" t="str">
        <f t="shared" si="178"/>
        <v>..</v>
      </c>
      <c r="BG1045" s="117">
        <f>VLOOKUP($D1045,'WB Data'!$C$3:$M$578,5,FALSE)</f>
        <v>570970000</v>
      </c>
      <c r="BH1045" s="129">
        <f>IFERROR($BB1045/$BG1045,"..")</f>
        <v>0.19291146119761107</v>
      </c>
      <c r="BI1045" s="117">
        <f>IFERROR(VLOOKUP($D1045,'WB Data'!$C$3:$M$578,7,FALSE)/100,"..")</f>
        <v>2.82069E-2</v>
      </c>
      <c r="BJ1045" s="117">
        <f>IFERROR($BI1045*$AW1045,"..")</f>
        <v>48905924.429700628</v>
      </c>
      <c r="BK1045" s="846">
        <f>IFERROR($BB1045/$BJ1045,"..")</f>
        <v>2.2522150083949297</v>
      </c>
      <c r="BL1045" s="117">
        <f>IFERROR(VLOOKUP($D1045,'WB Data'!$C$3:$M$578,7,FALSE)/100,"..")</f>
        <v>2.82069E-2</v>
      </c>
      <c r="BM1045" s="117">
        <f>IFERROR($AW1045*$BL1045,"..")</f>
        <v>48905924.429700628</v>
      </c>
      <c r="BN1045" s="846">
        <f>IFERROR($BB1045/$BM1045,"..")</f>
        <v>2.2522150083949297</v>
      </c>
      <c r="BO1045" s="801">
        <f t="shared" si="174"/>
        <v>37</v>
      </c>
      <c r="BP1045" s="117" t="str">
        <f>VLOOKUP($D1045,'WB Data'!$C$3:$M$578,9,FALSE)</f>
        <v>..</v>
      </c>
      <c r="BQ1045" s="117">
        <f>VLOOKUP($D1045,'WB Data'!$C$3:$M$578,10,FALSE)</f>
        <v>60.206390243902447</v>
      </c>
      <c r="BR1045" s="117">
        <f>VLOOKUP($D1045,'WB Data'!$C$3:$M$578,11,FALSE)</f>
        <v>55.6</v>
      </c>
      <c r="BS1045" s="129" t="str">
        <f>IFERROR(VLOOKUP($D1045,'WB Data 2'!$C$2:$K$545,9,FALSE),"..")</f>
        <v>..</v>
      </c>
      <c r="BT1045" s="129">
        <f>_xlfn.IFNA(VLOOKUP($C1045,RGI!$A$2:$C$43,2,FALSE),"..")</f>
        <v>60.5</v>
      </c>
      <c r="BU1045" s="129">
        <f>_xlfn.IFNA(VLOOKUP($C1045,RGI!$A$2:$C$43,3,FALSE),"..")</f>
        <v>61.600874881317473</v>
      </c>
      <c r="BV1045" s="129">
        <f>VLOOKUP($D1045,WGI!$C$2:$O$478,7,FALSE)</f>
        <v>-0.36000126064831101</v>
      </c>
      <c r="BW1045" s="129">
        <f>VLOOKUP($D1045,WGI!$C$2:$O$478,4,FALSE)</f>
        <v>-0.47485979537934597</v>
      </c>
      <c r="BX1045" s="129">
        <f>VLOOKUP($D1045,WGI!$C$2:$O$478,3,FALSE)</f>
        <v>-1.1795661163166</v>
      </c>
      <c r="BY1045" s="129">
        <f>VLOOKUP($D1045,WGI!$C$2:$O$478,5,FALSE)</f>
        <v>-1.05284207395271</v>
      </c>
      <c r="BZ1045" s="129">
        <f>VLOOKUP($D1045,WGI!$C$2:$O$478,2,FALSE)</f>
        <v>-0.57292022809860899</v>
      </c>
    </row>
    <row r="1046" spans="1:80" ht="15" customHeight="1">
      <c r="A1046" s="280" t="s">
        <v>313</v>
      </c>
      <c r="B1046" s="117">
        <v>2012</v>
      </c>
      <c r="C1046" s="117" t="s">
        <v>301</v>
      </c>
      <c r="D1046" s="117" t="s">
        <v>3738</v>
      </c>
      <c r="E1046" s="117" t="s">
        <v>86</v>
      </c>
      <c r="F1046" s="117"/>
      <c r="G1046" s="117" t="s">
        <v>1603</v>
      </c>
      <c r="H1046" s="117" t="str">
        <f t="shared" si="171"/>
        <v>no</v>
      </c>
      <c r="I1046" s="117" t="str">
        <f t="shared" si="168"/>
        <v>no</v>
      </c>
      <c r="J1046" s="117" t="str">
        <f t="shared" si="169"/>
        <v>no</v>
      </c>
      <c r="K1046" s="117" t="s">
        <v>1661</v>
      </c>
      <c r="L1046" s="117" t="str">
        <f t="shared" si="172"/>
        <v>Total</v>
      </c>
      <c r="M1046" s="117" t="str">
        <f t="shared" si="170"/>
        <v>Total Other</v>
      </c>
      <c r="N1046" s="118"/>
      <c r="O1046" s="118"/>
      <c r="P1046" s="118"/>
      <c r="Q1046" s="118"/>
      <c r="R1046" s="118"/>
      <c r="S1046" s="117"/>
      <c r="T1046" s="119"/>
      <c r="U1046" s="117"/>
      <c r="V1046" s="117"/>
      <c r="W1046" s="89"/>
      <c r="X1046" s="117"/>
      <c r="Y1046" s="117"/>
      <c r="Z1046" s="117"/>
      <c r="AA1046" s="89">
        <v>28003258</v>
      </c>
      <c r="AB1046" s="89">
        <v>27217903</v>
      </c>
      <c r="AC1046" s="240"/>
      <c r="AD1046" s="240"/>
      <c r="AE1046" s="240"/>
      <c r="AF1046" s="241"/>
      <c r="AG1046" s="117"/>
      <c r="AH1046" s="124"/>
      <c r="AI1046" s="117"/>
      <c r="AJ1046" s="117"/>
      <c r="AK1046" s="89"/>
      <c r="AL1046" s="117"/>
      <c r="AM1046" s="117"/>
      <c r="AN1046" s="117">
        <v>13</v>
      </c>
      <c r="AO1046" s="117" t="s">
        <v>1662</v>
      </c>
      <c r="AP1046" s="117">
        <v>10</v>
      </c>
      <c r="AQ1046" s="117"/>
      <c r="AR1046" s="117"/>
      <c r="AS1046" s="117"/>
      <c r="AT1046" s="117"/>
      <c r="AU1046" s="117">
        <v>58</v>
      </c>
      <c r="AV1046" s="128"/>
      <c r="AW1046" s="117">
        <f>VLOOKUP($D1046,'WB Data'!$C$3:$M$578,2,FALSE)</f>
        <v>1733828404.7414153</v>
      </c>
      <c r="AX1046" s="117">
        <f>VLOOKUP($D1046,'WB Data'!$C$3:$M$578,3,FALSE)</f>
        <v>4190435</v>
      </c>
      <c r="AY1046" s="847">
        <f t="shared" si="175"/>
        <v>6.3528003520294946E-2</v>
      </c>
      <c r="AZ1046" s="117">
        <f>VLOOKUP($D1046,'WB Data'!$C$3:$M$578,4,FALSE)/100</f>
        <v>0.2483990315581153</v>
      </c>
      <c r="BA1046" s="117">
        <f t="shared" si="176"/>
        <v>430681296.62571949</v>
      </c>
      <c r="BB1046" s="129">
        <f>IFERROR(VLOOKUP($D1046,'EITI Revenues'!$C$2:$G$224,5,FALSE),"..")</f>
        <v>110146657</v>
      </c>
      <c r="BC1046" s="846">
        <f t="shared" si="177"/>
        <v>0.25574980353911714</v>
      </c>
      <c r="BD1046" s="129" t="str">
        <f>VLOOKUP($D1046,'WB Data 2'!$C$2:$K$545,6,FALSE)</f>
        <v>..</v>
      </c>
      <c r="BE1046" s="129">
        <f>IFERROR(VLOOKUP($D1046,UNCTAD!$C$5:$V$529,4,FALSE),"..")</f>
        <v>1288543802</v>
      </c>
      <c r="BF1046" s="846" t="str">
        <f t="shared" si="178"/>
        <v>..</v>
      </c>
      <c r="BG1046" s="117">
        <f>VLOOKUP($D1046,'WB Data'!$C$3:$M$578,5,FALSE)</f>
        <v>570970000</v>
      </c>
      <c r="BH1046" s="129">
        <f>IFERROR($BB1046/$BG1046,"..")</f>
        <v>0.19291146119761107</v>
      </c>
      <c r="BI1046" s="117">
        <f>IFERROR(VLOOKUP($D1046,'WB Data'!$C$3:$M$578,7,FALSE)/100,"..")</f>
        <v>2.82069E-2</v>
      </c>
      <c r="BJ1046" s="117">
        <f>IFERROR($BI1046*$AW1046,"..")</f>
        <v>48905924.429700628</v>
      </c>
      <c r="BK1046" s="846">
        <f>IFERROR($BB1046/$BJ1046,"..")</f>
        <v>2.2522150083949297</v>
      </c>
      <c r="BL1046" s="117">
        <f>IFERROR(VLOOKUP($D1046,'WB Data'!$C$3:$M$578,7,FALSE)/100,"..")</f>
        <v>2.82069E-2</v>
      </c>
      <c r="BM1046" s="117">
        <f>IFERROR($AW1046*$BL1046,"..")</f>
        <v>48905924.429700628</v>
      </c>
      <c r="BN1046" s="846">
        <f>IFERROR($BB1046/$BM1046,"..")</f>
        <v>2.2522150083949297</v>
      </c>
      <c r="BO1046" s="801">
        <f t="shared" si="174"/>
        <v>37</v>
      </c>
      <c r="BP1046" s="117" t="str">
        <f>VLOOKUP($D1046,'WB Data'!$C$3:$M$578,9,FALSE)</f>
        <v>..</v>
      </c>
      <c r="BQ1046" s="117">
        <f>VLOOKUP($D1046,'WB Data'!$C$3:$M$578,10,FALSE)</f>
        <v>60.206390243902447</v>
      </c>
      <c r="BR1046" s="117">
        <f>VLOOKUP($D1046,'WB Data'!$C$3:$M$578,11,FALSE)</f>
        <v>55.6</v>
      </c>
      <c r="BS1046" s="129" t="str">
        <f>IFERROR(VLOOKUP($D1046,'WB Data 2'!$C$2:$K$545,9,FALSE),"..")</f>
        <v>..</v>
      </c>
      <c r="BT1046" s="129">
        <f>_xlfn.IFNA(VLOOKUP($C1046,RGI!$A$2:$C$43,2,FALSE),"..")</f>
        <v>60.5</v>
      </c>
      <c r="BU1046" s="129">
        <f>_xlfn.IFNA(VLOOKUP($C1046,RGI!$A$2:$C$43,3,FALSE),"..")</f>
        <v>61.600874881317473</v>
      </c>
      <c r="BV1046" s="129">
        <f>VLOOKUP($D1046,WGI!$C$2:$O$478,7,FALSE)</f>
        <v>-0.36000126064831101</v>
      </c>
      <c r="BW1046" s="129">
        <f>VLOOKUP($D1046,WGI!$C$2:$O$478,4,FALSE)</f>
        <v>-0.47485979537934597</v>
      </c>
      <c r="BX1046" s="129">
        <f>VLOOKUP($D1046,WGI!$C$2:$O$478,3,FALSE)</f>
        <v>-1.1795661163166</v>
      </c>
      <c r="BY1046" s="129">
        <f>VLOOKUP($D1046,WGI!$C$2:$O$478,5,FALSE)</f>
        <v>-1.05284207395271</v>
      </c>
      <c r="BZ1046" s="129">
        <f>VLOOKUP($D1046,WGI!$C$2:$O$478,2,FALSE)</f>
        <v>-0.57292022809860899</v>
      </c>
    </row>
    <row r="1047" spans="1:80" ht="15" customHeight="1">
      <c r="A1047" s="280" t="s">
        <v>313</v>
      </c>
      <c r="B1047" s="117">
        <v>2012</v>
      </c>
      <c r="C1047" s="117" t="s">
        <v>301</v>
      </c>
      <c r="D1047" s="117" t="s">
        <v>3738</v>
      </c>
      <c r="E1047" s="117" t="s">
        <v>86</v>
      </c>
      <c r="F1047" s="117"/>
      <c r="G1047" s="117" t="s">
        <v>1603</v>
      </c>
      <c r="H1047" s="117" t="str">
        <f t="shared" si="171"/>
        <v>no</v>
      </c>
      <c r="I1047" s="117" t="str">
        <f t="shared" ref="I1047:I1110" si="180">IF($G1047="Gas","yes",IF($G1047="Oil, Gas, Mining","yes",IF($G1047="Gas, Mining","yes",IF($G1047="Oil, Gas","yes",IF($G1047="Oil, Gas, Other","yes","no")))))</f>
        <v>no</v>
      </c>
      <c r="J1047" s="117" t="str">
        <f t="shared" ref="J1047:J1110" si="181">IF($G1047="Oil","yes",IF($G1047="Oil, Gas, Mining","yes",IF($G1047="Oil, Mining","yes",IF($G1047="Oil, Gas","yes",IF($G1047="Oil, Gas, Other","yes","no")))))</f>
        <v>no</v>
      </c>
      <c r="K1047" s="117" t="s">
        <v>1663</v>
      </c>
      <c r="L1047" s="117" t="str">
        <f t="shared" si="172"/>
        <v>detailed</v>
      </c>
      <c r="M1047" s="117" t="str">
        <f t="shared" ref="M1047:M1110" si="182">L1047&amp;" "&amp;G1047</f>
        <v>detailed Other</v>
      </c>
      <c r="N1047" s="118">
        <v>12589</v>
      </c>
      <c r="O1047" s="118"/>
      <c r="P1047" s="118"/>
      <c r="Q1047" s="118"/>
      <c r="R1047" s="118"/>
      <c r="S1047" s="117" t="s">
        <v>610</v>
      </c>
      <c r="T1047" s="119"/>
      <c r="U1047" s="117"/>
      <c r="V1047" s="117" t="s">
        <v>725</v>
      </c>
      <c r="W1047" s="89"/>
      <c r="X1047" s="117"/>
      <c r="Y1047" s="117"/>
      <c r="Z1047" s="117"/>
      <c r="AA1047" s="89"/>
      <c r="AB1047" s="89"/>
      <c r="AC1047" s="240"/>
      <c r="AD1047" s="240"/>
      <c r="AE1047" s="240"/>
      <c r="AF1047" s="241"/>
      <c r="AG1047" s="117"/>
      <c r="AH1047" s="124"/>
      <c r="AI1047" s="117"/>
      <c r="AJ1047" s="117"/>
      <c r="AK1047" s="89"/>
      <c r="AL1047" s="117"/>
      <c r="AM1047" s="117"/>
      <c r="AN1047" s="117"/>
      <c r="AO1047" s="117"/>
      <c r="AP1047" s="117"/>
      <c r="AQ1047" s="117"/>
      <c r="AR1047" s="117"/>
      <c r="AS1047" s="117"/>
      <c r="AT1047" s="117"/>
      <c r="AU1047" s="117">
        <v>23</v>
      </c>
      <c r="AV1047" s="128"/>
      <c r="AW1047" s="117">
        <f>VLOOKUP($D1047,'WB Data'!$C$3:$M$578,2,FALSE)</f>
        <v>1733828404.7414153</v>
      </c>
      <c r="AX1047" s="117">
        <f>VLOOKUP($D1047,'WB Data'!$C$3:$M$578,3,FALSE)</f>
        <v>4190435</v>
      </c>
      <c r="AY1047" s="847">
        <f t="shared" si="175"/>
        <v>6.3528003520294946E-2</v>
      </c>
      <c r="AZ1047" s="117">
        <f>VLOOKUP($D1047,'WB Data'!$C$3:$M$578,4,FALSE)/100</f>
        <v>0.2483990315581153</v>
      </c>
      <c r="BA1047" s="117">
        <f t="shared" si="176"/>
        <v>430681296.62571949</v>
      </c>
      <c r="BB1047" s="129">
        <f>IFERROR(VLOOKUP($D1047,'EITI Revenues'!$C$2:$G$224,5,FALSE),"..")</f>
        <v>110146657</v>
      </c>
      <c r="BC1047" s="846">
        <f t="shared" si="177"/>
        <v>0.25574980353911714</v>
      </c>
      <c r="BD1047" s="129" t="str">
        <f>VLOOKUP($D1047,'WB Data 2'!$C$2:$K$545,6,FALSE)</f>
        <v>..</v>
      </c>
      <c r="BE1047" s="129">
        <f>IFERROR(VLOOKUP($D1047,UNCTAD!$C$5:$V$529,4,FALSE),"..")</f>
        <v>1288543802</v>
      </c>
      <c r="BF1047" s="846" t="str">
        <f t="shared" si="178"/>
        <v>..</v>
      </c>
      <c r="BG1047" s="117">
        <f>VLOOKUP($D1047,'WB Data'!$C$3:$M$578,5,FALSE)</f>
        <v>570970000</v>
      </c>
      <c r="BH1047" s="129">
        <f>IFERROR($BB1047/$BG1047,"..")</f>
        <v>0.19291146119761107</v>
      </c>
      <c r="BI1047" s="117">
        <f>IFERROR(VLOOKUP($D1047,'WB Data'!$C$3:$M$578,7,FALSE)/100,"..")</f>
        <v>2.82069E-2</v>
      </c>
      <c r="BJ1047" s="117">
        <f>IFERROR($BI1047*$AW1047,"..")</f>
        <v>48905924.429700628</v>
      </c>
      <c r="BK1047" s="846">
        <f>IFERROR($BB1047/$BJ1047,"..")</f>
        <v>2.2522150083949297</v>
      </c>
      <c r="BL1047" s="117">
        <f>IFERROR(VLOOKUP($D1047,'WB Data'!$C$3:$M$578,7,FALSE)/100,"..")</f>
        <v>2.82069E-2</v>
      </c>
      <c r="BM1047" s="117">
        <f>IFERROR($AW1047*$BL1047,"..")</f>
        <v>48905924.429700628</v>
      </c>
      <c r="BN1047" s="846">
        <f>IFERROR($BB1047/$BM1047,"..")</f>
        <v>2.2522150083949297</v>
      </c>
      <c r="BO1047" s="801">
        <f t="shared" si="174"/>
        <v>37</v>
      </c>
      <c r="BP1047" s="117" t="str">
        <f>VLOOKUP($D1047,'WB Data'!$C$3:$M$578,9,FALSE)</f>
        <v>..</v>
      </c>
      <c r="BQ1047" s="117">
        <f>VLOOKUP($D1047,'WB Data'!$C$3:$M$578,10,FALSE)</f>
        <v>60.206390243902447</v>
      </c>
      <c r="BR1047" s="117">
        <f>VLOOKUP($D1047,'WB Data'!$C$3:$M$578,11,FALSE)</f>
        <v>55.6</v>
      </c>
      <c r="BS1047" s="129" t="str">
        <f>IFERROR(VLOOKUP($D1047,'WB Data 2'!$C$2:$K$545,9,FALSE),"..")</f>
        <v>..</v>
      </c>
      <c r="BT1047" s="129">
        <f>_xlfn.IFNA(VLOOKUP($C1047,RGI!$A$2:$C$43,2,FALSE),"..")</f>
        <v>60.5</v>
      </c>
      <c r="BU1047" s="129">
        <f>_xlfn.IFNA(VLOOKUP($C1047,RGI!$A$2:$C$43,3,FALSE),"..")</f>
        <v>61.600874881317473</v>
      </c>
      <c r="BV1047" s="129">
        <f>VLOOKUP($D1047,WGI!$C$2:$O$478,7,FALSE)</f>
        <v>-0.36000126064831101</v>
      </c>
      <c r="BW1047" s="129">
        <f>VLOOKUP($D1047,WGI!$C$2:$O$478,4,FALSE)</f>
        <v>-0.47485979537934597</v>
      </c>
      <c r="BX1047" s="129">
        <f>VLOOKUP($D1047,WGI!$C$2:$O$478,3,FALSE)</f>
        <v>-1.1795661163166</v>
      </c>
      <c r="BY1047" s="129">
        <f>VLOOKUP($D1047,WGI!$C$2:$O$478,5,FALSE)</f>
        <v>-1.05284207395271</v>
      </c>
      <c r="BZ1047" s="129">
        <f>VLOOKUP($D1047,WGI!$C$2:$O$478,2,FALSE)</f>
        <v>-0.57292022809860899</v>
      </c>
    </row>
    <row r="1048" spans="1:80" ht="15" customHeight="1">
      <c r="A1048" s="280" t="s">
        <v>313</v>
      </c>
      <c r="B1048" s="117">
        <v>2012</v>
      </c>
      <c r="C1048" s="117" t="s">
        <v>301</v>
      </c>
      <c r="D1048" s="117" t="s">
        <v>3738</v>
      </c>
      <c r="E1048" s="117" t="s">
        <v>86</v>
      </c>
      <c r="F1048" s="117"/>
      <c r="G1048" s="117" t="s">
        <v>1603</v>
      </c>
      <c r="H1048" s="117" t="str">
        <f t="shared" si="171"/>
        <v>no</v>
      </c>
      <c r="I1048" s="117" t="str">
        <f t="shared" si="180"/>
        <v>no</v>
      </c>
      <c r="J1048" s="117" t="str">
        <f t="shared" si="181"/>
        <v>no</v>
      </c>
      <c r="K1048" s="117" t="s">
        <v>1664</v>
      </c>
      <c r="L1048" s="117" t="str">
        <f t="shared" si="172"/>
        <v>detailed</v>
      </c>
      <c r="M1048" s="117" t="str">
        <f t="shared" si="182"/>
        <v>detailed Other</v>
      </c>
      <c r="N1048" s="118">
        <v>162</v>
      </c>
      <c r="O1048" s="118"/>
      <c r="P1048" s="118"/>
      <c r="Q1048" s="118"/>
      <c r="R1048" s="118"/>
      <c r="S1048" s="117" t="s">
        <v>610</v>
      </c>
      <c r="T1048" s="119"/>
      <c r="U1048" s="117"/>
      <c r="V1048" s="117" t="s">
        <v>725</v>
      </c>
      <c r="W1048" s="89"/>
      <c r="X1048" s="117"/>
      <c r="Y1048" s="117"/>
      <c r="Z1048" s="117"/>
      <c r="AA1048" s="89"/>
      <c r="AB1048" s="89"/>
      <c r="AC1048" s="240"/>
      <c r="AD1048" s="240"/>
      <c r="AE1048" s="240"/>
      <c r="AF1048" s="241"/>
      <c r="AG1048" s="117"/>
      <c r="AH1048" s="124"/>
      <c r="AI1048" s="117"/>
      <c r="AJ1048" s="117"/>
      <c r="AK1048" s="89"/>
      <c r="AL1048" s="117"/>
      <c r="AM1048" s="117"/>
      <c r="AN1048" s="117"/>
      <c r="AO1048" s="117"/>
      <c r="AP1048" s="117"/>
      <c r="AQ1048" s="117"/>
      <c r="AR1048" s="117"/>
      <c r="AS1048" s="117"/>
      <c r="AT1048" s="117"/>
      <c r="AU1048" s="117">
        <v>23</v>
      </c>
      <c r="AV1048" s="128"/>
      <c r="AW1048" s="117">
        <f>VLOOKUP($D1048,'WB Data'!$C$3:$M$578,2,FALSE)</f>
        <v>1733828404.7414153</v>
      </c>
      <c r="AX1048" s="117">
        <f>VLOOKUP($D1048,'WB Data'!$C$3:$M$578,3,FALSE)</f>
        <v>4190435</v>
      </c>
      <c r="AY1048" s="847">
        <f t="shared" si="175"/>
        <v>6.3528003520294946E-2</v>
      </c>
      <c r="AZ1048" s="117">
        <f>VLOOKUP($D1048,'WB Data'!$C$3:$M$578,4,FALSE)/100</f>
        <v>0.2483990315581153</v>
      </c>
      <c r="BA1048" s="117">
        <f t="shared" si="176"/>
        <v>430681296.62571949</v>
      </c>
      <c r="BB1048" s="129">
        <f>IFERROR(VLOOKUP($D1048,'EITI Revenues'!$C$2:$G$224,5,FALSE),"..")</f>
        <v>110146657</v>
      </c>
      <c r="BC1048" s="846">
        <f t="shared" si="177"/>
        <v>0.25574980353911714</v>
      </c>
      <c r="BD1048" s="129" t="str">
        <f>VLOOKUP($D1048,'WB Data 2'!$C$2:$K$545,6,FALSE)</f>
        <v>..</v>
      </c>
      <c r="BE1048" s="129">
        <f>IFERROR(VLOOKUP($D1048,UNCTAD!$C$5:$V$529,4,FALSE),"..")</f>
        <v>1288543802</v>
      </c>
      <c r="BF1048" s="846" t="str">
        <f t="shared" si="178"/>
        <v>..</v>
      </c>
      <c r="BG1048" s="117">
        <f>VLOOKUP($D1048,'WB Data'!$C$3:$M$578,5,FALSE)</f>
        <v>570970000</v>
      </c>
      <c r="BH1048" s="129">
        <f>IFERROR($BB1048/$BG1048,"..")</f>
        <v>0.19291146119761107</v>
      </c>
      <c r="BI1048" s="117">
        <f>IFERROR(VLOOKUP($D1048,'WB Data'!$C$3:$M$578,7,FALSE)/100,"..")</f>
        <v>2.82069E-2</v>
      </c>
      <c r="BJ1048" s="117">
        <f>IFERROR($BI1048*$AW1048,"..")</f>
        <v>48905924.429700628</v>
      </c>
      <c r="BK1048" s="846">
        <f>IFERROR($BB1048/$BJ1048,"..")</f>
        <v>2.2522150083949297</v>
      </c>
      <c r="BL1048" s="117">
        <f>IFERROR(VLOOKUP($D1048,'WB Data'!$C$3:$M$578,7,FALSE)/100,"..")</f>
        <v>2.82069E-2</v>
      </c>
      <c r="BM1048" s="117">
        <f>IFERROR($AW1048*$BL1048,"..")</f>
        <v>48905924.429700628</v>
      </c>
      <c r="BN1048" s="846">
        <f>IFERROR($BB1048/$BM1048,"..")</f>
        <v>2.2522150083949297</v>
      </c>
      <c r="BO1048" s="801">
        <f t="shared" si="174"/>
        <v>37</v>
      </c>
      <c r="BP1048" s="117" t="str">
        <f>VLOOKUP($D1048,'WB Data'!$C$3:$M$578,9,FALSE)</f>
        <v>..</v>
      </c>
      <c r="BQ1048" s="117">
        <f>VLOOKUP($D1048,'WB Data'!$C$3:$M$578,10,FALSE)</f>
        <v>60.206390243902447</v>
      </c>
      <c r="BR1048" s="117">
        <f>VLOOKUP($D1048,'WB Data'!$C$3:$M$578,11,FALSE)</f>
        <v>55.6</v>
      </c>
      <c r="BS1048" s="129" t="str">
        <f>IFERROR(VLOOKUP($D1048,'WB Data 2'!$C$2:$K$545,9,FALSE),"..")</f>
        <v>..</v>
      </c>
      <c r="BT1048" s="129">
        <f>_xlfn.IFNA(VLOOKUP($C1048,RGI!$A$2:$C$43,2,FALSE),"..")</f>
        <v>60.5</v>
      </c>
      <c r="BU1048" s="129">
        <f>_xlfn.IFNA(VLOOKUP($C1048,RGI!$A$2:$C$43,3,FALSE),"..")</f>
        <v>61.600874881317473</v>
      </c>
      <c r="BV1048" s="129">
        <f>VLOOKUP($D1048,WGI!$C$2:$O$478,7,FALSE)</f>
        <v>-0.36000126064831101</v>
      </c>
      <c r="BW1048" s="129">
        <f>VLOOKUP($D1048,WGI!$C$2:$O$478,4,FALSE)</f>
        <v>-0.47485979537934597</v>
      </c>
      <c r="BX1048" s="129">
        <f>VLOOKUP($D1048,WGI!$C$2:$O$478,3,FALSE)</f>
        <v>-1.1795661163166</v>
      </c>
      <c r="BY1048" s="129">
        <f>VLOOKUP($D1048,WGI!$C$2:$O$478,5,FALSE)</f>
        <v>-1.05284207395271</v>
      </c>
      <c r="BZ1048" s="129">
        <f>VLOOKUP($D1048,WGI!$C$2:$O$478,2,FALSE)</f>
        <v>-0.57292022809860899</v>
      </c>
    </row>
    <row r="1049" spans="1:80" ht="15" customHeight="1" thickBot="1">
      <c r="A1049" s="280" t="s">
        <v>313</v>
      </c>
      <c r="B1049" s="117">
        <v>2012</v>
      </c>
      <c r="C1049" s="117" t="s">
        <v>301</v>
      </c>
      <c r="D1049" s="117" t="s">
        <v>3738</v>
      </c>
      <c r="E1049" s="117" t="s">
        <v>86</v>
      </c>
      <c r="F1049" s="117"/>
      <c r="G1049" s="117" t="s">
        <v>1603</v>
      </c>
      <c r="H1049" s="117" t="str">
        <f t="shared" ref="H1049:H1112" si="183">IF($G1049="Mining","yes",IF($G1049="Oil, Gas, Mining","yes",IF($G1049="Gas, Mining","yes",IF($G1049="Oil, Mining","yes",IF($G1049="Oil, Mining, Other","yes","no")))))</f>
        <v>no</v>
      </c>
      <c r="I1049" s="117" t="str">
        <f t="shared" si="180"/>
        <v>no</v>
      </c>
      <c r="J1049" s="117" t="str">
        <f t="shared" si="181"/>
        <v>no</v>
      </c>
      <c r="K1049" s="117" t="s">
        <v>1665</v>
      </c>
      <c r="L1049" s="117" t="str">
        <f t="shared" ref="L1049:L1112" si="184">IF(LEFT(K1049,5)="Total","Total","detailed")</f>
        <v>detailed</v>
      </c>
      <c r="M1049" s="117" t="str">
        <f t="shared" si="182"/>
        <v>detailed Other</v>
      </c>
      <c r="N1049" s="118">
        <v>77959</v>
      </c>
      <c r="O1049" s="118"/>
      <c r="P1049" s="118"/>
      <c r="Q1049" s="118"/>
      <c r="R1049" s="118"/>
      <c r="S1049" s="117" t="s">
        <v>610</v>
      </c>
      <c r="T1049" s="119"/>
      <c r="U1049" s="117"/>
      <c r="V1049" s="117" t="s">
        <v>725</v>
      </c>
      <c r="W1049" s="89"/>
      <c r="X1049" s="117"/>
      <c r="Y1049" s="117"/>
      <c r="Z1049" s="117"/>
      <c r="AA1049" s="89"/>
      <c r="AB1049" s="89"/>
      <c r="AC1049" s="240"/>
      <c r="AD1049" s="240"/>
      <c r="AE1049" s="240"/>
      <c r="AF1049" s="241"/>
      <c r="AG1049" s="117"/>
      <c r="AH1049" s="124"/>
      <c r="AI1049" s="117"/>
      <c r="AJ1049" s="117"/>
      <c r="AK1049" s="89"/>
      <c r="AL1049" s="117"/>
      <c r="AM1049" s="117"/>
      <c r="AN1049" s="117"/>
      <c r="AO1049" s="117"/>
      <c r="AP1049" s="117"/>
      <c r="AQ1049" s="117"/>
      <c r="AR1049" s="117"/>
      <c r="AS1049" s="117"/>
      <c r="AT1049" s="117"/>
      <c r="AU1049" s="117">
        <v>23</v>
      </c>
      <c r="AV1049" s="128"/>
      <c r="AW1049" s="117">
        <f>VLOOKUP($D1049,'WB Data'!$C$3:$M$578,2,FALSE)</f>
        <v>1733828404.7414153</v>
      </c>
      <c r="AX1049" s="117">
        <f>VLOOKUP($D1049,'WB Data'!$C$3:$M$578,3,FALSE)</f>
        <v>4190435</v>
      </c>
      <c r="AY1049" s="847">
        <f t="shared" si="175"/>
        <v>6.3528003520294946E-2</v>
      </c>
      <c r="AZ1049" s="117">
        <f>VLOOKUP($D1049,'WB Data'!$C$3:$M$578,4,FALSE)/100</f>
        <v>0.2483990315581153</v>
      </c>
      <c r="BA1049" s="117">
        <f t="shared" si="176"/>
        <v>430681296.62571949</v>
      </c>
      <c r="BB1049" s="129">
        <f>IFERROR(VLOOKUP($D1049,'EITI Revenues'!$C$2:$G$224,5,FALSE),"..")</f>
        <v>110146657</v>
      </c>
      <c r="BC1049" s="846">
        <f t="shared" si="177"/>
        <v>0.25574980353911714</v>
      </c>
      <c r="BD1049" s="129" t="str">
        <f>VLOOKUP($D1049,'WB Data 2'!$C$2:$K$545,6,FALSE)</f>
        <v>..</v>
      </c>
      <c r="BE1049" s="129">
        <f>IFERROR(VLOOKUP($D1049,UNCTAD!$C$5:$V$529,4,FALSE),"..")</f>
        <v>1288543802</v>
      </c>
      <c r="BF1049" s="846" t="str">
        <f t="shared" si="178"/>
        <v>..</v>
      </c>
      <c r="BG1049" s="117">
        <f>VLOOKUP($D1049,'WB Data'!$C$3:$M$578,5,FALSE)</f>
        <v>570970000</v>
      </c>
      <c r="BH1049" s="129">
        <f>IFERROR($BB1049/$BG1049,"..")</f>
        <v>0.19291146119761107</v>
      </c>
      <c r="BI1049" s="117">
        <f>IFERROR(VLOOKUP($D1049,'WB Data'!$C$3:$M$578,7,FALSE)/100,"..")</f>
        <v>2.82069E-2</v>
      </c>
      <c r="BJ1049" s="117">
        <f>IFERROR($BI1049*$AW1049,"..")</f>
        <v>48905924.429700628</v>
      </c>
      <c r="BK1049" s="846">
        <f>IFERROR($BB1049/$BJ1049,"..")</f>
        <v>2.2522150083949297</v>
      </c>
      <c r="BL1049" s="117">
        <f>IFERROR(VLOOKUP($D1049,'WB Data'!$C$3:$M$578,7,FALSE)/100,"..")</f>
        <v>2.82069E-2</v>
      </c>
      <c r="BM1049" s="117">
        <f>IFERROR($AW1049*$BL1049,"..")</f>
        <v>48905924.429700628</v>
      </c>
      <c r="BN1049" s="846">
        <f>IFERROR($BB1049/$BM1049,"..")</f>
        <v>2.2522150083949297</v>
      </c>
      <c r="BO1049" s="801">
        <f t="shared" si="174"/>
        <v>37</v>
      </c>
      <c r="BP1049" s="117" t="str">
        <f>VLOOKUP($D1049,'WB Data'!$C$3:$M$578,9,FALSE)</f>
        <v>..</v>
      </c>
      <c r="BQ1049" s="117">
        <f>VLOOKUP($D1049,'WB Data'!$C$3:$M$578,10,FALSE)</f>
        <v>60.206390243902447</v>
      </c>
      <c r="BR1049" s="117">
        <f>VLOOKUP($D1049,'WB Data'!$C$3:$M$578,11,FALSE)</f>
        <v>55.6</v>
      </c>
      <c r="BS1049" s="129" t="str">
        <f>IFERROR(VLOOKUP($D1049,'WB Data 2'!$C$2:$K$545,9,FALSE),"..")</f>
        <v>..</v>
      </c>
      <c r="BT1049" s="129">
        <f>_xlfn.IFNA(VLOOKUP($C1049,RGI!$A$2:$C$43,2,FALSE),"..")</f>
        <v>60.5</v>
      </c>
      <c r="BU1049" s="129">
        <f>_xlfn.IFNA(VLOOKUP($C1049,RGI!$A$2:$C$43,3,FALSE),"..")</f>
        <v>61.600874881317473</v>
      </c>
      <c r="BV1049" s="129">
        <f>VLOOKUP($D1049,WGI!$C$2:$O$478,7,FALSE)</f>
        <v>-0.36000126064831101</v>
      </c>
      <c r="BW1049" s="129">
        <f>VLOOKUP($D1049,WGI!$C$2:$O$478,4,FALSE)</f>
        <v>-0.47485979537934597</v>
      </c>
      <c r="BX1049" s="129">
        <f>VLOOKUP($D1049,WGI!$C$2:$O$478,3,FALSE)</f>
        <v>-1.1795661163166</v>
      </c>
      <c r="BY1049" s="129">
        <f>VLOOKUP($D1049,WGI!$C$2:$O$478,5,FALSE)</f>
        <v>-1.05284207395271</v>
      </c>
      <c r="BZ1049" s="129">
        <f>VLOOKUP($D1049,WGI!$C$2:$O$478,2,FALSE)</f>
        <v>-0.57292022809860899</v>
      </c>
    </row>
    <row r="1050" spans="1:80" s="210" customFormat="1" ht="15" customHeight="1">
      <c r="A1050" s="501" t="s">
        <v>315</v>
      </c>
      <c r="B1050" s="502">
        <v>2007</v>
      </c>
      <c r="C1050" s="812" t="s">
        <v>316</v>
      </c>
      <c r="D1050" s="117" t="s">
        <v>3569</v>
      </c>
      <c r="E1050" s="503" t="s">
        <v>86</v>
      </c>
      <c r="F1050" s="504" t="s">
        <v>1666</v>
      </c>
      <c r="G1050" s="504" t="s">
        <v>24</v>
      </c>
      <c r="H1050" s="117" t="str">
        <f t="shared" si="183"/>
        <v>yes</v>
      </c>
      <c r="I1050" s="117" t="str">
        <f t="shared" si="180"/>
        <v>no</v>
      </c>
      <c r="J1050" s="117" t="str">
        <f t="shared" si="181"/>
        <v>no</v>
      </c>
      <c r="K1050" s="504" t="s">
        <v>709</v>
      </c>
      <c r="L1050" s="117" t="str">
        <f t="shared" si="184"/>
        <v>Total</v>
      </c>
      <c r="M1050" s="117" t="str">
        <f t="shared" si="182"/>
        <v>Total Mining</v>
      </c>
      <c r="N1050" s="505"/>
      <c r="O1050" s="505"/>
      <c r="P1050" s="505"/>
      <c r="Q1050" s="505"/>
      <c r="R1050" s="505"/>
      <c r="S1050" s="504"/>
      <c r="T1050" s="506"/>
      <c r="U1050" s="504"/>
      <c r="V1050" s="504"/>
      <c r="W1050" s="507">
        <f>SUM(W1051:W1052)</f>
        <v>455689038</v>
      </c>
      <c r="X1050" s="504" t="s">
        <v>998</v>
      </c>
      <c r="Y1050" s="504" t="s">
        <v>602</v>
      </c>
      <c r="Z1050" s="504"/>
      <c r="AA1050" s="508">
        <v>48300000</v>
      </c>
      <c r="AB1050" s="508">
        <v>48100000</v>
      </c>
      <c r="AC1050" s="509"/>
      <c r="AD1050" s="509"/>
      <c r="AE1050" s="509"/>
      <c r="AF1050" s="510">
        <f>AA1050/W1050</f>
        <v>0.1059933331115154</v>
      </c>
      <c r="AG1050" s="504"/>
      <c r="AH1050" s="511">
        <v>1823.41</v>
      </c>
      <c r="AI1050" s="504" t="s">
        <v>667</v>
      </c>
      <c r="AJ1050" s="504"/>
      <c r="AK1050" s="507"/>
      <c r="AL1050" s="504"/>
      <c r="AM1050" s="504"/>
      <c r="AN1050" s="504"/>
      <c r="AO1050" s="504"/>
      <c r="AP1050" s="504">
        <v>3</v>
      </c>
      <c r="AQ1050" s="504" t="s">
        <v>76</v>
      </c>
      <c r="AR1050" s="512">
        <v>41922</v>
      </c>
      <c r="AS1050" s="504" t="s">
        <v>1382</v>
      </c>
      <c r="AT1050" s="504" t="s">
        <v>317</v>
      </c>
      <c r="AU1050" s="513"/>
      <c r="AV1050" s="514" t="s">
        <v>1667</v>
      </c>
      <c r="AW1050" s="117">
        <f>VLOOKUP($D1050,'WB Data'!$C$3:$M$578,2,FALSE)</f>
        <v>7342923619.7152653</v>
      </c>
      <c r="AX1050" s="117">
        <f>VLOOKUP($D1050,'WB Data'!$C$3:$M$578,3,FALSE)</f>
        <v>19371023</v>
      </c>
      <c r="AY1050" s="847">
        <f t="shared" si="175"/>
        <v>6.5777614614317501E-3</v>
      </c>
      <c r="AZ1050" s="117">
        <f>VLOOKUP($D1050,'WB Data'!$C$3:$M$578,4,FALSE)/100</f>
        <v>0.11890463077492978</v>
      </c>
      <c r="BA1050" s="117">
        <f t="shared" si="176"/>
        <v>873107621.81075454</v>
      </c>
      <c r="BB1050" s="129">
        <f>IFERROR(VLOOKUP($D1050,'EITI Revenues'!$C$2:$G$224,5,FALSE),"..")</f>
        <v>48300000</v>
      </c>
      <c r="BC1050" s="846">
        <f t="shared" si="177"/>
        <v>5.5319640779025278E-2</v>
      </c>
      <c r="BD1050" s="129">
        <f>VLOOKUP($D1050,'WB Data 2'!$C$2:$K$545,6,FALSE)</f>
        <v>98947622.461795434</v>
      </c>
      <c r="BE1050" s="129">
        <f>IFERROR(VLOOKUP($D1050,UNCTAD!$C$5:$V$529,4,FALSE),"..")</f>
        <v>2269602431.02</v>
      </c>
      <c r="BF1050" s="846">
        <f t="shared" si="178"/>
        <v>4.3596896579515293E-2</v>
      </c>
      <c r="BG1050" s="117">
        <f>VLOOKUP($D1050,'WB Data'!$C$3:$M$578,5,FALSE)</f>
        <v>894070000</v>
      </c>
      <c r="BH1050" s="129">
        <f>IFERROR($BB1050/$BG1050,"..")</f>
        <v>5.4022615678861831E-2</v>
      </c>
      <c r="BI1050" s="117">
        <f>IFERROR(VLOOKUP($D1050,'WB Data'!$C$3:$M$578,7,FALSE)/100,"..")</f>
        <v>3.3698800000000001E-2</v>
      </c>
      <c r="BJ1050" s="117">
        <f>IFERROR($BI1050*$AW1050,"..")</f>
        <v>247447714.47606078</v>
      </c>
      <c r="BK1050" s="846">
        <f>IFERROR($BB1050/$BJ1050,"..")</f>
        <v>0.19519275052618343</v>
      </c>
      <c r="BL1050" s="117">
        <f>IFERROR(VLOOKUP($D1050,'WB Data'!$C$3:$M$578,7,FALSE)/100,"..")</f>
        <v>3.3698800000000001E-2</v>
      </c>
      <c r="BM1050" s="117">
        <f>IFERROR($AW1050*$BL1050,"..")</f>
        <v>247447714.47606078</v>
      </c>
      <c r="BN1050" s="846">
        <f>IFERROR($BB1050/$BM1050,"..")</f>
        <v>0.19519275052618343</v>
      </c>
      <c r="BO1050" s="801">
        <f t="shared" si="174"/>
        <v>28</v>
      </c>
      <c r="BP1050" s="117" t="str">
        <f>VLOOKUP($D1050,'WB Data'!$C$3:$M$578,9,FALSE)</f>
        <v>..</v>
      </c>
      <c r="BQ1050" s="117">
        <f>VLOOKUP($D1050,'WB Data'!$C$3:$M$578,10,FALSE)</f>
        <v>62.048000000000009</v>
      </c>
      <c r="BR1050" s="117">
        <f>VLOOKUP($D1050,'WB Data'!$C$3:$M$578,11,FALSE)</f>
        <v>49.2</v>
      </c>
      <c r="BS1050" s="129" t="str">
        <f>IFERROR(VLOOKUP($D1050,'WB Data 2'!$C$2:$K$545,9,FALSE),"..")</f>
        <v>..</v>
      </c>
      <c r="BT1050" s="129" t="str">
        <f>_xlfn.IFNA(VLOOKUP($C1050,RGI!$A$2:$C$43,2,FALSE),"..")</f>
        <v>..</v>
      </c>
      <c r="BU1050" s="129" t="str">
        <f>_xlfn.IFNA(VLOOKUP($C1050,RGI!$A$2:$C$43,3,FALSE),"..")</f>
        <v>..</v>
      </c>
      <c r="BV1050" s="129">
        <f>VLOOKUP($D1050,WGI!$C$2:$O$478,7,FALSE)</f>
        <v>-0.15247788956795899</v>
      </c>
      <c r="BW1050" s="129">
        <f>VLOOKUP($D1050,WGI!$C$2:$O$478,4,FALSE)</f>
        <v>2.5216456663315699E-2</v>
      </c>
      <c r="BX1050" s="129">
        <f>VLOOKUP($D1050,WGI!$C$2:$O$478,3,FALSE)</f>
        <v>-0.44094837296616501</v>
      </c>
      <c r="BY1050" s="129">
        <f>VLOOKUP($D1050,WGI!$C$2:$O$478,5,FALSE)</f>
        <v>-0.198541322995683</v>
      </c>
      <c r="BZ1050" s="129">
        <f>VLOOKUP($D1050,WGI!$C$2:$O$478,2,FALSE)</f>
        <v>-9.9298636558795603E-2</v>
      </c>
      <c r="CB1050" s="129"/>
    </row>
    <row r="1051" spans="1:80" s="120" customFormat="1" ht="15" customHeight="1">
      <c r="A1051" s="407" t="s">
        <v>315</v>
      </c>
      <c r="B1051" s="408">
        <v>2007</v>
      </c>
      <c r="C1051" s="805" t="s">
        <v>316</v>
      </c>
      <c r="D1051" s="117" t="s">
        <v>3569</v>
      </c>
      <c r="E1051" s="409" t="s">
        <v>86</v>
      </c>
      <c r="F1051" s="410"/>
      <c r="G1051" s="410" t="s">
        <v>24</v>
      </c>
      <c r="H1051" s="117" t="str">
        <f t="shared" si="183"/>
        <v>yes</v>
      </c>
      <c r="I1051" s="117" t="str">
        <f t="shared" si="180"/>
        <v>no</v>
      </c>
      <c r="J1051" s="117" t="str">
        <f t="shared" si="181"/>
        <v>no</v>
      </c>
      <c r="K1051" s="410" t="s">
        <v>726</v>
      </c>
      <c r="L1051" s="117" t="str">
        <f t="shared" si="184"/>
        <v>detailed</v>
      </c>
      <c r="M1051" s="117" t="str">
        <f t="shared" si="182"/>
        <v>detailed Mining</v>
      </c>
      <c r="N1051" s="413">
        <v>54698</v>
      </c>
      <c r="O1051" s="413"/>
      <c r="P1051" s="413"/>
      <c r="Q1051" s="413"/>
      <c r="R1051" s="413"/>
      <c r="S1051" s="411" t="s">
        <v>610</v>
      </c>
      <c r="T1051" s="412">
        <v>8331</v>
      </c>
      <c r="U1051" s="410" t="s">
        <v>611</v>
      </c>
      <c r="V1051" s="515" t="s">
        <v>1668</v>
      </c>
      <c r="W1051" s="413">
        <f>N1051*T1051</f>
        <v>455689038</v>
      </c>
      <c r="X1051" s="410"/>
      <c r="Y1051" s="410"/>
      <c r="Z1051" s="410"/>
      <c r="AA1051" s="414"/>
      <c r="AB1051" s="414"/>
      <c r="AC1051" s="415"/>
      <c r="AD1051" s="415"/>
      <c r="AE1051" s="415"/>
      <c r="AF1051" s="416"/>
      <c r="AG1051" s="410"/>
      <c r="AH1051" s="417"/>
      <c r="AI1051" s="410"/>
      <c r="AJ1051" s="410"/>
      <c r="AK1051" s="413"/>
      <c r="AL1051" s="410"/>
      <c r="AM1051" s="410"/>
      <c r="AN1051" s="410"/>
      <c r="AO1051" s="410"/>
      <c r="AP1051" s="410"/>
      <c r="AQ1051" s="410"/>
      <c r="AR1051" s="418"/>
      <c r="AS1051" s="410"/>
      <c r="AT1051" s="410"/>
      <c r="AU1051" s="410"/>
      <c r="AV1051" s="516"/>
      <c r="AW1051" s="117">
        <f>VLOOKUP($D1051,'WB Data'!$C$3:$M$578,2,FALSE)</f>
        <v>7342923619.7152653</v>
      </c>
      <c r="AX1051" s="117">
        <f>VLOOKUP($D1051,'WB Data'!$C$3:$M$578,3,FALSE)</f>
        <v>19371023</v>
      </c>
      <c r="AY1051" s="847">
        <f t="shared" si="175"/>
        <v>6.5777614614317501E-3</v>
      </c>
      <c r="AZ1051" s="117">
        <f>VLOOKUP($D1051,'WB Data'!$C$3:$M$578,4,FALSE)/100</f>
        <v>0.11890463077492978</v>
      </c>
      <c r="BA1051" s="117">
        <f t="shared" si="176"/>
        <v>873107621.81075454</v>
      </c>
      <c r="BB1051" s="129">
        <f>IFERROR(VLOOKUP($D1051,'EITI Revenues'!$C$2:$G$224,5,FALSE),"..")</f>
        <v>48300000</v>
      </c>
      <c r="BC1051" s="846">
        <f t="shared" si="177"/>
        <v>5.5319640779025278E-2</v>
      </c>
      <c r="BD1051" s="129">
        <f>VLOOKUP($D1051,'WB Data 2'!$C$2:$K$545,6,FALSE)</f>
        <v>98947622.461795434</v>
      </c>
      <c r="BE1051" s="129">
        <f>IFERROR(VLOOKUP($D1051,UNCTAD!$C$5:$V$529,4,FALSE),"..")</f>
        <v>2269602431.02</v>
      </c>
      <c r="BF1051" s="846">
        <f t="shared" si="178"/>
        <v>4.3596896579515293E-2</v>
      </c>
      <c r="BG1051" s="117">
        <f>VLOOKUP($D1051,'WB Data'!$C$3:$M$578,5,FALSE)</f>
        <v>894070000</v>
      </c>
      <c r="BH1051" s="129">
        <f>IFERROR($BB1051/$BG1051,"..")</f>
        <v>5.4022615678861831E-2</v>
      </c>
      <c r="BI1051" s="117">
        <f>IFERROR(VLOOKUP($D1051,'WB Data'!$C$3:$M$578,7,FALSE)/100,"..")</f>
        <v>3.3698800000000001E-2</v>
      </c>
      <c r="BJ1051" s="117">
        <f>IFERROR($BI1051*$AW1051,"..")</f>
        <v>247447714.47606078</v>
      </c>
      <c r="BK1051" s="846">
        <f>IFERROR($BB1051/$BJ1051,"..")</f>
        <v>0.19519275052618343</v>
      </c>
      <c r="BL1051" s="117">
        <f>IFERROR(VLOOKUP($D1051,'WB Data'!$C$3:$M$578,7,FALSE)/100,"..")</f>
        <v>3.3698800000000001E-2</v>
      </c>
      <c r="BM1051" s="117">
        <f>IFERROR($AW1051*$BL1051,"..")</f>
        <v>247447714.47606078</v>
      </c>
      <c r="BN1051" s="846">
        <f>IFERROR($BB1051/$BM1051,"..")</f>
        <v>0.19519275052618343</v>
      </c>
      <c r="BO1051" s="801">
        <f t="shared" si="174"/>
        <v>28</v>
      </c>
      <c r="BP1051" s="117" t="str">
        <f>VLOOKUP($D1051,'WB Data'!$C$3:$M$578,9,FALSE)</f>
        <v>..</v>
      </c>
      <c r="BQ1051" s="117">
        <f>VLOOKUP($D1051,'WB Data'!$C$3:$M$578,10,FALSE)</f>
        <v>62.048000000000009</v>
      </c>
      <c r="BR1051" s="117">
        <f>VLOOKUP($D1051,'WB Data'!$C$3:$M$578,11,FALSE)</f>
        <v>49.2</v>
      </c>
      <c r="BS1051" s="129" t="str">
        <f>IFERROR(VLOOKUP($D1051,'WB Data 2'!$C$2:$K$545,9,FALSE),"..")</f>
        <v>..</v>
      </c>
      <c r="BT1051" s="129" t="str">
        <f>_xlfn.IFNA(VLOOKUP($C1051,RGI!$A$2:$C$43,2,FALSE),"..")</f>
        <v>..</v>
      </c>
      <c r="BU1051" s="129" t="str">
        <f>_xlfn.IFNA(VLOOKUP($C1051,RGI!$A$2:$C$43,3,FALSE),"..")</f>
        <v>..</v>
      </c>
      <c r="BV1051" s="129">
        <f>VLOOKUP($D1051,WGI!$C$2:$O$478,7,FALSE)</f>
        <v>-0.15247788956795899</v>
      </c>
      <c r="BW1051" s="129">
        <f>VLOOKUP($D1051,WGI!$C$2:$O$478,4,FALSE)</f>
        <v>2.5216456663315699E-2</v>
      </c>
      <c r="BX1051" s="129">
        <f>VLOOKUP($D1051,WGI!$C$2:$O$478,3,FALSE)</f>
        <v>-0.44094837296616501</v>
      </c>
      <c r="BY1051" s="129">
        <f>VLOOKUP($D1051,WGI!$C$2:$O$478,5,FALSE)</f>
        <v>-0.198541322995683</v>
      </c>
      <c r="BZ1051" s="129">
        <f>VLOOKUP($D1051,WGI!$C$2:$O$478,2,FALSE)</f>
        <v>-9.9298636558795603E-2</v>
      </c>
      <c r="CB1051" s="129"/>
    </row>
    <row r="1052" spans="1:80" s="158" customFormat="1" ht="15" customHeight="1">
      <c r="A1052" s="517" t="s">
        <v>315</v>
      </c>
      <c r="B1052" s="518">
        <v>2007</v>
      </c>
      <c r="C1052" s="813" t="s">
        <v>316</v>
      </c>
      <c r="D1052" s="117" t="s">
        <v>3569</v>
      </c>
      <c r="E1052" s="519" t="s">
        <v>86</v>
      </c>
      <c r="F1052" s="520"/>
      <c r="G1052" s="520" t="s">
        <v>24</v>
      </c>
      <c r="H1052" s="149" t="str">
        <f t="shared" si="183"/>
        <v>yes</v>
      </c>
      <c r="I1052" s="149" t="str">
        <f t="shared" si="180"/>
        <v>no</v>
      </c>
      <c r="J1052" s="149" t="str">
        <f t="shared" si="181"/>
        <v>no</v>
      </c>
      <c r="K1052" s="520" t="s">
        <v>686</v>
      </c>
      <c r="L1052" s="149" t="str">
        <f t="shared" si="184"/>
        <v>detailed</v>
      </c>
      <c r="M1052" s="149" t="str">
        <f t="shared" si="182"/>
        <v>detailed Mining</v>
      </c>
      <c r="N1052" s="521">
        <v>0</v>
      </c>
      <c r="O1052" s="521"/>
      <c r="P1052" s="521"/>
      <c r="Q1052" s="521"/>
      <c r="R1052" s="521"/>
      <c r="S1052" s="522" t="s">
        <v>610</v>
      </c>
      <c r="T1052" s="523"/>
      <c r="U1052" s="520"/>
      <c r="V1052" s="524" t="s">
        <v>847</v>
      </c>
      <c r="W1052" s="521">
        <f>N1052*T1052</f>
        <v>0</v>
      </c>
      <c r="X1052" s="520"/>
      <c r="Y1052" s="520"/>
      <c r="Z1052" s="520"/>
      <c r="AA1052" s="525"/>
      <c r="AB1052" s="525"/>
      <c r="AC1052" s="526"/>
      <c r="AD1052" s="526"/>
      <c r="AE1052" s="526"/>
      <c r="AF1052" s="527"/>
      <c r="AG1052" s="520"/>
      <c r="AH1052" s="528"/>
      <c r="AI1052" s="520"/>
      <c r="AJ1052" s="520"/>
      <c r="AK1052" s="521"/>
      <c r="AL1052" s="520"/>
      <c r="AM1052" s="520"/>
      <c r="AN1052" s="520"/>
      <c r="AO1052" s="520"/>
      <c r="AP1052" s="520"/>
      <c r="AQ1052" s="520"/>
      <c r="AR1052" s="529"/>
      <c r="AS1052" s="520"/>
      <c r="AT1052" s="520"/>
      <c r="AU1052" s="520"/>
      <c r="AV1052" s="530"/>
      <c r="AW1052" s="117">
        <f>VLOOKUP($D1052,'WB Data'!$C$3:$M$578,2,FALSE)</f>
        <v>7342923619.7152653</v>
      </c>
      <c r="AX1052" s="117">
        <f>VLOOKUP($D1052,'WB Data'!$C$3:$M$578,3,FALSE)</f>
        <v>19371023</v>
      </c>
      <c r="AY1052" s="847">
        <f t="shared" si="175"/>
        <v>6.5777614614317501E-3</v>
      </c>
      <c r="AZ1052" s="117">
        <f>VLOOKUP($D1052,'WB Data'!$C$3:$M$578,4,FALSE)/100</f>
        <v>0.11890463077492978</v>
      </c>
      <c r="BA1052" s="117">
        <f t="shared" si="176"/>
        <v>873107621.81075454</v>
      </c>
      <c r="BB1052" s="129">
        <f>IFERROR(VLOOKUP($D1052,'EITI Revenues'!$C$2:$G$224,5,FALSE),"..")</f>
        <v>48300000</v>
      </c>
      <c r="BC1052" s="846">
        <f t="shared" si="177"/>
        <v>5.5319640779025278E-2</v>
      </c>
      <c r="BD1052" s="129">
        <f>VLOOKUP($D1052,'WB Data 2'!$C$2:$K$545,6,FALSE)</f>
        <v>98947622.461795434</v>
      </c>
      <c r="BE1052" s="129">
        <f>IFERROR(VLOOKUP($D1052,UNCTAD!$C$5:$V$529,4,FALSE),"..")</f>
        <v>2269602431.02</v>
      </c>
      <c r="BF1052" s="846">
        <f t="shared" si="178"/>
        <v>4.3596896579515293E-2</v>
      </c>
      <c r="BG1052" s="117">
        <f>VLOOKUP($D1052,'WB Data'!$C$3:$M$578,5,FALSE)</f>
        <v>894070000</v>
      </c>
      <c r="BH1052" s="129">
        <f>IFERROR($BB1052/$BG1052,"..")</f>
        <v>5.4022615678861831E-2</v>
      </c>
      <c r="BI1052" s="117">
        <f>IFERROR(VLOOKUP($D1052,'WB Data'!$C$3:$M$578,7,FALSE)/100,"..")</f>
        <v>3.3698800000000001E-2</v>
      </c>
      <c r="BJ1052" s="117">
        <f>IFERROR($BI1052*$AW1052,"..")</f>
        <v>247447714.47606078</v>
      </c>
      <c r="BK1052" s="846">
        <f>IFERROR($BB1052/$BJ1052,"..")</f>
        <v>0.19519275052618343</v>
      </c>
      <c r="BL1052" s="117">
        <f>IFERROR(VLOOKUP($D1052,'WB Data'!$C$3:$M$578,7,FALSE)/100,"..")</f>
        <v>3.3698800000000001E-2</v>
      </c>
      <c r="BM1052" s="117">
        <f>IFERROR($AW1052*$BL1052,"..")</f>
        <v>247447714.47606078</v>
      </c>
      <c r="BN1052" s="846">
        <f>IFERROR($BB1052/$BM1052,"..")</f>
        <v>0.19519275052618343</v>
      </c>
      <c r="BO1052" s="801">
        <f t="shared" si="174"/>
        <v>28</v>
      </c>
      <c r="BP1052" s="117" t="str">
        <f>VLOOKUP($D1052,'WB Data'!$C$3:$M$578,9,FALSE)</f>
        <v>..</v>
      </c>
      <c r="BQ1052" s="117">
        <f>VLOOKUP($D1052,'WB Data'!$C$3:$M$578,10,FALSE)</f>
        <v>62.048000000000009</v>
      </c>
      <c r="BR1052" s="117">
        <f>VLOOKUP($D1052,'WB Data'!$C$3:$M$578,11,FALSE)</f>
        <v>49.2</v>
      </c>
      <c r="BS1052" s="129" t="str">
        <f>IFERROR(VLOOKUP($D1052,'WB Data 2'!$C$2:$K$545,9,FALSE),"..")</f>
        <v>..</v>
      </c>
      <c r="BT1052" s="129" t="str">
        <f>_xlfn.IFNA(VLOOKUP($C1052,RGI!$A$2:$C$43,2,FALSE),"..")</f>
        <v>..</v>
      </c>
      <c r="BU1052" s="129" t="str">
        <f>_xlfn.IFNA(VLOOKUP($C1052,RGI!$A$2:$C$43,3,FALSE),"..")</f>
        <v>..</v>
      </c>
      <c r="BV1052" s="129">
        <f>VLOOKUP($D1052,WGI!$C$2:$O$478,7,FALSE)</f>
        <v>-0.15247788956795899</v>
      </c>
      <c r="BW1052" s="129">
        <f>VLOOKUP($D1052,WGI!$C$2:$O$478,4,FALSE)</f>
        <v>2.5216456663315699E-2</v>
      </c>
      <c r="BX1052" s="129">
        <f>VLOOKUP($D1052,WGI!$C$2:$O$478,3,FALSE)</f>
        <v>-0.44094837296616501</v>
      </c>
      <c r="BY1052" s="129">
        <f>VLOOKUP($D1052,WGI!$C$2:$O$478,5,FALSE)</f>
        <v>-0.198541322995683</v>
      </c>
      <c r="BZ1052" s="129">
        <f>VLOOKUP($D1052,WGI!$C$2:$O$478,2,FALSE)</f>
        <v>-9.9298636558795603E-2</v>
      </c>
      <c r="CB1052" s="129"/>
    </row>
    <row r="1053" spans="1:80" ht="15" customHeight="1">
      <c r="A1053" s="407" t="s">
        <v>318</v>
      </c>
      <c r="B1053" s="408">
        <v>2008</v>
      </c>
      <c r="C1053" s="805" t="s">
        <v>316</v>
      </c>
      <c r="D1053" s="117" t="s">
        <v>3603</v>
      </c>
      <c r="E1053" s="409" t="s">
        <v>86</v>
      </c>
      <c r="F1053" s="410" t="s">
        <v>1666</v>
      </c>
      <c r="G1053" s="410" t="s">
        <v>24</v>
      </c>
      <c r="H1053" s="117" t="str">
        <f t="shared" si="183"/>
        <v>yes</v>
      </c>
      <c r="I1053" s="117" t="str">
        <f t="shared" si="180"/>
        <v>no</v>
      </c>
      <c r="J1053" s="117" t="str">
        <f t="shared" si="181"/>
        <v>no</v>
      </c>
      <c r="K1053" s="410" t="s">
        <v>709</v>
      </c>
      <c r="L1053" s="117" t="str">
        <f t="shared" si="184"/>
        <v>Total</v>
      </c>
      <c r="M1053" s="117" t="str">
        <f t="shared" si="182"/>
        <v>Total Mining</v>
      </c>
      <c r="N1053" s="413"/>
      <c r="O1053" s="413"/>
      <c r="P1053" s="413"/>
      <c r="Q1053" s="413"/>
      <c r="R1053" s="413"/>
      <c r="S1053" s="411"/>
      <c r="T1053" s="412"/>
      <c r="U1053" s="410"/>
      <c r="V1053" s="410"/>
      <c r="W1053" s="413">
        <f>SUM(W1054:W1054)</f>
        <v>1247526814</v>
      </c>
      <c r="X1053" s="410" t="s">
        <v>998</v>
      </c>
      <c r="Y1053" s="410" t="s">
        <v>602</v>
      </c>
      <c r="Z1053" s="410"/>
      <c r="AA1053" s="414">
        <v>55300000</v>
      </c>
      <c r="AB1053" s="414">
        <v>54900000</v>
      </c>
      <c r="AC1053" s="415"/>
      <c r="AD1053" s="415"/>
      <c r="AE1053" s="415"/>
      <c r="AF1053" s="416">
        <f>AA1053/W1053</f>
        <v>4.4327704526597858E-2</v>
      </c>
      <c r="AG1053" s="410"/>
      <c r="AH1053" s="417">
        <v>1669.76</v>
      </c>
      <c r="AI1053" s="410" t="s">
        <v>667</v>
      </c>
      <c r="AJ1053" s="410"/>
      <c r="AK1053" s="413"/>
      <c r="AL1053" s="410"/>
      <c r="AM1053" s="410"/>
      <c r="AN1053" s="410"/>
      <c r="AO1053" s="410"/>
      <c r="AP1053" s="410">
        <v>3</v>
      </c>
      <c r="AQ1053" s="410" t="s">
        <v>76</v>
      </c>
      <c r="AR1053" s="418">
        <v>41922</v>
      </c>
      <c r="AS1053" s="410" t="s">
        <v>1382</v>
      </c>
      <c r="AT1053" s="410" t="s">
        <v>319</v>
      </c>
      <c r="AU1053" s="531"/>
      <c r="AV1053" s="419" t="s">
        <v>1667</v>
      </c>
      <c r="AW1053" s="117">
        <f>VLOOKUP($D1053,'WB Data'!$C$3:$M$578,2,FALSE)</f>
        <v>9413002737.3057842</v>
      </c>
      <c r="AX1053" s="117">
        <f>VLOOKUP($D1053,'WB Data'!$C$3:$M$578,3,FALSE)</f>
        <v>19926785</v>
      </c>
      <c r="AY1053" s="847">
        <f t="shared" si="175"/>
        <v>5.8748522170119031E-3</v>
      </c>
      <c r="AZ1053" s="117">
        <f>VLOOKUP($D1053,'WB Data'!$C$3:$M$578,4,FALSE)/100</f>
        <v>0.14161521399992449</v>
      </c>
      <c r="BA1053" s="117">
        <f t="shared" si="176"/>
        <v>1333024397.0254338</v>
      </c>
      <c r="BB1053" s="129">
        <f>IFERROR(VLOOKUP($D1053,'EITI Revenues'!$C$2:$G$224,5,FALSE),"..")</f>
        <v>55300000</v>
      </c>
      <c r="BC1053" s="846">
        <f t="shared" si="177"/>
        <v>4.1484612077167325E-2</v>
      </c>
      <c r="BD1053" s="129">
        <f>VLOOKUP($D1053,'WB Data 2'!$C$2:$K$545,6,FALSE)</f>
        <v>118781595.76884344</v>
      </c>
      <c r="BE1053" s="129">
        <f>IFERROR(VLOOKUP($D1053,UNCTAD!$C$5:$V$529,4,FALSE),"..")</f>
        <v>2536196925.9500003</v>
      </c>
      <c r="BF1053" s="846">
        <f t="shared" si="178"/>
        <v>4.6834531874669245E-2</v>
      </c>
      <c r="BG1053" s="117">
        <f>VLOOKUP($D1053,'WB Data'!$C$3:$M$578,5,FALSE)</f>
        <v>842550000</v>
      </c>
      <c r="BH1053" s="129">
        <f>IFERROR($BB1053/$BG1053,"..")</f>
        <v>6.5634086997804278E-2</v>
      </c>
      <c r="BI1053" s="117">
        <f>IFERROR(VLOOKUP($D1053,'WB Data'!$C$3:$M$578,7,FALSE)/100,"..")</f>
        <v>2.9161899999999998E-2</v>
      </c>
      <c r="BJ1053" s="117">
        <f>IFERROR($BI1053*$AW1053,"..")</f>
        <v>274501044.52503753</v>
      </c>
      <c r="BK1053" s="846">
        <f>IFERROR($BB1053/$BJ1053,"..")</f>
        <v>0.20145642831955063</v>
      </c>
      <c r="BL1053" s="117">
        <f>IFERROR(VLOOKUP($D1053,'WB Data'!$C$3:$M$578,7,FALSE)/100,"..")</f>
        <v>2.9161899999999998E-2</v>
      </c>
      <c r="BM1053" s="117">
        <f>IFERROR($AW1053*$BL1053,"..")</f>
        <v>274501044.52503753</v>
      </c>
      <c r="BN1053" s="846">
        <f>IFERROR($BB1053/$BM1053,"..")</f>
        <v>0.20145642831955063</v>
      </c>
      <c r="BO1053" s="801">
        <f t="shared" si="174"/>
        <v>28</v>
      </c>
      <c r="BP1053" s="117" t="str">
        <f>VLOOKUP($D1053,'WB Data'!$C$3:$M$578,9,FALSE)</f>
        <v>..</v>
      </c>
      <c r="BQ1053" s="117">
        <f>VLOOKUP($D1053,'WB Data'!$C$3:$M$578,10,FALSE)</f>
        <v>62.474756097560984</v>
      </c>
      <c r="BR1053" s="117">
        <f>VLOOKUP($D1053,'WB Data'!$C$3:$M$578,11,FALSE)</f>
        <v>47</v>
      </c>
      <c r="BS1053" s="129" t="str">
        <f>IFERROR(VLOOKUP($D1053,'WB Data 2'!$C$2:$K$545,9,FALSE),"..")</f>
        <v>..</v>
      </c>
      <c r="BT1053" s="129" t="str">
        <f>_xlfn.IFNA(VLOOKUP($C1053,RGI!$A$2:$C$43,2,FALSE),"..")</f>
        <v>..</v>
      </c>
      <c r="BU1053" s="129" t="str">
        <f>_xlfn.IFNA(VLOOKUP($C1053,RGI!$A$2:$C$43,3,FALSE),"..")</f>
        <v>..</v>
      </c>
      <c r="BV1053" s="129">
        <f>VLOOKUP($D1053,WGI!$C$2:$O$478,7,FALSE)</f>
        <v>-0.341382652673071</v>
      </c>
      <c r="BW1053" s="129">
        <f>VLOOKUP($D1053,WGI!$C$2:$O$478,4,FALSE)</f>
        <v>-0.48923298872943299</v>
      </c>
      <c r="BX1053" s="129">
        <f>VLOOKUP($D1053,WGI!$C$2:$O$478,3,FALSE)</f>
        <v>-0.634681864637611</v>
      </c>
      <c r="BY1053" s="129">
        <f>VLOOKUP($D1053,WGI!$C$2:$O$478,5,FALSE)</f>
        <v>-0.31582826479456</v>
      </c>
      <c r="BZ1053" s="129">
        <f>VLOOKUP($D1053,WGI!$C$2:$O$478,2,FALSE)</f>
        <v>-0.15971013101624701</v>
      </c>
    </row>
    <row r="1054" spans="1:80" ht="15" customHeight="1">
      <c r="A1054" s="407" t="s">
        <v>318</v>
      </c>
      <c r="B1054" s="408">
        <v>2008</v>
      </c>
      <c r="C1054" s="805" t="s">
        <v>316</v>
      </c>
      <c r="D1054" s="117" t="s">
        <v>3603</v>
      </c>
      <c r="E1054" s="409" t="s">
        <v>86</v>
      </c>
      <c r="F1054" s="410"/>
      <c r="G1054" s="410" t="s">
        <v>24</v>
      </c>
      <c r="H1054" s="117" t="str">
        <f t="shared" si="183"/>
        <v>yes</v>
      </c>
      <c r="I1054" s="117" t="str">
        <f t="shared" si="180"/>
        <v>no</v>
      </c>
      <c r="J1054" s="117" t="str">
        <f t="shared" si="181"/>
        <v>no</v>
      </c>
      <c r="K1054" s="410" t="s">
        <v>726</v>
      </c>
      <c r="L1054" s="117" t="str">
        <f t="shared" si="184"/>
        <v>detailed</v>
      </c>
      <c r="M1054" s="117" t="str">
        <f t="shared" si="182"/>
        <v>detailed Mining</v>
      </c>
      <c r="N1054" s="413">
        <v>112613</v>
      </c>
      <c r="O1054" s="413"/>
      <c r="P1054" s="413"/>
      <c r="Q1054" s="413"/>
      <c r="R1054" s="413"/>
      <c r="S1054" s="411" t="s">
        <v>610</v>
      </c>
      <c r="T1054" s="412">
        <v>11078</v>
      </c>
      <c r="U1054" s="410" t="s">
        <v>611</v>
      </c>
      <c r="V1054" s="515" t="s">
        <v>1669</v>
      </c>
      <c r="W1054" s="413">
        <f>N1054*T1054</f>
        <v>1247526814</v>
      </c>
      <c r="X1054" s="410"/>
      <c r="Y1054" s="410"/>
      <c r="Z1054" s="410"/>
      <c r="AA1054" s="414"/>
      <c r="AB1054" s="414"/>
      <c r="AC1054" s="415"/>
      <c r="AD1054" s="415"/>
      <c r="AE1054" s="415"/>
      <c r="AF1054" s="416"/>
      <c r="AG1054" s="410"/>
      <c r="AH1054" s="417"/>
      <c r="AI1054" s="410"/>
      <c r="AJ1054" s="410"/>
      <c r="AK1054" s="413"/>
      <c r="AL1054" s="410"/>
      <c r="AM1054" s="410"/>
      <c r="AN1054" s="410"/>
      <c r="AO1054" s="410"/>
      <c r="AP1054" s="410"/>
      <c r="AQ1054" s="410"/>
      <c r="AR1054" s="418"/>
      <c r="AS1054" s="410"/>
      <c r="AT1054" s="410"/>
      <c r="AU1054" s="410"/>
      <c r="AV1054" s="516"/>
      <c r="AW1054" s="117">
        <f>VLOOKUP($D1054,'WB Data'!$C$3:$M$578,2,FALSE)</f>
        <v>9413002737.3057842</v>
      </c>
      <c r="AX1054" s="117">
        <f>VLOOKUP($D1054,'WB Data'!$C$3:$M$578,3,FALSE)</f>
        <v>19926785</v>
      </c>
      <c r="AY1054" s="847">
        <f t="shared" si="175"/>
        <v>5.8748522170119031E-3</v>
      </c>
      <c r="AZ1054" s="117">
        <f>VLOOKUP($D1054,'WB Data'!$C$3:$M$578,4,FALSE)/100</f>
        <v>0.14161521399992449</v>
      </c>
      <c r="BA1054" s="117">
        <f t="shared" si="176"/>
        <v>1333024397.0254338</v>
      </c>
      <c r="BB1054" s="129">
        <f>IFERROR(VLOOKUP($D1054,'EITI Revenues'!$C$2:$G$224,5,FALSE),"..")</f>
        <v>55300000</v>
      </c>
      <c r="BC1054" s="846">
        <f t="shared" si="177"/>
        <v>4.1484612077167325E-2</v>
      </c>
      <c r="BD1054" s="129">
        <f>VLOOKUP($D1054,'WB Data 2'!$C$2:$K$545,6,FALSE)</f>
        <v>118781595.76884344</v>
      </c>
      <c r="BE1054" s="129">
        <f>IFERROR(VLOOKUP($D1054,UNCTAD!$C$5:$V$529,4,FALSE),"..")</f>
        <v>2536196925.9500003</v>
      </c>
      <c r="BF1054" s="846">
        <f t="shared" si="178"/>
        <v>4.6834531874669245E-2</v>
      </c>
      <c r="BG1054" s="117">
        <f>VLOOKUP($D1054,'WB Data'!$C$3:$M$578,5,FALSE)</f>
        <v>842550000</v>
      </c>
      <c r="BH1054" s="129">
        <f>IFERROR($BB1054/$BG1054,"..")</f>
        <v>6.5634086997804278E-2</v>
      </c>
      <c r="BI1054" s="117">
        <f>IFERROR(VLOOKUP($D1054,'WB Data'!$C$3:$M$578,7,FALSE)/100,"..")</f>
        <v>2.9161899999999998E-2</v>
      </c>
      <c r="BJ1054" s="117">
        <f>IFERROR($BI1054*$AW1054,"..")</f>
        <v>274501044.52503753</v>
      </c>
      <c r="BK1054" s="846">
        <f>IFERROR($BB1054/$BJ1054,"..")</f>
        <v>0.20145642831955063</v>
      </c>
      <c r="BL1054" s="117">
        <f>IFERROR(VLOOKUP($D1054,'WB Data'!$C$3:$M$578,7,FALSE)/100,"..")</f>
        <v>2.9161899999999998E-2</v>
      </c>
      <c r="BM1054" s="117">
        <f>IFERROR($AW1054*$BL1054,"..")</f>
        <v>274501044.52503753</v>
      </c>
      <c r="BN1054" s="846">
        <f>IFERROR($BB1054/$BM1054,"..")</f>
        <v>0.20145642831955063</v>
      </c>
      <c r="BO1054" s="801">
        <f t="shared" si="174"/>
        <v>28</v>
      </c>
      <c r="BP1054" s="117" t="str">
        <f>VLOOKUP($D1054,'WB Data'!$C$3:$M$578,9,FALSE)</f>
        <v>..</v>
      </c>
      <c r="BQ1054" s="117">
        <f>VLOOKUP($D1054,'WB Data'!$C$3:$M$578,10,FALSE)</f>
        <v>62.474756097560984</v>
      </c>
      <c r="BR1054" s="117">
        <f>VLOOKUP($D1054,'WB Data'!$C$3:$M$578,11,FALSE)</f>
        <v>47</v>
      </c>
      <c r="BS1054" s="129" t="str">
        <f>IFERROR(VLOOKUP($D1054,'WB Data 2'!$C$2:$K$545,9,FALSE),"..")</f>
        <v>..</v>
      </c>
      <c r="BT1054" s="129" t="str">
        <f>_xlfn.IFNA(VLOOKUP($C1054,RGI!$A$2:$C$43,2,FALSE),"..")</f>
        <v>..</v>
      </c>
      <c r="BU1054" s="129" t="str">
        <f>_xlfn.IFNA(VLOOKUP($C1054,RGI!$A$2:$C$43,3,FALSE),"..")</f>
        <v>..</v>
      </c>
      <c r="BV1054" s="129">
        <f>VLOOKUP($D1054,WGI!$C$2:$O$478,7,FALSE)</f>
        <v>-0.341382652673071</v>
      </c>
      <c r="BW1054" s="129">
        <f>VLOOKUP($D1054,WGI!$C$2:$O$478,4,FALSE)</f>
        <v>-0.48923298872943299</v>
      </c>
      <c r="BX1054" s="129">
        <f>VLOOKUP($D1054,WGI!$C$2:$O$478,3,FALSE)</f>
        <v>-0.634681864637611</v>
      </c>
      <c r="BY1054" s="129">
        <f>VLOOKUP($D1054,WGI!$C$2:$O$478,5,FALSE)</f>
        <v>-0.31582826479456</v>
      </c>
      <c r="BZ1054" s="129">
        <f>VLOOKUP($D1054,WGI!$C$2:$O$478,2,FALSE)</f>
        <v>-0.15971013101624701</v>
      </c>
    </row>
    <row r="1055" spans="1:80" s="144" customFormat="1" ht="15" customHeight="1">
      <c r="A1055" s="424" t="s">
        <v>320</v>
      </c>
      <c r="B1055" s="425">
        <v>2009</v>
      </c>
      <c r="C1055" s="806" t="s">
        <v>316</v>
      </c>
      <c r="D1055" s="117" t="s">
        <v>3637</v>
      </c>
      <c r="E1055" s="426" t="s">
        <v>86</v>
      </c>
      <c r="F1055" s="427" t="s">
        <v>1666</v>
      </c>
      <c r="G1055" s="427" t="s">
        <v>24</v>
      </c>
      <c r="H1055" s="117" t="str">
        <f t="shared" si="183"/>
        <v>yes</v>
      </c>
      <c r="I1055" s="117" t="str">
        <f t="shared" si="180"/>
        <v>no</v>
      </c>
      <c r="J1055" s="117" t="str">
        <f t="shared" si="181"/>
        <v>no</v>
      </c>
      <c r="K1055" s="427" t="s">
        <v>709</v>
      </c>
      <c r="L1055" s="117" t="str">
        <f t="shared" si="184"/>
        <v>Total</v>
      </c>
      <c r="M1055" s="117" t="str">
        <f t="shared" si="182"/>
        <v>Total Mining</v>
      </c>
      <c r="N1055" s="430"/>
      <c r="O1055" s="430"/>
      <c r="P1055" s="430"/>
      <c r="Q1055" s="430"/>
      <c r="R1055" s="430"/>
      <c r="S1055" s="428"/>
      <c r="T1055" s="429"/>
      <c r="U1055" s="427"/>
      <c r="V1055" s="427"/>
      <c r="W1055" s="430">
        <f>SUM(W1056:W1057)</f>
        <v>1327848000</v>
      </c>
      <c r="X1055" s="427" t="s">
        <v>998</v>
      </c>
      <c r="Y1055" s="427" t="s">
        <v>602</v>
      </c>
      <c r="Z1055" s="427"/>
      <c r="AA1055" s="431">
        <v>20900000</v>
      </c>
      <c r="AB1055" s="431">
        <v>21000000</v>
      </c>
      <c r="AC1055" s="432"/>
      <c r="AD1055" s="432"/>
      <c r="AE1055" s="432"/>
      <c r="AF1055" s="433">
        <f>AA1055/W1055</f>
        <v>1.5739753345262411E-2</v>
      </c>
      <c r="AG1055" s="427"/>
      <c r="AH1055" s="434">
        <v>1932.2</v>
      </c>
      <c r="AI1055" s="427" t="s">
        <v>667</v>
      </c>
      <c r="AJ1055" s="427"/>
      <c r="AK1055" s="430"/>
      <c r="AL1055" s="427"/>
      <c r="AM1055" s="427"/>
      <c r="AN1055" s="427"/>
      <c r="AO1055" s="427"/>
      <c r="AP1055" s="427">
        <v>3</v>
      </c>
      <c r="AQ1055" s="427" t="s">
        <v>76</v>
      </c>
      <c r="AR1055" s="435">
        <v>41922</v>
      </c>
      <c r="AS1055" s="427" t="s">
        <v>1382</v>
      </c>
      <c r="AT1055" s="427" t="s">
        <v>321</v>
      </c>
      <c r="AU1055" s="532"/>
      <c r="AV1055" s="436" t="s">
        <v>1667</v>
      </c>
      <c r="AW1055" s="117">
        <f>VLOOKUP($D1055,'WB Data'!$C$3:$M$578,2,FALSE)</f>
        <v>8550363829.0960493</v>
      </c>
      <c r="AX1055" s="117">
        <f>VLOOKUP($D1055,'WB Data'!$C$3:$M$578,3,FALSE)</f>
        <v>20495695</v>
      </c>
      <c r="AY1055" s="847">
        <f t="shared" si="175"/>
        <v>2.444340430155656E-3</v>
      </c>
      <c r="AZ1055" s="117">
        <f>VLOOKUP($D1055,'WB Data'!$C$3:$M$578,4,FALSE)/100</f>
        <v>9.8641409125477586E-2</v>
      </c>
      <c r="BA1055" s="117">
        <f t="shared" si="176"/>
        <v>843419936.63754857</v>
      </c>
      <c r="BB1055" s="129">
        <f>IFERROR(VLOOKUP($D1055,'EITI Revenues'!$C$2:$G$224,5,FALSE),"..")</f>
        <v>20900000</v>
      </c>
      <c r="BC1055" s="846">
        <f t="shared" si="177"/>
        <v>2.4780063989620356E-2</v>
      </c>
      <c r="BD1055" s="129">
        <f>VLOOKUP($D1055,'WB Data 2'!$C$2:$K$545,6,FALSE)</f>
        <v>83611008.239659503</v>
      </c>
      <c r="BE1055" s="129">
        <f>IFERROR(VLOOKUP($D1055,UNCTAD!$C$5:$V$529,4,FALSE),"..")</f>
        <v>1944423913.8699999</v>
      </c>
      <c r="BF1055" s="846">
        <f t="shared" si="178"/>
        <v>4.3000401117906414E-2</v>
      </c>
      <c r="BG1055" s="117">
        <f>VLOOKUP($D1055,'WB Data'!$C$3:$M$578,5,FALSE)</f>
        <v>443960000</v>
      </c>
      <c r="BH1055" s="129">
        <f>IFERROR($BB1055/$BG1055,"..")</f>
        <v>4.7076313181367693E-2</v>
      </c>
      <c r="BI1055" s="117">
        <f>IFERROR(VLOOKUP($D1055,'WB Data'!$C$3:$M$578,7,FALSE)/100,"..")</f>
        <v>3.1630100000000001E-2</v>
      </c>
      <c r="BJ1055" s="117">
        <f>IFERROR($BI1055*$AW1055,"..")</f>
        <v>270448862.95069098</v>
      </c>
      <c r="BK1055" s="846">
        <f>IFERROR($BB1055/$BJ1055,"..")</f>
        <v>7.7278934627321938E-2</v>
      </c>
      <c r="BL1055" s="117">
        <f>IFERROR(VLOOKUP($D1055,'WB Data'!$C$3:$M$578,7,FALSE)/100,"..")</f>
        <v>3.1630100000000001E-2</v>
      </c>
      <c r="BM1055" s="117">
        <f>IFERROR($AW1055*$BL1055,"..")</f>
        <v>270448862.95069098</v>
      </c>
      <c r="BN1055" s="846">
        <f>IFERROR($BB1055/$BM1055,"..")</f>
        <v>7.7278934627321938E-2</v>
      </c>
      <c r="BO1055" s="801">
        <f t="shared" si="174"/>
        <v>28</v>
      </c>
      <c r="BP1055" s="117" t="str">
        <f>VLOOKUP($D1055,'WB Data'!$C$3:$M$578,9,FALSE)</f>
        <v>..</v>
      </c>
      <c r="BQ1055" s="117">
        <f>VLOOKUP($D1055,'WB Data'!$C$3:$M$578,10,FALSE)</f>
        <v>62.907658536585373</v>
      </c>
      <c r="BR1055" s="117">
        <f>VLOOKUP($D1055,'WB Data'!$C$3:$M$578,11,FALSE)</f>
        <v>45.2</v>
      </c>
      <c r="BS1055" s="129" t="str">
        <f>IFERROR(VLOOKUP($D1055,'WB Data 2'!$C$2:$K$545,9,FALSE),"..")</f>
        <v>..</v>
      </c>
      <c r="BT1055" s="129" t="str">
        <f>_xlfn.IFNA(VLOOKUP($C1055,RGI!$A$2:$C$43,2,FALSE),"..")</f>
        <v>..</v>
      </c>
      <c r="BU1055" s="129" t="str">
        <f>_xlfn.IFNA(VLOOKUP($C1055,RGI!$A$2:$C$43,3,FALSE),"..")</f>
        <v>..</v>
      </c>
      <c r="BV1055" s="129">
        <f>VLOOKUP($D1055,WGI!$C$2:$O$478,7,FALSE)</f>
        <v>-0.85846779147558006</v>
      </c>
      <c r="BW1055" s="129">
        <f>VLOOKUP($D1055,WGI!$C$2:$O$478,4,FALSE)</f>
        <v>-0.74802950066964702</v>
      </c>
      <c r="BX1055" s="129">
        <f>VLOOKUP($D1055,WGI!$C$2:$O$478,3,FALSE)</f>
        <v>-0.78264603631290597</v>
      </c>
      <c r="BY1055" s="129">
        <f>VLOOKUP($D1055,WGI!$C$2:$O$478,5,FALSE)</f>
        <v>-0.49934270444890499</v>
      </c>
      <c r="BZ1055" s="129">
        <f>VLOOKUP($D1055,WGI!$C$2:$O$478,2,FALSE)</f>
        <v>-0.19241468597101799</v>
      </c>
      <c r="CB1055" s="129"/>
    </row>
    <row r="1056" spans="1:80" s="120" customFormat="1" ht="15" customHeight="1">
      <c r="A1056" s="407" t="s">
        <v>320</v>
      </c>
      <c r="B1056" s="408">
        <v>2009</v>
      </c>
      <c r="C1056" s="805" t="s">
        <v>316</v>
      </c>
      <c r="D1056" s="117" t="s">
        <v>3637</v>
      </c>
      <c r="E1056" s="409" t="s">
        <v>86</v>
      </c>
      <c r="F1056" s="410"/>
      <c r="G1056" s="410" t="s">
        <v>24</v>
      </c>
      <c r="H1056" s="117" t="str">
        <f t="shared" si="183"/>
        <v>yes</v>
      </c>
      <c r="I1056" s="117" t="str">
        <f t="shared" si="180"/>
        <v>no</v>
      </c>
      <c r="J1056" s="117" t="str">
        <f t="shared" si="181"/>
        <v>no</v>
      </c>
      <c r="K1056" s="410" t="s">
        <v>726</v>
      </c>
      <c r="L1056" s="117" t="str">
        <f t="shared" si="184"/>
        <v>detailed</v>
      </c>
      <c r="M1056" s="117" t="str">
        <f t="shared" si="182"/>
        <v>detailed Mining</v>
      </c>
      <c r="N1056" s="413">
        <v>133000</v>
      </c>
      <c r="O1056" s="413"/>
      <c r="P1056" s="413"/>
      <c r="Q1056" s="413"/>
      <c r="R1056" s="413"/>
      <c r="S1056" s="411" t="s">
        <v>610</v>
      </c>
      <c r="T1056" s="412">
        <v>9896</v>
      </c>
      <c r="U1056" s="410" t="s">
        <v>611</v>
      </c>
      <c r="V1056" s="515" t="s">
        <v>1669</v>
      </c>
      <c r="W1056" s="413">
        <f>N1056*T1056</f>
        <v>1316168000</v>
      </c>
      <c r="X1056" s="410"/>
      <c r="Y1056" s="410"/>
      <c r="Z1056" s="410"/>
      <c r="AA1056" s="414"/>
      <c r="AB1056" s="414"/>
      <c r="AC1056" s="415"/>
      <c r="AD1056" s="415"/>
      <c r="AE1056" s="415"/>
      <c r="AF1056" s="416"/>
      <c r="AG1056" s="410"/>
      <c r="AH1056" s="417"/>
      <c r="AI1056" s="410"/>
      <c r="AJ1056" s="410"/>
      <c r="AK1056" s="413"/>
      <c r="AL1056" s="410"/>
      <c r="AM1056" s="410"/>
      <c r="AN1056" s="410"/>
      <c r="AO1056" s="410"/>
      <c r="AP1056" s="410"/>
      <c r="AQ1056" s="410"/>
      <c r="AR1056" s="418"/>
      <c r="AS1056" s="410"/>
      <c r="AT1056" s="410"/>
      <c r="AU1056" s="410"/>
      <c r="AV1056" s="516"/>
      <c r="AW1056" s="117">
        <f>VLOOKUP($D1056,'WB Data'!$C$3:$M$578,2,FALSE)</f>
        <v>8550363829.0960493</v>
      </c>
      <c r="AX1056" s="117">
        <f>VLOOKUP($D1056,'WB Data'!$C$3:$M$578,3,FALSE)</f>
        <v>20495695</v>
      </c>
      <c r="AY1056" s="847">
        <f t="shared" si="175"/>
        <v>2.444340430155656E-3</v>
      </c>
      <c r="AZ1056" s="117">
        <f>VLOOKUP($D1056,'WB Data'!$C$3:$M$578,4,FALSE)/100</f>
        <v>9.8641409125477586E-2</v>
      </c>
      <c r="BA1056" s="117">
        <f t="shared" si="176"/>
        <v>843419936.63754857</v>
      </c>
      <c r="BB1056" s="129">
        <f>IFERROR(VLOOKUP($D1056,'EITI Revenues'!$C$2:$G$224,5,FALSE),"..")</f>
        <v>20900000</v>
      </c>
      <c r="BC1056" s="846">
        <f t="shared" si="177"/>
        <v>2.4780063989620356E-2</v>
      </c>
      <c r="BD1056" s="129">
        <f>VLOOKUP($D1056,'WB Data 2'!$C$2:$K$545,6,FALSE)</f>
        <v>83611008.239659503</v>
      </c>
      <c r="BE1056" s="129">
        <f>IFERROR(VLOOKUP($D1056,UNCTAD!$C$5:$V$529,4,FALSE),"..")</f>
        <v>1944423913.8699999</v>
      </c>
      <c r="BF1056" s="846">
        <f t="shared" si="178"/>
        <v>4.3000401117906414E-2</v>
      </c>
      <c r="BG1056" s="117">
        <f>VLOOKUP($D1056,'WB Data'!$C$3:$M$578,5,FALSE)</f>
        <v>443960000</v>
      </c>
      <c r="BH1056" s="129">
        <f>IFERROR($BB1056/$BG1056,"..")</f>
        <v>4.7076313181367693E-2</v>
      </c>
      <c r="BI1056" s="117">
        <f>IFERROR(VLOOKUP($D1056,'WB Data'!$C$3:$M$578,7,FALSE)/100,"..")</f>
        <v>3.1630100000000001E-2</v>
      </c>
      <c r="BJ1056" s="117">
        <f>IFERROR($BI1056*$AW1056,"..")</f>
        <v>270448862.95069098</v>
      </c>
      <c r="BK1056" s="846">
        <f>IFERROR($BB1056/$BJ1056,"..")</f>
        <v>7.7278934627321938E-2</v>
      </c>
      <c r="BL1056" s="117">
        <f>IFERROR(VLOOKUP($D1056,'WB Data'!$C$3:$M$578,7,FALSE)/100,"..")</f>
        <v>3.1630100000000001E-2</v>
      </c>
      <c r="BM1056" s="117">
        <f>IFERROR($AW1056*$BL1056,"..")</f>
        <v>270448862.95069098</v>
      </c>
      <c r="BN1056" s="846">
        <f>IFERROR($BB1056/$BM1056,"..")</f>
        <v>7.7278934627321938E-2</v>
      </c>
      <c r="BO1056" s="801">
        <f t="shared" si="174"/>
        <v>28</v>
      </c>
      <c r="BP1056" s="117" t="str">
        <f>VLOOKUP($D1056,'WB Data'!$C$3:$M$578,9,FALSE)</f>
        <v>..</v>
      </c>
      <c r="BQ1056" s="117">
        <f>VLOOKUP($D1056,'WB Data'!$C$3:$M$578,10,FALSE)</f>
        <v>62.907658536585373</v>
      </c>
      <c r="BR1056" s="117">
        <f>VLOOKUP($D1056,'WB Data'!$C$3:$M$578,11,FALSE)</f>
        <v>45.2</v>
      </c>
      <c r="BS1056" s="129" t="str">
        <f>IFERROR(VLOOKUP($D1056,'WB Data 2'!$C$2:$K$545,9,FALSE),"..")</f>
        <v>..</v>
      </c>
      <c r="BT1056" s="129" t="str">
        <f>_xlfn.IFNA(VLOOKUP($C1056,RGI!$A$2:$C$43,2,FALSE),"..")</f>
        <v>..</v>
      </c>
      <c r="BU1056" s="129" t="str">
        <f>_xlfn.IFNA(VLOOKUP($C1056,RGI!$A$2:$C$43,3,FALSE),"..")</f>
        <v>..</v>
      </c>
      <c r="BV1056" s="129">
        <f>VLOOKUP($D1056,WGI!$C$2:$O$478,7,FALSE)</f>
        <v>-0.85846779147558006</v>
      </c>
      <c r="BW1056" s="129">
        <f>VLOOKUP($D1056,WGI!$C$2:$O$478,4,FALSE)</f>
        <v>-0.74802950066964702</v>
      </c>
      <c r="BX1056" s="129">
        <f>VLOOKUP($D1056,WGI!$C$2:$O$478,3,FALSE)</f>
        <v>-0.78264603631290597</v>
      </c>
      <c r="BY1056" s="129">
        <f>VLOOKUP($D1056,WGI!$C$2:$O$478,5,FALSE)</f>
        <v>-0.49934270444890499</v>
      </c>
      <c r="BZ1056" s="129">
        <f>VLOOKUP($D1056,WGI!$C$2:$O$478,2,FALSE)</f>
        <v>-0.19241468597101799</v>
      </c>
      <c r="CB1056" s="129"/>
    </row>
    <row r="1057" spans="1:80" s="158" customFormat="1" ht="15" customHeight="1">
      <c r="A1057" s="517" t="s">
        <v>320</v>
      </c>
      <c r="B1057" s="518">
        <v>2009</v>
      </c>
      <c r="C1057" s="813" t="s">
        <v>316</v>
      </c>
      <c r="D1057" s="117" t="s">
        <v>3637</v>
      </c>
      <c r="E1057" s="519" t="s">
        <v>86</v>
      </c>
      <c r="F1057" s="520"/>
      <c r="G1057" s="520" t="s">
        <v>24</v>
      </c>
      <c r="H1057" s="149" t="str">
        <f t="shared" si="183"/>
        <v>yes</v>
      </c>
      <c r="I1057" s="149" t="str">
        <f t="shared" si="180"/>
        <v>no</v>
      </c>
      <c r="J1057" s="149" t="str">
        <f t="shared" si="181"/>
        <v>no</v>
      </c>
      <c r="K1057" s="520" t="s">
        <v>1670</v>
      </c>
      <c r="L1057" s="149" t="str">
        <f t="shared" si="184"/>
        <v>detailed</v>
      </c>
      <c r="M1057" s="149" t="str">
        <f t="shared" si="182"/>
        <v>detailed Mining</v>
      </c>
      <c r="N1057" s="521">
        <v>160000</v>
      </c>
      <c r="O1057" s="521"/>
      <c r="P1057" s="521"/>
      <c r="Q1057" s="521"/>
      <c r="R1057" s="521"/>
      <c r="S1057" s="522" t="s">
        <v>610</v>
      </c>
      <c r="T1057" s="523">
        <v>73</v>
      </c>
      <c r="U1057" s="520" t="s">
        <v>611</v>
      </c>
      <c r="V1057" s="520" t="s">
        <v>1671</v>
      </c>
      <c r="W1057" s="521">
        <f>N1057*T1057</f>
        <v>11680000</v>
      </c>
      <c r="X1057" s="520"/>
      <c r="Y1057" s="520"/>
      <c r="Z1057" s="520"/>
      <c r="AA1057" s="525"/>
      <c r="AB1057" s="525"/>
      <c r="AC1057" s="526"/>
      <c r="AD1057" s="526"/>
      <c r="AE1057" s="526"/>
      <c r="AF1057" s="527"/>
      <c r="AG1057" s="520"/>
      <c r="AH1057" s="528"/>
      <c r="AI1057" s="520"/>
      <c r="AJ1057" s="520"/>
      <c r="AK1057" s="521"/>
      <c r="AL1057" s="520"/>
      <c r="AM1057" s="520"/>
      <c r="AN1057" s="520"/>
      <c r="AO1057" s="520"/>
      <c r="AP1057" s="520"/>
      <c r="AQ1057" s="520"/>
      <c r="AR1057" s="529"/>
      <c r="AS1057" s="520"/>
      <c r="AT1057" s="520"/>
      <c r="AU1057" s="520"/>
      <c r="AV1057" s="530"/>
      <c r="AW1057" s="117">
        <f>VLOOKUP($D1057,'WB Data'!$C$3:$M$578,2,FALSE)</f>
        <v>8550363829.0960493</v>
      </c>
      <c r="AX1057" s="117">
        <f>VLOOKUP($D1057,'WB Data'!$C$3:$M$578,3,FALSE)</f>
        <v>20495695</v>
      </c>
      <c r="AY1057" s="847">
        <f t="shared" si="175"/>
        <v>2.444340430155656E-3</v>
      </c>
      <c r="AZ1057" s="117">
        <f>VLOOKUP($D1057,'WB Data'!$C$3:$M$578,4,FALSE)/100</f>
        <v>9.8641409125477586E-2</v>
      </c>
      <c r="BA1057" s="117">
        <f t="shared" si="176"/>
        <v>843419936.63754857</v>
      </c>
      <c r="BB1057" s="129">
        <f>IFERROR(VLOOKUP($D1057,'EITI Revenues'!$C$2:$G$224,5,FALSE),"..")</f>
        <v>20900000</v>
      </c>
      <c r="BC1057" s="846">
        <f t="shared" si="177"/>
        <v>2.4780063989620356E-2</v>
      </c>
      <c r="BD1057" s="129">
        <f>VLOOKUP($D1057,'WB Data 2'!$C$2:$K$545,6,FALSE)</f>
        <v>83611008.239659503</v>
      </c>
      <c r="BE1057" s="129">
        <f>IFERROR(VLOOKUP($D1057,UNCTAD!$C$5:$V$529,4,FALSE),"..")</f>
        <v>1944423913.8699999</v>
      </c>
      <c r="BF1057" s="846">
        <f t="shared" si="178"/>
        <v>4.3000401117906414E-2</v>
      </c>
      <c r="BG1057" s="117">
        <f>VLOOKUP($D1057,'WB Data'!$C$3:$M$578,5,FALSE)</f>
        <v>443960000</v>
      </c>
      <c r="BH1057" s="129">
        <f>IFERROR($BB1057/$BG1057,"..")</f>
        <v>4.7076313181367693E-2</v>
      </c>
      <c r="BI1057" s="117">
        <f>IFERROR(VLOOKUP($D1057,'WB Data'!$C$3:$M$578,7,FALSE)/100,"..")</f>
        <v>3.1630100000000001E-2</v>
      </c>
      <c r="BJ1057" s="117">
        <f>IFERROR($BI1057*$AW1057,"..")</f>
        <v>270448862.95069098</v>
      </c>
      <c r="BK1057" s="846">
        <f>IFERROR($BB1057/$BJ1057,"..")</f>
        <v>7.7278934627321938E-2</v>
      </c>
      <c r="BL1057" s="117">
        <f>IFERROR(VLOOKUP($D1057,'WB Data'!$C$3:$M$578,7,FALSE)/100,"..")</f>
        <v>3.1630100000000001E-2</v>
      </c>
      <c r="BM1057" s="117">
        <f>IFERROR($AW1057*$BL1057,"..")</f>
        <v>270448862.95069098</v>
      </c>
      <c r="BN1057" s="846">
        <f>IFERROR($BB1057/$BM1057,"..")</f>
        <v>7.7278934627321938E-2</v>
      </c>
      <c r="BO1057" s="801">
        <f t="shared" si="174"/>
        <v>28</v>
      </c>
      <c r="BP1057" s="117" t="str">
        <f>VLOOKUP($D1057,'WB Data'!$C$3:$M$578,9,FALSE)</f>
        <v>..</v>
      </c>
      <c r="BQ1057" s="117">
        <f>VLOOKUP($D1057,'WB Data'!$C$3:$M$578,10,FALSE)</f>
        <v>62.907658536585373</v>
      </c>
      <c r="BR1057" s="117">
        <f>VLOOKUP($D1057,'WB Data'!$C$3:$M$578,11,FALSE)</f>
        <v>45.2</v>
      </c>
      <c r="BS1057" s="129" t="str">
        <f>IFERROR(VLOOKUP($D1057,'WB Data 2'!$C$2:$K$545,9,FALSE),"..")</f>
        <v>..</v>
      </c>
      <c r="BT1057" s="129" t="str">
        <f>_xlfn.IFNA(VLOOKUP($C1057,RGI!$A$2:$C$43,2,FALSE),"..")</f>
        <v>..</v>
      </c>
      <c r="BU1057" s="129" t="str">
        <f>_xlfn.IFNA(VLOOKUP($C1057,RGI!$A$2:$C$43,3,FALSE),"..")</f>
        <v>..</v>
      </c>
      <c r="BV1057" s="129">
        <f>VLOOKUP($D1057,WGI!$C$2:$O$478,7,FALSE)</f>
        <v>-0.85846779147558006</v>
      </c>
      <c r="BW1057" s="129">
        <f>VLOOKUP($D1057,WGI!$C$2:$O$478,4,FALSE)</f>
        <v>-0.74802950066964702</v>
      </c>
      <c r="BX1057" s="129">
        <f>VLOOKUP($D1057,WGI!$C$2:$O$478,3,FALSE)</f>
        <v>-0.78264603631290597</v>
      </c>
      <c r="BY1057" s="129">
        <f>VLOOKUP($D1057,WGI!$C$2:$O$478,5,FALSE)</f>
        <v>-0.49934270444890499</v>
      </c>
      <c r="BZ1057" s="129">
        <f>VLOOKUP($D1057,WGI!$C$2:$O$478,2,FALSE)</f>
        <v>-0.19241468597101799</v>
      </c>
      <c r="CB1057" s="129"/>
    </row>
    <row r="1058" spans="1:80" ht="15" customHeight="1">
      <c r="A1058" s="294" t="s">
        <v>322</v>
      </c>
      <c r="B1058" s="214">
        <v>2010</v>
      </c>
      <c r="C1058" s="809" t="s">
        <v>316</v>
      </c>
      <c r="D1058" s="117" t="s">
        <v>3671</v>
      </c>
      <c r="E1058" s="452" t="s">
        <v>86</v>
      </c>
      <c r="F1058" s="117"/>
      <c r="G1058" s="117" t="s">
        <v>24</v>
      </c>
      <c r="H1058" s="117" t="str">
        <f t="shared" si="183"/>
        <v>yes</v>
      </c>
      <c r="I1058" s="117" t="str">
        <f t="shared" si="180"/>
        <v>no</v>
      </c>
      <c r="J1058" s="117" t="str">
        <f t="shared" si="181"/>
        <v>no</v>
      </c>
      <c r="K1058" s="117" t="s">
        <v>709</v>
      </c>
      <c r="L1058" s="117" t="str">
        <f t="shared" si="184"/>
        <v>Total</v>
      </c>
      <c r="M1058" s="117" t="str">
        <f t="shared" si="182"/>
        <v>Total Mining</v>
      </c>
      <c r="N1058" s="89"/>
      <c r="O1058" s="89"/>
      <c r="P1058" s="89"/>
      <c r="Q1058" s="89"/>
      <c r="R1058" s="89"/>
      <c r="S1058" s="179"/>
      <c r="T1058" s="119"/>
      <c r="U1058" s="117"/>
      <c r="V1058" s="117"/>
      <c r="W1058" s="89">
        <f>SUM(W1059:W1065)</f>
        <v>2188697379.9664097</v>
      </c>
      <c r="X1058" s="117"/>
      <c r="Y1058" s="117"/>
      <c r="Z1058" s="117"/>
      <c r="AA1058" s="334">
        <v>160705175.417741</v>
      </c>
      <c r="AB1058" s="334">
        <v>151591513.6386776</v>
      </c>
      <c r="AC1058" s="122"/>
      <c r="AD1058" s="122"/>
      <c r="AE1058" s="122"/>
      <c r="AF1058" s="123">
        <f>AA1058/W1058</f>
        <v>7.3425032116686398E-2</v>
      </c>
      <c r="AG1058" s="117" t="s">
        <v>1672</v>
      </c>
      <c r="AH1058" s="124">
        <v>2090.46</v>
      </c>
      <c r="AI1058" s="117" t="s">
        <v>1673</v>
      </c>
      <c r="AJ1058" s="117" t="s">
        <v>1674</v>
      </c>
      <c r="AK1058" s="89">
        <v>31041.01489624293</v>
      </c>
      <c r="AL1058" s="117"/>
      <c r="AM1058" s="89"/>
      <c r="AN1058" s="117">
        <v>9</v>
      </c>
      <c r="AO1058" s="117" t="s">
        <v>1675</v>
      </c>
      <c r="AP1058" s="117">
        <v>9</v>
      </c>
      <c r="AQ1058" s="117" t="s">
        <v>323</v>
      </c>
      <c r="AR1058" s="126">
        <v>41954</v>
      </c>
      <c r="AS1058" s="117" t="s">
        <v>1382</v>
      </c>
      <c r="AT1058" s="127" t="s">
        <v>324</v>
      </c>
      <c r="AU1058" s="117" t="s">
        <v>1676</v>
      </c>
      <c r="AV1058" s="344" t="s">
        <v>1677</v>
      </c>
      <c r="AW1058" s="117">
        <f>VLOOKUP($D1058,'WB Data'!$C$3:$M$578,2,FALSE)</f>
        <v>8729936135.744875</v>
      </c>
      <c r="AX1058" s="117">
        <f>VLOOKUP($D1058,'WB Data'!$C$3:$M$578,3,FALSE)</f>
        <v>21079532</v>
      </c>
      <c r="AY1058" s="847">
        <f t="shared" si="175"/>
        <v>1.8408516731265707E-2</v>
      </c>
      <c r="AZ1058" s="117">
        <f>VLOOKUP($D1058,'WB Data'!$C$3:$M$578,4,FALSE)/100</f>
        <v>0.11230727854385987</v>
      </c>
      <c r="BA1058" s="117">
        <f t="shared" si="176"/>
        <v>980435369.26720738</v>
      </c>
      <c r="BB1058" s="129">
        <f>IFERROR(VLOOKUP($D1058,'EITI Revenues'!$C$2:$G$224,5,FALSE),"..")</f>
        <v>160705175.41774061</v>
      </c>
      <c r="BC1058" s="846">
        <f t="shared" si="177"/>
        <v>0.16391205423143207</v>
      </c>
      <c r="BD1058" s="129">
        <f>VLOOKUP($D1058,'WB Data 2'!$C$2:$K$545,6,FALSE)</f>
        <v>185271079.36807555</v>
      </c>
      <c r="BE1058" s="129">
        <f>IFERROR(VLOOKUP($D1058,UNCTAD!$C$5:$V$529,4,FALSE),"..")</f>
        <v>2110141009.52</v>
      </c>
      <c r="BF1058" s="846">
        <f t="shared" si="178"/>
        <v>8.7800331130581513E-2</v>
      </c>
      <c r="BG1058" s="117">
        <f>VLOOKUP($D1058,'WB Data'!$C$3:$M$578,5,FALSE)</f>
        <v>470080000</v>
      </c>
      <c r="BH1058" s="129">
        <f>IFERROR($BB1058/$BG1058,"..")</f>
        <v>0.34186771489478518</v>
      </c>
      <c r="BI1058" s="117" t="str">
        <f>IFERROR(VLOOKUP($D1058,'WB Data'!$C$3:$M$578,7,FALSE)/100,"..")</f>
        <v>..</v>
      </c>
      <c r="BJ1058" s="117" t="str">
        <f>IFERROR($BI1058*$AW1058,"..")</f>
        <v>..</v>
      </c>
      <c r="BK1058" s="846" t="str">
        <f>IFERROR($BB1058/$BJ1058,"..")</f>
        <v>..</v>
      </c>
      <c r="BL1058" s="117" t="str">
        <f>IFERROR(VLOOKUP($D1058,'WB Data'!$C$3:$M$578,7,FALSE)/100,"..")</f>
        <v>..</v>
      </c>
      <c r="BM1058" s="117" t="str">
        <f>IFERROR($AW1058*$BL1058,"..")</f>
        <v>..</v>
      </c>
      <c r="BN1058" s="846" t="str">
        <f>IFERROR($BB1058/$BM1058,"..")</f>
        <v>..</v>
      </c>
      <c r="BO1058" s="801">
        <f t="shared" si="174"/>
        <v>28</v>
      </c>
      <c r="BP1058" s="117">
        <f>VLOOKUP($D1058,'WB Data'!$C$3:$M$578,9,FALSE)</f>
        <v>75.3</v>
      </c>
      <c r="BQ1058" s="117">
        <f>VLOOKUP($D1058,'WB Data'!$C$3:$M$578,10,FALSE)</f>
        <v>63.349731707317083</v>
      </c>
      <c r="BR1058" s="117">
        <f>VLOOKUP($D1058,'WB Data'!$C$3:$M$578,11,FALSE)</f>
        <v>43.6</v>
      </c>
      <c r="BS1058" s="129" t="str">
        <f>IFERROR(VLOOKUP($D1058,'WB Data 2'!$C$2:$K$545,9,FALSE),"..")</f>
        <v>..</v>
      </c>
      <c r="BT1058" s="129" t="str">
        <f>_xlfn.IFNA(VLOOKUP($C1058,RGI!$A$2:$C$43,2,FALSE),"..")</f>
        <v>..</v>
      </c>
      <c r="BU1058" s="129" t="str">
        <f>_xlfn.IFNA(VLOOKUP($C1058,RGI!$A$2:$C$43,3,FALSE),"..")</f>
        <v>..</v>
      </c>
      <c r="BV1058" s="129">
        <f>VLOOKUP($D1058,WGI!$C$2:$O$478,7,FALSE)</f>
        <v>-0.82966071240465</v>
      </c>
      <c r="BW1058" s="129">
        <f>VLOOKUP($D1058,WGI!$C$2:$O$478,4,FALSE)</f>
        <v>-1.0456766205424599</v>
      </c>
      <c r="BX1058" s="129">
        <f>VLOOKUP($D1058,WGI!$C$2:$O$478,3,FALSE)</f>
        <v>-0.94658297744993203</v>
      </c>
      <c r="BY1058" s="129">
        <f>VLOOKUP($D1058,WGI!$C$2:$O$478,5,FALSE)</f>
        <v>-0.55728847014559002</v>
      </c>
      <c r="BZ1058" s="129">
        <f>VLOOKUP($D1058,WGI!$C$2:$O$478,2,FALSE)</f>
        <v>-0.27423074953917298</v>
      </c>
    </row>
    <row r="1059" spans="1:80" ht="15" customHeight="1">
      <c r="A1059" s="294" t="s">
        <v>322</v>
      </c>
      <c r="B1059" s="214">
        <v>2010</v>
      </c>
      <c r="C1059" s="809" t="s">
        <v>316</v>
      </c>
      <c r="D1059" s="117" t="s">
        <v>3671</v>
      </c>
      <c r="E1059" s="452" t="s">
        <v>86</v>
      </c>
      <c r="F1059" s="117"/>
      <c r="G1059" s="117" t="s">
        <v>24</v>
      </c>
      <c r="H1059" s="117" t="str">
        <f t="shared" si="183"/>
        <v>yes</v>
      </c>
      <c r="I1059" s="117" t="str">
        <f t="shared" si="180"/>
        <v>no</v>
      </c>
      <c r="J1059" s="117" t="str">
        <f t="shared" si="181"/>
        <v>no</v>
      </c>
      <c r="K1059" s="117" t="s">
        <v>609</v>
      </c>
      <c r="L1059" s="117" t="str">
        <f t="shared" si="184"/>
        <v>detailed</v>
      </c>
      <c r="M1059" s="117" t="str">
        <f t="shared" si="182"/>
        <v>detailed Mining</v>
      </c>
      <c r="N1059" s="89">
        <v>410000</v>
      </c>
      <c r="O1059" s="89"/>
      <c r="P1059" s="89"/>
      <c r="Q1059" s="89"/>
      <c r="R1059" s="89"/>
      <c r="S1059" s="179" t="s">
        <v>610</v>
      </c>
      <c r="T1059" s="119">
        <v>92</v>
      </c>
      <c r="U1059" s="117" t="s">
        <v>611</v>
      </c>
      <c r="V1059" s="117" t="s">
        <v>1217</v>
      </c>
      <c r="W1059" s="89">
        <f t="shared" ref="W1059:W1065" si="185">N1059*T1059</f>
        <v>37720000</v>
      </c>
      <c r="X1059" s="117"/>
      <c r="Y1059" s="117"/>
      <c r="Z1059" s="117"/>
      <c r="AA1059" s="177"/>
      <c r="AB1059" s="177"/>
      <c r="AC1059" s="122"/>
      <c r="AD1059" s="122"/>
      <c r="AE1059" s="122"/>
      <c r="AF1059" s="123"/>
      <c r="AG1059" s="117"/>
      <c r="AH1059" s="124"/>
      <c r="AI1059" s="117"/>
      <c r="AJ1059" s="117"/>
      <c r="AK1059" s="89"/>
      <c r="AL1059" s="117"/>
      <c r="AM1059" s="117"/>
      <c r="AN1059" s="117"/>
      <c r="AO1059" s="117"/>
      <c r="AP1059" s="117"/>
      <c r="AQ1059" s="117"/>
      <c r="AR1059" s="126"/>
      <c r="AS1059" s="117"/>
      <c r="AT1059" s="117"/>
      <c r="AU1059" s="117"/>
      <c r="AV1059" s="533"/>
      <c r="AW1059" s="117">
        <f>VLOOKUP($D1059,'WB Data'!$C$3:$M$578,2,FALSE)</f>
        <v>8729936135.744875</v>
      </c>
      <c r="AX1059" s="117">
        <f>VLOOKUP($D1059,'WB Data'!$C$3:$M$578,3,FALSE)</f>
        <v>21079532</v>
      </c>
      <c r="AY1059" s="847">
        <f t="shared" si="175"/>
        <v>1.8408516731265707E-2</v>
      </c>
      <c r="AZ1059" s="117">
        <f>VLOOKUP($D1059,'WB Data'!$C$3:$M$578,4,FALSE)/100</f>
        <v>0.11230727854385987</v>
      </c>
      <c r="BA1059" s="117">
        <f t="shared" si="176"/>
        <v>980435369.26720738</v>
      </c>
      <c r="BB1059" s="129">
        <f>IFERROR(VLOOKUP($D1059,'EITI Revenues'!$C$2:$G$224,5,FALSE),"..")</f>
        <v>160705175.41774061</v>
      </c>
      <c r="BC1059" s="846">
        <f t="shared" si="177"/>
        <v>0.16391205423143207</v>
      </c>
      <c r="BD1059" s="129">
        <f>VLOOKUP($D1059,'WB Data 2'!$C$2:$K$545,6,FALSE)</f>
        <v>185271079.36807555</v>
      </c>
      <c r="BE1059" s="129">
        <f>IFERROR(VLOOKUP($D1059,UNCTAD!$C$5:$V$529,4,FALSE),"..")</f>
        <v>2110141009.52</v>
      </c>
      <c r="BF1059" s="846">
        <f t="shared" si="178"/>
        <v>8.7800331130581513E-2</v>
      </c>
      <c r="BG1059" s="117">
        <f>VLOOKUP($D1059,'WB Data'!$C$3:$M$578,5,FALSE)</f>
        <v>470080000</v>
      </c>
      <c r="BH1059" s="129">
        <f>IFERROR($BB1059/$BG1059,"..")</f>
        <v>0.34186771489478518</v>
      </c>
      <c r="BI1059" s="117" t="str">
        <f>IFERROR(VLOOKUP($D1059,'WB Data'!$C$3:$M$578,7,FALSE)/100,"..")</f>
        <v>..</v>
      </c>
      <c r="BJ1059" s="117" t="str">
        <f>IFERROR($BI1059*$AW1059,"..")</f>
        <v>..</v>
      </c>
      <c r="BK1059" s="846" t="str">
        <f>IFERROR($BB1059/$BJ1059,"..")</f>
        <v>..</v>
      </c>
      <c r="BL1059" s="117" t="str">
        <f>IFERROR(VLOOKUP($D1059,'WB Data'!$C$3:$M$578,7,FALSE)/100,"..")</f>
        <v>..</v>
      </c>
      <c r="BM1059" s="117" t="str">
        <f>IFERROR($AW1059*$BL1059,"..")</f>
        <v>..</v>
      </c>
      <c r="BN1059" s="846" t="str">
        <f>IFERROR($BB1059/$BM1059,"..")</f>
        <v>..</v>
      </c>
      <c r="BO1059" s="801">
        <f t="shared" si="174"/>
        <v>28</v>
      </c>
      <c r="BP1059" s="117">
        <f>VLOOKUP($D1059,'WB Data'!$C$3:$M$578,9,FALSE)</f>
        <v>75.3</v>
      </c>
      <c r="BQ1059" s="117">
        <f>VLOOKUP($D1059,'WB Data'!$C$3:$M$578,10,FALSE)</f>
        <v>63.349731707317083</v>
      </c>
      <c r="BR1059" s="117">
        <f>VLOOKUP($D1059,'WB Data'!$C$3:$M$578,11,FALSE)</f>
        <v>43.6</v>
      </c>
      <c r="BS1059" s="129" t="str">
        <f>IFERROR(VLOOKUP($D1059,'WB Data 2'!$C$2:$K$545,9,FALSE),"..")</f>
        <v>..</v>
      </c>
      <c r="BT1059" s="129" t="str">
        <f>_xlfn.IFNA(VLOOKUP($C1059,RGI!$A$2:$C$43,2,FALSE),"..")</f>
        <v>..</v>
      </c>
      <c r="BU1059" s="129" t="str">
        <f>_xlfn.IFNA(VLOOKUP($C1059,RGI!$A$2:$C$43,3,FALSE),"..")</f>
        <v>..</v>
      </c>
      <c r="BV1059" s="129">
        <f>VLOOKUP($D1059,WGI!$C$2:$O$478,7,FALSE)</f>
        <v>-0.82966071240465</v>
      </c>
      <c r="BW1059" s="129">
        <f>VLOOKUP($D1059,WGI!$C$2:$O$478,4,FALSE)</f>
        <v>-1.0456766205424599</v>
      </c>
      <c r="BX1059" s="129">
        <f>VLOOKUP($D1059,WGI!$C$2:$O$478,3,FALSE)</f>
        <v>-0.94658297744993203</v>
      </c>
      <c r="BY1059" s="129">
        <f>VLOOKUP($D1059,WGI!$C$2:$O$478,5,FALSE)</f>
        <v>-0.55728847014559002</v>
      </c>
      <c r="BZ1059" s="129">
        <f>VLOOKUP($D1059,WGI!$C$2:$O$478,2,FALSE)</f>
        <v>-0.27423074953917298</v>
      </c>
    </row>
    <row r="1060" spans="1:80" ht="15" customHeight="1">
      <c r="A1060" s="294" t="s">
        <v>322</v>
      </c>
      <c r="B1060" s="214">
        <v>2010</v>
      </c>
      <c r="C1060" s="809" t="s">
        <v>316</v>
      </c>
      <c r="D1060" s="117" t="s">
        <v>3671</v>
      </c>
      <c r="E1060" s="452" t="s">
        <v>86</v>
      </c>
      <c r="F1060" s="117"/>
      <c r="G1060" s="117" t="s">
        <v>24</v>
      </c>
      <c r="H1060" s="117" t="str">
        <f t="shared" si="183"/>
        <v>yes</v>
      </c>
      <c r="I1060" s="117" t="str">
        <f t="shared" si="180"/>
        <v>no</v>
      </c>
      <c r="J1060" s="117" t="str">
        <f t="shared" si="181"/>
        <v>no</v>
      </c>
      <c r="K1060" s="117" t="s">
        <v>726</v>
      </c>
      <c r="L1060" s="117" t="str">
        <f t="shared" si="184"/>
        <v>detailed</v>
      </c>
      <c r="M1060" s="117" t="str">
        <f t="shared" si="182"/>
        <v>detailed Mining</v>
      </c>
      <c r="N1060" s="89">
        <v>134500</v>
      </c>
      <c r="O1060" s="89"/>
      <c r="P1060" s="89"/>
      <c r="Q1060" s="89"/>
      <c r="R1060" s="89"/>
      <c r="S1060" s="179" t="s">
        <v>610</v>
      </c>
      <c r="T1060" s="119">
        <v>11322</v>
      </c>
      <c r="U1060" s="117" t="s">
        <v>611</v>
      </c>
      <c r="V1060" s="401" t="s">
        <v>1669</v>
      </c>
      <c r="W1060" s="89">
        <f t="shared" si="185"/>
        <v>1522809000</v>
      </c>
      <c r="X1060" s="117"/>
      <c r="Y1060" s="117"/>
      <c r="Z1060" s="117"/>
      <c r="AA1060" s="177"/>
      <c r="AB1060" s="177"/>
      <c r="AC1060" s="122"/>
      <c r="AD1060" s="122"/>
      <c r="AE1060" s="122"/>
      <c r="AF1060" s="123"/>
      <c r="AG1060" s="117"/>
      <c r="AH1060" s="124"/>
      <c r="AI1060" s="117"/>
      <c r="AJ1060" s="117"/>
      <c r="AK1060" s="89"/>
      <c r="AL1060" s="117"/>
      <c r="AM1060" s="117"/>
      <c r="AN1060" s="117"/>
      <c r="AO1060" s="117"/>
      <c r="AP1060" s="117"/>
      <c r="AQ1060" s="117"/>
      <c r="AR1060" s="126"/>
      <c r="AS1060" s="117"/>
      <c r="AT1060" s="117"/>
      <c r="AU1060" s="117"/>
      <c r="AV1060" s="533"/>
      <c r="AW1060" s="117">
        <f>VLOOKUP($D1060,'WB Data'!$C$3:$M$578,2,FALSE)</f>
        <v>8729936135.744875</v>
      </c>
      <c r="AX1060" s="117">
        <f>VLOOKUP($D1060,'WB Data'!$C$3:$M$578,3,FALSE)</f>
        <v>21079532</v>
      </c>
      <c r="AY1060" s="847">
        <f t="shared" si="175"/>
        <v>1.8408516731265707E-2</v>
      </c>
      <c r="AZ1060" s="117">
        <f>VLOOKUP($D1060,'WB Data'!$C$3:$M$578,4,FALSE)/100</f>
        <v>0.11230727854385987</v>
      </c>
      <c r="BA1060" s="117">
        <f t="shared" si="176"/>
        <v>980435369.26720738</v>
      </c>
      <c r="BB1060" s="129">
        <f>IFERROR(VLOOKUP($D1060,'EITI Revenues'!$C$2:$G$224,5,FALSE),"..")</f>
        <v>160705175.41774061</v>
      </c>
      <c r="BC1060" s="846">
        <f t="shared" si="177"/>
        <v>0.16391205423143207</v>
      </c>
      <c r="BD1060" s="129">
        <f>VLOOKUP($D1060,'WB Data 2'!$C$2:$K$545,6,FALSE)</f>
        <v>185271079.36807555</v>
      </c>
      <c r="BE1060" s="129">
        <f>IFERROR(VLOOKUP($D1060,UNCTAD!$C$5:$V$529,4,FALSE),"..")</f>
        <v>2110141009.52</v>
      </c>
      <c r="BF1060" s="846">
        <f t="shared" si="178"/>
        <v>8.7800331130581513E-2</v>
      </c>
      <c r="BG1060" s="117">
        <f>VLOOKUP($D1060,'WB Data'!$C$3:$M$578,5,FALSE)</f>
        <v>470080000</v>
      </c>
      <c r="BH1060" s="129">
        <f>IFERROR($BB1060/$BG1060,"..")</f>
        <v>0.34186771489478518</v>
      </c>
      <c r="BI1060" s="117" t="str">
        <f>IFERROR(VLOOKUP($D1060,'WB Data'!$C$3:$M$578,7,FALSE)/100,"..")</f>
        <v>..</v>
      </c>
      <c r="BJ1060" s="117" t="str">
        <f>IFERROR($BI1060*$AW1060,"..")</f>
        <v>..</v>
      </c>
      <c r="BK1060" s="846" t="str">
        <f>IFERROR($BB1060/$BJ1060,"..")</f>
        <v>..</v>
      </c>
      <c r="BL1060" s="117" t="str">
        <f>IFERROR(VLOOKUP($D1060,'WB Data'!$C$3:$M$578,7,FALSE)/100,"..")</f>
        <v>..</v>
      </c>
      <c r="BM1060" s="117" t="str">
        <f>IFERROR($AW1060*$BL1060,"..")</f>
        <v>..</v>
      </c>
      <c r="BN1060" s="846" t="str">
        <f>IFERROR($BB1060/$BM1060,"..")</f>
        <v>..</v>
      </c>
      <c r="BO1060" s="801">
        <f t="shared" si="174"/>
        <v>28</v>
      </c>
      <c r="BP1060" s="117">
        <f>VLOOKUP($D1060,'WB Data'!$C$3:$M$578,9,FALSE)</f>
        <v>75.3</v>
      </c>
      <c r="BQ1060" s="117">
        <f>VLOOKUP($D1060,'WB Data'!$C$3:$M$578,10,FALSE)</f>
        <v>63.349731707317083</v>
      </c>
      <c r="BR1060" s="117">
        <f>VLOOKUP($D1060,'WB Data'!$C$3:$M$578,11,FALSE)</f>
        <v>43.6</v>
      </c>
      <c r="BS1060" s="129" t="str">
        <f>IFERROR(VLOOKUP($D1060,'WB Data 2'!$C$2:$K$545,9,FALSE),"..")</f>
        <v>..</v>
      </c>
      <c r="BT1060" s="129" t="str">
        <f>_xlfn.IFNA(VLOOKUP($C1060,RGI!$A$2:$C$43,2,FALSE),"..")</f>
        <v>..</v>
      </c>
      <c r="BU1060" s="129" t="str">
        <f>_xlfn.IFNA(VLOOKUP($C1060,RGI!$A$2:$C$43,3,FALSE),"..")</f>
        <v>..</v>
      </c>
      <c r="BV1060" s="129">
        <f>VLOOKUP($D1060,WGI!$C$2:$O$478,7,FALSE)</f>
        <v>-0.82966071240465</v>
      </c>
      <c r="BW1060" s="129">
        <f>VLOOKUP($D1060,WGI!$C$2:$O$478,4,FALSE)</f>
        <v>-1.0456766205424599</v>
      </c>
      <c r="BX1060" s="129">
        <f>VLOOKUP($D1060,WGI!$C$2:$O$478,3,FALSE)</f>
        <v>-0.94658297744993203</v>
      </c>
      <c r="BY1060" s="129">
        <f>VLOOKUP($D1060,WGI!$C$2:$O$478,5,FALSE)</f>
        <v>-0.55728847014559002</v>
      </c>
      <c r="BZ1060" s="129">
        <f>VLOOKUP($D1060,WGI!$C$2:$O$478,2,FALSE)</f>
        <v>-0.27423074953917298</v>
      </c>
    </row>
    <row r="1061" spans="1:80" ht="15" customHeight="1">
      <c r="A1061" s="294" t="s">
        <v>322</v>
      </c>
      <c r="B1061" s="214">
        <v>2010</v>
      </c>
      <c r="C1061" s="809" t="s">
        <v>316</v>
      </c>
      <c r="D1061" s="117" t="s">
        <v>3671</v>
      </c>
      <c r="E1061" s="452" t="s">
        <v>86</v>
      </c>
      <c r="F1061" s="117"/>
      <c r="G1061" s="117" t="s">
        <v>24</v>
      </c>
      <c r="H1061" s="117" t="str">
        <f t="shared" si="183"/>
        <v>yes</v>
      </c>
      <c r="I1061" s="117" t="str">
        <f t="shared" si="180"/>
        <v>no</v>
      </c>
      <c r="J1061" s="117" t="str">
        <f t="shared" si="181"/>
        <v>no</v>
      </c>
      <c r="K1061" s="117" t="s">
        <v>1061</v>
      </c>
      <c r="L1061" s="117" t="str">
        <f t="shared" si="184"/>
        <v>detailed</v>
      </c>
      <c r="M1061" s="117" t="str">
        <f t="shared" si="182"/>
        <v>detailed Mining</v>
      </c>
      <c r="N1061" s="89">
        <v>165</v>
      </c>
      <c r="O1061" s="89"/>
      <c r="P1061" s="89">
        <v>5600</v>
      </c>
      <c r="Q1061" s="89"/>
      <c r="R1061" s="89"/>
      <c r="S1061" s="179" t="s">
        <v>610</v>
      </c>
      <c r="T1061" s="119">
        <f>20.85/0.000453592</f>
        <v>45966.419160831763</v>
      </c>
      <c r="U1061" s="117" t="s">
        <v>611</v>
      </c>
      <c r="V1061" s="117" t="s">
        <v>1678</v>
      </c>
      <c r="W1061" s="89">
        <f t="shared" si="185"/>
        <v>7584459.1615372412</v>
      </c>
      <c r="X1061" s="117"/>
      <c r="Y1061" s="117"/>
      <c r="Z1061" s="117"/>
      <c r="AA1061" s="177"/>
      <c r="AB1061" s="177"/>
      <c r="AC1061" s="122"/>
      <c r="AD1061" s="122"/>
      <c r="AE1061" s="122"/>
      <c r="AF1061" s="123"/>
      <c r="AG1061" s="117"/>
      <c r="AH1061" s="124"/>
      <c r="AI1061" s="117"/>
      <c r="AJ1061" s="117"/>
      <c r="AK1061" s="89"/>
      <c r="AL1061" s="117"/>
      <c r="AM1061" s="117"/>
      <c r="AN1061" s="117"/>
      <c r="AO1061" s="117"/>
      <c r="AP1061" s="117"/>
      <c r="AQ1061" s="117"/>
      <c r="AR1061" s="126"/>
      <c r="AS1061" s="117"/>
      <c r="AT1061" s="117"/>
      <c r="AU1061" s="117"/>
      <c r="AV1061" s="533"/>
      <c r="AW1061" s="117">
        <f>VLOOKUP($D1061,'WB Data'!$C$3:$M$578,2,FALSE)</f>
        <v>8729936135.744875</v>
      </c>
      <c r="AX1061" s="117">
        <f>VLOOKUP($D1061,'WB Data'!$C$3:$M$578,3,FALSE)</f>
        <v>21079532</v>
      </c>
      <c r="AY1061" s="847">
        <f t="shared" si="175"/>
        <v>1.8408516731265707E-2</v>
      </c>
      <c r="AZ1061" s="117">
        <f>VLOOKUP($D1061,'WB Data'!$C$3:$M$578,4,FALSE)/100</f>
        <v>0.11230727854385987</v>
      </c>
      <c r="BA1061" s="117">
        <f t="shared" si="176"/>
        <v>980435369.26720738</v>
      </c>
      <c r="BB1061" s="129">
        <f>IFERROR(VLOOKUP($D1061,'EITI Revenues'!$C$2:$G$224,5,FALSE),"..")</f>
        <v>160705175.41774061</v>
      </c>
      <c r="BC1061" s="846">
        <f t="shared" si="177"/>
        <v>0.16391205423143207</v>
      </c>
      <c r="BD1061" s="129">
        <f>VLOOKUP($D1061,'WB Data 2'!$C$2:$K$545,6,FALSE)</f>
        <v>185271079.36807555</v>
      </c>
      <c r="BE1061" s="129">
        <f>IFERROR(VLOOKUP($D1061,UNCTAD!$C$5:$V$529,4,FALSE),"..")</f>
        <v>2110141009.52</v>
      </c>
      <c r="BF1061" s="846">
        <f t="shared" si="178"/>
        <v>8.7800331130581513E-2</v>
      </c>
      <c r="BG1061" s="117">
        <f>VLOOKUP($D1061,'WB Data'!$C$3:$M$578,5,FALSE)</f>
        <v>470080000</v>
      </c>
      <c r="BH1061" s="129">
        <f>IFERROR($BB1061/$BG1061,"..")</f>
        <v>0.34186771489478518</v>
      </c>
      <c r="BI1061" s="117" t="str">
        <f>IFERROR(VLOOKUP($D1061,'WB Data'!$C$3:$M$578,7,FALSE)/100,"..")</f>
        <v>..</v>
      </c>
      <c r="BJ1061" s="117" t="str">
        <f>IFERROR($BI1061*$AW1061,"..")</f>
        <v>..</v>
      </c>
      <c r="BK1061" s="846" t="str">
        <f>IFERROR($BB1061/$BJ1061,"..")</f>
        <v>..</v>
      </c>
      <c r="BL1061" s="117" t="str">
        <f>IFERROR(VLOOKUP($D1061,'WB Data'!$C$3:$M$578,7,FALSE)/100,"..")</f>
        <v>..</v>
      </c>
      <c r="BM1061" s="117" t="str">
        <f>IFERROR($AW1061*$BL1061,"..")</f>
        <v>..</v>
      </c>
      <c r="BN1061" s="846" t="str">
        <f>IFERROR($BB1061/$BM1061,"..")</f>
        <v>..</v>
      </c>
      <c r="BO1061" s="801">
        <f t="shared" si="174"/>
        <v>28</v>
      </c>
      <c r="BP1061" s="117">
        <f>VLOOKUP($D1061,'WB Data'!$C$3:$M$578,9,FALSE)</f>
        <v>75.3</v>
      </c>
      <c r="BQ1061" s="117">
        <f>VLOOKUP($D1061,'WB Data'!$C$3:$M$578,10,FALSE)</f>
        <v>63.349731707317083</v>
      </c>
      <c r="BR1061" s="117">
        <f>VLOOKUP($D1061,'WB Data'!$C$3:$M$578,11,FALSE)</f>
        <v>43.6</v>
      </c>
      <c r="BS1061" s="129" t="str">
        <f>IFERROR(VLOOKUP($D1061,'WB Data 2'!$C$2:$K$545,9,FALSE),"..")</f>
        <v>..</v>
      </c>
      <c r="BT1061" s="129" t="str">
        <f>_xlfn.IFNA(VLOOKUP($C1061,RGI!$A$2:$C$43,2,FALSE),"..")</f>
        <v>..</v>
      </c>
      <c r="BU1061" s="129" t="str">
        <f>_xlfn.IFNA(VLOOKUP($C1061,RGI!$A$2:$C$43,3,FALSE),"..")</f>
        <v>..</v>
      </c>
      <c r="BV1061" s="129">
        <f>VLOOKUP($D1061,WGI!$C$2:$O$478,7,FALSE)</f>
        <v>-0.82966071240465</v>
      </c>
      <c r="BW1061" s="129">
        <f>VLOOKUP($D1061,WGI!$C$2:$O$478,4,FALSE)</f>
        <v>-1.0456766205424599</v>
      </c>
      <c r="BX1061" s="129">
        <f>VLOOKUP($D1061,WGI!$C$2:$O$478,3,FALSE)</f>
        <v>-0.94658297744993203</v>
      </c>
      <c r="BY1061" s="129">
        <f>VLOOKUP($D1061,WGI!$C$2:$O$478,5,FALSE)</f>
        <v>-0.55728847014559002</v>
      </c>
      <c r="BZ1061" s="129">
        <f>VLOOKUP($D1061,WGI!$C$2:$O$478,2,FALSE)</f>
        <v>-0.27423074953917298</v>
      </c>
    </row>
    <row r="1062" spans="1:80" ht="15" customHeight="1">
      <c r="A1062" s="294" t="s">
        <v>322</v>
      </c>
      <c r="B1062" s="214">
        <v>2010</v>
      </c>
      <c r="C1062" s="809" t="s">
        <v>316</v>
      </c>
      <c r="D1062" s="117" t="s">
        <v>3671</v>
      </c>
      <c r="E1062" s="452" t="s">
        <v>86</v>
      </c>
      <c r="F1062" s="117"/>
      <c r="G1062" s="117" t="s">
        <v>24</v>
      </c>
      <c r="H1062" s="117" t="str">
        <f t="shared" si="183"/>
        <v>yes</v>
      </c>
      <c r="I1062" s="117" t="str">
        <f t="shared" si="180"/>
        <v>no</v>
      </c>
      <c r="J1062" s="117" t="str">
        <f t="shared" si="181"/>
        <v>no</v>
      </c>
      <c r="K1062" s="117" t="s">
        <v>784</v>
      </c>
      <c r="L1062" s="117" t="str">
        <f t="shared" si="184"/>
        <v>detailed</v>
      </c>
      <c r="M1062" s="117" t="str">
        <f t="shared" si="182"/>
        <v>detailed Mining</v>
      </c>
      <c r="N1062" s="89">
        <f>30*32.150743126506</f>
        <v>964.52229379518008</v>
      </c>
      <c r="O1062" s="89"/>
      <c r="P1062" s="89"/>
      <c r="Q1062" s="89"/>
      <c r="R1062" s="89"/>
      <c r="S1062" s="179" t="s">
        <v>785</v>
      </c>
      <c r="T1062" s="119">
        <v>1224.66425</v>
      </c>
      <c r="U1062" s="117" t="s">
        <v>786</v>
      </c>
      <c r="V1062" s="401" t="s">
        <v>787</v>
      </c>
      <c r="W1062" s="89">
        <f t="shared" si="185"/>
        <v>1181215.9715389539</v>
      </c>
      <c r="X1062" s="117"/>
      <c r="Y1062" s="117"/>
      <c r="Z1062" s="117"/>
      <c r="AA1062" s="177"/>
      <c r="AB1062" s="177"/>
      <c r="AC1062" s="122"/>
      <c r="AD1062" s="122"/>
      <c r="AE1062" s="122"/>
      <c r="AF1062" s="123"/>
      <c r="AG1062" s="117"/>
      <c r="AH1062" s="124"/>
      <c r="AI1062" s="117"/>
      <c r="AJ1062" s="117"/>
      <c r="AK1062" s="89"/>
      <c r="AL1062" s="117"/>
      <c r="AM1062" s="117"/>
      <c r="AN1062" s="117"/>
      <c r="AO1062" s="117"/>
      <c r="AP1062" s="117"/>
      <c r="AQ1062" s="117"/>
      <c r="AR1062" s="126"/>
      <c r="AS1062" s="117"/>
      <c r="AT1062" s="117"/>
      <c r="AU1062" s="117"/>
      <c r="AV1062" s="533"/>
      <c r="AW1062" s="117">
        <f>VLOOKUP($D1062,'WB Data'!$C$3:$M$578,2,FALSE)</f>
        <v>8729936135.744875</v>
      </c>
      <c r="AX1062" s="117">
        <f>VLOOKUP($D1062,'WB Data'!$C$3:$M$578,3,FALSE)</f>
        <v>21079532</v>
      </c>
      <c r="AY1062" s="847">
        <f t="shared" si="175"/>
        <v>1.8408516731265707E-2</v>
      </c>
      <c r="AZ1062" s="117">
        <f>VLOOKUP($D1062,'WB Data'!$C$3:$M$578,4,FALSE)/100</f>
        <v>0.11230727854385987</v>
      </c>
      <c r="BA1062" s="117">
        <f t="shared" si="176"/>
        <v>980435369.26720738</v>
      </c>
      <c r="BB1062" s="129">
        <f>IFERROR(VLOOKUP($D1062,'EITI Revenues'!$C$2:$G$224,5,FALSE),"..")</f>
        <v>160705175.41774061</v>
      </c>
      <c r="BC1062" s="846">
        <f t="shared" si="177"/>
        <v>0.16391205423143207</v>
      </c>
      <c r="BD1062" s="129">
        <f>VLOOKUP($D1062,'WB Data 2'!$C$2:$K$545,6,FALSE)</f>
        <v>185271079.36807555</v>
      </c>
      <c r="BE1062" s="129">
        <f>IFERROR(VLOOKUP($D1062,UNCTAD!$C$5:$V$529,4,FALSE),"..")</f>
        <v>2110141009.52</v>
      </c>
      <c r="BF1062" s="846">
        <f t="shared" si="178"/>
        <v>8.7800331130581513E-2</v>
      </c>
      <c r="BG1062" s="117">
        <f>VLOOKUP($D1062,'WB Data'!$C$3:$M$578,5,FALSE)</f>
        <v>470080000</v>
      </c>
      <c r="BH1062" s="129">
        <f>IFERROR($BB1062/$BG1062,"..")</f>
        <v>0.34186771489478518</v>
      </c>
      <c r="BI1062" s="117" t="str">
        <f>IFERROR(VLOOKUP($D1062,'WB Data'!$C$3:$M$578,7,FALSE)/100,"..")</f>
        <v>..</v>
      </c>
      <c r="BJ1062" s="117" t="str">
        <f>IFERROR($BI1062*$AW1062,"..")</f>
        <v>..</v>
      </c>
      <c r="BK1062" s="846" t="str">
        <f>IFERROR($BB1062/$BJ1062,"..")</f>
        <v>..</v>
      </c>
      <c r="BL1062" s="117" t="str">
        <f>IFERROR(VLOOKUP($D1062,'WB Data'!$C$3:$M$578,7,FALSE)/100,"..")</f>
        <v>..</v>
      </c>
      <c r="BM1062" s="117" t="str">
        <f>IFERROR($AW1062*$BL1062,"..")</f>
        <v>..</v>
      </c>
      <c r="BN1062" s="846" t="str">
        <f>IFERROR($BB1062/$BM1062,"..")</f>
        <v>..</v>
      </c>
      <c r="BO1062" s="801">
        <f t="shared" si="174"/>
        <v>28</v>
      </c>
      <c r="BP1062" s="117">
        <f>VLOOKUP($D1062,'WB Data'!$C$3:$M$578,9,FALSE)</f>
        <v>75.3</v>
      </c>
      <c r="BQ1062" s="117">
        <f>VLOOKUP($D1062,'WB Data'!$C$3:$M$578,10,FALSE)</f>
        <v>63.349731707317083</v>
      </c>
      <c r="BR1062" s="117">
        <f>VLOOKUP($D1062,'WB Data'!$C$3:$M$578,11,FALSE)</f>
        <v>43.6</v>
      </c>
      <c r="BS1062" s="129" t="str">
        <f>IFERROR(VLOOKUP($D1062,'WB Data 2'!$C$2:$K$545,9,FALSE),"..")</f>
        <v>..</v>
      </c>
      <c r="BT1062" s="129" t="str">
        <f>_xlfn.IFNA(VLOOKUP($C1062,RGI!$A$2:$C$43,2,FALSE),"..")</f>
        <v>..</v>
      </c>
      <c r="BU1062" s="129" t="str">
        <f>_xlfn.IFNA(VLOOKUP($C1062,RGI!$A$2:$C$43,3,FALSE),"..")</f>
        <v>..</v>
      </c>
      <c r="BV1062" s="129">
        <f>VLOOKUP($D1062,WGI!$C$2:$O$478,7,FALSE)</f>
        <v>-0.82966071240465</v>
      </c>
      <c r="BW1062" s="129">
        <f>VLOOKUP($D1062,WGI!$C$2:$O$478,4,FALSE)</f>
        <v>-1.0456766205424599</v>
      </c>
      <c r="BX1062" s="129">
        <f>VLOOKUP($D1062,WGI!$C$2:$O$478,3,FALSE)</f>
        <v>-0.94658297744993203</v>
      </c>
      <c r="BY1062" s="129">
        <f>VLOOKUP($D1062,WGI!$C$2:$O$478,5,FALSE)</f>
        <v>-0.55728847014559002</v>
      </c>
      <c r="BZ1062" s="129">
        <f>VLOOKUP($D1062,WGI!$C$2:$O$478,2,FALSE)</f>
        <v>-0.27423074953917298</v>
      </c>
    </row>
    <row r="1063" spans="1:80" ht="15" customHeight="1">
      <c r="A1063" s="294" t="s">
        <v>322</v>
      </c>
      <c r="B1063" s="214">
        <v>2010</v>
      </c>
      <c r="C1063" s="809" t="s">
        <v>316</v>
      </c>
      <c r="D1063" s="117" t="s">
        <v>3671</v>
      </c>
      <c r="E1063" s="452" t="s">
        <v>86</v>
      </c>
      <c r="F1063" s="117"/>
      <c r="G1063" s="117" t="s">
        <v>24</v>
      </c>
      <c r="H1063" s="117" t="str">
        <f t="shared" si="183"/>
        <v>yes</v>
      </c>
      <c r="I1063" s="117" t="str">
        <f t="shared" si="180"/>
        <v>no</v>
      </c>
      <c r="J1063" s="117" t="str">
        <f t="shared" si="181"/>
        <v>no</v>
      </c>
      <c r="K1063" s="117" t="s">
        <v>1670</v>
      </c>
      <c r="L1063" s="117" t="str">
        <f t="shared" si="184"/>
        <v>detailed</v>
      </c>
      <c r="M1063" s="117" t="str">
        <f t="shared" si="182"/>
        <v>detailed Mining</v>
      </c>
      <c r="N1063" s="89">
        <v>287000</v>
      </c>
      <c r="O1063" s="89"/>
      <c r="P1063" s="89"/>
      <c r="Q1063" s="89"/>
      <c r="R1063" s="89"/>
      <c r="S1063" s="179" t="s">
        <v>610</v>
      </c>
      <c r="T1063" s="119">
        <v>75</v>
      </c>
      <c r="U1063" s="117" t="s">
        <v>611</v>
      </c>
      <c r="V1063" s="117" t="s">
        <v>1671</v>
      </c>
      <c r="W1063" s="89">
        <f t="shared" si="185"/>
        <v>21525000</v>
      </c>
      <c r="X1063" s="117"/>
      <c r="Y1063" s="117"/>
      <c r="Z1063" s="117"/>
      <c r="AA1063" s="177"/>
      <c r="AB1063" s="177"/>
      <c r="AC1063" s="122"/>
      <c r="AD1063" s="122"/>
      <c r="AE1063" s="122"/>
      <c r="AF1063" s="123"/>
      <c r="AG1063" s="117"/>
      <c r="AH1063" s="124"/>
      <c r="AI1063" s="117"/>
      <c r="AJ1063" s="117"/>
      <c r="AK1063" s="89"/>
      <c r="AL1063" s="117"/>
      <c r="AM1063" s="117"/>
      <c r="AN1063" s="117"/>
      <c r="AO1063" s="117"/>
      <c r="AP1063" s="117"/>
      <c r="AQ1063" s="117"/>
      <c r="AR1063" s="126"/>
      <c r="AS1063" s="117"/>
      <c r="AT1063" s="117"/>
      <c r="AU1063" s="117"/>
      <c r="AV1063" s="533"/>
      <c r="AW1063" s="117">
        <f>VLOOKUP($D1063,'WB Data'!$C$3:$M$578,2,FALSE)</f>
        <v>8729936135.744875</v>
      </c>
      <c r="AX1063" s="117">
        <f>VLOOKUP($D1063,'WB Data'!$C$3:$M$578,3,FALSE)</f>
        <v>21079532</v>
      </c>
      <c r="AY1063" s="847">
        <f t="shared" si="175"/>
        <v>1.8408516731265707E-2</v>
      </c>
      <c r="AZ1063" s="117">
        <f>VLOOKUP($D1063,'WB Data'!$C$3:$M$578,4,FALSE)/100</f>
        <v>0.11230727854385987</v>
      </c>
      <c r="BA1063" s="117">
        <f t="shared" si="176"/>
        <v>980435369.26720738</v>
      </c>
      <c r="BB1063" s="129">
        <f>IFERROR(VLOOKUP($D1063,'EITI Revenues'!$C$2:$G$224,5,FALSE),"..")</f>
        <v>160705175.41774061</v>
      </c>
      <c r="BC1063" s="846">
        <f t="shared" si="177"/>
        <v>0.16391205423143207</v>
      </c>
      <c r="BD1063" s="129">
        <f>VLOOKUP($D1063,'WB Data 2'!$C$2:$K$545,6,FALSE)</f>
        <v>185271079.36807555</v>
      </c>
      <c r="BE1063" s="129">
        <f>IFERROR(VLOOKUP($D1063,UNCTAD!$C$5:$V$529,4,FALSE),"..")</f>
        <v>2110141009.52</v>
      </c>
      <c r="BF1063" s="846">
        <f t="shared" si="178"/>
        <v>8.7800331130581513E-2</v>
      </c>
      <c r="BG1063" s="117">
        <f>VLOOKUP($D1063,'WB Data'!$C$3:$M$578,5,FALSE)</f>
        <v>470080000</v>
      </c>
      <c r="BH1063" s="129">
        <f>IFERROR($BB1063/$BG1063,"..")</f>
        <v>0.34186771489478518</v>
      </c>
      <c r="BI1063" s="117" t="str">
        <f>IFERROR(VLOOKUP($D1063,'WB Data'!$C$3:$M$578,7,FALSE)/100,"..")</f>
        <v>..</v>
      </c>
      <c r="BJ1063" s="117" t="str">
        <f>IFERROR($BI1063*$AW1063,"..")</f>
        <v>..</v>
      </c>
      <c r="BK1063" s="846" t="str">
        <f>IFERROR($BB1063/$BJ1063,"..")</f>
        <v>..</v>
      </c>
      <c r="BL1063" s="117" t="str">
        <f>IFERROR(VLOOKUP($D1063,'WB Data'!$C$3:$M$578,7,FALSE)/100,"..")</f>
        <v>..</v>
      </c>
      <c r="BM1063" s="117" t="str">
        <f>IFERROR($AW1063*$BL1063,"..")</f>
        <v>..</v>
      </c>
      <c r="BN1063" s="846" t="str">
        <f>IFERROR($BB1063/$BM1063,"..")</f>
        <v>..</v>
      </c>
      <c r="BO1063" s="801">
        <f t="shared" si="174"/>
        <v>28</v>
      </c>
      <c r="BP1063" s="117">
        <f>VLOOKUP($D1063,'WB Data'!$C$3:$M$578,9,FALSE)</f>
        <v>75.3</v>
      </c>
      <c r="BQ1063" s="117">
        <f>VLOOKUP($D1063,'WB Data'!$C$3:$M$578,10,FALSE)</f>
        <v>63.349731707317083</v>
      </c>
      <c r="BR1063" s="117">
        <f>VLOOKUP($D1063,'WB Data'!$C$3:$M$578,11,FALSE)</f>
        <v>43.6</v>
      </c>
      <c r="BS1063" s="129" t="str">
        <f>IFERROR(VLOOKUP($D1063,'WB Data 2'!$C$2:$K$545,9,FALSE),"..")</f>
        <v>..</v>
      </c>
      <c r="BT1063" s="129" t="str">
        <f>_xlfn.IFNA(VLOOKUP($C1063,RGI!$A$2:$C$43,2,FALSE),"..")</f>
        <v>..</v>
      </c>
      <c r="BU1063" s="129" t="str">
        <f>_xlfn.IFNA(VLOOKUP($C1063,RGI!$A$2:$C$43,3,FALSE),"..")</f>
        <v>..</v>
      </c>
      <c r="BV1063" s="129">
        <f>VLOOKUP($D1063,WGI!$C$2:$O$478,7,FALSE)</f>
        <v>-0.82966071240465</v>
      </c>
      <c r="BW1063" s="129">
        <f>VLOOKUP($D1063,WGI!$C$2:$O$478,4,FALSE)</f>
        <v>-1.0456766205424599</v>
      </c>
      <c r="BX1063" s="129">
        <f>VLOOKUP($D1063,WGI!$C$2:$O$478,3,FALSE)</f>
        <v>-0.94658297744993203</v>
      </c>
      <c r="BY1063" s="129">
        <f>VLOOKUP($D1063,WGI!$C$2:$O$478,5,FALSE)</f>
        <v>-0.55728847014559002</v>
      </c>
      <c r="BZ1063" s="129">
        <f>VLOOKUP($D1063,WGI!$C$2:$O$478,2,FALSE)</f>
        <v>-0.27423074953917298</v>
      </c>
    </row>
    <row r="1064" spans="1:80" ht="15" customHeight="1">
      <c r="A1064" s="294" t="s">
        <v>322</v>
      </c>
      <c r="B1064" s="214">
        <v>2010</v>
      </c>
      <c r="C1064" s="809" t="s">
        <v>316</v>
      </c>
      <c r="D1064" s="117" t="s">
        <v>3671</v>
      </c>
      <c r="E1064" s="452" t="s">
        <v>86</v>
      </c>
      <c r="F1064" s="117"/>
      <c r="G1064" s="117" t="s">
        <v>24</v>
      </c>
      <c r="H1064" s="117" t="str">
        <f t="shared" si="183"/>
        <v>yes</v>
      </c>
      <c r="I1064" s="117" t="str">
        <f t="shared" si="180"/>
        <v>no</v>
      </c>
      <c r="J1064" s="117" t="str">
        <f t="shared" si="181"/>
        <v>no</v>
      </c>
      <c r="K1064" s="117" t="s">
        <v>1679</v>
      </c>
      <c r="L1064" s="117" t="str">
        <f t="shared" si="184"/>
        <v>detailed</v>
      </c>
      <c r="M1064" s="117" t="str">
        <f t="shared" si="182"/>
        <v>detailed Mining</v>
      </c>
      <c r="N1064" s="89">
        <v>2000</v>
      </c>
      <c r="O1064" s="89"/>
      <c r="P1064" s="89">
        <v>60000</v>
      </c>
      <c r="Q1064" s="89"/>
      <c r="R1064" s="89"/>
      <c r="S1064" s="179" t="s">
        <v>610</v>
      </c>
      <c r="T1064" s="180">
        <v>21808.852416666701</v>
      </c>
      <c r="U1064" s="117" t="s">
        <v>611</v>
      </c>
      <c r="V1064" s="117" t="s">
        <v>1680</v>
      </c>
      <c r="W1064" s="89">
        <f t="shared" si="185"/>
        <v>43617704.833333403</v>
      </c>
      <c r="X1064" s="117"/>
      <c r="Y1064" s="117"/>
      <c r="Z1064" s="117"/>
      <c r="AA1064" s="177"/>
      <c r="AB1064" s="177"/>
      <c r="AC1064" s="122"/>
      <c r="AD1064" s="122"/>
      <c r="AE1064" s="122"/>
      <c r="AF1064" s="123"/>
      <c r="AG1064" s="117"/>
      <c r="AH1064" s="124"/>
      <c r="AI1064" s="117"/>
      <c r="AJ1064" s="117"/>
      <c r="AK1064" s="89"/>
      <c r="AL1064" s="117"/>
      <c r="AM1064" s="117"/>
      <c r="AN1064" s="117"/>
      <c r="AO1064" s="117"/>
      <c r="AP1064" s="117"/>
      <c r="AQ1064" s="117"/>
      <c r="AR1064" s="126"/>
      <c r="AS1064" s="117"/>
      <c r="AT1064" s="117"/>
      <c r="AU1064" s="117"/>
      <c r="AV1064" s="533"/>
      <c r="AW1064" s="117">
        <f>VLOOKUP($D1064,'WB Data'!$C$3:$M$578,2,FALSE)</f>
        <v>8729936135.744875</v>
      </c>
      <c r="AX1064" s="117">
        <f>VLOOKUP($D1064,'WB Data'!$C$3:$M$578,3,FALSE)</f>
        <v>21079532</v>
      </c>
      <c r="AY1064" s="847">
        <f t="shared" si="175"/>
        <v>1.8408516731265707E-2</v>
      </c>
      <c r="AZ1064" s="117">
        <f>VLOOKUP($D1064,'WB Data'!$C$3:$M$578,4,FALSE)/100</f>
        <v>0.11230727854385987</v>
      </c>
      <c r="BA1064" s="117">
        <f t="shared" si="176"/>
        <v>980435369.26720738</v>
      </c>
      <c r="BB1064" s="129">
        <f>IFERROR(VLOOKUP($D1064,'EITI Revenues'!$C$2:$G$224,5,FALSE),"..")</f>
        <v>160705175.41774061</v>
      </c>
      <c r="BC1064" s="846">
        <f t="shared" si="177"/>
        <v>0.16391205423143207</v>
      </c>
      <c r="BD1064" s="129">
        <f>VLOOKUP($D1064,'WB Data 2'!$C$2:$K$545,6,FALSE)</f>
        <v>185271079.36807555</v>
      </c>
      <c r="BE1064" s="129">
        <f>IFERROR(VLOOKUP($D1064,UNCTAD!$C$5:$V$529,4,FALSE),"..")</f>
        <v>2110141009.52</v>
      </c>
      <c r="BF1064" s="846">
        <f t="shared" si="178"/>
        <v>8.7800331130581513E-2</v>
      </c>
      <c r="BG1064" s="117">
        <f>VLOOKUP($D1064,'WB Data'!$C$3:$M$578,5,FALSE)</f>
        <v>470080000</v>
      </c>
      <c r="BH1064" s="129">
        <f>IFERROR($BB1064/$BG1064,"..")</f>
        <v>0.34186771489478518</v>
      </c>
      <c r="BI1064" s="117" t="str">
        <f>IFERROR(VLOOKUP($D1064,'WB Data'!$C$3:$M$578,7,FALSE)/100,"..")</f>
        <v>..</v>
      </c>
      <c r="BJ1064" s="117" t="str">
        <f>IFERROR($BI1064*$AW1064,"..")</f>
        <v>..</v>
      </c>
      <c r="BK1064" s="846" t="str">
        <f>IFERROR($BB1064/$BJ1064,"..")</f>
        <v>..</v>
      </c>
      <c r="BL1064" s="117" t="str">
        <f>IFERROR(VLOOKUP($D1064,'WB Data'!$C$3:$M$578,7,FALSE)/100,"..")</f>
        <v>..</v>
      </c>
      <c r="BM1064" s="117" t="str">
        <f>IFERROR($AW1064*$BL1064,"..")</f>
        <v>..</v>
      </c>
      <c r="BN1064" s="846" t="str">
        <f>IFERROR($BB1064/$BM1064,"..")</f>
        <v>..</v>
      </c>
      <c r="BO1064" s="801">
        <f t="shared" si="174"/>
        <v>28</v>
      </c>
      <c r="BP1064" s="117">
        <f>VLOOKUP($D1064,'WB Data'!$C$3:$M$578,9,FALSE)</f>
        <v>75.3</v>
      </c>
      <c r="BQ1064" s="117">
        <f>VLOOKUP($D1064,'WB Data'!$C$3:$M$578,10,FALSE)</f>
        <v>63.349731707317083</v>
      </c>
      <c r="BR1064" s="117">
        <f>VLOOKUP($D1064,'WB Data'!$C$3:$M$578,11,FALSE)</f>
        <v>43.6</v>
      </c>
      <c r="BS1064" s="129" t="str">
        <f>IFERROR(VLOOKUP($D1064,'WB Data 2'!$C$2:$K$545,9,FALSE),"..")</f>
        <v>..</v>
      </c>
      <c r="BT1064" s="129" t="str">
        <f>_xlfn.IFNA(VLOOKUP($C1064,RGI!$A$2:$C$43,2,FALSE),"..")</f>
        <v>..</v>
      </c>
      <c r="BU1064" s="129" t="str">
        <f>_xlfn.IFNA(VLOOKUP($C1064,RGI!$A$2:$C$43,3,FALSE),"..")</f>
        <v>..</v>
      </c>
      <c r="BV1064" s="129">
        <f>VLOOKUP($D1064,WGI!$C$2:$O$478,7,FALSE)</f>
        <v>-0.82966071240465</v>
      </c>
      <c r="BW1064" s="129">
        <f>VLOOKUP($D1064,WGI!$C$2:$O$478,4,FALSE)</f>
        <v>-1.0456766205424599</v>
      </c>
      <c r="BX1064" s="129">
        <f>VLOOKUP($D1064,WGI!$C$2:$O$478,3,FALSE)</f>
        <v>-0.94658297744993203</v>
      </c>
      <c r="BY1064" s="129">
        <f>VLOOKUP($D1064,WGI!$C$2:$O$478,5,FALSE)</f>
        <v>-0.55728847014559002</v>
      </c>
      <c r="BZ1064" s="129">
        <f>VLOOKUP($D1064,WGI!$C$2:$O$478,2,FALSE)</f>
        <v>-0.27423074953917298</v>
      </c>
    </row>
    <row r="1065" spans="1:80" s="158" customFormat="1" ht="15" customHeight="1">
      <c r="A1065" s="295" t="s">
        <v>322</v>
      </c>
      <c r="B1065" s="218">
        <v>2010</v>
      </c>
      <c r="C1065" s="810" t="s">
        <v>316</v>
      </c>
      <c r="D1065" s="117" t="s">
        <v>3671</v>
      </c>
      <c r="E1065" s="453" t="s">
        <v>86</v>
      </c>
      <c r="F1065" s="149"/>
      <c r="G1065" s="149" t="s">
        <v>24</v>
      </c>
      <c r="H1065" s="117" t="str">
        <f t="shared" si="183"/>
        <v>yes</v>
      </c>
      <c r="I1065" s="117" t="str">
        <f t="shared" si="180"/>
        <v>no</v>
      </c>
      <c r="J1065" s="117" t="str">
        <f t="shared" si="181"/>
        <v>no</v>
      </c>
      <c r="K1065" s="149" t="s">
        <v>1681</v>
      </c>
      <c r="L1065" s="117" t="str">
        <f t="shared" si="184"/>
        <v>detailed</v>
      </c>
      <c r="M1065" s="117" t="str">
        <f t="shared" si="182"/>
        <v>detailed Mining</v>
      </c>
      <c r="N1065" s="152">
        <v>7490</v>
      </c>
      <c r="O1065" s="152"/>
      <c r="P1065" s="152"/>
      <c r="Q1065" s="152"/>
      <c r="R1065" s="152"/>
      <c r="S1065" s="216" t="s">
        <v>610</v>
      </c>
      <c r="T1065" s="151">
        <v>74000</v>
      </c>
      <c r="U1065" s="149" t="s">
        <v>611</v>
      </c>
      <c r="V1065" s="149" t="s">
        <v>1682</v>
      </c>
      <c r="W1065" s="152">
        <f t="shared" si="185"/>
        <v>554260000</v>
      </c>
      <c r="X1065" s="149"/>
      <c r="Y1065" s="149"/>
      <c r="Z1065" s="149"/>
      <c r="AA1065" s="284"/>
      <c r="AB1065" s="284"/>
      <c r="AC1065" s="154"/>
      <c r="AD1065" s="154"/>
      <c r="AE1065" s="154"/>
      <c r="AF1065" s="155"/>
      <c r="AG1065" s="149"/>
      <c r="AH1065" s="156"/>
      <c r="AI1065" s="149"/>
      <c r="AJ1065" s="149"/>
      <c r="AK1065" s="152"/>
      <c r="AL1065" s="149"/>
      <c r="AM1065" s="149"/>
      <c r="AN1065" s="149"/>
      <c r="AO1065" s="149"/>
      <c r="AP1065" s="149"/>
      <c r="AQ1065" s="149"/>
      <c r="AR1065" s="220"/>
      <c r="AS1065" s="149"/>
      <c r="AT1065" s="149"/>
      <c r="AU1065" s="149"/>
      <c r="AV1065" s="534"/>
      <c r="AW1065" s="117">
        <f>VLOOKUP($D1065,'WB Data'!$C$3:$M$578,2,FALSE)</f>
        <v>8729936135.744875</v>
      </c>
      <c r="AX1065" s="117">
        <f>VLOOKUP($D1065,'WB Data'!$C$3:$M$578,3,FALSE)</f>
        <v>21079532</v>
      </c>
      <c r="AY1065" s="847">
        <f t="shared" si="175"/>
        <v>1.8408516731265707E-2</v>
      </c>
      <c r="AZ1065" s="117">
        <f>VLOOKUP($D1065,'WB Data'!$C$3:$M$578,4,FALSE)/100</f>
        <v>0.11230727854385987</v>
      </c>
      <c r="BA1065" s="117">
        <f t="shared" si="176"/>
        <v>980435369.26720738</v>
      </c>
      <c r="BB1065" s="129">
        <f>IFERROR(VLOOKUP($D1065,'EITI Revenues'!$C$2:$G$224,5,FALSE),"..")</f>
        <v>160705175.41774061</v>
      </c>
      <c r="BC1065" s="846">
        <f t="shared" si="177"/>
        <v>0.16391205423143207</v>
      </c>
      <c r="BD1065" s="129">
        <f>VLOOKUP($D1065,'WB Data 2'!$C$2:$K$545,6,FALSE)</f>
        <v>185271079.36807555</v>
      </c>
      <c r="BE1065" s="129">
        <f>IFERROR(VLOOKUP($D1065,UNCTAD!$C$5:$V$529,4,FALSE),"..")</f>
        <v>2110141009.52</v>
      </c>
      <c r="BF1065" s="846">
        <f t="shared" si="178"/>
        <v>8.7800331130581513E-2</v>
      </c>
      <c r="BG1065" s="117">
        <f>VLOOKUP($D1065,'WB Data'!$C$3:$M$578,5,FALSE)</f>
        <v>470080000</v>
      </c>
      <c r="BH1065" s="129">
        <f>IFERROR($BB1065/$BG1065,"..")</f>
        <v>0.34186771489478518</v>
      </c>
      <c r="BI1065" s="117" t="str">
        <f>IFERROR(VLOOKUP($D1065,'WB Data'!$C$3:$M$578,7,FALSE)/100,"..")</f>
        <v>..</v>
      </c>
      <c r="BJ1065" s="117" t="str">
        <f>IFERROR($BI1065*$AW1065,"..")</f>
        <v>..</v>
      </c>
      <c r="BK1065" s="846" t="str">
        <f>IFERROR($BB1065/$BJ1065,"..")</f>
        <v>..</v>
      </c>
      <c r="BL1065" s="117" t="str">
        <f>IFERROR(VLOOKUP($D1065,'WB Data'!$C$3:$M$578,7,FALSE)/100,"..")</f>
        <v>..</v>
      </c>
      <c r="BM1065" s="117" t="str">
        <f>IFERROR($AW1065*$BL1065,"..")</f>
        <v>..</v>
      </c>
      <c r="BN1065" s="846" t="str">
        <f>IFERROR($BB1065/$BM1065,"..")</f>
        <v>..</v>
      </c>
      <c r="BO1065" s="801">
        <f t="shared" si="174"/>
        <v>28</v>
      </c>
      <c r="BP1065" s="117">
        <f>VLOOKUP($D1065,'WB Data'!$C$3:$M$578,9,FALSE)</f>
        <v>75.3</v>
      </c>
      <c r="BQ1065" s="117">
        <f>VLOOKUP($D1065,'WB Data'!$C$3:$M$578,10,FALSE)</f>
        <v>63.349731707317083</v>
      </c>
      <c r="BR1065" s="117">
        <f>VLOOKUP($D1065,'WB Data'!$C$3:$M$578,11,FALSE)</f>
        <v>43.6</v>
      </c>
      <c r="BS1065" s="129" t="str">
        <f>IFERROR(VLOOKUP($D1065,'WB Data 2'!$C$2:$K$545,9,FALSE),"..")</f>
        <v>..</v>
      </c>
      <c r="BT1065" s="129" t="str">
        <f>_xlfn.IFNA(VLOOKUP($C1065,RGI!$A$2:$C$43,2,FALSE),"..")</f>
        <v>..</v>
      </c>
      <c r="BU1065" s="129" t="str">
        <f>_xlfn.IFNA(VLOOKUP($C1065,RGI!$A$2:$C$43,3,FALSE),"..")</f>
        <v>..</v>
      </c>
      <c r="BV1065" s="129">
        <f>VLOOKUP($D1065,WGI!$C$2:$O$478,7,FALSE)</f>
        <v>-0.82966071240465</v>
      </c>
      <c r="BW1065" s="129">
        <f>VLOOKUP($D1065,WGI!$C$2:$O$478,4,FALSE)</f>
        <v>-1.0456766205424599</v>
      </c>
      <c r="BX1065" s="129">
        <f>VLOOKUP($D1065,WGI!$C$2:$O$478,3,FALSE)</f>
        <v>-0.94658297744993203</v>
      </c>
      <c r="BY1065" s="129">
        <f>VLOOKUP($D1065,WGI!$C$2:$O$478,5,FALSE)</f>
        <v>-0.55728847014559002</v>
      </c>
      <c r="BZ1065" s="129">
        <f>VLOOKUP($D1065,WGI!$C$2:$O$478,2,FALSE)</f>
        <v>-0.27423074953917298</v>
      </c>
      <c r="CB1065" s="129"/>
    </row>
    <row r="1066" spans="1:80" s="120" customFormat="1" ht="15" customHeight="1">
      <c r="A1066" s="294" t="s">
        <v>325</v>
      </c>
      <c r="B1066" s="214">
        <v>2011</v>
      </c>
      <c r="C1066" s="809" t="s">
        <v>316</v>
      </c>
      <c r="D1066" s="117" t="s">
        <v>3705</v>
      </c>
      <c r="E1066" s="452" t="s">
        <v>86</v>
      </c>
      <c r="F1066" s="117"/>
      <c r="G1066" s="117" t="s">
        <v>24</v>
      </c>
      <c r="H1066" s="117" t="str">
        <f t="shared" si="183"/>
        <v>yes</v>
      </c>
      <c r="I1066" s="117" t="str">
        <f t="shared" si="180"/>
        <v>no</v>
      </c>
      <c r="J1066" s="117" t="str">
        <f t="shared" si="181"/>
        <v>no</v>
      </c>
      <c r="K1066" s="117" t="s">
        <v>709</v>
      </c>
      <c r="L1066" s="117" t="str">
        <f t="shared" si="184"/>
        <v>Total</v>
      </c>
      <c r="M1066" s="117" t="str">
        <f t="shared" si="182"/>
        <v>Total Mining</v>
      </c>
      <c r="N1066" s="89"/>
      <c r="O1066" s="89"/>
      <c r="P1066" s="89"/>
      <c r="Q1066" s="89"/>
      <c r="R1066" s="89"/>
      <c r="S1066" s="179"/>
      <c r="T1066" s="119"/>
      <c r="U1066" s="117"/>
      <c r="V1066" s="117"/>
      <c r="W1066" s="89">
        <f>SUM(W1067:W1075)</f>
        <v>2066182713.6794395</v>
      </c>
      <c r="X1066" s="117"/>
      <c r="Y1066" s="117"/>
      <c r="Z1066" s="117"/>
      <c r="AA1066" s="286">
        <v>87349503.051701158</v>
      </c>
      <c r="AB1066" s="159">
        <v>83461011.17475681</v>
      </c>
      <c r="AC1066" s="122"/>
      <c r="AD1066" s="122"/>
      <c r="AE1066" s="122"/>
      <c r="AF1066" s="123">
        <f>AA1066/W1066</f>
        <v>4.227578832858879E-2</v>
      </c>
      <c r="AG1066" s="117" t="s">
        <v>1672</v>
      </c>
      <c r="AH1066" s="535">
        <v>2025.1</v>
      </c>
      <c r="AI1066" s="117" t="s">
        <v>722</v>
      </c>
      <c r="AJ1066" s="117" t="s">
        <v>1674</v>
      </c>
      <c r="AK1066" s="89">
        <v>112736.1301762876</v>
      </c>
      <c r="AL1066" s="117"/>
      <c r="AM1066" s="89"/>
      <c r="AN1066" s="117">
        <v>37</v>
      </c>
      <c r="AO1066" s="536" t="s">
        <v>1683</v>
      </c>
      <c r="AP1066" s="117">
        <v>34</v>
      </c>
      <c r="AQ1066" s="117" t="s">
        <v>326</v>
      </c>
      <c r="AR1066" s="126">
        <v>41955</v>
      </c>
      <c r="AS1066" s="117" t="s">
        <v>1382</v>
      </c>
      <c r="AT1066" s="127" t="s">
        <v>327</v>
      </c>
      <c r="AU1066" s="117" t="s">
        <v>1684</v>
      </c>
      <c r="AV1066" s="344" t="s">
        <v>1685</v>
      </c>
      <c r="AW1066" s="117">
        <f>VLOOKUP($D1066,'WB Data'!$C$3:$M$578,2,FALSE)</f>
        <v>9892702357.566906</v>
      </c>
      <c r="AX1066" s="117">
        <f>VLOOKUP($D1066,'WB Data'!$C$3:$M$578,3,FALSE)</f>
        <v>21678934</v>
      </c>
      <c r="AY1066" s="847">
        <f t="shared" si="175"/>
        <v>8.8296908058582927E-3</v>
      </c>
      <c r="AZ1066" s="117">
        <f>VLOOKUP($D1066,'WB Data'!$C$3:$M$578,4,FALSE)/100</f>
        <v>0.10277630795353078</v>
      </c>
      <c r="BA1066" s="117">
        <f t="shared" si="176"/>
        <v>1016735423.9939163</v>
      </c>
      <c r="BB1066" s="129">
        <f>IFERROR(VLOOKUP($D1066,'EITI Revenues'!$C$2:$G$224,5,FALSE),"..")</f>
        <v>87349503.051701158</v>
      </c>
      <c r="BC1066" s="846">
        <f t="shared" si="177"/>
        <v>8.5911733761155767E-2</v>
      </c>
      <c r="BD1066" s="129">
        <f>VLOOKUP($D1066,'WB Data 2'!$C$2:$K$545,6,FALSE)</f>
        <v>272400272.58123189</v>
      </c>
      <c r="BE1066" s="129">
        <f>IFERROR(VLOOKUP($D1066,UNCTAD!$C$5:$V$529,4,FALSE),"..")</f>
        <v>2692550790.9400001</v>
      </c>
      <c r="BF1066" s="846">
        <f t="shared" si="178"/>
        <v>0.10116810925083194</v>
      </c>
      <c r="BG1066" s="117">
        <f>VLOOKUP($D1066,'WB Data'!$C$3:$M$578,5,FALSE)</f>
        <v>443270000</v>
      </c>
      <c r="BH1066" s="129">
        <f>IFERROR($BB1066/$BG1066,"..")</f>
        <v>0.19705710526699563</v>
      </c>
      <c r="BI1066" s="117">
        <f>IFERROR(VLOOKUP($D1066,'WB Data'!$C$3:$M$578,7,FALSE)/100,"..")</f>
        <v>2.77576E-2</v>
      </c>
      <c r="BJ1066" s="117">
        <f>IFERROR($BI1066*$AW1066,"..")</f>
        <v>274597674.96039915</v>
      </c>
      <c r="BK1066" s="846">
        <f>IFERROR($BB1066/$BJ1066,"..")</f>
        <v>0.31809993680499365</v>
      </c>
      <c r="BL1066" s="117">
        <f>IFERROR(VLOOKUP($D1066,'WB Data'!$C$3:$M$578,7,FALSE)/100,"..")</f>
        <v>2.77576E-2</v>
      </c>
      <c r="BM1066" s="117">
        <f>IFERROR($AW1066*$BL1066,"..")</f>
        <v>274597674.96039915</v>
      </c>
      <c r="BN1066" s="846">
        <f>IFERROR($BB1066/$BM1066,"..")</f>
        <v>0.31809993680499365</v>
      </c>
      <c r="BO1066" s="801">
        <f t="shared" si="174"/>
        <v>28</v>
      </c>
      <c r="BP1066" s="117" t="str">
        <f>VLOOKUP($D1066,'WB Data'!$C$3:$M$578,9,FALSE)</f>
        <v>..</v>
      </c>
      <c r="BQ1066" s="117">
        <f>VLOOKUP($D1066,'WB Data'!$C$3:$M$578,10,FALSE)</f>
        <v>63.798902439024403</v>
      </c>
      <c r="BR1066" s="117">
        <f>VLOOKUP($D1066,'WB Data'!$C$3:$M$578,11,FALSE)</f>
        <v>42.2</v>
      </c>
      <c r="BS1066" s="129" t="str">
        <f>IFERROR(VLOOKUP($D1066,'WB Data 2'!$C$2:$K$545,9,FALSE),"..")</f>
        <v>..</v>
      </c>
      <c r="BT1066" s="129" t="str">
        <f>_xlfn.IFNA(VLOOKUP($C1066,RGI!$A$2:$C$43,2,FALSE),"..")</f>
        <v>..</v>
      </c>
      <c r="BU1066" s="129" t="str">
        <f>_xlfn.IFNA(VLOOKUP($C1066,RGI!$A$2:$C$43,3,FALSE),"..")</f>
        <v>..</v>
      </c>
      <c r="BV1066" s="129">
        <f>VLOOKUP($D1066,WGI!$C$2:$O$478,7,FALSE)</f>
        <v>-0.83520059982190498</v>
      </c>
      <c r="BW1066" s="129">
        <f>VLOOKUP($D1066,WGI!$C$2:$O$478,4,FALSE)</f>
        <v>-0.75758673171867297</v>
      </c>
      <c r="BX1066" s="129">
        <f>VLOOKUP($D1066,WGI!$C$2:$O$478,3,FALSE)</f>
        <v>-1.0081230410484601</v>
      </c>
      <c r="BY1066" s="129">
        <f>VLOOKUP($D1066,WGI!$C$2:$O$478,5,FALSE)</f>
        <v>-0.51927994058632299</v>
      </c>
      <c r="BZ1066" s="129">
        <f>VLOOKUP($D1066,WGI!$C$2:$O$478,2,FALSE)</f>
        <v>-0.35861885356144402</v>
      </c>
      <c r="CB1066" s="129"/>
    </row>
    <row r="1067" spans="1:80" s="120" customFormat="1" ht="15" customHeight="1">
      <c r="A1067" s="294" t="s">
        <v>325</v>
      </c>
      <c r="B1067" s="214">
        <v>2011</v>
      </c>
      <c r="C1067" s="809" t="s">
        <v>316</v>
      </c>
      <c r="D1067" s="117" t="s">
        <v>3705</v>
      </c>
      <c r="E1067" s="452" t="s">
        <v>86</v>
      </c>
      <c r="F1067" s="117"/>
      <c r="G1067" s="117" t="s">
        <v>24</v>
      </c>
      <c r="H1067" s="117" t="str">
        <f t="shared" si="183"/>
        <v>yes</v>
      </c>
      <c r="I1067" s="117" t="str">
        <f t="shared" si="180"/>
        <v>no</v>
      </c>
      <c r="J1067" s="117" t="str">
        <f t="shared" si="181"/>
        <v>no</v>
      </c>
      <c r="K1067" s="117" t="s">
        <v>609</v>
      </c>
      <c r="L1067" s="117" t="str">
        <f t="shared" si="184"/>
        <v>detailed</v>
      </c>
      <c r="M1067" s="117" t="str">
        <f t="shared" si="182"/>
        <v>detailed Mining</v>
      </c>
      <c r="N1067" s="89">
        <v>410000</v>
      </c>
      <c r="O1067" s="89"/>
      <c r="P1067" s="89"/>
      <c r="Q1067" s="89"/>
      <c r="R1067" s="89"/>
      <c r="S1067" s="179" t="s">
        <v>610</v>
      </c>
      <c r="T1067" s="119">
        <v>89.5</v>
      </c>
      <c r="U1067" s="117" t="s">
        <v>611</v>
      </c>
      <c r="V1067" s="117" t="s">
        <v>1217</v>
      </c>
      <c r="W1067" s="89">
        <f t="shared" ref="W1067:W1072" si="186">N1067*T1067</f>
        <v>36695000</v>
      </c>
      <c r="X1067" s="117"/>
      <c r="Y1067" s="117"/>
      <c r="Z1067" s="117"/>
      <c r="AA1067" s="177"/>
      <c r="AB1067" s="177"/>
      <c r="AC1067" s="122"/>
      <c r="AD1067" s="122"/>
      <c r="AE1067" s="122"/>
      <c r="AF1067" s="123"/>
      <c r="AG1067" s="117"/>
      <c r="AH1067" s="124"/>
      <c r="AI1067" s="117"/>
      <c r="AJ1067" s="117"/>
      <c r="AK1067" s="117"/>
      <c r="AL1067" s="117"/>
      <c r="AM1067" s="117"/>
      <c r="AN1067" s="117"/>
      <c r="AO1067" s="126"/>
      <c r="AP1067" s="117"/>
      <c r="AQ1067" s="117"/>
      <c r="AR1067" s="117"/>
      <c r="AS1067" s="401"/>
      <c r="AV1067" s="281"/>
      <c r="AW1067" s="117">
        <f>VLOOKUP($D1067,'WB Data'!$C$3:$M$578,2,FALSE)</f>
        <v>9892702357.566906</v>
      </c>
      <c r="AX1067" s="117">
        <f>VLOOKUP($D1067,'WB Data'!$C$3:$M$578,3,FALSE)</f>
        <v>21678934</v>
      </c>
      <c r="AY1067" s="847">
        <f t="shared" si="175"/>
        <v>8.8296908058582927E-3</v>
      </c>
      <c r="AZ1067" s="117">
        <f>VLOOKUP($D1067,'WB Data'!$C$3:$M$578,4,FALSE)/100</f>
        <v>0.10277630795353078</v>
      </c>
      <c r="BA1067" s="117">
        <f t="shared" si="176"/>
        <v>1016735423.9939163</v>
      </c>
      <c r="BB1067" s="129">
        <f>IFERROR(VLOOKUP($D1067,'EITI Revenues'!$C$2:$G$224,5,FALSE),"..")</f>
        <v>87349503.051701158</v>
      </c>
      <c r="BC1067" s="846">
        <f t="shared" si="177"/>
        <v>8.5911733761155767E-2</v>
      </c>
      <c r="BD1067" s="129">
        <f>VLOOKUP($D1067,'WB Data 2'!$C$2:$K$545,6,FALSE)</f>
        <v>272400272.58123189</v>
      </c>
      <c r="BE1067" s="129">
        <f>IFERROR(VLOOKUP($D1067,UNCTAD!$C$5:$V$529,4,FALSE),"..")</f>
        <v>2692550790.9400001</v>
      </c>
      <c r="BF1067" s="846">
        <f t="shared" si="178"/>
        <v>0.10116810925083194</v>
      </c>
      <c r="BG1067" s="117">
        <f>VLOOKUP($D1067,'WB Data'!$C$3:$M$578,5,FALSE)</f>
        <v>443270000</v>
      </c>
      <c r="BH1067" s="129">
        <f>IFERROR($BB1067/$BG1067,"..")</f>
        <v>0.19705710526699563</v>
      </c>
      <c r="BI1067" s="117">
        <f>IFERROR(VLOOKUP($D1067,'WB Data'!$C$3:$M$578,7,FALSE)/100,"..")</f>
        <v>2.77576E-2</v>
      </c>
      <c r="BJ1067" s="117">
        <f>IFERROR($BI1067*$AW1067,"..")</f>
        <v>274597674.96039915</v>
      </c>
      <c r="BK1067" s="846">
        <f>IFERROR($BB1067/$BJ1067,"..")</f>
        <v>0.31809993680499365</v>
      </c>
      <c r="BL1067" s="117">
        <f>IFERROR(VLOOKUP($D1067,'WB Data'!$C$3:$M$578,7,FALSE)/100,"..")</f>
        <v>2.77576E-2</v>
      </c>
      <c r="BM1067" s="117">
        <f>IFERROR($AW1067*$BL1067,"..")</f>
        <v>274597674.96039915</v>
      </c>
      <c r="BN1067" s="846">
        <f>IFERROR($BB1067/$BM1067,"..")</f>
        <v>0.31809993680499365</v>
      </c>
      <c r="BO1067" s="801">
        <f t="shared" si="174"/>
        <v>28</v>
      </c>
      <c r="BP1067" s="117" t="str">
        <f>VLOOKUP($D1067,'WB Data'!$C$3:$M$578,9,FALSE)</f>
        <v>..</v>
      </c>
      <c r="BQ1067" s="117">
        <f>VLOOKUP($D1067,'WB Data'!$C$3:$M$578,10,FALSE)</f>
        <v>63.798902439024403</v>
      </c>
      <c r="BR1067" s="117">
        <f>VLOOKUP($D1067,'WB Data'!$C$3:$M$578,11,FALSE)</f>
        <v>42.2</v>
      </c>
      <c r="BS1067" s="129" t="str">
        <f>IFERROR(VLOOKUP($D1067,'WB Data 2'!$C$2:$K$545,9,FALSE),"..")</f>
        <v>..</v>
      </c>
      <c r="BT1067" s="129" t="str">
        <f>_xlfn.IFNA(VLOOKUP($C1067,RGI!$A$2:$C$43,2,FALSE),"..")</f>
        <v>..</v>
      </c>
      <c r="BU1067" s="129" t="str">
        <f>_xlfn.IFNA(VLOOKUP($C1067,RGI!$A$2:$C$43,3,FALSE),"..")</f>
        <v>..</v>
      </c>
      <c r="BV1067" s="129">
        <f>VLOOKUP($D1067,WGI!$C$2:$O$478,7,FALSE)</f>
        <v>-0.83520059982190498</v>
      </c>
      <c r="BW1067" s="129">
        <f>VLOOKUP($D1067,WGI!$C$2:$O$478,4,FALSE)</f>
        <v>-0.75758673171867297</v>
      </c>
      <c r="BX1067" s="129">
        <f>VLOOKUP($D1067,WGI!$C$2:$O$478,3,FALSE)</f>
        <v>-1.0081230410484601</v>
      </c>
      <c r="BY1067" s="129">
        <f>VLOOKUP($D1067,WGI!$C$2:$O$478,5,FALSE)</f>
        <v>-0.51927994058632299</v>
      </c>
      <c r="BZ1067" s="129">
        <f>VLOOKUP($D1067,WGI!$C$2:$O$478,2,FALSE)</f>
        <v>-0.35861885356144402</v>
      </c>
      <c r="CB1067" s="129"/>
    </row>
    <row r="1068" spans="1:80" s="120" customFormat="1" ht="15" customHeight="1">
      <c r="A1068" s="294" t="s">
        <v>325</v>
      </c>
      <c r="B1068" s="214">
        <v>2011</v>
      </c>
      <c r="C1068" s="809" t="s">
        <v>316</v>
      </c>
      <c r="D1068" s="117" t="s">
        <v>3705</v>
      </c>
      <c r="E1068" s="452" t="s">
        <v>86</v>
      </c>
      <c r="F1068" s="117"/>
      <c r="G1068" s="117" t="s">
        <v>24</v>
      </c>
      <c r="H1068" s="117" t="str">
        <f t="shared" si="183"/>
        <v>yes</v>
      </c>
      <c r="I1068" s="117" t="str">
        <f t="shared" si="180"/>
        <v>no</v>
      </c>
      <c r="J1068" s="117" t="str">
        <f t="shared" si="181"/>
        <v>no</v>
      </c>
      <c r="K1068" s="117" t="s">
        <v>726</v>
      </c>
      <c r="L1068" s="117" t="str">
        <f t="shared" si="184"/>
        <v>detailed</v>
      </c>
      <c r="M1068" s="117" t="str">
        <f t="shared" si="182"/>
        <v>detailed Mining</v>
      </c>
      <c r="N1068" s="89">
        <v>66700</v>
      </c>
      <c r="O1068" s="89"/>
      <c r="P1068" s="537">
        <f>47200+38222.99</f>
        <v>85422.989999999991</v>
      </c>
      <c r="Q1068" s="537"/>
      <c r="R1068" s="537"/>
      <c r="S1068" s="179" t="s">
        <v>610</v>
      </c>
      <c r="T1068" s="119">
        <v>14090</v>
      </c>
      <c r="U1068" s="117" t="s">
        <v>611</v>
      </c>
      <c r="V1068" s="401" t="s">
        <v>1669</v>
      </c>
      <c r="W1068" s="89">
        <f t="shared" si="186"/>
        <v>939803000</v>
      </c>
      <c r="X1068" s="117"/>
      <c r="Y1068" s="117"/>
      <c r="Z1068" s="117"/>
      <c r="AA1068" s="177"/>
      <c r="AB1068" s="177"/>
      <c r="AC1068" s="122"/>
      <c r="AD1068" s="122"/>
      <c r="AE1068" s="122"/>
      <c r="AF1068" s="123"/>
      <c r="AG1068" s="117"/>
      <c r="AH1068" s="124"/>
      <c r="AI1068" s="117"/>
      <c r="AJ1068" s="117"/>
      <c r="AK1068" s="117"/>
      <c r="AL1068" s="117"/>
      <c r="AM1068" s="117"/>
      <c r="AN1068" s="117"/>
      <c r="AO1068" s="126"/>
      <c r="AP1068" s="117"/>
      <c r="AQ1068" s="117"/>
      <c r="AR1068" s="117"/>
      <c r="AS1068" s="401"/>
      <c r="AV1068" s="281" t="s">
        <v>1686</v>
      </c>
      <c r="AW1068" s="117">
        <f>VLOOKUP($D1068,'WB Data'!$C$3:$M$578,2,FALSE)</f>
        <v>9892702357.566906</v>
      </c>
      <c r="AX1068" s="117">
        <f>VLOOKUP($D1068,'WB Data'!$C$3:$M$578,3,FALSE)</f>
        <v>21678934</v>
      </c>
      <c r="AY1068" s="847">
        <f t="shared" si="175"/>
        <v>8.8296908058582927E-3</v>
      </c>
      <c r="AZ1068" s="117">
        <f>VLOOKUP($D1068,'WB Data'!$C$3:$M$578,4,FALSE)/100</f>
        <v>0.10277630795353078</v>
      </c>
      <c r="BA1068" s="117">
        <f t="shared" si="176"/>
        <v>1016735423.9939163</v>
      </c>
      <c r="BB1068" s="129">
        <f>IFERROR(VLOOKUP($D1068,'EITI Revenues'!$C$2:$G$224,5,FALSE),"..")</f>
        <v>87349503.051701158</v>
      </c>
      <c r="BC1068" s="846">
        <f t="shared" si="177"/>
        <v>8.5911733761155767E-2</v>
      </c>
      <c r="BD1068" s="129">
        <f>VLOOKUP($D1068,'WB Data 2'!$C$2:$K$545,6,FALSE)</f>
        <v>272400272.58123189</v>
      </c>
      <c r="BE1068" s="129">
        <f>IFERROR(VLOOKUP($D1068,UNCTAD!$C$5:$V$529,4,FALSE),"..")</f>
        <v>2692550790.9400001</v>
      </c>
      <c r="BF1068" s="846">
        <f t="shared" si="178"/>
        <v>0.10116810925083194</v>
      </c>
      <c r="BG1068" s="117">
        <f>VLOOKUP($D1068,'WB Data'!$C$3:$M$578,5,FALSE)</f>
        <v>443270000</v>
      </c>
      <c r="BH1068" s="129">
        <f>IFERROR($BB1068/$BG1068,"..")</f>
        <v>0.19705710526699563</v>
      </c>
      <c r="BI1068" s="117">
        <f>IFERROR(VLOOKUP($D1068,'WB Data'!$C$3:$M$578,7,FALSE)/100,"..")</f>
        <v>2.77576E-2</v>
      </c>
      <c r="BJ1068" s="117">
        <f>IFERROR($BI1068*$AW1068,"..")</f>
        <v>274597674.96039915</v>
      </c>
      <c r="BK1068" s="846">
        <f>IFERROR($BB1068/$BJ1068,"..")</f>
        <v>0.31809993680499365</v>
      </c>
      <c r="BL1068" s="117">
        <f>IFERROR(VLOOKUP($D1068,'WB Data'!$C$3:$M$578,7,FALSE)/100,"..")</f>
        <v>2.77576E-2</v>
      </c>
      <c r="BM1068" s="117">
        <f>IFERROR($AW1068*$BL1068,"..")</f>
        <v>274597674.96039915</v>
      </c>
      <c r="BN1068" s="846">
        <f>IFERROR($BB1068/$BM1068,"..")</f>
        <v>0.31809993680499365</v>
      </c>
      <c r="BO1068" s="801">
        <f t="shared" si="174"/>
        <v>28</v>
      </c>
      <c r="BP1068" s="117" t="str">
        <f>VLOOKUP($D1068,'WB Data'!$C$3:$M$578,9,FALSE)</f>
        <v>..</v>
      </c>
      <c r="BQ1068" s="117">
        <f>VLOOKUP($D1068,'WB Data'!$C$3:$M$578,10,FALSE)</f>
        <v>63.798902439024403</v>
      </c>
      <c r="BR1068" s="117">
        <f>VLOOKUP($D1068,'WB Data'!$C$3:$M$578,11,FALSE)</f>
        <v>42.2</v>
      </c>
      <c r="BS1068" s="129" t="str">
        <f>IFERROR(VLOOKUP($D1068,'WB Data 2'!$C$2:$K$545,9,FALSE),"..")</f>
        <v>..</v>
      </c>
      <c r="BT1068" s="129" t="str">
        <f>_xlfn.IFNA(VLOOKUP($C1068,RGI!$A$2:$C$43,2,FALSE),"..")</f>
        <v>..</v>
      </c>
      <c r="BU1068" s="129" t="str">
        <f>_xlfn.IFNA(VLOOKUP($C1068,RGI!$A$2:$C$43,3,FALSE),"..")</f>
        <v>..</v>
      </c>
      <c r="BV1068" s="129">
        <f>VLOOKUP($D1068,WGI!$C$2:$O$478,7,FALSE)</f>
        <v>-0.83520059982190498</v>
      </c>
      <c r="BW1068" s="129">
        <f>VLOOKUP($D1068,WGI!$C$2:$O$478,4,FALSE)</f>
        <v>-0.75758673171867297</v>
      </c>
      <c r="BX1068" s="129">
        <f>VLOOKUP($D1068,WGI!$C$2:$O$478,3,FALSE)</f>
        <v>-1.0081230410484601</v>
      </c>
      <c r="BY1068" s="129">
        <f>VLOOKUP($D1068,WGI!$C$2:$O$478,5,FALSE)</f>
        <v>-0.51927994058632299</v>
      </c>
      <c r="BZ1068" s="129">
        <f>VLOOKUP($D1068,WGI!$C$2:$O$478,2,FALSE)</f>
        <v>-0.35861885356144402</v>
      </c>
      <c r="CB1068" s="129"/>
    </row>
    <row r="1069" spans="1:80" s="120" customFormat="1" ht="15" customHeight="1">
      <c r="A1069" s="294" t="s">
        <v>325</v>
      </c>
      <c r="B1069" s="214">
        <v>2011</v>
      </c>
      <c r="C1069" s="809" t="s">
        <v>316</v>
      </c>
      <c r="D1069" s="117" t="s">
        <v>3705</v>
      </c>
      <c r="E1069" s="452" t="s">
        <v>86</v>
      </c>
      <c r="F1069" s="117"/>
      <c r="G1069" s="117" t="s">
        <v>24</v>
      </c>
      <c r="H1069" s="117" t="str">
        <f t="shared" si="183"/>
        <v>yes</v>
      </c>
      <c r="I1069" s="117" t="str">
        <f t="shared" si="180"/>
        <v>no</v>
      </c>
      <c r="J1069" s="117" t="str">
        <f t="shared" si="181"/>
        <v>no</v>
      </c>
      <c r="K1069" s="117" t="s">
        <v>1061</v>
      </c>
      <c r="L1069" s="117" t="str">
        <f t="shared" si="184"/>
        <v>detailed</v>
      </c>
      <c r="M1069" s="117" t="str">
        <f t="shared" si="182"/>
        <v>detailed Mining</v>
      </c>
      <c r="N1069" s="89">
        <v>500</v>
      </c>
      <c r="O1069" s="89"/>
      <c r="P1069" s="89"/>
      <c r="Q1069" s="89"/>
      <c r="R1069" s="89"/>
      <c r="S1069" s="179" t="s">
        <v>610</v>
      </c>
      <c r="T1069" s="119">
        <f>17.99/0.000453592</f>
        <v>39661.193319106154</v>
      </c>
      <c r="U1069" s="117" t="s">
        <v>611</v>
      </c>
      <c r="V1069" s="117" t="s">
        <v>1678</v>
      </c>
      <c r="W1069" s="89">
        <f t="shared" si="186"/>
        <v>19830596.659553077</v>
      </c>
      <c r="X1069" s="117"/>
      <c r="Y1069" s="117"/>
      <c r="Z1069" s="117"/>
      <c r="AA1069" s="177"/>
      <c r="AB1069" s="177"/>
      <c r="AC1069" s="122"/>
      <c r="AD1069" s="122"/>
      <c r="AE1069" s="122"/>
      <c r="AF1069" s="123"/>
      <c r="AG1069" s="117"/>
      <c r="AH1069" s="124"/>
      <c r="AI1069" s="117"/>
      <c r="AJ1069" s="117"/>
      <c r="AK1069" s="117"/>
      <c r="AL1069" s="117"/>
      <c r="AM1069" s="117"/>
      <c r="AN1069" s="117"/>
      <c r="AO1069" s="126"/>
      <c r="AP1069" s="117"/>
      <c r="AQ1069" s="117"/>
      <c r="AR1069" s="117"/>
      <c r="AS1069" s="401"/>
      <c r="AV1069" s="281"/>
      <c r="AW1069" s="117">
        <f>VLOOKUP($D1069,'WB Data'!$C$3:$M$578,2,FALSE)</f>
        <v>9892702357.566906</v>
      </c>
      <c r="AX1069" s="117">
        <f>VLOOKUP($D1069,'WB Data'!$C$3:$M$578,3,FALSE)</f>
        <v>21678934</v>
      </c>
      <c r="AY1069" s="847">
        <f t="shared" si="175"/>
        <v>8.8296908058582927E-3</v>
      </c>
      <c r="AZ1069" s="117">
        <f>VLOOKUP($D1069,'WB Data'!$C$3:$M$578,4,FALSE)/100</f>
        <v>0.10277630795353078</v>
      </c>
      <c r="BA1069" s="117">
        <f t="shared" si="176"/>
        <v>1016735423.9939163</v>
      </c>
      <c r="BB1069" s="129">
        <f>IFERROR(VLOOKUP($D1069,'EITI Revenues'!$C$2:$G$224,5,FALSE),"..")</f>
        <v>87349503.051701158</v>
      </c>
      <c r="BC1069" s="846">
        <f t="shared" si="177"/>
        <v>8.5911733761155767E-2</v>
      </c>
      <c r="BD1069" s="129">
        <f>VLOOKUP($D1069,'WB Data 2'!$C$2:$K$545,6,FALSE)</f>
        <v>272400272.58123189</v>
      </c>
      <c r="BE1069" s="129">
        <f>IFERROR(VLOOKUP($D1069,UNCTAD!$C$5:$V$529,4,FALSE),"..")</f>
        <v>2692550790.9400001</v>
      </c>
      <c r="BF1069" s="846">
        <f t="shared" si="178"/>
        <v>0.10116810925083194</v>
      </c>
      <c r="BG1069" s="117">
        <f>VLOOKUP($D1069,'WB Data'!$C$3:$M$578,5,FALSE)</f>
        <v>443270000</v>
      </c>
      <c r="BH1069" s="129">
        <f>IFERROR($BB1069/$BG1069,"..")</f>
        <v>0.19705710526699563</v>
      </c>
      <c r="BI1069" s="117">
        <f>IFERROR(VLOOKUP($D1069,'WB Data'!$C$3:$M$578,7,FALSE)/100,"..")</f>
        <v>2.77576E-2</v>
      </c>
      <c r="BJ1069" s="117">
        <f>IFERROR($BI1069*$AW1069,"..")</f>
        <v>274597674.96039915</v>
      </c>
      <c r="BK1069" s="846">
        <f>IFERROR($BB1069/$BJ1069,"..")</f>
        <v>0.31809993680499365</v>
      </c>
      <c r="BL1069" s="117">
        <f>IFERROR(VLOOKUP($D1069,'WB Data'!$C$3:$M$578,7,FALSE)/100,"..")</f>
        <v>2.77576E-2</v>
      </c>
      <c r="BM1069" s="117">
        <f>IFERROR($AW1069*$BL1069,"..")</f>
        <v>274597674.96039915</v>
      </c>
      <c r="BN1069" s="846">
        <f>IFERROR($BB1069/$BM1069,"..")</f>
        <v>0.31809993680499365</v>
      </c>
      <c r="BO1069" s="801">
        <f t="shared" si="174"/>
        <v>28</v>
      </c>
      <c r="BP1069" s="117" t="str">
        <f>VLOOKUP($D1069,'WB Data'!$C$3:$M$578,9,FALSE)</f>
        <v>..</v>
      </c>
      <c r="BQ1069" s="117">
        <f>VLOOKUP($D1069,'WB Data'!$C$3:$M$578,10,FALSE)</f>
        <v>63.798902439024403</v>
      </c>
      <c r="BR1069" s="117">
        <f>VLOOKUP($D1069,'WB Data'!$C$3:$M$578,11,FALSE)</f>
        <v>42.2</v>
      </c>
      <c r="BS1069" s="129" t="str">
        <f>IFERROR(VLOOKUP($D1069,'WB Data 2'!$C$2:$K$545,9,FALSE),"..")</f>
        <v>..</v>
      </c>
      <c r="BT1069" s="129" t="str">
        <f>_xlfn.IFNA(VLOOKUP($C1069,RGI!$A$2:$C$43,2,FALSE),"..")</f>
        <v>..</v>
      </c>
      <c r="BU1069" s="129" t="str">
        <f>_xlfn.IFNA(VLOOKUP($C1069,RGI!$A$2:$C$43,3,FALSE),"..")</f>
        <v>..</v>
      </c>
      <c r="BV1069" s="129">
        <f>VLOOKUP($D1069,WGI!$C$2:$O$478,7,FALSE)</f>
        <v>-0.83520059982190498</v>
      </c>
      <c r="BW1069" s="129">
        <f>VLOOKUP($D1069,WGI!$C$2:$O$478,4,FALSE)</f>
        <v>-0.75758673171867297</v>
      </c>
      <c r="BX1069" s="129">
        <f>VLOOKUP($D1069,WGI!$C$2:$O$478,3,FALSE)</f>
        <v>-1.0081230410484601</v>
      </c>
      <c r="BY1069" s="129">
        <f>VLOOKUP($D1069,WGI!$C$2:$O$478,5,FALSE)</f>
        <v>-0.51927994058632299</v>
      </c>
      <c r="BZ1069" s="129">
        <f>VLOOKUP($D1069,WGI!$C$2:$O$478,2,FALSE)</f>
        <v>-0.35861885356144402</v>
      </c>
      <c r="CB1069" s="129"/>
    </row>
    <row r="1070" spans="1:80" s="120" customFormat="1" ht="15" customHeight="1">
      <c r="A1070" s="294" t="s">
        <v>325</v>
      </c>
      <c r="B1070" s="214">
        <v>2011</v>
      </c>
      <c r="C1070" s="809" t="s">
        <v>316</v>
      </c>
      <c r="D1070" s="117" t="s">
        <v>3705</v>
      </c>
      <c r="E1070" s="452" t="s">
        <v>86</v>
      </c>
      <c r="F1070" s="117"/>
      <c r="G1070" s="117" t="s">
        <v>24</v>
      </c>
      <c r="H1070" s="117" t="str">
        <f t="shared" si="183"/>
        <v>yes</v>
      </c>
      <c r="I1070" s="117" t="str">
        <f t="shared" si="180"/>
        <v>no</v>
      </c>
      <c r="J1070" s="117" t="str">
        <f t="shared" si="181"/>
        <v>no</v>
      </c>
      <c r="K1070" s="117" t="s">
        <v>784</v>
      </c>
      <c r="L1070" s="117" t="str">
        <f t="shared" si="184"/>
        <v>detailed</v>
      </c>
      <c r="M1070" s="117" t="str">
        <f t="shared" si="182"/>
        <v>detailed Mining</v>
      </c>
      <c r="N1070" s="89">
        <f>40*32.150743126506</f>
        <v>1286.02972506024</v>
      </c>
      <c r="O1070" s="89"/>
      <c r="P1070" s="89"/>
      <c r="Q1070" s="89"/>
      <c r="R1070" s="89"/>
      <c r="S1070" s="179" t="s">
        <v>785</v>
      </c>
      <c r="T1070" s="119">
        <v>1569.2108333333299</v>
      </c>
      <c r="U1070" s="117" t="s">
        <v>786</v>
      </c>
      <c r="V1070" s="401" t="s">
        <v>787</v>
      </c>
      <c r="W1070" s="89">
        <f t="shared" si="186"/>
        <v>2018051.7765532124</v>
      </c>
      <c r="X1070" s="117"/>
      <c r="Y1070" s="117"/>
      <c r="Z1070" s="117"/>
      <c r="AA1070" s="177"/>
      <c r="AB1070" s="177"/>
      <c r="AC1070" s="122"/>
      <c r="AD1070" s="122"/>
      <c r="AE1070" s="122"/>
      <c r="AF1070" s="123"/>
      <c r="AG1070" s="117"/>
      <c r="AH1070" s="124"/>
      <c r="AI1070" s="117"/>
      <c r="AJ1070" s="117"/>
      <c r="AK1070" s="117"/>
      <c r="AL1070" s="117"/>
      <c r="AM1070" s="117"/>
      <c r="AN1070" s="117"/>
      <c r="AO1070" s="126"/>
      <c r="AP1070" s="117"/>
      <c r="AQ1070" s="117"/>
      <c r="AR1070" s="117"/>
      <c r="AS1070" s="401"/>
      <c r="AV1070" s="281"/>
      <c r="AW1070" s="117">
        <f>VLOOKUP($D1070,'WB Data'!$C$3:$M$578,2,FALSE)</f>
        <v>9892702357.566906</v>
      </c>
      <c r="AX1070" s="117">
        <f>VLOOKUP($D1070,'WB Data'!$C$3:$M$578,3,FALSE)</f>
        <v>21678934</v>
      </c>
      <c r="AY1070" s="847">
        <f t="shared" si="175"/>
        <v>8.8296908058582927E-3</v>
      </c>
      <c r="AZ1070" s="117">
        <f>VLOOKUP($D1070,'WB Data'!$C$3:$M$578,4,FALSE)/100</f>
        <v>0.10277630795353078</v>
      </c>
      <c r="BA1070" s="117">
        <f t="shared" si="176"/>
        <v>1016735423.9939163</v>
      </c>
      <c r="BB1070" s="129">
        <f>IFERROR(VLOOKUP($D1070,'EITI Revenues'!$C$2:$G$224,5,FALSE),"..")</f>
        <v>87349503.051701158</v>
      </c>
      <c r="BC1070" s="846">
        <f t="shared" si="177"/>
        <v>8.5911733761155767E-2</v>
      </c>
      <c r="BD1070" s="129">
        <f>VLOOKUP($D1070,'WB Data 2'!$C$2:$K$545,6,FALSE)</f>
        <v>272400272.58123189</v>
      </c>
      <c r="BE1070" s="129">
        <f>IFERROR(VLOOKUP($D1070,UNCTAD!$C$5:$V$529,4,FALSE),"..")</f>
        <v>2692550790.9400001</v>
      </c>
      <c r="BF1070" s="846">
        <f t="shared" si="178"/>
        <v>0.10116810925083194</v>
      </c>
      <c r="BG1070" s="117">
        <f>VLOOKUP($D1070,'WB Data'!$C$3:$M$578,5,FALSE)</f>
        <v>443270000</v>
      </c>
      <c r="BH1070" s="129">
        <f>IFERROR($BB1070/$BG1070,"..")</f>
        <v>0.19705710526699563</v>
      </c>
      <c r="BI1070" s="117">
        <f>IFERROR(VLOOKUP($D1070,'WB Data'!$C$3:$M$578,7,FALSE)/100,"..")</f>
        <v>2.77576E-2</v>
      </c>
      <c r="BJ1070" s="117">
        <f>IFERROR($BI1070*$AW1070,"..")</f>
        <v>274597674.96039915</v>
      </c>
      <c r="BK1070" s="846">
        <f>IFERROR($BB1070/$BJ1070,"..")</f>
        <v>0.31809993680499365</v>
      </c>
      <c r="BL1070" s="117">
        <f>IFERROR(VLOOKUP($D1070,'WB Data'!$C$3:$M$578,7,FALSE)/100,"..")</f>
        <v>2.77576E-2</v>
      </c>
      <c r="BM1070" s="117">
        <f>IFERROR($AW1070*$BL1070,"..")</f>
        <v>274597674.96039915</v>
      </c>
      <c r="BN1070" s="846">
        <f>IFERROR($BB1070/$BM1070,"..")</f>
        <v>0.31809993680499365</v>
      </c>
      <c r="BO1070" s="801">
        <f t="shared" si="174"/>
        <v>28</v>
      </c>
      <c r="BP1070" s="117" t="str">
        <f>VLOOKUP($D1070,'WB Data'!$C$3:$M$578,9,FALSE)</f>
        <v>..</v>
      </c>
      <c r="BQ1070" s="117">
        <f>VLOOKUP($D1070,'WB Data'!$C$3:$M$578,10,FALSE)</f>
        <v>63.798902439024403</v>
      </c>
      <c r="BR1070" s="117">
        <f>VLOOKUP($D1070,'WB Data'!$C$3:$M$578,11,FALSE)</f>
        <v>42.2</v>
      </c>
      <c r="BS1070" s="129" t="str">
        <f>IFERROR(VLOOKUP($D1070,'WB Data 2'!$C$2:$K$545,9,FALSE),"..")</f>
        <v>..</v>
      </c>
      <c r="BT1070" s="129" t="str">
        <f>_xlfn.IFNA(VLOOKUP($C1070,RGI!$A$2:$C$43,2,FALSE),"..")</f>
        <v>..</v>
      </c>
      <c r="BU1070" s="129" t="str">
        <f>_xlfn.IFNA(VLOOKUP($C1070,RGI!$A$2:$C$43,3,FALSE),"..")</f>
        <v>..</v>
      </c>
      <c r="BV1070" s="129">
        <f>VLOOKUP($D1070,WGI!$C$2:$O$478,7,FALSE)</f>
        <v>-0.83520059982190498</v>
      </c>
      <c r="BW1070" s="129">
        <f>VLOOKUP($D1070,WGI!$C$2:$O$478,4,FALSE)</f>
        <v>-0.75758673171867297</v>
      </c>
      <c r="BX1070" s="129">
        <f>VLOOKUP($D1070,WGI!$C$2:$O$478,3,FALSE)</f>
        <v>-1.0081230410484601</v>
      </c>
      <c r="BY1070" s="129">
        <f>VLOOKUP($D1070,WGI!$C$2:$O$478,5,FALSE)</f>
        <v>-0.51927994058632299</v>
      </c>
      <c r="BZ1070" s="129">
        <f>VLOOKUP($D1070,WGI!$C$2:$O$478,2,FALSE)</f>
        <v>-0.35861885356144402</v>
      </c>
      <c r="CB1070" s="129"/>
    </row>
    <row r="1071" spans="1:80" s="120" customFormat="1" ht="15" customHeight="1">
      <c r="A1071" s="294" t="s">
        <v>325</v>
      </c>
      <c r="B1071" s="214">
        <v>2011</v>
      </c>
      <c r="C1071" s="809" t="s">
        <v>316</v>
      </c>
      <c r="D1071" s="117" t="s">
        <v>3705</v>
      </c>
      <c r="E1071" s="452" t="s">
        <v>86</v>
      </c>
      <c r="F1071" s="117"/>
      <c r="G1071" s="117" t="s">
        <v>24</v>
      </c>
      <c r="H1071" s="117" t="str">
        <f t="shared" si="183"/>
        <v>yes</v>
      </c>
      <c r="I1071" s="117" t="str">
        <f t="shared" si="180"/>
        <v>no</v>
      </c>
      <c r="J1071" s="117" t="str">
        <f t="shared" si="181"/>
        <v>no</v>
      </c>
      <c r="K1071" s="117" t="s">
        <v>1687</v>
      </c>
      <c r="L1071" s="117" t="str">
        <f t="shared" si="184"/>
        <v>detailed</v>
      </c>
      <c r="M1071" s="117" t="str">
        <f t="shared" si="182"/>
        <v>detailed Mining</v>
      </c>
      <c r="N1071" s="89">
        <v>3573</v>
      </c>
      <c r="O1071" s="89"/>
      <c r="P1071" s="537">
        <v>3853</v>
      </c>
      <c r="Q1071" s="537"/>
      <c r="R1071" s="537"/>
      <c r="S1071" s="179" t="s">
        <v>610</v>
      </c>
      <c r="T1071" s="119">
        <v>1179.67</v>
      </c>
      <c r="U1071" s="117" t="s">
        <v>611</v>
      </c>
      <c r="V1071" s="401" t="s">
        <v>1688</v>
      </c>
      <c r="W1071" s="89">
        <f t="shared" si="186"/>
        <v>4214960.91</v>
      </c>
      <c r="X1071" s="117"/>
      <c r="Y1071" s="117"/>
      <c r="Z1071" s="117"/>
      <c r="AA1071" s="177"/>
      <c r="AB1071" s="177"/>
      <c r="AC1071" s="122"/>
      <c r="AD1071" s="122"/>
      <c r="AE1071" s="122"/>
      <c r="AF1071" s="123"/>
      <c r="AG1071" s="117"/>
      <c r="AH1071" s="124"/>
      <c r="AI1071" s="117"/>
      <c r="AJ1071" s="117"/>
      <c r="AK1071" s="117"/>
      <c r="AL1071" s="117"/>
      <c r="AM1071" s="117"/>
      <c r="AN1071" s="117"/>
      <c r="AO1071" s="126"/>
      <c r="AP1071" s="117"/>
      <c r="AQ1071" s="117"/>
      <c r="AR1071" s="117"/>
      <c r="AS1071" s="401"/>
      <c r="AV1071" s="281" t="s">
        <v>1689</v>
      </c>
      <c r="AW1071" s="117">
        <f>VLOOKUP($D1071,'WB Data'!$C$3:$M$578,2,FALSE)</f>
        <v>9892702357.566906</v>
      </c>
      <c r="AX1071" s="117">
        <f>VLOOKUP($D1071,'WB Data'!$C$3:$M$578,3,FALSE)</f>
        <v>21678934</v>
      </c>
      <c r="AY1071" s="847">
        <f t="shared" si="175"/>
        <v>8.8296908058582927E-3</v>
      </c>
      <c r="AZ1071" s="117">
        <f>VLOOKUP($D1071,'WB Data'!$C$3:$M$578,4,FALSE)/100</f>
        <v>0.10277630795353078</v>
      </c>
      <c r="BA1071" s="117">
        <f t="shared" si="176"/>
        <v>1016735423.9939163</v>
      </c>
      <c r="BB1071" s="129">
        <f>IFERROR(VLOOKUP($D1071,'EITI Revenues'!$C$2:$G$224,5,FALSE),"..")</f>
        <v>87349503.051701158</v>
      </c>
      <c r="BC1071" s="846">
        <f t="shared" si="177"/>
        <v>8.5911733761155767E-2</v>
      </c>
      <c r="BD1071" s="129">
        <f>VLOOKUP($D1071,'WB Data 2'!$C$2:$K$545,6,FALSE)</f>
        <v>272400272.58123189</v>
      </c>
      <c r="BE1071" s="129">
        <f>IFERROR(VLOOKUP($D1071,UNCTAD!$C$5:$V$529,4,FALSE),"..")</f>
        <v>2692550790.9400001</v>
      </c>
      <c r="BF1071" s="846">
        <f t="shared" si="178"/>
        <v>0.10116810925083194</v>
      </c>
      <c r="BG1071" s="117">
        <f>VLOOKUP($D1071,'WB Data'!$C$3:$M$578,5,FALSE)</f>
        <v>443270000</v>
      </c>
      <c r="BH1071" s="129">
        <f>IFERROR($BB1071/$BG1071,"..")</f>
        <v>0.19705710526699563</v>
      </c>
      <c r="BI1071" s="117">
        <f>IFERROR(VLOOKUP($D1071,'WB Data'!$C$3:$M$578,7,FALSE)/100,"..")</f>
        <v>2.77576E-2</v>
      </c>
      <c r="BJ1071" s="117">
        <f>IFERROR($BI1071*$AW1071,"..")</f>
        <v>274597674.96039915</v>
      </c>
      <c r="BK1071" s="846">
        <f>IFERROR($BB1071/$BJ1071,"..")</f>
        <v>0.31809993680499365</v>
      </c>
      <c r="BL1071" s="117">
        <f>IFERROR(VLOOKUP($D1071,'WB Data'!$C$3:$M$578,7,FALSE)/100,"..")</f>
        <v>2.77576E-2</v>
      </c>
      <c r="BM1071" s="117">
        <f>IFERROR($AW1071*$BL1071,"..")</f>
        <v>274597674.96039915</v>
      </c>
      <c r="BN1071" s="846">
        <f>IFERROR($BB1071/$BM1071,"..")</f>
        <v>0.31809993680499365</v>
      </c>
      <c r="BO1071" s="801">
        <f t="shared" si="174"/>
        <v>28</v>
      </c>
      <c r="BP1071" s="117" t="str">
        <f>VLOOKUP($D1071,'WB Data'!$C$3:$M$578,9,FALSE)</f>
        <v>..</v>
      </c>
      <c r="BQ1071" s="117">
        <f>VLOOKUP($D1071,'WB Data'!$C$3:$M$578,10,FALSE)</f>
        <v>63.798902439024403</v>
      </c>
      <c r="BR1071" s="117">
        <f>VLOOKUP($D1071,'WB Data'!$C$3:$M$578,11,FALSE)</f>
        <v>42.2</v>
      </c>
      <c r="BS1071" s="129" t="str">
        <f>IFERROR(VLOOKUP($D1071,'WB Data 2'!$C$2:$K$545,9,FALSE),"..")</f>
        <v>..</v>
      </c>
      <c r="BT1071" s="129" t="str">
        <f>_xlfn.IFNA(VLOOKUP($C1071,RGI!$A$2:$C$43,2,FALSE),"..")</f>
        <v>..</v>
      </c>
      <c r="BU1071" s="129" t="str">
        <f>_xlfn.IFNA(VLOOKUP($C1071,RGI!$A$2:$C$43,3,FALSE),"..")</f>
        <v>..</v>
      </c>
      <c r="BV1071" s="129">
        <f>VLOOKUP($D1071,WGI!$C$2:$O$478,7,FALSE)</f>
        <v>-0.83520059982190498</v>
      </c>
      <c r="BW1071" s="129">
        <f>VLOOKUP($D1071,WGI!$C$2:$O$478,4,FALSE)</f>
        <v>-0.75758673171867297</v>
      </c>
      <c r="BX1071" s="129">
        <f>VLOOKUP($D1071,WGI!$C$2:$O$478,3,FALSE)</f>
        <v>-1.0081230410484601</v>
      </c>
      <c r="BY1071" s="129">
        <f>VLOOKUP($D1071,WGI!$C$2:$O$478,5,FALSE)</f>
        <v>-0.51927994058632299</v>
      </c>
      <c r="BZ1071" s="129">
        <f>VLOOKUP($D1071,WGI!$C$2:$O$478,2,FALSE)</f>
        <v>-0.35861885356144402</v>
      </c>
      <c r="CB1071" s="129"/>
    </row>
    <row r="1072" spans="1:80" s="120" customFormat="1" ht="15" customHeight="1">
      <c r="A1072" s="294" t="s">
        <v>325</v>
      </c>
      <c r="B1072" s="214">
        <v>2011</v>
      </c>
      <c r="C1072" s="809" t="s">
        <v>316</v>
      </c>
      <c r="D1072" s="117" t="s">
        <v>3705</v>
      </c>
      <c r="E1072" s="452" t="s">
        <v>86</v>
      </c>
      <c r="F1072" s="117"/>
      <c r="G1072" s="117" t="s">
        <v>24</v>
      </c>
      <c r="H1072" s="117" t="str">
        <f t="shared" si="183"/>
        <v>yes</v>
      </c>
      <c r="I1072" s="117" t="str">
        <f t="shared" si="180"/>
        <v>no</v>
      </c>
      <c r="J1072" s="117" t="str">
        <f t="shared" si="181"/>
        <v>no</v>
      </c>
      <c r="K1072" s="117" t="s">
        <v>1670</v>
      </c>
      <c r="L1072" s="117" t="str">
        <f t="shared" si="184"/>
        <v>detailed</v>
      </c>
      <c r="M1072" s="117" t="str">
        <f t="shared" si="182"/>
        <v>detailed Mining</v>
      </c>
      <c r="N1072" s="89">
        <v>470000</v>
      </c>
      <c r="O1072" s="89"/>
      <c r="P1072" s="537">
        <f>70952+450675</f>
        <v>521627</v>
      </c>
      <c r="Q1072" s="537"/>
      <c r="R1072" s="537"/>
      <c r="S1072" s="179" t="s">
        <v>610</v>
      </c>
      <c r="T1072" s="119">
        <v>195</v>
      </c>
      <c r="U1072" s="117" t="s">
        <v>611</v>
      </c>
      <c r="V1072" s="117" t="s">
        <v>1671</v>
      </c>
      <c r="W1072" s="89">
        <f t="shared" si="186"/>
        <v>91650000</v>
      </c>
      <c r="X1072" s="117"/>
      <c r="Y1072" s="117"/>
      <c r="Z1072" s="117"/>
      <c r="AA1072" s="177"/>
      <c r="AB1072" s="177"/>
      <c r="AC1072" s="122"/>
      <c r="AD1072" s="122"/>
      <c r="AE1072" s="122"/>
      <c r="AF1072" s="123"/>
      <c r="AG1072" s="117"/>
      <c r="AH1072" s="124"/>
      <c r="AI1072" s="117"/>
      <c r="AJ1072" s="117"/>
      <c r="AK1072" s="117"/>
      <c r="AL1072" s="117"/>
      <c r="AM1072" s="117"/>
      <c r="AN1072" s="117"/>
      <c r="AO1072" s="126"/>
      <c r="AP1072" s="117"/>
      <c r="AQ1072" s="117"/>
      <c r="AR1072" s="117"/>
      <c r="AS1072" s="401"/>
      <c r="AV1072" s="281" t="s">
        <v>1690</v>
      </c>
      <c r="AW1072" s="117">
        <f>VLOOKUP($D1072,'WB Data'!$C$3:$M$578,2,FALSE)</f>
        <v>9892702357.566906</v>
      </c>
      <c r="AX1072" s="117">
        <f>VLOOKUP($D1072,'WB Data'!$C$3:$M$578,3,FALSE)</f>
        <v>21678934</v>
      </c>
      <c r="AY1072" s="847">
        <f t="shared" si="175"/>
        <v>8.8296908058582927E-3</v>
      </c>
      <c r="AZ1072" s="117">
        <f>VLOOKUP($D1072,'WB Data'!$C$3:$M$578,4,FALSE)/100</f>
        <v>0.10277630795353078</v>
      </c>
      <c r="BA1072" s="117">
        <f t="shared" si="176"/>
        <v>1016735423.9939163</v>
      </c>
      <c r="BB1072" s="129">
        <f>IFERROR(VLOOKUP($D1072,'EITI Revenues'!$C$2:$G$224,5,FALSE),"..")</f>
        <v>87349503.051701158</v>
      </c>
      <c r="BC1072" s="846">
        <f t="shared" si="177"/>
        <v>8.5911733761155767E-2</v>
      </c>
      <c r="BD1072" s="129">
        <f>VLOOKUP($D1072,'WB Data 2'!$C$2:$K$545,6,FALSE)</f>
        <v>272400272.58123189</v>
      </c>
      <c r="BE1072" s="129">
        <f>IFERROR(VLOOKUP($D1072,UNCTAD!$C$5:$V$529,4,FALSE),"..")</f>
        <v>2692550790.9400001</v>
      </c>
      <c r="BF1072" s="846">
        <f t="shared" si="178"/>
        <v>0.10116810925083194</v>
      </c>
      <c r="BG1072" s="117">
        <f>VLOOKUP($D1072,'WB Data'!$C$3:$M$578,5,FALSE)</f>
        <v>443270000</v>
      </c>
      <c r="BH1072" s="129">
        <f>IFERROR($BB1072/$BG1072,"..")</f>
        <v>0.19705710526699563</v>
      </c>
      <c r="BI1072" s="117">
        <f>IFERROR(VLOOKUP($D1072,'WB Data'!$C$3:$M$578,7,FALSE)/100,"..")</f>
        <v>2.77576E-2</v>
      </c>
      <c r="BJ1072" s="117">
        <f>IFERROR($BI1072*$AW1072,"..")</f>
        <v>274597674.96039915</v>
      </c>
      <c r="BK1072" s="846">
        <f>IFERROR($BB1072/$BJ1072,"..")</f>
        <v>0.31809993680499365</v>
      </c>
      <c r="BL1072" s="117">
        <f>IFERROR(VLOOKUP($D1072,'WB Data'!$C$3:$M$578,7,FALSE)/100,"..")</f>
        <v>2.77576E-2</v>
      </c>
      <c r="BM1072" s="117">
        <f>IFERROR($AW1072*$BL1072,"..")</f>
        <v>274597674.96039915</v>
      </c>
      <c r="BN1072" s="846">
        <f>IFERROR($BB1072/$BM1072,"..")</f>
        <v>0.31809993680499365</v>
      </c>
      <c r="BO1072" s="801">
        <f t="shared" si="174"/>
        <v>28</v>
      </c>
      <c r="BP1072" s="117" t="str">
        <f>VLOOKUP($D1072,'WB Data'!$C$3:$M$578,9,FALSE)</f>
        <v>..</v>
      </c>
      <c r="BQ1072" s="117">
        <f>VLOOKUP($D1072,'WB Data'!$C$3:$M$578,10,FALSE)</f>
        <v>63.798902439024403</v>
      </c>
      <c r="BR1072" s="117">
        <f>VLOOKUP($D1072,'WB Data'!$C$3:$M$578,11,FALSE)</f>
        <v>42.2</v>
      </c>
      <c r="BS1072" s="129" t="str">
        <f>IFERROR(VLOOKUP($D1072,'WB Data 2'!$C$2:$K$545,9,FALSE),"..")</f>
        <v>..</v>
      </c>
      <c r="BT1072" s="129" t="str">
        <f>_xlfn.IFNA(VLOOKUP($C1072,RGI!$A$2:$C$43,2,FALSE),"..")</f>
        <v>..</v>
      </c>
      <c r="BU1072" s="129" t="str">
        <f>_xlfn.IFNA(VLOOKUP($C1072,RGI!$A$2:$C$43,3,FALSE),"..")</f>
        <v>..</v>
      </c>
      <c r="BV1072" s="129">
        <f>VLOOKUP($D1072,WGI!$C$2:$O$478,7,FALSE)</f>
        <v>-0.83520059982190498</v>
      </c>
      <c r="BW1072" s="129">
        <f>VLOOKUP($D1072,WGI!$C$2:$O$478,4,FALSE)</f>
        <v>-0.75758673171867297</v>
      </c>
      <c r="BX1072" s="129">
        <f>VLOOKUP($D1072,WGI!$C$2:$O$478,3,FALSE)</f>
        <v>-1.0081230410484601</v>
      </c>
      <c r="BY1072" s="129">
        <f>VLOOKUP($D1072,WGI!$C$2:$O$478,5,FALSE)</f>
        <v>-0.51927994058632299</v>
      </c>
      <c r="BZ1072" s="129">
        <f>VLOOKUP($D1072,WGI!$C$2:$O$478,2,FALSE)</f>
        <v>-0.35861885356144402</v>
      </c>
      <c r="CB1072" s="129"/>
    </row>
    <row r="1073" spans="1:80" s="120" customFormat="1" ht="15" customHeight="1">
      <c r="A1073" s="294" t="s">
        <v>325</v>
      </c>
      <c r="B1073" s="214">
        <v>2011</v>
      </c>
      <c r="C1073" s="809" t="s">
        <v>316</v>
      </c>
      <c r="D1073" s="117" t="s">
        <v>3705</v>
      </c>
      <c r="E1073" s="452" t="s">
        <v>86</v>
      </c>
      <c r="F1073" s="117"/>
      <c r="G1073" s="117" t="s">
        <v>24</v>
      </c>
      <c r="H1073" s="117" t="str">
        <f t="shared" si="183"/>
        <v>yes</v>
      </c>
      <c r="I1073" s="117" t="str">
        <f t="shared" si="180"/>
        <v>no</v>
      </c>
      <c r="J1073" s="117" t="str">
        <f t="shared" si="181"/>
        <v>no</v>
      </c>
      <c r="K1073" s="117" t="s">
        <v>1691</v>
      </c>
      <c r="L1073" s="117" t="str">
        <f t="shared" si="184"/>
        <v>detailed</v>
      </c>
      <c r="M1073" s="117" t="str">
        <f t="shared" si="182"/>
        <v>detailed Mining</v>
      </c>
      <c r="N1073" s="89">
        <v>7000</v>
      </c>
      <c r="O1073" s="89"/>
      <c r="P1073" s="537">
        <f>602+2565.44</f>
        <v>3167.44</v>
      </c>
      <c r="Q1073" s="537"/>
      <c r="R1073" s="537"/>
      <c r="S1073" s="179" t="s">
        <v>610</v>
      </c>
      <c r="T1073" s="119"/>
      <c r="U1073" s="117"/>
      <c r="V1073" s="401" t="s">
        <v>684</v>
      </c>
      <c r="W1073" s="89"/>
      <c r="X1073" s="117"/>
      <c r="Y1073" s="117"/>
      <c r="Z1073" s="117"/>
      <c r="AA1073" s="177"/>
      <c r="AB1073" s="177"/>
      <c r="AC1073" s="122"/>
      <c r="AD1073" s="122"/>
      <c r="AE1073" s="122"/>
      <c r="AF1073" s="123"/>
      <c r="AG1073" s="117"/>
      <c r="AH1073" s="124"/>
      <c r="AI1073" s="117"/>
      <c r="AJ1073" s="117"/>
      <c r="AK1073" s="117"/>
      <c r="AL1073" s="117"/>
      <c r="AM1073" s="117"/>
      <c r="AN1073" s="117"/>
      <c r="AO1073" s="126"/>
      <c r="AP1073" s="117"/>
      <c r="AQ1073" s="117"/>
      <c r="AR1073" s="117"/>
      <c r="AS1073" s="401"/>
      <c r="AV1073" s="281" t="s">
        <v>1692</v>
      </c>
      <c r="AW1073" s="117">
        <f>VLOOKUP($D1073,'WB Data'!$C$3:$M$578,2,FALSE)</f>
        <v>9892702357.566906</v>
      </c>
      <c r="AX1073" s="117">
        <f>VLOOKUP($D1073,'WB Data'!$C$3:$M$578,3,FALSE)</f>
        <v>21678934</v>
      </c>
      <c r="AY1073" s="847">
        <f t="shared" si="175"/>
        <v>8.8296908058582927E-3</v>
      </c>
      <c r="AZ1073" s="117">
        <f>VLOOKUP($D1073,'WB Data'!$C$3:$M$578,4,FALSE)/100</f>
        <v>0.10277630795353078</v>
      </c>
      <c r="BA1073" s="117">
        <f t="shared" si="176"/>
        <v>1016735423.9939163</v>
      </c>
      <c r="BB1073" s="129">
        <f>IFERROR(VLOOKUP($D1073,'EITI Revenues'!$C$2:$G$224,5,FALSE),"..")</f>
        <v>87349503.051701158</v>
      </c>
      <c r="BC1073" s="846">
        <f t="shared" si="177"/>
        <v>8.5911733761155767E-2</v>
      </c>
      <c r="BD1073" s="129">
        <f>VLOOKUP($D1073,'WB Data 2'!$C$2:$K$545,6,FALSE)</f>
        <v>272400272.58123189</v>
      </c>
      <c r="BE1073" s="129">
        <f>IFERROR(VLOOKUP($D1073,UNCTAD!$C$5:$V$529,4,FALSE),"..")</f>
        <v>2692550790.9400001</v>
      </c>
      <c r="BF1073" s="846">
        <f t="shared" si="178"/>
        <v>0.10116810925083194</v>
      </c>
      <c r="BG1073" s="117">
        <f>VLOOKUP($D1073,'WB Data'!$C$3:$M$578,5,FALSE)</f>
        <v>443270000</v>
      </c>
      <c r="BH1073" s="129">
        <f>IFERROR($BB1073/$BG1073,"..")</f>
        <v>0.19705710526699563</v>
      </c>
      <c r="BI1073" s="117">
        <f>IFERROR(VLOOKUP($D1073,'WB Data'!$C$3:$M$578,7,FALSE)/100,"..")</f>
        <v>2.77576E-2</v>
      </c>
      <c r="BJ1073" s="117">
        <f>IFERROR($BI1073*$AW1073,"..")</f>
        <v>274597674.96039915</v>
      </c>
      <c r="BK1073" s="846">
        <f>IFERROR($BB1073/$BJ1073,"..")</f>
        <v>0.31809993680499365</v>
      </c>
      <c r="BL1073" s="117">
        <f>IFERROR(VLOOKUP($D1073,'WB Data'!$C$3:$M$578,7,FALSE)/100,"..")</f>
        <v>2.77576E-2</v>
      </c>
      <c r="BM1073" s="117">
        <f>IFERROR($AW1073*$BL1073,"..")</f>
        <v>274597674.96039915</v>
      </c>
      <c r="BN1073" s="846">
        <f>IFERROR($BB1073/$BM1073,"..")</f>
        <v>0.31809993680499365</v>
      </c>
      <c r="BO1073" s="801">
        <f t="shared" si="174"/>
        <v>28</v>
      </c>
      <c r="BP1073" s="117" t="str">
        <f>VLOOKUP($D1073,'WB Data'!$C$3:$M$578,9,FALSE)</f>
        <v>..</v>
      </c>
      <c r="BQ1073" s="117">
        <f>VLOOKUP($D1073,'WB Data'!$C$3:$M$578,10,FALSE)</f>
        <v>63.798902439024403</v>
      </c>
      <c r="BR1073" s="117">
        <f>VLOOKUP($D1073,'WB Data'!$C$3:$M$578,11,FALSE)</f>
        <v>42.2</v>
      </c>
      <c r="BS1073" s="129" t="str">
        <f>IFERROR(VLOOKUP($D1073,'WB Data 2'!$C$2:$K$545,9,FALSE),"..")</f>
        <v>..</v>
      </c>
      <c r="BT1073" s="129" t="str">
        <f>_xlfn.IFNA(VLOOKUP($C1073,RGI!$A$2:$C$43,2,FALSE),"..")</f>
        <v>..</v>
      </c>
      <c r="BU1073" s="129" t="str">
        <f>_xlfn.IFNA(VLOOKUP($C1073,RGI!$A$2:$C$43,3,FALSE),"..")</f>
        <v>..</v>
      </c>
      <c r="BV1073" s="129">
        <f>VLOOKUP($D1073,WGI!$C$2:$O$478,7,FALSE)</f>
        <v>-0.83520059982190498</v>
      </c>
      <c r="BW1073" s="129">
        <f>VLOOKUP($D1073,WGI!$C$2:$O$478,4,FALSE)</f>
        <v>-0.75758673171867297</v>
      </c>
      <c r="BX1073" s="129">
        <f>VLOOKUP($D1073,WGI!$C$2:$O$478,3,FALSE)</f>
        <v>-1.0081230410484601</v>
      </c>
      <c r="BY1073" s="129">
        <f>VLOOKUP($D1073,WGI!$C$2:$O$478,5,FALSE)</f>
        <v>-0.51927994058632299</v>
      </c>
      <c r="BZ1073" s="129">
        <f>VLOOKUP($D1073,WGI!$C$2:$O$478,2,FALSE)</f>
        <v>-0.35861885356144402</v>
      </c>
      <c r="CB1073" s="129"/>
    </row>
    <row r="1074" spans="1:80" s="120" customFormat="1" ht="15" customHeight="1">
      <c r="A1074" s="294" t="s">
        <v>325</v>
      </c>
      <c r="B1074" s="214">
        <v>2011</v>
      </c>
      <c r="C1074" s="809" t="s">
        <v>316</v>
      </c>
      <c r="D1074" s="117" t="s">
        <v>3705</v>
      </c>
      <c r="E1074" s="452" t="s">
        <v>86</v>
      </c>
      <c r="F1074" s="117"/>
      <c r="G1074" s="117" t="s">
        <v>24</v>
      </c>
      <c r="H1074" s="117" t="str">
        <f t="shared" si="183"/>
        <v>yes</v>
      </c>
      <c r="I1074" s="117" t="str">
        <f t="shared" si="180"/>
        <v>no</v>
      </c>
      <c r="J1074" s="117" t="str">
        <f t="shared" si="181"/>
        <v>no</v>
      </c>
      <c r="K1074" s="117" t="s">
        <v>1679</v>
      </c>
      <c r="L1074" s="117" t="str">
        <f t="shared" si="184"/>
        <v>detailed</v>
      </c>
      <c r="M1074" s="117" t="str">
        <f t="shared" si="182"/>
        <v>detailed Mining</v>
      </c>
      <c r="N1074" s="89">
        <v>5900</v>
      </c>
      <c r="O1074" s="89"/>
      <c r="P1074" s="89"/>
      <c r="Q1074" s="89"/>
      <c r="R1074" s="89"/>
      <c r="S1074" s="179" t="s">
        <v>610</v>
      </c>
      <c r="T1074" s="180">
        <v>22910.356666666699</v>
      </c>
      <c r="U1074" s="117" t="s">
        <v>611</v>
      </c>
      <c r="V1074" s="117" t="s">
        <v>1680</v>
      </c>
      <c r="W1074" s="89">
        <f>N1074*T1074</f>
        <v>135171104.33333352</v>
      </c>
      <c r="X1074" s="117"/>
      <c r="Y1074" s="117"/>
      <c r="Z1074" s="117"/>
      <c r="AA1074" s="177"/>
      <c r="AB1074" s="177"/>
      <c r="AC1074" s="122"/>
      <c r="AD1074" s="122"/>
      <c r="AE1074" s="122"/>
      <c r="AF1074" s="123"/>
      <c r="AG1074" s="117"/>
      <c r="AH1074" s="124"/>
      <c r="AI1074" s="117"/>
      <c r="AJ1074" s="117"/>
      <c r="AK1074" s="117"/>
      <c r="AL1074" s="117"/>
      <c r="AM1074" s="117"/>
      <c r="AN1074" s="117"/>
      <c r="AO1074" s="126"/>
      <c r="AP1074" s="117"/>
      <c r="AQ1074" s="117"/>
      <c r="AR1074" s="117"/>
      <c r="AS1074" s="401"/>
      <c r="AV1074" s="281"/>
      <c r="AW1074" s="117">
        <f>VLOOKUP($D1074,'WB Data'!$C$3:$M$578,2,FALSE)</f>
        <v>9892702357.566906</v>
      </c>
      <c r="AX1074" s="117">
        <f>VLOOKUP($D1074,'WB Data'!$C$3:$M$578,3,FALSE)</f>
        <v>21678934</v>
      </c>
      <c r="AY1074" s="847">
        <f t="shared" si="175"/>
        <v>8.8296908058582927E-3</v>
      </c>
      <c r="AZ1074" s="117">
        <f>VLOOKUP($D1074,'WB Data'!$C$3:$M$578,4,FALSE)/100</f>
        <v>0.10277630795353078</v>
      </c>
      <c r="BA1074" s="117">
        <f t="shared" si="176"/>
        <v>1016735423.9939163</v>
      </c>
      <c r="BB1074" s="129">
        <f>IFERROR(VLOOKUP($D1074,'EITI Revenues'!$C$2:$G$224,5,FALSE),"..")</f>
        <v>87349503.051701158</v>
      </c>
      <c r="BC1074" s="846">
        <f t="shared" si="177"/>
        <v>8.5911733761155767E-2</v>
      </c>
      <c r="BD1074" s="129">
        <f>VLOOKUP($D1074,'WB Data 2'!$C$2:$K$545,6,FALSE)</f>
        <v>272400272.58123189</v>
      </c>
      <c r="BE1074" s="129">
        <f>IFERROR(VLOOKUP($D1074,UNCTAD!$C$5:$V$529,4,FALSE),"..")</f>
        <v>2692550790.9400001</v>
      </c>
      <c r="BF1074" s="846">
        <f t="shared" si="178"/>
        <v>0.10116810925083194</v>
      </c>
      <c r="BG1074" s="117">
        <f>VLOOKUP($D1074,'WB Data'!$C$3:$M$578,5,FALSE)</f>
        <v>443270000</v>
      </c>
      <c r="BH1074" s="129">
        <f>IFERROR($BB1074/$BG1074,"..")</f>
        <v>0.19705710526699563</v>
      </c>
      <c r="BI1074" s="117">
        <f>IFERROR(VLOOKUP($D1074,'WB Data'!$C$3:$M$578,7,FALSE)/100,"..")</f>
        <v>2.77576E-2</v>
      </c>
      <c r="BJ1074" s="117">
        <f>IFERROR($BI1074*$AW1074,"..")</f>
        <v>274597674.96039915</v>
      </c>
      <c r="BK1074" s="846">
        <f>IFERROR($BB1074/$BJ1074,"..")</f>
        <v>0.31809993680499365</v>
      </c>
      <c r="BL1074" s="117">
        <f>IFERROR(VLOOKUP($D1074,'WB Data'!$C$3:$M$578,7,FALSE)/100,"..")</f>
        <v>2.77576E-2</v>
      </c>
      <c r="BM1074" s="117">
        <f>IFERROR($AW1074*$BL1074,"..")</f>
        <v>274597674.96039915</v>
      </c>
      <c r="BN1074" s="846">
        <f>IFERROR($BB1074/$BM1074,"..")</f>
        <v>0.31809993680499365</v>
      </c>
      <c r="BO1074" s="801">
        <f t="shared" si="174"/>
        <v>28</v>
      </c>
      <c r="BP1074" s="117" t="str">
        <f>VLOOKUP($D1074,'WB Data'!$C$3:$M$578,9,FALSE)</f>
        <v>..</v>
      </c>
      <c r="BQ1074" s="117">
        <f>VLOOKUP($D1074,'WB Data'!$C$3:$M$578,10,FALSE)</f>
        <v>63.798902439024403</v>
      </c>
      <c r="BR1074" s="117">
        <f>VLOOKUP($D1074,'WB Data'!$C$3:$M$578,11,FALSE)</f>
        <v>42.2</v>
      </c>
      <c r="BS1074" s="129" t="str">
        <f>IFERROR(VLOOKUP($D1074,'WB Data 2'!$C$2:$K$545,9,FALSE),"..")</f>
        <v>..</v>
      </c>
      <c r="BT1074" s="129" t="str">
        <f>_xlfn.IFNA(VLOOKUP($C1074,RGI!$A$2:$C$43,2,FALSE),"..")</f>
        <v>..</v>
      </c>
      <c r="BU1074" s="129" t="str">
        <f>_xlfn.IFNA(VLOOKUP($C1074,RGI!$A$2:$C$43,3,FALSE),"..")</f>
        <v>..</v>
      </c>
      <c r="BV1074" s="129">
        <f>VLOOKUP($D1074,WGI!$C$2:$O$478,7,FALSE)</f>
        <v>-0.83520059982190498</v>
      </c>
      <c r="BW1074" s="129">
        <f>VLOOKUP($D1074,WGI!$C$2:$O$478,4,FALSE)</f>
        <v>-0.75758673171867297</v>
      </c>
      <c r="BX1074" s="129">
        <f>VLOOKUP($D1074,WGI!$C$2:$O$478,3,FALSE)</f>
        <v>-1.0081230410484601</v>
      </c>
      <c r="BY1074" s="129">
        <f>VLOOKUP($D1074,WGI!$C$2:$O$478,5,FALSE)</f>
        <v>-0.51927994058632299</v>
      </c>
      <c r="BZ1074" s="129">
        <f>VLOOKUP($D1074,WGI!$C$2:$O$478,2,FALSE)</f>
        <v>-0.35861885356144402</v>
      </c>
      <c r="CB1074" s="129"/>
    </row>
    <row r="1075" spans="1:80" s="173" customFormat="1" ht="15" customHeight="1" thickBot="1">
      <c r="A1075" s="457" t="s">
        <v>325</v>
      </c>
      <c r="B1075" s="247">
        <v>2011</v>
      </c>
      <c r="C1075" s="811" t="s">
        <v>316</v>
      </c>
      <c r="D1075" s="117" t="s">
        <v>3705</v>
      </c>
      <c r="E1075" s="458" t="s">
        <v>86</v>
      </c>
      <c r="F1075" s="164"/>
      <c r="G1075" s="164" t="s">
        <v>24</v>
      </c>
      <c r="H1075" s="164" t="str">
        <f t="shared" si="183"/>
        <v>yes</v>
      </c>
      <c r="I1075" s="164" t="str">
        <f t="shared" si="180"/>
        <v>no</v>
      </c>
      <c r="J1075" s="164" t="str">
        <f t="shared" si="181"/>
        <v>no</v>
      </c>
      <c r="K1075" s="164" t="s">
        <v>1681</v>
      </c>
      <c r="L1075" s="164" t="str">
        <f t="shared" si="184"/>
        <v>detailed</v>
      </c>
      <c r="M1075" s="164" t="str">
        <f t="shared" si="182"/>
        <v>detailed Mining</v>
      </c>
      <c r="N1075" s="167">
        <v>13075</v>
      </c>
      <c r="O1075" s="167"/>
      <c r="P1075" s="538">
        <f>18242</f>
        <v>18242</v>
      </c>
      <c r="Q1075" s="538"/>
      <c r="R1075" s="538"/>
      <c r="S1075" s="244" t="s">
        <v>610</v>
      </c>
      <c r="T1075" s="166">
        <v>64000</v>
      </c>
      <c r="U1075" s="164" t="s">
        <v>611</v>
      </c>
      <c r="V1075" s="164" t="s">
        <v>1682</v>
      </c>
      <c r="W1075" s="167">
        <f>N1075*T1075</f>
        <v>836800000</v>
      </c>
      <c r="X1075" s="164"/>
      <c r="Y1075" s="164"/>
      <c r="Z1075" s="164"/>
      <c r="AA1075" s="342"/>
      <c r="AB1075" s="342"/>
      <c r="AC1075" s="169"/>
      <c r="AD1075" s="169"/>
      <c r="AE1075" s="169"/>
      <c r="AF1075" s="170"/>
      <c r="AG1075" s="164"/>
      <c r="AH1075" s="171"/>
      <c r="AI1075" s="164"/>
      <c r="AJ1075" s="164"/>
      <c r="AK1075" s="164"/>
      <c r="AL1075" s="164"/>
      <c r="AM1075" s="164"/>
      <c r="AN1075" s="164"/>
      <c r="AO1075" s="249"/>
      <c r="AP1075" s="164"/>
      <c r="AQ1075" s="164"/>
      <c r="AR1075" s="164"/>
      <c r="AS1075" s="539"/>
      <c r="AV1075" s="540" t="s">
        <v>1693</v>
      </c>
      <c r="AW1075" s="117">
        <f>VLOOKUP($D1075,'WB Data'!$C$3:$M$578,2,FALSE)</f>
        <v>9892702357.566906</v>
      </c>
      <c r="AX1075" s="117">
        <f>VLOOKUP($D1075,'WB Data'!$C$3:$M$578,3,FALSE)</f>
        <v>21678934</v>
      </c>
      <c r="AY1075" s="847">
        <f t="shared" si="175"/>
        <v>8.8296908058582927E-3</v>
      </c>
      <c r="AZ1075" s="117">
        <f>VLOOKUP($D1075,'WB Data'!$C$3:$M$578,4,FALSE)/100</f>
        <v>0.10277630795353078</v>
      </c>
      <c r="BA1075" s="117">
        <f t="shared" si="176"/>
        <v>1016735423.9939163</v>
      </c>
      <c r="BB1075" s="129">
        <f>IFERROR(VLOOKUP($D1075,'EITI Revenues'!$C$2:$G$224,5,FALSE),"..")</f>
        <v>87349503.051701158</v>
      </c>
      <c r="BC1075" s="846">
        <f t="shared" si="177"/>
        <v>8.5911733761155767E-2</v>
      </c>
      <c r="BD1075" s="129">
        <f>VLOOKUP($D1075,'WB Data 2'!$C$2:$K$545,6,FALSE)</f>
        <v>272400272.58123189</v>
      </c>
      <c r="BE1075" s="129">
        <f>IFERROR(VLOOKUP($D1075,UNCTAD!$C$5:$V$529,4,FALSE),"..")</f>
        <v>2692550790.9400001</v>
      </c>
      <c r="BF1075" s="846">
        <f t="shared" si="178"/>
        <v>0.10116810925083194</v>
      </c>
      <c r="BG1075" s="117">
        <f>VLOOKUP($D1075,'WB Data'!$C$3:$M$578,5,FALSE)</f>
        <v>443270000</v>
      </c>
      <c r="BH1075" s="129">
        <f>IFERROR($BB1075/$BG1075,"..")</f>
        <v>0.19705710526699563</v>
      </c>
      <c r="BI1075" s="117">
        <f>IFERROR(VLOOKUP($D1075,'WB Data'!$C$3:$M$578,7,FALSE)/100,"..")</f>
        <v>2.77576E-2</v>
      </c>
      <c r="BJ1075" s="117">
        <f>IFERROR($BI1075*$AW1075,"..")</f>
        <v>274597674.96039915</v>
      </c>
      <c r="BK1075" s="846">
        <f>IFERROR($BB1075/$BJ1075,"..")</f>
        <v>0.31809993680499365</v>
      </c>
      <c r="BL1075" s="117">
        <f>IFERROR(VLOOKUP($D1075,'WB Data'!$C$3:$M$578,7,FALSE)/100,"..")</f>
        <v>2.77576E-2</v>
      </c>
      <c r="BM1075" s="117">
        <f>IFERROR($AW1075*$BL1075,"..")</f>
        <v>274597674.96039915</v>
      </c>
      <c r="BN1075" s="846">
        <f>IFERROR($BB1075/$BM1075,"..")</f>
        <v>0.31809993680499365</v>
      </c>
      <c r="BO1075" s="801">
        <f t="shared" si="174"/>
        <v>28</v>
      </c>
      <c r="BP1075" s="117" t="str">
        <f>VLOOKUP($D1075,'WB Data'!$C$3:$M$578,9,FALSE)</f>
        <v>..</v>
      </c>
      <c r="BQ1075" s="117">
        <f>VLOOKUP($D1075,'WB Data'!$C$3:$M$578,10,FALSE)</f>
        <v>63.798902439024403</v>
      </c>
      <c r="BR1075" s="117">
        <f>VLOOKUP($D1075,'WB Data'!$C$3:$M$578,11,FALSE)</f>
        <v>42.2</v>
      </c>
      <c r="BS1075" s="129" t="str">
        <f>IFERROR(VLOOKUP($D1075,'WB Data 2'!$C$2:$K$545,9,FALSE),"..")</f>
        <v>..</v>
      </c>
      <c r="BT1075" s="129" t="str">
        <f>_xlfn.IFNA(VLOOKUP($C1075,RGI!$A$2:$C$43,2,FALSE),"..")</f>
        <v>..</v>
      </c>
      <c r="BU1075" s="129" t="str">
        <f>_xlfn.IFNA(VLOOKUP($C1075,RGI!$A$2:$C$43,3,FALSE),"..")</f>
        <v>..</v>
      </c>
      <c r="BV1075" s="129">
        <f>VLOOKUP($D1075,WGI!$C$2:$O$478,7,FALSE)</f>
        <v>-0.83520059982190498</v>
      </c>
      <c r="BW1075" s="129">
        <f>VLOOKUP($D1075,WGI!$C$2:$O$478,4,FALSE)</f>
        <v>-0.75758673171867297</v>
      </c>
      <c r="BX1075" s="129">
        <f>VLOOKUP($D1075,WGI!$C$2:$O$478,3,FALSE)</f>
        <v>-1.0081230410484601</v>
      </c>
      <c r="BY1075" s="129">
        <f>VLOOKUP($D1075,WGI!$C$2:$O$478,5,FALSE)</f>
        <v>-0.51927994058632299</v>
      </c>
      <c r="BZ1075" s="129">
        <f>VLOOKUP($D1075,WGI!$C$2:$O$478,2,FALSE)</f>
        <v>-0.35861885356144402</v>
      </c>
      <c r="CB1075" s="129"/>
    </row>
    <row r="1076" spans="1:80" s="385" customFormat="1" ht="15" customHeight="1">
      <c r="A1076" s="372" t="s">
        <v>328</v>
      </c>
      <c r="B1076" s="373">
        <v>2006</v>
      </c>
      <c r="C1076" s="814" t="s">
        <v>329</v>
      </c>
      <c r="D1076" s="117" t="s">
        <v>3536</v>
      </c>
      <c r="E1076" s="541" t="s">
        <v>86</v>
      </c>
      <c r="F1076" s="374"/>
      <c r="G1076" s="374" t="s">
        <v>24</v>
      </c>
      <c r="H1076" s="542" t="str">
        <f t="shared" si="183"/>
        <v>yes</v>
      </c>
      <c r="I1076" s="542" t="str">
        <f t="shared" si="180"/>
        <v>no</v>
      </c>
      <c r="J1076" s="542" t="str">
        <f t="shared" si="181"/>
        <v>no</v>
      </c>
      <c r="K1076" s="374" t="s">
        <v>784</v>
      </c>
      <c r="L1076" s="542" t="str">
        <f t="shared" si="184"/>
        <v>detailed</v>
      </c>
      <c r="M1076" s="542" t="str">
        <f t="shared" si="182"/>
        <v>detailed Mining</v>
      </c>
      <c r="N1076" s="376">
        <f>51957*32.150743126506</f>
        <v>1670456.1606238722</v>
      </c>
      <c r="O1076" s="376"/>
      <c r="P1076" s="543">
        <v>1768291</v>
      </c>
      <c r="Q1076" s="543"/>
      <c r="R1076" s="543"/>
      <c r="S1076" s="374" t="s">
        <v>785</v>
      </c>
      <c r="T1076" s="377">
        <f>604.33583333333*1.135</f>
        <v>685.9211708333296</v>
      </c>
      <c r="U1076" s="374" t="s">
        <v>786</v>
      </c>
      <c r="V1076" s="544" t="s">
        <v>1694</v>
      </c>
      <c r="W1076" s="378">
        <f>P1076*T1076</f>
        <v>1212908233.0940392</v>
      </c>
      <c r="X1076" s="374"/>
      <c r="Y1076" s="374"/>
      <c r="Z1076" s="374"/>
      <c r="AA1076" s="376">
        <v>221333358.83264166</v>
      </c>
      <c r="AB1076" s="376">
        <v>230105758.38130391</v>
      </c>
      <c r="AC1076" s="545"/>
      <c r="AD1076" s="545"/>
      <c r="AE1076" s="545"/>
      <c r="AF1076" s="546">
        <f t="shared" ref="AF1076:AF1081" si="187">AA1076/W1076</f>
        <v>0.18248153717947535</v>
      </c>
      <c r="AG1076" s="374"/>
      <c r="AH1076" s="382">
        <v>522.89</v>
      </c>
      <c r="AI1076" s="374" t="s">
        <v>722</v>
      </c>
      <c r="AJ1076" s="374"/>
      <c r="AK1076" s="378"/>
      <c r="AL1076" s="374"/>
      <c r="AM1076" s="374"/>
      <c r="AN1076" s="374"/>
      <c r="AO1076" s="374"/>
      <c r="AP1076" s="374">
        <v>7</v>
      </c>
      <c r="AQ1076" s="374" t="s">
        <v>172</v>
      </c>
      <c r="AR1076" s="383">
        <v>41922</v>
      </c>
      <c r="AS1076" s="374" t="s">
        <v>1695</v>
      </c>
      <c r="AT1076" s="374" t="s">
        <v>330</v>
      </c>
      <c r="AU1076" s="374"/>
      <c r="AV1076" s="384" t="s">
        <v>1696</v>
      </c>
      <c r="AW1076" s="117">
        <f>VLOOKUP($D1076,'WB Data'!$C$3:$M$578,2,FALSE)</f>
        <v>6122644014.7868376</v>
      </c>
      <c r="AX1076" s="117">
        <f>VLOOKUP($D1076,'WB Data'!$C$3:$M$578,3,FALSE)</f>
        <v>12325545</v>
      </c>
      <c r="AY1076" s="847">
        <f t="shared" si="175"/>
        <v>3.6149963691845879E-2</v>
      </c>
      <c r="AZ1076" s="117">
        <f>VLOOKUP($D1076,'WB Data'!$C$3:$M$578,4,FALSE)/100</f>
        <v>0.16023461097558309</v>
      </c>
      <c r="BA1076" s="117">
        <f t="shared" si="176"/>
        <v>981059481.85135114</v>
      </c>
      <c r="BB1076" s="129">
        <f>IFERROR(VLOOKUP($D1076,'EITI Revenues'!$C$2:$G$224,5,FALSE),"..")</f>
        <v>221333358.83264166</v>
      </c>
      <c r="BC1076" s="846">
        <f t="shared" si="177"/>
        <v>0.22560646212293353</v>
      </c>
      <c r="BD1076" s="129">
        <f>VLOOKUP($D1076,'WB Data 2'!$C$2:$K$545,6,FALSE)</f>
        <v>37614133.097717933</v>
      </c>
      <c r="BE1076" s="129">
        <f>IFERROR(VLOOKUP($D1076,UNCTAD!$C$5:$V$529,4,FALSE),"..")</f>
        <v>1863711000</v>
      </c>
      <c r="BF1076" s="846">
        <f t="shared" si="178"/>
        <v>2.0182385089597011E-2</v>
      </c>
      <c r="BG1076" s="117">
        <f>VLOOKUP($D1076,'WB Data'!$C$3:$M$578,5,FALSE)</f>
        <v>865790000</v>
      </c>
      <c r="BH1076" s="129">
        <f>IFERROR($BB1076/$BG1076,"..")</f>
        <v>0.25564323777433517</v>
      </c>
      <c r="BI1076" s="117" t="str">
        <f>IFERROR(VLOOKUP($D1076,'WB Data'!$C$3:$M$578,7,FALSE)/100,"..")</f>
        <v>..</v>
      </c>
      <c r="BJ1076" s="117" t="str">
        <f>IFERROR($BI1076*$AW1076,"..")</f>
        <v>..</v>
      </c>
      <c r="BK1076" s="846" t="str">
        <f>IFERROR($BB1076/$BJ1076,"..")</f>
        <v>..</v>
      </c>
      <c r="BL1076" s="117" t="str">
        <f>IFERROR(VLOOKUP($D1076,'WB Data'!$C$3:$M$578,7,FALSE)/100,"..")</f>
        <v>..</v>
      </c>
      <c r="BM1076" s="117" t="str">
        <f>IFERROR($AW1076*$BL1076,"..")</f>
        <v>..</v>
      </c>
      <c r="BN1076" s="846" t="str">
        <f>IFERROR($BB1076/$BM1076,"..")</f>
        <v>..</v>
      </c>
      <c r="BO1076" s="801">
        <f t="shared" si="174"/>
        <v>32</v>
      </c>
      <c r="BP1076" s="117">
        <f>VLOOKUP($D1076,'WB Data'!$C$3:$M$578,9,FALSE)</f>
        <v>47.5</v>
      </c>
      <c r="BQ1076" s="117">
        <f>VLOOKUP($D1076,'WB Data'!$C$3:$M$578,10,FALSE)</f>
        <v>51.994439024390246</v>
      </c>
      <c r="BR1076" s="117">
        <f>VLOOKUP($D1076,'WB Data'!$C$3:$M$578,11,FALSE)</f>
        <v>93.4</v>
      </c>
      <c r="BS1076" s="129">
        <f>IFERROR(VLOOKUP($D1076,'WB Data 2'!$C$2:$K$545,9,FALSE),"..")</f>
        <v>62.712319999999998</v>
      </c>
      <c r="BT1076" s="129" t="str">
        <f>_xlfn.IFNA(VLOOKUP($C1076,RGI!$A$2:$C$43,2,FALSE),"..")</f>
        <v>..</v>
      </c>
      <c r="BU1076" s="129" t="str">
        <f>_xlfn.IFNA(VLOOKUP($C1076,RGI!$A$2:$C$43,3,FALSE),"..")</f>
        <v>..</v>
      </c>
      <c r="BV1076" s="129">
        <f>VLOOKUP($D1076,WGI!$C$2:$O$478,7,FALSE)</f>
        <v>0.274335139359417</v>
      </c>
      <c r="BW1076" s="129">
        <f>VLOOKUP($D1076,WGI!$C$2:$O$478,4,FALSE)</f>
        <v>0.373848367126215</v>
      </c>
      <c r="BX1076" s="129">
        <f>VLOOKUP($D1076,WGI!$C$2:$O$478,3,FALSE)</f>
        <v>-0.68218677629911095</v>
      </c>
      <c r="BY1076" s="129">
        <f>VLOOKUP($D1076,WGI!$C$2:$O$478,5,FALSE)</f>
        <v>-0.43863016905879698</v>
      </c>
      <c r="BZ1076" s="129">
        <f>VLOOKUP($D1076,WGI!$C$2:$O$478,2,FALSE)</f>
        <v>-0.40528407343105999</v>
      </c>
      <c r="CB1076" s="129"/>
    </row>
    <row r="1077" spans="1:80" s="480" customFormat="1" ht="15" customHeight="1">
      <c r="A1077" s="547" t="s">
        <v>331</v>
      </c>
      <c r="B1077" s="548">
        <v>2007</v>
      </c>
      <c r="C1077" s="815" t="s">
        <v>329</v>
      </c>
      <c r="D1077" s="117" t="s">
        <v>3570</v>
      </c>
      <c r="E1077" s="549" t="s">
        <v>86</v>
      </c>
      <c r="F1077" s="550"/>
      <c r="G1077" s="550" t="s">
        <v>24</v>
      </c>
      <c r="H1077" s="471" t="str">
        <f t="shared" si="183"/>
        <v>yes</v>
      </c>
      <c r="I1077" s="471" t="str">
        <f t="shared" si="180"/>
        <v>no</v>
      </c>
      <c r="J1077" s="471" t="str">
        <f t="shared" si="181"/>
        <v>no</v>
      </c>
      <c r="K1077" s="550" t="s">
        <v>784</v>
      </c>
      <c r="L1077" s="471" t="str">
        <f t="shared" si="184"/>
        <v>detailed</v>
      </c>
      <c r="M1077" s="471" t="str">
        <f t="shared" si="182"/>
        <v>detailed Mining</v>
      </c>
      <c r="N1077" s="551">
        <f>43850*32.150743126506</f>
        <v>1409810.0860972882</v>
      </c>
      <c r="O1077" s="551"/>
      <c r="P1077" s="551"/>
      <c r="Q1077" s="551"/>
      <c r="R1077" s="551"/>
      <c r="S1077" s="550" t="s">
        <v>785</v>
      </c>
      <c r="T1077" s="552">
        <f>696.72025*1.135</f>
        <v>790.77748374999999</v>
      </c>
      <c r="U1077" s="550" t="s">
        <v>786</v>
      </c>
      <c r="V1077" s="553" t="s">
        <v>1697</v>
      </c>
      <c r="W1077" s="554">
        <f>N1077*T1077</f>
        <v>1114846072.4493845</v>
      </c>
      <c r="X1077" s="550"/>
      <c r="Y1077" s="550"/>
      <c r="Z1077" s="550"/>
      <c r="AA1077" s="555">
        <v>283774774.17844975</v>
      </c>
      <c r="AB1077" s="556">
        <v>287602068.42591846</v>
      </c>
      <c r="AC1077" s="557"/>
      <c r="AD1077" s="557"/>
      <c r="AE1077" s="557"/>
      <c r="AF1077" s="558">
        <f t="shared" si="187"/>
        <v>0.25454166381461019</v>
      </c>
      <c r="AG1077" s="550"/>
      <c r="AH1077" s="559">
        <v>466.14</v>
      </c>
      <c r="AI1077" s="550" t="s">
        <v>722</v>
      </c>
      <c r="AJ1077" s="550"/>
      <c r="AK1077" s="554"/>
      <c r="AL1077" s="550"/>
      <c r="AM1077" s="550"/>
      <c r="AN1077" s="550"/>
      <c r="AO1077" s="550"/>
      <c r="AP1077" s="550">
        <v>9</v>
      </c>
      <c r="AQ1077" s="550" t="s">
        <v>76</v>
      </c>
      <c r="AR1077" s="560">
        <v>41922</v>
      </c>
      <c r="AS1077" s="550" t="s">
        <v>607</v>
      </c>
      <c r="AT1077" s="550" t="s">
        <v>332</v>
      </c>
      <c r="AU1077" s="550"/>
      <c r="AV1077" s="561"/>
      <c r="AW1077" s="117">
        <f>VLOOKUP($D1077,'WB Data'!$C$3:$M$578,2,FALSE)</f>
        <v>7145394015.2315435</v>
      </c>
      <c r="AX1077" s="117">
        <f>VLOOKUP($D1077,'WB Data'!$C$3:$M$578,3,FALSE)</f>
        <v>12725629</v>
      </c>
      <c r="AY1077" s="847">
        <f t="shared" si="175"/>
        <v>3.9714363347009091E-2</v>
      </c>
      <c r="AZ1077" s="117">
        <f>VLOOKUP($D1077,'WB Data'!$C$3:$M$578,4,FALSE)/100</f>
        <v>0.171380181337694</v>
      </c>
      <c r="BA1077" s="117">
        <f t="shared" si="176"/>
        <v>1224578922.0596554</v>
      </c>
      <c r="BB1077" s="129">
        <f>IFERROR(VLOOKUP($D1077,'EITI Revenues'!$C$2:$G$224,5,FALSE),"..")</f>
        <v>283774774.17844975</v>
      </c>
      <c r="BC1077" s="846">
        <f t="shared" si="177"/>
        <v>0.23173253194752086</v>
      </c>
      <c r="BD1077" s="129">
        <f>VLOOKUP($D1077,'WB Data 2'!$C$2:$K$545,6,FALSE)</f>
        <v>41937486.413640931</v>
      </c>
      <c r="BE1077" s="129">
        <f>IFERROR(VLOOKUP($D1077,UNCTAD!$C$5:$V$529,4,FALSE),"..")</f>
        <v>1932923000</v>
      </c>
      <c r="BF1077" s="846">
        <f t="shared" si="178"/>
        <v>2.1696408193001445E-2</v>
      </c>
      <c r="BG1077" s="117">
        <f>VLOOKUP($D1077,'WB Data'!$C$3:$M$578,5,FALSE)</f>
        <v>1018680000</v>
      </c>
      <c r="BH1077" s="129">
        <f>IFERROR($BB1077/$BG1077,"..")</f>
        <v>0.2785710666533649</v>
      </c>
      <c r="BI1077" s="117" t="str">
        <f>IFERROR(VLOOKUP($D1077,'WB Data'!$C$3:$M$578,7,FALSE)/100,"..")</f>
        <v>..</v>
      </c>
      <c r="BJ1077" s="117" t="str">
        <f>IFERROR($BI1077*$AW1077,"..")</f>
        <v>..</v>
      </c>
      <c r="BK1077" s="846" t="str">
        <f>IFERROR($BB1077/$BJ1077,"..")</f>
        <v>..</v>
      </c>
      <c r="BL1077" s="117" t="str">
        <f>IFERROR(VLOOKUP($D1077,'WB Data'!$C$3:$M$578,7,FALSE)/100,"..")</f>
        <v>..</v>
      </c>
      <c r="BM1077" s="117" t="str">
        <f>IFERROR($AW1077*$BL1077,"..")</f>
        <v>..</v>
      </c>
      <c r="BN1077" s="846" t="str">
        <f>IFERROR($BB1077/$BM1077,"..")</f>
        <v>..</v>
      </c>
      <c r="BO1077" s="801">
        <f t="shared" si="174"/>
        <v>32</v>
      </c>
      <c r="BP1077" s="117" t="str">
        <f>VLOOKUP($D1077,'WB Data'!$C$3:$M$578,9,FALSE)</f>
        <v>..</v>
      </c>
      <c r="BQ1077" s="117">
        <f>VLOOKUP($D1077,'WB Data'!$C$3:$M$578,10,FALSE)</f>
        <v>52.453829268292687</v>
      </c>
      <c r="BR1077" s="117">
        <f>VLOOKUP($D1077,'WB Data'!$C$3:$M$578,11,FALSE)</f>
        <v>90.3</v>
      </c>
      <c r="BS1077" s="129">
        <f>IFERROR(VLOOKUP($D1077,'WB Data 2'!$C$2:$K$545,9,FALSE),"..")</f>
        <v>64.880319999999998</v>
      </c>
      <c r="BT1077" s="129" t="str">
        <f>_xlfn.IFNA(VLOOKUP($C1077,RGI!$A$2:$C$43,2,FALSE),"..")</f>
        <v>..</v>
      </c>
      <c r="BU1077" s="129" t="str">
        <f>_xlfn.IFNA(VLOOKUP($C1077,RGI!$A$2:$C$43,3,FALSE),"..")</f>
        <v>..</v>
      </c>
      <c r="BV1077" s="129">
        <f>VLOOKUP($D1077,WGI!$C$2:$O$478,7,FALSE)</f>
        <v>0.19094234886332601</v>
      </c>
      <c r="BW1077" s="129">
        <f>VLOOKUP($D1077,WGI!$C$2:$O$478,4,FALSE)</f>
        <v>0.202976626682392</v>
      </c>
      <c r="BX1077" s="129">
        <f>VLOOKUP($D1077,WGI!$C$2:$O$478,3,FALSE)</f>
        <v>-0.72544348087435595</v>
      </c>
      <c r="BY1077" s="129">
        <f>VLOOKUP($D1077,WGI!$C$2:$O$478,5,FALSE)</f>
        <v>-0.338940735037212</v>
      </c>
      <c r="BZ1077" s="129">
        <f>VLOOKUP($D1077,WGI!$C$2:$O$478,2,FALSE)</f>
        <v>-0.33515432636821102</v>
      </c>
      <c r="CB1077" s="129"/>
    </row>
    <row r="1078" spans="1:80" s="480" customFormat="1" ht="15" customHeight="1">
      <c r="A1078" s="547" t="s">
        <v>333</v>
      </c>
      <c r="B1078" s="548">
        <v>2008</v>
      </c>
      <c r="C1078" s="815" t="s">
        <v>329</v>
      </c>
      <c r="D1078" s="117" t="s">
        <v>3604</v>
      </c>
      <c r="E1078" s="549" t="s">
        <v>86</v>
      </c>
      <c r="F1078" s="550"/>
      <c r="G1078" s="550" t="s">
        <v>24</v>
      </c>
      <c r="H1078" s="471" t="str">
        <f t="shared" si="183"/>
        <v>yes</v>
      </c>
      <c r="I1078" s="471" t="str">
        <f t="shared" si="180"/>
        <v>no</v>
      </c>
      <c r="J1078" s="471" t="str">
        <f t="shared" si="181"/>
        <v>no</v>
      </c>
      <c r="K1078" s="550" t="s">
        <v>784</v>
      </c>
      <c r="L1078" s="471" t="str">
        <f t="shared" si="184"/>
        <v>detailed</v>
      </c>
      <c r="M1078" s="471" t="str">
        <f t="shared" si="182"/>
        <v>detailed Mining</v>
      </c>
      <c r="N1078" s="551">
        <f>41160*32.150743126506</f>
        <v>1323324.587086987</v>
      </c>
      <c r="O1078" s="551"/>
      <c r="P1078" s="551"/>
      <c r="Q1078" s="551"/>
      <c r="R1078" s="551"/>
      <c r="S1078" s="550" t="s">
        <v>785</v>
      </c>
      <c r="T1078" s="552">
        <f>871.70725*1.135</f>
        <v>989.38772875000006</v>
      </c>
      <c r="U1078" s="550" t="s">
        <v>786</v>
      </c>
      <c r="V1078" s="553" t="s">
        <v>1697</v>
      </c>
      <c r="W1078" s="554">
        <f>N1078*T1078</f>
        <v>1309281107.6170256</v>
      </c>
      <c r="X1078" s="550"/>
      <c r="Y1078" s="550"/>
      <c r="Z1078" s="550"/>
      <c r="AA1078" s="555">
        <v>281237313.39930284</v>
      </c>
      <c r="AB1078" s="555">
        <v>290993478.4861306</v>
      </c>
      <c r="AC1078" s="562"/>
      <c r="AD1078" s="562"/>
      <c r="AE1078" s="562"/>
      <c r="AF1078" s="558">
        <f t="shared" si="187"/>
        <v>0.21480285002444779</v>
      </c>
      <c r="AG1078" s="550"/>
      <c r="AH1078" s="559">
        <v>439.25700000000001</v>
      </c>
      <c r="AI1078" s="550" t="s">
        <v>722</v>
      </c>
      <c r="AJ1078" s="550"/>
      <c r="AK1078" s="554"/>
      <c r="AL1078" s="550"/>
      <c r="AM1078" s="550"/>
      <c r="AN1078" s="550"/>
      <c r="AO1078" s="550"/>
      <c r="AP1078" s="550">
        <v>9</v>
      </c>
      <c r="AQ1078" s="550" t="s">
        <v>76</v>
      </c>
      <c r="AR1078" s="560">
        <v>41922</v>
      </c>
      <c r="AS1078" s="550" t="s">
        <v>607</v>
      </c>
      <c r="AT1078" s="550" t="s">
        <v>334</v>
      </c>
      <c r="AU1078" s="550"/>
      <c r="AV1078" s="561"/>
      <c r="AW1078" s="117">
        <f>VLOOKUP($D1078,'WB Data'!$C$3:$M$578,2,FALSE)</f>
        <v>8737687352.7007885</v>
      </c>
      <c r="AX1078" s="117">
        <f>VLOOKUP($D1078,'WB Data'!$C$3:$M$578,3,FALSE)</f>
        <v>13138299</v>
      </c>
      <c r="AY1078" s="847">
        <f t="shared" si="175"/>
        <v>3.2186699071164795E-2</v>
      </c>
      <c r="AZ1078" s="117">
        <f>VLOOKUP($D1078,'WB Data'!$C$3:$M$578,4,FALSE)/100</f>
        <v>0.15520745869464561</v>
      </c>
      <c r="BA1078" s="117">
        <f t="shared" si="176"/>
        <v>1356154248.8810351</v>
      </c>
      <c r="BB1078" s="129">
        <f>IFERROR(VLOOKUP($D1078,'EITI Revenues'!$C$2:$G$224,5,FALSE),"..")</f>
        <v>281237313.39930284</v>
      </c>
      <c r="BC1078" s="846">
        <f t="shared" si="177"/>
        <v>0.20737855861997423</v>
      </c>
      <c r="BD1078" s="129">
        <f>VLOOKUP($D1078,'WB Data 2'!$C$2:$K$545,6,FALSE)</f>
        <v>141964764.84083638</v>
      </c>
      <c r="BE1078" s="129">
        <f>IFERROR(VLOOKUP($D1078,UNCTAD!$C$5:$V$529,4,FALSE),"..")</f>
        <v>2551480000</v>
      </c>
      <c r="BF1078" s="846">
        <f t="shared" si="178"/>
        <v>5.5640163685718239E-2</v>
      </c>
      <c r="BG1078" s="117">
        <f>VLOOKUP($D1078,'WB Data'!$C$3:$M$578,5,FALSE)</f>
        <v>964090000</v>
      </c>
      <c r="BH1078" s="129">
        <f>IFERROR($BB1078/$BG1078,"..")</f>
        <v>0.29171271706925994</v>
      </c>
      <c r="BI1078" s="117">
        <f>IFERROR(VLOOKUP($D1078,'WB Data'!$C$3:$M$578,7,FALSE)/100,"..")</f>
        <v>3.81687E-2</v>
      </c>
      <c r="BJ1078" s="117">
        <f>IFERROR($BI1078*$AW1078,"..")</f>
        <v>333506167.25903058</v>
      </c>
      <c r="BK1078" s="846">
        <f>IFERROR($BB1078/$BJ1078,"..")</f>
        <v>0.8432747007669843</v>
      </c>
      <c r="BL1078" s="117">
        <f>IFERROR(VLOOKUP($D1078,'WB Data'!$C$3:$M$578,7,FALSE)/100,"..")</f>
        <v>3.81687E-2</v>
      </c>
      <c r="BM1078" s="117">
        <f>IFERROR($AW1078*$BL1078,"..")</f>
        <v>333506167.25903058</v>
      </c>
      <c r="BN1078" s="846">
        <f>IFERROR($BB1078/$BM1078,"..")</f>
        <v>0.8432747007669843</v>
      </c>
      <c r="BO1078" s="801">
        <f t="shared" si="174"/>
        <v>32</v>
      </c>
      <c r="BP1078" s="117" t="str">
        <f>VLOOKUP($D1078,'WB Data'!$C$3:$M$578,9,FALSE)</f>
        <v>..</v>
      </c>
      <c r="BQ1078" s="117">
        <f>VLOOKUP($D1078,'WB Data'!$C$3:$M$578,10,FALSE)</f>
        <v>52.90324390243903</v>
      </c>
      <c r="BR1078" s="117">
        <f>VLOOKUP($D1078,'WB Data'!$C$3:$M$578,11,FALSE)</f>
        <v>87.6</v>
      </c>
      <c r="BS1078" s="129" t="str">
        <f>IFERROR(VLOOKUP($D1078,'WB Data 2'!$C$2:$K$545,9,FALSE),"..")</f>
        <v>..</v>
      </c>
      <c r="BT1078" s="129" t="str">
        <f>_xlfn.IFNA(VLOOKUP($C1078,RGI!$A$2:$C$43,2,FALSE),"..")</f>
        <v>..</v>
      </c>
      <c r="BU1078" s="129" t="str">
        <f>_xlfn.IFNA(VLOOKUP($C1078,RGI!$A$2:$C$43,3,FALSE),"..")</f>
        <v>..</v>
      </c>
      <c r="BV1078" s="129">
        <f>VLOOKUP($D1078,WGI!$C$2:$O$478,7,FALSE)</f>
        <v>0.16001620449619899</v>
      </c>
      <c r="BW1078" s="129">
        <f>VLOOKUP($D1078,WGI!$C$2:$O$478,4,FALSE)</f>
        <v>0.175061686104585</v>
      </c>
      <c r="BX1078" s="129">
        <f>VLOOKUP($D1078,WGI!$C$2:$O$478,3,FALSE)</f>
        <v>-0.76085238777154496</v>
      </c>
      <c r="BY1078" s="129">
        <f>VLOOKUP($D1078,WGI!$C$2:$O$478,5,FALSE)</f>
        <v>-0.396028357384625</v>
      </c>
      <c r="BZ1078" s="129">
        <f>VLOOKUP($D1078,WGI!$C$2:$O$478,2,FALSE)</f>
        <v>-0.45502382441147099</v>
      </c>
      <c r="CB1078" s="129"/>
    </row>
    <row r="1079" spans="1:80" s="480" customFormat="1" ht="15" customHeight="1">
      <c r="A1079" s="563" t="s">
        <v>335</v>
      </c>
      <c r="B1079" s="564">
        <v>2009</v>
      </c>
      <c r="C1079" s="816" t="s">
        <v>329</v>
      </c>
      <c r="D1079" s="117" t="s">
        <v>3638</v>
      </c>
      <c r="E1079" s="472" t="s">
        <v>86</v>
      </c>
      <c r="F1079" s="471"/>
      <c r="G1079" s="471" t="s">
        <v>24</v>
      </c>
      <c r="H1079" s="471" t="str">
        <f t="shared" si="183"/>
        <v>yes</v>
      </c>
      <c r="I1079" s="471" t="str">
        <f t="shared" si="180"/>
        <v>no</v>
      </c>
      <c r="J1079" s="471" t="str">
        <f t="shared" si="181"/>
        <v>no</v>
      </c>
      <c r="K1079" s="471" t="s">
        <v>784</v>
      </c>
      <c r="L1079" s="471" t="str">
        <f t="shared" si="184"/>
        <v>detailed</v>
      </c>
      <c r="M1079" s="471" t="str">
        <f t="shared" si="182"/>
        <v>detailed Mining</v>
      </c>
      <c r="N1079" s="565">
        <f>42364*32.150743126506</f>
        <v>1362034.0818113002</v>
      </c>
      <c r="O1079" s="565"/>
      <c r="P1079" s="565">
        <f>(7.287+13.488+12.833+0.5+1.376+12.317+1.741+1.712)*32150.7466</f>
        <v>1647854.3662363999</v>
      </c>
      <c r="Q1079" s="565"/>
      <c r="R1079" s="565"/>
      <c r="S1079" s="471" t="s">
        <v>785</v>
      </c>
      <c r="T1079" s="474">
        <f>972.96591666667*1.135</f>
        <v>1104.3163154166705</v>
      </c>
      <c r="U1079" s="471" t="s">
        <v>786</v>
      </c>
      <c r="V1079" s="566" t="s">
        <v>1697</v>
      </c>
      <c r="W1079" s="475">
        <f>N1079*T1079</f>
        <v>1504116458.697783</v>
      </c>
      <c r="X1079" s="471"/>
      <c r="Y1079" s="471"/>
      <c r="Z1079" s="471"/>
      <c r="AA1079" s="476">
        <v>380403587.30837423</v>
      </c>
      <c r="AB1079" s="476">
        <v>370973010.96793836</v>
      </c>
      <c r="AC1079" s="467"/>
      <c r="AD1079" s="467"/>
      <c r="AE1079" s="467"/>
      <c r="AF1079" s="469">
        <f t="shared" si="187"/>
        <v>0.25290833373216043</v>
      </c>
      <c r="AG1079" s="471" t="s">
        <v>836</v>
      </c>
      <c r="AH1079" s="477">
        <v>463.077</v>
      </c>
      <c r="AI1079" s="471" t="s">
        <v>722</v>
      </c>
      <c r="AJ1079" s="471"/>
      <c r="AK1079" s="475"/>
      <c r="AL1079" s="471"/>
      <c r="AM1079" s="471"/>
      <c r="AN1079" s="471">
        <v>40</v>
      </c>
      <c r="AO1079" s="471" t="s">
        <v>1698</v>
      </c>
      <c r="AP1079" s="471">
        <v>27</v>
      </c>
      <c r="AQ1079" s="471" t="s">
        <v>253</v>
      </c>
      <c r="AR1079" s="478">
        <v>41954</v>
      </c>
      <c r="AS1079" s="471" t="s">
        <v>607</v>
      </c>
      <c r="AT1079" s="567" t="s">
        <v>337</v>
      </c>
      <c r="AU1079" s="471" t="s">
        <v>1699</v>
      </c>
      <c r="AV1079" s="479" t="s">
        <v>1700</v>
      </c>
      <c r="AW1079" s="117">
        <f>VLOOKUP($D1079,'WB Data'!$C$3:$M$578,2,FALSE)</f>
        <v>8964480570.3252125</v>
      </c>
      <c r="AX1079" s="117">
        <f>VLOOKUP($D1079,'WB Data'!$C$3:$M$578,3,FALSE)</f>
        <v>13559296</v>
      </c>
      <c r="AY1079" s="847">
        <f t="shared" si="175"/>
        <v>4.2434537542265428E-2</v>
      </c>
      <c r="AZ1079" s="117">
        <f>VLOOKUP($D1079,'WB Data'!$C$3:$M$578,4,FALSE)/100</f>
        <v>0.17127316329560982</v>
      </c>
      <c r="BA1079" s="117">
        <f t="shared" si="176"/>
        <v>1535374944.5816317</v>
      </c>
      <c r="BB1079" s="129">
        <f>IFERROR(VLOOKUP($D1079,'EITI Revenues'!$C$2:$G$224,5,FALSE),"..")</f>
        <v>380403587.30837423</v>
      </c>
      <c r="BC1079" s="846">
        <f t="shared" si="177"/>
        <v>0.24775940798749255</v>
      </c>
      <c r="BD1079" s="129" t="str">
        <f>VLOOKUP($D1079,'WB Data 2'!$C$2:$K$545,6,FALSE)</f>
        <v>..</v>
      </c>
      <c r="BE1079" s="129">
        <f>IFERROR(VLOOKUP($D1079,UNCTAD!$C$5:$V$529,4,FALSE),"..")</f>
        <v>2127927000.0000002</v>
      </c>
      <c r="BF1079" s="846" t="str">
        <f t="shared" si="178"/>
        <v>..</v>
      </c>
      <c r="BG1079" s="117">
        <f>VLOOKUP($D1079,'WB Data'!$C$3:$M$578,5,FALSE)</f>
        <v>984390000</v>
      </c>
      <c r="BH1079" s="129">
        <f>IFERROR($BB1079/$BG1079,"..")</f>
        <v>0.38643585094157218</v>
      </c>
      <c r="BI1079" s="117">
        <f>IFERROR(VLOOKUP($D1079,'WB Data'!$C$3:$M$578,7,FALSE)/100,"..")</f>
        <v>4.3983700000000001E-2</v>
      </c>
      <c r="BJ1079" s="117">
        <f>IFERROR($BI1079*$AW1079,"..")</f>
        <v>394291024.06101304</v>
      </c>
      <c r="BK1079" s="846">
        <f>IFERROR($BB1079/$BJ1079,"..")</f>
        <v>0.96477871443888141</v>
      </c>
      <c r="BL1079" s="117">
        <f>IFERROR(VLOOKUP($D1079,'WB Data'!$C$3:$M$578,7,FALSE)/100,"..")</f>
        <v>4.3983700000000001E-2</v>
      </c>
      <c r="BM1079" s="117">
        <f>IFERROR($AW1079*$BL1079,"..")</f>
        <v>394291024.06101304</v>
      </c>
      <c r="BN1079" s="846">
        <f>IFERROR($BB1079/$BM1079,"..")</f>
        <v>0.96477871443888141</v>
      </c>
      <c r="BO1079" s="801">
        <f t="shared" si="174"/>
        <v>32</v>
      </c>
      <c r="BP1079" s="117" t="str">
        <f>VLOOKUP($D1079,'WB Data'!$C$3:$M$578,9,FALSE)</f>
        <v>..</v>
      </c>
      <c r="BQ1079" s="117">
        <f>VLOOKUP($D1079,'WB Data'!$C$3:$M$578,10,FALSE)</f>
        <v>53.342195121951235</v>
      </c>
      <c r="BR1079" s="117">
        <f>VLOOKUP($D1079,'WB Data'!$C$3:$M$578,11,FALSE)</f>
        <v>85.2</v>
      </c>
      <c r="BS1079" s="129">
        <f>IFERROR(VLOOKUP($D1079,'WB Data 2'!$C$2:$K$545,9,FALSE),"..")</f>
        <v>72.530910000000006</v>
      </c>
      <c r="BT1079" s="129" t="str">
        <f>_xlfn.IFNA(VLOOKUP($C1079,RGI!$A$2:$C$43,2,FALSE),"..")</f>
        <v>..</v>
      </c>
      <c r="BU1079" s="129" t="str">
        <f>_xlfn.IFNA(VLOOKUP($C1079,RGI!$A$2:$C$43,3,FALSE),"..")</f>
        <v>..</v>
      </c>
      <c r="BV1079" s="129">
        <f>VLOOKUP($D1079,WGI!$C$2:$O$478,7,FALSE)</f>
        <v>4.1858658624007797E-2</v>
      </c>
      <c r="BW1079" s="129">
        <f>VLOOKUP($D1079,WGI!$C$2:$O$478,4,FALSE)</f>
        <v>-7.8052068174738101E-2</v>
      </c>
      <c r="BX1079" s="129">
        <f>VLOOKUP($D1079,WGI!$C$2:$O$478,3,FALSE)</f>
        <v>-0.78967362376063399</v>
      </c>
      <c r="BY1079" s="129">
        <f>VLOOKUP($D1079,WGI!$C$2:$O$478,5,FALSE)</f>
        <v>-0.39061964217212403</v>
      </c>
      <c r="BZ1079" s="129">
        <f>VLOOKUP($D1079,WGI!$C$2:$O$478,2,FALSE)</f>
        <v>-0.63568132290367696</v>
      </c>
      <c r="CB1079" s="129"/>
    </row>
    <row r="1080" spans="1:80" s="480" customFormat="1" ht="15" customHeight="1">
      <c r="A1080" s="563" t="s">
        <v>338</v>
      </c>
      <c r="B1080" s="564">
        <v>2010</v>
      </c>
      <c r="C1080" s="816" t="s">
        <v>329</v>
      </c>
      <c r="D1080" s="117" t="s">
        <v>3672</v>
      </c>
      <c r="E1080" s="472" t="s">
        <v>86</v>
      </c>
      <c r="F1080" s="471"/>
      <c r="G1080" s="471" t="s">
        <v>24</v>
      </c>
      <c r="H1080" s="471" t="str">
        <f t="shared" si="183"/>
        <v>yes</v>
      </c>
      <c r="I1080" s="471" t="str">
        <f t="shared" si="180"/>
        <v>no</v>
      </c>
      <c r="J1080" s="471" t="str">
        <f t="shared" si="181"/>
        <v>no</v>
      </c>
      <c r="K1080" s="471" t="s">
        <v>784</v>
      </c>
      <c r="L1080" s="471" t="str">
        <f t="shared" si="184"/>
        <v>detailed</v>
      </c>
      <c r="M1080" s="471" t="str">
        <f t="shared" si="182"/>
        <v>detailed Mining</v>
      </c>
      <c r="N1080" s="565">
        <f>36360*32.150743126506</f>
        <v>1169001.0200797583</v>
      </c>
      <c r="O1080" s="565"/>
      <c r="P1080" s="565">
        <f>42.033*32150.7466</f>
        <v>1351392.3318377999</v>
      </c>
      <c r="Q1080" s="565"/>
      <c r="R1080" s="565"/>
      <c r="S1080" s="471" t="s">
        <v>785</v>
      </c>
      <c r="T1080" s="474">
        <v>1390</v>
      </c>
      <c r="U1080" s="471" t="s">
        <v>786</v>
      </c>
      <c r="V1080" s="566" t="s">
        <v>1701</v>
      </c>
      <c r="W1080" s="475">
        <f>N1080*T1080</f>
        <v>1624911417.9108639</v>
      </c>
      <c r="X1080" s="471"/>
      <c r="Y1080" s="471"/>
      <c r="Z1080" s="471"/>
      <c r="AA1080" s="568">
        <v>346547621.39714646</v>
      </c>
      <c r="AB1080" s="569">
        <v>351835136.30196124</v>
      </c>
      <c r="AC1080" s="467"/>
      <c r="AD1080" s="467"/>
      <c r="AE1080" s="467"/>
      <c r="AF1080" s="469">
        <f t="shared" si="187"/>
        <v>0.21327170058457715</v>
      </c>
      <c r="AG1080" s="471" t="s">
        <v>836</v>
      </c>
      <c r="AH1080" s="477">
        <v>486.42</v>
      </c>
      <c r="AI1080" s="471" t="s">
        <v>722</v>
      </c>
      <c r="AJ1080" s="471"/>
      <c r="AK1080" s="475"/>
      <c r="AL1080" s="471"/>
      <c r="AM1080" s="471"/>
      <c r="AN1080" s="471">
        <v>9</v>
      </c>
      <c r="AO1080" s="471" t="s">
        <v>1702</v>
      </c>
      <c r="AP1080" s="471">
        <v>9</v>
      </c>
      <c r="AQ1080" s="471" t="s">
        <v>44</v>
      </c>
      <c r="AR1080" s="478">
        <v>41954</v>
      </c>
      <c r="AS1080" s="471" t="s">
        <v>607</v>
      </c>
      <c r="AT1080" s="567" t="s">
        <v>339</v>
      </c>
      <c r="AU1080" s="471" t="s">
        <v>1703</v>
      </c>
      <c r="AV1080" s="479" t="s">
        <v>1704</v>
      </c>
      <c r="AW1080" s="117">
        <f>VLOOKUP($D1080,'WB Data'!$C$3:$M$578,2,FALSE)</f>
        <v>9422267259.989397</v>
      </c>
      <c r="AX1080" s="117">
        <f>VLOOKUP($D1080,'WB Data'!$C$3:$M$578,3,FALSE)</f>
        <v>13985961</v>
      </c>
      <c r="AY1080" s="847">
        <f t="shared" si="175"/>
        <v>3.677964250374452E-2</v>
      </c>
      <c r="AZ1080" s="117">
        <f>VLOOKUP($D1080,'WB Data'!$C$3:$M$578,4,FALSE)/100</f>
        <v>0.17278883778611584</v>
      </c>
      <c r="BA1080" s="117">
        <f t="shared" si="176"/>
        <v>1628062609.163738</v>
      </c>
      <c r="BB1080" s="129">
        <f>IFERROR(VLOOKUP($D1080,'EITI Revenues'!$C$2:$G$224,5,FALSE),"..")</f>
        <v>346547621.39714646</v>
      </c>
      <c r="BC1080" s="846">
        <f t="shared" si="177"/>
        <v>0.21285890324276427</v>
      </c>
      <c r="BD1080" s="129">
        <f>VLOOKUP($D1080,'WB Data 2'!$C$2:$K$545,6,FALSE)</f>
        <v>15834529.074526787</v>
      </c>
      <c r="BE1080" s="129">
        <f>IFERROR(VLOOKUP($D1080,UNCTAD!$C$5:$V$529,4,FALSE),"..")</f>
        <v>2436315000</v>
      </c>
      <c r="BF1080" s="846">
        <f t="shared" si="178"/>
        <v>6.4993767532222999E-3</v>
      </c>
      <c r="BG1080" s="117">
        <f>VLOOKUP($D1080,'WB Data'!$C$3:$M$578,5,FALSE)</f>
        <v>1088620000</v>
      </c>
      <c r="BH1080" s="129">
        <f>IFERROR($BB1080/$BG1080,"..")</f>
        <v>0.31833662930788198</v>
      </c>
      <c r="BI1080" s="117">
        <f>IFERROR(VLOOKUP($D1080,'WB Data'!$C$3:$M$578,7,FALSE)/100,"..")</f>
        <v>4.3065600000000002E-2</v>
      </c>
      <c r="BJ1080" s="117">
        <f>IFERROR($BI1080*$AW1080,"..")</f>
        <v>405775592.91179937</v>
      </c>
      <c r="BK1080" s="846">
        <f>IFERROR($BB1080/$BJ1080,"..")</f>
        <v>0.85403761943975054</v>
      </c>
      <c r="BL1080" s="117">
        <f>IFERROR(VLOOKUP($D1080,'WB Data'!$C$3:$M$578,7,FALSE)/100,"..")</f>
        <v>4.3065600000000002E-2</v>
      </c>
      <c r="BM1080" s="117">
        <f>IFERROR($AW1080*$BL1080,"..")</f>
        <v>405775592.91179937</v>
      </c>
      <c r="BN1080" s="846">
        <f>IFERROR($BB1080/$BM1080,"..")</f>
        <v>0.85403761943975054</v>
      </c>
      <c r="BO1080" s="801">
        <f t="shared" si="174"/>
        <v>32</v>
      </c>
      <c r="BP1080" s="117">
        <f>VLOOKUP($D1080,'WB Data'!$C$3:$M$578,9,FALSE)</f>
        <v>43.6</v>
      </c>
      <c r="BQ1080" s="117">
        <f>VLOOKUP($D1080,'WB Data'!$C$3:$M$578,10,FALSE)</f>
        <v>53.770731707317083</v>
      </c>
      <c r="BR1080" s="117">
        <f>VLOOKUP($D1080,'WB Data'!$C$3:$M$578,11,FALSE)</f>
        <v>83.1</v>
      </c>
      <c r="BS1080" s="129">
        <f>IFERROR(VLOOKUP($D1080,'WB Data 2'!$C$2:$K$545,9,FALSE),"..")</f>
        <v>73.91301</v>
      </c>
      <c r="BT1080" s="129" t="str">
        <f>_xlfn.IFNA(VLOOKUP($C1080,RGI!$A$2:$C$43,2,FALSE),"..")</f>
        <v>..</v>
      </c>
      <c r="BU1080" s="129" t="str">
        <f>_xlfn.IFNA(VLOOKUP($C1080,RGI!$A$2:$C$43,3,FALSE),"..")</f>
        <v>..</v>
      </c>
      <c r="BV1080" s="129">
        <f>VLOOKUP($D1080,WGI!$C$2:$O$478,7,FALSE)</f>
        <v>0.13439042718963601</v>
      </c>
      <c r="BW1080" s="129">
        <f>VLOOKUP($D1080,WGI!$C$2:$O$478,4,FALSE)</f>
        <v>-0.20779757745033001</v>
      </c>
      <c r="BX1080" s="129">
        <f>VLOOKUP($D1080,WGI!$C$2:$O$478,3,FALSE)</f>
        <v>-0.83993646042701697</v>
      </c>
      <c r="BY1080" s="129">
        <f>VLOOKUP($D1080,WGI!$C$2:$O$478,5,FALSE)</f>
        <v>-0.479235599865941</v>
      </c>
      <c r="BZ1080" s="129">
        <f>VLOOKUP($D1080,WGI!$C$2:$O$478,2,FALSE)</f>
        <v>-0.65076666130662397</v>
      </c>
      <c r="CB1080" s="129"/>
    </row>
    <row r="1081" spans="1:80" s="120" customFormat="1" ht="15" customHeight="1">
      <c r="A1081" s="294" t="s">
        <v>340</v>
      </c>
      <c r="B1081" s="214">
        <v>2011</v>
      </c>
      <c r="C1081" s="809" t="s">
        <v>329</v>
      </c>
      <c r="D1081" s="117" t="s">
        <v>3706</v>
      </c>
      <c r="E1081" s="452" t="s">
        <v>86</v>
      </c>
      <c r="F1081" s="117"/>
      <c r="G1081" s="117" t="s">
        <v>24</v>
      </c>
      <c r="H1081" s="117" t="str">
        <f t="shared" si="183"/>
        <v>yes</v>
      </c>
      <c r="I1081" s="117" t="str">
        <f t="shared" si="180"/>
        <v>no</v>
      </c>
      <c r="J1081" s="117" t="str">
        <f t="shared" si="181"/>
        <v>no</v>
      </c>
      <c r="K1081" s="117" t="s">
        <v>784</v>
      </c>
      <c r="L1081" s="117" t="str">
        <f t="shared" si="184"/>
        <v>detailed</v>
      </c>
      <c r="M1081" s="117" t="str">
        <f t="shared" si="182"/>
        <v>detailed Mining</v>
      </c>
      <c r="N1081" s="179">
        <f>35728*32.150743126506</f>
        <v>1148681.7504238065</v>
      </c>
      <c r="O1081" s="179"/>
      <c r="P1081" s="179">
        <v>1143280</v>
      </c>
      <c r="Q1081" s="179"/>
      <c r="R1081" s="179"/>
      <c r="S1081" s="117" t="s">
        <v>785</v>
      </c>
      <c r="T1081" s="119">
        <f>1569.21083333333*1.135</f>
        <v>1781.0542958333294</v>
      </c>
      <c r="U1081" s="117" t="s">
        <v>786</v>
      </c>
      <c r="V1081" s="401" t="s">
        <v>1697</v>
      </c>
      <c r="W1081" s="89">
        <f>N1081*T1081</f>
        <v>2045864566.1376688</v>
      </c>
      <c r="X1081" s="117"/>
      <c r="Y1081" s="117"/>
      <c r="Z1081" s="117"/>
      <c r="AA1081" s="159">
        <v>425193486.59834021</v>
      </c>
      <c r="AB1081" s="286">
        <v>423052152.71608418</v>
      </c>
      <c r="AC1081" s="122"/>
      <c r="AD1081" s="122"/>
      <c r="AE1081" s="122"/>
      <c r="AF1081" s="123">
        <f t="shared" si="187"/>
        <v>0.20783071061299588</v>
      </c>
      <c r="AG1081" s="117" t="s">
        <v>836</v>
      </c>
      <c r="AH1081" s="124">
        <v>461.51</v>
      </c>
      <c r="AI1081" s="117" t="s">
        <v>722</v>
      </c>
      <c r="AJ1081" s="117"/>
      <c r="AK1081" s="89"/>
      <c r="AL1081" s="117"/>
      <c r="AM1081" s="117"/>
      <c r="AN1081" s="117">
        <v>10</v>
      </c>
      <c r="AO1081" s="536" t="s">
        <v>1705</v>
      </c>
      <c r="AP1081" s="117">
        <v>10</v>
      </c>
      <c r="AQ1081" s="117" t="s">
        <v>95</v>
      </c>
      <c r="AR1081" s="126">
        <v>41954</v>
      </c>
      <c r="AS1081" s="117" t="s">
        <v>838</v>
      </c>
      <c r="AT1081" s="127" t="s">
        <v>341</v>
      </c>
      <c r="AU1081" s="117" t="s">
        <v>1706</v>
      </c>
      <c r="AV1081" s="128" t="s">
        <v>1707</v>
      </c>
      <c r="AW1081" s="117">
        <f>VLOOKUP($D1081,'WB Data'!$C$3:$M$578,2,FALSE)</f>
        <v>10647545670.176308</v>
      </c>
      <c r="AX1081" s="117">
        <f>VLOOKUP($D1081,'WB Data'!$C$3:$M$578,3,FALSE)</f>
        <v>14416737</v>
      </c>
      <c r="AY1081" s="847">
        <f t="shared" si="175"/>
        <v>3.9933473851096392E-2</v>
      </c>
      <c r="AZ1081" s="117">
        <f>VLOOKUP($D1081,'WB Data'!$C$3:$M$578,4,FALSE)/100</f>
        <v>0.16013378845595014</v>
      </c>
      <c r="BA1081" s="117">
        <f t="shared" si="176"/>
        <v>1705031825.9230807</v>
      </c>
      <c r="BB1081" s="129">
        <f>IFERROR(VLOOKUP($D1081,'EITI Revenues'!$C$2:$G$224,5,FALSE),"..")</f>
        <v>425193486.59834021</v>
      </c>
      <c r="BC1081" s="846">
        <f t="shared" si="177"/>
        <v>0.24937568914184127</v>
      </c>
      <c r="BD1081" s="129">
        <f>VLOOKUP($D1081,'WB Data 2'!$C$2:$K$545,6,FALSE)</f>
        <v>79993935.915862679</v>
      </c>
      <c r="BE1081" s="129">
        <f>IFERROR(VLOOKUP($D1081,UNCTAD!$C$5:$V$529,4,FALSE),"..")</f>
        <v>2800659000</v>
      </c>
      <c r="BF1081" s="846">
        <f t="shared" si="178"/>
        <v>2.856254042918566E-2</v>
      </c>
      <c r="BG1081" s="117">
        <f>VLOOKUP($D1081,'WB Data'!$C$3:$M$578,5,FALSE)</f>
        <v>1280610000</v>
      </c>
      <c r="BH1081" s="129">
        <f>IFERROR($BB1081/$BG1081,"..")</f>
        <v>0.33202418113113297</v>
      </c>
      <c r="BI1081" s="117">
        <f>IFERROR(VLOOKUP($D1081,'WB Data'!$C$3:$M$578,7,FALSE)/100,"..")</f>
        <v>4.79587E-2</v>
      </c>
      <c r="BJ1081" s="117">
        <f>IFERROR($BI1081*$AW1081,"..")</f>
        <v>510642448.5322845</v>
      </c>
      <c r="BK1081" s="846">
        <f>IFERROR($BB1081/$BJ1081,"..")</f>
        <v>0.83266380971745257</v>
      </c>
      <c r="BL1081" s="117">
        <f>IFERROR(VLOOKUP($D1081,'WB Data'!$C$3:$M$578,7,FALSE)/100,"..")</f>
        <v>4.79587E-2</v>
      </c>
      <c r="BM1081" s="117">
        <f>IFERROR($AW1081*$BL1081,"..")</f>
        <v>510642448.5322845</v>
      </c>
      <c r="BN1081" s="846">
        <f>IFERROR($BB1081/$BM1081,"..")</f>
        <v>0.83266380971745257</v>
      </c>
      <c r="BO1081" s="801">
        <f t="shared" si="174"/>
        <v>32</v>
      </c>
      <c r="BP1081" s="117" t="str">
        <f>VLOOKUP($D1081,'WB Data'!$C$3:$M$578,9,FALSE)</f>
        <v>..</v>
      </c>
      <c r="BQ1081" s="117">
        <f>VLOOKUP($D1081,'WB Data'!$C$3:$M$578,10,FALSE)</f>
        <v>54.190829268292696</v>
      </c>
      <c r="BR1081" s="117">
        <f>VLOOKUP($D1081,'WB Data'!$C$3:$M$578,11,FALSE)</f>
        <v>81.099999999999994</v>
      </c>
      <c r="BS1081" s="129">
        <f>IFERROR(VLOOKUP($D1081,'WB Data 2'!$C$2:$K$545,9,FALSE),"..")</f>
        <v>75.413700000000006</v>
      </c>
      <c r="BT1081" s="129" t="str">
        <f>_xlfn.IFNA(VLOOKUP($C1081,RGI!$A$2:$C$43,2,FALSE),"..")</f>
        <v>..</v>
      </c>
      <c r="BU1081" s="129" t="str">
        <f>_xlfn.IFNA(VLOOKUP($C1081,RGI!$A$2:$C$43,3,FALSE),"..")</f>
        <v>..</v>
      </c>
      <c r="BV1081" s="129">
        <f>VLOOKUP($D1081,WGI!$C$2:$O$478,7,FALSE)</f>
        <v>0.14714594906619799</v>
      </c>
      <c r="BW1081" s="129">
        <f>VLOOKUP($D1081,WGI!$C$2:$O$478,4,FALSE)</f>
        <v>-0.679071283298046</v>
      </c>
      <c r="BX1081" s="129">
        <f>VLOOKUP($D1081,WGI!$C$2:$O$478,3,FALSE)</f>
        <v>-0.78936097727087995</v>
      </c>
      <c r="BY1081" s="129">
        <f>VLOOKUP($D1081,WGI!$C$2:$O$478,5,FALSE)</f>
        <v>-0.38253966216507201</v>
      </c>
      <c r="BZ1081" s="129">
        <f>VLOOKUP($D1081,WGI!$C$2:$O$478,2,FALSE)</f>
        <v>-0.55176089448371601</v>
      </c>
      <c r="CB1081" s="129"/>
    </row>
    <row r="1082" spans="1:80" s="158" customFormat="1" ht="15" customHeight="1">
      <c r="A1082" s="295" t="s">
        <v>340</v>
      </c>
      <c r="B1082" s="218">
        <v>2011</v>
      </c>
      <c r="C1082" s="810" t="s">
        <v>329</v>
      </c>
      <c r="D1082" s="117" t="s">
        <v>3706</v>
      </c>
      <c r="E1082" s="453" t="s">
        <v>86</v>
      </c>
      <c r="F1082" s="149"/>
      <c r="G1082" s="149" t="s">
        <v>24</v>
      </c>
      <c r="H1082" s="149" t="str">
        <f t="shared" si="183"/>
        <v>yes</v>
      </c>
      <c r="I1082" s="149" t="str">
        <f t="shared" si="180"/>
        <v>no</v>
      </c>
      <c r="J1082" s="149" t="str">
        <f t="shared" si="181"/>
        <v>no</v>
      </c>
      <c r="K1082" s="149" t="s">
        <v>789</v>
      </c>
      <c r="L1082" s="149" t="str">
        <f t="shared" si="184"/>
        <v>detailed</v>
      </c>
      <c r="M1082" s="149" t="str">
        <f t="shared" si="182"/>
        <v>detailed Mining</v>
      </c>
      <c r="N1082" s="216"/>
      <c r="O1082" s="216"/>
      <c r="P1082" s="216">
        <f>3.04*32150.7466</f>
        <v>97738.269663999992</v>
      </c>
      <c r="Q1082" s="216"/>
      <c r="R1082" s="216"/>
      <c r="S1082" s="149" t="s">
        <v>785</v>
      </c>
      <c r="T1082" s="151"/>
      <c r="U1082" s="149"/>
      <c r="V1082" s="149" t="s">
        <v>725</v>
      </c>
      <c r="W1082" s="152"/>
      <c r="X1082" s="149"/>
      <c r="Y1082" s="149"/>
      <c r="Z1082" s="149"/>
      <c r="AA1082" s="149"/>
      <c r="AB1082" s="149"/>
      <c r="AC1082" s="288"/>
      <c r="AD1082" s="288"/>
      <c r="AE1082" s="288"/>
      <c r="AF1082" s="285"/>
      <c r="AG1082" s="149"/>
      <c r="AH1082" s="156"/>
      <c r="AI1082" s="149"/>
      <c r="AJ1082" s="149"/>
      <c r="AK1082" s="152"/>
      <c r="AL1082" s="149"/>
      <c r="AM1082" s="149"/>
      <c r="AN1082" s="149"/>
      <c r="AO1082" s="149"/>
      <c r="AP1082" s="149"/>
      <c r="AQ1082" s="149"/>
      <c r="AR1082" s="149"/>
      <c r="AS1082" s="149"/>
      <c r="AT1082" s="149"/>
      <c r="AU1082" s="149"/>
      <c r="AV1082" s="157"/>
      <c r="AW1082" s="117">
        <f>VLOOKUP($D1082,'WB Data'!$C$3:$M$578,2,FALSE)</f>
        <v>10647545670.176308</v>
      </c>
      <c r="AX1082" s="117">
        <f>VLOOKUP($D1082,'WB Data'!$C$3:$M$578,3,FALSE)</f>
        <v>14416737</v>
      </c>
      <c r="AY1082" s="847">
        <f t="shared" si="175"/>
        <v>3.9933473851096392E-2</v>
      </c>
      <c r="AZ1082" s="117">
        <f>VLOOKUP($D1082,'WB Data'!$C$3:$M$578,4,FALSE)/100</f>
        <v>0.16013378845595014</v>
      </c>
      <c r="BA1082" s="117">
        <f t="shared" si="176"/>
        <v>1705031825.9230807</v>
      </c>
      <c r="BB1082" s="129">
        <f>IFERROR(VLOOKUP($D1082,'EITI Revenues'!$C$2:$G$224,5,FALSE),"..")</f>
        <v>425193486.59834021</v>
      </c>
      <c r="BC1082" s="846">
        <f t="shared" si="177"/>
        <v>0.24937568914184127</v>
      </c>
      <c r="BD1082" s="129">
        <f>VLOOKUP($D1082,'WB Data 2'!$C$2:$K$545,6,FALSE)</f>
        <v>79993935.915862679</v>
      </c>
      <c r="BE1082" s="129">
        <f>IFERROR(VLOOKUP($D1082,UNCTAD!$C$5:$V$529,4,FALSE),"..")</f>
        <v>2800659000</v>
      </c>
      <c r="BF1082" s="846">
        <f t="shared" si="178"/>
        <v>2.856254042918566E-2</v>
      </c>
      <c r="BG1082" s="117">
        <f>VLOOKUP($D1082,'WB Data'!$C$3:$M$578,5,FALSE)</f>
        <v>1280610000</v>
      </c>
      <c r="BH1082" s="129">
        <f>IFERROR($BB1082/$BG1082,"..")</f>
        <v>0.33202418113113297</v>
      </c>
      <c r="BI1082" s="117">
        <f>IFERROR(VLOOKUP($D1082,'WB Data'!$C$3:$M$578,7,FALSE)/100,"..")</f>
        <v>4.79587E-2</v>
      </c>
      <c r="BJ1082" s="117">
        <f>IFERROR($BI1082*$AW1082,"..")</f>
        <v>510642448.5322845</v>
      </c>
      <c r="BK1082" s="846">
        <f>IFERROR($BB1082/$BJ1082,"..")</f>
        <v>0.83266380971745257</v>
      </c>
      <c r="BL1082" s="117">
        <f>IFERROR(VLOOKUP($D1082,'WB Data'!$C$3:$M$578,7,FALSE)/100,"..")</f>
        <v>4.79587E-2</v>
      </c>
      <c r="BM1082" s="117">
        <f>IFERROR($AW1082*$BL1082,"..")</f>
        <v>510642448.5322845</v>
      </c>
      <c r="BN1082" s="846">
        <f>IFERROR($BB1082/$BM1082,"..")</f>
        <v>0.83266380971745257</v>
      </c>
      <c r="BO1082" s="801">
        <f t="shared" si="174"/>
        <v>32</v>
      </c>
      <c r="BP1082" s="117" t="str">
        <f>VLOOKUP($D1082,'WB Data'!$C$3:$M$578,9,FALSE)</f>
        <v>..</v>
      </c>
      <c r="BQ1082" s="117">
        <f>VLOOKUP($D1082,'WB Data'!$C$3:$M$578,10,FALSE)</f>
        <v>54.190829268292696</v>
      </c>
      <c r="BR1082" s="117">
        <f>VLOOKUP($D1082,'WB Data'!$C$3:$M$578,11,FALSE)</f>
        <v>81.099999999999994</v>
      </c>
      <c r="BS1082" s="129">
        <f>IFERROR(VLOOKUP($D1082,'WB Data 2'!$C$2:$K$545,9,FALSE),"..")</f>
        <v>75.413700000000006</v>
      </c>
      <c r="BT1082" s="129" t="str">
        <f>_xlfn.IFNA(VLOOKUP($C1082,RGI!$A$2:$C$43,2,FALSE),"..")</f>
        <v>..</v>
      </c>
      <c r="BU1082" s="129" t="str">
        <f>_xlfn.IFNA(VLOOKUP($C1082,RGI!$A$2:$C$43,3,FALSE),"..")</f>
        <v>..</v>
      </c>
      <c r="BV1082" s="129">
        <f>VLOOKUP($D1082,WGI!$C$2:$O$478,7,FALSE)</f>
        <v>0.14714594906619799</v>
      </c>
      <c r="BW1082" s="129">
        <f>VLOOKUP($D1082,WGI!$C$2:$O$478,4,FALSE)</f>
        <v>-0.679071283298046</v>
      </c>
      <c r="BX1082" s="129">
        <f>VLOOKUP($D1082,WGI!$C$2:$O$478,3,FALSE)</f>
        <v>-0.78936097727087995</v>
      </c>
      <c r="BY1082" s="129">
        <f>VLOOKUP($D1082,WGI!$C$2:$O$478,5,FALSE)</f>
        <v>-0.38253966216507201</v>
      </c>
      <c r="BZ1082" s="129">
        <f>VLOOKUP($D1082,WGI!$C$2:$O$478,2,FALSE)</f>
        <v>-0.55176089448371601</v>
      </c>
      <c r="CB1082" s="129"/>
    </row>
    <row r="1083" spans="1:80" s="580" customFormat="1" ht="15" customHeight="1" thickBot="1">
      <c r="A1083" s="786" t="s">
        <v>342</v>
      </c>
      <c r="B1083" s="570">
        <v>2012</v>
      </c>
      <c r="C1083" s="570" t="s">
        <v>329</v>
      </c>
      <c r="D1083" s="117" t="s">
        <v>3740</v>
      </c>
      <c r="E1083" s="570" t="s">
        <v>86</v>
      </c>
      <c r="F1083" s="570" t="s">
        <v>1708</v>
      </c>
      <c r="G1083" s="570" t="s">
        <v>24</v>
      </c>
      <c r="H1083" s="570"/>
      <c r="I1083" s="570"/>
      <c r="J1083" s="570"/>
      <c r="K1083" s="570" t="s">
        <v>784</v>
      </c>
      <c r="L1083" s="570"/>
      <c r="M1083" s="570"/>
      <c r="N1083" s="571"/>
      <c r="O1083" s="571"/>
      <c r="P1083" s="571"/>
      <c r="Q1083" s="570">
        <v>46.27</v>
      </c>
      <c r="R1083" s="571">
        <v>36.32</v>
      </c>
      <c r="S1083" s="570" t="s">
        <v>610</v>
      </c>
      <c r="T1083" s="572">
        <v>1688.5</v>
      </c>
      <c r="U1083" s="570" t="s">
        <v>786</v>
      </c>
      <c r="V1083" s="570" t="s">
        <v>860</v>
      </c>
      <c r="W1083" s="573"/>
      <c r="X1083" s="570" t="s">
        <v>918</v>
      </c>
      <c r="Y1083" s="570" t="s">
        <v>602</v>
      </c>
      <c r="Z1083" s="570" t="s">
        <v>664</v>
      </c>
      <c r="AA1083" s="574">
        <v>481528351</v>
      </c>
      <c r="AB1083" s="574">
        <v>443716630</v>
      </c>
      <c r="AC1083" s="575">
        <v>1</v>
      </c>
      <c r="AD1083" s="574">
        <v>481528351</v>
      </c>
      <c r="AE1083" s="576"/>
      <c r="AF1083" s="577"/>
      <c r="AG1083" s="570" t="s">
        <v>836</v>
      </c>
      <c r="AH1083" s="578">
        <v>503.07</v>
      </c>
      <c r="AI1083" s="570" t="s">
        <v>722</v>
      </c>
      <c r="AJ1083" s="570"/>
      <c r="AK1083" s="574"/>
      <c r="AL1083" s="570"/>
      <c r="AM1083" s="570"/>
      <c r="AN1083" s="570">
        <v>15</v>
      </c>
      <c r="AO1083" s="570" t="s">
        <v>1709</v>
      </c>
      <c r="AP1083" s="570">
        <v>14</v>
      </c>
      <c r="AQ1083" s="579" t="s">
        <v>50</v>
      </c>
      <c r="AR1083" s="570"/>
      <c r="AS1083" s="570" t="s">
        <v>607</v>
      </c>
      <c r="AT1083" s="570" t="s">
        <v>343</v>
      </c>
      <c r="AU1083" s="570"/>
      <c r="AV1083" s="787" t="s">
        <v>1710</v>
      </c>
      <c r="AW1083" s="117">
        <f>VLOOKUP($D1083,'WB Data'!$C$3:$M$578,2,FALSE)</f>
        <v>10340794110.136602</v>
      </c>
      <c r="AX1083" s="117">
        <f>VLOOKUP($D1083,'WB Data'!$C$3:$M$578,3,FALSE)</f>
        <v>14853572</v>
      </c>
      <c r="AY1083" s="847">
        <f t="shared" si="175"/>
        <v>4.6565896764928338E-2</v>
      </c>
      <c r="AZ1083" s="117">
        <f>VLOOKUP($D1083,'WB Data'!$C$3:$M$578,4,FALSE)/100</f>
        <v>0.16598077456368851</v>
      </c>
      <c r="BA1083" s="117">
        <f t="shared" si="176"/>
        <v>1716373016.0041013</v>
      </c>
      <c r="BB1083" s="129">
        <f>IFERROR(VLOOKUP($D1083,'EITI Revenues'!$C$2:$G$224,5,FALSE),"..")</f>
        <v>481528351</v>
      </c>
      <c r="BC1083" s="846">
        <f t="shared" si="177"/>
        <v>0.28054994253000387</v>
      </c>
      <c r="BD1083" s="129">
        <f>VLOOKUP($D1083,'WB Data 2'!$C$2:$K$545,6,FALSE)</f>
        <v>95245231.046487466</v>
      </c>
      <c r="BE1083" s="129">
        <f>IFERROR(VLOOKUP($D1083,UNCTAD!$C$5:$V$529,4,FALSE),"..")</f>
        <v>3343261663</v>
      </c>
      <c r="BF1083" s="846">
        <f t="shared" si="178"/>
        <v>2.8488715705554831E-2</v>
      </c>
      <c r="BG1083" s="117">
        <f>VLOOKUP($D1083,'WB Data'!$C$3:$M$578,5,FALSE)</f>
        <v>1001300000</v>
      </c>
      <c r="BH1083" s="129">
        <f>IFERROR($BB1083/$BG1083,"..")</f>
        <v>0.48090317687006889</v>
      </c>
      <c r="BI1083" s="117" t="str">
        <f>IFERROR(VLOOKUP($D1083,'WB Data'!$C$3:$M$578,7,FALSE)/100,"..")</f>
        <v>..</v>
      </c>
      <c r="BJ1083" s="117" t="str">
        <f>IFERROR($BI1083*$AW1083,"..")</f>
        <v>..</v>
      </c>
      <c r="BK1083" s="846" t="str">
        <f>IFERROR($BB1083/$BJ1083,"..")</f>
        <v>..</v>
      </c>
      <c r="BL1083" s="117" t="str">
        <f>IFERROR(VLOOKUP($D1083,'WB Data'!$C$3:$M$578,7,FALSE)/100,"..")</f>
        <v>..</v>
      </c>
      <c r="BM1083" s="117" t="str">
        <f>IFERROR($AW1083*$BL1083,"..")</f>
        <v>..</v>
      </c>
      <c r="BN1083" s="846" t="str">
        <f>IFERROR($BB1083/$BM1083,"..")</f>
        <v>..</v>
      </c>
      <c r="BO1083" s="801">
        <f t="shared" si="174"/>
        <v>32</v>
      </c>
      <c r="BP1083" s="117" t="str">
        <f>VLOOKUP($D1083,'WB Data'!$C$3:$M$578,9,FALSE)</f>
        <v>..</v>
      </c>
      <c r="BQ1083" s="117">
        <f>VLOOKUP($D1083,'WB Data'!$C$3:$M$578,10,FALSE)</f>
        <v>54.603926829268296</v>
      </c>
      <c r="BR1083" s="117">
        <f>VLOOKUP($D1083,'WB Data'!$C$3:$M$578,11,FALSE)</f>
        <v>79.400000000000006</v>
      </c>
      <c r="BS1083" s="129">
        <f>IFERROR(VLOOKUP($D1083,'WB Data 2'!$C$2:$K$545,9,FALSE),"..")</f>
        <v>73.326729999999998</v>
      </c>
      <c r="BT1083" s="129" t="str">
        <f>_xlfn.IFNA(VLOOKUP($C1083,RGI!$A$2:$C$43,2,FALSE),"..")</f>
        <v>..</v>
      </c>
      <c r="BU1083" s="129" t="str">
        <f>_xlfn.IFNA(VLOOKUP($C1083,RGI!$A$2:$C$43,3,FALSE),"..")</f>
        <v>..</v>
      </c>
      <c r="BV1083" s="129">
        <f>VLOOKUP($D1083,WGI!$C$2:$O$478,7,FALSE)</f>
        <v>-0.54678503894798403</v>
      </c>
      <c r="BW1083" s="129">
        <f>VLOOKUP($D1083,WGI!$C$2:$O$478,4,FALSE)</f>
        <v>-1.9774860266219201</v>
      </c>
      <c r="BX1083" s="129">
        <f>VLOOKUP($D1083,WGI!$C$2:$O$478,3,FALSE)</f>
        <v>-0.98866028673950701</v>
      </c>
      <c r="BY1083" s="129">
        <f>VLOOKUP($D1083,WGI!$C$2:$O$478,5,FALSE)</f>
        <v>-0.42303211632404703</v>
      </c>
      <c r="BZ1083" s="129">
        <f>VLOOKUP($D1083,WGI!$C$2:$O$478,2,FALSE)</f>
        <v>-0.76139982934015304</v>
      </c>
      <c r="CB1083" s="129"/>
    </row>
    <row r="1084" spans="1:80" ht="16.5" customHeight="1">
      <c r="A1084" s="315" t="s">
        <v>344</v>
      </c>
      <c r="B1084" s="368">
        <v>2005</v>
      </c>
      <c r="C1084" s="817" t="s">
        <v>345</v>
      </c>
      <c r="D1084" s="117" t="s">
        <v>3503</v>
      </c>
      <c r="E1084" s="581" t="s">
        <v>86</v>
      </c>
      <c r="F1084" s="267" t="s">
        <v>1711</v>
      </c>
      <c r="G1084" s="267" t="s">
        <v>41</v>
      </c>
      <c r="H1084" s="117" t="str">
        <f t="shared" si="183"/>
        <v>yes</v>
      </c>
      <c r="I1084" s="117" t="str">
        <f t="shared" si="180"/>
        <v>no</v>
      </c>
      <c r="J1084" s="117" t="str">
        <f t="shared" si="181"/>
        <v>yes</v>
      </c>
      <c r="K1084" s="267" t="s">
        <v>709</v>
      </c>
      <c r="L1084" s="117" t="str">
        <f t="shared" si="184"/>
        <v>Total</v>
      </c>
      <c r="M1084" s="117" t="str">
        <f t="shared" si="182"/>
        <v>Total Oil, Mining</v>
      </c>
      <c r="N1084" s="269"/>
      <c r="O1084" s="269"/>
      <c r="P1084" s="269"/>
      <c r="Q1084" s="269"/>
      <c r="R1084" s="269"/>
      <c r="S1084" s="267"/>
      <c r="T1084" s="270"/>
      <c r="U1084" s="267"/>
      <c r="V1084" s="267"/>
      <c r="W1084" s="275">
        <f>W1085+W1086</f>
        <v>431581878.00000006</v>
      </c>
      <c r="X1084" s="267" t="s">
        <v>1712</v>
      </c>
      <c r="Y1084" s="267" t="s">
        <v>602</v>
      </c>
      <c r="Z1084" s="267"/>
      <c r="AA1084" s="582">
        <v>29636377.094866872</v>
      </c>
      <c r="AB1084" s="582">
        <v>28035804.654841263</v>
      </c>
      <c r="AC1084" s="369"/>
      <c r="AD1084" s="369"/>
      <c r="AE1084" s="369"/>
      <c r="AF1084" s="273">
        <f>AA1084/W1084</f>
        <v>6.8669187946920396E-2</v>
      </c>
      <c r="AG1084" s="267"/>
      <c r="AH1084" s="274">
        <v>265.52999999999997</v>
      </c>
      <c r="AI1084" s="267" t="s">
        <v>667</v>
      </c>
      <c r="AJ1084" s="267"/>
      <c r="AK1084" s="275"/>
      <c r="AL1084" s="267"/>
      <c r="AM1084" s="267"/>
      <c r="AN1084" s="267"/>
      <c r="AO1084" s="267"/>
      <c r="AP1084" s="267">
        <v>14</v>
      </c>
      <c r="AQ1084" s="267" t="s">
        <v>109</v>
      </c>
      <c r="AR1084" s="277">
        <v>41922</v>
      </c>
      <c r="AS1084" s="267" t="s">
        <v>1382</v>
      </c>
      <c r="AT1084" s="267" t="s">
        <v>346</v>
      </c>
      <c r="AU1084" s="267"/>
      <c r="AV1084" s="278"/>
      <c r="AW1084" s="117">
        <f>VLOOKUP($D1084,'WB Data'!$C$3:$M$578,2,FALSE)</f>
        <v>1857835643.1310711</v>
      </c>
      <c r="AX1084" s="117">
        <f>VLOOKUP($D1084,'WB Data'!$C$3:$M$578,3,FALSE)</f>
        <v>3146164</v>
      </c>
      <c r="AY1084" s="847">
        <f t="shared" si="175"/>
        <v>1.5952098456308933E-2</v>
      </c>
      <c r="AZ1084" s="117" t="e">
        <f>VLOOKUP($D1084,'WB Data'!$C$3:$M$578,4,FALSE)/100</f>
        <v>#VALUE!</v>
      </c>
      <c r="BA1084" s="117" t="str">
        <f t="shared" si="176"/>
        <v>..</v>
      </c>
      <c r="BB1084" s="129">
        <f>IFERROR(VLOOKUP($D1084,'EITI Revenues'!$C$2:$G$224,5,FALSE),"..")</f>
        <v>29636377.094866872</v>
      </c>
      <c r="BC1084" s="846" t="str">
        <f t="shared" si="177"/>
        <v>..</v>
      </c>
      <c r="BD1084" s="129" t="str">
        <f>VLOOKUP($D1084,'WB Data 2'!$C$2:$K$545,6,FALSE)</f>
        <v>..</v>
      </c>
      <c r="BE1084" s="129">
        <f>IFERROR(VLOOKUP($D1084,UNCTAD!$C$5:$V$529,4,FALSE),"..")</f>
        <v>704709728.09000003</v>
      </c>
      <c r="BF1084" s="846" t="str">
        <f t="shared" si="178"/>
        <v>..</v>
      </c>
      <c r="BG1084" s="117">
        <f>VLOOKUP($D1084,'WB Data'!$C$3:$M$578,5,FALSE)</f>
        <v>188700000</v>
      </c>
      <c r="BH1084" s="129">
        <f>IFERROR($BB1084/$BG1084,"..")</f>
        <v>0.15705552249531993</v>
      </c>
      <c r="BI1084" s="117" t="str">
        <f>IFERROR(VLOOKUP($D1084,'WB Data'!$C$3:$M$578,7,FALSE)/100,"..")</f>
        <v>..</v>
      </c>
      <c r="BJ1084" s="117" t="str">
        <f>IFERROR($BI1084*$AW1084,"..")</f>
        <v>..</v>
      </c>
      <c r="BK1084" s="846" t="str">
        <f>IFERROR($BB1084/$BJ1084,"..")</f>
        <v>..</v>
      </c>
      <c r="BL1084" s="117" t="str">
        <f>IFERROR(VLOOKUP($D1084,'WB Data'!$C$3:$M$578,7,FALSE)/100,"..")</f>
        <v>..</v>
      </c>
      <c r="BM1084" s="117" t="str">
        <f>IFERROR($AW1084*$BL1084,"..")</f>
        <v>..</v>
      </c>
      <c r="BN1084" s="846" t="str">
        <f>IFERROR($BB1084/$BM1084,"..")</f>
        <v>..</v>
      </c>
      <c r="BO1084" s="801">
        <f t="shared" si="174"/>
        <v>30</v>
      </c>
      <c r="BP1084" s="117" t="str">
        <f>VLOOKUP($D1084,'WB Data'!$C$3:$M$578,9,FALSE)</f>
        <v>..</v>
      </c>
      <c r="BQ1084" s="117">
        <f>VLOOKUP($D1084,'WB Data'!$C$3:$M$578,10,FALSE)</f>
        <v>60.242609756097572</v>
      </c>
      <c r="BR1084" s="117">
        <f>VLOOKUP($D1084,'WB Data'!$C$3:$M$578,11,FALSE)</f>
        <v>74.8</v>
      </c>
      <c r="BS1084" s="129">
        <f>IFERROR(VLOOKUP($D1084,'WB Data 2'!$C$2:$K$545,9,FALSE),"..")</f>
        <v>71.079509999999999</v>
      </c>
      <c r="BT1084" s="129" t="str">
        <f>_xlfn.IFNA(VLOOKUP($C1084,RGI!$A$2:$C$43,2,FALSE),"..")</f>
        <v>..</v>
      </c>
      <c r="BU1084" s="129" t="str">
        <f>_xlfn.IFNA(VLOOKUP($C1084,RGI!$A$2:$C$43,3,FALSE),"..")</f>
        <v>..</v>
      </c>
      <c r="BV1084" s="129">
        <f>VLOOKUP($D1084,WGI!$C$2:$O$478,7,FALSE)</f>
        <v>-0.96929629828576602</v>
      </c>
      <c r="BW1084" s="129">
        <f>VLOOKUP($D1084,WGI!$C$2:$O$478,4,FALSE)</f>
        <v>-0.23782928121267499</v>
      </c>
      <c r="BX1084" s="129">
        <f>VLOOKUP($D1084,WGI!$C$2:$O$478,3,FALSE)</f>
        <v>-0.33235950864759101</v>
      </c>
      <c r="BY1084" s="129">
        <f>VLOOKUP($D1084,WGI!$C$2:$O$478,5,FALSE)</f>
        <v>-0.37568791975201998</v>
      </c>
      <c r="BZ1084" s="129">
        <f>VLOOKUP($D1084,WGI!$C$2:$O$478,2,FALSE)</f>
        <v>-0.35977094999669301</v>
      </c>
    </row>
    <row r="1085" spans="1:80" ht="15" customHeight="1">
      <c r="A1085" s="315" t="s">
        <v>344</v>
      </c>
      <c r="B1085" s="368">
        <v>2005</v>
      </c>
      <c r="C1085" s="817" t="s">
        <v>345</v>
      </c>
      <c r="D1085" s="117" t="s">
        <v>3503</v>
      </c>
      <c r="E1085" s="581" t="s">
        <v>86</v>
      </c>
      <c r="F1085" s="267"/>
      <c r="G1085" s="267" t="s">
        <v>103</v>
      </c>
      <c r="H1085" s="117" t="str">
        <f t="shared" si="183"/>
        <v>no</v>
      </c>
      <c r="I1085" s="117" t="str">
        <f t="shared" si="180"/>
        <v>no</v>
      </c>
      <c r="J1085" s="117" t="str">
        <f t="shared" si="181"/>
        <v>yes</v>
      </c>
      <c r="K1085" s="267" t="s">
        <v>103</v>
      </c>
      <c r="L1085" s="117" t="str">
        <f t="shared" si="184"/>
        <v>detailed</v>
      </c>
      <c r="M1085" s="117" t="str">
        <f t="shared" si="182"/>
        <v>detailed Oil</v>
      </c>
      <c r="N1085" s="269"/>
      <c r="O1085" s="269"/>
      <c r="P1085" s="269"/>
      <c r="Q1085" s="269"/>
      <c r="R1085" s="269"/>
      <c r="S1085" s="267"/>
      <c r="T1085" s="270"/>
      <c r="U1085" s="267"/>
      <c r="V1085" s="267"/>
      <c r="W1085" s="275">
        <v>0</v>
      </c>
      <c r="X1085" s="267"/>
      <c r="Y1085" s="267"/>
      <c r="Z1085" s="267"/>
      <c r="AA1085" s="269">
        <v>457000</v>
      </c>
      <c r="AB1085" s="269">
        <v>457000</v>
      </c>
      <c r="AC1085" s="369"/>
      <c r="AD1085" s="369"/>
      <c r="AE1085" s="369"/>
      <c r="AF1085" s="273"/>
      <c r="AG1085" s="267"/>
      <c r="AH1085" s="274"/>
      <c r="AI1085" s="267"/>
      <c r="AJ1085" s="267"/>
      <c r="AK1085" s="275"/>
      <c r="AL1085" s="267"/>
      <c r="AM1085" s="267"/>
      <c r="AN1085" s="267"/>
      <c r="AO1085" s="267"/>
      <c r="AP1085" s="267"/>
      <c r="AQ1085" s="267"/>
      <c r="AR1085" s="277"/>
      <c r="AS1085" s="267"/>
      <c r="AT1085" s="267"/>
      <c r="AU1085" s="267"/>
      <c r="AV1085" s="278"/>
      <c r="AW1085" s="117">
        <f>VLOOKUP($D1085,'WB Data'!$C$3:$M$578,2,FALSE)</f>
        <v>1857835643.1310711</v>
      </c>
      <c r="AX1085" s="117">
        <f>VLOOKUP($D1085,'WB Data'!$C$3:$M$578,3,FALSE)</f>
        <v>3146164</v>
      </c>
      <c r="AY1085" s="847">
        <f t="shared" si="175"/>
        <v>1.5952098456308933E-2</v>
      </c>
      <c r="AZ1085" s="117" t="e">
        <f>VLOOKUP($D1085,'WB Data'!$C$3:$M$578,4,FALSE)/100</f>
        <v>#VALUE!</v>
      </c>
      <c r="BA1085" s="117" t="str">
        <f t="shared" si="176"/>
        <v>..</v>
      </c>
      <c r="BB1085" s="129">
        <f>IFERROR(VLOOKUP($D1085,'EITI Revenues'!$C$2:$G$224,5,FALSE),"..")</f>
        <v>29636377.094866872</v>
      </c>
      <c r="BC1085" s="846" t="str">
        <f t="shared" si="177"/>
        <v>..</v>
      </c>
      <c r="BD1085" s="129" t="str">
        <f>VLOOKUP($D1085,'WB Data 2'!$C$2:$K$545,6,FALSE)</f>
        <v>..</v>
      </c>
      <c r="BE1085" s="129">
        <f>IFERROR(VLOOKUP($D1085,UNCTAD!$C$5:$V$529,4,FALSE),"..")</f>
        <v>704709728.09000003</v>
      </c>
      <c r="BF1085" s="846" t="str">
        <f t="shared" si="178"/>
        <v>..</v>
      </c>
      <c r="BG1085" s="117">
        <f>VLOOKUP($D1085,'WB Data'!$C$3:$M$578,5,FALSE)</f>
        <v>188700000</v>
      </c>
      <c r="BH1085" s="129">
        <f>IFERROR($BB1085/$BG1085,"..")</f>
        <v>0.15705552249531993</v>
      </c>
      <c r="BI1085" s="117" t="str">
        <f>IFERROR(VLOOKUP($D1085,'WB Data'!$C$3:$M$578,7,FALSE)/100,"..")</f>
        <v>..</v>
      </c>
      <c r="BJ1085" s="117" t="str">
        <f>IFERROR($BI1085*$AW1085,"..")</f>
        <v>..</v>
      </c>
      <c r="BK1085" s="846" t="str">
        <f>IFERROR($BB1085/$BJ1085,"..")</f>
        <v>..</v>
      </c>
      <c r="BL1085" s="117" t="str">
        <f>IFERROR(VLOOKUP($D1085,'WB Data'!$C$3:$M$578,7,FALSE)/100,"..")</f>
        <v>..</v>
      </c>
      <c r="BM1085" s="117" t="str">
        <f>IFERROR($AW1085*$BL1085,"..")</f>
        <v>..</v>
      </c>
      <c r="BN1085" s="846" t="str">
        <f>IFERROR($BB1085/$BM1085,"..")</f>
        <v>..</v>
      </c>
      <c r="BO1085" s="801">
        <f t="shared" si="174"/>
        <v>30</v>
      </c>
      <c r="BP1085" s="117" t="str">
        <f>VLOOKUP($D1085,'WB Data'!$C$3:$M$578,9,FALSE)</f>
        <v>..</v>
      </c>
      <c r="BQ1085" s="117">
        <f>VLOOKUP($D1085,'WB Data'!$C$3:$M$578,10,FALSE)</f>
        <v>60.242609756097572</v>
      </c>
      <c r="BR1085" s="117">
        <f>VLOOKUP($D1085,'WB Data'!$C$3:$M$578,11,FALSE)</f>
        <v>74.8</v>
      </c>
      <c r="BS1085" s="129">
        <f>IFERROR(VLOOKUP($D1085,'WB Data 2'!$C$2:$K$545,9,FALSE),"..")</f>
        <v>71.079509999999999</v>
      </c>
      <c r="BT1085" s="129" t="str">
        <f>_xlfn.IFNA(VLOOKUP($C1085,RGI!$A$2:$C$43,2,FALSE),"..")</f>
        <v>..</v>
      </c>
      <c r="BU1085" s="129" t="str">
        <f>_xlfn.IFNA(VLOOKUP($C1085,RGI!$A$2:$C$43,3,FALSE),"..")</f>
        <v>..</v>
      </c>
      <c r="BV1085" s="129">
        <f>VLOOKUP($D1085,WGI!$C$2:$O$478,7,FALSE)</f>
        <v>-0.96929629828576602</v>
      </c>
      <c r="BW1085" s="129">
        <f>VLOOKUP($D1085,WGI!$C$2:$O$478,4,FALSE)</f>
        <v>-0.23782928121267499</v>
      </c>
      <c r="BX1085" s="129">
        <f>VLOOKUP($D1085,WGI!$C$2:$O$478,3,FALSE)</f>
        <v>-0.33235950864759101</v>
      </c>
      <c r="BY1085" s="129">
        <f>VLOOKUP($D1085,WGI!$C$2:$O$478,5,FALSE)</f>
        <v>-0.37568791975201998</v>
      </c>
      <c r="BZ1085" s="129">
        <f>VLOOKUP($D1085,WGI!$C$2:$O$478,2,FALSE)</f>
        <v>-0.35977094999669301</v>
      </c>
    </row>
    <row r="1086" spans="1:80" ht="15" customHeight="1">
      <c r="A1086" s="315" t="s">
        <v>344</v>
      </c>
      <c r="B1086" s="368">
        <v>2005</v>
      </c>
      <c r="C1086" s="817" t="s">
        <v>345</v>
      </c>
      <c r="D1086" s="117" t="s">
        <v>3503</v>
      </c>
      <c r="E1086" s="581" t="s">
        <v>86</v>
      </c>
      <c r="F1086" s="267"/>
      <c r="G1086" s="267" t="s">
        <v>24</v>
      </c>
      <c r="H1086" s="117" t="str">
        <f t="shared" si="183"/>
        <v>yes</v>
      </c>
      <c r="I1086" s="117" t="str">
        <f t="shared" si="180"/>
        <v>no</v>
      </c>
      <c r="J1086" s="117" t="str">
        <f t="shared" si="181"/>
        <v>no</v>
      </c>
      <c r="K1086" s="267" t="s">
        <v>600</v>
      </c>
      <c r="L1086" s="117" t="str">
        <f t="shared" si="184"/>
        <v>Total</v>
      </c>
      <c r="M1086" s="117" t="str">
        <f t="shared" si="182"/>
        <v>Total Mining</v>
      </c>
      <c r="N1086" s="269"/>
      <c r="O1086" s="269"/>
      <c r="P1086" s="269"/>
      <c r="Q1086" s="269"/>
      <c r="R1086" s="269"/>
      <c r="S1086" s="267"/>
      <c r="T1086" s="270"/>
      <c r="U1086" s="267"/>
      <c r="V1086" s="267"/>
      <c r="W1086" s="275">
        <f>SUM(W1087:W1087)</f>
        <v>431581878.00000006</v>
      </c>
      <c r="X1086" s="267"/>
      <c r="Y1086" s="267"/>
      <c r="Z1086" s="267"/>
      <c r="AA1086" s="269">
        <v>29179377.094866872</v>
      </c>
      <c r="AB1086" s="269">
        <v>27578804.654841263</v>
      </c>
      <c r="AC1086" s="369"/>
      <c r="AD1086" s="369"/>
      <c r="AE1086" s="369"/>
      <c r="AF1086" s="273">
        <f>AA1086/W1086</f>
        <v>6.7610292698311272E-2</v>
      </c>
      <c r="AG1086" s="267"/>
      <c r="AH1086" s="274"/>
      <c r="AI1086" s="267"/>
      <c r="AJ1086" s="267"/>
      <c r="AK1086" s="275"/>
      <c r="AL1086" s="267"/>
      <c r="AM1086" s="267"/>
      <c r="AN1086" s="267"/>
      <c r="AO1086" s="267"/>
      <c r="AP1086" s="267"/>
      <c r="AQ1086" s="267"/>
      <c r="AR1086" s="277"/>
      <c r="AS1086" s="267"/>
      <c r="AT1086" s="267"/>
      <c r="AU1086" s="267"/>
      <c r="AV1086" s="278"/>
      <c r="AW1086" s="117">
        <f>VLOOKUP($D1086,'WB Data'!$C$3:$M$578,2,FALSE)</f>
        <v>1857835643.1310711</v>
      </c>
      <c r="AX1086" s="117">
        <f>VLOOKUP($D1086,'WB Data'!$C$3:$M$578,3,FALSE)</f>
        <v>3146164</v>
      </c>
      <c r="AY1086" s="847">
        <f t="shared" si="175"/>
        <v>1.5952098456308933E-2</v>
      </c>
      <c r="AZ1086" s="117" t="e">
        <f>VLOOKUP($D1086,'WB Data'!$C$3:$M$578,4,FALSE)/100</f>
        <v>#VALUE!</v>
      </c>
      <c r="BA1086" s="117" t="str">
        <f t="shared" si="176"/>
        <v>..</v>
      </c>
      <c r="BB1086" s="129">
        <f>IFERROR(VLOOKUP($D1086,'EITI Revenues'!$C$2:$G$224,5,FALSE),"..")</f>
        <v>29636377.094866872</v>
      </c>
      <c r="BC1086" s="846" t="str">
        <f t="shared" si="177"/>
        <v>..</v>
      </c>
      <c r="BD1086" s="129" t="str">
        <f>VLOOKUP($D1086,'WB Data 2'!$C$2:$K$545,6,FALSE)</f>
        <v>..</v>
      </c>
      <c r="BE1086" s="129">
        <f>IFERROR(VLOOKUP($D1086,UNCTAD!$C$5:$V$529,4,FALSE),"..")</f>
        <v>704709728.09000003</v>
      </c>
      <c r="BF1086" s="846" t="str">
        <f t="shared" si="178"/>
        <v>..</v>
      </c>
      <c r="BG1086" s="117">
        <f>VLOOKUP($D1086,'WB Data'!$C$3:$M$578,5,FALSE)</f>
        <v>188700000</v>
      </c>
      <c r="BH1086" s="129">
        <f>IFERROR($BB1086/$BG1086,"..")</f>
        <v>0.15705552249531993</v>
      </c>
      <c r="BI1086" s="117" t="str">
        <f>IFERROR(VLOOKUP($D1086,'WB Data'!$C$3:$M$578,7,FALSE)/100,"..")</f>
        <v>..</v>
      </c>
      <c r="BJ1086" s="117" t="str">
        <f>IFERROR($BI1086*$AW1086,"..")</f>
        <v>..</v>
      </c>
      <c r="BK1086" s="846" t="str">
        <f>IFERROR($BB1086/$BJ1086,"..")</f>
        <v>..</v>
      </c>
      <c r="BL1086" s="117" t="str">
        <f>IFERROR(VLOOKUP($D1086,'WB Data'!$C$3:$M$578,7,FALSE)/100,"..")</f>
        <v>..</v>
      </c>
      <c r="BM1086" s="117" t="str">
        <f>IFERROR($AW1086*$BL1086,"..")</f>
        <v>..</v>
      </c>
      <c r="BN1086" s="846" t="str">
        <f>IFERROR($BB1086/$BM1086,"..")</f>
        <v>..</v>
      </c>
      <c r="BO1086" s="801">
        <f t="shared" si="174"/>
        <v>30</v>
      </c>
      <c r="BP1086" s="117" t="str">
        <f>VLOOKUP($D1086,'WB Data'!$C$3:$M$578,9,FALSE)</f>
        <v>..</v>
      </c>
      <c r="BQ1086" s="117">
        <f>VLOOKUP($D1086,'WB Data'!$C$3:$M$578,10,FALSE)</f>
        <v>60.242609756097572</v>
      </c>
      <c r="BR1086" s="117">
        <f>VLOOKUP($D1086,'WB Data'!$C$3:$M$578,11,FALSE)</f>
        <v>74.8</v>
      </c>
      <c r="BS1086" s="129">
        <f>IFERROR(VLOOKUP($D1086,'WB Data 2'!$C$2:$K$545,9,FALSE),"..")</f>
        <v>71.079509999999999</v>
      </c>
      <c r="BT1086" s="129" t="str">
        <f>_xlfn.IFNA(VLOOKUP($C1086,RGI!$A$2:$C$43,2,FALSE),"..")</f>
        <v>..</v>
      </c>
      <c r="BU1086" s="129" t="str">
        <f>_xlfn.IFNA(VLOOKUP($C1086,RGI!$A$2:$C$43,3,FALSE),"..")</f>
        <v>..</v>
      </c>
      <c r="BV1086" s="129">
        <f>VLOOKUP($D1086,WGI!$C$2:$O$478,7,FALSE)</f>
        <v>-0.96929629828576602</v>
      </c>
      <c r="BW1086" s="129">
        <f>VLOOKUP($D1086,WGI!$C$2:$O$478,4,FALSE)</f>
        <v>-0.23782928121267499</v>
      </c>
      <c r="BX1086" s="129">
        <f>VLOOKUP($D1086,WGI!$C$2:$O$478,3,FALSE)</f>
        <v>-0.33235950864759101</v>
      </c>
      <c r="BY1086" s="129">
        <f>VLOOKUP($D1086,WGI!$C$2:$O$478,5,FALSE)</f>
        <v>-0.37568791975201998</v>
      </c>
      <c r="BZ1086" s="129">
        <f>VLOOKUP($D1086,WGI!$C$2:$O$478,2,FALSE)</f>
        <v>-0.35977094999669301</v>
      </c>
    </row>
    <row r="1087" spans="1:80" s="158" customFormat="1" ht="15" customHeight="1">
      <c r="A1087" s="331" t="s">
        <v>344</v>
      </c>
      <c r="B1087" s="370">
        <v>2005</v>
      </c>
      <c r="C1087" s="818" t="s">
        <v>345</v>
      </c>
      <c r="D1087" s="117" t="s">
        <v>3503</v>
      </c>
      <c r="E1087" s="583" t="s">
        <v>86</v>
      </c>
      <c r="F1087" s="253"/>
      <c r="G1087" s="253" t="s">
        <v>24</v>
      </c>
      <c r="H1087" s="149" t="str">
        <f t="shared" si="183"/>
        <v>yes</v>
      </c>
      <c r="I1087" s="149" t="str">
        <f t="shared" si="180"/>
        <v>no</v>
      </c>
      <c r="J1087" s="149" t="str">
        <f t="shared" si="181"/>
        <v>no</v>
      </c>
      <c r="K1087" s="253" t="s">
        <v>1228</v>
      </c>
      <c r="L1087" s="149" t="str">
        <f t="shared" si="184"/>
        <v>detailed</v>
      </c>
      <c r="M1087" s="149" t="str">
        <f t="shared" si="182"/>
        <v>detailed Mining</v>
      </c>
      <c r="N1087" s="255">
        <v>11133000</v>
      </c>
      <c r="O1087" s="255"/>
      <c r="P1087" s="255"/>
      <c r="Q1087" s="255"/>
      <c r="R1087" s="255"/>
      <c r="S1087" s="253" t="s">
        <v>610</v>
      </c>
      <c r="T1087" s="256">
        <f>65*0.5964</f>
        <v>38.766000000000005</v>
      </c>
      <c r="U1087" s="253" t="s">
        <v>611</v>
      </c>
      <c r="V1087" s="584" t="s">
        <v>1713</v>
      </c>
      <c r="W1087" s="257">
        <f>N1087*T1087</f>
        <v>431581878.00000006</v>
      </c>
      <c r="X1087" s="253"/>
      <c r="Y1087" s="253"/>
      <c r="Z1087" s="253"/>
      <c r="AA1087" s="255"/>
      <c r="AB1087" s="255"/>
      <c r="AC1087" s="371"/>
      <c r="AD1087" s="371"/>
      <c r="AE1087" s="371"/>
      <c r="AF1087" s="260"/>
      <c r="AG1087" s="253"/>
      <c r="AH1087" s="261"/>
      <c r="AI1087" s="253"/>
      <c r="AJ1087" s="253"/>
      <c r="AK1087" s="257"/>
      <c r="AL1087" s="253"/>
      <c r="AM1087" s="253"/>
      <c r="AN1087" s="253"/>
      <c r="AO1087" s="253"/>
      <c r="AP1087" s="253"/>
      <c r="AQ1087" s="253"/>
      <c r="AR1087" s="263"/>
      <c r="AS1087" s="253"/>
      <c r="AT1087" s="253"/>
      <c r="AU1087" s="253"/>
      <c r="AV1087" s="265"/>
      <c r="AW1087" s="117">
        <f>VLOOKUP($D1087,'WB Data'!$C$3:$M$578,2,FALSE)</f>
        <v>1857835643.1310711</v>
      </c>
      <c r="AX1087" s="117">
        <f>VLOOKUP($D1087,'WB Data'!$C$3:$M$578,3,FALSE)</f>
        <v>3146164</v>
      </c>
      <c r="AY1087" s="847">
        <f t="shared" si="175"/>
        <v>1.5952098456308933E-2</v>
      </c>
      <c r="AZ1087" s="117" t="e">
        <f>VLOOKUP($D1087,'WB Data'!$C$3:$M$578,4,FALSE)/100</f>
        <v>#VALUE!</v>
      </c>
      <c r="BA1087" s="117" t="str">
        <f t="shared" si="176"/>
        <v>..</v>
      </c>
      <c r="BB1087" s="129">
        <f>IFERROR(VLOOKUP($D1087,'EITI Revenues'!$C$2:$G$224,5,FALSE),"..")</f>
        <v>29636377.094866872</v>
      </c>
      <c r="BC1087" s="846" t="str">
        <f t="shared" si="177"/>
        <v>..</v>
      </c>
      <c r="BD1087" s="129" t="str">
        <f>VLOOKUP($D1087,'WB Data 2'!$C$2:$K$545,6,FALSE)</f>
        <v>..</v>
      </c>
      <c r="BE1087" s="129">
        <f>IFERROR(VLOOKUP($D1087,UNCTAD!$C$5:$V$529,4,FALSE),"..")</f>
        <v>704709728.09000003</v>
      </c>
      <c r="BF1087" s="846" t="str">
        <f t="shared" si="178"/>
        <v>..</v>
      </c>
      <c r="BG1087" s="117">
        <f>VLOOKUP($D1087,'WB Data'!$C$3:$M$578,5,FALSE)</f>
        <v>188700000</v>
      </c>
      <c r="BH1087" s="129">
        <f>IFERROR($BB1087/$BG1087,"..")</f>
        <v>0.15705552249531993</v>
      </c>
      <c r="BI1087" s="117" t="str">
        <f>IFERROR(VLOOKUP($D1087,'WB Data'!$C$3:$M$578,7,FALSE)/100,"..")</f>
        <v>..</v>
      </c>
      <c r="BJ1087" s="117" t="str">
        <f>IFERROR($BI1087*$AW1087,"..")</f>
        <v>..</v>
      </c>
      <c r="BK1087" s="846" t="str">
        <f>IFERROR($BB1087/$BJ1087,"..")</f>
        <v>..</v>
      </c>
      <c r="BL1087" s="117" t="str">
        <f>IFERROR(VLOOKUP($D1087,'WB Data'!$C$3:$M$578,7,FALSE)/100,"..")</f>
        <v>..</v>
      </c>
      <c r="BM1087" s="117" t="str">
        <f>IFERROR($AW1087*$BL1087,"..")</f>
        <v>..</v>
      </c>
      <c r="BN1087" s="846" t="str">
        <f>IFERROR($BB1087/$BM1087,"..")</f>
        <v>..</v>
      </c>
      <c r="BO1087" s="801">
        <f t="shared" si="174"/>
        <v>30</v>
      </c>
      <c r="BP1087" s="117" t="str">
        <f>VLOOKUP($D1087,'WB Data'!$C$3:$M$578,9,FALSE)</f>
        <v>..</v>
      </c>
      <c r="BQ1087" s="117">
        <f>VLOOKUP($D1087,'WB Data'!$C$3:$M$578,10,FALSE)</f>
        <v>60.242609756097572</v>
      </c>
      <c r="BR1087" s="117">
        <f>VLOOKUP($D1087,'WB Data'!$C$3:$M$578,11,FALSE)</f>
        <v>74.8</v>
      </c>
      <c r="BS1087" s="129">
        <f>IFERROR(VLOOKUP($D1087,'WB Data 2'!$C$2:$K$545,9,FALSE),"..")</f>
        <v>71.079509999999999</v>
      </c>
      <c r="BT1087" s="129" t="str">
        <f>_xlfn.IFNA(VLOOKUP($C1087,RGI!$A$2:$C$43,2,FALSE),"..")</f>
        <v>..</v>
      </c>
      <c r="BU1087" s="129" t="str">
        <f>_xlfn.IFNA(VLOOKUP($C1087,RGI!$A$2:$C$43,3,FALSE),"..")</f>
        <v>..</v>
      </c>
      <c r="BV1087" s="129">
        <f>VLOOKUP($D1087,WGI!$C$2:$O$478,7,FALSE)</f>
        <v>-0.96929629828576602</v>
      </c>
      <c r="BW1087" s="129">
        <f>VLOOKUP($D1087,WGI!$C$2:$O$478,4,FALSE)</f>
        <v>-0.23782928121267499</v>
      </c>
      <c r="BX1087" s="129">
        <f>VLOOKUP($D1087,WGI!$C$2:$O$478,3,FALSE)</f>
        <v>-0.33235950864759101</v>
      </c>
      <c r="BY1087" s="129">
        <f>VLOOKUP($D1087,WGI!$C$2:$O$478,5,FALSE)</f>
        <v>-0.37568791975201998</v>
      </c>
      <c r="BZ1087" s="129">
        <f>VLOOKUP($D1087,WGI!$C$2:$O$478,2,FALSE)</f>
        <v>-0.35977094999669301</v>
      </c>
      <c r="CB1087" s="129"/>
    </row>
    <row r="1088" spans="1:80" s="120" customFormat="1" ht="15" customHeight="1">
      <c r="A1088" s="315" t="s">
        <v>347</v>
      </c>
      <c r="B1088" s="368">
        <v>2006</v>
      </c>
      <c r="C1088" s="817" t="s">
        <v>345</v>
      </c>
      <c r="D1088" s="117" t="s">
        <v>3537</v>
      </c>
      <c r="E1088" s="581" t="s">
        <v>86</v>
      </c>
      <c r="F1088" s="267" t="s">
        <v>1711</v>
      </c>
      <c r="G1088" s="267" t="s">
        <v>41</v>
      </c>
      <c r="H1088" s="117" t="str">
        <f t="shared" si="183"/>
        <v>yes</v>
      </c>
      <c r="I1088" s="117" t="str">
        <f t="shared" si="180"/>
        <v>no</v>
      </c>
      <c r="J1088" s="117" t="str">
        <f t="shared" si="181"/>
        <v>yes</v>
      </c>
      <c r="K1088" s="267" t="s">
        <v>709</v>
      </c>
      <c r="L1088" s="117" t="str">
        <f t="shared" si="184"/>
        <v>Total</v>
      </c>
      <c r="M1088" s="117" t="str">
        <f t="shared" si="182"/>
        <v>Total Oil, Mining</v>
      </c>
      <c r="N1088" s="269"/>
      <c r="O1088" s="269"/>
      <c r="P1088" s="269"/>
      <c r="Q1088" s="269"/>
      <c r="R1088" s="269"/>
      <c r="S1088" s="267"/>
      <c r="T1088" s="270"/>
      <c r="U1088" s="267"/>
      <c r="V1088" s="267"/>
      <c r="W1088" s="275">
        <f>W1089+W1090</f>
        <v>1207060431.040113</v>
      </c>
      <c r="X1088" s="267" t="s">
        <v>1031</v>
      </c>
      <c r="Y1088" s="267" t="s">
        <v>602</v>
      </c>
      <c r="Z1088" s="267"/>
      <c r="AA1088" s="269">
        <v>280165029.78406549</v>
      </c>
      <c r="AB1088" s="269">
        <v>273414760.23827255</v>
      </c>
      <c r="AC1088" s="369"/>
      <c r="AD1088" s="369"/>
      <c r="AE1088" s="369"/>
      <c r="AF1088" s="273">
        <f>AA1088/W1088</f>
        <v>0.23210522238944559</v>
      </c>
      <c r="AG1088" s="267"/>
      <c r="AH1088" s="274">
        <v>268.60000000000002</v>
      </c>
      <c r="AI1088" s="267" t="s">
        <v>667</v>
      </c>
      <c r="AJ1088" s="267"/>
      <c r="AK1088" s="275"/>
      <c r="AL1088" s="267"/>
      <c r="AM1088" s="267"/>
      <c r="AN1088" s="267"/>
      <c r="AO1088" s="267"/>
      <c r="AP1088" s="267">
        <v>27</v>
      </c>
      <c r="AQ1088" s="267" t="s">
        <v>348</v>
      </c>
      <c r="AR1088" s="277">
        <v>41922</v>
      </c>
      <c r="AS1088" s="267" t="s">
        <v>1382</v>
      </c>
      <c r="AT1088" s="267" t="s">
        <v>349</v>
      </c>
      <c r="AU1088" s="267"/>
      <c r="AV1088" s="278"/>
      <c r="AW1088" s="117">
        <f>VLOOKUP($D1088,'WB Data'!$C$3:$M$578,2,FALSE)</f>
        <v>2699181754.65376</v>
      </c>
      <c r="AX1088" s="117">
        <f>VLOOKUP($D1088,'WB Data'!$C$3:$M$578,3,FALSE)</f>
        <v>3237713</v>
      </c>
      <c r="AY1088" s="847">
        <f t="shared" si="175"/>
        <v>0.10379628170686264</v>
      </c>
      <c r="AZ1088" s="117" t="e">
        <f>VLOOKUP($D1088,'WB Data'!$C$3:$M$578,4,FALSE)/100</f>
        <v>#VALUE!</v>
      </c>
      <c r="BA1088" s="117" t="str">
        <f t="shared" si="176"/>
        <v>..</v>
      </c>
      <c r="BB1088" s="129">
        <f>IFERROR(VLOOKUP($D1088,'EITI Revenues'!$C$2:$G$224,5,FALSE),"..")</f>
        <v>280165029.78406549</v>
      </c>
      <c r="BC1088" s="846" t="str">
        <f t="shared" si="177"/>
        <v>..</v>
      </c>
      <c r="BD1088" s="129" t="str">
        <f>VLOOKUP($D1088,'WB Data 2'!$C$2:$K$545,6,FALSE)</f>
        <v>..</v>
      </c>
      <c r="BE1088" s="129">
        <f>IFERROR(VLOOKUP($D1088,UNCTAD!$C$5:$V$529,4,FALSE),"..")</f>
        <v>1453302308.22</v>
      </c>
      <c r="BF1088" s="846" t="str">
        <f t="shared" si="178"/>
        <v>..</v>
      </c>
      <c r="BG1088" s="117">
        <f>VLOOKUP($D1088,'WB Data'!$C$3:$M$578,5,FALSE)</f>
        <v>225610000</v>
      </c>
      <c r="BH1088" s="129">
        <f>IFERROR($BB1088/$BG1088,"..")</f>
        <v>1.241811221949672</v>
      </c>
      <c r="BI1088" s="117">
        <f>IFERROR(VLOOKUP($D1088,'WB Data'!$C$3:$M$578,7,FALSE)/100,"..")</f>
        <v>2.5245700000000003E-2</v>
      </c>
      <c r="BJ1088" s="117">
        <f>IFERROR($BI1088*$AW1088,"..")</f>
        <v>68142732.823462442</v>
      </c>
      <c r="BK1088" s="846">
        <f>IFERROR($BB1088/$BJ1088,"..")</f>
        <v>4.111443996675181</v>
      </c>
      <c r="BL1088" s="117">
        <f>IFERROR(VLOOKUP($D1088,'WB Data'!$C$3:$M$578,7,FALSE)/100,"..")</f>
        <v>2.5245700000000003E-2</v>
      </c>
      <c r="BM1088" s="117">
        <f>IFERROR($AW1088*$BL1088,"..")</f>
        <v>68142732.823462442</v>
      </c>
      <c r="BN1088" s="846">
        <f>IFERROR($BB1088/$BM1088,"..")</f>
        <v>4.111443996675181</v>
      </c>
      <c r="BO1088" s="801">
        <f t="shared" si="174"/>
        <v>30</v>
      </c>
      <c r="BP1088" s="117" t="str">
        <f>VLOOKUP($D1088,'WB Data'!$C$3:$M$578,9,FALSE)</f>
        <v>..</v>
      </c>
      <c r="BQ1088" s="117">
        <f>VLOOKUP($D1088,'WB Data'!$C$3:$M$578,10,FALSE)</f>
        <v>60.386804878048778</v>
      </c>
      <c r="BR1088" s="117">
        <f>VLOOKUP($D1088,'WB Data'!$C$3:$M$578,11,FALSE)</f>
        <v>74</v>
      </c>
      <c r="BS1088" s="129">
        <f>IFERROR(VLOOKUP($D1088,'WB Data 2'!$C$2:$K$545,9,FALSE),"..")</f>
        <v>73.66189</v>
      </c>
      <c r="BT1088" s="129" t="str">
        <f>_xlfn.IFNA(VLOOKUP($C1088,RGI!$A$2:$C$43,2,FALSE),"..")</f>
        <v>..</v>
      </c>
      <c r="BU1088" s="129" t="str">
        <f>_xlfn.IFNA(VLOOKUP($C1088,RGI!$A$2:$C$43,3,FALSE),"..")</f>
        <v>..</v>
      </c>
      <c r="BV1088" s="129">
        <f>VLOOKUP($D1088,WGI!$C$2:$O$478,7,FALSE)</f>
        <v>-0.89761016856863196</v>
      </c>
      <c r="BW1088" s="129">
        <f>VLOOKUP($D1088,WGI!$C$2:$O$478,4,FALSE)</f>
        <v>0.22146606212303999</v>
      </c>
      <c r="BX1088" s="129">
        <f>VLOOKUP($D1088,WGI!$C$2:$O$478,3,FALSE)</f>
        <v>-0.77444590348986198</v>
      </c>
      <c r="BY1088" s="129">
        <f>VLOOKUP($D1088,WGI!$C$2:$O$478,5,FALSE)</f>
        <v>-0.40404070074577803</v>
      </c>
      <c r="BZ1088" s="129">
        <f>VLOOKUP($D1088,WGI!$C$2:$O$478,2,FALSE)</f>
        <v>-0.67571661273399497</v>
      </c>
      <c r="CB1088" s="129"/>
    </row>
    <row r="1089" spans="1:80" s="120" customFormat="1" ht="15" customHeight="1">
      <c r="A1089" s="315" t="s">
        <v>347</v>
      </c>
      <c r="B1089" s="368">
        <v>2006</v>
      </c>
      <c r="C1089" s="817" t="s">
        <v>345</v>
      </c>
      <c r="D1089" s="117" t="s">
        <v>3537</v>
      </c>
      <c r="E1089" s="581" t="s">
        <v>86</v>
      </c>
      <c r="F1089" s="267"/>
      <c r="G1089" s="267" t="s">
        <v>103</v>
      </c>
      <c r="H1089" s="117" t="str">
        <f t="shared" si="183"/>
        <v>no</v>
      </c>
      <c r="I1089" s="117" t="str">
        <f t="shared" si="180"/>
        <v>no</v>
      </c>
      <c r="J1089" s="117" t="str">
        <f t="shared" si="181"/>
        <v>yes</v>
      </c>
      <c r="K1089" s="267" t="s">
        <v>103</v>
      </c>
      <c r="L1089" s="117" t="str">
        <f t="shared" si="184"/>
        <v>detailed</v>
      </c>
      <c r="M1089" s="117" t="str">
        <f t="shared" si="182"/>
        <v>detailed Oil</v>
      </c>
      <c r="N1089" s="269">
        <v>11169000</v>
      </c>
      <c r="O1089" s="269"/>
      <c r="P1089" s="269"/>
      <c r="Q1089" s="269"/>
      <c r="R1089" s="269"/>
      <c r="S1089" s="267" t="s">
        <v>646</v>
      </c>
      <c r="T1089" s="270">
        <f>64.9340625*1.0164</f>
        <v>65.998981125</v>
      </c>
      <c r="U1089" s="267" t="s">
        <v>673</v>
      </c>
      <c r="V1089" s="267" t="s">
        <v>1714</v>
      </c>
      <c r="W1089" s="275">
        <f>N1089*T1089</f>
        <v>737142620.18512499</v>
      </c>
      <c r="X1089" s="267"/>
      <c r="Y1089" s="267"/>
      <c r="Z1089" s="267"/>
      <c r="AA1089" s="269">
        <v>208445000</v>
      </c>
      <c r="AB1089" s="269">
        <v>203761000</v>
      </c>
      <c r="AC1089" s="369"/>
      <c r="AD1089" s="369"/>
      <c r="AE1089" s="369"/>
      <c r="AF1089" s="585">
        <f>AA1089/W1089</f>
        <v>0.28277431570521783</v>
      </c>
      <c r="AG1089" s="267"/>
      <c r="AH1089" s="274"/>
      <c r="AI1089" s="267"/>
      <c r="AJ1089" s="267"/>
      <c r="AK1089" s="275"/>
      <c r="AL1089" s="267"/>
      <c r="AM1089" s="267"/>
      <c r="AN1089" s="267"/>
      <c r="AO1089" s="267"/>
      <c r="AP1089" s="267"/>
      <c r="AQ1089" s="267"/>
      <c r="AR1089" s="277"/>
      <c r="AS1089" s="267"/>
      <c r="AT1089" s="267"/>
      <c r="AU1089" s="267"/>
      <c r="AV1089" s="278"/>
      <c r="AW1089" s="117">
        <f>VLOOKUP($D1089,'WB Data'!$C$3:$M$578,2,FALSE)</f>
        <v>2699181754.65376</v>
      </c>
      <c r="AX1089" s="117">
        <f>VLOOKUP($D1089,'WB Data'!$C$3:$M$578,3,FALSE)</f>
        <v>3237713</v>
      </c>
      <c r="AY1089" s="847">
        <f t="shared" si="175"/>
        <v>0.10379628170686264</v>
      </c>
      <c r="AZ1089" s="117" t="e">
        <f>VLOOKUP($D1089,'WB Data'!$C$3:$M$578,4,FALSE)/100</f>
        <v>#VALUE!</v>
      </c>
      <c r="BA1089" s="117" t="str">
        <f t="shared" si="176"/>
        <v>..</v>
      </c>
      <c r="BB1089" s="129">
        <f>IFERROR(VLOOKUP($D1089,'EITI Revenues'!$C$2:$G$224,5,FALSE),"..")</f>
        <v>280165029.78406549</v>
      </c>
      <c r="BC1089" s="846" t="str">
        <f t="shared" si="177"/>
        <v>..</v>
      </c>
      <c r="BD1089" s="129" t="str">
        <f>VLOOKUP($D1089,'WB Data 2'!$C$2:$K$545,6,FALSE)</f>
        <v>..</v>
      </c>
      <c r="BE1089" s="129">
        <f>IFERROR(VLOOKUP($D1089,UNCTAD!$C$5:$V$529,4,FALSE),"..")</f>
        <v>1453302308.22</v>
      </c>
      <c r="BF1089" s="846" t="str">
        <f t="shared" si="178"/>
        <v>..</v>
      </c>
      <c r="BG1089" s="117">
        <f>VLOOKUP($D1089,'WB Data'!$C$3:$M$578,5,FALSE)</f>
        <v>225610000</v>
      </c>
      <c r="BH1089" s="129">
        <f>IFERROR($BB1089/$BG1089,"..")</f>
        <v>1.241811221949672</v>
      </c>
      <c r="BI1089" s="117">
        <f>IFERROR(VLOOKUP($D1089,'WB Data'!$C$3:$M$578,7,FALSE)/100,"..")</f>
        <v>2.5245700000000003E-2</v>
      </c>
      <c r="BJ1089" s="117">
        <f>IFERROR($BI1089*$AW1089,"..")</f>
        <v>68142732.823462442</v>
      </c>
      <c r="BK1089" s="846">
        <f>IFERROR($BB1089/$BJ1089,"..")</f>
        <v>4.111443996675181</v>
      </c>
      <c r="BL1089" s="117">
        <f>IFERROR(VLOOKUP($D1089,'WB Data'!$C$3:$M$578,7,FALSE)/100,"..")</f>
        <v>2.5245700000000003E-2</v>
      </c>
      <c r="BM1089" s="117">
        <f>IFERROR($AW1089*$BL1089,"..")</f>
        <v>68142732.823462442</v>
      </c>
      <c r="BN1089" s="846">
        <f>IFERROR($BB1089/$BM1089,"..")</f>
        <v>4.111443996675181</v>
      </c>
      <c r="BO1089" s="801">
        <f t="shared" si="174"/>
        <v>30</v>
      </c>
      <c r="BP1089" s="117" t="str">
        <f>VLOOKUP($D1089,'WB Data'!$C$3:$M$578,9,FALSE)</f>
        <v>..</v>
      </c>
      <c r="BQ1089" s="117">
        <f>VLOOKUP($D1089,'WB Data'!$C$3:$M$578,10,FALSE)</f>
        <v>60.386804878048778</v>
      </c>
      <c r="BR1089" s="117">
        <f>VLOOKUP($D1089,'WB Data'!$C$3:$M$578,11,FALSE)</f>
        <v>74</v>
      </c>
      <c r="BS1089" s="129">
        <f>IFERROR(VLOOKUP($D1089,'WB Data 2'!$C$2:$K$545,9,FALSE),"..")</f>
        <v>73.66189</v>
      </c>
      <c r="BT1089" s="129" t="str">
        <f>_xlfn.IFNA(VLOOKUP($C1089,RGI!$A$2:$C$43,2,FALSE),"..")</f>
        <v>..</v>
      </c>
      <c r="BU1089" s="129" t="str">
        <f>_xlfn.IFNA(VLOOKUP($C1089,RGI!$A$2:$C$43,3,FALSE),"..")</f>
        <v>..</v>
      </c>
      <c r="BV1089" s="129">
        <f>VLOOKUP($D1089,WGI!$C$2:$O$478,7,FALSE)</f>
        <v>-0.89761016856863196</v>
      </c>
      <c r="BW1089" s="129">
        <f>VLOOKUP($D1089,WGI!$C$2:$O$478,4,FALSE)</f>
        <v>0.22146606212303999</v>
      </c>
      <c r="BX1089" s="129">
        <f>VLOOKUP($D1089,WGI!$C$2:$O$478,3,FALSE)</f>
        <v>-0.77444590348986198</v>
      </c>
      <c r="BY1089" s="129">
        <f>VLOOKUP($D1089,WGI!$C$2:$O$478,5,FALSE)</f>
        <v>-0.40404070074577803</v>
      </c>
      <c r="BZ1089" s="129">
        <f>VLOOKUP($D1089,WGI!$C$2:$O$478,2,FALSE)</f>
        <v>-0.67571661273399497</v>
      </c>
      <c r="CB1089" s="129"/>
    </row>
    <row r="1090" spans="1:80" s="120" customFormat="1" ht="15" customHeight="1">
      <c r="A1090" s="315" t="s">
        <v>347</v>
      </c>
      <c r="B1090" s="368">
        <v>2006</v>
      </c>
      <c r="C1090" s="817" t="s">
        <v>345</v>
      </c>
      <c r="D1090" s="117" t="s">
        <v>3537</v>
      </c>
      <c r="E1090" s="581" t="s">
        <v>86</v>
      </c>
      <c r="F1090" s="267"/>
      <c r="G1090" s="267" t="s">
        <v>24</v>
      </c>
      <c r="H1090" s="117" t="str">
        <f t="shared" si="183"/>
        <v>yes</v>
      </c>
      <c r="I1090" s="117" t="str">
        <f t="shared" si="180"/>
        <v>no</v>
      </c>
      <c r="J1090" s="117" t="str">
        <f t="shared" si="181"/>
        <v>no</v>
      </c>
      <c r="K1090" s="267" t="s">
        <v>600</v>
      </c>
      <c r="L1090" s="117" t="str">
        <f t="shared" si="184"/>
        <v>Total</v>
      </c>
      <c r="M1090" s="117" t="str">
        <f t="shared" si="182"/>
        <v>Total Mining</v>
      </c>
      <c r="N1090" s="269"/>
      <c r="O1090" s="269"/>
      <c r="P1090" s="269"/>
      <c r="Q1090" s="269"/>
      <c r="R1090" s="269"/>
      <c r="S1090" s="267"/>
      <c r="T1090" s="270"/>
      <c r="U1090" s="267"/>
      <c r="V1090" s="267"/>
      <c r="W1090" s="275">
        <f>SUM(W1091:W1093)</f>
        <v>469917810.8549881</v>
      </c>
      <c r="X1090" s="267"/>
      <c r="Y1090" s="267"/>
      <c r="Z1090" s="267"/>
      <c r="AA1090" s="269">
        <v>71720029.784065515</v>
      </c>
      <c r="AB1090" s="269">
        <v>69653760.238272518</v>
      </c>
      <c r="AC1090" s="369"/>
      <c r="AD1090" s="369"/>
      <c r="AE1090" s="369"/>
      <c r="AF1090" s="585">
        <f>AA1090/W1090</f>
        <v>0.1526224972268557</v>
      </c>
      <c r="AG1090" s="267"/>
      <c r="AH1090" s="274"/>
      <c r="AI1090" s="267"/>
      <c r="AJ1090" s="267"/>
      <c r="AK1090" s="275"/>
      <c r="AL1090" s="267"/>
      <c r="AM1090" s="267"/>
      <c r="AN1090" s="267"/>
      <c r="AO1090" s="267"/>
      <c r="AP1090" s="267"/>
      <c r="AQ1090" s="267"/>
      <c r="AR1090" s="277"/>
      <c r="AS1090" s="267"/>
      <c r="AT1090" s="267"/>
      <c r="AU1090" s="267"/>
      <c r="AV1090" s="278"/>
      <c r="AW1090" s="117">
        <f>VLOOKUP($D1090,'WB Data'!$C$3:$M$578,2,FALSE)</f>
        <v>2699181754.65376</v>
      </c>
      <c r="AX1090" s="117">
        <f>VLOOKUP($D1090,'WB Data'!$C$3:$M$578,3,FALSE)</f>
        <v>3237713</v>
      </c>
      <c r="AY1090" s="847">
        <f t="shared" si="175"/>
        <v>0.10379628170686264</v>
      </c>
      <c r="AZ1090" s="117" t="e">
        <f>VLOOKUP($D1090,'WB Data'!$C$3:$M$578,4,FALSE)/100</f>
        <v>#VALUE!</v>
      </c>
      <c r="BA1090" s="117" t="str">
        <f t="shared" si="176"/>
        <v>..</v>
      </c>
      <c r="BB1090" s="129">
        <f>IFERROR(VLOOKUP($D1090,'EITI Revenues'!$C$2:$G$224,5,FALSE),"..")</f>
        <v>280165029.78406549</v>
      </c>
      <c r="BC1090" s="846" t="str">
        <f t="shared" si="177"/>
        <v>..</v>
      </c>
      <c r="BD1090" s="129" t="str">
        <f>VLOOKUP($D1090,'WB Data 2'!$C$2:$K$545,6,FALSE)</f>
        <v>..</v>
      </c>
      <c r="BE1090" s="129">
        <f>IFERROR(VLOOKUP($D1090,UNCTAD!$C$5:$V$529,4,FALSE),"..")</f>
        <v>1453302308.22</v>
      </c>
      <c r="BF1090" s="846" t="str">
        <f t="shared" si="178"/>
        <v>..</v>
      </c>
      <c r="BG1090" s="117">
        <f>VLOOKUP($D1090,'WB Data'!$C$3:$M$578,5,FALSE)</f>
        <v>225610000</v>
      </c>
      <c r="BH1090" s="129">
        <f>IFERROR($BB1090/$BG1090,"..")</f>
        <v>1.241811221949672</v>
      </c>
      <c r="BI1090" s="117">
        <f>IFERROR(VLOOKUP($D1090,'WB Data'!$C$3:$M$578,7,FALSE)/100,"..")</f>
        <v>2.5245700000000003E-2</v>
      </c>
      <c r="BJ1090" s="117">
        <f>IFERROR($BI1090*$AW1090,"..")</f>
        <v>68142732.823462442</v>
      </c>
      <c r="BK1090" s="846">
        <f>IFERROR($BB1090/$BJ1090,"..")</f>
        <v>4.111443996675181</v>
      </c>
      <c r="BL1090" s="117">
        <f>IFERROR(VLOOKUP($D1090,'WB Data'!$C$3:$M$578,7,FALSE)/100,"..")</f>
        <v>2.5245700000000003E-2</v>
      </c>
      <c r="BM1090" s="117">
        <f>IFERROR($AW1090*$BL1090,"..")</f>
        <v>68142732.823462442</v>
      </c>
      <c r="BN1090" s="846">
        <f>IFERROR($BB1090/$BM1090,"..")</f>
        <v>4.111443996675181</v>
      </c>
      <c r="BO1090" s="801">
        <f t="shared" ref="BO1090:BO1153" si="188">_xlfn.IFNA(VLOOKUP($C1090,CPI_2013,2,FALSE),"..")</f>
        <v>30</v>
      </c>
      <c r="BP1090" s="117" t="str">
        <f>VLOOKUP($D1090,'WB Data'!$C$3:$M$578,9,FALSE)</f>
        <v>..</v>
      </c>
      <c r="BQ1090" s="117">
        <f>VLOOKUP($D1090,'WB Data'!$C$3:$M$578,10,FALSE)</f>
        <v>60.386804878048778</v>
      </c>
      <c r="BR1090" s="117">
        <f>VLOOKUP($D1090,'WB Data'!$C$3:$M$578,11,FALSE)</f>
        <v>74</v>
      </c>
      <c r="BS1090" s="129">
        <f>IFERROR(VLOOKUP($D1090,'WB Data 2'!$C$2:$K$545,9,FALSE),"..")</f>
        <v>73.66189</v>
      </c>
      <c r="BT1090" s="129" t="str">
        <f>_xlfn.IFNA(VLOOKUP($C1090,RGI!$A$2:$C$43,2,FALSE),"..")</f>
        <v>..</v>
      </c>
      <c r="BU1090" s="129" t="str">
        <f>_xlfn.IFNA(VLOOKUP($C1090,RGI!$A$2:$C$43,3,FALSE),"..")</f>
        <v>..</v>
      </c>
      <c r="BV1090" s="129">
        <f>VLOOKUP($D1090,WGI!$C$2:$O$478,7,FALSE)</f>
        <v>-0.89761016856863196</v>
      </c>
      <c r="BW1090" s="129">
        <f>VLOOKUP($D1090,WGI!$C$2:$O$478,4,FALSE)</f>
        <v>0.22146606212303999</v>
      </c>
      <c r="BX1090" s="129">
        <f>VLOOKUP($D1090,WGI!$C$2:$O$478,3,FALSE)</f>
        <v>-0.77444590348986198</v>
      </c>
      <c r="BY1090" s="129">
        <f>VLOOKUP($D1090,WGI!$C$2:$O$478,5,FALSE)</f>
        <v>-0.40404070074577803</v>
      </c>
      <c r="BZ1090" s="129">
        <f>VLOOKUP($D1090,WGI!$C$2:$O$478,2,FALSE)</f>
        <v>-0.67571661273399497</v>
      </c>
      <c r="CB1090" s="129"/>
    </row>
    <row r="1091" spans="1:80" s="120" customFormat="1" ht="15" customHeight="1">
      <c r="A1091" s="315" t="s">
        <v>347</v>
      </c>
      <c r="B1091" s="368">
        <v>2006</v>
      </c>
      <c r="C1091" s="817" t="s">
        <v>345</v>
      </c>
      <c r="D1091" s="117" t="s">
        <v>3537</v>
      </c>
      <c r="E1091" s="581" t="s">
        <v>86</v>
      </c>
      <c r="F1091" s="267"/>
      <c r="G1091" s="267" t="s">
        <v>24</v>
      </c>
      <c r="H1091" s="117" t="str">
        <f t="shared" si="183"/>
        <v>yes</v>
      </c>
      <c r="I1091" s="117" t="str">
        <f t="shared" si="180"/>
        <v>no</v>
      </c>
      <c r="J1091" s="117" t="str">
        <f t="shared" si="181"/>
        <v>no</v>
      </c>
      <c r="K1091" s="267" t="s">
        <v>1715</v>
      </c>
      <c r="L1091" s="117" t="str">
        <f t="shared" si="184"/>
        <v>detailed</v>
      </c>
      <c r="M1091" s="117" t="str">
        <f t="shared" si="182"/>
        <v>detailed Mining</v>
      </c>
      <c r="N1091" s="269">
        <v>5031</v>
      </c>
      <c r="O1091" s="269"/>
      <c r="P1091" s="269"/>
      <c r="Q1091" s="269"/>
      <c r="R1091" s="269"/>
      <c r="S1091" s="267" t="s">
        <v>610</v>
      </c>
      <c r="T1091" s="349">
        <f>6722.1345*0.6815</f>
        <v>4581.1346617500003</v>
      </c>
      <c r="U1091" s="267" t="s">
        <v>611</v>
      </c>
      <c r="V1091" s="586" t="s">
        <v>1716</v>
      </c>
      <c r="W1091" s="275">
        <f>N1091*T1091</f>
        <v>23047688.483264253</v>
      </c>
      <c r="X1091" s="267"/>
      <c r="Y1091" s="267"/>
      <c r="Z1091" s="267"/>
      <c r="AA1091" s="269"/>
      <c r="AB1091" s="269"/>
      <c r="AC1091" s="369"/>
      <c r="AD1091" s="369"/>
      <c r="AE1091" s="369"/>
      <c r="AF1091" s="273"/>
      <c r="AG1091" s="267"/>
      <c r="AH1091" s="274"/>
      <c r="AI1091" s="267"/>
      <c r="AJ1091" s="267"/>
      <c r="AK1091" s="275"/>
      <c r="AL1091" s="267"/>
      <c r="AM1091" s="267"/>
      <c r="AN1091" s="267"/>
      <c r="AO1091" s="267"/>
      <c r="AP1091" s="267"/>
      <c r="AQ1091" s="267"/>
      <c r="AR1091" s="277"/>
      <c r="AS1091" s="267"/>
      <c r="AT1091" s="267"/>
      <c r="AU1091" s="267"/>
      <c r="AV1091" s="278"/>
      <c r="AW1091" s="117">
        <f>VLOOKUP($D1091,'WB Data'!$C$3:$M$578,2,FALSE)</f>
        <v>2699181754.65376</v>
      </c>
      <c r="AX1091" s="117">
        <f>VLOOKUP($D1091,'WB Data'!$C$3:$M$578,3,FALSE)</f>
        <v>3237713</v>
      </c>
      <c r="AY1091" s="847">
        <f t="shared" ref="AY1091:AY1154" si="189">IFERROR($BB1091/$AW1091,"..")</f>
        <v>0.10379628170686264</v>
      </c>
      <c r="AZ1091" s="117" t="e">
        <f>VLOOKUP($D1091,'WB Data'!$C$3:$M$578,4,FALSE)/100</f>
        <v>#VALUE!</v>
      </c>
      <c r="BA1091" s="117" t="str">
        <f t="shared" ref="BA1091:BA1154" si="190">IFERROR($AW1091*$AZ1091,"..")</f>
        <v>..</v>
      </c>
      <c r="BB1091" s="129">
        <f>IFERROR(VLOOKUP($D1091,'EITI Revenues'!$C$2:$G$224,5,FALSE),"..")</f>
        <v>280165029.78406549</v>
      </c>
      <c r="BC1091" s="846" t="str">
        <f t="shared" ref="BC1091:BC1154" si="191">IFERROR($BB1091/$BA1091,"..")</f>
        <v>..</v>
      </c>
      <c r="BD1091" s="129" t="str">
        <f>VLOOKUP($D1091,'WB Data 2'!$C$2:$K$545,6,FALSE)</f>
        <v>..</v>
      </c>
      <c r="BE1091" s="129">
        <f>IFERROR(VLOOKUP($D1091,UNCTAD!$C$5:$V$529,4,FALSE),"..")</f>
        <v>1453302308.22</v>
      </c>
      <c r="BF1091" s="846" t="str">
        <f t="shared" ref="BF1091:BF1154" si="192">IFERROR(($BD1091/$BE1091),"..")</f>
        <v>..</v>
      </c>
      <c r="BG1091" s="117">
        <f>VLOOKUP($D1091,'WB Data'!$C$3:$M$578,5,FALSE)</f>
        <v>225610000</v>
      </c>
      <c r="BH1091" s="129">
        <f>IFERROR($BB1091/$BG1091,"..")</f>
        <v>1.241811221949672</v>
      </c>
      <c r="BI1091" s="117">
        <f>IFERROR(VLOOKUP($D1091,'WB Data'!$C$3:$M$578,7,FALSE)/100,"..")</f>
        <v>2.5245700000000003E-2</v>
      </c>
      <c r="BJ1091" s="117">
        <f>IFERROR($BI1091*$AW1091,"..")</f>
        <v>68142732.823462442</v>
      </c>
      <c r="BK1091" s="846">
        <f>IFERROR($BB1091/$BJ1091,"..")</f>
        <v>4.111443996675181</v>
      </c>
      <c r="BL1091" s="117">
        <f>IFERROR(VLOOKUP($D1091,'WB Data'!$C$3:$M$578,7,FALSE)/100,"..")</f>
        <v>2.5245700000000003E-2</v>
      </c>
      <c r="BM1091" s="117">
        <f>IFERROR($AW1091*$BL1091,"..")</f>
        <v>68142732.823462442</v>
      </c>
      <c r="BN1091" s="846">
        <f>IFERROR($BB1091/$BM1091,"..")</f>
        <v>4.111443996675181</v>
      </c>
      <c r="BO1091" s="801">
        <f t="shared" si="188"/>
        <v>30</v>
      </c>
      <c r="BP1091" s="117" t="str">
        <f>VLOOKUP($D1091,'WB Data'!$C$3:$M$578,9,FALSE)</f>
        <v>..</v>
      </c>
      <c r="BQ1091" s="117">
        <f>VLOOKUP($D1091,'WB Data'!$C$3:$M$578,10,FALSE)</f>
        <v>60.386804878048778</v>
      </c>
      <c r="BR1091" s="117">
        <f>VLOOKUP($D1091,'WB Data'!$C$3:$M$578,11,FALSE)</f>
        <v>74</v>
      </c>
      <c r="BS1091" s="129">
        <f>IFERROR(VLOOKUP($D1091,'WB Data 2'!$C$2:$K$545,9,FALSE),"..")</f>
        <v>73.66189</v>
      </c>
      <c r="BT1091" s="129" t="str">
        <f>_xlfn.IFNA(VLOOKUP($C1091,RGI!$A$2:$C$43,2,FALSE),"..")</f>
        <v>..</v>
      </c>
      <c r="BU1091" s="129" t="str">
        <f>_xlfn.IFNA(VLOOKUP($C1091,RGI!$A$2:$C$43,3,FALSE),"..")</f>
        <v>..</v>
      </c>
      <c r="BV1091" s="129">
        <f>VLOOKUP($D1091,WGI!$C$2:$O$478,7,FALSE)</f>
        <v>-0.89761016856863196</v>
      </c>
      <c r="BW1091" s="129">
        <f>VLOOKUP($D1091,WGI!$C$2:$O$478,4,FALSE)</f>
        <v>0.22146606212303999</v>
      </c>
      <c r="BX1091" s="129">
        <f>VLOOKUP($D1091,WGI!$C$2:$O$478,3,FALSE)</f>
        <v>-0.77444590348986198</v>
      </c>
      <c r="BY1091" s="129">
        <f>VLOOKUP($D1091,WGI!$C$2:$O$478,5,FALSE)</f>
        <v>-0.40404070074577803</v>
      </c>
      <c r="BZ1091" s="129">
        <f>VLOOKUP($D1091,WGI!$C$2:$O$478,2,FALSE)</f>
        <v>-0.67571661273399497</v>
      </c>
      <c r="CB1091" s="129"/>
    </row>
    <row r="1092" spans="1:80" s="120" customFormat="1" ht="15" customHeight="1">
      <c r="A1092" s="315" t="s">
        <v>347</v>
      </c>
      <c r="B1092" s="368">
        <v>2006</v>
      </c>
      <c r="C1092" s="817" t="s">
        <v>345</v>
      </c>
      <c r="D1092" s="117" t="s">
        <v>3537</v>
      </c>
      <c r="E1092" s="581" t="s">
        <v>86</v>
      </c>
      <c r="F1092" s="267"/>
      <c r="G1092" s="267" t="s">
        <v>24</v>
      </c>
      <c r="H1092" s="117" t="str">
        <f t="shared" si="183"/>
        <v>yes</v>
      </c>
      <c r="I1092" s="117" t="str">
        <f t="shared" si="180"/>
        <v>no</v>
      </c>
      <c r="J1092" s="117" t="str">
        <f t="shared" si="181"/>
        <v>no</v>
      </c>
      <c r="K1092" s="267" t="s">
        <v>784</v>
      </c>
      <c r="L1092" s="117" t="str">
        <f t="shared" si="184"/>
        <v>detailed</v>
      </c>
      <c r="M1092" s="117" t="str">
        <f t="shared" si="182"/>
        <v>detailed Mining</v>
      </c>
      <c r="N1092" s="269">
        <f>322*32.150743126506</f>
        <v>10352.539286734933</v>
      </c>
      <c r="O1092" s="269"/>
      <c r="P1092" s="269"/>
      <c r="Q1092" s="269"/>
      <c r="R1092" s="269"/>
      <c r="S1092" s="267" t="s">
        <v>785</v>
      </c>
      <c r="T1092" s="270">
        <f>604.33583333333*0.9842</f>
        <v>594.78732716666343</v>
      </c>
      <c r="U1092" s="267" t="s">
        <v>786</v>
      </c>
      <c r="V1092" s="586" t="s">
        <v>1717</v>
      </c>
      <c r="W1092" s="275">
        <f>N1092*T1092</f>
        <v>6157559.1717449473</v>
      </c>
      <c r="X1092" s="267"/>
      <c r="Y1092" s="267"/>
      <c r="Z1092" s="267"/>
      <c r="AA1092" s="269"/>
      <c r="AB1092" s="269"/>
      <c r="AC1092" s="369"/>
      <c r="AD1092" s="369"/>
      <c r="AE1092" s="369"/>
      <c r="AF1092" s="273"/>
      <c r="AG1092" s="267"/>
      <c r="AH1092" s="274"/>
      <c r="AI1092" s="267"/>
      <c r="AJ1092" s="267"/>
      <c r="AK1092" s="275"/>
      <c r="AL1092" s="267"/>
      <c r="AM1092" s="267"/>
      <c r="AN1092" s="267"/>
      <c r="AO1092" s="267"/>
      <c r="AP1092" s="267"/>
      <c r="AQ1092" s="267"/>
      <c r="AR1092" s="277"/>
      <c r="AS1092" s="267"/>
      <c r="AT1092" s="267"/>
      <c r="AU1092" s="267"/>
      <c r="AV1092" s="278"/>
      <c r="AW1092" s="117">
        <f>VLOOKUP($D1092,'WB Data'!$C$3:$M$578,2,FALSE)</f>
        <v>2699181754.65376</v>
      </c>
      <c r="AX1092" s="117">
        <f>VLOOKUP($D1092,'WB Data'!$C$3:$M$578,3,FALSE)</f>
        <v>3237713</v>
      </c>
      <c r="AY1092" s="847">
        <f t="shared" si="189"/>
        <v>0.10379628170686264</v>
      </c>
      <c r="AZ1092" s="117" t="e">
        <f>VLOOKUP($D1092,'WB Data'!$C$3:$M$578,4,FALSE)/100</f>
        <v>#VALUE!</v>
      </c>
      <c r="BA1092" s="117" t="str">
        <f t="shared" si="190"/>
        <v>..</v>
      </c>
      <c r="BB1092" s="129">
        <f>IFERROR(VLOOKUP($D1092,'EITI Revenues'!$C$2:$G$224,5,FALSE),"..")</f>
        <v>280165029.78406549</v>
      </c>
      <c r="BC1092" s="846" t="str">
        <f t="shared" si="191"/>
        <v>..</v>
      </c>
      <c r="BD1092" s="129" t="str">
        <f>VLOOKUP($D1092,'WB Data 2'!$C$2:$K$545,6,FALSE)</f>
        <v>..</v>
      </c>
      <c r="BE1092" s="129">
        <f>IFERROR(VLOOKUP($D1092,UNCTAD!$C$5:$V$529,4,FALSE),"..")</f>
        <v>1453302308.22</v>
      </c>
      <c r="BF1092" s="846" t="str">
        <f t="shared" si="192"/>
        <v>..</v>
      </c>
      <c r="BG1092" s="117">
        <f>VLOOKUP($D1092,'WB Data'!$C$3:$M$578,5,FALSE)</f>
        <v>225610000</v>
      </c>
      <c r="BH1092" s="129">
        <f>IFERROR($BB1092/$BG1092,"..")</f>
        <v>1.241811221949672</v>
      </c>
      <c r="BI1092" s="117">
        <f>IFERROR(VLOOKUP($D1092,'WB Data'!$C$3:$M$578,7,FALSE)/100,"..")</f>
        <v>2.5245700000000003E-2</v>
      </c>
      <c r="BJ1092" s="117">
        <f>IFERROR($BI1092*$AW1092,"..")</f>
        <v>68142732.823462442</v>
      </c>
      <c r="BK1092" s="846">
        <f>IFERROR($BB1092/$BJ1092,"..")</f>
        <v>4.111443996675181</v>
      </c>
      <c r="BL1092" s="117">
        <f>IFERROR(VLOOKUP($D1092,'WB Data'!$C$3:$M$578,7,FALSE)/100,"..")</f>
        <v>2.5245700000000003E-2</v>
      </c>
      <c r="BM1092" s="117">
        <f>IFERROR($AW1092*$BL1092,"..")</f>
        <v>68142732.823462442</v>
      </c>
      <c r="BN1092" s="846">
        <f>IFERROR($BB1092/$BM1092,"..")</f>
        <v>4.111443996675181</v>
      </c>
      <c r="BO1092" s="801">
        <f t="shared" si="188"/>
        <v>30</v>
      </c>
      <c r="BP1092" s="117" t="str">
        <f>VLOOKUP($D1092,'WB Data'!$C$3:$M$578,9,FALSE)</f>
        <v>..</v>
      </c>
      <c r="BQ1092" s="117">
        <f>VLOOKUP($D1092,'WB Data'!$C$3:$M$578,10,FALSE)</f>
        <v>60.386804878048778</v>
      </c>
      <c r="BR1092" s="117">
        <f>VLOOKUP($D1092,'WB Data'!$C$3:$M$578,11,FALSE)</f>
        <v>74</v>
      </c>
      <c r="BS1092" s="129">
        <f>IFERROR(VLOOKUP($D1092,'WB Data 2'!$C$2:$K$545,9,FALSE),"..")</f>
        <v>73.66189</v>
      </c>
      <c r="BT1092" s="129" t="str">
        <f>_xlfn.IFNA(VLOOKUP($C1092,RGI!$A$2:$C$43,2,FALSE),"..")</f>
        <v>..</v>
      </c>
      <c r="BU1092" s="129" t="str">
        <f>_xlfn.IFNA(VLOOKUP($C1092,RGI!$A$2:$C$43,3,FALSE),"..")</f>
        <v>..</v>
      </c>
      <c r="BV1092" s="129">
        <f>VLOOKUP($D1092,WGI!$C$2:$O$478,7,FALSE)</f>
        <v>-0.89761016856863196</v>
      </c>
      <c r="BW1092" s="129">
        <f>VLOOKUP($D1092,WGI!$C$2:$O$478,4,FALSE)</f>
        <v>0.22146606212303999</v>
      </c>
      <c r="BX1092" s="129">
        <f>VLOOKUP($D1092,WGI!$C$2:$O$478,3,FALSE)</f>
        <v>-0.77444590348986198</v>
      </c>
      <c r="BY1092" s="129">
        <f>VLOOKUP($D1092,WGI!$C$2:$O$478,5,FALSE)</f>
        <v>-0.40404070074577803</v>
      </c>
      <c r="BZ1092" s="129">
        <f>VLOOKUP($D1092,WGI!$C$2:$O$478,2,FALSE)</f>
        <v>-0.67571661273399497</v>
      </c>
      <c r="CB1092" s="129"/>
    </row>
    <row r="1093" spans="1:80" s="158" customFormat="1" ht="15" customHeight="1">
      <c r="A1093" s="331" t="s">
        <v>347</v>
      </c>
      <c r="B1093" s="370">
        <v>2006</v>
      </c>
      <c r="C1093" s="818" t="s">
        <v>345</v>
      </c>
      <c r="D1093" s="117" t="s">
        <v>3537</v>
      </c>
      <c r="E1093" s="583" t="s">
        <v>86</v>
      </c>
      <c r="F1093" s="253"/>
      <c r="G1093" s="253" t="s">
        <v>24</v>
      </c>
      <c r="H1093" s="149" t="str">
        <f t="shared" si="183"/>
        <v>yes</v>
      </c>
      <c r="I1093" s="149" t="str">
        <f t="shared" si="180"/>
        <v>no</v>
      </c>
      <c r="J1093" s="149" t="str">
        <f t="shared" si="181"/>
        <v>no</v>
      </c>
      <c r="K1093" s="253" t="s">
        <v>1228</v>
      </c>
      <c r="L1093" s="149" t="str">
        <f t="shared" si="184"/>
        <v>detailed</v>
      </c>
      <c r="M1093" s="149" t="str">
        <f t="shared" si="182"/>
        <v>detailed Mining</v>
      </c>
      <c r="N1093" s="255">
        <v>10658000</v>
      </c>
      <c r="O1093" s="255"/>
      <c r="P1093" s="255"/>
      <c r="Q1093" s="255"/>
      <c r="R1093" s="255"/>
      <c r="S1093" s="253" t="s">
        <v>610</v>
      </c>
      <c r="T1093" s="256">
        <f>69.33333333333*0.5964</f>
        <v>41.350399999998018</v>
      </c>
      <c r="U1093" s="253" t="s">
        <v>611</v>
      </c>
      <c r="V1093" s="584" t="s">
        <v>1713</v>
      </c>
      <c r="W1093" s="257">
        <f>N1093*T1093</f>
        <v>440712563.19997889</v>
      </c>
      <c r="X1093" s="253"/>
      <c r="Y1093" s="253"/>
      <c r="Z1093" s="253"/>
      <c r="AA1093" s="255"/>
      <c r="AB1093" s="255"/>
      <c r="AC1093" s="371"/>
      <c r="AD1093" s="371"/>
      <c r="AE1093" s="371"/>
      <c r="AF1093" s="260"/>
      <c r="AG1093" s="253"/>
      <c r="AH1093" s="261"/>
      <c r="AI1093" s="253"/>
      <c r="AJ1093" s="253"/>
      <c r="AK1093" s="257"/>
      <c r="AL1093" s="253"/>
      <c r="AM1093" s="253"/>
      <c r="AN1093" s="253"/>
      <c r="AO1093" s="253"/>
      <c r="AP1093" s="253"/>
      <c r="AQ1093" s="253"/>
      <c r="AR1093" s="263"/>
      <c r="AS1093" s="253"/>
      <c r="AT1093" s="253"/>
      <c r="AU1093" s="253"/>
      <c r="AV1093" s="265"/>
      <c r="AW1093" s="117">
        <f>VLOOKUP($D1093,'WB Data'!$C$3:$M$578,2,FALSE)</f>
        <v>2699181754.65376</v>
      </c>
      <c r="AX1093" s="117">
        <f>VLOOKUP($D1093,'WB Data'!$C$3:$M$578,3,FALSE)</f>
        <v>3237713</v>
      </c>
      <c r="AY1093" s="847">
        <f t="shared" si="189"/>
        <v>0.10379628170686264</v>
      </c>
      <c r="AZ1093" s="117" t="e">
        <f>VLOOKUP($D1093,'WB Data'!$C$3:$M$578,4,FALSE)/100</f>
        <v>#VALUE!</v>
      </c>
      <c r="BA1093" s="117" t="str">
        <f t="shared" si="190"/>
        <v>..</v>
      </c>
      <c r="BB1093" s="129">
        <f>IFERROR(VLOOKUP($D1093,'EITI Revenues'!$C$2:$G$224,5,FALSE),"..")</f>
        <v>280165029.78406549</v>
      </c>
      <c r="BC1093" s="846" t="str">
        <f t="shared" si="191"/>
        <v>..</v>
      </c>
      <c r="BD1093" s="129" t="str">
        <f>VLOOKUP($D1093,'WB Data 2'!$C$2:$K$545,6,FALSE)</f>
        <v>..</v>
      </c>
      <c r="BE1093" s="129">
        <f>IFERROR(VLOOKUP($D1093,UNCTAD!$C$5:$V$529,4,FALSE),"..")</f>
        <v>1453302308.22</v>
      </c>
      <c r="BF1093" s="846" t="str">
        <f t="shared" si="192"/>
        <v>..</v>
      </c>
      <c r="BG1093" s="117">
        <f>VLOOKUP($D1093,'WB Data'!$C$3:$M$578,5,FALSE)</f>
        <v>225610000</v>
      </c>
      <c r="BH1093" s="129">
        <f>IFERROR($BB1093/$BG1093,"..")</f>
        <v>1.241811221949672</v>
      </c>
      <c r="BI1093" s="117">
        <f>IFERROR(VLOOKUP($D1093,'WB Data'!$C$3:$M$578,7,FALSE)/100,"..")</f>
        <v>2.5245700000000003E-2</v>
      </c>
      <c r="BJ1093" s="117">
        <f>IFERROR($BI1093*$AW1093,"..")</f>
        <v>68142732.823462442</v>
      </c>
      <c r="BK1093" s="846">
        <f>IFERROR($BB1093/$BJ1093,"..")</f>
        <v>4.111443996675181</v>
      </c>
      <c r="BL1093" s="117">
        <f>IFERROR(VLOOKUP($D1093,'WB Data'!$C$3:$M$578,7,FALSE)/100,"..")</f>
        <v>2.5245700000000003E-2</v>
      </c>
      <c r="BM1093" s="117">
        <f>IFERROR($AW1093*$BL1093,"..")</f>
        <v>68142732.823462442</v>
      </c>
      <c r="BN1093" s="846">
        <f>IFERROR($BB1093/$BM1093,"..")</f>
        <v>4.111443996675181</v>
      </c>
      <c r="BO1093" s="801">
        <f t="shared" si="188"/>
        <v>30</v>
      </c>
      <c r="BP1093" s="117" t="str">
        <f>VLOOKUP($D1093,'WB Data'!$C$3:$M$578,9,FALSE)</f>
        <v>..</v>
      </c>
      <c r="BQ1093" s="117">
        <f>VLOOKUP($D1093,'WB Data'!$C$3:$M$578,10,FALSE)</f>
        <v>60.386804878048778</v>
      </c>
      <c r="BR1093" s="117">
        <f>VLOOKUP($D1093,'WB Data'!$C$3:$M$578,11,FALSE)</f>
        <v>74</v>
      </c>
      <c r="BS1093" s="129">
        <f>IFERROR(VLOOKUP($D1093,'WB Data 2'!$C$2:$K$545,9,FALSE),"..")</f>
        <v>73.66189</v>
      </c>
      <c r="BT1093" s="129" t="str">
        <f>_xlfn.IFNA(VLOOKUP($C1093,RGI!$A$2:$C$43,2,FALSE),"..")</f>
        <v>..</v>
      </c>
      <c r="BU1093" s="129" t="str">
        <f>_xlfn.IFNA(VLOOKUP($C1093,RGI!$A$2:$C$43,3,FALSE),"..")</f>
        <v>..</v>
      </c>
      <c r="BV1093" s="129">
        <f>VLOOKUP($D1093,WGI!$C$2:$O$478,7,FALSE)</f>
        <v>-0.89761016856863196</v>
      </c>
      <c r="BW1093" s="129">
        <f>VLOOKUP($D1093,WGI!$C$2:$O$478,4,FALSE)</f>
        <v>0.22146606212303999</v>
      </c>
      <c r="BX1093" s="129">
        <f>VLOOKUP($D1093,WGI!$C$2:$O$478,3,FALSE)</f>
        <v>-0.77444590348986198</v>
      </c>
      <c r="BY1093" s="129">
        <f>VLOOKUP($D1093,WGI!$C$2:$O$478,5,FALSE)</f>
        <v>-0.40404070074577803</v>
      </c>
      <c r="BZ1093" s="129">
        <f>VLOOKUP($D1093,WGI!$C$2:$O$478,2,FALSE)</f>
        <v>-0.67571661273399497</v>
      </c>
      <c r="CB1093" s="129"/>
    </row>
    <row r="1094" spans="1:80" ht="15" customHeight="1">
      <c r="A1094" s="315" t="s">
        <v>350</v>
      </c>
      <c r="B1094" s="368">
        <v>2007</v>
      </c>
      <c r="C1094" s="817" t="s">
        <v>345</v>
      </c>
      <c r="D1094" s="117" t="s">
        <v>3571</v>
      </c>
      <c r="E1094" s="581" t="s">
        <v>86</v>
      </c>
      <c r="F1094" s="267" t="s">
        <v>1711</v>
      </c>
      <c r="G1094" s="267" t="s">
        <v>41</v>
      </c>
      <c r="H1094" s="117" t="str">
        <f t="shared" si="183"/>
        <v>yes</v>
      </c>
      <c r="I1094" s="117" t="str">
        <f t="shared" si="180"/>
        <v>no</v>
      </c>
      <c r="J1094" s="117" t="str">
        <f t="shared" si="181"/>
        <v>yes</v>
      </c>
      <c r="K1094" s="267" t="s">
        <v>709</v>
      </c>
      <c r="L1094" s="117" t="str">
        <f t="shared" si="184"/>
        <v>Total</v>
      </c>
      <c r="M1094" s="117" t="str">
        <f t="shared" si="182"/>
        <v>Total Oil, Mining</v>
      </c>
      <c r="N1094" s="269"/>
      <c r="O1094" s="269"/>
      <c r="P1094" s="269"/>
      <c r="Q1094" s="269"/>
      <c r="R1094" s="269"/>
      <c r="S1094" s="267"/>
      <c r="T1094" s="270"/>
      <c r="U1094" s="267"/>
      <c r="V1094" s="267"/>
      <c r="W1094" s="275">
        <f>W1095+W1096</f>
        <v>1471083869.5023618</v>
      </c>
      <c r="X1094" s="267" t="s">
        <v>691</v>
      </c>
      <c r="Y1094" s="267" t="s">
        <v>602</v>
      </c>
      <c r="Z1094" s="267"/>
      <c r="AA1094" s="582">
        <v>175753291.2240898</v>
      </c>
      <c r="AB1094" s="500">
        <v>182576278.74600381</v>
      </c>
      <c r="AC1094" s="369"/>
      <c r="AD1094" s="369"/>
      <c r="AE1094" s="369"/>
      <c r="AF1094" s="273">
        <f>AA1094/W1094</f>
        <v>0.1194719722428495</v>
      </c>
      <c r="AG1094" s="267"/>
      <c r="AH1094" s="274">
        <v>253.30600000000001</v>
      </c>
      <c r="AI1094" s="267" t="s">
        <v>667</v>
      </c>
      <c r="AJ1094" s="267"/>
      <c r="AK1094" s="275"/>
      <c r="AL1094" s="267"/>
      <c r="AM1094" s="267"/>
      <c r="AN1094" s="267"/>
      <c r="AO1094" s="267"/>
      <c r="AP1094" s="267">
        <v>36</v>
      </c>
      <c r="AQ1094" s="267" t="s">
        <v>351</v>
      </c>
      <c r="AR1094" s="277">
        <v>41922</v>
      </c>
      <c r="AS1094" s="267" t="s">
        <v>670</v>
      </c>
      <c r="AT1094" s="267" t="s">
        <v>352</v>
      </c>
      <c r="AU1094" s="267"/>
      <c r="AV1094" s="278"/>
      <c r="AW1094" s="117">
        <f>VLOOKUP($D1094,'WB Data'!$C$3:$M$578,2,FALSE)</f>
        <v>2837533270.0921087</v>
      </c>
      <c r="AX1094" s="117">
        <f>VLOOKUP($D1094,'WB Data'!$C$3:$M$578,3,FALSE)</f>
        <v>3330037</v>
      </c>
      <c r="AY1094" s="847">
        <f t="shared" si="189"/>
        <v>6.193875965316336E-2</v>
      </c>
      <c r="AZ1094" s="117" t="e">
        <f>VLOOKUP($D1094,'WB Data'!$C$3:$M$578,4,FALSE)/100</f>
        <v>#VALUE!</v>
      </c>
      <c r="BA1094" s="117" t="str">
        <f t="shared" si="190"/>
        <v>..</v>
      </c>
      <c r="BB1094" s="129">
        <f>IFERROR(VLOOKUP($D1094,'EITI Revenues'!$C$2:$G$224,5,FALSE),"..")</f>
        <v>175753291.2240898</v>
      </c>
      <c r="BC1094" s="846" t="str">
        <f t="shared" si="191"/>
        <v>..</v>
      </c>
      <c r="BD1094" s="129">
        <f>VLOOKUP($D1094,'WB Data 2'!$C$2:$K$545,6,FALSE)</f>
        <v>1179950434.3699138</v>
      </c>
      <c r="BE1094" s="129">
        <f>IFERROR(VLOOKUP($D1094,UNCTAD!$C$5:$V$529,4,FALSE),"..")</f>
        <v>1486000000</v>
      </c>
      <c r="BF1094" s="846">
        <f t="shared" si="192"/>
        <v>0.79404470684381823</v>
      </c>
      <c r="BG1094" s="117">
        <f>VLOOKUP($D1094,'WB Data'!$C$3:$M$578,5,FALSE)</f>
        <v>347230000</v>
      </c>
      <c r="BH1094" s="129">
        <f>IFERROR($BB1094/$BG1094,"..")</f>
        <v>0.50615814078302512</v>
      </c>
      <c r="BI1094" s="117" t="str">
        <f>IFERROR(VLOOKUP($D1094,'WB Data'!$C$3:$M$578,7,FALSE)/100,"..")</f>
        <v>..</v>
      </c>
      <c r="BJ1094" s="117" t="str">
        <f>IFERROR($BI1094*$AW1094,"..")</f>
        <v>..</v>
      </c>
      <c r="BK1094" s="846" t="str">
        <f>IFERROR($BB1094/$BJ1094,"..")</f>
        <v>..</v>
      </c>
      <c r="BL1094" s="117" t="str">
        <f>IFERROR(VLOOKUP($D1094,'WB Data'!$C$3:$M$578,7,FALSE)/100,"..")</f>
        <v>..</v>
      </c>
      <c r="BM1094" s="117" t="str">
        <f>IFERROR($AW1094*$BL1094,"..")</f>
        <v>..</v>
      </c>
      <c r="BN1094" s="846" t="str">
        <f>IFERROR($BB1094/$BM1094,"..")</f>
        <v>..</v>
      </c>
      <c r="BO1094" s="801">
        <f t="shared" si="188"/>
        <v>30</v>
      </c>
      <c r="BP1094" s="117" t="str">
        <f>VLOOKUP($D1094,'WB Data'!$C$3:$M$578,9,FALSE)</f>
        <v>..</v>
      </c>
      <c r="BQ1094" s="117">
        <f>VLOOKUP($D1094,'WB Data'!$C$3:$M$578,10,FALSE)</f>
        <v>60.539463414634156</v>
      </c>
      <c r="BR1094" s="117">
        <f>VLOOKUP($D1094,'WB Data'!$C$3:$M$578,11,FALSE)</f>
        <v>73.2</v>
      </c>
      <c r="BS1094" s="129">
        <f>IFERROR(VLOOKUP($D1094,'WB Data 2'!$C$2:$K$545,9,FALSE),"..")</f>
        <v>74.513229999999993</v>
      </c>
      <c r="BT1094" s="129" t="str">
        <f>_xlfn.IFNA(VLOOKUP($C1094,RGI!$A$2:$C$43,2,FALSE),"..")</f>
        <v>..</v>
      </c>
      <c r="BU1094" s="129" t="str">
        <f>_xlfn.IFNA(VLOOKUP($C1094,RGI!$A$2:$C$43,3,FALSE),"..")</f>
        <v>..</v>
      </c>
      <c r="BV1094" s="129">
        <f>VLOOKUP($D1094,WGI!$C$2:$O$478,7,FALSE)</f>
        <v>-0.719411845774661</v>
      </c>
      <c r="BW1094" s="129">
        <f>VLOOKUP($D1094,WGI!$C$2:$O$478,4,FALSE)</f>
        <v>-0.270483202789224</v>
      </c>
      <c r="BX1094" s="129">
        <f>VLOOKUP($D1094,WGI!$C$2:$O$478,3,FALSE)</f>
        <v>-0.861156861425044</v>
      </c>
      <c r="BY1094" s="129">
        <f>VLOOKUP($D1094,WGI!$C$2:$O$478,5,FALSE)</f>
        <v>-0.43931534333615602</v>
      </c>
      <c r="BZ1094" s="129">
        <f>VLOOKUP($D1094,WGI!$C$2:$O$478,2,FALSE)</f>
        <v>-0.50439882982934003</v>
      </c>
    </row>
    <row r="1095" spans="1:80" ht="15" customHeight="1">
      <c r="A1095" s="315" t="s">
        <v>350</v>
      </c>
      <c r="B1095" s="368">
        <v>2007</v>
      </c>
      <c r="C1095" s="817" t="s">
        <v>345</v>
      </c>
      <c r="D1095" s="117" t="s">
        <v>3571</v>
      </c>
      <c r="E1095" s="581" t="s">
        <v>86</v>
      </c>
      <c r="F1095" s="267"/>
      <c r="G1095" s="267" t="s">
        <v>103</v>
      </c>
      <c r="H1095" s="117" t="str">
        <f t="shared" si="183"/>
        <v>no</v>
      </c>
      <c r="I1095" s="117" t="str">
        <f t="shared" si="180"/>
        <v>no</v>
      </c>
      <c r="J1095" s="117" t="str">
        <f t="shared" si="181"/>
        <v>yes</v>
      </c>
      <c r="K1095" s="267" t="s">
        <v>103</v>
      </c>
      <c r="L1095" s="117" t="str">
        <f t="shared" si="184"/>
        <v>detailed</v>
      </c>
      <c r="M1095" s="117" t="str">
        <f t="shared" si="182"/>
        <v>detailed Oil</v>
      </c>
      <c r="N1095" s="269">
        <v>5475000</v>
      </c>
      <c r="O1095" s="269"/>
      <c r="P1095" s="269"/>
      <c r="Q1095" s="269"/>
      <c r="R1095" s="269"/>
      <c r="S1095" s="267" t="s">
        <v>646</v>
      </c>
      <c r="T1095" s="270">
        <f>71.82*1.0164</f>
        <v>72.997847999999991</v>
      </c>
      <c r="U1095" s="267" t="s">
        <v>673</v>
      </c>
      <c r="V1095" s="267" t="s">
        <v>1714</v>
      </c>
      <c r="W1095" s="275">
        <f>N1095*T1095</f>
        <v>399663217.79999995</v>
      </c>
      <c r="X1095" s="267"/>
      <c r="Y1095" s="267"/>
      <c r="Z1095" s="267"/>
      <c r="AA1095" s="269">
        <v>91445000</v>
      </c>
      <c r="AB1095" s="269">
        <v>91775000</v>
      </c>
      <c r="AC1095" s="369"/>
      <c r="AD1095" s="369"/>
      <c r="AE1095" s="369"/>
      <c r="AF1095" s="273">
        <f>AA1095/W1095</f>
        <v>0.22880514374920796</v>
      </c>
      <c r="AG1095" s="267"/>
      <c r="AH1095" s="274"/>
      <c r="AI1095" s="267"/>
      <c r="AJ1095" s="267"/>
      <c r="AK1095" s="275"/>
      <c r="AL1095" s="267"/>
      <c r="AM1095" s="267"/>
      <c r="AN1095" s="267"/>
      <c r="AO1095" s="267"/>
      <c r="AP1095" s="267"/>
      <c r="AQ1095" s="267"/>
      <c r="AR1095" s="277"/>
      <c r="AS1095" s="267"/>
      <c r="AT1095" s="267"/>
      <c r="AU1095" s="267"/>
      <c r="AV1095" s="278"/>
      <c r="AW1095" s="117">
        <f>VLOOKUP($D1095,'WB Data'!$C$3:$M$578,2,FALSE)</f>
        <v>2837533270.0921087</v>
      </c>
      <c r="AX1095" s="117">
        <f>VLOOKUP($D1095,'WB Data'!$C$3:$M$578,3,FALSE)</f>
        <v>3330037</v>
      </c>
      <c r="AY1095" s="847">
        <f t="shared" si="189"/>
        <v>6.193875965316336E-2</v>
      </c>
      <c r="AZ1095" s="117" t="e">
        <f>VLOOKUP($D1095,'WB Data'!$C$3:$M$578,4,FALSE)/100</f>
        <v>#VALUE!</v>
      </c>
      <c r="BA1095" s="117" t="str">
        <f t="shared" si="190"/>
        <v>..</v>
      </c>
      <c r="BB1095" s="129">
        <f>IFERROR(VLOOKUP($D1095,'EITI Revenues'!$C$2:$G$224,5,FALSE),"..")</f>
        <v>175753291.2240898</v>
      </c>
      <c r="BC1095" s="846" t="str">
        <f t="shared" si="191"/>
        <v>..</v>
      </c>
      <c r="BD1095" s="129">
        <f>VLOOKUP($D1095,'WB Data 2'!$C$2:$K$545,6,FALSE)</f>
        <v>1179950434.3699138</v>
      </c>
      <c r="BE1095" s="129">
        <f>IFERROR(VLOOKUP($D1095,UNCTAD!$C$5:$V$529,4,FALSE),"..")</f>
        <v>1486000000</v>
      </c>
      <c r="BF1095" s="846">
        <f t="shared" si="192"/>
        <v>0.79404470684381823</v>
      </c>
      <c r="BG1095" s="117">
        <f>VLOOKUP($D1095,'WB Data'!$C$3:$M$578,5,FALSE)</f>
        <v>347230000</v>
      </c>
      <c r="BH1095" s="129">
        <f>IFERROR($BB1095/$BG1095,"..")</f>
        <v>0.50615814078302512</v>
      </c>
      <c r="BI1095" s="117" t="str">
        <f>IFERROR(VLOOKUP($D1095,'WB Data'!$C$3:$M$578,7,FALSE)/100,"..")</f>
        <v>..</v>
      </c>
      <c r="BJ1095" s="117" t="str">
        <f>IFERROR($BI1095*$AW1095,"..")</f>
        <v>..</v>
      </c>
      <c r="BK1095" s="846" t="str">
        <f>IFERROR($BB1095/$BJ1095,"..")</f>
        <v>..</v>
      </c>
      <c r="BL1095" s="117" t="str">
        <f>IFERROR(VLOOKUP($D1095,'WB Data'!$C$3:$M$578,7,FALSE)/100,"..")</f>
        <v>..</v>
      </c>
      <c r="BM1095" s="117" t="str">
        <f>IFERROR($AW1095*$BL1095,"..")</f>
        <v>..</v>
      </c>
      <c r="BN1095" s="846" t="str">
        <f>IFERROR($BB1095/$BM1095,"..")</f>
        <v>..</v>
      </c>
      <c r="BO1095" s="801">
        <f t="shared" si="188"/>
        <v>30</v>
      </c>
      <c r="BP1095" s="117" t="str">
        <f>VLOOKUP($D1095,'WB Data'!$C$3:$M$578,9,FALSE)</f>
        <v>..</v>
      </c>
      <c r="BQ1095" s="117">
        <f>VLOOKUP($D1095,'WB Data'!$C$3:$M$578,10,FALSE)</f>
        <v>60.539463414634156</v>
      </c>
      <c r="BR1095" s="117">
        <f>VLOOKUP($D1095,'WB Data'!$C$3:$M$578,11,FALSE)</f>
        <v>73.2</v>
      </c>
      <c r="BS1095" s="129">
        <f>IFERROR(VLOOKUP($D1095,'WB Data 2'!$C$2:$K$545,9,FALSE),"..")</f>
        <v>74.513229999999993</v>
      </c>
      <c r="BT1095" s="129" t="str">
        <f>_xlfn.IFNA(VLOOKUP($C1095,RGI!$A$2:$C$43,2,FALSE),"..")</f>
        <v>..</v>
      </c>
      <c r="BU1095" s="129" t="str">
        <f>_xlfn.IFNA(VLOOKUP($C1095,RGI!$A$2:$C$43,3,FALSE),"..")</f>
        <v>..</v>
      </c>
      <c r="BV1095" s="129">
        <f>VLOOKUP($D1095,WGI!$C$2:$O$478,7,FALSE)</f>
        <v>-0.719411845774661</v>
      </c>
      <c r="BW1095" s="129">
        <f>VLOOKUP($D1095,WGI!$C$2:$O$478,4,FALSE)</f>
        <v>-0.270483202789224</v>
      </c>
      <c r="BX1095" s="129">
        <f>VLOOKUP($D1095,WGI!$C$2:$O$478,3,FALSE)</f>
        <v>-0.861156861425044</v>
      </c>
      <c r="BY1095" s="129">
        <f>VLOOKUP($D1095,WGI!$C$2:$O$478,5,FALSE)</f>
        <v>-0.43931534333615602</v>
      </c>
      <c r="BZ1095" s="129">
        <f>VLOOKUP($D1095,WGI!$C$2:$O$478,2,FALSE)</f>
        <v>-0.50439882982934003</v>
      </c>
    </row>
    <row r="1096" spans="1:80" ht="15" customHeight="1">
      <c r="A1096" s="315" t="s">
        <v>350</v>
      </c>
      <c r="B1096" s="368">
        <v>2007</v>
      </c>
      <c r="C1096" s="817" t="s">
        <v>345</v>
      </c>
      <c r="D1096" s="117" t="s">
        <v>3571</v>
      </c>
      <c r="E1096" s="581" t="s">
        <v>86</v>
      </c>
      <c r="F1096" s="267"/>
      <c r="G1096" s="267" t="s">
        <v>24</v>
      </c>
      <c r="H1096" s="117" t="str">
        <f t="shared" si="183"/>
        <v>yes</v>
      </c>
      <c r="I1096" s="117" t="str">
        <f t="shared" si="180"/>
        <v>no</v>
      </c>
      <c r="J1096" s="117" t="str">
        <f t="shared" si="181"/>
        <v>no</v>
      </c>
      <c r="K1096" s="267" t="s">
        <v>600</v>
      </c>
      <c r="L1096" s="117" t="str">
        <f t="shared" si="184"/>
        <v>Total</v>
      </c>
      <c r="M1096" s="117" t="str">
        <f t="shared" si="182"/>
        <v>Total Mining</v>
      </c>
      <c r="N1096" s="269"/>
      <c r="O1096" s="269"/>
      <c r="P1096" s="269"/>
      <c r="Q1096" s="269"/>
      <c r="R1096" s="269"/>
      <c r="S1096" s="267"/>
      <c r="T1096" s="270"/>
      <c r="U1096" s="267"/>
      <c r="V1096" s="267"/>
      <c r="W1096" s="275">
        <f>SUM(W1097:W1099)</f>
        <v>1071420651.7023619</v>
      </c>
      <c r="X1096" s="267"/>
      <c r="Y1096" s="267"/>
      <c r="Z1096" s="267"/>
      <c r="AA1096" s="269">
        <v>84308291.224089816</v>
      </c>
      <c r="AB1096" s="269">
        <v>90801278.746003807</v>
      </c>
      <c r="AC1096" s="369"/>
      <c r="AD1096" s="369"/>
      <c r="AE1096" s="369"/>
      <c r="AF1096" s="273">
        <f>AA1096/W1096</f>
        <v>7.8688320119771643E-2</v>
      </c>
      <c r="AG1096" s="267"/>
      <c r="AH1096" s="274"/>
      <c r="AI1096" s="267"/>
      <c r="AJ1096" s="267"/>
      <c r="AK1096" s="275"/>
      <c r="AL1096" s="267"/>
      <c r="AM1096" s="267"/>
      <c r="AN1096" s="267"/>
      <c r="AO1096" s="267"/>
      <c r="AP1096" s="267"/>
      <c r="AQ1096" s="267"/>
      <c r="AR1096" s="277"/>
      <c r="AS1096" s="267"/>
      <c r="AT1096" s="267"/>
      <c r="AU1096" s="267"/>
      <c r="AV1096" s="278"/>
      <c r="AW1096" s="117">
        <f>VLOOKUP($D1096,'WB Data'!$C$3:$M$578,2,FALSE)</f>
        <v>2837533270.0921087</v>
      </c>
      <c r="AX1096" s="117">
        <f>VLOOKUP($D1096,'WB Data'!$C$3:$M$578,3,FALSE)</f>
        <v>3330037</v>
      </c>
      <c r="AY1096" s="847">
        <f t="shared" si="189"/>
        <v>6.193875965316336E-2</v>
      </c>
      <c r="AZ1096" s="117" t="e">
        <f>VLOOKUP($D1096,'WB Data'!$C$3:$M$578,4,FALSE)/100</f>
        <v>#VALUE!</v>
      </c>
      <c r="BA1096" s="117" t="str">
        <f t="shared" si="190"/>
        <v>..</v>
      </c>
      <c r="BB1096" s="129">
        <f>IFERROR(VLOOKUP($D1096,'EITI Revenues'!$C$2:$G$224,5,FALSE),"..")</f>
        <v>175753291.2240898</v>
      </c>
      <c r="BC1096" s="846" t="str">
        <f t="shared" si="191"/>
        <v>..</v>
      </c>
      <c r="BD1096" s="129">
        <f>VLOOKUP($D1096,'WB Data 2'!$C$2:$K$545,6,FALSE)</f>
        <v>1179950434.3699138</v>
      </c>
      <c r="BE1096" s="129">
        <f>IFERROR(VLOOKUP($D1096,UNCTAD!$C$5:$V$529,4,FALSE),"..")</f>
        <v>1486000000</v>
      </c>
      <c r="BF1096" s="846">
        <f t="shared" si="192"/>
        <v>0.79404470684381823</v>
      </c>
      <c r="BG1096" s="117">
        <f>VLOOKUP($D1096,'WB Data'!$C$3:$M$578,5,FALSE)</f>
        <v>347230000</v>
      </c>
      <c r="BH1096" s="129">
        <f>IFERROR($BB1096/$BG1096,"..")</f>
        <v>0.50615814078302512</v>
      </c>
      <c r="BI1096" s="117" t="str">
        <f>IFERROR(VLOOKUP($D1096,'WB Data'!$C$3:$M$578,7,FALSE)/100,"..")</f>
        <v>..</v>
      </c>
      <c r="BJ1096" s="117" t="str">
        <f>IFERROR($BI1096*$AW1096,"..")</f>
        <v>..</v>
      </c>
      <c r="BK1096" s="846" t="str">
        <f>IFERROR($BB1096/$BJ1096,"..")</f>
        <v>..</v>
      </c>
      <c r="BL1096" s="117" t="str">
        <f>IFERROR(VLOOKUP($D1096,'WB Data'!$C$3:$M$578,7,FALSE)/100,"..")</f>
        <v>..</v>
      </c>
      <c r="BM1096" s="117" t="str">
        <f>IFERROR($AW1096*$BL1096,"..")</f>
        <v>..</v>
      </c>
      <c r="BN1096" s="846" t="str">
        <f>IFERROR($BB1096/$BM1096,"..")</f>
        <v>..</v>
      </c>
      <c r="BO1096" s="801">
        <f t="shared" si="188"/>
        <v>30</v>
      </c>
      <c r="BP1096" s="117" t="str">
        <f>VLOOKUP($D1096,'WB Data'!$C$3:$M$578,9,FALSE)</f>
        <v>..</v>
      </c>
      <c r="BQ1096" s="117">
        <f>VLOOKUP($D1096,'WB Data'!$C$3:$M$578,10,FALSE)</f>
        <v>60.539463414634156</v>
      </c>
      <c r="BR1096" s="117">
        <f>VLOOKUP($D1096,'WB Data'!$C$3:$M$578,11,FALSE)</f>
        <v>73.2</v>
      </c>
      <c r="BS1096" s="129">
        <f>IFERROR(VLOOKUP($D1096,'WB Data 2'!$C$2:$K$545,9,FALSE),"..")</f>
        <v>74.513229999999993</v>
      </c>
      <c r="BT1096" s="129" t="str">
        <f>_xlfn.IFNA(VLOOKUP($C1096,RGI!$A$2:$C$43,2,FALSE),"..")</f>
        <v>..</v>
      </c>
      <c r="BU1096" s="129" t="str">
        <f>_xlfn.IFNA(VLOOKUP($C1096,RGI!$A$2:$C$43,3,FALSE),"..")</f>
        <v>..</v>
      </c>
      <c r="BV1096" s="129">
        <f>VLOOKUP($D1096,WGI!$C$2:$O$478,7,FALSE)</f>
        <v>-0.719411845774661</v>
      </c>
      <c r="BW1096" s="129">
        <f>VLOOKUP($D1096,WGI!$C$2:$O$478,4,FALSE)</f>
        <v>-0.270483202789224</v>
      </c>
      <c r="BX1096" s="129">
        <f>VLOOKUP($D1096,WGI!$C$2:$O$478,3,FALSE)</f>
        <v>-0.861156861425044</v>
      </c>
      <c r="BY1096" s="129">
        <f>VLOOKUP($D1096,WGI!$C$2:$O$478,5,FALSE)</f>
        <v>-0.43931534333615602</v>
      </c>
      <c r="BZ1096" s="129">
        <f>VLOOKUP($D1096,WGI!$C$2:$O$478,2,FALSE)</f>
        <v>-0.50439882982934003</v>
      </c>
    </row>
    <row r="1097" spans="1:80" ht="15" customHeight="1">
      <c r="A1097" s="315" t="s">
        <v>350</v>
      </c>
      <c r="B1097" s="368">
        <v>2007</v>
      </c>
      <c r="C1097" s="817" t="s">
        <v>345</v>
      </c>
      <c r="D1097" s="117" t="s">
        <v>3571</v>
      </c>
      <c r="E1097" s="581" t="s">
        <v>86</v>
      </c>
      <c r="F1097" s="267"/>
      <c r="G1097" s="267" t="s">
        <v>24</v>
      </c>
      <c r="H1097" s="117" t="str">
        <f t="shared" si="183"/>
        <v>yes</v>
      </c>
      <c r="I1097" s="117" t="str">
        <f t="shared" si="180"/>
        <v>no</v>
      </c>
      <c r="J1097" s="117" t="str">
        <f t="shared" si="181"/>
        <v>no</v>
      </c>
      <c r="K1097" s="267" t="s">
        <v>1715</v>
      </c>
      <c r="L1097" s="117" t="str">
        <f t="shared" si="184"/>
        <v>detailed</v>
      </c>
      <c r="M1097" s="117" t="str">
        <f t="shared" si="182"/>
        <v>detailed Mining</v>
      </c>
      <c r="N1097" s="269">
        <v>31956</v>
      </c>
      <c r="O1097" s="269"/>
      <c r="P1097" s="269"/>
      <c r="Q1097" s="269"/>
      <c r="R1097" s="269"/>
      <c r="S1097" s="267" t="s">
        <v>610</v>
      </c>
      <c r="T1097" s="349">
        <f>7118.226*0.6815</f>
        <v>4851.071019</v>
      </c>
      <c r="U1097" s="267" t="s">
        <v>611</v>
      </c>
      <c r="V1097" s="586" t="s">
        <v>1716</v>
      </c>
      <c r="W1097" s="275">
        <f>N1097*T1097</f>
        <v>155020825.48316401</v>
      </c>
      <c r="X1097" s="267"/>
      <c r="Y1097" s="267"/>
      <c r="Z1097" s="267"/>
      <c r="AA1097" s="269"/>
      <c r="AB1097" s="269"/>
      <c r="AC1097" s="369"/>
      <c r="AD1097" s="369"/>
      <c r="AE1097" s="369"/>
      <c r="AF1097" s="273"/>
      <c r="AG1097" s="267"/>
      <c r="AH1097" s="274"/>
      <c r="AI1097" s="267"/>
      <c r="AJ1097" s="267"/>
      <c r="AK1097" s="275"/>
      <c r="AL1097" s="267"/>
      <c r="AM1097" s="267"/>
      <c r="AN1097" s="267"/>
      <c r="AO1097" s="267"/>
      <c r="AP1097" s="267"/>
      <c r="AQ1097" s="267"/>
      <c r="AR1097" s="277"/>
      <c r="AS1097" s="267"/>
      <c r="AT1097" s="267"/>
      <c r="AU1097" s="267"/>
      <c r="AV1097" s="278"/>
      <c r="AW1097" s="117">
        <f>VLOOKUP($D1097,'WB Data'!$C$3:$M$578,2,FALSE)</f>
        <v>2837533270.0921087</v>
      </c>
      <c r="AX1097" s="117">
        <f>VLOOKUP($D1097,'WB Data'!$C$3:$M$578,3,FALSE)</f>
        <v>3330037</v>
      </c>
      <c r="AY1097" s="847">
        <f t="shared" si="189"/>
        <v>6.193875965316336E-2</v>
      </c>
      <c r="AZ1097" s="117" t="e">
        <f>VLOOKUP($D1097,'WB Data'!$C$3:$M$578,4,FALSE)/100</f>
        <v>#VALUE!</v>
      </c>
      <c r="BA1097" s="117" t="str">
        <f t="shared" si="190"/>
        <v>..</v>
      </c>
      <c r="BB1097" s="129">
        <f>IFERROR(VLOOKUP($D1097,'EITI Revenues'!$C$2:$G$224,5,FALSE),"..")</f>
        <v>175753291.2240898</v>
      </c>
      <c r="BC1097" s="846" t="str">
        <f t="shared" si="191"/>
        <v>..</v>
      </c>
      <c r="BD1097" s="129">
        <f>VLOOKUP($D1097,'WB Data 2'!$C$2:$K$545,6,FALSE)</f>
        <v>1179950434.3699138</v>
      </c>
      <c r="BE1097" s="129">
        <f>IFERROR(VLOOKUP($D1097,UNCTAD!$C$5:$V$529,4,FALSE),"..")</f>
        <v>1486000000</v>
      </c>
      <c r="BF1097" s="846">
        <f t="shared" si="192"/>
        <v>0.79404470684381823</v>
      </c>
      <c r="BG1097" s="117">
        <f>VLOOKUP($D1097,'WB Data'!$C$3:$M$578,5,FALSE)</f>
        <v>347230000</v>
      </c>
      <c r="BH1097" s="129">
        <f>IFERROR($BB1097/$BG1097,"..")</f>
        <v>0.50615814078302512</v>
      </c>
      <c r="BI1097" s="117" t="str">
        <f>IFERROR(VLOOKUP($D1097,'WB Data'!$C$3:$M$578,7,FALSE)/100,"..")</f>
        <v>..</v>
      </c>
      <c r="BJ1097" s="117" t="str">
        <f>IFERROR($BI1097*$AW1097,"..")</f>
        <v>..</v>
      </c>
      <c r="BK1097" s="846" t="str">
        <f>IFERROR($BB1097/$BJ1097,"..")</f>
        <v>..</v>
      </c>
      <c r="BL1097" s="117" t="str">
        <f>IFERROR(VLOOKUP($D1097,'WB Data'!$C$3:$M$578,7,FALSE)/100,"..")</f>
        <v>..</v>
      </c>
      <c r="BM1097" s="117" t="str">
        <f>IFERROR($AW1097*$BL1097,"..")</f>
        <v>..</v>
      </c>
      <c r="BN1097" s="846" t="str">
        <f>IFERROR($BB1097/$BM1097,"..")</f>
        <v>..</v>
      </c>
      <c r="BO1097" s="801">
        <f t="shared" si="188"/>
        <v>30</v>
      </c>
      <c r="BP1097" s="117" t="str">
        <f>VLOOKUP($D1097,'WB Data'!$C$3:$M$578,9,FALSE)</f>
        <v>..</v>
      </c>
      <c r="BQ1097" s="117">
        <f>VLOOKUP($D1097,'WB Data'!$C$3:$M$578,10,FALSE)</f>
        <v>60.539463414634156</v>
      </c>
      <c r="BR1097" s="117">
        <f>VLOOKUP($D1097,'WB Data'!$C$3:$M$578,11,FALSE)</f>
        <v>73.2</v>
      </c>
      <c r="BS1097" s="129">
        <f>IFERROR(VLOOKUP($D1097,'WB Data 2'!$C$2:$K$545,9,FALSE),"..")</f>
        <v>74.513229999999993</v>
      </c>
      <c r="BT1097" s="129" t="str">
        <f>_xlfn.IFNA(VLOOKUP($C1097,RGI!$A$2:$C$43,2,FALSE),"..")</f>
        <v>..</v>
      </c>
      <c r="BU1097" s="129" t="str">
        <f>_xlfn.IFNA(VLOOKUP($C1097,RGI!$A$2:$C$43,3,FALSE),"..")</f>
        <v>..</v>
      </c>
      <c r="BV1097" s="129">
        <f>VLOOKUP($D1097,WGI!$C$2:$O$478,7,FALSE)</f>
        <v>-0.719411845774661</v>
      </c>
      <c r="BW1097" s="129">
        <f>VLOOKUP($D1097,WGI!$C$2:$O$478,4,FALSE)</f>
        <v>-0.270483202789224</v>
      </c>
      <c r="BX1097" s="129">
        <f>VLOOKUP($D1097,WGI!$C$2:$O$478,3,FALSE)</f>
        <v>-0.861156861425044</v>
      </c>
      <c r="BY1097" s="129">
        <f>VLOOKUP($D1097,WGI!$C$2:$O$478,5,FALSE)</f>
        <v>-0.43931534333615602</v>
      </c>
      <c r="BZ1097" s="129">
        <f>VLOOKUP($D1097,WGI!$C$2:$O$478,2,FALSE)</f>
        <v>-0.50439882982934003</v>
      </c>
    </row>
    <row r="1098" spans="1:80" ht="15" customHeight="1">
      <c r="A1098" s="315" t="s">
        <v>350</v>
      </c>
      <c r="B1098" s="368">
        <v>2007</v>
      </c>
      <c r="C1098" s="817" t="s">
        <v>345</v>
      </c>
      <c r="D1098" s="117" t="s">
        <v>3571</v>
      </c>
      <c r="E1098" s="581" t="s">
        <v>86</v>
      </c>
      <c r="F1098" s="267"/>
      <c r="G1098" s="267" t="s">
        <v>24</v>
      </c>
      <c r="H1098" s="117" t="str">
        <f t="shared" si="183"/>
        <v>yes</v>
      </c>
      <c r="I1098" s="117" t="str">
        <f t="shared" si="180"/>
        <v>no</v>
      </c>
      <c r="J1098" s="117" t="str">
        <f t="shared" si="181"/>
        <v>no</v>
      </c>
      <c r="K1098" s="267" t="s">
        <v>784</v>
      </c>
      <c r="L1098" s="117" t="str">
        <f t="shared" si="184"/>
        <v>detailed</v>
      </c>
      <c r="M1098" s="117" t="str">
        <f t="shared" si="182"/>
        <v>detailed Mining</v>
      </c>
      <c r="N1098" s="269">
        <f>2251*32.150743126506</f>
        <v>72371.322777765003</v>
      </c>
      <c r="O1098" s="269"/>
      <c r="P1098" s="269"/>
      <c r="Q1098" s="269"/>
      <c r="R1098" s="269"/>
      <c r="S1098" s="267" t="s">
        <v>785</v>
      </c>
      <c r="T1098" s="270">
        <f>696.72025*0.9842</f>
        <v>685.71207004999997</v>
      </c>
      <c r="U1098" s="267" t="s">
        <v>786</v>
      </c>
      <c r="V1098" s="586" t="s">
        <v>1717</v>
      </c>
      <c r="W1098" s="275">
        <f>N1098*T1098</f>
        <v>49625889.554197952</v>
      </c>
      <c r="X1098" s="267"/>
      <c r="Y1098" s="267"/>
      <c r="Z1098" s="267"/>
      <c r="AA1098" s="269"/>
      <c r="AB1098" s="269"/>
      <c r="AC1098" s="369"/>
      <c r="AD1098" s="369"/>
      <c r="AE1098" s="369"/>
      <c r="AF1098" s="273"/>
      <c r="AG1098" s="267"/>
      <c r="AH1098" s="274"/>
      <c r="AI1098" s="267"/>
      <c r="AJ1098" s="267"/>
      <c r="AK1098" s="275"/>
      <c r="AL1098" s="267"/>
      <c r="AM1098" s="267"/>
      <c r="AN1098" s="267"/>
      <c r="AO1098" s="267"/>
      <c r="AP1098" s="267"/>
      <c r="AQ1098" s="267"/>
      <c r="AR1098" s="277"/>
      <c r="AS1098" s="267"/>
      <c r="AT1098" s="267"/>
      <c r="AU1098" s="267"/>
      <c r="AV1098" s="278"/>
      <c r="AW1098" s="117">
        <f>VLOOKUP($D1098,'WB Data'!$C$3:$M$578,2,FALSE)</f>
        <v>2837533270.0921087</v>
      </c>
      <c r="AX1098" s="117">
        <f>VLOOKUP($D1098,'WB Data'!$C$3:$M$578,3,FALSE)</f>
        <v>3330037</v>
      </c>
      <c r="AY1098" s="847">
        <f t="shared" si="189"/>
        <v>6.193875965316336E-2</v>
      </c>
      <c r="AZ1098" s="117" t="e">
        <f>VLOOKUP($D1098,'WB Data'!$C$3:$M$578,4,FALSE)/100</f>
        <v>#VALUE!</v>
      </c>
      <c r="BA1098" s="117" t="str">
        <f t="shared" si="190"/>
        <v>..</v>
      </c>
      <c r="BB1098" s="129">
        <f>IFERROR(VLOOKUP($D1098,'EITI Revenues'!$C$2:$G$224,5,FALSE),"..")</f>
        <v>175753291.2240898</v>
      </c>
      <c r="BC1098" s="846" t="str">
        <f t="shared" si="191"/>
        <v>..</v>
      </c>
      <c r="BD1098" s="129">
        <f>VLOOKUP($D1098,'WB Data 2'!$C$2:$K$545,6,FALSE)</f>
        <v>1179950434.3699138</v>
      </c>
      <c r="BE1098" s="129">
        <f>IFERROR(VLOOKUP($D1098,UNCTAD!$C$5:$V$529,4,FALSE),"..")</f>
        <v>1486000000</v>
      </c>
      <c r="BF1098" s="846">
        <f t="shared" si="192"/>
        <v>0.79404470684381823</v>
      </c>
      <c r="BG1098" s="117">
        <f>VLOOKUP($D1098,'WB Data'!$C$3:$M$578,5,FALSE)</f>
        <v>347230000</v>
      </c>
      <c r="BH1098" s="129">
        <f>IFERROR($BB1098/$BG1098,"..")</f>
        <v>0.50615814078302512</v>
      </c>
      <c r="BI1098" s="117" t="str">
        <f>IFERROR(VLOOKUP($D1098,'WB Data'!$C$3:$M$578,7,FALSE)/100,"..")</f>
        <v>..</v>
      </c>
      <c r="BJ1098" s="117" t="str">
        <f>IFERROR($BI1098*$AW1098,"..")</f>
        <v>..</v>
      </c>
      <c r="BK1098" s="846" t="str">
        <f>IFERROR($BB1098/$BJ1098,"..")</f>
        <v>..</v>
      </c>
      <c r="BL1098" s="117" t="str">
        <f>IFERROR(VLOOKUP($D1098,'WB Data'!$C$3:$M$578,7,FALSE)/100,"..")</f>
        <v>..</v>
      </c>
      <c r="BM1098" s="117" t="str">
        <f>IFERROR($AW1098*$BL1098,"..")</f>
        <v>..</v>
      </c>
      <c r="BN1098" s="846" t="str">
        <f>IFERROR($BB1098/$BM1098,"..")</f>
        <v>..</v>
      </c>
      <c r="BO1098" s="801">
        <f t="shared" si="188"/>
        <v>30</v>
      </c>
      <c r="BP1098" s="117" t="str">
        <f>VLOOKUP($D1098,'WB Data'!$C$3:$M$578,9,FALSE)</f>
        <v>..</v>
      </c>
      <c r="BQ1098" s="117">
        <f>VLOOKUP($D1098,'WB Data'!$C$3:$M$578,10,FALSE)</f>
        <v>60.539463414634156</v>
      </c>
      <c r="BR1098" s="117">
        <f>VLOOKUP($D1098,'WB Data'!$C$3:$M$578,11,FALSE)</f>
        <v>73.2</v>
      </c>
      <c r="BS1098" s="129">
        <f>IFERROR(VLOOKUP($D1098,'WB Data 2'!$C$2:$K$545,9,FALSE),"..")</f>
        <v>74.513229999999993</v>
      </c>
      <c r="BT1098" s="129" t="str">
        <f>_xlfn.IFNA(VLOOKUP($C1098,RGI!$A$2:$C$43,2,FALSE),"..")</f>
        <v>..</v>
      </c>
      <c r="BU1098" s="129" t="str">
        <f>_xlfn.IFNA(VLOOKUP($C1098,RGI!$A$2:$C$43,3,FALSE),"..")</f>
        <v>..</v>
      </c>
      <c r="BV1098" s="129">
        <f>VLOOKUP($D1098,WGI!$C$2:$O$478,7,FALSE)</f>
        <v>-0.719411845774661</v>
      </c>
      <c r="BW1098" s="129">
        <f>VLOOKUP($D1098,WGI!$C$2:$O$478,4,FALSE)</f>
        <v>-0.270483202789224</v>
      </c>
      <c r="BX1098" s="129">
        <f>VLOOKUP($D1098,WGI!$C$2:$O$478,3,FALSE)</f>
        <v>-0.861156861425044</v>
      </c>
      <c r="BY1098" s="129">
        <f>VLOOKUP($D1098,WGI!$C$2:$O$478,5,FALSE)</f>
        <v>-0.43931534333615602</v>
      </c>
      <c r="BZ1098" s="129">
        <f>VLOOKUP($D1098,WGI!$C$2:$O$478,2,FALSE)</f>
        <v>-0.50439882982934003</v>
      </c>
    </row>
    <row r="1099" spans="1:80" ht="15" customHeight="1">
      <c r="A1099" s="315" t="s">
        <v>350</v>
      </c>
      <c r="B1099" s="368">
        <v>2007</v>
      </c>
      <c r="C1099" s="817" t="s">
        <v>345</v>
      </c>
      <c r="D1099" s="117" t="s">
        <v>3571</v>
      </c>
      <c r="E1099" s="581" t="s">
        <v>86</v>
      </c>
      <c r="F1099" s="267"/>
      <c r="G1099" s="267" t="s">
        <v>24</v>
      </c>
      <c r="H1099" s="117" t="str">
        <f t="shared" si="183"/>
        <v>yes</v>
      </c>
      <c r="I1099" s="117" t="str">
        <f t="shared" si="180"/>
        <v>no</v>
      </c>
      <c r="J1099" s="117" t="str">
        <f t="shared" si="181"/>
        <v>no</v>
      </c>
      <c r="K1099" s="267" t="s">
        <v>1228</v>
      </c>
      <c r="L1099" s="117" t="str">
        <f t="shared" si="184"/>
        <v>detailed</v>
      </c>
      <c r="M1099" s="117" t="str">
        <f t="shared" si="182"/>
        <v>detailed Mining</v>
      </c>
      <c r="N1099" s="269">
        <v>11817000</v>
      </c>
      <c r="O1099" s="269"/>
      <c r="P1099" s="269"/>
      <c r="Q1099" s="269"/>
      <c r="R1099" s="269"/>
      <c r="S1099" s="267" t="s">
        <v>610</v>
      </c>
      <c r="T1099" s="270">
        <f>122.9875*0.5964</f>
        <v>73.349744999999999</v>
      </c>
      <c r="U1099" s="267" t="s">
        <v>611</v>
      </c>
      <c r="V1099" s="586" t="s">
        <v>1713</v>
      </c>
      <c r="W1099" s="275">
        <f>N1099*T1099</f>
        <v>866773936.66499996</v>
      </c>
      <c r="X1099" s="267"/>
      <c r="Y1099" s="267"/>
      <c r="Z1099" s="267"/>
      <c r="AA1099" s="269"/>
      <c r="AB1099" s="269"/>
      <c r="AC1099" s="369"/>
      <c r="AD1099" s="369"/>
      <c r="AE1099" s="369"/>
      <c r="AF1099" s="273"/>
      <c r="AG1099" s="267"/>
      <c r="AH1099" s="274"/>
      <c r="AI1099" s="267"/>
      <c r="AJ1099" s="267"/>
      <c r="AK1099" s="275"/>
      <c r="AL1099" s="267"/>
      <c r="AM1099" s="267"/>
      <c r="AN1099" s="267"/>
      <c r="AO1099" s="267"/>
      <c r="AP1099" s="267"/>
      <c r="AQ1099" s="267"/>
      <c r="AR1099" s="277"/>
      <c r="AS1099" s="267"/>
      <c r="AT1099" s="267"/>
      <c r="AU1099" s="267"/>
      <c r="AV1099" s="278"/>
      <c r="AW1099" s="117">
        <f>VLOOKUP($D1099,'WB Data'!$C$3:$M$578,2,FALSE)</f>
        <v>2837533270.0921087</v>
      </c>
      <c r="AX1099" s="117">
        <f>VLOOKUP($D1099,'WB Data'!$C$3:$M$578,3,FALSE)</f>
        <v>3330037</v>
      </c>
      <c r="AY1099" s="847">
        <f t="shared" si="189"/>
        <v>6.193875965316336E-2</v>
      </c>
      <c r="AZ1099" s="117" t="e">
        <f>VLOOKUP($D1099,'WB Data'!$C$3:$M$578,4,FALSE)/100</f>
        <v>#VALUE!</v>
      </c>
      <c r="BA1099" s="117" t="str">
        <f t="shared" si="190"/>
        <v>..</v>
      </c>
      <c r="BB1099" s="129">
        <f>IFERROR(VLOOKUP($D1099,'EITI Revenues'!$C$2:$G$224,5,FALSE),"..")</f>
        <v>175753291.2240898</v>
      </c>
      <c r="BC1099" s="846" t="str">
        <f t="shared" si="191"/>
        <v>..</v>
      </c>
      <c r="BD1099" s="129">
        <f>VLOOKUP($D1099,'WB Data 2'!$C$2:$K$545,6,FALSE)</f>
        <v>1179950434.3699138</v>
      </c>
      <c r="BE1099" s="129">
        <f>IFERROR(VLOOKUP($D1099,UNCTAD!$C$5:$V$529,4,FALSE),"..")</f>
        <v>1486000000</v>
      </c>
      <c r="BF1099" s="846">
        <f t="shared" si="192"/>
        <v>0.79404470684381823</v>
      </c>
      <c r="BG1099" s="117">
        <f>VLOOKUP($D1099,'WB Data'!$C$3:$M$578,5,FALSE)</f>
        <v>347230000</v>
      </c>
      <c r="BH1099" s="129">
        <f>IFERROR($BB1099/$BG1099,"..")</f>
        <v>0.50615814078302512</v>
      </c>
      <c r="BI1099" s="117" t="str">
        <f>IFERROR(VLOOKUP($D1099,'WB Data'!$C$3:$M$578,7,FALSE)/100,"..")</f>
        <v>..</v>
      </c>
      <c r="BJ1099" s="117" t="str">
        <f>IFERROR($BI1099*$AW1099,"..")</f>
        <v>..</v>
      </c>
      <c r="BK1099" s="846" t="str">
        <f>IFERROR($BB1099/$BJ1099,"..")</f>
        <v>..</v>
      </c>
      <c r="BL1099" s="117" t="str">
        <f>IFERROR(VLOOKUP($D1099,'WB Data'!$C$3:$M$578,7,FALSE)/100,"..")</f>
        <v>..</v>
      </c>
      <c r="BM1099" s="117" t="str">
        <f>IFERROR($AW1099*$BL1099,"..")</f>
        <v>..</v>
      </c>
      <c r="BN1099" s="846" t="str">
        <f>IFERROR($BB1099/$BM1099,"..")</f>
        <v>..</v>
      </c>
      <c r="BO1099" s="801">
        <f t="shared" si="188"/>
        <v>30</v>
      </c>
      <c r="BP1099" s="117" t="str">
        <f>VLOOKUP($D1099,'WB Data'!$C$3:$M$578,9,FALSE)</f>
        <v>..</v>
      </c>
      <c r="BQ1099" s="117">
        <f>VLOOKUP($D1099,'WB Data'!$C$3:$M$578,10,FALSE)</f>
        <v>60.539463414634156</v>
      </c>
      <c r="BR1099" s="117">
        <f>VLOOKUP($D1099,'WB Data'!$C$3:$M$578,11,FALSE)</f>
        <v>73.2</v>
      </c>
      <c r="BS1099" s="129">
        <f>IFERROR(VLOOKUP($D1099,'WB Data 2'!$C$2:$K$545,9,FALSE),"..")</f>
        <v>74.513229999999993</v>
      </c>
      <c r="BT1099" s="129" t="str">
        <f>_xlfn.IFNA(VLOOKUP($C1099,RGI!$A$2:$C$43,2,FALSE),"..")</f>
        <v>..</v>
      </c>
      <c r="BU1099" s="129" t="str">
        <f>_xlfn.IFNA(VLOOKUP($C1099,RGI!$A$2:$C$43,3,FALSE),"..")</f>
        <v>..</v>
      </c>
      <c r="BV1099" s="129">
        <f>VLOOKUP($D1099,WGI!$C$2:$O$478,7,FALSE)</f>
        <v>-0.719411845774661</v>
      </c>
      <c r="BW1099" s="129">
        <f>VLOOKUP($D1099,WGI!$C$2:$O$478,4,FALSE)</f>
        <v>-0.270483202789224</v>
      </c>
      <c r="BX1099" s="129">
        <f>VLOOKUP($D1099,WGI!$C$2:$O$478,3,FALSE)</f>
        <v>-0.861156861425044</v>
      </c>
      <c r="BY1099" s="129">
        <f>VLOOKUP($D1099,WGI!$C$2:$O$478,5,FALSE)</f>
        <v>-0.43931534333615602</v>
      </c>
      <c r="BZ1099" s="129">
        <f>VLOOKUP($D1099,WGI!$C$2:$O$478,2,FALSE)</f>
        <v>-0.50439882982934003</v>
      </c>
    </row>
    <row r="1100" spans="1:80" s="144" customFormat="1" ht="15" customHeight="1">
      <c r="A1100" s="318" t="s">
        <v>353</v>
      </c>
      <c r="B1100" s="386">
        <v>2008</v>
      </c>
      <c r="C1100" s="819" t="s">
        <v>345</v>
      </c>
      <c r="D1100" s="117" t="s">
        <v>3605</v>
      </c>
      <c r="E1100" s="587" t="s">
        <v>86</v>
      </c>
      <c r="F1100" s="319" t="s">
        <v>1711</v>
      </c>
      <c r="G1100" s="319" t="s">
        <v>41</v>
      </c>
      <c r="H1100" s="117" t="str">
        <f t="shared" si="183"/>
        <v>yes</v>
      </c>
      <c r="I1100" s="117" t="str">
        <f t="shared" si="180"/>
        <v>no</v>
      </c>
      <c r="J1100" s="117" t="str">
        <f t="shared" si="181"/>
        <v>yes</v>
      </c>
      <c r="K1100" s="319" t="s">
        <v>709</v>
      </c>
      <c r="L1100" s="117" t="str">
        <f t="shared" si="184"/>
        <v>Total</v>
      </c>
      <c r="M1100" s="117" t="str">
        <f t="shared" si="182"/>
        <v>Total Oil, Mining</v>
      </c>
      <c r="N1100" s="322"/>
      <c r="O1100" s="322"/>
      <c r="P1100" s="322"/>
      <c r="Q1100" s="322"/>
      <c r="R1100" s="322"/>
      <c r="S1100" s="319"/>
      <c r="T1100" s="323"/>
      <c r="U1100" s="319"/>
      <c r="V1100" s="319"/>
      <c r="W1100" s="324">
        <f>W1101+W1102</f>
        <v>1846849616.6573961</v>
      </c>
      <c r="X1100" s="319" t="s">
        <v>691</v>
      </c>
      <c r="Y1100" s="319" t="s">
        <v>602</v>
      </c>
      <c r="Z1100" s="319"/>
      <c r="AA1100" s="588">
        <v>231365651.58618</v>
      </c>
      <c r="AB1100" s="588">
        <v>234899503.96719909</v>
      </c>
      <c r="AC1100" s="589"/>
      <c r="AD1100" s="589"/>
      <c r="AE1100" s="589"/>
      <c r="AF1100" s="585">
        <f>AA1100/W1100</f>
        <v>0.12527584785431936</v>
      </c>
      <c r="AG1100" s="319"/>
      <c r="AH1100" s="328">
        <v>237.613</v>
      </c>
      <c r="AI1100" s="319" t="s">
        <v>667</v>
      </c>
      <c r="AJ1100" s="319"/>
      <c r="AK1100" s="324"/>
      <c r="AL1100" s="319"/>
      <c r="AM1100" s="319"/>
      <c r="AN1100" s="319"/>
      <c r="AO1100" s="319"/>
      <c r="AP1100" s="319">
        <v>36</v>
      </c>
      <c r="AQ1100" s="319" t="s">
        <v>351</v>
      </c>
      <c r="AR1100" s="329">
        <v>41922</v>
      </c>
      <c r="AS1100" s="319" t="s">
        <v>670</v>
      </c>
      <c r="AT1100" s="319" t="s">
        <v>1718</v>
      </c>
      <c r="AU1100" s="319"/>
      <c r="AV1100" s="330"/>
      <c r="AW1100" s="117">
        <f>VLOOKUP($D1100,'WB Data'!$C$3:$M$578,2,FALSE)</f>
        <v>3585284791.6044822</v>
      </c>
      <c r="AX1100" s="117">
        <f>VLOOKUP($D1100,'WB Data'!$C$3:$M$578,3,FALSE)</f>
        <v>3422901</v>
      </c>
      <c r="AY1100" s="847">
        <f t="shared" si="189"/>
        <v>6.4532014898219428E-2</v>
      </c>
      <c r="AZ1100" s="117" t="e">
        <f>VLOOKUP($D1100,'WB Data'!$C$3:$M$578,4,FALSE)/100</f>
        <v>#VALUE!</v>
      </c>
      <c r="BA1100" s="117" t="str">
        <f t="shared" si="190"/>
        <v>..</v>
      </c>
      <c r="BB1100" s="129">
        <f>IFERROR(VLOOKUP($D1100,'EITI Revenues'!$C$2:$G$224,5,FALSE),"..")</f>
        <v>231365651.58618</v>
      </c>
      <c r="BC1100" s="846" t="str">
        <f t="shared" si="191"/>
        <v>..</v>
      </c>
      <c r="BD1100" s="129">
        <f>VLOOKUP($D1100,'WB Data 2'!$C$2:$K$545,6,FALSE)</f>
        <v>1458904367.7951427</v>
      </c>
      <c r="BE1100" s="129">
        <f>IFERROR(VLOOKUP($D1100,UNCTAD!$C$5:$V$529,4,FALSE),"..")</f>
        <v>1925600000</v>
      </c>
      <c r="BF1100" s="846">
        <f t="shared" si="192"/>
        <v>0.75763625249020705</v>
      </c>
      <c r="BG1100" s="117">
        <f>VLOOKUP($D1100,'WB Data'!$C$3:$M$578,5,FALSE)</f>
        <v>452160000</v>
      </c>
      <c r="BH1100" s="129">
        <f>IFERROR($BB1100/$BG1100,"..")</f>
        <v>0.51168978146271227</v>
      </c>
      <c r="BI1100" s="117">
        <f>IFERROR(VLOOKUP($D1100,'WB Data'!$C$3:$M$578,7,FALSE)/100,"..")</f>
        <v>3.7779300000000002E-2</v>
      </c>
      <c r="BJ1100" s="117">
        <f>IFERROR($BI1100*$AW1100,"..")</f>
        <v>135449549.72746322</v>
      </c>
      <c r="BK1100" s="846">
        <f>IFERROR($BB1100/$BJ1100,"..")</f>
        <v>1.7081315667103263</v>
      </c>
      <c r="BL1100" s="117">
        <f>IFERROR(VLOOKUP($D1100,'WB Data'!$C$3:$M$578,7,FALSE)/100,"..")</f>
        <v>3.7779300000000002E-2</v>
      </c>
      <c r="BM1100" s="117">
        <f>IFERROR($AW1100*$BL1100,"..")</f>
        <v>135449549.72746322</v>
      </c>
      <c r="BN1100" s="846">
        <f>IFERROR($BB1100/$BM1100,"..")</f>
        <v>1.7081315667103263</v>
      </c>
      <c r="BO1100" s="801">
        <f t="shared" si="188"/>
        <v>30</v>
      </c>
      <c r="BP1100" s="117">
        <f>VLOOKUP($D1100,'WB Data'!$C$3:$M$578,9,FALSE)</f>
        <v>42</v>
      </c>
      <c r="BQ1100" s="117">
        <f>VLOOKUP($D1100,'WB Data'!$C$3:$M$578,10,FALSE)</f>
        <v>60.697512195121959</v>
      </c>
      <c r="BR1100" s="117">
        <f>VLOOKUP($D1100,'WB Data'!$C$3:$M$578,11,FALSE)</f>
        <v>72.2</v>
      </c>
      <c r="BS1100" s="129">
        <f>IFERROR(VLOOKUP($D1100,'WB Data 2'!$C$2:$K$545,9,FALSE),"..")</f>
        <v>71.053460000000001</v>
      </c>
      <c r="BT1100" s="129" t="str">
        <f>_xlfn.IFNA(VLOOKUP($C1100,RGI!$A$2:$C$43,2,FALSE),"..")</f>
        <v>..</v>
      </c>
      <c r="BU1100" s="129" t="str">
        <f>_xlfn.IFNA(VLOOKUP($C1100,RGI!$A$2:$C$43,3,FALSE),"..")</f>
        <v>..</v>
      </c>
      <c r="BV1100" s="129">
        <f>VLOOKUP($D1100,WGI!$C$2:$O$478,7,FALSE)</f>
        <v>-0.98639064816681798</v>
      </c>
      <c r="BW1100" s="129">
        <f>VLOOKUP($D1100,WGI!$C$2:$O$478,4,FALSE)</f>
        <v>-0.65123026580045196</v>
      </c>
      <c r="BX1100" s="129">
        <f>VLOOKUP($D1100,WGI!$C$2:$O$478,3,FALSE)</f>
        <v>-0.94728362130687505</v>
      </c>
      <c r="BY1100" s="129">
        <f>VLOOKUP($D1100,WGI!$C$2:$O$478,5,FALSE)</f>
        <v>-0.63391364105046599</v>
      </c>
      <c r="BZ1100" s="129">
        <f>VLOOKUP($D1100,WGI!$C$2:$O$478,2,FALSE)</f>
        <v>-0.72140886317123198</v>
      </c>
      <c r="CB1100" s="129"/>
    </row>
    <row r="1101" spans="1:80" s="120" customFormat="1" ht="15" customHeight="1">
      <c r="A1101" s="315" t="s">
        <v>353</v>
      </c>
      <c r="B1101" s="368">
        <v>2008</v>
      </c>
      <c r="C1101" s="817" t="s">
        <v>345</v>
      </c>
      <c r="D1101" s="117" t="s">
        <v>3605</v>
      </c>
      <c r="E1101" s="581" t="s">
        <v>86</v>
      </c>
      <c r="F1101" s="267"/>
      <c r="G1101" s="267" t="s">
        <v>103</v>
      </c>
      <c r="H1101" s="117" t="str">
        <f t="shared" si="183"/>
        <v>no</v>
      </c>
      <c r="I1101" s="117" t="str">
        <f t="shared" si="180"/>
        <v>no</v>
      </c>
      <c r="J1101" s="117" t="str">
        <f t="shared" si="181"/>
        <v>yes</v>
      </c>
      <c r="K1101" s="267" t="s">
        <v>103</v>
      </c>
      <c r="L1101" s="117" t="str">
        <f t="shared" si="184"/>
        <v>detailed</v>
      </c>
      <c r="M1101" s="117" t="str">
        <f t="shared" si="182"/>
        <v>detailed Oil</v>
      </c>
      <c r="N1101" s="269">
        <v>4672000</v>
      </c>
      <c r="O1101" s="269"/>
      <c r="P1101" s="269"/>
      <c r="Q1101" s="269"/>
      <c r="R1101" s="269"/>
      <c r="S1101" s="267" t="s">
        <v>646</v>
      </c>
      <c r="T1101" s="270">
        <f>98.27*1.0164</f>
        <v>99.881627999999992</v>
      </c>
      <c r="U1101" s="267" t="s">
        <v>673</v>
      </c>
      <c r="V1101" s="267" t="s">
        <v>1714</v>
      </c>
      <c r="W1101" s="275">
        <f>N1101*T1101</f>
        <v>466646966.01599997</v>
      </c>
      <c r="X1101" s="267"/>
      <c r="Y1101" s="267"/>
      <c r="Z1101" s="267"/>
      <c r="AA1101" s="269">
        <v>88748000</v>
      </c>
      <c r="AB1101" s="269">
        <v>88873000</v>
      </c>
      <c r="AC1101" s="369"/>
      <c r="AD1101" s="369"/>
      <c r="AE1101" s="369"/>
      <c r="AF1101" s="585">
        <f>AA1101/W1101</f>
        <v>0.19018231439001168</v>
      </c>
      <c r="AG1101" s="267"/>
      <c r="AH1101" s="274"/>
      <c r="AI1101" s="267"/>
      <c r="AJ1101" s="267"/>
      <c r="AK1101" s="275"/>
      <c r="AL1101" s="267"/>
      <c r="AM1101" s="267"/>
      <c r="AN1101" s="267"/>
      <c r="AO1101" s="267"/>
      <c r="AP1101" s="267"/>
      <c r="AQ1101" s="267"/>
      <c r="AR1101" s="277"/>
      <c r="AS1101" s="267"/>
      <c r="AT1101" s="267"/>
      <c r="AU1101" s="267"/>
      <c r="AV1101" s="278"/>
      <c r="AW1101" s="117">
        <f>VLOOKUP($D1101,'WB Data'!$C$3:$M$578,2,FALSE)</f>
        <v>3585284791.6044822</v>
      </c>
      <c r="AX1101" s="117">
        <f>VLOOKUP($D1101,'WB Data'!$C$3:$M$578,3,FALSE)</f>
        <v>3422901</v>
      </c>
      <c r="AY1101" s="847">
        <f t="shared" si="189"/>
        <v>6.4532014898219428E-2</v>
      </c>
      <c r="AZ1101" s="117" t="e">
        <f>VLOOKUP($D1101,'WB Data'!$C$3:$M$578,4,FALSE)/100</f>
        <v>#VALUE!</v>
      </c>
      <c r="BA1101" s="117" t="str">
        <f t="shared" si="190"/>
        <v>..</v>
      </c>
      <c r="BB1101" s="129">
        <f>IFERROR(VLOOKUP($D1101,'EITI Revenues'!$C$2:$G$224,5,FALSE),"..")</f>
        <v>231365651.58618</v>
      </c>
      <c r="BC1101" s="846" t="str">
        <f t="shared" si="191"/>
        <v>..</v>
      </c>
      <c r="BD1101" s="129">
        <f>VLOOKUP($D1101,'WB Data 2'!$C$2:$K$545,6,FALSE)</f>
        <v>1458904367.7951427</v>
      </c>
      <c r="BE1101" s="129">
        <f>IFERROR(VLOOKUP($D1101,UNCTAD!$C$5:$V$529,4,FALSE),"..")</f>
        <v>1925600000</v>
      </c>
      <c r="BF1101" s="846">
        <f t="shared" si="192"/>
        <v>0.75763625249020705</v>
      </c>
      <c r="BG1101" s="117">
        <f>VLOOKUP($D1101,'WB Data'!$C$3:$M$578,5,FALSE)</f>
        <v>452160000</v>
      </c>
      <c r="BH1101" s="129">
        <f>IFERROR($BB1101/$BG1101,"..")</f>
        <v>0.51168978146271227</v>
      </c>
      <c r="BI1101" s="117">
        <f>IFERROR(VLOOKUP($D1101,'WB Data'!$C$3:$M$578,7,FALSE)/100,"..")</f>
        <v>3.7779300000000002E-2</v>
      </c>
      <c r="BJ1101" s="117">
        <f>IFERROR($BI1101*$AW1101,"..")</f>
        <v>135449549.72746322</v>
      </c>
      <c r="BK1101" s="846">
        <f>IFERROR($BB1101/$BJ1101,"..")</f>
        <v>1.7081315667103263</v>
      </c>
      <c r="BL1101" s="117">
        <f>IFERROR(VLOOKUP($D1101,'WB Data'!$C$3:$M$578,7,FALSE)/100,"..")</f>
        <v>3.7779300000000002E-2</v>
      </c>
      <c r="BM1101" s="117">
        <f>IFERROR($AW1101*$BL1101,"..")</f>
        <v>135449549.72746322</v>
      </c>
      <c r="BN1101" s="846">
        <f>IFERROR($BB1101/$BM1101,"..")</f>
        <v>1.7081315667103263</v>
      </c>
      <c r="BO1101" s="801">
        <f t="shared" si="188"/>
        <v>30</v>
      </c>
      <c r="BP1101" s="117">
        <f>VLOOKUP($D1101,'WB Data'!$C$3:$M$578,9,FALSE)</f>
        <v>42</v>
      </c>
      <c r="BQ1101" s="117">
        <f>VLOOKUP($D1101,'WB Data'!$C$3:$M$578,10,FALSE)</f>
        <v>60.697512195121959</v>
      </c>
      <c r="BR1101" s="117">
        <f>VLOOKUP($D1101,'WB Data'!$C$3:$M$578,11,FALSE)</f>
        <v>72.2</v>
      </c>
      <c r="BS1101" s="129">
        <f>IFERROR(VLOOKUP($D1101,'WB Data 2'!$C$2:$K$545,9,FALSE),"..")</f>
        <v>71.053460000000001</v>
      </c>
      <c r="BT1101" s="129" t="str">
        <f>_xlfn.IFNA(VLOOKUP($C1101,RGI!$A$2:$C$43,2,FALSE),"..")</f>
        <v>..</v>
      </c>
      <c r="BU1101" s="129" t="str">
        <f>_xlfn.IFNA(VLOOKUP($C1101,RGI!$A$2:$C$43,3,FALSE),"..")</f>
        <v>..</v>
      </c>
      <c r="BV1101" s="129">
        <f>VLOOKUP($D1101,WGI!$C$2:$O$478,7,FALSE)</f>
        <v>-0.98639064816681798</v>
      </c>
      <c r="BW1101" s="129">
        <f>VLOOKUP($D1101,WGI!$C$2:$O$478,4,FALSE)</f>
        <v>-0.65123026580045196</v>
      </c>
      <c r="BX1101" s="129">
        <f>VLOOKUP($D1101,WGI!$C$2:$O$478,3,FALSE)</f>
        <v>-0.94728362130687505</v>
      </c>
      <c r="BY1101" s="129">
        <f>VLOOKUP($D1101,WGI!$C$2:$O$478,5,FALSE)</f>
        <v>-0.63391364105046599</v>
      </c>
      <c r="BZ1101" s="129">
        <f>VLOOKUP($D1101,WGI!$C$2:$O$478,2,FALSE)</f>
        <v>-0.72140886317123198</v>
      </c>
      <c r="CB1101" s="129"/>
    </row>
    <row r="1102" spans="1:80" s="120" customFormat="1" ht="15" customHeight="1">
      <c r="A1102" s="315" t="s">
        <v>353</v>
      </c>
      <c r="B1102" s="368">
        <v>2008</v>
      </c>
      <c r="C1102" s="817" t="s">
        <v>345</v>
      </c>
      <c r="D1102" s="117" t="s">
        <v>3605</v>
      </c>
      <c r="E1102" s="581" t="s">
        <v>86</v>
      </c>
      <c r="F1102" s="267"/>
      <c r="G1102" s="267" t="s">
        <v>24</v>
      </c>
      <c r="H1102" s="117" t="str">
        <f t="shared" si="183"/>
        <v>yes</v>
      </c>
      <c r="I1102" s="117" t="str">
        <f t="shared" si="180"/>
        <v>no</v>
      </c>
      <c r="J1102" s="117" t="str">
        <f t="shared" si="181"/>
        <v>no</v>
      </c>
      <c r="K1102" s="267" t="s">
        <v>600</v>
      </c>
      <c r="L1102" s="117" t="str">
        <f t="shared" si="184"/>
        <v>Total</v>
      </c>
      <c r="M1102" s="117" t="str">
        <f t="shared" si="182"/>
        <v>Total Mining</v>
      </c>
      <c r="N1102" s="269"/>
      <c r="O1102" s="269"/>
      <c r="P1102" s="269"/>
      <c r="Q1102" s="269"/>
      <c r="R1102" s="269"/>
      <c r="S1102" s="267"/>
      <c r="T1102" s="270"/>
      <c r="U1102" s="267"/>
      <c r="V1102" s="267"/>
      <c r="W1102" s="275">
        <f>SUM(W1103:W1105)</f>
        <v>1380202650.641396</v>
      </c>
      <c r="X1102" s="267"/>
      <c r="Y1102" s="267"/>
      <c r="Z1102" s="267"/>
      <c r="AA1102" s="269">
        <v>142617651.58618009</v>
      </c>
      <c r="AB1102" s="269">
        <v>146026503.96719909</v>
      </c>
      <c r="AC1102" s="369"/>
      <c r="AD1102" s="369"/>
      <c r="AE1102" s="369"/>
      <c r="AF1102" s="585">
        <f>AA1102/W1102</f>
        <v>0.10333095036435702</v>
      </c>
      <c r="AG1102" s="267"/>
      <c r="AH1102" s="274"/>
      <c r="AI1102" s="267"/>
      <c r="AJ1102" s="267"/>
      <c r="AK1102" s="275"/>
      <c r="AL1102" s="267"/>
      <c r="AM1102" s="267"/>
      <c r="AN1102" s="267"/>
      <c r="AO1102" s="267"/>
      <c r="AP1102" s="267"/>
      <c r="AQ1102" s="267"/>
      <c r="AR1102" s="277"/>
      <c r="AS1102" s="267"/>
      <c r="AT1102" s="267"/>
      <c r="AU1102" s="267"/>
      <c r="AV1102" s="278"/>
      <c r="AW1102" s="117">
        <f>VLOOKUP($D1102,'WB Data'!$C$3:$M$578,2,FALSE)</f>
        <v>3585284791.6044822</v>
      </c>
      <c r="AX1102" s="117">
        <f>VLOOKUP($D1102,'WB Data'!$C$3:$M$578,3,FALSE)</f>
        <v>3422901</v>
      </c>
      <c r="AY1102" s="847">
        <f t="shared" si="189"/>
        <v>6.4532014898219428E-2</v>
      </c>
      <c r="AZ1102" s="117" t="e">
        <f>VLOOKUP($D1102,'WB Data'!$C$3:$M$578,4,FALSE)/100</f>
        <v>#VALUE!</v>
      </c>
      <c r="BA1102" s="117" t="str">
        <f t="shared" si="190"/>
        <v>..</v>
      </c>
      <c r="BB1102" s="129">
        <f>IFERROR(VLOOKUP($D1102,'EITI Revenues'!$C$2:$G$224,5,FALSE),"..")</f>
        <v>231365651.58618</v>
      </c>
      <c r="BC1102" s="846" t="str">
        <f t="shared" si="191"/>
        <v>..</v>
      </c>
      <c r="BD1102" s="129">
        <f>VLOOKUP($D1102,'WB Data 2'!$C$2:$K$545,6,FALSE)</f>
        <v>1458904367.7951427</v>
      </c>
      <c r="BE1102" s="129">
        <f>IFERROR(VLOOKUP($D1102,UNCTAD!$C$5:$V$529,4,FALSE),"..")</f>
        <v>1925600000</v>
      </c>
      <c r="BF1102" s="846">
        <f t="shared" si="192"/>
        <v>0.75763625249020705</v>
      </c>
      <c r="BG1102" s="117">
        <f>VLOOKUP($D1102,'WB Data'!$C$3:$M$578,5,FALSE)</f>
        <v>452160000</v>
      </c>
      <c r="BH1102" s="129">
        <f>IFERROR($BB1102/$BG1102,"..")</f>
        <v>0.51168978146271227</v>
      </c>
      <c r="BI1102" s="117">
        <f>IFERROR(VLOOKUP($D1102,'WB Data'!$C$3:$M$578,7,FALSE)/100,"..")</f>
        <v>3.7779300000000002E-2</v>
      </c>
      <c r="BJ1102" s="117">
        <f>IFERROR($BI1102*$AW1102,"..")</f>
        <v>135449549.72746322</v>
      </c>
      <c r="BK1102" s="846">
        <f>IFERROR($BB1102/$BJ1102,"..")</f>
        <v>1.7081315667103263</v>
      </c>
      <c r="BL1102" s="117">
        <f>IFERROR(VLOOKUP($D1102,'WB Data'!$C$3:$M$578,7,FALSE)/100,"..")</f>
        <v>3.7779300000000002E-2</v>
      </c>
      <c r="BM1102" s="117">
        <f>IFERROR($AW1102*$BL1102,"..")</f>
        <v>135449549.72746322</v>
      </c>
      <c r="BN1102" s="846">
        <f>IFERROR($BB1102/$BM1102,"..")</f>
        <v>1.7081315667103263</v>
      </c>
      <c r="BO1102" s="801">
        <f t="shared" si="188"/>
        <v>30</v>
      </c>
      <c r="BP1102" s="117">
        <f>VLOOKUP($D1102,'WB Data'!$C$3:$M$578,9,FALSE)</f>
        <v>42</v>
      </c>
      <c r="BQ1102" s="117">
        <f>VLOOKUP($D1102,'WB Data'!$C$3:$M$578,10,FALSE)</f>
        <v>60.697512195121959</v>
      </c>
      <c r="BR1102" s="117">
        <f>VLOOKUP($D1102,'WB Data'!$C$3:$M$578,11,FALSE)</f>
        <v>72.2</v>
      </c>
      <c r="BS1102" s="129">
        <f>IFERROR(VLOOKUP($D1102,'WB Data 2'!$C$2:$K$545,9,FALSE),"..")</f>
        <v>71.053460000000001</v>
      </c>
      <c r="BT1102" s="129" t="str">
        <f>_xlfn.IFNA(VLOOKUP($C1102,RGI!$A$2:$C$43,2,FALSE),"..")</f>
        <v>..</v>
      </c>
      <c r="BU1102" s="129" t="str">
        <f>_xlfn.IFNA(VLOOKUP($C1102,RGI!$A$2:$C$43,3,FALSE),"..")</f>
        <v>..</v>
      </c>
      <c r="BV1102" s="129">
        <f>VLOOKUP($D1102,WGI!$C$2:$O$478,7,FALSE)</f>
        <v>-0.98639064816681798</v>
      </c>
      <c r="BW1102" s="129">
        <f>VLOOKUP($D1102,WGI!$C$2:$O$478,4,FALSE)</f>
        <v>-0.65123026580045196</v>
      </c>
      <c r="BX1102" s="129">
        <f>VLOOKUP($D1102,WGI!$C$2:$O$478,3,FALSE)</f>
        <v>-0.94728362130687505</v>
      </c>
      <c r="BY1102" s="129">
        <f>VLOOKUP($D1102,WGI!$C$2:$O$478,5,FALSE)</f>
        <v>-0.63391364105046599</v>
      </c>
      <c r="BZ1102" s="129">
        <f>VLOOKUP($D1102,WGI!$C$2:$O$478,2,FALSE)</f>
        <v>-0.72140886317123198</v>
      </c>
      <c r="CB1102" s="129"/>
    </row>
    <row r="1103" spans="1:80" s="120" customFormat="1" ht="15" customHeight="1">
      <c r="A1103" s="315" t="s">
        <v>353</v>
      </c>
      <c r="B1103" s="368">
        <v>2008</v>
      </c>
      <c r="C1103" s="817" t="s">
        <v>345</v>
      </c>
      <c r="D1103" s="117" t="s">
        <v>3605</v>
      </c>
      <c r="E1103" s="581" t="s">
        <v>86</v>
      </c>
      <c r="F1103" s="267"/>
      <c r="G1103" s="267" t="s">
        <v>24</v>
      </c>
      <c r="H1103" s="117" t="str">
        <f t="shared" si="183"/>
        <v>yes</v>
      </c>
      <c r="I1103" s="117" t="str">
        <f t="shared" si="180"/>
        <v>no</v>
      </c>
      <c r="J1103" s="117" t="str">
        <f t="shared" si="181"/>
        <v>no</v>
      </c>
      <c r="K1103" s="267" t="s">
        <v>1715</v>
      </c>
      <c r="L1103" s="117" t="str">
        <f t="shared" si="184"/>
        <v>detailed</v>
      </c>
      <c r="M1103" s="117" t="str">
        <f t="shared" si="182"/>
        <v>detailed Mining</v>
      </c>
      <c r="N1103" s="269">
        <v>33073</v>
      </c>
      <c r="O1103" s="269"/>
      <c r="P1103" s="269"/>
      <c r="Q1103" s="269"/>
      <c r="R1103" s="269"/>
      <c r="S1103" s="267" t="s">
        <v>610</v>
      </c>
      <c r="T1103" s="349">
        <f>6955.87983333333*0.6815</f>
        <v>4740.4321064166643</v>
      </c>
      <c r="U1103" s="267" t="s">
        <v>611</v>
      </c>
      <c r="V1103" s="586" t="s">
        <v>1719</v>
      </c>
      <c r="W1103" s="275">
        <f>N1103*T1103</f>
        <v>156780311.05551833</v>
      </c>
      <c r="X1103" s="267"/>
      <c r="Y1103" s="267"/>
      <c r="Z1103" s="267"/>
      <c r="AA1103" s="269"/>
      <c r="AB1103" s="269"/>
      <c r="AC1103" s="369"/>
      <c r="AD1103" s="369"/>
      <c r="AE1103" s="369"/>
      <c r="AF1103" s="273"/>
      <c r="AG1103" s="267"/>
      <c r="AH1103" s="274"/>
      <c r="AI1103" s="267"/>
      <c r="AJ1103" s="267"/>
      <c r="AK1103" s="275"/>
      <c r="AL1103" s="267"/>
      <c r="AM1103" s="267"/>
      <c r="AN1103" s="267"/>
      <c r="AO1103" s="267"/>
      <c r="AP1103" s="267"/>
      <c r="AQ1103" s="267"/>
      <c r="AR1103" s="277"/>
      <c r="AS1103" s="267"/>
      <c r="AT1103" s="267"/>
      <c r="AU1103" s="267"/>
      <c r="AV1103" s="278"/>
      <c r="AW1103" s="117">
        <f>VLOOKUP($D1103,'WB Data'!$C$3:$M$578,2,FALSE)</f>
        <v>3585284791.6044822</v>
      </c>
      <c r="AX1103" s="117">
        <f>VLOOKUP($D1103,'WB Data'!$C$3:$M$578,3,FALSE)</f>
        <v>3422901</v>
      </c>
      <c r="AY1103" s="847">
        <f t="shared" si="189"/>
        <v>6.4532014898219428E-2</v>
      </c>
      <c r="AZ1103" s="117" t="e">
        <f>VLOOKUP($D1103,'WB Data'!$C$3:$M$578,4,FALSE)/100</f>
        <v>#VALUE!</v>
      </c>
      <c r="BA1103" s="117" t="str">
        <f t="shared" si="190"/>
        <v>..</v>
      </c>
      <c r="BB1103" s="129">
        <f>IFERROR(VLOOKUP($D1103,'EITI Revenues'!$C$2:$G$224,5,FALSE),"..")</f>
        <v>231365651.58618</v>
      </c>
      <c r="BC1103" s="846" t="str">
        <f t="shared" si="191"/>
        <v>..</v>
      </c>
      <c r="BD1103" s="129">
        <f>VLOOKUP($D1103,'WB Data 2'!$C$2:$K$545,6,FALSE)</f>
        <v>1458904367.7951427</v>
      </c>
      <c r="BE1103" s="129">
        <f>IFERROR(VLOOKUP($D1103,UNCTAD!$C$5:$V$529,4,FALSE),"..")</f>
        <v>1925600000</v>
      </c>
      <c r="BF1103" s="846">
        <f t="shared" si="192"/>
        <v>0.75763625249020705</v>
      </c>
      <c r="BG1103" s="117">
        <f>VLOOKUP($D1103,'WB Data'!$C$3:$M$578,5,FALSE)</f>
        <v>452160000</v>
      </c>
      <c r="BH1103" s="129">
        <f>IFERROR($BB1103/$BG1103,"..")</f>
        <v>0.51168978146271227</v>
      </c>
      <c r="BI1103" s="117">
        <f>IFERROR(VLOOKUP($D1103,'WB Data'!$C$3:$M$578,7,FALSE)/100,"..")</f>
        <v>3.7779300000000002E-2</v>
      </c>
      <c r="BJ1103" s="117">
        <f>IFERROR($BI1103*$AW1103,"..")</f>
        <v>135449549.72746322</v>
      </c>
      <c r="BK1103" s="846">
        <f>IFERROR($BB1103/$BJ1103,"..")</f>
        <v>1.7081315667103263</v>
      </c>
      <c r="BL1103" s="117">
        <f>IFERROR(VLOOKUP($D1103,'WB Data'!$C$3:$M$578,7,FALSE)/100,"..")</f>
        <v>3.7779300000000002E-2</v>
      </c>
      <c r="BM1103" s="117">
        <f>IFERROR($AW1103*$BL1103,"..")</f>
        <v>135449549.72746322</v>
      </c>
      <c r="BN1103" s="846">
        <f>IFERROR($BB1103/$BM1103,"..")</f>
        <v>1.7081315667103263</v>
      </c>
      <c r="BO1103" s="801">
        <f t="shared" si="188"/>
        <v>30</v>
      </c>
      <c r="BP1103" s="117">
        <f>VLOOKUP($D1103,'WB Data'!$C$3:$M$578,9,FALSE)</f>
        <v>42</v>
      </c>
      <c r="BQ1103" s="117">
        <f>VLOOKUP($D1103,'WB Data'!$C$3:$M$578,10,FALSE)</f>
        <v>60.697512195121959</v>
      </c>
      <c r="BR1103" s="117">
        <f>VLOOKUP($D1103,'WB Data'!$C$3:$M$578,11,FALSE)</f>
        <v>72.2</v>
      </c>
      <c r="BS1103" s="129">
        <f>IFERROR(VLOOKUP($D1103,'WB Data 2'!$C$2:$K$545,9,FALSE),"..")</f>
        <v>71.053460000000001</v>
      </c>
      <c r="BT1103" s="129" t="str">
        <f>_xlfn.IFNA(VLOOKUP($C1103,RGI!$A$2:$C$43,2,FALSE),"..")</f>
        <v>..</v>
      </c>
      <c r="BU1103" s="129" t="str">
        <f>_xlfn.IFNA(VLOOKUP($C1103,RGI!$A$2:$C$43,3,FALSE),"..")</f>
        <v>..</v>
      </c>
      <c r="BV1103" s="129">
        <f>VLOOKUP($D1103,WGI!$C$2:$O$478,7,FALSE)</f>
        <v>-0.98639064816681798</v>
      </c>
      <c r="BW1103" s="129">
        <f>VLOOKUP($D1103,WGI!$C$2:$O$478,4,FALSE)</f>
        <v>-0.65123026580045196</v>
      </c>
      <c r="BX1103" s="129">
        <f>VLOOKUP($D1103,WGI!$C$2:$O$478,3,FALSE)</f>
        <v>-0.94728362130687505</v>
      </c>
      <c r="BY1103" s="129">
        <f>VLOOKUP($D1103,WGI!$C$2:$O$478,5,FALSE)</f>
        <v>-0.63391364105046599</v>
      </c>
      <c r="BZ1103" s="129">
        <f>VLOOKUP($D1103,WGI!$C$2:$O$478,2,FALSE)</f>
        <v>-0.72140886317123198</v>
      </c>
      <c r="CB1103" s="129"/>
    </row>
    <row r="1104" spans="1:80" s="120" customFormat="1" ht="15" customHeight="1">
      <c r="A1104" s="315" t="s">
        <v>353</v>
      </c>
      <c r="B1104" s="368">
        <v>2008</v>
      </c>
      <c r="C1104" s="817" t="s">
        <v>345</v>
      </c>
      <c r="D1104" s="117" t="s">
        <v>3605</v>
      </c>
      <c r="E1104" s="581" t="s">
        <v>86</v>
      </c>
      <c r="F1104" s="267"/>
      <c r="G1104" s="267" t="s">
        <v>24</v>
      </c>
      <c r="H1104" s="117" t="str">
        <f t="shared" si="183"/>
        <v>yes</v>
      </c>
      <c r="I1104" s="117" t="str">
        <f t="shared" si="180"/>
        <v>no</v>
      </c>
      <c r="J1104" s="117" t="str">
        <f t="shared" si="181"/>
        <v>no</v>
      </c>
      <c r="K1104" s="267" t="s">
        <v>784</v>
      </c>
      <c r="L1104" s="117" t="str">
        <f t="shared" si="184"/>
        <v>detailed</v>
      </c>
      <c r="M1104" s="117" t="str">
        <f t="shared" si="182"/>
        <v>detailed Mining</v>
      </c>
      <c r="N1104" s="269">
        <f>6254*32.150743126506</f>
        <v>201070.74751316852</v>
      </c>
      <c r="O1104" s="269"/>
      <c r="P1104" s="269"/>
      <c r="Q1104" s="269"/>
      <c r="R1104" s="269"/>
      <c r="S1104" s="267" t="s">
        <v>785</v>
      </c>
      <c r="T1104" s="270">
        <f>871.70725*0.9842</f>
        <v>857.93427544999997</v>
      </c>
      <c r="U1104" s="267" t="s">
        <v>786</v>
      </c>
      <c r="V1104" s="586" t="s">
        <v>1720</v>
      </c>
      <c r="W1104" s="275">
        <f>N1104*T1104</f>
        <v>172505486.08190012</v>
      </c>
      <c r="X1104" s="267"/>
      <c r="Y1104" s="267"/>
      <c r="Z1104" s="267"/>
      <c r="AA1104" s="269"/>
      <c r="AB1104" s="269"/>
      <c r="AC1104" s="369"/>
      <c r="AD1104" s="369"/>
      <c r="AE1104" s="369"/>
      <c r="AF1104" s="273"/>
      <c r="AG1104" s="267"/>
      <c r="AH1104" s="274"/>
      <c r="AI1104" s="267"/>
      <c r="AJ1104" s="267"/>
      <c r="AK1104" s="275"/>
      <c r="AL1104" s="267"/>
      <c r="AM1104" s="267"/>
      <c r="AN1104" s="267"/>
      <c r="AO1104" s="267"/>
      <c r="AP1104" s="267"/>
      <c r="AQ1104" s="267"/>
      <c r="AR1104" s="277"/>
      <c r="AS1104" s="267"/>
      <c r="AT1104" s="267"/>
      <c r="AU1104" s="267"/>
      <c r="AV1104" s="278"/>
      <c r="AW1104" s="117">
        <f>VLOOKUP($D1104,'WB Data'!$C$3:$M$578,2,FALSE)</f>
        <v>3585284791.6044822</v>
      </c>
      <c r="AX1104" s="117">
        <f>VLOOKUP($D1104,'WB Data'!$C$3:$M$578,3,FALSE)</f>
        <v>3422901</v>
      </c>
      <c r="AY1104" s="847">
        <f t="shared" si="189"/>
        <v>6.4532014898219428E-2</v>
      </c>
      <c r="AZ1104" s="117" t="e">
        <f>VLOOKUP($D1104,'WB Data'!$C$3:$M$578,4,FALSE)/100</f>
        <v>#VALUE!</v>
      </c>
      <c r="BA1104" s="117" t="str">
        <f t="shared" si="190"/>
        <v>..</v>
      </c>
      <c r="BB1104" s="129">
        <f>IFERROR(VLOOKUP($D1104,'EITI Revenues'!$C$2:$G$224,5,FALSE),"..")</f>
        <v>231365651.58618</v>
      </c>
      <c r="BC1104" s="846" t="str">
        <f t="shared" si="191"/>
        <v>..</v>
      </c>
      <c r="BD1104" s="129">
        <f>VLOOKUP($D1104,'WB Data 2'!$C$2:$K$545,6,FALSE)</f>
        <v>1458904367.7951427</v>
      </c>
      <c r="BE1104" s="129">
        <f>IFERROR(VLOOKUP($D1104,UNCTAD!$C$5:$V$529,4,FALSE),"..")</f>
        <v>1925600000</v>
      </c>
      <c r="BF1104" s="846">
        <f t="shared" si="192"/>
        <v>0.75763625249020705</v>
      </c>
      <c r="BG1104" s="117">
        <f>VLOOKUP($D1104,'WB Data'!$C$3:$M$578,5,FALSE)</f>
        <v>452160000</v>
      </c>
      <c r="BH1104" s="129">
        <f>IFERROR($BB1104/$BG1104,"..")</f>
        <v>0.51168978146271227</v>
      </c>
      <c r="BI1104" s="117">
        <f>IFERROR(VLOOKUP($D1104,'WB Data'!$C$3:$M$578,7,FALSE)/100,"..")</f>
        <v>3.7779300000000002E-2</v>
      </c>
      <c r="BJ1104" s="117">
        <f>IFERROR($BI1104*$AW1104,"..")</f>
        <v>135449549.72746322</v>
      </c>
      <c r="BK1104" s="846">
        <f>IFERROR($BB1104/$BJ1104,"..")</f>
        <v>1.7081315667103263</v>
      </c>
      <c r="BL1104" s="117">
        <f>IFERROR(VLOOKUP($D1104,'WB Data'!$C$3:$M$578,7,FALSE)/100,"..")</f>
        <v>3.7779300000000002E-2</v>
      </c>
      <c r="BM1104" s="117">
        <f>IFERROR($AW1104*$BL1104,"..")</f>
        <v>135449549.72746322</v>
      </c>
      <c r="BN1104" s="846">
        <f>IFERROR($BB1104/$BM1104,"..")</f>
        <v>1.7081315667103263</v>
      </c>
      <c r="BO1104" s="801">
        <f t="shared" si="188"/>
        <v>30</v>
      </c>
      <c r="BP1104" s="117">
        <f>VLOOKUP($D1104,'WB Data'!$C$3:$M$578,9,FALSE)</f>
        <v>42</v>
      </c>
      <c r="BQ1104" s="117">
        <f>VLOOKUP($D1104,'WB Data'!$C$3:$M$578,10,FALSE)</f>
        <v>60.697512195121959</v>
      </c>
      <c r="BR1104" s="117">
        <f>VLOOKUP($D1104,'WB Data'!$C$3:$M$578,11,FALSE)</f>
        <v>72.2</v>
      </c>
      <c r="BS1104" s="129">
        <f>IFERROR(VLOOKUP($D1104,'WB Data 2'!$C$2:$K$545,9,FALSE),"..")</f>
        <v>71.053460000000001</v>
      </c>
      <c r="BT1104" s="129" t="str">
        <f>_xlfn.IFNA(VLOOKUP($C1104,RGI!$A$2:$C$43,2,FALSE),"..")</f>
        <v>..</v>
      </c>
      <c r="BU1104" s="129" t="str">
        <f>_xlfn.IFNA(VLOOKUP($C1104,RGI!$A$2:$C$43,3,FALSE),"..")</f>
        <v>..</v>
      </c>
      <c r="BV1104" s="129">
        <f>VLOOKUP($D1104,WGI!$C$2:$O$478,7,FALSE)</f>
        <v>-0.98639064816681798</v>
      </c>
      <c r="BW1104" s="129">
        <f>VLOOKUP($D1104,WGI!$C$2:$O$478,4,FALSE)</f>
        <v>-0.65123026580045196</v>
      </c>
      <c r="BX1104" s="129">
        <f>VLOOKUP($D1104,WGI!$C$2:$O$478,3,FALSE)</f>
        <v>-0.94728362130687505</v>
      </c>
      <c r="BY1104" s="129">
        <f>VLOOKUP($D1104,WGI!$C$2:$O$478,5,FALSE)</f>
        <v>-0.63391364105046599</v>
      </c>
      <c r="BZ1104" s="129">
        <f>VLOOKUP($D1104,WGI!$C$2:$O$478,2,FALSE)</f>
        <v>-0.72140886317123198</v>
      </c>
      <c r="CB1104" s="129"/>
    </row>
    <row r="1105" spans="1:80" s="158" customFormat="1" ht="15" customHeight="1">
      <c r="A1105" s="331" t="s">
        <v>353</v>
      </c>
      <c r="B1105" s="370">
        <v>2008</v>
      </c>
      <c r="C1105" s="818" t="s">
        <v>345</v>
      </c>
      <c r="D1105" s="117" t="s">
        <v>3605</v>
      </c>
      <c r="E1105" s="583" t="s">
        <v>86</v>
      </c>
      <c r="F1105" s="253"/>
      <c r="G1105" s="253" t="s">
        <v>24</v>
      </c>
      <c r="H1105" s="149" t="str">
        <f t="shared" si="183"/>
        <v>yes</v>
      </c>
      <c r="I1105" s="149" t="str">
        <f t="shared" si="180"/>
        <v>no</v>
      </c>
      <c r="J1105" s="149" t="str">
        <f t="shared" si="181"/>
        <v>no</v>
      </c>
      <c r="K1105" s="253" t="s">
        <v>1228</v>
      </c>
      <c r="L1105" s="149" t="str">
        <f t="shared" si="184"/>
        <v>detailed</v>
      </c>
      <c r="M1105" s="149" t="str">
        <f t="shared" si="182"/>
        <v>detailed Mining</v>
      </c>
      <c r="N1105" s="255">
        <v>11296000</v>
      </c>
      <c r="O1105" s="255"/>
      <c r="P1105" s="255"/>
      <c r="Q1105" s="255"/>
      <c r="R1105" s="255"/>
      <c r="S1105" s="253" t="s">
        <v>610</v>
      </c>
      <c r="T1105" s="256">
        <f>155.99333333333*0.5964</f>
        <v>93.034423999998026</v>
      </c>
      <c r="U1105" s="253" t="s">
        <v>611</v>
      </c>
      <c r="V1105" s="584" t="s">
        <v>1721</v>
      </c>
      <c r="W1105" s="257">
        <f>N1105*T1105</f>
        <v>1050916853.5039777</v>
      </c>
      <c r="X1105" s="253"/>
      <c r="Y1105" s="253"/>
      <c r="Z1105" s="253"/>
      <c r="AA1105" s="255"/>
      <c r="AB1105" s="255"/>
      <c r="AC1105" s="371"/>
      <c r="AD1105" s="371"/>
      <c r="AE1105" s="371"/>
      <c r="AF1105" s="260"/>
      <c r="AG1105" s="253"/>
      <c r="AH1105" s="261"/>
      <c r="AI1105" s="253"/>
      <c r="AJ1105" s="253"/>
      <c r="AK1105" s="257"/>
      <c r="AL1105" s="253"/>
      <c r="AM1105" s="253"/>
      <c r="AN1105" s="253"/>
      <c r="AO1105" s="253"/>
      <c r="AP1105" s="253"/>
      <c r="AQ1105" s="253"/>
      <c r="AR1105" s="263"/>
      <c r="AS1105" s="253"/>
      <c r="AT1105" s="253"/>
      <c r="AU1105" s="253"/>
      <c r="AV1105" s="265"/>
      <c r="AW1105" s="117">
        <f>VLOOKUP($D1105,'WB Data'!$C$3:$M$578,2,FALSE)</f>
        <v>3585284791.6044822</v>
      </c>
      <c r="AX1105" s="117">
        <f>VLOOKUP($D1105,'WB Data'!$C$3:$M$578,3,FALSE)</f>
        <v>3422901</v>
      </c>
      <c r="AY1105" s="847">
        <f t="shared" si="189"/>
        <v>6.4532014898219428E-2</v>
      </c>
      <c r="AZ1105" s="117" t="e">
        <f>VLOOKUP($D1105,'WB Data'!$C$3:$M$578,4,FALSE)/100</f>
        <v>#VALUE!</v>
      </c>
      <c r="BA1105" s="117" t="str">
        <f t="shared" si="190"/>
        <v>..</v>
      </c>
      <c r="BB1105" s="129">
        <f>IFERROR(VLOOKUP($D1105,'EITI Revenues'!$C$2:$G$224,5,FALSE),"..")</f>
        <v>231365651.58618</v>
      </c>
      <c r="BC1105" s="846" t="str">
        <f t="shared" si="191"/>
        <v>..</v>
      </c>
      <c r="BD1105" s="129">
        <f>VLOOKUP($D1105,'WB Data 2'!$C$2:$K$545,6,FALSE)</f>
        <v>1458904367.7951427</v>
      </c>
      <c r="BE1105" s="129">
        <f>IFERROR(VLOOKUP($D1105,UNCTAD!$C$5:$V$529,4,FALSE),"..")</f>
        <v>1925600000</v>
      </c>
      <c r="BF1105" s="846">
        <f t="shared" si="192"/>
        <v>0.75763625249020705</v>
      </c>
      <c r="BG1105" s="117">
        <f>VLOOKUP($D1105,'WB Data'!$C$3:$M$578,5,FALSE)</f>
        <v>452160000</v>
      </c>
      <c r="BH1105" s="129">
        <f>IFERROR($BB1105/$BG1105,"..")</f>
        <v>0.51168978146271227</v>
      </c>
      <c r="BI1105" s="117">
        <f>IFERROR(VLOOKUP($D1105,'WB Data'!$C$3:$M$578,7,FALSE)/100,"..")</f>
        <v>3.7779300000000002E-2</v>
      </c>
      <c r="BJ1105" s="117">
        <f>IFERROR($BI1105*$AW1105,"..")</f>
        <v>135449549.72746322</v>
      </c>
      <c r="BK1105" s="846">
        <f>IFERROR($BB1105/$BJ1105,"..")</f>
        <v>1.7081315667103263</v>
      </c>
      <c r="BL1105" s="117">
        <f>IFERROR(VLOOKUP($D1105,'WB Data'!$C$3:$M$578,7,FALSE)/100,"..")</f>
        <v>3.7779300000000002E-2</v>
      </c>
      <c r="BM1105" s="117">
        <f>IFERROR($AW1105*$BL1105,"..")</f>
        <v>135449549.72746322</v>
      </c>
      <c r="BN1105" s="846">
        <f>IFERROR($BB1105/$BM1105,"..")</f>
        <v>1.7081315667103263</v>
      </c>
      <c r="BO1105" s="801">
        <f t="shared" si="188"/>
        <v>30</v>
      </c>
      <c r="BP1105" s="117">
        <f>VLOOKUP($D1105,'WB Data'!$C$3:$M$578,9,FALSE)</f>
        <v>42</v>
      </c>
      <c r="BQ1105" s="117">
        <f>VLOOKUP($D1105,'WB Data'!$C$3:$M$578,10,FALSE)</f>
        <v>60.697512195121959</v>
      </c>
      <c r="BR1105" s="117">
        <f>VLOOKUP($D1105,'WB Data'!$C$3:$M$578,11,FALSE)</f>
        <v>72.2</v>
      </c>
      <c r="BS1105" s="129">
        <f>IFERROR(VLOOKUP($D1105,'WB Data 2'!$C$2:$K$545,9,FALSE),"..")</f>
        <v>71.053460000000001</v>
      </c>
      <c r="BT1105" s="129" t="str">
        <f>_xlfn.IFNA(VLOOKUP($C1105,RGI!$A$2:$C$43,2,FALSE),"..")</f>
        <v>..</v>
      </c>
      <c r="BU1105" s="129" t="str">
        <f>_xlfn.IFNA(VLOOKUP($C1105,RGI!$A$2:$C$43,3,FALSE),"..")</f>
        <v>..</v>
      </c>
      <c r="BV1105" s="129">
        <f>VLOOKUP($D1105,WGI!$C$2:$O$478,7,FALSE)</f>
        <v>-0.98639064816681798</v>
      </c>
      <c r="BW1105" s="129">
        <f>VLOOKUP($D1105,WGI!$C$2:$O$478,4,FALSE)</f>
        <v>-0.65123026580045196</v>
      </c>
      <c r="BX1105" s="129">
        <f>VLOOKUP($D1105,WGI!$C$2:$O$478,3,FALSE)</f>
        <v>-0.94728362130687505</v>
      </c>
      <c r="BY1105" s="129">
        <f>VLOOKUP($D1105,WGI!$C$2:$O$478,5,FALSE)</f>
        <v>-0.63391364105046599</v>
      </c>
      <c r="BZ1105" s="129">
        <f>VLOOKUP($D1105,WGI!$C$2:$O$478,2,FALSE)</f>
        <v>-0.72140886317123198</v>
      </c>
      <c r="CB1105" s="129"/>
    </row>
    <row r="1106" spans="1:80" ht="15" customHeight="1">
      <c r="A1106" s="294" t="s">
        <v>354</v>
      </c>
      <c r="B1106" s="214">
        <v>2009</v>
      </c>
      <c r="C1106" s="809" t="s">
        <v>345</v>
      </c>
      <c r="D1106" s="117" t="s">
        <v>3639</v>
      </c>
      <c r="E1106" s="452" t="s">
        <v>86</v>
      </c>
      <c r="F1106" s="117" t="s">
        <v>1711</v>
      </c>
      <c r="G1106" s="117" t="s">
        <v>41</v>
      </c>
      <c r="H1106" s="117" t="str">
        <f t="shared" si="183"/>
        <v>yes</v>
      </c>
      <c r="I1106" s="117" t="str">
        <f t="shared" si="180"/>
        <v>no</v>
      </c>
      <c r="J1106" s="117" t="str">
        <f t="shared" si="181"/>
        <v>yes</v>
      </c>
      <c r="K1106" s="117" t="s">
        <v>709</v>
      </c>
      <c r="L1106" s="117" t="str">
        <f t="shared" si="184"/>
        <v>Total</v>
      </c>
      <c r="M1106" s="117" t="str">
        <f t="shared" si="182"/>
        <v>Total Oil, Mining</v>
      </c>
      <c r="N1106" s="179"/>
      <c r="O1106" s="179"/>
      <c r="P1106" s="179"/>
      <c r="Q1106" s="179"/>
      <c r="R1106" s="179"/>
      <c r="S1106" s="117"/>
      <c r="T1106" s="119"/>
      <c r="U1106" s="117"/>
      <c r="V1106" s="117"/>
      <c r="W1106" s="89">
        <f>W1107+W1108</f>
        <v>1129676475.1075835</v>
      </c>
      <c r="X1106" s="117" t="s">
        <v>775</v>
      </c>
      <c r="Y1106" s="117" t="s">
        <v>663</v>
      </c>
      <c r="Z1106" s="117" t="s">
        <v>664</v>
      </c>
      <c r="AA1106" s="159">
        <v>191165715.06295663</v>
      </c>
      <c r="AB1106" s="159">
        <v>195416882.63640603</v>
      </c>
      <c r="AC1106" s="122"/>
      <c r="AD1106" s="122"/>
      <c r="AE1106" s="122"/>
      <c r="AF1106" s="123">
        <f>AA1106/W1106</f>
        <v>0.1692216482110519</v>
      </c>
      <c r="AG1106" s="117" t="s">
        <v>1722</v>
      </c>
      <c r="AH1106" s="124">
        <v>257.32</v>
      </c>
      <c r="AI1106" s="117" t="s">
        <v>667</v>
      </c>
      <c r="AJ1106" s="117"/>
      <c r="AK1106" s="89">
        <f>26032000+14727000+8346000</f>
        <v>49105000</v>
      </c>
      <c r="AL1106" s="117"/>
      <c r="AM1106" s="89"/>
      <c r="AN1106" s="117">
        <v>53</v>
      </c>
      <c r="AO1106" s="117" t="s">
        <v>1723</v>
      </c>
      <c r="AP1106" s="117">
        <v>36</v>
      </c>
      <c r="AQ1106" s="117" t="s">
        <v>355</v>
      </c>
      <c r="AR1106" s="126">
        <v>41956</v>
      </c>
      <c r="AS1106" s="117" t="s">
        <v>670</v>
      </c>
      <c r="AT1106" s="127" t="s">
        <v>356</v>
      </c>
      <c r="AU1106" s="117" t="s">
        <v>1318</v>
      </c>
      <c r="AV1106" s="128" t="s">
        <v>1724</v>
      </c>
      <c r="AW1106" s="117">
        <f>VLOOKUP($D1106,'WB Data'!$C$3:$M$578,2,FALSE)</f>
        <v>3027020496.1927204</v>
      </c>
      <c r="AX1106" s="117">
        <f>VLOOKUP($D1106,'WB Data'!$C$3:$M$578,3,FALSE)</f>
        <v>3516077</v>
      </c>
      <c r="AY1106" s="847">
        <f t="shared" si="189"/>
        <v>6.3153095693735187E-2</v>
      </c>
      <c r="AZ1106" s="117" t="e">
        <f>VLOOKUP($D1106,'WB Data'!$C$3:$M$578,4,FALSE)/100</f>
        <v>#VALUE!</v>
      </c>
      <c r="BA1106" s="117" t="str">
        <f t="shared" si="190"/>
        <v>..</v>
      </c>
      <c r="BB1106" s="129">
        <f>IFERROR(VLOOKUP($D1106,'EITI Revenues'!$C$2:$G$224,5,FALSE),"..")</f>
        <v>191165715.06295663</v>
      </c>
      <c r="BC1106" s="846" t="str">
        <f t="shared" si="191"/>
        <v>..</v>
      </c>
      <c r="BD1106" s="129" t="str">
        <f>VLOOKUP($D1106,'WB Data 2'!$C$2:$K$545,6,FALSE)</f>
        <v>..</v>
      </c>
      <c r="BE1106" s="129">
        <f>IFERROR(VLOOKUP($D1106,UNCTAD!$C$5:$V$529,4,FALSE),"..")</f>
        <v>1528800000</v>
      </c>
      <c r="BF1106" s="846" t="str">
        <f t="shared" si="192"/>
        <v>..</v>
      </c>
      <c r="BG1106" s="117">
        <f>VLOOKUP($D1106,'WB Data'!$C$3:$M$578,5,FALSE)</f>
        <v>373470000</v>
      </c>
      <c r="BH1106" s="129">
        <f>IFERROR($BB1106/$BG1106,"..")</f>
        <v>0.51186364383473004</v>
      </c>
      <c r="BI1106" s="117" t="str">
        <f>IFERROR(VLOOKUP($D1106,'WB Data'!$C$3:$M$578,7,FALSE)/100,"..")</f>
        <v>..</v>
      </c>
      <c r="BJ1106" s="117" t="str">
        <f>IFERROR($BI1106*$AW1106,"..")</f>
        <v>..</v>
      </c>
      <c r="BK1106" s="846" t="str">
        <f>IFERROR($BB1106/$BJ1106,"..")</f>
        <v>..</v>
      </c>
      <c r="BL1106" s="117" t="str">
        <f>IFERROR(VLOOKUP($D1106,'WB Data'!$C$3:$M$578,7,FALSE)/100,"..")</f>
        <v>..</v>
      </c>
      <c r="BM1106" s="117" t="str">
        <f>IFERROR($AW1106*$BL1106,"..")</f>
        <v>..</v>
      </c>
      <c r="BN1106" s="846" t="str">
        <f>IFERROR($BB1106/$BM1106,"..")</f>
        <v>..</v>
      </c>
      <c r="BO1106" s="801">
        <f t="shared" si="188"/>
        <v>30</v>
      </c>
      <c r="BP1106" s="117" t="str">
        <f>VLOOKUP($D1106,'WB Data'!$C$3:$M$578,9,FALSE)</f>
        <v>..</v>
      </c>
      <c r="BQ1106" s="117">
        <f>VLOOKUP($D1106,'WB Data'!$C$3:$M$578,10,FALSE)</f>
        <v>60.859439024390255</v>
      </c>
      <c r="BR1106" s="117">
        <f>VLOOKUP($D1106,'WB Data'!$C$3:$M$578,11,FALSE)</f>
        <v>71.2</v>
      </c>
      <c r="BS1106" s="129">
        <f>IFERROR(VLOOKUP($D1106,'WB Data 2'!$C$2:$K$545,9,FALSE),"..")</f>
        <v>70.378680000000003</v>
      </c>
      <c r="BT1106" s="129" t="str">
        <f>_xlfn.IFNA(VLOOKUP($C1106,RGI!$A$2:$C$43,2,FALSE),"..")</f>
        <v>..</v>
      </c>
      <c r="BU1106" s="129" t="str">
        <f>_xlfn.IFNA(VLOOKUP($C1106,RGI!$A$2:$C$43,3,FALSE),"..")</f>
        <v>..</v>
      </c>
      <c r="BV1106" s="129">
        <f>VLOOKUP($D1106,WGI!$C$2:$O$478,7,FALSE)</f>
        <v>-0.96510899804188</v>
      </c>
      <c r="BW1106" s="129">
        <f>VLOOKUP($D1106,WGI!$C$2:$O$478,4,FALSE)</f>
        <v>-0.87760725614009405</v>
      </c>
      <c r="BX1106" s="129">
        <f>VLOOKUP($D1106,WGI!$C$2:$O$478,3,FALSE)</f>
        <v>-0.88259362281677101</v>
      </c>
      <c r="BY1106" s="129">
        <f>VLOOKUP($D1106,WGI!$C$2:$O$478,5,FALSE)</f>
        <v>-0.67142483965750099</v>
      </c>
      <c r="BZ1106" s="129">
        <f>VLOOKUP($D1106,WGI!$C$2:$O$478,2,FALSE)</f>
        <v>-0.55606124657203904</v>
      </c>
    </row>
    <row r="1107" spans="1:80" ht="15" customHeight="1">
      <c r="A1107" s="294" t="s">
        <v>354</v>
      </c>
      <c r="B1107" s="214">
        <v>2009</v>
      </c>
      <c r="C1107" s="809" t="s">
        <v>345</v>
      </c>
      <c r="D1107" s="117" t="s">
        <v>3639</v>
      </c>
      <c r="E1107" s="452" t="s">
        <v>86</v>
      </c>
      <c r="F1107" s="117"/>
      <c r="G1107" s="117" t="s">
        <v>103</v>
      </c>
      <c r="H1107" s="117" t="str">
        <f t="shared" si="183"/>
        <v>no</v>
      </c>
      <c r="I1107" s="117" t="str">
        <f t="shared" si="180"/>
        <v>no</v>
      </c>
      <c r="J1107" s="117" t="str">
        <f t="shared" si="181"/>
        <v>yes</v>
      </c>
      <c r="K1107" s="117" t="s">
        <v>103</v>
      </c>
      <c r="L1107" s="117" t="str">
        <f t="shared" si="184"/>
        <v>detailed</v>
      </c>
      <c r="M1107" s="117" t="str">
        <f t="shared" si="182"/>
        <v>detailed Oil</v>
      </c>
      <c r="N1107" s="179">
        <v>4088000</v>
      </c>
      <c r="O1107" s="179"/>
      <c r="P1107" s="179"/>
      <c r="Q1107" s="179"/>
      <c r="R1107" s="179"/>
      <c r="S1107" s="117" t="s">
        <v>646</v>
      </c>
      <c r="T1107" s="119">
        <f>62.08273385*1.0164</f>
        <v>63.100890685139994</v>
      </c>
      <c r="U1107" s="117" t="s">
        <v>673</v>
      </c>
      <c r="V1107" s="117" t="s">
        <v>1714</v>
      </c>
      <c r="W1107" s="89">
        <f>N1107*T1107</f>
        <v>257956441.12085229</v>
      </c>
      <c r="X1107" s="117"/>
      <c r="Y1107" s="117"/>
      <c r="Z1107" s="117"/>
      <c r="AA1107" s="177">
        <v>62365000</v>
      </c>
      <c r="AB1107" s="177">
        <v>62182000</v>
      </c>
      <c r="AC1107" s="122"/>
      <c r="AD1107" s="122"/>
      <c r="AE1107" s="122"/>
      <c r="AF1107" s="123">
        <f>AA1107/W1107</f>
        <v>0.24176562418451908</v>
      </c>
      <c r="AG1107" s="117"/>
      <c r="AH1107" s="124"/>
      <c r="AI1107" s="117"/>
      <c r="AJ1107" s="117"/>
      <c r="AK1107" s="89"/>
      <c r="AL1107" s="117"/>
      <c r="AM1107" s="117"/>
      <c r="AN1107" s="117"/>
      <c r="AO1107" s="117"/>
      <c r="AP1107" s="117"/>
      <c r="AQ1107" s="117"/>
      <c r="AR1107" s="126"/>
      <c r="AS1107" s="117"/>
      <c r="AT1107" s="117"/>
      <c r="AU1107" s="117"/>
      <c r="AV1107" s="128"/>
      <c r="AW1107" s="117">
        <f>VLOOKUP($D1107,'WB Data'!$C$3:$M$578,2,FALSE)</f>
        <v>3027020496.1927204</v>
      </c>
      <c r="AX1107" s="117">
        <f>VLOOKUP($D1107,'WB Data'!$C$3:$M$578,3,FALSE)</f>
        <v>3516077</v>
      </c>
      <c r="AY1107" s="847">
        <f t="shared" si="189"/>
        <v>6.3153095693735187E-2</v>
      </c>
      <c r="AZ1107" s="117" t="e">
        <f>VLOOKUP($D1107,'WB Data'!$C$3:$M$578,4,FALSE)/100</f>
        <v>#VALUE!</v>
      </c>
      <c r="BA1107" s="117" t="str">
        <f t="shared" si="190"/>
        <v>..</v>
      </c>
      <c r="BB1107" s="129">
        <f>IFERROR(VLOOKUP($D1107,'EITI Revenues'!$C$2:$G$224,5,FALSE),"..")</f>
        <v>191165715.06295663</v>
      </c>
      <c r="BC1107" s="846" t="str">
        <f t="shared" si="191"/>
        <v>..</v>
      </c>
      <c r="BD1107" s="129" t="str">
        <f>VLOOKUP($D1107,'WB Data 2'!$C$2:$K$545,6,FALSE)</f>
        <v>..</v>
      </c>
      <c r="BE1107" s="129">
        <f>IFERROR(VLOOKUP($D1107,UNCTAD!$C$5:$V$529,4,FALSE),"..")</f>
        <v>1528800000</v>
      </c>
      <c r="BF1107" s="846" t="str">
        <f t="shared" si="192"/>
        <v>..</v>
      </c>
      <c r="BG1107" s="117">
        <f>VLOOKUP($D1107,'WB Data'!$C$3:$M$578,5,FALSE)</f>
        <v>373470000</v>
      </c>
      <c r="BH1107" s="129">
        <f>IFERROR($BB1107/$BG1107,"..")</f>
        <v>0.51186364383473004</v>
      </c>
      <c r="BI1107" s="117" t="str">
        <f>IFERROR(VLOOKUP($D1107,'WB Data'!$C$3:$M$578,7,FALSE)/100,"..")</f>
        <v>..</v>
      </c>
      <c r="BJ1107" s="117" t="str">
        <f>IFERROR($BI1107*$AW1107,"..")</f>
        <v>..</v>
      </c>
      <c r="BK1107" s="846" t="str">
        <f>IFERROR($BB1107/$BJ1107,"..")</f>
        <v>..</v>
      </c>
      <c r="BL1107" s="117" t="str">
        <f>IFERROR(VLOOKUP($D1107,'WB Data'!$C$3:$M$578,7,FALSE)/100,"..")</f>
        <v>..</v>
      </c>
      <c r="BM1107" s="117" t="str">
        <f>IFERROR($AW1107*$BL1107,"..")</f>
        <v>..</v>
      </c>
      <c r="BN1107" s="846" t="str">
        <f>IFERROR($BB1107/$BM1107,"..")</f>
        <v>..</v>
      </c>
      <c r="BO1107" s="801">
        <f t="shared" si="188"/>
        <v>30</v>
      </c>
      <c r="BP1107" s="117" t="str">
        <f>VLOOKUP($D1107,'WB Data'!$C$3:$M$578,9,FALSE)</f>
        <v>..</v>
      </c>
      <c r="BQ1107" s="117">
        <f>VLOOKUP($D1107,'WB Data'!$C$3:$M$578,10,FALSE)</f>
        <v>60.859439024390255</v>
      </c>
      <c r="BR1107" s="117">
        <f>VLOOKUP($D1107,'WB Data'!$C$3:$M$578,11,FALSE)</f>
        <v>71.2</v>
      </c>
      <c r="BS1107" s="129">
        <f>IFERROR(VLOOKUP($D1107,'WB Data 2'!$C$2:$K$545,9,FALSE),"..")</f>
        <v>70.378680000000003</v>
      </c>
      <c r="BT1107" s="129" t="str">
        <f>_xlfn.IFNA(VLOOKUP($C1107,RGI!$A$2:$C$43,2,FALSE),"..")</f>
        <v>..</v>
      </c>
      <c r="BU1107" s="129" t="str">
        <f>_xlfn.IFNA(VLOOKUP($C1107,RGI!$A$2:$C$43,3,FALSE),"..")</f>
        <v>..</v>
      </c>
      <c r="BV1107" s="129">
        <f>VLOOKUP($D1107,WGI!$C$2:$O$478,7,FALSE)</f>
        <v>-0.96510899804188</v>
      </c>
      <c r="BW1107" s="129">
        <f>VLOOKUP($D1107,WGI!$C$2:$O$478,4,FALSE)</f>
        <v>-0.87760725614009405</v>
      </c>
      <c r="BX1107" s="129">
        <f>VLOOKUP($D1107,WGI!$C$2:$O$478,3,FALSE)</f>
        <v>-0.88259362281677101</v>
      </c>
      <c r="BY1107" s="129">
        <f>VLOOKUP($D1107,WGI!$C$2:$O$478,5,FALSE)</f>
        <v>-0.67142483965750099</v>
      </c>
      <c r="BZ1107" s="129">
        <f>VLOOKUP($D1107,WGI!$C$2:$O$478,2,FALSE)</f>
        <v>-0.55606124657203904</v>
      </c>
    </row>
    <row r="1108" spans="1:80" ht="15" customHeight="1">
      <c r="A1108" s="294" t="s">
        <v>354</v>
      </c>
      <c r="B1108" s="214">
        <v>2009</v>
      </c>
      <c r="C1108" s="809" t="s">
        <v>345</v>
      </c>
      <c r="D1108" s="117" t="s">
        <v>3639</v>
      </c>
      <c r="E1108" s="452" t="s">
        <v>86</v>
      </c>
      <c r="F1108" s="117"/>
      <c r="G1108" s="117" t="s">
        <v>24</v>
      </c>
      <c r="H1108" s="117" t="str">
        <f t="shared" si="183"/>
        <v>yes</v>
      </c>
      <c r="I1108" s="117" t="str">
        <f t="shared" si="180"/>
        <v>no</v>
      </c>
      <c r="J1108" s="117" t="str">
        <f t="shared" si="181"/>
        <v>no</v>
      </c>
      <c r="K1108" s="117" t="s">
        <v>600</v>
      </c>
      <c r="L1108" s="117" t="str">
        <f t="shared" si="184"/>
        <v>Total</v>
      </c>
      <c r="M1108" s="117" t="str">
        <f t="shared" si="182"/>
        <v>Total Mining</v>
      </c>
      <c r="N1108" s="179"/>
      <c r="O1108" s="179"/>
      <c r="P1108" s="179"/>
      <c r="Q1108" s="179"/>
      <c r="R1108" s="179"/>
      <c r="S1108" s="117"/>
      <c r="T1108" s="119"/>
      <c r="U1108" s="117"/>
      <c r="V1108" s="117"/>
      <c r="W1108" s="89">
        <f>SUM(W1109:W1111)</f>
        <v>871720033.98673129</v>
      </c>
      <c r="X1108" s="117"/>
      <c r="Y1108" s="117"/>
      <c r="Z1108" s="117"/>
      <c r="AA1108" s="177">
        <v>128800715.06295663</v>
      </c>
      <c r="AB1108" s="177">
        <v>133234882.63640603</v>
      </c>
      <c r="AC1108" s="122"/>
      <c r="AD1108" s="122"/>
      <c r="AE1108" s="122"/>
      <c r="AF1108" s="123">
        <f>AA1108/W1108</f>
        <v>0.14775468044929335</v>
      </c>
      <c r="AG1108" s="117"/>
      <c r="AH1108" s="124"/>
      <c r="AI1108" s="117"/>
      <c r="AJ1108" s="117"/>
      <c r="AK1108" s="89"/>
      <c r="AL1108" s="117"/>
      <c r="AM1108" s="117"/>
      <c r="AN1108" s="117"/>
      <c r="AO1108" s="117"/>
      <c r="AP1108" s="117"/>
      <c r="AQ1108" s="117"/>
      <c r="AR1108" s="126"/>
      <c r="AS1108" s="117"/>
      <c r="AT1108" s="117"/>
      <c r="AU1108" s="117"/>
      <c r="AV1108" s="128"/>
      <c r="AW1108" s="117">
        <f>VLOOKUP($D1108,'WB Data'!$C$3:$M$578,2,FALSE)</f>
        <v>3027020496.1927204</v>
      </c>
      <c r="AX1108" s="117">
        <f>VLOOKUP($D1108,'WB Data'!$C$3:$M$578,3,FALSE)</f>
        <v>3516077</v>
      </c>
      <c r="AY1108" s="847">
        <f t="shared" si="189"/>
        <v>6.3153095693735187E-2</v>
      </c>
      <c r="AZ1108" s="117" t="e">
        <f>VLOOKUP($D1108,'WB Data'!$C$3:$M$578,4,FALSE)/100</f>
        <v>#VALUE!</v>
      </c>
      <c r="BA1108" s="117" t="str">
        <f t="shared" si="190"/>
        <v>..</v>
      </c>
      <c r="BB1108" s="129">
        <f>IFERROR(VLOOKUP($D1108,'EITI Revenues'!$C$2:$G$224,5,FALSE),"..")</f>
        <v>191165715.06295663</v>
      </c>
      <c r="BC1108" s="846" t="str">
        <f t="shared" si="191"/>
        <v>..</v>
      </c>
      <c r="BD1108" s="129" t="str">
        <f>VLOOKUP($D1108,'WB Data 2'!$C$2:$K$545,6,FALSE)</f>
        <v>..</v>
      </c>
      <c r="BE1108" s="129">
        <f>IFERROR(VLOOKUP($D1108,UNCTAD!$C$5:$V$529,4,FALSE),"..")</f>
        <v>1528800000</v>
      </c>
      <c r="BF1108" s="846" t="str">
        <f t="shared" si="192"/>
        <v>..</v>
      </c>
      <c r="BG1108" s="117">
        <f>VLOOKUP($D1108,'WB Data'!$C$3:$M$578,5,FALSE)</f>
        <v>373470000</v>
      </c>
      <c r="BH1108" s="129">
        <f>IFERROR($BB1108/$BG1108,"..")</f>
        <v>0.51186364383473004</v>
      </c>
      <c r="BI1108" s="117" t="str">
        <f>IFERROR(VLOOKUP($D1108,'WB Data'!$C$3:$M$578,7,FALSE)/100,"..")</f>
        <v>..</v>
      </c>
      <c r="BJ1108" s="117" t="str">
        <f>IFERROR($BI1108*$AW1108,"..")</f>
        <v>..</v>
      </c>
      <c r="BK1108" s="846" t="str">
        <f>IFERROR($BB1108/$BJ1108,"..")</f>
        <v>..</v>
      </c>
      <c r="BL1108" s="117" t="str">
        <f>IFERROR(VLOOKUP($D1108,'WB Data'!$C$3:$M$578,7,FALSE)/100,"..")</f>
        <v>..</v>
      </c>
      <c r="BM1108" s="117" t="str">
        <f>IFERROR($AW1108*$BL1108,"..")</f>
        <v>..</v>
      </c>
      <c r="BN1108" s="846" t="str">
        <f>IFERROR($BB1108/$BM1108,"..")</f>
        <v>..</v>
      </c>
      <c r="BO1108" s="801">
        <f t="shared" si="188"/>
        <v>30</v>
      </c>
      <c r="BP1108" s="117" t="str">
        <f>VLOOKUP($D1108,'WB Data'!$C$3:$M$578,9,FALSE)</f>
        <v>..</v>
      </c>
      <c r="BQ1108" s="117">
        <f>VLOOKUP($D1108,'WB Data'!$C$3:$M$578,10,FALSE)</f>
        <v>60.859439024390255</v>
      </c>
      <c r="BR1108" s="117">
        <f>VLOOKUP($D1108,'WB Data'!$C$3:$M$578,11,FALSE)</f>
        <v>71.2</v>
      </c>
      <c r="BS1108" s="129">
        <f>IFERROR(VLOOKUP($D1108,'WB Data 2'!$C$2:$K$545,9,FALSE),"..")</f>
        <v>70.378680000000003</v>
      </c>
      <c r="BT1108" s="129" t="str">
        <f>_xlfn.IFNA(VLOOKUP($C1108,RGI!$A$2:$C$43,2,FALSE),"..")</f>
        <v>..</v>
      </c>
      <c r="BU1108" s="129" t="str">
        <f>_xlfn.IFNA(VLOOKUP($C1108,RGI!$A$2:$C$43,3,FALSE),"..")</f>
        <v>..</v>
      </c>
      <c r="BV1108" s="129">
        <f>VLOOKUP($D1108,WGI!$C$2:$O$478,7,FALSE)</f>
        <v>-0.96510899804188</v>
      </c>
      <c r="BW1108" s="129">
        <f>VLOOKUP($D1108,WGI!$C$2:$O$478,4,FALSE)</f>
        <v>-0.87760725614009405</v>
      </c>
      <c r="BX1108" s="129">
        <f>VLOOKUP($D1108,WGI!$C$2:$O$478,3,FALSE)</f>
        <v>-0.88259362281677101</v>
      </c>
      <c r="BY1108" s="129">
        <f>VLOOKUP($D1108,WGI!$C$2:$O$478,5,FALSE)</f>
        <v>-0.67142483965750099</v>
      </c>
      <c r="BZ1108" s="129">
        <f>VLOOKUP($D1108,WGI!$C$2:$O$478,2,FALSE)</f>
        <v>-0.55606124657203904</v>
      </c>
    </row>
    <row r="1109" spans="1:80" ht="15" customHeight="1">
      <c r="A1109" s="294" t="s">
        <v>354</v>
      </c>
      <c r="B1109" s="214">
        <v>2009</v>
      </c>
      <c r="C1109" s="809" t="s">
        <v>345</v>
      </c>
      <c r="D1109" s="117" t="s">
        <v>3639</v>
      </c>
      <c r="E1109" s="452" t="s">
        <v>86</v>
      </c>
      <c r="F1109" s="117"/>
      <c r="G1109" s="117" t="s">
        <v>24</v>
      </c>
      <c r="H1109" s="117" t="str">
        <f t="shared" si="183"/>
        <v>yes</v>
      </c>
      <c r="I1109" s="117" t="str">
        <f t="shared" si="180"/>
        <v>no</v>
      </c>
      <c r="J1109" s="117" t="str">
        <f t="shared" si="181"/>
        <v>no</v>
      </c>
      <c r="K1109" s="117" t="s">
        <v>1715</v>
      </c>
      <c r="L1109" s="117" t="str">
        <f t="shared" si="184"/>
        <v>detailed</v>
      </c>
      <c r="M1109" s="117" t="str">
        <f t="shared" si="182"/>
        <v>detailed Mining</v>
      </c>
      <c r="N1109" s="179">
        <v>36600</v>
      </c>
      <c r="O1109" s="179"/>
      <c r="P1109" s="179"/>
      <c r="Q1109" s="179"/>
      <c r="R1109" s="179"/>
      <c r="S1109" s="117" t="s">
        <v>610</v>
      </c>
      <c r="T1109" s="180">
        <f>5149.73858333333*0.6815</f>
        <v>3509.5468445416645</v>
      </c>
      <c r="U1109" s="117" t="s">
        <v>611</v>
      </c>
      <c r="V1109" s="401" t="s">
        <v>1719</v>
      </c>
      <c r="W1109" s="89">
        <f>N1109*T1109</f>
        <v>128449414.51022492</v>
      </c>
      <c r="X1109" s="117"/>
      <c r="Y1109" s="117"/>
      <c r="Z1109" s="117"/>
      <c r="AA1109" s="179"/>
      <c r="AB1109" s="179"/>
      <c r="AC1109" s="212"/>
      <c r="AD1109" s="212"/>
      <c r="AE1109" s="212"/>
      <c r="AF1109" s="213"/>
      <c r="AG1109" s="117"/>
      <c r="AH1109" s="124"/>
      <c r="AI1109" s="117"/>
      <c r="AJ1109" s="117"/>
      <c r="AK1109" s="89"/>
      <c r="AL1109" s="117"/>
      <c r="AM1109" s="117"/>
      <c r="AN1109" s="117"/>
      <c r="AO1109" s="117"/>
      <c r="AP1109" s="117"/>
      <c r="AQ1109" s="117"/>
      <c r="AR1109" s="126"/>
      <c r="AS1109" s="117"/>
      <c r="AT1109" s="117"/>
      <c r="AU1109" s="117"/>
      <c r="AV1109" s="128"/>
      <c r="AW1109" s="117">
        <f>VLOOKUP($D1109,'WB Data'!$C$3:$M$578,2,FALSE)</f>
        <v>3027020496.1927204</v>
      </c>
      <c r="AX1109" s="117">
        <f>VLOOKUP($D1109,'WB Data'!$C$3:$M$578,3,FALSE)</f>
        <v>3516077</v>
      </c>
      <c r="AY1109" s="847">
        <f t="shared" si="189"/>
        <v>6.3153095693735187E-2</v>
      </c>
      <c r="AZ1109" s="117" t="e">
        <f>VLOOKUP($D1109,'WB Data'!$C$3:$M$578,4,FALSE)/100</f>
        <v>#VALUE!</v>
      </c>
      <c r="BA1109" s="117" t="str">
        <f t="shared" si="190"/>
        <v>..</v>
      </c>
      <c r="BB1109" s="129">
        <f>IFERROR(VLOOKUP($D1109,'EITI Revenues'!$C$2:$G$224,5,FALSE),"..")</f>
        <v>191165715.06295663</v>
      </c>
      <c r="BC1109" s="846" t="str">
        <f t="shared" si="191"/>
        <v>..</v>
      </c>
      <c r="BD1109" s="129" t="str">
        <f>VLOOKUP($D1109,'WB Data 2'!$C$2:$K$545,6,FALSE)</f>
        <v>..</v>
      </c>
      <c r="BE1109" s="129">
        <f>IFERROR(VLOOKUP($D1109,UNCTAD!$C$5:$V$529,4,FALSE),"..")</f>
        <v>1528800000</v>
      </c>
      <c r="BF1109" s="846" t="str">
        <f t="shared" si="192"/>
        <v>..</v>
      </c>
      <c r="BG1109" s="117">
        <f>VLOOKUP($D1109,'WB Data'!$C$3:$M$578,5,FALSE)</f>
        <v>373470000</v>
      </c>
      <c r="BH1109" s="129">
        <f>IFERROR($BB1109/$BG1109,"..")</f>
        <v>0.51186364383473004</v>
      </c>
      <c r="BI1109" s="117" t="str">
        <f>IFERROR(VLOOKUP($D1109,'WB Data'!$C$3:$M$578,7,FALSE)/100,"..")</f>
        <v>..</v>
      </c>
      <c r="BJ1109" s="117" t="str">
        <f>IFERROR($BI1109*$AW1109,"..")</f>
        <v>..</v>
      </c>
      <c r="BK1109" s="846" t="str">
        <f>IFERROR($BB1109/$BJ1109,"..")</f>
        <v>..</v>
      </c>
      <c r="BL1109" s="117" t="str">
        <f>IFERROR(VLOOKUP($D1109,'WB Data'!$C$3:$M$578,7,FALSE)/100,"..")</f>
        <v>..</v>
      </c>
      <c r="BM1109" s="117" t="str">
        <f>IFERROR($AW1109*$BL1109,"..")</f>
        <v>..</v>
      </c>
      <c r="BN1109" s="846" t="str">
        <f>IFERROR($BB1109/$BM1109,"..")</f>
        <v>..</v>
      </c>
      <c r="BO1109" s="801">
        <f t="shared" si="188"/>
        <v>30</v>
      </c>
      <c r="BP1109" s="117" t="str">
        <f>VLOOKUP($D1109,'WB Data'!$C$3:$M$578,9,FALSE)</f>
        <v>..</v>
      </c>
      <c r="BQ1109" s="117">
        <f>VLOOKUP($D1109,'WB Data'!$C$3:$M$578,10,FALSE)</f>
        <v>60.859439024390255</v>
      </c>
      <c r="BR1109" s="117">
        <f>VLOOKUP($D1109,'WB Data'!$C$3:$M$578,11,FALSE)</f>
        <v>71.2</v>
      </c>
      <c r="BS1109" s="129">
        <f>IFERROR(VLOOKUP($D1109,'WB Data 2'!$C$2:$K$545,9,FALSE),"..")</f>
        <v>70.378680000000003</v>
      </c>
      <c r="BT1109" s="129" t="str">
        <f>_xlfn.IFNA(VLOOKUP($C1109,RGI!$A$2:$C$43,2,FALSE),"..")</f>
        <v>..</v>
      </c>
      <c r="BU1109" s="129" t="str">
        <f>_xlfn.IFNA(VLOOKUP($C1109,RGI!$A$2:$C$43,3,FALSE),"..")</f>
        <v>..</v>
      </c>
      <c r="BV1109" s="129">
        <f>VLOOKUP($D1109,WGI!$C$2:$O$478,7,FALSE)</f>
        <v>-0.96510899804188</v>
      </c>
      <c r="BW1109" s="129">
        <f>VLOOKUP($D1109,WGI!$C$2:$O$478,4,FALSE)</f>
        <v>-0.87760725614009405</v>
      </c>
      <c r="BX1109" s="129">
        <f>VLOOKUP($D1109,WGI!$C$2:$O$478,3,FALSE)</f>
        <v>-0.88259362281677101</v>
      </c>
      <c r="BY1109" s="129">
        <f>VLOOKUP($D1109,WGI!$C$2:$O$478,5,FALSE)</f>
        <v>-0.67142483965750099</v>
      </c>
      <c r="BZ1109" s="129">
        <f>VLOOKUP($D1109,WGI!$C$2:$O$478,2,FALSE)</f>
        <v>-0.55606124657203904</v>
      </c>
    </row>
    <row r="1110" spans="1:80" ht="15" customHeight="1">
      <c r="A1110" s="294" t="s">
        <v>354</v>
      </c>
      <c r="B1110" s="214">
        <v>2009</v>
      </c>
      <c r="C1110" s="809" t="s">
        <v>345</v>
      </c>
      <c r="D1110" s="117" t="s">
        <v>3639</v>
      </c>
      <c r="E1110" s="452" t="s">
        <v>86</v>
      </c>
      <c r="F1110" s="117"/>
      <c r="G1110" s="117" t="s">
        <v>24</v>
      </c>
      <c r="H1110" s="117" t="str">
        <f t="shared" si="183"/>
        <v>yes</v>
      </c>
      <c r="I1110" s="117" t="str">
        <f t="shared" si="180"/>
        <v>no</v>
      </c>
      <c r="J1110" s="117" t="str">
        <f t="shared" si="181"/>
        <v>no</v>
      </c>
      <c r="K1110" s="117" t="s">
        <v>784</v>
      </c>
      <c r="L1110" s="117" t="str">
        <f t="shared" si="184"/>
        <v>detailed</v>
      </c>
      <c r="M1110" s="117" t="str">
        <f t="shared" si="182"/>
        <v>detailed Mining</v>
      </c>
      <c r="N1110" s="179">
        <f>7837*32.150743126506</f>
        <v>251965.37388242752</v>
      </c>
      <c r="O1110" s="179"/>
      <c r="P1110" s="179"/>
      <c r="Q1110" s="179"/>
      <c r="R1110" s="179"/>
      <c r="S1110" s="117" t="s">
        <v>785</v>
      </c>
      <c r="T1110" s="119">
        <f>972.96591666667*0.9842</f>
        <v>957.59305518333656</v>
      </c>
      <c r="U1110" s="117" t="s">
        <v>786</v>
      </c>
      <c r="V1110" s="401" t="s">
        <v>1720</v>
      </c>
      <c r="W1110" s="89">
        <f>N1110*T1110</f>
        <v>241280292.17648545</v>
      </c>
      <c r="X1110" s="117"/>
      <c r="Y1110" s="117"/>
      <c r="Z1110" s="117"/>
      <c r="AA1110" s="179"/>
      <c r="AB1110" s="179"/>
      <c r="AC1110" s="212"/>
      <c r="AD1110" s="212"/>
      <c r="AE1110" s="212"/>
      <c r="AF1110" s="213"/>
      <c r="AG1110" s="117"/>
      <c r="AH1110" s="124"/>
      <c r="AI1110" s="117"/>
      <c r="AJ1110" s="117"/>
      <c r="AK1110" s="89"/>
      <c r="AL1110" s="117"/>
      <c r="AM1110" s="117"/>
      <c r="AN1110" s="117"/>
      <c r="AO1110" s="117"/>
      <c r="AP1110" s="117"/>
      <c r="AQ1110" s="117"/>
      <c r="AR1110" s="126"/>
      <c r="AS1110" s="117"/>
      <c r="AT1110" s="117"/>
      <c r="AU1110" s="117"/>
      <c r="AV1110" s="128"/>
      <c r="AW1110" s="117">
        <f>VLOOKUP($D1110,'WB Data'!$C$3:$M$578,2,FALSE)</f>
        <v>3027020496.1927204</v>
      </c>
      <c r="AX1110" s="117">
        <f>VLOOKUP($D1110,'WB Data'!$C$3:$M$578,3,FALSE)</f>
        <v>3516077</v>
      </c>
      <c r="AY1110" s="847">
        <f t="shared" si="189"/>
        <v>6.3153095693735187E-2</v>
      </c>
      <c r="AZ1110" s="117" t="e">
        <f>VLOOKUP($D1110,'WB Data'!$C$3:$M$578,4,FALSE)/100</f>
        <v>#VALUE!</v>
      </c>
      <c r="BA1110" s="117" t="str">
        <f t="shared" si="190"/>
        <v>..</v>
      </c>
      <c r="BB1110" s="129">
        <f>IFERROR(VLOOKUP($D1110,'EITI Revenues'!$C$2:$G$224,5,FALSE),"..")</f>
        <v>191165715.06295663</v>
      </c>
      <c r="BC1110" s="846" t="str">
        <f t="shared" si="191"/>
        <v>..</v>
      </c>
      <c r="BD1110" s="129" t="str">
        <f>VLOOKUP($D1110,'WB Data 2'!$C$2:$K$545,6,FALSE)</f>
        <v>..</v>
      </c>
      <c r="BE1110" s="129">
        <f>IFERROR(VLOOKUP($D1110,UNCTAD!$C$5:$V$529,4,FALSE),"..")</f>
        <v>1528800000</v>
      </c>
      <c r="BF1110" s="846" t="str">
        <f t="shared" si="192"/>
        <v>..</v>
      </c>
      <c r="BG1110" s="117">
        <f>VLOOKUP($D1110,'WB Data'!$C$3:$M$578,5,FALSE)</f>
        <v>373470000</v>
      </c>
      <c r="BH1110" s="129">
        <f>IFERROR($BB1110/$BG1110,"..")</f>
        <v>0.51186364383473004</v>
      </c>
      <c r="BI1110" s="117" t="str">
        <f>IFERROR(VLOOKUP($D1110,'WB Data'!$C$3:$M$578,7,FALSE)/100,"..")</f>
        <v>..</v>
      </c>
      <c r="BJ1110" s="117" t="str">
        <f>IFERROR($BI1110*$AW1110,"..")</f>
        <v>..</v>
      </c>
      <c r="BK1110" s="846" t="str">
        <f>IFERROR($BB1110/$BJ1110,"..")</f>
        <v>..</v>
      </c>
      <c r="BL1110" s="117" t="str">
        <f>IFERROR(VLOOKUP($D1110,'WB Data'!$C$3:$M$578,7,FALSE)/100,"..")</f>
        <v>..</v>
      </c>
      <c r="BM1110" s="117" t="str">
        <f>IFERROR($AW1110*$BL1110,"..")</f>
        <v>..</v>
      </c>
      <c r="BN1110" s="846" t="str">
        <f>IFERROR($BB1110/$BM1110,"..")</f>
        <v>..</v>
      </c>
      <c r="BO1110" s="801">
        <f t="shared" si="188"/>
        <v>30</v>
      </c>
      <c r="BP1110" s="117" t="str">
        <f>VLOOKUP($D1110,'WB Data'!$C$3:$M$578,9,FALSE)</f>
        <v>..</v>
      </c>
      <c r="BQ1110" s="117">
        <f>VLOOKUP($D1110,'WB Data'!$C$3:$M$578,10,FALSE)</f>
        <v>60.859439024390255</v>
      </c>
      <c r="BR1110" s="117">
        <f>VLOOKUP($D1110,'WB Data'!$C$3:$M$578,11,FALSE)</f>
        <v>71.2</v>
      </c>
      <c r="BS1110" s="129">
        <f>IFERROR(VLOOKUP($D1110,'WB Data 2'!$C$2:$K$545,9,FALSE),"..")</f>
        <v>70.378680000000003</v>
      </c>
      <c r="BT1110" s="129" t="str">
        <f>_xlfn.IFNA(VLOOKUP($C1110,RGI!$A$2:$C$43,2,FALSE),"..")</f>
        <v>..</v>
      </c>
      <c r="BU1110" s="129" t="str">
        <f>_xlfn.IFNA(VLOOKUP($C1110,RGI!$A$2:$C$43,3,FALSE),"..")</f>
        <v>..</v>
      </c>
      <c r="BV1110" s="129">
        <f>VLOOKUP($D1110,WGI!$C$2:$O$478,7,FALSE)</f>
        <v>-0.96510899804188</v>
      </c>
      <c r="BW1110" s="129">
        <f>VLOOKUP($D1110,WGI!$C$2:$O$478,4,FALSE)</f>
        <v>-0.87760725614009405</v>
      </c>
      <c r="BX1110" s="129">
        <f>VLOOKUP($D1110,WGI!$C$2:$O$478,3,FALSE)</f>
        <v>-0.88259362281677101</v>
      </c>
      <c r="BY1110" s="129">
        <f>VLOOKUP($D1110,WGI!$C$2:$O$478,5,FALSE)</f>
        <v>-0.67142483965750099</v>
      </c>
      <c r="BZ1110" s="129">
        <f>VLOOKUP($D1110,WGI!$C$2:$O$478,2,FALSE)</f>
        <v>-0.55606124657203904</v>
      </c>
    </row>
    <row r="1111" spans="1:80" ht="15" customHeight="1">
      <c r="A1111" s="294" t="s">
        <v>354</v>
      </c>
      <c r="B1111" s="214">
        <v>2009</v>
      </c>
      <c r="C1111" s="809" t="s">
        <v>345</v>
      </c>
      <c r="D1111" s="117" t="s">
        <v>3639</v>
      </c>
      <c r="E1111" s="452" t="s">
        <v>86</v>
      </c>
      <c r="F1111" s="117"/>
      <c r="G1111" s="117" t="s">
        <v>24</v>
      </c>
      <c r="H1111" s="117" t="str">
        <f t="shared" si="183"/>
        <v>yes</v>
      </c>
      <c r="I1111" s="117" t="str">
        <f t="shared" ref="I1111:I1182" si="193">IF($G1111="Gas","yes",IF($G1111="Oil, Gas, Mining","yes",IF($G1111="Gas, Mining","yes",IF($G1111="Oil, Gas","yes",IF($G1111="Oil, Gas, Other","yes","no")))))</f>
        <v>no</v>
      </c>
      <c r="J1111" s="117" t="str">
        <f t="shared" ref="J1111:J1182" si="194">IF($G1111="Oil","yes",IF($G1111="Oil, Gas, Mining","yes",IF($G1111="Oil, Mining","yes",IF($G1111="Oil, Gas","yes",IF($G1111="Oil, Gas, Other","yes","no")))))</f>
        <v>no</v>
      </c>
      <c r="K1111" s="117" t="s">
        <v>1228</v>
      </c>
      <c r="L1111" s="117" t="str">
        <f t="shared" si="184"/>
        <v>detailed</v>
      </c>
      <c r="M1111" s="117" t="str">
        <f t="shared" ref="M1111:M1182" si="195">L1111&amp;" "&amp;G1111</f>
        <v>detailed Mining</v>
      </c>
      <c r="N1111" s="179">
        <v>10524000</v>
      </c>
      <c r="O1111" s="179"/>
      <c r="P1111" s="179"/>
      <c r="Q1111" s="179"/>
      <c r="R1111" s="179"/>
      <c r="S1111" s="117" t="s">
        <v>610</v>
      </c>
      <c r="T1111" s="119">
        <f>79.97916666667*0.5964</f>
        <v>47.699575000001992</v>
      </c>
      <c r="U1111" s="117" t="s">
        <v>611</v>
      </c>
      <c r="V1111" s="401" t="s">
        <v>1721</v>
      </c>
      <c r="W1111" s="89">
        <f>N1111*T1111</f>
        <v>501990327.30002099</v>
      </c>
      <c r="X1111" s="117"/>
      <c r="Y1111" s="117"/>
      <c r="Z1111" s="117"/>
      <c r="AA1111" s="179"/>
      <c r="AB1111" s="179"/>
      <c r="AC1111" s="212"/>
      <c r="AD1111" s="212"/>
      <c r="AE1111" s="212"/>
      <c r="AF1111" s="213"/>
      <c r="AG1111" s="117"/>
      <c r="AH1111" s="124"/>
      <c r="AI1111" s="117"/>
      <c r="AJ1111" s="117"/>
      <c r="AK1111" s="89"/>
      <c r="AL1111" s="117"/>
      <c r="AM1111" s="117"/>
      <c r="AN1111" s="117"/>
      <c r="AO1111" s="117"/>
      <c r="AP1111" s="117"/>
      <c r="AQ1111" s="117"/>
      <c r="AR1111" s="126"/>
      <c r="AS1111" s="117"/>
      <c r="AT1111" s="117"/>
      <c r="AU1111" s="117"/>
      <c r="AV1111" s="128"/>
      <c r="AW1111" s="117">
        <f>VLOOKUP($D1111,'WB Data'!$C$3:$M$578,2,FALSE)</f>
        <v>3027020496.1927204</v>
      </c>
      <c r="AX1111" s="117">
        <f>VLOOKUP($D1111,'WB Data'!$C$3:$M$578,3,FALSE)</f>
        <v>3516077</v>
      </c>
      <c r="AY1111" s="847">
        <f t="shared" si="189"/>
        <v>6.3153095693735187E-2</v>
      </c>
      <c r="AZ1111" s="117" t="e">
        <f>VLOOKUP($D1111,'WB Data'!$C$3:$M$578,4,FALSE)/100</f>
        <v>#VALUE!</v>
      </c>
      <c r="BA1111" s="117" t="str">
        <f t="shared" si="190"/>
        <v>..</v>
      </c>
      <c r="BB1111" s="129">
        <f>IFERROR(VLOOKUP($D1111,'EITI Revenues'!$C$2:$G$224,5,FALSE),"..")</f>
        <v>191165715.06295663</v>
      </c>
      <c r="BC1111" s="846" t="str">
        <f t="shared" si="191"/>
        <v>..</v>
      </c>
      <c r="BD1111" s="129" t="str">
        <f>VLOOKUP($D1111,'WB Data 2'!$C$2:$K$545,6,FALSE)</f>
        <v>..</v>
      </c>
      <c r="BE1111" s="129">
        <f>IFERROR(VLOOKUP($D1111,UNCTAD!$C$5:$V$529,4,FALSE),"..")</f>
        <v>1528800000</v>
      </c>
      <c r="BF1111" s="846" t="str">
        <f t="shared" si="192"/>
        <v>..</v>
      </c>
      <c r="BG1111" s="117">
        <f>VLOOKUP($D1111,'WB Data'!$C$3:$M$578,5,FALSE)</f>
        <v>373470000</v>
      </c>
      <c r="BH1111" s="129">
        <f>IFERROR($BB1111/$BG1111,"..")</f>
        <v>0.51186364383473004</v>
      </c>
      <c r="BI1111" s="117" t="str">
        <f>IFERROR(VLOOKUP($D1111,'WB Data'!$C$3:$M$578,7,FALSE)/100,"..")</f>
        <v>..</v>
      </c>
      <c r="BJ1111" s="117" t="str">
        <f>IFERROR($BI1111*$AW1111,"..")</f>
        <v>..</v>
      </c>
      <c r="BK1111" s="846" t="str">
        <f>IFERROR($BB1111/$BJ1111,"..")</f>
        <v>..</v>
      </c>
      <c r="BL1111" s="117" t="str">
        <f>IFERROR(VLOOKUP($D1111,'WB Data'!$C$3:$M$578,7,FALSE)/100,"..")</f>
        <v>..</v>
      </c>
      <c r="BM1111" s="117" t="str">
        <f>IFERROR($AW1111*$BL1111,"..")</f>
        <v>..</v>
      </c>
      <c r="BN1111" s="846" t="str">
        <f>IFERROR($BB1111/$BM1111,"..")</f>
        <v>..</v>
      </c>
      <c r="BO1111" s="801">
        <f t="shared" si="188"/>
        <v>30</v>
      </c>
      <c r="BP1111" s="117" t="str">
        <f>VLOOKUP($D1111,'WB Data'!$C$3:$M$578,9,FALSE)</f>
        <v>..</v>
      </c>
      <c r="BQ1111" s="117">
        <f>VLOOKUP($D1111,'WB Data'!$C$3:$M$578,10,FALSE)</f>
        <v>60.859439024390255</v>
      </c>
      <c r="BR1111" s="117">
        <f>VLOOKUP($D1111,'WB Data'!$C$3:$M$578,11,FALSE)</f>
        <v>71.2</v>
      </c>
      <c r="BS1111" s="129">
        <f>IFERROR(VLOOKUP($D1111,'WB Data 2'!$C$2:$K$545,9,FALSE),"..")</f>
        <v>70.378680000000003</v>
      </c>
      <c r="BT1111" s="129" t="str">
        <f>_xlfn.IFNA(VLOOKUP($C1111,RGI!$A$2:$C$43,2,FALSE),"..")</f>
        <v>..</v>
      </c>
      <c r="BU1111" s="129" t="str">
        <f>_xlfn.IFNA(VLOOKUP($C1111,RGI!$A$2:$C$43,3,FALSE),"..")</f>
        <v>..</v>
      </c>
      <c r="BV1111" s="129">
        <f>VLOOKUP($D1111,WGI!$C$2:$O$478,7,FALSE)</f>
        <v>-0.96510899804188</v>
      </c>
      <c r="BW1111" s="129">
        <f>VLOOKUP($D1111,WGI!$C$2:$O$478,4,FALSE)</f>
        <v>-0.87760725614009405</v>
      </c>
      <c r="BX1111" s="129">
        <f>VLOOKUP($D1111,WGI!$C$2:$O$478,3,FALSE)</f>
        <v>-0.88259362281677101</v>
      </c>
      <c r="BY1111" s="129">
        <f>VLOOKUP($D1111,WGI!$C$2:$O$478,5,FALSE)</f>
        <v>-0.67142483965750099</v>
      </c>
      <c r="BZ1111" s="129">
        <f>VLOOKUP($D1111,WGI!$C$2:$O$478,2,FALSE)</f>
        <v>-0.55606124657203904</v>
      </c>
    </row>
    <row r="1112" spans="1:80" s="144" customFormat="1" ht="15" customHeight="1">
      <c r="A1112" s="296" t="s">
        <v>357</v>
      </c>
      <c r="B1112" s="228">
        <v>2010</v>
      </c>
      <c r="C1112" s="808" t="s">
        <v>345</v>
      </c>
      <c r="D1112" s="117" t="s">
        <v>3673</v>
      </c>
      <c r="E1112" s="450" t="s">
        <v>86</v>
      </c>
      <c r="F1112" s="132" t="s">
        <v>1711</v>
      </c>
      <c r="G1112" s="132" t="s">
        <v>41</v>
      </c>
      <c r="H1112" s="117" t="str">
        <f t="shared" si="183"/>
        <v>yes</v>
      </c>
      <c r="I1112" s="117" t="str">
        <f t="shared" si="193"/>
        <v>no</v>
      </c>
      <c r="J1112" s="117" t="str">
        <f t="shared" si="194"/>
        <v>yes</v>
      </c>
      <c r="K1112" s="132" t="s">
        <v>709</v>
      </c>
      <c r="L1112" s="117" t="str">
        <f t="shared" si="184"/>
        <v>Total</v>
      </c>
      <c r="M1112" s="117" t="str">
        <f t="shared" si="195"/>
        <v>Total Oil, Mining</v>
      </c>
      <c r="N1112" s="238"/>
      <c r="O1112" s="238"/>
      <c r="P1112" s="238"/>
      <c r="Q1112" s="238"/>
      <c r="R1112" s="238"/>
      <c r="S1112" s="132"/>
      <c r="T1112" s="134"/>
      <c r="U1112" s="132"/>
      <c r="V1112" s="132"/>
      <c r="W1112" s="135">
        <f>W1113+W1114</f>
        <v>1806134712.7067201</v>
      </c>
      <c r="X1112" s="132" t="s">
        <v>1725</v>
      </c>
      <c r="Y1112" s="132" t="s">
        <v>663</v>
      </c>
      <c r="Z1112" s="132" t="s">
        <v>1726</v>
      </c>
      <c r="AA1112" s="325">
        <v>270018612.99116182</v>
      </c>
      <c r="AB1112" s="325">
        <v>237278711.68385196</v>
      </c>
      <c r="AC1112" s="138"/>
      <c r="AD1112" s="138"/>
      <c r="AE1112" s="138"/>
      <c r="AF1112" s="139">
        <f>AA1112/W1112</f>
        <v>0.14950081579823299</v>
      </c>
      <c r="AG1112" s="132" t="s">
        <v>1722</v>
      </c>
      <c r="AH1112" s="140">
        <v>271.55</v>
      </c>
      <c r="AI1112" s="132" t="s">
        <v>722</v>
      </c>
      <c r="AJ1112" s="135" t="s">
        <v>1727</v>
      </c>
      <c r="AK1112" s="135">
        <f>(280025)*80.2+34705000</f>
        <v>57163005</v>
      </c>
      <c r="AL1112" s="135"/>
      <c r="AM1112" s="132"/>
      <c r="AN1112" s="132">
        <v>62</v>
      </c>
      <c r="AO1112" s="132" t="s">
        <v>1728</v>
      </c>
      <c r="AP1112" s="132">
        <v>73</v>
      </c>
      <c r="AQ1112" s="132" t="s">
        <v>82</v>
      </c>
      <c r="AR1112" s="141">
        <v>41957</v>
      </c>
      <c r="AS1112" s="132" t="s">
        <v>670</v>
      </c>
      <c r="AT1112" s="142" t="s">
        <v>358</v>
      </c>
      <c r="AU1112" s="132" t="s">
        <v>1729</v>
      </c>
      <c r="AV1112" s="590" t="s">
        <v>1730</v>
      </c>
      <c r="AW1112" s="117">
        <f>VLOOKUP($D1112,'WB Data'!$C$3:$M$578,2,FALSE)</f>
        <v>3526947608.8832636</v>
      </c>
      <c r="AX1112" s="117">
        <f>VLOOKUP($D1112,'WB Data'!$C$3:$M$578,3,FALSE)</f>
        <v>3609420</v>
      </c>
      <c r="AY1112" s="847">
        <f t="shared" si="189"/>
        <v>7.6558725258937921E-2</v>
      </c>
      <c r="AZ1112" s="117" t="e">
        <f>VLOOKUP($D1112,'WB Data'!$C$3:$M$578,4,FALSE)/100</f>
        <v>#VALUE!</v>
      </c>
      <c r="BA1112" s="117" t="str">
        <f t="shared" si="190"/>
        <v>..</v>
      </c>
      <c r="BB1112" s="129">
        <f>IFERROR(VLOOKUP($D1112,'EITI Revenues'!$C$2:$G$224,5,FALSE),"..")</f>
        <v>270018612.99116182</v>
      </c>
      <c r="BC1112" s="846" t="str">
        <f t="shared" si="191"/>
        <v>..</v>
      </c>
      <c r="BD1112" s="129">
        <f>VLOOKUP($D1112,'WB Data 2'!$C$2:$K$545,6,FALSE)</f>
        <v>631056642.01089525</v>
      </c>
      <c r="BE1112" s="129">
        <f>IFERROR(VLOOKUP($D1112,UNCTAD!$C$5:$V$529,4,FALSE),"..")</f>
        <v>2201620299.0900002</v>
      </c>
      <c r="BF1112" s="846">
        <f t="shared" si="192"/>
        <v>0.28663282323102268</v>
      </c>
      <c r="BG1112" s="117">
        <f>VLOOKUP($D1112,'WB Data'!$C$3:$M$578,5,FALSE)</f>
        <v>374400000</v>
      </c>
      <c r="BH1112" s="129">
        <f>IFERROR($BB1112/$BG1112,"..")</f>
        <v>0.72120356033964161</v>
      </c>
      <c r="BI1112" s="117">
        <f>IFERROR(VLOOKUP($D1112,'WB Data'!$C$3:$M$578,7,FALSE)/100,"..")</f>
        <v>4.2585100000000001E-2</v>
      </c>
      <c r="BJ1112" s="117">
        <f>IFERROR($BI1112*$AW1112,"..")</f>
        <v>150195416.61905468</v>
      </c>
      <c r="BK1112" s="846">
        <f>IFERROR($BB1112/$BJ1112,"..")</f>
        <v>1.7977819767697603</v>
      </c>
      <c r="BL1112" s="117">
        <f>IFERROR(VLOOKUP($D1112,'WB Data'!$C$3:$M$578,7,FALSE)/100,"..")</f>
        <v>4.2585100000000001E-2</v>
      </c>
      <c r="BM1112" s="117">
        <f>IFERROR($AW1112*$BL1112,"..")</f>
        <v>150195416.61905468</v>
      </c>
      <c r="BN1112" s="846">
        <f>IFERROR($BB1112/$BM1112,"..")</f>
        <v>1.7977819767697603</v>
      </c>
      <c r="BO1112" s="801">
        <f t="shared" si="188"/>
        <v>30</v>
      </c>
      <c r="BP1112" s="117" t="str">
        <f>VLOOKUP($D1112,'WB Data'!$C$3:$M$578,9,FALSE)</f>
        <v>..</v>
      </c>
      <c r="BQ1112" s="117">
        <f>VLOOKUP($D1112,'WB Data'!$C$3:$M$578,10,FALSE)</f>
        <v>61.023243902439027</v>
      </c>
      <c r="BR1112" s="117">
        <f>VLOOKUP($D1112,'WB Data'!$C$3:$M$578,11,FALSE)</f>
        <v>70.2</v>
      </c>
      <c r="BS1112" s="129">
        <f>IFERROR(VLOOKUP($D1112,'WB Data 2'!$C$2:$K$545,9,FALSE),"..")</f>
        <v>70.835610000000003</v>
      </c>
      <c r="BT1112" s="129" t="str">
        <f>_xlfn.IFNA(VLOOKUP($C1112,RGI!$A$2:$C$43,2,FALSE),"..")</f>
        <v>..</v>
      </c>
      <c r="BU1112" s="129" t="str">
        <f>_xlfn.IFNA(VLOOKUP($C1112,RGI!$A$2:$C$43,3,FALSE),"..")</f>
        <v>..</v>
      </c>
      <c r="BV1112" s="129">
        <f>VLOOKUP($D1112,WGI!$C$2:$O$478,7,FALSE)</f>
        <v>-0.95110337990716798</v>
      </c>
      <c r="BW1112" s="129">
        <f>VLOOKUP($D1112,WGI!$C$2:$O$478,4,FALSE)</f>
        <v>-1.07960399034544</v>
      </c>
      <c r="BX1112" s="129">
        <f>VLOOKUP($D1112,WGI!$C$2:$O$478,3,FALSE)</f>
        <v>-0.96292979952077495</v>
      </c>
      <c r="BY1112" s="129">
        <f>VLOOKUP($D1112,WGI!$C$2:$O$478,5,FALSE)</f>
        <v>-0.82039421725702699</v>
      </c>
      <c r="BZ1112" s="129">
        <f>VLOOKUP($D1112,WGI!$C$2:$O$478,2,FALSE)</f>
        <v>-0.67102097918569303</v>
      </c>
      <c r="CB1112" s="129"/>
    </row>
    <row r="1113" spans="1:80" s="120" customFormat="1" ht="15" customHeight="1">
      <c r="A1113" s="294" t="s">
        <v>357</v>
      </c>
      <c r="B1113" s="214">
        <v>2010</v>
      </c>
      <c r="C1113" s="809" t="s">
        <v>345</v>
      </c>
      <c r="D1113" s="117" t="s">
        <v>3673</v>
      </c>
      <c r="E1113" s="452" t="s">
        <v>86</v>
      </c>
      <c r="F1113" s="117"/>
      <c r="G1113" s="117" t="s">
        <v>103</v>
      </c>
      <c r="H1113" s="117" t="str">
        <f t="shared" ref="H1113:H1176" si="196">IF($G1113="Mining","yes",IF($G1113="Oil, Gas, Mining","yes",IF($G1113="Gas, Mining","yes",IF($G1113="Oil, Mining","yes",IF($G1113="Oil, Mining, Other","yes","no")))))</f>
        <v>no</v>
      </c>
      <c r="I1113" s="117" t="str">
        <f t="shared" si="193"/>
        <v>no</v>
      </c>
      <c r="J1113" s="117" t="str">
        <f t="shared" si="194"/>
        <v>yes</v>
      </c>
      <c r="K1113" s="117" t="s">
        <v>103</v>
      </c>
      <c r="L1113" s="117" t="str">
        <f t="shared" ref="L1113:L1176" si="197">IF(LEFT(K1113,5)="Total","Total","detailed")</f>
        <v>detailed</v>
      </c>
      <c r="M1113" s="117" t="str">
        <f t="shared" si="195"/>
        <v>detailed Oil</v>
      </c>
      <c r="N1113" s="179">
        <v>2993000</v>
      </c>
      <c r="O1113" s="179"/>
      <c r="P1113" s="179"/>
      <c r="Q1113" s="179"/>
      <c r="R1113" s="179"/>
      <c r="S1113" s="117" t="s">
        <v>646</v>
      </c>
      <c r="T1113" s="119">
        <v>80.2</v>
      </c>
      <c r="U1113" s="117" t="s">
        <v>673</v>
      </c>
      <c r="V1113" s="117" t="s">
        <v>1731</v>
      </c>
      <c r="W1113" s="89">
        <f>N1113*T1113</f>
        <v>240038600</v>
      </c>
      <c r="X1113" s="117"/>
      <c r="Y1113" s="117"/>
      <c r="Z1113" s="117"/>
      <c r="AA1113" s="177">
        <v>69260005</v>
      </c>
      <c r="AB1113" s="177">
        <v>60976005</v>
      </c>
      <c r="AC1113" s="122"/>
      <c r="AD1113" s="122"/>
      <c r="AE1113" s="122"/>
      <c r="AF1113" s="123">
        <f>AA1113/W1113</f>
        <v>0.28853694780756095</v>
      </c>
      <c r="AG1113" s="117"/>
      <c r="AH1113" s="124"/>
      <c r="AI1113" s="117"/>
      <c r="AJ1113" s="117"/>
      <c r="AK1113" s="89"/>
      <c r="AL1113" s="117"/>
      <c r="AM1113" s="117"/>
      <c r="AN1113" s="117"/>
      <c r="AO1113" s="117"/>
      <c r="AP1113" s="117"/>
      <c r="AQ1113" s="126"/>
      <c r="AR1113" s="117"/>
      <c r="AS1113" s="117"/>
      <c r="AT1113" s="117"/>
      <c r="AU1113" s="117"/>
      <c r="AV1113" s="281"/>
      <c r="AW1113" s="117">
        <f>VLOOKUP($D1113,'WB Data'!$C$3:$M$578,2,FALSE)</f>
        <v>3526947608.8832636</v>
      </c>
      <c r="AX1113" s="117">
        <f>VLOOKUP($D1113,'WB Data'!$C$3:$M$578,3,FALSE)</f>
        <v>3609420</v>
      </c>
      <c r="AY1113" s="847">
        <f t="shared" si="189"/>
        <v>7.6558725258937921E-2</v>
      </c>
      <c r="AZ1113" s="117" t="e">
        <f>VLOOKUP($D1113,'WB Data'!$C$3:$M$578,4,FALSE)/100</f>
        <v>#VALUE!</v>
      </c>
      <c r="BA1113" s="117" t="str">
        <f t="shared" si="190"/>
        <v>..</v>
      </c>
      <c r="BB1113" s="129">
        <f>IFERROR(VLOOKUP($D1113,'EITI Revenues'!$C$2:$G$224,5,FALSE),"..")</f>
        <v>270018612.99116182</v>
      </c>
      <c r="BC1113" s="846" t="str">
        <f t="shared" si="191"/>
        <v>..</v>
      </c>
      <c r="BD1113" s="129">
        <f>VLOOKUP($D1113,'WB Data 2'!$C$2:$K$545,6,FALSE)</f>
        <v>631056642.01089525</v>
      </c>
      <c r="BE1113" s="129">
        <f>IFERROR(VLOOKUP($D1113,UNCTAD!$C$5:$V$529,4,FALSE),"..")</f>
        <v>2201620299.0900002</v>
      </c>
      <c r="BF1113" s="846">
        <f t="shared" si="192"/>
        <v>0.28663282323102268</v>
      </c>
      <c r="BG1113" s="117">
        <f>VLOOKUP($D1113,'WB Data'!$C$3:$M$578,5,FALSE)</f>
        <v>374400000</v>
      </c>
      <c r="BH1113" s="129">
        <f>IFERROR($BB1113/$BG1113,"..")</f>
        <v>0.72120356033964161</v>
      </c>
      <c r="BI1113" s="117">
        <f>IFERROR(VLOOKUP($D1113,'WB Data'!$C$3:$M$578,7,FALSE)/100,"..")</f>
        <v>4.2585100000000001E-2</v>
      </c>
      <c r="BJ1113" s="117">
        <f>IFERROR($BI1113*$AW1113,"..")</f>
        <v>150195416.61905468</v>
      </c>
      <c r="BK1113" s="846">
        <f>IFERROR($BB1113/$BJ1113,"..")</f>
        <v>1.7977819767697603</v>
      </c>
      <c r="BL1113" s="117">
        <f>IFERROR(VLOOKUP($D1113,'WB Data'!$C$3:$M$578,7,FALSE)/100,"..")</f>
        <v>4.2585100000000001E-2</v>
      </c>
      <c r="BM1113" s="117">
        <f>IFERROR($AW1113*$BL1113,"..")</f>
        <v>150195416.61905468</v>
      </c>
      <c r="BN1113" s="846">
        <f>IFERROR($BB1113/$BM1113,"..")</f>
        <v>1.7977819767697603</v>
      </c>
      <c r="BO1113" s="801">
        <f t="shared" si="188"/>
        <v>30</v>
      </c>
      <c r="BP1113" s="117" t="str">
        <f>VLOOKUP($D1113,'WB Data'!$C$3:$M$578,9,FALSE)</f>
        <v>..</v>
      </c>
      <c r="BQ1113" s="117">
        <f>VLOOKUP($D1113,'WB Data'!$C$3:$M$578,10,FALSE)</f>
        <v>61.023243902439027</v>
      </c>
      <c r="BR1113" s="117">
        <f>VLOOKUP($D1113,'WB Data'!$C$3:$M$578,11,FALSE)</f>
        <v>70.2</v>
      </c>
      <c r="BS1113" s="129">
        <f>IFERROR(VLOOKUP($D1113,'WB Data 2'!$C$2:$K$545,9,FALSE),"..")</f>
        <v>70.835610000000003</v>
      </c>
      <c r="BT1113" s="129" t="str">
        <f>_xlfn.IFNA(VLOOKUP($C1113,RGI!$A$2:$C$43,2,FALSE),"..")</f>
        <v>..</v>
      </c>
      <c r="BU1113" s="129" t="str">
        <f>_xlfn.IFNA(VLOOKUP($C1113,RGI!$A$2:$C$43,3,FALSE),"..")</f>
        <v>..</v>
      </c>
      <c r="BV1113" s="129">
        <f>VLOOKUP($D1113,WGI!$C$2:$O$478,7,FALSE)</f>
        <v>-0.95110337990716798</v>
      </c>
      <c r="BW1113" s="129">
        <f>VLOOKUP($D1113,WGI!$C$2:$O$478,4,FALSE)</f>
        <v>-1.07960399034544</v>
      </c>
      <c r="BX1113" s="129">
        <f>VLOOKUP($D1113,WGI!$C$2:$O$478,3,FALSE)</f>
        <v>-0.96292979952077495</v>
      </c>
      <c r="BY1113" s="129">
        <f>VLOOKUP($D1113,WGI!$C$2:$O$478,5,FALSE)</f>
        <v>-0.82039421725702699</v>
      </c>
      <c r="BZ1113" s="129">
        <f>VLOOKUP($D1113,WGI!$C$2:$O$478,2,FALSE)</f>
        <v>-0.67102097918569303</v>
      </c>
      <c r="CB1113" s="129"/>
    </row>
    <row r="1114" spans="1:80" s="120" customFormat="1" ht="15" customHeight="1">
      <c r="A1114" s="294" t="s">
        <v>357</v>
      </c>
      <c r="B1114" s="214">
        <v>2010</v>
      </c>
      <c r="C1114" s="809" t="s">
        <v>345</v>
      </c>
      <c r="D1114" s="117" t="s">
        <v>3673</v>
      </c>
      <c r="E1114" s="452" t="s">
        <v>86</v>
      </c>
      <c r="F1114" s="117"/>
      <c r="G1114" s="117" t="s">
        <v>24</v>
      </c>
      <c r="H1114" s="117" t="str">
        <f t="shared" si="196"/>
        <v>yes</v>
      </c>
      <c r="I1114" s="117" t="str">
        <f t="shared" si="193"/>
        <v>no</v>
      </c>
      <c r="J1114" s="117" t="str">
        <f t="shared" si="194"/>
        <v>no</v>
      </c>
      <c r="K1114" s="117" t="s">
        <v>600</v>
      </c>
      <c r="L1114" s="117" t="str">
        <f t="shared" si="197"/>
        <v>Total</v>
      </c>
      <c r="M1114" s="117" t="str">
        <f t="shared" si="195"/>
        <v>Total Mining</v>
      </c>
      <c r="N1114" s="179"/>
      <c r="O1114" s="179"/>
      <c r="P1114" s="179"/>
      <c r="Q1114" s="179"/>
      <c r="R1114" s="179"/>
      <c r="S1114" s="117"/>
      <c r="T1114" s="119"/>
      <c r="U1114" s="117"/>
      <c r="V1114" s="117"/>
      <c r="W1114" s="89">
        <f>SUM(W1115:W1118)</f>
        <v>1566096112.7067201</v>
      </c>
      <c r="X1114" s="117"/>
      <c r="Y1114" s="117"/>
      <c r="Z1114" s="117"/>
      <c r="AA1114" s="177">
        <v>200758607.99116185</v>
      </c>
      <c r="AB1114" s="177">
        <v>176302706.68385196</v>
      </c>
      <c r="AC1114" s="122"/>
      <c r="AD1114" s="122"/>
      <c r="AE1114" s="122"/>
      <c r="AF1114" s="123">
        <f>AA1114/W1114</f>
        <v>0.12819047717587786</v>
      </c>
      <c r="AG1114" s="117"/>
      <c r="AH1114" s="124"/>
      <c r="AI1114" s="117"/>
      <c r="AJ1114" s="117"/>
      <c r="AK1114" s="89"/>
      <c r="AL1114" s="117"/>
      <c r="AM1114" s="117"/>
      <c r="AN1114" s="117"/>
      <c r="AO1114" s="117"/>
      <c r="AP1114" s="117"/>
      <c r="AQ1114" s="126"/>
      <c r="AR1114" s="117"/>
      <c r="AS1114" s="117"/>
      <c r="AT1114" s="117"/>
      <c r="AU1114" s="117"/>
      <c r="AV1114" s="281"/>
      <c r="AW1114" s="117">
        <f>VLOOKUP($D1114,'WB Data'!$C$3:$M$578,2,FALSE)</f>
        <v>3526947608.8832636</v>
      </c>
      <c r="AX1114" s="117">
        <f>VLOOKUP($D1114,'WB Data'!$C$3:$M$578,3,FALSE)</f>
        <v>3609420</v>
      </c>
      <c r="AY1114" s="847">
        <f t="shared" si="189"/>
        <v>7.6558725258937921E-2</v>
      </c>
      <c r="AZ1114" s="117" t="e">
        <f>VLOOKUP($D1114,'WB Data'!$C$3:$M$578,4,FALSE)/100</f>
        <v>#VALUE!</v>
      </c>
      <c r="BA1114" s="117" t="str">
        <f t="shared" si="190"/>
        <v>..</v>
      </c>
      <c r="BB1114" s="129">
        <f>IFERROR(VLOOKUP($D1114,'EITI Revenues'!$C$2:$G$224,5,FALSE),"..")</f>
        <v>270018612.99116182</v>
      </c>
      <c r="BC1114" s="846" t="str">
        <f t="shared" si="191"/>
        <v>..</v>
      </c>
      <c r="BD1114" s="129">
        <f>VLOOKUP($D1114,'WB Data 2'!$C$2:$K$545,6,FALSE)</f>
        <v>631056642.01089525</v>
      </c>
      <c r="BE1114" s="129">
        <f>IFERROR(VLOOKUP($D1114,UNCTAD!$C$5:$V$529,4,FALSE),"..")</f>
        <v>2201620299.0900002</v>
      </c>
      <c r="BF1114" s="846">
        <f t="shared" si="192"/>
        <v>0.28663282323102268</v>
      </c>
      <c r="BG1114" s="117">
        <f>VLOOKUP($D1114,'WB Data'!$C$3:$M$578,5,FALSE)</f>
        <v>374400000</v>
      </c>
      <c r="BH1114" s="129">
        <f>IFERROR($BB1114/$BG1114,"..")</f>
        <v>0.72120356033964161</v>
      </c>
      <c r="BI1114" s="117">
        <f>IFERROR(VLOOKUP($D1114,'WB Data'!$C$3:$M$578,7,FALSE)/100,"..")</f>
        <v>4.2585100000000001E-2</v>
      </c>
      <c r="BJ1114" s="117">
        <f>IFERROR($BI1114*$AW1114,"..")</f>
        <v>150195416.61905468</v>
      </c>
      <c r="BK1114" s="846">
        <f>IFERROR($BB1114/$BJ1114,"..")</f>
        <v>1.7977819767697603</v>
      </c>
      <c r="BL1114" s="117">
        <f>IFERROR(VLOOKUP($D1114,'WB Data'!$C$3:$M$578,7,FALSE)/100,"..")</f>
        <v>4.2585100000000001E-2</v>
      </c>
      <c r="BM1114" s="117">
        <f>IFERROR($AW1114*$BL1114,"..")</f>
        <v>150195416.61905468</v>
      </c>
      <c r="BN1114" s="846">
        <f>IFERROR($BB1114/$BM1114,"..")</f>
        <v>1.7977819767697603</v>
      </c>
      <c r="BO1114" s="801">
        <f t="shared" si="188"/>
        <v>30</v>
      </c>
      <c r="BP1114" s="117" t="str">
        <f>VLOOKUP($D1114,'WB Data'!$C$3:$M$578,9,FALSE)</f>
        <v>..</v>
      </c>
      <c r="BQ1114" s="117">
        <f>VLOOKUP($D1114,'WB Data'!$C$3:$M$578,10,FALSE)</f>
        <v>61.023243902439027</v>
      </c>
      <c r="BR1114" s="117">
        <f>VLOOKUP($D1114,'WB Data'!$C$3:$M$578,11,FALSE)</f>
        <v>70.2</v>
      </c>
      <c r="BS1114" s="129">
        <f>IFERROR(VLOOKUP($D1114,'WB Data 2'!$C$2:$K$545,9,FALSE),"..")</f>
        <v>70.835610000000003</v>
      </c>
      <c r="BT1114" s="129" t="str">
        <f>_xlfn.IFNA(VLOOKUP($C1114,RGI!$A$2:$C$43,2,FALSE),"..")</f>
        <v>..</v>
      </c>
      <c r="BU1114" s="129" t="str">
        <f>_xlfn.IFNA(VLOOKUP($C1114,RGI!$A$2:$C$43,3,FALSE),"..")</f>
        <v>..</v>
      </c>
      <c r="BV1114" s="129">
        <f>VLOOKUP($D1114,WGI!$C$2:$O$478,7,FALSE)</f>
        <v>-0.95110337990716798</v>
      </c>
      <c r="BW1114" s="129">
        <f>VLOOKUP($D1114,WGI!$C$2:$O$478,4,FALSE)</f>
        <v>-1.07960399034544</v>
      </c>
      <c r="BX1114" s="129">
        <f>VLOOKUP($D1114,WGI!$C$2:$O$478,3,FALSE)</f>
        <v>-0.96292979952077495</v>
      </c>
      <c r="BY1114" s="129">
        <f>VLOOKUP($D1114,WGI!$C$2:$O$478,5,FALSE)</f>
        <v>-0.82039421725702699</v>
      </c>
      <c r="BZ1114" s="129">
        <f>VLOOKUP($D1114,WGI!$C$2:$O$478,2,FALSE)</f>
        <v>-0.67102097918569303</v>
      </c>
      <c r="CB1114" s="129"/>
    </row>
    <row r="1115" spans="1:80" s="120" customFormat="1" ht="15" customHeight="1">
      <c r="A1115" s="294" t="s">
        <v>357</v>
      </c>
      <c r="B1115" s="214">
        <v>2010</v>
      </c>
      <c r="C1115" s="809" t="s">
        <v>345</v>
      </c>
      <c r="D1115" s="117" t="s">
        <v>3673</v>
      </c>
      <c r="E1115" s="452" t="s">
        <v>86</v>
      </c>
      <c r="F1115" s="117"/>
      <c r="G1115" s="117" t="s">
        <v>24</v>
      </c>
      <c r="H1115" s="117" t="str">
        <f t="shared" si="196"/>
        <v>yes</v>
      </c>
      <c r="I1115" s="117" t="str">
        <f t="shared" si="193"/>
        <v>no</v>
      </c>
      <c r="J1115" s="117" t="str">
        <f t="shared" si="194"/>
        <v>no</v>
      </c>
      <c r="K1115" s="117" t="s">
        <v>609</v>
      </c>
      <c r="L1115" s="117" t="str">
        <f t="shared" si="197"/>
        <v>detailed</v>
      </c>
      <c r="M1115" s="117" t="str">
        <f t="shared" si="195"/>
        <v>detailed Mining</v>
      </c>
      <c r="N1115" s="179">
        <v>552382</v>
      </c>
      <c r="O1115" s="179"/>
      <c r="P1115" s="179"/>
      <c r="Q1115" s="179"/>
      <c r="R1115" s="179"/>
      <c r="S1115" s="117" t="s">
        <v>610</v>
      </c>
      <c r="T1115" s="119">
        <v>92</v>
      </c>
      <c r="U1115" s="117" t="s">
        <v>611</v>
      </c>
      <c r="V1115" s="117" t="s">
        <v>1732</v>
      </c>
      <c r="W1115" s="89">
        <f>N1115*T1115</f>
        <v>50819144</v>
      </c>
      <c r="X1115" s="117"/>
      <c r="Y1115" s="117"/>
      <c r="Z1115" s="117"/>
      <c r="AA1115" s="179"/>
      <c r="AB1115" s="179"/>
      <c r="AC1115" s="212"/>
      <c r="AD1115" s="212"/>
      <c r="AE1115" s="212"/>
      <c r="AF1115" s="213"/>
      <c r="AG1115" s="117"/>
      <c r="AH1115" s="124"/>
      <c r="AI1115" s="117"/>
      <c r="AJ1115" s="117"/>
      <c r="AK1115" s="89"/>
      <c r="AL1115" s="117"/>
      <c r="AM1115" s="117"/>
      <c r="AN1115" s="117"/>
      <c r="AO1115" s="117"/>
      <c r="AP1115" s="117"/>
      <c r="AQ1115" s="126"/>
      <c r="AR1115" s="117"/>
      <c r="AS1115" s="117"/>
      <c r="AT1115" s="117"/>
      <c r="AU1115" s="117"/>
      <c r="AV1115" s="281"/>
      <c r="AW1115" s="117">
        <f>VLOOKUP($D1115,'WB Data'!$C$3:$M$578,2,FALSE)</f>
        <v>3526947608.8832636</v>
      </c>
      <c r="AX1115" s="117">
        <f>VLOOKUP($D1115,'WB Data'!$C$3:$M$578,3,FALSE)</f>
        <v>3609420</v>
      </c>
      <c r="AY1115" s="847">
        <f t="shared" si="189"/>
        <v>7.6558725258937921E-2</v>
      </c>
      <c r="AZ1115" s="117" t="e">
        <f>VLOOKUP($D1115,'WB Data'!$C$3:$M$578,4,FALSE)/100</f>
        <v>#VALUE!</v>
      </c>
      <c r="BA1115" s="117" t="str">
        <f t="shared" si="190"/>
        <v>..</v>
      </c>
      <c r="BB1115" s="129">
        <f>IFERROR(VLOOKUP($D1115,'EITI Revenues'!$C$2:$G$224,5,FALSE),"..")</f>
        <v>270018612.99116182</v>
      </c>
      <c r="BC1115" s="846" t="str">
        <f t="shared" si="191"/>
        <v>..</v>
      </c>
      <c r="BD1115" s="129">
        <f>VLOOKUP($D1115,'WB Data 2'!$C$2:$K$545,6,FALSE)</f>
        <v>631056642.01089525</v>
      </c>
      <c r="BE1115" s="129">
        <f>IFERROR(VLOOKUP($D1115,UNCTAD!$C$5:$V$529,4,FALSE),"..")</f>
        <v>2201620299.0900002</v>
      </c>
      <c r="BF1115" s="846">
        <f t="shared" si="192"/>
        <v>0.28663282323102268</v>
      </c>
      <c r="BG1115" s="117">
        <f>VLOOKUP($D1115,'WB Data'!$C$3:$M$578,5,FALSE)</f>
        <v>374400000</v>
      </c>
      <c r="BH1115" s="129">
        <f>IFERROR($BB1115/$BG1115,"..")</f>
        <v>0.72120356033964161</v>
      </c>
      <c r="BI1115" s="117">
        <f>IFERROR(VLOOKUP($D1115,'WB Data'!$C$3:$M$578,7,FALSE)/100,"..")</f>
        <v>4.2585100000000001E-2</v>
      </c>
      <c r="BJ1115" s="117">
        <f>IFERROR($BI1115*$AW1115,"..")</f>
        <v>150195416.61905468</v>
      </c>
      <c r="BK1115" s="846">
        <f>IFERROR($BB1115/$BJ1115,"..")</f>
        <v>1.7977819767697603</v>
      </c>
      <c r="BL1115" s="117">
        <f>IFERROR(VLOOKUP($D1115,'WB Data'!$C$3:$M$578,7,FALSE)/100,"..")</f>
        <v>4.2585100000000001E-2</v>
      </c>
      <c r="BM1115" s="117">
        <f>IFERROR($AW1115*$BL1115,"..")</f>
        <v>150195416.61905468</v>
      </c>
      <c r="BN1115" s="846">
        <f>IFERROR($BB1115/$BM1115,"..")</f>
        <v>1.7977819767697603</v>
      </c>
      <c r="BO1115" s="801">
        <f t="shared" si="188"/>
        <v>30</v>
      </c>
      <c r="BP1115" s="117" t="str">
        <f>VLOOKUP($D1115,'WB Data'!$C$3:$M$578,9,FALSE)</f>
        <v>..</v>
      </c>
      <c r="BQ1115" s="117">
        <f>VLOOKUP($D1115,'WB Data'!$C$3:$M$578,10,FALSE)</f>
        <v>61.023243902439027</v>
      </c>
      <c r="BR1115" s="117">
        <f>VLOOKUP($D1115,'WB Data'!$C$3:$M$578,11,FALSE)</f>
        <v>70.2</v>
      </c>
      <c r="BS1115" s="129">
        <f>IFERROR(VLOOKUP($D1115,'WB Data 2'!$C$2:$K$545,9,FALSE),"..")</f>
        <v>70.835610000000003</v>
      </c>
      <c r="BT1115" s="129" t="str">
        <f>_xlfn.IFNA(VLOOKUP($C1115,RGI!$A$2:$C$43,2,FALSE),"..")</f>
        <v>..</v>
      </c>
      <c r="BU1115" s="129" t="str">
        <f>_xlfn.IFNA(VLOOKUP($C1115,RGI!$A$2:$C$43,3,FALSE),"..")</f>
        <v>..</v>
      </c>
      <c r="BV1115" s="129">
        <f>VLOOKUP($D1115,WGI!$C$2:$O$478,7,FALSE)</f>
        <v>-0.95110337990716798</v>
      </c>
      <c r="BW1115" s="129">
        <f>VLOOKUP($D1115,WGI!$C$2:$O$478,4,FALSE)</f>
        <v>-1.07960399034544</v>
      </c>
      <c r="BX1115" s="129">
        <f>VLOOKUP($D1115,WGI!$C$2:$O$478,3,FALSE)</f>
        <v>-0.96292979952077495</v>
      </c>
      <c r="BY1115" s="129">
        <f>VLOOKUP($D1115,WGI!$C$2:$O$478,5,FALSE)</f>
        <v>-0.82039421725702699</v>
      </c>
      <c r="BZ1115" s="129">
        <f>VLOOKUP($D1115,WGI!$C$2:$O$478,2,FALSE)</f>
        <v>-0.67102097918569303</v>
      </c>
      <c r="CB1115" s="129"/>
    </row>
    <row r="1116" spans="1:80" s="120" customFormat="1" ht="15" customHeight="1">
      <c r="A1116" s="294" t="s">
        <v>357</v>
      </c>
      <c r="B1116" s="214">
        <v>2010</v>
      </c>
      <c r="C1116" s="809" t="s">
        <v>345</v>
      </c>
      <c r="D1116" s="117" t="s">
        <v>3673</v>
      </c>
      <c r="E1116" s="452" t="s">
        <v>86</v>
      </c>
      <c r="F1116" s="117"/>
      <c r="G1116" s="117" t="s">
        <v>24</v>
      </c>
      <c r="H1116" s="117" t="str">
        <f t="shared" si="196"/>
        <v>yes</v>
      </c>
      <c r="I1116" s="117" t="str">
        <f t="shared" si="193"/>
        <v>no</v>
      </c>
      <c r="J1116" s="117" t="str">
        <f t="shared" si="194"/>
        <v>no</v>
      </c>
      <c r="K1116" s="117" t="s">
        <v>1715</v>
      </c>
      <c r="L1116" s="117" t="str">
        <f t="shared" si="197"/>
        <v>detailed</v>
      </c>
      <c r="M1116" s="117" t="str">
        <f t="shared" si="195"/>
        <v>detailed Mining</v>
      </c>
      <c r="N1116" s="179">
        <v>37000</v>
      </c>
      <c r="O1116" s="179"/>
      <c r="P1116" s="179"/>
      <c r="Q1116" s="179"/>
      <c r="R1116" s="179"/>
      <c r="S1116" s="117" t="s">
        <v>610</v>
      </c>
      <c r="T1116" s="180">
        <v>5135.1400000000003</v>
      </c>
      <c r="U1116" s="117" t="s">
        <v>611</v>
      </c>
      <c r="V1116" s="401" t="s">
        <v>1297</v>
      </c>
      <c r="W1116" s="89">
        <f>N1116*T1116</f>
        <v>190000180</v>
      </c>
      <c r="X1116" s="117"/>
      <c r="Y1116" s="117"/>
      <c r="Z1116" s="117"/>
      <c r="AA1116" s="179"/>
      <c r="AB1116" s="179"/>
      <c r="AC1116" s="212"/>
      <c r="AD1116" s="212"/>
      <c r="AE1116" s="212"/>
      <c r="AF1116" s="213"/>
      <c r="AG1116" s="117"/>
      <c r="AH1116" s="124"/>
      <c r="AI1116" s="117"/>
      <c r="AJ1116" s="117"/>
      <c r="AK1116" s="89"/>
      <c r="AL1116" s="117"/>
      <c r="AM1116" s="117"/>
      <c r="AN1116" s="117"/>
      <c r="AO1116" s="117"/>
      <c r="AP1116" s="117"/>
      <c r="AQ1116" s="126"/>
      <c r="AR1116" s="117"/>
      <c r="AS1116" s="117"/>
      <c r="AT1116" s="117"/>
      <c r="AU1116" s="117"/>
      <c r="AV1116" s="281" t="s">
        <v>1733</v>
      </c>
      <c r="AW1116" s="117">
        <f>VLOOKUP($D1116,'WB Data'!$C$3:$M$578,2,FALSE)</f>
        <v>3526947608.8832636</v>
      </c>
      <c r="AX1116" s="117">
        <f>VLOOKUP($D1116,'WB Data'!$C$3:$M$578,3,FALSE)</f>
        <v>3609420</v>
      </c>
      <c r="AY1116" s="847">
        <f t="shared" si="189"/>
        <v>7.6558725258937921E-2</v>
      </c>
      <c r="AZ1116" s="117" t="e">
        <f>VLOOKUP($D1116,'WB Data'!$C$3:$M$578,4,FALSE)/100</f>
        <v>#VALUE!</v>
      </c>
      <c r="BA1116" s="117" t="str">
        <f t="shared" si="190"/>
        <v>..</v>
      </c>
      <c r="BB1116" s="129">
        <f>IFERROR(VLOOKUP($D1116,'EITI Revenues'!$C$2:$G$224,5,FALSE),"..")</f>
        <v>270018612.99116182</v>
      </c>
      <c r="BC1116" s="846" t="str">
        <f t="shared" si="191"/>
        <v>..</v>
      </c>
      <c r="BD1116" s="129">
        <f>VLOOKUP($D1116,'WB Data 2'!$C$2:$K$545,6,FALSE)</f>
        <v>631056642.01089525</v>
      </c>
      <c r="BE1116" s="129">
        <f>IFERROR(VLOOKUP($D1116,UNCTAD!$C$5:$V$529,4,FALSE),"..")</f>
        <v>2201620299.0900002</v>
      </c>
      <c r="BF1116" s="846">
        <f t="shared" si="192"/>
        <v>0.28663282323102268</v>
      </c>
      <c r="BG1116" s="117">
        <f>VLOOKUP($D1116,'WB Data'!$C$3:$M$578,5,FALSE)</f>
        <v>374400000</v>
      </c>
      <c r="BH1116" s="129">
        <f>IFERROR($BB1116/$BG1116,"..")</f>
        <v>0.72120356033964161</v>
      </c>
      <c r="BI1116" s="117">
        <f>IFERROR(VLOOKUP($D1116,'WB Data'!$C$3:$M$578,7,FALSE)/100,"..")</f>
        <v>4.2585100000000001E-2</v>
      </c>
      <c r="BJ1116" s="117">
        <f>IFERROR($BI1116*$AW1116,"..")</f>
        <v>150195416.61905468</v>
      </c>
      <c r="BK1116" s="846">
        <f>IFERROR($BB1116/$BJ1116,"..")</f>
        <v>1.7977819767697603</v>
      </c>
      <c r="BL1116" s="117">
        <f>IFERROR(VLOOKUP($D1116,'WB Data'!$C$3:$M$578,7,FALSE)/100,"..")</f>
        <v>4.2585100000000001E-2</v>
      </c>
      <c r="BM1116" s="117">
        <f>IFERROR($AW1116*$BL1116,"..")</f>
        <v>150195416.61905468</v>
      </c>
      <c r="BN1116" s="846">
        <f>IFERROR($BB1116/$BM1116,"..")</f>
        <v>1.7977819767697603</v>
      </c>
      <c r="BO1116" s="801">
        <f t="shared" si="188"/>
        <v>30</v>
      </c>
      <c r="BP1116" s="117" t="str">
        <f>VLOOKUP($D1116,'WB Data'!$C$3:$M$578,9,FALSE)</f>
        <v>..</v>
      </c>
      <c r="BQ1116" s="117">
        <f>VLOOKUP($D1116,'WB Data'!$C$3:$M$578,10,FALSE)</f>
        <v>61.023243902439027</v>
      </c>
      <c r="BR1116" s="117">
        <f>VLOOKUP($D1116,'WB Data'!$C$3:$M$578,11,FALSE)</f>
        <v>70.2</v>
      </c>
      <c r="BS1116" s="129">
        <f>IFERROR(VLOOKUP($D1116,'WB Data 2'!$C$2:$K$545,9,FALSE),"..")</f>
        <v>70.835610000000003</v>
      </c>
      <c r="BT1116" s="129" t="str">
        <f>_xlfn.IFNA(VLOOKUP($C1116,RGI!$A$2:$C$43,2,FALSE),"..")</f>
        <v>..</v>
      </c>
      <c r="BU1116" s="129" t="str">
        <f>_xlfn.IFNA(VLOOKUP($C1116,RGI!$A$2:$C$43,3,FALSE),"..")</f>
        <v>..</v>
      </c>
      <c r="BV1116" s="129">
        <f>VLOOKUP($D1116,WGI!$C$2:$O$478,7,FALSE)</f>
        <v>-0.95110337990716798</v>
      </c>
      <c r="BW1116" s="129">
        <f>VLOOKUP($D1116,WGI!$C$2:$O$478,4,FALSE)</f>
        <v>-1.07960399034544</v>
      </c>
      <c r="BX1116" s="129">
        <f>VLOOKUP($D1116,WGI!$C$2:$O$478,3,FALSE)</f>
        <v>-0.96292979952077495</v>
      </c>
      <c r="BY1116" s="129">
        <f>VLOOKUP($D1116,WGI!$C$2:$O$478,5,FALSE)</f>
        <v>-0.82039421725702699</v>
      </c>
      <c r="BZ1116" s="129">
        <f>VLOOKUP($D1116,WGI!$C$2:$O$478,2,FALSE)</f>
        <v>-0.67102097918569303</v>
      </c>
      <c r="CB1116" s="129"/>
    </row>
    <row r="1117" spans="1:80" s="120" customFormat="1" ht="15" customHeight="1">
      <c r="A1117" s="294" t="s">
        <v>357</v>
      </c>
      <c r="B1117" s="214">
        <v>2010</v>
      </c>
      <c r="C1117" s="809" t="s">
        <v>345</v>
      </c>
      <c r="D1117" s="117" t="s">
        <v>3673</v>
      </c>
      <c r="E1117" s="452" t="s">
        <v>86</v>
      </c>
      <c r="F1117" s="117"/>
      <c r="G1117" s="117" t="s">
        <v>24</v>
      </c>
      <c r="H1117" s="117" t="str">
        <f t="shared" si="196"/>
        <v>yes</v>
      </c>
      <c r="I1117" s="117" t="str">
        <f t="shared" si="193"/>
        <v>no</v>
      </c>
      <c r="J1117" s="117" t="str">
        <f t="shared" si="194"/>
        <v>no</v>
      </c>
      <c r="K1117" s="117" t="s">
        <v>784</v>
      </c>
      <c r="L1117" s="117" t="str">
        <f t="shared" si="197"/>
        <v>detailed</v>
      </c>
      <c r="M1117" s="117" t="str">
        <f t="shared" si="195"/>
        <v>detailed Mining</v>
      </c>
      <c r="N1117" s="179">
        <f>8305*32.150743126506</f>
        <v>267011.92166563234</v>
      </c>
      <c r="O1117" s="179"/>
      <c r="P1117" s="179"/>
      <c r="Q1117" s="179"/>
      <c r="R1117" s="179"/>
      <c r="S1117" s="117" t="s">
        <v>785</v>
      </c>
      <c r="T1117" s="119">
        <v>1205.26</v>
      </c>
      <c r="U1117" s="117" t="s">
        <v>786</v>
      </c>
      <c r="V1117" s="401" t="s">
        <v>1297</v>
      </c>
      <c r="W1117" s="89">
        <f>N1117*T1117</f>
        <v>321818788.70672005</v>
      </c>
      <c r="X1117" s="117"/>
      <c r="Y1117" s="117"/>
      <c r="Z1117" s="117"/>
      <c r="AA1117" s="179"/>
      <c r="AB1117" s="179"/>
      <c r="AC1117" s="212"/>
      <c r="AD1117" s="212"/>
      <c r="AE1117" s="212"/>
      <c r="AF1117" s="213"/>
      <c r="AG1117" s="117"/>
      <c r="AH1117" s="124"/>
      <c r="AI1117" s="117"/>
      <c r="AJ1117" s="117"/>
      <c r="AK1117" s="89"/>
      <c r="AL1117" s="117"/>
      <c r="AM1117" s="117"/>
      <c r="AN1117" s="117"/>
      <c r="AO1117" s="117"/>
      <c r="AP1117" s="117"/>
      <c r="AQ1117" s="126"/>
      <c r="AR1117" s="117"/>
      <c r="AS1117" s="117"/>
      <c r="AT1117" s="117"/>
      <c r="AU1117" s="117"/>
      <c r="AV1117" s="281" t="s">
        <v>1734</v>
      </c>
      <c r="AW1117" s="117">
        <f>VLOOKUP($D1117,'WB Data'!$C$3:$M$578,2,FALSE)</f>
        <v>3526947608.8832636</v>
      </c>
      <c r="AX1117" s="117">
        <f>VLOOKUP($D1117,'WB Data'!$C$3:$M$578,3,FALSE)</f>
        <v>3609420</v>
      </c>
      <c r="AY1117" s="847">
        <f t="shared" si="189"/>
        <v>7.6558725258937921E-2</v>
      </c>
      <c r="AZ1117" s="117" t="e">
        <f>VLOOKUP($D1117,'WB Data'!$C$3:$M$578,4,FALSE)/100</f>
        <v>#VALUE!</v>
      </c>
      <c r="BA1117" s="117" t="str">
        <f t="shared" si="190"/>
        <v>..</v>
      </c>
      <c r="BB1117" s="129">
        <f>IFERROR(VLOOKUP($D1117,'EITI Revenues'!$C$2:$G$224,5,FALSE),"..")</f>
        <v>270018612.99116182</v>
      </c>
      <c r="BC1117" s="846" t="str">
        <f t="shared" si="191"/>
        <v>..</v>
      </c>
      <c r="BD1117" s="129">
        <f>VLOOKUP($D1117,'WB Data 2'!$C$2:$K$545,6,FALSE)</f>
        <v>631056642.01089525</v>
      </c>
      <c r="BE1117" s="129">
        <f>IFERROR(VLOOKUP($D1117,UNCTAD!$C$5:$V$529,4,FALSE),"..")</f>
        <v>2201620299.0900002</v>
      </c>
      <c r="BF1117" s="846">
        <f t="shared" si="192"/>
        <v>0.28663282323102268</v>
      </c>
      <c r="BG1117" s="117">
        <f>VLOOKUP($D1117,'WB Data'!$C$3:$M$578,5,FALSE)</f>
        <v>374400000</v>
      </c>
      <c r="BH1117" s="129">
        <f>IFERROR($BB1117/$BG1117,"..")</f>
        <v>0.72120356033964161</v>
      </c>
      <c r="BI1117" s="117">
        <f>IFERROR(VLOOKUP($D1117,'WB Data'!$C$3:$M$578,7,FALSE)/100,"..")</f>
        <v>4.2585100000000001E-2</v>
      </c>
      <c r="BJ1117" s="117">
        <f>IFERROR($BI1117*$AW1117,"..")</f>
        <v>150195416.61905468</v>
      </c>
      <c r="BK1117" s="846">
        <f>IFERROR($BB1117/$BJ1117,"..")</f>
        <v>1.7977819767697603</v>
      </c>
      <c r="BL1117" s="117">
        <f>IFERROR(VLOOKUP($D1117,'WB Data'!$C$3:$M$578,7,FALSE)/100,"..")</f>
        <v>4.2585100000000001E-2</v>
      </c>
      <c r="BM1117" s="117">
        <f>IFERROR($AW1117*$BL1117,"..")</f>
        <v>150195416.61905468</v>
      </c>
      <c r="BN1117" s="846">
        <f>IFERROR($BB1117/$BM1117,"..")</f>
        <v>1.7977819767697603</v>
      </c>
      <c r="BO1117" s="801">
        <f t="shared" si="188"/>
        <v>30</v>
      </c>
      <c r="BP1117" s="117" t="str">
        <f>VLOOKUP($D1117,'WB Data'!$C$3:$M$578,9,FALSE)</f>
        <v>..</v>
      </c>
      <c r="BQ1117" s="117">
        <f>VLOOKUP($D1117,'WB Data'!$C$3:$M$578,10,FALSE)</f>
        <v>61.023243902439027</v>
      </c>
      <c r="BR1117" s="117">
        <f>VLOOKUP($D1117,'WB Data'!$C$3:$M$578,11,FALSE)</f>
        <v>70.2</v>
      </c>
      <c r="BS1117" s="129">
        <f>IFERROR(VLOOKUP($D1117,'WB Data 2'!$C$2:$K$545,9,FALSE),"..")</f>
        <v>70.835610000000003</v>
      </c>
      <c r="BT1117" s="129" t="str">
        <f>_xlfn.IFNA(VLOOKUP($C1117,RGI!$A$2:$C$43,2,FALSE),"..")</f>
        <v>..</v>
      </c>
      <c r="BU1117" s="129" t="str">
        <f>_xlfn.IFNA(VLOOKUP($C1117,RGI!$A$2:$C$43,3,FALSE),"..")</f>
        <v>..</v>
      </c>
      <c r="BV1117" s="129">
        <f>VLOOKUP($D1117,WGI!$C$2:$O$478,7,FALSE)</f>
        <v>-0.95110337990716798</v>
      </c>
      <c r="BW1117" s="129">
        <f>VLOOKUP($D1117,WGI!$C$2:$O$478,4,FALSE)</f>
        <v>-1.07960399034544</v>
      </c>
      <c r="BX1117" s="129">
        <f>VLOOKUP($D1117,WGI!$C$2:$O$478,3,FALSE)</f>
        <v>-0.96292979952077495</v>
      </c>
      <c r="BY1117" s="129">
        <f>VLOOKUP($D1117,WGI!$C$2:$O$478,5,FALSE)</f>
        <v>-0.82039421725702699</v>
      </c>
      <c r="BZ1117" s="129">
        <f>VLOOKUP($D1117,WGI!$C$2:$O$478,2,FALSE)</f>
        <v>-0.67102097918569303</v>
      </c>
      <c r="CB1117" s="129"/>
    </row>
    <row r="1118" spans="1:80" s="158" customFormat="1" ht="15" customHeight="1">
      <c r="A1118" s="295" t="s">
        <v>357</v>
      </c>
      <c r="B1118" s="218">
        <v>2010</v>
      </c>
      <c r="C1118" s="810" t="s">
        <v>345</v>
      </c>
      <c r="D1118" s="117" t="s">
        <v>3673</v>
      </c>
      <c r="E1118" s="453" t="s">
        <v>86</v>
      </c>
      <c r="F1118" s="149"/>
      <c r="G1118" s="149" t="s">
        <v>24</v>
      </c>
      <c r="H1118" s="149" t="str">
        <f t="shared" si="196"/>
        <v>yes</v>
      </c>
      <c r="I1118" s="149" t="str">
        <f t="shared" si="193"/>
        <v>no</v>
      </c>
      <c r="J1118" s="149" t="str">
        <f t="shared" si="194"/>
        <v>no</v>
      </c>
      <c r="K1118" s="149" t="s">
        <v>1228</v>
      </c>
      <c r="L1118" s="149" t="str">
        <f t="shared" si="197"/>
        <v>detailed</v>
      </c>
      <c r="M1118" s="149" t="str">
        <f t="shared" si="195"/>
        <v>detailed Mining</v>
      </c>
      <c r="N1118" s="216">
        <v>11534000</v>
      </c>
      <c r="O1118" s="216"/>
      <c r="P1118" s="216"/>
      <c r="Q1118" s="216"/>
      <c r="R1118" s="216"/>
      <c r="S1118" s="149" t="s">
        <v>610</v>
      </c>
      <c r="T1118" s="151">
        <v>87</v>
      </c>
      <c r="U1118" s="149" t="s">
        <v>611</v>
      </c>
      <c r="V1118" s="591" t="s">
        <v>1297</v>
      </c>
      <c r="W1118" s="152">
        <f>N1118*T1118</f>
        <v>1003458000</v>
      </c>
      <c r="X1118" s="149"/>
      <c r="Y1118" s="149"/>
      <c r="Z1118" s="149"/>
      <c r="AA1118" s="216"/>
      <c r="AB1118" s="216"/>
      <c r="AC1118" s="217"/>
      <c r="AD1118" s="217"/>
      <c r="AE1118" s="217"/>
      <c r="AF1118" s="230"/>
      <c r="AG1118" s="149"/>
      <c r="AH1118" s="156"/>
      <c r="AI1118" s="149"/>
      <c r="AJ1118" s="149"/>
      <c r="AK1118" s="152"/>
      <c r="AL1118" s="149"/>
      <c r="AM1118" s="149"/>
      <c r="AN1118" s="149"/>
      <c r="AO1118" s="149"/>
      <c r="AP1118" s="149"/>
      <c r="AQ1118" s="220"/>
      <c r="AR1118" s="149"/>
      <c r="AS1118" s="149"/>
      <c r="AT1118" s="149"/>
      <c r="AU1118" s="149"/>
      <c r="AV1118" s="592" t="s">
        <v>1735</v>
      </c>
      <c r="AW1118" s="117">
        <f>VLOOKUP($D1118,'WB Data'!$C$3:$M$578,2,FALSE)</f>
        <v>3526947608.8832636</v>
      </c>
      <c r="AX1118" s="117">
        <f>VLOOKUP($D1118,'WB Data'!$C$3:$M$578,3,FALSE)</f>
        <v>3609420</v>
      </c>
      <c r="AY1118" s="847">
        <f t="shared" si="189"/>
        <v>7.6558725258937921E-2</v>
      </c>
      <c r="AZ1118" s="117" t="e">
        <f>VLOOKUP($D1118,'WB Data'!$C$3:$M$578,4,FALSE)/100</f>
        <v>#VALUE!</v>
      </c>
      <c r="BA1118" s="117" t="str">
        <f t="shared" si="190"/>
        <v>..</v>
      </c>
      <c r="BB1118" s="129">
        <f>IFERROR(VLOOKUP($D1118,'EITI Revenues'!$C$2:$G$224,5,FALSE),"..")</f>
        <v>270018612.99116182</v>
      </c>
      <c r="BC1118" s="846" t="str">
        <f t="shared" si="191"/>
        <v>..</v>
      </c>
      <c r="BD1118" s="129">
        <f>VLOOKUP($D1118,'WB Data 2'!$C$2:$K$545,6,FALSE)</f>
        <v>631056642.01089525</v>
      </c>
      <c r="BE1118" s="129">
        <f>IFERROR(VLOOKUP($D1118,UNCTAD!$C$5:$V$529,4,FALSE),"..")</f>
        <v>2201620299.0900002</v>
      </c>
      <c r="BF1118" s="846">
        <f t="shared" si="192"/>
        <v>0.28663282323102268</v>
      </c>
      <c r="BG1118" s="117">
        <f>VLOOKUP($D1118,'WB Data'!$C$3:$M$578,5,FALSE)</f>
        <v>374400000</v>
      </c>
      <c r="BH1118" s="129">
        <f>IFERROR($BB1118/$BG1118,"..")</f>
        <v>0.72120356033964161</v>
      </c>
      <c r="BI1118" s="117">
        <f>IFERROR(VLOOKUP($D1118,'WB Data'!$C$3:$M$578,7,FALSE)/100,"..")</f>
        <v>4.2585100000000001E-2</v>
      </c>
      <c r="BJ1118" s="117">
        <f>IFERROR($BI1118*$AW1118,"..")</f>
        <v>150195416.61905468</v>
      </c>
      <c r="BK1118" s="846">
        <f>IFERROR($BB1118/$BJ1118,"..")</f>
        <v>1.7977819767697603</v>
      </c>
      <c r="BL1118" s="117">
        <f>IFERROR(VLOOKUP($D1118,'WB Data'!$C$3:$M$578,7,FALSE)/100,"..")</f>
        <v>4.2585100000000001E-2</v>
      </c>
      <c r="BM1118" s="117">
        <f>IFERROR($AW1118*$BL1118,"..")</f>
        <v>150195416.61905468</v>
      </c>
      <c r="BN1118" s="846">
        <f>IFERROR($BB1118/$BM1118,"..")</f>
        <v>1.7977819767697603</v>
      </c>
      <c r="BO1118" s="801">
        <f t="shared" si="188"/>
        <v>30</v>
      </c>
      <c r="BP1118" s="117" t="str">
        <f>VLOOKUP($D1118,'WB Data'!$C$3:$M$578,9,FALSE)</f>
        <v>..</v>
      </c>
      <c r="BQ1118" s="117">
        <f>VLOOKUP($D1118,'WB Data'!$C$3:$M$578,10,FALSE)</f>
        <v>61.023243902439027</v>
      </c>
      <c r="BR1118" s="117">
        <f>VLOOKUP($D1118,'WB Data'!$C$3:$M$578,11,FALSE)</f>
        <v>70.2</v>
      </c>
      <c r="BS1118" s="129">
        <f>IFERROR(VLOOKUP($D1118,'WB Data 2'!$C$2:$K$545,9,FALSE),"..")</f>
        <v>70.835610000000003</v>
      </c>
      <c r="BT1118" s="129" t="str">
        <f>_xlfn.IFNA(VLOOKUP($C1118,RGI!$A$2:$C$43,2,FALSE),"..")</f>
        <v>..</v>
      </c>
      <c r="BU1118" s="129" t="str">
        <f>_xlfn.IFNA(VLOOKUP($C1118,RGI!$A$2:$C$43,3,FALSE),"..")</f>
        <v>..</v>
      </c>
      <c r="BV1118" s="129">
        <f>VLOOKUP($D1118,WGI!$C$2:$O$478,7,FALSE)</f>
        <v>-0.95110337990716798</v>
      </c>
      <c r="BW1118" s="129">
        <f>VLOOKUP($D1118,WGI!$C$2:$O$478,4,FALSE)</f>
        <v>-1.07960399034544</v>
      </c>
      <c r="BX1118" s="129">
        <f>VLOOKUP($D1118,WGI!$C$2:$O$478,3,FALSE)</f>
        <v>-0.96292979952077495</v>
      </c>
      <c r="BY1118" s="129">
        <f>VLOOKUP($D1118,WGI!$C$2:$O$478,5,FALSE)</f>
        <v>-0.82039421725702699</v>
      </c>
      <c r="BZ1118" s="129">
        <f>VLOOKUP($D1118,WGI!$C$2:$O$478,2,FALSE)</f>
        <v>-0.67102097918569303</v>
      </c>
      <c r="CB1118" s="129"/>
    </row>
    <row r="1119" spans="1:80" ht="15" customHeight="1">
      <c r="A1119" s="294" t="s">
        <v>359</v>
      </c>
      <c r="B1119" s="214">
        <v>2011</v>
      </c>
      <c r="C1119" s="809" t="s">
        <v>345</v>
      </c>
      <c r="D1119" s="117" t="s">
        <v>3707</v>
      </c>
      <c r="E1119" s="452" t="s">
        <v>86</v>
      </c>
      <c r="F1119" s="117" t="s">
        <v>1711</v>
      </c>
      <c r="G1119" s="117" t="s">
        <v>41</v>
      </c>
      <c r="H1119" s="117" t="str">
        <f t="shared" si="196"/>
        <v>yes</v>
      </c>
      <c r="I1119" s="117" t="str">
        <f t="shared" si="193"/>
        <v>no</v>
      </c>
      <c r="J1119" s="117" t="str">
        <f t="shared" si="194"/>
        <v>yes</v>
      </c>
      <c r="K1119" s="117" t="s">
        <v>709</v>
      </c>
      <c r="L1119" s="117" t="str">
        <f t="shared" si="197"/>
        <v>Total</v>
      </c>
      <c r="M1119" s="117" t="str">
        <f t="shared" si="195"/>
        <v>Total Oil, Mining</v>
      </c>
      <c r="N1119" s="179"/>
      <c r="O1119" s="179"/>
      <c r="P1119" s="179"/>
      <c r="Q1119" s="179"/>
      <c r="R1119" s="179"/>
      <c r="S1119" s="117"/>
      <c r="T1119" s="119"/>
      <c r="U1119" s="117"/>
      <c r="V1119" s="117"/>
      <c r="W1119" s="89">
        <f>W1120+W1121</f>
        <v>2068434236.7701116</v>
      </c>
      <c r="X1119" s="117" t="s">
        <v>1725</v>
      </c>
      <c r="Y1119" s="117" t="s">
        <v>663</v>
      </c>
      <c r="Z1119" s="117" t="s">
        <v>1726</v>
      </c>
      <c r="AA1119" s="334">
        <v>448018316.76552463</v>
      </c>
      <c r="AB1119" s="334">
        <v>429224820.98045433</v>
      </c>
      <c r="AC1119" s="122"/>
      <c r="AD1119" s="122"/>
      <c r="AE1119" s="122"/>
      <c r="AF1119" s="123">
        <f>AA1119/W1119</f>
        <v>0.21659780562572362</v>
      </c>
      <c r="AG1119" s="117" t="s">
        <v>1722</v>
      </c>
      <c r="AH1119" s="124">
        <v>277.3</v>
      </c>
      <c r="AI1119" s="117" t="s">
        <v>722</v>
      </c>
      <c r="AJ1119" s="89" t="s">
        <v>1736</v>
      </c>
      <c r="AK1119" s="89">
        <f>297764*108.9+48062000</f>
        <v>80488499.599999994</v>
      </c>
      <c r="AL1119" s="89"/>
      <c r="AM1119" s="117"/>
      <c r="AN1119" s="117">
        <v>70</v>
      </c>
      <c r="AO1119" s="117" t="s">
        <v>1737</v>
      </c>
      <c r="AP1119" s="117">
        <v>63</v>
      </c>
      <c r="AQ1119" s="117" t="s">
        <v>82</v>
      </c>
      <c r="AR1119" s="126">
        <v>41957</v>
      </c>
      <c r="AS1119" s="117" t="s">
        <v>670</v>
      </c>
      <c r="AT1119" s="127" t="s">
        <v>360</v>
      </c>
      <c r="AU1119" s="117" t="s">
        <v>1729</v>
      </c>
      <c r="AV1119" s="344" t="s">
        <v>1738</v>
      </c>
      <c r="AW1119" s="117">
        <f>VLOOKUP($D1119,'WB Data'!$C$3:$M$578,2,FALSE)</f>
        <v>4136083638.0982671</v>
      </c>
      <c r="AX1119" s="117">
        <f>VLOOKUP($D1119,'WB Data'!$C$3:$M$578,3,FALSE)</f>
        <v>3702763</v>
      </c>
      <c r="AY1119" s="847">
        <f t="shared" si="189"/>
        <v>0.10831945288502901</v>
      </c>
      <c r="AZ1119" s="117" t="e">
        <f>VLOOKUP($D1119,'WB Data'!$C$3:$M$578,4,FALSE)/100</f>
        <v>#VALUE!</v>
      </c>
      <c r="BA1119" s="117" t="str">
        <f t="shared" si="190"/>
        <v>..</v>
      </c>
      <c r="BB1119" s="129">
        <f>IFERROR(VLOOKUP($D1119,'EITI Revenues'!$C$2:$G$224,5,FALSE),"..")</f>
        <v>448018316.76552463</v>
      </c>
      <c r="BC1119" s="846" t="str">
        <f t="shared" si="191"/>
        <v>..</v>
      </c>
      <c r="BD1119" s="129">
        <f>VLOOKUP($D1119,'WB Data 2'!$C$2:$K$545,6,FALSE)</f>
        <v>384521885.48692572</v>
      </c>
      <c r="BE1119" s="129">
        <f>IFERROR(VLOOKUP($D1119,UNCTAD!$C$5:$V$529,4,FALSE),"..")</f>
        <v>2891344007.0299997</v>
      </c>
      <c r="BF1119" s="846">
        <f t="shared" si="192"/>
        <v>0.1329907076266266</v>
      </c>
      <c r="BG1119" s="117">
        <f>VLOOKUP($D1119,'WB Data'!$C$3:$M$578,5,FALSE)</f>
        <v>382210000</v>
      </c>
      <c r="BH1119" s="129">
        <f>IFERROR($BB1119/$BG1119,"..")</f>
        <v>1.1721784274757976</v>
      </c>
      <c r="BI1119" s="117">
        <f>IFERROR(VLOOKUP($D1119,'WB Data'!$C$3:$M$578,7,FALSE)/100,"..")</f>
        <v>3.6900499999999996E-2</v>
      </c>
      <c r="BJ1119" s="117">
        <f>IFERROR($BI1119*$AW1119,"..")</f>
        <v>152623554.2876451</v>
      </c>
      <c r="BK1119" s="846">
        <f>IFERROR($BB1119/$BJ1119,"..")</f>
        <v>2.9354467523483154</v>
      </c>
      <c r="BL1119" s="117">
        <f>IFERROR(VLOOKUP($D1119,'WB Data'!$C$3:$M$578,7,FALSE)/100,"..")</f>
        <v>3.6900499999999996E-2</v>
      </c>
      <c r="BM1119" s="117">
        <f>IFERROR($AW1119*$BL1119,"..")</f>
        <v>152623554.2876451</v>
      </c>
      <c r="BN1119" s="846">
        <f>IFERROR($BB1119/$BM1119,"..")</f>
        <v>2.9354467523483154</v>
      </c>
      <c r="BO1119" s="801">
        <f t="shared" si="188"/>
        <v>30</v>
      </c>
      <c r="BP1119" s="117" t="str">
        <f>VLOOKUP($D1119,'WB Data'!$C$3:$M$578,9,FALSE)</f>
        <v>..</v>
      </c>
      <c r="BQ1119" s="117">
        <f>VLOOKUP($D1119,'WB Data'!$C$3:$M$578,10,FALSE)</f>
        <v>61.186951219512203</v>
      </c>
      <c r="BR1119" s="117">
        <f>VLOOKUP($D1119,'WB Data'!$C$3:$M$578,11,FALSE)</f>
        <v>69.2</v>
      </c>
      <c r="BS1119" s="129">
        <f>IFERROR(VLOOKUP($D1119,'WB Data 2'!$C$2:$K$545,9,FALSE),"..")</f>
        <v>71.509619999999998</v>
      </c>
      <c r="BT1119" s="129" t="str">
        <f>_xlfn.IFNA(VLOOKUP($C1119,RGI!$A$2:$C$43,2,FALSE),"..")</f>
        <v>..</v>
      </c>
      <c r="BU1119" s="129" t="str">
        <f>_xlfn.IFNA(VLOOKUP($C1119,RGI!$A$2:$C$43,3,FALSE),"..")</f>
        <v>..</v>
      </c>
      <c r="BV1119" s="129">
        <f>VLOOKUP($D1119,WGI!$C$2:$O$478,7,FALSE)</f>
        <v>-0.96181670187593804</v>
      </c>
      <c r="BW1119" s="129">
        <f>VLOOKUP($D1119,WGI!$C$2:$O$478,4,FALSE)</f>
        <v>-1.1673427669430601</v>
      </c>
      <c r="BX1119" s="129">
        <f>VLOOKUP($D1119,WGI!$C$2:$O$478,3,FALSE)</f>
        <v>-0.91574000248267295</v>
      </c>
      <c r="BY1119" s="129">
        <f>VLOOKUP($D1119,WGI!$C$2:$O$478,5,FALSE)</f>
        <v>-0.77117948396587399</v>
      </c>
      <c r="BZ1119" s="129">
        <f>VLOOKUP($D1119,WGI!$C$2:$O$478,2,FALSE)</f>
        <v>-0.44296713290802098</v>
      </c>
    </row>
    <row r="1120" spans="1:80" ht="15" customHeight="1">
      <c r="A1120" s="294" t="s">
        <v>359</v>
      </c>
      <c r="B1120" s="214">
        <v>2011</v>
      </c>
      <c r="C1120" s="809" t="s">
        <v>345</v>
      </c>
      <c r="D1120" s="117" t="s">
        <v>3707</v>
      </c>
      <c r="E1120" s="452" t="s">
        <v>86</v>
      </c>
      <c r="F1120" s="117"/>
      <c r="G1120" s="117" t="s">
        <v>103</v>
      </c>
      <c r="H1120" s="117" t="str">
        <f t="shared" si="196"/>
        <v>no</v>
      </c>
      <c r="I1120" s="117" t="str">
        <f t="shared" si="193"/>
        <v>no</v>
      </c>
      <c r="J1120" s="117" t="str">
        <f t="shared" si="194"/>
        <v>yes</v>
      </c>
      <c r="K1120" s="117" t="s">
        <v>103</v>
      </c>
      <c r="L1120" s="117" t="str">
        <f t="shared" si="197"/>
        <v>detailed</v>
      </c>
      <c r="M1120" s="117" t="str">
        <f t="shared" si="195"/>
        <v>detailed Oil</v>
      </c>
      <c r="N1120" s="179">
        <v>2810500</v>
      </c>
      <c r="O1120" s="179"/>
      <c r="P1120" s="179"/>
      <c r="Q1120" s="179"/>
      <c r="R1120" s="179"/>
      <c r="S1120" s="117" t="s">
        <v>646</v>
      </c>
      <c r="T1120" s="119">
        <v>108.9</v>
      </c>
      <c r="U1120" s="117" t="s">
        <v>673</v>
      </c>
      <c r="V1120" s="117" t="s">
        <v>1030</v>
      </c>
      <c r="W1120" s="89">
        <f>N1120*T1120</f>
        <v>306063450</v>
      </c>
      <c r="X1120" s="117"/>
      <c r="Y1120" s="117"/>
      <c r="Z1120" s="117"/>
      <c r="AA1120" s="177">
        <v>112659499.59999999</v>
      </c>
      <c r="AB1120" s="177">
        <v>100872855.59999999</v>
      </c>
      <c r="AC1120" s="122"/>
      <c r="AD1120" s="122"/>
      <c r="AE1120" s="122"/>
      <c r="AF1120" s="123">
        <f>AA1120/W1120</f>
        <v>0.36809197439289137</v>
      </c>
      <c r="AG1120" s="117"/>
      <c r="AH1120" s="124"/>
      <c r="AI1120" s="117"/>
      <c r="AJ1120" s="117"/>
      <c r="AK1120" s="89"/>
      <c r="AL1120" s="117"/>
      <c r="AM1120" s="117"/>
      <c r="AN1120" s="117"/>
      <c r="AO1120" s="117"/>
      <c r="AP1120" s="117"/>
      <c r="AQ1120" s="126"/>
      <c r="AR1120" s="117"/>
      <c r="AS1120" s="117"/>
      <c r="AT1120" s="117"/>
      <c r="AU1120" s="117"/>
      <c r="AV1120" s="281"/>
      <c r="AW1120" s="117">
        <f>VLOOKUP($D1120,'WB Data'!$C$3:$M$578,2,FALSE)</f>
        <v>4136083638.0982671</v>
      </c>
      <c r="AX1120" s="117">
        <f>VLOOKUP($D1120,'WB Data'!$C$3:$M$578,3,FALSE)</f>
        <v>3702763</v>
      </c>
      <c r="AY1120" s="847">
        <f t="shared" si="189"/>
        <v>0.10831945288502901</v>
      </c>
      <c r="AZ1120" s="117" t="e">
        <f>VLOOKUP($D1120,'WB Data'!$C$3:$M$578,4,FALSE)/100</f>
        <v>#VALUE!</v>
      </c>
      <c r="BA1120" s="117" t="str">
        <f t="shared" si="190"/>
        <v>..</v>
      </c>
      <c r="BB1120" s="129">
        <f>IFERROR(VLOOKUP($D1120,'EITI Revenues'!$C$2:$G$224,5,FALSE),"..")</f>
        <v>448018316.76552463</v>
      </c>
      <c r="BC1120" s="846" t="str">
        <f t="shared" si="191"/>
        <v>..</v>
      </c>
      <c r="BD1120" s="129">
        <f>VLOOKUP($D1120,'WB Data 2'!$C$2:$K$545,6,FALSE)</f>
        <v>384521885.48692572</v>
      </c>
      <c r="BE1120" s="129">
        <f>IFERROR(VLOOKUP($D1120,UNCTAD!$C$5:$V$529,4,FALSE),"..")</f>
        <v>2891344007.0299997</v>
      </c>
      <c r="BF1120" s="846">
        <f t="shared" si="192"/>
        <v>0.1329907076266266</v>
      </c>
      <c r="BG1120" s="117">
        <f>VLOOKUP($D1120,'WB Data'!$C$3:$M$578,5,FALSE)</f>
        <v>382210000</v>
      </c>
      <c r="BH1120" s="129">
        <f>IFERROR($BB1120/$BG1120,"..")</f>
        <v>1.1721784274757976</v>
      </c>
      <c r="BI1120" s="117">
        <f>IFERROR(VLOOKUP($D1120,'WB Data'!$C$3:$M$578,7,FALSE)/100,"..")</f>
        <v>3.6900499999999996E-2</v>
      </c>
      <c r="BJ1120" s="117">
        <f>IFERROR($BI1120*$AW1120,"..")</f>
        <v>152623554.2876451</v>
      </c>
      <c r="BK1120" s="846">
        <f>IFERROR($BB1120/$BJ1120,"..")</f>
        <v>2.9354467523483154</v>
      </c>
      <c r="BL1120" s="117">
        <f>IFERROR(VLOOKUP($D1120,'WB Data'!$C$3:$M$578,7,FALSE)/100,"..")</f>
        <v>3.6900499999999996E-2</v>
      </c>
      <c r="BM1120" s="117">
        <f>IFERROR($AW1120*$BL1120,"..")</f>
        <v>152623554.2876451</v>
      </c>
      <c r="BN1120" s="846">
        <f>IFERROR($BB1120/$BM1120,"..")</f>
        <v>2.9354467523483154</v>
      </c>
      <c r="BO1120" s="801">
        <f t="shared" si="188"/>
        <v>30</v>
      </c>
      <c r="BP1120" s="117" t="str">
        <f>VLOOKUP($D1120,'WB Data'!$C$3:$M$578,9,FALSE)</f>
        <v>..</v>
      </c>
      <c r="BQ1120" s="117">
        <f>VLOOKUP($D1120,'WB Data'!$C$3:$M$578,10,FALSE)</f>
        <v>61.186951219512203</v>
      </c>
      <c r="BR1120" s="117">
        <f>VLOOKUP($D1120,'WB Data'!$C$3:$M$578,11,FALSE)</f>
        <v>69.2</v>
      </c>
      <c r="BS1120" s="129">
        <f>IFERROR(VLOOKUP($D1120,'WB Data 2'!$C$2:$K$545,9,FALSE),"..")</f>
        <v>71.509619999999998</v>
      </c>
      <c r="BT1120" s="129" t="str">
        <f>_xlfn.IFNA(VLOOKUP($C1120,RGI!$A$2:$C$43,2,FALSE),"..")</f>
        <v>..</v>
      </c>
      <c r="BU1120" s="129" t="str">
        <f>_xlfn.IFNA(VLOOKUP($C1120,RGI!$A$2:$C$43,3,FALSE),"..")</f>
        <v>..</v>
      </c>
      <c r="BV1120" s="129">
        <f>VLOOKUP($D1120,WGI!$C$2:$O$478,7,FALSE)</f>
        <v>-0.96181670187593804</v>
      </c>
      <c r="BW1120" s="129">
        <f>VLOOKUP($D1120,WGI!$C$2:$O$478,4,FALSE)</f>
        <v>-1.1673427669430601</v>
      </c>
      <c r="BX1120" s="129">
        <f>VLOOKUP($D1120,WGI!$C$2:$O$478,3,FALSE)</f>
        <v>-0.91574000248267295</v>
      </c>
      <c r="BY1120" s="129">
        <f>VLOOKUP($D1120,WGI!$C$2:$O$478,5,FALSE)</f>
        <v>-0.77117948396587399</v>
      </c>
      <c r="BZ1120" s="129">
        <f>VLOOKUP($D1120,WGI!$C$2:$O$478,2,FALSE)</f>
        <v>-0.44296713290802098</v>
      </c>
    </row>
    <row r="1121" spans="1:80" ht="15" customHeight="1">
      <c r="A1121" s="294" t="s">
        <v>359</v>
      </c>
      <c r="B1121" s="214">
        <v>2011</v>
      </c>
      <c r="C1121" s="809" t="s">
        <v>345</v>
      </c>
      <c r="D1121" s="117" t="s">
        <v>3707</v>
      </c>
      <c r="E1121" s="452" t="s">
        <v>86</v>
      </c>
      <c r="F1121" s="117"/>
      <c r="G1121" s="117" t="s">
        <v>24</v>
      </c>
      <c r="H1121" s="117" t="str">
        <f t="shared" si="196"/>
        <v>yes</v>
      </c>
      <c r="I1121" s="117" t="str">
        <f t="shared" si="193"/>
        <v>no</v>
      </c>
      <c r="J1121" s="117" t="str">
        <f t="shared" si="194"/>
        <v>no</v>
      </c>
      <c r="K1121" s="117" t="s">
        <v>600</v>
      </c>
      <c r="L1121" s="117" t="str">
        <f t="shared" si="197"/>
        <v>Total</v>
      </c>
      <c r="M1121" s="117" t="str">
        <f t="shared" si="195"/>
        <v>Total Mining</v>
      </c>
      <c r="N1121" s="179"/>
      <c r="O1121" s="179"/>
      <c r="P1121" s="179"/>
      <c r="Q1121" s="179"/>
      <c r="R1121" s="179"/>
      <c r="S1121" s="117"/>
      <c r="T1121" s="119"/>
      <c r="U1121" s="117"/>
      <c r="V1121" s="117"/>
      <c r="W1121" s="89">
        <f>SUM(W1122:W1124)</f>
        <v>1762370786.7701116</v>
      </c>
      <c r="X1121" s="117"/>
      <c r="Y1121" s="117"/>
      <c r="Z1121" s="117"/>
      <c r="AA1121" s="177">
        <v>335358817.16552466</v>
      </c>
      <c r="AB1121" s="177">
        <v>328351965.38045436</v>
      </c>
      <c r="AC1121" s="122"/>
      <c r="AD1121" s="122"/>
      <c r="AE1121" s="122"/>
      <c r="AF1121" s="123">
        <f>AA1121/W1121</f>
        <v>0.1902884567101428</v>
      </c>
      <c r="AG1121" s="117"/>
      <c r="AH1121" s="124"/>
      <c r="AI1121" s="117"/>
      <c r="AJ1121" s="117"/>
      <c r="AK1121" s="89"/>
      <c r="AL1121" s="117"/>
      <c r="AM1121" s="117"/>
      <c r="AN1121" s="117"/>
      <c r="AO1121" s="117"/>
      <c r="AP1121" s="117"/>
      <c r="AQ1121" s="126"/>
      <c r="AR1121" s="117"/>
      <c r="AS1121" s="117"/>
      <c r="AT1121" s="117"/>
      <c r="AU1121" s="117"/>
      <c r="AV1121" s="281"/>
      <c r="AW1121" s="117">
        <f>VLOOKUP($D1121,'WB Data'!$C$3:$M$578,2,FALSE)</f>
        <v>4136083638.0982671</v>
      </c>
      <c r="AX1121" s="117">
        <f>VLOOKUP($D1121,'WB Data'!$C$3:$M$578,3,FALSE)</f>
        <v>3702763</v>
      </c>
      <c r="AY1121" s="847">
        <f t="shared" si="189"/>
        <v>0.10831945288502901</v>
      </c>
      <c r="AZ1121" s="117" t="e">
        <f>VLOOKUP($D1121,'WB Data'!$C$3:$M$578,4,FALSE)/100</f>
        <v>#VALUE!</v>
      </c>
      <c r="BA1121" s="117" t="str">
        <f t="shared" si="190"/>
        <v>..</v>
      </c>
      <c r="BB1121" s="129">
        <f>IFERROR(VLOOKUP($D1121,'EITI Revenues'!$C$2:$G$224,5,FALSE),"..")</f>
        <v>448018316.76552463</v>
      </c>
      <c r="BC1121" s="846" t="str">
        <f t="shared" si="191"/>
        <v>..</v>
      </c>
      <c r="BD1121" s="129">
        <f>VLOOKUP($D1121,'WB Data 2'!$C$2:$K$545,6,FALSE)</f>
        <v>384521885.48692572</v>
      </c>
      <c r="BE1121" s="129">
        <f>IFERROR(VLOOKUP($D1121,UNCTAD!$C$5:$V$529,4,FALSE),"..")</f>
        <v>2891344007.0299997</v>
      </c>
      <c r="BF1121" s="846">
        <f t="shared" si="192"/>
        <v>0.1329907076266266</v>
      </c>
      <c r="BG1121" s="117">
        <f>VLOOKUP($D1121,'WB Data'!$C$3:$M$578,5,FALSE)</f>
        <v>382210000</v>
      </c>
      <c r="BH1121" s="129">
        <f>IFERROR($BB1121/$BG1121,"..")</f>
        <v>1.1721784274757976</v>
      </c>
      <c r="BI1121" s="117">
        <f>IFERROR(VLOOKUP($D1121,'WB Data'!$C$3:$M$578,7,FALSE)/100,"..")</f>
        <v>3.6900499999999996E-2</v>
      </c>
      <c r="BJ1121" s="117">
        <f>IFERROR($BI1121*$AW1121,"..")</f>
        <v>152623554.2876451</v>
      </c>
      <c r="BK1121" s="846">
        <f>IFERROR($BB1121/$BJ1121,"..")</f>
        <v>2.9354467523483154</v>
      </c>
      <c r="BL1121" s="117">
        <f>IFERROR(VLOOKUP($D1121,'WB Data'!$C$3:$M$578,7,FALSE)/100,"..")</f>
        <v>3.6900499999999996E-2</v>
      </c>
      <c r="BM1121" s="117">
        <f>IFERROR($AW1121*$BL1121,"..")</f>
        <v>152623554.2876451</v>
      </c>
      <c r="BN1121" s="846">
        <f>IFERROR($BB1121/$BM1121,"..")</f>
        <v>2.9354467523483154</v>
      </c>
      <c r="BO1121" s="801">
        <f t="shared" si="188"/>
        <v>30</v>
      </c>
      <c r="BP1121" s="117" t="str">
        <f>VLOOKUP($D1121,'WB Data'!$C$3:$M$578,9,FALSE)</f>
        <v>..</v>
      </c>
      <c r="BQ1121" s="117">
        <f>VLOOKUP($D1121,'WB Data'!$C$3:$M$578,10,FALSE)</f>
        <v>61.186951219512203</v>
      </c>
      <c r="BR1121" s="117">
        <f>VLOOKUP($D1121,'WB Data'!$C$3:$M$578,11,FALSE)</f>
        <v>69.2</v>
      </c>
      <c r="BS1121" s="129">
        <f>IFERROR(VLOOKUP($D1121,'WB Data 2'!$C$2:$K$545,9,FALSE),"..")</f>
        <v>71.509619999999998</v>
      </c>
      <c r="BT1121" s="129" t="str">
        <f>_xlfn.IFNA(VLOOKUP($C1121,RGI!$A$2:$C$43,2,FALSE),"..")</f>
        <v>..</v>
      </c>
      <c r="BU1121" s="129" t="str">
        <f>_xlfn.IFNA(VLOOKUP($C1121,RGI!$A$2:$C$43,3,FALSE),"..")</f>
        <v>..</v>
      </c>
      <c r="BV1121" s="129">
        <f>VLOOKUP($D1121,WGI!$C$2:$O$478,7,FALSE)</f>
        <v>-0.96181670187593804</v>
      </c>
      <c r="BW1121" s="129">
        <f>VLOOKUP($D1121,WGI!$C$2:$O$478,4,FALSE)</f>
        <v>-1.1673427669430601</v>
      </c>
      <c r="BX1121" s="129">
        <f>VLOOKUP($D1121,WGI!$C$2:$O$478,3,FALSE)</f>
        <v>-0.91574000248267295</v>
      </c>
      <c r="BY1121" s="129">
        <f>VLOOKUP($D1121,WGI!$C$2:$O$478,5,FALSE)</f>
        <v>-0.77117948396587399</v>
      </c>
      <c r="BZ1121" s="129">
        <f>VLOOKUP($D1121,WGI!$C$2:$O$478,2,FALSE)</f>
        <v>-0.44296713290802098</v>
      </c>
    </row>
    <row r="1122" spans="1:80" ht="15" customHeight="1">
      <c r="A1122" s="294" t="s">
        <v>359</v>
      </c>
      <c r="B1122" s="214">
        <v>2011</v>
      </c>
      <c r="C1122" s="809" t="s">
        <v>345</v>
      </c>
      <c r="D1122" s="117" t="s">
        <v>3707</v>
      </c>
      <c r="E1122" s="452" t="s">
        <v>86</v>
      </c>
      <c r="F1122" s="117"/>
      <c r="G1122" s="117" t="s">
        <v>24</v>
      </c>
      <c r="H1122" s="117" t="str">
        <f t="shared" si="196"/>
        <v>yes</v>
      </c>
      <c r="I1122" s="117" t="str">
        <f t="shared" si="193"/>
        <v>no</v>
      </c>
      <c r="J1122" s="117" t="str">
        <f t="shared" si="194"/>
        <v>no</v>
      </c>
      <c r="K1122" s="117" t="s">
        <v>1715</v>
      </c>
      <c r="L1122" s="117" t="str">
        <f t="shared" si="197"/>
        <v>detailed</v>
      </c>
      <c r="M1122" s="117" t="str">
        <f t="shared" si="195"/>
        <v>detailed Mining</v>
      </c>
      <c r="N1122" s="179">
        <v>39900</v>
      </c>
      <c r="O1122" s="179"/>
      <c r="P1122" s="179"/>
      <c r="Q1122" s="179"/>
      <c r="R1122" s="179"/>
      <c r="S1122" s="117" t="s">
        <v>610</v>
      </c>
      <c r="T1122" s="180">
        <f>8828.1875*0.6815</f>
        <v>6016.4097812500004</v>
      </c>
      <c r="U1122" s="117" t="s">
        <v>611</v>
      </c>
      <c r="V1122" s="401" t="s">
        <v>1719</v>
      </c>
      <c r="W1122" s="89">
        <f>N1122*T1122</f>
        <v>240054750.27187502</v>
      </c>
      <c r="X1122" s="117"/>
      <c r="Y1122" s="117"/>
      <c r="Z1122" s="117"/>
      <c r="AA1122" s="179"/>
      <c r="AB1122" s="179"/>
      <c r="AC1122" s="212"/>
      <c r="AD1122" s="212"/>
      <c r="AE1122" s="212"/>
      <c r="AF1122" s="213"/>
      <c r="AG1122" s="117"/>
      <c r="AH1122" s="124"/>
      <c r="AI1122" s="117"/>
      <c r="AJ1122" s="117"/>
      <c r="AK1122" s="89"/>
      <c r="AL1122" s="117"/>
      <c r="AM1122" s="117"/>
      <c r="AN1122" s="117"/>
      <c r="AO1122" s="117"/>
      <c r="AP1122" s="117"/>
      <c r="AQ1122" s="126"/>
      <c r="AR1122" s="117"/>
      <c r="AS1122" s="117"/>
      <c r="AT1122" s="117"/>
      <c r="AU1122" s="117"/>
      <c r="AV1122" s="281"/>
      <c r="AW1122" s="117">
        <f>VLOOKUP($D1122,'WB Data'!$C$3:$M$578,2,FALSE)</f>
        <v>4136083638.0982671</v>
      </c>
      <c r="AX1122" s="117">
        <f>VLOOKUP($D1122,'WB Data'!$C$3:$M$578,3,FALSE)</f>
        <v>3702763</v>
      </c>
      <c r="AY1122" s="847">
        <f t="shared" si="189"/>
        <v>0.10831945288502901</v>
      </c>
      <c r="AZ1122" s="117" t="e">
        <f>VLOOKUP($D1122,'WB Data'!$C$3:$M$578,4,FALSE)/100</f>
        <v>#VALUE!</v>
      </c>
      <c r="BA1122" s="117" t="str">
        <f t="shared" si="190"/>
        <v>..</v>
      </c>
      <c r="BB1122" s="129">
        <f>IFERROR(VLOOKUP($D1122,'EITI Revenues'!$C$2:$G$224,5,FALSE),"..")</f>
        <v>448018316.76552463</v>
      </c>
      <c r="BC1122" s="846" t="str">
        <f t="shared" si="191"/>
        <v>..</v>
      </c>
      <c r="BD1122" s="129">
        <f>VLOOKUP($D1122,'WB Data 2'!$C$2:$K$545,6,FALSE)</f>
        <v>384521885.48692572</v>
      </c>
      <c r="BE1122" s="129">
        <f>IFERROR(VLOOKUP($D1122,UNCTAD!$C$5:$V$529,4,FALSE),"..")</f>
        <v>2891344007.0299997</v>
      </c>
      <c r="BF1122" s="846">
        <f t="shared" si="192"/>
        <v>0.1329907076266266</v>
      </c>
      <c r="BG1122" s="117">
        <f>VLOOKUP($D1122,'WB Data'!$C$3:$M$578,5,FALSE)</f>
        <v>382210000</v>
      </c>
      <c r="BH1122" s="129">
        <f>IFERROR($BB1122/$BG1122,"..")</f>
        <v>1.1721784274757976</v>
      </c>
      <c r="BI1122" s="117">
        <f>IFERROR(VLOOKUP($D1122,'WB Data'!$C$3:$M$578,7,FALSE)/100,"..")</f>
        <v>3.6900499999999996E-2</v>
      </c>
      <c r="BJ1122" s="117">
        <f>IFERROR($BI1122*$AW1122,"..")</f>
        <v>152623554.2876451</v>
      </c>
      <c r="BK1122" s="846">
        <f>IFERROR($BB1122/$BJ1122,"..")</f>
        <v>2.9354467523483154</v>
      </c>
      <c r="BL1122" s="117">
        <f>IFERROR(VLOOKUP($D1122,'WB Data'!$C$3:$M$578,7,FALSE)/100,"..")</f>
        <v>3.6900499999999996E-2</v>
      </c>
      <c r="BM1122" s="117">
        <f>IFERROR($AW1122*$BL1122,"..")</f>
        <v>152623554.2876451</v>
      </c>
      <c r="BN1122" s="846">
        <f>IFERROR($BB1122/$BM1122,"..")</f>
        <v>2.9354467523483154</v>
      </c>
      <c r="BO1122" s="801">
        <f t="shared" si="188"/>
        <v>30</v>
      </c>
      <c r="BP1122" s="117" t="str">
        <f>VLOOKUP($D1122,'WB Data'!$C$3:$M$578,9,FALSE)</f>
        <v>..</v>
      </c>
      <c r="BQ1122" s="117">
        <f>VLOOKUP($D1122,'WB Data'!$C$3:$M$578,10,FALSE)</f>
        <v>61.186951219512203</v>
      </c>
      <c r="BR1122" s="117">
        <f>VLOOKUP($D1122,'WB Data'!$C$3:$M$578,11,FALSE)</f>
        <v>69.2</v>
      </c>
      <c r="BS1122" s="129">
        <f>IFERROR(VLOOKUP($D1122,'WB Data 2'!$C$2:$K$545,9,FALSE),"..")</f>
        <v>71.509619999999998</v>
      </c>
      <c r="BT1122" s="129" t="str">
        <f>_xlfn.IFNA(VLOOKUP($C1122,RGI!$A$2:$C$43,2,FALSE),"..")</f>
        <v>..</v>
      </c>
      <c r="BU1122" s="129" t="str">
        <f>_xlfn.IFNA(VLOOKUP($C1122,RGI!$A$2:$C$43,3,FALSE),"..")</f>
        <v>..</v>
      </c>
      <c r="BV1122" s="129">
        <f>VLOOKUP($D1122,WGI!$C$2:$O$478,7,FALSE)</f>
        <v>-0.96181670187593804</v>
      </c>
      <c r="BW1122" s="129">
        <f>VLOOKUP($D1122,WGI!$C$2:$O$478,4,FALSE)</f>
        <v>-1.1673427669430601</v>
      </c>
      <c r="BX1122" s="129">
        <f>VLOOKUP($D1122,WGI!$C$2:$O$478,3,FALSE)</f>
        <v>-0.91574000248267295</v>
      </c>
      <c r="BY1122" s="129">
        <f>VLOOKUP($D1122,WGI!$C$2:$O$478,5,FALSE)</f>
        <v>-0.77117948396587399</v>
      </c>
      <c r="BZ1122" s="129">
        <f>VLOOKUP($D1122,WGI!$C$2:$O$478,2,FALSE)</f>
        <v>-0.44296713290802098</v>
      </c>
    </row>
    <row r="1123" spans="1:80" ht="15" customHeight="1">
      <c r="A1123" s="294" t="s">
        <v>359</v>
      </c>
      <c r="B1123" s="214">
        <v>2011</v>
      </c>
      <c r="C1123" s="809" t="s">
        <v>345</v>
      </c>
      <c r="D1123" s="117" t="s">
        <v>3707</v>
      </c>
      <c r="E1123" s="452" t="s">
        <v>86</v>
      </c>
      <c r="F1123" s="117"/>
      <c r="G1123" s="117" t="s">
        <v>24</v>
      </c>
      <c r="H1123" s="117" t="str">
        <f t="shared" si="196"/>
        <v>yes</v>
      </c>
      <c r="I1123" s="117" t="str">
        <f t="shared" si="193"/>
        <v>no</v>
      </c>
      <c r="J1123" s="117" t="str">
        <f t="shared" si="194"/>
        <v>no</v>
      </c>
      <c r="K1123" s="117" t="s">
        <v>784</v>
      </c>
      <c r="L1123" s="117" t="str">
        <f t="shared" si="197"/>
        <v>detailed</v>
      </c>
      <c r="M1123" s="117" t="str">
        <f t="shared" si="195"/>
        <v>detailed Mining</v>
      </c>
      <c r="N1123" s="179">
        <f>8172*32.150743126506</f>
        <v>262735.87282980705</v>
      </c>
      <c r="O1123" s="179"/>
      <c r="P1123" s="179"/>
      <c r="Q1123" s="179"/>
      <c r="R1123" s="179"/>
      <c r="S1123" s="117" t="s">
        <v>785</v>
      </c>
      <c r="T1123" s="119">
        <f>1569.21083333333*0.9842</f>
        <v>1544.4173021666631</v>
      </c>
      <c r="U1123" s="117" t="s">
        <v>786</v>
      </c>
      <c r="V1123" s="401" t="s">
        <v>1720</v>
      </c>
      <c r="W1123" s="89">
        <f>N1123*T1123</f>
        <v>405773827.8982141</v>
      </c>
      <c r="X1123" s="117"/>
      <c r="Y1123" s="117"/>
      <c r="Z1123" s="117"/>
      <c r="AA1123" s="179"/>
      <c r="AB1123" s="179"/>
      <c r="AC1123" s="212"/>
      <c r="AD1123" s="212"/>
      <c r="AE1123" s="212"/>
      <c r="AF1123" s="213"/>
      <c r="AG1123" s="117"/>
      <c r="AH1123" s="124"/>
      <c r="AI1123" s="117"/>
      <c r="AJ1123" s="117"/>
      <c r="AK1123" s="89"/>
      <c r="AL1123" s="117"/>
      <c r="AM1123" s="117"/>
      <c r="AN1123" s="117"/>
      <c r="AO1123" s="117"/>
      <c r="AP1123" s="117"/>
      <c r="AQ1123" s="126"/>
      <c r="AR1123" s="117"/>
      <c r="AS1123" s="117"/>
      <c r="AT1123" s="117"/>
      <c r="AU1123" s="117"/>
      <c r="AV1123" s="281"/>
      <c r="AW1123" s="117">
        <f>VLOOKUP($D1123,'WB Data'!$C$3:$M$578,2,FALSE)</f>
        <v>4136083638.0982671</v>
      </c>
      <c r="AX1123" s="117">
        <f>VLOOKUP($D1123,'WB Data'!$C$3:$M$578,3,FALSE)</f>
        <v>3702763</v>
      </c>
      <c r="AY1123" s="847">
        <f t="shared" si="189"/>
        <v>0.10831945288502901</v>
      </c>
      <c r="AZ1123" s="117" t="e">
        <f>VLOOKUP($D1123,'WB Data'!$C$3:$M$578,4,FALSE)/100</f>
        <v>#VALUE!</v>
      </c>
      <c r="BA1123" s="117" t="str">
        <f t="shared" si="190"/>
        <v>..</v>
      </c>
      <c r="BB1123" s="129">
        <f>IFERROR(VLOOKUP($D1123,'EITI Revenues'!$C$2:$G$224,5,FALSE),"..")</f>
        <v>448018316.76552463</v>
      </c>
      <c r="BC1123" s="846" t="str">
        <f t="shared" si="191"/>
        <v>..</v>
      </c>
      <c r="BD1123" s="129">
        <f>VLOOKUP($D1123,'WB Data 2'!$C$2:$K$545,6,FALSE)</f>
        <v>384521885.48692572</v>
      </c>
      <c r="BE1123" s="129">
        <f>IFERROR(VLOOKUP($D1123,UNCTAD!$C$5:$V$529,4,FALSE),"..")</f>
        <v>2891344007.0299997</v>
      </c>
      <c r="BF1123" s="846">
        <f t="shared" si="192"/>
        <v>0.1329907076266266</v>
      </c>
      <c r="BG1123" s="117">
        <f>VLOOKUP($D1123,'WB Data'!$C$3:$M$578,5,FALSE)</f>
        <v>382210000</v>
      </c>
      <c r="BH1123" s="129">
        <f>IFERROR($BB1123/$BG1123,"..")</f>
        <v>1.1721784274757976</v>
      </c>
      <c r="BI1123" s="117">
        <f>IFERROR(VLOOKUP($D1123,'WB Data'!$C$3:$M$578,7,FALSE)/100,"..")</f>
        <v>3.6900499999999996E-2</v>
      </c>
      <c r="BJ1123" s="117">
        <f>IFERROR($BI1123*$AW1123,"..")</f>
        <v>152623554.2876451</v>
      </c>
      <c r="BK1123" s="846">
        <f>IFERROR($BB1123/$BJ1123,"..")</f>
        <v>2.9354467523483154</v>
      </c>
      <c r="BL1123" s="117">
        <f>IFERROR(VLOOKUP($D1123,'WB Data'!$C$3:$M$578,7,FALSE)/100,"..")</f>
        <v>3.6900499999999996E-2</v>
      </c>
      <c r="BM1123" s="117">
        <f>IFERROR($AW1123*$BL1123,"..")</f>
        <v>152623554.2876451</v>
      </c>
      <c r="BN1123" s="846">
        <f>IFERROR($BB1123/$BM1123,"..")</f>
        <v>2.9354467523483154</v>
      </c>
      <c r="BO1123" s="801">
        <f t="shared" si="188"/>
        <v>30</v>
      </c>
      <c r="BP1123" s="117" t="str">
        <f>VLOOKUP($D1123,'WB Data'!$C$3:$M$578,9,FALSE)</f>
        <v>..</v>
      </c>
      <c r="BQ1123" s="117">
        <f>VLOOKUP($D1123,'WB Data'!$C$3:$M$578,10,FALSE)</f>
        <v>61.186951219512203</v>
      </c>
      <c r="BR1123" s="117">
        <f>VLOOKUP($D1123,'WB Data'!$C$3:$M$578,11,FALSE)</f>
        <v>69.2</v>
      </c>
      <c r="BS1123" s="129">
        <f>IFERROR(VLOOKUP($D1123,'WB Data 2'!$C$2:$K$545,9,FALSE),"..")</f>
        <v>71.509619999999998</v>
      </c>
      <c r="BT1123" s="129" t="str">
        <f>_xlfn.IFNA(VLOOKUP($C1123,RGI!$A$2:$C$43,2,FALSE),"..")</f>
        <v>..</v>
      </c>
      <c r="BU1123" s="129" t="str">
        <f>_xlfn.IFNA(VLOOKUP($C1123,RGI!$A$2:$C$43,3,FALSE),"..")</f>
        <v>..</v>
      </c>
      <c r="BV1123" s="129">
        <f>VLOOKUP($D1123,WGI!$C$2:$O$478,7,FALSE)</f>
        <v>-0.96181670187593804</v>
      </c>
      <c r="BW1123" s="129">
        <f>VLOOKUP($D1123,WGI!$C$2:$O$478,4,FALSE)</f>
        <v>-1.1673427669430601</v>
      </c>
      <c r="BX1123" s="129">
        <f>VLOOKUP($D1123,WGI!$C$2:$O$478,3,FALSE)</f>
        <v>-0.91574000248267295</v>
      </c>
      <c r="BY1123" s="129">
        <f>VLOOKUP($D1123,WGI!$C$2:$O$478,5,FALSE)</f>
        <v>-0.77117948396587399</v>
      </c>
      <c r="BZ1123" s="129">
        <f>VLOOKUP($D1123,WGI!$C$2:$O$478,2,FALSE)</f>
        <v>-0.44296713290802098</v>
      </c>
    </row>
    <row r="1124" spans="1:80" s="158" customFormat="1" ht="15" customHeight="1">
      <c r="A1124" s="295" t="s">
        <v>359</v>
      </c>
      <c r="B1124" s="218">
        <v>2011</v>
      </c>
      <c r="C1124" s="810" t="s">
        <v>345</v>
      </c>
      <c r="D1124" s="117" t="s">
        <v>3707</v>
      </c>
      <c r="E1124" s="453" t="s">
        <v>86</v>
      </c>
      <c r="F1124" s="149"/>
      <c r="G1124" s="149" t="s">
        <v>24</v>
      </c>
      <c r="H1124" s="149" t="str">
        <f t="shared" si="196"/>
        <v>yes</v>
      </c>
      <c r="I1124" s="149" t="str">
        <f t="shared" si="193"/>
        <v>no</v>
      </c>
      <c r="J1124" s="149" t="str">
        <f t="shared" si="194"/>
        <v>no</v>
      </c>
      <c r="K1124" s="149" t="s">
        <v>1228</v>
      </c>
      <c r="L1124" s="149" t="str">
        <f t="shared" si="197"/>
        <v>detailed</v>
      </c>
      <c r="M1124" s="149" t="str">
        <f t="shared" si="195"/>
        <v>detailed Mining</v>
      </c>
      <c r="N1124" s="216">
        <v>11160000</v>
      </c>
      <c r="O1124" s="216"/>
      <c r="P1124" s="216"/>
      <c r="Q1124" s="216"/>
      <c r="R1124" s="216"/>
      <c r="S1124" s="149" t="s">
        <v>610</v>
      </c>
      <c r="T1124" s="151">
        <f>167.75416666667*0.5964</f>
        <v>100.04858500000199</v>
      </c>
      <c r="U1124" s="149" t="s">
        <v>611</v>
      </c>
      <c r="V1124" s="591" t="s">
        <v>1721</v>
      </c>
      <c r="W1124" s="152">
        <f>N1124*T1124</f>
        <v>1116542208.6000223</v>
      </c>
      <c r="X1124" s="149"/>
      <c r="Y1124" s="149"/>
      <c r="Z1124" s="149"/>
      <c r="AA1124" s="216"/>
      <c r="AB1124" s="216"/>
      <c r="AC1124" s="217"/>
      <c r="AD1124" s="217"/>
      <c r="AE1124" s="217"/>
      <c r="AF1124" s="230"/>
      <c r="AG1124" s="149"/>
      <c r="AH1124" s="156"/>
      <c r="AI1124" s="149"/>
      <c r="AJ1124" s="149"/>
      <c r="AK1124" s="152"/>
      <c r="AL1124" s="149"/>
      <c r="AM1124" s="149"/>
      <c r="AN1124" s="149"/>
      <c r="AO1124" s="149"/>
      <c r="AP1124" s="149"/>
      <c r="AQ1124" s="220"/>
      <c r="AR1124" s="149"/>
      <c r="AS1124" s="149"/>
      <c r="AT1124" s="149"/>
      <c r="AU1124" s="149"/>
      <c r="AV1124" s="592"/>
      <c r="AW1124" s="117">
        <f>VLOOKUP($D1124,'WB Data'!$C$3:$M$578,2,FALSE)</f>
        <v>4136083638.0982671</v>
      </c>
      <c r="AX1124" s="117">
        <f>VLOOKUP($D1124,'WB Data'!$C$3:$M$578,3,FALSE)</f>
        <v>3702763</v>
      </c>
      <c r="AY1124" s="847">
        <f t="shared" si="189"/>
        <v>0.10831945288502901</v>
      </c>
      <c r="AZ1124" s="117" t="e">
        <f>VLOOKUP($D1124,'WB Data'!$C$3:$M$578,4,FALSE)/100</f>
        <v>#VALUE!</v>
      </c>
      <c r="BA1124" s="117" t="str">
        <f t="shared" si="190"/>
        <v>..</v>
      </c>
      <c r="BB1124" s="129">
        <f>IFERROR(VLOOKUP($D1124,'EITI Revenues'!$C$2:$G$224,5,FALSE),"..")</f>
        <v>448018316.76552463</v>
      </c>
      <c r="BC1124" s="846" t="str">
        <f t="shared" si="191"/>
        <v>..</v>
      </c>
      <c r="BD1124" s="129">
        <f>VLOOKUP($D1124,'WB Data 2'!$C$2:$K$545,6,FALSE)</f>
        <v>384521885.48692572</v>
      </c>
      <c r="BE1124" s="129">
        <f>IFERROR(VLOOKUP($D1124,UNCTAD!$C$5:$V$529,4,FALSE),"..")</f>
        <v>2891344007.0299997</v>
      </c>
      <c r="BF1124" s="846">
        <f t="shared" si="192"/>
        <v>0.1329907076266266</v>
      </c>
      <c r="BG1124" s="117">
        <f>VLOOKUP($D1124,'WB Data'!$C$3:$M$578,5,FALSE)</f>
        <v>382210000</v>
      </c>
      <c r="BH1124" s="129">
        <f>IFERROR($BB1124/$BG1124,"..")</f>
        <v>1.1721784274757976</v>
      </c>
      <c r="BI1124" s="117">
        <f>IFERROR(VLOOKUP($D1124,'WB Data'!$C$3:$M$578,7,FALSE)/100,"..")</f>
        <v>3.6900499999999996E-2</v>
      </c>
      <c r="BJ1124" s="117">
        <f>IFERROR($BI1124*$AW1124,"..")</f>
        <v>152623554.2876451</v>
      </c>
      <c r="BK1124" s="846">
        <f>IFERROR($BB1124/$BJ1124,"..")</f>
        <v>2.9354467523483154</v>
      </c>
      <c r="BL1124" s="117">
        <f>IFERROR(VLOOKUP($D1124,'WB Data'!$C$3:$M$578,7,FALSE)/100,"..")</f>
        <v>3.6900499999999996E-2</v>
      </c>
      <c r="BM1124" s="117">
        <f>IFERROR($AW1124*$BL1124,"..")</f>
        <v>152623554.2876451</v>
      </c>
      <c r="BN1124" s="846">
        <f>IFERROR($BB1124/$BM1124,"..")</f>
        <v>2.9354467523483154</v>
      </c>
      <c r="BO1124" s="801">
        <f t="shared" si="188"/>
        <v>30</v>
      </c>
      <c r="BP1124" s="117" t="str">
        <f>VLOOKUP($D1124,'WB Data'!$C$3:$M$578,9,FALSE)</f>
        <v>..</v>
      </c>
      <c r="BQ1124" s="117">
        <f>VLOOKUP($D1124,'WB Data'!$C$3:$M$578,10,FALSE)</f>
        <v>61.186951219512203</v>
      </c>
      <c r="BR1124" s="117">
        <f>VLOOKUP($D1124,'WB Data'!$C$3:$M$578,11,FALSE)</f>
        <v>69.2</v>
      </c>
      <c r="BS1124" s="129">
        <f>IFERROR(VLOOKUP($D1124,'WB Data 2'!$C$2:$K$545,9,FALSE),"..")</f>
        <v>71.509619999999998</v>
      </c>
      <c r="BT1124" s="129" t="str">
        <f>_xlfn.IFNA(VLOOKUP($C1124,RGI!$A$2:$C$43,2,FALSE),"..")</f>
        <v>..</v>
      </c>
      <c r="BU1124" s="129" t="str">
        <f>_xlfn.IFNA(VLOOKUP($C1124,RGI!$A$2:$C$43,3,FALSE),"..")</f>
        <v>..</v>
      </c>
      <c r="BV1124" s="129">
        <f>VLOOKUP($D1124,WGI!$C$2:$O$478,7,FALSE)</f>
        <v>-0.96181670187593804</v>
      </c>
      <c r="BW1124" s="129">
        <f>VLOOKUP($D1124,WGI!$C$2:$O$478,4,FALSE)</f>
        <v>-1.1673427669430601</v>
      </c>
      <c r="BX1124" s="129">
        <f>VLOOKUP($D1124,WGI!$C$2:$O$478,3,FALSE)</f>
        <v>-0.91574000248267295</v>
      </c>
      <c r="BY1124" s="129">
        <f>VLOOKUP($D1124,WGI!$C$2:$O$478,5,FALSE)</f>
        <v>-0.77117948396587399</v>
      </c>
      <c r="BZ1124" s="129">
        <f>VLOOKUP($D1124,WGI!$C$2:$O$478,2,FALSE)</f>
        <v>-0.44296713290802098</v>
      </c>
      <c r="CB1124" s="129"/>
    </row>
    <row r="1125" spans="1:80" ht="15" customHeight="1">
      <c r="A1125" s="289" t="s">
        <v>361</v>
      </c>
      <c r="B1125" s="146">
        <v>2012</v>
      </c>
      <c r="C1125" s="146" t="s">
        <v>345</v>
      </c>
      <c r="D1125" s="117" t="s">
        <v>3741</v>
      </c>
      <c r="E1125" s="146" t="s">
        <v>86</v>
      </c>
      <c r="F1125" s="146" t="s">
        <v>1711</v>
      </c>
      <c r="G1125" s="146" t="s">
        <v>41</v>
      </c>
      <c r="H1125" s="146"/>
      <c r="I1125" s="146"/>
      <c r="J1125" s="146"/>
      <c r="K1125" s="146" t="s">
        <v>709</v>
      </c>
      <c r="L1125" s="146"/>
      <c r="M1125" s="146"/>
      <c r="N1125" s="754"/>
      <c r="O1125" s="754"/>
      <c r="P1125" s="754"/>
      <c r="Q1125" s="146"/>
      <c r="R1125" s="754"/>
      <c r="S1125" s="146"/>
      <c r="T1125" s="119"/>
      <c r="U1125" s="146"/>
      <c r="V1125" s="146" t="s">
        <v>725</v>
      </c>
      <c r="W1125" s="760">
        <v>2052846535</v>
      </c>
      <c r="X1125" s="146" t="s">
        <v>918</v>
      </c>
      <c r="Y1125" s="146" t="s">
        <v>602</v>
      </c>
      <c r="Z1125" s="146" t="s">
        <v>664</v>
      </c>
      <c r="AA1125" s="620">
        <v>472169395.82999998</v>
      </c>
      <c r="AB1125" s="620">
        <v>468640335.36000001</v>
      </c>
      <c r="AC1125" s="762">
        <v>1</v>
      </c>
      <c r="AD1125" s="757">
        <v>540931966.22000003</v>
      </c>
      <c r="AE1125" s="756"/>
      <c r="AF1125" s="758">
        <v>0.26350000000000001</v>
      </c>
      <c r="AG1125" s="146" t="s">
        <v>1739</v>
      </c>
      <c r="AH1125" s="759">
        <v>295.89999999999998</v>
      </c>
      <c r="AI1125" s="146" t="s">
        <v>722</v>
      </c>
      <c r="AJ1125" s="146"/>
      <c r="AK1125" s="760"/>
      <c r="AL1125" s="146"/>
      <c r="AM1125" s="146"/>
      <c r="AN1125" s="146">
        <v>21</v>
      </c>
      <c r="AO1125" s="146" t="s">
        <v>1740</v>
      </c>
      <c r="AP1125" s="146">
        <v>15</v>
      </c>
      <c r="AQ1125" s="239" t="s">
        <v>50</v>
      </c>
      <c r="AR1125" s="146"/>
      <c r="AS1125" s="146" t="s">
        <v>607</v>
      </c>
      <c r="AT1125" s="146" t="s">
        <v>362</v>
      </c>
      <c r="AU1125" s="146"/>
      <c r="AV1125" s="128" t="s">
        <v>1741</v>
      </c>
      <c r="AW1125" s="117">
        <f>VLOOKUP($D1125,'WB Data'!$C$3:$M$578,2,FALSE)</f>
        <v>3958702640.0782146</v>
      </c>
      <c r="AX1125" s="117">
        <f>VLOOKUP($D1125,'WB Data'!$C$3:$M$578,3,FALSE)</f>
        <v>3796141</v>
      </c>
      <c r="AY1125" s="847">
        <f t="shared" si="189"/>
        <v>0.11927377192965194</v>
      </c>
      <c r="AZ1125" s="117" t="e">
        <f>VLOOKUP($D1125,'WB Data'!$C$3:$M$578,4,FALSE)/100</f>
        <v>#VALUE!</v>
      </c>
      <c r="BA1125" s="117" t="str">
        <f t="shared" si="190"/>
        <v>..</v>
      </c>
      <c r="BB1125" s="129">
        <f>IFERROR(VLOOKUP($D1125,'EITI Revenues'!$C$2:$G$224,5,FALSE),"..")</f>
        <v>472169395.82999998</v>
      </c>
      <c r="BC1125" s="846" t="str">
        <f t="shared" si="191"/>
        <v>..</v>
      </c>
      <c r="BD1125" s="129">
        <f>VLOOKUP($D1125,'WB Data 2'!$C$2:$K$545,6,FALSE)</f>
        <v>1934203527.5222194</v>
      </c>
      <c r="BE1125" s="129">
        <f>IFERROR(VLOOKUP($D1125,UNCTAD!$C$5:$V$529,4,FALSE),"..")</f>
        <v>2801865157.1399999</v>
      </c>
      <c r="BF1125" s="846">
        <f t="shared" si="192"/>
        <v>0.69032712819647435</v>
      </c>
      <c r="BG1125" s="117">
        <f>VLOOKUP($D1125,'WB Data'!$C$3:$M$578,5,FALSE)</f>
        <v>408310000</v>
      </c>
      <c r="BH1125" s="129">
        <f>IFERROR($BB1125/$BG1125,"..")</f>
        <v>1.1563992942372217</v>
      </c>
      <c r="BI1125" s="117" t="str">
        <f>IFERROR(VLOOKUP($D1125,'WB Data'!$C$3:$M$578,7,FALSE)/100,"..")</f>
        <v>..</v>
      </c>
      <c r="BJ1125" s="117" t="str">
        <f>IFERROR($BI1125*$AW1125,"..")</f>
        <v>..</v>
      </c>
      <c r="BK1125" s="846" t="str">
        <f>IFERROR($BB1125/$BJ1125,"..")</f>
        <v>..</v>
      </c>
      <c r="BL1125" s="117" t="str">
        <f>IFERROR(VLOOKUP($D1125,'WB Data'!$C$3:$M$578,7,FALSE)/100,"..")</f>
        <v>..</v>
      </c>
      <c r="BM1125" s="117" t="str">
        <f>IFERROR($AW1125*$BL1125,"..")</f>
        <v>..</v>
      </c>
      <c r="BN1125" s="846" t="str">
        <f>IFERROR($BB1125/$BM1125,"..")</f>
        <v>..</v>
      </c>
      <c r="BO1125" s="801">
        <f t="shared" si="188"/>
        <v>30</v>
      </c>
      <c r="BP1125" s="117" t="str">
        <f>VLOOKUP($D1125,'WB Data'!$C$3:$M$578,9,FALSE)</f>
        <v>..</v>
      </c>
      <c r="BQ1125" s="117">
        <f>VLOOKUP($D1125,'WB Data'!$C$3:$M$578,10,FALSE)</f>
        <v>61.350609756097562</v>
      </c>
      <c r="BR1125" s="117">
        <f>VLOOKUP($D1125,'WB Data'!$C$3:$M$578,11,FALSE)</f>
        <v>68.2</v>
      </c>
      <c r="BS1125" s="129">
        <f>IFERROR(VLOOKUP($D1125,'WB Data 2'!$C$2:$K$545,9,FALSE),"..")</f>
        <v>70.43038</v>
      </c>
      <c r="BT1125" s="129" t="str">
        <f>_xlfn.IFNA(VLOOKUP($C1125,RGI!$A$2:$C$43,2,FALSE),"..")</f>
        <v>..</v>
      </c>
      <c r="BU1125" s="129" t="str">
        <f>_xlfn.IFNA(VLOOKUP($C1125,RGI!$A$2:$C$43,3,FALSE),"..")</f>
        <v>..</v>
      </c>
      <c r="BV1125" s="129">
        <f>VLOOKUP($D1125,WGI!$C$2:$O$478,7,FALSE)</f>
        <v>-0.94198275359209405</v>
      </c>
      <c r="BW1125" s="129">
        <f>VLOOKUP($D1125,WGI!$C$2:$O$478,4,FALSE)</f>
        <v>-1.1266924784215899</v>
      </c>
      <c r="BX1125" s="129">
        <f>VLOOKUP($D1125,WGI!$C$2:$O$478,3,FALSE)</f>
        <v>-0.91238133224512097</v>
      </c>
      <c r="BY1125" s="129">
        <f>VLOOKUP($D1125,WGI!$C$2:$O$478,5,FALSE)</f>
        <v>-0.64485313997840599</v>
      </c>
      <c r="BZ1125" s="129">
        <f>VLOOKUP($D1125,WGI!$C$2:$O$478,2,FALSE)</f>
        <v>-0.602145696519781</v>
      </c>
    </row>
    <row r="1126" spans="1:80" ht="15" customHeight="1">
      <c r="A1126" s="289" t="s">
        <v>361</v>
      </c>
      <c r="B1126" s="146">
        <v>2012</v>
      </c>
      <c r="C1126" s="146" t="s">
        <v>345</v>
      </c>
      <c r="D1126" s="117" t="s">
        <v>3741</v>
      </c>
      <c r="E1126" s="146" t="s">
        <v>86</v>
      </c>
      <c r="F1126" s="146"/>
      <c r="G1126" s="146" t="s">
        <v>103</v>
      </c>
      <c r="H1126" s="146"/>
      <c r="I1126" s="146"/>
      <c r="J1126" s="146"/>
      <c r="K1126" s="146" t="s">
        <v>103</v>
      </c>
      <c r="L1126" s="146"/>
      <c r="M1126" s="146"/>
      <c r="N1126" s="754"/>
      <c r="O1126" s="754"/>
      <c r="P1126" s="754"/>
      <c r="Q1126" s="146"/>
      <c r="R1126" s="754">
        <v>2640474</v>
      </c>
      <c r="S1126" s="146" t="s">
        <v>646</v>
      </c>
      <c r="T1126" s="119"/>
      <c r="U1126" s="146"/>
      <c r="V1126" s="146"/>
      <c r="W1126" s="760">
        <v>271354358</v>
      </c>
      <c r="X1126" s="146"/>
      <c r="Y1126" s="146"/>
      <c r="Z1126" s="146"/>
      <c r="AA1126" s="146"/>
      <c r="AB1126" s="146"/>
      <c r="AC1126" s="756"/>
      <c r="AD1126" s="756"/>
      <c r="AE1126" s="756"/>
      <c r="AF1126" s="758"/>
      <c r="AG1126" s="146"/>
      <c r="AH1126" s="759"/>
      <c r="AI1126" s="146"/>
      <c r="AJ1126" s="146"/>
      <c r="AK1126" s="760"/>
      <c r="AL1126" s="146"/>
      <c r="AM1126" s="146"/>
      <c r="AN1126" s="146"/>
      <c r="AO1126" s="146"/>
      <c r="AP1126" s="146"/>
      <c r="AQ1126" s="146"/>
      <c r="AR1126" s="146"/>
      <c r="AS1126" s="146"/>
      <c r="AT1126" s="146"/>
      <c r="AU1126" s="146"/>
      <c r="AV1126" s="128"/>
      <c r="AW1126" s="117">
        <f>VLOOKUP($D1126,'WB Data'!$C$3:$M$578,2,FALSE)</f>
        <v>3958702640.0782146</v>
      </c>
      <c r="AX1126" s="117">
        <f>VLOOKUP($D1126,'WB Data'!$C$3:$M$578,3,FALSE)</f>
        <v>3796141</v>
      </c>
      <c r="AY1126" s="847">
        <f t="shared" si="189"/>
        <v>0.11927377192965194</v>
      </c>
      <c r="AZ1126" s="117" t="e">
        <f>VLOOKUP($D1126,'WB Data'!$C$3:$M$578,4,FALSE)/100</f>
        <v>#VALUE!</v>
      </c>
      <c r="BA1126" s="117" t="str">
        <f t="shared" si="190"/>
        <v>..</v>
      </c>
      <c r="BB1126" s="129">
        <f>IFERROR(VLOOKUP($D1126,'EITI Revenues'!$C$2:$G$224,5,FALSE),"..")</f>
        <v>472169395.82999998</v>
      </c>
      <c r="BC1126" s="846" t="str">
        <f t="shared" si="191"/>
        <v>..</v>
      </c>
      <c r="BD1126" s="129">
        <f>VLOOKUP($D1126,'WB Data 2'!$C$2:$K$545,6,FALSE)</f>
        <v>1934203527.5222194</v>
      </c>
      <c r="BE1126" s="129">
        <f>IFERROR(VLOOKUP($D1126,UNCTAD!$C$5:$V$529,4,FALSE),"..")</f>
        <v>2801865157.1399999</v>
      </c>
      <c r="BF1126" s="846">
        <f t="shared" si="192"/>
        <v>0.69032712819647435</v>
      </c>
      <c r="BG1126" s="117">
        <f>VLOOKUP($D1126,'WB Data'!$C$3:$M$578,5,FALSE)</f>
        <v>408310000</v>
      </c>
      <c r="BH1126" s="129">
        <f>IFERROR($BB1126/$BG1126,"..")</f>
        <v>1.1563992942372217</v>
      </c>
      <c r="BI1126" s="117" t="str">
        <f>IFERROR(VLOOKUP($D1126,'WB Data'!$C$3:$M$578,7,FALSE)/100,"..")</f>
        <v>..</v>
      </c>
      <c r="BJ1126" s="117" t="str">
        <f>IFERROR($BI1126*$AW1126,"..")</f>
        <v>..</v>
      </c>
      <c r="BK1126" s="846" t="str">
        <f>IFERROR($BB1126/$BJ1126,"..")</f>
        <v>..</v>
      </c>
      <c r="BL1126" s="117" t="str">
        <f>IFERROR(VLOOKUP($D1126,'WB Data'!$C$3:$M$578,7,FALSE)/100,"..")</f>
        <v>..</v>
      </c>
      <c r="BM1126" s="117" t="str">
        <f>IFERROR($AW1126*$BL1126,"..")</f>
        <v>..</v>
      </c>
      <c r="BN1126" s="846" t="str">
        <f>IFERROR($BB1126/$BM1126,"..")</f>
        <v>..</v>
      </c>
      <c r="BO1126" s="801">
        <f t="shared" si="188"/>
        <v>30</v>
      </c>
      <c r="BP1126" s="117" t="str">
        <f>VLOOKUP($D1126,'WB Data'!$C$3:$M$578,9,FALSE)</f>
        <v>..</v>
      </c>
      <c r="BQ1126" s="117">
        <f>VLOOKUP($D1126,'WB Data'!$C$3:$M$578,10,FALSE)</f>
        <v>61.350609756097562</v>
      </c>
      <c r="BR1126" s="117">
        <f>VLOOKUP($D1126,'WB Data'!$C$3:$M$578,11,FALSE)</f>
        <v>68.2</v>
      </c>
      <c r="BS1126" s="129">
        <f>IFERROR(VLOOKUP($D1126,'WB Data 2'!$C$2:$K$545,9,FALSE),"..")</f>
        <v>70.43038</v>
      </c>
      <c r="BT1126" s="129" t="str">
        <f>_xlfn.IFNA(VLOOKUP($C1126,RGI!$A$2:$C$43,2,FALSE),"..")</f>
        <v>..</v>
      </c>
      <c r="BU1126" s="129" t="str">
        <f>_xlfn.IFNA(VLOOKUP($C1126,RGI!$A$2:$C$43,3,FALSE),"..")</f>
        <v>..</v>
      </c>
      <c r="BV1126" s="129">
        <f>VLOOKUP($D1126,WGI!$C$2:$O$478,7,FALSE)</f>
        <v>-0.94198275359209405</v>
      </c>
      <c r="BW1126" s="129">
        <f>VLOOKUP($D1126,WGI!$C$2:$O$478,4,FALSE)</f>
        <v>-1.1266924784215899</v>
      </c>
      <c r="BX1126" s="129">
        <f>VLOOKUP($D1126,WGI!$C$2:$O$478,3,FALSE)</f>
        <v>-0.91238133224512097</v>
      </c>
      <c r="BY1126" s="129">
        <f>VLOOKUP($D1126,WGI!$C$2:$O$478,5,FALSE)</f>
        <v>-0.64485313997840599</v>
      </c>
      <c r="BZ1126" s="129">
        <f>VLOOKUP($D1126,WGI!$C$2:$O$478,2,FALSE)</f>
        <v>-0.602145696519781</v>
      </c>
    </row>
    <row r="1127" spans="1:80" ht="15" customHeight="1">
      <c r="A1127" s="289" t="s">
        <v>361</v>
      </c>
      <c r="B1127" s="146">
        <v>2012</v>
      </c>
      <c r="C1127" s="146" t="s">
        <v>345</v>
      </c>
      <c r="D1127" s="117" t="s">
        <v>3741</v>
      </c>
      <c r="E1127" s="146" t="s">
        <v>86</v>
      </c>
      <c r="F1127" s="146"/>
      <c r="G1127" s="146" t="s">
        <v>24</v>
      </c>
      <c r="H1127" s="146"/>
      <c r="I1127" s="146"/>
      <c r="J1127" s="146"/>
      <c r="K1127" s="146" t="s">
        <v>600</v>
      </c>
      <c r="L1127" s="146"/>
      <c r="M1127" s="146"/>
      <c r="N1127" s="754"/>
      <c r="O1127" s="754"/>
      <c r="P1127" s="754"/>
      <c r="Q1127" s="146"/>
      <c r="R1127" s="754"/>
      <c r="S1127" s="146"/>
      <c r="T1127" s="119"/>
      <c r="U1127" s="146"/>
      <c r="V1127" s="146"/>
      <c r="W1127" s="760">
        <v>1781492177</v>
      </c>
      <c r="X1127" s="146"/>
      <c r="Y1127" s="146"/>
      <c r="Z1127" s="146"/>
      <c r="AA1127" s="146"/>
      <c r="AB1127" s="146"/>
      <c r="AC1127" s="756"/>
      <c r="AD1127" s="756"/>
      <c r="AE1127" s="756"/>
      <c r="AF1127" s="758"/>
      <c r="AG1127" s="146"/>
      <c r="AH1127" s="759"/>
      <c r="AI1127" s="146"/>
      <c r="AJ1127" s="146"/>
      <c r="AK1127" s="760"/>
      <c r="AL1127" s="146"/>
      <c r="AM1127" s="146"/>
      <c r="AN1127" s="146"/>
      <c r="AO1127" s="146"/>
      <c r="AP1127" s="146"/>
      <c r="AQ1127" s="146"/>
      <c r="AR1127" s="146"/>
      <c r="AS1127" s="146"/>
      <c r="AT1127" s="146"/>
      <c r="AU1127" s="146"/>
      <c r="AV1127" s="128"/>
      <c r="AW1127" s="117">
        <f>VLOOKUP($D1127,'WB Data'!$C$3:$M$578,2,FALSE)</f>
        <v>3958702640.0782146</v>
      </c>
      <c r="AX1127" s="117">
        <f>VLOOKUP($D1127,'WB Data'!$C$3:$M$578,3,FALSE)</f>
        <v>3796141</v>
      </c>
      <c r="AY1127" s="847">
        <f t="shared" si="189"/>
        <v>0.11927377192965194</v>
      </c>
      <c r="AZ1127" s="117" t="e">
        <f>VLOOKUP($D1127,'WB Data'!$C$3:$M$578,4,FALSE)/100</f>
        <v>#VALUE!</v>
      </c>
      <c r="BA1127" s="117" t="str">
        <f t="shared" si="190"/>
        <v>..</v>
      </c>
      <c r="BB1127" s="129">
        <f>IFERROR(VLOOKUP($D1127,'EITI Revenues'!$C$2:$G$224,5,FALSE),"..")</f>
        <v>472169395.82999998</v>
      </c>
      <c r="BC1127" s="846" t="str">
        <f t="shared" si="191"/>
        <v>..</v>
      </c>
      <c r="BD1127" s="129">
        <f>VLOOKUP($D1127,'WB Data 2'!$C$2:$K$545,6,FALSE)</f>
        <v>1934203527.5222194</v>
      </c>
      <c r="BE1127" s="129">
        <f>IFERROR(VLOOKUP($D1127,UNCTAD!$C$5:$V$529,4,FALSE),"..")</f>
        <v>2801865157.1399999</v>
      </c>
      <c r="BF1127" s="846">
        <f t="shared" si="192"/>
        <v>0.69032712819647435</v>
      </c>
      <c r="BG1127" s="117">
        <f>VLOOKUP($D1127,'WB Data'!$C$3:$M$578,5,FALSE)</f>
        <v>408310000</v>
      </c>
      <c r="BH1127" s="129">
        <f>IFERROR($BB1127/$BG1127,"..")</f>
        <v>1.1563992942372217</v>
      </c>
      <c r="BI1127" s="117" t="str">
        <f>IFERROR(VLOOKUP($D1127,'WB Data'!$C$3:$M$578,7,FALSE)/100,"..")</f>
        <v>..</v>
      </c>
      <c r="BJ1127" s="117" t="str">
        <f>IFERROR($BI1127*$AW1127,"..")</f>
        <v>..</v>
      </c>
      <c r="BK1127" s="846" t="str">
        <f>IFERROR($BB1127/$BJ1127,"..")</f>
        <v>..</v>
      </c>
      <c r="BL1127" s="117" t="str">
        <f>IFERROR(VLOOKUP($D1127,'WB Data'!$C$3:$M$578,7,FALSE)/100,"..")</f>
        <v>..</v>
      </c>
      <c r="BM1127" s="117" t="str">
        <f>IFERROR($AW1127*$BL1127,"..")</f>
        <v>..</v>
      </c>
      <c r="BN1127" s="846" t="str">
        <f>IFERROR($BB1127/$BM1127,"..")</f>
        <v>..</v>
      </c>
      <c r="BO1127" s="801">
        <f t="shared" si="188"/>
        <v>30</v>
      </c>
      <c r="BP1127" s="117" t="str">
        <f>VLOOKUP($D1127,'WB Data'!$C$3:$M$578,9,FALSE)</f>
        <v>..</v>
      </c>
      <c r="BQ1127" s="117">
        <f>VLOOKUP($D1127,'WB Data'!$C$3:$M$578,10,FALSE)</f>
        <v>61.350609756097562</v>
      </c>
      <c r="BR1127" s="117">
        <f>VLOOKUP($D1127,'WB Data'!$C$3:$M$578,11,FALSE)</f>
        <v>68.2</v>
      </c>
      <c r="BS1127" s="129">
        <f>IFERROR(VLOOKUP($D1127,'WB Data 2'!$C$2:$K$545,9,FALSE),"..")</f>
        <v>70.43038</v>
      </c>
      <c r="BT1127" s="129" t="str">
        <f>_xlfn.IFNA(VLOOKUP($C1127,RGI!$A$2:$C$43,2,FALSE),"..")</f>
        <v>..</v>
      </c>
      <c r="BU1127" s="129" t="str">
        <f>_xlfn.IFNA(VLOOKUP($C1127,RGI!$A$2:$C$43,3,FALSE),"..")</f>
        <v>..</v>
      </c>
      <c r="BV1127" s="129">
        <f>VLOOKUP($D1127,WGI!$C$2:$O$478,7,FALSE)</f>
        <v>-0.94198275359209405</v>
      </c>
      <c r="BW1127" s="129">
        <f>VLOOKUP($D1127,WGI!$C$2:$O$478,4,FALSE)</f>
        <v>-1.1266924784215899</v>
      </c>
      <c r="BX1127" s="129">
        <f>VLOOKUP($D1127,WGI!$C$2:$O$478,3,FALSE)</f>
        <v>-0.91238133224512097</v>
      </c>
      <c r="BY1127" s="129">
        <f>VLOOKUP($D1127,WGI!$C$2:$O$478,5,FALSE)</f>
        <v>-0.64485313997840599</v>
      </c>
      <c r="BZ1127" s="129">
        <f>VLOOKUP($D1127,WGI!$C$2:$O$478,2,FALSE)</f>
        <v>-0.602145696519781</v>
      </c>
    </row>
    <row r="1128" spans="1:80" ht="15" customHeight="1">
      <c r="A1128" s="289" t="s">
        <v>361</v>
      </c>
      <c r="B1128" s="146">
        <v>2012</v>
      </c>
      <c r="C1128" s="146" t="s">
        <v>345</v>
      </c>
      <c r="D1128" s="117" t="s">
        <v>3741</v>
      </c>
      <c r="E1128" s="146" t="s">
        <v>86</v>
      </c>
      <c r="F1128" s="146"/>
      <c r="G1128" s="146" t="s">
        <v>24</v>
      </c>
      <c r="H1128" s="146"/>
      <c r="I1128" s="146"/>
      <c r="J1128" s="146"/>
      <c r="K1128" s="146" t="s">
        <v>1742</v>
      </c>
      <c r="L1128" s="146"/>
      <c r="M1128" s="146"/>
      <c r="N1128" s="754"/>
      <c r="O1128" s="754"/>
      <c r="P1128" s="754"/>
      <c r="Q1128" s="146"/>
      <c r="R1128" s="754">
        <v>11170000</v>
      </c>
      <c r="S1128" s="146" t="s">
        <v>610</v>
      </c>
      <c r="T1128" s="119"/>
      <c r="U1128" s="146"/>
      <c r="V1128" s="146"/>
      <c r="W1128" s="760">
        <v>1127100000</v>
      </c>
      <c r="X1128" s="146"/>
      <c r="Y1128" s="146"/>
      <c r="Z1128" s="146"/>
      <c r="AA1128" s="146"/>
      <c r="AB1128" s="146"/>
      <c r="AC1128" s="756"/>
      <c r="AD1128" s="756"/>
      <c r="AE1128" s="756"/>
      <c r="AF1128" s="758"/>
      <c r="AG1128" s="146"/>
      <c r="AH1128" s="759"/>
      <c r="AI1128" s="146"/>
      <c r="AJ1128" s="146"/>
      <c r="AK1128" s="760"/>
      <c r="AL1128" s="146"/>
      <c r="AM1128" s="146"/>
      <c r="AN1128" s="146"/>
      <c r="AO1128" s="146"/>
      <c r="AP1128" s="146"/>
      <c r="AQ1128" s="146"/>
      <c r="AR1128" s="146"/>
      <c r="AS1128" s="146"/>
      <c r="AT1128" s="146"/>
      <c r="AU1128" s="146"/>
      <c r="AV1128" s="128"/>
      <c r="AW1128" s="117">
        <f>VLOOKUP($D1128,'WB Data'!$C$3:$M$578,2,FALSE)</f>
        <v>3958702640.0782146</v>
      </c>
      <c r="AX1128" s="117">
        <f>VLOOKUP($D1128,'WB Data'!$C$3:$M$578,3,FALSE)</f>
        <v>3796141</v>
      </c>
      <c r="AY1128" s="847">
        <f t="shared" si="189"/>
        <v>0.11927377192965194</v>
      </c>
      <c r="AZ1128" s="117" t="e">
        <f>VLOOKUP($D1128,'WB Data'!$C$3:$M$578,4,FALSE)/100</f>
        <v>#VALUE!</v>
      </c>
      <c r="BA1128" s="117" t="str">
        <f t="shared" si="190"/>
        <v>..</v>
      </c>
      <c r="BB1128" s="129">
        <f>IFERROR(VLOOKUP($D1128,'EITI Revenues'!$C$2:$G$224,5,FALSE),"..")</f>
        <v>472169395.82999998</v>
      </c>
      <c r="BC1128" s="846" t="str">
        <f t="shared" si="191"/>
        <v>..</v>
      </c>
      <c r="BD1128" s="129">
        <f>VLOOKUP($D1128,'WB Data 2'!$C$2:$K$545,6,FALSE)</f>
        <v>1934203527.5222194</v>
      </c>
      <c r="BE1128" s="129">
        <f>IFERROR(VLOOKUP($D1128,UNCTAD!$C$5:$V$529,4,FALSE),"..")</f>
        <v>2801865157.1399999</v>
      </c>
      <c r="BF1128" s="846">
        <f t="shared" si="192"/>
        <v>0.69032712819647435</v>
      </c>
      <c r="BG1128" s="117">
        <f>VLOOKUP($D1128,'WB Data'!$C$3:$M$578,5,FALSE)</f>
        <v>408310000</v>
      </c>
      <c r="BH1128" s="129">
        <f>IFERROR($BB1128/$BG1128,"..")</f>
        <v>1.1563992942372217</v>
      </c>
      <c r="BI1128" s="117" t="str">
        <f>IFERROR(VLOOKUP($D1128,'WB Data'!$C$3:$M$578,7,FALSE)/100,"..")</f>
        <v>..</v>
      </c>
      <c r="BJ1128" s="117" t="str">
        <f>IFERROR($BI1128*$AW1128,"..")</f>
        <v>..</v>
      </c>
      <c r="BK1128" s="846" t="str">
        <f>IFERROR($BB1128/$BJ1128,"..")</f>
        <v>..</v>
      </c>
      <c r="BL1128" s="117" t="str">
        <f>IFERROR(VLOOKUP($D1128,'WB Data'!$C$3:$M$578,7,FALSE)/100,"..")</f>
        <v>..</v>
      </c>
      <c r="BM1128" s="117" t="str">
        <f>IFERROR($AW1128*$BL1128,"..")</f>
        <v>..</v>
      </c>
      <c r="BN1128" s="846" t="str">
        <f>IFERROR($BB1128/$BM1128,"..")</f>
        <v>..</v>
      </c>
      <c r="BO1128" s="801">
        <f t="shared" si="188"/>
        <v>30</v>
      </c>
      <c r="BP1128" s="117" t="str">
        <f>VLOOKUP($D1128,'WB Data'!$C$3:$M$578,9,FALSE)</f>
        <v>..</v>
      </c>
      <c r="BQ1128" s="117">
        <f>VLOOKUP($D1128,'WB Data'!$C$3:$M$578,10,FALSE)</f>
        <v>61.350609756097562</v>
      </c>
      <c r="BR1128" s="117">
        <f>VLOOKUP($D1128,'WB Data'!$C$3:$M$578,11,FALSE)</f>
        <v>68.2</v>
      </c>
      <c r="BS1128" s="129">
        <f>IFERROR(VLOOKUP($D1128,'WB Data 2'!$C$2:$K$545,9,FALSE),"..")</f>
        <v>70.43038</v>
      </c>
      <c r="BT1128" s="129" t="str">
        <f>_xlfn.IFNA(VLOOKUP($C1128,RGI!$A$2:$C$43,2,FALSE),"..")</f>
        <v>..</v>
      </c>
      <c r="BU1128" s="129" t="str">
        <f>_xlfn.IFNA(VLOOKUP($C1128,RGI!$A$2:$C$43,3,FALSE),"..")</f>
        <v>..</v>
      </c>
      <c r="BV1128" s="129">
        <f>VLOOKUP($D1128,WGI!$C$2:$O$478,7,FALSE)</f>
        <v>-0.94198275359209405</v>
      </c>
      <c r="BW1128" s="129">
        <f>VLOOKUP($D1128,WGI!$C$2:$O$478,4,FALSE)</f>
        <v>-1.1266924784215899</v>
      </c>
      <c r="BX1128" s="129">
        <f>VLOOKUP($D1128,WGI!$C$2:$O$478,3,FALSE)</f>
        <v>-0.91238133224512097</v>
      </c>
      <c r="BY1128" s="129">
        <f>VLOOKUP($D1128,WGI!$C$2:$O$478,5,FALSE)</f>
        <v>-0.64485313997840599</v>
      </c>
      <c r="BZ1128" s="129">
        <f>VLOOKUP($D1128,WGI!$C$2:$O$478,2,FALSE)</f>
        <v>-0.602145696519781</v>
      </c>
    </row>
    <row r="1129" spans="1:80" ht="15" customHeight="1">
      <c r="A1129" s="761" t="s">
        <v>361</v>
      </c>
      <c r="B1129" s="146">
        <v>2012</v>
      </c>
      <c r="C1129" s="146" t="s">
        <v>345</v>
      </c>
      <c r="D1129" s="117" t="s">
        <v>3741</v>
      </c>
      <c r="E1129" s="146" t="s">
        <v>86</v>
      </c>
      <c r="F1129" s="146"/>
      <c r="G1129" s="146" t="s">
        <v>24</v>
      </c>
      <c r="H1129" s="146"/>
      <c r="I1129" s="146"/>
      <c r="J1129" s="146"/>
      <c r="K1129" s="146" t="s">
        <v>619</v>
      </c>
      <c r="L1129" s="146"/>
      <c r="M1129" s="146"/>
      <c r="N1129" s="754"/>
      <c r="O1129" s="754"/>
      <c r="P1129" s="754"/>
      <c r="Q1129" s="146"/>
      <c r="R1129" s="754">
        <v>37670</v>
      </c>
      <c r="S1129" s="146" t="s">
        <v>610</v>
      </c>
      <c r="T1129" s="119"/>
      <c r="U1129" s="146"/>
      <c r="V1129" s="146"/>
      <c r="W1129" s="760">
        <v>333300000</v>
      </c>
      <c r="X1129" s="146"/>
      <c r="Y1129" s="146"/>
      <c r="Z1129" s="146"/>
      <c r="AA1129" s="146"/>
      <c r="AB1129" s="146"/>
      <c r="AC1129" s="756"/>
      <c r="AD1129" s="756"/>
      <c r="AE1129" s="756"/>
      <c r="AF1129" s="758"/>
      <c r="AG1129" s="146"/>
      <c r="AH1129" s="759"/>
      <c r="AI1129" s="146"/>
      <c r="AJ1129" s="146"/>
      <c r="AK1129" s="760"/>
      <c r="AL1129" s="146"/>
      <c r="AM1129" s="146"/>
      <c r="AN1129" s="146"/>
      <c r="AO1129" s="146"/>
      <c r="AP1129" s="146"/>
      <c r="AQ1129" s="146"/>
      <c r="AR1129" s="146"/>
      <c r="AS1129" s="146"/>
      <c r="AT1129" s="146"/>
      <c r="AU1129" s="146"/>
      <c r="AV1129" s="128"/>
      <c r="AW1129" s="117">
        <f>VLOOKUP($D1129,'WB Data'!$C$3:$M$578,2,FALSE)</f>
        <v>3958702640.0782146</v>
      </c>
      <c r="AX1129" s="117">
        <f>VLOOKUP($D1129,'WB Data'!$C$3:$M$578,3,FALSE)</f>
        <v>3796141</v>
      </c>
      <c r="AY1129" s="847">
        <f t="shared" si="189"/>
        <v>0.11927377192965194</v>
      </c>
      <c r="AZ1129" s="117" t="e">
        <f>VLOOKUP($D1129,'WB Data'!$C$3:$M$578,4,FALSE)/100</f>
        <v>#VALUE!</v>
      </c>
      <c r="BA1129" s="117" t="str">
        <f t="shared" si="190"/>
        <v>..</v>
      </c>
      <c r="BB1129" s="129">
        <f>IFERROR(VLOOKUP($D1129,'EITI Revenues'!$C$2:$G$224,5,FALSE),"..")</f>
        <v>472169395.82999998</v>
      </c>
      <c r="BC1129" s="846" t="str">
        <f t="shared" si="191"/>
        <v>..</v>
      </c>
      <c r="BD1129" s="129">
        <f>VLOOKUP($D1129,'WB Data 2'!$C$2:$K$545,6,FALSE)</f>
        <v>1934203527.5222194</v>
      </c>
      <c r="BE1129" s="129">
        <f>IFERROR(VLOOKUP($D1129,UNCTAD!$C$5:$V$529,4,FALSE),"..")</f>
        <v>2801865157.1399999</v>
      </c>
      <c r="BF1129" s="846">
        <f t="shared" si="192"/>
        <v>0.69032712819647435</v>
      </c>
      <c r="BG1129" s="117">
        <f>VLOOKUP($D1129,'WB Data'!$C$3:$M$578,5,FALSE)</f>
        <v>408310000</v>
      </c>
      <c r="BH1129" s="129">
        <f>IFERROR($BB1129/$BG1129,"..")</f>
        <v>1.1563992942372217</v>
      </c>
      <c r="BI1129" s="117" t="str">
        <f>IFERROR(VLOOKUP($D1129,'WB Data'!$C$3:$M$578,7,FALSE)/100,"..")</f>
        <v>..</v>
      </c>
      <c r="BJ1129" s="117" t="str">
        <f>IFERROR($BI1129*$AW1129,"..")</f>
        <v>..</v>
      </c>
      <c r="BK1129" s="846" t="str">
        <f>IFERROR($BB1129/$BJ1129,"..")</f>
        <v>..</v>
      </c>
      <c r="BL1129" s="117" t="str">
        <f>IFERROR(VLOOKUP($D1129,'WB Data'!$C$3:$M$578,7,FALSE)/100,"..")</f>
        <v>..</v>
      </c>
      <c r="BM1129" s="117" t="str">
        <f>IFERROR($AW1129*$BL1129,"..")</f>
        <v>..</v>
      </c>
      <c r="BN1129" s="846" t="str">
        <f>IFERROR($BB1129/$BM1129,"..")</f>
        <v>..</v>
      </c>
      <c r="BO1129" s="801">
        <f t="shared" si="188"/>
        <v>30</v>
      </c>
      <c r="BP1129" s="117" t="str">
        <f>VLOOKUP($D1129,'WB Data'!$C$3:$M$578,9,FALSE)</f>
        <v>..</v>
      </c>
      <c r="BQ1129" s="117">
        <f>VLOOKUP($D1129,'WB Data'!$C$3:$M$578,10,FALSE)</f>
        <v>61.350609756097562</v>
      </c>
      <c r="BR1129" s="117">
        <f>VLOOKUP($D1129,'WB Data'!$C$3:$M$578,11,FALSE)</f>
        <v>68.2</v>
      </c>
      <c r="BS1129" s="129">
        <f>IFERROR(VLOOKUP($D1129,'WB Data 2'!$C$2:$K$545,9,FALSE),"..")</f>
        <v>70.43038</v>
      </c>
      <c r="BT1129" s="129" t="str">
        <f>_xlfn.IFNA(VLOOKUP($C1129,RGI!$A$2:$C$43,2,FALSE),"..")</f>
        <v>..</v>
      </c>
      <c r="BU1129" s="129" t="str">
        <f>_xlfn.IFNA(VLOOKUP($C1129,RGI!$A$2:$C$43,3,FALSE),"..")</f>
        <v>..</v>
      </c>
      <c r="BV1129" s="129">
        <f>VLOOKUP($D1129,WGI!$C$2:$O$478,7,FALSE)</f>
        <v>-0.94198275359209405</v>
      </c>
      <c r="BW1129" s="129">
        <f>VLOOKUP($D1129,WGI!$C$2:$O$478,4,FALSE)</f>
        <v>-1.1266924784215899</v>
      </c>
      <c r="BX1129" s="129">
        <f>VLOOKUP($D1129,WGI!$C$2:$O$478,3,FALSE)</f>
        <v>-0.91238133224512097</v>
      </c>
      <c r="BY1129" s="129">
        <f>VLOOKUP($D1129,WGI!$C$2:$O$478,5,FALSE)</f>
        <v>-0.64485313997840599</v>
      </c>
      <c r="BZ1129" s="129">
        <f>VLOOKUP($D1129,WGI!$C$2:$O$478,2,FALSE)</f>
        <v>-0.602145696519781</v>
      </c>
    </row>
    <row r="1130" spans="1:80" ht="15" customHeight="1">
      <c r="A1130" s="761" t="s">
        <v>361</v>
      </c>
      <c r="B1130" s="146">
        <v>2012</v>
      </c>
      <c r="C1130" s="146" t="s">
        <v>345</v>
      </c>
      <c r="D1130" s="117" t="s">
        <v>3741</v>
      </c>
      <c r="E1130" s="146" t="s">
        <v>86</v>
      </c>
      <c r="F1130" s="146"/>
      <c r="G1130" s="146" t="s">
        <v>24</v>
      </c>
      <c r="H1130" s="146"/>
      <c r="I1130" s="146"/>
      <c r="J1130" s="146"/>
      <c r="K1130" s="146" t="s">
        <v>784</v>
      </c>
      <c r="L1130" s="146"/>
      <c r="M1130" s="146"/>
      <c r="N1130" s="754"/>
      <c r="O1130" s="754"/>
      <c r="P1130" s="754"/>
      <c r="Q1130" s="146"/>
      <c r="R1130" s="754">
        <v>7.5</v>
      </c>
      <c r="S1130" s="146" t="s">
        <v>610</v>
      </c>
      <c r="T1130" s="119"/>
      <c r="U1130" s="146"/>
      <c r="V1130" s="146"/>
      <c r="W1130" s="760">
        <v>320700000</v>
      </c>
      <c r="X1130" s="146"/>
      <c r="Y1130" s="146"/>
      <c r="Z1130" s="146"/>
      <c r="AA1130" s="146"/>
      <c r="AB1130" s="146"/>
      <c r="AC1130" s="756"/>
      <c r="AD1130" s="756"/>
      <c r="AE1130" s="756"/>
      <c r="AF1130" s="758"/>
      <c r="AG1130" s="146"/>
      <c r="AH1130" s="759"/>
      <c r="AI1130" s="146"/>
      <c r="AJ1130" s="146"/>
      <c r="AK1130" s="760"/>
      <c r="AL1130" s="146"/>
      <c r="AM1130" s="146"/>
      <c r="AN1130" s="146"/>
      <c r="AO1130" s="146"/>
      <c r="AP1130" s="146"/>
      <c r="AQ1130" s="146"/>
      <c r="AR1130" s="146"/>
      <c r="AS1130" s="146"/>
      <c r="AT1130" s="146"/>
      <c r="AU1130" s="146"/>
      <c r="AV1130" s="128"/>
      <c r="AW1130" s="117">
        <f>VLOOKUP($D1130,'WB Data'!$C$3:$M$578,2,FALSE)</f>
        <v>3958702640.0782146</v>
      </c>
      <c r="AX1130" s="117">
        <f>VLOOKUP($D1130,'WB Data'!$C$3:$M$578,3,FALSE)</f>
        <v>3796141</v>
      </c>
      <c r="AY1130" s="847">
        <f t="shared" si="189"/>
        <v>0.11927377192965194</v>
      </c>
      <c r="AZ1130" s="117" t="e">
        <f>VLOOKUP($D1130,'WB Data'!$C$3:$M$578,4,FALSE)/100</f>
        <v>#VALUE!</v>
      </c>
      <c r="BA1130" s="117" t="str">
        <f t="shared" si="190"/>
        <v>..</v>
      </c>
      <c r="BB1130" s="129">
        <f>IFERROR(VLOOKUP($D1130,'EITI Revenues'!$C$2:$G$224,5,FALSE),"..")</f>
        <v>472169395.82999998</v>
      </c>
      <c r="BC1130" s="846" t="str">
        <f t="shared" si="191"/>
        <v>..</v>
      </c>
      <c r="BD1130" s="129">
        <f>VLOOKUP($D1130,'WB Data 2'!$C$2:$K$545,6,FALSE)</f>
        <v>1934203527.5222194</v>
      </c>
      <c r="BE1130" s="129">
        <f>IFERROR(VLOOKUP($D1130,UNCTAD!$C$5:$V$529,4,FALSE),"..")</f>
        <v>2801865157.1399999</v>
      </c>
      <c r="BF1130" s="846">
        <f t="shared" si="192"/>
        <v>0.69032712819647435</v>
      </c>
      <c r="BG1130" s="117">
        <f>VLOOKUP($D1130,'WB Data'!$C$3:$M$578,5,FALSE)</f>
        <v>408310000</v>
      </c>
      <c r="BH1130" s="129">
        <f>IFERROR($BB1130/$BG1130,"..")</f>
        <v>1.1563992942372217</v>
      </c>
      <c r="BI1130" s="117" t="str">
        <f>IFERROR(VLOOKUP($D1130,'WB Data'!$C$3:$M$578,7,FALSE)/100,"..")</f>
        <v>..</v>
      </c>
      <c r="BJ1130" s="117" t="str">
        <f>IFERROR($BI1130*$AW1130,"..")</f>
        <v>..</v>
      </c>
      <c r="BK1130" s="846" t="str">
        <f>IFERROR($BB1130/$BJ1130,"..")</f>
        <v>..</v>
      </c>
      <c r="BL1130" s="117" t="str">
        <f>IFERROR(VLOOKUP($D1130,'WB Data'!$C$3:$M$578,7,FALSE)/100,"..")</f>
        <v>..</v>
      </c>
      <c r="BM1130" s="117" t="str">
        <f>IFERROR($AW1130*$BL1130,"..")</f>
        <v>..</v>
      </c>
      <c r="BN1130" s="846" t="str">
        <f>IFERROR($BB1130/$BM1130,"..")</f>
        <v>..</v>
      </c>
      <c r="BO1130" s="801">
        <f t="shared" si="188"/>
        <v>30</v>
      </c>
      <c r="BP1130" s="117" t="str">
        <f>VLOOKUP($D1130,'WB Data'!$C$3:$M$578,9,FALSE)</f>
        <v>..</v>
      </c>
      <c r="BQ1130" s="117">
        <f>VLOOKUP($D1130,'WB Data'!$C$3:$M$578,10,FALSE)</f>
        <v>61.350609756097562</v>
      </c>
      <c r="BR1130" s="117">
        <f>VLOOKUP($D1130,'WB Data'!$C$3:$M$578,11,FALSE)</f>
        <v>68.2</v>
      </c>
      <c r="BS1130" s="129">
        <f>IFERROR(VLOOKUP($D1130,'WB Data 2'!$C$2:$K$545,9,FALSE),"..")</f>
        <v>70.43038</v>
      </c>
      <c r="BT1130" s="129" t="str">
        <f>_xlfn.IFNA(VLOOKUP($C1130,RGI!$A$2:$C$43,2,FALSE),"..")</f>
        <v>..</v>
      </c>
      <c r="BU1130" s="129" t="str">
        <f>_xlfn.IFNA(VLOOKUP($C1130,RGI!$A$2:$C$43,3,FALSE),"..")</f>
        <v>..</v>
      </c>
      <c r="BV1130" s="129">
        <f>VLOOKUP($D1130,WGI!$C$2:$O$478,7,FALSE)</f>
        <v>-0.94198275359209405</v>
      </c>
      <c r="BW1130" s="129">
        <f>VLOOKUP($D1130,WGI!$C$2:$O$478,4,FALSE)</f>
        <v>-1.1266924784215899</v>
      </c>
      <c r="BX1130" s="129">
        <f>VLOOKUP($D1130,WGI!$C$2:$O$478,3,FALSE)</f>
        <v>-0.91238133224512097</v>
      </c>
      <c r="BY1130" s="129">
        <f>VLOOKUP($D1130,WGI!$C$2:$O$478,5,FALSE)</f>
        <v>-0.64485313997840599</v>
      </c>
      <c r="BZ1130" s="129">
        <f>VLOOKUP($D1130,WGI!$C$2:$O$478,2,FALSE)</f>
        <v>-0.602145696519781</v>
      </c>
    </row>
    <row r="1131" spans="1:80" ht="15" customHeight="1" thickBot="1">
      <c r="A1131" s="761" t="s">
        <v>361</v>
      </c>
      <c r="B1131" s="146">
        <v>2012</v>
      </c>
      <c r="C1131" s="146" t="s">
        <v>345</v>
      </c>
      <c r="D1131" s="117" t="s">
        <v>3741</v>
      </c>
      <c r="E1131" s="146" t="s">
        <v>86</v>
      </c>
      <c r="F1131" s="146"/>
      <c r="G1131" s="146" t="s">
        <v>24</v>
      </c>
      <c r="H1131" s="146"/>
      <c r="I1131" s="146"/>
      <c r="J1131" s="146"/>
      <c r="K1131" s="146" t="s">
        <v>789</v>
      </c>
      <c r="L1131" s="146"/>
      <c r="M1131" s="146"/>
      <c r="N1131" s="754"/>
      <c r="O1131" s="754"/>
      <c r="P1131" s="754"/>
      <c r="Q1131" s="146"/>
      <c r="R1131" s="754">
        <v>0.28699999999999998</v>
      </c>
      <c r="S1131" s="146" t="s">
        <v>610</v>
      </c>
      <c r="T1131" s="119"/>
      <c r="U1131" s="146"/>
      <c r="V1131" s="146"/>
      <c r="W1131" s="760">
        <v>300000</v>
      </c>
      <c r="X1131" s="146"/>
      <c r="Y1131" s="146"/>
      <c r="Z1131" s="146"/>
      <c r="AA1131" s="146"/>
      <c r="AB1131" s="146"/>
      <c r="AC1131" s="756"/>
      <c r="AD1131" s="756"/>
      <c r="AE1131" s="756"/>
      <c r="AF1131" s="758"/>
      <c r="AG1131" s="146"/>
      <c r="AH1131" s="759"/>
      <c r="AI1131" s="146"/>
      <c r="AJ1131" s="146"/>
      <c r="AK1131" s="760"/>
      <c r="AL1131" s="146"/>
      <c r="AM1131" s="146"/>
      <c r="AN1131" s="146"/>
      <c r="AO1131" s="146"/>
      <c r="AP1131" s="146"/>
      <c r="AQ1131" s="146"/>
      <c r="AR1131" s="146"/>
      <c r="AS1131" s="146"/>
      <c r="AT1131" s="146"/>
      <c r="AU1131" s="146"/>
      <c r="AV1131" s="128"/>
      <c r="AW1131" s="117">
        <f>VLOOKUP($D1131,'WB Data'!$C$3:$M$578,2,FALSE)</f>
        <v>3958702640.0782146</v>
      </c>
      <c r="AX1131" s="117">
        <f>VLOOKUP($D1131,'WB Data'!$C$3:$M$578,3,FALSE)</f>
        <v>3796141</v>
      </c>
      <c r="AY1131" s="847">
        <f t="shared" si="189"/>
        <v>0.11927377192965194</v>
      </c>
      <c r="AZ1131" s="117" t="e">
        <f>VLOOKUP($D1131,'WB Data'!$C$3:$M$578,4,FALSE)/100</f>
        <v>#VALUE!</v>
      </c>
      <c r="BA1131" s="117" t="str">
        <f t="shared" si="190"/>
        <v>..</v>
      </c>
      <c r="BB1131" s="129">
        <f>IFERROR(VLOOKUP($D1131,'EITI Revenues'!$C$2:$G$224,5,FALSE),"..")</f>
        <v>472169395.82999998</v>
      </c>
      <c r="BC1131" s="846" t="str">
        <f t="shared" si="191"/>
        <v>..</v>
      </c>
      <c r="BD1131" s="129">
        <f>VLOOKUP($D1131,'WB Data 2'!$C$2:$K$545,6,FALSE)</f>
        <v>1934203527.5222194</v>
      </c>
      <c r="BE1131" s="129">
        <f>IFERROR(VLOOKUP($D1131,UNCTAD!$C$5:$V$529,4,FALSE),"..")</f>
        <v>2801865157.1399999</v>
      </c>
      <c r="BF1131" s="846">
        <f t="shared" si="192"/>
        <v>0.69032712819647435</v>
      </c>
      <c r="BG1131" s="117">
        <f>VLOOKUP($D1131,'WB Data'!$C$3:$M$578,5,FALSE)</f>
        <v>408310000</v>
      </c>
      <c r="BH1131" s="129">
        <f>IFERROR($BB1131/$BG1131,"..")</f>
        <v>1.1563992942372217</v>
      </c>
      <c r="BI1131" s="117" t="str">
        <f>IFERROR(VLOOKUP($D1131,'WB Data'!$C$3:$M$578,7,FALSE)/100,"..")</f>
        <v>..</v>
      </c>
      <c r="BJ1131" s="117" t="str">
        <f>IFERROR($BI1131*$AW1131,"..")</f>
        <v>..</v>
      </c>
      <c r="BK1131" s="846" t="str">
        <f>IFERROR($BB1131/$BJ1131,"..")</f>
        <v>..</v>
      </c>
      <c r="BL1131" s="117" t="str">
        <f>IFERROR(VLOOKUP($D1131,'WB Data'!$C$3:$M$578,7,FALSE)/100,"..")</f>
        <v>..</v>
      </c>
      <c r="BM1131" s="117" t="str">
        <f>IFERROR($AW1131*$BL1131,"..")</f>
        <v>..</v>
      </c>
      <c r="BN1131" s="846" t="str">
        <f>IFERROR($BB1131/$BM1131,"..")</f>
        <v>..</v>
      </c>
      <c r="BO1131" s="801">
        <f t="shared" si="188"/>
        <v>30</v>
      </c>
      <c r="BP1131" s="117" t="str">
        <f>VLOOKUP($D1131,'WB Data'!$C$3:$M$578,9,FALSE)</f>
        <v>..</v>
      </c>
      <c r="BQ1131" s="117">
        <f>VLOOKUP($D1131,'WB Data'!$C$3:$M$578,10,FALSE)</f>
        <v>61.350609756097562</v>
      </c>
      <c r="BR1131" s="117">
        <f>VLOOKUP($D1131,'WB Data'!$C$3:$M$578,11,FALSE)</f>
        <v>68.2</v>
      </c>
      <c r="BS1131" s="129">
        <f>IFERROR(VLOOKUP($D1131,'WB Data 2'!$C$2:$K$545,9,FALSE),"..")</f>
        <v>70.43038</v>
      </c>
      <c r="BT1131" s="129" t="str">
        <f>_xlfn.IFNA(VLOOKUP($C1131,RGI!$A$2:$C$43,2,FALSE),"..")</f>
        <v>..</v>
      </c>
      <c r="BU1131" s="129" t="str">
        <f>_xlfn.IFNA(VLOOKUP($C1131,RGI!$A$2:$C$43,3,FALSE),"..")</f>
        <v>..</v>
      </c>
      <c r="BV1131" s="129">
        <f>VLOOKUP($D1131,WGI!$C$2:$O$478,7,FALSE)</f>
        <v>-0.94198275359209405</v>
      </c>
      <c r="BW1131" s="129">
        <f>VLOOKUP($D1131,WGI!$C$2:$O$478,4,FALSE)</f>
        <v>-1.1266924784215899</v>
      </c>
      <c r="BX1131" s="129">
        <f>VLOOKUP($D1131,WGI!$C$2:$O$478,3,FALSE)</f>
        <v>-0.91238133224512097</v>
      </c>
      <c r="BY1131" s="129">
        <f>VLOOKUP($D1131,WGI!$C$2:$O$478,5,FALSE)</f>
        <v>-0.64485313997840599</v>
      </c>
      <c r="BZ1131" s="129">
        <f>VLOOKUP($D1131,WGI!$C$2:$O$478,2,FALSE)</f>
        <v>-0.602145696519781</v>
      </c>
    </row>
    <row r="1132" spans="1:80" s="210" customFormat="1" ht="15" customHeight="1">
      <c r="A1132" s="336" t="s">
        <v>1743</v>
      </c>
      <c r="B1132" s="175">
        <v>2006</v>
      </c>
      <c r="C1132" s="175" t="s">
        <v>364</v>
      </c>
      <c r="D1132" s="117" t="s">
        <v>3549</v>
      </c>
      <c r="E1132" s="175" t="s">
        <v>244</v>
      </c>
      <c r="F1132" s="175" t="s">
        <v>1745</v>
      </c>
      <c r="G1132" s="175" t="s">
        <v>41</v>
      </c>
      <c r="H1132" s="117" t="str">
        <f t="shared" si="196"/>
        <v>yes</v>
      </c>
      <c r="I1132" s="117" t="str">
        <f t="shared" si="193"/>
        <v>no</v>
      </c>
      <c r="J1132" s="117" t="str">
        <f t="shared" si="194"/>
        <v>yes</v>
      </c>
      <c r="K1132" s="175" t="s">
        <v>709</v>
      </c>
      <c r="L1132" s="117" t="str">
        <f t="shared" si="197"/>
        <v>Total</v>
      </c>
      <c r="M1132" s="117" t="str">
        <f t="shared" si="195"/>
        <v>Total Oil, Mining</v>
      </c>
      <c r="N1132" s="197"/>
      <c r="O1132" s="197"/>
      <c r="P1132" s="197"/>
      <c r="Q1132" s="197"/>
      <c r="R1132" s="197"/>
      <c r="S1132" s="175"/>
      <c r="T1132" s="198"/>
      <c r="U1132" s="175"/>
      <c r="V1132" s="175"/>
      <c r="W1132" s="199">
        <f>W1133+W1134</f>
        <v>1053499669.0326614</v>
      </c>
      <c r="X1132" s="175" t="s">
        <v>1746</v>
      </c>
      <c r="Y1132" s="175" t="s">
        <v>663</v>
      </c>
      <c r="Z1132" s="175" t="s">
        <v>664</v>
      </c>
      <c r="AA1132" s="593">
        <v>411987301.60000002</v>
      </c>
      <c r="AB1132" s="594">
        <v>434116184.30000001</v>
      </c>
      <c r="AC1132" s="595"/>
      <c r="AD1132" s="595"/>
      <c r="AE1132" s="595"/>
      <c r="AF1132" s="596">
        <f>AA1132/W1132</f>
        <v>0.3910654304982295</v>
      </c>
      <c r="AG1132" s="175" t="s">
        <v>1747</v>
      </c>
      <c r="AH1132" s="204">
        <v>1134</v>
      </c>
      <c r="AI1132" s="175" t="s">
        <v>605</v>
      </c>
      <c r="AJ1132" s="175" t="s">
        <v>943</v>
      </c>
      <c r="AK1132" s="175" t="s">
        <v>943</v>
      </c>
      <c r="AL1132" s="175"/>
      <c r="AM1132" s="175"/>
      <c r="AN1132" s="175">
        <v>25</v>
      </c>
      <c r="AO1132" s="175" t="s">
        <v>1748</v>
      </c>
      <c r="AP1132" s="175">
        <v>25</v>
      </c>
      <c r="AQ1132" s="175" t="s">
        <v>365</v>
      </c>
      <c r="AR1132" s="206">
        <v>41901</v>
      </c>
      <c r="AS1132" s="175" t="s">
        <v>1749</v>
      </c>
      <c r="AT1132" s="175" t="s">
        <v>366</v>
      </c>
      <c r="AU1132" s="175">
        <v>16</v>
      </c>
      <c r="AV1132" s="209" t="s">
        <v>1750</v>
      </c>
      <c r="AW1132" s="117">
        <f>VLOOKUP($D1132,'WB Data'!$C$3:$M$578,2,FALSE)</f>
        <v>3414053250.9454865</v>
      </c>
      <c r="AX1132" s="117">
        <f>VLOOKUP($D1132,'WB Data'!$C$3:$M$578,3,FALSE)</f>
        <v>2559496</v>
      </c>
      <c r="AY1132" s="847">
        <f t="shared" si="189"/>
        <v>0.1206739530163756</v>
      </c>
      <c r="AZ1132" s="117">
        <f>VLOOKUP($D1132,'WB Data'!$C$3:$M$578,4,FALSE)/100</f>
        <v>0.37686472303707197</v>
      </c>
      <c r="BA1132" s="117">
        <f t="shared" si="190"/>
        <v>1286636232.8513861</v>
      </c>
      <c r="BB1132" s="129">
        <f>IFERROR(VLOOKUP($D1132,'EITI Revenues'!$C$2:$G$224,5,FALSE),"..")</f>
        <v>411987301.60000002</v>
      </c>
      <c r="BC1132" s="846">
        <f t="shared" si="191"/>
        <v>0.32020495854292247</v>
      </c>
      <c r="BD1132" s="129">
        <f>VLOOKUP($D1132,'WB Data 2'!$C$2:$K$545,6,FALSE)</f>
        <v>1108544663.2323687</v>
      </c>
      <c r="BE1132" s="129">
        <f>IFERROR(VLOOKUP($D1132,UNCTAD!$C$5:$V$529,4,FALSE),"..")</f>
        <v>2030950000</v>
      </c>
      <c r="BF1132" s="846">
        <f t="shared" si="192"/>
        <v>0.54582567923009861</v>
      </c>
      <c r="BG1132" s="117">
        <f>VLOOKUP($D1132,'WB Data'!$C$3:$M$578,5,FALSE)</f>
        <v>205140000</v>
      </c>
      <c r="BH1132" s="129">
        <f>IFERROR($BB1132/$BG1132,"..")</f>
        <v>2.0083226167495369</v>
      </c>
      <c r="BI1132" s="117" t="str">
        <f>IFERROR(VLOOKUP($D1132,'WB Data'!$C$3:$M$578,7,FALSE)/100,"..")</f>
        <v>..</v>
      </c>
      <c r="BJ1132" s="117" t="str">
        <f>IFERROR($BI1132*$AW1132,"..")</f>
        <v>..</v>
      </c>
      <c r="BK1132" s="846" t="str">
        <f>IFERROR($BB1132/$BJ1132,"..")</f>
        <v>..</v>
      </c>
      <c r="BL1132" s="117" t="str">
        <f>IFERROR(VLOOKUP($D1132,'WB Data'!$C$3:$M$578,7,FALSE)/100,"..")</f>
        <v>..</v>
      </c>
      <c r="BM1132" s="117" t="str">
        <f>IFERROR($AW1132*$BL1132,"..")</f>
        <v>..</v>
      </c>
      <c r="BN1132" s="846" t="str">
        <f>IFERROR($BB1132/$BM1132,"..")</f>
        <v>..</v>
      </c>
      <c r="BO1132" s="801">
        <f t="shared" si="188"/>
        <v>39</v>
      </c>
      <c r="BP1132" s="117" t="str">
        <f>VLOOKUP($D1132,'WB Data'!$C$3:$M$578,9,FALSE)</f>
        <v>..</v>
      </c>
      <c r="BQ1132" s="117">
        <f>VLOOKUP($D1132,'WB Data'!$C$3:$M$578,10,FALSE)</f>
        <v>65.682756097560983</v>
      </c>
      <c r="BR1132" s="117">
        <f>VLOOKUP($D1132,'WB Data'!$C$3:$M$578,11,FALSE)</f>
        <v>35</v>
      </c>
      <c r="BS1132" s="129">
        <f>IFERROR(VLOOKUP($D1132,'WB Data 2'!$C$2:$K$545,9,FALSE),"..")</f>
        <v>97.485209999999995</v>
      </c>
      <c r="BT1132" s="129">
        <f>_xlfn.IFNA(VLOOKUP($C1132,RGI!$A$2:$C$43,2,FALSE),"..")</f>
        <v>38.200000000000003</v>
      </c>
      <c r="BU1132" s="129">
        <f>_xlfn.IFNA(VLOOKUP($C1132,RGI!$A$2:$C$43,3,FALSE),"..")</f>
        <v>50.952530108834466</v>
      </c>
      <c r="BV1132" s="129">
        <f>VLOOKUP($D1132,WGI!$C$2:$O$478,7,FALSE)</f>
        <v>0.20312105034890701</v>
      </c>
      <c r="BW1132" s="129">
        <f>VLOOKUP($D1132,WGI!$C$2:$O$478,4,FALSE)</f>
        <v>0.680717881061082</v>
      </c>
      <c r="BX1132" s="129">
        <f>VLOOKUP($D1132,WGI!$C$2:$O$478,3,FALSE)</f>
        <v>-0.408389718200519</v>
      </c>
      <c r="BY1132" s="129">
        <f>VLOOKUP($D1132,WGI!$C$2:$O$478,5,FALSE)</f>
        <v>-0.29960878620951698</v>
      </c>
      <c r="BZ1132" s="129">
        <f>VLOOKUP($D1132,WGI!$C$2:$O$478,2,FALSE)</f>
        <v>-0.579306319388183</v>
      </c>
      <c r="CB1132" s="129"/>
    </row>
    <row r="1133" spans="1:80" s="120" customFormat="1" ht="15" customHeight="1">
      <c r="A1133" s="280" t="s">
        <v>1743</v>
      </c>
      <c r="B1133" s="117">
        <v>2006</v>
      </c>
      <c r="C1133" s="117" t="s">
        <v>364</v>
      </c>
      <c r="D1133" s="117" t="s">
        <v>3549</v>
      </c>
      <c r="E1133" s="117" t="s">
        <v>244</v>
      </c>
      <c r="F1133" s="117"/>
      <c r="G1133" s="117" t="s">
        <v>103</v>
      </c>
      <c r="H1133" s="117" t="str">
        <f t="shared" si="196"/>
        <v>no</v>
      </c>
      <c r="I1133" s="117" t="str">
        <f t="shared" si="193"/>
        <v>no</v>
      </c>
      <c r="J1133" s="117" t="str">
        <f t="shared" si="194"/>
        <v>yes</v>
      </c>
      <c r="K1133" s="117" t="s">
        <v>103</v>
      </c>
      <c r="L1133" s="117" t="str">
        <f t="shared" si="197"/>
        <v>detailed</v>
      </c>
      <c r="M1133" s="117" t="str">
        <f t="shared" si="195"/>
        <v>detailed Oil</v>
      </c>
      <c r="N1133" s="118">
        <v>0</v>
      </c>
      <c r="O1133" s="118"/>
      <c r="P1133" s="118">
        <v>0</v>
      </c>
      <c r="Q1133" s="118"/>
      <c r="R1133" s="118"/>
      <c r="S1133" s="117" t="s">
        <v>646</v>
      </c>
      <c r="T1133" s="119"/>
      <c r="U1133" s="117"/>
      <c r="V1133" s="117" t="s">
        <v>1751</v>
      </c>
      <c r="W1133" s="89">
        <f>N1133*T1133</f>
        <v>0</v>
      </c>
      <c r="X1133" s="117"/>
      <c r="Y1133" s="117"/>
      <c r="Z1133" s="117"/>
      <c r="AA1133" s="89"/>
      <c r="AB1133" s="89"/>
      <c r="AC1133" s="240"/>
      <c r="AD1133" s="240"/>
      <c r="AE1133" s="240"/>
      <c r="AF1133" s="241"/>
      <c r="AG1133" s="117"/>
      <c r="AH1133" s="124"/>
      <c r="AI1133" s="117"/>
      <c r="AJ1133" s="117"/>
      <c r="AK1133" s="89"/>
      <c r="AL1133" s="117"/>
      <c r="AM1133" s="117"/>
      <c r="AN1133" s="117">
        <v>1</v>
      </c>
      <c r="AO1133" s="117" t="s">
        <v>1752</v>
      </c>
      <c r="AP1133" s="117">
        <v>1</v>
      </c>
      <c r="AQ1133" s="117"/>
      <c r="AR1133" s="126"/>
      <c r="AS1133" s="117"/>
      <c r="AT1133" s="117"/>
      <c r="AU1133" s="117"/>
      <c r="AV1133" s="128"/>
      <c r="AW1133" s="117">
        <f>VLOOKUP($D1133,'WB Data'!$C$3:$M$578,2,FALSE)</f>
        <v>3414053250.9454865</v>
      </c>
      <c r="AX1133" s="117">
        <f>VLOOKUP($D1133,'WB Data'!$C$3:$M$578,3,FALSE)</f>
        <v>2559496</v>
      </c>
      <c r="AY1133" s="847">
        <f t="shared" si="189"/>
        <v>0.1206739530163756</v>
      </c>
      <c r="AZ1133" s="117">
        <f>VLOOKUP($D1133,'WB Data'!$C$3:$M$578,4,FALSE)/100</f>
        <v>0.37686472303707197</v>
      </c>
      <c r="BA1133" s="117">
        <f t="shared" si="190"/>
        <v>1286636232.8513861</v>
      </c>
      <c r="BB1133" s="129">
        <f>IFERROR(VLOOKUP($D1133,'EITI Revenues'!$C$2:$G$224,5,FALSE),"..")</f>
        <v>411987301.60000002</v>
      </c>
      <c r="BC1133" s="846">
        <f t="shared" si="191"/>
        <v>0.32020495854292247</v>
      </c>
      <c r="BD1133" s="129">
        <f>VLOOKUP($D1133,'WB Data 2'!$C$2:$K$545,6,FALSE)</f>
        <v>1108544663.2323687</v>
      </c>
      <c r="BE1133" s="129">
        <f>IFERROR(VLOOKUP($D1133,UNCTAD!$C$5:$V$529,4,FALSE),"..")</f>
        <v>2030950000</v>
      </c>
      <c r="BF1133" s="846">
        <f t="shared" si="192"/>
        <v>0.54582567923009861</v>
      </c>
      <c r="BG1133" s="117">
        <f>VLOOKUP($D1133,'WB Data'!$C$3:$M$578,5,FALSE)</f>
        <v>205140000</v>
      </c>
      <c r="BH1133" s="129">
        <f>IFERROR($BB1133/$BG1133,"..")</f>
        <v>2.0083226167495369</v>
      </c>
      <c r="BI1133" s="117" t="str">
        <f>IFERROR(VLOOKUP($D1133,'WB Data'!$C$3:$M$578,7,FALSE)/100,"..")</f>
        <v>..</v>
      </c>
      <c r="BJ1133" s="117" t="str">
        <f>IFERROR($BI1133*$AW1133,"..")</f>
        <v>..</v>
      </c>
      <c r="BK1133" s="846" t="str">
        <f>IFERROR($BB1133/$BJ1133,"..")</f>
        <v>..</v>
      </c>
      <c r="BL1133" s="117" t="str">
        <f>IFERROR(VLOOKUP($D1133,'WB Data'!$C$3:$M$578,7,FALSE)/100,"..")</f>
        <v>..</v>
      </c>
      <c r="BM1133" s="117" t="str">
        <f>IFERROR($AW1133*$BL1133,"..")</f>
        <v>..</v>
      </c>
      <c r="BN1133" s="846" t="str">
        <f>IFERROR($BB1133/$BM1133,"..")</f>
        <v>..</v>
      </c>
      <c r="BO1133" s="801">
        <f t="shared" si="188"/>
        <v>39</v>
      </c>
      <c r="BP1133" s="117" t="str">
        <f>VLOOKUP($D1133,'WB Data'!$C$3:$M$578,9,FALSE)</f>
        <v>..</v>
      </c>
      <c r="BQ1133" s="117">
        <f>VLOOKUP($D1133,'WB Data'!$C$3:$M$578,10,FALSE)</f>
        <v>65.682756097560983</v>
      </c>
      <c r="BR1133" s="117">
        <f>VLOOKUP($D1133,'WB Data'!$C$3:$M$578,11,FALSE)</f>
        <v>35</v>
      </c>
      <c r="BS1133" s="129">
        <f>IFERROR(VLOOKUP($D1133,'WB Data 2'!$C$2:$K$545,9,FALSE),"..")</f>
        <v>97.485209999999995</v>
      </c>
      <c r="BT1133" s="129">
        <f>_xlfn.IFNA(VLOOKUP($C1133,RGI!$A$2:$C$43,2,FALSE),"..")</f>
        <v>38.200000000000003</v>
      </c>
      <c r="BU1133" s="129">
        <f>_xlfn.IFNA(VLOOKUP($C1133,RGI!$A$2:$C$43,3,FALSE),"..")</f>
        <v>50.952530108834466</v>
      </c>
      <c r="BV1133" s="129">
        <f>VLOOKUP($D1133,WGI!$C$2:$O$478,7,FALSE)</f>
        <v>0.20312105034890701</v>
      </c>
      <c r="BW1133" s="129">
        <f>VLOOKUP($D1133,WGI!$C$2:$O$478,4,FALSE)</f>
        <v>0.680717881061082</v>
      </c>
      <c r="BX1133" s="129">
        <f>VLOOKUP($D1133,WGI!$C$2:$O$478,3,FALSE)</f>
        <v>-0.408389718200519</v>
      </c>
      <c r="BY1133" s="129">
        <f>VLOOKUP($D1133,WGI!$C$2:$O$478,5,FALSE)</f>
        <v>-0.29960878620951698</v>
      </c>
      <c r="BZ1133" s="129">
        <f>VLOOKUP($D1133,WGI!$C$2:$O$478,2,FALSE)</f>
        <v>-0.579306319388183</v>
      </c>
      <c r="CB1133" s="129"/>
    </row>
    <row r="1134" spans="1:80" s="120" customFormat="1" ht="15" customHeight="1">
      <c r="A1134" s="280" t="s">
        <v>363</v>
      </c>
      <c r="B1134" s="117">
        <v>2006</v>
      </c>
      <c r="C1134" s="117" t="s">
        <v>364</v>
      </c>
      <c r="D1134" s="117" t="s">
        <v>3549</v>
      </c>
      <c r="E1134" s="117" t="s">
        <v>244</v>
      </c>
      <c r="F1134" s="117"/>
      <c r="G1134" s="117" t="s">
        <v>24</v>
      </c>
      <c r="H1134" s="117" t="str">
        <f t="shared" si="196"/>
        <v>yes</v>
      </c>
      <c r="I1134" s="117" t="str">
        <f t="shared" si="193"/>
        <v>no</v>
      </c>
      <c r="J1134" s="117" t="str">
        <f t="shared" si="194"/>
        <v>no</v>
      </c>
      <c r="K1134" s="117" t="s">
        <v>600</v>
      </c>
      <c r="L1134" s="117" t="str">
        <f t="shared" si="197"/>
        <v>Total</v>
      </c>
      <c r="M1134" s="117" t="str">
        <f t="shared" si="195"/>
        <v>Total Mining</v>
      </c>
      <c r="N1134" s="118"/>
      <c r="O1134" s="118"/>
      <c r="P1134" s="118"/>
      <c r="Q1134" s="118"/>
      <c r="R1134" s="118"/>
      <c r="S1134" s="117"/>
      <c r="T1134" s="119"/>
      <c r="U1134" s="117"/>
      <c r="V1134" s="117"/>
      <c r="W1134" s="89">
        <f>SUM(W1135:W1142)</f>
        <v>1053499669.0326614</v>
      </c>
      <c r="X1134" s="117"/>
      <c r="Y1134" s="117"/>
      <c r="Z1134" s="117"/>
      <c r="AA1134" s="89"/>
      <c r="AB1134" s="89"/>
      <c r="AC1134" s="240"/>
      <c r="AD1134" s="240"/>
      <c r="AE1134" s="240"/>
      <c r="AF1134" s="241"/>
      <c r="AG1134" s="117"/>
      <c r="AH1134" s="124"/>
      <c r="AI1134" s="117"/>
      <c r="AJ1134" s="117"/>
      <c r="AK1134" s="89"/>
      <c r="AL1134" s="117"/>
      <c r="AM1134" s="117"/>
      <c r="AN1134" s="117">
        <v>24</v>
      </c>
      <c r="AO1134" s="117" t="s">
        <v>1753</v>
      </c>
      <c r="AP1134" s="117">
        <v>24</v>
      </c>
      <c r="AQ1134" s="117"/>
      <c r="AR1134" s="126"/>
      <c r="AS1134" s="117"/>
      <c r="AT1134" s="117"/>
      <c r="AU1134" s="117"/>
      <c r="AV1134" s="128"/>
      <c r="AW1134" s="117">
        <f>VLOOKUP($D1134,'WB Data'!$C$3:$M$578,2,FALSE)</f>
        <v>3414053250.9454865</v>
      </c>
      <c r="AX1134" s="117">
        <f>VLOOKUP($D1134,'WB Data'!$C$3:$M$578,3,FALSE)</f>
        <v>2559496</v>
      </c>
      <c r="AY1134" s="847">
        <f t="shared" si="189"/>
        <v>0.1206739530163756</v>
      </c>
      <c r="AZ1134" s="117">
        <f>VLOOKUP($D1134,'WB Data'!$C$3:$M$578,4,FALSE)/100</f>
        <v>0.37686472303707197</v>
      </c>
      <c r="BA1134" s="117">
        <f t="shared" si="190"/>
        <v>1286636232.8513861</v>
      </c>
      <c r="BB1134" s="129">
        <f>IFERROR(VLOOKUP($D1134,'EITI Revenues'!$C$2:$G$224,5,FALSE),"..")</f>
        <v>411987301.60000002</v>
      </c>
      <c r="BC1134" s="846">
        <f t="shared" si="191"/>
        <v>0.32020495854292247</v>
      </c>
      <c r="BD1134" s="129">
        <f>VLOOKUP($D1134,'WB Data 2'!$C$2:$K$545,6,FALSE)</f>
        <v>1108544663.2323687</v>
      </c>
      <c r="BE1134" s="129">
        <f>IFERROR(VLOOKUP($D1134,UNCTAD!$C$5:$V$529,4,FALSE),"..")</f>
        <v>2030950000</v>
      </c>
      <c r="BF1134" s="846">
        <f t="shared" si="192"/>
        <v>0.54582567923009861</v>
      </c>
      <c r="BG1134" s="117">
        <f>VLOOKUP($D1134,'WB Data'!$C$3:$M$578,5,FALSE)</f>
        <v>205140000</v>
      </c>
      <c r="BH1134" s="129">
        <f>IFERROR($BB1134/$BG1134,"..")</f>
        <v>2.0083226167495369</v>
      </c>
      <c r="BI1134" s="117" t="str">
        <f>IFERROR(VLOOKUP($D1134,'WB Data'!$C$3:$M$578,7,FALSE)/100,"..")</f>
        <v>..</v>
      </c>
      <c r="BJ1134" s="117" t="str">
        <f>IFERROR($BI1134*$AW1134,"..")</f>
        <v>..</v>
      </c>
      <c r="BK1134" s="846" t="str">
        <f>IFERROR($BB1134/$BJ1134,"..")</f>
        <v>..</v>
      </c>
      <c r="BL1134" s="117" t="str">
        <f>IFERROR(VLOOKUP($D1134,'WB Data'!$C$3:$M$578,7,FALSE)/100,"..")</f>
        <v>..</v>
      </c>
      <c r="BM1134" s="117" t="str">
        <f>IFERROR($AW1134*$BL1134,"..")</f>
        <v>..</v>
      </c>
      <c r="BN1134" s="846" t="str">
        <f>IFERROR($BB1134/$BM1134,"..")</f>
        <v>..</v>
      </c>
      <c r="BO1134" s="801">
        <f t="shared" si="188"/>
        <v>39</v>
      </c>
      <c r="BP1134" s="117" t="str">
        <f>VLOOKUP($D1134,'WB Data'!$C$3:$M$578,9,FALSE)</f>
        <v>..</v>
      </c>
      <c r="BQ1134" s="117">
        <f>VLOOKUP($D1134,'WB Data'!$C$3:$M$578,10,FALSE)</f>
        <v>65.682756097560983</v>
      </c>
      <c r="BR1134" s="117">
        <f>VLOOKUP($D1134,'WB Data'!$C$3:$M$578,11,FALSE)</f>
        <v>35</v>
      </c>
      <c r="BS1134" s="129">
        <f>IFERROR(VLOOKUP($D1134,'WB Data 2'!$C$2:$K$545,9,FALSE),"..")</f>
        <v>97.485209999999995</v>
      </c>
      <c r="BT1134" s="129">
        <f>_xlfn.IFNA(VLOOKUP($C1134,RGI!$A$2:$C$43,2,FALSE),"..")</f>
        <v>38.200000000000003</v>
      </c>
      <c r="BU1134" s="129">
        <f>_xlfn.IFNA(VLOOKUP($C1134,RGI!$A$2:$C$43,3,FALSE),"..")</f>
        <v>50.952530108834466</v>
      </c>
      <c r="BV1134" s="129">
        <f>VLOOKUP($D1134,WGI!$C$2:$O$478,7,FALSE)</f>
        <v>0.20312105034890701</v>
      </c>
      <c r="BW1134" s="129">
        <f>VLOOKUP($D1134,WGI!$C$2:$O$478,4,FALSE)</f>
        <v>0.680717881061082</v>
      </c>
      <c r="BX1134" s="129">
        <f>VLOOKUP($D1134,WGI!$C$2:$O$478,3,FALSE)</f>
        <v>-0.408389718200519</v>
      </c>
      <c r="BY1134" s="129">
        <f>VLOOKUP($D1134,WGI!$C$2:$O$478,5,FALSE)</f>
        <v>-0.29960878620951698</v>
      </c>
      <c r="BZ1134" s="129">
        <f>VLOOKUP($D1134,WGI!$C$2:$O$478,2,FALSE)</f>
        <v>-0.579306319388183</v>
      </c>
      <c r="CB1134" s="129"/>
    </row>
    <row r="1135" spans="1:80" s="120" customFormat="1" ht="15" customHeight="1">
      <c r="A1135" s="280" t="s">
        <v>363</v>
      </c>
      <c r="B1135" s="117">
        <v>2006</v>
      </c>
      <c r="C1135" s="117" t="s">
        <v>364</v>
      </c>
      <c r="D1135" s="117" t="s">
        <v>3549</v>
      </c>
      <c r="E1135" s="117" t="s">
        <v>244</v>
      </c>
      <c r="F1135" s="117"/>
      <c r="G1135" s="117" t="s">
        <v>24</v>
      </c>
      <c r="H1135" s="117" t="str">
        <f t="shared" si="196"/>
        <v>yes</v>
      </c>
      <c r="I1135" s="117" t="str">
        <f t="shared" si="193"/>
        <v>no</v>
      </c>
      <c r="J1135" s="117" t="str">
        <f t="shared" si="194"/>
        <v>no</v>
      </c>
      <c r="K1135" s="117" t="s">
        <v>616</v>
      </c>
      <c r="L1135" s="117" t="str">
        <f t="shared" si="197"/>
        <v>detailed</v>
      </c>
      <c r="M1135" s="117" t="str">
        <f t="shared" si="195"/>
        <v>detailed Mining</v>
      </c>
      <c r="N1135" s="179">
        <f>8074100*0.90718474</f>
        <v>7324700.3092340007</v>
      </c>
      <c r="O1135" s="179"/>
      <c r="P1135" s="179">
        <f>8074100*0.90718474</f>
        <v>7324700.3092340007</v>
      </c>
      <c r="Q1135" s="179"/>
      <c r="R1135" s="179"/>
      <c r="S1135" s="117" t="s">
        <v>610</v>
      </c>
      <c r="T1135" s="119">
        <f>61.1794689247191*0.806</f>
        <v>49.3106519533236</v>
      </c>
      <c r="U1135" s="117" t="s">
        <v>611</v>
      </c>
      <c r="V1135" s="117" t="s">
        <v>1754</v>
      </c>
      <c r="W1135" s="89">
        <f t="shared" ref="W1135:W1142" si="198">N1135*T1135</f>
        <v>361185747.61103958</v>
      </c>
      <c r="X1135" s="117"/>
      <c r="Y1135" s="117"/>
      <c r="Z1135" s="117"/>
      <c r="AA1135" s="89"/>
      <c r="AB1135" s="89"/>
      <c r="AC1135" s="240"/>
      <c r="AD1135" s="240"/>
      <c r="AE1135" s="240"/>
      <c r="AF1135" s="241"/>
      <c r="AG1135" s="117"/>
      <c r="AH1135" s="124"/>
      <c r="AI1135" s="117"/>
      <c r="AJ1135" s="117"/>
      <c r="AK1135" s="89"/>
      <c r="AL1135" s="117"/>
      <c r="AM1135" s="117"/>
      <c r="AN1135" s="117">
        <v>7</v>
      </c>
      <c r="AO1135" s="117" t="s">
        <v>1755</v>
      </c>
      <c r="AP1135" s="117">
        <v>7</v>
      </c>
      <c r="AQ1135" s="117"/>
      <c r="AR1135" s="126"/>
      <c r="AS1135" s="117"/>
      <c r="AT1135" s="117"/>
      <c r="AU1135" s="117"/>
      <c r="AV1135" s="128"/>
      <c r="AW1135" s="117">
        <f>VLOOKUP($D1135,'WB Data'!$C$3:$M$578,2,FALSE)</f>
        <v>3414053250.9454865</v>
      </c>
      <c r="AX1135" s="117">
        <f>VLOOKUP($D1135,'WB Data'!$C$3:$M$578,3,FALSE)</f>
        <v>2559496</v>
      </c>
      <c r="AY1135" s="847">
        <f t="shared" si="189"/>
        <v>0.1206739530163756</v>
      </c>
      <c r="AZ1135" s="117">
        <f>VLOOKUP($D1135,'WB Data'!$C$3:$M$578,4,FALSE)/100</f>
        <v>0.37686472303707197</v>
      </c>
      <c r="BA1135" s="117">
        <f t="shared" si="190"/>
        <v>1286636232.8513861</v>
      </c>
      <c r="BB1135" s="129">
        <f>IFERROR(VLOOKUP($D1135,'EITI Revenues'!$C$2:$G$224,5,FALSE),"..")</f>
        <v>411987301.60000002</v>
      </c>
      <c r="BC1135" s="846">
        <f t="shared" si="191"/>
        <v>0.32020495854292247</v>
      </c>
      <c r="BD1135" s="129">
        <f>VLOOKUP($D1135,'WB Data 2'!$C$2:$K$545,6,FALSE)</f>
        <v>1108544663.2323687</v>
      </c>
      <c r="BE1135" s="129">
        <f>IFERROR(VLOOKUP($D1135,UNCTAD!$C$5:$V$529,4,FALSE),"..")</f>
        <v>2030950000</v>
      </c>
      <c r="BF1135" s="846">
        <f t="shared" si="192"/>
        <v>0.54582567923009861</v>
      </c>
      <c r="BG1135" s="117">
        <f>VLOOKUP($D1135,'WB Data'!$C$3:$M$578,5,FALSE)</f>
        <v>205140000</v>
      </c>
      <c r="BH1135" s="129">
        <f>IFERROR($BB1135/$BG1135,"..")</f>
        <v>2.0083226167495369</v>
      </c>
      <c r="BI1135" s="117" t="str">
        <f>IFERROR(VLOOKUP($D1135,'WB Data'!$C$3:$M$578,7,FALSE)/100,"..")</f>
        <v>..</v>
      </c>
      <c r="BJ1135" s="117" t="str">
        <f>IFERROR($BI1135*$AW1135,"..")</f>
        <v>..</v>
      </c>
      <c r="BK1135" s="846" t="str">
        <f>IFERROR($BB1135/$BJ1135,"..")</f>
        <v>..</v>
      </c>
      <c r="BL1135" s="117" t="str">
        <f>IFERROR(VLOOKUP($D1135,'WB Data'!$C$3:$M$578,7,FALSE)/100,"..")</f>
        <v>..</v>
      </c>
      <c r="BM1135" s="117" t="str">
        <f>IFERROR($AW1135*$BL1135,"..")</f>
        <v>..</v>
      </c>
      <c r="BN1135" s="846" t="str">
        <f>IFERROR($BB1135/$BM1135,"..")</f>
        <v>..</v>
      </c>
      <c r="BO1135" s="801">
        <f t="shared" si="188"/>
        <v>39</v>
      </c>
      <c r="BP1135" s="117" t="str">
        <f>VLOOKUP($D1135,'WB Data'!$C$3:$M$578,9,FALSE)</f>
        <v>..</v>
      </c>
      <c r="BQ1135" s="117">
        <f>VLOOKUP($D1135,'WB Data'!$C$3:$M$578,10,FALSE)</f>
        <v>65.682756097560983</v>
      </c>
      <c r="BR1135" s="117">
        <f>VLOOKUP($D1135,'WB Data'!$C$3:$M$578,11,FALSE)</f>
        <v>35</v>
      </c>
      <c r="BS1135" s="129">
        <f>IFERROR(VLOOKUP($D1135,'WB Data 2'!$C$2:$K$545,9,FALSE),"..")</f>
        <v>97.485209999999995</v>
      </c>
      <c r="BT1135" s="129">
        <f>_xlfn.IFNA(VLOOKUP($C1135,RGI!$A$2:$C$43,2,FALSE),"..")</f>
        <v>38.200000000000003</v>
      </c>
      <c r="BU1135" s="129">
        <f>_xlfn.IFNA(VLOOKUP($C1135,RGI!$A$2:$C$43,3,FALSE),"..")</f>
        <v>50.952530108834466</v>
      </c>
      <c r="BV1135" s="129">
        <f>VLOOKUP($D1135,WGI!$C$2:$O$478,7,FALSE)</f>
        <v>0.20312105034890701</v>
      </c>
      <c r="BW1135" s="129">
        <f>VLOOKUP($D1135,WGI!$C$2:$O$478,4,FALSE)</f>
        <v>0.680717881061082</v>
      </c>
      <c r="BX1135" s="129">
        <f>VLOOKUP($D1135,WGI!$C$2:$O$478,3,FALSE)</f>
        <v>-0.408389718200519</v>
      </c>
      <c r="BY1135" s="129">
        <f>VLOOKUP($D1135,WGI!$C$2:$O$478,5,FALSE)</f>
        <v>-0.29960878620951698</v>
      </c>
      <c r="BZ1135" s="129">
        <f>VLOOKUP($D1135,WGI!$C$2:$O$478,2,FALSE)</f>
        <v>-0.579306319388183</v>
      </c>
      <c r="CB1135" s="129"/>
    </row>
    <row r="1136" spans="1:80" s="120" customFormat="1" ht="15" customHeight="1">
      <c r="A1136" s="280" t="s">
        <v>363</v>
      </c>
      <c r="B1136" s="117">
        <v>2006</v>
      </c>
      <c r="C1136" s="117" t="s">
        <v>364</v>
      </c>
      <c r="D1136" s="117" t="s">
        <v>3549</v>
      </c>
      <c r="E1136" s="117" t="s">
        <v>244</v>
      </c>
      <c r="F1136" s="117"/>
      <c r="G1136" s="117" t="s">
        <v>24</v>
      </c>
      <c r="H1136" s="117" t="str">
        <f t="shared" si="196"/>
        <v>yes</v>
      </c>
      <c r="I1136" s="117" t="str">
        <f t="shared" si="193"/>
        <v>no</v>
      </c>
      <c r="J1136" s="117" t="str">
        <f t="shared" si="194"/>
        <v>no</v>
      </c>
      <c r="K1136" s="117" t="s">
        <v>619</v>
      </c>
      <c r="L1136" s="117" t="str">
        <f t="shared" si="197"/>
        <v>detailed</v>
      </c>
      <c r="M1136" s="117" t="str">
        <f t="shared" si="195"/>
        <v>detailed Mining</v>
      </c>
      <c r="N1136" s="179">
        <f>129700*0.90718474</f>
        <v>117661.860778</v>
      </c>
      <c r="O1136" s="179"/>
      <c r="P1136" s="179">
        <f>129700*0.90718474</f>
        <v>117661.860778</v>
      </c>
      <c r="Q1136" s="179"/>
      <c r="R1136" s="179"/>
      <c r="S1136" s="117" t="s">
        <v>610</v>
      </c>
      <c r="T1136" s="186">
        <f>6722.1345*0.1816</f>
        <v>1220.7396252000001</v>
      </c>
      <c r="U1136" s="117" t="s">
        <v>611</v>
      </c>
      <c r="V1136" s="117" t="s">
        <v>1756</v>
      </c>
      <c r="W1136" s="89">
        <f t="shared" si="198"/>
        <v>143634495.82647032</v>
      </c>
      <c r="X1136" s="117"/>
      <c r="Y1136" s="117"/>
      <c r="Z1136" s="117"/>
      <c r="AA1136" s="89"/>
      <c r="AB1136" s="89"/>
      <c r="AC1136" s="240"/>
      <c r="AD1136" s="240"/>
      <c r="AE1136" s="240"/>
      <c r="AF1136" s="241"/>
      <c r="AG1136" s="117"/>
      <c r="AH1136" s="124"/>
      <c r="AI1136" s="117"/>
      <c r="AJ1136" s="117"/>
      <c r="AK1136" s="89"/>
      <c r="AL1136" s="117"/>
      <c r="AM1136" s="117"/>
      <c r="AN1136" s="117">
        <v>1</v>
      </c>
      <c r="AO1136" s="117" t="s">
        <v>1757</v>
      </c>
      <c r="AP1136" s="117">
        <v>1</v>
      </c>
      <c r="AQ1136" s="117"/>
      <c r="AR1136" s="126"/>
      <c r="AS1136" s="117"/>
      <c r="AT1136" s="117"/>
      <c r="AU1136" s="117"/>
      <c r="AV1136" s="128"/>
      <c r="AW1136" s="117">
        <f>VLOOKUP($D1136,'WB Data'!$C$3:$M$578,2,FALSE)</f>
        <v>3414053250.9454865</v>
      </c>
      <c r="AX1136" s="117">
        <f>VLOOKUP($D1136,'WB Data'!$C$3:$M$578,3,FALSE)</f>
        <v>2559496</v>
      </c>
      <c r="AY1136" s="847">
        <f t="shared" si="189"/>
        <v>0.1206739530163756</v>
      </c>
      <c r="AZ1136" s="117">
        <f>VLOOKUP($D1136,'WB Data'!$C$3:$M$578,4,FALSE)/100</f>
        <v>0.37686472303707197</v>
      </c>
      <c r="BA1136" s="117">
        <f t="shared" si="190"/>
        <v>1286636232.8513861</v>
      </c>
      <c r="BB1136" s="129">
        <f>IFERROR(VLOOKUP($D1136,'EITI Revenues'!$C$2:$G$224,5,FALSE),"..")</f>
        <v>411987301.60000002</v>
      </c>
      <c r="BC1136" s="846">
        <f t="shared" si="191"/>
        <v>0.32020495854292247</v>
      </c>
      <c r="BD1136" s="129">
        <f>VLOOKUP($D1136,'WB Data 2'!$C$2:$K$545,6,FALSE)</f>
        <v>1108544663.2323687</v>
      </c>
      <c r="BE1136" s="129">
        <f>IFERROR(VLOOKUP($D1136,UNCTAD!$C$5:$V$529,4,FALSE),"..")</f>
        <v>2030950000</v>
      </c>
      <c r="BF1136" s="846">
        <f t="shared" si="192"/>
        <v>0.54582567923009861</v>
      </c>
      <c r="BG1136" s="117">
        <f>VLOOKUP($D1136,'WB Data'!$C$3:$M$578,5,FALSE)</f>
        <v>205140000</v>
      </c>
      <c r="BH1136" s="129">
        <f>IFERROR($BB1136/$BG1136,"..")</f>
        <v>2.0083226167495369</v>
      </c>
      <c r="BI1136" s="117" t="str">
        <f>IFERROR(VLOOKUP($D1136,'WB Data'!$C$3:$M$578,7,FALSE)/100,"..")</f>
        <v>..</v>
      </c>
      <c r="BJ1136" s="117" t="str">
        <f>IFERROR($BI1136*$AW1136,"..")</f>
        <v>..</v>
      </c>
      <c r="BK1136" s="846" t="str">
        <f>IFERROR($BB1136/$BJ1136,"..")</f>
        <v>..</v>
      </c>
      <c r="BL1136" s="117" t="str">
        <f>IFERROR(VLOOKUP($D1136,'WB Data'!$C$3:$M$578,7,FALSE)/100,"..")</f>
        <v>..</v>
      </c>
      <c r="BM1136" s="117" t="str">
        <f>IFERROR($AW1136*$BL1136,"..")</f>
        <v>..</v>
      </c>
      <c r="BN1136" s="846" t="str">
        <f>IFERROR($BB1136/$BM1136,"..")</f>
        <v>..</v>
      </c>
      <c r="BO1136" s="801">
        <f t="shared" si="188"/>
        <v>39</v>
      </c>
      <c r="BP1136" s="117" t="str">
        <f>VLOOKUP($D1136,'WB Data'!$C$3:$M$578,9,FALSE)</f>
        <v>..</v>
      </c>
      <c r="BQ1136" s="117">
        <f>VLOOKUP($D1136,'WB Data'!$C$3:$M$578,10,FALSE)</f>
        <v>65.682756097560983</v>
      </c>
      <c r="BR1136" s="117">
        <f>VLOOKUP($D1136,'WB Data'!$C$3:$M$578,11,FALSE)</f>
        <v>35</v>
      </c>
      <c r="BS1136" s="129">
        <f>IFERROR(VLOOKUP($D1136,'WB Data 2'!$C$2:$K$545,9,FALSE),"..")</f>
        <v>97.485209999999995</v>
      </c>
      <c r="BT1136" s="129">
        <f>_xlfn.IFNA(VLOOKUP($C1136,RGI!$A$2:$C$43,2,FALSE),"..")</f>
        <v>38.200000000000003</v>
      </c>
      <c r="BU1136" s="129">
        <f>_xlfn.IFNA(VLOOKUP($C1136,RGI!$A$2:$C$43,3,FALSE),"..")</f>
        <v>50.952530108834466</v>
      </c>
      <c r="BV1136" s="129">
        <f>VLOOKUP($D1136,WGI!$C$2:$O$478,7,FALSE)</f>
        <v>0.20312105034890701</v>
      </c>
      <c r="BW1136" s="129">
        <f>VLOOKUP($D1136,WGI!$C$2:$O$478,4,FALSE)</f>
        <v>0.680717881061082</v>
      </c>
      <c r="BX1136" s="129">
        <f>VLOOKUP($D1136,WGI!$C$2:$O$478,3,FALSE)</f>
        <v>-0.408389718200519</v>
      </c>
      <c r="BY1136" s="129">
        <f>VLOOKUP($D1136,WGI!$C$2:$O$478,5,FALSE)</f>
        <v>-0.29960878620951698</v>
      </c>
      <c r="BZ1136" s="129">
        <f>VLOOKUP($D1136,WGI!$C$2:$O$478,2,FALSE)</f>
        <v>-0.579306319388183</v>
      </c>
      <c r="CB1136" s="129"/>
    </row>
    <row r="1137" spans="1:80" s="120" customFormat="1" ht="15" customHeight="1">
      <c r="A1137" s="280" t="s">
        <v>363</v>
      </c>
      <c r="B1137" s="117">
        <v>2006</v>
      </c>
      <c r="C1137" s="117" t="s">
        <v>364</v>
      </c>
      <c r="D1137" s="117" t="s">
        <v>3549</v>
      </c>
      <c r="E1137" s="117" t="s">
        <v>244</v>
      </c>
      <c r="F1137" s="117"/>
      <c r="G1137" s="117" t="s">
        <v>24</v>
      </c>
      <c r="H1137" s="117" t="str">
        <f t="shared" si="196"/>
        <v>yes</v>
      </c>
      <c r="I1137" s="117" t="str">
        <f t="shared" si="193"/>
        <v>no</v>
      </c>
      <c r="J1137" s="117" t="str">
        <f t="shared" si="194"/>
        <v>no</v>
      </c>
      <c r="K1137" s="117" t="s">
        <v>1758</v>
      </c>
      <c r="L1137" s="117" t="str">
        <f t="shared" si="197"/>
        <v>detailed</v>
      </c>
      <c r="M1137" s="117" t="str">
        <f t="shared" si="195"/>
        <v>detailed Mining</v>
      </c>
      <c r="N1137" s="179">
        <f>347700*0.90718474</f>
        <v>315428.13409800001</v>
      </c>
      <c r="O1137" s="179"/>
      <c r="P1137" s="179">
        <f>347700*0.90718474</f>
        <v>315428.13409800001</v>
      </c>
      <c r="Q1137" s="179"/>
      <c r="R1137" s="179"/>
      <c r="S1137" s="117" t="s">
        <v>610</v>
      </c>
      <c r="T1137" s="119">
        <f>195.666666666667*0.5381</f>
        <v>105.28823333333352</v>
      </c>
      <c r="U1137" s="117" t="s">
        <v>611</v>
      </c>
      <c r="V1137" s="117" t="s">
        <v>1759</v>
      </c>
      <c r="W1137" s="89">
        <f t="shared" si="198"/>
        <v>33210870.98280824</v>
      </c>
      <c r="X1137" s="117"/>
      <c r="Y1137" s="117"/>
      <c r="Z1137" s="117"/>
      <c r="AA1137" s="89"/>
      <c r="AB1137" s="89"/>
      <c r="AC1137" s="240"/>
      <c r="AD1137" s="240"/>
      <c r="AE1137" s="240"/>
      <c r="AF1137" s="241"/>
      <c r="AG1137" s="117"/>
      <c r="AH1137" s="124"/>
      <c r="AI1137" s="117"/>
      <c r="AJ1137" s="117"/>
      <c r="AK1137" s="89"/>
      <c r="AL1137" s="117"/>
      <c r="AM1137" s="117"/>
      <c r="AN1137" s="117">
        <v>1</v>
      </c>
      <c r="AO1137" s="117" t="s">
        <v>1760</v>
      </c>
      <c r="AP1137" s="117">
        <v>1</v>
      </c>
      <c r="AQ1137" s="117"/>
      <c r="AR1137" s="126"/>
      <c r="AS1137" s="117"/>
      <c r="AT1137" s="117"/>
      <c r="AU1137" s="117"/>
      <c r="AV1137" s="128"/>
      <c r="AW1137" s="117">
        <f>VLOOKUP($D1137,'WB Data'!$C$3:$M$578,2,FALSE)</f>
        <v>3414053250.9454865</v>
      </c>
      <c r="AX1137" s="117">
        <f>VLOOKUP($D1137,'WB Data'!$C$3:$M$578,3,FALSE)</f>
        <v>2559496</v>
      </c>
      <c r="AY1137" s="847">
        <f t="shared" si="189"/>
        <v>0.1206739530163756</v>
      </c>
      <c r="AZ1137" s="117">
        <f>VLOOKUP($D1137,'WB Data'!$C$3:$M$578,4,FALSE)/100</f>
        <v>0.37686472303707197</v>
      </c>
      <c r="BA1137" s="117">
        <f t="shared" si="190"/>
        <v>1286636232.8513861</v>
      </c>
      <c r="BB1137" s="129">
        <f>IFERROR(VLOOKUP($D1137,'EITI Revenues'!$C$2:$G$224,5,FALSE),"..")</f>
        <v>411987301.60000002</v>
      </c>
      <c r="BC1137" s="846">
        <f t="shared" si="191"/>
        <v>0.32020495854292247</v>
      </c>
      <c r="BD1137" s="129">
        <f>VLOOKUP($D1137,'WB Data 2'!$C$2:$K$545,6,FALSE)</f>
        <v>1108544663.2323687</v>
      </c>
      <c r="BE1137" s="129">
        <f>IFERROR(VLOOKUP($D1137,UNCTAD!$C$5:$V$529,4,FALSE),"..")</f>
        <v>2030950000</v>
      </c>
      <c r="BF1137" s="846">
        <f t="shared" si="192"/>
        <v>0.54582567923009861</v>
      </c>
      <c r="BG1137" s="117">
        <f>VLOOKUP($D1137,'WB Data'!$C$3:$M$578,5,FALSE)</f>
        <v>205140000</v>
      </c>
      <c r="BH1137" s="129">
        <f>IFERROR($BB1137/$BG1137,"..")</f>
        <v>2.0083226167495369</v>
      </c>
      <c r="BI1137" s="117" t="str">
        <f>IFERROR(VLOOKUP($D1137,'WB Data'!$C$3:$M$578,7,FALSE)/100,"..")</f>
        <v>..</v>
      </c>
      <c r="BJ1137" s="117" t="str">
        <f>IFERROR($BI1137*$AW1137,"..")</f>
        <v>..</v>
      </c>
      <c r="BK1137" s="846" t="str">
        <f>IFERROR($BB1137/$BJ1137,"..")</f>
        <v>..</v>
      </c>
      <c r="BL1137" s="117" t="str">
        <f>IFERROR(VLOOKUP($D1137,'WB Data'!$C$3:$M$578,7,FALSE)/100,"..")</f>
        <v>..</v>
      </c>
      <c r="BM1137" s="117" t="str">
        <f>IFERROR($AW1137*$BL1137,"..")</f>
        <v>..</v>
      </c>
      <c r="BN1137" s="846" t="str">
        <f>IFERROR($BB1137/$BM1137,"..")</f>
        <v>..</v>
      </c>
      <c r="BO1137" s="801">
        <f t="shared" si="188"/>
        <v>39</v>
      </c>
      <c r="BP1137" s="117" t="str">
        <f>VLOOKUP($D1137,'WB Data'!$C$3:$M$578,9,FALSE)</f>
        <v>..</v>
      </c>
      <c r="BQ1137" s="117">
        <f>VLOOKUP($D1137,'WB Data'!$C$3:$M$578,10,FALSE)</f>
        <v>65.682756097560983</v>
      </c>
      <c r="BR1137" s="117">
        <f>VLOOKUP($D1137,'WB Data'!$C$3:$M$578,11,FALSE)</f>
        <v>35</v>
      </c>
      <c r="BS1137" s="129">
        <f>IFERROR(VLOOKUP($D1137,'WB Data 2'!$C$2:$K$545,9,FALSE),"..")</f>
        <v>97.485209999999995</v>
      </c>
      <c r="BT1137" s="129">
        <f>_xlfn.IFNA(VLOOKUP($C1137,RGI!$A$2:$C$43,2,FALSE),"..")</f>
        <v>38.200000000000003</v>
      </c>
      <c r="BU1137" s="129">
        <f>_xlfn.IFNA(VLOOKUP($C1137,RGI!$A$2:$C$43,3,FALSE),"..")</f>
        <v>50.952530108834466</v>
      </c>
      <c r="BV1137" s="129">
        <f>VLOOKUP($D1137,WGI!$C$2:$O$478,7,FALSE)</f>
        <v>0.20312105034890701</v>
      </c>
      <c r="BW1137" s="129">
        <f>VLOOKUP($D1137,WGI!$C$2:$O$478,4,FALSE)</f>
        <v>0.680717881061082</v>
      </c>
      <c r="BX1137" s="129">
        <f>VLOOKUP($D1137,WGI!$C$2:$O$478,3,FALSE)</f>
        <v>-0.408389718200519</v>
      </c>
      <c r="BY1137" s="129">
        <f>VLOOKUP($D1137,WGI!$C$2:$O$478,5,FALSE)</f>
        <v>-0.29960878620951698</v>
      </c>
      <c r="BZ1137" s="129">
        <f>VLOOKUP($D1137,WGI!$C$2:$O$478,2,FALSE)</f>
        <v>-0.579306319388183</v>
      </c>
      <c r="CB1137" s="129"/>
    </row>
    <row r="1138" spans="1:80" s="120" customFormat="1" ht="15" customHeight="1">
      <c r="A1138" s="280" t="s">
        <v>363</v>
      </c>
      <c r="B1138" s="117">
        <v>2006</v>
      </c>
      <c r="C1138" s="117" t="s">
        <v>364</v>
      </c>
      <c r="D1138" s="117" t="s">
        <v>3549</v>
      </c>
      <c r="E1138" s="117" t="s">
        <v>244</v>
      </c>
      <c r="F1138" s="117"/>
      <c r="G1138" s="117" t="s">
        <v>24</v>
      </c>
      <c r="H1138" s="117" t="str">
        <f t="shared" si="196"/>
        <v>yes</v>
      </c>
      <c r="I1138" s="117" t="str">
        <f t="shared" si="193"/>
        <v>no</v>
      </c>
      <c r="J1138" s="117" t="str">
        <f t="shared" si="194"/>
        <v>no</v>
      </c>
      <c r="K1138" s="117" t="s">
        <v>784</v>
      </c>
      <c r="L1138" s="117" t="str">
        <f t="shared" si="197"/>
        <v>detailed</v>
      </c>
      <c r="M1138" s="117" t="str">
        <f t="shared" si="195"/>
        <v>detailed Mining</v>
      </c>
      <c r="N1138" s="118">
        <f>(22*0.90718474)*32150.7466</f>
        <v>641666.66729279154</v>
      </c>
      <c r="O1138" s="118"/>
      <c r="P1138" s="118">
        <f>(22*0.90718474)*32150.7466</f>
        <v>641666.66729279154</v>
      </c>
      <c r="Q1138" s="118"/>
      <c r="R1138" s="118"/>
      <c r="S1138" s="117" t="s">
        <v>785</v>
      </c>
      <c r="T1138" s="119">
        <f>604.33583333333*0.83</f>
        <v>501.5987416666639</v>
      </c>
      <c r="U1138" s="117" t="s">
        <v>786</v>
      </c>
      <c r="V1138" s="117" t="s">
        <v>1761</v>
      </c>
      <c r="W1138" s="89">
        <f t="shared" si="198"/>
        <v>321859192.88350612</v>
      </c>
      <c r="X1138" s="117"/>
      <c r="Y1138" s="117"/>
      <c r="Z1138" s="117"/>
      <c r="AA1138" s="89"/>
      <c r="AB1138" s="89"/>
      <c r="AC1138" s="240"/>
      <c r="AD1138" s="240"/>
      <c r="AE1138" s="240"/>
      <c r="AF1138" s="241"/>
      <c r="AG1138" s="117"/>
      <c r="AH1138" s="124"/>
      <c r="AI1138" s="117"/>
      <c r="AJ1138" s="117"/>
      <c r="AK1138" s="89"/>
      <c r="AL1138" s="117"/>
      <c r="AM1138" s="117"/>
      <c r="AN1138" s="117">
        <v>14</v>
      </c>
      <c r="AO1138" s="117" t="s">
        <v>1762</v>
      </c>
      <c r="AP1138" s="117">
        <v>14</v>
      </c>
      <c r="AQ1138" s="117"/>
      <c r="AR1138" s="126"/>
      <c r="AS1138" s="117"/>
      <c r="AT1138" s="117"/>
      <c r="AU1138" s="117"/>
      <c r="AV1138" s="128"/>
      <c r="AW1138" s="117">
        <f>VLOOKUP($D1138,'WB Data'!$C$3:$M$578,2,FALSE)</f>
        <v>3414053250.9454865</v>
      </c>
      <c r="AX1138" s="117">
        <f>VLOOKUP($D1138,'WB Data'!$C$3:$M$578,3,FALSE)</f>
        <v>2559496</v>
      </c>
      <c r="AY1138" s="847">
        <f t="shared" si="189"/>
        <v>0.1206739530163756</v>
      </c>
      <c r="AZ1138" s="117">
        <f>VLOOKUP($D1138,'WB Data'!$C$3:$M$578,4,FALSE)/100</f>
        <v>0.37686472303707197</v>
      </c>
      <c r="BA1138" s="117">
        <f t="shared" si="190"/>
        <v>1286636232.8513861</v>
      </c>
      <c r="BB1138" s="129">
        <f>IFERROR(VLOOKUP($D1138,'EITI Revenues'!$C$2:$G$224,5,FALSE),"..")</f>
        <v>411987301.60000002</v>
      </c>
      <c r="BC1138" s="846">
        <f t="shared" si="191"/>
        <v>0.32020495854292247</v>
      </c>
      <c r="BD1138" s="129">
        <f>VLOOKUP($D1138,'WB Data 2'!$C$2:$K$545,6,FALSE)</f>
        <v>1108544663.2323687</v>
      </c>
      <c r="BE1138" s="129">
        <f>IFERROR(VLOOKUP($D1138,UNCTAD!$C$5:$V$529,4,FALSE),"..")</f>
        <v>2030950000</v>
      </c>
      <c r="BF1138" s="846">
        <f t="shared" si="192"/>
        <v>0.54582567923009861</v>
      </c>
      <c r="BG1138" s="117">
        <f>VLOOKUP($D1138,'WB Data'!$C$3:$M$578,5,FALSE)</f>
        <v>205140000</v>
      </c>
      <c r="BH1138" s="129">
        <f>IFERROR($BB1138/$BG1138,"..")</f>
        <v>2.0083226167495369</v>
      </c>
      <c r="BI1138" s="117" t="str">
        <f>IFERROR(VLOOKUP($D1138,'WB Data'!$C$3:$M$578,7,FALSE)/100,"..")</f>
        <v>..</v>
      </c>
      <c r="BJ1138" s="117" t="str">
        <f>IFERROR($BI1138*$AW1138,"..")</f>
        <v>..</v>
      </c>
      <c r="BK1138" s="846" t="str">
        <f>IFERROR($BB1138/$BJ1138,"..")</f>
        <v>..</v>
      </c>
      <c r="BL1138" s="117" t="str">
        <f>IFERROR(VLOOKUP($D1138,'WB Data'!$C$3:$M$578,7,FALSE)/100,"..")</f>
        <v>..</v>
      </c>
      <c r="BM1138" s="117" t="str">
        <f>IFERROR($AW1138*$BL1138,"..")</f>
        <v>..</v>
      </c>
      <c r="BN1138" s="846" t="str">
        <f>IFERROR($BB1138/$BM1138,"..")</f>
        <v>..</v>
      </c>
      <c r="BO1138" s="801">
        <f t="shared" si="188"/>
        <v>39</v>
      </c>
      <c r="BP1138" s="117" t="str">
        <f>VLOOKUP($D1138,'WB Data'!$C$3:$M$578,9,FALSE)</f>
        <v>..</v>
      </c>
      <c r="BQ1138" s="117">
        <f>VLOOKUP($D1138,'WB Data'!$C$3:$M$578,10,FALSE)</f>
        <v>65.682756097560983</v>
      </c>
      <c r="BR1138" s="117">
        <f>VLOOKUP($D1138,'WB Data'!$C$3:$M$578,11,FALSE)</f>
        <v>35</v>
      </c>
      <c r="BS1138" s="129">
        <f>IFERROR(VLOOKUP($D1138,'WB Data 2'!$C$2:$K$545,9,FALSE),"..")</f>
        <v>97.485209999999995</v>
      </c>
      <c r="BT1138" s="129">
        <f>_xlfn.IFNA(VLOOKUP($C1138,RGI!$A$2:$C$43,2,FALSE),"..")</f>
        <v>38.200000000000003</v>
      </c>
      <c r="BU1138" s="129">
        <f>_xlfn.IFNA(VLOOKUP($C1138,RGI!$A$2:$C$43,3,FALSE),"..")</f>
        <v>50.952530108834466</v>
      </c>
      <c r="BV1138" s="129">
        <f>VLOOKUP($D1138,WGI!$C$2:$O$478,7,FALSE)</f>
        <v>0.20312105034890701</v>
      </c>
      <c r="BW1138" s="129">
        <f>VLOOKUP($D1138,WGI!$C$2:$O$478,4,FALSE)</f>
        <v>0.680717881061082</v>
      </c>
      <c r="BX1138" s="129">
        <f>VLOOKUP($D1138,WGI!$C$2:$O$478,3,FALSE)</f>
        <v>-0.408389718200519</v>
      </c>
      <c r="BY1138" s="129">
        <f>VLOOKUP($D1138,WGI!$C$2:$O$478,5,FALSE)</f>
        <v>-0.29960878620951698</v>
      </c>
      <c r="BZ1138" s="129">
        <f>VLOOKUP($D1138,WGI!$C$2:$O$478,2,FALSE)</f>
        <v>-0.579306319388183</v>
      </c>
      <c r="CB1138" s="129"/>
    </row>
    <row r="1139" spans="1:80" s="120" customFormat="1" ht="15" customHeight="1">
      <c r="A1139" s="280" t="s">
        <v>363</v>
      </c>
      <c r="B1139" s="117">
        <v>2006</v>
      </c>
      <c r="C1139" s="117" t="s">
        <v>364</v>
      </c>
      <c r="D1139" s="117" t="s">
        <v>3549</v>
      </c>
      <c r="E1139" s="117" t="s">
        <v>244</v>
      </c>
      <c r="F1139" s="117"/>
      <c r="G1139" s="117" t="s">
        <v>24</v>
      </c>
      <c r="H1139" s="117" t="str">
        <f t="shared" si="196"/>
        <v>yes</v>
      </c>
      <c r="I1139" s="117" t="str">
        <f t="shared" si="193"/>
        <v>no</v>
      </c>
      <c r="J1139" s="117" t="str">
        <f t="shared" si="194"/>
        <v>no</v>
      </c>
      <c r="K1139" s="117" t="s">
        <v>1291</v>
      </c>
      <c r="L1139" s="117" t="str">
        <f t="shared" si="197"/>
        <v>detailed</v>
      </c>
      <c r="M1139" s="117" t="str">
        <f t="shared" si="195"/>
        <v>detailed Mining</v>
      </c>
      <c r="N1139" s="118">
        <f>180000*0.90718474</f>
        <v>163293.25320000001</v>
      </c>
      <c r="O1139" s="118"/>
      <c r="P1139" s="118">
        <f>180000*0.90718474</f>
        <v>163293.25320000001</v>
      </c>
      <c r="Q1139" s="118"/>
      <c r="R1139" s="118"/>
      <c r="S1139" s="117" t="s">
        <v>610</v>
      </c>
      <c r="T1139" s="119">
        <f>69.33333333333*0.5474</f>
        <v>37.953066666664846</v>
      </c>
      <c r="U1139" s="117" t="s">
        <v>611</v>
      </c>
      <c r="V1139" s="117" t="s">
        <v>1763</v>
      </c>
      <c r="W1139" s="89">
        <f t="shared" si="198"/>
        <v>6197479.7249161825</v>
      </c>
      <c r="X1139" s="117"/>
      <c r="Y1139" s="117"/>
      <c r="Z1139" s="117"/>
      <c r="AA1139" s="89"/>
      <c r="AB1139" s="89"/>
      <c r="AC1139" s="240"/>
      <c r="AD1139" s="240"/>
      <c r="AE1139" s="240"/>
      <c r="AF1139" s="241"/>
      <c r="AG1139" s="117"/>
      <c r="AH1139" s="124"/>
      <c r="AI1139" s="117"/>
      <c r="AJ1139" s="117"/>
      <c r="AK1139" s="89"/>
      <c r="AL1139" s="117"/>
      <c r="AM1139" s="117"/>
      <c r="AN1139" s="117"/>
      <c r="AO1139" s="117"/>
      <c r="AP1139" s="117"/>
      <c r="AQ1139" s="117"/>
      <c r="AR1139" s="126"/>
      <c r="AS1139" s="117"/>
      <c r="AT1139" s="117"/>
      <c r="AU1139" s="117"/>
      <c r="AV1139" s="128"/>
      <c r="AW1139" s="117">
        <f>VLOOKUP($D1139,'WB Data'!$C$3:$M$578,2,FALSE)</f>
        <v>3414053250.9454865</v>
      </c>
      <c r="AX1139" s="117">
        <f>VLOOKUP($D1139,'WB Data'!$C$3:$M$578,3,FALSE)</f>
        <v>2559496</v>
      </c>
      <c r="AY1139" s="847">
        <f t="shared" si="189"/>
        <v>0.1206739530163756</v>
      </c>
      <c r="AZ1139" s="117">
        <f>VLOOKUP($D1139,'WB Data'!$C$3:$M$578,4,FALSE)/100</f>
        <v>0.37686472303707197</v>
      </c>
      <c r="BA1139" s="117">
        <f t="shared" si="190"/>
        <v>1286636232.8513861</v>
      </c>
      <c r="BB1139" s="129">
        <f>IFERROR(VLOOKUP($D1139,'EITI Revenues'!$C$2:$G$224,5,FALSE),"..")</f>
        <v>411987301.60000002</v>
      </c>
      <c r="BC1139" s="846">
        <f t="shared" si="191"/>
        <v>0.32020495854292247</v>
      </c>
      <c r="BD1139" s="129">
        <f>VLOOKUP($D1139,'WB Data 2'!$C$2:$K$545,6,FALSE)</f>
        <v>1108544663.2323687</v>
      </c>
      <c r="BE1139" s="129">
        <f>IFERROR(VLOOKUP($D1139,UNCTAD!$C$5:$V$529,4,FALSE),"..")</f>
        <v>2030950000</v>
      </c>
      <c r="BF1139" s="846">
        <f t="shared" si="192"/>
        <v>0.54582567923009861</v>
      </c>
      <c r="BG1139" s="117">
        <f>VLOOKUP($D1139,'WB Data'!$C$3:$M$578,5,FALSE)</f>
        <v>205140000</v>
      </c>
      <c r="BH1139" s="129">
        <f>IFERROR($BB1139/$BG1139,"..")</f>
        <v>2.0083226167495369</v>
      </c>
      <c r="BI1139" s="117" t="str">
        <f>IFERROR(VLOOKUP($D1139,'WB Data'!$C$3:$M$578,7,FALSE)/100,"..")</f>
        <v>..</v>
      </c>
      <c r="BJ1139" s="117" t="str">
        <f>IFERROR($BI1139*$AW1139,"..")</f>
        <v>..</v>
      </c>
      <c r="BK1139" s="846" t="str">
        <f>IFERROR($BB1139/$BJ1139,"..")</f>
        <v>..</v>
      </c>
      <c r="BL1139" s="117" t="str">
        <f>IFERROR(VLOOKUP($D1139,'WB Data'!$C$3:$M$578,7,FALSE)/100,"..")</f>
        <v>..</v>
      </c>
      <c r="BM1139" s="117" t="str">
        <f>IFERROR($AW1139*$BL1139,"..")</f>
        <v>..</v>
      </c>
      <c r="BN1139" s="846" t="str">
        <f>IFERROR($BB1139/$BM1139,"..")</f>
        <v>..</v>
      </c>
      <c r="BO1139" s="801">
        <f t="shared" si="188"/>
        <v>39</v>
      </c>
      <c r="BP1139" s="117" t="str">
        <f>VLOOKUP($D1139,'WB Data'!$C$3:$M$578,9,FALSE)</f>
        <v>..</v>
      </c>
      <c r="BQ1139" s="117">
        <f>VLOOKUP($D1139,'WB Data'!$C$3:$M$578,10,FALSE)</f>
        <v>65.682756097560983</v>
      </c>
      <c r="BR1139" s="117">
        <f>VLOOKUP($D1139,'WB Data'!$C$3:$M$578,11,FALSE)</f>
        <v>35</v>
      </c>
      <c r="BS1139" s="129">
        <f>IFERROR(VLOOKUP($D1139,'WB Data 2'!$C$2:$K$545,9,FALSE),"..")</f>
        <v>97.485209999999995</v>
      </c>
      <c r="BT1139" s="129">
        <f>_xlfn.IFNA(VLOOKUP($C1139,RGI!$A$2:$C$43,2,FALSE),"..")</f>
        <v>38.200000000000003</v>
      </c>
      <c r="BU1139" s="129">
        <f>_xlfn.IFNA(VLOOKUP($C1139,RGI!$A$2:$C$43,3,FALSE),"..")</f>
        <v>50.952530108834466</v>
      </c>
      <c r="BV1139" s="129">
        <f>VLOOKUP($D1139,WGI!$C$2:$O$478,7,FALSE)</f>
        <v>0.20312105034890701</v>
      </c>
      <c r="BW1139" s="129">
        <f>VLOOKUP($D1139,WGI!$C$2:$O$478,4,FALSE)</f>
        <v>0.680717881061082</v>
      </c>
      <c r="BX1139" s="129">
        <f>VLOOKUP($D1139,WGI!$C$2:$O$478,3,FALSE)</f>
        <v>-0.408389718200519</v>
      </c>
      <c r="BY1139" s="129">
        <f>VLOOKUP($D1139,WGI!$C$2:$O$478,5,FALSE)</f>
        <v>-0.29960878620951698</v>
      </c>
      <c r="BZ1139" s="129">
        <f>VLOOKUP($D1139,WGI!$C$2:$O$478,2,FALSE)</f>
        <v>-0.579306319388183</v>
      </c>
      <c r="CB1139" s="129"/>
    </row>
    <row r="1140" spans="1:80" s="120" customFormat="1" ht="15" customHeight="1">
      <c r="A1140" s="280" t="s">
        <v>363</v>
      </c>
      <c r="B1140" s="117">
        <v>2006</v>
      </c>
      <c r="C1140" s="117" t="s">
        <v>364</v>
      </c>
      <c r="D1140" s="117" t="s">
        <v>3549</v>
      </c>
      <c r="E1140" s="117" t="s">
        <v>244</v>
      </c>
      <c r="F1140" s="117"/>
      <c r="G1140" s="117" t="s">
        <v>24</v>
      </c>
      <c r="H1140" s="117" t="str">
        <f t="shared" si="196"/>
        <v>yes</v>
      </c>
      <c r="I1140" s="117" t="str">
        <f t="shared" si="193"/>
        <v>no</v>
      </c>
      <c r="J1140" s="117" t="str">
        <f t="shared" si="194"/>
        <v>no</v>
      </c>
      <c r="K1140" s="117" t="s">
        <v>1493</v>
      </c>
      <c r="L1140" s="117" t="str">
        <f t="shared" si="197"/>
        <v>detailed</v>
      </c>
      <c r="M1140" s="117" t="str">
        <f t="shared" si="195"/>
        <v>detailed Mining</v>
      </c>
      <c r="N1140" s="179">
        <f>1410*0.90718474</f>
        <v>1279.1304834</v>
      </c>
      <c r="O1140" s="179"/>
      <c r="P1140" s="179"/>
      <c r="Q1140" s="179"/>
      <c r="R1140" s="179"/>
      <c r="S1140" s="117" t="s">
        <v>610</v>
      </c>
      <c r="T1140" s="119">
        <f>54620*0.3121</f>
        <v>17046.901999999998</v>
      </c>
      <c r="U1140" s="117" t="s">
        <v>611</v>
      </c>
      <c r="V1140" s="117" t="s">
        <v>1764</v>
      </c>
      <c r="W1140" s="89">
        <f t="shared" si="198"/>
        <v>21805211.995732423</v>
      </c>
      <c r="X1140" s="117"/>
      <c r="Y1140" s="117"/>
      <c r="Z1140" s="117"/>
      <c r="AA1140" s="89"/>
      <c r="AB1140" s="89"/>
      <c r="AC1140" s="240"/>
      <c r="AD1140" s="240"/>
      <c r="AE1140" s="240"/>
      <c r="AF1140" s="241"/>
      <c r="AG1140" s="117"/>
      <c r="AH1140" s="124"/>
      <c r="AI1140" s="117"/>
      <c r="AJ1140" s="117"/>
      <c r="AK1140" s="89"/>
      <c r="AL1140" s="117"/>
      <c r="AM1140" s="117"/>
      <c r="AN1140" s="117">
        <v>2</v>
      </c>
      <c r="AO1140" s="117" t="s">
        <v>1765</v>
      </c>
      <c r="AP1140" s="117">
        <v>2</v>
      </c>
      <c r="AQ1140" s="117"/>
      <c r="AR1140" s="126"/>
      <c r="AS1140" s="117"/>
      <c r="AT1140" s="117"/>
      <c r="AU1140" s="117"/>
      <c r="AV1140" s="128"/>
      <c r="AW1140" s="117">
        <f>VLOOKUP($D1140,'WB Data'!$C$3:$M$578,2,FALSE)</f>
        <v>3414053250.9454865</v>
      </c>
      <c r="AX1140" s="117">
        <f>VLOOKUP($D1140,'WB Data'!$C$3:$M$578,3,FALSE)</f>
        <v>2559496</v>
      </c>
      <c r="AY1140" s="847">
        <f t="shared" si="189"/>
        <v>0.1206739530163756</v>
      </c>
      <c r="AZ1140" s="117">
        <f>VLOOKUP($D1140,'WB Data'!$C$3:$M$578,4,FALSE)/100</f>
        <v>0.37686472303707197</v>
      </c>
      <c r="BA1140" s="117">
        <f t="shared" si="190"/>
        <v>1286636232.8513861</v>
      </c>
      <c r="BB1140" s="129">
        <f>IFERROR(VLOOKUP($D1140,'EITI Revenues'!$C$2:$G$224,5,FALSE),"..")</f>
        <v>411987301.60000002</v>
      </c>
      <c r="BC1140" s="846">
        <f t="shared" si="191"/>
        <v>0.32020495854292247</v>
      </c>
      <c r="BD1140" s="129">
        <f>VLOOKUP($D1140,'WB Data 2'!$C$2:$K$545,6,FALSE)</f>
        <v>1108544663.2323687</v>
      </c>
      <c r="BE1140" s="129">
        <f>IFERROR(VLOOKUP($D1140,UNCTAD!$C$5:$V$529,4,FALSE),"..")</f>
        <v>2030950000</v>
      </c>
      <c r="BF1140" s="846">
        <f t="shared" si="192"/>
        <v>0.54582567923009861</v>
      </c>
      <c r="BG1140" s="117">
        <f>VLOOKUP($D1140,'WB Data'!$C$3:$M$578,5,FALSE)</f>
        <v>205140000</v>
      </c>
      <c r="BH1140" s="129">
        <f>IFERROR($BB1140/$BG1140,"..")</f>
        <v>2.0083226167495369</v>
      </c>
      <c r="BI1140" s="117" t="str">
        <f>IFERROR(VLOOKUP($D1140,'WB Data'!$C$3:$M$578,7,FALSE)/100,"..")</f>
        <v>..</v>
      </c>
      <c r="BJ1140" s="117" t="str">
        <f>IFERROR($BI1140*$AW1140,"..")</f>
        <v>..</v>
      </c>
      <c r="BK1140" s="846" t="str">
        <f>IFERROR($BB1140/$BJ1140,"..")</f>
        <v>..</v>
      </c>
      <c r="BL1140" s="117" t="str">
        <f>IFERROR(VLOOKUP($D1140,'WB Data'!$C$3:$M$578,7,FALSE)/100,"..")</f>
        <v>..</v>
      </c>
      <c r="BM1140" s="117" t="str">
        <f>IFERROR($AW1140*$BL1140,"..")</f>
        <v>..</v>
      </c>
      <c r="BN1140" s="846" t="str">
        <f>IFERROR($BB1140/$BM1140,"..")</f>
        <v>..</v>
      </c>
      <c r="BO1140" s="801">
        <f t="shared" si="188"/>
        <v>39</v>
      </c>
      <c r="BP1140" s="117" t="str">
        <f>VLOOKUP($D1140,'WB Data'!$C$3:$M$578,9,FALSE)</f>
        <v>..</v>
      </c>
      <c r="BQ1140" s="117">
        <f>VLOOKUP($D1140,'WB Data'!$C$3:$M$578,10,FALSE)</f>
        <v>65.682756097560983</v>
      </c>
      <c r="BR1140" s="117">
        <f>VLOOKUP($D1140,'WB Data'!$C$3:$M$578,11,FALSE)</f>
        <v>35</v>
      </c>
      <c r="BS1140" s="129">
        <f>IFERROR(VLOOKUP($D1140,'WB Data 2'!$C$2:$K$545,9,FALSE),"..")</f>
        <v>97.485209999999995</v>
      </c>
      <c r="BT1140" s="129">
        <f>_xlfn.IFNA(VLOOKUP($C1140,RGI!$A$2:$C$43,2,FALSE),"..")</f>
        <v>38.200000000000003</v>
      </c>
      <c r="BU1140" s="129">
        <f>_xlfn.IFNA(VLOOKUP($C1140,RGI!$A$2:$C$43,3,FALSE),"..")</f>
        <v>50.952530108834466</v>
      </c>
      <c r="BV1140" s="129">
        <f>VLOOKUP($D1140,WGI!$C$2:$O$478,7,FALSE)</f>
        <v>0.20312105034890701</v>
      </c>
      <c r="BW1140" s="129">
        <f>VLOOKUP($D1140,WGI!$C$2:$O$478,4,FALSE)</f>
        <v>0.680717881061082</v>
      </c>
      <c r="BX1140" s="129">
        <f>VLOOKUP($D1140,WGI!$C$2:$O$478,3,FALSE)</f>
        <v>-0.408389718200519</v>
      </c>
      <c r="BY1140" s="129">
        <f>VLOOKUP($D1140,WGI!$C$2:$O$478,5,FALSE)</f>
        <v>-0.29960878620951698</v>
      </c>
      <c r="BZ1140" s="129">
        <f>VLOOKUP($D1140,WGI!$C$2:$O$478,2,FALSE)</f>
        <v>-0.579306319388183</v>
      </c>
      <c r="CB1140" s="129"/>
    </row>
    <row r="1141" spans="1:80" s="120" customFormat="1" ht="15" customHeight="1">
      <c r="A1141" s="280" t="s">
        <v>363</v>
      </c>
      <c r="B1141" s="117">
        <v>2006</v>
      </c>
      <c r="C1141" s="117" t="s">
        <v>364</v>
      </c>
      <c r="D1141" s="117" t="s">
        <v>3549</v>
      </c>
      <c r="E1141" s="117" t="s">
        <v>244</v>
      </c>
      <c r="F1141" s="117"/>
      <c r="G1141" s="117" t="s">
        <v>24</v>
      </c>
      <c r="H1141" s="117" t="str">
        <f t="shared" si="196"/>
        <v>yes</v>
      </c>
      <c r="I1141" s="117" t="str">
        <f t="shared" si="193"/>
        <v>no</v>
      </c>
      <c r="J1141" s="117" t="str">
        <f t="shared" si="194"/>
        <v>no</v>
      </c>
      <c r="K1141" s="117" t="s">
        <v>1766</v>
      </c>
      <c r="L1141" s="117" t="str">
        <f t="shared" si="197"/>
        <v>detailed</v>
      </c>
      <c r="M1141" s="117" t="str">
        <f t="shared" si="195"/>
        <v>detailed Mining</v>
      </c>
      <c r="N1141" s="118">
        <v>85</v>
      </c>
      <c r="O1141" s="118"/>
      <c r="P1141" s="118"/>
      <c r="Q1141" s="118"/>
      <c r="R1141" s="118"/>
      <c r="S1141" s="117" t="s">
        <v>610</v>
      </c>
      <c r="T1141" s="119">
        <v>183</v>
      </c>
      <c r="U1141" s="117" t="s">
        <v>611</v>
      </c>
      <c r="V1141" s="117" t="s">
        <v>1767</v>
      </c>
      <c r="W1141" s="89">
        <f t="shared" si="198"/>
        <v>15555</v>
      </c>
      <c r="X1141" s="117"/>
      <c r="Y1141" s="117"/>
      <c r="Z1141" s="117"/>
      <c r="AA1141" s="89"/>
      <c r="AB1141" s="89"/>
      <c r="AC1141" s="240"/>
      <c r="AD1141" s="240"/>
      <c r="AE1141" s="240"/>
      <c r="AF1141" s="241"/>
      <c r="AG1141" s="117"/>
      <c r="AH1141" s="124"/>
      <c r="AI1141" s="117"/>
      <c r="AJ1141" s="117"/>
      <c r="AK1141" s="117"/>
      <c r="AL1141" s="117"/>
      <c r="AM1141" s="117"/>
      <c r="AN1141" s="117"/>
      <c r="AO1141" s="117"/>
      <c r="AP1141" s="117"/>
      <c r="AQ1141" s="117"/>
      <c r="AR1141" s="126"/>
      <c r="AS1141" s="117"/>
      <c r="AT1141" s="117"/>
      <c r="AU1141" s="117"/>
      <c r="AV1141" s="128"/>
      <c r="AW1141" s="117">
        <f>VLOOKUP($D1141,'WB Data'!$C$3:$M$578,2,FALSE)</f>
        <v>3414053250.9454865</v>
      </c>
      <c r="AX1141" s="117">
        <f>VLOOKUP($D1141,'WB Data'!$C$3:$M$578,3,FALSE)</f>
        <v>2559496</v>
      </c>
      <c r="AY1141" s="847">
        <f t="shared" si="189"/>
        <v>0.1206739530163756</v>
      </c>
      <c r="AZ1141" s="117">
        <f>VLOOKUP($D1141,'WB Data'!$C$3:$M$578,4,FALSE)/100</f>
        <v>0.37686472303707197</v>
      </c>
      <c r="BA1141" s="117">
        <f t="shared" si="190"/>
        <v>1286636232.8513861</v>
      </c>
      <c r="BB1141" s="129">
        <f>IFERROR(VLOOKUP($D1141,'EITI Revenues'!$C$2:$G$224,5,FALSE),"..")</f>
        <v>411987301.60000002</v>
      </c>
      <c r="BC1141" s="846">
        <f t="shared" si="191"/>
        <v>0.32020495854292247</v>
      </c>
      <c r="BD1141" s="129">
        <f>VLOOKUP($D1141,'WB Data 2'!$C$2:$K$545,6,FALSE)</f>
        <v>1108544663.2323687</v>
      </c>
      <c r="BE1141" s="129">
        <f>IFERROR(VLOOKUP($D1141,UNCTAD!$C$5:$V$529,4,FALSE),"..")</f>
        <v>2030950000</v>
      </c>
      <c r="BF1141" s="846">
        <f t="shared" si="192"/>
        <v>0.54582567923009861</v>
      </c>
      <c r="BG1141" s="117">
        <f>VLOOKUP($D1141,'WB Data'!$C$3:$M$578,5,FALSE)</f>
        <v>205140000</v>
      </c>
      <c r="BH1141" s="129">
        <f>IFERROR($BB1141/$BG1141,"..")</f>
        <v>2.0083226167495369</v>
      </c>
      <c r="BI1141" s="117" t="str">
        <f>IFERROR(VLOOKUP($D1141,'WB Data'!$C$3:$M$578,7,FALSE)/100,"..")</f>
        <v>..</v>
      </c>
      <c r="BJ1141" s="117" t="str">
        <f>IFERROR($BI1141*$AW1141,"..")</f>
        <v>..</v>
      </c>
      <c r="BK1141" s="846" t="str">
        <f>IFERROR($BB1141/$BJ1141,"..")</f>
        <v>..</v>
      </c>
      <c r="BL1141" s="117" t="str">
        <f>IFERROR(VLOOKUP($D1141,'WB Data'!$C$3:$M$578,7,FALSE)/100,"..")</f>
        <v>..</v>
      </c>
      <c r="BM1141" s="117" t="str">
        <f>IFERROR($AW1141*$BL1141,"..")</f>
        <v>..</v>
      </c>
      <c r="BN1141" s="846" t="str">
        <f>IFERROR($BB1141/$BM1141,"..")</f>
        <v>..</v>
      </c>
      <c r="BO1141" s="801">
        <f t="shared" si="188"/>
        <v>39</v>
      </c>
      <c r="BP1141" s="117" t="str">
        <f>VLOOKUP($D1141,'WB Data'!$C$3:$M$578,9,FALSE)</f>
        <v>..</v>
      </c>
      <c r="BQ1141" s="117">
        <f>VLOOKUP($D1141,'WB Data'!$C$3:$M$578,10,FALSE)</f>
        <v>65.682756097560983</v>
      </c>
      <c r="BR1141" s="117">
        <f>VLOOKUP($D1141,'WB Data'!$C$3:$M$578,11,FALSE)</f>
        <v>35</v>
      </c>
      <c r="BS1141" s="129">
        <f>IFERROR(VLOOKUP($D1141,'WB Data 2'!$C$2:$K$545,9,FALSE),"..")</f>
        <v>97.485209999999995</v>
      </c>
      <c r="BT1141" s="129">
        <f>_xlfn.IFNA(VLOOKUP($C1141,RGI!$A$2:$C$43,2,FALSE),"..")</f>
        <v>38.200000000000003</v>
      </c>
      <c r="BU1141" s="129">
        <f>_xlfn.IFNA(VLOOKUP($C1141,RGI!$A$2:$C$43,3,FALSE),"..")</f>
        <v>50.952530108834466</v>
      </c>
      <c r="BV1141" s="129">
        <f>VLOOKUP($D1141,WGI!$C$2:$O$478,7,FALSE)</f>
        <v>0.20312105034890701</v>
      </c>
      <c r="BW1141" s="129">
        <f>VLOOKUP($D1141,WGI!$C$2:$O$478,4,FALSE)</f>
        <v>0.680717881061082</v>
      </c>
      <c r="BX1141" s="129">
        <f>VLOOKUP($D1141,WGI!$C$2:$O$478,3,FALSE)</f>
        <v>-0.408389718200519</v>
      </c>
      <c r="BY1141" s="129">
        <f>VLOOKUP($D1141,WGI!$C$2:$O$478,5,FALSE)</f>
        <v>-0.29960878620951698</v>
      </c>
      <c r="BZ1141" s="129">
        <f>VLOOKUP($D1141,WGI!$C$2:$O$478,2,FALSE)</f>
        <v>-0.579306319388183</v>
      </c>
      <c r="CB1141" s="129"/>
    </row>
    <row r="1142" spans="1:80" s="158" customFormat="1" ht="15" customHeight="1">
      <c r="A1142" s="282" t="s">
        <v>363</v>
      </c>
      <c r="B1142" s="149">
        <v>2006</v>
      </c>
      <c r="C1142" s="149" t="s">
        <v>364</v>
      </c>
      <c r="D1142" s="117" t="s">
        <v>3549</v>
      </c>
      <c r="E1142" s="149" t="s">
        <v>244</v>
      </c>
      <c r="F1142" s="149"/>
      <c r="G1142" s="117" t="s">
        <v>24</v>
      </c>
      <c r="H1142" s="117" t="str">
        <f t="shared" si="196"/>
        <v>yes</v>
      </c>
      <c r="I1142" s="117" t="str">
        <f t="shared" si="193"/>
        <v>no</v>
      </c>
      <c r="J1142" s="117" t="str">
        <f t="shared" si="194"/>
        <v>no</v>
      </c>
      <c r="K1142" s="149" t="s">
        <v>1768</v>
      </c>
      <c r="L1142" s="117" t="str">
        <f t="shared" si="197"/>
        <v>detailed</v>
      </c>
      <c r="M1142" s="117" t="str">
        <f t="shared" si="195"/>
        <v>detailed Mining</v>
      </c>
      <c r="N1142" s="150">
        <f>109900*0.90718474</f>
        <v>99699.602926000007</v>
      </c>
      <c r="O1142" s="150"/>
      <c r="P1142" s="150">
        <f>109900*0.90718474</f>
        <v>99699.602926000007</v>
      </c>
      <c r="Q1142" s="150"/>
      <c r="R1142" s="150"/>
      <c r="S1142" s="149" t="s">
        <v>610</v>
      </c>
      <c r="T1142" s="352">
        <f>3275.29175*0.5071</f>
        <v>1660.9004464249999</v>
      </c>
      <c r="U1142" s="149" t="s">
        <v>611</v>
      </c>
      <c r="V1142" s="149" t="s">
        <v>1769</v>
      </c>
      <c r="W1142" s="152">
        <f t="shared" si="198"/>
        <v>165591115.00818864</v>
      </c>
      <c r="X1142" s="149"/>
      <c r="Y1142" s="149"/>
      <c r="Z1142" s="149"/>
      <c r="AA1142" s="152"/>
      <c r="AB1142" s="152"/>
      <c r="AC1142" s="288"/>
      <c r="AD1142" s="288"/>
      <c r="AE1142" s="288"/>
      <c r="AF1142" s="285"/>
      <c r="AG1142" s="149"/>
      <c r="AH1142" s="156"/>
      <c r="AI1142" s="149"/>
      <c r="AJ1142" s="149"/>
      <c r="AK1142" s="152"/>
      <c r="AL1142" s="149"/>
      <c r="AM1142" s="149"/>
      <c r="AN1142" s="149">
        <v>2</v>
      </c>
      <c r="AO1142" s="149" t="s">
        <v>1770</v>
      </c>
      <c r="AP1142" s="149">
        <v>2</v>
      </c>
      <c r="AQ1142" s="149"/>
      <c r="AR1142" s="220"/>
      <c r="AS1142" s="149"/>
      <c r="AT1142" s="149"/>
      <c r="AU1142" s="149"/>
      <c r="AV1142" s="157"/>
      <c r="AW1142" s="117">
        <f>VLOOKUP($D1142,'WB Data'!$C$3:$M$578,2,FALSE)</f>
        <v>3414053250.9454865</v>
      </c>
      <c r="AX1142" s="117">
        <f>VLOOKUP($D1142,'WB Data'!$C$3:$M$578,3,FALSE)</f>
        <v>2559496</v>
      </c>
      <c r="AY1142" s="847">
        <f t="shared" si="189"/>
        <v>0.1206739530163756</v>
      </c>
      <c r="AZ1142" s="117">
        <f>VLOOKUP($D1142,'WB Data'!$C$3:$M$578,4,FALSE)/100</f>
        <v>0.37686472303707197</v>
      </c>
      <c r="BA1142" s="117">
        <f t="shared" si="190"/>
        <v>1286636232.8513861</v>
      </c>
      <c r="BB1142" s="129">
        <f>IFERROR(VLOOKUP($D1142,'EITI Revenues'!$C$2:$G$224,5,FALSE),"..")</f>
        <v>411987301.60000002</v>
      </c>
      <c r="BC1142" s="846">
        <f t="shared" si="191"/>
        <v>0.32020495854292247</v>
      </c>
      <c r="BD1142" s="129">
        <f>VLOOKUP($D1142,'WB Data 2'!$C$2:$K$545,6,FALSE)</f>
        <v>1108544663.2323687</v>
      </c>
      <c r="BE1142" s="129">
        <f>IFERROR(VLOOKUP($D1142,UNCTAD!$C$5:$V$529,4,FALSE),"..")</f>
        <v>2030950000</v>
      </c>
      <c r="BF1142" s="846">
        <f t="shared" si="192"/>
        <v>0.54582567923009861</v>
      </c>
      <c r="BG1142" s="117">
        <f>VLOOKUP($D1142,'WB Data'!$C$3:$M$578,5,FALSE)</f>
        <v>205140000</v>
      </c>
      <c r="BH1142" s="129">
        <f>IFERROR($BB1142/$BG1142,"..")</f>
        <v>2.0083226167495369</v>
      </c>
      <c r="BI1142" s="117" t="str">
        <f>IFERROR(VLOOKUP($D1142,'WB Data'!$C$3:$M$578,7,FALSE)/100,"..")</f>
        <v>..</v>
      </c>
      <c r="BJ1142" s="117" t="str">
        <f>IFERROR($BI1142*$AW1142,"..")</f>
        <v>..</v>
      </c>
      <c r="BK1142" s="846" t="str">
        <f>IFERROR($BB1142/$BJ1142,"..")</f>
        <v>..</v>
      </c>
      <c r="BL1142" s="117" t="str">
        <f>IFERROR(VLOOKUP($D1142,'WB Data'!$C$3:$M$578,7,FALSE)/100,"..")</f>
        <v>..</v>
      </c>
      <c r="BM1142" s="117" t="str">
        <f>IFERROR($AW1142*$BL1142,"..")</f>
        <v>..</v>
      </c>
      <c r="BN1142" s="846" t="str">
        <f>IFERROR($BB1142/$BM1142,"..")</f>
        <v>..</v>
      </c>
      <c r="BO1142" s="801">
        <f t="shared" si="188"/>
        <v>39</v>
      </c>
      <c r="BP1142" s="117" t="str">
        <f>VLOOKUP($D1142,'WB Data'!$C$3:$M$578,9,FALSE)</f>
        <v>..</v>
      </c>
      <c r="BQ1142" s="117">
        <f>VLOOKUP($D1142,'WB Data'!$C$3:$M$578,10,FALSE)</f>
        <v>65.682756097560983</v>
      </c>
      <c r="BR1142" s="117">
        <f>VLOOKUP($D1142,'WB Data'!$C$3:$M$578,11,FALSE)</f>
        <v>35</v>
      </c>
      <c r="BS1142" s="129">
        <f>IFERROR(VLOOKUP($D1142,'WB Data 2'!$C$2:$K$545,9,FALSE),"..")</f>
        <v>97.485209999999995</v>
      </c>
      <c r="BT1142" s="129">
        <f>_xlfn.IFNA(VLOOKUP($C1142,RGI!$A$2:$C$43,2,FALSE),"..")</f>
        <v>38.200000000000003</v>
      </c>
      <c r="BU1142" s="129">
        <f>_xlfn.IFNA(VLOOKUP($C1142,RGI!$A$2:$C$43,3,FALSE),"..")</f>
        <v>50.952530108834466</v>
      </c>
      <c r="BV1142" s="129">
        <f>VLOOKUP($D1142,WGI!$C$2:$O$478,7,FALSE)</f>
        <v>0.20312105034890701</v>
      </c>
      <c r="BW1142" s="129">
        <f>VLOOKUP($D1142,WGI!$C$2:$O$478,4,FALSE)</f>
        <v>0.680717881061082</v>
      </c>
      <c r="BX1142" s="129">
        <f>VLOOKUP($D1142,WGI!$C$2:$O$478,3,FALSE)</f>
        <v>-0.408389718200519</v>
      </c>
      <c r="BY1142" s="129">
        <f>VLOOKUP($D1142,WGI!$C$2:$O$478,5,FALSE)</f>
        <v>-0.29960878620951698</v>
      </c>
      <c r="BZ1142" s="129">
        <f>VLOOKUP($D1142,WGI!$C$2:$O$478,2,FALSE)</f>
        <v>-0.579306319388183</v>
      </c>
      <c r="CB1142" s="129"/>
    </row>
    <row r="1143" spans="1:80" ht="15" customHeight="1">
      <c r="A1143" s="280" t="s">
        <v>367</v>
      </c>
      <c r="B1143" s="117">
        <v>2007</v>
      </c>
      <c r="C1143" s="117" t="s">
        <v>364</v>
      </c>
      <c r="D1143" s="117" t="s">
        <v>3583</v>
      </c>
      <c r="E1143" s="117" t="s">
        <v>244</v>
      </c>
      <c r="F1143" s="117" t="s">
        <v>1745</v>
      </c>
      <c r="G1143" s="132" t="s">
        <v>41</v>
      </c>
      <c r="H1143" s="117" t="str">
        <f t="shared" si="196"/>
        <v>yes</v>
      </c>
      <c r="I1143" s="117" t="str">
        <f t="shared" si="193"/>
        <v>no</v>
      </c>
      <c r="J1143" s="117" t="str">
        <f t="shared" si="194"/>
        <v>yes</v>
      </c>
      <c r="K1143" s="117" t="s">
        <v>709</v>
      </c>
      <c r="L1143" s="117" t="str">
        <f t="shared" si="197"/>
        <v>Total</v>
      </c>
      <c r="M1143" s="117" t="str">
        <f t="shared" si="195"/>
        <v>Total Oil, Mining</v>
      </c>
      <c r="N1143" s="118"/>
      <c r="O1143" s="118"/>
      <c r="P1143" s="118"/>
      <c r="Q1143" s="118"/>
      <c r="R1143" s="118"/>
      <c r="S1143" s="117"/>
      <c r="T1143" s="119"/>
      <c r="U1143" s="117"/>
      <c r="V1143" s="117"/>
      <c r="W1143" s="89">
        <f>W1144+W1145</f>
        <v>1320503204.6597846</v>
      </c>
      <c r="X1143" s="117" t="s">
        <v>1746</v>
      </c>
      <c r="Y1143" s="117" t="s">
        <v>663</v>
      </c>
      <c r="Z1143" s="117" t="s">
        <v>664</v>
      </c>
      <c r="AA1143" s="597">
        <v>640532901</v>
      </c>
      <c r="AB1143" s="597">
        <v>660586246</v>
      </c>
      <c r="AC1143" s="240"/>
      <c r="AD1143" s="240"/>
      <c r="AE1143" s="240"/>
      <c r="AF1143" s="241">
        <f>AA1143/W1143</f>
        <v>0.48506728248722986</v>
      </c>
      <c r="AG1143" s="117" t="s">
        <v>1747</v>
      </c>
      <c r="AH1143" s="124">
        <v>1169</v>
      </c>
      <c r="AI1143" s="117" t="s">
        <v>605</v>
      </c>
      <c r="AJ1143" s="117" t="s">
        <v>943</v>
      </c>
      <c r="AK1143" s="117" t="s">
        <v>943</v>
      </c>
      <c r="AL1143" s="117"/>
      <c r="AM1143" s="117"/>
      <c r="AN1143" s="117">
        <v>38</v>
      </c>
      <c r="AO1143" s="117" t="s">
        <v>1771</v>
      </c>
      <c r="AP1143" s="117">
        <v>38</v>
      </c>
      <c r="AQ1143" s="215" t="s">
        <v>368</v>
      </c>
      <c r="AR1143" s="126">
        <v>41901</v>
      </c>
      <c r="AS1143" s="117" t="s">
        <v>1382</v>
      </c>
      <c r="AT1143" s="117" t="s">
        <v>369</v>
      </c>
      <c r="AU1143" s="117">
        <v>11</v>
      </c>
      <c r="AV1143" s="128" t="s">
        <v>1772</v>
      </c>
      <c r="AW1143" s="117">
        <f>VLOOKUP($D1143,'WB Data'!$C$3:$M$578,2,FALSE)</f>
        <v>4234894168.1565914</v>
      </c>
      <c r="AX1143" s="117">
        <f>VLOOKUP($D1143,'WB Data'!$C$3:$M$578,3,FALSE)</f>
        <v>2595068</v>
      </c>
      <c r="AY1143" s="847">
        <f t="shared" si="189"/>
        <v>0.15125121799178698</v>
      </c>
      <c r="AZ1143" s="117">
        <f>VLOOKUP($D1143,'WB Data'!$C$3:$M$578,4,FALSE)/100</f>
        <v>0.37583292662022821</v>
      </c>
      <c r="BA1143" s="117">
        <f t="shared" si="190"/>
        <v>1591612669.1452286</v>
      </c>
      <c r="BB1143" s="129">
        <f>IFERROR(VLOOKUP($D1143,'EITI Revenues'!$C$2:$G$224,5,FALSE),"..")</f>
        <v>640532901</v>
      </c>
      <c r="BC1143" s="846">
        <f t="shared" si="191"/>
        <v>0.40244270067540772</v>
      </c>
      <c r="BD1143" s="129">
        <f>VLOOKUP($D1143,'WB Data 2'!$C$2:$K$545,6,FALSE)</f>
        <v>1514942994.0192695</v>
      </c>
      <c r="BE1143" s="129">
        <f>IFERROR(VLOOKUP($D1143,UNCTAD!$C$5:$V$529,4,FALSE),"..")</f>
        <v>2532547000</v>
      </c>
      <c r="BF1143" s="846">
        <f t="shared" si="192"/>
        <v>0.59818948829746077</v>
      </c>
      <c r="BG1143" s="117">
        <f>VLOOKUP($D1143,'WB Data'!$C$3:$M$578,5,FALSE)</f>
        <v>238680000</v>
      </c>
      <c r="BH1143" s="129">
        <f>IFERROR($BB1143/$BG1143,"..")</f>
        <v>2.683647146807441</v>
      </c>
      <c r="BI1143" s="117">
        <f>IFERROR(VLOOKUP($D1143,'WB Data'!$C$3:$M$578,7,FALSE)/100,"..")</f>
        <v>4.69013E-2</v>
      </c>
      <c r="BJ1143" s="117">
        <f>IFERROR($BI1143*$AW1143,"..")</f>
        <v>198622041.84896275</v>
      </c>
      <c r="BK1143" s="846">
        <f>IFERROR($BB1143/$BJ1143,"..")</f>
        <v>3.2248832759814112</v>
      </c>
      <c r="BL1143" s="117">
        <f>IFERROR(VLOOKUP($D1143,'WB Data'!$C$3:$M$578,7,FALSE)/100,"..")</f>
        <v>4.69013E-2</v>
      </c>
      <c r="BM1143" s="117">
        <f>IFERROR($AW1143*$BL1143,"..")</f>
        <v>198622041.84896275</v>
      </c>
      <c r="BN1143" s="846">
        <f>IFERROR($BB1143/$BM1143,"..")</f>
        <v>3.2248832759814112</v>
      </c>
      <c r="BO1143" s="801">
        <f t="shared" si="188"/>
        <v>39</v>
      </c>
      <c r="BP1143" s="117" t="str">
        <f>VLOOKUP($D1143,'WB Data'!$C$3:$M$578,9,FALSE)</f>
        <v>..</v>
      </c>
      <c r="BQ1143" s="117">
        <f>VLOOKUP($D1143,'WB Data'!$C$3:$M$578,10,FALSE)</f>
        <v>66.037439024390252</v>
      </c>
      <c r="BR1143" s="117">
        <f>VLOOKUP($D1143,'WB Data'!$C$3:$M$578,11,FALSE)</f>
        <v>33.200000000000003</v>
      </c>
      <c r="BS1143" s="129">
        <f>IFERROR(VLOOKUP($D1143,'WB Data 2'!$C$2:$K$545,9,FALSE),"..")</f>
        <v>97.713149999999999</v>
      </c>
      <c r="BT1143" s="129">
        <f>_xlfn.IFNA(VLOOKUP($C1143,RGI!$A$2:$C$43,2,FALSE),"..")</f>
        <v>38.200000000000003</v>
      </c>
      <c r="BU1143" s="129">
        <f>_xlfn.IFNA(VLOOKUP($C1143,RGI!$A$2:$C$43,3,FALSE),"..")</f>
        <v>50.952530108834466</v>
      </c>
      <c r="BV1143" s="129">
        <f>VLOOKUP($D1143,WGI!$C$2:$O$478,7,FALSE)</f>
        <v>0.27221379801301199</v>
      </c>
      <c r="BW1143" s="129">
        <f>VLOOKUP($D1143,WGI!$C$2:$O$478,4,FALSE)</f>
        <v>0.68455134578207599</v>
      </c>
      <c r="BX1143" s="129">
        <f>VLOOKUP($D1143,WGI!$C$2:$O$478,3,FALSE)</f>
        <v>-0.51598351345476101</v>
      </c>
      <c r="BY1143" s="129">
        <f>VLOOKUP($D1143,WGI!$C$2:$O$478,5,FALSE)</f>
        <v>-0.26131593397205599</v>
      </c>
      <c r="BZ1143" s="129">
        <f>VLOOKUP($D1143,WGI!$C$2:$O$478,2,FALSE)</f>
        <v>-0.65614289988955998</v>
      </c>
    </row>
    <row r="1144" spans="1:80" ht="15" customHeight="1">
      <c r="A1144" s="280" t="s">
        <v>367</v>
      </c>
      <c r="B1144" s="117">
        <v>2007</v>
      </c>
      <c r="C1144" s="117" t="s">
        <v>364</v>
      </c>
      <c r="D1144" s="117" t="s">
        <v>3583</v>
      </c>
      <c r="E1144" s="117" t="s">
        <v>244</v>
      </c>
      <c r="F1144" s="117"/>
      <c r="G1144" s="117" t="s">
        <v>103</v>
      </c>
      <c r="H1144" s="117" t="str">
        <f t="shared" si="196"/>
        <v>no</v>
      </c>
      <c r="I1144" s="117" t="str">
        <f t="shared" si="193"/>
        <v>no</v>
      </c>
      <c r="J1144" s="117" t="str">
        <f t="shared" si="194"/>
        <v>yes</v>
      </c>
      <c r="K1144" s="117" t="s">
        <v>103</v>
      </c>
      <c r="L1144" s="117" t="str">
        <f t="shared" si="197"/>
        <v>detailed</v>
      </c>
      <c r="M1144" s="117" t="str">
        <f t="shared" si="195"/>
        <v>detailed Oil</v>
      </c>
      <c r="N1144" s="118">
        <v>0</v>
      </c>
      <c r="O1144" s="118"/>
      <c r="P1144" s="118">
        <v>0</v>
      </c>
      <c r="Q1144" s="118"/>
      <c r="R1144" s="118"/>
      <c r="S1144" s="117" t="s">
        <v>646</v>
      </c>
      <c r="T1144" s="119"/>
      <c r="U1144" s="117"/>
      <c r="V1144" s="117" t="s">
        <v>1751</v>
      </c>
      <c r="W1144" s="89">
        <f>N1144*T1144</f>
        <v>0</v>
      </c>
      <c r="X1144" s="117"/>
      <c r="Y1144" s="117"/>
      <c r="Z1144" s="117"/>
      <c r="AA1144" s="89">
        <v>7462360.992301112</v>
      </c>
      <c r="AB1144" s="89">
        <v>11940156.544054747</v>
      </c>
      <c r="AC1144" s="240"/>
      <c r="AD1144" s="240"/>
      <c r="AE1144" s="240"/>
      <c r="AF1144" s="241"/>
      <c r="AG1144" s="117"/>
      <c r="AH1144" s="124"/>
      <c r="AI1144" s="117"/>
      <c r="AJ1144" s="117"/>
      <c r="AK1144" s="89"/>
      <c r="AL1144" s="117"/>
      <c r="AM1144" s="117"/>
      <c r="AN1144" s="117">
        <v>1</v>
      </c>
      <c r="AO1144" s="117" t="s">
        <v>1752</v>
      </c>
      <c r="AP1144" s="117">
        <v>1</v>
      </c>
      <c r="AQ1144" s="117"/>
      <c r="AR1144" s="126"/>
      <c r="AS1144" s="117"/>
      <c r="AT1144" s="117"/>
      <c r="AU1144" s="117" t="s">
        <v>1773</v>
      </c>
      <c r="AV1144" s="128"/>
      <c r="AW1144" s="117">
        <f>VLOOKUP($D1144,'WB Data'!$C$3:$M$578,2,FALSE)</f>
        <v>4234894168.1565914</v>
      </c>
      <c r="AX1144" s="117">
        <f>VLOOKUP($D1144,'WB Data'!$C$3:$M$578,3,FALSE)</f>
        <v>2595068</v>
      </c>
      <c r="AY1144" s="847">
        <f t="shared" si="189"/>
        <v>0.15125121799178698</v>
      </c>
      <c r="AZ1144" s="117">
        <f>VLOOKUP($D1144,'WB Data'!$C$3:$M$578,4,FALSE)/100</f>
        <v>0.37583292662022821</v>
      </c>
      <c r="BA1144" s="117">
        <f t="shared" si="190"/>
        <v>1591612669.1452286</v>
      </c>
      <c r="BB1144" s="129">
        <f>IFERROR(VLOOKUP($D1144,'EITI Revenues'!$C$2:$G$224,5,FALSE),"..")</f>
        <v>640532901</v>
      </c>
      <c r="BC1144" s="846">
        <f t="shared" si="191"/>
        <v>0.40244270067540772</v>
      </c>
      <c r="BD1144" s="129">
        <f>VLOOKUP($D1144,'WB Data 2'!$C$2:$K$545,6,FALSE)</f>
        <v>1514942994.0192695</v>
      </c>
      <c r="BE1144" s="129">
        <f>IFERROR(VLOOKUP($D1144,UNCTAD!$C$5:$V$529,4,FALSE),"..")</f>
        <v>2532547000</v>
      </c>
      <c r="BF1144" s="846">
        <f t="shared" si="192"/>
        <v>0.59818948829746077</v>
      </c>
      <c r="BG1144" s="117">
        <f>VLOOKUP($D1144,'WB Data'!$C$3:$M$578,5,FALSE)</f>
        <v>238680000</v>
      </c>
      <c r="BH1144" s="129">
        <f>IFERROR($BB1144/$BG1144,"..")</f>
        <v>2.683647146807441</v>
      </c>
      <c r="BI1144" s="117">
        <f>IFERROR(VLOOKUP($D1144,'WB Data'!$C$3:$M$578,7,FALSE)/100,"..")</f>
        <v>4.69013E-2</v>
      </c>
      <c r="BJ1144" s="117">
        <f>IFERROR($BI1144*$AW1144,"..")</f>
        <v>198622041.84896275</v>
      </c>
      <c r="BK1144" s="846">
        <f>IFERROR($BB1144/$BJ1144,"..")</f>
        <v>3.2248832759814112</v>
      </c>
      <c r="BL1144" s="117">
        <f>IFERROR(VLOOKUP($D1144,'WB Data'!$C$3:$M$578,7,FALSE)/100,"..")</f>
        <v>4.69013E-2</v>
      </c>
      <c r="BM1144" s="117">
        <f>IFERROR($AW1144*$BL1144,"..")</f>
        <v>198622041.84896275</v>
      </c>
      <c r="BN1144" s="846">
        <f>IFERROR($BB1144/$BM1144,"..")</f>
        <v>3.2248832759814112</v>
      </c>
      <c r="BO1144" s="801">
        <f t="shared" si="188"/>
        <v>39</v>
      </c>
      <c r="BP1144" s="117" t="str">
        <f>VLOOKUP($D1144,'WB Data'!$C$3:$M$578,9,FALSE)</f>
        <v>..</v>
      </c>
      <c r="BQ1144" s="117">
        <f>VLOOKUP($D1144,'WB Data'!$C$3:$M$578,10,FALSE)</f>
        <v>66.037439024390252</v>
      </c>
      <c r="BR1144" s="117">
        <f>VLOOKUP($D1144,'WB Data'!$C$3:$M$578,11,FALSE)</f>
        <v>33.200000000000003</v>
      </c>
      <c r="BS1144" s="129">
        <f>IFERROR(VLOOKUP($D1144,'WB Data 2'!$C$2:$K$545,9,FALSE),"..")</f>
        <v>97.713149999999999</v>
      </c>
      <c r="BT1144" s="129">
        <f>_xlfn.IFNA(VLOOKUP($C1144,RGI!$A$2:$C$43,2,FALSE),"..")</f>
        <v>38.200000000000003</v>
      </c>
      <c r="BU1144" s="129">
        <f>_xlfn.IFNA(VLOOKUP($C1144,RGI!$A$2:$C$43,3,FALSE),"..")</f>
        <v>50.952530108834466</v>
      </c>
      <c r="BV1144" s="129">
        <f>VLOOKUP($D1144,WGI!$C$2:$O$478,7,FALSE)</f>
        <v>0.27221379801301199</v>
      </c>
      <c r="BW1144" s="129">
        <f>VLOOKUP($D1144,WGI!$C$2:$O$478,4,FALSE)</f>
        <v>0.68455134578207599</v>
      </c>
      <c r="BX1144" s="129">
        <f>VLOOKUP($D1144,WGI!$C$2:$O$478,3,FALSE)</f>
        <v>-0.51598351345476101</v>
      </c>
      <c r="BY1144" s="129">
        <f>VLOOKUP($D1144,WGI!$C$2:$O$478,5,FALSE)</f>
        <v>-0.26131593397205599</v>
      </c>
      <c r="BZ1144" s="129">
        <f>VLOOKUP($D1144,WGI!$C$2:$O$478,2,FALSE)</f>
        <v>-0.65614289988955998</v>
      </c>
    </row>
    <row r="1145" spans="1:80" ht="15" customHeight="1">
      <c r="A1145" s="280" t="s">
        <v>367</v>
      </c>
      <c r="B1145" s="117">
        <v>2007</v>
      </c>
      <c r="C1145" s="117" t="s">
        <v>364</v>
      </c>
      <c r="D1145" s="117" t="s">
        <v>3583</v>
      </c>
      <c r="E1145" s="117" t="s">
        <v>244</v>
      </c>
      <c r="F1145" s="117"/>
      <c r="G1145" s="117" t="s">
        <v>24</v>
      </c>
      <c r="H1145" s="117" t="str">
        <f t="shared" si="196"/>
        <v>yes</v>
      </c>
      <c r="I1145" s="117" t="str">
        <f t="shared" si="193"/>
        <v>no</v>
      </c>
      <c r="J1145" s="117" t="str">
        <f t="shared" si="194"/>
        <v>no</v>
      </c>
      <c r="K1145" s="117" t="s">
        <v>600</v>
      </c>
      <c r="L1145" s="117" t="str">
        <f t="shared" si="197"/>
        <v>Total</v>
      </c>
      <c r="M1145" s="117" t="str">
        <f t="shared" si="195"/>
        <v>Total Mining</v>
      </c>
      <c r="N1145" s="118"/>
      <c r="O1145" s="118"/>
      <c r="P1145" s="118"/>
      <c r="Q1145" s="118"/>
      <c r="R1145" s="118"/>
      <c r="S1145" s="117"/>
      <c r="T1145" s="119"/>
      <c r="U1145" s="117"/>
      <c r="V1145" s="117"/>
      <c r="W1145" s="89">
        <f>SUM(W1146:W1155)</f>
        <v>1320503204.6597846</v>
      </c>
      <c r="X1145" s="117"/>
      <c r="Y1145" s="117"/>
      <c r="Z1145" s="117"/>
      <c r="AA1145" s="89">
        <v>633070540.00769889</v>
      </c>
      <c r="AB1145" s="89">
        <v>648646089.45594525</v>
      </c>
      <c r="AC1145" s="240"/>
      <c r="AD1145" s="240"/>
      <c r="AE1145" s="240"/>
      <c r="AF1145" s="241">
        <f>AA1145/W1145</f>
        <v>0.47941613301181168</v>
      </c>
      <c r="AG1145" s="117"/>
      <c r="AH1145" s="124"/>
      <c r="AI1145" s="117"/>
      <c r="AJ1145" s="117"/>
      <c r="AK1145" s="89"/>
      <c r="AL1145" s="117"/>
      <c r="AM1145" s="117"/>
      <c r="AN1145" s="117">
        <v>37</v>
      </c>
      <c r="AO1145" s="117" t="s">
        <v>1774</v>
      </c>
      <c r="AP1145" s="117">
        <v>37</v>
      </c>
      <c r="AQ1145" s="117"/>
      <c r="AR1145" s="126"/>
      <c r="AS1145" s="117"/>
      <c r="AT1145" s="117"/>
      <c r="AU1145" s="117"/>
      <c r="AV1145" s="128"/>
      <c r="AW1145" s="117">
        <f>VLOOKUP($D1145,'WB Data'!$C$3:$M$578,2,FALSE)</f>
        <v>4234894168.1565914</v>
      </c>
      <c r="AX1145" s="117">
        <f>VLOOKUP($D1145,'WB Data'!$C$3:$M$578,3,FALSE)</f>
        <v>2595068</v>
      </c>
      <c r="AY1145" s="847">
        <f t="shared" si="189"/>
        <v>0.15125121799178698</v>
      </c>
      <c r="AZ1145" s="117">
        <f>VLOOKUP($D1145,'WB Data'!$C$3:$M$578,4,FALSE)/100</f>
        <v>0.37583292662022821</v>
      </c>
      <c r="BA1145" s="117">
        <f t="shared" si="190"/>
        <v>1591612669.1452286</v>
      </c>
      <c r="BB1145" s="129">
        <f>IFERROR(VLOOKUP($D1145,'EITI Revenues'!$C$2:$G$224,5,FALSE),"..")</f>
        <v>640532901</v>
      </c>
      <c r="BC1145" s="846">
        <f t="shared" si="191"/>
        <v>0.40244270067540772</v>
      </c>
      <c r="BD1145" s="129">
        <f>VLOOKUP($D1145,'WB Data 2'!$C$2:$K$545,6,FALSE)</f>
        <v>1514942994.0192695</v>
      </c>
      <c r="BE1145" s="129">
        <f>IFERROR(VLOOKUP($D1145,UNCTAD!$C$5:$V$529,4,FALSE),"..")</f>
        <v>2532547000</v>
      </c>
      <c r="BF1145" s="846">
        <f t="shared" si="192"/>
        <v>0.59818948829746077</v>
      </c>
      <c r="BG1145" s="117">
        <f>VLOOKUP($D1145,'WB Data'!$C$3:$M$578,5,FALSE)</f>
        <v>238680000</v>
      </c>
      <c r="BH1145" s="129">
        <f>IFERROR($BB1145/$BG1145,"..")</f>
        <v>2.683647146807441</v>
      </c>
      <c r="BI1145" s="117">
        <f>IFERROR(VLOOKUP($D1145,'WB Data'!$C$3:$M$578,7,FALSE)/100,"..")</f>
        <v>4.69013E-2</v>
      </c>
      <c r="BJ1145" s="117">
        <f>IFERROR($BI1145*$AW1145,"..")</f>
        <v>198622041.84896275</v>
      </c>
      <c r="BK1145" s="846">
        <f>IFERROR($BB1145/$BJ1145,"..")</f>
        <v>3.2248832759814112</v>
      </c>
      <c r="BL1145" s="117">
        <f>IFERROR(VLOOKUP($D1145,'WB Data'!$C$3:$M$578,7,FALSE)/100,"..")</f>
        <v>4.69013E-2</v>
      </c>
      <c r="BM1145" s="117">
        <f>IFERROR($AW1145*$BL1145,"..")</f>
        <v>198622041.84896275</v>
      </c>
      <c r="BN1145" s="846">
        <f>IFERROR($BB1145/$BM1145,"..")</f>
        <v>3.2248832759814112</v>
      </c>
      <c r="BO1145" s="801">
        <f t="shared" si="188"/>
        <v>39</v>
      </c>
      <c r="BP1145" s="117" t="str">
        <f>VLOOKUP($D1145,'WB Data'!$C$3:$M$578,9,FALSE)</f>
        <v>..</v>
      </c>
      <c r="BQ1145" s="117">
        <f>VLOOKUP($D1145,'WB Data'!$C$3:$M$578,10,FALSE)</f>
        <v>66.037439024390252</v>
      </c>
      <c r="BR1145" s="117">
        <f>VLOOKUP($D1145,'WB Data'!$C$3:$M$578,11,FALSE)</f>
        <v>33.200000000000003</v>
      </c>
      <c r="BS1145" s="129">
        <f>IFERROR(VLOOKUP($D1145,'WB Data 2'!$C$2:$K$545,9,FALSE),"..")</f>
        <v>97.713149999999999</v>
      </c>
      <c r="BT1145" s="129">
        <f>_xlfn.IFNA(VLOOKUP($C1145,RGI!$A$2:$C$43,2,FALSE),"..")</f>
        <v>38.200000000000003</v>
      </c>
      <c r="BU1145" s="129">
        <f>_xlfn.IFNA(VLOOKUP($C1145,RGI!$A$2:$C$43,3,FALSE),"..")</f>
        <v>50.952530108834466</v>
      </c>
      <c r="BV1145" s="129">
        <f>VLOOKUP($D1145,WGI!$C$2:$O$478,7,FALSE)</f>
        <v>0.27221379801301199</v>
      </c>
      <c r="BW1145" s="129">
        <f>VLOOKUP($D1145,WGI!$C$2:$O$478,4,FALSE)</f>
        <v>0.68455134578207599</v>
      </c>
      <c r="BX1145" s="129">
        <f>VLOOKUP($D1145,WGI!$C$2:$O$478,3,FALSE)</f>
        <v>-0.51598351345476101</v>
      </c>
      <c r="BY1145" s="129">
        <f>VLOOKUP($D1145,WGI!$C$2:$O$478,5,FALSE)</f>
        <v>-0.26131593397205599</v>
      </c>
      <c r="BZ1145" s="129">
        <f>VLOOKUP($D1145,WGI!$C$2:$O$478,2,FALSE)</f>
        <v>-0.65614289988955998</v>
      </c>
    </row>
    <row r="1146" spans="1:80" ht="15" customHeight="1">
      <c r="A1146" s="280" t="s">
        <v>367</v>
      </c>
      <c r="B1146" s="117">
        <v>2007</v>
      </c>
      <c r="C1146" s="117" t="s">
        <v>364</v>
      </c>
      <c r="D1146" s="117" t="s">
        <v>3583</v>
      </c>
      <c r="E1146" s="117" t="s">
        <v>244</v>
      </c>
      <c r="F1146" s="117"/>
      <c r="G1146" s="117" t="s">
        <v>24</v>
      </c>
      <c r="H1146" s="117" t="str">
        <f t="shared" si="196"/>
        <v>yes</v>
      </c>
      <c r="I1146" s="117" t="str">
        <f t="shared" si="193"/>
        <v>no</v>
      </c>
      <c r="J1146" s="117" t="str">
        <f t="shared" si="194"/>
        <v>no</v>
      </c>
      <c r="K1146" s="117" t="s">
        <v>616</v>
      </c>
      <c r="L1146" s="117" t="str">
        <f t="shared" si="197"/>
        <v>detailed</v>
      </c>
      <c r="M1146" s="117" t="str">
        <f t="shared" si="195"/>
        <v>detailed Mining</v>
      </c>
      <c r="N1146" s="179">
        <f>9237600*0.90718474</f>
        <v>8380209.7542240005</v>
      </c>
      <c r="O1146" s="179"/>
      <c r="P1146" s="179">
        <f>9237600*0.90718474</f>
        <v>8380209.7542240005</v>
      </c>
      <c r="Q1146" s="179"/>
      <c r="R1146" s="179"/>
      <c r="S1146" s="117" t="s">
        <v>610</v>
      </c>
      <c r="T1146" s="119">
        <f>74.8381600713141*0.806</f>
        <v>60.319557017479177</v>
      </c>
      <c r="U1146" s="117" t="s">
        <v>611</v>
      </c>
      <c r="V1146" s="117" t="s">
        <v>1754</v>
      </c>
      <c r="W1146" s="89">
        <f t="shared" ref="W1146:W1155" si="199">N1146*T1146</f>
        <v>505490540.08834976</v>
      </c>
      <c r="X1146" s="117"/>
      <c r="Y1146" s="117"/>
      <c r="Z1146" s="117"/>
      <c r="AA1146" s="89"/>
      <c r="AB1146" s="89"/>
      <c r="AC1146" s="240"/>
      <c r="AD1146" s="240"/>
      <c r="AE1146" s="240"/>
      <c r="AF1146" s="241"/>
      <c r="AG1146" s="117"/>
      <c r="AH1146" s="124"/>
      <c r="AI1146" s="117"/>
      <c r="AJ1146" s="117"/>
      <c r="AK1146" s="89"/>
      <c r="AL1146" s="117"/>
      <c r="AM1146" s="117"/>
      <c r="AN1146" s="117">
        <v>7</v>
      </c>
      <c r="AO1146" s="117" t="s">
        <v>1755</v>
      </c>
      <c r="AP1146" s="117">
        <v>7</v>
      </c>
      <c r="AQ1146" s="117"/>
      <c r="AR1146" s="126"/>
      <c r="AS1146" s="117"/>
      <c r="AT1146" s="117"/>
      <c r="AU1146" s="117"/>
      <c r="AV1146" s="128"/>
      <c r="AW1146" s="117">
        <f>VLOOKUP($D1146,'WB Data'!$C$3:$M$578,2,FALSE)</f>
        <v>4234894168.1565914</v>
      </c>
      <c r="AX1146" s="117">
        <f>VLOOKUP($D1146,'WB Data'!$C$3:$M$578,3,FALSE)</f>
        <v>2595068</v>
      </c>
      <c r="AY1146" s="847">
        <f t="shared" si="189"/>
        <v>0.15125121799178698</v>
      </c>
      <c r="AZ1146" s="117">
        <f>VLOOKUP($D1146,'WB Data'!$C$3:$M$578,4,FALSE)/100</f>
        <v>0.37583292662022821</v>
      </c>
      <c r="BA1146" s="117">
        <f t="shared" si="190"/>
        <v>1591612669.1452286</v>
      </c>
      <c r="BB1146" s="129">
        <f>IFERROR(VLOOKUP($D1146,'EITI Revenues'!$C$2:$G$224,5,FALSE),"..")</f>
        <v>640532901</v>
      </c>
      <c r="BC1146" s="846">
        <f t="shared" si="191"/>
        <v>0.40244270067540772</v>
      </c>
      <c r="BD1146" s="129">
        <f>VLOOKUP($D1146,'WB Data 2'!$C$2:$K$545,6,FALSE)</f>
        <v>1514942994.0192695</v>
      </c>
      <c r="BE1146" s="129">
        <f>IFERROR(VLOOKUP($D1146,UNCTAD!$C$5:$V$529,4,FALSE),"..")</f>
        <v>2532547000</v>
      </c>
      <c r="BF1146" s="846">
        <f t="shared" si="192"/>
        <v>0.59818948829746077</v>
      </c>
      <c r="BG1146" s="117">
        <f>VLOOKUP($D1146,'WB Data'!$C$3:$M$578,5,FALSE)</f>
        <v>238680000</v>
      </c>
      <c r="BH1146" s="129">
        <f>IFERROR($BB1146/$BG1146,"..")</f>
        <v>2.683647146807441</v>
      </c>
      <c r="BI1146" s="117">
        <f>IFERROR(VLOOKUP($D1146,'WB Data'!$C$3:$M$578,7,FALSE)/100,"..")</f>
        <v>4.69013E-2</v>
      </c>
      <c r="BJ1146" s="117">
        <f>IFERROR($BI1146*$AW1146,"..")</f>
        <v>198622041.84896275</v>
      </c>
      <c r="BK1146" s="846">
        <f>IFERROR($BB1146/$BJ1146,"..")</f>
        <v>3.2248832759814112</v>
      </c>
      <c r="BL1146" s="117">
        <f>IFERROR(VLOOKUP($D1146,'WB Data'!$C$3:$M$578,7,FALSE)/100,"..")</f>
        <v>4.69013E-2</v>
      </c>
      <c r="BM1146" s="117">
        <f>IFERROR($AW1146*$BL1146,"..")</f>
        <v>198622041.84896275</v>
      </c>
      <c r="BN1146" s="846">
        <f>IFERROR($BB1146/$BM1146,"..")</f>
        <v>3.2248832759814112</v>
      </c>
      <c r="BO1146" s="801">
        <f t="shared" si="188"/>
        <v>39</v>
      </c>
      <c r="BP1146" s="117" t="str">
        <f>VLOOKUP($D1146,'WB Data'!$C$3:$M$578,9,FALSE)</f>
        <v>..</v>
      </c>
      <c r="BQ1146" s="117">
        <f>VLOOKUP($D1146,'WB Data'!$C$3:$M$578,10,FALSE)</f>
        <v>66.037439024390252</v>
      </c>
      <c r="BR1146" s="117">
        <f>VLOOKUP($D1146,'WB Data'!$C$3:$M$578,11,FALSE)</f>
        <v>33.200000000000003</v>
      </c>
      <c r="BS1146" s="129">
        <f>IFERROR(VLOOKUP($D1146,'WB Data 2'!$C$2:$K$545,9,FALSE),"..")</f>
        <v>97.713149999999999</v>
      </c>
      <c r="BT1146" s="129">
        <f>_xlfn.IFNA(VLOOKUP($C1146,RGI!$A$2:$C$43,2,FALSE),"..")</f>
        <v>38.200000000000003</v>
      </c>
      <c r="BU1146" s="129">
        <f>_xlfn.IFNA(VLOOKUP($C1146,RGI!$A$2:$C$43,3,FALSE),"..")</f>
        <v>50.952530108834466</v>
      </c>
      <c r="BV1146" s="129">
        <f>VLOOKUP($D1146,WGI!$C$2:$O$478,7,FALSE)</f>
        <v>0.27221379801301199</v>
      </c>
      <c r="BW1146" s="129">
        <f>VLOOKUP($D1146,WGI!$C$2:$O$478,4,FALSE)</f>
        <v>0.68455134578207599</v>
      </c>
      <c r="BX1146" s="129">
        <f>VLOOKUP($D1146,WGI!$C$2:$O$478,3,FALSE)</f>
        <v>-0.51598351345476101</v>
      </c>
      <c r="BY1146" s="129">
        <f>VLOOKUP($D1146,WGI!$C$2:$O$478,5,FALSE)</f>
        <v>-0.26131593397205599</v>
      </c>
      <c r="BZ1146" s="129">
        <f>VLOOKUP($D1146,WGI!$C$2:$O$478,2,FALSE)</f>
        <v>-0.65614289988955998</v>
      </c>
    </row>
    <row r="1147" spans="1:80" ht="15" customHeight="1">
      <c r="A1147" s="280" t="s">
        <v>367</v>
      </c>
      <c r="B1147" s="117">
        <v>2007</v>
      </c>
      <c r="C1147" s="117" t="s">
        <v>364</v>
      </c>
      <c r="D1147" s="117" t="s">
        <v>3583</v>
      </c>
      <c r="E1147" s="117" t="s">
        <v>244</v>
      </c>
      <c r="F1147" s="117"/>
      <c r="G1147" s="117" t="s">
        <v>24</v>
      </c>
      <c r="H1147" s="117" t="str">
        <f t="shared" si="196"/>
        <v>yes</v>
      </c>
      <c r="I1147" s="117" t="str">
        <f t="shared" si="193"/>
        <v>no</v>
      </c>
      <c r="J1147" s="117" t="str">
        <f t="shared" si="194"/>
        <v>no</v>
      </c>
      <c r="K1147" s="117" t="s">
        <v>619</v>
      </c>
      <c r="L1147" s="117" t="str">
        <f t="shared" si="197"/>
        <v>detailed</v>
      </c>
      <c r="M1147" s="117" t="str">
        <f t="shared" si="195"/>
        <v>detailed Mining</v>
      </c>
      <c r="N1147" s="118">
        <f>130200*0.90718474</f>
        <v>118115.453148</v>
      </c>
      <c r="O1147" s="118"/>
      <c r="P1147" s="118">
        <f>130200*0.90718474</f>
        <v>118115.453148</v>
      </c>
      <c r="Q1147" s="118"/>
      <c r="R1147" s="118"/>
      <c r="S1147" s="117" t="s">
        <v>610</v>
      </c>
      <c r="T1147" s="186">
        <f>7118.226*0.1816</f>
        <v>1292.6698415999999</v>
      </c>
      <c r="U1147" s="117" t="s">
        <v>611</v>
      </c>
      <c r="V1147" s="117" t="s">
        <v>1756</v>
      </c>
      <c r="W1147" s="89">
        <f t="shared" si="199"/>
        <v>152684284.11133736</v>
      </c>
      <c r="X1147" s="117"/>
      <c r="Y1147" s="117"/>
      <c r="Z1147" s="117"/>
      <c r="AA1147" s="89"/>
      <c r="AB1147" s="89"/>
      <c r="AC1147" s="240"/>
      <c r="AD1147" s="240"/>
      <c r="AE1147" s="240"/>
      <c r="AF1147" s="241"/>
      <c r="AG1147" s="117"/>
      <c r="AH1147" s="124"/>
      <c r="AI1147" s="117"/>
      <c r="AJ1147" s="117"/>
      <c r="AK1147" s="89"/>
      <c r="AL1147" s="117"/>
      <c r="AM1147" s="117"/>
      <c r="AN1147" s="117">
        <v>3</v>
      </c>
      <c r="AO1147" s="117" t="s">
        <v>1775</v>
      </c>
      <c r="AP1147" s="117">
        <v>3</v>
      </c>
      <c r="AQ1147" s="117"/>
      <c r="AR1147" s="126"/>
      <c r="AS1147" s="117"/>
      <c r="AT1147" s="117"/>
      <c r="AU1147" s="117"/>
      <c r="AV1147" s="128"/>
      <c r="AW1147" s="117">
        <f>VLOOKUP($D1147,'WB Data'!$C$3:$M$578,2,FALSE)</f>
        <v>4234894168.1565914</v>
      </c>
      <c r="AX1147" s="117">
        <f>VLOOKUP($D1147,'WB Data'!$C$3:$M$578,3,FALSE)</f>
        <v>2595068</v>
      </c>
      <c r="AY1147" s="847">
        <f t="shared" si="189"/>
        <v>0.15125121799178698</v>
      </c>
      <c r="AZ1147" s="117">
        <f>VLOOKUP($D1147,'WB Data'!$C$3:$M$578,4,FALSE)/100</f>
        <v>0.37583292662022821</v>
      </c>
      <c r="BA1147" s="117">
        <f t="shared" si="190"/>
        <v>1591612669.1452286</v>
      </c>
      <c r="BB1147" s="129">
        <f>IFERROR(VLOOKUP($D1147,'EITI Revenues'!$C$2:$G$224,5,FALSE),"..")</f>
        <v>640532901</v>
      </c>
      <c r="BC1147" s="846">
        <f t="shared" si="191"/>
        <v>0.40244270067540772</v>
      </c>
      <c r="BD1147" s="129">
        <f>VLOOKUP($D1147,'WB Data 2'!$C$2:$K$545,6,FALSE)</f>
        <v>1514942994.0192695</v>
      </c>
      <c r="BE1147" s="129">
        <f>IFERROR(VLOOKUP($D1147,UNCTAD!$C$5:$V$529,4,FALSE),"..")</f>
        <v>2532547000</v>
      </c>
      <c r="BF1147" s="846">
        <f t="shared" si="192"/>
        <v>0.59818948829746077</v>
      </c>
      <c r="BG1147" s="117">
        <f>VLOOKUP($D1147,'WB Data'!$C$3:$M$578,5,FALSE)</f>
        <v>238680000</v>
      </c>
      <c r="BH1147" s="129">
        <f>IFERROR($BB1147/$BG1147,"..")</f>
        <v>2.683647146807441</v>
      </c>
      <c r="BI1147" s="117">
        <f>IFERROR(VLOOKUP($D1147,'WB Data'!$C$3:$M$578,7,FALSE)/100,"..")</f>
        <v>4.69013E-2</v>
      </c>
      <c r="BJ1147" s="117">
        <f>IFERROR($BI1147*$AW1147,"..")</f>
        <v>198622041.84896275</v>
      </c>
      <c r="BK1147" s="846">
        <f>IFERROR($BB1147/$BJ1147,"..")</f>
        <v>3.2248832759814112</v>
      </c>
      <c r="BL1147" s="117">
        <f>IFERROR(VLOOKUP($D1147,'WB Data'!$C$3:$M$578,7,FALSE)/100,"..")</f>
        <v>4.69013E-2</v>
      </c>
      <c r="BM1147" s="117">
        <f>IFERROR($AW1147*$BL1147,"..")</f>
        <v>198622041.84896275</v>
      </c>
      <c r="BN1147" s="846">
        <f>IFERROR($BB1147/$BM1147,"..")</f>
        <v>3.2248832759814112</v>
      </c>
      <c r="BO1147" s="801">
        <f t="shared" si="188"/>
        <v>39</v>
      </c>
      <c r="BP1147" s="117" t="str">
        <f>VLOOKUP($D1147,'WB Data'!$C$3:$M$578,9,FALSE)</f>
        <v>..</v>
      </c>
      <c r="BQ1147" s="117">
        <f>VLOOKUP($D1147,'WB Data'!$C$3:$M$578,10,FALSE)</f>
        <v>66.037439024390252</v>
      </c>
      <c r="BR1147" s="117">
        <f>VLOOKUP($D1147,'WB Data'!$C$3:$M$578,11,FALSE)</f>
        <v>33.200000000000003</v>
      </c>
      <c r="BS1147" s="129">
        <f>IFERROR(VLOOKUP($D1147,'WB Data 2'!$C$2:$K$545,9,FALSE),"..")</f>
        <v>97.713149999999999</v>
      </c>
      <c r="BT1147" s="129">
        <f>_xlfn.IFNA(VLOOKUP($C1147,RGI!$A$2:$C$43,2,FALSE),"..")</f>
        <v>38.200000000000003</v>
      </c>
      <c r="BU1147" s="129">
        <f>_xlfn.IFNA(VLOOKUP($C1147,RGI!$A$2:$C$43,3,FALSE),"..")</f>
        <v>50.952530108834466</v>
      </c>
      <c r="BV1147" s="129">
        <f>VLOOKUP($D1147,WGI!$C$2:$O$478,7,FALSE)</f>
        <v>0.27221379801301199</v>
      </c>
      <c r="BW1147" s="129">
        <f>VLOOKUP($D1147,WGI!$C$2:$O$478,4,FALSE)</f>
        <v>0.68455134578207599</v>
      </c>
      <c r="BX1147" s="129">
        <f>VLOOKUP($D1147,WGI!$C$2:$O$478,3,FALSE)</f>
        <v>-0.51598351345476101</v>
      </c>
      <c r="BY1147" s="129">
        <f>VLOOKUP($D1147,WGI!$C$2:$O$478,5,FALSE)</f>
        <v>-0.26131593397205599</v>
      </c>
      <c r="BZ1147" s="129">
        <f>VLOOKUP($D1147,WGI!$C$2:$O$478,2,FALSE)</f>
        <v>-0.65614289988955998</v>
      </c>
    </row>
    <row r="1148" spans="1:80" ht="15" customHeight="1">
      <c r="A1148" s="280" t="s">
        <v>367</v>
      </c>
      <c r="B1148" s="117">
        <v>2007</v>
      </c>
      <c r="C1148" s="117" t="s">
        <v>364</v>
      </c>
      <c r="D1148" s="117" t="s">
        <v>3583</v>
      </c>
      <c r="E1148" s="117" t="s">
        <v>244</v>
      </c>
      <c r="F1148" s="117"/>
      <c r="G1148" s="117" t="s">
        <v>24</v>
      </c>
      <c r="H1148" s="117" t="str">
        <f t="shared" si="196"/>
        <v>yes</v>
      </c>
      <c r="I1148" s="117" t="str">
        <f t="shared" si="193"/>
        <v>no</v>
      </c>
      <c r="J1148" s="117" t="str">
        <f t="shared" si="194"/>
        <v>no</v>
      </c>
      <c r="K1148" s="117" t="s">
        <v>1758</v>
      </c>
      <c r="L1148" s="117" t="str">
        <f t="shared" si="197"/>
        <v>detailed</v>
      </c>
      <c r="M1148" s="117" t="str">
        <f t="shared" si="195"/>
        <v>detailed Mining</v>
      </c>
      <c r="N1148" s="118">
        <f>354900*0.90718474</f>
        <v>321959.86422600003</v>
      </c>
      <c r="O1148" s="118"/>
      <c r="P1148" s="118">
        <f>354900*0.90718474</f>
        <v>321959.86422600003</v>
      </c>
      <c r="Q1148" s="118"/>
      <c r="R1148" s="118"/>
      <c r="S1148" s="117" t="s">
        <v>610</v>
      </c>
      <c r="T1148" s="119">
        <f>198.17*0.5381</f>
        <v>106.635277</v>
      </c>
      <c r="U1148" s="117" t="s">
        <v>611</v>
      </c>
      <c r="V1148" s="117" t="s">
        <v>1776</v>
      </c>
      <c r="W1148" s="89">
        <f t="shared" si="199"/>
        <v>34332279.304621905</v>
      </c>
      <c r="X1148" s="117"/>
      <c r="Y1148" s="117"/>
      <c r="Z1148" s="117"/>
      <c r="AA1148" s="89"/>
      <c r="AB1148" s="89"/>
      <c r="AC1148" s="240"/>
      <c r="AD1148" s="240"/>
      <c r="AE1148" s="240"/>
      <c r="AF1148" s="241"/>
      <c r="AG1148" s="117"/>
      <c r="AH1148" s="124"/>
      <c r="AI1148" s="117"/>
      <c r="AJ1148" s="117"/>
      <c r="AK1148" s="89"/>
      <c r="AL1148" s="117"/>
      <c r="AM1148" s="117"/>
      <c r="AN1148" s="117">
        <v>3</v>
      </c>
      <c r="AO1148" s="117" t="s">
        <v>1777</v>
      </c>
      <c r="AP1148" s="117">
        <v>3</v>
      </c>
      <c r="AQ1148" s="117"/>
      <c r="AR1148" s="126"/>
      <c r="AS1148" s="117"/>
      <c r="AT1148" s="117"/>
      <c r="AU1148" s="117"/>
      <c r="AV1148" s="128"/>
      <c r="AW1148" s="117">
        <f>VLOOKUP($D1148,'WB Data'!$C$3:$M$578,2,FALSE)</f>
        <v>4234894168.1565914</v>
      </c>
      <c r="AX1148" s="117">
        <f>VLOOKUP($D1148,'WB Data'!$C$3:$M$578,3,FALSE)</f>
        <v>2595068</v>
      </c>
      <c r="AY1148" s="847">
        <f t="shared" si="189"/>
        <v>0.15125121799178698</v>
      </c>
      <c r="AZ1148" s="117">
        <f>VLOOKUP($D1148,'WB Data'!$C$3:$M$578,4,FALSE)/100</f>
        <v>0.37583292662022821</v>
      </c>
      <c r="BA1148" s="117">
        <f t="shared" si="190"/>
        <v>1591612669.1452286</v>
      </c>
      <c r="BB1148" s="129">
        <f>IFERROR(VLOOKUP($D1148,'EITI Revenues'!$C$2:$G$224,5,FALSE),"..")</f>
        <v>640532901</v>
      </c>
      <c r="BC1148" s="846">
        <f t="shared" si="191"/>
        <v>0.40244270067540772</v>
      </c>
      <c r="BD1148" s="129">
        <f>VLOOKUP($D1148,'WB Data 2'!$C$2:$K$545,6,FALSE)</f>
        <v>1514942994.0192695</v>
      </c>
      <c r="BE1148" s="129">
        <f>IFERROR(VLOOKUP($D1148,UNCTAD!$C$5:$V$529,4,FALSE),"..")</f>
        <v>2532547000</v>
      </c>
      <c r="BF1148" s="846">
        <f t="shared" si="192"/>
        <v>0.59818948829746077</v>
      </c>
      <c r="BG1148" s="117">
        <f>VLOOKUP($D1148,'WB Data'!$C$3:$M$578,5,FALSE)</f>
        <v>238680000</v>
      </c>
      <c r="BH1148" s="129">
        <f>IFERROR($BB1148/$BG1148,"..")</f>
        <v>2.683647146807441</v>
      </c>
      <c r="BI1148" s="117">
        <f>IFERROR(VLOOKUP($D1148,'WB Data'!$C$3:$M$578,7,FALSE)/100,"..")</f>
        <v>4.69013E-2</v>
      </c>
      <c r="BJ1148" s="117">
        <f>IFERROR($BI1148*$AW1148,"..")</f>
        <v>198622041.84896275</v>
      </c>
      <c r="BK1148" s="846">
        <f>IFERROR($BB1148/$BJ1148,"..")</f>
        <v>3.2248832759814112</v>
      </c>
      <c r="BL1148" s="117">
        <f>IFERROR(VLOOKUP($D1148,'WB Data'!$C$3:$M$578,7,FALSE)/100,"..")</f>
        <v>4.69013E-2</v>
      </c>
      <c r="BM1148" s="117">
        <f>IFERROR($AW1148*$BL1148,"..")</f>
        <v>198622041.84896275</v>
      </c>
      <c r="BN1148" s="846">
        <f>IFERROR($BB1148/$BM1148,"..")</f>
        <v>3.2248832759814112</v>
      </c>
      <c r="BO1148" s="801">
        <f t="shared" si="188"/>
        <v>39</v>
      </c>
      <c r="BP1148" s="117" t="str">
        <f>VLOOKUP($D1148,'WB Data'!$C$3:$M$578,9,FALSE)</f>
        <v>..</v>
      </c>
      <c r="BQ1148" s="117">
        <f>VLOOKUP($D1148,'WB Data'!$C$3:$M$578,10,FALSE)</f>
        <v>66.037439024390252</v>
      </c>
      <c r="BR1148" s="117">
        <f>VLOOKUP($D1148,'WB Data'!$C$3:$M$578,11,FALSE)</f>
        <v>33.200000000000003</v>
      </c>
      <c r="BS1148" s="129">
        <f>IFERROR(VLOOKUP($D1148,'WB Data 2'!$C$2:$K$545,9,FALSE),"..")</f>
        <v>97.713149999999999</v>
      </c>
      <c r="BT1148" s="129">
        <f>_xlfn.IFNA(VLOOKUP($C1148,RGI!$A$2:$C$43,2,FALSE),"..")</f>
        <v>38.200000000000003</v>
      </c>
      <c r="BU1148" s="129">
        <f>_xlfn.IFNA(VLOOKUP($C1148,RGI!$A$2:$C$43,3,FALSE),"..")</f>
        <v>50.952530108834466</v>
      </c>
      <c r="BV1148" s="129">
        <f>VLOOKUP($D1148,WGI!$C$2:$O$478,7,FALSE)</f>
        <v>0.27221379801301199</v>
      </c>
      <c r="BW1148" s="129">
        <f>VLOOKUP($D1148,WGI!$C$2:$O$478,4,FALSE)</f>
        <v>0.68455134578207599</v>
      </c>
      <c r="BX1148" s="129">
        <f>VLOOKUP($D1148,WGI!$C$2:$O$478,3,FALSE)</f>
        <v>-0.51598351345476101</v>
      </c>
      <c r="BY1148" s="129">
        <f>VLOOKUP($D1148,WGI!$C$2:$O$478,5,FALSE)</f>
        <v>-0.26131593397205599</v>
      </c>
      <c r="BZ1148" s="129">
        <f>VLOOKUP($D1148,WGI!$C$2:$O$478,2,FALSE)</f>
        <v>-0.65614289988955998</v>
      </c>
    </row>
    <row r="1149" spans="1:80" ht="15" customHeight="1">
      <c r="A1149" s="280" t="s">
        <v>367</v>
      </c>
      <c r="B1149" s="117">
        <v>2007</v>
      </c>
      <c r="C1149" s="117" t="s">
        <v>364</v>
      </c>
      <c r="D1149" s="117" t="s">
        <v>3583</v>
      </c>
      <c r="E1149" s="117" t="s">
        <v>244</v>
      </c>
      <c r="F1149" s="117"/>
      <c r="G1149" s="117" t="s">
        <v>24</v>
      </c>
      <c r="H1149" s="117" t="str">
        <f t="shared" si="196"/>
        <v>yes</v>
      </c>
      <c r="I1149" s="117" t="str">
        <f t="shared" si="193"/>
        <v>no</v>
      </c>
      <c r="J1149" s="117" t="str">
        <f t="shared" si="194"/>
        <v>no</v>
      </c>
      <c r="K1149" s="117" t="s">
        <v>784</v>
      </c>
      <c r="L1149" s="117" t="str">
        <f t="shared" si="197"/>
        <v>detailed</v>
      </c>
      <c r="M1149" s="117" t="str">
        <f t="shared" si="195"/>
        <v>detailed Mining</v>
      </c>
      <c r="N1149" s="118">
        <f>(18*0.90718474)*32150.7466</f>
        <v>525000.00051228399</v>
      </c>
      <c r="O1149" s="118"/>
      <c r="P1149" s="118">
        <f>(18*0.90718474)*32150.7466</f>
        <v>525000.00051228399</v>
      </c>
      <c r="Q1149" s="118"/>
      <c r="R1149" s="118"/>
      <c r="S1149" s="117" t="s">
        <v>785</v>
      </c>
      <c r="T1149" s="119">
        <f>696.72025*0.83</f>
        <v>578.27780749999999</v>
      </c>
      <c r="U1149" s="117" t="s">
        <v>786</v>
      </c>
      <c r="V1149" s="117" t="s">
        <v>1761</v>
      </c>
      <c r="W1149" s="89">
        <f t="shared" si="199"/>
        <v>303595849.23374248</v>
      </c>
      <c r="X1149" s="117"/>
      <c r="Y1149" s="117"/>
      <c r="Z1149" s="117"/>
      <c r="AA1149" s="117"/>
      <c r="AB1149" s="117"/>
      <c r="AC1149" s="462"/>
      <c r="AD1149" s="462"/>
      <c r="AE1149" s="462"/>
      <c r="AF1149" s="463"/>
      <c r="AG1149" s="117"/>
      <c r="AH1149" s="124"/>
      <c r="AI1149" s="117"/>
      <c r="AJ1149" s="117"/>
      <c r="AK1149" s="89"/>
      <c r="AL1149" s="117"/>
      <c r="AM1149" s="117"/>
      <c r="AN1149" s="117">
        <v>23</v>
      </c>
      <c r="AO1149" s="117" t="s">
        <v>1778</v>
      </c>
      <c r="AP1149" s="117">
        <v>23</v>
      </c>
      <c r="AQ1149" s="117"/>
      <c r="AR1149" s="126"/>
      <c r="AS1149" s="117"/>
      <c r="AT1149" s="117"/>
      <c r="AU1149" s="117" t="s">
        <v>1779</v>
      </c>
      <c r="AV1149" s="128"/>
      <c r="AW1149" s="117">
        <f>VLOOKUP($D1149,'WB Data'!$C$3:$M$578,2,FALSE)</f>
        <v>4234894168.1565914</v>
      </c>
      <c r="AX1149" s="117">
        <f>VLOOKUP($D1149,'WB Data'!$C$3:$M$578,3,FALSE)</f>
        <v>2595068</v>
      </c>
      <c r="AY1149" s="847">
        <f t="shared" si="189"/>
        <v>0.15125121799178698</v>
      </c>
      <c r="AZ1149" s="117">
        <f>VLOOKUP($D1149,'WB Data'!$C$3:$M$578,4,FALSE)/100</f>
        <v>0.37583292662022821</v>
      </c>
      <c r="BA1149" s="117">
        <f t="shared" si="190"/>
        <v>1591612669.1452286</v>
      </c>
      <c r="BB1149" s="129">
        <f>IFERROR(VLOOKUP($D1149,'EITI Revenues'!$C$2:$G$224,5,FALSE),"..")</f>
        <v>640532901</v>
      </c>
      <c r="BC1149" s="846">
        <f t="shared" si="191"/>
        <v>0.40244270067540772</v>
      </c>
      <c r="BD1149" s="129">
        <f>VLOOKUP($D1149,'WB Data 2'!$C$2:$K$545,6,FALSE)</f>
        <v>1514942994.0192695</v>
      </c>
      <c r="BE1149" s="129">
        <f>IFERROR(VLOOKUP($D1149,UNCTAD!$C$5:$V$529,4,FALSE),"..")</f>
        <v>2532547000</v>
      </c>
      <c r="BF1149" s="846">
        <f t="shared" si="192"/>
        <v>0.59818948829746077</v>
      </c>
      <c r="BG1149" s="117">
        <f>VLOOKUP($D1149,'WB Data'!$C$3:$M$578,5,FALSE)</f>
        <v>238680000</v>
      </c>
      <c r="BH1149" s="129">
        <f>IFERROR($BB1149/$BG1149,"..")</f>
        <v>2.683647146807441</v>
      </c>
      <c r="BI1149" s="117">
        <f>IFERROR(VLOOKUP($D1149,'WB Data'!$C$3:$M$578,7,FALSE)/100,"..")</f>
        <v>4.69013E-2</v>
      </c>
      <c r="BJ1149" s="117">
        <f>IFERROR($BI1149*$AW1149,"..")</f>
        <v>198622041.84896275</v>
      </c>
      <c r="BK1149" s="846">
        <f>IFERROR($BB1149/$BJ1149,"..")</f>
        <v>3.2248832759814112</v>
      </c>
      <c r="BL1149" s="117">
        <f>IFERROR(VLOOKUP($D1149,'WB Data'!$C$3:$M$578,7,FALSE)/100,"..")</f>
        <v>4.69013E-2</v>
      </c>
      <c r="BM1149" s="117">
        <f>IFERROR($AW1149*$BL1149,"..")</f>
        <v>198622041.84896275</v>
      </c>
      <c r="BN1149" s="846">
        <f>IFERROR($BB1149/$BM1149,"..")</f>
        <v>3.2248832759814112</v>
      </c>
      <c r="BO1149" s="801">
        <f t="shared" si="188"/>
        <v>39</v>
      </c>
      <c r="BP1149" s="117" t="str">
        <f>VLOOKUP($D1149,'WB Data'!$C$3:$M$578,9,FALSE)</f>
        <v>..</v>
      </c>
      <c r="BQ1149" s="117">
        <f>VLOOKUP($D1149,'WB Data'!$C$3:$M$578,10,FALSE)</f>
        <v>66.037439024390252</v>
      </c>
      <c r="BR1149" s="117">
        <f>VLOOKUP($D1149,'WB Data'!$C$3:$M$578,11,FALSE)</f>
        <v>33.200000000000003</v>
      </c>
      <c r="BS1149" s="129">
        <f>IFERROR(VLOOKUP($D1149,'WB Data 2'!$C$2:$K$545,9,FALSE),"..")</f>
        <v>97.713149999999999</v>
      </c>
      <c r="BT1149" s="129">
        <f>_xlfn.IFNA(VLOOKUP($C1149,RGI!$A$2:$C$43,2,FALSE),"..")</f>
        <v>38.200000000000003</v>
      </c>
      <c r="BU1149" s="129">
        <f>_xlfn.IFNA(VLOOKUP($C1149,RGI!$A$2:$C$43,3,FALSE),"..")</f>
        <v>50.952530108834466</v>
      </c>
      <c r="BV1149" s="129">
        <f>VLOOKUP($D1149,WGI!$C$2:$O$478,7,FALSE)</f>
        <v>0.27221379801301199</v>
      </c>
      <c r="BW1149" s="129">
        <f>VLOOKUP($D1149,WGI!$C$2:$O$478,4,FALSE)</f>
        <v>0.68455134578207599</v>
      </c>
      <c r="BX1149" s="129">
        <f>VLOOKUP($D1149,WGI!$C$2:$O$478,3,FALSE)</f>
        <v>-0.51598351345476101</v>
      </c>
      <c r="BY1149" s="129">
        <f>VLOOKUP($D1149,WGI!$C$2:$O$478,5,FALSE)</f>
        <v>-0.26131593397205599</v>
      </c>
      <c r="BZ1149" s="129">
        <f>VLOOKUP($D1149,WGI!$C$2:$O$478,2,FALSE)</f>
        <v>-0.65614289988955998</v>
      </c>
    </row>
    <row r="1150" spans="1:80" ht="15" customHeight="1">
      <c r="A1150" s="280" t="s">
        <v>367</v>
      </c>
      <c r="B1150" s="117">
        <v>2007</v>
      </c>
      <c r="C1150" s="117" t="s">
        <v>364</v>
      </c>
      <c r="D1150" s="117" t="s">
        <v>3583</v>
      </c>
      <c r="E1150" s="117" t="s">
        <v>244</v>
      </c>
      <c r="F1150" s="117"/>
      <c r="G1150" s="117" t="s">
        <v>24</v>
      </c>
      <c r="H1150" s="117" t="str">
        <f t="shared" si="196"/>
        <v>yes</v>
      </c>
      <c r="I1150" s="117" t="str">
        <f t="shared" si="193"/>
        <v>no</v>
      </c>
      <c r="J1150" s="117" t="str">
        <f t="shared" si="194"/>
        <v>no</v>
      </c>
      <c r="K1150" s="117" t="s">
        <v>1291</v>
      </c>
      <c r="L1150" s="117" t="str">
        <f t="shared" si="197"/>
        <v>detailed</v>
      </c>
      <c r="M1150" s="117" t="str">
        <f t="shared" si="195"/>
        <v>detailed Mining</v>
      </c>
      <c r="N1150" s="118">
        <f>265100*0.90718474</f>
        <v>240494.674574</v>
      </c>
      <c r="O1150" s="118"/>
      <c r="P1150" s="118">
        <f>265100*0.90718474</f>
        <v>240494.674574</v>
      </c>
      <c r="Q1150" s="118"/>
      <c r="R1150" s="118"/>
      <c r="S1150" s="117" t="s">
        <v>610</v>
      </c>
      <c r="T1150" s="119">
        <f>122.9875*0.5474</f>
        <v>67.3233575</v>
      </c>
      <c r="U1150" s="117" t="s">
        <v>611</v>
      </c>
      <c r="V1150" s="117" t="s">
        <v>1763</v>
      </c>
      <c r="W1150" s="89">
        <f t="shared" si="199"/>
        <v>16190908.953191562</v>
      </c>
      <c r="X1150" s="117"/>
      <c r="Y1150" s="117"/>
      <c r="Z1150" s="117"/>
      <c r="AA1150" s="89">
        <v>743847.73310521815</v>
      </c>
      <c r="AB1150" s="89">
        <v>6377611.6338751074</v>
      </c>
      <c r="AC1150" s="240"/>
      <c r="AD1150" s="240"/>
      <c r="AE1150" s="240"/>
      <c r="AF1150" s="241"/>
      <c r="AG1150" s="117"/>
      <c r="AH1150" s="124"/>
      <c r="AI1150" s="117"/>
      <c r="AJ1150" s="117"/>
      <c r="AK1150" s="89"/>
      <c r="AL1150" s="117"/>
      <c r="AM1150" s="117"/>
      <c r="AN1150" s="117">
        <v>2</v>
      </c>
      <c r="AO1150" s="117" t="s">
        <v>1780</v>
      </c>
      <c r="AP1150" s="117">
        <v>2</v>
      </c>
      <c r="AQ1150" s="117"/>
      <c r="AR1150" s="126"/>
      <c r="AS1150" s="117"/>
      <c r="AT1150" s="117"/>
      <c r="AU1150" s="117"/>
      <c r="AV1150" s="128"/>
      <c r="AW1150" s="117">
        <f>VLOOKUP($D1150,'WB Data'!$C$3:$M$578,2,FALSE)</f>
        <v>4234894168.1565914</v>
      </c>
      <c r="AX1150" s="117">
        <f>VLOOKUP($D1150,'WB Data'!$C$3:$M$578,3,FALSE)</f>
        <v>2595068</v>
      </c>
      <c r="AY1150" s="847">
        <f t="shared" si="189"/>
        <v>0.15125121799178698</v>
      </c>
      <c r="AZ1150" s="117">
        <f>VLOOKUP($D1150,'WB Data'!$C$3:$M$578,4,FALSE)/100</f>
        <v>0.37583292662022821</v>
      </c>
      <c r="BA1150" s="117">
        <f t="shared" si="190"/>
        <v>1591612669.1452286</v>
      </c>
      <c r="BB1150" s="129">
        <f>IFERROR(VLOOKUP($D1150,'EITI Revenues'!$C$2:$G$224,5,FALSE),"..")</f>
        <v>640532901</v>
      </c>
      <c r="BC1150" s="846">
        <f t="shared" si="191"/>
        <v>0.40244270067540772</v>
      </c>
      <c r="BD1150" s="129">
        <f>VLOOKUP($D1150,'WB Data 2'!$C$2:$K$545,6,FALSE)</f>
        <v>1514942994.0192695</v>
      </c>
      <c r="BE1150" s="129">
        <f>IFERROR(VLOOKUP($D1150,UNCTAD!$C$5:$V$529,4,FALSE),"..")</f>
        <v>2532547000</v>
      </c>
      <c r="BF1150" s="846">
        <f t="shared" si="192"/>
        <v>0.59818948829746077</v>
      </c>
      <c r="BG1150" s="117">
        <f>VLOOKUP($D1150,'WB Data'!$C$3:$M$578,5,FALSE)</f>
        <v>238680000</v>
      </c>
      <c r="BH1150" s="129">
        <f>IFERROR($BB1150/$BG1150,"..")</f>
        <v>2.683647146807441</v>
      </c>
      <c r="BI1150" s="117">
        <f>IFERROR(VLOOKUP($D1150,'WB Data'!$C$3:$M$578,7,FALSE)/100,"..")</f>
        <v>4.69013E-2</v>
      </c>
      <c r="BJ1150" s="117">
        <f>IFERROR($BI1150*$AW1150,"..")</f>
        <v>198622041.84896275</v>
      </c>
      <c r="BK1150" s="846">
        <f>IFERROR($BB1150/$BJ1150,"..")</f>
        <v>3.2248832759814112</v>
      </c>
      <c r="BL1150" s="117">
        <f>IFERROR(VLOOKUP($D1150,'WB Data'!$C$3:$M$578,7,FALSE)/100,"..")</f>
        <v>4.69013E-2</v>
      </c>
      <c r="BM1150" s="117">
        <f>IFERROR($AW1150*$BL1150,"..")</f>
        <v>198622041.84896275</v>
      </c>
      <c r="BN1150" s="846">
        <f>IFERROR($BB1150/$BM1150,"..")</f>
        <v>3.2248832759814112</v>
      </c>
      <c r="BO1150" s="801">
        <f t="shared" si="188"/>
        <v>39</v>
      </c>
      <c r="BP1150" s="117" t="str">
        <f>VLOOKUP($D1150,'WB Data'!$C$3:$M$578,9,FALSE)</f>
        <v>..</v>
      </c>
      <c r="BQ1150" s="117">
        <f>VLOOKUP($D1150,'WB Data'!$C$3:$M$578,10,FALSE)</f>
        <v>66.037439024390252</v>
      </c>
      <c r="BR1150" s="117">
        <f>VLOOKUP($D1150,'WB Data'!$C$3:$M$578,11,FALSE)</f>
        <v>33.200000000000003</v>
      </c>
      <c r="BS1150" s="129">
        <f>IFERROR(VLOOKUP($D1150,'WB Data 2'!$C$2:$K$545,9,FALSE),"..")</f>
        <v>97.713149999999999</v>
      </c>
      <c r="BT1150" s="129">
        <f>_xlfn.IFNA(VLOOKUP($C1150,RGI!$A$2:$C$43,2,FALSE),"..")</f>
        <v>38.200000000000003</v>
      </c>
      <c r="BU1150" s="129">
        <f>_xlfn.IFNA(VLOOKUP($C1150,RGI!$A$2:$C$43,3,FALSE),"..")</f>
        <v>50.952530108834466</v>
      </c>
      <c r="BV1150" s="129">
        <f>VLOOKUP($D1150,WGI!$C$2:$O$478,7,FALSE)</f>
        <v>0.27221379801301199</v>
      </c>
      <c r="BW1150" s="129">
        <f>VLOOKUP($D1150,WGI!$C$2:$O$478,4,FALSE)</f>
        <v>0.68455134578207599</v>
      </c>
      <c r="BX1150" s="129">
        <f>VLOOKUP($D1150,WGI!$C$2:$O$478,3,FALSE)</f>
        <v>-0.51598351345476101</v>
      </c>
      <c r="BY1150" s="129">
        <f>VLOOKUP($D1150,WGI!$C$2:$O$478,5,FALSE)</f>
        <v>-0.26131593397205599</v>
      </c>
      <c r="BZ1150" s="129">
        <f>VLOOKUP($D1150,WGI!$C$2:$O$478,2,FALSE)</f>
        <v>-0.65614289988955998</v>
      </c>
    </row>
    <row r="1151" spans="1:80" ht="15" customHeight="1">
      <c r="A1151" s="280" t="s">
        <v>367</v>
      </c>
      <c r="B1151" s="117">
        <v>2007</v>
      </c>
      <c r="C1151" s="117" t="s">
        <v>364</v>
      </c>
      <c r="D1151" s="117" t="s">
        <v>3583</v>
      </c>
      <c r="E1151" s="117" t="s">
        <v>244</v>
      </c>
      <c r="F1151" s="117"/>
      <c r="G1151" s="117" t="s">
        <v>24</v>
      </c>
      <c r="H1151" s="117" t="str">
        <f t="shared" si="196"/>
        <v>yes</v>
      </c>
      <c r="I1151" s="117" t="str">
        <f t="shared" si="193"/>
        <v>no</v>
      </c>
      <c r="J1151" s="117" t="str">
        <f t="shared" si="194"/>
        <v>no</v>
      </c>
      <c r="K1151" s="117" t="s">
        <v>1493</v>
      </c>
      <c r="L1151" s="117" t="str">
        <f t="shared" si="197"/>
        <v>detailed</v>
      </c>
      <c r="M1151" s="117" t="str">
        <f t="shared" si="195"/>
        <v>detailed Mining</v>
      </c>
      <c r="N1151" s="118">
        <v>1980</v>
      </c>
      <c r="O1151" s="118"/>
      <c r="P1151" s="118"/>
      <c r="Q1151" s="118"/>
      <c r="R1151" s="118"/>
      <c r="S1151" s="117" t="s">
        <v>610</v>
      </c>
      <c r="T1151" s="119">
        <f>66790*0.3121</f>
        <v>20845.159</v>
      </c>
      <c r="U1151" s="117" t="s">
        <v>611</v>
      </c>
      <c r="V1151" s="117" t="s">
        <v>1764</v>
      </c>
      <c r="W1151" s="89">
        <f t="shared" si="199"/>
        <v>41273414.82</v>
      </c>
      <c r="X1151" s="117"/>
      <c r="Y1151" s="117"/>
      <c r="Z1151" s="117"/>
      <c r="AA1151" s="89"/>
      <c r="AB1151" s="89"/>
      <c r="AC1151" s="240"/>
      <c r="AD1151" s="240"/>
      <c r="AE1151" s="240"/>
      <c r="AF1151" s="241"/>
      <c r="AG1151" s="117"/>
      <c r="AH1151" s="124"/>
      <c r="AI1151" s="117"/>
      <c r="AJ1151" s="117"/>
      <c r="AK1151" s="89"/>
      <c r="AL1151" s="117"/>
      <c r="AM1151" s="117"/>
      <c r="AN1151" s="117">
        <v>2</v>
      </c>
      <c r="AO1151" s="117" t="s">
        <v>1765</v>
      </c>
      <c r="AP1151" s="117">
        <v>2</v>
      </c>
      <c r="AQ1151" s="117"/>
      <c r="AR1151" s="126"/>
      <c r="AS1151" s="117"/>
      <c r="AT1151" s="117"/>
      <c r="AU1151" s="117"/>
      <c r="AV1151" s="128"/>
      <c r="AW1151" s="117">
        <f>VLOOKUP($D1151,'WB Data'!$C$3:$M$578,2,FALSE)</f>
        <v>4234894168.1565914</v>
      </c>
      <c r="AX1151" s="117">
        <f>VLOOKUP($D1151,'WB Data'!$C$3:$M$578,3,FALSE)</f>
        <v>2595068</v>
      </c>
      <c r="AY1151" s="847">
        <f t="shared" si="189"/>
        <v>0.15125121799178698</v>
      </c>
      <c r="AZ1151" s="117">
        <f>VLOOKUP($D1151,'WB Data'!$C$3:$M$578,4,FALSE)/100</f>
        <v>0.37583292662022821</v>
      </c>
      <c r="BA1151" s="117">
        <f t="shared" si="190"/>
        <v>1591612669.1452286</v>
      </c>
      <c r="BB1151" s="129">
        <f>IFERROR(VLOOKUP($D1151,'EITI Revenues'!$C$2:$G$224,5,FALSE),"..")</f>
        <v>640532901</v>
      </c>
      <c r="BC1151" s="846">
        <f t="shared" si="191"/>
        <v>0.40244270067540772</v>
      </c>
      <c r="BD1151" s="129">
        <f>VLOOKUP($D1151,'WB Data 2'!$C$2:$K$545,6,FALSE)</f>
        <v>1514942994.0192695</v>
      </c>
      <c r="BE1151" s="129">
        <f>IFERROR(VLOOKUP($D1151,UNCTAD!$C$5:$V$529,4,FALSE),"..")</f>
        <v>2532547000</v>
      </c>
      <c r="BF1151" s="846">
        <f t="shared" si="192"/>
        <v>0.59818948829746077</v>
      </c>
      <c r="BG1151" s="117">
        <f>VLOOKUP($D1151,'WB Data'!$C$3:$M$578,5,FALSE)</f>
        <v>238680000</v>
      </c>
      <c r="BH1151" s="129">
        <f>IFERROR($BB1151/$BG1151,"..")</f>
        <v>2.683647146807441</v>
      </c>
      <c r="BI1151" s="117">
        <f>IFERROR(VLOOKUP($D1151,'WB Data'!$C$3:$M$578,7,FALSE)/100,"..")</f>
        <v>4.69013E-2</v>
      </c>
      <c r="BJ1151" s="117">
        <f>IFERROR($BI1151*$AW1151,"..")</f>
        <v>198622041.84896275</v>
      </c>
      <c r="BK1151" s="846">
        <f>IFERROR($BB1151/$BJ1151,"..")</f>
        <v>3.2248832759814112</v>
      </c>
      <c r="BL1151" s="117">
        <f>IFERROR(VLOOKUP($D1151,'WB Data'!$C$3:$M$578,7,FALSE)/100,"..")</f>
        <v>4.69013E-2</v>
      </c>
      <c r="BM1151" s="117">
        <f>IFERROR($AW1151*$BL1151,"..")</f>
        <v>198622041.84896275</v>
      </c>
      <c r="BN1151" s="846">
        <f>IFERROR($BB1151/$BM1151,"..")</f>
        <v>3.2248832759814112</v>
      </c>
      <c r="BO1151" s="801">
        <f t="shared" si="188"/>
        <v>39</v>
      </c>
      <c r="BP1151" s="117" t="str">
        <f>VLOOKUP($D1151,'WB Data'!$C$3:$M$578,9,FALSE)</f>
        <v>..</v>
      </c>
      <c r="BQ1151" s="117">
        <f>VLOOKUP($D1151,'WB Data'!$C$3:$M$578,10,FALSE)</f>
        <v>66.037439024390252</v>
      </c>
      <c r="BR1151" s="117">
        <f>VLOOKUP($D1151,'WB Data'!$C$3:$M$578,11,FALSE)</f>
        <v>33.200000000000003</v>
      </c>
      <c r="BS1151" s="129">
        <f>IFERROR(VLOOKUP($D1151,'WB Data 2'!$C$2:$K$545,9,FALSE),"..")</f>
        <v>97.713149999999999</v>
      </c>
      <c r="BT1151" s="129">
        <f>_xlfn.IFNA(VLOOKUP($C1151,RGI!$A$2:$C$43,2,FALSE),"..")</f>
        <v>38.200000000000003</v>
      </c>
      <c r="BU1151" s="129">
        <f>_xlfn.IFNA(VLOOKUP($C1151,RGI!$A$2:$C$43,3,FALSE),"..")</f>
        <v>50.952530108834466</v>
      </c>
      <c r="BV1151" s="129">
        <f>VLOOKUP($D1151,WGI!$C$2:$O$478,7,FALSE)</f>
        <v>0.27221379801301199</v>
      </c>
      <c r="BW1151" s="129">
        <f>VLOOKUP($D1151,WGI!$C$2:$O$478,4,FALSE)</f>
        <v>0.68455134578207599</v>
      </c>
      <c r="BX1151" s="129">
        <f>VLOOKUP($D1151,WGI!$C$2:$O$478,3,FALSE)</f>
        <v>-0.51598351345476101</v>
      </c>
      <c r="BY1151" s="129">
        <f>VLOOKUP($D1151,WGI!$C$2:$O$478,5,FALSE)</f>
        <v>-0.26131593397205599</v>
      </c>
      <c r="BZ1151" s="129">
        <f>VLOOKUP($D1151,WGI!$C$2:$O$478,2,FALSE)</f>
        <v>-0.65614289988955998</v>
      </c>
    </row>
    <row r="1152" spans="1:80" ht="15" customHeight="1">
      <c r="A1152" s="280" t="s">
        <v>367</v>
      </c>
      <c r="B1152" s="117">
        <v>2007</v>
      </c>
      <c r="C1152" s="117" t="s">
        <v>364</v>
      </c>
      <c r="D1152" s="117" t="s">
        <v>3583</v>
      </c>
      <c r="E1152" s="117" t="s">
        <v>244</v>
      </c>
      <c r="F1152" s="117"/>
      <c r="G1152" s="117" t="s">
        <v>24</v>
      </c>
      <c r="H1152" s="117" t="str">
        <f t="shared" si="196"/>
        <v>yes</v>
      </c>
      <c r="I1152" s="117" t="str">
        <f t="shared" si="193"/>
        <v>no</v>
      </c>
      <c r="J1152" s="117" t="str">
        <f t="shared" si="194"/>
        <v>no</v>
      </c>
      <c r="K1152" s="117" t="s">
        <v>789</v>
      </c>
      <c r="L1152" s="117" t="str">
        <f t="shared" si="197"/>
        <v>detailed</v>
      </c>
      <c r="M1152" s="117" t="str">
        <f t="shared" si="195"/>
        <v>detailed Mining</v>
      </c>
      <c r="N1152" s="118">
        <f>28100*32.150743126506</f>
        <v>903435.88185481867</v>
      </c>
      <c r="O1152" s="118"/>
      <c r="P1152" s="118"/>
      <c r="Q1152" s="118"/>
      <c r="R1152" s="118"/>
      <c r="S1152" s="117" t="s">
        <v>785</v>
      </c>
      <c r="T1152" s="119">
        <f>13.391975/1</f>
        <v>13.391975</v>
      </c>
      <c r="U1152" s="117" t="s">
        <v>786</v>
      </c>
      <c r="V1152" s="117" t="s">
        <v>1781</v>
      </c>
      <c r="W1152" s="89">
        <f t="shared" si="199"/>
        <v>12098790.743902685</v>
      </c>
      <c r="X1152" s="117"/>
      <c r="Y1152" s="117"/>
      <c r="Z1152" s="117"/>
      <c r="AA1152" s="89"/>
      <c r="AB1152" s="89"/>
      <c r="AC1152" s="240"/>
      <c r="AD1152" s="240"/>
      <c r="AE1152" s="240"/>
      <c r="AF1152" s="241"/>
      <c r="AG1152" s="117"/>
      <c r="AH1152" s="124"/>
      <c r="AI1152" s="117"/>
      <c r="AJ1152" s="117"/>
      <c r="AK1152" s="89"/>
      <c r="AL1152" s="117"/>
      <c r="AM1152" s="117"/>
      <c r="AN1152" s="117">
        <v>5</v>
      </c>
      <c r="AO1152" s="117" t="s">
        <v>1782</v>
      </c>
      <c r="AP1152" s="117">
        <v>5</v>
      </c>
      <c r="AQ1152" s="117"/>
      <c r="AR1152" s="126"/>
      <c r="AS1152" s="117"/>
      <c r="AT1152" s="117"/>
      <c r="AU1152" s="117"/>
      <c r="AV1152" s="128"/>
      <c r="AW1152" s="117">
        <f>VLOOKUP($D1152,'WB Data'!$C$3:$M$578,2,FALSE)</f>
        <v>4234894168.1565914</v>
      </c>
      <c r="AX1152" s="117">
        <f>VLOOKUP($D1152,'WB Data'!$C$3:$M$578,3,FALSE)</f>
        <v>2595068</v>
      </c>
      <c r="AY1152" s="847">
        <f t="shared" si="189"/>
        <v>0.15125121799178698</v>
      </c>
      <c r="AZ1152" s="117">
        <f>VLOOKUP($D1152,'WB Data'!$C$3:$M$578,4,FALSE)/100</f>
        <v>0.37583292662022821</v>
      </c>
      <c r="BA1152" s="117">
        <f t="shared" si="190"/>
        <v>1591612669.1452286</v>
      </c>
      <c r="BB1152" s="129">
        <f>IFERROR(VLOOKUP($D1152,'EITI Revenues'!$C$2:$G$224,5,FALSE),"..")</f>
        <v>640532901</v>
      </c>
      <c r="BC1152" s="846">
        <f t="shared" si="191"/>
        <v>0.40244270067540772</v>
      </c>
      <c r="BD1152" s="129">
        <f>VLOOKUP($D1152,'WB Data 2'!$C$2:$K$545,6,FALSE)</f>
        <v>1514942994.0192695</v>
      </c>
      <c r="BE1152" s="129">
        <f>IFERROR(VLOOKUP($D1152,UNCTAD!$C$5:$V$529,4,FALSE),"..")</f>
        <v>2532547000</v>
      </c>
      <c r="BF1152" s="846">
        <f t="shared" si="192"/>
        <v>0.59818948829746077</v>
      </c>
      <c r="BG1152" s="117">
        <f>VLOOKUP($D1152,'WB Data'!$C$3:$M$578,5,FALSE)</f>
        <v>238680000</v>
      </c>
      <c r="BH1152" s="129">
        <f>IFERROR($BB1152/$BG1152,"..")</f>
        <v>2.683647146807441</v>
      </c>
      <c r="BI1152" s="117">
        <f>IFERROR(VLOOKUP($D1152,'WB Data'!$C$3:$M$578,7,FALSE)/100,"..")</f>
        <v>4.69013E-2</v>
      </c>
      <c r="BJ1152" s="117">
        <f>IFERROR($BI1152*$AW1152,"..")</f>
        <v>198622041.84896275</v>
      </c>
      <c r="BK1152" s="846">
        <f>IFERROR($BB1152/$BJ1152,"..")</f>
        <v>3.2248832759814112</v>
      </c>
      <c r="BL1152" s="117">
        <f>IFERROR(VLOOKUP($D1152,'WB Data'!$C$3:$M$578,7,FALSE)/100,"..")</f>
        <v>4.69013E-2</v>
      </c>
      <c r="BM1152" s="117">
        <f>IFERROR($AW1152*$BL1152,"..")</f>
        <v>198622041.84896275</v>
      </c>
      <c r="BN1152" s="846">
        <f>IFERROR($BB1152/$BM1152,"..")</f>
        <v>3.2248832759814112</v>
      </c>
      <c r="BO1152" s="801">
        <f t="shared" si="188"/>
        <v>39</v>
      </c>
      <c r="BP1152" s="117" t="str">
        <f>VLOOKUP($D1152,'WB Data'!$C$3:$M$578,9,FALSE)</f>
        <v>..</v>
      </c>
      <c r="BQ1152" s="117">
        <f>VLOOKUP($D1152,'WB Data'!$C$3:$M$578,10,FALSE)</f>
        <v>66.037439024390252</v>
      </c>
      <c r="BR1152" s="117">
        <f>VLOOKUP($D1152,'WB Data'!$C$3:$M$578,11,FALSE)</f>
        <v>33.200000000000003</v>
      </c>
      <c r="BS1152" s="129">
        <f>IFERROR(VLOOKUP($D1152,'WB Data 2'!$C$2:$K$545,9,FALSE),"..")</f>
        <v>97.713149999999999</v>
      </c>
      <c r="BT1152" s="129">
        <f>_xlfn.IFNA(VLOOKUP($C1152,RGI!$A$2:$C$43,2,FALSE),"..")</f>
        <v>38.200000000000003</v>
      </c>
      <c r="BU1152" s="129">
        <f>_xlfn.IFNA(VLOOKUP($C1152,RGI!$A$2:$C$43,3,FALSE),"..")</f>
        <v>50.952530108834466</v>
      </c>
      <c r="BV1152" s="129">
        <f>VLOOKUP($D1152,WGI!$C$2:$O$478,7,FALSE)</f>
        <v>0.27221379801301199</v>
      </c>
      <c r="BW1152" s="129">
        <f>VLOOKUP($D1152,WGI!$C$2:$O$478,4,FALSE)</f>
        <v>0.68455134578207599</v>
      </c>
      <c r="BX1152" s="129">
        <f>VLOOKUP($D1152,WGI!$C$2:$O$478,3,FALSE)</f>
        <v>-0.51598351345476101</v>
      </c>
      <c r="BY1152" s="129">
        <f>VLOOKUP($D1152,WGI!$C$2:$O$478,5,FALSE)</f>
        <v>-0.26131593397205599</v>
      </c>
      <c r="BZ1152" s="129">
        <f>VLOOKUP($D1152,WGI!$C$2:$O$478,2,FALSE)</f>
        <v>-0.65614289988955998</v>
      </c>
    </row>
    <row r="1153" spans="1:80" ht="15" customHeight="1">
      <c r="A1153" s="280" t="s">
        <v>367</v>
      </c>
      <c r="B1153" s="117">
        <v>2007</v>
      </c>
      <c r="C1153" s="117" t="s">
        <v>364</v>
      </c>
      <c r="D1153" s="117" t="s">
        <v>3583</v>
      </c>
      <c r="E1153" s="117" t="s">
        <v>244</v>
      </c>
      <c r="F1153" s="117"/>
      <c r="G1153" s="117" t="s">
        <v>24</v>
      </c>
      <c r="H1153" s="117" t="str">
        <f t="shared" si="196"/>
        <v>yes</v>
      </c>
      <c r="I1153" s="117" t="str">
        <f t="shared" si="193"/>
        <v>no</v>
      </c>
      <c r="J1153" s="117" t="str">
        <f t="shared" si="194"/>
        <v>no</v>
      </c>
      <c r="K1153" s="117" t="s">
        <v>1783</v>
      </c>
      <c r="L1153" s="117" t="str">
        <f t="shared" si="197"/>
        <v>detailed</v>
      </c>
      <c r="M1153" s="117" t="str">
        <f t="shared" si="195"/>
        <v>detailed Mining</v>
      </c>
      <c r="N1153" s="118">
        <v>30</v>
      </c>
      <c r="O1153" s="118"/>
      <c r="P1153" s="118">
        <v>30</v>
      </c>
      <c r="Q1153" s="118"/>
      <c r="R1153" s="118"/>
      <c r="S1153" s="117" t="s">
        <v>610</v>
      </c>
      <c r="T1153" s="186">
        <f>14536.8345</f>
        <v>14536.834500000001</v>
      </c>
      <c r="U1153" s="117" t="s">
        <v>611</v>
      </c>
      <c r="V1153" s="117" t="s">
        <v>1784</v>
      </c>
      <c r="W1153" s="89">
        <f t="shared" si="199"/>
        <v>436105.03500000003</v>
      </c>
      <c r="X1153" s="117"/>
      <c r="Y1153" s="117"/>
      <c r="Z1153" s="117"/>
      <c r="AA1153" s="89"/>
      <c r="AB1153" s="89"/>
      <c r="AC1153" s="240"/>
      <c r="AD1153" s="240"/>
      <c r="AE1153" s="240"/>
      <c r="AF1153" s="241"/>
      <c r="AG1153" s="117"/>
      <c r="AH1153" s="124"/>
      <c r="AI1153" s="117"/>
      <c r="AJ1153" s="117"/>
      <c r="AK1153" s="89"/>
      <c r="AL1153" s="117"/>
      <c r="AM1153" s="117"/>
      <c r="AN1153" s="117"/>
      <c r="AO1153" s="117"/>
      <c r="AP1153" s="117"/>
      <c r="AQ1153" s="117"/>
      <c r="AR1153" s="126"/>
      <c r="AS1153" s="117"/>
      <c r="AT1153" s="117"/>
      <c r="AU1153" s="117"/>
      <c r="AV1153" s="128"/>
      <c r="AW1153" s="117">
        <f>VLOOKUP($D1153,'WB Data'!$C$3:$M$578,2,FALSE)</f>
        <v>4234894168.1565914</v>
      </c>
      <c r="AX1153" s="117">
        <f>VLOOKUP($D1153,'WB Data'!$C$3:$M$578,3,FALSE)</f>
        <v>2595068</v>
      </c>
      <c r="AY1153" s="847">
        <f t="shared" si="189"/>
        <v>0.15125121799178698</v>
      </c>
      <c r="AZ1153" s="117">
        <f>VLOOKUP($D1153,'WB Data'!$C$3:$M$578,4,FALSE)/100</f>
        <v>0.37583292662022821</v>
      </c>
      <c r="BA1153" s="117">
        <f t="shared" si="190"/>
        <v>1591612669.1452286</v>
      </c>
      <c r="BB1153" s="129">
        <f>IFERROR(VLOOKUP($D1153,'EITI Revenues'!$C$2:$G$224,5,FALSE),"..")</f>
        <v>640532901</v>
      </c>
      <c r="BC1153" s="846">
        <f t="shared" si="191"/>
        <v>0.40244270067540772</v>
      </c>
      <c r="BD1153" s="129">
        <f>VLOOKUP($D1153,'WB Data 2'!$C$2:$K$545,6,FALSE)</f>
        <v>1514942994.0192695</v>
      </c>
      <c r="BE1153" s="129">
        <f>IFERROR(VLOOKUP($D1153,UNCTAD!$C$5:$V$529,4,FALSE),"..")</f>
        <v>2532547000</v>
      </c>
      <c r="BF1153" s="846">
        <f t="shared" si="192"/>
        <v>0.59818948829746077</v>
      </c>
      <c r="BG1153" s="117">
        <f>VLOOKUP($D1153,'WB Data'!$C$3:$M$578,5,FALSE)</f>
        <v>238680000</v>
      </c>
      <c r="BH1153" s="129">
        <f>IFERROR($BB1153/$BG1153,"..")</f>
        <v>2.683647146807441</v>
      </c>
      <c r="BI1153" s="117">
        <f>IFERROR(VLOOKUP($D1153,'WB Data'!$C$3:$M$578,7,FALSE)/100,"..")</f>
        <v>4.69013E-2</v>
      </c>
      <c r="BJ1153" s="117">
        <f>IFERROR($BI1153*$AW1153,"..")</f>
        <v>198622041.84896275</v>
      </c>
      <c r="BK1153" s="846">
        <f>IFERROR($BB1153/$BJ1153,"..")</f>
        <v>3.2248832759814112</v>
      </c>
      <c r="BL1153" s="117">
        <f>IFERROR(VLOOKUP($D1153,'WB Data'!$C$3:$M$578,7,FALSE)/100,"..")</f>
        <v>4.69013E-2</v>
      </c>
      <c r="BM1153" s="117">
        <f>IFERROR($AW1153*$BL1153,"..")</f>
        <v>198622041.84896275</v>
      </c>
      <c r="BN1153" s="846">
        <f>IFERROR($BB1153/$BM1153,"..")</f>
        <v>3.2248832759814112</v>
      </c>
      <c r="BO1153" s="801">
        <f t="shared" si="188"/>
        <v>39</v>
      </c>
      <c r="BP1153" s="117" t="str">
        <f>VLOOKUP($D1153,'WB Data'!$C$3:$M$578,9,FALSE)</f>
        <v>..</v>
      </c>
      <c r="BQ1153" s="117">
        <f>VLOOKUP($D1153,'WB Data'!$C$3:$M$578,10,FALSE)</f>
        <v>66.037439024390252</v>
      </c>
      <c r="BR1153" s="117">
        <f>VLOOKUP($D1153,'WB Data'!$C$3:$M$578,11,FALSE)</f>
        <v>33.200000000000003</v>
      </c>
      <c r="BS1153" s="129">
        <f>IFERROR(VLOOKUP($D1153,'WB Data 2'!$C$2:$K$545,9,FALSE),"..")</f>
        <v>97.713149999999999</v>
      </c>
      <c r="BT1153" s="129">
        <f>_xlfn.IFNA(VLOOKUP($C1153,RGI!$A$2:$C$43,2,FALSE),"..")</f>
        <v>38.200000000000003</v>
      </c>
      <c r="BU1153" s="129">
        <f>_xlfn.IFNA(VLOOKUP($C1153,RGI!$A$2:$C$43,3,FALSE),"..")</f>
        <v>50.952530108834466</v>
      </c>
      <c r="BV1153" s="129">
        <f>VLOOKUP($D1153,WGI!$C$2:$O$478,7,FALSE)</f>
        <v>0.27221379801301199</v>
      </c>
      <c r="BW1153" s="129">
        <f>VLOOKUP($D1153,WGI!$C$2:$O$478,4,FALSE)</f>
        <v>0.68455134578207599</v>
      </c>
      <c r="BX1153" s="129">
        <f>VLOOKUP($D1153,WGI!$C$2:$O$478,3,FALSE)</f>
        <v>-0.51598351345476101</v>
      </c>
      <c r="BY1153" s="129">
        <f>VLOOKUP($D1153,WGI!$C$2:$O$478,5,FALSE)</f>
        <v>-0.26131593397205599</v>
      </c>
      <c r="BZ1153" s="129">
        <f>VLOOKUP($D1153,WGI!$C$2:$O$478,2,FALSE)</f>
        <v>-0.65614289988955998</v>
      </c>
    </row>
    <row r="1154" spans="1:80" ht="15" customHeight="1">
      <c r="A1154" s="280" t="s">
        <v>367</v>
      </c>
      <c r="B1154" s="117">
        <v>2007</v>
      </c>
      <c r="C1154" s="117" t="s">
        <v>364</v>
      </c>
      <c r="D1154" s="117" t="s">
        <v>3583</v>
      </c>
      <c r="E1154" s="117" t="s">
        <v>244</v>
      </c>
      <c r="F1154" s="117"/>
      <c r="G1154" s="117" t="s">
        <v>24</v>
      </c>
      <c r="H1154" s="117" t="str">
        <f t="shared" si="196"/>
        <v>yes</v>
      </c>
      <c r="I1154" s="117" t="str">
        <f t="shared" si="193"/>
        <v>no</v>
      </c>
      <c r="J1154" s="117" t="str">
        <f t="shared" si="194"/>
        <v>no</v>
      </c>
      <c r="K1154" s="117" t="s">
        <v>1766</v>
      </c>
      <c r="L1154" s="117" t="str">
        <f t="shared" si="197"/>
        <v>detailed</v>
      </c>
      <c r="M1154" s="117" t="str">
        <f t="shared" si="195"/>
        <v>detailed Mining</v>
      </c>
      <c r="N1154" s="118">
        <v>245</v>
      </c>
      <c r="O1154" s="118"/>
      <c r="P1154" s="118"/>
      <c r="Q1154" s="118"/>
      <c r="R1154" s="118"/>
      <c r="S1154" s="117" t="s">
        <v>610</v>
      </c>
      <c r="T1154" s="119">
        <v>177</v>
      </c>
      <c r="U1154" s="117" t="s">
        <v>611</v>
      </c>
      <c r="V1154" s="117" t="s">
        <v>1767</v>
      </c>
      <c r="W1154" s="89">
        <f t="shared" si="199"/>
        <v>43365</v>
      </c>
      <c r="X1154" s="117"/>
      <c r="Y1154" s="117"/>
      <c r="Z1154" s="117"/>
      <c r="AA1154" s="89"/>
      <c r="AB1154" s="89"/>
      <c r="AC1154" s="240"/>
      <c r="AD1154" s="240"/>
      <c r="AE1154" s="240"/>
      <c r="AF1154" s="241"/>
      <c r="AG1154" s="117"/>
      <c r="AH1154" s="124"/>
      <c r="AI1154" s="117"/>
      <c r="AJ1154" s="117"/>
      <c r="AK1154" s="117"/>
      <c r="AL1154" s="117"/>
      <c r="AM1154" s="117"/>
      <c r="AN1154" s="117"/>
      <c r="AO1154" s="117"/>
      <c r="AP1154" s="117"/>
      <c r="AQ1154" s="117"/>
      <c r="AR1154" s="126"/>
      <c r="AS1154" s="117"/>
      <c r="AT1154" s="117"/>
      <c r="AU1154" s="117"/>
      <c r="AV1154" s="128"/>
      <c r="AW1154" s="117">
        <f>VLOOKUP($D1154,'WB Data'!$C$3:$M$578,2,FALSE)</f>
        <v>4234894168.1565914</v>
      </c>
      <c r="AX1154" s="117">
        <f>VLOOKUP($D1154,'WB Data'!$C$3:$M$578,3,FALSE)</f>
        <v>2595068</v>
      </c>
      <c r="AY1154" s="847">
        <f t="shared" si="189"/>
        <v>0.15125121799178698</v>
      </c>
      <c r="AZ1154" s="117">
        <f>VLOOKUP($D1154,'WB Data'!$C$3:$M$578,4,FALSE)/100</f>
        <v>0.37583292662022821</v>
      </c>
      <c r="BA1154" s="117">
        <f t="shared" si="190"/>
        <v>1591612669.1452286</v>
      </c>
      <c r="BB1154" s="129">
        <f>IFERROR(VLOOKUP($D1154,'EITI Revenues'!$C$2:$G$224,5,FALSE),"..")</f>
        <v>640532901</v>
      </c>
      <c r="BC1154" s="846">
        <f t="shared" si="191"/>
        <v>0.40244270067540772</v>
      </c>
      <c r="BD1154" s="129">
        <f>VLOOKUP($D1154,'WB Data 2'!$C$2:$K$545,6,FALSE)</f>
        <v>1514942994.0192695</v>
      </c>
      <c r="BE1154" s="129">
        <f>IFERROR(VLOOKUP($D1154,UNCTAD!$C$5:$V$529,4,FALSE),"..")</f>
        <v>2532547000</v>
      </c>
      <c r="BF1154" s="846">
        <f t="shared" si="192"/>
        <v>0.59818948829746077</v>
      </c>
      <c r="BG1154" s="117">
        <f>VLOOKUP($D1154,'WB Data'!$C$3:$M$578,5,FALSE)</f>
        <v>238680000</v>
      </c>
      <c r="BH1154" s="129">
        <f>IFERROR($BB1154/$BG1154,"..")</f>
        <v>2.683647146807441</v>
      </c>
      <c r="BI1154" s="117">
        <f>IFERROR(VLOOKUP($D1154,'WB Data'!$C$3:$M$578,7,FALSE)/100,"..")</f>
        <v>4.69013E-2</v>
      </c>
      <c r="BJ1154" s="117">
        <f>IFERROR($BI1154*$AW1154,"..")</f>
        <v>198622041.84896275</v>
      </c>
      <c r="BK1154" s="846">
        <f>IFERROR($BB1154/$BJ1154,"..")</f>
        <v>3.2248832759814112</v>
      </c>
      <c r="BL1154" s="117">
        <f>IFERROR(VLOOKUP($D1154,'WB Data'!$C$3:$M$578,7,FALSE)/100,"..")</f>
        <v>4.69013E-2</v>
      </c>
      <c r="BM1154" s="117">
        <f>IFERROR($AW1154*$BL1154,"..")</f>
        <v>198622041.84896275</v>
      </c>
      <c r="BN1154" s="846">
        <f>IFERROR($BB1154/$BM1154,"..")</f>
        <v>3.2248832759814112</v>
      </c>
      <c r="BO1154" s="801">
        <f t="shared" ref="BO1154:BO1217" si="200">_xlfn.IFNA(VLOOKUP($C1154,CPI_2013,2,FALSE),"..")</f>
        <v>39</v>
      </c>
      <c r="BP1154" s="117" t="str">
        <f>VLOOKUP($D1154,'WB Data'!$C$3:$M$578,9,FALSE)</f>
        <v>..</v>
      </c>
      <c r="BQ1154" s="117">
        <f>VLOOKUP($D1154,'WB Data'!$C$3:$M$578,10,FALSE)</f>
        <v>66.037439024390252</v>
      </c>
      <c r="BR1154" s="117">
        <f>VLOOKUP($D1154,'WB Data'!$C$3:$M$578,11,FALSE)</f>
        <v>33.200000000000003</v>
      </c>
      <c r="BS1154" s="129">
        <f>IFERROR(VLOOKUP($D1154,'WB Data 2'!$C$2:$K$545,9,FALSE),"..")</f>
        <v>97.713149999999999</v>
      </c>
      <c r="BT1154" s="129">
        <f>_xlfn.IFNA(VLOOKUP($C1154,RGI!$A$2:$C$43,2,FALSE),"..")</f>
        <v>38.200000000000003</v>
      </c>
      <c r="BU1154" s="129">
        <f>_xlfn.IFNA(VLOOKUP($C1154,RGI!$A$2:$C$43,3,FALSE),"..")</f>
        <v>50.952530108834466</v>
      </c>
      <c r="BV1154" s="129">
        <f>VLOOKUP($D1154,WGI!$C$2:$O$478,7,FALSE)</f>
        <v>0.27221379801301199</v>
      </c>
      <c r="BW1154" s="129">
        <f>VLOOKUP($D1154,WGI!$C$2:$O$478,4,FALSE)</f>
        <v>0.68455134578207599</v>
      </c>
      <c r="BX1154" s="129">
        <f>VLOOKUP($D1154,WGI!$C$2:$O$478,3,FALSE)</f>
        <v>-0.51598351345476101</v>
      </c>
      <c r="BY1154" s="129">
        <f>VLOOKUP($D1154,WGI!$C$2:$O$478,5,FALSE)</f>
        <v>-0.26131593397205599</v>
      </c>
      <c r="BZ1154" s="129">
        <f>VLOOKUP($D1154,WGI!$C$2:$O$478,2,FALSE)</f>
        <v>-0.65614289988955998</v>
      </c>
    </row>
    <row r="1155" spans="1:80" ht="15" customHeight="1">
      <c r="A1155" s="280" t="s">
        <v>367</v>
      </c>
      <c r="B1155" s="117">
        <v>2007</v>
      </c>
      <c r="C1155" s="117" t="s">
        <v>364</v>
      </c>
      <c r="D1155" s="117" t="s">
        <v>3583</v>
      </c>
      <c r="E1155" s="117" t="s">
        <v>244</v>
      </c>
      <c r="F1155" s="117"/>
      <c r="G1155" s="117" t="s">
        <v>24</v>
      </c>
      <c r="H1155" s="117" t="str">
        <f t="shared" si="196"/>
        <v>yes</v>
      </c>
      <c r="I1155" s="117" t="str">
        <f t="shared" si="193"/>
        <v>no</v>
      </c>
      <c r="J1155" s="117" t="str">
        <f t="shared" si="194"/>
        <v>no</v>
      </c>
      <c r="K1155" s="117" t="s">
        <v>849</v>
      </c>
      <c r="L1155" s="117" t="str">
        <f t="shared" si="197"/>
        <v>detailed</v>
      </c>
      <c r="M1155" s="117" t="str">
        <f t="shared" si="195"/>
        <v>detailed Mining</v>
      </c>
      <c r="N1155" s="118">
        <v>154700</v>
      </c>
      <c r="O1155" s="118"/>
      <c r="P1155" s="118">
        <v>154700</v>
      </c>
      <c r="Q1155" s="118"/>
      <c r="R1155" s="118"/>
      <c r="S1155" s="117" t="s">
        <v>610</v>
      </c>
      <c r="T1155" s="186">
        <f>3242.35758333333*0.5071</f>
        <v>1644.1995305083315</v>
      </c>
      <c r="U1155" s="117" t="s">
        <v>611</v>
      </c>
      <c r="V1155" s="117" t="s">
        <v>1769</v>
      </c>
      <c r="W1155" s="89">
        <f t="shared" si="199"/>
        <v>254357667.36963889</v>
      </c>
      <c r="X1155" s="117"/>
      <c r="Y1155" s="117"/>
      <c r="Z1155" s="117"/>
      <c r="AA1155" s="89"/>
      <c r="AB1155" s="89"/>
      <c r="AC1155" s="240"/>
      <c r="AD1155" s="240"/>
      <c r="AE1155" s="240"/>
      <c r="AF1155" s="241"/>
      <c r="AG1155" s="117"/>
      <c r="AH1155" s="124"/>
      <c r="AI1155" s="117"/>
      <c r="AJ1155" s="117"/>
      <c r="AK1155" s="89"/>
      <c r="AL1155" s="117"/>
      <c r="AM1155" s="117"/>
      <c r="AN1155" s="117">
        <v>3</v>
      </c>
      <c r="AO1155" s="117" t="s">
        <v>1785</v>
      </c>
      <c r="AP1155" s="117">
        <v>3</v>
      </c>
      <c r="AQ1155" s="117"/>
      <c r="AR1155" s="126"/>
      <c r="AS1155" s="117"/>
      <c r="AT1155" s="117"/>
      <c r="AU1155" s="117"/>
      <c r="AV1155" s="128"/>
      <c r="AW1155" s="117">
        <f>VLOOKUP($D1155,'WB Data'!$C$3:$M$578,2,FALSE)</f>
        <v>4234894168.1565914</v>
      </c>
      <c r="AX1155" s="117">
        <f>VLOOKUP($D1155,'WB Data'!$C$3:$M$578,3,FALSE)</f>
        <v>2595068</v>
      </c>
      <c r="AY1155" s="847">
        <f t="shared" ref="AY1155:AY1218" si="201">IFERROR($BB1155/$AW1155,"..")</f>
        <v>0.15125121799178698</v>
      </c>
      <c r="AZ1155" s="117">
        <f>VLOOKUP($D1155,'WB Data'!$C$3:$M$578,4,FALSE)/100</f>
        <v>0.37583292662022821</v>
      </c>
      <c r="BA1155" s="117">
        <f t="shared" ref="BA1155:BA1218" si="202">IFERROR($AW1155*$AZ1155,"..")</f>
        <v>1591612669.1452286</v>
      </c>
      <c r="BB1155" s="129">
        <f>IFERROR(VLOOKUP($D1155,'EITI Revenues'!$C$2:$G$224,5,FALSE),"..")</f>
        <v>640532901</v>
      </c>
      <c r="BC1155" s="846">
        <f t="shared" ref="BC1155:BC1218" si="203">IFERROR($BB1155/$BA1155,"..")</f>
        <v>0.40244270067540772</v>
      </c>
      <c r="BD1155" s="129">
        <f>VLOOKUP($D1155,'WB Data 2'!$C$2:$K$545,6,FALSE)</f>
        <v>1514942994.0192695</v>
      </c>
      <c r="BE1155" s="129">
        <f>IFERROR(VLOOKUP($D1155,UNCTAD!$C$5:$V$529,4,FALSE),"..")</f>
        <v>2532547000</v>
      </c>
      <c r="BF1155" s="846">
        <f t="shared" ref="BF1155:BF1218" si="204">IFERROR(($BD1155/$BE1155),"..")</f>
        <v>0.59818948829746077</v>
      </c>
      <c r="BG1155" s="117">
        <f>VLOOKUP($D1155,'WB Data'!$C$3:$M$578,5,FALSE)</f>
        <v>238680000</v>
      </c>
      <c r="BH1155" s="129">
        <f>IFERROR($BB1155/$BG1155,"..")</f>
        <v>2.683647146807441</v>
      </c>
      <c r="BI1155" s="117">
        <f>IFERROR(VLOOKUP($D1155,'WB Data'!$C$3:$M$578,7,FALSE)/100,"..")</f>
        <v>4.69013E-2</v>
      </c>
      <c r="BJ1155" s="117">
        <f>IFERROR($BI1155*$AW1155,"..")</f>
        <v>198622041.84896275</v>
      </c>
      <c r="BK1155" s="846">
        <f>IFERROR($BB1155/$BJ1155,"..")</f>
        <v>3.2248832759814112</v>
      </c>
      <c r="BL1155" s="117">
        <f>IFERROR(VLOOKUP($D1155,'WB Data'!$C$3:$M$578,7,FALSE)/100,"..")</f>
        <v>4.69013E-2</v>
      </c>
      <c r="BM1155" s="117">
        <f>IFERROR($AW1155*$BL1155,"..")</f>
        <v>198622041.84896275</v>
      </c>
      <c r="BN1155" s="846">
        <f>IFERROR($BB1155/$BM1155,"..")</f>
        <v>3.2248832759814112</v>
      </c>
      <c r="BO1155" s="801">
        <f t="shared" si="200"/>
        <v>39</v>
      </c>
      <c r="BP1155" s="117" t="str">
        <f>VLOOKUP($D1155,'WB Data'!$C$3:$M$578,9,FALSE)</f>
        <v>..</v>
      </c>
      <c r="BQ1155" s="117">
        <f>VLOOKUP($D1155,'WB Data'!$C$3:$M$578,10,FALSE)</f>
        <v>66.037439024390252</v>
      </c>
      <c r="BR1155" s="117">
        <f>VLOOKUP($D1155,'WB Data'!$C$3:$M$578,11,FALSE)</f>
        <v>33.200000000000003</v>
      </c>
      <c r="BS1155" s="129">
        <f>IFERROR(VLOOKUP($D1155,'WB Data 2'!$C$2:$K$545,9,FALSE),"..")</f>
        <v>97.713149999999999</v>
      </c>
      <c r="BT1155" s="129">
        <f>_xlfn.IFNA(VLOOKUP($C1155,RGI!$A$2:$C$43,2,FALSE),"..")</f>
        <v>38.200000000000003</v>
      </c>
      <c r="BU1155" s="129">
        <f>_xlfn.IFNA(VLOOKUP($C1155,RGI!$A$2:$C$43,3,FALSE),"..")</f>
        <v>50.952530108834466</v>
      </c>
      <c r="BV1155" s="129">
        <f>VLOOKUP($D1155,WGI!$C$2:$O$478,7,FALSE)</f>
        <v>0.27221379801301199</v>
      </c>
      <c r="BW1155" s="129">
        <f>VLOOKUP($D1155,WGI!$C$2:$O$478,4,FALSE)</f>
        <v>0.68455134578207599</v>
      </c>
      <c r="BX1155" s="129">
        <f>VLOOKUP($D1155,WGI!$C$2:$O$478,3,FALSE)</f>
        <v>-0.51598351345476101</v>
      </c>
      <c r="BY1155" s="129">
        <f>VLOOKUP($D1155,WGI!$C$2:$O$478,5,FALSE)</f>
        <v>-0.26131593397205599</v>
      </c>
      <c r="BZ1155" s="129">
        <f>VLOOKUP($D1155,WGI!$C$2:$O$478,2,FALSE)</f>
        <v>-0.65614289988955998</v>
      </c>
    </row>
    <row r="1156" spans="1:80" s="144" customFormat="1" ht="15" customHeight="1">
      <c r="A1156" s="279" t="s">
        <v>370</v>
      </c>
      <c r="B1156" s="132">
        <v>2008</v>
      </c>
      <c r="C1156" s="132" t="s">
        <v>364</v>
      </c>
      <c r="D1156" s="117" t="s">
        <v>3617</v>
      </c>
      <c r="E1156" s="132" t="s">
        <v>244</v>
      </c>
      <c r="F1156" s="132" t="s">
        <v>1745</v>
      </c>
      <c r="G1156" s="132" t="s">
        <v>41</v>
      </c>
      <c r="H1156" s="117" t="str">
        <f t="shared" si="196"/>
        <v>yes</v>
      </c>
      <c r="I1156" s="117" t="str">
        <f t="shared" si="193"/>
        <v>no</v>
      </c>
      <c r="J1156" s="117" t="str">
        <f t="shared" si="194"/>
        <v>yes</v>
      </c>
      <c r="K1156" s="132" t="s">
        <v>709</v>
      </c>
      <c r="L1156" s="117" t="str">
        <f t="shared" si="197"/>
        <v>Total</v>
      </c>
      <c r="M1156" s="117" t="str">
        <f t="shared" si="195"/>
        <v>Total Oil, Mining</v>
      </c>
      <c r="N1156" s="133"/>
      <c r="O1156" s="133"/>
      <c r="P1156" s="133"/>
      <c r="Q1156" s="133"/>
      <c r="R1156" s="133"/>
      <c r="S1156" s="132"/>
      <c r="T1156" s="134"/>
      <c r="U1156" s="132"/>
      <c r="V1156" s="132"/>
      <c r="W1156" s="135">
        <f>W1157+W1158</f>
        <v>1942391715.3032022</v>
      </c>
      <c r="X1156" s="132" t="s">
        <v>1179</v>
      </c>
      <c r="Y1156" s="132" t="s">
        <v>663</v>
      </c>
      <c r="Z1156" s="132" t="s">
        <v>664</v>
      </c>
      <c r="AA1156" s="598">
        <v>587942636</v>
      </c>
      <c r="AB1156" s="598">
        <v>588887191.39999998</v>
      </c>
      <c r="AC1156" s="599"/>
      <c r="AD1156" s="599"/>
      <c r="AE1156" s="599"/>
      <c r="AF1156" s="600">
        <f>AA1156/W1156</f>
        <v>0.30269004514788289</v>
      </c>
      <c r="AG1156" s="132" t="s">
        <v>1747</v>
      </c>
      <c r="AH1156" s="140">
        <v>1165</v>
      </c>
      <c r="AI1156" s="132" t="s">
        <v>605</v>
      </c>
      <c r="AJ1156" s="132" t="s">
        <v>943</v>
      </c>
      <c r="AK1156" s="132" t="s">
        <v>943</v>
      </c>
      <c r="AL1156" s="132"/>
      <c r="AM1156" s="132"/>
      <c r="AN1156" s="132">
        <v>46</v>
      </c>
      <c r="AO1156" s="132" t="s">
        <v>1786</v>
      </c>
      <c r="AP1156" s="132">
        <v>46</v>
      </c>
      <c r="AQ1156" s="346" t="s">
        <v>371</v>
      </c>
      <c r="AR1156" s="141">
        <v>41902</v>
      </c>
      <c r="AS1156" s="132" t="s">
        <v>1787</v>
      </c>
      <c r="AT1156" s="132" t="s">
        <v>372</v>
      </c>
      <c r="AU1156" s="132">
        <v>9</v>
      </c>
      <c r="AV1156" s="143" t="s">
        <v>1788</v>
      </c>
      <c r="AW1156" s="117">
        <f>VLOOKUP($D1156,'WB Data'!$C$3:$M$578,2,FALSE)</f>
        <v>5623236707.5247135</v>
      </c>
      <c r="AX1156" s="117">
        <f>VLOOKUP($D1156,'WB Data'!$C$3:$M$578,3,FALSE)</f>
        <v>2632834</v>
      </c>
      <c r="AY1156" s="847">
        <f t="shared" si="201"/>
        <v>0.10455591087126863</v>
      </c>
      <c r="AZ1156" s="117">
        <f>VLOOKUP($D1156,'WB Data'!$C$3:$M$578,4,FALSE)/100</f>
        <v>0.30815973634446686</v>
      </c>
      <c r="BA1156" s="117">
        <f t="shared" si="202"/>
        <v>1732855141.1933436</v>
      </c>
      <c r="BB1156" s="129">
        <f>IFERROR(VLOOKUP($D1156,'EITI Revenues'!$C$2:$G$224,5,FALSE),"..")</f>
        <v>587942636</v>
      </c>
      <c r="BC1156" s="846">
        <f t="shared" si="203"/>
        <v>0.33929127832064998</v>
      </c>
      <c r="BD1156" s="129" t="str">
        <f>VLOOKUP($D1156,'WB Data 2'!$C$2:$K$545,6,FALSE)</f>
        <v>..</v>
      </c>
      <c r="BE1156" s="129">
        <f>IFERROR(VLOOKUP($D1156,UNCTAD!$C$5:$V$529,4,FALSE),"..")</f>
        <v>3028517000</v>
      </c>
      <c r="BF1156" s="846" t="str">
        <f t="shared" si="204"/>
        <v>..</v>
      </c>
      <c r="BG1156" s="117">
        <f>VLOOKUP($D1156,'WB Data'!$C$3:$M$578,5,FALSE)</f>
        <v>246660000</v>
      </c>
      <c r="BH1156" s="129">
        <f>IFERROR($BB1156/$BG1156,"..")</f>
        <v>2.3836156490715967</v>
      </c>
      <c r="BI1156" s="117" t="str">
        <f>IFERROR(VLOOKUP($D1156,'WB Data'!$C$3:$M$578,7,FALSE)/100,"..")</f>
        <v>..</v>
      </c>
      <c r="BJ1156" s="117" t="str">
        <f>IFERROR($BI1156*$AW1156,"..")</f>
        <v>..</v>
      </c>
      <c r="BK1156" s="846" t="str">
        <f>IFERROR($BB1156/$BJ1156,"..")</f>
        <v>..</v>
      </c>
      <c r="BL1156" s="117" t="str">
        <f>IFERROR(VLOOKUP($D1156,'WB Data'!$C$3:$M$578,7,FALSE)/100,"..")</f>
        <v>..</v>
      </c>
      <c r="BM1156" s="117" t="str">
        <f>IFERROR($AW1156*$BL1156,"..")</f>
        <v>..</v>
      </c>
      <c r="BN1156" s="846" t="str">
        <f>IFERROR($BB1156/$BM1156,"..")</f>
        <v>..</v>
      </c>
      <c r="BO1156" s="801">
        <f t="shared" si="200"/>
        <v>39</v>
      </c>
      <c r="BP1156" s="117" t="str">
        <f>VLOOKUP($D1156,'WB Data'!$C$3:$M$578,9,FALSE)</f>
        <v>..</v>
      </c>
      <c r="BQ1156" s="117">
        <f>VLOOKUP($D1156,'WB Data'!$C$3:$M$578,10,FALSE)</f>
        <v>66.357121951219526</v>
      </c>
      <c r="BR1156" s="117">
        <f>VLOOKUP($D1156,'WB Data'!$C$3:$M$578,11,FALSE)</f>
        <v>31.7</v>
      </c>
      <c r="BS1156" s="129">
        <f>IFERROR(VLOOKUP($D1156,'WB Data 2'!$C$2:$K$545,9,FALSE),"..")</f>
        <v>99.345010000000002</v>
      </c>
      <c r="BT1156" s="129">
        <f>_xlfn.IFNA(VLOOKUP($C1156,RGI!$A$2:$C$43,2,FALSE),"..")</f>
        <v>38.200000000000003</v>
      </c>
      <c r="BU1156" s="129">
        <f>_xlfn.IFNA(VLOOKUP($C1156,RGI!$A$2:$C$43,3,FALSE),"..")</f>
        <v>50.952530108834466</v>
      </c>
      <c r="BV1156" s="129">
        <f>VLOOKUP($D1156,WGI!$C$2:$O$478,7,FALSE)</f>
        <v>0.238763706301584</v>
      </c>
      <c r="BW1156" s="129">
        <f>VLOOKUP($D1156,WGI!$C$2:$O$478,4,FALSE)</f>
        <v>0.57387371965939205</v>
      </c>
      <c r="BX1156" s="129">
        <f>VLOOKUP($D1156,WGI!$C$2:$O$478,3,FALSE)</f>
        <v>-0.51769434986029705</v>
      </c>
      <c r="BY1156" s="129">
        <f>VLOOKUP($D1156,WGI!$C$2:$O$478,5,FALSE)</f>
        <v>-0.333893375310926</v>
      </c>
      <c r="BZ1156" s="129">
        <f>VLOOKUP($D1156,WGI!$C$2:$O$478,2,FALSE)</f>
        <v>-0.66609296947146002</v>
      </c>
      <c r="CB1156" s="129"/>
    </row>
    <row r="1157" spans="1:80" s="120" customFormat="1" ht="15" customHeight="1">
      <c r="A1157" s="280" t="s">
        <v>370</v>
      </c>
      <c r="B1157" s="117">
        <v>2008</v>
      </c>
      <c r="C1157" s="117" t="s">
        <v>364</v>
      </c>
      <c r="D1157" s="117" t="s">
        <v>3617</v>
      </c>
      <c r="E1157" s="117" t="s">
        <v>244</v>
      </c>
      <c r="F1157" s="117"/>
      <c r="G1157" s="117" t="s">
        <v>103</v>
      </c>
      <c r="H1157" s="117" t="str">
        <f t="shared" si="196"/>
        <v>no</v>
      </c>
      <c r="I1157" s="117" t="str">
        <f t="shared" si="193"/>
        <v>no</v>
      </c>
      <c r="J1157" s="117" t="str">
        <f t="shared" si="194"/>
        <v>yes</v>
      </c>
      <c r="K1157" s="117" t="s">
        <v>103</v>
      </c>
      <c r="L1157" s="117" t="str">
        <f t="shared" si="197"/>
        <v>detailed</v>
      </c>
      <c r="M1157" s="117" t="str">
        <f t="shared" si="195"/>
        <v>detailed Oil</v>
      </c>
      <c r="N1157" s="118">
        <v>2044000</v>
      </c>
      <c r="O1157" s="118"/>
      <c r="P1157" s="118">
        <v>2044000</v>
      </c>
      <c r="Q1157" s="118"/>
      <c r="R1157" s="118"/>
      <c r="S1157" s="117" t="s">
        <v>646</v>
      </c>
      <c r="T1157" s="119">
        <f>98.2715934*0.9219</f>
        <v>90.59658195546001</v>
      </c>
      <c r="U1157" s="117" t="s">
        <v>673</v>
      </c>
      <c r="V1157" s="117" t="s">
        <v>1789</v>
      </c>
      <c r="W1157" s="89">
        <f>N1157*T1157</f>
        <v>185179413.51696026</v>
      </c>
      <c r="X1157" s="117"/>
      <c r="Y1157" s="117"/>
      <c r="Z1157" s="117"/>
      <c r="AA1157" s="89">
        <v>24501473.81974249</v>
      </c>
      <c r="AB1157" s="89">
        <v>24501473.81974249</v>
      </c>
      <c r="AC1157" s="240"/>
      <c r="AD1157" s="240"/>
      <c r="AE1157" s="240"/>
      <c r="AF1157" s="241">
        <f>AA1157/W1157</f>
        <v>0.1323120823983949</v>
      </c>
      <c r="AG1157" s="117"/>
      <c r="AH1157" s="124"/>
      <c r="AI1157" s="117"/>
      <c r="AJ1157" s="117"/>
      <c r="AK1157" s="117"/>
      <c r="AL1157" s="117"/>
      <c r="AM1157" s="117"/>
      <c r="AN1157" s="117">
        <v>1</v>
      </c>
      <c r="AO1157" s="117" t="s">
        <v>1752</v>
      </c>
      <c r="AP1157" s="117">
        <v>1</v>
      </c>
      <c r="AQ1157" s="117"/>
      <c r="AR1157" s="126"/>
      <c r="AS1157" s="117"/>
      <c r="AT1157" s="117"/>
      <c r="AU1157" s="117">
        <v>16</v>
      </c>
      <c r="AV1157" s="128"/>
      <c r="AW1157" s="117">
        <f>VLOOKUP($D1157,'WB Data'!$C$3:$M$578,2,FALSE)</f>
        <v>5623236707.5247135</v>
      </c>
      <c r="AX1157" s="117">
        <f>VLOOKUP($D1157,'WB Data'!$C$3:$M$578,3,FALSE)</f>
        <v>2632834</v>
      </c>
      <c r="AY1157" s="847">
        <f t="shared" si="201"/>
        <v>0.10455591087126863</v>
      </c>
      <c r="AZ1157" s="117">
        <f>VLOOKUP($D1157,'WB Data'!$C$3:$M$578,4,FALSE)/100</f>
        <v>0.30815973634446686</v>
      </c>
      <c r="BA1157" s="117">
        <f t="shared" si="202"/>
        <v>1732855141.1933436</v>
      </c>
      <c r="BB1157" s="129">
        <f>IFERROR(VLOOKUP($D1157,'EITI Revenues'!$C$2:$G$224,5,FALSE),"..")</f>
        <v>587942636</v>
      </c>
      <c r="BC1157" s="846">
        <f t="shared" si="203"/>
        <v>0.33929127832064998</v>
      </c>
      <c r="BD1157" s="129" t="str">
        <f>VLOOKUP($D1157,'WB Data 2'!$C$2:$K$545,6,FALSE)</f>
        <v>..</v>
      </c>
      <c r="BE1157" s="129">
        <f>IFERROR(VLOOKUP($D1157,UNCTAD!$C$5:$V$529,4,FALSE),"..")</f>
        <v>3028517000</v>
      </c>
      <c r="BF1157" s="846" t="str">
        <f t="shared" si="204"/>
        <v>..</v>
      </c>
      <c r="BG1157" s="117">
        <f>VLOOKUP($D1157,'WB Data'!$C$3:$M$578,5,FALSE)</f>
        <v>246660000</v>
      </c>
      <c r="BH1157" s="129">
        <f>IFERROR($BB1157/$BG1157,"..")</f>
        <v>2.3836156490715967</v>
      </c>
      <c r="BI1157" s="117" t="str">
        <f>IFERROR(VLOOKUP($D1157,'WB Data'!$C$3:$M$578,7,FALSE)/100,"..")</f>
        <v>..</v>
      </c>
      <c r="BJ1157" s="117" t="str">
        <f>IFERROR($BI1157*$AW1157,"..")</f>
        <v>..</v>
      </c>
      <c r="BK1157" s="846" t="str">
        <f>IFERROR($BB1157/$BJ1157,"..")</f>
        <v>..</v>
      </c>
      <c r="BL1157" s="117" t="str">
        <f>IFERROR(VLOOKUP($D1157,'WB Data'!$C$3:$M$578,7,FALSE)/100,"..")</f>
        <v>..</v>
      </c>
      <c r="BM1157" s="117" t="str">
        <f>IFERROR($AW1157*$BL1157,"..")</f>
        <v>..</v>
      </c>
      <c r="BN1157" s="846" t="str">
        <f>IFERROR($BB1157/$BM1157,"..")</f>
        <v>..</v>
      </c>
      <c r="BO1157" s="801">
        <f t="shared" si="200"/>
        <v>39</v>
      </c>
      <c r="BP1157" s="117" t="str">
        <f>VLOOKUP($D1157,'WB Data'!$C$3:$M$578,9,FALSE)</f>
        <v>..</v>
      </c>
      <c r="BQ1157" s="117">
        <f>VLOOKUP($D1157,'WB Data'!$C$3:$M$578,10,FALSE)</f>
        <v>66.357121951219526</v>
      </c>
      <c r="BR1157" s="117">
        <f>VLOOKUP($D1157,'WB Data'!$C$3:$M$578,11,FALSE)</f>
        <v>31.7</v>
      </c>
      <c r="BS1157" s="129">
        <f>IFERROR(VLOOKUP($D1157,'WB Data 2'!$C$2:$K$545,9,FALSE),"..")</f>
        <v>99.345010000000002</v>
      </c>
      <c r="BT1157" s="129">
        <f>_xlfn.IFNA(VLOOKUP($C1157,RGI!$A$2:$C$43,2,FALSE),"..")</f>
        <v>38.200000000000003</v>
      </c>
      <c r="BU1157" s="129">
        <f>_xlfn.IFNA(VLOOKUP($C1157,RGI!$A$2:$C$43,3,FALSE),"..")</f>
        <v>50.952530108834466</v>
      </c>
      <c r="BV1157" s="129">
        <f>VLOOKUP($D1157,WGI!$C$2:$O$478,7,FALSE)</f>
        <v>0.238763706301584</v>
      </c>
      <c r="BW1157" s="129">
        <f>VLOOKUP($D1157,WGI!$C$2:$O$478,4,FALSE)</f>
        <v>0.57387371965939205</v>
      </c>
      <c r="BX1157" s="129">
        <f>VLOOKUP($D1157,WGI!$C$2:$O$478,3,FALSE)</f>
        <v>-0.51769434986029705</v>
      </c>
      <c r="BY1157" s="129">
        <f>VLOOKUP($D1157,WGI!$C$2:$O$478,5,FALSE)</f>
        <v>-0.333893375310926</v>
      </c>
      <c r="BZ1157" s="129">
        <f>VLOOKUP($D1157,WGI!$C$2:$O$478,2,FALSE)</f>
        <v>-0.66609296947146002</v>
      </c>
      <c r="CB1157" s="129"/>
    </row>
    <row r="1158" spans="1:80" s="120" customFormat="1" ht="15" customHeight="1">
      <c r="A1158" s="280" t="s">
        <v>370</v>
      </c>
      <c r="B1158" s="117">
        <v>2008</v>
      </c>
      <c r="C1158" s="117" t="s">
        <v>364</v>
      </c>
      <c r="D1158" s="117" t="s">
        <v>3617</v>
      </c>
      <c r="E1158" s="117" t="s">
        <v>244</v>
      </c>
      <c r="F1158" s="117"/>
      <c r="G1158" s="117" t="s">
        <v>24</v>
      </c>
      <c r="H1158" s="117" t="str">
        <f t="shared" si="196"/>
        <v>yes</v>
      </c>
      <c r="I1158" s="117" t="str">
        <f t="shared" si="193"/>
        <v>no</v>
      </c>
      <c r="J1158" s="117" t="str">
        <f t="shared" si="194"/>
        <v>no</v>
      </c>
      <c r="K1158" s="117" t="s">
        <v>600</v>
      </c>
      <c r="L1158" s="117" t="str">
        <f t="shared" si="197"/>
        <v>Total</v>
      </c>
      <c r="M1158" s="117" t="str">
        <f t="shared" si="195"/>
        <v>Total Mining</v>
      </c>
      <c r="N1158" s="118"/>
      <c r="O1158" s="118"/>
      <c r="P1158" s="118"/>
      <c r="Q1158" s="118"/>
      <c r="R1158" s="118"/>
      <c r="S1158" s="117"/>
      <c r="T1158" s="119"/>
      <c r="U1158" s="117"/>
      <c r="V1158" s="117"/>
      <c r="W1158" s="89">
        <f>SUM(W1159:W1168)</f>
        <v>1757212301.786242</v>
      </c>
      <c r="X1158" s="117"/>
      <c r="Y1158" s="117"/>
      <c r="Z1158" s="117"/>
      <c r="AA1158" s="89">
        <v>563441162.18025756</v>
      </c>
      <c r="AB1158" s="89">
        <v>564385717.58025753</v>
      </c>
      <c r="AC1158" s="240"/>
      <c r="AD1158" s="240"/>
      <c r="AE1158" s="240"/>
      <c r="AF1158" s="241">
        <f>AA1158/W1158</f>
        <v>0.3206448996558402</v>
      </c>
      <c r="AG1158" s="117"/>
      <c r="AH1158" s="124"/>
      <c r="AI1158" s="117"/>
      <c r="AJ1158" s="117"/>
      <c r="AK1158" s="117"/>
      <c r="AL1158" s="117"/>
      <c r="AM1158" s="117"/>
      <c r="AN1158" s="117">
        <v>37</v>
      </c>
      <c r="AO1158" s="117" t="s">
        <v>1790</v>
      </c>
      <c r="AP1158" s="117">
        <v>37</v>
      </c>
      <c r="AQ1158" s="117"/>
      <c r="AR1158" s="126"/>
      <c r="AS1158" s="117"/>
      <c r="AT1158" s="117"/>
      <c r="AV1158" s="128"/>
      <c r="AW1158" s="117">
        <f>VLOOKUP($D1158,'WB Data'!$C$3:$M$578,2,FALSE)</f>
        <v>5623236707.5247135</v>
      </c>
      <c r="AX1158" s="117">
        <f>VLOOKUP($D1158,'WB Data'!$C$3:$M$578,3,FALSE)</f>
        <v>2632834</v>
      </c>
      <c r="AY1158" s="847">
        <f t="shared" si="201"/>
        <v>0.10455591087126863</v>
      </c>
      <c r="AZ1158" s="117">
        <f>VLOOKUP($D1158,'WB Data'!$C$3:$M$578,4,FALSE)/100</f>
        <v>0.30815973634446686</v>
      </c>
      <c r="BA1158" s="117">
        <f t="shared" si="202"/>
        <v>1732855141.1933436</v>
      </c>
      <c r="BB1158" s="129">
        <f>IFERROR(VLOOKUP($D1158,'EITI Revenues'!$C$2:$G$224,5,FALSE),"..")</f>
        <v>587942636</v>
      </c>
      <c r="BC1158" s="846">
        <f t="shared" si="203"/>
        <v>0.33929127832064998</v>
      </c>
      <c r="BD1158" s="129" t="str">
        <f>VLOOKUP($D1158,'WB Data 2'!$C$2:$K$545,6,FALSE)</f>
        <v>..</v>
      </c>
      <c r="BE1158" s="129">
        <f>IFERROR(VLOOKUP($D1158,UNCTAD!$C$5:$V$529,4,FALSE),"..")</f>
        <v>3028517000</v>
      </c>
      <c r="BF1158" s="846" t="str">
        <f t="shared" si="204"/>
        <v>..</v>
      </c>
      <c r="BG1158" s="117">
        <f>VLOOKUP($D1158,'WB Data'!$C$3:$M$578,5,FALSE)</f>
        <v>246660000</v>
      </c>
      <c r="BH1158" s="129">
        <f>IFERROR($BB1158/$BG1158,"..")</f>
        <v>2.3836156490715967</v>
      </c>
      <c r="BI1158" s="117" t="str">
        <f>IFERROR(VLOOKUP($D1158,'WB Data'!$C$3:$M$578,7,FALSE)/100,"..")</f>
        <v>..</v>
      </c>
      <c r="BJ1158" s="117" t="str">
        <f>IFERROR($BI1158*$AW1158,"..")</f>
        <v>..</v>
      </c>
      <c r="BK1158" s="846" t="str">
        <f>IFERROR($BB1158/$BJ1158,"..")</f>
        <v>..</v>
      </c>
      <c r="BL1158" s="117" t="str">
        <f>IFERROR(VLOOKUP($D1158,'WB Data'!$C$3:$M$578,7,FALSE)/100,"..")</f>
        <v>..</v>
      </c>
      <c r="BM1158" s="117" t="str">
        <f>IFERROR($AW1158*$BL1158,"..")</f>
        <v>..</v>
      </c>
      <c r="BN1158" s="846" t="str">
        <f>IFERROR($BB1158/$BM1158,"..")</f>
        <v>..</v>
      </c>
      <c r="BO1158" s="801">
        <f t="shared" si="200"/>
        <v>39</v>
      </c>
      <c r="BP1158" s="117" t="str">
        <f>VLOOKUP($D1158,'WB Data'!$C$3:$M$578,9,FALSE)</f>
        <v>..</v>
      </c>
      <c r="BQ1158" s="117">
        <f>VLOOKUP($D1158,'WB Data'!$C$3:$M$578,10,FALSE)</f>
        <v>66.357121951219526</v>
      </c>
      <c r="BR1158" s="117">
        <f>VLOOKUP($D1158,'WB Data'!$C$3:$M$578,11,FALSE)</f>
        <v>31.7</v>
      </c>
      <c r="BS1158" s="129">
        <f>IFERROR(VLOOKUP($D1158,'WB Data 2'!$C$2:$K$545,9,FALSE),"..")</f>
        <v>99.345010000000002</v>
      </c>
      <c r="BT1158" s="129">
        <f>_xlfn.IFNA(VLOOKUP($C1158,RGI!$A$2:$C$43,2,FALSE),"..")</f>
        <v>38.200000000000003</v>
      </c>
      <c r="BU1158" s="129">
        <f>_xlfn.IFNA(VLOOKUP($C1158,RGI!$A$2:$C$43,3,FALSE),"..")</f>
        <v>50.952530108834466</v>
      </c>
      <c r="BV1158" s="129">
        <f>VLOOKUP($D1158,WGI!$C$2:$O$478,7,FALSE)</f>
        <v>0.238763706301584</v>
      </c>
      <c r="BW1158" s="129">
        <f>VLOOKUP($D1158,WGI!$C$2:$O$478,4,FALSE)</f>
        <v>0.57387371965939205</v>
      </c>
      <c r="BX1158" s="129">
        <f>VLOOKUP($D1158,WGI!$C$2:$O$478,3,FALSE)</f>
        <v>-0.51769434986029705</v>
      </c>
      <c r="BY1158" s="129">
        <f>VLOOKUP($D1158,WGI!$C$2:$O$478,5,FALSE)</f>
        <v>-0.333893375310926</v>
      </c>
      <c r="BZ1158" s="129">
        <f>VLOOKUP($D1158,WGI!$C$2:$O$478,2,FALSE)</f>
        <v>-0.66609296947146002</v>
      </c>
      <c r="CB1158" s="129"/>
    </row>
    <row r="1159" spans="1:80" s="120" customFormat="1" ht="15" customHeight="1">
      <c r="A1159" s="280" t="s">
        <v>370</v>
      </c>
      <c r="B1159" s="117">
        <v>2008</v>
      </c>
      <c r="C1159" s="117" t="s">
        <v>364</v>
      </c>
      <c r="D1159" s="117" t="s">
        <v>3617</v>
      </c>
      <c r="E1159" s="117" t="s">
        <v>244</v>
      </c>
      <c r="F1159" s="117"/>
      <c r="G1159" s="117" t="s">
        <v>24</v>
      </c>
      <c r="H1159" s="117" t="str">
        <f t="shared" si="196"/>
        <v>yes</v>
      </c>
      <c r="I1159" s="117" t="str">
        <f t="shared" si="193"/>
        <v>no</v>
      </c>
      <c r="J1159" s="117" t="str">
        <f t="shared" si="194"/>
        <v>no</v>
      </c>
      <c r="K1159" s="117" t="s">
        <v>616</v>
      </c>
      <c r="L1159" s="117" t="str">
        <f t="shared" si="197"/>
        <v>detailed</v>
      </c>
      <c r="M1159" s="117" t="str">
        <f t="shared" si="195"/>
        <v>detailed Mining</v>
      </c>
      <c r="N1159" s="179">
        <f>9691600*0.90718474</f>
        <v>8792071.6261839997</v>
      </c>
      <c r="O1159" s="179"/>
      <c r="P1159" s="179">
        <f>9691600*0.90718474</f>
        <v>8792071.6261839997</v>
      </c>
      <c r="Q1159" s="179"/>
      <c r="R1159" s="179"/>
      <c r="S1159" s="117" t="s">
        <v>610</v>
      </c>
      <c r="T1159" s="119">
        <f>138.172774336449*0.806</f>
        <v>111.36725611517791</v>
      </c>
      <c r="U1159" s="117" t="s">
        <v>611</v>
      </c>
      <c r="V1159" s="117" t="s">
        <v>1791</v>
      </c>
      <c r="W1159" s="89">
        <f t="shared" ref="W1159:W1164" si="205">N1159*T1159</f>
        <v>979148892.57622218</v>
      </c>
      <c r="X1159" s="117"/>
      <c r="Y1159" s="117"/>
      <c r="Z1159" s="117"/>
      <c r="AA1159" s="89">
        <v>32032973.390557941</v>
      </c>
      <c r="AB1159" s="89">
        <v>31632767.38197425</v>
      </c>
      <c r="AC1159" s="240"/>
      <c r="AD1159" s="240"/>
      <c r="AE1159" s="240"/>
      <c r="AF1159" s="241">
        <f>AA1159/W1159</f>
        <v>3.2715119869335216E-2</v>
      </c>
      <c r="AG1159" s="117"/>
      <c r="AH1159" s="124"/>
      <c r="AI1159" s="117"/>
      <c r="AJ1159" s="117"/>
      <c r="AK1159" s="117"/>
      <c r="AL1159" s="117"/>
      <c r="AM1159" s="117"/>
      <c r="AN1159" s="117">
        <v>9</v>
      </c>
      <c r="AO1159" s="117" t="s">
        <v>1792</v>
      </c>
      <c r="AP1159" s="117">
        <v>9</v>
      </c>
      <c r="AQ1159" s="117"/>
      <c r="AR1159" s="126"/>
      <c r="AS1159" s="117"/>
      <c r="AT1159" s="117"/>
      <c r="AU1159" s="117" t="s">
        <v>1793</v>
      </c>
      <c r="AV1159" s="128"/>
      <c r="AW1159" s="117">
        <f>VLOOKUP($D1159,'WB Data'!$C$3:$M$578,2,FALSE)</f>
        <v>5623236707.5247135</v>
      </c>
      <c r="AX1159" s="117">
        <f>VLOOKUP($D1159,'WB Data'!$C$3:$M$578,3,FALSE)</f>
        <v>2632834</v>
      </c>
      <c r="AY1159" s="847">
        <f t="shared" si="201"/>
        <v>0.10455591087126863</v>
      </c>
      <c r="AZ1159" s="117">
        <f>VLOOKUP($D1159,'WB Data'!$C$3:$M$578,4,FALSE)/100</f>
        <v>0.30815973634446686</v>
      </c>
      <c r="BA1159" s="117">
        <f t="shared" si="202"/>
        <v>1732855141.1933436</v>
      </c>
      <c r="BB1159" s="129">
        <f>IFERROR(VLOOKUP($D1159,'EITI Revenues'!$C$2:$G$224,5,FALSE),"..")</f>
        <v>587942636</v>
      </c>
      <c r="BC1159" s="846">
        <f t="shared" si="203"/>
        <v>0.33929127832064998</v>
      </c>
      <c r="BD1159" s="129" t="str">
        <f>VLOOKUP($D1159,'WB Data 2'!$C$2:$K$545,6,FALSE)</f>
        <v>..</v>
      </c>
      <c r="BE1159" s="129">
        <f>IFERROR(VLOOKUP($D1159,UNCTAD!$C$5:$V$529,4,FALSE),"..")</f>
        <v>3028517000</v>
      </c>
      <c r="BF1159" s="846" t="str">
        <f t="shared" si="204"/>
        <v>..</v>
      </c>
      <c r="BG1159" s="117">
        <f>VLOOKUP($D1159,'WB Data'!$C$3:$M$578,5,FALSE)</f>
        <v>246660000</v>
      </c>
      <c r="BH1159" s="129">
        <f>IFERROR($BB1159/$BG1159,"..")</f>
        <v>2.3836156490715967</v>
      </c>
      <c r="BI1159" s="117" t="str">
        <f>IFERROR(VLOOKUP($D1159,'WB Data'!$C$3:$M$578,7,FALSE)/100,"..")</f>
        <v>..</v>
      </c>
      <c r="BJ1159" s="117" t="str">
        <f>IFERROR($BI1159*$AW1159,"..")</f>
        <v>..</v>
      </c>
      <c r="BK1159" s="846" t="str">
        <f>IFERROR($BB1159/$BJ1159,"..")</f>
        <v>..</v>
      </c>
      <c r="BL1159" s="117" t="str">
        <f>IFERROR(VLOOKUP($D1159,'WB Data'!$C$3:$M$578,7,FALSE)/100,"..")</f>
        <v>..</v>
      </c>
      <c r="BM1159" s="117" t="str">
        <f>IFERROR($AW1159*$BL1159,"..")</f>
        <v>..</v>
      </c>
      <c r="BN1159" s="846" t="str">
        <f>IFERROR($BB1159/$BM1159,"..")</f>
        <v>..</v>
      </c>
      <c r="BO1159" s="801">
        <f t="shared" si="200"/>
        <v>39</v>
      </c>
      <c r="BP1159" s="117" t="str">
        <f>VLOOKUP($D1159,'WB Data'!$C$3:$M$578,9,FALSE)</f>
        <v>..</v>
      </c>
      <c r="BQ1159" s="117">
        <f>VLOOKUP($D1159,'WB Data'!$C$3:$M$578,10,FALSE)</f>
        <v>66.357121951219526</v>
      </c>
      <c r="BR1159" s="117">
        <f>VLOOKUP($D1159,'WB Data'!$C$3:$M$578,11,FALSE)</f>
        <v>31.7</v>
      </c>
      <c r="BS1159" s="129">
        <f>IFERROR(VLOOKUP($D1159,'WB Data 2'!$C$2:$K$545,9,FALSE),"..")</f>
        <v>99.345010000000002</v>
      </c>
      <c r="BT1159" s="129">
        <f>_xlfn.IFNA(VLOOKUP($C1159,RGI!$A$2:$C$43,2,FALSE),"..")</f>
        <v>38.200000000000003</v>
      </c>
      <c r="BU1159" s="129">
        <f>_xlfn.IFNA(VLOOKUP($C1159,RGI!$A$2:$C$43,3,FALSE),"..")</f>
        <v>50.952530108834466</v>
      </c>
      <c r="BV1159" s="129">
        <f>VLOOKUP($D1159,WGI!$C$2:$O$478,7,FALSE)</f>
        <v>0.238763706301584</v>
      </c>
      <c r="BW1159" s="129">
        <f>VLOOKUP($D1159,WGI!$C$2:$O$478,4,FALSE)</f>
        <v>0.57387371965939205</v>
      </c>
      <c r="BX1159" s="129">
        <f>VLOOKUP($D1159,WGI!$C$2:$O$478,3,FALSE)</f>
        <v>-0.51769434986029705</v>
      </c>
      <c r="BY1159" s="129">
        <f>VLOOKUP($D1159,WGI!$C$2:$O$478,5,FALSE)</f>
        <v>-0.333893375310926</v>
      </c>
      <c r="BZ1159" s="129">
        <f>VLOOKUP($D1159,WGI!$C$2:$O$478,2,FALSE)</f>
        <v>-0.66609296947146002</v>
      </c>
      <c r="CB1159" s="129"/>
    </row>
    <row r="1160" spans="1:80" s="120" customFormat="1" ht="15" customHeight="1">
      <c r="A1160" s="280" t="s">
        <v>370</v>
      </c>
      <c r="B1160" s="117">
        <v>2008</v>
      </c>
      <c r="C1160" s="117" t="s">
        <v>364</v>
      </c>
      <c r="D1160" s="117" t="s">
        <v>3617</v>
      </c>
      <c r="E1160" s="117" t="s">
        <v>244</v>
      </c>
      <c r="F1160" s="117"/>
      <c r="G1160" s="117" t="s">
        <v>24</v>
      </c>
      <c r="H1160" s="117" t="str">
        <f t="shared" si="196"/>
        <v>yes</v>
      </c>
      <c r="I1160" s="117" t="str">
        <f t="shared" si="193"/>
        <v>no</v>
      </c>
      <c r="J1160" s="117" t="str">
        <f t="shared" si="194"/>
        <v>no</v>
      </c>
      <c r="K1160" s="117" t="s">
        <v>619</v>
      </c>
      <c r="L1160" s="117" t="str">
        <f t="shared" si="197"/>
        <v>detailed</v>
      </c>
      <c r="M1160" s="117" t="str">
        <f t="shared" si="195"/>
        <v>detailed Mining</v>
      </c>
      <c r="N1160" s="118">
        <f>126800*0.90718474</f>
        <v>115031.02503200001</v>
      </c>
      <c r="O1160" s="118"/>
      <c r="P1160" s="118">
        <f>126800*0.90718474</f>
        <v>115031.02503200001</v>
      </c>
      <c r="Q1160" s="118"/>
      <c r="R1160" s="118"/>
      <c r="S1160" s="117" t="s">
        <v>610</v>
      </c>
      <c r="T1160" s="186">
        <f>6955.87983333333*0.1816</f>
        <v>1263.1877777333327</v>
      </c>
      <c r="U1160" s="117" t="s">
        <v>611</v>
      </c>
      <c r="V1160" s="117" t="s">
        <v>1794</v>
      </c>
      <c r="W1160" s="89">
        <f t="shared" si="205"/>
        <v>145305784.88055944</v>
      </c>
      <c r="X1160" s="117"/>
      <c r="Y1160" s="117"/>
      <c r="Z1160" s="117"/>
      <c r="AA1160" s="89"/>
      <c r="AB1160" s="89"/>
      <c r="AC1160" s="240"/>
      <c r="AD1160" s="240"/>
      <c r="AE1160" s="240"/>
      <c r="AF1160" s="241"/>
      <c r="AG1160" s="117"/>
      <c r="AH1160" s="124"/>
      <c r="AI1160" s="117"/>
      <c r="AJ1160" s="117"/>
      <c r="AK1160" s="117"/>
      <c r="AL1160" s="117"/>
      <c r="AM1160" s="117"/>
      <c r="AN1160" s="117">
        <v>2</v>
      </c>
      <c r="AO1160" s="117" t="s">
        <v>1795</v>
      </c>
      <c r="AP1160" s="117">
        <v>2</v>
      </c>
      <c r="AQ1160" s="117"/>
      <c r="AR1160" s="126"/>
      <c r="AS1160" s="117"/>
      <c r="AT1160" s="117"/>
      <c r="AU1160" s="117">
        <v>15</v>
      </c>
      <c r="AV1160" s="128"/>
      <c r="AW1160" s="117">
        <f>VLOOKUP($D1160,'WB Data'!$C$3:$M$578,2,FALSE)</f>
        <v>5623236707.5247135</v>
      </c>
      <c r="AX1160" s="117">
        <f>VLOOKUP($D1160,'WB Data'!$C$3:$M$578,3,FALSE)</f>
        <v>2632834</v>
      </c>
      <c r="AY1160" s="847">
        <f t="shared" si="201"/>
        <v>0.10455591087126863</v>
      </c>
      <c r="AZ1160" s="117">
        <f>VLOOKUP($D1160,'WB Data'!$C$3:$M$578,4,FALSE)/100</f>
        <v>0.30815973634446686</v>
      </c>
      <c r="BA1160" s="117">
        <f t="shared" si="202"/>
        <v>1732855141.1933436</v>
      </c>
      <c r="BB1160" s="129">
        <f>IFERROR(VLOOKUP($D1160,'EITI Revenues'!$C$2:$G$224,5,FALSE),"..")</f>
        <v>587942636</v>
      </c>
      <c r="BC1160" s="846">
        <f t="shared" si="203"/>
        <v>0.33929127832064998</v>
      </c>
      <c r="BD1160" s="129" t="str">
        <f>VLOOKUP($D1160,'WB Data 2'!$C$2:$K$545,6,FALSE)</f>
        <v>..</v>
      </c>
      <c r="BE1160" s="129">
        <f>IFERROR(VLOOKUP($D1160,UNCTAD!$C$5:$V$529,4,FALSE),"..")</f>
        <v>3028517000</v>
      </c>
      <c r="BF1160" s="846" t="str">
        <f t="shared" si="204"/>
        <v>..</v>
      </c>
      <c r="BG1160" s="117">
        <f>VLOOKUP($D1160,'WB Data'!$C$3:$M$578,5,FALSE)</f>
        <v>246660000</v>
      </c>
      <c r="BH1160" s="129">
        <f>IFERROR($BB1160/$BG1160,"..")</f>
        <v>2.3836156490715967</v>
      </c>
      <c r="BI1160" s="117" t="str">
        <f>IFERROR(VLOOKUP($D1160,'WB Data'!$C$3:$M$578,7,FALSE)/100,"..")</f>
        <v>..</v>
      </c>
      <c r="BJ1160" s="117" t="str">
        <f>IFERROR($BI1160*$AW1160,"..")</f>
        <v>..</v>
      </c>
      <c r="BK1160" s="846" t="str">
        <f>IFERROR($BB1160/$BJ1160,"..")</f>
        <v>..</v>
      </c>
      <c r="BL1160" s="117" t="str">
        <f>IFERROR(VLOOKUP($D1160,'WB Data'!$C$3:$M$578,7,FALSE)/100,"..")</f>
        <v>..</v>
      </c>
      <c r="BM1160" s="117" t="str">
        <f>IFERROR($AW1160*$BL1160,"..")</f>
        <v>..</v>
      </c>
      <c r="BN1160" s="846" t="str">
        <f>IFERROR($BB1160/$BM1160,"..")</f>
        <v>..</v>
      </c>
      <c r="BO1160" s="801">
        <f t="shared" si="200"/>
        <v>39</v>
      </c>
      <c r="BP1160" s="117" t="str">
        <f>VLOOKUP($D1160,'WB Data'!$C$3:$M$578,9,FALSE)</f>
        <v>..</v>
      </c>
      <c r="BQ1160" s="117">
        <f>VLOOKUP($D1160,'WB Data'!$C$3:$M$578,10,FALSE)</f>
        <v>66.357121951219526</v>
      </c>
      <c r="BR1160" s="117">
        <f>VLOOKUP($D1160,'WB Data'!$C$3:$M$578,11,FALSE)</f>
        <v>31.7</v>
      </c>
      <c r="BS1160" s="129">
        <f>IFERROR(VLOOKUP($D1160,'WB Data 2'!$C$2:$K$545,9,FALSE),"..")</f>
        <v>99.345010000000002</v>
      </c>
      <c r="BT1160" s="129">
        <f>_xlfn.IFNA(VLOOKUP($C1160,RGI!$A$2:$C$43,2,FALSE),"..")</f>
        <v>38.200000000000003</v>
      </c>
      <c r="BU1160" s="129">
        <f>_xlfn.IFNA(VLOOKUP($C1160,RGI!$A$2:$C$43,3,FALSE),"..")</f>
        <v>50.952530108834466</v>
      </c>
      <c r="BV1160" s="129">
        <f>VLOOKUP($D1160,WGI!$C$2:$O$478,7,FALSE)</f>
        <v>0.238763706301584</v>
      </c>
      <c r="BW1160" s="129">
        <f>VLOOKUP($D1160,WGI!$C$2:$O$478,4,FALSE)</f>
        <v>0.57387371965939205</v>
      </c>
      <c r="BX1160" s="129">
        <f>VLOOKUP($D1160,WGI!$C$2:$O$478,3,FALSE)</f>
        <v>-0.51769434986029705</v>
      </c>
      <c r="BY1160" s="129">
        <f>VLOOKUP($D1160,WGI!$C$2:$O$478,5,FALSE)</f>
        <v>-0.333893375310926</v>
      </c>
      <c r="BZ1160" s="129">
        <f>VLOOKUP($D1160,WGI!$C$2:$O$478,2,FALSE)</f>
        <v>-0.66609296947146002</v>
      </c>
      <c r="CB1160" s="129"/>
    </row>
    <row r="1161" spans="1:80" s="120" customFormat="1" ht="15" customHeight="1">
      <c r="A1161" s="280" t="s">
        <v>370</v>
      </c>
      <c r="B1161" s="117">
        <v>2008</v>
      </c>
      <c r="C1161" s="117" t="s">
        <v>364</v>
      </c>
      <c r="D1161" s="117" t="s">
        <v>3617</v>
      </c>
      <c r="E1161" s="117" t="s">
        <v>244</v>
      </c>
      <c r="F1161" s="117"/>
      <c r="G1161" s="117" t="s">
        <v>24</v>
      </c>
      <c r="H1161" s="117" t="str">
        <f t="shared" si="196"/>
        <v>yes</v>
      </c>
      <c r="I1161" s="117" t="str">
        <f t="shared" si="193"/>
        <v>no</v>
      </c>
      <c r="J1161" s="117" t="str">
        <f t="shared" si="194"/>
        <v>no</v>
      </c>
      <c r="K1161" s="117" t="s">
        <v>1758</v>
      </c>
      <c r="L1161" s="117" t="str">
        <f t="shared" si="197"/>
        <v>detailed</v>
      </c>
      <c r="M1161" s="117" t="str">
        <f t="shared" si="195"/>
        <v>detailed Mining</v>
      </c>
      <c r="N1161" s="118">
        <f>334800*0.90718474</f>
        <v>303725.45095200004</v>
      </c>
      <c r="O1161" s="118"/>
      <c r="P1161" s="118">
        <f>334800*0.90718474</f>
        <v>303725.45095200004</v>
      </c>
      <c r="Q1161" s="118"/>
      <c r="R1161" s="118"/>
      <c r="S1161" s="117" t="s">
        <v>610</v>
      </c>
      <c r="T1161" s="119">
        <f>315.83*0.5381</f>
        <v>169.94812300000001</v>
      </c>
      <c r="U1161" s="117" t="s">
        <v>611</v>
      </c>
      <c r="V1161" s="117" t="s">
        <v>1796</v>
      </c>
      <c r="W1161" s="89">
        <f t="shared" si="205"/>
        <v>51617570.296620972</v>
      </c>
      <c r="X1161" s="117"/>
      <c r="Y1161" s="117"/>
      <c r="Z1161" s="117"/>
      <c r="AA1161" s="89">
        <v>5722945.9227467813</v>
      </c>
      <c r="AB1161" s="89">
        <v>6489857.5107296137</v>
      </c>
      <c r="AC1161" s="240"/>
      <c r="AD1161" s="240"/>
      <c r="AE1161" s="240"/>
      <c r="AF1161" s="241">
        <f>AA1161/W1161</f>
        <v>0.11087205170370874</v>
      </c>
      <c r="AG1161" s="117"/>
      <c r="AH1161" s="124"/>
      <c r="AI1161" s="117"/>
      <c r="AJ1161" s="117"/>
      <c r="AK1161" s="117"/>
      <c r="AL1161" s="117"/>
      <c r="AM1161" s="117"/>
      <c r="AN1161" s="117">
        <v>1</v>
      </c>
      <c r="AO1161" s="117" t="s">
        <v>1760</v>
      </c>
      <c r="AP1161" s="117">
        <v>1</v>
      </c>
      <c r="AQ1161" s="117"/>
      <c r="AR1161" s="126"/>
      <c r="AS1161" s="117"/>
      <c r="AT1161" s="117"/>
      <c r="AU1161" s="117" t="s">
        <v>1793</v>
      </c>
      <c r="AV1161" s="128"/>
      <c r="AW1161" s="117">
        <f>VLOOKUP($D1161,'WB Data'!$C$3:$M$578,2,FALSE)</f>
        <v>5623236707.5247135</v>
      </c>
      <c r="AX1161" s="117">
        <f>VLOOKUP($D1161,'WB Data'!$C$3:$M$578,3,FALSE)</f>
        <v>2632834</v>
      </c>
      <c r="AY1161" s="847">
        <f t="shared" si="201"/>
        <v>0.10455591087126863</v>
      </c>
      <c r="AZ1161" s="117">
        <f>VLOOKUP($D1161,'WB Data'!$C$3:$M$578,4,FALSE)/100</f>
        <v>0.30815973634446686</v>
      </c>
      <c r="BA1161" s="117">
        <f t="shared" si="202"/>
        <v>1732855141.1933436</v>
      </c>
      <c r="BB1161" s="129">
        <f>IFERROR(VLOOKUP($D1161,'EITI Revenues'!$C$2:$G$224,5,FALSE),"..")</f>
        <v>587942636</v>
      </c>
      <c r="BC1161" s="846">
        <f t="shared" si="203"/>
        <v>0.33929127832064998</v>
      </c>
      <c r="BD1161" s="129" t="str">
        <f>VLOOKUP($D1161,'WB Data 2'!$C$2:$K$545,6,FALSE)</f>
        <v>..</v>
      </c>
      <c r="BE1161" s="129">
        <f>IFERROR(VLOOKUP($D1161,UNCTAD!$C$5:$V$529,4,FALSE),"..")</f>
        <v>3028517000</v>
      </c>
      <c r="BF1161" s="846" t="str">
        <f t="shared" si="204"/>
        <v>..</v>
      </c>
      <c r="BG1161" s="117">
        <f>VLOOKUP($D1161,'WB Data'!$C$3:$M$578,5,FALSE)</f>
        <v>246660000</v>
      </c>
      <c r="BH1161" s="129">
        <f>IFERROR($BB1161/$BG1161,"..")</f>
        <v>2.3836156490715967</v>
      </c>
      <c r="BI1161" s="117" t="str">
        <f>IFERROR(VLOOKUP($D1161,'WB Data'!$C$3:$M$578,7,FALSE)/100,"..")</f>
        <v>..</v>
      </c>
      <c r="BJ1161" s="117" t="str">
        <f>IFERROR($BI1161*$AW1161,"..")</f>
        <v>..</v>
      </c>
      <c r="BK1161" s="846" t="str">
        <f>IFERROR($BB1161/$BJ1161,"..")</f>
        <v>..</v>
      </c>
      <c r="BL1161" s="117" t="str">
        <f>IFERROR(VLOOKUP($D1161,'WB Data'!$C$3:$M$578,7,FALSE)/100,"..")</f>
        <v>..</v>
      </c>
      <c r="BM1161" s="117" t="str">
        <f>IFERROR($AW1161*$BL1161,"..")</f>
        <v>..</v>
      </c>
      <c r="BN1161" s="846" t="str">
        <f>IFERROR($BB1161/$BM1161,"..")</f>
        <v>..</v>
      </c>
      <c r="BO1161" s="801">
        <f t="shared" si="200"/>
        <v>39</v>
      </c>
      <c r="BP1161" s="117" t="str">
        <f>VLOOKUP($D1161,'WB Data'!$C$3:$M$578,9,FALSE)</f>
        <v>..</v>
      </c>
      <c r="BQ1161" s="117">
        <f>VLOOKUP($D1161,'WB Data'!$C$3:$M$578,10,FALSE)</f>
        <v>66.357121951219526</v>
      </c>
      <c r="BR1161" s="117">
        <f>VLOOKUP($D1161,'WB Data'!$C$3:$M$578,11,FALSE)</f>
        <v>31.7</v>
      </c>
      <c r="BS1161" s="129">
        <f>IFERROR(VLOOKUP($D1161,'WB Data 2'!$C$2:$K$545,9,FALSE),"..")</f>
        <v>99.345010000000002</v>
      </c>
      <c r="BT1161" s="129">
        <f>_xlfn.IFNA(VLOOKUP($C1161,RGI!$A$2:$C$43,2,FALSE),"..")</f>
        <v>38.200000000000003</v>
      </c>
      <c r="BU1161" s="129">
        <f>_xlfn.IFNA(VLOOKUP($C1161,RGI!$A$2:$C$43,3,FALSE),"..")</f>
        <v>50.952530108834466</v>
      </c>
      <c r="BV1161" s="129">
        <f>VLOOKUP($D1161,WGI!$C$2:$O$478,7,FALSE)</f>
        <v>0.238763706301584</v>
      </c>
      <c r="BW1161" s="129">
        <f>VLOOKUP($D1161,WGI!$C$2:$O$478,4,FALSE)</f>
        <v>0.57387371965939205</v>
      </c>
      <c r="BX1161" s="129">
        <f>VLOOKUP($D1161,WGI!$C$2:$O$478,3,FALSE)</f>
        <v>-0.51769434986029705</v>
      </c>
      <c r="BY1161" s="129">
        <f>VLOOKUP($D1161,WGI!$C$2:$O$478,5,FALSE)</f>
        <v>-0.333893375310926</v>
      </c>
      <c r="BZ1161" s="129">
        <f>VLOOKUP($D1161,WGI!$C$2:$O$478,2,FALSE)</f>
        <v>-0.66609296947146002</v>
      </c>
      <c r="CB1161" s="129"/>
    </row>
    <row r="1162" spans="1:80" s="120" customFormat="1" ht="15" customHeight="1">
      <c r="A1162" s="280" t="s">
        <v>370</v>
      </c>
      <c r="B1162" s="117">
        <v>2008</v>
      </c>
      <c r="C1162" s="117" t="s">
        <v>364</v>
      </c>
      <c r="D1162" s="117" t="s">
        <v>3617</v>
      </c>
      <c r="E1162" s="117" t="s">
        <v>244</v>
      </c>
      <c r="F1162" s="117"/>
      <c r="G1162" s="117" t="s">
        <v>24</v>
      </c>
      <c r="H1162" s="117" t="str">
        <f t="shared" si="196"/>
        <v>yes</v>
      </c>
      <c r="I1162" s="117" t="str">
        <f t="shared" si="193"/>
        <v>no</v>
      </c>
      <c r="J1162" s="117" t="str">
        <f t="shared" si="194"/>
        <v>no</v>
      </c>
      <c r="K1162" s="117" t="s">
        <v>784</v>
      </c>
      <c r="L1162" s="117" t="str">
        <f t="shared" si="197"/>
        <v>detailed</v>
      </c>
      <c r="M1162" s="117" t="str">
        <f t="shared" si="195"/>
        <v>detailed Mining</v>
      </c>
      <c r="N1162" s="118">
        <f>(15*0.90718474)*32150.7466</f>
        <v>437500.00042690325</v>
      </c>
      <c r="O1162" s="118"/>
      <c r="P1162" s="118">
        <f>(15*0.90718474)*32150.7466</f>
        <v>437500.00042690325</v>
      </c>
      <c r="Q1162" s="118"/>
      <c r="R1162" s="118"/>
      <c r="S1162" s="117" t="s">
        <v>785</v>
      </c>
      <c r="T1162" s="119">
        <f>871.70725*0.83</f>
        <v>723.51701749999995</v>
      </c>
      <c r="U1162" s="117" t="s">
        <v>786</v>
      </c>
      <c r="V1162" s="117" t="s">
        <v>1797</v>
      </c>
      <c r="W1162" s="89">
        <f t="shared" si="205"/>
        <v>316538695.46512175</v>
      </c>
      <c r="X1162" s="117"/>
      <c r="Y1162" s="117"/>
      <c r="Z1162" s="117"/>
      <c r="AA1162" s="89"/>
      <c r="AB1162" s="89"/>
      <c r="AC1162" s="240"/>
      <c r="AD1162" s="240"/>
      <c r="AE1162" s="240"/>
      <c r="AF1162" s="241"/>
      <c r="AG1162" s="117"/>
      <c r="AH1162" s="124"/>
      <c r="AI1162" s="117"/>
      <c r="AJ1162" s="117"/>
      <c r="AK1162" s="117"/>
      <c r="AL1162" s="117"/>
      <c r="AM1162" s="117"/>
      <c r="AN1162" s="117">
        <v>32</v>
      </c>
      <c r="AO1162" s="117" t="s">
        <v>1798</v>
      </c>
      <c r="AP1162" s="117">
        <v>32</v>
      </c>
      <c r="AQ1162" s="117"/>
      <c r="AR1162" s="126"/>
      <c r="AS1162" s="117"/>
      <c r="AT1162" s="117"/>
      <c r="AU1162" s="117">
        <v>15</v>
      </c>
      <c r="AV1162" s="128"/>
      <c r="AW1162" s="117">
        <f>VLOOKUP($D1162,'WB Data'!$C$3:$M$578,2,FALSE)</f>
        <v>5623236707.5247135</v>
      </c>
      <c r="AX1162" s="117">
        <f>VLOOKUP($D1162,'WB Data'!$C$3:$M$578,3,FALSE)</f>
        <v>2632834</v>
      </c>
      <c r="AY1162" s="847">
        <f t="shared" si="201"/>
        <v>0.10455591087126863</v>
      </c>
      <c r="AZ1162" s="117">
        <f>VLOOKUP($D1162,'WB Data'!$C$3:$M$578,4,FALSE)/100</f>
        <v>0.30815973634446686</v>
      </c>
      <c r="BA1162" s="117">
        <f t="shared" si="202"/>
        <v>1732855141.1933436</v>
      </c>
      <c r="BB1162" s="129">
        <f>IFERROR(VLOOKUP($D1162,'EITI Revenues'!$C$2:$G$224,5,FALSE),"..")</f>
        <v>587942636</v>
      </c>
      <c r="BC1162" s="846">
        <f t="shared" si="203"/>
        <v>0.33929127832064998</v>
      </c>
      <c r="BD1162" s="129" t="str">
        <f>VLOOKUP($D1162,'WB Data 2'!$C$2:$K$545,6,FALSE)</f>
        <v>..</v>
      </c>
      <c r="BE1162" s="129">
        <f>IFERROR(VLOOKUP($D1162,UNCTAD!$C$5:$V$529,4,FALSE),"..")</f>
        <v>3028517000</v>
      </c>
      <c r="BF1162" s="846" t="str">
        <f t="shared" si="204"/>
        <v>..</v>
      </c>
      <c r="BG1162" s="117">
        <f>VLOOKUP($D1162,'WB Data'!$C$3:$M$578,5,FALSE)</f>
        <v>246660000</v>
      </c>
      <c r="BH1162" s="129">
        <f>IFERROR($BB1162/$BG1162,"..")</f>
        <v>2.3836156490715967</v>
      </c>
      <c r="BI1162" s="117" t="str">
        <f>IFERROR(VLOOKUP($D1162,'WB Data'!$C$3:$M$578,7,FALSE)/100,"..")</f>
        <v>..</v>
      </c>
      <c r="BJ1162" s="117" t="str">
        <f>IFERROR($BI1162*$AW1162,"..")</f>
        <v>..</v>
      </c>
      <c r="BK1162" s="846" t="str">
        <f>IFERROR($BB1162/$BJ1162,"..")</f>
        <v>..</v>
      </c>
      <c r="BL1162" s="117" t="str">
        <f>IFERROR(VLOOKUP($D1162,'WB Data'!$C$3:$M$578,7,FALSE)/100,"..")</f>
        <v>..</v>
      </c>
      <c r="BM1162" s="117" t="str">
        <f>IFERROR($AW1162*$BL1162,"..")</f>
        <v>..</v>
      </c>
      <c r="BN1162" s="846" t="str">
        <f>IFERROR($BB1162/$BM1162,"..")</f>
        <v>..</v>
      </c>
      <c r="BO1162" s="801">
        <f t="shared" si="200"/>
        <v>39</v>
      </c>
      <c r="BP1162" s="117" t="str">
        <f>VLOOKUP($D1162,'WB Data'!$C$3:$M$578,9,FALSE)</f>
        <v>..</v>
      </c>
      <c r="BQ1162" s="117">
        <f>VLOOKUP($D1162,'WB Data'!$C$3:$M$578,10,FALSE)</f>
        <v>66.357121951219526</v>
      </c>
      <c r="BR1162" s="117">
        <f>VLOOKUP($D1162,'WB Data'!$C$3:$M$578,11,FALSE)</f>
        <v>31.7</v>
      </c>
      <c r="BS1162" s="129">
        <f>IFERROR(VLOOKUP($D1162,'WB Data 2'!$C$2:$K$545,9,FALSE),"..")</f>
        <v>99.345010000000002</v>
      </c>
      <c r="BT1162" s="129">
        <f>_xlfn.IFNA(VLOOKUP($C1162,RGI!$A$2:$C$43,2,FALSE),"..")</f>
        <v>38.200000000000003</v>
      </c>
      <c r="BU1162" s="129">
        <f>_xlfn.IFNA(VLOOKUP($C1162,RGI!$A$2:$C$43,3,FALSE),"..")</f>
        <v>50.952530108834466</v>
      </c>
      <c r="BV1162" s="129">
        <f>VLOOKUP($D1162,WGI!$C$2:$O$478,7,FALSE)</f>
        <v>0.238763706301584</v>
      </c>
      <c r="BW1162" s="129">
        <f>VLOOKUP($D1162,WGI!$C$2:$O$478,4,FALSE)</f>
        <v>0.57387371965939205</v>
      </c>
      <c r="BX1162" s="129">
        <f>VLOOKUP($D1162,WGI!$C$2:$O$478,3,FALSE)</f>
        <v>-0.51769434986029705</v>
      </c>
      <c r="BY1162" s="129">
        <f>VLOOKUP($D1162,WGI!$C$2:$O$478,5,FALSE)</f>
        <v>-0.333893375310926</v>
      </c>
      <c r="BZ1162" s="129">
        <f>VLOOKUP($D1162,WGI!$C$2:$O$478,2,FALSE)</f>
        <v>-0.66609296947146002</v>
      </c>
      <c r="CB1162" s="129"/>
    </row>
    <row r="1163" spans="1:80" s="120" customFormat="1" ht="15" customHeight="1">
      <c r="A1163" s="280" t="s">
        <v>370</v>
      </c>
      <c r="B1163" s="117">
        <v>2008</v>
      </c>
      <c r="C1163" s="117" t="s">
        <v>364</v>
      </c>
      <c r="D1163" s="117" t="s">
        <v>3617</v>
      </c>
      <c r="E1163" s="117" t="s">
        <v>244</v>
      </c>
      <c r="F1163" s="117"/>
      <c r="G1163" s="117" t="s">
        <v>24</v>
      </c>
      <c r="H1163" s="117" t="str">
        <f t="shared" si="196"/>
        <v>yes</v>
      </c>
      <c r="I1163" s="117" t="str">
        <f t="shared" si="193"/>
        <v>no</v>
      </c>
      <c r="J1163" s="117" t="str">
        <f t="shared" si="194"/>
        <v>no</v>
      </c>
      <c r="K1163" s="117" t="s">
        <v>1291</v>
      </c>
      <c r="L1163" s="117" t="str">
        <f t="shared" si="197"/>
        <v>detailed</v>
      </c>
      <c r="M1163" s="117" t="str">
        <f t="shared" si="195"/>
        <v>detailed Mining</v>
      </c>
      <c r="N1163" s="118">
        <f>1387400*0.90718474</f>
        <v>1258628.108276</v>
      </c>
      <c r="O1163" s="118"/>
      <c r="P1163" s="118">
        <f>1387400*0.90718474</f>
        <v>1258628.108276</v>
      </c>
      <c r="Q1163" s="118"/>
      <c r="R1163" s="118"/>
      <c r="S1163" s="117" t="s">
        <v>610</v>
      </c>
      <c r="T1163" s="119">
        <f>155.99333333333*0.5474</f>
        <v>85.390750666664843</v>
      </c>
      <c r="U1163" s="117" t="s">
        <v>611</v>
      </c>
      <c r="V1163" s="117" t="s">
        <v>1799</v>
      </c>
      <c r="W1163" s="89">
        <f t="shared" si="205"/>
        <v>107475198.97585195</v>
      </c>
      <c r="X1163" s="117"/>
      <c r="Y1163" s="117"/>
      <c r="Z1163" s="117"/>
      <c r="AA1163" s="89">
        <v>6687801.716738197</v>
      </c>
      <c r="AB1163" s="89">
        <v>6785381.1158798281</v>
      </c>
      <c r="AC1163" s="240"/>
      <c r="AD1163" s="240"/>
      <c r="AE1163" s="240"/>
      <c r="AF1163" s="241">
        <f>AA1163/W1163</f>
        <v>6.2226465086525171E-2</v>
      </c>
      <c r="AG1163" s="117"/>
      <c r="AH1163" s="124"/>
      <c r="AI1163" s="117"/>
      <c r="AJ1163" s="117"/>
      <c r="AK1163" s="117"/>
      <c r="AL1163" s="117"/>
      <c r="AM1163" s="117"/>
      <c r="AN1163" s="117">
        <v>3</v>
      </c>
      <c r="AO1163" s="117" t="s">
        <v>1800</v>
      </c>
      <c r="AP1163" s="117">
        <v>3</v>
      </c>
      <c r="AQ1163" s="117"/>
      <c r="AR1163" s="126"/>
      <c r="AS1163" s="117"/>
      <c r="AT1163" s="117"/>
      <c r="AU1163" s="117" t="s">
        <v>1793</v>
      </c>
      <c r="AV1163" s="128"/>
      <c r="AW1163" s="117">
        <f>VLOOKUP($D1163,'WB Data'!$C$3:$M$578,2,FALSE)</f>
        <v>5623236707.5247135</v>
      </c>
      <c r="AX1163" s="117">
        <f>VLOOKUP($D1163,'WB Data'!$C$3:$M$578,3,FALSE)</f>
        <v>2632834</v>
      </c>
      <c r="AY1163" s="847">
        <f t="shared" si="201"/>
        <v>0.10455591087126863</v>
      </c>
      <c r="AZ1163" s="117">
        <f>VLOOKUP($D1163,'WB Data'!$C$3:$M$578,4,FALSE)/100</f>
        <v>0.30815973634446686</v>
      </c>
      <c r="BA1163" s="117">
        <f t="shared" si="202"/>
        <v>1732855141.1933436</v>
      </c>
      <c r="BB1163" s="129">
        <f>IFERROR(VLOOKUP($D1163,'EITI Revenues'!$C$2:$G$224,5,FALSE),"..")</f>
        <v>587942636</v>
      </c>
      <c r="BC1163" s="846">
        <f t="shared" si="203"/>
        <v>0.33929127832064998</v>
      </c>
      <c r="BD1163" s="129" t="str">
        <f>VLOOKUP($D1163,'WB Data 2'!$C$2:$K$545,6,FALSE)</f>
        <v>..</v>
      </c>
      <c r="BE1163" s="129">
        <f>IFERROR(VLOOKUP($D1163,UNCTAD!$C$5:$V$529,4,FALSE),"..")</f>
        <v>3028517000</v>
      </c>
      <c r="BF1163" s="846" t="str">
        <f t="shared" si="204"/>
        <v>..</v>
      </c>
      <c r="BG1163" s="117">
        <f>VLOOKUP($D1163,'WB Data'!$C$3:$M$578,5,FALSE)</f>
        <v>246660000</v>
      </c>
      <c r="BH1163" s="129">
        <f>IFERROR($BB1163/$BG1163,"..")</f>
        <v>2.3836156490715967</v>
      </c>
      <c r="BI1163" s="117" t="str">
        <f>IFERROR(VLOOKUP($D1163,'WB Data'!$C$3:$M$578,7,FALSE)/100,"..")</f>
        <v>..</v>
      </c>
      <c r="BJ1163" s="117" t="str">
        <f>IFERROR($BI1163*$AW1163,"..")</f>
        <v>..</v>
      </c>
      <c r="BK1163" s="846" t="str">
        <f>IFERROR($BB1163/$BJ1163,"..")</f>
        <v>..</v>
      </c>
      <c r="BL1163" s="117" t="str">
        <f>IFERROR(VLOOKUP($D1163,'WB Data'!$C$3:$M$578,7,FALSE)/100,"..")</f>
        <v>..</v>
      </c>
      <c r="BM1163" s="117" t="str">
        <f>IFERROR($AW1163*$BL1163,"..")</f>
        <v>..</v>
      </c>
      <c r="BN1163" s="846" t="str">
        <f>IFERROR($BB1163/$BM1163,"..")</f>
        <v>..</v>
      </c>
      <c r="BO1163" s="801">
        <f t="shared" si="200"/>
        <v>39</v>
      </c>
      <c r="BP1163" s="117" t="str">
        <f>VLOOKUP($D1163,'WB Data'!$C$3:$M$578,9,FALSE)</f>
        <v>..</v>
      </c>
      <c r="BQ1163" s="117">
        <f>VLOOKUP($D1163,'WB Data'!$C$3:$M$578,10,FALSE)</f>
        <v>66.357121951219526</v>
      </c>
      <c r="BR1163" s="117">
        <f>VLOOKUP($D1163,'WB Data'!$C$3:$M$578,11,FALSE)</f>
        <v>31.7</v>
      </c>
      <c r="BS1163" s="129">
        <f>IFERROR(VLOOKUP($D1163,'WB Data 2'!$C$2:$K$545,9,FALSE),"..")</f>
        <v>99.345010000000002</v>
      </c>
      <c r="BT1163" s="129">
        <f>_xlfn.IFNA(VLOOKUP($C1163,RGI!$A$2:$C$43,2,FALSE),"..")</f>
        <v>38.200000000000003</v>
      </c>
      <c r="BU1163" s="129">
        <f>_xlfn.IFNA(VLOOKUP($C1163,RGI!$A$2:$C$43,3,FALSE),"..")</f>
        <v>50.952530108834466</v>
      </c>
      <c r="BV1163" s="129">
        <f>VLOOKUP($D1163,WGI!$C$2:$O$478,7,FALSE)</f>
        <v>0.238763706301584</v>
      </c>
      <c r="BW1163" s="129">
        <f>VLOOKUP($D1163,WGI!$C$2:$O$478,4,FALSE)</f>
        <v>0.57387371965939205</v>
      </c>
      <c r="BX1163" s="129">
        <f>VLOOKUP($D1163,WGI!$C$2:$O$478,3,FALSE)</f>
        <v>-0.51769434986029705</v>
      </c>
      <c r="BY1163" s="129">
        <f>VLOOKUP($D1163,WGI!$C$2:$O$478,5,FALSE)</f>
        <v>-0.333893375310926</v>
      </c>
      <c r="BZ1163" s="129">
        <f>VLOOKUP($D1163,WGI!$C$2:$O$478,2,FALSE)</f>
        <v>-0.66609296947146002</v>
      </c>
      <c r="CB1163" s="129"/>
    </row>
    <row r="1164" spans="1:80" s="120" customFormat="1" ht="15" customHeight="1">
      <c r="A1164" s="280" t="s">
        <v>370</v>
      </c>
      <c r="B1164" s="117">
        <v>2008</v>
      </c>
      <c r="C1164" s="117" t="s">
        <v>364</v>
      </c>
      <c r="D1164" s="117" t="s">
        <v>3617</v>
      </c>
      <c r="E1164" s="117" t="s">
        <v>244</v>
      </c>
      <c r="F1164" s="117"/>
      <c r="G1164" s="117" t="s">
        <v>24</v>
      </c>
      <c r="H1164" s="117" t="str">
        <f t="shared" si="196"/>
        <v>yes</v>
      </c>
      <c r="I1164" s="117" t="str">
        <f t="shared" si="193"/>
        <v>no</v>
      </c>
      <c r="J1164" s="117" t="str">
        <f t="shared" si="194"/>
        <v>no</v>
      </c>
      <c r="K1164" s="117" t="s">
        <v>1801</v>
      </c>
      <c r="L1164" s="117" t="str">
        <f t="shared" si="197"/>
        <v>detailed</v>
      </c>
      <c r="M1164" s="117" t="str">
        <f t="shared" si="195"/>
        <v>detailed Mining</v>
      </c>
      <c r="N1164" s="118">
        <f>1780*0.90718474</f>
        <v>1614.7888372</v>
      </c>
      <c r="O1164" s="118"/>
      <c r="P1164" s="118"/>
      <c r="Q1164" s="118"/>
      <c r="R1164" s="118"/>
      <c r="S1164" s="117" t="s">
        <v>610</v>
      </c>
      <c r="T1164" s="119">
        <f>62990*0.3121</f>
        <v>19659.179</v>
      </c>
      <c r="U1164" s="117" t="s">
        <v>611</v>
      </c>
      <c r="V1164" s="117" t="s">
        <v>1802</v>
      </c>
      <c r="W1164" s="89">
        <f t="shared" si="205"/>
        <v>31745422.797716659</v>
      </c>
      <c r="X1164" s="117"/>
      <c r="Y1164" s="117"/>
      <c r="Z1164" s="117"/>
      <c r="AA1164" s="89"/>
      <c r="AB1164" s="89"/>
      <c r="AC1164" s="240"/>
      <c r="AD1164" s="240"/>
      <c r="AE1164" s="240"/>
      <c r="AF1164" s="241"/>
      <c r="AG1164" s="117"/>
      <c r="AH1164" s="124"/>
      <c r="AI1164" s="117"/>
      <c r="AJ1164" s="117"/>
      <c r="AK1164" s="117"/>
      <c r="AL1164" s="117"/>
      <c r="AM1164" s="117"/>
      <c r="AN1164" s="117">
        <v>1</v>
      </c>
      <c r="AO1164" s="117" t="s">
        <v>1803</v>
      </c>
      <c r="AP1164" s="117">
        <v>1</v>
      </c>
      <c r="AQ1164" s="117"/>
      <c r="AR1164" s="126"/>
      <c r="AS1164" s="117"/>
      <c r="AT1164" s="117"/>
      <c r="AU1164" s="117">
        <v>15</v>
      </c>
      <c r="AV1164" s="128"/>
      <c r="AW1164" s="117">
        <f>VLOOKUP($D1164,'WB Data'!$C$3:$M$578,2,FALSE)</f>
        <v>5623236707.5247135</v>
      </c>
      <c r="AX1164" s="117">
        <f>VLOOKUP($D1164,'WB Data'!$C$3:$M$578,3,FALSE)</f>
        <v>2632834</v>
      </c>
      <c r="AY1164" s="847">
        <f t="shared" si="201"/>
        <v>0.10455591087126863</v>
      </c>
      <c r="AZ1164" s="117">
        <f>VLOOKUP($D1164,'WB Data'!$C$3:$M$578,4,FALSE)/100</f>
        <v>0.30815973634446686</v>
      </c>
      <c r="BA1164" s="117">
        <f t="shared" si="202"/>
        <v>1732855141.1933436</v>
      </c>
      <c r="BB1164" s="129">
        <f>IFERROR(VLOOKUP($D1164,'EITI Revenues'!$C$2:$G$224,5,FALSE),"..")</f>
        <v>587942636</v>
      </c>
      <c r="BC1164" s="846">
        <f t="shared" si="203"/>
        <v>0.33929127832064998</v>
      </c>
      <c r="BD1164" s="129" t="str">
        <f>VLOOKUP($D1164,'WB Data 2'!$C$2:$K$545,6,FALSE)</f>
        <v>..</v>
      </c>
      <c r="BE1164" s="129">
        <f>IFERROR(VLOOKUP($D1164,UNCTAD!$C$5:$V$529,4,FALSE),"..")</f>
        <v>3028517000</v>
      </c>
      <c r="BF1164" s="846" t="str">
        <f t="shared" si="204"/>
        <v>..</v>
      </c>
      <c r="BG1164" s="117">
        <f>VLOOKUP($D1164,'WB Data'!$C$3:$M$578,5,FALSE)</f>
        <v>246660000</v>
      </c>
      <c r="BH1164" s="129">
        <f>IFERROR($BB1164/$BG1164,"..")</f>
        <v>2.3836156490715967</v>
      </c>
      <c r="BI1164" s="117" t="str">
        <f>IFERROR(VLOOKUP($D1164,'WB Data'!$C$3:$M$578,7,FALSE)/100,"..")</f>
        <v>..</v>
      </c>
      <c r="BJ1164" s="117" t="str">
        <f>IFERROR($BI1164*$AW1164,"..")</f>
        <v>..</v>
      </c>
      <c r="BK1164" s="846" t="str">
        <f>IFERROR($BB1164/$BJ1164,"..")</f>
        <v>..</v>
      </c>
      <c r="BL1164" s="117" t="str">
        <f>IFERROR(VLOOKUP($D1164,'WB Data'!$C$3:$M$578,7,FALSE)/100,"..")</f>
        <v>..</v>
      </c>
      <c r="BM1164" s="117" t="str">
        <f>IFERROR($AW1164*$BL1164,"..")</f>
        <v>..</v>
      </c>
      <c r="BN1164" s="846" t="str">
        <f>IFERROR($BB1164/$BM1164,"..")</f>
        <v>..</v>
      </c>
      <c r="BO1164" s="801">
        <f t="shared" si="200"/>
        <v>39</v>
      </c>
      <c r="BP1164" s="117" t="str">
        <f>VLOOKUP($D1164,'WB Data'!$C$3:$M$578,9,FALSE)</f>
        <v>..</v>
      </c>
      <c r="BQ1164" s="117">
        <f>VLOOKUP($D1164,'WB Data'!$C$3:$M$578,10,FALSE)</f>
        <v>66.357121951219526</v>
      </c>
      <c r="BR1164" s="117">
        <f>VLOOKUP($D1164,'WB Data'!$C$3:$M$578,11,FALSE)</f>
        <v>31.7</v>
      </c>
      <c r="BS1164" s="129">
        <f>IFERROR(VLOOKUP($D1164,'WB Data 2'!$C$2:$K$545,9,FALSE),"..")</f>
        <v>99.345010000000002</v>
      </c>
      <c r="BT1164" s="129">
        <f>_xlfn.IFNA(VLOOKUP($C1164,RGI!$A$2:$C$43,2,FALSE),"..")</f>
        <v>38.200000000000003</v>
      </c>
      <c r="BU1164" s="129">
        <f>_xlfn.IFNA(VLOOKUP($C1164,RGI!$A$2:$C$43,3,FALSE),"..")</f>
        <v>50.952530108834466</v>
      </c>
      <c r="BV1164" s="129">
        <f>VLOOKUP($D1164,WGI!$C$2:$O$478,7,FALSE)</f>
        <v>0.238763706301584</v>
      </c>
      <c r="BW1164" s="129">
        <f>VLOOKUP($D1164,WGI!$C$2:$O$478,4,FALSE)</f>
        <v>0.57387371965939205</v>
      </c>
      <c r="BX1164" s="129">
        <f>VLOOKUP($D1164,WGI!$C$2:$O$478,3,FALSE)</f>
        <v>-0.51769434986029705</v>
      </c>
      <c r="BY1164" s="129">
        <f>VLOOKUP($D1164,WGI!$C$2:$O$478,5,FALSE)</f>
        <v>-0.333893375310926</v>
      </c>
      <c r="BZ1164" s="129">
        <f>VLOOKUP($D1164,WGI!$C$2:$O$478,2,FALSE)</f>
        <v>-0.66609296947146002</v>
      </c>
      <c r="CB1164" s="129"/>
    </row>
    <row r="1165" spans="1:80" s="120" customFormat="1" ht="15" customHeight="1">
      <c r="A1165" s="280" t="s">
        <v>370</v>
      </c>
      <c r="B1165" s="117">
        <v>2008</v>
      </c>
      <c r="C1165" s="117" t="s">
        <v>364</v>
      </c>
      <c r="D1165" s="117" t="s">
        <v>3617</v>
      </c>
      <c r="E1165" s="117" t="s">
        <v>244</v>
      </c>
      <c r="F1165" s="117"/>
      <c r="G1165" s="117" t="s">
        <v>24</v>
      </c>
      <c r="H1165" s="117" t="str">
        <f t="shared" si="196"/>
        <v>yes</v>
      </c>
      <c r="I1165" s="117" t="str">
        <f t="shared" si="193"/>
        <v>no</v>
      </c>
      <c r="J1165" s="117" t="str">
        <f t="shared" si="194"/>
        <v>no</v>
      </c>
      <c r="K1165" s="117" t="s">
        <v>1804</v>
      </c>
      <c r="L1165" s="117" t="str">
        <f t="shared" si="197"/>
        <v>detailed</v>
      </c>
      <c r="M1165" s="117" t="str">
        <f t="shared" si="195"/>
        <v>detailed Mining</v>
      </c>
      <c r="N1165" s="118"/>
      <c r="O1165" s="118"/>
      <c r="P1165" s="118"/>
      <c r="Q1165" s="118"/>
      <c r="R1165" s="118"/>
      <c r="S1165" s="117"/>
      <c r="T1165" s="119"/>
      <c r="U1165" s="117"/>
      <c r="V1165" s="117"/>
      <c r="W1165" s="89"/>
      <c r="X1165" s="117"/>
      <c r="Y1165" s="117"/>
      <c r="Z1165" s="117"/>
      <c r="AA1165" s="89">
        <v>1023936.4806866953</v>
      </c>
      <c r="AB1165" s="89">
        <v>1023936.4806866953</v>
      </c>
      <c r="AC1165" s="240"/>
      <c r="AD1165" s="240"/>
      <c r="AE1165" s="240"/>
      <c r="AF1165" s="241"/>
      <c r="AG1165" s="117"/>
      <c r="AH1165" s="124"/>
      <c r="AI1165" s="117"/>
      <c r="AJ1165" s="117"/>
      <c r="AK1165" s="117"/>
      <c r="AL1165" s="117"/>
      <c r="AM1165" s="117"/>
      <c r="AN1165" s="117">
        <v>1</v>
      </c>
      <c r="AO1165" s="117" t="s">
        <v>1805</v>
      </c>
      <c r="AP1165" s="117">
        <v>1</v>
      </c>
      <c r="AQ1165" s="117"/>
      <c r="AR1165" s="126"/>
      <c r="AS1165" s="117"/>
      <c r="AT1165" s="117"/>
      <c r="AU1165" s="117" t="s">
        <v>1806</v>
      </c>
      <c r="AV1165" s="128" t="s">
        <v>1807</v>
      </c>
      <c r="AW1165" s="117">
        <f>VLOOKUP($D1165,'WB Data'!$C$3:$M$578,2,FALSE)</f>
        <v>5623236707.5247135</v>
      </c>
      <c r="AX1165" s="117">
        <f>VLOOKUP($D1165,'WB Data'!$C$3:$M$578,3,FALSE)</f>
        <v>2632834</v>
      </c>
      <c r="AY1165" s="847">
        <f t="shared" si="201"/>
        <v>0.10455591087126863</v>
      </c>
      <c r="AZ1165" s="117">
        <f>VLOOKUP($D1165,'WB Data'!$C$3:$M$578,4,FALSE)/100</f>
        <v>0.30815973634446686</v>
      </c>
      <c r="BA1165" s="117">
        <f t="shared" si="202"/>
        <v>1732855141.1933436</v>
      </c>
      <c r="BB1165" s="129">
        <f>IFERROR(VLOOKUP($D1165,'EITI Revenues'!$C$2:$G$224,5,FALSE),"..")</f>
        <v>587942636</v>
      </c>
      <c r="BC1165" s="846">
        <f t="shared" si="203"/>
        <v>0.33929127832064998</v>
      </c>
      <c r="BD1165" s="129" t="str">
        <f>VLOOKUP($D1165,'WB Data 2'!$C$2:$K$545,6,FALSE)</f>
        <v>..</v>
      </c>
      <c r="BE1165" s="129">
        <f>IFERROR(VLOOKUP($D1165,UNCTAD!$C$5:$V$529,4,FALSE),"..")</f>
        <v>3028517000</v>
      </c>
      <c r="BF1165" s="846" t="str">
        <f t="shared" si="204"/>
        <v>..</v>
      </c>
      <c r="BG1165" s="117">
        <f>VLOOKUP($D1165,'WB Data'!$C$3:$M$578,5,FALSE)</f>
        <v>246660000</v>
      </c>
      <c r="BH1165" s="129">
        <f>IFERROR($BB1165/$BG1165,"..")</f>
        <v>2.3836156490715967</v>
      </c>
      <c r="BI1165" s="117" t="str">
        <f>IFERROR(VLOOKUP($D1165,'WB Data'!$C$3:$M$578,7,FALSE)/100,"..")</f>
        <v>..</v>
      </c>
      <c r="BJ1165" s="117" t="str">
        <f>IFERROR($BI1165*$AW1165,"..")</f>
        <v>..</v>
      </c>
      <c r="BK1165" s="846" t="str">
        <f>IFERROR($BB1165/$BJ1165,"..")</f>
        <v>..</v>
      </c>
      <c r="BL1165" s="117" t="str">
        <f>IFERROR(VLOOKUP($D1165,'WB Data'!$C$3:$M$578,7,FALSE)/100,"..")</f>
        <v>..</v>
      </c>
      <c r="BM1165" s="117" t="str">
        <f>IFERROR($AW1165*$BL1165,"..")</f>
        <v>..</v>
      </c>
      <c r="BN1165" s="846" t="str">
        <f>IFERROR($BB1165/$BM1165,"..")</f>
        <v>..</v>
      </c>
      <c r="BO1165" s="801">
        <f t="shared" si="200"/>
        <v>39</v>
      </c>
      <c r="BP1165" s="117" t="str">
        <f>VLOOKUP($D1165,'WB Data'!$C$3:$M$578,9,FALSE)</f>
        <v>..</v>
      </c>
      <c r="BQ1165" s="117">
        <f>VLOOKUP($D1165,'WB Data'!$C$3:$M$578,10,FALSE)</f>
        <v>66.357121951219526</v>
      </c>
      <c r="BR1165" s="117">
        <f>VLOOKUP($D1165,'WB Data'!$C$3:$M$578,11,FALSE)</f>
        <v>31.7</v>
      </c>
      <c r="BS1165" s="129">
        <f>IFERROR(VLOOKUP($D1165,'WB Data 2'!$C$2:$K$545,9,FALSE),"..")</f>
        <v>99.345010000000002</v>
      </c>
      <c r="BT1165" s="129">
        <f>_xlfn.IFNA(VLOOKUP($C1165,RGI!$A$2:$C$43,2,FALSE),"..")</f>
        <v>38.200000000000003</v>
      </c>
      <c r="BU1165" s="129">
        <f>_xlfn.IFNA(VLOOKUP($C1165,RGI!$A$2:$C$43,3,FALSE),"..")</f>
        <v>50.952530108834466</v>
      </c>
      <c r="BV1165" s="129">
        <f>VLOOKUP($D1165,WGI!$C$2:$O$478,7,FALSE)</f>
        <v>0.238763706301584</v>
      </c>
      <c r="BW1165" s="129">
        <f>VLOOKUP($D1165,WGI!$C$2:$O$478,4,FALSE)</f>
        <v>0.57387371965939205</v>
      </c>
      <c r="BX1165" s="129">
        <f>VLOOKUP($D1165,WGI!$C$2:$O$478,3,FALSE)</f>
        <v>-0.51769434986029705</v>
      </c>
      <c r="BY1165" s="129">
        <f>VLOOKUP($D1165,WGI!$C$2:$O$478,5,FALSE)</f>
        <v>-0.333893375310926</v>
      </c>
      <c r="BZ1165" s="129">
        <f>VLOOKUP($D1165,WGI!$C$2:$O$478,2,FALSE)</f>
        <v>-0.66609296947146002</v>
      </c>
      <c r="CB1165" s="129"/>
    </row>
    <row r="1166" spans="1:80" s="120" customFormat="1" ht="15" customHeight="1">
      <c r="A1166" s="280" t="s">
        <v>370</v>
      </c>
      <c r="B1166" s="117">
        <v>2008</v>
      </c>
      <c r="C1166" s="117" t="s">
        <v>364</v>
      </c>
      <c r="D1166" s="117" t="s">
        <v>3617</v>
      </c>
      <c r="E1166" s="117" t="s">
        <v>244</v>
      </c>
      <c r="F1166" s="117"/>
      <c r="G1166" s="117" t="s">
        <v>24</v>
      </c>
      <c r="H1166" s="117" t="str">
        <f t="shared" si="196"/>
        <v>yes</v>
      </c>
      <c r="I1166" s="117" t="str">
        <f t="shared" si="193"/>
        <v>no</v>
      </c>
      <c r="J1166" s="117" t="str">
        <f t="shared" si="194"/>
        <v>no</v>
      </c>
      <c r="K1166" s="117" t="s">
        <v>1783</v>
      </c>
      <c r="L1166" s="117" t="str">
        <f t="shared" si="197"/>
        <v>detailed</v>
      </c>
      <c r="M1166" s="117" t="str">
        <f t="shared" si="195"/>
        <v>detailed Mining</v>
      </c>
      <c r="N1166" s="118">
        <f>90*0.90718474</f>
        <v>81.646626600000005</v>
      </c>
      <c r="O1166" s="118"/>
      <c r="P1166" s="118">
        <f>90*0.90718474</f>
        <v>81.646626600000005</v>
      </c>
      <c r="Q1166" s="118"/>
      <c r="R1166" s="118"/>
      <c r="S1166" s="117" t="s">
        <v>610</v>
      </c>
      <c r="T1166" s="186">
        <f>18510.0910833333</f>
        <v>18510.0910833333</v>
      </c>
      <c r="U1166" s="117" t="s">
        <v>611</v>
      </c>
      <c r="V1166" s="117" t="s">
        <v>1808</v>
      </c>
      <c r="W1166" s="89">
        <f>N1166*T1166</f>
        <v>1511286.4950129036</v>
      </c>
      <c r="X1166" s="117"/>
      <c r="Y1166" s="117"/>
      <c r="Z1166" s="117"/>
      <c r="AA1166" s="89"/>
      <c r="AB1166" s="89"/>
      <c r="AC1166" s="240"/>
      <c r="AD1166" s="240"/>
      <c r="AE1166" s="240"/>
      <c r="AF1166" s="241"/>
      <c r="AG1166" s="117"/>
      <c r="AH1166" s="124"/>
      <c r="AI1166" s="117"/>
      <c r="AJ1166" s="117"/>
      <c r="AK1166" s="117"/>
      <c r="AL1166" s="117"/>
      <c r="AM1166" s="117"/>
      <c r="AN1166" s="117">
        <v>1</v>
      </c>
      <c r="AO1166" s="117" t="s">
        <v>1809</v>
      </c>
      <c r="AP1166" s="117">
        <v>1</v>
      </c>
      <c r="AQ1166" s="117"/>
      <c r="AR1166" s="126"/>
      <c r="AS1166" s="117"/>
      <c r="AT1166" s="117"/>
      <c r="AU1166" s="117">
        <v>15</v>
      </c>
      <c r="AV1166" s="128"/>
      <c r="AW1166" s="117">
        <f>VLOOKUP($D1166,'WB Data'!$C$3:$M$578,2,FALSE)</f>
        <v>5623236707.5247135</v>
      </c>
      <c r="AX1166" s="117">
        <f>VLOOKUP($D1166,'WB Data'!$C$3:$M$578,3,FALSE)</f>
        <v>2632834</v>
      </c>
      <c r="AY1166" s="847">
        <f t="shared" si="201"/>
        <v>0.10455591087126863</v>
      </c>
      <c r="AZ1166" s="117">
        <f>VLOOKUP($D1166,'WB Data'!$C$3:$M$578,4,FALSE)/100</f>
        <v>0.30815973634446686</v>
      </c>
      <c r="BA1166" s="117">
        <f t="shared" si="202"/>
        <v>1732855141.1933436</v>
      </c>
      <c r="BB1166" s="129">
        <f>IFERROR(VLOOKUP($D1166,'EITI Revenues'!$C$2:$G$224,5,FALSE),"..")</f>
        <v>587942636</v>
      </c>
      <c r="BC1166" s="846">
        <f t="shared" si="203"/>
        <v>0.33929127832064998</v>
      </c>
      <c r="BD1166" s="129" t="str">
        <f>VLOOKUP($D1166,'WB Data 2'!$C$2:$K$545,6,FALSE)</f>
        <v>..</v>
      </c>
      <c r="BE1166" s="129">
        <f>IFERROR(VLOOKUP($D1166,UNCTAD!$C$5:$V$529,4,FALSE),"..")</f>
        <v>3028517000</v>
      </c>
      <c r="BF1166" s="846" t="str">
        <f t="shared" si="204"/>
        <v>..</v>
      </c>
      <c r="BG1166" s="117">
        <f>VLOOKUP($D1166,'WB Data'!$C$3:$M$578,5,FALSE)</f>
        <v>246660000</v>
      </c>
      <c r="BH1166" s="129">
        <f>IFERROR($BB1166/$BG1166,"..")</f>
        <v>2.3836156490715967</v>
      </c>
      <c r="BI1166" s="117" t="str">
        <f>IFERROR(VLOOKUP($D1166,'WB Data'!$C$3:$M$578,7,FALSE)/100,"..")</f>
        <v>..</v>
      </c>
      <c r="BJ1166" s="117" t="str">
        <f>IFERROR($BI1166*$AW1166,"..")</f>
        <v>..</v>
      </c>
      <c r="BK1166" s="846" t="str">
        <f>IFERROR($BB1166/$BJ1166,"..")</f>
        <v>..</v>
      </c>
      <c r="BL1166" s="117" t="str">
        <f>IFERROR(VLOOKUP($D1166,'WB Data'!$C$3:$M$578,7,FALSE)/100,"..")</f>
        <v>..</v>
      </c>
      <c r="BM1166" s="117" t="str">
        <f>IFERROR($AW1166*$BL1166,"..")</f>
        <v>..</v>
      </c>
      <c r="BN1166" s="846" t="str">
        <f>IFERROR($BB1166/$BM1166,"..")</f>
        <v>..</v>
      </c>
      <c r="BO1166" s="801">
        <f t="shared" si="200"/>
        <v>39</v>
      </c>
      <c r="BP1166" s="117" t="str">
        <f>VLOOKUP($D1166,'WB Data'!$C$3:$M$578,9,FALSE)</f>
        <v>..</v>
      </c>
      <c r="BQ1166" s="117">
        <f>VLOOKUP($D1166,'WB Data'!$C$3:$M$578,10,FALSE)</f>
        <v>66.357121951219526</v>
      </c>
      <c r="BR1166" s="117">
        <f>VLOOKUP($D1166,'WB Data'!$C$3:$M$578,11,FALSE)</f>
        <v>31.7</v>
      </c>
      <c r="BS1166" s="129">
        <f>IFERROR(VLOOKUP($D1166,'WB Data 2'!$C$2:$K$545,9,FALSE),"..")</f>
        <v>99.345010000000002</v>
      </c>
      <c r="BT1166" s="129">
        <f>_xlfn.IFNA(VLOOKUP($C1166,RGI!$A$2:$C$43,2,FALSE),"..")</f>
        <v>38.200000000000003</v>
      </c>
      <c r="BU1166" s="129">
        <f>_xlfn.IFNA(VLOOKUP($C1166,RGI!$A$2:$C$43,3,FALSE),"..")</f>
        <v>50.952530108834466</v>
      </c>
      <c r="BV1166" s="129">
        <f>VLOOKUP($D1166,WGI!$C$2:$O$478,7,FALSE)</f>
        <v>0.238763706301584</v>
      </c>
      <c r="BW1166" s="129">
        <f>VLOOKUP($D1166,WGI!$C$2:$O$478,4,FALSE)</f>
        <v>0.57387371965939205</v>
      </c>
      <c r="BX1166" s="129">
        <f>VLOOKUP($D1166,WGI!$C$2:$O$478,3,FALSE)</f>
        <v>-0.51769434986029705</v>
      </c>
      <c r="BY1166" s="129">
        <f>VLOOKUP($D1166,WGI!$C$2:$O$478,5,FALSE)</f>
        <v>-0.333893375310926</v>
      </c>
      <c r="BZ1166" s="129">
        <f>VLOOKUP($D1166,WGI!$C$2:$O$478,2,FALSE)</f>
        <v>-0.66609296947146002</v>
      </c>
      <c r="CB1166" s="129"/>
    </row>
    <row r="1167" spans="1:80" s="120" customFormat="1" ht="15" customHeight="1">
      <c r="A1167" s="280" t="s">
        <v>370</v>
      </c>
      <c r="B1167" s="117">
        <v>2008</v>
      </c>
      <c r="C1167" s="117" t="s">
        <v>364</v>
      </c>
      <c r="D1167" s="117" t="s">
        <v>3617</v>
      </c>
      <c r="E1167" s="117" t="s">
        <v>244</v>
      </c>
      <c r="F1167" s="117"/>
      <c r="G1167" s="117" t="s">
        <v>24</v>
      </c>
      <c r="H1167" s="117" t="str">
        <f t="shared" si="196"/>
        <v>yes</v>
      </c>
      <c r="I1167" s="117" t="str">
        <f t="shared" si="193"/>
        <v>no</v>
      </c>
      <c r="J1167" s="117" t="str">
        <f t="shared" si="194"/>
        <v>no</v>
      </c>
      <c r="K1167" s="117" t="s">
        <v>1766</v>
      </c>
      <c r="L1167" s="117" t="str">
        <f t="shared" si="197"/>
        <v>detailed</v>
      </c>
      <c r="M1167" s="117" t="str">
        <f t="shared" si="195"/>
        <v>detailed Mining</v>
      </c>
      <c r="N1167" s="118">
        <v>142</v>
      </c>
      <c r="O1167" s="118"/>
      <c r="P1167" s="118"/>
      <c r="Q1167" s="118"/>
      <c r="R1167" s="118"/>
      <c r="S1167" s="117" t="s">
        <v>610</v>
      </c>
      <c r="T1167" s="119">
        <v>174</v>
      </c>
      <c r="U1167" s="117" t="s">
        <v>611</v>
      </c>
      <c r="V1167" s="117" t="s">
        <v>1810</v>
      </c>
      <c r="W1167" s="89">
        <f>N1167*T1167</f>
        <v>24708</v>
      </c>
      <c r="X1167" s="117"/>
      <c r="Y1167" s="117"/>
      <c r="Z1167" s="117"/>
      <c r="AA1167" s="89"/>
      <c r="AB1167" s="89"/>
      <c r="AC1167" s="240"/>
      <c r="AD1167" s="240"/>
      <c r="AE1167" s="240"/>
      <c r="AF1167" s="241"/>
      <c r="AG1167" s="117"/>
      <c r="AH1167" s="124"/>
      <c r="AI1167" s="117"/>
      <c r="AJ1167" s="117"/>
      <c r="AK1167" s="117"/>
      <c r="AL1167" s="117"/>
      <c r="AM1167" s="117"/>
      <c r="AN1167" s="117"/>
      <c r="AO1167" s="117"/>
      <c r="AP1167" s="117"/>
      <c r="AQ1167" s="117"/>
      <c r="AR1167" s="126"/>
      <c r="AS1167" s="117"/>
      <c r="AT1167" s="117"/>
      <c r="AU1167" s="117">
        <v>15</v>
      </c>
      <c r="AV1167" s="128"/>
      <c r="AW1167" s="117">
        <f>VLOOKUP($D1167,'WB Data'!$C$3:$M$578,2,FALSE)</f>
        <v>5623236707.5247135</v>
      </c>
      <c r="AX1167" s="117">
        <f>VLOOKUP($D1167,'WB Data'!$C$3:$M$578,3,FALSE)</f>
        <v>2632834</v>
      </c>
      <c r="AY1167" s="847">
        <f t="shared" si="201"/>
        <v>0.10455591087126863</v>
      </c>
      <c r="AZ1167" s="117">
        <f>VLOOKUP($D1167,'WB Data'!$C$3:$M$578,4,FALSE)/100</f>
        <v>0.30815973634446686</v>
      </c>
      <c r="BA1167" s="117">
        <f t="shared" si="202"/>
        <v>1732855141.1933436</v>
      </c>
      <c r="BB1167" s="129">
        <f>IFERROR(VLOOKUP($D1167,'EITI Revenues'!$C$2:$G$224,5,FALSE),"..")</f>
        <v>587942636</v>
      </c>
      <c r="BC1167" s="846">
        <f t="shared" si="203"/>
        <v>0.33929127832064998</v>
      </c>
      <c r="BD1167" s="129" t="str">
        <f>VLOOKUP($D1167,'WB Data 2'!$C$2:$K$545,6,FALSE)</f>
        <v>..</v>
      </c>
      <c r="BE1167" s="129">
        <f>IFERROR(VLOOKUP($D1167,UNCTAD!$C$5:$V$529,4,FALSE),"..")</f>
        <v>3028517000</v>
      </c>
      <c r="BF1167" s="846" t="str">
        <f t="shared" si="204"/>
        <v>..</v>
      </c>
      <c r="BG1167" s="117">
        <f>VLOOKUP($D1167,'WB Data'!$C$3:$M$578,5,FALSE)</f>
        <v>246660000</v>
      </c>
      <c r="BH1167" s="129">
        <f>IFERROR($BB1167/$BG1167,"..")</f>
        <v>2.3836156490715967</v>
      </c>
      <c r="BI1167" s="117" t="str">
        <f>IFERROR(VLOOKUP($D1167,'WB Data'!$C$3:$M$578,7,FALSE)/100,"..")</f>
        <v>..</v>
      </c>
      <c r="BJ1167" s="117" t="str">
        <f>IFERROR($BI1167*$AW1167,"..")</f>
        <v>..</v>
      </c>
      <c r="BK1167" s="846" t="str">
        <f>IFERROR($BB1167/$BJ1167,"..")</f>
        <v>..</v>
      </c>
      <c r="BL1167" s="117" t="str">
        <f>IFERROR(VLOOKUP($D1167,'WB Data'!$C$3:$M$578,7,FALSE)/100,"..")</f>
        <v>..</v>
      </c>
      <c r="BM1167" s="117" t="str">
        <f>IFERROR($AW1167*$BL1167,"..")</f>
        <v>..</v>
      </c>
      <c r="BN1167" s="846" t="str">
        <f>IFERROR($BB1167/$BM1167,"..")</f>
        <v>..</v>
      </c>
      <c r="BO1167" s="801">
        <f t="shared" si="200"/>
        <v>39</v>
      </c>
      <c r="BP1167" s="117" t="str">
        <f>VLOOKUP($D1167,'WB Data'!$C$3:$M$578,9,FALSE)</f>
        <v>..</v>
      </c>
      <c r="BQ1167" s="117">
        <f>VLOOKUP($D1167,'WB Data'!$C$3:$M$578,10,FALSE)</f>
        <v>66.357121951219526</v>
      </c>
      <c r="BR1167" s="117">
        <f>VLOOKUP($D1167,'WB Data'!$C$3:$M$578,11,FALSE)</f>
        <v>31.7</v>
      </c>
      <c r="BS1167" s="129">
        <f>IFERROR(VLOOKUP($D1167,'WB Data 2'!$C$2:$K$545,9,FALSE),"..")</f>
        <v>99.345010000000002</v>
      </c>
      <c r="BT1167" s="129">
        <f>_xlfn.IFNA(VLOOKUP($C1167,RGI!$A$2:$C$43,2,FALSE),"..")</f>
        <v>38.200000000000003</v>
      </c>
      <c r="BU1167" s="129">
        <f>_xlfn.IFNA(VLOOKUP($C1167,RGI!$A$2:$C$43,3,FALSE),"..")</f>
        <v>50.952530108834466</v>
      </c>
      <c r="BV1167" s="129">
        <f>VLOOKUP($D1167,WGI!$C$2:$O$478,7,FALSE)</f>
        <v>0.238763706301584</v>
      </c>
      <c r="BW1167" s="129">
        <f>VLOOKUP($D1167,WGI!$C$2:$O$478,4,FALSE)</f>
        <v>0.57387371965939205</v>
      </c>
      <c r="BX1167" s="129">
        <f>VLOOKUP($D1167,WGI!$C$2:$O$478,3,FALSE)</f>
        <v>-0.51769434986029705</v>
      </c>
      <c r="BY1167" s="129">
        <f>VLOOKUP($D1167,WGI!$C$2:$O$478,5,FALSE)</f>
        <v>-0.333893375310926</v>
      </c>
      <c r="BZ1167" s="129">
        <f>VLOOKUP($D1167,WGI!$C$2:$O$478,2,FALSE)</f>
        <v>-0.66609296947146002</v>
      </c>
      <c r="CB1167" s="129"/>
    </row>
    <row r="1168" spans="1:80" s="158" customFormat="1" ht="15" customHeight="1">
      <c r="A1168" s="282" t="s">
        <v>370</v>
      </c>
      <c r="B1168" s="149">
        <v>2008</v>
      </c>
      <c r="C1168" s="149" t="s">
        <v>364</v>
      </c>
      <c r="D1168" s="117" t="s">
        <v>3617</v>
      </c>
      <c r="E1168" s="149" t="s">
        <v>244</v>
      </c>
      <c r="F1168" s="149"/>
      <c r="G1168" s="117" t="s">
        <v>24</v>
      </c>
      <c r="H1168" s="117" t="str">
        <f t="shared" si="196"/>
        <v>yes</v>
      </c>
      <c r="I1168" s="117" t="str">
        <f t="shared" si="193"/>
        <v>no</v>
      </c>
      <c r="J1168" s="117" t="str">
        <f t="shared" si="194"/>
        <v>no</v>
      </c>
      <c r="K1168" s="149" t="s">
        <v>1768</v>
      </c>
      <c r="L1168" s="117" t="str">
        <f t="shared" si="197"/>
        <v>detailed</v>
      </c>
      <c r="M1168" s="117" t="str">
        <f t="shared" si="195"/>
        <v>detailed Mining</v>
      </c>
      <c r="N1168" s="150">
        <f>143600*0.90718474</f>
        <v>130271.72866400001</v>
      </c>
      <c r="O1168" s="150"/>
      <c r="P1168" s="150">
        <f>143600*0.90718474</f>
        <v>130271.72866400001</v>
      </c>
      <c r="Q1168" s="150"/>
      <c r="R1168" s="150"/>
      <c r="S1168" s="149" t="s">
        <v>610</v>
      </c>
      <c r="T1168" s="352">
        <f>1874.70866666667*0.5071</f>
        <v>950.66476486666841</v>
      </c>
      <c r="U1168" s="149" t="s">
        <v>611</v>
      </c>
      <c r="V1168" s="149" t="s">
        <v>1811</v>
      </c>
      <c r="W1168" s="152">
        <f>N1168*T1168</f>
        <v>123844742.299136</v>
      </c>
      <c r="X1168" s="149"/>
      <c r="Y1168" s="149"/>
      <c r="Z1168" s="149"/>
      <c r="AA1168" s="152"/>
      <c r="AB1168" s="152"/>
      <c r="AC1168" s="288"/>
      <c r="AD1168" s="288"/>
      <c r="AE1168" s="288"/>
      <c r="AF1168" s="285"/>
      <c r="AG1168" s="149"/>
      <c r="AH1168" s="156"/>
      <c r="AI1168" s="149"/>
      <c r="AJ1168" s="149"/>
      <c r="AK1168" s="149"/>
      <c r="AL1168" s="149"/>
      <c r="AM1168" s="149"/>
      <c r="AN1168" s="149">
        <v>3</v>
      </c>
      <c r="AO1168" s="149" t="s">
        <v>1785</v>
      </c>
      <c r="AP1168" s="149">
        <v>3</v>
      </c>
      <c r="AQ1168" s="149"/>
      <c r="AR1168" s="220"/>
      <c r="AS1168" s="149"/>
      <c r="AT1168" s="149"/>
      <c r="AU1168" s="149">
        <v>15</v>
      </c>
      <c r="AV1168" s="157"/>
      <c r="AW1168" s="117">
        <f>VLOOKUP($D1168,'WB Data'!$C$3:$M$578,2,FALSE)</f>
        <v>5623236707.5247135</v>
      </c>
      <c r="AX1168" s="117">
        <f>VLOOKUP($D1168,'WB Data'!$C$3:$M$578,3,FALSE)</f>
        <v>2632834</v>
      </c>
      <c r="AY1168" s="847">
        <f t="shared" si="201"/>
        <v>0.10455591087126863</v>
      </c>
      <c r="AZ1168" s="117">
        <f>VLOOKUP($D1168,'WB Data'!$C$3:$M$578,4,FALSE)/100</f>
        <v>0.30815973634446686</v>
      </c>
      <c r="BA1168" s="117">
        <f t="shared" si="202"/>
        <v>1732855141.1933436</v>
      </c>
      <c r="BB1168" s="129">
        <f>IFERROR(VLOOKUP($D1168,'EITI Revenues'!$C$2:$G$224,5,FALSE),"..")</f>
        <v>587942636</v>
      </c>
      <c r="BC1168" s="846">
        <f t="shared" si="203"/>
        <v>0.33929127832064998</v>
      </c>
      <c r="BD1168" s="129" t="str">
        <f>VLOOKUP($D1168,'WB Data 2'!$C$2:$K$545,6,FALSE)</f>
        <v>..</v>
      </c>
      <c r="BE1168" s="129">
        <f>IFERROR(VLOOKUP($D1168,UNCTAD!$C$5:$V$529,4,FALSE),"..")</f>
        <v>3028517000</v>
      </c>
      <c r="BF1168" s="846" t="str">
        <f t="shared" si="204"/>
        <v>..</v>
      </c>
      <c r="BG1168" s="117">
        <f>VLOOKUP($D1168,'WB Data'!$C$3:$M$578,5,FALSE)</f>
        <v>246660000</v>
      </c>
      <c r="BH1168" s="129">
        <f>IFERROR($BB1168/$BG1168,"..")</f>
        <v>2.3836156490715967</v>
      </c>
      <c r="BI1168" s="117" t="str">
        <f>IFERROR(VLOOKUP($D1168,'WB Data'!$C$3:$M$578,7,FALSE)/100,"..")</f>
        <v>..</v>
      </c>
      <c r="BJ1168" s="117" t="str">
        <f>IFERROR($BI1168*$AW1168,"..")</f>
        <v>..</v>
      </c>
      <c r="BK1168" s="846" t="str">
        <f>IFERROR($BB1168/$BJ1168,"..")</f>
        <v>..</v>
      </c>
      <c r="BL1168" s="117" t="str">
        <f>IFERROR(VLOOKUP($D1168,'WB Data'!$C$3:$M$578,7,FALSE)/100,"..")</f>
        <v>..</v>
      </c>
      <c r="BM1168" s="117" t="str">
        <f>IFERROR($AW1168*$BL1168,"..")</f>
        <v>..</v>
      </c>
      <c r="BN1168" s="846" t="str">
        <f>IFERROR($BB1168/$BM1168,"..")</f>
        <v>..</v>
      </c>
      <c r="BO1168" s="801">
        <f t="shared" si="200"/>
        <v>39</v>
      </c>
      <c r="BP1168" s="117" t="str">
        <f>VLOOKUP($D1168,'WB Data'!$C$3:$M$578,9,FALSE)</f>
        <v>..</v>
      </c>
      <c r="BQ1168" s="117">
        <f>VLOOKUP($D1168,'WB Data'!$C$3:$M$578,10,FALSE)</f>
        <v>66.357121951219526</v>
      </c>
      <c r="BR1168" s="117">
        <f>VLOOKUP($D1168,'WB Data'!$C$3:$M$578,11,FALSE)</f>
        <v>31.7</v>
      </c>
      <c r="BS1168" s="129">
        <f>IFERROR(VLOOKUP($D1168,'WB Data 2'!$C$2:$K$545,9,FALSE),"..")</f>
        <v>99.345010000000002</v>
      </c>
      <c r="BT1168" s="129">
        <f>_xlfn.IFNA(VLOOKUP($C1168,RGI!$A$2:$C$43,2,FALSE),"..")</f>
        <v>38.200000000000003</v>
      </c>
      <c r="BU1168" s="129">
        <f>_xlfn.IFNA(VLOOKUP($C1168,RGI!$A$2:$C$43,3,FALSE),"..")</f>
        <v>50.952530108834466</v>
      </c>
      <c r="BV1168" s="129">
        <f>VLOOKUP($D1168,WGI!$C$2:$O$478,7,FALSE)</f>
        <v>0.238763706301584</v>
      </c>
      <c r="BW1168" s="129">
        <f>VLOOKUP($D1168,WGI!$C$2:$O$478,4,FALSE)</f>
        <v>0.57387371965939205</v>
      </c>
      <c r="BX1168" s="129">
        <f>VLOOKUP($D1168,WGI!$C$2:$O$478,3,FALSE)</f>
        <v>-0.51769434986029705</v>
      </c>
      <c r="BY1168" s="129">
        <f>VLOOKUP($D1168,WGI!$C$2:$O$478,5,FALSE)</f>
        <v>-0.333893375310926</v>
      </c>
      <c r="BZ1168" s="129">
        <f>VLOOKUP($D1168,WGI!$C$2:$O$478,2,FALSE)</f>
        <v>-0.66609296947146002</v>
      </c>
      <c r="CB1168" s="129"/>
    </row>
    <row r="1169" spans="1:80" ht="15" customHeight="1">
      <c r="A1169" s="280" t="s">
        <v>373</v>
      </c>
      <c r="B1169" s="117">
        <v>2009</v>
      </c>
      <c r="C1169" s="117" t="s">
        <v>364</v>
      </c>
      <c r="D1169" s="117" t="s">
        <v>3651</v>
      </c>
      <c r="E1169" s="117" t="s">
        <v>244</v>
      </c>
      <c r="F1169" s="117" t="s">
        <v>1745</v>
      </c>
      <c r="G1169" s="132" t="s">
        <v>41</v>
      </c>
      <c r="H1169" s="117" t="str">
        <f t="shared" si="196"/>
        <v>yes</v>
      </c>
      <c r="I1169" s="117" t="str">
        <f t="shared" si="193"/>
        <v>no</v>
      </c>
      <c r="J1169" s="117" t="str">
        <f t="shared" si="194"/>
        <v>yes</v>
      </c>
      <c r="K1169" s="117" t="s">
        <v>709</v>
      </c>
      <c r="L1169" s="117" t="str">
        <f t="shared" si="197"/>
        <v>Total</v>
      </c>
      <c r="M1169" s="117" t="str">
        <f t="shared" si="195"/>
        <v>Total Oil, Mining</v>
      </c>
      <c r="N1169" s="118"/>
      <c r="O1169" s="118"/>
      <c r="P1169" s="118"/>
      <c r="Q1169" s="118"/>
      <c r="R1169" s="118"/>
      <c r="S1169" s="117"/>
      <c r="T1169" s="119"/>
      <c r="U1169" s="117"/>
      <c r="V1169" s="117"/>
      <c r="W1169" s="89">
        <f>W1170+W1171</f>
        <v>1562865033.3550594</v>
      </c>
      <c r="X1169" s="117" t="s">
        <v>1179</v>
      </c>
      <c r="Y1169" s="117" t="s">
        <v>663</v>
      </c>
      <c r="Z1169" s="117" t="s">
        <v>664</v>
      </c>
      <c r="AA1169" s="597">
        <v>512525992.42710215</v>
      </c>
      <c r="AB1169" s="597">
        <v>512566409.30000001</v>
      </c>
      <c r="AC1169" s="240"/>
      <c r="AD1169" s="240"/>
      <c r="AE1169" s="240"/>
      <c r="AF1169" s="241">
        <f>AA1169/W1169</f>
        <v>0.32794002136374112</v>
      </c>
      <c r="AG1169" s="117" t="s">
        <v>1747</v>
      </c>
      <c r="AH1169" s="124">
        <v>1439</v>
      </c>
      <c r="AI1169" s="117" t="s">
        <v>1570</v>
      </c>
      <c r="AJ1169" s="117" t="s">
        <v>943</v>
      </c>
      <c r="AK1169" s="117" t="s">
        <v>943</v>
      </c>
      <c r="AL1169" s="117"/>
      <c r="AM1169" s="117"/>
      <c r="AN1169" s="117">
        <v>107</v>
      </c>
      <c r="AO1169" s="117" t="s">
        <v>1812</v>
      </c>
      <c r="AP1169" s="117">
        <v>101</v>
      </c>
      <c r="AQ1169" s="215" t="s">
        <v>76</v>
      </c>
      <c r="AR1169" s="126">
        <v>41904</v>
      </c>
      <c r="AS1169" s="117" t="s">
        <v>1787</v>
      </c>
      <c r="AT1169" s="117" t="s">
        <v>374</v>
      </c>
      <c r="AU1169" s="601">
        <v>7</v>
      </c>
      <c r="AV1169" s="128" t="s">
        <v>1813</v>
      </c>
      <c r="AW1169" s="117">
        <f>VLOOKUP($D1169,'WB Data'!$C$3:$M$578,2,FALSE)</f>
        <v>4583834427.3647375</v>
      </c>
      <c r="AX1169" s="117">
        <f>VLOOKUP($D1169,'WB Data'!$C$3:$M$578,3,FALSE)</f>
        <v>2672223</v>
      </c>
      <c r="AY1169" s="847">
        <f t="shared" si="201"/>
        <v>0.11181162857179271</v>
      </c>
      <c r="AZ1169" s="117">
        <f>VLOOKUP($D1169,'WB Data'!$C$3:$M$578,4,FALSE)/100</f>
        <v>0.26831178133413958</v>
      </c>
      <c r="BA1169" s="117">
        <f t="shared" si="202"/>
        <v>1229896780.5469882</v>
      </c>
      <c r="BB1169" s="129">
        <f>IFERROR(VLOOKUP($D1169,'EITI Revenues'!$C$2:$G$224,5,FALSE),"..")</f>
        <v>512525992.42710215</v>
      </c>
      <c r="BC1169" s="846">
        <f t="shared" si="203"/>
        <v>0.41672276936862923</v>
      </c>
      <c r="BD1169" s="129" t="str">
        <f>VLOOKUP($D1169,'WB Data 2'!$C$2:$K$545,6,FALSE)</f>
        <v>..</v>
      </c>
      <c r="BE1169" s="129">
        <f>IFERROR(VLOOKUP($D1169,UNCTAD!$C$5:$V$529,4,FALSE),"..")</f>
        <v>2299920000</v>
      </c>
      <c r="BF1169" s="846" t="str">
        <f t="shared" si="204"/>
        <v>..</v>
      </c>
      <c r="BG1169" s="117">
        <f>VLOOKUP($D1169,'WB Data'!$C$3:$M$578,5,FALSE)</f>
        <v>371220000</v>
      </c>
      <c r="BH1169" s="129">
        <f>IFERROR($BB1169/$BG1169,"..")</f>
        <v>1.3806529616591297</v>
      </c>
      <c r="BI1169" s="117">
        <f>IFERROR(VLOOKUP($D1169,'WB Data'!$C$3:$M$578,7,FALSE)/100,"..")</f>
        <v>5.1448500000000001E-2</v>
      </c>
      <c r="BJ1169" s="117">
        <f>IFERROR($BI1169*$AW1169,"..")</f>
        <v>235831405.5362747</v>
      </c>
      <c r="BK1169" s="846">
        <f>IFERROR($BB1169/$BJ1169,"..")</f>
        <v>2.1732728567750801</v>
      </c>
      <c r="BL1169" s="117">
        <f>IFERROR(VLOOKUP($D1169,'WB Data'!$C$3:$M$578,7,FALSE)/100,"..")</f>
        <v>5.1448500000000001E-2</v>
      </c>
      <c r="BM1169" s="117">
        <f>IFERROR($AW1169*$BL1169,"..")</f>
        <v>235831405.5362747</v>
      </c>
      <c r="BN1169" s="846">
        <f>IFERROR($BB1169/$BM1169,"..")</f>
        <v>2.1732728567750801</v>
      </c>
      <c r="BO1169" s="801">
        <f t="shared" si="200"/>
        <v>39</v>
      </c>
      <c r="BP1169" s="117" t="str">
        <f>VLOOKUP($D1169,'WB Data'!$C$3:$M$578,9,FALSE)</f>
        <v>..</v>
      </c>
      <c r="BQ1169" s="117">
        <f>VLOOKUP($D1169,'WB Data'!$C$3:$M$578,10,FALSE)</f>
        <v>66.641219512195136</v>
      </c>
      <c r="BR1169" s="117">
        <f>VLOOKUP($D1169,'WB Data'!$C$3:$M$578,11,FALSE)</f>
        <v>30.4</v>
      </c>
      <c r="BS1169" s="129">
        <f>IFERROR(VLOOKUP($D1169,'WB Data 2'!$C$2:$K$545,9,FALSE),"..")</f>
        <v>98.448030000000003</v>
      </c>
      <c r="BT1169" s="129">
        <f>_xlfn.IFNA(VLOOKUP($C1169,RGI!$A$2:$C$43,2,FALSE),"..")</f>
        <v>38.200000000000003</v>
      </c>
      <c r="BU1169" s="129">
        <f>_xlfn.IFNA(VLOOKUP($C1169,RGI!$A$2:$C$43,3,FALSE),"..")</f>
        <v>50.952530108834466</v>
      </c>
      <c r="BV1169" s="129">
        <f>VLOOKUP($D1169,WGI!$C$2:$O$478,7,FALSE)</f>
        <v>9.1417087418387499E-2</v>
      </c>
      <c r="BW1169" s="129">
        <f>VLOOKUP($D1169,WGI!$C$2:$O$478,4,FALSE)</f>
        <v>0.601512514565814</v>
      </c>
      <c r="BX1169" s="129">
        <f>VLOOKUP($D1169,WGI!$C$2:$O$478,3,FALSE)</f>
        <v>-0.65829754879069402</v>
      </c>
      <c r="BY1169" s="129">
        <f>VLOOKUP($D1169,WGI!$C$2:$O$478,5,FALSE)</f>
        <v>-0.27675532483055199</v>
      </c>
      <c r="BZ1169" s="129">
        <f>VLOOKUP($D1169,WGI!$C$2:$O$478,2,FALSE)</f>
        <v>-0.75530920524568601</v>
      </c>
    </row>
    <row r="1170" spans="1:80" ht="15" customHeight="1">
      <c r="A1170" s="280" t="s">
        <v>373</v>
      </c>
      <c r="B1170" s="117">
        <v>2009</v>
      </c>
      <c r="C1170" s="117" t="s">
        <v>364</v>
      </c>
      <c r="D1170" s="117" t="s">
        <v>3651</v>
      </c>
      <c r="E1170" s="117" t="s">
        <v>244</v>
      </c>
      <c r="F1170" s="117"/>
      <c r="G1170" s="117" t="s">
        <v>103</v>
      </c>
      <c r="H1170" s="117" t="str">
        <f t="shared" si="196"/>
        <v>no</v>
      </c>
      <c r="I1170" s="117" t="str">
        <f t="shared" si="193"/>
        <v>no</v>
      </c>
      <c r="J1170" s="117" t="str">
        <f t="shared" si="194"/>
        <v>yes</v>
      </c>
      <c r="K1170" s="117" t="s">
        <v>103</v>
      </c>
      <c r="L1170" s="117" t="str">
        <f t="shared" si="197"/>
        <v>detailed</v>
      </c>
      <c r="M1170" s="117" t="str">
        <f t="shared" si="195"/>
        <v>detailed Oil</v>
      </c>
      <c r="N1170" s="118">
        <v>1870000</v>
      </c>
      <c r="O1170" s="118"/>
      <c r="P1170" s="118">
        <v>1870000</v>
      </c>
      <c r="Q1170" s="118"/>
      <c r="R1170" s="118"/>
      <c r="S1170" s="117" t="s">
        <v>646</v>
      </c>
      <c r="T1170" s="119">
        <v>59.64</v>
      </c>
      <c r="U1170" s="117" t="s">
        <v>673</v>
      </c>
      <c r="V1170" s="117" t="s">
        <v>1814</v>
      </c>
      <c r="W1170" s="89">
        <f>N1170*T1170</f>
        <v>111526800</v>
      </c>
      <c r="X1170" s="120"/>
      <c r="Y1170" s="89"/>
      <c r="Z1170" s="89"/>
      <c r="AA1170" s="89">
        <v>19306401</v>
      </c>
      <c r="AB1170" s="89">
        <v>19305935.371785965</v>
      </c>
      <c r="AC1170" s="240"/>
      <c r="AD1170" s="240"/>
      <c r="AE1170" s="240"/>
      <c r="AF1170" s="241">
        <f>AA1170/W1170</f>
        <v>0.17310996998030967</v>
      </c>
      <c r="AG1170" s="89"/>
      <c r="AH1170" s="493"/>
      <c r="AI1170" s="117"/>
      <c r="AJ1170" s="117"/>
      <c r="AK1170" s="117"/>
      <c r="AL1170" s="117"/>
      <c r="AM1170" s="117"/>
      <c r="AN1170" s="117">
        <v>8</v>
      </c>
      <c r="AO1170" s="117" t="s">
        <v>1815</v>
      </c>
      <c r="AP1170" s="117">
        <v>2</v>
      </c>
      <c r="AQ1170" s="215"/>
      <c r="AR1170" s="126"/>
      <c r="AS1170" s="117"/>
      <c r="AT1170" s="117"/>
      <c r="AU1170" s="117">
        <v>8</v>
      </c>
      <c r="AV1170" s="128"/>
      <c r="AW1170" s="117">
        <f>VLOOKUP($D1170,'WB Data'!$C$3:$M$578,2,FALSE)</f>
        <v>4583834427.3647375</v>
      </c>
      <c r="AX1170" s="117">
        <f>VLOOKUP($D1170,'WB Data'!$C$3:$M$578,3,FALSE)</f>
        <v>2672223</v>
      </c>
      <c r="AY1170" s="847">
        <f t="shared" si="201"/>
        <v>0.11181162857179271</v>
      </c>
      <c r="AZ1170" s="117">
        <f>VLOOKUP($D1170,'WB Data'!$C$3:$M$578,4,FALSE)/100</f>
        <v>0.26831178133413958</v>
      </c>
      <c r="BA1170" s="117">
        <f t="shared" si="202"/>
        <v>1229896780.5469882</v>
      </c>
      <c r="BB1170" s="129">
        <f>IFERROR(VLOOKUP($D1170,'EITI Revenues'!$C$2:$G$224,5,FALSE),"..")</f>
        <v>512525992.42710215</v>
      </c>
      <c r="BC1170" s="846">
        <f t="shared" si="203"/>
        <v>0.41672276936862923</v>
      </c>
      <c r="BD1170" s="129" t="str">
        <f>VLOOKUP($D1170,'WB Data 2'!$C$2:$K$545,6,FALSE)</f>
        <v>..</v>
      </c>
      <c r="BE1170" s="129">
        <f>IFERROR(VLOOKUP($D1170,UNCTAD!$C$5:$V$529,4,FALSE),"..")</f>
        <v>2299920000</v>
      </c>
      <c r="BF1170" s="846" t="str">
        <f t="shared" si="204"/>
        <v>..</v>
      </c>
      <c r="BG1170" s="117">
        <f>VLOOKUP($D1170,'WB Data'!$C$3:$M$578,5,FALSE)</f>
        <v>371220000</v>
      </c>
      <c r="BH1170" s="129">
        <f>IFERROR($BB1170/$BG1170,"..")</f>
        <v>1.3806529616591297</v>
      </c>
      <c r="BI1170" s="117">
        <f>IFERROR(VLOOKUP($D1170,'WB Data'!$C$3:$M$578,7,FALSE)/100,"..")</f>
        <v>5.1448500000000001E-2</v>
      </c>
      <c r="BJ1170" s="117">
        <f>IFERROR($BI1170*$AW1170,"..")</f>
        <v>235831405.5362747</v>
      </c>
      <c r="BK1170" s="846">
        <f>IFERROR($BB1170/$BJ1170,"..")</f>
        <v>2.1732728567750801</v>
      </c>
      <c r="BL1170" s="117">
        <f>IFERROR(VLOOKUP($D1170,'WB Data'!$C$3:$M$578,7,FALSE)/100,"..")</f>
        <v>5.1448500000000001E-2</v>
      </c>
      <c r="BM1170" s="117">
        <f>IFERROR($AW1170*$BL1170,"..")</f>
        <v>235831405.5362747</v>
      </c>
      <c r="BN1170" s="846">
        <f>IFERROR($BB1170/$BM1170,"..")</f>
        <v>2.1732728567750801</v>
      </c>
      <c r="BO1170" s="801">
        <f t="shared" si="200"/>
        <v>39</v>
      </c>
      <c r="BP1170" s="117" t="str">
        <f>VLOOKUP($D1170,'WB Data'!$C$3:$M$578,9,FALSE)</f>
        <v>..</v>
      </c>
      <c r="BQ1170" s="117">
        <f>VLOOKUP($D1170,'WB Data'!$C$3:$M$578,10,FALSE)</f>
        <v>66.641219512195136</v>
      </c>
      <c r="BR1170" s="117">
        <f>VLOOKUP($D1170,'WB Data'!$C$3:$M$578,11,FALSE)</f>
        <v>30.4</v>
      </c>
      <c r="BS1170" s="129">
        <f>IFERROR(VLOOKUP($D1170,'WB Data 2'!$C$2:$K$545,9,FALSE),"..")</f>
        <v>98.448030000000003</v>
      </c>
      <c r="BT1170" s="129">
        <f>_xlfn.IFNA(VLOOKUP($C1170,RGI!$A$2:$C$43,2,FALSE),"..")</f>
        <v>38.200000000000003</v>
      </c>
      <c r="BU1170" s="129">
        <f>_xlfn.IFNA(VLOOKUP($C1170,RGI!$A$2:$C$43,3,FALSE),"..")</f>
        <v>50.952530108834466</v>
      </c>
      <c r="BV1170" s="129">
        <f>VLOOKUP($D1170,WGI!$C$2:$O$478,7,FALSE)</f>
        <v>9.1417087418387499E-2</v>
      </c>
      <c r="BW1170" s="129">
        <f>VLOOKUP($D1170,WGI!$C$2:$O$478,4,FALSE)</f>
        <v>0.601512514565814</v>
      </c>
      <c r="BX1170" s="129">
        <f>VLOOKUP($D1170,WGI!$C$2:$O$478,3,FALSE)</f>
        <v>-0.65829754879069402</v>
      </c>
      <c r="BY1170" s="129">
        <f>VLOOKUP($D1170,WGI!$C$2:$O$478,5,FALSE)</f>
        <v>-0.27675532483055199</v>
      </c>
      <c r="BZ1170" s="129">
        <f>VLOOKUP($D1170,WGI!$C$2:$O$478,2,FALSE)</f>
        <v>-0.75530920524568601</v>
      </c>
    </row>
    <row r="1171" spans="1:80" ht="15" customHeight="1">
      <c r="A1171" s="280" t="s">
        <v>373</v>
      </c>
      <c r="B1171" s="117">
        <v>2009</v>
      </c>
      <c r="C1171" s="117" t="s">
        <v>364</v>
      </c>
      <c r="D1171" s="117" t="s">
        <v>3651</v>
      </c>
      <c r="E1171" s="117" t="s">
        <v>244</v>
      </c>
      <c r="F1171" s="117"/>
      <c r="G1171" s="117" t="s">
        <v>24</v>
      </c>
      <c r="H1171" s="117" t="str">
        <f t="shared" si="196"/>
        <v>yes</v>
      </c>
      <c r="I1171" s="117" t="str">
        <f t="shared" si="193"/>
        <v>no</v>
      </c>
      <c r="J1171" s="117" t="str">
        <f t="shared" si="194"/>
        <v>no</v>
      </c>
      <c r="K1171" s="117" t="s">
        <v>600</v>
      </c>
      <c r="L1171" s="117" t="str">
        <f t="shared" si="197"/>
        <v>Total</v>
      </c>
      <c r="M1171" s="117" t="str">
        <f t="shared" si="195"/>
        <v>Total Mining</v>
      </c>
      <c r="N1171" s="118"/>
      <c r="O1171" s="118"/>
      <c r="P1171" s="118"/>
      <c r="Q1171" s="118"/>
      <c r="R1171" s="118"/>
      <c r="S1171" s="117"/>
      <c r="T1171" s="119"/>
      <c r="U1171" s="117"/>
      <c r="V1171" s="117"/>
      <c r="W1171" s="89">
        <f>SUM(W1172:W1182)</f>
        <v>1451338233.3550594</v>
      </c>
      <c r="X1171" s="117"/>
      <c r="Y1171" s="117"/>
      <c r="Z1171" s="117"/>
      <c r="AA1171" s="89">
        <v>493219591.42710215</v>
      </c>
      <c r="AB1171" s="89">
        <v>493260473.92821407</v>
      </c>
      <c r="AC1171" s="240"/>
      <c r="AD1171" s="240"/>
      <c r="AE1171" s="240"/>
      <c r="AF1171" s="241">
        <f>AA1171/W1171</f>
        <v>0.33983779941283992</v>
      </c>
      <c r="AG1171" s="117"/>
      <c r="AH1171" s="124"/>
      <c r="AI1171" s="117"/>
      <c r="AJ1171" s="117"/>
      <c r="AK1171" s="117"/>
      <c r="AL1171" s="117"/>
      <c r="AM1171" s="117"/>
      <c r="AN1171" s="117">
        <v>99</v>
      </c>
      <c r="AO1171" s="117" t="s">
        <v>1816</v>
      </c>
      <c r="AP1171" s="117">
        <v>99</v>
      </c>
      <c r="AQ1171" s="215"/>
      <c r="AR1171" s="126"/>
      <c r="AS1171" s="117"/>
      <c r="AT1171" s="117"/>
      <c r="AU1171" s="117">
        <v>7</v>
      </c>
      <c r="AV1171" s="128"/>
      <c r="AW1171" s="117">
        <f>VLOOKUP($D1171,'WB Data'!$C$3:$M$578,2,FALSE)</f>
        <v>4583834427.3647375</v>
      </c>
      <c r="AX1171" s="117">
        <f>VLOOKUP($D1171,'WB Data'!$C$3:$M$578,3,FALSE)</f>
        <v>2672223</v>
      </c>
      <c r="AY1171" s="847">
        <f t="shared" si="201"/>
        <v>0.11181162857179271</v>
      </c>
      <c r="AZ1171" s="117">
        <f>VLOOKUP($D1171,'WB Data'!$C$3:$M$578,4,FALSE)/100</f>
        <v>0.26831178133413958</v>
      </c>
      <c r="BA1171" s="117">
        <f t="shared" si="202"/>
        <v>1229896780.5469882</v>
      </c>
      <c r="BB1171" s="129">
        <f>IFERROR(VLOOKUP($D1171,'EITI Revenues'!$C$2:$G$224,5,FALSE),"..")</f>
        <v>512525992.42710215</v>
      </c>
      <c r="BC1171" s="846">
        <f t="shared" si="203"/>
        <v>0.41672276936862923</v>
      </c>
      <c r="BD1171" s="129" t="str">
        <f>VLOOKUP($D1171,'WB Data 2'!$C$2:$K$545,6,FALSE)</f>
        <v>..</v>
      </c>
      <c r="BE1171" s="129">
        <f>IFERROR(VLOOKUP($D1171,UNCTAD!$C$5:$V$529,4,FALSE),"..")</f>
        <v>2299920000</v>
      </c>
      <c r="BF1171" s="846" t="str">
        <f t="shared" si="204"/>
        <v>..</v>
      </c>
      <c r="BG1171" s="117">
        <f>VLOOKUP($D1171,'WB Data'!$C$3:$M$578,5,FALSE)</f>
        <v>371220000</v>
      </c>
      <c r="BH1171" s="129">
        <f>IFERROR($BB1171/$BG1171,"..")</f>
        <v>1.3806529616591297</v>
      </c>
      <c r="BI1171" s="117">
        <f>IFERROR(VLOOKUP($D1171,'WB Data'!$C$3:$M$578,7,FALSE)/100,"..")</f>
        <v>5.1448500000000001E-2</v>
      </c>
      <c r="BJ1171" s="117">
        <f>IFERROR($BI1171*$AW1171,"..")</f>
        <v>235831405.5362747</v>
      </c>
      <c r="BK1171" s="846">
        <f>IFERROR($BB1171/$BJ1171,"..")</f>
        <v>2.1732728567750801</v>
      </c>
      <c r="BL1171" s="117">
        <f>IFERROR(VLOOKUP($D1171,'WB Data'!$C$3:$M$578,7,FALSE)/100,"..")</f>
        <v>5.1448500000000001E-2</v>
      </c>
      <c r="BM1171" s="117">
        <f>IFERROR($AW1171*$BL1171,"..")</f>
        <v>235831405.5362747</v>
      </c>
      <c r="BN1171" s="846">
        <f>IFERROR($BB1171/$BM1171,"..")</f>
        <v>2.1732728567750801</v>
      </c>
      <c r="BO1171" s="801">
        <f t="shared" si="200"/>
        <v>39</v>
      </c>
      <c r="BP1171" s="117" t="str">
        <f>VLOOKUP($D1171,'WB Data'!$C$3:$M$578,9,FALSE)</f>
        <v>..</v>
      </c>
      <c r="BQ1171" s="117">
        <f>VLOOKUP($D1171,'WB Data'!$C$3:$M$578,10,FALSE)</f>
        <v>66.641219512195136</v>
      </c>
      <c r="BR1171" s="117">
        <f>VLOOKUP($D1171,'WB Data'!$C$3:$M$578,11,FALSE)</f>
        <v>30.4</v>
      </c>
      <c r="BS1171" s="129">
        <f>IFERROR(VLOOKUP($D1171,'WB Data 2'!$C$2:$K$545,9,FALSE),"..")</f>
        <v>98.448030000000003</v>
      </c>
      <c r="BT1171" s="129">
        <f>_xlfn.IFNA(VLOOKUP($C1171,RGI!$A$2:$C$43,2,FALSE),"..")</f>
        <v>38.200000000000003</v>
      </c>
      <c r="BU1171" s="129">
        <f>_xlfn.IFNA(VLOOKUP($C1171,RGI!$A$2:$C$43,3,FALSE),"..")</f>
        <v>50.952530108834466</v>
      </c>
      <c r="BV1171" s="129">
        <f>VLOOKUP($D1171,WGI!$C$2:$O$478,7,FALSE)</f>
        <v>9.1417087418387499E-2</v>
      </c>
      <c r="BW1171" s="129">
        <f>VLOOKUP($D1171,WGI!$C$2:$O$478,4,FALSE)</f>
        <v>0.601512514565814</v>
      </c>
      <c r="BX1171" s="129">
        <f>VLOOKUP($D1171,WGI!$C$2:$O$478,3,FALSE)</f>
        <v>-0.65829754879069402</v>
      </c>
      <c r="BY1171" s="129">
        <f>VLOOKUP($D1171,WGI!$C$2:$O$478,5,FALSE)</f>
        <v>-0.27675532483055199</v>
      </c>
      <c r="BZ1171" s="129">
        <f>VLOOKUP($D1171,WGI!$C$2:$O$478,2,FALSE)</f>
        <v>-0.75530920524568601</v>
      </c>
    </row>
    <row r="1172" spans="1:80" ht="15" customHeight="1">
      <c r="A1172" s="280" t="s">
        <v>373</v>
      </c>
      <c r="B1172" s="117">
        <v>2009</v>
      </c>
      <c r="C1172" s="117" t="s">
        <v>364</v>
      </c>
      <c r="D1172" s="117" t="s">
        <v>3651</v>
      </c>
      <c r="E1172" s="117" t="s">
        <v>244</v>
      </c>
      <c r="F1172" s="117"/>
      <c r="G1172" s="117" t="s">
        <v>24</v>
      </c>
      <c r="H1172" s="117" t="str">
        <f t="shared" si="196"/>
        <v>yes</v>
      </c>
      <c r="I1172" s="117" t="str">
        <f t="shared" si="193"/>
        <v>no</v>
      </c>
      <c r="J1172" s="117" t="str">
        <f t="shared" si="194"/>
        <v>no</v>
      </c>
      <c r="K1172" s="117" t="s">
        <v>616</v>
      </c>
      <c r="L1172" s="117" t="str">
        <f t="shared" si="197"/>
        <v>detailed</v>
      </c>
      <c r="M1172" s="117" t="str">
        <f t="shared" si="195"/>
        <v>detailed Mining</v>
      </c>
      <c r="N1172" s="118">
        <f>14442100*0.90718474</f>
        <v>13101652.733554</v>
      </c>
      <c r="O1172" s="118"/>
      <c r="P1172" s="118">
        <f>14442100*0.90718474</f>
        <v>13101652.733554</v>
      </c>
      <c r="Q1172" s="118"/>
      <c r="R1172" s="118"/>
      <c r="S1172" s="117" t="s">
        <v>610</v>
      </c>
      <c r="T1172" s="119">
        <v>43.06</v>
      </c>
      <c r="U1172" s="117" t="s">
        <v>611</v>
      </c>
      <c r="V1172" s="117" t="s">
        <v>1814</v>
      </c>
      <c r="W1172" s="89">
        <f t="shared" ref="W1172:W1180" si="206">N1172*T1172</f>
        <v>564157166.70683527</v>
      </c>
      <c r="X1172" s="89"/>
      <c r="Y1172" s="602"/>
      <c r="Z1172" s="602"/>
      <c r="AA1172" s="89">
        <v>57260310.6323836</v>
      </c>
      <c r="AB1172" s="89">
        <v>57270157.748436414</v>
      </c>
      <c r="AC1172" s="240"/>
      <c r="AD1172" s="240"/>
      <c r="AE1172" s="240"/>
      <c r="AF1172" s="241">
        <f>AA1172/W1172</f>
        <v>0.10149708983868845</v>
      </c>
      <c r="AG1172" s="602"/>
      <c r="AH1172" s="124"/>
      <c r="AI1172" s="117"/>
      <c r="AJ1172" s="117"/>
      <c r="AK1172" s="117"/>
      <c r="AL1172" s="117"/>
      <c r="AM1172" s="117"/>
      <c r="AN1172" s="117">
        <v>16</v>
      </c>
      <c r="AO1172" s="117" t="s">
        <v>1817</v>
      </c>
      <c r="AP1172" s="117">
        <v>16</v>
      </c>
      <c r="AQ1172" s="215"/>
      <c r="AR1172" s="126"/>
      <c r="AS1172" s="117"/>
      <c r="AT1172" s="117"/>
      <c r="AU1172" s="117" t="s">
        <v>1818</v>
      </c>
      <c r="AV1172" s="128"/>
      <c r="AW1172" s="117">
        <f>VLOOKUP($D1172,'WB Data'!$C$3:$M$578,2,FALSE)</f>
        <v>4583834427.3647375</v>
      </c>
      <c r="AX1172" s="117">
        <f>VLOOKUP($D1172,'WB Data'!$C$3:$M$578,3,FALSE)</f>
        <v>2672223</v>
      </c>
      <c r="AY1172" s="847">
        <f t="shared" si="201"/>
        <v>0.11181162857179271</v>
      </c>
      <c r="AZ1172" s="117">
        <f>VLOOKUP($D1172,'WB Data'!$C$3:$M$578,4,FALSE)/100</f>
        <v>0.26831178133413958</v>
      </c>
      <c r="BA1172" s="117">
        <f t="shared" si="202"/>
        <v>1229896780.5469882</v>
      </c>
      <c r="BB1172" s="129">
        <f>IFERROR(VLOOKUP($D1172,'EITI Revenues'!$C$2:$G$224,5,FALSE),"..")</f>
        <v>512525992.42710215</v>
      </c>
      <c r="BC1172" s="846">
        <f t="shared" si="203"/>
        <v>0.41672276936862923</v>
      </c>
      <c r="BD1172" s="129" t="str">
        <f>VLOOKUP($D1172,'WB Data 2'!$C$2:$K$545,6,FALSE)</f>
        <v>..</v>
      </c>
      <c r="BE1172" s="129">
        <f>IFERROR(VLOOKUP($D1172,UNCTAD!$C$5:$V$529,4,FALSE),"..")</f>
        <v>2299920000</v>
      </c>
      <c r="BF1172" s="846" t="str">
        <f t="shared" si="204"/>
        <v>..</v>
      </c>
      <c r="BG1172" s="117">
        <f>VLOOKUP($D1172,'WB Data'!$C$3:$M$578,5,FALSE)</f>
        <v>371220000</v>
      </c>
      <c r="BH1172" s="129">
        <f>IFERROR($BB1172/$BG1172,"..")</f>
        <v>1.3806529616591297</v>
      </c>
      <c r="BI1172" s="117">
        <f>IFERROR(VLOOKUP($D1172,'WB Data'!$C$3:$M$578,7,FALSE)/100,"..")</f>
        <v>5.1448500000000001E-2</v>
      </c>
      <c r="BJ1172" s="117">
        <f>IFERROR($BI1172*$AW1172,"..")</f>
        <v>235831405.5362747</v>
      </c>
      <c r="BK1172" s="846">
        <f>IFERROR($BB1172/$BJ1172,"..")</f>
        <v>2.1732728567750801</v>
      </c>
      <c r="BL1172" s="117">
        <f>IFERROR(VLOOKUP($D1172,'WB Data'!$C$3:$M$578,7,FALSE)/100,"..")</f>
        <v>5.1448500000000001E-2</v>
      </c>
      <c r="BM1172" s="117">
        <f>IFERROR($AW1172*$BL1172,"..")</f>
        <v>235831405.5362747</v>
      </c>
      <c r="BN1172" s="846">
        <f>IFERROR($BB1172/$BM1172,"..")</f>
        <v>2.1732728567750801</v>
      </c>
      <c r="BO1172" s="801">
        <f t="shared" si="200"/>
        <v>39</v>
      </c>
      <c r="BP1172" s="117" t="str">
        <f>VLOOKUP($D1172,'WB Data'!$C$3:$M$578,9,FALSE)</f>
        <v>..</v>
      </c>
      <c r="BQ1172" s="117">
        <f>VLOOKUP($D1172,'WB Data'!$C$3:$M$578,10,FALSE)</f>
        <v>66.641219512195136</v>
      </c>
      <c r="BR1172" s="117">
        <f>VLOOKUP($D1172,'WB Data'!$C$3:$M$578,11,FALSE)</f>
        <v>30.4</v>
      </c>
      <c r="BS1172" s="129">
        <f>IFERROR(VLOOKUP($D1172,'WB Data 2'!$C$2:$K$545,9,FALSE),"..")</f>
        <v>98.448030000000003</v>
      </c>
      <c r="BT1172" s="129">
        <f>_xlfn.IFNA(VLOOKUP($C1172,RGI!$A$2:$C$43,2,FALSE),"..")</f>
        <v>38.200000000000003</v>
      </c>
      <c r="BU1172" s="129">
        <f>_xlfn.IFNA(VLOOKUP($C1172,RGI!$A$2:$C$43,3,FALSE),"..")</f>
        <v>50.952530108834466</v>
      </c>
      <c r="BV1172" s="129">
        <f>VLOOKUP($D1172,WGI!$C$2:$O$478,7,FALSE)</f>
        <v>9.1417087418387499E-2</v>
      </c>
      <c r="BW1172" s="129">
        <f>VLOOKUP($D1172,WGI!$C$2:$O$478,4,FALSE)</f>
        <v>0.601512514565814</v>
      </c>
      <c r="BX1172" s="129">
        <f>VLOOKUP($D1172,WGI!$C$2:$O$478,3,FALSE)</f>
        <v>-0.65829754879069402</v>
      </c>
      <c r="BY1172" s="129">
        <f>VLOOKUP($D1172,WGI!$C$2:$O$478,5,FALSE)</f>
        <v>-0.27675532483055199</v>
      </c>
      <c r="BZ1172" s="129">
        <f>VLOOKUP($D1172,WGI!$C$2:$O$478,2,FALSE)</f>
        <v>-0.75530920524568601</v>
      </c>
    </row>
    <row r="1173" spans="1:80" ht="15" customHeight="1">
      <c r="A1173" s="280" t="s">
        <v>373</v>
      </c>
      <c r="B1173" s="117">
        <v>2009</v>
      </c>
      <c r="C1173" s="117" t="s">
        <v>364</v>
      </c>
      <c r="D1173" s="117" t="s">
        <v>3651</v>
      </c>
      <c r="E1173" s="117" t="s">
        <v>244</v>
      </c>
      <c r="F1173" s="117"/>
      <c r="G1173" s="117" t="s">
        <v>24</v>
      </c>
      <c r="H1173" s="117" t="str">
        <f t="shared" si="196"/>
        <v>yes</v>
      </c>
      <c r="I1173" s="117" t="str">
        <f t="shared" si="193"/>
        <v>no</v>
      </c>
      <c r="J1173" s="117" t="str">
        <f t="shared" si="194"/>
        <v>no</v>
      </c>
      <c r="K1173" s="117" t="s">
        <v>1819</v>
      </c>
      <c r="L1173" s="117" t="str">
        <f t="shared" si="197"/>
        <v>detailed</v>
      </c>
      <c r="M1173" s="117" t="str">
        <f t="shared" si="195"/>
        <v>detailed Mining</v>
      </c>
      <c r="N1173" s="118">
        <f>370900*0.90718474</f>
        <v>336474.82006600004</v>
      </c>
      <c r="O1173" s="118"/>
      <c r="P1173" s="118">
        <f>370900*0.90718474</f>
        <v>336474.82006600004</v>
      </c>
      <c r="Q1173" s="118"/>
      <c r="R1173" s="118"/>
      <c r="S1173" s="117" t="s">
        <v>610</v>
      </c>
      <c r="T1173" s="119">
        <v>855.07</v>
      </c>
      <c r="U1173" s="117" t="s">
        <v>611</v>
      </c>
      <c r="V1173" s="117" t="s">
        <v>1814</v>
      </c>
      <c r="W1173" s="89">
        <f t="shared" si="206"/>
        <v>287709524.39383465</v>
      </c>
      <c r="X1173" s="89"/>
      <c r="Y1173" s="602"/>
      <c r="Z1173" s="602"/>
      <c r="AA1173" s="89"/>
      <c r="AB1173" s="89"/>
      <c r="AC1173" s="240"/>
      <c r="AD1173" s="240"/>
      <c r="AE1173" s="240"/>
      <c r="AF1173" s="241"/>
      <c r="AG1173" s="89"/>
      <c r="AH1173" s="124"/>
      <c r="AI1173" s="117"/>
      <c r="AJ1173" s="117"/>
      <c r="AK1173" s="117"/>
      <c r="AL1173" s="117"/>
      <c r="AM1173" s="117"/>
      <c r="AN1173" s="117">
        <v>4</v>
      </c>
      <c r="AO1173" s="117" t="s">
        <v>1820</v>
      </c>
      <c r="AP1173" s="117">
        <v>4</v>
      </c>
      <c r="AQ1173" s="215"/>
      <c r="AR1173" s="126"/>
      <c r="AS1173" s="117"/>
      <c r="AT1173" s="117"/>
      <c r="AU1173" s="117"/>
      <c r="AV1173" s="128"/>
      <c r="AW1173" s="117">
        <f>VLOOKUP($D1173,'WB Data'!$C$3:$M$578,2,FALSE)</f>
        <v>4583834427.3647375</v>
      </c>
      <c r="AX1173" s="117">
        <f>VLOOKUP($D1173,'WB Data'!$C$3:$M$578,3,FALSE)</f>
        <v>2672223</v>
      </c>
      <c r="AY1173" s="847">
        <f t="shared" si="201"/>
        <v>0.11181162857179271</v>
      </c>
      <c r="AZ1173" s="117">
        <f>VLOOKUP($D1173,'WB Data'!$C$3:$M$578,4,FALSE)/100</f>
        <v>0.26831178133413958</v>
      </c>
      <c r="BA1173" s="117">
        <f t="shared" si="202"/>
        <v>1229896780.5469882</v>
      </c>
      <c r="BB1173" s="129">
        <f>IFERROR(VLOOKUP($D1173,'EITI Revenues'!$C$2:$G$224,5,FALSE),"..")</f>
        <v>512525992.42710215</v>
      </c>
      <c r="BC1173" s="846">
        <f t="shared" si="203"/>
        <v>0.41672276936862923</v>
      </c>
      <c r="BD1173" s="129" t="str">
        <f>VLOOKUP($D1173,'WB Data 2'!$C$2:$K$545,6,FALSE)</f>
        <v>..</v>
      </c>
      <c r="BE1173" s="129">
        <f>IFERROR(VLOOKUP($D1173,UNCTAD!$C$5:$V$529,4,FALSE),"..")</f>
        <v>2299920000</v>
      </c>
      <c r="BF1173" s="846" t="str">
        <f t="shared" si="204"/>
        <v>..</v>
      </c>
      <c r="BG1173" s="117">
        <f>VLOOKUP($D1173,'WB Data'!$C$3:$M$578,5,FALSE)</f>
        <v>371220000</v>
      </c>
      <c r="BH1173" s="129">
        <f>IFERROR($BB1173/$BG1173,"..")</f>
        <v>1.3806529616591297</v>
      </c>
      <c r="BI1173" s="117">
        <f>IFERROR(VLOOKUP($D1173,'WB Data'!$C$3:$M$578,7,FALSE)/100,"..")</f>
        <v>5.1448500000000001E-2</v>
      </c>
      <c r="BJ1173" s="117">
        <f>IFERROR($BI1173*$AW1173,"..")</f>
        <v>235831405.5362747</v>
      </c>
      <c r="BK1173" s="846">
        <f>IFERROR($BB1173/$BJ1173,"..")</f>
        <v>2.1732728567750801</v>
      </c>
      <c r="BL1173" s="117">
        <f>IFERROR(VLOOKUP($D1173,'WB Data'!$C$3:$M$578,7,FALSE)/100,"..")</f>
        <v>5.1448500000000001E-2</v>
      </c>
      <c r="BM1173" s="117">
        <f>IFERROR($AW1173*$BL1173,"..")</f>
        <v>235831405.5362747</v>
      </c>
      <c r="BN1173" s="846">
        <f>IFERROR($BB1173/$BM1173,"..")</f>
        <v>2.1732728567750801</v>
      </c>
      <c r="BO1173" s="801">
        <f t="shared" si="200"/>
        <v>39</v>
      </c>
      <c r="BP1173" s="117" t="str">
        <f>VLOOKUP($D1173,'WB Data'!$C$3:$M$578,9,FALSE)</f>
        <v>..</v>
      </c>
      <c r="BQ1173" s="117">
        <f>VLOOKUP($D1173,'WB Data'!$C$3:$M$578,10,FALSE)</f>
        <v>66.641219512195136</v>
      </c>
      <c r="BR1173" s="117">
        <f>VLOOKUP($D1173,'WB Data'!$C$3:$M$578,11,FALSE)</f>
        <v>30.4</v>
      </c>
      <c r="BS1173" s="129">
        <f>IFERROR(VLOOKUP($D1173,'WB Data 2'!$C$2:$K$545,9,FALSE),"..")</f>
        <v>98.448030000000003</v>
      </c>
      <c r="BT1173" s="129">
        <f>_xlfn.IFNA(VLOOKUP($C1173,RGI!$A$2:$C$43,2,FALSE),"..")</f>
        <v>38.200000000000003</v>
      </c>
      <c r="BU1173" s="129">
        <f>_xlfn.IFNA(VLOOKUP($C1173,RGI!$A$2:$C$43,3,FALSE),"..")</f>
        <v>50.952530108834466</v>
      </c>
      <c r="BV1173" s="129">
        <f>VLOOKUP($D1173,WGI!$C$2:$O$478,7,FALSE)</f>
        <v>9.1417087418387499E-2</v>
      </c>
      <c r="BW1173" s="129">
        <f>VLOOKUP($D1173,WGI!$C$2:$O$478,4,FALSE)</f>
        <v>0.601512514565814</v>
      </c>
      <c r="BX1173" s="129">
        <f>VLOOKUP($D1173,WGI!$C$2:$O$478,3,FALSE)</f>
        <v>-0.65829754879069402</v>
      </c>
      <c r="BY1173" s="129">
        <f>VLOOKUP($D1173,WGI!$C$2:$O$478,5,FALSE)</f>
        <v>-0.27675532483055199</v>
      </c>
      <c r="BZ1173" s="129">
        <f>VLOOKUP($D1173,WGI!$C$2:$O$478,2,FALSE)</f>
        <v>-0.75530920524568601</v>
      </c>
    </row>
    <row r="1174" spans="1:80" ht="15" customHeight="1">
      <c r="A1174" s="280" t="s">
        <v>373</v>
      </c>
      <c r="B1174" s="117">
        <v>2009</v>
      </c>
      <c r="C1174" s="117" t="s">
        <v>364</v>
      </c>
      <c r="D1174" s="117" t="s">
        <v>3651</v>
      </c>
      <c r="E1174" s="117" t="s">
        <v>244</v>
      </c>
      <c r="F1174" s="117"/>
      <c r="G1174" s="117" t="s">
        <v>24</v>
      </c>
      <c r="H1174" s="117" t="str">
        <f t="shared" si="196"/>
        <v>yes</v>
      </c>
      <c r="I1174" s="117" t="str">
        <f t="shared" si="193"/>
        <v>no</v>
      </c>
      <c r="J1174" s="117" t="str">
        <f t="shared" si="194"/>
        <v>no</v>
      </c>
      <c r="K1174" s="117" t="s">
        <v>1758</v>
      </c>
      <c r="L1174" s="117" t="str">
        <f t="shared" si="197"/>
        <v>detailed</v>
      </c>
      <c r="M1174" s="117" t="str">
        <f t="shared" si="195"/>
        <v>detailed Mining</v>
      </c>
      <c r="N1174" s="118">
        <f>743600*0.90718474</f>
        <v>674582.57266399998</v>
      </c>
      <c r="O1174" s="118"/>
      <c r="P1174" s="118">
        <f>743600*0.90718474</f>
        <v>674582.57266399998</v>
      </c>
      <c r="Q1174" s="118"/>
      <c r="R1174" s="118"/>
      <c r="S1174" s="117" t="s">
        <v>610</v>
      </c>
      <c r="T1174" s="119">
        <v>153.58000000000001</v>
      </c>
      <c r="U1174" s="117" t="s">
        <v>611</v>
      </c>
      <c r="V1174" s="117" t="s">
        <v>1814</v>
      </c>
      <c r="W1174" s="89">
        <f t="shared" si="206"/>
        <v>103602391.50973712</v>
      </c>
      <c r="X1174" s="89"/>
      <c r="Y1174" s="602"/>
      <c r="Z1174" s="602"/>
      <c r="AA1174" s="89">
        <v>3284035.0261725346</v>
      </c>
      <c r="AB1174" s="89"/>
      <c r="AC1174" s="240"/>
      <c r="AD1174" s="240"/>
      <c r="AE1174" s="240"/>
      <c r="AF1174" s="241">
        <f>AA1174/W1174</f>
        <v>3.1698448060090222E-2</v>
      </c>
      <c r="AG1174" s="89"/>
      <c r="AH1174" s="124"/>
      <c r="AI1174" s="117"/>
      <c r="AJ1174" s="117"/>
      <c r="AK1174" s="117"/>
      <c r="AL1174" s="117"/>
      <c r="AM1174" s="117"/>
      <c r="AN1174" s="117">
        <v>7</v>
      </c>
      <c r="AO1174" s="117" t="s">
        <v>1821</v>
      </c>
      <c r="AP1174" s="117">
        <v>7</v>
      </c>
      <c r="AQ1174" s="215"/>
      <c r="AR1174" s="126"/>
      <c r="AS1174" s="117"/>
      <c r="AT1174" s="117"/>
      <c r="AU1174" s="117">
        <v>22</v>
      </c>
      <c r="AV1174" s="128"/>
      <c r="AW1174" s="117">
        <f>VLOOKUP($D1174,'WB Data'!$C$3:$M$578,2,FALSE)</f>
        <v>4583834427.3647375</v>
      </c>
      <c r="AX1174" s="117">
        <f>VLOOKUP($D1174,'WB Data'!$C$3:$M$578,3,FALSE)</f>
        <v>2672223</v>
      </c>
      <c r="AY1174" s="847">
        <f t="shared" si="201"/>
        <v>0.11181162857179271</v>
      </c>
      <c r="AZ1174" s="117">
        <f>VLOOKUP($D1174,'WB Data'!$C$3:$M$578,4,FALSE)/100</f>
        <v>0.26831178133413958</v>
      </c>
      <c r="BA1174" s="117">
        <f t="shared" si="202"/>
        <v>1229896780.5469882</v>
      </c>
      <c r="BB1174" s="129">
        <f>IFERROR(VLOOKUP($D1174,'EITI Revenues'!$C$2:$G$224,5,FALSE),"..")</f>
        <v>512525992.42710215</v>
      </c>
      <c r="BC1174" s="846">
        <f t="shared" si="203"/>
        <v>0.41672276936862923</v>
      </c>
      <c r="BD1174" s="129" t="str">
        <f>VLOOKUP($D1174,'WB Data 2'!$C$2:$K$545,6,FALSE)</f>
        <v>..</v>
      </c>
      <c r="BE1174" s="129">
        <f>IFERROR(VLOOKUP($D1174,UNCTAD!$C$5:$V$529,4,FALSE),"..")</f>
        <v>2299920000</v>
      </c>
      <c r="BF1174" s="846" t="str">
        <f t="shared" si="204"/>
        <v>..</v>
      </c>
      <c r="BG1174" s="117">
        <f>VLOOKUP($D1174,'WB Data'!$C$3:$M$578,5,FALSE)</f>
        <v>371220000</v>
      </c>
      <c r="BH1174" s="129">
        <f>IFERROR($BB1174/$BG1174,"..")</f>
        <v>1.3806529616591297</v>
      </c>
      <c r="BI1174" s="117">
        <f>IFERROR(VLOOKUP($D1174,'WB Data'!$C$3:$M$578,7,FALSE)/100,"..")</f>
        <v>5.1448500000000001E-2</v>
      </c>
      <c r="BJ1174" s="117">
        <f>IFERROR($BI1174*$AW1174,"..")</f>
        <v>235831405.5362747</v>
      </c>
      <c r="BK1174" s="846">
        <f>IFERROR($BB1174/$BJ1174,"..")</f>
        <v>2.1732728567750801</v>
      </c>
      <c r="BL1174" s="117">
        <f>IFERROR(VLOOKUP($D1174,'WB Data'!$C$3:$M$578,7,FALSE)/100,"..")</f>
        <v>5.1448500000000001E-2</v>
      </c>
      <c r="BM1174" s="117">
        <f>IFERROR($AW1174*$BL1174,"..")</f>
        <v>235831405.5362747</v>
      </c>
      <c r="BN1174" s="846">
        <f>IFERROR($BB1174/$BM1174,"..")</f>
        <v>2.1732728567750801</v>
      </c>
      <c r="BO1174" s="801">
        <f t="shared" si="200"/>
        <v>39</v>
      </c>
      <c r="BP1174" s="117" t="str">
        <f>VLOOKUP($D1174,'WB Data'!$C$3:$M$578,9,FALSE)</f>
        <v>..</v>
      </c>
      <c r="BQ1174" s="117">
        <f>VLOOKUP($D1174,'WB Data'!$C$3:$M$578,10,FALSE)</f>
        <v>66.641219512195136</v>
      </c>
      <c r="BR1174" s="117">
        <f>VLOOKUP($D1174,'WB Data'!$C$3:$M$578,11,FALSE)</f>
        <v>30.4</v>
      </c>
      <c r="BS1174" s="129">
        <f>IFERROR(VLOOKUP($D1174,'WB Data 2'!$C$2:$K$545,9,FALSE),"..")</f>
        <v>98.448030000000003</v>
      </c>
      <c r="BT1174" s="129">
        <f>_xlfn.IFNA(VLOOKUP($C1174,RGI!$A$2:$C$43,2,FALSE),"..")</f>
        <v>38.200000000000003</v>
      </c>
      <c r="BU1174" s="129">
        <f>_xlfn.IFNA(VLOOKUP($C1174,RGI!$A$2:$C$43,3,FALSE),"..")</f>
        <v>50.952530108834466</v>
      </c>
      <c r="BV1174" s="129">
        <f>VLOOKUP($D1174,WGI!$C$2:$O$478,7,FALSE)</f>
        <v>9.1417087418387499E-2</v>
      </c>
      <c r="BW1174" s="129">
        <f>VLOOKUP($D1174,WGI!$C$2:$O$478,4,FALSE)</f>
        <v>0.601512514565814</v>
      </c>
      <c r="BX1174" s="129">
        <f>VLOOKUP($D1174,WGI!$C$2:$O$478,3,FALSE)</f>
        <v>-0.65829754879069402</v>
      </c>
      <c r="BY1174" s="129">
        <f>VLOOKUP($D1174,WGI!$C$2:$O$478,5,FALSE)</f>
        <v>-0.27675532483055199</v>
      </c>
      <c r="BZ1174" s="129">
        <f>VLOOKUP($D1174,WGI!$C$2:$O$478,2,FALSE)</f>
        <v>-0.75530920524568601</v>
      </c>
    </row>
    <row r="1175" spans="1:80" ht="15" customHeight="1">
      <c r="A1175" s="280" t="s">
        <v>373</v>
      </c>
      <c r="B1175" s="117">
        <v>2009</v>
      </c>
      <c r="C1175" s="117" t="s">
        <v>364</v>
      </c>
      <c r="D1175" s="117" t="s">
        <v>3651</v>
      </c>
      <c r="E1175" s="117" t="s">
        <v>244</v>
      </c>
      <c r="F1175" s="117"/>
      <c r="G1175" s="117" t="s">
        <v>24</v>
      </c>
      <c r="H1175" s="117" t="str">
        <f t="shared" si="196"/>
        <v>yes</v>
      </c>
      <c r="I1175" s="117" t="str">
        <f t="shared" si="193"/>
        <v>no</v>
      </c>
      <c r="J1175" s="117" t="str">
        <f t="shared" si="194"/>
        <v>no</v>
      </c>
      <c r="K1175" s="117" t="s">
        <v>784</v>
      </c>
      <c r="L1175" s="117" t="str">
        <f t="shared" si="197"/>
        <v>detailed</v>
      </c>
      <c r="M1175" s="117" t="str">
        <f t="shared" si="195"/>
        <v>detailed Mining</v>
      </c>
      <c r="N1175" s="118">
        <f>9803.3*32.150743126506</f>
        <v>315183.38009207626</v>
      </c>
      <c r="O1175" s="118"/>
      <c r="P1175" s="118">
        <f>9803.3*32.150743126506</f>
        <v>315183.38009207626</v>
      </c>
      <c r="Q1175" s="118"/>
      <c r="R1175" s="118"/>
      <c r="S1175" s="117" t="s">
        <v>785</v>
      </c>
      <c r="T1175" s="119">
        <f>28043000/32150.7466</f>
        <v>872.2347990512917</v>
      </c>
      <c r="U1175" s="117" t="s">
        <v>786</v>
      </c>
      <c r="V1175" s="117" t="s">
        <v>1814</v>
      </c>
      <c r="W1175" s="89">
        <f t="shared" si="206"/>
        <v>274913912.19891906</v>
      </c>
      <c r="X1175" s="89"/>
      <c r="Y1175" s="602"/>
      <c r="Z1175" s="602"/>
      <c r="AA1175" s="89">
        <v>49147893.47516752</v>
      </c>
      <c r="AB1175" s="89"/>
      <c r="AC1175" s="240"/>
      <c r="AD1175" s="240"/>
      <c r="AE1175" s="240"/>
      <c r="AF1175" s="241">
        <f>AA1175/W1175</f>
        <v>0.17877557771469074</v>
      </c>
      <c r="AG1175" s="89"/>
      <c r="AH1175" s="124"/>
      <c r="AI1175" s="117"/>
      <c r="AJ1175" s="117"/>
      <c r="AK1175" s="117"/>
      <c r="AL1175" s="117"/>
      <c r="AM1175" s="117"/>
      <c r="AN1175" s="117">
        <v>56</v>
      </c>
      <c r="AO1175" s="117" t="s">
        <v>1822</v>
      </c>
      <c r="AP1175" s="117">
        <v>56</v>
      </c>
      <c r="AQ1175" s="215"/>
      <c r="AR1175" s="126"/>
      <c r="AS1175" s="117"/>
      <c r="AT1175" s="117"/>
      <c r="AU1175" s="117">
        <v>22</v>
      </c>
      <c r="AV1175" s="128"/>
      <c r="AW1175" s="117">
        <f>VLOOKUP($D1175,'WB Data'!$C$3:$M$578,2,FALSE)</f>
        <v>4583834427.3647375</v>
      </c>
      <c r="AX1175" s="117">
        <f>VLOOKUP($D1175,'WB Data'!$C$3:$M$578,3,FALSE)</f>
        <v>2672223</v>
      </c>
      <c r="AY1175" s="847">
        <f t="shared" si="201"/>
        <v>0.11181162857179271</v>
      </c>
      <c r="AZ1175" s="117">
        <f>VLOOKUP($D1175,'WB Data'!$C$3:$M$578,4,FALSE)/100</f>
        <v>0.26831178133413958</v>
      </c>
      <c r="BA1175" s="117">
        <f t="shared" si="202"/>
        <v>1229896780.5469882</v>
      </c>
      <c r="BB1175" s="129">
        <f>IFERROR(VLOOKUP($D1175,'EITI Revenues'!$C$2:$G$224,5,FALSE),"..")</f>
        <v>512525992.42710215</v>
      </c>
      <c r="BC1175" s="846">
        <f t="shared" si="203"/>
        <v>0.41672276936862923</v>
      </c>
      <c r="BD1175" s="129" t="str">
        <f>VLOOKUP($D1175,'WB Data 2'!$C$2:$K$545,6,FALSE)</f>
        <v>..</v>
      </c>
      <c r="BE1175" s="129">
        <f>IFERROR(VLOOKUP($D1175,UNCTAD!$C$5:$V$529,4,FALSE),"..")</f>
        <v>2299920000</v>
      </c>
      <c r="BF1175" s="846" t="str">
        <f t="shared" si="204"/>
        <v>..</v>
      </c>
      <c r="BG1175" s="117">
        <f>VLOOKUP($D1175,'WB Data'!$C$3:$M$578,5,FALSE)</f>
        <v>371220000</v>
      </c>
      <c r="BH1175" s="129">
        <f>IFERROR($BB1175/$BG1175,"..")</f>
        <v>1.3806529616591297</v>
      </c>
      <c r="BI1175" s="117">
        <f>IFERROR(VLOOKUP($D1175,'WB Data'!$C$3:$M$578,7,FALSE)/100,"..")</f>
        <v>5.1448500000000001E-2</v>
      </c>
      <c r="BJ1175" s="117">
        <f>IFERROR($BI1175*$AW1175,"..")</f>
        <v>235831405.5362747</v>
      </c>
      <c r="BK1175" s="846">
        <f>IFERROR($BB1175/$BJ1175,"..")</f>
        <v>2.1732728567750801</v>
      </c>
      <c r="BL1175" s="117">
        <f>IFERROR(VLOOKUP($D1175,'WB Data'!$C$3:$M$578,7,FALSE)/100,"..")</f>
        <v>5.1448500000000001E-2</v>
      </c>
      <c r="BM1175" s="117">
        <f>IFERROR($AW1175*$BL1175,"..")</f>
        <v>235831405.5362747</v>
      </c>
      <c r="BN1175" s="846">
        <f>IFERROR($BB1175/$BM1175,"..")</f>
        <v>2.1732728567750801</v>
      </c>
      <c r="BO1175" s="801">
        <f t="shared" si="200"/>
        <v>39</v>
      </c>
      <c r="BP1175" s="117" t="str">
        <f>VLOOKUP($D1175,'WB Data'!$C$3:$M$578,9,FALSE)</f>
        <v>..</v>
      </c>
      <c r="BQ1175" s="117">
        <f>VLOOKUP($D1175,'WB Data'!$C$3:$M$578,10,FALSE)</f>
        <v>66.641219512195136</v>
      </c>
      <c r="BR1175" s="117">
        <f>VLOOKUP($D1175,'WB Data'!$C$3:$M$578,11,FALSE)</f>
        <v>30.4</v>
      </c>
      <c r="BS1175" s="129">
        <f>IFERROR(VLOOKUP($D1175,'WB Data 2'!$C$2:$K$545,9,FALSE),"..")</f>
        <v>98.448030000000003</v>
      </c>
      <c r="BT1175" s="129">
        <f>_xlfn.IFNA(VLOOKUP($C1175,RGI!$A$2:$C$43,2,FALSE),"..")</f>
        <v>38.200000000000003</v>
      </c>
      <c r="BU1175" s="129">
        <f>_xlfn.IFNA(VLOOKUP($C1175,RGI!$A$2:$C$43,3,FALSE),"..")</f>
        <v>50.952530108834466</v>
      </c>
      <c r="BV1175" s="129">
        <f>VLOOKUP($D1175,WGI!$C$2:$O$478,7,FALSE)</f>
        <v>9.1417087418387499E-2</v>
      </c>
      <c r="BW1175" s="129">
        <f>VLOOKUP($D1175,WGI!$C$2:$O$478,4,FALSE)</f>
        <v>0.601512514565814</v>
      </c>
      <c r="BX1175" s="129">
        <f>VLOOKUP($D1175,WGI!$C$2:$O$478,3,FALSE)</f>
        <v>-0.65829754879069402</v>
      </c>
      <c r="BY1175" s="129">
        <f>VLOOKUP($D1175,WGI!$C$2:$O$478,5,FALSE)</f>
        <v>-0.27675532483055199</v>
      </c>
      <c r="BZ1175" s="129">
        <f>VLOOKUP($D1175,WGI!$C$2:$O$478,2,FALSE)</f>
        <v>-0.75530920524568601</v>
      </c>
    </row>
    <row r="1176" spans="1:80" ht="15" customHeight="1">
      <c r="A1176" s="280" t="s">
        <v>373</v>
      </c>
      <c r="B1176" s="117">
        <v>2009</v>
      </c>
      <c r="C1176" s="117" t="s">
        <v>364</v>
      </c>
      <c r="D1176" s="117" t="s">
        <v>3651</v>
      </c>
      <c r="E1176" s="117" t="s">
        <v>244</v>
      </c>
      <c r="F1176" s="117"/>
      <c r="G1176" s="117" t="s">
        <v>24</v>
      </c>
      <c r="H1176" s="117" t="str">
        <f t="shared" si="196"/>
        <v>yes</v>
      </c>
      <c r="I1176" s="117" t="str">
        <f t="shared" si="193"/>
        <v>no</v>
      </c>
      <c r="J1176" s="117" t="str">
        <f t="shared" si="194"/>
        <v>no</v>
      </c>
      <c r="K1176" s="117" t="s">
        <v>1291</v>
      </c>
      <c r="L1176" s="117" t="str">
        <f t="shared" si="197"/>
        <v>detailed</v>
      </c>
      <c r="M1176" s="117" t="str">
        <f t="shared" si="195"/>
        <v>detailed Mining</v>
      </c>
      <c r="N1176" s="179">
        <f>1379000*0.90718474</f>
        <v>1251007.7564600001</v>
      </c>
      <c r="O1176" s="179"/>
      <c r="P1176" s="179">
        <f>1379000*0.90718474</f>
        <v>1251007.7564600001</v>
      </c>
      <c r="Q1176" s="179"/>
      <c r="R1176" s="179"/>
      <c r="S1176" s="117" t="s">
        <v>610</v>
      </c>
      <c r="T1176" s="119">
        <v>55.55</v>
      </c>
      <c r="U1176" s="117" t="s">
        <v>611</v>
      </c>
      <c r="V1176" s="117" t="s">
        <v>1814</v>
      </c>
      <c r="W1176" s="89">
        <f t="shared" si="206"/>
        <v>69493480.871353</v>
      </c>
      <c r="X1176" s="89"/>
      <c r="Y1176" s="602"/>
      <c r="Z1176" s="602"/>
      <c r="AA1176" s="89">
        <v>10918826.963168867</v>
      </c>
      <c r="AB1176" s="89">
        <v>10270149.409312021</v>
      </c>
      <c r="AC1176" s="240"/>
      <c r="AD1176" s="240"/>
      <c r="AE1176" s="240"/>
      <c r="AF1176" s="241">
        <f>AA1176/W1176</f>
        <v>0.15712016186643327</v>
      </c>
      <c r="AG1176" s="602"/>
      <c r="AH1176" s="124"/>
      <c r="AI1176" s="117"/>
      <c r="AJ1176" s="117"/>
      <c r="AK1176" s="117"/>
      <c r="AL1176" s="117"/>
      <c r="AM1176" s="117"/>
      <c r="AN1176" s="117">
        <v>8</v>
      </c>
      <c r="AO1176" s="117" t="s">
        <v>1823</v>
      </c>
      <c r="AP1176" s="117">
        <v>8</v>
      </c>
      <c r="AQ1176" s="215"/>
      <c r="AR1176" s="126"/>
      <c r="AS1176" s="117"/>
      <c r="AT1176" s="117"/>
      <c r="AU1176" s="117" t="s">
        <v>1818</v>
      </c>
      <c r="AV1176" s="128"/>
      <c r="AW1176" s="117">
        <f>VLOOKUP($D1176,'WB Data'!$C$3:$M$578,2,FALSE)</f>
        <v>4583834427.3647375</v>
      </c>
      <c r="AX1176" s="117">
        <f>VLOOKUP($D1176,'WB Data'!$C$3:$M$578,3,FALSE)</f>
        <v>2672223</v>
      </c>
      <c r="AY1176" s="847">
        <f t="shared" si="201"/>
        <v>0.11181162857179271</v>
      </c>
      <c r="AZ1176" s="117">
        <f>VLOOKUP($D1176,'WB Data'!$C$3:$M$578,4,FALSE)/100</f>
        <v>0.26831178133413958</v>
      </c>
      <c r="BA1176" s="117">
        <f t="shared" si="202"/>
        <v>1229896780.5469882</v>
      </c>
      <c r="BB1176" s="129">
        <f>IFERROR(VLOOKUP($D1176,'EITI Revenues'!$C$2:$G$224,5,FALSE),"..")</f>
        <v>512525992.42710215</v>
      </c>
      <c r="BC1176" s="846">
        <f t="shared" si="203"/>
        <v>0.41672276936862923</v>
      </c>
      <c r="BD1176" s="129" t="str">
        <f>VLOOKUP($D1176,'WB Data 2'!$C$2:$K$545,6,FALSE)</f>
        <v>..</v>
      </c>
      <c r="BE1176" s="129">
        <f>IFERROR(VLOOKUP($D1176,UNCTAD!$C$5:$V$529,4,FALSE),"..")</f>
        <v>2299920000</v>
      </c>
      <c r="BF1176" s="846" t="str">
        <f t="shared" si="204"/>
        <v>..</v>
      </c>
      <c r="BG1176" s="117">
        <f>VLOOKUP($D1176,'WB Data'!$C$3:$M$578,5,FALSE)</f>
        <v>371220000</v>
      </c>
      <c r="BH1176" s="129">
        <f>IFERROR($BB1176/$BG1176,"..")</f>
        <v>1.3806529616591297</v>
      </c>
      <c r="BI1176" s="117">
        <f>IFERROR(VLOOKUP($D1176,'WB Data'!$C$3:$M$578,7,FALSE)/100,"..")</f>
        <v>5.1448500000000001E-2</v>
      </c>
      <c r="BJ1176" s="117">
        <f>IFERROR($BI1176*$AW1176,"..")</f>
        <v>235831405.5362747</v>
      </c>
      <c r="BK1176" s="846">
        <f>IFERROR($BB1176/$BJ1176,"..")</f>
        <v>2.1732728567750801</v>
      </c>
      <c r="BL1176" s="117">
        <f>IFERROR(VLOOKUP($D1176,'WB Data'!$C$3:$M$578,7,FALSE)/100,"..")</f>
        <v>5.1448500000000001E-2</v>
      </c>
      <c r="BM1176" s="117">
        <f>IFERROR($AW1176*$BL1176,"..")</f>
        <v>235831405.5362747</v>
      </c>
      <c r="BN1176" s="846">
        <f>IFERROR($BB1176/$BM1176,"..")</f>
        <v>2.1732728567750801</v>
      </c>
      <c r="BO1176" s="801">
        <f t="shared" si="200"/>
        <v>39</v>
      </c>
      <c r="BP1176" s="117" t="str">
        <f>VLOOKUP($D1176,'WB Data'!$C$3:$M$578,9,FALSE)</f>
        <v>..</v>
      </c>
      <c r="BQ1176" s="117">
        <f>VLOOKUP($D1176,'WB Data'!$C$3:$M$578,10,FALSE)</f>
        <v>66.641219512195136</v>
      </c>
      <c r="BR1176" s="117">
        <f>VLOOKUP($D1176,'WB Data'!$C$3:$M$578,11,FALSE)</f>
        <v>30.4</v>
      </c>
      <c r="BS1176" s="129">
        <f>IFERROR(VLOOKUP($D1176,'WB Data 2'!$C$2:$K$545,9,FALSE),"..")</f>
        <v>98.448030000000003</v>
      </c>
      <c r="BT1176" s="129">
        <f>_xlfn.IFNA(VLOOKUP($C1176,RGI!$A$2:$C$43,2,FALSE),"..")</f>
        <v>38.200000000000003</v>
      </c>
      <c r="BU1176" s="129">
        <f>_xlfn.IFNA(VLOOKUP($C1176,RGI!$A$2:$C$43,3,FALSE),"..")</f>
        <v>50.952530108834466</v>
      </c>
      <c r="BV1176" s="129">
        <f>VLOOKUP($D1176,WGI!$C$2:$O$478,7,FALSE)</f>
        <v>9.1417087418387499E-2</v>
      </c>
      <c r="BW1176" s="129">
        <f>VLOOKUP($D1176,WGI!$C$2:$O$478,4,FALSE)</f>
        <v>0.601512514565814</v>
      </c>
      <c r="BX1176" s="129">
        <f>VLOOKUP($D1176,WGI!$C$2:$O$478,3,FALSE)</f>
        <v>-0.65829754879069402</v>
      </c>
      <c r="BY1176" s="129">
        <f>VLOOKUP($D1176,WGI!$C$2:$O$478,5,FALSE)</f>
        <v>-0.27675532483055199</v>
      </c>
      <c r="BZ1176" s="129">
        <f>VLOOKUP($D1176,WGI!$C$2:$O$478,2,FALSE)</f>
        <v>-0.75530920524568601</v>
      </c>
    </row>
    <row r="1177" spans="1:80" ht="15" customHeight="1">
      <c r="A1177" s="280" t="s">
        <v>373</v>
      </c>
      <c r="B1177" s="117">
        <v>2009</v>
      </c>
      <c r="C1177" s="117" t="s">
        <v>364</v>
      </c>
      <c r="D1177" s="117" t="s">
        <v>3651</v>
      </c>
      <c r="E1177" s="117" t="s">
        <v>244</v>
      </c>
      <c r="F1177" s="117"/>
      <c r="G1177" s="117" t="s">
        <v>24</v>
      </c>
      <c r="H1177" s="117" t="str">
        <f t="shared" ref="H1177:H1240" si="207">IF($G1177="Mining","yes",IF($G1177="Oil, Gas, Mining","yes",IF($G1177="Gas, Mining","yes",IF($G1177="Oil, Mining","yes",IF($G1177="Oil, Mining, Other","yes","no")))))</f>
        <v>yes</v>
      </c>
      <c r="I1177" s="117" t="str">
        <f t="shared" si="193"/>
        <v>no</v>
      </c>
      <c r="J1177" s="117" t="str">
        <f t="shared" si="194"/>
        <v>no</v>
      </c>
      <c r="K1177" s="117" t="s">
        <v>1493</v>
      </c>
      <c r="L1177" s="117" t="str">
        <f t="shared" ref="L1177:L1240" si="208">IF(LEFT(K1177,5)="Total","Total","detailed")</f>
        <v>detailed</v>
      </c>
      <c r="M1177" s="117" t="str">
        <f t="shared" si="195"/>
        <v>detailed Mining</v>
      </c>
      <c r="N1177" s="118">
        <f>5125*0.90718474</f>
        <v>4649.3217924999999</v>
      </c>
      <c r="O1177" s="118"/>
      <c r="P1177" s="118">
        <f>5125*0.90718474</f>
        <v>4649.3217924999999</v>
      </c>
      <c r="Q1177" s="118"/>
      <c r="R1177" s="118"/>
      <c r="S1177" s="117" t="s">
        <v>610</v>
      </c>
      <c r="T1177" s="119">
        <v>7187</v>
      </c>
      <c r="U1177" s="117" t="s">
        <v>611</v>
      </c>
      <c r="V1177" s="117" t="s">
        <v>1814</v>
      </c>
      <c r="W1177" s="89">
        <f t="shared" si="206"/>
        <v>33414675.7226975</v>
      </c>
      <c r="X1177" s="89"/>
      <c r="Y1177" s="602"/>
      <c r="Z1177" s="602"/>
      <c r="AA1177" s="89"/>
      <c r="AB1177" s="89"/>
      <c r="AC1177" s="240"/>
      <c r="AD1177" s="240"/>
      <c r="AE1177" s="240"/>
      <c r="AF1177" s="241"/>
      <c r="AG1177" s="89"/>
      <c r="AH1177" s="124"/>
      <c r="AI1177" s="117"/>
      <c r="AJ1177" s="117"/>
      <c r="AK1177" s="117"/>
      <c r="AL1177" s="117"/>
      <c r="AM1177" s="117"/>
      <c r="AN1177" s="117">
        <v>4</v>
      </c>
      <c r="AO1177" s="117" t="s">
        <v>1820</v>
      </c>
      <c r="AP1177" s="117">
        <v>4</v>
      </c>
      <c r="AQ1177" s="215"/>
      <c r="AR1177" s="126"/>
      <c r="AS1177" s="117"/>
      <c r="AT1177" s="117"/>
      <c r="AU1177" s="117"/>
      <c r="AV1177" s="128"/>
      <c r="AW1177" s="117">
        <f>VLOOKUP($D1177,'WB Data'!$C$3:$M$578,2,FALSE)</f>
        <v>4583834427.3647375</v>
      </c>
      <c r="AX1177" s="117">
        <f>VLOOKUP($D1177,'WB Data'!$C$3:$M$578,3,FALSE)</f>
        <v>2672223</v>
      </c>
      <c r="AY1177" s="847">
        <f t="shared" si="201"/>
        <v>0.11181162857179271</v>
      </c>
      <c r="AZ1177" s="117">
        <f>VLOOKUP($D1177,'WB Data'!$C$3:$M$578,4,FALSE)/100</f>
        <v>0.26831178133413958</v>
      </c>
      <c r="BA1177" s="117">
        <f t="shared" si="202"/>
        <v>1229896780.5469882</v>
      </c>
      <c r="BB1177" s="129">
        <f>IFERROR(VLOOKUP($D1177,'EITI Revenues'!$C$2:$G$224,5,FALSE),"..")</f>
        <v>512525992.42710215</v>
      </c>
      <c r="BC1177" s="846">
        <f t="shared" si="203"/>
        <v>0.41672276936862923</v>
      </c>
      <c r="BD1177" s="129" t="str">
        <f>VLOOKUP($D1177,'WB Data 2'!$C$2:$K$545,6,FALSE)</f>
        <v>..</v>
      </c>
      <c r="BE1177" s="129">
        <f>IFERROR(VLOOKUP($D1177,UNCTAD!$C$5:$V$529,4,FALSE),"..")</f>
        <v>2299920000</v>
      </c>
      <c r="BF1177" s="846" t="str">
        <f t="shared" si="204"/>
        <v>..</v>
      </c>
      <c r="BG1177" s="117">
        <f>VLOOKUP($D1177,'WB Data'!$C$3:$M$578,5,FALSE)</f>
        <v>371220000</v>
      </c>
      <c r="BH1177" s="129">
        <f>IFERROR($BB1177/$BG1177,"..")</f>
        <v>1.3806529616591297</v>
      </c>
      <c r="BI1177" s="117">
        <f>IFERROR(VLOOKUP($D1177,'WB Data'!$C$3:$M$578,7,FALSE)/100,"..")</f>
        <v>5.1448500000000001E-2</v>
      </c>
      <c r="BJ1177" s="117">
        <f>IFERROR($BI1177*$AW1177,"..")</f>
        <v>235831405.5362747</v>
      </c>
      <c r="BK1177" s="846">
        <f>IFERROR($BB1177/$BJ1177,"..")</f>
        <v>2.1732728567750801</v>
      </c>
      <c r="BL1177" s="117">
        <f>IFERROR(VLOOKUP($D1177,'WB Data'!$C$3:$M$578,7,FALSE)/100,"..")</f>
        <v>5.1448500000000001E-2</v>
      </c>
      <c r="BM1177" s="117">
        <f>IFERROR($AW1177*$BL1177,"..")</f>
        <v>235831405.5362747</v>
      </c>
      <c r="BN1177" s="846">
        <f>IFERROR($BB1177/$BM1177,"..")</f>
        <v>2.1732728567750801</v>
      </c>
      <c r="BO1177" s="801">
        <f t="shared" si="200"/>
        <v>39</v>
      </c>
      <c r="BP1177" s="117" t="str">
        <f>VLOOKUP($D1177,'WB Data'!$C$3:$M$578,9,FALSE)</f>
        <v>..</v>
      </c>
      <c r="BQ1177" s="117">
        <f>VLOOKUP($D1177,'WB Data'!$C$3:$M$578,10,FALSE)</f>
        <v>66.641219512195136</v>
      </c>
      <c r="BR1177" s="117">
        <f>VLOOKUP($D1177,'WB Data'!$C$3:$M$578,11,FALSE)</f>
        <v>30.4</v>
      </c>
      <c r="BS1177" s="129">
        <f>IFERROR(VLOOKUP($D1177,'WB Data 2'!$C$2:$K$545,9,FALSE),"..")</f>
        <v>98.448030000000003</v>
      </c>
      <c r="BT1177" s="129">
        <f>_xlfn.IFNA(VLOOKUP($C1177,RGI!$A$2:$C$43,2,FALSE),"..")</f>
        <v>38.200000000000003</v>
      </c>
      <c r="BU1177" s="129">
        <f>_xlfn.IFNA(VLOOKUP($C1177,RGI!$A$2:$C$43,3,FALSE),"..")</f>
        <v>50.952530108834466</v>
      </c>
      <c r="BV1177" s="129">
        <f>VLOOKUP($D1177,WGI!$C$2:$O$478,7,FALSE)</f>
        <v>9.1417087418387499E-2</v>
      </c>
      <c r="BW1177" s="129">
        <f>VLOOKUP($D1177,WGI!$C$2:$O$478,4,FALSE)</f>
        <v>0.601512514565814</v>
      </c>
      <c r="BX1177" s="129">
        <f>VLOOKUP($D1177,WGI!$C$2:$O$478,3,FALSE)</f>
        <v>-0.65829754879069402</v>
      </c>
      <c r="BY1177" s="129">
        <f>VLOOKUP($D1177,WGI!$C$2:$O$478,5,FALSE)</f>
        <v>-0.27675532483055199</v>
      </c>
      <c r="BZ1177" s="129">
        <f>VLOOKUP($D1177,WGI!$C$2:$O$478,2,FALSE)</f>
        <v>-0.75530920524568601</v>
      </c>
    </row>
    <row r="1178" spans="1:80" ht="15" customHeight="1">
      <c r="A1178" s="280" t="s">
        <v>373</v>
      </c>
      <c r="B1178" s="117">
        <v>2009</v>
      </c>
      <c r="C1178" s="117" t="s">
        <v>364</v>
      </c>
      <c r="D1178" s="117" t="s">
        <v>3651</v>
      </c>
      <c r="E1178" s="117" t="s">
        <v>244</v>
      </c>
      <c r="F1178" s="117"/>
      <c r="G1178" s="117" t="s">
        <v>24</v>
      </c>
      <c r="H1178" s="117" t="str">
        <f t="shared" si="207"/>
        <v>yes</v>
      </c>
      <c r="I1178" s="117" t="str">
        <f t="shared" si="193"/>
        <v>no</v>
      </c>
      <c r="J1178" s="117" t="str">
        <f t="shared" si="194"/>
        <v>no</v>
      </c>
      <c r="K1178" s="117" t="s">
        <v>1147</v>
      </c>
      <c r="L1178" s="117" t="str">
        <f t="shared" si="208"/>
        <v>detailed</v>
      </c>
      <c r="M1178" s="117" t="str">
        <f t="shared" si="195"/>
        <v>detailed Mining</v>
      </c>
      <c r="N1178" s="118">
        <v>1402</v>
      </c>
      <c r="O1178" s="118"/>
      <c r="P1178" s="118"/>
      <c r="Q1178" s="118"/>
      <c r="R1178" s="118"/>
      <c r="S1178" s="117" t="s">
        <v>610</v>
      </c>
      <c r="T1178" s="119">
        <v>73.67</v>
      </c>
      <c r="U1178" s="117" t="s">
        <v>611</v>
      </c>
      <c r="V1178" s="117" t="s">
        <v>1239</v>
      </c>
      <c r="W1178" s="89">
        <f t="shared" si="206"/>
        <v>103285.34</v>
      </c>
      <c r="X1178" s="89"/>
      <c r="Y1178" s="89"/>
      <c r="Z1178" s="89"/>
      <c r="AA1178" s="89"/>
      <c r="AB1178" s="89"/>
      <c r="AC1178" s="240"/>
      <c r="AD1178" s="240"/>
      <c r="AE1178" s="240"/>
      <c r="AF1178" s="241"/>
      <c r="AG1178" s="89"/>
      <c r="AH1178" s="124"/>
      <c r="AI1178" s="117"/>
      <c r="AJ1178" s="117"/>
      <c r="AK1178" s="117"/>
      <c r="AL1178" s="117"/>
      <c r="AM1178" s="117"/>
      <c r="AN1178" s="117"/>
      <c r="AO1178" s="117"/>
      <c r="AP1178" s="117"/>
      <c r="AQ1178" s="215"/>
      <c r="AR1178" s="126"/>
      <c r="AS1178" s="117"/>
      <c r="AT1178" s="117"/>
      <c r="AU1178" s="117"/>
      <c r="AV1178" s="128"/>
      <c r="AW1178" s="117">
        <f>VLOOKUP($D1178,'WB Data'!$C$3:$M$578,2,FALSE)</f>
        <v>4583834427.3647375</v>
      </c>
      <c r="AX1178" s="117">
        <f>VLOOKUP($D1178,'WB Data'!$C$3:$M$578,3,FALSE)</f>
        <v>2672223</v>
      </c>
      <c r="AY1178" s="847">
        <f t="shared" si="201"/>
        <v>0.11181162857179271</v>
      </c>
      <c r="AZ1178" s="117">
        <f>VLOOKUP($D1178,'WB Data'!$C$3:$M$578,4,FALSE)/100</f>
        <v>0.26831178133413958</v>
      </c>
      <c r="BA1178" s="117">
        <f t="shared" si="202"/>
        <v>1229896780.5469882</v>
      </c>
      <c r="BB1178" s="129">
        <f>IFERROR(VLOOKUP($D1178,'EITI Revenues'!$C$2:$G$224,5,FALSE),"..")</f>
        <v>512525992.42710215</v>
      </c>
      <c r="BC1178" s="846">
        <f t="shared" si="203"/>
        <v>0.41672276936862923</v>
      </c>
      <c r="BD1178" s="129" t="str">
        <f>VLOOKUP($D1178,'WB Data 2'!$C$2:$K$545,6,FALSE)</f>
        <v>..</v>
      </c>
      <c r="BE1178" s="129">
        <f>IFERROR(VLOOKUP($D1178,UNCTAD!$C$5:$V$529,4,FALSE),"..")</f>
        <v>2299920000</v>
      </c>
      <c r="BF1178" s="846" t="str">
        <f t="shared" si="204"/>
        <v>..</v>
      </c>
      <c r="BG1178" s="117">
        <f>VLOOKUP($D1178,'WB Data'!$C$3:$M$578,5,FALSE)</f>
        <v>371220000</v>
      </c>
      <c r="BH1178" s="129">
        <f>IFERROR($BB1178/$BG1178,"..")</f>
        <v>1.3806529616591297</v>
      </c>
      <c r="BI1178" s="117">
        <f>IFERROR(VLOOKUP($D1178,'WB Data'!$C$3:$M$578,7,FALSE)/100,"..")</f>
        <v>5.1448500000000001E-2</v>
      </c>
      <c r="BJ1178" s="117">
        <f>IFERROR($BI1178*$AW1178,"..")</f>
        <v>235831405.5362747</v>
      </c>
      <c r="BK1178" s="846">
        <f>IFERROR($BB1178/$BJ1178,"..")</f>
        <v>2.1732728567750801</v>
      </c>
      <c r="BL1178" s="117">
        <f>IFERROR(VLOOKUP($D1178,'WB Data'!$C$3:$M$578,7,FALSE)/100,"..")</f>
        <v>5.1448500000000001E-2</v>
      </c>
      <c r="BM1178" s="117">
        <f>IFERROR($AW1178*$BL1178,"..")</f>
        <v>235831405.5362747</v>
      </c>
      <c r="BN1178" s="846">
        <f>IFERROR($BB1178/$BM1178,"..")</f>
        <v>2.1732728567750801</v>
      </c>
      <c r="BO1178" s="801">
        <f t="shared" si="200"/>
        <v>39</v>
      </c>
      <c r="BP1178" s="117" t="str">
        <f>VLOOKUP($D1178,'WB Data'!$C$3:$M$578,9,FALSE)</f>
        <v>..</v>
      </c>
      <c r="BQ1178" s="117">
        <f>VLOOKUP($D1178,'WB Data'!$C$3:$M$578,10,FALSE)</f>
        <v>66.641219512195136</v>
      </c>
      <c r="BR1178" s="117">
        <f>VLOOKUP($D1178,'WB Data'!$C$3:$M$578,11,FALSE)</f>
        <v>30.4</v>
      </c>
      <c r="BS1178" s="129">
        <f>IFERROR(VLOOKUP($D1178,'WB Data 2'!$C$2:$K$545,9,FALSE),"..")</f>
        <v>98.448030000000003</v>
      </c>
      <c r="BT1178" s="129">
        <f>_xlfn.IFNA(VLOOKUP($C1178,RGI!$A$2:$C$43,2,FALSE),"..")</f>
        <v>38.200000000000003</v>
      </c>
      <c r="BU1178" s="129">
        <f>_xlfn.IFNA(VLOOKUP($C1178,RGI!$A$2:$C$43,3,FALSE),"..")</f>
        <v>50.952530108834466</v>
      </c>
      <c r="BV1178" s="129">
        <f>VLOOKUP($D1178,WGI!$C$2:$O$478,7,FALSE)</f>
        <v>9.1417087418387499E-2</v>
      </c>
      <c r="BW1178" s="129">
        <f>VLOOKUP($D1178,WGI!$C$2:$O$478,4,FALSE)</f>
        <v>0.601512514565814</v>
      </c>
      <c r="BX1178" s="129">
        <f>VLOOKUP($D1178,WGI!$C$2:$O$478,3,FALSE)</f>
        <v>-0.65829754879069402</v>
      </c>
      <c r="BY1178" s="129">
        <f>VLOOKUP($D1178,WGI!$C$2:$O$478,5,FALSE)</f>
        <v>-0.27675532483055199</v>
      </c>
      <c r="BZ1178" s="129">
        <f>VLOOKUP($D1178,WGI!$C$2:$O$478,2,FALSE)</f>
        <v>-0.75530920524568601</v>
      </c>
    </row>
    <row r="1179" spans="1:80" ht="15" customHeight="1">
      <c r="A1179" s="280" t="s">
        <v>373</v>
      </c>
      <c r="B1179" s="117">
        <v>2009</v>
      </c>
      <c r="C1179" s="117" t="s">
        <v>364</v>
      </c>
      <c r="D1179" s="117" t="s">
        <v>3651</v>
      </c>
      <c r="E1179" s="117" t="s">
        <v>244</v>
      </c>
      <c r="F1179" s="117"/>
      <c r="G1179" s="117" t="s">
        <v>24</v>
      </c>
      <c r="H1179" s="117" t="str">
        <f t="shared" si="207"/>
        <v>yes</v>
      </c>
      <c r="I1179" s="117" t="str">
        <f t="shared" si="193"/>
        <v>no</v>
      </c>
      <c r="J1179" s="117" t="str">
        <f t="shared" si="194"/>
        <v>no</v>
      </c>
      <c r="K1179" s="117" t="s">
        <v>789</v>
      </c>
      <c r="L1179" s="117" t="str">
        <f t="shared" si="208"/>
        <v>detailed</v>
      </c>
      <c r="M1179" s="117" t="str">
        <f t="shared" si="195"/>
        <v>detailed Mining</v>
      </c>
      <c r="N1179" s="118">
        <f>29321*32.150743126506</f>
        <v>942691.93921228242</v>
      </c>
      <c r="O1179" s="118"/>
      <c r="P1179" s="118"/>
      <c r="Q1179" s="118"/>
      <c r="R1179" s="118"/>
      <c r="S1179" s="117" t="s">
        <v>785</v>
      </c>
      <c r="T1179" s="119">
        <f>14.64353333333/1</f>
        <v>14.64353333333</v>
      </c>
      <c r="U1179" s="117" t="s">
        <v>786</v>
      </c>
      <c r="V1179" s="117" t="s">
        <v>798</v>
      </c>
      <c r="W1179" s="89">
        <f t="shared" si="206"/>
        <v>13804340.834916556</v>
      </c>
      <c r="X1179" s="117"/>
      <c r="Y1179" s="117"/>
      <c r="Z1179" s="117"/>
      <c r="AA1179" s="89"/>
      <c r="AB1179" s="89"/>
      <c r="AC1179" s="240"/>
      <c r="AD1179" s="240"/>
      <c r="AE1179" s="240"/>
      <c r="AF1179" s="241"/>
      <c r="AG1179" s="117"/>
      <c r="AH1179" s="124"/>
      <c r="AI1179" s="117"/>
      <c r="AJ1179" s="117"/>
      <c r="AK1179" s="117"/>
      <c r="AL1179" s="117"/>
      <c r="AM1179" s="117"/>
      <c r="AN1179" s="117">
        <v>12</v>
      </c>
      <c r="AO1179" s="117" t="s">
        <v>1824</v>
      </c>
      <c r="AP1179" s="117">
        <v>12</v>
      </c>
      <c r="AQ1179" s="215"/>
      <c r="AR1179" s="126"/>
      <c r="AS1179" s="117"/>
      <c r="AT1179" s="117"/>
      <c r="AU1179" s="117"/>
      <c r="AV1179" s="128"/>
      <c r="AW1179" s="117">
        <f>VLOOKUP($D1179,'WB Data'!$C$3:$M$578,2,FALSE)</f>
        <v>4583834427.3647375</v>
      </c>
      <c r="AX1179" s="117">
        <f>VLOOKUP($D1179,'WB Data'!$C$3:$M$578,3,FALSE)</f>
        <v>2672223</v>
      </c>
      <c r="AY1179" s="847">
        <f t="shared" si="201"/>
        <v>0.11181162857179271</v>
      </c>
      <c r="AZ1179" s="117">
        <f>VLOOKUP($D1179,'WB Data'!$C$3:$M$578,4,FALSE)/100</f>
        <v>0.26831178133413958</v>
      </c>
      <c r="BA1179" s="117">
        <f t="shared" si="202"/>
        <v>1229896780.5469882</v>
      </c>
      <c r="BB1179" s="129">
        <f>IFERROR(VLOOKUP($D1179,'EITI Revenues'!$C$2:$G$224,5,FALSE),"..")</f>
        <v>512525992.42710215</v>
      </c>
      <c r="BC1179" s="846">
        <f t="shared" si="203"/>
        <v>0.41672276936862923</v>
      </c>
      <c r="BD1179" s="129" t="str">
        <f>VLOOKUP($D1179,'WB Data 2'!$C$2:$K$545,6,FALSE)</f>
        <v>..</v>
      </c>
      <c r="BE1179" s="129">
        <f>IFERROR(VLOOKUP($D1179,UNCTAD!$C$5:$V$529,4,FALSE),"..")</f>
        <v>2299920000</v>
      </c>
      <c r="BF1179" s="846" t="str">
        <f t="shared" si="204"/>
        <v>..</v>
      </c>
      <c r="BG1179" s="117">
        <f>VLOOKUP($D1179,'WB Data'!$C$3:$M$578,5,FALSE)</f>
        <v>371220000</v>
      </c>
      <c r="BH1179" s="129">
        <f>IFERROR($BB1179/$BG1179,"..")</f>
        <v>1.3806529616591297</v>
      </c>
      <c r="BI1179" s="117">
        <f>IFERROR(VLOOKUP($D1179,'WB Data'!$C$3:$M$578,7,FALSE)/100,"..")</f>
        <v>5.1448500000000001E-2</v>
      </c>
      <c r="BJ1179" s="117">
        <f>IFERROR($BI1179*$AW1179,"..")</f>
        <v>235831405.5362747</v>
      </c>
      <c r="BK1179" s="846">
        <f>IFERROR($BB1179/$BJ1179,"..")</f>
        <v>2.1732728567750801</v>
      </c>
      <c r="BL1179" s="117">
        <f>IFERROR(VLOOKUP($D1179,'WB Data'!$C$3:$M$578,7,FALSE)/100,"..")</f>
        <v>5.1448500000000001E-2</v>
      </c>
      <c r="BM1179" s="117">
        <f>IFERROR($AW1179*$BL1179,"..")</f>
        <v>235831405.5362747</v>
      </c>
      <c r="BN1179" s="846">
        <f>IFERROR($BB1179/$BM1179,"..")</f>
        <v>2.1732728567750801</v>
      </c>
      <c r="BO1179" s="801">
        <f t="shared" si="200"/>
        <v>39</v>
      </c>
      <c r="BP1179" s="117" t="str">
        <f>VLOOKUP($D1179,'WB Data'!$C$3:$M$578,9,FALSE)</f>
        <v>..</v>
      </c>
      <c r="BQ1179" s="117">
        <f>VLOOKUP($D1179,'WB Data'!$C$3:$M$578,10,FALSE)</f>
        <v>66.641219512195136</v>
      </c>
      <c r="BR1179" s="117">
        <f>VLOOKUP($D1179,'WB Data'!$C$3:$M$578,11,FALSE)</f>
        <v>30.4</v>
      </c>
      <c r="BS1179" s="129">
        <f>IFERROR(VLOOKUP($D1179,'WB Data 2'!$C$2:$K$545,9,FALSE),"..")</f>
        <v>98.448030000000003</v>
      </c>
      <c r="BT1179" s="129">
        <f>_xlfn.IFNA(VLOOKUP($C1179,RGI!$A$2:$C$43,2,FALSE),"..")</f>
        <v>38.200000000000003</v>
      </c>
      <c r="BU1179" s="129">
        <f>_xlfn.IFNA(VLOOKUP($C1179,RGI!$A$2:$C$43,3,FALSE),"..")</f>
        <v>50.952530108834466</v>
      </c>
      <c r="BV1179" s="129">
        <f>VLOOKUP($D1179,WGI!$C$2:$O$478,7,FALSE)</f>
        <v>9.1417087418387499E-2</v>
      </c>
      <c r="BW1179" s="129">
        <f>VLOOKUP($D1179,WGI!$C$2:$O$478,4,FALSE)</f>
        <v>0.601512514565814</v>
      </c>
      <c r="BX1179" s="129">
        <f>VLOOKUP($D1179,WGI!$C$2:$O$478,3,FALSE)</f>
        <v>-0.65829754879069402</v>
      </c>
      <c r="BY1179" s="129">
        <f>VLOOKUP($D1179,WGI!$C$2:$O$478,5,FALSE)</f>
        <v>-0.27675532483055199</v>
      </c>
      <c r="BZ1179" s="129">
        <f>VLOOKUP($D1179,WGI!$C$2:$O$478,2,FALSE)</f>
        <v>-0.75530920524568601</v>
      </c>
    </row>
    <row r="1180" spans="1:80" ht="15" customHeight="1">
      <c r="A1180" s="280" t="s">
        <v>373</v>
      </c>
      <c r="B1180" s="117">
        <v>2009</v>
      </c>
      <c r="C1180" s="117" t="s">
        <v>364</v>
      </c>
      <c r="D1180" s="117" t="s">
        <v>3651</v>
      </c>
      <c r="E1180" s="117" t="s">
        <v>244</v>
      </c>
      <c r="F1180" s="117"/>
      <c r="G1180" s="117" t="s">
        <v>24</v>
      </c>
      <c r="H1180" s="117" t="str">
        <f t="shared" si="207"/>
        <v>yes</v>
      </c>
      <c r="I1180" s="117" t="str">
        <f t="shared" si="193"/>
        <v>no</v>
      </c>
      <c r="J1180" s="117" t="str">
        <f t="shared" si="194"/>
        <v>no</v>
      </c>
      <c r="K1180" s="117" t="s">
        <v>1766</v>
      </c>
      <c r="L1180" s="117" t="str">
        <f t="shared" si="208"/>
        <v>detailed</v>
      </c>
      <c r="M1180" s="117" t="str">
        <f t="shared" si="195"/>
        <v>detailed Mining</v>
      </c>
      <c r="N1180" s="118">
        <v>39</v>
      </c>
      <c r="O1180" s="118"/>
      <c r="P1180" s="118"/>
      <c r="Q1180" s="118"/>
      <c r="R1180" s="118"/>
      <c r="S1180" s="117" t="s">
        <v>610</v>
      </c>
      <c r="T1180" s="119">
        <v>150.5</v>
      </c>
      <c r="U1180" s="117" t="s">
        <v>611</v>
      </c>
      <c r="V1180" s="117" t="s">
        <v>1810</v>
      </c>
      <c r="W1180" s="89">
        <f t="shared" si="206"/>
        <v>5869.5</v>
      </c>
      <c r="X1180" s="117"/>
      <c r="Y1180" s="117"/>
      <c r="Z1180" s="117"/>
      <c r="AA1180" s="89"/>
      <c r="AB1180" s="89"/>
      <c r="AC1180" s="240"/>
      <c r="AD1180" s="240"/>
      <c r="AE1180" s="240"/>
      <c r="AF1180" s="241"/>
      <c r="AG1180" s="117"/>
      <c r="AH1180" s="124"/>
      <c r="AI1180" s="117"/>
      <c r="AJ1180" s="117"/>
      <c r="AK1180" s="117"/>
      <c r="AL1180" s="117"/>
      <c r="AM1180" s="117"/>
      <c r="AN1180" s="117"/>
      <c r="AO1180" s="117"/>
      <c r="AP1180" s="117"/>
      <c r="AQ1180" s="215"/>
      <c r="AR1180" s="126"/>
      <c r="AS1180" s="117"/>
      <c r="AT1180" s="117"/>
      <c r="AU1180" s="117"/>
      <c r="AV1180" s="128"/>
      <c r="AW1180" s="117">
        <f>VLOOKUP($D1180,'WB Data'!$C$3:$M$578,2,FALSE)</f>
        <v>4583834427.3647375</v>
      </c>
      <c r="AX1180" s="117">
        <f>VLOOKUP($D1180,'WB Data'!$C$3:$M$578,3,FALSE)</f>
        <v>2672223</v>
      </c>
      <c r="AY1180" s="847">
        <f t="shared" si="201"/>
        <v>0.11181162857179271</v>
      </c>
      <c r="AZ1180" s="117">
        <f>VLOOKUP($D1180,'WB Data'!$C$3:$M$578,4,FALSE)/100</f>
        <v>0.26831178133413958</v>
      </c>
      <c r="BA1180" s="117">
        <f t="shared" si="202"/>
        <v>1229896780.5469882</v>
      </c>
      <c r="BB1180" s="129">
        <f>IFERROR(VLOOKUP($D1180,'EITI Revenues'!$C$2:$G$224,5,FALSE),"..")</f>
        <v>512525992.42710215</v>
      </c>
      <c r="BC1180" s="846">
        <f t="shared" si="203"/>
        <v>0.41672276936862923</v>
      </c>
      <c r="BD1180" s="129" t="str">
        <f>VLOOKUP($D1180,'WB Data 2'!$C$2:$K$545,6,FALSE)</f>
        <v>..</v>
      </c>
      <c r="BE1180" s="129">
        <f>IFERROR(VLOOKUP($D1180,UNCTAD!$C$5:$V$529,4,FALSE),"..")</f>
        <v>2299920000</v>
      </c>
      <c r="BF1180" s="846" t="str">
        <f t="shared" si="204"/>
        <v>..</v>
      </c>
      <c r="BG1180" s="117">
        <f>VLOOKUP($D1180,'WB Data'!$C$3:$M$578,5,FALSE)</f>
        <v>371220000</v>
      </c>
      <c r="BH1180" s="129">
        <f>IFERROR($BB1180/$BG1180,"..")</f>
        <v>1.3806529616591297</v>
      </c>
      <c r="BI1180" s="117">
        <f>IFERROR(VLOOKUP($D1180,'WB Data'!$C$3:$M$578,7,FALSE)/100,"..")</f>
        <v>5.1448500000000001E-2</v>
      </c>
      <c r="BJ1180" s="117">
        <f>IFERROR($BI1180*$AW1180,"..")</f>
        <v>235831405.5362747</v>
      </c>
      <c r="BK1180" s="846">
        <f>IFERROR($BB1180/$BJ1180,"..")</f>
        <v>2.1732728567750801</v>
      </c>
      <c r="BL1180" s="117">
        <f>IFERROR(VLOOKUP($D1180,'WB Data'!$C$3:$M$578,7,FALSE)/100,"..")</f>
        <v>5.1448500000000001E-2</v>
      </c>
      <c r="BM1180" s="117">
        <f>IFERROR($AW1180*$BL1180,"..")</f>
        <v>235831405.5362747</v>
      </c>
      <c r="BN1180" s="846">
        <f>IFERROR($BB1180/$BM1180,"..")</f>
        <v>2.1732728567750801</v>
      </c>
      <c r="BO1180" s="801">
        <f t="shared" si="200"/>
        <v>39</v>
      </c>
      <c r="BP1180" s="117" t="str">
        <f>VLOOKUP($D1180,'WB Data'!$C$3:$M$578,9,FALSE)</f>
        <v>..</v>
      </c>
      <c r="BQ1180" s="117">
        <f>VLOOKUP($D1180,'WB Data'!$C$3:$M$578,10,FALSE)</f>
        <v>66.641219512195136</v>
      </c>
      <c r="BR1180" s="117">
        <f>VLOOKUP($D1180,'WB Data'!$C$3:$M$578,11,FALSE)</f>
        <v>30.4</v>
      </c>
      <c r="BS1180" s="129">
        <f>IFERROR(VLOOKUP($D1180,'WB Data 2'!$C$2:$K$545,9,FALSE),"..")</f>
        <v>98.448030000000003</v>
      </c>
      <c r="BT1180" s="129">
        <f>_xlfn.IFNA(VLOOKUP($C1180,RGI!$A$2:$C$43,2,FALSE),"..")</f>
        <v>38.200000000000003</v>
      </c>
      <c r="BU1180" s="129">
        <f>_xlfn.IFNA(VLOOKUP($C1180,RGI!$A$2:$C$43,3,FALSE),"..")</f>
        <v>50.952530108834466</v>
      </c>
      <c r="BV1180" s="129">
        <f>VLOOKUP($D1180,WGI!$C$2:$O$478,7,FALSE)</f>
        <v>9.1417087418387499E-2</v>
      </c>
      <c r="BW1180" s="129">
        <f>VLOOKUP($D1180,WGI!$C$2:$O$478,4,FALSE)</f>
        <v>0.601512514565814</v>
      </c>
      <c r="BX1180" s="129">
        <f>VLOOKUP($D1180,WGI!$C$2:$O$478,3,FALSE)</f>
        <v>-0.65829754879069402</v>
      </c>
      <c r="BY1180" s="129">
        <f>VLOOKUP($D1180,WGI!$C$2:$O$478,5,FALSE)</f>
        <v>-0.27675532483055199</v>
      </c>
      <c r="BZ1180" s="129">
        <f>VLOOKUP($D1180,WGI!$C$2:$O$478,2,FALSE)</f>
        <v>-0.75530920524568601</v>
      </c>
    </row>
    <row r="1181" spans="1:80" ht="15" customHeight="1">
      <c r="A1181" s="280" t="s">
        <v>373</v>
      </c>
      <c r="B1181" s="117">
        <v>2009</v>
      </c>
      <c r="C1181" s="117" t="s">
        <v>364</v>
      </c>
      <c r="D1181" s="117" t="s">
        <v>3651</v>
      </c>
      <c r="E1181" s="117" t="s">
        <v>244</v>
      </c>
      <c r="F1181" s="117"/>
      <c r="G1181" s="117" t="s">
        <v>24</v>
      </c>
      <c r="H1181" s="117" t="str">
        <f t="shared" si="207"/>
        <v>yes</v>
      </c>
      <c r="I1181" s="117" t="str">
        <f t="shared" si="193"/>
        <v>no</v>
      </c>
      <c r="J1181" s="117" t="str">
        <f t="shared" si="194"/>
        <v>no</v>
      </c>
      <c r="K1181" s="117" t="s">
        <v>1466</v>
      </c>
      <c r="L1181" s="117" t="str">
        <f t="shared" si="208"/>
        <v>detailed</v>
      </c>
      <c r="M1181" s="117" t="str">
        <f t="shared" si="195"/>
        <v>detailed Mining</v>
      </c>
      <c r="N1181" s="118"/>
      <c r="O1181" s="118"/>
      <c r="P1181" s="118"/>
      <c r="Q1181" s="118"/>
      <c r="R1181" s="118"/>
      <c r="S1181" s="117"/>
      <c r="T1181" s="119"/>
      <c r="U1181" s="117"/>
      <c r="V1181" s="117"/>
      <c r="W1181" s="89"/>
      <c r="X1181" s="89"/>
      <c r="Y1181" s="89"/>
      <c r="Z1181" s="89"/>
      <c r="AA1181" s="89">
        <v>576558.02640722715</v>
      </c>
      <c r="AB1181" s="89">
        <v>589692.14732453087</v>
      </c>
      <c r="AC1181" s="240"/>
      <c r="AD1181" s="240"/>
      <c r="AE1181" s="240"/>
      <c r="AF1181" s="241"/>
      <c r="AG1181" s="89"/>
      <c r="AH1181" s="124"/>
      <c r="AI1181" s="117"/>
      <c r="AJ1181" s="117"/>
      <c r="AK1181" s="117"/>
      <c r="AL1181" s="117"/>
      <c r="AM1181" s="117"/>
      <c r="AN1181" s="117">
        <v>2</v>
      </c>
      <c r="AO1181" s="117" t="s">
        <v>1825</v>
      </c>
      <c r="AP1181" s="117">
        <v>2</v>
      </c>
      <c r="AQ1181" s="215"/>
      <c r="AR1181" s="126"/>
      <c r="AS1181" s="117"/>
      <c r="AT1181" s="117"/>
      <c r="AU1181" s="117" t="s">
        <v>1818</v>
      </c>
      <c r="AV1181" s="128" t="s">
        <v>1807</v>
      </c>
      <c r="AW1181" s="117">
        <f>VLOOKUP($D1181,'WB Data'!$C$3:$M$578,2,FALSE)</f>
        <v>4583834427.3647375</v>
      </c>
      <c r="AX1181" s="117">
        <f>VLOOKUP($D1181,'WB Data'!$C$3:$M$578,3,FALSE)</f>
        <v>2672223</v>
      </c>
      <c r="AY1181" s="847">
        <f t="shared" si="201"/>
        <v>0.11181162857179271</v>
      </c>
      <c r="AZ1181" s="117">
        <f>VLOOKUP($D1181,'WB Data'!$C$3:$M$578,4,FALSE)/100</f>
        <v>0.26831178133413958</v>
      </c>
      <c r="BA1181" s="117">
        <f t="shared" si="202"/>
        <v>1229896780.5469882</v>
      </c>
      <c r="BB1181" s="129">
        <f>IFERROR(VLOOKUP($D1181,'EITI Revenues'!$C$2:$G$224,5,FALSE),"..")</f>
        <v>512525992.42710215</v>
      </c>
      <c r="BC1181" s="846">
        <f t="shared" si="203"/>
        <v>0.41672276936862923</v>
      </c>
      <c r="BD1181" s="129" t="str">
        <f>VLOOKUP($D1181,'WB Data 2'!$C$2:$K$545,6,FALSE)</f>
        <v>..</v>
      </c>
      <c r="BE1181" s="129">
        <f>IFERROR(VLOOKUP($D1181,UNCTAD!$C$5:$V$529,4,FALSE),"..")</f>
        <v>2299920000</v>
      </c>
      <c r="BF1181" s="846" t="str">
        <f t="shared" si="204"/>
        <v>..</v>
      </c>
      <c r="BG1181" s="117">
        <f>VLOOKUP($D1181,'WB Data'!$C$3:$M$578,5,FALSE)</f>
        <v>371220000</v>
      </c>
      <c r="BH1181" s="129">
        <f>IFERROR($BB1181/$BG1181,"..")</f>
        <v>1.3806529616591297</v>
      </c>
      <c r="BI1181" s="117">
        <f>IFERROR(VLOOKUP($D1181,'WB Data'!$C$3:$M$578,7,FALSE)/100,"..")</f>
        <v>5.1448500000000001E-2</v>
      </c>
      <c r="BJ1181" s="117">
        <f>IFERROR($BI1181*$AW1181,"..")</f>
        <v>235831405.5362747</v>
      </c>
      <c r="BK1181" s="846">
        <f>IFERROR($BB1181/$BJ1181,"..")</f>
        <v>2.1732728567750801</v>
      </c>
      <c r="BL1181" s="117">
        <f>IFERROR(VLOOKUP($D1181,'WB Data'!$C$3:$M$578,7,FALSE)/100,"..")</f>
        <v>5.1448500000000001E-2</v>
      </c>
      <c r="BM1181" s="117">
        <f>IFERROR($AW1181*$BL1181,"..")</f>
        <v>235831405.5362747</v>
      </c>
      <c r="BN1181" s="846">
        <f>IFERROR($BB1181/$BM1181,"..")</f>
        <v>2.1732728567750801</v>
      </c>
      <c r="BO1181" s="801">
        <f t="shared" si="200"/>
        <v>39</v>
      </c>
      <c r="BP1181" s="117" t="str">
        <f>VLOOKUP($D1181,'WB Data'!$C$3:$M$578,9,FALSE)</f>
        <v>..</v>
      </c>
      <c r="BQ1181" s="117">
        <f>VLOOKUP($D1181,'WB Data'!$C$3:$M$578,10,FALSE)</f>
        <v>66.641219512195136</v>
      </c>
      <c r="BR1181" s="117">
        <f>VLOOKUP($D1181,'WB Data'!$C$3:$M$578,11,FALSE)</f>
        <v>30.4</v>
      </c>
      <c r="BS1181" s="129">
        <f>IFERROR(VLOOKUP($D1181,'WB Data 2'!$C$2:$K$545,9,FALSE),"..")</f>
        <v>98.448030000000003</v>
      </c>
      <c r="BT1181" s="129">
        <f>_xlfn.IFNA(VLOOKUP($C1181,RGI!$A$2:$C$43,2,FALSE),"..")</f>
        <v>38.200000000000003</v>
      </c>
      <c r="BU1181" s="129">
        <f>_xlfn.IFNA(VLOOKUP($C1181,RGI!$A$2:$C$43,3,FALSE),"..")</f>
        <v>50.952530108834466</v>
      </c>
      <c r="BV1181" s="129">
        <f>VLOOKUP($D1181,WGI!$C$2:$O$478,7,FALSE)</f>
        <v>9.1417087418387499E-2</v>
      </c>
      <c r="BW1181" s="129">
        <f>VLOOKUP($D1181,WGI!$C$2:$O$478,4,FALSE)</f>
        <v>0.601512514565814</v>
      </c>
      <c r="BX1181" s="129">
        <f>VLOOKUP($D1181,WGI!$C$2:$O$478,3,FALSE)</f>
        <v>-0.65829754879069402</v>
      </c>
      <c r="BY1181" s="129">
        <f>VLOOKUP($D1181,WGI!$C$2:$O$478,5,FALSE)</f>
        <v>-0.27675532483055199</v>
      </c>
      <c r="BZ1181" s="129">
        <f>VLOOKUP($D1181,WGI!$C$2:$O$478,2,FALSE)</f>
        <v>-0.75530920524568601</v>
      </c>
    </row>
    <row r="1182" spans="1:80" ht="15" customHeight="1">
      <c r="A1182" s="280" t="s">
        <v>373</v>
      </c>
      <c r="B1182" s="117">
        <v>2009</v>
      </c>
      <c r="C1182" s="117" t="s">
        <v>364</v>
      </c>
      <c r="D1182" s="117" t="s">
        <v>3651</v>
      </c>
      <c r="E1182" s="117" t="s">
        <v>244</v>
      </c>
      <c r="F1182" s="117"/>
      <c r="G1182" s="117" t="s">
        <v>24</v>
      </c>
      <c r="H1182" s="117" t="str">
        <f t="shared" si="207"/>
        <v>yes</v>
      </c>
      <c r="I1182" s="117" t="str">
        <f t="shared" si="193"/>
        <v>no</v>
      </c>
      <c r="J1182" s="117" t="str">
        <f t="shared" si="194"/>
        <v>no</v>
      </c>
      <c r="K1182" s="117" t="s">
        <v>849</v>
      </c>
      <c r="L1182" s="117" t="str">
        <f t="shared" si="208"/>
        <v>detailed</v>
      </c>
      <c r="M1182" s="117" t="str">
        <f t="shared" si="195"/>
        <v>detailed Mining</v>
      </c>
      <c r="N1182" s="118">
        <f>141500*0.90718474</f>
        <v>128366.64071000001</v>
      </c>
      <c r="O1182" s="118"/>
      <c r="P1182" s="118">
        <f>141500*0.90718474</f>
        <v>128366.64071000001</v>
      </c>
      <c r="Q1182" s="118"/>
      <c r="R1182" s="118"/>
      <c r="S1182" s="117" t="s">
        <v>610</v>
      </c>
      <c r="T1182" s="119">
        <v>811.22</v>
      </c>
      <c r="U1182" s="117" t="s">
        <v>611</v>
      </c>
      <c r="V1182" s="117" t="s">
        <v>1814</v>
      </c>
      <c r="W1182" s="89">
        <f>N1182*T1182</f>
        <v>104133586.27676621</v>
      </c>
      <c r="X1182" s="117"/>
      <c r="Y1182" s="117"/>
      <c r="Z1182" s="117"/>
      <c r="AA1182" s="89"/>
      <c r="AB1182" s="89"/>
      <c r="AC1182" s="240"/>
      <c r="AD1182" s="240"/>
      <c r="AE1182" s="240"/>
      <c r="AF1182" s="241"/>
      <c r="AG1182" s="117"/>
      <c r="AH1182" s="124"/>
      <c r="AI1182" s="117"/>
      <c r="AJ1182" s="117"/>
      <c r="AK1182" s="117"/>
      <c r="AL1182" s="117"/>
      <c r="AM1182" s="117"/>
      <c r="AN1182" s="117">
        <v>2</v>
      </c>
      <c r="AO1182" s="117" t="s">
        <v>1826</v>
      </c>
      <c r="AP1182" s="117">
        <v>2</v>
      </c>
      <c r="AQ1182" s="215"/>
      <c r="AR1182" s="126"/>
      <c r="AS1182" s="117"/>
      <c r="AT1182" s="117"/>
      <c r="AU1182" s="117"/>
      <c r="AV1182" s="128"/>
      <c r="AW1182" s="117">
        <f>VLOOKUP($D1182,'WB Data'!$C$3:$M$578,2,FALSE)</f>
        <v>4583834427.3647375</v>
      </c>
      <c r="AX1182" s="117">
        <f>VLOOKUP($D1182,'WB Data'!$C$3:$M$578,3,FALSE)</f>
        <v>2672223</v>
      </c>
      <c r="AY1182" s="847">
        <f t="shared" si="201"/>
        <v>0.11181162857179271</v>
      </c>
      <c r="AZ1182" s="117">
        <f>VLOOKUP($D1182,'WB Data'!$C$3:$M$578,4,FALSE)/100</f>
        <v>0.26831178133413958</v>
      </c>
      <c r="BA1182" s="117">
        <f t="shared" si="202"/>
        <v>1229896780.5469882</v>
      </c>
      <c r="BB1182" s="129">
        <f>IFERROR(VLOOKUP($D1182,'EITI Revenues'!$C$2:$G$224,5,FALSE),"..")</f>
        <v>512525992.42710215</v>
      </c>
      <c r="BC1182" s="846">
        <f t="shared" si="203"/>
        <v>0.41672276936862923</v>
      </c>
      <c r="BD1182" s="129" t="str">
        <f>VLOOKUP($D1182,'WB Data 2'!$C$2:$K$545,6,FALSE)</f>
        <v>..</v>
      </c>
      <c r="BE1182" s="129">
        <f>IFERROR(VLOOKUP($D1182,UNCTAD!$C$5:$V$529,4,FALSE),"..")</f>
        <v>2299920000</v>
      </c>
      <c r="BF1182" s="846" t="str">
        <f t="shared" si="204"/>
        <v>..</v>
      </c>
      <c r="BG1182" s="117">
        <f>VLOOKUP($D1182,'WB Data'!$C$3:$M$578,5,FALSE)</f>
        <v>371220000</v>
      </c>
      <c r="BH1182" s="129">
        <f>IFERROR($BB1182/$BG1182,"..")</f>
        <v>1.3806529616591297</v>
      </c>
      <c r="BI1182" s="117">
        <f>IFERROR(VLOOKUP($D1182,'WB Data'!$C$3:$M$578,7,FALSE)/100,"..")</f>
        <v>5.1448500000000001E-2</v>
      </c>
      <c r="BJ1182" s="117">
        <f>IFERROR($BI1182*$AW1182,"..")</f>
        <v>235831405.5362747</v>
      </c>
      <c r="BK1182" s="846">
        <f>IFERROR($BB1182/$BJ1182,"..")</f>
        <v>2.1732728567750801</v>
      </c>
      <c r="BL1182" s="117">
        <f>IFERROR(VLOOKUP($D1182,'WB Data'!$C$3:$M$578,7,FALSE)/100,"..")</f>
        <v>5.1448500000000001E-2</v>
      </c>
      <c r="BM1182" s="117">
        <f>IFERROR($AW1182*$BL1182,"..")</f>
        <v>235831405.5362747</v>
      </c>
      <c r="BN1182" s="846">
        <f>IFERROR($BB1182/$BM1182,"..")</f>
        <v>2.1732728567750801</v>
      </c>
      <c r="BO1182" s="801">
        <f t="shared" si="200"/>
        <v>39</v>
      </c>
      <c r="BP1182" s="117" t="str">
        <f>VLOOKUP($D1182,'WB Data'!$C$3:$M$578,9,FALSE)</f>
        <v>..</v>
      </c>
      <c r="BQ1182" s="117">
        <f>VLOOKUP($D1182,'WB Data'!$C$3:$M$578,10,FALSE)</f>
        <v>66.641219512195136</v>
      </c>
      <c r="BR1182" s="117">
        <f>VLOOKUP($D1182,'WB Data'!$C$3:$M$578,11,FALSE)</f>
        <v>30.4</v>
      </c>
      <c r="BS1182" s="129">
        <f>IFERROR(VLOOKUP($D1182,'WB Data 2'!$C$2:$K$545,9,FALSE),"..")</f>
        <v>98.448030000000003</v>
      </c>
      <c r="BT1182" s="129">
        <f>_xlfn.IFNA(VLOOKUP($C1182,RGI!$A$2:$C$43,2,FALSE),"..")</f>
        <v>38.200000000000003</v>
      </c>
      <c r="BU1182" s="129">
        <f>_xlfn.IFNA(VLOOKUP($C1182,RGI!$A$2:$C$43,3,FALSE),"..")</f>
        <v>50.952530108834466</v>
      </c>
      <c r="BV1182" s="129">
        <f>VLOOKUP($D1182,WGI!$C$2:$O$478,7,FALSE)</f>
        <v>9.1417087418387499E-2</v>
      </c>
      <c r="BW1182" s="129">
        <f>VLOOKUP($D1182,WGI!$C$2:$O$478,4,FALSE)</f>
        <v>0.601512514565814</v>
      </c>
      <c r="BX1182" s="129">
        <f>VLOOKUP($D1182,WGI!$C$2:$O$478,3,FALSE)</f>
        <v>-0.65829754879069402</v>
      </c>
      <c r="BY1182" s="129">
        <f>VLOOKUP($D1182,WGI!$C$2:$O$478,5,FALSE)</f>
        <v>-0.27675532483055199</v>
      </c>
      <c r="BZ1182" s="129">
        <f>VLOOKUP($D1182,WGI!$C$2:$O$478,2,FALSE)</f>
        <v>-0.75530920524568601</v>
      </c>
    </row>
    <row r="1183" spans="1:80" s="144" customFormat="1" ht="15" customHeight="1">
      <c r="A1183" s="279" t="s">
        <v>375</v>
      </c>
      <c r="B1183" s="132">
        <v>2010</v>
      </c>
      <c r="C1183" s="132" t="s">
        <v>364</v>
      </c>
      <c r="D1183" s="117" t="s">
        <v>3685</v>
      </c>
      <c r="E1183" s="132" t="s">
        <v>244</v>
      </c>
      <c r="F1183" s="132" t="s">
        <v>1745</v>
      </c>
      <c r="G1183" s="132" t="s">
        <v>41</v>
      </c>
      <c r="H1183" s="117" t="str">
        <f t="shared" si="207"/>
        <v>yes</v>
      </c>
      <c r="I1183" s="117" t="str">
        <f t="shared" ref="I1183:I1246" si="209">IF($G1183="Gas","yes",IF($G1183="Oil, Gas, Mining","yes",IF($G1183="Gas, Mining","yes",IF($G1183="Oil, Gas","yes",IF($G1183="Oil, Gas, Other","yes","no")))))</f>
        <v>no</v>
      </c>
      <c r="J1183" s="117" t="str">
        <f t="shared" ref="J1183:J1246" si="210">IF($G1183="Oil","yes",IF($G1183="Oil, Gas, Mining","yes",IF($G1183="Oil, Mining","yes",IF($G1183="Oil, Gas","yes",IF($G1183="Oil, Gas, Other","yes","no")))))</f>
        <v>yes</v>
      </c>
      <c r="K1183" s="132" t="s">
        <v>709</v>
      </c>
      <c r="L1183" s="117" t="str">
        <f t="shared" si="208"/>
        <v>Total</v>
      </c>
      <c r="M1183" s="117" t="str">
        <f t="shared" ref="M1183:M1246" si="211">L1183&amp;" "&amp;G1183</f>
        <v>Total Oil, Mining</v>
      </c>
      <c r="N1183" s="133"/>
      <c r="O1183" s="133"/>
      <c r="P1183" s="133"/>
      <c r="Q1183" s="133"/>
      <c r="R1183" s="133"/>
      <c r="S1183" s="132"/>
      <c r="T1183" s="134"/>
      <c r="U1183" s="132"/>
      <c r="V1183" s="132"/>
      <c r="W1183" s="135">
        <f>W1184+W1185</f>
        <v>2405606221.7856212</v>
      </c>
      <c r="X1183" s="132" t="s">
        <v>1179</v>
      </c>
      <c r="Y1183" s="132" t="s">
        <v>663</v>
      </c>
      <c r="Z1183" s="132" t="s">
        <v>664</v>
      </c>
      <c r="AA1183" s="135">
        <v>943183886</v>
      </c>
      <c r="AB1183" s="135">
        <v>943184625.70000005</v>
      </c>
      <c r="AC1183" s="599"/>
      <c r="AD1183" s="599"/>
      <c r="AE1183" s="599"/>
      <c r="AF1183" s="600">
        <f>AA1183/W1183</f>
        <v>0.39207742208943003</v>
      </c>
      <c r="AG1183" s="132" t="s">
        <v>1747</v>
      </c>
      <c r="AH1183" s="140">
        <v>1351.87</v>
      </c>
      <c r="AI1183" s="132" t="s">
        <v>1570</v>
      </c>
      <c r="AJ1183" s="144" t="s">
        <v>1827</v>
      </c>
      <c r="AK1183" s="135">
        <v>3787346.4160000002</v>
      </c>
      <c r="AL1183" s="132"/>
      <c r="AM1183" s="132"/>
      <c r="AN1183" s="132">
        <v>150</v>
      </c>
      <c r="AO1183" s="132" t="s">
        <v>1828</v>
      </c>
      <c r="AP1183" s="132">
        <v>150</v>
      </c>
      <c r="AQ1183" s="229" t="s">
        <v>159</v>
      </c>
      <c r="AR1183" s="141">
        <v>41904</v>
      </c>
      <c r="AS1183" s="132" t="s">
        <v>1787</v>
      </c>
      <c r="AT1183" s="132" t="s">
        <v>376</v>
      </c>
      <c r="AU1183" s="132">
        <v>6</v>
      </c>
      <c r="AV1183" s="143" t="s">
        <v>1829</v>
      </c>
      <c r="AW1183" s="117">
        <f>VLOOKUP($D1183,'WB Data'!$C$3:$M$578,2,FALSE)</f>
        <v>6200357070.1147966</v>
      </c>
      <c r="AX1183" s="117">
        <f>VLOOKUP($D1183,'WB Data'!$C$3:$M$578,3,FALSE)</f>
        <v>2712738</v>
      </c>
      <c r="AY1183" s="847">
        <f t="shared" si="201"/>
        <v>0.15211767247181096</v>
      </c>
      <c r="AZ1183" s="117">
        <f>VLOOKUP($D1183,'WB Data'!$C$3:$M$578,4,FALSE)/100</f>
        <v>0.336578389234308</v>
      </c>
      <c r="BA1183" s="117">
        <f t="shared" si="202"/>
        <v>2086906195.3367915</v>
      </c>
      <c r="BB1183" s="129">
        <f>IFERROR(VLOOKUP($D1183,'EITI Revenues'!$C$2:$G$224,5,FALSE),"..")</f>
        <v>943183886</v>
      </c>
      <c r="BC1183" s="846">
        <f t="shared" si="203"/>
        <v>0.45195317743919294</v>
      </c>
      <c r="BD1183" s="129" t="str">
        <f>VLOOKUP($D1183,'WB Data 2'!$C$2:$K$545,6,FALSE)</f>
        <v>..</v>
      </c>
      <c r="BE1183" s="129">
        <f>IFERROR(VLOOKUP($D1183,UNCTAD!$C$5:$V$529,4,FALSE),"..")</f>
        <v>3394506000</v>
      </c>
      <c r="BF1183" s="846" t="str">
        <f t="shared" si="204"/>
        <v>..</v>
      </c>
      <c r="BG1183" s="117">
        <f>VLOOKUP($D1183,'WB Data'!$C$3:$M$578,5,FALSE)</f>
        <v>302760000</v>
      </c>
      <c r="BH1183" s="129">
        <f>IFERROR($BB1183/$BG1183,"..")</f>
        <v>3.115285658607478</v>
      </c>
      <c r="BI1183" s="117">
        <f>IFERROR(VLOOKUP($D1183,'WB Data'!$C$3:$M$578,7,FALSE)/100,"..")</f>
        <v>5.3859799999999999E-2</v>
      </c>
      <c r="BJ1183" s="117">
        <f>IFERROR($BI1183*$AW1183,"..")</f>
        <v>333949991.72496891</v>
      </c>
      <c r="BK1183" s="846">
        <f>IFERROR($BB1183/$BJ1183,"..")</f>
        <v>2.8243267236753749</v>
      </c>
      <c r="BL1183" s="117">
        <f>IFERROR(VLOOKUP($D1183,'WB Data'!$C$3:$M$578,7,FALSE)/100,"..")</f>
        <v>5.3859799999999999E-2</v>
      </c>
      <c r="BM1183" s="117">
        <f>IFERROR($AW1183*$BL1183,"..")</f>
        <v>333949991.72496891</v>
      </c>
      <c r="BN1183" s="846">
        <f>IFERROR($BB1183/$BM1183,"..")</f>
        <v>2.8243267236753749</v>
      </c>
      <c r="BO1183" s="801">
        <f t="shared" si="200"/>
        <v>39</v>
      </c>
      <c r="BP1183" s="117">
        <f>VLOOKUP($D1183,'WB Data'!$C$3:$M$578,9,FALSE)</f>
        <v>38.700000000000003</v>
      </c>
      <c r="BQ1183" s="117">
        <f>VLOOKUP($D1183,'WB Data'!$C$3:$M$578,10,FALSE)</f>
        <v>66.894609756097566</v>
      </c>
      <c r="BR1183" s="117">
        <f>VLOOKUP($D1183,'WB Data'!$C$3:$M$578,11,FALSE)</f>
        <v>29.3</v>
      </c>
      <c r="BS1183" s="129">
        <f>IFERROR(VLOOKUP($D1183,'WB Data 2'!$C$2:$K$545,9,FALSE),"..")</f>
        <v>98.975020000000001</v>
      </c>
      <c r="BT1183" s="129">
        <f>_xlfn.IFNA(VLOOKUP($C1183,RGI!$A$2:$C$43,2,FALSE),"..")</f>
        <v>38.200000000000003</v>
      </c>
      <c r="BU1183" s="129">
        <f>_xlfn.IFNA(VLOOKUP($C1183,RGI!$A$2:$C$43,3,FALSE),"..")</f>
        <v>50.952530108834466</v>
      </c>
      <c r="BV1183" s="129">
        <f>VLOOKUP($D1183,WGI!$C$2:$O$478,7,FALSE)</f>
        <v>4.4599470651139603E-2</v>
      </c>
      <c r="BW1183" s="129">
        <f>VLOOKUP($D1183,WGI!$C$2:$O$478,4,FALSE)</f>
        <v>0.590470204518041</v>
      </c>
      <c r="BX1183" s="129">
        <f>VLOOKUP($D1183,WGI!$C$2:$O$478,3,FALSE)</f>
        <v>-0.57232558761858399</v>
      </c>
      <c r="BY1183" s="129">
        <f>VLOOKUP($D1183,WGI!$C$2:$O$478,5,FALSE)</f>
        <v>-0.22521774246305401</v>
      </c>
      <c r="BZ1183" s="129">
        <f>VLOOKUP($D1183,WGI!$C$2:$O$478,2,FALSE)</f>
        <v>-0.73017292546653501</v>
      </c>
      <c r="CB1183" s="129"/>
    </row>
    <row r="1184" spans="1:80" s="120" customFormat="1" ht="15" customHeight="1">
      <c r="A1184" s="280" t="s">
        <v>375</v>
      </c>
      <c r="B1184" s="117">
        <v>2010</v>
      </c>
      <c r="C1184" s="117" t="s">
        <v>364</v>
      </c>
      <c r="D1184" s="117" t="s">
        <v>3685</v>
      </c>
      <c r="E1184" s="117" t="s">
        <v>244</v>
      </c>
      <c r="F1184" s="117"/>
      <c r="G1184" s="117" t="s">
        <v>103</v>
      </c>
      <c r="H1184" s="117" t="str">
        <f t="shared" si="207"/>
        <v>no</v>
      </c>
      <c r="I1184" s="117" t="str">
        <f t="shared" si="209"/>
        <v>no</v>
      </c>
      <c r="J1184" s="117" t="str">
        <f t="shared" si="210"/>
        <v>yes</v>
      </c>
      <c r="K1184" s="117" t="s">
        <v>103</v>
      </c>
      <c r="L1184" s="117" t="str">
        <f t="shared" si="208"/>
        <v>detailed</v>
      </c>
      <c r="M1184" s="117" t="str">
        <f t="shared" si="211"/>
        <v>detailed Oil</v>
      </c>
      <c r="N1184" s="118">
        <v>2181400</v>
      </c>
      <c r="O1184" s="118"/>
      <c r="P1184" s="118">
        <v>2181400</v>
      </c>
      <c r="Q1184" s="118"/>
      <c r="R1184" s="118"/>
      <c r="S1184" s="117" t="s">
        <v>646</v>
      </c>
      <c r="T1184" s="119">
        <v>74.55</v>
      </c>
      <c r="U1184" s="117" t="s">
        <v>673</v>
      </c>
      <c r="V1184" s="117" t="s">
        <v>1814</v>
      </c>
      <c r="W1184" s="89">
        <f>N1184*T1184</f>
        <v>162623370</v>
      </c>
      <c r="X1184" s="603"/>
      <c r="Y1184" s="602"/>
      <c r="Z1184" s="602"/>
      <c r="AA1184" s="89">
        <v>49691900.848454371</v>
      </c>
      <c r="AB1184" s="89"/>
      <c r="AC1184" s="240"/>
      <c r="AD1184" s="240"/>
      <c r="AE1184" s="240"/>
      <c r="AF1184" s="241">
        <f>AA1184/W1184</f>
        <v>0.30556432847538684</v>
      </c>
      <c r="AG1184" s="89"/>
      <c r="AH1184" s="124"/>
      <c r="AI1184" s="117"/>
      <c r="AJ1184" s="117"/>
      <c r="AK1184" s="117"/>
      <c r="AL1184" s="117"/>
      <c r="AM1184" s="117"/>
      <c r="AN1184" s="117">
        <v>9</v>
      </c>
      <c r="AO1184" s="117" t="s">
        <v>1830</v>
      </c>
      <c r="AP1184" s="117">
        <v>9</v>
      </c>
      <c r="AQ1184" s="117"/>
      <c r="AR1184" s="126"/>
      <c r="AS1184" s="117"/>
      <c r="AT1184" s="117"/>
      <c r="AU1184" s="117">
        <v>21</v>
      </c>
      <c r="AV1184" s="128"/>
      <c r="AW1184" s="117">
        <f>VLOOKUP($D1184,'WB Data'!$C$3:$M$578,2,FALSE)</f>
        <v>6200357070.1147966</v>
      </c>
      <c r="AX1184" s="117">
        <f>VLOOKUP($D1184,'WB Data'!$C$3:$M$578,3,FALSE)</f>
        <v>2712738</v>
      </c>
      <c r="AY1184" s="847">
        <f t="shared" si="201"/>
        <v>0.15211767247181096</v>
      </c>
      <c r="AZ1184" s="117">
        <f>VLOOKUP($D1184,'WB Data'!$C$3:$M$578,4,FALSE)/100</f>
        <v>0.336578389234308</v>
      </c>
      <c r="BA1184" s="117">
        <f t="shared" si="202"/>
        <v>2086906195.3367915</v>
      </c>
      <c r="BB1184" s="129">
        <f>IFERROR(VLOOKUP($D1184,'EITI Revenues'!$C$2:$G$224,5,FALSE),"..")</f>
        <v>943183886</v>
      </c>
      <c r="BC1184" s="846">
        <f t="shared" si="203"/>
        <v>0.45195317743919294</v>
      </c>
      <c r="BD1184" s="129" t="str">
        <f>VLOOKUP($D1184,'WB Data 2'!$C$2:$K$545,6,FALSE)</f>
        <v>..</v>
      </c>
      <c r="BE1184" s="129">
        <f>IFERROR(VLOOKUP($D1184,UNCTAD!$C$5:$V$529,4,FALSE),"..")</f>
        <v>3394506000</v>
      </c>
      <c r="BF1184" s="846" t="str">
        <f t="shared" si="204"/>
        <v>..</v>
      </c>
      <c r="BG1184" s="117">
        <f>VLOOKUP($D1184,'WB Data'!$C$3:$M$578,5,FALSE)</f>
        <v>302760000</v>
      </c>
      <c r="BH1184" s="129">
        <f>IFERROR($BB1184/$BG1184,"..")</f>
        <v>3.115285658607478</v>
      </c>
      <c r="BI1184" s="117">
        <f>IFERROR(VLOOKUP($D1184,'WB Data'!$C$3:$M$578,7,FALSE)/100,"..")</f>
        <v>5.3859799999999999E-2</v>
      </c>
      <c r="BJ1184" s="117">
        <f>IFERROR($BI1184*$AW1184,"..")</f>
        <v>333949991.72496891</v>
      </c>
      <c r="BK1184" s="846">
        <f>IFERROR($BB1184/$BJ1184,"..")</f>
        <v>2.8243267236753749</v>
      </c>
      <c r="BL1184" s="117">
        <f>IFERROR(VLOOKUP($D1184,'WB Data'!$C$3:$M$578,7,FALSE)/100,"..")</f>
        <v>5.3859799999999999E-2</v>
      </c>
      <c r="BM1184" s="117">
        <f>IFERROR($AW1184*$BL1184,"..")</f>
        <v>333949991.72496891</v>
      </c>
      <c r="BN1184" s="846">
        <f>IFERROR($BB1184/$BM1184,"..")</f>
        <v>2.8243267236753749</v>
      </c>
      <c r="BO1184" s="801">
        <f t="shared" si="200"/>
        <v>39</v>
      </c>
      <c r="BP1184" s="117">
        <f>VLOOKUP($D1184,'WB Data'!$C$3:$M$578,9,FALSE)</f>
        <v>38.700000000000003</v>
      </c>
      <c r="BQ1184" s="117">
        <f>VLOOKUP($D1184,'WB Data'!$C$3:$M$578,10,FALSE)</f>
        <v>66.894609756097566</v>
      </c>
      <c r="BR1184" s="117">
        <f>VLOOKUP($D1184,'WB Data'!$C$3:$M$578,11,FALSE)</f>
        <v>29.3</v>
      </c>
      <c r="BS1184" s="129">
        <f>IFERROR(VLOOKUP($D1184,'WB Data 2'!$C$2:$K$545,9,FALSE),"..")</f>
        <v>98.975020000000001</v>
      </c>
      <c r="BT1184" s="129">
        <f>_xlfn.IFNA(VLOOKUP($C1184,RGI!$A$2:$C$43,2,FALSE),"..")</f>
        <v>38.200000000000003</v>
      </c>
      <c r="BU1184" s="129">
        <f>_xlfn.IFNA(VLOOKUP($C1184,RGI!$A$2:$C$43,3,FALSE),"..")</f>
        <v>50.952530108834466</v>
      </c>
      <c r="BV1184" s="129">
        <f>VLOOKUP($D1184,WGI!$C$2:$O$478,7,FALSE)</f>
        <v>4.4599470651139603E-2</v>
      </c>
      <c r="BW1184" s="129">
        <f>VLOOKUP($D1184,WGI!$C$2:$O$478,4,FALSE)</f>
        <v>0.590470204518041</v>
      </c>
      <c r="BX1184" s="129">
        <f>VLOOKUP($D1184,WGI!$C$2:$O$478,3,FALSE)</f>
        <v>-0.57232558761858399</v>
      </c>
      <c r="BY1184" s="129">
        <f>VLOOKUP($D1184,WGI!$C$2:$O$478,5,FALSE)</f>
        <v>-0.22521774246305401</v>
      </c>
      <c r="BZ1184" s="129">
        <f>VLOOKUP($D1184,WGI!$C$2:$O$478,2,FALSE)</f>
        <v>-0.73017292546653501</v>
      </c>
      <c r="CB1184" s="129"/>
    </row>
    <row r="1185" spans="1:80" s="120" customFormat="1" ht="15" customHeight="1">
      <c r="A1185" s="280" t="s">
        <v>375</v>
      </c>
      <c r="B1185" s="117">
        <v>2010</v>
      </c>
      <c r="C1185" s="117" t="s">
        <v>364</v>
      </c>
      <c r="D1185" s="117" t="s">
        <v>3685</v>
      </c>
      <c r="E1185" s="117" t="s">
        <v>244</v>
      </c>
      <c r="F1185" s="117"/>
      <c r="G1185" s="117" t="s">
        <v>24</v>
      </c>
      <c r="H1185" s="117" t="str">
        <f t="shared" si="207"/>
        <v>yes</v>
      </c>
      <c r="I1185" s="117" t="str">
        <f t="shared" si="209"/>
        <v>no</v>
      </c>
      <c r="J1185" s="117" t="str">
        <f t="shared" si="210"/>
        <v>no</v>
      </c>
      <c r="K1185" s="117" t="s">
        <v>600</v>
      </c>
      <c r="L1185" s="117" t="str">
        <f t="shared" si="208"/>
        <v>Total</v>
      </c>
      <c r="M1185" s="117" t="str">
        <f t="shared" si="211"/>
        <v>Total Mining</v>
      </c>
      <c r="N1185" s="118"/>
      <c r="O1185" s="118"/>
      <c r="P1185" s="118"/>
      <c r="Q1185" s="118"/>
      <c r="R1185" s="118"/>
      <c r="S1185" s="117"/>
      <c r="T1185" s="119"/>
      <c r="U1185" s="117"/>
      <c r="V1185" s="117"/>
      <c r="W1185" s="89">
        <f>SUM(W1186:W1196)</f>
        <v>2242982851.7856212</v>
      </c>
      <c r="X1185" s="117"/>
      <c r="Y1185" s="602"/>
      <c r="Z1185" s="602"/>
      <c r="AA1185" s="89">
        <v>893491985.15154564</v>
      </c>
      <c r="AB1185" s="89"/>
      <c r="AC1185" s="240"/>
      <c r="AD1185" s="240"/>
      <c r="AE1185" s="240"/>
      <c r="AF1185" s="241">
        <f>AA1185/W1185</f>
        <v>0.39834989573827712</v>
      </c>
      <c r="AG1185" s="89"/>
      <c r="AH1185" s="124"/>
      <c r="AI1185" s="117"/>
      <c r="AJ1185" s="117"/>
      <c r="AL1185" s="117"/>
      <c r="AM1185" s="117"/>
      <c r="AN1185" s="117">
        <v>141</v>
      </c>
      <c r="AO1185" s="117" t="s">
        <v>1831</v>
      </c>
      <c r="AP1185" s="117">
        <v>141</v>
      </c>
      <c r="AQ1185" s="117"/>
      <c r="AR1185" s="126"/>
      <c r="AS1185" s="117"/>
      <c r="AT1185" s="117"/>
      <c r="AV1185" s="128"/>
      <c r="AW1185" s="117">
        <f>VLOOKUP($D1185,'WB Data'!$C$3:$M$578,2,FALSE)</f>
        <v>6200357070.1147966</v>
      </c>
      <c r="AX1185" s="117">
        <f>VLOOKUP($D1185,'WB Data'!$C$3:$M$578,3,FALSE)</f>
        <v>2712738</v>
      </c>
      <c r="AY1185" s="847">
        <f t="shared" si="201"/>
        <v>0.15211767247181096</v>
      </c>
      <c r="AZ1185" s="117">
        <f>VLOOKUP($D1185,'WB Data'!$C$3:$M$578,4,FALSE)/100</f>
        <v>0.336578389234308</v>
      </c>
      <c r="BA1185" s="117">
        <f t="shared" si="202"/>
        <v>2086906195.3367915</v>
      </c>
      <c r="BB1185" s="129">
        <f>IFERROR(VLOOKUP($D1185,'EITI Revenues'!$C$2:$G$224,5,FALSE),"..")</f>
        <v>943183886</v>
      </c>
      <c r="BC1185" s="846">
        <f t="shared" si="203"/>
        <v>0.45195317743919294</v>
      </c>
      <c r="BD1185" s="129" t="str">
        <f>VLOOKUP($D1185,'WB Data 2'!$C$2:$K$545,6,FALSE)</f>
        <v>..</v>
      </c>
      <c r="BE1185" s="129">
        <f>IFERROR(VLOOKUP($D1185,UNCTAD!$C$5:$V$529,4,FALSE),"..")</f>
        <v>3394506000</v>
      </c>
      <c r="BF1185" s="846" t="str">
        <f t="shared" si="204"/>
        <v>..</v>
      </c>
      <c r="BG1185" s="117">
        <f>VLOOKUP($D1185,'WB Data'!$C$3:$M$578,5,FALSE)</f>
        <v>302760000</v>
      </c>
      <c r="BH1185" s="129">
        <f>IFERROR($BB1185/$BG1185,"..")</f>
        <v>3.115285658607478</v>
      </c>
      <c r="BI1185" s="117">
        <f>IFERROR(VLOOKUP($D1185,'WB Data'!$C$3:$M$578,7,FALSE)/100,"..")</f>
        <v>5.3859799999999999E-2</v>
      </c>
      <c r="BJ1185" s="117">
        <f>IFERROR($BI1185*$AW1185,"..")</f>
        <v>333949991.72496891</v>
      </c>
      <c r="BK1185" s="846">
        <f>IFERROR($BB1185/$BJ1185,"..")</f>
        <v>2.8243267236753749</v>
      </c>
      <c r="BL1185" s="117">
        <f>IFERROR(VLOOKUP($D1185,'WB Data'!$C$3:$M$578,7,FALSE)/100,"..")</f>
        <v>5.3859799999999999E-2</v>
      </c>
      <c r="BM1185" s="117">
        <f>IFERROR($AW1185*$BL1185,"..")</f>
        <v>333949991.72496891</v>
      </c>
      <c r="BN1185" s="846">
        <f>IFERROR($BB1185/$BM1185,"..")</f>
        <v>2.8243267236753749</v>
      </c>
      <c r="BO1185" s="801">
        <f t="shared" si="200"/>
        <v>39</v>
      </c>
      <c r="BP1185" s="117">
        <f>VLOOKUP($D1185,'WB Data'!$C$3:$M$578,9,FALSE)</f>
        <v>38.700000000000003</v>
      </c>
      <c r="BQ1185" s="117">
        <f>VLOOKUP($D1185,'WB Data'!$C$3:$M$578,10,FALSE)</f>
        <v>66.894609756097566</v>
      </c>
      <c r="BR1185" s="117">
        <f>VLOOKUP($D1185,'WB Data'!$C$3:$M$578,11,FALSE)</f>
        <v>29.3</v>
      </c>
      <c r="BS1185" s="129">
        <f>IFERROR(VLOOKUP($D1185,'WB Data 2'!$C$2:$K$545,9,FALSE),"..")</f>
        <v>98.975020000000001</v>
      </c>
      <c r="BT1185" s="129">
        <f>_xlfn.IFNA(VLOOKUP($C1185,RGI!$A$2:$C$43,2,FALSE),"..")</f>
        <v>38.200000000000003</v>
      </c>
      <c r="BU1185" s="129">
        <f>_xlfn.IFNA(VLOOKUP($C1185,RGI!$A$2:$C$43,3,FALSE),"..")</f>
        <v>50.952530108834466</v>
      </c>
      <c r="BV1185" s="129">
        <f>VLOOKUP($D1185,WGI!$C$2:$O$478,7,FALSE)</f>
        <v>4.4599470651139603E-2</v>
      </c>
      <c r="BW1185" s="129">
        <f>VLOOKUP($D1185,WGI!$C$2:$O$478,4,FALSE)</f>
        <v>0.590470204518041</v>
      </c>
      <c r="BX1185" s="129">
        <f>VLOOKUP($D1185,WGI!$C$2:$O$478,3,FALSE)</f>
        <v>-0.57232558761858399</v>
      </c>
      <c r="BY1185" s="129">
        <f>VLOOKUP($D1185,WGI!$C$2:$O$478,5,FALSE)</f>
        <v>-0.22521774246305401</v>
      </c>
      <c r="BZ1185" s="129">
        <f>VLOOKUP($D1185,WGI!$C$2:$O$478,2,FALSE)</f>
        <v>-0.73017292546653501</v>
      </c>
      <c r="CB1185" s="129"/>
    </row>
    <row r="1186" spans="1:80" s="120" customFormat="1" ht="15" customHeight="1">
      <c r="A1186" s="280" t="s">
        <v>375</v>
      </c>
      <c r="B1186" s="117">
        <v>2010</v>
      </c>
      <c r="C1186" s="117" t="s">
        <v>364</v>
      </c>
      <c r="D1186" s="117" t="s">
        <v>3685</v>
      </c>
      <c r="E1186" s="117" t="s">
        <v>244</v>
      </c>
      <c r="F1186" s="117"/>
      <c r="G1186" s="117" t="s">
        <v>24</v>
      </c>
      <c r="H1186" s="117" t="str">
        <f t="shared" si="207"/>
        <v>yes</v>
      </c>
      <c r="I1186" s="117" t="str">
        <f t="shared" si="209"/>
        <v>no</v>
      </c>
      <c r="J1186" s="117" t="str">
        <f t="shared" si="210"/>
        <v>no</v>
      </c>
      <c r="K1186" s="117" t="s">
        <v>616</v>
      </c>
      <c r="L1186" s="117" t="str">
        <f t="shared" si="208"/>
        <v>detailed</v>
      </c>
      <c r="M1186" s="117" t="str">
        <f t="shared" si="211"/>
        <v>detailed Mining</v>
      </c>
      <c r="N1186" s="118">
        <f>25161900*0.90718474</f>
        <v>22826491.709406</v>
      </c>
      <c r="O1186" s="118"/>
      <c r="P1186" s="118">
        <f>25161900*0.90718474</f>
        <v>22826491.709406</v>
      </c>
      <c r="Q1186" s="118"/>
      <c r="R1186" s="118"/>
      <c r="S1186" s="117" t="s">
        <v>610</v>
      </c>
      <c r="T1186" s="119">
        <v>52.73</v>
      </c>
      <c r="U1186" s="117" t="s">
        <v>611</v>
      </c>
      <c r="V1186" s="117" t="s">
        <v>1814</v>
      </c>
      <c r="W1186" s="89">
        <f t="shared" ref="W1186:W1191" si="212">N1186*T1186</f>
        <v>1203640907.8369782</v>
      </c>
      <c r="X1186" s="89"/>
      <c r="Y1186" s="602"/>
      <c r="Z1186" s="602"/>
      <c r="AA1186" s="89">
        <v>186111105.35776371</v>
      </c>
      <c r="AB1186" s="89"/>
      <c r="AC1186" s="240"/>
      <c r="AD1186" s="240"/>
      <c r="AE1186" s="240"/>
      <c r="AF1186" s="241">
        <f>AA1186/W1186</f>
        <v>0.15462344636675535</v>
      </c>
      <c r="AG1186" s="89"/>
      <c r="AH1186" s="124"/>
      <c r="AI1186" s="117"/>
      <c r="AK1186" s="119"/>
      <c r="AL1186" s="117"/>
      <c r="AM1186" s="117"/>
      <c r="AN1186" s="117"/>
      <c r="AO1186" s="117"/>
      <c r="AP1186" s="117"/>
      <c r="AQ1186" s="117"/>
      <c r="AR1186" s="126"/>
      <c r="AS1186" s="117"/>
      <c r="AT1186" s="117"/>
      <c r="AU1186" s="117">
        <v>21</v>
      </c>
      <c r="AV1186" s="128"/>
      <c r="AW1186" s="117">
        <f>VLOOKUP($D1186,'WB Data'!$C$3:$M$578,2,FALSE)</f>
        <v>6200357070.1147966</v>
      </c>
      <c r="AX1186" s="117">
        <f>VLOOKUP($D1186,'WB Data'!$C$3:$M$578,3,FALSE)</f>
        <v>2712738</v>
      </c>
      <c r="AY1186" s="847">
        <f t="shared" si="201"/>
        <v>0.15211767247181096</v>
      </c>
      <c r="AZ1186" s="117">
        <f>VLOOKUP($D1186,'WB Data'!$C$3:$M$578,4,FALSE)/100</f>
        <v>0.336578389234308</v>
      </c>
      <c r="BA1186" s="117">
        <f t="shared" si="202"/>
        <v>2086906195.3367915</v>
      </c>
      <c r="BB1186" s="129">
        <f>IFERROR(VLOOKUP($D1186,'EITI Revenues'!$C$2:$G$224,5,FALSE),"..")</f>
        <v>943183886</v>
      </c>
      <c r="BC1186" s="846">
        <f t="shared" si="203"/>
        <v>0.45195317743919294</v>
      </c>
      <c r="BD1186" s="129" t="str">
        <f>VLOOKUP($D1186,'WB Data 2'!$C$2:$K$545,6,FALSE)</f>
        <v>..</v>
      </c>
      <c r="BE1186" s="129">
        <f>IFERROR(VLOOKUP($D1186,UNCTAD!$C$5:$V$529,4,FALSE),"..")</f>
        <v>3394506000</v>
      </c>
      <c r="BF1186" s="846" t="str">
        <f t="shared" si="204"/>
        <v>..</v>
      </c>
      <c r="BG1186" s="117">
        <f>VLOOKUP($D1186,'WB Data'!$C$3:$M$578,5,FALSE)</f>
        <v>302760000</v>
      </c>
      <c r="BH1186" s="129">
        <f>IFERROR($BB1186/$BG1186,"..")</f>
        <v>3.115285658607478</v>
      </c>
      <c r="BI1186" s="117">
        <f>IFERROR(VLOOKUP($D1186,'WB Data'!$C$3:$M$578,7,FALSE)/100,"..")</f>
        <v>5.3859799999999999E-2</v>
      </c>
      <c r="BJ1186" s="117">
        <f>IFERROR($BI1186*$AW1186,"..")</f>
        <v>333949991.72496891</v>
      </c>
      <c r="BK1186" s="846">
        <f>IFERROR($BB1186/$BJ1186,"..")</f>
        <v>2.8243267236753749</v>
      </c>
      <c r="BL1186" s="117">
        <f>IFERROR(VLOOKUP($D1186,'WB Data'!$C$3:$M$578,7,FALSE)/100,"..")</f>
        <v>5.3859799999999999E-2</v>
      </c>
      <c r="BM1186" s="117">
        <f>IFERROR($AW1186*$BL1186,"..")</f>
        <v>333949991.72496891</v>
      </c>
      <c r="BN1186" s="846">
        <f>IFERROR($BB1186/$BM1186,"..")</f>
        <v>2.8243267236753749</v>
      </c>
      <c r="BO1186" s="801">
        <f t="shared" si="200"/>
        <v>39</v>
      </c>
      <c r="BP1186" s="117">
        <f>VLOOKUP($D1186,'WB Data'!$C$3:$M$578,9,FALSE)</f>
        <v>38.700000000000003</v>
      </c>
      <c r="BQ1186" s="117">
        <f>VLOOKUP($D1186,'WB Data'!$C$3:$M$578,10,FALSE)</f>
        <v>66.894609756097566</v>
      </c>
      <c r="BR1186" s="117">
        <f>VLOOKUP($D1186,'WB Data'!$C$3:$M$578,11,FALSE)</f>
        <v>29.3</v>
      </c>
      <c r="BS1186" s="129">
        <f>IFERROR(VLOOKUP($D1186,'WB Data 2'!$C$2:$K$545,9,FALSE),"..")</f>
        <v>98.975020000000001</v>
      </c>
      <c r="BT1186" s="129">
        <f>_xlfn.IFNA(VLOOKUP($C1186,RGI!$A$2:$C$43,2,FALSE),"..")</f>
        <v>38.200000000000003</v>
      </c>
      <c r="BU1186" s="129">
        <f>_xlfn.IFNA(VLOOKUP($C1186,RGI!$A$2:$C$43,3,FALSE),"..")</f>
        <v>50.952530108834466</v>
      </c>
      <c r="BV1186" s="129">
        <f>VLOOKUP($D1186,WGI!$C$2:$O$478,7,FALSE)</f>
        <v>4.4599470651139603E-2</v>
      </c>
      <c r="BW1186" s="129">
        <f>VLOOKUP($D1186,WGI!$C$2:$O$478,4,FALSE)</f>
        <v>0.590470204518041</v>
      </c>
      <c r="BX1186" s="129">
        <f>VLOOKUP($D1186,WGI!$C$2:$O$478,3,FALSE)</f>
        <v>-0.57232558761858399</v>
      </c>
      <c r="BY1186" s="129">
        <f>VLOOKUP($D1186,WGI!$C$2:$O$478,5,FALSE)</f>
        <v>-0.22521774246305401</v>
      </c>
      <c r="BZ1186" s="129">
        <f>VLOOKUP($D1186,WGI!$C$2:$O$478,2,FALSE)</f>
        <v>-0.73017292546653501</v>
      </c>
      <c r="CB1186" s="129"/>
    </row>
    <row r="1187" spans="1:80" s="120" customFormat="1" ht="15" customHeight="1">
      <c r="A1187" s="280" t="s">
        <v>375</v>
      </c>
      <c r="B1187" s="117">
        <v>2010</v>
      </c>
      <c r="C1187" s="117" t="s">
        <v>364</v>
      </c>
      <c r="D1187" s="117" t="s">
        <v>3685</v>
      </c>
      <c r="E1187" s="117" t="s">
        <v>244</v>
      </c>
      <c r="F1187" s="117"/>
      <c r="G1187" s="117" t="s">
        <v>24</v>
      </c>
      <c r="H1187" s="117" t="str">
        <f t="shared" si="207"/>
        <v>yes</v>
      </c>
      <c r="I1187" s="117" t="str">
        <f t="shared" si="209"/>
        <v>no</v>
      </c>
      <c r="J1187" s="117" t="str">
        <f t="shared" si="210"/>
        <v>no</v>
      </c>
      <c r="K1187" s="117" t="s">
        <v>1819</v>
      </c>
      <c r="L1187" s="117" t="str">
        <f t="shared" si="208"/>
        <v>detailed</v>
      </c>
      <c r="M1187" s="117" t="str">
        <f t="shared" si="211"/>
        <v>detailed Mining</v>
      </c>
      <c r="N1187" s="118">
        <f>357100*0.90718474</f>
        <v>323955.67065400002</v>
      </c>
      <c r="O1187" s="118"/>
      <c r="P1187" s="118">
        <f>357100*0.90718474</f>
        <v>323955.67065400002</v>
      </c>
      <c r="Q1187" s="118"/>
      <c r="R1187" s="118"/>
      <c r="S1187" s="117" t="s">
        <v>610</v>
      </c>
      <c r="T1187" s="119">
        <v>1354.3</v>
      </c>
      <c r="U1187" s="117" t="s">
        <v>611</v>
      </c>
      <c r="V1187" s="117" t="s">
        <v>1814</v>
      </c>
      <c r="W1187" s="89">
        <f t="shared" si="212"/>
        <v>438733164.76671219</v>
      </c>
      <c r="X1187" s="89"/>
      <c r="Y1187" s="602"/>
      <c r="Z1187" s="602"/>
      <c r="AA1187" s="89"/>
      <c r="AB1187" s="89"/>
      <c r="AC1187" s="240"/>
      <c r="AD1187" s="240"/>
      <c r="AE1187" s="240"/>
      <c r="AF1187" s="241"/>
      <c r="AG1187" s="89"/>
      <c r="AH1187" s="124"/>
      <c r="AI1187" s="117"/>
      <c r="AJ1187" s="117"/>
      <c r="AK1187" s="117"/>
      <c r="AL1187" s="117"/>
      <c r="AM1187" s="117"/>
      <c r="AN1187" s="117"/>
      <c r="AO1187" s="117"/>
      <c r="AP1187" s="117"/>
      <c r="AQ1187" s="215"/>
      <c r="AR1187" s="126"/>
      <c r="AS1187" s="117"/>
      <c r="AT1187" s="117"/>
      <c r="AU1187" s="117"/>
      <c r="AV1187" s="128"/>
      <c r="AW1187" s="117">
        <f>VLOOKUP($D1187,'WB Data'!$C$3:$M$578,2,FALSE)</f>
        <v>6200357070.1147966</v>
      </c>
      <c r="AX1187" s="117">
        <f>VLOOKUP($D1187,'WB Data'!$C$3:$M$578,3,FALSE)</f>
        <v>2712738</v>
      </c>
      <c r="AY1187" s="847">
        <f t="shared" si="201"/>
        <v>0.15211767247181096</v>
      </c>
      <c r="AZ1187" s="117">
        <f>VLOOKUP($D1187,'WB Data'!$C$3:$M$578,4,FALSE)/100</f>
        <v>0.336578389234308</v>
      </c>
      <c r="BA1187" s="117">
        <f t="shared" si="202"/>
        <v>2086906195.3367915</v>
      </c>
      <c r="BB1187" s="129">
        <f>IFERROR(VLOOKUP($D1187,'EITI Revenues'!$C$2:$G$224,5,FALSE),"..")</f>
        <v>943183886</v>
      </c>
      <c r="BC1187" s="846">
        <f t="shared" si="203"/>
        <v>0.45195317743919294</v>
      </c>
      <c r="BD1187" s="129" t="str">
        <f>VLOOKUP($D1187,'WB Data 2'!$C$2:$K$545,6,FALSE)</f>
        <v>..</v>
      </c>
      <c r="BE1187" s="129">
        <f>IFERROR(VLOOKUP($D1187,UNCTAD!$C$5:$V$529,4,FALSE),"..")</f>
        <v>3394506000</v>
      </c>
      <c r="BF1187" s="846" t="str">
        <f t="shared" si="204"/>
        <v>..</v>
      </c>
      <c r="BG1187" s="117">
        <f>VLOOKUP($D1187,'WB Data'!$C$3:$M$578,5,FALSE)</f>
        <v>302760000</v>
      </c>
      <c r="BH1187" s="129">
        <f>IFERROR($BB1187/$BG1187,"..")</f>
        <v>3.115285658607478</v>
      </c>
      <c r="BI1187" s="117">
        <f>IFERROR(VLOOKUP($D1187,'WB Data'!$C$3:$M$578,7,FALSE)/100,"..")</f>
        <v>5.3859799999999999E-2</v>
      </c>
      <c r="BJ1187" s="117">
        <f>IFERROR($BI1187*$AW1187,"..")</f>
        <v>333949991.72496891</v>
      </c>
      <c r="BK1187" s="846">
        <f>IFERROR($BB1187/$BJ1187,"..")</f>
        <v>2.8243267236753749</v>
      </c>
      <c r="BL1187" s="117">
        <f>IFERROR(VLOOKUP($D1187,'WB Data'!$C$3:$M$578,7,FALSE)/100,"..")</f>
        <v>5.3859799999999999E-2</v>
      </c>
      <c r="BM1187" s="117">
        <f>IFERROR($AW1187*$BL1187,"..")</f>
        <v>333949991.72496891</v>
      </c>
      <c r="BN1187" s="846">
        <f>IFERROR($BB1187/$BM1187,"..")</f>
        <v>2.8243267236753749</v>
      </c>
      <c r="BO1187" s="801">
        <f t="shared" si="200"/>
        <v>39</v>
      </c>
      <c r="BP1187" s="117">
        <f>VLOOKUP($D1187,'WB Data'!$C$3:$M$578,9,FALSE)</f>
        <v>38.700000000000003</v>
      </c>
      <c r="BQ1187" s="117">
        <f>VLOOKUP($D1187,'WB Data'!$C$3:$M$578,10,FALSE)</f>
        <v>66.894609756097566</v>
      </c>
      <c r="BR1187" s="117">
        <f>VLOOKUP($D1187,'WB Data'!$C$3:$M$578,11,FALSE)</f>
        <v>29.3</v>
      </c>
      <c r="BS1187" s="129">
        <f>IFERROR(VLOOKUP($D1187,'WB Data 2'!$C$2:$K$545,9,FALSE),"..")</f>
        <v>98.975020000000001</v>
      </c>
      <c r="BT1187" s="129">
        <f>_xlfn.IFNA(VLOOKUP($C1187,RGI!$A$2:$C$43,2,FALSE),"..")</f>
        <v>38.200000000000003</v>
      </c>
      <c r="BU1187" s="129">
        <f>_xlfn.IFNA(VLOOKUP($C1187,RGI!$A$2:$C$43,3,FALSE),"..")</f>
        <v>50.952530108834466</v>
      </c>
      <c r="BV1187" s="129">
        <f>VLOOKUP($D1187,WGI!$C$2:$O$478,7,FALSE)</f>
        <v>4.4599470651139603E-2</v>
      </c>
      <c r="BW1187" s="129">
        <f>VLOOKUP($D1187,WGI!$C$2:$O$478,4,FALSE)</f>
        <v>0.590470204518041</v>
      </c>
      <c r="BX1187" s="129">
        <f>VLOOKUP($D1187,WGI!$C$2:$O$478,3,FALSE)</f>
        <v>-0.57232558761858399</v>
      </c>
      <c r="BY1187" s="129">
        <f>VLOOKUP($D1187,WGI!$C$2:$O$478,5,FALSE)</f>
        <v>-0.22521774246305401</v>
      </c>
      <c r="BZ1187" s="129">
        <f>VLOOKUP($D1187,WGI!$C$2:$O$478,2,FALSE)</f>
        <v>-0.73017292546653501</v>
      </c>
      <c r="CB1187" s="129"/>
    </row>
    <row r="1188" spans="1:80" s="120" customFormat="1" ht="15" customHeight="1">
      <c r="A1188" s="280" t="s">
        <v>375</v>
      </c>
      <c r="B1188" s="117">
        <v>2010</v>
      </c>
      <c r="C1188" s="117" t="s">
        <v>364</v>
      </c>
      <c r="D1188" s="117" t="s">
        <v>3685</v>
      </c>
      <c r="E1188" s="117" t="s">
        <v>244</v>
      </c>
      <c r="F1188" s="117"/>
      <c r="G1188" s="117" t="s">
        <v>24</v>
      </c>
      <c r="H1188" s="117" t="str">
        <f t="shared" si="207"/>
        <v>yes</v>
      </c>
      <c r="I1188" s="117" t="str">
        <f t="shared" si="209"/>
        <v>no</v>
      </c>
      <c r="J1188" s="117" t="str">
        <f t="shared" si="210"/>
        <v>no</v>
      </c>
      <c r="K1188" s="117" t="s">
        <v>1758</v>
      </c>
      <c r="L1188" s="117" t="str">
        <f t="shared" si="208"/>
        <v>detailed</v>
      </c>
      <c r="M1188" s="117" t="str">
        <f t="shared" si="211"/>
        <v>detailed Mining</v>
      </c>
      <c r="N1188" s="118">
        <f>867.7*0.90718474</f>
        <v>787.16419889800011</v>
      </c>
      <c r="O1188" s="118"/>
      <c r="P1188" s="118">
        <f>867.7*0.90718474</f>
        <v>787.16419889800011</v>
      </c>
      <c r="Q1188" s="118"/>
      <c r="R1188" s="118"/>
      <c r="S1188" s="117" t="s">
        <v>610</v>
      </c>
      <c r="T1188" s="119">
        <v>169.52</v>
      </c>
      <c r="U1188" s="117" t="s">
        <v>611</v>
      </c>
      <c r="V1188" s="117" t="s">
        <v>1814</v>
      </c>
      <c r="W1188" s="89">
        <f t="shared" si="212"/>
        <v>133440.07499718899</v>
      </c>
      <c r="X1188" s="89"/>
      <c r="Y1188" s="602"/>
      <c r="Z1188" s="602"/>
      <c r="AA1188" s="89">
        <v>708389.12025564595</v>
      </c>
      <c r="AB1188" s="89"/>
      <c r="AC1188" s="240"/>
      <c r="AD1188" s="240"/>
      <c r="AE1188" s="240"/>
      <c r="AF1188" s="241">
        <f>AA1188/W1188</f>
        <v>5.3086684811183495</v>
      </c>
      <c r="AG1188" s="89"/>
      <c r="AH1188" s="124"/>
      <c r="AI1188" s="119"/>
      <c r="AK1188" s="117"/>
      <c r="AL1188" s="117"/>
      <c r="AM1188" s="117"/>
      <c r="AN1188" s="117"/>
      <c r="AO1188" s="117"/>
      <c r="AP1188" s="117"/>
      <c r="AQ1188" s="117"/>
      <c r="AR1188" s="126"/>
      <c r="AS1188" s="117"/>
      <c r="AT1188" s="117"/>
      <c r="AU1188" s="117">
        <v>21</v>
      </c>
      <c r="AV1188" s="128"/>
      <c r="AW1188" s="117">
        <f>VLOOKUP($D1188,'WB Data'!$C$3:$M$578,2,FALSE)</f>
        <v>6200357070.1147966</v>
      </c>
      <c r="AX1188" s="117">
        <f>VLOOKUP($D1188,'WB Data'!$C$3:$M$578,3,FALSE)</f>
        <v>2712738</v>
      </c>
      <c r="AY1188" s="847">
        <f t="shared" si="201"/>
        <v>0.15211767247181096</v>
      </c>
      <c r="AZ1188" s="117">
        <f>VLOOKUP($D1188,'WB Data'!$C$3:$M$578,4,FALSE)/100</f>
        <v>0.336578389234308</v>
      </c>
      <c r="BA1188" s="117">
        <f t="shared" si="202"/>
        <v>2086906195.3367915</v>
      </c>
      <c r="BB1188" s="129">
        <f>IFERROR(VLOOKUP($D1188,'EITI Revenues'!$C$2:$G$224,5,FALSE),"..")</f>
        <v>943183886</v>
      </c>
      <c r="BC1188" s="846">
        <f t="shared" si="203"/>
        <v>0.45195317743919294</v>
      </c>
      <c r="BD1188" s="129" t="str">
        <f>VLOOKUP($D1188,'WB Data 2'!$C$2:$K$545,6,FALSE)</f>
        <v>..</v>
      </c>
      <c r="BE1188" s="129">
        <f>IFERROR(VLOOKUP($D1188,UNCTAD!$C$5:$V$529,4,FALSE),"..")</f>
        <v>3394506000</v>
      </c>
      <c r="BF1188" s="846" t="str">
        <f t="shared" si="204"/>
        <v>..</v>
      </c>
      <c r="BG1188" s="117">
        <f>VLOOKUP($D1188,'WB Data'!$C$3:$M$578,5,FALSE)</f>
        <v>302760000</v>
      </c>
      <c r="BH1188" s="129">
        <f>IFERROR($BB1188/$BG1188,"..")</f>
        <v>3.115285658607478</v>
      </c>
      <c r="BI1188" s="117">
        <f>IFERROR(VLOOKUP($D1188,'WB Data'!$C$3:$M$578,7,FALSE)/100,"..")</f>
        <v>5.3859799999999999E-2</v>
      </c>
      <c r="BJ1188" s="117">
        <f>IFERROR($BI1188*$AW1188,"..")</f>
        <v>333949991.72496891</v>
      </c>
      <c r="BK1188" s="846">
        <f>IFERROR($BB1188/$BJ1188,"..")</f>
        <v>2.8243267236753749</v>
      </c>
      <c r="BL1188" s="117">
        <f>IFERROR(VLOOKUP($D1188,'WB Data'!$C$3:$M$578,7,FALSE)/100,"..")</f>
        <v>5.3859799999999999E-2</v>
      </c>
      <c r="BM1188" s="117">
        <f>IFERROR($AW1188*$BL1188,"..")</f>
        <v>333949991.72496891</v>
      </c>
      <c r="BN1188" s="846">
        <f>IFERROR($BB1188/$BM1188,"..")</f>
        <v>2.8243267236753749</v>
      </c>
      <c r="BO1188" s="801">
        <f t="shared" si="200"/>
        <v>39</v>
      </c>
      <c r="BP1188" s="117">
        <f>VLOOKUP($D1188,'WB Data'!$C$3:$M$578,9,FALSE)</f>
        <v>38.700000000000003</v>
      </c>
      <c r="BQ1188" s="117">
        <f>VLOOKUP($D1188,'WB Data'!$C$3:$M$578,10,FALSE)</f>
        <v>66.894609756097566</v>
      </c>
      <c r="BR1188" s="117">
        <f>VLOOKUP($D1188,'WB Data'!$C$3:$M$578,11,FALSE)</f>
        <v>29.3</v>
      </c>
      <c r="BS1188" s="129">
        <f>IFERROR(VLOOKUP($D1188,'WB Data 2'!$C$2:$K$545,9,FALSE),"..")</f>
        <v>98.975020000000001</v>
      </c>
      <c r="BT1188" s="129">
        <f>_xlfn.IFNA(VLOOKUP($C1188,RGI!$A$2:$C$43,2,FALSE),"..")</f>
        <v>38.200000000000003</v>
      </c>
      <c r="BU1188" s="129">
        <f>_xlfn.IFNA(VLOOKUP($C1188,RGI!$A$2:$C$43,3,FALSE),"..")</f>
        <v>50.952530108834466</v>
      </c>
      <c r="BV1188" s="129">
        <f>VLOOKUP($D1188,WGI!$C$2:$O$478,7,FALSE)</f>
        <v>4.4599470651139603E-2</v>
      </c>
      <c r="BW1188" s="129">
        <f>VLOOKUP($D1188,WGI!$C$2:$O$478,4,FALSE)</f>
        <v>0.590470204518041</v>
      </c>
      <c r="BX1188" s="129">
        <f>VLOOKUP($D1188,WGI!$C$2:$O$478,3,FALSE)</f>
        <v>-0.57232558761858399</v>
      </c>
      <c r="BY1188" s="129">
        <f>VLOOKUP($D1188,WGI!$C$2:$O$478,5,FALSE)</f>
        <v>-0.22521774246305401</v>
      </c>
      <c r="BZ1188" s="129">
        <f>VLOOKUP($D1188,WGI!$C$2:$O$478,2,FALSE)</f>
        <v>-0.73017292546653501</v>
      </c>
      <c r="CB1188" s="129"/>
    </row>
    <row r="1189" spans="1:80" s="120" customFormat="1" ht="15" customHeight="1">
      <c r="A1189" s="280" t="s">
        <v>375</v>
      </c>
      <c r="B1189" s="117">
        <v>2010</v>
      </c>
      <c r="C1189" s="117" t="s">
        <v>364</v>
      </c>
      <c r="D1189" s="117" t="s">
        <v>3685</v>
      </c>
      <c r="E1189" s="117" t="s">
        <v>244</v>
      </c>
      <c r="F1189" s="117"/>
      <c r="G1189" s="117" t="s">
        <v>24</v>
      </c>
      <c r="H1189" s="117" t="str">
        <f t="shared" si="207"/>
        <v>yes</v>
      </c>
      <c r="I1189" s="117" t="str">
        <f t="shared" si="209"/>
        <v>no</v>
      </c>
      <c r="J1189" s="117" t="str">
        <f t="shared" si="210"/>
        <v>no</v>
      </c>
      <c r="K1189" s="117" t="s">
        <v>784</v>
      </c>
      <c r="L1189" s="117" t="str">
        <f t="shared" si="208"/>
        <v>detailed</v>
      </c>
      <c r="M1189" s="117" t="str">
        <f t="shared" si="211"/>
        <v>detailed Mining</v>
      </c>
      <c r="N1189" s="118">
        <f>6073.1*32.150743126506</f>
        <v>195254.67808158361</v>
      </c>
      <c r="O1189" s="118"/>
      <c r="P1189" s="118">
        <f>6073.1*32.150743126506</f>
        <v>195254.67808158361</v>
      </c>
      <c r="Q1189" s="118"/>
      <c r="R1189" s="118"/>
      <c r="S1189" s="117" t="s">
        <v>785</v>
      </c>
      <c r="T1189" s="119">
        <f>35667800/32150.7466</f>
        <v>1109.3925887245182</v>
      </c>
      <c r="U1189" s="117" t="s">
        <v>786</v>
      </c>
      <c r="V1189" s="117" t="s">
        <v>1814</v>
      </c>
      <c r="W1189" s="89">
        <f t="shared" si="212"/>
        <v>216614092.77750048</v>
      </c>
      <c r="X1189" s="89"/>
      <c r="Y1189" s="602"/>
      <c r="Z1189" s="602"/>
      <c r="AA1189" s="89">
        <v>71633470.673955351</v>
      </c>
      <c r="AB1189" s="89"/>
      <c r="AC1189" s="240"/>
      <c r="AD1189" s="240"/>
      <c r="AE1189" s="240"/>
      <c r="AF1189" s="241">
        <f>AA1189/W1189</f>
        <v>0.33069626151948994</v>
      </c>
      <c r="AG1189" s="89"/>
      <c r="AH1189" s="124"/>
      <c r="AI1189" s="119"/>
      <c r="AK1189" s="117"/>
      <c r="AL1189" s="117"/>
      <c r="AM1189" s="117"/>
      <c r="AN1189" s="117"/>
      <c r="AO1189" s="117"/>
      <c r="AP1189" s="117"/>
      <c r="AQ1189" s="117"/>
      <c r="AR1189" s="126"/>
      <c r="AS1189" s="117"/>
      <c r="AT1189" s="117"/>
      <c r="AU1189" s="117">
        <v>21</v>
      </c>
      <c r="AV1189" s="128"/>
      <c r="AW1189" s="117">
        <f>VLOOKUP($D1189,'WB Data'!$C$3:$M$578,2,FALSE)</f>
        <v>6200357070.1147966</v>
      </c>
      <c r="AX1189" s="117">
        <f>VLOOKUP($D1189,'WB Data'!$C$3:$M$578,3,FALSE)</f>
        <v>2712738</v>
      </c>
      <c r="AY1189" s="847">
        <f t="shared" si="201"/>
        <v>0.15211767247181096</v>
      </c>
      <c r="AZ1189" s="117">
        <f>VLOOKUP($D1189,'WB Data'!$C$3:$M$578,4,FALSE)/100</f>
        <v>0.336578389234308</v>
      </c>
      <c r="BA1189" s="117">
        <f t="shared" si="202"/>
        <v>2086906195.3367915</v>
      </c>
      <c r="BB1189" s="129">
        <f>IFERROR(VLOOKUP($D1189,'EITI Revenues'!$C$2:$G$224,5,FALSE),"..")</f>
        <v>943183886</v>
      </c>
      <c r="BC1189" s="846">
        <f t="shared" si="203"/>
        <v>0.45195317743919294</v>
      </c>
      <c r="BD1189" s="129" t="str">
        <f>VLOOKUP($D1189,'WB Data 2'!$C$2:$K$545,6,FALSE)</f>
        <v>..</v>
      </c>
      <c r="BE1189" s="129">
        <f>IFERROR(VLOOKUP($D1189,UNCTAD!$C$5:$V$529,4,FALSE),"..")</f>
        <v>3394506000</v>
      </c>
      <c r="BF1189" s="846" t="str">
        <f t="shared" si="204"/>
        <v>..</v>
      </c>
      <c r="BG1189" s="117">
        <f>VLOOKUP($D1189,'WB Data'!$C$3:$M$578,5,FALSE)</f>
        <v>302760000</v>
      </c>
      <c r="BH1189" s="129">
        <f>IFERROR($BB1189/$BG1189,"..")</f>
        <v>3.115285658607478</v>
      </c>
      <c r="BI1189" s="117">
        <f>IFERROR(VLOOKUP($D1189,'WB Data'!$C$3:$M$578,7,FALSE)/100,"..")</f>
        <v>5.3859799999999999E-2</v>
      </c>
      <c r="BJ1189" s="117">
        <f>IFERROR($BI1189*$AW1189,"..")</f>
        <v>333949991.72496891</v>
      </c>
      <c r="BK1189" s="846">
        <f>IFERROR($BB1189/$BJ1189,"..")</f>
        <v>2.8243267236753749</v>
      </c>
      <c r="BL1189" s="117">
        <f>IFERROR(VLOOKUP($D1189,'WB Data'!$C$3:$M$578,7,FALSE)/100,"..")</f>
        <v>5.3859799999999999E-2</v>
      </c>
      <c r="BM1189" s="117">
        <f>IFERROR($AW1189*$BL1189,"..")</f>
        <v>333949991.72496891</v>
      </c>
      <c r="BN1189" s="846">
        <f>IFERROR($BB1189/$BM1189,"..")</f>
        <v>2.8243267236753749</v>
      </c>
      <c r="BO1189" s="801">
        <f t="shared" si="200"/>
        <v>39</v>
      </c>
      <c r="BP1189" s="117">
        <f>VLOOKUP($D1189,'WB Data'!$C$3:$M$578,9,FALSE)</f>
        <v>38.700000000000003</v>
      </c>
      <c r="BQ1189" s="117">
        <f>VLOOKUP($D1189,'WB Data'!$C$3:$M$578,10,FALSE)</f>
        <v>66.894609756097566</v>
      </c>
      <c r="BR1189" s="117">
        <f>VLOOKUP($D1189,'WB Data'!$C$3:$M$578,11,FALSE)</f>
        <v>29.3</v>
      </c>
      <c r="BS1189" s="129">
        <f>IFERROR(VLOOKUP($D1189,'WB Data 2'!$C$2:$K$545,9,FALSE),"..")</f>
        <v>98.975020000000001</v>
      </c>
      <c r="BT1189" s="129">
        <f>_xlfn.IFNA(VLOOKUP($C1189,RGI!$A$2:$C$43,2,FALSE),"..")</f>
        <v>38.200000000000003</v>
      </c>
      <c r="BU1189" s="129">
        <f>_xlfn.IFNA(VLOOKUP($C1189,RGI!$A$2:$C$43,3,FALSE),"..")</f>
        <v>50.952530108834466</v>
      </c>
      <c r="BV1189" s="129">
        <f>VLOOKUP($D1189,WGI!$C$2:$O$478,7,FALSE)</f>
        <v>4.4599470651139603E-2</v>
      </c>
      <c r="BW1189" s="129">
        <f>VLOOKUP($D1189,WGI!$C$2:$O$478,4,FALSE)</f>
        <v>0.590470204518041</v>
      </c>
      <c r="BX1189" s="129">
        <f>VLOOKUP($D1189,WGI!$C$2:$O$478,3,FALSE)</f>
        <v>-0.57232558761858399</v>
      </c>
      <c r="BY1189" s="129">
        <f>VLOOKUP($D1189,WGI!$C$2:$O$478,5,FALSE)</f>
        <v>-0.22521774246305401</v>
      </c>
      <c r="BZ1189" s="129">
        <f>VLOOKUP($D1189,WGI!$C$2:$O$478,2,FALSE)</f>
        <v>-0.73017292546653501</v>
      </c>
      <c r="CB1189" s="129"/>
    </row>
    <row r="1190" spans="1:80" s="120" customFormat="1" ht="15" customHeight="1">
      <c r="A1190" s="280" t="s">
        <v>375</v>
      </c>
      <c r="B1190" s="117">
        <v>2010</v>
      </c>
      <c r="C1190" s="117" t="s">
        <v>364</v>
      </c>
      <c r="D1190" s="117" t="s">
        <v>3685</v>
      </c>
      <c r="E1190" s="117" t="s">
        <v>244</v>
      </c>
      <c r="F1190" s="117"/>
      <c r="G1190" s="117" t="s">
        <v>24</v>
      </c>
      <c r="H1190" s="117" t="str">
        <f t="shared" si="207"/>
        <v>yes</v>
      </c>
      <c r="I1190" s="117" t="str">
        <f t="shared" si="209"/>
        <v>no</v>
      </c>
      <c r="J1190" s="117" t="str">
        <f t="shared" si="210"/>
        <v>no</v>
      </c>
      <c r="K1190" s="117" t="s">
        <v>1291</v>
      </c>
      <c r="L1190" s="117" t="str">
        <f t="shared" si="208"/>
        <v>detailed</v>
      </c>
      <c r="M1190" s="117" t="str">
        <f t="shared" si="211"/>
        <v>detailed Mining</v>
      </c>
      <c r="N1190" s="118">
        <f>3203200*0.90718474</f>
        <v>2905894.1591680003</v>
      </c>
      <c r="O1190" s="118"/>
      <c r="P1190" s="118">
        <f>3203200*0.90718474</f>
        <v>2905894.1591680003</v>
      </c>
      <c r="Q1190" s="118"/>
      <c r="R1190" s="118"/>
      <c r="S1190" s="117" t="s">
        <v>610</v>
      </c>
      <c r="T1190" s="119">
        <v>71.22</v>
      </c>
      <c r="U1190" s="117" t="s">
        <v>611</v>
      </c>
      <c r="V1190" s="117" t="s">
        <v>1814</v>
      </c>
      <c r="W1190" s="89">
        <f t="shared" si="212"/>
        <v>206957782.01594499</v>
      </c>
      <c r="X1190" s="89"/>
      <c r="Y1190" s="602"/>
      <c r="Z1190" s="602"/>
      <c r="AA1190" s="89">
        <v>33284709.3285597</v>
      </c>
      <c r="AB1190" s="89"/>
      <c r="AC1190" s="240"/>
      <c r="AD1190" s="240"/>
      <c r="AE1190" s="240"/>
      <c r="AF1190" s="241">
        <f>AA1190/W1190</f>
        <v>0.16082849847122585</v>
      </c>
      <c r="AG1190" s="89"/>
      <c r="AH1190" s="124"/>
      <c r="AI1190" s="117"/>
      <c r="AK1190" s="117"/>
      <c r="AL1190" s="117"/>
      <c r="AM1190" s="117"/>
      <c r="AN1190" s="117"/>
      <c r="AO1190" s="117"/>
      <c r="AP1190" s="117"/>
      <c r="AQ1190" s="117"/>
      <c r="AR1190" s="126"/>
      <c r="AS1190" s="117"/>
      <c r="AT1190" s="117"/>
      <c r="AU1190" s="117">
        <v>21</v>
      </c>
      <c r="AV1190" s="128"/>
      <c r="AW1190" s="117">
        <f>VLOOKUP($D1190,'WB Data'!$C$3:$M$578,2,FALSE)</f>
        <v>6200357070.1147966</v>
      </c>
      <c r="AX1190" s="117">
        <f>VLOOKUP($D1190,'WB Data'!$C$3:$M$578,3,FALSE)</f>
        <v>2712738</v>
      </c>
      <c r="AY1190" s="847">
        <f t="shared" si="201"/>
        <v>0.15211767247181096</v>
      </c>
      <c r="AZ1190" s="117">
        <f>VLOOKUP($D1190,'WB Data'!$C$3:$M$578,4,FALSE)/100</f>
        <v>0.336578389234308</v>
      </c>
      <c r="BA1190" s="117">
        <f t="shared" si="202"/>
        <v>2086906195.3367915</v>
      </c>
      <c r="BB1190" s="129">
        <f>IFERROR(VLOOKUP($D1190,'EITI Revenues'!$C$2:$G$224,5,FALSE),"..")</f>
        <v>943183886</v>
      </c>
      <c r="BC1190" s="846">
        <f t="shared" si="203"/>
        <v>0.45195317743919294</v>
      </c>
      <c r="BD1190" s="129" t="str">
        <f>VLOOKUP($D1190,'WB Data 2'!$C$2:$K$545,6,FALSE)</f>
        <v>..</v>
      </c>
      <c r="BE1190" s="129">
        <f>IFERROR(VLOOKUP($D1190,UNCTAD!$C$5:$V$529,4,FALSE),"..")</f>
        <v>3394506000</v>
      </c>
      <c r="BF1190" s="846" t="str">
        <f t="shared" si="204"/>
        <v>..</v>
      </c>
      <c r="BG1190" s="117">
        <f>VLOOKUP($D1190,'WB Data'!$C$3:$M$578,5,FALSE)</f>
        <v>302760000</v>
      </c>
      <c r="BH1190" s="129">
        <f>IFERROR($BB1190/$BG1190,"..")</f>
        <v>3.115285658607478</v>
      </c>
      <c r="BI1190" s="117">
        <f>IFERROR(VLOOKUP($D1190,'WB Data'!$C$3:$M$578,7,FALSE)/100,"..")</f>
        <v>5.3859799999999999E-2</v>
      </c>
      <c r="BJ1190" s="117">
        <f>IFERROR($BI1190*$AW1190,"..")</f>
        <v>333949991.72496891</v>
      </c>
      <c r="BK1190" s="846">
        <f>IFERROR($BB1190/$BJ1190,"..")</f>
        <v>2.8243267236753749</v>
      </c>
      <c r="BL1190" s="117">
        <f>IFERROR(VLOOKUP($D1190,'WB Data'!$C$3:$M$578,7,FALSE)/100,"..")</f>
        <v>5.3859799999999999E-2</v>
      </c>
      <c r="BM1190" s="117">
        <f>IFERROR($AW1190*$BL1190,"..")</f>
        <v>333949991.72496891</v>
      </c>
      <c r="BN1190" s="846">
        <f>IFERROR($BB1190/$BM1190,"..")</f>
        <v>2.8243267236753749</v>
      </c>
      <c r="BO1190" s="801">
        <f t="shared" si="200"/>
        <v>39</v>
      </c>
      <c r="BP1190" s="117">
        <f>VLOOKUP($D1190,'WB Data'!$C$3:$M$578,9,FALSE)</f>
        <v>38.700000000000003</v>
      </c>
      <c r="BQ1190" s="117">
        <f>VLOOKUP($D1190,'WB Data'!$C$3:$M$578,10,FALSE)</f>
        <v>66.894609756097566</v>
      </c>
      <c r="BR1190" s="117">
        <f>VLOOKUP($D1190,'WB Data'!$C$3:$M$578,11,FALSE)</f>
        <v>29.3</v>
      </c>
      <c r="BS1190" s="129">
        <f>IFERROR(VLOOKUP($D1190,'WB Data 2'!$C$2:$K$545,9,FALSE),"..")</f>
        <v>98.975020000000001</v>
      </c>
      <c r="BT1190" s="129">
        <f>_xlfn.IFNA(VLOOKUP($C1190,RGI!$A$2:$C$43,2,FALSE),"..")</f>
        <v>38.200000000000003</v>
      </c>
      <c r="BU1190" s="129">
        <f>_xlfn.IFNA(VLOOKUP($C1190,RGI!$A$2:$C$43,3,FALSE),"..")</f>
        <v>50.952530108834466</v>
      </c>
      <c r="BV1190" s="129">
        <f>VLOOKUP($D1190,WGI!$C$2:$O$478,7,FALSE)</f>
        <v>4.4599470651139603E-2</v>
      </c>
      <c r="BW1190" s="129">
        <f>VLOOKUP($D1190,WGI!$C$2:$O$478,4,FALSE)</f>
        <v>0.590470204518041</v>
      </c>
      <c r="BX1190" s="129">
        <f>VLOOKUP($D1190,WGI!$C$2:$O$478,3,FALSE)</f>
        <v>-0.57232558761858399</v>
      </c>
      <c r="BY1190" s="129">
        <f>VLOOKUP($D1190,WGI!$C$2:$O$478,5,FALSE)</f>
        <v>-0.22521774246305401</v>
      </c>
      <c r="BZ1190" s="129">
        <f>VLOOKUP($D1190,WGI!$C$2:$O$478,2,FALSE)</f>
        <v>-0.73017292546653501</v>
      </c>
      <c r="CB1190" s="129"/>
    </row>
    <row r="1191" spans="1:80" s="120" customFormat="1" ht="15" customHeight="1">
      <c r="A1191" s="280" t="s">
        <v>375</v>
      </c>
      <c r="B1191" s="117">
        <v>2010</v>
      </c>
      <c r="C1191" s="117" t="s">
        <v>364</v>
      </c>
      <c r="D1191" s="117" t="s">
        <v>3685</v>
      </c>
      <c r="E1191" s="117" t="s">
        <v>244</v>
      </c>
      <c r="F1191" s="117"/>
      <c r="G1191" s="117" t="s">
        <v>24</v>
      </c>
      <c r="H1191" s="117" t="str">
        <f t="shared" si="207"/>
        <v>yes</v>
      </c>
      <c r="I1191" s="117" t="str">
        <f t="shared" si="209"/>
        <v>no</v>
      </c>
      <c r="J1191" s="117" t="str">
        <f t="shared" si="210"/>
        <v>no</v>
      </c>
      <c r="K1191" s="117" t="s">
        <v>1493</v>
      </c>
      <c r="L1191" s="117" t="str">
        <f t="shared" si="208"/>
        <v>detailed</v>
      </c>
      <c r="M1191" s="117" t="str">
        <f t="shared" si="211"/>
        <v>detailed Mining</v>
      </c>
      <c r="N1191" s="118">
        <f>4677*0.90718474</f>
        <v>4242.9030289800003</v>
      </c>
      <c r="O1191" s="118"/>
      <c r="P1191" s="118">
        <f>4677*0.90718474</f>
        <v>4242.9030289800003</v>
      </c>
      <c r="Q1191" s="118"/>
      <c r="R1191" s="118"/>
      <c r="S1191" s="117" t="s">
        <v>610</v>
      </c>
      <c r="T1191" s="119">
        <v>10397.799999999999</v>
      </c>
      <c r="U1191" s="117" t="s">
        <v>611</v>
      </c>
      <c r="V1191" s="117" t="s">
        <v>1814</v>
      </c>
      <c r="W1191" s="89">
        <f t="shared" si="212"/>
        <v>44116857.114728242</v>
      </c>
      <c r="X1191" s="89"/>
      <c r="Y1191" s="602"/>
      <c r="Z1191" s="602"/>
      <c r="AA1191" s="89"/>
      <c r="AB1191" s="89"/>
      <c r="AC1191" s="240"/>
      <c r="AD1191" s="240"/>
      <c r="AE1191" s="240"/>
      <c r="AF1191" s="241"/>
      <c r="AG1191" s="89"/>
      <c r="AH1191" s="124"/>
      <c r="AI1191" s="117"/>
      <c r="AJ1191" s="117"/>
      <c r="AK1191" s="117"/>
      <c r="AL1191" s="117"/>
      <c r="AM1191" s="117"/>
      <c r="AN1191" s="117"/>
      <c r="AO1191" s="117"/>
      <c r="AP1191" s="117"/>
      <c r="AQ1191" s="215"/>
      <c r="AR1191" s="126"/>
      <c r="AS1191" s="117"/>
      <c r="AT1191" s="117"/>
      <c r="AU1191" s="117"/>
      <c r="AV1191" s="128"/>
      <c r="AW1191" s="117">
        <f>VLOOKUP($D1191,'WB Data'!$C$3:$M$578,2,FALSE)</f>
        <v>6200357070.1147966</v>
      </c>
      <c r="AX1191" s="117">
        <f>VLOOKUP($D1191,'WB Data'!$C$3:$M$578,3,FALSE)</f>
        <v>2712738</v>
      </c>
      <c r="AY1191" s="847">
        <f t="shared" si="201"/>
        <v>0.15211767247181096</v>
      </c>
      <c r="AZ1191" s="117">
        <f>VLOOKUP($D1191,'WB Data'!$C$3:$M$578,4,FALSE)/100</f>
        <v>0.336578389234308</v>
      </c>
      <c r="BA1191" s="117">
        <f t="shared" si="202"/>
        <v>2086906195.3367915</v>
      </c>
      <c r="BB1191" s="129">
        <f>IFERROR(VLOOKUP($D1191,'EITI Revenues'!$C$2:$G$224,5,FALSE),"..")</f>
        <v>943183886</v>
      </c>
      <c r="BC1191" s="846">
        <f t="shared" si="203"/>
        <v>0.45195317743919294</v>
      </c>
      <c r="BD1191" s="129" t="str">
        <f>VLOOKUP($D1191,'WB Data 2'!$C$2:$K$545,6,FALSE)</f>
        <v>..</v>
      </c>
      <c r="BE1191" s="129">
        <f>IFERROR(VLOOKUP($D1191,UNCTAD!$C$5:$V$529,4,FALSE),"..")</f>
        <v>3394506000</v>
      </c>
      <c r="BF1191" s="846" t="str">
        <f t="shared" si="204"/>
        <v>..</v>
      </c>
      <c r="BG1191" s="117">
        <f>VLOOKUP($D1191,'WB Data'!$C$3:$M$578,5,FALSE)</f>
        <v>302760000</v>
      </c>
      <c r="BH1191" s="129">
        <f>IFERROR($BB1191/$BG1191,"..")</f>
        <v>3.115285658607478</v>
      </c>
      <c r="BI1191" s="117">
        <f>IFERROR(VLOOKUP($D1191,'WB Data'!$C$3:$M$578,7,FALSE)/100,"..")</f>
        <v>5.3859799999999999E-2</v>
      </c>
      <c r="BJ1191" s="117">
        <f>IFERROR($BI1191*$AW1191,"..")</f>
        <v>333949991.72496891</v>
      </c>
      <c r="BK1191" s="846">
        <f>IFERROR($BB1191/$BJ1191,"..")</f>
        <v>2.8243267236753749</v>
      </c>
      <c r="BL1191" s="117">
        <f>IFERROR(VLOOKUP($D1191,'WB Data'!$C$3:$M$578,7,FALSE)/100,"..")</f>
        <v>5.3859799999999999E-2</v>
      </c>
      <c r="BM1191" s="117">
        <f>IFERROR($AW1191*$BL1191,"..")</f>
        <v>333949991.72496891</v>
      </c>
      <c r="BN1191" s="846">
        <f>IFERROR($BB1191/$BM1191,"..")</f>
        <v>2.8243267236753749</v>
      </c>
      <c r="BO1191" s="801">
        <f t="shared" si="200"/>
        <v>39</v>
      </c>
      <c r="BP1191" s="117">
        <f>VLOOKUP($D1191,'WB Data'!$C$3:$M$578,9,FALSE)</f>
        <v>38.700000000000003</v>
      </c>
      <c r="BQ1191" s="117">
        <f>VLOOKUP($D1191,'WB Data'!$C$3:$M$578,10,FALSE)</f>
        <v>66.894609756097566</v>
      </c>
      <c r="BR1191" s="117">
        <f>VLOOKUP($D1191,'WB Data'!$C$3:$M$578,11,FALSE)</f>
        <v>29.3</v>
      </c>
      <c r="BS1191" s="129">
        <f>IFERROR(VLOOKUP($D1191,'WB Data 2'!$C$2:$K$545,9,FALSE),"..")</f>
        <v>98.975020000000001</v>
      </c>
      <c r="BT1191" s="129">
        <f>_xlfn.IFNA(VLOOKUP($C1191,RGI!$A$2:$C$43,2,FALSE),"..")</f>
        <v>38.200000000000003</v>
      </c>
      <c r="BU1191" s="129">
        <f>_xlfn.IFNA(VLOOKUP($C1191,RGI!$A$2:$C$43,3,FALSE),"..")</f>
        <v>50.952530108834466</v>
      </c>
      <c r="BV1191" s="129">
        <f>VLOOKUP($D1191,WGI!$C$2:$O$478,7,FALSE)</f>
        <v>4.4599470651139603E-2</v>
      </c>
      <c r="BW1191" s="129">
        <f>VLOOKUP($D1191,WGI!$C$2:$O$478,4,FALSE)</f>
        <v>0.590470204518041</v>
      </c>
      <c r="BX1191" s="129">
        <f>VLOOKUP($D1191,WGI!$C$2:$O$478,3,FALSE)</f>
        <v>-0.57232558761858399</v>
      </c>
      <c r="BY1191" s="129">
        <f>VLOOKUP($D1191,WGI!$C$2:$O$478,5,FALSE)</f>
        <v>-0.22521774246305401</v>
      </c>
      <c r="BZ1191" s="129">
        <f>VLOOKUP($D1191,WGI!$C$2:$O$478,2,FALSE)</f>
        <v>-0.73017292546653501</v>
      </c>
      <c r="CB1191" s="129"/>
    </row>
    <row r="1192" spans="1:80" s="120" customFormat="1" ht="15" customHeight="1">
      <c r="A1192" s="280" t="s">
        <v>375</v>
      </c>
      <c r="B1192" s="117">
        <v>2010</v>
      </c>
      <c r="C1192" s="117" t="s">
        <v>364</v>
      </c>
      <c r="D1192" s="117" t="s">
        <v>3685</v>
      </c>
      <c r="E1192" s="117" t="s">
        <v>244</v>
      </c>
      <c r="F1192" s="117"/>
      <c r="G1192" s="117" t="s">
        <v>24</v>
      </c>
      <c r="H1192" s="117" t="str">
        <f t="shared" si="207"/>
        <v>yes</v>
      </c>
      <c r="I1192" s="117" t="str">
        <f t="shared" si="209"/>
        <v>no</v>
      </c>
      <c r="J1192" s="117" t="str">
        <f t="shared" si="210"/>
        <v>no</v>
      </c>
      <c r="K1192" s="117" t="s">
        <v>789</v>
      </c>
      <c r="L1192" s="117" t="str">
        <f t="shared" si="208"/>
        <v>detailed</v>
      </c>
      <c r="M1192" s="117" t="str">
        <f t="shared" si="211"/>
        <v>detailed Mining</v>
      </c>
      <c r="N1192" s="118">
        <f>28710*32.150743126506</f>
        <v>923047.83516198723</v>
      </c>
      <c r="O1192" s="118"/>
      <c r="P1192" s="118"/>
      <c r="Q1192" s="118"/>
      <c r="R1192" s="118"/>
      <c r="S1192" s="117" t="s">
        <v>785</v>
      </c>
      <c r="T1192" s="119">
        <f>20.15295833333/1</f>
        <v>20.152958333330002</v>
      </c>
      <c r="U1192" s="117" t="s">
        <v>786</v>
      </c>
      <c r="V1192" s="117" t="s">
        <v>798</v>
      </c>
      <c r="W1192" s="89">
        <f>N1192*T1192</f>
        <v>18602144.561689988</v>
      </c>
      <c r="X1192" s="89"/>
      <c r="Y1192" s="89"/>
      <c r="Z1192" s="89"/>
      <c r="AA1192" s="89"/>
      <c r="AB1192" s="89"/>
      <c r="AC1192" s="240"/>
      <c r="AD1192" s="240"/>
      <c r="AE1192" s="240"/>
      <c r="AF1192" s="241"/>
      <c r="AG1192" s="89"/>
      <c r="AH1192" s="124"/>
      <c r="AI1192" s="117"/>
      <c r="AJ1192" s="119"/>
      <c r="AK1192" s="117"/>
      <c r="AL1192" s="117"/>
      <c r="AM1192" s="117"/>
      <c r="AN1192" s="117"/>
      <c r="AO1192" s="117"/>
      <c r="AP1192" s="117"/>
      <c r="AQ1192" s="117"/>
      <c r="AR1192" s="126"/>
      <c r="AS1192" s="117"/>
      <c r="AT1192" s="117"/>
      <c r="AU1192" s="117"/>
      <c r="AV1192" s="128"/>
      <c r="AW1192" s="117">
        <f>VLOOKUP($D1192,'WB Data'!$C$3:$M$578,2,FALSE)</f>
        <v>6200357070.1147966</v>
      </c>
      <c r="AX1192" s="117">
        <f>VLOOKUP($D1192,'WB Data'!$C$3:$M$578,3,FALSE)</f>
        <v>2712738</v>
      </c>
      <c r="AY1192" s="847">
        <f t="shared" si="201"/>
        <v>0.15211767247181096</v>
      </c>
      <c r="AZ1192" s="117">
        <f>VLOOKUP($D1192,'WB Data'!$C$3:$M$578,4,FALSE)/100</f>
        <v>0.336578389234308</v>
      </c>
      <c r="BA1192" s="117">
        <f t="shared" si="202"/>
        <v>2086906195.3367915</v>
      </c>
      <c r="BB1192" s="129">
        <f>IFERROR(VLOOKUP($D1192,'EITI Revenues'!$C$2:$G$224,5,FALSE),"..")</f>
        <v>943183886</v>
      </c>
      <c r="BC1192" s="846">
        <f t="shared" si="203"/>
        <v>0.45195317743919294</v>
      </c>
      <c r="BD1192" s="129" t="str">
        <f>VLOOKUP($D1192,'WB Data 2'!$C$2:$K$545,6,FALSE)</f>
        <v>..</v>
      </c>
      <c r="BE1192" s="129">
        <f>IFERROR(VLOOKUP($D1192,UNCTAD!$C$5:$V$529,4,FALSE),"..")</f>
        <v>3394506000</v>
      </c>
      <c r="BF1192" s="846" t="str">
        <f t="shared" si="204"/>
        <v>..</v>
      </c>
      <c r="BG1192" s="117">
        <f>VLOOKUP($D1192,'WB Data'!$C$3:$M$578,5,FALSE)</f>
        <v>302760000</v>
      </c>
      <c r="BH1192" s="129">
        <f>IFERROR($BB1192/$BG1192,"..")</f>
        <v>3.115285658607478</v>
      </c>
      <c r="BI1192" s="117">
        <f>IFERROR(VLOOKUP($D1192,'WB Data'!$C$3:$M$578,7,FALSE)/100,"..")</f>
        <v>5.3859799999999999E-2</v>
      </c>
      <c r="BJ1192" s="117">
        <f>IFERROR($BI1192*$AW1192,"..")</f>
        <v>333949991.72496891</v>
      </c>
      <c r="BK1192" s="846">
        <f>IFERROR($BB1192/$BJ1192,"..")</f>
        <v>2.8243267236753749</v>
      </c>
      <c r="BL1192" s="117">
        <f>IFERROR(VLOOKUP($D1192,'WB Data'!$C$3:$M$578,7,FALSE)/100,"..")</f>
        <v>5.3859799999999999E-2</v>
      </c>
      <c r="BM1192" s="117">
        <f>IFERROR($AW1192*$BL1192,"..")</f>
        <v>333949991.72496891</v>
      </c>
      <c r="BN1192" s="846">
        <f>IFERROR($BB1192/$BM1192,"..")</f>
        <v>2.8243267236753749</v>
      </c>
      <c r="BO1192" s="801">
        <f t="shared" si="200"/>
        <v>39</v>
      </c>
      <c r="BP1192" s="117">
        <f>VLOOKUP($D1192,'WB Data'!$C$3:$M$578,9,FALSE)</f>
        <v>38.700000000000003</v>
      </c>
      <c r="BQ1192" s="117">
        <f>VLOOKUP($D1192,'WB Data'!$C$3:$M$578,10,FALSE)</f>
        <v>66.894609756097566</v>
      </c>
      <c r="BR1192" s="117">
        <f>VLOOKUP($D1192,'WB Data'!$C$3:$M$578,11,FALSE)</f>
        <v>29.3</v>
      </c>
      <c r="BS1192" s="129">
        <f>IFERROR(VLOOKUP($D1192,'WB Data 2'!$C$2:$K$545,9,FALSE),"..")</f>
        <v>98.975020000000001</v>
      </c>
      <c r="BT1192" s="129">
        <f>_xlfn.IFNA(VLOOKUP($C1192,RGI!$A$2:$C$43,2,FALSE),"..")</f>
        <v>38.200000000000003</v>
      </c>
      <c r="BU1192" s="129">
        <f>_xlfn.IFNA(VLOOKUP($C1192,RGI!$A$2:$C$43,3,FALSE),"..")</f>
        <v>50.952530108834466</v>
      </c>
      <c r="BV1192" s="129">
        <f>VLOOKUP($D1192,WGI!$C$2:$O$478,7,FALSE)</f>
        <v>4.4599470651139603E-2</v>
      </c>
      <c r="BW1192" s="129">
        <f>VLOOKUP($D1192,WGI!$C$2:$O$478,4,FALSE)</f>
        <v>0.590470204518041</v>
      </c>
      <c r="BX1192" s="129">
        <f>VLOOKUP($D1192,WGI!$C$2:$O$478,3,FALSE)</f>
        <v>-0.57232558761858399</v>
      </c>
      <c r="BY1192" s="129">
        <f>VLOOKUP($D1192,WGI!$C$2:$O$478,5,FALSE)</f>
        <v>-0.22521774246305401</v>
      </c>
      <c r="BZ1192" s="129">
        <f>VLOOKUP($D1192,WGI!$C$2:$O$478,2,FALSE)</f>
        <v>-0.73017292546653501</v>
      </c>
      <c r="CB1192" s="129"/>
    </row>
    <row r="1193" spans="1:80" s="120" customFormat="1" ht="15" customHeight="1">
      <c r="A1193" s="280" t="s">
        <v>375</v>
      </c>
      <c r="B1193" s="117">
        <v>2010</v>
      </c>
      <c r="C1193" s="117" t="s">
        <v>364</v>
      </c>
      <c r="D1193" s="117" t="s">
        <v>3685</v>
      </c>
      <c r="E1193" s="117" t="s">
        <v>244</v>
      </c>
      <c r="F1193" s="117"/>
      <c r="G1193" s="117" t="s">
        <v>24</v>
      </c>
      <c r="H1193" s="117" t="str">
        <f t="shared" si="207"/>
        <v>yes</v>
      </c>
      <c r="I1193" s="117" t="str">
        <f t="shared" si="209"/>
        <v>no</v>
      </c>
      <c r="J1193" s="117" t="str">
        <f t="shared" si="210"/>
        <v>no</v>
      </c>
      <c r="K1193" s="117" t="s">
        <v>1832</v>
      </c>
      <c r="L1193" s="117" t="str">
        <f t="shared" si="208"/>
        <v>detailed</v>
      </c>
      <c r="M1193" s="117" t="str">
        <f t="shared" si="211"/>
        <v>detailed Mining</v>
      </c>
      <c r="N1193" s="118"/>
      <c r="O1193" s="118"/>
      <c r="P1193" s="118"/>
      <c r="Q1193" s="118"/>
      <c r="R1193" s="118"/>
      <c r="S1193" s="117"/>
      <c r="T1193" s="119"/>
      <c r="U1193" s="117"/>
      <c r="V1193" s="117"/>
      <c r="W1193" s="89"/>
      <c r="X1193" s="89"/>
      <c r="Y1193" s="117"/>
      <c r="Z1193" s="117"/>
      <c r="AA1193" s="89">
        <v>65325.642807505217</v>
      </c>
      <c r="AB1193" s="89">
        <v>65325.642807505217</v>
      </c>
      <c r="AC1193" s="240"/>
      <c r="AD1193" s="240"/>
      <c r="AE1193" s="240"/>
      <c r="AF1193" s="241"/>
      <c r="AG1193" s="117"/>
      <c r="AH1193" s="124"/>
      <c r="AI1193" s="117"/>
      <c r="AJ1193" s="119"/>
      <c r="AK1193" s="117"/>
      <c r="AL1193" s="117"/>
      <c r="AM1193" s="117"/>
      <c r="AN1193" s="117"/>
      <c r="AO1193" s="117"/>
      <c r="AP1193" s="117"/>
      <c r="AQ1193" s="117"/>
      <c r="AR1193" s="126"/>
      <c r="AS1193" s="117"/>
      <c r="AT1193" s="117"/>
      <c r="AU1193" s="117" t="s">
        <v>1833</v>
      </c>
      <c r="AV1193" s="128" t="s">
        <v>1807</v>
      </c>
      <c r="AW1193" s="117">
        <f>VLOOKUP($D1193,'WB Data'!$C$3:$M$578,2,FALSE)</f>
        <v>6200357070.1147966</v>
      </c>
      <c r="AX1193" s="117">
        <f>VLOOKUP($D1193,'WB Data'!$C$3:$M$578,3,FALSE)</f>
        <v>2712738</v>
      </c>
      <c r="AY1193" s="847">
        <f t="shared" si="201"/>
        <v>0.15211767247181096</v>
      </c>
      <c r="AZ1193" s="117">
        <f>VLOOKUP($D1193,'WB Data'!$C$3:$M$578,4,FALSE)/100</f>
        <v>0.336578389234308</v>
      </c>
      <c r="BA1193" s="117">
        <f t="shared" si="202"/>
        <v>2086906195.3367915</v>
      </c>
      <c r="BB1193" s="129">
        <f>IFERROR(VLOOKUP($D1193,'EITI Revenues'!$C$2:$G$224,5,FALSE),"..")</f>
        <v>943183886</v>
      </c>
      <c r="BC1193" s="846">
        <f t="shared" si="203"/>
        <v>0.45195317743919294</v>
      </c>
      <c r="BD1193" s="129" t="str">
        <f>VLOOKUP($D1193,'WB Data 2'!$C$2:$K$545,6,FALSE)</f>
        <v>..</v>
      </c>
      <c r="BE1193" s="129">
        <f>IFERROR(VLOOKUP($D1193,UNCTAD!$C$5:$V$529,4,FALSE),"..")</f>
        <v>3394506000</v>
      </c>
      <c r="BF1193" s="846" t="str">
        <f t="shared" si="204"/>
        <v>..</v>
      </c>
      <c r="BG1193" s="117">
        <f>VLOOKUP($D1193,'WB Data'!$C$3:$M$578,5,FALSE)</f>
        <v>302760000</v>
      </c>
      <c r="BH1193" s="129">
        <f>IFERROR($BB1193/$BG1193,"..")</f>
        <v>3.115285658607478</v>
      </c>
      <c r="BI1193" s="117">
        <f>IFERROR(VLOOKUP($D1193,'WB Data'!$C$3:$M$578,7,FALSE)/100,"..")</f>
        <v>5.3859799999999999E-2</v>
      </c>
      <c r="BJ1193" s="117">
        <f>IFERROR($BI1193*$AW1193,"..")</f>
        <v>333949991.72496891</v>
      </c>
      <c r="BK1193" s="846">
        <f>IFERROR($BB1193/$BJ1193,"..")</f>
        <v>2.8243267236753749</v>
      </c>
      <c r="BL1193" s="117">
        <f>IFERROR(VLOOKUP($D1193,'WB Data'!$C$3:$M$578,7,FALSE)/100,"..")</f>
        <v>5.3859799999999999E-2</v>
      </c>
      <c r="BM1193" s="117">
        <f>IFERROR($AW1193*$BL1193,"..")</f>
        <v>333949991.72496891</v>
      </c>
      <c r="BN1193" s="846">
        <f>IFERROR($BB1193/$BM1193,"..")</f>
        <v>2.8243267236753749</v>
      </c>
      <c r="BO1193" s="801">
        <f t="shared" si="200"/>
        <v>39</v>
      </c>
      <c r="BP1193" s="117">
        <f>VLOOKUP($D1193,'WB Data'!$C$3:$M$578,9,FALSE)</f>
        <v>38.700000000000003</v>
      </c>
      <c r="BQ1193" s="117">
        <f>VLOOKUP($D1193,'WB Data'!$C$3:$M$578,10,FALSE)</f>
        <v>66.894609756097566</v>
      </c>
      <c r="BR1193" s="117">
        <f>VLOOKUP($D1193,'WB Data'!$C$3:$M$578,11,FALSE)</f>
        <v>29.3</v>
      </c>
      <c r="BS1193" s="129">
        <f>IFERROR(VLOOKUP($D1193,'WB Data 2'!$C$2:$K$545,9,FALSE),"..")</f>
        <v>98.975020000000001</v>
      </c>
      <c r="BT1193" s="129">
        <f>_xlfn.IFNA(VLOOKUP($C1193,RGI!$A$2:$C$43,2,FALSE),"..")</f>
        <v>38.200000000000003</v>
      </c>
      <c r="BU1193" s="129">
        <f>_xlfn.IFNA(VLOOKUP($C1193,RGI!$A$2:$C$43,3,FALSE),"..")</f>
        <v>50.952530108834466</v>
      </c>
      <c r="BV1193" s="129">
        <f>VLOOKUP($D1193,WGI!$C$2:$O$478,7,FALSE)</f>
        <v>4.4599470651139603E-2</v>
      </c>
      <c r="BW1193" s="129">
        <f>VLOOKUP($D1193,WGI!$C$2:$O$478,4,FALSE)</f>
        <v>0.590470204518041</v>
      </c>
      <c r="BX1193" s="129">
        <f>VLOOKUP($D1193,WGI!$C$2:$O$478,3,FALSE)</f>
        <v>-0.57232558761858399</v>
      </c>
      <c r="BY1193" s="129">
        <f>VLOOKUP($D1193,WGI!$C$2:$O$478,5,FALSE)</f>
        <v>-0.22521774246305401</v>
      </c>
      <c r="BZ1193" s="129">
        <f>VLOOKUP($D1193,WGI!$C$2:$O$478,2,FALSE)</f>
        <v>-0.73017292546653501</v>
      </c>
      <c r="CB1193" s="129"/>
    </row>
    <row r="1194" spans="1:80" s="120" customFormat="1" ht="15" customHeight="1">
      <c r="A1194" s="280" t="s">
        <v>375</v>
      </c>
      <c r="B1194" s="117">
        <v>2010</v>
      </c>
      <c r="C1194" s="117" t="s">
        <v>364</v>
      </c>
      <c r="D1194" s="117" t="s">
        <v>3685</v>
      </c>
      <c r="E1194" s="117" t="s">
        <v>244</v>
      </c>
      <c r="F1194" s="117"/>
      <c r="G1194" s="117" t="s">
        <v>24</v>
      </c>
      <c r="H1194" s="117" t="str">
        <f t="shared" si="207"/>
        <v>yes</v>
      </c>
      <c r="I1194" s="117" t="str">
        <f t="shared" si="209"/>
        <v>no</v>
      </c>
      <c r="J1194" s="117" t="str">
        <f t="shared" si="210"/>
        <v>no</v>
      </c>
      <c r="K1194" s="117" t="s">
        <v>1766</v>
      </c>
      <c r="L1194" s="117" t="str">
        <f t="shared" si="208"/>
        <v>detailed</v>
      </c>
      <c r="M1194" s="117" t="str">
        <f t="shared" si="211"/>
        <v>detailed Mining</v>
      </c>
      <c r="N1194" s="118">
        <v>20</v>
      </c>
      <c r="O1194" s="118"/>
      <c r="P1194" s="118"/>
      <c r="Q1194" s="118"/>
      <c r="R1194" s="118"/>
      <c r="S1194" s="117" t="s">
        <v>610</v>
      </c>
      <c r="T1194" s="119">
        <v>166.5</v>
      </c>
      <c r="U1194" s="117" t="s">
        <v>611</v>
      </c>
      <c r="V1194" s="117" t="s">
        <v>1810</v>
      </c>
      <c r="W1194" s="89">
        <f>N1194*T1194</f>
        <v>3330</v>
      </c>
      <c r="X1194" s="117"/>
      <c r="Y1194" s="117"/>
      <c r="Z1194" s="117"/>
      <c r="AA1194" s="89"/>
      <c r="AB1194" s="89"/>
      <c r="AC1194" s="240"/>
      <c r="AD1194" s="240"/>
      <c r="AE1194" s="240"/>
      <c r="AF1194" s="241"/>
      <c r="AG1194" s="117"/>
      <c r="AH1194" s="124"/>
      <c r="AI1194" s="117"/>
      <c r="AJ1194" s="117"/>
      <c r="AK1194" s="117"/>
      <c r="AL1194" s="117"/>
      <c r="AM1194" s="117"/>
      <c r="AN1194" s="117"/>
      <c r="AO1194" s="117"/>
      <c r="AP1194" s="117"/>
      <c r="AQ1194" s="215"/>
      <c r="AR1194" s="126"/>
      <c r="AS1194" s="117"/>
      <c r="AT1194" s="117"/>
      <c r="AU1194" s="117"/>
      <c r="AV1194" s="128"/>
      <c r="AW1194" s="117">
        <f>VLOOKUP($D1194,'WB Data'!$C$3:$M$578,2,FALSE)</f>
        <v>6200357070.1147966</v>
      </c>
      <c r="AX1194" s="117">
        <f>VLOOKUP($D1194,'WB Data'!$C$3:$M$578,3,FALSE)</f>
        <v>2712738</v>
      </c>
      <c r="AY1194" s="847">
        <f t="shared" si="201"/>
        <v>0.15211767247181096</v>
      </c>
      <c r="AZ1194" s="117">
        <f>VLOOKUP($D1194,'WB Data'!$C$3:$M$578,4,FALSE)/100</f>
        <v>0.336578389234308</v>
      </c>
      <c r="BA1194" s="117">
        <f t="shared" si="202"/>
        <v>2086906195.3367915</v>
      </c>
      <c r="BB1194" s="129">
        <f>IFERROR(VLOOKUP($D1194,'EITI Revenues'!$C$2:$G$224,5,FALSE),"..")</f>
        <v>943183886</v>
      </c>
      <c r="BC1194" s="846">
        <f t="shared" si="203"/>
        <v>0.45195317743919294</v>
      </c>
      <c r="BD1194" s="129" t="str">
        <f>VLOOKUP($D1194,'WB Data 2'!$C$2:$K$545,6,FALSE)</f>
        <v>..</v>
      </c>
      <c r="BE1194" s="129">
        <f>IFERROR(VLOOKUP($D1194,UNCTAD!$C$5:$V$529,4,FALSE),"..")</f>
        <v>3394506000</v>
      </c>
      <c r="BF1194" s="846" t="str">
        <f t="shared" si="204"/>
        <v>..</v>
      </c>
      <c r="BG1194" s="117">
        <f>VLOOKUP($D1194,'WB Data'!$C$3:$M$578,5,FALSE)</f>
        <v>302760000</v>
      </c>
      <c r="BH1194" s="129">
        <f>IFERROR($BB1194/$BG1194,"..")</f>
        <v>3.115285658607478</v>
      </c>
      <c r="BI1194" s="117">
        <f>IFERROR(VLOOKUP($D1194,'WB Data'!$C$3:$M$578,7,FALSE)/100,"..")</f>
        <v>5.3859799999999999E-2</v>
      </c>
      <c r="BJ1194" s="117">
        <f>IFERROR($BI1194*$AW1194,"..")</f>
        <v>333949991.72496891</v>
      </c>
      <c r="BK1194" s="846">
        <f>IFERROR($BB1194/$BJ1194,"..")</f>
        <v>2.8243267236753749</v>
      </c>
      <c r="BL1194" s="117">
        <f>IFERROR(VLOOKUP($D1194,'WB Data'!$C$3:$M$578,7,FALSE)/100,"..")</f>
        <v>5.3859799999999999E-2</v>
      </c>
      <c r="BM1194" s="117">
        <f>IFERROR($AW1194*$BL1194,"..")</f>
        <v>333949991.72496891</v>
      </c>
      <c r="BN1194" s="846">
        <f>IFERROR($BB1194/$BM1194,"..")</f>
        <v>2.8243267236753749</v>
      </c>
      <c r="BO1194" s="801">
        <f t="shared" si="200"/>
        <v>39</v>
      </c>
      <c r="BP1194" s="117">
        <f>VLOOKUP($D1194,'WB Data'!$C$3:$M$578,9,FALSE)</f>
        <v>38.700000000000003</v>
      </c>
      <c r="BQ1194" s="117">
        <f>VLOOKUP($D1194,'WB Data'!$C$3:$M$578,10,FALSE)</f>
        <v>66.894609756097566</v>
      </c>
      <c r="BR1194" s="117">
        <f>VLOOKUP($D1194,'WB Data'!$C$3:$M$578,11,FALSE)</f>
        <v>29.3</v>
      </c>
      <c r="BS1194" s="129">
        <f>IFERROR(VLOOKUP($D1194,'WB Data 2'!$C$2:$K$545,9,FALSE),"..")</f>
        <v>98.975020000000001</v>
      </c>
      <c r="BT1194" s="129">
        <f>_xlfn.IFNA(VLOOKUP($C1194,RGI!$A$2:$C$43,2,FALSE),"..")</f>
        <v>38.200000000000003</v>
      </c>
      <c r="BU1194" s="129">
        <f>_xlfn.IFNA(VLOOKUP($C1194,RGI!$A$2:$C$43,3,FALSE),"..")</f>
        <v>50.952530108834466</v>
      </c>
      <c r="BV1194" s="129">
        <f>VLOOKUP($D1194,WGI!$C$2:$O$478,7,FALSE)</f>
        <v>4.4599470651139603E-2</v>
      </c>
      <c r="BW1194" s="129">
        <f>VLOOKUP($D1194,WGI!$C$2:$O$478,4,FALSE)</f>
        <v>0.590470204518041</v>
      </c>
      <c r="BX1194" s="129">
        <f>VLOOKUP($D1194,WGI!$C$2:$O$478,3,FALSE)</f>
        <v>-0.57232558761858399</v>
      </c>
      <c r="BY1194" s="129">
        <f>VLOOKUP($D1194,WGI!$C$2:$O$478,5,FALSE)</f>
        <v>-0.22521774246305401</v>
      </c>
      <c r="BZ1194" s="129">
        <f>VLOOKUP($D1194,WGI!$C$2:$O$478,2,FALSE)</f>
        <v>-0.73017292546653501</v>
      </c>
      <c r="CB1194" s="129"/>
    </row>
    <row r="1195" spans="1:80" s="120" customFormat="1" ht="15" customHeight="1">
      <c r="A1195" s="280" t="s">
        <v>375</v>
      </c>
      <c r="B1195" s="117">
        <v>2010</v>
      </c>
      <c r="C1195" s="117" t="s">
        <v>364</v>
      </c>
      <c r="D1195" s="117" t="s">
        <v>3685</v>
      </c>
      <c r="E1195" s="117" t="s">
        <v>244</v>
      </c>
      <c r="F1195" s="117"/>
      <c r="G1195" s="117" t="s">
        <v>24</v>
      </c>
      <c r="H1195" s="117" t="str">
        <f t="shared" si="207"/>
        <v>yes</v>
      </c>
      <c r="I1195" s="117" t="str">
        <f t="shared" si="209"/>
        <v>no</v>
      </c>
      <c r="J1195" s="117" t="str">
        <f t="shared" si="210"/>
        <v>no</v>
      </c>
      <c r="K1195" s="117" t="s">
        <v>1466</v>
      </c>
      <c r="L1195" s="117" t="str">
        <f t="shared" si="208"/>
        <v>detailed</v>
      </c>
      <c r="M1195" s="117" t="str">
        <f t="shared" si="211"/>
        <v>detailed Mining</v>
      </c>
      <c r="N1195" s="118"/>
      <c r="O1195" s="118"/>
      <c r="P1195" s="118"/>
      <c r="Q1195" s="118"/>
      <c r="R1195" s="118"/>
      <c r="S1195" s="117"/>
      <c r="T1195" s="119"/>
      <c r="U1195" s="117"/>
      <c r="V1195" s="117"/>
      <c r="W1195" s="89"/>
      <c r="X1195" s="89"/>
      <c r="Y1195" s="89"/>
      <c r="Z1195" s="89"/>
      <c r="AA1195" s="89">
        <v>576441.96557361283</v>
      </c>
      <c r="AB1195" s="89">
        <v>576441.96557361283</v>
      </c>
      <c r="AC1195" s="240"/>
      <c r="AD1195" s="240"/>
      <c r="AE1195" s="240"/>
      <c r="AF1195" s="241"/>
      <c r="AG1195" s="89"/>
      <c r="AH1195" s="124"/>
      <c r="AI1195" s="117"/>
      <c r="AJ1195" s="119"/>
      <c r="AK1195" s="117"/>
      <c r="AL1195" s="117"/>
      <c r="AM1195" s="117"/>
      <c r="AN1195" s="117"/>
      <c r="AO1195" s="117"/>
      <c r="AP1195" s="117"/>
      <c r="AQ1195" s="117"/>
      <c r="AR1195" s="126"/>
      <c r="AS1195" s="117"/>
      <c r="AT1195" s="117"/>
      <c r="AU1195" s="117" t="s">
        <v>1833</v>
      </c>
      <c r="AV1195" s="128" t="s">
        <v>1807</v>
      </c>
      <c r="AW1195" s="117">
        <f>VLOOKUP($D1195,'WB Data'!$C$3:$M$578,2,FALSE)</f>
        <v>6200357070.1147966</v>
      </c>
      <c r="AX1195" s="117">
        <f>VLOOKUP($D1195,'WB Data'!$C$3:$M$578,3,FALSE)</f>
        <v>2712738</v>
      </c>
      <c r="AY1195" s="847">
        <f t="shared" si="201"/>
        <v>0.15211767247181096</v>
      </c>
      <c r="AZ1195" s="117">
        <f>VLOOKUP($D1195,'WB Data'!$C$3:$M$578,4,FALSE)/100</f>
        <v>0.336578389234308</v>
      </c>
      <c r="BA1195" s="117">
        <f t="shared" si="202"/>
        <v>2086906195.3367915</v>
      </c>
      <c r="BB1195" s="129">
        <f>IFERROR(VLOOKUP($D1195,'EITI Revenues'!$C$2:$G$224,5,FALSE),"..")</f>
        <v>943183886</v>
      </c>
      <c r="BC1195" s="846">
        <f t="shared" si="203"/>
        <v>0.45195317743919294</v>
      </c>
      <c r="BD1195" s="129" t="str">
        <f>VLOOKUP($D1195,'WB Data 2'!$C$2:$K$545,6,FALSE)</f>
        <v>..</v>
      </c>
      <c r="BE1195" s="129">
        <f>IFERROR(VLOOKUP($D1195,UNCTAD!$C$5:$V$529,4,FALSE),"..")</f>
        <v>3394506000</v>
      </c>
      <c r="BF1195" s="846" t="str">
        <f t="shared" si="204"/>
        <v>..</v>
      </c>
      <c r="BG1195" s="117">
        <f>VLOOKUP($D1195,'WB Data'!$C$3:$M$578,5,FALSE)</f>
        <v>302760000</v>
      </c>
      <c r="BH1195" s="129">
        <f>IFERROR($BB1195/$BG1195,"..")</f>
        <v>3.115285658607478</v>
      </c>
      <c r="BI1195" s="117">
        <f>IFERROR(VLOOKUP($D1195,'WB Data'!$C$3:$M$578,7,FALSE)/100,"..")</f>
        <v>5.3859799999999999E-2</v>
      </c>
      <c r="BJ1195" s="117">
        <f>IFERROR($BI1195*$AW1195,"..")</f>
        <v>333949991.72496891</v>
      </c>
      <c r="BK1195" s="846">
        <f>IFERROR($BB1195/$BJ1195,"..")</f>
        <v>2.8243267236753749</v>
      </c>
      <c r="BL1195" s="117">
        <f>IFERROR(VLOOKUP($D1195,'WB Data'!$C$3:$M$578,7,FALSE)/100,"..")</f>
        <v>5.3859799999999999E-2</v>
      </c>
      <c r="BM1195" s="117">
        <f>IFERROR($AW1195*$BL1195,"..")</f>
        <v>333949991.72496891</v>
      </c>
      <c r="BN1195" s="846">
        <f>IFERROR($BB1195/$BM1195,"..")</f>
        <v>2.8243267236753749</v>
      </c>
      <c r="BO1195" s="801">
        <f t="shared" si="200"/>
        <v>39</v>
      </c>
      <c r="BP1195" s="117">
        <f>VLOOKUP($D1195,'WB Data'!$C$3:$M$578,9,FALSE)</f>
        <v>38.700000000000003</v>
      </c>
      <c r="BQ1195" s="117">
        <f>VLOOKUP($D1195,'WB Data'!$C$3:$M$578,10,FALSE)</f>
        <v>66.894609756097566</v>
      </c>
      <c r="BR1195" s="117">
        <f>VLOOKUP($D1195,'WB Data'!$C$3:$M$578,11,FALSE)</f>
        <v>29.3</v>
      </c>
      <c r="BS1195" s="129">
        <f>IFERROR(VLOOKUP($D1195,'WB Data 2'!$C$2:$K$545,9,FALSE),"..")</f>
        <v>98.975020000000001</v>
      </c>
      <c r="BT1195" s="129">
        <f>_xlfn.IFNA(VLOOKUP($C1195,RGI!$A$2:$C$43,2,FALSE),"..")</f>
        <v>38.200000000000003</v>
      </c>
      <c r="BU1195" s="129">
        <f>_xlfn.IFNA(VLOOKUP($C1195,RGI!$A$2:$C$43,3,FALSE),"..")</f>
        <v>50.952530108834466</v>
      </c>
      <c r="BV1195" s="129">
        <f>VLOOKUP($D1195,WGI!$C$2:$O$478,7,FALSE)</f>
        <v>4.4599470651139603E-2</v>
      </c>
      <c r="BW1195" s="129">
        <f>VLOOKUP($D1195,WGI!$C$2:$O$478,4,FALSE)</f>
        <v>0.590470204518041</v>
      </c>
      <c r="BX1195" s="129">
        <f>VLOOKUP($D1195,WGI!$C$2:$O$478,3,FALSE)</f>
        <v>-0.57232558761858399</v>
      </c>
      <c r="BY1195" s="129">
        <f>VLOOKUP($D1195,WGI!$C$2:$O$478,5,FALSE)</f>
        <v>-0.22521774246305401</v>
      </c>
      <c r="BZ1195" s="129">
        <f>VLOOKUP($D1195,WGI!$C$2:$O$478,2,FALSE)</f>
        <v>-0.73017292546653501</v>
      </c>
      <c r="CB1195" s="129"/>
    </row>
    <row r="1196" spans="1:80" s="158" customFormat="1" ht="15" customHeight="1">
      <c r="A1196" s="282" t="s">
        <v>377</v>
      </c>
      <c r="B1196" s="149">
        <v>2011</v>
      </c>
      <c r="C1196" s="149" t="s">
        <v>364</v>
      </c>
      <c r="D1196" s="117" t="s">
        <v>3719</v>
      </c>
      <c r="E1196" s="149" t="s">
        <v>244</v>
      </c>
      <c r="F1196" s="149"/>
      <c r="G1196" s="117" t="s">
        <v>24</v>
      </c>
      <c r="H1196" s="117" t="str">
        <f t="shared" si="207"/>
        <v>yes</v>
      </c>
      <c r="I1196" s="117" t="str">
        <f t="shared" si="209"/>
        <v>no</v>
      </c>
      <c r="J1196" s="117" t="str">
        <f t="shared" si="210"/>
        <v>no</v>
      </c>
      <c r="K1196" s="149" t="s">
        <v>1834</v>
      </c>
      <c r="L1196" s="117" t="str">
        <f t="shared" si="208"/>
        <v>detailed</v>
      </c>
      <c r="M1196" s="117" t="str">
        <f t="shared" si="211"/>
        <v>detailed Mining</v>
      </c>
      <c r="N1196" s="150">
        <f>112600*0.90718474</f>
        <v>102149.001724</v>
      </c>
      <c r="O1196" s="150"/>
      <c r="P1196" s="150">
        <f>112600*0.90718474</f>
        <v>102149.001724</v>
      </c>
      <c r="Q1196" s="150"/>
      <c r="R1196" s="150"/>
      <c r="S1196" s="149" t="s">
        <v>610</v>
      </c>
      <c r="T1196" s="151">
        <v>1117.79</v>
      </c>
      <c r="U1196" s="149" t="s">
        <v>611</v>
      </c>
      <c r="V1196" s="149" t="s">
        <v>1814</v>
      </c>
      <c r="W1196" s="152">
        <f>N1196*T1196</f>
        <v>114181132.63706996</v>
      </c>
      <c r="X1196" s="149"/>
      <c r="Y1196" s="149"/>
      <c r="Z1196" s="149"/>
      <c r="AA1196" s="152"/>
      <c r="AB1196" s="152"/>
      <c r="AC1196" s="288"/>
      <c r="AD1196" s="288"/>
      <c r="AE1196" s="288"/>
      <c r="AF1196" s="285"/>
      <c r="AG1196" s="149"/>
      <c r="AH1196" s="156"/>
      <c r="AI1196" s="149"/>
      <c r="AJ1196" s="149"/>
      <c r="AK1196" s="149"/>
      <c r="AL1196" s="149"/>
      <c r="AM1196" s="149"/>
      <c r="AN1196" s="149"/>
      <c r="AO1196" s="149"/>
      <c r="AP1196" s="149"/>
      <c r="AQ1196" s="149"/>
      <c r="AR1196" s="220"/>
      <c r="AS1196" s="149"/>
      <c r="AT1196" s="149"/>
      <c r="AU1196" s="149"/>
      <c r="AV1196" s="157"/>
      <c r="AW1196" s="117">
        <f>VLOOKUP($D1196,'WB Data'!$C$3:$M$578,2,FALSE)</f>
        <v>8761426370.5587749</v>
      </c>
      <c r="AX1196" s="117">
        <f>VLOOKUP($D1196,'WB Data'!$C$3:$M$578,3,FALSE)</f>
        <v>2754209</v>
      </c>
      <c r="AY1196" s="847">
        <f t="shared" si="201"/>
        <v>0.19594943110735841</v>
      </c>
      <c r="AZ1196" s="117">
        <f>VLOOKUP($D1196,'WB Data'!$C$3:$M$578,4,FALSE)/100</f>
        <v>0.33972503336239335</v>
      </c>
      <c r="BA1196" s="117">
        <f t="shared" si="202"/>
        <v>2976475866.0402327</v>
      </c>
      <c r="BB1196" s="129">
        <f>IFERROR(VLOOKUP($D1196,'EITI Revenues'!$C$2:$G$224,5,FALSE),"..")</f>
        <v>1716796513</v>
      </c>
      <c r="BC1196" s="846">
        <f t="shared" si="203"/>
        <v>0.57678831956529431</v>
      </c>
      <c r="BD1196" s="129" t="str">
        <f>VLOOKUP($D1196,'WB Data 2'!$C$2:$K$545,6,FALSE)</f>
        <v>..</v>
      </c>
      <c r="BE1196" s="129">
        <f>IFERROR(VLOOKUP($D1196,UNCTAD!$C$5:$V$529,4,FALSE),"..")</f>
        <v>5439157000</v>
      </c>
      <c r="BF1196" s="846" t="str">
        <f t="shared" si="204"/>
        <v>..</v>
      </c>
      <c r="BG1196" s="117">
        <f>VLOOKUP($D1196,'WB Data'!$C$3:$M$578,5,FALSE)</f>
        <v>350600000</v>
      </c>
      <c r="BH1196" s="129">
        <f>IFERROR($BB1196/$BG1196,"..")</f>
        <v>4.8967384854535085</v>
      </c>
      <c r="BI1196" s="117">
        <f>IFERROR(VLOOKUP($D1196,'WB Data'!$C$3:$M$578,7,FALSE)/100,"..")</f>
        <v>5.4761699999999996E-2</v>
      </c>
      <c r="BJ1196" s="117">
        <f>IFERROR($BI1196*$AW1196,"..")</f>
        <v>479790602.47662842</v>
      </c>
      <c r="BK1196" s="846">
        <f>IFERROR($BB1196/$BJ1196,"..")</f>
        <v>3.5782203822627574</v>
      </c>
      <c r="BL1196" s="117">
        <f>IFERROR(VLOOKUP($D1196,'WB Data'!$C$3:$M$578,7,FALSE)/100,"..")</f>
        <v>5.4761699999999996E-2</v>
      </c>
      <c r="BM1196" s="117">
        <f>IFERROR($AW1196*$BL1196,"..")</f>
        <v>479790602.47662842</v>
      </c>
      <c r="BN1196" s="846">
        <f>IFERROR($BB1196/$BM1196,"..")</f>
        <v>3.5782203822627574</v>
      </c>
      <c r="BO1196" s="801">
        <f t="shared" si="200"/>
        <v>39</v>
      </c>
      <c r="BP1196" s="117">
        <f>VLOOKUP($D1196,'WB Data'!$C$3:$M$578,9,FALSE)</f>
        <v>33.700000000000003</v>
      </c>
      <c r="BQ1196" s="117">
        <f>VLOOKUP($D1196,'WB Data'!$C$3:$M$578,10,FALSE)</f>
        <v>67.124707317073174</v>
      </c>
      <c r="BR1196" s="117">
        <f>VLOOKUP($D1196,'WB Data'!$C$3:$M$578,11,FALSE)</f>
        <v>28.2</v>
      </c>
      <c r="BS1196" s="129">
        <f>IFERROR(VLOOKUP($D1196,'WB Data 2'!$C$2:$K$545,9,FALSE),"..")</f>
        <v>99.173749999999998</v>
      </c>
      <c r="BT1196" s="129">
        <f>_xlfn.IFNA(VLOOKUP($C1196,RGI!$A$2:$C$43,2,FALSE),"..")</f>
        <v>38.200000000000003</v>
      </c>
      <c r="BU1196" s="129">
        <f>_xlfn.IFNA(VLOOKUP($C1196,RGI!$A$2:$C$43,3,FALSE),"..")</f>
        <v>50.952530108834466</v>
      </c>
      <c r="BV1196" s="129">
        <f>VLOOKUP($D1196,WGI!$C$2:$O$478,7,FALSE)</f>
        <v>-4.6979206513607097E-3</v>
      </c>
      <c r="BW1196" s="129">
        <f>VLOOKUP($D1196,WGI!$C$2:$O$478,4,FALSE)</f>
        <v>0.60017512899051295</v>
      </c>
      <c r="BX1196" s="129">
        <f>VLOOKUP($D1196,WGI!$C$2:$O$478,3,FALSE)</f>
        <v>-0.57850233098383497</v>
      </c>
      <c r="BY1196" s="129">
        <f>VLOOKUP($D1196,WGI!$C$2:$O$478,5,FALSE)</f>
        <v>-0.20473166608686499</v>
      </c>
      <c r="BZ1196" s="129">
        <f>VLOOKUP($D1196,WGI!$C$2:$O$478,2,FALSE)</f>
        <v>-0.67521859645444104</v>
      </c>
      <c r="CB1196" s="129"/>
    </row>
    <row r="1197" spans="1:80" ht="15" customHeight="1">
      <c r="A1197" s="280" t="s">
        <v>377</v>
      </c>
      <c r="B1197" s="117">
        <v>2011</v>
      </c>
      <c r="C1197" s="117" t="s">
        <v>364</v>
      </c>
      <c r="D1197" s="117" t="s">
        <v>3719</v>
      </c>
      <c r="E1197" s="117" t="s">
        <v>244</v>
      </c>
      <c r="F1197" s="117" t="s">
        <v>1745</v>
      </c>
      <c r="G1197" s="132" t="s">
        <v>41</v>
      </c>
      <c r="H1197" s="117" t="str">
        <f t="shared" si="207"/>
        <v>yes</v>
      </c>
      <c r="I1197" s="117" t="str">
        <f t="shared" si="209"/>
        <v>no</v>
      </c>
      <c r="J1197" s="117" t="str">
        <f t="shared" si="210"/>
        <v>yes</v>
      </c>
      <c r="K1197" s="117" t="s">
        <v>709</v>
      </c>
      <c r="L1197" s="117" t="str">
        <f t="shared" si="208"/>
        <v>Total</v>
      </c>
      <c r="M1197" s="117" t="str">
        <f t="shared" si="211"/>
        <v>Total Oil, Mining</v>
      </c>
      <c r="N1197" s="118"/>
      <c r="O1197" s="118"/>
      <c r="P1197" s="118"/>
      <c r="Q1197" s="118"/>
      <c r="R1197" s="118"/>
      <c r="S1197" s="117"/>
      <c r="T1197" s="119"/>
      <c r="U1197" s="117"/>
      <c r="V1197" s="117"/>
      <c r="W1197" s="89">
        <f>W1198+W1199</f>
        <v>4840137794.7793913</v>
      </c>
      <c r="X1197" s="117" t="s">
        <v>1835</v>
      </c>
      <c r="Y1197" s="117" t="s">
        <v>663</v>
      </c>
      <c r="Z1197" s="117" t="s">
        <v>664</v>
      </c>
      <c r="AA1197" s="597">
        <v>1716796513</v>
      </c>
      <c r="AB1197" s="597">
        <v>1716856381</v>
      </c>
      <c r="AC1197" s="240"/>
      <c r="AD1197" s="240"/>
      <c r="AE1197" s="240"/>
      <c r="AF1197" s="241">
        <f>AA1197/W1197</f>
        <v>0.3546999250417518</v>
      </c>
      <c r="AG1197" s="117" t="s">
        <v>1747</v>
      </c>
      <c r="AH1197" s="124">
        <v>1252.76</v>
      </c>
      <c r="AI1197" s="117" t="s">
        <v>1570</v>
      </c>
      <c r="AJ1197" s="120" t="s">
        <v>1827</v>
      </c>
      <c r="AK1197" s="89">
        <v>5072799</v>
      </c>
      <c r="AL1197" s="117"/>
      <c r="AM1197" s="117"/>
      <c r="AN1197" s="117">
        <v>200</v>
      </c>
      <c r="AO1197" s="117" t="s">
        <v>1836</v>
      </c>
      <c r="AP1197" s="117">
        <v>200</v>
      </c>
      <c r="AQ1197" s="215" t="s">
        <v>378</v>
      </c>
      <c r="AR1197" s="126">
        <v>41904</v>
      </c>
      <c r="AS1197" s="117" t="s">
        <v>1787</v>
      </c>
      <c r="AT1197" s="117" t="s">
        <v>379</v>
      </c>
      <c r="AU1197" s="117">
        <v>6</v>
      </c>
      <c r="AV1197" s="128" t="s">
        <v>1837</v>
      </c>
      <c r="AW1197" s="117">
        <f>VLOOKUP($D1197,'WB Data'!$C$3:$M$578,2,FALSE)</f>
        <v>8761426370.5587749</v>
      </c>
      <c r="AX1197" s="117">
        <f>VLOOKUP($D1197,'WB Data'!$C$3:$M$578,3,FALSE)</f>
        <v>2754209</v>
      </c>
      <c r="AY1197" s="847">
        <f t="shared" si="201"/>
        <v>0.19594943110735841</v>
      </c>
      <c r="AZ1197" s="117">
        <f>VLOOKUP($D1197,'WB Data'!$C$3:$M$578,4,FALSE)/100</f>
        <v>0.33972503336239335</v>
      </c>
      <c r="BA1197" s="117">
        <f t="shared" si="202"/>
        <v>2976475866.0402327</v>
      </c>
      <c r="BB1197" s="129">
        <f>IFERROR(VLOOKUP($D1197,'EITI Revenues'!$C$2:$G$224,5,FALSE),"..")</f>
        <v>1716796513</v>
      </c>
      <c r="BC1197" s="846">
        <f t="shared" si="203"/>
        <v>0.57678831956529431</v>
      </c>
      <c r="BD1197" s="129" t="str">
        <f>VLOOKUP($D1197,'WB Data 2'!$C$2:$K$545,6,FALSE)</f>
        <v>..</v>
      </c>
      <c r="BE1197" s="129">
        <f>IFERROR(VLOOKUP($D1197,UNCTAD!$C$5:$V$529,4,FALSE),"..")</f>
        <v>5439157000</v>
      </c>
      <c r="BF1197" s="846" t="str">
        <f t="shared" si="204"/>
        <v>..</v>
      </c>
      <c r="BG1197" s="117">
        <f>VLOOKUP($D1197,'WB Data'!$C$3:$M$578,5,FALSE)</f>
        <v>350600000</v>
      </c>
      <c r="BH1197" s="129">
        <f>IFERROR($BB1197/$BG1197,"..")</f>
        <v>4.8967384854535085</v>
      </c>
      <c r="BI1197" s="117">
        <f>IFERROR(VLOOKUP($D1197,'WB Data'!$C$3:$M$578,7,FALSE)/100,"..")</f>
        <v>5.4761699999999996E-2</v>
      </c>
      <c r="BJ1197" s="117">
        <f>IFERROR($BI1197*$AW1197,"..")</f>
        <v>479790602.47662842</v>
      </c>
      <c r="BK1197" s="846">
        <f>IFERROR($BB1197/$BJ1197,"..")</f>
        <v>3.5782203822627574</v>
      </c>
      <c r="BL1197" s="117">
        <f>IFERROR(VLOOKUP($D1197,'WB Data'!$C$3:$M$578,7,FALSE)/100,"..")</f>
        <v>5.4761699999999996E-2</v>
      </c>
      <c r="BM1197" s="117">
        <f>IFERROR($AW1197*$BL1197,"..")</f>
        <v>479790602.47662842</v>
      </c>
      <c r="BN1197" s="846">
        <f>IFERROR($BB1197/$BM1197,"..")</f>
        <v>3.5782203822627574</v>
      </c>
      <c r="BO1197" s="801">
        <f t="shared" si="200"/>
        <v>39</v>
      </c>
      <c r="BP1197" s="117">
        <f>VLOOKUP($D1197,'WB Data'!$C$3:$M$578,9,FALSE)</f>
        <v>33.700000000000003</v>
      </c>
      <c r="BQ1197" s="117">
        <f>VLOOKUP($D1197,'WB Data'!$C$3:$M$578,10,FALSE)</f>
        <v>67.124707317073174</v>
      </c>
      <c r="BR1197" s="117">
        <f>VLOOKUP($D1197,'WB Data'!$C$3:$M$578,11,FALSE)</f>
        <v>28.2</v>
      </c>
      <c r="BS1197" s="129">
        <f>IFERROR(VLOOKUP($D1197,'WB Data 2'!$C$2:$K$545,9,FALSE),"..")</f>
        <v>99.173749999999998</v>
      </c>
      <c r="BT1197" s="129">
        <f>_xlfn.IFNA(VLOOKUP($C1197,RGI!$A$2:$C$43,2,FALSE),"..")</f>
        <v>38.200000000000003</v>
      </c>
      <c r="BU1197" s="129">
        <f>_xlfn.IFNA(VLOOKUP($C1197,RGI!$A$2:$C$43,3,FALSE),"..")</f>
        <v>50.952530108834466</v>
      </c>
      <c r="BV1197" s="129">
        <f>VLOOKUP($D1197,WGI!$C$2:$O$478,7,FALSE)</f>
        <v>-4.6979206513607097E-3</v>
      </c>
      <c r="BW1197" s="129">
        <f>VLOOKUP($D1197,WGI!$C$2:$O$478,4,FALSE)</f>
        <v>0.60017512899051295</v>
      </c>
      <c r="BX1197" s="129">
        <f>VLOOKUP($D1197,WGI!$C$2:$O$478,3,FALSE)</f>
        <v>-0.57850233098383497</v>
      </c>
      <c r="BY1197" s="129">
        <f>VLOOKUP($D1197,WGI!$C$2:$O$478,5,FALSE)</f>
        <v>-0.20473166608686499</v>
      </c>
      <c r="BZ1197" s="129">
        <f>VLOOKUP($D1197,WGI!$C$2:$O$478,2,FALSE)</f>
        <v>-0.67521859645444104</v>
      </c>
    </row>
    <row r="1198" spans="1:80" ht="15" customHeight="1">
      <c r="A1198" s="280" t="s">
        <v>377</v>
      </c>
      <c r="B1198" s="117">
        <v>2011</v>
      </c>
      <c r="C1198" s="117" t="s">
        <v>364</v>
      </c>
      <c r="D1198" s="117" t="s">
        <v>3719</v>
      </c>
      <c r="E1198" s="117" t="s">
        <v>244</v>
      </c>
      <c r="F1198" s="117"/>
      <c r="G1198" s="117" t="s">
        <v>103</v>
      </c>
      <c r="H1198" s="117" t="str">
        <f t="shared" si="207"/>
        <v>no</v>
      </c>
      <c r="I1198" s="117" t="str">
        <f t="shared" si="209"/>
        <v>no</v>
      </c>
      <c r="J1198" s="117" t="str">
        <f t="shared" si="210"/>
        <v>yes</v>
      </c>
      <c r="K1198" s="117" t="s">
        <v>103</v>
      </c>
      <c r="L1198" s="117" t="str">
        <f t="shared" si="208"/>
        <v>detailed</v>
      </c>
      <c r="M1198" s="117" t="str">
        <f t="shared" si="211"/>
        <v>detailed Oil</v>
      </c>
      <c r="N1198" s="118">
        <v>2548900</v>
      </c>
      <c r="O1198" s="118"/>
      <c r="P1198" s="118">
        <v>2548900</v>
      </c>
      <c r="Q1198" s="118"/>
      <c r="R1198" s="118"/>
      <c r="S1198" s="117" t="s">
        <v>646</v>
      </c>
      <c r="T1198" s="119">
        <v>99.25</v>
      </c>
      <c r="U1198" s="117" t="s">
        <v>673</v>
      </c>
      <c r="V1198" s="117" t="s">
        <v>1838</v>
      </c>
      <c r="W1198" s="89">
        <f>N1198*T1198</f>
        <v>252978325</v>
      </c>
      <c r="X1198" s="89"/>
      <c r="Y1198" s="602"/>
      <c r="Z1198" s="602"/>
      <c r="AA1198" s="89">
        <v>67098007.599220924</v>
      </c>
      <c r="AB1198" s="89"/>
      <c r="AC1198" s="240"/>
      <c r="AD1198" s="240"/>
      <c r="AE1198" s="240"/>
      <c r="AF1198" s="241">
        <f>AA1198/W1198</f>
        <v>0.26523223916207417</v>
      </c>
      <c r="AG1198" s="89"/>
      <c r="AH1198" s="493"/>
      <c r="AI1198" s="117"/>
      <c r="AJ1198" s="117"/>
      <c r="AK1198" s="117"/>
      <c r="AL1198" s="117"/>
      <c r="AM1198" s="117"/>
      <c r="AN1198" s="117">
        <v>13</v>
      </c>
      <c r="AO1198" s="117" t="s">
        <v>1839</v>
      </c>
      <c r="AP1198" s="117">
        <v>13</v>
      </c>
      <c r="AQ1198" s="117"/>
      <c r="AR1198" s="126"/>
      <c r="AS1198" s="117"/>
      <c r="AT1198" s="117"/>
      <c r="AU1198" s="215" t="s">
        <v>1840</v>
      </c>
      <c r="AV1198" s="128"/>
      <c r="AW1198" s="117">
        <f>VLOOKUP($D1198,'WB Data'!$C$3:$M$578,2,FALSE)</f>
        <v>8761426370.5587749</v>
      </c>
      <c r="AX1198" s="117">
        <f>VLOOKUP($D1198,'WB Data'!$C$3:$M$578,3,FALSE)</f>
        <v>2754209</v>
      </c>
      <c r="AY1198" s="847">
        <f t="shared" si="201"/>
        <v>0.19594943110735841</v>
      </c>
      <c r="AZ1198" s="117">
        <f>VLOOKUP($D1198,'WB Data'!$C$3:$M$578,4,FALSE)/100</f>
        <v>0.33972503336239335</v>
      </c>
      <c r="BA1198" s="117">
        <f t="shared" si="202"/>
        <v>2976475866.0402327</v>
      </c>
      <c r="BB1198" s="129">
        <f>IFERROR(VLOOKUP($D1198,'EITI Revenues'!$C$2:$G$224,5,FALSE),"..")</f>
        <v>1716796513</v>
      </c>
      <c r="BC1198" s="846">
        <f t="shared" si="203"/>
        <v>0.57678831956529431</v>
      </c>
      <c r="BD1198" s="129" t="str">
        <f>VLOOKUP($D1198,'WB Data 2'!$C$2:$K$545,6,FALSE)</f>
        <v>..</v>
      </c>
      <c r="BE1198" s="129">
        <f>IFERROR(VLOOKUP($D1198,UNCTAD!$C$5:$V$529,4,FALSE),"..")</f>
        <v>5439157000</v>
      </c>
      <c r="BF1198" s="846" t="str">
        <f t="shared" si="204"/>
        <v>..</v>
      </c>
      <c r="BG1198" s="117">
        <f>VLOOKUP($D1198,'WB Data'!$C$3:$M$578,5,FALSE)</f>
        <v>350600000</v>
      </c>
      <c r="BH1198" s="129">
        <f>IFERROR($BB1198/$BG1198,"..")</f>
        <v>4.8967384854535085</v>
      </c>
      <c r="BI1198" s="117">
        <f>IFERROR(VLOOKUP($D1198,'WB Data'!$C$3:$M$578,7,FALSE)/100,"..")</f>
        <v>5.4761699999999996E-2</v>
      </c>
      <c r="BJ1198" s="117">
        <f>IFERROR($BI1198*$AW1198,"..")</f>
        <v>479790602.47662842</v>
      </c>
      <c r="BK1198" s="846">
        <f>IFERROR($BB1198/$BJ1198,"..")</f>
        <v>3.5782203822627574</v>
      </c>
      <c r="BL1198" s="117">
        <f>IFERROR(VLOOKUP($D1198,'WB Data'!$C$3:$M$578,7,FALSE)/100,"..")</f>
        <v>5.4761699999999996E-2</v>
      </c>
      <c r="BM1198" s="117">
        <f>IFERROR($AW1198*$BL1198,"..")</f>
        <v>479790602.47662842</v>
      </c>
      <c r="BN1198" s="846">
        <f>IFERROR($BB1198/$BM1198,"..")</f>
        <v>3.5782203822627574</v>
      </c>
      <c r="BO1198" s="801">
        <f t="shared" si="200"/>
        <v>39</v>
      </c>
      <c r="BP1198" s="117">
        <f>VLOOKUP($D1198,'WB Data'!$C$3:$M$578,9,FALSE)</f>
        <v>33.700000000000003</v>
      </c>
      <c r="BQ1198" s="117">
        <f>VLOOKUP($D1198,'WB Data'!$C$3:$M$578,10,FALSE)</f>
        <v>67.124707317073174</v>
      </c>
      <c r="BR1198" s="117">
        <f>VLOOKUP($D1198,'WB Data'!$C$3:$M$578,11,FALSE)</f>
        <v>28.2</v>
      </c>
      <c r="BS1198" s="129">
        <f>IFERROR(VLOOKUP($D1198,'WB Data 2'!$C$2:$K$545,9,FALSE),"..")</f>
        <v>99.173749999999998</v>
      </c>
      <c r="BT1198" s="129">
        <f>_xlfn.IFNA(VLOOKUP($C1198,RGI!$A$2:$C$43,2,FALSE),"..")</f>
        <v>38.200000000000003</v>
      </c>
      <c r="BU1198" s="129">
        <f>_xlfn.IFNA(VLOOKUP($C1198,RGI!$A$2:$C$43,3,FALSE),"..")</f>
        <v>50.952530108834466</v>
      </c>
      <c r="BV1198" s="129">
        <f>VLOOKUP($D1198,WGI!$C$2:$O$478,7,FALSE)</f>
        <v>-4.6979206513607097E-3</v>
      </c>
      <c r="BW1198" s="129">
        <f>VLOOKUP($D1198,WGI!$C$2:$O$478,4,FALSE)</f>
        <v>0.60017512899051295</v>
      </c>
      <c r="BX1198" s="129">
        <f>VLOOKUP($D1198,WGI!$C$2:$O$478,3,FALSE)</f>
        <v>-0.57850233098383497</v>
      </c>
      <c r="BY1198" s="129">
        <f>VLOOKUP($D1198,WGI!$C$2:$O$478,5,FALSE)</f>
        <v>-0.20473166608686499</v>
      </c>
      <c r="BZ1198" s="129">
        <f>VLOOKUP($D1198,WGI!$C$2:$O$478,2,FALSE)</f>
        <v>-0.67521859645444104</v>
      </c>
    </row>
    <row r="1199" spans="1:80" ht="15" customHeight="1">
      <c r="A1199" s="280" t="s">
        <v>377</v>
      </c>
      <c r="B1199" s="117">
        <v>2011</v>
      </c>
      <c r="C1199" s="117" t="s">
        <v>364</v>
      </c>
      <c r="D1199" s="117" t="s">
        <v>3719</v>
      </c>
      <c r="E1199" s="117" t="s">
        <v>244</v>
      </c>
      <c r="F1199" s="117"/>
      <c r="G1199" s="117" t="s">
        <v>24</v>
      </c>
      <c r="H1199" s="117" t="str">
        <f t="shared" si="207"/>
        <v>yes</v>
      </c>
      <c r="I1199" s="117" t="str">
        <f t="shared" si="209"/>
        <v>no</v>
      </c>
      <c r="J1199" s="117" t="str">
        <f t="shared" si="210"/>
        <v>no</v>
      </c>
      <c r="K1199" s="117" t="s">
        <v>600</v>
      </c>
      <c r="L1199" s="117" t="str">
        <f t="shared" si="208"/>
        <v>Total</v>
      </c>
      <c r="M1199" s="117" t="str">
        <f t="shared" si="211"/>
        <v>Total Mining</v>
      </c>
      <c r="N1199" s="118"/>
      <c r="O1199" s="118"/>
      <c r="P1199" s="118"/>
      <c r="Q1199" s="118"/>
      <c r="R1199" s="118"/>
      <c r="S1199" s="117"/>
      <c r="T1199" s="119"/>
      <c r="U1199" s="117"/>
      <c r="V1199" s="117"/>
      <c r="W1199" s="89">
        <f>SUM(W1200:W1210)</f>
        <v>4587159469.7793913</v>
      </c>
      <c r="X1199" s="117"/>
      <c r="Y1199" s="602"/>
      <c r="Z1199" s="602"/>
      <c r="AA1199" s="89">
        <v>1649698505.400779</v>
      </c>
      <c r="AB1199" s="89"/>
      <c r="AC1199" s="240"/>
      <c r="AD1199" s="240"/>
      <c r="AE1199" s="240"/>
      <c r="AF1199" s="241">
        <f>AA1199/W1199</f>
        <v>0.35963399926885853</v>
      </c>
      <c r="AG1199" s="117"/>
      <c r="AH1199" s="124"/>
      <c r="AI1199" s="117"/>
      <c r="AJ1199" s="117"/>
      <c r="AK1199" s="120"/>
      <c r="AL1199" s="117"/>
      <c r="AM1199" s="117"/>
      <c r="AN1199" s="117">
        <v>187</v>
      </c>
      <c r="AO1199" s="117" t="s">
        <v>1841</v>
      </c>
      <c r="AP1199" s="117">
        <v>187</v>
      </c>
      <c r="AQ1199" s="117"/>
      <c r="AR1199" s="126"/>
      <c r="AS1199" s="117"/>
      <c r="AT1199" s="117"/>
      <c r="AU1199" s="604"/>
      <c r="AV1199" s="128"/>
      <c r="AW1199" s="117">
        <f>VLOOKUP($D1199,'WB Data'!$C$3:$M$578,2,FALSE)</f>
        <v>8761426370.5587749</v>
      </c>
      <c r="AX1199" s="117">
        <f>VLOOKUP($D1199,'WB Data'!$C$3:$M$578,3,FALSE)</f>
        <v>2754209</v>
      </c>
      <c r="AY1199" s="847">
        <f t="shared" si="201"/>
        <v>0.19594943110735841</v>
      </c>
      <c r="AZ1199" s="117">
        <f>VLOOKUP($D1199,'WB Data'!$C$3:$M$578,4,FALSE)/100</f>
        <v>0.33972503336239335</v>
      </c>
      <c r="BA1199" s="117">
        <f t="shared" si="202"/>
        <v>2976475866.0402327</v>
      </c>
      <c r="BB1199" s="129">
        <f>IFERROR(VLOOKUP($D1199,'EITI Revenues'!$C$2:$G$224,5,FALSE),"..")</f>
        <v>1716796513</v>
      </c>
      <c r="BC1199" s="846">
        <f t="shared" si="203"/>
        <v>0.57678831956529431</v>
      </c>
      <c r="BD1199" s="129" t="str">
        <f>VLOOKUP($D1199,'WB Data 2'!$C$2:$K$545,6,FALSE)</f>
        <v>..</v>
      </c>
      <c r="BE1199" s="129">
        <f>IFERROR(VLOOKUP($D1199,UNCTAD!$C$5:$V$529,4,FALSE),"..")</f>
        <v>5439157000</v>
      </c>
      <c r="BF1199" s="846" t="str">
        <f t="shared" si="204"/>
        <v>..</v>
      </c>
      <c r="BG1199" s="117">
        <f>VLOOKUP($D1199,'WB Data'!$C$3:$M$578,5,FALSE)</f>
        <v>350600000</v>
      </c>
      <c r="BH1199" s="129">
        <f>IFERROR($BB1199/$BG1199,"..")</f>
        <v>4.8967384854535085</v>
      </c>
      <c r="BI1199" s="117">
        <f>IFERROR(VLOOKUP($D1199,'WB Data'!$C$3:$M$578,7,FALSE)/100,"..")</f>
        <v>5.4761699999999996E-2</v>
      </c>
      <c r="BJ1199" s="117">
        <f>IFERROR($BI1199*$AW1199,"..")</f>
        <v>479790602.47662842</v>
      </c>
      <c r="BK1199" s="846">
        <f>IFERROR($BB1199/$BJ1199,"..")</f>
        <v>3.5782203822627574</v>
      </c>
      <c r="BL1199" s="117">
        <f>IFERROR(VLOOKUP($D1199,'WB Data'!$C$3:$M$578,7,FALSE)/100,"..")</f>
        <v>5.4761699999999996E-2</v>
      </c>
      <c r="BM1199" s="117">
        <f>IFERROR($AW1199*$BL1199,"..")</f>
        <v>479790602.47662842</v>
      </c>
      <c r="BN1199" s="846">
        <f>IFERROR($BB1199/$BM1199,"..")</f>
        <v>3.5782203822627574</v>
      </c>
      <c r="BO1199" s="801">
        <f t="shared" si="200"/>
        <v>39</v>
      </c>
      <c r="BP1199" s="117">
        <f>VLOOKUP($D1199,'WB Data'!$C$3:$M$578,9,FALSE)</f>
        <v>33.700000000000003</v>
      </c>
      <c r="BQ1199" s="117">
        <f>VLOOKUP($D1199,'WB Data'!$C$3:$M$578,10,FALSE)</f>
        <v>67.124707317073174</v>
      </c>
      <c r="BR1199" s="117">
        <f>VLOOKUP($D1199,'WB Data'!$C$3:$M$578,11,FALSE)</f>
        <v>28.2</v>
      </c>
      <c r="BS1199" s="129">
        <f>IFERROR(VLOOKUP($D1199,'WB Data 2'!$C$2:$K$545,9,FALSE),"..")</f>
        <v>99.173749999999998</v>
      </c>
      <c r="BT1199" s="129">
        <f>_xlfn.IFNA(VLOOKUP($C1199,RGI!$A$2:$C$43,2,FALSE),"..")</f>
        <v>38.200000000000003</v>
      </c>
      <c r="BU1199" s="129">
        <f>_xlfn.IFNA(VLOOKUP($C1199,RGI!$A$2:$C$43,3,FALSE),"..")</f>
        <v>50.952530108834466</v>
      </c>
      <c r="BV1199" s="129">
        <f>VLOOKUP($D1199,WGI!$C$2:$O$478,7,FALSE)</f>
        <v>-4.6979206513607097E-3</v>
      </c>
      <c r="BW1199" s="129">
        <f>VLOOKUP($D1199,WGI!$C$2:$O$478,4,FALSE)</f>
        <v>0.60017512899051295</v>
      </c>
      <c r="BX1199" s="129">
        <f>VLOOKUP($D1199,WGI!$C$2:$O$478,3,FALSE)</f>
        <v>-0.57850233098383497</v>
      </c>
      <c r="BY1199" s="129">
        <f>VLOOKUP($D1199,WGI!$C$2:$O$478,5,FALSE)</f>
        <v>-0.20473166608686499</v>
      </c>
      <c r="BZ1199" s="129">
        <f>VLOOKUP($D1199,WGI!$C$2:$O$478,2,FALSE)</f>
        <v>-0.67521859645444104</v>
      </c>
    </row>
    <row r="1200" spans="1:80" ht="15" customHeight="1">
      <c r="A1200" s="280" t="s">
        <v>377</v>
      </c>
      <c r="B1200" s="117">
        <v>2011</v>
      </c>
      <c r="C1200" s="117" t="s">
        <v>364</v>
      </c>
      <c r="D1200" s="117" t="s">
        <v>3719</v>
      </c>
      <c r="E1200" s="117" t="s">
        <v>244</v>
      </c>
      <c r="F1200" s="117"/>
      <c r="G1200" s="117" t="s">
        <v>24</v>
      </c>
      <c r="H1200" s="117" t="str">
        <f t="shared" si="207"/>
        <v>yes</v>
      </c>
      <c r="I1200" s="117" t="str">
        <f t="shared" si="209"/>
        <v>no</v>
      </c>
      <c r="J1200" s="117" t="str">
        <f t="shared" si="210"/>
        <v>no</v>
      </c>
      <c r="K1200" s="117" t="s">
        <v>616</v>
      </c>
      <c r="L1200" s="117" t="str">
        <f t="shared" si="208"/>
        <v>detailed</v>
      </c>
      <c r="M1200" s="117" t="str">
        <f t="shared" si="211"/>
        <v>detailed Mining</v>
      </c>
      <c r="N1200" s="118">
        <f>32029700*0.90718474</f>
        <v>29056855.066778</v>
      </c>
      <c r="O1200" s="118"/>
      <c r="P1200" s="118">
        <f>32029700*0.90718474</f>
        <v>29056855.066778</v>
      </c>
      <c r="Q1200" s="118"/>
      <c r="R1200" s="118"/>
      <c r="S1200" s="117" t="s">
        <v>610</v>
      </c>
      <c r="T1200" s="119">
        <v>106.61</v>
      </c>
      <c r="U1200" s="117" t="s">
        <v>611</v>
      </c>
      <c r="V1200" s="117" t="s">
        <v>1838</v>
      </c>
      <c r="W1200" s="89">
        <f>N1200*T1200</f>
        <v>3097751318.6692028</v>
      </c>
      <c r="X1200" s="89"/>
      <c r="Y1200" s="89"/>
      <c r="Z1200" s="89"/>
      <c r="AA1200" s="89">
        <v>683940259.90612721</v>
      </c>
      <c r="AB1200" s="89"/>
      <c r="AC1200" s="240"/>
      <c r="AD1200" s="240"/>
      <c r="AE1200" s="240"/>
      <c r="AF1200" s="241">
        <f>AA1200/W1200</f>
        <v>0.22078604431034465</v>
      </c>
      <c r="AG1200" s="89"/>
      <c r="AH1200" s="124"/>
      <c r="AI1200" s="117"/>
      <c r="AJ1200" s="117"/>
      <c r="AK1200" s="119"/>
      <c r="AL1200" s="117"/>
      <c r="AM1200" s="117"/>
      <c r="AN1200" s="117"/>
      <c r="AO1200" s="117"/>
      <c r="AP1200" s="117"/>
      <c r="AQ1200" s="117"/>
      <c r="AR1200" s="126"/>
      <c r="AS1200" s="117"/>
      <c r="AT1200" s="117"/>
      <c r="AU1200" s="215" t="s">
        <v>1840</v>
      </c>
      <c r="AV1200" s="128"/>
      <c r="AW1200" s="117">
        <f>VLOOKUP($D1200,'WB Data'!$C$3:$M$578,2,FALSE)</f>
        <v>8761426370.5587749</v>
      </c>
      <c r="AX1200" s="117">
        <f>VLOOKUP($D1200,'WB Data'!$C$3:$M$578,3,FALSE)</f>
        <v>2754209</v>
      </c>
      <c r="AY1200" s="847">
        <f t="shared" si="201"/>
        <v>0.19594943110735841</v>
      </c>
      <c r="AZ1200" s="117">
        <f>VLOOKUP($D1200,'WB Data'!$C$3:$M$578,4,FALSE)/100</f>
        <v>0.33972503336239335</v>
      </c>
      <c r="BA1200" s="117">
        <f t="shared" si="202"/>
        <v>2976475866.0402327</v>
      </c>
      <c r="BB1200" s="129">
        <f>IFERROR(VLOOKUP($D1200,'EITI Revenues'!$C$2:$G$224,5,FALSE),"..")</f>
        <v>1716796513</v>
      </c>
      <c r="BC1200" s="846">
        <f t="shared" si="203"/>
        <v>0.57678831956529431</v>
      </c>
      <c r="BD1200" s="129" t="str">
        <f>VLOOKUP($D1200,'WB Data 2'!$C$2:$K$545,6,FALSE)</f>
        <v>..</v>
      </c>
      <c r="BE1200" s="129">
        <f>IFERROR(VLOOKUP($D1200,UNCTAD!$C$5:$V$529,4,FALSE),"..")</f>
        <v>5439157000</v>
      </c>
      <c r="BF1200" s="846" t="str">
        <f t="shared" si="204"/>
        <v>..</v>
      </c>
      <c r="BG1200" s="117">
        <f>VLOOKUP($D1200,'WB Data'!$C$3:$M$578,5,FALSE)</f>
        <v>350600000</v>
      </c>
      <c r="BH1200" s="129">
        <f>IFERROR($BB1200/$BG1200,"..")</f>
        <v>4.8967384854535085</v>
      </c>
      <c r="BI1200" s="117">
        <f>IFERROR(VLOOKUP($D1200,'WB Data'!$C$3:$M$578,7,FALSE)/100,"..")</f>
        <v>5.4761699999999996E-2</v>
      </c>
      <c r="BJ1200" s="117">
        <f>IFERROR($BI1200*$AW1200,"..")</f>
        <v>479790602.47662842</v>
      </c>
      <c r="BK1200" s="846">
        <f>IFERROR($BB1200/$BJ1200,"..")</f>
        <v>3.5782203822627574</v>
      </c>
      <c r="BL1200" s="117">
        <f>IFERROR(VLOOKUP($D1200,'WB Data'!$C$3:$M$578,7,FALSE)/100,"..")</f>
        <v>5.4761699999999996E-2</v>
      </c>
      <c r="BM1200" s="117">
        <f>IFERROR($AW1200*$BL1200,"..")</f>
        <v>479790602.47662842</v>
      </c>
      <c r="BN1200" s="846">
        <f>IFERROR($BB1200/$BM1200,"..")</f>
        <v>3.5782203822627574</v>
      </c>
      <c r="BO1200" s="801">
        <f t="shared" si="200"/>
        <v>39</v>
      </c>
      <c r="BP1200" s="117">
        <f>VLOOKUP($D1200,'WB Data'!$C$3:$M$578,9,FALSE)</f>
        <v>33.700000000000003</v>
      </c>
      <c r="BQ1200" s="117">
        <f>VLOOKUP($D1200,'WB Data'!$C$3:$M$578,10,FALSE)</f>
        <v>67.124707317073174</v>
      </c>
      <c r="BR1200" s="117">
        <f>VLOOKUP($D1200,'WB Data'!$C$3:$M$578,11,FALSE)</f>
        <v>28.2</v>
      </c>
      <c r="BS1200" s="129">
        <f>IFERROR(VLOOKUP($D1200,'WB Data 2'!$C$2:$K$545,9,FALSE),"..")</f>
        <v>99.173749999999998</v>
      </c>
      <c r="BT1200" s="129">
        <f>_xlfn.IFNA(VLOOKUP($C1200,RGI!$A$2:$C$43,2,FALSE),"..")</f>
        <v>38.200000000000003</v>
      </c>
      <c r="BU1200" s="129">
        <f>_xlfn.IFNA(VLOOKUP($C1200,RGI!$A$2:$C$43,3,FALSE),"..")</f>
        <v>50.952530108834466</v>
      </c>
      <c r="BV1200" s="129">
        <f>VLOOKUP($D1200,WGI!$C$2:$O$478,7,FALSE)</f>
        <v>-4.6979206513607097E-3</v>
      </c>
      <c r="BW1200" s="129">
        <f>VLOOKUP($D1200,WGI!$C$2:$O$478,4,FALSE)</f>
        <v>0.60017512899051295</v>
      </c>
      <c r="BX1200" s="129">
        <f>VLOOKUP($D1200,WGI!$C$2:$O$478,3,FALSE)</f>
        <v>-0.57850233098383497</v>
      </c>
      <c r="BY1200" s="129">
        <f>VLOOKUP($D1200,WGI!$C$2:$O$478,5,FALSE)</f>
        <v>-0.20473166608686499</v>
      </c>
      <c r="BZ1200" s="129">
        <f>VLOOKUP($D1200,WGI!$C$2:$O$478,2,FALSE)</f>
        <v>-0.67521859645444104</v>
      </c>
    </row>
    <row r="1201" spans="1:80" ht="15" customHeight="1">
      <c r="A1201" s="280" t="s">
        <v>377</v>
      </c>
      <c r="B1201" s="117">
        <v>2011</v>
      </c>
      <c r="C1201" s="117" t="s">
        <v>364</v>
      </c>
      <c r="D1201" s="117" t="s">
        <v>3719</v>
      </c>
      <c r="E1201" s="117" t="s">
        <v>244</v>
      </c>
      <c r="F1201" s="117"/>
      <c r="G1201" s="117" t="s">
        <v>24</v>
      </c>
      <c r="H1201" s="117" t="str">
        <f t="shared" si="207"/>
        <v>yes</v>
      </c>
      <c r="I1201" s="117" t="str">
        <f t="shared" si="209"/>
        <v>no</v>
      </c>
      <c r="J1201" s="117" t="str">
        <f t="shared" si="210"/>
        <v>no</v>
      </c>
      <c r="K1201" s="117" t="s">
        <v>1819</v>
      </c>
      <c r="L1201" s="117" t="str">
        <f t="shared" si="208"/>
        <v>detailed</v>
      </c>
      <c r="M1201" s="117" t="str">
        <f t="shared" si="211"/>
        <v>detailed Mining</v>
      </c>
      <c r="N1201" s="118">
        <f>347400*0.90718474</f>
        <v>315155.97867600003</v>
      </c>
      <c r="O1201" s="118"/>
      <c r="P1201" s="118">
        <f>347400*0.90718474</f>
        <v>315155.97867600003</v>
      </c>
      <c r="Q1201" s="118"/>
      <c r="R1201" s="118"/>
      <c r="S1201" s="117" t="s">
        <v>610</v>
      </c>
      <c r="T1201" s="119">
        <v>1681.67</v>
      </c>
      <c r="U1201" s="117" t="s">
        <v>611</v>
      </c>
      <c r="V1201" s="117" t="s">
        <v>1838</v>
      </c>
      <c r="W1201" s="89">
        <f>N1201*T1201</f>
        <v>529988354.66006899</v>
      </c>
      <c r="X1201" s="89"/>
      <c r="Y1201" s="602"/>
      <c r="Z1201" s="602"/>
      <c r="AA1201" s="89"/>
      <c r="AB1201" s="89"/>
      <c r="AC1201" s="240"/>
      <c r="AD1201" s="240"/>
      <c r="AE1201" s="240"/>
      <c r="AF1201" s="241"/>
      <c r="AG1201" s="89"/>
      <c r="AH1201" s="124"/>
      <c r="AI1201" s="117"/>
      <c r="AJ1201" s="117"/>
      <c r="AK1201" s="117"/>
      <c r="AL1201" s="117"/>
      <c r="AM1201" s="117"/>
      <c r="AN1201" s="117"/>
      <c r="AO1201" s="117"/>
      <c r="AP1201" s="117"/>
      <c r="AQ1201" s="215"/>
      <c r="AR1201" s="126"/>
      <c r="AS1201" s="117"/>
      <c r="AT1201" s="117"/>
      <c r="AU1201" s="215" t="s">
        <v>1842</v>
      </c>
      <c r="AV1201" s="128"/>
      <c r="AW1201" s="117">
        <f>VLOOKUP($D1201,'WB Data'!$C$3:$M$578,2,FALSE)</f>
        <v>8761426370.5587749</v>
      </c>
      <c r="AX1201" s="117">
        <f>VLOOKUP($D1201,'WB Data'!$C$3:$M$578,3,FALSE)</f>
        <v>2754209</v>
      </c>
      <c r="AY1201" s="847">
        <f t="shared" si="201"/>
        <v>0.19594943110735841</v>
      </c>
      <c r="AZ1201" s="117">
        <f>VLOOKUP($D1201,'WB Data'!$C$3:$M$578,4,FALSE)/100</f>
        <v>0.33972503336239335</v>
      </c>
      <c r="BA1201" s="117">
        <f t="shared" si="202"/>
        <v>2976475866.0402327</v>
      </c>
      <c r="BB1201" s="129">
        <f>IFERROR(VLOOKUP($D1201,'EITI Revenues'!$C$2:$G$224,5,FALSE),"..")</f>
        <v>1716796513</v>
      </c>
      <c r="BC1201" s="846">
        <f t="shared" si="203"/>
        <v>0.57678831956529431</v>
      </c>
      <c r="BD1201" s="129" t="str">
        <f>VLOOKUP($D1201,'WB Data 2'!$C$2:$K$545,6,FALSE)</f>
        <v>..</v>
      </c>
      <c r="BE1201" s="129">
        <f>IFERROR(VLOOKUP($D1201,UNCTAD!$C$5:$V$529,4,FALSE),"..")</f>
        <v>5439157000</v>
      </c>
      <c r="BF1201" s="846" t="str">
        <f t="shared" si="204"/>
        <v>..</v>
      </c>
      <c r="BG1201" s="117">
        <f>VLOOKUP($D1201,'WB Data'!$C$3:$M$578,5,FALSE)</f>
        <v>350600000</v>
      </c>
      <c r="BH1201" s="129">
        <f>IFERROR($BB1201/$BG1201,"..")</f>
        <v>4.8967384854535085</v>
      </c>
      <c r="BI1201" s="117">
        <f>IFERROR(VLOOKUP($D1201,'WB Data'!$C$3:$M$578,7,FALSE)/100,"..")</f>
        <v>5.4761699999999996E-2</v>
      </c>
      <c r="BJ1201" s="117">
        <f>IFERROR($BI1201*$AW1201,"..")</f>
        <v>479790602.47662842</v>
      </c>
      <c r="BK1201" s="846">
        <f>IFERROR($BB1201/$BJ1201,"..")</f>
        <v>3.5782203822627574</v>
      </c>
      <c r="BL1201" s="117">
        <f>IFERROR(VLOOKUP($D1201,'WB Data'!$C$3:$M$578,7,FALSE)/100,"..")</f>
        <v>5.4761699999999996E-2</v>
      </c>
      <c r="BM1201" s="117">
        <f>IFERROR($AW1201*$BL1201,"..")</f>
        <v>479790602.47662842</v>
      </c>
      <c r="BN1201" s="846">
        <f>IFERROR($BB1201/$BM1201,"..")</f>
        <v>3.5782203822627574</v>
      </c>
      <c r="BO1201" s="801">
        <f t="shared" si="200"/>
        <v>39</v>
      </c>
      <c r="BP1201" s="117">
        <f>VLOOKUP($D1201,'WB Data'!$C$3:$M$578,9,FALSE)</f>
        <v>33.700000000000003</v>
      </c>
      <c r="BQ1201" s="117">
        <f>VLOOKUP($D1201,'WB Data'!$C$3:$M$578,10,FALSE)</f>
        <v>67.124707317073174</v>
      </c>
      <c r="BR1201" s="117">
        <f>VLOOKUP($D1201,'WB Data'!$C$3:$M$578,11,FALSE)</f>
        <v>28.2</v>
      </c>
      <c r="BS1201" s="129">
        <f>IFERROR(VLOOKUP($D1201,'WB Data 2'!$C$2:$K$545,9,FALSE),"..")</f>
        <v>99.173749999999998</v>
      </c>
      <c r="BT1201" s="129">
        <f>_xlfn.IFNA(VLOOKUP($C1201,RGI!$A$2:$C$43,2,FALSE),"..")</f>
        <v>38.200000000000003</v>
      </c>
      <c r="BU1201" s="129">
        <f>_xlfn.IFNA(VLOOKUP($C1201,RGI!$A$2:$C$43,3,FALSE),"..")</f>
        <v>50.952530108834466</v>
      </c>
      <c r="BV1201" s="129">
        <f>VLOOKUP($D1201,WGI!$C$2:$O$478,7,FALSE)</f>
        <v>-4.6979206513607097E-3</v>
      </c>
      <c r="BW1201" s="129">
        <f>VLOOKUP($D1201,WGI!$C$2:$O$478,4,FALSE)</f>
        <v>0.60017512899051295</v>
      </c>
      <c r="BX1201" s="129">
        <f>VLOOKUP($D1201,WGI!$C$2:$O$478,3,FALSE)</f>
        <v>-0.57850233098383497</v>
      </c>
      <c r="BY1201" s="129">
        <f>VLOOKUP($D1201,WGI!$C$2:$O$478,5,FALSE)</f>
        <v>-0.20473166608686499</v>
      </c>
      <c r="BZ1201" s="129">
        <f>VLOOKUP($D1201,WGI!$C$2:$O$478,2,FALSE)</f>
        <v>-0.67521859645444104</v>
      </c>
    </row>
    <row r="1202" spans="1:80" ht="15" customHeight="1">
      <c r="A1202" s="280" t="s">
        <v>377</v>
      </c>
      <c r="B1202" s="117">
        <v>2011</v>
      </c>
      <c r="C1202" s="117" t="s">
        <v>364</v>
      </c>
      <c r="D1202" s="117" t="s">
        <v>3719</v>
      </c>
      <c r="E1202" s="117" t="s">
        <v>244</v>
      </c>
      <c r="F1202" s="117"/>
      <c r="G1202" s="117" t="s">
        <v>24</v>
      </c>
      <c r="H1202" s="117" t="str">
        <f t="shared" si="207"/>
        <v>yes</v>
      </c>
      <c r="I1202" s="117" t="str">
        <f t="shared" si="209"/>
        <v>no</v>
      </c>
      <c r="J1202" s="117" t="str">
        <f t="shared" si="210"/>
        <v>no</v>
      </c>
      <c r="K1202" s="117" t="s">
        <v>1758</v>
      </c>
      <c r="L1202" s="117" t="str">
        <f t="shared" si="208"/>
        <v>detailed</v>
      </c>
      <c r="M1202" s="117" t="str">
        <f t="shared" si="211"/>
        <v>detailed Mining</v>
      </c>
      <c r="N1202" s="118">
        <f>775100*0.90718474</f>
        <v>703158.89197400003</v>
      </c>
      <c r="O1202" s="118"/>
      <c r="P1202" s="118">
        <f>775100*0.90718474</f>
        <v>703158.89197400003</v>
      </c>
      <c r="Q1202" s="118"/>
      <c r="R1202" s="118"/>
      <c r="S1202" s="117" t="s">
        <v>610</v>
      </c>
      <c r="T1202" s="119">
        <v>234.84</v>
      </c>
      <c r="U1202" s="117" t="s">
        <v>611</v>
      </c>
      <c r="V1202" s="117" t="s">
        <v>1838</v>
      </c>
      <c r="W1202" s="89">
        <f>N1202*T1202</f>
        <v>165129834.19117418</v>
      </c>
      <c r="X1202" s="89"/>
      <c r="Y1202" s="602"/>
      <c r="Z1202" s="602"/>
      <c r="AA1202" s="89">
        <v>10587263.322583733</v>
      </c>
      <c r="AB1202" s="89"/>
      <c r="AC1202" s="240"/>
      <c r="AD1202" s="240"/>
      <c r="AE1202" s="240"/>
      <c r="AF1202" s="241">
        <f>AA1202/W1202</f>
        <v>6.41147820104188E-2</v>
      </c>
      <c r="AG1202" s="89"/>
      <c r="AH1202" s="124"/>
      <c r="AI1202" s="119"/>
      <c r="AJ1202" s="117"/>
      <c r="AK1202" s="117"/>
      <c r="AL1202" s="117"/>
      <c r="AM1202" s="117"/>
      <c r="AN1202" s="117"/>
      <c r="AO1202" s="117"/>
      <c r="AP1202" s="117"/>
      <c r="AQ1202" s="117"/>
      <c r="AR1202" s="126"/>
      <c r="AS1202" s="117"/>
      <c r="AT1202" s="117"/>
      <c r="AU1202" s="215" t="s">
        <v>1843</v>
      </c>
      <c r="AV1202" s="128"/>
      <c r="AW1202" s="117">
        <f>VLOOKUP($D1202,'WB Data'!$C$3:$M$578,2,FALSE)</f>
        <v>8761426370.5587749</v>
      </c>
      <c r="AX1202" s="117">
        <f>VLOOKUP($D1202,'WB Data'!$C$3:$M$578,3,FALSE)</f>
        <v>2754209</v>
      </c>
      <c r="AY1202" s="847">
        <f t="shared" si="201"/>
        <v>0.19594943110735841</v>
      </c>
      <c r="AZ1202" s="117">
        <f>VLOOKUP($D1202,'WB Data'!$C$3:$M$578,4,FALSE)/100</f>
        <v>0.33972503336239335</v>
      </c>
      <c r="BA1202" s="117">
        <f t="shared" si="202"/>
        <v>2976475866.0402327</v>
      </c>
      <c r="BB1202" s="129">
        <f>IFERROR(VLOOKUP($D1202,'EITI Revenues'!$C$2:$G$224,5,FALSE),"..")</f>
        <v>1716796513</v>
      </c>
      <c r="BC1202" s="846">
        <f t="shared" si="203"/>
        <v>0.57678831956529431</v>
      </c>
      <c r="BD1202" s="129" t="str">
        <f>VLOOKUP($D1202,'WB Data 2'!$C$2:$K$545,6,FALSE)</f>
        <v>..</v>
      </c>
      <c r="BE1202" s="129">
        <f>IFERROR(VLOOKUP($D1202,UNCTAD!$C$5:$V$529,4,FALSE),"..")</f>
        <v>5439157000</v>
      </c>
      <c r="BF1202" s="846" t="str">
        <f t="shared" si="204"/>
        <v>..</v>
      </c>
      <c r="BG1202" s="117">
        <f>VLOOKUP($D1202,'WB Data'!$C$3:$M$578,5,FALSE)</f>
        <v>350600000</v>
      </c>
      <c r="BH1202" s="129">
        <f>IFERROR($BB1202/$BG1202,"..")</f>
        <v>4.8967384854535085</v>
      </c>
      <c r="BI1202" s="117">
        <f>IFERROR(VLOOKUP($D1202,'WB Data'!$C$3:$M$578,7,FALSE)/100,"..")</f>
        <v>5.4761699999999996E-2</v>
      </c>
      <c r="BJ1202" s="117">
        <f>IFERROR($BI1202*$AW1202,"..")</f>
        <v>479790602.47662842</v>
      </c>
      <c r="BK1202" s="846">
        <f>IFERROR($BB1202/$BJ1202,"..")</f>
        <v>3.5782203822627574</v>
      </c>
      <c r="BL1202" s="117">
        <f>IFERROR(VLOOKUP($D1202,'WB Data'!$C$3:$M$578,7,FALSE)/100,"..")</f>
        <v>5.4761699999999996E-2</v>
      </c>
      <c r="BM1202" s="117">
        <f>IFERROR($AW1202*$BL1202,"..")</f>
        <v>479790602.47662842</v>
      </c>
      <c r="BN1202" s="846">
        <f>IFERROR($BB1202/$BM1202,"..")</f>
        <v>3.5782203822627574</v>
      </c>
      <c r="BO1202" s="801">
        <f t="shared" si="200"/>
        <v>39</v>
      </c>
      <c r="BP1202" s="117">
        <f>VLOOKUP($D1202,'WB Data'!$C$3:$M$578,9,FALSE)</f>
        <v>33.700000000000003</v>
      </c>
      <c r="BQ1202" s="117">
        <f>VLOOKUP($D1202,'WB Data'!$C$3:$M$578,10,FALSE)</f>
        <v>67.124707317073174</v>
      </c>
      <c r="BR1202" s="117">
        <f>VLOOKUP($D1202,'WB Data'!$C$3:$M$578,11,FALSE)</f>
        <v>28.2</v>
      </c>
      <c r="BS1202" s="129">
        <f>IFERROR(VLOOKUP($D1202,'WB Data 2'!$C$2:$K$545,9,FALSE),"..")</f>
        <v>99.173749999999998</v>
      </c>
      <c r="BT1202" s="129">
        <f>_xlfn.IFNA(VLOOKUP($C1202,RGI!$A$2:$C$43,2,FALSE),"..")</f>
        <v>38.200000000000003</v>
      </c>
      <c r="BU1202" s="129">
        <f>_xlfn.IFNA(VLOOKUP($C1202,RGI!$A$2:$C$43,3,FALSE),"..")</f>
        <v>50.952530108834466</v>
      </c>
      <c r="BV1202" s="129">
        <f>VLOOKUP($D1202,WGI!$C$2:$O$478,7,FALSE)</f>
        <v>-4.6979206513607097E-3</v>
      </c>
      <c r="BW1202" s="129">
        <f>VLOOKUP($D1202,WGI!$C$2:$O$478,4,FALSE)</f>
        <v>0.60017512899051295</v>
      </c>
      <c r="BX1202" s="129">
        <f>VLOOKUP($D1202,WGI!$C$2:$O$478,3,FALSE)</f>
        <v>-0.57850233098383497</v>
      </c>
      <c r="BY1202" s="129">
        <f>VLOOKUP($D1202,WGI!$C$2:$O$478,5,FALSE)</f>
        <v>-0.20473166608686499</v>
      </c>
      <c r="BZ1202" s="129">
        <f>VLOOKUP($D1202,WGI!$C$2:$O$478,2,FALSE)</f>
        <v>-0.67521859645444104</v>
      </c>
    </row>
    <row r="1203" spans="1:80" ht="15" customHeight="1">
      <c r="A1203" s="280" t="s">
        <v>377</v>
      </c>
      <c r="B1203" s="117">
        <v>2011</v>
      </c>
      <c r="C1203" s="117" t="s">
        <v>364</v>
      </c>
      <c r="D1203" s="117" t="s">
        <v>3719</v>
      </c>
      <c r="E1203" s="117" t="s">
        <v>244</v>
      </c>
      <c r="F1203" s="117"/>
      <c r="G1203" s="117" t="s">
        <v>24</v>
      </c>
      <c r="H1203" s="117" t="str">
        <f t="shared" si="207"/>
        <v>yes</v>
      </c>
      <c r="I1203" s="117" t="str">
        <f t="shared" si="209"/>
        <v>no</v>
      </c>
      <c r="J1203" s="117" t="str">
        <f t="shared" si="210"/>
        <v>no</v>
      </c>
      <c r="K1203" s="117" t="s">
        <v>784</v>
      </c>
      <c r="L1203" s="117" t="str">
        <f t="shared" si="208"/>
        <v>detailed</v>
      </c>
      <c r="M1203" s="117" t="str">
        <f t="shared" si="211"/>
        <v>detailed Mining</v>
      </c>
      <c r="N1203" s="118">
        <f>5702.6*32.150743126506</f>
        <v>183342.82775321312</v>
      </c>
      <c r="O1203" s="118"/>
      <c r="P1203" s="118">
        <f>5702.6*32.150743126506</f>
        <v>183342.82775321312</v>
      </c>
      <c r="Q1203" s="118"/>
      <c r="R1203" s="118"/>
      <c r="S1203" s="117" t="s">
        <v>785</v>
      </c>
      <c r="T1203" s="119">
        <f>37682333.33/32150.7466</f>
        <v>1172.0515793558586</v>
      </c>
      <c r="U1203" s="117" t="s">
        <v>786</v>
      </c>
      <c r="V1203" s="117" t="s">
        <v>1838</v>
      </c>
      <c r="W1203" s="89">
        <f>N1203*T1203</f>
        <v>214887250.83172259</v>
      </c>
      <c r="X1203" s="89"/>
      <c r="Y1203" s="602"/>
      <c r="Z1203" s="602"/>
      <c r="AA1203" s="89">
        <v>45860739.487212233</v>
      </c>
      <c r="AB1203" s="89"/>
      <c r="AC1203" s="240"/>
      <c r="AD1203" s="240"/>
      <c r="AE1203" s="240"/>
      <c r="AF1203" s="241">
        <f>AA1203/W1203</f>
        <v>0.21341768443547918</v>
      </c>
      <c r="AG1203" s="89"/>
      <c r="AH1203" s="124"/>
      <c r="AI1203" s="119"/>
      <c r="AJ1203" s="117"/>
      <c r="AK1203" s="117"/>
      <c r="AL1203" s="117"/>
      <c r="AM1203" s="117"/>
      <c r="AN1203" s="117"/>
      <c r="AO1203" s="117"/>
      <c r="AP1203" s="117"/>
      <c r="AQ1203" s="117"/>
      <c r="AR1203" s="126"/>
      <c r="AS1203" s="117"/>
      <c r="AT1203" s="117"/>
      <c r="AU1203" s="215" t="s">
        <v>1843</v>
      </c>
      <c r="AV1203" s="128"/>
      <c r="AW1203" s="117">
        <f>VLOOKUP($D1203,'WB Data'!$C$3:$M$578,2,FALSE)</f>
        <v>8761426370.5587749</v>
      </c>
      <c r="AX1203" s="117">
        <f>VLOOKUP($D1203,'WB Data'!$C$3:$M$578,3,FALSE)</f>
        <v>2754209</v>
      </c>
      <c r="AY1203" s="847">
        <f t="shared" si="201"/>
        <v>0.19594943110735841</v>
      </c>
      <c r="AZ1203" s="117">
        <f>VLOOKUP($D1203,'WB Data'!$C$3:$M$578,4,FALSE)/100</f>
        <v>0.33972503336239335</v>
      </c>
      <c r="BA1203" s="117">
        <f t="shared" si="202"/>
        <v>2976475866.0402327</v>
      </c>
      <c r="BB1203" s="129">
        <f>IFERROR(VLOOKUP($D1203,'EITI Revenues'!$C$2:$G$224,5,FALSE),"..")</f>
        <v>1716796513</v>
      </c>
      <c r="BC1203" s="846">
        <f t="shared" si="203"/>
        <v>0.57678831956529431</v>
      </c>
      <c r="BD1203" s="129" t="str">
        <f>VLOOKUP($D1203,'WB Data 2'!$C$2:$K$545,6,FALSE)</f>
        <v>..</v>
      </c>
      <c r="BE1203" s="129">
        <f>IFERROR(VLOOKUP($D1203,UNCTAD!$C$5:$V$529,4,FALSE),"..")</f>
        <v>5439157000</v>
      </c>
      <c r="BF1203" s="846" t="str">
        <f t="shared" si="204"/>
        <v>..</v>
      </c>
      <c r="BG1203" s="117">
        <f>VLOOKUP($D1203,'WB Data'!$C$3:$M$578,5,FALSE)</f>
        <v>350600000</v>
      </c>
      <c r="BH1203" s="129">
        <f>IFERROR($BB1203/$BG1203,"..")</f>
        <v>4.8967384854535085</v>
      </c>
      <c r="BI1203" s="117">
        <f>IFERROR(VLOOKUP($D1203,'WB Data'!$C$3:$M$578,7,FALSE)/100,"..")</f>
        <v>5.4761699999999996E-2</v>
      </c>
      <c r="BJ1203" s="117">
        <f>IFERROR($BI1203*$AW1203,"..")</f>
        <v>479790602.47662842</v>
      </c>
      <c r="BK1203" s="846">
        <f>IFERROR($BB1203/$BJ1203,"..")</f>
        <v>3.5782203822627574</v>
      </c>
      <c r="BL1203" s="117">
        <f>IFERROR(VLOOKUP($D1203,'WB Data'!$C$3:$M$578,7,FALSE)/100,"..")</f>
        <v>5.4761699999999996E-2</v>
      </c>
      <c r="BM1203" s="117">
        <f>IFERROR($AW1203*$BL1203,"..")</f>
        <v>479790602.47662842</v>
      </c>
      <c r="BN1203" s="846">
        <f>IFERROR($BB1203/$BM1203,"..")</f>
        <v>3.5782203822627574</v>
      </c>
      <c r="BO1203" s="801">
        <f t="shared" si="200"/>
        <v>39</v>
      </c>
      <c r="BP1203" s="117">
        <f>VLOOKUP($D1203,'WB Data'!$C$3:$M$578,9,FALSE)</f>
        <v>33.700000000000003</v>
      </c>
      <c r="BQ1203" s="117">
        <f>VLOOKUP($D1203,'WB Data'!$C$3:$M$578,10,FALSE)</f>
        <v>67.124707317073174</v>
      </c>
      <c r="BR1203" s="117">
        <f>VLOOKUP($D1203,'WB Data'!$C$3:$M$578,11,FALSE)</f>
        <v>28.2</v>
      </c>
      <c r="BS1203" s="129">
        <f>IFERROR(VLOOKUP($D1203,'WB Data 2'!$C$2:$K$545,9,FALSE),"..")</f>
        <v>99.173749999999998</v>
      </c>
      <c r="BT1203" s="129">
        <f>_xlfn.IFNA(VLOOKUP($C1203,RGI!$A$2:$C$43,2,FALSE),"..")</f>
        <v>38.200000000000003</v>
      </c>
      <c r="BU1203" s="129">
        <f>_xlfn.IFNA(VLOOKUP($C1203,RGI!$A$2:$C$43,3,FALSE),"..")</f>
        <v>50.952530108834466</v>
      </c>
      <c r="BV1203" s="129">
        <f>VLOOKUP($D1203,WGI!$C$2:$O$478,7,FALSE)</f>
        <v>-4.6979206513607097E-3</v>
      </c>
      <c r="BW1203" s="129">
        <f>VLOOKUP($D1203,WGI!$C$2:$O$478,4,FALSE)</f>
        <v>0.60017512899051295</v>
      </c>
      <c r="BX1203" s="129">
        <f>VLOOKUP($D1203,WGI!$C$2:$O$478,3,FALSE)</f>
        <v>-0.57850233098383497</v>
      </c>
      <c r="BY1203" s="129">
        <f>VLOOKUP($D1203,WGI!$C$2:$O$478,5,FALSE)</f>
        <v>-0.20473166608686499</v>
      </c>
      <c r="BZ1203" s="129">
        <f>VLOOKUP($D1203,WGI!$C$2:$O$478,2,FALSE)</f>
        <v>-0.67521859645444104</v>
      </c>
    </row>
    <row r="1204" spans="1:80" ht="15" customHeight="1">
      <c r="A1204" s="280" t="s">
        <v>377</v>
      </c>
      <c r="B1204" s="117">
        <v>2011</v>
      </c>
      <c r="C1204" s="117" t="s">
        <v>364</v>
      </c>
      <c r="D1204" s="117" t="s">
        <v>3719</v>
      </c>
      <c r="E1204" s="117" t="s">
        <v>244</v>
      </c>
      <c r="F1204" s="117"/>
      <c r="G1204" s="117" t="s">
        <v>24</v>
      </c>
      <c r="H1204" s="117" t="str">
        <f t="shared" si="207"/>
        <v>yes</v>
      </c>
      <c r="I1204" s="117" t="str">
        <f t="shared" si="209"/>
        <v>no</v>
      </c>
      <c r="J1204" s="117" t="str">
        <f t="shared" si="210"/>
        <v>no</v>
      </c>
      <c r="K1204" s="117" t="s">
        <v>1291</v>
      </c>
      <c r="L1204" s="117" t="str">
        <f t="shared" si="208"/>
        <v>detailed</v>
      </c>
      <c r="M1204" s="117" t="str">
        <f t="shared" si="211"/>
        <v>detailed Mining</v>
      </c>
      <c r="N1204" s="118">
        <f>5678300*0.90718474</f>
        <v>5151267.1091419999</v>
      </c>
      <c r="O1204" s="118"/>
      <c r="P1204" s="118">
        <f>5678300*0.90718474</f>
        <v>5151267.1091419999</v>
      </c>
      <c r="Q1204" s="118"/>
      <c r="R1204" s="118"/>
      <c r="S1204" s="117" t="s">
        <v>610</v>
      </c>
      <c r="T1204" s="119">
        <v>76.02</v>
      </c>
      <c r="U1204" s="117" t="s">
        <v>611</v>
      </c>
      <c r="V1204" s="117" t="s">
        <v>1838</v>
      </c>
      <c r="W1204" s="89">
        <f>N1204*T1204</f>
        <v>391599325.63697481</v>
      </c>
      <c r="X1204" s="89"/>
      <c r="Y1204" s="602"/>
      <c r="Z1204" s="602"/>
      <c r="AA1204" s="89">
        <v>53682828.3150803</v>
      </c>
      <c r="AB1204" s="89"/>
      <c r="AC1204" s="240"/>
      <c r="AD1204" s="240"/>
      <c r="AE1204" s="240"/>
      <c r="AF1204" s="241">
        <f>AA1204/W1204</f>
        <v>0.13708611021676276</v>
      </c>
      <c r="AG1204" s="89"/>
      <c r="AH1204" s="124"/>
      <c r="AI1204" s="117"/>
      <c r="AJ1204" s="117"/>
      <c r="AK1204" s="117"/>
      <c r="AL1204" s="117"/>
      <c r="AM1204" s="117"/>
      <c r="AN1204" s="117"/>
      <c r="AO1204" s="117"/>
      <c r="AP1204" s="117"/>
      <c r="AQ1204" s="117"/>
      <c r="AR1204" s="126"/>
      <c r="AS1204" s="117"/>
      <c r="AT1204" s="117"/>
      <c r="AU1204" s="215" t="s">
        <v>1843</v>
      </c>
      <c r="AV1204" s="128"/>
      <c r="AW1204" s="117">
        <f>VLOOKUP($D1204,'WB Data'!$C$3:$M$578,2,FALSE)</f>
        <v>8761426370.5587749</v>
      </c>
      <c r="AX1204" s="117">
        <f>VLOOKUP($D1204,'WB Data'!$C$3:$M$578,3,FALSE)</f>
        <v>2754209</v>
      </c>
      <c r="AY1204" s="847">
        <f t="shared" si="201"/>
        <v>0.19594943110735841</v>
      </c>
      <c r="AZ1204" s="117">
        <f>VLOOKUP($D1204,'WB Data'!$C$3:$M$578,4,FALSE)/100</f>
        <v>0.33972503336239335</v>
      </c>
      <c r="BA1204" s="117">
        <f t="shared" si="202"/>
        <v>2976475866.0402327</v>
      </c>
      <c r="BB1204" s="129">
        <f>IFERROR(VLOOKUP($D1204,'EITI Revenues'!$C$2:$G$224,5,FALSE),"..")</f>
        <v>1716796513</v>
      </c>
      <c r="BC1204" s="846">
        <f t="shared" si="203"/>
        <v>0.57678831956529431</v>
      </c>
      <c r="BD1204" s="129" t="str">
        <f>VLOOKUP($D1204,'WB Data 2'!$C$2:$K$545,6,FALSE)</f>
        <v>..</v>
      </c>
      <c r="BE1204" s="129">
        <f>IFERROR(VLOOKUP($D1204,UNCTAD!$C$5:$V$529,4,FALSE),"..")</f>
        <v>5439157000</v>
      </c>
      <c r="BF1204" s="846" t="str">
        <f t="shared" si="204"/>
        <v>..</v>
      </c>
      <c r="BG1204" s="117">
        <f>VLOOKUP($D1204,'WB Data'!$C$3:$M$578,5,FALSE)</f>
        <v>350600000</v>
      </c>
      <c r="BH1204" s="129">
        <f>IFERROR($BB1204/$BG1204,"..")</f>
        <v>4.8967384854535085</v>
      </c>
      <c r="BI1204" s="117">
        <f>IFERROR(VLOOKUP($D1204,'WB Data'!$C$3:$M$578,7,FALSE)/100,"..")</f>
        <v>5.4761699999999996E-2</v>
      </c>
      <c r="BJ1204" s="117">
        <f>IFERROR($BI1204*$AW1204,"..")</f>
        <v>479790602.47662842</v>
      </c>
      <c r="BK1204" s="846">
        <f>IFERROR($BB1204/$BJ1204,"..")</f>
        <v>3.5782203822627574</v>
      </c>
      <c r="BL1204" s="117">
        <f>IFERROR(VLOOKUP($D1204,'WB Data'!$C$3:$M$578,7,FALSE)/100,"..")</f>
        <v>5.4761699999999996E-2</v>
      </c>
      <c r="BM1204" s="117">
        <f>IFERROR($AW1204*$BL1204,"..")</f>
        <v>479790602.47662842</v>
      </c>
      <c r="BN1204" s="846">
        <f>IFERROR($BB1204/$BM1204,"..")</f>
        <v>3.5782203822627574</v>
      </c>
      <c r="BO1204" s="801">
        <f t="shared" si="200"/>
        <v>39</v>
      </c>
      <c r="BP1204" s="117">
        <f>VLOOKUP($D1204,'WB Data'!$C$3:$M$578,9,FALSE)</f>
        <v>33.700000000000003</v>
      </c>
      <c r="BQ1204" s="117">
        <f>VLOOKUP($D1204,'WB Data'!$C$3:$M$578,10,FALSE)</f>
        <v>67.124707317073174</v>
      </c>
      <c r="BR1204" s="117">
        <f>VLOOKUP($D1204,'WB Data'!$C$3:$M$578,11,FALSE)</f>
        <v>28.2</v>
      </c>
      <c r="BS1204" s="129">
        <f>IFERROR(VLOOKUP($D1204,'WB Data 2'!$C$2:$K$545,9,FALSE),"..")</f>
        <v>99.173749999999998</v>
      </c>
      <c r="BT1204" s="129">
        <f>_xlfn.IFNA(VLOOKUP($C1204,RGI!$A$2:$C$43,2,FALSE),"..")</f>
        <v>38.200000000000003</v>
      </c>
      <c r="BU1204" s="129">
        <f>_xlfn.IFNA(VLOOKUP($C1204,RGI!$A$2:$C$43,3,FALSE),"..")</f>
        <v>50.952530108834466</v>
      </c>
      <c r="BV1204" s="129">
        <f>VLOOKUP($D1204,WGI!$C$2:$O$478,7,FALSE)</f>
        <v>-4.6979206513607097E-3</v>
      </c>
      <c r="BW1204" s="129">
        <f>VLOOKUP($D1204,WGI!$C$2:$O$478,4,FALSE)</f>
        <v>0.60017512899051295</v>
      </c>
      <c r="BX1204" s="129">
        <f>VLOOKUP($D1204,WGI!$C$2:$O$478,3,FALSE)</f>
        <v>-0.57850233098383497</v>
      </c>
      <c r="BY1204" s="129">
        <f>VLOOKUP($D1204,WGI!$C$2:$O$478,5,FALSE)</f>
        <v>-0.20473166608686499</v>
      </c>
      <c r="BZ1204" s="129">
        <f>VLOOKUP($D1204,WGI!$C$2:$O$478,2,FALSE)</f>
        <v>-0.67521859645444104</v>
      </c>
    </row>
    <row r="1205" spans="1:80" ht="15" customHeight="1">
      <c r="A1205" s="280" t="s">
        <v>377</v>
      </c>
      <c r="B1205" s="117">
        <v>2011</v>
      </c>
      <c r="C1205" s="117" t="s">
        <v>364</v>
      </c>
      <c r="D1205" s="117" t="s">
        <v>3719</v>
      </c>
      <c r="E1205" s="117" t="s">
        <v>244</v>
      </c>
      <c r="F1205" s="117"/>
      <c r="G1205" s="117" t="s">
        <v>24</v>
      </c>
      <c r="H1205" s="117" t="str">
        <f t="shared" si="207"/>
        <v>yes</v>
      </c>
      <c r="I1205" s="117" t="str">
        <f t="shared" si="209"/>
        <v>no</v>
      </c>
      <c r="J1205" s="117" t="str">
        <f t="shared" si="210"/>
        <v>no</v>
      </c>
      <c r="K1205" s="117" t="s">
        <v>1473</v>
      </c>
      <c r="L1205" s="117" t="str">
        <f t="shared" si="208"/>
        <v>detailed</v>
      </c>
      <c r="M1205" s="117" t="str">
        <f t="shared" si="211"/>
        <v>detailed Mining</v>
      </c>
      <c r="N1205" s="118"/>
      <c r="O1205" s="118"/>
      <c r="P1205" s="118"/>
      <c r="Q1205" s="118"/>
      <c r="R1205" s="118"/>
      <c r="S1205" s="117"/>
      <c r="T1205" s="119"/>
      <c r="U1205" s="117"/>
      <c r="V1205" s="117"/>
      <c r="W1205" s="89"/>
      <c r="X1205" s="120"/>
      <c r="Y1205" s="602"/>
      <c r="Z1205" s="602"/>
      <c r="AA1205" s="89">
        <v>10037616.14355503</v>
      </c>
      <c r="AB1205" s="89"/>
      <c r="AC1205" s="240"/>
      <c r="AD1205" s="240"/>
      <c r="AE1205" s="240"/>
      <c r="AF1205" s="241"/>
      <c r="AG1205" s="89"/>
      <c r="AH1205" s="124"/>
      <c r="AI1205" s="117"/>
      <c r="AJ1205" s="117"/>
      <c r="AK1205" s="117"/>
      <c r="AL1205" s="117"/>
      <c r="AM1205" s="117"/>
      <c r="AN1205" s="117"/>
      <c r="AO1205" s="117"/>
      <c r="AP1205" s="117"/>
      <c r="AQ1205" s="117"/>
      <c r="AR1205" s="126"/>
      <c r="AS1205" s="117"/>
      <c r="AT1205" s="117"/>
      <c r="AU1205" s="215"/>
      <c r="AV1205" s="128" t="s">
        <v>1807</v>
      </c>
      <c r="AW1205" s="117">
        <f>VLOOKUP($D1205,'WB Data'!$C$3:$M$578,2,FALSE)</f>
        <v>8761426370.5587749</v>
      </c>
      <c r="AX1205" s="117">
        <f>VLOOKUP($D1205,'WB Data'!$C$3:$M$578,3,FALSE)</f>
        <v>2754209</v>
      </c>
      <c r="AY1205" s="847">
        <f t="shared" si="201"/>
        <v>0.19594943110735841</v>
      </c>
      <c r="AZ1205" s="117">
        <f>VLOOKUP($D1205,'WB Data'!$C$3:$M$578,4,FALSE)/100</f>
        <v>0.33972503336239335</v>
      </c>
      <c r="BA1205" s="117">
        <f t="shared" si="202"/>
        <v>2976475866.0402327</v>
      </c>
      <c r="BB1205" s="129">
        <f>IFERROR(VLOOKUP($D1205,'EITI Revenues'!$C$2:$G$224,5,FALSE),"..")</f>
        <v>1716796513</v>
      </c>
      <c r="BC1205" s="846">
        <f t="shared" si="203"/>
        <v>0.57678831956529431</v>
      </c>
      <c r="BD1205" s="129" t="str">
        <f>VLOOKUP($D1205,'WB Data 2'!$C$2:$K$545,6,FALSE)</f>
        <v>..</v>
      </c>
      <c r="BE1205" s="129">
        <f>IFERROR(VLOOKUP($D1205,UNCTAD!$C$5:$V$529,4,FALSE),"..")</f>
        <v>5439157000</v>
      </c>
      <c r="BF1205" s="846" t="str">
        <f t="shared" si="204"/>
        <v>..</v>
      </c>
      <c r="BG1205" s="117">
        <f>VLOOKUP($D1205,'WB Data'!$C$3:$M$578,5,FALSE)</f>
        <v>350600000</v>
      </c>
      <c r="BH1205" s="129">
        <f>IFERROR($BB1205/$BG1205,"..")</f>
        <v>4.8967384854535085</v>
      </c>
      <c r="BI1205" s="117">
        <f>IFERROR(VLOOKUP($D1205,'WB Data'!$C$3:$M$578,7,FALSE)/100,"..")</f>
        <v>5.4761699999999996E-2</v>
      </c>
      <c r="BJ1205" s="117">
        <f>IFERROR($BI1205*$AW1205,"..")</f>
        <v>479790602.47662842</v>
      </c>
      <c r="BK1205" s="846">
        <f>IFERROR($BB1205/$BJ1205,"..")</f>
        <v>3.5782203822627574</v>
      </c>
      <c r="BL1205" s="117">
        <f>IFERROR(VLOOKUP($D1205,'WB Data'!$C$3:$M$578,7,FALSE)/100,"..")</f>
        <v>5.4761699999999996E-2</v>
      </c>
      <c r="BM1205" s="117">
        <f>IFERROR($AW1205*$BL1205,"..")</f>
        <v>479790602.47662842</v>
      </c>
      <c r="BN1205" s="846">
        <f>IFERROR($BB1205/$BM1205,"..")</f>
        <v>3.5782203822627574</v>
      </c>
      <c r="BO1205" s="801">
        <f t="shared" si="200"/>
        <v>39</v>
      </c>
      <c r="BP1205" s="117">
        <f>VLOOKUP($D1205,'WB Data'!$C$3:$M$578,9,FALSE)</f>
        <v>33.700000000000003</v>
      </c>
      <c r="BQ1205" s="117">
        <f>VLOOKUP($D1205,'WB Data'!$C$3:$M$578,10,FALSE)</f>
        <v>67.124707317073174</v>
      </c>
      <c r="BR1205" s="117">
        <f>VLOOKUP($D1205,'WB Data'!$C$3:$M$578,11,FALSE)</f>
        <v>28.2</v>
      </c>
      <c r="BS1205" s="129">
        <f>IFERROR(VLOOKUP($D1205,'WB Data 2'!$C$2:$K$545,9,FALSE),"..")</f>
        <v>99.173749999999998</v>
      </c>
      <c r="BT1205" s="129">
        <f>_xlfn.IFNA(VLOOKUP($C1205,RGI!$A$2:$C$43,2,FALSE),"..")</f>
        <v>38.200000000000003</v>
      </c>
      <c r="BU1205" s="129">
        <f>_xlfn.IFNA(VLOOKUP($C1205,RGI!$A$2:$C$43,3,FALSE),"..")</f>
        <v>50.952530108834466</v>
      </c>
      <c r="BV1205" s="129">
        <f>VLOOKUP($D1205,WGI!$C$2:$O$478,7,FALSE)</f>
        <v>-4.6979206513607097E-3</v>
      </c>
      <c r="BW1205" s="129">
        <f>VLOOKUP($D1205,WGI!$C$2:$O$478,4,FALSE)</f>
        <v>0.60017512899051295</v>
      </c>
      <c r="BX1205" s="129">
        <f>VLOOKUP($D1205,WGI!$C$2:$O$478,3,FALSE)</f>
        <v>-0.57850233098383497</v>
      </c>
      <c r="BY1205" s="129">
        <f>VLOOKUP($D1205,WGI!$C$2:$O$478,5,FALSE)</f>
        <v>-0.20473166608686499</v>
      </c>
      <c r="BZ1205" s="129">
        <f>VLOOKUP($D1205,WGI!$C$2:$O$478,2,FALSE)</f>
        <v>-0.67521859645444104</v>
      </c>
    </row>
    <row r="1206" spans="1:80" ht="15" customHeight="1">
      <c r="A1206" s="280" t="s">
        <v>377</v>
      </c>
      <c r="B1206" s="117">
        <v>2011</v>
      </c>
      <c r="C1206" s="117" t="s">
        <v>364</v>
      </c>
      <c r="D1206" s="117" t="s">
        <v>3719</v>
      </c>
      <c r="E1206" s="117" t="s">
        <v>244</v>
      </c>
      <c r="F1206" s="117"/>
      <c r="G1206" s="117" t="s">
        <v>24</v>
      </c>
      <c r="H1206" s="117" t="str">
        <f t="shared" si="207"/>
        <v>yes</v>
      </c>
      <c r="I1206" s="117" t="str">
        <f t="shared" si="209"/>
        <v>no</v>
      </c>
      <c r="J1206" s="117" t="str">
        <f t="shared" si="210"/>
        <v>no</v>
      </c>
      <c r="K1206" s="117" t="s">
        <v>1493</v>
      </c>
      <c r="L1206" s="117" t="str">
        <f t="shared" si="208"/>
        <v>detailed</v>
      </c>
      <c r="M1206" s="117" t="str">
        <f t="shared" si="211"/>
        <v>detailed Mining</v>
      </c>
      <c r="N1206" s="118">
        <f>4163*0.90718474</f>
        <v>3776.6100726200002</v>
      </c>
      <c r="O1206" s="118"/>
      <c r="P1206" s="118">
        <f>4163*0.90718474</f>
        <v>3776.6100726200002</v>
      </c>
      <c r="Q1206" s="118"/>
      <c r="R1206" s="118"/>
      <c r="S1206" s="117" t="s">
        <v>610</v>
      </c>
      <c r="T1206" s="119">
        <v>11598.5</v>
      </c>
      <c r="U1206" s="117" t="s">
        <v>611</v>
      </c>
      <c r="V1206" s="117" t="s">
        <v>1838</v>
      </c>
      <c r="W1206" s="89">
        <f>N1206*T1206</f>
        <v>43803011.927283071</v>
      </c>
      <c r="X1206" s="89"/>
      <c r="Y1206" s="602"/>
      <c r="Z1206" s="602"/>
      <c r="AA1206" s="89"/>
      <c r="AB1206" s="89"/>
      <c r="AC1206" s="240"/>
      <c r="AD1206" s="240"/>
      <c r="AE1206" s="240"/>
      <c r="AF1206" s="241"/>
      <c r="AG1206" s="89"/>
      <c r="AH1206" s="124"/>
      <c r="AI1206" s="117"/>
      <c r="AJ1206" s="117"/>
      <c r="AK1206" s="117"/>
      <c r="AL1206" s="117"/>
      <c r="AM1206" s="117"/>
      <c r="AN1206" s="117"/>
      <c r="AO1206" s="117"/>
      <c r="AP1206" s="117"/>
      <c r="AQ1206" s="215"/>
      <c r="AR1206" s="126"/>
      <c r="AS1206" s="117"/>
      <c r="AT1206" s="117"/>
      <c r="AU1206" s="215" t="s">
        <v>1844</v>
      </c>
      <c r="AV1206" s="128"/>
      <c r="AW1206" s="117">
        <f>VLOOKUP($D1206,'WB Data'!$C$3:$M$578,2,FALSE)</f>
        <v>8761426370.5587749</v>
      </c>
      <c r="AX1206" s="117">
        <f>VLOOKUP($D1206,'WB Data'!$C$3:$M$578,3,FALSE)</f>
        <v>2754209</v>
      </c>
      <c r="AY1206" s="847">
        <f t="shared" si="201"/>
        <v>0.19594943110735841</v>
      </c>
      <c r="AZ1206" s="117">
        <f>VLOOKUP($D1206,'WB Data'!$C$3:$M$578,4,FALSE)/100</f>
        <v>0.33972503336239335</v>
      </c>
      <c r="BA1206" s="117">
        <f t="shared" si="202"/>
        <v>2976475866.0402327</v>
      </c>
      <c r="BB1206" s="129">
        <f>IFERROR(VLOOKUP($D1206,'EITI Revenues'!$C$2:$G$224,5,FALSE),"..")</f>
        <v>1716796513</v>
      </c>
      <c r="BC1206" s="846">
        <f t="shared" si="203"/>
        <v>0.57678831956529431</v>
      </c>
      <c r="BD1206" s="129" t="str">
        <f>VLOOKUP($D1206,'WB Data 2'!$C$2:$K$545,6,FALSE)</f>
        <v>..</v>
      </c>
      <c r="BE1206" s="129">
        <f>IFERROR(VLOOKUP($D1206,UNCTAD!$C$5:$V$529,4,FALSE),"..")</f>
        <v>5439157000</v>
      </c>
      <c r="BF1206" s="846" t="str">
        <f t="shared" si="204"/>
        <v>..</v>
      </c>
      <c r="BG1206" s="117">
        <f>VLOOKUP($D1206,'WB Data'!$C$3:$M$578,5,FALSE)</f>
        <v>350600000</v>
      </c>
      <c r="BH1206" s="129">
        <f>IFERROR($BB1206/$BG1206,"..")</f>
        <v>4.8967384854535085</v>
      </c>
      <c r="BI1206" s="117">
        <f>IFERROR(VLOOKUP($D1206,'WB Data'!$C$3:$M$578,7,FALSE)/100,"..")</f>
        <v>5.4761699999999996E-2</v>
      </c>
      <c r="BJ1206" s="117">
        <f>IFERROR($BI1206*$AW1206,"..")</f>
        <v>479790602.47662842</v>
      </c>
      <c r="BK1206" s="846">
        <f>IFERROR($BB1206/$BJ1206,"..")</f>
        <v>3.5782203822627574</v>
      </c>
      <c r="BL1206" s="117">
        <f>IFERROR(VLOOKUP($D1206,'WB Data'!$C$3:$M$578,7,FALSE)/100,"..")</f>
        <v>5.4761699999999996E-2</v>
      </c>
      <c r="BM1206" s="117">
        <f>IFERROR($AW1206*$BL1206,"..")</f>
        <v>479790602.47662842</v>
      </c>
      <c r="BN1206" s="846">
        <f>IFERROR($BB1206/$BM1206,"..")</f>
        <v>3.5782203822627574</v>
      </c>
      <c r="BO1206" s="801">
        <f t="shared" si="200"/>
        <v>39</v>
      </c>
      <c r="BP1206" s="117">
        <f>VLOOKUP($D1206,'WB Data'!$C$3:$M$578,9,FALSE)</f>
        <v>33.700000000000003</v>
      </c>
      <c r="BQ1206" s="117">
        <f>VLOOKUP($D1206,'WB Data'!$C$3:$M$578,10,FALSE)</f>
        <v>67.124707317073174</v>
      </c>
      <c r="BR1206" s="117">
        <f>VLOOKUP($D1206,'WB Data'!$C$3:$M$578,11,FALSE)</f>
        <v>28.2</v>
      </c>
      <c r="BS1206" s="129">
        <f>IFERROR(VLOOKUP($D1206,'WB Data 2'!$C$2:$K$545,9,FALSE),"..")</f>
        <v>99.173749999999998</v>
      </c>
      <c r="BT1206" s="129">
        <f>_xlfn.IFNA(VLOOKUP($C1206,RGI!$A$2:$C$43,2,FALSE),"..")</f>
        <v>38.200000000000003</v>
      </c>
      <c r="BU1206" s="129">
        <f>_xlfn.IFNA(VLOOKUP($C1206,RGI!$A$2:$C$43,3,FALSE),"..")</f>
        <v>50.952530108834466</v>
      </c>
      <c r="BV1206" s="129">
        <f>VLOOKUP($D1206,WGI!$C$2:$O$478,7,FALSE)</f>
        <v>-4.6979206513607097E-3</v>
      </c>
      <c r="BW1206" s="129">
        <f>VLOOKUP($D1206,WGI!$C$2:$O$478,4,FALSE)</f>
        <v>0.60017512899051295</v>
      </c>
      <c r="BX1206" s="129">
        <f>VLOOKUP($D1206,WGI!$C$2:$O$478,3,FALSE)</f>
        <v>-0.57850233098383497</v>
      </c>
      <c r="BY1206" s="129">
        <f>VLOOKUP($D1206,WGI!$C$2:$O$478,5,FALSE)</f>
        <v>-0.20473166608686499</v>
      </c>
      <c r="BZ1206" s="129">
        <f>VLOOKUP($D1206,WGI!$C$2:$O$478,2,FALSE)</f>
        <v>-0.67521859645444104</v>
      </c>
    </row>
    <row r="1207" spans="1:80" ht="15" customHeight="1">
      <c r="A1207" s="280" t="s">
        <v>377</v>
      </c>
      <c r="B1207" s="117">
        <v>2011</v>
      </c>
      <c r="C1207" s="117" t="s">
        <v>364</v>
      </c>
      <c r="D1207" s="117" t="s">
        <v>3719</v>
      </c>
      <c r="E1207" s="117" t="s">
        <v>244</v>
      </c>
      <c r="F1207" s="117"/>
      <c r="G1207" s="117" t="s">
        <v>24</v>
      </c>
      <c r="H1207" s="117" t="str">
        <f t="shared" si="207"/>
        <v>yes</v>
      </c>
      <c r="I1207" s="117" t="str">
        <f t="shared" si="209"/>
        <v>no</v>
      </c>
      <c r="J1207" s="117" t="str">
        <f t="shared" si="210"/>
        <v>no</v>
      </c>
      <c r="K1207" s="117" t="s">
        <v>789</v>
      </c>
      <c r="L1207" s="117" t="str">
        <f t="shared" si="208"/>
        <v>detailed</v>
      </c>
      <c r="M1207" s="117" t="str">
        <f t="shared" si="211"/>
        <v>detailed Mining</v>
      </c>
      <c r="N1207" s="118">
        <f>28254*32.150743126506</f>
        <v>908387.09629630053</v>
      </c>
      <c r="O1207" s="118"/>
      <c r="P1207" s="118"/>
      <c r="Q1207" s="118"/>
      <c r="R1207" s="118"/>
      <c r="S1207" s="117" t="s">
        <v>785</v>
      </c>
      <c r="T1207" s="119">
        <f>35.22411666667/1</f>
        <v>35.22411666667</v>
      </c>
      <c r="U1207" s="117" t="s">
        <v>786</v>
      </c>
      <c r="V1207" s="117" t="s">
        <v>798</v>
      </c>
      <c r="W1207" s="89">
        <f>N1207*T1207</f>
        <v>31997133.058438484</v>
      </c>
      <c r="X1207" s="120"/>
      <c r="Y1207" s="602"/>
      <c r="Z1207" s="602"/>
      <c r="AA1207" s="89"/>
      <c r="AB1207" s="89"/>
      <c r="AC1207" s="240"/>
      <c r="AD1207" s="240"/>
      <c r="AE1207" s="240"/>
      <c r="AF1207" s="241"/>
      <c r="AG1207" s="89"/>
      <c r="AH1207" s="124"/>
      <c r="AI1207" s="117"/>
      <c r="AJ1207" s="117"/>
      <c r="AK1207" s="117"/>
      <c r="AL1207" s="117"/>
      <c r="AM1207" s="117"/>
      <c r="AN1207" s="117"/>
      <c r="AO1207" s="117"/>
      <c r="AP1207" s="117"/>
      <c r="AQ1207" s="117"/>
      <c r="AR1207" s="126"/>
      <c r="AS1207" s="117"/>
      <c r="AT1207" s="117"/>
      <c r="AU1207" s="215"/>
      <c r="AV1207" s="128"/>
      <c r="AW1207" s="117">
        <f>VLOOKUP($D1207,'WB Data'!$C$3:$M$578,2,FALSE)</f>
        <v>8761426370.5587749</v>
      </c>
      <c r="AX1207" s="117">
        <f>VLOOKUP($D1207,'WB Data'!$C$3:$M$578,3,FALSE)</f>
        <v>2754209</v>
      </c>
      <c r="AY1207" s="847">
        <f t="shared" si="201"/>
        <v>0.19594943110735841</v>
      </c>
      <c r="AZ1207" s="117">
        <f>VLOOKUP($D1207,'WB Data'!$C$3:$M$578,4,FALSE)/100</f>
        <v>0.33972503336239335</v>
      </c>
      <c r="BA1207" s="117">
        <f t="shared" si="202"/>
        <v>2976475866.0402327</v>
      </c>
      <c r="BB1207" s="129">
        <f>IFERROR(VLOOKUP($D1207,'EITI Revenues'!$C$2:$G$224,5,FALSE),"..")</f>
        <v>1716796513</v>
      </c>
      <c r="BC1207" s="846">
        <f t="shared" si="203"/>
        <v>0.57678831956529431</v>
      </c>
      <c r="BD1207" s="129" t="str">
        <f>VLOOKUP($D1207,'WB Data 2'!$C$2:$K$545,6,FALSE)</f>
        <v>..</v>
      </c>
      <c r="BE1207" s="129">
        <f>IFERROR(VLOOKUP($D1207,UNCTAD!$C$5:$V$529,4,FALSE),"..")</f>
        <v>5439157000</v>
      </c>
      <c r="BF1207" s="846" t="str">
        <f t="shared" si="204"/>
        <v>..</v>
      </c>
      <c r="BG1207" s="117">
        <f>VLOOKUP($D1207,'WB Data'!$C$3:$M$578,5,FALSE)</f>
        <v>350600000</v>
      </c>
      <c r="BH1207" s="129">
        <f>IFERROR($BB1207/$BG1207,"..")</f>
        <v>4.8967384854535085</v>
      </c>
      <c r="BI1207" s="117">
        <f>IFERROR(VLOOKUP($D1207,'WB Data'!$C$3:$M$578,7,FALSE)/100,"..")</f>
        <v>5.4761699999999996E-2</v>
      </c>
      <c r="BJ1207" s="117">
        <f>IFERROR($BI1207*$AW1207,"..")</f>
        <v>479790602.47662842</v>
      </c>
      <c r="BK1207" s="846">
        <f>IFERROR($BB1207/$BJ1207,"..")</f>
        <v>3.5782203822627574</v>
      </c>
      <c r="BL1207" s="117">
        <f>IFERROR(VLOOKUP($D1207,'WB Data'!$C$3:$M$578,7,FALSE)/100,"..")</f>
        <v>5.4761699999999996E-2</v>
      </c>
      <c r="BM1207" s="117">
        <f>IFERROR($AW1207*$BL1207,"..")</f>
        <v>479790602.47662842</v>
      </c>
      <c r="BN1207" s="846">
        <f>IFERROR($BB1207/$BM1207,"..")</f>
        <v>3.5782203822627574</v>
      </c>
      <c r="BO1207" s="801">
        <f t="shared" si="200"/>
        <v>39</v>
      </c>
      <c r="BP1207" s="117">
        <f>VLOOKUP($D1207,'WB Data'!$C$3:$M$578,9,FALSE)</f>
        <v>33.700000000000003</v>
      </c>
      <c r="BQ1207" s="117">
        <f>VLOOKUP($D1207,'WB Data'!$C$3:$M$578,10,FALSE)</f>
        <v>67.124707317073174</v>
      </c>
      <c r="BR1207" s="117">
        <f>VLOOKUP($D1207,'WB Data'!$C$3:$M$578,11,FALSE)</f>
        <v>28.2</v>
      </c>
      <c r="BS1207" s="129">
        <f>IFERROR(VLOOKUP($D1207,'WB Data 2'!$C$2:$K$545,9,FALSE),"..")</f>
        <v>99.173749999999998</v>
      </c>
      <c r="BT1207" s="129">
        <f>_xlfn.IFNA(VLOOKUP($C1207,RGI!$A$2:$C$43,2,FALSE),"..")</f>
        <v>38.200000000000003</v>
      </c>
      <c r="BU1207" s="129">
        <f>_xlfn.IFNA(VLOOKUP($C1207,RGI!$A$2:$C$43,3,FALSE),"..")</f>
        <v>50.952530108834466</v>
      </c>
      <c r="BV1207" s="129">
        <f>VLOOKUP($D1207,WGI!$C$2:$O$478,7,FALSE)</f>
        <v>-4.6979206513607097E-3</v>
      </c>
      <c r="BW1207" s="129">
        <f>VLOOKUP($D1207,WGI!$C$2:$O$478,4,FALSE)</f>
        <v>0.60017512899051295</v>
      </c>
      <c r="BX1207" s="129">
        <f>VLOOKUP($D1207,WGI!$C$2:$O$478,3,FALSE)</f>
        <v>-0.57850233098383497</v>
      </c>
      <c r="BY1207" s="129">
        <f>VLOOKUP($D1207,WGI!$C$2:$O$478,5,FALSE)</f>
        <v>-0.20473166608686499</v>
      </c>
      <c r="BZ1207" s="129">
        <f>VLOOKUP($D1207,WGI!$C$2:$O$478,2,FALSE)</f>
        <v>-0.67521859645444104</v>
      </c>
    </row>
    <row r="1208" spans="1:80" ht="15" customHeight="1">
      <c r="A1208" s="280" t="s">
        <v>377</v>
      </c>
      <c r="B1208" s="117">
        <v>2011</v>
      </c>
      <c r="C1208" s="117" t="s">
        <v>364</v>
      </c>
      <c r="D1208" s="117" t="s">
        <v>3719</v>
      </c>
      <c r="E1208" s="117" t="s">
        <v>244</v>
      </c>
      <c r="F1208" s="117"/>
      <c r="G1208" s="117" t="s">
        <v>24</v>
      </c>
      <c r="H1208" s="117" t="str">
        <f t="shared" si="207"/>
        <v>yes</v>
      </c>
      <c r="I1208" s="117" t="str">
        <f t="shared" si="209"/>
        <v>no</v>
      </c>
      <c r="J1208" s="117" t="str">
        <f t="shared" si="210"/>
        <v>no</v>
      </c>
      <c r="K1208" s="117" t="s">
        <v>1766</v>
      </c>
      <c r="L1208" s="117" t="str">
        <f t="shared" si="208"/>
        <v>detailed</v>
      </c>
      <c r="M1208" s="117" t="str">
        <f t="shared" si="211"/>
        <v>detailed Mining</v>
      </c>
      <c r="N1208" s="118">
        <v>20</v>
      </c>
      <c r="O1208" s="118"/>
      <c r="P1208" s="118"/>
      <c r="Q1208" s="118"/>
      <c r="R1208" s="118"/>
      <c r="S1208" s="117" t="s">
        <v>610</v>
      </c>
      <c r="T1208" s="119">
        <v>199</v>
      </c>
      <c r="U1208" s="117" t="s">
        <v>611</v>
      </c>
      <c r="V1208" s="117" t="s">
        <v>1810</v>
      </c>
      <c r="W1208" s="89">
        <f>N1208*T1208</f>
        <v>3980</v>
      </c>
      <c r="X1208" s="117"/>
      <c r="Y1208" s="117"/>
      <c r="Z1208" s="117"/>
      <c r="AA1208" s="89"/>
      <c r="AB1208" s="89"/>
      <c r="AC1208" s="240"/>
      <c r="AD1208" s="240"/>
      <c r="AE1208" s="240"/>
      <c r="AF1208" s="241"/>
      <c r="AG1208" s="117"/>
      <c r="AH1208" s="124"/>
      <c r="AI1208" s="117"/>
      <c r="AJ1208" s="117"/>
      <c r="AK1208" s="117"/>
      <c r="AL1208" s="117"/>
      <c r="AM1208" s="117"/>
      <c r="AN1208" s="117"/>
      <c r="AO1208" s="117"/>
      <c r="AP1208" s="117"/>
      <c r="AQ1208" s="215"/>
      <c r="AR1208" s="126"/>
      <c r="AS1208" s="117"/>
      <c r="AT1208" s="117"/>
      <c r="AU1208" s="215" t="s">
        <v>1844</v>
      </c>
      <c r="AV1208" s="128"/>
      <c r="AW1208" s="117">
        <f>VLOOKUP($D1208,'WB Data'!$C$3:$M$578,2,FALSE)</f>
        <v>8761426370.5587749</v>
      </c>
      <c r="AX1208" s="117">
        <f>VLOOKUP($D1208,'WB Data'!$C$3:$M$578,3,FALSE)</f>
        <v>2754209</v>
      </c>
      <c r="AY1208" s="847">
        <f t="shared" si="201"/>
        <v>0.19594943110735841</v>
      </c>
      <c r="AZ1208" s="117">
        <f>VLOOKUP($D1208,'WB Data'!$C$3:$M$578,4,FALSE)/100</f>
        <v>0.33972503336239335</v>
      </c>
      <c r="BA1208" s="117">
        <f t="shared" si="202"/>
        <v>2976475866.0402327</v>
      </c>
      <c r="BB1208" s="129">
        <f>IFERROR(VLOOKUP($D1208,'EITI Revenues'!$C$2:$G$224,5,FALSE),"..")</f>
        <v>1716796513</v>
      </c>
      <c r="BC1208" s="846">
        <f t="shared" si="203"/>
        <v>0.57678831956529431</v>
      </c>
      <c r="BD1208" s="129" t="str">
        <f>VLOOKUP($D1208,'WB Data 2'!$C$2:$K$545,6,FALSE)</f>
        <v>..</v>
      </c>
      <c r="BE1208" s="129">
        <f>IFERROR(VLOOKUP($D1208,UNCTAD!$C$5:$V$529,4,FALSE),"..")</f>
        <v>5439157000</v>
      </c>
      <c r="BF1208" s="846" t="str">
        <f t="shared" si="204"/>
        <v>..</v>
      </c>
      <c r="BG1208" s="117">
        <f>VLOOKUP($D1208,'WB Data'!$C$3:$M$578,5,FALSE)</f>
        <v>350600000</v>
      </c>
      <c r="BH1208" s="129">
        <f>IFERROR($BB1208/$BG1208,"..")</f>
        <v>4.8967384854535085</v>
      </c>
      <c r="BI1208" s="117">
        <f>IFERROR(VLOOKUP($D1208,'WB Data'!$C$3:$M$578,7,FALSE)/100,"..")</f>
        <v>5.4761699999999996E-2</v>
      </c>
      <c r="BJ1208" s="117">
        <f>IFERROR($BI1208*$AW1208,"..")</f>
        <v>479790602.47662842</v>
      </c>
      <c r="BK1208" s="846">
        <f>IFERROR($BB1208/$BJ1208,"..")</f>
        <v>3.5782203822627574</v>
      </c>
      <c r="BL1208" s="117">
        <f>IFERROR(VLOOKUP($D1208,'WB Data'!$C$3:$M$578,7,FALSE)/100,"..")</f>
        <v>5.4761699999999996E-2</v>
      </c>
      <c r="BM1208" s="117">
        <f>IFERROR($AW1208*$BL1208,"..")</f>
        <v>479790602.47662842</v>
      </c>
      <c r="BN1208" s="846">
        <f>IFERROR($BB1208/$BM1208,"..")</f>
        <v>3.5782203822627574</v>
      </c>
      <c r="BO1208" s="801">
        <f t="shared" si="200"/>
        <v>39</v>
      </c>
      <c r="BP1208" s="117">
        <f>VLOOKUP($D1208,'WB Data'!$C$3:$M$578,9,FALSE)</f>
        <v>33.700000000000003</v>
      </c>
      <c r="BQ1208" s="117">
        <f>VLOOKUP($D1208,'WB Data'!$C$3:$M$578,10,FALSE)</f>
        <v>67.124707317073174</v>
      </c>
      <c r="BR1208" s="117">
        <f>VLOOKUP($D1208,'WB Data'!$C$3:$M$578,11,FALSE)</f>
        <v>28.2</v>
      </c>
      <c r="BS1208" s="129">
        <f>IFERROR(VLOOKUP($D1208,'WB Data 2'!$C$2:$K$545,9,FALSE),"..")</f>
        <v>99.173749999999998</v>
      </c>
      <c r="BT1208" s="129">
        <f>_xlfn.IFNA(VLOOKUP($C1208,RGI!$A$2:$C$43,2,FALSE),"..")</f>
        <v>38.200000000000003</v>
      </c>
      <c r="BU1208" s="129">
        <f>_xlfn.IFNA(VLOOKUP($C1208,RGI!$A$2:$C$43,3,FALSE),"..")</f>
        <v>50.952530108834466</v>
      </c>
      <c r="BV1208" s="129">
        <f>VLOOKUP($D1208,WGI!$C$2:$O$478,7,FALSE)</f>
        <v>-4.6979206513607097E-3</v>
      </c>
      <c r="BW1208" s="129">
        <f>VLOOKUP($D1208,WGI!$C$2:$O$478,4,FALSE)</f>
        <v>0.60017512899051295</v>
      </c>
      <c r="BX1208" s="129">
        <f>VLOOKUP($D1208,WGI!$C$2:$O$478,3,FALSE)</f>
        <v>-0.57850233098383497</v>
      </c>
      <c r="BY1208" s="129">
        <f>VLOOKUP($D1208,WGI!$C$2:$O$478,5,FALSE)</f>
        <v>-0.20473166608686499</v>
      </c>
      <c r="BZ1208" s="129">
        <f>VLOOKUP($D1208,WGI!$C$2:$O$478,2,FALSE)</f>
        <v>-0.67521859645444104</v>
      </c>
    </row>
    <row r="1209" spans="1:80" ht="15" customHeight="1">
      <c r="A1209" s="280" t="s">
        <v>377</v>
      </c>
      <c r="B1209" s="117">
        <v>2011</v>
      </c>
      <c r="C1209" s="117" t="s">
        <v>364</v>
      </c>
      <c r="D1209" s="117" t="s">
        <v>3719</v>
      </c>
      <c r="E1209" s="117" t="s">
        <v>244</v>
      </c>
      <c r="F1209" s="117"/>
      <c r="G1209" s="117" t="s">
        <v>24</v>
      </c>
      <c r="H1209" s="117" t="str">
        <f t="shared" si="207"/>
        <v>yes</v>
      </c>
      <c r="I1209" s="117" t="str">
        <f t="shared" si="209"/>
        <v>no</v>
      </c>
      <c r="J1209" s="117" t="str">
        <f t="shared" si="210"/>
        <v>no</v>
      </c>
      <c r="K1209" s="117" t="s">
        <v>1466</v>
      </c>
      <c r="L1209" s="117" t="str">
        <f t="shared" si="208"/>
        <v>detailed</v>
      </c>
      <c r="M1209" s="117" t="str">
        <f t="shared" si="211"/>
        <v>detailed Mining</v>
      </c>
      <c r="N1209" s="118"/>
      <c r="O1209" s="118"/>
      <c r="P1209" s="118"/>
      <c r="Q1209" s="118"/>
      <c r="R1209" s="118"/>
      <c r="S1209" s="117"/>
      <c r="T1209" s="119"/>
      <c r="U1209" s="117"/>
      <c r="V1209" s="117"/>
      <c r="W1209" s="89"/>
      <c r="X1209" s="603"/>
      <c r="Y1209" s="602"/>
      <c r="Z1209" s="602"/>
      <c r="AA1209" s="89">
        <v>1894895.9896548421</v>
      </c>
      <c r="AB1209" s="89"/>
      <c r="AC1209" s="240"/>
      <c r="AD1209" s="240"/>
      <c r="AE1209" s="240"/>
      <c r="AF1209" s="241"/>
      <c r="AG1209" s="89"/>
      <c r="AH1209" s="124"/>
      <c r="AI1209" s="117"/>
      <c r="AJ1209" s="117"/>
      <c r="AK1209" s="117"/>
      <c r="AL1209" s="117"/>
      <c r="AM1209" s="117"/>
      <c r="AN1209" s="117"/>
      <c r="AO1209" s="117"/>
      <c r="AP1209" s="117"/>
      <c r="AQ1209" s="117"/>
      <c r="AR1209" s="126"/>
      <c r="AS1209" s="117"/>
      <c r="AT1209" s="117"/>
      <c r="AU1209" s="215"/>
      <c r="AV1209" s="128" t="s">
        <v>1807</v>
      </c>
      <c r="AW1209" s="117">
        <f>VLOOKUP($D1209,'WB Data'!$C$3:$M$578,2,FALSE)</f>
        <v>8761426370.5587749</v>
      </c>
      <c r="AX1209" s="117">
        <f>VLOOKUP($D1209,'WB Data'!$C$3:$M$578,3,FALSE)</f>
        <v>2754209</v>
      </c>
      <c r="AY1209" s="847">
        <f t="shared" si="201"/>
        <v>0.19594943110735841</v>
      </c>
      <c r="AZ1209" s="117">
        <f>VLOOKUP($D1209,'WB Data'!$C$3:$M$578,4,FALSE)/100</f>
        <v>0.33972503336239335</v>
      </c>
      <c r="BA1209" s="117">
        <f t="shared" si="202"/>
        <v>2976475866.0402327</v>
      </c>
      <c r="BB1209" s="129">
        <f>IFERROR(VLOOKUP($D1209,'EITI Revenues'!$C$2:$G$224,5,FALSE),"..")</f>
        <v>1716796513</v>
      </c>
      <c r="BC1209" s="846">
        <f t="shared" si="203"/>
        <v>0.57678831956529431</v>
      </c>
      <c r="BD1209" s="129" t="str">
        <f>VLOOKUP($D1209,'WB Data 2'!$C$2:$K$545,6,FALSE)</f>
        <v>..</v>
      </c>
      <c r="BE1209" s="129">
        <f>IFERROR(VLOOKUP($D1209,UNCTAD!$C$5:$V$529,4,FALSE),"..")</f>
        <v>5439157000</v>
      </c>
      <c r="BF1209" s="846" t="str">
        <f t="shared" si="204"/>
        <v>..</v>
      </c>
      <c r="BG1209" s="117">
        <f>VLOOKUP($D1209,'WB Data'!$C$3:$M$578,5,FALSE)</f>
        <v>350600000</v>
      </c>
      <c r="BH1209" s="129">
        <f>IFERROR($BB1209/$BG1209,"..")</f>
        <v>4.8967384854535085</v>
      </c>
      <c r="BI1209" s="117">
        <f>IFERROR(VLOOKUP($D1209,'WB Data'!$C$3:$M$578,7,FALSE)/100,"..")</f>
        <v>5.4761699999999996E-2</v>
      </c>
      <c r="BJ1209" s="117">
        <f>IFERROR($BI1209*$AW1209,"..")</f>
        <v>479790602.47662842</v>
      </c>
      <c r="BK1209" s="846">
        <f>IFERROR($BB1209/$BJ1209,"..")</f>
        <v>3.5782203822627574</v>
      </c>
      <c r="BL1209" s="117">
        <f>IFERROR(VLOOKUP($D1209,'WB Data'!$C$3:$M$578,7,FALSE)/100,"..")</f>
        <v>5.4761699999999996E-2</v>
      </c>
      <c r="BM1209" s="117">
        <f>IFERROR($AW1209*$BL1209,"..")</f>
        <v>479790602.47662842</v>
      </c>
      <c r="BN1209" s="846">
        <f>IFERROR($BB1209/$BM1209,"..")</f>
        <v>3.5782203822627574</v>
      </c>
      <c r="BO1209" s="801">
        <f t="shared" si="200"/>
        <v>39</v>
      </c>
      <c r="BP1209" s="117">
        <f>VLOOKUP($D1209,'WB Data'!$C$3:$M$578,9,FALSE)</f>
        <v>33.700000000000003</v>
      </c>
      <c r="BQ1209" s="117">
        <f>VLOOKUP($D1209,'WB Data'!$C$3:$M$578,10,FALSE)</f>
        <v>67.124707317073174</v>
      </c>
      <c r="BR1209" s="117">
        <f>VLOOKUP($D1209,'WB Data'!$C$3:$M$578,11,FALSE)</f>
        <v>28.2</v>
      </c>
      <c r="BS1209" s="129">
        <f>IFERROR(VLOOKUP($D1209,'WB Data 2'!$C$2:$K$545,9,FALSE),"..")</f>
        <v>99.173749999999998</v>
      </c>
      <c r="BT1209" s="129">
        <f>_xlfn.IFNA(VLOOKUP($C1209,RGI!$A$2:$C$43,2,FALSE),"..")</f>
        <v>38.200000000000003</v>
      </c>
      <c r="BU1209" s="129">
        <f>_xlfn.IFNA(VLOOKUP($C1209,RGI!$A$2:$C$43,3,FALSE),"..")</f>
        <v>50.952530108834466</v>
      </c>
      <c r="BV1209" s="129">
        <f>VLOOKUP($D1209,WGI!$C$2:$O$478,7,FALSE)</f>
        <v>-4.6979206513607097E-3</v>
      </c>
      <c r="BW1209" s="129">
        <f>VLOOKUP($D1209,WGI!$C$2:$O$478,4,FALSE)</f>
        <v>0.60017512899051295</v>
      </c>
      <c r="BX1209" s="129">
        <f>VLOOKUP($D1209,WGI!$C$2:$O$478,3,FALSE)</f>
        <v>-0.57850233098383497</v>
      </c>
      <c r="BY1209" s="129">
        <f>VLOOKUP($D1209,WGI!$C$2:$O$478,5,FALSE)</f>
        <v>-0.20473166608686499</v>
      </c>
      <c r="BZ1209" s="129">
        <f>VLOOKUP($D1209,WGI!$C$2:$O$478,2,FALSE)</f>
        <v>-0.67521859645444104</v>
      </c>
    </row>
    <row r="1210" spans="1:80" ht="15" customHeight="1">
      <c r="A1210" s="280" t="s">
        <v>377</v>
      </c>
      <c r="B1210" s="117">
        <v>2011</v>
      </c>
      <c r="C1210" s="117" t="s">
        <v>364</v>
      </c>
      <c r="D1210" s="117" t="s">
        <v>3719</v>
      </c>
      <c r="E1210" s="117" t="s">
        <v>244</v>
      </c>
      <c r="F1210" s="117"/>
      <c r="G1210" s="117" t="s">
        <v>24</v>
      </c>
      <c r="H1210" s="117" t="str">
        <f t="shared" si="207"/>
        <v>yes</v>
      </c>
      <c r="I1210" s="117" t="str">
        <f t="shared" si="209"/>
        <v>no</v>
      </c>
      <c r="J1210" s="117" t="str">
        <f t="shared" si="210"/>
        <v>no</v>
      </c>
      <c r="K1210" s="117" t="s">
        <v>849</v>
      </c>
      <c r="L1210" s="117" t="str">
        <f t="shared" si="208"/>
        <v>detailed</v>
      </c>
      <c r="M1210" s="117" t="str">
        <f t="shared" si="211"/>
        <v>detailed Mining</v>
      </c>
      <c r="N1210" s="118">
        <f>104700*0.90718474</f>
        <v>94982.242278000005</v>
      </c>
      <c r="O1210" s="118"/>
      <c r="P1210" s="118">
        <f>104700*0.90718474</f>
        <v>94982.242278000005</v>
      </c>
      <c r="Q1210" s="118"/>
      <c r="R1210" s="118"/>
      <c r="S1210" s="117" t="s">
        <v>610</v>
      </c>
      <c r="T1210" s="119">
        <v>1179.1600000000001</v>
      </c>
      <c r="U1210" s="117" t="s">
        <v>611</v>
      </c>
      <c r="V1210" s="117" t="s">
        <v>1838</v>
      </c>
      <c r="W1210" s="89">
        <f>N1210*T1210</f>
        <v>111999260.80452649</v>
      </c>
      <c r="X1210" s="603"/>
      <c r="Y1210" s="602"/>
      <c r="Z1210" s="602"/>
      <c r="AA1210" s="89"/>
      <c r="AB1210" s="89"/>
      <c r="AC1210" s="240"/>
      <c r="AD1210" s="240"/>
      <c r="AE1210" s="240"/>
      <c r="AF1210" s="241"/>
      <c r="AG1210" s="89"/>
      <c r="AH1210" s="124"/>
      <c r="AI1210" s="117"/>
      <c r="AJ1210" s="117"/>
      <c r="AK1210" s="117"/>
      <c r="AL1210" s="117"/>
      <c r="AM1210" s="117"/>
      <c r="AN1210" s="117"/>
      <c r="AO1210" s="117"/>
      <c r="AP1210" s="117"/>
      <c r="AQ1210" s="117"/>
      <c r="AR1210" s="126"/>
      <c r="AS1210" s="117"/>
      <c r="AT1210" s="117"/>
      <c r="AU1210" s="215" t="s">
        <v>1844</v>
      </c>
      <c r="AV1210" s="128"/>
      <c r="AW1210" s="117">
        <f>VLOOKUP($D1210,'WB Data'!$C$3:$M$578,2,FALSE)</f>
        <v>8761426370.5587749</v>
      </c>
      <c r="AX1210" s="117">
        <f>VLOOKUP($D1210,'WB Data'!$C$3:$M$578,3,FALSE)</f>
        <v>2754209</v>
      </c>
      <c r="AY1210" s="847">
        <f t="shared" si="201"/>
        <v>0.19594943110735841</v>
      </c>
      <c r="AZ1210" s="117">
        <f>VLOOKUP($D1210,'WB Data'!$C$3:$M$578,4,FALSE)/100</f>
        <v>0.33972503336239335</v>
      </c>
      <c r="BA1210" s="117">
        <f t="shared" si="202"/>
        <v>2976475866.0402327</v>
      </c>
      <c r="BB1210" s="129">
        <f>IFERROR(VLOOKUP($D1210,'EITI Revenues'!$C$2:$G$224,5,FALSE),"..")</f>
        <v>1716796513</v>
      </c>
      <c r="BC1210" s="846">
        <f t="shared" si="203"/>
        <v>0.57678831956529431</v>
      </c>
      <c r="BD1210" s="129" t="str">
        <f>VLOOKUP($D1210,'WB Data 2'!$C$2:$K$545,6,FALSE)</f>
        <v>..</v>
      </c>
      <c r="BE1210" s="129">
        <f>IFERROR(VLOOKUP($D1210,UNCTAD!$C$5:$V$529,4,FALSE),"..")</f>
        <v>5439157000</v>
      </c>
      <c r="BF1210" s="846" t="str">
        <f t="shared" si="204"/>
        <v>..</v>
      </c>
      <c r="BG1210" s="117">
        <f>VLOOKUP($D1210,'WB Data'!$C$3:$M$578,5,FALSE)</f>
        <v>350600000</v>
      </c>
      <c r="BH1210" s="129">
        <f>IFERROR($BB1210/$BG1210,"..")</f>
        <v>4.8967384854535085</v>
      </c>
      <c r="BI1210" s="117">
        <f>IFERROR(VLOOKUP($D1210,'WB Data'!$C$3:$M$578,7,FALSE)/100,"..")</f>
        <v>5.4761699999999996E-2</v>
      </c>
      <c r="BJ1210" s="117">
        <f>IFERROR($BI1210*$AW1210,"..")</f>
        <v>479790602.47662842</v>
      </c>
      <c r="BK1210" s="846">
        <f>IFERROR($BB1210/$BJ1210,"..")</f>
        <v>3.5782203822627574</v>
      </c>
      <c r="BL1210" s="117">
        <f>IFERROR(VLOOKUP($D1210,'WB Data'!$C$3:$M$578,7,FALSE)/100,"..")</f>
        <v>5.4761699999999996E-2</v>
      </c>
      <c r="BM1210" s="117">
        <f>IFERROR($AW1210*$BL1210,"..")</f>
        <v>479790602.47662842</v>
      </c>
      <c r="BN1210" s="846">
        <f>IFERROR($BB1210/$BM1210,"..")</f>
        <v>3.5782203822627574</v>
      </c>
      <c r="BO1210" s="801">
        <f t="shared" si="200"/>
        <v>39</v>
      </c>
      <c r="BP1210" s="117">
        <f>VLOOKUP($D1210,'WB Data'!$C$3:$M$578,9,FALSE)</f>
        <v>33.700000000000003</v>
      </c>
      <c r="BQ1210" s="117">
        <f>VLOOKUP($D1210,'WB Data'!$C$3:$M$578,10,FALSE)</f>
        <v>67.124707317073174</v>
      </c>
      <c r="BR1210" s="117">
        <f>VLOOKUP($D1210,'WB Data'!$C$3:$M$578,11,FALSE)</f>
        <v>28.2</v>
      </c>
      <c r="BS1210" s="129">
        <f>IFERROR(VLOOKUP($D1210,'WB Data 2'!$C$2:$K$545,9,FALSE),"..")</f>
        <v>99.173749999999998</v>
      </c>
      <c r="BT1210" s="129">
        <f>_xlfn.IFNA(VLOOKUP($C1210,RGI!$A$2:$C$43,2,FALSE),"..")</f>
        <v>38.200000000000003</v>
      </c>
      <c r="BU1210" s="129">
        <f>_xlfn.IFNA(VLOOKUP($C1210,RGI!$A$2:$C$43,3,FALSE),"..")</f>
        <v>50.952530108834466</v>
      </c>
      <c r="BV1210" s="129">
        <f>VLOOKUP($D1210,WGI!$C$2:$O$478,7,FALSE)</f>
        <v>-4.6979206513607097E-3</v>
      </c>
      <c r="BW1210" s="129">
        <f>VLOOKUP($D1210,WGI!$C$2:$O$478,4,FALSE)</f>
        <v>0.60017512899051295</v>
      </c>
      <c r="BX1210" s="129">
        <f>VLOOKUP($D1210,WGI!$C$2:$O$478,3,FALSE)</f>
        <v>-0.57850233098383497</v>
      </c>
      <c r="BY1210" s="129">
        <f>VLOOKUP($D1210,WGI!$C$2:$O$478,5,FALSE)</f>
        <v>-0.20473166608686499</v>
      </c>
      <c r="BZ1210" s="129">
        <f>VLOOKUP($D1210,WGI!$C$2:$O$478,2,FALSE)</f>
        <v>-0.67521859645444104</v>
      </c>
    </row>
    <row r="1211" spans="1:80" s="144" customFormat="1" ht="15" customHeight="1">
      <c r="A1211" s="279" t="s">
        <v>380</v>
      </c>
      <c r="B1211" s="132">
        <v>2012</v>
      </c>
      <c r="C1211" s="132" t="s">
        <v>364</v>
      </c>
      <c r="D1211" s="117" t="s">
        <v>3753</v>
      </c>
      <c r="E1211" s="132" t="s">
        <v>244</v>
      </c>
      <c r="F1211" s="132" t="s">
        <v>1745</v>
      </c>
      <c r="G1211" s="132" t="s">
        <v>41</v>
      </c>
      <c r="H1211" s="117" t="str">
        <f t="shared" si="207"/>
        <v>yes</v>
      </c>
      <c r="I1211" s="117" t="str">
        <f t="shared" si="209"/>
        <v>no</v>
      </c>
      <c r="J1211" s="117" t="str">
        <f t="shared" si="210"/>
        <v>yes</v>
      </c>
      <c r="K1211" s="132" t="s">
        <v>709</v>
      </c>
      <c r="L1211" s="117" t="str">
        <f t="shared" si="208"/>
        <v>Total</v>
      </c>
      <c r="M1211" s="117" t="str">
        <f t="shared" si="211"/>
        <v>Total Oil, Mining</v>
      </c>
      <c r="N1211" s="133"/>
      <c r="O1211" s="133"/>
      <c r="P1211" s="133"/>
      <c r="Q1211" s="133"/>
      <c r="R1211" s="133"/>
      <c r="S1211" s="132"/>
      <c r="T1211" s="134"/>
      <c r="U1211" s="132"/>
      <c r="V1211" s="132"/>
      <c r="W1211" s="135">
        <f>W1212+W1213</f>
        <v>4477520900.0165806</v>
      </c>
      <c r="X1211" s="132" t="s">
        <v>1835</v>
      </c>
      <c r="Y1211" s="132" t="s">
        <v>663</v>
      </c>
      <c r="Z1211" s="132" t="s">
        <v>664</v>
      </c>
      <c r="AA1211" s="135">
        <v>1180619495</v>
      </c>
      <c r="AB1211" s="297">
        <v>2233069669</v>
      </c>
      <c r="AC1211" s="138"/>
      <c r="AD1211" s="138"/>
      <c r="AE1211" s="138"/>
      <c r="AF1211" s="139">
        <f>AA1211/W1211</f>
        <v>0.2636770483853304</v>
      </c>
      <c r="AG1211" s="132" t="s">
        <v>1747</v>
      </c>
      <c r="AH1211" s="605">
        <v>1349.93</v>
      </c>
      <c r="AI1211" s="132" t="s">
        <v>605</v>
      </c>
      <c r="AJ1211" s="144" t="s">
        <v>1827</v>
      </c>
      <c r="AK1211" s="135">
        <v>2367002</v>
      </c>
      <c r="AL1211" s="132"/>
      <c r="AM1211" s="132"/>
      <c r="AN1211" s="132">
        <v>200</v>
      </c>
      <c r="AO1211" s="132" t="s">
        <v>1845</v>
      </c>
      <c r="AP1211" s="132">
        <v>199</v>
      </c>
      <c r="AQ1211" s="229" t="s">
        <v>180</v>
      </c>
      <c r="AR1211" s="141">
        <v>41905</v>
      </c>
      <c r="AS1211" s="132" t="s">
        <v>1846</v>
      </c>
      <c r="AT1211" s="132" t="s">
        <v>381</v>
      </c>
      <c r="AU1211" s="132" t="s">
        <v>1847</v>
      </c>
      <c r="AV1211" s="143" t="s">
        <v>1848</v>
      </c>
      <c r="AW1211" s="117">
        <f>VLOOKUP($D1211,'WB Data'!$C$3:$M$578,2,FALSE)</f>
        <v>10321968594.779902</v>
      </c>
      <c r="AX1211" s="117">
        <f>VLOOKUP($D1211,'WB Data'!$C$3:$M$578,3,FALSE)</f>
        <v>2796484</v>
      </c>
      <c r="AY1211" s="847">
        <f t="shared" si="201"/>
        <v>0.11437929539885165</v>
      </c>
      <c r="AZ1211" s="117">
        <f>VLOOKUP($D1211,'WB Data'!$C$3:$M$578,4,FALSE)/100</f>
        <v>0.30509052637581513</v>
      </c>
      <c r="BA1211" s="117">
        <f t="shared" si="202"/>
        <v>3149134831.8160329</v>
      </c>
      <c r="BB1211" s="129">
        <f>IFERROR(VLOOKUP($D1211,'EITI Revenues'!$C$2:$G$224,5,FALSE),"..")</f>
        <v>1180619495</v>
      </c>
      <c r="BC1211" s="846">
        <f t="shared" si="203"/>
        <v>0.37490280920082553</v>
      </c>
      <c r="BD1211" s="129" t="str">
        <f>VLOOKUP($D1211,'WB Data 2'!$C$2:$K$545,6,FALSE)</f>
        <v>..</v>
      </c>
      <c r="BE1211" s="129">
        <f>IFERROR(VLOOKUP($D1211,UNCTAD!$C$5:$V$529,4,FALSE),"..")</f>
        <v>5345578000</v>
      </c>
      <c r="BF1211" s="846" t="str">
        <f t="shared" si="204"/>
        <v>..</v>
      </c>
      <c r="BG1211" s="117">
        <f>VLOOKUP($D1211,'WB Data'!$C$3:$M$578,5,FALSE)</f>
        <v>448780000</v>
      </c>
      <c r="BH1211" s="129">
        <f>IFERROR($BB1211/$BG1211,"..")</f>
        <v>2.6307310820446546</v>
      </c>
      <c r="BI1211" s="117" t="str">
        <f>IFERROR(VLOOKUP($D1211,'WB Data'!$C$3:$M$578,7,FALSE)/100,"..")</f>
        <v>..</v>
      </c>
      <c r="BJ1211" s="117" t="str">
        <f>IFERROR($BI1211*$AW1211,"..")</f>
        <v>..</v>
      </c>
      <c r="BK1211" s="846" t="str">
        <f>IFERROR($BB1211/$BJ1211,"..")</f>
        <v>..</v>
      </c>
      <c r="BL1211" s="117" t="str">
        <f>IFERROR(VLOOKUP($D1211,'WB Data'!$C$3:$M$578,7,FALSE)/100,"..")</f>
        <v>..</v>
      </c>
      <c r="BM1211" s="117" t="str">
        <f>IFERROR($AW1211*$BL1211,"..")</f>
        <v>..</v>
      </c>
      <c r="BN1211" s="846" t="str">
        <f>IFERROR($BB1211/$BM1211,"..")</f>
        <v>..</v>
      </c>
      <c r="BO1211" s="801">
        <f t="shared" si="200"/>
        <v>39</v>
      </c>
      <c r="BP1211" s="117">
        <f>VLOOKUP($D1211,'WB Data'!$C$3:$M$578,9,FALSE)</f>
        <v>27.4</v>
      </c>
      <c r="BQ1211" s="117">
        <f>VLOOKUP($D1211,'WB Data'!$C$3:$M$578,10,FALSE)</f>
        <v>67.339439024390245</v>
      </c>
      <c r="BR1211" s="117">
        <f>VLOOKUP($D1211,'WB Data'!$C$3:$M$578,11,FALSE)</f>
        <v>27.2</v>
      </c>
      <c r="BS1211" s="129">
        <f>IFERROR(VLOOKUP($D1211,'WB Data 2'!$C$2:$K$545,9,FALSE),"..")</f>
        <v>97.610560000000007</v>
      </c>
      <c r="BT1211" s="129">
        <f>_xlfn.IFNA(VLOOKUP($C1211,RGI!$A$2:$C$43,2,FALSE),"..")</f>
        <v>38.200000000000003</v>
      </c>
      <c r="BU1211" s="129">
        <f>_xlfn.IFNA(VLOOKUP($C1211,RGI!$A$2:$C$43,3,FALSE),"..")</f>
        <v>50.952530108834466</v>
      </c>
      <c r="BV1211" s="129">
        <f>VLOOKUP($D1211,WGI!$C$2:$O$478,7,FALSE)</f>
        <v>1.9513473312359399E-2</v>
      </c>
      <c r="BW1211" s="129">
        <f>VLOOKUP($D1211,WGI!$C$2:$O$478,4,FALSE)</f>
        <v>0.44897659810553098</v>
      </c>
      <c r="BX1211" s="129">
        <f>VLOOKUP($D1211,WGI!$C$2:$O$478,3,FALSE)</f>
        <v>-0.63227226010712301</v>
      </c>
      <c r="BY1211" s="129">
        <f>VLOOKUP($D1211,WGI!$C$2:$O$478,5,FALSE)</f>
        <v>-0.165274280560958</v>
      </c>
      <c r="BZ1211" s="129">
        <f>VLOOKUP($D1211,WGI!$C$2:$O$478,2,FALSE)</f>
        <v>-0.52053676320938103</v>
      </c>
      <c r="CB1211" s="129"/>
    </row>
    <row r="1212" spans="1:80" s="120" customFormat="1" ht="15" customHeight="1">
      <c r="A1212" s="280" t="s">
        <v>380</v>
      </c>
      <c r="B1212" s="117">
        <v>2012</v>
      </c>
      <c r="C1212" s="117" t="s">
        <v>364</v>
      </c>
      <c r="D1212" s="117" t="s">
        <v>3753</v>
      </c>
      <c r="E1212" s="117" t="s">
        <v>244</v>
      </c>
      <c r="F1212" s="117"/>
      <c r="G1212" s="117" t="s">
        <v>103</v>
      </c>
      <c r="H1212" s="117" t="str">
        <f t="shared" si="207"/>
        <v>no</v>
      </c>
      <c r="I1212" s="117" t="str">
        <f t="shared" si="209"/>
        <v>no</v>
      </c>
      <c r="J1212" s="117" t="str">
        <f t="shared" si="210"/>
        <v>yes</v>
      </c>
      <c r="K1212" s="117" t="s">
        <v>103</v>
      </c>
      <c r="L1212" s="117" t="str">
        <f t="shared" si="208"/>
        <v>detailed</v>
      </c>
      <c r="M1212" s="117" t="str">
        <f t="shared" si="211"/>
        <v>detailed Oil</v>
      </c>
      <c r="N1212" s="118">
        <v>3636000</v>
      </c>
      <c r="O1212" s="118"/>
      <c r="P1212" s="118">
        <v>3636000</v>
      </c>
      <c r="Q1212" s="118"/>
      <c r="R1212" s="118"/>
      <c r="S1212" s="117" t="s">
        <v>646</v>
      </c>
      <c r="T1212" s="119">
        <v>94.19</v>
      </c>
      <c r="U1212" s="117" t="s">
        <v>673</v>
      </c>
      <c r="V1212" s="117" t="s">
        <v>1838</v>
      </c>
      <c r="W1212" s="89">
        <f>N1212*T1212</f>
        <v>342474840</v>
      </c>
      <c r="X1212" s="89"/>
      <c r="Y1212" s="602"/>
      <c r="Z1212" s="602"/>
      <c r="AA1212" s="89">
        <v>103668644</v>
      </c>
      <c r="AB1212" s="89">
        <v>103869983</v>
      </c>
      <c r="AC1212" s="240"/>
      <c r="AD1212" s="240"/>
      <c r="AE1212" s="240"/>
      <c r="AF1212" s="241">
        <f>AA1212/W1212</f>
        <v>0.30270440888445993</v>
      </c>
      <c r="AG1212" s="89"/>
      <c r="AH1212" s="493"/>
      <c r="AI1212" s="117"/>
      <c r="AJ1212" s="117"/>
      <c r="AK1212" s="117"/>
      <c r="AL1212" s="117"/>
      <c r="AM1212" s="117"/>
      <c r="AN1212" s="117">
        <v>9</v>
      </c>
      <c r="AO1212" s="117" t="s">
        <v>1849</v>
      </c>
      <c r="AP1212" s="117">
        <v>8</v>
      </c>
      <c r="AQ1212" s="117"/>
      <c r="AR1212" s="126"/>
      <c r="AS1212" s="117"/>
      <c r="AT1212" s="117"/>
      <c r="AU1212" s="117">
        <v>13</v>
      </c>
      <c r="AV1212" s="128"/>
      <c r="AW1212" s="117">
        <f>VLOOKUP($D1212,'WB Data'!$C$3:$M$578,2,FALSE)</f>
        <v>10321968594.779902</v>
      </c>
      <c r="AX1212" s="117">
        <f>VLOOKUP($D1212,'WB Data'!$C$3:$M$578,3,FALSE)</f>
        <v>2796484</v>
      </c>
      <c r="AY1212" s="847">
        <f t="shared" si="201"/>
        <v>0.11437929539885165</v>
      </c>
      <c r="AZ1212" s="117">
        <f>VLOOKUP($D1212,'WB Data'!$C$3:$M$578,4,FALSE)/100</f>
        <v>0.30509052637581513</v>
      </c>
      <c r="BA1212" s="117">
        <f t="shared" si="202"/>
        <v>3149134831.8160329</v>
      </c>
      <c r="BB1212" s="129">
        <f>IFERROR(VLOOKUP($D1212,'EITI Revenues'!$C$2:$G$224,5,FALSE),"..")</f>
        <v>1180619495</v>
      </c>
      <c r="BC1212" s="846">
        <f t="shared" si="203"/>
        <v>0.37490280920082553</v>
      </c>
      <c r="BD1212" s="129" t="str">
        <f>VLOOKUP($D1212,'WB Data 2'!$C$2:$K$545,6,FALSE)</f>
        <v>..</v>
      </c>
      <c r="BE1212" s="129">
        <f>IFERROR(VLOOKUP($D1212,UNCTAD!$C$5:$V$529,4,FALSE),"..")</f>
        <v>5345578000</v>
      </c>
      <c r="BF1212" s="846" t="str">
        <f t="shared" si="204"/>
        <v>..</v>
      </c>
      <c r="BG1212" s="117">
        <f>VLOOKUP($D1212,'WB Data'!$C$3:$M$578,5,FALSE)</f>
        <v>448780000</v>
      </c>
      <c r="BH1212" s="129">
        <f>IFERROR($BB1212/$BG1212,"..")</f>
        <v>2.6307310820446546</v>
      </c>
      <c r="BI1212" s="117" t="str">
        <f>IFERROR(VLOOKUP($D1212,'WB Data'!$C$3:$M$578,7,FALSE)/100,"..")</f>
        <v>..</v>
      </c>
      <c r="BJ1212" s="117" t="str">
        <f>IFERROR($BI1212*$AW1212,"..")</f>
        <v>..</v>
      </c>
      <c r="BK1212" s="846" t="str">
        <f>IFERROR($BB1212/$BJ1212,"..")</f>
        <v>..</v>
      </c>
      <c r="BL1212" s="117" t="str">
        <f>IFERROR(VLOOKUP($D1212,'WB Data'!$C$3:$M$578,7,FALSE)/100,"..")</f>
        <v>..</v>
      </c>
      <c r="BM1212" s="117" t="str">
        <f>IFERROR($AW1212*$BL1212,"..")</f>
        <v>..</v>
      </c>
      <c r="BN1212" s="846" t="str">
        <f>IFERROR($BB1212/$BM1212,"..")</f>
        <v>..</v>
      </c>
      <c r="BO1212" s="801">
        <f t="shared" si="200"/>
        <v>39</v>
      </c>
      <c r="BP1212" s="117">
        <f>VLOOKUP($D1212,'WB Data'!$C$3:$M$578,9,FALSE)</f>
        <v>27.4</v>
      </c>
      <c r="BQ1212" s="117">
        <f>VLOOKUP($D1212,'WB Data'!$C$3:$M$578,10,FALSE)</f>
        <v>67.339439024390245</v>
      </c>
      <c r="BR1212" s="117">
        <f>VLOOKUP($D1212,'WB Data'!$C$3:$M$578,11,FALSE)</f>
        <v>27.2</v>
      </c>
      <c r="BS1212" s="129">
        <f>IFERROR(VLOOKUP($D1212,'WB Data 2'!$C$2:$K$545,9,FALSE),"..")</f>
        <v>97.610560000000007</v>
      </c>
      <c r="BT1212" s="129">
        <f>_xlfn.IFNA(VLOOKUP($C1212,RGI!$A$2:$C$43,2,FALSE),"..")</f>
        <v>38.200000000000003</v>
      </c>
      <c r="BU1212" s="129">
        <f>_xlfn.IFNA(VLOOKUP($C1212,RGI!$A$2:$C$43,3,FALSE),"..")</f>
        <v>50.952530108834466</v>
      </c>
      <c r="BV1212" s="129">
        <f>VLOOKUP($D1212,WGI!$C$2:$O$478,7,FALSE)</f>
        <v>1.9513473312359399E-2</v>
      </c>
      <c r="BW1212" s="129">
        <f>VLOOKUP($D1212,WGI!$C$2:$O$478,4,FALSE)</f>
        <v>0.44897659810553098</v>
      </c>
      <c r="BX1212" s="129">
        <f>VLOOKUP($D1212,WGI!$C$2:$O$478,3,FALSE)</f>
        <v>-0.63227226010712301</v>
      </c>
      <c r="BY1212" s="129">
        <f>VLOOKUP($D1212,WGI!$C$2:$O$478,5,FALSE)</f>
        <v>-0.165274280560958</v>
      </c>
      <c r="BZ1212" s="129">
        <f>VLOOKUP($D1212,WGI!$C$2:$O$478,2,FALSE)</f>
        <v>-0.52053676320938103</v>
      </c>
      <c r="CB1212" s="129"/>
    </row>
    <row r="1213" spans="1:80" s="120" customFormat="1" ht="15" customHeight="1">
      <c r="A1213" s="280" t="s">
        <v>380</v>
      </c>
      <c r="B1213" s="117">
        <v>2012</v>
      </c>
      <c r="C1213" s="117" t="s">
        <v>364</v>
      </c>
      <c r="D1213" s="117" t="s">
        <v>3753</v>
      </c>
      <c r="E1213" s="117" t="s">
        <v>244</v>
      </c>
      <c r="F1213" s="117"/>
      <c r="G1213" s="117" t="s">
        <v>24</v>
      </c>
      <c r="H1213" s="117" t="str">
        <f t="shared" si="207"/>
        <v>yes</v>
      </c>
      <c r="I1213" s="117" t="str">
        <f t="shared" si="209"/>
        <v>no</v>
      </c>
      <c r="J1213" s="117" t="str">
        <f t="shared" si="210"/>
        <v>no</v>
      </c>
      <c r="K1213" s="117" t="s">
        <v>600</v>
      </c>
      <c r="L1213" s="117" t="str">
        <f t="shared" si="208"/>
        <v>Total</v>
      </c>
      <c r="M1213" s="117" t="str">
        <f t="shared" si="211"/>
        <v>Total Mining</v>
      </c>
      <c r="N1213" s="118"/>
      <c r="O1213" s="118"/>
      <c r="P1213" s="118"/>
      <c r="Q1213" s="118"/>
      <c r="R1213" s="118"/>
      <c r="S1213" s="117"/>
      <c r="T1213" s="119"/>
      <c r="U1213" s="117"/>
      <c r="V1213" s="117"/>
      <c r="W1213" s="89">
        <f>SUM(W1214:W1222)</f>
        <v>4135046060.0165806</v>
      </c>
      <c r="X1213" s="117"/>
      <c r="Y1213" s="602"/>
      <c r="Z1213" s="602"/>
      <c r="AA1213" s="89">
        <v>1076950851</v>
      </c>
      <c r="AB1213" s="89">
        <v>2129199686</v>
      </c>
      <c r="AC1213" s="240"/>
      <c r="AD1213" s="240"/>
      <c r="AE1213" s="240"/>
      <c r="AF1213" s="241">
        <f>AA1213/W1213</f>
        <v>0.26044470493653504</v>
      </c>
      <c r="AG1213" s="117"/>
      <c r="AH1213" s="124"/>
      <c r="AI1213" s="117"/>
      <c r="AJ1213" s="117"/>
      <c r="AL1213" s="117"/>
      <c r="AM1213" s="117"/>
      <c r="AN1213" s="117">
        <v>191</v>
      </c>
      <c r="AO1213" s="117" t="s">
        <v>1850</v>
      </c>
      <c r="AP1213" s="117">
        <v>191</v>
      </c>
      <c r="AQ1213" s="117"/>
      <c r="AR1213" s="126"/>
      <c r="AS1213" s="117"/>
      <c r="AT1213" s="117"/>
      <c r="AV1213" s="128"/>
      <c r="AW1213" s="117">
        <f>VLOOKUP($D1213,'WB Data'!$C$3:$M$578,2,FALSE)</f>
        <v>10321968594.779902</v>
      </c>
      <c r="AX1213" s="117">
        <f>VLOOKUP($D1213,'WB Data'!$C$3:$M$578,3,FALSE)</f>
        <v>2796484</v>
      </c>
      <c r="AY1213" s="847">
        <f t="shared" si="201"/>
        <v>0.11437929539885165</v>
      </c>
      <c r="AZ1213" s="117">
        <f>VLOOKUP($D1213,'WB Data'!$C$3:$M$578,4,FALSE)/100</f>
        <v>0.30509052637581513</v>
      </c>
      <c r="BA1213" s="117">
        <f t="shared" si="202"/>
        <v>3149134831.8160329</v>
      </c>
      <c r="BB1213" s="129">
        <f>IFERROR(VLOOKUP($D1213,'EITI Revenues'!$C$2:$G$224,5,FALSE),"..")</f>
        <v>1180619495</v>
      </c>
      <c r="BC1213" s="846">
        <f t="shared" si="203"/>
        <v>0.37490280920082553</v>
      </c>
      <c r="BD1213" s="129" t="str">
        <f>VLOOKUP($D1213,'WB Data 2'!$C$2:$K$545,6,FALSE)</f>
        <v>..</v>
      </c>
      <c r="BE1213" s="129">
        <f>IFERROR(VLOOKUP($D1213,UNCTAD!$C$5:$V$529,4,FALSE),"..")</f>
        <v>5345578000</v>
      </c>
      <c r="BF1213" s="846" t="str">
        <f t="shared" si="204"/>
        <v>..</v>
      </c>
      <c r="BG1213" s="117">
        <f>VLOOKUP($D1213,'WB Data'!$C$3:$M$578,5,FALSE)</f>
        <v>448780000</v>
      </c>
      <c r="BH1213" s="129">
        <f>IFERROR($BB1213/$BG1213,"..")</f>
        <v>2.6307310820446546</v>
      </c>
      <c r="BI1213" s="117" t="str">
        <f>IFERROR(VLOOKUP($D1213,'WB Data'!$C$3:$M$578,7,FALSE)/100,"..")</f>
        <v>..</v>
      </c>
      <c r="BJ1213" s="117" t="str">
        <f>IFERROR($BI1213*$AW1213,"..")</f>
        <v>..</v>
      </c>
      <c r="BK1213" s="846" t="str">
        <f>IFERROR($BB1213/$BJ1213,"..")</f>
        <v>..</v>
      </c>
      <c r="BL1213" s="117" t="str">
        <f>IFERROR(VLOOKUP($D1213,'WB Data'!$C$3:$M$578,7,FALSE)/100,"..")</f>
        <v>..</v>
      </c>
      <c r="BM1213" s="117" t="str">
        <f>IFERROR($AW1213*$BL1213,"..")</f>
        <v>..</v>
      </c>
      <c r="BN1213" s="846" t="str">
        <f>IFERROR($BB1213/$BM1213,"..")</f>
        <v>..</v>
      </c>
      <c r="BO1213" s="801">
        <f t="shared" si="200"/>
        <v>39</v>
      </c>
      <c r="BP1213" s="117">
        <f>VLOOKUP($D1213,'WB Data'!$C$3:$M$578,9,FALSE)</f>
        <v>27.4</v>
      </c>
      <c r="BQ1213" s="117">
        <f>VLOOKUP($D1213,'WB Data'!$C$3:$M$578,10,FALSE)</f>
        <v>67.339439024390245</v>
      </c>
      <c r="BR1213" s="117">
        <f>VLOOKUP($D1213,'WB Data'!$C$3:$M$578,11,FALSE)</f>
        <v>27.2</v>
      </c>
      <c r="BS1213" s="129">
        <f>IFERROR(VLOOKUP($D1213,'WB Data 2'!$C$2:$K$545,9,FALSE),"..")</f>
        <v>97.610560000000007</v>
      </c>
      <c r="BT1213" s="129">
        <f>_xlfn.IFNA(VLOOKUP($C1213,RGI!$A$2:$C$43,2,FALSE),"..")</f>
        <v>38.200000000000003</v>
      </c>
      <c r="BU1213" s="129">
        <f>_xlfn.IFNA(VLOOKUP($C1213,RGI!$A$2:$C$43,3,FALSE),"..")</f>
        <v>50.952530108834466</v>
      </c>
      <c r="BV1213" s="129">
        <f>VLOOKUP($D1213,WGI!$C$2:$O$478,7,FALSE)</f>
        <v>1.9513473312359399E-2</v>
      </c>
      <c r="BW1213" s="129">
        <f>VLOOKUP($D1213,WGI!$C$2:$O$478,4,FALSE)</f>
        <v>0.44897659810553098</v>
      </c>
      <c r="BX1213" s="129">
        <f>VLOOKUP($D1213,WGI!$C$2:$O$478,3,FALSE)</f>
        <v>-0.63227226010712301</v>
      </c>
      <c r="BY1213" s="129">
        <f>VLOOKUP($D1213,WGI!$C$2:$O$478,5,FALSE)</f>
        <v>-0.165274280560958</v>
      </c>
      <c r="BZ1213" s="129">
        <f>VLOOKUP($D1213,WGI!$C$2:$O$478,2,FALSE)</f>
        <v>-0.52053676320938103</v>
      </c>
      <c r="CB1213" s="129"/>
    </row>
    <row r="1214" spans="1:80" s="120" customFormat="1" ht="15" customHeight="1">
      <c r="A1214" s="280" t="s">
        <v>380</v>
      </c>
      <c r="B1214" s="117">
        <v>2012</v>
      </c>
      <c r="C1214" s="117" t="s">
        <v>364</v>
      </c>
      <c r="D1214" s="117" t="s">
        <v>3753</v>
      </c>
      <c r="E1214" s="117" t="s">
        <v>244</v>
      </c>
      <c r="F1214" s="117"/>
      <c r="G1214" s="117" t="s">
        <v>24</v>
      </c>
      <c r="H1214" s="117" t="str">
        <f t="shared" si="207"/>
        <v>yes</v>
      </c>
      <c r="I1214" s="117" t="str">
        <f t="shared" si="209"/>
        <v>no</v>
      </c>
      <c r="J1214" s="117" t="str">
        <f t="shared" si="210"/>
        <v>no</v>
      </c>
      <c r="K1214" s="117" t="s">
        <v>616</v>
      </c>
      <c r="L1214" s="117" t="str">
        <f t="shared" si="208"/>
        <v>detailed</v>
      </c>
      <c r="M1214" s="117" t="str">
        <f t="shared" si="211"/>
        <v>detailed Mining</v>
      </c>
      <c r="N1214" s="118">
        <f>31139000*0.90718474</f>
        <v>28248825.618860003</v>
      </c>
      <c r="O1214" s="118"/>
      <c r="P1214" s="118">
        <f>31139000*0.90718474</f>
        <v>28248825.618860003</v>
      </c>
      <c r="Q1214" s="118"/>
      <c r="R1214" s="118"/>
      <c r="S1214" s="117" t="s">
        <v>610</v>
      </c>
      <c r="T1214" s="119">
        <v>90.92</v>
      </c>
      <c r="U1214" s="117" t="s">
        <v>611</v>
      </c>
      <c r="V1214" s="117" t="s">
        <v>1838</v>
      </c>
      <c r="W1214" s="89">
        <f t="shared" ref="W1214:W1222" si="213">N1214*T1214</f>
        <v>2568383225.2667513</v>
      </c>
      <c r="X1214" s="89"/>
      <c r="Y1214" s="89"/>
      <c r="Z1214" s="89"/>
      <c r="AA1214" s="89"/>
      <c r="AB1214" s="89"/>
      <c r="AC1214" s="240"/>
      <c r="AD1214" s="240"/>
      <c r="AE1214" s="240"/>
      <c r="AF1214" s="241"/>
      <c r="AG1214" s="89"/>
      <c r="AH1214" s="124"/>
      <c r="AI1214" s="117"/>
      <c r="AJ1214" s="117"/>
      <c r="AK1214" s="119"/>
      <c r="AL1214" s="117"/>
      <c r="AM1214" s="117"/>
      <c r="AN1214" s="117"/>
      <c r="AO1214" s="117"/>
      <c r="AP1214" s="117"/>
      <c r="AQ1214" s="117"/>
      <c r="AR1214" s="126"/>
      <c r="AS1214" s="117"/>
      <c r="AT1214" s="117"/>
      <c r="AU1214" s="117">
        <v>14</v>
      </c>
      <c r="AV1214" s="128"/>
      <c r="AW1214" s="117">
        <f>VLOOKUP($D1214,'WB Data'!$C$3:$M$578,2,FALSE)</f>
        <v>10321968594.779902</v>
      </c>
      <c r="AX1214" s="117">
        <f>VLOOKUP($D1214,'WB Data'!$C$3:$M$578,3,FALSE)</f>
        <v>2796484</v>
      </c>
      <c r="AY1214" s="847">
        <f t="shared" si="201"/>
        <v>0.11437929539885165</v>
      </c>
      <c r="AZ1214" s="117">
        <f>VLOOKUP($D1214,'WB Data'!$C$3:$M$578,4,FALSE)/100</f>
        <v>0.30509052637581513</v>
      </c>
      <c r="BA1214" s="117">
        <f t="shared" si="202"/>
        <v>3149134831.8160329</v>
      </c>
      <c r="BB1214" s="129">
        <f>IFERROR(VLOOKUP($D1214,'EITI Revenues'!$C$2:$G$224,5,FALSE),"..")</f>
        <v>1180619495</v>
      </c>
      <c r="BC1214" s="846">
        <f t="shared" si="203"/>
        <v>0.37490280920082553</v>
      </c>
      <c r="BD1214" s="129" t="str">
        <f>VLOOKUP($D1214,'WB Data 2'!$C$2:$K$545,6,FALSE)</f>
        <v>..</v>
      </c>
      <c r="BE1214" s="129">
        <f>IFERROR(VLOOKUP($D1214,UNCTAD!$C$5:$V$529,4,FALSE),"..")</f>
        <v>5345578000</v>
      </c>
      <c r="BF1214" s="846" t="str">
        <f t="shared" si="204"/>
        <v>..</v>
      </c>
      <c r="BG1214" s="117">
        <f>VLOOKUP($D1214,'WB Data'!$C$3:$M$578,5,FALSE)</f>
        <v>448780000</v>
      </c>
      <c r="BH1214" s="129">
        <f>IFERROR($BB1214/$BG1214,"..")</f>
        <v>2.6307310820446546</v>
      </c>
      <c r="BI1214" s="117" t="str">
        <f>IFERROR(VLOOKUP($D1214,'WB Data'!$C$3:$M$578,7,FALSE)/100,"..")</f>
        <v>..</v>
      </c>
      <c r="BJ1214" s="117" t="str">
        <f>IFERROR($BI1214*$AW1214,"..")</f>
        <v>..</v>
      </c>
      <c r="BK1214" s="846" t="str">
        <f>IFERROR($BB1214/$BJ1214,"..")</f>
        <v>..</v>
      </c>
      <c r="BL1214" s="117" t="str">
        <f>IFERROR(VLOOKUP($D1214,'WB Data'!$C$3:$M$578,7,FALSE)/100,"..")</f>
        <v>..</v>
      </c>
      <c r="BM1214" s="117" t="str">
        <f>IFERROR($AW1214*$BL1214,"..")</f>
        <v>..</v>
      </c>
      <c r="BN1214" s="846" t="str">
        <f>IFERROR($BB1214/$BM1214,"..")</f>
        <v>..</v>
      </c>
      <c r="BO1214" s="801">
        <f t="shared" si="200"/>
        <v>39</v>
      </c>
      <c r="BP1214" s="117">
        <f>VLOOKUP($D1214,'WB Data'!$C$3:$M$578,9,FALSE)</f>
        <v>27.4</v>
      </c>
      <c r="BQ1214" s="117">
        <f>VLOOKUP($D1214,'WB Data'!$C$3:$M$578,10,FALSE)</f>
        <v>67.339439024390245</v>
      </c>
      <c r="BR1214" s="117">
        <f>VLOOKUP($D1214,'WB Data'!$C$3:$M$578,11,FALSE)</f>
        <v>27.2</v>
      </c>
      <c r="BS1214" s="129">
        <f>IFERROR(VLOOKUP($D1214,'WB Data 2'!$C$2:$K$545,9,FALSE),"..")</f>
        <v>97.610560000000007</v>
      </c>
      <c r="BT1214" s="129">
        <f>_xlfn.IFNA(VLOOKUP($C1214,RGI!$A$2:$C$43,2,FALSE),"..")</f>
        <v>38.200000000000003</v>
      </c>
      <c r="BU1214" s="129">
        <f>_xlfn.IFNA(VLOOKUP($C1214,RGI!$A$2:$C$43,3,FALSE),"..")</f>
        <v>50.952530108834466</v>
      </c>
      <c r="BV1214" s="129">
        <f>VLOOKUP($D1214,WGI!$C$2:$O$478,7,FALSE)</f>
        <v>1.9513473312359399E-2</v>
      </c>
      <c r="BW1214" s="129">
        <f>VLOOKUP($D1214,WGI!$C$2:$O$478,4,FALSE)</f>
        <v>0.44897659810553098</v>
      </c>
      <c r="BX1214" s="129">
        <f>VLOOKUP($D1214,WGI!$C$2:$O$478,3,FALSE)</f>
        <v>-0.63227226010712301</v>
      </c>
      <c r="BY1214" s="129">
        <f>VLOOKUP($D1214,WGI!$C$2:$O$478,5,FALSE)</f>
        <v>-0.165274280560958</v>
      </c>
      <c r="BZ1214" s="129">
        <f>VLOOKUP($D1214,WGI!$C$2:$O$478,2,FALSE)</f>
        <v>-0.52053676320938103</v>
      </c>
      <c r="CB1214" s="129"/>
    </row>
    <row r="1215" spans="1:80" s="120" customFormat="1" ht="15" customHeight="1">
      <c r="A1215" s="280" t="s">
        <v>380</v>
      </c>
      <c r="B1215" s="117">
        <v>2012</v>
      </c>
      <c r="C1215" s="117" t="s">
        <v>364</v>
      </c>
      <c r="D1215" s="117" t="s">
        <v>3753</v>
      </c>
      <c r="E1215" s="117" t="s">
        <v>244</v>
      </c>
      <c r="F1215" s="117"/>
      <c r="G1215" s="117" t="s">
        <v>24</v>
      </c>
      <c r="H1215" s="117" t="str">
        <f t="shared" si="207"/>
        <v>yes</v>
      </c>
      <c r="I1215" s="117" t="str">
        <f t="shared" si="209"/>
        <v>no</v>
      </c>
      <c r="J1215" s="117" t="str">
        <f t="shared" si="210"/>
        <v>no</v>
      </c>
      <c r="K1215" s="117" t="s">
        <v>1819</v>
      </c>
      <c r="L1215" s="117" t="str">
        <f t="shared" si="208"/>
        <v>detailed</v>
      </c>
      <c r="M1215" s="117" t="str">
        <f t="shared" si="211"/>
        <v>detailed Mining</v>
      </c>
      <c r="N1215" s="118">
        <f>348000*0.90718474</f>
        <v>315700.28951999999</v>
      </c>
      <c r="O1215" s="118"/>
      <c r="P1215" s="118">
        <f>348000*0.90718474</f>
        <v>315700.28951999999</v>
      </c>
      <c r="Q1215" s="118"/>
      <c r="R1215" s="118"/>
      <c r="S1215" s="117" t="s">
        <v>610</v>
      </c>
      <c r="T1215" s="119">
        <v>1460.94</v>
      </c>
      <c r="U1215" s="117" t="s">
        <v>611</v>
      </c>
      <c r="V1215" s="117" t="s">
        <v>1838</v>
      </c>
      <c r="W1215" s="89">
        <f t="shared" si="213"/>
        <v>461219180.97134882</v>
      </c>
      <c r="X1215" s="89"/>
      <c r="Y1215" s="602"/>
      <c r="Z1215" s="602"/>
      <c r="AA1215" s="89"/>
      <c r="AB1215" s="89"/>
      <c r="AC1215" s="240"/>
      <c r="AD1215" s="240"/>
      <c r="AE1215" s="240"/>
      <c r="AF1215" s="241"/>
      <c r="AG1215" s="89"/>
      <c r="AH1215" s="124"/>
      <c r="AI1215" s="119"/>
      <c r="AJ1215" s="117"/>
      <c r="AL1215" s="117"/>
      <c r="AM1215" s="117"/>
      <c r="AN1215" s="117"/>
      <c r="AO1215" s="117"/>
      <c r="AP1215" s="117"/>
      <c r="AQ1215" s="117"/>
      <c r="AR1215" s="126"/>
      <c r="AS1215" s="117"/>
      <c r="AT1215" s="117"/>
      <c r="AU1215" s="117">
        <v>14</v>
      </c>
      <c r="AV1215" s="128"/>
      <c r="AW1215" s="117">
        <f>VLOOKUP($D1215,'WB Data'!$C$3:$M$578,2,FALSE)</f>
        <v>10321968594.779902</v>
      </c>
      <c r="AX1215" s="117">
        <f>VLOOKUP($D1215,'WB Data'!$C$3:$M$578,3,FALSE)</f>
        <v>2796484</v>
      </c>
      <c r="AY1215" s="847">
        <f t="shared" si="201"/>
        <v>0.11437929539885165</v>
      </c>
      <c r="AZ1215" s="117">
        <f>VLOOKUP($D1215,'WB Data'!$C$3:$M$578,4,FALSE)/100</f>
        <v>0.30509052637581513</v>
      </c>
      <c r="BA1215" s="117">
        <f t="shared" si="202"/>
        <v>3149134831.8160329</v>
      </c>
      <c r="BB1215" s="129">
        <f>IFERROR(VLOOKUP($D1215,'EITI Revenues'!$C$2:$G$224,5,FALSE),"..")</f>
        <v>1180619495</v>
      </c>
      <c r="BC1215" s="846">
        <f t="shared" si="203"/>
        <v>0.37490280920082553</v>
      </c>
      <c r="BD1215" s="129" t="str">
        <f>VLOOKUP($D1215,'WB Data 2'!$C$2:$K$545,6,FALSE)</f>
        <v>..</v>
      </c>
      <c r="BE1215" s="129">
        <f>IFERROR(VLOOKUP($D1215,UNCTAD!$C$5:$V$529,4,FALSE),"..")</f>
        <v>5345578000</v>
      </c>
      <c r="BF1215" s="846" t="str">
        <f t="shared" si="204"/>
        <v>..</v>
      </c>
      <c r="BG1215" s="117">
        <f>VLOOKUP($D1215,'WB Data'!$C$3:$M$578,5,FALSE)</f>
        <v>448780000</v>
      </c>
      <c r="BH1215" s="129">
        <f>IFERROR($BB1215/$BG1215,"..")</f>
        <v>2.6307310820446546</v>
      </c>
      <c r="BI1215" s="117" t="str">
        <f>IFERROR(VLOOKUP($D1215,'WB Data'!$C$3:$M$578,7,FALSE)/100,"..")</f>
        <v>..</v>
      </c>
      <c r="BJ1215" s="117" t="str">
        <f>IFERROR($BI1215*$AW1215,"..")</f>
        <v>..</v>
      </c>
      <c r="BK1215" s="846" t="str">
        <f>IFERROR($BB1215/$BJ1215,"..")</f>
        <v>..</v>
      </c>
      <c r="BL1215" s="117" t="str">
        <f>IFERROR(VLOOKUP($D1215,'WB Data'!$C$3:$M$578,7,FALSE)/100,"..")</f>
        <v>..</v>
      </c>
      <c r="BM1215" s="117" t="str">
        <f>IFERROR($AW1215*$BL1215,"..")</f>
        <v>..</v>
      </c>
      <c r="BN1215" s="846" t="str">
        <f>IFERROR($BB1215/$BM1215,"..")</f>
        <v>..</v>
      </c>
      <c r="BO1215" s="801">
        <f t="shared" si="200"/>
        <v>39</v>
      </c>
      <c r="BP1215" s="117">
        <f>VLOOKUP($D1215,'WB Data'!$C$3:$M$578,9,FALSE)</f>
        <v>27.4</v>
      </c>
      <c r="BQ1215" s="117">
        <f>VLOOKUP($D1215,'WB Data'!$C$3:$M$578,10,FALSE)</f>
        <v>67.339439024390245</v>
      </c>
      <c r="BR1215" s="117">
        <f>VLOOKUP($D1215,'WB Data'!$C$3:$M$578,11,FALSE)</f>
        <v>27.2</v>
      </c>
      <c r="BS1215" s="129">
        <f>IFERROR(VLOOKUP($D1215,'WB Data 2'!$C$2:$K$545,9,FALSE),"..")</f>
        <v>97.610560000000007</v>
      </c>
      <c r="BT1215" s="129">
        <f>_xlfn.IFNA(VLOOKUP($C1215,RGI!$A$2:$C$43,2,FALSE),"..")</f>
        <v>38.200000000000003</v>
      </c>
      <c r="BU1215" s="129">
        <f>_xlfn.IFNA(VLOOKUP($C1215,RGI!$A$2:$C$43,3,FALSE),"..")</f>
        <v>50.952530108834466</v>
      </c>
      <c r="BV1215" s="129">
        <f>VLOOKUP($D1215,WGI!$C$2:$O$478,7,FALSE)</f>
        <v>1.9513473312359399E-2</v>
      </c>
      <c r="BW1215" s="129">
        <f>VLOOKUP($D1215,WGI!$C$2:$O$478,4,FALSE)</f>
        <v>0.44897659810553098</v>
      </c>
      <c r="BX1215" s="129">
        <f>VLOOKUP($D1215,WGI!$C$2:$O$478,3,FALSE)</f>
        <v>-0.63227226010712301</v>
      </c>
      <c r="BY1215" s="129">
        <f>VLOOKUP($D1215,WGI!$C$2:$O$478,5,FALSE)</f>
        <v>-0.165274280560958</v>
      </c>
      <c r="BZ1215" s="129">
        <f>VLOOKUP($D1215,WGI!$C$2:$O$478,2,FALSE)</f>
        <v>-0.52053676320938103</v>
      </c>
      <c r="CB1215" s="129"/>
    </row>
    <row r="1216" spans="1:80" s="120" customFormat="1" ht="15" customHeight="1">
      <c r="A1216" s="280" t="s">
        <v>380</v>
      </c>
      <c r="B1216" s="117">
        <v>2012</v>
      </c>
      <c r="C1216" s="117" t="s">
        <v>364</v>
      </c>
      <c r="D1216" s="117" t="s">
        <v>3753</v>
      </c>
      <c r="E1216" s="117" t="s">
        <v>244</v>
      </c>
      <c r="F1216" s="117"/>
      <c r="G1216" s="117" t="s">
        <v>24</v>
      </c>
      <c r="H1216" s="117" t="str">
        <f t="shared" si="207"/>
        <v>yes</v>
      </c>
      <c r="I1216" s="117" t="str">
        <f t="shared" si="209"/>
        <v>no</v>
      </c>
      <c r="J1216" s="117" t="str">
        <f t="shared" si="210"/>
        <v>no</v>
      </c>
      <c r="K1216" s="117" t="s">
        <v>1758</v>
      </c>
      <c r="L1216" s="117" t="str">
        <f t="shared" si="208"/>
        <v>detailed</v>
      </c>
      <c r="M1216" s="117" t="str">
        <f t="shared" si="211"/>
        <v>detailed Mining</v>
      </c>
      <c r="N1216" s="118">
        <f>641000*0.90718474</f>
        <v>581505.41833999997</v>
      </c>
      <c r="O1216" s="118"/>
      <c r="P1216" s="118">
        <f>641000*0.90718474</f>
        <v>581505.41833999997</v>
      </c>
      <c r="Q1216" s="118"/>
      <c r="R1216" s="118"/>
      <c r="S1216" s="117" t="s">
        <v>610</v>
      </c>
      <c r="T1216" s="119">
        <v>238.94</v>
      </c>
      <c r="U1216" s="117" t="s">
        <v>611</v>
      </c>
      <c r="V1216" s="117" t="s">
        <v>1838</v>
      </c>
      <c r="W1216" s="89">
        <f t="shared" si="213"/>
        <v>138944904.65815958</v>
      </c>
      <c r="X1216" s="89"/>
      <c r="Y1216" s="602"/>
      <c r="Z1216" s="602"/>
      <c r="AA1216" s="89"/>
      <c r="AB1216" s="89"/>
      <c r="AC1216" s="240"/>
      <c r="AD1216" s="240"/>
      <c r="AE1216" s="240"/>
      <c r="AF1216" s="241"/>
      <c r="AG1216" s="89"/>
      <c r="AH1216" s="124"/>
      <c r="AI1216" s="119"/>
      <c r="AJ1216" s="117"/>
      <c r="AL1216" s="117"/>
      <c r="AM1216" s="117"/>
      <c r="AN1216" s="117"/>
      <c r="AO1216" s="117"/>
      <c r="AP1216" s="117"/>
      <c r="AQ1216" s="117"/>
      <c r="AR1216" s="126"/>
      <c r="AS1216" s="117"/>
      <c r="AT1216" s="117"/>
      <c r="AU1216" s="117" t="s">
        <v>1851</v>
      </c>
      <c r="AV1216" s="128"/>
      <c r="AW1216" s="117">
        <f>VLOOKUP($D1216,'WB Data'!$C$3:$M$578,2,FALSE)</f>
        <v>10321968594.779902</v>
      </c>
      <c r="AX1216" s="117">
        <f>VLOOKUP($D1216,'WB Data'!$C$3:$M$578,3,FALSE)</f>
        <v>2796484</v>
      </c>
      <c r="AY1216" s="847">
        <f t="shared" si="201"/>
        <v>0.11437929539885165</v>
      </c>
      <c r="AZ1216" s="117">
        <f>VLOOKUP($D1216,'WB Data'!$C$3:$M$578,4,FALSE)/100</f>
        <v>0.30509052637581513</v>
      </c>
      <c r="BA1216" s="117">
        <f t="shared" si="202"/>
        <v>3149134831.8160329</v>
      </c>
      <c r="BB1216" s="129">
        <f>IFERROR(VLOOKUP($D1216,'EITI Revenues'!$C$2:$G$224,5,FALSE),"..")</f>
        <v>1180619495</v>
      </c>
      <c r="BC1216" s="846">
        <f t="shared" si="203"/>
        <v>0.37490280920082553</v>
      </c>
      <c r="BD1216" s="129" t="str">
        <f>VLOOKUP($D1216,'WB Data 2'!$C$2:$K$545,6,FALSE)</f>
        <v>..</v>
      </c>
      <c r="BE1216" s="129">
        <f>IFERROR(VLOOKUP($D1216,UNCTAD!$C$5:$V$529,4,FALSE),"..")</f>
        <v>5345578000</v>
      </c>
      <c r="BF1216" s="846" t="str">
        <f t="shared" si="204"/>
        <v>..</v>
      </c>
      <c r="BG1216" s="117">
        <f>VLOOKUP($D1216,'WB Data'!$C$3:$M$578,5,FALSE)</f>
        <v>448780000</v>
      </c>
      <c r="BH1216" s="129">
        <f>IFERROR($BB1216/$BG1216,"..")</f>
        <v>2.6307310820446546</v>
      </c>
      <c r="BI1216" s="117" t="str">
        <f>IFERROR(VLOOKUP($D1216,'WB Data'!$C$3:$M$578,7,FALSE)/100,"..")</f>
        <v>..</v>
      </c>
      <c r="BJ1216" s="117" t="str">
        <f>IFERROR($BI1216*$AW1216,"..")</f>
        <v>..</v>
      </c>
      <c r="BK1216" s="846" t="str">
        <f>IFERROR($BB1216/$BJ1216,"..")</f>
        <v>..</v>
      </c>
      <c r="BL1216" s="117" t="str">
        <f>IFERROR(VLOOKUP($D1216,'WB Data'!$C$3:$M$578,7,FALSE)/100,"..")</f>
        <v>..</v>
      </c>
      <c r="BM1216" s="117" t="str">
        <f>IFERROR($AW1216*$BL1216,"..")</f>
        <v>..</v>
      </c>
      <c r="BN1216" s="846" t="str">
        <f>IFERROR($BB1216/$BM1216,"..")</f>
        <v>..</v>
      </c>
      <c r="BO1216" s="801">
        <f t="shared" si="200"/>
        <v>39</v>
      </c>
      <c r="BP1216" s="117">
        <f>VLOOKUP($D1216,'WB Data'!$C$3:$M$578,9,FALSE)</f>
        <v>27.4</v>
      </c>
      <c r="BQ1216" s="117">
        <f>VLOOKUP($D1216,'WB Data'!$C$3:$M$578,10,FALSE)</f>
        <v>67.339439024390245</v>
      </c>
      <c r="BR1216" s="117">
        <f>VLOOKUP($D1216,'WB Data'!$C$3:$M$578,11,FALSE)</f>
        <v>27.2</v>
      </c>
      <c r="BS1216" s="129">
        <f>IFERROR(VLOOKUP($D1216,'WB Data 2'!$C$2:$K$545,9,FALSE),"..")</f>
        <v>97.610560000000007</v>
      </c>
      <c r="BT1216" s="129">
        <f>_xlfn.IFNA(VLOOKUP($C1216,RGI!$A$2:$C$43,2,FALSE),"..")</f>
        <v>38.200000000000003</v>
      </c>
      <c r="BU1216" s="129">
        <f>_xlfn.IFNA(VLOOKUP($C1216,RGI!$A$2:$C$43,3,FALSE),"..")</f>
        <v>50.952530108834466</v>
      </c>
      <c r="BV1216" s="129">
        <f>VLOOKUP($D1216,WGI!$C$2:$O$478,7,FALSE)</f>
        <v>1.9513473312359399E-2</v>
      </c>
      <c r="BW1216" s="129">
        <f>VLOOKUP($D1216,WGI!$C$2:$O$478,4,FALSE)</f>
        <v>0.44897659810553098</v>
      </c>
      <c r="BX1216" s="129">
        <f>VLOOKUP($D1216,WGI!$C$2:$O$478,3,FALSE)</f>
        <v>-0.63227226010712301</v>
      </c>
      <c r="BY1216" s="129">
        <f>VLOOKUP($D1216,WGI!$C$2:$O$478,5,FALSE)</f>
        <v>-0.165274280560958</v>
      </c>
      <c r="BZ1216" s="129">
        <f>VLOOKUP($D1216,WGI!$C$2:$O$478,2,FALSE)</f>
        <v>-0.52053676320938103</v>
      </c>
      <c r="CB1216" s="129"/>
    </row>
    <row r="1217" spans="1:80" s="120" customFormat="1" ht="15" customHeight="1">
      <c r="A1217" s="280" t="s">
        <v>380</v>
      </c>
      <c r="B1217" s="117">
        <v>2012</v>
      </c>
      <c r="C1217" s="117" t="s">
        <v>364</v>
      </c>
      <c r="D1217" s="117" t="s">
        <v>3753</v>
      </c>
      <c r="E1217" s="117" t="s">
        <v>244</v>
      </c>
      <c r="F1217" s="117"/>
      <c r="G1217" s="117" t="s">
        <v>24</v>
      </c>
      <c r="H1217" s="117" t="str">
        <f t="shared" si="207"/>
        <v>yes</v>
      </c>
      <c r="I1217" s="117" t="str">
        <f t="shared" si="209"/>
        <v>no</v>
      </c>
      <c r="J1217" s="117" t="str">
        <f t="shared" si="210"/>
        <v>no</v>
      </c>
      <c r="K1217" s="117" t="s">
        <v>784</v>
      </c>
      <c r="L1217" s="117" t="str">
        <f t="shared" si="208"/>
        <v>detailed</v>
      </c>
      <c r="M1217" s="117" t="str">
        <f t="shared" si="211"/>
        <v>detailed Mining</v>
      </c>
      <c r="N1217" s="118">
        <f>5995*32.150743126506</f>
        <v>192743.70504340346</v>
      </c>
      <c r="O1217" s="118"/>
      <c r="P1217" s="118">
        <f>5995*32.150743126506</f>
        <v>192743.70504340346</v>
      </c>
      <c r="Q1217" s="118"/>
      <c r="R1217" s="118"/>
      <c r="S1217" s="117" t="s">
        <v>785</v>
      </c>
      <c r="T1217" s="119">
        <f>43676428.57/32150.7466</f>
        <v>1358.4887814082676</v>
      </c>
      <c r="U1217" s="117" t="s">
        <v>786</v>
      </c>
      <c r="V1217" s="117" t="s">
        <v>1838</v>
      </c>
      <c r="W1217" s="89">
        <f t="shared" si="213"/>
        <v>261840160.98852775</v>
      </c>
      <c r="X1217" s="89"/>
      <c r="Y1217" s="602"/>
      <c r="Z1217" s="602"/>
      <c r="AA1217" s="89"/>
      <c r="AB1217" s="89"/>
      <c r="AC1217" s="240"/>
      <c r="AD1217" s="240"/>
      <c r="AE1217" s="240"/>
      <c r="AF1217" s="241"/>
      <c r="AG1217" s="89"/>
      <c r="AH1217" s="124"/>
      <c r="AI1217" s="119"/>
      <c r="AJ1217" s="117"/>
      <c r="AK1217" s="117"/>
      <c r="AL1217" s="117"/>
      <c r="AM1217" s="117"/>
      <c r="AN1217" s="117"/>
      <c r="AO1217" s="117"/>
      <c r="AP1217" s="117"/>
      <c r="AQ1217" s="117"/>
      <c r="AR1217" s="126"/>
      <c r="AS1217" s="117"/>
      <c r="AT1217" s="117"/>
      <c r="AU1217" s="117">
        <v>14</v>
      </c>
      <c r="AV1217" s="128"/>
      <c r="AW1217" s="117">
        <f>VLOOKUP($D1217,'WB Data'!$C$3:$M$578,2,FALSE)</f>
        <v>10321968594.779902</v>
      </c>
      <c r="AX1217" s="117">
        <f>VLOOKUP($D1217,'WB Data'!$C$3:$M$578,3,FALSE)</f>
        <v>2796484</v>
      </c>
      <c r="AY1217" s="847">
        <f t="shared" si="201"/>
        <v>0.11437929539885165</v>
      </c>
      <c r="AZ1217" s="117">
        <f>VLOOKUP($D1217,'WB Data'!$C$3:$M$578,4,FALSE)/100</f>
        <v>0.30509052637581513</v>
      </c>
      <c r="BA1217" s="117">
        <f t="shared" si="202"/>
        <v>3149134831.8160329</v>
      </c>
      <c r="BB1217" s="129">
        <f>IFERROR(VLOOKUP($D1217,'EITI Revenues'!$C$2:$G$224,5,FALSE),"..")</f>
        <v>1180619495</v>
      </c>
      <c r="BC1217" s="846">
        <f t="shared" si="203"/>
        <v>0.37490280920082553</v>
      </c>
      <c r="BD1217" s="129" t="str">
        <f>VLOOKUP($D1217,'WB Data 2'!$C$2:$K$545,6,FALSE)</f>
        <v>..</v>
      </c>
      <c r="BE1217" s="129">
        <f>IFERROR(VLOOKUP($D1217,UNCTAD!$C$5:$V$529,4,FALSE),"..")</f>
        <v>5345578000</v>
      </c>
      <c r="BF1217" s="846" t="str">
        <f t="shared" si="204"/>
        <v>..</v>
      </c>
      <c r="BG1217" s="117">
        <f>VLOOKUP($D1217,'WB Data'!$C$3:$M$578,5,FALSE)</f>
        <v>448780000</v>
      </c>
      <c r="BH1217" s="129">
        <f>IFERROR($BB1217/$BG1217,"..")</f>
        <v>2.6307310820446546</v>
      </c>
      <c r="BI1217" s="117" t="str">
        <f>IFERROR(VLOOKUP($D1217,'WB Data'!$C$3:$M$578,7,FALSE)/100,"..")</f>
        <v>..</v>
      </c>
      <c r="BJ1217" s="117" t="str">
        <f>IFERROR($BI1217*$AW1217,"..")</f>
        <v>..</v>
      </c>
      <c r="BK1217" s="846" t="str">
        <f>IFERROR($BB1217/$BJ1217,"..")</f>
        <v>..</v>
      </c>
      <c r="BL1217" s="117" t="str">
        <f>IFERROR(VLOOKUP($D1217,'WB Data'!$C$3:$M$578,7,FALSE)/100,"..")</f>
        <v>..</v>
      </c>
      <c r="BM1217" s="117" t="str">
        <f>IFERROR($AW1217*$BL1217,"..")</f>
        <v>..</v>
      </c>
      <c r="BN1217" s="846" t="str">
        <f>IFERROR($BB1217/$BM1217,"..")</f>
        <v>..</v>
      </c>
      <c r="BO1217" s="801">
        <f t="shared" si="200"/>
        <v>39</v>
      </c>
      <c r="BP1217" s="117">
        <f>VLOOKUP($D1217,'WB Data'!$C$3:$M$578,9,FALSE)</f>
        <v>27.4</v>
      </c>
      <c r="BQ1217" s="117">
        <f>VLOOKUP($D1217,'WB Data'!$C$3:$M$578,10,FALSE)</f>
        <v>67.339439024390245</v>
      </c>
      <c r="BR1217" s="117">
        <f>VLOOKUP($D1217,'WB Data'!$C$3:$M$578,11,FALSE)</f>
        <v>27.2</v>
      </c>
      <c r="BS1217" s="129">
        <f>IFERROR(VLOOKUP($D1217,'WB Data 2'!$C$2:$K$545,9,FALSE),"..")</f>
        <v>97.610560000000007</v>
      </c>
      <c r="BT1217" s="129">
        <f>_xlfn.IFNA(VLOOKUP($C1217,RGI!$A$2:$C$43,2,FALSE),"..")</f>
        <v>38.200000000000003</v>
      </c>
      <c r="BU1217" s="129">
        <f>_xlfn.IFNA(VLOOKUP($C1217,RGI!$A$2:$C$43,3,FALSE),"..")</f>
        <v>50.952530108834466</v>
      </c>
      <c r="BV1217" s="129">
        <f>VLOOKUP($D1217,WGI!$C$2:$O$478,7,FALSE)</f>
        <v>1.9513473312359399E-2</v>
      </c>
      <c r="BW1217" s="129">
        <f>VLOOKUP($D1217,WGI!$C$2:$O$478,4,FALSE)</f>
        <v>0.44897659810553098</v>
      </c>
      <c r="BX1217" s="129">
        <f>VLOOKUP($D1217,WGI!$C$2:$O$478,3,FALSE)</f>
        <v>-0.63227226010712301</v>
      </c>
      <c r="BY1217" s="129">
        <f>VLOOKUP($D1217,WGI!$C$2:$O$478,5,FALSE)</f>
        <v>-0.165274280560958</v>
      </c>
      <c r="BZ1217" s="129">
        <f>VLOOKUP($D1217,WGI!$C$2:$O$478,2,FALSE)</f>
        <v>-0.52053676320938103</v>
      </c>
      <c r="CB1217" s="129"/>
    </row>
    <row r="1218" spans="1:80" s="120" customFormat="1" ht="15" customHeight="1">
      <c r="A1218" s="280" t="s">
        <v>380</v>
      </c>
      <c r="B1218" s="117">
        <v>2012</v>
      </c>
      <c r="C1218" s="117" t="s">
        <v>364</v>
      </c>
      <c r="D1218" s="117" t="s">
        <v>3753</v>
      </c>
      <c r="E1218" s="117" t="s">
        <v>244</v>
      </c>
      <c r="F1218" s="117"/>
      <c r="G1218" s="117" t="s">
        <v>24</v>
      </c>
      <c r="H1218" s="117" t="str">
        <f t="shared" si="207"/>
        <v>yes</v>
      </c>
      <c r="I1218" s="117" t="str">
        <f t="shared" si="209"/>
        <v>no</v>
      </c>
      <c r="J1218" s="117" t="str">
        <f t="shared" si="210"/>
        <v>no</v>
      </c>
      <c r="K1218" s="117" t="s">
        <v>1291</v>
      </c>
      <c r="L1218" s="117" t="str">
        <f t="shared" si="208"/>
        <v>detailed</v>
      </c>
      <c r="M1218" s="117" t="str">
        <f t="shared" si="211"/>
        <v>detailed Mining</v>
      </c>
      <c r="N1218" s="118">
        <f>7561000*0.90718474</f>
        <v>6859223.8191400003</v>
      </c>
      <c r="O1218" s="118"/>
      <c r="P1218" s="118">
        <f>7561000*0.90718474</f>
        <v>6859223.8191400003</v>
      </c>
      <c r="Q1218" s="118"/>
      <c r="R1218" s="118"/>
      <c r="S1218" s="117" t="s">
        <v>610</v>
      </c>
      <c r="T1218" s="119">
        <v>83</v>
      </c>
      <c r="U1218" s="117" t="s">
        <v>611</v>
      </c>
      <c r="V1218" s="117" t="s">
        <v>1838</v>
      </c>
      <c r="W1218" s="89">
        <f t="shared" si="213"/>
        <v>569315576.98862004</v>
      </c>
      <c r="X1218" s="89"/>
      <c r="Y1218" s="602"/>
      <c r="Z1218" s="602"/>
      <c r="AA1218" s="89"/>
      <c r="AB1218" s="89"/>
      <c r="AC1218" s="240"/>
      <c r="AD1218" s="240"/>
      <c r="AE1218" s="240"/>
      <c r="AF1218" s="241"/>
      <c r="AG1218" s="89"/>
      <c r="AH1218" s="124"/>
      <c r="AI1218" s="117"/>
      <c r="AJ1218" s="117"/>
      <c r="AK1218" s="117"/>
      <c r="AL1218" s="117"/>
      <c r="AM1218" s="117"/>
      <c r="AN1218" s="117"/>
      <c r="AO1218" s="117"/>
      <c r="AP1218" s="117"/>
      <c r="AQ1218" s="117"/>
      <c r="AR1218" s="126"/>
      <c r="AS1218" s="117"/>
      <c r="AT1218" s="117"/>
      <c r="AU1218" s="117">
        <v>14</v>
      </c>
      <c r="AV1218" s="128"/>
      <c r="AW1218" s="117">
        <f>VLOOKUP($D1218,'WB Data'!$C$3:$M$578,2,FALSE)</f>
        <v>10321968594.779902</v>
      </c>
      <c r="AX1218" s="117">
        <f>VLOOKUP($D1218,'WB Data'!$C$3:$M$578,3,FALSE)</f>
        <v>2796484</v>
      </c>
      <c r="AY1218" s="847">
        <f t="shared" si="201"/>
        <v>0.11437929539885165</v>
      </c>
      <c r="AZ1218" s="117">
        <f>VLOOKUP($D1218,'WB Data'!$C$3:$M$578,4,FALSE)/100</f>
        <v>0.30509052637581513</v>
      </c>
      <c r="BA1218" s="117">
        <f t="shared" si="202"/>
        <v>3149134831.8160329</v>
      </c>
      <c r="BB1218" s="129">
        <f>IFERROR(VLOOKUP($D1218,'EITI Revenues'!$C$2:$G$224,5,FALSE),"..")</f>
        <v>1180619495</v>
      </c>
      <c r="BC1218" s="846">
        <f t="shared" si="203"/>
        <v>0.37490280920082553</v>
      </c>
      <c r="BD1218" s="129" t="str">
        <f>VLOOKUP($D1218,'WB Data 2'!$C$2:$K$545,6,FALSE)</f>
        <v>..</v>
      </c>
      <c r="BE1218" s="129">
        <f>IFERROR(VLOOKUP($D1218,UNCTAD!$C$5:$V$529,4,FALSE),"..")</f>
        <v>5345578000</v>
      </c>
      <c r="BF1218" s="846" t="str">
        <f t="shared" si="204"/>
        <v>..</v>
      </c>
      <c r="BG1218" s="117">
        <f>VLOOKUP($D1218,'WB Data'!$C$3:$M$578,5,FALSE)</f>
        <v>448780000</v>
      </c>
      <c r="BH1218" s="129">
        <f>IFERROR($BB1218/$BG1218,"..")</f>
        <v>2.6307310820446546</v>
      </c>
      <c r="BI1218" s="117" t="str">
        <f>IFERROR(VLOOKUP($D1218,'WB Data'!$C$3:$M$578,7,FALSE)/100,"..")</f>
        <v>..</v>
      </c>
      <c r="BJ1218" s="117" t="str">
        <f>IFERROR($BI1218*$AW1218,"..")</f>
        <v>..</v>
      </c>
      <c r="BK1218" s="846" t="str">
        <f>IFERROR($BB1218/$BJ1218,"..")</f>
        <v>..</v>
      </c>
      <c r="BL1218" s="117" t="str">
        <f>IFERROR(VLOOKUP($D1218,'WB Data'!$C$3:$M$578,7,FALSE)/100,"..")</f>
        <v>..</v>
      </c>
      <c r="BM1218" s="117" t="str">
        <f>IFERROR($AW1218*$BL1218,"..")</f>
        <v>..</v>
      </c>
      <c r="BN1218" s="846" t="str">
        <f>IFERROR($BB1218/$BM1218,"..")</f>
        <v>..</v>
      </c>
      <c r="BO1218" s="801">
        <f t="shared" ref="BO1218:BO1281" si="214">_xlfn.IFNA(VLOOKUP($C1218,CPI_2013,2,FALSE),"..")</f>
        <v>39</v>
      </c>
      <c r="BP1218" s="117">
        <f>VLOOKUP($D1218,'WB Data'!$C$3:$M$578,9,FALSE)</f>
        <v>27.4</v>
      </c>
      <c r="BQ1218" s="117">
        <f>VLOOKUP($D1218,'WB Data'!$C$3:$M$578,10,FALSE)</f>
        <v>67.339439024390245</v>
      </c>
      <c r="BR1218" s="117">
        <f>VLOOKUP($D1218,'WB Data'!$C$3:$M$578,11,FALSE)</f>
        <v>27.2</v>
      </c>
      <c r="BS1218" s="129">
        <f>IFERROR(VLOOKUP($D1218,'WB Data 2'!$C$2:$K$545,9,FALSE),"..")</f>
        <v>97.610560000000007</v>
      </c>
      <c r="BT1218" s="129">
        <f>_xlfn.IFNA(VLOOKUP($C1218,RGI!$A$2:$C$43,2,FALSE),"..")</f>
        <v>38.200000000000003</v>
      </c>
      <c r="BU1218" s="129">
        <f>_xlfn.IFNA(VLOOKUP($C1218,RGI!$A$2:$C$43,3,FALSE),"..")</f>
        <v>50.952530108834466</v>
      </c>
      <c r="BV1218" s="129">
        <f>VLOOKUP($D1218,WGI!$C$2:$O$478,7,FALSE)</f>
        <v>1.9513473312359399E-2</v>
      </c>
      <c r="BW1218" s="129">
        <f>VLOOKUP($D1218,WGI!$C$2:$O$478,4,FALSE)</f>
        <v>0.44897659810553098</v>
      </c>
      <c r="BX1218" s="129">
        <f>VLOOKUP($D1218,WGI!$C$2:$O$478,3,FALSE)</f>
        <v>-0.63227226010712301</v>
      </c>
      <c r="BY1218" s="129">
        <f>VLOOKUP($D1218,WGI!$C$2:$O$478,5,FALSE)</f>
        <v>-0.165274280560958</v>
      </c>
      <c r="BZ1218" s="129">
        <f>VLOOKUP($D1218,WGI!$C$2:$O$478,2,FALSE)</f>
        <v>-0.52053676320938103</v>
      </c>
      <c r="CB1218" s="129"/>
    </row>
    <row r="1219" spans="1:80" s="120" customFormat="1" ht="15" customHeight="1">
      <c r="A1219" s="280" t="s">
        <v>380</v>
      </c>
      <c r="B1219" s="117">
        <v>2012</v>
      </c>
      <c r="C1219" s="117" t="s">
        <v>364</v>
      </c>
      <c r="D1219" s="117" t="s">
        <v>3753</v>
      </c>
      <c r="E1219" s="117" t="s">
        <v>244</v>
      </c>
      <c r="F1219" s="117"/>
      <c r="G1219" s="117" t="s">
        <v>24</v>
      </c>
      <c r="H1219" s="117" t="str">
        <f t="shared" si="207"/>
        <v>yes</v>
      </c>
      <c r="I1219" s="117" t="str">
        <f t="shared" si="209"/>
        <v>no</v>
      </c>
      <c r="J1219" s="117" t="str">
        <f t="shared" si="210"/>
        <v>no</v>
      </c>
      <c r="K1219" s="117" t="s">
        <v>1493</v>
      </c>
      <c r="L1219" s="117" t="str">
        <f t="shared" si="208"/>
        <v>detailed</v>
      </c>
      <c r="M1219" s="117" t="str">
        <f t="shared" si="211"/>
        <v>detailed Mining</v>
      </c>
      <c r="N1219" s="118">
        <f>4050*0.90718474</f>
        <v>3674.0981970000003</v>
      </c>
      <c r="O1219" s="118"/>
      <c r="P1219" s="118">
        <f>4050*0.90718474</f>
        <v>3674.0981970000003</v>
      </c>
      <c r="Q1219" s="118"/>
      <c r="R1219" s="118"/>
      <c r="S1219" s="117" t="s">
        <v>610</v>
      </c>
      <c r="T1219" s="119">
        <v>9543.5</v>
      </c>
      <c r="U1219" s="117" t="s">
        <v>611</v>
      </c>
      <c r="V1219" s="117" t="s">
        <v>1838</v>
      </c>
      <c r="W1219" s="89">
        <f t="shared" si="213"/>
        <v>35063756.143069506</v>
      </c>
      <c r="Y1219" s="602"/>
      <c r="Z1219" s="602"/>
      <c r="AA1219" s="89"/>
      <c r="AB1219" s="89"/>
      <c r="AC1219" s="240"/>
      <c r="AD1219" s="240"/>
      <c r="AE1219" s="240"/>
      <c r="AF1219" s="241"/>
      <c r="AG1219" s="89"/>
      <c r="AH1219" s="124"/>
      <c r="AI1219" s="117"/>
      <c r="AJ1219" s="117"/>
      <c r="AK1219" s="117"/>
      <c r="AL1219" s="117"/>
      <c r="AM1219" s="117"/>
      <c r="AN1219" s="117"/>
      <c r="AO1219" s="117"/>
      <c r="AP1219" s="117"/>
      <c r="AQ1219" s="117"/>
      <c r="AR1219" s="126"/>
      <c r="AS1219" s="117"/>
      <c r="AT1219" s="117"/>
      <c r="AU1219" s="117">
        <v>15</v>
      </c>
      <c r="AV1219" s="128"/>
      <c r="AW1219" s="117">
        <f>VLOOKUP($D1219,'WB Data'!$C$3:$M$578,2,FALSE)</f>
        <v>10321968594.779902</v>
      </c>
      <c r="AX1219" s="117">
        <f>VLOOKUP($D1219,'WB Data'!$C$3:$M$578,3,FALSE)</f>
        <v>2796484</v>
      </c>
      <c r="AY1219" s="847">
        <f t="shared" ref="AY1219:AY1282" si="215">IFERROR($BB1219/$AW1219,"..")</f>
        <v>0.11437929539885165</v>
      </c>
      <c r="AZ1219" s="117">
        <f>VLOOKUP($D1219,'WB Data'!$C$3:$M$578,4,FALSE)/100</f>
        <v>0.30509052637581513</v>
      </c>
      <c r="BA1219" s="117">
        <f t="shared" ref="BA1219:BA1282" si="216">IFERROR($AW1219*$AZ1219,"..")</f>
        <v>3149134831.8160329</v>
      </c>
      <c r="BB1219" s="129">
        <f>IFERROR(VLOOKUP($D1219,'EITI Revenues'!$C$2:$G$224,5,FALSE),"..")</f>
        <v>1180619495</v>
      </c>
      <c r="BC1219" s="846">
        <f t="shared" ref="BC1219:BC1282" si="217">IFERROR($BB1219/$BA1219,"..")</f>
        <v>0.37490280920082553</v>
      </c>
      <c r="BD1219" s="129" t="str">
        <f>VLOOKUP($D1219,'WB Data 2'!$C$2:$K$545,6,FALSE)</f>
        <v>..</v>
      </c>
      <c r="BE1219" s="129">
        <f>IFERROR(VLOOKUP($D1219,UNCTAD!$C$5:$V$529,4,FALSE),"..")</f>
        <v>5345578000</v>
      </c>
      <c r="BF1219" s="846" t="str">
        <f t="shared" ref="BF1219:BF1282" si="218">IFERROR(($BD1219/$BE1219),"..")</f>
        <v>..</v>
      </c>
      <c r="BG1219" s="117">
        <f>VLOOKUP($D1219,'WB Data'!$C$3:$M$578,5,FALSE)</f>
        <v>448780000</v>
      </c>
      <c r="BH1219" s="129">
        <f>IFERROR($BB1219/$BG1219,"..")</f>
        <v>2.6307310820446546</v>
      </c>
      <c r="BI1219" s="117" t="str">
        <f>IFERROR(VLOOKUP($D1219,'WB Data'!$C$3:$M$578,7,FALSE)/100,"..")</f>
        <v>..</v>
      </c>
      <c r="BJ1219" s="117" t="str">
        <f>IFERROR($BI1219*$AW1219,"..")</f>
        <v>..</v>
      </c>
      <c r="BK1219" s="846" t="str">
        <f>IFERROR($BB1219/$BJ1219,"..")</f>
        <v>..</v>
      </c>
      <c r="BL1219" s="117" t="str">
        <f>IFERROR(VLOOKUP($D1219,'WB Data'!$C$3:$M$578,7,FALSE)/100,"..")</f>
        <v>..</v>
      </c>
      <c r="BM1219" s="117" t="str">
        <f>IFERROR($AW1219*$BL1219,"..")</f>
        <v>..</v>
      </c>
      <c r="BN1219" s="846" t="str">
        <f>IFERROR($BB1219/$BM1219,"..")</f>
        <v>..</v>
      </c>
      <c r="BO1219" s="801">
        <f t="shared" si="214"/>
        <v>39</v>
      </c>
      <c r="BP1219" s="117">
        <f>VLOOKUP($D1219,'WB Data'!$C$3:$M$578,9,FALSE)</f>
        <v>27.4</v>
      </c>
      <c r="BQ1219" s="117">
        <f>VLOOKUP($D1219,'WB Data'!$C$3:$M$578,10,FALSE)</f>
        <v>67.339439024390245</v>
      </c>
      <c r="BR1219" s="117">
        <f>VLOOKUP($D1219,'WB Data'!$C$3:$M$578,11,FALSE)</f>
        <v>27.2</v>
      </c>
      <c r="BS1219" s="129">
        <f>IFERROR(VLOOKUP($D1219,'WB Data 2'!$C$2:$K$545,9,FALSE),"..")</f>
        <v>97.610560000000007</v>
      </c>
      <c r="BT1219" s="129">
        <f>_xlfn.IFNA(VLOOKUP($C1219,RGI!$A$2:$C$43,2,FALSE),"..")</f>
        <v>38.200000000000003</v>
      </c>
      <c r="BU1219" s="129">
        <f>_xlfn.IFNA(VLOOKUP($C1219,RGI!$A$2:$C$43,3,FALSE),"..")</f>
        <v>50.952530108834466</v>
      </c>
      <c r="BV1219" s="129">
        <f>VLOOKUP($D1219,WGI!$C$2:$O$478,7,FALSE)</f>
        <v>1.9513473312359399E-2</v>
      </c>
      <c r="BW1219" s="129">
        <f>VLOOKUP($D1219,WGI!$C$2:$O$478,4,FALSE)</f>
        <v>0.44897659810553098</v>
      </c>
      <c r="BX1219" s="129">
        <f>VLOOKUP($D1219,WGI!$C$2:$O$478,3,FALSE)</f>
        <v>-0.63227226010712301</v>
      </c>
      <c r="BY1219" s="129">
        <f>VLOOKUP($D1219,WGI!$C$2:$O$478,5,FALSE)</f>
        <v>-0.165274280560958</v>
      </c>
      <c r="BZ1219" s="129">
        <f>VLOOKUP($D1219,WGI!$C$2:$O$478,2,FALSE)</f>
        <v>-0.52053676320938103</v>
      </c>
      <c r="CB1219" s="129"/>
    </row>
    <row r="1220" spans="1:80" s="120" customFormat="1" ht="15" customHeight="1">
      <c r="A1220" s="280" t="s">
        <v>380</v>
      </c>
      <c r="B1220" s="117">
        <v>2012</v>
      </c>
      <c r="C1220" s="117" t="s">
        <v>364</v>
      </c>
      <c r="D1220" s="117" t="s">
        <v>3753</v>
      </c>
      <c r="E1220" s="117" t="s">
        <v>244</v>
      </c>
      <c r="F1220" s="117"/>
      <c r="G1220" s="117" t="s">
        <v>24</v>
      </c>
      <c r="H1220" s="117" t="str">
        <f t="shared" si="207"/>
        <v>yes</v>
      </c>
      <c r="I1220" s="117" t="str">
        <f t="shared" si="209"/>
        <v>no</v>
      </c>
      <c r="J1220" s="117" t="str">
        <f t="shared" si="210"/>
        <v>no</v>
      </c>
      <c r="K1220" s="117" t="s">
        <v>1147</v>
      </c>
      <c r="L1220" s="117" t="str">
        <f t="shared" si="208"/>
        <v>detailed</v>
      </c>
      <c r="M1220" s="117" t="str">
        <f t="shared" si="211"/>
        <v>detailed Mining</v>
      </c>
      <c r="N1220" s="118">
        <f>569*0.90718474</f>
        <v>516.18811706000008</v>
      </c>
      <c r="O1220" s="118"/>
      <c r="P1220" s="118"/>
      <c r="Q1220" s="118"/>
      <c r="R1220" s="118"/>
      <c r="S1220" s="117" t="s">
        <v>610</v>
      </c>
      <c r="T1220" s="119">
        <v>67.25</v>
      </c>
      <c r="U1220" s="117" t="s">
        <v>611</v>
      </c>
      <c r="V1220" s="117" t="s">
        <v>1239</v>
      </c>
      <c r="W1220" s="89">
        <f t="shared" si="213"/>
        <v>34713.650872285005</v>
      </c>
      <c r="Y1220" s="602"/>
      <c r="Z1220" s="602"/>
      <c r="AA1220" s="89"/>
      <c r="AB1220" s="89"/>
      <c r="AC1220" s="240"/>
      <c r="AD1220" s="240"/>
      <c r="AE1220" s="240"/>
      <c r="AF1220" s="241"/>
      <c r="AG1220" s="89"/>
      <c r="AH1220" s="124"/>
      <c r="AI1220" s="117"/>
      <c r="AJ1220" s="117"/>
      <c r="AK1220" s="117"/>
      <c r="AL1220" s="117"/>
      <c r="AM1220" s="117"/>
      <c r="AN1220" s="117"/>
      <c r="AO1220" s="117"/>
      <c r="AP1220" s="117"/>
      <c r="AQ1220" s="117"/>
      <c r="AR1220" s="126"/>
      <c r="AS1220" s="117"/>
      <c r="AT1220" s="117"/>
      <c r="AU1220" s="117">
        <v>14</v>
      </c>
      <c r="AV1220" s="128"/>
      <c r="AW1220" s="117">
        <f>VLOOKUP($D1220,'WB Data'!$C$3:$M$578,2,FALSE)</f>
        <v>10321968594.779902</v>
      </c>
      <c r="AX1220" s="117">
        <f>VLOOKUP($D1220,'WB Data'!$C$3:$M$578,3,FALSE)</f>
        <v>2796484</v>
      </c>
      <c r="AY1220" s="847">
        <f t="shared" si="215"/>
        <v>0.11437929539885165</v>
      </c>
      <c r="AZ1220" s="117">
        <f>VLOOKUP($D1220,'WB Data'!$C$3:$M$578,4,FALSE)/100</f>
        <v>0.30509052637581513</v>
      </c>
      <c r="BA1220" s="117">
        <f t="shared" si="216"/>
        <v>3149134831.8160329</v>
      </c>
      <c r="BB1220" s="129">
        <f>IFERROR(VLOOKUP($D1220,'EITI Revenues'!$C$2:$G$224,5,FALSE),"..")</f>
        <v>1180619495</v>
      </c>
      <c r="BC1220" s="846">
        <f t="shared" si="217"/>
        <v>0.37490280920082553</v>
      </c>
      <c r="BD1220" s="129" t="str">
        <f>VLOOKUP($D1220,'WB Data 2'!$C$2:$K$545,6,FALSE)</f>
        <v>..</v>
      </c>
      <c r="BE1220" s="129">
        <f>IFERROR(VLOOKUP($D1220,UNCTAD!$C$5:$V$529,4,FALSE),"..")</f>
        <v>5345578000</v>
      </c>
      <c r="BF1220" s="846" t="str">
        <f t="shared" si="218"/>
        <v>..</v>
      </c>
      <c r="BG1220" s="117">
        <f>VLOOKUP($D1220,'WB Data'!$C$3:$M$578,5,FALSE)</f>
        <v>448780000</v>
      </c>
      <c r="BH1220" s="129">
        <f>IFERROR($BB1220/$BG1220,"..")</f>
        <v>2.6307310820446546</v>
      </c>
      <c r="BI1220" s="117" t="str">
        <f>IFERROR(VLOOKUP($D1220,'WB Data'!$C$3:$M$578,7,FALSE)/100,"..")</f>
        <v>..</v>
      </c>
      <c r="BJ1220" s="117" t="str">
        <f>IFERROR($BI1220*$AW1220,"..")</f>
        <v>..</v>
      </c>
      <c r="BK1220" s="846" t="str">
        <f>IFERROR($BB1220/$BJ1220,"..")</f>
        <v>..</v>
      </c>
      <c r="BL1220" s="117" t="str">
        <f>IFERROR(VLOOKUP($D1220,'WB Data'!$C$3:$M$578,7,FALSE)/100,"..")</f>
        <v>..</v>
      </c>
      <c r="BM1220" s="117" t="str">
        <f>IFERROR($AW1220*$BL1220,"..")</f>
        <v>..</v>
      </c>
      <c r="BN1220" s="846" t="str">
        <f>IFERROR($BB1220/$BM1220,"..")</f>
        <v>..</v>
      </c>
      <c r="BO1220" s="801">
        <f t="shared" si="214"/>
        <v>39</v>
      </c>
      <c r="BP1220" s="117">
        <f>VLOOKUP($D1220,'WB Data'!$C$3:$M$578,9,FALSE)</f>
        <v>27.4</v>
      </c>
      <c r="BQ1220" s="117">
        <f>VLOOKUP($D1220,'WB Data'!$C$3:$M$578,10,FALSE)</f>
        <v>67.339439024390245</v>
      </c>
      <c r="BR1220" s="117">
        <f>VLOOKUP($D1220,'WB Data'!$C$3:$M$578,11,FALSE)</f>
        <v>27.2</v>
      </c>
      <c r="BS1220" s="129">
        <f>IFERROR(VLOOKUP($D1220,'WB Data 2'!$C$2:$K$545,9,FALSE),"..")</f>
        <v>97.610560000000007</v>
      </c>
      <c r="BT1220" s="129">
        <f>_xlfn.IFNA(VLOOKUP($C1220,RGI!$A$2:$C$43,2,FALSE),"..")</f>
        <v>38.200000000000003</v>
      </c>
      <c r="BU1220" s="129">
        <f>_xlfn.IFNA(VLOOKUP($C1220,RGI!$A$2:$C$43,3,FALSE),"..")</f>
        <v>50.952530108834466</v>
      </c>
      <c r="BV1220" s="129">
        <f>VLOOKUP($D1220,WGI!$C$2:$O$478,7,FALSE)</f>
        <v>1.9513473312359399E-2</v>
      </c>
      <c r="BW1220" s="129">
        <f>VLOOKUP($D1220,WGI!$C$2:$O$478,4,FALSE)</f>
        <v>0.44897659810553098</v>
      </c>
      <c r="BX1220" s="129">
        <f>VLOOKUP($D1220,WGI!$C$2:$O$478,3,FALSE)</f>
        <v>-0.63227226010712301</v>
      </c>
      <c r="BY1220" s="129">
        <f>VLOOKUP($D1220,WGI!$C$2:$O$478,5,FALSE)</f>
        <v>-0.165274280560958</v>
      </c>
      <c r="BZ1220" s="129">
        <f>VLOOKUP($D1220,WGI!$C$2:$O$478,2,FALSE)</f>
        <v>-0.52053676320938103</v>
      </c>
      <c r="CB1220" s="129"/>
    </row>
    <row r="1221" spans="1:80" s="120" customFormat="1" ht="15" customHeight="1">
      <c r="A1221" s="280" t="s">
        <v>380</v>
      </c>
      <c r="B1221" s="117">
        <v>2012</v>
      </c>
      <c r="C1221" s="117" t="s">
        <v>364</v>
      </c>
      <c r="D1221" s="117" t="s">
        <v>3753</v>
      </c>
      <c r="E1221" s="117" t="s">
        <v>244</v>
      </c>
      <c r="F1221" s="117"/>
      <c r="G1221" s="117" t="s">
        <v>24</v>
      </c>
      <c r="H1221" s="117" t="str">
        <f t="shared" si="207"/>
        <v>yes</v>
      </c>
      <c r="I1221" s="117" t="str">
        <f t="shared" si="209"/>
        <v>no</v>
      </c>
      <c r="J1221" s="117" t="str">
        <f t="shared" si="210"/>
        <v>no</v>
      </c>
      <c r="K1221" s="117" t="s">
        <v>1766</v>
      </c>
      <c r="L1221" s="117" t="str">
        <f t="shared" si="208"/>
        <v>detailed</v>
      </c>
      <c r="M1221" s="117" t="str">
        <f t="shared" si="211"/>
        <v>detailed Mining</v>
      </c>
      <c r="N1221" s="118">
        <v>20</v>
      </c>
      <c r="O1221" s="118"/>
      <c r="P1221" s="118"/>
      <c r="Q1221" s="118"/>
      <c r="R1221" s="118"/>
      <c r="S1221" s="117" t="s">
        <v>610</v>
      </c>
      <c r="T1221" s="119">
        <v>255</v>
      </c>
      <c r="U1221" s="117" t="s">
        <v>611</v>
      </c>
      <c r="V1221" s="117" t="s">
        <v>1810</v>
      </c>
      <c r="W1221" s="89">
        <f t="shared" si="213"/>
        <v>5100</v>
      </c>
      <c r="Y1221" s="602"/>
      <c r="Z1221" s="602"/>
      <c r="AA1221" s="89"/>
      <c r="AB1221" s="89"/>
      <c r="AC1221" s="240"/>
      <c r="AD1221" s="240"/>
      <c r="AE1221" s="240"/>
      <c r="AF1221" s="241"/>
      <c r="AG1221" s="89"/>
      <c r="AH1221" s="124"/>
      <c r="AI1221" s="117"/>
      <c r="AJ1221" s="117"/>
      <c r="AK1221" s="117"/>
      <c r="AL1221" s="117"/>
      <c r="AM1221" s="117"/>
      <c r="AN1221" s="117"/>
      <c r="AO1221" s="117"/>
      <c r="AP1221" s="117"/>
      <c r="AQ1221" s="117"/>
      <c r="AR1221" s="126"/>
      <c r="AS1221" s="117"/>
      <c r="AT1221" s="117"/>
      <c r="AU1221" s="117">
        <v>14</v>
      </c>
      <c r="AV1221" s="128"/>
      <c r="AW1221" s="117">
        <f>VLOOKUP($D1221,'WB Data'!$C$3:$M$578,2,FALSE)</f>
        <v>10321968594.779902</v>
      </c>
      <c r="AX1221" s="117">
        <f>VLOOKUP($D1221,'WB Data'!$C$3:$M$578,3,FALSE)</f>
        <v>2796484</v>
      </c>
      <c r="AY1221" s="847">
        <f t="shared" si="215"/>
        <v>0.11437929539885165</v>
      </c>
      <c r="AZ1221" s="117">
        <f>VLOOKUP($D1221,'WB Data'!$C$3:$M$578,4,FALSE)/100</f>
        <v>0.30509052637581513</v>
      </c>
      <c r="BA1221" s="117">
        <f t="shared" si="216"/>
        <v>3149134831.8160329</v>
      </c>
      <c r="BB1221" s="129">
        <f>IFERROR(VLOOKUP($D1221,'EITI Revenues'!$C$2:$G$224,5,FALSE),"..")</f>
        <v>1180619495</v>
      </c>
      <c r="BC1221" s="846">
        <f t="shared" si="217"/>
        <v>0.37490280920082553</v>
      </c>
      <c r="BD1221" s="129" t="str">
        <f>VLOOKUP($D1221,'WB Data 2'!$C$2:$K$545,6,FALSE)</f>
        <v>..</v>
      </c>
      <c r="BE1221" s="129">
        <f>IFERROR(VLOOKUP($D1221,UNCTAD!$C$5:$V$529,4,FALSE),"..")</f>
        <v>5345578000</v>
      </c>
      <c r="BF1221" s="846" t="str">
        <f t="shared" si="218"/>
        <v>..</v>
      </c>
      <c r="BG1221" s="117">
        <f>VLOOKUP($D1221,'WB Data'!$C$3:$M$578,5,FALSE)</f>
        <v>448780000</v>
      </c>
      <c r="BH1221" s="129">
        <f>IFERROR($BB1221/$BG1221,"..")</f>
        <v>2.6307310820446546</v>
      </c>
      <c r="BI1221" s="117" t="str">
        <f>IFERROR(VLOOKUP($D1221,'WB Data'!$C$3:$M$578,7,FALSE)/100,"..")</f>
        <v>..</v>
      </c>
      <c r="BJ1221" s="117" t="str">
        <f>IFERROR($BI1221*$AW1221,"..")</f>
        <v>..</v>
      </c>
      <c r="BK1221" s="846" t="str">
        <f>IFERROR($BB1221/$BJ1221,"..")</f>
        <v>..</v>
      </c>
      <c r="BL1221" s="117" t="str">
        <f>IFERROR(VLOOKUP($D1221,'WB Data'!$C$3:$M$578,7,FALSE)/100,"..")</f>
        <v>..</v>
      </c>
      <c r="BM1221" s="117" t="str">
        <f>IFERROR($AW1221*$BL1221,"..")</f>
        <v>..</v>
      </c>
      <c r="BN1221" s="846" t="str">
        <f>IFERROR($BB1221/$BM1221,"..")</f>
        <v>..</v>
      </c>
      <c r="BO1221" s="801">
        <f t="shared" si="214"/>
        <v>39</v>
      </c>
      <c r="BP1221" s="117">
        <f>VLOOKUP($D1221,'WB Data'!$C$3:$M$578,9,FALSE)</f>
        <v>27.4</v>
      </c>
      <c r="BQ1221" s="117">
        <f>VLOOKUP($D1221,'WB Data'!$C$3:$M$578,10,FALSE)</f>
        <v>67.339439024390245</v>
      </c>
      <c r="BR1221" s="117">
        <f>VLOOKUP($D1221,'WB Data'!$C$3:$M$578,11,FALSE)</f>
        <v>27.2</v>
      </c>
      <c r="BS1221" s="129">
        <f>IFERROR(VLOOKUP($D1221,'WB Data 2'!$C$2:$K$545,9,FALSE),"..")</f>
        <v>97.610560000000007</v>
      </c>
      <c r="BT1221" s="129">
        <f>_xlfn.IFNA(VLOOKUP($C1221,RGI!$A$2:$C$43,2,FALSE),"..")</f>
        <v>38.200000000000003</v>
      </c>
      <c r="BU1221" s="129">
        <f>_xlfn.IFNA(VLOOKUP($C1221,RGI!$A$2:$C$43,3,FALSE),"..")</f>
        <v>50.952530108834466</v>
      </c>
      <c r="BV1221" s="129">
        <f>VLOOKUP($D1221,WGI!$C$2:$O$478,7,FALSE)</f>
        <v>1.9513473312359399E-2</v>
      </c>
      <c r="BW1221" s="129">
        <f>VLOOKUP($D1221,WGI!$C$2:$O$478,4,FALSE)</f>
        <v>0.44897659810553098</v>
      </c>
      <c r="BX1221" s="129">
        <f>VLOOKUP($D1221,WGI!$C$2:$O$478,3,FALSE)</f>
        <v>-0.63227226010712301</v>
      </c>
      <c r="BY1221" s="129">
        <f>VLOOKUP($D1221,WGI!$C$2:$O$478,5,FALSE)</f>
        <v>-0.165274280560958</v>
      </c>
      <c r="BZ1221" s="129">
        <f>VLOOKUP($D1221,WGI!$C$2:$O$478,2,FALSE)</f>
        <v>-0.52053676320938103</v>
      </c>
      <c r="CB1221" s="129"/>
    </row>
    <row r="1222" spans="1:80" s="158" customFormat="1" ht="15" customHeight="1">
      <c r="A1222" s="282" t="s">
        <v>380</v>
      </c>
      <c r="B1222" s="149">
        <v>2012</v>
      </c>
      <c r="C1222" s="117" t="s">
        <v>364</v>
      </c>
      <c r="D1222" s="117" t="s">
        <v>3753</v>
      </c>
      <c r="E1222" s="149" t="s">
        <v>244</v>
      </c>
      <c r="F1222" s="149"/>
      <c r="G1222" s="149" t="s">
        <v>24</v>
      </c>
      <c r="H1222" s="149" t="str">
        <f t="shared" si="207"/>
        <v>yes</v>
      </c>
      <c r="I1222" s="149" t="str">
        <f t="shared" si="209"/>
        <v>no</v>
      </c>
      <c r="J1222" s="149" t="str">
        <f t="shared" si="210"/>
        <v>no</v>
      </c>
      <c r="K1222" s="149" t="s">
        <v>849</v>
      </c>
      <c r="L1222" s="149" t="str">
        <f t="shared" si="208"/>
        <v>detailed</v>
      </c>
      <c r="M1222" s="149" t="str">
        <f t="shared" si="211"/>
        <v>detailed Mining</v>
      </c>
      <c r="N1222" s="150">
        <f>119000*0.90718474</f>
        <v>107954.98406</v>
      </c>
      <c r="O1222" s="150"/>
      <c r="P1222" s="150">
        <f>119000*0.90718474</f>
        <v>107954.98406</v>
      </c>
      <c r="Q1222" s="150"/>
      <c r="R1222" s="150"/>
      <c r="S1222" s="149" t="s">
        <v>610</v>
      </c>
      <c r="T1222" s="151">
        <v>928.53</v>
      </c>
      <c r="U1222" s="149" t="s">
        <v>611</v>
      </c>
      <c r="V1222" s="149" t="s">
        <v>1838</v>
      </c>
      <c r="W1222" s="152">
        <f t="shared" si="213"/>
        <v>100239441.34923179</v>
      </c>
      <c r="X1222" s="606"/>
      <c r="Y1222" s="607"/>
      <c r="Z1222" s="607"/>
      <c r="AA1222" s="152"/>
      <c r="AB1222" s="152"/>
      <c r="AC1222" s="288"/>
      <c r="AD1222" s="288"/>
      <c r="AE1222" s="288"/>
      <c r="AF1222" s="285"/>
      <c r="AG1222" s="152"/>
      <c r="AH1222" s="156"/>
      <c r="AI1222" s="149"/>
      <c r="AJ1222" s="149"/>
      <c r="AK1222" s="149"/>
      <c r="AL1222" s="149"/>
      <c r="AM1222" s="149"/>
      <c r="AN1222" s="149"/>
      <c r="AO1222" s="149"/>
      <c r="AP1222" s="149"/>
      <c r="AQ1222" s="149"/>
      <c r="AR1222" s="220"/>
      <c r="AS1222" s="149"/>
      <c r="AT1222" s="149"/>
      <c r="AU1222" s="149">
        <v>15</v>
      </c>
      <c r="AV1222" s="157"/>
      <c r="AW1222" s="117">
        <f>VLOOKUP($D1222,'WB Data'!$C$3:$M$578,2,FALSE)</f>
        <v>10321968594.779902</v>
      </c>
      <c r="AX1222" s="117">
        <f>VLOOKUP($D1222,'WB Data'!$C$3:$M$578,3,FALSE)</f>
        <v>2796484</v>
      </c>
      <c r="AY1222" s="847">
        <f t="shared" si="215"/>
        <v>0.11437929539885165</v>
      </c>
      <c r="AZ1222" s="117">
        <f>VLOOKUP($D1222,'WB Data'!$C$3:$M$578,4,FALSE)/100</f>
        <v>0.30509052637581513</v>
      </c>
      <c r="BA1222" s="117">
        <f t="shared" si="216"/>
        <v>3149134831.8160329</v>
      </c>
      <c r="BB1222" s="129">
        <f>IFERROR(VLOOKUP($D1222,'EITI Revenues'!$C$2:$G$224,5,FALSE),"..")</f>
        <v>1180619495</v>
      </c>
      <c r="BC1222" s="846">
        <f t="shared" si="217"/>
        <v>0.37490280920082553</v>
      </c>
      <c r="BD1222" s="129" t="str">
        <f>VLOOKUP($D1222,'WB Data 2'!$C$2:$K$545,6,FALSE)</f>
        <v>..</v>
      </c>
      <c r="BE1222" s="129">
        <f>IFERROR(VLOOKUP($D1222,UNCTAD!$C$5:$V$529,4,FALSE),"..")</f>
        <v>5345578000</v>
      </c>
      <c r="BF1222" s="846" t="str">
        <f t="shared" si="218"/>
        <v>..</v>
      </c>
      <c r="BG1222" s="117">
        <f>VLOOKUP($D1222,'WB Data'!$C$3:$M$578,5,FALSE)</f>
        <v>448780000</v>
      </c>
      <c r="BH1222" s="129">
        <f>IFERROR($BB1222/$BG1222,"..")</f>
        <v>2.6307310820446546</v>
      </c>
      <c r="BI1222" s="117" t="str">
        <f>IFERROR(VLOOKUP($D1222,'WB Data'!$C$3:$M$578,7,FALSE)/100,"..")</f>
        <v>..</v>
      </c>
      <c r="BJ1222" s="117" t="str">
        <f>IFERROR($BI1222*$AW1222,"..")</f>
        <v>..</v>
      </c>
      <c r="BK1222" s="846" t="str">
        <f>IFERROR($BB1222/$BJ1222,"..")</f>
        <v>..</v>
      </c>
      <c r="BL1222" s="117" t="str">
        <f>IFERROR(VLOOKUP($D1222,'WB Data'!$C$3:$M$578,7,FALSE)/100,"..")</f>
        <v>..</v>
      </c>
      <c r="BM1222" s="117" t="str">
        <f>IFERROR($AW1222*$BL1222,"..")</f>
        <v>..</v>
      </c>
      <c r="BN1222" s="846" t="str">
        <f>IFERROR($BB1222/$BM1222,"..")</f>
        <v>..</v>
      </c>
      <c r="BO1222" s="801">
        <f t="shared" si="214"/>
        <v>39</v>
      </c>
      <c r="BP1222" s="117">
        <f>VLOOKUP($D1222,'WB Data'!$C$3:$M$578,9,FALSE)</f>
        <v>27.4</v>
      </c>
      <c r="BQ1222" s="117">
        <f>VLOOKUP($D1222,'WB Data'!$C$3:$M$578,10,FALSE)</f>
        <v>67.339439024390245</v>
      </c>
      <c r="BR1222" s="117">
        <f>VLOOKUP($D1222,'WB Data'!$C$3:$M$578,11,FALSE)</f>
        <v>27.2</v>
      </c>
      <c r="BS1222" s="129">
        <f>IFERROR(VLOOKUP($D1222,'WB Data 2'!$C$2:$K$545,9,FALSE),"..")</f>
        <v>97.610560000000007</v>
      </c>
      <c r="BT1222" s="129">
        <f>_xlfn.IFNA(VLOOKUP($C1222,RGI!$A$2:$C$43,2,FALSE),"..")</f>
        <v>38.200000000000003</v>
      </c>
      <c r="BU1222" s="129">
        <f>_xlfn.IFNA(VLOOKUP($C1222,RGI!$A$2:$C$43,3,FALSE),"..")</f>
        <v>50.952530108834466</v>
      </c>
      <c r="BV1222" s="129">
        <f>VLOOKUP($D1222,WGI!$C$2:$O$478,7,FALSE)</f>
        <v>1.9513473312359399E-2</v>
      </c>
      <c r="BW1222" s="129">
        <f>VLOOKUP($D1222,WGI!$C$2:$O$478,4,FALSE)</f>
        <v>0.44897659810553098</v>
      </c>
      <c r="BX1222" s="129">
        <f>VLOOKUP($D1222,WGI!$C$2:$O$478,3,FALSE)</f>
        <v>-0.63227226010712301</v>
      </c>
      <c r="BY1222" s="129">
        <f>VLOOKUP($D1222,WGI!$C$2:$O$478,5,FALSE)</f>
        <v>-0.165274280560958</v>
      </c>
      <c r="BZ1222" s="129">
        <f>VLOOKUP($D1222,WGI!$C$2:$O$478,2,FALSE)</f>
        <v>-0.52053676320938103</v>
      </c>
      <c r="CB1222" s="129"/>
    </row>
    <row r="1223" spans="1:80" ht="15" customHeight="1">
      <c r="A1223" s="788" t="s">
        <v>382</v>
      </c>
      <c r="B1223" s="777">
        <v>2013</v>
      </c>
      <c r="C1223" s="117" t="s">
        <v>364</v>
      </c>
      <c r="D1223" s="117" t="s">
        <v>3787</v>
      </c>
      <c r="E1223" s="768" t="s">
        <v>244</v>
      </c>
      <c r="F1223" s="768" t="s">
        <v>1745</v>
      </c>
      <c r="G1223" s="789" t="s">
        <v>41</v>
      </c>
      <c r="H1223" s="789"/>
      <c r="I1223" s="768"/>
      <c r="J1223" s="773"/>
      <c r="K1223" s="773" t="s">
        <v>709</v>
      </c>
      <c r="L1223" s="773"/>
      <c r="M1223" s="773"/>
      <c r="N1223" s="774"/>
      <c r="O1223" s="774"/>
      <c r="P1223" s="774"/>
      <c r="Q1223" s="773"/>
      <c r="R1223" s="774"/>
      <c r="S1223" s="146"/>
      <c r="T1223" s="119"/>
      <c r="U1223" s="146"/>
      <c r="V1223" s="146" t="s">
        <v>725</v>
      </c>
      <c r="W1223" s="303"/>
      <c r="X1223" s="146" t="s">
        <v>1083</v>
      </c>
      <c r="Y1223" s="146" t="s">
        <v>602</v>
      </c>
      <c r="Z1223" s="146" t="s">
        <v>664</v>
      </c>
      <c r="AA1223" s="620">
        <v>1054895582.33</v>
      </c>
      <c r="AB1223" s="620">
        <v>1054920348.0599999</v>
      </c>
      <c r="AC1223" s="756"/>
      <c r="AD1223" s="757">
        <v>1138032042.1700001</v>
      </c>
      <c r="AE1223" s="756"/>
      <c r="AF1223" s="758"/>
      <c r="AG1223" s="146" t="s">
        <v>1852</v>
      </c>
      <c r="AH1223" s="759">
        <v>1494</v>
      </c>
      <c r="AI1223" s="146" t="s">
        <v>722</v>
      </c>
      <c r="AJ1223" s="146"/>
      <c r="AK1223" s="760"/>
      <c r="AL1223" s="146"/>
      <c r="AM1223" s="146"/>
      <c r="AN1223" s="146">
        <v>250</v>
      </c>
      <c r="AO1223" s="146"/>
      <c r="AP1223" s="146">
        <v>240</v>
      </c>
      <c r="AQ1223" s="239" t="s">
        <v>50</v>
      </c>
      <c r="AR1223" s="146"/>
      <c r="AS1223" s="146" t="s">
        <v>1853</v>
      </c>
      <c r="AT1223" s="146" t="s">
        <v>383</v>
      </c>
      <c r="AU1223" s="146"/>
      <c r="AV1223" s="128" t="s">
        <v>1854</v>
      </c>
      <c r="AW1223" s="117">
        <f>VLOOKUP($D1223,'WB Data'!$C$3:$M$578,2,FALSE)</f>
        <v>11516409581.298849</v>
      </c>
      <c r="AX1223" s="117">
        <f>VLOOKUP($D1223,'WB Data'!$C$3:$M$578,3,FALSE)</f>
        <v>2839073</v>
      </c>
      <c r="AY1223" s="847">
        <f t="shared" si="215"/>
        <v>9.1599345688695655E-2</v>
      </c>
      <c r="AZ1223" s="117" t="e">
        <f>VLOOKUP($D1223,'WB Data'!$C$3:$M$578,4,FALSE)/100</f>
        <v>#VALUE!</v>
      </c>
      <c r="BA1223" s="117" t="str">
        <f t="shared" si="216"/>
        <v>..</v>
      </c>
      <c r="BB1223" s="129">
        <f>IFERROR(VLOOKUP($D1223,'EITI Revenues'!$C$2:$G$224,5,FALSE),"..")</f>
        <v>1054895582.33</v>
      </c>
      <c r="BC1223" s="846" t="str">
        <f t="shared" si="217"/>
        <v>..</v>
      </c>
      <c r="BD1223" s="129">
        <f>VLOOKUP($D1223,'WB Data 2'!$C$2:$K$545,6,FALSE)</f>
        <v>3790466651.4206519</v>
      </c>
      <c r="BE1223" s="129">
        <f>IFERROR(VLOOKUP($D1223,UNCTAD!$C$5:$V$529,4,FALSE),"..")</f>
        <v>4980067234</v>
      </c>
      <c r="BF1223" s="846">
        <f t="shared" si="218"/>
        <v>0.76112760597734774</v>
      </c>
      <c r="BG1223" s="117" t="str">
        <f>VLOOKUP($D1223,'WB Data'!$C$3:$M$578,5,FALSE)</f>
        <v>..</v>
      </c>
      <c r="BH1223" s="129" t="str">
        <f>IFERROR($BB1223/$BG1223,"..")</f>
        <v>..</v>
      </c>
      <c r="BI1223" s="117" t="str">
        <f>IFERROR(VLOOKUP($D1223,'WB Data'!$C$3:$M$578,7,FALSE)/100,"..")</f>
        <v>..</v>
      </c>
      <c r="BJ1223" s="117" t="str">
        <f>IFERROR($BI1223*$AW1223,"..")</f>
        <v>..</v>
      </c>
      <c r="BK1223" s="846" t="str">
        <f>IFERROR($BB1223/$BJ1223,"..")</f>
        <v>..</v>
      </c>
      <c r="BL1223" s="117" t="str">
        <f>IFERROR(VLOOKUP($D1223,'WB Data'!$C$3:$M$578,7,FALSE)/100,"..")</f>
        <v>..</v>
      </c>
      <c r="BM1223" s="117" t="str">
        <f>IFERROR($AW1223*$BL1223,"..")</f>
        <v>..</v>
      </c>
      <c r="BN1223" s="846" t="str">
        <f>IFERROR($BB1223/$BM1223,"..")</f>
        <v>..</v>
      </c>
      <c r="BO1223" s="801">
        <f t="shared" si="214"/>
        <v>39</v>
      </c>
      <c r="BP1223" s="117" t="str">
        <f>VLOOKUP($D1223,'WB Data'!$C$3:$M$578,9,FALSE)</f>
        <v>..</v>
      </c>
      <c r="BQ1223" s="117" t="str">
        <f>VLOOKUP($D1223,'WB Data'!$C$3:$M$578,10,FALSE)</f>
        <v>..</v>
      </c>
      <c r="BR1223" s="117">
        <f>VLOOKUP($D1223,'WB Data'!$C$3:$M$578,11,FALSE)</f>
        <v>26.4</v>
      </c>
      <c r="BS1223" s="129" t="str">
        <f>IFERROR(VLOOKUP($D1223,'WB Data 2'!$C$2:$K$545,9,FALSE),"..")</f>
        <v>..</v>
      </c>
      <c r="BT1223" s="129">
        <f>_xlfn.IFNA(VLOOKUP($C1223,RGI!$A$2:$C$43,2,FALSE),"..")</f>
        <v>38.200000000000003</v>
      </c>
      <c r="BU1223" s="129">
        <f>_xlfn.IFNA(VLOOKUP($C1223,RGI!$A$2:$C$43,3,FALSE),"..")</f>
        <v>50.952530108834466</v>
      </c>
      <c r="BV1223" s="129">
        <f>VLOOKUP($D1223,WGI!$C$2:$O$478,7,FALSE)</f>
        <v>7.2999700903892503E-2</v>
      </c>
      <c r="BW1223" s="129">
        <f>VLOOKUP($D1223,WGI!$C$2:$O$478,4,FALSE)</f>
        <v>0.49927636981010398</v>
      </c>
      <c r="BX1223" s="129">
        <f>VLOOKUP($D1223,WGI!$C$2:$O$478,3,FALSE)</f>
        <v>-0.54106253385543801</v>
      </c>
      <c r="BY1223" s="129">
        <f>VLOOKUP($D1223,WGI!$C$2:$O$478,5,FALSE)</f>
        <v>-0.28594869375228898</v>
      </c>
      <c r="BZ1223" s="129">
        <f>VLOOKUP($D1223,WGI!$C$2:$O$478,2,FALSE)</f>
        <v>-0.462237387895584</v>
      </c>
    </row>
    <row r="1224" spans="1:80" ht="15" customHeight="1">
      <c r="A1224" s="788" t="s">
        <v>382</v>
      </c>
      <c r="B1224" s="777">
        <v>2013</v>
      </c>
      <c r="C1224" s="117" t="s">
        <v>364</v>
      </c>
      <c r="D1224" s="117" t="s">
        <v>3787</v>
      </c>
      <c r="E1224" s="768" t="s">
        <v>244</v>
      </c>
      <c r="F1224" s="768"/>
      <c r="G1224" s="773" t="s">
        <v>103</v>
      </c>
      <c r="H1224" s="789"/>
      <c r="I1224" s="768"/>
      <c r="J1224" s="773"/>
      <c r="K1224" s="773" t="s">
        <v>103</v>
      </c>
      <c r="L1224" s="773"/>
      <c r="M1224" s="773"/>
      <c r="N1224" s="774"/>
      <c r="O1224" s="774"/>
      <c r="P1224" s="774"/>
      <c r="Q1224" s="790">
        <v>5244000</v>
      </c>
      <c r="R1224" s="790"/>
      <c r="S1224" s="146" t="s">
        <v>646</v>
      </c>
      <c r="T1224" s="119"/>
      <c r="U1224" s="146"/>
      <c r="V1224" s="146"/>
      <c r="W1224" s="760">
        <v>515000000</v>
      </c>
      <c r="X1224" s="146"/>
      <c r="Y1224" s="146"/>
      <c r="Z1224" s="146"/>
      <c r="AA1224" s="146"/>
      <c r="AB1224" s="146"/>
      <c r="AC1224" s="756"/>
      <c r="AD1224" s="756"/>
      <c r="AE1224" s="756"/>
      <c r="AF1224" s="758"/>
      <c r="AG1224" s="146"/>
      <c r="AH1224" s="759"/>
      <c r="AI1224" s="146"/>
      <c r="AJ1224" s="146"/>
      <c r="AK1224" s="760"/>
      <c r="AL1224" s="146"/>
      <c r="AM1224" s="146"/>
      <c r="AN1224" s="146"/>
      <c r="AO1224" s="146"/>
      <c r="AP1224" s="146"/>
      <c r="AQ1224" s="146"/>
      <c r="AR1224" s="146"/>
      <c r="AS1224" s="146"/>
      <c r="AT1224" s="146"/>
      <c r="AU1224" s="146"/>
      <c r="AV1224" s="128"/>
      <c r="AW1224" s="117">
        <f>VLOOKUP($D1224,'WB Data'!$C$3:$M$578,2,FALSE)</f>
        <v>11516409581.298849</v>
      </c>
      <c r="AX1224" s="117">
        <f>VLOOKUP($D1224,'WB Data'!$C$3:$M$578,3,FALSE)</f>
        <v>2839073</v>
      </c>
      <c r="AY1224" s="847">
        <f t="shared" si="215"/>
        <v>9.1599345688695655E-2</v>
      </c>
      <c r="AZ1224" s="117" t="e">
        <f>VLOOKUP($D1224,'WB Data'!$C$3:$M$578,4,FALSE)/100</f>
        <v>#VALUE!</v>
      </c>
      <c r="BA1224" s="117" t="str">
        <f t="shared" si="216"/>
        <v>..</v>
      </c>
      <c r="BB1224" s="129">
        <f>IFERROR(VLOOKUP($D1224,'EITI Revenues'!$C$2:$G$224,5,FALSE),"..")</f>
        <v>1054895582.33</v>
      </c>
      <c r="BC1224" s="846" t="str">
        <f t="shared" si="217"/>
        <v>..</v>
      </c>
      <c r="BD1224" s="129">
        <f>VLOOKUP($D1224,'WB Data 2'!$C$2:$K$545,6,FALSE)</f>
        <v>3790466651.4206519</v>
      </c>
      <c r="BE1224" s="129">
        <f>IFERROR(VLOOKUP($D1224,UNCTAD!$C$5:$V$529,4,FALSE),"..")</f>
        <v>4980067234</v>
      </c>
      <c r="BF1224" s="846">
        <f t="shared" si="218"/>
        <v>0.76112760597734774</v>
      </c>
      <c r="BG1224" s="117" t="str">
        <f>VLOOKUP($D1224,'WB Data'!$C$3:$M$578,5,FALSE)</f>
        <v>..</v>
      </c>
      <c r="BH1224" s="129" t="str">
        <f>IFERROR($BB1224/$BG1224,"..")</f>
        <v>..</v>
      </c>
      <c r="BI1224" s="117" t="str">
        <f>IFERROR(VLOOKUP($D1224,'WB Data'!$C$3:$M$578,7,FALSE)/100,"..")</f>
        <v>..</v>
      </c>
      <c r="BJ1224" s="117" t="str">
        <f>IFERROR($BI1224*$AW1224,"..")</f>
        <v>..</v>
      </c>
      <c r="BK1224" s="846" t="str">
        <f>IFERROR($BB1224/$BJ1224,"..")</f>
        <v>..</v>
      </c>
      <c r="BL1224" s="117" t="str">
        <f>IFERROR(VLOOKUP($D1224,'WB Data'!$C$3:$M$578,7,FALSE)/100,"..")</f>
        <v>..</v>
      </c>
      <c r="BM1224" s="117" t="str">
        <f>IFERROR($AW1224*$BL1224,"..")</f>
        <v>..</v>
      </c>
      <c r="BN1224" s="846" t="str">
        <f>IFERROR($BB1224/$BM1224,"..")</f>
        <v>..</v>
      </c>
      <c r="BO1224" s="801">
        <f t="shared" si="214"/>
        <v>39</v>
      </c>
      <c r="BP1224" s="117" t="str">
        <f>VLOOKUP($D1224,'WB Data'!$C$3:$M$578,9,FALSE)</f>
        <v>..</v>
      </c>
      <c r="BQ1224" s="117" t="str">
        <f>VLOOKUP($D1224,'WB Data'!$C$3:$M$578,10,FALSE)</f>
        <v>..</v>
      </c>
      <c r="BR1224" s="117">
        <f>VLOOKUP($D1224,'WB Data'!$C$3:$M$578,11,FALSE)</f>
        <v>26.4</v>
      </c>
      <c r="BS1224" s="129" t="str">
        <f>IFERROR(VLOOKUP($D1224,'WB Data 2'!$C$2:$K$545,9,FALSE),"..")</f>
        <v>..</v>
      </c>
      <c r="BT1224" s="129">
        <f>_xlfn.IFNA(VLOOKUP($C1224,RGI!$A$2:$C$43,2,FALSE),"..")</f>
        <v>38.200000000000003</v>
      </c>
      <c r="BU1224" s="129">
        <f>_xlfn.IFNA(VLOOKUP($C1224,RGI!$A$2:$C$43,3,FALSE),"..")</f>
        <v>50.952530108834466</v>
      </c>
      <c r="BV1224" s="129">
        <f>VLOOKUP($D1224,WGI!$C$2:$O$478,7,FALSE)</f>
        <v>7.2999700903892503E-2</v>
      </c>
      <c r="BW1224" s="129">
        <f>VLOOKUP($D1224,WGI!$C$2:$O$478,4,FALSE)</f>
        <v>0.49927636981010398</v>
      </c>
      <c r="BX1224" s="129">
        <f>VLOOKUP($D1224,WGI!$C$2:$O$478,3,FALSE)</f>
        <v>-0.54106253385543801</v>
      </c>
      <c r="BY1224" s="129">
        <f>VLOOKUP($D1224,WGI!$C$2:$O$478,5,FALSE)</f>
        <v>-0.28594869375228898</v>
      </c>
      <c r="BZ1224" s="129">
        <f>VLOOKUP($D1224,WGI!$C$2:$O$478,2,FALSE)</f>
        <v>-0.462237387895584</v>
      </c>
    </row>
    <row r="1225" spans="1:80" ht="15" customHeight="1">
      <c r="A1225" s="788" t="s">
        <v>382</v>
      </c>
      <c r="B1225" s="777">
        <v>2013</v>
      </c>
      <c r="C1225" s="117" t="s">
        <v>364</v>
      </c>
      <c r="D1225" s="117" t="s">
        <v>3787</v>
      </c>
      <c r="E1225" s="768" t="s">
        <v>244</v>
      </c>
      <c r="F1225" s="768"/>
      <c r="G1225" s="773" t="s">
        <v>24</v>
      </c>
      <c r="H1225" s="773"/>
      <c r="I1225" s="773"/>
      <c r="J1225" s="773"/>
      <c r="K1225" s="773" t="s">
        <v>600</v>
      </c>
      <c r="L1225" s="773"/>
      <c r="M1225" s="773"/>
      <c r="N1225" s="774"/>
      <c r="O1225" s="774"/>
      <c r="P1225" s="774"/>
      <c r="Q1225" s="774"/>
      <c r="R1225" s="774"/>
      <c r="S1225" s="146"/>
      <c r="T1225" s="119"/>
      <c r="U1225" s="146"/>
      <c r="V1225" s="146"/>
      <c r="W1225" s="146"/>
      <c r="X1225" s="146"/>
      <c r="Y1225" s="146"/>
      <c r="Z1225" s="146"/>
      <c r="AA1225" s="146"/>
      <c r="AB1225" s="146"/>
      <c r="AC1225" s="756"/>
      <c r="AD1225" s="756"/>
      <c r="AE1225" s="756"/>
      <c r="AF1225" s="758"/>
      <c r="AG1225" s="146"/>
      <c r="AH1225" s="759"/>
      <c r="AI1225" s="146"/>
      <c r="AJ1225" s="146"/>
      <c r="AK1225" s="760"/>
      <c r="AL1225" s="146"/>
      <c r="AM1225" s="146"/>
      <c r="AN1225" s="146"/>
      <c r="AO1225" s="146"/>
      <c r="AP1225" s="146"/>
      <c r="AQ1225" s="146"/>
      <c r="AR1225" s="146"/>
      <c r="AS1225" s="146"/>
      <c r="AT1225" s="146"/>
      <c r="AU1225" s="146"/>
      <c r="AV1225" s="128"/>
      <c r="AW1225" s="117">
        <f>VLOOKUP($D1225,'WB Data'!$C$3:$M$578,2,FALSE)</f>
        <v>11516409581.298849</v>
      </c>
      <c r="AX1225" s="117">
        <f>VLOOKUP($D1225,'WB Data'!$C$3:$M$578,3,FALSE)</f>
        <v>2839073</v>
      </c>
      <c r="AY1225" s="847">
        <f t="shared" si="215"/>
        <v>9.1599345688695655E-2</v>
      </c>
      <c r="AZ1225" s="117" t="e">
        <f>VLOOKUP($D1225,'WB Data'!$C$3:$M$578,4,FALSE)/100</f>
        <v>#VALUE!</v>
      </c>
      <c r="BA1225" s="117" t="str">
        <f t="shared" si="216"/>
        <v>..</v>
      </c>
      <c r="BB1225" s="129">
        <f>IFERROR(VLOOKUP($D1225,'EITI Revenues'!$C$2:$G$224,5,FALSE),"..")</f>
        <v>1054895582.33</v>
      </c>
      <c r="BC1225" s="846" t="str">
        <f t="shared" si="217"/>
        <v>..</v>
      </c>
      <c r="BD1225" s="129">
        <f>VLOOKUP($D1225,'WB Data 2'!$C$2:$K$545,6,FALSE)</f>
        <v>3790466651.4206519</v>
      </c>
      <c r="BE1225" s="129">
        <f>IFERROR(VLOOKUP($D1225,UNCTAD!$C$5:$V$529,4,FALSE),"..")</f>
        <v>4980067234</v>
      </c>
      <c r="BF1225" s="846">
        <f t="shared" si="218"/>
        <v>0.76112760597734774</v>
      </c>
      <c r="BG1225" s="117" t="str">
        <f>VLOOKUP($D1225,'WB Data'!$C$3:$M$578,5,FALSE)</f>
        <v>..</v>
      </c>
      <c r="BH1225" s="129" t="str">
        <f>IFERROR($BB1225/$BG1225,"..")</f>
        <v>..</v>
      </c>
      <c r="BI1225" s="117" t="str">
        <f>IFERROR(VLOOKUP($D1225,'WB Data'!$C$3:$M$578,7,FALSE)/100,"..")</f>
        <v>..</v>
      </c>
      <c r="BJ1225" s="117" t="str">
        <f>IFERROR($BI1225*$AW1225,"..")</f>
        <v>..</v>
      </c>
      <c r="BK1225" s="846" t="str">
        <f>IFERROR($BB1225/$BJ1225,"..")</f>
        <v>..</v>
      </c>
      <c r="BL1225" s="117" t="str">
        <f>IFERROR(VLOOKUP($D1225,'WB Data'!$C$3:$M$578,7,FALSE)/100,"..")</f>
        <v>..</v>
      </c>
      <c r="BM1225" s="117" t="str">
        <f>IFERROR($AW1225*$BL1225,"..")</f>
        <v>..</v>
      </c>
      <c r="BN1225" s="846" t="str">
        <f>IFERROR($BB1225/$BM1225,"..")</f>
        <v>..</v>
      </c>
      <c r="BO1225" s="801">
        <f t="shared" si="214"/>
        <v>39</v>
      </c>
      <c r="BP1225" s="117" t="str">
        <f>VLOOKUP($D1225,'WB Data'!$C$3:$M$578,9,FALSE)</f>
        <v>..</v>
      </c>
      <c r="BQ1225" s="117" t="str">
        <f>VLOOKUP($D1225,'WB Data'!$C$3:$M$578,10,FALSE)</f>
        <v>..</v>
      </c>
      <c r="BR1225" s="117">
        <f>VLOOKUP($D1225,'WB Data'!$C$3:$M$578,11,FALSE)</f>
        <v>26.4</v>
      </c>
      <c r="BS1225" s="129" t="str">
        <f>IFERROR(VLOOKUP($D1225,'WB Data 2'!$C$2:$K$545,9,FALSE),"..")</f>
        <v>..</v>
      </c>
      <c r="BT1225" s="129">
        <f>_xlfn.IFNA(VLOOKUP($C1225,RGI!$A$2:$C$43,2,FALSE),"..")</f>
        <v>38.200000000000003</v>
      </c>
      <c r="BU1225" s="129">
        <f>_xlfn.IFNA(VLOOKUP($C1225,RGI!$A$2:$C$43,3,FALSE),"..")</f>
        <v>50.952530108834466</v>
      </c>
      <c r="BV1225" s="129">
        <f>VLOOKUP($D1225,WGI!$C$2:$O$478,7,FALSE)</f>
        <v>7.2999700903892503E-2</v>
      </c>
      <c r="BW1225" s="129">
        <f>VLOOKUP($D1225,WGI!$C$2:$O$478,4,FALSE)</f>
        <v>0.49927636981010398</v>
      </c>
      <c r="BX1225" s="129">
        <f>VLOOKUP($D1225,WGI!$C$2:$O$478,3,FALSE)</f>
        <v>-0.54106253385543801</v>
      </c>
      <c r="BY1225" s="129">
        <f>VLOOKUP($D1225,WGI!$C$2:$O$478,5,FALSE)</f>
        <v>-0.28594869375228898</v>
      </c>
      <c r="BZ1225" s="129">
        <f>VLOOKUP($D1225,WGI!$C$2:$O$478,2,FALSE)</f>
        <v>-0.462237387895584</v>
      </c>
    </row>
    <row r="1226" spans="1:80" ht="15" customHeight="1">
      <c r="A1226" s="788" t="s">
        <v>382</v>
      </c>
      <c r="B1226" s="777">
        <v>2013</v>
      </c>
      <c r="C1226" s="117" t="s">
        <v>364</v>
      </c>
      <c r="D1226" s="117" t="s">
        <v>3787</v>
      </c>
      <c r="E1226" s="768" t="s">
        <v>244</v>
      </c>
      <c r="F1226" s="768"/>
      <c r="G1226" s="773" t="s">
        <v>24</v>
      </c>
      <c r="H1226" s="773"/>
      <c r="I1226" s="773"/>
      <c r="J1226" s="773"/>
      <c r="K1226" s="773" t="s">
        <v>616</v>
      </c>
      <c r="L1226" s="773"/>
      <c r="M1226" s="773"/>
      <c r="N1226" s="774"/>
      <c r="O1226" s="774"/>
      <c r="P1226" s="774"/>
      <c r="Q1226" s="790">
        <v>30123000</v>
      </c>
      <c r="R1226" s="790"/>
      <c r="S1226" s="146" t="s">
        <v>610</v>
      </c>
      <c r="T1226" s="119"/>
      <c r="U1226" s="146"/>
      <c r="V1226" s="146"/>
      <c r="W1226" s="146"/>
      <c r="X1226" s="146"/>
      <c r="Y1226" s="146"/>
      <c r="Z1226" s="146"/>
      <c r="AA1226" s="146"/>
      <c r="AB1226" s="146"/>
      <c r="AC1226" s="756"/>
      <c r="AD1226" s="756"/>
      <c r="AE1226" s="756"/>
      <c r="AF1226" s="758"/>
      <c r="AG1226" s="146"/>
      <c r="AH1226" s="759"/>
      <c r="AI1226" s="146"/>
      <c r="AJ1226" s="146"/>
      <c r="AK1226" s="760"/>
      <c r="AL1226" s="146"/>
      <c r="AM1226" s="146"/>
      <c r="AN1226" s="146"/>
      <c r="AO1226" s="146"/>
      <c r="AP1226" s="146"/>
      <c r="AQ1226" s="146"/>
      <c r="AR1226" s="146"/>
      <c r="AS1226" s="146"/>
      <c r="AT1226" s="146"/>
      <c r="AU1226" s="146"/>
      <c r="AV1226" s="128"/>
      <c r="AW1226" s="117">
        <f>VLOOKUP($D1226,'WB Data'!$C$3:$M$578,2,FALSE)</f>
        <v>11516409581.298849</v>
      </c>
      <c r="AX1226" s="117">
        <f>VLOOKUP($D1226,'WB Data'!$C$3:$M$578,3,FALSE)</f>
        <v>2839073</v>
      </c>
      <c r="AY1226" s="847">
        <f t="shared" si="215"/>
        <v>9.1599345688695655E-2</v>
      </c>
      <c r="AZ1226" s="117" t="e">
        <f>VLOOKUP($D1226,'WB Data'!$C$3:$M$578,4,FALSE)/100</f>
        <v>#VALUE!</v>
      </c>
      <c r="BA1226" s="117" t="str">
        <f t="shared" si="216"/>
        <v>..</v>
      </c>
      <c r="BB1226" s="129">
        <f>IFERROR(VLOOKUP($D1226,'EITI Revenues'!$C$2:$G$224,5,FALSE),"..")</f>
        <v>1054895582.33</v>
      </c>
      <c r="BC1226" s="846" t="str">
        <f t="shared" si="217"/>
        <v>..</v>
      </c>
      <c r="BD1226" s="129">
        <f>VLOOKUP($D1226,'WB Data 2'!$C$2:$K$545,6,FALSE)</f>
        <v>3790466651.4206519</v>
      </c>
      <c r="BE1226" s="129">
        <f>IFERROR(VLOOKUP($D1226,UNCTAD!$C$5:$V$529,4,FALSE),"..")</f>
        <v>4980067234</v>
      </c>
      <c r="BF1226" s="846">
        <f t="shared" si="218"/>
        <v>0.76112760597734774</v>
      </c>
      <c r="BG1226" s="117" t="str">
        <f>VLOOKUP($D1226,'WB Data'!$C$3:$M$578,5,FALSE)</f>
        <v>..</v>
      </c>
      <c r="BH1226" s="129" t="str">
        <f>IFERROR($BB1226/$BG1226,"..")</f>
        <v>..</v>
      </c>
      <c r="BI1226" s="117" t="str">
        <f>IFERROR(VLOOKUP($D1226,'WB Data'!$C$3:$M$578,7,FALSE)/100,"..")</f>
        <v>..</v>
      </c>
      <c r="BJ1226" s="117" t="str">
        <f>IFERROR($BI1226*$AW1226,"..")</f>
        <v>..</v>
      </c>
      <c r="BK1226" s="846" t="str">
        <f>IFERROR($BB1226/$BJ1226,"..")</f>
        <v>..</v>
      </c>
      <c r="BL1226" s="117" t="str">
        <f>IFERROR(VLOOKUP($D1226,'WB Data'!$C$3:$M$578,7,FALSE)/100,"..")</f>
        <v>..</v>
      </c>
      <c r="BM1226" s="117" t="str">
        <f>IFERROR($AW1226*$BL1226,"..")</f>
        <v>..</v>
      </c>
      <c r="BN1226" s="846" t="str">
        <f>IFERROR($BB1226/$BM1226,"..")</f>
        <v>..</v>
      </c>
      <c r="BO1226" s="801">
        <f t="shared" si="214"/>
        <v>39</v>
      </c>
      <c r="BP1226" s="117" t="str">
        <f>VLOOKUP($D1226,'WB Data'!$C$3:$M$578,9,FALSE)</f>
        <v>..</v>
      </c>
      <c r="BQ1226" s="117" t="str">
        <f>VLOOKUP($D1226,'WB Data'!$C$3:$M$578,10,FALSE)</f>
        <v>..</v>
      </c>
      <c r="BR1226" s="117">
        <f>VLOOKUP($D1226,'WB Data'!$C$3:$M$578,11,FALSE)</f>
        <v>26.4</v>
      </c>
      <c r="BS1226" s="129" t="str">
        <f>IFERROR(VLOOKUP($D1226,'WB Data 2'!$C$2:$K$545,9,FALSE),"..")</f>
        <v>..</v>
      </c>
      <c r="BT1226" s="129">
        <f>_xlfn.IFNA(VLOOKUP($C1226,RGI!$A$2:$C$43,2,FALSE),"..")</f>
        <v>38.200000000000003</v>
      </c>
      <c r="BU1226" s="129">
        <f>_xlfn.IFNA(VLOOKUP($C1226,RGI!$A$2:$C$43,3,FALSE),"..")</f>
        <v>50.952530108834466</v>
      </c>
      <c r="BV1226" s="129">
        <f>VLOOKUP($D1226,WGI!$C$2:$O$478,7,FALSE)</f>
        <v>7.2999700903892503E-2</v>
      </c>
      <c r="BW1226" s="129">
        <f>VLOOKUP($D1226,WGI!$C$2:$O$478,4,FALSE)</f>
        <v>0.49927636981010398</v>
      </c>
      <c r="BX1226" s="129">
        <f>VLOOKUP($D1226,WGI!$C$2:$O$478,3,FALSE)</f>
        <v>-0.54106253385543801</v>
      </c>
      <c r="BY1226" s="129">
        <f>VLOOKUP($D1226,WGI!$C$2:$O$478,5,FALSE)</f>
        <v>-0.28594869375228898</v>
      </c>
      <c r="BZ1226" s="129">
        <f>VLOOKUP($D1226,WGI!$C$2:$O$478,2,FALSE)</f>
        <v>-0.462237387895584</v>
      </c>
    </row>
    <row r="1227" spans="1:80" ht="15" customHeight="1">
      <c r="A1227" s="788" t="s">
        <v>382</v>
      </c>
      <c r="B1227" s="777">
        <v>2013</v>
      </c>
      <c r="C1227" s="117" t="s">
        <v>364</v>
      </c>
      <c r="D1227" s="117" t="s">
        <v>3787</v>
      </c>
      <c r="E1227" s="768" t="s">
        <v>244</v>
      </c>
      <c r="F1227" s="768"/>
      <c r="G1227" s="773" t="s">
        <v>24</v>
      </c>
      <c r="H1227" s="773"/>
      <c r="I1227" s="773"/>
      <c r="J1227" s="773"/>
      <c r="K1227" s="773" t="s">
        <v>1819</v>
      </c>
      <c r="L1227" s="773"/>
      <c r="M1227" s="773"/>
      <c r="N1227" s="774"/>
      <c r="O1227" s="774"/>
      <c r="P1227" s="774"/>
      <c r="Q1227" s="790">
        <v>533000</v>
      </c>
      <c r="R1227" s="790"/>
      <c r="S1227" s="146" t="s">
        <v>610</v>
      </c>
      <c r="T1227" s="119"/>
      <c r="U1227" s="146"/>
      <c r="V1227" s="146"/>
      <c r="W1227" s="146"/>
      <c r="X1227" s="146"/>
      <c r="Y1227" s="146"/>
      <c r="Z1227" s="146"/>
      <c r="AA1227" s="146"/>
      <c r="AB1227" s="146"/>
      <c r="AC1227" s="756"/>
      <c r="AD1227" s="756"/>
      <c r="AE1227" s="756"/>
      <c r="AF1227" s="758"/>
      <c r="AG1227" s="146"/>
      <c r="AH1227" s="759"/>
      <c r="AI1227" s="146"/>
      <c r="AJ1227" s="146"/>
      <c r="AK1227" s="760"/>
      <c r="AL1227" s="146"/>
      <c r="AM1227" s="146"/>
      <c r="AN1227" s="146"/>
      <c r="AO1227" s="146"/>
      <c r="AP1227" s="146"/>
      <c r="AQ1227" s="146"/>
      <c r="AR1227" s="146"/>
      <c r="AS1227" s="146"/>
      <c r="AT1227" s="146"/>
      <c r="AU1227" s="146"/>
      <c r="AV1227" s="128"/>
      <c r="AW1227" s="117">
        <f>VLOOKUP($D1227,'WB Data'!$C$3:$M$578,2,FALSE)</f>
        <v>11516409581.298849</v>
      </c>
      <c r="AX1227" s="117">
        <f>VLOOKUP($D1227,'WB Data'!$C$3:$M$578,3,FALSE)</f>
        <v>2839073</v>
      </c>
      <c r="AY1227" s="847">
        <f t="shared" si="215"/>
        <v>9.1599345688695655E-2</v>
      </c>
      <c r="AZ1227" s="117" t="e">
        <f>VLOOKUP($D1227,'WB Data'!$C$3:$M$578,4,FALSE)/100</f>
        <v>#VALUE!</v>
      </c>
      <c r="BA1227" s="117" t="str">
        <f t="shared" si="216"/>
        <v>..</v>
      </c>
      <c r="BB1227" s="129">
        <f>IFERROR(VLOOKUP($D1227,'EITI Revenues'!$C$2:$G$224,5,FALSE),"..")</f>
        <v>1054895582.33</v>
      </c>
      <c r="BC1227" s="846" t="str">
        <f t="shared" si="217"/>
        <v>..</v>
      </c>
      <c r="BD1227" s="129">
        <f>VLOOKUP($D1227,'WB Data 2'!$C$2:$K$545,6,FALSE)</f>
        <v>3790466651.4206519</v>
      </c>
      <c r="BE1227" s="129">
        <f>IFERROR(VLOOKUP($D1227,UNCTAD!$C$5:$V$529,4,FALSE),"..")</f>
        <v>4980067234</v>
      </c>
      <c r="BF1227" s="846">
        <f t="shared" si="218"/>
        <v>0.76112760597734774</v>
      </c>
      <c r="BG1227" s="117" t="str">
        <f>VLOOKUP($D1227,'WB Data'!$C$3:$M$578,5,FALSE)</f>
        <v>..</v>
      </c>
      <c r="BH1227" s="129" t="str">
        <f>IFERROR($BB1227/$BG1227,"..")</f>
        <v>..</v>
      </c>
      <c r="BI1227" s="117" t="str">
        <f>IFERROR(VLOOKUP($D1227,'WB Data'!$C$3:$M$578,7,FALSE)/100,"..")</f>
        <v>..</v>
      </c>
      <c r="BJ1227" s="117" t="str">
        <f>IFERROR($BI1227*$AW1227,"..")</f>
        <v>..</v>
      </c>
      <c r="BK1227" s="846" t="str">
        <f>IFERROR($BB1227/$BJ1227,"..")</f>
        <v>..</v>
      </c>
      <c r="BL1227" s="117" t="str">
        <f>IFERROR(VLOOKUP($D1227,'WB Data'!$C$3:$M$578,7,FALSE)/100,"..")</f>
        <v>..</v>
      </c>
      <c r="BM1227" s="117" t="str">
        <f>IFERROR($AW1227*$BL1227,"..")</f>
        <v>..</v>
      </c>
      <c r="BN1227" s="846" t="str">
        <f>IFERROR($BB1227/$BM1227,"..")</f>
        <v>..</v>
      </c>
      <c r="BO1227" s="801">
        <f t="shared" si="214"/>
        <v>39</v>
      </c>
      <c r="BP1227" s="117" t="str">
        <f>VLOOKUP($D1227,'WB Data'!$C$3:$M$578,9,FALSE)</f>
        <v>..</v>
      </c>
      <c r="BQ1227" s="117" t="str">
        <f>VLOOKUP($D1227,'WB Data'!$C$3:$M$578,10,FALSE)</f>
        <v>..</v>
      </c>
      <c r="BR1227" s="117">
        <f>VLOOKUP($D1227,'WB Data'!$C$3:$M$578,11,FALSE)</f>
        <v>26.4</v>
      </c>
      <c r="BS1227" s="129" t="str">
        <f>IFERROR(VLOOKUP($D1227,'WB Data 2'!$C$2:$K$545,9,FALSE),"..")</f>
        <v>..</v>
      </c>
      <c r="BT1227" s="129">
        <f>_xlfn.IFNA(VLOOKUP($C1227,RGI!$A$2:$C$43,2,FALSE),"..")</f>
        <v>38.200000000000003</v>
      </c>
      <c r="BU1227" s="129">
        <f>_xlfn.IFNA(VLOOKUP($C1227,RGI!$A$2:$C$43,3,FALSE),"..")</f>
        <v>50.952530108834466</v>
      </c>
      <c r="BV1227" s="129">
        <f>VLOOKUP($D1227,WGI!$C$2:$O$478,7,FALSE)</f>
        <v>7.2999700903892503E-2</v>
      </c>
      <c r="BW1227" s="129">
        <f>VLOOKUP($D1227,WGI!$C$2:$O$478,4,FALSE)</f>
        <v>0.49927636981010398</v>
      </c>
      <c r="BX1227" s="129">
        <f>VLOOKUP($D1227,WGI!$C$2:$O$478,3,FALSE)</f>
        <v>-0.54106253385543801</v>
      </c>
      <c r="BY1227" s="129">
        <f>VLOOKUP($D1227,WGI!$C$2:$O$478,5,FALSE)</f>
        <v>-0.28594869375228898</v>
      </c>
      <c r="BZ1227" s="129">
        <f>VLOOKUP($D1227,WGI!$C$2:$O$478,2,FALSE)</f>
        <v>-0.462237387895584</v>
      </c>
    </row>
    <row r="1228" spans="1:80" ht="15" customHeight="1">
      <c r="A1228" s="788" t="s">
        <v>382</v>
      </c>
      <c r="B1228" s="777">
        <v>2013</v>
      </c>
      <c r="C1228" s="117" t="s">
        <v>364</v>
      </c>
      <c r="D1228" s="117" t="s">
        <v>3787</v>
      </c>
      <c r="E1228" s="768" t="s">
        <v>244</v>
      </c>
      <c r="F1228" s="768"/>
      <c r="G1228" s="773" t="s">
        <v>24</v>
      </c>
      <c r="H1228" s="773"/>
      <c r="I1228" s="773"/>
      <c r="J1228" s="773"/>
      <c r="K1228" s="146" t="s">
        <v>1801</v>
      </c>
      <c r="L1228" s="773"/>
      <c r="M1228" s="773"/>
      <c r="N1228" s="754"/>
      <c r="O1228" s="754"/>
      <c r="P1228" s="754"/>
      <c r="Q1228" s="754">
        <v>3869000</v>
      </c>
      <c r="R1228" s="754"/>
      <c r="S1228" s="146" t="s">
        <v>610</v>
      </c>
      <c r="T1228" s="119"/>
      <c r="U1228" s="146"/>
      <c r="V1228" s="146"/>
      <c r="W1228" s="146"/>
      <c r="X1228" s="146"/>
      <c r="Y1228" s="146"/>
      <c r="Z1228" s="146"/>
      <c r="AA1228" s="146"/>
      <c r="AB1228" s="146"/>
      <c r="AC1228" s="756"/>
      <c r="AD1228" s="756"/>
      <c r="AE1228" s="756"/>
      <c r="AF1228" s="758"/>
      <c r="AG1228" s="146"/>
      <c r="AH1228" s="759"/>
      <c r="AI1228" s="146"/>
      <c r="AJ1228" s="146"/>
      <c r="AK1228" s="760"/>
      <c r="AL1228" s="146"/>
      <c r="AM1228" s="146"/>
      <c r="AN1228" s="146"/>
      <c r="AO1228" s="146"/>
      <c r="AP1228" s="146"/>
      <c r="AQ1228" s="146"/>
      <c r="AR1228" s="146"/>
      <c r="AS1228" s="146"/>
      <c r="AT1228" s="146"/>
      <c r="AU1228" s="146"/>
      <c r="AV1228" s="128"/>
      <c r="AW1228" s="117">
        <f>VLOOKUP($D1228,'WB Data'!$C$3:$M$578,2,FALSE)</f>
        <v>11516409581.298849</v>
      </c>
      <c r="AX1228" s="117">
        <f>VLOOKUP($D1228,'WB Data'!$C$3:$M$578,3,FALSE)</f>
        <v>2839073</v>
      </c>
      <c r="AY1228" s="847">
        <f t="shared" si="215"/>
        <v>9.1599345688695655E-2</v>
      </c>
      <c r="AZ1228" s="117" t="e">
        <f>VLOOKUP($D1228,'WB Data'!$C$3:$M$578,4,FALSE)/100</f>
        <v>#VALUE!</v>
      </c>
      <c r="BA1228" s="117" t="str">
        <f t="shared" si="216"/>
        <v>..</v>
      </c>
      <c r="BB1228" s="129">
        <f>IFERROR(VLOOKUP($D1228,'EITI Revenues'!$C$2:$G$224,5,FALSE),"..")</f>
        <v>1054895582.33</v>
      </c>
      <c r="BC1228" s="846" t="str">
        <f t="shared" si="217"/>
        <v>..</v>
      </c>
      <c r="BD1228" s="129">
        <f>VLOOKUP($D1228,'WB Data 2'!$C$2:$K$545,6,FALSE)</f>
        <v>3790466651.4206519</v>
      </c>
      <c r="BE1228" s="129">
        <f>IFERROR(VLOOKUP($D1228,UNCTAD!$C$5:$V$529,4,FALSE),"..")</f>
        <v>4980067234</v>
      </c>
      <c r="BF1228" s="846">
        <f t="shared" si="218"/>
        <v>0.76112760597734774</v>
      </c>
      <c r="BG1228" s="117" t="str">
        <f>VLOOKUP($D1228,'WB Data'!$C$3:$M$578,5,FALSE)</f>
        <v>..</v>
      </c>
      <c r="BH1228" s="129" t="str">
        <f>IFERROR($BB1228/$BG1228,"..")</f>
        <v>..</v>
      </c>
      <c r="BI1228" s="117" t="str">
        <f>IFERROR(VLOOKUP($D1228,'WB Data'!$C$3:$M$578,7,FALSE)/100,"..")</f>
        <v>..</v>
      </c>
      <c r="BJ1228" s="117" t="str">
        <f>IFERROR($BI1228*$AW1228,"..")</f>
        <v>..</v>
      </c>
      <c r="BK1228" s="846" t="str">
        <f>IFERROR($BB1228/$BJ1228,"..")</f>
        <v>..</v>
      </c>
      <c r="BL1228" s="117" t="str">
        <f>IFERROR(VLOOKUP($D1228,'WB Data'!$C$3:$M$578,7,FALSE)/100,"..")</f>
        <v>..</v>
      </c>
      <c r="BM1228" s="117" t="str">
        <f>IFERROR($AW1228*$BL1228,"..")</f>
        <v>..</v>
      </c>
      <c r="BN1228" s="846" t="str">
        <f>IFERROR($BB1228/$BM1228,"..")</f>
        <v>..</v>
      </c>
      <c r="BO1228" s="801">
        <f t="shared" si="214"/>
        <v>39</v>
      </c>
      <c r="BP1228" s="117" t="str">
        <f>VLOOKUP($D1228,'WB Data'!$C$3:$M$578,9,FALSE)</f>
        <v>..</v>
      </c>
      <c r="BQ1228" s="117" t="str">
        <f>VLOOKUP($D1228,'WB Data'!$C$3:$M$578,10,FALSE)</f>
        <v>..</v>
      </c>
      <c r="BR1228" s="117">
        <f>VLOOKUP($D1228,'WB Data'!$C$3:$M$578,11,FALSE)</f>
        <v>26.4</v>
      </c>
      <c r="BS1228" s="129" t="str">
        <f>IFERROR(VLOOKUP($D1228,'WB Data 2'!$C$2:$K$545,9,FALSE),"..")</f>
        <v>..</v>
      </c>
      <c r="BT1228" s="129">
        <f>_xlfn.IFNA(VLOOKUP($C1228,RGI!$A$2:$C$43,2,FALSE),"..")</f>
        <v>38.200000000000003</v>
      </c>
      <c r="BU1228" s="129">
        <f>_xlfn.IFNA(VLOOKUP($C1228,RGI!$A$2:$C$43,3,FALSE),"..")</f>
        <v>50.952530108834466</v>
      </c>
      <c r="BV1228" s="129">
        <f>VLOOKUP($D1228,WGI!$C$2:$O$478,7,FALSE)</f>
        <v>7.2999700903892503E-2</v>
      </c>
      <c r="BW1228" s="129">
        <f>VLOOKUP($D1228,WGI!$C$2:$O$478,4,FALSE)</f>
        <v>0.49927636981010398</v>
      </c>
      <c r="BX1228" s="129">
        <f>VLOOKUP($D1228,WGI!$C$2:$O$478,3,FALSE)</f>
        <v>-0.54106253385543801</v>
      </c>
      <c r="BY1228" s="129">
        <f>VLOOKUP($D1228,WGI!$C$2:$O$478,5,FALSE)</f>
        <v>-0.28594869375228898</v>
      </c>
      <c r="BZ1228" s="129">
        <f>VLOOKUP($D1228,WGI!$C$2:$O$478,2,FALSE)</f>
        <v>-0.462237387895584</v>
      </c>
    </row>
    <row r="1229" spans="1:80" ht="15" customHeight="1">
      <c r="A1229" s="788" t="s">
        <v>382</v>
      </c>
      <c r="B1229" s="777">
        <v>2013</v>
      </c>
      <c r="C1229" s="117" t="s">
        <v>364</v>
      </c>
      <c r="D1229" s="117" t="s">
        <v>3787</v>
      </c>
      <c r="E1229" s="768" t="s">
        <v>244</v>
      </c>
      <c r="F1229" s="768"/>
      <c r="G1229" s="146" t="s">
        <v>24</v>
      </c>
      <c r="H1229" s="146"/>
      <c r="I1229" s="146"/>
      <c r="J1229" s="146"/>
      <c r="K1229" s="146" t="s">
        <v>784</v>
      </c>
      <c r="L1229" s="146"/>
      <c r="M1229" s="146"/>
      <c r="N1229" s="754"/>
      <c r="O1229" s="754"/>
      <c r="P1229" s="754"/>
      <c r="Q1229" s="754">
        <v>8904</v>
      </c>
      <c r="R1229" s="754"/>
      <c r="S1229" s="146" t="s">
        <v>967</v>
      </c>
      <c r="T1229" s="119"/>
      <c r="U1229" s="146"/>
      <c r="V1229" s="146"/>
      <c r="W1229" s="146"/>
      <c r="X1229" s="146"/>
      <c r="Y1229" s="146"/>
      <c r="Z1229" s="146"/>
      <c r="AA1229" s="146"/>
      <c r="AB1229" s="146"/>
      <c r="AC1229" s="756"/>
      <c r="AD1229" s="756"/>
      <c r="AE1229" s="756"/>
      <c r="AF1229" s="758"/>
      <c r="AG1229" s="146"/>
      <c r="AH1229" s="759"/>
      <c r="AI1229" s="146"/>
      <c r="AJ1229" s="146"/>
      <c r="AK1229" s="760"/>
      <c r="AL1229" s="146"/>
      <c r="AM1229" s="146"/>
      <c r="AN1229" s="146"/>
      <c r="AO1229" s="146"/>
      <c r="AP1229" s="146"/>
      <c r="AQ1229" s="146"/>
      <c r="AR1229" s="146"/>
      <c r="AS1229" s="146"/>
      <c r="AT1229" s="146"/>
      <c r="AU1229" s="146"/>
      <c r="AV1229" s="128"/>
      <c r="AW1229" s="117">
        <f>VLOOKUP($D1229,'WB Data'!$C$3:$M$578,2,FALSE)</f>
        <v>11516409581.298849</v>
      </c>
      <c r="AX1229" s="117">
        <f>VLOOKUP($D1229,'WB Data'!$C$3:$M$578,3,FALSE)</f>
        <v>2839073</v>
      </c>
      <c r="AY1229" s="847">
        <f t="shared" si="215"/>
        <v>9.1599345688695655E-2</v>
      </c>
      <c r="AZ1229" s="117" t="e">
        <f>VLOOKUP($D1229,'WB Data'!$C$3:$M$578,4,FALSE)/100</f>
        <v>#VALUE!</v>
      </c>
      <c r="BA1229" s="117" t="str">
        <f t="shared" si="216"/>
        <v>..</v>
      </c>
      <c r="BB1229" s="129">
        <f>IFERROR(VLOOKUP($D1229,'EITI Revenues'!$C$2:$G$224,5,FALSE),"..")</f>
        <v>1054895582.33</v>
      </c>
      <c r="BC1229" s="846" t="str">
        <f t="shared" si="217"/>
        <v>..</v>
      </c>
      <c r="BD1229" s="129">
        <f>VLOOKUP($D1229,'WB Data 2'!$C$2:$K$545,6,FALSE)</f>
        <v>3790466651.4206519</v>
      </c>
      <c r="BE1229" s="129">
        <f>IFERROR(VLOOKUP($D1229,UNCTAD!$C$5:$V$529,4,FALSE),"..")</f>
        <v>4980067234</v>
      </c>
      <c r="BF1229" s="846">
        <f t="shared" si="218"/>
        <v>0.76112760597734774</v>
      </c>
      <c r="BG1229" s="117" t="str">
        <f>VLOOKUP($D1229,'WB Data'!$C$3:$M$578,5,FALSE)</f>
        <v>..</v>
      </c>
      <c r="BH1229" s="129" t="str">
        <f>IFERROR($BB1229/$BG1229,"..")</f>
        <v>..</v>
      </c>
      <c r="BI1229" s="117" t="str">
        <f>IFERROR(VLOOKUP($D1229,'WB Data'!$C$3:$M$578,7,FALSE)/100,"..")</f>
        <v>..</v>
      </c>
      <c r="BJ1229" s="117" t="str">
        <f>IFERROR($BI1229*$AW1229,"..")</f>
        <v>..</v>
      </c>
      <c r="BK1229" s="846" t="str">
        <f>IFERROR($BB1229/$BJ1229,"..")</f>
        <v>..</v>
      </c>
      <c r="BL1229" s="117" t="str">
        <f>IFERROR(VLOOKUP($D1229,'WB Data'!$C$3:$M$578,7,FALSE)/100,"..")</f>
        <v>..</v>
      </c>
      <c r="BM1229" s="117" t="str">
        <f>IFERROR($AW1229*$BL1229,"..")</f>
        <v>..</v>
      </c>
      <c r="BN1229" s="846" t="str">
        <f>IFERROR($BB1229/$BM1229,"..")</f>
        <v>..</v>
      </c>
      <c r="BO1229" s="801">
        <f t="shared" si="214"/>
        <v>39</v>
      </c>
      <c r="BP1229" s="117" t="str">
        <f>VLOOKUP($D1229,'WB Data'!$C$3:$M$578,9,FALSE)</f>
        <v>..</v>
      </c>
      <c r="BQ1229" s="117" t="str">
        <f>VLOOKUP($D1229,'WB Data'!$C$3:$M$578,10,FALSE)</f>
        <v>..</v>
      </c>
      <c r="BR1229" s="117">
        <f>VLOOKUP($D1229,'WB Data'!$C$3:$M$578,11,FALSE)</f>
        <v>26.4</v>
      </c>
      <c r="BS1229" s="129" t="str">
        <f>IFERROR(VLOOKUP($D1229,'WB Data 2'!$C$2:$K$545,9,FALSE),"..")</f>
        <v>..</v>
      </c>
      <c r="BT1229" s="129">
        <f>_xlfn.IFNA(VLOOKUP($C1229,RGI!$A$2:$C$43,2,FALSE),"..")</f>
        <v>38.200000000000003</v>
      </c>
      <c r="BU1229" s="129">
        <f>_xlfn.IFNA(VLOOKUP($C1229,RGI!$A$2:$C$43,3,FALSE),"..")</f>
        <v>50.952530108834466</v>
      </c>
      <c r="BV1229" s="129">
        <f>VLOOKUP($D1229,WGI!$C$2:$O$478,7,FALSE)</f>
        <v>7.2999700903892503E-2</v>
      </c>
      <c r="BW1229" s="129">
        <f>VLOOKUP($D1229,WGI!$C$2:$O$478,4,FALSE)</f>
        <v>0.49927636981010398</v>
      </c>
      <c r="BX1229" s="129">
        <f>VLOOKUP($D1229,WGI!$C$2:$O$478,3,FALSE)</f>
        <v>-0.54106253385543801</v>
      </c>
      <c r="BY1229" s="129">
        <f>VLOOKUP($D1229,WGI!$C$2:$O$478,5,FALSE)</f>
        <v>-0.28594869375228898</v>
      </c>
      <c r="BZ1229" s="129">
        <f>VLOOKUP($D1229,WGI!$C$2:$O$478,2,FALSE)</f>
        <v>-0.462237387895584</v>
      </c>
    </row>
    <row r="1230" spans="1:80" ht="15" customHeight="1">
      <c r="A1230" s="788" t="s">
        <v>382</v>
      </c>
      <c r="B1230" s="777">
        <v>2013</v>
      </c>
      <c r="C1230" s="117" t="s">
        <v>364</v>
      </c>
      <c r="D1230" s="117" t="s">
        <v>3787</v>
      </c>
      <c r="E1230" s="768" t="s">
        <v>244</v>
      </c>
      <c r="F1230" s="768"/>
      <c r="G1230" s="146" t="s">
        <v>24</v>
      </c>
      <c r="H1230" s="146"/>
      <c r="I1230" s="146"/>
      <c r="J1230" s="146"/>
      <c r="K1230" s="146" t="s">
        <v>1855</v>
      </c>
      <c r="L1230" s="146"/>
      <c r="M1230" s="146"/>
      <c r="N1230" s="754"/>
      <c r="O1230" s="754"/>
      <c r="P1230" s="754"/>
      <c r="Q1230" s="754">
        <v>162000</v>
      </c>
      <c r="R1230" s="754"/>
      <c r="S1230" s="146" t="s">
        <v>610</v>
      </c>
      <c r="T1230" s="119"/>
      <c r="U1230" s="146"/>
      <c r="V1230" s="146"/>
      <c r="W1230" s="146"/>
      <c r="X1230" s="146"/>
      <c r="Y1230" s="146"/>
      <c r="Z1230" s="146"/>
      <c r="AA1230" s="146"/>
      <c r="AB1230" s="146"/>
      <c r="AC1230" s="756"/>
      <c r="AD1230" s="756"/>
      <c r="AE1230" s="756"/>
      <c r="AF1230" s="758"/>
      <c r="AG1230" s="146"/>
      <c r="AH1230" s="759"/>
      <c r="AI1230" s="146"/>
      <c r="AJ1230" s="146"/>
      <c r="AK1230" s="760"/>
      <c r="AL1230" s="146"/>
      <c r="AM1230" s="146"/>
      <c r="AN1230" s="146"/>
      <c r="AO1230" s="146"/>
      <c r="AP1230" s="146"/>
      <c r="AQ1230" s="146"/>
      <c r="AR1230" s="146"/>
      <c r="AS1230" s="146"/>
      <c r="AT1230" s="146"/>
      <c r="AU1230" s="146"/>
      <c r="AV1230" s="128"/>
      <c r="AW1230" s="117">
        <f>VLOOKUP($D1230,'WB Data'!$C$3:$M$578,2,FALSE)</f>
        <v>11516409581.298849</v>
      </c>
      <c r="AX1230" s="117">
        <f>VLOOKUP($D1230,'WB Data'!$C$3:$M$578,3,FALSE)</f>
        <v>2839073</v>
      </c>
      <c r="AY1230" s="847">
        <f t="shared" si="215"/>
        <v>9.1599345688695655E-2</v>
      </c>
      <c r="AZ1230" s="117" t="e">
        <f>VLOOKUP($D1230,'WB Data'!$C$3:$M$578,4,FALSE)/100</f>
        <v>#VALUE!</v>
      </c>
      <c r="BA1230" s="117" t="str">
        <f t="shared" si="216"/>
        <v>..</v>
      </c>
      <c r="BB1230" s="129">
        <f>IFERROR(VLOOKUP($D1230,'EITI Revenues'!$C$2:$G$224,5,FALSE),"..")</f>
        <v>1054895582.33</v>
      </c>
      <c r="BC1230" s="846" t="str">
        <f t="shared" si="217"/>
        <v>..</v>
      </c>
      <c r="BD1230" s="129">
        <f>VLOOKUP($D1230,'WB Data 2'!$C$2:$K$545,6,FALSE)</f>
        <v>3790466651.4206519</v>
      </c>
      <c r="BE1230" s="129">
        <f>IFERROR(VLOOKUP($D1230,UNCTAD!$C$5:$V$529,4,FALSE),"..")</f>
        <v>4980067234</v>
      </c>
      <c r="BF1230" s="846">
        <f t="shared" si="218"/>
        <v>0.76112760597734774</v>
      </c>
      <c r="BG1230" s="117" t="str">
        <f>VLOOKUP($D1230,'WB Data'!$C$3:$M$578,5,FALSE)</f>
        <v>..</v>
      </c>
      <c r="BH1230" s="129" t="str">
        <f>IFERROR($BB1230/$BG1230,"..")</f>
        <v>..</v>
      </c>
      <c r="BI1230" s="117" t="str">
        <f>IFERROR(VLOOKUP($D1230,'WB Data'!$C$3:$M$578,7,FALSE)/100,"..")</f>
        <v>..</v>
      </c>
      <c r="BJ1230" s="117" t="str">
        <f>IFERROR($BI1230*$AW1230,"..")</f>
        <v>..</v>
      </c>
      <c r="BK1230" s="846" t="str">
        <f>IFERROR($BB1230/$BJ1230,"..")</f>
        <v>..</v>
      </c>
      <c r="BL1230" s="117" t="str">
        <f>IFERROR(VLOOKUP($D1230,'WB Data'!$C$3:$M$578,7,FALSE)/100,"..")</f>
        <v>..</v>
      </c>
      <c r="BM1230" s="117" t="str">
        <f>IFERROR($AW1230*$BL1230,"..")</f>
        <v>..</v>
      </c>
      <c r="BN1230" s="846" t="str">
        <f>IFERROR($BB1230/$BM1230,"..")</f>
        <v>..</v>
      </c>
      <c r="BO1230" s="801">
        <f t="shared" si="214"/>
        <v>39</v>
      </c>
      <c r="BP1230" s="117" t="str">
        <f>VLOOKUP($D1230,'WB Data'!$C$3:$M$578,9,FALSE)</f>
        <v>..</v>
      </c>
      <c r="BQ1230" s="117" t="str">
        <f>VLOOKUP($D1230,'WB Data'!$C$3:$M$578,10,FALSE)</f>
        <v>..</v>
      </c>
      <c r="BR1230" s="117">
        <f>VLOOKUP($D1230,'WB Data'!$C$3:$M$578,11,FALSE)</f>
        <v>26.4</v>
      </c>
      <c r="BS1230" s="129" t="str">
        <f>IFERROR(VLOOKUP($D1230,'WB Data 2'!$C$2:$K$545,9,FALSE),"..")</f>
        <v>..</v>
      </c>
      <c r="BT1230" s="129">
        <f>_xlfn.IFNA(VLOOKUP($C1230,RGI!$A$2:$C$43,2,FALSE),"..")</f>
        <v>38.200000000000003</v>
      </c>
      <c r="BU1230" s="129">
        <f>_xlfn.IFNA(VLOOKUP($C1230,RGI!$A$2:$C$43,3,FALSE),"..")</f>
        <v>50.952530108834466</v>
      </c>
      <c r="BV1230" s="129">
        <f>VLOOKUP($D1230,WGI!$C$2:$O$478,7,FALSE)</f>
        <v>7.2999700903892503E-2</v>
      </c>
      <c r="BW1230" s="129">
        <f>VLOOKUP($D1230,WGI!$C$2:$O$478,4,FALSE)</f>
        <v>0.49927636981010398</v>
      </c>
      <c r="BX1230" s="129">
        <f>VLOOKUP($D1230,WGI!$C$2:$O$478,3,FALSE)</f>
        <v>-0.54106253385543801</v>
      </c>
      <c r="BY1230" s="129">
        <f>VLOOKUP($D1230,WGI!$C$2:$O$478,5,FALSE)</f>
        <v>-0.28594869375228898</v>
      </c>
      <c r="BZ1230" s="129">
        <f>VLOOKUP($D1230,WGI!$C$2:$O$478,2,FALSE)</f>
        <v>-0.462237387895584</v>
      </c>
    </row>
    <row r="1231" spans="1:80" ht="15" customHeight="1">
      <c r="A1231" s="788" t="s">
        <v>382</v>
      </c>
      <c r="B1231" s="777">
        <v>2013</v>
      </c>
      <c r="C1231" s="117" t="s">
        <v>364</v>
      </c>
      <c r="D1231" s="117" t="s">
        <v>3787</v>
      </c>
      <c r="E1231" s="768" t="s">
        <v>244</v>
      </c>
      <c r="F1231" s="768"/>
      <c r="G1231" s="146" t="s">
        <v>24</v>
      </c>
      <c r="H1231" s="146"/>
      <c r="I1231" s="146"/>
      <c r="J1231" s="146"/>
      <c r="K1231" s="146" t="s">
        <v>1856</v>
      </c>
      <c r="L1231" s="146"/>
      <c r="M1231" s="146"/>
      <c r="N1231" s="754"/>
      <c r="O1231" s="754"/>
      <c r="P1231" s="754"/>
      <c r="Q1231" s="754">
        <v>76000</v>
      </c>
      <c r="R1231" s="754"/>
      <c r="S1231" s="146" t="s">
        <v>610</v>
      </c>
      <c r="T1231" s="119"/>
      <c r="U1231" s="146"/>
      <c r="V1231" s="146"/>
      <c r="W1231" s="146"/>
      <c r="X1231" s="146"/>
      <c r="Y1231" s="146"/>
      <c r="Z1231" s="146"/>
      <c r="AA1231" s="146"/>
      <c r="AB1231" s="146"/>
      <c r="AC1231" s="756"/>
      <c r="AD1231" s="756"/>
      <c r="AE1231" s="756"/>
      <c r="AF1231" s="758"/>
      <c r="AG1231" s="146"/>
      <c r="AH1231" s="759"/>
      <c r="AI1231" s="146"/>
      <c r="AJ1231" s="146"/>
      <c r="AK1231" s="760"/>
      <c r="AL1231" s="146"/>
      <c r="AM1231" s="146"/>
      <c r="AN1231" s="146"/>
      <c r="AO1231" s="146"/>
      <c r="AP1231" s="146"/>
      <c r="AQ1231" s="146"/>
      <c r="AR1231" s="146"/>
      <c r="AS1231" s="146"/>
      <c r="AT1231" s="146"/>
      <c r="AU1231" s="146"/>
      <c r="AV1231" s="128"/>
      <c r="AW1231" s="117">
        <f>VLOOKUP($D1231,'WB Data'!$C$3:$M$578,2,FALSE)</f>
        <v>11516409581.298849</v>
      </c>
      <c r="AX1231" s="117">
        <f>VLOOKUP($D1231,'WB Data'!$C$3:$M$578,3,FALSE)</f>
        <v>2839073</v>
      </c>
      <c r="AY1231" s="847">
        <f t="shared" si="215"/>
        <v>9.1599345688695655E-2</v>
      </c>
      <c r="AZ1231" s="117" t="e">
        <f>VLOOKUP($D1231,'WB Data'!$C$3:$M$578,4,FALSE)/100</f>
        <v>#VALUE!</v>
      </c>
      <c r="BA1231" s="117" t="str">
        <f t="shared" si="216"/>
        <v>..</v>
      </c>
      <c r="BB1231" s="129">
        <f>IFERROR(VLOOKUP($D1231,'EITI Revenues'!$C$2:$G$224,5,FALSE),"..")</f>
        <v>1054895582.33</v>
      </c>
      <c r="BC1231" s="846" t="str">
        <f t="shared" si="217"/>
        <v>..</v>
      </c>
      <c r="BD1231" s="129">
        <f>VLOOKUP($D1231,'WB Data 2'!$C$2:$K$545,6,FALSE)</f>
        <v>3790466651.4206519</v>
      </c>
      <c r="BE1231" s="129">
        <f>IFERROR(VLOOKUP($D1231,UNCTAD!$C$5:$V$529,4,FALSE),"..")</f>
        <v>4980067234</v>
      </c>
      <c r="BF1231" s="846">
        <f t="shared" si="218"/>
        <v>0.76112760597734774</v>
      </c>
      <c r="BG1231" s="117" t="str">
        <f>VLOOKUP($D1231,'WB Data'!$C$3:$M$578,5,FALSE)</f>
        <v>..</v>
      </c>
      <c r="BH1231" s="129" t="str">
        <f>IFERROR($BB1231/$BG1231,"..")</f>
        <v>..</v>
      </c>
      <c r="BI1231" s="117" t="str">
        <f>IFERROR(VLOOKUP($D1231,'WB Data'!$C$3:$M$578,7,FALSE)/100,"..")</f>
        <v>..</v>
      </c>
      <c r="BJ1231" s="117" t="str">
        <f>IFERROR($BI1231*$AW1231,"..")</f>
        <v>..</v>
      </c>
      <c r="BK1231" s="846" t="str">
        <f>IFERROR($BB1231/$BJ1231,"..")</f>
        <v>..</v>
      </c>
      <c r="BL1231" s="117" t="str">
        <f>IFERROR(VLOOKUP($D1231,'WB Data'!$C$3:$M$578,7,FALSE)/100,"..")</f>
        <v>..</v>
      </c>
      <c r="BM1231" s="117" t="str">
        <f>IFERROR($AW1231*$BL1231,"..")</f>
        <v>..</v>
      </c>
      <c r="BN1231" s="846" t="str">
        <f>IFERROR($BB1231/$BM1231,"..")</f>
        <v>..</v>
      </c>
      <c r="BO1231" s="801">
        <f t="shared" si="214"/>
        <v>39</v>
      </c>
      <c r="BP1231" s="117" t="str">
        <f>VLOOKUP($D1231,'WB Data'!$C$3:$M$578,9,FALSE)</f>
        <v>..</v>
      </c>
      <c r="BQ1231" s="117" t="str">
        <f>VLOOKUP($D1231,'WB Data'!$C$3:$M$578,10,FALSE)</f>
        <v>..</v>
      </c>
      <c r="BR1231" s="117">
        <f>VLOOKUP($D1231,'WB Data'!$C$3:$M$578,11,FALSE)</f>
        <v>26.4</v>
      </c>
      <c r="BS1231" s="129" t="str">
        <f>IFERROR(VLOOKUP($D1231,'WB Data 2'!$C$2:$K$545,9,FALSE),"..")</f>
        <v>..</v>
      </c>
      <c r="BT1231" s="129">
        <f>_xlfn.IFNA(VLOOKUP($C1231,RGI!$A$2:$C$43,2,FALSE),"..")</f>
        <v>38.200000000000003</v>
      </c>
      <c r="BU1231" s="129">
        <f>_xlfn.IFNA(VLOOKUP($C1231,RGI!$A$2:$C$43,3,FALSE),"..")</f>
        <v>50.952530108834466</v>
      </c>
      <c r="BV1231" s="129">
        <f>VLOOKUP($D1231,WGI!$C$2:$O$478,7,FALSE)</f>
        <v>7.2999700903892503E-2</v>
      </c>
      <c r="BW1231" s="129">
        <f>VLOOKUP($D1231,WGI!$C$2:$O$478,4,FALSE)</f>
        <v>0.49927636981010398</v>
      </c>
      <c r="BX1231" s="129">
        <f>VLOOKUP($D1231,WGI!$C$2:$O$478,3,FALSE)</f>
        <v>-0.54106253385543801</v>
      </c>
      <c r="BY1231" s="129">
        <f>VLOOKUP($D1231,WGI!$C$2:$O$478,5,FALSE)</f>
        <v>-0.28594869375228898</v>
      </c>
      <c r="BZ1231" s="129">
        <f>VLOOKUP($D1231,WGI!$C$2:$O$478,2,FALSE)</f>
        <v>-0.462237387895584</v>
      </c>
    </row>
    <row r="1232" spans="1:80" ht="15" customHeight="1">
      <c r="A1232" s="788" t="s">
        <v>382</v>
      </c>
      <c r="B1232" s="777">
        <v>2013</v>
      </c>
      <c r="C1232" s="117" t="s">
        <v>364</v>
      </c>
      <c r="D1232" s="117" t="s">
        <v>3787</v>
      </c>
      <c r="E1232" s="768" t="s">
        <v>244</v>
      </c>
      <c r="F1232" s="768"/>
      <c r="G1232" s="146" t="s">
        <v>24</v>
      </c>
      <c r="H1232" s="146"/>
      <c r="I1232" s="146"/>
      <c r="J1232" s="146"/>
      <c r="K1232" s="146" t="s">
        <v>1291</v>
      </c>
      <c r="L1232" s="146"/>
      <c r="M1232" s="146"/>
      <c r="N1232" s="754"/>
      <c r="O1232" s="754"/>
      <c r="P1232" s="754"/>
      <c r="Q1232" s="754">
        <v>6011000</v>
      </c>
      <c r="R1232" s="754"/>
      <c r="S1232" s="146" t="s">
        <v>610</v>
      </c>
      <c r="T1232" s="119"/>
      <c r="U1232" s="146"/>
      <c r="V1232" s="146"/>
      <c r="W1232" s="146"/>
      <c r="X1232" s="146"/>
      <c r="Y1232" s="146"/>
      <c r="Z1232" s="146"/>
      <c r="AA1232" s="146"/>
      <c r="AB1232" s="146"/>
      <c r="AC1232" s="756"/>
      <c r="AD1232" s="756"/>
      <c r="AE1232" s="756"/>
      <c r="AF1232" s="758"/>
      <c r="AG1232" s="146"/>
      <c r="AH1232" s="759"/>
      <c r="AI1232" s="146"/>
      <c r="AJ1232" s="146"/>
      <c r="AK1232" s="760"/>
      <c r="AL1232" s="146"/>
      <c r="AM1232" s="146"/>
      <c r="AN1232" s="146"/>
      <c r="AO1232" s="146"/>
      <c r="AP1232" s="146"/>
      <c r="AQ1232" s="146"/>
      <c r="AR1232" s="146"/>
      <c r="AS1232" s="146"/>
      <c r="AT1232" s="146"/>
      <c r="AU1232" s="146"/>
      <c r="AV1232" s="128"/>
      <c r="AW1232" s="117">
        <f>VLOOKUP($D1232,'WB Data'!$C$3:$M$578,2,FALSE)</f>
        <v>11516409581.298849</v>
      </c>
      <c r="AX1232" s="117">
        <f>VLOOKUP($D1232,'WB Data'!$C$3:$M$578,3,FALSE)</f>
        <v>2839073</v>
      </c>
      <c r="AY1232" s="847">
        <f t="shared" si="215"/>
        <v>9.1599345688695655E-2</v>
      </c>
      <c r="AZ1232" s="117" t="e">
        <f>VLOOKUP($D1232,'WB Data'!$C$3:$M$578,4,FALSE)/100</f>
        <v>#VALUE!</v>
      </c>
      <c r="BA1232" s="117" t="str">
        <f t="shared" si="216"/>
        <v>..</v>
      </c>
      <c r="BB1232" s="129">
        <f>IFERROR(VLOOKUP($D1232,'EITI Revenues'!$C$2:$G$224,5,FALSE),"..")</f>
        <v>1054895582.33</v>
      </c>
      <c r="BC1232" s="846" t="str">
        <f t="shared" si="217"/>
        <v>..</v>
      </c>
      <c r="BD1232" s="129">
        <f>VLOOKUP($D1232,'WB Data 2'!$C$2:$K$545,6,FALSE)</f>
        <v>3790466651.4206519</v>
      </c>
      <c r="BE1232" s="129">
        <f>IFERROR(VLOOKUP($D1232,UNCTAD!$C$5:$V$529,4,FALSE),"..")</f>
        <v>4980067234</v>
      </c>
      <c r="BF1232" s="846">
        <f t="shared" si="218"/>
        <v>0.76112760597734774</v>
      </c>
      <c r="BG1232" s="117" t="str">
        <f>VLOOKUP($D1232,'WB Data'!$C$3:$M$578,5,FALSE)</f>
        <v>..</v>
      </c>
      <c r="BH1232" s="129" t="str">
        <f>IFERROR($BB1232/$BG1232,"..")</f>
        <v>..</v>
      </c>
      <c r="BI1232" s="117" t="str">
        <f>IFERROR(VLOOKUP($D1232,'WB Data'!$C$3:$M$578,7,FALSE)/100,"..")</f>
        <v>..</v>
      </c>
      <c r="BJ1232" s="117" t="str">
        <f>IFERROR($BI1232*$AW1232,"..")</f>
        <v>..</v>
      </c>
      <c r="BK1232" s="846" t="str">
        <f>IFERROR($BB1232/$BJ1232,"..")</f>
        <v>..</v>
      </c>
      <c r="BL1232" s="117" t="str">
        <f>IFERROR(VLOOKUP($D1232,'WB Data'!$C$3:$M$578,7,FALSE)/100,"..")</f>
        <v>..</v>
      </c>
      <c r="BM1232" s="117" t="str">
        <f>IFERROR($AW1232*$BL1232,"..")</f>
        <v>..</v>
      </c>
      <c r="BN1232" s="846" t="str">
        <f>IFERROR($BB1232/$BM1232,"..")</f>
        <v>..</v>
      </c>
      <c r="BO1232" s="801">
        <f t="shared" si="214"/>
        <v>39</v>
      </c>
      <c r="BP1232" s="117" t="str">
        <f>VLOOKUP($D1232,'WB Data'!$C$3:$M$578,9,FALSE)</f>
        <v>..</v>
      </c>
      <c r="BQ1232" s="117" t="str">
        <f>VLOOKUP($D1232,'WB Data'!$C$3:$M$578,10,FALSE)</f>
        <v>..</v>
      </c>
      <c r="BR1232" s="117">
        <f>VLOOKUP($D1232,'WB Data'!$C$3:$M$578,11,FALSE)</f>
        <v>26.4</v>
      </c>
      <c r="BS1232" s="129" t="str">
        <f>IFERROR(VLOOKUP($D1232,'WB Data 2'!$C$2:$K$545,9,FALSE),"..")</f>
        <v>..</v>
      </c>
      <c r="BT1232" s="129">
        <f>_xlfn.IFNA(VLOOKUP($C1232,RGI!$A$2:$C$43,2,FALSE),"..")</f>
        <v>38.200000000000003</v>
      </c>
      <c r="BU1232" s="129">
        <f>_xlfn.IFNA(VLOOKUP($C1232,RGI!$A$2:$C$43,3,FALSE),"..")</f>
        <v>50.952530108834466</v>
      </c>
      <c r="BV1232" s="129">
        <f>VLOOKUP($D1232,WGI!$C$2:$O$478,7,FALSE)</f>
        <v>7.2999700903892503E-2</v>
      </c>
      <c r="BW1232" s="129">
        <f>VLOOKUP($D1232,WGI!$C$2:$O$478,4,FALSE)</f>
        <v>0.49927636981010398</v>
      </c>
      <c r="BX1232" s="129">
        <f>VLOOKUP($D1232,WGI!$C$2:$O$478,3,FALSE)</f>
        <v>-0.54106253385543801</v>
      </c>
      <c r="BY1232" s="129">
        <f>VLOOKUP($D1232,WGI!$C$2:$O$478,5,FALSE)</f>
        <v>-0.28594869375228898</v>
      </c>
      <c r="BZ1232" s="129">
        <f>VLOOKUP($D1232,WGI!$C$2:$O$478,2,FALSE)</f>
        <v>-0.462237387895584</v>
      </c>
    </row>
    <row r="1233" spans="1:80" ht="15" customHeight="1">
      <c r="A1233" s="788" t="s">
        <v>382</v>
      </c>
      <c r="B1233" s="777">
        <v>2013</v>
      </c>
      <c r="C1233" s="117" t="s">
        <v>364</v>
      </c>
      <c r="D1233" s="117" t="s">
        <v>3787</v>
      </c>
      <c r="E1233" s="768" t="s">
        <v>244</v>
      </c>
      <c r="F1233" s="768"/>
      <c r="G1233" s="146" t="s">
        <v>24</v>
      </c>
      <c r="H1233" s="146"/>
      <c r="I1233" s="146"/>
      <c r="J1233" s="146"/>
      <c r="K1233" s="146" t="s">
        <v>1857</v>
      </c>
      <c r="L1233" s="146"/>
      <c r="M1233" s="146"/>
      <c r="N1233" s="754"/>
      <c r="O1233" s="754"/>
      <c r="P1233" s="754"/>
      <c r="Q1233" s="754">
        <v>104000</v>
      </c>
      <c r="R1233" s="754"/>
      <c r="S1233" s="146" t="s">
        <v>610</v>
      </c>
      <c r="T1233" s="119"/>
      <c r="U1233" s="146"/>
      <c r="V1233" s="146"/>
      <c r="W1233" s="146"/>
      <c r="X1233" s="146"/>
      <c r="Y1233" s="146"/>
      <c r="Z1233" s="146"/>
      <c r="AA1233" s="146"/>
      <c r="AB1233" s="146"/>
      <c r="AC1233" s="756"/>
      <c r="AD1233" s="756"/>
      <c r="AE1233" s="756"/>
      <c r="AF1233" s="758"/>
      <c r="AG1233" s="146"/>
      <c r="AH1233" s="759"/>
      <c r="AI1233" s="146"/>
      <c r="AJ1233" s="146"/>
      <c r="AK1233" s="760"/>
      <c r="AL1233" s="146"/>
      <c r="AM1233" s="146"/>
      <c r="AN1233" s="146"/>
      <c r="AO1233" s="146"/>
      <c r="AP1233" s="146"/>
      <c r="AQ1233" s="146"/>
      <c r="AR1233" s="146"/>
      <c r="AS1233" s="146"/>
      <c r="AT1233" s="146"/>
      <c r="AU1233" s="146"/>
      <c r="AV1233" s="128"/>
      <c r="AW1233" s="117">
        <f>VLOOKUP($D1233,'WB Data'!$C$3:$M$578,2,FALSE)</f>
        <v>11516409581.298849</v>
      </c>
      <c r="AX1233" s="117">
        <f>VLOOKUP($D1233,'WB Data'!$C$3:$M$578,3,FALSE)</f>
        <v>2839073</v>
      </c>
      <c r="AY1233" s="847">
        <f t="shared" si="215"/>
        <v>9.1599345688695655E-2</v>
      </c>
      <c r="AZ1233" s="117" t="e">
        <f>VLOOKUP($D1233,'WB Data'!$C$3:$M$578,4,FALSE)/100</f>
        <v>#VALUE!</v>
      </c>
      <c r="BA1233" s="117" t="str">
        <f t="shared" si="216"/>
        <v>..</v>
      </c>
      <c r="BB1233" s="129">
        <f>IFERROR(VLOOKUP($D1233,'EITI Revenues'!$C$2:$G$224,5,FALSE),"..")</f>
        <v>1054895582.33</v>
      </c>
      <c r="BC1233" s="846" t="str">
        <f t="shared" si="217"/>
        <v>..</v>
      </c>
      <c r="BD1233" s="129">
        <f>VLOOKUP($D1233,'WB Data 2'!$C$2:$K$545,6,FALSE)</f>
        <v>3790466651.4206519</v>
      </c>
      <c r="BE1233" s="129">
        <f>IFERROR(VLOOKUP($D1233,UNCTAD!$C$5:$V$529,4,FALSE),"..")</f>
        <v>4980067234</v>
      </c>
      <c r="BF1233" s="846">
        <f t="shared" si="218"/>
        <v>0.76112760597734774</v>
      </c>
      <c r="BG1233" s="117" t="str">
        <f>VLOOKUP($D1233,'WB Data'!$C$3:$M$578,5,FALSE)</f>
        <v>..</v>
      </c>
      <c r="BH1233" s="129" t="str">
        <f>IFERROR($BB1233/$BG1233,"..")</f>
        <v>..</v>
      </c>
      <c r="BI1233" s="117" t="str">
        <f>IFERROR(VLOOKUP($D1233,'WB Data'!$C$3:$M$578,7,FALSE)/100,"..")</f>
        <v>..</v>
      </c>
      <c r="BJ1233" s="117" t="str">
        <f>IFERROR($BI1233*$AW1233,"..")</f>
        <v>..</v>
      </c>
      <c r="BK1233" s="846" t="str">
        <f>IFERROR($BB1233/$BJ1233,"..")</f>
        <v>..</v>
      </c>
      <c r="BL1233" s="117" t="str">
        <f>IFERROR(VLOOKUP($D1233,'WB Data'!$C$3:$M$578,7,FALSE)/100,"..")</f>
        <v>..</v>
      </c>
      <c r="BM1233" s="117" t="str">
        <f>IFERROR($AW1233*$BL1233,"..")</f>
        <v>..</v>
      </c>
      <c r="BN1233" s="846" t="str">
        <f>IFERROR($BB1233/$BM1233,"..")</f>
        <v>..</v>
      </c>
      <c r="BO1233" s="801">
        <f t="shared" si="214"/>
        <v>39</v>
      </c>
      <c r="BP1233" s="117" t="str">
        <f>VLOOKUP($D1233,'WB Data'!$C$3:$M$578,9,FALSE)</f>
        <v>..</v>
      </c>
      <c r="BQ1233" s="117" t="str">
        <f>VLOOKUP($D1233,'WB Data'!$C$3:$M$578,10,FALSE)</f>
        <v>..</v>
      </c>
      <c r="BR1233" s="117">
        <f>VLOOKUP($D1233,'WB Data'!$C$3:$M$578,11,FALSE)</f>
        <v>26.4</v>
      </c>
      <c r="BS1233" s="129" t="str">
        <f>IFERROR(VLOOKUP($D1233,'WB Data 2'!$C$2:$K$545,9,FALSE),"..")</f>
        <v>..</v>
      </c>
      <c r="BT1233" s="129">
        <f>_xlfn.IFNA(VLOOKUP($C1233,RGI!$A$2:$C$43,2,FALSE),"..")</f>
        <v>38.200000000000003</v>
      </c>
      <c r="BU1233" s="129">
        <f>_xlfn.IFNA(VLOOKUP($C1233,RGI!$A$2:$C$43,3,FALSE),"..")</f>
        <v>50.952530108834466</v>
      </c>
      <c r="BV1233" s="129">
        <f>VLOOKUP($D1233,WGI!$C$2:$O$478,7,FALSE)</f>
        <v>7.2999700903892503E-2</v>
      </c>
      <c r="BW1233" s="129">
        <f>VLOOKUP($D1233,WGI!$C$2:$O$478,4,FALSE)</f>
        <v>0.49927636981010398</v>
      </c>
      <c r="BX1233" s="129">
        <f>VLOOKUP($D1233,WGI!$C$2:$O$478,3,FALSE)</f>
        <v>-0.54106253385543801</v>
      </c>
      <c r="BY1233" s="129">
        <f>VLOOKUP($D1233,WGI!$C$2:$O$478,5,FALSE)</f>
        <v>-0.28594869375228898</v>
      </c>
      <c r="BZ1233" s="129">
        <f>VLOOKUP($D1233,WGI!$C$2:$O$478,2,FALSE)</f>
        <v>-0.462237387895584</v>
      </c>
    </row>
    <row r="1234" spans="1:80" s="173" customFormat="1" ht="15" customHeight="1" thickBot="1">
      <c r="A1234" s="791" t="s">
        <v>382</v>
      </c>
      <c r="B1234" s="402">
        <v>2013</v>
      </c>
      <c r="C1234" s="117" t="s">
        <v>364</v>
      </c>
      <c r="D1234" s="117" t="s">
        <v>3787</v>
      </c>
      <c r="E1234" s="403" t="s">
        <v>244</v>
      </c>
      <c r="F1234" s="403"/>
      <c r="G1234" s="307" t="s">
        <v>24</v>
      </c>
      <c r="H1234" s="307"/>
      <c r="I1234" s="307"/>
      <c r="J1234" s="307"/>
      <c r="K1234" s="307" t="s">
        <v>1147</v>
      </c>
      <c r="L1234" s="307"/>
      <c r="M1234" s="307"/>
      <c r="N1234" s="309"/>
      <c r="O1234" s="309"/>
      <c r="P1234" s="309"/>
      <c r="Q1234" s="309">
        <v>658</v>
      </c>
      <c r="R1234" s="309"/>
      <c r="S1234" s="307" t="s">
        <v>610</v>
      </c>
      <c r="T1234" s="166"/>
      <c r="U1234" s="307"/>
      <c r="V1234" s="307"/>
      <c r="W1234" s="307"/>
      <c r="X1234" s="307"/>
      <c r="Y1234" s="307"/>
      <c r="Z1234" s="307"/>
      <c r="AA1234" s="307"/>
      <c r="AB1234" s="307"/>
      <c r="AC1234" s="311"/>
      <c r="AD1234" s="311"/>
      <c r="AE1234" s="311"/>
      <c r="AF1234" s="312"/>
      <c r="AG1234" s="307"/>
      <c r="AH1234" s="313"/>
      <c r="AI1234" s="307"/>
      <c r="AJ1234" s="307"/>
      <c r="AK1234" s="314"/>
      <c r="AL1234" s="307"/>
      <c r="AM1234" s="307"/>
      <c r="AN1234" s="307"/>
      <c r="AO1234" s="307"/>
      <c r="AP1234" s="307"/>
      <c r="AQ1234" s="307"/>
      <c r="AR1234" s="307"/>
      <c r="AS1234" s="307"/>
      <c r="AT1234" s="307"/>
      <c r="AU1234" s="307"/>
      <c r="AV1234" s="172"/>
      <c r="AW1234" s="117">
        <f>VLOOKUP($D1234,'WB Data'!$C$3:$M$578,2,FALSE)</f>
        <v>11516409581.298849</v>
      </c>
      <c r="AX1234" s="117">
        <f>VLOOKUP($D1234,'WB Data'!$C$3:$M$578,3,FALSE)</f>
        <v>2839073</v>
      </c>
      <c r="AY1234" s="847">
        <f t="shared" si="215"/>
        <v>9.1599345688695655E-2</v>
      </c>
      <c r="AZ1234" s="117" t="e">
        <f>VLOOKUP($D1234,'WB Data'!$C$3:$M$578,4,FALSE)/100</f>
        <v>#VALUE!</v>
      </c>
      <c r="BA1234" s="117" t="str">
        <f t="shared" si="216"/>
        <v>..</v>
      </c>
      <c r="BB1234" s="129">
        <f>IFERROR(VLOOKUP($D1234,'EITI Revenues'!$C$2:$G$224,5,FALSE),"..")</f>
        <v>1054895582.33</v>
      </c>
      <c r="BC1234" s="846" t="str">
        <f t="shared" si="217"/>
        <v>..</v>
      </c>
      <c r="BD1234" s="129">
        <f>VLOOKUP($D1234,'WB Data 2'!$C$2:$K$545,6,FALSE)</f>
        <v>3790466651.4206519</v>
      </c>
      <c r="BE1234" s="129">
        <f>IFERROR(VLOOKUP($D1234,UNCTAD!$C$5:$V$529,4,FALSE),"..")</f>
        <v>4980067234</v>
      </c>
      <c r="BF1234" s="846">
        <f t="shared" si="218"/>
        <v>0.76112760597734774</v>
      </c>
      <c r="BG1234" s="117" t="str">
        <f>VLOOKUP($D1234,'WB Data'!$C$3:$M$578,5,FALSE)</f>
        <v>..</v>
      </c>
      <c r="BH1234" s="129" t="str">
        <f>IFERROR($BB1234/$BG1234,"..")</f>
        <v>..</v>
      </c>
      <c r="BI1234" s="117" t="str">
        <f>IFERROR(VLOOKUP($D1234,'WB Data'!$C$3:$M$578,7,FALSE)/100,"..")</f>
        <v>..</v>
      </c>
      <c r="BJ1234" s="117" t="str">
        <f>IFERROR($BI1234*$AW1234,"..")</f>
        <v>..</v>
      </c>
      <c r="BK1234" s="846" t="str">
        <f>IFERROR($BB1234/$BJ1234,"..")</f>
        <v>..</v>
      </c>
      <c r="BL1234" s="117" t="str">
        <f>IFERROR(VLOOKUP($D1234,'WB Data'!$C$3:$M$578,7,FALSE)/100,"..")</f>
        <v>..</v>
      </c>
      <c r="BM1234" s="117" t="str">
        <f>IFERROR($AW1234*$BL1234,"..")</f>
        <v>..</v>
      </c>
      <c r="BN1234" s="846" t="str">
        <f>IFERROR($BB1234/$BM1234,"..")</f>
        <v>..</v>
      </c>
      <c r="BO1234" s="801">
        <f t="shared" si="214"/>
        <v>39</v>
      </c>
      <c r="BP1234" s="117" t="str">
        <f>VLOOKUP($D1234,'WB Data'!$C$3:$M$578,9,FALSE)</f>
        <v>..</v>
      </c>
      <c r="BQ1234" s="117" t="str">
        <f>VLOOKUP($D1234,'WB Data'!$C$3:$M$578,10,FALSE)</f>
        <v>..</v>
      </c>
      <c r="BR1234" s="117">
        <f>VLOOKUP($D1234,'WB Data'!$C$3:$M$578,11,FALSE)</f>
        <v>26.4</v>
      </c>
      <c r="BS1234" s="129" t="str">
        <f>IFERROR(VLOOKUP($D1234,'WB Data 2'!$C$2:$K$545,9,FALSE),"..")</f>
        <v>..</v>
      </c>
      <c r="BT1234" s="129">
        <f>_xlfn.IFNA(VLOOKUP($C1234,RGI!$A$2:$C$43,2,FALSE),"..")</f>
        <v>38.200000000000003</v>
      </c>
      <c r="BU1234" s="129">
        <f>_xlfn.IFNA(VLOOKUP($C1234,RGI!$A$2:$C$43,3,FALSE),"..")</f>
        <v>50.952530108834466</v>
      </c>
      <c r="BV1234" s="129">
        <f>VLOOKUP($D1234,WGI!$C$2:$O$478,7,FALSE)</f>
        <v>7.2999700903892503E-2</v>
      </c>
      <c r="BW1234" s="129">
        <f>VLOOKUP($D1234,WGI!$C$2:$O$478,4,FALSE)</f>
        <v>0.49927636981010398</v>
      </c>
      <c r="BX1234" s="129">
        <f>VLOOKUP($D1234,WGI!$C$2:$O$478,3,FALSE)</f>
        <v>-0.54106253385543801</v>
      </c>
      <c r="BY1234" s="129">
        <f>VLOOKUP($D1234,WGI!$C$2:$O$478,5,FALSE)</f>
        <v>-0.28594869375228898</v>
      </c>
      <c r="BZ1234" s="129">
        <f>VLOOKUP($D1234,WGI!$C$2:$O$478,2,FALSE)</f>
        <v>-0.462237387895584</v>
      </c>
      <c r="CB1234" s="129"/>
    </row>
    <row r="1235" spans="1:80" ht="15" customHeight="1">
      <c r="A1235" s="280" t="s">
        <v>384</v>
      </c>
      <c r="B1235" s="117">
        <v>2008</v>
      </c>
      <c r="C1235" s="117" t="s">
        <v>385</v>
      </c>
      <c r="D1235" s="117" t="s">
        <v>3606</v>
      </c>
      <c r="E1235" s="117" t="s">
        <v>86</v>
      </c>
      <c r="F1235" s="117" t="s">
        <v>1859</v>
      </c>
      <c r="G1235" s="117" t="s">
        <v>386</v>
      </c>
      <c r="H1235" s="117" t="str">
        <f t="shared" si="207"/>
        <v>yes</v>
      </c>
      <c r="I1235" s="117" t="str">
        <f t="shared" si="209"/>
        <v>yes</v>
      </c>
      <c r="J1235" s="117" t="str">
        <f t="shared" si="210"/>
        <v>no</v>
      </c>
      <c r="K1235" s="117" t="s">
        <v>709</v>
      </c>
      <c r="L1235" s="117" t="str">
        <f t="shared" si="208"/>
        <v>Total</v>
      </c>
      <c r="M1235" s="117" t="str">
        <f t="shared" si="211"/>
        <v>Total Gas, Mining</v>
      </c>
      <c r="N1235" s="118"/>
      <c r="O1235" s="118"/>
      <c r="P1235" s="118"/>
      <c r="Q1235" s="118"/>
      <c r="R1235" s="118"/>
      <c r="S1235" s="117"/>
      <c r="T1235" s="119"/>
      <c r="U1235" s="117"/>
      <c r="V1235" s="117"/>
      <c r="W1235" s="89">
        <f>W1236+W1237</f>
        <v>990148581.38949764</v>
      </c>
      <c r="X1235" s="117" t="s">
        <v>1860</v>
      </c>
      <c r="Y1235" s="117" t="s">
        <v>731</v>
      </c>
      <c r="Z1235" s="117" t="s">
        <v>732</v>
      </c>
      <c r="AA1235" s="90">
        <f>3839420+AK1235</f>
        <v>25571802.530971412</v>
      </c>
      <c r="AB1235" s="89">
        <v>8484826</v>
      </c>
      <c r="AC1235" s="240"/>
      <c r="AD1235" s="240"/>
      <c r="AE1235" s="240"/>
      <c r="AF1235" s="123">
        <f>AA1235/W1235</f>
        <v>2.5826227509295554E-2</v>
      </c>
      <c r="AG1235" s="117" t="s">
        <v>1861</v>
      </c>
      <c r="AH1235" s="124">
        <v>24.04</v>
      </c>
      <c r="AI1235" s="117" t="s">
        <v>1862</v>
      </c>
      <c r="AJ1235" s="117" t="s">
        <v>1863</v>
      </c>
      <c r="AK1235" s="89">
        <v>21732382.530971412</v>
      </c>
      <c r="AL1235" s="117"/>
      <c r="AM1235" s="117"/>
      <c r="AN1235" s="117">
        <v>6</v>
      </c>
      <c r="AO1235" s="117" t="s">
        <v>1864</v>
      </c>
      <c r="AP1235" s="117">
        <v>6</v>
      </c>
      <c r="AQ1235" s="117" t="s">
        <v>309</v>
      </c>
      <c r="AR1235" s="126">
        <v>41907</v>
      </c>
      <c r="AS1235" s="117" t="s">
        <v>1135</v>
      </c>
      <c r="AT1235" s="117" t="s">
        <v>387</v>
      </c>
      <c r="AU1235" s="117">
        <v>28</v>
      </c>
      <c r="AV1235" s="128" t="s">
        <v>1865</v>
      </c>
      <c r="AW1235" s="117">
        <f>VLOOKUP($D1235,'WB Data'!$C$3:$M$578,2,FALSE)</f>
        <v>11026247458.238766</v>
      </c>
      <c r="AX1235" s="117">
        <f>VLOOKUP($D1235,'WB Data'!$C$3:$M$578,3,FALSE)</f>
        <v>22762525</v>
      </c>
      <c r="AY1235" s="847">
        <f t="shared" si="215"/>
        <v>2.3191754609011854E-3</v>
      </c>
      <c r="AZ1235" s="117" t="e">
        <f>VLOOKUP($D1235,'WB Data'!$C$3:$M$578,4,FALSE)/100</f>
        <v>#VALUE!</v>
      </c>
      <c r="BA1235" s="117" t="str">
        <f t="shared" si="216"/>
        <v>..</v>
      </c>
      <c r="BB1235" s="129">
        <f>IFERROR(VLOOKUP($D1235,'EITI Revenues'!$C$2:$G$224,5,FALSE),"..")</f>
        <v>25571802.530971412</v>
      </c>
      <c r="BC1235" s="846" t="str">
        <f t="shared" si="217"/>
        <v>..</v>
      </c>
      <c r="BD1235" s="129" t="e">
        <f>VLOOKUP($D1235,'WB Data 2'!$C$2:$K$545,6,FALSE)</f>
        <v>#N/A</v>
      </c>
      <c r="BE1235" s="129">
        <f>IFERROR(VLOOKUP($D1235,UNCTAD!$C$5:$V$529,4,FALSE),"..")</f>
        <v>3208225000</v>
      </c>
      <c r="BF1235" s="846" t="str">
        <f t="shared" si="218"/>
        <v>..</v>
      </c>
      <c r="BG1235" s="117">
        <f>VLOOKUP($D1235,'WB Data'!$C$3:$M$578,5,FALSE)</f>
        <v>1996380000</v>
      </c>
      <c r="BH1235" s="129">
        <f>IFERROR($BB1235/$BG1235,"..")</f>
        <v>1.2809085710621931E-2</v>
      </c>
      <c r="BI1235" s="117" t="str">
        <f>IFERROR(VLOOKUP($D1235,'WB Data'!$C$3:$M$578,7,FALSE)/100,"..")</f>
        <v>..</v>
      </c>
      <c r="BJ1235" s="117" t="str">
        <f>IFERROR($BI1235*$AW1235,"..")</f>
        <v>..</v>
      </c>
      <c r="BK1235" s="846" t="str">
        <f>IFERROR($BB1235/$BJ1235,"..")</f>
        <v>..</v>
      </c>
      <c r="BL1235" s="117" t="str">
        <f>IFERROR(VLOOKUP($D1235,'WB Data'!$C$3:$M$578,7,FALSE)/100,"..")</f>
        <v>..</v>
      </c>
      <c r="BM1235" s="117" t="str">
        <f>IFERROR($AW1235*$BL1235,"..")</f>
        <v>..</v>
      </c>
      <c r="BN1235" s="846" t="str">
        <f>IFERROR($BB1235/$BM1235,"..")</f>
        <v>..</v>
      </c>
      <c r="BO1235" s="801">
        <f t="shared" si="214"/>
        <v>31</v>
      </c>
      <c r="BP1235" s="117" t="str">
        <f>VLOOKUP($D1235,'WB Data'!$C$3:$M$578,9,FALSE)</f>
        <v>..</v>
      </c>
      <c r="BQ1235" s="117">
        <f>VLOOKUP($D1235,'WB Data'!$C$3:$M$578,10,FALSE)</f>
        <v>48.493829268292686</v>
      </c>
      <c r="BR1235" s="117">
        <f>VLOOKUP($D1235,'WB Data'!$C$3:$M$578,11,FALSE)</f>
        <v>78.099999999999994</v>
      </c>
      <c r="BS1235" s="129" t="str">
        <f>IFERROR(VLOOKUP($D1235,'WB Data 2'!$C$2:$K$545,9,FALSE),"..")</f>
        <v>..</v>
      </c>
      <c r="BT1235" s="129" t="str">
        <f>_xlfn.IFNA(VLOOKUP($C1235,RGI!$A$2:$C$43,2,FALSE),"..")</f>
        <v>..</v>
      </c>
      <c r="BU1235" s="129" t="str">
        <f>_xlfn.IFNA(VLOOKUP($C1235,RGI!$A$2:$C$43,3,FALSE),"..")</f>
        <v>..</v>
      </c>
      <c r="BV1235" s="129">
        <f>VLOOKUP($D1235,WGI!$C$2:$O$478,7,FALSE)</f>
        <v>-7.3130931626350204E-2</v>
      </c>
      <c r="BW1235" s="129">
        <f>VLOOKUP($D1235,WGI!$C$2:$O$478,4,FALSE)</f>
        <v>0.33822144833706802</v>
      </c>
      <c r="BX1235" s="129">
        <f>VLOOKUP($D1235,WGI!$C$2:$O$478,3,FALSE)</f>
        <v>-0.49578837827481598</v>
      </c>
      <c r="BY1235" s="129">
        <f>VLOOKUP($D1235,WGI!$C$2:$O$478,5,FALSE)</f>
        <v>-0.447379258714726</v>
      </c>
      <c r="BZ1235" s="129">
        <f>VLOOKUP($D1235,WGI!$C$2:$O$478,2,FALSE)</f>
        <v>-0.47412687816508697</v>
      </c>
    </row>
    <row r="1236" spans="1:80" ht="15" customHeight="1">
      <c r="A1236" s="280" t="s">
        <v>384</v>
      </c>
      <c r="B1236" s="117">
        <v>2008</v>
      </c>
      <c r="C1236" s="117" t="s">
        <v>385</v>
      </c>
      <c r="D1236" s="117" t="s">
        <v>3606</v>
      </c>
      <c r="E1236" s="117" t="s">
        <v>86</v>
      </c>
      <c r="F1236" s="117"/>
      <c r="G1236" s="117" t="s">
        <v>561</v>
      </c>
      <c r="H1236" s="117" t="str">
        <f t="shared" si="207"/>
        <v>no</v>
      </c>
      <c r="I1236" s="117" t="str">
        <f t="shared" si="209"/>
        <v>yes</v>
      </c>
      <c r="J1236" s="117" t="str">
        <f t="shared" si="210"/>
        <v>no</v>
      </c>
      <c r="K1236" s="117" t="s">
        <v>561</v>
      </c>
      <c r="L1236" s="117" t="str">
        <f t="shared" si="208"/>
        <v>detailed</v>
      </c>
      <c r="M1236" s="117" t="str">
        <f t="shared" si="211"/>
        <v>detailed Gas</v>
      </c>
      <c r="N1236" s="118">
        <f>104000000000*0.0283168</f>
        <v>2944947200</v>
      </c>
      <c r="O1236" s="118"/>
      <c r="P1236" s="118">
        <f>104519840*26.173</f>
        <v>2735597772.3199997</v>
      </c>
      <c r="Q1236" s="118"/>
      <c r="R1236" s="118"/>
      <c r="S1236" s="117" t="s">
        <v>642</v>
      </c>
      <c r="T1236" s="119">
        <v>0.32879700000000006</v>
      </c>
      <c r="U1236" s="117" t="s">
        <v>643</v>
      </c>
      <c r="V1236" s="117" t="s">
        <v>880</v>
      </c>
      <c r="W1236" s="89">
        <f>P1236*T1236</f>
        <v>899456340.74549913</v>
      </c>
      <c r="X1236" s="117"/>
      <c r="Y1236" s="117"/>
      <c r="Z1236" s="117"/>
      <c r="AA1236" s="89">
        <f>3770299.75041597+AK1236</f>
        <v>25502682.281387381</v>
      </c>
      <c r="AB1236" s="89">
        <v>7809102</v>
      </c>
      <c r="AC1236" s="240"/>
      <c r="AD1236" s="240"/>
      <c r="AE1236" s="240"/>
      <c r="AF1236" s="241">
        <f>AA1236/W1236</f>
        <v>2.8353440991087924E-2</v>
      </c>
      <c r="AG1236" s="117"/>
      <c r="AH1236" s="124"/>
      <c r="AI1236" s="117"/>
      <c r="AJ1236" s="117" t="s">
        <v>1863</v>
      </c>
      <c r="AK1236" s="89">
        <v>21732382.530971412</v>
      </c>
      <c r="AL1236" s="117"/>
      <c r="AM1236" s="117"/>
      <c r="AN1236" s="117">
        <v>2</v>
      </c>
      <c r="AO1236" s="117" t="s">
        <v>1866</v>
      </c>
      <c r="AP1236" s="117">
        <v>2</v>
      </c>
      <c r="AQ1236" s="117"/>
      <c r="AR1236" s="117"/>
      <c r="AS1236" s="117"/>
      <c r="AT1236" s="117"/>
      <c r="AU1236" s="117" t="s">
        <v>1867</v>
      </c>
      <c r="AV1236" s="128" t="s">
        <v>1868</v>
      </c>
      <c r="AW1236" s="117">
        <f>VLOOKUP($D1236,'WB Data'!$C$3:$M$578,2,FALSE)</f>
        <v>11026247458.238766</v>
      </c>
      <c r="AX1236" s="117">
        <f>VLOOKUP($D1236,'WB Data'!$C$3:$M$578,3,FALSE)</f>
        <v>22762525</v>
      </c>
      <c r="AY1236" s="847">
        <f t="shared" si="215"/>
        <v>2.3191754609011854E-3</v>
      </c>
      <c r="AZ1236" s="117" t="e">
        <f>VLOOKUP($D1236,'WB Data'!$C$3:$M$578,4,FALSE)/100</f>
        <v>#VALUE!</v>
      </c>
      <c r="BA1236" s="117" t="str">
        <f t="shared" si="216"/>
        <v>..</v>
      </c>
      <c r="BB1236" s="129">
        <f>IFERROR(VLOOKUP($D1236,'EITI Revenues'!$C$2:$G$224,5,FALSE),"..")</f>
        <v>25571802.530971412</v>
      </c>
      <c r="BC1236" s="846" t="str">
        <f t="shared" si="217"/>
        <v>..</v>
      </c>
      <c r="BD1236" s="129" t="e">
        <f>VLOOKUP($D1236,'WB Data 2'!$C$2:$K$545,6,FALSE)</f>
        <v>#N/A</v>
      </c>
      <c r="BE1236" s="129">
        <f>IFERROR(VLOOKUP($D1236,UNCTAD!$C$5:$V$529,4,FALSE),"..")</f>
        <v>3208225000</v>
      </c>
      <c r="BF1236" s="846" t="str">
        <f t="shared" si="218"/>
        <v>..</v>
      </c>
      <c r="BG1236" s="117">
        <f>VLOOKUP($D1236,'WB Data'!$C$3:$M$578,5,FALSE)</f>
        <v>1996380000</v>
      </c>
      <c r="BH1236" s="129">
        <f>IFERROR($BB1236/$BG1236,"..")</f>
        <v>1.2809085710621931E-2</v>
      </c>
      <c r="BI1236" s="117" t="str">
        <f>IFERROR(VLOOKUP($D1236,'WB Data'!$C$3:$M$578,7,FALSE)/100,"..")</f>
        <v>..</v>
      </c>
      <c r="BJ1236" s="117" t="str">
        <f>IFERROR($BI1236*$AW1236,"..")</f>
        <v>..</v>
      </c>
      <c r="BK1236" s="846" t="str">
        <f>IFERROR($BB1236/$BJ1236,"..")</f>
        <v>..</v>
      </c>
      <c r="BL1236" s="117" t="str">
        <f>IFERROR(VLOOKUP($D1236,'WB Data'!$C$3:$M$578,7,FALSE)/100,"..")</f>
        <v>..</v>
      </c>
      <c r="BM1236" s="117" t="str">
        <f>IFERROR($AW1236*$BL1236,"..")</f>
        <v>..</v>
      </c>
      <c r="BN1236" s="846" t="str">
        <f>IFERROR($BB1236/$BM1236,"..")</f>
        <v>..</v>
      </c>
      <c r="BO1236" s="801">
        <f t="shared" si="214"/>
        <v>31</v>
      </c>
      <c r="BP1236" s="117" t="str">
        <f>VLOOKUP($D1236,'WB Data'!$C$3:$M$578,9,FALSE)</f>
        <v>..</v>
      </c>
      <c r="BQ1236" s="117">
        <f>VLOOKUP($D1236,'WB Data'!$C$3:$M$578,10,FALSE)</f>
        <v>48.493829268292686</v>
      </c>
      <c r="BR1236" s="117">
        <f>VLOOKUP($D1236,'WB Data'!$C$3:$M$578,11,FALSE)</f>
        <v>78.099999999999994</v>
      </c>
      <c r="BS1236" s="129" t="str">
        <f>IFERROR(VLOOKUP($D1236,'WB Data 2'!$C$2:$K$545,9,FALSE),"..")</f>
        <v>..</v>
      </c>
      <c r="BT1236" s="129" t="str">
        <f>_xlfn.IFNA(VLOOKUP($C1236,RGI!$A$2:$C$43,2,FALSE),"..")</f>
        <v>..</v>
      </c>
      <c r="BU1236" s="129" t="str">
        <f>_xlfn.IFNA(VLOOKUP($C1236,RGI!$A$2:$C$43,3,FALSE),"..")</f>
        <v>..</v>
      </c>
      <c r="BV1236" s="129">
        <f>VLOOKUP($D1236,WGI!$C$2:$O$478,7,FALSE)</f>
        <v>-7.3130931626350204E-2</v>
      </c>
      <c r="BW1236" s="129">
        <f>VLOOKUP($D1236,WGI!$C$2:$O$478,4,FALSE)</f>
        <v>0.33822144833706802</v>
      </c>
      <c r="BX1236" s="129">
        <f>VLOOKUP($D1236,WGI!$C$2:$O$478,3,FALSE)</f>
        <v>-0.49578837827481598</v>
      </c>
      <c r="BY1236" s="129">
        <f>VLOOKUP($D1236,WGI!$C$2:$O$478,5,FALSE)</f>
        <v>-0.447379258714726</v>
      </c>
      <c r="BZ1236" s="129">
        <f>VLOOKUP($D1236,WGI!$C$2:$O$478,2,FALSE)</f>
        <v>-0.47412687816508697</v>
      </c>
    </row>
    <row r="1237" spans="1:80" ht="15" customHeight="1">
      <c r="A1237" s="280" t="s">
        <v>384</v>
      </c>
      <c r="B1237" s="117">
        <v>2008</v>
      </c>
      <c r="C1237" s="117" t="s">
        <v>385</v>
      </c>
      <c r="D1237" s="117" t="s">
        <v>3606</v>
      </c>
      <c r="E1237" s="117" t="s">
        <v>86</v>
      </c>
      <c r="F1237" s="117"/>
      <c r="G1237" s="117" t="s">
        <v>24</v>
      </c>
      <c r="H1237" s="117" t="str">
        <f t="shared" si="207"/>
        <v>yes</v>
      </c>
      <c r="I1237" s="117" t="str">
        <f t="shared" si="209"/>
        <v>no</v>
      </c>
      <c r="J1237" s="117" t="str">
        <f t="shared" si="210"/>
        <v>no</v>
      </c>
      <c r="K1237" s="117" t="s">
        <v>600</v>
      </c>
      <c r="L1237" s="117" t="str">
        <f t="shared" si="208"/>
        <v>Total</v>
      </c>
      <c r="M1237" s="117" t="str">
        <f t="shared" si="211"/>
        <v>Total Mining</v>
      </c>
      <c r="N1237" s="118"/>
      <c r="O1237" s="118"/>
      <c r="P1237" s="118"/>
      <c r="Q1237" s="118"/>
      <c r="R1237" s="118"/>
      <c r="S1237" s="117"/>
      <c r="T1237" s="119"/>
      <c r="U1237" s="117"/>
      <c r="V1237" s="117"/>
      <c r="W1237" s="89">
        <f>SUM(W1238:W1247)-SUM(W1245:W1247)-SUM(W1240:W1242)</f>
        <v>90692240.643998459</v>
      </c>
      <c r="X1237" s="117"/>
      <c r="Y1237" s="117"/>
      <c r="Z1237" s="117"/>
      <c r="AA1237" s="89">
        <v>69120.715474209646</v>
      </c>
      <c r="AB1237" s="89">
        <v>675724.12645590678</v>
      </c>
      <c r="AC1237" s="240"/>
      <c r="AD1237" s="240"/>
      <c r="AE1237" s="240"/>
      <c r="AF1237" s="241">
        <f>AA1237/W1237</f>
        <v>7.6214585705887178E-4</v>
      </c>
      <c r="AG1237" s="117"/>
      <c r="AH1237" s="124"/>
      <c r="AI1237" s="117"/>
      <c r="AJ1237" s="117"/>
      <c r="AK1237" s="89"/>
      <c r="AL1237" s="117"/>
      <c r="AM1237" s="117"/>
      <c r="AN1237" s="117">
        <v>4</v>
      </c>
      <c r="AO1237" s="117" t="s">
        <v>1869</v>
      </c>
      <c r="AP1237" s="117">
        <v>4</v>
      </c>
      <c r="AQ1237" s="117"/>
      <c r="AR1237" s="117"/>
      <c r="AS1237" s="117"/>
      <c r="AT1237" s="117"/>
      <c r="AU1237" s="117" t="s">
        <v>1870</v>
      </c>
      <c r="AV1237" s="128"/>
      <c r="AW1237" s="117">
        <f>VLOOKUP($D1237,'WB Data'!$C$3:$M$578,2,FALSE)</f>
        <v>11026247458.238766</v>
      </c>
      <c r="AX1237" s="117">
        <f>VLOOKUP($D1237,'WB Data'!$C$3:$M$578,3,FALSE)</f>
        <v>22762525</v>
      </c>
      <c r="AY1237" s="847">
        <f t="shared" si="215"/>
        <v>2.3191754609011854E-3</v>
      </c>
      <c r="AZ1237" s="117" t="e">
        <f>VLOOKUP($D1237,'WB Data'!$C$3:$M$578,4,FALSE)/100</f>
        <v>#VALUE!</v>
      </c>
      <c r="BA1237" s="117" t="str">
        <f t="shared" si="216"/>
        <v>..</v>
      </c>
      <c r="BB1237" s="129">
        <f>IFERROR(VLOOKUP($D1237,'EITI Revenues'!$C$2:$G$224,5,FALSE),"..")</f>
        <v>25571802.530971412</v>
      </c>
      <c r="BC1237" s="846" t="str">
        <f t="shared" si="217"/>
        <v>..</v>
      </c>
      <c r="BD1237" s="129" t="e">
        <f>VLOOKUP($D1237,'WB Data 2'!$C$2:$K$545,6,FALSE)</f>
        <v>#N/A</v>
      </c>
      <c r="BE1237" s="129">
        <f>IFERROR(VLOOKUP($D1237,UNCTAD!$C$5:$V$529,4,FALSE),"..")</f>
        <v>3208225000</v>
      </c>
      <c r="BF1237" s="846" t="str">
        <f t="shared" si="218"/>
        <v>..</v>
      </c>
      <c r="BG1237" s="117">
        <f>VLOOKUP($D1237,'WB Data'!$C$3:$M$578,5,FALSE)</f>
        <v>1996380000</v>
      </c>
      <c r="BH1237" s="129">
        <f>IFERROR($BB1237/$BG1237,"..")</f>
        <v>1.2809085710621931E-2</v>
      </c>
      <c r="BI1237" s="117" t="str">
        <f>IFERROR(VLOOKUP($D1237,'WB Data'!$C$3:$M$578,7,FALSE)/100,"..")</f>
        <v>..</v>
      </c>
      <c r="BJ1237" s="117" t="str">
        <f>IFERROR($BI1237*$AW1237,"..")</f>
        <v>..</v>
      </c>
      <c r="BK1237" s="846" t="str">
        <f>IFERROR($BB1237/$BJ1237,"..")</f>
        <v>..</v>
      </c>
      <c r="BL1237" s="117" t="str">
        <f>IFERROR(VLOOKUP($D1237,'WB Data'!$C$3:$M$578,7,FALSE)/100,"..")</f>
        <v>..</v>
      </c>
      <c r="BM1237" s="117" t="str">
        <f>IFERROR($AW1237*$BL1237,"..")</f>
        <v>..</v>
      </c>
      <c r="BN1237" s="846" t="str">
        <f>IFERROR($BB1237/$BM1237,"..")</f>
        <v>..</v>
      </c>
      <c r="BO1237" s="801">
        <f t="shared" si="214"/>
        <v>31</v>
      </c>
      <c r="BP1237" s="117" t="str">
        <f>VLOOKUP($D1237,'WB Data'!$C$3:$M$578,9,FALSE)</f>
        <v>..</v>
      </c>
      <c r="BQ1237" s="117">
        <f>VLOOKUP($D1237,'WB Data'!$C$3:$M$578,10,FALSE)</f>
        <v>48.493829268292686</v>
      </c>
      <c r="BR1237" s="117">
        <f>VLOOKUP($D1237,'WB Data'!$C$3:$M$578,11,FALSE)</f>
        <v>78.099999999999994</v>
      </c>
      <c r="BS1237" s="129" t="str">
        <f>IFERROR(VLOOKUP($D1237,'WB Data 2'!$C$2:$K$545,9,FALSE),"..")</f>
        <v>..</v>
      </c>
      <c r="BT1237" s="129" t="str">
        <f>_xlfn.IFNA(VLOOKUP($C1237,RGI!$A$2:$C$43,2,FALSE),"..")</f>
        <v>..</v>
      </c>
      <c r="BU1237" s="129" t="str">
        <f>_xlfn.IFNA(VLOOKUP($C1237,RGI!$A$2:$C$43,3,FALSE),"..")</f>
        <v>..</v>
      </c>
      <c r="BV1237" s="129">
        <f>VLOOKUP($D1237,WGI!$C$2:$O$478,7,FALSE)</f>
        <v>-7.3130931626350204E-2</v>
      </c>
      <c r="BW1237" s="129">
        <f>VLOOKUP($D1237,WGI!$C$2:$O$478,4,FALSE)</f>
        <v>0.33822144833706802</v>
      </c>
      <c r="BX1237" s="129">
        <f>VLOOKUP($D1237,WGI!$C$2:$O$478,3,FALSE)</f>
        <v>-0.49578837827481598</v>
      </c>
      <c r="BY1237" s="129">
        <f>VLOOKUP($D1237,WGI!$C$2:$O$478,5,FALSE)</f>
        <v>-0.447379258714726</v>
      </c>
      <c r="BZ1237" s="129">
        <f>VLOOKUP($D1237,WGI!$C$2:$O$478,2,FALSE)</f>
        <v>-0.47412687816508697</v>
      </c>
    </row>
    <row r="1238" spans="1:80" ht="15" customHeight="1">
      <c r="A1238" s="280" t="s">
        <v>384</v>
      </c>
      <c r="B1238" s="117">
        <v>2008</v>
      </c>
      <c r="C1238" s="117" t="s">
        <v>385</v>
      </c>
      <c r="D1238" s="117" t="s">
        <v>3606</v>
      </c>
      <c r="E1238" s="117" t="s">
        <v>86</v>
      </c>
      <c r="F1238" s="117"/>
      <c r="G1238" s="117" t="s">
        <v>24</v>
      </c>
      <c r="H1238" s="117" t="str">
        <f t="shared" si="207"/>
        <v>yes</v>
      </c>
      <c r="I1238" s="117" t="str">
        <f t="shared" si="209"/>
        <v>no</v>
      </c>
      <c r="J1238" s="117" t="str">
        <f t="shared" si="210"/>
        <v>no</v>
      </c>
      <c r="K1238" s="117" t="s">
        <v>616</v>
      </c>
      <c r="L1238" s="117" t="str">
        <f t="shared" si="208"/>
        <v>detailed</v>
      </c>
      <c r="M1238" s="117" t="str">
        <f t="shared" si="211"/>
        <v>detailed Mining</v>
      </c>
      <c r="N1238" s="118">
        <f>42000*0.90718474</f>
        <v>38101.759080000003</v>
      </c>
      <c r="O1238" s="118"/>
      <c r="P1238" s="118"/>
      <c r="Q1238" s="118"/>
      <c r="R1238" s="118"/>
      <c r="S1238" s="117" t="s">
        <v>610</v>
      </c>
      <c r="T1238" s="119">
        <v>138.17277433644946</v>
      </c>
      <c r="U1238" s="117" t="s">
        <v>611</v>
      </c>
      <c r="V1238" s="117" t="s">
        <v>1871</v>
      </c>
      <c r="W1238" s="89">
        <f>N1238*T1238</f>
        <v>5264625.759182605</v>
      </c>
      <c r="X1238" s="117"/>
      <c r="Y1238" s="117"/>
      <c r="Z1238" s="117"/>
      <c r="AA1238" s="89"/>
      <c r="AB1238" s="89">
        <v>258722.96173044926</v>
      </c>
      <c r="AC1238" s="240"/>
      <c r="AD1238" s="240"/>
      <c r="AE1238" s="240"/>
      <c r="AF1238" s="241">
        <f>AB1238/W1238</f>
        <v>4.9143656845727822E-2</v>
      </c>
      <c r="AG1238" s="117"/>
      <c r="AH1238" s="124"/>
      <c r="AI1238" s="117"/>
      <c r="AJ1238" s="117"/>
      <c r="AK1238" s="89"/>
      <c r="AL1238" s="117"/>
      <c r="AM1238" s="117"/>
      <c r="AN1238" s="117">
        <v>1</v>
      </c>
      <c r="AO1238" s="117" t="s">
        <v>1872</v>
      </c>
      <c r="AP1238" s="117">
        <v>1</v>
      </c>
      <c r="AQ1238" s="117"/>
      <c r="AR1238" s="117"/>
      <c r="AS1238" s="117"/>
      <c r="AT1238" s="117"/>
      <c r="AU1238" s="117" t="s">
        <v>1870</v>
      </c>
      <c r="AV1238" s="128"/>
      <c r="AW1238" s="117">
        <f>VLOOKUP($D1238,'WB Data'!$C$3:$M$578,2,FALSE)</f>
        <v>11026247458.238766</v>
      </c>
      <c r="AX1238" s="117">
        <f>VLOOKUP($D1238,'WB Data'!$C$3:$M$578,3,FALSE)</f>
        <v>22762525</v>
      </c>
      <c r="AY1238" s="847">
        <f t="shared" si="215"/>
        <v>2.3191754609011854E-3</v>
      </c>
      <c r="AZ1238" s="117" t="e">
        <f>VLOOKUP($D1238,'WB Data'!$C$3:$M$578,4,FALSE)/100</f>
        <v>#VALUE!</v>
      </c>
      <c r="BA1238" s="117" t="str">
        <f t="shared" si="216"/>
        <v>..</v>
      </c>
      <c r="BB1238" s="129">
        <f>IFERROR(VLOOKUP($D1238,'EITI Revenues'!$C$2:$G$224,5,FALSE),"..")</f>
        <v>25571802.530971412</v>
      </c>
      <c r="BC1238" s="846" t="str">
        <f t="shared" si="217"/>
        <v>..</v>
      </c>
      <c r="BD1238" s="129" t="e">
        <f>VLOOKUP($D1238,'WB Data 2'!$C$2:$K$545,6,FALSE)</f>
        <v>#N/A</v>
      </c>
      <c r="BE1238" s="129">
        <f>IFERROR(VLOOKUP($D1238,UNCTAD!$C$5:$V$529,4,FALSE),"..")</f>
        <v>3208225000</v>
      </c>
      <c r="BF1238" s="846" t="str">
        <f t="shared" si="218"/>
        <v>..</v>
      </c>
      <c r="BG1238" s="117">
        <f>VLOOKUP($D1238,'WB Data'!$C$3:$M$578,5,FALSE)</f>
        <v>1996380000</v>
      </c>
      <c r="BH1238" s="129">
        <f>IFERROR($BB1238/$BG1238,"..")</f>
        <v>1.2809085710621931E-2</v>
      </c>
      <c r="BI1238" s="117" t="str">
        <f>IFERROR(VLOOKUP($D1238,'WB Data'!$C$3:$M$578,7,FALSE)/100,"..")</f>
        <v>..</v>
      </c>
      <c r="BJ1238" s="117" t="str">
        <f>IFERROR($BI1238*$AW1238,"..")</f>
        <v>..</v>
      </c>
      <c r="BK1238" s="846" t="str">
        <f>IFERROR($BB1238/$BJ1238,"..")</f>
        <v>..</v>
      </c>
      <c r="BL1238" s="117" t="str">
        <f>IFERROR(VLOOKUP($D1238,'WB Data'!$C$3:$M$578,7,FALSE)/100,"..")</f>
        <v>..</v>
      </c>
      <c r="BM1238" s="117" t="str">
        <f>IFERROR($AW1238*$BL1238,"..")</f>
        <v>..</v>
      </c>
      <c r="BN1238" s="846" t="str">
        <f>IFERROR($BB1238/$BM1238,"..")</f>
        <v>..</v>
      </c>
      <c r="BO1238" s="801">
        <f t="shared" si="214"/>
        <v>31</v>
      </c>
      <c r="BP1238" s="117" t="str">
        <f>VLOOKUP($D1238,'WB Data'!$C$3:$M$578,9,FALSE)</f>
        <v>..</v>
      </c>
      <c r="BQ1238" s="117">
        <f>VLOOKUP($D1238,'WB Data'!$C$3:$M$578,10,FALSE)</f>
        <v>48.493829268292686</v>
      </c>
      <c r="BR1238" s="117">
        <f>VLOOKUP($D1238,'WB Data'!$C$3:$M$578,11,FALSE)</f>
        <v>78.099999999999994</v>
      </c>
      <c r="BS1238" s="129" t="str">
        <f>IFERROR(VLOOKUP($D1238,'WB Data 2'!$C$2:$K$545,9,FALSE),"..")</f>
        <v>..</v>
      </c>
      <c r="BT1238" s="129" t="str">
        <f>_xlfn.IFNA(VLOOKUP($C1238,RGI!$A$2:$C$43,2,FALSE),"..")</f>
        <v>..</v>
      </c>
      <c r="BU1238" s="129" t="str">
        <f>_xlfn.IFNA(VLOOKUP($C1238,RGI!$A$2:$C$43,3,FALSE),"..")</f>
        <v>..</v>
      </c>
      <c r="BV1238" s="129">
        <f>VLOOKUP($D1238,WGI!$C$2:$O$478,7,FALSE)</f>
        <v>-7.3130931626350204E-2</v>
      </c>
      <c r="BW1238" s="129">
        <f>VLOOKUP($D1238,WGI!$C$2:$O$478,4,FALSE)</f>
        <v>0.33822144833706802</v>
      </c>
      <c r="BX1238" s="129">
        <f>VLOOKUP($D1238,WGI!$C$2:$O$478,3,FALSE)</f>
        <v>-0.49578837827481598</v>
      </c>
      <c r="BY1238" s="129">
        <f>VLOOKUP($D1238,WGI!$C$2:$O$478,5,FALSE)</f>
        <v>-0.447379258714726</v>
      </c>
      <c r="BZ1238" s="129">
        <f>VLOOKUP($D1238,WGI!$C$2:$O$478,2,FALSE)</f>
        <v>-0.47412687816508697</v>
      </c>
    </row>
    <row r="1239" spans="1:80" ht="15" customHeight="1">
      <c r="A1239" s="280" t="s">
        <v>384</v>
      </c>
      <c r="B1239" s="117">
        <v>2008</v>
      </c>
      <c r="C1239" s="117" t="s">
        <v>385</v>
      </c>
      <c r="D1239" s="117" t="s">
        <v>3606</v>
      </c>
      <c r="E1239" s="117" t="s">
        <v>86</v>
      </c>
      <c r="F1239" s="117"/>
      <c r="G1239" s="117" t="s">
        <v>24</v>
      </c>
      <c r="H1239" s="117" t="str">
        <f t="shared" si="207"/>
        <v>yes</v>
      </c>
      <c r="I1239" s="117" t="str">
        <f t="shared" si="209"/>
        <v>no</v>
      </c>
      <c r="J1239" s="117" t="str">
        <f t="shared" si="210"/>
        <v>no</v>
      </c>
      <c r="K1239" s="117" t="s">
        <v>1065</v>
      </c>
      <c r="L1239" s="117" t="str">
        <f t="shared" si="208"/>
        <v>detailed</v>
      </c>
      <c r="M1239" s="117" t="str">
        <f t="shared" si="211"/>
        <v>detailed Mining</v>
      </c>
      <c r="N1239" s="118"/>
      <c r="O1239" s="118"/>
      <c r="P1239" s="118"/>
      <c r="Q1239" s="118"/>
      <c r="R1239" s="118"/>
      <c r="S1239" s="117"/>
      <c r="T1239" s="119"/>
      <c r="U1239" s="117"/>
      <c r="V1239" s="117"/>
      <c r="W1239" s="89">
        <f>SUM(W1240:W1242)</f>
        <v>11633526.193689484</v>
      </c>
      <c r="X1239" s="117"/>
      <c r="Y1239" s="117"/>
      <c r="Z1239" s="117"/>
      <c r="AA1239" s="89"/>
      <c r="AB1239" s="89">
        <v>63640.640599001665</v>
      </c>
      <c r="AC1239" s="240"/>
      <c r="AD1239" s="240"/>
      <c r="AE1239" s="240"/>
      <c r="AF1239" s="241">
        <f>AB1239/W1239</f>
        <v>5.4704514812991987E-3</v>
      </c>
      <c r="AG1239" s="117"/>
      <c r="AH1239" s="124"/>
      <c r="AI1239" s="117"/>
      <c r="AJ1239" s="117"/>
      <c r="AK1239" s="89"/>
      <c r="AL1239" s="117"/>
      <c r="AM1239" s="117"/>
      <c r="AN1239" s="117">
        <v>1</v>
      </c>
      <c r="AO1239" s="117" t="s">
        <v>1873</v>
      </c>
      <c r="AP1239" s="117">
        <v>1</v>
      </c>
      <c r="AQ1239" s="117"/>
      <c r="AR1239" s="117"/>
      <c r="AS1239" s="117"/>
      <c r="AT1239" s="117"/>
      <c r="AU1239" s="117" t="s">
        <v>1870</v>
      </c>
      <c r="AV1239" s="128"/>
      <c r="AW1239" s="117">
        <f>VLOOKUP($D1239,'WB Data'!$C$3:$M$578,2,FALSE)</f>
        <v>11026247458.238766</v>
      </c>
      <c r="AX1239" s="117">
        <f>VLOOKUP($D1239,'WB Data'!$C$3:$M$578,3,FALSE)</f>
        <v>22762525</v>
      </c>
      <c r="AY1239" s="847">
        <f t="shared" si="215"/>
        <v>2.3191754609011854E-3</v>
      </c>
      <c r="AZ1239" s="117" t="e">
        <f>VLOOKUP($D1239,'WB Data'!$C$3:$M$578,4,FALSE)/100</f>
        <v>#VALUE!</v>
      </c>
      <c r="BA1239" s="117" t="str">
        <f t="shared" si="216"/>
        <v>..</v>
      </c>
      <c r="BB1239" s="129">
        <f>IFERROR(VLOOKUP($D1239,'EITI Revenues'!$C$2:$G$224,5,FALSE),"..")</f>
        <v>25571802.530971412</v>
      </c>
      <c r="BC1239" s="846" t="str">
        <f t="shared" si="217"/>
        <v>..</v>
      </c>
      <c r="BD1239" s="129" t="e">
        <f>VLOOKUP($D1239,'WB Data 2'!$C$2:$K$545,6,FALSE)</f>
        <v>#N/A</v>
      </c>
      <c r="BE1239" s="129">
        <f>IFERROR(VLOOKUP($D1239,UNCTAD!$C$5:$V$529,4,FALSE),"..")</f>
        <v>3208225000</v>
      </c>
      <c r="BF1239" s="846" t="str">
        <f t="shared" si="218"/>
        <v>..</v>
      </c>
      <c r="BG1239" s="117">
        <f>VLOOKUP($D1239,'WB Data'!$C$3:$M$578,5,FALSE)</f>
        <v>1996380000</v>
      </c>
      <c r="BH1239" s="129">
        <f>IFERROR($BB1239/$BG1239,"..")</f>
        <v>1.2809085710621931E-2</v>
      </c>
      <c r="BI1239" s="117" t="str">
        <f>IFERROR(VLOOKUP($D1239,'WB Data'!$C$3:$M$578,7,FALSE)/100,"..")</f>
        <v>..</v>
      </c>
      <c r="BJ1239" s="117" t="str">
        <f>IFERROR($BI1239*$AW1239,"..")</f>
        <v>..</v>
      </c>
      <c r="BK1239" s="846" t="str">
        <f>IFERROR($BB1239/$BJ1239,"..")</f>
        <v>..</v>
      </c>
      <c r="BL1239" s="117" t="str">
        <f>IFERROR(VLOOKUP($D1239,'WB Data'!$C$3:$M$578,7,FALSE)/100,"..")</f>
        <v>..</v>
      </c>
      <c r="BM1239" s="117" t="str">
        <f>IFERROR($AW1239*$BL1239,"..")</f>
        <v>..</v>
      </c>
      <c r="BN1239" s="846" t="str">
        <f>IFERROR($BB1239/$BM1239,"..")</f>
        <v>..</v>
      </c>
      <c r="BO1239" s="801">
        <f t="shared" si="214"/>
        <v>31</v>
      </c>
      <c r="BP1239" s="117" t="str">
        <f>VLOOKUP($D1239,'WB Data'!$C$3:$M$578,9,FALSE)</f>
        <v>..</v>
      </c>
      <c r="BQ1239" s="117">
        <f>VLOOKUP($D1239,'WB Data'!$C$3:$M$578,10,FALSE)</f>
        <v>48.493829268292686</v>
      </c>
      <c r="BR1239" s="117">
        <f>VLOOKUP($D1239,'WB Data'!$C$3:$M$578,11,FALSE)</f>
        <v>78.099999999999994</v>
      </c>
      <c r="BS1239" s="129" t="str">
        <f>IFERROR(VLOOKUP($D1239,'WB Data 2'!$C$2:$K$545,9,FALSE),"..")</f>
        <v>..</v>
      </c>
      <c r="BT1239" s="129" t="str">
        <f>_xlfn.IFNA(VLOOKUP($C1239,RGI!$A$2:$C$43,2,FALSE),"..")</f>
        <v>..</v>
      </c>
      <c r="BU1239" s="129" t="str">
        <f>_xlfn.IFNA(VLOOKUP($C1239,RGI!$A$2:$C$43,3,FALSE),"..")</f>
        <v>..</v>
      </c>
      <c r="BV1239" s="129">
        <f>VLOOKUP($D1239,WGI!$C$2:$O$478,7,FALSE)</f>
        <v>-7.3130931626350204E-2</v>
      </c>
      <c r="BW1239" s="129">
        <f>VLOOKUP($D1239,WGI!$C$2:$O$478,4,FALSE)</f>
        <v>0.33822144833706802</v>
      </c>
      <c r="BX1239" s="129">
        <f>VLOOKUP($D1239,WGI!$C$2:$O$478,3,FALSE)</f>
        <v>-0.49578837827481598</v>
      </c>
      <c r="BY1239" s="129">
        <f>VLOOKUP($D1239,WGI!$C$2:$O$478,5,FALSE)</f>
        <v>-0.447379258714726</v>
      </c>
      <c r="BZ1239" s="129">
        <f>VLOOKUP($D1239,WGI!$C$2:$O$478,2,FALSE)</f>
        <v>-0.47412687816508697</v>
      </c>
    </row>
    <row r="1240" spans="1:80" ht="15" customHeight="1">
      <c r="A1240" s="280" t="s">
        <v>384</v>
      </c>
      <c r="B1240" s="117">
        <v>2008</v>
      </c>
      <c r="C1240" s="117" t="s">
        <v>385</v>
      </c>
      <c r="D1240" s="117" t="s">
        <v>3606</v>
      </c>
      <c r="E1240" s="117" t="s">
        <v>86</v>
      </c>
      <c r="F1240" s="117"/>
      <c r="G1240" s="117" t="s">
        <v>24</v>
      </c>
      <c r="H1240" s="117" t="str">
        <f t="shared" si="207"/>
        <v>yes</v>
      </c>
      <c r="I1240" s="117" t="str">
        <f t="shared" si="209"/>
        <v>no</v>
      </c>
      <c r="J1240" s="117" t="str">
        <f t="shared" si="210"/>
        <v>no</v>
      </c>
      <c r="K1240" s="117" t="s">
        <v>1066</v>
      </c>
      <c r="L1240" s="117" t="str">
        <f t="shared" si="208"/>
        <v>detailed</v>
      </c>
      <c r="M1240" s="117" t="str">
        <f t="shared" si="211"/>
        <v>detailed Mining</v>
      </c>
      <c r="N1240" s="118">
        <v>395646</v>
      </c>
      <c r="O1240" s="118"/>
      <c r="P1240" s="118"/>
      <c r="Q1240" s="118"/>
      <c r="R1240" s="118"/>
      <c r="S1240" s="117" t="s">
        <v>967</v>
      </c>
      <c r="T1240" s="119"/>
      <c r="U1240" s="117"/>
      <c r="V1240" s="117" t="s">
        <v>684</v>
      </c>
      <c r="W1240" s="89"/>
      <c r="X1240" s="117"/>
      <c r="Y1240" s="117"/>
      <c r="Z1240" s="117"/>
      <c r="AA1240" s="89"/>
      <c r="AB1240" s="89"/>
      <c r="AC1240" s="240"/>
      <c r="AD1240" s="240"/>
      <c r="AE1240" s="240"/>
      <c r="AF1240" s="241"/>
      <c r="AG1240" s="117"/>
      <c r="AH1240" s="124"/>
      <c r="AI1240" s="117"/>
      <c r="AJ1240" s="117"/>
      <c r="AK1240" s="89"/>
      <c r="AL1240" s="117"/>
      <c r="AM1240" s="117"/>
      <c r="AN1240" s="117"/>
      <c r="AO1240" s="117"/>
      <c r="AP1240" s="117"/>
      <c r="AQ1240" s="117"/>
      <c r="AR1240" s="117"/>
      <c r="AS1240" s="117"/>
      <c r="AT1240" s="117"/>
      <c r="AU1240" s="117"/>
      <c r="AV1240" s="128"/>
      <c r="AW1240" s="117">
        <f>VLOOKUP($D1240,'WB Data'!$C$3:$M$578,2,FALSE)</f>
        <v>11026247458.238766</v>
      </c>
      <c r="AX1240" s="117">
        <f>VLOOKUP($D1240,'WB Data'!$C$3:$M$578,3,FALSE)</f>
        <v>22762525</v>
      </c>
      <c r="AY1240" s="847">
        <f t="shared" si="215"/>
        <v>2.3191754609011854E-3</v>
      </c>
      <c r="AZ1240" s="117" t="e">
        <f>VLOOKUP($D1240,'WB Data'!$C$3:$M$578,4,FALSE)/100</f>
        <v>#VALUE!</v>
      </c>
      <c r="BA1240" s="117" t="str">
        <f t="shared" si="216"/>
        <v>..</v>
      </c>
      <c r="BB1240" s="129">
        <f>IFERROR(VLOOKUP($D1240,'EITI Revenues'!$C$2:$G$224,5,FALSE),"..")</f>
        <v>25571802.530971412</v>
      </c>
      <c r="BC1240" s="846" t="str">
        <f t="shared" si="217"/>
        <v>..</v>
      </c>
      <c r="BD1240" s="129" t="e">
        <f>VLOOKUP($D1240,'WB Data 2'!$C$2:$K$545,6,FALSE)</f>
        <v>#N/A</v>
      </c>
      <c r="BE1240" s="129">
        <f>IFERROR(VLOOKUP($D1240,UNCTAD!$C$5:$V$529,4,FALSE),"..")</f>
        <v>3208225000</v>
      </c>
      <c r="BF1240" s="846" t="str">
        <f t="shared" si="218"/>
        <v>..</v>
      </c>
      <c r="BG1240" s="117">
        <f>VLOOKUP($D1240,'WB Data'!$C$3:$M$578,5,FALSE)</f>
        <v>1996380000</v>
      </c>
      <c r="BH1240" s="129">
        <f>IFERROR($BB1240/$BG1240,"..")</f>
        <v>1.2809085710621931E-2</v>
      </c>
      <c r="BI1240" s="117" t="str">
        <f>IFERROR(VLOOKUP($D1240,'WB Data'!$C$3:$M$578,7,FALSE)/100,"..")</f>
        <v>..</v>
      </c>
      <c r="BJ1240" s="117" t="str">
        <f>IFERROR($BI1240*$AW1240,"..")</f>
        <v>..</v>
      </c>
      <c r="BK1240" s="846" t="str">
        <f>IFERROR($BB1240/$BJ1240,"..")</f>
        <v>..</v>
      </c>
      <c r="BL1240" s="117" t="str">
        <f>IFERROR(VLOOKUP($D1240,'WB Data'!$C$3:$M$578,7,FALSE)/100,"..")</f>
        <v>..</v>
      </c>
      <c r="BM1240" s="117" t="str">
        <f>IFERROR($AW1240*$BL1240,"..")</f>
        <v>..</v>
      </c>
      <c r="BN1240" s="846" t="str">
        <f>IFERROR($BB1240/$BM1240,"..")</f>
        <v>..</v>
      </c>
      <c r="BO1240" s="801">
        <f t="shared" si="214"/>
        <v>31</v>
      </c>
      <c r="BP1240" s="117" t="str">
        <f>VLOOKUP($D1240,'WB Data'!$C$3:$M$578,9,FALSE)</f>
        <v>..</v>
      </c>
      <c r="BQ1240" s="117">
        <f>VLOOKUP($D1240,'WB Data'!$C$3:$M$578,10,FALSE)</f>
        <v>48.493829268292686</v>
      </c>
      <c r="BR1240" s="117">
        <f>VLOOKUP($D1240,'WB Data'!$C$3:$M$578,11,FALSE)</f>
        <v>78.099999999999994</v>
      </c>
      <c r="BS1240" s="129" t="str">
        <f>IFERROR(VLOOKUP($D1240,'WB Data 2'!$C$2:$K$545,9,FALSE),"..")</f>
        <v>..</v>
      </c>
      <c r="BT1240" s="129" t="str">
        <f>_xlfn.IFNA(VLOOKUP($C1240,RGI!$A$2:$C$43,2,FALSE),"..")</f>
        <v>..</v>
      </c>
      <c r="BU1240" s="129" t="str">
        <f>_xlfn.IFNA(VLOOKUP($C1240,RGI!$A$2:$C$43,3,FALSE),"..")</f>
        <v>..</v>
      </c>
      <c r="BV1240" s="129">
        <f>VLOOKUP($D1240,WGI!$C$2:$O$478,7,FALSE)</f>
        <v>-7.3130931626350204E-2</v>
      </c>
      <c r="BW1240" s="129">
        <f>VLOOKUP($D1240,WGI!$C$2:$O$478,4,FALSE)</f>
        <v>0.33822144833706802</v>
      </c>
      <c r="BX1240" s="129">
        <f>VLOOKUP($D1240,WGI!$C$2:$O$478,3,FALSE)</f>
        <v>-0.49578837827481598</v>
      </c>
      <c r="BY1240" s="129">
        <f>VLOOKUP($D1240,WGI!$C$2:$O$478,5,FALSE)</f>
        <v>-0.447379258714726</v>
      </c>
      <c r="BZ1240" s="129">
        <f>VLOOKUP($D1240,WGI!$C$2:$O$478,2,FALSE)</f>
        <v>-0.47412687816508697</v>
      </c>
    </row>
    <row r="1241" spans="1:80" ht="15" customHeight="1">
      <c r="A1241" s="280" t="s">
        <v>384</v>
      </c>
      <c r="B1241" s="117">
        <v>2008</v>
      </c>
      <c r="C1241" s="117" t="s">
        <v>385</v>
      </c>
      <c r="D1241" s="117" t="s">
        <v>3606</v>
      </c>
      <c r="E1241" s="117" t="s">
        <v>86</v>
      </c>
      <c r="F1241" s="117"/>
      <c r="G1241" s="117" t="s">
        <v>24</v>
      </c>
      <c r="H1241" s="117" t="str">
        <f t="shared" ref="H1241:H1304" si="219">IF($G1241="Mining","yes",IF($G1241="Oil, Gas, Mining","yes",IF($G1241="Gas, Mining","yes",IF($G1241="Oil, Mining","yes",IF($G1241="Oil, Mining, Other","yes","no")))))</f>
        <v>yes</v>
      </c>
      <c r="I1241" s="117" t="str">
        <f t="shared" si="209"/>
        <v>no</v>
      </c>
      <c r="J1241" s="117" t="str">
        <f t="shared" si="210"/>
        <v>no</v>
      </c>
      <c r="K1241" s="117" t="s">
        <v>1067</v>
      </c>
      <c r="L1241" s="117" t="str">
        <f t="shared" ref="L1241:L1304" si="220">IF(LEFT(K1241,5)="Total","Total","detailed")</f>
        <v>detailed</v>
      </c>
      <c r="M1241" s="117" t="str">
        <f t="shared" si="211"/>
        <v>detailed Mining</v>
      </c>
      <c r="N1241" s="118">
        <v>28</v>
      </c>
      <c r="O1241" s="118"/>
      <c r="P1241" s="118"/>
      <c r="Q1241" s="118"/>
      <c r="R1241" s="118"/>
      <c r="S1241" s="117" t="s">
        <v>610</v>
      </c>
      <c r="T1241" s="119">
        <v>34398</v>
      </c>
      <c r="U1241" s="117" t="s">
        <v>611</v>
      </c>
      <c r="V1241" s="117" t="s">
        <v>1091</v>
      </c>
      <c r="W1241" s="89">
        <f>N1241*T1241</f>
        <v>963144</v>
      </c>
      <c r="X1241" s="117"/>
      <c r="Y1241" s="117"/>
      <c r="Z1241" s="117"/>
      <c r="AA1241" s="89"/>
      <c r="AB1241" s="89"/>
      <c r="AC1241" s="240"/>
      <c r="AD1241" s="240"/>
      <c r="AE1241" s="240"/>
      <c r="AF1241" s="241"/>
      <c r="AG1241" s="117"/>
      <c r="AH1241" s="124"/>
      <c r="AI1241" s="117"/>
      <c r="AJ1241" s="117"/>
      <c r="AK1241" s="89"/>
      <c r="AL1241" s="117"/>
      <c r="AM1241" s="117"/>
      <c r="AN1241" s="117"/>
      <c r="AO1241" s="117"/>
      <c r="AP1241" s="117"/>
      <c r="AQ1241" s="117"/>
      <c r="AR1241" s="117"/>
      <c r="AS1241" s="117"/>
      <c r="AT1241" s="117"/>
      <c r="AU1241" s="117"/>
      <c r="AV1241" s="128"/>
      <c r="AW1241" s="117">
        <f>VLOOKUP($D1241,'WB Data'!$C$3:$M$578,2,FALSE)</f>
        <v>11026247458.238766</v>
      </c>
      <c r="AX1241" s="117">
        <f>VLOOKUP($D1241,'WB Data'!$C$3:$M$578,3,FALSE)</f>
        <v>22762525</v>
      </c>
      <c r="AY1241" s="847">
        <f t="shared" si="215"/>
        <v>2.3191754609011854E-3</v>
      </c>
      <c r="AZ1241" s="117" t="e">
        <f>VLOOKUP($D1241,'WB Data'!$C$3:$M$578,4,FALSE)/100</f>
        <v>#VALUE!</v>
      </c>
      <c r="BA1241" s="117" t="str">
        <f t="shared" si="216"/>
        <v>..</v>
      </c>
      <c r="BB1241" s="129">
        <f>IFERROR(VLOOKUP($D1241,'EITI Revenues'!$C$2:$G$224,5,FALSE),"..")</f>
        <v>25571802.530971412</v>
      </c>
      <c r="BC1241" s="846" t="str">
        <f t="shared" si="217"/>
        <v>..</v>
      </c>
      <c r="BD1241" s="129" t="e">
        <f>VLOOKUP($D1241,'WB Data 2'!$C$2:$K$545,6,FALSE)</f>
        <v>#N/A</v>
      </c>
      <c r="BE1241" s="129">
        <f>IFERROR(VLOOKUP($D1241,UNCTAD!$C$5:$V$529,4,FALSE),"..")</f>
        <v>3208225000</v>
      </c>
      <c r="BF1241" s="846" t="str">
        <f t="shared" si="218"/>
        <v>..</v>
      </c>
      <c r="BG1241" s="117">
        <f>VLOOKUP($D1241,'WB Data'!$C$3:$M$578,5,FALSE)</f>
        <v>1996380000</v>
      </c>
      <c r="BH1241" s="129">
        <f>IFERROR($BB1241/$BG1241,"..")</f>
        <v>1.2809085710621931E-2</v>
      </c>
      <c r="BI1241" s="117" t="str">
        <f>IFERROR(VLOOKUP($D1241,'WB Data'!$C$3:$M$578,7,FALSE)/100,"..")</f>
        <v>..</v>
      </c>
      <c r="BJ1241" s="117" t="str">
        <f>IFERROR($BI1241*$AW1241,"..")</f>
        <v>..</v>
      </c>
      <c r="BK1241" s="846" t="str">
        <f>IFERROR($BB1241/$BJ1241,"..")</f>
        <v>..</v>
      </c>
      <c r="BL1241" s="117" t="str">
        <f>IFERROR(VLOOKUP($D1241,'WB Data'!$C$3:$M$578,7,FALSE)/100,"..")</f>
        <v>..</v>
      </c>
      <c r="BM1241" s="117" t="str">
        <f>IFERROR($AW1241*$BL1241,"..")</f>
        <v>..</v>
      </c>
      <c r="BN1241" s="846" t="str">
        <f>IFERROR($BB1241/$BM1241,"..")</f>
        <v>..</v>
      </c>
      <c r="BO1241" s="801">
        <f t="shared" si="214"/>
        <v>31</v>
      </c>
      <c r="BP1241" s="117" t="str">
        <f>VLOOKUP($D1241,'WB Data'!$C$3:$M$578,9,FALSE)</f>
        <v>..</v>
      </c>
      <c r="BQ1241" s="117">
        <f>VLOOKUP($D1241,'WB Data'!$C$3:$M$578,10,FALSE)</f>
        <v>48.493829268292686</v>
      </c>
      <c r="BR1241" s="117">
        <f>VLOOKUP($D1241,'WB Data'!$C$3:$M$578,11,FALSE)</f>
        <v>78.099999999999994</v>
      </c>
      <c r="BS1241" s="129" t="str">
        <f>IFERROR(VLOOKUP($D1241,'WB Data 2'!$C$2:$K$545,9,FALSE),"..")</f>
        <v>..</v>
      </c>
      <c r="BT1241" s="129" t="str">
        <f>_xlfn.IFNA(VLOOKUP($C1241,RGI!$A$2:$C$43,2,FALSE),"..")</f>
        <v>..</v>
      </c>
      <c r="BU1241" s="129" t="str">
        <f>_xlfn.IFNA(VLOOKUP($C1241,RGI!$A$2:$C$43,3,FALSE),"..")</f>
        <v>..</v>
      </c>
      <c r="BV1241" s="129">
        <f>VLOOKUP($D1241,WGI!$C$2:$O$478,7,FALSE)</f>
        <v>-7.3130931626350204E-2</v>
      </c>
      <c r="BW1241" s="129">
        <f>VLOOKUP($D1241,WGI!$C$2:$O$478,4,FALSE)</f>
        <v>0.33822144833706802</v>
      </c>
      <c r="BX1241" s="129">
        <f>VLOOKUP($D1241,WGI!$C$2:$O$478,3,FALSE)</f>
        <v>-0.49578837827481598</v>
      </c>
      <c r="BY1241" s="129">
        <f>VLOOKUP($D1241,WGI!$C$2:$O$478,5,FALSE)</f>
        <v>-0.447379258714726</v>
      </c>
      <c r="BZ1241" s="129">
        <f>VLOOKUP($D1241,WGI!$C$2:$O$478,2,FALSE)</f>
        <v>-0.47412687816508697</v>
      </c>
    </row>
    <row r="1242" spans="1:80" ht="15" customHeight="1">
      <c r="A1242" s="280" t="s">
        <v>384</v>
      </c>
      <c r="B1242" s="117">
        <v>2008</v>
      </c>
      <c r="C1242" s="117" t="s">
        <v>385</v>
      </c>
      <c r="D1242" s="117" t="s">
        <v>3606</v>
      </c>
      <c r="E1242" s="117" t="s">
        <v>86</v>
      </c>
      <c r="F1242" s="117"/>
      <c r="G1242" s="117" t="s">
        <v>24</v>
      </c>
      <c r="H1242" s="117" t="str">
        <f t="shared" si="219"/>
        <v>yes</v>
      </c>
      <c r="I1242" s="117" t="str">
        <f t="shared" si="209"/>
        <v>no</v>
      </c>
      <c r="J1242" s="117" t="str">
        <f t="shared" si="210"/>
        <v>no</v>
      </c>
      <c r="K1242" s="117" t="s">
        <v>1069</v>
      </c>
      <c r="L1242" s="117" t="str">
        <f t="shared" si="220"/>
        <v>detailed</v>
      </c>
      <c r="M1242" s="117" t="str">
        <f t="shared" si="211"/>
        <v>detailed Mining</v>
      </c>
      <c r="N1242" s="118">
        <v>110000</v>
      </c>
      <c r="O1242" s="118"/>
      <c r="P1242" s="118"/>
      <c r="Q1242" s="118"/>
      <c r="R1242" s="118"/>
      <c r="S1242" s="117" t="s">
        <v>967</v>
      </c>
      <c r="T1242" s="119">
        <f>44/0.453592</f>
        <v>97.003474488086212</v>
      </c>
      <c r="U1242" s="117" t="s">
        <v>1874</v>
      </c>
      <c r="V1242" s="117" t="s">
        <v>1092</v>
      </c>
      <c r="W1242" s="89">
        <f>N1242*T1242</f>
        <v>10670382.193689484</v>
      </c>
      <c r="X1242" s="117"/>
      <c r="Y1242" s="117"/>
      <c r="Z1242" s="117"/>
      <c r="AA1242" s="89"/>
      <c r="AB1242" s="89"/>
      <c r="AC1242" s="240"/>
      <c r="AD1242" s="240"/>
      <c r="AE1242" s="240"/>
      <c r="AF1242" s="241"/>
      <c r="AG1242" s="117"/>
      <c r="AH1242" s="124"/>
      <c r="AI1242" s="117"/>
      <c r="AJ1242" s="117"/>
      <c r="AK1242" s="89"/>
      <c r="AL1242" s="117"/>
      <c r="AM1242" s="117"/>
      <c r="AN1242" s="117"/>
      <c r="AO1242" s="117"/>
      <c r="AP1242" s="117"/>
      <c r="AQ1242" s="117"/>
      <c r="AR1242" s="117"/>
      <c r="AS1242" s="117"/>
      <c r="AT1242" s="117"/>
      <c r="AU1242" s="117"/>
      <c r="AV1242" s="128"/>
      <c r="AW1242" s="117">
        <f>VLOOKUP($D1242,'WB Data'!$C$3:$M$578,2,FALSE)</f>
        <v>11026247458.238766</v>
      </c>
      <c r="AX1242" s="117">
        <f>VLOOKUP($D1242,'WB Data'!$C$3:$M$578,3,FALSE)</f>
        <v>22762525</v>
      </c>
      <c r="AY1242" s="847">
        <f t="shared" si="215"/>
        <v>2.3191754609011854E-3</v>
      </c>
      <c r="AZ1242" s="117" t="e">
        <f>VLOOKUP($D1242,'WB Data'!$C$3:$M$578,4,FALSE)/100</f>
        <v>#VALUE!</v>
      </c>
      <c r="BA1242" s="117" t="str">
        <f t="shared" si="216"/>
        <v>..</v>
      </c>
      <c r="BB1242" s="129">
        <f>IFERROR(VLOOKUP($D1242,'EITI Revenues'!$C$2:$G$224,5,FALSE),"..")</f>
        <v>25571802.530971412</v>
      </c>
      <c r="BC1242" s="846" t="str">
        <f t="shared" si="217"/>
        <v>..</v>
      </c>
      <c r="BD1242" s="129" t="e">
        <f>VLOOKUP($D1242,'WB Data 2'!$C$2:$K$545,6,FALSE)</f>
        <v>#N/A</v>
      </c>
      <c r="BE1242" s="129">
        <f>IFERROR(VLOOKUP($D1242,UNCTAD!$C$5:$V$529,4,FALSE),"..")</f>
        <v>3208225000</v>
      </c>
      <c r="BF1242" s="846" t="str">
        <f t="shared" si="218"/>
        <v>..</v>
      </c>
      <c r="BG1242" s="117">
        <f>VLOOKUP($D1242,'WB Data'!$C$3:$M$578,5,FALSE)</f>
        <v>1996380000</v>
      </c>
      <c r="BH1242" s="129">
        <f>IFERROR($BB1242/$BG1242,"..")</f>
        <v>1.2809085710621931E-2</v>
      </c>
      <c r="BI1242" s="117" t="str">
        <f>IFERROR(VLOOKUP($D1242,'WB Data'!$C$3:$M$578,7,FALSE)/100,"..")</f>
        <v>..</v>
      </c>
      <c r="BJ1242" s="117" t="str">
        <f>IFERROR($BI1242*$AW1242,"..")</f>
        <v>..</v>
      </c>
      <c r="BK1242" s="846" t="str">
        <f>IFERROR($BB1242/$BJ1242,"..")</f>
        <v>..</v>
      </c>
      <c r="BL1242" s="117" t="str">
        <f>IFERROR(VLOOKUP($D1242,'WB Data'!$C$3:$M$578,7,FALSE)/100,"..")</f>
        <v>..</v>
      </c>
      <c r="BM1242" s="117" t="str">
        <f>IFERROR($AW1242*$BL1242,"..")</f>
        <v>..</v>
      </c>
      <c r="BN1242" s="846" t="str">
        <f>IFERROR($BB1242/$BM1242,"..")</f>
        <v>..</v>
      </c>
      <c r="BO1242" s="801">
        <f t="shared" si="214"/>
        <v>31</v>
      </c>
      <c r="BP1242" s="117" t="str">
        <f>VLOOKUP($D1242,'WB Data'!$C$3:$M$578,9,FALSE)</f>
        <v>..</v>
      </c>
      <c r="BQ1242" s="117">
        <f>VLOOKUP($D1242,'WB Data'!$C$3:$M$578,10,FALSE)</f>
        <v>48.493829268292686</v>
      </c>
      <c r="BR1242" s="117">
        <f>VLOOKUP($D1242,'WB Data'!$C$3:$M$578,11,FALSE)</f>
        <v>78.099999999999994</v>
      </c>
      <c r="BS1242" s="129" t="str">
        <f>IFERROR(VLOOKUP($D1242,'WB Data 2'!$C$2:$K$545,9,FALSE),"..")</f>
        <v>..</v>
      </c>
      <c r="BT1242" s="129" t="str">
        <f>_xlfn.IFNA(VLOOKUP($C1242,RGI!$A$2:$C$43,2,FALSE),"..")</f>
        <v>..</v>
      </c>
      <c r="BU1242" s="129" t="str">
        <f>_xlfn.IFNA(VLOOKUP($C1242,RGI!$A$2:$C$43,3,FALSE),"..")</f>
        <v>..</v>
      </c>
      <c r="BV1242" s="129">
        <f>VLOOKUP($D1242,WGI!$C$2:$O$478,7,FALSE)</f>
        <v>-7.3130931626350204E-2</v>
      </c>
      <c r="BW1242" s="129">
        <f>VLOOKUP($D1242,WGI!$C$2:$O$478,4,FALSE)</f>
        <v>0.33822144833706802</v>
      </c>
      <c r="BX1242" s="129">
        <f>VLOOKUP($D1242,WGI!$C$2:$O$478,3,FALSE)</f>
        <v>-0.49578837827481598</v>
      </c>
      <c r="BY1242" s="129">
        <f>VLOOKUP($D1242,WGI!$C$2:$O$478,5,FALSE)</f>
        <v>-0.447379258714726</v>
      </c>
      <c r="BZ1242" s="129">
        <f>VLOOKUP($D1242,WGI!$C$2:$O$478,2,FALSE)</f>
        <v>-0.47412687816508697</v>
      </c>
    </row>
    <row r="1243" spans="1:80" ht="15" customHeight="1">
      <c r="A1243" s="280" t="s">
        <v>384</v>
      </c>
      <c r="B1243" s="117">
        <v>2008</v>
      </c>
      <c r="C1243" s="117" t="s">
        <v>385</v>
      </c>
      <c r="D1243" s="117" t="s">
        <v>3606</v>
      </c>
      <c r="E1243" s="117" t="s">
        <v>86</v>
      </c>
      <c r="F1243" s="117"/>
      <c r="G1243" s="117" t="s">
        <v>24</v>
      </c>
      <c r="H1243" s="117" t="str">
        <f t="shared" si="219"/>
        <v>yes</v>
      </c>
      <c r="I1243" s="117" t="str">
        <f t="shared" si="209"/>
        <v>no</v>
      </c>
      <c r="J1243" s="117" t="str">
        <f t="shared" si="210"/>
        <v>no</v>
      </c>
      <c r="K1243" s="117" t="s">
        <v>784</v>
      </c>
      <c r="L1243" s="117" t="str">
        <f t="shared" si="220"/>
        <v>detailed</v>
      </c>
      <c r="M1243" s="117" t="str">
        <f t="shared" si="211"/>
        <v>detailed Mining</v>
      </c>
      <c r="N1243" s="118">
        <f>298*32.150743126506</f>
        <v>9580.9214516987886</v>
      </c>
      <c r="O1243" s="118"/>
      <c r="P1243" s="118"/>
      <c r="Q1243" s="118"/>
      <c r="R1243" s="118"/>
      <c r="S1243" s="117" t="s">
        <v>785</v>
      </c>
      <c r="T1243" s="119">
        <v>871.70725000000004</v>
      </c>
      <c r="U1243" s="117" t="s">
        <v>786</v>
      </c>
      <c r="V1243" s="117" t="s">
        <v>787</v>
      </c>
      <c r="W1243" s="89">
        <f>N1243*T1243</f>
        <v>8351758.6911263596</v>
      </c>
      <c r="X1243" s="117"/>
      <c r="Y1243" s="117"/>
      <c r="Z1243" s="117"/>
      <c r="AA1243" s="89"/>
      <c r="AB1243" s="89"/>
      <c r="AC1243" s="240"/>
      <c r="AD1243" s="240"/>
      <c r="AE1243" s="240"/>
      <c r="AF1243" s="241"/>
      <c r="AG1243" s="117"/>
      <c r="AH1243" s="124"/>
      <c r="AI1243" s="117"/>
      <c r="AJ1243" s="117"/>
      <c r="AK1243" s="89"/>
      <c r="AL1243" s="117"/>
      <c r="AM1243" s="117"/>
      <c r="AN1243" s="117"/>
      <c r="AO1243" s="117"/>
      <c r="AP1243" s="117"/>
      <c r="AQ1243" s="117"/>
      <c r="AR1243" s="117"/>
      <c r="AS1243" s="117"/>
      <c r="AT1243" s="117"/>
      <c r="AU1243" s="117"/>
      <c r="AV1243" s="128"/>
      <c r="AW1243" s="117">
        <f>VLOOKUP($D1243,'WB Data'!$C$3:$M$578,2,FALSE)</f>
        <v>11026247458.238766</v>
      </c>
      <c r="AX1243" s="117">
        <f>VLOOKUP($D1243,'WB Data'!$C$3:$M$578,3,FALSE)</f>
        <v>22762525</v>
      </c>
      <c r="AY1243" s="847">
        <f t="shared" si="215"/>
        <v>2.3191754609011854E-3</v>
      </c>
      <c r="AZ1243" s="117" t="e">
        <f>VLOOKUP($D1243,'WB Data'!$C$3:$M$578,4,FALSE)/100</f>
        <v>#VALUE!</v>
      </c>
      <c r="BA1243" s="117" t="str">
        <f t="shared" si="216"/>
        <v>..</v>
      </c>
      <c r="BB1243" s="129">
        <f>IFERROR(VLOOKUP($D1243,'EITI Revenues'!$C$2:$G$224,5,FALSE),"..")</f>
        <v>25571802.530971412</v>
      </c>
      <c r="BC1243" s="846" t="str">
        <f t="shared" si="217"/>
        <v>..</v>
      </c>
      <c r="BD1243" s="129" t="e">
        <f>VLOOKUP($D1243,'WB Data 2'!$C$2:$K$545,6,FALSE)</f>
        <v>#N/A</v>
      </c>
      <c r="BE1243" s="129">
        <f>IFERROR(VLOOKUP($D1243,UNCTAD!$C$5:$V$529,4,FALSE),"..")</f>
        <v>3208225000</v>
      </c>
      <c r="BF1243" s="846" t="str">
        <f t="shared" si="218"/>
        <v>..</v>
      </c>
      <c r="BG1243" s="117">
        <f>VLOOKUP($D1243,'WB Data'!$C$3:$M$578,5,FALSE)</f>
        <v>1996380000</v>
      </c>
      <c r="BH1243" s="129">
        <f>IFERROR($BB1243/$BG1243,"..")</f>
        <v>1.2809085710621931E-2</v>
      </c>
      <c r="BI1243" s="117" t="str">
        <f>IFERROR(VLOOKUP($D1243,'WB Data'!$C$3:$M$578,7,FALSE)/100,"..")</f>
        <v>..</v>
      </c>
      <c r="BJ1243" s="117" t="str">
        <f>IFERROR($BI1243*$AW1243,"..")</f>
        <v>..</v>
      </c>
      <c r="BK1243" s="846" t="str">
        <f>IFERROR($BB1243/$BJ1243,"..")</f>
        <v>..</v>
      </c>
      <c r="BL1243" s="117" t="str">
        <f>IFERROR(VLOOKUP($D1243,'WB Data'!$C$3:$M$578,7,FALSE)/100,"..")</f>
        <v>..</v>
      </c>
      <c r="BM1243" s="117" t="str">
        <f>IFERROR($AW1243*$BL1243,"..")</f>
        <v>..</v>
      </c>
      <c r="BN1243" s="846" t="str">
        <f>IFERROR($BB1243/$BM1243,"..")</f>
        <v>..</v>
      </c>
      <c r="BO1243" s="801">
        <f t="shared" si="214"/>
        <v>31</v>
      </c>
      <c r="BP1243" s="117" t="str">
        <f>VLOOKUP($D1243,'WB Data'!$C$3:$M$578,9,FALSE)</f>
        <v>..</v>
      </c>
      <c r="BQ1243" s="117">
        <f>VLOOKUP($D1243,'WB Data'!$C$3:$M$578,10,FALSE)</f>
        <v>48.493829268292686</v>
      </c>
      <c r="BR1243" s="117">
        <f>VLOOKUP($D1243,'WB Data'!$C$3:$M$578,11,FALSE)</f>
        <v>78.099999999999994</v>
      </c>
      <c r="BS1243" s="129" t="str">
        <f>IFERROR(VLOOKUP($D1243,'WB Data 2'!$C$2:$K$545,9,FALSE),"..")</f>
        <v>..</v>
      </c>
      <c r="BT1243" s="129" t="str">
        <f>_xlfn.IFNA(VLOOKUP($C1243,RGI!$A$2:$C$43,2,FALSE),"..")</f>
        <v>..</v>
      </c>
      <c r="BU1243" s="129" t="str">
        <f>_xlfn.IFNA(VLOOKUP($C1243,RGI!$A$2:$C$43,3,FALSE),"..")</f>
        <v>..</v>
      </c>
      <c r="BV1243" s="129">
        <f>VLOOKUP($D1243,WGI!$C$2:$O$478,7,FALSE)</f>
        <v>-7.3130931626350204E-2</v>
      </c>
      <c r="BW1243" s="129">
        <f>VLOOKUP($D1243,WGI!$C$2:$O$478,4,FALSE)</f>
        <v>0.33822144833706802</v>
      </c>
      <c r="BX1243" s="129">
        <f>VLOOKUP($D1243,WGI!$C$2:$O$478,3,FALSE)</f>
        <v>-0.49578837827481598</v>
      </c>
      <c r="BY1243" s="129">
        <f>VLOOKUP($D1243,WGI!$C$2:$O$478,5,FALSE)</f>
        <v>-0.447379258714726</v>
      </c>
      <c r="BZ1243" s="129">
        <f>VLOOKUP($D1243,WGI!$C$2:$O$478,2,FALSE)</f>
        <v>-0.47412687816508697</v>
      </c>
    </row>
    <row r="1244" spans="1:80" ht="15" customHeight="1">
      <c r="A1244" s="280" t="s">
        <v>384</v>
      </c>
      <c r="B1244" s="117">
        <v>2008</v>
      </c>
      <c r="C1244" s="117" t="s">
        <v>385</v>
      </c>
      <c r="D1244" s="117" t="s">
        <v>3606</v>
      </c>
      <c r="E1244" s="117" t="s">
        <v>86</v>
      </c>
      <c r="F1244" s="117"/>
      <c r="G1244" s="117" t="s">
        <v>24</v>
      </c>
      <c r="H1244" s="117" t="str">
        <f t="shared" si="219"/>
        <v>yes</v>
      </c>
      <c r="I1244" s="117" t="str">
        <f t="shared" si="209"/>
        <v>no</v>
      </c>
      <c r="J1244" s="117" t="str">
        <f t="shared" si="210"/>
        <v>no</v>
      </c>
      <c r="K1244" s="117" t="s">
        <v>1875</v>
      </c>
      <c r="L1244" s="117" t="str">
        <f t="shared" si="220"/>
        <v>detailed</v>
      </c>
      <c r="M1244" s="117" t="str">
        <f t="shared" si="211"/>
        <v>detailed Mining</v>
      </c>
      <c r="N1244" s="118"/>
      <c r="O1244" s="118"/>
      <c r="P1244" s="118"/>
      <c r="Q1244" s="118"/>
      <c r="R1244" s="118"/>
      <c r="S1244" s="117"/>
      <c r="T1244" s="119"/>
      <c r="U1244" s="117"/>
      <c r="V1244" s="117"/>
      <c r="W1244" s="89">
        <f>SUM(W1245:W1247)</f>
        <v>65442330</v>
      </c>
      <c r="X1244" s="117"/>
      <c r="Y1244" s="117"/>
      <c r="Z1244" s="117"/>
      <c r="AA1244" s="89">
        <v>69120.715474209646</v>
      </c>
      <c r="AB1244" s="89">
        <v>353360.52412645594</v>
      </c>
      <c r="AC1244" s="240"/>
      <c r="AD1244" s="240"/>
      <c r="AE1244" s="240"/>
      <c r="AF1244" s="241">
        <f>AA1244/W1244</f>
        <v>1.0562080456825063E-3</v>
      </c>
      <c r="AG1244" s="117"/>
      <c r="AH1244" s="124"/>
      <c r="AI1244" s="117"/>
      <c r="AJ1244" s="117"/>
      <c r="AK1244" s="89"/>
      <c r="AL1244" s="117"/>
      <c r="AM1244" s="117"/>
      <c r="AN1244" s="117">
        <v>2</v>
      </c>
      <c r="AO1244" s="117" t="s">
        <v>1876</v>
      </c>
      <c r="AP1244" s="117">
        <v>2</v>
      </c>
      <c r="AQ1244" s="117"/>
      <c r="AR1244" s="117"/>
      <c r="AS1244" s="117"/>
      <c r="AT1244" s="117"/>
      <c r="AU1244" s="117" t="s">
        <v>1870</v>
      </c>
      <c r="AV1244" s="128"/>
      <c r="AW1244" s="117">
        <f>VLOOKUP($D1244,'WB Data'!$C$3:$M$578,2,FALSE)</f>
        <v>11026247458.238766</v>
      </c>
      <c r="AX1244" s="117">
        <f>VLOOKUP($D1244,'WB Data'!$C$3:$M$578,3,FALSE)</f>
        <v>22762525</v>
      </c>
      <c r="AY1244" s="847">
        <f t="shared" si="215"/>
        <v>2.3191754609011854E-3</v>
      </c>
      <c r="AZ1244" s="117" t="e">
        <f>VLOOKUP($D1244,'WB Data'!$C$3:$M$578,4,FALSE)/100</f>
        <v>#VALUE!</v>
      </c>
      <c r="BA1244" s="117" t="str">
        <f t="shared" si="216"/>
        <v>..</v>
      </c>
      <c r="BB1244" s="129">
        <f>IFERROR(VLOOKUP($D1244,'EITI Revenues'!$C$2:$G$224,5,FALSE),"..")</f>
        <v>25571802.530971412</v>
      </c>
      <c r="BC1244" s="846" t="str">
        <f t="shared" si="217"/>
        <v>..</v>
      </c>
      <c r="BD1244" s="129" t="e">
        <f>VLOOKUP($D1244,'WB Data 2'!$C$2:$K$545,6,FALSE)</f>
        <v>#N/A</v>
      </c>
      <c r="BE1244" s="129">
        <f>IFERROR(VLOOKUP($D1244,UNCTAD!$C$5:$V$529,4,FALSE),"..")</f>
        <v>3208225000</v>
      </c>
      <c r="BF1244" s="846" t="str">
        <f t="shared" si="218"/>
        <v>..</v>
      </c>
      <c r="BG1244" s="117">
        <f>VLOOKUP($D1244,'WB Data'!$C$3:$M$578,5,FALSE)</f>
        <v>1996380000</v>
      </c>
      <c r="BH1244" s="129">
        <f>IFERROR($BB1244/$BG1244,"..")</f>
        <v>1.2809085710621931E-2</v>
      </c>
      <c r="BI1244" s="117" t="str">
        <f>IFERROR(VLOOKUP($D1244,'WB Data'!$C$3:$M$578,7,FALSE)/100,"..")</f>
        <v>..</v>
      </c>
      <c r="BJ1244" s="117" t="str">
        <f>IFERROR($BI1244*$AW1244,"..")</f>
        <v>..</v>
      </c>
      <c r="BK1244" s="846" t="str">
        <f>IFERROR($BB1244/$BJ1244,"..")</f>
        <v>..</v>
      </c>
      <c r="BL1244" s="117" t="str">
        <f>IFERROR(VLOOKUP($D1244,'WB Data'!$C$3:$M$578,7,FALSE)/100,"..")</f>
        <v>..</v>
      </c>
      <c r="BM1244" s="117" t="str">
        <f>IFERROR($AW1244*$BL1244,"..")</f>
        <v>..</v>
      </c>
      <c r="BN1244" s="846" t="str">
        <f>IFERROR($BB1244/$BM1244,"..")</f>
        <v>..</v>
      </c>
      <c r="BO1244" s="801">
        <f t="shared" si="214"/>
        <v>31</v>
      </c>
      <c r="BP1244" s="117" t="str">
        <f>VLOOKUP($D1244,'WB Data'!$C$3:$M$578,9,FALSE)</f>
        <v>..</v>
      </c>
      <c r="BQ1244" s="117">
        <f>VLOOKUP($D1244,'WB Data'!$C$3:$M$578,10,FALSE)</f>
        <v>48.493829268292686</v>
      </c>
      <c r="BR1244" s="117">
        <f>VLOOKUP($D1244,'WB Data'!$C$3:$M$578,11,FALSE)</f>
        <v>78.099999999999994</v>
      </c>
      <c r="BS1244" s="129" t="str">
        <f>IFERROR(VLOOKUP($D1244,'WB Data 2'!$C$2:$K$545,9,FALSE),"..")</f>
        <v>..</v>
      </c>
      <c r="BT1244" s="129" t="str">
        <f>_xlfn.IFNA(VLOOKUP($C1244,RGI!$A$2:$C$43,2,FALSE),"..")</f>
        <v>..</v>
      </c>
      <c r="BU1244" s="129" t="str">
        <f>_xlfn.IFNA(VLOOKUP($C1244,RGI!$A$2:$C$43,3,FALSE),"..")</f>
        <v>..</v>
      </c>
      <c r="BV1244" s="129">
        <f>VLOOKUP($D1244,WGI!$C$2:$O$478,7,FALSE)</f>
        <v>-7.3130931626350204E-2</v>
      </c>
      <c r="BW1244" s="129">
        <f>VLOOKUP($D1244,WGI!$C$2:$O$478,4,FALSE)</f>
        <v>0.33822144833706802</v>
      </c>
      <c r="BX1244" s="129">
        <f>VLOOKUP($D1244,WGI!$C$2:$O$478,3,FALSE)</f>
        <v>-0.49578837827481598</v>
      </c>
      <c r="BY1244" s="129">
        <f>VLOOKUP($D1244,WGI!$C$2:$O$478,5,FALSE)</f>
        <v>-0.447379258714726</v>
      </c>
      <c r="BZ1244" s="129">
        <f>VLOOKUP($D1244,WGI!$C$2:$O$478,2,FALSE)</f>
        <v>-0.47412687816508697</v>
      </c>
    </row>
    <row r="1245" spans="1:80" ht="15" customHeight="1">
      <c r="A1245" s="280" t="s">
        <v>384</v>
      </c>
      <c r="B1245" s="117">
        <v>2008</v>
      </c>
      <c r="C1245" s="117" t="s">
        <v>385</v>
      </c>
      <c r="D1245" s="117" t="s">
        <v>3606</v>
      </c>
      <c r="E1245" s="117" t="s">
        <v>86</v>
      </c>
      <c r="F1245" s="117"/>
      <c r="G1245" s="117" t="s">
        <v>24</v>
      </c>
      <c r="H1245" s="117" t="str">
        <f t="shared" si="219"/>
        <v>yes</v>
      </c>
      <c r="I1245" s="117" t="str">
        <f t="shared" si="209"/>
        <v>no</v>
      </c>
      <c r="J1245" s="117" t="str">
        <f t="shared" si="210"/>
        <v>no</v>
      </c>
      <c r="K1245" s="117" t="s">
        <v>1877</v>
      </c>
      <c r="L1245" s="117" t="str">
        <f t="shared" si="220"/>
        <v>detailed</v>
      </c>
      <c r="M1245" s="117" t="str">
        <f t="shared" si="211"/>
        <v>detailed Mining</v>
      </c>
      <c r="N1245" s="118">
        <v>328875</v>
      </c>
      <c r="O1245" s="118"/>
      <c r="P1245" s="118">
        <f>140515.2*0.90718474</f>
        <v>127473.24517804802</v>
      </c>
      <c r="Q1245" s="118"/>
      <c r="R1245" s="118"/>
      <c r="S1245" s="117" t="s">
        <v>610</v>
      </c>
      <c r="T1245" s="119">
        <v>111</v>
      </c>
      <c r="U1245" s="117" t="s">
        <v>611</v>
      </c>
      <c r="V1245" s="117" t="s">
        <v>1671</v>
      </c>
      <c r="W1245" s="89">
        <f>N1245*T1245</f>
        <v>36505125</v>
      </c>
      <c r="X1245" s="117"/>
      <c r="Y1245" s="117"/>
      <c r="Z1245" s="117"/>
      <c r="AA1245" s="89"/>
      <c r="AB1245" s="89"/>
      <c r="AC1245" s="240"/>
      <c r="AD1245" s="240"/>
      <c r="AE1245" s="240"/>
      <c r="AF1245" s="241"/>
      <c r="AG1245" s="117"/>
      <c r="AH1245" s="124"/>
      <c r="AI1245" s="117"/>
      <c r="AJ1245" s="117"/>
      <c r="AK1245" s="89"/>
      <c r="AL1245" s="117"/>
      <c r="AM1245" s="117"/>
      <c r="AN1245" s="117"/>
      <c r="AO1245" s="117"/>
      <c r="AP1245" s="117"/>
      <c r="AQ1245" s="117"/>
      <c r="AR1245" s="117"/>
      <c r="AS1245" s="117"/>
      <c r="AT1245" s="117"/>
      <c r="AU1245" s="117">
        <v>32</v>
      </c>
      <c r="AV1245" s="128"/>
      <c r="AW1245" s="117">
        <f>VLOOKUP($D1245,'WB Data'!$C$3:$M$578,2,FALSE)</f>
        <v>11026247458.238766</v>
      </c>
      <c r="AX1245" s="117">
        <f>VLOOKUP($D1245,'WB Data'!$C$3:$M$578,3,FALSE)</f>
        <v>22762525</v>
      </c>
      <c r="AY1245" s="847">
        <f t="shared" si="215"/>
        <v>2.3191754609011854E-3</v>
      </c>
      <c r="AZ1245" s="117" t="e">
        <f>VLOOKUP($D1245,'WB Data'!$C$3:$M$578,4,FALSE)/100</f>
        <v>#VALUE!</v>
      </c>
      <c r="BA1245" s="117" t="str">
        <f t="shared" si="216"/>
        <v>..</v>
      </c>
      <c r="BB1245" s="129">
        <f>IFERROR(VLOOKUP($D1245,'EITI Revenues'!$C$2:$G$224,5,FALSE),"..")</f>
        <v>25571802.530971412</v>
      </c>
      <c r="BC1245" s="846" t="str">
        <f t="shared" si="217"/>
        <v>..</v>
      </c>
      <c r="BD1245" s="129" t="e">
        <f>VLOOKUP($D1245,'WB Data 2'!$C$2:$K$545,6,FALSE)</f>
        <v>#N/A</v>
      </c>
      <c r="BE1245" s="129">
        <f>IFERROR(VLOOKUP($D1245,UNCTAD!$C$5:$V$529,4,FALSE),"..")</f>
        <v>3208225000</v>
      </c>
      <c r="BF1245" s="846" t="str">
        <f t="shared" si="218"/>
        <v>..</v>
      </c>
      <c r="BG1245" s="117">
        <f>VLOOKUP($D1245,'WB Data'!$C$3:$M$578,5,FALSE)</f>
        <v>1996380000</v>
      </c>
      <c r="BH1245" s="129">
        <f>IFERROR($BB1245/$BG1245,"..")</f>
        <v>1.2809085710621931E-2</v>
      </c>
      <c r="BI1245" s="117" t="str">
        <f>IFERROR(VLOOKUP($D1245,'WB Data'!$C$3:$M$578,7,FALSE)/100,"..")</f>
        <v>..</v>
      </c>
      <c r="BJ1245" s="117" t="str">
        <f>IFERROR($BI1245*$AW1245,"..")</f>
        <v>..</v>
      </c>
      <c r="BK1245" s="846" t="str">
        <f>IFERROR($BB1245/$BJ1245,"..")</f>
        <v>..</v>
      </c>
      <c r="BL1245" s="117" t="str">
        <f>IFERROR(VLOOKUP($D1245,'WB Data'!$C$3:$M$578,7,FALSE)/100,"..")</f>
        <v>..</v>
      </c>
      <c r="BM1245" s="117" t="str">
        <f>IFERROR($AW1245*$BL1245,"..")</f>
        <v>..</v>
      </c>
      <c r="BN1245" s="846" t="str">
        <f>IFERROR($BB1245/$BM1245,"..")</f>
        <v>..</v>
      </c>
      <c r="BO1245" s="801">
        <f t="shared" si="214"/>
        <v>31</v>
      </c>
      <c r="BP1245" s="117" t="str">
        <f>VLOOKUP($D1245,'WB Data'!$C$3:$M$578,9,FALSE)</f>
        <v>..</v>
      </c>
      <c r="BQ1245" s="117">
        <f>VLOOKUP($D1245,'WB Data'!$C$3:$M$578,10,FALSE)</f>
        <v>48.493829268292686</v>
      </c>
      <c r="BR1245" s="117">
        <f>VLOOKUP($D1245,'WB Data'!$C$3:$M$578,11,FALSE)</f>
        <v>78.099999999999994</v>
      </c>
      <c r="BS1245" s="129" t="str">
        <f>IFERROR(VLOOKUP($D1245,'WB Data 2'!$C$2:$K$545,9,FALSE),"..")</f>
        <v>..</v>
      </c>
      <c r="BT1245" s="129" t="str">
        <f>_xlfn.IFNA(VLOOKUP($C1245,RGI!$A$2:$C$43,2,FALSE),"..")</f>
        <v>..</v>
      </c>
      <c r="BU1245" s="129" t="str">
        <f>_xlfn.IFNA(VLOOKUP($C1245,RGI!$A$2:$C$43,3,FALSE),"..")</f>
        <v>..</v>
      </c>
      <c r="BV1245" s="129">
        <f>VLOOKUP($D1245,WGI!$C$2:$O$478,7,FALSE)</f>
        <v>-7.3130931626350204E-2</v>
      </c>
      <c r="BW1245" s="129">
        <f>VLOOKUP($D1245,WGI!$C$2:$O$478,4,FALSE)</f>
        <v>0.33822144833706802</v>
      </c>
      <c r="BX1245" s="129">
        <f>VLOOKUP($D1245,WGI!$C$2:$O$478,3,FALSE)</f>
        <v>-0.49578837827481598</v>
      </c>
      <c r="BY1245" s="129">
        <f>VLOOKUP($D1245,WGI!$C$2:$O$478,5,FALSE)</f>
        <v>-0.447379258714726</v>
      </c>
      <c r="BZ1245" s="129">
        <f>VLOOKUP($D1245,WGI!$C$2:$O$478,2,FALSE)</f>
        <v>-0.47412687816508697</v>
      </c>
    </row>
    <row r="1246" spans="1:80" ht="15" customHeight="1">
      <c r="A1246" s="280" t="s">
        <v>384</v>
      </c>
      <c r="B1246" s="117">
        <v>2008</v>
      </c>
      <c r="C1246" s="117" t="s">
        <v>385</v>
      </c>
      <c r="D1246" s="117" t="s">
        <v>3606</v>
      </c>
      <c r="E1246" s="117" t="s">
        <v>86</v>
      </c>
      <c r="F1246" s="117"/>
      <c r="G1246" s="117" t="s">
        <v>24</v>
      </c>
      <c r="H1246" s="117" t="str">
        <f t="shared" si="219"/>
        <v>yes</v>
      </c>
      <c r="I1246" s="117" t="str">
        <f t="shared" si="209"/>
        <v>no</v>
      </c>
      <c r="J1246" s="117" t="str">
        <f t="shared" si="210"/>
        <v>no</v>
      </c>
      <c r="K1246" s="117" t="s">
        <v>1878</v>
      </c>
      <c r="L1246" s="117" t="str">
        <f t="shared" si="220"/>
        <v>detailed</v>
      </c>
      <c r="M1246" s="117" t="str">
        <f t="shared" si="211"/>
        <v>detailed Mining</v>
      </c>
      <c r="N1246" s="118">
        <v>6552</v>
      </c>
      <c r="O1246" s="118"/>
      <c r="P1246" s="118">
        <f>8782.2*0.90718474</f>
        <v>7967.0778236280012</v>
      </c>
      <c r="Q1246" s="118"/>
      <c r="R1246" s="118"/>
      <c r="S1246" s="117" t="s">
        <v>610</v>
      </c>
      <c r="T1246" s="119">
        <v>525</v>
      </c>
      <c r="U1246" s="117" t="s">
        <v>611</v>
      </c>
      <c r="V1246" s="117" t="s">
        <v>1879</v>
      </c>
      <c r="W1246" s="89">
        <f>N1246*T1246</f>
        <v>3439800</v>
      </c>
      <c r="X1246" s="117"/>
      <c r="Y1246" s="117"/>
      <c r="Z1246" s="117"/>
      <c r="AA1246" s="89"/>
      <c r="AB1246" s="89"/>
      <c r="AC1246" s="240"/>
      <c r="AD1246" s="240"/>
      <c r="AE1246" s="240"/>
      <c r="AF1246" s="241"/>
      <c r="AG1246" s="117"/>
      <c r="AH1246" s="124"/>
      <c r="AI1246" s="117"/>
      <c r="AJ1246" s="117"/>
      <c r="AK1246" s="89"/>
      <c r="AL1246" s="117"/>
      <c r="AM1246" s="117"/>
      <c r="AN1246" s="117"/>
      <c r="AO1246" s="117"/>
      <c r="AP1246" s="117"/>
      <c r="AQ1246" s="117"/>
      <c r="AR1246" s="117"/>
      <c r="AS1246" s="117"/>
      <c r="AT1246" s="117"/>
      <c r="AU1246" s="117">
        <v>32</v>
      </c>
      <c r="AV1246" s="128"/>
      <c r="AW1246" s="117">
        <f>VLOOKUP($D1246,'WB Data'!$C$3:$M$578,2,FALSE)</f>
        <v>11026247458.238766</v>
      </c>
      <c r="AX1246" s="117">
        <f>VLOOKUP($D1246,'WB Data'!$C$3:$M$578,3,FALSE)</f>
        <v>22762525</v>
      </c>
      <c r="AY1246" s="847">
        <f t="shared" si="215"/>
        <v>2.3191754609011854E-3</v>
      </c>
      <c r="AZ1246" s="117" t="e">
        <f>VLOOKUP($D1246,'WB Data'!$C$3:$M$578,4,FALSE)/100</f>
        <v>#VALUE!</v>
      </c>
      <c r="BA1246" s="117" t="str">
        <f t="shared" si="216"/>
        <v>..</v>
      </c>
      <c r="BB1246" s="129">
        <f>IFERROR(VLOOKUP($D1246,'EITI Revenues'!$C$2:$G$224,5,FALSE),"..")</f>
        <v>25571802.530971412</v>
      </c>
      <c r="BC1246" s="846" t="str">
        <f t="shared" si="217"/>
        <v>..</v>
      </c>
      <c r="BD1246" s="129" t="e">
        <f>VLOOKUP($D1246,'WB Data 2'!$C$2:$K$545,6,FALSE)</f>
        <v>#N/A</v>
      </c>
      <c r="BE1246" s="129">
        <f>IFERROR(VLOOKUP($D1246,UNCTAD!$C$5:$V$529,4,FALSE),"..")</f>
        <v>3208225000</v>
      </c>
      <c r="BF1246" s="846" t="str">
        <f t="shared" si="218"/>
        <v>..</v>
      </c>
      <c r="BG1246" s="117">
        <f>VLOOKUP($D1246,'WB Data'!$C$3:$M$578,5,FALSE)</f>
        <v>1996380000</v>
      </c>
      <c r="BH1246" s="129">
        <f>IFERROR($BB1246/$BG1246,"..")</f>
        <v>1.2809085710621931E-2</v>
      </c>
      <c r="BI1246" s="117" t="str">
        <f>IFERROR(VLOOKUP($D1246,'WB Data'!$C$3:$M$578,7,FALSE)/100,"..")</f>
        <v>..</v>
      </c>
      <c r="BJ1246" s="117" t="str">
        <f>IFERROR($BI1246*$AW1246,"..")</f>
        <v>..</v>
      </c>
      <c r="BK1246" s="846" t="str">
        <f>IFERROR($BB1246/$BJ1246,"..")</f>
        <v>..</v>
      </c>
      <c r="BL1246" s="117" t="str">
        <f>IFERROR(VLOOKUP($D1246,'WB Data'!$C$3:$M$578,7,FALSE)/100,"..")</f>
        <v>..</v>
      </c>
      <c r="BM1246" s="117" t="str">
        <f>IFERROR($AW1246*$BL1246,"..")</f>
        <v>..</v>
      </c>
      <c r="BN1246" s="846" t="str">
        <f>IFERROR($BB1246/$BM1246,"..")</f>
        <v>..</v>
      </c>
      <c r="BO1246" s="801">
        <f t="shared" si="214"/>
        <v>31</v>
      </c>
      <c r="BP1246" s="117" t="str">
        <f>VLOOKUP($D1246,'WB Data'!$C$3:$M$578,9,FALSE)</f>
        <v>..</v>
      </c>
      <c r="BQ1246" s="117">
        <f>VLOOKUP($D1246,'WB Data'!$C$3:$M$578,10,FALSE)</f>
        <v>48.493829268292686</v>
      </c>
      <c r="BR1246" s="117">
        <f>VLOOKUP($D1246,'WB Data'!$C$3:$M$578,11,FALSE)</f>
        <v>78.099999999999994</v>
      </c>
      <c r="BS1246" s="129" t="str">
        <f>IFERROR(VLOOKUP($D1246,'WB Data 2'!$C$2:$K$545,9,FALSE),"..")</f>
        <v>..</v>
      </c>
      <c r="BT1246" s="129" t="str">
        <f>_xlfn.IFNA(VLOOKUP($C1246,RGI!$A$2:$C$43,2,FALSE),"..")</f>
        <v>..</v>
      </c>
      <c r="BU1246" s="129" t="str">
        <f>_xlfn.IFNA(VLOOKUP($C1246,RGI!$A$2:$C$43,3,FALSE),"..")</f>
        <v>..</v>
      </c>
      <c r="BV1246" s="129">
        <f>VLOOKUP($D1246,WGI!$C$2:$O$478,7,FALSE)</f>
        <v>-7.3130931626350204E-2</v>
      </c>
      <c r="BW1246" s="129">
        <f>VLOOKUP($D1246,WGI!$C$2:$O$478,4,FALSE)</f>
        <v>0.33822144833706802</v>
      </c>
      <c r="BX1246" s="129">
        <f>VLOOKUP($D1246,WGI!$C$2:$O$478,3,FALSE)</f>
        <v>-0.49578837827481598</v>
      </c>
      <c r="BY1246" s="129">
        <f>VLOOKUP($D1246,WGI!$C$2:$O$478,5,FALSE)</f>
        <v>-0.447379258714726</v>
      </c>
      <c r="BZ1246" s="129">
        <f>VLOOKUP($D1246,WGI!$C$2:$O$478,2,FALSE)</f>
        <v>-0.47412687816508697</v>
      </c>
    </row>
    <row r="1247" spans="1:80" ht="15" customHeight="1">
      <c r="A1247" s="280" t="s">
        <v>384</v>
      </c>
      <c r="B1247" s="117">
        <v>2008</v>
      </c>
      <c r="C1247" s="117" t="s">
        <v>385</v>
      </c>
      <c r="D1247" s="117" t="s">
        <v>3606</v>
      </c>
      <c r="E1247" s="117" t="s">
        <v>86</v>
      </c>
      <c r="F1247" s="117"/>
      <c r="G1247" s="117" t="s">
        <v>24</v>
      </c>
      <c r="H1247" s="117" t="str">
        <f t="shared" si="219"/>
        <v>yes</v>
      </c>
      <c r="I1247" s="117" t="str">
        <f t="shared" ref="I1247:I1322" si="221">IF($G1247="Gas","yes",IF($G1247="Oil, Gas, Mining","yes",IF($G1247="Gas, Mining","yes",IF($G1247="Oil, Gas","yes",IF($G1247="Oil, Gas, Other","yes","no")))))</f>
        <v>no</v>
      </c>
      <c r="J1247" s="117" t="str">
        <f t="shared" ref="J1247:J1322" si="222">IF($G1247="Oil","yes",IF($G1247="Oil, Gas, Mining","yes",IF($G1247="Oil, Mining","yes",IF($G1247="Oil, Gas","yes",IF($G1247="Oil, Gas, Other","yes","no")))))</f>
        <v>no</v>
      </c>
      <c r="K1247" s="117" t="s">
        <v>1880</v>
      </c>
      <c r="L1247" s="117" t="str">
        <f t="shared" si="220"/>
        <v>detailed</v>
      </c>
      <c r="M1247" s="117" t="str">
        <f t="shared" ref="M1247:M1322" si="223">L1247&amp;" "&amp;G1247</f>
        <v>detailed Mining</v>
      </c>
      <c r="N1247" s="118">
        <v>32985</v>
      </c>
      <c r="O1247" s="118"/>
      <c r="P1247" s="118">
        <f>26346.6*0.90718474</f>
        <v>23901.233470883999</v>
      </c>
      <c r="Q1247" s="118"/>
      <c r="R1247" s="118"/>
      <c r="S1247" s="117" t="s">
        <v>610</v>
      </c>
      <c r="T1247" s="119">
        <v>773</v>
      </c>
      <c r="U1247" s="117" t="s">
        <v>611</v>
      </c>
      <c r="V1247" s="117" t="s">
        <v>1881</v>
      </c>
      <c r="W1247" s="89">
        <f>N1247*T1247</f>
        <v>25497405</v>
      </c>
      <c r="X1247" s="117"/>
      <c r="Y1247" s="117"/>
      <c r="Z1247" s="117"/>
      <c r="AA1247" s="89"/>
      <c r="AB1247" s="89"/>
      <c r="AC1247" s="240"/>
      <c r="AD1247" s="240"/>
      <c r="AE1247" s="240"/>
      <c r="AF1247" s="241"/>
      <c r="AG1247" s="117"/>
      <c r="AH1247" s="124"/>
      <c r="AI1247" s="117"/>
      <c r="AJ1247" s="117"/>
      <c r="AK1247" s="89"/>
      <c r="AL1247" s="117"/>
      <c r="AM1247" s="117"/>
      <c r="AN1247" s="117"/>
      <c r="AO1247" s="117"/>
      <c r="AP1247" s="117"/>
      <c r="AQ1247" s="117"/>
      <c r="AR1247" s="117"/>
      <c r="AS1247" s="117"/>
      <c r="AT1247" s="117"/>
      <c r="AU1247" s="117">
        <v>32</v>
      </c>
      <c r="AV1247" s="128"/>
      <c r="AW1247" s="117">
        <f>VLOOKUP($D1247,'WB Data'!$C$3:$M$578,2,FALSE)</f>
        <v>11026247458.238766</v>
      </c>
      <c r="AX1247" s="117">
        <f>VLOOKUP($D1247,'WB Data'!$C$3:$M$578,3,FALSE)</f>
        <v>22762525</v>
      </c>
      <c r="AY1247" s="847">
        <f t="shared" si="215"/>
        <v>2.3191754609011854E-3</v>
      </c>
      <c r="AZ1247" s="117" t="e">
        <f>VLOOKUP($D1247,'WB Data'!$C$3:$M$578,4,FALSE)/100</f>
        <v>#VALUE!</v>
      </c>
      <c r="BA1247" s="117" t="str">
        <f t="shared" si="216"/>
        <v>..</v>
      </c>
      <c r="BB1247" s="129">
        <f>IFERROR(VLOOKUP($D1247,'EITI Revenues'!$C$2:$G$224,5,FALSE),"..")</f>
        <v>25571802.530971412</v>
      </c>
      <c r="BC1247" s="846" t="str">
        <f t="shared" si="217"/>
        <v>..</v>
      </c>
      <c r="BD1247" s="129" t="e">
        <f>VLOOKUP($D1247,'WB Data 2'!$C$2:$K$545,6,FALSE)</f>
        <v>#N/A</v>
      </c>
      <c r="BE1247" s="129">
        <f>IFERROR(VLOOKUP($D1247,UNCTAD!$C$5:$V$529,4,FALSE),"..")</f>
        <v>3208225000</v>
      </c>
      <c r="BF1247" s="846" t="str">
        <f t="shared" si="218"/>
        <v>..</v>
      </c>
      <c r="BG1247" s="117">
        <f>VLOOKUP($D1247,'WB Data'!$C$3:$M$578,5,FALSE)</f>
        <v>1996380000</v>
      </c>
      <c r="BH1247" s="129">
        <f>IFERROR($BB1247/$BG1247,"..")</f>
        <v>1.2809085710621931E-2</v>
      </c>
      <c r="BI1247" s="117" t="str">
        <f>IFERROR(VLOOKUP($D1247,'WB Data'!$C$3:$M$578,7,FALSE)/100,"..")</f>
        <v>..</v>
      </c>
      <c r="BJ1247" s="117" t="str">
        <f>IFERROR($BI1247*$AW1247,"..")</f>
        <v>..</v>
      </c>
      <c r="BK1247" s="846" t="str">
        <f>IFERROR($BB1247/$BJ1247,"..")</f>
        <v>..</v>
      </c>
      <c r="BL1247" s="117" t="str">
        <f>IFERROR(VLOOKUP($D1247,'WB Data'!$C$3:$M$578,7,FALSE)/100,"..")</f>
        <v>..</v>
      </c>
      <c r="BM1247" s="117" t="str">
        <f>IFERROR($AW1247*$BL1247,"..")</f>
        <v>..</v>
      </c>
      <c r="BN1247" s="846" t="str">
        <f>IFERROR($BB1247/$BM1247,"..")</f>
        <v>..</v>
      </c>
      <c r="BO1247" s="801">
        <f t="shared" si="214"/>
        <v>31</v>
      </c>
      <c r="BP1247" s="117" t="str">
        <f>VLOOKUP($D1247,'WB Data'!$C$3:$M$578,9,FALSE)</f>
        <v>..</v>
      </c>
      <c r="BQ1247" s="117">
        <f>VLOOKUP($D1247,'WB Data'!$C$3:$M$578,10,FALSE)</f>
        <v>48.493829268292686</v>
      </c>
      <c r="BR1247" s="117">
        <f>VLOOKUP($D1247,'WB Data'!$C$3:$M$578,11,FALSE)</f>
        <v>78.099999999999994</v>
      </c>
      <c r="BS1247" s="129" t="str">
        <f>IFERROR(VLOOKUP($D1247,'WB Data 2'!$C$2:$K$545,9,FALSE),"..")</f>
        <v>..</v>
      </c>
      <c r="BT1247" s="129" t="str">
        <f>_xlfn.IFNA(VLOOKUP($C1247,RGI!$A$2:$C$43,2,FALSE),"..")</f>
        <v>..</v>
      </c>
      <c r="BU1247" s="129" t="str">
        <f>_xlfn.IFNA(VLOOKUP($C1247,RGI!$A$2:$C$43,3,FALSE),"..")</f>
        <v>..</v>
      </c>
      <c r="BV1247" s="129">
        <f>VLOOKUP($D1247,WGI!$C$2:$O$478,7,FALSE)</f>
        <v>-7.3130931626350204E-2</v>
      </c>
      <c r="BW1247" s="129">
        <f>VLOOKUP($D1247,WGI!$C$2:$O$478,4,FALSE)</f>
        <v>0.33822144833706802</v>
      </c>
      <c r="BX1247" s="129">
        <f>VLOOKUP($D1247,WGI!$C$2:$O$478,3,FALSE)</f>
        <v>-0.49578837827481598</v>
      </c>
      <c r="BY1247" s="129">
        <f>VLOOKUP($D1247,WGI!$C$2:$O$478,5,FALSE)</f>
        <v>-0.447379258714726</v>
      </c>
      <c r="BZ1247" s="129">
        <f>VLOOKUP($D1247,WGI!$C$2:$O$478,2,FALSE)</f>
        <v>-0.47412687816508697</v>
      </c>
    </row>
    <row r="1248" spans="1:80" s="144" customFormat="1" ht="15" customHeight="1">
      <c r="A1248" s="279" t="s">
        <v>388</v>
      </c>
      <c r="B1248" s="132">
        <v>2009</v>
      </c>
      <c r="C1248" s="132" t="s">
        <v>385</v>
      </c>
      <c r="D1248" s="117" t="s">
        <v>3640</v>
      </c>
      <c r="E1248" s="132" t="s">
        <v>86</v>
      </c>
      <c r="F1248" s="132" t="s">
        <v>1859</v>
      </c>
      <c r="G1248" s="132" t="s">
        <v>386</v>
      </c>
      <c r="H1248" s="117" t="str">
        <f t="shared" si="219"/>
        <v>yes</v>
      </c>
      <c r="I1248" s="117" t="str">
        <f t="shared" si="221"/>
        <v>yes</v>
      </c>
      <c r="J1248" s="117" t="str">
        <f t="shared" si="222"/>
        <v>no</v>
      </c>
      <c r="K1248" s="132" t="s">
        <v>709</v>
      </c>
      <c r="L1248" s="117" t="str">
        <f t="shared" si="220"/>
        <v>Total</v>
      </c>
      <c r="M1248" s="117" t="str">
        <f t="shared" si="223"/>
        <v>Total Gas, Mining</v>
      </c>
      <c r="N1248" s="133"/>
      <c r="O1248" s="133"/>
      <c r="P1248" s="133"/>
      <c r="Q1248" s="133"/>
      <c r="R1248" s="133"/>
      <c r="S1248" s="132"/>
      <c r="T1248" s="134"/>
      <c r="U1248" s="132"/>
      <c r="V1248" s="132"/>
      <c r="W1248" s="135">
        <f>W1249+W1250</f>
        <v>516592806.20477235</v>
      </c>
      <c r="X1248" s="132" t="s">
        <v>998</v>
      </c>
      <c r="Y1248" s="132" t="s">
        <v>731</v>
      </c>
      <c r="Z1248" s="132" t="s">
        <v>732</v>
      </c>
      <c r="AA1248" s="454">
        <f>38886156.5483285+AK1248</f>
        <v>51049678.183363676</v>
      </c>
      <c r="AB1248" s="454">
        <v>42568813.472747095</v>
      </c>
      <c r="AC1248" s="599"/>
      <c r="AD1248" s="599"/>
      <c r="AE1248" s="599"/>
      <c r="AF1248" s="600">
        <f>AA1248/W1248</f>
        <v>9.8819955621155281E-2</v>
      </c>
      <c r="AG1248" s="132" t="s">
        <v>1861</v>
      </c>
      <c r="AH1248" s="140">
        <v>27.52</v>
      </c>
      <c r="AI1248" s="132" t="s">
        <v>605</v>
      </c>
      <c r="AJ1248" s="132" t="s">
        <v>1882</v>
      </c>
      <c r="AK1248" s="135">
        <v>12163521.635035178</v>
      </c>
      <c r="AL1248" s="135"/>
      <c r="AM1248" s="135"/>
      <c r="AN1248" s="132">
        <v>36</v>
      </c>
      <c r="AO1248" s="132" t="s">
        <v>1883</v>
      </c>
      <c r="AP1248" s="132">
        <v>31</v>
      </c>
      <c r="AQ1248" s="229" t="s">
        <v>228</v>
      </c>
      <c r="AR1248" s="141">
        <v>41908</v>
      </c>
      <c r="AS1248" s="132" t="s">
        <v>1382</v>
      </c>
      <c r="AT1248" s="132" t="s">
        <v>387</v>
      </c>
      <c r="AU1248" s="132" t="s">
        <v>1884</v>
      </c>
      <c r="AV1248" s="143" t="s">
        <v>1885</v>
      </c>
      <c r="AW1248" s="117">
        <f>VLOOKUP($D1248,'WB Data'!$C$3:$M$578,2,FALSE)</f>
        <v>10726631099.557865</v>
      </c>
      <c r="AX1248" s="117">
        <f>VLOOKUP($D1248,'WB Data'!$C$3:$M$578,3,FALSE)</f>
        <v>23361025</v>
      </c>
      <c r="AY1248" s="847">
        <f t="shared" si="215"/>
        <v>4.7591529632698814E-3</v>
      </c>
      <c r="AZ1248" s="117" t="e">
        <f>VLOOKUP($D1248,'WB Data'!$C$3:$M$578,4,FALSE)/100</f>
        <v>#VALUE!</v>
      </c>
      <c r="BA1248" s="117" t="str">
        <f t="shared" si="216"/>
        <v>..</v>
      </c>
      <c r="BB1248" s="129">
        <f>IFERROR(VLOOKUP($D1248,'EITI Revenues'!$C$2:$G$224,5,FALSE),"..")</f>
        <v>51049678.183363676</v>
      </c>
      <c r="BC1248" s="846" t="str">
        <f t="shared" si="217"/>
        <v>..</v>
      </c>
      <c r="BD1248" s="129" t="e">
        <f>VLOOKUP($D1248,'WB Data 2'!$C$2:$K$545,6,FALSE)</f>
        <v>#N/A</v>
      </c>
      <c r="BE1248" s="129">
        <f>IFERROR(VLOOKUP($D1248,UNCTAD!$C$5:$V$529,4,FALSE),"..")</f>
        <v>2758850000</v>
      </c>
      <c r="BF1248" s="846" t="str">
        <f t="shared" si="218"/>
        <v>..</v>
      </c>
      <c r="BG1248" s="117">
        <f>VLOOKUP($D1248,'WB Data'!$C$3:$M$578,5,FALSE)</f>
        <v>2012400000</v>
      </c>
      <c r="BH1248" s="129">
        <f>IFERROR($BB1248/$BG1248,"..")</f>
        <v>2.5367560218328204E-2</v>
      </c>
      <c r="BI1248" s="117" t="str">
        <f>IFERROR(VLOOKUP($D1248,'WB Data'!$C$3:$M$578,7,FALSE)/100,"..")</f>
        <v>..</v>
      </c>
      <c r="BJ1248" s="117" t="str">
        <f>IFERROR($BI1248*$AW1248,"..")</f>
        <v>..</v>
      </c>
      <c r="BK1248" s="846" t="str">
        <f>IFERROR($BB1248/$BJ1248,"..")</f>
        <v>..</v>
      </c>
      <c r="BL1248" s="117" t="str">
        <f>IFERROR(VLOOKUP($D1248,'WB Data'!$C$3:$M$578,7,FALSE)/100,"..")</f>
        <v>..</v>
      </c>
      <c r="BM1248" s="117" t="str">
        <f>IFERROR($AW1248*$BL1248,"..")</f>
        <v>..</v>
      </c>
      <c r="BN1248" s="846" t="str">
        <f>IFERROR($BB1248/$BM1248,"..")</f>
        <v>..</v>
      </c>
      <c r="BO1248" s="801">
        <f t="shared" si="214"/>
        <v>31</v>
      </c>
      <c r="BP1248" s="117">
        <f>VLOOKUP($D1248,'WB Data'!$C$3:$M$578,9,FALSE)</f>
        <v>54.7</v>
      </c>
      <c r="BQ1248" s="117">
        <f>VLOOKUP($D1248,'WB Data'!$C$3:$M$578,10,FALSE)</f>
        <v>48.799439024390246</v>
      </c>
      <c r="BR1248" s="117">
        <f>VLOOKUP($D1248,'WB Data'!$C$3:$M$578,11,FALSE)</f>
        <v>74.3</v>
      </c>
      <c r="BS1248" s="129" t="str">
        <f>IFERROR(VLOOKUP($D1248,'WB Data 2'!$C$2:$K$545,9,FALSE),"..")</f>
        <v>..</v>
      </c>
      <c r="BT1248" s="129" t="str">
        <f>_xlfn.IFNA(VLOOKUP($C1248,RGI!$A$2:$C$43,2,FALSE),"..")</f>
        <v>..</v>
      </c>
      <c r="BU1248" s="129" t="str">
        <f>_xlfn.IFNA(VLOOKUP($C1248,RGI!$A$2:$C$43,3,FALSE),"..")</f>
        <v>..</v>
      </c>
      <c r="BV1248" s="129">
        <f>VLOOKUP($D1248,WGI!$C$2:$O$478,7,FALSE)</f>
        <v>-0.10593740605468201</v>
      </c>
      <c r="BW1248" s="129">
        <f>VLOOKUP($D1248,WGI!$C$2:$O$478,4,FALSE)</f>
        <v>0.58954037409522198</v>
      </c>
      <c r="BX1248" s="129">
        <f>VLOOKUP($D1248,WGI!$C$2:$O$478,3,FALSE)</f>
        <v>-0.54382928909406303</v>
      </c>
      <c r="BY1248" s="129">
        <f>VLOOKUP($D1248,WGI!$C$2:$O$478,5,FALSE)</f>
        <v>-0.38672618976353301</v>
      </c>
      <c r="BZ1248" s="129">
        <f>VLOOKUP($D1248,WGI!$C$2:$O$478,2,FALSE)</f>
        <v>-0.42101975203520903</v>
      </c>
      <c r="CB1248" s="129"/>
    </row>
    <row r="1249" spans="1:80" s="120" customFormat="1" ht="15" customHeight="1">
      <c r="A1249" s="280" t="s">
        <v>388</v>
      </c>
      <c r="B1249" s="117">
        <v>2009</v>
      </c>
      <c r="C1249" s="117" t="s">
        <v>385</v>
      </c>
      <c r="D1249" s="117" t="s">
        <v>3640</v>
      </c>
      <c r="E1249" s="117" t="s">
        <v>86</v>
      </c>
      <c r="F1249" s="117"/>
      <c r="G1249" s="117" t="s">
        <v>561</v>
      </c>
      <c r="H1249" s="117" t="str">
        <f t="shared" si="219"/>
        <v>no</v>
      </c>
      <c r="I1249" s="117" t="str">
        <f t="shared" si="221"/>
        <v>yes</v>
      </c>
      <c r="J1249" s="117" t="str">
        <f t="shared" si="222"/>
        <v>no</v>
      </c>
      <c r="K1249" s="117" t="s">
        <v>1886</v>
      </c>
      <c r="L1249" s="117" t="str">
        <f t="shared" si="220"/>
        <v>Total</v>
      </c>
      <c r="M1249" s="117" t="str">
        <f t="shared" si="223"/>
        <v>Total Gas</v>
      </c>
      <c r="N1249" s="118">
        <f>95000000000*0.0283168</f>
        <v>2690096000</v>
      </c>
      <c r="O1249" s="118"/>
      <c r="P1249" s="118"/>
      <c r="Q1249" s="118"/>
      <c r="R1249" s="118"/>
      <c r="S1249" s="117" t="s">
        <v>642</v>
      </c>
      <c r="T1249" s="119">
        <v>0.14422800000000002</v>
      </c>
      <c r="U1249" s="117" t="s">
        <v>643</v>
      </c>
      <c r="V1249" s="117" t="s">
        <v>880</v>
      </c>
      <c r="W1249" s="89">
        <f>N1249*T1249</f>
        <v>387987165.88800007</v>
      </c>
      <c r="X1249" s="117"/>
      <c r="Y1249" s="117"/>
      <c r="Z1249" s="117"/>
      <c r="AA1249" s="89">
        <f>23730124.6758721+AK1249</f>
        <v>35893646.310907274</v>
      </c>
      <c r="AB1249" s="89">
        <v>27165982.621729653</v>
      </c>
      <c r="AC1249" s="240"/>
      <c r="AD1249" s="240"/>
      <c r="AE1249" s="240"/>
      <c r="AF1249" s="241">
        <f>AA1249/W1249</f>
        <v>9.2512457799360986E-2</v>
      </c>
      <c r="AG1249" s="117"/>
      <c r="AH1249" s="124"/>
      <c r="AI1249" s="117"/>
      <c r="AJ1249" s="117" t="s">
        <v>1882</v>
      </c>
      <c r="AK1249" s="89">
        <v>12163521.635035178</v>
      </c>
      <c r="AL1249" s="89"/>
      <c r="AM1249" s="89"/>
      <c r="AN1249" s="117">
        <v>12</v>
      </c>
      <c r="AO1249" s="117" t="s">
        <v>1887</v>
      </c>
      <c r="AP1249" s="117">
        <v>11</v>
      </c>
      <c r="AQ1249" s="117"/>
      <c r="AR1249" s="117"/>
      <c r="AS1249" s="117"/>
      <c r="AT1249" s="117"/>
      <c r="AU1249" s="117" t="s">
        <v>1884</v>
      </c>
      <c r="AV1249" s="128"/>
      <c r="AW1249" s="117">
        <f>VLOOKUP($D1249,'WB Data'!$C$3:$M$578,2,FALSE)</f>
        <v>10726631099.557865</v>
      </c>
      <c r="AX1249" s="117">
        <f>VLOOKUP($D1249,'WB Data'!$C$3:$M$578,3,FALSE)</f>
        <v>23361025</v>
      </c>
      <c r="AY1249" s="847">
        <f t="shared" si="215"/>
        <v>4.7591529632698814E-3</v>
      </c>
      <c r="AZ1249" s="117" t="e">
        <f>VLOOKUP($D1249,'WB Data'!$C$3:$M$578,4,FALSE)/100</f>
        <v>#VALUE!</v>
      </c>
      <c r="BA1249" s="117" t="str">
        <f t="shared" si="216"/>
        <v>..</v>
      </c>
      <c r="BB1249" s="129">
        <f>IFERROR(VLOOKUP($D1249,'EITI Revenues'!$C$2:$G$224,5,FALSE),"..")</f>
        <v>51049678.183363676</v>
      </c>
      <c r="BC1249" s="846" t="str">
        <f t="shared" si="217"/>
        <v>..</v>
      </c>
      <c r="BD1249" s="129" t="e">
        <f>VLOOKUP($D1249,'WB Data 2'!$C$2:$K$545,6,FALSE)</f>
        <v>#N/A</v>
      </c>
      <c r="BE1249" s="129">
        <f>IFERROR(VLOOKUP($D1249,UNCTAD!$C$5:$V$529,4,FALSE),"..")</f>
        <v>2758850000</v>
      </c>
      <c r="BF1249" s="846" t="str">
        <f t="shared" si="218"/>
        <v>..</v>
      </c>
      <c r="BG1249" s="117">
        <f>VLOOKUP($D1249,'WB Data'!$C$3:$M$578,5,FALSE)</f>
        <v>2012400000</v>
      </c>
      <c r="BH1249" s="129">
        <f>IFERROR($BB1249/$BG1249,"..")</f>
        <v>2.5367560218328204E-2</v>
      </c>
      <c r="BI1249" s="117" t="str">
        <f>IFERROR(VLOOKUP($D1249,'WB Data'!$C$3:$M$578,7,FALSE)/100,"..")</f>
        <v>..</v>
      </c>
      <c r="BJ1249" s="117" t="str">
        <f>IFERROR($BI1249*$AW1249,"..")</f>
        <v>..</v>
      </c>
      <c r="BK1249" s="846" t="str">
        <f>IFERROR($BB1249/$BJ1249,"..")</f>
        <v>..</v>
      </c>
      <c r="BL1249" s="117" t="str">
        <f>IFERROR(VLOOKUP($D1249,'WB Data'!$C$3:$M$578,7,FALSE)/100,"..")</f>
        <v>..</v>
      </c>
      <c r="BM1249" s="117" t="str">
        <f>IFERROR($AW1249*$BL1249,"..")</f>
        <v>..</v>
      </c>
      <c r="BN1249" s="846" t="str">
        <f>IFERROR($BB1249/$BM1249,"..")</f>
        <v>..</v>
      </c>
      <c r="BO1249" s="801">
        <f t="shared" si="214"/>
        <v>31</v>
      </c>
      <c r="BP1249" s="117">
        <f>VLOOKUP($D1249,'WB Data'!$C$3:$M$578,9,FALSE)</f>
        <v>54.7</v>
      </c>
      <c r="BQ1249" s="117">
        <f>VLOOKUP($D1249,'WB Data'!$C$3:$M$578,10,FALSE)</f>
        <v>48.799439024390246</v>
      </c>
      <c r="BR1249" s="117">
        <f>VLOOKUP($D1249,'WB Data'!$C$3:$M$578,11,FALSE)</f>
        <v>74.3</v>
      </c>
      <c r="BS1249" s="129" t="str">
        <f>IFERROR(VLOOKUP($D1249,'WB Data 2'!$C$2:$K$545,9,FALSE),"..")</f>
        <v>..</v>
      </c>
      <c r="BT1249" s="129" t="str">
        <f>_xlfn.IFNA(VLOOKUP($C1249,RGI!$A$2:$C$43,2,FALSE),"..")</f>
        <v>..</v>
      </c>
      <c r="BU1249" s="129" t="str">
        <f>_xlfn.IFNA(VLOOKUP($C1249,RGI!$A$2:$C$43,3,FALSE),"..")</f>
        <v>..</v>
      </c>
      <c r="BV1249" s="129">
        <f>VLOOKUP($D1249,WGI!$C$2:$O$478,7,FALSE)</f>
        <v>-0.10593740605468201</v>
      </c>
      <c r="BW1249" s="129">
        <f>VLOOKUP($D1249,WGI!$C$2:$O$478,4,FALSE)</f>
        <v>0.58954037409522198</v>
      </c>
      <c r="BX1249" s="129">
        <f>VLOOKUP($D1249,WGI!$C$2:$O$478,3,FALSE)</f>
        <v>-0.54382928909406303</v>
      </c>
      <c r="BY1249" s="129">
        <f>VLOOKUP($D1249,WGI!$C$2:$O$478,5,FALSE)</f>
        <v>-0.38672618976353301</v>
      </c>
      <c r="BZ1249" s="129">
        <f>VLOOKUP($D1249,WGI!$C$2:$O$478,2,FALSE)</f>
        <v>-0.42101975203520903</v>
      </c>
      <c r="CB1249" s="129"/>
    </row>
    <row r="1250" spans="1:80" s="120" customFormat="1" ht="15" customHeight="1">
      <c r="A1250" s="280" t="s">
        <v>388</v>
      </c>
      <c r="B1250" s="117">
        <v>2009</v>
      </c>
      <c r="C1250" s="117" t="s">
        <v>385</v>
      </c>
      <c r="D1250" s="117" t="s">
        <v>3640</v>
      </c>
      <c r="E1250" s="117" t="s">
        <v>86</v>
      </c>
      <c r="F1250" s="117"/>
      <c r="G1250" s="117" t="s">
        <v>24</v>
      </c>
      <c r="H1250" s="117" t="str">
        <f t="shared" si="219"/>
        <v>yes</v>
      </c>
      <c r="I1250" s="117" t="str">
        <f t="shared" si="221"/>
        <v>no</v>
      </c>
      <c r="J1250" s="117" t="str">
        <f t="shared" si="222"/>
        <v>no</v>
      </c>
      <c r="K1250" s="117" t="s">
        <v>600</v>
      </c>
      <c r="L1250" s="117" t="str">
        <f t="shared" si="220"/>
        <v>Total</v>
      </c>
      <c r="M1250" s="117" t="str">
        <f t="shared" si="223"/>
        <v>Total Mining</v>
      </c>
      <c r="N1250" s="118"/>
      <c r="O1250" s="118"/>
      <c r="P1250" s="118"/>
      <c r="Q1250" s="118"/>
      <c r="R1250" s="118"/>
      <c r="S1250" s="117"/>
      <c r="T1250" s="119"/>
      <c r="U1250" s="117"/>
      <c r="V1250" s="117"/>
      <c r="W1250" s="89">
        <f>SUM(W1251:W1267)-SUM(W1253:W1255)-SUM(W1260:W1262)-SUM(W1264:W1266)</f>
        <v>128605640.31677231</v>
      </c>
      <c r="X1250" s="117"/>
      <c r="Y1250" s="117"/>
      <c r="Z1250" s="117"/>
      <c r="AA1250" s="89">
        <v>15156031.872456396</v>
      </c>
      <c r="AB1250" s="89">
        <v>15402830.851017442</v>
      </c>
      <c r="AC1250" s="240"/>
      <c r="AD1250" s="240"/>
      <c r="AE1250" s="240"/>
      <c r="AF1250" s="241">
        <f>AA1250/W1250</f>
        <v>0.11784888932651111</v>
      </c>
      <c r="AG1250" s="117"/>
      <c r="AH1250" s="124"/>
      <c r="AI1250" s="117"/>
      <c r="AJ1250" s="117"/>
      <c r="AK1250" s="89"/>
      <c r="AL1250" s="89"/>
      <c r="AM1250" s="89"/>
      <c r="AN1250" s="117">
        <v>24</v>
      </c>
      <c r="AO1250" s="117" t="s">
        <v>1888</v>
      </c>
      <c r="AP1250" s="117">
        <v>20</v>
      </c>
      <c r="AQ1250" s="117"/>
      <c r="AR1250" s="117"/>
      <c r="AS1250" s="117"/>
      <c r="AT1250" s="117"/>
      <c r="AU1250" s="117" t="s">
        <v>1889</v>
      </c>
      <c r="AV1250" s="128"/>
      <c r="AW1250" s="117">
        <f>VLOOKUP($D1250,'WB Data'!$C$3:$M$578,2,FALSE)</f>
        <v>10726631099.557865</v>
      </c>
      <c r="AX1250" s="117">
        <f>VLOOKUP($D1250,'WB Data'!$C$3:$M$578,3,FALSE)</f>
        <v>23361025</v>
      </c>
      <c r="AY1250" s="847">
        <f t="shared" si="215"/>
        <v>4.7591529632698814E-3</v>
      </c>
      <c r="AZ1250" s="117" t="e">
        <f>VLOOKUP($D1250,'WB Data'!$C$3:$M$578,4,FALSE)/100</f>
        <v>#VALUE!</v>
      </c>
      <c r="BA1250" s="117" t="str">
        <f t="shared" si="216"/>
        <v>..</v>
      </c>
      <c r="BB1250" s="129">
        <f>IFERROR(VLOOKUP($D1250,'EITI Revenues'!$C$2:$G$224,5,FALSE),"..")</f>
        <v>51049678.183363676</v>
      </c>
      <c r="BC1250" s="846" t="str">
        <f t="shared" si="217"/>
        <v>..</v>
      </c>
      <c r="BD1250" s="129" t="e">
        <f>VLOOKUP($D1250,'WB Data 2'!$C$2:$K$545,6,FALSE)</f>
        <v>#N/A</v>
      </c>
      <c r="BE1250" s="129">
        <f>IFERROR(VLOOKUP($D1250,UNCTAD!$C$5:$V$529,4,FALSE),"..")</f>
        <v>2758850000</v>
      </c>
      <c r="BF1250" s="846" t="str">
        <f t="shared" si="218"/>
        <v>..</v>
      </c>
      <c r="BG1250" s="117">
        <f>VLOOKUP($D1250,'WB Data'!$C$3:$M$578,5,FALSE)</f>
        <v>2012400000</v>
      </c>
      <c r="BH1250" s="129">
        <f>IFERROR($BB1250/$BG1250,"..")</f>
        <v>2.5367560218328204E-2</v>
      </c>
      <c r="BI1250" s="117" t="str">
        <f>IFERROR(VLOOKUP($D1250,'WB Data'!$C$3:$M$578,7,FALSE)/100,"..")</f>
        <v>..</v>
      </c>
      <c r="BJ1250" s="117" t="str">
        <f>IFERROR($BI1250*$AW1250,"..")</f>
        <v>..</v>
      </c>
      <c r="BK1250" s="846" t="str">
        <f>IFERROR($BB1250/$BJ1250,"..")</f>
        <v>..</v>
      </c>
      <c r="BL1250" s="117" t="str">
        <f>IFERROR(VLOOKUP($D1250,'WB Data'!$C$3:$M$578,7,FALSE)/100,"..")</f>
        <v>..</v>
      </c>
      <c r="BM1250" s="117" t="str">
        <f>IFERROR($AW1250*$BL1250,"..")</f>
        <v>..</v>
      </c>
      <c r="BN1250" s="846" t="str">
        <f>IFERROR($BB1250/$BM1250,"..")</f>
        <v>..</v>
      </c>
      <c r="BO1250" s="801">
        <f t="shared" si="214"/>
        <v>31</v>
      </c>
      <c r="BP1250" s="117">
        <f>VLOOKUP($D1250,'WB Data'!$C$3:$M$578,9,FALSE)</f>
        <v>54.7</v>
      </c>
      <c r="BQ1250" s="117">
        <f>VLOOKUP($D1250,'WB Data'!$C$3:$M$578,10,FALSE)</f>
        <v>48.799439024390246</v>
      </c>
      <c r="BR1250" s="117">
        <f>VLOOKUP($D1250,'WB Data'!$C$3:$M$578,11,FALSE)</f>
        <v>74.3</v>
      </c>
      <c r="BS1250" s="129" t="str">
        <f>IFERROR(VLOOKUP($D1250,'WB Data 2'!$C$2:$K$545,9,FALSE),"..")</f>
        <v>..</v>
      </c>
      <c r="BT1250" s="129" t="str">
        <f>_xlfn.IFNA(VLOOKUP($C1250,RGI!$A$2:$C$43,2,FALSE),"..")</f>
        <v>..</v>
      </c>
      <c r="BU1250" s="129" t="str">
        <f>_xlfn.IFNA(VLOOKUP($C1250,RGI!$A$2:$C$43,3,FALSE),"..")</f>
        <v>..</v>
      </c>
      <c r="BV1250" s="129">
        <f>VLOOKUP($D1250,WGI!$C$2:$O$478,7,FALSE)</f>
        <v>-0.10593740605468201</v>
      </c>
      <c r="BW1250" s="129">
        <f>VLOOKUP($D1250,WGI!$C$2:$O$478,4,FALSE)</f>
        <v>0.58954037409522198</v>
      </c>
      <c r="BX1250" s="129">
        <f>VLOOKUP($D1250,WGI!$C$2:$O$478,3,FALSE)</f>
        <v>-0.54382928909406303</v>
      </c>
      <c r="BY1250" s="129">
        <f>VLOOKUP($D1250,WGI!$C$2:$O$478,5,FALSE)</f>
        <v>-0.38672618976353301</v>
      </c>
      <c r="BZ1250" s="129">
        <f>VLOOKUP($D1250,WGI!$C$2:$O$478,2,FALSE)</f>
        <v>-0.42101975203520903</v>
      </c>
      <c r="CB1250" s="129"/>
    </row>
    <row r="1251" spans="1:80" s="120" customFormat="1" ht="15" customHeight="1">
      <c r="A1251" s="280" t="s">
        <v>388</v>
      </c>
      <c r="B1251" s="117">
        <v>2009</v>
      </c>
      <c r="C1251" s="117" t="s">
        <v>385</v>
      </c>
      <c r="D1251" s="117" t="s">
        <v>3640</v>
      </c>
      <c r="E1251" s="117" t="s">
        <v>86</v>
      </c>
      <c r="F1251" s="117"/>
      <c r="G1251" s="117" t="s">
        <v>24</v>
      </c>
      <c r="H1251" s="117" t="str">
        <f t="shared" si="219"/>
        <v>yes</v>
      </c>
      <c r="I1251" s="117" t="str">
        <f t="shared" si="221"/>
        <v>no</v>
      </c>
      <c r="J1251" s="117" t="str">
        <f t="shared" si="222"/>
        <v>no</v>
      </c>
      <c r="K1251" s="117" t="s">
        <v>616</v>
      </c>
      <c r="L1251" s="117" t="str">
        <f t="shared" si="220"/>
        <v>detailed</v>
      </c>
      <c r="M1251" s="117" t="str">
        <f t="shared" si="223"/>
        <v>detailed Mining</v>
      </c>
      <c r="N1251" s="118">
        <f>42000*0.90718474</f>
        <v>38101.759080000003</v>
      </c>
      <c r="O1251" s="118"/>
      <c r="P1251" s="118"/>
      <c r="Q1251" s="118"/>
      <c r="R1251" s="118"/>
      <c r="S1251" s="117" t="s">
        <v>610</v>
      </c>
      <c r="T1251" s="119">
        <v>72.516709165814987</v>
      </c>
      <c r="U1251" s="117" t="s">
        <v>611</v>
      </c>
      <c r="V1251" s="117" t="s">
        <v>1871</v>
      </c>
      <c r="W1251" s="89">
        <f>N1251*T1251</f>
        <v>2763014.1819103109</v>
      </c>
      <c r="X1251" s="117"/>
      <c r="Y1251" s="117"/>
      <c r="Z1251" s="117"/>
      <c r="AA1251" s="89"/>
      <c r="AB1251" s="89"/>
      <c r="AC1251" s="240"/>
      <c r="AD1251" s="240"/>
      <c r="AE1251" s="240"/>
      <c r="AF1251" s="241"/>
      <c r="AG1251" s="117"/>
      <c r="AH1251" s="124"/>
      <c r="AI1251" s="117"/>
      <c r="AJ1251" s="117"/>
      <c r="AK1251" s="89"/>
      <c r="AL1251" s="89"/>
      <c r="AM1251" s="89"/>
      <c r="AN1251" s="117"/>
      <c r="AO1251" s="117"/>
      <c r="AP1251" s="117"/>
      <c r="AQ1251" s="117"/>
      <c r="AR1251" s="117"/>
      <c r="AS1251" s="117"/>
      <c r="AT1251" s="117"/>
      <c r="AU1251" s="117"/>
      <c r="AV1251" s="128"/>
      <c r="AW1251" s="117">
        <f>VLOOKUP($D1251,'WB Data'!$C$3:$M$578,2,FALSE)</f>
        <v>10726631099.557865</v>
      </c>
      <c r="AX1251" s="117">
        <f>VLOOKUP($D1251,'WB Data'!$C$3:$M$578,3,FALSE)</f>
        <v>23361025</v>
      </c>
      <c r="AY1251" s="847">
        <f t="shared" si="215"/>
        <v>4.7591529632698814E-3</v>
      </c>
      <c r="AZ1251" s="117" t="e">
        <f>VLOOKUP($D1251,'WB Data'!$C$3:$M$578,4,FALSE)/100</f>
        <v>#VALUE!</v>
      </c>
      <c r="BA1251" s="117" t="str">
        <f t="shared" si="216"/>
        <v>..</v>
      </c>
      <c r="BB1251" s="129">
        <f>IFERROR(VLOOKUP($D1251,'EITI Revenues'!$C$2:$G$224,5,FALSE),"..")</f>
        <v>51049678.183363676</v>
      </c>
      <c r="BC1251" s="846" t="str">
        <f t="shared" si="217"/>
        <v>..</v>
      </c>
      <c r="BD1251" s="129" t="e">
        <f>VLOOKUP($D1251,'WB Data 2'!$C$2:$K$545,6,FALSE)</f>
        <v>#N/A</v>
      </c>
      <c r="BE1251" s="129">
        <f>IFERROR(VLOOKUP($D1251,UNCTAD!$C$5:$V$529,4,FALSE),"..")</f>
        <v>2758850000</v>
      </c>
      <c r="BF1251" s="846" t="str">
        <f t="shared" si="218"/>
        <v>..</v>
      </c>
      <c r="BG1251" s="117">
        <f>VLOOKUP($D1251,'WB Data'!$C$3:$M$578,5,FALSE)</f>
        <v>2012400000</v>
      </c>
      <c r="BH1251" s="129">
        <f>IFERROR($BB1251/$BG1251,"..")</f>
        <v>2.5367560218328204E-2</v>
      </c>
      <c r="BI1251" s="117" t="str">
        <f>IFERROR(VLOOKUP($D1251,'WB Data'!$C$3:$M$578,7,FALSE)/100,"..")</f>
        <v>..</v>
      </c>
      <c r="BJ1251" s="117" t="str">
        <f>IFERROR($BI1251*$AW1251,"..")</f>
        <v>..</v>
      </c>
      <c r="BK1251" s="846" t="str">
        <f>IFERROR($BB1251/$BJ1251,"..")</f>
        <v>..</v>
      </c>
      <c r="BL1251" s="117" t="str">
        <f>IFERROR(VLOOKUP($D1251,'WB Data'!$C$3:$M$578,7,FALSE)/100,"..")</f>
        <v>..</v>
      </c>
      <c r="BM1251" s="117" t="str">
        <f>IFERROR($AW1251*$BL1251,"..")</f>
        <v>..</v>
      </c>
      <c r="BN1251" s="846" t="str">
        <f>IFERROR($BB1251/$BM1251,"..")</f>
        <v>..</v>
      </c>
      <c r="BO1251" s="801">
        <f t="shared" si="214"/>
        <v>31</v>
      </c>
      <c r="BP1251" s="117">
        <f>VLOOKUP($D1251,'WB Data'!$C$3:$M$578,9,FALSE)</f>
        <v>54.7</v>
      </c>
      <c r="BQ1251" s="117">
        <f>VLOOKUP($D1251,'WB Data'!$C$3:$M$578,10,FALSE)</f>
        <v>48.799439024390246</v>
      </c>
      <c r="BR1251" s="117">
        <f>VLOOKUP($D1251,'WB Data'!$C$3:$M$578,11,FALSE)</f>
        <v>74.3</v>
      </c>
      <c r="BS1251" s="129" t="str">
        <f>IFERROR(VLOOKUP($D1251,'WB Data 2'!$C$2:$K$545,9,FALSE),"..")</f>
        <v>..</v>
      </c>
      <c r="BT1251" s="129" t="str">
        <f>_xlfn.IFNA(VLOOKUP($C1251,RGI!$A$2:$C$43,2,FALSE),"..")</f>
        <v>..</v>
      </c>
      <c r="BU1251" s="129" t="str">
        <f>_xlfn.IFNA(VLOOKUP($C1251,RGI!$A$2:$C$43,3,FALSE),"..")</f>
        <v>..</v>
      </c>
      <c r="BV1251" s="129">
        <f>VLOOKUP($D1251,WGI!$C$2:$O$478,7,FALSE)</f>
        <v>-0.10593740605468201</v>
      </c>
      <c r="BW1251" s="129">
        <f>VLOOKUP($D1251,WGI!$C$2:$O$478,4,FALSE)</f>
        <v>0.58954037409522198</v>
      </c>
      <c r="BX1251" s="129">
        <f>VLOOKUP($D1251,WGI!$C$2:$O$478,3,FALSE)</f>
        <v>-0.54382928909406303</v>
      </c>
      <c r="BY1251" s="129">
        <f>VLOOKUP($D1251,WGI!$C$2:$O$478,5,FALSE)</f>
        <v>-0.38672618976353301</v>
      </c>
      <c r="BZ1251" s="129">
        <f>VLOOKUP($D1251,WGI!$C$2:$O$478,2,FALSE)</f>
        <v>-0.42101975203520903</v>
      </c>
      <c r="CB1251" s="129"/>
    </row>
    <row r="1252" spans="1:80" s="120" customFormat="1" ht="15" customHeight="1">
      <c r="A1252" s="280" t="s">
        <v>388</v>
      </c>
      <c r="B1252" s="117">
        <v>2009</v>
      </c>
      <c r="C1252" s="117" t="s">
        <v>385</v>
      </c>
      <c r="D1252" s="117" t="s">
        <v>3640</v>
      </c>
      <c r="E1252" s="117" t="s">
        <v>86</v>
      </c>
      <c r="F1252" s="117"/>
      <c r="G1252" s="117" t="s">
        <v>24</v>
      </c>
      <c r="H1252" s="117" t="str">
        <f t="shared" si="219"/>
        <v>yes</v>
      </c>
      <c r="I1252" s="117" t="str">
        <f t="shared" si="221"/>
        <v>no</v>
      </c>
      <c r="J1252" s="117" t="str">
        <f t="shared" si="222"/>
        <v>no</v>
      </c>
      <c r="K1252" s="117" t="s">
        <v>1065</v>
      </c>
      <c r="L1252" s="117" t="str">
        <f t="shared" si="220"/>
        <v>detailed</v>
      </c>
      <c r="M1252" s="117" t="str">
        <f t="shared" si="223"/>
        <v>detailed Mining</v>
      </c>
      <c r="N1252" s="118"/>
      <c r="O1252" s="118"/>
      <c r="P1252" s="118"/>
      <c r="Q1252" s="118"/>
      <c r="R1252" s="118"/>
      <c r="S1252" s="117"/>
      <c r="T1252" s="119"/>
      <c r="U1252" s="117"/>
      <c r="V1252" s="117"/>
      <c r="W1252" s="89">
        <f>SUM(W1253:W1255)</f>
        <v>11046544.379230674</v>
      </c>
      <c r="X1252" s="117"/>
      <c r="Y1252" s="117"/>
      <c r="Z1252" s="117"/>
      <c r="AA1252" s="89">
        <v>59498.671875000007</v>
      </c>
      <c r="AB1252" s="89">
        <v>57568.917151162794</v>
      </c>
      <c r="AC1252" s="240"/>
      <c r="AD1252" s="240"/>
      <c r="AE1252" s="240"/>
      <c r="AF1252" s="241">
        <f>AA1252/W1252</f>
        <v>5.3861795899600353E-3</v>
      </c>
      <c r="AG1252" s="117"/>
      <c r="AH1252" s="124"/>
      <c r="AI1252" s="117"/>
      <c r="AJ1252" s="117"/>
      <c r="AK1252" s="89"/>
      <c r="AL1252" s="89"/>
      <c r="AM1252" s="89"/>
      <c r="AN1252" s="117"/>
      <c r="AO1252" s="117"/>
      <c r="AP1252" s="117"/>
      <c r="AQ1252" s="117"/>
      <c r="AR1252" s="117"/>
      <c r="AS1252" s="117"/>
      <c r="AT1252" s="117"/>
      <c r="AU1252" s="117">
        <v>8</v>
      </c>
      <c r="AV1252" s="128"/>
      <c r="AW1252" s="117">
        <f>VLOOKUP($D1252,'WB Data'!$C$3:$M$578,2,FALSE)</f>
        <v>10726631099.557865</v>
      </c>
      <c r="AX1252" s="117">
        <f>VLOOKUP($D1252,'WB Data'!$C$3:$M$578,3,FALSE)</f>
        <v>23361025</v>
      </c>
      <c r="AY1252" s="847">
        <f t="shared" si="215"/>
        <v>4.7591529632698814E-3</v>
      </c>
      <c r="AZ1252" s="117" t="e">
        <f>VLOOKUP($D1252,'WB Data'!$C$3:$M$578,4,FALSE)/100</f>
        <v>#VALUE!</v>
      </c>
      <c r="BA1252" s="117" t="str">
        <f t="shared" si="216"/>
        <v>..</v>
      </c>
      <c r="BB1252" s="129">
        <f>IFERROR(VLOOKUP($D1252,'EITI Revenues'!$C$2:$G$224,5,FALSE),"..")</f>
        <v>51049678.183363676</v>
      </c>
      <c r="BC1252" s="846" t="str">
        <f t="shared" si="217"/>
        <v>..</v>
      </c>
      <c r="BD1252" s="129" t="e">
        <f>VLOOKUP($D1252,'WB Data 2'!$C$2:$K$545,6,FALSE)</f>
        <v>#N/A</v>
      </c>
      <c r="BE1252" s="129">
        <f>IFERROR(VLOOKUP($D1252,UNCTAD!$C$5:$V$529,4,FALSE),"..")</f>
        <v>2758850000</v>
      </c>
      <c r="BF1252" s="846" t="str">
        <f t="shared" si="218"/>
        <v>..</v>
      </c>
      <c r="BG1252" s="117">
        <f>VLOOKUP($D1252,'WB Data'!$C$3:$M$578,5,FALSE)</f>
        <v>2012400000</v>
      </c>
      <c r="BH1252" s="129">
        <f>IFERROR($BB1252/$BG1252,"..")</f>
        <v>2.5367560218328204E-2</v>
      </c>
      <c r="BI1252" s="117" t="str">
        <f>IFERROR(VLOOKUP($D1252,'WB Data'!$C$3:$M$578,7,FALSE)/100,"..")</f>
        <v>..</v>
      </c>
      <c r="BJ1252" s="117" t="str">
        <f>IFERROR($BI1252*$AW1252,"..")</f>
        <v>..</v>
      </c>
      <c r="BK1252" s="846" t="str">
        <f>IFERROR($BB1252/$BJ1252,"..")</f>
        <v>..</v>
      </c>
      <c r="BL1252" s="117" t="str">
        <f>IFERROR(VLOOKUP($D1252,'WB Data'!$C$3:$M$578,7,FALSE)/100,"..")</f>
        <v>..</v>
      </c>
      <c r="BM1252" s="117" t="str">
        <f>IFERROR($AW1252*$BL1252,"..")</f>
        <v>..</v>
      </c>
      <c r="BN1252" s="846" t="str">
        <f>IFERROR($BB1252/$BM1252,"..")</f>
        <v>..</v>
      </c>
      <c r="BO1252" s="801">
        <f t="shared" si="214"/>
        <v>31</v>
      </c>
      <c r="BP1252" s="117">
        <f>VLOOKUP($D1252,'WB Data'!$C$3:$M$578,9,FALSE)</f>
        <v>54.7</v>
      </c>
      <c r="BQ1252" s="117">
        <f>VLOOKUP($D1252,'WB Data'!$C$3:$M$578,10,FALSE)</f>
        <v>48.799439024390246</v>
      </c>
      <c r="BR1252" s="117">
        <f>VLOOKUP($D1252,'WB Data'!$C$3:$M$578,11,FALSE)</f>
        <v>74.3</v>
      </c>
      <c r="BS1252" s="129" t="str">
        <f>IFERROR(VLOOKUP($D1252,'WB Data 2'!$C$2:$K$545,9,FALSE),"..")</f>
        <v>..</v>
      </c>
      <c r="BT1252" s="129" t="str">
        <f>_xlfn.IFNA(VLOOKUP($C1252,RGI!$A$2:$C$43,2,FALSE),"..")</f>
        <v>..</v>
      </c>
      <c r="BU1252" s="129" t="str">
        <f>_xlfn.IFNA(VLOOKUP($C1252,RGI!$A$2:$C$43,3,FALSE),"..")</f>
        <v>..</v>
      </c>
      <c r="BV1252" s="129">
        <f>VLOOKUP($D1252,WGI!$C$2:$O$478,7,FALSE)</f>
        <v>-0.10593740605468201</v>
      </c>
      <c r="BW1252" s="129">
        <f>VLOOKUP($D1252,WGI!$C$2:$O$478,4,FALSE)</f>
        <v>0.58954037409522198</v>
      </c>
      <c r="BX1252" s="129">
        <f>VLOOKUP($D1252,WGI!$C$2:$O$478,3,FALSE)</f>
        <v>-0.54382928909406303</v>
      </c>
      <c r="BY1252" s="129">
        <f>VLOOKUP($D1252,WGI!$C$2:$O$478,5,FALSE)</f>
        <v>-0.38672618976353301</v>
      </c>
      <c r="BZ1252" s="129">
        <f>VLOOKUP($D1252,WGI!$C$2:$O$478,2,FALSE)</f>
        <v>-0.42101975203520903</v>
      </c>
      <c r="CB1252" s="129"/>
    </row>
    <row r="1253" spans="1:80" s="120" customFormat="1" ht="15" customHeight="1">
      <c r="A1253" s="280" t="s">
        <v>388</v>
      </c>
      <c r="B1253" s="117">
        <v>2009</v>
      </c>
      <c r="C1253" s="117" t="s">
        <v>385</v>
      </c>
      <c r="D1253" s="117" t="s">
        <v>3640</v>
      </c>
      <c r="E1253" s="117" t="s">
        <v>86</v>
      </c>
      <c r="F1253" s="117"/>
      <c r="G1253" s="117" t="s">
        <v>24</v>
      </c>
      <c r="H1253" s="117" t="str">
        <f t="shared" si="219"/>
        <v>yes</v>
      </c>
      <c r="I1253" s="117" t="str">
        <f t="shared" si="221"/>
        <v>no</v>
      </c>
      <c r="J1253" s="117" t="str">
        <f t="shared" si="222"/>
        <v>no</v>
      </c>
      <c r="K1253" s="117" t="s">
        <v>1066</v>
      </c>
      <c r="L1253" s="117" t="str">
        <f t="shared" si="220"/>
        <v>detailed</v>
      </c>
      <c r="M1253" s="117" t="str">
        <f t="shared" si="223"/>
        <v>detailed Mining</v>
      </c>
      <c r="N1253" s="118">
        <v>404668</v>
      </c>
      <c r="O1253" s="118"/>
      <c r="P1253" s="118"/>
      <c r="Q1253" s="118"/>
      <c r="R1253" s="118"/>
      <c r="S1253" s="117" t="s">
        <v>967</v>
      </c>
      <c r="T1253" s="119"/>
      <c r="U1253" s="117"/>
      <c r="V1253" s="117" t="s">
        <v>684</v>
      </c>
      <c r="W1253" s="89"/>
      <c r="X1253" s="117"/>
      <c r="Y1253" s="117"/>
      <c r="Z1253" s="117"/>
      <c r="AA1253" s="89"/>
      <c r="AB1253" s="89"/>
      <c r="AC1253" s="240"/>
      <c r="AD1253" s="240"/>
      <c r="AE1253" s="240"/>
      <c r="AF1253" s="241"/>
      <c r="AG1253" s="117"/>
      <c r="AH1253" s="124"/>
      <c r="AI1253" s="117"/>
      <c r="AJ1253" s="117"/>
      <c r="AK1253" s="89"/>
      <c r="AL1253" s="117"/>
      <c r="AM1253" s="117"/>
      <c r="AN1253" s="117"/>
      <c r="AO1253" s="117"/>
      <c r="AP1253" s="117"/>
      <c r="AQ1253" s="117"/>
      <c r="AR1253" s="117"/>
      <c r="AS1253" s="117"/>
      <c r="AT1253" s="117"/>
      <c r="AU1253" s="117"/>
      <c r="AV1253" s="128"/>
      <c r="AW1253" s="117">
        <f>VLOOKUP($D1253,'WB Data'!$C$3:$M$578,2,FALSE)</f>
        <v>10726631099.557865</v>
      </c>
      <c r="AX1253" s="117">
        <f>VLOOKUP($D1253,'WB Data'!$C$3:$M$578,3,FALSE)</f>
        <v>23361025</v>
      </c>
      <c r="AY1253" s="847">
        <f t="shared" si="215"/>
        <v>4.7591529632698814E-3</v>
      </c>
      <c r="AZ1253" s="117" t="e">
        <f>VLOOKUP($D1253,'WB Data'!$C$3:$M$578,4,FALSE)/100</f>
        <v>#VALUE!</v>
      </c>
      <c r="BA1253" s="117" t="str">
        <f t="shared" si="216"/>
        <v>..</v>
      </c>
      <c r="BB1253" s="129">
        <f>IFERROR(VLOOKUP($D1253,'EITI Revenues'!$C$2:$G$224,5,FALSE),"..")</f>
        <v>51049678.183363676</v>
      </c>
      <c r="BC1253" s="846" t="str">
        <f t="shared" si="217"/>
        <v>..</v>
      </c>
      <c r="BD1253" s="129" t="e">
        <f>VLOOKUP($D1253,'WB Data 2'!$C$2:$K$545,6,FALSE)</f>
        <v>#N/A</v>
      </c>
      <c r="BE1253" s="129">
        <f>IFERROR(VLOOKUP($D1253,UNCTAD!$C$5:$V$529,4,FALSE),"..")</f>
        <v>2758850000</v>
      </c>
      <c r="BF1253" s="846" t="str">
        <f t="shared" si="218"/>
        <v>..</v>
      </c>
      <c r="BG1253" s="117">
        <f>VLOOKUP($D1253,'WB Data'!$C$3:$M$578,5,FALSE)</f>
        <v>2012400000</v>
      </c>
      <c r="BH1253" s="129">
        <f>IFERROR($BB1253/$BG1253,"..")</f>
        <v>2.5367560218328204E-2</v>
      </c>
      <c r="BI1253" s="117" t="str">
        <f>IFERROR(VLOOKUP($D1253,'WB Data'!$C$3:$M$578,7,FALSE)/100,"..")</f>
        <v>..</v>
      </c>
      <c r="BJ1253" s="117" t="str">
        <f>IFERROR($BI1253*$AW1253,"..")</f>
        <v>..</v>
      </c>
      <c r="BK1253" s="846" t="str">
        <f>IFERROR($BB1253/$BJ1253,"..")</f>
        <v>..</v>
      </c>
      <c r="BL1253" s="117" t="str">
        <f>IFERROR(VLOOKUP($D1253,'WB Data'!$C$3:$M$578,7,FALSE)/100,"..")</f>
        <v>..</v>
      </c>
      <c r="BM1253" s="117" t="str">
        <f>IFERROR($AW1253*$BL1253,"..")</f>
        <v>..</v>
      </c>
      <c r="BN1253" s="846" t="str">
        <f>IFERROR($BB1253/$BM1253,"..")</f>
        <v>..</v>
      </c>
      <c r="BO1253" s="801">
        <f t="shared" si="214"/>
        <v>31</v>
      </c>
      <c r="BP1253" s="117">
        <f>VLOOKUP($D1253,'WB Data'!$C$3:$M$578,9,FALSE)</f>
        <v>54.7</v>
      </c>
      <c r="BQ1253" s="117">
        <f>VLOOKUP($D1253,'WB Data'!$C$3:$M$578,10,FALSE)</f>
        <v>48.799439024390246</v>
      </c>
      <c r="BR1253" s="117">
        <f>VLOOKUP($D1253,'WB Data'!$C$3:$M$578,11,FALSE)</f>
        <v>74.3</v>
      </c>
      <c r="BS1253" s="129" t="str">
        <f>IFERROR(VLOOKUP($D1253,'WB Data 2'!$C$2:$K$545,9,FALSE),"..")</f>
        <v>..</v>
      </c>
      <c r="BT1253" s="129" t="str">
        <f>_xlfn.IFNA(VLOOKUP($C1253,RGI!$A$2:$C$43,2,FALSE),"..")</f>
        <v>..</v>
      </c>
      <c r="BU1253" s="129" t="str">
        <f>_xlfn.IFNA(VLOOKUP($C1253,RGI!$A$2:$C$43,3,FALSE),"..")</f>
        <v>..</v>
      </c>
      <c r="BV1253" s="129">
        <f>VLOOKUP($D1253,WGI!$C$2:$O$478,7,FALSE)</f>
        <v>-0.10593740605468201</v>
      </c>
      <c r="BW1253" s="129">
        <f>VLOOKUP($D1253,WGI!$C$2:$O$478,4,FALSE)</f>
        <v>0.58954037409522198</v>
      </c>
      <c r="BX1253" s="129">
        <f>VLOOKUP($D1253,WGI!$C$2:$O$478,3,FALSE)</f>
        <v>-0.54382928909406303</v>
      </c>
      <c r="BY1253" s="129">
        <f>VLOOKUP($D1253,WGI!$C$2:$O$478,5,FALSE)</f>
        <v>-0.38672618976353301</v>
      </c>
      <c r="BZ1253" s="129">
        <f>VLOOKUP($D1253,WGI!$C$2:$O$478,2,FALSE)</f>
        <v>-0.42101975203520903</v>
      </c>
      <c r="CB1253" s="129"/>
    </row>
    <row r="1254" spans="1:80" s="120" customFormat="1" ht="15" customHeight="1">
      <c r="A1254" s="280" t="s">
        <v>388</v>
      </c>
      <c r="B1254" s="117">
        <v>2009</v>
      </c>
      <c r="C1254" s="117" t="s">
        <v>385</v>
      </c>
      <c r="D1254" s="117" t="s">
        <v>3640</v>
      </c>
      <c r="E1254" s="117" t="s">
        <v>86</v>
      </c>
      <c r="F1254" s="117"/>
      <c r="G1254" s="117" t="s">
        <v>24</v>
      </c>
      <c r="H1254" s="117" t="str">
        <f t="shared" si="219"/>
        <v>yes</v>
      </c>
      <c r="I1254" s="117" t="str">
        <f t="shared" si="221"/>
        <v>no</v>
      </c>
      <c r="J1254" s="117" t="str">
        <f t="shared" si="222"/>
        <v>no</v>
      </c>
      <c r="K1254" s="117" t="s">
        <v>1067</v>
      </c>
      <c r="L1254" s="117" t="str">
        <f t="shared" si="220"/>
        <v>detailed</v>
      </c>
      <c r="M1254" s="117" t="str">
        <f t="shared" si="223"/>
        <v>detailed Mining</v>
      </c>
      <c r="N1254" s="118">
        <v>29</v>
      </c>
      <c r="O1254" s="118"/>
      <c r="P1254" s="118"/>
      <c r="Q1254" s="118"/>
      <c r="R1254" s="118"/>
      <c r="S1254" s="117" t="s">
        <v>610</v>
      </c>
      <c r="T1254" s="119">
        <v>37298</v>
      </c>
      <c r="U1254" s="117" t="s">
        <v>611</v>
      </c>
      <c r="V1254" s="117" t="s">
        <v>1091</v>
      </c>
      <c r="W1254" s="89">
        <f>N1254*T1254</f>
        <v>1081642</v>
      </c>
      <c r="X1254" s="117"/>
      <c r="Y1254" s="117"/>
      <c r="Z1254" s="117"/>
      <c r="AA1254" s="89"/>
      <c r="AB1254" s="89"/>
      <c r="AC1254" s="240"/>
      <c r="AD1254" s="240"/>
      <c r="AE1254" s="240"/>
      <c r="AF1254" s="241"/>
      <c r="AG1254" s="117"/>
      <c r="AH1254" s="124"/>
      <c r="AI1254" s="117"/>
      <c r="AJ1254" s="117"/>
      <c r="AK1254" s="89"/>
      <c r="AL1254" s="117"/>
      <c r="AM1254" s="117"/>
      <c r="AN1254" s="117"/>
      <c r="AO1254" s="117"/>
      <c r="AP1254" s="117"/>
      <c r="AQ1254" s="117"/>
      <c r="AR1254" s="117"/>
      <c r="AS1254" s="117"/>
      <c r="AT1254" s="117"/>
      <c r="AU1254" s="117"/>
      <c r="AV1254" s="128"/>
      <c r="AW1254" s="117">
        <f>VLOOKUP($D1254,'WB Data'!$C$3:$M$578,2,FALSE)</f>
        <v>10726631099.557865</v>
      </c>
      <c r="AX1254" s="117">
        <f>VLOOKUP($D1254,'WB Data'!$C$3:$M$578,3,FALSE)</f>
        <v>23361025</v>
      </c>
      <c r="AY1254" s="847">
        <f t="shared" si="215"/>
        <v>4.7591529632698814E-3</v>
      </c>
      <c r="AZ1254" s="117" t="e">
        <f>VLOOKUP($D1254,'WB Data'!$C$3:$M$578,4,FALSE)/100</f>
        <v>#VALUE!</v>
      </c>
      <c r="BA1254" s="117" t="str">
        <f t="shared" si="216"/>
        <v>..</v>
      </c>
      <c r="BB1254" s="129">
        <f>IFERROR(VLOOKUP($D1254,'EITI Revenues'!$C$2:$G$224,5,FALSE),"..")</f>
        <v>51049678.183363676</v>
      </c>
      <c r="BC1254" s="846" t="str">
        <f t="shared" si="217"/>
        <v>..</v>
      </c>
      <c r="BD1254" s="129" t="e">
        <f>VLOOKUP($D1254,'WB Data 2'!$C$2:$K$545,6,FALSE)</f>
        <v>#N/A</v>
      </c>
      <c r="BE1254" s="129">
        <f>IFERROR(VLOOKUP($D1254,UNCTAD!$C$5:$V$529,4,FALSE),"..")</f>
        <v>2758850000</v>
      </c>
      <c r="BF1254" s="846" t="str">
        <f t="shared" si="218"/>
        <v>..</v>
      </c>
      <c r="BG1254" s="117">
        <f>VLOOKUP($D1254,'WB Data'!$C$3:$M$578,5,FALSE)</f>
        <v>2012400000</v>
      </c>
      <c r="BH1254" s="129">
        <f>IFERROR($BB1254/$BG1254,"..")</f>
        <v>2.5367560218328204E-2</v>
      </c>
      <c r="BI1254" s="117" t="str">
        <f>IFERROR(VLOOKUP($D1254,'WB Data'!$C$3:$M$578,7,FALSE)/100,"..")</f>
        <v>..</v>
      </c>
      <c r="BJ1254" s="117" t="str">
        <f>IFERROR($BI1254*$AW1254,"..")</f>
        <v>..</v>
      </c>
      <c r="BK1254" s="846" t="str">
        <f>IFERROR($BB1254/$BJ1254,"..")</f>
        <v>..</v>
      </c>
      <c r="BL1254" s="117" t="str">
        <f>IFERROR(VLOOKUP($D1254,'WB Data'!$C$3:$M$578,7,FALSE)/100,"..")</f>
        <v>..</v>
      </c>
      <c r="BM1254" s="117" t="str">
        <f>IFERROR($AW1254*$BL1254,"..")</f>
        <v>..</v>
      </c>
      <c r="BN1254" s="846" t="str">
        <f>IFERROR($BB1254/$BM1254,"..")</f>
        <v>..</v>
      </c>
      <c r="BO1254" s="801">
        <f t="shared" si="214"/>
        <v>31</v>
      </c>
      <c r="BP1254" s="117">
        <f>VLOOKUP($D1254,'WB Data'!$C$3:$M$578,9,FALSE)</f>
        <v>54.7</v>
      </c>
      <c r="BQ1254" s="117">
        <f>VLOOKUP($D1254,'WB Data'!$C$3:$M$578,10,FALSE)</f>
        <v>48.799439024390246</v>
      </c>
      <c r="BR1254" s="117">
        <f>VLOOKUP($D1254,'WB Data'!$C$3:$M$578,11,FALSE)</f>
        <v>74.3</v>
      </c>
      <c r="BS1254" s="129" t="str">
        <f>IFERROR(VLOOKUP($D1254,'WB Data 2'!$C$2:$K$545,9,FALSE),"..")</f>
        <v>..</v>
      </c>
      <c r="BT1254" s="129" t="str">
        <f>_xlfn.IFNA(VLOOKUP($C1254,RGI!$A$2:$C$43,2,FALSE),"..")</f>
        <v>..</v>
      </c>
      <c r="BU1254" s="129" t="str">
        <f>_xlfn.IFNA(VLOOKUP($C1254,RGI!$A$2:$C$43,3,FALSE),"..")</f>
        <v>..</v>
      </c>
      <c r="BV1254" s="129">
        <f>VLOOKUP($D1254,WGI!$C$2:$O$478,7,FALSE)</f>
        <v>-0.10593740605468201</v>
      </c>
      <c r="BW1254" s="129">
        <f>VLOOKUP($D1254,WGI!$C$2:$O$478,4,FALSE)</f>
        <v>0.58954037409522198</v>
      </c>
      <c r="BX1254" s="129">
        <f>VLOOKUP($D1254,WGI!$C$2:$O$478,3,FALSE)</f>
        <v>-0.54382928909406303</v>
      </c>
      <c r="BY1254" s="129">
        <f>VLOOKUP($D1254,WGI!$C$2:$O$478,5,FALSE)</f>
        <v>-0.38672618976353301</v>
      </c>
      <c r="BZ1254" s="129">
        <f>VLOOKUP($D1254,WGI!$C$2:$O$478,2,FALSE)</f>
        <v>-0.42101975203520903</v>
      </c>
      <c r="CB1254" s="129"/>
    </row>
    <row r="1255" spans="1:80" s="120" customFormat="1" ht="15" customHeight="1">
      <c r="A1255" s="280" t="s">
        <v>388</v>
      </c>
      <c r="B1255" s="117">
        <v>2009</v>
      </c>
      <c r="C1255" s="117" t="s">
        <v>385</v>
      </c>
      <c r="D1255" s="117" t="s">
        <v>3640</v>
      </c>
      <c r="E1255" s="117" t="s">
        <v>86</v>
      </c>
      <c r="F1255" s="117"/>
      <c r="G1255" s="117" t="s">
        <v>24</v>
      </c>
      <c r="H1255" s="117" t="str">
        <f t="shared" si="219"/>
        <v>yes</v>
      </c>
      <c r="I1255" s="117" t="str">
        <f t="shared" si="221"/>
        <v>no</v>
      </c>
      <c r="J1255" s="117" t="str">
        <f t="shared" si="222"/>
        <v>no</v>
      </c>
      <c r="K1255" s="117" t="s">
        <v>1069</v>
      </c>
      <c r="L1255" s="117" t="str">
        <f t="shared" si="220"/>
        <v>detailed</v>
      </c>
      <c r="M1255" s="117" t="str">
        <f t="shared" si="223"/>
        <v>detailed Mining</v>
      </c>
      <c r="N1255" s="118">
        <v>113000</v>
      </c>
      <c r="O1255" s="118"/>
      <c r="P1255" s="118"/>
      <c r="Q1255" s="118"/>
      <c r="R1255" s="118"/>
      <c r="S1255" s="117" t="s">
        <v>967</v>
      </c>
      <c r="T1255" s="119">
        <f>40/0.453592</f>
        <v>88.184976807351106</v>
      </c>
      <c r="U1255" s="117" t="s">
        <v>1874</v>
      </c>
      <c r="V1255" s="117" t="s">
        <v>1092</v>
      </c>
      <c r="W1255" s="89">
        <f>N1255*T1255</f>
        <v>9964902.3792306744</v>
      </c>
      <c r="X1255" s="117"/>
      <c r="Y1255" s="117"/>
      <c r="Z1255" s="117"/>
      <c r="AA1255" s="89"/>
      <c r="AB1255" s="89"/>
      <c r="AC1255" s="240"/>
      <c r="AD1255" s="240"/>
      <c r="AE1255" s="240"/>
      <c r="AF1255" s="241"/>
      <c r="AG1255" s="117"/>
      <c r="AH1255" s="124"/>
      <c r="AI1255" s="117"/>
      <c r="AJ1255" s="117"/>
      <c r="AK1255" s="89"/>
      <c r="AL1255" s="117"/>
      <c r="AM1255" s="117"/>
      <c r="AN1255" s="117"/>
      <c r="AO1255" s="117"/>
      <c r="AP1255" s="117"/>
      <c r="AQ1255" s="117"/>
      <c r="AR1255" s="117"/>
      <c r="AS1255" s="117"/>
      <c r="AT1255" s="117"/>
      <c r="AU1255" s="117"/>
      <c r="AV1255" s="128"/>
      <c r="AW1255" s="117">
        <f>VLOOKUP($D1255,'WB Data'!$C$3:$M$578,2,FALSE)</f>
        <v>10726631099.557865</v>
      </c>
      <c r="AX1255" s="117">
        <f>VLOOKUP($D1255,'WB Data'!$C$3:$M$578,3,FALSE)</f>
        <v>23361025</v>
      </c>
      <c r="AY1255" s="847">
        <f t="shared" si="215"/>
        <v>4.7591529632698814E-3</v>
      </c>
      <c r="AZ1255" s="117" t="e">
        <f>VLOOKUP($D1255,'WB Data'!$C$3:$M$578,4,FALSE)/100</f>
        <v>#VALUE!</v>
      </c>
      <c r="BA1255" s="117" t="str">
        <f t="shared" si="216"/>
        <v>..</v>
      </c>
      <c r="BB1255" s="129">
        <f>IFERROR(VLOOKUP($D1255,'EITI Revenues'!$C$2:$G$224,5,FALSE),"..")</f>
        <v>51049678.183363676</v>
      </c>
      <c r="BC1255" s="846" t="str">
        <f t="shared" si="217"/>
        <v>..</v>
      </c>
      <c r="BD1255" s="129" t="e">
        <f>VLOOKUP($D1255,'WB Data 2'!$C$2:$K$545,6,FALSE)</f>
        <v>#N/A</v>
      </c>
      <c r="BE1255" s="129">
        <f>IFERROR(VLOOKUP($D1255,UNCTAD!$C$5:$V$529,4,FALSE),"..")</f>
        <v>2758850000</v>
      </c>
      <c r="BF1255" s="846" t="str">
        <f t="shared" si="218"/>
        <v>..</v>
      </c>
      <c r="BG1255" s="117">
        <f>VLOOKUP($D1255,'WB Data'!$C$3:$M$578,5,FALSE)</f>
        <v>2012400000</v>
      </c>
      <c r="BH1255" s="129">
        <f>IFERROR($BB1255/$BG1255,"..")</f>
        <v>2.5367560218328204E-2</v>
      </c>
      <c r="BI1255" s="117" t="str">
        <f>IFERROR(VLOOKUP($D1255,'WB Data'!$C$3:$M$578,7,FALSE)/100,"..")</f>
        <v>..</v>
      </c>
      <c r="BJ1255" s="117" t="str">
        <f>IFERROR($BI1255*$AW1255,"..")</f>
        <v>..</v>
      </c>
      <c r="BK1255" s="846" t="str">
        <f>IFERROR($BB1255/$BJ1255,"..")</f>
        <v>..</v>
      </c>
      <c r="BL1255" s="117" t="str">
        <f>IFERROR(VLOOKUP($D1255,'WB Data'!$C$3:$M$578,7,FALSE)/100,"..")</f>
        <v>..</v>
      </c>
      <c r="BM1255" s="117" t="str">
        <f>IFERROR($AW1255*$BL1255,"..")</f>
        <v>..</v>
      </c>
      <c r="BN1255" s="846" t="str">
        <f>IFERROR($BB1255/$BM1255,"..")</f>
        <v>..</v>
      </c>
      <c r="BO1255" s="801">
        <f t="shared" si="214"/>
        <v>31</v>
      </c>
      <c r="BP1255" s="117">
        <f>VLOOKUP($D1255,'WB Data'!$C$3:$M$578,9,FALSE)</f>
        <v>54.7</v>
      </c>
      <c r="BQ1255" s="117">
        <f>VLOOKUP($D1255,'WB Data'!$C$3:$M$578,10,FALSE)</f>
        <v>48.799439024390246</v>
      </c>
      <c r="BR1255" s="117">
        <f>VLOOKUP($D1255,'WB Data'!$C$3:$M$578,11,FALSE)</f>
        <v>74.3</v>
      </c>
      <c r="BS1255" s="129" t="str">
        <f>IFERROR(VLOOKUP($D1255,'WB Data 2'!$C$2:$K$545,9,FALSE),"..")</f>
        <v>..</v>
      </c>
      <c r="BT1255" s="129" t="str">
        <f>_xlfn.IFNA(VLOOKUP($C1255,RGI!$A$2:$C$43,2,FALSE),"..")</f>
        <v>..</v>
      </c>
      <c r="BU1255" s="129" t="str">
        <f>_xlfn.IFNA(VLOOKUP($C1255,RGI!$A$2:$C$43,3,FALSE),"..")</f>
        <v>..</v>
      </c>
      <c r="BV1255" s="129">
        <f>VLOOKUP($D1255,WGI!$C$2:$O$478,7,FALSE)</f>
        <v>-0.10593740605468201</v>
      </c>
      <c r="BW1255" s="129">
        <f>VLOOKUP($D1255,WGI!$C$2:$O$478,4,FALSE)</f>
        <v>0.58954037409522198</v>
      </c>
      <c r="BX1255" s="129">
        <f>VLOOKUP($D1255,WGI!$C$2:$O$478,3,FALSE)</f>
        <v>-0.54382928909406303</v>
      </c>
      <c r="BY1255" s="129">
        <f>VLOOKUP($D1255,WGI!$C$2:$O$478,5,FALSE)</f>
        <v>-0.38672618976353301</v>
      </c>
      <c r="BZ1255" s="129">
        <f>VLOOKUP($D1255,WGI!$C$2:$O$478,2,FALSE)</f>
        <v>-0.42101975203520903</v>
      </c>
      <c r="CB1255" s="129"/>
    </row>
    <row r="1256" spans="1:80" s="120" customFormat="1" ht="15" customHeight="1">
      <c r="A1256" s="280" t="s">
        <v>388</v>
      </c>
      <c r="B1256" s="117">
        <v>2009</v>
      </c>
      <c r="C1256" s="117" t="s">
        <v>385</v>
      </c>
      <c r="D1256" s="117" t="s">
        <v>3640</v>
      </c>
      <c r="E1256" s="117" t="s">
        <v>86</v>
      </c>
      <c r="F1256" s="117"/>
      <c r="G1256" s="117" t="s">
        <v>24</v>
      </c>
      <c r="H1256" s="117" t="str">
        <f t="shared" si="219"/>
        <v>yes</v>
      </c>
      <c r="I1256" s="117" t="str">
        <f t="shared" si="221"/>
        <v>no</v>
      </c>
      <c r="J1256" s="117" t="str">
        <f t="shared" si="222"/>
        <v>no</v>
      </c>
      <c r="K1256" s="117" t="s">
        <v>784</v>
      </c>
      <c r="L1256" s="117" t="str">
        <f t="shared" si="220"/>
        <v>detailed</v>
      </c>
      <c r="M1256" s="117" t="str">
        <f t="shared" si="223"/>
        <v>detailed Mining</v>
      </c>
      <c r="N1256" s="118">
        <f>511*32.150743126506</f>
        <v>16429.029737644567</v>
      </c>
      <c r="O1256" s="118"/>
      <c r="P1256" s="118"/>
      <c r="Q1256" s="118"/>
      <c r="R1256" s="118"/>
      <c r="S1256" s="117" t="s">
        <v>785</v>
      </c>
      <c r="T1256" s="119">
        <v>972.96591666666995</v>
      </c>
      <c r="U1256" s="117" t="s">
        <v>786</v>
      </c>
      <c r="V1256" s="117" t="s">
        <v>787</v>
      </c>
      <c r="W1256" s="89">
        <f>N1256*T1256</f>
        <v>15984885.978631327</v>
      </c>
      <c r="X1256" s="117"/>
      <c r="Y1256" s="117"/>
      <c r="Z1256" s="117"/>
      <c r="AA1256" s="89"/>
      <c r="AB1256" s="89"/>
      <c r="AC1256" s="240"/>
      <c r="AD1256" s="240"/>
      <c r="AE1256" s="240"/>
      <c r="AF1256" s="241"/>
      <c r="AG1256" s="117"/>
      <c r="AH1256" s="124"/>
      <c r="AI1256" s="117"/>
      <c r="AJ1256" s="117"/>
      <c r="AK1256" s="89"/>
      <c r="AL1256" s="89"/>
      <c r="AM1256" s="89"/>
      <c r="AN1256" s="117"/>
      <c r="AO1256" s="117"/>
      <c r="AP1256" s="117"/>
      <c r="AQ1256" s="117"/>
      <c r="AR1256" s="117"/>
      <c r="AS1256" s="117"/>
      <c r="AT1256" s="117"/>
      <c r="AU1256" s="117"/>
      <c r="AV1256" s="128"/>
      <c r="AW1256" s="117">
        <f>VLOOKUP($D1256,'WB Data'!$C$3:$M$578,2,FALSE)</f>
        <v>10726631099.557865</v>
      </c>
      <c r="AX1256" s="117">
        <f>VLOOKUP($D1256,'WB Data'!$C$3:$M$578,3,FALSE)</f>
        <v>23361025</v>
      </c>
      <c r="AY1256" s="847">
        <f t="shared" si="215"/>
        <v>4.7591529632698814E-3</v>
      </c>
      <c r="AZ1256" s="117" t="e">
        <f>VLOOKUP($D1256,'WB Data'!$C$3:$M$578,4,FALSE)/100</f>
        <v>#VALUE!</v>
      </c>
      <c r="BA1256" s="117" t="str">
        <f t="shared" si="216"/>
        <v>..</v>
      </c>
      <c r="BB1256" s="129">
        <f>IFERROR(VLOOKUP($D1256,'EITI Revenues'!$C$2:$G$224,5,FALSE),"..")</f>
        <v>51049678.183363676</v>
      </c>
      <c r="BC1256" s="846" t="str">
        <f t="shared" si="217"/>
        <v>..</v>
      </c>
      <c r="BD1256" s="129" t="e">
        <f>VLOOKUP($D1256,'WB Data 2'!$C$2:$K$545,6,FALSE)</f>
        <v>#N/A</v>
      </c>
      <c r="BE1256" s="129">
        <f>IFERROR(VLOOKUP($D1256,UNCTAD!$C$5:$V$529,4,FALSE),"..")</f>
        <v>2758850000</v>
      </c>
      <c r="BF1256" s="846" t="str">
        <f t="shared" si="218"/>
        <v>..</v>
      </c>
      <c r="BG1256" s="117">
        <f>VLOOKUP($D1256,'WB Data'!$C$3:$M$578,5,FALSE)</f>
        <v>2012400000</v>
      </c>
      <c r="BH1256" s="129">
        <f>IFERROR($BB1256/$BG1256,"..")</f>
        <v>2.5367560218328204E-2</v>
      </c>
      <c r="BI1256" s="117" t="str">
        <f>IFERROR(VLOOKUP($D1256,'WB Data'!$C$3:$M$578,7,FALSE)/100,"..")</f>
        <v>..</v>
      </c>
      <c r="BJ1256" s="117" t="str">
        <f>IFERROR($BI1256*$AW1256,"..")</f>
        <v>..</v>
      </c>
      <c r="BK1256" s="846" t="str">
        <f>IFERROR($BB1256/$BJ1256,"..")</f>
        <v>..</v>
      </c>
      <c r="BL1256" s="117" t="str">
        <f>IFERROR(VLOOKUP($D1256,'WB Data'!$C$3:$M$578,7,FALSE)/100,"..")</f>
        <v>..</v>
      </c>
      <c r="BM1256" s="117" t="str">
        <f>IFERROR($AW1256*$BL1256,"..")</f>
        <v>..</v>
      </c>
      <c r="BN1256" s="846" t="str">
        <f>IFERROR($BB1256/$BM1256,"..")</f>
        <v>..</v>
      </c>
      <c r="BO1256" s="801">
        <f t="shared" si="214"/>
        <v>31</v>
      </c>
      <c r="BP1256" s="117">
        <f>VLOOKUP($D1256,'WB Data'!$C$3:$M$578,9,FALSE)</f>
        <v>54.7</v>
      </c>
      <c r="BQ1256" s="117">
        <f>VLOOKUP($D1256,'WB Data'!$C$3:$M$578,10,FALSE)</f>
        <v>48.799439024390246</v>
      </c>
      <c r="BR1256" s="117">
        <f>VLOOKUP($D1256,'WB Data'!$C$3:$M$578,11,FALSE)</f>
        <v>74.3</v>
      </c>
      <c r="BS1256" s="129" t="str">
        <f>IFERROR(VLOOKUP($D1256,'WB Data 2'!$C$2:$K$545,9,FALSE),"..")</f>
        <v>..</v>
      </c>
      <c r="BT1256" s="129" t="str">
        <f>_xlfn.IFNA(VLOOKUP($C1256,RGI!$A$2:$C$43,2,FALSE),"..")</f>
        <v>..</v>
      </c>
      <c r="BU1256" s="129" t="str">
        <f>_xlfn.IFNA(VLOOKUP($C1256,RGI!$A$2:$C$43,3,FALSE),"..")</f>
        <v>..</v>
      </c>
      <c r="BV1256" s="129">
        <f>VLOOKUP($D1256,WGI!$C$2:$O$478,7,FALSE)</f>
        <v>-0.10593740605468201</v>
      </c>
      <c r="BW1256" s="129">
        <f>VLOOKUP($D1256,WGI!$C$2:$O$478,4,FALSE)</f>
        <v>0.58954037409522198</v>
      </c>
      <c r="BX1256" s="129">
        <f>VLOOKUP($D1256,WGI!$C$2:$O$478,3,FALSE)</f>
        <v>-0.54382928909406303</v>
      </c>
      <c r="BY1256" s="129">
        <f>VLOOKUP($D1256,WGI!$C$2:$O$478,5,FALSE)</f>
        <v>-0.38672618976353301</v>
      </c>
      <c r="BZ1256" s="129">
        <f>VLOOKUP($D1256,WGI!$C$2:$O$478,2,FALSE)</f>
        <v>-0.42101975203520903</v>
      </c>
      <c r="CB1256" s="129"/>
    </row>
    <row r="1257" spans="1:80" s="120" customFormat="1" ht="15" customHeight="1">
      <c r="A1257" s="280" t="s">
        <v>388</v>
      </c>
      <c r="B1257" s="117">
        <v>2009</v>
      </c>
      <c r="C1257" s="117" t="s">
        <v>385</v>
      </c>
      <c r="D1257" s="117" t="s">
        <v>3640</v>
      </c>
      <c r="E1257" s="117" t="s">
        <v>86</v>
      </c>
      <c r="F1257" s="117"/>
      <c r="G1257" s="117" t="s">
        <v>24</v>
      </c>
      <c r="H1257" s="117" t="str">
        <f t="shared" si="219"/>
        <v>yes</v>
      </c>
      <c r="I1257" s="117" t="str">
        <f t="shared" si="221"/>
        <v>no</v>
      </c>
      <c r="J1257" s="117" t="str">
        <f t="shared" si="222"/>
        <v>no</v>
      </c>
      <c r="K1257" s="117" t="s">
        <v>703</v>
      </c>
      <c r="L1257" s="117" t="str">
        <f t="shared" si="220"/>
        <v>detailed</v>
      </c>
      <c r="M1257" s="117" t="str">
        <f t="shared" si="223"/>
        <v>detailed Mining</v>
      </c>
      <c r="N1257" s="118">
        <v>234135</v>
      </c>
      <c r="O1257" s="118"/>
      <c r="P1257" s="118"/>
      <c r="Q1257" s="118"/>
      <c r="R1257" s="118"/>
      <c r="S1257" s="117" t="s">
        <v>610</v>
      </c>
      <c r="T1257" s="119">
        <v>8.8699999999999992</v>
      </c>
      <c r="U1257" s="117" t="s">
        <v>611</v>
      </c>
      <c r="V1257" s="117" t="s">
        <v>1890</v>
      </c>
      <c r="W1257" s="89">
        <f>N1257*T1257</f>
        <v>2076777.4499999997</v>
      </c>
      <c r="X1257" s="117"/>
      <c r="Y1257" s="117"/>
      <c r="Z1257" s="117"/>
      <c r="AA1257" s="89">
        <v>3497368.7441860465</v>
      </c>
      <c r="AB1257" s="89">
        <v>3425003.9825581396</v>
      </c>
      <c r="AC1257" s="240"/>
      <c r="AD1257" s="240"/>
      <c r="AE1257" s="240"/>
      <c r="AF1257" s="241">
        <f>AA1257/W1257</f>
        <v>1.6840363632540631</v>
      </c>
      <c r="AG1257" s="117"/>
      <c r="AH1257" s="124"/>
      <c r="AI1257" s="117"/>
      <c r="AJ1257" s="117"/>
      <c r="AK1257" s="89"/>
      <c r="AL1257" s="89"/>
      <c r="AM1257" s="89"/>
      <c r="AN1257" s="117"/>
      <c r="AO1257" s="117"/>
      <c r="AP1257" s="117"/>
      <c r="AQ1257" s="117"/>
      <c r="AR1257" s="117"/>
      <c r="AS1257" s="117"/>
      <c r="AT1257" s="117"/>
      <c r="AU1257" s="117" t="s">
        <v>1891</v>
      </c>
      <c r="AV1257" s="128"/>
      <c r="AW1257" s="117">
        <f>VLOOKUP($D1257,'WB Data'!$C$3:$M$578,2,FALSE)</f>
        <v>10726631099.557865</v>
      </c>
      <c r="AX1257" s="117">
        <f>VLOOKUP($D1257,'WB Data'!$C$3:$M$578,3,FALSE)</f>
        <v>23361025</v>
      </c>
      <c r="AY1257" s="847">
        <f t="shared" si="215"/>
        <v>4.7591529632698814E-3</v>
      </c>
      <c r="AZ1257" s="117" t="e">
        <f>VLOOKUP($D1257,'WB Data'!$C$3:$M$578,4,FALSE)/100</f>
        <v>#VALUE!</v>
      </c>
      <c r="BA1257" s="117" t="str">
        <f t="shared" si="216"/>
        <v>..</v>
      </c>
      <c r="BB1257" s="129">
        <f>IFERROR(VLOOKUP($D1257,'EITI Revenues'!$C$2:$G$224,5,FALSE),"..")</f>
        <v>51049678.183363676</v>
      </c>
      <c r="BC1257" s="846" t="str">
        <f t="shared" si="217"/>
        <v>..</v>
      </c>
      <c r="BD1257" s="129" t="e">
        <f>VLOOKUP($D1257,'WB Data 2'!$C$2:$K$545,6,FALSE)</f>
        <v>#N/A</v>
      </c>
      <c r="BE1257" s="129">
        <f>IFERROR(VLOOKUP($D1257,UNCTAD!$C$5:$V$529,4,FALSE),"..")</f>
        <v>2758850000</v>
      </c>
      <c r="BF1257" s="846" t="str">
        <f t="shared" si="218"/>
        <v>..</v>
      </c>
      <c r="BG1257" s="117">
        <f>VLOOKUP($D1257,'WB Data'!$C$3:$M$578,5,FALSE)</f>
        <v>2012400000</v>
      </c>
      <c r="BH1257" s="129">
        <f>IFERROR($BB1257/$BG1257,"..")</f>
        <v>2.5367560218328204E-2</v>
      </c>
      <c r="BI1257" s="117" t="str">
        <f>IFERROR(VLOOKUP($D1257,'WB Data'!$C$3:$M$578,7,FALSE)/100,"..")</f>
        <v>..</v>
      </c>
      <c r="BJ1257" s="117" t="str">
        <f>IFERROR($BI1257*$AW1257,"..")</f>
        <v>..</v>
      </c>
      <c r="BK1257" s="846" t="str">
        <f>IFERROR($BB1257/$BJ1257,"..")</f>
        <v>..</v>
      </c>
      <c r="BL1257" s="117" t="str">
        <f>IFERROR(VLOOKUP($D1257,'WB Data'!$C$3:$M$578,7,FALSE)/100,"..")</f>
        <v>..</v>
      </c>
      <c r="BM1257" s="117" t="str">
        <f>IFERROR($AW1257*$BL1257,"..")</f>
        <v>..</v>
      </c>
      <c r="BN1257" s="846" t="str">
        <f>IFERROR($BB1257/$BM1257,"..")</f>
        <v>..</v>
      </c>
      <c r="BO1257" s="801">
        <f t="shared" si="214"/>
        <v>31</v>
      </c>
      <c r="BP1257" s="117">
        <f>VLOOKUP($D1257,'WB Data'!$C$3:$M$578,9,FALSE)</f>
        <v>54.7</v>
      </c>
      <c r="BQ1257" s="117">
        <f>VLOOKUP($D1257,'WB Data'!$C$3:$M$578,10,FALSE)</f>
        <v>48.799439024390246</v>
      </c>
      <c r="BR1257" s="117">
        <f>VLOOKUP($D1257,'WB Data'!$C$3:$M$578,11,FALSE)</f>
        <v>74.3</v>
      </c>
      <c r="BS1257" s="129" t="str">
        <f>IFERROR(VLOOKUP($D1257,'WB Data 2'!$C$2:$K$545,9,FALSE),"..")</f>
        <v>..</v>
      </c>
      <c r="BT1257" s="129" t="str">
        <f>_xlfn.IFNA(VLOOKUP($C1257,RGI!$A$2:$C$43,2,FALSE),"..")</f>
        <v>..</v>
      </c>
      <c r="BU1257" s="129" t="str">
        <f>_xlfn.IFNA(VLOOKUP($C1257,RGI!$A$2:$C$43,3,FALSE),"..")</f>
        <v>..</v>
      </c>
      <c r="BV1257" s="129">
        <f>VLOOKUP($D1257,WGI!$C$2:$O$478,7,FALSE)</f>
        <v>-0.10593740605468201</v>
      </c>
      <c r="BW1257" s="129">
        <f>VLOOKUP($D1257,WGI!$C$2:$O$478,4,FALSE)</f>
        <v>0.58954037409522198</v>
      </c>
      <c r="BX1257" s="129">
        <f>VLOOKUP($D1257,WGI!$C$2:$O$478,3,FALSE)</f>
        <v>-0.54382928909406303</v>
      </c>
      <c r="BY1257" s="129">
        <f>VLOOKUP($D1257,WGI!$C$2:$O$478,5,FALSE)</f>
        <v>-0.38672618976353301</v>
      </c>
      <c r="BZ1257" s="129">
        <f>VLOOKUP($D1257,WGI!$C$2:$O$478,2,FALSE)</f>
        <v>-0.42101975203520903</v>
      </c>
      <c r="CB1257" s="129"/>
    </row>
    <row r="1258" spans="1:80" s="120" customFormat="1" ht="15" customHeight="1">
      <c r="A1258" s="280" t="s">
        <v>388</v>
      </c>
      <c r="B1258" s="117">
        <v>2009</v>
      </c>
      <c r="C1258" s="117" t="s">
        <v>385</v>
      </c>
      <c r="D1258" s="117" t="s">
        <v>3640</v>
      </c>
      <c r="E1258" s="117" t="s">
        <v>86</v>
      </c>
      <c r="F1258" s="117"/>
      <c r="G1258" s="117" t="s">
        <v>24</v>
      </c>
      <c r="H1258" s="117" t="str">
        <f t="shared" si="219"/>
        <v>yes</v>
      </c>
      <c r="I1258" s="117" t="str">
        <f t="shared" si="221"/>
        <v>no</v>
      </c>
      <c r="J1258" s="117" t="str">
        <f t="shared" si="222"/>
        <v>no</v>
      </c>
      <c r="K1258" s="117" t="s">
        <v>970</v>
      </c>
      <c r="L1258" s="117" t="str">
        <f t="shared" si="220"/>
        <v>detailed</v>
      </c>
      <c r="M1258" s="117" t="str">
        <f t="shared" si="223"/>
        <v>detailed Mining</v>
      </c>
      <c r="N1258" s="118">
        <v>1260492</v>
      </c>
      <c r="O1258" s="118"/>
      <c r="P1258" s="118"/>
      <c r="Q1258" s="118"/>
      <c r="R1258" s="118"/>
      <c r="S1258" s="117" t="s">
        <v>610</v>
      </c>
      <c r="T1258" s="119">
        <v>7.57</v>
      </c>
      <c r="U1258" s="117" t="s">
        <v>611</v>
      </c>
      <c r="V1258" s="117" t="s">
        <v>1530</v>
      </c>
      <c r="W1258" s="89">
        <f>N1258*T1258</f>
        <v>9541924.4399999995</v>
      </c>
      <c r="X1258" s="117"/>
      <c r="Y1258" s="117"/>
      <c r="Z1258" s="117"/>
      <c r="AA1258" s="89"/>
      <c r="AB1258" s="89"/>
      <c r="AC1258" s="240"/>
      <c r="AD1258" s="240"/>
      <c r="AE1258" s="240"/>
      <c r="AF1258" s="241"/>
      <c r="AG1258" s="117"/>
      <c r="AH1258" s="124"/>
      <c r="AI1258" s="117"/>
      <c r="AJ1258" s="117"/>
      <c r="AK1258" s="89"/>
      <c r="AL1258" s="89"/>
      <c r="AM1258" s="89"/>
      <c r="AN1258" s="117"/>
      <c r="AO1258" s="117"/>
      <c r="AP1258" s="117"/>
      <c r="AQ1258" s="117"/>
      <c r="AR1258" s="117"/>
      <c r="AS1258" s="117"/>
      <c r="AT1258" s="117"/>
      <c r="AU1258" s="117"/>
      <c r="AV1258" s="128"/>
      <c r="AW1258" s="117">
        <f>VLOOKUP($D1258,'WB Data'!$C$3:$M$578,2,FALSE)</f>
        <v>10726631099.557865</v>
      </c>
      <c r="AX1258" s="117">
        <f>VLOOKUP($D1258,'WB Data'!$C$3:$M$578,3,FALSE)</f>
        <v>23361025</v>
      </c>
      <c r="AY1258" s="847">
        <f t="shared" si="215"/>
        <v>4.7591529632698814E-3</v>
      </c>
      <c r="AZ1258" s="117" t="e">
        <f>VLOOKUP($D1258,'WB Data'!$C$3:$M$578,4,FALSE)/100</f>
        <v>#VALUE!</v>
      </c>
      <c r="BA1258" s="117" t="str">
        <f t="shared" si="216"/>
        <v>..</v>
      </c>
      <c r="BB1258" s="129">
        <f>IFERROR(VLOOKUP($D1258,'EITI Revenues'!$C$2:$G$224,5,FALSE),"..")</f>
        <v>51049678.183363676</v>
      </c>
      <c r="BC1258" s="846" t="str">
        <f t="shared" si="217"/>
        <v>..</v>
      </c>
      <c r="BD1258" s="129" t="e">
        <f>VLOOKUP($D1258,'WB Data 2'!$C$2:$K$545,6,FALSE)</f>
        <v>#N/A</v>
      </c>
      <c r="BE1258" s="129">
        <f>IFERROR(VLOOKUP($D1258,UNCTAD!$C$5:$V$529,4,FALSE),"..")</f>
        <v>2758850000</v>
      </c>
      <c r="BF1258" s="846" t="str">
        <f t="shared" si="218"/>
        <v>..</v>
      </c>
      <c r="BG1258" s="117">
        <f>VLOOKUP($D1258,'WB Data'!$C$3:$M$578,5,FALSE)</f>
        <v>2012400000</v>
      </c>
      <c r="BH1258" s="129">
        <f>IFERROR($BB1258/$BG1258,"..")</f>
        <v>2.5367560218328204E-2</v>
      </c>
      <c r="BI1258" s="117" t="str">
        <f>IFERROR(VLOOKUP($D1258,'WB Data'!$C$3:$M$578,7,FALSE)/100,"..")</f>
        <v>..</v>
      </c>
      <c r="BJ1258" s="117" t="str">
        <f>IFERROR($BI1258*$AW1258,"..")</f>
        <v>..</v>
      </c>
      <c r="BK1258" s="846" t="str">
        <f>IFERROR($BB1258/$BJ1258,"..")</f>
        <v>..</v>
      </c>
      <c r="BL1258" s="117" t="str">
        <f>IFERROR(VLOOKUP($D1258,'WB Data'!$C$3:$M$578,7,FALSE)/100,"..")</f>
        <v>..</v>
      </c>
      <c r="BM1258" s="117" t="str">
        <f>IFERROR($AW1258*$BL1258,"..")</f>
        <v>..</v>
      </c>
      <c r="BN1258" s="846" t="str">
        <f>IFERROR($BB1258/$BM1258,"..")</f>
        <v>..</v>
      </c>
      <c r="BO1258" s="801">
        <f t="shared" si="214"/>
        <v>31</v>
      </c>
      <c r="BP1258" s="117">
        <f>VLOOKUP($D1258,'WB Data'!$C$3:$M$578,9,FALSE)</f>
        <v>54.7</v>
      </c>
      <c r="BQ1258" s="117">
        <f>VLOOKUP($D1258,'WB Data'!$C$3:$M$578,10,FALSE)</f>
        <v>48.799439024390246</v>
      </c>
      <c r="BR1258" s="117">
        <f>VLOOKUP($D1258,'WB Data'!$C$3:$M$578,11,FALSE)</f>
        <v>74.3</v>
      </c>
      <c r="BS1258" s="129" t="str">
        <f>IFERROR(VLOOKUP($D1258,'WB Data 2'!$C$2:$K$545,9,FALSE),"..")</f>
        <v>..</v>
      </c>
      <c r="BT1258" s="129" t="str">
        <f>_xlfn.IFNA(VLOOKUP($C1258,RGI!$A$2:$C$43,2,FALSE),"..")</f>
        <v>..</v>
      </c>
      <c r="BU1258" s="129" t="str">
        <f>_xlfn.IFNA(VLOOKUP($C1258,RGI!$A$2:$C$43,3,FALSE),"..")</f>
        <v>..</v>
      </c>
      <c r="BV1258" s="129">
        <f>VLOOKUP($D1258,WGI!$C$2:$O$478,7,FALSE)</f>
        <v>-0.10593740605468201</v>
      </c>
      <c r="BW1258" s="129">
        <f>VLOOKUP($D1258,WGI!$C$2:$O$478,4,FALSE)</f>
        <v>0.58954037409522198</v>
      </c>
      <c r="BX1258" s="129">
        <f>VLOOKUP($D1258,WGI!$C$2:$O$478,3,FALSE)</f>
        <v>-0.54382928909406303</v>
      </c>
      <c r="BY1258" s="129">
        <f>VLOOKUP($D1258,WGI!$C$2:$O$478,5,FALSE)</f>
        <v>-0.38672618976353301</v>
      </c>
      <c r="BZ1258" s="129">
        <f>VLOOKUP($D1258,WGI!$C$2:$O$478,2,FALSE)</f>
        <v>-0.42101975203520903</v>
      </c>
      <c r="CB1258" s="129"/>
    </row>
    <row r="1259" spans="1:80" s="120" customFormat="1" ht="15" customHeight="1">
      <c r="A1259" s="280" t="s">
        <v>388</v>
      </c>
      <c r="B1259" s="117">
        <v>2009</v>
      </c>
      <c r="C1259" s="117" t="s">
        <v>385</v>
      </c>
      <c r="D1259" s="117" t="s">
        <v>3640</v>
      </c>
      <c r="E1259" s="117" t="s">
        <v>86</v>
      </c>
      <c r="F1259" s="117"/>
      <c r="G1259" s="117" t="s">
        <v>24</v>
      </c>
      <c r="H1259" s="117" t="str">
        <f t="shared" si="219"/>
        <v>yes</v>
      </c>
      <c r="I1259" s="117" t="str">
        <f t="shared" si="221"/>
        <v>no</v>
      </c>
      <c r="J1259" s="117" t="str">
        <f t="shared" si="222"/>
        <v>no</v>
      </c>
      <c r="K1259" s="117" t="s">
        <v>1892</v>
      </c>
      <c r="L1259" s="117" t="str">
        <f t="shared" si="220"/>
        <v>detailed</v>
      </c>
      <c r="M1259" s="117" t="str">
        <f t="shared" si="223"/>
        <v>detailed Mining</v>
      </c>
      <c r="N1259" s="118"/>
      <c r="O1259" s="118"/>
      <c r="P1259" s="118"/>
      <c r="Q1259" s="118"/>
      <c r="R1259" s="118"/>
      <c r="S1259" s="117"/>
      <c r="T1259" s="119"/>
      <c r="U1259" s="117"/>
      <c r="V1259" s="117"/>
      <c r="W1259" s="89">
        <f>SUM(W1260:W1262)</f>
        <v>33878593.886999995</v>
      </c>
      <c r="X1259" s="117"/>
      <c r="Y1259" s="117"/>
      <c r="Z1259" s="117"/>
      <c r="AA1259" s="89">
        <v>3541557.8942587208</v>
      </c>
      <c r="AB1259" s="89">
        <v>3472546.9385901163</v>
      </c>
      <c r="AC1259" s="240"/>
      <c r="AD1259" s="240"/>
      <c r="AE1259" s="240"/>
      <c r="AF1259" s="241">
        <f>AA1259/W1259</f>
        <v>0.10453674394136231</v>
      </c>
      <c r="AG1259" s="117"/>
      <c r="AH1259" s="124"/>
      <c r="AI1259" s="117"/>
      <c r="AJ1259" s="117"/>
      <c r="AK1259" s="89"/>
      <c r="AL1259" s="89"/>
      <c r="AM1259" s="89"/>
      <c r="AN1259" s="117"/>
      <c r="AO1259" s="117"/>
      <c r="AP1259" s="117"/>
      <c r="AQ1259" s="117"/>
      <c r="AR1259" s="117"/>
      <c r="AS1259" s="117"/>
      <c r="AT1259" s="117"/>
      <c r="AU1259" s="117">
        <v>8</v>
      </c>
      <c r="AV1259" s="128"/>
      <c r="AW1259" s="117">
        <f>VLOOKUP($D1259,'WB Data'!$C$3:$M$578,2,FALSE)</f>
        <v>10726631099.557865</v>
      </c>
      <c r="AX1259" s="117">
        <f>VLOOKUP($D1259,'WB Data'!$C$3:$M$578,3,FALSE)</f>
        <v>23361025</v>
      </c>
      <c r="AY1259" s="847">
        <f t="shared" si="215"/>
        <v>4.7591529632698814E-3</v>
      </c>
      <c r="AZ1259" s="117" t="e">
        <f>VLOOKUP($D1259,'WB Data'!$C$3:$M$578,4,FALSE)/100</f>
        <v>#VALUE!</v>
      </c>
      <c r="BA1259" s="117" t="str">
        <f t="shared" si="216"/>
        <v>..</v>
      </c>
      <c r="BB1259" s="129">
        <f>IFERROR(VLOOKUP($D1259,'EITI Revenues'!$C$2:$G$224,5,FALSE),"..")</f>
        <v>51049678.183363676</v>
      </c>
      <c r="BC1259" s="846" t="str">
        <f t="shared" si="217"/>
        <v>..</v>
      </c>
      <c r="BD1259" s="129" t="e">
        <f>VLOOKUP($D1259,'WB Data 2'!$C$2:$K$545,6,FALSE)</f>
        <v>#N/A</v>
      </c>
      <c r="BE1259" s="129">
        <f>IFERROR(VLOOKUP($D1259,UNCTAD!$C$5:$V$529,4,FALSE),"..")</f>
        <v>2758850000</v>
      </c>
      <c r="BF1259" s="846" t="str">
        <f t="shared" si="218"/>
        <v>..</v>
      </c>
      <c r="BG1259" s="117">
        <f>VLOOKUP($D1259,'WB Data'!$C$3:$M$578,5,FALSE)</f>
        <v>2012400000</v>
      </c>
      <c r="BH1259" s="129">
        <f>IFERROR($BB1259/$BG1259,"..")</f>
        <v>2.5367560218328204E-2</v>
      </c>
      <c r="BI1259" s="117" t="str">
        <f>IFERROR(VLOOKUP($D1259,'WB Data'!$C$3:$M$578,7,FALSE)/100,"..")</f>
        <v>..</v>
      </c>
      <c r="BJ1259" s="117" t="str">
        <f>IFERROR($BI1259*$AW1259,"..")</f>
        <v>..</v>
      </c>
      <c r="BK1259" s="846" t="str">
        <f>IFERROR($BB1259/$BJ1259,"..")</f>
        <v>..</v>
      </c>
      <c r="BL1259" s="117" t="str">
        <f>IFERROR(VLOOKUP($D1259,'WB Data'!$C$3:$M$578,7,FALSE)/100,"..")</f>
        <v>..</v>
      </c>
      <c r="BM1259" s="117" t="str">
        <f>IFERROR($AW1259*$BL1259,"..")</f>
        <v>..</v>
      </c>
      <c r="BN1259" s="846" t="str">
        <f>IFERROR($BB1259/$BM1259,"..")</f>
        <v>..</v>
      </c>
      <c r="BO1259" s="801">
        <f t="shared" si="214"/>
        <v>31</v>
      </c>
      <c r="BP1259" s="117">
        <f>VLOOKUP($D1259,'WB Data'!$C$3:$M$578,9,FALSE)</f>
        <v>54.7</v>
      </c>
      <c r="BQ1259" s="117">
        <f>VLOOKUP($D1259,'WB Data'!$C$3:$M$578,10,FALSE)</f>
        <v>48.799439024390246</v>
      </c>
      <c r="BR1259" s="117">
        <f>VLOOKUP($D1259,'WB Data'!$C$3:$M$578,11,FALSE)</f>
        <v>74.3</v>
      </c>
      <c r="BS1259" s="129" t="str">
        <f>IFERROR(VLOOKUP($D1259,'WB Data 2'!$C$2:$K$545,9,FALSE),"..")</f>
        <v>..</v>
      </c>
      <c r="BT1259" s="129" t="str">
        <f>_xlfn.IFNA(VLOOKUP($C1259,RGI!$A$2:$C$43,2,FALSE),"..")</f>
        <v>..</v>
      </c>
      <c r="BU1259" s="129" t="str">
        <f>_xlfn.IFNA(VLOOKUP($C1259,RGI!$A$2:$C$43,3,FALSE),"..")</f>
        <v>..</v>
      </c>
      <c r="BV1259" s="129">
        <f>VLOOKUP($D1259,WGI!$C$2:$O$478,7,FALSE)</f>
        <v>-0.10593740605468201</v>
      </c>
      <c r="BW1259" s="129">
        <f>VLOOKUP($D1259,WGI!$C$2:$O$478,4,FALSE)</f>
        <v>0.58954037409522198</v>
      </c>
      <c r="BX1259" s="129">
        <f>VLOOKUP($D1259,WGI!$C$2:$O$478,3,FALSE)</f>
        <v>-0.54382928909406303</v>
      </c>
      <c r="BY1259" s="129">
        <f>VLOOKUP($D1259,WGI!$C$2:$O$478,5,FALSE)</f>
        <v>-0.38672618976353301</v>
      </c>
      <c r="BZ1259" s="129">
        <f>VLOOKUP($D1259,WGI!$C$2:$O$478,2,FALSE)</f>
        <v>-0.42101975203520903</v>
      </c>
      <c r="CB1259" s="129"/>
    </row>
    <row r="1260" spans="1:80" s="120" customFormat="1" ht="15" customHeight="1">
      <c r="A1260" s="280" t="s">
        <v>388</v>
      </c>
      <c r="B1260" s="117">
        <v>2009</v>
      </c>
      <c r="C1260" s="117" t="s">
        <v>385</v>
      </c>
      <c r="D1260" s="117" t="s">
        <v>3640</v>
      </c>
      <c r="E1260" s="117" t="s">
        <v>86</v>
      </c>
      <c r="F1260" s="117"/>
      <c r="G1260" s="117" t="s">
        <v>24</v>
      </c>
      <c r="H1260" s="117" t="str">
        <f t="shared" si="219"/>
        <v>yes</v>
      </c>
      <c r="I1260" s="117" t="str">
        <f t="shared" si="221"/>
        <v>no</v>
      </c>
      <c r="J1260" s="117" t="str">
        <f t="shared" si="222"/>
        <v>no</v>
      </c>
      <c r="K1260" s="117" t="s">
        <v>1893</v>
      </c>
      <c r="L1260" s="117" t="str">
        <f t="shared" si="220"/>
        <v>detailed</v>
      </c>
      <c r="M1260" s="117" t="str">
        <f t="shared" si="223"/>
        <v>detailed Mining</v>
      </c>
      <c r="N1260" s="118">
        <f>350*1.65</f>
        <v>577.5</v>
      </c>
      <c r="O1260" s="118"/>
      <c r="P1260" s="118"/>
      <c r="Q1260" s="118"/>
      <c r="R1260" s="118"/>
      <c r="S1260" s="117" t="s">
        <v>610</v>
      </c>
      <c r="T1260" s="119">
        <v>12.2</v>
      </c>
      <c r="U1260" s="117" t="s">
        <v>611</v>
      </c>
      <c r="V1260" s="117" t="s">
        <v>1894</v>
      </c>
      <c r="W1260" s="89">
        <f>N1260*T1260</f>
        <v>7045.5</v>
      </c>
      <c r="X1260" s="117"/>
      <c r="Y1260" s="117"/>
      <c r="Z1260" s="117"/>
      <c r="AA1260" s="89"/>
      <c r="AB1260" s="89"/>
      <c r="AC1260" s="240"/>
      <c r="AD1260" s="240"/>
      <c r="AE1260" s="240"/>
      <c r="AF1260" s="241"/>
      <c r="AG1260" s="117"/>
      <c r="AH1260" s="124"/>
      <c r="AI1260" s="117"/>
      <c r="AJ1260" s="117"/>
      <c r="AK1260" s="89"/>
      <c r="AL1260" s="117"/>
      <c r="AM1260" s="117"/>
      <c r="AN1260" s="117"/>
      <c r="AO1260" s="117"/>
      <c r="AP1260" s="117"/>
      <c r="AQ1260" s="117"/>
      <c r="AR1260" s="117"/>
      <c r="AS1260" s="117"/>
      <c r="AT1260" s="117"/>
      <c r="AU1260" s="117"/>
      <c r="AV1260" s="128"/>
      <c r="AW1260" s="117">
        <f>VLOOKUP($D1260,'WB Data'!$C$3:$M$578,2,FALSE)</f>
        <v>10726631099.557865</v>
      </c>
      <c r="AX1260" s="117">
        <f>VLOOKUP($D1260,'WB Data'!$C$3:$M$578,3,FALSE)</f>
        <v>23361025</v>
      </c>
      <c r="AY1260" s="847">
        <f t="shared" si="215"/>
        <v>4.7591529632698814E-3</v>
      </c>
      <c r="AZ1260" s="117" t="e">
        <f>VLOOKUP($D1260,'WB Data'!$C$3:$M$578,4,FALSE)/100</f>
        <v>#VALUE!</v>
      </c>
      <c r="BA1260" s="117" t="str">
        <f t="shared" si="216"/>
        <v>..</v>
      </c>
      <c r="BB1260" s="129">
        <f>IFERROR(VLOOKUP($D1260,'EITI Revenues'!$C$2:$G$224,5,FALSE),"..")</f>
        <v>51049678.183363676</v>
      </c>
      <c r="BC1260" s="846" t="str">
        <f t="shared" si="217"/>
        <v>..</v>
      </c>
      <c r="BD1260" s="129" t="e">
        <f>VLOOKUP($D1260,'WB Data 2'!$C$2:$K$545,6,FALSE)</f>
        <v>#N/A</v>
      </c>
      <c r="BE1260" s="129">
        <f>IFERROR(VLOOKUP($D1260,UNCTAD!$C$5:$V$529,4,FALSE),"..")</f>
        <v>2758850000</v>
      </c>
      <c r="BF1260" s="846" t="str">
        <f t="shared" si="218"/>
        <v>..</v>
      </c>
      <c r="BG1260" s="117">
        <f>VLOOKUP($D1260,'WB Data'!$C$3:$M$578,5,FALSE)</f>
        <v>2012400000</v>
      </c>
      <c r="BH1260" s="129">
        <f>IFERROR($BB1260/$BG1260,"..")</f>
        <v>2.5367560218328204E-2</v>
      </c>
      <c r="BI1260" s="117" t="str">
        <f>IFERROR(VLOOKUP($D1260,'WB Data'!$C$3:$M$578,7,FALSE)/100,"..")</f>
        <v>..</v>
      </c>
      <c r="BJ1260" s="117" t="str">
        <f>IFERROR($BI1260*$AW1260,"..")</f>
        <v>..</v>
      </c>
      <c r="BK1260" s="846" t="str">
        <f>IFERROR($BB1260/$BJ1260,"..")</f>
        <v>..</v>
      </c>
      <c r="BL1260" s="117" t="str">
        <f>IFERROR(VLOOKUP($D1260,'WB Data'!$C$3:$M$578,7,FALSE)/100,"..")</f>
        <v>..</v>
      </c>
      <c r="BM1260" s="117" t="str">
        <f>IFERROR($AW1260*$BL1260,"..")</f>
        <v>..</v>
      </c>
      <c r="BN1260" s="846" t="str">
        <f>IFERROR($BB1260/$BM1260,"..")</f>
        <v>..</v>
      </c>
      <c r="BO1260" s="801">
        <f t="shared" si="214"/>
        <v>31</v>
      </c>
      <c r="BP1260" s="117">
        <f>VLOOKUP($D1260,'WB Data'!$C$3:$M$578,9,FALSE)</f>
        <v>54.7</v>
      </c>
      <c r="BQ1260" s="117">
        <f>VLOOKUP($D1260,'WB Data'!$C$3:$M$578,10,FALSE)</f>
        <v>48.799439024390246</v>
      </c>
      <c r="BR1260" s="117">
        <f>VLOOKUP($D1260,'WB Data'!$C$3:$M$578,11,FALSE)</f>
        <v>74.3</v>
      </c>
      <c r="BS1260" s="129" t="str">
        <f>IFERROR(VLOOKUP($D1260,'WB Data 2'!$C$2:$K$545,9,FALSE),"..")</f>
        <v>..</v>
      </c>
      <c r="BT1260" s="129" t="str">
        <f>_xlfn.IFNA(VLOOKUP($C1260,RGI!$A$2:$C$43,2,FALSE),"..")</f>
        <v>..</v>
      </c>
      <c r="BU1260" s="129" t="str">
        <f>_xlfn.IFNA(VLOOKUP($C1260,RGI!$A$2:$C$43,3,FALSE),"..")</f>
        <v>..</v>
      </c>
      <c r="BV1260" s="129">
        <f>VLOOKUP($D1260,WGI!$C$2:$O$478,7,FALSE)</f>
        <v>-0.10593740605468201</v>
      </c>
      <c r="BW1260" s="129">
        <f>VLOOKUP($D1260,WGI!$C$2:$O$478,4,FALSE)</f>
        <v>0.58954037409522198</v>
      </c>
      <c r="BX1260" s="129">
        <f>VLOOKUP($D1260,WGI!$C$2:$O$478,3,FALSE)</f>
        <v>-0.54382928909406303</v>
      </c>
      <c r="BY1260" s="129">
        <f>VLOOKUP($D1260,WGI!$C$2:$O$478,5,FALSE)</f>
        <v>-0.38672618976353301</v>
      </c>
      <c r="BZ1260" s="129">
        <f>VLOOKUP($D1260,WGI!$C$2:$O$478,2,FALSE)</f>
        <v>-0.42101975203520903</v>
      </c>
      <c r="CB1260" s="129"/>
    </row>
    <row r="1261" spans="1:80" s="120" customFormat="1" ht="15" customHeight="1">
      <c r="A1261" s="280" t="s">
        <v>388</v>
      </c>
      <c r="B1261" s="117">
        <v>2009</v>
      </c>
      <c r="C1261" s="117" t="s">
        <v>385</v>
      </c>
      <c r="D1261" s="117" t="s">
        <v>3640</v>
      </c>
      <c r="E1261" s="117" t="s">
        <v>86</v>
      </c>
      <c r="F1261" s="117"/>
      <c r="G1261" s="117" t="s">
        <v>24</v>
      </c>
      <c r="H1261" s="117" t="str">
        <f t="shared" si="219"/>
        <v>yes</v>
      </c>
      <c r="I1261" s="117" t="str">
        <f t="shared" si="221"/>
        <v>no</v>
      </c>
      <c r="J1261" s="117" t="str">
        <f t="shared" si="222"/>
        <v>no</v>
      </c>
      <c r="K1261" s="117" t="s">
        <v>1895</v>
      </c>
      <c r="L1261" s="117" t="str">
        <f t="shared" si="220"/>
        <v>detailed</v>
      </c>
      <c r="M1261" s="117" t="str">
        <f t="shared" si="223"/>
        <v>detailed Mining</v>
      </c>
      <c r="N1261" s="118">
        <f>2942830*1.52</f>
        <v>4473101.5999999996</v>
      </c>
      <c r="O1261" s="118"/>
      <c r="P1261" s="118"/>
      <c r="Q1261" s="118"/>
      <c r="R1261" s="118"/>
      <c r="S1261" s="117" t="s">
        <v>610</v>
      </c>
      <c r="T1261" s="119">
        <v>7.57</v>
      </c>
      <c r="U1261" s="117" t="s">
        <v>611</v>
      </c>
      <c r="V1261" s="117" t="s">
        <v>1530</v>
      </c>
      <c r="W1261" s="89">
        <f>N1261*T1261</f>
        <v>33861379.111999996</v>
      </c>
      <c r="X1261" s="117"/>
      <c r="Y1261" s="117"/>
      <c r="Z1261" s="117"/>
      <c r="AA1261" s="89"/>
      <c r="AB1261" s="89"/>
      <c r="AC1261" s="240"/>
      <c r="AD1261" s="240"/>
      <c r="AE1261" s="240"/>
      <c r="AF1261" s="241"/>
      <c r="AG1261" s="117"/>
      <c r="AH1261" s="124"/>
      <c r="AI1261" s="117"/>
      <c r="AJ1261" s="117"/>
      <c r="AK1261" s="89"/>
      <c r="AL1261" s="117"/>
      <c r="AM1261" s="117"/>
      <c r="AN1261" s="117"/>
      <c r="AO1261" s="117"/>
      <c r="AP1261" s="117"/>
      <c r="AQ1261" s="117"/>
      <c r="AR1261" s="117"/>
      <c r="AS1261" s="117"/>
      <c r="AT1261" s="117"/>
      <c r="AU1261" s="117"/>
      <c r="AV1261" s="128"/>
      <c r="AW1261" s="117">
        <f>VLOOKUP($D1261,'WB Data'!$C$3:$M$578,2,FALSE)</f>
        <v>10726631099.557865</v>
      </c>
      <c r="AX1261" s="117">
        <f>VLOOKUP($D1261,'WB Data'!$C$3:$M$578,3,FALSE)</f>
        <v>23361025</v>
      </c>
      <c r="AY1261" s="847">
        <f t="shared" si="215"/>
        <v>4.7591529632698814E-3</v>
      </c>
      <c r="AZ1261" s="117" t="e">
        <f>VLOOKUP($D1261,'WB Data'!$C$3:$M$578,4,FALSE)/100</f>
        <v>#VALUE!</v>
      </c>
      <c r="BA1261" s="117" t="str">
        <f t="shared" si="216"/>
        <v>..</v>
      </c>
      <c r="BB1261" s="129">
        <f>IFERROR(VLOOKUP($D1261,'EITI Revenues'!$C$2:$G$224,5,FALSE),"..")</f>
        <v>51049678.183363676</v>
      </c>
      <c r="BC1261" s="846" t="str">
        <f t="shared" si="217"/>
        <v>..</v>
      </c>
      <c r="BD1261" s="129" t="e">
        <f>VLOOKUP($D1261,'WB Data 2'!$C$2:$K$545,6,FALSE)</f>
        <v>#N/A</v>
      </c>
      <c r="BE1261" s="129">
        <f>IFERROR(VLOOKUP($D1261,UNCTAD!$C$5:$V$529,4,FALSE),"..")</f>
        <v>2758850000</v>
      </c>
      <c r="BF1261" s="846" t="str">
        <f t="shared" si="218"/>
        <v>..</v>
      </c>
      <c r="BG1261" s="117">
        <f>VLOOKUP($D1261,'WB Data'!$C$3:$M$578,5,FALSE)</f>
        <v>2012400000</v>
      </c>
      <c r="BH1261" s="129">
        <f>IFERROR($BB1261/$BG1261,"..")</f>
        <v>2.5367560218328204E-2</v>
      </c>
      <c r="BI1261" s="117" t="str">
        <f>IFERROR(VLOOKUP($D1261,'WB Data'!$C$3:$M$578,7,FALSE)/100,"..")</f>
        <v>..</v>
      </c>
      <c r="BJ1261" s="117" t="str">
        <f>IFERROR($BI1261*$AW1261,"..")</f>
        <v>..</v>
      </c>
      <c r="BK1261" s="846" t="str">
        <f>IFERROR($BB1261/$BJ1261,"..")</f>
        <v>..</v>
      </c>
      <c r="BL1261" s="117" t="str">
        <f>IFERROR(VLOOKUP($D1261,'WB Data'!$C$3:$M$578,7,FALSE)/100,"..")</f>
        <v>..</v>
      </c>
      <c r="BM1261" s="117" t="str">
        <f>IFERROR($AW1261*$BL1261,"..")</f>
        <v>..</v>
      </c>
      <c r="BN1261" s="846" t="str">
        <f>IFERROR($BB1261/$BM1261,"..")</f>
        <v>..</v>
      </c>
      <c r="BO1261" s="801">
        <f t="shared" si="214"/>
        <v>31</v>
      </c>
      <c r="BP1261" s="117">
        <f>VLOOKUP($D1261,'WB Data'!$C$3:$M$578,9,FALSE)</f>
        <v>54.7</v>
      </c>
      <c r="BQ1261" s="117">
        <f>VLOOKUP($D1261,'WB Data'!$C$3:$M$578,10,FALSE)</f>
        <v>48.799439024390246</v>
      </c>
      <c r="BR1261" s="117">
        <f>VLOOKUP($D1261,'WB Data'!$C$3:$M$578,11,FALSE)</f>
        <v>74.3</v>
      </c>
      <c r="BS1261" s="129" t="str">
        <f>IFERROR(VLOOKUP($D1261,'WB Data 2'!$C$2:$K$545,9,FALSE),"..")</f>
        <v>..</v>
      </c>
      <c r="BT1261" s="129" t="str">
        <f>_xlfn.IFNA(VLOOKUP($C1261,RGI!$A$2:$C$43,2,FALSE),"..")</f>
        <v>..</v>
      </c>
      <c r="BU1261" s="129" t="str">
        <f>_xlfn.IFNA(VLOOKUP($C1261,RGI!$A$2:$C$43,3,FALSE),"..")</f>
        <v>..</v>
      </c>
      <c r="BV1261" s="129">
        <f>VLOOKUP($D1261,WGI!$C$2:$O$478,7,FALSE)</f>
        <v>-0.10593740605468201</v>
      </c>
      <c r="BW1261" s="129">
        <f>VLOOKUP($D1261,WGI!$C$2:$O$478,4,FALSE)</f>
        <v>0.58954037409522198</v>
      </c>
      <c r="BX1261" s="129">
        <f>VLOOKUP($D1261,WGI!$C$2:$O$478,3,FALSE)</f>
        <v>-0.54382928909406303</v>
      </c>
      <c r="BY1261" s="129">
        <f>VLOOKUP($D1261,WGI!$C$2:$O$478,5,FALSE)</f>
        <v>-0.38672618976353301</v>
      </c>
      <c r="BZ1261" s="129">
        <f>VLOOKUP($D1261,WGI!$C$2:$O$478,2,FALSE)</f>
        <v>-0.42101975203520903</v>
      </c>
      <c r="CB1261" s="129"/>
    </row>
    <row r="1262" spans="1:80" s="120" customFormat="1" ht="15" customHeight="1">
      <c r="A1262" s="280" t="s">
        <v>388</v>
      </c>
      <c r="B1262" s="117">
        <v>2009</v>
      </c>
      <c r="C1262" s="117" t="s">
        <v>385</v>
      </c>
      <c r="D1262" s="117" t="s">
        <v>3640</v>
      </c>
      <c r="E1262" s="117" t="s">
        <v>86</v>
      </c>
      <c r="F1262" s="117"/>
      <c r="G1262" s="117" t="s">
        <v>24</v>
      </c>
      <c r="H1262" s="117" t="str">
        <f t="shared" si="219"/>
        <v>yes</v>
      </c>
      <c r="I1262" s="117" t="str">
        <f t="shared" si="221"/>
        <v>no</v>
      </c>
      <c r="J1262" s="117" t="str">
        <f t="shared" si="222"/>
        <v>no</v>
      </c>
      <c r="K1262" s="117" t="s">
        <v>1896</v>
      </c>
      <c r="L1262" s="117" t="str">
        <f t="shared" si="220"/>
        <v>detailed</v>
      </c>
      <c r="M1262" s="117" t="str">
        <f t="shared" si="223"/>
        <v>detailed Mining</v>
      </c>
      <c r="N1262" s="118">
        <f>250*2.71</f>
        <v>677.5</v>
      </c>
      <c r="O1262" s="118"/>
      <c r="P1262" s="118"/>
      <c r="Q1262" s="118"/>
      <c r="R1262" s="118"/>
      <c r="S1262" s="117" t="s">
        <v>610</v>
      </c>
      <c r="T1262" s="119">
        <v>15.01</v>
      </c>
      <c r="U1262" s="117" t="s">
        <v>611</v>
      </c>
      <c r="V1262" s="117" t="s">
        <v>1897</v>
      </c>
      <c r="W1262" s="89">
        <f>N1262*T1262</f>
        <v>10169.275</v>
      </c>
      <c r="X1262" s="117"/>
      <c r="Y1262" s="117"/>
      <c r="Z1262" s="117"/>
      <c r="AA1262" s="89"/>
      <c r="AB1262" s="89"/>
      <c r="AC1262" s="240"/>
      <c r="AD1262" s="240"/>
      <c r="AE1262" s="240"/>
      <c r="AF1262" s="241"/>
      <c r="AG1262" s="117"/>
      <c r="AH1262" s="124"/>
      <c r="AI1262" s="117"/>
      <c r="AJ1262" s="117"/>
      <c r="AK1262" s="89"/>
      <c r="AL1262" s="117"/>
      <c r="AM1262" s="117"/>
      <c r="AN1262" s="117"/>
      <c r="AO1262" s="117"/>
      <c r="AP1262" s="117"/>
      <c r="AQ1262" s="117"/>
      <c r="AR1262" s="117"/>
      <c r="AS1262" s="117"/>
      <c r="AT1262" s="117"/>
      <c r="AU1262" s="117"/>
      <c r="AV1262" s="128"/>
      <c r="AW1262" s="117">
        <f>VLOOKUP($D1262,'WB Data'!$C$3:$M$578,2,FALSE)</f>
        <v>10726631099.557865</v>
      </c>
      <c r="AX1262" s="117">
        <f>VLOOKUP($D1262,'WB Data'!$C$3:$M$578,3,FALSE)</f>
        <v>23361025</v>
      </c>
      <c r="AY1262" s="847">
        <f t="shared" si="215"/>
        <v>4.7591529632698814E-3</v>
      </c>
      <c r="AZ1262" s="117" t="e">
        <f>VLOOKUP($D1262,'WB Data'!$C$3:$M$578,4,FALSE)/100</f>
        <v>#VALUE!</v>
      </c>
      <c r="BA1262" s="117" t="str">
        <f t="shared" si="216"/>
        <v>..</v>
      </c>
      <c r="BB1262" s="129">
        <f>IFERROR(VLOOKUP($D1262,'EITI Revenues'!$C$2:$G$224,5,FALSE),"..")</f>
        <v>51049678.183363676</v>
      </c>
      <c r="BC1262" s="846" t="str">
        <f t="shared" si="217"/>
        <v>..</v>
      </c>
      <c r="BD1262" s="129" t="e">
        <f>VLOOKUP($D1262,'WB Data 2'!$C$2:$K$545,6,FALSE)</f>
        <v>#N/A</v>
      </c>
      <c r="BE1262" s="129">
        <f>IFERROR(VLOOKUP($D1262,UNCTAD!$C$5:$V$529,4,FALSE),"..")</f>
        <v>2758850000</v>
      </c>
      <c r="BF1262" s="846" t="str">
        <f t="shared" si="218"/>
        <v>..</v>
      </c>
      <c r="BG1262" s="117">
        <f>VLOOKUP($D1262,'WB Data'!$C$3:$M$578,5,FALSE)</f>
        <v>2012400000</v>
      </c>
      <c r="BH1262" s="129">
        <f>IFERROR($BB1262/$BG1262,"..")</f>
        <v>2.5367560218328204E-2</v>
      </c>
      <c r="BI1262" s="117" t="str">
        <f>IFERROR(VLOOKUP($D1262,'WB Data'!$C$3:$M$578,7,FALSE)/100,"..")</f>
        <v>..</v>
      </c>
      <c r="BJ1262" s="117" t="str">
        <f>IFERROR($BI1262*$AW1262,"..")</f>
        <v>..</v>
      </c>
      <c r="BK1262" s="846" t="str">
        <f>IFERROR($BB1262/$BJ1262,"..")</f>
        <v>..</v>
      </c>
      <c r="BL1262" s="117" t="str">
        <f>IFERROR(VLOOKUP($D1262,'WB Data'!$C$3:$M$578,7,FALSE)/100,"..")</f>
        <v>..</v>
      </c>
      <c r="BM1262" s="117" t="str">
        <f>IFERROR($AW1262*$BL1262,"..")</f>
        <v>..</v>
      </c>
      <c r="BN1262" s="846" t="str">
        <f>IFERROR($BB1262/$BM1262,"..")</f>
        <v>..</v>
      </c>
      <c r="BO1262" s="801">
        <f t="shared" si="214"/>
        <v>31</v>
      </c>
      <c r="BP1262" s="117">
        <f>VLOOKUP($D1262,'WB Data'!$C$3:$M$578,9,FALSE)</f>
        <v>54.7</v>
      </c>
      <c r="BQ1262" s="117">
        <f>VLOOKUP($D1262,'WB Data'!$C$3:$M$578,10,FALSE)</f>
        <v>48.799439024390246</v>
      </c>
      <c r="BR1262" s="117">
        <f>VLOOKUP($D1262,'WB Data'!$C$3:$M$578,11,FALSE)</f>
        <v>74.3</v>
      </c>
      <c r="BS1262" s="129" t="str">
        <f>IFERROR(VLOOKUP($D1262,'WB Data 2'!$C$2:$K$545,9,FALSE),"..")</f>
        <v>..</v>
      </c>
      <c r="BT1262" s="129" t="str">
        <f>_xlfn.IFNA(VLOOKUP($C1262,RGI!$A$2:$C$43,2,FALSE),"..")</f>
        <v>..</v>
      </c>
      <c r="BU1262" s="129" t="str">
        <f>_xlfn.IFNA(VLOOKUP($C1262,RGI!$A$2:$C$43,3,FALSE),"..")</f>
        <v>..</v>
      </c>
      <c r="BV1262" s="129">
        <f>VLOOKUP($D1262,WGI!$C$2:$O$478,7,FALSE)</f>
        <v>-0.10593740605468201</v>
      </c>
      <c r="BW1262" s="129">
        <f>VLOOKUP($D1262,WGI!$C$2:$O$478,4,FALSE)</f>
        <v>0.58954037409522198</v>
      </c>
      <c r="BX1262" s="129">
        <f>VLOOKUP($D1262,WGI!$C$2:$O$478,3,FALSE)</f>
        <v>-0.54382928909406303</v>
      </c>
      <c r="BY1262" s="129">
        <f>VLOOKUP($D1262,WGI!$C$2:$O$478,5,FALSE)</f>
        <v>-0.38672618976353301</v>
      </c>
      <c r="BZ1262" s="129">
        <f>VLOOKUP($D1262,WGI!$C$2:$O$478,2,FALSE)</f>
        <v>-0.42101975203520903</v>
      </c>
      <c r="CB1262" s="129"/>
    </row>
    <row r="1263" spans="1:80" s="120" customFormat="1" ht="15" customHeight="1">
      <c r="A1263" s="280" t="s">
        <v>388</v>
      </c>
      <c r="B1263" s="117">
        <v>2009</v>
      </c>
      <c r="C1263" s="117" t="s">
        <v>385</v>
      </c>
      <c r="D1263" s="117" t="s">
        <v>3640</v>
      </c>
      <c r="E1263" s="117" t="s">
        <v>86</v>
      </c>
      <c r="F1263" s="117"/>
      <c r="G1263" s="117" t="s">
        <v>24</v>
      </c>
      <c r="H1263" s="117" t="str">
        <f t="shared" si="219"/>
        <v>yes</v>
      </c>
      <c r="I1263" s="117" t="str">
        <f t="shared" si="221"/>
        <v>no</v>
      </c>
      <c r="J1263" s="117" t="str">
        <f t="shared" si="222"/>
        <v>no</v>
      </c>
      <c r="K1263" s="117" t="s">
        <v>1875</v>
      </c>
      <c r="L1263" s="117" t="str">
        <f t="shared" si="220"/>
        <v>detailed</v>
      </c>
      <c r="M1263" s="117" t="str">
        <f t="shared" si="223"/>
        <v>detailed Mining</v>
      </c>
      <c r="N1263" s="118"/>
      <c r="O1263" s="118"/>
      <c r="P1263" s="118"/>
      <c r="Q1263" s="118"/>
      <c r="R1263" s="118"/>
      <c r="S1263" s="117"/>
      <c r="T1263" s="119"/>
      <c r="U1263" s="117"/>
      <c r="V1263" s="117"/>
      <c r="W1263" s="89">
        <f>SUM(W1264:W1266)</f>
        <v>53313900</v>
      </c>
      <c r="X1263" s="117"/>
      <c r="Y1263" s="117"/>
      <c r="Z1263" s="117"/>
      <c r="AA1263" s="89">
        <v>3319897.2100290698</v>
      </c>
      <c r="AB1263" s="89">
        <v>3640703.5367005812</v>
      </c>
      <c r="AC1263" s="240"/>
      <c r="AD1263" s="240"/>
      <c r="AE1263" s="240"/>
      <c r="AF1263" s="241">
        <f>AA1263/W1263</f>
        <v>6.22707625971664E-2</v>
      </c>
      <c r="AG1263" s="117"/>
      <c r="AH1263" s="124"/>
      <c r="AI1263" s="117"/>
      <c r="AJ1263" s="117"/>
      <c r="AK1263" s="89"/>
      <c r="AL1263" s="89"/>
      <c r="AM1263" s="89"/>
      <c r="AN1263" s="117"/>
      <c r="AO1263" s="117"/>
      <c r="AP1263" s="117"/>
      <c r="AQ1263" s="117"/>
      <c r="AR1263" s="117"/>
      <c r="AS1263" s="117"/>
      <c r="AT1263" s="117"/>
      <c r="AU1263" s="117" t="s">
        <v>1891</v>
      </c>
      <c r="AV1263" s="128"/>
      <c r="AW1263" s="117">
        <f>VLOOKUP($D1263,'WB Data'!$C$3:$M$578,2,FALSE)</f>
        <v>10726631099.557865</v>
      </c>
      <c r="AX1263" s="117">
        <f>VLOOKUP($D1263,'WB Data'!$C$3:$M$578,3,FALSE)</f>
        <v>23361025</v>
      </c>
      <c r="AY1263" s="847">
        <f t="shared" si="215"/>
        <v>4.7591529632698814E-3</v>
      </c>
      <c r="AZ1263" s="117" t="e">
        <f>VLOOKUP($D1263,'WB Data'!$C$3:$M$578,4,FALSE)/100</f>
        <v>#VALUE!</v>
      </c>
      <c r="BA1263" s="117" t="str">
        <f t="shared" si="216"/>
        <v>..</v>
      </c>
      <c r="BB1263" s="129">
        <f>IFERROR(VLOOKUP($D1263,'EITI Revenues'!$C$2:$G$224,5,FALSE),"..")</f>
        <v>51049678.183363676</v>
      </c>
      <c r="BC1263" s="846" t="str">
        <f t="shared" si="217"/>
        <v>..</v>
      </c>
      <c r="BD1263" s="129" t="e">
        <f>VLOOKUP($D1263,'WB Data 2'!$C$2:$K$545,6,FALSE)</f>
        <v>#N/A</v>
      </c>
      <c r="BE1263" s="129">
        <f>IFERROR(VLOOKUP($D1263,UNCTAD!$C$5:$V$529,4,FALSE),"..")</f>
        <v>2758850000</v>
      </c>
      <c r="BF1263" s="846" t="str">
        <f t="shared" si="218"/>
        <v>..</v>
      </c>
      <c r="BG1263" s="117">
        <f>VLOOKUP($D1263,'WB Data'!$C$3:$M$578,5,FALSE)</f>
        <v>2012400000</v>
      </c>
      <c r="BH1263" s="129">
        <f>IFERROR($BB1263/$BG1263,"..")</f>
        <v>2.5367560218328204E-2</v>
      </c>
      <c r="BI1263" s="117" t="str">
        <f>IFERROR(VLOOKUP($D1263,'WB Data'!$C$3:$M$578,7,FALSE)/100,"..")</f>
        <v>..</v>
      </c>
      <c r="BJ1263" s="117" t="str">
        <f>IFERROR($BI1263*$AW1263,"..")</f>
        <v>..</v>
      </c>
      <c r="BK1263" s="846" t="str">
        <f>IFERROR($BB1263/$BJ1263,"..")</f>
        <v>..</v>
      </c>
      <c r="BL1263" s="117" t="str">
        <f>IFERROR(VLOOKUP($D1263,'WB Data'!$C$3:$M$578,7,FALSE)/100,"..")</f>
        <v>..</v>
      </c>
      <c r="BM1263" s="117" t="str">
        <f>IFERROR($AW1263*$BL1263,"..")</f>
        <v>..</v>
      </c>
      <c r="BN1263" s="846" t="str">
        <f>IFERROR($BB1263/$BM1263,"..")</f>
        <v>..</v>
      </c>
      <c r="BO1263" s="801">
        <f t="shared" si="214"/>
        <v>31</v>
      </c>
      <c r="BP1263" s="117">
        <f>VLOOKUP($D1263,'WB Data'!$C$3:$M$578,9,FALSE)</f>
        <v>54.7</v>
      </c>
      <c r="BQ1263" s="117">
        <f>VLOOKUP($D1263,'WB Data'!$C$3:$M$578,10,FALSE)</f>
        <v>48.799439024390246</v>
      </c>
      <c r="BR1263" s="117">
        <f>VLOOKUP($D1263,'WB Data'!$C$3:$M$578,11,FALSE)</f>
        <v>74.3</v>
      </c>
      <c r="BS1263" s="129" t="str">
        <f>IFERROR(VLOOKUP($D1263,'WB Data 2'!$C$2:$K$545,9,FALSE),"..")</f>
        <v>..</v>
      </c>
      <c r="BT1263" s="129" t="str">
        <f>_xlfn.IFNA(VLOOKUP($C1263,RGI!$A$2:$C$43,2,FALSE),"..")</f>
        <v>..</v>
      </c>
      <c r="BU1263" s="129" t="str">
        <f>_xlfn.IFNA(VLOOKUP($C1263,RGI!$A$2:$C$43,3,FALSE),"..")</f>
        <v>..</v>
      </c>
      <c r="BV1263" s="129">
        <f>VLOOKUP($D1263,WGI!$C$2:$O$478,7,FALSE)</f>
        <v>-0.10593740605468201</v>
      </c>
      <c r="BW1263" s="129">
        <f>VLOOKUP($D1263,WGI!$C$2:$O$478,4,FALSE)</f>
        <v>0.58954037409522198</v>
      </c>
      <c r="BX1263" s="129">
        <f>VLOOKUP($D1263,WGI!$C$2:$O$478,3,FALSE)</f>
        <v>-0.54382928909406303</v>
      </c>
      <c r="BY1263" s="129">
        <f>VLOOKUP($D1263,WGI!$C$2:$O$478,5,FALSE)</f>
        <v>-0.38672618976353301</v>
      </c>
      <c r="BZ1263" s="129">
        <f>VLOOKUP($D1263,WGI!$C$2:$O$478,2,FALSE)</f>
        <v>-0.42101975203520903</v>
      </c>
      <c r="CB1263" s="129"/>
    </row>
    <row r="1264" spans="1:80" s="120" customFormat="1" ht="15" customHeight="1">
      <c r="A1264" s="280" t="s">
        <v>388</v>
      </c>
      <c r="B1264" s="117">
        <v>2009</v>
      </c>
      <c r="C1264" s="117" t="s">
        <v>385</v>
      </c>
      <c r="D1264" s="117" t="s">
        <v>3640</v>
      </c>
      <c r="E1264" s="117" t="s">
        <v>86</v>
      </c>
      <c r="F1264" s="117"/>
      <c r="G1264" s="117" t="s">
        <v>24</v>
      </c>
      <c r="H1264" s="117" t="str">
        <f t="shared" si="219"/>
        <v>yes</v>
      </c>
      <c r="I1264" s="117" t="str">
        <f t="shared" si="221"/>
        <v>no</v>
      </c>
      <c r="J1264" s="117" t="str">
        <f t="shared" si="222"/>
        <v>no</v>
      </c>
      <c r="K1264" s="117" t="s">
        <v>1877</v>
      </c>
      <c r="L1264" s="117" t="str">
        <f t="shared" si="220"/>
        <v>detailed</v>
      </c>
      <c r="M1264" s="117" t="str">
        <f t="shared" si="223"/>
        <v>detailed Mining</v>
      </c>
      <c r="N1264" s="118">
        <v>471500</v>
      </c>
      <c r="O1264" s="118"/>
      <c r="P1264" s="118"/>
      <c r="Q1264" s="118"/>
      <c r="R1264" s="118"/>
      <c r="S1264" s="117" t="s">
        <v>610</v>
      </c>
      <c r="T1264" s="119">
        <v>73</v>
      </c>
      <c r="U1264" s="117" t="s">
        <v>611</v>
      </c>
      <c r="V1264" s="117" t="s">
        <v>1671</v>
      </c>
      <c r="W1264" s="89">
        <f>N1264*T1264</f>
        <v>34419500</v>
      </c>
      <c r="X1264" s="117"/>
      <c r="Y1264" s="117"/>
      <c r="Z1264" s="117"/>
      <c r="AA1264" s="89"/>
      <c r="AB1264" s="89"/>
      <c r="AC1264" s="240"/>
      <c r="AD1264" s="240"/>
      <c r="AE1264" s="240"/>
      <c r="AF1264" s="241"/>
      <c r="AG1264" s="117"/>
      <c r="AH1264" s="124"/>
      <c r="AI1264" s="117"/>
      <c r="AJ1264" s="117"/>
      <c r="AK1264" s="89"/>
      <c r="AL1264" s="117"/>
      <c r="AM1264" s="117"/>
      <c r="AN1264" s="117"/>
      <c r="AO1264" s="117"/>
      <c r="AP1264" s="117"/>
      <c r="AQ1264" s="117"/>
      <c r="AR1264" s="117"/>
      <c r="AS1264" s="117"/>
      <c r="AT1264" s="117"/>
      <c r="AU1264" s="117"/>
      <c r="AV1264" s="128"/>
      <c r="AW1264" s="117">
        <f>VLOOKUP($D1264,'WB Data'!$C$3:$M$578,2,FALSE)</f>
        <v>10726631099.557865</v>
      </c>
      <c r="AX1264" s="117">
        <f>VLOOKUP($D1264,'WB Data'!$C$3:$M$578,3,FALSE)</f>
        <v>23361025</v>
      </c>
      <c r="AY1264" s="847">
        <f t="shared" si="215"/>
        <v>4.7591529632698814E-3</v>
      </c>
      <c r="AZ1264" s="117" t="e">
        <f>VLOOKUP($D1264,'WB Data'!$C$3:$M$578,4,FALSE)/100</f>
        <v>#VALUE!</v>
      </c>
      <c r="BA1264" s="117" t="str">
        <f t="shared" si="216"/>
        <v>..</v>
      </c>
      <c r="BB1264" s="129">
        <f>IFERROR(VLOOKUP($D1264,'EITI Revenues'!$C$2:$G$224,5,FALSE),"..")</f>
        <v>51049678.183363676</v>
      </c>
      <c r="BC1264" s="846" t="str">
        <f t="shared" si="217"/>
        <v>..</v>
      </c>
      <c r="BD1264" s="129" t="e">
        <f>VLOOKUP($D1264,'WB Data 2'!$C$2:$K$545,6,FALSE)</f>
        <v>#N/A</v>
      </c>
      <c r="BE1264" s="129">
        <f>IFERROR(VLOOKUP($D1264,UNCTAD!$C$5:$V$529,4,FALSE),"..")</f>
        <v>2758850000</v>
      </c>
      <c r="BF1264" s="846" t="str">
        <f t="shared" si="218"/>
        <v>..</v>
      </c>
      <c r="BG1264" s="117">
        <f>VLOOKUP($D1264,'WB Data'!$C$3:$M$578,5,FALSE)</f>
        <v>2012400000</v>
      </c>
      <c r="BH1264" s="129">
        <f>IFERROR($BB1264/$BG1264,"..")</f>
        <v>2.5367560218328204E-2</v>
      </c>
      <c r="BI1264" s="117" t="str">
        <f>IFERROR(VLOOKUP($D1264,'WB Data'!$C$3:$M$578,7,FALSE)/100,"..")</f>
        <v>..</v>
      </c>
      <c r="BJ1264" s="117" t="str">
        <f>IFERROR($BI1264*$AW1264,"..")</f>
        <v>..</v>
      </c>
      <c r="BK1264" s="846" t="str">
        <f>IFERROR($BB1264/$BJ1264,"..")</f>
        <v>..</v>
      </c>
      <c r="BL1264" s="117" t="str">
        <f>IFERROR(VLOOKUP($D1264,'WB Data'!$C$3:$M$578,7,FALSE)/100,"..")</f>
        <v>..</v>
      </c>
      <c r="BM1264" s="117" t="str">
        <f>IFERROR($AW1264*$BL1264,"..")</f>
        <v>..</v>
      </c>
      <c r="BN1264" s="846" t="str">
        <f>IFERROR($BB1264/$BM1264,"..")</f>
        <v>..</v>
      </c>
      <c r="BO1264" s="801">
        <f t="shared" si="214"/>
        <v>31</v>
      </c>
      <c r="BP1264" s="117">
        <f>VLOOKUP($D1264,'WB Data'!$C$3:$M$578,9,FALSE)</f>
        <v>54.7</v>
      </c>
      <c r="BQ1264" s="117">
        <f>VLOOKUP($D1264,'WB Data'!$C$3:$M$578,10,FALSE)</f>
        <v>48.799439024390246</v>
      </c>
      <c r="BR1264" s="117">
        <f>VLOOKUP($D1264,'WB Data'!$C$3:$M$578,11,FALSE)</f>
        <v>74.3</v>
      </c>
      <c r="BS1264" s="129" t="str">
        <f>IFERROR(VLOOKUP($D1264,'WB Data 2'!$C$2:$K$545,9,FALSE),"..")</f>
        <v>..</v>
      </c>
      <c r="BT1264" s="129" t="str">
        <f>_xlfn.IFNA(VLOOKUP($C1264,RGI!$A$2:$C$43,2,FALSE),"..")</f>
        <v>..</v>
      </c>
      <c r="BU1264" s="129" t="str">
        <f>_xlfn.IFNA(VLOOKUP($C1264,RGI!$A$2:$C$43,3,FALSE),"..")</f>
        <v>..</v>
      </c>
      <c r="BV1264" s="129">
        <f>VLOOKUP($D1264,WGI!$C$2:$O$478,7,FALSE)</f>
        <v>-0.10593740605468201</v>
      </c>
      <c r="BW1264" s="129">
        <f>VLOOKUP($D1264,WGI!$C$2:$O$478,4,FALSE)</f>
        <v>0.58954037409522198</v>
      </c>
      <c r="BX1264" s="129">
        <f>VLOOKUP($D1264,WGI!$C$2:$O$478,3,FALSE)</f>
        <v>-0.54382928909406303</v>
      </c>
      <c r="BY1264" s="129">
        <f>VLOOKUP($D1264,WGI!$C$2:$O$478,5,FALSE)</f>
        <v>-0.38672618976353301</v>
      </c>
      <c r="BZ1264" s="129">
        <f>VLOOKUP($D1264,WGI!$C$2:$O$478,2,FALSE)</f>
        <v>-0.42101975203520903</v>
      </c>
      <c r="CB1264" s="129"/>
    </row>
    <row r="1265" spans="1:80" s="120" customFormat="1" ht="15" customHeight="1">
      <c r="A1265" s="280" t="s">
        <v>388</v>
      </c>
      <c r="B1265" s="117">
        <v>2009</v>
      </c>
      <c r="C1265" s="117" t="s">
        <v>385</v>
      </c>
      <c r="D1265" s="117" t="s">
        <v>3640</v>
      </c>
      <c r="E1265" s="117" t="s">
        <v>86</v>
      </c>
      <c r="F1265" s="117"/>
      <c r="G1265" s="117" t="s">
        <v>24</v>
      </c>
      <c r="H1265" s="117" t="str">
        <f t="shared" si="219"/>
        <v>yes</v>
      </c>
      <c r="I1265" s="117" t="str">
        <f t="shared" si="221"/>
        <v>no</v>
      </c>
      <c r="J1265" s="117" t="str">
        <f t="shared" si="222"/>
        <v>no</v>
      </c>
      <c r="K1265" s="117" t="s">
        <v>1878</v>
      </c>
      <c r="L1265" s="117" t="str">
        <f t="shared" si="220"/>
        <v>detailed</v>
      </c>
      <c r="M1265" s="117" t="str">
        <f t="shared" si="223"/>
        <v>detailed Mining</v>
      </c>
      <c r="N1265" s="118">
        <v>1800</v>
      </c>
      <c r="O1265" s="118"/>
      <c r="P1265" s="118"/>
      <c r="Q1265" s="118"/>
      <c r="R1265" s="118"/>
      <c r="S1265" s="117" t="s">
        <v>610</v>
      </c>
      <c r="T1265" s="119">
        <v>533</v>
      </c>
      <c r="U1265" s="117" t="s">
        <v>611</v>
      </c>
      <c r="V1265" s="117" t="s">
        <v>1879</v>
      </c>
      <c r="W1265" s="89">
        <f>N1265*T1265</f>
        <v>959400</v>
      </c>
      <c r="X1265" s="117"/>
      <c r="Y1265" s="117"/>
      <c r="Z1265" s="117"/>
      <c r="AA1265" s="89"/>
      <c r="AB1265" s="89"/>
      <c r="AC1265" s="240"/>
      <c r="AD1265" s="240"/>
      <c r="AE1265" s="240"/>
      <c r="AF1265" s="241"/>
      <c r="AG1265" s="117"/>
      <c r="AH1265" s="124"/>
      <c r="AI1265" s="117"/>
      <c r="AJ1265" s="117"/>
      <c r="AK1265" s="89"/>
      <c r="AL1265" s="117"/>
      <c r="AM1265" s="117"/>
      <c r="AN1265" s="117"/>
      <c r="AO1265" s="117"/>
      <c r="AP1265" s="117"/>
      <c r="AQ1265" s="117"/>
      <c r="AR1265" s="117"/>
      <c r="AS1265" s="117"/>
      <c r="AT1265" s="117"/>
      <c r="AU1265" s="117"/>
      <c r="AV1265" s="128"/>
      <c r="AW1265" s="117">
        <f>VLOOKUP($D1265,'WB Data'!$C$3:$M$578,2,FALSE)</f>
        <v>10726631099.557865</v>
      </c>
      <c r="AX1265" s="117">
        <f>VLOOKUP($D1265,'WB Data'!$C$3:$M$578,3,FALSE)</f>
        <v>23361025</v>
      </c>
      <c r="AY1265" s="847">
        <f t="shared" si="215"/>
        <v>4.7591529632698814E-3</v>
      </c>
      <c r="AZ1265" s="117" t="e">
        <f>VLOOKUP($D1265,'WB Data'!$C$3:$M$578,4,FALSE)/100</f>
        <v>#VALUE!</v>
      </c>
      <c r="BA1265" s="117" t="str">
        <f t="shared" si="216"/>
        <v>..</v>
      </c>
      <c r="BB1265" s="129">
        <f>IFERROR(VLOOKUP($D1265,'EITI Revenues'!$C$2:$G$224,5,FALSE),"..")</f>
        <v>51049678.183363676</v>
      </c>
      <c r="BC1265" s="846" t="str">
        <f t="shared" si="217"/>
        <v>..</v>
      </c>
      <c r="BD1265" s="129" t="e">
        <f>VLOOKUP($D1265,'WB Data 2'!$C$2:$K$545,6,FALSE)</f>
        <v>#N/A</v>
      </c>
      <c r="BE1265" s="129">
        <f>IFERROR(VLOOKUP($D1265,UNCTAD!$C$5:$V$529,4,FALSE),"..")</f>
        <v>2758850000</v>
      </c>
      <c r="BF1265" s="846" t="str">
        <f t="shared" si="218"/>
        <v>..</v>
      </c>
      <c r="BG1265" s="117">
        <f>VLOOKUP($D1265,'WB Data'!$C$3:$M$578,5,FALSE)</f>
        <v>2012400000</v>
      </c>
      <c r="BH1265" s="129">
        <f>IFERROR($BB1265/$BG1265,"..")</f>
        <v>2.5367560218328204E-2</v>
      </c>
      <c r="BI1265" s="117" t="str">
        <f>IFERROR(VLOOKUP($D1265,'WB Data'!$C$3:$M$578,7,FALSE)/100,"..")</f>
        <v>..</v>
      </c>
      <c r="BJ1265" s="117" t="str">
        <f>IFERROR($BI1265*$AW1265,"..")</f>
        <v>..</v>
      </c>
      <c r="BK1265" s="846" t="str">
        <f>IFERROR($BB1265/$BJ1265,"..")</f>
        <v>..</v>
      </c>
      <c r="BL1265" s="117" t="str">
        <f>IFERROR(VLOOKUP($D1265,'WB Data'!$C$3:$M$578,7,FALSE)/100,"..")</f>
        <v>..</v>
      </c>
      <c r="BM1265" s="117" t="str">
        <f>IFERROR($AW1265*$BL1265,"..")</f>
        <v>..</v>
      </c>
      <c r="BN1265" s="846" t="str">
        <f>IFERROR($BB1265/$BM1265,"..")</f>
        <v>..</v>
      </c>
      <c r="BO1265" s="801">
        <f t="shared" si="214"/>
        <v>31</v>
      </c>
      <c r="BP1265" s="117">
        <f>VLOOKUP($D1265,'WB Data'!$C$3:$M$578,9,FALSE)</f>
        <v>54.7</v>
      </c>
      <c r="BQ1265" s="117">
        <f>VLOOKUP($D1265,'WB Data'!$C$3:$M$578,10,FALSE)</f>
        <v>48.799439024390246</v>
      </c>
      <c r="BR1265" s="117">
        <f>VLOOKUP($D1265,'WB Data'!$C$3:$M$578,11,FALSE)</f>
        <v>74.3</v>
      </c>
      <c r="BS1265" s="129" t="str">
        <f>IFERROR(VLOOKUP($D1265,'WB Data 2'!$C$2:$K$545,9,FALSE),"..")</f>
        <v>..</v>
      </c>
      <c r="BT1265" s="129" t="str">
        <f>_xlfn.IFNA(VLOOKUP($C1265,RGI!$A$2:$C$43,2,FALSE),"..")</f>
        <v>..</v>
      </c>
      <c r="BU1265" s="129" t="str">
        <f>_xlfn.IFNA(VLOOKUP($C1265,RGI!$A$2:$C$43,3,FALSE),"..")</f>
        <v>..</v>
      </c>
      <c r="BV1265" s="129">
        <f>VLOOKUP($D1265,WGI!$C$2:$O$478,7,FALSE)</f>
        <v>-0.10593740605468201</v>
      </c>
      <c r="BW1265" s="129">
        <f>VLOOKUP($D1265,WGI!$C$2:$O$478,4,FALSE)</f>
        <v>0.58954037409522198</v>
      </c>
      <c r="BX1265" s="129">
        <f>VLOOKUP($D1265,WGI!$C$2:$O$478,3,FALSE)</f>
        <v>-0.54382928909406303</v>
      </c>
      <c r="BY1265" s="129">
        <f>VLOOKUP($D1265,WGI!$C$2:$O$478,5,FALSE)</f>
        <v>-0.38672618976353301</v>
      </c>
      <c r="BZ1265" s="129">
        <f>VLOOKUP($D1265,WGI!$C$2:$O$478,2,FALSE)</f>
        <v>-0.42101975203520903</v>
      </c>
      <c r="CB1265" s="129"/>
    </row>
    <row r="1266" spans="1:80" s="120" customFormat="1" ht="15" customHeight="1">
      <c r="A1266" s="280" t="s">
        <v>388</v>
      </c>
      <c r="B1266" s="117">
        <v>2009</v>
      </c>
      <c r="C1266" s="117" t="s">
        <v>385</v>
      </c>
      <c r="D1266" s="117" t="s">
        <v>3640</v>
      </c>
      <c r="E1266" s="117" t="s">
        <v>86</v>
      </c>
      <c r="F1266" s="117"/>
      <c r="G1266" s="117" t="s">
        <v>24</v>
      </c>
      <c r="H1266" s="117" t="str">
        <f t="shared" si="219"/>
        <v>yes</v>
      </c>
      <c r="I1266" s="117" t="str">
        <f t="shared" si="221"/>
        <v>no</v>
      </c>
      <c r="J1266" s="117" t="str">
        <f t="shared" si="222"/>
        <v>no</v>
      </c>
      <c r="K1266" s="117" t="s">
        <v>1880</v>
      </c>
      <c r="L1266" s="117" t="str">
        <f t="shared" si="220"/>
        <v>detailed</v>
      </c>
      <c r="M1266" s="117" t="str">
        <f t="shared" si="223"/>
        <v>detailed Mining</v>
      </c>
      <c r="N1266" s="118">
        <v>21100</v>
      </c>
      <c r="O1266" s="118"/>
      <c r="P1266" s="118"/>
      <c r="Q1266" s="118"/>
      <c r="R1266" s="118"/>
      <c r="S1266" s="117" t="s">
        <v>610</v>
      </c>
      <c r="T1266" s="119">
        <v>850</v>
      </c>
      <c r="U1266" s="117" t="s">
        <v>611</v>
      </c>
      <c r="V1266" s="117" t="s">
        <v>1881</v>
      </c>
      <c r="W1266" s="89">
        <f>N1266*T1266</f>
        <v>17935000</v>
      </c>
      <c r="X1266" s="117"/>
      <c r="Y1266" s="117"/>
      <c r="Z1266" s="117"/>
      <c r="AA1266" s="89"/>
      <c r="AB1266" s="89"/>
      <c r="AC1266" s="240"/>
      <c r="AD1266" s="240"/>
      <c r="AE1266" s="240"/>
      <c r="AF1266" s="241"/>
      <c r="AG1266" s="117"/>
      <c r="AH1266" s="124"/>
      <c r="AI1266" s="117"/>
      <c r="AJ1266" s="117"/>
      <c r="AK1266" s="89"/>
      <c r="AL1266" s="117"/>
      <c r="AM1266" s="117"/>
      <c r="AN1266" s="117"/>
      <c r="AO1266" s="117"/>
      <c r="AP1266" s="117"/>
      <c r="AQ1266" s="117"/>
      <c r="AR1266" s="117"/>
      <c r="AS1266" s="117"/>
      <c r="AT1266" s="117"/>
      <c r="AU1266" s="117"/>
      <c r="AV1266" s="128"/>
      <c r="AW1266" s="117">
        <f>VLOOKUP($D1266,'WB Data'!$C$3:$M$578,2,FALSE)</f>
        <v>10726631099.557865</v>
      </c>
      <c r="AX1266" s="117">
        <f>VLOOKUP($D1266,'WB Data'!$C$3:$M$578,3,FALSE)</f>
        <v>23361025</v>
      </c>
      <c r="AY1266" s="847">
        <f t="shared" si="215"/>
        <v>4.7591529632698814E-3</v>
      </c>
      <c r="AZ1266" s="117" t="e">
        <f>VLOOKUP($D1266,'WB Data'!$C$3:$M$578,4,FALSE)/100</f>
        <v>#VALUE!</v>
      </c>
      <c r="BA1266" s="117" t="str">
        <f t="shared" si="216"/>
        <v>..</v>
      </c>
      <c r="BB1266" s="129">
        <f>IFERROR(VLOOKUP($D1266,'EITI Revenues'!$C$2:$G$224,5,FALSE),"..")</f>
        <v>51049678.183363676</v>
      </c>
      <c r="BC1266" s="846" t="str">
        <f t="shared" si="217"/>
        <v>..</v>
      </c>
      <c r="BD1266" s="129" t="e">
        <f>VLOOKUP($D1266,'WB Data 2'!$C$2:$K$545,6,FALSE)</f>
        <v>#N/A</v>
      </c>
      <c r="BE1266" s="129">
        <f>IFERROR(VLOOKUP($D1266,UNCTAD!$C$5:$V$529,4,FALSE),"..")</f>
        <v>2758850000</v>
      </c>
      <c r="BF1266" s="846" t="str">
        <f t="shared" si="218"/>
        <v>..</v>
      </c>
      <c r="BG1266" s="117">
        <f>VLOOKUP($D1266,'WB Data'!$C$3:$M$578,5,FALSE)</f>
        <v>2012400000</v>
      </c>
      <c r="BH1266" s="129">
        <f>IFERROR($BB1266/$BG1266,"..")</f>
        <v>2.5367560218328204E-2</v>
      </c>
      <c r="BI1266" s="117" t="str">
        <f>IFERROR(VLOOKUP($D1266,'WB Data'!$C$3:$M$578,7,FALSE)/100,"..")</f>
        <v>..</v>
      </c>
      <c r="BJ1266" s="117" t="str">
        <f>IFERROR($BI1266*$AW1266,"..")</f>
        <v>..</v>
      </c>
      <c r="BK1266" s="846" t="str">
        <f>IFERROR($BB1266/$BJ1266,"..")</f>
        <v>..</v>
      </c>
      <c r="BL1266" s="117" t="str">
        <f>IFERROR(VLOOKUP($D1266,'WB Data'!$C$3:$M$578,7,FALSE)/100,"..")</f>
        <v>..</v>
      </c>
      <c r="BM1266" s="117" t="str">
        <f>IFERROR($AW1266*$BL1266,"..")</f>
        <v>..</v>
      </c>
      <c r="BN1266" s="846" t="str">
        <f>IFERROR($BB1266/$BM1266,"..")</f>
        <v>..</v>
      </c>
      <c r="BO1266" s="801">
        <f t="shared" si="214"/>
        <v>31</v>
      </c>
      <c r="BP1266" s="117">
        <f>VLOOKUP($D1266,'WB Data'!$C$3:$M$578,9,FALSE)</f>
        <v>54.7</v>
      </c>
      <c r="BQ1266" s="117">
        <f>VLOOKUP($D1266,'WB Data'!$C$3:$M$578,10,FALSE)</f>
        <v>48.799439024390246</v>
      </c>
      <c r="BR1266" s="117">
        <f>VLOOKUP($D1266,'WB Data'!$C$3:$M$578,11,FALSE)</f>
        <v>74.3</v>
      </c>
      <c r="BS1266" s="129" t="str">
        <f>IFERROR(VLOOKUP($D1266,'WB Data 2'!$C$2:$K$545,9,FALSE),"..")</f>
        <v>..</v>
      </c>
      <c r="BT1266" s="129" t="str">
        <f>_xlfn.IFNA(VLOOKUP($C1266,RGI!$A$2:$C$43,2,FALSE),"..")</f>
        <v>..</v>
      </c>
      <c r="BU1266" s="129" t="str">
        <f>_xlfn.IFNA(VLOOKUP($C1266,RGI!$A$2:$C$43,3,FALSE),"..")</f>
        <v>..</v>
      </c>
      <c r="BV1266" s="129">
        <f>VLOOKUP($D1266,WGI!$C$2:$O$478,7,FALSE)</f>
        <v>-0.10593740605468201</v>
      </c>
      <c r="BW1266" s="129">
        <f>VLOOKUP($D1266,WGI!$C$2:$O$478,4,FALSE)</f>
        <v>0.58954037409522198</v>
      </c>
      <c r="BX1266" s="129">
        <f>VLOOKUP($D1266,WGI!$C$2:$O$478,3,FALSE)</f>
        <v>-0.54382928909406303</v>
      </c>
      <c r="BY1266" s="129">
        <f>VLOOKUP($D1266,WGI!$C$2:$O$478,5,FALSE)</f>
        <v>-0.38672618976353301</v>
      </c>
      <c r="BZ1266" s="129">
        <f>VLOOKUP($D1266,WGI!$C$2:$O$478,2,FALSE)</f>
        <v>-0.42101975203520903</v>
      </c>
      <c r="CB1266" s="129"/>
    </row>
    <row r="1267" spans="1:80" s="158" customFormat="1" ht="15" customHeight="1">
      <c r="A1267" s="282" t="s">
        <v>388</v>
      </c>
      <c r="B1267" s="149">
        <v>2009</v>
      </c>
      <c r="C1267" s="149" t="s">
        <v>385</v>
      </c>
      <c r="D1267" s="117" t="s">
        <v>3640</v>
      </c>
      <c r="E1267" s="149" t="s">
        <v>86</v>
      </c>
      <c r="F1267" s="149"/>
      <c r="G1267" s="149" t="s">
        <v>24</v>
      </c>
      <c r="H1267" s="149" t="str">
        <f t="shared" si="219"/>
        <v>yes</v>
      </c>
      <c r="I1267" s="149" t="str">
        <f t="shared" si="221"/>
        <v>no</v>
      </c>
      <c r="J1267" s="149" t="str">
        <f t="shared" si="222"/>
        <v>no</v>
      </c>
      <c r="K1267" s="149" t="s">
        <v>1466</v>
      </c>
      <c r="L1267" s="149" t="str">
        <f t="shared" si="220"/>
        <v>detailed</v>
      </c>
      <c r="M1267" s="149" t="str">
        <f t="shared" si="223"/>
        <v>detailed Mining</v>
      </c>
      <c r="N1267" s="150"/>
      <c r="O1267" s="150"/>
      <c r="P1267" s="150"/>
      <c r="Q1267" s="150"/>
      <c r="R1267" s="150"/>
      <c r="S1267" s="149"/>
      <c r="T1267" s="151"/>
      <c r="U1267" s="149"/>
      <c r="V1267" s="149"/>
      <c r="W1267" s="152"/>
      <c r="X1267" s="149"/>
      <c r="Y1267" s="149"/>
      <c r="Z1267" s="149"/>
      <c r="AA1267" s="152">
        <v>142436.74091569768</v>
      </c>
      <c r="AB1267" s="152">
        <v>148025.52398255814</v>
      </c>
      <c r="AC1267" s="288"/>
      <c r="AD1267" s="288"/>
      <c r="AE1267" s="288"/>
      <c r="AF1267" s="285"/>
      <c r="AG1267" s="149"/>
      <c r="AH1267" s="156"/>
      <c r="AI1267" s="149"/>
      <c r="AJ1267" s="149"/>
      <c r="AK1267" s="152"/>
      <c r="AL1267" s="152"/>
      <c r="AM1267" s="152"/>
      <c r="AN1267" s="149"/>
      <c r="AO1267" s="149"/>
      <c r="AP1267" s="149"/>
      <c r="AQ1267" s="149"/>
      <c r="AR1267" s="149"/>
      <c r="AS1267" s="149"/>
      <c r="AT1267" s="149"/>
      <c r="AU1267" s="149">
        <v>8</v>
      </c>
      <c r="AV1267" s="157" t="s">
        <v>1807</v>
      </c>
      <c r="AW1267" s="117">
        <f>VLOOKUP($D1267,'WB Data'!$C$3:$M$578,2,FALSE)</f>
        <v>10726631099.557865</v>
      </c>
      <c r="AX1267" s="117">
        <f>VLOOKUP($D1267,'WB Data'!$C$3:$M$578,3,FALSE)</f>
        <v>23361025</v>
      </c>
      <c r="AY1267" s="847">
        <f t="shared" si="215"/>
        <v>4.7591529632698814E-3</v>
      </c>
      <c r="AZ1267" s="117" t="e">
        <f>VLOOKUP($D1267,'WB Data'!$C$3:$M$578,4,FALSE)/100</f>
        <v>#VALUE!</v>
      </c>
      <c r="BA1267" s="117" t="str">
        <f t="shared" si="216"/>
        <v>..</v>
      </c>
      <c r="BB1267" s="129">
        <f>IFERROR(VLOOKUP($D1267,'EITI Revenues'!$C$2:$G$224,5,FALSE),"..")</f>
        <v>51049678.183363676</v>
      </c>
      <c r="BC1267" s="846" t="str">
        <f t="shared" si="217"/>
        <v>..</v>
      </c>
      <c r="BD1267" s="129" t="e">
        <f>VLOOKUP($D1267,'WB Data 2'!$C$2:$K$545,6,FALSE)</f>
        <v>#N/A</v>
      </c>
      <c r="BE1267" s="129">
        <f>IFERROR(VLOOKUP($D1267,UNCTAD!$C$5:$V$529,4,FALSE),"..")</f>
        <v>2758850000</v>
      </c>
      <c r="BF1267" s="846" t="str">
        <f t="shared" si="218"/>
        <v>..</v>
      </c>
      <c r="BG1267" s="117">
        <f>VLOOKUP($D1267,'WB Data'!$C$3:$M$578,5,FALSE)</f>
        <v>2012400000</v>
      </c>
      <c r="BH1267" s="129">
        <f>IFERROR($BB1267/$BG1267,"..")</f>
        <v>2.5367560218328204E-2</v>
      </c>
      <c r="BI1267" s="117" t="str">
        <f>IFERROR(VLOOKUP($D1267,'WB Data'!$C$3:$M$578,7,FALSE)/100,"..")</f>
        <v>..</v>
      </c>
      <c r="BJ1267" s="117" t="str">
        <f>IFERROR($BI1267*$AW1267,"..")</f>
        <v>..</v>
      </c>
      <c r="BK1267" s="846" t="str">
        <f>IFERROR($BB1267/$BJ1267,"..")</f>
        <v>..</v>
      </c>
      <c r="BL1267" s="117" t="str">
        <f>IFERROR(VLOOKUP($D1267,'WB Data'!$C$3:$M$578,7,FALSE)/100,"..")</f>
        <v>..</v>
      </c>
      <c r="BM1267" s="117" t="str">
        <f>IFERROR($AW1267*$BL1267,"..")</f>
        <v>..</v>
      </c>
      <c r="BN1267" s="846" t="str">
        <f>IFERROR($BB1267/$BM1267,"..")</f>
        <v>..</v>
      </c>
      <c r="BO1267" s="801">
        <f t="shared" si="214"/>
        <v>31</v>
      </c>
      <c r="BP1267" s="117">
        <f>VLOOKUP($D1267,'WB Data'!$C$3:$M$578,9,FALSE)</f>
        <v>54.7</v>
      </c>
      <c r="BQ1267" s="117">
        <f>VLOOKUP($D1267,'WB Data'!$C$3:$M$578,10,FALSE)</f>
        <v>48.799439024390246</v>
      </c>
      <c r="BR1267" s="117">
        <f>VLOOKUP($D1267,'WB Data'!$C$3:$M$578,11,FALSE)</f>
        <v>74.3</v>
      </c>
      <c r="BS1267" s="129" t="str">
        <f>IFERROR(VLOOKUP($D1267,'WB Data 2'!$C$2:$K$545,9,FALSE),"..")</f>
        <v>..</v>
      </c>
      <c r="BT1267" s="129" t="str">
        <f>_xlfn.IFNA(VLOOKUP($C1267,RGI!$A$2:$C$43,2,FALSE),"..")</f>
        <v>..</v>
      </c>
      <c r="BU1267" s="129" t="str">
        <f>_xlfn.IFNA(VLOOKUP($C1267,RGI!$A$2:$C$43,3,FALSE),"..")</f>
        <v>..</v>
      </c>
      <c r="BV1267" s="129">
        <f>VLOOKUP($D1267,WGI!$C$2:$O$478,7,FALSE)</f>
        <v>-0.10593740605468201</v>
      </c>
      <c r="BW1267" s="129">
        <f>VLOOKUP($D1267,WGI!$C$2:$O$478,4,FALSE)</f>
        <v>0.58954037409522198</v>
      </c>
      <c r="BX1267" s="129">
        <f>VLOOKUP($D1267,WGI!$C$2:$O$478,3,FALSE)</f>
        <v>-0.54382928909406303</v>
      </c>
      <c r="BY1267" s="129">
        <f>VLOOKUP($D1267,WGI!$C$2:$O$478,5,FALSE)</f>
        <v>-0.38672618976353301</v>
      </c>
      <c r="BZ1267" s="129">
        <f>VLOOKUP($D1267,WGI!$C$2:$O$478,2,FALSE)</f>
        <v>-0.42101975203520903</v>
      </c>
      <c r="CB1267" s="129"/>
    </row>
    <row r="1268" spans="1:80" ht="15" customHeight="1">
      <c r="A1268" s="280" t="s">
        <v>391</v>
      </c>
      <c r="B1268" s="117">
        <v>2010</v>
      </c>
      <c r="C1268" s="117" t="s">
        <v>385</v>
      </c>
      <c r="D1268" s="117" t="s">
        <v>3674</v>
      </c>
      <c r="E1268" s="117" t="s">
        <v>86</v>
      </c>
      <c r="F1268" s="117" t="s">
        <v>1859</v>
      </c>
      <c r="G1268" s="117" t="s">
        <v>35</v>
      </c>
      <c r="H1268" s="117" t="str">
        <f t="shared" si="219"/>
        <v>yes</v>
      </c>
      <c r="I1268" s="117" t="str">
        <f t="shared" si="221"/>
        <v>yes</v>
      </c>
      <c r="J1268" s="117" t="str">
        <f t="shared" si="222"/>
        <v>yes</v>
      </c>
      <c r="K1268" s="117" t="s">
        <v>709</v>
      </c>
      <c r="L1268" s="117" t="str">
        <f t="shared" si="220"/>
        <v>Total</v>
      </c>
      <c r="M1268" s="117" t="str">
        <f t="shared" si="223"/>
        <v>Total Oil, Gas, Mining</v>
      </c>
      <c r="N1268" s="118"/>
      <c r="O1268" s="118"/>
      <c r="P1268" s="118"/>
      <c r="Q1268" s="118"/>
      <c r="R1268" s="118"/>
      <c r="S1268" s="117"/>
      <c r="T1268" s="119"/>
      <c r="U1268" s="117"/>
      <c r="V1268" s="117"/>
      <c r="W1268" s="89">
        <f>W1269+W1270</f>
        <v>648334336.97330093</v>
      </c>
      <c r="X1268" s="117" t="s">
        <v>633</v>
      </c>
      <c r="Y1268" s="117" t="s">
        <v>731</v>
      </c>
      <c r="Z1268" s="117" t="s">
        <v>732</v>
      </c>
      <c r="AA1268" s="90">
        <f>56767512.4531802+AK1268</f>
        <v>71555872.336879551</v>
      </c>
      <c r="AB1268" s="90">
        <v>56324644.57037691</v>
      </c>
      <c r="AC1268" s="240"/>
      <c r="AD1268" s="240"/>
      <c r="AE1268" s="240"/>
      <c r="AF1268" s="241">
        <f>AA1268/W1268</f>
        <v>0.11036878390697714</v>
      </c>
      <c r="AG1268" s="117" t="s">
        <v>1861</v>
      </c>
      <c r="AH1268" s="124">
        <v>33.96</v>
      </c>
      <c r="AI1268" s="117" t="s">
        <v>605</v>
      </c>
      <c r="AJ1268" s="117" t="s">
        <v>1898</v>
      </c>
      <c r="AK1268" s="89">
        <v>14788359.88369935</v>
      </c>
      <c r="AL1268" s="117"/>
      <c r="AM1268" s="117"/>
      <c r="AN1268" s="117">
        <v>46</v>
      </c>
      <c r="AO1268" s="117" t="s">
        <v>1899</v>
      </c>
      <c r="AP1268" s="117">
        <v>44</v>
      </c>
      <c r="AQ1268" s="215" t="s">
        <v>44</v>
      </c>
      <c r="AR1268" s="126">
        <v>41908</v>
      </c>
      <c r="AS1268" s="117" t="s">
        <v>1382</v>
      </c>
      <c r="AT1268" s="117" t="s">
        <v>392</v>
      </c>
      <c r="AU1268" s="117" t="s">
        <v>1900</v>
      </c>
      <c r="AV1268" s="128" t="s">
        <v>1901</v>
      </c>
      <c r="AW1268" s="117">
        <f>VLOOKUP($D1268,'WB Data'!$C$3:$M$578,2,FALSE)</f>
        <v>10165353591.167343</v>
      </c>
      <c r="AX1268" s="117">
        <f>VLOOKUP($D1268,'WB Data'!$C$3:$M$578,3,FALSE)</f>
        <v>23967265</v>
      </c>
      <c r="AY1268" s="847">
        <f t="shared" si="215"/>
        <v>7.0391916715080447E-3</v>
      </c>
      <c r="AZ1268" s="117">
        <f>VLOOKUP($D1268,'WB Data'!$C$3:$M$578,4,FALSE)/100</f>
        <v>0.17872038962505607</v>
      </c>
      <c r="BA1268" s="117">
        <f t="shared" si="216"/>
        <v>1816755954.4898906</v>
      </c>
      <c r="BB1268" s="129">
        <f>IFERROR(VLOOKUP($D1268,'EITI Revenues'!$C$2:$G$224,5,FALSE),"..")</f>
        <v>71555872.336879551</v>
      </c>
      <c r="BC1268" s="846">
        <f t="shared" si="217"/>
        <v>3.9386617756797741E-2</v>
      </c>
      <c r="BD1268" s="129" t="e">
        <f>VLOOKUP($D1268,'WB Data 2'!$C$2:$K$545,6,FALSE)</f>
        <v>#N/A</v>
      </c>
      <c r="BE1268" s="129">
        <f>IFERROR(VLOOKUP($D1268,UNCTAD!$C$5:$V$529,4,FALSE),"..")</f>
        <v>2944331000</v>
      </c>
      <c r="BF1268" s="846" t="str">
        <f t="shared" si="218"/>
        <v>..</v>
      </c>
      <c r="BG1268" s="117">
        <f>VLOOKUP($D1268,'WB Data'!$C$3:$M$578,5,FALSE)</f>
        <v>1951530000</v>
      </c>
      <c r="BH1268" s="129">
        <f>IFERROR($BB1268/$BG1268,"..")</f>
        <v>3.6666550007880765E-2</v>
      </c>
      <c r="BI1268" s="117" t="str">
        <f>IFERROR(VLOOKUP($D1268,'WB Data'!$C$3:$M$578,7,FALSE)/100,"..")</f>
        <v>..</v>
      </c>
      <c r="BJ1268" s="117" t="str">
        <f>IFERROR($BI1268*$AW1268,"..")</f>
        <v>..</v>
      </c>
      <c r="BK1268" s="846" t="str">
        <f>IFERROR($BB1268/$BJ1268,"..")</f>
        <v>..</v>
      </c>
      <c r="BL1268" s="117" t="str">
        <f>IFERROR(VLOOKUP($D1268,'WB Data'!$C$3:$M$578,7,FALSE)/100,"..")</f>
        <v>..</v>
      </c>
      <c r="BM1268" s="117" t="str">
        <f>IFERROR($AW1268*$BL1268,"..")</f>
        <v>..</v>
      </c>
      <c r="BN1268" s="846" t="str">
        <f>IFERROR($BB1268/$BM1268,"..")</f>
        <v>..</v>
      </c>
      <c r="BO1268" s="801">
        <f t="shared" si="214"/>
        <v>31</v>
      </c>
      <c r="BP1268" s="117" t="str">
        <f>VLOOKUP($D1268,'WB Data'!$C$3:$M$578,9,FALSE)</f>
        <v>..</v>
      </c>
      <c r="BQ1268" s="117">
        <f>VLOOKUP($D1268,'WB Data'!$C$3:$M$578,10,FALSE)</f>
        <v>49.137073170731711</v>
      </c>
      <c r="BR1268" s="117">
        <f>VLOOKUP($D1268,'WB Data'!$C$3:$M$578,11,FALSE)</f>
        <v>71.8</v>
      </c>
      <c r="BS1268" s="129" t="str">
        <f>IFERROR(VLOOKUP($D1268,'WB Data 2'!$C$2:$K$545,9,FALSE),"..")</f>
        <v>..</v>
      </c>
      <c r="BT1268" s="129" t="str">
        <f>_xlfn.IFNA(VLOOKUP($C1268,RGI!$A$2:$C$43,2,FALSE),"..")</f>
        <v>..</v>
      </c>
      <c r="BU1268" s="129" t="str">
        <f>_xlfn.IFNA(VLOOKUP($C1268,RGI!$A$2:$C$43,3,FALSE),"..")</f>
        <v>..</v>
      </c>
      <c r="BV1268" s="129">
        <f>VLOOKUP($D1268,WGI!$C$2:$O$478,7,FALSE)</f>
        <v>-0.111384166086251</v>
      </c>
      <c r="BW1268" s="129">
        <f>VLOOKUP($D1268,WGI!$C$2:$O$478,4,FALSE)</f>
        <v>0.34378680262892802</v>
      </c>
      <c r="BX1268" s="129">
        <f>VLOOKUP($D1268,WGI!$C$2:$O$478,3,FALSE)</f>
        <v>-0.57351784283132501</v>
      </c>
      <c r="BY1268" s="129">
        <f>VLOOKUP($D1268,WGI!$C$2:$O$478,5,FALSE)</f>
        <v>-0.390747852895661</v>
      </c>
      <c r="BZ1268" s="129">
        <f>VLOOKUP($D1268,WGI!$C$2:$O$478,2,FALSE)</f>
        <v>-0.42918214861182602</v>
      </c>
    </row>
    <row r="1269" spans="1:80" ht="15" customHeight="1">
      <c r="A1269" s="280" t="s">
        <v>391</v>
      </c>
      <c r="B1269" s="117">
        <v>2010</v>
      </c>
      <c r="C1269" s="117" t="s">
        <v>385</v>
      </c>
      <c r="D1269" s="117" t="s">
        <v>3674</v>
      </c>
      <c r="E1269" s="117" t="s">
        <v>86</v>
      </c>
      <c r="F1269" s="117"/>
      <c r="G1269" s="117" t="s">
        <v>55</v>
      </c>
      <c r="H1269" s="117" t="str">
        <f t="shared" si="219"/>
        <v>no</v>
      </c>
      <c r="I1269" s="117" t="str">
        <f t="shared" si="221"/>
        <v>yes</v>
      </c>
      <c r="J1269" s="117" t="str">
        <f t="shared" si="222"/>
        <v>yes</v>
      </c>
      <c r="K1269" s="117" t="s">
        <v>640</v>
      </c>
      <c r="L1269" s="117" t="str">
        <f t="shared" si="220"/>
        <v>Total</v>
      </c>
      <c r="M1269" s="117" t="str">
        <f t="shared" si="223"/>
        <v>Total Oil, Gas</v>
      </c>
      <c r="N1269" s="118">
        <f>110000000000*0.0283168</f>
        <v>3114848000</v>
      </c>
      <c r="O1269" s="118"/>
      <c r="P1269" s="118"/>
      <c r="Q1269" s="118"/>
      <c r="R1269" s="118"/>
      <c r="S1269" s="117" t="s">
        <v>642</v>
      </c>
      <c r="T1269" s="119">
        <v>0.1741077336927683</v>
      </c>
      <c r="U1269" s="117" t="s">
        <v>643</v>
      </c>
      <c r="V1269" s="117" t="s">
        <v>880</v>
      </c>
      <c r="W1269" s="89">
        <f>N1269*T1269</f>
        <v>542319126.07745194</v>
      </c>
      <c r="X1269" s="117"/>
      <c r="Y1269" s="117"/>
      <c r="Z1269" s="117"/>
      <c r="AA1269" s="89">
        <f>39424455.0683157+AK1269</f>
        <v>54212814.95201505</v>
      </c>
      <c r="AB1269" s="89">
        <v>39414082.765606597</v>
      </c>
      <c r="AC1269" s="351" t="s">
        <v>1105</v>
      </c>
      <c r="AD1269" s="177">
        <f>AA1269*1</f>
        <v>54212814.95201505</v>
      </c>
      <c r="AE1269" s="351" t="s">
        <v>665</v>
      </c>
      <c r="AF1269" s="213">
        <f>AD1269/W1269</f>
        <v>9.9964785207063825E-2</v>
      </c>
      <c r="AG1269" s="117"/>
      <c r="AH1269" s="124"/>
      <c r="AI1269" s="117"/>
      <c r="AJ1269" s="117" t="s">
        <v>1898</v>
      </c>
      <c r="AK1269" s="89">
        <v>14788359.88369935</v>
      </c>
      <c r="AL1269" s="117"/>
      <c r="AM1269" s="117"/>
      <c r="AN1269" s="117">
        <v>12</v>
      </c>
      <c r="AO1269" s="117" t="s">
        <v>1902</v>
      </c>
      <c r="AP1269" s="117">
        <v>12</v>
      </c>
      <c r="AQ1269" s="117"/>
      <c r="AR1269" s="117"/>
      <c r="AS1269" s="117"/>
      <c r="AT1269" s="117"/>
      <c r="AU1269" s="117" t="s">
        <v>1900</v>
      </c>
      <c r="AV1269" s="128"/>
      <c r="AW1269" s="117">
        <f>VLOOKUP($D1269,'WB Data'!$C$3:$M$578,2,FALSE)</f>
        <v>10165353591.167343</v>
      </c>
      <c r="AX1269" s="117">
        <f>VLOOKUP($D1269,'WB Data'!$C$3:$M$578,3,FALSE)</f>
        <v>23967265</v>
      </c>
      <c r="AY1269" s="847">
        <f t="shared" si="215"/>
        <v>7.0391916715080447E-3</v>
      </c>
      <c r="AZ1269" s="117">
        <f>VLOOKUP($D1269,'WB Data'!$C$3:$M$578,4,FALSE)/100</f>
        <v>0.17872038962505607</v>
      </c>
      <c r="BA1269" s="117">
        <f t="shared" si="216"/>
        <v>1816755954.4898906</v>
      </c>
      <c r="BB1269" s="129">
        <f>IFERROR(VLOOKUP($D1269,'EITI Revenues'!$C$2:$G$224,5,FALSE),"..")</f>
        <v>71555872.336879551</v>
      </c>
      <c r="BC1269" s="846">
        <f t="shared" si="217"/>
        <v>3.9386617756797741E-2</v>
      </c>
      <c r="BD1269" s="129" t="e">
        <f>VLOOKUP($D1269,'WB Data 2'!$C$2:$K$545,6,FALSE)</f>
        <v>#N/A</v>
      </c>
      <c r="BE1269" s="129">
        <f>IFERROR(VLOOKUP($D1269,UNCTAD!$C$5:$V$529,4,FALSE),"..")</f>
        <v>2944331000</v>
      </c>
      <c r="BF1269" s="846" t="str">
        <f t="shared" si="218"/>
        <v>..</v>
      </c>
      <c r="BG1269" s="117">
        <f>VLOOKUP($D1269,'WB Data'!$C$3:$M$578,5,FALSE)</f>
        <v>1951530000</v>
      </c>
      <c r="BH1269" s="129">
        <f>IFERROR($BB1269/$BG1269,"..")</f>
        <v>3.6666550007880765E-2</v>
      </c>
      <c r="BI1269" s="117" t="str">
        <f>IFERROR(VLOOKUP($D1269,'WB Data'!$C$3:$M$578,7,FALSE)/100,"..")</f>
        <v>..</v>
      </c>
      <c r="BJ1269" s="117" t="str">
        <f>IFERROR($BI1269*$AW1269,"..")</f>
        <v>..</v>
      </c>
      <c r="BK1269" s="846" t="str">
        <f>IFERROR($BB1269/$BJ1269,"..")</f>
        <v>..</v>
      </c>
      <c r="BL1269" s="117" t="str">
        <f>IFERROR(VLOOKUP($D1269,'WB Data'!$C$3:$M$578,7,FALSE)/100,"..")</f>
        <v>..</v>
      </c>
      <c r="BM1269" s="117" t="str">
        <f>IFERROR($AW1269*$BL1269,"..")</f>
        <v>..</v>
      </c>
      <c r="BN1269" s="846" t="str">
        <f>IFERROR($BB1269/$BM1269,"..")</f>
        <v>..</v>
      </c>
      <c r="BO1269" s="801">
        <f t="shared" si="214"/>
        <v>31</v>
      </c>
      <c r="BP1269" s="117" t="str">
        <f>VLOOKUP($D1269,'WB Data'!$C$3:$M$578,9,FALSE)</f>
        <v>..</v>
      </c>
      <c r="BQ1269" s="117">
        <f>VLOOKUP($D1269,'WB Data'!$C$3:$M$578,10,FALSE)</f>
        <v>49.137073170731711</v>
      </c>
      <c r="BR1269" s="117">
        <f>VLOOKUP($D1269,'WB Data'!$C$3:$M$578,11,FALSE)</f>
        <v>71.8</v>
      </c>
      <c r="BS1269" s="129" t="str">
        <f>IFERROR(VLOOKUP($D1269,'WB Data 2'!$C$2:$K$545,9,FALSE),"..")</f>
        <v>..</v>
      </c>
      <c r="BT1269" s="129" t="str">
        <f>_xlfn.IFNA(VLOOKUP($C1269,RGI!$A$2:$C$43,2,FALSE),"..")</f>
        <v>..</v>
      </c>
      <c r="BU1269" s="129" t="str">
        <f>_xlfn.IFNA(VLOOKUP($C1269,RGI!$A$2:$C$43,3,FALSE),"..")</f>
        <v>..</v>
      </c>
      <c r="BV1269" s="129">
        <f>VLOOKUP($D1269,WGI!$C$2:$O$478,7,FALSE)</f>
        <v>-0.111384166086251</v>
      </c>
      <c r="BW1269" s="129">
        <f>VLOOKUP($D1269,WGI!$C$2:$O$478,4,FALSE)</f>
        <v>0.34378680262892802</v>
      </c>
      <c r="BX1269" s="129">
        <f>VLOOKUP($D1269,WGI!$C$2:$O$478,3,FALSE)</f>
        <v>-0.57351784283132501</v>
      </c>
      <c r="BY1269" s="129">
        <f>VLOOKUP($D1269,WGI!$C$2:$O$478,5,FALSE)</f>
        <v>-0.390747852895661</v>
      </c>
      <c r="BZ1269" s="129">
        <f>VLOOKUP($D1269,WGI!$C$2:$O$478,2,FALSE)</f>
        <v>-0.42918214861182602</v>
      </c>
    </row>
    <row r="1270" spans="1:80" ht="15" customHeight="1">
      <c r="A1270" s="280" t="s">
        <v>391</v>
      </c>
      <c r="B1270" s="117">
        <v>2010</v>
      </c>
      <c r="C1270" s="117" t="s">
        <v>385</v>
      </c>
      <c r="D1270" s="117" t="s">
        <v>3674</v>
      </c>
      <c r="E1270" s="117" t="s">
        <v>86</v>
      </c>
      <c r="F1270" s="117"/>
      <c r="G1270" s="117" t="s">
        <v>24</v>
      </c>
      <c r="H1270" s="117" t="str">
        <f t="shared" si="219"/>
        <v>yes</v>
      </c>
      <c r="I1270" s="117" t="str">
        <f t="shared" si="221"/>
        <v>no</v>
      </c>
      <c r="J1270" s="117" t="str">
        <f t="shared" si="222"/>
        <v>no</v>
      </c>
      <c r="K1270" s="117" t="s">
        <v>600</v>
      </c>
      <c r="L1270" s="117" t="str">
        <f t="shared" si="220"/>
        <v>Total</v>
      </c>
      <c r="M1270" s="117" t="str">
        <f t="shared" si="223"/>
        <v>Total Mining</v>
      </c>
      <c r="N1270" s="118"/>
      <c r="O1270" s="118"/>
      <c r="P1270" s="118"/>
      <c r="Q1270" s="118"/>
      <c r="R1270" s="118"/>
      <c r="S1270" s="117"/>
      <c r="T1270" s="119"/>
      <c r="U1270" s="117"/>
      <c r="V1270" s="117"/>
      <c r="W1270" s="89">
        <f>SUM(W1271:W1281)</f>
        <v>106015210.89584905</v>
      </c>
      <c r="X1270" s="117"/>
      <c r="Y1270" s="117"/>
      <c r="Z1270" s="117"/>
      <c r="AA1270" s="89">
        <v>17343057.384864546</v>
      </c>
      <c r="AB1270" s="89">
        <v>16910561.804770317</v>
      </c>
      <c r="AC1270" s="240"/>
      <c r="AD1270" s="240"/>
      <c r="AE1270" s="240"/>
      <c r="AF1270" s="241">
        <f>AA1270/W1270</f>
        <v>0.16359027387025271</v>
      </c>
      <c r="AG1270" s="117"/>
      <c r="AH1270" s="124"/>
      <c r="AI1270" s="117"/>
      <c r="AJ1270" s="117"/>
      <c r="AK1270" s="89"/>
      <c r="AL1270" s="117"/>
      <c r="AM1270" s="117"/>
      <c r="AN1270" s="117">
        <v>34</v>
      </c>
      <c r="AO1270" s="117" t="s">
        <v>1903</v>
      </c>
      <c r="AP1270" s="117">
        <v>32</v>
      </c>
      <c r="AQ1270" s="117"/>
      <c r="AR1270" s="117"/>
      <c r="AS1270" s="117"/>
      <c r="AT1270" s="117"/>
      <c r="AU1270" s="117" t="s">
        <v>1900</v>
      </c>
      <c r="AV1270" s="128"/>
      <c r="AW1270" s="117">
        <f>VLOOKUP($D1270,'WB Data'!$C$3:$M$578,2,FALSE)</f>
        <v>10165353591.167343</v>
      </c>
      <c r="AX1270" s="117">
        <f>VLOOKUP($D1270,'WB Data'!$C$3:$M$578,3,FALSE)</f>
        <v>23967265</v>
      </c>
      <c r="AY1270" s="847">
        <f t="shared" si="215"/>
        <v>7.0391916715080447E-3</v>
      </c>
      <c r="AZ1270" s="117">
        <f>VLOOKUP($D1270,'WB Data'!$C$3:$M$578,4,FALSE)/100</f>
        <v>0.17872038962505607</v>
      </c>
      <c r="BA1270" s="117">
        <f t="shared" si="216"/>
        <v>1816755954.4898906</v>
      </c>
      <c r="BB1270" s="129">
        <f>IFERROR(VLOOKUP($D1270,'EITI Revenues'!$C$2:$G$224,5,FALSE),"..")</f>
        <v>71555872.336879551</v>
      </c>
      <c r="BC1270" s="846">
        <f t="shared" si="217"/>
        <v>3.9386617756797741E-2</v>
      </c>
      <c r="BD1270" s="129" t="e">
        <f>VLOOKUP($D1270,'WB Data 2'!$C$2:$K$545,6,FALSE)</f>
        <v>#N/A</v>
      </c>
      <c r="BE1270" s="129">
        <f>IFERROR(VLOOKUP($D1270,UNCTAD!$C$5:$V$529,4,FALSE),"..")</f>
        <v>2944331000</v>
      </c>
      <c r="BF1270" s="846" t="str">
        <f t="shared" si="218"/>
        <v>..</v>
      </c>
      <c r="BG1270" s="117">
        <f>VLOOKUP($D1270,'WB Data'!$C$3:$M$578,5,FALSE)</f>
        <v>1951530000</v>
      </c>
      <c r="BH1270" s="129">
        <f>IFERROR($BB1270/$BG1270,"..")</f>
        <v>3.6666550007880765E-2</v>
      </c>
      <c r="BI1270" s="117" t="str">
        <f>IFERROR(VLOOKUP($D1270,'WB Data'!$C$3:$M$578,7,FALSE)/100,"..")</f>
        <v>..</v>
      </c>
      <c r="BJ1270" s="117" t="str">
        <f>IFERROR($BI1270*$AW1270,"..")</f>
        <v>..</v>
      </c>
      <c r="BK1270" s="846" t="str">
        <f>IFERROR($BB1270/$BJ1270,"..")</f>
        <v>..</v>
      </c>
      <c r="BL1270" s="117" t="str">
        <f>IFERROR(VLOOKUP($D1270,'WB Data'!$C$3:$M$578,7,FALSE)/100,"..")</f>
        <v>..</v>
      </c>
      <c r="BM1270" s="117" t="str">
        <f>IFERROR($AW1270*$BL1270,"..")</f>
        <v>..</v>
      </c>
      <c r="BN1270" s="846" t="str">
        <f>IFERROR($BB1270/$BM1270,"..")</f>
        <v>..</v>
      </c>
      <c r="BO1270" s="801">
        <f t="shared" si="214"/>
        <v>31</v>
      </c>
      <c r="BP1270" s="117" t="str">
        <f>VLOOKUP($D1270,'WB Data'!$C$3:$M$578,9,FALSE)</f>
        <v>..</v>
      </c>
      <c r="BQ1270" s="117">
        <f>VLOOKUP($D1270,'WB Data'!$C$3:$M$578,10,FALSE)</f>
        <v>49.137073170731711</v>
      </c>
      <c r="BR1270" s="117">
        <f>VLOOKUP($D1270,'WB Data'!$C$3:$M$578,11,FALSE)</f>
        <v>71.8</v>
      </c>
      <c r="BS1270" s="129" t="str">
        <f>IFERROR(VLOOKUP($D1270,'WB Data 2'!$C$2:$K$545,9,FALSE),"..")</f>
        <v>..</v>
      </c>
      <c r="BT1270" s="129" t="str">
        <f>_xlfn.IFNA(VLOOKUP($C1270,RGI!$A$2:$C$43,2,FALSE),"..")</f>
        <v>..</v>
      </c>
      <c r="BU1270" s="129" t="str">
        <f>_xlfn.IFNA(VLOOKUP($C1270,RGI!$A$2:$C$43,3,FALSE),"..")</f>
        <v>..</v>
      </c>
      <c r="BV1270" s="129">
        <f>VLOOKUP($D1270,WGI!$C$2:$O$478,7,FALSE)</f>
        <v>-0.111384166086251</v>
      </c>
      <c r="BW1270" s="129">
        <f>VLOOKUP($D1270,WGI!$C$2:$O$478,4,FALSE)</f>
        <v>0.34378680262892802</v>
      </c>
      <c r="BX1270" s="129">
        <f>VLOOKUP($D1270,WGI!$C$2:$O$478,3,FALSE)</f>
        <v>-0.57351784283132501</v>
      </c>
      <c r="BY1270" s="129">
        <f>VLOOKUP($D1270,WGI!$C$2:$O$478,5,FALSE)</f>
        <v>-0.390747852895661</v>
      </c>
      <c r="BZ1270" s="129">
        <f>VLOOKUP($D1270,WGI!$C$2:$O$478,2,FALSE)</f>
        <v>-0.42918214861182602</v>
      </c>
    </row>
    <row r="1271" spans="1:80" ht="15" customHeight="1">
      <c r="A1271" s="280" t="s">
        <v>391</v>
      </c>
      <c r="B1271" s="117">
        <v>2010</v>
      </c>
      <c r="C1271" s="117" t="s">
        <v>385</v>
      </c>
      <c r="D1271" s="117" t="s">
        <v>3674</v>
      </c>
      <c r="E1271" s="117" t="s">
        <v>86</v>
      </c>
      <c r="F1271" s="117"/>
      <c r="G1271" s="117" t="s">
        <v>24</v>
      </c>
      <c r="H1271" s="117" t="str">
        <f t="shared" si="219"/>
        <v>yes</v>
      </c>
      <c r="I1271" s="117" t="str">
        <f t="shared" si="221"/>
        <v>no</v>
      </c>
      <c r="J1271" s="117" t="str">
        <f t="shared" si="222"/>
        <v>no</v>
      </c>
      <c r="K1271" s="117" t="s">
        <v>616</v>
      </c>
      <c r="L1271" s="117" t="str">
        <f t="shared" si="220"/>
        <v>detailed</v>
      </c>
      <c r="M1271" s="117" t="str">
        <f t="shared" si="223"/>
        <v>detailed Mining</v>
      </c>
      <c r="N1271" s="118">
        <f>42000*0.90718474</f>
        <v>38101.759080000003</v>
      </c>
      <c r="O1271" s="118"/>
      <c r="P1271" s="118"/>
      <c r="Q1271" s="118"/>
      <c r="R1271" s="118"/>
      <c r="S1271" s="117" t="s">
        <v>610</v>
      </c>
      <c r="T1271" s="119">
        <v>89.852021850427363</v>
      </c>
      <c r="U1271" s="117" t="s">
        <v>611</v>
      </c>
      <c r="V1271" s="117" t="s">
        <v>1871</v>
      </c>
      <c r="W1271" s="89">
        <f>N1271*T1271</f>
        <v>3423520.0893958793</v>
      </c>
      <c r="X1271" s="117"/>
      <c r="Y1271" s="117"/>
      <c r="Z1271" s="117"/>
      <c r="AA1271" s="89"/>
      <c r="AB1271" s="89"/>
      <c r="AC1271" s="240"/>
      <c r="AD1271" s="240"/>
      <c r="AE1271" s="240"/>
      <c r="AF1271" s="241"/>
      <c r="AG1271" s="117"/>
      <c r="AH1271" s="124"/>
      <c r="AI1271" s="117"/>
      <c r="AJ1271" s="117"/>
      <c r="AK1271" s="89"/>
      <c r="AL1271" s="117"/>
      <c r="AM1271" s="117"/>
      <c r="AN1271" s="117"/>
      <c r="AO1271" s="117"/>
      <c r="AP1271" s="117"/>
      <c r="AQ1271" s="117"/>
      <c r="AR1271" s="117"/>
      <c r="AS1271" s="117"/>
      <c r="AT1271" s="117"/>
      <c r="AU1271" s="117"/>
      <c r="AV1271" s="128"/>
      <c r="AW1271" s="117">
        <f>VLOOKUP($D1271,'WB Data'!$C$3:$M$578,2,FALSE)</f>
        <v>10165353591.167343</v>
      </c>
      <c r="AX1271" s="117">
        <f>VLOOKUP($D1271,'WB Data'!$C$3:$M$578,3,FALSE)</f>
        <v>23967265</v>
      </c>
      <c r="AY1271" s="847">
        <f t="shared" si="215"/>
        <v>7.0391916715080447E-3</v>
      </c>
      <c r="AZ1271" s="117">
        <f>VLOOKUP($D1271,'WB Data'!$C$3:$M$578,4,FALSE)/100</f>
        <v>0.17872038962505607</v>
      </c>
      <c r="BA1271" s="117">
        <f t="shared" si="216"/>
        <v>1816755954.4898906</v>
      </c>
      <c r="BB1271" s="129">
        <f>IFERROR(VLOOKUP($D1271,'EITI Revenues'!$C$2:$G$224,5,FALSE),"..")</f>
        <v>71555872.336879551</v>
      </c>
      <c r="BC1271" s="846">
        <f t="shared" si="217"/>
        <v>3.9386617756797741E-2</v>
      </c>
      <c r="BD1271" s="129" t="e">
        <f>VLOOKUP($D1271,'WB Data 2'!$C$2:$K$545,6,FALSE)</f>
        <v>#N/A</v>
      </c>
      <c r="BE1271" s="129">
        <f>IFERROR(VLOOKUP($D1271,UNCTAD!$C$5:$V$529,4,FALSE),"..")</f>
        <v>2944331000</v>
      </c>
      <c r="BF1271" s="846" t="str">
        <f t="shared" si="218"/>
        <v>..</v>
      </c>
      <c r="BG1271" s="117">
        <f>VLOOKUP($D1271,'WB Data'!$C$3:$M$578,5,FALSE)</f>
        <v>1951530000</v>
      </c>
      <c r="BH1271" s="129">
        <f>IFERROR($BB1271/$BG1271,"..")</f>
        <v>3.6666550007880765E-2</v>
      </c>
      <c r="BI1271" s="117" t="str">
        <f>IFERROR(VLOOKUP($D1271,'WB Data'!$C$3:$M$578,7,FALSE)/100,"..")</f>
        <v>..</v>
      </c>
      <c r="BJ1271" s="117" t="str">
        <f>IFERROR($BI1271*$AW1271,"..")</f>
        <v>..</v>
      </c>
      <c r="BK1271" s="846" t="str">
        <f>IFERROR($BB1271/$BJ1271,"..")</f>
        <v>..</v>
      </c>
      <c r="BL1271" s="117" t="str">
        <f>IFERROR(VLOOKUP($D1271,'WB Data'!$C$3:$M$578,7,FALSE)/100,"..")</f>
        <v>..</v>
      </c>
      <c r="BM1271" s="117" t="str">
        <f>IFERROR($AW1271*$BL1271,"..")</f>
        <v>..</v>
      </c>
      <c r="BN1271" s="846" t="str">
        <f>IFERROR($BB1271/$BM1271,"..")</f>
        <v>..</v>
      </c>
      <c r="BO1271" s="801">
        <f t="shared" si="214"/>
        <v>31</v>
      </c>
      <c r="BP1271" s="117" t="str">
        <f>VLOOKUP($D1271,'WB Data'!$C$3:$M$578,9,FALSE)</f>
        <v>..</v>
      </c>
      <c r="BQ1271" s="117">
        <f>VLOOKUP($D1271,'WB Data'!$C$3:$M$578,10,FALSE)</f>
        <v>49.137073170731711</v>
      </c>
      <c r="BR1271" s="117">
        <f>VLOOKUP($D1271,'WB Data'!$C$3:$M$578,11,FALSE)</f>
        <v>71.8</v>
      </c>
      <c r="BS1271" s="129" t="str">
        <f>IFERROR(VLOOKUP($D1271,'WB Data 2'!$C$2:$K$545,9,FALSE),"..")</f>
        <v>..</v>
      </c>
      <c r="BT1271" s="129" t="str">
        <f>_xlfn.IFNA(VLOOKUP($C1271,RGI!$A$2:$C$43,2,FALSE),"..")</f>
        <v>..</v>
      </c>
      <c r="BU1271" s="129" t="str">
        <f>_xlfn.IFNA(VLOOKUP($C1271,RGI!$A$2:$C$43,3,FALSE),"..")</f>
        <v>..</v>
      </c>
      <c r="BV1271" s="129">
        <f>VLOOKUP($D1271,WGI!$C$2:$O$478,7,FALSE)</f>
        <v>-0.111384166086251</v>
      </c>
      <c r="BW1271" s="129">
        <f>VLOOKUP($D1271,WGI!$C$2:$O$478,4,FALSE)</f>
        <v>0.34378680262892802</v>
      </c>
      <c r="BX1271" s="129">
        <f>VLOOKUP($D1271,WGI!$C$2:$O$478,3,FALSE)</f>
        <v>-0.57351784283132501</v>
      </c>
      <c r="BY1271" s="129">
        <f>VLOOKUP($D1271,WGI!$C$2:$O$478,5,FALSE)</f>
        <v>-0.390747852895661</v>
      </c>
      <c r="BZ1271" s="129">
        <f>VLOOKUP($D1271,WGI!$C$2:$O$478,2,FALSE)</f>
        <v>-0.42918214861182602</v>
      </c>
    </row>
    <row r="1272" spans="1:80" ht="15" customHeight="1">
      <c r="A1272" s="280" t="s">
        <v>391</v>
      </c>
      <c r="B1272" s="117">
        <v>2010</v>
      </c>
      <c r="C1272" s="117" t="s">
        <v>385</v>
      </c>
      <c r="D1272" s="117" t="s">
        <v>3674</v>
      </c>
      <c r="E1272" s="117" t="s">
        <v>86</v>
      </c>
      <c r="F1272" s="117"/>
      <c r="G1272" s="117" t="s">
        <v>24</v>
      </c>
      <c r="H1272" s="117" t="str">
        <f t="shared" si="219"/>
        <v>yes</v>
      </c>
      <c r="I1272" s="117" t="str">
        <f t="shared" si="221"/>
        <v>no</v>
      </c>
      <c r="J1272" s="117" t="str">
        <f t="shared" si="222"/>
        <v>no</v>
      </c>
      <c r="K1272" s="117" t="s">
        <v>1065</v>
      </c>
      <c r="L1272" s="117" t="str">
        <f t="shared" si="220"/>
        <v>detailed</v>
      </c>
      <c r="M1272" s="117" t="str">
        <f t="shared" si="223"/>
        <v>detailed Mining</v>
      </c>
      <c r="N1272" s="118"/>
      <c r="O1272" s="118"/>
      <c r="P1272" s="118"/>
      <c r="Q1272" s="118"/>
      <c r="R1272" s="118"/>
      <c r="S1272" s="117"/>
      <c r="T1272" s="119"/>
      <c r="U1272" s="117"/>
      <c r="V1272" s="117"/>
      <c r="W1272" s="89"/>
      <c r="X1272" s="117"/>
      <c r="Y1272" s="117"/>
      <c r="Z1272" s="117"/>
      <c r="AA1272" s="89"/>
      <c r="AB1272" s="89"/>
      <c r="AC1272" s="240"/>
      <c r="AD1272" s="240"/>
      <c r="AE1272" s="240"/>
      <c r="AF1272" s="241"/>
      <c r="AG1272" s="117"/>
      <c r="AH1272" s="124"/>
      <c r="AI1272" s="117"/>
      <c r="AJ1272" s="117"/>
      <c r="AK1272" s="89"/>
      <c r="AL1272" s="117"/>
      <c r="AM1272" s="117"/>
      <c r="AN1272" s="117"/>
      <c r="AO1272" s="117"/>
      <c r="AP1272" s="117"/>
      <c r="AQ1272" s="117"/>
      <c r="AR1272" s="117"/>
      <c r="AS1272" s="117"/>
      <c r="AT1272" s="117"/>
      <c r="AU1272" s="117"/>
      <c r="AV1272" s="128"/>
      <c r="AW1272" s="117">
        <f>VLOOKUP($D1272,'WB Data'!$C$3:$M$578,2,FALSE)</f>
        <v>10165353591.167343</v>
      </c>
      <c r="AX1272" s="117">
        <f>VLOOKUP($D1272,'WB Data'!$C$3:$M$578,3,FALSE)</f>
        <v>23967265</v>
      </c>
      <c r="AY1272" s="847">
        <f t="shared" si="215"/>
        <v>7.0391916715080447E-3</v>
      </c>
      <c r="AZ1272" s="117">
        <f>VLOOKUP($D1272,'WB Data'!$C$3:$M$578,4,FALSE)/100</f>
        <v>0.17872038962505607</v>
      </c>
      <c r="BA1272" s="117">
        <f t="shared" si="216"/>
        <v>1816755954.4898906</v>
      </c>
      <c r="BB1272" s="129">
        <f>IFERROR(VLOOKUP($D1272,'EITI Revenues'!$C$2:$G$224,5,FALSE),"..")</f>
        <v>71555872.336879551</v>
      </c>
      <c r="BC1272" s="846">
        <f t="shared" si="217"/>
        <v>3.9386617756797741E-2</v>
      </c>
      <c r="BD1272" s="129" t="e">
        <f>VLOOKUP($D1272,'WB Data 2'!$C$2:$K$545,6,FALSE)</f>
        <v>#N/A</v>
      </c>
      <c r="BE1272" s="129">
        <f>IFERROR(VLOOKUP($D1272,UNCTAD!$C$5:$V$529,4,FALSE),"..")</f>
        <v>2944331000</v>
      </c>
      <c r="BF1272" s="846" t="str">
        <f t="shared" si="218"/>
        <v>..</v>
      </c>
      <c r="BG1272" s="117">
        <f>VLOOKUP($D1272,'WB Data'!$C$3:$M$578,5,FALSE)</f>
        <v>1951530000</v>
      </c>
      <c r="BH1272" s="129">
        <f>IFERROR($BB1272/$BG1272,"..")</f>
        <v>3.6666550007880765E-2</v>
      </c>
      <c r="BI1272" s="117" t="str">
        <f>IFERROR(VLOOKUP($D1272,'WB Data'!$C$3:$M$578,7,FALSE)/100,"..")</f>
        <v>..</v>
      </c>
      <c r="BJ1272" s="117" t="str">
        <f>IFERROR($BI1272*$AW1272,"..")</f>
        <v>..</v>
      </c>
      <c r="BK1272" s="846" t="str">
        <f>IFERROR($BB1272/$BJ1272,"..")</f>
        <v>..</v>
      </c>
      <c r="BL1272" s="117" t="str">
        <f>IFERROR(VLOOKUP($D1272,'WB Data'!$C$3:$M$578,7,FALSE)/100,"..")</f>
        <v>..</v>
      </c>
      <c r="BM1272" s="117" t="str">
        <f>IFERROR($AW1272*$BL1272,"..")</f>
        <v>..</v>
      </c>
      <c r="BN1272" s="846" t="str">
        <f>IFERROR($BB1272/$BM1272,"..")</f>
        <v>..</v>
      </c>
      <c r="BO1272" s="801">
        <f t="shared" si="214"/>
        <v>31</v>
      </c>
      <c r="BP1272" s="117" t="str">
        <f>VLOOKUP($D1272,'WB Data'!$C$3:$M$578,9,FALSE)</f>
        <v>..</v>
      </c>
      <c r="BQ1272" s="117">
        <f>VLOOKUP($D1272,'WB Data'!$C$3:$M$578,10,FALSE)</f>
        <v>49.137073170731711</v>
      </c>
      <c r="BR1272" s="117">
        <f>VLOOKUP($D1272,'WB Data'!$C$3:$M$578,11,FALSE)</f>
        <v>71.8</v>
      </c>
      <c r="BS1272" s="129" t="str">
        <f>IFERROR(VLOOKUP($D1272,'WB Data 2'!$C$2:$K$545,9,FALSE),"..")</f>
        <v>..</v>
      </c>
      <c r="BT1272" s="129" t="str">
        <f>_xlfn.IFNA(VLOOKUP($C1272,RGI!$A$2:$C$43,2,FALSE),"..")</f>
        <v>..</v>
      </c>
      <c r="BU1272" s="129" t="str">
        <f>_xlfn.IFNA(VLOOKUP($C1272,RGI!$A$2:$C$43,3,FALSE),"..")</f>
        <v>..</v>
      </c>
      <c r="BV1272" s="129">
        <f>VLOOKUP($D1272,WGI!$C$2:$O$478,7,FALSE)</f>
        <v>-0.111384166086251</v>
      </c>
      <c r="BW1272" s="129">
        <f>VLOOKUP($D1272,WGI!$C$2:$O$478,4,FALSE)</f>
        <v>0.34378680262892802</v>
      </c>
      <c r="BX1272" s="129">
        <f>VLOOKUP($D1272,WGI!$C$2:$O$478,3,FALSE)</f>
        <v>-0.57351784283132501</v>
      </c>
      <c r="BY1272" s="129">
        <f>VLOOKUP($D1272,WGI!$C$2:$O$478,5,FALSE)</f>
        <v>-0.390747852895661</v>
      </c>
      <c r="BZ1272" s="129">
        <f>VLOOKUP($D1272,WGI!$C$2:$O$478,2,FALSE)</f>
        <v>-0.42918214861182602</v>
      </c>
    </row>
    <row r="1273" spans="1:80" ht="15" customHeight="1">
      <c r="A1273" s="280" t="s">
        <v>391</v>
      </c>
      <c r="B1273" s="117">
        <v>2010</v>
      </c>
      <c r="C1273" s="117" t="s">
        <v>385</v>
      </c>
      <c r="D1273" s="117" t="s">
        <v>3674</v>
      </c>
      <c r="E1273" s="117" t="s">
        <v>86</v>
      </c>
      <c r="F1273" s="117"/>
      <c r="G1273" s="117" t="s">
        <v>24</v>
      </c>
      <c r="H1273" s="117" t="str">
        <f t="shared" si="219"/>
        <v>yes</v>
      </c>
      <c r="I1273" s="117" t="str">
        <f t="shared" si="221"/>
        <v>no</v>
      </c>
      <c r="J1273" s="117" t="str">
        <f t="shared" si="222"/>
        <v>no</v>
      </c>
      <c r="K1273" s="117" t="s">
        <v>1066</v>
      </c>
      <c r="L1273" s="117" t="str">
        <f t="shared" si="220"/>
        <v>detailed</v>
      </c>
      <c r="M1273" s="117" t="str">
        <f t="shared" si="223"/>
        <v>detailed Mining</v>
      </c>
      <c r="N1273" s="118">
        <v>55054</v>
      </c>
      <c r="O1273" s="118"/>
      <c r="P1273" s="118"/>
      <c r="Q1273" s="118"/>
      <c r="R1273" s="118"/>
      <c r="S1273" s="117" t="s">
        <v>967</v>
      </c>
      <c r="T1273" s="119"/>
      <c r="U1273" s="117"/>
      <c r="V1273" s="117" t="s">
        <v>684</v>
      </c>
      <c r="W1273" s="89"/>
      <c r="X1273" s="117"/>
      <c r="Y1273" s="117"/>
      <c r="Z1273" s="117"/>
      <c r="AA1273" s="89"/>
      <c r="AB1273" s="89"/>
      <c r="AC1273" s="240"/>
      <c r="AD1273" s="240"/>
      <c r="AE1273" s="240"/>
      <c r="AF1273" s="241"/>
      <c r="AG1273" s="117"/>
      <c r="AH1273" s="124"/>
      <c r="AI1273" s="117"/>
      <c r="AJ1273" s="117"/>
      <c r="AK1273" s="89"/>
      <c r="AL1273" s="117"/>
      <c r="AM1273" s="117"/>
      <c r="AN1273" s="117"/>
      <c r="AO1273" s="117"/>
      <c r="AP1273" s="117"/>
      <c r="AQ1273" s="117"/>
      <c r="AR1273" s="117"/>
      <c r="AS1273" s="117"/>
      <c r="AT1273" s="117"/>
      <c r="AU1273" s="117"/>
      <c r="AV1273" s="128"/>
      <c r="AW1273" s="117">
        <f>VLOOKUP($D1273,'WB Data'!$C$3:$M$578,2,FALSE)</f>
        <v>10165353591.167343</v>
      </c>
      <c r="AX1273" s="117">
        <f>VLOOKUP($D1273,'WB Data'!$C$3:$M$578,3,FALSE)</f>
        <v>23967265</v>
      </c>
      <c r="AY1273" s="847">
        <f t="shared" si="215"/>
        <v>7.0391916715080447E-3</v>
      </c>
      <c r="AZ1273" s="117">
        <f>VLOOKUP($D1273,'WB Data'!$C$3:$M$578,4,FALSE)/100</f>
        <v>0.17872038962505607</v>
      </c>
      <c r="BA1273" s="117">
        <f t="shared" si="216"/>
        <v>1816755954.4898906</v>
      </c>
      <c r="BB1273" s="129">
        <f>IFERROR(VLOOKUP($D1273,'EITI Revenues'!$C$2:$G$224,5,FALSE),"..")</f>
        <v>71555872.336879551</v>
      </c>
      <c r="BC1273" s="846">
        <f t="shared" si="217"/>
        <v>3.9386617756797741E-2</v>
      </c>
      <c r="BD1273" s="129" t="e">
        <f>VLOOKUP($D1273,'WB Data 2'!$C$2:$K$545,6,FALSE)</f>
        <v>#N/A</v>
      </c>
      <c r="BE1273" s="129">
        <f>IFERROR(VLOOKUP($D1273,UNCTAD!$C$5:$V$529,4,FALSE),"..")</f>
        <v>2944331000</v>
      </c>
      <c r="BF1273" s="846" t="str">
        <f t="shared" si="218"/>
        <v>..</v>
      </c>
      <c r="BG1273" s="117">
        <f>VLOOKUP($D1273,'WB Data'!$C$3:$M$578,5,FALSE)</f>
        <v>1951530000</v>
      </c>
      <c r="BH1273" s="129">
        <f>IFERROR($BB1273/$BG1273,"..")</f>
        <v>3.6666550007880765E-2</v>
      </c>
      <c r="BI1273" s="117" t="str">
        <f>IFERROR(VLOOKUP($D1273,'WB Data'!$C$3:$M$578,7,FALSE)/100,"..")</f>
        <v>..</v>
      </c>
      <c r="BJ1273" s="117" t="str">
        <f>IFERROR($BI1273*$AW1273,"..")</f>
        <v>..</v>
      </c>
      <c r="BK1273" s="846" t="str">
        <f>IFERROR($BB1273/$BJ1273,"..")</f>
        <v>..</v>
      </c>
      <c r="BL1273" s="117" t="str">
        <f>IFERROR(VLOOKUP($D1273,'WB Data'!$C$3:$M$578,7,FALSE)/100,"..")</f>
        <v>..</v>
      </c>
      <c r="BM1273" s="117" t="str">
        <f>IFERROR($AW1273*$BL1273,"..")</f>
        <v>..</v>
      </c>
      <c r="BN1273" s="846" t="str">
        <f>IFERROR($BB1273/$BM1273,"..")</f>
        <v>..</v>
      </c>
      <c r="BO1273" s="801">
        <f t="shared" si="214"/>
        <v>31</v>
      </c>
      <c r="BP1273" s="117" t="str">
        <f>VLOOKUP($D1273,'WB Data'!$C$3:$M$578,9,FALSE)</f>
        <v>..</v>
      </c>
      <c r="BQ1273" s="117">
        <f>VLOOKUP($D1273,'WB Data'!$C$3:$M$578,10,FALSE)</f>
        <v>49.137073170731711</v>
      </c>
      <c r="BR1273" s="117">
        <f>VLOOKUP($D1273,'WB Data'!$C$3:$M$578,11,FALSE)</f>
        <v>71.8</v>
      </c>
      <c r="BS1273" s="129" t="str">
        <f>IFERROR(VLOOKUP($D1273,'WB Data 2'!$C$2:$K$545,9,FALSE),"..")</f>
        <v>..</v>
      </c>
      <c r="BT1273" s="129" t="str">
        <f>_xlfn.IFNA(VLOOKUP($C1273,RGI!$A$2:$C$43,2,FALSE),"..")</f>
        <v>..</v>
      </c>
      <c r="BU1273" s="129" t="str">
        <f>_xlfn.IFNA(VLOOKUP($C1273,RGI!$A$2:$C$43,3,FALSE),"..")</f>
        <v>..</v>
      </c>
      <c r="BV1273" s="129">
        <f>VLOOKUP($D1273,WGI!$C$2:$O$478,7,FALSE)</f>
        <v>-0.111384166086251</v>
      </c>
      <c r="BW1273" s="129">
        <f>VLOOKUP($D1273,WGI!$C$2:$O$478,4,FALSE)</f>
        <v>0.34378680262892802</v>
      </c>
      <c r="BX1273" s="129">
        <f>VLOOKUP($D1273,WGI!$C$2:$O$478,3,FALSE)</f>
        <v>-0.57351784283132501</v>
      </c>
      <c r="BY1273" s="129">
        <f>VLOOKUP($D1273,WGI!$C$2:$O$478,5,FALSE)</f>
        <v>-0.390747852895661</v>
      </c>
      <c r="BZ1273" s="129">
        <f>VLOOKUP($D1273,WGI!$C$2:$O$478,2,FALSE)</f>
        <v>-0.42918214861182602</v>
      </c>
    </row>
    <row r="1274" spans="1:80" ht="15" customHeight="1">
      <c r="A1274" s="280" t="s">
        <v>391</v>
      </c>
      <c r="B1274" s="117">
        <v>2010</v>
      </c>
      <c r="C1274" s="117" t="s">
        <v>385</v>
      </c>
      <c r="D1274" s="117" t="s">
        <v>3674</v>
      </c>
      <c r="E1274" s="117" t="s">
        <v>86</v>
      </c>
      <c r="F1274" s="117"/>
      <c r="G1274" s="117" t="s">
        <v>24</v>
      </c>
      <c r="H1274" s="117" t="str">
        <f t="shared" si="219"/>
        <v>yes</v>
      </c>
      <c r="I1274" s="117" t="str">
        <f t="shared" si="221"/>
        <v>no</v>
      </c>
      <c r="J1274" s="117" t="str">
        <f t="shared" si="222"/>
        <v>no</v>
      </c>
      <c r="K1274" s="117" t="s">
        <v>1067</v>
      </c>
      <c r="L1274" s="117" t="str">
        <f t="shared" si="220"/>
        <v>detailed</v>
      </c>
      <c r="M1274" s="117" t="str">
        <f t="shared" si="223"/>
        <v>detailed Mining</v>
      </c>
      <c r="N1274" s="118">
        <v>3.9</v>
      </c>
      <c r="O1274" s="118"/>
      <c r="P1274" s="118"/>
      <c r="Q1274" s="118"/>
      <c r="R1274" s="118"/>
      <c r="S1274" s="117" t="s">
        <v>610</v>
      </c>
      <c r="T1274" s="119">
        <v>37781</v>
      </c>
      <c r="U1274" s="117" t="s">
        <v>611</v>
      </c>
      <c r="V1274" s="117" t="s">
        <v>1091</v>
      </c>
      <c r="W1274" s="89">
        <f t="shared" ref="W1274:W1281" si="224">N1274*T1274</f>
        <v>147345.9</v>
      </c>
      <c r="X1274" s="117"/>
      <c r="Y1274" s="117"/>
      <c r="Z1274" s="117"/>
      <c r="AA1274" s="89"/>
      <c r="AB1274" s="89"/>
      <c r="AC1274" s="240"/>
      <c r="AD1274" s="240"/>
      <c r="AE1274" s="240"/>
      <c r="AF1274" s="241"/>
      <c r="AG1274" s="117"/>
      <c r="AH1274" s="124"/>
      <c r="AI1274" s="117"/>
      <c r="AJ1274" s="117"/>
      <c r="AK1274" s="89"/>
      <c r="AL1274" s="117"/>
      <c r="AM1274" s="117"/>
      <c r="AN1274" s="117"/>
      <c r="AO1274" s="117"/>
      <c r="AP1274" s="117"/>
      <c r="AQ1274" s="117"/>
      <c r="AR1274" s="117"/>
      <c r="AS1274" s="117"/>
      <c r="AT1274" s="117"/>
      <c r="AU1274" s="117"/>
      <c r="AV1274" s="128"/>
      <c r="AW1274" s="117">
        <f>VLOOKUP($D1274,'WB Data'!$C$3:$M$578,2,FALSE)</f>
        <v>10165353591.167343</v>
      </c>
      <c r="AX1274" s="117">
        <f>VLOOKUP($D1274,'WB Data'!$C$3:$M$578,3,FALSE)</f>
        <v>23967265</v>
      </c>
      <c r="AY1274" s="847">
        <f t="shared" si="215"/>
        <v>7.0391916715080447E-3</v>
      </c>
      <c r="AZ1274" s="117">
        <f>VLOOKUP($D1274,'WB Data'!$C$3:$M$578,4,FALSE)/100</f>
        <v>0.17872038962505607</v>
      </c>
      <c r="BA1274" s="117">
        <f t="shared" si="216"/>
        <v>1816755954.4898906</v>
      </c>
      <c r="BB1274" s="129">
        <f>IFERROR(VLOOKUP($D1274,'EITI Revenues'!$C$2:$G$224,5,FALSE),"..")</f>
        <v>71555872.336879551</v>
      </c>
      <c r="BC1274" s="846">
        <f t="shared" si="217"/>
        <v>3.9386617756797741E-2</v>
      </c>
      <c r="BD1274" s="129" t="e">
        <f>VLOOKUP($D1274,'WB Data 2'!$C$2:$K$545,6,FALSE)</f>
        <v>#N/A</v>
      </c>
      <c r="BE1274" s="129">
        <f>IFERROR(VLOOKUP($D1274,UNCTAD!$C$5:$V$529,4,FALSE),"..")</f>
        <v>2944331000</v>
      </c>
      <c r="BF1274" s="846" t="str">
        <f t="shared" si="218"/>
        <v>..</v>
      </c>
      <c r="BG1274" s="117">
        <f>VLOOKUP($D1274,'WB Data'!$C$3:$M$578,5,FALSE)</f>
        <v>1951530000</v>
      </c>
      <c r="BH1274" s="129">
        <f>IFERROR($BB1274/$BG1274,"..")</f>
        <v>3.6666550007880765E-2</v>
      </c>
      <c r="BI1274" s="117" t="str">
        <f>IFERROR(VLOOKUP($D1274,'WB Data'!$C$3:$M$578,7,FALSE)/100,"..")</f>
        <v>..</v>
      </c>
      <c r="BJ1274" s="117" t="str">
        <f>IFERROR($BI1274*$AW1274,"..")</f>
        <v>..</v>
      </c>
      <c r="BK1274" s="846" t="str">
        <f>IFERROR($BB1274/$BJ1274,"..")</f>
        <v>..</v>
      </c>
      <c r="BL1274" s="117" t="str">
        <f>IFERROR(VLOOKUP($D1274,'WB Data'!$C$3:$M$578,7,FALSE)/100,"..")</f>
        <v>..</v>
      </c>
      <c r="BM1274" s="117" t="str">
        <f>IFERROR($AW1274*$BL1274,"..")</f>
        <v>..</v>
      </c>
      <c r="BN1274" s="846" t="str">
        <f>IFERROR($BB1274/$BM1274,"..")</f>
        <v>..</v>
      </c>
      <c r="BO1274" s="801">
        <f t="shared" si="214"/>
        <v>31</v>
      </c>
      <c r="BP1274" s="117" t="str">
        <f>VLOOKUP($D1274,'WB Data'!$C$3:$M$578,9,FALSE)</f>
        <v>..</v>
      </c>
      <c r="BQ1274" s="117">
        <f>VLOOKUP($D1274,'WB Data'!$C$3:$M$578,10,FALSE)</f>
        <v>49.137073170731711</v>
      </c>
      <c r="BR1274" s="117">
        <f>VLOOKUP($D1274,'WB Data'!$C$3:$M$578,11,FALSE)</f>
        <v>71.8</v>
      </c>
      <c r="BS1274" s="129" t="str">
        <f>IFERROR(VLOOKUP($D1274,'WB Data 2'!$C$2:$K$545,9,FALSE),"..")</f>
        <v>..</v>
      </c>
      <c r="BT1274" s="129" t="str">
        <f>_xlfn.IFNA(VLOOKUP($C1274,RGI!$A$2:$C$43,2,FALSE),"..")</f>
        <v>..</v>
      </c>
      <c r="BU1274" s="129" t="str">
        <f>_xlfn.IFNA(VLOOKUP($C1274,RGI!$A$2:$C$43,3,FALSE),"..")</f>
        <v>..</v>
      </c>
      <c r="BV1274" s="129">
        <f>VLOOKUP($D1274,WGI!$C$2:$O$478,7,FALSE)</f>
        <v>-0.111384166086251</v>
      </c>
      <c r="BW1274" s="129">
        <f>VLOOKUP($D1274,WGI!$C$2:$O$478,4,FALSE)</f>
        <v>0.34378680262892802</v>
      </c>
      <c r="BX1274" s="129">
        <f>VLOOKUP($D1274,WGI!$C$2:$O$478,3,FALSE)</f>
        <v>-0.57351784283132501</v>
      </c>
      <c r="BY1274" s="129">
        <f>VLOOKUP($D1274,WGI!$C$2:$O$478,5,FALSE)</f>
        <v>-0.390747852895661</v>
      </c>
      <c r="BZ1274" s="129">
        <f>VLOOKUP($D1274,WGI!$C$2:$O$478,2,FALSE)</f>
        <v>-0.42918214861182602</v>
      </c>
    </row>
    <row r="1275" spans="1:80" ht="15" customHeight="1">
      <c r="A1275" s="280" t="s">
        <v>391</v>
      </c>
      <c r="B1275" s="117">
        <v>2010</v>
      </c>
      <c r="C1275" s="117" t="s">
        <v>385</v>
      </c>
      <c r="D1275" s="117" t="s">
        <v>3674</v>
      </c>
      <c r="E1275" s="117" t="s">
        <v>86</v>
      </c>
      <c r="F1275" s="117"/>
      <c r="G1275" s="117" t="s">
        <v>24</v>
      </c>
      <c r="H1275" s="117" t="str">
        <f t="shared" si="219"/>
        <v>yes</v>
      </c>
      <c r="I1275" s="117" t="str">
        <f t="shared" si="221"/>
        <v>no</v>
      </c>
      <c r="J1275" s="117" t="str">
        <f t="shared" si="222"/>
        <v>no</v>
      </c>
      <c r="K1275" s="117" t="s">
        <v>1069</v>
      </c>
      <c r="L1275" s="117" t="str">
        <f t="shared" si="220"/>
        <v>detailed</v>
      </c>
      <c r="M1275" s="117" t="str">
        <f t="shared" si="223"/>
        <v>detailed Mining</v>
      </c>
      <c r="N1275" s="118">
        <v>15000</v>
      </c>
      <c r="O1275" s="118"/>
      <c r="P1275" s="118"/>
      <c r="Q1275" s="118"/>
      <c r="R1275" s="118"/>
      <c r="S1275" s="117" t="s">
        <v>967</v>
      </c>
      <c r="T1275" s="119">
        <f>54/0.453592</f>
        <v>119.04971868992399</v>
      </c>
      <c r="U1275" s="117" t="s">
        <v>1874</v>
      </c>
      <c r="V1275" s="117" t="s">
        <v>1092</v>
      </c>
      <c r="W1275" s="89">
        <f t="shared" si="224"/>
        <v>1785745.78034886</v>
      </c>
      <c r="X1275" s="117"/>
      <c r="Y1275" s="117"/>
      <c r="Z1275" s="117"/>
      <c r="AA1275" s="89"/>
      <c r="AB1275" s="89"/>
      <c r="AC1275" s="240"/>
      <c r="AD1275" s="240"/>
      <c r="AE1275" s="240"/>
      <c r="AF1275" s="241"/>
      <c r="AG1275" s="117"/>
      <c r="AH1275" s="124"/>
      <c r="AI1275" s="117"/>
      <c r="AJ1275" s="117"/>
      <c r="AK1275" s="89"/>
      <c r="AL1275" s="117"/>
      <c r="AM1275" s="117"/>
      <c r="AN1275" s="117"/>
      <c r="AO1275" s="117"/>
      <c r="AP1275" s="117"/>
      <c r="AQ1275" s="117"/>
      <c r="AR1275" s="117"/>
      <c r="AS1275" s="117"/>
      <c r="AT1275" s="117"/>
      <c r="AU1275" s="117"/>
      <c r="AV1275" s="128"/>
      <c r="AW1275" s="117">
        <f>VLOOKUP($D1275,'WB Data'!$C$3:$M$578,2,FALSE)</f>
        <v>10165353591.167343</v>
      </c>
      <c r="AX1275" s="117">
        <f>VLOOKUP($D1275,'WB Data'!$C$3:$M$578,3,FALSE)</f>
        <v>23967265</v>
      </c>
      <c r="AY1275" s="847">
        <f t="shared" si="215"/>
        <v>7.0391916715080447E-3</v>
      </c>
      <c r="AZ1275" s="117">
        <f>VLOOKUP($D1275,'WB Data'!$C$3:$M$578,4,FALSE)/100</f>
        <v>0.17872038962505607</v>
      </c>
      <c r="BA1275" s="117">
        <f t="shared" si="216"/>
        <v>1816755954.4898906</v>
      </c>
      <c r="BB1275" s="129">
        <f>IFERROR(VLOOKUP($D1275,'EITI Revenues'!$C$2:$G$224,5,FALSE),"..")</f>
        <v>71555872.336879551</v>
      </c>
      <c r="BC1275" s="846">
        <f t="shared" si="217"/>
        <v>3.9386617756797741E-2</v>
      </c>
      <c r="BD1275" s="129" t="e">
        <f>VLOOKUP($D1275,'WB Data 2'!$C$2:$K$545,6,FALSE)</f>
        <v>#N/A</v>
      </c>
      <c r="BE1275" s="129">
        <f>IFERROR(VLOOKUP($D1275,UNCTAD!$C$5:$V$529,4,FALSE),"..")</f>
        <v>2944331000</v>
      </c>
      <c r="BF1275" s="846" t="str">
        <f t="shared" si="218"/>
        <v>..</v>
      </c>
      <c r="BG1275" s="117">
        <f>VLOOKUP($D1275,'WB Data'!$C$3:$M$578,5,FALSE)</f>
        <v>1951530000</v>
      </c>
      <c r="BH1275" s="129">
        <f>IFERROR($BB1275/$BG1275,"..")</f>
        <v>3.6666550007880765E-2</v>
      </c>
      <c r="BI1275" s="117" t="str">
        <f>IFERROR(VLOOKUP($D1275,'WB Data'!$C$3:$M$578,7,FALSE)/100,"..")</f>
        <v>..</v>
      </c>
      <c r="BJ1275" s="117" t="str">
        <f>IFERROR($BI1275*$AW1275,"..")</f>
        <v>..</v>
      </c>
      <c r="BK1275" s="846" t="str">
        <f>IFERROR($BB1275/$BJ1275,"..")</f>
        <v>..</v>
      </c>
      <c r="BL1275" s="117" t="str">
        <f>IFERROR(VLOOKUP($D1275,'WB Data'!$C$3:$M$578,7,FALSE)/100,"..")</f>
        <v>..</v>
      </c>
      <c r="BM1275" s="117" t="str">
        <f>IFERROR($AW1275*$BL1275,"..")</f>
        <v>..</v>
      </c>
      <c r="BN1275" s="846" t="str">
        <f>IFERROR($BB1275/$BM1275,"..")</f>
        <v>..</v>
      </c>
      <c r="BO1275" s="801">
        <f t="shared" si="214"/>
        <v>31</v>
      </c>
      <c r="BP1275" s="117" t="str">
        <f>VLOOKUP($D1275,'WB Data'!$C$3:$M$578,9,FALSE)</f>
        <v>..</v>
      </c>
      <c r="BQ1275" s="117">
        <f>VLOOKUP($D1275,'WB Data'!$C$3:$M$578,10,FALSE)</f>
        <v>49.137073170731711</v>
      </c>
      <c r="BR1275" s="117">
        <f>VLOOKUP($D1275,'WB Data'!$C$3:$M$578,11,FALSE)</f>
        <v>71.8</v>
      </c>
      <c r="BS1275" s="129" t="str">
        <f>IFERROR(VLOOKUP($D1275,'WB Data 2'!$C$2:$K$545,9,FALSE),"..")</f>
        <v>..</v>
      </c>
      <c r="BT1275" s="129" t="str">
        <f>_xlfn.IFNA(VLOOKUP($C1275,RGI!$A$2:$C$43,2,FALSE),"..")</f>
        <v>..</v>
      </c>
      <c r="BU1275" s="129" t="str">
        <f>_xlfn.IFNA(VLOOKUP($C1275,RGI!$A$2:$C$43,3,FALSE),"..")</f>
        <v>..</v>
      </c>
      <c r="BV1275" s="129">
        <f>VLOOKUP($D1275,WGI!$C$2:$O$478,7,FALSE)</f>
        <v>-0.111384166086251</v>
      </c>
      <c r="BW1275" s="129">
        <f>VLOOKUP($D1275,WGI!$C$2:$O$478,4,FALSE)</f>
        <v>0.34378680262892802</v>
      </c>
      <c r="BX1275" s="129">
        <f>VLOOKUP($D1275,WGI!$C$2:$O$478,3,FALSE)</f>
        <v>-0.57351784283132501</v>
      </c>
      <c r="BY1275" s="129">
        <f>VLOOKUP($D1275,WGI!$C$2:$O$478,5,FALSE)</f>
        <v>-0.390747852895661</v>
      </c>
      <c r="BZ1275" s="129">
        <f>VLOOKUP($D1275,WGI!$C$2:$O$478,2,FALSE)</f>
        <v>-0.42918214861182602</v>
      </c>
    </row>
    <row r="1276" spans="1:80" ht="15" customHeight="1">
      <c r="A1276" s="280" t="s">
        <v>391</v>
      </c>
      <c r="B1276" s="117">
        <v>2010</v>
      </c>
      <c r="C1276" s="117" t="s">
        <v>385</v>
      </c>
      <c r="D1276" s="117" t="s">
        <v>3674</v>
      </c>
      <c r="E1276" s="117" t="s">
        <v>86</v>
      </c>
      <c r="F1276" s="117"/>
      <c r="G1276" s="117" t="s">
        <v>24</v>
      </c>
      <c r="H1276" s="117" t="str">
        <f t="shared" si="219"/>
        <v>yes</v>
      </c>
      <c r="I1276" s="117" t="str">
        <f t="shared" si="221"/>
        <v>no</v>
      </c>
      <c r="J1276" s="117" t="str">
        <f t="shared" si="222"/>
        <v>no</v>
      </c>
      <c r="K1276" s="117" t="s">
        <v>1904</v>
      </c>
      <c r="L1276" s="117" t="str">
        <f t="shared" si="220"/>
        <v>detailed</v>
      </c>
      <c r="M1276" s="117" t="str">
        <f t="shared" si="223"/>
        <v>detailed Mining</v>
      </c>
      <c r="N1276" s="118">
        <f>106*32.150743126506</f>
        <v>3407.978771409636</v>
      </c>
      <c r="O1276" s="118"/>
      <c r="P1276" s="118"/>
      <c r="Q1276" s="118"/>
      <c r="R1276" s="118"/>
      <c r="S1276" s="117" t="s">
        <v>785</v>
      </c>
      <c r="T1276" s="119">
        <v>1224.66425</v>
      </c>
      <c r="U1276" s="117" t="s">
        <v>786</v>
      </c>
      <c r="V1276" s="117" t="s">
        <v>787</v>
      </c>
      <c r="W1276" s="89">
        <f t="shared" si="224"/>
        <v>4173629.7661043033</v>
      </c>
      <c r="X1276" s="117"/>
      <c r="Y1276" s="117"/>
      <c r="Z1276" s="117"/>
      <c r="AA1276" s="89"/>
      <c r="AB1276" s="89"/>
      <c r="AC1276" s="240"/>
      <c r="AD1276" s="240"/>
      <c r="AE1276" s="240"/>
      <c r="AF1276" s="241"/>
      <c r="AG1276" s="117"/>
      <c r="AH1276" s="124"/>
      <c r="AI1276" s="117"/>
      <c r="AJ1276" s="117"/>
      <c r="AK1276" s="89"/>
      <c r="AL1276" s="117"/>
      <c r="AM1276" s="117"/>
      <c r="AN1276" s="117"/>
      <c r="AO1276" s="117"/>
      <c r="AP1276" s="117"/>
      <c r="AQ1276" s="117"/>
      <c r="AR1276" s="117"/>
      <c r="AS1276" s="117"/>
      <c r="AT1276" s="117"/>
      <c r="AU1276" s="117"/>
      <c r="AV1276" s="128"/>
      <c r="AW1276" s="117">
        <f>VLOOKUP($D1276,'WB Data'!$C$3:$M$578,2,FALSE)</f>
        <v>10165353591.167343</v>
      </c>
      <c r="AX1276" s="117">
        <f>VLOOKUP($D1276,'WB Data'!$C$3:$M$578,3,FALSE)</f>
        <v>23967265</v>
      </c>
      <c r="AY1276" s="847">
        <f t="shared" si="215"/>
        <v>7.0391916715080447E-3</v>
      </c>
      <c r="AZ1276" s="117">
        <f>VLOOKUP($D1276,'WB Data'!$C$3:$M$578,4,FALSE)/100</f>
        <v>0.17872038962505607</v>
      </c>
      <c r="BA1276" s="117">
        <f t="shared" si="216"/>
        <v>1816755954.4898906</v>
      </c>
      <c r="BB1276" s="129">
        <f>IFERROR(VLOOKUP($D1276,'EITI Revenues'!$C$2:$G$224,5,FALSE),"..")</f>
        <v>71555872.336879551</v>
      </c>
      <c r="BC1276" s="846">
        <f t="shared" si="217"/>
        <v>3.9386617756797741E-2</v>
      </c>
      <c r="BD1276" s="129" t="e">
        <f>VLOOKUP($D1276,'WB Data 2'!$C$2:$K$545,6,FALSE)</f>
        <v>#N/A</v>
      </c>
      <c r="BE1276" s="129">
        <f>IFERROR(VLOOKUP($D1276,UNCTAD!$C$5:$V$529,4,FALSE),"..")</f>
        <v>2944331000</v>
      </c>
      <c r="BF1276" s="846" t="str">
        <f t="shared" si="218"/>
        <v>..</v>
      </c>
      <c r="BG1276" s="117">
        <f>VLOOKUP($D1276,'WB Data'!$C$3:$M$578,5,FALSE)</f>
        <v>1951530000</v>
      </c>
      <c r="BH1276" s="129">
        <f>IFERROR($BB1276/$BG1276,"..")</f>
        <v>3.6666550007880765E-2</v>
      </c>
      <c r="BI1276" s="117" t="str">
        <f>IFERROR(VLOOKUP($D1276,'WB Data'!$C$3:$M$578,7,FALSE)/100,"..")</f>
        <v>..</v>
      </c>
      <c r="BJ1276" s="117" t="str">
        <f>IFERROR($BI1276*$AW1276,"..")</f>
        <v>..</v>
      </c>
      <c r="BK1276" s="846" t="str">
        <f>IFERROR($BB1276/$BJ1276,"..")</f>
        <v>..</v>
      </c>
      <c r="BL1276" s="117" t="str">
        <f>IFERROR(VLOOKUP($D1276,'WB Data'!$C$3:$M$578,7,FALSE)/100,"..")</f>
        <v>..</v>
      </c>
      <c r="BM1276" s="117" t="str">
        <f>IFERROR($AW1276*$BL1276,"..")</f>
        <v>..</v>
      </c>
      <c r="BN1276" s="846" t="str">
        <f>IFERROR($BB1276/$BM1276,"..")</f>
        <v>..</v>
      </c>
      <c r="BO1276" s="801">
        <f t="shared" si="214"/>
        <v>31</v>
      </c>
      <c r="BP1276" s="117" t="str">
        <f>VLOOKUP($D1276,'WB Data'!$C$3:$M$578,9,FALSE)</f>
        <v>..</v>
      </c>
      <c r="BQ1276" s="117">
        <f>VLOOKUP($D1276,'WB Data'!$C$3:$M$578,10,FALSE)</f>
        <v>49.137073170731711</v>
      </c>
      <c r="BR1276" s="117">
        <f>VLOOKUP($D1276,'WB Data'!$C$3:$M$578,11,FALSE)</f>
        <v>71.8</v>
      </c>
      <c r="BS1276" s="129" t="str">
        <f>IFERROR(VLOOKUP($D1276,'WB Data 2'!$C$2:$K$545,9,FALSE),"..")</f>
        <v>..</v>
      </c>
      <c r="BT1276" s="129" t="str">
        <f>_xlfn.IFNA(VLOOKUP($C1276,RGI!$A$2:$C$43,2,FALSE),"..")</f>
        <v>..</v>
      </c>
      <c r="BU1276" s="129" t="str">
        <f>_xlfn.IFNA(VLOOKUP($C1276,RGI!$A$2:$C$43,3,FALSE),"..")</f>
        <v>..</v>
      </c>
      <c r="BV1276" s="129">
        <f>VLOOKUP($D1276,WGI!$C$2:$O$478,7,FALSE)</f>
        <v>-0.111384166086251</v>
      </c>
      <c r="BW1276" s="129">
        <f>VLOOKUP($D1276,WGI!$C$2:$O$478,4,FALSE)</f>
        <v>0.34378680262892802</v>
      </c>
      <c r="BX1276" s="129">
        <f>VLOOKUP($D1276,WGI!$C$2:$O$478,3,FALSE)</f>
        <v>-0.57351784283132501</v>
      </c>
      <c r="BY1276" s="129">
        <f>VLOOKUP($D1276,WGI!$C$2:$O$478,5,FALSE)</f>
        <v>-0.390747852895661</v>
      </c>
      <c r="BZ1276" s="129">
        <f>VLOOKUP($D1276,WGI!$C$2:$O$478,2,FALSE)</f>
        <v>-0.42918214861182602</v>
      </c>
    </row>
    <row r="1277" spans="1:80" ht="15" customHeight="1">
      <c r="A1277" s="280" t="s">
        <v>391</v>
      </c>
      <c r="B1277" s="117">
        <v>2010</v>
      </c>
      <c r="C1277" s="117" t="s">
        <v>385</v>
      </c>
      <c r="D1277" s="117" t="s">
        <v>3674</v>
      </c>
      <c r="E1277" s="117" t="s">
        <v>86</v>
      </c>
      <c r="F1277" s="117"/>
      <c r="G1277" s="117" t="s">
        <v>24</v>
      </c>
      <c r="H1277" s="117" t="str">
        <f t="shared" si="219"/>
        <v>yes</v>
      </c>
      <c r="I1277" s="117" t="str">
        <f t="shared" si="221"/>
        <v>no</v>
      </c>
      <c r="J1277" s="117" t="str">
        <f t="shared" si="222"/>
        <v>no</v>
      </c>
      <c r="K1277" s="117" t="s">
        <v>1670</v>
      </c>
      <c r="L1277" s="117" t="str">
        <f t="shared" si="220"/>
        <v>detailed</v>
      </c>
      <c r="M1277" s="117" t="str">
        <f t="shared" si="223"/>
        <v>detailed Mining</v>
      </c>
      <c r="N1277" s="118">
        <v>678400</v>
      </c>
      <c r="O1277" s="118"/>
      <c r="P1277" s="118"/>
      <c r="Q1277" s="118"/>
      <c r="R1277" s="118"/>
      <c r="S1277" s="117" t="s">
        <v>610</v>
      </c>
      <c r="T1277" s="119">
        <v>75</v>
      </c>
      <c r="U1277" s="117" t="s">
        <v>611</v>
      </c>
      <c r="V1277" s="117" t="s">
        <v>1671</v>
      </c>
      <c r="W1277" s="89">
        <f t="shared" si="224"/>
        <v>50880000</v>
      </c>
      <c r="X1277" s="117"/>
      <c r="Y1277" s="117"/>
      <c r="Z1277" s="117"/>
      <c r="AA1277" s="89"/>
      <c r="AB1277" s="89"/>
      <c r="AC1277" s="240"/>
      <c r="AD1277" s="240"/>
      <c r="AE1277" s="240"/>
      <c r="AF1277" s="241"/>
      <c r="AG1277" s="117"/>
      <c r="AH1277" s="124"/>
      <c r="AI1277" s="117"/>
      <c r="AJ1277" s="117"/>
      <c r="AK1277" s="89"/>
      <c r="AL1277" s="117"/>
      <c r="AM1277" s="117"/>
      <c r="AN1277" s="117"/>
      <c r="AO1277" s="117"/>
      <c r="AP1277" s="117"/>
      <c r="AQ1277" s="117"/>
      <c r="AR1277" s="117"/>
      <c r="AS1277" s="117"/>
      <c r="AT1277" s="117"/>
      <c r="AU1277" s="117"/>
      <c r="AV1277" s="128"/>
      <c r="AW1277" s="117">
        <f>VLOOKUP($D1277,'WB Data'!$C$3:$M$578,2,FALSE)</f>
        <v>10165353591.167343</v>
      </c>
      <c r="AX1277" s="117">
        <f>VLOOKUP($D1277,'WB Data'!$C$3:$M$578,3,FALSE)</f>
        <v>23967265</v>
      </c>
      <c r="AY1277" s="847">
        <f t="shared" si="215"/>
        <v>7.0391916715080447E-3</v>
      </c>
      <c r="AZ1277" s="117">
        <f>VLOOKUP($D1277,'WB Data'!$C$3:$M$578,4,FALSE)/100</f>
        <v>0.17872038962505607</v>
      </c>
      <c r="BA1277" s="117">
        <f t="shared" si="216"/>
        <v>1816755954.4898906</v>
      </c>
      <c r="BB1277" s="129">
        <f>IFERROR(VLOOKUP($D1277,'EITI Revenues'!$C$2:$G$224,5,FALSE),"..")</f>
        <v>71555872.336879551</v>
      </c>
      <c r="BC1277" s="846">
        <f t="shared" si="217"/>
        <v>3.9386617756797741E-2</v>
      </c>
      <c r="BD1277" s="129" t="e">
        <f>VLOOKUP($D1277,'WB Data 2'!$C$2:$K$545,6,FALSE)</f>
        <v>#N/A</v>
      </c>
      <c r="BE1277" s="129">
        <f>IFERROR(VLOOKUP($D1277,UNCTAD!$C$5:$V$529,4,FALSE),"..")</f>
        <v>2944331000</v>
      </c>
      <c r="BF1277" s="846" t="str">
        <f t="shared" si="218"/>
        <v>..</v>
      </c>
      <c r="BG1277" s="117">
        <f>VLOOKUP($D1277,'WB Data'!$C$3:$M$578,5,FALSE)</f>
        <v>1951530000</v>
      </c>
      <c r="BH1277" s="129">
        <f>IFERROR($BB1277/$BG1277,"..")</f>
        <v>3.6666550007880765E-2</v>
      </c>
      <c r="BI1277" s="117" t="str">
        <f>IFERROR(VLOOKUP($D1277,'WB Data'!$C$3:$M$578,7,FALSE)/100,"..")</f>
        <v>..</v>
      </c>
      <c r="BJ1277" s="117" t="str">
        <f>IFERROR($BI1277*$AW1277,"..")</f>
        <v>..</v>
      </c>
      <c r="BK1277" s="846" t="str">
        <f>IFERROR($BB1277/$BJ1277,"..")</f>
        <v>..</v>
      </c>
      <c r="BL1277" s="117" t="str">
        <f>IFERROR(VLOOKUP($D1277,'WB Data'!$C$3:$M$578,7,FALSE)/100,"..")</f>
        <v>..</v>
      </c>
      <c r="BM1277" s="117" t="str">
        <f>IFERROR($AW1277*$BL1277,"..")</f>
        <v>..</v>
      </c>
      <c r="BN1277" s="846" t="str">
        <f>IFERROR($BB1277/$BM1277,"..")</f>
        <v>..</v>
      </c>
      <c r="BO1277" s="801">
        <f t="shared" si="214"/>
        <v>31</v>
      </c>
      <c r="BP1277" s="117" t="str">
        <f>VLOOKUP($D1277,'WB Data'!$C$3:$M$578,9,FALSE)</f>
        <v>..</v>
      </c>
      <c r="BQ1277" s="117">
        <f>VLOOKUP($D1277,'WB Data'!$C$3:$M$578,10,FALSE)</f>
        <v>49.137073170731711</v>
      </c>
      <c r="BR1277" s="117">
        <f>VLOOKUP($D1277,'WB Data'!$C$3:$M$578,11,FALSE)</f>
        <v>71.8</v>
      </c>
      <c r="BS1277" s="129" t="str">
        <f>IFERROR(VLOOKUP($D1277,'WB Data 2'!$C$2:$K$545,9,FALSE),"..")</f>
        <v>..</v>
      </c>
      <c r="BT1277" s="129" t="str">
        <f>_xlfn.IFNA(VLOOKUP($C1277,RGI!$A$2:$C$43,2,FALSE),"..")</f>
        <v>..</v>
      </c>
      <c r="BU1277" s="129" t="str">
        <f>_xlfn.IFNA(VLOOKUP($C1277,RGI!$A$2:$C$43,3,FALSE),"..")</f>
        <v>..</v>
      </c>
      <c r="BV1277" s="129">
        <f>VLOOKUP($D1277,WGI!$C$2:$O$478,7,FALSE)</f>
        <v>-0.111384166086251</v>
      </c>
      <c r="BW1277" s="129">
        <f>VLOOKUP($D1277,WGI!$C$2:$O$478,4,FALSE)</f>
        <v>0.34378680262892802</v>
      </c>
      <c r="BX1277" s="129">
        <f>VLOOKUP($D1277,WGI!$C$2:$O$478,3,FALSE)</f>
        <v>-0.57351784283132501</v>
      </c>
      <c r="BY1277" s="129">
        <f>VLOOKUP($D1277,WGI!$C$2:$O$478,5,FALSE)</f>
        <v>-0.390747852895661</v>
      </c>
      <c r="BZ1277" s="129">
        <f>VLOOKUP($D1277,WGI!$C$2:$O$478,2,FALSE)</f>
        <v>-0.42918214861182602</v>
      </c>
    </row>
    <row r="1278" spans="1:80" ht="15" customHeight="1">
      <c r="A1278" s="280" t="s">
        <v>391</v>
      </c>
      <c r="B1278" s="117">
        <v>2010</v>
      </c>
      <c r="C1278" s="117" t="s">
        <v>385</v>
      </c>
      <c r="D1278" s="117" t="s">
        <v>3674</v>
      </c>
      <c r="E1278" s="117" t="s">
        <v>86</v>
      </c>
      <c r="F1278" s="117"/>
      <c r="G1278" s="117" t="s">
        <v>24</v>
      </c>
      <c r="H1278" s="117" t="str">
        <f t="shared" si="219"/>
        <v>yes</v>
      </c>
      <c r="I1278" s="117" t="str">
        <f t="shared" si="221"/>
        <v>no</v>
      </c>
      <c r="J1278" s="117" t="str">
        <f t="shared" si="222"/>
        <v>no</v>
      </c>
      <c r="K1278" s="120" t="s">
        <v>703</v>
      </c>
      <c r="L1278" s="117" t="str">
        <f t="shared" si="220"/>
        <v>detailed</v>
      </c>
      <c r="M1278" s="117" t="str">
        <f t="shared" si="223"/>
        <v>detailed Mining</v>
      </c>
      <c r="N1278" s="118">
        <v>263908</v>
      </c>
      <c r="O1278" s="118"/>
      <c r="P1278" s="118"/>
      <c r="Q1278" s="118"/>
      <c r="R1278" s="118"/>
      <c r="S1278" s="117" t="s">
        <v>610</v>
      </c>
      <c r="T1278" s="119">
        <v>9.0299999999999994</v>
      </c>
      <c r="U1278" s="117" t="s">
        <v>611</v>
      </c>
      <c r="V1278" s="117" t="s">
        <v>704</v>
      </c>
      <c r="W1278" s="89">
        <f t="shared" si="224"/>
        <v>2383089.2399999998</v>
      </c>
      <c r="X1278" s="117"/>
      <c r="Y1278" s="117"/>
      <c r="Z1278" s="117"/>
      <c r="AA1278" s="89"/>
      <c r="AB1278" s="89"/>
      <c r="AC1278" s="240"/>
      <c r="AD1278" s="240"/>
      <c r="AE1278" s="240"/>
      <c r="AF1278" s="241"/>
      <c r="AG1278" s="117"/>
      <c r="AH1278" s="124"/>
      <c r="AI1278" s="117"/>
      <c r="AJ1278" s="117"/>
      <c r="AK1278" s="89"/>
      <c r="AL1278" s="117"/>
      <c r="AM1278" s="117"/>
      <c r="AN1278" s="117"/>
      <c r="AO1278" s="117"/>
      <c r="AP1278" s="117"/>
      <c r="AQ1278" s="117"/>
      <c r="AR1278" s="117"/>
      <c r="AS1278" s="117"/>
      <c r="AT1278" s="117"/>
      <c r="AU1278" s="117"/>
      <c r="AV1278" s="128"/>
      <c r="AW1278" s="117">
        <f>VLOOKUP($D1278,'WB Data'!$C$3:$M$578,2,FALSE)</f>
        <v>10165353591.167343</v>
      </c>
      <c r="AX1278" s="117">
        <f>VLOOKUP($D1278,'WB Data'!$C$3:$M$578,3,FALSE)</f>
        <v>23967265</v>
      </c>
      <c r="AY1278" s="847">
        <f t="shared" si="215"/>
        <v>7.0391916715080447E-3</v>
      </c>
      <c r="AZ1278" s="117">
        <f>VLOOKUP($D1278,'WB Data'!$C$3:$M$578,4,FALSE)/100</f>
        <v>0.17872038962505607</v>
      </c>
      <c r="BA1278" s="117">
        <f t="shared" si="216"/>
        <v>1816755954.4898906</v>
      </c>
      <c r="BB1278" s="129">
        <f>IFERROR(VLOOKUP($D1278,'EITI Revenues'!$C$2:$G$224,5,FALSE),"..")</f>
        <v>71555872.336879551</v>
      </c>
      <c r="BC1278" s="846">
        <f t="shared" si="217"/>
        <v>3.9386617756797741E-2</v>
      </c>
      <c r="BD1278" s="129" t="e">
        <f>VLOOKUP($D1278,'WB Data 2'!$C$2:$K$545,6,FALSE)</f>
        <v>#N/A</v>
      </c>
      <c r="BE1278" s="129">
        <f>IFERROR(VLOOKUP($D1278,UNCTAD!$C$5:$V$529,4,FALSE),"..")</f>
        <v>2944331000</v>
      </c>
      <c r="BF1278" s="846" t="str">
        <f t="shared" si="218"/>
        <v>..</v>
      </c>
      <c r="BG1278" s="117">
        <f>VLOOKUP($D1278,'WB Data'!$C$3:$M$578,5,FALSE)</f>
        <v>1951530000</v>
      </c>
      <c r="BH1278" s="129">
        <f>IFERROR($BB1278/$BG1278,"..")</f>
        <v>3.6666550007880765E-2</v>
      </c>
      <c r="BI1278" s="117" t="str">
        <f>IFERROR(VLOOKUP($D1278,'WB Data'!$C$3:$M$578,7,FALSE)/100,"..")</f>
        <v>..</v>
      </c>
      <c r="BJ1278" s="117" t="str">
        <f>IFERROR($BI1278*$AW1278,"..")</f>
        <v>..</v>
      </c>
      <c r="BK1278" s="846" t="str">
        <f>IFERROR($BB1278/$BJ1278,"..")</f>
        <v>..</v>
      </c>
      <c r="BL1278" s="117" t="str">
        <f>IFERROR(VLOOKUP($D1278,'WB Data'!$C$3:$M$578,7,FALSE)/100,"..")</f>
        <v>..</v>
      </c>
      <c r="BM1278" s="117" t="str">
        <f>IFERROR($AW1278*$BL1278,"..")</f>
        <v>..</v>
      </c>
      <c r="BN1278" s="846" t="str">
        <f>IFERROR($BB1278/$BM1278,"..")</f>
        <v>..</v>
      </c>
      <c r="BO1278" s="801">
        <f t="shared" si="214"/>
        <v>31</v>
      </c>
      <c r="BP1278" s="117" t="str">
        <f>VLOOKUP($D1278,'WB Data'!$C$3:$M$578,9,FALSE)</f>
        <v>..</v>
      </c>
      <c r="BQ1278" s="117">
        <f>VLOOKUP($D1278,'WB Data'!$C$3:$M$578,10,FALSE)</f>
        <v>49.137073170731711</v>
      </c>
      <c r="BR1278" s="117">
        <f>VLOOKUP($D1278,'WB Data'!$C$3:$M$578,11,FALSE)</f>
        <v>71.8</v>
      </c>
      <c r="BS1278" s="129" t="str">
        <f>IFERROR(VLOOKUP($D1278,'WB Data 2'!$C$2:$K$545,9,FALSE),"..")</f>
        <v>..</v>
      </c>
      <c r="BT1278" s="129" t="str">
        <f>_xlfn.IFNA(VLOOKUP($C1278,RGI!$A$2:$C$43,2,FALSE),"..")</f>
        <v>..</v>
      </c>
      <c r="BU1278" s="129" t="str">
        <f>_xlfn.IFNA(VLOOKUP($C1278,RGI!$A$2:$C$43,3,FALSE),"..")</f>
        <v>..</v>
      </c>
      <c r="BV1278" s="129">
        <f>VLOOKUP($D1278,WGI!$C$2:$O$478,7,FALSE)</f>
        <v>-0.111384166086251</v>
      </c>
      <c r="BW1278" s="129">
        <f>VLOOKUP($D1278,WGI!$C$2:$O$478,4,FALSE)</f>
        <v>0.34378680262892802</v>
      </c>
      <c r="BX1278" s="129">
        <f>VLOOKUP($D1278,WGI!$C$2:$O$478,3,FALSE)</f>
        <v>-0.57351784283132501</v>
      </c>
      <c r="BY1278" s="129">
        <f>VLOOKUP($D1278,WGI!$C$2:$O$478,5,FALSE)</f>
        <v>-0.390747852895661</v>
      </c>
      <c r="BZ1278" s="129">
        <f>VLOOKUP($D1278,WGI!$C$2:$O$478,2,FALSE)</f>
        <v>-0.42918214861182602</v>
      </c>
    </row>
    <row r="1279" spans="1:80" ht="15" customHeight="1">
      <c r="A1279" s="280" t="s">
        <v>391</v>
      </c>
      <c r="B1279" s="117">
        <v>2010</v>
      </c>
      <c r="C1279" s="117" t="s">
        <v>385</v>
      </c>
      <c r="D1279" s="117" t="s">
        <v>3674</v>
      </c>
      <c r="E1279" s="117" t="s">
        <v>86</v>
      </c>
      <c r="F1279" s="117"/>
      <c r="G1279" s="117" t="s">
        <v>24</v>
      </c>
      <c r="H1279" s="117" t="str">
        <f t="shared" si="219"/>
        <v>yes</v>
      </c>
      <c r="I1279" s="117" t="str">
        <f t="shared" si="221"/>
        <v>no</v>
      </c>
      <c r="J1279" s="117" t="str">
        <f t="shared" si="222"/>
        <v>no</v>
      </c>
      <c r="K1279" s="120" t="s">
        <v>1905</v>
      </c>
      <c r="L1279" s="117" t="str">
        <f t="shared" si="220"/>
        <v>detailed</v>
      </c>
      <c r="M1279" s="117" t="str">
        <f t="shared" si="223"/>
        <v>detailed Mining</v>
      </c>
      <c r="N1279" s="118">
        <v>4700</v>
      </c>
      <c r="O1279" s="118"/>
      <c r="P1279" s="118"/>
      <c r="Q1279" s="118"/>
      <c r="R1279" s="118"/>
      <c r="S1279" s="117" t="s">
        <v>610</v>
      </c>
      <c r="T1279" s="119">
        <v>540</v>
      </c>
      <c r="U1279" s="117" t="s">
        <v>611</v>
      </c>
      <c r="V1279" s="117" t="s">
        <v>1879</v>
      </c>
      <c r="W1279" s="89">
        <f t="shared" si="224"/>
        <v>2538000</v>
      </c>
      <c r="X1279" s="117"/>
      <c r="Y1279" s="117"/>
      <c r="Z1279" s="117"/>
      <c r="AA1279" s="89"/>
      <c r="AB1279" s="89"/>
      <c r="AC1279" s="240"/>
      <c r="AD1279" s="240"/>
      <c r="AE1279" s="240"/>
      <c r="AF1279" s="241"/>
      <c r="AG1279" s="117"/>
      <c r="AH1279" s="124"/>
      <c r="AI1279" s="117"/>
      <c r="AJ1279" s="117"/>
      <c r="AK1279" s="89"/>
      <c r="AL1279" s="117"/>
      <c r="AM1279" s="117"/>
      <c r="AN1279" s="117"/>
      <c r="AO1279" s="117"/>
      <c r="AP1279" s="117"/>
      <c r="AQ1279" s="117"/>
      <c r="AR1279" s="117"/>
      <c r="AS1279" s="117"/>
      <c r="AT1279" s="117"/>
      <c r="AU1279" s="117"/>
      <c r="AV1279" s="128"/>
      <c r="AW1279" s="117">
        <f>VLOOKUP($D1279,'WB Data'!$C$3:$M$578,2,FALSE)</f>
        <v>10165353591.167343</v>
      </c>
      <c r="AX1279" s="117">
        <f>VLOOKUP($D1279,'WB Data'!$C$3:$M$578,3,FALSE)</f>
        <v>23967265</v>
      </c>
      <c r="AY1279" s="847">
        <f t="shared" si="215"/>
        <v>7.0391916715080447E-3</v>
      </c>
      <c r="AZ1279" s="117">
        <f>VLOOKUP($D1279,'WB Data'!$C$3:$M$578,4,FALSE)/100</f>
        <v>0.17872038962505607</v>
      </c>
      <c r="BA1279" s="117">
        <f t="shared" si="216"/>
        <v>1816755954.4898906</v>
      </c>
      <c r="BB1279" s="129">
        <f>IFERROR(VLOOKUP($D1279,'EITI Revenues'!$C$2:$G$224,5,FALSE),"..")</f>
        <v>71555872.336879551</v>
      </c>
      <c r="BC1279" s="846">
        <f t="shared" si="217"/>
        <v>3.9386617756797741E-2</v>
      </c>
      <c r="BD1279" s="129" t="e">
        <f>VLOOKUP($D1279,'WB Data 2'!$C$2:$K$545,6,FALSE)</f>
        <v>#N/A</v>
      </c>
      <c r="BE1279" s="129">
        <f>IFERROR(VLOOKUP($D1279,UNCTAD!$C$5:$V$529,4,FALSE),"..")</f>
        <v>2944331000</v>
      </c>
      <c r="BF1279" s="846" t="str">
        <f t="shared" si="218"/>
        <v>..</v>
      </c>
      <c r="BG1279" s="117">
        <f>VLOOKUP($D1279,'WB Data'!$C$3:$M$578,5,FALSE)</f>
        <v>1951530000</v>
      </c>
      <c r="BH1279" s="129">
        <f>IFERROR($BB1279/$BG1279,"..")</f>
        <v>3.6666550007880765E-2</v>
      </c>
      <c r="BI1279" s="117" t="str">
        <f>IFERROR(VLOOKUP($D1279,'WB Data'!$C$3:$M$578,7,FALSE)/100,"..")</f>
        <v>..</v>
      </c>
      <c r="BJ1279" s="117" t="str">
        <f>IFERROR($BI1279*$AW1279,"..")</f>
        <v>..</v>
      </c>
      <c r="BK1279" s="846" t="str">
        <f>IFERROR($BB1279/$BJ1279,"..")</f>
        <v>..</v>
      </c>
      <c r="BL1279" s="117" t="str">
        <f>IFERROR(VLOOKUP($D1279,'WB Data'!$C$3:$M$578,7,FALSE)/100,"..")</f>
        <v>..</v>
      </c>
      <c r="BM1279" s="117" t="str">
        <f>IFERROR($AW1279*$BL1279,"..")</f>
        <v>..</v>
      </c>
      <c r="BN1279" s="846" t="str">
        <f>IFERROR($BB1279/$BM1279,"..")</f>
        <v>..</v>
      </c>
      <c r="BO1279" s="801">
        <f t="shared" si="214"/>
        <v>31</v>
      </c>
      <c r="BP1279" s="117" t="str">
        <f>VLOOKUP($D1279,'WB Data'!$C$3:$M$578,9,FALSE)</f>
        <v>..</v>
      </c>
      <c r="BQ1279" s="117">
        <f>VLOOKUP($D1279,'WB Data'!$C$3:$M$578,10,FALSE)</f>
        <v>49.137073170731711</v>
      </c>
      <c r="BR1279" s="117">
        <f>VLOOKUP($D1279,'WB Data'!$C$3:$M$578,11,FALSE)</f>
        <v>71.8</v>
      </c>
      <c r="BS1279" s="129" t="str">
        <f>IFERROR(VLOOKUP($D1279,'WB Data 2'!$C$2:$K$545,9,FALSE),"..")</f>
        <v>..</v>
      </c>
      <c r="BT1279" s="129" t="str">
        <f>_xlfn.IFNA(VLOOKUP($C1279,RGI!$A$2:$C$43,2,FALSE),"..")</f>
        <v>..</v>
      </c>
      <c r="BU1279" s="129" t="str">
        <f>_xlfn.IFNA(VLOOKUP($C1279,RGI!$A$2:$C$43,3,FALSE),"..")</f>
        <v>..</v>
      </c>
      <c r="BV1279" s="129">
        <f>VLOOKUP($D1279,WGI!$C$2:$O$478,7,FALSE)</f>
        <v>-0.111384166086251</v>
      </c>
      <c r="BW1279" s="129">
        <f>VLOOKUP($D1279,WGI!$C$2:$O$478,4,FALSE)</f>
        <v>0.34378680262892802</v>
      </c>
      <c r="BX1279" s="129">
        <f>VLOOKUP($D1279,WGI!$C$2:$O$478,3,FALSE)</f>
        <v>-0.57351784283132501</v>
      </c>
      <c r="BY1279" s="129">
        <f>VLOOKUP($D1279,WGI!$C$2:$O$478,5,FALSE)</f>
        <v>-0.390747852895661</v>
      </c>
      <c r="BZ1279" s="129">
        <f>VLOOKUP($D1279,WGI!$C$2:$O$478,2,FALSE)</f>
        <v>-0.42918214861182602</v>
      </c>
    </row>
    <row r="1280" spans="1:80" ht="15" customHeight="1">
      <c r="A1280" s="280" t="s">
        <v>391</v>
      </c>
      <c r="B1280" s="117">
        <v>2010</v>
      </c>
      <c r="C1280" s="117" t="s">
        <v>385</v>
      </c>
      <c r="D1280" s="117" t="s">
        <v>3674</v>
      </c>
      <c r="E1280" s="117" t="s">
        <v>86</v>
      </c>
      <c r="F1280" s="117"/>
      <c r="G1280" s="117" t="s">
        <v>24</v>
      </c>
      <c r="H1280" s="117" t="str">
        <f t="shared" si="219"/>
        <v>yes</v>
      </c>
      <c r="I1280" s="117" t="str">
        <f t="shared" si="221"/>
        <v>no</v>
      </c>
      <c r="J1280" s="117" t="str">
        <f t="shared" si="222"/>
        <v>no</v>
      </c>
      <c r="K1280" s="120" t="s">
        <v>970</v>
      </c>
      <c r="L1280" s="117" t="str">
        <f t="shared" si="220"/>
        <v>detailed</v>
      </c>
      <c r="M1280" s="117" t="str">
        <f t="shared" si="223"/>
        <v>detailed Mining</v>
      </c>
      <c r="N1280" s="118">
        <v>1150052</v>
      </c>
      <c r="O1280" s="118"/>
      <c r="P1280" s="118"/>
      <c r="Q1280" s="118"/>
      <c r="R1280" s="118"/>
      <c r="S1280" s="117" t="s">
        <v>610</v>
      </c>
      <c r="T1280" s="119">
        <v>7.31</v>
      </c>
      <c r="U1280" s="117" t="s">
        <v>611</v>
      </c>
      <c r="V1280" s="117" t="s">
        <v>1240</v>
      </c>
      <c r="W1280" s="89">
        <f t="shared" si="224"/>
        <v>8406880.1199999992</v>
      </c>
      <c r="X1280" s="117"/>
      <c r="Y1280" s="117"/>
      <c r="Z1280" s="117"/>
      <c r="AA1280" s="89"/>
      <c r="AB1280" s="89"/>
      <c r="AC1280" s="240"/>
      <c r="AD1280" s="240"/>
      <c r="AE1280" s="240"/>
      <c r="AF1280" s="241"/>
      <c r="AG1280" s="117"/>
      <c r="AH1280" s="124"/>
      <c r="AI1280" s="117"/>
      <c r="AJ1280" s="117"/>
      <c r="AK1280" s="89"/>
      <c r="AL1280" s="117"/>
      <c r="AM1280" s="117"/>
      <c r="AN1280" s="117"/>
      <c r="AO1280" s="117"/>
      <c r="AP1280" s="117"/>
      <c r="AQ1280" s="117"/>
      <c r="AR1280" s="117"/>
      <c r="AS1280" s="117"/>
      <c r="AT1280" s="117"/>
      <c r="AU1280" s="117"/>
      <c r="AV1280" s="128"/>
      <c r="AW1280" s="117">
        <f>VLOOKUP($D1280,'WB Data'!$C$3:$M$578,2,FALSE)</f>
        <v>10165353591.167343</v>
      </c>
      <c r="AX1280" s="117">
        <f>VLOOKUP($D1280,'WB Data'!$C$3:$M$578,3,FALSE)</f>
        <v>23967265</v>
      </c>
      <c r="AY1280" s="847">
        <f t="shared" si="215"/>
        <v>7.0391916715080447E-3</v>
      </c>
      <c r="AZ1280" s="117">
        <f>VLOOKUP($D1280,'WB Data'!$C$3:$M$578,4,FALSE)/100</f>
        <v>0.17872038962505607</v>
      </c>
      <c r="BA1280" s="117">
        <f t="shared" si="216"/>
        <v>1816755954.4898906</v>
      </c>
      <c r="BB1280" s="129">
        <f>IFERROR(VLOOKUP($D1280,'EITI Revenues'!$C$2:$G$224,5,FALSE),"..")</f>
        <v>71555872.336879551</v>
      </c>
      <c r="BC1280" s="846">
        <f t="shared" si="217"/>
        <v>3.9386617756797741E-2</v>
      </c>
      <c r="BD1280" s="129" t="e">
        <f>VLOOKUP($D1280,'WB Data 2'!$C$2:$K$545,6,FALSE)</f>
        <v>#N/A</v>
      </c>
      <c r="BE1280" s="129">
        <f>IFERROR(VLOOKUP($D1280,UNCTAD!$C$5:$V$529,4,FALSE),"..")</f>
        <v>2944331000</v>
      </c>
      <c r="BF1280" s="846" t="str">
        <f t="shared" si="218"/>
        <v>..</v>
      </c>
      <c r="BG1280" s="117">
        <f>VLOOKUP($D1280,'WB Data'!$C$3:$M$578,5,FALSE)</f>
        <v>1951530000</v>
      </c>
      <c r="BH1280" s="129">
        <f>IFERROR($BB1280/$BG1280,"..")</f>
        <v>3.6666550007880765E-2</v>
      </c>
      <c r="BI1280" s="117" t="str">
        <f>IFERROR(VLOOKUP($D1280,'WB Data'!$C$3:$M$578,7,FALSE)/100,"..")</f>
        <v>..</v>
      </c>
      <c r="BJ1280" s="117" t="str">
        <f>IFERROR($BI1280*$AW1280,"..")</f>
        <v>..</v>
      </c>
      <c r="BK1280" s="846" t="str">
        <f>IFERROR($BB1280/$BJ1280,"..")</f>
        <v>..</v>
      </c>
      <c r="BL1280" s="117" t="str">
        <f>IFERROR(VLOOKUP($D1280,'WB Data'!$C$3:$M$578,7,FALSE)/100,"..")</f>
        <v>..</v>
      </c>
      <c r="BM1280" s="117" t="str">
        <f>IFERROR($AW1280*$BL1280,"..")</f>
        <v>..</v>
      </c>
      <c r="BN1280" s="846" t="str">
        <f>IFERROR($BB1280/$BM1280,"..")</f>
        <v>..</v>
      </c>
      <c r="BO1280" s="801">
        <f t="shared" si="214"/>
        <v>31</v>
      </c>
      <c r="BP1280" s="117" t="str">
        <f>VLOOKUP($D1280,'WB Data'!$C$3:$M$578,9,FALSE)</f>
        <v>..</v>
      </c>
      <c r="BQ1280" s="117">
        <f>VLOOKUP($D1280,'WB Data'!$C$3:$M$578,10,FALSE)</f>
        <v>49.137073170731711</v>
      </c>
      <c r="BR1280" s="117">
        <f>VLOOKUP($D1280,'WB Data'!$C$3:$M$578,11,FALSE)</f>
        <v>71.8</v>
      </c>
      <c r="BS1280" s="129" t="str">
        <f>IFERROR(VLOOKUP($D1280,'WB Data 2'!$C$2:$K$545,9,FALSE),"..")</f>
        <v>..</v>
      </c>
      <c r="BT1280" s="129" t="str">
        <f>_xlfn.IFNA(VLOOKUP($C1280,RGI!$A$2:$C$43,2,FALSE),"..")</f>
        <v>..</v>
      </c>
      <c r="BU1280" s="129" t="str">
        <f>_xlfn.IFNA(VLOOKUP($C1280,RGI!$A$2:$C$43,3,FALSE),"..")</f>
        <v>..</v>
      </c>
      <c r="BV1280" s="129">
        <f>VLOOKUP($D1280,WGI!$C$2:$O$478,7,FALSE)</f>
        <v>-0.111384166086251</v>
      </c>
      <c r="BW1280" s="129">
        <f>VLOOKUP($D1280,WGI!$C$2:$O$478,4,FALSE)</f>
        <v>0.34378680262892802</v>
      </c>
      <c r="BX1280" s="129">
        <f>VLOOKUP($D1280,WGI!$C$2:$O$478,3,FALSE)</f>
        <v>-0.57351784283132501</v>
      </c>
      <c r="BY1280" s="129">
        <f>VLOOKUP($D1280,WGI!$C$2:$O$478,5,FALSE)</f>
        <v>-0.390747852895661</v>
      </c>
      <c r="BZ1280" s="129">
        <f>VLOOKUP($D1280,WGI!$C$2:$O$478,2,FALSE)</f>
        <v>-0.42918214861182602</v>
      </c>
    </row>
    <row r="1281" spans="1:80" ht="15" customHeight="1">
      <c r="A1281" s="280" t="s">
        <v>391</v>
      </c>
      <c r="B1281" s="117">
        <v>2010</v>
      </c>
      <c r="C1281" s="117" t="s">
        <v>385</v>
      </c>
      <c r="D1281" s="117" t="s">
        <v>3674</v>
      </c>
      <c r="E1281" s="117" t="s">
        <v>86</v>
      </c>
      <c r="F1281" s="117"/>
      <c r="G1281" s="117" t="s">
        <v>24</v>
      </c>
      <c r="H1281" s="117" t="str">
        <f t="shared" si="219"/>
        <v>yes</v>
      </c>
      <c r="I1281" s="117" t="str">
        <f t="shared" si="221"/>
        <v>no</v>
      </c>
      <c r="J1281" s="117" t="str">
        <f t="shared" si="222"/>
        <v>no</v>
      </c>
      <c r="K1281" s="120" t="s">
        <v>1906</v>
      </c>
      <c r="L1281" s="117" t="str">
        <f t="shared" si="220"/>
        <v>detailed</v>
      </c>
      <c r="M1281" s="117" t="str">
        <f t="shared" si="223"/>
        <v>detailed Mining</v>
      </c>
      <c r="N1281" s="118">
        <v>37100</v>
      </c>
      <c r="O1281" s="118"/>
      <c r="P1281" s="118"/>
      <c r="Q1281" s="118"/>
      <c r="R1281" s="118"/>
      <c r="S1281" s="117" t="s">
        <v>610</v>
      </c>
      <c r="T1281" s="119">
        <v>870</v>
      </c>
      <c r="U1281" s="117" t="s">
        <v>611</v>
      </c>
      <c r="V1281" s="117" t="s">
        <v>1881</v>
      </c>
      <c r="W1281" s="89">
        <f t="shared" si="224"/>
        <v>32277000</v>
      </c>
      <c r="X1281" s="117"/>
      <c r="Y1281" s="117"/>
      <c r="Z1281" s="117"/>
      <c r="AA1281" s="89"/>
      <c r="AB1281" s="89"/>
      <c r="AC1281" s="240"/>
      <c r="AD1281" s="240"/>
      <c r="AE1281" s="240"/>
      <c r="AF1281" s="241"/>
      <c r="AG1281" s="117"/>
      <c r="AH1281" s="124"/>
      <c r="AI1281" s="117"/>
      <c r="AJ1281" s="117"/>
      <c r="AK1281" s="89"/>
      <c r="AL1281" s="117"/>
      <c r="AM1281" s="117"/>
      <c r="AN1281" s="117"/>
      <c r="AO1281" s="117"/>
      <c r="AP1281" s="117"/>
      <c r="AQ1281" s="117"/>
      <c r="AR1281" s="117"/>
      <c r="AS1281" s="117"/>
      <c r="AT1281" s="117"/>
      <c r="AU1281" s="117"/>
      <c r="AV1281" s="128"/>
      <c r="AW1281" s="117">
        <f>VLOOKUP($D1281,'WB Data'!$C$3:$M$578,2,FALSE)</f>
        <v>10165353591.167343</v>
      </c>
      <c r="AX1281" s="117">
        <f>VLOOKUP($D1281,'WB Data'!$C$3:$M$578,3,FALSE)</f>
        <v>23967265</v>
      </c>
      <c r="AY1281" s="847">
        <f t="shared" si="215"/>
        <v>7.0391916715080447E-3</v>
      </c>
      <c r="AZ1281" s="117">
        <f>VLOOKUP($D1281,'WB Data'!$C$3:$M$578,4,FALSE)/100</f>
        <v>0.17872038962505607</v>
      </c>
      <c r="BA1281" s="117">
        <f t="shared" si="216"/>
        <v>1816755954.4898906</v>
      </c>
      <c r="BB1281" s="129">
        <f>IFERROR(VLOOKUP($D1281,'EITI Revenues'!$C$2:$G$224,5,FALSE),"..")</f>
        <v>71555872.336879551</v>
      </c>
      <c r="BC1281" s="846">
        <f t="shared" si="217"/>
        <v>3.9386617756797741E-2</v>
      </c>
      <c r="BD1281" s="129" t="e">
        <f>VLOOKUP($D1281,'WB Data 2'!$C$2:$K$545,6,FALSE)</f>
        <v>#N/A</v>
      </c>
      <c r="BE1281" s="129">
        <f>IFERROR(VLOOKUP($D1281,UNCTAD!$C$5:$V$529,4,FALSE),"..")</f>
        <v>2944331000</v>
      </c>
      <c r="BF1281" s="846" t="str">
        <f t="shared" si="218"/>
        <v>..</v>
      </c>
      <c r="BG1281" s="117">
        <f>VLOOKUP($D1281,'WB Data'!$C$3:$M$578,5,FALSE)</f>
        <v>1951530000</v>
      </c>
      <c r="BH1281" s="129">
        <f>IFERROR($BB1281/$BG1281,"..")</f>
        <v>3.6666550007880765E-2</v>
      </c>
      <c r="BI1281" s="117" t="str">
        <f>IFERROR(VLOOKUP($D1281,'WB Data'!$C$3:$M$578,7,FALSE)/100,"..")</f>
        <v>..</v>
      </c>
      <c r="BJ1281" s="117" t="str">
        <f>IFERROR($BI1281*$AW1281,"..")</f>
        <v>..</v>
      </c>
      <c r="BK1281" s="846" t="str">
        <f>IFERROR($BB1281/$BJ1281,"..")</f>
        <v>..</v>
      </c>
      <c r="BL1281" s="117" t="str">
        <f>IFERROR(VLOOKUP($D1281,'WB Data'!$C$3:$M$578,7,FALSE)/100,"..")</f>
        <v>..</v>
      </c>
      <c r="BM1281" s="117" t="str">
        <f>IFERROR($AW1281*$BL1281,"..")</f>
        <v>..</v>
      </c>
      <c r="BN1281" s="846" t="str">
        <f>IFERROR($BB1281/$BM1281,"..")</f>
        <v>..</v>
      </c>
      <c r="BO1281" s="801">
        <f t="shared" si="214"/>
        <v>31</v>
      </c>
      <c r="BP1281" s="117" t="str">
        <f>VLOOKUP($D1281,'WB Data'!$C$3:$M$578,9,FALSE)</f>
        <v>..</v>
      </c>
      <c r="BQ1281" s="117">
        <f>VLOOKUP($D1281,'WB Data'!$C$3:$M$578,10,FALSE)</f>
        <v>49.137073170731711</v>
      </c>
      <c r="BR1281" s="117">
        <f>VLOOKUP($D1281,'WB Data'!$C$3:$M$578,11,FALSE)</f>
        <v>71.8</v>
      </c>
      <c r="BS1281" s="129" t="str">
        <f>IFERROR(VLOOKUP($D1281,'WB Data 2'!$C$2:$K$545,9,FALSE),"..")</f>
        <v>..</v>
      </c>
      <c r="BT1281" s="129" t="str">
        <f>_xlfn.IFNA(VLOOKUP($C1281,RGI!$A$2:$C$43,2,FALSE),"..")</f>
        <v>..</v>
      </c>
      <c r="BU1281" s="129" t="str">
        <f>_xlfn.IFNA(VLOOKUP($C1281,RGI!$A$2:$C$43,3,FALSE),"..")</f>
        <v>..</v>
      </c>
      <c r="BV1281" s="129">
        <f>VLOOKUP($D1281,WGI!$C$2:$O$478,7,FALSE)</f>
        <v>-0.111384166086251</v>
      </c>
      <c r="BW1281" s="129">
        <f>VLOOKUP($D1281,WGI!$C$2:$O$478,4,FALSE)</f>
        <v>0.34378680262892802</v>
      </c>
      <c r="BX1281" s="129">
        <f>VLOOKUP($D1281,WGI!$C$2:$O$478,3,FALSE)</f>
        <v>-0.57351784283132501</v>
      </c>
      <c r="BY1281" s="129">
        <f>VLOOKUP($D1281,WGI!$C$2:$O$478,5,FALSE)</f>
        <v>-0.390747852895661</v>
      </c>
      <c r="BZ1281" s="129">
        <f>VLOOKUP($D1281,WGI!$C$2:$O$478,2,FALSE)</f>
        <v>-0.42918214861182602</v>
      </c>
    </row>
    <row r="1282" spans="1:80" s="144" customFormat="1" ht="15" customHeight="1">
      <c r="A1282" s="279" t="s">
        <v>1907</v>
      </c>
      <c r="B1282" s="132">
        <v>2011</v>
      </c>
      <c r="C1282" s="132" t="s">
        <v>385</v>
      </c>
      <c r="D1282" s="117" t="s">
        <v>3708</v>
      </c>
      <c r="E1282" s="132" t="s">
        <v>86</v>
      </c>
      <c r="F1282" s="132" t="s">
        <v>1859</v>
      </c>
      <c r="G1282" s="132" t="s">
        <v>386</v>
      </c>
      <c r="H1282" s="117" t="str">
        <f t="shared" si="219"/>
        <v>yes</v>
      </c>
      <c r="I1282" s="117" t="str">
        <f t="shared" si="221"/>
        <v>yes</v>
      </c>
      <c r="J1282" s="117" t="str">
        <f t="shared" si="222"/>
        <v>no</v>
      </c>
      <c r="K1282" s="132" t="s">
        <v>709</v>
      </c>
      <c r="L1282" s="117" t="str">
        <f t="shared" si="220"/>
        <v>Total</v>
      </c>
      <c r="M1282" s="117" t="str">
        <f t="shared" si="223"/>
        <v>Total Gas, Mining</v>
      </c>
      <c r="N1282" s="133"/>
      <c r="O1282" s="133"/>
      <c r="P1282" s="133"/>
      <c r="Q1282" s="133"/>
      <c r="R1282" s="133"/>
      <c r="S1282" s="132"/>
      <c r="T1282" s="134"/>
      <c r="U1282" s="132"/>
      <c r="V1282" s="132"/>
      <c r="W1282" s="135">
        <f>W1283+W1284</f>
        <v>449726378.16752666</v>
      </c>
      <c r="X1282" s="132" t="s">
        <v>1908</v>
      </c>
      <c r="Y1282" s="132" t="s">
        <v>663</v>
      </c>
      <c r="Z1282" s="132" t="s">
        <v>732</v>
      </c>
      <c r="AA1282" s="454">
        <v>115116240.28</v>
      </c>
      <c r="AB1282" s="454">
        <v>114608833.28</v>
      </c>
      <c r="AC1282" s="599" t="s">
        <v>1909</v>
      </c>
      <c r="AD1282" s="160">
        <f>(AA1282/99.93)*100</f>
        <v>115196878.09466627</v>
      </c>
      <c r="AE1282" s="388" t="s">
        <v>665</v>
      </c>
      <c r="AF1282" s="600">
        <f>AA1282/W1282</f>
        <v>0.255969509169236</v>
      </c>
      <c r="AG1282" s="132" t="s">
        <v>1861</v>
      </c>
      <c r="AH1282" s="140">
        <v>27.22</v>
      </c>
      <c r="AI1282" s="132" t="s">
        <v>1308</v>
      </c>
      <c r="AJ1282" s="132" t="s">
        <v>1910</v>
      </c>
      <c r="AK1282" s="135">
        <v>2347532.2799999998</v>
      </c>
      <c r="AL1282" s="132"/>
      <c r="AM1282" s="132"/>
      <c r="AN1282" s="132">
        <v>39</v>
      </c>
      <c r="AO1282" s="132" t="s">
        <v>1911</v>
      </c>
      <c r="AP1282" s="132">
        <v>37</v>
      </c>
      <c r="AQ1282" s="229" t="s">
        <v>150</v>
      </c>
      <c r="AR1282" s="141">
        <v>41908</v>
      </c>
      <c r="AS1282" s="132" t="s">
        <v>1912</v>
      </c>
      <c r="AT1282" s="132" t="s">
        <v>390</v>
      </c>
      <c r="AU1282" s="132" t="s">
        <v>1913</v>
      </c>
      <c r="AV1282" s="143" t="s">
        <v>1914</v>
      </c>
      <c r="AW1282" s="117">
        <f>VLOOKUP($D1282,'WB Data'!$C$3:$M$578,2,FALSE)</f>
        <v>13244880034.848072</v>
      </c>
      <c r="AX1282" s="117">
        <f>VLOOKUP($D1282,'WB Data'!$C$3:$M$578,3,FALSE)</f>
        <v>24581367</v>
      </c>
      <c r="AY1282" s="847">
        <f t="shared" si="215"/>
        <v>8.6913765905861189E-3</v>
      </c>
      <c r="AZ1282" s="117">
        <f>VLOOKUP($D1282,'WB Data'!$C$3:$M$578,4,FALSE)/100</f>
        <v>0.20634115775643155</v>
      </c>
      <c r="BA1282" s="117">
        <f t="shared" si="216"/>
        <v>2732963880.7355967</v>
      </c>
      <c r="BB1282" s="129">
        <f>IFERROR(VLOOKUP($D1282,'EITI Revenues'!$C$2:$G$224,5,FALSE),"..")</f>
        <v>115116240.28</v>
      </c>
      <c r="BC1282" s="846">
        <f t="shared" si="217"/>
        <v>4.2121391025854188E-2</v>
      </c>
      <c r="BD1282" s="129" t="e">
        <f>VLOOKUP($D1282,'WB Data 2'!$C$2:$K$545,6,FALSE)</f>
        <v>#N/A</v>
      </c>
      <c r="BE1282" s="129">
        <f>IFERROR(VLOOKUP($D1282,UNCTAD!$C$5:$V$529,4,FALSE),"..")</f>
        <v>3847357000</v>
      </c>
      <c r="BF1282" s="846" t="str">
        <f t="shared" si="218"/>
        <v>..</v>
      </c>
      <c r="BG1282" s="117">
        <f>VLOOKUP($D1282,'WB Data'!$C$3:$M$578,5,FALSE)</f>
        <v>2084980000</v>
      </c>
      <c r="BH1282" s="129">
        <f>IFERROR($BB1282/$BG1282,"..")</f>
        <v>5.5212155646576944E-2</v>
      </c>
      <c r="BI1282" s="117" t="str">
        <f>IFERROR(VLOOKUP($D1282,'WB Data'!$C$3:$M$578,7,FALSE)/100,"..")</f>
        <v>..</v>
      </c>
      <c r="BJ1282" s="117" t="str">
        <f>IFERROR($BI1282*$AW1282,"..")</f>
        <v>..</v>
      </c>
      <c r="BK1282" s="846" t="str">
        <f>IFERROR($BB1282/$BJ1282,"..")</f>
        <v>..</v>
      </c>
      <c r="BL1282" s="117" t="str">
        <f>IFERROR(VLOOKUP($D1282,'WB Data'!$C$3:$M$578,7,FALSE)/100,"..")</f>
        <v>..</v>
      </c>
      <c r="BM1282" s="117" t="str">
        <f>IFERROR($AW1282*$BL1282,"..")</f>
        <v>..</v>
      </c>
      <c r="BN1282" s="846" t="str">
        <f>IFERROR($BB1282/$BM1282,"..")</f>
        <v>..</v>
      </c>
      <c r="BO1282" s="801">
        <f t="shared" ref="BO1282:BO1345" si="225">_xlfn.IFNA(VLOOKUP($C1282,CPI_2013,2,FALSE),"..")</f>
        <v>31</v>
      </c>
      <c r="BP1282" s="117" t="str">
        <f>VLOOKUP($D1282,'WB Data'!$C$3:$M$578,9,FALSE)</f>
        <v>..</v>
      </c>
      <c r="BQ1282" s="117">
        <f>VLOOKUP($D1282,'WB Data'!$C$3:$M$578,10,FALSE)</f>
        <v>49.487829268292693</v>
      </c>
      <c r="BR1282" s="117">
        <f>VLOOKUP($D1282,'WB Data'!$C$3:$M$578,11,FALSE)</f>
        <v>67.8</v>
      </c>
      <c r="BS1282" s="129" t="str">
        <f>IFERROR(VLOOKUP($D1282,'WB Data 2'!$C$2:$K$545,9,FALSE),"..")</f>
        <v>..</v>
      </c>
      <c r="BT1282" s="129" t="str">
        <f>_xlfn.IFNA(VLOOKUP($C1282,RGI!$A$2:$C$43,2,FALSE),"..")</f>
        <v>..</v>
      </c>
      <c r="BU1282" s="129" t="str">
        <f>_xlfn.IFNA(VLOOKUP($C1282,RGI!$A$2:$C$43,3,FALSE),"..")</f>
        <v>..</v>
      </c>
      <c r="BV1282" s="129">
        <f>VLOOKUP($D1282,WGI!$C$2:$O$478,7,FALSE)</f>
        <v>-0.17324928389538299</v>
      </c>
      <c r="BW1282" s="129">
        <f>VLOOKUP($D1282,WGI!$C$2:$O$478,4,FALSE)</f>
        <v>0.29734052019608598</v>
      </c>
      <c r="BX1282" s="129">
        <f>VLOOKUP($D1282,WGI!$C$2:$O$478,3,FALSE)</f>
        <v>-0.624712275124643</v>
      </c>
      <c r="BY1282" s="129">
        <f>VLOOKUP($D1282,WGI!$C$2:$O$478,5,FALSE)</f>
        <v>-0.42342402646736998</v>
      </c>
      <c r="BZ1282" s="129">
        <f>VLOOKUP($D1282,WGI!$C$2:$O$478,2,FALSE)</f>
        <v>-0.49207789524085799</v>
      </c>
      <c r="CB1282" s="129"/>
    </row>
    <row r="1283" spans="1:80" s="120" customFormat="1" ht="15" customHeight="1">
      <c r="A1283" s="280" t="s">
        <v>1907</v>
      </c>
      <c r="B1283" s="117">
        <v>2011</v>
      </c>
      <c r="C1283" s="117" t="s">
        <v>385</v>
      </c>
      <c r="D1283" s="117" t="s">
        <v>3708</v>
      </c>
      <c r="E1283" s="117" t="s">
        <v>86</v>
      </c>
      <c r="F1283" s="117"/>
      <c r="G1283" s="117" t="s">
        <v>561</v>
      </c>
      <c r="H1283" s="117" t="str">
        <f t="shared" si="219"/>
        <v>no</v>
      </c>
      <c r="I1283" s="117" t="str">
        <f t="shared" si="221"/>
        <v>yes</v>
      </c>
      <c r="J1283" s="117" t="str">
        <f t="shared" si="222"/>
        <v>no</v>
      </c>
      <c r="K1283" s="117" t="s">
        <v>1886</v>
      </c>
      <c r="L1283" s="117" t="str">
        <f t="shared" si="220"/>
        <v>Total</v>
      </c>
      <c r="M1283" s="117" t="str">
        <f t="shared" si="223"/>
        <v>Total Gas</v>
      </c>
      <c r="N1283" s="118">
        <f>135000000000*0.0283168</f>
        <v>3822768000</v>
      </c>
      <c r="O1283" s="118"/>
      <c r="P1283" s="118">
        <f>131555851.49*26.173</f>
        <v>3443211301.0477695</v>
      </c>
      <c r="Q1283" s="118"/>
      <c r="R1283" s="118"/>
      <c r="S1283" s="117" t="s">
        <v>642</v>
      </c>
      <c r="T1283" s="119">
        <v>2.5634154978385615E-2</v>
      </c>
      <c r="U1283" s="117" t="s">
        <v>643</v>
      </c>
      <c r="V1283" s="117" t="s">
        <v>880</v>
      </c>
      <c r="W1283" s="89">
        <f>N1283*T1283</f>
        <v>97993427.358413219</v>
      </c>
      <c r="X1283" s="117"/>
      <c r="Y1283" s="117"/>
      <c r="Z1283" s="117"/>
      <c r="AA1283" s="89">
        <v>79823404.865598798</v>
      </c>
      <c r="AB1283" s="89">
        <v>79654064.4060103</v>
      </c>
      <c r="AC1283" s="240"/>
      <c r="AD1283" s="240"/>
      <c r="AE1283" s="240"/>
      <c r="AF1283" s="241">
        <f>AA1283/W1283</f>
        <v>0.81457917145445735</v>
      </c>
      <c r="AG1283" s="117"/>
      <c r="AH1283" s="124"/>
      <c r="AI1283" s="117"/>
      <c r="AJ1283" s="117" t="s">
        <v>1910</v>
      </c>
      <c r="AK1283" s="89">
        <v>2347532.2799999998</v>
      </c>
      <c r="AL1283" s="117"/>
      <c r="AM1283" s="117"/>
      <c r="AN1283" s="117">
        <v>16</v>
      </c>
      <c r="AO1283" s="117" t="s">
        <v>1915</v>
      </c>
      <c r="AP1283" s="117">
        <v>16</v>
      </c>
      <c r="AQ1283" s="117"/>
      <c r="AR1283" s="117"/>
      <c r="AS1283" s="117"/>
      <c r="AT1283" s="117"/>
      <c r="AU1283" s="117" t="s">
        <v>1913</v>
      </c>
      <c r="AV1283" s="128"/>
      <c r="AW1283" s="117">
        <f>VLOOKUP($D1283,'WB Data'!$C$3:$M$578,2,FALSE)</f>
        <v>13244880034.848072</v>
      </c>
      <c r="AX1283" s="117">
        <f>VLOOKUP($D1283,'WB Data'!$C$3:$M$578,3,FALSE)</f>
        <v>24581367</v>
      </c>
      <c r="AY1283" s="847">
        <f t="shared" ref="AY1283:AY1346" si="226">IFERROR($BB1283/$AW1283,"..")</f>
        <v>8.6913765905861189E-3</v>
      </c>
      <c r="AZ1283" s="117">
        <f>VLOOKUP($D1283,'WB Data'!$C$3:$M$578,4,FALSE)/100</f>
        <v>0.20634115775643155</v>
      </c>
      <c r="BA1283" s="117">
        <f t="shared" ref="BA1283:BA1346" si="227">IFERROR($AW1283*$AZ1283,"..")</f>
        <v>2732963880.7355967</v>
      </c>
      <c r="BB1283" s="129">
        <f>IFERROR(VLOOKUP($D1283,'EITI Revenues'!$C$2:$G$224,5,FALSE),"..")</f>
        <v>115116240.28</v>
      </c>
      <c r="BC1283" s="846">
        <f t="shared" ref="BC1283:BC1346" si="228">IFERROR($BB1283/$BA1283,"..")</f>
        <v>4.2121391025854188E-2</v>
      </c>
      <c r="BD1283" s="129" t="e">
        <f>VLOOKUP($D1283,'WB Data 2'!$C$2:$K$545,6,FALSE)</f>
        <v>#N/A</v>
      </c>
      <c r="BE1283" s="129">
        <f>IFERROR(VLOOKUP($D1283,UNCTAD!$C$5:$V$529,4,FALSE),"..")</f>
        <v>3847357000</v>
      </c>
      <c r="BF1283" s="846" t="str">
        <f t="shared" ref="BF1283:BF1346" si="229">IFERROR(($BD1283/$BE1283),"..")</f>
        <v>..</v>
      </c>
      <c r="BG1283" s="117">
        <f>VLOOKUP($D1283,'WB Data'!$C$3:$M$578,5,FALSE)</f>
        <v>2084980000</v>
      </c>
      <c r="BH1283" s="129">
        <f>IFERROR($BB1283/$BG1283,"..")</f>
        <v>5.5212155646576944E-2</v>
      </c>
      <c r="BI1283" s="117" t="str">
        <f>IFERROR(VLOOKUP($D1283,'WB Data'!$C$3:$M$578,7,FALSE)/100,"..")</f>
        <v>..</v>
      </c>
      <c r="BJ1283" s="117" t="str">
        <f>IFERROR($BI1283*$AW1283,"..")</f>
        <v>..</v>
      </c>
      <c r="BK1283" s="846" t="str">
        <f>IFERROR($BB1283/$BJ1283,"..")</f>
        <v>..</v>
      </c>
      <c r="BL1283" s="117" t="str">
        <f>IFERROR(VLOOKUP($D1283,'WB Data'!$C$3:$M$578,7,FALSE)/100,"..")</f>
        <v>..</v>
      </c>
      <c r="BM1283" s="117" t="str">
        <f>IFERROR($AW1283*$BL1283,"..")</f>
        <v>..</v>
      </c>
      <c r="BN1283" s="846" t="str">
        <f>IFERROR($BB1283/$BM1283,"..")</f>
        <v>..</v>
      </c>
      <c r="BO1283" s="801">
        <f t="shared" si="225"/>
        <v>31</v>
      </c>
      <c r="BP1283" s="117" t="str">
        <f>VLOOKUP($D1283,'WB Data'!$C$3:$M$578,9,FALSE)</f>
        <v>..</v>
      </c>
      <c r="BQ1283" s="117">
        <f>VLOOKUP($D1283,'WB Data'!$C$3:$M$578,10,FALSE)</f>
        <v>49.487829268292693</v>
      </c>
      <c r="BR1283" s="117">
        <f>VLOOKUP($D1283,'WB Data'!$C$3:$M$578,11,FALSE)</f>
        <v>67.8</v>
      </c>
      <c r="BS1283" s="129" t="str">
        <f>IFERROR(VLOOKUP($D1283,'WB Data 2'!$C$2:$K$545,9,FALSE),"..")</f>
        <v>..</v>
      </c>
      <c r="BT1283" s="129" t="str">
        <f>_xlfn.IFNA(VLOOKUP($C1283,RGI!$A$2:$C$43,2,FALSE),"..")</f>
        <v>..</v>
      </c>
      <c r="BU1283" s="129" t="str">
        <f>_xlfn.IFNA(VLOOKUP($C1283,RGI!$A$2:$C$43,3,FALSE),"..")</f>
        <v>..</v>
      </c>
      <c r="BV1283" s="129">
        <f>VLOOKUP($D1283,WGI!$C$2:$O$478,7,FALSE)</f>
        <v>-0.17324928389538299</v>
      </c>
      <c r="BW1283" s="129">
        <f>VLOOKUP($D1283,WGI!$C$2:$O$478,4,FALSE)</f>
        <v>0.29734052019608598</v>
      </c>
      <c r="BX1283" s="129">
        <f>VLOOKUP($D1283,WGI!$C$2:$O$478,3,FALSE)</f>
        <v>-0.624712275124643</v>
      </c>
      <c r="BY1283" s="129">
        <f>VLOOKUP($D1283,WGI!$C$2:$O$478,5,FALSE)</f>
        <v>-0.42342402646736998</v>
      </c>
      <c r="BZ1283" s="129">
        <f>VLOOKUP($D1283,WGI!$C$2:$O$478,2,FALSE)</f>
        <v>-0.49207789524085799</v>
      </c>
      <c r="CB1283" s="129"/>
    </row>
    <row r="1284" spans="1:80" s="120" customFormat="1" ht="15" customHeight="1">
      <c r="A1284" s="280" t="s">
        <v>1907</v>
      </c>
      <c r="B1284" s="117">
        <v>2011</v>
      </c>
      <c r="C1284" s="117" t="s">
        <v>385</v>
      </c>
      <c r="D1284" s="117" t="s">
        <v>3708</v>
      </c>
      <c r="E1284" s="117" t="s">
        <v>86</v>
      </c>
      <c r="F1284" s="117"/>
      <c r="G1284" s="117" t="s">
        <v>24</v>
      </c>
      <c r="H1284" s="117" t="str">
        <f t="shared" si="219"/>
        <v>yes</v>
      </c>
      <c r="I1284" s="117" t="str">
        <f t="shared" si="221"/>
        <v>no</v>
      </c>
      <c r="J1284" s="117" t="str">
        <f t="shared" si="222"/>
        <v>no</v>
      </c>
      <c r="K1284" s="117" t="s">
        <v>600</v>
      </c>
      <c r="L1284" s="117" t="str">
        <f t="shared" si="220"/>
        <v>Total</v>
      </c>
      <c r="M1284" s="117" t="str">
        <f t="shared" si="223"/>
        <v>Total Mining</v>
      </c>
      <c r="N1284" s="118"/>
      <c r="O1284" s="118"/>
      <c r="P1284" s="118"/>
      <c r="Q1284" s="118"/>
      <c r="R1284" s="118"/>
      <c r="S1284" s="117"/>
      <c r="T1284" s="119"/>
      <c r="V1284" s="117"/>
      <c r="W1284" s="89">
        <f>SUM(W1285:W1295)</f>
        <v>351732950.80911344</v>
      </c>
      <c r="X1284" s="117"/>
      <c r="Y1284" s="117"/>
      <c r="Z1284" s="117"/>
      <c r="AA1284" s="89">
        <f>AA1282-AA1283</f>
        <v>35292835.414401203</v>
      </c>
      <c r="AB1284" s="89">
        <f>AB1282-AB1283</f>
        <v>34954768.873989701</v>
      </c>
      <c r="AC1284" s="240"/>
      <c r="AD1284" s="240"/>
      <c r="AE1284" s="240"/>
      <c r="AF1284" s="241">
        <f>AA1284/W1284</f>
        <v>0.10033986105997426</v>
      </c>
      <c r="AG1284" s="117"/>
      <c r="AH1284" s="124"/>
      <c r="AI1284" s="117"/>
      <c r="AJ1284" s="117"/>
      <c r="AK1284" s="89"/>
      <c r="AL1284" s="117"/>
      <c r="AM1284" s="117"/>
      <c r="AN1284" s="117">
        <v>23</v>
      </c>
      <c r="AO1284" s="117" t="s">
        <v>1916</v>
      </c>
      <c r="AP1284" s="117">
        <v>21</v>
      </c>
      <c r="AQ1284" s="117"/>
      <c r="AR1284" s="117"/>
      <c r="AS1284" s="117"/>
      <c r="AT1284" s="117"/>
      <c r="AU1284" s="117"/>
      <c r="AV1284" s="128"/>
      <c r="AW1284" s="117">
        <f>VLOOKUP($D1284,'WB Data'!$C$3:$M$578,2,FALSE)</f>
        <v>13244880034.848072</v>
      </c>
      <c r="AX1284" s="117">
        <f>VLOOKUP($D1284,'WB Data'!$C$3:$M$578,3,FALSE)</f>
        <v>24581367</v>
      </c>
      <c r="AY1284" s="847">
        <f t="shared" si="226"/>
        <v>8.6913765905861189E-3</v>
      </c>
      <c r="AZ1284" s="117">
        <f>VLOOKUP($D1284,'WB Data'!$C$3:$M$578,4,FALSE)/100</f>
        <v>0.20634115775643155</v>
      </c>
      <c r="BA1284" s="117">
        <f t="shared" si="227"/>
        <v>2732963880.7355967</v>
      </c>
      <c r="BB1284" s="129">
        <f>IFERROR(VLOOKUP($D1284,'EITI Revenues'!$C$2:$G$224,5,FALSE),"..")</f>
        <v>115116240.28</v>
      </c>
      <c r="BC1284" s="846">
        <f t="shared" si="228"/>
        <v>4.2121391025854188E-2</v>
      </c>
      <c r="BD1284" s="129" t="e">
        <f>VLOOKUP($D1284,'WB Data 2'!$C$2:$K$545,6,FALSE)</f>
        <v>#N/A</v>
      </c>
      <c r="BE1284" s="129">
        <f>IFERROR(VLOOKUP($D1284,UNCTAD!$C$5:$V$529,4,FALSE),"..")</f>
        <v>3847357000</v>
      </c>
      <c r="BF1284" s="846" t="str">
        <f t="shared" si="229"/>
        <v>..</v>
      </c>
      <c r="BG1284" s="117">
        <f>VLOOKUP($D1284,'WB Data'!$C$3:$M$578,5,FALSE)</f>
        <v>2084980000</v>
      </c>
      <c r="BH1284" s="129">
        <f>IFERROR($BB1284/$BG1284,"..")</f>
        <v>5.5212155646576944E-2</v>
      </c>
      <c r="BI1284" s="117" t="str">
        <f>IFERROR(VLOOKUP($D1284,'WB Data'!$C$3:$M$578,7,FALSE)/100,"..")</f>
        <v>..</v>
      </c>
      <c r="BJ1284" s="117" t="str">
        <f>IFERROR($BI1284*$AW1284,"..")</f>
        <v>..</v>
      </c>
      <c r="BK1284" s="846" t="str">
        <f>IFERROR($BB1284/$BJ1284,"..")</f>
        <v>..</v>
      </c>
      <c r="BL1284" s="117" t="str">
        <f>IFERROR(VLOOKUP($D1284,'WB Data'!$C$3:$M$578,7,FALSE)/100,"..")</f>
        <v>..</v>
      </c>
      <c r="BM1284" s="117" t="str">
        <f>IFERROR($AW1284*$BL1284,"..")</f>
        <v>..</v>
      </c>
      <c r="BN1284" s="846" t="str">
        <f>IFERROR($BB1284/$BM1284,"..")</f>
        <v>..</v>
      </c>
      <c r="BO1284" s="801">
        <f t="shared" si="225"/>
        <v>31</v>
      </c>
      <c r="BP1284" s="117" t="str">
        <f>VLOOKUP($D1284,'WB Data'!$C$3:$M$578,9,FALSE)</f>
        <v>..</v>
      </c>
      <c r="BQ1284" s="117">
        <f>VLOOKUP($D1284,'WB Data'!$C$3:$M$578,10,FALSE)</f>
        <v>49.487829268292693</v>
      </c>
      <c r="BR1284" s="117">
        <f>VLOOKUP($D1284,'WB Data'!$C$3:$M$578,11,FALSE)</f>
        <v>67.8</v>
      </c>
      <c r="BS1284" s="129" t="str">
        <f>IFERROR(VLOOKUP($D1284,'WB Data 2'!$C$2:$K$545,9,FALSE),"..")</f>
        <v>..</v>
      </c>
      <c r="BT1284" s="129" t="str">
        <f>_xlfn.IFNA(VLOOKUP($C1284,RGI!$A$2:$C$43,2,FALSE),"..")</f>
        <v>..</v>
      </c>
      <c r="BU1284" s="129" t="str">
        <f>_xlfn.IFNA(VLOOKUP($C1284,RGI!$A$2:$C$43,3,FALSE),"..")</f>
        <v>..</v>
      </c>
      <c r="BV1284" s="129">
        <f>VLOOKUP($D1284,WGI!$C$2:$O$478,7,FALSE)</f>
        <v>-0.17324928389538299</v>
      </c>
      <c r="BW1284" s="129">
        <f>VLOOKUP($D1284,WGI!$C$2:$O$478,4,FALSE)</f>
        <v>0.29734052019608598</v>
      </c>
      <c r="BX1284" s="129">
        <f>VLOOKUP($D1284,WGI!$C$2:$O$478,3,FALSE)</f>
        <v>-0.624712275124643</v>
      </c>
      <c r="BY1284" s="129">
        <f>VLOOKUP($D1284,WGI!$C$2:$O$478,5,FALSE)</f>
        <v>-0.42342402646736998</v>
      </c>
      <c r="BZ1284" s="129">
        <f>VLOOKUP($D1284,WGI!$C$2:$O$478,2,FALSE)</f>
        <v>-0.49207789524085799</v>
      </c>
      <c r="CB1284" s="129"/>
    </row>
    <row r="1285" spans="1:80" s="120" customFormat="1" ht="15" customHeight="1">
      <c r="A1285" s="280" t="s">
        <v>1907</v>
      </c>
      <c r="B1285" s="117">
        <v>2011</v>
      </c>
      <c r="C1285" s="117" t="s">
        <v>385</v>
      </c>
      <c r="D1285" s="117" t="s">
        <v>3708</v>
      </c>
      <c r="E1285" s="117" t="s">
        <v>86</v>
      </c>
      <c r="F1285" s="117"/>
      <c r="G1285" s="117" t="s">
        <v>24</v>
      </c>
      <c r="H1285" s="117" t="str">
        <f t="shared" si="219"/>
        <v>yes</v>
      </c>
      <c r="I1285" s="117" t="str">
        <f t="shared" si="221"/>
        <v>no</v>
      </c>
      <c r="J1285" s="117" t="str">
        <f t="shared" si="222"/>
        <v>no</v>
      </c>
      <c r="K1285" s="117" t="s">
        <v>616</v>
      </c>
      <c r="L1285" s="117" t="str">
        <f t="shared" si="220"/>
        <v>detailed</v>
      </c>
      <c r="M1285" s="117" t="str">
        <f t="shared" si="223"/>
        <v>detailed Mining</v>
      </c>
      <c r="N1285" s="118">
        <f>714000*0.90718474</f>
        <v>647729.90436000004</v>
      </c>
      <c r="O1285" s="118"/>
      <c r="P1285" s="118"/>
      <c r="Q1285" s="118"/>
      <c r="R1285" s="118"/>
      <c r="S1285" s="117" t="s">
        <v>610</v>
      </c>
      <c r="T1285" s="119">
        <v>111.54662184722224</v>
      </c>
      <c r="U1285" s="117" t="s">
        <v>611</v>
      </c>
      <c r="V1285" s="117" t="s">
        <v>1871</v>
      </c>
      <c r="W1285" s="89">
        <f>N1285*T1285</f>
        <v>72252082.700782359</v>
      </c>
      <c r="X1285" s="117"/>
      <c r="Y1285" s="117"/>
      <c r="Z1285" s="117"/>
      <c r="AA1285" s="89"/>
      <c r="AB1285" s="89"/>
      <c r="AC1285" s="240"/>
      <c r="AD1285" s="240"/>
      <c r="AE1285" s="240"/>
      <c r="AF1285" s="241"/>
      <c r="AG1285" s="117"/>
      <c r="AH1285" s="124"/>
      <c r="AI1285" s="117"/>
      <c r="AJ1285" s="117"/>
      <c r="AK1285" s="89"/>
      <c r="AL1285" s="117"/>
      <c r="AM1285" s="117"/>
      <c r="AN1285" s="117"/>
      <c r="AO1285" s="117"/>
      <c r="AP1285" s="117"/>
      <c r="AQ1285" s="117"/>
      <c r="AR1285" s="117"/>
      <c r="AS1285" s="117"/>
      <c r="AT1285" s="117"/>
      <c r="AU1285" s="117"/>
      <c r="AV1285" s="128"/>
      <c r="AW1285" s="117">
        <f>VLOOKUP($D1285,'WB Data'!$C$3:$M$578,2,FALSE)</f>
        <v>13244880034.848072</v>
      </c>
      <c r="AX1285" s="117">
        <f>VLOOKUP($D1285,'WB Data'!$C$3:$M$578,3,FALSE)</f>
        <v>24581367</v>
      </c>
      <c r="AY1285" s="847">
        <f t="shared" si="226"/>
        <v>8.6913765905861189E-3</v>
      </c>
      <c r="AZ1285" s="117">
        <f>VLOOKUP($D1285,'WB Data'!$C$3:$M$578,4,FALSE)/100</f>
        <v>0.20634115775643155</v>
      </c>
      <c r="BA1285" s="117">
        <f t="shared" si="227"/>
        <v>2732963880.7355967</v>
      </c>
      <c r="BB1285" s="129">
        <f>IFERROR(VLOOKUP($D1285,'EITI Revenues'!$C$2:$G$224,5,FALSE),"..")</f>
        <v>115116240.28</v>
      </c>
      <c r="BC1285" s="846">
        <f t="shared" si="228"/>
        <v>4.2121391025854188E-2</v>
      </c>
      <c r="BD1285" s="129" t="e">
        <f>VLOOKUP($D1285,'WB Data 2'!$C$2:$K$545,6,FALSE)</f>
        <v>#N/A</v>
      </c>
      <c r="BE1285" s="129">
        <f>IFERROR(VLOOKUP($D1285,UNCTAD!$C$5:$V$529,4,FALSE),"..")</f>
        <v>3847357000</v>
      </c>
      <c r="BF1285" s="846" t="str">
        <f t="shared" si="229"/>
        <v>..</v>
      </c>
      <c r="BG1285" s="117">
        <f>VLOOKUP($D1285,'WB Data'!$C$3:$M$578,5,FALSE)</f>
        <v>2084980000</v>
      </c>
      <c r="BH1285" s="129">
        <f>IFERROR($BB1285/$BG1285,"..")</f>
        <v>5.5212155646576944E-2</v>
      </c>
      <c r="BI1285" s="117" t="str">
        <f>IFERROR(VLOOKUP($D1285,'WB Data'!$C$3:$M$578,7,FALSE)/100,"..")</f>
        <v>..</v>
      </c>
      <c r="BJ1285" s="117" t="str">
        <f>IFERROR($BI1285*$AW1285,"..")</f>
        <v>..</v>
      </c>
      <c r="BK1285" s="846" t="str">
        <f>IFERROR($BB1285/$BJ1285,"..")</f>
        <v>..</v>
      </c>
      <c r="BL1285" s="117" t="str">
        <f>IFERROR(VLOOKUP($D1285,'WB Data'!$C$3:$M$578,7,FALSE)/100,"..")</f>
        <v>..</v>
      </c>
      <c r="BM1285" s="117" t="str">
        <f>IFERROR($AW1285*$BL1285,"..")</f>
        <v>..</v>
      </c>
      <c r="BN1285" s="846" t="str">
        <f>IFERROR($BB1285/$BM1285,"..")</f>
        <v>..</v>
      </c>
      <c r="BO1285" s="801">
        <f t="shared" si="225"/>
        <v>31</v>
      </c>
      <c r="BP1285" s="117" t="str">
        <f>VLOOKUP($D1285,'WB Data'!$C$3:$M$578,9,FALSE)</f>
        <v>..</v>
      </c>
      <c r="BQ1285" s="117">
        <f>VLOOKUP($D1285,'WB Data'!$C$3:$M$578,10,FALSE)</f>
        <v>49.487829268292693</v>
      </c>
      <c r="BR1285" s="117">
        <f>VLOOKUP($D1285,'WB Data'!$C$3:$M$578,11,FALSE)</f>
        <v>67.8</v>
      </c>
      <c r="BS1285" s="129" t="str">
        <f>IFERROR(VLOOKUP($D1285,'WB Data 2'!$C$2:$K$545,9,FALSE),"..")</f>
        <v>..</v>
      </c>
      <c r="BT1285" s="129" t="str">
        <f>_xlfn.IFNA(VLOOKUP($C1285,RGI!$A$2:$C$43,2,FALSE),"..")</f>
        <v>..</v>
      </c>
      <c r="BU1285" s="129" t="str">
        <f>_xlfn.IFNA(VLOOKUP($C1285,RGI!$A$2:$C$43,3,FALSE),"..")</f>
        <v>..</v>
      </c>
      <c r="BV1285" s="129">
        <f>VLOOKUP($D1285,WGI!$C$2:$O$478,7,FALSE)</f>
        <v>-0.17324928389538299</v>
      </c>
      <c r="BW1285" s="129">
        <f>VLOOKUP($D1285,WGI!$C$2:$O$478,4,FALSE)</f>
        <v>0.29734052019608598</v>
      </c>
      <c r="BX1285" s="129">
        <f>VLOOKUP($D1285,WGI!$C$2:$O$478,3,FALSE)</f>
        <v>-0.624712275124643</v>
      </c>
      <c r="BY1285" s="129">
        <f>VLOOKUP($D1285,WGI!$C$2:$O$478,5,FALSE)</f>
        <v>-0.42342402646736998</v>
      </c>
      <c r="BZ1285" s="129">
        <f>VLOOKUP($D1285,WGI!$C$2:$O$478,2,FALSE)</f>
        <v>-0.49207789524085799</v>
      </c>
      <c r="CB1285" s="129"/>
    </row>
    <row r="1286" spans="1:80" s="120" customFormat="1" ht="15" customHeight="1">
      <c r="A1286" s="280" t="s">
        <v>1907</v>
      </c>
      <c r="B1286" s="117">
        <v>2011</v>
      </c>
      <c r="C1286" s="117" t="s">
        <v>385</v>
      </c>
      <c r="D1286" s="117" t="s">
        <v>3708</v>
      </c>
      <c r="E1286" s="117" t="s">
        <v>86</v>
      </c>
      <c r="F1286" s="117"/>
      <c r="G1286" s="117" t="s">
        <v>24</v>
      </c>
      <c r="H1286" s="117" t="str">
        <f t="shared" si="219"/>
        <v>yes</v>
      </c>
      <c r="I1286" s="117" t="str">
        <f t="shared" si="221"/>
        <v>no</v>
      </c>
      <c r="J1286" s="117" t="str">
        <f t="shared" si="222"/>
        <v>no</v>
      </c>
      <c r="K1286" s="117" t="s">
        <v>1065</v>
      </c>
      <c r="L1286" s="117" t="str">
        <f t="shared" si="220"/>
        <v>detailed</v>
      </c>
      <c r="M1286" s="117" t="str">
        <f t="shared" si="223"/>
        <v>detailed Mining</v>
      </c>
      <c r="N1286" s="118"/>
      <c r="O1286" s="118"/>
      <c r="P1286" s="118"/>
      <c r="Q1286" s="118"/>
      <c r="R1286" s="118"/>
      <c r="S1286" s="117"/>
      <c r="T1286" s="119"/>
      <c r="U1286" s="117"/>
      <c r="V1286" s="117"/>
      <c r="W1286" s="89"/>
      <c r="X1286" s="117"/>
      <c r="Y1286" s="117"/>
      <c r="Z1286" s="117"/>
      <c r="AA1286" s="89"/>
      <c r="AB1286" s="89"/>
      <c r="AC1286" s="240"/>
      <c r="AD1286" s="240"/>
      <c r="AE1286" s="240"/>
      <c r="AF1286" s="241"/>
      <c r="AG1286" s="117"/>
      <c r="AH1286" s="124"/>
      <c r="AI1286" s="117"/>
      <c r="AJ1286" s="117"/>
      <c r="AK1286" s="89"/>
      <c r="AL1286" s="117"/>
      <c r="AM1286" s="117"/>
      <c r="AN1286" s="117"/>
      <c r="AO1286" s="117"/>
      <c r="AP1286" s="117"/>
      <c r="AQ1286" s="117"/>
      <c r="AR1286" s="117"/>
      <c r="AS1286" s="117"/>
      <c r="AT1286" s="117"/>
      <c r="AU1286" s="117"/>
      <c r="AV1286" s="128"/>
      <c r="AW1286" s="117">
        <f>VLOOKUP($D1286,'WB Data'!$C$3:$M$578,2,FALSE)</f>
        <v>13244880034.848072</v>
      </c>
      <c r="AX1286" s="117">
        <f>VLOOKUP($D1286,'WB Data'!$C$3:$M$578,3,FALSE)</f>
        <v>24581367</v>
      </c>
      <c r="AY1286" s="847">
        <f t="shared" si="226"/>
        <v>8.6913765905861189E-3</v>
      </c>
      <c r="AZ1286" s="117">
        <f>VLOOKUP($D1286,'WB Data'!$C$3:$M$578,4,FALSE)/100</f>
        <v>0.20634115775643155</v>
      </c>
      <c r="BA1286" s="117">
        <f t="shared" si="227"/>
        <v>2732963880.7355967</v>
      </c>
      <c r="BB1286" s="129">
        <f>IFERROR(VLOOKUP($D1286,'EITI Revenues'!$C$2:$G$224,5,FALSE),"..")</f>
        <v>115116240.28</v>
      </c>
      <c r="BC1286" s="846">
        <f t="shared" si="228"/>
        <v>4.2121391025854188E-2</v>
      </c>
      <c r="BD1286" s="129" t="e">
        <f>VLOOKUP($D1286,'WB Data 2'!$C$2:$K$545,6,FALSE)</f>
        <v>#N/A</v>
      </c>
      <c r="BE1286" s="129">
        <f>IFERROR(VLOOKUP($D1286,UNCTAD!$C$5:$V$529,4,FALSE),"..")</f>
        <v>3847357000</v>
      </c>
      <c r="BF1286" s="846" t="str">
        <f t="shared" si="229"/>
        <v>..</v>
      </c>
      <c r="BG1286" s="117">
        <f>VLOOKUP($D1286,'WB Data'!$C$3:$M$578,5,FALSE)</f>
        <v>2084980000</v>
      </c>
      <c r="BH1286" s="129">
        <f>IFERROR($BB1286/$BG1286,"..")</f>
        <v>5.5212155646576944E-2</v>
      </c>
      <c r="BI1286" s="117" t="str">
        <f>IFERROR(VLOOKUP($D1286,'WB Data'!$C$3:$M$578,7,FALSE)/100,"..")</f>
        <v>..</v>
      </c>
      <c r="BJ1286" s="117" t="str">
        <f>IFERROR($BI1286*$AW1286,"..")</f>
        <v>..</v>
      </c>
      <c r="BK1286" s="846" t="str">
        <f>IFERROR($BB1286/$BJ1286,"..")</f>
        <v>..</v>
      </c>
      <c r="BL1286" s="117" t="str">
        <f>IFERROR(VLOOKUP($D1286,'WB Data'!$C$3:$M$578,7,FALSE)/100,"..")</f>
        <v>..</v>
      </c>
      <c r="BM1286" s="117" t="str">
        <f>IFERROR($AW1286*$BL1286,"..")</f>
        <v>..</v>
      </c>
      <c r="BN1286" s="846" t="str">
        <f>IFERROR($BB1286/$BM1286,"..")</f>
        <v>..</v>
      </c>
      <c r="BO1286" s="801">
        <f t="shared" si="225"/>
        <v>31</v>
      </c>
      <c r="BP1286" s="117" t="str">
        <f>VLOOKUP($D1286,'WB Data'!$C$3:$M$578,9,FALSE)</f>
        <v>..</v>
      </c>
      <c r="BQ1286" s="117">
        <f>VLOOKUP($D1286,'WB Data'!$C$3:$M$578,10,FALSE)</f>
        <v>49.487829268292693</v>
      </c>
      <c r="BR1286" s="117">
        <f>VLOOKUP($D1286,'WB Data'!$C$3:$M$578,11,FALSE)</f>
        <v>67.8</v>
      </c>
      <c r="BS1286" s="129" t="str">
        <f>IFERROR(VLOOKUP($D1286,'WB Data 2'!$C$2:$K$545,9,FALSE),"..")</f>
        <v>..</v>
      </c>
      <c r="BT1286" s="129" t="str">
        <f>_xlfn.IFNA(VLOOKUP($C1286,RGI!$A$2:$C$43,2,FALSE),"..")</f>
        <v>..</v>
      </c>
      <c r="BU1286" s="129" t="str">
        <f>_xlfn.IFNA(VLOOKUP($C1286,RGI!$A$2:$C$43,3,FALSE),"..")</f>
        <v>..</v>
      </c>
      <c r="BV1286" s="129">
        <f>VLOOKUP($D1286,WGI!$C$2:$O$478,7,FALSE)</f>
        <v>-0.17324928389538299</v>
      </c>
      <c r="BW1286" s="129">
        <f>VLOOKUP($D1286,WGI!$C$2:$O$478,4,FALSE)</f>
        <v>0.29734052019608598</v>
      </c>
      <c r="BX1286" s="129">
        <f>VLOOKUP($D1286,WGI!$C$2:$O$478,3,FALSE)</f>
        <v>-0.624712275124643</v>
      </c>
      <c r="BY1286" s="129">
        <f>VLOOKUP($D1286,WGI!$C$2:$O$478,5,FALSE)</f>
        <v>-0.42342402646736998</v>
      </c>
      <c r="BZ1286" s="129">
        <f>VLOOKUP($D1286,WGI!$C$2:$O$478,2,FALSE)</f>
        <v>-0.49207789524085799</v>
      </c>
      <c r="CB1286" s="129"/>
    </row>
    <row r="1287" spans="1:80" s="120" customFormat="1" ht="15" customHeight="1">
      <c r="A1287" s="280" t="s">
        <v>1907</v>
      </c>
      <c r="B1287" s="117">
        <v>2011</v>
      </c>
      <c r="C1287" s="117" t="s">
        <v>385</v>
      </c>
      <c r="D1287" s="117" t="s">
        <v>3708</v>
      </c>
      <c r="E1287" s="117" t="s">
        <v>86</v>
      </c>
      <c r="F1287" s="117"/>
      <c r="G1287" s="117" t="s">
        <v>24</v>
      </c>
      <c r="H1287" s="117" t="str">
        <f t="shared" si="219"/>
        <v>yes</v>
      </c>
      <c r="I1287" s="117" t="str">
        <f t="shared" si="221"/>
        <v>no</v>
      </c>
      <c r="J1287" s="117" t="str">
        <f t="shared" si="222"/>
        <v>no</v>
      </c>
      <c r="K1287" s="117" t="s">
        <v>1066</v>
      </c>
      <c r="L1287" s="117" t="str">
        <f t="shared" si="220"/>
        <v>detailed</v>
      </c>
      <c r="M1287" s="117" t="str">
        <f t="shared" si="223"/>
        <v>detailed Mining</v>
      </c>
      <c r="N1287" s="118">
        <v>139145</v>
      </c>
      <c r="O1287" s="118"/>
      <c r="P1287" s="118"/>
      <c r="Q1287" s="118"/>
      <c r="R1287" s="118"/>
      <c r="S1287" s="117" t="s">
        <v>967</v>
      </c>
      <c r="T1287" s="119"/>
      <c r="U1287" s="117"/>
      <c r="V1287" s="117" t="s">
        <v>684</v>
      </c>
      <c r="W1287" s="89"/>
      <c r="X1287" s="117"/>
      <c r="Y1287" s="117"/>
      <c r="Z1287" s="117"/>
      <c r="AA1287" s="89"/>
      <c r="AB1287" s="89"/>
      <c r="AC1287" s="240"/>
      <c r="AD1287" s="240"/>
      <c r="AE1287" s="240"/>
      <c r="AF1287" s="241"/>
      <c r="AG1287" s="117"/>
      <c r="AH1287" s="124"/>
      <c r="AI1287" s="117"/>
      <c r="AJ1287" s="117"/>
      <c r="AK1287" s="89"/>
      <c r="AL1287" s="117"/>
      <c r="AM1287" s="117"/>
      <c r="AN1287" s="117"/>
      <c r="AO1287" s="117"/>
      <c r="AP1287" s="117"/>
      <c r="AQ1287" s="117"/>
      <c r="AR1287" s="117"/>
      <c r="AS1287" s="117"/>
      <c r="AT1287" s="117"/>
      <c r="AU1287" s="117"/>
      <c r="AV1287" s="128"/>
      <c r="AW1287" s="117">
        <f>VLOOKUP($D1287,'WB Data'!$C$3:$M$578,2,FALSE)</f>
        <v>13244880034.848072</v>
      </c>
      <c r="AX1287" s="117">
        <f>VLOOKUP($D1287,'WB Data'!$C$3:$M$578,3,FALSE)</f>
        <v>24581367</v>
      </c>
      <c r="AY1287" s="847">
        <f t="shared" si="226"/>
        <v>8.6913765905861189E-3</v>
      </c>
      <c r="AZ1287" s="117">
        <f>VLOOKUP($D1287,'WB Data'!$C$3:$M$578,4,FALSE)/100</f>
        <v>0.20634115775643155</v>
      </c>
      <c r="BA1287" s="117">
        <f t="shared" si="227"/>
        <v>2732963880.7355967</v>
      </c>
      <c r="BB1287" s="129">
        <f>IFERROR(VLOOKUP($D1287,'EITI Revenues'!$C$2:$G$224,5,FALSE),"..")</f>
        <v>115116240.28</v>
      </c>
      <c r="BC1287" s="846">
        <f t="shared" si="228"/>
        <v>4.2121391025854188E-2</v>
      </c>
      <c r="BD1287" s="129" t="e">
        <f>VLOOKUP($D1287,'WB Data 2'!$C$2:$K$545,6,FALSE)</f>
        <v>#N/A</v>
      </c>
      <c r="BE1287" s="129">
        <f>IFERROR(VLOOKUP($D1287,UNCTAD!$C$5:$V$529,4,FALSE),"..")</f>
        <v>3847357000</v>
      </c>
      <c r="BF1287" s="846" t="str">
        <f t="shared" si="229"/>
        <v>..</v>
      </c>
      <c r="BG1287" s="117">
        <f>VLOOKUP($D1287,'WB Data'!$C$3:$M$578,5,FALSE)</f>
        <v>2084980000</v>
      </c>
      <c r="BH1287" s="129">
        <f>IFERROR($BB1287/$BG1287,"..")</f>
        <v>5.5212155646576944E-2</v>
      </c>
      <c r="BI1287" s="117" t="str">
        <f>IFERROR(VLOOKUP($D1287,'WB Data'!$C$3:$M$578,7,FALSE)/100,"..")</f>
        <v>..</v>
      </c>
      <c r="BJ1287" s="117" t="str">
        <f>IFERROR($BI1287*$AW1287,"..")</f>
        <v>..</v>
      </c>
      <c r="BK1287" s="846" t="str">
        <f>IFERROR($BB1287/$BJ1287,"..")</f>
        <v>..</v>
      </c>
      <c r="BL1287" s="117" t="str">
        <f>IFERROR(VLOOKUP($D1287,'WB Data'!$C$3:$M$578,7,FALSE)/100,"..")</f>
        <v>..</v>
      </c>
      <c r="BM1287" s="117" t="str">
        <f>IFERROR($AW1287*$BL1287,"..")</f>
        <v>..</v>
      </c>
      <c r="BN1287" s="846" t="str">
        <f>IFERROR($BB1287/$BM1287,"..")</f>
        <v>..</v>
      </c>
      <c r="BO1287" s="801">
        <f t="shared" si="225"/>
        <v>31</v>
      </c>
      <c r="BP1287" s="117" t="str">
        <f>VLOOKUP($D1287,'WB Data'!$C$3:$M$578,9,FALSE)</f>
        <v>..</v>
      </c>
      <c r="BQ1287" s="117">
        <f>VLOOKUP($D1287,'WB Data'!$C$3:$M$578,10,FALSE)</f>
        <v>49.487829268292693</v>
      </c>
      <c r="BR1287" s="117">
        <f>VLOOKUP($D1287,'WB Data'!$C$3:$M$578,11,FALSE)</f>
        <v>67.8</v>
      </c>
      <c r="BS1287" s="129" t="str">
        <f>IFERROR(VLOOKUP($D1287,'WB Data 2'!$C$2:$K$545,9,FALSE),"..")</f>
        <v>..</v>
      </c>
      <c r="BT1287" s="129" t="str">
        <f>_xlfn.IFNA(VLOOKUP($C1287,RGI!$A$2:$C$43,2,FALSE),"..")</f>
        <v>..</v>
      </c>
      <c r="BU1287" s="129" t="str">
        <f>_xlfn.IFNA(VLOOKUP($C1287,RGI!$A$2:$C$43,3,FALSE),"..")</f>
        <v>..</v>
      </c>
      <c r="BV1287" s="129">
        <f>VLOOKUP($D1287,WGI!$C$2:$O$478,7,FALSE)</f>
        <v>-0.17324928389538299</v>
      </c>
      <c r="BW1287" s="129">
        <f>VLOOKUP($D1287,WGI!$C$2:$O$478,4,FALSE)</f>
        <v>0.29734052019608598</v>
      </c>
      <c r="BX1287" s="129">
        <f>VLOOKUP($D1287,WGI!$C$2:$O$478,3,FALSE)</f>
        <v>-0.624712275124643</v>
      </c>
      <c r="BY1287" s="129">
        <f>VLOOKUP($D1287,WGI!$C$2:$O$478,5,FALSE)</f>
        <v>-0.42342402646736998</v>
      </c>
      <c r="BZ1287" s="129">
        <f>VLOOKUP($D1287,WGI!$C$2:$O$478,2,FALSE)</f>
        <v>-0.49207789524085799</v>
      </c>
      <c r="CB1287" s="129"/>
    </row>
    <row r="1288" spans="1:80" s="120" customFormat="1" ht="15" customHeight="1">
      <c r="A1288" s="280" t="s">
        <v>1907</v>
      </c>
      <c r="B1288" s="117">
        <v>2011</v>
      </c>
      <c r="C1288" s="117" t="s">
        <v>385</v>
      </c>
      <c r="D1288" s="117" t="s">
        <v>3708</v>
      </c>
      <c r="E1288" s="117" t="s">
        <v>86</v>
      </c>
      <c r="F1288" s="117"/>
      <c r="G1288" s="117" t="s">
        <v>24</v>
      </c>
      <c r="H1288" s="117" t="str">
        <f t="shared" si="219"/>
        <v>yes</v>
      </c>
      <c r="I1288" s="117" t="str">
        <f t="shared" si="221"/>
        <v>no</v>
      </c>
      <c r="J1288" s="117" t="str">
        <f t="shared" si="222"/>
        <v>no</v>
      </c>
      <c r="K1288" s="117" t="s">
        <v>1067</v>
      </c>
      <c r="L1288" s="117" t="str">
        <f t="shared" si="220"/>
        <v>detailed</v>
      </c>
      <c r="M1288" s="117" t="str">
        <f t="shared" si="223"/>
        <v>detailed Mining</v>
      </c>
      <c r="N1288" s="118">
        <v>10</v>
      </c>
      <c r="O1288" s="118"/>
      <c r="P1288" s="118"/>
      <c r="Q1288" s="118"/>
      <c r="R1288" s="118"/>
      <c r="S1288" s="117" t="s">
        <v>610</v>
      </c>
      <c r="T1288" s="119">
        <v>41000</v>
      </c>
      <c r="U1288" s="117" t="s">
        <v>611</v>
      </c>
      <c r="V1288" s="117" t="s">
        <v>1091</v>
      </c>
      <c r="W1288" s="89">
        <f t="shared" ref="W1288:W1295" si="230">N1288*T1288</f>
        <v>410000</v>
      </c>
      <c r="X1288" s="117"/>
      <c r="Y1288" s="117"/>
      <c r="Z1288" s="117"/>
      <c r="AA1288" s="89"/>
      <c r="AB1288" s="89"/>
      <c r="AC1288" s="240"/>
      <c r="AD1288" s="240"/>
      <c r="AE1288" s="240"/>
      <c r="AF1288" s="241"/>
      <c r="AG1288" s="117"/>
      <c r="AH1288" s="124"/>
      <c r="AI1288" s="117"/>
      <c r="AJ1288" s="117"/>
      <c r="AK1288" s="89"/>
      <c r="AL1288" s="117"/>
      <c r="AM1288" s="117"/>
      <c r="AN1288" s="117"/>
      <c r="AO1288" s="117"/>
      <c r="AP1288" s="117"/>
      <c r="AQ1288" s="117"/>
      <c r="AR1288" s="117"/>
      <c r="AS1288" s="117"/>
      <c r="AT1288" s="117"/>
      <c r="AU1288" s="117"/>
      <c r="AV1288" s="128"/>
      <c r="AW1288" s="117">
        <f>VLOOKUP($D1288,'WB Data'!$C$3:$M$578,2,FALSE)</f>
        <v>13244880034.848072</v>
      </c>
      <c r="AX1288" s="117">
        <f>VLOOKUP($D1288,'WB Data'!$C$3:$M$578,3,FALSE)</f>
        <v>24581367</v>
      </c>
      <c r="AY1288" s="847">
        <f t="shared" si="226"/>
        <v>8.6913765905861189E-3</v>
      </c>
      <c r="AZ1288" s="117">
        <f>VLOOKUP($D1288,'WB Data'!$C$3:$M$578,4,FALSE)/100</f>
        <v>0.20634115775643155</v>
      </c>
      <c r="BA1288" s="117">
        <f t="shared" si="227"/>
        <v>2732963880.7355967</v>
      </c>
      <c r="BB1288" s="129">
        <f>IFERROR(VLOOKUP($D1288,'EITI Revenues'!$C$2:$G$224,5,FALSE),"..")</f>
        <v>115116240.28</v>
      </c>
      <c r="BC1288" s="846">
        <f t="shared" si="228"/>
        <v>4.2121391025854188E-2</v>
      </c>
      <c r="BD1288" s="129" t="e">
        <f>VLOOKUP($D1288,'WB Data 2'!$C$2:$K$545,6,FALSE)</f>
        <v>#N/A</v>
      </c>
      <c r="BE1288" s="129">
        <f>IFERROR(VLOOKUP($D1288,UNCTAD!$C$5:$V$529,4,FALSE),"..")</f>
        <v>3847357000</v>
      </c>
      <c r="BF1288" s="846" t="str">
        <f t="shared" si="229"/>
        <v>..</v>
      </c>
      <c r="BG1288" s="117">
        <f>VLOOKUP($D1288,'WB Data'!$C$3:$M$578,5,FALSE)</f>
        <v>2084980000</v>
      </c>
      <c r="BH1288" s="129">
        <f>IFERROR($BB1288/$BG1288,"..")</f>
        <v>5.5212155646576944E-2</v>
      </c>
      <c r="BI1288" s="117" t="str">
        <f>IFERROR(VLOOKUP($D1288,'WB Data'!$C$3:$M$578,7,FALSE)/100,"..")</f>
        <v>..</v>
      </c>
      <c r="BJ1288" s="117" t="str">
        <f>IFERROR($BI1288*$AW1288,"..")</f>
        <v>..</v>
      </c>
      <c r="BK1288" s="846" t="str">
        <f>IFERROR($BB1288/$BJ1288,"..")</f>
        <v>..</v>
      </c>
      <c r="BL1288" s="117" t="str">
        <f>IFERROR(VLOOKUP($D1288,'WB Data'!$C$3:$M$578,7,FALSE)/100,"..")</f>
        <v>..</v>
      </c>
      <c r="BM1288" s="117" t="str">
        <f>IFERROR($AW1288*$BL1288,"..")</f>
        <v>..</v>
      </c>
      <c r="BN1288" s="846" t="str">
        <f>IFERROR($BB1288/$BM1288,"..")</f>
        <v>..</v>
      </c>
      <c r="BO1288" s="801">
        <f t="shared" si="225"/>
        <v>31</v>
      </c>
      <c r="BP1288" s="117" t="str">
        <f>VLOOKUP($D1288,'WB Data'!$C$3:$M$578,9,FALSE)</f>
        <v>..</v>
      </c>
      <c r="BQ1288" s="117">
        <f>VLOOKUP($D1288,'WB Data'!$C$3:$M$578,10,FALSE)</f>
        <v>49.487829268292693</v>
      </c>
      <c r="BR1288" s="117">
        <f>VLOOKUP($D1288,'WB Data'!$C$3:$M$578,11,FALSE)</f>
        <v>67.8</v>
      </c>
      <c r="BS1288" s="129" t="str">
        <f>IFERROR(VLOOKUP($D1288,'WB Data 2'!$C$2:$K$545,9,FALSE),"..")</f>
        <v>..</v>
      </c>
      <c r="BT1288" s="129" t="str">
        <f>_xlfn.IFNA(VLOOKUP($C1288,RGI!$A$2:$C$43,2,FALSE),"..")</f>
        <v>..</v>
      </c>
      <c r="BU1288" s="129" t="str">
        <f>_xlfn.IFNA(VLOOKUP($C1288,RGI!$A$2:$C$43,3,FALSE),"..")</f>
        <v>..</v>
      </c>
      <c r="BV1288" s="129">
        <f>VLOOKUP($D1288,WGI!$C$2:$O$478,7,FALSE)</f>
        <v>-0.17324928389538299</v>
      </c>
      <c r="BW1288" s="129">
        <f>VLOOKUP($D1288,WGI!$C$2:$O$478,4,FALSE)</f>
        <v>0.29734052019608598</v>
      </c>
      <c r="BX1288" s="129">
        <f>VLOOKUP($D1288,WGI!$C$2:$O$478,3,FALSE)</f>
        <v>-0.624712275124643</v>
      </c>
      <c r="BY1288" s="129">
        <f>VLOOKUP($D1288,WGI!$C$2:$O$478,5,FALSE)</f>
        <v>-0.42342402646736998</v>
      </c>
      <c r="BZ1288" s="129">
        <f>VLOOKUP($D1288,WGI!$C$2:$O$478,2,FALSE)</f>
        <v>-0.49207789524085799</v>
      </c>
      <c r="CB1288" s="129"/>
    </row>
    <row r="1289" spans="1:80" s="120" customFormat="1" ht="15" customHeight="1">
      <c r="A1289" s="280" t="s">
        <v>1907</v>
      </c>
      <c r="B1289" s="117">
        <v>2011</v>
      </c>
      <c r="C1289" s="117" t="s">
        <v>385</v>
      </c>
      <c r="D1289" s="117" t="s">
        <v>3708</v>
      </c>
      <c r="E1289" s="117" t="s">
        <v>86</v>
      </c>
      <c r="F1289" s="117"/>
      <c r="G1289" s="117" t="s">
        <v>24</v>
      </c>
      <c r="H1289" s="117" t="str">
        <f t="shared" si="219"/>
        <v>yes</v>
      </c>
      <c r="I1289" s="117" t="str">
        <f t="shared" si="221"/>
        <v>no</v>
      </c>
      <c r="J1289" s="117" t="str">
        <f t="shared" si="222"/>
        <v>no</v>
      </c>
      <c r="K1289" s="117" t="s">
        <v>1069</v>
      </c>
      <c r="L1289" s="117" t="str">
        <f t="shared" si="220"/>
        <v>detailed</v>
      </c>
      <c r="M1289" s="117" t="str">
        <f t="shared" si="223"/>
        <v>detailed Mining</v>
      </c>
      <c r="N1289" s="118">
        <v>39000</v>
      </c>
      <c r="O1289" s="118"/>
      <c r="P1289" s="118"/>
      <c r="Q1289" s="118"/>
      <c r="R1289" s="118"/>
      <c r="S1289" s="117" t="s">
        <v>967</v>
      </c>
      <c r="T1289" s="119">
        <f>125/0.453592</f>
        <v>275.5780525229722</v>
      </c>
      <c r="U1289" s="117" t="s">
        <v>1874</v>
      </c>
      <c r="V1289" s="117" t="s">
        <v>1092</v>
      </c>
      <c r="W1289" s="89">
        <f t="shared" si="230"/>
        <v>10747544.048395915</v>
      </c>
      <c r="X1289" s="117"/>
      <c r="Y1289" s="117"/>
      <c r="Z1289" s="117"/>
      <c r="AA1289" s="89"/>
      <c r="AB1289" s="89"/>
      <c r="AC1289" s="240"/>
      <c r="AD1289" s="240"/>
      <c r="AE1289" s="240"/>
      <c r="AF1289" s="241"/>
      <c r="AG1289" s="117"/>
      <c r="AH1289" s="124"/>
      <c r="AI1289" s="117"/>
      <c r="AJ1289" s="117"/>
      <c r="AK1289" s="89"/>
      <c r="AL1289" s="117"/>
      <c r="AM1289" s="117"/>
      <c r="AN1289" s="117"/>
      <c r="AO1289" s="117"/>
      <c r="AP1289" s="117"/>
      <c r="AQ1289" s="117"/>
      <c r="AR1289" s="117"/>
      <c r="AS1289" s="117"/>
      <c r="AT1289" s="117"/>
      <c r="AU1289" s="117"/>
      <c r="AV1289" s="128"/>
      <c r="AW1289" s="117">
        <f>VLOOKUP($D1289,'WB Data'!$C$3:$M$578,2,FALSE)</f>
        <v>13244880034.848072</v>
      </c>
      <c r="AX1289" s="117">
        <f>VLOOKUP($D1289,'WB Data'!$C$3:$M$578,3,FALSE)</f>
        <v>24581367</v>
      </c>
      <c r="AY1289" s="847">
        <f t="shared" si="226"/>
        <v>8.6913765905861189E-3</v>
      </c>
      <c r="AZ1289" s="117">
        <f>VLOOKUP($D1289,'WB Data'!$C$3:$M$578,4,FALSE)/100</f>
        <v>0.20634115775643155</v>
      </c>
      <c r="BA1289" s="117">
        <f t="shared" si="227"/>
        <v>2732963880.7355967</v>
      </c>
      <c r="BB1289" s="129">
        <f>IFERROR(VLOOKUP($D1289,'EITI Revenues'!$C$2:$G$224,5,FALSE),"..")</f>
        <v>115116240.28</v>
      </c>
      <c r="BC1289" s="846">
        <f t="shared" si="228"/>
        <v>4.2121391025854188E-2</v>
      </c>
      <c r="BD1289" s="129" t="e">
        <f>VLOOKUP($D1289,'WB Data 2'!$C$2:$K$545,6,FALSE)</f>
        <v>#N/A</v>
      </c>
      <c r="BE1289" s="129">
        <f>IFERROR(VLOOKUP($D1289,UNCTAD!$C$5:$V$529,4,FALSE),"..")</f>
        <v>3847357000</v>
      </c>
      <c r="BF1289" s="846" t="str">
        <f t="shared" si="229"/>
        <v>..</v>
      </c>
      <c r="BG1289" s="117">
        <f>VLOOKUP($D1289,'WB Data'!$C$3:$M$578,5,FALSE)</f>
        <v>2084980000</v>
      </c>
      <c r="BH1289" s="129">
        <f>IFERROR($BB1289/$BG1289,"..")</f>
        <v>5.5212155646576944E-2</v>
      </c>
      <c r="BI1289" s="117" t="str">
        <f>IFERROR(VLOOKUP($D1289,'WB Data'!$C$3:$M$578,7,FALSE)/100,"..")</f>
        <v>..</v>
      </c>
      <c r="BJ1289" s="117" t="str">
        <f>IFERROR($BI1289*$AW1289,"..")</f>
        <v>..</v>
      </c>
      <c r="BK1289" s="846" t="str">
        <f>IFERROR($BB1289/$BJ1289,"..")</f>
        <v>..</v>
      </c>
      <c r="BL1289" s="117" t="str">
        <f>IFERROR(VLOOKUP($D1289,'WB Data'!$C$3:$M$578,7,FALSE)/100,"..")</f>
        <v>..</v>
      </c>
      <c r="BM1289" s="117" t="str">
        <f>IFERROR($AW1289*$BL1289,"..")</f>
        <v>..</v>
      </c>
      <c r="BN1289" s="846" t="str">
        <f>IFERROR($BB1289/$BM1289,"..")</f>
        <v>..</v>
      </c>
      <c r="BO1289" s="801">
        <f t="shared" si="225"/>
        <v>31</v>
      </c>
      <c r="BP1289" s="117" t="str">
        <f>VLOOKUP($D1289,'WB Data'!$C$3:$M$578,9,FALSE)</f>
        <v>..</v>
      </c>
      <c r="BQ1289" s="117">
        <f>VLOOKUP($D1289,'WB Data'!$C$3:$M$578,10,FALSE)</f>
        <v>49.487829268292693</v>
      </c>
      <c r="BR1289" s="117">
        <f>VLOOKUP($D1289,'WB Data'!$C$3:$M$578,11,FALSE)</f>
        <v>67.8</v>
      </c>
      <c r="BS1289" s="129" t="str">
        <f>IFERROR(VLOOKUP($D1289,'WB Data 2'!$C$2:$K$545,9,FALSE),"..")</f>
        <v>..</v>
      </c>
      <c r="BT1289" s="129" t="str">
        <f>_xlfn.IFNA(VLOOKUP($C1289,RGI!$A$2:$C$43,2,FALSE),"..")</f>
        <v>..</v>
      </c>
      <c r="BU1289" s="129" t="str">
        <f>_xlfn.IFNA(VLOOKUP($C1289,RGI!$A$2:$C$43,3,FALSE),"..")</f>
        <v>..</v>
      </c>
      <c r="BV1289" s="129">
        <f>VLOOKUP($D1289,WGI!$C$2:$O$478,7,FALSE)</f>
        <v>-0.17324928389538299</v>
      </c>
      <c r="BW1289" s="129">
        <f>VLOOKUP($D1289,WGI!$C$2:$O$478,4,FALSE)</f>
        <v>0.29734052019608598</v>
      </c>
      <c r="BX1289" s="129">
        <f>VLOOKUP($D1289,WGI!$C$2:$O$478,3,FALSE)</f>
        <v>-0.624712275124643</v>
      </c>
      <c r="BY1289" s="129">
        <f>VLOOKUP($D1289,WGI!$C$2:$O$478,5,FALSE)</f>
        <v>-0.42342402646736998</v>
      </c>
      <c r="BZ1289" s="129">
        <f>VLOOKUP($D1289,WGI!$C$2:$O$478,2,FALSE)</f>
        <v>-0.49207789524085799</v>
      </c>
      <c r="CB1289" s="129"/>
    </row>
    <row r="1290" spans="1:80" s="120" customFormat="1" ht="15" customHeight="1">
      <c r="A1290" s="280" t="s">
        <v>1907</v>
      </c>
      <c r="B1290" s="117">
        <v>2011</v>
      </c>
      <c r="C1290" s="117" t="s">
        <v>385</v>
      </c>
      <c r="D1290" s="117" t="s">
        <v>3708</v>
      </c>
      <c r="E1290" s="117" t="s">
        <v>86</v>
      </c>
      <c r="F1290" s="117"/>
      <c r="G1290" s="117" t="s">
        <v>24</v>
      </c>
      <c r="H1290" s="117" t="str">
        <f t="shared" si="219"/>
        <v>yes</v>
      </c>
      <c r="I1290" s="117" t="str">
        <f t="shared" si="221"/>
        <v>no</v>
      </c>
      <c r="J1290" s="117" t="str">
        <f t="shared" si="222"/>
        <v>no</v>
      </c>
      <c r="K1290" s="117" t="s">
        <v>1904</v>
      </c>
      <c r="L1290" s="117" t="str">
        <f t="shared" si="220"/>
        <v>detailed</v>
      </c>
      <c r="M1290" s="117" t="str">
        <f t="shared" si="223"/>
        <v>detailed Mining</v>
      </c>
      <c r="N1290" s="118">
        <f>111*32.150743126506</f>
        <v>3568.7324870421662</v>
      </c>
      <c r="O1290" s="118"/>
      <c r="P1290" s="118"/>
      <c r="Q1290" s="118"/>
      <c r="R1290" s="118"/>
      <c r="S1290" s="117" t="s">
        <v>785</v>
      </c>
      <c r="T1290" s="119">
        <v>1569.2108333333299</v>
      </c>
      <c r="U1290" s="117" t="s">
        <v>786</v>
      </c>
      <c r="V1290" s="117" t="s">
        <v>787</v>
      </c>
      <c r="W1290" s="89">
        <f t="shared" si="230"/>
        <v>5600093.6799351647</v>
      </c>
      <c r="X1290" s="117"/>
      <c r="Y1290" s="117"/>
      <c r="Z1290" s="117"/>
      <c r="AA1290" s="89"/>
      <c r="AB1290" s="89"/>
      <c r="AC1290" s="240"/>
      <c r="AD1290" s="240"/>
      <c r="AE1290" s="240"/>
      <c r="AF1290" s="241"/>
      <c r="AG1290" s="117"/>
      <c r="AH1290" s="124"/>
      <c r="AI1290" s="117"/>
      <c r="AJ1290" s="117"/>
      <c r="AK1290" s="89"/>
      <c r="AL1290" s="117"/>
      <c r="AM1290" s="117"/>
      <c r="AN1290" s="117"/>
      <c r="AO1290" s="117"/>
      <c r="AP1290" s="117"/>
      <c r="AQ1290" s="117"/>
      <c r="AR1290" s="117"/>
      <c r="AS1290" s="117"/>
      <c r="AT1290" s="117"/>
      <c r="AU1290" s="117"/>
      <c r="AV1290" s="128"/>
      <c r="AW1290" s="117">
        <f>VLOOKUP($D1290,'WB Data'!$C$3:$M$578,2,FALSE)</f>
        <v>13244880034.848072</v>
      </c>
      <c r="AX1290" s="117">
        <f>VLOOKUP($D1290,'WB Data'!$C$3:$M$578,3,FALSE)</f>
        <v>24581367</v>
      </c>
      <c r="AY1290" s="847">
        <f t="shared" si="226"/>
        <v>8.6913765905861189E-3</v>
      </c>
      <c r="AZ1290" s="117">
        <f>VLOOKUP($D1290,'WB Data'!$C$3:$M$578,4,FALSE)/100</f>
        <v>0.20634115775643155</v>
      </c>
      <c r="BA1290" s="117">
        <f t="shared" si="227"/>
        <v>2732963880.7355967</v>
      </c>
      <c r="BB1290" s="129">
        <f>IFERROR(VLOOKUP($D1290,'EITI Revenues'!$C$2:$G$224,5,FALSE),"..")</f>
        <v>115116240.28</v>
      </c>
      <c r="BC1290" s="846">
        <f t="shared" si="228"/>
        <v>4.2121391025854188E-2</v>
      </c>
      <c r="BD1290" s="129" t="e">
        <f>VLOOKUP($D1290,'WB Data 2'!$C$2:$K$545,6,FALSE)</f>
        <v>#N/A</v>
      </c>
      <c r="BE1290" s="129">
        <f>IFERROR(VLOOKUP($D1290,UNCTAD!$C$5:$V$529,4,FALSE),"..")</f>
        <v>3847357000</v>
      </c>
      <c r="BF1290" s="846" t="str">
        <f t="shared" si="229"/>
        <v>..</v>
      </c>
      <c r="BG1290" s="117">
        <f>VLOOKUP($D1290,'WB Data'!$C$3:$M$578,5,FALSE)</f>
        <v>2084980000</v>
      </c>
      <c r="BH1290" s="129">
        <f>IFERROR($BB1290/$BG1290,"..")</f>
        <v>5.5212155646576944E-2</v>
      </c>
      <c r="BI1290" s="117" t="str">
        <f>IFERROR(VLOOKUP($D1290,'WB Data'!$C$3:$M$578,7,FALSE)/100,"..")</f>
        <v>..</v>
      </c>
      <c r="BJ1290" s="117" t="str">
        <f>IFERROR($BI1290*$AW1290,"..")</f>
        <v>..</v>
      </c>
      <c r="BK1290" s="846" t="str">
        <f>IFERROR($BB1290/$BJ1290,"..")</f>
        <v>..</v>
      </c>
      <c r="BL1290" s="117" t="str">
        <f>IFERROR(VLOOKUP($D1290,'WB Data'!$C$3:$M$578,7,FALSE)/100,"..")</f>
        <v>..</v>
      </c>
      <c r="BM1290" s="117" t="str">
        <f>IFERROR($AW1290*$BL1290,"..")</f>
        <v>..</v>
      </c>
      <c r="BN1290" s="846" t="str">
        <f>IFERROR($BB1290/$BM1290,"..")</f>
        <v>..</v>
      </c>
      <c r="BO1290" s="801">
        <f t="shared" si="225"/>
        <v>31</v>
      </c>
      <c r="BP1290" s="117" t="str">
        <f>VLOOKUP($D1290,'WB Data'!$C$3:$M$578,9,FALSE)</f>
        <v>..</v>
      </c>
      <c r="BQ1290" s="117">
        <f>VLOOKUP($D1290,'WB Data'!$C$3:$M$578,10,FALSE)</f>
        <v>49.487829268292693</v>
      </c>
      <c r="BR1290" s="117">
        <f>VLOOKUP($D1290,'WB Data'!$C$3:$M$578,11,FALSE)</f>
        <v>67.8</v>
      </c>
      <c r="BS1290" s="129" t="str">
        <f>IFERROR(VLOOKUP($D1290,'WB Data 2'!$C$2:$K$545,9,FALSE),"..")</f>
        <v>..</v>
      </c>
      <c r="BT1290" s="129" t="str">
        <f>_xlfn.IFNA(VLOOKUP($C1290,RGI!$A$2:$C$43,2,FALSE),"..")</f>
        <v>..</v>
      </c>
      <c r="BU1290" s="129" t="str">
        <f>_xlfn.IFNA(VLOOKUP($C1290,RGI!$A$2:$C$43,3,FALSE),"..")</f>
        <v>..</v>
      </c>
      <c r="BV1290" s="129">
        <f>VLOOKUP($D1290,WGI!$C$2:$O$478,7,FALSE)</f>
        <v>-0.17324928389538299</v>
      </c>
      <c r="BW1290" s="129">
        <f>VLOOKUP($D1290,WGI!$C$2:$O$478,4,FALSE)</f>
        <v>0.29734052019608598</v>
      </c>
      <c r="BX1290" s="129">
        <f>VLOOKUP($D1290,WGI!$C$2:$O$478,3,FALSE)</f>
        <v>-0.624712275124643</v>
      </c>
      <c r="BY1290" s="129">
        <f>VLOOKUP($D1290,WGI!$C$2:$O$478,5,FALSE)</f>
        <v>-0.42342402646736998</v>
      </c>
      <c r="BZ1290" s="129">
        <f>VLOOKUP($D1290,WGI!$C$2:$O$478,2,FALSE)</f>
        <v>-0.49207789524085799</v>
      </c>
      <c r="CB1290" s="129"/>
    </row>
    <row r="1291" spans="1:80" s="120" customFormat="1" ht="15" customHeight="1">
      <c r="A1291" s="280" t="s">
        <v>1907</v>
      </c>
      <c r="B1291" s="117">
        <v>2011</v>
      </c>
      <c r="C1291" s="117" t="s">
        <v>385</v>
      </c>
      <c r="D1291" s="117" t="s">
        <v>3708</v>
      </c>
      <c r="E1291" s="117" t="s">
        <v>86</v>
      </c>
      <c r="F1291" s="117"/>
      <c r="G1291" s="117" t="s">
        <v>24</v>
      </c>
      <c r="H1291" s="117" t="str">
        <f t="shared" si="219"/>
        <v>yes</v>
      </c>
      <c r="I1291" s="117" t="str">
        <f t="shared" si="221"/>
        <v>no</v>
      </c>
      <c r="J1291" s="117" t="str">
        <f t="shared" si="222"/>
        <v>no</v>
      </c>
      <c r="K1291" s="117" t="s">
        <v>1670</v>
      </c>
      <c r="L1291" s="117" t="str">
        <f t="shared" si="220"/>
        <v>detailed</v>
      </c>
      <c r="M1291" s="117" t="str">
        <f t="shared" si="223"/>
        <v>detailed Mining</v>
      </c>
      <c r="N1291" s="118">
        <v>656800</v>
      </c>
      <c r="O1291" s="118"/>
      <c r="P1291" s="118"/>
      <c r="Q1291" s="118"/>
      <c r="R1291" s="118"/>
      <c r="S1291" s="117" t="s">
        <v>610</v>
      </c>
      <c r="T1291" s="119">
        <v>195</v>
      </c>
      <c r="U1291" s="117" t="s">
        <v>611</v>
      </c>
      <c r="V1291" s="117" t="s">
        <v>1671</v>
      </c>
      <c r="W1291" s="89">
        <f t="shared" si="230"/>
        <v>128076000</v>
      </c>
      <c r="X1291" s="117"/>
      <c r="Y1291" s="117"/>
      <c r="Z1291" s="117"/>
      <c r="AA1291" s="89"/>
      <c r="AB1291" s="89"/>
      <c r="AC1291" s="240"/>
      <c r="AD1291" s="240"/>
      <c r="AE1291" s="240"/>
      <c r="AF1291" s="241"/>
      <c r="AG1291" s="117"/>
      <c r="AH1291" s="124"/>
      <c r="AI1291" s="117"/>
      <c r="AJ1291" s="117"/>
      <c r="AK1291" s="89"/>
      <c r="AL1291" s="117"/>
      <c r="AM1291" s="117"/>
      <c r="AN1291" s="117"/>
      <c r="AO1291" s="117"/>
      <c r="AP1291" s="117"/>
      <c r="AQ1291" s="117"/>
      <c r="AR1291" s="117"/>
      <c r="AS1291" s="117"/>
      <c r="AT1291" s="117"/>
      <c r="AU1291" s="117"/>
      <c r="AV1291" s="128"/>
      <c r="AW1291" s="117">
        <f>VLOOKUP($D1291,'WB Data'!$C$3:$M$578,2,FALSE)</f>
        <v>13244880034.848072</v>
      </c>
      <c r="AX1291" s="117">
        <f>VLOOKUP($D1291,'WB Data'!$C$3:$M$578,3,FALSE)</f>
        <v>24581367</v>
      </c>
      <c r="AY1291" s="847">
        <f t="shared" si="226"/>
        <v>8.6913765905861189E-3</v>
      </c>
      <c r="AZ1291" s="117">
        <f>VLOOKUP($D1291,'WB Data'!$C$3:$M$578,4,FALSE)/100</f>
        <v>0.20634115775643155</v>
      </c>
      <c r="BA1291" s="117">
        <f t="shared" si="227"/>
        <v>2732963880.7355967</v>
      </c>
      <c r="BB1291" s="129">
        <f>IFERROR(VLOOKUP($D1291,'EITI Revenues'!$C$2:$G$224,5,FALSE),"..")</f>
        <v>115116240.28</v>
      </c>
      <c r="BC1291" s="846">
        <f t="shared" si="228"/>
        <v>4.2121391025854188E-2</v>
      </c>
      <c r="BD1291" s="129" t="e">
        <f>VLOOKUP($D1291,'WB Data 2'!$C$2:$K$545,6,FALSE)</f>
        <v>#N/A</v>
      </c>
      <c r="BE1291" s="129">
        <f>IFERROR(VLOOKUP($D1291,UNCTAD!$C$5:$V$529,4,FALSE),"..")</f>
        <v>3847357000</v>
      </c>
      <c r="BF1291" s="846" t="str">
        <f t="shared" si="229"/>
        <v>..</v>
      </c>
      <c r="BG1291" s="117">
        <f>VLOOKUP($D1291,'WB Data'!$C$3:$M$578,5,FALSE)</f>
        <v>2084980000</v>
      </c>
      <c r="BH1291" s="129">
        <f>IFERROR($BB1291/$BG1291,"..")</f>
        <v>5.5212155646576944E-2</v>
      </c>
      <c r="BI1291" s="117" t="str">
        <f>IFERROR(VLOOKUP($D1291,'WB Data'!$C$3:$M$578,7,FALSE)/100,"..")</f>
        <v>..</v>
      </c>
      <c r="BJ1291" s="117" t="str">
        <f>IFERROR($BI1291*$AW1291,"..")</f>
        <v>..</v>
      </c>
      <c r="BK1291" s="846" t="str">
        <f>IFERROR($BB1291/$BJ1291,"..")</f>
        <v>..</v>
      </c>
      <c r="BL1291" s="117" t="str">
        <f>IFERROR(VLOOKUP($D1291,'WB Data'!$C$3:$M$578,7,FALSE)/100,"..")</f>
        <v>..</v>
      </c>
      <c r="BM1291" s="117" t="str">
        <f>IFERROR($AW1291*$BL1291,"..")</f>
        <v>..</v>
      </c>
      <c r="BN1291" s="846" t="str">
        <f>IFERROR($BB1291/$BM1291,"..")</f>
        <v>..</v>
      </c>
      <c r="BO1291" s="801">
        <f t="shared" si="225"/>
        <v>31</v>
      </c>
      <c r="BP1291" s="117" t="str">
        <f>VLOOKUP($D1291,'WB Data'!$C$3:$M$578,9,FALSE)</f>
        <v>..</v>
      </c>
      <c r="BQ1291" s="117">
        <f>VLOOKUP($D1291,'WB Data'!$C$3:$M$578,10,FALSE)</f>
        <v>49.487829268292693</v>
      </c>
      <c r="BR1291" s="117">
        <f>VLOOKUP($D1291,'WB Data'!$C$3:$M$578,11,FALSE)</f>
        <v>67.8</v>
      </c>
      <c r="BS1291" s="129" t="str">
        <f>IFERROR(VLOOKUP($D1291,'WB Data 2'!$C$2:$K$545,9,FALSE),"..")</f>
        <v>..</v>
      </c>
      <c r="BT1291" s="129" t="str">
        <f>_xlfn.IFNA(VLOOKUP($C1291,RGI!$A$2:$C$43,2,FALSE),"..")</f>
        <v>..</v>
      </c>
      <c r="BU1291" s="129" t="str">
        <f>_xlfn.IFNA(VLOOKUP($C1291,RGI!$A$2:$C$43,3,FALSE),"..")</f>
        <v>..</v>
      </c>
      <c r="BV1291" s="129">
        <f>VLOOKUP($D1291,WGI!$C$2:$O$478,7,FALSE)</f>
        <v>-0.17324928389538299</v>
      </c>
      <c r="BW1291" s="129">
        <f>VLOOKUP($D1291,WGI!$C$2:$O$478,4,FALSE)</f>
        <v>0.29734052019608598</v>
      </c>
      <c r="BX1291" s="129">
        <f>VLOOKUP($D1291,WGI!$C$2:$O$478,3,FALSE)</f>
        <v>-0.624712275124643</v>
      </c>
      <c r="BY1291" s="129">
        <f>VLOOKUP($D1291,WGI!$C$2:$O$478,5,FALSE)</f>
        <v>-0.42342402646736998</v>
      </c>
      <c r="BZ1291" s="129">
        <f>VLOOKUP($D1291,WGI!$C$2:$O$478,2,FALSE)</f>
        <v>-0.49207789524085799</v>
      </c>
      <c r="CB1291" s="129"/>
    </row>
    <row r="1292" spans="1:80" s="120" customFormat="1" ht="15" customHeight="1">
      <c r="A1292" s="280" t="s">
        <v>1907</v>
      </c>
      <c r="B1292" s="117">
        <v>2011</v>
      </c>
      <c r="C1292" s="117" t="s">
        <v>385</v>
      </c>
      <c r="D1292" s="117" t="s">
        <v>3708</v>
      </c>
      <c r="E1292" s="117" t="s">
        <v>86</v>
      </c>
      <c r="F1292" s="117"/>
      <c r="G1292" s="117" t="s">
        <v>24</v>
      </c>
      <c r="H1292" s="117" t="str">
        <f t="shared" si="219"/>
        <v>yes</v>
      </c>
      <c r="I1292" s="117" t="str">
        <f t="shared" si="221"/>
        <v>no</v>
      </c>
      <c r="J1292" s="117" t="str">
        <f t="shared" si="222"/>
        <v>no</v>
      </c>
      <c r="K1292" s="120" t="s">
        <v>703</v>
      </c>
      <c r="L1292" s="117" t="str">
        <f t="shared" si="220"/>
        <v>detailed</v>
      </c>
      <c r="M1292" s="117" t="str">
        <f t="shared" si="223"/>
        <v>detailed Mining</v>
      </c>
      <c r="N1292" s="118">
        <v>415883</v>
      </c>
      <c r="O1292" s="118"/>
      <c r="P1292" s="118"/>
      <c r="Q1292" s="118"/>
      <c r="R1292" s="118"/>
      <c r="S1292" s="117" t="s">
        <v>610</v>
      </c>
      <c r="T1292" s="119">
        <v>9.06</v>
      </c>
      <c r="U1292" s="117" t="s">
        <v>611</v>
      </c>
      <c r="V1292" s="117" t="s">
        <v>1917</v>
      </c>
      <c r="W1292" s="89">
        <f t="shared" si="230"/>
        <v>3767899.98</v>
      </c>
      <c r="X1292" s="117"/>
      <c r="Y1292" s="117"/>
      <c r="Z1292" s="117"/>
      <c r="AA1292" s="89"/>
      <c r="AB1292" s="89"/>
      <c r="AC1292" s="240"/>
      <c r="AD1292" s="240"/>
      <c r="AE1292" s="240"/>
      <c r="AF1292" s="241"/>
      <c r="AG1292" s="117"/>
      <c r="AH1292" s="124"/>
      <c r="AI1292" s="117"/>
      <c r="AJ1292" s="117"/>
      <c r="AK1292" s="89"/>
      <c r="AL1292" s="117"/>
      <c r="AM1292" s="117"/>
      <c r="AN1292" s="117"/>
      <c r="AO1292" s="117"/>
      <c r="AP1292" s="117"/>
      <c r="AQ1292" s="117"/>
      <c r="AR1292" s="117"/>
      <c r="AS1292" s="117"/>
      <c r="AT1292" s="117"/>
      <c r="AU1292" s="117"/>
      <c r="AV1292" s="128"/>
      <c r="AW1292" s="117">
        <f>VLOOKUP($D1292,'WB Data'!$C$3:$M$578,2,FALSE)</f>
        <v>13244880034.848072</v>
      </c>
      <c r="AX1292" s="117">
        <f>VLOOKUP($D1292,'WB Data'!$C$3:$M$578,3,FALSE)</f>
        <v>24581367</v>
      </c>
      <c r="AY1292" s="847">
        <f t="shared" si="226"/>
        <v>8.6913765905861189E-3</v>
      </c>
      <c r="AZ1292" s="117">
        <f>VLOOKUP($D1292,'WB Data'!$C$3:$M$578,4,FALSE)/100</f>
        <v>0.20634115775643155</v>
      </c>
      <c r="BA1292" s="117">
        <f t="shared" si="227"/>
        <v>2732963880.7355967</v>
      </c>
      <c r="BB1292" s="129">
        <f>IFERROR(VLOOKUP($D1292,'EITI Revenues'!$C$2:$G$224,5,FALSE),"..")</f>
        <v>115116240.28</v>
      </c>
      <c r="BC1292" s="846">
        <f t="shared" si="228"/>
        <v>4.2121391025854188E-2</v>
      </c>
      <c r="BD1292" s="129" t="e">
        <f>VLOOKUP($D1292,'WB Data 2'!$C$2:$K$545,6,FALSE)</f>
        <v>#N/A</v>
      </c>
      <c r="BE1292" s="129">
        <f>IFERROR(VLOOKUP($D1292,UNCTAD!$C$5:$V$529,4,FALSE),"..")</f>
        <v>3847357000</v>
      </c>
      <c r="BF1292" s="846" t="str">
        <f t="shared" si="229"/>
        <v>..</v>
      </c>
      <c r="BG1292" s="117">
        <f>VLOOKUP($D1292,'WB Data'!$C$3:$M$578,5,FALSE)</f>
        <v>2084980000</v>
      </c>
      <c r="BH1292" s="129">
        <f>IFERROR($BB1292/$BG1292,"..")</f>
        <v>5.5212155646576944E-2</v>
      </c>
      <c r="BI1292" s="117" t="str">
        <f>IFERROR(VLOOKUP($D1292,'WB Data'!$C$3:$M$578,7,FALSE)/100,"..")</f>
        <v>..</v>
      </c>
      <c r="BJ1292" s="117" t="str">
        <f>IFERROR($BI1292*$AW1292,"..")</f>
        <v>..</v>
      </c>
      <c r="BK1292" s="846" t="str">
        <f>IFERROR($BB1292/$BJ1292,"..")</f>
        <v>..</v>
      </c>
      <c r="BL1292" s="117" t="str">
        <f>IFERROR(VLOOKUP($D1292,'WB Data'!$C$3:$M$578,7,FALSE)/100,"..")</f>
        <v>..</v>
      </c>
      <c r="BM1292" s="117" t="str">
        <f>IFERROR($AW1292*$BL1292,"..")</f>
        <v>..</v>
      </c>
      <c r="BN1292" s="846" t="str">
        <f>IFERROR($BB1292/$BM1292,"..")</f>
        <v>..</v>
      </c>
      <c r="BO1292" s="801">
        <f t="shared" si="225"/>
        <v>31</v>
      </c>
      <c r="BP1292" s="117" t="str">
        <f>VLOOKUP($D1292,'WB Data'!$C$3:$M$578,9,FALSE)</f>
        <v>..</v>
      </c>
      <c r="BQ1292" s="117">
        <f>VLOOKUP($D1292,'WB Data'!$C$3:$M$578,10,FALSE)</f>
        <v>49.487829268292693</v>
      </c>
      <c r="BR1292" s="117">
        <f>VLOOKUP($D1292,'WB Data'!$C$3:$M$578,11,FALSE)</f>
        <v>67.8</v>
      </c>
      <c r="BS1292" s="129" t="str">
        <f>IFERROR(VLOOKUP($D1292,'WB Data 2'!$C$2:$K$545,9,FALSE),"..")</f>
        <v>..</v>
      </c>
      <c r="BT1292" s="129" t="str">
        <f>_xlfn.IFNA(VLOOKUP($C1292,RGI!$A$2:$C$43,2,FALSE),"..")</f>
        <v>..</v>
      </c>
      <c r="BU1292" s="129" t="str">
        <f>_xlfn.IFNA(VLOOKUP($C1292,RGI!$A$2:$C$43,3,FALSE),"..")</f>
        <v>..</v>
      </c>
      <c r="BV1292" s="129">
        <f>VLOOKUP($D1292,WGI!$C$2:$O$478,7,FALSE)</f>
        <v>-0.17324928389538299</v>
      </c>
      <c r="BW1292" s="129">
        <f>VLOOKUP($D1292,WGI!$C$2:$O$478,4,FALSE)</f>
        <v>0.29734052019608598</v>
      </c>
      <c r="BX1292" s="129">
        <f>VLOOKUP($D1292,WGI!$C$2:$O$478,3,FALSE)</f>
        <v>-0.624712275124643</v>
      </c>
      <c r="BY1292" s="129">
        <f>VLOOKUP($D1292,WGI!$C$2:$O$478,5,FALSE)</f>
        <v>-0.42342402646736998</v>
      </c>
      <c r="BZ1292" s="129">
        <f>VLOOKUP($D1292,WGI!$C$2:$O$478,2,FALSE)</f>
        <v>-0.49207789524085799</v>
      </c>
      <c r="CB1292" s="129"/>
    </row>
    <row r="1293" spans="1:80" s="120" customFormat="1" ht="15" customHeight="1">
      <c r="A1293" s="280" t="s">
        <v>1907</v>
      </c>
      <c r="B1293" s="117">
        <v>2011</v>
      </c>
      <c r="C1293" s="117" t="s">
        <v>385</v>
      </c>
      <c r="D1293" s="117" t="s">
        <v>3708</v>
      </c>
      <c r="E1293" s="117" t="s">
        <v>86</v>
      </c>
      <c r="F1293" s="117"/>
      <c r="G1293" s="117" t="s">
        <v>24</v>
      </c>
      <c r="H1293" s="117" t="str">
        <f t="shared" si="219"/>
        <v>yes</v>
      </c>
      <c r="I1293" s="117" t="str">
        <f t="shared" si="221"/>
        <v>no</v>
      </c>
      <c r="J1293" s="117" t="str">
        <f t="shared" si="222"/>
        <v>no</v>
      </c>
      <c r="K1293" s="120" t="s">
        <v>1905</v>
      </c>
      <c r="L1293" s="117" t="str">
        <f t="shared" si="220"/>
        <v>detailed</v>
      </c>
      <c r="M1293" s="117" t="str">
        <f t="shared" si="223"/>
        <v>detailed Mining</v>
      </c>
      <c r="N1293" s="118">
        <v>6455</v>
      </c>
      <c r="O1293" s="118"/>
      <c r="P1293" s="118"/>
      <c r="Q1293" s="118"/>
      <c r="R1293" s="118"/>
      <c r="S1293" s="117" t="s">
        <v>610</v>
      </c>
      <c r="T1293" s="119">
        <v>1400</v>
      </c>
      <c r="U1293" s="117" t="s">
        <v>611</v>
      </c>
      <c r="V1293" s="117" t="s">
        <v>1879</v>
      </c>
      <c r="W1293" s="89">
        <f t="shared" si="230"/>
        <v>9037000</v>
      </c>
      <c r="X1293" s="117"/>
      <c r="Y1293" s="117"/>
      <c r="Z1293" s="117"/>
      <c r="AA1293" s="89"/>
      <c r="AB1293" s="89"/>
      <c r="AC1293" s="240"/>
      <c r="AD1293" s="240"/>
      <c r="AE1293" s="240"/>
      <c r="AF1293" s="241"/>
      <c r="AG1293" s="117"/>
      <c r="AH1293" s="124"/>
      <c r="AI1293" s="117"/>
      <c r="AJ1293" s="117"/>
      <c r="AK1293" s="89"/>
      <c r="AL1293" s="117"/>
      <c r="AM1293" s="117"/>
      <c r="AN1293" s="117"/>
      <c r="AO1293" s="117"/>
      <c r="AP1293" s="117"/>
      <c r="AQ1293" s="117"/>
      <c r="AR1293" s="117"/>
      <c r="AS1293" s="117"/>
      <c r="AT1293" s="117"/>
      <c r="AU1293" s="117"/>
      <c r="AV1293" s="128"/>
      <c r="AW1293" s="117">
        <f>VLOOKUP($D1293,'WB Data'!$C$3:$M$578,2,FALSE)</f>
        <v>13244880034.848072</v>
      </c>
      <c r="AX1293" s="117">
        <f>VLOOKUP($D1293,'WB Data'!$C$3:$M$578,3,FALSE)</f>
        <v>24581367</v>
      </c>
      <c r="AY1293" s="847">
        <f t="shared" si="226"/>
        <v>8.6913765905861189E-3</v>
      </c>
      <c r="AZ1293" s="117">
        <f>VLOOKUP($D1293,'WB Data'!$C$3:$M$578,4,FALSE)/100</f>
        <v>0.20634115775643155</v>
      </c>
      <c r="BA1293" s="117">
        <f t="shared" si="227"/>
        <v>2732963880.7355967</v>
      </c>
      <c r="BB1293" s="129">
        <f>IFERROR(VLOOKUP($D1293,'EITI Revenues'!$C$2:$G$224,5,FALSE),"..")</f>
        <v>115116240.28</v>
      </c>
      <c r="BC1293" s="846">
        <f t="shared" si="228"/>
        <v>4.2121391025854188E-2</v>
      </c>
      <c r="BD1293" s="129" t="e">
        <f>VLOOKUP($D1293,'WB Data 2'!$C$2:$K$545,6,FALSE)</f>
        <v>#N/A</v>
      </c>
      <c r="BE1293" s="129">
        <f>IFERROR(VLOOKUP($D1293,UNCTAD!$C$5:$V$529,4,FALSE),"..")</f>
        <v>3847357000</v>
      </c>
      <c r="BF1293" s="846" t="str">
        <f t="shared" si="229"/>
        <v>..</v>
      </c>
      <c r="BG1293" s="117">
        <f>VLOOKUP($D1293,'WB Data'!$C$3:$M$578,5,FALSE)</f>
        <v>2084980000</v>
      </c>
      <c r="BH1293" s="129">
        <f>IFERROR($BB1293/$BG1293,"..")</f>
        <v>5.5212155646576944E-2</v>
      </c>
      <c r="BI1293" s="117" t="str">
        <f>IFERROR(VLOOKUP($D1293,'WB Data'!$C$3:$M$578,7,FALSE)/100,"..")</f>
        <v>..</v>
      </c>
      <c r="BJ1293" s="117" t="str">
        <f>IFERROR($BI1293*$AW1293,"..")</f>
        <v>..</v>
      </c>
      <c r="BK1293" s="846" t="str">
        <f>IFERROR($BB1293/$BJ1293,"..")</f>
        <v>..</v>
      </c>
      <c r="BL1293" s="117" t="str">
        <f>IFERROR(VLOOKUP($D1293,'WB Data'!$C$3:$M$578,7,FALSE)/100,"..")</f>
        <v>..</v>
      </c>
      <c r="BM1293" s="117" t="str">
        <f>IFERROR($AW1293*$BL1293,"..")</f>
        <v>..</v>
      </c>
      <c r="BN1293" s="846" t="str">
        <f>IFERROR($BB1293/$BM1293,"..")</f>
        <v>..</v>
      </c>
      <c r="BO1293" s="801">
        <f t="shared" si="225"/>
        <v>31</v>
      </c>
      <c r="BP1293" s="117" t="str">
        <f>VLOOKUP($D1293,'WB Data'!$C$3:$M$578,9,FALSE)</f>
        <v>..</v>
      </c>
      <c r="BQ1293" s="117">
        <f>VLOOKUP($D1293,'WB Data'!$C$3:$M$578,10,FALSE)</f>
        <v>49.487829268292693</v>
      </c>
      <c r="BR1293" s="117">
        <f>VLOOKUP($D1293,'WB Data'!$C$3:$M$578,11,FALSE)</f>
        <v>67.8</v>
      </c>
      <c r="BS1293" s="129" t="str">
        <f>IFERROR(VLOOKUP($D1293,'WB Data 2'!$C$2:$K$545,9,FALSE),"..")</f>
        <v>..</v>
      </c>
      <c r="BT1293" s="129" t="str">
        <f>_xlfn.IFNA(VLOOKUP($C1293,RGI!$A$2:$C$43,2,FALSE),"..")</f>
        <v>..</v>
      </c>
      <c r="BU1293" s="129" t="str">
        <f>_xlfn.IFNA(VLOOKUP($C1293,RGI!$A$2:$C$43,3,FALSE),"..")</f>
        <v>..</v>
      </c>
      <c r="BV1293" s="129">
        <f>VLOOKUP($D1293,WGI!$C$2:$O$478,7,FALSE)</f>
        <v>-0.17324928389538299</v>
      </c>
      <c r="BW1293" s="129">
        <f>VLOOKUP($D1293,WGI!$C$2:$O$478,4,FALSE)</f>
        <v>0.29734052019608598</v>
      </c>
      <c r="BX1293" s="129">
        <f>VLOOKUP($D1293,WGI!$C$2:$O$478,3,FALSE)</f>
        <v>-0.624712275124643</v>
      </c>
      <c r="BY1293" s="129">
        <f>VLOOKUP($D1293,WGI!$C$2:$O$478,5,FALSE)</f>
        <v>-0.42342402646736998</v>
      </c>
      <c r="BZ1293" s="129">
        <f>VLOOKUP($D1293,WGI!$C$2:$O$478,2,FALSE)</f>
        <v>-0.49207789524085799</v>
      </c>
      <c r="CB1293" s="129"/>
    </row>
    <row r="1294" spans="1:80" s="120" customFormat="1" ht="15" customHeight="1">
      <c r="A1294" s="280" t="s">
        <v>1907</v>
      </c>
      <c r="B1294" s="117">
        <v>2011</v>
      </c>
      <c r="C1294" s="117" t="s">
        <v>385</v>
      </c>
      <c r="D1294" s="117" t="s">
        <v>3708</v>
      </c>
      <c r="E1294" s="117" t="s">
        <v>86</v>
      </c>
      <c r="F1294" s="117"/>
      <c r="G1294" s="117" t="s">
        <v>24</v>
      </c>
      <c r="H1294" s="117" t="str">
        <f t="shared" si="219"/>
        <v>yes</v>
      </c>
      <c r="I1294" s="117" t="str">
        <f t="shared" si="221"/>
        <v>no</v>
      </c>
      <c r="J1294" s="117" t="str">
        <f t="shared" si="222"/>
        <v>no</v>
      </c>
      <c r="K1294" s="120" t="s">
        <v>970</v>
      </c>
      <c r="L1294" s="117" t="str">
        <f t="shared" si="220"/>
        <v>detailed</v>
      </c>
      <c r="M1294" s="117" t="str">
        <f t="shared" si="223"/>
        <v>detailed Mining</v>
      </c>
      <c r="N1294" s="118">
        <v>1678736</v>
      </c>
      <c r="O1294" s="118"/>
      <c r="P1294" s="118"/>
      <c r="Q1294" s="118"/>
      <c r="R1294" s="118"/>
      <c r="S1294" s="117" t="s">
        <v>610</v>
      </c>
      <c r="T1294" s="119">
        <v>7.65</v>
      </c>
      <c r="U1294" s="117" t="s">
        <v>611</v>
      </c>
      <c r="V1294" s="117" t="s">
        <v>1253</v>
      </c>
      <c r="W1294" s="89">
        <f t="shared" si="230"/>
        <v>12842330.4</v>
      </c>
      <c r="X1294" s="117"/>
      <c r="Y1294" s="117"/>
      <c r="Z1294" s="117"/>
      <c r="AA1294" s="89"/>
      <c r="AB1294" s="89"/>
      <c r="AC1294" s="240"/>
      <c r="AD1294" s="240"/>
      <c r="AE1294" s="240"/>
      <c r="AF1294" s="241"/>
      <c r="AG1294" s="117"/>
      <c r="AH1294" s="124"/>
      <c r="AI1294" s="117"/>
      <c r="AJ1294" s="117"/>
      <c r="AK1294" s="89"/>
      <c r="AL1294" s="117"/>
      <c r="AM1294" s="117"/>
      <c r="AN1294" s="117"/>
      <c r="AO1294" s="117"/>
      <c r="AP1294" s="117"/>
      <c r="AQ1294" s="117"/>
      <c r="AR1294" s="117"/>
      <c r="AS1294" s="117"/>
      <c r="AT1294" s="117"/>
      <c r="AU1294" s="117"/>
      <c r="AV1294" s="128"/>
      <c r="AW1294" s="117">
        <f>VLOOKUP($D1294,'WB Data'!$C$3:$M$578,2,FALSE)</f>
        <v>13244880034.848072</v>
      </c>
      <c r="AX1294" s="117">
        <f>VLOOKUP($D1294,'WB Data'!$C$3:$M$578,3,FALSE)</f>
        <v>24581367</v>
      </c>
      <c r="AY1294" s="847">
        <f t="shared" si="226"/>
        <v>8.6913765905861189E-3</v>
      </c>
      <c r="AZ1294" s="117">
        <f>VLOOKUP($D1294,'WB Data'!$C$3:$M$578,4,FALSE)/100</f>
        <v>0.20634115775643155</v>
      </c>
      <c r="BA1294" s="117">
        <f t="shared" si="227"/>
        <v>2732963880.7355967</v>
      </c>
      <c r="BB1294" s="129">
        <f>IFERROR(VLOOKUP($D1294,'EITI Revenues'!$C$2:$G$224,5,FALSE),"..")</f>
        <v>115116240.28</v>
      </c>
      <c r="BC1294" s="846">
        <f t="shared" si="228"/>
        <v>4.2121391025854188E-2</v>
      </c>
      <c r="BD1294" s="129" t="e">
        <f>VLOOKUP($D1294,'WB Data 2'!$C$2:$K$545,6,FALSE)</f>
        <v>#N/A</v>
      </c>
      <c r="BE1294" s="129">
        <f>IFERROR(VLOOKUP($D1294,UNCTAD!$C$5:$V$529,4,FALSE),"..")</f>
        <v>3847357000</v>
      </c>
      <c r="BF1294" s="846" t="str">
        <f t="shared" si="229"/>
        <v>..</v>
      </c>
      <c r="BG1294" s="117">
        <f>VLOOKUP($D1294,'WB Data'!$C$3:$M$578,5,FALSE)</f>
        <v>2084980000</v>
      </c>
      <c r="BH1294" s="129">
        <f>IFERROR($BB1294/$BG1294,"..")</f>
        <v>5.5212155646576944E-2</v>
      </c>
      <c r="BI1294" s="117" t="str">
        <f>IFERROR(VLOOKUP($D1294,'WB Data'!$C$3:$M$578,7,FALSE)/100,"..")</f>
        <v>..</v>
      </c>
      <c r="BJ1294" s="117" t="str">
        <f>IFERROR($BI1294*$AW1294,"..")</f>
        <v>..</v>
      </c>
      <c r="BK1294" s="846" t="str">
        <f>IFERROR($BB1294/$BJ1294,"..")</f>
        <v>..</v>
      </c>
      <c r="BL1294" s="117" t="str">
        <f>IFERROR(VLOOKUP($D1294,'WB Data'!$C$3:$M$578,7,FALSE)/100,"..")</f>
        <v>..</v>
      </c>
      <c r="BM1294" s="117" t="str">
        <f>IFERROR($AW1294*$BL1294,"..")</f>
        <v>..</v>
      </c>
      <c r="BN1294" s="846" t="str">
        <f>IFERROR($BB1294/$BM1294,"..")</f>
        <v>..</v>
      </c>
      <c r="BO1294" s="801">
        <f t="shared" si="225"/>
        <v>31</v>
      </c>
      <c r="BP1294" s="117" t="str">
        <f>VLOOKUP($D1294,'WB Data'!$C$3:$M$578,9,FALSE)</f>
        <v>..</v>
      </c>
      <c r="BQ1294" s="117">
        <f>VLOOKUP($D1294,'WB Data'!$C$3:$M$578,10,FALSE)</f>
        <v>49.487829268292693</v>
      </c>
      <c r="BR1294" s="117">
        <f>VLOOKUP($D1294,'WB Data'!$C$3:$M$578,11,FALSE)</f>
        <v>67.8</v>
      </c>
      <c r="BS1294" s="129" t="str">
        <f>IFERROR(VLOOKUP($D1294,'WB Data 2'!$C$2:$K$545,9,FALSE),"..")</f>
        <v>..</v>
      </c>
      <c r="BT1294" s="129" t="str">
        <f>_xlfn.IFNA(VLOOKUP($C1294,RGI!$A$2:$C$43,2,FALSE),"..")</f>
        <v>..</v>
      </c>
      <c r="BU1294" s="129" t="str">
        <f>_xlfn.IFNA(VLOOKUP($C1294,RGI!$A$2:$C$43,3,FALSE),"..")</f>
        <v>..</v>
      </c>
      <c r="BV1294" s="129">
        <f>VLOOKUP($D1294,WGI!$C$2:$O$478,7,FALSE)</f>
        <v>-0.17324928389538299</v>
      </c>
      <c r="BW1294" s="129">
        <f>VLOOKUP($D1294,WGI!$C$2:$O$478,4,FALSE)</f>
        <v>0.29734052019608598</v>
      </c>
      <c r="BX1294" s="129">
        <f>VLOOKUP($D1294,WGI!$C$2:$O$478,3,FALSE)</f>
        <v>-0.624712275124643</v>
      </c>
      <c r="BY1294" s="129">
        <f>VLOOKUP($D1294,WGI!$C$2:$O$478,5,FALSE)</f>
        <v>-0.42342402646736998</v>
      </c>
      <c r="BZ1294" s="129">
        <f>VLOOKUP($D1294,WGI!$C$2:$O$478,2,FALSE)</f>
        <v>-0.49207789524085799</v>
      </c>
      <c r="CB1294" s="129"/>
    </row>
    <row r="1295" spans="1:80" s="173" customFormat="1" ht="15" customHeight="1" thickBot="1">
      <c r="A1295" s="341" t="s">
        <v>1907</v>
      </c>
      <c r="B1295" s="164">
        <v>2011</v>
      </c>
      <c r="C1295" s="164" t="s">
        <v>385</v>
      </c>
      <c r="D1295" s="117" t="s">
        <v>3708</v>
      </c>
      <c r="E1295" s="164" t="s">
        <v>86</v>
      </c>
      <c r="F1295" s="164"/>
      <c r="G1295" s="117" t="s">
        <v>24</v>
      </c>
      <c r="H1295" s="117" t="str">
        <f t="shared" si="219"/>
        <v>yes</v>
      </c>
      <c r="I1295" s="117" t="str">
        <f t="shared" si="221"/>
        <v>no</v>
      </c>
      <c r="J1295" s="117" t="str">
        <f t="shared" si="222"/>
        <v>no</v>
      </c>
      <c r="K1295" s="173" t="s">
        <v>1906</v>
      </c>
      <c r="L1295" s="117" t="str">
        <f t="shared" si="220"/>
        <v>detailed</v>
      </c>
      <c r="M1295" s="117" t="str">
        <f t="shared" si="223"/>
        <v>detailed Mining</v>
      </c>
      <c r="N1295" s="165">
        <v>43600</v>
      </c>
      <c r="O1295" s="165"/>
      <c r="P1295" s="165"/>
      <c r="Q1295" s="165"/>
      <c r="R1295" s="165"/>
      <c r="S1295" s="164" t="s">
        <v>610</v>
      </c>
      <c r="T1295" s="166">
        <v>2500</v>
      </c>
      <c r="U1295" s="164" t="s">
        <v>611</v>
      </c>
      <c r="V1295" s="164" t="s">
        <v>1881</v>
      </c>
      <c r="W1295" s="167">
        <f t="shared" si="230"/>
        <v>109000000</v>
      </c>
      <c r="X1295" s="164"/>
      <c r="Y1295" s="164"/>
      <c r="Z1295" s="164"/>
      <c r="AA1295" s="167"/>
      <c r="AB1295" s="167"/>
      <c r="AC1295" s="459"/>
      <c r="AD1295" s="459"/>
      <c r="AE1295" s="459"/>
      <c r="AF1295" s="460"/>
      <c r="AG1295" s="164"/>
      <c r="AH1295" s="171"/>
      <c r="AI1295" s="164"/>
      <c r="AJ1295" s="164"/>
      <c r="AK1295" s="167"/>
      <c r="AL1295" s="164"/>
      <c r="AM1295" s="164"/>
      <c r="AN1295" s="164"/>
      <c r="AO1295" s="164"/>
      <c r="AP1295" s="164"/>
      <c r="AQ1295" s="164"/>
      <c r="AR1295" s="164"/>
      <c r="AS1295" s="164"/>
      <c r="AT1295" s="164"/>
      <c r="AU1295" s="164"/>
      <c r="AV1295" s="172"/>
      <c r="AW1295" s="117">
        <f>VLOOKUP($D1295,'WB Data'!$C$3:$M$578,2,FALSE)</f>
        <v>13244880034.848072</v>
      </c>
      <c r="AX1295" s="117">
        <f>VLOOKUP($D1295,'WB Data'!$C$3:$M$578,3,FALSE)</f>
        <v>24581367</v>
      </c>
      <c r="AY1295" s="847">
        <f t="shared" si="226"/>
        <v>8.6913765905861189E-3</v>
      </c>
      <c r="AZ1295" s="117">
        <f>VLOOKUP($D1295,'WB Data'!$C$3:$M$578,4,FALSE)/100</f>
        <v>0.20634115775643155</v>
      </c>
      <c r="BA1295" s="117">
        <f t="shared" si="227"/>
        <v>2732963880.7355967</v>
      </c>
      <c r="BB1295" s="129">
        <f>IFERROR(VLOOKUP($D1295,'EITI Revenues'!$C$2:$G$224,5,FALSE),"..")</f>
        <v>115116240.28</v>
      </c>
      <c r="BC1295" s="846">
        <f t="shared" si="228"/>
        <v>4.2121391025854188E-2</v>
      </c>
      <c r="BD1295" s="129" t="e">
        <f>VLOOKUP($D1295,'WB Data 2'!$C$2:$K$545,6,FALSE)</f>
        <v>#N/A</v>
      </c>
      <c r="BE1295" s="129">
        <f>IFERROR(VLOOKUP($D1295,UNCTAD!$C$5:$V$529,4,FALSE),"..")</f>
        <v>3847357000</v>
      </c>
      <c r="BF1295" s="846" t="str">
        <f t="shared" si="229"/>
        <v>..</v>
      </c>
      <c r="BG1295" s="117">
        <f>VLOOKUP($D1295,'WB Data'!$C$3:$M$578,5,FALSE)</f>
        <v>2084980000</v>
      </c>
      <c r="BH1295" s="129">
        <f>IFERROR($BB1295/$BG1295,"..")</f>
        <v>5.5212155646576944E-2</v>
      </c>
      <c r="BI1295" s="117" t="str">
        <f>IFERROR(VLOOKUP($D1295,'WB Data'!$C$3:$M$578,7,FALSE)/100,"..")</f>
        <v>..</v>
      </c>
      <c r="BJ1295" s="117" t="str">
        <f>IFERROR($BI1295*$AW1295,"..")</f>
        <v>..</v>
      </c>
      <c r="BK1295" s="846" t="str">
        <f>IFERROR($BB1295/$BJ1295,"..")</f>
        <v>..</v>
      </c>
      <c r="BL1295" s="117" t="str">
        <f>IFERROR(VLOOKUP($D1295,'WB Data'!$C$3:$M$578,7,FALSE)/100,"..")</f>
        <v>..</v>
      </c>
      <c r="BM1295" s="117" t="str">
        <f>IFERROR($AW1295*$BL1295,"..")</f>
        <v>..</v>
      </c>
      <c r="BN1295" s="846" t="str">
        <f>IFERROR($BB1295/$BM1295,"..")</f>
        <v>..</v>
      </c>
      <c r="BO1295" s="801">
        <f t="shared" si="225"/>
        <v>31</v>
      </c>
      <c r="BP1295" s="117" t="str">
        <f>VLOOKUP($D1295,'WB Data'!$C$3:$M$578,9,FALSE)</f>
        <v>..</v>
      </c>
      <c r="BQ1295" s="117">
        <f>VLOOKUP($D1295,'WB Data'!$C$3:$M$578,10,FALSE)</f>
        <v>49.487829268292693</v>
      </c>
      <c r="BR1295" s="117">
        <f>VLOOKUP($D1295,'WB Data'!$C$3:$M$578,11,FALSE)</f>
        <v>67.8</v>
      </c>
      <c r="BS1295" s="129" t="str">
        <f>IFERROR(VLOOKUP($D1295,'WB Data 2'!$C$2:$K$545,9,FALSE),"..")</f>
        <v>..</v>
      </c>
      <c r="BT1295" s="129" t="str">
        <f>_xlfn.IFNA(VLOOKUP($C1295,RGI!$A$2:$C$43,2,FALSE),"..")</f>
        <v>..</v>
      </c>
      <c r="BU1295" s="129" t="str">
        <f>_xlfn.IFNA(VLOOKUP($C1295,RGI!$A$2:$C$43,3,FALSE),"..")</f>
        <v>..</v>
      </c>
      <c r="BV1295" s="129">
        <f>VLOOKUP($D1295,WGI!$C$2:$O$478,7,FALSE)</f>
        <v>-0.17324928389538299</v>
      </c>
      <c r="BW1295" s="129">
        <f>VLOOKUP($D1295,WGI!$C$2:$O$478,4,FALSE)</f>
        <v>0.29734052019608598</v>
      </c>
      <c r="BX1295" s="129">
        <f>VLOOKUP($D1295,WGI!$C$2:$O$478,3,FALSE)</f>
        <v>-0.624712275124643</v>
      </c>
      <c r="BY1295" s="129">
        <f>VLOOKUP($D1295,WGI!$C$2:$O$478,5,FALSE)</f>
        <v>-0.42342402646736998</v>
      </c>
      <c r="BZ1295" s="129">
        <f>VLOOKUP($D1295,WGI!$C$2:$O$478,2,FALSE)</f>
        <v>-0.49207789524085799</v>
      </c>
      <c r="CB1295" s="129"/>
    </row>
    <row r="1296" spans="1:80" ht="15" customHeight="1">
      <c r="A1296" s="354" t="s">
        <v>393</v>
      </c>
      <c r="B1296" s="355">
        <v>2005</v>
      </c>
      <c r="C1296" s="820" t="s">
        <v>394</v>
      </c>
      <c r="D1296" s="117" t="s">
        <v>3505</v>
      </c>
      <c r="E1296" s="608" t="s">
        <v>86</v>
      </c>
      <c r="F1296" s="267" t="s">
        <v>1918</v>
      </c>
      <c r="G1296" s="356" t="s">
        <v>24</v>
      </c>
      <c r="H1296" s="117" t="str">
        <f t="shared" si="219"/>
        <v>yes</v>
      </c>
      <c r="I1296" s="117" t="str">
        <f t="shared" si="221"/>
        <v>no</v>
      </c>
      <c r="J1296" s="117" t="str">
        <f t="shared" si="222"/>
        <v>no</v>
      </c>
      <c r="K1296" s="267" t="s">
        <v>709</v>
      </c>
      <c r="L1296" s="117" t="str">
        <f t="shared" si="220"/>
        <v>Total</v>
      </c>
      <c r="M1296" s="117" t="str">
        <f t="shared" si="223"/>
        <v>Total Mining</v>
      </c>
      <c r="N1296" s="269"/>
      <c r="O1296" s="269"/>
      <c r="P1296" s="269"/>
      <c r="Q1296" s="269"/>
      <c r="R1296" s="269"/>
      <c r="S1296" s="267"/>
      <c r="T1296" s="270"/>
      <c r="U1296" s="267"/>
      <c r="V1296" s="267"/>
      <c r="W1296" s="275">
        <f>SUM(W1297:W1299)</f>
        <v>82719254.337548986</v>
      </c>
      <c r="X1296" s="267" t="s">
        <v>835</v>
      </c>
      <c r="Y1296" s="267" t="s">
        <v>602</v>
      </c>
      <c r="Z1296" s="267"/>
      <c r="AA1296" s="597">
        <v>14928853.70728069</v>
      </c>
      <c r="AB1296" s="597">
        <v>15079465.449712178</v>
      </c>
      <c r="AC1296" s="609"/>
      <c r="AD1296" s="609"/>
      <c r="AE1296" s="609"/>
      <c r="AF1296" s="610">
        <f>AA1296/W1296</f>
        <v>0.18047616394559293</v>
      </c>
      <c r="AG1296" s="267"/>
      <c r="AH1296" s="274">
        <v>522.89</v>
      </c>
      <c r="AI1296" s="267" t="s">
        <v>722</v>
      </c>
      <c r="AJ1296" s="267"/>
      <c r="AK1296" s="275"/>
      <c r="AL1296" s="267"/>
      <c r="AM1296" s="267"/>
      <c r="AN1296" s="267"/>
      <c r="AO1296" s="267"/>
      <c r="AP1296" s="267">
        <v>13</v>
      </c>
      <c r="AQ1296" s="267" t="s">
        <v>395</v>
      </c>
      <c r="AR1296" s="277">
        <v>41922</v>
      </c>
      <c r="AS1296" s="267" t="s">
        <v>1919</v>
      </c>
      <c r="AT1296" s="267" t="s">
        <v>396</v>
      </c>
      <c r="AU1296" s="267"/>
      <c r="AV1296" s="278"/>
      <c r="AW1296" s="117">
        <f>VLOOKUP($D1296,'WB Data'!$C$3:$M$578,2,FALSE)</f>
        <v>3405134555.2916574</v>
      </c>
      <c r="AX1296" s="117">
        <f>VLOOKUP($D1296,'WB Data'!$C$3:$M$578,3,FALSE)</f>
        <v>13183798</v>
      </c>
      <c r="AY1296" s="847">
        <f t="shared" si="226"/>
        <v>4.3842184397914347E-3</v>
      </c>
      <c r="AZ1296" s="117">
        <f>VLOOKUP($D1296,'WB Data'!$C$3:$M$578,4,FALSE)/100</f>
        <v>0.1052101808512889</v>
      </c>
      <c r="BA1296" s="117">
        <f t="shared" si="227"/>
        <v>358254822.38520849</v>
      </c>
      <c r="BB1296" s="129">
        <f>IFERROR(VLOOKUP($D1296,'EITI Revenues'!$C$2:$G$224,5,FALSE),"..")</f>
        <v>14928853.70728069</v>
      </c>
      <c r="BC1296" s="846">
        <f t="shared" si="228"/>
        <v>4.1671047462492068E-2</v>
      </c>
      <c r="BD1296" s="129">
        <f>VLOOKUP($D1296,'WB Data 2'!$C$2:$K$545,6,FALSE)</f>
        <v>188731243.91143101</v>
      </c>
      <c r="BE1296" s="129">
        <f>IFERROR(VLOOKUP($D1296,UNCTAD!$C$5:$V$529,4,FALSE),"..")</f>
        <v>565092000</v>
      </c>
      <c r="BF1296" s="846">
        <f t="shared" si="229"/>
        <v>0.33398321673538295</v>
      </c>
      <c r="BG1296" s="117">
        <f>VLOOKUP($D1296,'WB Data'!$C$3:$M$578,5,FALSE)</f>
        <v>522150000</v>
      </c>
      <c r="BH1296" s="129">
        <f>IFERROR($BB1296/$BG1296,"..")</f>
        <v>2.8591120764685798E-2</v>
      </c>
      <c r="BI1296" s="117" t="str">
        <f>IFERROR(VLOOKUP($D1296,'WB Data'!$C$3:$M$578,7,FALSE)/100,"..")</f>
        <v>..</v>
      </c>
      <c r="BJ1296" s="117" t="str">
        <f>IFERROR($BI1296*$AW1296,"..")</f>
        <v>..</v>
      </c>
      <c r="BK1296" s="846" t="str">
        <f>IFERROR($BB1296/$BJ1296,"..")</f>
        <v>..</v>
      </c>
      <c r="BL1296" s="117" t="str">
        <f>IFERROR(VLOOKUP($D1296,'WB Data'!$C$3:$M$578,7,FALSE)/100,"..")</f>
        <v>..</v>
      </c>
      <c r="BM1296" s="117" t="str">
        <f>IFERROR($AW1296*$BL1296,"..")</f>
        <v>..</v>
      </c>
      <c r="BN1296" s="846" t="str">
        <f>IFERROR($BB1296/$BM1296,"..")</f>
        <v>..</v>
      </c>
      <c r="BO1296" s="801">
        <f t="shared" si="225"/>
        <v>35</v>
      </c>
      <c r="BP1296" s="117" t="str">
        <f>VLOOKUP($D1296,'WB Data'!$C$3:$M$578,9,FALSE)</f>
        <v>..</v>
      </c>
      <c r="BQ1296" s="117">
        <f>VLOOKUP($D1296,'WB Data'!$C$3:$M$578,10,FALSE)</f>
        <v>54.120146341463418</v>
      </c>
      <c r="BR1296" s="117">
        <f>VLOOKUP($D1296,'WB Data'!$C$3:$M$578,11,FALSE)</f>
        <v>82.4</v>
      </c>
      <c r="BS1296" s="129">
        <f>IFERROR(VLOOKUP($D1296,'WB Data 2'!$C$2:$K$545,9,FALSE),"..")</f>
        <v>42.756720000000001</v>
      </c>
      <c r="BT1296" s="129" t="str">
        <f>_xlfn.IFNA(VLOOKUP($C1296,RGI!$A$2:$C$43,2,FALSE),"..")</f>
        <v>..</v>
      </c>
      <c r="BU1296" s="129" t="str">
        <f>_xlfn.IFNA(VLOOKUP($C1296,RGI!$A$2:$C$43,3,FALSE),"..")</f>
        <v>..</v>
      </c>
      <c r="BV1296" s="129">
        <f>VLOOKUP($D1296,WGI!$C$2:$O$478,7,FALSE)</f>
        <v>-0.29942159472943602</v>
      </c>
      <c r="BW1296" s="129">
        <f>VLOOKUP($D1296,WGI!$C$2:$O$478,4,FALSE)</f>
        <v>-0.47753458972371499</v>
      </c>
      <c r="BX1296" s="129">
        <f>VLOOKUP($D1296,WGI!$C$2:$O$478,3,FALSE)</f>
        <v>-0.78861405735764301</v>
      </c>
      <c r="BY1296" s="129">
        <f>VLOOKUP($D1296,WGI!$C$2:$O$478,5,FALSE)</f>
        <v>-0.42081365309733498</v>
      </c>
      <c r="BZ1296" s="129">
        <f>VLOOKUP($D1296,WGI!$C$2:$O$478,2,FALSE)</f>
        <v>-0.72529246513046297</v>
      </c>
    </row>
    <row r="1297" spans="1:80" ht="15" customHeight="1">
      <c r="A1297" s="315" t="s">
        <v>393</v>
      </c>
      <c r="B1297" s="368">
        <v>2005</v>
      </c>
      <c r="C1297" s="817" t="s">
        <v>394</v>
      </c>
      <c r="D1297" s="117" t="s">
        <v>3505</v>
      </c>
      <c r="E1297" s="581" t="s">
        <v>86</v>
      </c>
      <c r="F1297" s="267"/>
      <c r="G1297" s="267" t="s">
        <v>24</v>
      </c>
      <c r="H1297" s="117" t="str">
        <f t="shared" si="219"/>
        <v>yes</v>
      </c>
      <c r="I1297" s="117" t="str">
        <f t="shared" si="221"/>
        <v>no</v>
      </c>
      <c r="J1297" s="117" t="str">
        <f t="shared" si="222"/>
        <v>no</v>
      </c>
      <c r="K1297" s="267" t="s">
        <v>616</v>
      </c>
      <c r="L1297" s="117" t="str">
        <f t="shared" si="220"/>
        <v>detailed</v>
      </c>
      <c r="M1297" s="117" t="str">
        <f t="shared" si="223"/>
        <v>detailed Mining</v>
      </c>
      <c r="N1297" s="269">
        <v>182060</v>
      </c>
      <c r="O1297" s="269"/>
      <c r="P1297" s="269"/>
      <c r="Q1297" s="269"/>
      <c r="R1297" s="269"/>
      <c r="S1297" s="267" t="s">
        <v>610</v>
      </c>
      <c r="T1297" s="270">
        <v>64.167195325854706</v>
      </c>
      <c r="U1297" s="267" t="s">
        <v>611</v>
      </c>
      <c r="V1297" s="267" t="s">
        <v>1920</v>
      </c>
      <c r="W1297" s="275">
        <f>N1297*T1297</f>
        <v>11682279.581025109</v>
      </c>
      <c r="X1297" s="267"/>
      <c r="Y1297" s="267"/>
      <c r="Z1297" s="267"/>
      <c r="AA1297" s="275"/>
      <c r="AB1297" s="275"/>
      <c r="AC1297" s="609"/>
      <c r="AD1297" s="609"/>
      <c r="AE1297" s="609"/>
      <c r="AF1297" s="610"/>
      <c r="AG1297" s="267"/>
      <c r="AH1297" s="274"/>
      <c r="AI1297" s="267"/>
      <c r="AJ1297" s="267"/>
      <c r="AK1297" s="275"/>
      <c r="AL1297" s="267"/>
      <c r="AM1297" s="267"/>
      <c r="AN1297" s="267"/>
      <c r="AO1297" s="267"/>
      <c r="AP1297" s="267"/>
      <c r="AQ1297" s="267"/>
      <c r="AR1297" s="277"/>
      <c r="AS1297" s="267"/>
      <c r="AT1297" s="267"/>
      <c r="AU1297" s="267"/>
      <c r="AV1297" s="278"/>
      <c r="AW1297" s="117">
        <f>VLOOKUP($D1297,'WB Data'!$C$3:$M$578,2,FALSE)</f>
        <v>3405134555.2916574</v>
      </c>
      <c r="AX1297" s="117">
        <f>VLOOKUP($D1297,'WB Data'!$C$3:$M$578,3,FALSE)</f>
        <v>13183798</v>
      </c>
      <c r="AY1297" s="847">
        <f t="shared" si="226"/>
        <v>4.3842184397914347E-3</v>
      </c>
      <c r="AZ1297" s="117">
        <f>VLOOKUP($D1297,'WB Data'!$C$3:$M$578,4,FALSE)/100</f>
        <v>0.1052101808512889</v>
      </c>
      <c r="BA1297" s="117">
        <f t="shared" si="227"/>
        <v>358254822.38520849</v>
      </c>
      <c r="BB1297" s="129">
        <f>IFERROR(VLOOKUP($D1297,'EITI Revenues'!$C$2:$G$224,5,FALSE),"..")</f>
        <v>14928853.70728069</v>
      </c>
      <c r="BC1297" s="846">
        <f t="shared" si="228"/>
        <v>4.1671047462492068E-2</v>
      </c>
      <c r="BD1297" s="129">
        <f>VLOOKUP($D1297,'WB Data 2'!$C$2:$K$545,6,FALSE)</f>
        <v>188731243.91143101</v>
      </c>
      <c r="BE1297" s="129">
        <f>IFERROR(VLOOKUP($D1297,UNCTAD!$C$5:$V$529,4,FALSE),"..")</f>
        <v>565092000</v>
      </c>
      <c r="BF1297" s="846">
        <f t="shared" si="229"/>
        <v>0.33398321673538295</v>
      </c>
      <c r="BG1297" s="117">
        <f>VLOOKUP($D1297,'WB Data'!$C$3:$M$578,5,FALSE)</f>
        <v>522150000</v>
      </c>
      <c r="BH1297" s="129">
        <f>IFERROR($BB1297/$BG1297,"..")</f>
        <v>2.8591120764685798E-2</v>
      </c>
      <c r="BI1297" s="117" t="str">
        <f>IFERROR(VLOOKUP($D1297,'WB Data'!$C$3:$M$578,7,FALSE)/100,"..")</f>
        <v>..</v>
      </c>
      <c r="BJ1297" s="117" t="str">
        <f>IFERROR($BI1297*$AW1297,"..")</f>
        <v>..</v>
      </c>
      <c r="BK1297" s="846" t="str">
        <f>IFERROR($BB1297/$BJ1297,"..")</f>
        <v>..</v>
      </c>
      <c r="BL1297" s="117" t="str">
        <f>IFERROR(VLOOKUP($D1297,'WB Data'!$C$3:$M$578,7,FALSE)/100,"..")</f>
        <v>..</v>
      </c>
      <c r="BM1297" s="117" t="str">
        <f>IFERROR($AW1297*$BL1297,"..")</f>
        <v>..</v>
      </c>
      <c r="BN1297" s="846" t="str">
        <f>IFERROR($BB1297/$BM1297,"..")</f>
        <v>..</v>
      </c>
      <c r="BO1297" s="801">
        <f t="shared" si="225"/>
        <v>35</v>
      </c>
      <c r="BP1297" s="117" t="str">
        <f>VLOOKUP($D1297,'WB Data'!$C$3:$M$578,9,FALSE)</f>
        <v>..</v>
      </c>
      <c r="BQ1297" s="117">
        <f>VLOOKUP($D1297,'WB Data'!$C$3:$M$578,10,FALSE)</f>
        <v>54.120146341463418</v>
      </c>
      <c r="BR1297" s="117">
        <f>VLOOKUP($D1297,'WB Data'!$C$3:$M$578,11,FALSE)</f>
        <v>82.4</v>
      </c>
      <c r="BS1297" s="129">
        <f>IFERROR(VLOOKUP($D1297,'WB Data 2'!$C$2:$K$545,9,FALSE),"..")</f>
        <v>42.756720000000001</v>
      </c>
      <c r="BT1297" s="129" t="str">
        <f>_xlfn.IFNA(VLOOKUP($C1297,RGI!$A$2:$C$43,2,FALSE),"..")</f>
        <v>..</v>
      </c>
      <c r="BU1297" s="129" t="str">
        <f>_xlfn.IFNA(VLOOKUP($C1297,RGI!$A$2:$C$43,3,FALSE),"..")</f>
        <v>..</v>
      </c>
      <c r="BV1297" s="129">
        <f>VLOOKUP($D1297,WGI!$C$2:$O$478,7,FALSE)</f>
        <v>-0.29942159472943602</v>
      </c>
      <c r="BW1297" s="129">
        <f>VLOOKUP($D1297,WGI!$C$2:$O$478,4,FALSE)</f>
        <v>-0.47753458972371499</v>
      </c>
      <c r="BX1297" s="129">
        <f>VLOOKUP($D1297,WGI!$C$2:$O$478,3,FALSE)</f>
        <v>-0.78861405735764301</v>
      </c>
      <c r="BY1297" s="129">
        <f>VLOOKUP($D1297,WGI!$C$2:$O$478,5,FALSE)</f>
        <v>-0.42081365309733498</v>
      </c>
      <c r="BZ1297" s="129">
        <f>VLOOKUP($D1297,WGI!$C$2:$O$478,2,FALSE)</f>
        <v>-0.72529246513046297</v>
      </c>
    </row>
    <row r="1298" spans="1:80" ht="15" customHeight="1">
      <c r="A1298" s="315" t="s">
        <v>393</v>
      </c>
      <c r="B1298" s="368">
        <v>2005</v>
      </c>
      <c r="C1298" s="817" t="s">
        <v>394</v>
      </c>
      <c r="D1298" s="117" t="s">
        <v>3505</v>
      </c>
      <c r="E1298" s="581" t="s">
        <v>86</v>
      </c>
      <c r="F1298" s="267"/>
      <c r="G1298" s="267" t="s">
        <v>24</v>
      </c>
      <c r="H1298" s="117" t="str">
        <f t="shared" si="219"/>
        <v>yes</v>
      </c>
      <c r="I1298" s="117" t="str">
        <f t="shared" si="221"/>
        <v>no</v>
      </c>
      <c r="J1298" s="117" t="str">
        <f t="shared" si="222"/>
        <v>no</v>
      </c>
      <c r="K1298" s="267" t="s">
        <v>1904</v>
      </c>
      <c r="L1298" s="117" t="str">
        <f t="shared" si="220"/>
        <v>detailed</v>
      </c>
      <c r="M1298" s="117" t="str">
        <f t="shared" si="223"/>
        <v>detailed Mining</v>
      </c>
      <c r="N1298" s="269">
        <f>4962*32.150743126506</f>
        <v>159531.98739372278</v>
      </c>
      <c r="O1298" s="269"/>
      <c r="P1298" s="269"/>
      <c r="Q1298" s="269"/>
      <c r="R1298" s="269"/>
      <c r="S1298" s="267" t="s">
        <v>785</v>
      </c>
      <c r="T1298" s="270">
        <v>444.84258333333003</v>
      </c>
      <c r="U1298" s="267" t="s">
        <v>786</v>
      </c>
      <c r="V1298" s="267" t="s">
        <v>1500</v>
      </c>
      <c r="W1298" s="275">
        <f>N1298*T1298</f>
        <v>70966621.396523878</v>
      </c>
      <c r="X1298" s="267"/>
      <c r="Y1298" s="267"/>
      <c r="Z1298" s="267"/>
      <c r="AA1298" s="275"/>
      <c r="AB1298" s="275"/>
      <c r="AC1298" s="609"/>
      <c r="AD1298" s="609"/>
      <c r="AE1298" s="609"/>
      <c r="AF1298" s="610"/>
      <c r="AG1298" s="267"/>
      <c r="AH1298" s="274"/>
      <c r="AI1298" s="267"/>
      <c r="AJ1298" s="267"/>
      <c r="AK1298" s="275"/>
      <c r="AL1298" s="267"/>
      <c r="AM1298" s="267"/>
      <c r="AN1298" s="267"/>
      <c r="AO1298" s="267"/>
      <c r="AP1298" s="267"/>
      <c r="AQ1298" s="267"/>
      <c r="AR1298" s="277"/>
      <c r="AS1298" s="267"/>
      <c r="AT1298" s="267"/>
      <c r="AU1298" s="267"/>
      <c r="AV1298" s="278"/>
      <c r="AW1298" s="117">
        <f>VLOOKUP($D1298,'WB Data'!$C$3:$M$578,2,FALSE)</f>
        <v>3405134555.2916574</v>
      </c>
      <c r="AX1298" s="117">
        <f>VLOOKUP($D1298,'WB Data'!$C$3:$M$578,3,FALSE)</f>
        <v>13183798</v>
      </c>
      <c r="AY1298" s="847">
        <f t="shared" si="226"/>
        <v>4.3842184397914347E-3</v>
      </c>
      <c r="AZ1298" s="117">
        <f>VLOOKUP($D1298,'WB Data'!$C$3:$M$578,4,FALSE)/100</f>
        <v>0.1052101808512889</v>
      </c>
      <c r="BA1298" s="117">
        <f t="shared" si="227"/>
        <v>358254822.38520849</v>
      </c>
      <c r="BB1298" s="129">
        <f>IFERROR(VLOOKUP($D1298,'EITI Revenues'!$C$2:$G$224,5,FALSE),"..")</f>
        <v>14928853.70728069</v>
      </c>
      <c r="BC1298" s="846">
        <f t="shared" si="228"/>
        <v>4.1671047462492068E-2</v>
      </c>
      <c r="BD1298" s="129">
        <f>VLOOKUP($D1298,'WB Data 2'!$C$2:$K$545,6,FALSE)</f>
        <v>188731243.91143101</v>
      </c>
      <c r="BE1298" s="129">
        <f>IFERROR(VLOOKUP($D1298,UNCTAD!$C$5:$V$529,4,FALSE),"..")</f>
        <v>565092000</v>
      </c>
      <c r="BF1298" s="846">
        <f t="shared" si="229"/>
        <v>0.33398321673538295</v>
      </c>
      <c r="BG1298" s="117">
        <f>VLOOKUP($D1298,'WB Data'!$C$3:$M$578,5,FALSE)</f>
        <v>522150000</v>
      </c>
      <c r="BH1298" s="129">
        <f>IFERROR($BB1298/$BG1298,"..")</f>
        <v>2.8591120764685798E-2</v>
      </c>
      <c r="BI1298" s="117" t="str">
        <f>IFERROR(VLOOKUP($D1298,'WB Data'!$C$3:$M$578,7,FALSE)/100,"..")</f>
        <v>..</v>
      </c>
      <c r="BJ1298" s="117" t="str">
        <f>IFERROR($BI1298*$AW1298,"..")</f>
        <v>..</v>
      </c>
      <c r="BK1298" s="846" t="str">
        <f>IFERROR($BB1298/$BJ1298,"..")</f>
        <v>..</v>
      </c>
      <c r="BL1298" s="117" t="str">
        <f>IFERROR(VLOOKUP($D1298,'WB Data'!$C$3:$M$578,7,FALSE)/100,"..")</f>
        <v>..</v>
      </c>
      <c r="BM1298" s="117" t="str">
        <f>IFERROR($AW1298*$BL1298,"..")</f>
        <v>..</v>
      </c>
      <c r="BN1298" s="846" t="str">
        <f>IFERROR($BB1298/$BM1298,"..")</f>
        <v>..</v>
      </c>
      <c r="BO1298" s="801">
        <f t="shared" si="225"/>
        <v>35</v>
      </c>
      <c r="BP1298" s="117" t="str">
        <f>VLOOKUP($D1298,'WB Data'!$C$3:$M$578,9,FALSE)</f>
        <v>..</v>
      </c>
      <c r="BQ1298" s="117">
        <f>VLOOKUP($D1298,'WB Data'!$C$3:$M$578,10,FALSE)</f>
        <v>54.120146341463418</v>
      </c>
      <c r="BR1298" s="117">
        <f>VLOOKUP($D1298,'WB Data'!$C$3:$M$578,11,FALSE)</f>
        <v>82.4</v>
      </c>
      <c r="BS1298" s="129">
        <f>IFERROR(VLOOKUP($D1298,'WB Data 2'!$C$2:$K$545,9,FALSE),"..")</f>
        <v>42.756720000000001</v>
      </c>
      <c r="BT1298" s="129" t="str">
        <f>_xlfn.IFNA(VLOOKUP($C1298,RGI!$A$2:$C$43,2,FALSE),"..")</f>
        <v>..</v>
      </c>
      <c r="BU1298" s="129" t="str">
        <f>_xlfn.IFNA(VLOOKUP($C1298,RGI!$A$2:$C$43,3,FALSE),"..")</f>
        <v>..</v>
      </c>
      <c r="BV1298" s="129">
        <f>VLOOKUP($D1298,WGI!$C$2:$O$478,7,FALSE)</f>
        <v>-0.29942159472943602</v>
      </c>
      <c r="BW1298" s="129">
        <f>VLOOKUP($D1298,WGI!$C$2:$O$478,4,FALSE)</f>
        <v>-0.47753458972371499</v>
      </c>
      <c r="BX1298" s="129">
        <f>VLOOKUP($D1298,WGI!$C$2:$O$478,3,FALSE)</f>
        <v>-0.78861405735764301</v>
      </c>
      <c r="BY1298" s="129">
        <f>VLOOKUP($D1298,WGI!$C$2:$O$478,5,FALSE)</f>
        <v>-0.42081365309733498</v>
      </c>
      <c r="BZ1298" s="129">
        <f>VLOOKUP($D1298,WGI!$C$2:$O$478,2,FALSE)</f>
        <v>-0.72529246513046297</v>
      </c>
    </row>
    <row r="1299" spans="1:80" ht="15" customHeight="1">
      <c r="A1299" s="315" t="s">
        <v>393</v>
      </c>
      <c r="B1299" s="368">
        <v>2005</v>
      </c>
      <c r="C1299" s="817" t="s">
        <v>394</v>
      </c>
      <c r="D1299" s="117" t="s">
        <v>3505</v>
      </c>
      <c r="E1299" s="581" t="s">
        <v>86</v>
      </c>
      <c r="F1299" s="267"/>
      <c r="G1299" s="267" t="s">
        <v>24</v>
      </c>
      <c r="H1299" s="117" t="str">
        <f t="shared" si="219"/>
        <v>yes</v>
      </c>
      <c r="I1299" s="117" t="str">
        <f t="shared" si="221"/>
        <v>no</v>
      </c>
      <c r="J1299" s="117" t="str">
        <f t="shared" si="222"/>
        <v>no</v>
      </c>
      <c r="K1299" s="267" t="s">
        <v>1147</v>
      </c>
      <c r="L1299" s="117" t="str">
        <f t="shared" si="220"/>
        <v>detailed</v>
      </c>
      <c r="M1299" s="117" t="str">
        <f t="shared" si="223"/>
        <v>detailed Mining</v>
      </c>
      <c r="N1299" s="269">
        <v>1269</v>
      </c>
      <c r="O1299" s="269"/>
      <c r="P1299" s="269"/>
      <c r="Q1299" s="269"/>
      <c r="R1299" s="269"/>
      <c r="S1299" s="267" t="s">
        <v>610</v>
      </c>
      <c r="T1299" s="270">
        <v>55.44</v>
      </c>
      <c r="U1299" s="267" t="s">
        <v>611</v>
      </c>
      <c r="V1299" s="267" t="s">
        <v>1921</v>
      </c>
      <c r="W1299" s="275">
        <f>N1299*T1299</f>
        <v>70353.36</v>
      </c>
      <c r="X1299" s="267"/>
      <c r="Y1299" s="267"/>
      <c r="Z1299" s="267"/>
      <c r="AA1299" s="275"/>
      <c r="AB1299" s="275"/>
      <c r="AC1299" s="609"/>
      <c r="AD1299" s="609"/>
      <c r="AE1299" s="609"/>
      <c r="AF1299" s="610"/>
      <c r="AG1299" s="267"/>
      <c r="AH1299" s="274"/>
      <c r="AI1299" s="267"/>
      <c r="AJ1299" s="267"/>
      <c r="AK1299" s="275"/>
      <c r="AL1299" s="267"/>
      <c r="AM1299" s="267"/>
      <c r="AN1299" s="267"/>
      <c r="AO1299" s="267"/>
      <c r="AP1299" s="267"/>
      <c r="AQ1299" s="267"/>
      <c r="AR1299" s="277"/>
      <c r="AS1299" s="267"/>
      <c r="AT1299" s="267"/>
      <c r="AU1299" s="267"/>
      <c r="AV1299" s="278"/>
      <c r="AW1299" s="117">
        <f>VLOOKUP($D1299,'WB Data'!$C$3:$M$578,2,FALSE)</f>
        <v>3405134555.2916574</v>
      </c>
      <c r="AX1299" s="117">
        <f>VLOOKUP($D1299,'WB Data'!$C$3:$M$578,3,FALSE)</f>
        <v>13183798</v>
      </c>
      <c r="AY1299" s="847">
        <f t="shared" si="226"/>
        <v>4.3842184397914347E-3</v>
      </c>
      <c r="AZ1299" s="117">
        <f>VLOOKUP($D1299,'WB Data'!$C$3:$M$578,4,FALSE)/100</f>
        <v>0.1052101808512889</v>
      </c>
      <c r="BA1299" s="117">
        <f t="shared" si="227"/>
        <v>358254822.38520849</v>
      </c>
      <c r="BB1299" s="129">
        <f>IFERROR(VLOOKUP($D1299,'EITI Revenues'!$C$2:$G$224,5,FALSE),"..")</f>
        <v>14928853.70728069</v>
      </c>
      <c r="BC1299" s="846">
        <f t="shared" si="228"/>
        <v>4.1671047462492068E-2</v>
      </c>
      <c r="BD1299" s="129">
        <f>VLOOKUP($D1299,'WB Data 2'!$C$2:$K$545,6,FALSE)</f>
        <v>188731243.91143101</v>
      </c>
      <c r="BE1299" s="129">
        <f>IFERROR(VLOOKUP($D1299,UNCTAD!$C$5:$V$529,4,FALSE),"..")</f>
        <v>565092000</v>
      </c>
      <c r="BF1299" s="846">
        <f t="shared" si="229"/>
        <v>0.33398321673538295</v>
      </c>
      <c r="BG1299" s="117">
        <f>VLOOKUP($D1299,'WB Data'!$C$3:$M$578,5,FALSE)</f>
        <v>522150000</v>
      </c>
      <c r="BH1299" s="129">
        <f>IFERROR($BB1299/$BG1299,"..")</f>
        <v>2.8591120764685798E-2</v>
      </c>
      <c r="BI1299" s="117" t="str">
        <f>IFERROR(VLOOKUP($D1299,'WB Data'!$C$3:$M$578,7,FALSE)/100,"..")</f>
        <v>..</v>
      </c>
      <c r="BJ1299" s="117" t="str">
        <f>IFERROR($BI1299*$AW1299,"..")</f>
        <v>..</v>
      </c>
      <c r="BK1299" s="846" t="str">
        <f>IFERROR($BB1299/$BJ1299,"..")</f>
        <v>..</v>
      </c>
      <c r="BL1299" s="117" t="str">
        <f>IFERROR(VLOOKUP($D1299,'WB Data'!$C$3:$M$578,7,FALSE)/100,"..")</f>
        <v>..</v>
      </c>
      <c r="BM1299" s="117" t="str">
        <f>IFERROR($AW1299*$BL1299,"..")</f>
        <v>..</v>
      </c>
      <c r="BN1299" s="846" t="str">
        <f>IFERROR($BB1299/$BM1299,"..")</f>
        <v>..</v>
      </c>
      <c r="BO1299" s="801">
        <f t="shared" si="225"/>
        <v>35</v>
      </c>
      <c r="BP1299" s="117" t="str">
        <f>VLOOKUP($D1299,'WB Data'!$C$3:$M$578,9,FALSE)</f>
        <v>..</v>
      </c>
      <c r="BQ1299" s="117">
        <f>VLOOKUP($D1299,'WB Data'!$C$3:$M$578,10,FALSE)</f>
        <v>54.120146341463418</v>
      </c>
      <c r="BR1299" s="117">
        <f>VLOOKUP($D1299,'WB Data'!$C$3:$M$578,11,FALSE)</f>
        <v>82.4</v>
      </c>
      <c r="BS1299" s="129">
        <f>IFERROR(VLOOKUP($D1299,'WB Data 2'!$C$2:$K$545,9,FALSE),"..")</f>
        <v>42.756720000000001</v>
      </c>
      <c r="BT1299" s="129" t="str">
        <f>_xlfn.IFNA(VLOOKUP($C1299,RGI!$A$2:$C$43,2,FALSE),"..")</f>
        <v>..</v>
      </c>
      <c r="BU1299" s="129" t="str">
        <f>_xlfn.IFNA(VLOOKUP($C1299,RGI!$A$2:$C$43,3,FALSE),"..")</f>
        <v>..</v>
      </c>
      <c r="BV1299" s="129">
        <f>VLOOKUP($D1299,WGI!$C$2:$O$478,7,FALSE)</f>
        <v>-0.29942159472943602</v>
      </c>
      <c r="BW1299" s="129">
        <f>VLOOKUP($D1299,WGI!$C$2:$O$478,4,FALSE)</f>
        <v>-0.47753458972371499</v>
      </c>
      <c r="BX1299" s="129">
        <f>VLOOKUP($D1299,WGI!$C$2:$O$478,3,FALSE)</f>
        <v>-0.78861405735764301</v>
      </c>
      <c r="BY1299" s="129">
        <f>VLOOKUP($D1299,WGI!$C$2:$O$478,5,FALSE)</f>
        <v>-0.42081365309733498</v>
      </c>
      <c r="BZ1299" s="129">
        <f>VLOOKUP($D1299,WGI!$C$2:$O$478,2,FALSE)</f>
        <v>-0.72529246513046297</v>
      </c>
    </row>
    <row r="1300" spans="1:80" ht="15" customHeight="1">
      <c r="A1300" s="331" t="s">
        <v>393</v>
      </c>
      <c r="B1300" s="370">
        <v>2005</v>
      </c>
      <c r="C1300" s="818" t="s">
        <v>394</v>
      </c>
      <c r="D1300" s="117" t="s">
        <v>3505</v>
      </c>
      <c r="E1300" s="583" t="s">
        <v>86</v>
      </c>
      <c r="F1300" s="267"/>
      <c r="G1300" s="267" t="s">
        <v>24</v>
      </c>
      <c r="H1300" s="117" t="str">
        <f t="shared" si="219"/>
        <v>yes</v>
      </c>
      <c r="I1300" s="117" t="str">
        <f t="shared" si="221"/>
        <v>no</v>
      </c>
      <c r="J1300" s="117" t="str">
        <f t="shared" si="222"/>
        <v>no</v>
      </c>
      <c r="K1300" s="267" t="s">
        <v>1466</v>
      </c>
      <c r="L1300" s="117" t="str">
        <f t="shared" si="220"/>
        <v>detailed</v>
      </c>
      <c r="M1300" s="117" t="str">
        <f t="shared" si="223"/>
        <v>detailed Mining</v>
      </c>
      <c r="N1300" s="269">
        <v>3093</v>
      </c>
      <c r="O1300" s="269"/>
      <c r="P1300" s="269"/>
      <c r="Q1300" s="269"/>
      <c r="R1300" s="269"/>
      <c r="S1300" s="267" t="s">
        <v>610</v>
      </c>
      <c r="T1300" s="270"/>
      <c r="U1300" s="267"/>
      <c r="V1300" s="267" t="s">
        <v>1266</v>
      </c>
      <c r="W1300" s="275"/>
      <c r="X1300" s="267"/>
      <c r="Y1300" s="267"/>
      <c r="Z1300" s="267"/>
      <c r="AA1300" s="275"/>
      <c r="AB1300" s="275"/>
      <c r="AC1300" s="609"/>
      <c r="AD1300" s="609"/>
      <c r="AE1300" s="609"/>
      <c r="AF1300" s="610"/>
      <c r="AG1300" s="267"/>
      <c r="AH1300" s="274"/>
      <c r="AI1300" s="267"/>
      <c r="AJ1300" s="267"/>
      <c r="AK1300" s="275"/>
      <c r="AL1300" s="267"/>
      <c r="AM1300" s="267"/>
      <c r="AN1300" s="267"/>
      <c r="AO1300" s="267"/>
      <c r="AP1300" s="267"/>
      <c r="AQ1300" s="267"/>
      <c r="AR1300" s="277"/>
      <c r="AS1300" s="267"/>
      <c r="AT1300" s="267"/>
      <c r="AU1300" s="267"/>
      <c r="AV1300" s="278"/>
      <c r="AW1300" s="117">
        <f>VLOOKUP($D1300,'WB Data'!$C$3:$M$578,2,FALSE)</f>
        <v>3405134555.2916574</v>
      </c>
      <c r="AX1300" s="117">
        <f>VLOOKUP($D1300,'WB Data'!$C$3:$M$578,3,FALSE)</f>
        <v>13183798</v>
      </c>
      <c r="AY1300" s="847">
        <f t="shared" si="226"/>
        <v>4.3842184397914347E-3</v>
      </c>
      <c r="AZ1300" s="117">
        <f>VLOOKUP($D1300,'WB Data'!$C$3:$M$578,4,FALSE)/100</f>
        <v>0.1052101808512889</v>
      </c>
      <c r="BA1300" s="117">
        <f t="shared" si="227"/>
        <v>358254822.38520849</v>
      </c>
      <c r="BB1300" s="129">
        <f>IFERROR(VLOOKUP($D1300,'EITI Revenues'!$C$2:$G$224,5,FALSE),"..")</f>
        <v>14928853.70728069</v>
      </c>
      <c r="BC1300" s="846">
        <f t="shared" si="228"/>
        <v>4.1671047462492068E-2</v>
      </c>
      <c r="BD1300" s="129">
        <f>VLOOKUP($D1300,'WB Data 2'!$C$2:$K$545,6,FALSE)</f>
        <v>188731243.91143101</v>
      </c>
      <c r="BE1300" s="129">
        <f>IFERROR(VLOOKUP($D1300,UNCTAD!$C$5:$V$529,4,FALSE),"..")</f>
        <v>565092000</v>
      </c>
      <c r="BF1300" s="846">
        <f t="shared" si="229"/>
        <v>0.33398321673538295</v>
      </c>
      <c r="BG1300" s="117">
        <f>VLOOKUP($D1300,'WB Data'!$C$3:$M$578,5,FALSE)</f>
        <v>522150000</v>
      </c>
      <c r="BH1300" s="129">
        <f>IFERROR($BB1300/$BG1300,"..")</f>
        <v>2.8591120764685798E-2</v>
      </c>
      <c r="BI1300" s="117" t="str">
        <f>IFERROR(VLOOKUP($D1300,'WB Data'!$C$3:$M$578,7,FALSE)/100,"..")</f>
        <v>..</v>
      </c>
      <c r="BJ1300" s="117" t="str">
        <f>IFERROR($BI1300*$AW1300,"..")</f>
        <v>..</v>
      </c>
      <c r="BK1300" s="846" t="str">
        <f>IFERROR($BB1300/$BJ1300,"..")</f>
        <v>..</v>
      </c>
      <c r="BL1300" s="117" t="str">
        <f>IFERROR(VLOOKUP($D1300,'WB Data'!$C$3:$M$578,7,FALSE)/100,"..")</f>
        <v>..</v>
      </c>
      <c r="BM1300" s="117" t="str">
        <f>IFERROR($AW1300*$BL1300,"..")</f>
        <v>..</v>
      </c>
      <c r="BN1300" s="846" t="str">
        <f>IFERROR($BB1300/$BM1300,"..")</f>
        <v>..</v>
      </c>
      <c r="BO1300" s="801">
        <f t="shared" si="225"/>
        <v>35</v>
      </c>
      <c r="BP1300" s="117" t="str">
        <f>VLOOKUP($D1300,'WB Data'!$C$3:$M$578,9,FALSE)</f>
        <v>..</v>
      </c>
      <c r="BQ1300" s="117">
        <f>VLOOKUP($D1300,'WB Data'!$C$3:$M$578,10,FALSE)</f>
        <v>54.120146341463418</v>
      </c>
      <c r="BR1300" s="117">
        <f>VLOOKUP($D1300,'WB Data'!$C$3:$M$578,11,FALSE)</f>
        <v>82.4</v>
      </c>
      <c r="BS1300" s="129">
        <f>IFERROR(VLOOKUP($D1300,'WB Data 2'!$C$2:$K$545,9,FALSE),"..")</f>
        <v>42.756720000000001</v>
      </c>
      <c r="BT1300" s="129" t="str">
        <f>_xlfn.IFNA(VLOOKUP($C1300,RGI!$A$2:$C$43,2,FALSE),"..")</f>
        <v>..</v>
      </c>
      <c r="BU1300" s="129" t="str">
        <f>_xlfn.IFNA(VLOOKUP($C1300,RGI!$A$2:$C$43,3,FALSE),"..")</f>
        <v>..</v>
      </c>
      <c r="BV1300" s="129">
        <f>VLOOKUP($D1300,WGI!$C$2:$O$478,7,FALSE)</f>
        <v>-0.29942159472943602</v>
      </c>
      <c r="BW1300" s="129">
        <f>VLOOKUP($D1300,WGI!$C$2:$O$478,4,FALSE)</f>
        <v>-0.47753458972371499</v>
      </c>
      <c r="BX1300" s="129">
        <f>VLOOKUP($D1300,WGI!$C$2:$O$478,3,FALSE)</f>
        <v>-0.78861405735764301</v>
      </c>
      <c r="BY1300" s="129">
        <f>VLOOKUP($D1300,WGI!$C$2:$O$478,5,FALSE)</f>
        <v>-0.42081365309733498</v>
      </c>
      <c r="BZ1300" s="129">
        <f>VLOOKUP($D1300,WGI!$C$2:$O$478,2,FALSE)</f>
        <v>-0.72529246513046297</v>
      </c>
    </row>
    <row r="1301" spans="1:80" s="144" customFormat="1" ht="15" customHeight="1">
      <c r="A1301" s="318" t="s">
        <v>397</v>
      </c>
      <c r="B1301" s="386">
        <v>2006</v>
      </c>
      <c r="C1301" s="819" t="s">
        <v>394</v>
      </c>
      <c r="D1301" s="117" t="s">
        <v>3539</v>
      </c>
      <c r="E1301" s="587" t="s">
        <v>86</v>
      </c>
      <c r="F1301" s="319" t="s">
        <v>1918</v>
      </c>
      <c r="G1301" s="319" t="s">
        <v>24</v>
      </c>
      <c r="H1301" s="117" t="str">
        <f t="shared" si="219"/>
        <v>yes</v>
      </c>
      <c r="I1301" s="117" t="str">
        <f t="shared" si="221"/>
        <v>no</v>
      </c>
      <c r="J1301" s="117" t="str">
        <f t="shared" si="222"/>
        <v>no</v>
      </c>
      <c r="K1301" s="319" t="s">
        <v>709</v>
      </c>
      <c r="L1301" s="117" t="str">
        <f t="shared" si="220"/>
        <v>Total</v>
      </c>
      <c r="M1301" s="117" t="str">
        <f t="shared" si="223"/>
        <v>Total Mining</v>
      </c>
      <c r="N1301" s="322"/>
      <c r="O1301" s="322"/>
      <c r="P1301" s="322"/>
      <c r="Q1301" s="322"/>
      <c r="R1301" s="322"/>
      <c r="S1301" s="319"/>
      <c r="T1301" s="323"/>
      <c r="U1301" s="319"/>
      <c r="V1301" s="319"/>
      <c r="W1301" s="275">
        <f>SUM(W1302:W1304)</f>
        <v>61675160.615972482</v>
      </c>
      <c r="X1301" s="319" t="s">
        <v>835</v>
      </c>
      <c r="Y1301" s="319" t="s">
        <v>602</v>
      </c>
      <c r="Z1301" s="319"/>
      <c r="AA1301" s="611">
        <v>25063833.699167486</v>
      </c>
      <c r="AB1301" s="611">
        <v>25374332.380495336</v>
      </c>
      <c r="AC1301" s="612"/>
      <c r="AD1301" s="612"/>
      <c r="AE1301" s="612"/>
      <c r="AF1301" s="613">
        <f>AA1301/W1301</f>
        <v>0.40638457117656074</v>
      </c>
      <c r="AG1301" s="319"/>
      <c r="AH1301" s="328">
        <v>479.27</v>
      </c>
      <c r="AI1301" s="319" t="s">
        <v>722</v>
      </c>
      <c r="AJ1301" s="319"/>
      <c r="AK1301" s="324"/>
      <c r="AL1301" s="319"/>
      <c r="AM1301" s="319"/>
      <c r="AN1301" s="319"/>
      <c r="AO1301" s="319"/>
      <c r="AP1301" s="319">
        <v>13</v>
      </c>
      <c r="AQ1301" s="319" t="s">
        <v>395</v>
      </c>
      <c r="AR1301" s="329">
        <v>41922</v>
      </c>
      <c r="AS1301" s="319" t="s">
        <v>1919</v>
      </c>
      <c r="AT1301" s="319" t="s">
        <v>398</v>
      </c>
      <c r="AU1301" s="319"/>
      <c r="AV1301" s="330"/>
      <c r="AW1301" s="117">
        <f>VLOOKUP($D1301,'WB Data'!$C$3:$M$578,2,FALSE)</f>
        <v>3646727993.0369811</v>
      </c>
      <c r="AX1301" s="117">
        <f>VLOOKUP($D1301,'WB Data'!$C$3:$M$578,3,FALSE)</f>
        <v>13679705</v>
      </c>
      <c r="AY1301" s="847">
        <f t="shared" si="226"/>
        <v>6.8729649557148411E-3</v>
      </c>
      <c r="AZ1301" s="117">
        <f>VLOOKUP($D1301,'WB Data'!$C$3:$M$578,4,FALSE)/100</f>
        <v>0.12969583443271007</v>
      </c>
      <c r="BA1301" s="117">
        <f t="shared" si="227"/>
        <v>472965430.00605339</v>
      </c>
      <c r="BB1301" s="129">
        <f>IFERROR(VLOOKUP($D1301,'EITI Revenues'!$C$2:$G$224,5,FALSE),"..")</f>
        <v>25063833.699167486</v>
      </c>
      <c r="BC1301" s="846">
        <f t="shared" si="228"/>
        <v>5.2992950666281673E-2</v>
      </c>
      <c r="BD1301" s="129">
        <f>VLOOKUP($D1301,'WB Data 2'!$C$2:$K$545,6,FALSE)</f>
        <v>192598519.39256313</v>
      </c>
      <c r="BE1301" s="129">
        <f>IFERROR(VLOOKUP($D1301,UNCTAD!$C$5:$V$529,4,FALSE),"..")</f>
        <v>598517000</v>
      </c>
      <c r="BF1301" s="846">
        <f t="shared" si="229"/>
        <v>0.32179289709826642</v>
      </c>
      <c r="BG1301" s="117">
        <f>VLOOKUP($D1301,'WB Data'!$C$3:$M$578,5,FALSE)</f>
        <v>544410000</v>
      </c>
      <c r="BH1301" s="129">
        <f>IFERROR($BB1301/$BG1301,"..")</f>
        <v>4.6038525558251109E-2</v>
      </c>
      <c r="BI1301" s="117">
        <f>IFERROR(VLOOKUP($D1301,'WB Data'!$C$3:$M$578,7,FALSE)/100,"..")</f>
        <v>3.3340599999999998E-2</v>
      </c>
      <c r="BJ1301" s="117">
        <f>IFERROR($BI1301*$AW1301,"..")</f>
        <v>121584099.32464877</v>
      </c>
      <c r="BK1301" s="846">
        <f>IFERROR($BB1301/$BJ1301,"..")</f>
        <v>0.20614400927742277</v>
      </c>
      <c r="BL1301" s="117">
        <f>IFERROR(VLOOKUP($D1301,'WB Data'!$C$3:$M$578,7,FALSE)/100,"..")</f>
        <v>3.3340599999999998E-2</v>
      </c>
      <c r="BM1301" s="117">
        <f>IFERROR($AW1301*$BL1301,"..")</f>
        <v>121584099.32464877</v>
      </c>
      <c r="BN1301" s="846">
        <f>IFERROR($BB1301/$BM1301,"..")</f>
        <v>0.20614400927742277</v>
      </c>
      <c r="BO1301" s="801">
        <f t="shared" si="225"/>
        <v>35</v>
      </c>
      <c r="BP1301" s="117" t="str">
        <f>VLOOKUP($D1301,'WB Data'!$C$3:$M$578,9,FALSE)</f>
        <v>..</v>
      </c>
      <c r="BQ1301" s="117">
        <f>VLOOKUP($D1301,'WB Data'!$C$3:$M$578,10,FALSE)</f>
        <v>54.75141463414635</v>
      </c>
      <c r="BR1301" s="117">
        <f>VLOOKUP($D1301,'WB Data'!$C$3:$M$578,11,FALSE)</f>
        <v>78.7</v>
      </c>
      <c r="BS1301" s="129">
        <f>IFERROR(VLOOKUP($D1301,'WB Data 2'!$C$2:$K$545,9,FALSE),"..")</f>
        <v>44.070430000000002</v>
      </c>
      <c r="BT1301" s="129" t="str">
        <f>_xlfn.IFNA(VLOOKUP($C1301,RGI!$A$2:$C$43,2,FALSE),"..")</f>
        <v>..</v>
      </c>
      <c r="BU1301" s="129" t="str">
        <f>_xlfn.IFNA(VLOOKUP($C1301,RGI!$A$2:$C$43,3,FALSE),"..")</f>
        <v>..</v>
      </c>
      <c r="BV1301" s="129">
        <f>VLOOKUP($D1301,WGI!$C$2:$O$478,7,FALSE)</f>
        <v>-0.38839845249419203</v>
      </c>
      <c r="BW1301" s="129">
        <f>VLOOKUP($D1301,WGI!$C$2:$O$478,4,FALSE)</f>
        <v>-0.233169147210184</v>
      </c>
      <c r="BX1301" s="129">
        <f>VLOOKUP($D1301,WGI!$C$2:$O$478,3,FALSE)</f>
        <v>-0.79821619778679698</v>
      </c>
      <c r="BY1301" s="129">
        <f>VLOOKUP($D1301,WGI!$C$2:$O$478,5,FALSE)</f>
        <v>-0.498181393717259</v>
      </c>
      <c r="BZ1301" s="129">
        <f>VLOOKUP($D1301,WGI!$C$2:$O$478,2,FALSE)</f>
        <v>-0.854506371170488</v>
      </c>
      <c r="CB1301" s="129"/>
    </row>
    <row r="1302" spans="1:80" s="120" customFormat="1" ht="15" customHeight="1">
      <c r="A1302" s="315" t="s">
        <v>397</v>
      </c>
      <c r="B1302" s="368">
        <v>2006</v>
      </c>
      <c r="C1302" s="817" t="s">
        <v>394</v>
      </c>
      <c r="D1302" s="117" t="s">
        <v>3539</v>
      </c>
      <c r="E1302" s="581" t="s">
        <v>86</v>
      </c>
      <c r="F1302" s="267"/>
      <c r="G1302" s="267" t="s">
        <v>24</v>
      </c>
      <c r="H1302" s="117" t="str">
        <f t="shared" si="219"/>
        <v>yes</v>
      </c>
      <c r="I1302" s="117" t="str">
        <f t="shared" si="221"/>
        <v>no</v>
      </c>
      <c r="J1302" s="117" t="str">
        <f t="shared" si="222"/>
        <v>no</v>
      </c>
      <c r="K1302" s="267" t="s">
        <v>616</v>
      </c>
      <c r="L1302" s="117" t="str">
        <f t="shared" si="220"/>
        <v>detailed</v>
      </c>
      <c r="M1302" s="117" t="str">
        <f t="shared" si="223"/>
        <v>detailed Mining</v>
      </c>
      <c r="N1302" s="269">
        <v>176320</v>
      </c>
      <c r="O1302" s="269"/>
      <c r="P1302" s="269"/>
      <c r="Q1302" s="269"/>
      <c r="R1302" s="269"/>
      <c r="S1302" s="267" t="s">
        <v>610</v>
      </c>
      <c r="T1302" s="270">
        <v>61.17946892471906</v>
      </c>
      <c r="U1302" s="267" t="s">
        <v>611</v>
      </c>
      <c r="V1302" s="267" t="s">
        <v>1920</v>
      </c>
      <c r="W1302" s="275">
        <f>N1302*T1302</f>
        <v>10787163.960806465</v>
      </c>
      <c r="X1302" s="267"/>
      <c r="Y1302" s="267"/>
      <c r="Z1302" s="267"/>
      <c r="AA1302" s="275"/>
      <c r="AB1302" s="275"/>
      <c r="AC1302" s="609"/>
      <c r="AD1302" s="609"/>
      <c r="AE1302" s="609"/>
      <c r="AF1302" s="610"/>
      <c r="AG1302" s="267"/>
      <c r="AH1302" s="274"/>
      <c r="AI1302" s="267"/>
      <c r="AJ1302" s="267"/>
      <c r="AK1302" s="275"/>
      <c r="AL1302" s="267"/>
      <c r="AM1302" s="267"/>
      <c r="AN1302" s="267"/>
      <c r="AO1302" s="267"/>
      <c r="AP1302" s="267"/>
      <c r="AQ1302" s="267"/>
      <c r="AR1302" s="277"/>
      <c r="AS1302" s="267"/>
      <c r="AT1302" s="267"/>
      <c r="AU1302" s="267"/>
      <c r="AV1302" s="278"/>
      <c r="AW1302" s="117">
        <f>VLOOKUP($D1302,'WB Data'!$C$3:$M$578,2,FALSE)</f>
        <v>3646727993.0369811</v>
      </c>
      <c r="AX1302" s="117">
        <f>VLOOKUP($D1302,'WB Data'!$C$3:$M$578,3,FALSE)</f>
        <v>13679705</v>
      </c>
      <c r="AY1302" s="847">
        <f t="shared" si="226"/>
        <v>6.8729649557148411E-3</v>
      </c>
      <c r="AZ1302" s="117">
        <f>VLOOKUP($D1302,'WB Data'!$C$3:$M$578,4,FALSE)/100</f>
        <v>0.12969583443271007</v>
      </c>
      <c r="BA1302" s="117">
        <f t="shared" si="227"/>
        <v>472965430.00605339</v>
      </c>
      <c r="BB1302" s="129">
        <f>IFERROR(VLOOKUP($D1302,'EITI Revenues'!$C$2:$G$224,5,FALSE),"..")</f>
        <v>25063833.699167486</v>
      </c>
      <c r="BC1302" s="846">
        <f t="shared" si="228"/>
        <v>5.2992950666281673E-2</v>
      </c>
      <c r="BD1302" s="129">
        <f>VLOOKUP($D1302,'WB Data 2'!$C$2:$K$545,6,FALSE)</f>
        <v>192598519.39256313</v>
      </c>
      <c r="BE1302" s="129">
        <f>IFERROR(VLOOKUP($D1302,UNCTAD!$C$5:$V$529,4,FALSE),"..")</f>
        <v>598517000</v>
      </c>
      <c r="BF1302" s="846">
        <f t="shared" si="229"/>
        <v>0.32179289709826642</v>
      </c>
      <c r="BG1302" s="117">
        <f>VLOOKUP($D1302,'WB Data'!$C$3:$M$578,5,FALSE)</f>
        <v>544410000</v>
      </c>
      <c r="BH1302" s="129">
        <f>IFERROR($BB1302/$BG1302,"..")</f>
        <v>4.6038525558251109E-2</v>
      </c>
      <c r="BI1302" s="117">
        <f>IFERROR(VLOOKUP($D1302,'WB Data'!$C$3:$M$578,7,FALSE)/100,"..")</f>
        <v>3.3340599999999998E-2</v>
      </c>
      <c r="BJ1302" s="117">
        <f>IFERROR($BI1302*$AW1302,"..")</f>
        <v>121584099.32464877</v>
      </c>
      <c r="BK1302" s="846">
        <f>IFERROR($BB1302/$BJ1302,"..")</f>
        <v>0.20614400927742277</v>
      </c>
      <c r="BL1302" s="117">
        <f>IFERROR(VLOOKUP($D1302,'WB Data'!$C$3:$M$578,7,FALSE)/100,"..")</f>
        <v>3.3340599999999998E-2</v>
      </c>
      <c r="BM1302" s="117">
        <f>IFERROR($AW1302*$BL1302,"..")</f>
        <v>121584099.32464877</v>
      </c>
      <c r="BN1302" s="846">
        <f>IFERROR($BB1302/$BM1302,"..")</f>
        <v>0.20614400927742277</v>
      </c>
      <c r="BO1302" s="801">
        <f t="shared" si="225"/>
        <v>35</v>
      </c>
      <c r="BP1302" s="117" t="str">
        <f>VLOOKUP($D1302,'WB Data'!$C$3:$M$578,9,FALSE)</f>
        <v>..</v>
      </c>
      <c r="BQ1302" s="117">
        <f>VLOOKUP($D1302,'WB Data'!$C$3:$M$578,10,FALSE)</f>
        <v>54.75141463414635</v>
      </c>
      <c r="BR1302" s="117">
        <f>VLOOKUP($D1302,'WB Data'!$C$3:$M$578,11,FALSE)</f>
        <v>78.7</v>
      </c>
      <c r="BS1302" s="129">
        <f>IFERROR(VLOOKUP($D1302,'WB Data 2'!$C$2:$K$545,9,FALSE),"..")</f>
        <v>44.070430000000002</v>
      </c>
      <c r="BT1302" s="129" t="str">
        <f>_xlfn.IFNA(VLOOKUP($C1302,RGI!$A$2:$C$43,2,FALSE),"..")</f>
        <v>..</v>
      </c>
      <c r="BU1302" s="129" t="str">
        <f>_xlfn.IFNA(VLOOKUP($C1302,RGI!$A$2:$C$43,3,FALSE),"..")</f>
        <v>..</v>
      </c>
      <c r="BV1302" s="129">
        <f>VLOOKUP($D1302,WGI!$C$2:$O$478,7,FALSE)</f>
        <v>-0.38839845249419203</v>
      </c>
      <c r="BW1302" s="129">
        <f>VLOOKUP($D1302,WGI!$C$2:$O$478,4,FALSE)</f>
        <v>-0.233169147210184</v>
      </c>
      <c r="BX1302" s="129">
        <f>VLOOKUP($D1302,WGI!$C$2:$O$478,3,FALSE)</f>
        <v>-0.79821619778679698</v>
      </c>
      <c r="BY1302" s="129">
        <f>VLOOKUP($D1302,WGI!$C$2:$O$478,5,FALSE)</f>
        <v>-0.498181393717259</v>
      </c>
      <c r="BZ1302" s="129">
        <f>VLOOKUP($D1302,WGI!$C$2:$O$478,2,FALSE)</f>
        <v>-0.854506371170488</v>
      </c>
      <c r="CB1302" s="129"/>
    </row>
    <row r="1303" spans="1:80" s="120" customFormat="1" ht="15" customHeight="1">
      <c r="A1303" s="315" t="s">
        <v>397</v>
      </c>
      <c r="B1303" s="368">
        <v>2006</v>
      </c>
      <c r="C1303" s="817" t="s">
        <v>394</v>
      </c>
      <c r="D1303" s="117" t="s">
        <v>3539</v>
      </c>
      <c r="E1303" s="581" t="s">
        <v>86</v>
      </c>
      <c r="F1303" s="267"/>
      <c r="G1303" s="267" t="s">
        <v>24</v>
      </c>
      <c r="H1303" s="117" t="str">
        <f t="shared" si="219"/>
        <v>yes</v>
      </c>
      <c r="I1303" s="117" t="str">
        <f t="shared" si="221"/>
        <v>no</v>
      </c>
      <c r="J1303" s="117" t="str">
        <f t="shared" si="222"/>
        <v>no</v>
      </c>
      <c r="K1303" s="267" t="s">
        <v>1904</v>
      </c>
      <c r="L1303" s="117" t="str">
        <f t="shared" si="220"/>
        <v>detailed</v>
      </c>
      <c r="M1303" s="117" t="str">
        <f t="shared" si="223"/>
        <v>detailed Mining</v>
      </c>
      <c r="N1303" s="269">
        <f>2615*32.150743126506</f>
        <v>84074.193275813188</v>
      </c>
      <c r="O1303" s="269"/>
      <c r="P1303" s="269"/>
      <c r="Q1303" s="269"/>
      <c r="R1303" s="269"/>
      <c r="S1303" s="267" t="s">
        <v>785</v>
      </c>
      <c r="T1303" s="270">
        <v>604.33583333333002</v>
      </c>
      <c r="U1303" s="267" t="s">
        <v>786</v>
      </c>
      <c r="V1303" s="267" t="s">
        <v>1500</v>
      </c>
      <c r="W1303" s="275">
        <f>N1303*T1303</f>
        <v>50809047.655166015</v>
      </c>
      <c r="X1303" s="267"/>
      <c r="Y1303" s="267"/>
      <c r="Z1303" s="267"/>
      <c r="AA1303" s="275"/>
      <c r="AB1303" s="275"/>
      <c r="AC1303" s="609"/>
      <c r="AD1303" s="609"/>
      <c r="AE1303" s="609"/>
      <c r="AF1303" s="610"/>
      <c r="AG1303" s="267"/>
      <c r="AH1303" s="274"/>
      <c r="AI1303" s="267"/>
      <c r="AJ1303" s="267"/>
      <c r="AK1303" s="275"/>
      <c r="AL1303" s="267"/>
      <c r="AM1303" s="267"/>
      <c r="AN1303" s="267"/>
      <c r="AO1303" s="267"/>
      <c r="AP1303" s="267"/>
      <c r="AQ1303" s="267"/>
      <c r="AR1303" s="277"/>
      <c r="AS1303" s="267"/>
      <c r="AT1303" s="267"/>
      <c r="AU1303" s="267"/>
      <c r="AV1303" s="278"/>
      <c r="AW1303" s="117">
        <f>VLOOKUP($D1303,'WB Data'!$C$3:$M$578,2,FALSE)</f>
        <v>3646727993.0369811</v>
      </c>
      <c r="AX1303" s="117">
        <f>VLOOKUP($D1303,'WB Data'!$C$3:$M$578,3,FALSE)</f>
        <v>13679705</v>
      </c>
      <c r="AY1303" s="847">
        <f t="shared" si="226"/>
        <v>6.8729649557148411E-3</v>
      </c>
      <c r="AZ1303" s="117">
        <f>VLOOKUP($D1303,'WB Data'!$C$3:$M$578,4,FALSE)/100</f>
        <v>0.12969583443271007</v>
      </c>
      <c r="BA1303" s="117">
        <f t="shared" si="227"/>
        <v>472965430.00605339</v>
      </c>
      <c r="BB1303" s="129">
        <f>IFERROR(VLOOKUP($D1303,'EITI Revenues'!$C$2:$G$224,5,FALSE),"..")</f>
        <v>25063833.699167486</v>
      </c>
      <c r="BC1303" s="846">
        <f t="shared" si="228"/>
        <v>5.2992950666281673E-2</v>
      </c>
      <c r="BD1303" s="129">
        <f>VLOOKUP($D1303,'WB Data 2'!$C$2:$K$545,6,FALSE)</f>
        <v>192598519.39256313</v>
      </c>
      <c r="BE1303" s="129">
        <f>IFERROR(VLOOKUP($D1303,UNCTAD!$C$5:$V$529,4,FALSE),"..")</f>
        <v>598517000</v>
      </c>
      <c r="BF1303" s="846">
        <f t="shared" si="229"/>
        <v>0.32179289709826642</v>
      </c>
      <c r="BG1303" s="117">
        <f>VLOOKUP($D1303,'WB Data'!$C$3:$M$578,5,FALSE)</f>
        <v>544410000</v>
      </c>
      <c r="BH1303" s="129">
        <f>IFERROR($BB1303/$BG1303,"..")</f>
        <v>4.6038525558251109E-2</v>
      </c>
      <c r="BI1303" s="117">
        <f>IFERROR(VLOOKUP($D1303,'WB Data'!$C$3:$M$578,7,FALSE)/100,"..")</f>
        <v>3.3340599999999998E-2</v>
      </c>
      <c r="BJ1303" s="117">
        <f>IFERROR($BI1303*$AW1303,"..")</f>
        <v>121584099.32464877</v>
      </c>
      <c r="BK1303" s="846">
        <f>IFERROR($BB1303/$BJ1303,"..")</f>
        <v>0.20614400927742277</v>
      </c>
      <c r="BL1303" s="117">
        <f>IFERROR(VLOOKUP($D1303,'WB Data'!$C$3:$M$578,7,FALSE)/100,"..")</f>
        <v>3.3340599999999998E-2</v>
      </c>
      <c r="BM1303" s="117">
        <f>IFERROR($AW1303*$BL1303,"..")</f>
        <v>121584099.32464877</v>
      </c>
      <c r="BN1303" s="846">
        <f>IFERROR($BB1303/$BM1303,"..")</f>
        <v>0.20614400927742277</v>
      </c>
      <c r="BO1303" s="801">
        <f t="shared" si="225"/>
        <v>35</v>
      </c>
      <c r="BP1303" s="117" t="str">
        <f>VLOOKUP($D1303,'WB Data'!$C$3:$M$578,9,FALSE)</f>
        <v>..</v>
      </c>
      <c r="BQ1303" s="117">
        <f>VLOOKUP($D1303,'WB Data'!$C$3:$M$578,10,FALSE)</f>
        <v>54.75141463414635</v>
      </c>
      <c r="BR1303" s="117">
        <f>VLOOKUP($D1303,'WB Data'!$C$3:$M$578,11,FALSE)</f>
        <v>78.7</v>
      </c>
      <c r="BS1303" s="129">
        <f>IFERROR(VLOOKUP($D1303,'WB Data 2'!$C$2:$K$545,9,FALSE),"..")</f>
        <v>44.070430000000002</v>
      </c>
      <c r="BT1303" s="129" t="str">
        <f>_xlfn.IFNA(VLOOKUP($C1303,RGI!$A$2:$C$43,2,FALSE),"..")</f>
        <v>..</v>
      </c>
      <c r="BU1303" s="129" t="str">
        <f>_xlfn.IFNA(VLOOKUP($C1303,RGI!$A$2:$C$43,3,FALSE),"..")</f>
        <v>..</v>
      </c>
      <c r="BV1303" s="129">
        <f>VLOOKUP($D1303,WGI!$C$2:$O$478,7,FALSE)</f>
        <v>-0.38839845249419203</v>
      </c>
      <c r="BW1303" s="129">
        <f>VLOOKUP($D1303,WGI!$C$2:$O$478,4,FALSE)</f>
        <v>-0.233169147210184</v>
      </c>
      <c r="BX1303" s="129">
        <f>VLOOKUP($D1303,WGI!$C$2:$O$478,3,FALSE)</f>
        <v>-0.79821619778679698</v>
      </c>
      <c r="BY1303" s="129">
        <f>VLOOKUP($D1303,WGI!$C$2:$O$478,5,FALSE)</f>
        <v>-0.498181393717259</v>
      </c>
      <c r="BZ1303" s="129">
        <f>VLOOKUP($D1303,WGI!$C$2:$O$478,2,FALSE)</f>
        <v>-0.854506371170488</v>
      </c>
      <c r="CB1303" s="129"/>
    </row>
    <row r="1304" spans="1:80" s="120" customFormat="1" ht="15" customHeight="1">
      <c r="A1304" s="315" t="s">
        <v>397</v>
      </c>
      <c r="B1304" s="368">
        <v>2006</v>
      </c>
      <c r="C1304" s="817" t="s">
        <v>394</v>
      </c>
      <c r="D1304" s="117" t="s">
        <v>3539</v>
      </c>
      <c r="E1304" s="581" t="s">
        <v>86</v>
      </c>
      <c r="F1304" s="267"/>
      <c r="G1304" s="267" t="s">
        <v>24</v>
      </c>
      <c r="H1304" s="117" t="str">
        <f t="shared" si="219"/>
        <v>yes</v>
      </c>
      <c r="I1304" s="117" t="str">
        <f t="shared" si="221"/>
        <v>no</v>
      </c>
      <c r="J1304" s="117" t="str">
        <f t="shared" si="222"/>
        <v>no</v>
      </c>
      <c r="K1304" s="267" t="s">
        <v>1147</v>
      </c>
      <c r="L1304" s="117" t="str">
        <f t="shared" si="220"/>
        <v>detailed</v>
      </c>
      <c r="M1304" s="117" t="str">
        <f t="shared" si="223"/>
        <v>detailed Mining</v>
      </c>
      <c r="N1304" s="269">
        <v>1300</v>
      </c>
      <c r="O1304" s="269"/>
      <c r="P1304" s="269"/>
      <c r="Q1304" s="269"/>
      <c r="R1304" s="269"/>
      <c r="S1304" s="267" t="s">
        <v>610</v>
      </c>
      <c r="T1304" s="270">
        <v>60.73</v>
      </c>
      <c r="U1304" s="267" t="s">
        <v>611</v>
      </c>
      <c r="V1304" s="267" t="s">
        <v>1921</v>
      </c>
      <c r="W1304" s="275">
        <f>N1304*T1304</f>
        <v>78949</v>
      </c>
      <c r="X1304" s="267"/>
      <c r="Y1304" s="267"/>
      <c r="Z1304" s="267"/>
      <c r="AA1304" s="275"/>
      <c r="AB1304" s="275"/>
      <c r="AC1304" s="609"/>
      <c r="AD1304" s="609"/>
      <c r="AE1304" s="609"/>
      <c r="AF1304" s="610"/>
      <c r="AG1304" s="267"/>
      <c r="AH1304" s="274"/>
      <c r="AI1304" s="267"/>
      <c r="AJ1304" s="267"/>
      <c r="AK1304" s="275"/>
      <c r="AL1304" s="267"/>
      <c r="AM1304" s="267"/>
      <c r="AN1304" s="267"/>
      <c r="AO1304" s="267"/>
      <c r="AP1304" s="267"/>
      <c r="AQ1304" s="267"/>
      <c r="AR1304" s="277"/>
      <c r="AS1304" s="267"/>
      <c r="AT1304" s="267"/>
      <c r="AU1304" s="267"/>
      <c r="AV1304" s="278"/>
      <c r="AW1304" s="117">
        <f>VLOOKUP($D1304,'WB Data'!$C$3:$M$578,2,FALSE)</f>
        <v>3646727993.0369811</v>
      </c>
      <c r="AX1304" s="117">
        <f>VLOOKUP($D1304,'WB Data'!$C$3:$M$578,3,FALSE)</f>
        <v>13679705</v>
      </c>
      <c r="AY1304" s="847">
        <f t="shared" si="226"/>
        <v>6.8729649557148411E-3</v>
      </c>
      <c r="AZ1304" s="117">
        <f>VLOOKUP($D1304,'WB Data'!$C$3:$M$578,4,FALSE)/100</f>
        <v>0.12969583443271007</v>
      </c>
      <c r="BA1304" s="117">
        <f t="shared" si="227"/>
        <v>472965430.00605339</v>
      </c>
      <c r="BB1304" s="129">
        <f>IFERROR(VLOOKUP($D1304,'EITI Revenues'!$C$2:$G$224,5,FALSE),"..")</f>
        <v>25063833.699167486</v>
      </c>
      <c r="BC1304" s="846">
        <f t="shared" si="228"/>
        <v>5.2992950666281673E-2</v>
      </c>
      <c r="BD1304" s="129">
        <f>VLOOKUP($D1304,'WB Data 2'!$C$2:$K$545,6,FALSE)</f>
        <v>192598519.39256313</v>
      </c>
      <c r="BE1304" s="129">
        <f>IFERROR(VLOOKUP($D1304,UNCTAD!$C$5:$V$529,4,FALSE),"..")</f>
        <v>598517000</v>
      </c>
      <c r="BF1304" s="846">
        <f t="shared" si="229"/>
        <v>0.32179289709826642</v>
      </c>
      <c r="BG1304" s="117">
        <f>VLOOKUP($D1304,'WB Data'!$C$3:$M$578,5,FALSE)</f>
        <v>544410000</v>
      </c>
      <c r="BH1304" s="129">
        <f>IFERROR($BB1304/$BG1304,"..")</f>
        <v>4.6038525558251109E-2</v>
      </c>
      <c r="BI1304" s="117">
        <f>IFERROR(VLOOKUP($D1304,'WB Data'!$C$3:$M$578,7,FALSE)/100,"..")</f>
        <v>3.3340599999999998E-2</v>
      </c>
      <c r="BJ1304" s="117">
        <f>IFERROR($BI1304*$AW1304,"..")</f>
        <v>121584099.32464877</v>
      </c>
      <c r="BK1304" s="846">
        <f>IFERROR($BB1304/$BJ1304,"..")</f>
        <v>0.20614400927742277</v>
      </c>
      <c r="BL1304" s="117">
        <f>IFERROR(VLOOKUP($D1304,'WB Data'!$C$3:$M$578,7,FALSE)/100,"..")</f>
        <v>3.3340599999999998E-2</v>
      </c>
      <c r="BM1304" s="117">
        <f>IFERROR($AW1304*$BL1304,"..")</f>
        <v>121584099.32464877</v>
      </c>
      <c r="BN1304" s="846">
        <f>IFERROR($BB1304/$BM1304,"..")</f>
        <v>0.20614400927742277</v>
      </c>
      <c r="BO1304" s="801">
        <f t="shared" si="225"/>
        <v>35</v>
      </c>
      <c r="BP1304" s="117" t="str">
        <f>VLOOKUP($D1304,'WB Data'!$C$3:$M$578,9,FALSE)</f>
        <v>..</v>
      </c>
      <c r="BQ1304" s="117">
        <f>VLOOKUP($D1304,'WB Data'!$C$3:$M$578,10,FALSE)</f>
        <v>54.75141463414635</v>
      </c>
      <c r="BR1304" s="117">
        <f>VLOOKUP($D1304,'WB Data'!$C$3:$M$578,11,FALSE)</f>
        <v>78.7</v>
      </c>
      <c r="BS1304" s="129">
        <f>IFERROR(VLOOKUP($D1304,'WB Data 2'!$C$2:$K$545,9,FALSE),"..")</f>
        <v>44.070430000000002</v>
      </c>
      <c r="BT1304" s="129" t="str">
        <f>_xlfn.IFNA(VLOOKUP($C1304,RGI!$A$2:$C$43,2,FALSE),"..")</f>
        <v>..</v>
      </c>
      <c r="BU1304" s="129" t="str">
        <f>_xlfn.IFNA(VLOOKUP($C1304,RGI!$A$2:$C$43,3,FALSE),"..")</f>
        <v>..</v>
      </c>
      <c r="BV1304" s="129">
        <f>VLOOKUP($D1304,WGI!$C$2:$O$478,7,FALSE)</f>
        <v>-0.38839845249419203</v>
      </c>
      <c r="BW1304" s="129">
        <f>VLOOKUP($D1304,WGI!$C$2:$O$478,4,FALSE)</f>
        <v>-0.233169147210184</v>
      </c>
      <c r="BX1304" s="129">
        <f>VLOOKUP($D1304,WGI!$C$2:$O$478,3,FALSE)</f>
        <v>-0.79821619778679698</v>
      </c>
      <c r="BY1304" s="129">
        <f>VLOOKUP($D1304,WGI!$C$2:$O$478,5,FALSE)</f>
        <v>-0.498181393717259</v>
      </c>
      <c r="BZ1304" s="129">
        <f>VLOOKUP($D1304,WGI!$C$2:$O$478,2,FALSE)</f>
        <v>-0.854506371170488</v>
      </c>
      <c r="CB1304" s="129"/>
    </row>
    <row r="1305" spans="1:80" s="158" customFormat="1" ht="15" customHeight="1">
      <c r="A1305" s="331" t="s">
        <v>397</v>
      </c>
      <c r="B1305" s="370">
        <v>2006</v>
      </c>
      <c r="C1305" s="818" t="s">
        <v>394</v>
      </c>
      <c r="D1305" s="117" t="s">
        <v>3539</v>
      </c>
      <c r="E1305" s="583" t="s">
        <v>86</v>
      </c>
      <c r="F1305" s="253"/>
      <c r="G1305" s="267" t="s">
        <v>24</v>
      </c>
      <c r="H1305" s="117" t="str">
        <f t="shared" ref="H1305:H1368" si="231">IF($G1305="Mining","yes",IF($G1305="Oil, Gas, Mining","yes",IF($G1305="Gas, Mining","yes",IF($G1305="Oil, Mining","yes",IF($G1305="Oil, Mining, Other","yes","no")))))</f>
        <v>yes</v>
      </c>
      <c r="I1305" s="117" t="str">
        <f t="shared" si="221"/>
        <v>no</v>
      </c>
      <c r="J1305" s="117" t="str">
        <f t="shared" si="222"/>
        <v>no</v>
      </c>
      <c r="K1305" s="253" t="s">
        <v>1466</v>
      </c>
      <c r="L1305" s="117" t="str">
        <f t="shared" ref="L1305:L1368" si="232">IF(LEFT(K1305,5)="Total","Total","detailed")</f>
        <v>detailed</v>
      </c>
      <c r="M1305" s="117" t="str">
        <f t="shared" si="223"/>
        <v>detailed Mining</v>
      </c>
      <c r="N1305" s="255">
        <v>3434</v>
      </c>
      <c r="O1305" s="255"/>
      <c r="P1305" s="255"/>
      <c r="Q1305" s="255"/>
      <c r="R1305" s="255"/>
      <c r="S1305" s="253" t="s">
        <v>610</v>
      </c>
      <c r="T1305" s="256"/>
      <c r="U1305" s="253"/>
      <c r="V1305" s="253" t="s">
        <v>1266</v>
      </c>
      <c r="W1305" s="257"/>
      <c r="X1305" s="253"/>
      <c r="Y1305" s="253"/>
      <c r="Z1305" s="253"/>
      <c r="AA1305" s="257"/>
      <c r="AB1305" s="257"/>
      <c r="AC1305" s="614"/>
      <c r="AD1305" s="614"/>
      <c r="AE1305" s="614"/>
      <c r="AF1305" s="615"/>
      <c r="AG1305" s="253"/>
      <c r="AH1305" s="261"/>
      <c r="AI1305" s="253"/>
      <c r="AJ1305" s="253"/>
      <c r="AK1305" s="257"/>
      <c r="AL1305" s="253"/>
      <c r="AM1305" s="253"/>
      <c r="AN1305" s="253"/>
      <c r="AO1305" s="253"/>
      <c r="AP1305" s="253"/>
      <c r="AQ1305" s="253"/>
      <c r="AR1305" s="263"/>
      <c r="AS1305" s="253"/>
      <c r="AT1305" s="253"/>
      <c r="AU1305" s="253"/>
      <c r="AV1305" s="265"/>
      <c r="AW1305" s="117">
        <f>VLOOKUP($D1305,'WB Data'!$C$3:$M$578,2,FALSE)</f>
        <v>3646727993.0369811</v>
      </c>
      <c r="AX1305" s="117">
        <f>VLOOKUP($D1305,'WB Data'!$C$3:$M$578,3,FALSE)</f>
        <v>13679705</v>
      </c>
      <c r="AY1305" s="847">
        <f t="shared" si="226"/>
        <v>6.8729649557148411E-3</v>
      </c>
      <c r="AZ1305" s="117">
        <f>VLOOKUP($D1305,'WB Data'!$C$3:$M$578,4,FALSE)/100</f>
        <v>0.12969583443271007</v>
      </c>
      <c r="BA1305" s="117">
        <f t="shared" si="227"/>
        <v>472965430.00605339</v>
      </c>
      <c r="BB1305" s="129">
        <f>IFERROR(VLOOKUP($D1305,'EITI Revenues'!$C$2:$G$224,5,FALSE),"..")</f>
        <v>25063833.699167486</v>
      </c>
      <c r="BC1305" s="846">
        <f t="shared" si="228"/>
        <v>5.2992950666281673E-2</v>
      </c>
      <c r="BD1305" s="129">
        <f>VLOOKUP($D1305,'WB Data 2'!$C$2:$K$545,6,FALSE)</f>
        <v>192598519.39256313</v>
      </c>
      <c r="BE1305" s="129">
        <f>IFERROR(VLOOKUP($D1305,UNCTAD!$C$5:$V$529,4,FALSE),"..")</f>
        <v>598517000</v>
      </c>
      <c r="BF1305" s="846">
        <f t="shared" si="229"/>
        <v>0.32179289709826642</v>
      </c>
      <c r="BG1305" s="117">
        <f>VLOOKUP($D1305,'WB Data'!$C$3:$M$578,5,FALSE)</f>
        <v>544410000</v>
      </c>
      <c r="BH1305" s="129">
        <f>IFERROR($BB1305/$BG1305,"..")</f>
        <v>4.6038525558251109E-2</v>
      </c>
      <c r="BI1305" s="117">
        <f>IFERROR(VLOOKUP($D1305,'WB Data'!$C$3:$M$578,7,FALSE)/100,"..")</f>
        <v>3.3340599999999998E-2</v>
      </c>
      <c r="BJ1305" s="117">
        <f>IFERROR($BI1305*$AW1305,"..")</f>
        <v>121584099.32464877</v>
      </c>
      <c r="BK1305" s="846">
        <f>IFERROR($BB1305/$BJ1305,"..")</f>
        <v>0.20614400927742277</v>
      </c>
      <c r="BL1305" s="117">
        <f>IFERROR(VLOOKUP($D1305,'WB Data'!$C$3:$M$578,7,FALSE)/100,"..")</f>
        <v>3.3340599999999998E-2</v>
      </c>
      <c r="BM1305" s="117">
        <f>IFERROR($AW1305*$BL1305,"..")</f>
        <v>121584099.32464877</v>
      </c>
      <c r="BN1305" s="846">
        <f>IFERROR($BB1305/$BM1305,"..")</f>
        <v>0.20614400927742277</v>
      </c>
      <c r="BO1305" s="801">
        <f t="shared" si="225"/>
        <v>35</v>
      </c>
      <c r="BP1305" s="117" t="str">
        <f>VLOOKUP($D1305,'WB Data'!$C$3:$M$578,9,FALSE)</f>
        <v>..</v>
      </c>
      <c r="BQ1305" s="117">
        <f>VLOOKUP($D1305,'WB Data'!$C$3:$M$578,10,FALSE)</f>
        <v>54.75141463414635</v>
      </c>
      <c r="BR1305" s="117">
        <f>VLOOKUP($D1305,'WB Data'!$C$3:$M$578,11,FALSE)</f>
        <v>78.7</v>
      </c>
      <c r="BS1305" s="129">
        <f>IFERROR(VLOOKUP($D1305,'WB Data 2'!$C$2:$K$545,9,FALSE),"..")</f>
        <v>44.070430000000002</v>
      </c>
      <c r="BT1305" s="129" t="str">
        <f>_xlfn.IFNA(VLOOKUP($C1305,RGI!$A$2:$C$43,2,FALSE),"..")</f>
        <v>..</v>
      </c>
      <c r="BU1305" s="129" t="str">
        <f>_xlfn.IFNA(VLOOKUP($C1305,RGI!$A$2:$C$43,3,FALSE),"..")</f>
        <v>..</v>
      </c>
      <c r="BV1305" s="129">
        <f>VLOOKUP($D1305,WGI!$C$2:$O$478,7,FALSE)</f>
        <v>-0.38839845249419203</v>
      </c>
      <c r="BW1305" s="129">
        <f>VLOOKUP($D1305,WGI!$C$2:$O$478,4,FALSE)</f>
        <v>-0.233169147210184</v>
      </c>
      <c r="BX1305" s="129">
        <f>VLOOKUP($D1305,WGI!$C$2:$O$478,3,FALSE)</f>
        <v>-0.79821619778679698</v>
      </c>
      <c r="BY1305" s="129">
        <f>VLOOKUP($D1305,WGI!$C$2:$O$478,5,FALSE)</f>
        <v>-0.498181393717259</v>
      </c>
      <c r="BZ1305" s="129">
        <f>VLOOKUP($D1305,WGI!$C$2:$O$478,2,FALSE)</f>
        <v>-0.854506371170488</v>
      </c>
      <c r="CB1305" s="129"/>
    </row>
    <row r="1306" spans="1:80" ht="15" customHeight="1">
      <c r="A1306" s="315" t="s">
        <v>399</v>
      </c>
      <c r="B1306" s="368">
        <v>2007</v>
      </c>
      <c r="C1306" s="817" t="s">
        <v>394</v>
      </c>
      <c r="D1306" s="117" t="s">
        <v>3573</v>
      </c>
      <c r="E1306" s="581" t="s">
        <v>86</v>
      </c>
      <c r="F1306" s="267" t="s">
        <v>1918</v>
      </c>
      <c r="G1306" s="319" t="s">
        <v>24</v>
      </c>
      <c r="H1306" s="117" t="str">
        <f t="shared" si="231"/>
        <v>yes</v>
      </c>
      <c r="I1306" s="117" t="str">
        <f t="shared" si="221"/>
        <v>no</v>
      </c>
      <c r="J1306" s="117" t="str">
        <f t="shared" si="222"/>
        <v>no</v>
      </c>
      <c r="K1306" s="267" t="s">
        <v>709</v>
      </c>
      <c r="L1306" s="117" t="str">
        <f t="shared" si="232"/>
        <v>Total</v>
      </c>
      <c r="M1306" s="117" t="str">
        <f t="shared" si="223"/>
        <v>Total Mining</v>
      </c>
      <c r="N1306" s="269"/>
      <c r="O1306" s="269"/>
      <c r="P1306" s="269"/>
      <c r="Q1306" s="269"/>
      <c r="R1306" s="269"/>
      <c r="S1306" s="267"/>
      <c r="T1306" s="270"/>
      <c r="U1306" s="267"/>
      <c r="V1306" s="267"/>
      <c r="W1306" s="275">
        <f>SUM(W1307:W1309)</f>
        <v>89666287.341742158</v>
      </c>
      <c r="X1306" s="267" t="s">
        <v>1111</v>
      </c>
      <c r="Y1306" s="267" t="s">
        <v>602</v>
      </c>
      <c r="Z1306" s="267"/>
      <c r="AA1306" s="597">
        <v>147175593.54643524</v>
      </c>
      <c r="AB1306" s="597">
        <v>147175593.54643524</v>
      </c>
      <c r="AC1306" s="609"/>
      <c r="AD1306" s="609"/>
      <c r="AE1306" s="609"/>
      <c r="AF1306" s="610">
        <f>AA1306/W1306</f>
        <v>1.6413704404366578</v>
      </c>
      <c r="AG1306" s="267"/>
      <c r="AH1306" s="274">
        <v>479.27</v>
      </c>
      <c r="AI1306" s="267" t="s">
        <v>722</v>
      </c>
      <c r="AJ1306" s="267"/>
      <c r="AK1306" s="275"/>
      <c r="AL1306" s="267"/>
      <c r="AM1306" s="267"/>
      <c r="AN1306" s="267"/>
      <c r="AO1306" s="267"/>
      <c r="AP1306" s="267">
        <v>68</v>
      </c>
      <c r="AQ1306" s="267" t="s">
        <v>400</v>
      </c>
      <c r="AR1306" s="277">
        <v>41922</v>
      </c>
      <c r="AS1306" s="267" t="s">
        <v>1922</v>
      </c>
      <c r="AT1306" s="267" t="s">
        <v>401</v>
      </c>
      <c r="AU1306" s="267"/>
      <c r="AV1306" s="278"/>
      <c r="AW1306" s="117">
        <f>VLOOKUP($D1306,'WB Data'!$C$3:$M$578,2,FALSE)</f>
        <v>4291363546.824791</v>
      </c>
      <c r="AX1306" s="117">
        <f>VLOOKUP($D1306,'WB Data'!$C$3:$M$578,3,FALSE)</f>
        <v>14197289</v>
      </c>
      <c r="AY1306" s="847">
        <f t="shared" si="226"/>
        <v>3.4295764490829835E-2</v>
      </c>
      <c r="AZ1306" s="117">
        <f>VLOOKUP($D1306,'WB Data'!$C$3:$M$578,4,FALSE)/100</f>
        <v>0.13493235671616971</v>
      </c>
      <c r="BA1306" s="117">
        <f t="shared" si="227"/>
        <v>579043796.89892995</v>
      </c>
      <c r="BB1306" s="129">
        <f>IFERROR(VLOOKUP($D1306,'EITI Revenues'!$C$2:$G$224,5,FALSE),"..")</f>
        <v>147175593.54643524</v>
      </c>
      <c r="BC1306" s="846">
        <f t="shared" si="228"/>
        <v>0.25417005472579862</v>
      </c>
      <c r="BD1306" s="129">
        <f>VLOOKUP($D1306,'WB Data 2'!$C$2:$K$545,6,FALSE)</f>
        <v>366166106.67375296</v>
      </c>
      <c r="BE1306" s="129">
        <f>IFERROR(VLOOKUP($D1306,UNCTAD!$C$5:$V$529,4,FALSE),"..")</f>
        <v>747919000</v>
      </c>
      <c r="BF1306" s="846">
        <f t="shared" si="229"/>
        <v>0.48957989658472773</v>
      </c>
      <c r="BG1306" s="117">
        <f>VLOOKUP($D1306,'WB Data'!$C$3:$M$578,5,FALSE)</f>
        <v>544300000</v>
      </c>
      <c r="BH1306" s="129">
        <f>IFERROR($BB1306/$BG1306,"..")</f>
        <v>0.27039425601035316</v>
      </c>
      <c r="BI1306" s="117">
        <f>IFERROR(VLOOKUP($D1306,'WB Data'!$C$3:$M$578,7,FALSE)/100,"..")</f>
        <v>4.0209700000000001E-2</v>
      </c>
      <c r="BJ1306" s="117">
        <f>IFERROR($BI1306*$AW1306,"..")</f>
        <v>172554440.80876079</v>
      </c>
      <c r="BK1306" s="846">
        <f>IFERROR($BB1306/$BJ1306,"..")</f>
        <v>0.85292266519844306</v>
      </c>
      <c r="BL1306" s="117">
        <f>IFERROR(VLOOKUP($D1306,'WB Data'!$C$3:$M$578,7,FALSE)/100,"..")</f>
        <v>4.0209700000000001E-2</v>
      </c>
      <c r="BM1306" s="117">
        <f>IFERROR($AW1306*$BL1306,"..")</f>
        <v>172554440.80876079</v>
      </c>
      <c r="BN1306" s="846">
        <f>IFERROR($BB1306/$BM1306,"..")</f>
        <v>0.85292266519844306</v>
      </c>
      <c r="BO1306" s="801">
        <f t="shared" si="225"/>
        <v>35</v>
      </c>
      <c r="BP1306" s="117">
        <f>VLOOKUP($D1306,'WB Data'!$C$3:$M$578,9,FALSE)</f>
        <v>59.5</v>
      </c>
      <c r="BQ1306" s="117">
        <f>VLOOKUP($D1306,'WB Data'!$C$3:$M$578,10,FALSE)</f>
        <v>55.353146341463422</v>
      </c>
      <c r="BR1306" s="117">
        <f>VLOOKUP($D1306,'WB Data'!$C$3:$M$578,11,FALSE)</f>
        <v>75.2</v>
      </c>
      <c r="BS1306" s="129">
        <f>IFERROR(VLOOKUP($D1306,'WB Data 2'!$C$2:$K$545,9,FALSE),"..")</f>
        <v>45.302909999999997</v>
      </c>
      <c r="BT1306" s="129" t="str">
        <f>_xlfn.IFNA(VLOOKUP($C1306,RGI!$A$2:$C$43,2,FALSE),"..")</f>
        <v>..</v>
      </c>
      <c r="BU1306" s="129" t="str">
        <f>_xlfn.IFNA(VLOOKUP($C1306,RGI!$A$2:$C$43,3,FALSE),"..")</f>
        <v>..</v>
      </c>
      <c r="BV1306" s="129">
        <f>VLOOKUP($D1306,WGI!$C$2:$O$478,7,FALSE)</f>
        <v>-0.42877526295087998</v>
      </c>
      <c r="BW1306" s="129">
        <f>VLOOKUP($D1306,WGI!$C$2:$O$478,4,FALSE)</f>
        <v>-0.45958424405975401</v>
      </c>
      <c r="BX1306" s="129">
        <f>VLOOKUP($D1306,WGI!$C$2:$O$478,3,FALSE)</f>
        <v>-0.78642460572514605</v>
      </c>
      <c r="BY1306" s="129">
        <f>VLOOKUP($D1306,WGI!$C$2:$O$478,5,FALSE)</f>
        <v>-0.50030816063510797</v>
      </c>
      <c r="BZ1306" s="129">
        <f>VLOOKUP($D1306,WGI!$C$2:$O$478,2,FALSE)</f>
        <v>-0.77649622509326099</v>
      </c>
    </row>
    <row r="1307" spans="1:80" ht="15" customHeight="1">
      <c r="A1307" s="315" t="s">
        <v>399</v>
      </c>
      <c r="B1307" s="368">
        <v>2007</v>
      </c>
      <c r="C1307" s="817" t="s">
        <v>394</v>
      </c>
      <c r="D1307" s="117" t="s">
        <v>3573</v>
      </c>
      <c r="E1307" s="581" t="s">
        <v>86</v>
      </c>
      <c r="F1307" s="267"/>
      <c r="G1307" s="267" t="s">
        <v>24</v>
      </c>
      <c r="H1307" s="117" t="str">
        <f t="shared" si="231"/>
        <v>yes</v>
      </c>
      <c r="I1307" s="117" t="str">
        <f t="shared" si="221"/>
        <v>no</v>
      </c>
      <c r="J1307" s="117" t="str">
        <f t="shared" si="222"/>
        <v>no</v>
      </c>
      <c r="K1307" s="267" t="s">
        <v>616</v>
      </c>
      <c r="L1307" s="117" t="str">
        <f t="shared" si="232"/>
        <v>detailed</v>
      </c>
      <c r="M1307" s="117" t="str">
        <f t="shared" si="223"/>
        <v>detailed Mining</v>
      </c>
      <c r="N1307" s="269">
        <v>171296</v>
      </c>
      <c r="O1307" s="269"/>
      <c r="P1307" s="269"/>
      <c r="Q1307" s="269"/>
      <c r="R1307" s="269"/>
      <c r="S1307" s="267" t="s">
        <v>610</v>
      </c>
      <c r="T1307" s="270">
        <v>74.838160071314121</v>
      </c>
      <c r="U1307" s="267" t="s">
        <v>611</v>
      </c>
      <c r="V1307" s="267" t="s">
        <v>1923</v>
      </c>
      <c r="W1307" s="275">
        <f>N1307*T1307</f>
        <v>12819477.467575824</v>
      </c>
      <c r="X1307" s="267"/>
      <c r="Y1307" s="267"/>
      <c r="Z1307" s="267"/>
      <c r="AA1307" s="275"/>
      <c r="AB1307" s="275"/>
      <c r="AC1307" s="609"/>
      <c r="AD1307" s="609"/>
      <c r="AE1307" s="609"/>
      <c r="AF1307" s="610"/>
      <c r="AG1307" s="267"/>
      <c r="AH1307" s="274"/>
      <c r="AI1307" s="267"/>
      <c r="AJ1307" s="267"/>
      <c r="AK1307" s="275"/>
      <c r="AL1307" s="267"/>
      <c r="AM1307" s="267"/>
      <c r="AN1307" s="267"/>
      <c r="AO1307" s="267"/>
      <c r="AP1307" s="267"/>
      <c r="AQ1307" s="267"/>
      <c r="AR1307" s="277"/>
      <c r="AS1307" s="267"/>
      <c r="AT1307" s="267"/>
      <c r="AU1307" s="267"/>
      <c r="AV1307" s="278"/>
      <c r="AW1307" s="117">
        <f>VLOOKUP($D1307,'WB Data'!$C$3:$M$578,2,FALSE)</f>
        <v>4291363546.824791</v>
      </c>
      <c r="AX1307" s="117">
        <f>VLOOKUP($D1307,'WB Data'!$C$3:$M$578,3,FALSE)</f>
        <v>14197289</v>
      </c>
      <c r="AY1307" s="847">
        <f t="shared" si="226"/>
        <v>3.4295764490829835E-2</v>
      </c>
      <c r="AZ1307" s="117">
        <f>VLOOKUP($D1307,'WB Data'!$C$3:$M$578,4,FALSE)/100</f>
        <v>0.13493235671616971</v>
      </c>
      <c r="BA1307" s="117">
        <f t="shared" si="227"/>
        <v>579043796.89892995</v>
      </c>
      <c r="BB1307" s="129">
        <f>IFERROR(VLOOKUP($D1307,'EITI Revenues'!$C$2:$G$224,5,FALSE),"..")</f>
        <v>147175593.54643524</v>
      </c>
      <c r="BC1307" s="846">
        <f t="shared" si="228"/>
        <v>0.25417005472579862</v>
      </c>
      <c r="BD1307" s="129">
        <f>VLOOKUP($D1307,'WB Data 2'!$C$2:$K$545,6,FALSE)</f>
        <v>366166106.67375296</v>
      </c>
      <c r="BE1307" s="129">
        <f>IFERROR(VLOOKUP($D1307,UNCTAD!$C$5:$V$529,4,FALSE),"..")</f>
        <v>747919000</v>
      </c>
      <c r="BF1307" s="846">
        <f t="shared" si="229"/>
        <v>0.48957989658472773</v>
      </c>
      <c r="BG1307" s="117">
        <f>VLOOKUP($D1307,'WB Data'!$C$3:$M$578,5,FALSE)</f>
        <v>544300000</v>
      </c>
      <c r="BH1307" s="129">
        <f>IFERROR($BB1307/$BG1307,"..")</f>
        <v>0.27039425601035316</v>
      </c>
      <c r="BI1307" s="117">
        <f>IFERROR(VLOOKUP($D1307,'WB Data'!$C$3:$M$578,7,FALSE)/100,"..")</f>
        <v>4.0209700000000001E-2</v>
      </c>
      <c r="BJ1307" s="117">
        <f>IFERROR($BI1307*$AW1307,"..")</f>
        <v>172554440.80876079</v>
      </c>
      <c r="BK1307" s="846">
        <f>IFERROR($BB1307/$BJ1307,"..")</f>
        <v>0.85292266519844306</v>
      </c>
      <c r="BL1307" s="117">
        <f>IFERROR(VLOOKUP($D1307,'WB Data'!$C$3:$M$578,7,FALSE)/100,"..")</f>
        <v>4.0209700000000001E-2</v>
      </c>
      <c r="BM1307" s="117">
        <f>IFERROR($AW1307*$BL1307,"..")</f>
        <v>172554440.80876079</v>
      </c>
      <c r="BN1307" s="846">
        <f>IFERROR($BB1307/$BM1307,"..")</f>
        <v>0.85292266519844306</v>
      </c>
      <c r="BO1307" s="801">
        <f t="shared" si="225"/>
        <v>35</v>
      </c>
      <c r="BP1307" s="117">
        <f>VLOOKUP($D1307,'WB Data'!$C$3:$M$578,9,FALSE)</f>
        <v>59.5</v>
      </c>
      <c r="BQ1307" s="117">
        <f>VLOOKUP($D1307,'WB Data'!$C$3:$M$578,10,FALSE)</f>
        <v>55.353146341463422</v>
      </c>
      <c r="BR1307" s="117">
        <f>VLOOKUP($D1307,'WB Data'!$C$3:$M$578,11,FALSE)</f>
        <v>75.2</v>
      </c>
      <c r="BS1307" s="129">
        <f>IFERROR(VLOOKUP($D1307,'WB Data 2'!$C$2:$K$545,9,FALSE),"..")</f>
        <v>45.302909999999997</v>
      </c>
      <c r="BT1307" s="129" t="str">
        <f>_xlfn.IFNA(VLOOKUP($C1307,RGI!$A$2:$C$43,2,FALSE),"..")</f>
        <v>..</v>
      </c>
      <c r="BU1307" s="129" t="str">
        <f>_xlfn.IFNA(VLOOKUP($C1307,RGI!$A$2:$C$43,3,FALSE),"..")</f>
        <v>..</v>
      </c>
      <c r="BV1307" s="129">
        <f>VLOOKUP($D1307,WGI!$C$2:$O$478,7,FALSE)</f>
        <v>-0.42877526295087998</v>
      </c>
      <c r="BW1307" s="129">
        <f>VLOOKUP($D1307,WGI!$C$2:$O$478,4,FALSE)</f>
        <v>-0.45958424405975401</v>
      </c>
      <c r="BX1307" s="129">
        <f>VLOOKUP($D1307,WGI!$C$2:$O$478,3,FALSE)</f>
        <v>-0.78642460572514605</v>
      </c>
      <c r="BY1307" s="129">
        <f>VLOOKUP($D1307,WGI!$C$2:$O$478,5,FALSE)</f>
        <v>-0.50030816063510797</v>
      </c>
      <c r="BZ1307" s="129">
        <f>VLOOKUP($D1307,WGI!$C$2:$O$478,2,FALSE)</f>
        <v>-0.77649622509326099</v>
      </c>
    </row>
    <row r="1308" spans="1:80" ht="15" customHeight="1">
      <c r="A1308" s="315" t="s">
        <v>399</v>
      </c>
      <c r="B1308" s="368">
        <v>2007</v>
      </c>
      <c r="C1308" s="817" t="s">
        <v>394</v>
      </c>
      <c r="D1308" s="117" t="s">
        <v>3573</v>
      </c>
      <c r="E1308" s="581" t="s">
        <v>86</v>
      </c>
      <c r="F1308" s="267"/>
      <c r="G1308" s="267" t="s">
        <v>24</v>
      </c>
      <c r="H1308" s="117" t="str">
        <f t="shared" si="231"/>
        <v>yes</v>
      </c>
      <c r="I1308" s="117" t="str">
        <f t="shared" si="221"/>
        <v>no</v>
      </c>
      <c r="J1308" s="117" t="str">
        <f t="shared" si="222"/>
        <v>no</v>
      </c>
      <c r="K1308" s="267" t="s">
        <v>1904</v>
      </c>
      <c r="L1308" s="117" t="str">
        <f t="shared" si="232"/>
        <v>detailed</v>
      </c>
      <c r="M1308" s="117" t="str">
        <f t="shared" si="223"/>
        <v>detailed Mining</v>
      </c>
      <c r="N1308" s="269">
        <f>3427*32.150743126506</f>
        <v>110180.59669453607</v>
      </c>
      <c r="O1308" s="269"/>
      <c r="P1308" s="269"/>
      <c r="Q1308" s="269"/>
      <c r="R1308" s="269"/>
      <c r="S1308" s="267" t="s">
        <v>785</v>
      </c>
      <c r="T1308" s="270">
        <v>696.72024999999996</v>
      </c>
      <c r="U1308" s="267" t="s">
        <v>786</v>
      </c>
      <c r="V1308" s="267" t="s">
        <v>841</v>
      </c>
      <c r="W1308" s="275">
        <f>N1308*T1308</f>
        <v>76765052.87416634</v>
      </c>
      <c r="X1308" s="267"/>
      <c r="Y1308" s="267"/>
      <c r="Z1308" s="267"/>
      <c r="AA1308" s="275"/>
      <c r="AB1308" s="275"/>
      <c r="AC1308" s="609"/>
      <c r="AD1308" s="609"/>
      <c r="AE1308" s="609"/>
      <c r="AF1308" s="610"/>
      <c r="AG1308" s="267"/>
      <c r="AH1308" s="274"/>
      <c r="AI1308" s="267"/>
      <c r="AJ1308" s="267"/>
      <c r="AK1308" s="275"/>
      <c r="AL1308" s="267"/>
      <c r="AM1308" s="267"/>
      <c r="AN1308" s="267"/>
      <c r="AO1308" s="267"/>
      <c r="AP1308" s="267"/>
      <c r="AQ1308" s="267"/>
      <c r="AR1308" s="277"/>
      <c r="AS1308" s="267"/>
      <c r="AT1308" s="267"/>
      <c r="AU1308" s="267"/>
      <c r="AV1308" s="278"/>
      <c r="AW1308" s="117">
        <f>VLOOKUP($D1308,'WB Data'!$C$3:$M$578,2,FALSE)</f>
        <v>4291363546.824791</v>
      </c>
      <c r="AX1308" s="117">
        <f>VLOOKUP($D1308,'WB Data'!$C$3:$M$578,3,FALSE)</f>
        <v>14197289</v>
      </c>
      <c r="AY1308" s="847">
        <f t="shared" si="226"/>
        <v>3.4295764490829835E-2</v>
      </c>
      <c r="AZ1308" s="117">
        <f>VLOOKUP($D1308,'WB Data'!$C$3:$M$578,4,FALSE)/100</f>
        <v>0.13493235671616971</v>
      </c>
      <c r="BA1308" s="117">
        <f t="shared" si="227"/>
        <v>579043796.89892995</v>
      </c>
      <c r="BB1308" s="129">
        <f>IFERROR(VLOOKUP($D1308,'EITI Revenues'!$C$2:$G$224,5,FALSE),"..")</f>
        <v>147175593.54643524</v>
      </c>
      <c r="BC1308" s="846">
        <f t="shared" si="228"/>
        <v>0.25417005472579862</v>
      </c>
      <c r="BD1308" s="129">
        <f>VLOOKUP($D1308,'WB Data 2'!$C$2:$K$545,6,FALSE)</f>
        <v>366166106.67375296</v>
      </c>
      <c r="BE1308" s="129">
        <f>IFERROR(VLOOKUP($D1308,UNCTAD!$C$5:$V$529,4,FALSE),"..")</f>
        <v>747919000</v>
      </c>
      <c r="BF1308" s="846">
        <f t="shared" si="229"/>
        <v>0.48957989658472773</v>
      </c>
      <c r="BG1308" s="117">
        <f>VLOOKUP($D1308,'WB Data'!$C$3:$M$578,5,FALSE)</f>
        <v>544300000</v>
      </c>
      <c r="BH1308" s="129">
        <f>IFERROR($BB1308/$BG1308,"..")</f>
        <v>0.27039425601035316</v>
      </c>
      <c r="BI1308" s="117">
        <f>IFERROR(VLOOKUP($D1308,'WB Data'!$C$3:$M$578,7,FALSE)/100,"..")</f>
        <v>4.0209700000000001E-2</v>
      </c>
      <c r="BJ1308" s="117">
        <f>IFERROR($BI1308*$AW1308,"..")</f>
        <v>172554440.80876079</v>
      </c>
      <c r="BK1308" s="846">
        <f>IFERROR($BB1308/$BJ1308,"..")</f>
        <v>0.85292266519844306</v>
      </c>
      <c r="BL1308" s="117">
        <f>IFERROR(VLOOKUP($D1308,'WB Data'!$C$3:$M$578,7,FALSE)/100,"..")</f>
        <v>4.0209700000000001E-2</v>
      </c>
      <c r="BM1308" s="117">
        <f>IFERROR($AW1308*$BL1308,"..")</f>
        <v>172554440.80876079</v>
      </c>
      <c r="BN1308" s="846">
        <f>IFERROR($BB1308/$BM1308,"..")</f>
        <v>0.85292266519844306</v>
      </c>
      <c r="BO1308" s="801">
        <f t="shared" si="225"/>
        <v>35</v>
      </c>
      <c r="BP1308" s="117">
        <f>VLOOKUP($D1308,'WB Data'!$C$3:$M$578,9,FALSE)</f>
        <v>59.5</v>
      </c>
      <c r="BQ1308" s="117">
        <f>VLOOKUP($D1308,'WB Data'!$C$3:$M$578,10,FALSE)</f>
        <v>55.353146341463422</v>
      </c>
      <c r="BR1308" s="117">
        <f>VLOOKUP($D1308,'WB Data'!$C$3:$M$578,11,FALSE)</f>
        <v>75.2</v>
      </c>
      <c r="BS1308" s="129">
        <f>IFERROR(VLOOKUP($D1308,'WB Data 2'!$C$2:$K$545,9,FALSE),"..")</f>
        <v>45.302909999999997</v>
      </c>
      <c r="BT1308" s="129" t="str">
        <f>_xlfn.IFNA(VLOOKUP($C1308,RGI!$A$2:$C$43,2,FALSE),"..")</f>
        <v>..</v>
      </c>
      <c r="BU1308" s="129" t="str">
        <f>_xlfn.IFNA(VLOOKUP($C1308,RGI!$A$2:$C$43,3,FALSE),"..")</f>
        <v>..</v>
      </c>
      <c r="BV1308" s="129">
        <f>VLOOKUP($D1308,WGI!$C$2:$O$478,7,FALSE)</f>
        <v>-0.42877526295087998</v>
      </c>
      <c r="BW1308" s="129">
        <f>VLOOKUP($D1308,WGI!$C$2:$O$478,4,FALSE)</f>
        <v>-0.45958424405975401</v>
      </c>
      <c r="BX1308" s="129">
        <f>VLOOKUP($D1308,WGI!$C$2:$O$478,3,FALSE)</f>
        <v>-0.78642460572514605</v>
      </c>
      <c r="BY1308" s="129">
        <f>VLOOKUP($D1308,WGI!$C$2:$O$478,5,FALSE)</f>
        <v>-0.50030816063510797</v>
      </c>
      <c r="BZ1308" s="129">
        <f>VLOOKUP($D1308,WGI!$C$2:$O$478,2,FALSE)</f>
        <v>-0.77649622509326099</v>
      </c>
    </row>
    <row r="1309" spans="1:80" ht="15" customHeight="1">
      <c r="A1309" s="315" t="s">
        <v>399</v>
      </c>
      <c r="B1309" s="368">
        <v>2007</v>
      </c>
      <c r="C1309" s="817" t="s">
        <v>394</v>
      </c>
      <c r="D1309" s="117" t="s">
        <v>3573</v>
      </c>
      <c r="E1309" s="581" t="s">
        <v>86</v>
      </c>
      <c r="F1309" s="267"/>
      <c r="G1309" s="267" t="s">
        <v>24</v>
      </c>
      <c r="H1309" s="117" t="str">
        <f t="shared" si="231"/>
        <v>yes</v>
      </c>
      <c r="I1309" s="117" t="str">
        <f t="shared" si="221"/>
        <v>no</v>
      </c>
      <c r="J1309" s="117" t="str">
        <f t="shared" si="222"/>
        <v>no</v>
      </c>
      <c r="K1309" s="267" t="s">
        <v>1147</v>
      </c>
      <c r="L1309" s="117" t="str">
        <f t="shared" si="232"/>
        <v>detailed</v>
      </c>
      <c r="M1309" s="117" t="str">
        <f t="shared" si="223"/>
        <v>detailed Mining</v>
      </c>
      <c r="N1309" s="269">
        <v>1300</v>
      </c>
      <c r="O1309" s="269"/>
      <c r="P1309" s="269"/>
      <c r="Q1309" s="269"/>
      <c r="R1309" s="269"/>
      <c r="S1309" s="267" t="s">
        <v>610</v>
      </c>
      <c r="T1309" s="270">
        <v>62.89</v>
      </c>
      <c r="U1309" s="267" t="s">
        <v>611</v>
      </c>
      <c r="V1309" s="267" t="s">
        <v>1166</v>
      </c>
      <c r="W1309" s="275">
        <f>N1309*T1309</f>
        <v>81757</v>
      </c>
      <c r="X1309" s="267"/>
      <c r="Y1309" s="267"/>
      <c r="Z1309" s="267"/>
      <c r="AA1309" s="275"/>
      <c r="AB1309" s="275"/>
      <c r="AC1309" s="609"/>
      <c r="AD1309" s="609"/>
      <c r="AE1309" s="609"/>
      <c r="AF1309" s="610"/>
      <c r="AG1309" s="267"/>
      <c r="AH1309" s="274"/>
      <c r="AI1309" s="267"/>
      <c r="AJ1309" s="267"/>
      <c r="AK1309" s="275"/>
      <c r="AL1309" s="267"/>
      <c r="AM1309" s="267"/>
      <c r="AN1309" s="267"/>
      <c r="AO1309" s="267"/>
      <c r="AP1309" s="267"/>
      <c r="AQ1309" s="267"/>
      <c r="AR1309" s="277"/>
      <c r="AS1309" s="267"/>
      <c r="AT1309" s="267"/>
      <c r="AU1309" s="267"/>
      <c r="AV1309" s="278"/>
      <c r="AW1309" s="117">
        <f>VLOOKUP($D1309,'WB Data'!$C$3:$M$578,2,FALSE)</f>
        <v>4291363546.824791</v>
      </c>
      <c r="AX1309" s="117">
        <f>VLOOKUP($D1309,'WB Data'!$C$3:$M$578,3,FALSE)</f>
        <v>14197289</v>
      </c>
      <c r="AY1309" s="847">
        <f t="shared" si="226"/>
        <v>3.4295764490829835E-2</v>
      </c>
      <c r="AZ1309" s="117">
        <f>VLOOKUP($D1309,'WB Data'!$C$3:$M$578,4,FALSE)/100</f>
        <v>0.13493235671616971</v>
      </c>
      <c r="BA1309" s="117">
        <f t="shared" si="227"/>
        <v>579043796.89892995</v>
      </c>
      <c r="BB1309" s="129">
        <f>IFERROR(VLOOKUP($D1309,'EITI Revenues'!$C$2:$G$224,5,FALSE),"..")</f>
        <v>147175593.54643524</v>
      </c>
      <c r="BC1309" s="846">
        <f t="shared" si="228"/>
        <v>0.25417005472579862</v>
      </c>
      <c r="BD1309" s="129">
        <f>VLOOKUP($D1309,'WB Data 2'!$C$2:$K$545,6,FALSE)</f>
        <v>366166106.67375296</v>
      </c>
      <c r="BE1309" s="129">
        <f>IFERROR(VLOOKUP($D1309,UNCTAD!$C$5:$V$529,4,FALSE),"..")</f>
        <v>747919000</v>
      </c>
      <c r="BF1309" s="846">
        <f t="shared" si="229"/>
        <v>0.48957989658472773</v>
      </c>
      <c r="BG1309" s="117">
        <f>VLOOKUP($D1309,'WB Data'!$C$3:$M$578,5,FALSE)</f>
        <v>544300000</v>
      </c>
      <c r="BH1309" s="129">
        <f>IFERROR($BB1309/$BG1309,"..")</f>
        <v>0.27039425601035316</v>
      </c>
      <c r="BI1309" s="117">
        <f>IFERROR(VLOOKUP($D1309,'WB Data'!$C$3:$M$578,7,FALSE)/100,"..")</f>
        <v>4.0209700000000001E-2</v>
      </c>
      <c r="BJ1309" s="117">
        <f>IFERROR($BI1309*$AW1309,"..")</f>
        <v>172554440.80876079</v>
      </c>
      <c r="BK1309" s="846">
        <f>IFERROR($BB1309/$BJ1309,"..")</f>
        <v>0.85292266519844306</v>
      </c>
      <c r="BL1309" s="117">
        <f>IFERROR(VLOOKUP($D1309,'WB Data'!$C$3:$M$578,7,FALSE)/100,"..")</f>
        <v>4.0209700000000001E-2</v>
      </c>
      <c r="BM1309" s="117">
        <f>IFERROR($AW1309*$BL1309,"..")</f>
        <v>172554440.80876079</v>
      </c>
      <c r="BN1309" s="846">
        <f>IFERROR($BB1309/$BM1309,"..")</f>
        <v>0.85292266519844306</v>
      </c>
      <c r="BO1309" s="801">
        <f t="shared" si="225"/>
        <v>35</v>
      </c>
      <c r="BP1309" s="117">
        <f>VLOOKUP($D1309,'WB Data'!$C$3:$M$578,9,FALSE)</f>
        <v>59.5</v>
      </c>
      <c r="BQ1309" s="117">
        <f>VLOOKUP($D1309,'WB Data'!$C$3:$M$578,10,FALSE)</f>
        <v>55.353146341463422</v>
      </c>
      <c r="BR1309" s="117">
        <f>VLOOKUP($D1309,'WB Data'!$C$3:$M$578,11,FALSE)</f>
        <v>75.2</v>
      </c>
      <c r="BS1309" s="129">
        <f>IFERROR(VLOOKUP($D1309,'WB Data 2'!$C$2:$K$545,9,FALSE),"..")</f>
        <v>45.302909999999997</v>
      </c>
      <c r="BT1309" s="129" t="str">
        <f>_xlfn.IFNA(VLOOKUP($C1309,RGI!$A$2:$C$43,2,FALSE),"..")</f>
        <v>..</v>
      </c>
      <c r="BU1309" s="129" t="str">
        <f>_xlfn.IFNA(VLOOKUP($C1309,RGI!$A$2:$C$43,3,FALSE),"..")</f>
        <v>..</v>
      </c>
      <c r="BV1309" s="129">
        <f>VLOOKUP($D1309,WGI!$C$2:$O$478,7,FALSE)</f>
        <v>-0.42877526295087998</v>
      </c>
      <c r="BW1309" s="129">
        <f>VLOOKUP($D1309,WGI!$C$2:$O$478,4,FALSE)</f>
        <v>-0.45958424405975401</v>
      </c>
      <c r="BX1309" s="129">
        <f>VLOOKUP($D1309,WGI!$C$2:$O$478,3,FALSE)</f>
        <v>-0.78642460572514605</v>
      </c>
      <c r="BY1309" s="129">
        <f>VLOOKUP($D1309,WGI!$C$2:$O$478,5,FALSE)</f>
        <v>-0.50030816063510797</v>
      </c>
      <c r="BZ1309" s="129">
        <f>VLOOKUP($D1309,WGI!$C$2:$O$478,2,FALSE)</f>
        <v>-0.77649622509326099</v>
      </c>
    </row>
    <row r="1310" spans="1:80" ht="15" customHeight="1">
      <c r="A1310" s="315" t="s">
        <v>399</v>
      </c>
      <c r="B1310" s="368">
        <v>2007</v>
      </c>
      <c r="C1310" s="817" t="s">
        <v>394</v>
      </c>
      <c r="D1310" s="117" t="s">
        <v>3573</v>
      </c>
      <c r="E1310" s="581" t="s">
        <v>86</v>
      </c>
      <c r="F1310" s="267"/>
      <c r="G1310" s="267" t="s">
        <v>24</v>
      </c>
      <c r="H1310" s="117" t="str">
        <f t="shared" si="231"/>
        <v>yes</v>
      </c>
      <c r="I1310" s="117" t="str">
        <f t="shared" si="221"/>
        <v>no</v>
      </c>
      <c r="J1310" s="117" t="str">
        <f t="shared" si="222"/>
        <v>no</v>
      </c>
      <c r="K1310" s="267" t="s">
        <v>1466</v>
      </c>
      <c r="L1310" s="117" t="str">
        <f t="shared" si="232"/>
        <v>detailed</v>
      </c>
      <c r="M1310" s="117" t="str">
        <f t="shared" si="223"/>
        <v>detailed Mining</v>
      </c>
      <c r="N1310" s="269">
        <v>3153</v>
      </c>
      <c r="O1310" s="269"/>
      <c r="P1310" s="269"/>
      <c r="Q1310" s="269"/>
      <c r="R1310" s="269"/>
      <c r="S1310" s="267" t="s">
        <v>610</v>
      </c>
      <c r="T1310" s="270"/>
      <c r="U1310" s="267"/>
      <c r="V1310" s="267" t="s">
        <v>847</v>
      </c>
      <c r="W1310" s="275"/>
      <c r="X1310" s="267"/>
      <c r="Y1310" s="267"/>
      <c r="Z1310" s="267"/>
      <c r="AA1310" s="275"/>
      <c r="AB1310" s="275"/>
      <c r="AC1310" s="609"/>
      <c r="AD1310" s="609"/>
      <c r="AE1310" s="609"/>
      <c r="AF1310" s="610"/>
      <c r="AG1310" s="267"/>
      <c r="AH1310" s="274"/>
      <c r="AI1310" s="267"/>
      <c r="AJ1310" s="267"/>
      <c r="AK1310" s="275"/>
      <c r="AL1310" s="267"/>
      <c r="AM1310" s="267"/>
      <c r="AN1310" s="267"/>
      <c r="AO1310" s="267"/>
      <c r="AP1310" s="267"/>
      <c r="AQ1310" s="267"/>
      <c r="AR1310" s="277"/>
      <c r="AS1310" s="267"/>
      <c r="AT1310" s="267"/>
      <c r="AU1310" s="267"/>
      <c r="AV1310" s="278"/>
      <c r="AW1310" s="117">
        <f>VLOOKUP($D1310,'WB Data'!$C$3:$M$578,2,FALSE)</f>
        <v>4291363546.824791</v>
      </c>
      <c r="AX1310" s="117">
        <f>VLOOKUP($D1310,'WB Data'!$C$3:$M$578,3,FALSE)</f>
        <v>14197289</v>
      </c>
      <c r="AY1310" s="847">
        <f t="shared" si="226"/>
        <v>3.4295764490829835E-2</v>
      </c>
      <c r="AZ1310" s="117">
        <f>VLOOKUP($D1310,'WB Data'!$C$3:$M$578,4,FALSE)/100</f>
        <v>0.13493235671616971</v>
      </c>
      <c r="BA1310" s="117">
        <f t="shared" si="227"/>
        <v>579043796.89892995</v>
      </c>
      <c r="BB1310" s="129">
        <f>IFERROR(VLOOKUP($D1310,'EITI Revenues'!$C$2:$G$224,5,FALSE),"..")</f>
        <v>147175593.54643524</v>
      </c>
      <c r="BC1310" s="846">
        <f t="shared" si="228"/>
        <v>0.25417005472579862</v>
      </c>
      <c r="BD1310" s="129">
        <f>VLOOKUP($D1310,'WB Data 2'!$C$2:$K$545,6,FALSE)</f>
        <v>366166106.67375296</v>
      </c>
      <c r="BE1310" s="129">
        <f>IFERROR(VLOOKUP($D1310,UNCTAD!$C$5:$V$529,4,FALSE),"..")</f>
        <v>747919000</v>
      </c>
      <c r="BF1310" s="846">
        <f t="shared" si="229"/>
        <v>0.48957989658472773</v>
      </c>
      <c r="BG1310" s="117">
        <f>VLOOKUP($D1310,'WB Data'!$C$3:$M$578,5,FALSE)</f>
        <v>544300000</v>
      </c>
      <c r="BH1310" s="129">
        <f>IFERROR($BB1310/$BG1310,"..")</f>
        <v>0.27039425601035316</v>
      </c>
      <c r="BI1310" s="117">
        <f>IFERROR(VLOOKUP($D1310,'WB Data'!$C$3:$M$578,7,FALSE)/100,"..")</f>
        <v>4.0209700000000001E-2</v>
      </c>
      <c r="BJ1310" s="117">
        <f>IFERROR($BI1310*$AW1310,"..")</f>
        <v>172554440.80876079</v>
      </c>
      <c r="BK1310" s="846">
        <f>IFERROR($BB1310/$BJ1310,"..")</f>
        <v>0.85292266519844306</v>
      </c>
      <c r="BL1310" s="117">
        <f>IFERROR(VLOOKUP($D1310,'WB Data'!$C$3:$M$578,7,FALSE)/100,"..")</f>
        <v>4.0209700000000001E-2</v>
      </c>
      <c r="BM1310" s="117">
        <f>IFERROR($AW1310*$BL1310,"..")</f>
        <v>172554440.80876079</v>
      </c>
      <c r="BN1310" s="846">
        <f>IFERROR($BB1310/$BM1310,"..")</f>
        <v>0.85292266519844306</v>
      </c>
      <c r="BO1310" s="801">
        <f t="shared" si="225"/>
        <v>35</v>
      </c>
      <c r="BP1310" s="117">
        <f>VLOOKUP($D1310,'WB Data'!$C$3:$M$578,9,FALSE)</f>
        <v>59.5</v>
      </c>
      <c r="BQ1310" s="117">
        <f>VLOOKUP($D1310,'WB Data'!$C$3:$M$578,10,FALSE)</f>
        <v>55.353146341463422</v>
      </c>
      <c r="BR1310" s="117">
        <f>VLOOKUP($D1310,'WB Data'!$C$3:$M$578,11,FALSE)</f>
        <v>75.2</v>
      </c>
      <c r="BS1310" s="129">
        <f>IFERROR(VLOOKUP($D1310,'WB Data 2'!$C$2:$K$545,9,FALSE),"..")</f>
        <v>45.302909999999997</v>
      </c>
      <c r="BT1310" s="129" t="str">
        <f>_xlfn.IFNA(VLOOKUP($C1310,RGI!$A$2:$C$43,2,FALSE),"..")</f>
        <v>..</v>
      </c>
      <c r="BU1310" s="129" t="str">
        <f>_xlfn.IFNA(VLOOKUP($C1310,RGI!$A$2:$C$43,3,FALSE),"..")</f>
        <v>..</v>
      </c>
      <c r="BV1310" s="129">
        <f>VLOOKUP($D1310,WGI!$C$2:$O$478,7,FALSE)</f>
        <v>-0.42877526295087998</v>
      </c>
      <c r="BW1310" s="129">
        <f>VLOOKUP($D1310,WGI!$C$2:$O$478,4,FALSE)</f>
        <v>-0.45958424405975401</v>
      </c>
      <c r="BX1310" s="129">
        <f>VLOOKUP($D1310,WGI!$C$2:$O$478,3,FALSE)</f>
        <v>-0.78642460572514605</v>
      </c>
      <c r="BY1310" s="129">
        <f>VLOOKUP($D1310,WGI!$C$2:$O$478,5,FALSE)</f>
        <v>-0.50030816063510797</v>
      </c>
      <c r="BZ1310" s="129">
        <f>VLOOKUP($D1310,WGI!$C$2:$O$478,2,FALSE)</f>
        <v>-0.77649622509326099</v>
      </c>
    </row>
    <row r="1311" spans="1:80" s="144" customFormat="1" ht="15" customHeight="1">
      <c r="A1311" s="318" t="s">
        <v>402</v>
      </c>
      <c r="B1311" s="386">
        <v>2008</v>
      </c>
      <c r="C1311" s="819" t="s">
        <v>394</v>
      </c>
      <c r="D1311" s="117" t="s">
        <v>3607</v>
      </c>
      <c r="E1311" s="587" t="s">
        <v>86</v>
      </c>
      <c r="F1311" s="319" t="s">
        <v>1918</v>
      </c>
      <c r="G1311" s="319" t="s">
        <v>24</v>
      </c>
      <c r="H1311" s="117" t="str">
        <f t="shared" si="231"/>
        <v>yes</v>
      </c>
      <c r="I1311" s="117" t="str">
        <f t="shared" si="221"/>
        <v>no</v>
      </c>
      <c r="J1311" s="117" t="str">
        <f t="shared" si="222"/>
        <v>no</v>
      </c>
      <c r="K1311" s="319" t="s">
        <v>709</v>
      </c>
      <c r="L1311" s="117" t="str">
        <f t="shared" si="232"/>
        <v>Total</v>
      </c>
      <c r="M1311" s="117" t="str">
        <f t="shared" si="223"/>
        <v>Total Mining</v>
      </c>
      <c r="N1311" s="322"/>
      <c r="O1311" s="322"/>
      <c r="P1311" s="322"/>
      <c r="Q1311" s="322"/>
      <c r="R1311" s="322"/>
      <c r="S1311" s="319"/>
      <c r="T1311" s="323"/>
      <c r="U1311" s="319"/>
      <c r="V1311" s="319"/>
      <c r="W1311" s="275">
        <f>SUM(W1312:W1314)</f>
        <v>90250307.517101109</v>
      </c>
      <c r="X1311" s="319" t="s">
        <v>1111</v>
      </c>
      <c r="Y1311" s="319" t="s">
        <v>602</v>
      </c>
      <c r="Z1311" s="319"/>
      <c r="AA1311" s="598">
        <v>418740295.82386595</v>
      </c>
      <c r="AB1311" s="598">
        <v>418740295.82386595</v>
      </c>
      <c r="AC1311" s="612"/>
      <c r="AD1311" s="612"/>
      <c r="AE1311" s="612"/>
      <c r="AF1311" s="613">
        <f>AA1311/W1311</f>
        <v>4.6397658616788737</v>
      </c>
      <c r="AG1311" s="319"/>
      <c r="AH1311" s="328">
        <v>447.81</v>
      </c>
      <c r="AI1311" s="319" t="s">
        <v>722</v>
      </c>
      <c r="AJ1311" s="319"/>
      <c r="AK1311" s="324"/>
      <c r="AL1311" s="319"/>
      <c r="AM1311" s="319"/>
      <c r="AN1311" s="319"/>
      <c r="AO1311" s="319"/>
      <c r="AP1311" s="319">
        <v>63</v>
      </c>
      <c r="AQ1311" s="319" t="s">
        <v>400</v>
      </c>
      <c r="AR1311" s="329">
        <v>41922</v>
      </c>
      <c r="AS1311" s="319" t="s">
        <v>1922</v>
      </c>
      <c r="AT1311" s="319" t="s">
        <v>403</v>
      </c>
      <c r="AU1311" s="319"/>
      <c r="AV1311" s="330"/>
      <c r="AW1311" s="117">
        <f>VLOOKUP($D1311,'WB Data'!$C$3:$M$578,2,FALSE)</f>
        <v>5403364453.527771</v>
      </c>
      <c r="AX1311" s="117">
        <f>VLOOKUP($D1311,'WB Data'!$C$3:$M$578,3,FALSE)</f>
        <v>14737895</v>
      </c>
      <c r="AY1311" s="847">
        <f t="shared" si="226"/>
        <v>7.7496215446003658E-2</v>
      </c>
      <c r="AZ1311" s="117" t="e">
        <f>VLOOKUP($D1311,'WB Data'!$C$3:$M$578,4,FALSE)/100</f>
        <v>#VALUE!</v>
      </c>
      <c r="BA1311" s="117" t="str">
        <f t="shared" si="227"/>
        <v>..</v>
      </c>
      <c r="BB1311" s="129">
        <f>IFERROR(VLOOKUP($D1311,'EITI Revenues'!$C$2:$G$224,5,FALSE),"..")</f>
        <v>418740295.82386595</v>
      </c>
      <c r="BC1311" s="846" t="str">
        <f t="shared" si="228"/>
        <v>..</v>
      </c>
      <c r="BD1311" s="129">
        <f>VLOOKUP($D1311,'WB Data 2'!$C$2:$K$545,6,FALSE)</f>
        <v>422417983.50108659</v>
      </c>
      <c r="BE1311" s="129">
        <f>IFERROR(VLOOKUP($D1311,UNCTAD!$C$5:$V$529,4,FALSE),"..")</f>
        <v>1043132000.0000001</v>
      </c>
      <c r="BF1311" s="846">
        <f t="shared" si="229"/>
        <v>0.40495161063133578</v>
      </c>
      <c r="BG1311" s="117">
        <f>VLOOKUP($D1311,'WB Data'!$C$3:$M$578,5,FALSE)</f>
        <v>612290000</v>
      </c>
      <c r="BH1311" s="129">
        <f>IFERROR($BB1311/$BG1311,"..")</f>
        <v>0.68389210312738402</v>
      </c>
      <c r="BI1311" s="117">
        <f>IFERROR(VLOOKUP($D1311,'WB Data'!$C$3:$M$578,7,FALSE)/100,"..")</f>
        <v>3.6629299999999997E-2</v>
      </c>
      <c r="BJ1311" s="117">
        <f>IFERROR($BI1311*$AW1311,"..")</f>
        <v>197921457.57760477</v>
      </c>
      <c r="BK1311" s="846">
        <f>IFERROR($BB1311/$BJ1311,"..")</f>
        <v>2.1156892281862789</v>
      </c>
      <c r="BL1311" s="117">
        <f>IFERROR(VLOOKUP($D1311,'WB Data'!$C$3:$M$578,7,FALSE)/100,"..")</f>
        <v>3.6629299999999997E-2</v>
      </c>
      <c r="BM1311" s="117">
        <f>IFERROR($AW1311*$BL1311,"..")</f>
        <v>197921457.57760477</v>
      </c>
      <c r="BN1311" s="846">
        <f>IFERROR($BB1311/$BM1311,"..")</f>
        <v>2.1156892281862789</v>
      </c>
      <c r="BO1311" s="801">
        <f t="shared" si="225"/>
        <v>35</v>
      </c>
      <c r="BP1311" s="117" t="str">
        <f>VLOOKUP($D1311,'WB Data'!$C$3:$M$578,9,FALSE)</f>
        <v>..</v>
      </c>
      <c r="BQ1311" s="117">
        <f>VLOOKUP($D1311,'WB Data'!$C$3:$M$578,10,FALSE)</f>
        <v>55.925390243902449</v>
      </c>
      <c r="BR1311" s="117">
        <f>VLOOKUP($D1311,'WB Data'!$C$3:$M$578,11,FALSE)</f>
        <v>71.900000000000006</v>
      </c>
      <c r="BS1311" s="129">
        <f>IFERROR(VLOOKUP($D1311,'WB Data 2'!$C$2:$K$545,9,FALSE),"..")</f>
        <v>48.807490000000001</v>
      </c>
      <c r="BT1311" s="129" t="str">
        <f>_xlfn.IFNA(VLOOKUP($C1311,RGI!$A$2:$C$43,2,FALSE),"..")</f>
        <v>..</v>
      </c>
      <c r="BU1311" s="129" t="str">
        <f>_xlfn.IFNA(VLOOKUP($C1311,RGI!$A$2:$C$43,3,FALSE),"..")</f>
        <v>..</v>
      </c>
      <c r="BV1311" s="129">
        <f>VLOOKUP($D1311,WGI!$C$2:$O$478,7,FALSE)</f>
        <v>-0.50444450020509601</v>
      </c>
      <c r="BW1311" s="129">
        <f>VLOOKUP($D1311,WGI!$C$2:$O$478,4,FALSE)</f>
        <v>-0.67486077787918697</v>
      </c>
      <c r="BX1311" s="129">
        <f>VLOOKUP($D1311,WGI!$C$2:$O$478,3,FALSE)</f>
        <v>-0.70901600720683799</v>
      </c>
      <c r="BY1311" s="129">
        <f>VLOOKUP($D1311,WGI!$C$2:$O$478,5,FALSE)</f>
        <v>-0.42427492845597198</v>
      </c>
      <c r="BZ1311" s="129">
        <f>VLOOKUP($D1311,WGI!$C$2:$O$478,2,FALSE)</f>
        <v>-0.750296420017735</v>
      </c>
      <c r="CB1311" s="129"/>
    </row>
    <row r="1312" spans="1:80" s="120" customFormat="1" ht="15" customHeight="1">
      <c r="A1312" s="315" t="s">
        <v>402</v>
      </c>
      <c r="B1312" s="368">
        <v>2008</v>
      </c>
      <c r="C1312" s="817" t="s">
        <v>394</v>
      </c>
      <c r="D1312" s="117" t="s">
        <v>3607</v>
      </c>
      <c r="E1312" s="581" t="s">
        <v>86</v>
      </c>
      <c r="F1312" s="267"/>
      <c r="G1312" s="267" t="s">
        <v>24</v>
      </c>
      <c r="H1312" s="117" t="str">
        <f t="shared" si="231"/>
        <v>yes</v>
      </c>
      <c r="I1312" s="117" t="str">
        <f t="shared" si="221"/>
        <v>no</v>
      </c>
      <c r="J1312" s="117" t="str">
        <f t="shared" si="222"/>
        <v>no</v>
      </c>
      <c r="K1312" s="267" t="s">
        <v>616</v>
      </c>
      <c r="L1312" s="117" t="str">
        <f t="shared" si="232"/>
        <v>detailed</v>
      </c>
      <c r="M1312" s="117" t="str">
        <f t="shared" si="223"/>
        <v>detailed Mining</v>
      </c>
      <c r="N1312" s="269">
        <v>182912</v>
      </c>
      <c r="O1312" s="269"/>
      <c r="P1312" s="269"/>
      <c r="Q1312" s="269"/>
      <c r="R1312" s="269"/>
      <c r="S1312" s="267" t="s">
        <v>610</v>
      </c>
      <c r="T1312" s="270">
        <v>138.17277433644946</v>
      </c>
      <c r="U1312" s="267" t="s">
        <v>611</v>
      </c>
      <c r="V1312" s="267" t="s">
        <v>1923</v>
      </c>
      <c r="W1312" s="275">
        <f>N1312*T1312</f>
        <v>25273458.499428645</v>
      </c>
      <c r="X1312" s="267"/>
      <c r="Y1312" s="267"/>
      <c r="Z1312" s="267"/>
      <c r="AA1312" s="275"/>
      <c r="AB1312" s="275"/>
      <c r="AC1312" s="609"/>
      <c r="AD1312" s="609"/>
      <c r="AE1312" s="609"/>
      <c r="AF1312" s="610"/>
      <c r="AG1312" s="267"/>
      <c r="AH1312" s="274"/>
      <c r="AI1312" s="267"/>
      <c r="AJ1312" s="267"/>
      <c r="AK1312" s="275"/>
      <c r="AL1312" s="267"/>
      <c r="AM1312" s="267"/>
      <c r="AN1312" s="267"/>
      <c r="AO1312" s="267"/>
      <c r="AP1312" s="267"/>
      <c r="AQ1312" s="267"/>
      <c r="AR1312" s="277"/>
      <c r="AS1312" s="267"/>
      <c r="AT1312" s="267"/>
      <c r="AU1312" s="267"/>
      <c r="AV1312" s="278"/>
      <c r="AW1312" s="117">
        <f>VLOOKUP($D1312,'WB Data'!$C$3:$M$578,2,FALSE)</f>
        <v>5403364453.527771</v>
      </c>
      <c r="AX1312" s="117">
        <f>VLOOKUP($D1312,'WB Data'!$C$3:$M$578,3,FALSE)</f>
        <v>14737895</v>
      </c>
      <c r="AY1312" s="847">
        <f t="shared" si="226"/>
        <v>7.7496215446003658E-2</v>
      </c>
      <c r="AZ1312" s="117" t="e">
        <f>VLOOKUP($D1312,'WB Data'!$C$3:$M$578,4,FALSE)/100</f>
        <v>#VALUE!</v>
      </c>
      <c r="BA1312" s="117" t="str">
        <f t="shared" si="227"/>
        <v>..</v>
      </c>
      <c r="BB1312" s="129">
        <f>IFERROR(VLOOKUP($D1312,'EITI Revenues'!$C$2:$G$224,5,FALSE),"..")</f>
        <v>418740295.82386595</v>
      </c>
      <c r="BC1312" s="846" t="str">
        <f t="shared" si="228"/>
        <v>..</v>
      </c>
      <c r="BD1312" s="129">
        <f>VLOOKUP($D1312,'WB Data 2'!$C$2:$K$545,6,FALSE)</f>
        <v>422417983.50108659</v>
      </c>
      <c r="BE1312" s="129">
        <f>IFERROR(VLOOKUP($D1312,UNCTAD!$C$5:$V$529,4,FALSE),"..")</f>
        <v>1043132000.0000001</v>
      </c>
      <c r="BF1312" s="846">
        <f t="shared" si="229"/>
        <v>0.40495161063133578</v>
      </c>
      <c r="BG1312" s="117">
        <f>VLOOKUP($D1312,'WB Data'!$C$3:$M$578,5,FALSE)</f>
        <v>612290000</v>
      </c>
      <c r="BH1312" s="129">
        <f>IFERROR($BB1312/$BG1312,"..")</f>
        <v>0.68389210312738402</v>
      </c>
      <c r="BI1312" s="117">
        <f>IFERROR(VLOOKUP($D1312,'WB Data'!$C$3:$M$578,7,FALSE)/100,"..")</f>
        <v>3.6629299999999997E-2</v>
      </c>
      <c r="BJ1312" s="117">
        <f>IFERROR($BI1312*$AW1312,"..")</f>
        <v>197921457.57760477</v>
      </c>
      <c r="BK1312" s="846">
        <f>IFERROR($BB1312/$BJ1312,"..")</f>
        <v>2.1156892281862789</v>
      </c>
      <c r="BL1312" s="117">
        <f>IFERROR(VLOOKUP($D1312,'WB Data'!$C$3:$M$578,7,FALSE)/100,"..")</f>
        <v>3.6629299999999997E-2</v>
      </c>
      <c r="BM1312" s="117">
        <f>IFERROR($AW1312*$BL1312,"..")</f>
        <v>197921457.57760477</v>
      </c>
      <c r="BN1312" s="846">
        <f>IFERROR($BB1312/$BM1312,"..")</f>
        <v>2.1156892281862789</v>
      </c>
      <c r="BO1312" s="801">
        <f t="shared" si="225"/>
        <v>35</v>
      </c>
      <c r="BP1312" s="117" t="str">
        <f>VLOOKUP($D1312,'WB Data'!$C$3:$M$578,9,FALSE)</f>
        <v>..</v>
      </c>
      <c r="BQ1312" s="117">
        <f>VLOOKUP($D1312,'WB Data'!$C$3:$M$578,10,FALSE)</f>
        <v>55.925390243902449</v>
      </c>
      <c r="BR1312" s="117">
        <f>VLOOKUP($D1312,'WB Data'!$C$3:$M$578,11,FALSE)</f>
        <v>71.900000000000006</v>
      </c>
      <c r="BS1312" s="129">
        <f>IFERROR(VLOOKUP($D1312,'WB Data 2'!$C$2:$K$545,9,FALSE),"..")</f>
        <v>48.807490000000001</v>
      </c>
      <c r="BT1312" s="129" t="str">
        <f>_xlfn.IFNA(VLOOKUP($C1312,RGI!$A$2:$C$43,2,FALSE),"..")</f>
        <v>..</v>
      </c>
      <c r="BU1312" s="129" t="str">
        <f>_xlfn.IFNA(VLOOKUP($C1312,RGI!$A$2:$C$43,3,FALSE),"..")</f>
        <v>..</v>
      </c>
      <c r="BV1312" s="129">
        <f>VLOOKUP($D1312,WGI!$C$2:$O$478,7,FALSE)</f>
        <v>-0.50444450020509601</v>
      </c>
      <c r="BW1312" s="129">
        <f>VLOOKUP($D1312,WGI!$C$2:$O$478,4,FALSE)</f>
        <v>-0.67486077787918697</v>
      </c>
      <c r="BX1312" s="129">
        <f>VLOOKUP($D1312,WGI!$C$2:$O$478,3,FALSE)</f>
        <v>-0.70901600720683799</v>
      </c>
      <c r="BY1312" s="129">
        <f>VLOOKUP($D1312,WGI!$C$2:$O$478,5,FALSE)</f>
        <v>-0.42427492845597198</v>
      </c>
      <c r="BZ1312" s="129">
        <f>VLOOKUP($D1312,WGI!$C$2:$O$478,2,FALSE)</f>
        <v>-0.750296420017735</v>
      </c>
      <c r="CB1312" s="129"/>
    </row>
    <row r="1313" spans="1:80" s="120" customFormat="1" ht="15" customHeight="1">
      <c r="A1313" s="315" t="s">
        <v>402</v>
      </c>
      <c r="B1313" s="368">
        <v>2008</v>
      </c>
      <c r="C1313" s="817" t="s">
        <v>394</v>
      </c>
      <c r="D1313" s="117" t="s">
        <v>3607</v>
      </c>
      <c r="E1313" s="581" t="s">
        <v>86</v>
      </c>
      <c r="F1313" s="267"/>
      <c r="G1313" s="267" t="s">
        <v>24</v>
      </c>
      <c r="H1313" s="117" t="str">
        <f t="shared" si="231"/>
        <v>yes</v>
      </c>
      <c r="I1313" s="117" t="str">
        <f t="shared" si="221"/>
        <v>no</v>
      </c>
      <c r="J1313" s="117" t="str">
        <f t="shared" si="222"/>
        <v>no</v>
      </c>
      <c r="K1313" s="267" t="s">
        <v>1904</v>
      </c>
      <c r="L1313" s="117" t="str">
        <f t="shared" si="232"/>
        <v>detailed</v>
      </c>
      <c r="M1313" s="117" t="str">
        <f t="shared" si="223"/>
        <v>detailed Mining</v>
      </c>
      <c r="N1313" s="269">
        <f>2314*32.150743126506</f>
        <v>74396.819594734887</v>
      </c>
      <c r="O1313" s="269"/>
      <c r="P1313" s="269"/>
      <c r="Q1313" s="269"/>
      <c r="R1313" s="269"/>
      <c r="S1313" s="267" t="s">
        <v>785</v>
      </c>
      <c r="T1313" s="270">
        <v>871.70725000000004</v>
      </c>
      <c r="U1313" s="267" t="s">
        <v>786</v>
      </c>
      <c r="V1313" s="267" t="s">
        <v>841</v>
      </c>
      <c r="W1313" s="275">
        <f>N1313*T1313</f>
        <v>64852247.017672464</v>
      </c>
      <c r="X1313" s="267"/>
      <c r="Y1313" s="267"/>
      <c r="Z1313" s="267"/>
      <c r="AA1313" s="275"/>
      <c r="AB1313" s="275"/>
      <c r="AC1313" s="609"/>
      <c r="AD1313" s="609"/>
      <c r="AE1313" s="609"/>
      <c r="AF1313" s="610"/>
      <c r="AG1313" s="267"/>
      <c r="AH1313" s="274"/>
      <c r="AI1313" s="267"/>
      <c r="AJ1313" s="267"/>
      <c r="AK1313" s="275"/>
      <c r="AL1313" s="267"/>
      <c r="AM1313" s="267"/>
      <c r="AN1313" s="267"/>
      <c r="AO1313" s="267"/>
      <c r="AP1313" s="267"/>
      <c r="AQ1313" s="267"/>
      <c r="AR1313" s="277"/>
      <c r="AS1313" s="267"/>
      <c r="AT1313" s="267"/>
      <c r="AU1313" s="267"/>
      <c r="AV1313" s="278"/>
      <c r="AW1313" s="117">
        <f>VLOOKUP($D1313,'WB Data'!$C$3:$M$578,2,FALSE)</f>
        <v>5403364453.527771</v>
      </c>
      <c r="AX1313" s="117">
        <f>VLOOKUP($D1313,'WB Data'!$C$3:$M$578,3,FALSE)</f>
        <v>14737895</v>
      </c>
      <c r="AY1313" s="847">
        <f t="shared" si="226"/>
        <v>7.7496215446003658E-2</v>
      </c>
      <c r="AZ1313" s="117" t="e">
        <f>VLOOKUP($D1313,'WB Data'!$C$3:$M$578,4,FALSE)/100</f>
        <v>#VALUE!</v>
      </c>
      <c r="BA1313" s="117" t="str">
        <f t="shared" si="227"/>
        <v>..</v>
      </c>
      <c r="BB1313" s="129">
        <f>IFERROR(VLOOKUP($D1313,'EITI Revenues'!$C$2:$G$224,5,FALSE),"..")</f>
        <v>418740295.82386595</v>
      </c>
      <c r="BC1313" s="846" t="str">
        <f t="shared" si="228"/>
        <v>..</v>
      </c>
      <c r="BD1313" s="129">
        <f>VLOOKUP($D1313,'WB Data 2'!$C$2:$K$545,6,FALSE)</f>
        <v>422417983.50108659</v>
      </c>
      <c r="BE1313" s="129">
        <f>IFERROR(VLOOKUP($D1313,UNCTAD!$C$5:$V$529,4,FALSE),"..")</f>
        <v>1043132000.0000001</v>
      </c>
      <c r="BF1313" s="846">
        <f t="shared" si="229"/>
        <v>0.40495161063133578</v>
      </c>
      <c r="BG1313" s="117">
        <f>VLOOKUP($D1313,'WB Data'!$C$3:$M$578,5,FALSE)</f>
        <v>612290000</v>
      </c>
      <c r="BH1313" s="129">
        <f>IFERROR($BB1313/$BG1313,"..")</f>
        <v>0.68389210312738402</v>
      </c>
      <c r="BI1313" s="117">
        <f>IFERROR(VLOOKUP($D1313,'WB Data'!$C$3:$M$578,7,FALSE)/100,"..")</f>
        <v>3.6629299999999997E-2</v>
      </c>
      <c r="BJ1313" s="117">
        <f>IFERROR($BI1313*$AW1313,"..")</f>
        <v>197921457.57760477</v>
      </c>
      <c r="BK1313" s="846">
        <f>IFERROR($BB1313/$BJ1313,"..")</f>
        <v>2.1156892281862789</v>
      </c>
      <c r="BL1313" s="117">
        <f>IFERROR(VLOOKUP($D1313,'WB Data'!$C$3:$M$578,7,FALSE)/100,"..")</f>
        <v>3.6629299999999997E-2</v>
      </c>
      <c r="BM1313" s="117">
        <f>IFERROR($AW1313*$BL1313,"..")</f>
        <v>197921457.57760477</v>
      </c>
      <c r="BN1313" s="846">
        <f>IFERROR($BB1313/$BM1313,"..")</f>
        <v>2.1156892281862789</v>
      </c>
      <c r="BO1313" s="801">
        <f t="shared" si="225"/>
        <v>35</v>
      </c>
      <c r="BP1313" s="117" t="str">
        <f>VLOOKUP($D1313,'WB Data'!$C$3:$M$578,9,FALSE)</f>
        <v>..</v>
      </c>
      <c r="BQ1313" s="117">
        <f>VLOOKUP($D1313,'WB Data'!$C$3:$M$578,10,FALSE)</f>
        <v>55.925390243902449</v>
      </c>
      <c r="BR1313" s="117">
        <f>VLOOKUP($D1313,'WB Data'!$C$3:$M$578,11,FALSE)</f>
        <v>71.900000000000006</v>
      </c>
      <c r="BS1313" s="129">
        <f>IFERROR(VLOOKUP($D1313,'WB Data 2'!$C$2:$K$545,9,FALSE),"..")</f>
        <v>48.807490000000001</v>
      </c>
      <c r="BT1313" s="129" t="str">
        <f>_xlfn.IFNA(VLOOKUP($C1313,RGI!$A$2:$C$43,2,FALSE),"..")</f>
        <v>..</v>
      </c>
      <c r="BU1313" s="129" t="str">
        <f>_xlfn.IFNA(VLOOKUP($C1313,RGI!$A$2:$C$43,3,FALSE),"..")</f>
        <v>..</v>
      </c>
      <c r="BV1313" s="129">
        <f>VLOOKUP($D1313,WGI!$C$2:$O$478,7,FALSE)</f>
        <v>-0.50444450020509601</v>
      </c>
      <c r="BW1313" s="129">
        <f>VLOOKUP($D1313,WGI!$C$2:$O$478,4,FALSE)</f>
        <v>-0.67486077787918697</v>
      </c>
      <c r="BX1313" s="129">
        <f>VLOOKUP($D1313,WGI!$C$2:$O$478,3,FALSE)</f>
        <v>-0.70901600720683799</v>
      </c>
      <c r="BY1313" s="129">
        <f>VLOOKUP($D1313,WGI!$C$2:$O$478,5,FALSE)</f>
        <v>-0.42427492845597198</v>
      </c>
      <c r="BZ1313" s="129">
        <f>VLOOKUP($D1313,WGI!$C$2:$O$478,2,FALSE)</f>
        <v>-0.750296420017735</v>
      </c>
      <c r="CB1313" s="129"/>
    </row>
    <row r="1314" spans="1:80" s="120" customFormat="1" ht="15" customHeight="1">
      <c r="A1314" s="315" t="s">
        <v>402</v>
      </c>
      <c r="B1314" s="368">
        <v>2008</v>
      </c>
      <c r="C1314" s="817" t="s">
        <v>394</v>
      </c>
      <c r="D1314" s="117" t="s">
        <v>3607</v>
      </c>
      <c r="E1314" s="581" t="s">
        <v>86</v>
      </c>
      <c r="F1314" s="267"/>
      <c r="G1314" s="267" t="s">
        <v>24</v>
      </c>
      <c r="H1314" s="117" t="str">
        <f t="shared" si="231"/>
        <v>yes</v>
      </c>
      <c r="I1314" s="117" t="str">
        <f t="shared" si="221"/>
        <v>no</v>
      </c>
      <c r="J1314" s="117" t="str">
        <f t="shared" si="222"/>
        <v>no</v>
      </c>
      <c r="K1314" s="267" t="s">
        <v>1147</v>
      </c>
      <c r="L1314" s="117" t="str">
        <f t="shared" si="232"/>
        <v>detailed</v>
      </c>
      <c r="M1314" s="117" t="str">
        <f t="shared" si="223"/>
        <v>detailed Mining</v>
      </c>
      <c r="N1314" s="269">
        <v>1900</v>
      </c>
      <c r="O1314" s="269"/>
      <c r="P1314" s="269"/>
      <c r="Q1314" s="269"/>
      <c r="R1314" s="269"/>
      <c r="S1314" s="267" t="s">
        <v>610</v>
      </c>
      <c r="T1314" s="270">
        <v>65.58</v>
      </c>
      <c r="U1314" s="267" t="s">
        <v>611</v>
      </c>
      <c r="V1314" s="267" t="s">
        <v>1172</v>
      </c>
      <c r="W1314" s="275">
        <f>N1314*T1314</f>
        <v>124602</v>
      </c>
      <c r="X1314" s="267"/>
      <c r="Y1314" s="267"/>
      <c r="Z1314" s="267"/>
      <c r="AA1314" s="275"/>
      <c r="AB1314" s="275"/>
      <c r="AC1314" s="609"/>
      <c r="AD1314" s="609"/>
      <c r="AE1314" s="609"/>
      <c r="AF1314" s="610"/>
      <c r="AG1314" s="267"/>
      <c r="AH1314" s="274"/>
      <c r="AI1314" s="267"/>
      <c r="AJ1314" s="267"/>
      <c r="AK1314" s="275"/>
      <c r="AL1314" s="267"/>
      <c r="AM1314" s="267"/>
      <c r="AN1314" s="267"/>
      <c r="AO1314" s="267"/>
      <c r="AP1314" s="267"/>
      <c r="AQ1314" s="267"/>
      <c r="AR1314" s="277"/>
      <c r="AS1314" s="267"/>
      <c r="AT1314" s="267"/>
      <c r="AU1314" s="267"/>
      <c r="AV1314" s="278"/>
      <c r="AW1314" s="117">
        <f>VLOOKUP($D1314,'WB Data'!$C$3:$M$578,2,FALSE)</f>
        <v>5403364453.527771</v>
      </c>
      <c r="AX1314" s="117">
        <f>VLOOKUP($D1314,'WB Data'!$C$3:$M$578,3,FALSE)</f>
        <v>14737895</v>
      </c>
      <c r="AY1314" s="847">
        <f t="shared" si="226"/>
        <v>7.7496215446003658E-2</v>
      </c>
      <c r="AZ1314" s="117" t="e">
        <f>VLOOKUP($D1314,'WB Data'!$C$3:$M$578,4,FALSE)/100</f>
        <v>#VALUE!</v>
      </c>
      <c r="BA1314" s="117" t="str">
        <f t="shared" si="227"/>
        <v>..</v>
      </c>
      <c r="BB1314" s="129">
        <f>IFERROR(VLOOKUP($D1314,'EITI Revenues'!$C$2:$G$224,5,FALSE),"..")</f>
        <v>418740295.82386595</v>
      </c>
      <c r="BC1314" s="846" t="str">
        <f t="shared" si="228"/>
        <v>..</v>
      </c>
      <c r="BD1314" s="129">
        <f>VLOOKUP($D1314,'WB Data 2'!$C$2:$K$545,6,FALSE)</f>
        <v>422417983.50108659</v>
      </c>
      <c r="BE1314" s="129">
        <f>IFERROR(VLOOKUP($D1314,UNCTAD!$C$5:$V$529,4,FALSE),"..")</f>
        <v>1043132000.0000001</v>
      </c>
      <c r="BF1314" s="846">
        <f t="shared" si="229"/>
        <v>0.40495161063133578</v>
      </c>
      <c r="BG1314" s="117">
        <f>VLOOKUP($D1314,'WB Data'!$C$3:$M$578,5,FALSE)</f>
        <v>612290000</v>
      </c>
      <c r="BH1314" s="129">
        <f>IFERROR($BB1314/$BG1314,"..")</f>
        <v>0.68389210312738402</v>
      </c>
      <c r="BI1314" s="117">
        <f>IFERROR(VLOOKUP($D1314,'WB Data'!$C$3:$M$578,7,FALSE)/100,"..")</f>
        <v>3.6629299999999997E-2</v>
      </c>
      <c r="BJ1314" s="117">
        <f>IFERROR($BI1314*$AW1314,"..")</f>
        <v>197921457.57760477</v>
      </c>
      <c r="BK1314" s="846">
        <f>IFERROR($BB1314/$BJ1314,"..")</f>
        <v>2.1156892281862789</v>
      </c>
      <c r="BL1314" s="117">
        <f>IFERROR(VLOOKUP($D1314,'WB Data'!$C$3:$M$578,7,FALSE)/100,"..")</f>
        <v>3.6629299999999997E-2</v>
      </c>
      <c r="BM1314" s="117">
        <f>IFERROR($AW1314*$BL1314,"..")</f>
        <v>197921457.57760477</v>
      </c>
      <c r="BN1314" s="846">
        <f>IFERROR($BB1314/$BM1314,"..")</f>
        <v>2.1156892281862789</v>
      </c>
      <c r="BO1314" s="801">
        <f t="shared" si="225"/>
        <v>35</v>
      </c>
      <c r="BP1314" s="117" t="str">
        <f>VLOOKUP($D1314,'WB Data'!$C$3:$M$578,9,FALSE)</f>
        <v>..</v>
      </c>
      <c r="BQ1314" s="117">
        <f>VLOOKUP($D1314,'WB Data'!$C$3:$M$578,10,FALSE)</f>
        <v>55.925390243902449</v>
      </c>
      <c r="BR1314" s="117">
        <f>VLOOKUP($D1314,'WB Data'!$C$3:$M$578,11,FALSE)</f>
        <v>71.900000000000006</v>
      </c>
      <c r="BS1314" s="129">
        <f>IFERROR(VLOOKUP($D1314,'WB Data 2'!$C$2:$K$545,9,FALSE),"..")</f>
        <v>48.807490000000001</v>
      </c>
      <c r="BT1314" s="129" t="str">
        <f>_xlfn.IFNA(VLOOKUP($C1314,RGI!$A$2:$C$43,2,FALSE),"..")</f>
        <v>..</v>
      </c>
      <c r="BU1314" s="129" t="str">
        <f>_xlfn.IFNA(VLOOKUP($C1314,RGI!$A$2:$C$43,3,FALSE),"..")</f>
        <v>..</v>
      </c>
      <c r="BV1314" s="129">
        <f>VLOOKUP($D1314,WGI!$C$2:$O$478,7,FALSE)</f>
        <v>-0.50444450020509601</v>
      </c>
      <c r="BW1314" s="129">
        <f>VLOOKUP($D1314,WGI!$C$2:$O$478,4,FALSE)</f>
        <v>-0.67486077787918697</v>
      </c>
      <c r="BX1314" s="129">
        <f>VLOOKUP($D1314,WGI!$C$2:$O$478,3,FALSE)</f>
        <v>-0.70901600720683799</v>
      </c>
      <c r="BY1314" s="129">
        <f>VLOOKUP($D1314,WGI!$C$2:$O$478,5,FALSE)</f>
        <v>-0.42427492845597198</v>
      </c>
      <c r="BZ1314" s="129">
        <f>VLOOKUP($D1314,WGI!$C$2:$O$478,2,FALSE)</f>
        <v>-0.750296420017735</v>
      </c>
      <c r="CB1314" s="129"/>
    </row>
    <row r="1315" spans="1:80" s="158" customFormat="1" ht="15" customHeight="1">
      <c r="A1315" s="331" t="s">
        <v>402</v>
      </c>
      <c r="B1315" s="370">
        <v>2008</v>
      </c>
      <c r="C1315" s="818" t="s">
        <v>394</v>
      </c>
      <c r="D1315" s="117" t="s">
        <v>3607</v>
      </c>
      <c r="E1315" s="583" t="s">
        <v>86</v>
      </c>
      <c r="F1315" s="253"/>
      <c r="G1315" s="267" t="s">
        <v>24</v>
      </c>
      <c r="H1315" s="117" t="str">
        <f t="shared" si="231"/>
        <v>yes</v>
      </c>
      <c r="I1315" s="117" t="str">
        <f t="shared" si="221"/>
        <v>no</v>
      </c>
      <c r="J1315" s="117" t="str">
        <f t="shared" si="222"/>
        <v>no</v>
      </c>
      <c r="K1315" s="253" t="s">
        <v>1466</v>
      </c>
      <c r="L1315" s="117" t="str">
        <f t="shared" si="232"/>
        <v>detailed</v>
      </c>
      <c r="M1315" s="117" t="str">
        <f t="shared" si="223"/>
        <v>detailed Mining</v>
      </c>
      <c r="N1315" s="255">
        <v>3032</v>
      </c>
      <c r="O1315" s="255"/>
      <c r="P1315" s="255"/>
      <c r="Q1315" s="255"/>
      <c r="R1315" s="255"/>
      <c r="S1315" s="253" t="s">
        <v>610</v>
      </c>
      <c r="T1315" s="256"/>
      <c r="U1315" s="253"/>
      <c r="V1315" s="253" t="s">
        <v>847</v>
      </c>
      <c r="W1315" s="257"/>
      <c r="X1315" s="253"/>
      <c r="Y1315" s="253"/>
      <c r="Z1315" s="253"/>
      <c r="AA1315" s="257"/>
      <c r="AB1315" s="257"/>
      <c r="AC1315" s="614"/>
      <c r="AD1315" s="614"/>
      <c r="AE1315" s="614"/>
      <c r="AF1315" s="615"/>
      <c r="AG1315" s="253"/>
      <c r="AH1315" s="261"/>
      <c r="AI1315" s="253"/>
      <c r="AJ1315" s="253"/>
      <c r="AK1315" s="257"/>
      <c r="AL1315" s="253"/>
      <c r="AM1315" s="253"/>
      <c r="AN1315" s="253"/>
      <c r="AO1315" s="253"/>
      <c r="AP1315" s="253"/>
      <c r="AQ1315" s="253"/>
      <c r="AR1315" s="263"/>
      <c r="AS1315" s="253"/>
      <c r="AT1315" s="253"/>
      <c r="AU1315" s="253"/>
      <c r="AV1315" s="265"/>
      <c r="AW1315" s="117">
        <f>VLOOKUP($D1315,'WB Data'!$C$3:$M$578,2,FALSE)</f>
        <v>5403364453.527771</v>
      </c>
      <c r="AX1315" s="117">
        <f>VLOOKUP($D1315,'WB Data'!$C$3:$M$578,3,FALSE)</f>
        <v>14737895</v>
      </c>
      <c r="AY1315" s="847">
        <f t="shared" si="226"/>
        <v>7.7496215446003658E-2</v>
      </c>
      <c r="AZ1315" s="117" t="e">
        <f>VLOOKUP($D1315,'WB Data'!$C$3:$M$578,4,FALSE)/100</f>
        <v>#VALUE!</v>
      </c>
      <c r="BA1315" s="117" t="str">
        <f t="shared" si="227"/>
        <v>..</v>
      </c>
      <c r="BB1315" s="129">
        <f>IFERROR(VLOOKUP($D1315,'EITI Revenues'!$C$2:$G$224,5,FALSE),"..")</f>
        <v>418740295.82386595</v>
      </c>
      <c r="BC1315" s="846" t="str">
        <f t="shared" si="228"/>
        <v>..</v>
      </c>
      <c r="BD1315" s="129">
        <f>VLOOKUP($D1315,'WB Data 2'!$C$2:$K$545,6,FALSE)</f>
        <v>422417983.50108659</v>
      </c>
      <c r="BE1315" s="129">
        <f>IFERROR(VLOOKUP($D1315,UNCTAD!$C$5:$V$529,4,FALSE),"..")</f>
        <v>1043132000.0000001</v>
      </c>
      <c r="BF1315" s="846">
        <f t="shared" si="229"/>
        <v>0.40495161063133578</v>
      </c>
      <c r="BG1315" s="117">
        <f>VLOOKUP($D1315,'WB Data'!$C$3:$M$578,5,FALSE)</f>
        <v>612290000</v>
      </c>
      <c r="BH1315" s="129">
        <f>IFERROR($BB1315/$BG1315,"..")</f>
        <v>0.68389210312738402</v>
      </c>
      <c r="BI1315" s="117">
        <f>IFERROR(VLOOKUP($D1315,'WB Data'!$C$3:$M$578,7,FALSE)/100,"..")</f>
        <v>3.6629299999999997E-2</v>
      </c>
      <c r="BJ1315" s="117">
        <f>IFERROR($BI1315*$AW1315,"..")</f>
        <v>197921457.57760477</v>
      </c>
      <c r="BK1315" s="846">
        <f>IFERROR($BB1315/$BJ1315,"..")</f>
        <v>2.1156892281862789</v>
      </c>
      <c r="BL1315" s="117">
        <f>IFERROR(VLOOKUP($D1315,'WB Data'!$C$3:$M$578,7,FALSE)/100,"..")</f>
        <v>3.6629299999999997E-2</v>
      </c>
      <c r="BM1315" s="117">
        <f>IFERROR($AW1315*$BL1315,"..")</f>
        <v>197921457.57760477</v>
      </c>
      <c r="BN1315" s="846">
        <f>IFERROR($BB1315/$BM1315,"..")</f>
        <v>2.1156892281862789</v>
      </c>
      <c r="BO1315" s="801">
        <f t="shared" si="225"/>
        <v>35</v>
      </c>
      <c r="BP1315" s="117" t="str">
        <f>VLOOKUP($D1315,'WB Data'!$C$3:$M$578,9,FALSE)</f>
        <v>..</v>
      </c>
      <c r="BQ1315" s="117">
        <f>VLOOKUP($D1315,'WB Data'!$C$3:$M$578,10,FALSE)</f>
        <v>55.925390243902449</v>
      </c>
      <c r="BR1315" s="117">
        <f>VLOOKUP($D1315,'WB Data'!$C$3:$M$578,11,FALSE)</f>
        <v>71.900000000000006</v>
      </c>
      <c r="BS1315" s="129">
        <f>IFERROR(VLOOKUP($D1315,'WB Data 2'!$C$2:$K$545,9,FALSE),"..")</f>
        <v>48.807490000000001</v>
      </c>
      <c r="BT1315" s="129" t="str">
        <f>_xlfn.IFNA(VLOOKUP($C1315,RGI!$A$2:$C$43,2,FALSE),"..")</f>
        <v>..</v>
      </c>
      <c r="BU1315" s="129" t="str">
        <f>_xlfn.IFNA(VLOOKUP($C1315,RGI!$A$2:$C$43,3,FALSE),"..")</f>
        <v>..</v>
      </c>
      <c r="BV1315" s="129">
        <f>VLOOKUP($D1315,WGI!$C$2:$O$478,7,FALSE)</f>
        <v>-0.50444450020509601</v>
      </c>
      <c r="BW1315" s="129">
        <f>VLOOKUP($D1315,WGI!$C$2:$O$478,4,FALSE)</f>
        <v>-0.67486077787918697</v>
      </c>
      <c r="BX1315" s="129">
        <f>VLOOKUP($D1315,WGI!$C$2:$O$478,3,FALSE)</f>
        <v>-0.70901600720683799</v>
      </c>
      <c r="BY1315" s="129">
        <f>VLOOKUP($D1315,WGI!$C$2:$O$478,5,FALSE)</f>
        <v>-0.42427492845597198</v>
      </c>
      <c r="BZ1315" s="129">
        <f>VLOOKUP($D1315,WGI!$C$2:$O$478,2,FALSE)</f>
        <v>-0.750296420017735</v>
      </c>
      <c r="CB1315" s="129"/>
    </row>
    <row r="1316" spans="1:80" ht="15" customHeight="1">
      <c r="A1316" s="315" t="s">
        <v>404</v>
      </c>
      <c r="B1316" s="368">
        <v>2009</v>
      </c>
      <c r="C1316" s="817" t="s">
        <v>394</v>
      </c>
      <c r="D1316" s="117" t="s">
        <v>3641</v>
      </c>
      <c r="E1316" s="581" t="s">
        <v>86</v>
      </c>
      <c r="F1316" s="267" t="s">
        <v>1918</v>
      </c>
      <c r="G1316" s="319" t="s">
        <v>24</v>
      </c>
      <c r="H1316" s="117" t="str">
        <f t="shared" si="231"/>
        <v>yes</v>
      </c>
      <c r="I1316" s="117" t="str">
        <f t="shared" si="221"/>
        <v>no</v>
      </c>
      <c r="J1316" s="117" t="str">
        <f t="shared" si="222"/>
        <v>no</v>
      </c>
      <c r="K1316" s="267" t="s">
        <v>709</v>
      </c>
      <c r="L1316" s="117" t="str">
        <f t="shared" si="232"/>
        <v>Total</v>
      </c>
      <c r="M1316" s="117" t="str">
        <f t="shared" si="223"/>
        <v>Total Mining</v>
      </c>
      <c r="N1316" s="269"/>
      <c r="O1316" s="269"/>
      <c r="P1316" s="269"/>
      <c r="Q1316" s="269"/>
      <c r="R1316" s="269"/>
      <c r="S1316" s="267"/>
      <c r="T1316" s="270"/>
      <c r="U1316" s="267"/>
      <c r="V1316" s="267"/>
      <c r="W1316" s="275">
        <f>SUM(W1317:W1319)</f>
        <v>81083638.956818312</v>
      </c>
      <c r="X1316" s="267" t="s">
        <v>601</v>
      </c>
      <c r="Y1316" s="267" t="s">
        <v>602</v>
      </c>
      <c r="Z1316" s="267"/>
      <c r="AA1316" s="275">
        <v>143129702.9482843</v>
      </c>
      <c r="AB1316" s="275">
        <v>143129702.9482843</v>
      </c>
      <c r="AC1316" s="609"/>
      <c r="AD1316" s="609"/>
      <c r="AE1316" s="609"/>
      <c r="AF1316" s="610">
        <f>AA1316/W1316</f>
        <v>1.7652106490251267</v>
      </c>
      <c r="AG1316" s="267"/>
      <c r="AH1316" s="274">
        <v>472.19</v>
      </c>
      <c r="AI1316" s="267" t="s">
        <v>722</v>
      </c>
      <c r="AJ1316" s="267"/>
      <c r="AK1316" s="275"/>
      <c r="AL1316" s="267"/>
      <c r="AM1316" s="267"/>
      <c r="AN1316" s="267"/>
      <c r="AO1316" s="267"/>
      <c r="AP1316" s="267">
        <v>39</v>
      </c>
      <c r="AQ1316" s="267" t="s">
        <v>400</v>
      </c>
      <c r="AR1316" s="277">
        <v>41922</v>
      </c>
      <c r="AS1316" s="267" t="s">
        <v>1922</v>
      </c>
      <c r="AT1316" s="267" t="s">
        <v>405</v>
      </c>
      <c r="AU1316" s="267"/>
      <c r="AV1316" s="278"/>
      <c r="AW1316" s="117">
        <f>VLOOKUP($D1316,'WB Data'!$C$3:$M$578,2,FALSE)</f>
        <v>5397121962.0242481</v>
      </c>
      <c r="AX1316" s="117">
        <f>VLOOKUP($D1316,'WB Data'!$C$3:$M$578,3,FALSE)</f>
        <v>15302948</v>
      </c>
      <c r="AY1316" s="847">
        <f t="shared" si="226"/>
        <v>2.651963471557385E-2</v>
      </c>
      <c r="AZ1316" s="117" t="e">
        <f>VLOOKUP($D1316,'WB Data'!$C$3:$M$578,4,FALSE)/100</f>
        <v>#VALUE!</v>
      </c>
      <c r="BA1316" s="117" t="str">
        <f t="shared" si="227"/>
        <v>..</v>
      </c>
      <c r="BB1316" s="129">
        <f>IFERROR(VLOOKUP($D1316,'EITI Revenues'!$C$2:$G$224,5,FALSE),"..")</f>
        <v>143129702.9482843</v>
      </c>
      <c r="BC1316" s="846" t="str">
        <f t="shared" si="228"/>
        <v>..</v>
      </c>
      <c r="BD1316" s="129">
        <f>VLOOKUP($D1316,'WB Data 2'!$C$2:$K$545,6,FALSE)</f>
        <v>610037796.85982037</v>
      </c>
      <c r="BE1316" s="129">
        <f>IFERROR(VLOOKUP($D1316,UNCTAD!$C$5:$V$529,4,FALSE),"..")</f>
        <v>1096776000</v>
      </c>
      <c r="BF1316" s="846">
        <f t="shared" si="229"/>
        <v>0.55621001632039757</v>
      </c>
      <c r="BG1316" s="117">
        <f>VLOOKUP($D1316,'WB Data'!$C$3:$M$578,5,FALSE)</f>
        <v>469290000</v>
      </c>
      <c r="BH1316" s="129">
        <f>IFERROR($BB1316/$BG1316,"..")</f>
        <v>0.30499201548783117</v>
      </c>
      <c r="BI1316" s="117">
        <f>IFERROR(VLOOKUP($D1316,'WB Data'!$C$3:$M$578,7,FALSE)/100,"..")</f>
        <v>4.5260300000000003E-2</v>
      </c>
      <c r="BJ1316" s="117">
        <f>IFERROR($BI1316*$AW1316,"..")</f>
        <v>244275359.13780609</v>
      </c>
      <c r="BK1316" s="846">
        <f>IFERROR($BB1316/$BJ1316,"..")</f>
        <v>0.58593590222720238</v>
      </c>
      <c r="BL1316" s="117">
        <f>IFERROR(VLOOKUP($D1316,'WB Data'!$C$3:$M$578,7,FALSE)/100,"..")</f>
        <v>4.5260300000000003E-2</v>
      </c>
      <c r="BM1316" s="117">
        <f>IFERROR($AW1316*$BL1316,"..")</f>
        <v>244275359.13780609</v>
      </c>
      <c r="BN1316" s="846">
        <f>IFERROR($BB1316/$BM1316,"..")</f>
        <v>0.58593590222720238</v>
      </c>
      <c r="BO1316" s="801">
        <f t="shared" si="225"/>
        <v>35</v>
      </c>
      <c r="BP1316" s="117" t="str">
        <f>VLOOKUP($D1316,'WB Data'!$C$3:$M$578,9,FALSE)</f>
        <v>..</v>
      </c>
      <c r="BQ1316" s="117">
        <f>VLOOKUP($D1316,'WB Data'!$C$3:$M$578,10,FALSE)</f>
        <v>56.468219512195127</v>
      </c>
      <c r="BR1316" s="117">
        <f>VLOOKUP($D1316,'WB Data'!$C$3:$M$578,11,FALSE)</f>
        <v>68.8</v>
      </c>
      <c r="BS1316" s="129">
        <f>IFERROR(VLOOKUP($D1316,'WB Data 2'!$C$2:$K$545,9,FALSE),"..")</f>
        <v>52.717500000000001</v>
      </c>
      <c r="BT1316" s="129" t="str">
        <f>_xlfn.IFNA(VLOOKUP($C1316,RGI!$A$2:$C$43,2,FALSE),"..")</f>
        <v>..</v>
      </c>
      <c r="BU1316" s="129" t="str">
        <f>_xlfn.IFNA(VLOOKUP($C1316,RGI!$A$2:$C$43,3,FALSE),"..")</f>
        <v>..</v>
      </c>
      <c r="BV1316" s="129">
        <f>VLOOKUP($D1316,WGI!$C$2:$O$478,7,FALSE)</f>
        <v>-0.78435006215137004</v>
      </c>
      <c r="BW1316" s="129">
        <f>VLOOKUP($D1316,WGI!$C$2:$O$478,4,FALSE)</f>
        <v>-1.15669978560293</v>
      </c>
      <c r="BX1316" s="129">
        <f>VLOOKUP($D1316,WGI!$C$2:$O$478,3,FALSE)</f>
        <v>-0.66111858643714605</v>
      </c>
      <c r="BY1316" s="129">
        <f>VLOOKUP($D1316,WGI!$C$2:$O$478,5,FALSE)</f>
        <v>-0.48242411907739402</v>
      </c>
      <c r="BZ1316" s="129">
        <f>VLOOKUP($D1316,WGI!$C$2:$O$478,2,FALSE)</f>
        <v>-0.60858375851193602</v>
      </c>
    </row>
    <row r="1317" spans="1:80" ht="15" customHeight="1">
      <c r="A1317" s="315" t="s">
        <v>404</v>
      </c>
      <c r="B1317" s="368">
        <v>2009</v>
      </c>
      <c r="C1317" s="817" t="s">
        <v>394</v>
      </c>
      <c r="D1317" s="117" t="s">
        <v>3641</v>
      </c>
      <c r="E1317" s="581" t="s">
        <v>86</v>
      </c>
      <c r="F1317" s="267"/>
      <c r="G1317" s="267" t="s">
        <v>24</v>
      </c>
      <c r="H1317" s="117" t="str">
        <f t="shared" si="231"/>
        <v>yes</v>
      </c>
      <c r="I1317" s="117" t="str">
        <f t="shared" si="221"/>
        <v>no</v>
      </c>
      <c r="J1317" s="117" t="str">
        <f t="shared" si="222"/>
        <v>no</v>
      </c>
      <c r="K1317" s="267" t="s">
        <v>616</v>
      </c>
      <c r="L1317" s="117" t="str">
        <f t="shared" si="232"/>
        <v>detailed</v>
      </c>
      <c r="M1317" s="117" t="str">
        <f t="shared" si="223"/>
        <v>detailed Mining</v>
      </c>
      <c r="N1317" s="269">
        <v>225072</v>
      </c>
      <c r="O1317" s="269"/>
      <c r="P1317" s="269"/>
      <c r="Q1317" s="269"/>
      <c r="R1317" s="269"/>
      <c r="S1317" s="267" t="s">
        <v>610</v>
      </c>
      <c r="T1317" s="270">
        <v>72.516709165814987</v>
      </c>
      <c r="U1317" s="267" t="s">
        <v>611</v>
      </c>
      <c r="V1317" s="267" t="s">
        <v>1923</v>
      </c>
      <c r="W1317" s="275">
        <f>N1317*T1317</f>
        <v>16321480.765368311</v>
      </c>
      <c r="X1317" s="267"/>
      <c r="Y1317" s="267"/>
      <c r="Z1317" s="267"/>
      <c r="AA1317" s="275"/>
      <c r="AB1317" s="275"/>
      <c r="AC1317" s="609"/>
      <c r="AD1317" s="609"/>
      <c r="AE1317" s="609"/>
      <c r="AF1317" s="610"/>
      <c r="AG1317" s="267"/>
      <c r="AH1317" s="274"/>
      <c r="AI1317" s="267"/>
      <c r="AJ1317" s="267"/>
      <c r="AK1317" s="275"/>
      <c r="AL1317" s="267"/>
      <c r="AM1317" s="267"/>
      <c r="AN1317" s="267"/>
      <c r="AO1317" s="267"/>
      <c r="AP1317" s="267"/>
      <c r="AQ1317" s="267"/>
      <c r="AR1317" s="277"/>
      <c r="AS1317" s="267"/>
      <c r="AT1317" s="267"/>
      <c r="AU1317" s="267"/>
      <c r="AV1317" s="278"/>
      <c r="AW1317" s="117">
        <f>VLOOKUP($D1317,'WB Data'!$C$3:$M$578,2,FALSE)</f>
        <v>5397121962.0242481</v>
      </c>
      <c r="AX1317" s="117">
        <f>VLOOKUP($D1317,'WB Data'!$C$3:$M$578,3,FALSE)</f>
        <v>15302948</v>
      </c>
      <c r="AY1317" s="847">
        <f t="shared" si="226"/>
        <v>2.651963471557385E-2</v>
      </c>
      <c r="AZ1317" s="117" t="e">
        <f>VLOOKUP($D1317,'WB Data'!$C$3:$M$578,4,FALSE)/100</f>
        <v>#VALUE!</v>
      </c>
      <c r="BA1317" s="117" t="str">
        <f t="shared" si="227"/>
        <v>..</v>
      </c>
      <c r="BB1317" s="129">
        <f>IFERROR(VLOOKUP($D1317,'EITI Revenues'!$C$2:$G$224,5,FALSE),"..")</f>
        <v>143129702.9482843</v>
      </c>
      <c r="BC1317" s="846" t="str">
        <f t="shared" si="228"/>
        <v>..</v>
      </c>
      <c r="BD1317" s="129">
        <f>VLOOKUP($D1317,'WB Data 2'!$C$2:$K$545,6,FALSE)</f>
        <v>610037796.85982037</v>
      </c>
      <c r="BE1317" s="129">
        <f>IFERROR(VLOOKUP($D1317,UNCTAD!$C$5:$V$529,4,FALSE),"..")</f>
        <v>1096776000</v>
      </c>
      <c r="BF1317" s="846">
        <f t="shared" si="229"/>
        <v>0.55621001632039757</v>
      </c>
      <c r="BG1317" s="117">
        <f>VLOOKUP($D1317,'WB Data'!$C$3:$M$578,5,FALSE)</f>
        <v>469290000</v>
      </c>
      <c r="BH1317" s="129">
        <f>IFERROR($BB1317/$BG1317,"..")</f>
        <v>0.30499201548783117</v>
      </c>
      <c r="BI1317" s="117">
        <f>IFERROR(VLOOKUP($D1317,'WB Data'!$C$3:$M$578,7,FALSE)/100,"..")</f>
        <v>4.5260300000000003E-2</v>
      </c>
      <c r="BJ1317" s="117">
        <f>IFERROR($BI1317*$AW1317,"..")</f>
        <v>244275359.13780609</v>
      </c>
      <c r="BK1317" s="846">
        <f>IFERROR($BB1317/$BJ1317,"..")</f>
        <v>0.58593590222720238</v>
      </c>
      <c r="BL1317" s="117">
        <f>IFERROR(VLOOKUP($D1317,'WB Data'!$C$3:$M$578,7,FALSE)/100,"..")</f>
        <v>4.5260300000000003E-2</v>
      </c>
      <c r="BM1317" s="117">
        <f>IFERROR($AW1317*$BL1317,"..")</f>
        <v>244275359.13780609</v>
      </c>
      <c r="BN1317" s="846">
        <f>IFERROR($BB1317/$BM1317,"..")</f>
        <v>0.58593590222720238</v>
      </c>
      <c r="BO1317" s="801">
        <f t="shared" si="225"/>
        <v>35</v>
      </c>
      <c r="BP1317" s="117" t="str">
        <f>VLOOKUP($D1317,'WB Data'!$C$3:$M$578,9,FALSE)</f>
        <v>..</v>
      </c>
      <c r="BQ1317" s="117">
        <f>VLOOKUP($D1317,'WB Data'!$C$3:$M$578,10,FALSE)</f>
        <v>56.468219512195127</v>
      </c>
      <c r="BR1317" s="117">
        <f>VLOOKUP($D1317,'WB Data'!$C$3:$M$578,11,FALSE)</f>
        <v>68.8</v>
      </c>
      <c r="BS1317" s="129">
        <f>IFERROR(VLOOKUP($D1317,'WB Data 2'!$C$2:$K$545,9,FALSE),"..")</f>
        <v>52.717500000000001</v>
      </c>
      <c r="BT1317" s="129" t="str">
        <f>_xlfn.IFNA(VLOOKUP($C1317,RGI!$A$2:$C$43,2,FALSE),"..")</f>
        <v>..</v>
      </c>
      <c r="BU1317" s="129" t="str">
        <f>_xlfn.IFNA(VLOOKUP($C1317,RGI!$A$2:$C$43,3,FALSE),"..")</f>
        <v>..</v>
      </c>
      <c r="BV1317" s="129">
        <f>VLOOKUP($D1317,WGI!$C$2:$O$478,7,FALSE)</f>
        <v>-0.78435006215137004</v>
      </c>
      <c r="BW1317" s="129">
        <f>VLOOKUP($D1317,WGI!$C$2:$O$478,4,FALSE)</f>
        <v>-1.15669978560293</v>
      </c>
      <c r="BX1317" s="129">
        <f>VLOOKUP($D1317,WGI!$C$2:$O$478,3,FALSE)</f>
        <v>-0.66111858643714605</v>
      </c>
      <c r="BY1317" s="129">
        <f>VLOOKUP($D1317,WGI!$C$2:$O$478,5,FALSE)</f>
        <v>-0.48242411907739402</v>
      </c>
      <c r="BZ1317" s="129">
        <f>VLOOKUP($D1317,WGI!$C$2:$O$478,2,FALSE)</f>
        <v>-0.60858375851193602</v>
      </c>
    </row>
    <row r="1318" spans="1:80" ht="15" customHeight="1">
      <c r="A1318" s="315" t="s">
        <v>404</v>
      </c>
      <c r="B1318" s="368">
        <v>2009</v>
      </c>
      <c r="C1318" s="817" t="s">
        <v>394</v>
      </c>
      <c r="D1318" s="117" t="s">
        <v>3641</v>
      </c>
      <c r="E1318" s="581" t="s">
        <v>86</v>
      </c>
      <c r="F1318" s="267"/>
      <c r="G1318" s="267" t="s">
        <v>24</v>
      </c>
      <c r="H1318" s="117" t="str">
        <f t="shared" si="231"/>
        <v>yes</v>
      </c>
      <c r="I1318" s="117" t="str">
        <f t="shared" si="221"/>
        <v>no</v>
      </c>
      <c r="J1318" s="117" t="str">
        <f t="shared" si="222"/>
        <v>no</v>
      </c>
      <c r="K1318" s="267" t="s">
        <v>1904</v>
      </c>
      <c r="L1318" s="117" t="str">
        <f t="shared" si="232"/>
        <v>detailed</v>
      </c>
      <c r="M1318" s="117" t="str">
        <f t="shared" si="223"/>
        <v>detailed Mining</v>
      </c>
      <c r="N1318" s="269">
        <f>2067*32.150743126506</f>
        <v>66455.586042487907</v>
      </c>
      <c r="O1318" s="269"/>
      <c r="P1318" s="269"/>
      <c r="Q1318" s="269"/>
      <c r="R1318" s="269"/>
      <c r="S1318" s="267" t="s">
        <v>785</v>
      </c>
      <c r="T1318" s="270">
        <v>972.96591666666995</v>
      </c>
      <c r="U1318" s="267" t="s">
        <v>786</v>
      </c>
      <c r="V1318" s="267" t="s">
        <v>841</v>
      </c>
      <c r="W1318" s="275">
        <f>N1318*T1318</f>
        <v>64659020.19145</v>
      </c>
      <c r="X1318" s="267"/>
      <c r="Y1318" s="267"/>
      <c r="Z1318" s="267"/>
      <c r="AA1318" s="275"/>
      <c r="AB1318" s="275"/>
      <c r="AC1318" s="609"/>
      <c r="AD1318" s="609"/>
      <c r="AE1318" s="609"/>
      <c r="AF1318" s="610"/>
      <c r="AG1318" s="267"/>
      <c r="AH1318" s="274"/>
      <c r="AI1318" s="267"/>
      <c r="AJ1318" s="267"/>
      <c r="AK1318" s="275"/>
      <c r="AL1318" s="267"/>
      <c r="AM1318" s="267"/>
      <c r="AN1318" s="267"/>
      <c r="AO1318" s="267"/>
      <c r="AP1318" s="267"/>
      <c r="AQ1318" s="267"/>
      <c r="AR1318" s="277"/>
      <c r="AS1318" s="267"/>
      <c r="AT1318" s="267"/>
      <c r="AU1318" s="267"/>
      <c r="AV1318" s="278"/>
      <c r="AW1318" s="117">
        <f>VLOOKUP($D1318,'WB Data'!$C$3:$M$578,2,FALSE)</f>
        <v>5397121962.0242481</v>
      </c>
      <c r="AX1318" s="117">
        <f>VLOOKUP($D1318,'WB Data'!$C$3:$M$578,3,FALSE)</f>
        <v>15302948</v>
      </c>
      <c r="AY1318" s="847">
        <f t="shared" si="226"/>
        <v>2.651963471557385E-2</v>
      </c>
      <c r="AZ1318" s="117" t="e">
        <f>VLOOKUP($D1318,'WB Data'!$C$3:$M$578,4,FALSE)/100</f>
        <v>#VALUE!</v>
      </c>
      <c r="BA1318" s="117" t="str">
        <f t="shared" si="227"/>
        <v>..</v>
      </c>
      <c r="BB1318" s="129">
        <f>IFERROR(VLOOKUP($D1318,'EITI Revenues'!$C$2:$G$224,5,FALSE),"..")</f>
        <v>143129702.9482843</v>
      </c>
      <c r="BC1318" s="846" t="str">
        <f t="shared" si="228"/>
        <v>..</v>
      </c>
      <c r="BD1318" s="129">
        <f>VLOOKUP($D1318,'WB Data 2'!$C$2:$K$545,6,FALSE)</f>
        <v>610037796.85982037</v>
      </c>
      <c r="BE1318" s="129">
        <f>IFERROR(VLOOKUP($D1318,UNCTAD!$C$5:$V$529,4,FALSE),"..")</f>
        <v>1096776000</v>
      </c>
      <c r="BF1318" s="846">
        <f t="shared" si="229"/>
        <v>0.55621001632039757</v>
      </c>
      <c r="BG1318" s="117">
        <f>VLOOKUP($D1318,'WB Data'!$C$3:$M$578,5,FALSE)</f>
        <v>469290000</v>
      </c>
      <c r="BH1318" s="129">
        <f>IFERROR($BB1318/$BG1318,"..")</f>
        <v>0.30499201548783117</v>
      </c>
      <c r="BI1318" s="117">
        <f>IFERROR(VLOOKUP($D1318,'WB Data'!$C$3:$M$578,7,FALSE)/100,"..")</f>
        <v>4.5260300000000003E-2</v>
      </c>
      <c r="BJ1318" s="117">
        <f>IFERROR($BI1318*$AW1318,"..")</f>
        <v>244275359.13780609</v>
      </c>
      <c r="BK1318" s="846">
        <f>IFERROR($BB1318/$BJ1318,"..")</f>
        <v>0.58593590222720238</v>
      </c>
      <c r="BL1318" s="117">
        <f>IFERROR(VLOOKUP($D1318,'WB Data'!$C$3:$M$578,7,FALSE)/100,"..")</f>
        <v>4.5260300000000003E-2</v>
      </c>
      <c r="BM1318" s="117">
        <f>IFERROR($AW1318*$BL1318,"..")</f>
        <v>244275359.13780609</v>
      </c>
      <c r="BN1318" s="846">
        <f>IFERROR($BB1318/$BM1318,"..")</f>
        <v>0.58593590222720238</v>
      </c>
      <c r="BO1318" s="801">
        <f t="shared" si="225"/>
        <v>35</v>
      </c>
      <c r="BP1318" s="117" t="str">
        <f>VLOOKUP($D1318,'WB Data'!$C$3:$M$578,9,FALSE)</f>
        <v>..</v>
      </c>
      <c r="BQ1318" s="117">
        <f>VLOOKUP($D1318,'WB Data'!$C$3:$M$578,10,FALSE)</f>
        <v>56.468219512195127</v>
      </c>
      <c r="BR1318" s="117">
        <f>VLOOKUP($D1318,'WB Data'!$C$3:$M$578,11,FALSE)</f>
        <v>68.8</v>
      </c>
      <c r="BS1318" s="129">
        <f>IFERROR(VLOOKUP($D1318,'WB Data 2'!$C$2:$K$545,9,FALSE),"..")</f>
        <v>52.717500000000001</v>
      </c>
      <c r="BT1318" s="129" t="str">
        <f>_xlfn.IFNA(VLOOKUP($C1318,RGI!$A$2:$C$43,2,FALSE),"..")</f>
        <v>..</v>
      </c>
      <c r="BU1318" s="129" t="str">
        <f>_xlfn.IFNA(VLOOKUP($C1318,RGI!$A$2:$C$43,3,FALSE),"..")</f>
        <v>..</v>
      </c>
      <c r="BV1318" s="129">
        <f>VLOOKUP($D1318,WGI!$C$2:$O$478,7,FALSE)</f>
        <v>-0.78435006215137004</v>
      </c>
      <c r="BW1318" s="129">
        <f>VLOOKUP($D1318,WGI!$C$2:$O$478,4,FALSE)</f>
        <v>-1.15669978560293</v>
      </c>
      <c r="BX1318" s="129">
        <f>VLOOKUP($D1318,WGI!$C$2:$O$478,3,FALSE)</f>
        <v>-0.66111858643714605</v>
      </c>
      <c r="BY1318" s="129">
        <f>VLOOKUP($D1318,WGI!$C$2:$O$478,5,FALSE)</f>
        <v>-0.48242411907739402</v>
      </c>
      <c r="BZ1318" s="129">
        <f>VLOOKUP($D1318,WGI!$C$2:$O$478,2,FALSE)</f>
        <v>-0.60858375851193602</v>
      </c>
    </row>
    <row r="1319" spans="1:80" ht="15" customHeight="1">
      <c r="A1319" s="315" t="s">
        <v>404</v>
      </c>
      <c r="B1319" s="368">
        <v>2009</v>
      </c>
      <c r="C1319" s="817" t="s">
        <v>394</v>
      </c>
      <c r="D1319" s="117" t="s">
        <v>3641</v>
      </c>
      <c r="E1319" s="581" t="s">
        <v>86</v>
      </c>
      <c r="F1319" s="267"/>
      <c r="G1319" s="267" t="s">
        <v>24</v>
      </c>
      <c r="H1319" s="117" t="str">
        <f t="shared" si="231"/>
        <v>yes</v>
      </c>
      <c r="I1319" s="117" t="str">
        <f t="shared" si="221"/>
        <v>no</v>
      </c>
      <c r="J1319" s="117" t="str">
        <f t="shared" si="222"/>
        <v>no</v>
      </c>
      <c r="K1319" s="267" t="s">
        <v>1147</v>
      </c>
      <c r="L1319" s="117" t="str">
        <f t="shared" si="232"/>
        <v>detailed</v>
      </c>
      <c r="M1319" s="117" t="str">
        <f t="shared" si="223"/>
        <v>detailed Mining</v>
      </c>
      <c r="N1319" s="269">
        <v>1400</v>
      </c>
      <c r="O1319" s="269"/>
      <c r="P1319" s="269"/>
      <c r="Q1319" s="269"/>
      <c r="R1319" s="269"/>
      <c r="S1319" s="267" t="s">
        <v>610</v>
      </c>
      <c r="T1319" s="270">
        <v>73.67</v>
      </c>
      <c r="U1319" s="267" t="s">
        <v>611</v>
      </c>
      <c r="V1319" s="267" t="s">
        <v>1172</v>
      </c>
      <c r="W1319" s="275">
        <f>N1319*T1319</f>
        <v>103138</v>
      </c>
      <c r="X1319" s="267"/>
      <c r="Y1319" s="267"/>
      <c r="Z1319" s="267"/>
      <c r="AA1319" s="275"/>
      <c r="AB1319" s="275"/>
      <c r="AC1319" s="609"/>
      <c r="AD1319" s="609"/>
      <c r="AE1319" s="609"/>
      <c r="AF1319" s="610"/>
      <c r="AG1319" s="267"/>
      <c r="AH1319" s="274"/>
      <c r="AI1319" s="267"/>
      <c r="AJ1319" s="267"/>
      <c r="AK1319" s="275"/>
      <c r="AL1319" s="267"/>
      <c r="AM1319" s="267"/>
      <c r="AN1319" s="267"/>
      <c r="AO1319" s="267"/>
      <c r="AP1319" s="267"/>
      <c r="AQ1319" s="267"/>
      <c r="AR1319" s="277"/>
      <c r="AS1319" s="267"/>
      <c r="AT1319" s="267"/>
      <c r="AU1319" s="267"/>
      <c r="AV1319" s="278"/>
      <c r="AW1319" s="117">
        <f>VLOOKUP($D1319,'WB Data'!$C$3:$M$578,2,FALSE)</f>
        <v>5397121962.0242481</v>
      </c>
      <c r="AX1319" s="117">
        <f>VLOOKUP($D1319,'WB Data'!$C$3:$M$578,3,FALSE)</f>
        <v>15302948</v>
      </c>
      <c r="AY1319" s="847">
        <f t="shared" si="226"/>
        <v>2.651963471557385E-2</v>
      </c>
      <c r="AZ1319" s="117" t="e">
        <f>VLOOKUP($D1319,'WB Data'!$C$3:$M$578,4,FALSE)/100</f>
        <v>#VALUE!</v>
      </c>
      <c r="BA1319" s="117" t="str">
        <f t="shared" si="227"/>
        <v>..</v>
      </c>
      <c r="BB1319" s="129">
        <f>IFERROR(VLOOKUP($D1319,'EITI Revenues'!$C$2:$G$224,5,FALSE),"..")</f>
        <v>143129702.9482843</v>
      </c>
      <c r="BC1319" s="846" t="str">
        <f t="shared" si="228"/>
        <v>..</v>
      </c>
      <c r="BD1319" s="129">
        <f>VLOOKUP($D1319,'WB Data 2'!$C$2:$K$545,6,FALSE)</f>
        <v>610037796.85982037</v>
      </c>
      <c r="BE1319" s="129">
        <f>IFERROR(VLOOKUP($D1319,UNCTAD!$C$5:$V$529,4,FALSE),"..")</f>
        <v>1096776000</v>
      </c>
      <c r="BF1319" s="846">
        <f t="shared" si="229"/>
        <v>0.55621001632039757</v>
      </c>
      <c r="BG1319" s="117">
        <f>VLOOKUP($D1319,'WB Data'!$C$3:$M$578,5,FALSE)</f>
        <v>469290000</v>
      </c>
      <c r="BH1319" s="129">
        <f>IFERROR($BB1319/$BG1319,"..")</f>
        <v>0.30499201548783117</v>
      </c>
      <c r="BI1319" s="117">
        <f>IFERROR(VLOOKUP($D1319,'WB Data'!$C$3:$M$578,7,FALSE)/100,"..")</f>
        <v>4.5260300000000003E-2</v>
      </c>
      <c r="BJ1319" s="117">
        <f>IFERROR($BI1319*$AW1319,"..")</f>
        <v>244275359.13780609</v>
      </c>
      <c r="BK1319" s="846">
        <f>IFERROR($BB1319/$BJ1319,"..")</f>
        <v>0.58593590222720238</v>
      </c>
      <c r="BL1319" s="117">
        <f>IFERROR(VLOOKUP($D1319,'WB Data'!$C$3:$M$578,7,FALSE)/100,"..")</f>
        <v>4.5260300000000003E-2</v>
      </c>
      <c r="BM1319" s="117">
        <f>IFERROR($AW1319*$BL1319,"..")</f>
        <v>244275359.13780609</v>
      </c>
      <c r="BN1319" s="846">
        <f>IFERROR($BB1319/$BM1319,"..")</f>
        <v>0.58593590222720238</v>
      </c>
      <c r="BO1319" s="801">
        <f t="shared" si="225"/>
        <v>35</v>
      </c>
      <c r="BP1319" s="117" t="str">
        <f>VLOOKUP($D1319,'WB Data'!$C$3:$M$578,9,FALSE)</f>
        <v>..</v>
      </c>
      <c r="BQ1319" s="117">
        <f>VLOOKUP($D1319,'WB Data'!$C$3:$M$578,10,FALSE)</f>
        <v>56.468219512195127</v>
      </c>
      <c r="BR1319" s="117">
        <f>VLOOKUP($D1319,'WB Data'!$C$3:$M$578,11,FALSE)</f>
        <v>68.8</v>
      </c>
      <c r="BS1319" s="129">
        <f>IFERROR(VLOOKUP($D1319,'WB Data 2'!$C$2:$K$545,9,FALSE),"..")</f>
        <v>52.717500000000001</v>
      </c>
      <c r="BT1319" s="129" t="str">
        <f>_xlfn.IFNA(VLOOKUP($C1319,RGI!$A$2:$C$43,2,FALSE),"..")</f>
        <v>..</v>
      </c>
      <c r="BU1319" s="129" t="str">
        <f>_xlfn.IFNA(VLOOKUP($C1319,RGI!$A$2:$C$43,3,FALSE),"..")</f>
        <v>..</v>
      </c>
      <c r="BV1319" s="129">
        <f>VLOOKUP($D1319,WGI!$C$2:$O$478,7,FALSE)</f>
        <v>-0.78435006215137004</v>
      </c>
      <c r="BW1319" s="129">
        <f>VLOOKUP($D1319,WGI!$C$2:$O$478,4,FALSE)</f>
        <v>-1.15669978560293</v>
      </c>
      <c r="BX1319" s="129">
        <f>VLOOKUP($D1319,WGI!$C$2:$O$478,3,FALSE)</f>
        <v>-0.66111858643714605</v>
      </c>
      <c r="BY1319" s="129">
        <f>VLOOKUP($D1319,WGI!$C$2:$O$478,5,FALSE)</f>
        <v>-0.48242411907739402</v>
      </c>
      <c r="BZ1319" s="129">
        <f>VLOOKUP($D1319,WGI!$C$2:$O$478,2,FALSE)</f>
        <v>-0.60858375851193602</v>
      </c>
    </row>
    <row r="1320" spans="1:80" ht="15" customHeight="1">
      <c r="A1320" s="315" t="s">
        <v>404</v>
      </c>
      <c r="B1320" s="368">
        <v>2009</v>
      </c>
      <c r="C1320" s="817" t="s">
        <v>394</v>
      </c>
      <c r="D1320" s="117" t="s">
        <v>3641</v>
      </c>
      <c r="E1320" s="581" t="s">
        <v>86</v>
      </c>
      <c r="F1320" s="267"/>
      <c r="G1320" s="267" t="s">
        <v>24</v>
      </c>
      <c r="H1320" s="117" t="str">
        <f t="shared" si="231"/>
        <v>yes</v>
      </c>
      <c r="I1320" s="117" t="str">
        <f t="shared" si="221"/>
        <v>no</v>
      </c>
      <c r="J1320" s="117" t="str">
        <f t="shared" si="222"/>
        <v>no</v>
      </c>
      <c r="K1320" s="267" t="s">
        <v>1466</v>
      </c>
      <c r="L1320" s="117" t="str">
        <f t="shared" si="232"/>
        <v>detailed</v>
      </c>
      <c r="M1320" s="117" t="str">
        <f t="shared" si="223"/>
        <v>detailed Mining</v>
      </c>
      <c r="N1320" s="269">
        <v>3243</v>
      </c>
      <c r="O1320" s="269"/>
      <c r="P1320" s="269"/>
      <c r="Q1320" s="269"/>
      <c r="R1320" s="269"/>
      <c r="S1320" s="267" t="s">
        <v>610</v>
      </c>
      <c r="T1320" s="270"/>
      <c r="U1320" s="267"/>
      <c r="V1320" s="267" t="s">
        <v>847</v>
      </c>
      <c r="W1320" s="275"/>
      <c r="X1320" s="267"/>
      <c r="Y1320" s="267"/>
      <c r="Z1320" s="267"/>
      <c r="AA1320" s="275"/>
      <c r="AB1320" s="275"/>
      <c r="AC1320" s="609"/>
      <c r="AD1320" s="609"/>
      <c r="AE1320" s="609"/>
      <c r="AF1320" s="610"/>
      <c r="AG1320" s="267"/>
      <c r="AH1320" s="274"/>
      <c r="AI1320" s="267"/>
      <c r="AJ1320" s="267"/>
      <c r="AK1320" s="275"/>
      <c r="AL1320" s="267"/>
      <c r="AM1320" s="267"/>
      <c r="AN1320" s="267"/>
      <c r="AO1320" s="267"/>
      <c r="AP1320" s="267"/>
      <c r="AQ1320" s="267"/>
      <c r="AR1320" s="277"/>
      <c r="AS1320" s="267"/>
      <c r="AT1320" s="267"/>
      <c r="AU1320" s="267"/>
      <c r="AV1320" s="278"/>
      <c r="AW1320" s="117">
        <f>VLOOKUP($D1320,'WB Data'!$C$3:$M$578,2,FALSE)</f>
        <v>5397121962.0242481</v>
      </c>
      <c r="AX1320" s="117">
        <f>VLOOKUP($D1320,'WB Data'!$C$3:$M$578,3,FALSE)</f>
        <v>15302948</v>
      </c>
      <c r="AY1320" s="847">
        <f t="shared" si="226"/>
        <v>2.651963471557385E-2</v>
      </c>
      <c r="AZ1320" s="117" t="e">
        <f>VLOOKUP($D1320,'WB Data'!$C$3:$M$578,4,FALSE)/100</f>
        <v>#VALUE!</v>
      </c>
      <c r="BA1320" s="117" t="str">
        <f t="shared" si="227"/>
        <v>..</v>
      </c>
      <c r="BB1320" s="129">
        <f>IFERROR(VLOOKUP($D1320,'EITI Revenues'!$C$2:$G$224,5,FALSE),"..")</f>
        <v>143129702.9482843</v>
      </c>
      <c r="BC1320" s="846" t="str">
        <f t="shared" si="228"/>
        <v>..</v>
      </c>
      <c r="BD1320" s="129">
        <f>VLOOKUP($D1320,'WB Data 2'!$C$2:$K$545,6,FALSE)</f>
        <v>610037796.85982037</v>
      </c>
      <c r="BE1320" s="129">
        <f>IFERROR(VLOOKUP($D1320,UNCTAD!$C$5:$V$529,4,FALSE),"..")</f>
        <v>1096776000</v>
      </c>
      <c r="BF1320" s="846">
        <f t="shared" si="229"/>
        <v>0.55621001632039757</v>
      </c>
      <c r="BG1320" s="117">
        <f>VLOOKUP($D1320,'WB Data'!$C$3:$M$578,5,FALSE)</f>
        <v>469290000</v>
      </c>
      <c r="BH1320" s="129">
        <f>IFERROR($BB1320/$BG1320,"..")</f>
        <v>0.30499201548783117</v>
      </c>
      <c r="BI1320" s="117">
        <f>IFERROR(VLOOKUP($D1320,'WB Data'!$C$3:$M$578,7,FALSE)/100,"..")</f>
        <v>4.5260300000000003E-2</v>
      </c>
      <c r="BJ1320" s="117">
        <f>IFERROR($BI1320*$AW1320,"..")</f>
        <v>244275359.13780609</v>
      </c>
      <c r="BK1320" s="846">
        <f>IFERROR($BB1320/$BJ1320,"..")</f>
        <v>0.58593590222720238</v>
      </c>
      <c r="BL1320" s="117">
        <f>IFERROR(VLOOKUP($D1320,'WB Data'!$C$3:$M$578,7,FALSE)/100,"..")</f>
        <v>4.5260300000000003E-2</v>
      </c>
      <c r="BM1320" s="117">
        <f>IFERROR($AW1320*$BL1320,"..")</f>
        <v>244275359.13780609</v>
      </c>
      <c r="BN1320" s="846">
        <f>IFERROR($BB1320/$BM1320,"..")</f>
        <v>0.58593590222720238</v>
      </c>
      <c r="BO1320" s="801">
        <f t="shared" si="225"/>
        <v>35</v>
      </c>
      <c r="BP1320" s="117" t="str">
        <f>VLOOKUP($D1320,'WB Data'!$C$3:$M$578,9,FALSE)</f>
        <v>..</v>
      </c>
      <c r="BQ1320" s="117">
        <f>VLOOKUP($D1320,'WB Data'!$C$3:$M$578,10,FALSE)</f>
        <v>56.468219512195127</v>
      </c>
      <c r="BR1320" s="117">
        <f>VLOOKUP($D1320,'WB Data'!$C$3:$M$578,11,FALSE)</f>
        <v>68.8</v>
      </c>
      <c r="BS1320" s="129">
        <f>IFERROR(VLOOKUP($D1320,'WB Data 2'!$C$2:$K$545,9,FALSE),"..")</f>
        <v>52.717500000000001</v>
      </c>
      <c r="BT1320" s="129" t="str">
        <f>_xlfn.IFNA(VLOOKUP($C1320,RGI!$A$2:$C$43,2,FALSE),"..")</f>
        <v>..</v>
      </c>
      <c r="BU1320" s="129" t="str">
        <f>_xlfn.IFNA(VLOOKUP($C1320,RGI!$A$2:$C$43,3,FALSE),"..")</f>
        <v>..</v>
      </c>
      <c r="BV1320" s="129">
        <f>VLOOKUP($D1320,WGI!$C$2:$O$478,7,FALSE)</f>
        <v>-0.78435006215137004</v>
      </c>
      <c r="BW1320" s="129">
        <f>VLOOKUP($D1320,WGI!$C$2:$O$478,4,FALSE)</f>
        <v>-1.15669978560293</v>
      </c>
      <c r="BX1320" s="129">
        <f>VLOOKUP($D1320,WGI!$C$2:$O$478,3,FALSE)</f>
        <v>-0.66111858643714605</v>
      </c>
      <c r="BY1320" s="129">
        <f>VLOOKUP($D1320,WGI!$C$2:$O$478,5,FALSE)</f>
        <v>-0.48242411907739402</v>
      </c>
      <c r="BZ1320" s="129">
        <f>VLOOKUP($D1320,WGI!$C$2:$O$478,2,FALSE)</f>
        <v>-0.60858375851193602</v>
      </c>
    </row>
    <row r="1321" spans="1:80" s="144" customFormat="1" ht="15" customHeight="1">
      <c r="A1321" s="296" t="s">
        <v>406</v>
      </c>
      <c r="B1321" s="228">
        <v>2010</v>
      </c>
      <c r="C1321" s="808" t="s">
        <v>394</v>
      </c>
      <c r="D1321" s="117" t="s">
        <v>3675</v>
      </c>
      <c r="E1321" s="450" t="s">
        <v>86</v>
      </c>
      <c r="F1321" s="132" t="s">
        <v>1918</v>
      </c>
      <c r="G1321" s="132" t="s">
        <v>24</v>
      </c>
      <c r="H1321" s="117" t="str">
        <f t="shared" si="231"/>
        <v>yes</v>
      </c>
      <c r="I1321" s="117" t="str">
        <f t="shared" si="221"/>
        <v>no</v>
      </c>
      <c r="J1321" s="117" t="str">
        <f t="shared" si="222"/>
        <v>no</v>
      </c>
      <c r="K1321" s="132" t="s">
        <v>709</v>
      </c>
      <c r="L1321" s="117" t="str">
        <f t="shared" si="232"/>
        <v>Total</v>
      </c>
      <c r="M1321" s="117" t="str">
        <f t="shared" si="223"/>
        <v>Total Mining</v>
      </c>
      <c r="N1321" s="238"/>
      <c r="O1321" s="238"/>
      <c r="P1321" s="238"/>
      <c r="Q1321" s="238"/>
      <c r="R1321" s="238"/>
      <c r="S1321" s="132"/>
      <c r="T1321" s="134"/>
      <c r="U1321" s="132"/>
      <c r="V1321" s="132"/>
      <c r="W1321" s="89">
        <f>SUM(W1322:W1324)</f>
        <v>98169065.773352399</v>
      </c>
      <c r="X1321" s="132" t="s">
        <v>1150</v>
      </c>
      <c r="Y1321" s="132" t="s">
        <v>602</v>
      </c>
      <c r="Z1321" s="132"/>
      <c r="AA1321" s="616">
        <v>109503726.04387245</v>
      </c>
      <c r="AB1321" s="616">
        <v>107544027.23628214</v>
      </c>
      <c r="AC1321" s="599"/>
      <c r="AD1321" s="599"/>
      <c r="AE1321" s="599"/>
      <c r="AF1321" s="600">
        <f>AA1321/W1321</f>
        <v>1.1154606105419085</v>
      </c>
      <c r="AG1321" s="132" t="s">
        <v>836</v>
      </c>
      <c r="AH1321" s="140">
        <v>486.41</v>
      </c>
      <c r="AI1321" s="132" t="s">
        <v>722</v>
      </c>
      <c r="AJ1321" s="132"/>
      <c r="AK1321" s="135"/>
      <c r="AL1321" s="132"/>
      <c r="AM1321" s="132"/>
      <c r="AN1321" s="132">
        <v>73</v>
      </c>
      <c r="AO1321" s="132" t="s">
        <v>1924</v>
      </c>
      <c r="AP1321" s="132">
        <v>50</v>
      </c>
      <c r="AQ1321" s="132" t="s">
        <v>79</v>
      </c>
      <c r="AR1321" s="141">
        <v>41958</v>
      </c>
      <c r="AS1321" s="132" t="s">
        <v>1922</v>
      </c>
      <c r="AT1321" s="142" t="s">
        <v>407</v>
      </c>
      <c r="AU1321" s="132" t="s">
        <v>1925</v>
      </c>
      <c r="AV1321" s="143" t="s">
        <v>1926</v>
      </c>
      <c r="AW1321" s="117">
        <f>VLOOKUP($D1321,'WB Data'!$C$3:$M$578,2,FALSE)</f>
        <v>5718589550.1634874</v>
      </c>
      <c r="AX1321" s="117">
        <f>VLOOKUP($D1321,'WB Data'!$C$3:$M$578,3,FALSE)</f>
        <v>15893746</v>
      </c>
      <c r="AY1321" s="847">
        <f t="shared" si="226"/>
        <v>1.9148729784382212E-2</v>
      </c>
      <c r="AZ1321" s="117" t="e">
        <f>VLOOKUP($D1321,'WB Data'!$C$3:$M$578,4,FALSE)/100</f>
        <v>#VALUE!</v>
      </c>
      <c r="BA1321" s="117" t="str">
        <f t="shared" si="227"/>
        <v>..</v>
      </c>
      <c r="BB1321" s="129">
        <f>IFERROR(VLOOKUP($D1321,'EITI Revenues'!$C$2:$G$224,5,FALSE),"..")</f>
        <v>109503726.04387245</v>
      </c>
      <c r="BC1321" s="846" t="str">
        <f t="shared" si="228"/>
        <v>..</v>
      </c>
      <c r="BD1321" s="129">
        <f>VLOOKUP($D1321,'WB Data 2'!$C$2:$K$545,6,FALSE)</f>
        <v>706189996.34099317</v>
      </c>
      <c r="BE1321" s="129">
        <f>IFERROR(VLOOKUP($D1321,UNCTAD!$C$5:$V$529,4,FALSE),"..")</f>
        <v>1270168000</v>
      </c>
      <c r="BF1321" s="846">
        <f t="shared" si="229"/>
        <v>0.55598156806107002</v>
      </c>
      <c r="BG1321" s="117">
        <f>VLOOKUP($D1321,'WB Data'!$C$3:$M$578,5,FALSE)</f>
        <v>744520000</v>
      </c>
      <c r="BH1321" s="129">
        <f>IFERROR($BB1321/$BG1321,"..")</f>
        <v>0.14707962988754156</v>
      </c>
      <c r="BI1321" s="117">
        <f>IFERROR(VLOOKUP($D1321,'WB Data'!$C$3:$M$578,7,FALSE)/100,"..")</f>
        <v>3.7333900000000003E-2</v>
      </c>
      <c r="BJ1321" s="117">
        <f>IFERROR($BI1321*$AW1321,"..")</f>
        <v>213497250.40684864</v>
      </c>
      <c r="BK1321" s="846">
        <f>IFERROR($BB1321/$BJ1321,"..")</f>
        <v>0.51290461977940183</v>
      </c>
      <c r="BL1321" s="117">
        <f>IFERROR(VLOOKUP($D1321,'WB Data'!$C$3:$M$578,7,FALSE)/100,"..")</f>
        <v>3.7333900000000003E-2</v>
      </c>
      <c r="BM1321" s="117">
        <f>IFERROR($AW1321*$BL1321,"..")</f>
        <v>213497250.40684864</v>
      </c>
      <c r="BN1321" s="846">
        <f>IFERROR($BB1321/$BM1321,"..")</f>
        <v>0.51290461977940183</v>
      </c>
      <c r="BO1321" s="801">
        <f t="shared" si="225"/>
        <v>35</v>
      </c>
      <c r="BP1321" s="117" t="str">
        <f>VLOOKUP($D1321,'WB Data'!$C$3:$M$578,9,FALSE)</f>
        <v>..</v>
      </c>
      <c r="BQ1321" s="117">
        <f>VLOOKUP($D1321,'WB Data'!$C$3:$M$578,10,FALSE)</f>
        <v>56.985634146341468</v>
      </c>
      <c r="BR1321" s="117">
        <f>VLOOKUP($D1321,'WB Data'!$C$3:$M$578,11,FALSE)</f>
        <v>66.099999999999994</v>
      </c>
      <c r="BS1321" s="129">
        <f>IFERROR(VLOOKUP($D1321,'WB Data 2'!$C$2:$K$545,9,FALSE),"..")</f>
        <v>56.970750000000002</v>
      </c>
      <c r="BT1321" s="129" t="str">
        <f>_xlfn.IFNA(VLOOKUP($C1321,RGI!$A$2:$C$43,2,FALSE),"..")</f>
        <v>..</v>
      </c>
      <c r="BU1321" s="129" t="str">
        <f>_xlfn.IFNA(VLOOKUP($C1321,RGI!$A$2:$C$43,3,FALSE),"..")</f>
        <v>..</v>
      </c>
      <c r="BV1321" s="129">
        <f>VLOOKUP($D1321,WGI!$C$2:$O$478,7,FALSE)</f>
        <v>-0.66823919544980104</v>
      </c>
      <c r="BW1321" s="129">
        <f>VLOOKUP($D1321,WGI!$C$2:$O$478,4,FALSE)</f>
        <v>-1.1754146989248599</v>
      </c>
      <c r="BX1321" s="129">
        <f>VLOOKUP($D1321,WGI!$C$2:$O$478,3,FALSE)</f>
        <v>-0.66564869018927197</v>
      </c>
      <c r="BY1321" s="129">
        <f>VLOOKUP($D1321,WGI!$C$2:$O$478,5,FALSE)</f>
        <v>-0.51060959829524299</v>
      </c>
      <c r="BZ1321" s="129">
        <f>VLOOKUP($D1321,WGI!$C$2:$O$478,2,FALSE)</f>
        <v>-0.66761756527553595</v>
      </c>
      <c r="CB1321" s="129"/>
    </row>
    <row r="1322" spans="1:80" s="120" customFormat="1" ht="15" customHeight="1">
      <c r="A1322" s="294" t="s">
        <v>406</v>
      </c>
      <c r="B1322" s="214">
        <v>2010</v>
      </c>
      <c r="C1322" s="809" t="s">
        <v>394</v>
      </c>
      <c r="D1322" s="117" t="s">
        <v>3675</v>
      </c>
      <c r="E1322" s="452" t="s">
        <v>86</v>
      </c>
      <c r="F1322" s="117"/>
      <c r="G1322" s="117" t="s">
        <v>24</v>
      </c>
      <c r="H1322" s="117" t="str">
        <f t="shared" si="231"/>
        <v>yes</v>
      </c>
      <c r="I1322" s="117" t="str">
        <f t="shared" si="221"/>
        <v>no</v>
      </c>
      <c r="J1322" s="117" t="str">
        <f t="shared" si="222"/>
        <v>no</v>
      </c>
      <c r="K1322" s="117" t="s">
        <v>616</v>
      </c>
      <c r="L1322" s="117" t="str">
        <f t="shared" si="232"/>
        <v>detailed</v>
      </c>
      <c r="M1322" s="117" t="str">
        <f t="shared" si="223"/>
        <v>detailed Mining</v>
      </c>
      <c r="N1322" s="179">
        <v>246558</v>
      </c>
      <c r="O1322" s="179"/>
      <c r="P1322" s="179"/>
      <c r="Q1322" s="179"/>
      <c r="R1322" s="179"/>
      <c r="S1322" s="117" t="s">
        <v>610</v>
      </c>
      <c r="T1322" s="119">
        <v>89.852021850427363</v>
      </c>
      <c r="U1322" s="117" t="s">
        <v>611</v>
      </c>
      <c r="V1322" s="117" t="s">
        <v>1923</v>
      </c>
      <c r="W1322" s="89">
        <f>N1322*T1322</f>
        <v>22153734.80339767</v>
      </c>
      <c r="X1322" s="117"/>
      <c r="Y1322" s="117"/>
      <c r="Z1322" s="117"/>
      <c r="AA1322" s="89"/>
      <c r="AB1322" s="89"/>
      <c r="AC1322" s="240"/>
      <c r="AD1322" s="240"/>
      <c r="AE1322" s="240"/>
      <c r="AF1322" s="241"/>
      <c r="AG1322" s="117"/>
      <c r="AH1322" s="124"/>
      <c r="AI1322" s="117"/>
      <c r="AJ1322" s="117"/>
      <c r="AK1322" s="89"/>
      <c r="AL1322" s="117"/>
      <c r="AM1322" s="117"/>
      <c r="AN1322" s="117"/>
      <c r="AO1322" s="117"/>
      <c r="AP1322" s="117"/>
      <c r="AQ1322" s="117"/>
      <c r="AR1322" s="126"/>
      <c r="AS1322" s="117"/>
      <c r="AT1322" s="117"/>
      <c r="AU1322" s="117"/>
      <c r="AV1322" s="128"/>
      <c r="AW1322" s="117">
        <f>VLOOKUP($D1322,'WB Data'!$C$3:$M$578,2,FALSE)</f>
        <v>5718589550.1634874</v>
      </c>
      <c r="AX1322" s="117">
        <f>VLOOKUP($D1322,'WB Data'!$C$3:$M$578,3,FALSE)</f>
        <v>15893746</v>
      </c>
      <c r="AY1322" s="847">
        <f t="shared" si="226"/>
        <v>1.9148729784382212E-2</v>
      </c>
      <c r="AZ1322" s="117" t="e">
        <f>VLOOKUP($D1322,'WB Data'!$C$3:$M$578,4,FALSE)/100</f>
        <v>#VALUE!</v>
      </c>
      <c r="BA1322" s="117" t="str">
        <f t="shared" si="227"/>
        <v>..</v>
      </c>
      <c r="BB1322" s="129">
        <f>IFERROR(VLOOKUP($D1322,'EITI Revenues'!$C$2:$G$224,5,FALSE),"..")</f>
        <v>109503726.04387245</v>
      </c>
      <c r="BC1322" s="846" t="str">
        <f t="shared" si="228"/>
        <v>..</v>
      </c>
      <c r="BD1322" s="129">
        <f>VLOOKUP($D1322,'WB Data 2'!$C$2:$K$545,6,FALSE)</f>
        <v>706189996.34099317</v>
      </c>
      <c r="BE1322" s="129">
        <f>IFERROR(VLOOKUP($D1322,UNCTAD!$C$5:$V$529,4,FALSE),"..")</f>
        <v>1270168000</v>
      </c>
      <c r="BF1322" s="846">
        <f t="shared" si="229"/>
        <v>0.55598156806107002</v>
      </c>
      <c r="BG1322" s="117">
        <f>VLOOKUP($D1322,'WB Data'!$C$3:$M$578,5,FALSE)</f>
        <v>744520000</v>
      </c>
      <c r="BH1322" s="129">
        <f>IFERROR($BB1322/$BG1322,"..")</f>
        <v>0.14707962988754156</v>
      </c>
      <c r="BI1322" s="117">
        <f>IFERROR(VLOOKUP($D1322,'WB Data'!$C$3:$M$578,7,FALSE)/100,"..")</f>
        <v>3.7333900000000003E-2</v>
      </c>
      <c r="BJ1322" s="117">
        <f>IFERROR($BI1322*$AW1322,"..")</f>
        <v>213497250.40684864</v>
      </c>
      <c r="BK1322" s="846">
        <f>IFERROR($BB1322/$BJ1322,"..")</f>
        <v>0.51290461977940183</v>
      </c>
      <c r="BL1322" s="117">
        <f>IFERROR(VLOOKUP($D1322,'WB Data'!$C$3:$M$578,7,FALSE)/100,"..")</f>
        <v>3.7333900000000003E-2</v>
      </c>
      <c r="BM1322" s="117">
        <f>IFERROR($AW1322*$BL1322,"..")</f>
        <v>213497250.40684864</v>
      </c>
      <c r="BN1322" s="846">
        <f>IFERROR($BB1322/$BM1322,"..")</f>
        <v>0.51290461977940183</v>
      </c>
      <c r="BO1322" s="801">
        <f t="shared" si="225"/>
        <v>35</v>
      </c>
      <c r="BP1322" s="117" t="str">
        <f>VLOOKUP($D1322,'WB Data'!$C$3:$M$578,9,FALSE)</f>
        <v>..</v>
      </c>
      <c r="BQ1322" s="117">
        <f>VLOOKUP($D1322,'WB Data'!$C$3:$M$578,10,FALSE)</f>
        <v>56.985634146341468</v>
      </c>
      <c r="BR1322" s="117">
        <f>VLOOKUP($D1322,'WB Data'!$C$3:$M$578,11,FALSE)</f>
        <v>66.099999999999994</v>
      </c>
      <c r="BS1322" s="129">
        <f>IFERROR(VLOOKUP($D1322,'WB Data 2'!$C$2:$K$545,9,FALSE),"..")</f>
        <v>56.970750000000002</v>
      </c>
      <c r="BT1322" s="129" t="str">
        <f>_xlfn.IFNA(VLOOKUP($C1322,RGI!$A$2:$C$43,2,FALSE),"..")</f>
        <v>..</v>
      </c>
      <c r="BU1322" s="129" t="str">
        <f>_xlfn.IFNA(VLOOKUP($C1322,RGI!$A$2:$C$43,3,FALSE),"..")</f>
        <v>..</v>
      </c>
      <c r="BV1322" s="129">
        <f>VLOOKUP($D1322,WGI!$C$2:$O$478,7,FALSE)</f>
        <v>-0.66823919544980104</v>
      </c>
      <c r="BW1322" s="129">
        <f>VLOOKUP($D1322,WGI!$C$2:$O$478,4,FALSE)</f>
        <v>-1.1754146989248599</v>
      </c>
      <c r="BX1322" s="129">
        <f>VLOOKUP($D1322,WGI!$C$2:$O$478,3,FALSE)</f>
        <v>-0.66564869018927197</v>
      </c>
      <c r="BY1322" s="129">
        <f>VLOOKUP($D1322,WGI!$C$2:$O$478,5,FALSE)</f>
        <v>-0.51060959829524299</v>
      </c>
      <c r="BZ1322" s="129">
        <f>VLOOKUP($D1322,WGI!$C$2:$O$478,2,FALSE)</f>
        <v>-0.66761756527553595</v>
      </c>
      <c r="CB1322" s="129"/>
    </row>
    <row r="1323" spans="1:80" s="120" customFormat="1" ht="15" customHeight="1">
      <c r="A1323" s="294" t="s">
        <v>406</v>
      </c>
      <c r="B1323" s="214">
        <v>2010</v>
      </c>
      <c r="C1323" s="809" t="s">
        <v>394</v>
      </c>
      <c r="D1323" s="117" t="s">
        <v>3675</v>
      </c>
      <c r="E1323" s="452" t="s">
        <v>86</v>
      </c>
      <c r="F1323" s="117"/>
      <c r="G1323" s="117" t="s">
        <v>24</v>
      </c>
      <c r="H1323" s="117" t="str">
        <f t="shared" si="231"/>
        <v>yes</v>
      </c>
      <c r="I1323" s="117" t="str">
        <f t="shared" ref="I1323:I1390" si="233">IF($G1323="Gas","yes",IF($G1323="Oil, Gas, Mining","yes",IF($G1323="Gas, Mining","yes",IF($G1323="Oil, Gas","yes",IF($G1323="Oil, Gas, Other","yes","no")))))</f>
        <v>no</v>
      </c>
      <c r="J1323" s="117" t="str">
        <f t="shared" ref="J1323:J1390" si="234">IF($G1323="Oil","yes",IF($G1323="Oil, Gas, Mining","yes",IF($G1323="Oil, Mining","yes",IF($G1323="Oil, Gas","yes",IF($G1323="Oil, Gas, Other","yes","no")))))</f>
        <v>no</v>
      </c>
      <c r="K1323" s="117" t="s">
        <v>1904</v>
      </c>
      <c r="L1323" s="117" t="str">
        <f t="shared" si="232"/>
        <v>detailed</v>
      </c>
      <c r="M1323" s="117" t="str">
        <f t="shared" ref="M1323:M1390" si="235">L1323&amp;" "&amp;G1323</f>
        <v>detailed Mining</v>
      </c>
      <c r="N1323" s="179">
        <f>1929*32.150743126506</f>
        <v>62018.783491030073</v>
      </c>
      <c r="O1323" s="179"/>
      <c r="P1323" s="179"/>
      <c r="Q1323" s="179"/>
      <c r="R1323" s="179"/>
      <c r="S1323" s="117" t="s">
        <v>785</v>
      </c>
      <c r="T1323" s="119">
        <v>1224.66425</v>
      </c>
      <c r="U1323" s="117" t="s">
        <v>786</v>
      </c>
      <c r="V1323" s="117" t="s">
        <v>841</v>
      </c>
      <c r="W1323" s="89">
        <f>N1323*T1323</f>
        <v>75952186.969954729</v>
      </c>
      <c r="X1323" s="117"/>
      <c r="Y1323" s="117"/>
      <c r="Z1323" s="117"/>
      <c r="AA1323" s="89"/>
      <c r="AB1323" s="89"/>
      <c r="AC1323" s="240"/>
      <c r="AD1323" s="240"/>
      <c r="AE1323" s="240"/>
      <c r="AF1323" s="241"/>
      <c r="AG1323" s="117"/>
      <c r="AH1323" s="124"/>
      <c r="AI1323" s="117"/>
      <c r="AJ1323" s="117"/>
      <c r="AK1323" s="89"/>
      <c r="AL1323" s="117"/>
      <c r="AM1323" s="117"/>
      <c r="AN1323" s="117"/>
      <c r="AO1323" s="117"/>
      <c r="AP1323" s="117"/>
      <c r="AQ1323" s="117"/>
      <c r="AR1323" s="126"/>
      <c r="AS1323" s="117"/>
      <c r="AT1323" s="117"/>
      <c r="AU1323" s="117"/>
      <c r="AV1323" s="128"/>
      <c r="AW1323" s="117">
        <f>VLOOKUP($D1323,'WB Data'!$C$3:$M$578,2,FALSE)</f>
        <v>5718589550.1634874</v>
      </c>
      <c r="AX1323" s="117">
        <f>VLOOKUP($D1323,'WB Data'!$C$3:$M$578,3,FALSE)</f>
        <v>15893746</v>
      </c>
      <c r="AY1323" s="847">
        <f t="shared" si="226"/>
        <v>1.9148729784382212E-2</v>
      </c>
      <c r="AZ1323" s="117" t="e">
        <f>VLOOKUP($D1323,'WB Data'!$C$3:$M$578,4,FALSE)/100</f>
        <v>#VALUE!</v>
      </c>
      <c r="BA1323" s="117" t="str">
        <f t="shared" si="227"/>
        <v>..</v>
      </c>
      <c r="BB1323" s="129">
        <f>IFERROR(VLOOKUP($D1323,'EITI Revenues'!$C$2:$G$224,5,FALSE),"..")</f>
        <v>109503726.04387245</v>
      </c>
      <c r="BC1323" s="846" t="str">
        <f t="shared" si="228"/>
        <v>..</v>
      </c>
      <c r="BD1323" s="129">
        <f>VLOOKUP($D1323,'WB Data 2'!$C$2:$K$545,6,FALSE)</f>
        <v>706189996.34099317</v>
      </c>
      <c r="BE1323" s="129">
        <f>IFERROR(VLOOKUP($D1323,UNCTAD!$C$5:$V$529,4,FALSE),"..")</f>
        <v>1270168000</v>
      </c>
      <c r="BF1323" s="846">
        <f t="shared" si="229"/>
        <v>0.55598156806107002</v>
      </c>
      <c r="BG1323" s="117">
        <f>VLOOKUP($D1323,'WB Data'!$C$3:$M$578,5,FALSE)</f>
        <v>744520000</v>
      </c>
      <c r="BH1323" s="129">
        <f>IFERROR($BB1323/$BG1323,"..")</f>
        <v>0.14707962988754156</v>
      </c>
      <c r="BI1323" s="117">
        <f>IFERROR(VLOOKUP($D1323,'WB Data'!$C$3:$M$578,7,FALSE)/100,"..")</f>
        <v>3.7333900000000003E-2</v>
      </c>
      <c r="BJ1323" s="117">
        <f>IFERROR($BI1323*$AW1323,"..")</f>
        <v>213497250.40684864</v>
      </c>
      <c r="BK1323" s="846">
        <f>IFERROR($BB1323/$BJ1323,"..")</f>
        <v>0.51290461977940183</v>
      </c>
      <c r="BL1323" s="117">
        <f>IFERROR(VLOOKUP($D1323,'WB Data'!$C$3:$M$578,7,FALSE)/100,"..")</f>
        <v>3.7333900000000003E-2</v>
      </c>
      <c r="BM1323" s="117">
        <f>IFERROR($AW1323*$BL1323,"..")</f>
        <v>213497250.40684864</v>
      </c>
      <c r="BN1323" s="846">
        <f>IFERROR($BB1323/$BM1323,"..")</f>
        <v>0.51290461977940183</v>
      </c>
      <c r="BO1323" s="801">
        <f t="shared" si="225"/>
        <v>35</v>
      </c>
      <c r="BP1323" s="117" t="str">
        <f>VLOOKUP($D1323,'WB Data'!$C$3:$M$578,9,FALSE)</f>
        <v>..</v>
      </c>
      <c r="BQ1323" s="117">
        <f>VLOOKUP($D1323,'WB Data'!$C$3:$M$578,10,FALSE)</f>
        <v>56.985634146341468</v>
      </c>
      <c r="BR1323" s="117">
        <f>VLOOKUP($D1323,'WB Data'!$C$3:$M$578,11,FALSE)</f>
        <v>66.099999999999994</v>
      </c>
      <c r="BS1323" s="129">
        <f>IFERROR(VLOOKUP($D1323,'WB Data 2'!$C$2:$K$545,9,FALSE),"..")</f>
        <v>56.970750000000002</v>
      </c>
      <c r="BT1323" s="129" t="str">
        <f>_xlfn.IFNA(VLOOKUP($C1323,RGI!$A$2:$C$43,2,FALSE),"..")</f>
        <v>..</v>
      </c>
      <c r="BU1323" s="129" t="str">
        <f>_xlfn.IFNA(VLOOKUP($C1323,RGI!$A$2:$C$43,3,FALSE),"..")</f>
        <v>..</v>
      </c>
      <c r="BV1323" s="129">
        <f>VLOOKUP($D1323,WGI!$C$2:$O$478,7,FALSE)</f>
        <v>-0.66823919544980104</v>
      </c>
      <c r="BW1323" s="129">
        <f>VLOOKUP($D1323,WGI!$C$2:$O$478,4,FALSE)</f>
        <v>-1.1754146989248599</v>
      </c>
      <c r="BX1323" s="129">
        <f>VLOOKUP($D1323,WGI!$C$2:$O$478,3,FALSE)</f>
        <v>-0.66564869018927197</v>
      </c>
      <c r="BY1323" s="129">
        <f>VLOOKUP($D1323,WGI!$C$2:$O$478,5,FALSE)</f>
        <v>-0.51060959829524299</v>
      </c>
      <c r="BZ1323" s="129">
        <f>VLOOKUP($D1323,WGI!$C$2:$O$478,2,FALSE)</f>
        <v>-0.66761756527553595</v>
      </c>
      <c r="CB1323" s="129"/>
    </row>
    <row r="1324" spans="1:80" s="120" customFormat="1" ht="15" customHeight="1">
      <c r="A1324" s="294" t="s">
        <v>406</v>
      </c>
      <c r="B1324" s="214">
        <v>2010</v>
      </c>
      <c r="C1324" s="809" t="s">
        <v>394</v>
      </c>
      <c r="D1324" s="117" t="s">
        <v>3675</v>
      </c>
      <c r="E1324" s="452" t="s">
        <v>86</v>
      </c>
      <c r="F1324" s="117"/>
      <c r="G1324" s="117" t="s">
        <v>24</v>
      </c>
      <c r="H1324" s="117" t="str">
        <f t="shared" si="231"/>
        <v>yes</v>
      </c>
      <c r="I1324" s="117" t="str">
        <f t="shared" si="233"/>
        <v>no</v>
      </c>
      <c r="J1324" s="117" t="str">
        <f t="shared" si="234"/>
        <v>no</v>
      </c>
      <c r="K1324" s="117" t="s">
        <v>1147</v>
      </c>
      <c r="L1324" s="117" t="str">
        <f t="shared" si="232"/>
        <v>detailed</v>
      </c>
      <c r="M1324" s="117" t="str">
        <f t="shared" si="235"/>
        <v>detailed Mining</v>
      </c>
      <c r="N1324" s="179">
        <v>900</v>
      </c>
      <c r="O1324" s="179"/>
      <c r="P1324" s="179"/>
      <c r="Q1324" s="179"/>
      <c r="R1324" s="179"/>
      <c r="S1324" s="117" t="s">
        <v>610</v>
      </c>
      <c r="T1324" s="119">
        <v>70.16</v>
      </c>
      <c r="U1324" s="117" t="s">
        <v>611</v>
      </c>
      <c r="V1324" s="117" t="s">
        <v>1172</v>
      </c>
      <c r="W1324" s="89">
        <f>N1324*T1324</f>
        <v>63144</v>
      </c>
      <c r="X1324" s="117"/>
      <c r="Y1324" s="117"/>
      <c r="Z1324" s="117"/>
      <c r="AA1324" s="89"/>
      <c r="AB1324" s="89"/>
      <c r="AC1324" s="240"/>
      <c r="AD1324" s="240"/>
      <c r="AE1324" s="240"/>
      <c r="AF1324" s="241"/>
      <c r="AG1324" s="117"/>
      <c r="AH1324" s="124"/>
      <c r="AI1324" s="117"/>
      <c r="AJ1324" s="117"/>
      <c r="AK1324" s="89"/>
      <c r="AL1324" s="117"/>
      <c r="AM1324" s="117"/>
      <c r="AN1324" s="117"/>
      <c r="AO1324" s="117"/>
      <c r="AP1324" s="117"/>
      <c r="AQ1324" s="117"/>
      <c r="AR1324" s="126"/>
      <c r="AS1324" s="117"/>
      <c r="AT1324" s="117"/>
      <c r="AU1324" s="117"/>
      <c r="AV1324" s="128"/>
      <c r="AW1324" s="117">
        <f>VLOOKUP($D1324,'WB Data'!$C$3:$M$578,2,FALSE)</f>
        <v>5718589550.1634874</v>
      </c>
      <c r="AX1324" s="117">
        <f>VLOOKUP($D1324,'WB Data'!$C$3:$M$578,3,FALSE)</f>
        <v>15893746</v>
      </c>
      <c r="AY1324" s="847">
        <f t="shared" si="226"/>
        <v>1.9148729784382212E-2</v>
      </c>
      <c r="AZ1324" s="117" t="e">
        <f>VLOOKUP($D1324,'WB Data'!$C$3:$M$578,4,FALSE)/100</f>
        <v>#VALUE!</v>
      </c>
      <c r="BA1324" s="117" t="str">
        <f t="shared" si="227"/>
        <v>..</v>
      </c>
      <c r="BB1324" s="129">
        <f>IFERROR(VLOOKUP($D1324,'EITI Revenues'!$C$2:$G$224,5,FALSE),"..")</f>
        <v>109503726.04387245</v>
      </c>
      <c r="BC1324" s="846" t="str">
        <f t="shared" si="228"/>
        <v>..</v>
      </c>
      <c r="BD1324" s="129">
        <f>VLOOKUP($D1324,'WB Data 2'!$C$2:$K$545,6,FALSE)</f>
        <v>706189996.34099317</v>
      </c>
      <c r="BE1324" s="129">
        <f>IFERROR(VLOOKUP($D1324,UNCTAD!$C$5:$V$529,4,FALSE),"..")</f>
        <v>1270168000</v>
      </c>
      <c r="BF1324" s="846">
        <f t="shared" si="229"/>
        <v>0.55598156806107002</v>
      </c>
      <c r="BG1324" s="117">
        <f>VLOOKUP($D1324,'WB Data'!$C$3:$M$578,5,FALSE)</f>
        <v>744520000</v>
      </c>
      <c r="BH1324" s="129">
        <f>IFERROR($BB1324/$BG1324,"..")</f>
        <v>0.14707962988754156</v>
      </c>
      <c r="BI1324" s="117">
        <f>IFERROR(VLOOKUP($D1324,'WB Data'!$C$3:$M$578,7,FALSE)/100,"..")</f>
        <v>3.7333900000000003E-2</v>
      </c>
      <c r="BJ1324" s="117">
        <f>IFERROR($BI1324*$AW1324,"..")</f>
        <v>213497250.40684864</v>
      </c>
      <c r="BK1324" s="846">
        <f>IFERROR($BB1324/$BJ1324,"..")</f>
        <v>0.51290461977940183</v>
      </c>
      <c r="BL1324" s="117">
        <f>IFERROR(VLOOKUP($D1324,'WB Data'!$C$3:$M$578,7,FALSE)/100,"..")</f>
        <v>3.7333900000000003E-2</v>
      </c>
      <c r="BM1324" s="117">
        <f>IFERROR($AW1324*$BL1324,"..")</f>
        <v>213497250.40684864</v>
      </c>
      <c r="BN1324" s="846">
        <f>IFERROR($BB1324/$BM1324,"..")</f>
        <v>0.51290461977940183</v>
      </c>
      <c r="BO1324" s="801">
        <f t="shared" si="225"/>
        <v>35</v>
      </c>
      <c r="BP1324" s="117" t="str">
        <f>VLOOKUP($D1324,'WB Data'!$C$3:$M$578,9,FALSE)</f>
        <v>..</v>
      </c>
      <c r="BQ1324" s="117">
        <f>VLOOKUP($D1324,'WB Data'!$C$3:$M$578,10,FALSE)</f>
        <v>56.985634146341468</v>
      </c>
      <c r="BR1324" s="117">
        <f>VLOOKUP($D1324,'WB Data'!$C$3:$M$578,11,FALSE)</f>
        <v>66.099999999999994</v>
      </c>
      <c r="BS1324" s="129">
        <f>IFERROR(VLOOKUP($D1324,'WB Data 2'!$C$2:$K$545,9,FALSE),"..")</f>
        <v>56.970750000000002</v>
      </c>
      <c r="BT1324" s="129" t="str">
        <f>_xlfn.IFNA(VLOOKUP($C1324,RGI!$A$2:$C$43,2,FALSE),"..")</f>
        <v>..</v>
      </c>
      <c r="BU1324" s="129" t="str">
        <f>_xlfn.IFNA(VLOOKUP($C1324,RGI!$A$2:$C$43,3,FALSE),"..")</f>
        <v>..</v>
      </c>
      <c r="BV1324" s="129">
        <f>VLOOKUP($D1324,WGI!$C$2:$O$478,7,FALSE)</f>
        <v>-0.66823919544980104</v>
      </c>
      <c r="BW1324" s="129">
        <f>VLOOKUP($D1324,WGI!$C$2:$O$478,4,FALSE)</f>
        <v>-1.1754146989248599</v>
      </c>
      <c r="BX1324" s="129">
        <f>VLOOKUP($D1324,WGI!$C$2:$O$478,3,FALSE)</f>
        <v>-0.66564869018927197</v>
      </c>
      <c r="BY1324" s="129">
        <f>VLOOKUP($D1324,WGI!$C$2:$O$478,5,FALSE)</f>
        <v>-0.51060959829524299</v>
      </c>
      <c r="BZ1324" s="129">
        <f>VLOOKUP($D1324,WGI!$C$2:$O$478,2,FALSE)</f>
        <v>-0.66761756527553595</v>
      </c>
      <c r="CB1324" s="129"/>
    </row>
    <row r="1325" spans="1:80" s="158" customFormat="1" ht="15" customHeight="1">
      <c r="A1325" s="295" t="s">
        <v>406</v>
      </c>
      <c r="B1325" s="218">
        <v>2010</v>
      </c>
      <c r="C1325" s="810" t="s">
        <v>394</v>
      </c>
      <c r="D1325" s="117" t="s">
        <v>3675</v>
      </c>
      <c r="E1325" s="453" t="s">
        <v>86</v>
      </c>
      <c r="F1325" s="149"/>
      <c r="G1325" s="117" t="s">
        <v>24</v>
      </c>
      <c r="H1325" s="117" t="str">
        <f t="shared" si="231"/>
        <v>yes</v>
      </c>
      <c r="I1325" s="117" t="str">
        <f t="shared" si="233"/>
        <v>no</v>
      </c>
      <c r="J1325" s="117" t="str">
        <f t="shared" si="234"/>
        <v>no</v>
      </c>
      <c r="K1325" s="149" t="s">
        <v>1466</v>
      </c>
      <c r="L1325" s="117" t="str">
        <f t="shared" si="232"/>
        <v>detailed</v>
      </c>
      <c r="M1325" s="117" t="str">
        <f t="shared" si="235"/>
        <v>detailed Mining</v>
      </c>
      <c r="N1325" s="216">
        <v>4198</v>
      </c>
      <c r="O1325" s="216"/>
      <c r="P1325" s="216"/>
      <c r="Q1325" s="216"/>
      <c r="R1325" s="216"/>
      <c r="S1325" s="149" t="s">
        <v>610</v>
      </c>
      <c r="T1325" s="151"/>
      <c r="U1325" s="149"/>
      <c r="V1325" s="149" t="s">
        <v>847</v>
      </c>
      <c r="W1325" s="152"/>
      <c r="X1325" s="149"/>
      <c r="Y1325" s="149"/>
      <c r="Z1325" s="149"/>
      <c r="AA1325" s="152"/>
      <c r="AB1325" s="152"/>
      <c r="AC1325" s="288"/>
      <c r="AD1325" s="288"/>
      <c r="AE1325" s="288"/>
      <c r="AF1325" s="285"/>
      <c r="AG1325" s="149"/>
      <c r="AH1325" s="156"/>
      <c r="AI1325" s="149"/>
      <c r="AJ1325" s="149"/>
      <c r="AK1325" s="152"/>
      <c r="AL1325" s="149"/>
      <c r="AM1325" s="149"/>
      <c r="AN1325" s="149"/>
      <c r="AO1325" s="149"/>
      <c r="AP1325" s="149"/>
      <c r="AQ1325" s="149"/>
      <c r="AR1325" s="220"/>
      <c r="AS1325" s="149"/>
      <c r="AT1325" s="149"/>
      <c r="AU1325" s="149"/>
      <c r="AV1325" s="157"/>
      <c r="AW1325" s="117">
        <f>VLOOKUP($D1325,'WB Data'!$C$3:$M$578,2,FALSE)</f>
        <v>5718589550.1634874</v>
      </c>
      <c r="AX1325" s="117">
        <f>VLOOKUP($D1325,'WB Data'!$C$3:$M$578,3,FALSE)</f>
        <v>15893746</v>
      </c>
      <c r="AY1325" s="847">
        <f t="shared" si="226"/>
        <v>1.9148729784382212E-2</v>
      </c>
      <c r="AZ1325" s="117" t="e">
        <f>VLOOKUP($D1325,'WB Data'!$C$3:$M$578,4,FALSE)/100</f>
        <v>#VALUE!</v>
      </c>
      <c r="BA1325" s="117" t="str">
        <f t="shared" si="227"/>
        <v>..</v>
      </c>
      <c r="BB1325" s="129">
        <f>IFERROR(VLOOKUP($D1325,'EITI Revenues'!$C$2:$G$224,5,FALSE),"..")</f>
        <v>109503726.04387245</v>
      </c>
      <c r="BC1325" s="846" t="str">
        <f t="shared" si="228"/>
        <v>..</v>
      </c>
      <c r="BD1325" s="129">
        <f>VLOOKUP($D1325,'WB Data 2'!$C$2:$K$545,6,FALSE)</f>
        <v>706189996.34099317</v>
      </c>
      <c r="BE1325" s="129">
        <f>IFERROR(VLOOKUP($D1325,UNCTAD!$C$5:$V$529,4,FALSE),"..")</f>
        <v>1270168000</v>
      </c>
      <c r="BF1325" s="846">
        <f t="shared" si="229"/>
        <v>0.55598156806107002</v>
      </c>
      <c r="BG1325" s="117">
        <f>VLOOKUP($D1325,'WB Data'!$C$3:$M$578,5,FALSE)</f>
        <v>744520000</v>
      </c>
      <c r="BH1325" s="129">
        <f>IFERROR($BB1325/$BG1325,"..")</f>
        <v>0.14707962988754156</v>
      </c>
      <c r="BI1325" s="117">
        <f>IFERROR(VLOOKUP($D1325,'WB Data'!$C$3:$M$578,7,FALSE)/100,"..")</f>
        <v>3.7333900000000003E-2</v>
      </c>
      <c r="BJ1325" s="117">
        <f>IFERROR($BI1325*$AW1325,"..")</f>
        <v>213497250.40684864</v>
      </c>
      <c r="BK1325" s="846">
        <f>IFERROR($BB1325/$BJ1325,"..")</f>
        <v>0.51290461977940183</v>
      </c>
      <c r="BL1325" s="117">
        <f>IFERROR(VLOOKUP($D1325,'WB Data'!$C$3:$M$578,7,FALSE)/100,"..")</f>
        <v>3.7333900000000003E-2</v>
      </c>
      <c r="BM1325" s="117">
        <f>IFERROR($AW1325*$BL1325,"..")</f>
        <v>213497250.40684864</v>
      </c>
      <c r="BN1325" s="846">
        <f>IFERROR($BB1325/$BM1325,"..")</f>
        <v>0.51290461977940183</v>
      </c>
      <c r="BO1325" s="801">
        <f t="shared" si="225"/>
        <v>35</v>
      </c>
      <c r="BP1325" s="117" t="str">
        <f>VLOOKUP($D1325,'WB Data'!$C$3:$M$578,9,FALSE)</f>
        <v>..</v>
      </c>
      <c r="BQ1325" s="117">
        <f>VLOOKUP($D1325,'WB Data'!$C$3:$M$578,10,FALSE)</f>
        <v>56.985634146341468</v>
      </c>
      <c r="BR1325" s="117">
        <f>VLOOKUP($D1325,'WB Data'!$C$3:$M$578,11,FALSE)</f>
        <v>66.099999999999994</v>
      </c>
      <c r="BS1325" s="129">
        <f>IFERROR(VLOOKUP($D1325,'WB Data 2'!$C$2:$K$545,9,FALSE),"..")</f>
        <v>56.970750000000002</v>
      </c>
      <c r="BT1325" s="129" t="str">
        <f>_xlfn.IFNA(VLOOKUP($C1325,RGI!$A$2:$C$43,2,FALSE),"..")</f>
        <v>..</v>
      </c>
      <c r="BU1325" s="129" t="str">
        <f>_xlfn.IFNA(VLOOKUP($C1325,RGI!$A$2:$C$43,3,FALSE),"..")</f>
        <v>..</v>
      </c>
      <c r="BV1325" s="129">
        <f>VLOOKUP($D1325,WGI!$C$2:$O$478,7,FALSE)</f>
        <v>-0.66823919544980104</v>
      </c>
      <c r="BW1325" s="129">
        <f>VLOOKUP($D1325,WGI!$C$2:$O$478,4,FALSE)</f>
        <v>-1.1754146989248599</v>
      </c>
      <c r="BX1325" s="129">
        <f>VLOOKUP($D1325,WGI!$C$2:$O$478,3,FALSE)</f>
        <v>-0.66564869018927197</v>
      </c>
      <c r="BY1325" s="129">
        <f>VLOOKUP($D1325,WGI!$C$2:$O$478,5,FALSE)</f>
        <v>-0.51060959829524299</v>
      </c>
      <c r="BZ1325" s="129">
        <f>VLOOKUP($D1325,WGI!$C$2:$O$478,2,FALSE)</f>
        <v>-0.66761756527553595</v>
      </c>
      <c r="CB1325" s="129"/>
    </row>
    <row r="1326" spans="1:80" ht="15" customHeight="1">
      <c r="A1326" s="294" t="s">
        <v>408</v>
      </c>
      <c r="B1326" s="214">
        <v>2011</v>
      </c>
      <c r="C1326" s="809" t="s">
        <v>394</v>
      </c>
      <c r="D1326" s="117" t="s">
        <v>3709</v>
      </c>
      <c r="E1326" s="452" t="s">
        <v>86</v>
      </c>
      <c r="F1326" s="117" t="s">
        <v>1918</v>
      </c>
      <c r="G1326" s="132" t="s">
        <v>41</v>
      </c>
      <c r="H1326" s="117" t="str">
        <f t="shared" si="231"/>
        <v>yes</v>
      </c>
      <c r="I1326" s="117" t="str">
        <f t="shared" si="233"/>
        <v>no</v>
      </c>
      <c r="J1326" s="117" t="str">
        <f t="shared" si="234"/>
        <v>yes</v>
      </c>
      <c r="K1326" s="117" t="s">
        <v>709</v>
      </c>
      <c r="L1326" s="117" t="str">
        <f t="shared" si="232"/>
        <v>Total</v>
      </c>
      <c r="M1326" s="117" t="str">
        <f t="shared" si="235"/>
        <v>Total Oil, Mining</v>
      </c>
      <c r="N1326" s="179"/>
      <c r="O1326" s="179"/>
      <c r="P1326" s="179"/>
      <c r="Q1326" s="179"/>
      <c r="R1326" s="179"/>
      <c r="S1326" s="117"/>
      <c r="T1326" s="119"/>
      <c r="U1326" s="117"/>
      <c r="V1326" s="117"/>
      <c r="W1326" s="89">
        <f>W1327+W1328</f>
        <v>383259662.98305523</v>
      </c>
      <c r="X1326" s="117" t="s">
        <v>998</v>
      </c>
      <c r="Y1326" s="117" t="s">
        <v>663</v>
      </c>
      <c r="Z1326" s="117" t="s">
        <v>732</v>
      </c>
      <c r="AA1326" s="90">
        <v>119279040.34148772</v>
      </c>
      <c r="AB1326" s="89">
        <v>117840829.10229464</v>
      </c>
      <c r="AC1326" s="240"/>
      <c r="AD1326" s="240"/>
      <c r="AE1326" s="240"/>
      <c r="AF1326" s="241">
        <f>AA1326/W1326</f>
        <v>0.31122252577558968</v>
      </c>
      <c r="AG1326" s="117" t="s">
        <v>836</v>
      </c>
      <c r="AH1326" s="124">
        <v>461.51</v>
      </c>
      <c r="AI1326" s="117" t="s">
        <v>667</v>
      </c>
      <c r="AJ1326" s="89" t="s">
        <v>1927</v>
      </c>
      <c r="AK1326" s="89">
        <f>68730445/AH1326</f>
        <v>148925.14788411953</v>
      </c>
      <c r="AL1326" s="117"/>
      <c r="AM1326" s="89"/>
      <c r="AN1326" s="117">
        <v>20</v>
      </c>
      <c r="AO1326" s="117" t="s">
        <v>1928</v>
      </c>
      <c r="AP1326" s="117">
        <v>113</v>
      </c>
      <c r="AQ1326" s="117" t="s">
        <v>95</v>
      </c>
      <c r="AR1326" s="126">
        <v>41922</v>
      </c>
      <c r="AS1326" s="117" t="s">
        <v>1929</v>
      </c>
      <c r="AT1326" s="127" t="s">
        <v>409</v>
      </c>
      <c r="AU1326" s="117" t="s">
        <v>1930</v>
      </c>
      <c r="AV1326" s="128" t="s">
        <v>1931</v>
      </c>
      <c r="AW1326" s="117">
        <f>VLOOKUP($D1326,'WB Data'!$C$3:$M$578,2,FALSE)</f>
        <v>6409169698.1069489</v>
      </c>
      <c r="AX1326" s="117">
        <f>VLOOKUP($D1326,'WB Data'!$C$3:$M$578,3,FALSE)</f>
        <v>16511462</v>
      </c>
      <c r="AY1326" s="847">
        <f t="shared" si="226"/>
        <v>1.8610685308694308E-2</v>
      </c>
      <c r="AZ1326" s="117" t="e">
        <f>VLOOKUP($D1326,'WB Data'!$C$3:$M$578,4,FALSE)/100</f>
        <v>#VALUE!</v>
      </c>
      <c r="BA1326" s="117" t="str">
        <f t="shared" si="227"/>
        <v>..</v>
      </c>
      <c r="BB1326" s="129">
        <f>IFERROR(VLOOKUP($D1326,'EITI Revenues'!$C$2:$G$224,5,FALSE),"..")</f>
        <v>119279040.34148772</v>
      </c>
      <c r="BC1326" s="846" t="str">
        <f t="shared" si="228"/>
        <v>..</v>
      </c>
      <c r="BD1326" s="129">
        <f>VLOOKUP($D1326,'WB Data 2'!$C$2:$K$545,6,FALSE)</f>
        <v>875149606.89255786</v>
      </c>
      <c r="BE1326" s="129">
        <f>IFERROR(VLOOKUP($D1326,UNCTAD!$C$5:$V$529,4,FALSE),"..")</f>
        <v>1344090485</v>
      </c>
      <c r="BF1326" s="846">
        <f t="shared" si="229"/>
        <v>0.65110914529876895</v>
      </c>
      <c r="BG1326" s="117">
        <f>VLOOKUP($D1326,'WB Data'!$C$3:$M$578,5,FALSE)</f>
        <v>649500000</v>
      </c>
      <c r="BH1326" s="129">
        <f>IFERROR($BB1326/$BG1326,"..")</f>
        <v>0.18364748320475399</v>
      </c>
      <c r="BI1326" s="117">
        <f>IFERROR(VLOOKUP($D1326,'WB Data'!$C$3:$M$578,7,FALSE)/100,"..")</f>
        <v>4.20542E-2</v>
      </c>
      <c r="BJ1326" s="117">
        <f>IFERROR($BI1326*$AW1326,"..")</f>
        <v>269532504.31812924</v>
      </c>
      <c r="BK1326" s="846">
        <f>IFERROR($BB1326/$BJ1326,"..")</f>
        <v>0.44254046703288391</v>
      </c>
      <c r="BL1326" s="117">
        <f>IFERROR(VLOOKUP($D1326,'WB Data'!$C$3:$M$578,7,FALSE)/100,"..")</f>
        <v>4.20542E-2</v>
      </c>
      <c r="BM1326" s="117">
        <f>IFERROR($AW1326*$BL1326,"..")</f>
        <v>269532504.31812924</v>
      </c>
      <c r="BN1326" s="846">
        <f>IFERROR($BB1326/$BM1326,"..")</f>
        <v>0.44254046703288391</v>
      </c>
      <c r="BO1326" s="801">
        <f t="shared" si="225"/>
        <v>35</v>
      </c>
      <c r="BP1326" s="117" t="str">
        <f>VLOOKUP($D1326,'WB Data'!$C$3:$M$578,9,FALSE)</f>
        <v>..</v>
      </c>
      <c r="BQ1326" s="117">
        <f>VLOOKUP($D1326,'WB Data'!$C$3:$M$578,10,FALSE)</f>
        <v>57.482634146341475</v>
      </c>
      <c r="BR1326" s="117">
        <f>VLOOKUP($D1326,'WB Data'!$C$3:$M$578,11,FALSE)</f>
        <v>63.7</v>
      </c>
      <c r="BS1326" s="129">
        <f>IFERROR(VLOOKUP($D1326,'WB Data 2'!$C$2:$K$545,9,FALSE),"..")</f>
        <v>62.002719999999997</v>
      </c>
      <c r="BT1326" s="129" t="str">
        <f>_xlfn.IFNA(VLOOKUP($C1326,RGI!$A$2:$C$43,2,FALSE),"..")</f>
        <v>..</v>
      </c>
      <c r="BU1326" s="129" t="str">
        <f>_xlfn.IFNA(VLOOKUP($C1326,RGI!$A$2:$C$43,3,FALSE),"..")</f>
        <v>..</v>
      </c>
      <c r="BV1326" s="129">
        <f>VLOOKUP($D1326,WGI!$C$2:$O$478,7,FALSE)</f>
        <v>-0.352969275704617</v>
      </c>
      <c r="BW1326" s="129">
        <f>VLOOKUP($D1326,WGI!$C$2:$O$478,4,FALSE)</f>
        <v>-0.87073551340548005</v>
      </c>
      <c r="BX1326" s="129">
        <f>VLOOKUP($D1326,WGI!$C$2:$O$478,3,FALSE)</f>
        <v>-0.623013538093247</v>
      </c>
      <c r="BY1326" s="129">
        <f>VLOOKUP($D1326,WGI!$C$2:$O$478,5,FALSE)</f>
        <v>-0.52521654966283304</v>
      </c>
      <c r="BZ1326" s="129">
        <f>VLOOKUP($D1326,WGI!$C$2:$O$478,2,FALSE)</f>
        <v>-0.64676699637527801</v>
      </c>
    </row>
    <row r="1327" spans="1:80" ht="15" customHeight="1">
      <c r="A1327" s="294" t="s">
        <v>408</v>
      </c>
      <c r="B1327" s="214">
        <v>2011</v>
      </c>
      <c r="C1327" s="809" t="s">
        <v>394</v>
      </c>
      <c r="D1327" s="117" t="s">
        <v>3709</v>
      </c>
      <c r="E1327" s="452" t="s">
        <v>86</v>
      </c>
      <c r="F1327" s="117"/>
      <c r="G1327" s="117" t="s">
        <v>103</v>
      </c>
      <c r="H1327" s="117" t="str">
        <f t="shared" si="231"/>
        <v>no</v>
      </c>
      <c r="I1327" s="117" t="str">
        <f t="shared" si="233"/>
        <v>no</v>
      </c>
      <c r="J1327" s="117" t="str">
        <f t="shared" si="234"/>
        <v>yes</v>
      </c>
      <c r="K1327" s="117" t="s">
        <v>103</v>
      </c>
      <c r="L1327" s="117" t="str">
        <f t="shared" si="232"/>
        <v>detailed</v>
      </c>
      <c r="M1327" s="117" t="str">
        <f t="shared" si="235"/>
        <v>detailed Oil</v>
      </c>
      <c r="N1327" s="179">
        <v>2445500</v>
      </c>
      <c r="O1327" s="179"/>
      <c r="P1327" s="179"/>
      <c r="Q1327" s="179"/>
      <c r="R1327" s="179"/>
      <c r="S1327" s="117" t="s">
        <v>646</v>
      </c>
      <c r="T1327" s="119">
        <v>106.530653575</v>
      </c>
      <c r="U1327" s="117" t="s">
        <v>673</v>
      </c>
      <c r="V1327" s="117" t="s">
        <v>1030</v>
      </c>
      <c r="W1327" s="89">
        <f>N1327*T1327</f>
        <v>260520713.31766251</v>
      </c>
      <c r="X1327" s="117"/>
      <c r="Y1327" s="117"/>
      <c r="Z1327" s="117"/>
      <c r="AA1327" s="89"/>
      <c r="AB1327" s="89"/>
      <c r="AC1327" s="240"/>
      <c r="AD1327" s="240"/>
      <c r="AE1327" s="240"/>
      <c r="AF1327" s="241"/>
      <c r="AG1327" s="117"/>
      <c r="AH1327" s="124"/>
      <c r="AI1327" s="117"/>
      <c r="AJ1327" s="117"/>
      <c r="AK1327" s="89"/>
      <c r="AL1327" s="117"/>
      <c r="AM1327" s="117"/>
      <c r="AN1327" s="117"/>
      <c r="AO1327" s="117"/>
      <c r="AP1327" s="117"/>
      <c r="AQ1327" s="117"/>
      <c r="AR1327" s="126"/>
      <c r="AS1327" s="117"/>
      <c r="AT1327" s="117"/>
      <c r="AU1327" s="117"/>
      <c r="AV1327" s="128"/>
      <c r="AW1327" s="117">
        <f>VLOOKUP($D1327,'WB Data'!$C$3:$M$578,2,FALSE)</f>
        <v>6409169698.1069489</v>
      </c>
      <c r="AX1327" s="117">
        <f>VLOOKUP($D1327,'WB Data'!$C$3:$M$578,3,FALSE)</f>
        <v>16511462</v>
      </c>
      <c r="AY1327" s="847">
        <f t="shared" si="226"/>
        <v>1.8610685308694308E-2</v>
      </c>
      <c r="AZ1327" s="117" t="e">
        <f>VLOOKUP($D1327,'WB Data'!$C$3:$M$578,4,FALSE)/100</f>
        <v>#VALUE!</v>
      </c>
      <c r="BA1327" s="117" t="str">
        <f t="shared" si="227"/>
        <v>..</v>
      </c>
      <c r="BB1327" s="129">
        <f>IFERROR(VLOOKUP($D1327,'EITI Revenues'!$C$2:$G$224,5,FALSE),"..")</f>
        <v>119279040.34148772</v>
      </c>
      <c r="BC1327" s="846" t="str">
        <f t="shared" si="228"/>
        <v>..</v>
      </c>
      <c r="BD1327" s="129">
        <f>VLOOKUP($D1327,'WB Data 2'!$C$2:$K$545,6,FALSE)</f>
        <v>875149606.89255786</v>
      </c>
      <c r="BE1327" s="129">
        <f>IFERROR(VLOOKUP($D1327,UNCTAD!$C$5:$V$529,4,FALSE),"..")</f>
        <v>1344090485</v>
      </c>
      <c r="BF1327" s="846">
        <f t="shared" si="229"/>
        <v>0.65110914529876895</v>
      </c>
      <c r="BG1327" s="117">
        <f>VLOOKUP($D1327,'WB Data'!$C$3:$M$578,5,FALSE)</f>
        <v>649500000</v>
      </c>
      <c r="BH1327" s="129">
        <f>IFERROR($BB1327/$BG1327,"..")</f>
        <v>0.18364748320475399</v>
      </c>
      <c r="BI1327" s="117">
        <f>IFERROR(VLOOKUP($D1327,'WB Data'!$C$3:$M$578,7,FALSE)/100,"..")</f>
        <v>4.20542E-2</v>
      </c>
      <c r="BJ1327" s="117">
        <f>IFERROR($BI1327*$AW1327,"..")</f>
        <v>269532504.31812924</v>
      </c>
      <c r="BK1327" s="846">
        <f>IFERROR($BB1327/$BJ1327,"..")</f>
        <v>0.44254046703288391</v>
      </c>
      <c r="BL1327" s="117">
        <f>IFERROR(VLOOKUP($D1327,'WB Data'!$C$3:$M$578,7,FALSE)/100,"..")</f>
        <v>4.20542E-2</v>
      </c>
      <c r="BM1327" s="117">
        <f>IFERROR($AW1327*$BL1327,"..")</f>
        <v>269532504.31812924</v>
      </c>
      <c r="BN1327" s="846">
        <f>IFERROR($BB1327/$BM1327,"..")</f>
        <v>0.44254046703288391</v>
      </c>
      <c r="BO1327" s="801">
        <f t="shared" si="225"/>
        <v>35</v>
      </c>
      <c r="BP1327" s="117" t="str">
        <f>VLOOKUP($D1327,'WB Data'!$C$3:$M$578,9,FALSE)</f>
        <v>..</v>
      </c>
      <c r="BQ1327" s="117">
        <f>VLOOKUP($D1327,'WB Data'!$C$3:$M$578,10,FALSE)</f>
        <v>57.482634146341475</v>
      </c>
      <c r="BR1327" s="117">
        <f>VLOOKUP($D1327,'WB Data'!$C$3:$M$578,11,FALSE)</f>
        <v>63.7</v>
      </c>
      <c r="BS1327" s="129">
        <f>IFERROR(VLOOKUP($D1327,'WB Data 2'!$C$2:$K$545,9,FALSE),"..")</f>
        <v>62.002719999999997</v>
      </c>
      <c r="BT1327" s="129" t="str">
        <f>_xlfn.IFNA(VLOOKUP($C1327,RGI!$A$2:$C$43,2,FALSE),"..")</f>
        <v>..</v>
      </c>
      <c r="BU1327" s="129" t="str">
        <f>_xlfn.IFNA(VLOOKUP($C1327,RGI!$A$2:$C$43,3,FALSE),"..")</f>
        <v>..</v>
      </c>
      <c r="BV1327" s="129">
        <f>VLOOKUP($D1327,WGI!$C$2:$O$478,7,FALSE)</f>
        <v>-0.352969275704617</v>
      </c>
      <c r="BW1327" s="129">
        <f>VLOOKUP($D1327,WGI!$C$2:$O$478,4,FALSE)</f>
        <v>-0.87073551340548005</v>
      </c>
      <c r="BX1327" s="129">
        <f>VLOOKUP($D1327,WGI!$C$2:$O$478,3,FALSE)</f>
        <v>-0.623013538093247</v>
      </c>
      <c r="BY1327" s="129">
        <f>VLOOKUP($D1327,WGI!$C$2:$O$478,5,FALSE)</f>
        <v>-0.52521654966283304</v>
      </c>
      <c r="BZ1327" s="129">
        <f>VLOOKUP($D1327,WGI!$C$2:$O$478,2,FALSE)</f>
        <v>-0.64676699637527801</v>
      </c>
    </row>
    <row r="1328" spans="1:80" ht="15" customHeight="1">
      <c r="A1328" s="294" t="s">
        <v>408</v>
      </c>
      <c r="B1328" s="214">
        <v>2011</v>
      </c>
      <c r="C1328" s="809" t="s">
        <v>394</v>
      </c>
      <c r="D1328" s="117" t="s">
        <v>3709</v>
      </c>
      <c r="E1328" s="452" t="s">
        <v>86</v>
      </c>
      <c r="F1328" s="117"/>
      <c r="G1328" s="117" t="s">
        <v>24</v>
      </c>
      <c r="H1328" s="117" t="str">
        <f t="shared" si="231"/>
        <v>yes</v>
      </c>
      <c r="I1328" s="117" t="str">
        <f t="shared" si="233"/>
        <v>no</v>
      </c>
      <c r="J1328" s="117" t="str">
        <f t="shared" si="234"/>
        <v>no</v>
      </c>
      <c r="K1328" s="117" t="s">
        <v>600</v>
      </c>
      <c r="L1328" s="117" t="str">
        <f t="shared" si="232"/>
        <v>Total</v>
      </c>
      <c r="M1328" s="117" t="str">
        <f t="shared" si="235"/>
        <v>Total Mining</v>
      </c>
      <c r="N1328" s="179"/>
      <c r="O1328" s="179"/>
      <c r="P1328" s="179"/>
      <c r="Q1328" s="179"/>
      <c r="R1328" s="179"/>
      <c r="S1328" s="117"/>
      <c r="T1328" s="119"/>
      <c r="U1328" s="117"/>
      <c r="V1328" s="117"/>
      <c r="W1328" s="89">
        <f>SUM(W1329:W1332)</f>
        <v>122738949.6653927</v>
      </c>
      <c r="X1328" s="117"/>
      <c r="Y1328" s="117"/>
      <c r="Z1328" s="117"/>
      <c r="AA1328" s="89"/>
      <c r="AB1328" s="89"/>
      <c r="AC1328" s="240"/>
      <c r="AD1328" s="240"/>
      <c r="AE1328" s="240"/>
      <c r="AF1328" s="241"/>
      <c r="AG1328" s="117"/>
      <c r="AH1328" s="124"/>
      <c r="AI1328" s="117"/>
      <c r="AJ1328" s="117"/>
      <c r="AK1328" s="89"/>
      <c r="AL1328" s="117"/>
      <c r="AM1328" s="117"/>
      <c r="AN1328" s="117"/>
      <c r="AO1328" s="117"/>
      <c r="AP1328" s="117"/>
      <c r="AQ1328" s="117"/>
      <c r="AR1328" s="126"/>
      <c r="AS1328" s="117"/>
      <c r="AT1328" s="117"/>
      <c r="AU1328" s="117"/>
      <c r="AV1328" s="128"/>
      <c r="AW1328" s="117">
        <f>VLOOKUP($D1328,'WB Data'!$C$3:$M$578,2,FALSE)</f>
        <v>6409169698.1069489</v>
      </c>
      <c r="AX1328" s="117">
        <f>VLOOKUP($D1328,'WB Data'!$C$3:$M$578,3,FALSE)</f>
        <v>16511462</v>
      </c>
      <c r="AY1328" s="847">
        <f t="shared" si="226"/>
        <v>1.8610685308694308E-2</v>
      </c>
      <c r="AZ1328" s="117" t="e">
        <f>VLOOKUP($D1328,'WB Data'!$C$3:$M$578,4,FALSE)/100</f>
        <v>#VALUE!</v>
      </c>
      <c r="BA1328" s="117" t="str">
        <f t="shared" si="227"/>
        <v>..</v>
      </c>
      <c r="BB1328" s="129">
        <f>IFERROR(VLOOKUP($D1328,'EITI Revenues'!$C$2:$G$224,5,FALSE),"..")</f>
        <v>119279040.34148772</v>
      </c>
      <c r="BC1328" s="846" t="str">
        <f t="shared" si="228"/>
        <v>..</v>
      </c>
      <c r="BD1328" s="129">
        <f>VLOOKUP($D1328,'WB Data 2'!$C$2:$K$545,6,FALSE)</f>
        <v>875149606.89255786</v>
      </c>
      <c r="BE1328" s="129">
        <f>IFERROR(VLOOKUP($D1328,UNCTAD!$C$5:$V$529,4,FALSE),"..")</f>
        <v>1344090485</v>
      </c>
      <c r="BF1328" s="846">
        <f t="shared" si="229"/>
        <v>0.65110914529876895</v>
      </c>
      <c r="BG1328" s="117">
        <f>VLOOKUP($D1328,'WB Data'!$C$3:$M$578,5,FALSE)</f>
        <v>649500000</v>
      </c>
      <c r="BH1328" s="129">
        <f>IFERROR($BB1328/$BG1328,"..")</f>
        <v>0.18364748320475399</v>
      </c>
      <c r="BI1328" s="117">
        <f>IFERROR(VLOOKUP($D1328,'WB Data'!$C$3:$M$578,7,FALSE)/100,"..")</f>
        <v>4.20542E-2</v>
      </c>
      <c r="BJ1328" s="117">
        <f>IFERROR($BI1328*$AW1328,"..")</f>
        <v>269532504.31812924</v>
      </c>
      <c r="BK1328" s="846">
        <f>IFERROR($BB1328/$BJ1328,"..")</f>
        <v>0.44254046703288391</v>
      </c>
      <c r="BL1328" s="117">
        <f>IFERROR(VLOOKUP($D1328,'WB Data'!$C$3:$M$578,7,FALSE)/100,"..")</f>
        <v>4.20542E-2</v>
      </c>
      <c r="BM1328" s="117">
        <f>IFERROR($AW1328*$BL1328,"..")</f>
        <v>269532504.31812924</v>
      </c>
      <c r="BN1328" s="846">
        <f>IFERROR($BB1328/$BM1328,"..")</f>
        <v>0.44254046703288391</v>
      </c>
      <c r="BO1328" s="801">
        <f t="shared" si="225"/>
        <v>35</v>
      </c>
      <c r="BP1328" s="117" t="str">
        <f>VLOOKUP($D1328,'WB Data'!$C$3:$M$578,9,FALSE)</f>
        <v>..</v>
      </c>
      <c r="BQ1328" s="117">
        <f>VLOOKUP($D1328,'WB Data'!$C$3:$M$578,10,FALSE)</f>
        <v>57.482634146341475</v>
      </c>
      <c r="BR1328" s="117">
        <f>VLOOKUP($D1328,'WB Data'!$C$3:$M$578,11,FALSE)</f>
        <v>63.7</v>
      </c>
      <c r="BS1328" s="129">
        <f>IFERROR(VLOOKUP($D1328,'WB Data 2'!$C$2:$K$545,9,FALSE),"..")</f>
        <v>62.002719999999997</v>
      </c>
      <c r="BT1328" s="129" t="str">
        <f>_xlfn.IFNA(VLOOKUP($C1328,RGI!$A$2:$C$43,2,FALSE),"..")</f>
        <v>..</v>
      </c>
      <c r="BU1328" s="129" t="str">
        <f>_xlfn.IFNA(VLOOKUP($C1328,RGI!$A$2:$C$43,3,FALSE),"..")</f>
        <v>..</v>
      </c>
      <c r="BV1328" s="129">
        <f>VLOOKUP($D1328,WGI!$C$2:$O$478,7,FALSE)</f>
        <v>-0.352969275704617</v>
      </c>
      <c r="BW1328" s="129">
        <f>VLOOKUP($D1328,WGI!$C$2:$O$478,4,FALSE)</f>
        <v>-0.87073551340548005</v>
      </c>
      <c r="BX1328" s="129">
        <f>VLOOKUP($D1328,WGI!$C$2:$O$478,3,FALSE)</f>
        <v>-0.623013538093247</v>
      </c>
      <c r="BY1328" s="129">
        <f>VLOOKUP($D1328,WGI!$C$2:$O$478,5,FALSE)</f>
        <v>-0.52521654966283304</v>
      </c>
      <c r="BZ1328" s="129">
        <f>VLOOKUP($D1328,WGI!$C$2:$O$478,2,FALSE)</f>
        <v>-0.64676699637527801</v>
      </c>
    </row>
    <row r="1329" spans="1:80" ht="15" customHeight="1">
      <c r="A1329" s="294" t="s">
        <v>408</v>
      </c>
      <c r="B1329" s="214">
        <v>2011</v>
      </c>
      <c r="C1329" s="809" t="s">
        <v>394</v>
      </c>
      <c r="D1329" s="117" t="s">
        <v>3709</v>
      </c>
      <c r="E1329" s="452" t="s">
        <v>86</v>
      </c>
      <c r="F1329" s="117"/>
      <c r="G1329" s="117" t="s">
        <v>24</v>
      </c>
      <c r="H1329" s="117" t="str">
        <f t="shared" si="231"/>
        <v>yes</v>
      </c>
      <c r="I1329" s="117" t="str">
        <f t="shared" si="233"/>
        <v>no</v>
      </c>
      <c r="J1329" s="117" t="str">
        <f t="shared" si="234"/>
        <v>no</v>
      </c>
      <c r="K1329" s="117" t="s">
        <v>616</v>
      </c>
      <c r="L1329" s="117" t="str">
        <f t="shared" si="232"/>
        <v>detailed</v>
      </c>
      <c r="M1329" s="117" t="str">
        <f t="shared" si="235"/>
        <v>detailed Mining</v>
      </c>
      <c r="N1329" s="179">
        <v>250000</v>
      </c>
      <c r="O1329" s="179"/>
      <c r="P1329" s="179"/>
      <c r="Q1329" s="179"/>
      <c r="R1329" s="179"/>
      <c r="S1329" s="117" t="s">
        <v>610</v>
      </c>
      <c r="T1329" s="119">
        <v>111.54662184722224</v>
      </c>
      <c r="U1329" s="117" t="s">
        <v>611</v>
      </c>
      <c r="V1329" s="117" t="s">
        <v>1923</v>
      </c>
      <c r="W1329" s="89">
        <f>N1329*T1329</f>
        <v>27886655.46180556</v>
      </c>
      <c r="X1329" s="117"/>
      <c r="Y1329" s="117"/>
      <c r="Z1329" s="117"/>
      <c r="AA1329" s="89"/>
      <c r="AB1329" s="89"/>
      <c r="AC1329" s="240"/>
      <c r="AD1329" s="240"/>
      <c r="AE1329" s="240"/>
      <c r="AF1329" s="241"/>
      <c r="AG1329" s="117"/>
      <c r="AH1329" s="124"/>
      <c r="AI1329" s="117"/>
      <c r="AJ1329" s="117"/>
      <c r="AK1329" s="89"/>
      <c r="AL1329" s="117"/>
      <c r="AM1329" s="117"/>
      <c r="AN1329" s="117"/>
      <c r="AO1329" s="117"/>
      <c r="AP1329" s="117"/>
      <c r="AQ1329" s="117"/>
      <c r="AR1329" s="126"/>
      <c r="AS1329" s="117"/>
      <c r="AT1329" s="117"/>
      <c r="AU1329" s="117"/>
      <c r="AV1329" s="128"/>
      <c r="AW1329" s="117">
        <f>VLOOKUP($D1329,'WB Data'!$C$3:$M$578,2,FALSE)</f>
        <v>6409169698.1069489</v>
      </c>
      <c r="AX1329" s="117">
        <f>VLOOKUP($D1329,'WB Data'!$C$3:$M$578,3,FALSE)</f>
        <v>16511462</v>
      </c>
      <c r="AY1329" s="847">
        <f t="shared" si="226"/>
        <v>1.8610685308694308E-2</v>
      </c>
      <c r="AZ1329" s="117" t="e">
        <f>VLOOKUP($D1329,'WB Data'!$C$3:$M$578,4,FALSE)/100</f>
        <v>#VALUE!</v>
      </c>
      <c r="BA1329" s="117" t="str">
        <f t="shared" si="227"/>
        <v>..</v>
      </c>
      <c r="BB1329" s="129">
        <f>IFERROR(VLOOKUP($D1329,'EITI Revenues'!$C$2:$G$224,5,FALSE),"..")</f>
        <v>119279040.34148772</v>
      </c>
      <c r="BC1329" s="846" t="str">
        <f t="shared" si="228"/>
        <v>..</v>
      </c>
      <c r="BD1329" s="129">
        <f>VLOOKUP($D1329,'WB Data 2'!$C$2:$K$545,6,FALSE)</f>
        <v>875149606.89255786</v>
      </c>
      <c r="BE1329" s="129">
        <f>IFERROR(VLOOKUP($D1329,UNCTAD!$C$5:$V$529,4,FALSE),"..")</f>
        <v>1344090485</v>
      </c>
      <c r="BF1329" s="846">
        <f t="shared" si="229"/>
        <v>0.65110914529876895</v>
      </c>
      <c r="BG1329" s="117">
        <f>VLOOKUP($D1329,'WB Data'!$C$3:$M$578,5,FALSE)</f>
        <v>649500000</v>
      </c>
      <c r="BH1329" s="129">
        <f>IFERROR($BB1329/$BG1329,"..")</f>
        <v>0.18364748320475399</v>
      </c>
      <c r="BI1329" s="117">
        <f>IFERROR(VLOOKUP($D1329,'WB Data'!$C$3:$M$578,7,FALSE)/100,"..")</f>
        <v>4.20542E-2</v>
      </c>
      <c r="BJ1329" s="117">
        <f>IFERROR($BI1329*$AW1329,"..")</f>
        <v>269532504.31812924</v>
      </c>
      <c r="BK1329" s="846">
        <f>IFERROR($BB1329/$BJ1329,"..")</f>
        <v>0.44254046703288391</v>
      </c>
      <c r="BL1329" s="117">
        <f>IFERROR(VLOOKUP($D1329,'WB Data'!$C$3:$M$578,7,FALSE)/100,"..")</f>
        <v>4.20542E-2</v>
      </c>
      <c r="BM1329" s="117">
        <f>IFERROR($AW1329*$BL1329,"..")</f>
        <v>269532504.31812924</v>
      </c>
      <c r="BN1329" s="846">
        <f>IFERROR($BB1329/$BM1329,"..")</f>
        <v>0.44254046703288391</v>
      </c>
      <c r="BO1329" s="801">
        <f t="shared" si="225"/>
        <v>35</v>
      </c>
      <c r="BP1329" s="117" t="str">
        <f>VLOOKUP($D1329,'WB Data'!$C$3:$M$578,9,FALSE)</f>
        <v>..</v>
      </c>
      <c r="BQ1329" s="117">
        <f>VLOOKUP($D1329,'WB Data'!$C$3:$M$578,10,FALSE)</f>
        <v>57.482634146341475</v>
      </c>
      <c r="BR1329" s="117">
        <f>VLOOKUP($D1329,'WB Data'!$C$3:$M$578,11,FALSE)</f>
        <v>63.7</v>
      </c>
      <c r="BS1329" s="129">
        <f>IFERROR(VLOOKUP($D1329,'WB Data 2'!$C$2:$K$545,9,FALSE),"..")</f>
        <v>62.002719999999997</v>
      </c>
      <c r="BT1329" s="129" t="str">
        <f>_xlfn.IFNA(VLOOKUP($C1329,RGI!$A$2:$C$43,2,FALSE),"..")</f>
        <v>..</v>
      </c>
      <c r="BU1329" s="129" t="str">
        <f>_xlfn.IFNA(VLOOKUP($C1329,RGI!$A$2:$C$43,3,FALSE),"..")</f>
        <v>..</v>
      </c>
      <c r="BV1329" s="129">
        <f>VLOOKUP($D1329,WGI!$C$2:$O$478,7,FALSE)</f>
        <v>-0.352969275704617</v>
      </c>
      <c r="BW1329" s="129">
        <f>VLOOKUP($D1329,WGI!$C$2:$O$478,4,FALSE)</f>
        <v>-0.87073551340548005</v>
      </c>
      <c r="BX1329" s="129">
        <f>VLOOKUP($D1329,WGI!$C$2:$O$478,3,FALSE)</f>
        <v>-0.623013538093247</v>
      </c>
      <c r="BY1329" s="129">
        <f>VLOOKUP($D1329,WGI!$C$2:$O$478,5,FALSE)</f>
        <v>-0.52521654966283304</v>
      </c>
      <c r="BZ1329" s="129">
        <f>VLOOKUP($D1329,WGI!$C$2:$O$478,2,FALSE)</f>
        <v>-0.64676699637527801</v>
      </c>
    </row>
    <row r="1330" spans="1:80" ht="15" customHeight="1">
      <c r="A1330" s="294" t="s">
        <v>408</v>
      </c>
      <c r="B1330" s="214">
        <v>2011</v>
      </c>
      <c r="C1330" s="809" t="s">
        <v>394</v>
      </c>
      <c r="D1330" s="117" t="s">
        <v>3709</v>
      </c>
      <c r="E1330" s="452" t="s">
        <v>86</v>
      </c>
      <c r="F1330" s="117"/>
      <c r="G1330" s="117" t="s">
        <v>24</v>
      </c>
      <c r="H1330" s="117" t="str">
        <f t="shared" si="231"/>
        <v>yes</v>
      </c>
      <c r="I1330" s="117" t="str">
        <f t="shared" si="233"/>
        <v>no</v>
      </c>
      <c r="J1330" s="117" t="str">
        <f t="shared" si="234"/>
        <v>no</v>
      </c>
      <c r="K1330" s="117" t="s">
        <v>1904</v>
      </c>
      <c r="L1330" s="117" t="str">
        <f t="shared" si="232"/>
        <v>detailed</v>
      </c>
      <c r="M1330" s="117" t="str">
        <f t="shared" si="235"/>
        <v>detailed Mining</v>
      </c>
      <c r="N1330" s="179">
        <f>1879*32.150743126506</f>
        <v>60411.246334704774</v>
      </c>
      <c r="O1330" s="179"/>
      <c r="P1330" s="179"/>
      <c r="Q1330" s="179"/>
      <c r="R1330" s="179"/>
      <c r="S1330" s="117" t="s">
        <v>785</v>
      </c>
      <c r="T1330" s="119">
        <v>1569.2108333333299</v>
      </c>
      <c r="U1330" s="117" t="s">
        <v>786</v>
      </c>
      <c r="V1330" s="117" t="s">
        <v>841</v>
      </c>
      <c r="W1330" s="89">
        <f>N1330*T1330</f>
        <v>94797982.203587145</v>
      </c>
      <c r="X1330" s="117"/>
      <c r="Y1330" s="117"/>
      <c r="Z1330" s="117"/>
      <c r="AA1330" s="89"/>
      <c r="AB1330" s="89"/>
      <c r="AC1330" s="240"/>
      <c r="AD1330" s="240"/>
      <c r="AE1330" s="240"/>
      <c r="AF1330" s="241"/>
      <c r="AG1330" s="117"/>
      <c r="AH1330" s="124"/>
      <c r="AI1330" s="117"/>
      <c r="AJ1330" s="117"/>
      <c r="AK1330" s="89"/>
      <c r="AL1330" s="117"/>
      <c r="AM1330" s="117"/>
      <c r="AN1330" s="117"/>
      <c r="AO1330" s="117"/>
      <c r="AP1330" s="117"/>
      <c r="AQ1330" s="117"/>
      <c r="AR1330" s="126"/>
      <c r="AS1330" s="117"/>
      <c r="AT1330" s="117"/>
      <c r="AU1330" s="117"/>
      <c r="AV1330" s="128"/>
      <c r="AW1330" s="117">
        <f>VLOOKUP($D1330,'WB Data'!$C$3:$M$578,2,FALSE)</f>
        <v>6409169698.1069489</v>
      </c>
      <c r="AX1330" s="117">
        <f>VLOOKUP($D1330,'WB Data'!$C$3:$M$578,3,FALSE)</f>
        <v>16511462</v>
      </c>
      <c r="AY1330" s="847">
        <f t="shared" si="226"/>
        <v>1.8610685308694308E-2</v>
      </c>
      <c r="AZ1330" s="117" t="e">
        <f>VLOOKUP($D1330,'WB Data'!$C$3:$M$578,4,FALSE)/100</f>
        <v>#VALUE!</v>
      </c>
      <c r="BA1330" s="117" t="str">
        <f t="shared" si="227"/>
        <v>..</v>
      </c>
      <c r="BB1330" s="129">
        <f>IFERROR(VLOOKUP($D1330,'EITI Revenues'!$C$2:$G$224,5,FALSE),"..")</f>
        <v>119279040.34148772</v>
      </c>
      <c r="BC1330" s="846" t="str">
        <f t="shared" si="228"/>
        <v>..</v>
      </c>
      <c r="BD1330" s="129">
        <f>VLOOKUP($D1330,'WB Data 2'!$C$2:$K$545,6,FALSE)</f>
        <v>875149606.89255786</v>
      </c>
      <c r="BE1330" s="129">
        <f>IFERROR(VLOOKUP($D1330,UNCTAD!$C$5:$V$529,4,FALSE),"..")</f>
        <v>1344090485</v>
      </c>
      <c r="BF1330" s="846">
        <f t="shared" si="229"/>
        <v>0.65110914529876895</v>
      </c>
      <c r="BG1330" s="117">
        <f>VLOOKUP($D1330,'WB Data'!$C$3:$M$578,5,FALSE)</f>
        <v>649500000</v>
      </c>
      <c r="BH1330" s="129">
        <f>IFERROR($BB1330/$BG1330,"..")</f>
        <v>0.18364748320475399</v>
      </c>
      <c r="BI1330" s="117">
        <f>IFERROR(VLOOKUP($D1330,'WB Data'!$C$3:$M$578,7,FALSE)/100,"..")</f>
        <v>4.20542E-2</v>
      </c>
      <c r="BJ1330" s="117">
        <f>IFERROR($BI1330*$AW1330,"..")</f>
        <v>269532504.31812924</v>
      </c>
      <c r="BK1330" s="846">
        <f>IFERROR($BB1330/$BJ1330,"..")</f>
        <v>0.44254046703288391</v>
      </c>
      <c r="BL1330" s="117">
        <f>IFERROR(VLOOKUP($D1330,'WB Data'!$C$3:$M$578,7,FALSE)/100,"..")</f>
        <v>4.20542E-2</v>
      </c>
      <c r="BM1330" s="117">
        <f>IFERROR($AW1330*$BL1330,"..")</f>
        <v>269532504.31812924</v>
      </c>
      <c r="BN1330" s="846">
        <f>IFERROR($BB1330/$BM1330,"..")</f>
        <v>0.44254046703288391</v>
      </c>
      <c r="BO1330" s="801">
        <f t="shared" si="225"/>
        <v>35</v>
      </c>
      <c r="BP1330" s="117" t="str">
        <f>VLOOKUP($D1330,'WB Data'!$C$3:$M$578,9,FALSE)</f>
        <v>..</v>
      </c>
      <c r="BQ1330" s="117">
        <f>VLOOKUP($D1330,'WB Data'!$C$3:$M$578,10,FALSE)</f>
        <v>57.482634146341475</v>
      </c>
      <c r="BR1330" s="117">
        <f>VLOOKUP($D1330,'WB Data'!$C$3:$M$578,11,FALSE)</f>
        <v>63.7</v>
      </c>
      <c r="BS1330" s="129">
        <f>IFERROR(VLOOKUP($D1330,'WB Data 2'!$C$2:$K$545,9,FALSE),"..")</f>
        <v>62.002719999999997</v>
      </c>
      <c r="BT1330" s="129" t="str">
        <f>_xlfn.IFNA(VLOOKUP($C1330,RGI!$A$2:$C$43,2,FALSE),"..")</f>
        <v>..</v>
      </c>
      <c r="BU1330" s="129" t="str">
        <f>_xlfn.IFNA(VLOOKUP($C1330,RGI!$A$2:$C$43,3,FALSE),"..")</f>
        <v>..</v>
      </c>
      <c r="BV1330" s="129">
        <f>VLOOKUP($D1330,WGI!$C$2:$O$478,7,FALSE)</f>
        <v>-0.352969275704617</v>
      </c>
      <c r="BW1330" s="129">
        <f>VLOOKUP($D1330,WGI!$C$2:$O$478,4,FALSE)</f>
        <v>-0.87073551340548005</v>
      </c>
      <c r="BX1330" s="129">
        <f>VLOOKUP($D1330,WGI!$C$2:$O$478,3,FALSE)</f>
        <v>-0.623013538093247</v>
      </c>
      <c r="BY1330" s="129">
        <f>VLOOKUP($D1330,WGI!$C$2:$O$478,5,FALSE)</f>
        <v>-0.52521654966283304</v>
      </c>
      <c r="BZ1330" s="129">
        <f>VLOOKUP($D1330,WGI!$C$2:$O$478,2,FALSE)</f>
        <v>-0.64676699637527801</v>
      </c>
    </row>
    <row r="1331" spans="1:80" ht="15" customHeight="1">
      <c r="A1331" s="294" t="s">
        <v>408</v>
      </c>
      <c r="B1331" s="214">
        <v>2011</v>
      </c>
      <c r="C1331" s="809" t="s">
        <v>394</v>
      </c>
      <c r="D1331" s="117" t="s">
        <v>3709</v>
      </c>
      <c r="E1331" s="452" t="s">
        <v>86</v>
      </c>
      <c r="F1331" s="117"/>
      <c r="G1331" s="117" t="s">
        <v>24</v>
      </c>
      <c r="H1331" s="117" t="str">
        <f t="shared" si="231"/>
        <v>yes</v>
      </c>
      <c r="I1331" s="117" t="str">
        <f t="shared" si="233"/>
        <v>no</v>
      </c>
      <c r="J1331" s="117" t="str">
        <f t="shared" si="234"/>
        <v>no</v>
      </c>
      <c r="K1331" s="117" t="s">
        <v>1147</v>
      </c>
      <c r="L1331" s="117" t="str">
        <f t="shared" si="232"/>
        <v>detailed</v>
      </c>
      <c r="M1331" s="117" t="str">
        <f t="shared" si="235"/>
        <v>detailed Mining</v>
      </c>
      <c r="N1331" s="179">
        <v>800</v>
      </c>
      <c r="O1331" s="179"/>
      <c r="P1331" s="179"/>
      <c r="Q1331" s="179"/>
      <c r="R1331" s="179"/>
      <c r="S1331" s="117" t="s">
        <v>610</v>
      </c>
      <c r="T1331" s="119">
        <v>67.89</v>
      </c>
      <c r="U1331" s="117" t="s">
        <v>611</v>
      </c>
      <c r="V1331" s="117" t="s">
        <v>1172</v>
      </c>
      <c r="W1331" s="89">
        <f>N1331*T1331</f>
        <v>54312</v>
      </c>
      <c r="X1331" s="117"/>
      <c r="Y1331" s="117"/>
      <c r="Z1331" s="117"/>
      <c r="AA1331" s="89"/>
      <c r="AB1331" s="89"/>
      <c r="AC1331" s="240"/>
      <c r="AD1331" s="240"/>
      <c r="AE1331" s="240"/>
      <c r="AF1331" s="241"/>
      <c r="AG1331" s="117"/>
      <c r="AH1331" s="124"/>
      <c r="AI1331" s="117"/>
      <c r="AJ1331" s="117"/>
      <c r="AK1331" s="89"/>
      <c r="AL1331" s="117"/>
      <c r="AM1331" s="117"/>
      <c r="AN1331" s="117"/>
      <c r="AO1331" s="117"/>
      <c r="AP1331" s="117"/>
      <c r="AQ1331" s="117"/>
      <c r="AR1331" s="126"/>
      <c r="AS1331" s="117"/>
      <c r="AT1331" s="117"/>
      <c r="AU1331" s="117"/>
      <c r="AV1331" s="128"/>
      <c r="AW1331" s="117">
        <f>VLOOKUP($D1331,'WB Data'!$C$3:$M$578,2,FALSE)</f>
        <v>6409169698.1069489</v>
      </c>
      <c r="AX1331" s="117">
        <f>VLOOKUP($D1331,'WB Data'!$C$3:$M$578,3,FALSE)</f>
        <v>16511462</v>
      </c>
      <c r="AY1331" s="847">
        <f t="shared" si="226"/>
        <v>1.8610685308694308E-2</v>
      </c>
      <c r="AZ1331" s="117" t="e">
        <f>VLOOKUP($D1331,'WB Data'!$C$3:$M$578,4,FALSE)/100</f>
        <v>#VALUE!</v>
      </c>
      <c r="BA1331" s="117" t="str">
        <f t="shared" si="227"/>
        <v>..</v>
      </c>
      <c r="BB1331" s="129">
        <f>IFERROR(VLOOKUP($D1331,'EITI Revenues'!$C$2:$G$224,5,FALSE),"..")</f>
        <v>119279040.34148772</v>
      </c>
      <c r="BC1331" s="846" t="str">
        <f t="shared" si="228"/>
        <v>..</v>
      </c>
      <c r="BD1331" s="129">
        <f>VLOOKUP($D1331,'WB Data 2'!$C$2:$K$545,6,FALSE)</f>
        <v>875149606.89255786</v>
      </c>
      <c r="BE1331" s="129">
        <f>IFERROR(VLOOKUP($D1331,UNCTAD!$C$5:$V$529,4,FALSE),"..")</f>
        <v>1344090485</v>
      </c>
      <c r="BF1331" s="846">
        <f t="shared" si="229"/>
        <v>0.65110914529876895</v>
      </c>
      <c r="BG1331" s="117">
        <f>VLOOKUP($D1331,'WB Data'!$C$3:$M$578,5,FALSE)</f>
        <v>649500000</v>
      </c>
      <c r="BH1331" s="129">
        <f>IFERROR($BB1331/$BG1331,"..")</f>
        <v>0.18364748320475399</v>
      </c>
      <c r="BI1331" s="117">
        <f>IFERROR(VLOOKUP($D1331,'WB Data'!$C$3:$M$578,7,FALSE)/100,"..")</f>
        <v>4.20542E-2</v>
      </c>
      <c r="BJ1331" s="117">
        <f>IFERROR($BI1331*$AW1331,"..")</f>
        <v>269532504.31812924</v>
      </c>
      <c r="BK1331" s="846">
        <f>IFERROR($BB1331/$BJ1331,"..")</f>
        <v>0.44254046703288391</v>
      </c>
      <c r="BL1331" s="117">
        <f>IFERROR(VLOOKUP($D1331,'WB Data'!$C$3:$M$578,7,FALSE)/100,"..")</f>
        <v>4.20542E-2</v>
      </c>
      <c r="BM1331" s="117">
        <f>IFERROR($AW1331*$BL1331,"..")</f>
        <v>269532504.31812924</v>
      </c>
      <c r="BN1331" s="846">
        <f>IFERROR($BB1331/$BM1331,"..")</f>
        <v>0.44254046703288391</v>
      </c>
      <c r="BO1331" s="801">
        <f t="shared" si="225"/>
        <v>35</v>
      </c>
      <c r="BP1331" s="117" t="str">
        <f>VLOOKUP($D1331,'WB Data'!$C$3:$M$578,9,FALSE)</f>
        <v>..</v>
      </c>
      <c r="BQ1331" s="117">
        <f>VLOOKUP($D1331,'WB Data'!$C$3:$M$578,10,FALSE)</f>
        <v>57.482634146341475</v>
      </c>
      <c r="BR1331" s="117">
        <f>VLOOKUP($D1331,'WB Data'!$C$3:$M$578,11,FALSE)</f>
        <v>63.7</v>
      </c>
      <c r="BS1331" s="129">
        <f>IFERROR(VLOOKUP($D1331,'WB Data 2'!$C$2:$K$545,9,FALSE),"..")</f>
        <v>62.002719999999997</v>
      </c>
      <c r="BT1331" s="129" t="str">
        <f>_xlfn.IFNA(VLOOKUP($C1331,RGI!$A$2:$C$43,2,FALSE),"..")</f>
        <v>..</v>
      </c>
      <c r="BU1331" s="129" t="str">
        <f>_xlfn.IFNA(VLOOKUP($C1331,RGI!$A$2:$C$43,3,FALSE),"..")</f>
        <v>..</v>
      </c>
      <c r="BV1331" s="129">
        <f>VLOOKUP($D1331,WGI!$C$2:$O$478,7,FALSE)</f>
        <v>-0.352969275704617</v>
      </c>
      <c r="BW1331" s="129">
        <f>VLOOKUP($D1331,WGI!$C$2:$O$478,4,FALSE)</f>
        <v>-0.87073551340548005</v>
      </c>
      <c r="BX1331" s="129">
        <f>VLOOKUP($D1331,WGI!$C$2:$O$478,3,FALSE)</f>
        <v>-0.623013538093247</v>
      </c>
      <c r="BY1331" s="129">
        <f>VLOOKUP($D1331,WGI!$C$2:$O$478,5,FALSE)</f>
        <v>-0.52521654966283304</v>
      </c>
      <c r="BZ1331" s="129">
        <f>VLOOKUP($D1331,WGI!$C$2:$O$478,2,FALSE)</f>
        <v>-0.64676699637527801</v>
      </c>
    </row>
    <row r="1332" spans="1:80" s="158" customFormat="1" ht="15" customHeight="1">
      <c r="A1332" s="295" t="s">
        <v>408</v>
      </c>
      <c r="B1332" s="218">
        <v>2011</v>
      </c>
      <c r="C1332" s="810" t="s">
        <v>394</v>
      </c>
      <c r="D1332" s="117" t="s">
        <v>3709</v>
      </c>
      <c r="E1332" s="453" t="s">
        <v>86</v>
      </c>
      <c r="F1332" s="149"/>
      <c r="G1332" s="149" t="s">
        <v>24</v>
      </c>
      <c r="H1332" s="149" t="str">
        <f t="shared" si="231"/>
        <v>yes</v>
      </c>
      <c r="I1332" s="149" t="str">
        <f t="shared" si="233"/>
        <v>no</v>
      </c>
      <c r="J1332" s="149" t="str">
        <f t="shared" si="234"/>
        <v>no</v>
      </c>
      <c r="K1332" s="149" t="s">
        <v>1466</v>
      </c>
      <c r="L1332" s="149" t="str">
        <f t="shared" si="232"/>
        <v>detailed</v>
      </c>
      <c r="M1332" s="149" t="str">
        <f t="shared" si="235"/>
        <v>detailed Mining</v>
      </c>
      <c r="N1332" s="216">
        <v>4351</v>
      </c>
      <c r="O1332" s="216"/>
      <c r="P1332" s="216"/>
      <c r="Q1332" s="216"/>
      <c r="R1332" s="216"/>
      <c r="S1332" s="149" t="s">
        <v>610</v>
      </c>
      <c r="T1332" s="151"/>
      <c r="U1332" s="149"/>
      <c r="V1332" s="149" t="s">
        <v>847</v>
      </c>
      <c r="W1332" s="152"/>
      <c r="X1332" s="149"/>
      <c r="Y1332" s="149"/>
      <c r="Z1332" s="149"/>
      <c r="AA1332" s="152"/>
      <c r="AB1332" s="152"/>
      <c r="AC1332" s="288"/>
      <c r="AD1332" s="288"/>
      <c r="AE1332" s="288"/>
      <c r="AF1332" s="285"/>
      <c r="AG1332" s="149"/>
      <c r="AH1332" s="156"/>
      <c r="AI1332" s="149"/>
      <c r="AJ1332" s="149"/>
      <c r="AK1332" s="152"/>
      <c r="AL1332" s="149"/>
      <c r="AM1332" s="149"/>
      <c r="AN1332" s="149"/>
      <c r="AO1332" s="149"/>
      <c r="AP1332" s="149"/>
      <c r="AQ1332" s="149"/>
      <c r="AR1332" s="220"/>
      <c r="AS1332" s="149"/>
      <c r="AT1332" s="149"/>
      <c r="AU1332" s="149"/>
      <c r="AV1332" s="157"/>
      <c r="AW1332" s="117">
        <f>VLOOKUP($D1332,'WB Data'!$C$3:$M$578,2,FALSE)</f>
        <v>6409169698.1069489</v>
      </c>
      <c r="AX1332" s="117">
        <f>VLOOKUP($D1332,'WB Data'!$C$3:$M$578,3,FALSE)</f>
        <v>16511462</v>
      </c>
      <c r="AY1332" s="847">
        <f t="shared" si="226"/>
        <v>1.8610685308694308E-2</v>
      </c>
      <c r="AZ1332" s="117" t="e">
        <f>VLOOKUP($D1332,'WB Data'!$C$3:$M$578,4,FALSE)/100</f>
        <v>#VALUE!</v>
      </c>
      <c r="BA1332" s="117" t="str">
        <f t="shared" si="227"/>
        <v>..</v>
      </c>
      <c r="BB1332" s="129">
        <f>IFERROR(VLOOKUP($D1332,'EITI Revenues'!$C$2:$G$224,5,FALSE),"..")</f>
        <v>119279040.34148772</v>
      </c>
      <c r="BC1332" s="846" t="str">
        <f t="shared" si="228"/>
        <v>..</v>
      </c>
      <c r="BD1332" s="129">
        <f>VLOOKUP($D1332,'WB Data 2'!$C$2:$K$545,6,FALSE)</f>
        <v>875149606.89255786</v>
      </c>
      <c r="BE1332" s="129">
        <f>IFERROR(VLOOKUP($D1332,UNCTAD!$C$5:$V$529,4,FALSE),"..")</f>
        <v>1344090485</v>
      </c>
      <c r="BF1332" s="846">
        <f t="shared" si="229"/>
        <v>0.65110914529876895</v>
      </c>
      <c r="BG1332" s="117">
        <f>VLOOKUP($D1332,'WB Data'!$C$3:$M$578,5,FALSE)</f>
        <v>649500000</v>
      </c>
      <c r="BH1332" s="129">
        <f>IFERROR($BB1332/$BG1332,"..")</f>
        <v>0.18364748320475399</v>
      </c>
      <c r="BI1332" s="117">
        <f>IFERROR(VLOOKUP($D1332,'WB Data'!$C$3:$M$578,7,FALSE)/100,"..")</f>
        <v>4.20542E-2</v>
      </c>
      <c r="BJ1332" s="117">
        <f>IFERROR($BI1332*$AW1332,"..")</f>
        <v>269532504.31812924</v>
      </c>
      <c r="BK1332" s="846">
        <f>IFERROR($BB1332/$BJ1332,"..")</f>
        <v>0.44254046703288391</v>
      </c>
      <c r="BL1332" s="117">
        <f>IFERROR(VLOOKUP($D1332,'WB Data'!$C$3:$M$578,7,FALSE)/100,"..")</f>
        <v>4.20542E-2</v>
      </c>
      <c r="BM1332" s="117">
        <f>IFERROR($AW1332*$BL1332,"..")</f>
        <v>269532504.31812924</v>
      </c>
      <c r="BN1332" s="846">
        <f>IFERROR($BB1332/$BM1332,"..")</f>
        <v>0.44254046703288391</v>
      </c>
      <c r="BO1332" s="801">
        <f t="shared" si="225"/>
        <v>35</v>
      </c>
      <c r="BP1332" s="117" t="str">
        <f>VLOOKUP($D1332,'WB Data'!$C$3:$M$578,9,FALSE)</f>
        <v>..</v>
      </c>
      <c r="BQ1332" s="117">
        <f>VLOOKUP($D1332,'WB Data'!$C$3:$M$578,10,FALSE)</f>
        <v>57.482634146341475</v>
      </c>
      <c r="BR1332" s="117">
        <f>VLOOKUP($D1332,'WB Data'!$C$3:$M$578,11,FALSE)</f>
        <v>63.7</v>
      </c>
      <c r="BS1332" s="129">
        <f>IFERROR(VLOOKUP($D1332,'WB Data 2'!$C$2:$K$545,9,FALSE),"..")</f>
        <v>62.002719999999997</v>
      </c>
      <c r="BT1332" s="129" t="str">
        <f>_xlfn.IFNA(VLOOKUP($C1332,RGI!$A$2:$C$43,2,FALSE),"..")</f>
        <v>..</v>
      </c>
      <c r="BU1332" s="129" t="str">
        <f>_xlfn.IFNA(VLOOKUP($C1332,RGI!$A$2:$C$43,3,FALSE),"..")</f>
        <v>..</v>
      </c>
      <c r="BV1332" s="129">
        <f>VLOOKUP($D1332,WGI!$C$2:$O$478,7,FALSE)</f>
        <v>-0.352969275704617</v>
      </c>
      <c r="BW1332" s="129">
        <f>VLOOKUP($D1332,WGI!$C$2:$O$478,4,FALSE)</f>
        <v>-0.87073551340548005</v>
      </c>
      <c r="BX1332" s="129">
        <f>VLOOKUP($D1332,WGI!$C$2:$O$478,3,FALSE)</f>
        <v>-0.623013538093247</v>
      </c>
      <c r="BY1332" s="129">
        <f>VLOOKUP($D1332,WGI!$C$2:$O$478,5,FALSE)</f>
        <v>-0.52521654966283304</v>
      </c>
      <c r="BZ1332" s="129">
        <f>VLOOKUP($D1332,WGI!$C$2:$O$478,2,FALSE)</f>
        <v>-0.64676699637527801</v>
      </c>
      <c r="CB1332" s="129"/>
    </row>
    <row r="1333" spans="1:80" ht="15" customHeight="1">
      <c r="A1333" s="289" t="s">
        <v>410</v>
      </c>
      <c r="B1333" s="146">
        <v>2012</v>
      </c>
      <c r="C1333" s="146" t="s">
        <v>394</v>
      </c>
      <c r="D1333" s="117" t="s">
        <v>3743</v>
      </c>
      <c r="E1333" s="146" t="s">
        <v>86</v>
      </c>
      <c r="F1333" s="146" t="s">
        <v>1918</v>
      </c>
      <c r="G1333" s="146" t="s">
        <v>41</v>
      </c>
      <c r="H1333" s="146"/>
      <c r="I1333" s="146"/>
      <c r="J1333" s="146"/>
      <c r="K1333" s="146" t="s">
        <v>709</v>
      </c>
      <c r="L1333" s="146"/>
      <c r="M1333" s="146"/>
      <c r="N1333" s="754"/>
      <c r="O1333" s="754"/>
      <c r="P1333" s="754"/>
      <c r="Q1333" s="146"/>
      <c r="R1333" s="754"/>
      <c r="S1333" s="146"/>
      <c r="T1333" s="119"/>
      <c r="U1333" s="146"/>
      <c r="V1333" s="146" t="s">
        <v>725</v>
      </c>
      <c r="W1333" s="303"/>
      <c r="X1333" s="146" t="s">
        <v>1932</v>
      </c>
      <c r="Y1333" s="146" t="s">
        <v>1933</v>
      </c>
      <c r="Z1333" s="146" t="s">
        <v>664</v>
      </c>
      <c r="AA1333" s="597">
        <v>344759167</v>
      </c>
      <c r="AB1333" s="597">
        <v>340897169</v>
      </c>
      <c r="AC1333" s="758">
        <v>0.995</v>
      </c>
      <c r="AD1333" s="760">
        <v>344759167</v>
      </c>
      <c r="AE1333" s="756"/>
      <c r="AF1333" s="758"/>
      <c r="AG1333" s="117" t="s">
        <v>836</v>
      </c>
      <c r="AH1333" s="759">
        <v>507.2</v>
      </c>
      <c r="AI1333" s="146" t="s">
        <v>722</v>
      </c>
      <c r="AJ1333" s="146"/>
      <c r="AK1333" s="760"/>
      <c r="AL1333" s="146"/>
      <c r="AM1333" s="146"/>
      <c r="AN1333" s="146"/>
      <c r="AO1333" s="146"/>
      <c r="AP1333" s="146">
        <v>63</v>
      </c>
      <c r="AQ1333" s="239" t="s">
        <v>50</v>
      </c>
      <c r="AR1333" s="146"/>
      <c r="AS1333" s="146" t="s">
        <v>1934</v>
      </c>
      <c r="AT1333" s="146" t="s">
        <v>411</v>
      </c>
      <c r="AU1333" s="146"/>
      <c r="AV1333" s="128" t="s">
        <v>1935</v>
      </c>
      <c r="AW1333" s="117">
        <f>VLOOKUP($D1333,'WB Data'!$C$3:$M$578,2,FALSE)</f>
        <v>6611341028.9871645</v>
      </c>
      <c r="AX1333" s="117">
        <f>VLOOKUP($D1333,'WB Data'!$C$3:$M$578,3,FALSE)</f>
        <v>17157042</v>
      </c>
      <c r="AY1333" s="847">
        <f t="shared" si="226"/>
        <v>5.2146631899400893E-2</v>
      </c>
      <c r="AZ1333" s="117" t="e">
        <f>VLOOKUP($D1333,'WB Data'!$C$3:$M$578,4,FALSE)/100</f>
        <v>#VALUE!</v>
      </c>
      <c r="BA1333" s="117" t="str">
        <f t="shared" si="227"/>
        <v>..</v>
      </c>
      <c r="BB1333" s="129">
        <f>IFERROR(VLOOKUP($D1333,'EITI Revenues'!$C$2:$G$224,5,FALSE),"..")</f>
        <v>344759167</v>
      </c>
      <c r="BC1333" s="846" t="str">
        <f t="shared" si="228"/>
        <v>..</v>
      </c>
      <c r="BD1333" s="129">
        <f>VLOOKUP($D1333,'WB Data 2'!$C$2:$K$545,6,FALSE)</f>
        <v>1133565646.0444036</v>
      </c>
      <c r="BE1333" s="129" t="str">
        <f>IFERROR(VLOOKUP($D1333,UNCTAD!$C$5:$V$529,4,FALSE),"..")</f>
        <v>..</v>
      </c>
      <c r="BF1333" s="846" t="str">
        <f t="shared" si="229"/>
        <v>..</v>
      </c>
      <c r="BG1333" s="117">
        <f>VLOOKUP($D1333,'WB Data'!$C$3:$M$578,5,FALSE)</f>
        <v>901870000</v>
      </c>
      <c r="BH1333" s="129">
        <f>IFERROR($BB1333/$BG1333,"..")</f>
        <v>0.38227146595407319</v>
      </c>
      <c r="BI1333" s="117">
        <f>IFERROR(VLOOKUP($D1333,'WB Data'!$C$3:$M$578,7,FALSE)/100,"..")</f>
        <v>4.4356699999999999E-2</v>
      </c>
      <c r="BJ1333" s="117">
        <f>IFERROR($BI1333*$AW1333,"..")</f>
        <v>293257270.62047493</v>
      </c>
      <c r="BK1333" s="846">
        <f>IFERROR($BB1333/$BJ1333,"..")</f>
        <v>1.1756201858885107</v>
      </c>
      <c r="BL1333" s="117">
        <f>IFERROR(VLOOKUP($D1333,'WB Data'!$C$3:$M$578,7,FALSE)/100,"..")</f>
        <v>4.4356699999999999E-2</v>
      </c>
      <c r="BM1333" s="117">
        <f>IFERROR($AW1333*$BL1333,"..")</f>
        <v>293257270.62047493</v>
      </c>
      <c r="BN1333" s="846">
        <f>IFERROR($BB1333/$BM1333,"..")</f>
        <v>1.1756201858885107</v>
      </c>
      <c r="BO1333" s="801">
        <f t="shared" si="225"/>
        <v>35</v>
      </c>
      <c r="BP1333" s="117" t="str">
        <f>VLOOKUP($D1333,'WB Data'!$C$3:$M$578,9,FALSE)</f>
        <v>..</v>
      </c>
      <c r="BQ1333" s="117">
        <f>VLOOKUP($D1333,'WB Data'!$C$3:$M$578,10,FALSE)</f>
        <v>57.966170731707322</v>
      </c>
      <c r="BR1333" s="117">
        <f>VLOOKUP($D1333,'WB Data'!$C$3:$M$578,11,FALSE)</f>
        <v>61.6</v>
      </c>
      <c r="BS1333" s="129">
        <f>IFERROR(VLOOKUP($D1333,'WB Data 2'!$C$2:$K$545,9,FALSE),"..")</f>
        <v>63.622169999999997</v>
      </c>
      <c r="BT1333" s="129" t="str">
        <f>_xlfn.IFNA(VLOOKUP($C1333,RGI!$A$2:$C$43,2,FALSE),"..")</f>
        <v>..</v>
      </c>
      <c r="BU1333" s="129" t="str">
        <f>_xlfn.IFNA(VLOOKUP($C1333,RGI!$A$2:$C$43,3,FALSE),"..")</f>
        <v>..</v>
      </c>
      <c r="BV1333" s="129">
        <f>VLOOKUP($D1333,WGI!$C$2:$O$478,7,FALSE)</f>
        <v>-0.395079599525754</v>
      </c>
      <c r="BW1333" s="129">
        <f>VLOOKUP($D1333,WGI!$C$2:$O$478,4,FALSE)</f>
        <v>-1.17281728195836</v>
      </c>
      <c r="BX1333" s="129">
        <f>VLOOKUP($D1333,WGI!$C$2:$O$478,3,FALSE)</f>
        <v>-0.70399601649343702</v>
      </c>
      <c r="BY1333" s="129">
        <f>VLOOKUP($D1333,WGI!$C$2:$O$478,5,FALSE)</f>
        <v>-0.60796690667479703</v>
      </c>
      <c r="BZ1333" s="129">
        <f>VLOOKUP($D1333,WGI!$C$2:$O$478,2,FALSE)</f>
        <v>-0.68559744135101297</v>
      </c>
    </row>
    <row r="1334" spans="1:80" ht="15" customHeight="1">
      <c r="A1334" s="289" t="s">
        <v>410</v>
      </c>
      <c r="B1334" s="146">
        <v>2012</v>
      </c>
      <c r="C1334" s="146" t="s">
        <v>394</v>
      </c>
      <c r="D1334" s="117" t="s">
        <v>3743</v>
      </c>
      <c r="E1334" s="146" t="s">
        <v>86</v>
      </c>
      <c r="F1334" s="146"/>
      <c r="G1334" s="146" t="s">
        <v>103</v>
      </c>
      <c r="H1334" s="146"/>
      <c r="I1334" s="146"/>
      <c r="J1334" s="146"/>
      <c r="K1334" s="760" t="s">
        <v>103</v>
      </c>
      <c r="L1334" s="146"/>
      <c r="M1334" s="146"/>
      <c r="N1334" s="754"/>
      <c r="O1334" s="754"/>
      <c r="P1334" s="754"/>
      <c r="Q1334" s="765">
        <v>4642828</v>
      </c>
      <c r="R1334" s="765"/>
      <c r="S1334" s="146" t="s">
        <v>646</v>
      </c>
      <c r="T1334" s="119"/>
      <c r="U1334" s="146"/>
      <c r="V1334" s="146"/>
      <c r="W1334" s="146"/>
      <c r="X1334" s="146"/>
      <c r="Y1334" s="146"/>
      <c r="Z1334" s="146"/>
      <c r="AA1334" s="146"/>
      <c r="AB1334" s="146"/>
      <c r="AC1334" s="756"/>
      <c r="AD1334" s="756"/>
      <c r="AE1334" s="756"/>
      <c r="AF1334" s="758"/>
      <c r="AG1334" s="146"/>
      <c r="AH1334" s="759"/>
      <c r="AI1334" s="146"/>
      <c r="AJ1334" s="146"/>
      <c r="AK1334" s="760"/>
      <c r="AL1334" s="146"/>
      <c r="AM1334" s="146"/>
      <c r="AN1334" s="146"/>
      <c r="AO1334" s="146"/>
      <c r="AP1334" s="146"/>
      <c r="AQ1334" s="146"/>
      <c r="AR1334" s="146"/>
      <c r="AS1334" s="146"/>
      <c r="AT1334" s="146"/>
      <c r="AU1334" s="146"/>
      <c r="AV1334" s="128"/>
      <c r="AW1334" s="117">
        <f>VLOOKUP($D1334,'WB Data'!$C$3:$M$578,2,FALSE)</f>
        <v>6611341028.9871645</v>
      </c>
      <c r="AX1334" s="117">
        <f>VLOOKUP($D1334,'WB Data'!$C$3:$M$578,3,FALSE)</f>
        <v>17157042</v>
      </c>
      <c r="AY1334" s="847">
        <f t="shared" si="226"/>
        <v>5.2146631899400893E-2</v>
      </c>
      <c r="AZ1334" s="117" t="e">
        <f>VLOOKUP($D1334,'WB Data'!$C$3:$M$578,4,FALSE)/100</f>
        <v>#VALUE!</v>
      </c>
      <c r="BA1334" s="117" t="str">
        <f t="shared" si="227"/>
        <v>..</v>
      </c>
      <c r="BB1334" s="129">
        <f>IFERROR(VLOOKUP($D1334,'EITI Revenues'!$C$2:$G$224,5,FALSE),"..")</f>
        <v>344759167</v>
      </c>
      <c r="BC1334" s="846" t="str">
        <f t="shared" si="228"/>
        <v>..</v>
      </c>
      <c r="BD1334" s="129">
        <f>VLOOKUP($D1334,'WB Data 2'!$C$2:$K$545,6,FALSE)</f>
        <v>1133565646.0444036</v>
      </c>
      <c r="BE1334" s="129" t="str">
        <f>IFERROR(VLOOKUP($D1334,UNCTAD!$C$5:$V$529,4,FALSE),"..")</f>
        <v>..</v>
      </c>
      <c r="BF1334" s="846" t="str">
        <f t="shared" si="229"/>
        <v>..</v>
      </c>
      <c r="BG1334" s="117">
        <f>VLOOKUP($D1334,'WB Data'!$C$3:$M$578,5,FALSE)</f>
        <v>901870000</v>
      </c>
      <c r="BH1334" s="129">
        <f>IFERROR($BB1334/$BG1334,"..")</f>
        <v>0.38227146595407319</v>
      </c>
      <c r="BI1334" s="117">
        <f>IFERROR(VLOOKUP($D1334,'WB Data'!$C$3:$M$578,7,FALSE)/100,"..")</f>
        <v>4.4356699999999999E-2</v>
      </c>
      <c r="BJ1334" s="117">
        <f>IFERROR($BI1334*$AW1334,"..")</f>
        <v>293257270.62047493</v>
      </c>
      <c r="BK1334" s="846">
        <f>IFERROR($BB1334/$BJ1334,"..")</f>
        <v>1.1756201858885107</v>
      </c>
      <c r="BL1334" s="117">
        <f>IFERROR(VLOOKUP($D1334,'WB Data'!$C$3:$M$578,7,FALSE)/100,"..")</f>
        <v>4.4356699999999999E-2</v>
      </c>
      <c r="BM1334" s="117">
        <f>IFERROR($AW1334*$BL1334,"..")</f>
        <v>293257270.62047493</v>
      </c>
      <c r="BN1334" s="846">
        <f>IFERROR($BB1334/$BM1334,"..")</f>
        <v>1.1756201858885107</v>
      </c>
      <c r="BO1334" s="801">
        <f t="shared" si="225"/>
        <v>35</v>
      </c>
      <c r="BP1334" s="117" t="str">
        <f>VLOOKUP($D1334,'WB Data'!$C$3:$M$578,9,FALSE)</f>
        <v>..</v>
      </c>
      <c r="BQ1334" s="117">
        <f>VLOOKUP($D1334,'WB Data'!$C$3:$M$578,10,FALSE)</f>
        <v>57.966170731707322</v>
      </c>
      <c r="BR1334" s="117">
        <f>VLOOKUP($D1334,'WB Data'!$C$3:$M$578,11,FALSE)</f>
        <v>61.6</v>
      </c>
      <c r="BS1334" s="129">
        <f>IFERROR(VLOOKUP($D1334,'WB Data 2'!$C$2:$K$545,9,FALSE),"..")</f>
        <v>63.622169999999997</v>
      </c>
      <c r="BT1334" s="129" t="str">
        <f>_xlfn.IFNA(VLOOKUP($C1334,RGI!$A$2:$C$43,2,FALSE),"..")</f>
        <v>..</v>
      </c>
      <c r="BU1334" s="129" t="str">
        <f>_xlfn.IFNA(VLOOKUP($C1334,RGI!$A$2:$C$43,3,FALSE),"..")</f>
        <v>..</v>
      </c>
      <c r="BV1334" s="129">
        <f>VLOOKUP($D1334,WGI!$C$2:$O$478,7,FALSE)</f>
        <v>-0.395079599525754</v>
      </c>
      <c r="BW1334" s="129">
        <f>VLOOKUP($D1334,WGI!$C$2:$O$478,4,FALSE)</f>
        <v>-1.17281728195836</v>
      </c>
      <c r="BX1334" s="129">
        <f>VLOOKUP($D1334,WGI!$C$2:$O$478,3,FALSE)</f>
        <v>-0.70399601649343702</v>
      </c>
      <c r="BY1334" s="129">
        <f>VLOOKUP($D1334,WGI!$C$2:$O$478,5,FALSE)</f>
        <v>-0.60796690667479703</v>
      </c>
      <c r="BZ1334" s="129">
        <f>VLOOKUP($D1334,WGI!$C$2:$O$478,2,FALSE)</f>
        <v>-0.68559744135101297</v>
      </c>
    </row>
    <row r="1335" spans="1:80" ht="15" customHeight="1">
      <c r="A1335" s="761" t="s">
        <v>410</v>
      </c>
      <c r="B1335" s="763">
        <v>2012</v>
      </c>
      <c r="C1335" s="763" t="s">
        <v>394</v>
      </c>
      <c r="D1335" s="117" t="s">
        <v>3743</v>
      </c>
      <c r="E1335" s="763" t="s">
        <v>86</v>
      </c>
      <c r="F1335" s="146"/>
      <c r="G1335" s="146" t="s">
        <v>24</v>
      </c>
      <c r="H1335" s="146"/>
      <c r="I1335" s="146"/>
      <c r="J1335" s="146"/>
      <c r="K1335" s="146" t="s">
        <v>1466</v>
      </c>
      <c r="L1335" s="146"/>
      <c r="M1335" s="146"/>
      <c r="N1335" s="754"/>
      <c r="O1335" s="754"/>
      <c r="P1335" s="754"/>
      <c r="Q1335" s="754">
        <v>1773</v>
      </c>
      <c r="R1335" s="754"/>
      <c r="S1335" s="146" t="s">
        <v>610</v>
      </c>
      <c r="T1335" s="119"/>
      <c r="U1335" s="146"/>
      <c r="V1335" s="146"/>
      <c r="W1335" s="146"/>
      <c r="X1335" s="146"/>
      <c r="Y1335" s="146"/>
      <c r="Z1335" s="146"/>
      <c r="AA1335" s="146"/>
      <c r="AB1335" s="146"/>
      <c r="AC1335" s="756"/>
      <c r="AD1335" s="756"/>
      <c r="AE1335" s="756"/>
      <c r="AF1335" s="758"/>
      <c r="AG1335" s="146"/>
      <c r="AH1335" s="759"/>
      <c r="AI1335" s="146"/>
      <c r="AJ1335" s="146"/>
      <c r="AK1335" s="760"/>
      <c r="AL1335" s="146"/>
      <c r="AM1335" s="146"/>
      <c r="AN1335" s="146"/>
      <c r="AO1335" s="146"/>
      <c r="AP1335" s="146"/>
      <c r="AQ1335" s="146"/>
      <c r="AR1335" s="146"/>
      <c r="AS1335" s="146"/>
      <c r="AT1335" s="146"/>
      <c r="AU1335" s="146"/>
      <c r="AV1335" s="128"/>
      <c r="AW1335" s="117">
        <f>VLOOKUP($D1335,'WB Data'!$C$3:$M$578,2,FALSE)</f>
        <v>6611341028.9871645</v>
      </c>
      <c r="AX1335" s="117">
        <f>VLOOKUP($D1335,'WB Data'!$C$3:$M$578,3,FALSE)</f>
        <v>17157042</v>
      </c>
      <c r="AY1335" s="847">
        <f t="shared" si="226"/>
        <v>5.2146631899400893E-2</v>
      </c>
      <c r="AZ1335" s="117" t="e">
        <f>VLOOKUP($D1335,'WB Data'!$C$3:$M$578,4,FALSE)/100</f>
        <v>#VALUE!</v>
      </c>
      <c r="BA1335" s="117" t="str">
        <f t="shared" si="227"/>
        <v>..</v>
      </c>
      <c r="BB1335" s="129">
        <f>IFERROR(VLOOKUP($D1335,'EITI Revenues'!$C$2:$G$224,5,FALSE),"..")</f>
        <v>344759167</v>
      </c>
      <c r="BC1335" s="846" t="str">
        <f t="shared" si="228"/>
        <v>..</v>
      </c>
      <c r="BD1335" s="129">
        <f>VLOOKUP($D1335,'WB Data 2'!$C$2:$K$545,6,FALSE)</f>
        <v>1133565646.0444036</v>
      </c>
      <c r="BE1335" s="129" t="str">
        <f>IFERROR(VLOOKUP($D1335,UNCTAD!$C$5:$V$529,4,FALSE),"..")</f>
        <v>..</v>
      </c>
      <c r="BF1335" s="846" t="str">
        <f t="shared" si="229"/>
        <v>..</v>
      </c>
      <c r="BG1335" s="117">
        <f>VLOOKUP($D1335,'WB Data'!$C$3:$M$578,5,FALSE)</f>
        <v>901870000</v>
      </c>
      <c r="BH1335" s="129">
        <f>IFERROR($BB1335/$BG1335,"..")</f>
        <v>0.38227146595407319</v>
      </c>
      <c r="BI1335" s="117">
        <f>IFERROR(VLOOKUP($D1335,'WB Data'!$C$3:$M$578,7,FALSE)/100,"..")</f>
        <v>4.4356699999999999E-2</v>
      </c>
      <c r="BJ1335" s="117">
        <f>IFERROR($BI1335*$AW1335,"..")</f>
        <v>293257270.62047493</v>
      </c>
      <c r="BK1335" s="846">
        <f>IFERROR($BB1335/$BJ1335,"..")</f>
        <v>1.1756201858885107</v>
      </c>
      <c r="BL1335" s="117">
        <f>IFERROR(VLOOKUP($D1335,'WB Data'!$C$3:$M$578,7,FALSE)/100,"..")</f>
        <v>4.4356699999999999E-2</v>
      </c>
      <c r="BM1335" s="117">
        <f>IFERROR($AW1335*$BL1335,"..")</f>
        <v>293257270.62047493</v>
      </c>
      <c r="BN1335" s="846">
        <f>IFERROR($BB1335/$BM1335,"..")</f>
        <v>1.1756201858885107</v>
      </c>
      <c r="BO1335" s="801">
        <f t="shared" si="225"/>
        <v>35</v>
      </c>
      <c r="BP1335" s="117" t="str">
        <f>VLOOKUP($D1335,'WB Data'!$C$3:$M$578,9,FALSE)</f>
        <v>..</v>
      </c>
      <c r="BQ1335" s="117">
        <f>VLOOKUP($D1335,'WB Data'!$C$3:$M$578,10,FALSE)</f>
        <v>57.966170731707322</v>
      </c>
      <c r="BR1335" s="117">
        <f>VLOOKUP($D1335,'WB Data'!$C$3:$M$578,11,FALSE)</f>
        <v>61.6</v>
      </c>
      <c r="BS1335" s="129">
        <f>IFERROR(VLOOKUP($D1335,'WB Data 2'!$C$2:$K$545,9,FALSE),"..")</f>
        <v>63.622169999999997</v>
      </c>
      <c r="BT1335" s="129" t="str">
        <f>_xlfn.IFNA(VLOOKUP($C1335,RGI!$A$2:$C$43,2,FALSE),"..")</f>
        <v>..</v>
      </c>
      <c r="BU1335" s="129" t="str">
        <f>_xlfn.IFNA(VLOOKUP($C1335,RGI!$A$2:$C$43,3,FALSE),"..")</f>
        <v>..</v>
      </c>
      <c r="BV1335" s="129">
        <f>VLOOKUP($D1335,WGI!$C$2:$O$478,7,FALSE)</f>
        <v>-0.395079599525754</v>
      </c>
      <c r="BW1335" s="129">
        <f>VLOOKUP($D1335,WGI!$C$2:$O$478,4,FALSE)</f>
        <v>-1.17281728195836</v>
      </c>
      <c r="BX1335" s="129">
        <f>VLOOKUP($D1335,WGI!$C$2:$O$478,3,FALSE)</f>
        <v>-0.70399601649343702</v>
      </c>
      <c r="BY1335" s="129">
        <f>VLOOKUP($D1335,WGI!$C$2:$O$478,5,FALSE)</f>
        <v>-0.60796690667479703</v>
      </c>
      <c r="BZ1335" s="129">
        <f>VLOOKUP($D1335,WGI!$C$2:$O$478,2,FALSE)</f>
        <v>-0.68559744135101297</v>
      </c>
    </row>
    <row r="1336" spans="1:80" ht="15" customHeight="1" thickBot="1">
      <c r="A1336" s="761" t="s">
        <v>410</v>
      </c>
      <c r="B1336" s="763">
        <v>2012</v>
      </c>
      <c r="C1336" s="763" t="s">
        <v>394</v>
      </c>
      <c r="D1336" s="117" t="s">
        <v>3743</v>
      </c>
      <c r="E1336" s="763" t="s">
        <v>86</v>
      </c>
      <c r="F1336" s="146"/>
      <c r="G1336" s="146" t="s">
        <v>24</v>
      </c>
      <c r="H1336" s="146"/>
      <c r="I1336" s="146"/>
      <c r="J1336" s="146"/>
      <c r="K1336" s="146" t="s">
        <v>784</v>
      </c>
      <c r="L1336" s="146"/>
      <c r="M1336" s="146"/>
      <c r="N1336" s="754"/>
      <c r="O1336" s="754"/>
      <c r="P1336" s="754"/>
      <c r="Q1336" s="754">
        <v>1662</v>
      </c>
      <c r="R1336" s="754"/>
      <c r="S1336" s="146" t="s">
        <v>967</v>
      </c>
      <c r="T1336" s="119"/>
      <c r="U1336" s="146"/>
      <c r="V1336" s="146"/>
      <c r="W1336" s="146"/>
      <c r="X1336" s="146"/>
      <c r="Y1336" s="146"/>
      <c r="Z1336" s="146"/>
      <c r="AA1336" s="146"/>
      <c r="AB1336" s="146"/>
      <c r="AC1336" s="756"/>
      <c r="AD1336" s="756"/>
      <c r="AE1336" s="756"/>
      <c r="AF1336" s="758"/>
      <c r="AG1336" s="146"/>
      <c r="AH1336" s="759"/>
      <c r="AI1336" s="146"/>
      <c r="AJ1336" s="146"/>
      <c r="AK1336" s="760"/>
      <c r="AL1336" s="146"/>
      <c r="AM1336" s="146"/>
      <c r="AN1336" s="146"/>
      <c r="AO1336" s="146"/>
      <c r="AP1336" s="146"/>
      <c r="AQ1336" s="146"/>
      <c r="AR1336" s="146"/>
      <c r="AS1336" s="146"/>
      <c r="AT1336" s="146"/>
      <c r="AU1336" s="146"/>
      <c r="AV1336" s="128"/>
      <c r="AW1336" s="117">
        <f>VLOOKUP($D1336,'WB Data'!$C$3:$M$578,2,FALSE)</f>
        <v>6611341028.9871645</v>
      </c>
      <c r="AX1336" s="117">
        <f>VLOOKUP($D1336,'WB Data'!$C$3:$M$578,3,FALSE)</f>
        <v>17157042</v>
      </c>
      <c r="AY1336" s="847">
        <f t="shared" si="226"/>
        <v>5.2146631899400893E-2</v>
      </c>
      <c r="AZ1336" s="117" t="e">
        <f>VLOOKUP($D1336,'WB Data'!$C$3:$M$578,4,FALSE)/100</f>
        <v>#VALUE!</v>
      </c>
      <c r="BA1336" s="117" t="str">
        <f t="shared" si="227"/>
        <v>..</v>
      </c>
      <c r="BB1336" s="129">
        <f>IFERROR(VLOOKUP($D1336,'EITI Revenues'!$C$2:$G$224,5,FALSE),"..")</f>
        <v>344759167</v>
      </c>
      <c r="BC1336" s="846" t="str">
        <f t="shared" si="228"/>
        <v>..</v>
      </c>
      <c r="BD1336" s="129">
        <f>VLOOKUP($D1336,'WB Data 2'!$C$2:$K$545,6,FALSE)</f>
        <v>1133565646.0444036</v>
      </c>
      <c r="BE1336" s="129" t="str">
        <f>IFERROR(VLOOKUP($D1336,UNCTAD!$C$5:$V$529,4,FALSE),"..")</f>
        <v>..</v>
      </c>
      <c r="BF1336" s="846" t="str">
        <f t="shared" si="229"/>
        <v>..</v>
      </c>
      <c r="BG1336" s="117">
        <f>VLOOKUP($D1336,'WB Data'!$C$3:$M$578,5,FALSE)</f>
        <v>901870000</v>
      </c>
      <c r="BH1336" s="129">
        <f>IFERROR($BB1336/$BG1336,"..")</f>
        <v>0.38227146595407319</v>
      </c>
      <c r="BI1336" s="117">
        <f>IFERROR(VLOOKUP($D1336,'WB Data'!$C$3:$M$578,7,FALSE)/100,"..")</f>
        <v>4.4356699999999999E-2</v>
      </c>
      <c r="BJ1336" s="117">
        <f>IFERROR($BI1336*$AW1336,"..")</f>
        <v>293257270.62047493</v>
      </c>
      <c r="BK1336" s="846">
        <f>IFERROR($BB1336/$BJ1336,"..")</f>
        <v>1.1756201858885107</v>
      </c>
      <c r="BL1336" s="117">
        <f>IFERROR(VLOOKUP($D1336,'WB Data'!$C$3:$M$578,7,FALSE)/100,"..")</f>
        <v>4.4356699999999999E-2</v>
      </c>
      <c r="BM1336" s="117">
        <f>IFERROR($AW1336*$BL1336,"..")</f>
        <v>293257270.62047493</v>
      </c>
      <c r="BN1336" s="846">
        <f>IFERROR($BB1336/$BM1336,"..")</f>
        <v>1.1756201858885107</v>
      </c>
      <c r="BO1336" s="801">
        <f t="shared" si="225"/>
        <v>35</v>
      </c>
      <c r="BP1336" s="117" t="str">
        <f>VLOOKUP($D1336,'WB Data'!$C$3:$M$578,9,FALSE)</f>
        <v>..</v>
      </c>
      <c r="BQ1336" s="117">
        <f>VLOOKUP($D1336,'WB Data'!$C$3:$M$578,10,FALSE)</f>
        <v>57.966170731707322</v>
      </c>
      <c r="BR1336" s="117">
        <f>VLOOKUP($D1336,'WB Data'!$C$3:$M$578,11,FALSE)</f>
        <v>61.6</v>
      </c>
      <c r="BS1336" s="129">
        <f>IFERROR(VLOOKUP($D1336,'WB Data 2'!$C$2:$K$545,9,FALSE),"..")</f>
        <v>63.622169999999997</v>
      </c>
      <c r="BT1336" s="129" t="str">
        <f>_xlfn.IFNA(VLOOKUP($C1336,RGI!$A$2:$C$43,2,FALSE),"..")</f>
        <v>..</v>
      </c>
      <c r="BU1336" s="129" t="str">
        <f>_xlfn.IFNA(VLOOKUP($C1336,RGI!$A$2:$C$43,3,FALSE),"..")</f>
        <v>..</v>
      </c>
      <c r="BV1336" s="129">
        <f>VLOOKUP($D1336,WGI!$C$2:$O$478,7,FALSE)</f>
        <v>-0.395079599525754</v>
      </c>
      <c r="BW1336" s="129">
        <f>VLOOKUP($D1336,WGI!$C$2:$O$478,4,FALSE)</f>
        <v>-1.17281728195836</v>
      </c>
      <c r="BX1336" s="129">
        <f>VLOOKUP($D1336,WGI!$C$2:$O$478,3,FALSE)</f>
        <v>-0.70399601649343702</v>
      </c>
      <c r="BY1336" s="129">
        <f>VLOOKUP($D1336,WGI!$C$2:$O$478,5,FALSE)</f>
        <v>-0.60796690667479703</v>
      </c>
      <c r="BZ1336" s="129">
        <f>VLOOKUP($D1336,WGI!$C$2:$O$478,2,FALSE)</f>
        <v>-0.68559744135101297</v>
      </c>
    </row>
    <row r="1337" spans="1:80" s="210" customFormat="1" ht="15" customHeight="1">
      <c r="A1337" s="336" t="s">
        <v>412</v>
      </c>
      <c r="B1337" s="175">
        <v>1999</v>
      </c>
      <c r="C1337" s="809" t="s">
        <v>413</v>
      </c>
      <c r="D1337" s="117" t="s">
        <v>3789</v>
      </c>
      <c r="E1337" s="175" t="s">
        <v>86</v>
      </c>
      <c r="F1337" s="175" t="s">
        <v>1936</v>
      </c>
      <c r="G1337" s="175" t="s">
        <v>55</v>
      </c>
      <c r="H1337" s="117" t="str">
        <f t="shared" si="231"/>
        <v>no</v>
      </c>
      <c r="I1337" s="117" t="str">
        <f t="shared" si="233"/>
        <v>yes</v>
      </c>
      <c r="J1337" s="117" t="str">
        <f t="shared" si="234"/>
        <v>yes</v>
      </c>
      <c r="K1337" s="175" t="s">
        <v>709</v>
      </c>
      <c r="L1337" s="117" t="str">
        <f t="shared" si="232"/>
        <v>Total</v>
      </c>
      <c r="M1337" s="117" t="str">
        <f t="shared" si="235"/>
        <v>Total Oil, Gas</v>
      </c>
      <c r="N1337" s="337"/>
      <c r="O1337" s="337"/>
      <c r="P1337" s="337"/>
      <c r="Q1337" s="337"/>
      <c r="R1337" s="337"/>
      <c r="S1337" s="175"/>
      <c r="T1337" s="198"/>
      <c r="U1337" s="175"/>
      <c r="V1337" s="175"/>
      <c r="W1337" s="199">
        <f>SUM(W1338:W1339)</f>
        <v>10877489000</v>
      </c>
      <c r="X1337" s="175" t="s">
        <v>918</v>
      </c>
      <c r="Y1337" s="175" t="s">
        <v>663</v>
      </c>
      <c r="Z1337" s="175" t="s">
        <v>664</v>
      </c>
      <c r="AA1337" s="199">
        <v>8073000000</v>
      </c>
      <c r="AB1337" s="594">
        <v>8084000000</v>
      </c>
      <c r="AC1337" s="595"/>
      <c r="AD1337" s="595"/>
      <c r="AE1337" s="595"/>
      <c r="AF1337" s="596">
        <f>AA1337/W1337</f>
        <v>0.74217496335781175</v>
      </c>
      <c r="AG1337" s="175" t="s">
        <v>864</v>
      </c>
      <c r="AH1337" s="204" t="s">
        <v>865</v>
      </c>
      <c r="AI1337" s="175" t="s">
        <v>667</v>
      </c>
      <c r="AJ1337" s="175" t="s">
        <v>1937</v>
      </c>
      <c r="AK1337" s="199">
        <v>5929000000</v>
      </c>
      <c r="AL1337" s="175"/>
      <c r="AM1337" s="175"/>
      <c r="AN1337" s="175">
        <v>24</v>
      </c>
      <c r="AO1337" s="175" t="s">
        <v>1938</v>
      </c>
      <c r="AP1337" s="175">
        <v>24</v>
      </c>
      <c r="AQ1337" s="175" t="s">
        <v>102</v>
      </c>
      <c r="AR1337" s="206">
        <v>41920</v>
      </c>
      <c r="AS1337" s="175" t="s">
        <v>1939</v>
      </c>
      <c r="AT1337" s="175" t="s">
        <v>1940</v>
      </c>
      <c r="AU1337" s="175" t="s">
        <v>1554</v>
      </c>
      <c r="AV1337" s="209" t="s">
        <v>1941</v>
      </c>
      <c r="AW1337" s="117">
        <f>VLOOKUP($D1337,'WB Data'!$C$3:$M$578,2,FALSE)</f>
        <v>35870792987.943222</v>
      </c>
      <c r="AX1337" s="117">
        <f>VLOOKUP($D1337,'WB Data'!$C$3:$M$578,3,FALSE)</f>
        <v>119831888</v>
      </c>
      <c r="AY1337" s="847">
        <f t="shared" si="226"/>
        <v>0.22505775109888068</v>
      </c>
      <c r="AZ1337" s="117" t="e">
        <f>VLOOKUP($D1337,'WB Data'!$C$3:$M$578,4,FALSE)/100</f>
        <v>#VALUE!</v>
      </c>
      <c r="BA1337" s="117" t="str">
        <f t="shared" si="227"/>
        <v>..</v>
      </c>
      <c r="BB1337" s="129">
        <f>IFERROR(VLOOKUP($D1337,'EITI Revenues'!$C$2:$G$224,5,FALSE),"..")</f>
        <v>8073000000</v>
      </c>
      <c r="BC1337" s="846" t="str">
        <f t="shared" si="228"/>
        <v>..</v>
      </c>
      <c r="BD1337" s="129">
        <f>VLOOKUP($D1337,'WB Data 2'!$C$2:$K$545,6,FALSE)</f>
        <v>13709817003.586924</v>
      </c>
      <c r="BE1337" s="129">
        <f>IFERROR(VLOOKUP($D1337,UNCTAD!$C$5:$V$529,4,FALSE),"..")</f>
        <v>13855918000</v>
      </c>
      <c r="BF1337" s="846">
        <f t="shared" si="229"/>
        <v>0.98945569709541614</v>
      </c>
      <c r="BG1337" s="117">
        <f>VLOOKUP($D1337,'WB Data'!$C$3:$M$578,5,FALSE)</f>
        <v>151800000</v>
      </c>
      <c r="BH1337" s="129">
        <f>IFERROR($BB1337/$BG1337,"..")</f>
        <v>53.18181818181818</v>
      </c>
      <c r="BI1337" s="117" t="str">
        <f>IFERROR(VLOOKUP($D1337,'WB Data'!$C$3:$M$578,7,FALSE)/100,"..")</f>
        <v>..</v>
      </c>
      <c r="BJ1337" s="117" t="str">
        <f>IFERROR($BI1337*$AW1337,"..")</f>
        <v>..</v>
      </c>
      <c r="BK1337" s="846" t="str">
        <f>IFERROR($BB1337/$BJ1337,"..")</f>
        <v>..</v>
      </c>
      <c r="BL1337" s="117" t="str">
        <f>IFERROR(VLOOKUP($D1337,'WB Data'!$C$3:$M$578,7,FALSE)/100,"..")</f>
        <v>..</v>
      </c>
      <c r="BM1337" s="117" t="str">
        <f>IFERROR($AW1337*$BL1337,"..")</f>
        <v>..</v>
      </c>
      <c r="BN1337" s="846" t="str">
        <f>IFERROR($BB1337/$BM1337,"..")</f>
        <v>..</v>
      </c>
      <c r="BO1337" s="801">
        <f t="shared" si="225"/>
        <v>27</v>
      </c>
      <c r="BP1337" s="117" t="str">
        <f>VLOOKUP($D1337,'WB Data'!$C$3:$M$578,9,FALSE)</f>
        <v>..</v>
      </c>
      <c r="BQ1337" s="117">
        <f>VLOOKUP($D1337,'WB Data'!$C$3:$M$578,10,FALSE)</f>
        <v>46.442682926829278</v>
      </c>
      <c r="BR1337" s="117">
        <f>VLOOKUP($D1337,'WB Data'!$C$3:$M$578,11,FALSE)</f>
        <v>115.3</v>
      </c>
      <c r="BS1337" s="129">
        <f>IFERROR(VLOOKUP($D1337,'WB Data 2'!$C$2:$K$545,9,FALSE),"..")</f>
        <v>62.909489999999998</v>
      </c>
      <c r="BT1337" s="129">
        <f>_xlfn.IFNA(VLOOKUP($C1337,RGI!$A$2:$C$43,2,FALSE),"..")</f>
        <v>46.5</v>
      </c>
      <c r="BU1337" s="129">
        <f>_xlfn.IFNA(VLOOKUP($C1337,RGI!$A$2:$C$43,3,FALSE),"..")</f>
        <v>42.488706175328218</v>
      </c>
      <c r="BV1337" s="129" t="e">
        <f>VLOOKUP($D1337,WGI!$C$2:$O$478,7,FALSE)</f>
        <v>#N/A</v>
      </c>
      <c r="BW1337" s="129" t="e">
        <f>VLOOKUP($D1337,WGI!$C$2:$O$478,4,FALSE)</f>
        <v>#N/A</v>
      </c>
      <c r="BX1337" s="129" t="e">
        <f>VLOOKUP($D1337,WGI!$C$2:$O$478,3,FALSE)</f>
        <v>#N/A</v>
      </c>
      <c r="BY1337" s="129" t="e">
        <f>VLOOKUP($D1337,WGI!$C$2:$O$478,5,FALSE)</f>
        <v>#N/A</v>
      </c>
      <c r="BZ1337" s="129" t="e">
        <f>VLOOKUP($D1337,WGI!$C$2:$O$478,2,FALSE)</f>
        <v>#N/A</v>
      </c>
      <c r="CB1337" s="129"/>
    </row>
    <row r="1338" spans="1:80" s="120" customFormat="1" ht="15" customHeight="1">
      <c r="A1338" s="280" t="s">
        <v>412</v>
      </c>
      <c r="B1338" s="117">
        <v>1999</v>
      </c>
      <c r="C1338" s="809" t="s">
        <v>413</v>
      </c>
      <c r="D1338" s="117" t="s">
        <v>3789</v>
      </c>
      <c r="E1338" s="117" t="s">
        <v>86</v>
      </c>
      <c r="F1338" s="117"/>
      <c r="G1338" s="117" t="s">
        <v>561</v>
      </c>
      <c r="H1338" s="117" t="str">
        <f t="shared" si="231"/>
        <v>no</v>
      </c>
      <c r="I1338" s="117" t="str">
        <f t="shared" si="233"/>
        <v>yes</v>
      </c>
      <c r="J1338" s="117" t="str">
        <f t="shared" si="234"/>
        <v>no</v>
      </c>
      <c r="K1338" s="117" t="s">
        <v>561</v>
      </c>
      <c r="L1338" s="117" t="str">
        <f t="shared" si="232"/>
        <v>detailed</v>
      </c>
      <c r="M1338" s="117" t="str">
        <f t="shared" si="235"/>
        <v>detailed Gas</v>
      </c>
      <c r="N1338" s="179">
        <v>4600000000</v>
      </c>
      <c r="O1338" s="118">
        <f>N1338*0.0066</f>
        <v>30360000</v>
      </c>
      <c r="P1338" s="179"/>
      <c r="Q1338" s="179"/>
      <c r="R1338" s="179"/>
      <c r="S1338" s="117" t="s">
        <v>642</v>
      </c>
      <c r="T1338" s="119">
        <v>6.9614999999999996E-2</v>
      </c>
      <c r="U1338" s="117" t="s">
        <v>643</v>
      </c>
      <c r="V1338" s="117" t="s">
        <v>738</v>
      </c>
      <c r="W1338" s="89">
        <f>N1338*T1338</f>
        <v>320229000</v>
      </c>
      <c r="X1338" s="117"/>
      <c r="Y1338" s="117"/>
      <c r="Z1338" s="117"/>
      <c r="AA1338" s="117"/>
      <c r="AB1338" s="117"/>
      <c r="AC1338" s="462"/>
      <c r="AD1338" s="462"/>
      <c r="AE1338" s="462"/>
      <c r="AF1338" s="463"/>
      <c r="AG1338" s="117"/>
      <c r="AH1338" s="124"/>
      <c r="AI1338" s="117"/>
      <c r="AJ1338" s="117"/>
      <c r="AK1338" s="89"/>
      <c r="AL1338" s="117"/>
      <c r="AM1338" s="117"/>
      <c r="AN1338" s="117"/>
      <c r="AO1338" s="117"/>
      <c r="AP1338" s="117"/>
      <c r="AQ1338" s="117"/>
      <c r="AR1338" s="117"/>
      <c r="AS1338" s="117"/>
      <c r="AT1338" s="117"/>
      <c r="AU1338" s="117"/>
      <c r="AV1338" s="128"/>
      <c r="AW1338" s="117">
        <f>VLOOKUP($D1338,'WB Data'!$C$3:$M$578,2,FALSE)</f>
        <v>35870792987.943222</v>
      </c>
      <c r="AX1338" s="117">
        <f>VLOOKUP($D1338,'WB Data'!$C$3:$M$578,3,FALSE)</f>
        <v>119831888</v>
      </c>
      <c r="AY1338" s="847">
        <f t="shared" si="226"/>
        <v>0.22505775109888068</v>
      </c>
      <c r="AZ1338" s="117" t="e">
        <f>VLOOKUP($D1338,'WB Data'!$C$3:$M$578,4,FALSE)/100</f>
        <v>#VALUE!</v>
      </c>
      <c r="BA1338" s="117" t="str">
        <f t="shared" si="227"/>
        <v>..</v>
      </c>
      <c r="BB1338" s="129">
        <f>IFERROR(VLOOKUP($D1338,'EITI Revenues'!$C$2:$G$224,5,FALSE),"..")</f>
        <v>8073000000</v>
      </c>
      <c r="BC1338" s="846" t="str">
        <f t="shared" si="228"/>
        <v>..</v>
      </c>
      <c r="BD1338" s="129">
        <f>VLOOKUP($D1338,'WB Data 2'!$C$2:$K$545,6,FALSE)</f>
        <v>13709817003.586924</v>
      </c>
      <c r="BE1338" s="129">
        <f>IFERROR(VLOOKUP($D1338,UNCTAD!$C$5:$V$529,4,FALSE),"..")</f>
        <v>13855918000</v>
      </c>
      <c r="BF1338" s="846">
        <f t="shared" si="229"/>
        <v>0.98945569709541614</v>
      </c>
      <c r="BG1338" s="117">
        <f>VLOOKUP($D1338,'WB Data'!$C$3:$M$578,5,FALSE)</f>
        <v>151800000</v>
      </c>
      <c r="BH1338" s="129">
        <f>IFERROR($BB1338/$BG1338,"..")</f>
        <v>53.18181818181818</v>
      </c>
      <c r="BI1338" s="117" t="str">
        <f>IFERROR(VLOOKUP($D1338,'WB Data'!$C$3:$M$578,7,FALSE)/100,"..")</f>
        <v>..</v>
      </c>
      <c r="BJ1338" s="117" t="str">
        <f>IFERROR($BI1338*$AW1338,"..")</f>
        <v>..</v>
      </c>
      <c r="BK1338" s="846" t="str">
        <f>IFERROR($BB1338/$BJ1338,"..")</f>
        <v>..</v>
      </c>
      <c r="BL1338" s="117" t="str">
        <f>IFERROR(VLOOKUP($D1338,'WB Data'!$C$3:$M$578,7,FALSE)/100,"..")</f>
        <v>..</v>
      </c>
      <c r="BM1338" s="117" t="str">
        <f>IFERROR($AW1338*$BL1338,"..")</f>
        <v>..</v>
      </c>
      <c r="BN1338" s="846" t="str">
        <f>IFERROR($BB1338/$BM1338,"..")</f>
        <v>..</v>
      </c>
      <c r="BO1338" s="801">
        <f t="shared" si="225"/>
        <v>27</v>
      </c>
      <c r="BP1338" s="117" t="str">
        <f>VLOOKUP($D1338,'WB Data'!$C$3:$M$578,9,FALSE)</f>
        <v>..</v>
      </c>
      <c r="BQ1338" s="117">
        <f>VLOOKUP($D1338,'WB Data'!$C$3:$M$578,10,FALSE)</f>
        <v>46.442682926829278</v>
      </c>
      <c r="BR1338" s="117">
        <f>VLOOKUP($D1338,'WB Data'!$C$3:$M$578,11,FALSE)</f>
        <v>115.3</v>
      </c>
      <c r="BS1338" s="129">
        <f>IFERROR(VLOOKUP($D1338,'WB Data 2'!$C$2:$K$545,9,FALSE),"..")</f>
        <v>62.909489999999998</v>
      </c>
      <c r="BT1338" s="129">
        <f>_xlfn.IFNA(VLOOKUP($C1338,RGI!$A$2:$C$43,2,FALSE),"..")</f>
        <v>46.5</v>
      </c>
      <c r="BU1338" s="129">
        <f>_xlfn.IFNA(VLOOKUP($C1338,RGI!$A$2:$C$43,3,FALSE),"..")</f>
        <v>42.488706175328218</v>
      </c>
      <c r="BV1338" s="129" t="e">
        <f>VLOOKUP($D1338,WGI!$C$2:$O$478,7,FALSE)</f>
        <v>#N/A</v>
      </c>
      <c r="BW1338" s="129" t="e">
        <f>VLOOKUP($D1338,WGI!$C$2:$O$478,4,FALSE)</f>
        <v>#N/A</v>
      </c>
      <c r="BX1338" s="129" t="e">
        <f>VLOOKUP($D1338,WGI!$C$2:$O$478,3,FALSE)</f>
        <v>#N/A</v>
      </c>
      <c r="BY1338" s="129" t="e">
        <f>VLOOKUP($D1338,WGI!$C$2:$O$478,5,FALSE)</f>
        <v>#N/A</v>
      </c>
      <c r="BZ1338" s="129" t="e">
        <f>VLOOKUP($D1338,WGI!$C$2:$O$478,2,FALSE)</f>
        <v>#N/A</v>
      </c>
      <c r="CB1338" s="129"/>
    </row>
    <row r="1339" spans="1:80" s="158" customFormat="1" ht="15" customHeight="1">
      <c r="A1339" s="282" t="s">
        <v>412</v>
      </c>
      <c r="B1339" s="149">
        <v>1999</v>
      </c>
      <c r="C1339" s="809" t="s">
        <v>413</v>
      </c>
      <c r="D1339" s="117" t="s">
        <v>3789</v>
      </c>
      <c r="E1339" s="149" t="s">
        <v>86</v>
      </c>
      <c r="F1339" s="149"/>
      <c r="G1339" s="149" t="s">
        <v>103</v>
      </c>
      <c r="H1339" s="117" t="str">
        <f t="shared" si="231"/>
        <v>no</v>
      </c>
      <c r="I1339" s="117" t="str">
        <f t="shared" si="233"/>
        <v>no</v>
      </c>
      <c r="J1339" s="117" t="str">
        <f t="shared" si="234"/>
        <v>yes</v>
      </c>
      <c r="K1339" s="149" t="s">
        <v>103</v>
      </c>
      <c r="L1339" s="117" t="str">
        <f t="shared" si="232"/>
        <v>detailed</v>
      </c>
      <c r="M1339" s="117" t="str">
        <f t="shared" si="235"/>
        <v>detailed Oil</v>
      </c>
      <c r="N1339" s="216">
        <v>754090000</v>
      </c>
      <c r="O1339" s="211">
        <f>O1338/N1339</f>
        <v>4.0260446365818402E-2</v>
      </c>
      <c r="P1339" s="216"/>
      <c r="Q1339" s="216"/>
      <c r="R1339" s="216"/>
      <c r="S1339" s="149" t="s">
        <v>646</v>
      </c>
      <c r="T1339" s="151">
        <v>14</v>
      </c>
      <c r="U1339" s="149" t="s">
        <v>673</v>
      </c>
      <c r="V1339" s="149" t="s">
        <v>1942</v>
      </c>
      <c r="W1339" s="152">
        <f>N1339*T1339</f>
        <v>10557260000</v>
      </c>
      <c r="X1339" s="149"/>
      <c r="Y1339" s="149"/>
      <c r="Z1339" s="149"/>
      <c r="AA1339" s="149"/>
      <c r="AB1339" s="149"/>
      <c r="AC1339" s="494"/>
      <c r="AD1339" s="494"/>
      <c r="AE1339" s="494"/>
      <c r="AF1339" s="495"/>
      <c r="AG1339" s="149"/>
      <c r="AH1339" s="156"/>
      <c r="AI1339" s="149"/>
      <c r="AJ1339" s="149"/>
      <c r="AK1339" s="152"/>
      <c r="AL1339" s="149"/>
      <c r="AM1339" s="149"/>
      <c r="AN1339" s="149"/>
      <c r="AO1339" s="149"/>
      <c r="AP1339" s="149"/>
      <c r="AQ1339" s="149"/>
      <c r="AR1339" s="149"/>
      <c r="AS1339" s="149"/>
      <c r="AT1339" s="149"/>
      <c r="AU1339" s="149">
        <v>51</v>
      </c>
      <c r="AV1339" s="157"/>
      <c r="AW1339" s="117">
        <f>VLOOKUP($D1339,'WB Data'!$C$3:$M$578,2,FALSE)</f>
        <v>35870792987.943222</v>
      </c>
      <c r="AX1339" s="117">
        <f>VLOOKUP($D1339,'WB Data'!$C$3:$M$578,3,FALSE)</f>
        <v>119831888</v>
      </c>
      <c r="AY1339" s="847">
        <f t="shared" si="226"/>
        <v>0.22505775109888068</v>
      </c>
      <c r="AZ1339" s="117" t="e">
        <f>VLOOKUP($D1339,'WB Data'!$C$3:$M$578,4,FALSE)/100</f>
        <v>#VALUE!</v>
      </c>
      <c r="BA1339" s="117" t="str">
        <f t="shared" si="227"/>
        <v>..</v>
      </c>
      <c r="BB1339" s="129">
        <f>IFERROR(VLOOKUP($D1339,'EITI Revenues'!$C$2:$G$224,5,FALSE),"..")</f>
        <v>8073000000</v>
      </c>
      <c r="BC1339" s="846" t="str">
        <f t="shared" si="228"/>
        <v>..</v>
      </c>
      <c r="BD1339" s="129">
        <f>VLOOKUP($D1339,'WB Data 2'!$C$2:$K$545,6,FALSE)</f>
        <v>13709817003.586924</v>
      </c>
      <c r="BE1339" s="129">
        <f>IFERROR(VLOOKUP($D1339,UNCTAD!$C$5:$V$529,4,FALSE),"..")</f>
        <v>13855918000</v>
      </c>
      <c r="BF1339" s="846">
        <f t="shared" si="229"/>
        <v>0.98945569709541614</v>
      </c>
      <c r="BG1339" s="117">
        <f>VLOOKUP($D1339,'WB Data'!$C$3:$M$578,5,FALSE)</f>
        <v>151800000</v>
      </c>
      <c r="BH1339" s="129">
        <f>IFERROR($BB1339/$BG1339,"..")</f>
        <v>53.18181818181818</v>
      </c>
      <c r="BI1339" s="117" t="str">
        <f>IFERROR(VLOOKUP($D1339,'WB Data'!$C$3:$M$578,7,FALSE)/100,"..")</f>
        <v>..</v>
      </c>
      <c r="BJ1339" s="117" t="str">
        <f>IFERROR($BI1339*$AW1339,"..")</f>
        <v>..</v>
      </c>
      <c r="BK1339" s="846" t="str">
        <f>IFERROR($BB1339/$BJ1339,"..")</f>
        <v>..</v>
      </c>
      <c r="BL1339" s="117" t="str">
        <f>IFERROR(VLOOKUP($D1339,'WB Data'!$C$3:$M$578,7,FALSE)/100,"..")</f>
        <v>..</v>
      </c>
      <c r="BM1339" s="117" t="str">
        <f>IFERROR($AW1339*$BL1339,"..")</f>
        <v>..</v>
      </c>
      <c r="BN1339" s="846" t="str">
        <f>IFERROR($BB1339/$BM1339,"..")</f>
        <v>..</v>
      </c>
      <c r="BO1339" s="801">
        <f t="shared" si="225"/>
        <v>27</v>
      </c>
      <c r="BP1339" s="117" t="str">
        <f>VLOOKUP($D1339,'WB Data'!$C$3:$M$578,9,FALSE)</f>
        <v>..</v>
      </c>
      <c r="BQ1339" s="117">
        <f>VLOOKUP($D1339,'WB Data'!$C$3:$M$578,10,FALSE)</f>
        <v>46.442682926829278</v>
      </c>
      <c r="BR1339" s="117">
        <f>VLOOKUP($D1339,'WB Data'!$C$3:$M$578,11,FALSE)</f>
        <v>115.3</v>
      </c>
      <c r="BS1339" s="129">
        <f>IFERROR(VLOOKUP($D1339,'WB Data 2'!$C$2:$K$545,9,FALSE),"..")</f>
        <v>62.909489999999998</v>
      </c>
      <c r="BT1339" s="129">
        <f>_xlfn.IFNA(VLOOKUP($C1339,RGI!$A$2:$C$43,2,FALSE),"..")</f>
        <v>46.5</v>
      </c>
      <c r="BU1339" s="129">
        <f>_xlfn.IFNA(VLOOKUP($C1339,RGI!$A$2:$C$43,3,FALSE),"..")</f>
        <v>42.488706175328218</v>
      </c>
      <c r="BV1339" s="129" t="e">
        <f>VLOOKUP($D1339,WGI!$C$2:$O$478,7,FALSE)</f>
        <v>#N/A</v>
      </c>
      <c r="BW1339" s="129" t="e">
        <f>VLOOKUP($D1339,WGI!$C$2:$O$478,4,FALSE)</f>
        <v>#N/A</v>
      </c>
      <c r="BX1339" s="129" t="e">
        <f>VLOOKUP($D1339,WGI!$C$2:$O$478,3,FALSE)</f>
        <v>#N/A</v>
      </c>
      <c r="BY1339" s="129" t="e">
        <f>VLOOKUP($D1339,WGI!$C$2:$O$478,5,FALSE)</f>
        <v>#N/A</v>
      </c>
      <c r="BZ1339" s="129" t="e">
        <f>VLOOKUP($D1339,WGI!$C$2:$O$478,2,FALSE)</f>
        <v>#N/A</v>
      </c>
      <c r="CB1339" s="129"/>
    </row>
    <row r="1340" spans="1:80" ht="15" customHeight="1">
      <c r="A1340" s="279" t="s">
        <v>415</v>
      </c>
      <c r="B1340" s="132">
        <v>2000</v>
      </c>
      <c r="C1340" s="809" t="s">
        <v>413</v>
      </c>
      <c r="D1340" s="117" t="s">
        <v>3370</v>
      </c>
      <c r="E1340" s="132" t="s">
        <v>86</v>
      </c>
      <c r="F1340" s="117" t="s">
        <v>1936</v>
      </c>
      <c r="G1340" s="117" t="s">
        <v>55</v>
      </c>
      <c r="H1340" s="117" t="str">
        <f t="shared" si="231"/>
        <v>no</v>
      </c>
      <c r="I1340" s="117" t="str">
        <f t="shared" si="233"/>
        <v>yes</v>
      </c>
      <c r="J1340" s="117" t="str">
        <f t="shared" si="234"/>
        <v>yes</v>
      </c>
      <c r="K1340" s="117" t="s">
        <v>709</v>
      </c>
      <c r="L1340" s="117" t="str">
        <f t="shared" si="232"/>
        <v>Total</v>
      </c>
      <c r="M1340" s="117" t="str">
        <f t="shared" si="235"/>
        <v>Total Oil, Gas</v>
      </c>
      <c r="N1340" s="179"/>
      <c r="O1340" s="179"/>
      <c r="P1340" s="179"/>
      <c r="Q1340" s="179"/>
      <c r="R1340" s="179"/>
      <c r="S1340" s="117"/>
      <c r="T1340" s="119"/>
      <c r="U1340" s="117"/>
      <c r="V1340" s="117"/>
      <c r="W1340" s="89">
        <f>SUM(W1341:W1342)</f>
        <v>18849799724.242424</v>
      </c>
      <c r="X1340" s="117" t="s">
        <v>918</v>
      </c>
      <c r="Y1340" s="117" t="s">
        <v>663</v>
      </c>
      <c r="Z1340" s="117" t="s">
        <v>664</v>
      </c>
      <c r="AA1340" s="597">
        <v>15807000000</v>
      </c>
      <c r="AB1340" s="597">
        <v>15807000000</v>
      </c>
      <c r="AC1340" s="240"/>
      <c r="AD1340" s="240"/>
      <c r="AE1340" s="240"/>
      <c r="AF1340" s="241">
        <f>AA1340/W1340</f>
        <v>0.83857654888878586</v>
      </c>
      <c r="AG1340" s="117" t="s">
        <v>864</v>
      </c>
      <c r="AH1340" s="124" t="s">
        <v>865</v>
      </c>
      <c r="AI1340" s="117" t="s">
        <v>667</v>
      </c>
      <c r="AJ1340" s="117" t="s">
        <v>1943</v>
      </c>
      <c r="AK1340" s="89">
        <v>10171000000</v>
      </c>
      <c r="AL1340" s="117"/>
      <c r="AM1340" s="117"/>
      <c r="AN1340" s="117">
        <v>24</v>
      </c>
      <c r="AO1340" s="117" t="s">
        <v>1938</v>
      </c>
      <c r="AP1340" s="117">
        <v>24</v>
      </c>
      <c r="AQ1340" s="117" t="s">
        <v>102</v>
      </c>
      <c r="AR1340" s="126">
        <v>41920</v>
      </c>
      <c r="AS1340" s="117" t="s">
        <v>1939</v>
      </c>
      <c r="AT1340" s="117" t="s">
        <v>1940</v>
      </c>
      <c r="AU1340" s="117" t="s">
        <v>1554</v>
      </c>
      <c r="AV1340" s="128" t="s">
        <v>1941</v>
      </c>
      <c r="AW1340" s="117">
        <f>VLOOKUP($D1340,'WB Data'!$C$3:$M$578,2,FALSE)</f>
        <v>46385996027.42794</v>
      </c>
      <c r="AX1340" s="117">
        <f>VLOOKUP($D1340,'WB Data'!$C$3:$M$578,3,FALSE)</f>
        <v>122876727</v>
      </c>
      <c r="AY1340" s="847">
        <f t="shared" si="226"/>
        <v>0.34077095144520242</v>
      </c>
      <c r="AZ1340" s="117" t="e">
        <f>VLOOKUP($D1340,'WB Data'!$C$3:$M$578,4,FALSE)/100</f>
        <v>#VALUE!</v>
      </c>
      <c r="BA1340" s="117" t="str">
        <f t="shared" si="227"/>
        <v>..</v>
      </c>
      <c r="BB1340" s="129">
        <f>IFERROR(VLOOKUP($D1340,'EITI Revenues'!$C$2:$G$224,5,FALSE),"..")</f>
        <v>15807000000</v>
      </c>
      <c r="BC1340" s="846" t="str">
        <f t="shared" si="228"/>
        <v>..</v>
      </c>
      <c r="BD1340" s="129">
        <f>VLOOKUP($D1340,'WB Data 2'!$C$2:$K$545,6,FALSE)</f>
        <v>20900274300.884193</v>
      </c>
      <c r="BE1340" s="129">
        <f>IFERROR(VLOOKUP($D1340,UNCTAD!$C$5:$V$529,4,FALSE),"..")</f>
        <v>20964900000</v>
      </c>
      <c r="BF1340" s="846">
        <f t="shared" si="229"/>
        <v>0.99691743346661288</v>
      </c>
      <c r="BG1340" s="117">
        <f>VLOOKUP($D1340,'WB Data'!$C$3:$M$578,5,FALSE)</f>
        <v>173700000</v>
      </c>
      <c r="BH1340" s="129">
        <f>IFERROR($BB1340/$BG1340,"..")</f>
        <v>91.001727115716747</v>
      </c>
      <c r="BI1340" s="117" t="str">
        <f>IFERROR(VLOOKUP($D1340,'WB Data'!$C$3:$M$578,7,FALSE)/100,"..")</f>
        <v>..</v>
      </c>
      <c r="BJ1340" s="117" t="str">
        <f>IFERROR($BI1340*$AW1340,"..")</f>
        <v>..</v>
      </c>
      <c r="BK1340" s="846" t="str">
        <f>IFERROR($BB1340/$BJ1340,"..")</f>
        <v>..</v>
      </c>
      <c r="BL1340" s="117" t="str">
        <f>IFERROR(VLOOKUP($D1340,'WB Data'!$C$3:$M$578,7,FALSE)/100,"..")</f>
        <v>..</v>
      </c>
      <c r="BM1340" s="117" t="str">
        <f>IFERROR($AW1340*$BL1340,"..")</f>
        <v>..</v>
      </c>
      <c r="BN1340" s="846" t="str">
        <f>IFERROR($BB1340/$BM1340,"..")</f>
        <v>..</v>
      </c>
      <c r="BO1340" s="801">
        <f t="shared" si="225"/>
        <v>27</v>
      </c>
      <c r="BP1340" s="117" t="str">
        <f>VLOOKUP($D1340,'WB Data'!$C$3:$M$578,9,FALSE)</f>
        <v>..</v>
      </c>
      <c r="BQ1340" s="117">
        <f>VLOOKUP($D1340,'WB Data'!$C$3:$M$578,10,FALSE)</f>
        <v>46.624000000000009</v>
      </c>
      <c r="BR1340" s="117">
        <f>VLOOKUP($D1340,'WB Data'!$C$3:$M$578,11,FALSE)</f>
        <v>112.5</v>
      </c>
      <c r="BS1340" s="129">
        <f>IFERROR(VLOOKUP($D1340,'WB Data 2'!$C$2:$K$545,9,FALSE),"..")</f>
        <v>64.869349999999997</v>
      </c>
      <c r="BT1340" s="129">
        <f>_xlfn.IFNA(VLOOKUP($C1340,RGI!$A$2:$C$43,2,FALSE),"..")</f>
        <v>46.5</v>
      </c>
      <c r="BU1340" s="129">
        <f>_xlfn.IFNA(VLOOKUP($C1340,RGI!$A$2:$C$43,3,FALSE),"..")</f>
        <v>42.488706175328218</v>
      </c>
      <c r="BV1340" s="129">
        <f>VLOOKUP($D1340,WGI!$C$2:$O$478,7,FALSE)</f>
        <v>-0.58215715901103604</v>
      </c>
      <c r="BW1340" s="129">
        <f>VLOOKUP($D1340,WGI!$C$2:$O$478,4,FALSE)</f>
        <v>-1.5215853274331701</v>
      </c>
      <c r="BX1340" s="129">
        <f>VLOOKUP($D1340,WGI!$C$2:$O$478,3,FALSE)</f>
        <v>-0.95694464641467003</v>
      </c>
      <c r="BY1340" s="129">
        <f>VLOOKUP($D1340,WGI!$C$2:$O$478,5,FALSE)</f>
        <v>-0.74345003200615001</v>
      </c>
      <c r="BZ1340" s="129">
        <f>VLOOKUP($D1340,WGI!$C$2:$O$478,2,FALSE)</f>
        <v>-1.1262233815331899</v>
      </c>
    </row>
    <row r="1341" spans="1:80" ht="15" customHeight="1">
      <c r="A1341" s="280" t="s">
        <v>415</v>
      </c>
      <c r="B1341" s="117">
        <v>2000</v>
      </c>
      <c r="C1341" s="809" t="s">
        <v>413</v>
      </c>
      <c r="D1341" s="117" t="s">
        <v>3370</v>
      </c>
      <c r="E1341" s="117" t="s">
        <v>86</v>
      </c>
      <c r="F1341" s="117"/>
      <c r="G1341" s="117" t="s">
        <v>561</v>
      </c>
      <c r="H1341" s="117" t="str">
        <f t="shared" si="231"/>
        <v>no</v>
      </c>
      <c r="I1341" s="117" t="str">
        <f t="shared" si="233"/>
        <v>yes</v>
      </c>
      <c r="J1341" s="117" t="str">
        <f t="shared" si="234"/>
        <v>no</v>
      </c>
      <c r="K1341" s="117" t="s">
        <v>561</v>
      </c>
      <c r="L1341" s="117" t="str">
        <f t="shared" si="232"/>
        <v>detailed</v>
      </c>
      <c r="M1341" s="117" t="str">
        <f t="shared" si="235"/>
        <v>detailed Gas</v>
      </c>
      <c r="N1341" s="179">
        <v>11800000000</v>
      </c>
      <c r="O1341" s="118">
        <f>N1341*0.0066</f>
        <v>77880000</v>
      </c>
      <c r="P1341" s="179"/>
      <c r="Q1341" s="179"/>
      <c r="R1341" s="179"/>
      <c r="S1341" s="117" t="s">
        <v>642</v>
      </c>
      <c r="T1341" s="119">
        <v>0.12721100000000002</v>
      </c>
      <c r="U1341" s="117" t="s">
        <v>643</v>
      </c>
      <c r="V1341" s="117" t="s">
        <v>738</v>
      </c>
      <c r="W1341" s="89">
        <f>N1341*T1341</f>
        <v>1501089800.0000002</v>
      </c>
      <c r="X1341" s="117"/>
      <c r="Y1341" s="117"/>
      <c r="Z1341" s="117"/>
      <c r="AA1341" s="89"/>
      <c r="AB1341" s="89"/>
      <c r="AC1341" s="240"/>
      <c r="AD1341" s="240"/>
      <c r="AE1341" s="240"/>
      <c r="AF1341" s="241"/>
      <c r="AG1341" s="117"/>
      <c r="AH1341" s="124"/>
      <c r="AI1341" s="117"/>
      <c r="AJ1341" s="117"/>
      <c r="AK1341" s="89"/>
      <c r="AL1341" s="117"/>
      <c r="AM1341" s="117"/>
      <c r="AN1341" s="117"/>
      <c r="AO1341" s="117"/>
      <c r="AP1341" s="117"/>
      <c r="AQ1341" s="117"/>
      <c r="AR1341" s="117"/>
      <c r="AS1341" s="117"/>
      <c r="AT1341" s="117"/>
      <c r="AU1341" s="117"/>
      <c r="AV1341" s="128"/>
      <c r="AW1341" s="117">
        <f>VLOOKUP($D1341,'WB Data'!$C$3:$M$578,2,FALSE)</f>
        <v>46385996027.42794</v>
      </c>
      <c r="AX1341" s="117">
        <f>VLOOKUP($D1341,'WB Data'!$C$3:$M$578,3,FALSE)</f>
        <v>122876727</v>
      </c>
      <c r="AY1341" s="847">
        <f t="shared" si="226"/>
        <v>0.34077095144520242</v>
      </c>
      <c r="AZ1341" s="117" t="e">
        <f>VLOOKUP($D1341,'WB Data'!$C$3:$M$578,4,FALSE)/100</f>
        <v>#VALUE!</v>
      </c>
      <c r="BA1341" s="117" t="str">
        <f t="shared" si="227"/>
        <v>..</v>
      </c>
      <c r="BB1341" s="129">
        <f>IFERROR(VLOOKUP($D1341,'EITI Revenues'!$C$2:$G$224,5,FALSE),"..")</f>
        <v>15807000000</v>
      </c>
      <c r="BC1341" s="846" t="str">
        <f t="shared" si="228"/>
        <v>..</v>
      </c>
      <c r="BD1341" s="129">
        <f>VLOOKUP($D1341,'WB Data 2'!$C$2:$K$545,6,FALSE)</f>
        <v>20900274300.884193</v>
      </c>
      <c r="BE1341" s="129">
        <f>IFERROR(VLOOKUP($D1341,UNCTAD!$C$5:$V$529,4,FALSE),"..")</f>
        <v>20964900000</v>
      </c>
      <c r="BF1341" s="846">
        <f t="shared" si="229"/>
        <v>0.99691743346661288</v>
      </c>
      <c r="BG1341" s="117">
        <f>VLOOKUP($D1341,'WB Data'!$C$3:$M$578,5,FALSE)</f>
        <v>173700000</v>
      </c>
      <c r="BH1341" s="129">
        <f>IFERROR($BB1341/$BG1341,"..")</f>
        <v>91.001727115716747</v>
      </c>
      <c r="BI1341" s="117" t="str">
        <f>IFERROR(VLOOKUP($D1341,'WB Data'!$C$3:$M$578,7,FALSE)/100,"..")</f>
        <v>..</v>
      </c>
      <c r="BJ1341" s="117" t="str">
        <f>IFERROR($BI1341*$AW1341,"..")</f>
        <v>..</v>
      </c>
      <c r="BK1341" s="846" t="str">
        <f>IFERROR($BB1341/$BJ1341,"..")</f>
        <v>..</v>
      </c>
      <c r="BL1341" s="117" t="str">
        <f>IFERROR(VLOOKUP($D1341,'WB Data'!$C$3:$M$578,7,FALSE)/100,"..")</f>
        <v>..</v>
      </c>
      <c r="BM1341" s="117" t="str">
        <f>IFERROR($AW1341*$BL1341,"..")</f>
        <v>..</v>
      </c>
      <c r="BN1341" s="846" t="str">
        <f>IFERROR($BB1341/$BM1341,"..")</f>
        <v>..</v>
      </c>
      <c r="BO1341" s="801">
        <f t="shared" si="225"/>
        <v>27</v>
      </c>
      <c r="BP1341" s="117" t="str">
        <f>VLOOKUP($D1341,'WB Data'!$C$3:$M$578,9,FALSE)</f>
        <v>..</v>
      </c>
      <c r="BQ1341" s="117">
        <f>VLOOKUP($D1341,'WB Data'!$C$3:$M$578,10,FALSE)</f>
        <v>46.624000000000009</v>
      </c>
      <c r="BR1341" s="117">
        <f>VLOOKUP($D1341,'WB Data'!$C$3:$M$578,11,FALSE)</f>
        <v>112.5</v>
      </c>
      <c r="BS1341" s="129">
        <f>IFERROR(VLOOKUP($D1341,'WB Data 2'!$C$2:$K$545,9,FALSE),"..")</f>
        <v>64.869349999999997</v>
      </c>
      <c r="BT1341" s="129">
        <f>_xlfn.IFNA(VLOOKUP($C1341,RGI!$A$2:$C$43,2,FALSE),"..")</f>
        <v>46.5</v>
      </c>
      <c r="BU1341" s="129">
        <f>_xlfn.IFNA(VLOOKUP($C1341,RGI!$A$2:$C$43,3,FALSE),"..")</f>
        <v>42.488706175328218</v>
      </c>
      <c r="BV1341" s="129">
        <f>VLOOKUP($D1341,WGI!$C$2:$O$478,7,FALSE)</f>
        <v>-0.58215715901103604</v>
      </c>
      <c r="BW1341" s="129">
        <f>VLOOKUP($D1341,WGI!$C$2:$O$478,4,FALSE)</f>
        <v>-1.5215853274331701</v>
      </c>
      <c r="BX1341" s="129">
        <f>VLOOKUP($D1341,WGI!$C$2:$O$478,3,FALSE)</f>
        <v>-0.95694464641467003</v>
      </c>
      <c r="BY1341" s="129">
        <f>VLOOKUP($D1341,WGI!$C$2:$O$478,5,FALSE)</f>
        <v>-0.74345003200615001</v>
      </c>
      <c r="BZ1341" s="129">
        <f>VLOOKUP($D1341,WGI!$C$2:$O$478,2,FALSE)</f>
        <v>-1.1262233815331899</v>
      </c>
    </row>
    <row r="1342" spans="1:80" ht="15" customHeight="1">
      <c r="A1342" s="282" t="s">
        <v>415</v>
      </c>
      <c r="B1342" s="149">
        <v>2000</v>
      </c>
      <c r="C1342" s="809" t="s">
        <v>413</v>
      </c>
      <c r="D1342" s="117" t="s">
        <v>3370</v>
      </c>
      <c r="E1342" s="149" t="s">
        <v>86</v>
      </c>
      <c r="F1342" s="117"/>
      <c r="G1342" s="117" t="s">
        <v>103</v>
      </c>
      <c r="H1342" s="117" t="str">
        <f t="shared" si="231"/>
        <v>no</v>
      </c>
      <c r="I1342" s="117" t="str">
        <f t="shared" si="233"/>
        <v>no</v>
      </c>
      <c r="J1342" s="117" t="str">
        <f t="shared" si="234"/>
        <v>yes</v>
      </c>
      <c r="K1342" s="117" t="s">
        <v>103</v>
      </c>
      <c r="L1342" s="117" t="str">
        <f t="shared" si="232"/>
        <v>detailed</v>
      </c>
      <c r="M1342" s="117" t="str">
        <f t="shared" si="235"/>
        <v>detailed Oil</v>
      </c>
      <c r="N1342" s="179">
        <v>788035000</v>
      </c>
      <c r="O1342" s="211">
        <f>O1341/N1342</f>
        <v>9.8828097736775644E-2</v>
      </c>
      <c r="P1342" s="179"/>
      <c r="Q1342" s="179"/>
      <c r="R1342" s="179"/>
      <c r="S1342" s="117" t="s">
        <v>646</v>
      </c>
      <c r="T1342" s="119">
        <v>22.015151515151516</v>
      </c>
      <c r="U1342" s="117" t="s">
        <v>673</v>
      </c>
      <c r="V1342" s="117" t="s">
        <v>1942</v>
      </c>
      <c r="W1342" s="89">
        <f>N1342*T1342</f>
        <v>17348709924.242424</v>
      </c>
      <c r="X1342" s="117"/>
      <c r="Y1342" s="117"/>
      <c r="Z1342" s="117"/>
      <c r="AA1342" s="89"/>
      <c r="AB1342" s="89"/>
      <c r="AC1342" s="240"/>
      <c r="AD1342" s="240"/>
      <c r="AE1342" s="240"/>
      <c r="AF1342" s="241"/>
      <c r="AG1342" s="117"/>
      <c r="AH1342" s="124"/>
      <c r="AI1342" s="117"/>
      <c r="AJ1342" s="117"/>
      <c r="AK1342" s="89"/>
      <c r="AL1342" s="117"/>
      <c r="AM1342" s="117"/>
      <c r="AN1342" s="117"/>
      <c r="AO1342" s="117"/>
      <c r="AP1342" s="117"/>
      <c r="AQ1342" s="117"/>
      <c r="AR1342" s="117"/>
      <c r="AS1342" s="117"/>
      <c r="AT1342" s="117"/>
      <c r="AU1342" s="117">
        <v>51</v>
      </c>
      <c r="AV1342" s="128"/>
      <c r="AW1342" s="117">
        <f>VLOOKUP($D1342,'WB Data'!$C$3:$M$578,2,FALSE)</f>
        <v>46385996027.42794</v>
      </c>
      <c r="AX1342" s="117">
        <f>VLOOKUP($D1342,'WB Data'!$C$3:$M$578,3,FALSE)</f>
        <v>122876727</v>
      </c>
      <c r="AY1342" s="847">
        <f t="shared" si="226"/>
        <v>0.34077095144520242</v>
      </c>
      <c r="AZ1342" s="117" t="e">
        <f>VLOOKUP($D1342,'WB Data'!$C$3:$M$578,4,FALSE)/100</f>
        <v>#VALUE!</v>
      </c>
      <c r="BA1342" s="117" t="str">
        <f t="shared" si="227"/>
        <v>..</v>
      </c>
      <c r="BB1342" s="129">
        <f>IFERROR(VLOOKUP($D1342,'EITI Revenues'!$C$2:$G$224,5,FALSE),"..")</f>
        <v>15807000000</v>
      </c>
      <c r="BC1342" s="846" t="str">
        <f t="shared" si="228"/>
        <v>..</v>
      </c>
      <c r="BD1342" s="129">
        <f>VLOOKUP($D1342,'WB Data 2'!$C$2:$K$545,6,FALSE)</f>
        <v>20900274300.884193</v>
      </c>
      <c r="BE1342" s="129">
        <f>IFERROR(VLOOKUP($D1342,UNCTAD!$C$5:$V$529,4,FALSE),"..")</f>
        <v>20964900000</v>
      </c>
      <c r="BF1342" s="846">
        <f t="shared" si="229"/>
        <v>0.99691743346661288</v>
      </c>
      <c r="BG1342" s="117">
        <f>VLOOKUP($D1342,'WB Data'!$C$3:$M$578,5,FALSE)</f>
        <v>173700000</v>
      </c>
      <c r="BH1342" s="129">
        <f>IFERROR($BB1342/$BG1342,"..")</f>
        <v>91.001727115716747</v>
      </c>
      <c r="BI1342" s="117" t="str">
        <f>IFERROR(VLOOKUP($D1342,'WB Data'!$C$3:$M$578,7,FALSE)/100,"..")</f>
        <v>..</v>
      </c>
      <c r="BJ1342" s="117" t="str">
        <f>IFERROR($BI1342*$AW1342,"..")</f>
        <v>..</v>
      </c>
      <c r="BK1342" s="846" t="str">
        <f>IFERROR($BB1342/$BJ1342,"..")</f>
        <v>..</v>
      </c>
      <c r="BL1342" s="117" t="str">
        <f>IFERROR(VLOOKUP($D1342,'WB Data'!$C$3:$M$578,7,FALSE)/100,"..")</f>
        <v>..</v>
      </c>
      <c r="BM1342" s="117" t="str">
        <f>IFERROR($AW1342*$BL1342,"..")</f>
        <v>..</v>
      </c>
      <c r="BN1342" s="846" t="str">
        <f>IFERROR($BB1342/$BM1342,"..")</f>
        <v>..</v>
      </c>
      <c r="BO1342" s="801">
        <f t="shared" si="225"/>
        <v>27</v>
      </c>
      <c r="BP1342" s="117" t="str">
        <f>VLOOKUP($D1342,'WB Data'!$C$3:$M$578,9,FALSE)</f>
        <v>..</v>
      </c>
      <c r="BQ1342" s="117">
        <f>VLOOKUP($D1342,'WB Data'!$C$3:$M$578,10,FALSE)</f>
        <v>46.624000000000009</v>
      </c>
      <c r="BR1342" s="117">
        <f>VLOOKUP($D1342,'WB Data'!$C$3:$M$578,11,FALSE)</f>
        <v>112.5</v>
      </c>
      <c r="BS1342" s="129">
        <f>IFERROR(VLOOKUP($D1342,'WB Data 2'!$C$2:$K$545,9,FALSE),"..")</f>
        <v>64.869349999999997</v>
      </c>
      <c r="BT1342" s="129">
        <f>_xlfn.IFNA(VLOOKUP($C1342,RGI!$A$2:$C$43,2,FALSE),"..")</f>
        <v>46.5</v>
      </c>
      <c r="BU1342" s="129">
        <f>_xlfn.IFNA(VLOOKUP($C1342,RGI!$A$2:$C$43,3,FALSE),"..")</f>
        <v>42.488706175328218</v>
      </c>
      <c r="BV1342" s="129">
        <f>VLOOKUP($D1342,WGI!$C$2:$O$478,7,FALSE)</f>
        <v>-0.58215715901103604</v>
      </c>
      <c r="BW1342" s="129">
        <f>VLOOKUP($D1342,WGI!$C$2:$O$478,4,FALSE)</f>
        <v>-1.5215853274331701</v>
      </c>
      <c r="BX1342" s="129">
        <f>VLOOKUP($D1342,WGI!$C$2:$O$478,3,FALSE)</f>
        <v>-0.95694464641467003</v>
      </c>
      <c r="BY1342" s="129">
        <f>VLOOKUP($D1342,WGI!$C$2:$O$478,5,FALSE)</f>
        <v>-0.74345003200615001</v>
      </c>
      <c r="BZ1342" s="129">
        <f>VLOOKUP($D1342,WGI!$C$2:$O$478,2,FALSE)</f>
        <v>-1.1262233815331899</v>
      </c>
    </row>
    <row r="1343" spans="1:80" s="144" customFormat="1" ht="15" customHeight="1">
      <c r="A1343" s="279" t="s">
        <v>416</v>
      </c>
      <c r="B1343" s="132">
        <v>2001</v>
      </c>
      <c r="C1343" s="809" t="s">
        <v>413</v>
      </c>
      <c r="D1343" s="117" t="s">
        <v>3790</v>
      </c>
      <c r="E1343" s="132" t="s">
        <v>86</v>
      </c>
      <c r="F1343" s="132" t="s">
        <v>1936</v>
      </c>
      <c r="G1343" s="132" t="s">
        <v>55</v>
      </c>
      <c r="H1343" s="117" t="str">
        <f t="shared" si="231"/>
        <v>no</v>
      </c>
      <c r="I1343" s="117" t="str">
        <f t="shared" si="233"/>
        <v>yes</v>
      </c>
      <c r="J1343" s="117" t="str">
        <f t="shared" si="234"/>
        <v>yes</v>
      </c>
      <c r="K1343" s="132" t="s">
        <v>709</v>
      </c>
      <c r="L1343" s="117" t="str">
        <f t="shared" si="232"/>
        <v>Total</v>
      </c>
      <c r="M1343" s="117" t="str">
        <f t="shared" si="235"/>
        <v>Total Oil, Gas</v>
      </c>
      <c r="N1343" s="238"/>
      <c r="O1343" s="238"/>
      <c r="P1343" s="238"/>
      <c r="Q1343" s="238"/>
      <c r="R1343" s="238"/>
      <c r="S1343" s="132"/>
      <c r="T1343" s="134"/>
      <c r="U1343" s="132"/>
      <c r="V1343" s="132"/>
      <c r="W1343" s="135">
        <f>SUM(W1344:W1345)</f>
        <v>19202199449.260044</v>
      </c>
      <c r="X1343" s="132" t="s">
        <v>918</v>
      </c>
      <c r="Y1343" s="132" t="s">
        <v>663</v>
      </c>
      <c r="Z1343" s="132" t="s">
        <v>664</v>
      </c>
      <c r="AA1343" s="598">
        <v>15909000000</v>
      </c>
      <c r="AB1343" s="598">
        <v>15909000000</v>
      </c>
      <c r="AC1343" s="599"/>
      <c r="AD1343" s="599"/>
      <c r="AE1343" s="599"/>
      <c r="AF1343" s="600">
        <f>AA1343/W1343</f>
        <v>0.82849884160603549</v>
      </c>
      <c r="AG1343" s="132" t="s">
        <v>864</v>
      </c>
      <c r="AH1343" s="140" t="s">
        <v>865</v>
      </c>
      <c r="AI1343" s="132" t="s">
        <v>667</v>
      </c>
      <c r="AJ1343" s="132" t="s">
        <v>1944</v>
      </c>
      <c r="AK1343" s="135">
        <v>9784000000</v>
      </c>
      <c r="AL1343" s="132"/>
      <c r="AM1343" s="132"/>
      <c r="AN1343" s="132">
        <v>24</v>
      </c>
      <c r="AO1343" s="132" t="s">
        <v>1938</v>
      </c>
      <c r="AP1343" s="132">
        <v>24</v>
      </c>
      <c r="AQ1343" s="132" t="s">
        <v>102</v>
      </c>
      <c r="AR1343" s="141">
        <v>41920</v>
      </c>
      <c r="AS1343" s="132" t="s">
        <v>1939</v>
      </c>
      <c r="AT1343" s="132" t="s">
        <v>1940</v>
      </c>
      <c r="AU1343" s="132" t="s">
        <v>1554</v>
      </c>
      <c r="AV1343" s="143" t="s">
        <v>1941</v>
      </c>
      <c r="AW1343" s="117">
        <f>VLOOKUP($D1343,'WB Data'!$C$3:$M$578,2,FALSE)</f>
        <v>44138014092.262741</v>
      </c>
      <c r="AX1343" s="117">
        <f>VLOOKUP($D1343,'WB Data'!$C$3:$M$578,3,FALSE)</f>
        <v>126004992</v>
      </c>
      <c r="AY1343" s="847">
        <f t="shared" si="226"/>
        <v>0.3604376029865104</v>
      </c>
      <c r="AZ1343" s="117" t="e">
        <f>VLOOKUP($D1343,'WB Data'!$C$3:$M$578,4,FALSE)/100</f>
        <v>#VALUE!</v>
      </c>
      <c r="BA1343" s="117" t="str">
        <f t="shared" si="227"/>
        <v>..</v>
      </c>
      <c r="BB1343" s="129">
        <f>IFERROR(VLOOKUP($D1343,'EITI Revenues'!$C$2:$G$224,5,FALSE),"..")</f>
        <v>15909000000</v>
      </c>
      <c r="BC1343" s="846" t="str">
        <f t="shared" si="228"/>
        <v>..</v>
      </c>
      <c r="BD1343" s="129">
        <f>VLOOKUP($D1343,'WB Data 2'!$C$2:$K$545,6,FALSE)</f>
        <v>17985318526.771366</v>
      </c>
      <c r="BE1343" s="129">
        <f>IFERROR(VLOOKUP($D1343,UNCTAD!$C$5:$V$529,4,FALSE),"..")</f>
        <v>19645090000</v>
      </c>
      <c r="BF1343" s="846">
        <f t="shared" si="229"/>
        <v>0.91551214714574314</v>
      </c>
      <c r="BG1343" s="117">
        <f>VLOOKUP($D1343,'WB Data'!$C$3:$M$578,5,FALSE)</f>
        <v>176170000</v>
      </c>
      <c r="BH1343" s="129">
        <f>IFERROR($BB1343/$BG1343,"..")</f>
        <v>90.304819208718854</v>
      </c>
      <c r="BI1343" s="117" t="str">
        <f>IFERROR(VLOOKUP($D1343,'WB Data'!$C$3:$M$578,7,FALSE)/100,"..")</f>
        <v>..</v>
      </c>
      <c r="BJ1343" s="117" t="str">
        <f>IFERROR($BI1343*$AW1343,"..")</f>
        <v>..</v>
      </c>
      <c r="BK1343" s="846" t="str">
        <f>IFERROR($BB1343/$BJ1343,"..")</f>
        <v>..</v>
      </c>
      <c r="BL1343" s="117" t="str">
        <f>IFERROR(VLOOKUP($D1343,'WB Data'!$C$3:$M$578,7,FALSE)/100,"..")</f>
        <v>..</v>
      </c>
      <c r="BM1343" s="117" t="str">
        <f>IFERROR($AW1343*$BL1343,"..")</f>
        <v>..</v>
      </c>
      <c r="BN1343" s="846" t="str">
        <f>IFERROR($BB1343/$BM1343,"..")</f>
        <v>..</v>
      </c>
      <c r="BO1343" s="801">
        <f t="shared" si="225"/>
        <v>27</v>
      </c>
      <c r="BP1343" s="117" t="str">
        <f>VLOOKUP($D1343,'WB Data'!$C$3:$M$578,9,FALSE)</f>
        <v>..</v>
      </c>
      <c r="BQ1343" s="117">
        <f>VLOOKUP($D1343,'WB Data'!$C$3:$M$578,10,FALSE)</f>
        <v>46.881170731707321</v>
      </c>
      <c r="BR1343" s="117">
        <f>VLOOKUP($D1343,'WB Data'!$C$3:$M$578,11,FALSE)</f>
        <v>109.5</v>
      </c>
      <c r="BS1343" s="129" t="str">
        <f>IFERROR(VLOOKUP($D1343,'WB Data 2'!$C$2:$K$545,9,FALSE),"..")</f>
        <v>..</v>
      </c>
      <c r="BT1343" s="129">
        <f>_xlfn.IFNA(VLOOKUP($C1343,RGI!$A$2:$C$43,2,FALSE),"..")</f>
        <v>46.5</v>
      </c>
      <c r="BU1343" s="129">
        <f>_xlfn.IFNA(VLOOKUP($C1343,RGI!$A$2:$C$43,3,FALSE),"..")</f>
        <v>42.488706175328218</v>
      </c>
      <c r="BV1343" s="129" t="e">
        <f>VLOOKUP($D1343,WGI!$C$2:$O$478,7,FALSE)</f>
        <v>#N/A</v>
      </c>
      <c r="BW1343" s="129" t="e">
        <f>VLOOKUP($D1343,WGI!$C$2:$O$478,4,FALSE)</f>
        <v>#N/A</v>
      </c>
      <c r="BX1343" s="129" t="e">
        <f>VLOOKUP($D1343,WGI!$C$2:$O$478,3,FALSE)</f>
        <v>#N/A</v>
      </c>
      <c r="BY1343" s="129" t="e">
        <f>VLOOKUP($D1343,WGI!$C$2:$O$478,5,FALSE)</f>
        <v>#N/A</v>
      </c>
      <c r="BZ1343" s="129" t="e">
        <f>VLOOKUP($D1343,WGI!$C$2:$O$478,2,FALSE)</f>
        <v>#N/A</v>
      </c>
      <c r="CB1343" s="129"/>
    </row>
    <row r="1344" spans="1:80" s="120" customFormat="1" ht="15" customHeight="1">
      <c r="A1344" s="280" t="s">
        <v>416</v>
      </c>
      <c r="B1344" s="117">
        <v>2001</v>
      </c>
      <c r="C1344" s="809" t="s">
        <v>413</v>
      </c>
      <c r="D1344" s="117" t="s">
        <v>3790</v>
      </c>
      <c r="E1344" s="117" t="s">
        <v>86</v>
      </c>
      <c r="F1344" s="117"/>
      <c r="G1344" s="117" t="s">
        <v>561</v>
      </c>
      <c r="H1344" s="117" t="str">
        <f t="shared" si="231"/>
        <v>no</v>
      </c>
      <c r="I1344" s="117" t="str">
        <f t="shared" si="233"/>
        <v>yes</v>
      </c>
      <c r="J1344" s="117" t="str">
        <f t="shared" si="234"/>
        <v>no</v>
      </c>
      <c r="K1344" s="117" t="s">
        <v>561</v>
      </c>
      <c r="L1344" s="117" t="str">
        <f t="shared" si="232"/>
        <v>detailed</v>
      </c>
      <c r="M1344" s="117" t="str">
        <f t="shared" si="235"/>
        <v>detailed Gas</v>
      </c>
      <c r="N1344" s="179">
        <v>16100000000</v>
      </c>
      <c r="O1344" s="118">
        <f>N1344*0.0066</f>
        <v>106260000</v>
      </c>
      <c r="P1344" s="179"/>
      <c r="Q1344" s="179"/>
      <c r="R1344" s="179"/>
      <c r="S1344" s="117" t="s">
        <v>642</v>
      </c>
      <c r="T1344" s="119">
        <v>0.12911500000000001</v>
      </c>
      <c r="U1344" s="117" t="s">
        <v>643</v>
      </c>
      <c r="V1344" s="117" t="s">
        <v>738</v>
      </c>
      <c r="W1344" s="89">
        <f>N1344*T1344</f>
        <v>2078751500.0000002</v>
      </c>
      <c r="X1344" s="117"/>
      <c r="Y1344" s="117"/>
      <c r="Z1344" s="117"/>
      <c r="AA1344" s="117"/>
      <c r="AB1344" s="117"/>
      <c r="AC1344" s="240"/>
      <c r="AD1344" s="240"/>
      <c r="AE1344" s="240"/>
      <c r="AF1344" s="241"/>
      <c r="AG1344" s="117"/>
      <c r="AH1344" s="124"/>
      <c r="AI1344" s="117"/>
      <c r="AJ1344" s="117"/>
      <c r="AK1344" s="89"/>
      <c r="AL1344" s="117"/>
      <c r="AM1344" s="117"/>
      <c r="AN1344" s="117"/>
      <c r="AO1344" s="117"/>
      <c r="AP1344" s="117"/>
      <c r="AQ1344" s="117"/>
      <c r="AR1344" s="117"/>
      <c r="AS1344" s="117"/>
      <c r="AT1344" s="117"/>
      <c r="AU1344" s="117"/>
      <c r="AV1344" s="128"/>
      <c r="AW1344" s="117">
        <f>VLOOKUP($D1344,'WB Data'!$C$3:$M$578,2,FALSE)</f>
        <v>44138014092.262741</v>
      </c>
      <c r="AX1344" s="117">
        <f>VLOOKUP($D1344,'WB Data'!$C$3:$M$578,3,FALSE)</f>
        <v>126004992</v>
      </c>
      <c r="AY1344" s="847">
        <f t="shared" si="226"/>
        <v>0.3604376029865104</v>
      </c>
      <c r="AZ1344" s="117" t="e">
        <f>VLOOKUP($D1344,'WB Data'!$C$3:$M$578,4,FALSE)/100</f>
        <v>#VALUE!</v>
      </c>
      <c r="BA1344" s="117" t="str">
        <f t="shared" si="227"/>
        <v>..</v>
      </c>
      <c r="BB1344" s="129">
        <f>IFERROR(VLOOKUP($D1344,'EITI Revenues'!$C$2:$G$224,5,FALSE),"..")</f>
        <v>15909000000</v>
      </c>
      <c r="BC1344" s="846" t="str">
        <f t="shared" si="228"/>
        <v>..</v>
      </c>
      <c r="BD1344" s="129">
        <f>VLOOKUP($D1344,'WB Data 2'!$C$2:$K$545,6,FALSE)</f>
        <v>17985318526.771366</v>
      </c>
      <c r="BE1344" s="129">
        <f>IFERROR(VLOOKUP($D1344,UNCTAD!$C$5:$V$529,4,FALSE),"..")</f>
        <v>19645090000</v>
      </c>
      <c r="BF1344" s="846">
        <f t="shared" si="229"/>
        <v>0.91551214714574314</v>
      </c>
      <c r="BG1344" s="117">
        <f>VLOOKUP($D1344,'WB Data'!$C$3:$M$578,5,FALSE)</f>
        <v>176170000</v>
      </c>
      <c r="BH1344" s="129">
        <f>IFERROR($BB1344/$BG1344,"..")</f>
        <v>90.304819208718854</v>
      </c>
      <c r="BI1344" s="117" t="str">
        <f>IFERROR(VLOOKUP($D1344,'WB Data'!$C$3:$M$578,7,FALSE)/100,"..")</f>
        <v>..</v>
      </c>
      <c r="BJ1344" s="117" t="str">
        <f>IFERROR($BI1344*$AW1344,"..")</f>
        <v>..</v>
      </c>
      <c r="BK1344" s="846" t="str">
        <f>IFERROR($BB1344/$BJ1344,"..")</f>
        <v>..</v>
      </c>
      <c r="BL1344" s="117" t="str">
        <f>IFERROR(VLOOKUP($D1344,'WB Data'!$C$3:$M$578,7,FALSE)/100,"..")</f>
        <v>..</v>
      </c>
      <c r="BM1344" s="117" t="str">
        <f>IFERROR($AW1344*$BL1344,"..")</f>
        <v>..</v>
      </c>
      <c r="BN1344" s="846" t="str">
        <f>IFERROR($BB1344/$BM1344,"..")</f>
        <v>..</v>
      </c>
      <c r="BO1344" s="801">
        <f t="shared" si="225"/>
        <v>27</v>
      </c>
      <c r="BP1344" s="117" t="str">
        <f>VLOOKUP($D1344,'WB Data'!$C$3:$M$578,9,FALSE)</f>
        <v>..</v>
      </c>
      <c r="BQ1344" s="117">
        <f>VLOOKUP($D1344,'WB Data'!$C$3:$M$578,10,FALSE)</f>
        <v>46.881170731707321</v>
      </c>
      <c r="BR1344" s="117">
        <f>VLOOKUP($D1344,'WB Data'!$C$3:$M$578,11,FALSE)</f>
        <v>109.5</v>
      </c>
      <c r="BS1344" s="129" t="str">
        <f>IFERROR(VLOOKUP($D1344,'WB Data 2'!$C$2:$K$545,9,FALSE),"..")</f>
        <v>..</v>
      </c>
      <c r="BT1344" s="129">
        <f>_xlfn.IFNA(VLOOKUP($C1344,RGI!$A$2:$C$43,2,FALSE),"..")</f>
        <v>46.5</v>
      </c>
      <c r="BU1344" s="129">
        <f>_xlfn.IFNA(VLOOKUP($C1344,RGI!$A$2:$C$43,3,FALSE),"..")</f>
        <v>42.488706175328218</v>
      </c>
      <c r="BV1344" s="129" t="e">
        <f>VLOOKUP($D1344,WGI!$C$2:$O$478,7,FALSE)</f>
        <v>#N/A</v>
      </c>
      <c r="BW1344" s="129" t="e">
        <f>VLOOKUP($D1344,WGI!$C$2:$O$478,4,FALSE)</f>
        <v>#N/A</v>
      </c>
      <c r="BX1344" s="129" t="e">
        <f>VLOOKUP($D1344,WGI!$C$2:$O$478,3,FALSE)</f>
        <v>#N/A</v>
      </c>
      <c r="BY1344" s="129" t="e">
        <f>VLOOKUP($D1344,WGI!$C$2:$O$478,5,FALSE)</f>
        <v>#N/A</v>
      </c>
      <c r="BZ1344" s="129" t="e">
        <f>VLOOKUP($D1344,WGI!$C$2:$O$478,2,FALSE)</f>
        <v>#N/A</v>
      </c>
      <c r="CB1344" s="129"/>
    </row>
    <row r="1345" spans="1:80" s="158" customFormat="1" ht="15" customHeight="1">
      <c r="A1345" s="282" t="s">
        <v>416</v>
      </c>
      <c r="B1345" s="149">
        <v>2001</v>
      </c>
      <c r="C1345" s="809" t="s">
        <v>413</v>
      </c>
      <c r="D1345" s="117" t="s">
        <v>3790</v>
      </c>
      <c r="E1345" s="149" t="s">
        <v>86</v>
      </c>
      <c r="F1345" s="149"/>
      <c r="G1345" s="117" t="s">
        <v>103</v>
      </c>
      <c r="H1345" s="117" t="str">
        <f t="shared" si="231"/>
        <v>no</v>
      </c>
      <c r="I1345" s="117" t="str">
        <f t="shared" si="233"/>
        <v>no</v>
      </c>
      <c r="J1345" s="117" t="str">
        <f t="shared" si="234"/>
        <v>yes</v>
      </c>
      <c r="K1345" s="149" t="s">
        <v>103</v>
      </c>
      <c r="L1345" s="117" t="str">
        <f t="shared" si="232"/>
        <v>detailed</v>
      </c>
      <c r="M1345" s="117" t="str">
        <f t="shared" si="235"/>
        <v>detailed Oil</v>
      </c>
      <c r="N1345" s="216">
        <v>827820000</v>
      </c>
      <c r="O1345" s="211">
        <f>O1344/N1345</f>
        <v>0.12836123795027904</v>
      </c>
      <c r="P1345" s="216"/>
      <c r="Q1345" s="216"/>
      <c r="R1345" s="216"/>
      <c r="S1345" s="149" t="s">
        <v>646</v>
      </c>
      <c r="T1345" s="151">
        <v>20.684989429175477</v>
      </c>
      <c r="U1345" s="149" t="s">
        <v>673</v>
      </c>
      <c r="V1345" s="149" t="s">
        <v>1942</v>
      </c>
      <c r="W1345" s="152">
        <f>N1345*T1345</f>
        <v>17123447949.260044</v>
      </c>
      <c r="X1345" s="149"/>
      <c r="Y1345" s="149"/>
      <c r="Z1345" s="149"/>
      <c r="AA1345" s="149"/>
      <c r="AB1345" s="149"/>
      <c r="AC1345" s="288"/>
      <c r="AD1345" s="288"/>
      <c r="AE1345" s="288"/>
      <c r="AF1345" s="285"/>
      <c r="AG1345" s="149"/>
      <c r="AH1345" s="156"/>
      <c r="AI1345" s="149"/>
      <c r="AJ1345" s="149"/>
      <c r="AK1345" s="152"/>
      <c r="AL1345" s="149"/>
      <c r="AM1345" s="149"/>
      <c r="AN1345" s="149"/>
      <c r="AO1345" s="149"/>
      <c r="AP1345" s="149"/>
      <c r="AQ1345" s="149"/>
      <c r="AR1345" s="149"/>
      <c r="AS1345" s="149"/>
      <c r="AT1345" s="149"/>
      <c r="AU1345" s="149">
        <v>51</v>
      </c>
      <c r="AV1345" s="157"/>
      <c r="AW1345" s="117">
        <f>VLOOKUP($D1345,'WB Data'!$C$3:$M$578,2,FALSE)</f>
        <v>44138014092.262741</v>
      </c>
      <c r="AX1345" s="117">
        <f>VLOOKUP($D1345,'WB Data'!$C$3:$M$578,3,FALSE)</f>
        <v>126004992</v>
      </c>
      <c r="AY1345" s="847">
        <f t="shared" si="226"/>
        <v>0.3604376029865104</v>
      </c>
      <c r="AZ1345" s="117" t="e">
        <f>VLOOKUP($D1345,'WB Data'!$C$3:$M$578,4,FALSE)/100</f>
        <v>#VALUE!</v>
      </c>
      <c r="BA1345" s="117" t="str">
        <f t="shared" si="227"/>
        <v>..</v>
      </c>
      <c r="BB1345" s="129">
        <f>IFERROR(VLOOKUP($D1345,'EITI Revenues'!$C$2:$G$224,5,FALSE),"..")</f>
        <v>15909000000</v>
      </c>
      <c r="BC1345" s="846" t="str">
        <f t="shared" si="228"/>
        <v>..</v>
      </c>
      <c r="BD1345" s="129">
        <f>VLOOKUP($D1345,'WB Data 2'!$C$2:$K$545,6,FALSE)</f>
        <v>17985318526.771366</v>
      </c>
      <c r="BE1345" s="129">
        <f>IFERROR(VLOOKUP($D1345,UNCTAD!$C$5:$V$529,4,FALSE),"..")</f>
        <v>19645090000</v>
      </c>
      <c r="BF1345" s="846">
        <f t="shared" si="229"/>
        <v>0.91551214714574314</v>
      </c>
      <c r="BG1345" s="117">
        <f>VLOOKUP($D1345,'WB Data'!$C$3:$M$578,5,FALSE)</f>
        <v>176170000</v>
      </c>
      <c r="BH1345" s="129">
        <f>IFERROR($BB1345/$BG1345,"..")</f>
        <v>90.304819208718854</v>
      </c>
      <c r="BI1345" s="117" t="str">
        <f>IFERROR(VLOOKUP($D1345,'WB Data'!$C$3:$M$578,7,FALSE)/100,"..")</f>
        <v>..</v>
      </c>
      <c r="BJ1345" s="117" t="str">
        <f>IFERROR($BI1345*$AW1345,"..")</f>
        <v>..</v>
      </c>
      <c r="BK1345" s="846" t="str">
        <f>IFERROR($BB1345/$BJ1345,"..")</f>
        <v>..</v>
      </c>
      <c r="BL1345" s="117" t="str">
        <f>IFERROR(VLOOKUP($D1345,'WB Data'!$C$3:$M$578,7,FALSE)/100,"..")</f>
        <v>..</v>
      </c>
      <c r="BM1345" s="117" t="str">
        <f>IFERROR($AW1345*$BL1345,"..")</f>
        <v>..</v>
      </c>
      <c r="BN1345" s="846" t="str">
        <f>IFERROR($BB1345/$BM1345,"..")</f>
        <v>..</v>
      </c>
      <c r="BO1345" s="801">
        <f t="shared" si="225"/>
        <v>27</v>
      </c>
      <c r="BP1345" s="117" t="str">
        <f>VLOOKUP($D1345,'WB Data'!$C$3:$M$578,9,FALSE)</f>
        <v>..</v>
      </c>
      <c r="BQ1345" s="117">
        <f>VLOOKUP($D1345,'WB Data'!$C$3:$M$578,10,FALSE)</f>
        <v>46.881170731707321</v>
      </c>
      <c r="BR1345" s="117">
        <f>VLOOKUP($D1345,'WB Data'!$C$3:$M$578,11,FALSE)</f>
        <v>109.5</v>
      </c>
      <c r="BS1345" s="129" t="str">
        <f>IFERROR(VLOOKUP($D1345,'WB Data 2'!$C$2:$K$545,9,FALSE),"..")</f>
        <v>..</v>
      </c>
      <c r="BT1345" s="129">
        <f>_xlfn.IFNA(VLOOKUP($C1345,RGI!$A$2:$C$43,2,FALSE),"..")</f>
        <v>46.5</v>
      </c>
      <c r="BU1345" s="129">
        <f>_xlfn.IFNA(VLOOKUP($C1345,RGI!$A$2:$C$43,3,FALSE),"..")</f>
        <v>42.488706175328218</v>
      </c>
      <c r="BV1345" s="129" t="e">
        <f>VLOOKUP($D1345,WGI!$C$2:$O$478,7,FALSE)</f>
        <v>#N/A</v>
      </c>
      <c r="BW1345" s="129" t="e">
        <f>VLOOKUP($D1345,WGI!$C$2:$O$478,4,FALSE)</f>
        <v>#N/A</v>
      </c>
      <c r="BX1345" s="129" t="e">
        <f>VLOOKUP($D1345,WGI!$C$2:$O$478,3,FALSE)</f>
        <v>#N/A</v>
      </c>
      <c r="BY1345" s="129" t="e">
        <f>VLOOKUP($D1345,WGI!$C$2:$O$478,5,FALSE)</f>
        <v>#N/A</v>
      </c>
      <c r="BZ1345" s="129" t="e">
        <f>VLOOKUP($D1345,WGI!$C$2:$O$478,2,FALSE)</f>
        <v>#N/A</v>
      </c>
      <c r="CB1345" s="129"/>
    </row>
    <row r="1346" spans="1:80" ht="15" customHeight="1">
      <c r="A1346" s="279" t="s">
        <v>417</v>
      </c>
      <c r="B1346" s="132">
        <v>2002</v>
      </c>
      <c r="C1346" s="809" t="s">
        <v>413</v>
      </c>
      <c r="D1346" s="117" t="s">
        <v>3404</v>
      </c>
      <c r="E1346" s="132" t="s">
        <v>86</v>
      </c>
      <c r="F1346" s="117" t="s">
        <v>1936</v>
      </c>
      <c r="G1346" s="132" t="s">
        <v>55</v>
      </c>
      <c r="H1346" s="117" t="str">
        <f t="shared" si="231"/>
        <v>no</v>
      </c>
      <c r="I1346" s="117" t="str">
        <f t="shared" si="233"/>
        <v>yes</v>
      </c>
      <c r="J1346" s="117" t="str">
        <f t="shared" si="234"/>
        <v>yes</v>
      </c>
      <c r="K1346" s="117" t="s">
        <v>709</v>
      </c>
      <c r="L1346" s="117" t="str">
        <f t="shared" si="232"/>
        <v>Total</v>
      </c>
      <c r="M1346" s="117" t="str">
        <f t="shared" si="235"/>
        <v>Total Oil, Gas</v>
      </c>
      <c r="N1346" s="179"/>
      <c r="O1346" s="179"/>
      <c r="P1346" s="179"/>
      <c r="Q1346" s="179"/>
      <c r="R1346" s="179"/>
      <c r="S1346" s="117"/>
      <c r="T1346" s="119"/>
      <c r="U1346" s="117"/>
      <c r="V1346" s="117"/>
      <c r="W1346" s="89">
        <f>SUM(W1347:W1348)</f>
        <v>16798782636.363636</v>
      </c>
      <c r="X1346" s="117" t="s">
        <v>918</v>
      </c>
      <c r="Y1346" s="117" t="s">
        <v>663</v>
      </c>
      <c r="Z1346" s="117" t="s">
        <v>664</v>
      </c>
      <c r="AA1346" s="597">
        <v>11875000000</v>
      </c>
      <c r="AB1346" s="597">
        <v>11875000000</v>
      </c>
      <c r="AC1346" s="240"/>
      <c r="AD1346" s="240"/>
      <c r="AE1346" s="240"/>
      <c r="AF1346" s="241">
        <f>AA1346/W1346</f>
        <v>0.7068964613123021</v>
      </c>
      <c r="AG1346" s="117" t="s">
        <v>864</v>
      </c>
      <c r="AH1346" s="124" t="s">
        <v>865</v>
      </c>
      <c r="AI1346" s="117" t="s">
        <v>667</v>
      </c>
      <c r="AJ1346" s="117" t="s">
        <v>1945</v>
      </c>
      <c r="AK1346" s="89">
        <v>8029000000</v>
      </c>
      <c r="AL1346" s="117"/>
      <c r="AM1346" s="117"/>
      <c r="AN1346" s="117">
        <v>24</v>
      </c>
      <c r="AO1346" s="117" t="s">
        <v>1938</v>
      </c>
      <c r="AP1346" s="117">
        <v>24</v>
      </c>
      <c r="AQ1346" s="117" t="s">
        <v>102</v>
      </c>
      <c r="AR1346" s="126">
        <v>41920</v>
      </c>
      <c r="AS1346" s="117" t="s">
        <v>1939</v>
      </c>
      <c r="AT1346" s="117" t="s">
        <v>1940</v>
      </c>
      <c r="AU1346" s="117" t="s">
        <v>1554</v>
      </c>
      <c r="AV1346" s="128" t="s">
        <v>1941</v>
      </c>
      <c r="AW1346" s="117">
        <f>VLOOKUP($D1346,'WB Data'!$C$3:$M$578,2,FALSE)</f>
        <v>59116868249.84005</v>
      </c>
      <c r="AX1346" s="117">
        <f>VLOOKUP($D1346,'WB Data'!$C$3:$M$578,3,FALSE)</f>
        <v>129224641</v>
      </c>
      <c r="AY1346" s="847">
        <f t="shared" si="226"/>
        <v>0.20087329304749038</v>
      </c>
      <c r="AZ1346" s="117" t="e">
        <f>VLOOKUP($D1346,'WB Data'!$C$3:$M$578,4,FALSE)/100</f>
        <v>#VALUE!</v>
      </c>
      <c r="BA1346" s="117" t="str">
        <f t="shared" si="227"/>
        <v>..</v>
      </c>
      <c r="BB1346" s="129">
        <f>IFERROR(VLOOKUP($D1346,'EITI Revenues'!$C$2:$G$224,5,FALSE),"..")</f>
        <v>11875000000</v>
      </c>
      <c r="BC1346" s="846" t="str">
        <f t="shared" si="228"/>
        <v>..</v>
      </c>
      <c r="BD1346" s="129">
        <f>VLOOKUP($D1346,'WB Data 2'!$C$2:$K$545,6,FALSE)</f>
        <v>16908361701.584332</v>
      </c>
      <c r="BE1346" s="129">
        <f>IFERROR(VLOOKUP($D1346,UNCTAD!$C$5:$V$529,4,FALSE),"..")</f>
        <v>18137130000</v>
      </c>
      <c r="BF1346" s="846">
        <f t="shared" si="229"/>
        <v>0.93225122726607412</v>
      </c>
      <c r="BG1346" s="117">
        <f>VLOOKUP($D1346,'WB Data'!$C$3:$M$578,5,FALSE)</f>
        <v>297930000</v>
      </c>
      <c r="BH1346" s="129">
        <f>IFERROR($BB1346/$BG1346,"..")</f>
        <v>39.858355989662002</v>
      </c>
      <c r="BI1346" s="117" t="str">
        <f>IFERROR(VLOOKUP($D1346,'WB Data'!$C$3:$M$578,7,FALSE)/100,"..")</f>
        <v>..</v>
      </c>
      <c r="BJ1346" s="117" t="str">
        <f>IFERROR($BI1346*$AW1346,"..")</f>
        <v>..</v>
      </c>
      <c r="BK1346" s="846" t="str">
        <f>IFERROR($BB1346/$BJ1346,"..")</f>
        <v>..</v>
      </c>
      <c r="BL1346" s="117" t="str">
        <f>IFERROR(VLOOKUP($D1346,'WB Data'!$C$3:$M$578,7,FALSE)/100,"..")</f>
        <v>..</v>
      </c>
      <c r="BM1346" s="117" t="str">
        <f>IFERROR($AW1346*$BL1346,"..")</f>
        <v>..</v>
      </c>
      <c r="BN1346" s="846" t="str">
        <f>IFERROR($BB1346/$BM1346,"..")</f>
        <v>..</v>
      </c>
      <c r="BO1346" s="801">
        <f t="shared" ref="BO1346:BO1409" si="236">_xlfn.IFNA(VLOOKUP($C1346,CPI_2013,2,FALSE),"..")</f>
        <v>27</v>
      </c>
      <c r="BP1346" s="117" t="str">
        <f>VLOOKUP($D1346,'WB Data'!$C$3:$M$578,9,FALSE)</f>
        <v>..</v>
      </c>
      <c r="BQ1346" s="117">
        <f>VLOOKUP($D1346,'WB Data'!$C$3:$M$578,10,FALSE)</f>
        <v>47.219731707317074</v>
      </c>
      <c r="BR1346" s="117">
        <f>VLOOKUP($D1346,'WB Data'!$C$3:$M$578,11,FALSE)</f>
        <v>106.4</v>
      </c>
      <c r="BS1346" s="129" t="str">
        <f>IFERROR(VLOOKUP($D1346,'WB Data 2'!$C$2:$K$545,9,FALSE),"..")</f>
        <v>..</v>
      </c>
      <c r="BT1346" s="129">
        <f>_xlfn.IFNA(VLOOKUP($C1346,RGI!$A$2:$C$43,2,FALSE),"..")</f>
        <v>46.5</v>
      </c>
      <c r="BU1346" s="129">
        <f>_xlfn.IFNA(VLOOKUP($C1346,RGI!$A$2:$C$43,3,FALSE),"..")</f>
        <v>42.488706175328218</v>
      </c>
      <c r="BV1346" s="129">
        <f>VLOOKUP($D1346,WGI!$C$2:$O$478,7,FALSE)</f>
        <v>-0.71183277849603599</v>
      </c>
      <c r="BW1346" s="129">
        <f>VLOOKUP($D1346,WGI!$C$2:$O$478,4,FALSE)</f>
        <v>-1.6973673794058299</v>
      </c>
      <c r="BX1346" s="129">
        <f>VLOOKUP($D1346,WGI!$C$2:$O$478,3,FALSE)</f>
        <v>-1.05643074934563</v>
      </c>
      <c r="BY1346" s="129">
        <f>VLOOKUP($D1346,WGI!$C$2:$O$478,5,FALSE)</f>
        <v>-1.2265490649911699</v>
      </c>
      <c r="BZ1346" s="129">
        <f>VLOOKUP($D1346,WGI!$C$2:$O$478,2,FALSE)</f>
        <v>-1.3332746391191099</v>
      </c>
    </row>
    <row r="1347" spans="1:80" ht="15" customHeight="1">
      <c r="A1347" s="280" t="s">
        <v>417</v>
      </c>
      <c r="B1347" s="117">
        <v>2002</v>
      </c>
      <c r="C1347" s="809" t="s">
        <v>413</v>
      </c>
      <c r="D1347" s="117" t="s">
        <v>3404</v>
      </c>
      <c r="E1347" s="117" t="s">
        <v>86</v>
      </c>
      <c r="F1347" s="117"/>
      <c r="G1347" s="117" t="s">
        <v>561</v>
      </c>
      <c r="H1347" s="117" t="str">
        <f t="shared" si="231"/>
        <v>no</v>
      </c>
      <c r="I1347" s="117" t="str">
        <f t="shared" si="233"/>
        <v>yes</v>
      </c>
      <c r="J1347" s="117" t="str">
        <f t="shared" si="234"/>
        <v>no</v>
      </c>
      <c r="K1347" s="117" t="s">
        <v>561</v>
      </c>
      <c r="L1347" s="117" t="str">
        <f t="shared" si="232"/>
        <v>detailed</v>
      </c>
      <c r="M1347" s="117" t="str">
        <f t="shared" si="235"/>
        <v>detailed Gas</v>
      </c>
      <c r="N1347" s="179">
        <v>18000000000</v>
      </c>
      <c r="O1347" s="118">
        <f>N1347*0.0066</f>
        <v>118800000</v>
      </c>
      <c r="P1347" s="179"/>
      <c r="Q1347" s="179"/>
      <c r="R1347" s="179"/>
      <c r="S1347" s="117" t="s">
        <v>642</v>
      </c>
      <c r="T1347" s="119">
        <v>9.8412999999999987E-2</v>
      </c>
      <c r="U1347" s="117" t="s">
        <v>643</v>
      </c>
      <c r="V1347" s="117" t="s">
        <v>738</v>
      </c>
      <c r="W1347" s="89">
        <f>N1347*T1347</f>
        <v>1771433999.9999998</v>
      </c>
      <c r="X1347" s="117"/>
      <c r="Y1347" s="117"/>
      <c r="Z1347" s="117"/>
      <c r="AA1347" s="117"/>
      <c r="AB1347" s="117"/>
      <c r="AC1347" s="240"/>
      <c r="AD1347" s="240"/>
      <c r="AE1347" s="240"/>
      <c r="AF1347" s="241"/>
      <c r="AG1347" s="117"/>
      <c r="AH1347" s="124"/>
      <c r="AI1347" s="117"/>
      <c r="AJ1347" s="117"/>
      <c r="AK1347" s="89"/>
      <c r="AL1347" s="117"/>
      <c r="AM1347" s="117"/>
      <c r="AN1347" s="117"/>
      <c r="AO1347" s="117"/>
      <c r="AP1347" s="117"/>
      <c r="AQ1347" s="117"/>
      <c r="AR1347" s="117"/>
      <c r="AS1347" s="117"/>
      <c r="AT1347" s="117"/>
      <c r="AU1347" s="117"/>
      <c r="AV1347" s="128"/>
      <c r="AW1347" s="117">
        <f>VLOOKUP($D1347,'WB Data'!$C$3:$M$578,2,FALSE)</f>
        <v>59116868249.84005</v>
      </c>
      <c r="AX1347" s="117">
        <f>VLOOKUP($D1347,'WB Data'!$C$3:$M$578,3,FALSE)</f>
        <v>129224641</v>
      </c>
      <c r="AY1347" s="847">
        <f t="shared" ref="AY1347:AY1410" si="237">IFERROR($BB1347/$AW1347,"..")</f>
        <v>0.20087329304749038</v>
      </c>
      <c r="AZ1347" s="117" t="e">
        <f>VLOOKUP($D1347,'WB Data'!$C$3:$M$578,4,FALSE)/100</f>
        <v>#VALUE!</v>
      </c>
      <c r="BA1347" s="117" t="str">
        <f t="shared" ref="BA1347:BA1410" si="238">IFERROR($AW1347*$AZ1347,"..")</f>
        <v>..</v>
      </c>
      <c r="BB1347" s="129">
        <f>IFERROR(VLOOKUP($D1347,'EITI Revenues'!$C$2:$G$224,5,FALSE),"..")</f>
        <v>11875000000</v>
      </c>
      <c r="BC1347" s="846" t="str">
        <f t="shared" ref="BC1347:BC1410" si="239">IFERROR($BB1347/$BA1347,"..")</f>
        <v>..</v>
      </c>
      <c r="BD1347" s="129">
        <f>VLOOKUP($D1347,'WB Data 2'!$C$2:$K$545,6,FALSE)</f>
        <v>16908361701.584332</v>
      </c>
      <c r="BE1347" s="129">
        <f>IFERROR(VLOOKUP($D1347,UNCTAD!$C$5:$V$529,4,FALSE),"..")</f>
        <v>18137130000</v>
      </c>
      <c r="BF1347" s="846">
        <f t="shared" ref="BF1347:BF1410" si="240">IFERROR(($BD1347/$BE1347),"..")</f>
        <v>0.93225122726607412</v>
      </c>
      <c r="BG1347" s="117">
        <f>VLOOKUP($D1347,'WB Data'!$C$3:$M$578,5,FALSE)</f>
        <v>297930000</v>
      </c>
      <c r="BH1347" s="129">
        <f>IFERROR($BB1347/$BG1347,"..")</f>
        <v>39.858355989662002</v>
      </c>
      <c r="BI1347" s="117" t="str">
        <f>IFERROR(VLOOKUP($D1347,'WB Data'!$C$3:$M$578,7,FALSE)/100,"..")</f>
        <v>..</v>
      </c>
      <c r="BJ1347" s="117" t="str">
        <f>IFERROR($BI1347*$AW1347,"..")</f>
        <v>..</v>
      </c>
      <c r="BK1347" s="846" t="str">
        <f>IFERROR($BB1347/$BJ1347,"..")</f>
        <v>..</v>
      </c>
      <c r="BL1347" s="117" t="str">
        <f>IFERROR(VLOOKUP($D1347,'WB Data'!$C$3:$M$578,7,FALSE)/100,"..")</f>
        <v>..</v>
      </c>
      <c r="BM1347" s="117" t="str">
        <f>IFERROR($AW1347*$BL1347,"..")</f>
        <v>..</v>
      </c>
      <c r="BN1347" s="846" t="str">
        <f>IFERROR($BB1347/$BM1347,"..")</f>
        <v>..</v>
      </c>
      <c r="BO1347" s="801">
        <f t="shared" si="236"/>
        <v>27</v>
      </c>
      <c r="BP1347" s="117" t="str">
        <f>VLOOKUP($D1347,'WB Data'!$C$3:$M$578,9,FALSE)</f>
        <v>..</v>
      </c>
      <c r="BQ1347" s="117">
        <f>VLOOKUP($D1347,'WB Data'!$C$3:$M$578,10,FALSE)</f>
        <v>47.219731707317074</v>
      </c>
      <c r="BR1347" s="117">
        <f>VLOOKUP($D1347,'WB Data'!$C$3:$M$578,11,FALSE)</f>
        <v>106.4</v>
      </c>
      <c r="BS1347" s="129" t="str">
        <f>IFERROR(VLOOKUP($D1347,'WB Data 2'!$C$2:$K$545,9,FALSE),"..")</f>
        <v>..</v>
      </c>
      <c r="BT1347" s="129">
        <f>_xlfn.IFNA(VLOOKUP($C1347,RGI!$A$2:$C$43,2,FALSE),"..")</f>
        <v>46.5</v>
      </c>
      <c r="BU1347" s="129">
        <f>_xlfn.IFNA(VLOOKUP($C1347,RGI!$A$2:$C$43,3,FALSE),"..")</f>
        <v>42.488706175328218</v>
      </c>
      <c r="BV1347" s="129">
        <f>VLOOKUP($D1347,WGI!$C$2:$O$478,7,FALSE)</f>
        <v>-0.71183277849603599</v>
      </c>
      <c r="BW1347" s="129">
        <f>VLOOKUP($D1347,WGI!$C$2:$O$478,4,FALSE)</f>
        <v>-1.6973673794058299</v>
      </c>
      <c r="BX1347" s="129">
        <f>VLOOKUP($D1347,WGI!$C$2:$O$478,3,FALSE)</f>
        <v>-1.05643074934563</v>
      </c>
      <c r="BY1347" s="129">
        <f>VLOOKUP($D1347,WGI!$C$2:$O$478,5,FALSE)</f>
        <v>-1.2265490649911699</v>
      </c>
      <c r="BZ1347" s="129">
        <f>VLOOKUP($D1347,WGI!$C$2:$O$478,2,FALSE)</f>
        <v>-1.3332746391191099</v>
      </c>
    </row>
    <row r="1348" spans="1:80" ht="15" customHeight="1">
      <c r="A1348" s="282" t="s">
        <v>417</v>
      </c>
      <c r="B1348" s="149">
        <v>2002</v>
      </c>
      <c r="C1348" s="809" t="s">
        <v>413</v>
      </c>
      <c r="D1348" s="117" t="s">
        <v>3404</v>
      </c>
      <c r="E1348" s="149" t="s">
        <v>86</v>
      </c>
      <c r="F1348" s="117"/>
      <c r="G1348" s="117" t="s">
        <v>103</v>
      </c>
      <c r="H1348" s="117" t="str">
        <f t="shared" si="231"/>
        <v>no</v>
      </c>
      <c r="I1348" s="117" t="str">
        <f t="shared" si="233"/>
        <v>no</v>
      </c>
      <c r="J1348" s="117" t="str">
        <f t="shared" si="234"/>
        <v>yes</v>
      </c>
      <c r="K1348" s="117" t="s">
        <v>103</v>
      </c>
      <c r="L1348" s="117" t="str">
        <f t="shared" si="232"/>
        <v>detailed</v>
      </c>
      <c r="M1348" s="117" t="str">
        <f t="shared" si="235"/>
        <v>detailed Oil</v>
      </c>
      <c r="N1348" s="179">
        <v>761755000</v>
      </c>
      <c r="O1348" s="211">
        <f>O1347/N1348</f>
        <v>0.1559556550334425</v>
      </c>
      <c r="P1348" s="179"/>
      <c r="Q1348" s="179"/>
      <c r="R1348" s="179"/>
      <c r="S1348" s="117" t="s">
        <v>646</v>
      </c>
      <c r="T1348" s="119">
        <v>19.727272727272727</v>
      </c>
      <c r="U1348" s="117" t="s">
        <v>673</v>
      </c>
      <c r="V1348" s="117" t="s">
        <v>1942</v>
      </c>
      <c r="W1348" s="89">
        <f>N1348*T1348</f>
        <v>15027348636.363636</v>
      </c>
      <c r="X1348" s="117"/>
      <c r="Y1348" s="117"/>
      <c r="Z1348" s="117"/>
      <c r="AA1348" s="117"/>
      <c r="AB1348" s="117"/>
      <c r="AC1348" s="240"/>
      <c r="AD1348" s="240"/>
      <c r="AE1348" s="240"/>
      <c r="AF1348" s="241"/>
      <c r="AG1348" s="117"/>
      <c r="AH1348" s="124"/>
      <c r="AI1348" s="117"/>
      <c r="AJ1348" s="117"/>
      <c r="AK1348" s="89"/>
      <c r="AL1348" s="117"/>
      <c r="AM1348" s="117"/>
      <c r="AN1348" s="117"/>
      <c r="AO1348" s="117"/>
      <c r="AP1348" s="117"/>
      <c r="AQ1348" s="117"/>
      <c r="AR1348" s="117"/>
      <c r="AS1348" s="117"/>
      <c r="AT1348" s="117"/>
      <c r="AU1348" s="117">
        <v>51</v>
      </c>
      <c r="AV1348" s="128"/>
      <c r="AW1348" s="117">
        <f>VLOOKUP($D1348,'WB Data'!$C$3:$M$578,2,FALSE)</f>
        <v>59116868249.84005</v>
      </c>
      <c r="AX1348" s="117">
        <f>VLOOKUP($D1348,'WB Data'!$C$3:$M$578,3,FALSE)</f>
        <v>129224641</v>
      </c>
      <c r="AY1348" s="847">
        <f t="shared" si="237"/>
        <v>0.20087329304749038</v>
      </c>
      <c r="AZ1348" s="117" t="e">
        <f>VLOOKUP($D1348,'WB Data'!$C$3:$M$578,4,FALSE)/100</f>
        <v>#VALUE!</v>
      </c>
      <c r="BA1348" s="117" t="str">
        <f t="shared" si="238"/>
        <v>..</v>
      </c>
      <c r="BB1348" s="129">
        <f>IFERROR(VLOOKUP($D1348,'EITI Revenues'!$C$2:$G$224,5,FALSE),"..")</f>
        <v>11875000000</v>
      </c>
      <c r="BC1348" s="846" t="str">
        <f t="shared" si="239"/>
        <v>..</v>
      </c>
      <c r="BD1348" s="129">
        <f>VLOOKUP($D1348,'WB Data 2'!$C$2:$K$545,6,FALSE)</f>
        <v>16908361701.584332</v>
      </c>
      <c r="BE1348" s="129">
        <f>IFERROR(VLOOKUP($D1348,UNCTAD!$C$5:$V$529,4,FALSE),"..")</f>
        <v>18137130000</v>
      </c>
      <c r="BF1348" s="846">
        <f t="shared" si="240"/>
        <v>0.93225122726607412</v>
      </c>
      <c r="BG1348" s="117">
        <f>VLOOKUP($D1348,'WB Data'!$C$3:$M$578,5,FALSE)</f>
        <v>297930000</v>
      </c>
      <c r="BH1348" s="129">
        <f>IFERROR($BB1348/$BG1348,"..")</f>
        <v>39.858355989662002</v>
      </c>
      <c r="BI1348" s="117" t="str">
        <f>IFERROR(VLOOKUP($D1348,'WB Data'!$C$3:$M$578,7,FALSE)/100,"..")</f>
        <v>..</v>
      </c>
      <c r="BJ1348" s="117" t="str">
        <f>IFERROR($BI1348*$AW1348,"..")</f>
        <v>..</v>
      </c>
      <c r="BK1348" s="846" t="str">
        <f>IFERROR($BB1348/$BJ1348,"..")</f>
        <v>..</v>
      </c>
      <c r="BL1348" s="117" t="str">
        <f>IFERROR(VLOOKUP($D1348,'WB Data'!$C$3:$M$578,7,FALSE)/100,"..")</f>
        <v>..</v>
      </c>
      <c r="BM1348" s="117" t="str">
        <f>IFERROR($AW1348*$BL1348,"..")</f>
        <v>..</v>
      </c>
      <c r="BN1348" s="846" t="str">
        <f>IFERROR($BB1348/$BM1348,"..")</f>
        <v>..</v>
      </c>
      <c r="BO1348" s="801">
        <f t="shared" si="236"/>
        <v>27</v>
      </c>
      <c r="BP1348" s="117" t="str">
        <f>VLOOKUP($D1348,'WB Data'!$C$3:$M$578,9,FALSE)</f>
        <v>..</v>
      </c>
      <c r="BQ1348" s="117">
        <f>VLOOKUP($D1348,'WB Data'!$C$3:$M$578,10,FALSE)</f>
        <v>47.219731707317074</v>
      </c>
      <c r="BR1348" s="117">
        <f>VLOOKUP($D1348,'WB Data'!$C$3:$M$578,11,FALSE)</f>
        <v>106.4</v>
      </c>
      <c r="BS1348" s="129" t="str">
        <f>IFERROR(VLOOKUP($D1348,'WB Data 2'!$C$2:$K$545,9,FALSE),"..")</f>
        <v>..</v>
      </c>
      <c r="BT1348" s="129">
        <f>_xlfn.IFNA(VLOOKUP($C1348,RGI!$A$2:$C$43,2,FALSE),"..")</f>
        <v>46.5</v>
      </c>
      <c r="BU1348" s="129">
        <f>_xlfn.IFNA(VLOOKUP($C1348,RGI!$A$2:$C$43,3,FALSE),"..")</f>
        <v>42.488706175328218</v>
      </c>
      <c r="BV1348" s="129">
        <f>VLOOKUP($D1348,WGI!$C$2:$O$478,7,FALSE)</f>
        <v>-0.71183277849603599</v>
      </c>
      <c r="BW1348" s="129">
        <f>VLOOKUP($D1348,WGI!$C$2:$O$478,4,FALSE)</f>
        <v>-1.6973673794058299</v>
      </c>
      <c r="BX1348" s="129">
        <f>VLOOKUP($D1348,WGI!$C$2:$O$478,3,FALSE)</f>
        <v>-1.05643074934563</v>
      </c>
      <c r="BY1348" s="129">
        <f>VLOOKUP($D1348,WGI!$C$2:$O$478,5,FALSE)</f>
        <v>-1.2265490649911699</v>
      </c>
      <c r="BZ1348" s="129">
        <f>VLOOKUP($D1348,WGI!$C$2:$O$478,2,FALSE)</f>
        <v>-1.3332746391191099</v>
      </c>
    </row>
    <row r="1349" spans="1:80" s="144" customFormat="1" ht="15" customHeight="1">
      <c r="A1349" s="279" t="s">
        <v>418</v>
      </c>
      <c r="B1349" s="132">
        <v>2003</v>
      </c>
      <c r="C1349" s="809" t="s">
        <v>413</v>
      </c>
      <c r="D1349" s="117" t="s">
        <v>3438</v>
      </c>
      <c r="E1349" s="132" t="s">
        <v>86</v>
      </c>
      <c r="F1349" s="132" t="s">
        <v>1936</v>
      </c>
      <c r="G1349" s="132" t="s">
        <v>55</v>
      </c>
      <c r="H1349" s="117" t="str">
        <f t="shared" si="231"/>
        <v>no</v>
      </c>
      <c r="I1349" s="117" t="str">
        <f t="shared" si="233"/>
        <v>yes</v>
      </c>
      <c r="J1349" s="117" t="str">
        <f t="shared" si="234"/>
        <v>yes</v>
      </c>
      <c r="K1349" s="132" t="s">
        <v>55</v>
      </c>
      <c r="L1349" s="117" t="str">
        <f t="shared" si="232"/>
        <v>detailed</v>
      </c>
      <c r="M1349" s="117" t="str">
        <f t="shared" si="235"/>
        <v>detailed Oil, Gas</v>
      </c>
      <c r="N1349" s="132" t="s">
        <v>1946</v>
      </c>
      <c r="O1349" s="132"/>
      <c r="P1349" s="238"/>
      <c r="Q1349" s="238"/>
      <c r="R1349" s="238"/>
      <c r="S1349" s="132"/>
      <c r="T1349" s="134"/>
      <c r="U1349" s="132"/>
      <c r="V1349" s="132"/>
      <c r="W1349" s="135">
        <f>SUM(W1350:W1351)</f>
        <v>24669179486.792454</v>
      </c>
      <c r="X1349" s="132" t="s">
        <v>918</v>
      </c>
      <c r="Y1349" s="132" t="s">
        <v>663</v>
      </c>
      <c r="Z1349" s="132" t="s">
        <v>664</v>
      </c>
      <c r="AA1349" s="598">
        <v>17091000000</v>
      </c>
      <c r="AB1349" s="598">
        <v>17095000000</v>
      </c>
      <c r="AC1349" s="599"/>
      <c r="AD1349" s="599"/>
      <c r="AE1349" s="599"/>
      <c r="AF1349" s="600">
        <f>AA1349/W1349</f>
        <v>0.69280780129514608</v>
      </c>
      <c r="AG1349" s="132" t="s">
        <v>864</v>
      </c>
      <c r="AH1349" s="140" t="s">
        <v>865</v>
      </c>
      <c r="AI1349" s="132" t="s">
        <v>667</v>
      </c>
      <c r="AJ1349" s="132" t="s">
        <v>1947</v>
      </c>
      <c r="AK1349" s="135">
        <v>10904000000</v>
      </c>
      <c r="AL1349" s="132"/>
      <c r="AM1349" s="132"/>
      <c r="AN1349" s="132">
        <v>24</v>
      </c>
      <c r="AO1349" s="132" t="s">
        <v>1938</v>
      </c>
      <c r="AP1349" s="132">
        <v>24</v>
      </c>
      <c r="AQ1349" s="132" t="s">
        <v>102</v>
      </c>
      <c r="AR1349" s="141">
        <v>41920</v>
      </c>
      <c r="AS1349" s="132" t="s">
        <v>1939</v>
      </c>
      <c r="AT1349" s="132" t="s">
        <v>1940</v>
      </c>
      <c r="AU1349" s="132" t="s">
        <v>1554</v>
      </c>
      <c r="AV1349" s="143" t="s">
        <v>1941</v>
      </c>
      <c r="AW1349" s="117">
        <f>VLOOKUP($D1349,'WB Data'!$C$3:$M$578,2,FALSE)</f>
        <v>67655840108.154663</v>
      </c>
      <c r="AX1349" s="117">
        <f>VLOOKUP($D1349,'WB Data'!$C$3:$M$578,3,FALSE)</f>
        <v>132550146</v>
      </c>
      <c r="AY1349" s="847">
        <f t="shared" si="237"/>
        <v>0.2526167729597078</v>
      </c>
      <c r="AZ1349" s="117">
        <f>VLOOKUP($D1349,'WB Data'!$C$3:$M$578,4,FALSE)/100</f>
        <v>0.12023818896992709</v>
      </c>
      <c r="BA1349" s="117">
        <f t="shared" si="238"/>
        <v>8134815687.8434734</v>
      </c>
      <c r="BB1349" s="129">
        <f>IFERROR(VLOOKUP($D1349,'EITI Revenues'!$C$2:$G$224,5,FALSE),"..")</f>
        <v>17091000000</v>
      </c>
      <c r="BC1349" s="846">
        <f t="shared" si="239"/>
        <v>2.1009695432363014</v>
      </c>
      <c r="BD1349" s="129">
        <f>VLOOKUP($D1349,'WB Data 2'!$C$2:$K$545,6,FALSE)</f>
        <v>23526219122.968105</v>
      </c>
      <c r="BE1349" s="129">
        <f>IFERROR(VLOOKUP($D1349,UNCTAD!$C$5:$V$529,4,FALSE),"..")</f>
        <v>27449180000</v>
      </c>
      <c r="BF1349" s="846">
        <f t="shared" si="240"/>
        <v>0.85708276615068668</v>
      </c>
      <c r="BG1349" s="117">
        <f>VLOOKUP($D1349,'WB Data'!$C$3:$M$578,5,FALSE)</f>
        <v>308220000</v>
      </c>
      <c r="BH1349" s="129">
        <f>IFERROR($BB1349/$BG1349,"..")</f>
        <v>55.450652131594317</v>
      </c>
      <c r="BI1349" s="117" t="str">
        <f>IFERROR(VLOOKUP($D1349,'WB Data'!$C$3:$M$578,7,FALSE)/100,"..")</f>
        <v>..</v>
      </c>
      <c r="BJ1349" s="117" t="str">
        <f>IFERROR($BI1349*$AW1349,"..")</f>
        <v>..</v>
      </c>
      <c r="BK1349" s="846" t="str">
        <f>IFERROR($BB1349/$BJ1349,"..")</f>
        <v>..</v>
      </c>
      <c r="BL1349" s="117" t="str">
        <f>IFERROR(VLOOKUP($D1349,'WB Data'!$C$3:$M$578,7,FALSE)/100,"..")</f>
        <v>..</v>
      </c>
      <c r="BM1349" s="117" t="str">
        <f>IFERROR($AW1349*$BL1349,"..")</f>
        <v>..</v>
      </c>
      <c r="BN1349" s="846" t="str">
        <f>IFERROR($BB1349/$BM1349,"..")</f>
        <v>..</v>
      </c>
      <c r="BO1349" s="801">
        <f t="shared" si="236"/>
        <v>27</v>
      </c>
      <c r="BP1349" s="117" t="str">
        <f>VLOOKUP($D1349,'WB Data'!$C$3:$M$578,9,FALSE)</f>
        <v>..</v>
      </c>
      <c r="BQ1349" s="117">
        <f>VLOOKUP($D1349,'WB Data'!$C$3:$M$578,10,FALSE)</f>
        <v>47.63773170731708</v>
      </c>
      <c r="BR1349" s="117">
        <f>VLOOKUP($D1349,'WB Data'!$C$3:$M$578,11,FALSE)</f>
        <v>103.3</v>
      </c>
      <c r="BS1349" s="129" t="str">
        <f>IFERROR(VLOOKUP($D1349,'WB Data 2'!$C$2:$K$545,9,FALSE),"..")</f>
        <v>..</v>
      </c>
      <c r="BT1349" s="129">
        <f>_xlfn.IFNA(VLOOKUP($C1349,RGI!$A$2:$C$43,2,FALSE),"..")</f>
        <v>46.5</v>
      </c>
      <c r="BU1349" s="129">
        <f>_xlfn.IFNA(VLOOKUP($C1349,RGI!$A$2:$C$43,3,FALSE),"..")</f>
        <v>42.488706175328218</v>
      </c>
      <c r="BV1349" s="129">
        <f>VLOOKUP($D1349,WGI!$C$2:$O$478,7,FALSE)</f>
        <v>-0.63770511124296803</v>
      </c>
      <c r="BW1349" s="129">
        <f>VLOOKUP($D1349,WGI!$C$2:$O$478,4,FALSE)</f>
        <v>-1.6514193822734899</v>
      </c>
      <c r="BX1349" s="129">
        <f>VLOOKUP($D1349,WGI!$C$2:$O$478,3,FALSE)</f>
        <v>-0.96479418736878098</v>
      </c>
      <c r="BY1349" s="129">
        <f>VLOOKUP($D1349,WGI!$C$2:$O$478,5,FALSE)</f>
        <v>-1.2402186899098899</v>
      </c>
      <c r="BZ1349" s="129">
        <f>VLOOKUP($D1349,WGI!$C$2:$O$478,2,FALSE)</f>
        <v>-1.32012918747593</v>
      </c>
      <c r="CB1349" s="129"/>
    </row>
    <row r="1350" spans="1:80" s="120" customFormat="1" ht="15" customHeight="1">
      <c r="A1350" s="280" t="s">
        <v>418</v>
      </c>
      <c r="B1350" s="117">
        <v>2003</v>
      </c>
      <c r="C1350" s="809" t="s">
        <v>413</v>
      </c>
      <c r="D1350" s="117" t="s">
        <v>3438</v>
      </c>
      <c r="E1350" s="117" t="s">
        <v>86</v>
      </c>
      <c r="F1350" s="117"/>
      <c r="G1350" s="117" t="s">
        <v>561</v>
      </c>
      <c r="H1350" s="117" t="str">
        <f t="shared" si="231"/>
        <v>no</v>
      </c>
      <c r="I1350" s="117" t="str">
        <f t="shared" si="233"/>
        <v>yes</v>
      </c>
      <c r="J1350" s="117" t="str">
        <f t="shared" si="234"/>
        <v>no</v>
      </c>
      <c r="K1350" s="117" t="s">
        <v>561</v>
      </c>
      <c r="L1350" s="117" t="str">
        <f t="shared" si="232"/>
        <v>detailed</v>
      </c>
      <c r="M1350" s="117" t="str">
        <f t="shared" si="235"/>
        <v>detailed Gas</v>
      </c>
      <c r="N1350" s="179">
        <v>22600000000</v>
      </c>
      <c r="O1350" s="118">
        <f>N1350*0.0066</f>
        <v>149160000</v>
      </c>
      <c r="P1350" s="179"/>
      <c r="Q1350" s="179"/>
      <c r="R1350" s="179"/>
      <c r="S1350" s="117" t="s">
        <v>642</v>
      </c>
      <c r="T1350" s="119">
        <v>0.16410100000000002</v>
      </c>
      <c r="U1350" s="117" t="s">
        <v>643</v>
      </c>
      <c r="V1350" s="117" t="s">
        <v>738</v>
      </c>
      <c r="W1350" s="89">
        <f>N1350*T1350</f>
        <v>3708682600.0000005</v>
      </c>
      <c r="X1350" s="117"/>
      <c r="Y1350" s="117"/>
      <c r="Z1350" s="117"/>
      <c r="AA1350" s="117"/>
      <c r="AB1350" s="117"/>
      <c r="AC1350" s="240"/>
      <c r="AD1350" s="240"/>
      <c r="AE1350" s="240"/>
      <c r="AF1350" s="241"/>
      <c r="AG1350" s="117"/>
      <c r="AH1350" s="124"/>
      <c r="AI1350" s="117"/>
      <c r="AJ1350" s="117"/>
      <c r="AK1350" s="89"/>
      <c r="AL1350" s="117"/>
      <c r="AM1350" s="117"/>
      <c r="AN1350" s="117"/>
      <c r="AO1350" s="117"/>
      <c r="AP1350" s="117"/>
      <c r="AQ1350" s="117"/>
      <c r="AR1350" s="117"/>
      <c r="AS1350" s="117"/>
      <c r="AT1350" s="117"/>
      <c r="AU1350" s="117"/>
      <c r="AV1350" s="128"/>
      <c r="AW1350" s="117">
        <f>VLOOKUP($D1350,'WB Data'!$C$3:$M$578,2,FALSE)</f>
        <v>67655840108.154663</v>
      </c>
      <c r="AX1350" s="117">
        <f>VLOOKUP($D1350,'WB Data'!$C$3:$M$578,3,FALSE)</f>
        <v>132550146</v>
      </c>
      <c r="AY1350" s="847">
        <f t="shared" si="237"/>
        <v>0.2526167729597078</v>
      </c>
      <c r="AZ1350" s="117">
        <f>VLOOKUP($D1350,'WB Data'!$C$3:$M$578,4,FALSE)/100</f>
        <v>0.12023818896992709</v>
      </c>
      <c r="BA1350" s="117">
        <f t="shared" si="238"/>
        <v>8134815687.8434734</v>
      </c>
      <c r="BB1350" s="129">
        <f>IFERROR(VLOOKUP($D1350,'EITI Revenues'!$C$2:$G$224,5,FALSE),"..")</f>
        <v>17091000000</v>
      </c>
      <c r="BC1350" s="846">
        <f t="shared" si="239"/>
        <v>2.1009695432363014</v>
      </c>
      <c r="BD1350" s="129">
        <f>VLOOKUP($D1350,'WB Data 2'!$C$2:$K$545,6,FALSE)</f>
        <v>23526219122.968105</v>
      </c>
      <c r="BE1350" s="129">
        <f>IFERROR(VLOOKUP($D1350,UNCTAD!$C$5:$V$529,4,FALSE),"..")</f>
        <v>27449180000</v>
      </c>
      <c r="BF1350" s="846">
        <f t="shared" si="240"/>
        <v>0.85708276615068668</v>
      </c>
      <c r="BG1350" s="117">
        <f>VLOOKUP($D1350,'WB Data'!$C$3:$M$578,5,FALSE)</f>
        <v>308220000</v>
      </c>
      <c r="BH1350" s="129">
        <f>IFERROR($BB1350/$BG1350,"..")</f>
        <v>55.450652131594317</v>
      </c>
      <c r="BI1350" s="117" t="str">
        <f>IFERROR(VLOOKUP($D1350,'WB Data'!$C$3:$M$578,7,FALSE)/100,"..")</f>
        <v>..</v>
      </c>
      <c r="BJ1350" s="117" t="str">
        <f>IFERROR($BI1350*$AW1350,"..")</f>
        <v>..</v>
      </c>
      <c r="BK1350" s="846" t="str">
        <f>IFERROR($BB1350/$BJ1350,"..")</f>
        <v>..</v>
      </c>
      <c r="BL1350" s="117" t="str">
        <f>IFERROR(VLOOKUP($D1350,'WB Data'!$C$3:$M$578,7,FALSE)/100,"..")</f>
        <v>..</v>
      </c>
      <c r="BM1350" s="117" t="str">
        <f>IFERROR($AW1350*$BL1350,"..")</f>
        <v>..</v>
      </c>
      <c r="BN1350" s="846" t="str">
        <f>IFERROR($BB1350/$BM1350,"..")</f>
        <v>..</v>
      </c>
      <c r="BO1350" s="801">
        <f t="shared" si="236"/>
        <v>27</v>
      </c>
      <c r="BP1350" s="117" t="str">
        <f>VLOOKUP($D1350,'WB Data'!$C$3:$M$578,9,FALSE)</f>
        <v>..</v>
      </c>
      <c r="BQ1350" s="117">
        <f>VLOOKUP($D1350,'WB Data'!$C$3:$M$578,10,FALSE)</f>
        <v>47.63773170731708</v>
      </c>
      <c r="BR1350" s="117">
        <f>VLOOKUP($D1350,'WB Data'!$C$3:$M$578,11,FALSE)</f>
        <v>103.3</v>
      </c>
      <c r="BS1350" s="129" t="str">
        <f>IFERROR(VLOOKUP($D1350,'WB Data 2'!$C$2:$K$545,9,FALSE),"..")</f>
        <v>..</v>
      </c>
      <c r="BT1350" s="129">
        <f>_xlfn.IFNA(VLOOKUP($C1350,RGI!$A$2:$C$43,2,FALSE),"..")</f>
        <v>46.5</v>
      </c>
      <c r="BU1350" s="129">
        <f>_xlfn.IFNA(VLOOKUP($C1350,RGI!$A$2:$C$43,3,FALSE),"..")</f>
        <v>42.488706175328218</v>
      </c>
      <c r="BV1350" s="129">
        <f>VLOOKUP($D1350,WGI!$C$2:$O$478,7,FALSE)</f>
        <v>-0.63770511124296803</v>
      </c>
      <c r="BW1350" s="129">
        <f>VLOOKUP($D1350,WGI!$C$2:$O$478,4,FALSE)</f>
        <v>-1.6514193822734899</v>
      </c>
      <c r="BX1350" s="129">
        <f>VLOOKUP($D1350,WGI!$C$2:$O$478,3,FALSE)</f>
        <v>-0.96479418736878098</v>
      </c>
      <c r="BY1350" s="129">
        <f>VLOOKUP($D1350,WGI!$C$2:$O$478,5,FALSE)</f>
        <v>-1.2402186899098899</v>
      </c>
      <c r="BZ1350" s="129">
        <f>VLOOKUP($D1350,WGI!$C$2:$O$478,2,FALSE)</f>
        <v>-1.32012918747593</v>
      </c>
      <c r="CB1350" s="129"/>
    </row>
    <row r="1351" spans="1:80" s="158" customFormat="1" ht="15" customHeight="1">
      <c r="A1351" s="282" t="s">
        <v>418</v>
      </c>
      <c r="B1351" s="149">
        <v>2003</v>
      </c>
      <c r="C1351" s="809" t="s">
        <v>413</v>
      </c>
      <c r="D1351" s="117" t="s">
        <v>3438</v>
      </c>
      <c r="E1351" s="149" t="s">
        <v>86</v>
      </c>
      <c r="F1351" s="149"/>
      <c r="G1351" s="117" t="s">
        <v>103</v>
      </c>
      <c r="H1351" s="117" t="str">
        <f t="shared" si="231"/>
        <v>no</v>
      </c>
      <c r="I1351" s="117" t="str">
        <f t="shared" si="233"/>
        <v>no</v>
      </c>
      <c r="J1351" s="117" t="str">
        <f t="shared" si="234"/>
        <v>yes</v>
      </c>
      <c r="K1351" s="149" t="s">
        <v>103</v>
      </c>
      <c r="L1351" s="117" t="str">
        <f t="shared" si="232"/>
        <v>detailed</v>
      </c>
      <c r="M1351" s="117" t="str">
        <f t="shared" si="235"/>
        <v>detailed Oil</v>
      </c>
      <c r="N1351" s="216">
        <v>815045000</v>
      </c>
      <c r="O1351" s="211">
        <f>O1350/N1351</f>
        <v>0.18300830015520617</v>
      </c>
      <c r="P1351" s="216"/>
      <c r="Q1351" s="216"/>
      <c r="R1351" s="216"/>
      <c r="S1351" s="149" t="s">
        <v>646</v>
      </c>
      <c r="T1351" s="151">
        <v>25.716981132075471</v>
      </c>
      <c r="U1351" s="149" t="s">
        <v>673</v>
      </c>
      <c r="V1351" s="149" t="s">
        <v>1942</v>
      </c>
      <c r="W1351" s="152">
        <f>N1351*T1351</f>
        <v>20960496886.792454</v>
      </c>
      <c r="X1351" s="149"/>
      <c r="Y1351" s="149"/>
      <c r="Z1351" s="149"/>
      <c r="AA1351" s="149"/>
      <c r="AB1351" s="149"/>
      <c r="AC1351" s="288"/>
      <c r="AD1351" s="288"/>
      <c r="AE1351" s="288"/>
      <c r="AF1351" s="285"/>
      <c r="AG1351" s="149"/>
      <c r="AH1351" s="156"/>
      <c r="AI1351" s="149"/>
      <c r="AJ1351" s="149"/>
      <c r="AK1351" s="152"/>
      <c r="AL1351" s="149"/>
      <c r="AM1351" s="149"/>
      <c r="AN1351" s="149"/>
      <c r="AO1351" s="149"/>
      <c r="AP1351" s="149"/>
      <c r="AQ1351" s="149"/>
      <c r="AR1351" s="149"/>
      <c r="AS1351" s="149"/>
      <c r="AT1351" s="149"/>
      <c r="AU1351" s="149">
        <v>51</v>
      </c>
      <c r="AV1351" s="157"/>
      <c r="AW1351" s="117">
        <f>VLOOKUP($D1351,'WB Data'!$C$3:$M$578,2,FALSE)</f>
        <v>67655840108.154663</v>
      </c>
      <c r="AX1351" s="117">
        <f>VLOOKUP($D1351,'WB Data'!$C$3:$M$578,3,FALSE)</f>
        <v>132550146</v>
      </c>
      <c r="AY1351" s="847">
        <f t="shared" si="237"/>
        <v>0.2526167729597078</v>
      </c>
      <c r="AZ1351" s="117">
        <f>VLOOKUP($D1351,'WB Data'!$C$3:$M$578,4,FALSE)/100</f>
        <v>0.12023818896992709</v>
      </c>
      <c r="BA1351" s="117">
        <f t="shared" si="238"/>
        <v>8134815687.8434734</v>
      </c>
      <c r="BB1351" s="129">
        <f>IFERROR(VLOOKUP($D1351,'EITI Revenues'!$C$2:$G$224,5,FALSE),"..")</f>
        <v>17091000000</v>
      </c>
      <c r="BC1351" s="846">
        <f t="shared" si="239"/>
        <v>2.1009695432363014</v>
      </c>
      <c r="BD1351" s="129">
        <f>VLOOKUP($D1351,'WB Data 2'!$C$2:$K$545,6,FALSE)</f>
        <v>23526219122.968105</v>
      </c>
      <c r="BE1351" s="129">
        <f>IFERROR(VLOOKUP($D1351,UNCTAD!$C$5:$V$529,4,FALSE),"..")</f>
        <v>27449180000</v>
      </c>
      <c r="BF1351" s="846">
        <f t="shared" si="240"/>
        <v>0.85708276615068668</v>
      </c>
      <c r="BG1351" s="117">
        <f>VLOOKUP($D1351,'WB Data'!$C$3:$M$578,5,FALSE)</f>
        <v>308220000</v>
      </c>
      <c r="BH1351" s="129">
        <f>IFERROR($BB1351/$BG1351,"..")</f>
        <v>55.450652131594317</v>
      </c>
      <c r="BI1351" s="117" t="str">
        <f>IFERROR(VLOOKUP($D1351,'WB Data'!$C$3:$M$578,7,FALSE)/100,"..")</f>
        <v>..</v>
      </c>
      <c r="BJ1351" s="117" t="str">
        <f>IFERROR($BI1351*$AW1351,"..")</f>
        <v>..</v>
      </c>
      <c r="BK1351" s="846" t="str">
        <f>IFERROR($BB1351/$BJ1351,"..")</f>
        <v>..</v>
      </c>
      <c r="BL1351" s="117" t="str">
        <f>IFERROR(VLOOKUP($D1351,'WB Data'!$C$3:$M$578,7,FALSE)/100,"..")</f>
        <v>..</v>
      </c>
      <c r="BM1351" s="117" t="str">
        <f>IFERROR($AW1351*$BL1351,"..")</f>
        <v>..</v>
      </c>
      <c r="BN1351" s="846" t="str">
        <f>IFERROR($BB1351/$BM1351,"..")</f>
        <v>..</v>
      </c>
      <c r="BO1351" s="801">
        <f t="shared" si="236"/>
        <v>27</v>
      </c>
      <c r="BP1351" s="117" t="str">
        <f>VLOOKUP($D1351,'WB Data'!$C$3:$M$578,9,FALSE)</f>
        <v>..</v>
      </c>
      <c r="BQ1351" s="117">
        <f>VLOOKUP($D1351,'WB Data'!$C$3:$M$578,10,FALSE)</f>
        <v>47.63773170731708</v>
      </c>
      <c r="BR1351" s="117">
        <f>VLOOKUP($D1351,'WB Data'!$C$3:$M$578,11,FALSE)</f>
        <v>103.3</v>
      </c>
      <c r="BS1351" s="129" t="str">
        <f>IFERROR(VLOOKUP($D1351,'WB Data 2'!$C$2:$K$545,9,FALSE),"..")</f>
        <v>..</v>
      </c>
      <c r="BT1351" s="129">
        <f>_xlfn.IFNA(VLOOKUP($C1351,RGI!$A$2:$C$43,2,FALSE),"..")</f>
        <v>46.5</v>
      </c>
      <c r="BU1351" s="129">
        <f>_xlfn.IFNA(VLOOKUP($C1351,RGI!$A$2:$C$43,3,FALSE),"..")</f>
        <v>42.488706175328218</v>
      </c>
      <c r="BV1351" s="129">
        <f>VLOOKUP($D1351,WGI!$C$2:$O$478,7,FALSE)</f>
        <v>-0.63770511124296803</v>
      </c>
      <c r="BW1351" s="129">
        <f>VLOOKUP($D1351,WGI!$C$2:$O$478,4,FALSE)</f>
        <v>-1.6514193822734899</v>
      </c>
      <c r="BX1351" s="129">
        <f>VLOOKUP($D1351,WGI!$C$2:$O$478,3,FALSE)</f>
        <v>-0.96479418736878098</v>
      </c>
      <c r="BY1351" s="129">
        <f>VLOOKUP($D1351,WGI!$C$2:$O$478,5,FALSE)</f>
        <v>-1.2402186899098899</v>
      </c>
      <c r="BZ1351" s="129">
        <f>VLOOKUP($D1351,WGI!$C$2:$O$478,2,FALSE)</f>
        <v>-1.32012918747593</v>
      </c>
      <c r="CB1351" s="129"/>
    </row>
    <row r="1352" spans="1:80" ht="15" customHeight="1">
      <c r="A1352" s="280" t="s">
        <v>419</v>
      </c>
      <c r="B1352" s="117">
        <v>2004</v>
      </c>
      <c r="C1352" s="809" t="s">
        <v>413</v>
      </c>
      <c r="D1352" s="117" t="s">
        <v>3472</v>
      </c>
      <c r="E1352" s="117" t="s">
        <v>86</v>
      </c>
      <c r="F1352" s="117" t="s">
        <v>1936</v>
      </c>
      <c r="G1352" s="132" t="s">
        <v>55</v>
      </c>
      <c r="H1352" s="117" t="str">
        <f t="shared" si="231"/>
        <v>no</v>
      </c>
      <c r="I1352" s="117" t="str">
        <f t="shared" si="233"/>
        <v>yes</v>
      </c>
      <c r="J1352" s="117" t="str">
        <f t="shared" si="234"/>
        <v>yes</v>
      </c>
      <c r="K1352" s="117" t="s">
        <v>709</v>
      </c>
      <c r="L1352" s="117" t="str">
        <f t="shared" si="232"/>
        <v>Total</v>
      </c>
      <c r="M1352" s="117" t="str">
        <f t="shared" si="235"/>
        <v>Total Oil, Gas</v>
      </c>
      <c r="N1352" s="179"/>
      <c r="O1352" s="179"/>
      <c r="P1352" s="179"/>
      <c r="Q1352" s="179"/>
      <c r="R1352" s="179"/>
      <c r="S1352" s="117"/>
      <c r="T1352" s="119"/>
      <c r="U1352" s="117"/>
      <c r="V1352" s="117"/>
      <c r="W1352" s="89">
        <f>SUM(W1353:W1354)</f>
        <v>36425258553.846161</v>
      </c>
      <c r="X1352" s="117" t="s">
        <v>918</v>
      </c>
      <c r="Y1352" s="117" t="s">
        <v>663</v>
      </c>
      <c r="Z1352" s="117" t="s">
        <v>664</v>
      </c>
      <c r="AA1352" s="597">
        <v>26596000000</v>
      </c>
      <c r="AB1352" s="597">
        <v>26597000000</v>
      </c>
      <c r="AC1352" s="240"/>
      <c r="AD1352" s="240"/>
      <c r="AE1352" s="240"/>
      <c r="AF1352" s="241">
        <f>AA1352/W1352</f>
        <v>0.73015267580555621</v>
      </c>
      <c r="AG1352" s="117" t="s">
        <v>864</v>
      </c>
      <c r="AH1352" s="124" t="s">
        <v>865</v>
      </c>
      <c r="AI1352" s="117" t="s">
        <v>667</v>
      </c>
      <c r="AJ1352" s="117" t="s">
        <v>1948</v>
      </c>
      <c r="AK1352" s="89">
        <v>16401000000</v>
      </c>
      <c r="AL1352" s="117"/>
      <c r="AM1352" s="117"/>
      <c r="AN1352" s="117">
        <v>24</v>
      </c>
      <c r="AO1352" s="117" t="s">
        <v>1938</v>
      </c>
      <c r="AP1352" s="117">
        <v>24</v>
      </c>
      <c r="AQ1352" s="117" t="s">
        <v>102</v>
      </c>
      <c r="AR1352" s="126">
        <v>41920</v>
      </c>
      <c r="AS1352" s="117" t="s">
        <v>1939</v>
      </c>
      <c r="AT1352" s="117" t="s">
        <v>1940</v>
      </c>
      <c r="AU1352" s="117" t="s">
        <v>1554</v>
      </c>
      <c r="AV1352" s="128" t="s">
        <v>1941</v>
      </c>
      <c r="AW1352" s="117">
        <f>VLOOKUP($D1352,'WB Data'!$C$3:$M$578,2,FALSE)</f>
        <v>87845403978.274185</v>
      </c>
      <c r="AX1352" s="117">
        <f>VLOOKUP($D1352,'WB Data'!$C$3:$M$578,3,FALSE)</f>
        <v>135999250</v>
      </c>
      <c r="AY1352" s="847">
        <f t="shared" si="237"/>
        <v>0.30275915182287383</v>
      </c>
      <c r="AZ1352" s="117">
        <f>VLOOKUP($D1352,'WB Data'!$C$3:$M$578,4,FALSE)/100</f>
        <v>0.11406933118187176</v>
      </c>
      <c r="BA1352" s="117">
        <f t="shared" si="238"/>
        <v>10020466479.203074</v>
      </c>
      <c r="BB1352" s="129">
        <f>IFERROR(VLOOKUP($D1352,'EITI Revenues'!$C$2:$G$224,5,FALSE),"..")</f>
        <v>26596000000</v>
      </c>
      <c r="BC1352" s="846">
        <f t="shared" si="239"/>
        <v>2.6541678528837487</v>
      </c>
      <c r="BD1352" s="129" t="str">
        <f>VLOOKUP($D1352,'WB Data 2'!$C$2:$K$545,6,FALSE)</f>
        <v>..</v>
      </c>
      <c r="BE1352" s="129">
        <f>IFERROR(VLOOKUP($D1352,UNCTAD!$C$5:$V$529,4,FALSE),"..")</f>
        <v>38102150000</v>
      </c>
      <c r="BF1352" s="846" t="str">
        <f t="shared" si="240"/>
        <v>..</v>
      </c>
      <c r="BG1352" s="117">
        <f>VLOOKUP($D1352,'WB Data'!$C$3:$M$578,5,FALSE)</f>
        <v>576940000</v>
      </c>
      <c r="BH1352" s="129">
        <f>IFERROR($BB1352/$BG1352,"..")</f>
        <v>46.098381114153987</v>
      </c>
      <c r="BI1352" s="117" t="str">
        <f>IFERROR(VLOOKUP($D1352,'WB Data'!$C$3:$M$578,7,FALSE)/100,"..")</f>
        <v>..</v>
      </c>
      <c r="BJ1352" s="117" t="str">
        <f>IFERROR($BI1352*$AW1352,"..")</f>
        <v>..</v>
      </c>
      <c r="BK1352" s="846" t="str">
        <f>IFERROR($BB1352/$BJ1352,"..")</f>
        <v>..</v>
      </c>
      <c r="BL1352" s="117" t="str">
        <f>IFERROR(VLOOKUP($D1352,'WB Data'!$C$3:$M$578,7,FALSE)/100,"..")</f>
        <v>..</v>
      </c>
      <c r="BM1352" s="117" t="str">
        <f>IFERROR($AW1352*$BL1352,"..")</f>
        <v>..</v>
      </c>
      <c r="BN1352" s="846" t="str">
        <f>IFERROR($BB1352/$BM1352,"..")</f>
        <v>..</v>
      </c>
      <c r="BO1352" s="801">
        <f t="shared" si="236"/>
        <v>27</v>
      </c>
      <c r="BP1352" s="117">
        <f>VLOOKUP($D1352,'WB Data'!$C$3:$M$578,9,FALSE)</f>
        <v>48.4</v>
      </c>
      <c r="BQ1352" s="117">
        <f>VLOOKUP($D1352,'WB Data'!$C$3:$M$578,10,FALSE)</f>
        <v>48.12565853658537</v>
      </c>
      <c r="BR1352" s="117">
        <f>VLOOKUP($D1352,'WB Data'!$C$3:$M$578,11,FALSE)</f>
        <v>100.2</v>
      </c>
      <c r="BS1352" s="129">
        <f>IFERROR(VLOOKUP($D1352,'WB Data 2'!$C$2:$K$545,9,FALSE),"..")</f>
        <v>66.122029999999995</v>
      </c>
      <c r="BT1352" s="129">
        <f>_xlfn.IFNA(VLOOKUP($C1352,RGI!$A$2:$C$43,2,FALSE),"..")</f>
        <v>46.5</v>
      </c>
      <c r="BU1352" s="129">
        <f>_xlfn.IFNA(VLOOKUP($C1352,RGI!$A$2:$C$43,3,FALSE),"..")</f>
        <v>42.488706175328218</v>
      </c>
      <c r="BV1352" s="129">
        <f>VLOOKUP($D1352,WGI!$C$2:$O$478,7,FALSE)</f>
        <v>-0.76793085867607602</v>
      </c>
      <c r="BW1352" s="129">
        <f>VLOOKUP($D1352,WGI!$C$2:$O$478,4,FALSE)</f>
        <v>-1.7208817210479099</v>
      </c>
      <c r="BX1352" s="129">
        <f>VLOOKUP($D1352,WGI!$C$2:$O$478,3,FALSE)</f>
        <v>-0.91259341443653497</v>
      </c>
      <c r="BY1352" s="129">
        <f>VLOOKUP($D1352,WGI!$C$2:$O$478,5,FALSE)</f>
        <v>-1.32286796314529</v>
      </c>
      <c r="BZ1352" s="129">
        <f>VLOOKUP($D1352,WGI!$C$2:$O$478,2,FALSE)</f>
        <v>-1.3045012983906601</v>
      </c>
    </row>
    <row r="1353" spans="1:80" ht="15" customHeight="1">
      <c r="A1353" s="280" t="s">
        <v>419</v>
      </c>
      <c r="B1353" s="117">
        <v>2004</v>
      </c>
      <c r="C1353" s="809" t="s">
        <v>413</v>
      </c>
      <c r="D1353" s="117" t="s">
        <v>3472</v>
      </c>
      <c r="E1353" s="117" t="s">
        <v>86</v>
      </c>
      <c r="F1353" s="117"/>
      <c r="G1353" s="117" t="s">
        <v>561</v>
      </c>
      <c r="H1353" s="117" t="str">
        <f t="shared" si="231"/>
        <v>no</v>
      </c>
      <c r="I1353" s="117" t="str">
        <f t="shared" si="233"/>
        <v>yes</v>
      </c>
      <c r="J1353" s="117" t="str">
        <f t="shared" si="234"/>
        <v>no</v>
      </c>
      <c r="K1353" s="117" t="s">
        <v>561</v>
      </c>
      <c r="L1353" s="117" t="str">
        <f t="shared" si="232"/>
        <v>detailed</v>
      </c>
      <c r="M1353" s="117" t="str">
        <f t="shared" si="235"/>
        <v>detailed Gas</v>
      </c>
      <c r="N1353" s="179">
        <v>24400000000</v>
      </c>
      <c r="O1353" s="118">
        <f>N1353*0.0066</f>
        <v>161040000</v>
      </c>
      <c r="P1353" s="179"/>
      <c r="Q1353" s="179"/>
      <c r="R1353" s="179"/>
      <c r="S1353" s="117" t="s">
        <v>642</v>
      </c>
      <c r="T1353" s="119">
        <v>0.18254599999999999</v>
      </c>
      <c r="U1353" s="117" t="s">
        <v>643</v>
      </c>
      <c r="V1353" s="117" t="s">
        <v>738</v>
      </c>
      <c r="W1353" s="89">
        <f>N1353*T1353</f>
        <v>4454122400</v>
      </c>
      <c r="X1353" s="117"/>
      <c r="Y1353" s="117"/>
      <c r="Z1353" s="117"/>
      <c r="AA1353" s="117"/>
      <c r="AB1353" s="117"/>
      <c r="AC1353" s="240"/>
      <c r="AD1353" s="240"/>
      <c r="AE1353" s="240"/>
      <c r="AF1353" s="241"/>
      <c r="AG1353" s="117"/>
      <c r="AH1353" s="124"/>
      <c r="AI1353" s="117"/>
      <c r="AJ1353" s="117"/>
      <c r="AK1353" s="89"/>
      <c r="AL1353" s="117"/>
      <c r="AM1353" s="117"/>
      <c r="AN1353" s="117"/>
      <c r="AO1353" s="117"/>
      <c r="AP1353" s="117"/>
      <c r="AQ1353" s="117"/>
      <c r="AR1353" s="117"/>
      <c r="AS1353" s="117"/>
      <c r="AT1353" s="117"/>
      <c r="AU1353" s="117"/>
      <c r="AV1353" s="128"/>
      <c r="AW1353" s="117">
        <f>VLOOKUP($D1353,'WB Data'!$C$3:$M$578,2,FALSE)</f>
        <v>87845403978.274185</v>
      </c>
      <c r="AX1353" s="117">
        <f>VLOOKUP($D1353,'WB Data'!$C$3:$M$578,3,FALSE)</f>
        <v>135999250</v>
      </c>
      <c r="AY1353" s="847">
        <f t="shared" si="237"/>
        <v>0.30275915182287383</v>
      </c>
      <c r="AZ1353" s="117">
        <f>VLOOKUP($D1353,'WB Data'!$C$3:$M$578,4,FALSE)/100</f>
        <v>0.11406933118187176</v>
      </c>
      <c r="BA1353" s="117">
        <f t="shared" si="238"/>
        <v>10020466479.203074</v>
      </c>
      <c r="BB1353" s="129">
        <f>IFERROR(VLOOKUP($D1353,'EITI Revenues'!$C$2:$G$224,5,FALSE),"..")</f>
        <v>26596000000</v>
      </c>
      <c r="BC1353" s="846">
        <f t="shared" si="239"/>
        <v>2.6541678528837487</v>
      </c>
      <c r="BD1353" s="129" t="str">
        <f>VLOOKUP($D1353,'WB Data 2'!$C$2:$K$545,6,FALSE)</f>
        <v>..</v>
      </c>
      <c r="BE1353" s="129">
        <f>IFERROR(VLOOKUP($D1353,UNCTAD!$C$5:$V$529,4,FALSE),"..")</f>
        <v>38102150000</v>
      </c>
      <c r="BF1353" s="846" t="str">
        <f t="shared" si="240"/>
        <v>..</v>
      </c>
      <c r="BG1353" s="117">
        <f>VLOOKUP($D1353,'WB Data'!$C$3:$M$578,5,FALSE)</f>
        <v>576940000</v>
      </c>
      <c r="BH1353" s="129">
        <f>IFERROR($BB1353/$BG1353,"..")</f>
        <v>46.098381114153987</v>
      </c>
      <c r="BI1353" s="117" t="str">
        <f>IFERROR(VLOOKUP($D1353,'WB Data'!$C$3:$M$578,7,FALSE)/100,"..")</f>
        <v>..</v>
      </c>
      <c r="BJ1353" s="117" t="str">
        <f>IFERROR($BI1353*$AW1353,"..")</f>
        <v>..</v>
      </c>
      <c r="BK1353" s="846" t="str">
        <f>IFERROR($BB1353/$BJ1353,"..")</f>
        <v>..</v>
      </c>
      <c r="BL1353" s="117" t="str">
        <f>IFERROR(VLOOKUP($D1353,'WB Data'!$C$3:$M$578,7,FALSE)/100,"..")</f>
        <v>..</v>
      </c>
      <c r="BM1353" s="117" t="str">
        <f>IFERROR($AW1353*$BL1353,"..")</f>
        <v>..</v>
      </c>
      <c r="BN1353" s="846" t="str">
        <f>IFERROR($BB1353/$BM1353,"..")</f>
        <v>..</v>
      </c>
      <c r="BO1353" s="801">
        <f t="shared" si="236"/>
        <v>27</v>
      </c>
      <c r="BP1353" s="117">
        <f>VLOOKUP($D1353,'WB Data'!$C$3:$M$578,9,FALSE)</f>
        <v>48.4</v>
      </c>
      <c r="BQ1353" s="117">
        <f>VLOOKUP($D1353,'WB Data'!$C$3:$M$578,10,FALSE)</f>
        <v>48.12565853658537</v>
      </c>
      <c r="BR1353" s="117">
        <f>VLOOKUP($D1353,'WB Data'!$C$3:$M$578,11,FALSE)</f>
        <v>100.2</v>
      </c>
      <c r="BS1353" s="129">
        <f>IFERROR(VLOOKUP($D1353,'WB Data 2'!$C$2:$K$545,9,FALSE),"..")</f>
        <v>66.122029999999995</v>
      </c>
      <c r="BT1353" s="129">
        <f>_xlfn.IFNA(VLOOKUP($C1353,RGI!$A$2:$C$43,2,FALSE),"..")</f>
        <v>46.5</v>
      </c>
      <c r="BU1353" s="129">
        <f>_xlfn.IFNA(VLOOKUP($C1353,RGI!$A$2:$C$43,3,FALSE),"..")</f>
        <v>42.488706175328218</v>
      </c>
      <c r="BV1353" s="129">
        <f>VLOOKUP($D1353,WGI!$C$2:$O$478,7,FALSE)</f>
        <v>-0.76793085867607602</v>
      </c>
      <c r="BW1353" s="129">
        <f>VLOOKUP($D1353,WGI!$C$2:$O$478,4,FALSE)</f>
        <v>-1.7208817210479099</v>
      </c>
      <c r="BX1353" s="129">
        <f>VLOOKUP($D1353,WGI!$C$2:$O$478,3,FALSE)</f>
        <v>-0.91259341443653497</v>
      </c>
      <c r="BY1353" s="129">
        <f>VLOOKUP($D1353,WGI!$C$2:$O$478,5,FALSE)</f>
        <v>-1.32286796314529</v>
      </c>
      <c r="BZ1353" s="129">
        <f>VLOOKUP($D1353,WGI!$C$2:$O$478,2,FALSE)</f>
        <v>-1.3045012983906601</v>
      </c>
    </row>
    <row r="1354" spans="1:80" ht="15" customHeight="1">
      <c r="A1354" s="280" t="s">
        <v>419</v>
      </c>
      <c r="B1354" s="117">
        <v>2004</v>
      </c>
      <c r="C1354" s="809" t="s">
        <v>413</v>
      </c>
      <c r="D1354" s="117" t="s">
        <v>3472</v>
      </c>
      <c r="E1354" s="117" t="s">
        <v>86</v>
      </c>
      <c r="F1354" s="117"/>
      <c r="G1354" s="117" t="s">
        <v>103</v>
      </c>
      <c r="H1354" s="117" t="str">
        <f t="shared" si="231"/>
        <v>no</v>
      </c>
      <c r="I1354" s="117" t="str">
        <f t="shared" si="233"/>
        <v>no</v>
      </c>
      <c r="J1354" s="117" t="str">
        <f t="shared" si="234"/>
        <v>yes</v>
      </c>
      <c r="K1354" s="117" t="s">
        <v>103</v>
      </c>
      <c r="L1354" s="117" t="str">
        <f t="shared" si="232"/>
        <v>detailed</v>
      </c>
      <c r="M1354" s="117" t="str">
        <f t="shared" si="235"/>
        <v>detailed Oil</v>
      </c>
      <c r="N1354" s="179">
        <v>886950000</v>
      </c>
      <c r="O1354" s="211">
        <f>O1353/N1354</f>
        <v>0.18156604092677153</v>
      </c>
      <c r="P1354" s="179"/>
      <c r="Q1354" s="179"/>
      <c r="R1354" s="179"/>
      <c r="S1354" s="117" t="s">
        <v>646</v>
      </c>
      <c r="T1354" s="119">
        <v>36.04615384615385</v>
      </c>
      <c r="U1354" s="117" t="s">
        <v>673</v>
      </c>
      <c r="V1354" s="117" t="s">
        <v>1942</v>
      </c>
      <c r="W1354" s="89">
        <f>N1354*T1354</f>
        <v>31971136153.846157</v>
      </c>
      <c r="X1354" s="117"/>
      <c r="Y1354" s="117"/>
      <c r="Z1354" s="117"/>
      <c r="AA1354" s="117"/>
      <c r="AB1354" s="117"/>
      <c r="AC1354" s="240"/>
      <c r="AD1354" s="240"/>
      <c r="AE1354" s="240"/>
      <c r="AF1354" s="241"/>
      <c r="AG1354" s="117"/>
      <c r="AH1354" s="124"/>
      <c r="AI1354" s="117"/>
      <c r="AJ1354" s="117"/>
      <c r="AK1354" s="89"/>
      <c r="AL1354" s="117"/>
      <c r="AM1354" s="117"/>
      <c r="AN1354" s="117"/>
      <c r="AO1354" s="117"/>
      <c r="AP1354" s="117"/>
      <c r="AQ1354" s="117"/>
      <c r="AR1354" s="117"/>
      <c r="AS1354" s="117"/>
      <c r="AT1354" s="117"/>
      <c r="AU1354" s="117">
        <v>51</v>
      </c>
      <c r="AV1354" s="128"/>
      <c r="AW1354" s="117">
        <f>VLOOKUP($D1354,'WB Data'!$C$3:$M$578,2,FALSE)</f>
        <v>87845403978.274185</v>
      </c>
      <c r="AX1354" s="117">
        <f>VLOOKUP($D1354,'WB Data'!$C$3:$M$578,3,FALSE)</f>
        <v>135999250</v>
      </c>
      <c r="AY1354" s="847">
        <f t="shared" si="237"/>
        <v>0.30275915182287383</v>
      </c>
      <c r="AZ1354" s="117">
        <f>VLOOKUP($D1354,'WB Data'!$C$3:$M$578,4,FALSE)/100</f>
        <v>0.11406933118187176</v>
      </c>
      <c r="BA1354" s="117">
        <f t="shared" si="238"/>
        <v>10020466479.203074</v>
      </c>
      <c r="BB1354" s="129">
        <f>IFERROR(VLOOKUP($D1354,'EITI Revenues'!$C$2:$G$224,5,FALSE),"..")</f>
        <v>26596000000</v>
      </c>
      <c r="BC1354" s="846">
        <f t="shared" si="239"/>
        <v>2.6541678528837487</v>
      </c>
      <c r="BD1354" s="129" t="str">
        <f>VLOOKUP($D1354,'WB Data 2'!$C$2:$K$545,6,FALSE)</f>
        <v>..</v>
      </c>
      <c r="BE1354" s="129">
        <f>IFERROR(VLOOKUP($D1354,UNCTAD!$C$5:$V$529,4,FALSE),"..")</f>
        <v>38102150000</v>
      </c>
      <c r="BF1354" s="846" t="str">
        <f t="shared" si="240"/>
        <v>..</v>
      </c>
      <c r="BG1354" s="117">
        <f>VLOOKUP($D1354,'WB Data'!$C$3:$M$578,5,FALSE)</f>
        <v>576940000</v>
      </c>
      <c r="BH1354" s="129">
        <f>IFERROR($BB1354/$BG1354,"..")</f>
        <v>46.098381114153987</v>
      </c>
      <c r="BI1354" s="117" t="str">
        <f>IFERROR(VLOOKUP($D1354,'WB Data'!$C$3:$M$578,7,FALSE)/100,"..")</f>
        <v>..</v>
      </c>
      <c r="BJ1354" s="117" t="str">
        <f>IFERROR($BI1354*$AW1354,"..")</f>
        <v>..</v>
      </c>
      <c r="BK1354" s="846" t="str">
        <f>IFERROR($BB1354/$BJ1354,"..")</f>
        <v>..</v>
      </c>
      <c r="BL1354" s="117" t="str">
        <f>IFERROR(VLOOKUP($D1354,'WB Data'!$C$3:$M$578,7,FALSE)/100,"..")</f>
        <v>..</v>
      </c>
      <c r="BM1354" s="117" t="str">
        <f>IFERROR($AW1354*$BL1354,"..")</f>
        <v>..</v>
      </c>
      <c r="BN1354" s="846" t="str">
        <f>IFERROR($BB1354/$BM1354,"..")</f>
        <v>..</v>
      </c>
      <c r="BO1354" s="801">
        <f t="shared" si="236"/>
        <v>27</v>
      </c>
      <c r="BP1354" s="117">
        <f>VLOOKUP($D1354,'WB Data'!$C$3:$M$578,9,FALSE)</f>
        <v>48.4</v>
      </c>
      <c r="BQ1354" s="117">
        <f>VLOOKUP($D1354,'WB Data'!$C$3:$M$578,10,FALSE)</f>
        <v>48.12565853658537</v>
      </c>
      <c r="BR1354" s="117">
        <f>VLOOKUP($D1354,'WB Data'!$C$3:$M$578,11,FALSE)</f>
        <v>100.2</v>
      </c>
      <c r="BS1354" s="129">
        <f>IFERROR(VLOOKUP($D1354,'WB Data 2'!$C$2:$K$545,9,FALSE),"..")</f>
        <v>66.122029999999995</v>
      </c>
      <c r="BT1354" s="129">
        <f>_xlfn.IFNA(VLOOKUP($C1354,RGI!$A$2:$C$43,2,FALSE),"..")</f>
        <v>46.5</v>
      </c>
      <c r="BU1354" s="129">
        <f>_xlfn.IFNA(VLOOKUP($C1354,RGI!$A$2:$C$43,3,FALSE),"..")</f>
        <v>42.488706175328218</v>
      </c>
      <c r="BV1354" s="129">
        <f>VLOOKUP($D1354,WGI!$C$2:$O$478,7,FALSE)</f>
        <v>-0.76793085867607602</v>
      </c>
      <c r="BW1354" s="129">
        <f>VLOOKUP($D1354,WGI!$C$2:$O$478,4,FALSE)</f>
        <v>-1.7208817210479099</v>
      </c>
      <c r="BX1354" s="129">
        <f>VLOOKUP($D1354,WGI!$C$2:$O$478,3,FALSE)</f>
        <v>-0.91259341443653497</v>
      </c>
      <c r="BY1354" s="129">
        <f>VLOOKUP($D1354,WGI!$C$2:$O$478,5,FALSE)</f>
        <v>-1.32286796314529</v>
      </c>
      <c r="BZ1354" s="129">
        <f>VLOOKUP($D1354,WGI!$C$2:$O$478,2,FALSE)</f>
        <v>-1.3045012983906601</v>
      </c>
    </row>
    <row r="1355" spans="1:80" s="144" customFormat="1" ht="15" customHeight="1">
      <c r="A1355" s="279" t="s">
        <v>420</v>
      </c>
      <c r="B1355" s="132">
        <v>2005</v>
      </c>
      <c r="C1355" s="809" t="s">
        <v>413</v>
      </c>
      <c r="D1355" s="117" t="s">
        <v>3506</v>
      </c>
      <c r="E1355" s="132" t="s">
        <v>86</v>
      </c>
      <c r="F1355" s="132" t="s">
        <v>1936</v>
      </c>
      <c r="G1355" s="132" t="s">
        <v>55</v>
      </c>
      <c r="H1355" s="117" t="str">
        <f t="shared" si="231"/>
        <v>no</v>
      </c>
      <c r="I1355" s="117" t="str">
        <f t="shared" si="233"/>
        <v>yes</v>
      </c>
      <c r="J1355" s="117" t="str">
        <f t="shared" si="234"/>
        <v>yes</v>
      </c>
      <c r="K1355" s="132" t="s">
        <v>709</v>
      </c>
      <c r="L1355" s="117" t="str">
        <f t="shared" si="232"/>
        <v>Total</v>
      </c>
      <c r="M1355" s="117" t="str">
        <f t="shared" si="235"/>
        <v>Total Oil, Gas</v>
      </c>
      <c r="N1355" s="238"/>
      <c r="O1355" s="238"/>
      <c r="P1355" s="238"/>
      <c r="Q1355" s="238"/>
      <c r="R1355" s="238"/>
      <c r="S1355" s="132"/>
      <c r="T1355" s="134"/>
      <c r="U1355" s="132"/>
      <c r="V1355" s="132"/>
      <c r="W1355" s="135">
        <f>SUM(W1356:W1357)</f>
        <v>57853098500</v>
      </c>
      <c r="X1355" s="132" t="s">
        <v>918</v>
      </c>
      <c r="Y1355" s="132" t="s">
        <v>663</v>
      </c>
      <c r="Z1355" s="132" t="s">
        <v>664</v>
      </c>
      <c r="AA1355" s="611">
        <v>37761759990.706177</v>
      </c>
      <c r="AB1355" s="611">
        <v>37589633076.178871</v>
      </c>
      <c r="AC1355" s="599"/>
      <c r="AD1355" s="599"/>
      <c r="AE1355" s="599"/>
      <c r="AF1355" s="600">
        <f>AA1355/W1355</f>
        <v>0.65271802150244684</v>
      </c>
      <c r="AG1355" s="132" t="s">
        <v>1949</v>
      </c>
      <c r="AH1355" s="140">
        <v>131.27000000000001</v>
      </c>
      <c r="AI1355" s="132" t="s">
        <v>667</v>
      </c>
      <c r="AJ1355" s="132" t="s">
        <v>943</v>
      </c>
      <c r="AK1355" s="135" t="s">
        <v>943</v>
      </c>
      <c r="AL1355" s="132" t="s">
        <v>1950</v>
      </c>
      <c r="AM1355" s="135">
        <v>4065000000</v>
      </c>
      <c r="AN1355" s="132" t="s">
        <v>943</v>
      </c>
      <c r="AO1355" s="132" t="s">
        <v>943</v>
      </c>
      <c r="AP1355" s="132" t="s">
        <v>943</v>
      </c>
      <c r="AQ1355" s="229" t="s">
        <v>421</v>
      </c>
      <c r="AR1355" s="141">
        <v>41920</v>
      </c>
      <c r="AS1355" s="132" t="s">
        <v>1939</v>
      </c>
      <c r="AT1355" s="132" t="s">
        <v>1940</v>
      </c>
      <c r="AU1355" s="132" t="s">
        <v>1554</v>
      </c>
      <c r="AV1355" s="143" t="s">
        <v>1951</v>
      </c>
      <c r="AW1355" s="117">
        <f>VLOOKUP($D1355,'WB Data'!$C$3:$M$578,2,FALSE)</f>
        <v>112248324602.67712</v>
      </c>
      <c r="AX1355" s="117">
        <f>VLOOKUP($D1355,'WB Data'!$C$3:$M$578,3,FALSE)</f>
        <v>139585891</v>
      </c>
      <c r="AY1355" s="847">
        <f t="shared" si="237"/>
        <v>0.33641268254444451</v>
      </c>
      <c r="AZ1355" s="117">
        <f>VLOOKUP($D1355,'WB Data'!$C$3:$M$578,4,FALSE)/100</f>
        <v>0.11932550667949413</v>
      </c>
      <c r="BA1355" s="117">
        <f t="shared" si="238"/>
        <v>13394088207.138775</v>
      </c>
      <c r="BB1355" s="129">
        <f>IFERROR(VLOOKUP($D1355,'EITI Revenues'!$C$2:$G$224,5,FALSE),"..")</f>
        <v>37761759990.706177</v>
      </c>
      <c r="BC1355" s="846">
        <f t="shared" si="239"/>
        <v>2.8192855987449694</v>
      </c>
      <c r="BD1355" s="129" t="str">
        <f>VLOOKUP($D1355,'WB Data 2'!$C$2:$K$545,6,FALSE)</f>
        <v>..</v>
      </c>
      <c r="BE1355" s="129">
        <f>IFERROR(VLOOKUP($D1355,UNCTAD!$C$5:$V$529,4,FALSE),"..")</f>
        <v>56994190000</v>
      </c>
      <c r="BF1355" s="846" t="str">
        <f t="shared" si="240"/>
        <v>..</v>
      </c>
      <c r="BG1355" s="117">
        <f>VLOOKUP($D1355,'WB Data'!$C$3:$M$578,5,FALSE)</f>
        <v>6408810000</v>
      </c>
      <c r="BH1355" s="129">
        <f>IFERROR($BB1355/$BG1355,"..")</f>
        <v>5.8921640664501176</v>
      </c>
      <c r="BI1355" s="117" t="str">
        <f>IFERROR(VLOOKUP($D1355,'WB Data'!$C$3:$M$578,7,FALSE)/100,"..")</f>
        <v>..</v>
      </c>
      <c r="BJ1355" s="117" t="str">
        <f>IFERROR($BI1355*$AW1355,"..")</f>
        <v>..</v>
      </c>
      <c r="BK1355" s="846" t="str">
        <f>IFERROR($BB1355/$BJ1355,"..")</f>
        <v>..</v>
      </c>
      <c r="BL1355" s="117" t="str">
        <f>IFERROR(VLOOKUP($D1355,'WB Data'!$C$3:$M$578,7,FALSE)/100,"..")</f>
        <v>..</v>
      </c>
      <c r="BM1355" s="117" t="str">
        <f>IFERROR($AW1355*$BL1355,"..")</f>
        <v>..</v>
      </c>
      <c r="BN1355" s="846" t="str">
        <f>IFERROR($BB1355/$BM1355,"..")</f>
        <v>..</v>
      </c>
      <c r="BO1355" s="801">
        <f t="shared" si="236"/>
        <v>27</v>
      </c>
      <c r="BP1355" s="117" t="str">
        <f>VLOOKUP($D1355,'WB Data'!$C$3:$M$578,9,FALSE)</f>
        <v>..</v>
      </c>
      <c r="BQ1355" s="117">
        <f>VLOOKUP($D1355,'WB Data'!$C$3:$M$578,10,FALSE)</f>
        <v>48.664487804878057</v>
      </c>
      <c r="BR1355" s="117">
        <f>VLOOKUP($D1355,'WB Data'!$C$3:$M$578,11,FALSE)</f>
        <v>97.1</v>
      </c>
      <c r="BS1355" s="129">
        <f>IFERROR(VLOOKUP($D1355,'WB Data 2'!$C$2:$K$545,9,FALSE),"..")</f>
        <v>66.563599999999994</v>
      </c>
      <c r="BT1355" s="129">
        <f>_xlfn.IFNA(VLOOKUP($C1355,RGI!$A$2:$C$43,2,FALSE),"..")</f>
        <v>46.5</v>
      </c>
      <c r="BU1355" s="129">
        <f>_xlfn.IFNA(VLOOKUP($C1355,RGI!$A$2:$C$43,3,FALSE),"..")</f>
        <v>42.488706175328218</v>
      </c>
      <c r="BV1355" s="129">
        <f>VLOOKUP($D1355,WGI!$C$2:$O$478,7,FALSE)</f>
        <v>-0.84345818856703603</v>
      </c>
      <c r="BW1355" s="129">
        <f>VLOOKUP($D1355,WGI!$C$2:$O$478,4,FALSE)</f>
        <v>-1.6482880439652801</v>
      </c>
      <c r="BX1355" s="129">
        <f>VLOOKUP($D1355,WGI!$C$2:$O$478,3,FALSE)</f>
        <v>-0.88329232538505997</v>
      </c>
      <c r="BY1355" s="129">
        <f>VLOOKUP($D1355,WGI!$C$2:$O$478,5,FALSE)</f>
        <v>-0.76768867426750198</v>
      </c>
      <c r="BZ1355" s="129">
        <f>VLOOKUP($D1355,WGI!$C$2:$O$478,2,FALSE)</f>
        <v>-1.158790333554</v>
      </c>
      <c r="CB1355" s="129"/>
    </row>
    <row r="1356" spans="1:80" s="120" customFormat="1" ht="15" customHeight="1">
      <c r="A1356" s="280" t="s">
        <v>420</v>
      </c>
      <c r="B1356" s="117">
        <v>2005</v>
      </c>
      <c r="C1356" s="809" t="s">
        <v>413</v>
      </c>
      <c r="D1356" s="117" t="s">
        <v>3506</v>
      </c>
      <c r="E1356" s="117" t="s">
        <v>86</v>
      </c>
      <c r="F1356" s="117"/>
      <c r="G1356" s="117" t="s">
        <v>561</v>
      </c>
      <c r="H1356" s="117" t="str">
        <f t="shared" si="231"/>
        <v>no</v>
      </c>
      <c r="I1356" s="117" t="str">
        <f t="shared" si="233"/>
        <v>yes</v>
      </c>
      <c r="J1356" s="117" t="str">
        <f t="shared" si="234"/>
        <v>no</v>
      </c>
      <c r="K1356" s="117" t="s">
        <v>561</v>
      </c>
      <c r="L1356" s="117" t="str">
        <f t="shared" si="232"/>
        <v>detailed</v>
      </c>
      <c r="M1356" s="117" t="str">
        <f t="shared" si="235"/>
        <v>detailed Gas</v>
      </c>
      <c r="N1356" s="179">
        <v>25100000000</v>
      </c>
      <c r="O1356" s="118">
        <f>N1356*0.0066</f>
        <v>165660000</v>
      </c>
      <c r="P1356" s="179"/>
      <c r="Q1356" s="179"/>
      <c r="R1356" s="179"/>
      <c r="S1356" s="117" t="s">
        <v>642</v>
      </c>
      <c r="T1356" s="119">
        <v>0.27869799999999995</v>
      </c>
      <c r="U1356" s="117" t="s">
        <v>643</v>
      </c>
      <c r="V1356" s="117" t="s">
        <v>738</v>
      </c>
      <c r="W1356" s="89">
        <f>N1356*T1356</f>
        <v>6995319799.999999</v>
      </c>
      <c r="X1356" s="117"/>
      <c r="Y1356" s="117"/>
      <c r="Z1356" s="117"/>
      <c r="AA1356" s="117"/>
      <c r="AB1356" s="117"/>
      <c r="AC1356" s="240"/>
      <c r="AD1356" s="240"/>
      <c r="AE1356" s="240"/>
      <c r="AF1356" s="241"/>
      <c r="AG1356" s="117"/>
      <c r="AH1356" s="124"/>
      <c r="AI1356" s="117"/>
      <c r="AJ1356" s="117"/>
      <c r="AK1356" s="89"/>
      <c r="AL1356" s="117"/>
      <c r="AM1356" s="117"/>
      <c r="AN1356" s="117"/>
      <c r="AO1356" s="117"/>
      <c r="AP1356" s="117"/>
      <c r="AQ1356" s="117"/>
      <c r="AR1356" s="117"/>
      <c r="AS1356" s="117"/>
      <c r="AT1356" s="117"/>
      <c r="AU1356" s="117"/>
      <c r="AV1356" s="128"/>
      <c r="AW1356" s="117">
        <f>VLOOKUP($D1356,'WB Data'!$C$3:$M$578,2,FALSE)</f>
        <v>112248324602.67712</v>
      </c>
      <c r="AX1356" s="117">
        <f>VLOOKUP($D1356,'WB Data'!$C$3:$M$578,3,FALSE)</f>
        <v>139585891</v>
      </c>
      <c r="AY1356" s="847">
        <f t="shared" si="237"/>
        <v>0.33641268254444451</v>
      </c>
      <c r="AZ1356" s="117">
        <f>VLOOKUP($D1356,'WB Data'!$C$3:$M$578,4,FALSE)/100</f>
        <v>0.11932550667949413</v>
      </c>
      <c r="BA1356" s="117">
        <f t="shared" si="238"/>
        <v>13394088207.138775</v>
      </c>
      <c r="BB1356" s="129">
        <f>IFERROR(VLOOKUP($D1356,'EITI Revenues'!$C$2:$G$224,5,FALSE),"..")</f>
        <v>37761759990.706177</v>
      </c>
      <c r="BC1356" s="846">
        <f t="shared" si="239"/>
        <v>2.8192855987449694</v>
      </c>
      <c r="BD1356" s="129" t="str">
        <f>VLOOKUP($D1356,'WB Data 2'!$C$2:$K$545,6,FALSE)</f>
        <v>..</v>
      </c>
      <c r="BE1356" s="129">
        <f>IFERROR(VLOOKUP($D1356,UNCTAD!$C$5:$V$529,4,FALSE),"..")</f>
        <v>56994190000</v>
      </c>
      <c r="BF1356" s="846" t="str">
        <f t="shared" si="240"/>
        <v>..</v>
      </c>
      <c r="BG1356" s="117">
        <f>VLOOKUP($D1356,'WB Data'!$C$3:$M$578,5,FALSE)</f>
        <v>6408810000</v>
      </c>
      <c r="BH1356" s="129">
        <f>IFERROR($BB1356/$BG1356,"..")</f>
        <v>5.8921640664501176</v>
      </c>
      <c r="BI1356" s="117" t="str">
        <f>IFERROR(VLOOKUP($D1356,'WB Data'!$C$3:$M$578,7,FALSE)/100,"..")</f>
        <v>..</v>
      </c>
      <c r="BJ1356" s="117" t="str">
        <f>IFERROR($BI1356*$AW1356,"..")</f>
        <v>..</v>
      </c>
      <c r="BK1356" s="846" t="str">
        <f>IFERROR($BB1356/$BJ1356,"..")</f>
        <v>..</v>
      </c>
      <c r="BL1356" s="117" t="str">
        <f>IFERROR(VLOOKUP($D1356,'WB Data'!$C$3:$M$578,7,FALSE)/100,"..")</f>
        <v>..</v>
      </c>
      <c r="BM1356" s="117" t="str">
        <f>IFERROR($AW1356*$BL1356,"..")</f>
        <v>..</v>
      </c>
      <c r="BN1356" s="846" t="str">
        <f>IFERROR($BB1356/$BM1356,"..")</f>
        <v>..</v>
      </c>
      <c r="BO1356" s="801">
        <f t="shared" si="236"/>
        <v>27</v>
      </c>
      <c r="BP1356" s="117" t="str">
        <f>VLOOKUP($D1356,'WB Data'!$C$3:$M$578,9,FALSE)</f>
        <v>..</v>
      </c>
      <c r="BQ1356" s="117">
        <f>VLOOKUP($D1356,'WB Data'!$C$3:$M$578,10,FALSE)</f>
        <v>48.664487804878057</v>
      </c>
      <c r="BR1356" s="117">
        <f>VLOOKUP($D1356,'WB Data'!$C$3:$M$578,11,FALSE)</f>
        <v>97.1</v>
      </c>
      <c r="BS1356" s="129">
        <f>IFERROR(VLOOKUP($D1356,'WB Data 2'!$C$2:$K$545,9,FALSE),"..")</f>
        <v>66.563599999999994</v>
      </c>
      <c r="BT1356" s="129">
        <f>_xlfn.IFNA(VLOOKUP($C1356,RGI!$A$2:$C$43,2,FALSE),"..")</f>
        <v>46.5</v>
      </c>
      <c r="BU1356" s="129">
        <f>_xlfn.IFNA(VLOOKUP($C1356,RGI!$A$2:$C$43,3,FALSE),"..")</f>
        <v>42.488706175328218</v>
      </c>
      <c r="BV1356" s="129">
        <f>VLOOKUP($D1356,WGI!$C$2:$O$478,7,FALSE)</f>
        <v>-0.84345818856703603</v>
      </c>
      <c r="BW1356" s="129">
        <f>VLOOKUP($D1356,WGI!$C$2:$O$478,4,FALSE)</f>
        <v>-1.6482880439652801</v>
      </c>
      <c r="BX1356" s="129">
        <f>VLOOKUP($D1356,WGI!$C$2:$O$478,3,FALSE)</f>
        <v>-0.88329232538505997</v>
      </c>
      <c r="BY1356" s="129">
        <f>VLOOKUP($D1356,WGI!$C$2:$O$478,5,FALSE)</f>
        <v>-0.76768867426750198</v>
      </c>
      <c r="BZ1356" s="129">
        <f>VLOOKUP($D1356,WGI!$C$2:$O$478,2,FALSE)</f>
        <v>-1.158790333554</v>
      </c>
      <c r="CB1356" s="129"/>
    </row>
    <row r="1357" spans="1:80" s="158" customFormat="1" ht="15" customHeight="1">
      <c r="A1357" s="282" t="s">
        <v>420</v>
      </c>
      <c r="B1357" s="149">
        <v>2005</v>
      </c>
      <c r="C1357" s="809" t="s">
        <v>413</v>
      </c>
      <c r="D1357" s="117" t="s">
        <v>3506</v>
      </c>
      <c r="E1357" s="149" t="s">
        <v>86</v>
      </c>
      <c r="F1357" s="149"/>
      <c r="G1357" s="117" t="s">
        <v>103</v>
      </c>
      <c r="H1357" s="117" t="str">
        <f t="shared" si="231"/>
        <v>no</v>
      </c>
      <c r="I1357" s="117" t="str">
        <f t="shared" si="233"/>
        <v>no</v>
      </c>
      <c r="J1357" s="117" t="str">
        <f t="shared" si="234"/>
        <v>yes</v>
      </c>
      <c r="K1357" s="149" t="s">
        <v>103</v>
      </c>
      <c r="L1357" s="117" t="str">
        <f t="shared" si="232"/>
        <v>detailed</v>
      </c>
      <c r="M1357" s="117" t="str">
        <f t="shared" si="235"/>
        <v>detailed Oil</v>
      </c>
      <c r="N1357" s="216">
        <v>913230000</v>
      </c>
      <c r="O1357" s="211">
        <f>O1356/N1357</f>
        <v>0.18140008541112315</v>
      </c>
      <c r="P1357" s="216"/>
      <c r="Q1357" s="216"/>
      <c r="R1357" s="216"/>
      <c r="S1357" s="149" t="s">
        <v>646</v>
      </c>
      <c r="T1357" s="151">
        <v>55.69</v>
      </c>
      <c r="U1357" s="149" t="s">
        <v>673</v>
      </c>
      <c r="V1357" s="149" t="s">
        <v>1952</v>
      </c>
      <c r="W1357" s="152">
        <f>N1357*T1357</f>
        <v>50857778700</v>
      </c>
      <c r="X1357" s="149"/>
      <c r="Y1357" s="149"/>
      <c r="Z1357" s="149"/>
      <c r="AA1357" s="149"/>
      <c r="AB1357" s="149"/>
      <c r="AC1357" s="288"/>
      <c r="AD1357" s="288"/>
      <c r="AE1357" s="288"/>
      <c r="AF1357" s="285"/>
      <c r="AG1357" s="149"/>
      <c r="AH1357" s="156"/>
      <c r="AI1357" s="149"/>
      <c r="AJ1357" s="149"/>
      <c r="AK1357" s="152"/>
      <c r="AL1357" s="149"/>
      <c r="AM1357" s="149"/>
      <c r="AN1357" s="149"/>
      <c r="AO1357" s="149"/>
      <c r="AP1357" s="149"/>
      <c r="AQ1357" s="149"/>
      <c r="AR1357" s="149"/>
      <c r="AS1357" s="149"/>
      <c r="AT1357" s="149"/>
      <c r="AU1357" s="149"/>
      <c r="AV1357" s="157"/>
      <c r="AW1357" s="117">
        <f>VLOOKUP($D1357,'WB Data'!$C$3:$M$578,2,FALSE)</f>
        <v>112248324602.67712</v>
      </c>
      <c r="AX1357" s="117">
        <f>VLOOKUP($D1357,'WB Data'!$C$3:$M$578,3,FALSE)</f>
        <v>139585891</v>
      </c>
      <c r="AY1357" s="847">
        <f t="shared" si="237"/>
        <v>0.33641268254444451</v>
      </c>
      <c r="AZ1357" s="117">
        <f>VLOOKUP($D1357,'WB Data'!$C$3:$M$578,4,FALSE)/100</f>
        <v>0.11932550667949413</v>
      </c>
      <c r="BA1357" s="117">
        <f t="shared" si="238"/>
        <v>13394088207.138775</v>
      </c>
      <c r="BB1357" s="129">
        <f>IFERROR(VLOOKUP($D1357,'EITI Revenues'!$C$2:$G$224,5,FALSE),"..")</f>
        <v>37761759990.706177</v>
      </c>
      <c r="BC1357" s="846">
        <f t="shared" si="239"/>
        <v>2.8192855987449694</v>
      </c>
      <c r="BD1357" s="129" t="str">
        <f>VLOOKUP($D1357,'WB Data 2'!$C$2:$K$545,6,FALSE)</f>
        <v>..</v>
      </c>
      <c r="BE1357" s="129">
        <f>IFERROR(VLOOKUP($D1357,UNCTAD!$C$5:$V$529,4,FALSE),"..")</f>
        <v>56994190000</v>
      </c>
      <c r="BF1357" s="846" t="str">
        <f t="shared" si="240"/>
        <v>..</v>
      </c>
      <c r="BG1357" s="117">
        <f>VLOOKUP($D1357,'WB Data'!$C$3:$M$578,5,FALSE)</f>
        <v>6408810000</v>
      </c>
      <c r="BH1357" s="129">
        <f>IFERROR($BB1357/$BG1357,"..")</f>
        <v>5.8921640664501176</v>
      </c>
      <c r="BI1357" s="117" t="str">
        <f>IFERROR(VLOOKUP($D1357,'WB Data'!$C$3:$M$578,7,FALSE)/100,"..")</f>
        <v>..</v>
      </c>
      <c r="BJ1357" s="117" t="str">
        <f>IFERROR($BI1357*$AW1357,"..")</f>
        <v>..</v>
      </c>
      <c r="BK1357" s="846" t="str">
        <f>IFERROR($BB1357/$BJ1357,"..")</f>
        <v>..</v>
      </c>
      <c r="BL1357" s="117" t="str">
        <f>IFERROR(VLOOKUP($D1357,'WB Data'!$C$3:$M$578,7,FALSE)/100,"..")</f>
        <v>..</v>
      </c>
      <c r="BM1357" s="117" t="str">
        <f>IFERROR($AW1357*$BL1357,"..")</f>
        <v>..</v>
      </c>
      <c r="BN1357" s="846" t="str">
        <f>IFERROR($BB1357/$BM1357,"..")</f>
        <v>..</v>
      </c>
      <c r="BO1357" s="801">
        <f t="shared" si="236"/>
        <v>27</v>
      </c>
      <c r="BP1357" s="117" t="str">
        <f>VLOOKUP($D1357,'WB Data'!$C$3:$M$578,9,FALSE)</f>
        <v>..</v>
      </c>
      <c r="BQ1357" s="117">
        <f>VLOOKUP($D1357,'WB Data'!$C$3:$M$578,10,FALSE)</f>
        <v>48.664487804878057</v>
      </c>
      <c r="BR1357" s="117">
        <f>VLOOKUP($D1357,'WB Data'!$C$3:$M$578,11,FALSE)</f>
        <v>97.1</v>
      </c>
      <c r="BS1357" s="129">
        <f>IFERROR(VLOOKUP($D1357,'WB Data 2'!$C$2:$K$545,9,FALSE),"..")</f>
        <v>66.563599999999994</v>
      </c>
      <c r="BT1357" s="129">
        <f>_xlfn.IFNA(VLOOKUP($C1357,RGI!$A$2:$C$43,2,FALSE),"..")</f>
        <v>46.5</v>
      </c>
      <c r="BU1357" s="129">
        <f>_xlfn.IFNA(VLOOKUP($C1357,RGI!$A$2:$C$43,3,FALSE),"..")</f>
        <v>42.488706175328218</v>
      </c>
      <c r="BV1357" s="129">
        <f>VLOOKUP($D1357,WGI!$C$2:$O$478,7,FALSE)</f>
        <v>-0.84345818856703603</v>
      </c>
      <c r="BW1357" s="129">
        <f>VLOOKUP($D1357,WGI!$C$2:$O$478,4,FALSE)</f>
        <v>-1.6482880439652801</v>
      </c>
      <c r="BX1357" s="129">
        <f>VLOOKUP($D1357,WGI!$C$2:$O$478,3,FALSE)</f>
        <v>-0.88329232538505997</v>
      </c>
      <c r="BY1357" s="129">
        <f>VLOOKUP($D1357,WGI!$C$2:$O$478,5,FALSE)</f>
        <v>-0.76768867426750198</v>
      </c>
      <c r="BZ1357" s="129">
        <f>VLOOKUP($D1357,WGI!$C$2:$O$478,2,FALSE)</f>
        <v>-1.158790333554</v>
      </c>
      <c r="CB1357" s="129"/>
    </row>
    <row r="1358" spans="1:80" ht="15" customHeight="1">
      <c r="A1358" s="280" t="s">
        <v>423</v>
      </c>
      <c r="B1358" s="117">
        <v>2006</v>
      </c>
      <c r="C1358" s="809" t="s">
        <v>413</v>
      </c>
      <c r="D1358" s="117" t="s">
        <v>3540</v>
      </c>
      <c r="E1358" s="117" t="s">
        <v>86</v>
      </c>
      <c r="F1358" s="117" t="s">
        <v>1936</v>
      </c>
      <c r="G1358" s="132" t="s">
        <v>55</v>
      </c>
      <c r="H1358" s="117" t="str">
        <f t="shared" si="231"/>
        <v>no</v>
      </c>
      <c r="I1358" s="117" t="str">
        <f t="shared" si="233"/>
        <v>yes</v>
      </c>
      <c r="J1358" s="117" t="str">
        <f t="shared" si="234"/>
        <v>yes</v>
      </c>
      <c r="K1358" s="117" t="s">
        <v>709</v>
      </c>
      <c r="L1358" s="117" t="str">
        <f t="shared" si="232"/>
        <v>Total</v>
      </c>
      <c r="M1358" s="117" t="str">
        <f t="shared" si="235"/>
        <v>Total Oil, Gas</v>
      </c>
      <c r="N1358" s="179"/>
      <c r="O1358" s="179"/>
      <c r="P1358" s="179"/>
      <c r="Q1358" s="179"/>
      <c r="R1358" s="179"/>
      <c r="S1358" s="117"/>
      <c r="T1358" s="119"/>
      <c r="U1358" s="117"/>
      <c r="V1358" s="117"/>
      <c r="W1358" s="89">
        <f>SUM(W1359:W1360)</f>
        <v>65760452137.571999</v>
      </c>
      <c r="X1358" s="117" t="s">
        <v>918</v>
      </c>
      <c r="Y1358" s="117" t="s">
        <v>663</v>
      </c>
      <c r="Z1358" s="117" t="s">
        <v>664</v>
      </c>
      <c r="AA1358" s="597">
        <v>45464400000</v>
      </c>
      <c r="AB1358" s="597">
        <v>44748184080</v>
      </c>
      <c r="AC1358" s="240"/>
      <c r="AD1358" s="240"/>
      <c r="AE1358" s="240"/>
      <c r="AF1358" s="241">
        <f>AA1358/W1358</f>
        <v>0.69136385961714031</v>
      </c>
      <c r="AG1358" s="117" t="s">
        <v>1949</v>
      </c>
      <c r="AH1358" s="124">
        <v>132.44</v>
      </c>
      <c r="AI1358" s="117" t="s">
        <v>667</v>
      </c>
      <c r="AJ1358" s="117" t="s">
        <v>943</v>
      </c>
      <c r="AK1358" s="89" t="s">
        <v>943</v>
      </c>
      <c r="AL1358" s="117"/>
      <c r="AM1358" s="89"/>
      <c r="AN1358" s="117" t="s">
        <v>943</v>
      </c>
      <c r="AO1358" s="117" t="s">
        <v>943</v>
      </c>
      <c r="AP1358" s="117" t="s">
        <v>943</v>
      </c>
      <c r="AQ1358" s="215" t="s">
        <v>309</v>
      </c>
      <c r="AR1358" s="126">
        <v>41920</v>
      </c>
      <c r="AS1358" s="117" t="s">
        <v>1939</v>
      </c>
      <c r="AT1358" s="127" t="s">
        <v>1953</v>
      </c>
      <c r="AU1358" s="117" t="s">
        <v>1954</v>
      </c>
      <c r="AV1358" s="128" t="s">
        <v>1955</v>
      </c>
      <c r="AW1358" s="117">
        <f>VLOOKUP($D1358,'WB Data'!$C$3:$M$578,2,FALSE)</f>
        <v>145429802541.7467</v>
      </c>
      <c r="AX1358" s="117">
        <f>VLOOKUP($D1358,'WB Data'!$C$3:$M$578,3,FALSE)</f>
        <v>143314909</v>
      </c>
      <c r="AY1358" s="847">
        <f t="shared" si="237"/>
        <v>0.31262092917267836</v>
      </c>
      <c r="AZ1358" s="117">
        <f>VLOOKUP($D1358,'WB Data'!$C$3:$M$578,4,FALSE)/100</f>
        <v>0.10353405166171624</v>
      </c>
      <c r="BA1358" s="117">
        <f t="shared" si="238"/>
        <v>15056936689.510395</v>
      </c>
      <c r="BB1358" s="129">
        <f>IFERROR(VLOOKUP($D1358,'EITI Revenues'!$C$2:$G$224,5,FALSE),"..")</f>
        <v>45464400000</v>
      </c>
      <c r="BC1358" s="846">
        <f t="shared" si="239"/>
        <v>3.0194986495276526</v>
      </c>
      <c r="BD1358" s="129">
        <f>VLOOKUP($D1358,'WB Data 2'!$C$2:$K$545,6,FALSE)</f>
        <v>57695125267.684753</v>
      </c>
      <c r="BE1358" s="129">
        <f>IFERROR(VLOOKUP($D1358,UNCTAD!$C$5:$V$529,4,FALSE),"..")</f>
        <v>59233560000</v>
      </c>
      <c r="BF1358" s="846">
        <f t="shared" si="240"/>
        <v>0.97402765033343852</v>
      </c>
      <c r="BG1358" s="117">
        <f>VLOOKUP($D1358,'WB Data'!$C$3:$M$578,5,FALSE)</f>
        <v>11428020000</v>
      </c>
      <c r="BH1358" s="129">
        <f>IFERROR($BB1358/$BG1358,"..")</f>
        <v>3.9783269542755439</v>
      </c>
      <c r="BI1358" s="117" t="str">
        <f>IFERROR(VLOOKUP($D1358,'WB Data'!$C$3:$M$578,7,FALSE)/100,"..")</f>
        <v>..</v>
      </c>
      <c r="BJ1358" s="117" t="str">
        <f>IFERROR($BI1358*$AW1358,"..")</f>
        <v>..</v>
      </c>
      <c r="BK1358" s="846" t="str">
        <f>IFERROR($BB1358/$BJ1358,"..")</f>
        <v>..</v>
      </c>
      <c r="BL1358" s="117" t="str">
        <f>IFERROR(VLOOKUP($D1358,'WB Data'!$C$3:$M$578,7,FALSE)/100,"..")</f>
        <v>..</v>
      </c>
      <c r="BM1358" s="117" t="str">
        <f>IFERROR($AW1358*$BL1358,"..")</f>
        <v>..</v>
      </c>
      <c r="BN1358" s="846" t="str">
        <f>IFERROR($BB1358/$BM1358,"..")</f>
        <v>..</v>
      </c>
      <c r="BO1358" s="801">
        <f t="shared" si="236"/>
        <v>27</v>
      </c>
      <c r="BP1358" s="117" t="str">
        <f>VLOOKUP($D1358,'WB Data'!$C$3:$M$578,9,FALSE)</f>
        <v>..</v>
      </c>
      <c r="BQ1358" s="117">
        <f>VLOOKUP($D1358,'WB Data'!$C$3:$M$578,10,FALSE)</f>
        <v>49.22863414634147</v>
      </c>
      <c r="BR1358" s="117">
        <f>VLOOKUP($D1358,'WB Data'!$C$3:$M$578,11,FALSE)</f>
        <v>93.9</v>
      </c>
      <c r="BS1358" s="129">
        <f>IFERROR(VLOOKUP($D1358,'WB Data 2'!$C$2:$K$545,9,FALSE),"..")</f>
        <v>67.052459999999996</v>
      </c>
      <c r="BT1358" s="129">
        <f>_xlfn.IFNA(VLOOKUP($C1358,RGI!$A$2:$C$43,2,FALSE),"..")</f>
        <v>46.5</v>
      </c>
      <c r="BU1358" s="129">
        <f>_xlfn.IFNA(VLOOKUP($C1358,RGI!$A$2:$C$43,3,FALSE),"..")</f>
        <v>42.488706175328218</v>
      </c>
      <c r="BV1358" s="129">
        <f>VLOOKUP($D1358,WGI!$C$2:$O$478,7,FALSE)</f>
        <v>-0.64450769293384702</v>
      </c>
      <c r="BW1358" s="129">
        <f>VLOOKUP($D1358,WGI!$C$2:$O$478,4,FALSE)</f>
        <v>-2.0363159686374699</v>
      </c>
      <c r="BX1358" s="129">
        <f>VLOOKUP($D1358,WGI!$C$2:$O$478,3,FALSE)</f>
        <v>-0.96124421348657696</v>
      </c>
      <c r="BY1358" s="129">
        <f>VLOOKUP($D1358,WGI!$C$2:$O$478,5,FALSE)</f>
        <v>-0.88703213347618304</v>
      </c>
      <c r="BZ1358" s="129">
        <f>VLOOKUP($D1358,WGI!$C$2:$O$478,2,FALSE)</f>
        <v>-1.0740831068663601</v>
      </c>
    </row>
    <row r="1359" spans="1:80" ht="15" customHeight="1">
      <c r="A1359" s="280" t="s">
        <v>423</v>
      </c>
      <c r="B1359" s="117">
        <v>2006</v>
      </c>
      <c r="C1359" s="809" t="s">
        <v>413</v>
      </c>
      <c r="D1359" s="117" t="s">
        <v>3540</v>
      </c>
      <c r="E1359" s="117" t="s">
        <v>86</v>
      </c>
      <c r="F1359" s="117"/>
      <c r="G1359" s="117" t="s">
        <v>561</v>
      </c>
      <c r="H1359" s="117" t="str">
        <f t="shared" si="231"/>
        <v>no</v>
      </c>
      <c r="I1359" s="117" t="str">
        <f t="shared" si="233"/>
        <v>yes</v>
      </c>
      <c r="J1359" s="117" t="str">
        <f t="shared" si="234"/>
        <v>no</v>
      </c>
      <c r="K1359" s="117" t="s">
        <v>561</v>
      </c>
      <c r="L1359" s="117" t="str">
        <f t="shared" si="232"/>
        <v>detailed</v>
      </c>
      <c r="M1359" s="117" t="str">
        <f t="shared" si="235"/>
        <v>detailed Gas</v>
      </c>
      <c r="N1359" s="179">
        <v>29600000000</v>
      </c>
      <c r="O1359" s="118">
        <f>N1359*0.0066</f>
        <v>195360000</v>
      </c>
      <c r="P1359" s="179"/>
      <c r="Q1359" s="179"/>
      <c r="R1359" s="179"/>
      <c r="S1359" s="117" t="s">
        <v>642</v>
      </c>
      <c r="T1359" s="119">
        <v>0.243474</v>
      </c>
      <c r="U1359" s="117" t="s">
        <v>643</v>
      </c>
      <c r="V1359" s="117" t="s">
        <v>738</v>
      </c>
      <c r="W1359" s="89">
        <f>N1359*T1359</f>
        <v>7206830400</v>
      </c>
      <c r="X1359" s="117"/>
      <c r="Y1359" s="117"/>
      <c r="Z1359" s="117"/>
      <c r="AA1359" s="117"/>
      <c r="AB1359" s="117"/>
      <c r="AC1359" s="240"/>
      <c r="AD1359" s="240"/>
      <c r="AE1359" s="240"/>
      <c r="AF1359" s="241"/>
      <c r="AG1359" s="117"/>
      <c r="AH1359" s="124"/>
      <c r="AI1359" s="117"/>
      <c r="AJ1359" s="117"/>
      <c r="AK1359" s="89"/>
      <c r="AL1359" s="117"/>
      <c r="AM1359" s="117"/>
      <c r="AN1359" s="117"/>
      <c r="AO1359" s="117"/>
      <c r="AP1359" s="117"/>
      <c r="AQ1359" s="117"/>
      <c r="AR1359" s="117"/>
      <c r="AS1359" s="117"/>
      <c r="AT1359" s="117"/>
      <c r="AU1359" s="117"/>
      <c r="AV1359" s="128"/>
      <c r="AW1359" s="117">
        <f>VLOOKUP($D1359,'WB Data'!$C$3:$M$578,2,FALSE)</f>
        <v>145429802541.7467</v>
      </c>
      <c r="AX1359" s="117">
        <f>VLOOKUP($D1359,'WB Data'!$C$3:$M$578,3,FALSE)</f>
        <v>143314909</v>
      </c>
      <c r="AY1359" s="847">
        <f t="shared" si="237"/>
        <v>0.31262092917267836</v>
      </c>
      <c r="AZ1359" s="117">
        <f>VLOOKUP($D1359,'WB Data'!$C$3:$M$578,4,FALSE)/100</f>
        <v>0.10353405166171624</v>
      </c>
      <c r="BA1359" s="117">
        <f t="shared" si="238"/>
        <v>15056936689.510395</v>
      </c>
      <c r="BB1359" s="129">
        <f>IFERROR(VLOOKUP($D1359,'EITI Revenues'!$C$2:$G$224,5,FALSE),"..")</f>
        <v>45464400000</v>
      </c>
      <c r="BC1359" s="846">
        <f t="shared" si="239"/>
        <v>3.0194986495276526</v>
      </c>
      <c r="BD1359" s="129">
        <f>VLOOKUP($D1359,'WB Data 2'!$C$2:$K$545,6,FALSE)</f>
        <v>57695125267.684753</v>
      </c>
      <c r="BE1359" s="129">
        <f>IFERROR(VLOOKUP($D1359,UNCTAD!$C$5:$V$529,4,FALSE),"..")</f>
        <v>59233560000</v>
      </c>
      <c r="BF1359" s="846">
        <f t="shared" si="240"/>
        <v>0.97402765033343852</v>
      </c>
      <c r="BG1359" s="117">
        <f>VLOOKUP($D1359,'WB Data'!$C$3:$M$578,5,FALSE)</f>
        <v>11428020000</v>
      </c>
      <c r="BH1359" s="129">
        <f>IFERROR($BB1359/$BG1359,"..")</f>
        <v>3.9783269542755439</v>
      </c>
      <c r="BI1359" s="117" t="str">
        <f>IFERROR(VLOOKUP($D1359,'WB Data'!$C$3:$M$578,7,FALSE)/100,"..")</f>
        <v>..</v>
      </c>
      <c r="BJ1359" s="117" t="str">
        <f>IFERROR($BI1359*$AW1359,"..")</f>
        <v>..</v>
      </c>
      <c r="BK1359" s="846" t="str">
        <f>IFERROR($BB1359/$BJ1359,"..")</f>
        <v>..</v>
      </c>
      <c r="BL1359" s="117" t="str">
        <f>IFERROR(VLOOKUP($D1359,'WB Data'!$C$3:$M$578,7,FALSE)/100,"..")</f>
        <v>..</v>
      </c>
      <c r="BM1359" s="117" t="str">
        <f>IFERROR($AW1359*$BL1359,"..")</f>
        <v>..</v>
      </c>
      <c r="BN1359" s="846" t="str">
        <f>IFERROR($BB1359/$BM1359,"..")</f>
        <v>..</v>
      </c>
      <c r="BO1359" s="801">
        <f t="shared" si="236"/>
        <v>27</v>
      </c>
      <c r="BP1359" s="117" t="str">
        <f>VLOOKUP($D1359,'WB Data'!$C$3:$M$578,9,FALSE)</f>
        <v>..</v>
      </c>
      <c r="BQ1359" s="117">
        <f>VLOOKUP($D1359,'WB Data'!$C$3:$M$578,10,FALSE)</f>
        <v>49.22863414634147</v>
      </c>
      <c r="BR1359" s="117">
        <f>VLOOKUP($D1359,'WB Data'!$C$3:$M$578,11,FALSE)</f>
        <v>93.9</v>
      </c>
      <c r="BS1359" s="129">
        <f>IFERROR(VLOOKUP($D1359,'WB Data 2'!$C$2:$K$545,9,FALSE),"..")</f>
        <v>67.052459999999996</v>
      </c>
      <c r="BT1359" s="129">
        <f>_xlfn.IFNA(VLOOKUP($C1359,RGI!$A$2:$C$43,2,FALSE),"..")</f>
        <v>46.5</v>
      </c>
      <c r="BU1359" s="129">
        <f>_xlfn.IFNA(VLOOKUP($C1359,RGI!$A$2:$C$43,3,FALSE),"..")</f>
        <v>42.488706175328218</v>
      </c>
      <c r="BV1359" s="129">
        <f>VLOOKUP($D1359,WGI!$C$2:$O$478,7,FALSE)</f>
        <v>-0.64450769293384702</v>
      </c>
      <c r="BW1359" s="129">
        <f>VLOOKUP($D1359,WGI!$C$2:$O$478,4,FALSE)</f>
        <v>-2.0363159686374699</v>
      </c>
      <c r="BX1359" s="129">
        <f>VLOOKUP($D1359,WGI!$C$2:$O$478,3,FALSE)</f>
        <v>-0.96124421348657696</v>
      </c>
      <c r="BY1359" s="129">
        <f>VLOOKUP($D1359,WGI!$C$2:$O$478,5,FALSE)</f>
        <v>-0.88703213347618304</v>
      </c>
      <c r="BZ1359" s="129">
        <f>VLOOKUP($D1359,WGI!$C$2:$O$478,2,FALSE)</f>
        <v>-1.0740831068663601</v>
      </c>
    </row>
    <row r="1360" spans="1:80" ht="15" customHeight="1">
      <c r="A1360" s="280" t="s">
        <v>423</v>
      </c>
      <c r="B1360" s="117">
        <v>2006</v>
      </c>
      <c r="C1360" s="809" t="s">
        <v>413</v>
      </c>
      <c r="D1360" s="117" t="s">
        <v>3540</v>
      </c>
      <c r="E1360" s="117" t="s">
        <v>86</v>
      </c>
      <c r="F1360" s="117"/>
      <c r="G1360" s="117" t="s">
        <v>103</v>
      </c>
      <c r="H1360" s="117" t="str">
        <f t="shared" si="231"/>
        <v>no</v>
      </c>
      <c r="I1360" s="117" t="str">
        <f t="shared" si="233"/>
        <v>no</v>
      </c>
      <c r="J1360" s="117" t="str">
        <f t="shared" si="234"/>
        <v>yes</v>
      </c>
      <c r="K1360" s="117" t="s">
        <v>103</v>
      </c>
      <c r="L1360" s="117" t="str">
        <f t="shared" si="232"/>
        <v>detailed</v>
      </c>
      <c r="M1360" s="117" t="str">
        <f t="shared" si="235"/>
        <v>detailed Oil</v>
      </c>
      <c r="N1360" s="179">
        <v>873080000</v>
      </c>
      <c r="O1360" s="211">
        <f>O1359/N1360</f>
        <v>0.22375956384294682</v>
      </c>
      <c r="P1360" s="179"/>
      <c r="Q1360" s="179"/>
      <c r="R1360" s="179"/>
      <c r="S1360" s="117" t="s">
        <v>646</v>
      </c>
      <c r="T1360" s="119">
        <v>67.065585900000002</v>
      </c>
      <c r="U1360" s="117" t="s">
        <v>673</v>
      </c>
      <c r="V1360" s="117" t="s">
        <v>1952</v>
      </c>
      <c r="W1360" s="89">
        <f>N1360*T1360</f>
        <v>58553621737.571999</v>
      </c>
      <c r="X1360" s="117"/>
      <c r="Y1360" s="117"/>
      <c r="Z1360" s="117"/>
      <c r="AA1360" s="117"/>
      <c r="AB1360" s="117"/>
      <c r="AC1360" s="240"/>
      <c r="AD1360" s="240"/>
      <c r="AE1360" s="240"/>
      <c r="AF1360" s="241"/>
      <c r="AG1360" s="117"/>
      <c r="AH1360" s="124"/>
      <c r="AI1360" s="117"/>
      <c r="AJ1360" s="117"/>
      <c r="AK1360" s="89"/>
      <c r="AL1360" s="117"/>
      <c r="AM1360" s="117"/>
      <c r="AN1360" s="117"/>
      <c r="AO1360" s="117"/>
      <c r="AP1360" s="117"/>
      <c r="AQ1360" s="117"/>
      <c r="AR1360" s="117"/>
      <c r="AS1360" s="117"/>
      <c r="AT1360" s="117"/>
      <c r="AU1360" s="117"/>
      <c r="AV1360" s="128"/>
      <c r="AW1360" s="117">
        <f>VLOOKUP($D1360,'WB Data'!$C$3:$M$578,2,FALSE)</f>
        <v>145429802541.7467</v>
      </c>
      <c r="AX1360" s="117">
        <f>VLOOKUP($D1360,'WB Data'!$C$3:$M$578,3,FALSE)</f>
        <v>143314909</v>
      </c>
      <c r="AY1360" s="847">
        <f t="shared" si="237"/>
        <v>0.31262092917267836</v>
      </c>
      <c r="AZ1360" s="117">
        <f>VLOOKUP($D1360,'WB Data'!$C$3:$M$578,4,FALSE)/100</f>
        <v>0.10353405166171624</v>
      </c>
      <c r="BA1360" s="117">
        <f t="shared" si="238"/>
        <v>15056936689.510395</v>
      </c>
      <c r="BB1360" s="129">
        <f>IFERROR(VLOOKUP($D1360,'EITI Revenues'!$C$2:$G$224,5,FALSE),"..")</f>
        <v>45464400000</v>
      </c>
      <c r="BC1360" s="846">
        <f t="shared" si="239"/>
        <v>3.0194986495276526</v>
      </c>
      <c r="BD1360" s="129">
        <f>VLOOKUP($D1360,'WB Data 2'!$C$2:$K$545,6,FALSE)</f>
        <v>57695125267.684753</v>
      </c>
      <c r="BE1360" s="129">
        <f>IFERROR(VLOOKUP($D1360,UNCTAD!$C$5:$V$529,4,FALSE),"..")</f>
        <v>59233560000</v>
      </c>
      <c r="BF1360" s="846">
        <f t="shared" si="240"/>
        <v>0.97402765033343852</v>
      </c>
      <c r="BG1360" s="117">
        <f>VLOOKUP($D1360,'WB Data'!$C$3:$M$578,5,FALSE)</f>
        <v>11428020000</v>
      </c>
      <c r="BH1360" s="129">
        <f>IFERROR($BB1360/$BG1360,"..")</f>
        <v>3.9783269542755439</v>
      </c>
      <c r="BI1360" s="117" t="str">
        <f>IFERROR(VLOOKUP($D1360,'WB Data'!$C$3:$M$578,7,FALSE)/100,"..")</f>
        <v>..</v>
      </c>
      <c r="BJ1360" s="117" t="str">
        <f>IFERROR($BI1360*$AW1360,"..")</f>
        <v>..</v>
      </c>
      <c r="BK1360" s="846" t="str">
        <f>IFERROR($BB1360/$BJ1360,"..")</f>
        <v>..</v>
      </c>
      <c r="BL1360" s="117" t="str">
        <f>IFERROR(VLOOKUP($D1360,'WB Data'!$C$3:$M$578,7,FALSE)/100,"..")</f>
        <v>..</v>
      </c>
      <c r="BM1360" s="117" t="str">
        <f>IFERROR($AW1360*$BL1360,"..")</f>
        <v>..</v>
      </c>
      <c r="BN1360" s="846" t="str">
        <f>IFERROR($BB1360/$BM1360,"..")</f>
        <v>..</v>
      </c>
      <c r="BO1360" s="801">
        <f t="shared" si="236"/>
        <v>27</v>
      </c>
      <c r="BP1360" s="117" t="str">
        <f>VLOOKUP($D1360,'WB Data'!$C$3:$M$578,9,FALSE)</f>
        <v>..</v>
      </c>
      <c r="BQ1360" s="117">
        <f>VLOOKUP($D1360,'WB Data'!$C$3:$M$578,10,FALSE)</f>
        <v>49.22863414634147</v>
      </c>
      <c r="BR1360" s="117">
        <f>VLOOKUP($D1360,'WB Data'!$C$3:$M$578,11,FALSE)</f>
        <v>93.9</v>
      </c>
      <c r="BS1360" s="129">
        <f>IFERROR(VLOOKUP($D1360,'WB Data 2'!$C$2:$K$545,9,FALSE),"..")</f>
        <v>67.052459999999996</v>
      </c>
      <c r="BT1360" s="129">
        <f>_xlfn.IFNA(VLOOKUP($C1360,RGI!$A$2:$C$43,2,FALSE),"..")</f>
        <v>46.5</v>
      </c>
      <c r="BU1360" s="129">
        <f>_xlfn.IFNA(VLOOKUP($C1360,RGI!$A$2:$C$43,3,FALSE),"..")</f>
        <v>42.488706175328218</v>
      </c>
      <c r="BV1360" s="129">
        <f>VLOOKUP($D1360,WGI!$C$2:$O$478,7,FALSE)</f>
        <v>-0.64450769293384702</v>
      </c>
      <c r="BW1360" s="129">
        <f>VLOOKUP($D1360,WGI!$C$2:$O$478,4,FALSE)</f>
        <v>-2.0363159686374699</v>
      </c>
      <c r="BX1360" s="129">
        <f>VLOOKUP($D1360,WGI!$C$2:$O$478,3,FALSE)</f>
        <v>-0.96124421348657696</v>
      </c>
      <c r="BY1360" s="129">
        <f>VLOOKUP($D1360,WGI!$C$2:$O$478,5,FALSE)</f>
        <v>-0.88703213347618304</v>
      </c>
      <c r="BZ1360" s="129">
        <f>VLOOKUP($D1360,WGI!$C$2:$O$478,2,FALSE)</f>
        <v>-1.0740831068663601</v>
      </c>
    </row>
    <row r="1361" spans="1:80" s="144" customFormat="1" ht="15" customHeight="1">
      <c r="A1361" s="279" t="s">
        <v>425</v>
      </c>
      <c r="B1361" s="132">
        <v>2007</v>
      </c>
      <c r="C1361" s="809" t="s">
        <v>413</v>
      </c>
      <c r="D1361" s="117" t="s">
        <v>3574</v>
      </c>
      <c r="E1361" s="132" t="s">
        <v>86</v>
      </c>
      <c r="F1361" s="132" t="s">
        <v>1936</v>
      </c>
      <c r="G1361" s="132" t="s">
        <v>55</v>
      </c>
      <c r="H1361" s="117" t="str">
        <f t="shared" si="231"/>
        <v>no</v>
      </c>
      <c r="I1361" s="117" t="str">
        <f t="shared" si="233"/>
        <v>yes</v>
      </c>
      <c r="J1361" s="117" t="str">
        <f t="shared" si="234"/>
        <v>yes</v>
      </c>
      <c r="K1361" s="132" t="s">
        <v>709</v>
      </c>
      <c r="L1361" s="117" t="str">
        <f t="shared" si="232"/>
        <v>Total</v>
      </c>
      <c r="M1361" s="117" t="str">
        <f t="shared" si="235"/>
        <v>Total Oil, Gas</v>
      </c>
      <c r="N1361" s="238"/>
      <c r="O1361" s="238"/>
      <c r="P1361" s="238"/>
      <c r="Q1361" s="238"/>
      <c r="R1361" s="238"/>
      <c r="S1361" s="132"/>
      <c r="T1361" s="134"/>
      <c r="U1361" s="132"/>
      <c r="V1361" s="132"/>
      <c r="W1361" s="135">
        <f>SUM(W1362:W1363)</f>
        <v>69977294595.772507</v>
      </c>
      <c r="X1361" s="132" t="s">
        <v>918</v>
      </c>
      <c r="Y1361" s="132" t="s">
        <v>663</v>
      </c>
      <c r="Z1361" s="132" t="s">
        <v>664</v>
      </c>
      <c r="AA1361" s="598">
        <v>43678500000</v>
      </c>
      <c r="AB1361" s="598">
        <v>43562165330</v>
      </c>
      <c r="AC1361" s="599"/>
      <c r="AD1361" s="599"/>
      <c r="AE1361" s="599"/>
      <c r="AF1361" s="600">
        <f>AA1361/W1361</f>
        <v>0.62418103260937896</v>
      </c>
      <c r="AG1361" s="132" t="s">
        <v>1949</v>
      </c>
      <c r="AH1361" s="140">
        <v>128.61000000000001</v>
      </c>
      <c r="AI1361" s="132" t="s">
        <v>667</v>
      </c>
      <c r="AJ1361" s="132" t="s">
        <v>943</v>
      </c>
      <c r="AK1361" s="135" t="s">
        <v>943</v>
      </c>
      <c r="AL1361" s="132"/>
      <c r="AM1361" s="135"/>
      <c r="AN1361" s="132" t="s">
        <v>943</v>
      </c>
      <c r="AO1361" s="132" t="s">
        <v>943</v>
      </c>
      <c r="AP1361" s="132" t="s">
        <v>943</v>
      </c>
      <c r="AQ1361" s="229" t="s">
        <v>309</v>
      </c>
      <c r="AR1361" s="141">
        <v>41920</v>
      </c>
      <c r="AS1361" s="132" t="s">
        <v>1939</v>
      </c>
      <c r="AT1361" s="142" t="s">
        <v>1953</v>
      </c>
      <c r="AU1361" s="132" t="s">
        <v>1954</v>
      </c>
      <c r="AV1361" s="143" t="s">
        <v>1955</v>
      </c>
      <c r="AW1361" s="117">
        <f>VLOOKUP($D1361,'WB Data'!$C$3:$M$578,2,FALSE)</f>
        <v>166451202370.17093</v>
      </c>
      <c r="AX1361" s="117">
        <f>VLOOKUP($D1361,'WB Data'!$C$3:$M$578,3,FALSE)</f>
        <v>147187353</v>
      </c>
      <c r="AY1361" s="847">
        <f t="shared" si="237"/>
        <v>0.26241024022682252</v>
      </c>
      <c r="AZ1361" s="117">
        <f>VLOOKUP($D1361,'WB Data'!$C$3:$M$578,4,FALSE)/100</f>
        <v>0.11144214361754436</v>
      </c>
      <c r="BA1361" s="117">
        <f t="shared" si="238"/>
        <v>18549678799.849529</v>
      </c>
      <c r="BB1361" s="129">
        <f>IFERROR(VLOOKUP($D1361,'EITI Revenues'!$C$2:$G$224,5,FALSE),"..")</f>
        <v>43678500000</v>
      </c>
      <c r="BC1361" s="846">
        <f t="shared" si="239"/>
        <v>2.3546768907046687</v>
      </c>
      <c r="BD1361" s="129">
        <f>VLOOKUP($D1361,'WB Data 2'!$C$2:$K$545,6,FALSE)</f>
        <v>62656975377.730591</v>
      </c>
      <c r="BE1361" s="129">
        <f>IFERROR(VLOOKUP($D1361,UNCTAD!$C$5:$V$529,4,FALSE),"..")</f>
        <v>67482490000.000008</v>
      </c>
      <c r="BF1361" s="846">
        <f t="shared" si="240"/>
        <v>0.9284923448694703</v>
      </c>
      <c r="BG1361" s="117">
        <f>VLOOKUP($D1361,'WB Data'!$C$3:$M$578,5,FALSE)</f>
        <v>1956260000</v>
      </c>
      <c r="BH1361" s="129">
        <f>IFERROR($BB1361/$BG1361,"..")</f>
        <v>22.327553597170109</v>
      </c>
      <c r="BI1361" s="117" t="str">
        <f>IFERROR(VLOOKUP($D1361,'WB Data'!$C$3:$M$578,7,FALSE)/100,"..")</f>
        <v>..</v>
      </c>
      <c r="BJ1361" s="117" t="str">
        <f>IFERROR($BI1361*$AW1361,"..")</f>
        <v>..</v>
      </c>
      <c r="BK1361" s="846" t="str">
        <f>IFERROR($BB1361/$BJ1361,"..")</f>
        <v>..</v>
      </c>
      <c r="BL1361" s="117" t="str">
        <f>IFERROR(VLOOKUP($D1361,'WB Data'!$C$3:$M$578,7,FALSE)/100,"..")</f>
        <v>..</v>
      </c>
      <c r="BM1361" s="117" t="str">
        <f>IFERROR($AW1361*$BL1361,"..")</f>
        <v>..</v>
      </c>
      <c r="BN1361" s="846" t="str">
        <f>IFERROR($BB1361/$BM1361,"..")</f>
        <v>..</v>
      </c>
      <c r="BO1361" s="801">
        <f t="shared" si="236"/>
        <v>27</v>
      </c>
      <c r="BP1361" s="117" t="str">
        <f>VLOOKUP($D1361,'WB Data'!$C$3:$M$578,9,FALSE)</f>
        <v>..</v>
      </c>
      <c r="BQ1361" s="117">
        <f>VLOOKUP($D1361,'WB Data'!$C$3:$M$578,10,FALSE)</f>
        <v>49.791609756097564</v>
      </c>
      <c r="BR1361" s="117">
        <f>VLOOKUP($D1361,'WB Data'!$C$3:$M$578,11,FALSE)</f>
        <v>90.8</v>
      </c>
      <c r="BS1361" s="129">
        <f>IFERROR(VLOOKUP($D1361,'WB Data 2'!$C$2:$K$545,9,FALSE),"..")</f>
        <v>71.34639</v>
      </c>
      <c r="BT1361" s="129">
        <f>_xlfn.IFNA(VLOOKUP($C1361,RGI!$A$2:$C$43,2,FALSE),"..")</f>
        <v>46.5</v>
      </c>
      <c r="BU1361" s="129">
        <f>_xlfn.IFNA(VLOOKUP($C1361,RGI!$A$2:$C$43,3,FALSE),"..")</f>
        <v>42.488706175328218</v>
      </c>
      <c r="BV1361" s="129">
        <f>VLOOKUP($D1361,WGI!$C$2:$O$478,7,FALSE)</f>
        <v>-0.78893613433542298</v>
      </c>
      <c r="BW1361" s="129">
        <f>VLOOKUP($D1361,WGI!$C$2:$O$478,4,FALSE)</f>
        <v>-2.0130386016693498</v>
      </c>
      <c r="BX1361" s="129">
        <f>VLOOKUP($D1361,WGI!$C$2:$O$478,3,FALSE)</f>
        <v>-1.04088430587046</v>
      </c>
      <c r="BY1361" s="129">
        <f>VLOOKUP($D1361,WGI!$C$2:$O$478,5,FALSE)</f>
        <v>-0.86435011120553995</v>
      </c>
      <c r="BZ1361" s="129">
        <f>VLOOKUP($D1361,WGI!$C$2:$O$478,2,FALSE)</f>
        <v>-0.98350341139405295</v>
      </c>
      <c r="CB1361" s="129"/>
    </row>
    <row r="1362" spans="1:80" s="120" customFormat="1" ht="15" customHeight="1">
      <c r="A1362" s="280" t="s">
        <v>425</v>
      </c>
      <c r="B1362" s="117">
        <v>2007</v>
      </c>
      <c r="C1362" s="809" t="s">
        <v>413</v>
      </c>
      <c r="D1362" s="117" t="s">
        <v>3574</v>
      </c>
      <c r="E1362" s="117" t="s">
        <v>86</v>
      </c>
      <c r="F1362" s="117"/>
      <c r="G1362" s="117" t="s">
        <v>561</v>
      </c>
      <c r="H1362" s="117" t="str">
        <f t="shared" si="231"/>
        <v>no</v>
      </c>
      <c r="I1362" s="117" t="str">
        <f t="shared" si="233"/>
        <v>yes</v>
      </c>
      <c r="J1362" s="117" t="str">
        <f t="shared" si="234"/>
        <v>no</v>
      </c>
      <c r="K1362" s="117" t="s">
        <v>561</v>
      </c>
      <c r="L1362" s="117" t="str">
        <f t="shared" si="232"/>
        <v>detailed</v>
      </c>
      <c r="M1362" s="117" t="str">
        <f t="shared" si="235"/>
        <v>detailed Gas</v>
      </c>
      <c r="N1362" s="179">
        <v>36900000000</v>
      </c>
      <c r="O1362" s="118">
        <f>N1362*0.0066</f>
        <v>243540000</v>
      </c>
      <c r="P1362" s="179"/>
      <c r="Q1362" s="179"/>
      <c r="R1362" s="179"/>
      <c r="S1362" s="117" t="s">
        <v>642</v>
      </c>
      <c r="T1362" s="119">
        <v>0.22764700000000004</v>
      </c>
      <c r="U1362" s="117" t="s">
        <v>643</v>
      </c>
      <c r="V1362" s="117" t="s">
        <v>738</v>
      </c>
      <c r="W1362" s="89">
        <f>N1362*T1362</f>
        <v>8400174300.0000019</v>
      </c>
      <c r="X1362" s="117"/>
      <c r="Y1362" s="117"/>
      <c r="Z1362" s="117"/>
      <c r="AA1362" s="117"/>
      <c r="AB1362" s="117"/>
      <c r="AC1362" s="240"/>
      <c r="AD1362" s="240"/>
      <c r="AE1362" s="240"/>
      <c r="AF1362" s="241"/>
      <c r="AG1362" s="117"/>
      <c r="AH1362" s="124"/>
      <c r="AI1362" s="117"/>
      <c r="AJ1362" s="117"/>
      <c r="AK1362" s="89"/>
      <c r="AL1362" s="117"/>
      <c r="AM1362" s="117"/>
      <c r="AN1362" s="117"/>
      <c r="AO1362" s="117"/>
      <c r="AP1362" s="117"/>
      <c r="AQ1362" s="117"/>
      <c r="AR1362" s="117"/>
      <c r="AS1362" s="117"/>
      <c r="AT1362" s="117"/>
      <c r="AU1362" s="117"/>
      <c r="AV1362" s="128"/>
      <c r="AW1362" s="117">
        <f>VLOOKUP($D1362,'WB Data'!$C$3:$M$578,2,FALSE)</f>
        <v>166451202370.17093</v>
      </c>
      <c r="AX1362" s="117">
        <f>VLOOKUP($D1362,'WB Data'!$C$3:$M$578,3,FALSE)</f>
        <v>147187353</v>
      </c>
      <c r="AY1362" s="847">
        <f t="shared" si="237"/>
        <v>0.26241024022682252</v>
      </c>
      <c r="AZ1362" s="117">
        <f>VLOOKUP($D1362,'WB Data'!$C$3:$M$578,4,FALSE)/100</f>
        <v>0.11144214361754436</v>
      </c>
      <c r="BA1362" s="117">
        <f t="shared" si="238"/>
        <v>18549678799.849529</v>
      </c>
      <c r="BB1362" s="129">
        <f>IFERROR(VLOOKUP($D1362,'EITI Revenues'!$C$2:$G$224,5,FALSE),"..")</f>
        <v>43678500000</v>
      </c>
      <c r="BC1362" s="846">
        <f t="shared" si="239"/>
        <v>2.3546768907046687</v>
      </c>
      <c r="BD1362" s="129">
        <f>VLOOKUP($D1362,'WB Data 2'!$C$2:$K$545,6,FALSE)</f>
        <v>62656975377.730591</v>
      </c>
      <c r="BE1362" s="129">
        <f>IFERROR(VLOOKUP($D1362,UNCTAD!$C$5:$V$529,4,FALSE),"..")</f>
        <v>67482490000.000008</v>
      </c>
      <c r="BF1362" s="846">
        <f t="shared" si="240"/>
        <v>0.9284923448694703</v>
      </c>
      <c r="BG1362" s="117">
        <f>VLOOKUP($D1362,'WB Data'!$C$3:$M$578,5,FALSE)</f>
        <v>1956260000</v>
      </c>
      <c r="BH1362" s="129">
        <f>IFERROR($BB1362/$BG1362,"..")</f>
        <v>22.327553597170109</v>
      </c>
      <c r="BI1362" s="117" t="str">
        <f>IFERROR(VLOOKUP($D1362,'WB Data'!$C$3:$M$578,7,FALSE)/100,"..")</f>
        <v>..</v>
      </c>
      <c r="BJ1362" s="117" t="str">
        <f>IFERROR($BI1362*$AW1362,"..")</f>
        <v>..</v>
      </c>
      <c r="BK1362" s="846" t="str">
        <f>IFERROR($BB1362/$BJ1362,"..")</f>
        <v>..</v>
      </c>
      <c r="BL1362" s="117" t="str">
        <f>IFERROR(VLOOKUP($D1362,'WB Data'!$C$3:$M$578,7,FALSE)/100,"..")</f>
        <v>..</v>
      </c>
      <c r="BM1362" s="117" t="str">
        <f>IFERROR($AW1362*$BL1362,"..")</f>
        <v>..</v>
      </c>
      <c r="BN1362" s="846" t="str">
        <f>IFERROR($BB1362/$BM1362,"..")</f>
        <v>..</v>
      </c>
      <c r="BO1362" s="801">
        <f t="shared" si="236"/>
        <v>27</v>
      </c>
      <c r="BP1362" s="117" t="str">
        <f>VLOOKUP($D1362,'WB Data'!$C$3:$M$578,9,FALSE)</f>
        <v>..</v>
      </c>
      <c r="BQ1362" s="117">
        <f>VLOOKUP($D1362,'WB Data'!$C$3:$M$578,10,FALSE)</f>
        <v>49.791609756097564</v>
      </c>
      <c r="BR1362" s="117">
        <f>VLOOKUP($D1362,'WB Data'!$C$3:$M$578,11,FALSE)</f>
        <v>90.8</v>
      </c>
      <c r="BS1362" s="129">
        <f>IFERROR(VLOOKUP($D1362,'WB Data 2'!$C$2:$K$545,9,FALSE),"..")</f>
        <v>71.34639</v>
      </c>
      <c r="BT1362" s="129">
        <f>_xlfn.IFNA(VLOOKUP($C1362,RGI!$A$2:$C$43,2,FALSE),"..")</f>
        <v>46.5</v>
      </c>
      <c r="BU1362" s="129">
        <f>_xlfn.IFNA(VLOOKUP($C1362,RGI!$A$2:$C$43,3,FALSE),"..")</f>
        <v>42.488706175328218</v>
      </c>
      <c r="BV1362" s="129">
        <f>VLOOKUP($D1362,WGI!$C$2:$O$478,7,FALSE)</f>
        <v>-0.78893613433542298</v>
      </c>
      <c r="BW1362" s="129">
        <f>VLOOKUP($D1362,WGI!$C$2:$O$478,4,FALSE)</f>
        <v>-2.0130386016693498</v>
      </c>
      <c r="BX1362" s="129">
        <f>VLOOKUP($D1362,WGI!$C$2:$O$478,3,FALSE)</f>
        <v>-1.04088430587046</v>
      </c>
      <c r="BY1362" s="129">
        <f>VLOOKUP($D1362,WGI!$C$2:$O$478,5,FALSE)</f>
        <v>-0.86435011120553995</v>
      </c>
      <c r="BZ1362" s="129">
        <f>VLOOKUP($D1362,WGI!$C$2:$O$478,2,FALSE)</f>
        <v>-0.98350341139405295</v>
      </c>
      <c r="CB1362" s="129"/>
    </row>
    <row r="1363" spans="1:80" s="158" customFormat="1" ht="15" customHeight="1">
      <c r="A1363" s="282" t="s">
        <v>425</v>
      </c>
      <c r="B1363" s="149">
        <v>2007</v>
      </c>
      <c r="C1363" s="809" t="s">
        <v>413</v>
      </c>
      <c r="D1363" s="117" t="s">
        <v>3574</v>
      </c>
      <c r="E1363" s="149" t="s">
        <v>86</v>
      </c>
      <c r="F1363" s="149"/>
      <c r="G1363" s="117" t="s">
        <v>103</v>
      </c>
      <c r="H1363" s="117" t="str">
        <f t="shared" si="231"/>
        <v>no</v>
      </c>
      <c r="I1363" s="117" t="str">
        <f t="shared" si="233"/>
        <v>no</v>
      </c>
      <c r="J1363" s="117" t="str">
        <f t="shared" si="234"/>
        <v>yes</v>
      </c>
      <c r="K1363" s="149" t="s">
        <v>103</v>
      </c>
      <c r="L1363" s="117" t="str">
        <f t="shared" si="232"/>
        <v>detailed</v>
      </c>
      <c r="M1363" s="117" t="str">
        <f t="shared" si="235"/>
        <v>detailed Oil</v>
      </c>
      <c r="N1363" s="216">
        <v>826725000</v>
      </c>
      <c r="O1363" s="211">
        <f>O1362/N1363</f>
        <v>0.29458405152862199</v>
      </c>
      <c r="P1363" s="216"/>
      <c r="Q1363" s="216"/>
      <c r="R1363" s="216"/>
      <c r="S1363" s="149" t="s">
        <v>646</v>
      </c>
      <c r="T1363" s="151">
        <v>74.483196100000001</v>
      </c>
      <c r="U1363" s="149" t="s">
        <v>673</v>
      </c>
      <c r="V1363" s="149" t="s">
        <v>1952</v>
      </c>
      <c r="W1363" s="152">
        <f>N1363*T1363</f>
        <v>61577120295.772499</v>
      </c>
      <c r="X1363" s="149"/>
      <c r="Y1363" s="149"/>
      <c r="Z1363" s="149"/>
      <c r="AA1363" s="149"/>
      <c r="AB1363" s="149"/>
      <c r="AC1363" s="288"/>
      <c r="AD1363" s="288"/>
      <c r="AE1363" s="288"/>
      <c r="AF1363" s="285"/>
      <c r="AG1363" s="149"/>
      <c r="AH1363" s="156"/>
      <c r="AI1363" s="149"/>
      <c r="AJ1363" s="149"/>
      <c r="AK1363" s="152"/>
      <c r="AL1363" s="149"/>
      <c r="AM1363" s="149"/>
      <c r="AN1363" s="149"/>
      <c r="AO1363" s="149"/>
      <c r="AP1363" s="149"/>
      <c r="AQ1363" s="149"/>
      <c r="AR1363" s="149"/>
      <c r="AS1363" s="149"/>
      <c r="AT1363" s="149"/>
      <c r="AU1363" s="149"/>
      <c r="AV1363" s="157"/>
      <c r="AW1363" s="117">
        <f>VLOOKUP($D1363,'WB Data'!$C$3:$M$578,2,FALSE)</f>
        <v>166451202370.17093</v>
      </c>
      <c r="AX1363" s="117">
        <f>VLOOKUP($D1363,'WB Data'!$C$3:$M$578,3,FALSE)</f>
        <v>147187353</v>
      </c>
      <c r="AY1363" s="847">
        <f t="shared" si="237"/>
        <v>0.26241024022682252</v>
      </c>
      <c r="AZ1363" s="117">
        <f>VLOOKUP($D1363,'WB Data'!$C$3:$M$578,4,FALSE)/100</f>
        <v>0.11144214361754436</v>
      </c>
      <c r="BA1363" s="117">
        <f t="shared" si="238"/>
        <v>18549678799.849529</v>
      </c>
      <c r="BB1363" s="129">
        <f>IFERROR(VLOOKUP($D1363,'EITI Revenues'!$C$2:$G$224,5,FALSE),"..")</f>
        <v>43678500000</v>
      </c>
      <c r="BC1363" s="846">
        <f t="shared" si="239"/>
        <v>2.3546768907046687</v>
      </c>
      <c r="BD1363" s="129">
        <f>VLOOKUP($D1363,'WB Data 2'!$C$2:$K$545,6,FALSE)</f>
        <v>62656975377.730591</v>
      </c>
      <c r="BE1363" s="129">
        <f>IFERROR(VLOOKUP($D1363,UNCTAD!$C$5:$V$529,4,FALSE),"..")</f>
        <v>67482490000.000008</v>
      </c>
      <c r="BF1363" s="846">
        <f t="shared" si="240"/>
        <v>0.9284923448694703</v>
      </c>
      <c r="BG1363" s="117">
        <f>VLOOKUP($D1363,'WB Data'!$C$3:$M$578,5,FALSE)</f>
        <v>1956260000</v>
      </c>
      <c r="BH1363" s="129">
        <f>IFERROR($BB1363/$BG1363,"..")</f>
        <v>22.327553597170109</v>
      </c>
      <c r="BI1363" s="117" t="str">
        <f>IFERROR(VLOOKUP($D1363,'WB Data'!$C$3:$M$578,7,FALSE)/100,"..")</f>
        <v>..</v>
      </c>
      <c r="BJ1363" s="117" t="str">
        <f>IFERROR($BI1363*$AW1363,"..")</f>
        <v>..</v>
      </c>
      <c r="BK1363" s="846" t="str">
        <f>IFERROR($BB1363/$BJ1363,"..")</f>
        <v>..</v>
      </c>
      <c r="BL1363" s="117" t="str">
        <f>IFERROR(VLOOKUP($D1363,'WB Data'!$C$3:$M$578,7,FALSE)/100,"..")</f>
        <v>..</v>
      </c>
      <c r="BM1363" s="117" t="str">
        <f>IFERROR($AW1363*$BL1363,"..")</f>
        <v>..</v>
      </c>
      <c r="BN1363" s="846" t="str">
        <f>IFERROR($BB1363/$BM1363,"..")</f>
        <v>..</v>
      </c>
      <c r="BO1363" s="801">
        <f t="shared" si="236"/>
        <v>27</v>
      </c>
      <c r="BP1363" s="117" t="str">
        <f>VLOOKUP($D1363,'WB Data'!$C$3:$M$578,9,FALSE)</f>
        <v>..</v>
      </c>
      <c r="BQ1363" s="117">
        <f>VLOOKUP($D1363,'WB Data'!$C$3:$M$578,10,FALSE)</f>
        <v>49.791609756097564</v>
      </c>
      <c r="BR1363" s="117">
        <f>VLOOKUP($D1363,'WB Data'!$C$3:$M$578,11,FALSE)</f>
        <v>90.8</v>
      </c>
      <c r="BS1363" s="129">
        <f>IFERROR(VLOOKUP($D1363,'WB Data 2'!$C$2:$K$545,9,FALSE),"..")</f>
        <v>71.34639</v>
      </c>
      <c r="BT1363" s="129">
        <f>_xlfn.IFNA(VLOOKUP($C1363,RGI!$A$2:$C$43,2,FALSE),"..")</f>
        <v>46.5</v>
      </c>
      <c r="BU1363" s="129">
        <f>_xlfn.IFNA(VLOOKUP($C1363,RGI!$A$2:$C$43,3,FALSE),"..")</f>
        <v>42.488706175328218</v>
      </c>
      <c r="BV1363" s="129">
        <f>VLOOKUP($D1363,WGI!$C$2:$O$478,7,FALSE)</f>
        <v>-0.78893613433542298</v>
      </c>
      <c r="BW1363" s="129">
        <f>VLOOKUP($D1363,WGI!$C$2:$O$478,4,FALSE)</f>
        <v>-2.0130386016693498</v>
      </c>
      <c r="BX1363" s="129">
        <f>VLOOKUP($D1363,WGI!$C$2:$O$478,3,FALSE)</f>
        <v>-1.04088430587046</v>
      </c>
      <c r="BY1363" s="129">
        <f>VLOOKUP($D1363,WGI!$C$2:$O$478,5,FALSE)</f>
        <v>-0.86435011120553995</v>
      </c>
      <c r="BZ1363" s="129">
        <f>VLOOKUP($D1363,WGI!$C$2:$O$478,2,FALSE)</f>
        <v>-0.98350341139405295</v>
      </c>
      <c r="CB1363" s="129"/>
    </row>
    <row r="1364" spans="1:80" ht="15" customHeight="1">
      <c r="A1364" s="280" t="s">
        <v>426</v>
      </c>
      <c r="B1364" s="117">
        <v>2008</v>
      </c>
      <c r="C1364" s="809" t="s">
        <v>413</v>
      </c>
      <c r="D1364" s="117" t="s">
        <v>3608</v>
      </c>
      <c r="E1364" s="117" t="s">
        <v>86</v>
      </c>
      <c r="F1364" s="117" t="s">
        <v>1936</v>
      </c>
      <c r="G1364" s="132" t="s">
        <v>55</v>
      </c>
      <c r="H1364" s="117" t="str">
        <f t="shared" si="231"/>
        <v>no</v>
      </c>
      <c r="I1364" s="117" t="str">
        <f t="shared" si="233"/>
        <v>yes</v>
      </c>
      <c r="J1364" s="117" t="str">
        <f t="shared" si="234"/>
        <v>yes</v>
      </c>
      <c r="K1364" s="117" t="s">
        <v>709</v>
      </c>
      <c r="L1364" s="117" t="str">
        <f t="shared" si="232"/>
        <v>Total</v>
      </c>
      <c r="M1364" s="117" t="str">
        <f t="shared" si="235"/>
        <v>Total Oil, Gas</v>
      </c>
      <c r="N1364" s="179"/>
      <c r="O1364" s="179"/>
      <c r="P1364" s="179"/>
      <c r="Q1364" s="179"/>
      <c r="R1364" s="179"/>
      <c r="S1364" s="117"/>
      <c r="T1364" s="119"/>
      <c r="U1364" s="117"/>
      <c r="V1364" s="117"/>
      <c r="W1364" s="89">
        <f>SUM(W1365:W1366)</f>
        <v>90130506589.375</v>
      </c>
      <c r="X1364" s="117" t="s">
        <v>918</v>
      </c>
      <c r="Y1364" s="117" t="s">
        <v>663</v>
      </c>
      <c r="Z1364" s="117" t="s">
        <v>664</v>
      </c>
      <c r="AA1364" s="597">
        <v>59398200000</v>
      </c>
      <c r="AB1364" s="597">
        <v>59266324980</v>
      </c>
      <c r="AC1364" s="240"/>
      <c r="AD1364" s="240"/>
      <c r="AE1364" s="240"/>
      <c r="AF1364" s="241">
        <f>AA1364/W1364</f>
        <v>0.65902436641804174</v>
      </c>
      <c r="AG1364" s="117" t="s">
        <v>1949</v>
      </c>
      <c r="AH1364" s="124">
        <v>120.19</v>
      </c>
      <c r="AI1364" s="117" t="s">
        <v>667</v>
      </c>
      <c r="AJ1364" s="117" t="s">
        <v>943</v>
      </c>
      <c r="AK1364" s="89" t="s">
        <v>943</v>
      </c>
      <c r="AL1364" s="117"/>
      <c r="AM1364" s="89"/>
      <c r="AN1364" s="117" t="s">
        <v>943</v>
      </c>
      <c r="AO1364" s="117" t="s">
        <v>943</v>
      </c>
      <c r="AP1364" s="117" t="s">
        <v>943</v>
      </c>
      <c r="AQ1364" s="215" t="s">
        <v>309</v>
      </c>
      <c r="AR1364" s="126">
        <v>41920</v>
      </c>
      <c r="AS1364" s="117" t="s">
        <v>1939</v>
      </c>
      <c r="AT1364" s="127" t="s">
        <v>1953</v>
      </c>
      <c r="AU1364" s="117" t="s">
        <v>1954</v>
      </c>
      <c r="AV1364" s="128" t="s">
        <v>1956</v>
      </c>
      <c r="AW1364" s="117">
        <f>VLOOKUP($D1364,'WB Data'!$C$3:$M$578,2,FALSE)</f>
        <v>208064724514.15082</v>
      </c>
      <c r="AX1364" s="117">
        <f>VLOOKUP($D1364,'WB Data'!$C$3:$M$578,3,FALSE)</f>
        <v>151208080</v>
      </c>
      <c r="AY1364" s="847">
        <f t="shared" si="237"/>
        <v>0.285479435010908</v>
      </c>
      <c r="AZ1364" s="117">
        <f>VLOOKUP($D1364,'WB Data'!$C$3:$M$578,4,FALSE)/100</f>
        <v>0.129473682123635</v>
      </c>
      <c r="BA1364" s="117">
        <f t="shared" si="238"/>
        <v>26938906002.886848</v>
      </c>
      <c r="BB1364" s="129">
        <f>IFERROR(VLOOKUP($D1364,'EITI Revenues'!$C$2:$G$224,5,FALSE),"..")</f>
        <v>59398200000</v>
      </c>
      <c r="BC1364" s="846">
        <f t="shared" si="239"/>
        <v>2.2049225010709317</v>
      </c>
      <c r="BD1364" s="129">
        <f>VLOOKUP($D1364,'WB Data 2'!$C$2:$K$545,6,FALSE)</f>
        <v>79435963641.647278</v>
      </c>
      <c r="BE1364" s="129">
        <f>IFERROR(VLOOKUP($D1364,UNCTAD!$C$5:$V$529,4,FALSE),"..")</f>
        <v>87993050000</v>
      </c>
      <c r="BF1364" s="846">
        <f t="shared" si="240"/>
        <v>0.90275270196506741</v>
      </c>
      <c r="BG1364" s="117">
        <f>VLOOKUP($D1364,'WB Data'!$C$3:$M$578,5,FALSE)</f>
        <v>1290160000</v>
      </c>
      <c r="BH1364" s="129">
        <f>IFERROR($BB1364/$BG1364,"..")</f>
        <v>46.039405965151609</v>
      </c>
      <c r="BI1364" s="117" t="str">
        <f>IFERROR(VLOOKUP($D1364,'WB Data'!$C$3:$M$578,7,FALSE)/100,"..")</f>
        <v>..</v>
      </c>
      <c r="BJ1364" s="117" t="str">
        <f>IFERROR($BI1364*$AW1364,"..")</f>
        <v>..</v>
      </c>
      <c r="BK1364" s="846" t="str">
        <f>IFERROR($BB1364/$BJ1364,"..")</f>
        <v>..</v>
      </c>
      <c r="BL1364" s="117" t="str">
        <f>IFERROR(VLOOKUP($D1364,'WB Data'!$C$3:$M$578,7,FALSE)/100,"..")</f>
        <v>..</v>
      </c>
      <c r="BM1364" s="117" t="str">
        <f>IFERROR($AW1364*$BL1364,"..")</f>
        <v>..</v>
      </c>
      <c r="BN1364" s="846" t="str">
        <f>IFERROR($BB1364/$BM1364,"..")</f>
        <v>..</v>
      </c>
      <c r="BO1364" s="801">
        <f t="shared" si="236"/>
        <v>27</v>
      </c>
      <c r="BP1364" s="117" t="str">
        <f>VLOOKUP($D1364,'WB Data'!$C$3:$M$578,9,FALSE)</f>
        <v>..</v>
      </c>
      <c r="BQ1364" s="117">
        <f>VLOOKUP($D1364,'WB Data'!$C$3:$M$578,10,FALSE)</f>
        <v>50.329390243902445</v>
      </c>
      <c r="BR1364" s="117">
        <f>VLOOKUP($D1364,'WB Data'!$C$3:$M$578,11,FALSE)</f>
        <v>87.7</v>
      </c>
      <c r="BS1364" s="129">
        <f>IFERROR(VLOOKUP($D1364,'WB Data 2'!$C$2:$K$545,9,FALSE),"..")</f>
        <v>63.119669999999999</v>
      </c>
      <c r="BT1364" s="129">
        <f>_xlfn.IFNA(VLOOKUP($C1364,RGI!$A$2:$C$43,2,FALSE),"..")</f>
        <v>46.5</v>
      </c>
      <c r="BU1364" s="129">
        <f>_xlfn.IFNA(VLOOKUP($C1364,RGI!$A$2:$C$43,3,FALSE),"..")</f>
        <v>42.488706175328218</v>
      </c>
      <c r="BV1364" s="129">
        <f>VLOOKUP($D1364,WGI!$C$2:$O$478,7,FALSE)</f>
        <v>-0.76019870179617599</v>
      </c>
      <c r="BW1364" s="129">
        <f>VLOOKUP($D1364,WGI!$C$2:$O$478,4,FALSE)</f>
        <v>-1.8616477147217501</v>
      </c>
      <c r="BX1364" s="129">
        <f>VLOOKUP($D1364,WGI!$C$2:$O$478,3,FALSE)</f>
        <v>-0.967231283560683</v>
      </c>
      <c r="BY1364" s="129">
        <f>VLOOKUP($D1364,WGI!$C$2:$O$478,5,FALSE)</f>
        <v>-0.78015035957421297</v>
      </c>
      <c r="BZ1364" s="129">
        <f>VLOOKUP($D1364,WGI!$C$2:$O$478,2,FALSE)</f>
        <v>-0.81105438590161105</v>
      </c>
    </row>
    <row r="1365" spans="1:80" ht="15" customHeight="1">
      <c r="A1365" s="280" t="s">
        <v>426</v>
      </c>
      <c r="B1365" s="117">
        <v>2008</v>
      </c>
      <c r="C1365" s="809" t="s">
        <v>413</v>
      </c>
      <c r="D1365" s="117" t="s">
        <v>3608</v>
      </c>
      <c r="E1365" s="117" t="s">
        <v>86</v>
      </c>
      <c r="F1365" s="117"/>
      <c r="G1365" s="117" t="s">
        <v>561</v>
      </c>
      <c r="H1365" s="117" t="str">
        <f t="shared" si="231"/>
        <v>no</v>
      </c>
      <c r="I1365" s="117" t="str">
        <f t="shared" si="233"/>
        <v>yes</v>
      </c>
      <c r="J1365" s="117" t="str">
        <f t="shared" si="234"/>
        <v>no</v>
      </c>
      <c r="K1365" s="117" t="s">
        <v>561</v>
      </c>
      <c r="L1365" s="117" t="str">
        <f t="shared" si="232"/>
        <v>detailed</v>
      </c>
      <c r="M1365" s="117" t="str">
        <f t="shared" si="235"/>
        <v>detailed Gas</v>
      </c>
      <c r="N1365" s="179">
        <v>36200000000</v>
      </c>
      <c r="O1365" s="118">
        <f>N1365*0.0066</f>
        <v>238920000</v>
      </c>
      <c r="P1365" s="179"/>
      <c r="Q1365" s="179"/>
      <c r="R1365" s="179"/>
      <c r="S1365" s="117" t="s">
        <v>642</v>
      </c>
      <c r="T1365" s="119">
        <v>0.32879700000000006</v>
      </c>
      <c r="U1365" s="117" t="s">
        <v>643</v>
      </c>
      <c r="V1365" s="117" t="s">
        <v>738</v>
      </c>
      <c r="W1365" s="89">
        <f>N1365*T1365</f>
        <v>11902451400.000002</v>
      </c>
      <c r="X1365" s="117"/>
      <c r="Y1365" s="117"/>
      <c r="Z1365" s="117"/>
      <c r="AA1365" s="117"/>
      <c r="AB1365" s="117"/>
      <c r="AC1365" s="240"/>
      <c r="AD1365" s="240"/>
      <c r="AE1365" s="240"/>
      <c r="AF1365" s="241"/>
      <c r="AG1365" s="117"/>
      <c r="AH1365" s="124"/>
      <c r="AI1365" s="117"/>
      <c r="AJ1365" s="117"/>
      <c r="AK1365" s="89"/>
      <c r="AL1365" s="117"/>
      <c r="AM1365" s="117"/>
      <c r="AN1365" s="117"/>
      <c r="AO1365" s="117"/>
      <c r="AP1365" s="117"/>
      <c r="AQ1365" s="117"/>
      <c r="AR1365" s="117"/>
      <c r="AS1365" s="117"/>
      <c r="AT1365" s="117"/>
      <c r="AU1365" s="117"/>
      <c r="AV1365" s="128"/>
      <c r="AW1365" s="117">
        <f>VLOOKUP($D1365,'WB Data'!$C$3:$M$578,2,FALSE)</f>
        <v>208064724514.15082</v>
      </c>
      <c r="AX1365" s="117">
        <f>VLOOKUP($D1365,'WB Data'!$C$3:$M$578,3,FALSE)</f>
        <v>151208080</v>
      </c>
      <c r="AY1365" s="847">
        <f t="shared" si="237"/>
        <v>0.285479435010908</v>
      </c>
      <c r="AZ1365" s="117">
        <f>VLOOKUP($D1365,'WB Data'!$C$3:$M$578,4,FALSE)/100</f>
        <v>0.129473682123635</v>
      </c>
      <c r="BA1365" s="117">
        <f t="shared" si="238"/>
        <v>26938906002.886848</v>
      </c>
      <c r="BB1365" s="129">
        <f>IFERROR(VLOOKUP($D1365,'EITI Revenues'!$C$2:$G$224,5,FALSE),"..")</f>
        <v>59398200000</v>
      </c>
      <c r="BC1365" s="846">
        <f t="shared" si="239"/>
        <v>2.2049225010709317</v>
      </c>
      <c r="BD1365" s="129">
        <f>VLOOKUP($D1365,'WB Data 2'!$C$2:$K$545,6,FALSE)</f>
        <v>79435963641.647278</v>
      </c>
      <c r="BE1365" s="129">
        <f>IFERROR(VLOOKUP($D1365,UNCTAD!$C$5:$V$529,4,FALSE),"..")</f>
        <v>87993050000</v>
      </c>
      <c r="BF1365" s="846">
        <f t="shared" si="240"/>
        <v>0.90275270196506741</v>
      </c>
      <c r="BG1365" s="117">
        <f>VLOOKUP($D1365,'WB Data'!$C$3:$M$578,5,FALSE)</f>
        <v>1290160000</v>
      </c>
      <c r="BH1365" s="129">
        <f>IFERROR($BB1365/$BG1365,"..")</f>
        <v>46.039405965151609</v>
      </c>
      <c r="BI1365" s="117" t="str">
        <f>IFERROR(VLOOKUP($D1365,'WB Data'!$C$3:$M$578,7,FALSE)/100,"..")</f>
        <v>..</v>
      </c>
      <c r="BJ1365" s="117" t="str">
        <f>IFERROR($BI1365*$AW1365,"..")</f>
        <v>..</v>
      </c>
      <c r="BK1365" s="846" t="str">
        <f>IFERROR($BB1365/$BJ1365,"..")</f>
        <v>..</v>
      </c>
      <c r="BL1365" s="117" t="str">
        <f>IFERROR(VLOOKUP($D1365,'WB Data'!$C$3:$M$578,7,FALSE)/100,"..")</f>
        <v>..</v>
      </c>
      <c r="BM1365" s="117" t="str">
        <f>IFERROR($AW1365*$BL1365,"..")</f>
        <v>..</v>
      </c>
      <c r="BN1365" s="846" t="str">
        <f>IFERROR($BB1365/$BM1365,"..")</f>
        <v>..</v>
      </c>
      <c r="BO1365" s="801">
        <f t="shared" si="236"/>
        <v>27</v>
      </c>
      <c r="BP1365" s="117" t="str">
        <f>VLOOKUP($D1365,'WB Data'!$C$3:$M$578,9,FALSE)</f>
        <v>..</v>
      </c>
      <c r="BQ1365" s="117">
        <f>VLOOKUP($D1365,'WB Data'!$C$3:$M$578,10,FALSE)</f>
        <v>50.329390243902445</v>
      </c>
      <c r="BR1365" s="117">
        <f>VLOOKUP($D1365,'WB Data'!$C$3:$M$578,11,FALSE)</f>
        <v>87.7</v>
      </c>
      <c r="BS1365" s="129">
        <f>IFERROR(VLOOKUP($D1365,'WB Data 2'!$C$2:$K$545,9,FALSE),"..")</f>
        <v>63.119669999999999</v>
      </c>
      <c r="BT1365" s="129">
        <f>_xlfn.IFNA(VLOOKUP($C1365,RGI!$A$2:$C$43,2,FALSE),"..")</f>
        <v>46.5</v>
      </c>
      <c r="BU1365" s="129">
        <f>_xlfn.IFNA(VLOOKUP($C1365,RGI!$A$2:$C$43,3,FALSE),"..")</f>
        <v>42.488706175328218</v>
      </c>
      <c r="BV1365" s="129">
        <f>VLOOKUP($D1365,WGI!$C$2:$O$478,7,FALSE)</f>
        <v>-0.76019870179617599</v>
      </c>
      <c r="BW1365" s="129">
        <f>VLOOKUP($D1365,WGI!$C$2:$O$478,4,FALSE)</f>
        <v>-1.8616477147217501</v>
      </c>
      <c r="BX1365" s="129">
        <f>VLOOKUP($D1365,WGI!$C$2:$O$478,3,FALSE)</f>
        <v>-0.967231283560683</v>
      </c>
      <c r="BY1365" s="129">
        <f>VLOOKUP($D1365,WGI!$C$2:$O$478,5,FALSE)</f>
        <v>-0.78015035957421297</v>
      </c>
      <c r="BZ1365" s="129">
        <f>VLOOKUP($D1365,WGI!$C$2:$O$478,2,FALSE)</f>
        <v>-0.81105438590161105</v>
      </c>
    </row>
    <row r="1366" spans="1:80" ht="15" customHeight="1">
      <c r="A1366" s="280" t="s">
        <v>426</v>
      </c>
      <c r="B1366" s="117">
        <v>2008</v>
      </c>
      <c r="C1366" s="809" t="s">
        <v>413</v>
      </c>
      <c r="D1366" s="117" t="s">
        <v>3608</v>
      </c>
      <c r="E1366" s="117" t="s">
        <v>86</v>
      </c>
      <c r="F1366" s="117"/>
      <c r="G1366" s="117" t="s">
        <v>103</v>
      </c>
      <c r="H1366" s="117" t="str">
        <f t="shared" si="231"/>
        <v>no</v>
      </c>
      <c r="I1366" s="117" t="str">
        <f t="shared" si="233"/>
        <v>no</v>
      </c>
      <c r="J1366" s="117" t="str">
        <f t="shared" si="234"/>
        <v>yes</v>
      </c>
      <c r="K1366" s="117" t="s">
        <v>103</v>
      </c>
      <c r="L1366" s="117" t="str">
        <f t="shared" si="232"/>
        <v>detailed</v>
      </c>
      <c r="M1366" s="117" t="str">
        <f t="shared" si="235"/>
        <v>detailed Oil</v>
      </c>
      <c r="N1366" s="179">
        <v>771245000</v>
      </c>
      <c r="O1366" s="211">
        <f>O1365/N1366</f>
        <v>0.30978482842676452</v>
      </c>
      <c r="P1366" s="179"/>
      <c r="Q1366" s="179"/>
      <c r="R1366" s="179"/>
      <c r="S1366" s="117" t="s">
        <v>646</v>
      </c>
      <c r="T1366" s="119">
        <v>101.430875</v>
      </c>
      <c r="U1366" s="117" t="s">
        <v>673</v>
      </c>
      <c r="V1366" s="117" t="s">
        <v>1952</v>
      </c>
      <c r="W1366" s="89">
        <f>N1366*T1366</f>
        <v>78228055189.375</v>
      </c>
      <c r="X1366" s="117"/>
      <c r="Y1366" s="117"/>
      <c r="Z1366" s="117"/>
      <c r="AA1366" s="117"/>
      <c r="AB1366" s="117"/>
      <c r="AC1366" s="240"/>
      <c r="AD1366" s="240"/>
      <c r="AE1366" s="240"/>
      <c r="AF1366" s="241"/>
      <c r="AG1366" s="117"/>
      <c r="AH1366" s="124"/>
      <c r="AI1366" s="117"/>
      <c r="AJ1366" s="117"/>
      <c r="AK1366" s="89"/>
      <c r="AL1366" s="117"/>
      <c r="AM1366" s="117"/>
      <c r="AN1366" s="117"/>
      <c r="AO1366" s="117"/>
      <c r="AP1366" s="117"/>
      <c r="AQ1366" s="117"/>
      <c r="AR1366" s="117"/>
      <c r="AS1366" s="117"/>
      <c r="AT1366" s="117"/>
      <c r="AU1366" s="117"/>
      <c r="AV1366" s="128"/>
      <c r="AW1366" s="117">
        <f>VLOOKUP($D1366,'WB Data'!$C$3:$M$578,2,FALSE)</f>
        <v>208064724514.15082</v>
      </c>
      <c r="AX1366" s="117">
        <f>VLOOKUP($D1366,'WB Data'!$C$3:$M$578,3,FALSE)</f>
        <v>151208080</v>
      </c>
      <c r="AY1366" s="847">
        <f t="shared" si="237"/>
        <v>0.285479435010908</v>
      </c>
      <c r="AZ1366" s="117">
        <f>VLOOKUP($D1366,'WB Data'!$C$3:$M$578,4,FALSE)/100</f>
        <v>0.129473682123635</v>
      </c>
      <c r="BA1366" s="117">
        <f t="shared" si="238"/>
        <v>26938906002.886848</v>
      </c>
      <c r="BB1366" s="129">
        <f>IFERROR(VLOOKUP($D1366,'EITI Revenues'!$C$2:$G$224,5,FALSE),"..")</f>
        <v>59398200000</v>
      </c>
      <c r="BC1366" s="846">
        <f t="shared" si="239"/>
        <v>2.2049225010709317</v>
      </c>
      <c r="BD1366" s="129">
        <f>VLOOKUP($D1366,'WB Data 2'!$C$2:$K$545,6,FALSE)</f>
        <v>79435963641.647278</v>
      </c>
      <c r="BE1366" s="129">
        <f>IFERROR(VLOOKUP($D1366,UNCTAD!$C$5:$V$529,4,FALSE),"..")</f>
        <v>87993050000</v>
      </c>
      <c r="BF1366" s="846">
        <f t="shared" si="240"/>
        <v>0.90275270196506741</v>
      </c>
      <c r="BG1366" s="117">
        <f>VLOOKUP($D1366,'WB Data'!$C$3:$M$578,5,FALSE)</f>
        <v>1290160000</v>
      </c>
      <c r="BH1366" s="129">
        <f>IFERROR($BB1366/$BG1366,"..")</f>
        <v>46.039405965151609</v>
      </c>
      <c r="BI1366" s="117" t="str">
        <f>IFERROR(VLOOKUP($D1366,'WB Data'!$C$3:$M$578,7,FALSE)/100,"..")</f>
        <v>..</v>
      </c>
      <c r="BJ1366" s="117" t="str">
        <f>IFERROR($BI1366*$AW1366,"..")</f>
        <v>..</v>
      </c>
      <c r="BK1366" s="846" t="str">
        <f>IFERROR($BB1366/$BJ1366,"..")</f>
        <v>..</v>
      </c>
      <c r="BL1366" s="117" t="str">
        <f>IFERROR(VLOOKUP($D1366,'WB Data'!$C$3:$M$578,7,FALSE)/100,"..")</f>
        <v>..</v>
      </c>
      <c r="BM1366" s="117" t="str">
        <f>IFERROR($AW1366*$BL1366,"..")</f>
        <v>..</v>
      </c>
      <c r="BN1366" s="846" t="str">
        <f>IFERROR($BB1366/$BM1366,"..")</f>
        <v>..</v>
      </c>
      <c r="BO1366" s="801">
        <f t="shared" si="236"/>
        <v>27</v>
      </c>
      <c r="BP1366" s="117" t="str">
        <f>VLOOKUP($D1366,'WB Data'!$C$3:$M$578,9,FALSE)</f>
        <v>..</v>
      </c>
      <c r="BQ1366" s="117">
        <f>VLOOKUP($D1366,'WB Data'!$C$3:$M$578,10,FALSE)</f>
        <v>50.329390243902445</v>
      </c>
      <c r="BR1366" s="117">
        <f>VLOOKUP($D1366,'WB Data'!$C$3:$M$578,11,FALSE)</f>
        <v>87.7</v>
      </c>
      <c r="BS1366" s="129">
        <f>IFERROR(VLOOKUP($D1366,'WB Data 2'!$C$2:$K$545,9,FALSE),"..")</f>
        <v>63.119669999999999</v>
      </c>
      <c r="BT1366" s="129">
        <f>_xlfn.IFNA(VLOOKUP($C1366,RGI!$A$2:$C$43,2,FALSE),"..")</f>
        <v>46.5</v>
      </c>
      <c r="BU1366" s="129">
        <f>_xlfn.IFNA(VLOOKUP($C1366,RGI!$A$2:$C$43,3,FALSE),"..")</f>
        <v>42.488706175328218</v>
      </c>
      <c r="BV1366" s="129">
        <f>VLOOKUP($D1366,WGI!$C$2:$O$478,7,FALSE)</f>
        <v>-0.76019870179617599</v>
      </c>
      <c r="BW1366" s="129">
        <f>VLOOKUP($D1366,WGI!$C$2:$O$478,4,FALSE)</f>
        <v>-1.8616477147217501</v>
      </c>
      <c r="BX1366" s="129">
        <f>VLOOKUP($D1366,WGI!$C$2:$O$478,3,FALSE)</f>
        <v>-0.967231283560683</v>
      </c>
      <c r="BY1366" s="129">
        <f>VLOOKUP($D1366,WGI!$C$2:$O$478,5,FALSE)</f>
        <v>-0.78015035957421297</v>
      </c>
      <c r="BZ1366" s="129">
        <f>VLOOKUP($D1366,WGI!$C$2:$O$478,2,FALSE)</f>
        <v>-0.81105438590161105</v>
      </c>
    </row>
    <row r="1367" spans="1:80" s="144" customFormat="1" ht="15" customHeight="1">
      <c r="A1367" s="296" t="s">
        <v>427</v>
      </c>
      <c r="B1367" s="228">
        <v>2009</v>
      </c>
      <c r="C1367" s="809" t="s">
        <v>413</v>
      </c>
      <c r="D1367" s="117" t="s">
        <v>3642</v>
      </c>
      <c r="E1367" s="450" t="s">
        <v>86</v>
      </c>
      <c r="F1367" s="132" t="s">
        <v>1936</v>
      </c>
      <c r="G1367" s="132" t="s">
        <v>55</v>
      </c>
      <c r="H1367" s="117" t="str">
        <f t="shared" si="231"/>
        <v>no</v>
      </c>
      <c r="I1367" s="117" t="str">
        <f t="shared" si="233"/>
        <v>yes</v>
      </c>
      <c r="J1367" s="117" t="str">
        <f t="shared" si="234"/>
        <v>yes</v>
      </c>
      <c r="K1367" s="132" t="s">
        <v>709</v>
      </c>
      <c r="L1367" s="117" t="str">
        <f t="shared" si="232"/>
        <v>Total</v>
      </c>
      <c r="M1367" s="117" t="str">
        <f t="shared" si="235"/>
        <v>Total Oil, Gas</v>
      </c>
      <c r="N1367" s="238"/>
      <c r="O1367" s="238"/>
      <c r="P1367" s="238"/>
      <c r="Q1367" s="238"/>
      <c r="R1367" s="238"/>
      <c r="S1367" s="132"/>
      <c r="T1367" s="134"/>
      <c r="U1367" s="132"/>
      <c r="V1367" s="132"/>
      <c r="W1367" s="135">
        <f>SUM(W1368:W1369)</f>
        <v>54591873000</v>
      </c>
      <c r="X1367" s="132" t="s">
        <v>742</v>
      </c>
      <c r="Y1367" s="132" t="s">
        <v>663</v>
      </c>
      <c r="Z1367" s="132" t="s">
        <v>664</v>
      </c>
      <c r="AA1367" s="135">
        <v>30129486000</v>
      </c>
      <c r="AB1367" s="598">
        <v>30087646000</v>
      </c>
      <c r="AC1367" s="599"/>
      <c r="AD1367" s="599"/>
      <c r="AE1367" s="599"/>
      <c r="AF1367" s="600">
        <f>AA1367/W1367</f>
        <v>0.55190423673501732</v>
      </c>
      <c r="AG1367" s="132" t="s">
        <v>1949</v>
      </c>
      <c r="AH1367" s="140">
        <v>150.96</v>
      </c>
      <c r="AI1367" s="132" t="s">
        <v>667</v>
      </c>
      <c r="AJ1367" s="135" t="s">
        <v>1957</v>
      </c>
      <c r="AK1367" s="135">
        <v>19436964000</v>
      </c>
      <c r="AL1367" s="132" t="s">
        <v>1958</v>
      </c>
      <c r="AM1367" s="135">
        <v>6730547203</v>
      </c>
      <c r="AN1367" s="132" t="s">
        <v>943</v>
      </c>
      <c r="AO1367" s="132" t="s">
        <v>943</v>
      </c>
      <c r="AP1367" s="132" t="s">
        <v>943</v>
      </c>
      <c r="AQ1367" s="132" t="s">
        <v>180</v>
      </c>
      <c r="AR1367" s="141">
        <v>41923</v>
      </c>
      <c r="AS1367" s="132" t="s">
        <v>1959</v>
      </c>
      <c r="AT1367" s="142" t="s">
        <v>1960</v>
      </c>
      <c r="AU1367" s="132" t="s">
        <v>1961</v>
      </c>
      <c r="AV1367" s="143" t="s">
        <v>1962</v>
      </c>
      <c r="AW1367" s="117">
        <f>VLOOKUP($D1367,'WB Data'!$C$3:$M$578,2,FALSE)</f>
        <v>169481270114.98428</v>
      </c>
      <c r="AX1367" s="117">
        <f>VLOOKUP($D1367,'WB Data'!$C$3:$M$578,3,FALSE)</f>
        <v>155381020</v>
      </c>
      <c r="AY1367" s="847">
        <f t="shared" si="237"/>
        <v>0.17777472389461502</v>
      </c>
      <c r="AZ1367" s="117">
        <f>VLOOKUP($D1367,'WB Data'!$C$3:$M$578,4,FALSE)/100</f>
        <v>0.10472713995332147</v>
      </c>
      <c r="BA1367" s="117">
        <f t="shared" si="238"/>
        <v>17749288694.798641</v>
      </c>
      <c r="BB1367" s="129">
        <f>IFERROR(VLOOKUP($D1367,'EITI Revenues'!$C$2:$G$224,5,FALSE),"..")</f>
        <v>30129486000</v>
      </c>
      <c r="BC1367" s="846">
        <f t="shared" si="239"/>
        <v>1.697503855961807</v>
      </c>
      <c r="BD1367" s="129">
        <f>VLOOKUP($D1367,'WB Data 2'!$C$2:$K$545,6,FALSE)</f>
        <v>51385273905.031136</v>
      </c>
      <c r="BE1367" s="129">
        <f>IFERROR(VLOOKUP($D1367,UNCTAD!$C$5:$V$529,4,FALSE),"..")</f>
        <v>58385274000</v>
      </c>
      <c r="BF1367" s="846">
        <f t="shared" si="240"/>
        <v>0.88010675268957606</v>
      </c>
      <c r="BG1367" s="117">
        <f>VLOOKUP($D1367,'WB Data'!$C$3:$M$578,5,FALSE)</f>
        <v>1657070000</v>
      </c>
      <c r="BH1367" s="129">
        <f>IFERROR($BB1367/$BG1367,"..")</f>
        <v>18.182385777305726</v>
      </c>
      <c r="BI1367" s="117" t="str">
        <f>IFERROR(VLOOKUP($D1367,'WB Data'!$C$3:$M$578,7,FALSE)/100,"..")</f>
        <v>..</v>
      </c>
      <c r="BJ1367" s="117" t="str">
        <f>IFERROR($BI1367*$AW1367,"..")</f>
        <v>..</v>
      </c>
      <c r="BK1367" s="846" t="str">
        <f>IFERROR($BB1367/$BJ1367,"..")</f>
        <v>..</v>
      </c>
      <c r="BL1367" s="117" t="str">
        <f>IFERROR(VLOOKUP($D1367,'WB Data'!$C$3:$M$578,7,FALSE)/100,"..")</f>
        <v>..</v>
      </c>
      <c r="BM1367" s="117" t="str">
        <f>IFERROR($AW1367*$BL1367,"..")</f>
        <v>..</v>
      </c>
      <c r="BN1367" s="846" t="str">
        <f>IFERROR($BB1367/$BM1367,"..")</f>
        <v>..</v>
      </c>
      <c r="BO1367" s="801">
        <f t="shared" si="236"/>
        <v>27</v>
      </c>
      <c r="BP1367" s="117" t="str">
        <f>VLOOKUP($D1367,'WB Data'!$C$3:$M$578,9,FALSE)</f>
        <v>..</v>
      </c>
      <c r="BQ1367" s="117">
        <f>VLOOKUP($D1367,'WB Data'!$C$3:$M$578,10,FALSE)</f>
        <v>50.830487804878054</v>
      </c>
      <c r="BR1367" s="117">
        <f>VLOOKUP($D1367,'WB Data'!$C$3:$M$578,11,FALSE)</f>
        <v>84.7</v>
      </c>
      <c r="BS1367" s="129">
        <f>IFERROR(VLOOKUP($D1367,'WB Data 2'!$C$2:$K$545,9,FALSE),"..")</f>
        <v>64.076099999999997</v>
      </c>
      <c r="BT1367" s="129">
        <f>_xlfn.IFNA(VLOOKUP($C1367,RGI!$A$2:$C$43,2,FALSE),"..")</f>
        <v>46.5</v>
      </c>
      <c r="BU1367" s="129">
        <f>_xlfn.IFNA(VLOOKUP($C1367,RGI!$A$2:$C$43,3,FALSE),"..")</f>
        <v>42.488706175328218</v>
      </c>
      <c r="BV1367" s="129">
        <f>VLOOKUP($D1367,WGI!$C$2:$O$478,7,FALSE)</f>
        <v>-0.87191090940425098</v>
      </c>
      <c r="BW1367" s="129">
        <f>VLOOKUP($D1367,WGI!$C$2:$O$478,4,FALSE)</f>
        <v>-1.9524677495139999</v>
      </c>
      <c r="BX1367" s="129">
        <f>VLOOKUP($D1367,WGI!$C$2:$O$478,3,FALSE)</f>
        <v>-1.20063179764928</v>
      </c>
      <c r="BY1367" s="129">
        <f>VLOOKUP($D1367,WGI!$C$2:$O$478,5,FALSE)</f>
        <v>-0.72845954903365895</v>
      </c>
      <c r="BZ1367" s="129">
        <f>VLOOKUP($D1367,WGI!$C$2:$O$478,2,FALSE)</f>
        <v>-0.97646890734238401</v>
      </c>
      <c r="CB1367" s="129"/>
    </row>
    <row r="1368" spans="1:80" s="120" customFormat="1" ht="15" customHeight="1">
      <c r="A1368" s="294" t="s">
        <v>427</v>
      </c>
      <c r="B1368" s="214">
        <v>2009</v>
      </c>
      <c r="C1368" s="809" t="s">
        <v>413</v>
      </c>
      <c r="D1368" s="117" t="s">
        <v>3642</v>
      </c>
      <c r="E1368" s="452" t="s">
        <v>86</v>
      </c>
      <c r="F1368" s="117"/>
      <c r="G1368" s="117" t="s">
        <v>561</v>
      </c>
      <c r="H1368" s="117" t="str">
        <f t="shared" si="231"/>
        <v>no</v>
      </c>
      <c r="I1368" s="117" t="str">
        <f t="shared" si="233"/>
        <v>yes</v>
      </c>
      <c r="J1368" s="117" t="str">
        <f t="shared" si="234"/>
        <v>no</v>
      </c>
      <c r="K1368" s="117" t="s">
        <v>561</v>
      </c>
      <c r="L1368" s="117" t="str">
        <f t="shared" si="232"/>
        <v>detailed</v>
      </c>
      <c r="M1368" s="117" t="str">
        <f t="shared" si="235"/>
        <v>detailed Gas</v>
      </c>
      <c r="N1368" s="179">
        <v>26000000000</v>
      </c>
      <c r="O1368" s="118">
        <f>N1368*0.0066</f>
        <v>171600000</v>
      </c>
      <c r="P1368" s="179"/>
      <c r="Q1368" s="179"/>
      <c r="R1368" s="179"/>
      <c r="S1368" s="117" t="s">
        <v>642</v>
      </c>
      <c r="T1368" s="119">
        <v>0.14422800000000002</v>
      </c>
      <c r="U1368" s="117" t="s">
        <v>643</v>
      </c>
      <c r="V1368" s="117" t="s">
        <v>738</v>
      </c>
      <c r="W1368" s="89">
        <f>N1368*T1368</f>
        <v>3749928000.0000005</v>
      </c>
      <c r="X1368" s="117"/>
      <c r="Y1368" s="117"/>
      <c r="Z1368" s="117"/>
      <c r="AA1368" s="117"/>
      <c r="AB1368" s="117"/>
      <c r="AC1368" s="240"/>
      <c r="AD1368" s="240"/>
      <c r="AE1368" s="240"/>
      <c r="AF1368" s="241"/>
      <c r="AG1368" s="117"/>
      <c r="AH1368" s="124"/>
      <c r="AI1368" s="117"/>
      <c r="AJ1368" s="117"/>
      <c r="AK1368" s="89"/>
      <c r="AL1368" s="117"/>
      <c r="AM1368" s="89"/>
      <c r="AN1368" s="117"/>
      <c r="AO1368" s="117"/>
      <c r="AP1368" s="117"/>
      <c r="AQ1368" s="117"/>
      <c r="AR1368" s="117"/>
      <c r="AS1368" s="117"/>
      <c r="AT1368" s="117"/>
      <c r="AU1368" s="117"/>
      <c r="AV1368" s="128"/>
      <c r="AW1368" s="117">
        <f>VLOOKUP($D1368,'WB Data'!$C$3:$M$578,2,FALSE)</f>
        <v>169481270114.98428</v>
      </c>
      <c r="AX1368" s="117">
        <f>VLOOKUP($D1368,'WB Data'!$C$3:$M$578,3,FALSE)</f>
        <v>155381020</v>
      </c>
      <c r="AY1368" s="847">
        <f t="shared" si="237"/>
        <v>0.17777472389461502</v>
      </c>
      <c r="AZ1368" s="117">
        <f>VLOOKUP($D1368,'WB Data'!$C$3:$M$578,4,FALSE)/100</f>
        <v>0.10472713995332147</v>
      </c>
      <c r="BA1368" s="117">
        <f t="shared" si="238"/>
        <v>17749288694.798641</v>
      </c>
      <c r="BB1368" s="129">
        <f>IFERROR(VLOOKUP($D1368,'EITI Revenues'!$C$2:$G$224,5,FALSE),"..")</f>
        <v>30129486000</v>
      </c>
      <c r="BC1368" s="846">
        <f t="shared" si="239"/>
        <v>1.697503855961807</v>
      </c>
      <c r="BD1368" s="129">
        <f>VLOOKUP($D1368,'WB Data 2'!$C$2:$K$545,6,FALSE)</f>
        <v>51385273905.031136</v>
      </c>
      <c r="BE1368" s="129">
        <f>IFERROR(VLOOKUP($D1368,UNCTAD!$C$5:$V$529,4,FALSE),"..")</f>
        <v>58385274000</v>
      </c>
      <c r="BF1368" s="846">
        <f t="shared" si="240"/>
        <v>0.88010675268957606</v>
      </c>
      <c r="BG1368" s="117">
        <f>VLOOKUP($D1368,'WB Data'!$C$3:$M$578,5,FALSE)</f>
        <v>1657070000</v>
      </c>
      <c r="BH1368" s="129">
        <f>IFERROR($BB1368/$BG1368,"..")</f>
        <v>18.182385777305726</v>
      </c>
      <c r="BI1368" s="117" t="str">
        <f>IFERROR(VLOOKUP($D1368,'WB Data'!$C$3:$M$578,7,FALSE)/100,"..")</f>
        <v>..</v>
      </c>
      <c r="BJ1368" s="117" t="str">
        <f>IFERROR($BI1368*$AW1368,"..")</f>
        <v>..</v>
      </c>
      <c r="BK1368" s="846" t="str">
        <f>IFERROR($BB1368/$BJ1368,"..")</f>
        <v>..</v>
      </c>
      <c r="BL1368" s="117" t="str">
        <f>IFERROR(VLOOKUP($D1368,'WB Data'!$C$3:$M$578,7,FALSE)/100,"..")</f>
        <v>..</v>
      </c>
      <c r="BM1368" s="117" t="str">
        <f>IFERROR($AW1368*$BL1368,"..")</f>
        <v>..</v>
      </c>
      <c r="BN1368" s="846" t="str">
        <f>IFERROR($BB1368/$BM1368,"..")</f>
        <v>..</v>
      </c>
      <c r="BO1368" s="801">
        <f t="shared" si="236"/>
        <v>27</v>
      </c>
      <c r="BP1368" s="117" t="str">
        <f>VLOOKUP($D1368,'WB Data'!$C$3:$M$578,9,FALSE)</f>
        <v>..</v>
      </c>
      <c r="BQ1368" s="117">
        <f>VLOOKUP($D1368,'WB Data'!$C$3:$M$578,10,FALSE)</f>
        <v>50.830487804878054</v>
      </c>
      <c r="BR1368" s="117">
        <f>VLOOKUP($D1368,'WB Data'!$C$3:$M$578,11,FALSE)</f>
        <v>84.7</v>
      </c>
      <c r="BS1368" s="129">
        <f>IFERROR(VLOOKUP($D1368,'WB Data 2'!$C$2:$K$545,9,FALSE),"..")</f>
        <v>64.076099999999997</v>
      </c>
      <c r="BT1368" s="129">
        <f>_xlfn.IFNA(VLOOKUP($C1368,RGI!$A$2:$C$43,2,FALSE),"..")</f>
        <v>46.5</v>
      </c>
      <c r="BU1368" s="129">
        <f>_xlfn.IFNA(VLOOKUP($C1368,RGI!$A$2:$C$43,3,FALSE),"..")</f>
        <v>42.488706175328218</v>
      </c>
      <c r="BV1368" s="129">
        <f>VLOOKUP($D1368,WGI!$C$2:$O$478,7,FALSE)</f>
        <v>-0.87191090940425098</v>
      </c>
      <c r="BW1368" s="129">
        <f>VLOOKUP($D1368,WGI!$C$2:$O$478,4,FALSE)</f>
        <v>-1.9524677495139999</v>
      </c>
      <c r="BX1368" s="129">
        <f>VLOOKUP($D1368,WGI!$C$2:$O$478,3,FALSE)</f>
        <v>-1.20063179764928</v>
      </c>
      <c r="BY1368" s="129">
        <f>VLOOKUP($D1368,WGI!$C$2:$O$478,5,FALSE)</f>
        <v>-0.72845954903365895</v>
      </c>
      <c r="BZ1368" s="129">
        <f>VLOOKUP($D1368,WGI!$C$2:$O$478,2,FALSE)</f>
        <v>-0.97646890734238401</v>
      </c>
      <c r="CB1368" s="129"/>
    </row>
    <row r="1369" spans="1:80" s="158" customFormat="1" ht="15" customHeight="1">
      <c r="A1369" s="295" t="s">
        <v>427</v>
      </c>
      <c r="B1369" s="218">
        <v>2009</v>
      </c>
      <c r="C1369" s="809" t="s">
        <v>413</v>
      </c>
      <c r="D1369" s="117" t="s">
        <v>3642</v>
      </c>
      <c r="E1369" s="453" t="s">
        <v>86</v>
      </c>
      <c r="F1369" s="149"/>
      <c r="G1369" s="117" t="s">
        <v>103</v>
      </c>
      <c r="H1369" s="117" t="str">
        <f t="shared" ref="H1369:H1432" si="241">IF($G1369="Mining","yes",IF($G1369="Oil, Gas, Mining","yes",IF($G1369="Gas, Mining","yes",IF($G1369="Oil, Mining","yes",IF($G1369="Oil, Mining, Other","yes","no")))))</f>
        <v>no</v>
      </c>
      <c r="I1369" s="117" t="str">
        <f t="shared" si="233"/>
        <v>no</v>
      </c>
      <c r="J1369" s="117" t="str">
        <f t="shared" si="234"/>
        <v>yes</v>
      </c>
      <c r="K1369" s="149" t="s">
        <v>103</v>
      </c>
      <c r="L1369" s="117" t="str">
        <f t="shared" ref="L1369:L1432" si="242">IF(LEFT(K1369,5)="Total","Total","detailed")</f>
        <v>detailed</v>
      </c>
      <c r="M1369" s="117" t="str">
        <f t="shared" si="235"/>
        <v>detailed Oil</v>
      </c>
      <c r="N1369" s="216">
        <v>807015000</v>
      </c>
      <c r="O1369" s="211">
        <f>O1368/N1369</f>
        <v>0.2126354528726232</v>
      </c>
      <c r="P1369" s="216"/>
      <c r="Q1369" s="216"/>
      <c r="R1369" s="216"/>
      <c r="S1369" s="149" t="s">
        <v>646</v>
      </c>
      <c r="T1369" s="151">
        <v>63</v>
      </c>
      <c r="U1369" s="149" t="s">
        <v>673</v>
      </c>
      <c r="V1369" s="149" t="s">
        <v>1963</v>
      </c>
      <c r="W1369" s="152">
        <f>N1369*T1369</f>
        <v>50841945000</v>
      </c>
      <c r="X1369" s="149"/>
      <c r="Y1369" s="149"/>
      <c r="Z1369" s="149"/>
      <c r="AA1369" s="149"/>
      <c r="AB1369" s="149"/>
      <c r="AC1369" s="288"/>
      <c r="AD1369" s="288"/>
      <c r="AE1369" s="288"/>
      <c r="AF1369" s="285"/>
      <c r="AG1369" s="149"/>
      <c r="AH1369" s="156"/>
      <c r="AI1369" s="149"/>
      <c r="AJ1369" s="149"/>
      <c r="AK1369" s="152"/>
      <c r="AL1369" s="149"/>
      <c r="AM1369" s="152"/>
      <c r="AN1369" s="149"/>
      <c r="AO1369" s="149"/>
      <c r="AP1369" s="149"/>
      <c r="AQ1369" s="149"/>
      <c r="AR1369" s="149"/>
      <c r="AS1369" s="149"/>
      <c r="AT1369" s="149"/>
      <c r="AU1369" s="149">
        <v>5</v>
      </c>
      <c r="AV1369" s="157"/>
      <c r="AW1369" s="117">
        <f>VLOOKUP($D1369,'WB Data'!$C$3:$M$578,2,FALSE)</f>
        <v>169481270114.98428</v>
      </c>
      <c r="AX1369" s="117">
        <f>VLOOKUP($D1369,'WB Data'!$C$3:$M$578,3,FALSE)</f>
        <v>155381020</v>
      </c>
      <c r="AY1369" s="847">
        <f t="shared" si="237"/>
        <v>0.17777472389461502</v>
      </c>
      <c r="AZ1369" s="117">
        <f>VLOOKUP($D1369,'WB Data'!$C$3:$M$578,4,FALSE)/100</f>
        <v>0.10472713995332147</v>
      </c>
      <c r="BA1369" s="117">
        <f t="shared" si="238"/>
        <v>17749288694.798641</v>
      </c>
      <c r="BB1369" s="129">
        <f>IFERROR(VLOOKUP($D1369,'EITI Revenues'!$C$2:$G$224,5,FALSE),"..")</f>
        <v>30129486000</v>
      </c>
      <c r="BC1369" s="846">
        <f t="shared" si="239"/>
        <v>1.697503855961807</v>
      </c>
      <c r="BD1369" s="129">
        <f>VLOOKUP($D1369,'WB Data 2'!$C$2:$K$545,6,FALSE)</f>
        <v>51385273905.031136</v>
      </c>
      <c r="BE1369" s="129">
        <f>IFERROR(VLOOKUP($D1369,UNCTAD!$C$5:$V$529,4,FALSE),"..")</f>
        <v>58385274000</v>
      </c>
      <c r="BF1369" s="846">
        <f t="shared" si="240"/>
        <v>0.88010675268957606</v>
      </c>
      <c r="BG1369" s="117">
        <f>VLOOKUP($D1369,'WB Data'!$C$3:$M$578,5,FALSE)</f>
        <v>1657070000</v>
      </c>
      <c r="BH1369" s="129">
        <f>IFERROR($BB1369/$BG1369,"..")</f>
        <v>18.182385777305726</v>
      </c>
      <c r="BI1369" s="117" t="str">
        <f>IFERROR(VLOOKUP($D1369,'WB Data'!$C$3:$M$578,7,FALSE)/100,"..")</f>
        <v>..</v>
      </c>
      <c r="BJ1369" s="117" t="str">
        <f>IFERROR($BI1369*$AW1369,"..")</f>
        <v>..</v>
      </c>
      <c r="BK1369" s="846" t="str">
        <f>IFERROR($BB1369/$BJ1369,"..")</f>
        <v>..</v>
      </c>
      <c r="BL1369" s="117" t="str">
        <f>IFERROR(VLOOKUP($D1369,'WB Data'!$C$3:$M$578,7,FALSE)/100,"..")</f>
        <v>..</v>
      </c>
      <c r="BM1369" s="117" t="str">
        <f>IFERROR($AW1369*$BL1369,"..")</f>
        <v>..</v>
      </c>
      <c r="BN1369" s="846" t="str">
        <f>IFERROR($BB1369/$BM1369,"..")</f>
        <v>..</v>
      </c>
      <c r="BO1369" s="801">
        <f t="shared" si="236"/>
        <v>27</v>
      </c>
      <c r="BP1369" s="117" t="str">
        <f>VLOOKUP($D1369,'WB Data'!$C$3:$M$578,9,FALSE)</f>
        <v>..</v>
      </c>
      <c r="BQ1369" s="117">
        <f>VLOOKUP($D1369,'WB Data'!$C$3:$M$578,10,FALSE)</f>
        <v>50.830487804878054</v>
      </c>
      <c r="BR1369" s="117">
        <f>VLOOKUP($D1369,'WB Data'!$C$3:$M$578,11,FALSE)</f>
        <v>84.7</v>
      </c>
      <c r="BS1369" s="129">
        <f>IFERROR(VLOOKUP($D1369,'WB Data 2'!$C$2:$K$545,9,FALSE),"..")</f>
        <v>64.076099999999997</v>
      </c>
      <c r="BT1369" s="129">
        <f>_xlfn.IFNA(VLOOKUP($C1369,RGI!$A$2:$C$43,2,FALSE),"..")</f>
        <v>46.5</v>
      </c>
      <c r="BU1369" s="129">
        <f>_xlfn.IFNA(VLOOKUP($C1369,RGI!$A$2:$C$43,3,FALSE),"..")</f>
        <v>42.488706175328218</v>
      </c>
      <c r="BV1369" s="129">
        <f>VLOOKUP($D1369,WGI!$C$2:$O$478,7,FALSE)</f>
        <v>-0.87191090940425098</v>
      </c>
      <c r="BW1369" s="129">
        <f>VLOOKUP($D1369,WGI!$C$2:$O$478,4,FALSE)</f>
        <v>-1.9524677495139999</v>
      </c>
      <c r="BX1369" s="129">
        <f>VLOOKUP($D1369,WGI!$C$2:$O$478,3,FALSE)</f>
        <v>-1.20063179764928</v>
      </c>
      <c r="BY1369" s="129">
        <f>VLOOKUP($D1369,WGI!$C$2:$O$478,5,FALSE)</f>
        <v>-0.72845954903365895</v>
      </c>
      <c r="BZ1369" s="129">
        <f>VLOOKUP($D1369,WGI!$C$2:$O$478,2,FALSE)</f>
        <v>-0.97646890734238401</v>
      </c>
      <c r="CB1369" s="129"/>
    </row>
    <row r="1370" spans="1:80" ht="15" customHeight="1">
      <c r="A1370" s="294" t="s">
        <v>429</v>
      </c>
      <c r="B1370" s="214">
        <v>2010</v>
      </c>
      <c r="C1370" s="809" t="s">
        <v>413</v>
      </c>
      <c r="D1370" s="117" t="s">
        <v>3676</v>
      </c>
      <c r="E1370" s="452" t="s">
        <v>86</v>
      </c>
      <c r="F1370" s="117" t="s">
        <v>1936</v>
      </c>
      <c r="G1370" s="132" t="s">
        <v>55</v>
      </c>
      <c r="H1370" s="117" t="str">
        <f t="shared" si="241"/>
        <v>no</v>
      </c>
      <c r="I1370" s="117" t="str">
        <f t="shared" si="233"/>
        <v>yes</v>
      </c>
      <c r="J1370" s="117" t="str">
        <f t="shared" si="234"/>
        <v>yes</v>
      </c>
      <c r="K1370" s="117" t="s">
        <v>709</v>
      </c>
      <c r="L1370" s="117" t="str">
        <f t="shared" si="242"/>
        <v>Total</v>
      </c>
      <c r="M1370" s="117" t="str">
        <f t="shared" si="235"/>
        <v>Total Oil, Gas</v>
      </c>
      <c r="N1370" s="179"/>
      <c r="O1370" s="179"/>
      <c r="P1370" s="179"/>
      <c r="Q1370" s="179"/>
      <c r="R1370" s="179"/>
      <c r="S1370" s="117"/>
      <c r="T1370" s="119"/>
      <c r="U1370" s="117"/>
      <c r="V1370" s="117"/>
      <c r="W1370" s="89">
        <f>SUM(W1371:W1372)</f>
        <v>80165818466.740265</v>
      </c>
      <c r="X1370" s="117" t="s">
        <v>742</v>
      </c>
      <c r="Y1370" s="117" t="s">
        <v>663</v>
      </c>
      <c r="Z1370" s="117" t="s">
        <v>664</v>
      </c>
      <c r="AA1370" s="89">
        <v>44944995000</v>
      </c>
      <c r="AB1370" s="597">
        <v>44965362000</v>
      </c>
      <c r="AC1370" s="240"/>
      <c r="AD1370" s="240"/>
      <c r="AE1370" s="240"/>
      <c r="AF1370" s="241">
        <f>AA1370/W1370</f>
        <v>0.56065036021115511</v>
      </c>
      <c r="AG1370" s="117" t="s">
        <v>1949</v>
      </c>
      <c r="AH1370" s="124">
        <v>152.80000000000001</v>
      </c>
      <c r="AI1370" s="117" t="s">
        <v>667</v>
      </c>
      <c r="AJ1370" s="89" t="s">
        <v>1964</v>
      </c>
      <c r="AK1370" s="89">
        <v>30922007000</v>
      </c>
      <c r="AL1370" s="117" t="s">
        <v>1958</v>
      </c>
      <c r="AM1370" s="89">
        <v>8910931283</v>
      </c>
      <c r="AN1370" s="117" t="s">
        <v>943</v>
      </c>
      <c r="AO1370" s="117" t="s">
        <v>943</v>
      </c>
      <c r="AP1370" s="117" t="s">
        <v>943</v>
      </c>
      <c r="AQ1370" s="117" t="s">
        <v>180</v>
      </c>
      <c r="AR1370" s="126">
        <v>41923</v>
      </c>
      <c r="AS1370" s="117" t="s">
        <v>1959</v>
      </c>
      <c r="AT1370" s="117" t="s">
        <v>1965</v>
      </c>
      <c r="AU1370" s="117" t="s">
        <v>1961</v>
      </c>
      <c r="AV1370" s="128" t="s">
        <v>1962</v>
      </c>
      <c r="AW1370" s="117">
        <f>VLOOKUP($D1370,'WB Data'!$C$3:$M$578,2,FALSE)</f>
        <v>369062403181.9447</v>
      </c>
      <c r="AX1370" s="117">
        <f>VLOOKUP($D1370,'WB Data'!$C$3:$M$578,3,FALSE)</f>
        <v>159707780</v>
      </c>
      <c r="AY1370" s="847">
        <f t="shared" si="237"/>
        <v>0.12178155946663169</v>
      </c>
      <c r="AZ1370" s="117">
        <f>VLOOKUP($D1370,'WB Data'!$C$3:$M$578,4,FALSE)/100</f>
        <v>5.569201700204518E-2</v>
      </c>
      <c r="BA1370" s="117">
        <f t="shared" si="238"/>
        <v>20553829632.824516</v>
      </c>
      <c r="BB1370" s="129">
        <f>IFERROR(VLOOKUP($D1370,'EITI Revenues'!$C$2:$G$224,5,FALSE),"..")</f>
        <v>44944995000</v>
      </c>
      <c r="BC1370" s="846">
        <f t="shared" si="239"/>
        <v>2.1866968736678993</v>
      </c>
      <c r="BD1370" s="129">
        <f>VLOOKUP($D1370,'WB Data 2'!$C$2:$K$545,6,FALSE)</f>
        <v>74099071667.26619</v>
      </c>
      <c r="BE1370" s="129">
        <f>IFERROR(VLOOKUP($D1370,UNCTAD!$C$5:$V$529,4,FALSE),"..")</f>
        <v>80975024000</v>
      </c>
      <c r="BF1370" s="846">
        <f t="shared" si="240"/>
        <v>0.91508551658183135</v>
      </c>
      <c r="BG1370" s="117">
        <f>VLOOKUP($D1370,'WB Data'!$C$3:$M$578,5,FALSE)</f>
        <v>2061960000</v>
      </c>
      <c r="BH1370" s="129">
        <f>IFERROR($BB1370/$BG1370,"..")</f>
        <v>21.797219635686435</v>
      </c>
      <c r="BI1370" s="117" t="str">
        <f>IFERROR(VLOOKUP($D1370,'WB Data'!$C$3:$M$578,7,FALSE)/100,"..")</f>
        <v>..</v>
      </c>
      <c r="BJ1370" s="117" t="str">
        <f>IFERROR($BI1370*$AW1370,"..")</f>
        <v>..</v>
      </c>
      <c r="BK1370" s="846" t="str">
        <f>IFERROR($BB1370/$BJ1370,"..")</f>
        <v>..</v>
      </c>
      <c r="BL1370" s="117" t="str">
        <f>IFERROR(VLOOKUP($D1370,'WB Data'!$C$3:$M$578,7,FALSE)/100,"..")</f>
        <v>..</v>
      </c>
      <c r="BM1370" s="117" t="str">
        <f>IFERROR($AW1370*$BL1370,"..")</f>
        <v>..</v>
      </c>
      <c r="BN1370" s="846" t="str">
        <f>IFERROR($BB1370/$BM1370,"..")</f>
        <v>..</v>
      </c>
      <c r="BO1370" s="801">
        <f t="shared" si="236"/>
        <v>27</v>
      </c>
      <c r="BP1370" s="117">
        <f>VLOOKUP($D1370,'WB Data'!$C$3:$M$578,9,FALSE)</f>
        <v>46</v>
      </c>
      <c r="BQ1370" s="117">
        <f>VLOOKUP($D1370,'WB Data'!$C$3:$M$578,10,FALSE)</f>
        <v>51.289414634146354</v>
      </c>
      <c r="BR1370" s="117">
        <f>VLOOKUP($D1370,'WB Data'!$C$3:$M$578,11,FALSE)</f>
        <v>81.900000000000006</v>
      </c>
      <c r="BS1370" s="129">
        <f>IFERROR(VLOOKUP($D1370,'WB Data 2'!$C$2:$K$545,9,FALSE),"..")</f>
        <v>65.740309999999994</v>
      </c>
      <c r="BT1370" s="129">
        <f>_xlfn.IFNA(VLOOKUP($C1370,RGI!$A$2:$C$43,2,FALSE),"..")</f>
        <v>46.5</v>
      </c>
      <c r="BU1370" s="129">
        <f>_xlfn.IFNA(VLOOKUP($C1370,RGI!$A$2:$C$43,3,FALSE),"..")</f>
        <v>42.488706175328218</v>
      </c>
      <c r="BV1370" s="129">
        <f>VLOOKUP($D1370,WGI!$C$2:$O$478,7,FALSE)</f>
        <v>-0.80221772774641098</v>
      </c>
      <c r="BW1370" s="129">
        <f>VLOOKUP($D1370,WGI!$C$2:$O$478,4,FALSE)</f>
        <v>-2.1936058653616999</v>
      </c>
      <c r="BX1370" s="129">
        <f>VLOOKUP($D1370,WGI!$C$2:$O$478,3,FALSE)</f>
        <v>-1.1511203008915001</v>
      </c>
      <c r="BY1370" s="129">
        <f>VLOOKUP($D1370,WGI!$C$2:$O$478,5,FALSE)</f>
        <v>-0.71374610128231797</v>
      </c>
      <c r="BZ1370" s="129">
        <f>VLOOKUP($D1370,WGI!$C$2:$O$478,2,FALSE)</f>
        <v>-0.99732661038004999</v>
      </c>
    </row>
    <row r="1371" spans="1:80" ht="15" customHeight="1">
      <c r="A1371" s="294" t="s">
        <v>429</v>
      </c>
      <c r="B1371" s="214">
        <v>2010</v>
      </c>
      <c r="C1371" s="809" t="s">
        <v>413</v>
      </c>
      <c r="D1371" s="117" t="s">
        <v>3676</v>
      </c>
      <c r="E1371" s="452" t="s">
        <v>86</v>
      </c>
      <c r="F1371" s="117"/>
      <c r="G1371" s="117" t="s">
        <v>561</v>
      </c>
      <c r="H1371" s="117" t="str">
        <f t="shared" si="241"/>
        <v>no</v>
      </c>
      <c r="I1371" s="117" t="str">
        <f t="shared" si="233"/>
        <v>yes</v>
      </c>
      <c r="J1371" s="117" t="str">
        <f t="shared" si="234"/>
        <v>no</v>
      </c>
      <c r="K1371" s="117" t="s">
        <v>561</v>
      </c>
      <c r="L1371" s="117" t="str">
        <f t="shared" si="242"/>
        <v>detailed</v>
      </c>
      <c r="M1371" s="117" t="str">
        <f t="shared" si="235"/>
        <v>detailed Gas</v>
      </c>
      <c r="N1371" s="179">
        <v>37300000000</v>
      </c>
      <c r="O1371" s="118">
        <f>N1371*0.0066</f>
        <v>246180000</v>
      </c>
      <c r="P1371" s="179"/>
      <c r="Q1371" s="179"/>
      <c r="R1371" s="179"/>
      <c r="S1371" s="117" t="s">
        <v>642</v>
      </c>
      <c r="T1371" s="119">
        <v>0.1741077336927683</v>
      </c>
      <c r="U1371" s="117" t="s">
        <v>643</v>
      </c>
      <c r="V1371" s="117" t="s">
        <v>738</v>
      </c>
      <c r="W1371" s="89">
        <f>N1371*T1371</f>
        <v>6494218466.7402573</v>
      </c>
      <c r="X1371" s="117"/>
      <c r="Y1371" s="117"/>
      <c r="Z1371" s="117"/>
      <c r="AA1371" s="117"/>
      <c r="AB1371" s="117"/>
      <c r="AC1371" s="240"/>
      <c r="AD1371" s="240"/>
      <c r="AE1371" s="240"/>
      <c r="AF1371" s="241"/>
      <c r="AG1371" s="117"/>
      <c r="AH1371" s="124"/>
      <c r="AI1371" s="117"/>
      <c r="AJ1371" s="117"/>
      <c r="AK1371" s="89"/>
      <c r="AL1371" s="117"/>
      <c r="AM1371" s="89"/>
      <c r="AN1371" s="117"/>
      <c r="AO1371" s="117"/>
      <c r="AP1371" s="117"/>
      <c r="AQ1371" s="117"/>
      <c r="AR1371" s="117"/>
      <c r="AS1371" s="117"/>
      <c r="AT1371" s="117"/>
      <c r="AU1371" s="117"/>
      <c r="AV1371" s="128"/>
      <c r="AW1371" s="117">
        <f>VLOOKUP($D1371,'WB Data'!$C$3:$M$578,2,FALSE)</f>
        <v>369062403181.9447</v>
      </c>
      <c r="AX1371" s="117">
        <f>VLOOKUP($D1371,'WB Data'!$C$3:$M$578,3,FALSE)</f>
        <v>159707780</v>
      </c>
      <c r="AY1371" s="847">
        <f t="shared" si="237"/>
        <v>0.12178155946663169</v>
      </c>
      <c r="AZ1371" s="117">
        <f>VLOOKUP($D1371,'WB Data'!$C$3:$M$578,4,FALSE)/100</f>
        <v>5.569201700204518E-2</v>
      </c>
      <c r="BA1371" s="117">
        <f t="shared" si="238"/>
        <v>20553829632.824516</v>
      </c>
      <c r="BB1371" s="129">
        <f>IFERROR(VLOOKUP($D1371,'EITI Revenues'!$C$2:$G$224,5,FALSE),"..")</f>
        <v>44944995000</v>
      </c>
      <c r="BC1371" s="846">
        <f t="shared" si="239"/>
        <v>2.1866968736678993</v>
      </c>
      <c r="BD1371" s="129">
        <f>VLOOKUP($D1371,'WB Data 2'!$C$2:$K$545,6,FALSE)</f>
        <v>74099071667.26619</v>
      </c>
      <c r="BE1371" s="129">
        <f>IFERROR(VLOOKUP($D1371,UNCTAD!$C$5:$V$529,4,FALSE),"..")</f>
        <v>80975024000</v>
      </c>
      <c r="BF1371" s="846">
        <f t="shared" si="240"/>
        <v>0.91508551658183135</v>
      </c>
      <c r="BG1371" s="117">
        <f>VLOOKUP($D1371,'WB Data'!$C$3:$M$578,5,FALSE)</f>
        <v>2061960000</v>
      </c>
      <c r="BH1371" s="129">
        <f>IFERROR($BB1371/$BG1371,"..")</f>
        <v>21.797219635686435</v>
      </c>
      <c r="BI1371" s="117" t="str">
        <f>IFERROR(VLOOKUP($D1371,'WB Data'!$C$3:$M$578,7,FALSE)/100,"..")</f>
        <v>..</v>
      </c>
      <c r="BJ1371" s="117" t="str">
        <f>IFERROR($BI1371*$AW1371,"..")</f>
        <v>..</v>
      </c>
      <c r="BK1371" s="846" t="str">
        <f>IFERROR($BB1371/$BJ1371,"..")</f>
        <v>..</v>
      </c>
      <c r="BL1371" s="117" t="str">
        <f>IFERROR(VLOOKUP($D1371,'WB Data'!$C$3:$M$578,7,FALSE)/100,"..")</f>
        <v>..</v>
      </c>
      <c r="BM1371" s="117" t="str">
        <f>IFERROR($AW1371*$BL1371,"..")</f>
        <v>..</v>
      </c>
      <c r="BN1371" s="846" t="str">
        <f>IFERROR($BB1371/$BM1371,"..")</f>
        <v>..</v>
      </c>
      <c r="BO1371" s="801">
        <f t="shared" si="236"/>
        <v>27</v>
      </c>
      <c r="BP1371" s="117">
        <f>VLOOKUP($D1371,'WB Data'!$C$3:$M$578,9,FALSE)</f>
        <v>46</v>
      </c>
      <c r="BQ1371" s="117">
        <f>VLOOKUP($D1371,'WB Data'!$C$3:$M$578,10,FALSE)</f>
        <v>51.289414634146354</v>
      </c>
      <c r="BR1371" s="117">
        <f>VLOOKUP($D1371,'WB Data'!$C$3:$M$578,11,FALSE)</f>
        <v>81.900000000000006</v>
      </c>
      <c r="BS1371" s="129">
        <f>IFERROR(VLOOKUP($D1371,'WB Data 2'!$C$2:$K$545,9,FALSE),"..")</f>
        <v>65.740309999999994</v>
      </c>
      <c r="BT1371" s="129">
        <f>_xlfn.IFNA(VLOOKUP($C1371,RGI!$A$2:$C$43,2,FALSE),"..")</f>
        <v>46.5</v>
      </c>
      <c r="BU1371" s="129">
        <f>_xlfn.IFNA(VLOOKUP($C1371,RGI!$A$2:$C$43,3,FALSE),"..")</f>
        <v>42.488706175328218</v>
      </c>
      <c r="BV1371" s="129">
        <f>VLOOKUP($D1371,WGI!$C$2:$O$478,7,FALSE)</f>
        <v>-0.80221772774641098</v>
      </c>
      <c r="BW1371" s="129">
        <f>VLOOKUP($D1371,WGI!$C$2:$O$478,4,FALSE)</f>
        <v>-2.1936058653616999</v>
      </c>
      <c r="BX1371" s="129">
        <f>VLOOKUP($D1371,WGI!$C$2:$O$478,3,FALSE)</f>
        <v>-1.1511203008915001</v>
      </c>
      <c r="BY1371" s="129">
        <f>VLOOKUP($D1371,WGI!$C$2:$O$478,5,FALSE)</f>
        <v>-0.71374610128231797</v>
      </c>
      <c r="BZ1371" s="129">
        <f>VLOOKUP($D1371,WGI!$C$2:$O$478,2,FALSE)</f>
        <v>-0.99732661038004999</v>
      </c>
    </row>
    <row r="1372" spans="1:80" ht="15" customHeight="1">
      <c r="A1372" s="294" t="s">
        <v>429</v>
      </c>
      <c r="B1372" s="214">
        <v>2010</v>
      </c>
      <c r="C1372" s="809" t="s">
        <v>413</v>
      </c>
      <c r="D1372" s="117" t="s">
        <v>3676</v>
      </c>
      <c r="E1372" s="452" t="s">
        <v>86</v>
      </c>
      <c r="F1372" s="117"/>
      <c r="G1372" s="117" t="s">
        <v>103</v>
      </c>
      <c r="H1372" s="117" t="str">
        <f t="shared" si="241"/>
        <v>no</v>
      </c>
      <c r="I1372" s="117" t="str">
        <f t="shared" si="233"/>
        <v>no</v>
      </c>
      <c r="J1372" s="117" t="str">
        <f t="shared" si="234"/>
        <v>yes</v>
      </c>
      <c r="K1372" s="117" t="s">
        <v>103</v>
      </c>
      <c r="L1372" s="117" t="str">
        <f t="shared" si="242"/>
        <v>detailed</v>
      </c>
      <c r="M1372" s="117" t="str">
        <f t="shared" si="235"/>
        <v>detailed Oil</v>
      </c>
      <c r="N1372" s="179">
        <v>920895000</v>
      </c>
      <c r="O1372" s="211">
        <f>O1371/N1372</f>
        <v>0.2673268939455638</v>
      </c>
      <c r="P1372" s="179"/>
      <c r="Q1372" s="179"/>
      <c r="R1372" s="179"/>
      <c r="S1372" s="117" t="s">
        <v>646</v>
      </c>
      <c r="T1372" s="119">
        <v>80</v>
      </c>
      <c r="U1372" s="117" t="s">
        <v>673</v>
      </c>
      <c r="V1372" s="117" t="s">
        <v>1963</v>
      </c>
      <c r="W1372" s="89">
        <f>N1372*T1372</f>
        <v>73671600000</v>
      </c>
      <c r="X1372" s="117"/>
      <c r="Y1372" s="117"/>
      <c r="Z1372" s="117"/>
      <c r="AA1372" s="117"/>
      <c r="AB1372" s="117"/>
      <c r="AC1372" s="240"/>
      <c r="AD1372" s="240"/>
      <c r="AE1372" s="240"/>
      <c r="AF1372" s="241"/>
      <c r="AG1372" s="117"/>
      <c r="AH1372" s="124"/>
      <c r="AI1372" s="117"/>
      <c r="AJ1372" s="117"/>
      <c r="AK1372" s="89"/>
      <c r="AL1372" s="117"/>
      <c r="AM1372" s="89"/>
      <c r="AN1372" s="117"/>
      <c r="AO1372" s="117"/>
      <c r="AP1372" s="117"/>
      <c r="AQ1372" s="117"/>
      <c r="AR1372" s="117"/>
      <c r="AS1372" s="117"/>
      <c r="AT1372" s="117"/>
      <c r="AU1372" s="117">
        <v>5</v>
      </c>
      <c r="AV1372" s="128"/>
      <c r="AW1372" s="117">
        <f>VLOOKUP($D1372,'WB Data'!$C$3:$M$578,2,FALSE)</f>
        <v>369062403181.9447</v>
      </c>
      <c r="AX1372" s="117">
        <f>VLOOKUP($D1372,'WB Data'!$C$3:$M$578,3,FALSE)</f>
        <v>159707780</v>
      </c>
      <c r="AY1372" s="847">
        <f t="shared" si="237"/>
        <v>0.12178155946663169</v>
      </c>
      <c r="AZ1372" s="117">
        <f>VLOOKUP($D1372,'WB Data'!$C$3:$M$578,4,FALSE)/100</f>
        <v>5.569201700204518E-2</v>
      </c>
      <c r="BA1372" s="117">
        <f t="shared" si="238"/>
        <v>20553829632.824516</v>
      </c>
      <c r="BB1372" s="129">
        <f>IFERROR(VLOOKUP($D1372,'EITI Revenues'!$C$2:$G$224,5,FALSE),"..")</f>
        <v>44944995000</v>
      </c>
      <c r="BC1372" s="846">
        <f t="shared" si="239"/>
        <v>2.1866968736678993</v>
      </c>
      <c r="BD1372" s="129">
        <f>VLOOKUP($D1372,'WB Data 2'!$C$2:$K$545,6,FALSE)</f>
        <v>74099071667.26619</v>
      </c>
      <c r="BE1372" s="129">
        <f>IFERROR(VLOOKUP($D1372,UNCTAD!$C$5:$V$529,4,FALSE),"..")</f>
        <v>80975024000</v>
      </c>
      <c r="BF1372" s="846">
        <f t="shared" si="240"/>
        <v>0.91508551658183135</v>
      </c>
      <c r="BG1372" s="117">
        <f>VLOOKUP($D1372,'WB Data'!$C$3:$M$578,5,FALSE)</f>
        <v>2061960000</v>
      </c>
      <c r="BH1372" s="129">
        <f>IFERROR($BB1372/$BG1372,"..")</f>
        <v>21.797219635686435</v>
      </c>
      <c r="BI1372" s="117" t="str">
        <f>IFERROR(VLOOKUP($D1372,'WB Data'!$C$3:$M$578,7,FALSE)/100,"..")</f>
        <v>..</v>
      </c>
      <c r="BJ1372" s="117" t="str">
        <f>IFERROR($BI1372*$AW1372,"..")</f>
        <v>..</v>
      </c>
      <c r="BK1372" s="846" t="str">
        <f>IFERROR($BB1372/$BJ1372,"..")</f>
        <v>..</v>
      </c>
      <c r="BL1372" s="117" t="str">
        <f>IFERROR(VLOOKUP($D1372,'WB Data'!$C$3:$M$578,7,FALSE)/100,"..")</f>
        <v>..</v>
      </c>
      <c r="BM1372" s="117" t="str">
        <f>IFERROR($AW1372*$BL1372,"..")</f>
        <v>..</v>
      </c>
      <c r="BN1372" s="846" t="str">
        <f>IFERROR($BB1372/$BM1372,"..")</f>
        <v>..</v>
      </c>
      <c r="BO1372" s="801">
        <f t="shared" si="236"/>
        <v>27</v>
      </c>
      <c r="BP1372" s="117">
        <f>VLOOKUP($D1372,'WB Data'!$C$3:$M$578,9,FALSE)</f>
        <v>46</v>
      </c>
      <c r="BQ1372" s="117">
        <f>VLOOKUP($D1372,'WB Data'!$C$3:$M$578,10,FALSE)</f>
        <v>51.289414634146354</v>
      </c>
      <c r="BR1372" s="117">
        <f>VLOOKUP($D1372,'WB Data'!$C$3:$M$578,11,FALSE)</f>
        <v>81.900000000000006</v>
      </c>
      <c r="BS1372" s="129">
        <f>IFERROR(VLOOKUP($D1372,'WB Data 2'!$C$2:$K$545,9,FALSE),"..")</f>
        <v>65.740309999999994</v>
      </c>
      <c r="BT1372" s="129">
        <f>_xlfn.IFNA(VLOOKUP($C1372,RGI!$A$2:$C$43,2,FALSE),"..")</f>
        <v>46.5</v>
      </c>
      <c r="BU1372" s="129">
        <f>_xlfn.IFNA(VLOOKUP($C1372,RGI!$A$2:$C$43,3,FALSE),"..")</f>
        <v>42.488706175328218</v>
      </c>
      <c r="BV1372" s="129">
        <f>VLOOKUP($D1372,WGI!$C$2:$O$478,7,FALSE)</f>
        <v>-0.80221772774641098</v>
      </c>
      <c r="BW1372" s="129">
        <f>VLOOKUP($D1372,WGI!$C$2:$O$478,4,FALSE)</f>
        <v>-2.1936058653616999</v>
      </c>
      <c r="BX1372" s="129">
        <f>VLOOKUP($D1372,WGI!$C$2:$O$478,3,FALSE)</f>
        <v>-1.1511203008915001</v>
      </c>
      <c r="BY1372" s="129">
        <f>VLOOKUP($D1372,WGI!$C$2:$O$478,5,FALSE)</f>
        <v>-0.71374610128231797</v>
      </c>
      <c r="BZ1372" s="129">
        <f>VLOOKUP($D1372,WGI!$C$2:$O$478,2,FALSE)</f>
        <v>-0.99732661038004999</v>
      </c>
    </row>
    <row r="1373" spans="1:80" s="144" customFormat="1" ht="15" customHeight="1">
      <c r="A1373" s="296" t="s">
        <v>430</v>
      </c>
      <c r="B1373" s="228">
        <v>2011</v>
      </c>
      <c r="C1373" s="809" t="s">
        <v>413</v>
      </c>
      <c r="D1373" s="117" t="s">
        <v>3710</v>
      </c>
      <c r="E1373" s="450" t="s">
        <v>86</v>
      </c>
      <c r="F1373" s="132" t="s">
        <v>1936</v>
      </c>
      <c r="G1373" s="132" t="s">
        <v>35</v>
      </c>
      <c r="H1373" s="117" t="str">
        <f t="shared" si="241"/>
        <v>yes</v>
      </c>
      <c r="I1373" s="117" t="str">
        <f t="shared" si="233"/>
        <v>yes</v>
      </c>
      <c r="J1373" s="117" t="str">
        <f t="shared" si="234"/>
        <v>yes</v>
      </c>
      <c r="K1373" s="132" t="s">
        <v>709</v>
      </c>
      <c r="L1373" s="117" t="str">
        <f t="shared" si="242"/>
        <v>Total</v>
      </c>
      <c r="M1373" s="117" t="str">
        <f t="shared" si="235"/>
        <v>Total Oil, Gas, Mining</v>
      </c>
      <c r="N1373" s="238"/>
      <c r="O1373" s="238"/>
      <c r="P1373" s="238"/>
      <c r="Q1373" s="238"/>
      <c r="R1373" s="238"/>
      <c r="S1373" s="132"/>
      <c r="T1373" s="134"/>
      <c r="U1373" s="132"/>
      <c r="V1373" s="132"/>
      <c r="W1373" s="135">
        <f>W1374+W1377</f>
        <v>111813139613.56702</v>
      </c>
      <c r="X1373" s="132" t="s">
        <v>742</v>
      </c>
      <c r="Y1373" s="132" t="s">
        <v>663</v>
      </c>
      <c r="Z1373" s="132" t="s">
        <v>664</v>
      </c>
      <c r="AA1373" s="135">
        <v>68613385930</v>
      </c>
      <c r="AB1373" s="598">
        <v>68690659359</v>
      </c>
      <c r="AC1373" s="599"/>
      <c r="AD1373" s="599"/>
      <c r="AE1373" s="599"/>
      <c r="AF1373" s="600">
        <f>AA1373/W1373</f>
        <v>0.61364331747710532</v>
      </c>
      <c r="AG1373" s="132" t="s">
        <v>1949</v>
      </c>
      <c r="AH1373" s="140">
        <v>157.4</v>
      </c>
      <c r="AI1373" s="132" t="s">
        <v>667</v>
      </c>
      <c r="AJ1373" s="135" t="s">
        <v>1966</v>
      </c>
      <c r="AK1373" s="135">
        <v>43123931000</v>
      </c>
      <c r="AL1373" s="132" t="s">
        <v>1958</v>
      </c>
      <c r="AM1373" s="135">
        <v>10176949510</v>
      </c>
      <c r="AN1373" s="132" t="s">
        <v>943</v>
      </c>
      <c r="AO1373" s="132" t="s">
        <v>943</v>
      </c>
      <c r="AP1373" s="132" t="s">
        <v>943</v>
      </c>
      <c r="AQ1373" s="132" t="s">
        <v>431</v>
      </c>
      <c r="AR1373" s="141">
        <v>41923</v>
      </c>
      <c r="AS1373" s="132" t="s">
        <v>1967</v>
      </c>
      <c r="AT1373" s="181" t="s">
        <v>432</v>
      </c>
      <c r="AU1373" s="132" t="s">
        <v>1968</v>
      </c>
      <c r="AV1373" s="143" t="s">
        <v>1969</v>
      </c>
      <c r="AW1373" s="117">
        <f>VLOOKUP($D1373,'WB Data'!$C$3:$M$578,2,FALSE)</f>
        <v>411743801711.64203</v>
      </c>
      <c r="AX1373" s="117">
        <f>VLOOKUP($D1373,'WB Data'!$C$3:$M$578,3,FALSE)</f>
        <v>164192925</v>
      </c>
      <c r="AY1373" s="847">
        <f t="shared" si="237"/>
        <v>0.16664096859447627</v>
      </c>
      <c r="AZ1373" s="117">
        <f>VLOOKUP($D1373,'WB Data'!$C$3:$M$578,4,FALSE)/100</f>
        <v>5.5773232387429254E-2</v>
      </c>
      <c r="BA1373" s="117">
        <f t="shared" si="238"/>
        <v>22964282736.947002</v>
      </c>
      <c r="BB1373" s="129">
        <f>IFERROR(VLOOKUP($D1373,'EITI Revenues'!$C$2:$G$224,5,FALSE),"..")</f>
        <v>68613385930</v>
      </c>
      <c r="BC1373" s="846">
        <f t="shared" si="239"/>
        <v>2.9878305678412773</v>
      </c>
      <c r="BD1373" s="129">
        <f>VLOOKUP($D1373,'WB Data 2'!$C$2:$K$545,6,FALSE)</f>
        <v>101965507852.90999</v>
      </c>
      <c r="BE1373" s="129">
        <f>IFERROR(VLOOKUP($D1373,UNCTAD!$C$5:$V$529,4,FALSE),"..")</f>
        <v>99755753000</v>
      </c>
      <c r="BF1373" s="846">
        <f t="shared" si="240"/>
        <v>1.0221516532776811</v>
      </c>
      <c r="BG1373" s="117">
        <f>VLOOKUP($D1373,'WB Data'!$C$3:$M$578,5,FALSE)</f>
        <v>1768550000</v>
      </c>
      <c r="BH1373" s="129">
        <f>IFERROR($BB1373/$BG1373,"..")</f>
        <v>38.796407186678351</v>
      </c>
      <c r="BI1373" s="117" t="str">
        <f>IFERROR(VLOOKUP($D1373,'WB Data'!$C$3:$M$578,7,FALSE)/100,"..")</f>
        <v>..</v>
      </c>
      <c r="BJ1373" s="117" t="str">
        <f>IFERROR($BI1373*$AW1373,"..")</f>
        <v>..</v>
      </c>
      <c r="BK1373" s="846" t="str">
        <f>IFERROR($BB1373/$BJ1373,"..")</f>
        <v>..</v>
      </c>
      <c r="BL1373" s="117" t="str">
        <f>IFERROR(VLOOKUP($D1373,'WB Data'!$C$3:$M$578,7,FALSE)/100,"..")</f>
        <v>..</v>
      </c>
      <c r="BM1373" s="117" t="str">
        <f>IFERROR($AW1373*$BL1373,"..")</f>
        <v>..</v>
      </c>
      <c r="BN1373" s="846" t="str">
        <f>IFERROR($BB1373/$BM1373,"..")</f>
        <v>..</v>
      </c>
      <c r="BO1373" s="801">
        <f t="shared" si="236"/>
        <v>27</v>
      </c>
      <c r="BP1373" s="117" t="str">
        <f>VLOOKUP($D1373,'WB Data'!$C$3:$M$578,9,FALSE)</f>
        <v>..</v>
      </c>
      <c r="BQ1373" s="117">
        <f>VLOOKUP($D1373,'WB Data'!$C$3:$M$578,10,FALSE)</f>
        <v>51.710243902439032</v>
      </c>
      <c r="BR1373" s="117">
        <f>VLOOKUP($D1373,'WB Data'!$C$3:$M$578,11,FALSE)</f>
        <v>79.2</v>
      </c>
      <c r="BS1373" s="129" t="str">
        <f>IFERROR(VLOOKUP($D1373,'WB Data 2'!$C$2:$K$545,9,FALSE),"..")</f>
        <v>..</v>
      </c>
      <c r="BT1373" s="129">
        <f>_xlfn.IFNA(VLOOKUP($C1373,RGI!$A$2:$C$43,2,FALSE),"..")</f>
        <v>46.5</v>
      </c>
      <c r="BU1373" s="129">
        <f>_xlfn.IFNA(VLOOKUP($C1373,RGI!$A$2:$C$43,3,FALSE),"..")</f>
        <v>42.488706175328218</v>
      </c>
      <c r="BV1373" s="129">
        <f>VLOOKUP($D1373,WGI!$C$2:$O$478,7,FALSE)</f>
        <v>-0.73672391613667498</v>
      </c>
      <c r="BW1373" s="129">
        <f>VLOOKUP($D1373,WGI!$C$2:$O$478,4,FALSE)</f>
        <v>-1.9462524352720001</v>
      </c>
      <c r="BX1373" s="129">
        <f>VLOOKUP($D1373,WGI!$C$2:$O$478,3,FALSE)</f>
        <v>-1.08047539707395</v>
      </c>
      <c r="BY1373" s="129">
        <f>VLOOKUP($D1373,WGI!$C$2:$O$478,5,FALSE)</f>
        <v>-0.66940161273980003</v>
      </c>
      <c r="BZ1373" s="129">
        <f>VLOOKUP($D1373,WGI!$C$2:$O$478,2,FALSE)</f>
        <v>-1.12338313325942</v>
      </c>
      <c r="CB1373" s="129"/>
    </row>
    <row r="1374" spans="1:80" s="120" customFormat="1" ht="15" customHeight="1">
      <c r="A1374" s="294" t="s">
        <v>430</v>
      </c>
      <c r="B1374" s="214">
        <v>2011</v>
      </c>
      <c r="C1374" s="809" t="s">
        <v>413</v>
      </c>
      <c r="D1374" s="117" t="s">
        <v>3710</v>
      </c>
      <c r="E1374" s="452" t="s">
        <v>86</v>
      </c>
      <c r="F1374" s="117"/>
      <c r="G1374" s="117" t="s">
        <v>55</v>
      </c>
      <c r="H1374" s="117" t="str">
        <f t="shared" si="241"/>
        <v>no</v>
      </c>
      <c r="I1374" s="117" t="str">
        <f t="shared" si="233"/>
        <v>yes</v>
      </c>
      <c r="J1374" s="117" t="str">
        <f t="shared" si="234"/>
        <v>yes</v>
      </c>
      <c r="K1374" s="117" t="s">
        <v>640</v>
      </c>
      <c r="L1374" s="117" t="str">
        <f t="shared" si="242"/>
        <v>Total</v>
      </c>
      <c r="M1374" s="117" t="str">
        <f t="shared" si="235"/>
        <v>Total Oil, Gas</v>
      </c>
      <c r="N1374" s="179"/>
      <c r="O1374" s="179"/>
      <c r="P1374" s="179"/>
      <c r="Q1374" s="179"/>
      <c r="R1374" s="179"/>
      <c r="S1374" s="117"/>
      <c r="T1374" s="119"/>
      <c r="U1374" s="117"/>
      <c r="V1374" s="117"/>
      <c r="W1374" s="89">
        <f>SUM(W1375:W1376)</f>
        <v>111124653780.61411</v>
      </c>
      <c r="X1374" s="117"/>
      <c r="Y1374" s="117"/>
      <c r="Z1374" s="117"/>
      <c r="AA1374" s="89">
        <v>68442328000</v>
      </c>
      <c r="AB1374" s="89">
        <v>68519812000</v>
      </c>
      <c r="AC1374" s="240"/>
      <c r="AD1374" s="240"/>
      <c r="AE1374" s="240"/>
      <c r="AF1374" s="241">
        <f>AA1374/W1374</f>
        <v>0.61590588291164505</v>
      </c>
      <c r="AG1374" s="117"/>
      <c r="AH1374" s="124"/>
      <c r="AI1374" s="117"/>
      <c r="AJ1374" s="89" t="s">
        <v>1966</v>
      </c>
      <c r="AK1374" s="89">
        <v>43123931000</v>
      </c>
      <c r="AL1374" s="117"/>
      <c r="AM1374" s="89"/>
      <c r="AN1374" s="117" t="s">
        <v>943</v>
      </c>
      <c r="AO1374" s="117" t="s">
        <v>943</v>
      </c>
      <c r="AP1374" s="117" t="s">
        <v>943</v>
      </c>
      <c r="AQ1374" s="117"/>
      <c r="AR1374" s="117"/>
      <c r="AS1374" s="117"/>
      <c r="AT1374" s="117"/>
      <c r="AU1374" s="117" t="s">
        <v>1970</v>
      </c>
      <c r="AV1374" s="128"/>
      <c r="AW1374" s="117">
        <f>VLOOKUP($D1374,'WB Data'!$C$3:$M$578,2,FALSE)</f>
        <v>411743801711.64203</v>
      </c>
      <c r="AX1374" s="117">
        <f>VLOOKUP($D1374,'WB Data'!$C$3:$M$578,3,FALSE)</f>
        <v>164192925</v>
      </c>
      <c r="AY1374" s="847">
        <f t="shared" si="237"/>
        <v>0.16664096859447627</v>
      </c>
      <c r="AZ1374" s="117">
        <f>VLOOKUP($D1374,'WB Data'!$C$3:$M$578,4,FALSE)/100</f>
        <v>5.5773232387429254E-2</v>
      </c>
      <c r="BA1374" s="117">
        <f t="shared" si="238"/>
        <v>22964282736.947002</v>
      </c>
      <c r="BB1374" s="129">
        <f>IFERROR(VLOOKUP($D1374,'EITI Revenues'!$C$2:$G$224,5,FALSE),"..")</f>
        <v>68613385930</v>
      </c>
      <c r="BC1374" s="846">
        <f t="shared" si="239"/>
        <v>2.9878305678412773</v>
      </c>
      <c r="BD1374" s="129">
        <f>VLOOKUP($D1374,'WB Data 2'!$C$2:$K$545,6,FALSE)</f>
        <v>101965507852.90999</v>
      </c>
      <c r="BE1374" s="129">
        <f>IFERROR(VLOOKUP($D1374,UNCTAD!$C$5:$V$529,4,FALSE),"..")</f>
        <v>99755753000</v>
      </c>
      <c r="BF1374" s="846">
        <f t="shared" si="240"/>
        <v>1.0221516532776811</v>
      </c>
      <c r="BG1374" s="117">
        <f>VLOOKUP($D1374,'WB Data'!$C$3:$M$578,5,FALSE)</f>
        <v>1768550000</v>
      </c>
      <c r="BH1374" s="129">
        <f>IFERROR($BB1374/$BG1374,"..")</f>
        <v>38.796407186678351</v>
      </c>
      <c r="BI1374" s="117" t="str">
        <f>IFERROR(VLOOKUP($D1374,'WB Data'!$C$3:$M$578,7,FALSE)/100,"..")</f>
        <v>..</v>
      </c>
      <c r="BJ1374" s="117" t="str">
        <f>IFERROR($BI1374*$AW1374,"..")</f>
        <v>..</v>
      </c>
      <c r="BK1374" s="846" t="str">
        <f>IFERROR($BB1374/$BJ1374,"..")</f>
        <v>..</v>
      </c>
      <c r="BL1374" s="117" t="str">
        <f>IFERROR(VLOOKUP($D1374,'WB Data'!$C$3:$M$578,7,FALSE)/100,"..")</f>
        <v>..</v>
      </c>
      <c r="BM1374" s="117" t="str">
        <f>IFERROR($AW1374*$BL1374,"..")</f>
        <v>..</v>
      </c>
      <c r="BN1374" s="846" t="str">
        <f>IFERROR($BB1374/$BM1374,"..")</f>
        <v>..</v>
      </c>
      <c r="BO1374" s="801">
        <f t="shared" si="236"/>
        <v>27</v>
      </c>
      <c r="BP1374" s="117" t="str">
        <f>VLOOKUP($D1374,'WB Data'!$C$3:$M$578,9,FALSE)</f>
        <v>..</v>
      </c>
      <c r="BQ1374" s="117">
        <f>VLOOKUP($D1374,'WB Data'!$C$3:$M$578,10,FALSE)</f>
        <v>51.710243902439032</v>
      </c>
      <c r="BR1374" s="117">
        <f>VLOOKUP($D1374,'WB Data'!$C$3:$M$578,11,FALSE)</f>
        <v>79.2</v>
      </c>
      <c r="BS1374" s="129" t="str">
        <f>IFERROR(VLOOKUP($D1374,'WB Data 2'!$C$2:$K$545,9,FALSE),"..")</f>
        <v>..</v>
      </c>
      <c r="BT1374" s="129">
        <f>_xlfn.IFNA(VLOOKUP($C1374,RGI!$A$2:$C$43,2,FALSE),"..")</f>
        <v>46.5</v>
      </c>
      <c r="BU1374" s="129">
        <f>_xlfn.IFNA(VLOOKUP($C1374,RGI!$A$2:$C$43,3,FALSE),"..")</f>
        <v>42.488706175328218</v>
      </c>
      <c r="BV1374" s="129">
        <f>VLOOKUP($D1374,WGI!$C$2:$O$478,7,FALSE)</f>
        <v>-0.73672391613667498</v>
      </c>
      <c r="BW1374" s="129">
        <f>VLOOKUP($D1374,WGI!$C$2:$O$478,4,FALSE)</f>
        <v>-1.9462524352720001</v>
      </c>
      <c r="BX1374" s="129">
        <f>VLOOKUP($D1374,WGI!$C$2:$O$478,3,FALSE)</f>
        <v>-1.08047539707395</v>
      </c>
      <c r="BY1374" s="129">
        <f>VLOOKUP($D1374,WGI!$C$2:$O$478,5,FALSE)</f>
        <v>-0.66940161273980003</v>
      </c>
      <c r="BZ1374" s="129">
        <f>VLOOKUP($D1374,WGI!$C$2:$O$478,2,FALSE)</f>
        <v>-1.12338313325942</v>
      </c>
      <c r="CB1374" s="129"/>
    </row>
    <row r="1375" spans="1:80" s="120" customFormat="1" ht="15" customHeight="1">
      <c r="A1375" s="294" t="s">
        <v>430</v>
      </c>
      <c r="B1375" s="214">
        <v>2011</v>
      </c>
      <c r="C1375" s="809" t="s">
        <v>413</v>
      </c>
      <c r="D1375" s="117" t="s">
        <v>3710</v>
      </c>
      <c r="E1375" s="452" t="s">
        <v>86</v>
      </c>
      <c r="F1375" s="117"/>
      <c r="G1375" s="117" t="s">
        <v>561</v>
      </c>
      <c r="H1375" s="117" t="str">
        <f t="shared" si="241"/>
        <v>no</v>
      </c>
      <c r="I1375" s="117" t="str">
        <f t="shared" si="233"/>
        <v>yes</v>
      </c>
      <c r="J1375" s="117" t="str">
        <f t="shared" si="234"/>
        <v>no</v>
      </c>
      <c r="K1375" s="117" t="s">
        <v>561</v>
      </c>
      <c r="L1375" s="117" t="str">
        <f t="shared" si="242"/>
        <v>detailed</v>
      </c>
      <c r="M1375" s="117" t="str">
        <f t="shared" si="235"/>
        <v>detailed Gas</v>
      </c>
      <c r="N1375" s="179">
        <v>40600000000</v>
      </c>
      <c r="O1375" s="179"/>
      <c r="P1375" s="179"/>
      <c r="Q1375" s="179"/>
      <c r="R1375" s="179"/>
      <c r="S1375" s="117" t="s">
        <v>642</v>
      </c>
      <c r="T1375" s="119">
        <v>0.19666043794616025</v>
      </c>
      <c r="U1375" s="117" t="s">
        <v>643</v>
      </c>
      <c r="V1375" s="117" t="s">
        <v>738</v>
      </c>
      <c r="W1375" s="89">
        <f>N1375*T1375</f>
        <v>7984413780.6141062</v>
      </c>
      <c r="X1375" s="117"/>
      <c r="Y1375" s="117"/>
      <c r="Z1375" s="117"/>
      <c r="AA1375" s="117"/>
      <c r="AB1375" s="117"/>
      <c r="AC1375" s="240"/>
      <c r="AD1375" s="240"/>
      <c r="AE1375" s="240"/>
      <c r="AF1375" s="241"/>
      <c r="AG1375" s="117"/>
      <c r="AH1375" s="124"/>
      <c r="AI1375" s="117"/>
      <c r="AJ1375" s="117"/>
      <c r="AK1375" s="89"/>
      <c r="AL1375" s="117"/>
      <c r="AM1375" s="89"/>
      <c r="AN1375" s="117"/>
      <c r="AO1375" s="117"/>
      <c r="AP1375" s="117"/>
      <c r="AQ1375" s="117"/>
      <c r="AR1375" s="117"/>
      <c r="AS1375" s="117"/>
      <c r="AT1375" s="117"/>
      <c r="AU1375" s="117"/>
      <c r="AV1375" s="128"/>
      <c r="AW1375" s="117">
        <f>VLOOKUP($D1375,'WB Data'!$C$3:$M$578,2,FALSE)</f>
        <v>411743801711.64203</v>
      </c>
      <c r="AX1375" s="117">
        <f>VLOOKUP($D1375,'WB Data'!$C$3:$M$578,3,FALSE)</f>
        <v>164192925</v>
      </c>
      <c r="AY1375" s="847">
        <f t="shared" si="237"/>
        <v>0.16664096859447627</v>
      </c>
      <c r="AZ1375" s="117">
        <f>VLOOKUP($D1375,'WB Data'!$C$3:$M$578,4,FALSE)/100</f>
        <v>5.5773232387429254E-2</v>
      </c>
      <c r="BA1375" s="117">
        <f t="shared" si="238"/>
        <v>22964282736.947002</v>
      </c>
      <c r="BB1375" s="129">
        <f>IFERROR(VLOOKUP($D1375,'EITI Revenues'!$C$2:$G$224,5,FALSE),"..")</f>
        <v>68613385930</v>
      </c>
      <c r="BC1375" s="846">
        <f t="shared" si="239"/>
        <v>2.9878305678412773</v>
      </c>
      <c r="BD1375" s="129">
        <f>VLOOKUP($D1375,'WB Data 2'!$C$2:$K$545,6,FALSE)</f>
        <v>101965507852.90999</v>
      </c>
      <c r="BE1375" s="129">
        <f>IFERROR(VLOOKUP($D1375,UNCTAD!$C$5:$V$529,4,FALSE),"..")</f>
        <v>99755753000</v>
      </c>
      <c r="BF1375" s="846">
        <f t="shared" si="240"/>
        <v>1.0221516532776811</v>
      </c>
      <c r="BG1375" s="117">
        <f>VLOOKUP($D1375,'WB Data'!$C$3:$M$578,5,FALSE)</f>
        <v>1768550000</v>
      </c>
      <c r="BH1375" s="129">
        <f>IFERROR($BB1375/$BG1375,"..")</f>
        <v>38.796407186678351</v>
      </c>
      <c r="BI1375" s="117" t="str">
        <f>IFERROR(VLOOKUP($D1375,'WB Data'!$C$3:$M$578,7,FALSE)/100,"..")</f>
        <v>..</v>
      </c>
      <c r="BJ1375" s="117" t="str">
        <f>IFERROR($BI1375*$AW1375,"..")</f>
        <v>..</v>
      </c>
      <c r="BK1375" s="846" t="str">
        <f>IFERROR($BB1375/$BJ1375,"..")</f>
        <v>..</v>
      </c>
      <c r="BL1375" s="117" t="str">
        <f>IFERROR(VLOOKUP($D1375,'WB Data'!$C$3:$M$578,7,FALSE)/100,"..")</f>
        <v>..</v>
      </c>
      <c r="BM1375" s="117" t="str">
        <f>IFERROR($AW1375*$BL1375,"..")</f>
        <v>..</v>
      </c>
      <c r="BN1375" s="846" t="str">
        <f>IFERROR($BB1375/$BM1375,"..")</f>
        <v>..</v>
      </c>
      <c r="BO1375" s="801">
        <f t="shared" si="236"/>
        <v>27</v>
      </c>
      <c r="BP1375" s="117" t="str">
        <f>VLOOKUP($D1375,'WB Data'!$C$3:$M$578,9,FALSE)</f>
        <v>..</v>
      </c>
      <c r="BQ1375" s="117">
        <f>VLOOKUP($D1375,'WB Data'!$C$3:$M$578,10,FALSE)</f>
        <v>51.710243902439032</v>
      </c>
      <c r="BR1375" s="117">
        <f>VLOOKUP($D1375,'WB Data'!$C$3:$M$578,11,FALSE)</f>
        <v>79.2</v>
      </c>
      <c r="BS1375" s="129" t="str">
        <f>IFERROR(VLOOKUP($D1375,'WB Data 2'!$C$2:$K$545,9,FALSE),"..")</f>
        <v>..</v>
      </c>
      <c r="BT1375" s="129">
        <f>_xlfn.IFNA(VLOOKUP($C1375,RGI!$A$2:$C$43,2,FALSE),"..")</f>
        <v>46.5</v>
      </c>
      <c r="BU1375" s="129">
        <f>_xlfn.IFNA(VLOOKUP($C1375,RGI!$A$2:$C$43,3,FALSE),"..")</f>
        <v>42.488706175328218</v>
      </c>
      <c r="BV1375" s="129">
        <f>VLOOKUP($D1375,WGI!$C$2:$O$478,7,FALSE)</f>
        <v>-0.73672391613667498</v>
      </c>
      <c r="BW1375" s="129">
        <f>VLOOKUP($D1375,WGI!$C$2:$O$478,4,FALSE)</f>
        <v>-1.9462524352720001</v>
      </c>
      <c r="BX1375" s="129">
        <f>VLOOKUP($D1375,WGI!$C$2:$O$478,3,FALSE)</f>
        <v>-1.08047539707395</v>
      </c>
      <c r="BY1375" s="129">
        <f>VLOOKUP($D1375,WGI!$C$2:$O$478,5,FALSE)</f>
        <v>-0.66940161273980003</v>
      </c>
      <c r="BZ1375" s="129">
        <f>VLOOKUP($D1375,WGI!$C$2:$O$478,2,FALSE)</f>
        <v>-1.12338313325942</v>
      </c>
      <c r="CB1375" s="129"/>
    </row>
    <row r="1376" spans="1:80" s="120" customFormat="1" ht="15" customHeight="1">
      <c r="A1376" s="294" t="s">
        <v>430</v>
      </c>
      <c r="B1376" s="214">
        <v>2011</v>
      </c>
      <c r="C1376" s="809" t="s">
        <v>413</v>
      </c>
      <c r="D1376" s="117" t="s">
        <v>3710</v>
      </c>
      <c r="E1376" s="452" t="s">
        <v>86</v>
      </c>
      <c r="F1376" s="117"/>
      <c r="G1376" s="117" t="s">
        <v>103</v>
      </c>
      <c r="H1376" s="117" t="str">
        <f t="shared" si="241"/>
        <v>no</v>
      </c>
      <c r="I1376" s="117" t="str">
        <f t="shared" si="233"/>
        <v>no</v>
      </c>
      <c r="J1376" s="117" t="str">
        <f t="shared" si="234"/>
        <v>yes</v>
      </c>
      <c r="K1376" s="117" t="s">
        <v>103</v>
      </c>
      <c r="L1376" s="117" t="str">
        <f t="shared" si="242"/>
        <v>detailed</v>
      </c>
      <c r="M1376" s="117" t="str">
        <f t="shared" si="235"/>
        <v>detailed Oil</v>
      </c>
      <c r="N1376" s="179">
        <v>920895000</v>
      </c>
      <c r="O1376" s="179"/>
      <c r="P1376" s="179"/>
      <c r="Q1376" s="179"/>
      <c r="R1376" s="179"/>
      <c r="S1376" s="117" t="s">
        <v>646</v>
      </c>
      <c r="T1376" s="119">
        <v>112</v>
      </c>
      <c r="U1376" s="117" t="s">
        <v>673</v>
      </c>
      <c r="V1376" s="117" t="s">
        <v>1963</v>
      </c>
      <c r="W1376" s="89">
        <f>N1376*T1376</f>
        <v>103140240000</v>
      </c>
      <c r="X1376" s="117"/>
      <c r="Y1376" s="117"/>
      <c r="Z1376" s="117"/>
      <c r="AA1376" s="117"/>
      <c r="AB1376" s="117"/>
      <c r="AC1376" s="240"/>
      <c r="AD1376" s="240"/>
      <c r="AE1376" s="240"/>
      <c r="AF1376" s="241"/>
      <c r="AG1376" s="117"/>
      <c r="AH1376" s="124"/>
      <c r="AI1376" s="117"/>
      <c r="AJ1376" s="117"/>
      <c r="AK1376" s="89"/>
      <c r="AL1376" s="117"/>
      <c r="AM1376" s="89"/>
      <c r="AN1376" s="117"/>
      <c r="AO1376" s="117"/>
      <c r="AP1376" s="117"/>
      <c r="AQ1376" s="117"/>
      <c r="AR1376" s="117"/>
      <c r="AS1376" s="117"/>
      <c r="AT1376" s="117"/>
      <c r="AU1376" s="117" t="s">
        <v>1971</v>
      </c>
      <c r="AV1376" s="128"/>
      <c r="AW1376" s="117">
        <f>VLOOKUP($D1376,'WB Data'!$C$3:$M$578,2,FALSE)</f>
        <v>411743801711.64203</v>
      </c>
      <c r="AX1376" s="117">
        <f>VLOOKUP($D1376,'WB Data'!$C$3:$M$578,3,FALSE)</f>
        <v>164192925</v>
      </c>
      <c r="AY1376" s="847">
        <f t="shared" si="237"/>
        <v>0.16664096859447627</v>
      </c>
      <c r="AZ1376" s="117">
        <f>VLOOKUP($D1376,'WB Data'!$C$3:$M$578,4,FALSE)/100</f>
        <v>5.5773232387429254E-2</v>
      </c>
      <c r="BA1376" s="117">
        <f t="shared" si="238"/>
        <v>22964282736.947002</v>
      </c>
      <c r="BB1376" s="129">
        <f>IFERROR(VLOOKUP($D1376,'EITI Revenues'!$C$2:$G$224,5,FALSE),"..")</f>
        <v>68613385930</v>
      </c>
      <c r="BC1376" s="846">
        <f t="shared" si="239"/>
        <v>2.9878305678412773</v>
      </c>
      <c r="BD1376" s="129">
        <f>VLOOKUP($D1376,'WB Data 2'!$C$2:$K$545,6,FALSE)</f>
        <v>101965507852.90999</v>
      </c>
      <c r="BE1376" s="129">
        <f>IFERROR(VLOOKUP($D1376,UNCTAD!$C$5:$V$529,4,FALSE),"..")</f>
        <v>99755753000</v>
      </c>
      <c r="BF1376" s="846">
        <f t="shared" si="240"/>
        <v>1.0221516532776811</v>
      </c>
      <c r="BG1376" s="117">
        <f>VLOOKUP($D1376,'WB Data'!$C$3:$M$578,5,FALSE)</f>
        <v>1768550000</v>
      </c>
      <c r="BH1376" s="129">
        <f>IFERROR($BB1376/$BG1376,"..")</f>
        <v>38.796407186678351</v>
      </c>
      <c r="BI1376" s="117" t="str">
        <f>IFERROR(VLOOKUP($D1376,'WB Data'!$C$3:$M$578,7,FALSE)/100,"..")</f>
        <v>..</v>
      </c>
      <c r="BJ1376" s="117" t="str">
        <f>IFERROR($BI1376*$AW1376,"..")</f>
        <v>..</v>
      </c>
      <c r="BK1376" s="846" t="str">
        <f>IFERROR($BB1376/$BJ1376,"..")</f>
        <v>..</v>
      </c>
      <c r="BL1376" s="117" t="str">
        <f>IFERROR(VLOOKUP($D1376,'WB Data'!$C$3:$M$578,7,FALSE)/100,"..")</f>
        <v>..</v>
      </c>
      <c r="BM1376" s="117" t="str">
        <f>IFERROR($AW1376*$BL1376,"..")</f>
        <v>..</v>
      </c>
      <c r="BN1376" s="846" t="str">
        <f>IFERROR($BB1376/$BM1376,"..")</f>
        <v>..</v>
      </c>
      <c r="BO1376" s="801">
        <f t="shared" si="236"/>
        <v>27</v>
      </c>
      <c r="BP1376" s="117" t="str">
        <f>VLOOKUP($D1376,'WB Data'!$C$3:$M$578,9,FALSE)</f>
        <v>..</v>
      </c>
      <c r="BQ1376" s="117">
        <f>VLOOKUP($D1376,'WB Data'!$C$3:$M$578,10,FALSE)</f>
        <v>51.710243902439032</v>
      </c>
      <c r="BR1376" s="117">
        <f>VLOOKUP($D1376,'WB Data'!$C$3:$M$578,11,FALSE)</f>
        <v>79.2</v>
      </c>
      <c r="BS1376" s="129" t="str">
        <f>IFERROR(VLOOKUP($D1376,'WB Data 2'!$C$2:$K$545,9,FALSE),"..")</f>
        <v>..</v>
      </c>
      <c r="BT1376" s="129">
        <f>_xlfn.IFNA(VLOOKUP($C1376,RGI!$A$2:$C$43,2,FALSE),"..")</f>
        <v>46.5</v>
      </c>
      <c r="BU1376" s="129">
        <f>_xlfn.IFNA(VLOOKUP($C1376,RGI!$A$2:$C$43,3,FALSE),"..")</f>
        <v>42.488706175328218</v>
      </c>
      <c r="BV1376" s="129">
        <f>VLOOKUP($D1376,WGI!$C$2:$O$478,7,FALSE)</f>
        <v>-0.73672391613667498</v>
      </c>
      <c r="BW1376" s="129">
        <f>VLOOKUP($D1376,WGI!$C$2:$O$478,4,FALSE)</f>
        <v>-1.9462524352720001</v>
      </c>
      <c r="BX1376" s="129">
        <f>VLOOKUP($D1376,WGI!$C$2:$O$478,3,FALSE)</f>
        <v>-1.08047539707395</v>
      </c>
      <c r="BY1376" s="129">
        <f>VLOOKUP($D1376,WGI!$C$2:$O$478,5,FALSE)</f>
        <v>-0.66940161273980003</v>
      </c>
      <c r="BZ1376" s="129">
        <f>VLOOKUP($D1376,WGI!$C$2:$O$478,2,FALSE)</f>
        <v>-1.12338313325942</v>
      </c>
      <c r="CB1376" s="129"/>
    </row>
    <row r="1377" spans="1:80" s="120" customFormat="1" ht="15" customHeight="1">
      <c r="A1377" s="294" t="s">
        <v>430</v>
      </c>
      <c r="B1377" s="214">
        <v>2011</v>
      </c>
      <c r="C1377" s="809" t="s">
        <v>413</v>
      </c>
      <c r="D1377" s="117" t="s">
        <v>3710</v>
      </c>
      <c r="E1377" s="452" t="s">
        <v>86</v>
      </c>
      <c r="F1377" s="117"/>
      <c r="G1377" s="117" t="s">
        <v>24</v>
      </c>
      <c r="H1377" s="117" t="str">
        <f t="shared" si="241"/>
        <v>yes</v>
      </c>
      <c r="I1377" s="117" t="str">
        <f t="shared" si="233"/>
        <v>no</v>
      </c>
      <c r="J1377" s="117" t="str">
        <f t="shared" si="234"/>
        <v>no</v>
      </c>
      <c r="K1377" s="117" t="s">
        <v>600</v>
      </c>
      <c r="L1377" s="117" t="str">
        <f t="shared" si="242"/>
        <v>Total</v>
      </c>
      <c r="M1377" s="117" t="str">
        <f t="shared" si="235"/>
        <v>Total Mining</v>
      </c>
      <c r="N1377" s="179"/>
      <c r="O1377" s="179"/>
      <c r="P1377" s="179"/>
      <c r="Q1377" s="179"/>
      <c r="R1377" s="179"/>
      <c r="S1377" s="117"/>
      <c r="T1377" s="119"/>
      <c r="U1377" s="117"/>
      <c r="V1377" s="117"/>
      <c r="W1377" s="89">
        <f>SUM(W1378:W1407)</f>
        <v>688485832.95290709</v>
      </c>
      <c r="X1377" s="117"/>
      <c r="Y1377" s="117"/>
      <c r="Z1377" s="117"/>
      <c r="AA1377" s="89">
        <v>171057930</v>
      </c>
      <c r="AB1377" s="89">
        <v>170847359</v>
      </c>
      <c r="AC1377" s="240"/>
      <c r="AD1377" s="240"/>
      <c r="AE1377" s="240"/>
      <c r="AF1377" s="241">
        <f>AA1377/W1377</f>
        <v>0.24845526489097777</v>
      </c>
      <c r="AG1377" s="117"/>
      <c r="AH1377" s="124"/>
      <c r="AI1377" s="117"/>
      <c r="AJ1377" s="117"/>
      <c r="AK1377" s="89"/>
      <c r="AL1377" s="117"/>
      <c r="AM1377" s="117"/>
      <c r="AN1377" s="117">
        <v>87</v>
      </c>
      <c r="AO1377" s="117" t="s">
        <v>1972</v>
      </c>
      <c r="AP1377" s="117">
        <v>80</v>
      </c>
      <c r="AQ1377" s="117"/>
      <c r="AR1377" s="117"/>
      <c r="AS1377" s="117"/>
      <c r="AT1377" s="117"/>
      <c r="AU1377" s="117" t="s">
        <v>1973</v>
      </c>
      <c r="AV1377" s="128"/>
      <c r="AW1377" s="117">
        <f>VLOOKUP($D1377,'WB Data'!$C$3:$M$578,2,FALSE)</f>
        <v>411743801711.64203</v>
      </c>
      <c r="AX1377" s="117">
        <f>VLOOKUP($D1377,'WB Data'!$C$3:$M$578,3,FALSE)</f>
        <v>164192925</v>
      </c>
      <c r="AY1377" s="847">
        <f t="shared" si="237"/>
        <v>0.16664096859447627</v>
      </c>
      <c r="AZ1377" s="117">
        <f>VLOOKUP($D1377,'WB Data'!$C$3:$M$578,4,FALSE)/100</f>
        <v>5.5773232387429254E-2</v>
      </c>
      <c r="BA1377" s="117">
        <f t="shared" si="238"/>
        <v>22964282736.947002</v>
      </c>
      <c r="BB1377" s="129">
        <f>IFERROR(VLOOKUP($D1377,'EITI Revenues'!$C$2:$G$224,5,FALSE),"..")</f>
        <v>68613385930</v>
      </c>
      <c r="BC1377" s="846">
        <f t="shared" si="239"/>
        <v>2.9878305678412773</v>
      </c>
      <c r="BD1377" s="129">
        <f>VLOOKUP($D1377,'WB Data 2'!$C$2:$K$545,6,FALSE)</f>
        <v>101965507852.90999</v>
      </c>
      <c r="BE1377" s="129">
        <f>IFERROR(VLOOKUP($D1377,UNCTAD!$C$5:$V$529,4,FALSE),"..")</f>
        <v>99755753000</v>
      </c>
      <c r="BF1377" s="846">
        <f t="shared" si="240"/>
        <v>1.0221516532776811</v>
      </c>
      <c r="BG1377" s="117">
        <f>VLOOKUP($D1377,'WB Data'!$C$3:$M$578,5,FALSE)</f>
        <v>1768550000</v>
      </c>
      <c r="BH1377" s="129">
        <f>IFERROR($BB1377/$BG1377,"..")</f>
        <v>38.796407186678351</v>
      </c>
      <c r="BI1377" s="117" t="str">
        <f>IFERROR(VLOOKUP($D1377,'WB Data'!$C$3:$M$578,7,FALSE)/100,"..")</f>
        <v>..</v>
      </c>
      <c r="BJ1377" s="117" t="str">
        <f>IFERROR($BI1377*$AW1377,"..")</f>
        <v>..</v>
      </c>
      <c r="BK1377" s="846" t="str">
        <f>IFERROR($BB1377/$BJ1377,"..")</f>
        <v>..</v>
      </c>
      <c r="BL1377" s="117" t="str">
        <f>IFERROR(VLOOKUP($D1377,'WB Data'!$C$3:$M$578,7,FALSE)/100,"..")</f>
        <v>..</v>
      </c>
      <c r="BM1377" s="117" t="str">
        <f>IFERROR($AW1377*$BL1377,"..")</f>
        <v>..</v>
      </c>
      <c r="BN1377" s="846" t="str">
        <f>IFERROR($BB1377/$BM1377,"..")</f>
        <v>..</v>
      </c>
      <c r="BO1377" s="801">
        <f t="shared" si="236"/>
        <v>27</v>
      </c>
      <c r="BP1377" s="117" t="str">
        <f>VLOOKUP($D1377,'WB Data'!$C$3:$M$578,9,FALSE)</f>
        <v>..</v>
      </c>
      <c r="BQ1377" s="117">
        <f>VLOOKUP($D1377,'WB Data'!$C$3:$M$578,10,FALSE)</f>
        <v>51.710243902439032</v>
      </c>
      <c r="BR1377" s="117">
        <f>VLOOKUP($D1377,'WB Data'!$C$3:$M$578,11,FALSE)</f>
        <v>79.2</v>
      </c>
      <c r="BS1377" s="129" t="str">
        <f>IFERROR(VLOOKUP($D1377,'WB Data 2'!$C$2:$K$545,9,FALSE),"..")</f>
        <v>..</v>
      </c>
      <c r="BT1377" s="129">
        <f>_xlfn.IFNA(VLOOKUP($C1377,RGI!$A$2:$C$43,2,FALSE),"..")</f>
        <v>46.5</v>
      </c>
      <c r="BU1377" s="129">
        <f>_xlfn.IFNA(VLOOKUP($C1377,RGI!$A$2:$C$43,3,FALSE),"..")</f>
        <v>42.488706175328218</v>
      </c>
      <c r="BV1377" s="129">
        <f>VLOOKUP($D1377,WGI!$C$2:$O$478,7,FALSE)</f>
        <v>-0.73672391613667498</v>
      </c>
      <c r="BW1377" s="129">
        <f>VLOOKUP($D1377,WGI!$C$2:$O$478,4,FALSE)</f>
        <v>-1.9462524352720001</v>
      </c>
      <c r="BX1377" s="129">
        <f>VLOOKUP($D1377,WGI!$C$2:$O$478,3,FALSE)</f>
        <v>-1.08047539707395</v>
      </c>
      <c r="BY1377" s="129">
        <f>VLOOKUP($D1377,WGI!$C$2:$O$478,5,FALSE)</f>
        <v>-0.66940161273980003</v>
      </c>
      <c r="BZ1377" s="129">
        <f>VLOOKUP($D1377,WGI!$C$2:$O$478,2,FALSE)</f>
        <v>-1.12338313325942</v>
      </c>
      <c r="CB1377" s="129"/>
    </row>
    <row r="1378" spans="1:80" s="120" customFormat="1" ht="15" customHeight="1">
      <c r="A1378" s="294" t="s">
        <v>430</v>
      </c>
      <c r="B1378" s="214">
        <v>2011</v>
      </c>
      <c r="C1378" s="809" t="s">
        <v>413</v>
      </c>
      <c r="D1378" s="117" t="s">
        <v>3710</v>
      </c>
      <c r="E1378" s="452" t="s">
        <v>86</v>
      </c>
      <c r="F1378" s="117"/>
      <c r="G1378" s="117" t="s">
        <v>24</v>
      </c>
      <c r="H1378" s="117" t="str">
        <f t="shared" si="241"/>
        <v>yes</v>
      </c>
      <c r="I1378" s="117" t="str">
        <f t="shared" si="233"/>
        <v>no</v>
      </c>
      <c r="J1378" s="117" t="str">
        <f t="shared" si="234"/>
        <v>no</v>
      </c>
      <c r="K1378" s="117" t="s">
        <v>1974</v>
      </c>
      <c r="L1378" s="117" t="str">
        <f t="shared" si="242"/>
        <v>detailed</v>
      </c>
      <c r="M1378" s="117" t="str">
        <f t="shared" si="235"/>
        <v>detailed Mining</v>
      </c>
      <c r="N1378" s="179">
        <v>155000</v>
      </c>
      <c r="O1378" s="179"/>
      <c r="P1378" s="179">
        <v>27609</v>
      </c>
      <c r="Q1378" s="179"/>
      <c r="R1378" s="179"/>
      <c r="S1378" s="117" t="s">
        <v>610</v>
      </c>
      <c r="T1378" s="119">
        <v>65.17</v>
      </c>
      <c r="U1378" s="117" t="s">
        <v>611</v>
      </c>
      <c r="V1378" s="117" t="s">
        <v>1975</v>
      </c>
      <c r="W1378" s="89">
        <f>N1378*T1378</f>
        <v>10101350</v>
      </c>
      <c r="X1378" s="117"/>
      <c r="Y1378" s="117"/>
      <c r="Z1378" s="117"/>
      <c r="AA1378" s="89"/>
      <c r="AB1378" s="89"/>
      <c r="AC1378" s="240"/>
      <c r="AD1378" s="240"/>
      <c r="AE1378" s="240"/>
      <c r="AF1378" s="241"/>
      <c r="AG1378" s="117"/>
      <c r="AH1378" s="124"/>
      <c r="AI1378" s="117"/>
      <c r="AJ1378" s="117"/>
      <c r="AK1378" s="89"/>
      <c r="AL1378" s="117"/>
      <c r="AM1378" s="117"/>
      <c r="AN1378" s="117"/>
      <c r="AO1378" s="117"/>
      <c r="AP1378" s="117"/>
      <c r="AQ1378" s="117"/>
      <c r="AR1378" s="117"/>
      <c r="AS1378" s="117"/>
      <c r="AT1378" s="117"/>
      <c r="AU1378" s="117" t="s">
        <v>1976</v>
      </c>
      <c r="AV1378" s="128"/>
      <c r="AW1378" s="117">
        <f>VLOOKUP($D1378,'WB Data'!$C$3:$M$578,2,FALSE)</f>
        <v>411743801711.64203</v>
      </c>
      <c r="AX1378" s="117">
        <f>VLOOKUP($D1378,'WB Data'!$C$3:$M$578,3,FALSE)</f>
        <v>164192925</v>
      </c>
      <c r="AY1378" s="847">
        <f t="shared" si="237"/>
        <v>0.16664096859447627</v>
      </c>
      <c r="AZ1378" s="117">
        <f>VLOOKUP($D1378,'WB Data'!$C$3:$M$578,4,FALSE)/100</f>
        <v>5.5773232387429254E-2</v>
      </c>
      <c r="BA1378" s="117">
        <f t="shared" si="238"/>
        <v>22964282736.947002</v>
      </c>
      <c r="BB1378" s="129">
        <f>IFERROR(VLOOKUP($D1378,'EITI Revenues'!$C$2:$G$224,5,FALSE),"..")</f>
        <v>68613385930</v>
      </c>
      <c r="BC1378" s="846">
        <f t="shared" si="239"/>
        <v>2.9878305678412773</v>
      </c>
      <c r="BD1378" s="129">
        <f>VLOOKUP($D1378,'WB Data 2'!$C$2:$K$545,6,FALSE)</f>
        <v>101965507852.90999</v>
      </c>
      <c r="BE1378" s="129">
        <f>IFERROR(VLOOKUP($D1378,UNCTAD!$C$5:$V$529,4,FALSE),"..")</f>
        <v>99755753000</v>
      </c>
      <c r="BF1378" s="846">
        <f t="shared" si="240"/>
        <v>1.0221516532776811</v>
      </c>
      <c r="BG1378" s="117">
        <f>VLOOKUP($D1378,'WB Data'!$C$3:$M$578,5,FALSE)</f>
        <v>1768550000</v>
      </c>
      <c r="BH1378" s="129">
        <f>IFERROR($BB1378/$BG1378,"..")</f>
        <v>38.796407186678351</v>
      </c>
      <c r="BI1378" s="117" t="str">
        <f>IFERROR(VLOOKUP($D1378,'WB Data'!$C$3:$M$578,7,FALSE)/100,"..")</f>
        <v>..</v>
      </c>
      <c r="BJ1378" s="117" t="str">
        <f>IFERROR($BI1378*$AW1378,"..")</f>
        <v>..</v>
      </c>
      <c r="BK1378" s="846" t="str">
        <f>IFERROR($BB1378/$BJ1378,"..")</f>
        <v>..</v>
      </c>
      <c r="BL1378" s="117" t="str">
        <f>IFERROR(VLOOKUP($D1378,'WB Data'!$C$3:$M$578,7,FALSE)/100,"..")</f>
        <v>..</v>
      </c>
      <c r="BM1378" s="117" t="str">
        <f>IFERROR($AW1378*$BL1378,"..")</f>
        <v>..</v>
      </c>
      <c r="BN1378" s="846" t="str">
        <f>IFERROR($BB1378/$BM1378,"..")</f>
        <v>..</v>
      </c>
      <c r="BO1378" s="801">
        <f t="shared" si="236"/>
        <v>27</v>
      </c>
      <c r="BP1378" s="117" t="str">
        <f>VLOOKUP($D1378,'WB Data'!$C$3:$M$578,9,FALSE)</f>
        <v>..</v>
      </c>
      <c r="BQ1378" s="117">
        <f>VLOOKUP($D1378,'WB Data'!$C$3:$M$578,10,FALSE)</f>
        <v>51.710243902439032</v>
      </c>
      <c r="BR1378" s="117">
        <f>VLOOKUP($D1378,'WB Data'!$C$3:$M$578,11,FALSE)</f>
        <v>79.2</v>
      </c>
      <c r="BS1378" s="129" t="str">
        <f>IFERROR(VLOOKUP($D1378,'WB Data 2'!$C$2:$K$545,9,FALSE),"..")</f>
        <v>..</v>
      </c>
      <c r="BT1378" s="129">
        <f>_xlfn.IFNA(VLOOKUP($C1378,RGI!$A$2:$C$43,2,FALSE),"..")</f>
        <v>46.5</v>
      </c>
      <c r="BU1378" s="129">
        <f>_xlfn.IFNA(VLOOKUP($C1378,RGI!$A$2:$C$43,3,FALSE),"..")</f>
        <v>42.488706175328218</v>
      </c>
      <c r="BV1378" s="129">
        <f>VLOOKUP($D1378,WGI!$C$2:$O$478,7,FALSE)</f>
        <v>-0.73672391613667498</v>
      </c>
      <c r="BW1378" s="129">
        <f>VLOOKUP($D1378,WGI!$C$2:$O$478,4,FALSE)</f>
        <v>-1.9462524352720001</v>
      </c>
      <c r="BX1378" s="129">
        <f>VLOOKUP($D1378,WGI!$C$2:$O$478,3,FALSE)</f>
        <v>-1.08047539707395</v>
      </c>
      <c r="BY1378" s="129">
        <f>VLOOKUP($D1378,WGI!$C$2:$O$478,5,FALSE)</f>
        <v>-0.66940161273980003</v>
      </c>
      <c r="BZ1378" s="129">
        <f>VLOOKUP($D1378,WGI!$C$2:$O$478,2,FALSE)</f>
        <v>-1.12338313325942</v>
      </c>
      <c r="CB1378" s="129"/>
    </row>
    <row r="1379" spans="1:80" s="120" customFormat="1" ht="15" customHeight="1">
      <c r="A1379" s="294" t="s">
        <v>430</v>
      </c>
      <c r="B1379" s="214">
        <v>2011</v>
      </c>
      <c r="C1379" s="809" t="s">
        <v>413</v>
      </c>
      <c r="D1379" s="117" t="s">
        <v>3710</v>
      </c>
      <c r="E1379" s="452" t="s">
        <v>86</v>
      </c>
      <c r="F1379" s="117"/>
      <c r="G1379" s="117" t="s">
        <v>24</v>
      </c>
      <c r="H1379" s="117" t="str">
        <f t="shared" si="241"/>
        <v>yes</v>
      </c>
      <c r="I1379" s="117" t="str">
        <f t="shared" si="233"/>
        <v>no</v>
      </c>
      <c r="J1379" s="117" t="str">
        <f t="shared" si="234"/>
        <v>no</v>
      </c>
      <c r="K1379" s="117" t="s">
        <v>616</v>
      </c>
      <c r="L1379" s="117" t="str">
        <f t="shared" si="242"/>
        <v>detailed</v>
      </c>
      <c r="M1379" s="117" t="str">
        <f t="shared" si="235"/>
        <v>detailed Mining</v>
      </c>
      <c r="N1379" s="179">
        <f>35000*0.90718474</f>
        <v>31751.465900000003</v>
      </c>
      <c r="O1379" s="179"/>
      <c r="P1379" s="179">
        <v>133818.01999999999</v>
      </c>
      <c r="Q1379" s="179"/>
      <c r="R1379" s="179"/>
      <c r="S1379" s="117" t="s">
        <v>610</v>
      </c>
      <c r="T1379" s="119">
        <v>111.54662184722224</v>
      </c>
      <c r="U1379" s="117" t="s">
        <v>611</v>
      </c>
      <c r="V1379" s="117" t="s">
        <v>1871</v>
      </c>
      <c r="W1379" s="89">
        <f>N1379*T1379</f>
        <v>3541768.7598422724</v>
      </c>
      <c r="X1379" s="117"/>
      <c r="Y1379" s="117"/>
      <c r="Z1379" s="117"/>
      <c r="AA1379" s="89"/>
      <c r="AB1379" s="89"/>
      <c r="AC1379" s="240"/>
      <c r="AD1379" s="240"/>
      <c r="AE1379" s="240"/>
      <c r="AF1379" s="241"/>
      <c r="AG1379" s="117"/>
      <c r="AH1379" s="124"/>
      <c r="AI1379" s="117"/>
      <c r="AJ1379" s="117"/>
      <c r="AK1379" s="89"/>
      <c r="AL1379" s="117"/>
      <c r="AM1379" s="117"/>
      <c r="AN1379" s="117"/>
      <c r="AO1379" s="117"/>
      <c r="AP1379" s="117"/>
      <c r="AQ1379" s="117"/>
      <c r="AR1379" s="117"/>
      <c r="AS1379" s="117"/>
      <c r="AT1379" s="117"/>
      <c r="AU1379" s="117" t="s">
        <v>1976</v>
      </c>
      <c r="AV1379" s="128" t="s">
        <v>1871</v>
      </c>
      <c r="AW1379" s="117">
        <f>VLOOKUP($D1379,'WB Data'!$C$3:$M$578,2,FALSE)</f>
        <v>411743801711.64203</v>
      </c>
      <c r="AX1379" s="117">
        <f>VLOOKUP($D1379,'WB Data'!$C$3:$M$578,3,FALSE)</f>
        <v>164192925</v>
      </c>
      <c r="AY1379" s="847">
        <f t="shared" si="237"/>
        <v>0.16664096859447627</v>
      </c>
      <c r="AZ1379" s="117">
        <f>VLOOKUP($D1379,'WB Data'!$C$3:$M$578,4,FALSE)/100</f>
        <v>5.5773232387429254E-2</v>
      </c>
      <c r="BA1379" s="117">
        <f t="shared" si="238"/>
        <v>22964282736.947002</v>
      </c>
      <c r="BB1379" s="129">
        <f>IFERROR(VLOOKUP($D1379,'EITI Revenues'!$C$2:$G$224,5,FALSE),"..")</f>
        <v>68613385930</v>
      </c>
      <c r="BC1379" s="846">
        <f t="shared" si="239"/>
        <v>2.9878305678412773</v>
      </c>
      <c r="BD1379" s="129">
        <f>VLOOKUP($D1379,'WB Data 2'!$C$2:$K$545,6,FALSE)</f>
        <v>101965507852.90999</v>
      </c>
      <c r="BE1379" s="129">
        <f>IFERROR(VLOOKUP($D1379,UNCTAD!$C$5:$V$529,4,FALSE),"..")</f>
        <v>99755753000</v>
      </c>
      <c r="BF1379" s="846">
        <f t="shared" si="240"/>
        <v>1.0221516532776811</v>
      </c>
      <c r="BG1379" s="117">
        <f>VLOOKUP($D1379,'WB Data'!$C$3:$M$578,5,FALSE)</f>
        <v>1768550000</v>
      </c>
      <c r="BH1379" s="129">
        <f>IFERROR($BB1379/$BG1379,"..")</f>
        <v>38.796407186678351</v>
      </c>
      <c r="BI1379" s="117" t="str">
        <f>IFERROR(VLOOKUP($D1379,'WB Data'!$C$3:$M$578,7,FALSE)/100,"..")</f>
        <v>..</v>
      </c>
      <c r="BJ1379" s="117" t="str">
        <f>IFERROR($BI1379*$AW1379,"..")</f>
        <v>..</v>
      </c>
      <c r="BK1379" s="846" t="str">
        <f>IFERROR($BB1379/$BJ1379,"..")</f>
        <v>..</v>
      </c>
      <c r="BL1379" s="117" t="str">
        <f>IFERROR(VLOOKUP($D1379,'WB Data'!$C$3:$M$578,7,FALSE)/100,"..")</f>
        <v>..</v>
      </c>
      <c r="BM1379" s="117" t="str">
        <f>IFERROR($AW1379*$BL1379,"..")</f>
        <v>..</v>
      </c>
      <c r="BN1379" s="846" t="str">
        <f>IFERROR($BB1379/$BM1379,"..")</f>
        <v>..</v>
      </c>
      <c r="BO1379" s="801">
        <f t="shared" si="236"/>
        <v>27</v>
      </c>
      <c r="BP1379" s="117" t="str">
        <f>VLOOKUP($D1379,'WB Data'!$C$3:$M$578,9,FALSE)</f>
        <v>..</v>
      </c>
      <c r="BQ1379" s="117">
        <f>VLOOKUP($D1379,'WB Data'!$C$3:$M$578,10,FALSE)</f>
        <v>51.710243902439032</v>
      </c>
      <c r="BR1379" s="117">
        <f>VLOOKUP($D1379,'WB Data'!$C$3:$M$578,11,FALSE)</f>
        <v>79.2</v>
      </c>
      <c r="BS1379" s="129" t="str">
        <f>IFERROR(VLOOKUP($D1379,'WB Data 2'!$C$2:$K$545,9,FALSE),"..")</f>
        <v>..</v>
      </c>
      <c r="BT1379" s="129">
        <f>_xlfn.IFNA(VLOOKUP($C1379,RGI!$A$2:$C$43,2,FALSE),"..")</f>
        <v>46.5</v>
      </c>
      <c r="BU1379" s="129">
        <f>_xlfn.IFNA(VLOOKUP($C1379,RGI!$A$2:$C$43,3,FALSE),"..")</f>
        <v>42.488706175328218</v>
      </c>
      <c r="BV1379" s="129">
        <f>VLOOKUP($D1379,WGI!$C$2:$O$478,7,FALSE)</f>
        <v>-0.73672391613667498</v>
      </c>
      <c r="BW1379" s="129">
        <f>VLOOKUP($D1379,WGI!$C$2:$O$478,4,FALSE)</f>
        <v>-1.9462524352720001</v>
      </c>
      <c r="BX1379" s="129">
        <f>VLOOKUP($D1379,WGI!$C$2:$O$478,3,FALSE)</f>
        <v>-1.08047539707395</v>
      </c>
      <c r="BY1379" s="129">
        <f>VLOOKUP($D1379,WGI!$C$2:$O$478,5,FALSE)</f>
        <v>-0.66940161273980003</v>
      </c>
      <c r="BZ1379" s="129">
        <f>VLOOKUP($D1379,WGI!$C$2:$O$478,2,FALSE)</f>
        <v>-1.12338313325942</v>
      </c>
      <c r="CB1379" s="129"/>
    </row>
    <row r="1380" spans="1:80" s="120" customFormat="1" ht="15" customHeight="1">
      <c r="A1380" s="294" t="s">
        <v>430</v>
      </c>
      <c r="B1380" s="214">
        <v>2011</v>
      </c>
      <c r="C1380" s="809" t="s">
        <v>413</v>
      </c>
      <c r="D1380" s="117" t="s">
        <v>3710</v>
      </c>
      <c r="E1380" s="452" t="s">
        <v>86</v>
      </c>
      <c r="F1380" s="117"/>
      <c r="G1380" s="117" t="s">
        <v>24</v>
      </c>
      <c r="H1380" s="117" t="str">
        <f t="shared" si="241"/>
        <v>yes</v>
      </c>
      <c r="I1380" s="117" t="str">
        <f t="shared" si="233"/>
        <v>no</v>
      </c>
      <c r="J1380" s="117" t="str">
        <f t="shared" si="234"/>
        <v>no</v>
      </c>
      <c r="K1380" s="117" t="s">
        <v>1977</v>
      </c>
      <c r="L1380" s="117" t="str">
        <f t="shared" si="242"/>
        <v>detailed</v>
      </c>
      <c r="M1380" s="117" t="str">
        <f t="shared" si="235"/>
        <v>detailed Mining</v>
      </c>
      <c r="N1380" s="179"/>
      <c r="O1380" s="179"/>
      <c r="P1380" s="179"/>
      <c r="Q1380" s="179"/>
      <c r="R1380" s="179"/>
      <c r="S1380" s="117"/>
      <c r="T1380" s="119"/>
      <c r="U1380" s="117"/>
      <c r="V1380" s="117"/>
      <c r="W1380" s="89"/>
      <c r="X1380" s="117"/>
      <c r="Y1380" s="117"/>
      <c r="Z1380" s="117"/>
      <c r="AA1380" s="89"/>
      <c r="AB1380" s="89"/>
      <c r="AC1380" s="240"/>
      <c r="AD1380" s="240"/>
      <c r="AE1380" s="240"/>
      <c r="AF1380" s="241"/>
      <c r="AG1380" s="117"/>
      <c r="AH1380" s="124"/>
      <c r="AI1380" s="117"/>
      <c r="AJ1380" s="117"/>
      <c r="AK1380" s="89"/>
      <c r="AL1380" s="117"/>
      <c r="AM1380" s="117"/>
      <c r="AN1380" s="117"/>
      <c r="AO1380" s="117"/>
      <c r="AP1380" s="117"/>
      <c r="AQ1380" s="117"/>
      <c r="AR1380" s="117"/>
      <c r="AS1380" s="117"/>
      <c r="AT1380" s="117"/>
      <c r="AU1380" s="117"/>
      <c r="AV1380" s="128"/>
      <c r="AW1380" s="117">
        <f>VLOOKUP($D1380,'WB Data'!$C$3:$M$578,2,FALSE)</f>
        <v>411743801711.64203</v>
      </c>
      <c r="AX1380" s="117">
        <f>VLOOKUP($D1380,'WB Data'!$C$3:$M$578,3,FALSE)</f>
        <v>164192925</v>
      </c>
      <c r="AY1380" s="847">
        <f t="shared" si="237"/>
        <v>0.16664096859447627</v>
      </c>
      <c r="AZ1380" s="117">
        <f>VLOOKUP($D1380,'WB Data'!$C$3:$M$578,4,FALSE)/100</f>
        <v>5.5773232387429254E-2</v>
      </c>
      <c r="BA1380" s="117">
        <f t="shared" si="238"/>
        <v>22964282736.947002</v>
      </c>
      <c r="BB1380" s="129">
        <f>IFERROR(VLOOKUP($D1380,'EITI Revenues'!$C$2:$G$224,5,FALSE),"..")</f>
        <v>68613385930</v>
      </c>
      <c r="BC1380" s="846">
        <f t="shared" si="239"/>
        <v>2.9878305678412773</v>
      </c>
      <c r="BD1380" s="129">
        <f>VLOOKUP($D1380,'WB Data 2'!$C$2:$K$545,6,FALSE)</f>
        <v>101965507852.90999</v>
      </c>
      <c r="BE1380" s="129">
        <f>IFERROR(VLOOKUP($D1380,UNCTAD!$C$5:$V$529,4,FALSE),"..")</f>
        <v>99755753000</v>
      </c>
      <c r="BF1380" s="846">
        <f t="shared" si="240"/>
        <v>1.0221516532776811</v>
      </c>
      <c r="BG1380" s="117">
        <f>VLOOKUP($D1380,'WB Data'!$C$3:$M$578,5,FALSE)</f>
        <v>1768550000</v>
      </c>
      <c r="BH1380" s="129">
        <f>IFERROR($BB1380/$BG1380,"..")</f>
        <v>38.796407186678351</v>
      </c>
      <c r="BI1380" s="117" t="str">
        <f>IFERROR(VLOOKUP($D1380,'WB Data'!$C$3:$M$578,7,FALSE)/100,"..")</f>
        <v>..</v>
      </c>
      <c r="BJ1380" s="117" t="str">
        <f>IFERROR($BI1380*$AW1380,"..")</f>
        <v>..</v>
      </c>
      <c r="BK1380" s="846" t="str">
        <f>IFERROR($BB1380/$BJ1380,"..")</f>
        <v>..</v>
      </c>
      <c r="BL1380" s="117" t="str">
        <f>IFERROR(VLOOKUP($D1380,'WB Data'!$C$3:$M$578,7,FALSE)/100,"..")</f>
        <v>..</v>
      </c>
      <c r="BM1380" s="117" t="str">
        <f>IFERROR($AW1380*$BL1380,"..")</f>
        <v>..</v>
      </c>
      <c r="BN1380" s="846" t="str">
        <f>IFERROR($BB1380/$BM1380,"..")</f>
        <v>..</v>
      </c>
      <c r="BO1380" s="801">
        <f t="shared" si="236"/>
        <v>27</v>
      </c>
      <c r="BP1380" s="117" t="str">
        <f>VLOOKUP($D1380,'WB Data'!$C$3:$M$578,9,FALSE)</f>
        <v>..</v>
      </c>
      <c r="BQ1380" s="117">
        <f>VLOOKUP($D1380,'WB Data'!$C$3:$M$578,10,FALSE)</f>
        <v>51.710243902439032</v>
      </c>
      <c r="BR1380" s="117">
        <f>VLOOKUP($D1380,'WB Data'!$C$3:$M$578,11,FALSE)</f>
        <v>79.2</v>
      </c>
      <c r="BS1380" s="129" t="str">
        <f>IFERROR(VLOOKUP($D1380,'WB Data 2'!$C$2:$K$545,9,FALSE),"..")</f>
        <v>..</v>
      </c>
      <c r="BT1380" s="129">
        <f>_xlfn.IFNA(VLOOKUP($C1380,RGI!$A$2:$C$43,2,FALSE),"..")</f>
        <v>46.5</v>
      </c>
      <c r="BU1380" s="129">
        <f>_xlfn.IFNA(VLOOKUP($C1380,RGI!$A$2:$C$43,3,FALSE),"..")</f>
        <v>42.488706175328218</v>
      </c>
      <c r="BV1380" s="129">
        <f>VLOOKUP($D1380,WGI!$C$2:$O$478,7,FALSE)</f>
        <v>-0.73672391613667498</v>
      </c>
      <c r="BW1380" s="129">
        <f>VLOOKUP($D1380,WGI!$C$2:$O$478,4,FALSE)</f>
        <v>-1.9462524352720001</v>
      </c>
      <c r="BX1380" s="129">
        <f>VLOOKUP($D1380,WGI!$C$2:$O$478,3,FALSE)</f>
        <v>-1.08047539707395</v>
      </c>
      <c r="BY1380" s="129">
        <f>VLOOKUP($D1380,WGI!$C$2:$O$478,5,FALSE)</f>
        <v>-0.66940161273980003</v>
      </c>
      <c r="BZ1380" s="129">
        <f>VLOOKUP($D1380,WGI!$C$2:$O$478,2,FALSE)</f>
        <v>-1.12338313325942</v>
      </c>
      <c r="CB1380" s="129"/>
    </row>
    <row r="1381" spans="1:80" s="120" customFormat="1" ht="15" customHeight="1">
      <c r="A1381" s="294" t="s">
        <v>430</v>
      </c>
      <c r="B1381" s="214">
        <v>2011</v>
      </c>
      <c r="C1381" s="809" t="s">
        <v>413</v>
      </c>
      <c r="D1381" s="117" t="s">
        <v>3710</v>
      </c>
      <c r="E1381" s="452" t="s">
        <v>86</v>
      </c>
      <c r="F1381" s="117"/>
      <c r="G1381" s="117" t="s">
        <v>24</v>
      </c>
      <c r="H1381" s="117" t="str">
        <f t="shared" si="241"/>
        <v>yes</v>
      </c>
      <c r="I1381" s="117" t="str">
        <f t="shared" si="233"/>
        <v>no</v>
      </c>
      <c r="J1381" s="117" t="str">
        <f t="shared" si="234"/>
        <v>no</v>
      </c>
      <c r="K1381" s="117" t="s">
        <v>1066</v>
      </c>
      <c r="L1381" s="117" t="str">
        <f t="shared" si="242"/>
        <v>detailed</v>
      </c>
      <c r="M1381" s="117" t="str">
        <f t="shared" si="235"/>
        <v>detailed Mining</v>
      </c>
      <c r="N1381" s="179">
        <v>311</v>
      </c>
      <c r="O1381" s="179"/>
      <c r="P1381" s="179">
        <v>200</v>
      </c>
      <c r="Q1381" s="179"/>
      <c r="R1381" s="179"/>
      <c r="S1381" s="117" t="s">
        <v>610</v>
      </c>
      <c r="T1381" s="119"/>
      <c r="U1381" s="117"/>
      <c r="V1381" s="117" t="s">
        <v>684</v>
      </c>
      <c r="W1381" s="89"/>
      <c r="X1381" s="117"/>
      <c r="Y1381" s="117"/>
      <c r="Z1381" s="117"/>
      <c r="AA1381" s="89"/>
      <c r="AB1381" s="89"/>
      <c r="AC1381" s="240"/>
      <c r="AD1381" s="240"/>
      <c r="AE1381" s="240"/>
      <c r="AF1381" s="241"/>
      <c r="AG1381" s="117"/>
      <c r="AH1381" s="124"/>
      <c r="AI1381" s="117"/>
      <c r="AJ1381" s="117"/>
      <c r="AK1381" s="89"/>
      <c r="AL1381" s="117"/>
      <c r="AM1381" s="117"/>
      <c r="AN1381" s="117"/>
      <c r="AO1381" s="117"/>
      <c r="AP1381" s="117"/>
      <c r="AQ1381" s="117"/>
      <c r="AR1381" s="117"/>
      <c r="AS1381" s="117"/>
      <c r="AT1381" s="117"/>
      <c r="AU1381" s="117" t="s">
        <v>1976</v>
      </c>
      <c r="AV1381" s="128"/>
      <c r="AW1381" s="117">
        <f>VLOOKUP($D1381,'WB Data'!$C$3:$M$578,2,FALSE)</f>
        <v>411743801711.64203</v>
      </c>
      <c r="AX1381" s="117">
        <f>VLOOKUP($D1381,'WB Data'!$C$3:$M$578,3,FALSE)</f>
        <v>164192925</v>
      </c>
      <c r="AY1381" s="847">
        <f t="shared" si="237"/>
        <v>0.16664096859447627</v>
      </c>
      <c r="AZ1381" s="117">
        <f>VLOOKUP($D1381,'WB Data'!$C$3:$M$578,4,FALSE)/100</f>
        <v>5.5773232387429254E-2</v>
      </c>
      <c r="BA1381" s="117">
        <f t="shared" si="238"/>
        <v>22964282736.947002</v>
      </c>
      <c r="BB1381" s="129">
        <f>IFERROR(VLOOKUP($D1381,'EITI Revenues'!$C$2:$G$224,5,FALSE),"..")</f>
        <v>68613385930</v>
      </c>
      <c r="BC1381" s="846">
        <f t="shared" si="239"/>
        <v>2.9878305678412773</v>
      </c>
      <c r="BD1381" s="129">
        <f>VLOOKUP($D1381,'WB Data 2'!$C$2:$K$545,6,FALSE)</f>
        <v>101965507852.90999</v>
      </c>
      <c r="BE1381" s="129">
        <f>IFERROR(VLOOKUP($D1381,UNCTAD!$C$5:$V$529,4,FALSE),"..")</f>
        <v>99755753000</v>
      </c>
      <c r="BF1381" s="846">
        <f t="shared" si="240"/>
        <v>1.0221516532776811</v>
      </c>
      <c r="BG1381" s="117">
        <f>VLOOKUP($D1381,'WB Data'!$C$3:$M$578,5,FALSE)</f>
        <v>1768550000</v>
      </c>
      <c r="BH1381" s="129">
        <f>IFERROR($BB1381/$BG1381,"..")</f>
        <v>38.796407186678351</v>
      </c>
      <c r="BI1381" s="117" t="str">
        <f>IFERROR(VLOOKUP($D1381,'WB Data'!$C$3:$M$578,7,FALSE)/100,"..")</f>
        <v>..</v>
      </c>
      <c r="BJ1381" s="117" t="str">
        <f>IFERROR($BI1381*$AW1381,"..")</f>
        <v>..</v>
      </c>
      <c r="BK1381" s="846" t="str">
        <f>IFERROR($BB1381/$BJ1381,"..")</f>
        <v>..</v>
      </c>
      <c r="BL1381" s="117" t="str">
        <f>IFERROR(VLOOKUP($D1381,'WB Data'!$C$3:$M$578,7,FALSE)/100,"..")</f>
        <v>..</v>
      </c>
      <c r="BM1381" s="117" t="str">
        <f>IFERROR($AW1381*$BL1381,"..")</f>
        <v>..</v>
      </c>
      <c r="BN1381" s="846" t="str">
        <f>IFERROR($BB1381/$BM1381,"..")</f>
        <v>..</v>
      </c>
      <c r="BO1381" s="801">
        <f t="shared" si="236"/>
        <v>27</v>
      </c>
      <c r="BP1381" s="117" t="str">
        <f>VLOOKUP($D1381,'WB Data'!$C$3:$M$578,9,FALSE)</f>
        <v>..</v>
      </c>
      <c r="BQ1381" s="117">
        <f>VLOOKUP($D1381,'WB Data'!$C$3:$M$578,10,FALSE)</f>
        <v>51.710243902439032</v>
      </c>
      <c r="BR1381" s="117">
        <f>VLOOKUP($D1381,'WB Data'!$C$3:$M$578,11,FALSE)</f>
        <v>79.2</v>
      </c>
      <c r="BS1381" s="129" t="str">
        <f>IFERROR(VLOOKUP($D1381,'WB Data 2'!$C$2:$K$545,9,FALSE),"..")</f>
        <v>..</v>
      </c>
      <c r="BT1381" s="129">
        <f>_xlfn.IFNA(VLOOKUP($C1381,RGI!$A$2:$C$43,2,FALSE),"..")</f>
        <v>46.5</v>
      </c>
      <c r="BU1381" s="129">
        <f>_xlfn.IFNA(VLOOKUP($C1381,RGI!$A$2:$C$43,3,FALSE),"..")</f>
        <v>42.488706175328218</v>
      </c>
      <c r="BV1381" s="129">
        <f>VLOOKUP($D1381,WGI!$C$2:$O$478,7,FALSE)</f>
        <v>-0.73672391613667498</v>
      </c>
      <c r="BW1381" s="129">
        <f>VLOOKUP($D1381,WGI!$C$2:$O$478,4,FALSE)</f>
        <v>-1.9462524352720001</v>
      </c>
      <c r="BX1381" s="129">
        <f>VLOOKUP($D1381,WGI!$C$2:$O$478,3,FALSE)</f>
        <v>-1.08047539707395</v>
      </c>
      <c r="BY1381" s="129">
        <f>VLOOKUP($D1381,WGI!$C$2:$O$478,5,FALSE)</f>
        <v>-0.66940161273980003</v>
      </c>
      <c r="BZ1381" s="129">
        <f>VLOOKUP($D1381,WGI!$C$2:$O$478,2,FALSE)</f>
        <v>-1.12338313325942</v>
      </c>
      <c r="CB1381" s="129"/>
    </row>
    <row r="1382" spans="1:80" s="120" customFormat="1" ht="15" customHeight="1">
      <c r="A1382" s="294" t="s">
        <v>430</v>
      </c>
      <c r="B1382" s="214">
        <v>2011</v>
      </c>
      <c r="C1382" s="809" t="s">
        <v>413</v>
      </c>
      <c r="D1382" s="117" t="s">
        <v>3710</v>
      </c>
      <c r="E1382" s="452" t="s">
        <v>86</v>
      </c>
      <c r="F1382" s="117"/>
      <c r="G1382" s="117" t="s">
        <v>24</v>
      </c>
      <c r="H1382" s="117" t="str">
        <f t="shared" si="241"/>
        <v>yes</v>
      </c>
      <c r="I1382" s="117" t="str">
        <f t="shared" si="233"/>
        <v>no</v>
      </c>
      <c r="J1382" s="117" t="str">
        <f t="shared" si="234"/>
        <v>no</v>
      </c>
      <c r="K1382" s="117" t="s">
        <v>1067</v>
      </c>
      <c r="L1382" s="117" t="str">
        <f t="shared" si="242"/>
        <v>detailed</v>
      </c>
      <c r="M1382" s="117" t="str">
        <f t="shared" si="235"/>
        <v>detailed Mining</v>
      </c>
      <c r="N1382" s="179">
        <v>22</v>
      </c>
      <c r="O1382" s="179"/>
      <c r="P1382" s="179"/>
      <c r="Q1382" s="179"/>
      <c r="R1382" s="179"/>
      <c r="S1382" s="117" t="s">
        <v>610</v>
      </c>
      <c r="T1382" s="119">
        <v>41000</v>
      </c>
      <c r="U1382" s="117" t="s">
        <v>611</v>
      </c>
      <c r="V1382" s="117" t="s">
        <v>1091</v>
      </c>
      <c r="W1382" s="89">
        <f>N1382*T1382</f>
        <v>902000</v>
      </c>
      <c r="X1382" s="117"/>
      <c r="Y1382" s="117"/>
      <c r="Z1382" s="117"/>
      <c r="AA1382" s="89"/>
      <c r="AB1382" s="89"/>
      <c r="AC1382" s="240"/>
      <c r="AD1382" s="240"/>
      <c r="AE1382" s="240"/>
      <c r="AF1382" s="241"/>
      <c r="AG1382" s="117"/>
      <c r="AH1382" s="124"/>
      <c r="AI1382" s="117"/>
      <c r="AJ1382" s="117"/>
      <c r="AK1382" s="89"/>
      <c r="AL1382" s="117"/>
      <c r="AM1382" s="117"/>
      <c r="AN1382" s="117"/>
      <c r="AO1382" s="117"/>
      <c r="AP1382" s="117"/>
      <c r="AQ1382" s="117"/>
      <c r="AR1382" s="117"/>
      <c r="AS1382" s="117"/>
      <c r="AT1382" s="117"/>
      <c r="AU1382" s="117"/>
      <c r="AV1382" s="128"/>
      <c r="AW1382" s="117">
        <f>VLOOKUP($D1382,'WB Data'!$C$3:$M$578,2,FALSE)</f>
        <v>411743801711.64203</v>
      </c>
      <c r="AX1382" s="117">
        <f>VLOOKUP($D1382,'WB Data'!$C$3:$M$578,3,FALSE)</f>
        <v>164192925</v>
      </c>
      <c r="AY1382" s="847">
        <f t="shared" si="237"/>
        <v>0.16664096859447627</v>
      </c>
      <c r="AZ1382" s="117">
        <f>VLOOKUP($D1382,'WB Data'!$C$3:$M$578,4,FALSE)/100</f>
        <v>5.5773232387429254E-2</v>
      </c>
      <c r="BA1382" s="117">
        <f t="shared" si="238"/>
        <v>22964282736.947002</v>
      </c>
      <c r="BB1382" s="129">
        <f>IFERROR(VLOOKUP($D1382,'EITI Revenues'!$C$2:$G$224,5,FALSE),"..")</f>
        <v>68613385930</v>
      </c>
      <c r="BC1382" s="846">
        <f t="shared" si="239"/>
        <v>2.9878305678412773</v>
      </c>
      <c r="BD1382" s="129">
        <f>VLOOKUP($D1382,'WB Data 2'!$C$2:$K$545,6,FALSE)</f>
        <v>101965507852.90999</v>
      </c>
      <c r="BE1382" s="129">
        <f>IFERROR(VLOOKUP($D1382,UNCTAD!$C$5:$V$529,4,FALSE),"..")</f>
        <v>99755753000</v>
      </c>
      <c r="BF1382" s="846">
        <f t="shared" si="240"/>
        <v>1.0221516532776811</v>
      </c>
      <c r="BG1382" s="117">
        <f>VLOOKUP($D1382,'WB Data'!$C$3:$M$578,5,FALSE)</f>
        <v>1768550000</v>
      </c>
      <c r="BH1382" s="129">
        <f>IFERROR($BB1382/$BG1382,"..")</f>
        <v>38.796407186678351</v>
      </c>
      <c r="BI1382" s="117" t="str">
        <f>IFERROR(VLOOKUP($D1382,'WB Data'!$C$3:$M$578,7,FALSE)/100,"..")</f>
        <v>..</v>
      </c>
      <c r="BJ1382" s="117" t="str">
        <f>IFERROR($BI1382*$AW1382,"..")</f>
        <v>..</v>
      </c>
      <c r="BK1382" s="846" t="str">
        <f>IFERROR($BB1382/$BJ1382,"..")</f>
        <v>..</v>
      </c>
      <c r="BL1382" s="117" t="str">
        <f>IFERROR(VLOOKUP($D1382,'WB Data'!$C$3:$M$578,7,FALSE)/100,"..")</f>
        <v>..</v>
      </c>
      <c r="BM1382" s="117" t="str">
        <f>IFERROR($AW1382*$BL1382,"..")</f>
        <v>..</v>
      </c>
      <c r="BN1382" s="846" t="str">
        <f>IFERROR($BB1382/$BM1382,"..")</f>
        <v>..</v>
      </c>
      <c r="BO1382" s="801">
        <f t="shared" si="236"/>
        <v>27</v>
      </c>
      <c r="BP1382" s="117" t="str">
        <f>VLOOKUP($D1382,'WB Data'!$C$3:$M$578,9,FALSE)</f>
        <v>..</v>
      </c>
      <c r="BQ1382" s="117">
        <f>VLOOKUP($D1382,'WB Data'!$C$3:$M$578,10,FALSE)</f>
        <v>51.710243902439032</v>
      </c>
      <c r="BR1382" s="117">
        <f>VLOOKUP($D1382,'WB Data'!$C$3:$M$578,11,FALSE)</f>
        <v>79.2</v>
      </c>
      <c r="BS1382" s="129" t="str">
        <f>IFERROR(VLOOKUP($D1382,'WB Data 2'!$C$2:$K$545,9,FALSE),"..")</f>
        <v>..</v>
      </c>
      <c r="BT1382" s="129">
        <f>_xlfn.IFNA(VLOOKUP($C1382,RGI!$A$2:$C$43,2,FALSE),"..")</f>
        <v>46.5</v>
      </c>
      <c r="BU1382" s="129">
        <f>_xlfn.IFNA(VLOOKUP($C1382,RGI!$A$2:$C$43,3,FALSE),"..")</f>
        <v>42.488706175328218</v>
      </c>
      <c r="BV1382" s="129">
        <f>VLOOKUP($D1382,WGI!$C$2:$O$478,7,FALSE)</f>
        <v>-0.73672391613667498</v>
      </c>
      <c r="BW1382" s="129">
        <f>VLOOKUP($D1382,WGI!$C$2:$O$478,4,FALSE)</f>
        <v>-1.9462524352720001</v>
      </c>
      <c r="BX1382" s="129">
        <f>VLOOKUP($D1382,WGI!$C$2:$O$478,3,FALSE)</f>
        <v>-1.08047539707395</v>
      </c>
      <c r="BY1382" s="129">
        <f>VLOOKUP($D1382,WGI!$C$2:$O$478,5,FALSE)</f>
        <v>-0.66940161273980003</v>
      </c>
      <c r="BZ1382" s="129">
        <f>VLOOKUP($D1382,WGI!$C$2:$O$478,2,FALSE)</f>
        <v>-1.12338313325942</v>
      </c>
      <c r="CB1382" s="129"/>
    </row>
    <row r="1383" spans="1:80" s="120" customFormat="1" ht="15" customHeight="1">
      <c r="A1383" s="294" t="s">
        <v>430</v>
      </c>
      <c r="B1383" s="214">
        <v>2011</v>
      </c>
      <c r="C1383" s="809" t="s">
        <v>413</v>
      </c>
      <c r="D1383" s="117" t="s">
        <v>3710</v>
      </c>
      <c r="E1383" s="452" t="s">
        <v>86</v>
      </c>
      <c r="F1383" s="117"/>
      <c r="G1383" s="117" t="s">
        <v>24</v>
      </c>
      <c r="H1383" s="117" t="str">
        <f t="shared" si="241"/>
        <v>yes</v>
      </c>
      <c r="I1383" s="117" t="str">
        <f t="shared" si="233"/>
        <v>no</v>
      </c>
      <c r="J1383" s="117" t="str">
        <f t="shared" si="234"/>
        <v>no</v>
      </c>
      <c r="K1383" s="117" t="s">
        <v>1069</v>
      </c>
      <c r="L1383" s="117" t="str">
        <f t="shared" si="242"/>
        <v>detailed</v>
      </c>
      <c r="M1383" s="117" t="str">
        <f t="shared" si="235"/>
        <v>detailed Mining</v>
      </c>
      <c r="N1383" s="179">
        <v>64</v>
      </c>
      <c r="O1383" s="179"/>
      <c r="P1383" s="179"/>
      <c r="Q1383" s="179"/>
      <c r="R1383" s="179"/>
      <c r="S1383" s="117" t="s">
        <v>610</v>
      </c>
      <c r="T1383" s="119">
        <f>125/0.000453592</f>
        <v>275578.05252297217</v>
      </c>
      <c r="U1383" s="117" t="s">
        <v>611</v>
      </c>
      <c r="V1383" s="117" t="s">
        <v>1092</v>
      </c>
      <c r="W1383" s="89">
        <f>N1383*T1383</f>
        <v>17636995.361470219</v>
      </c>
      <c r="X1383" s="117"/>
      <c r="Y1383" s="117"/>
      <c r="Z1383" s="117"/>
      <c r="AA1383" s="89"/>
      <c r="AB1383" s="89"/>
      <c r="AC1383" s="240"/>
      <c r="AD1383" s="240"/>
      <c r="AE1383" s="240"/>
      <c r="AF1383" s="241"/>
      <c r="AG1383" s="117"/>
      <c r="AH1383" s="124"/>
      <c r="AI1383" s="117"/>
      <c r="AJ1383" s="117"/>
      <c r="AK1383" s="89"/>
      <c r="AL1383" s="117"/>
      <c r="AM1383" s="117"/>
      <c r="AN1383" s="117"/>
      <c r="AO1383" s="117"/>
      <c r="AP1383" s="117"/>
      <c r="AQ1383" s="117"/>
      <c r="AR1383" s="117"/>
      <c r="AS1383" s="117"/>
      <c r="AT1383" s="117"/>
      <c r="AU1383" s="117"/>
      <c r="AV1383" s="128"/>
      <c r="AW1383" s="117">
        <f>VLOOKUP($D1383,'WB Data'!$C$3:$M$578,2,FALSE)</f>
        <v>411743801711.64203</v>
      </c>
      <c r="AX1383" s="117">
        <f>VLOOKUP($D1383,'WB Data'!$C$3:$M$578,3,FALSE)</f>
        <v>164192925</v>
      </c>
      <c r="AY1383" s="847">
        <f t="shared" si="237"/>
        <v>0.16664096859447627</v>
      </c>
      <c r="AZ1383" s="117">
        <f>VLOOKUP($D1383,'WB Data'!$C$3:$M$578,4,FALSE)/100</f>
        <v>5.5773232387429254E-2</v>
      </c>
      <c r="BA1383" s="117">
        <f t="shared" si="238"/>
        <v>22964282736.947002</v>
      </c>
      <c r="BB1383" s="129">
        <f>IFERROR(VLOOKUP($D1383,'EITI Revenues'!$C$2:$G$224,5,FALSE),"..")</f>
        <v>68613385930</v>
      </c>
      <c r="BC1383" s="846">
        <f t="shared" si="239"/>
        <v>2.9878305678412773</v>
      </c>
      <c r="BD1383" s="129">
        <f>VLOOKUP($D1383,'WB Data 2'!$C$2:$K$545,6,FALSE)</f>
        <v>101965507852.90999</v>
      </c>
      <c r="BE1383" s="129">
        <f>IFERROR(VLOOKUP($D1383,UNCTAD!$C$5:$V$529,4,FALSE),"..")</f>
        <v>99755753000</v>
      </c>
      <c r="BF1383" s="846">
        <f t="shared" si="240"/>
        <v>1.0221516532776811</v>
      </c>
      <c r="BG1383" s="117">
        <f>VLOOKUP($D1383,'WB Data'!$C$3:$M$578,5,FALSE)</f>
        <v>1768550000</v>
      </c>
      <c r="BH1383" s="129">
        <f>IFERROR($BB1383/$BG1383,"..")</f>
        <v>38.796407186678351</v>
      </c>
      <c r="BI1383" s="117" t="str">
        <f>IFERROR(VLOOKUP($D1383,'WB Data'!$C$3:$M$578,7,FALSE)/100,"..")</f>
        <v>..</v>
      </c>
      <c r="BJ1383" s="117" t="str">
        <f>IFERROR($BI1383*$AW1383,"..")</f>
        <v>..</v>
      </c>
      <c r="BK1383" s="846" t="str">
        <f>IFERROR($BB1383/$BJ1383,"..")</f>
        <v>..</v>
      </c>
      <c r="BL1383" s="117" t="str">
        <f>IFERROR(VLOOKUP($D1383,'WB Data'!$C$3:$M$578,7,FALSE)/100,"..")</f>
        <v>..</v>
      </c>
      <c r="BM1383" s="117" t="str">
        <f>IFERROR($AW1383*$BL1383,"..")</f>
        <v>..</v>
      </c>
      <c r="BN1383" s="846" t="str">
        <f>IFERROR($BB1383/$BM1383,"..")</f>
        <v>..</v>
      </c>
      <c r="BO1383" s="801">
        <f t="shared" si="236"/>
        <v>27</v>
      </c>
      <c r="BP1383" s="117" t="str">
        <f>VLOOKUP($D1383,'WB Data'!$C$3:$M$578,9,FALSE)</f>
        <v>..</v>
      </c>
      <c r="BQ1383" s="117">
        <f>VLOOKUP($D1383,'WB Data'!$C$3:$M$578,10,FALSE)</f>
        <v>51.710243902439032</v>
      </c>
      <c r="BR1383" s="117">
        <f>VLOOKUP($D1383,'WB Data'!$C$3:$M$578,11,FALSE)</f>
        <v>79.2</v>
      </c>
      <c r="BS1383" s="129" t="str">
        <f>IFERROR(VLOOKUP($D1383,'WB Data 2'!$C$2:$K$545,9,FALSE),"..")</f>
        <v>..</v>
      </c>
      <c r="BT1383" s="129">
        <f>_xlfn.IFNA(VLOOKUP($C1383,RGI!$A$2:$C$43,2,FALSE),"..")</f>
        <v>46.5</v>
      </c>
      <c r="BU1383" s="129">
        <f>_xlfn.IFNA(VLOOKUP($C1383,RGI!$A$2:$C$43,3,FALSE),"..")</f>
        <v>42.488706175328218</v>
      </c>
      <c r="BV1383" s="129">
        <f>VLOOKUP($D1383,WGI!$C$2:$O$478,7,FALSE)</f>
        <v>-0.73672391613667498</v>
      </c>
      <c r="BW1383" s="129">
        <f>VLOOKUP($D1383,WGI!$C$2:$O$478,4,FALSE)</f>
        <v>-1.9462524352720001</v>
      </c>
      <c r="BX1383" s="129">
        <f>VLOOKUP($D1383,WGI!$C$2:$O$478,3,FALSE)</f>
        <v>-1.08047539707395</v>
      </c>
      <c r="BY1383" s="129">
        <f>VLOOKUP($D1383,WGI!$C$2:$O$478,5,FALSE)</f>
        <v>-0.66940161273980003</v>
      </c>
      <c r="BZ1383" s="129">
        <f>VLOOKUP($D1383,WGI!$C$2:$O$478,2,FALSE)</f>
        <v>-1.12338313325942</v>
      </c>
      <c r="CB1383" s="129"/>
    </row>
    <row r="1384" spans="1:80" s="120" customFormat="1" ht="15" customHeight="1">
      <c r="A1384" s="294" t="s">
        <v>430</v>
      </c>
      <c r="B1384" s="214">
        <v>2011</v>
      </c>
      <c r="C1384" s="809" t="s">
        <v>413</v>
      </c>
      <c r="D1384" s="117" t="s">
        <v>3710</v>
      </c>
      <c r="E1384" s="452" t="s">
        <v>86</v>
      </c>
      <c r="F1384" s="117"/>
      <c r="G1384" s="117" t="s">
        <v>24</v>
      </c>
      <c r="H1384" s="117" t="str">
        <f t="shared" si="241"/>
        <v>yes</v>
      </c>
      <c r="I1384" s="117" t="str">
        <f t="shared" si="233"/>
        <v>no</v>
      </c>
      <c r="J1384" s="117" t="str">
        <f t="shared" si="234"/>
        <v>no</v>
      </c>
      <c r="K1384" s="117" t="s">
        <v>619</v>
      </c>
      <c r="L1384" s="117" t="str">
        <f t="shared" si="242"/>
        <v>detailed</v>
      </c>
      <c r="M1384" s="117" t="str">
        <f t="shared" si="235"/>
        <v>detailed Mining</v>
      </c>
      <c r="N1384" s="179"/>
      <c r="O1384" s="179"/>
      <c r="P1384" s="179"/>
      <c r="Q1384" s="179"/>
      <c r="R1384" s="179"/>
      <c r="S1384" s="117"/>
      <c r="T1384" s="119">
        <v>2107.2777411388502</v>
      </c>
      <c r="U1384" s="117" t="s">
        <v>611</v>
      </c>
      <c r="V1384" s="117" t="s">
        <v>1978</v>
      </c>
      <c r="W1384" s="89"/>
      <c r="X1384" s="117"/>
      <c r="Y1384" s="117"/>
      <c r="Z1384" s="117"/>
      <c r="AA1384" s="89"/>
      <c r="AB1384" s="89"/>
      <c r="AC1384" s="240"/>
      <c r="AD1384" s="240"/>
      <c r="AE1384" s="240"/>
      <c r="AF1384" s="241"/>
      <c r="AG1384" s="117"/>
      <c r="AH1384" s="124"/>
      <c r="AI1384" s="117"/>
      <c r="AJ1384" s="117"/>
      <c r="AK1384" s="89"/>
      <c r="AL1384" s="117"/>
      <c r="AM1384" s="117"/>
      <c r="AN1384" s="117"/>
      <c r="AO1384" s="117"/>
      <c r="AP1384" s="117"/>
      <c r="AQ1384" s="117"/>
      <c r="AR1384" s="117"/>
      <c r="AS1384" s="117"/>
      <c r="AT1384" s="117"/>
      <c r="AU1384" s="117" t="s">
        <v>1979</v>
      </c>
      <c r="AV1384" s="128" t="s">
        <v>1980</v>
      </c>
      <c r="AW1384" s="117">
        <f>VLOOKUP($D1384,'WB Data'!$C$3:$M$578,2,FALSE)</f>
        <v>411743801711.64203</v>
      </c>
      <c r="AX1384" s="117">
        <f>VLOOKUP($D1384,'WB Data'!$C$3:$M$578,3,FALSE)</f>
        <v>164192925</v>
      </c>
      <c r="AY1384" s="847">
        <f t="shared" si="237"/>
        <v>0.16664096859447627</v>
      </c>
      <c r="AZ1384" s="117">
        <f>VLOOKUP($D1384,'WB Data'!$C$3:$M$578,4,FALSE)/100</f>
        <v>5.5773232387429254E-2</v>
      </c>
      <c r="BA1384" s="117">
        <f t="shared" si="238"/>
        <v>22964282736.947002</v>
      </c>
      <c r="BB1384" s="129">
        <f>IFERROR(VLOOKUP($D1384,'EITI Revenues'!$C$2:$G$224,5,FALSE),"..")</f>
        <v>68613385930</v>
      </c>
      <c r="BC1384" s="846">
        <f t="shared" si="239"/>
        <v>2.9878305678412773</v>
      </c>
      <c r="BD1384" s="129">
        <f>VLOOKUP($D1384,'WB Data 2'!$C$2:$K$545,6,FALSE)</f>
        <v>101965507852.90999</v>
      </c>
      <c r="BE1384" s="129">
        <f>IFERROR(VLOOKUP($D1384,UNCTAD!$C$5:$V$529,4,FALSE),"..")</f>
        <v>99755753000</v>
      </c>
      <c r="BF1384" s="846">
        <f t="shared" si="240"/>
        <v>1.0221516532776811</v>
      </c>
      <c r="BG1384" s="117">
        <f>VLOOKUP($D1384,'WB Data'!$C$3:$M$578,5,FALSE)</f>
        <v>1768550000</v>
      </c>
      <c r="BH1384" s="129">
        <f>IFERROR($BB1384/$BG1384,"..")</f>
        <v>38.796407186678351</v>
      </c>
      <c r="BI1384" s="117" t="str">
        <f>IFERROR(VLOOKUP($D1384,'WB Data'!$C$3:$M$578,7,FALSE)/100,"..")</f>
        <v>..</v>
      </c>
      <c r="BJ1384" s="117" t="str">
        <f>IFERROR($BI1384*$AW1384,"..")</f>
        <v>..</v>
      </c>
      <c r="BK1384" s="846" t="str">
        <f>IFERROR($BB1384/$BJ1384,"..")</f>
        <v>..</v>
      </c>
      <c r="BL1384" s="117" t="str">
        <f>IFERROR(VLOOKUP($D1384,'WB Data'!$C$3:$M$578,7,FALSE)/100,"..")</f>
        <v>..</v>
      </c>
      <c r="BM1384" s="117" t="str">
        <f>IFERROR($AW1384*$BL1384,"..")</f>
        <v>..</v>
      </c>
      <c r="BN1384" s="846" t="str">
        <f>IFERROR($BB1384/$BM1384,"..")</f>
        <v>..</v>
      </c>
      <c r="BO1384" s="801">
        <f t="shared" si="236"/>
        <v>27</v>
      </c>
      <c r="BP1384" s="117" t="str">
        <f>VLOOKUP($D1384,'WB Data'!$C$3:$M$578,9,FALSE)</f>
        <v>..</v>
      </c>
      <c r="BQ1384" s="117">
        <f>VLOOKUP($D1384,'WB Data'!$C$3:$M$578,10,FALSE)</f>
        <v>51.710243902439032</v>
      </c>
      <c r="BR1384" s="117">
        <f>VLOOKUP($D1384,'WB Data'!$C$3:$M$578,11,FALSE)</f>
        <v>79.2</v>
      </c>
      <c r="BS1384" s="129" t="str">
        <f>IFERROR(VLOOKUP($D1384,'WB Data 2'!$C$2:$K$545,9,FALSE),"..")</f>
        <v>..</v>
      </c>
      <c r="BT1384" s="129">
        <f>_xlfn.IFNA(VLOOKUP($C1384,RGI!$A$2:$C$43,2,FALSE),"..")</f>
        <v>46.5</v>
      </c>
      <c r="BU1384" s="129">
        <f>_xlfn.IFNA(VLOOKUP($C1384,RGI!$A$2:$C$43,3,FALSE),"..")</f>
        <v>42.488706175328218</v>
      </c>
      <c r="BV1384" s="129">
        <f>VLOOKUP($D1384,WGI!$C$2:$O$478,7,FALSE)</f>
        <v>-0.73672391613667498</v>
      </c>
      <c r="BW1384" s="129">
        <f>VLOOKUP($D1384,WGI!$C$2:$O$478,4,FALSE)</f>
        <v>-1.9462524352720001</v>
      </c>
      <c r="BX1384" s="129">
        <f>VLOOKUP($D1384,WGI!$C$2:$O$478,3,FALSE)</f>
        <v>-1.08047539707395</v>
      </c>
      <c r="BY1384" s="129">
        <f>VLOOKUP($D1384,WGI!$C$2:$O$478,5,FALSE)</f>
        <v>-0.66940161273980003</v>
      </c>
      <c r="BZ1384" s="129">
        <f>VLOOKUP($D1384,WGI!$C$2:$O$478,2,FALSE)</f>
        <v>-1.12338313325942</v>
      </c>
      <c r="CB1384" s="129"/>
    </row>
    <row r="1385" spans="1:80" s="120" customFormat="1" ht="15" customHeight="1">
      <c r="A1385" s="294" t="s">
        <v>430</v>
      </c>
      <c r="B1385" s="214">
        <v>2011</v>
      </c>
      <c r="C1385" s="809" t="s">
        <v>413</v>
      </c>
      <c r="D1385" s="117" t="s">
        <v>3710</v>
      </c>
      <c r="E1385" s="452" t="s">
        <v>86</v>
      </c>
      <c r="F1385" s="117"/>
      <c r="G1385" s="117" t="s">
        <v>24</v>
      </c>
      <c r="H1385" s="117" t="str">
        <f t="shared" si="241"/>
        <v>yes</v>
      </c>
      <c r="I1385" s="117" t="str">
        <f t="shared" si="233"/>
        <v>no</v>
      </c>
      <c r="J1385" s="117" t="str">
        <f t="shared" si="234"/>
        <v>no</v>
      </c>
      <c r="K1385" s="117" t="s">
        <v>1981</v>
      </c>
      <c r="L1385" s="117" t="str">
        <f t="shared" si="242"/>
        <v>detailed</v>
      </c>
      <c r="M1385" s="117" t="str">
        <f t="shared" si="235"/>
        <v>detailed Mining</v>
      </c>
      <c r="N1385" s="179"/>
      <c r="O1385" s="179"/>
      <c r="P1385" s="179">
        <v>61212</v>
      </c>
      <c r="Q1385" s="179"/>
      <c r="R1385" s="179"/>
      <c r="S1385" s="117" t="s">
        <v>610</v>
      </c>
      <c r="T1385" s="119"/>
      <c r="U1385" s="117"/>
      <c r="V1385" s="117"/>
      <c r="W1385" s="89"/>
      <c r="X1385" s="117"/>
      <c r="Y1385" s="117"/>
      <c r="Z1385" s="117"/>
      <c r="AA1385" s="89"/>
      <c r="AB1385" s="89"/>
      <c r="AC1385" s="240"/>
      <c r="AD1385" s="240"/>
      <c r="AE1385" s="240"/>
      <c r="AF1385" s="241"/>
      <c r="AG1385" s="117"/>
      <c r="AH1385" s="124"/>
      <c r="AI1385" s="117"/>
      <c r="AJ1385" s="117"/>
      <c r="AK1385" s="89"/>
      <c r="AL1385" s="117"/>
      <c r="AM1385" s="117"/>
      <c r="AN1385" s="117"/>
      <c r="AO1385" s="117"/>
      <c r="AP1385" s="117"/>
      <c r="AQ1385" s="117"/>
      <c r="AR1385" s="117"/>
      <c r="AS1385" s="117"/>
      <c r="AT1385" s="117"/>
      <c r="AU1385" s="117" t="s">
        <v>1976</v>
      </c>
      <c r="AV1385" s="128" t="s">
        <v>1807</v>
      </c>
      <c r="AW1385" s="117">
        <f>VLOOKUP($D1385,'WB Data'!$C$3:$M$578,2,FALSE)</f>
        <v>411743801711.64203</v>
      </c>
      <c r="AX1385" s="117">
        <f>VLOOKUP($D1385,'WB Data'!$C$3:$M$578,3,FALSE)</f>
        <v>164192925</v>
      </c>
      <c r="AY1385" s="847">
        <f t="shared" si="237"/>
        <v>0.16664096859447627</v>
      </c>
      <c r="AZ1385" s="117">
        <f>VLOOKUP($D1385,'WB Data'!$C$3:$M$578,4,FALSE)/100</f>
        <v>5.5773232387429254E-2</v>
      </c>
      <c r="BA1385" s="117">
        <f t="shared" si="238"/>
        <v>22964282736.947002</v>
      </c>
      <c r="BB1385" s="129">
        <f>IFERROR(VLOOKUP($D1385,'EITI Revenues'!$C$2:$G$224,5,FALSE),"..")</f>
        <v>68613385930</v>
      </c>
      <c r="BC1385" s="846">
        <f t="shared" si="239"/>
        <v>2.9878305678412773</v>
      </c>
      <c r="BD1385" s="129">
        <f>VLOOKUP($D1385,'WB Data 2'!$C$2:$K$545,6,FALSE)</f>
        <v>101965507852.90999</v>
      </c>
      <c r="BE1385" s="129">
        <f>IFERROR(VLOOKUP($D1385,UNCTAD!$C$5:$V$529,4,FALSE),"..")</f>
        <v>99755753000</v>
      </c>
      <c r="BF1385" s="846">
        <f t="shared" si="240"/>
        <v>1.0221516532776811</v>
      </c>
      <c r="BG1385" s="117">
        <f>VLOOKUP($D1385,'WB Data'!$C$3:$M$578,5,FALSE)</f>
        <v>1768550000</v>
      </c>
      <c r="BH1385" s="129">
        <f>IFERROR($BB1385/$BG1385,"..")</f>
        <v>38.796407186678351</v>
      </c>
      <c r="BI1385" s="117" t="str">
        <f>IFERROR(VLOOKUP($D1385,'WB Data'!$C$3:$M$578,7,FALSE)/100,"..")</f>
        <v>..</v>
      </c>
      <c r="BJ1385" s="117" t="str">
        <f>IFERROR($BI1385*$AW1385,"..")</f>
        <v>..</v>
      </c>
      <c r="BK1385" s="846" t="str">
        <f>IFERROR($BB1385/$BJ1385,"..")</f>
        <v>..</v>
      </c>
      <c r="BL1385" s="117" t="str">
        <f>IFERROR(VLOOKUP($D1385,'WB Data'!$C$3:$M$578,7,FALSE)/100,"..")</f>
        <v>..</v>
      </c>
      <c r="BM1385" s="117" t="str">
        <f>IFERROR($AW1385*$BL1385,"..")</f>
        <v>..</v>
      </c>
      <c r="BN1385" s="846" t="str">
        <f>IFERROR($BB1385/$BM1385,"..")</f>
        <v>..</v>
      </c>
      <c r="BO1385" s="801">
        <f t="shared" si="236"/>
        <v>27</v>
      </c>
      <c r="BP1385" s="117" t="str">
        <f>VLOOKUP($D1385,'WB Data'!$C$3:$M$578,9,FALSE)</f>
        <v>..</v>
      </c>
      <c r="BQ1385" s="117">
        <f>VLOOKUP($D1385,'WB Data'!$C$3:$M$578,10,FALSE)</f>
        <v>51.710243902439032</v>
      </c>
      <c r="BR1385" s="117">
        <f>VLOOKUP($D1385,'WB Data'!$C$3:$M$578,11,FALSE)</f>
        <v>79.2</v>
      </c>
      <c r="BS1385" s="129" t="str">
        <f>IFERROR(VLOOKUP($D1385,'WB Data 2'!$C$2:$K$545,9,FALSE),"..")</f>
        <v>..</v>
      </c>
      <c r="BT1385" s="129">
        <f>_xlfn.IFNA(VLOOKUP($C1385,RGI!$A$2:$C$43,2,FALSE),"..")</f>
        <v>46.5</v>
      </c>
      <c r="BU1385" s="129">
        <f>_xlfn.IFNA(VLOOKUP($C1385,RGI!$A$2:$C$43,3,FALSE),"..")</f>
        <v>42.488706175328218</v>
      </c>
      <c r="BV1385" s="129">
        <f>VLOOKUP($D1385,WGI!$C$2:$O$478,7,FALSE)</f>
        <v>-0.73672391613667498</v>
      </c>
      <c r="BW1385" s="129">
        <f>VLOOKUP($D1385,WGI!$C$2:$O$478,4,FALSE)</f>
        <v>-1.9462524352720001</v>
      </c>
      <c r="BX1385" s="129">
        <f>VLOOKUP($D1385,WGI!$C$2:$O$478,3,FALSE)</f>
        <v>-1.08047539707395</v>
      </c>
      <c r="BY1385" s="129">
        <f>VLOOKUP($D1385,WGI!$C$2:$O$478,5,FALSE)</f>
        <v>-0.66940161273980003</v>
      </c>
      <c r="BZ1385" s="129">
        <f>VLOOKUP($D1385,WGI!$C$2:$O$478,2,FALSE)</f>
        <v>-1.12338313325942</v>
      </c>
      <c r="CB1385" s="129"/>
    </row>
    <row r="1386" spans="1:80" s="120" customFormat="1" ht="15" customHeight="1">
      <c r="A1386" s="294" t="s">
        <v>430</v>
      </c>
      <c r="B1386" s="214">
        <v>2011</v>
      </c>
      <c r="C1386" s="809" t="s">
        <v>413</v>
      </c>
      <c r="D1386" s="117" t="s">
        <v>3710</v>
      </c>
      <c r="E1386" s="452" t="s">
        <v>86</v>
      </c>
      <c r="F1386" s="117"/>
      <c r="G1386" s="117" t="s">
        <v>24</v>
      </c>
      <c r="H1386" s="117" t="str">
        <f t="shared" si="241"/>
        <v>yes</v>
      </c>
      <c r="I1386" s="117" t="str">
        <f t="shared" si="233"/>
        <v>no</v>
      </c>
      <c r="J1386" s="117" t="str">
        <f t="shared" si="234"/>
        <v>no</v>
      </c>
      <c r="K1386" s="117" t="s">
        <v>1220</v>
      </c>
      <c r="L1386" s="117" t="str">
        <f t="shared" si="242"/>
        <v>detailed</v>
      </c>
      <c r="M1386" s="117" t="str">
        <f t="shared" si="235"/>
        <v>detailed Mining</v>
      </c>
      <c r="N1386" s="179">
        <v>1700</v>
      </c>
      <c r="O1386" s="179"/>
      <c r="P1386" s="179"/>
      <c r="Q1386" s="179"/>
      <c r="R1386" s="179"/>
      <c r="S1386" s="117" t="s">
        <v>610</v>
      </c>
      <c r="T1386" s="119">
        <v>62</v>
      </c>
      <c r="U1386" s="117" t="s">
        <v>611</v>
      </c>
      <c r="V1386" s="117" t="s">
        <v>1221</v>
      </c>
      <c r="W1386" s="89">
        <f>N1386*T1386</f>
        <v>105400</v>
      </c>
      <c r="X1386" s="117"/>
      <c r="Y1386" s="117"/>
      <c r="Z1386" s="117"/>
      <c r="AA1386" s="89"/>
      <c r="AB1386" s="89"/>
      <c r="AC1386" s="240"/>
      <c r="AD1386" s="240"/>
      <c r="AE1386" s="240"/>
      <c r="AF1386" s="241"/>
      <c r="AG1386" s="117"/>
      <c r="AH1386" s="124"/>
      <c r="AI1386" s="117"/>
      <c r="AJ1386" s="117"/>
      <c r="AK1386" s="89"/>
      <c r="AL1386" s="117"/>
      <c r="AM1386" s="117"/>
      <c r="AN1386" s="117"/>
      <c r="AO1386" s="117"/>
      <c r="AP1386" s="117"/>
      <c r="AQ1386" s="117"/>
      <c r="AR1386" s="117"/>
      <c r="AS1386" s="117"/>
      <c r="AT1386" s="117"/>
      <c r="AU1386" s="117"/>
      <c r="AV1386" s="128"/>
      <c r="AW1386" s="117">
        <f>VLOOKUP($D1386,'WB Data'!$C$3:$M$578,2,FALSE)</f>
        <v>411743801711.64203</v>
      </c>
      <c r="AX1386" s="117">
        <f>VLOOKUP($D1386,'WB Data'!$C$3:$M$578,3,FALSE)</f>
        <v>164192925</v>
      </c>
      <c r="AY1386" s="847">
        <f t="shared" si="237"/>
        <v>0.16664096859447627</v>
      </c>
      <c r="AZ1386" s="117">
        <f>VLOOKUP($D1386,'WB Data'!$C$3:$M$578,4,FALSE)/100</f>
        <v>5.5773232387429254E-2</v>
      </c>
      <c r="BA1386" s="117">
        <f t="shared" si="238"/>
        <v>22964282736.947002</v>
      </c>
      <c r="BB1386" s="129">
        <f>IFERROR(VLOOKUP($D1386,'EITI Revenues'!$C$2:$G$224,5,FALSE),"..")</f>
        <v>68613385930</v>
      </c>
      <c r="BC1386" s="846">
        <f t="shared" si="239"/>
        <v>2.9878305678412773</v>
      </c>
      <c r="BD1386" s="129">
        <f>VLOOKUP($D1386,'WB Data 2'!$C$2:$K$545,6,FALSE)</f>
        <v>101965507852.90999</v>
      </c>
      <c r="BE1386" s="129">
        <f>IFERROR(VLOOKUP($D1386,UNCTAD!$C$5:$V$529,4,FALSE),"..")</f>
        <v>99755753000</v>
      </c>
      <c r="BF1386" s="846">
        <f t="shared" si="240"/>
        <v>1.0221516532776811</v>
      </c>
      <c r="BG1386" s="117">
        <f>VLOOKUP($D1386,'WB Data'!$C$3:$M$578,5,FALSE)</f>
        <v>1768550000</v>
      </c>
      <c r="BH1386" s="129">
        <f>IFERROR($BB1386/$BG1386,"..")</f>
        <v>38.796407186678351</v>
      </c>
      <c r="BI1386" s="117" t="str">
        <f>IFERROR(VLOOKUP($D1386,'WB Data'!$C$3:$M$578,7,FALSE)/100,"..")</f>
        <v>..</v>
      </c>
      <c r="BJ1386" s="117" t="str">
        <f>IFERROR($BI1386*$AW1386,"..")</f>
        <v>..</v>
      </c>
      <c r="BK1386" s="846" t="str">
        <f>IFERROR($BB1386/$BJ1386,"..")</f>
        <v>..</v>
      </c>
      <c r="BL1386" s="117" t="str">
        <f>IFERROR(VLOOKUP($D1386,'WB Data'!$C$3:$M$578,7,FALSE)/100,"..")</f>
        <v>..</v>
      </c>
      <c r="BM1386" s="117" t="str">
        <f>IFERROR($AW1386*$BL1386,"..")</f>
        <v>..</v>
      </c>
      <c r="BN1386" s="846" t="str">
        <f>IFERROR($BB1386/$BM1386,"..")</f>
        <v>..</v>
      </c>
      <c r="BO1386" s="801">
        <f t="shared" si="236"/>
        <v>27</v>
      </c>
      <c r="BP1386" s="117" t="str">
        <f>VLOOKUP($D1386,'WB Data'!$C$3:$M$578,9,FALSE)</f>
        <v>..</v>
      </c>
      <c r="BQ1386" s="117">
        <f>VLOOKUP($D1386,'WB Data'!$C$3:$M$578,10,FALSE)</f>
        <v>51.710243902439032</v>
      </c>
      <c r="BR1386" s="117">
        <f>VLOOKUP($D1386,'WB Data'!$C$3:$M$578,11,FALSE)</f>
        <v>79.2</v>
      </c>
      <c r="BS1386" s="129" t="str">
        <f>IFERROR(VLOOKUP($D1386,'WB Data 2'!$C$2:$K$545,9,FALSE),"..")</f>
        <v>..</v>
      </c>
      <c r="BT1386" s="129">
        <f>_xlfn.IFNA(VLOOKUP($C1386,RGI!$A$2:$C$43,2,FALSE),"..")</f>
        <v>46.5</v>
      </c>
      <c r="BU1386" s="129">
        <f>_xlfn.IFNA(VLOOKUP($C1386,RGI!$A$2:$C$43,3,FALSE),"..")</f>
        <v>42.488706175328218</v>
      </c>
      <c r="BV1386" s="129">
        <f>VLOOKUP($D1386,WGI!$C$2:$O$478,7,FALSE)</f>
        <v>-0.73672391613667498</v>
      </c>
      <c r="BW1386" s="129">
        <f>VLOOKUP($D1386,WGI!$C$2:$O$478,4,FALSE)</f>
        <v>-1.9462524352720001</v>
      </c>
      <c r="BX1386" s="129">
        <f>VLOOKUP($D1386,WGI!$C$2:$O$478,3,FALSE)</f>
        <v>-1.08047539707395</v>
      </c>
      <c r="BY1386" s="129">
        <f>VLOOKUP($D1386,WGI!$C$2:$O$478,5,FALSE)</f>
        <v>-0.66940161273980003</v>
      </c>
      <c r="BZ1386" s="129">
        <f>VLOOKUP($D1386,WGI!$C$2:$O$478,2,FALSE)</f>
        <v>-1.12338313325942</v>
      </c>
      <c r="CB1386" s="129"/>
    </row>
    <row r="1387" spans="1:80" s="120" customFormat="1" ht="15" customHeight="1">
      <c r="A1387" s="294" t="s">
        <v>430</v>
      </c>
      <c r="B1387" s="214">
        <v>2011</v>
      </c>
      <c r="C1387" s="809" t="s">
        <v>413</v>
      </c>
      <c r="D1387" s="117" t="s">
        <v>3710</v>
      </c>
      <c r="E1387" s="452" t="s">
        <v>86</v>
      </c>
      <c r="F1387" s="117"/>
      <c r="G1387" s="117" t="s">
        <v>24</v>
      </c>
      <c r="H1387" s="117" t="str">
        <f t="shared" si="241"/>
        <v>yes</v>
      </c>
      <c r="I1387" s="117" t="str">
        <f t="shared" si="233"/>
        <v>no</v>
      </c>
      <c r="J1387" s="117" t="str">
        <f t="shared" si="234"/>
        <v>no</v>
      </c>
      <c r="K1387" s="117" t="s">
        <v>784</v>
      </c>
      <c r="L1387" s="117" t="str">
        <f t="shared" si="242"/>
        <v>detailed</v>
      </c>
      <c r="M1387" s="117" t="str">
        <f t="shared" si="235"/>
        <v>detailed Mining</v>
      </c>
      <c r="N1387" s="179">
        <f>4000*32.150743126506</f>
        <v>128602.972506024</v>
      </c>
      <c r="O1387" s="179"/>
      <c r="P1387" s="179"/>
      <c r="Q1387" s="179"/>
      <c r="R1387" s="179"/>
      <c r="S1387" s="117" t="s">
        <v>785</v>
      </c>
      <c r="T1387" s="119">
        <v>1569.2108333333299</v>
      </c>
      <c r="U1387" s="117" t="s">
        <v>786</v>
      </c>
      <c r="V1387" s="117" t="s">
        <v>787</v>
      </c>
      <c r="W1387" s="89">
        <f>N1387*T1387</f>
        <v>201805177.65532124</v>
      </c>
      <c r="X1387" s="117"/>
      <c r="Y1387" s="117"/>
      <c r="Z1387" s="117"/>
      <c r="AA1387" s="89"/>
      <c r="AB1387" s="89"/>
      <c r="AC1387" s="240"/>
      <c r="AD1387" s="240"/>
      <c r="AE1387" s="240"/>
      <c r="AF1387" s="241"/>
      <c r="AG1387" s="117"/>
      <c r="AH1387" s="124"/>
      <c r="AI1387" s="117"/>
      <c r="AJ1387" s="117"/>
      <c r="AK1387" s="89"/>
      <c r="AL1387" s="117"/>
      <c r="AM1387" s="117"/>
      <c r="AN1387" s="117"/>
      <c r="AO1387" s="117"/>
      <c r="AP1387" s="117"/>
      <c r="AQ1387" s="117"/>
      <c r="AR1387" s="117"/>
      <c r="AS1387" s="117"/>
      <c r="AT1387" s="117"/>
      <c r="AU1387" s="117"/>
      <c r="AV1387" s="128"/>
      <c r="AW1387" s="117">
        <f>VLOOKUP($D1387,'WB Data'!$C$3:$M$578,2,FALSE)</f>
        <v>411743801711.64203</v>
      </c>
      <c r="AX1387" s="117">
        <f>VLOOKUP($D1387,'WB Data'!$C$3:$M$578,3,FALSE)</f>
        <v>164192925</v>
      </c>
      <c r="AY1387" s="847">
        <f t="shared" si="237"/>
        <v>0.16664096859447627</v>
      </c>
      <c r="AZ1387" s="117">
        <f>VLOOKUP($D1387,'WB Data'!$C$3:$M$578,4,FALSE)/100</f>
        <v>5.5773232387429254E-2</v>
      </c>
      <c r="BA1387" s="117">
        <f t="shared" si="238"/>
        <v>22964282736.947002</v>
      </c>
      <c r="BB1387" s="129">
        <f>IFERROR(VLOOKUP($D1387,'EITI Revenues'!$C$2:$G$224,5,FALSE),"..")</f>
        <v>68613385930</v>
      </c>
      <c r="BC1387" s="846">
        <f t="shared" si="239"/>
        <v>2.9878305678412773</v>
      </c>
      <c r="BD1387" s="129">
        <f>VLOOKUP($D1387,'WB Data 2'!$C$2:$K$545,6,FALSE)</f>
        <v>101965507852.90999</v>
      </c>
      <c r="BE1387" s="129">
        <f>IFERROR(VLOOKUP($D1387,UNCTAD!$C$5:$V$529,4,FALSE),"..")</f>
        <v>99755753000</v>
      </c>
      <c r="BF1387" s="846">
        <f t="shared" si="240"/>
        <v>1.0221516532776811</v>
      </c>
      <c r="BG1387" s="117">
        <f>VLOOKUP($D1387,'WB Data'!$C$3:$M$578,5,FALSE)</f>
        <v>1768550000</v>
      </c>
      <c r="BH1387" s="129">
        <f>IFERROR($BB1387/$BG1387,"..")</f>
        <v>38.796407186678351</v>
      </c>
      <c r="BI1387" s="117" t="str">
        <f>IFERROR(VLOOKUP($D1387,'WB Data'!$C$3:$M$578,7,FALSE)/100,"..")</f>
        <v>..</v>
      </c>
      <c r="BJ1387" s="117" t="str">
        <f>IFERROR($BI1387*$AW1387,"..")</f>
        <v>..</v>
      </c>
      <c r="BK1387" s="846" t="str">
        <f>IFERROR($BB1387/$BJ1387,"..")</f>
        <v>..</v>
      </c>
      <c r="BL1387" s="117" t="str">
        <f>IFERROR(VLOOKUP($D1387,'WB Data'!$C$3:$M$578,7,FALSE)/100,"..")</f>
        <v>..</v>
      </c>
      <c r="BM1387" s="117" t="str">
        <f>IFERROR($AW1387*$BL1387,"..")</f>
        <v>..</v>
      </c>
      <c r="BN1387" s="846" t="str">
        <f>IFERROR($BB1387/$BM1387,"..")</f>
        <v>..</v>
      </c>
      <c r="BO1387" s="801">
        <f t="shared" si="236"/>
        <v>27</v>
      </c>
      <c r="BP1387" s="117" t="str">
        <f>VLOOKUP($D1387,'WB Data'!$C$3:$M$578,9,FALSE)</f>
        <v>..</v>
      </c>
      <c r="BQ1387" s="117">
        <f>VLOOKUP($D1387,'WB Data'!$C$3:$M$578,10,FALSE)</f>
        <v>51.710243902439032</v>
      </c>
      <c r="BR1387" s="117">
        <f>VLOOKUP($D1387,'WB Data'!$C$3:$M$578,11,FALSE)</f>
        <v>79.2</v>
      </c>
      <c r="BS1387" s="129" t="str">
        <f>IFERROR(VLOOKUP($D1387,'WB Data 2'!$C$2:$K$545,9,FALSE),"..")</f>
        <v>..</v>
      </c>
      <c r="BT1387" s="129">
        <f>_xlfn.IFNA(VLOOKUP($C1387,RGI!$A$2:$C$43,2,FALSE),"..")</f>
        <v>46.5</v>
      </c>
      <c r="BU1387" s="129">
        <f>_xlfn.IFNA(VLOOKUP($C1387,RGI!$A$2:$C$43,3,FALSE),"..")</f>
        <v>42.488706175328218</v>
      </c>
      <c r="BV1387" s="129">
        <f>VLOOKUP($D1387,WGI!$C$2:$O$478,7,FALSE)</f>
        <v>-0.73672391613667498</v>
      </c>
      <c r="BW1387" s="129">
        <f>VLOOKUP($D1387,WGI!$C$2:$O$478,4,FALSE)</f>
        <v>-1.9462524352720001</v>
      </c>
      <c r="BX1387" s="129">
        <f>VLOOKUP($D1387,WGI!$C$2:$O$478,3,FALSE)</f>
        <v>-1.08047539707395</v>
      </c>
      <c r="BY1387" s="129">
        <f>VLOOKUP($D1387,WGI!$C$2:$O$478,5,FALSE)</f>
        <v>-0.66940161273980003</v>
      </c>
      <c r="BZ1387" s="129">
        <f>VLOOKUP($D1387,WGI!$C$2:$O$478,2,FALSE)</f>
        <v>-1.12338313325942</v>
      </c>
      <c r="CB1387" s="129"/>
    </row>
    <row r="1388" spans="1:80" s="120" customFormat="1" ht="15" customHeight="1">
      <c r="A1388" s="294" t="s">
        <v>430</v>
      </c>
      <c r="B1388" s="214">
        <v>2011</v>
      </c>
      <c r="C1388" s="809" t="s">
        <v>413</v>
      </c>
      <c r="D1388" s="117" t="s">
        <v>3710</v>
      </c>
      <c r="E1388" s="452" t="s">
        <v>86</v>
      </c>
      <c r="F1388" s="117"/>
      <c r="G1388" s="117" t="s">
        <v>24</v>
      </c>
      <c r="H1388" s="117" t="str">
        <f t="shared" si="241"/>
        <v>yes</v>
      </c>
      <c r="I1388" s="117" t="str">
        <f t="shared" si="233"/>
        <v>no</v>
      </c>
      <c r="J1388" s="117" t="str">
        <f t="shared" si="234"/>
        <v>no</v>
      </c>
      <c r="K1388" s="117" t="s">
        <v>955</v>
      </c>
      <c r="L1388" s="117" t="str">
        <f t="shared" si="242"/>
        <v>detailed</v>
      </c>
      <c r="M1388" s="117" t="str">
        <f t="shared" si="235"/>
        <v>detailed Mining</v>
      </c>
      <c r="N1388" s="179">
        <v>9621000</v>
      </c>
      <c r="O1388" s="179"/>
      <c r="P1388" s="179">
        <v>7587626.1900000004</v>
      </c>
      <c r="Q1388" s="179"/>
      <c r="R1388" s="179"/>
      <c r="S1388" s="117" t="s">
        <v>610</v>
      </c>
      <c r="T1388" s="119">
        <v>12</v>
      </c>
      <c r="U1388" s="117" t="s">
        <v>611</v>
      </c>
      <c r="V1388" s="117" t="s">
        <v>1982</v>
      </c>
      <c r="W1388" s="89">
        <f>N1388*T1388</f>
        <v>115452000</v>
      </c>
      <c r="X1388" s="117"/>
      <c r="Y1388" s="117"/>
      <c r="Z1388" s="117"/>
      <c r="AA1388" s="89"/>
      <c r="AB1388" s="89"/>
      <c r="AC1388" s="240"/>
      <c r="AD1388" s="240"/>
      <c r="AE1388" s="240"/>
      <c r="AF1388" s="241"/>
      <c r="AG1388" s="117"/>
      <c r="AH1388" s="124"/>
      <c r="AI1388" s="117"/>
      <c r="AJ1388" s="117"/>
      <c r="AK1388" s="89"/>
      <c r="AL1388" s="117"/>
      <c r="AM1388" s="117"/>
      <c r="AN1388" s="117"/>
      <c r="AO1388" s="117"/>
      <c r="AP1388" s="117"/>
      <c r="AQ1388" s="117"/>
      <c r="AR1388" s="117"/>
      <c r="AS1388" s="117"/>
      <c r="AT1388" s="117"/>
      <c r="AU1388" s="117" t="s">
        <v>1976</v>
      </c>
      <c r="AV1388" s="128"/>
      <c r="AW1388" s="117">
        <f>VLOOKUP($D1388,'WB Data'!$C$3:$M$578,2,FALSE)</f>
        <v>411743801711.64203</v>
      </c>
      <c r="AX1388" s="117">
        <f>VLOOKUP($D1388,'WB Data'!$C$3:$M$578,3,FALSE)</f>
        <v>164192925</v>
      </c>
      <c r="AY1388" s="847">
        <f t="shared" si="237"/>
        <v>0.16664096859447627</v>
      </c>
      <c r="AZ1388" s="117">
        <f>VLOOKUP($D1388,'WB Data'!$C$3:$M$578,4,FALSE)/100</f>
        <v>5.5773232387429254E-2</v>
      </c>
      <c r="BA1388" s="117">
        <f t="shared" si="238"/>
        <v>22964282736.947002</v>
      </c>
      <c r="BB1388" s="129">
        <f>IFERROR(VLOOKUP($D1388,'EITI Revenues'!$C$2:$G$224,5,FALSE),"..")</f>
        <v>68613385930</v>
      </c>
      <c r="BC1388" s="846">
        <f t="shared" si="239"/>
        <v>2.9878305678412773</v>
      </c>
      <c r="BD1388" s="129">
        <f>VLOOKUP($D1388,'WB Data 2'!$C$2:$K$545,6,FALSE)</f>
        <v>101965507852.90999</v>
      </c>
      <c r="BE1388" s="129">
        <f>IFERROR(VLOOKUP($D1388,UNCTAD!$C$5:$V$529,4,FALSE),"..")</f>
        <v>99755753000</v>
      </c>
      <c r="BF1388" s="846">
        <f t="shared" si="240"/>
        <v>1.0221516532776811</v>
      </c>
      <c r="BG1388" s="117">
        <f>VLOOKUP($D1388,'WB Data'!$C$3:$M$578,5,FALSE)</f>
        <v>1768550000</v>
      </c>
      <c r="BH1388" s="129">
        <f>IFERROR($BB1388/$BG1388,"..")</f>
        <v>38.796407186678351</v>
      </c>
      <c r="BI1388" s="117" t="str">
        <f>IFERROR(VLOOKUP($D1388,'WB Data'!$C$3:$M$578,7,FALSE)/100,"..")</f>
        <v>..</v>
      </c>
      <c r="BJ1388" s="117" t="str">
        <f>IFERROR($BI1388*$AW1388,"..")</f>
        <v>..</v>
      </c>
      <c r="BK1388" s="846" t="str">
        <f>IFERROR($BB1388/$BJ1388,"..")</f>
        <v>..</v>
      </c>
      <c r="BL1388" s="117" t="str">
        <f>IFERROR(VLOOKUP($D1388,'WB Data'!$C$3:$M$578,7,FALSE)/100,"..")</f>
        <v>..</v>
      </c>
      <c r="BM1388" s="117" t="str">
        <f>IFERROR($AW1388*$BL1388,"..")</f>
        <v>..</v>
      </c>
      <c r="BN1388" s="846" t="str">
        <f>IFERROR($BB1388/$BM1388,"..")</f>
        <v>..</v>
      </c>
      <c r="BO1388" s="801">
        <f t="shared" si="236"/>
        <v>27</v>
      </c>
      <c r="BP1388" s="117" t="str">
        <f>VLOOKUP($D1388,'WB Data'!$C$3:$M$578,9,FALSE)</f>
        <v>..</v>
      </c>
      <c r="BQ1388" s="117">
        <f>VLOOKUP($D1388,'WB Data'!$C$3:$M$578,10,FALSE)</f>
        <v>51.710243902439032</v>
      </c>
      <c r="BR1388" s="117">
        <f>VLOOKUP($D1388,'WB Data'!$C$3:$M$578,11,FALSE)</f>
        <v>79.2</v>
      </c>
      <c r="BS1388" s="129" t="str">
        <f>IFERROR(VLOOKUP($D1388,'WB Data 2'!$C$2:$K$545,9,FALSE),"..")</f>
        <v>..</v>
      </c>
      <c r="BT1388" s="129">
        <f>_xlfn.IFNA(VLOOKUP($C1388,RGI!$A$2:$C$43,2,FALSE),"..")</f>
        <v>46.5</v>
      </c>
      <c r="BU1388" s="129">
        <f>_xlfn.IFNA(VLOOKUP($C1388,RGI!$A$2:$C$43,3,FALSE),"..")</f>
        <v>42.488706175328218</v>
      </c>
      <c r="BV1388" s="129">
        <f>VLOOKUP($D1388,WGI!$C$2:$O$478,7,FALSE)</f>
        <v>-0.73672391613667498</v>
      </c>
      <c r="BW1388" s="129">
        <f>VLOOKUP($D1388,WGI!$C$2:$O$478,4,FALSE)</f>
        <v>-1.9462524352720001</v>
      </c>
      <c r="BX1388" s="129">
        <f>VLOOKUP($D1388,WGI!$C$2:$O$478,3,FALSE)</f>
        <v>-1.08047539707395</v>
      </c>
      <c r="BY1388" s="129">
        <f>VLOOKUP($D1388,WGI!$C$2:$O$478,5,FALSE)</f>
        <v>-0.66940161273980003</v>
      </c>
      <c r="BZ1388" s="129">
        <f>VLOOKUP($D1388,WGI!$C$2:$O$478,2,FALSE)</f>
        <v>-1.12338313325942</v>
      </c>
      <c r="CB1388" s="129"/>
    </row>
    <row r="1389" spans="1:80" s="120" customFormat="1" ht="15" customHeight="1">
      <c r="A1389" s="294" t="s">
        <v>430</v>
      </c>
      <c r="B1389" s="214">
        <v>2011</v>
      </c>
      <c r="C1389" s="809" t="s">
        <v>413</v>
      </c>
      <c r="D1389" s="117" t="s">
        <v>3710</v>
      </c>
      <c r="E1389" s="452" t="s">
        <v>86</v>
      </c>
      <c r="F1389" s="117"/>
      <c r="G1389" s="117" t="s">
        <v>24</v>
      </c>
      <c r="H1389" s="117" t="str">
        <f t="shared" si="241"/>
        <v>yes</v>
      </c>
      <c r="I1389" s="117" t="str">
        <f t="shared" si="233"/>
        <v>no</v>
      </c>
      <c r="J1389" s="117" t="str">
        <f t="shared" si="234"/>
        <v>no</v>
      </c>
      <c r="K1389" s="117" t="s">
        <v>622</v>
      </c>
      <c r="L1389" s="117" t="str">
        <f t="shared" si="242"/>
        <v>detailed</v>
      </c>
      <c r="M1389" s="117" t="str">
        <f t="shared" si="235"/>
        <v>detailed Mining</v>
      </c>
      <c r="N1389" s="179">
        <v>320000</v>
      </c>
      <c r="O1389" s="179"/>
      <c r="P1389" s="179">
        <v>20072.7</v>
      </c>
      <c r="Q1389" s="179"/>
      <c r="R1389" s="179"/>
      <c r="S1389" s="117" t="s">
        <v>610</v>
      </c>
      <c r="T1389" s="119">
        <v>18.5</v>
      </c>
      <c r="U1389" s="117" t="s">
        <v>611</v>
      </c>
      <c r="V1389" s="117" t="s">
        <v>1227</v>
      </c>
      <c r="W1389" s="89">
        <f>N1389*T1389</f>
        <v>5920000</v>
      </c>
      <c r="X1389" s="117"/>
      <c r="Y1389" s="117"/>
      <c r="Z1389" s="117"/>
      <c r="AA1389" s="89"/>
      <c r="AB1389" s="89"/>
      <c r="AC1389" s="240"/>
      <c r="AD1389" s="240"/>
      <c r="AE1389" s="240"/>
      <c r="AF1389" s="241"/>
      <c r="AG1389" s="117"/>
      <c r="AH1389" s="124"/>
      <c r="AI1389" s="117"/>
      <c r="AJ1389" s="117"/>
      <c r="AK1389" s="89"/>
      <c r="AL1389" s="117"/>
      <c r="AM1389" s="117"/>
      <c r="AN1389" s="117"/>
      <c r="AO1389" s="117"/>
      <c r="AP1389" s="117"/>
      <c r="AQ1389" s="117"/>
      <c r="AR1389" s="117"/>
      <c r="AS1389" s="117"/>
      <c r="AT1389" s="117"/>
      <c r="AU1389" s="117" t="s">
        <v>1976</v>
      </c>
      <c r="AV1389" s="128"/>
      <c r="AW1389" s="117">
        <f>VLOOKUP($D1389,'WB Data'!$C$3:$M$578,2,FALSE)</f>
        <v>411743801711.64203</v>
      </c>
      <c r="AX1389" s="117">
        <f>VLOOKUP($D1389,'WB Data'!$C$3:$M$578,3,FALSE)</f>
        <v>164192925</v>
      </c>
      <c r="AY1389" s="847">
        <f t="shared" si="237"/>
        <v>0.16664096859447627</v>
      </c>
      <c r="AZ1389" s="117">
        <f>VLOOKUP($D1389,'WB Data'!$C$3:$M$578,4,FALSE)/100</f>
        <v>5.5773232387429254E-2</v>
      </c>
      <c r="BA1389" s="117">
        <f t="shared" si="238"/>
        <v>22964282736.947002</v>
      </c>
      <c r="BB1389" s="129">
        <f>IFERROR(VLOOKUP($D1389,'EITI Revenues'!$C$2:$G$224,5,FALSE),"..")</f>
        <v>68613385930</v>
      </c>
      <c r="BC1389" s="846">
        <f t="shared" si="239"/>
        <v>2.9878305678412773</v>
      </c>
      <c r="BD1389" s="129">
        <f>VLOOKUP($D1389,'WB Data 2'!$C$2:$K$545,6,FALSE)</f>
        <v>101965507852.90999</v>
      </c>
      <c r="BE1389" s="129">
        <f>IFERROR(VLOOKUP($D1389,UNCTAD!$C$5:$V$529,4,FALSE),"..")</f>
        <v>99755753000</v>
      </c>
      <c r="BF1389" s="846">
        <f t="shared" si="240"/>
        <v>1.0221516532776811</v>
      </c>
      <c r="BG1389" s="117">
        <f>VLOOKUP($D1389,'WB Data'!$C$3:$M$578,5,FALSE)</f>
        <v>1768550000</v>
      </c>
      <c r="BH1389" s="129">
        <f>IFERROR($BB1389/$BG1389,"..")</f>
        <v>38.796407186678351</v>
      </c>
      <c r="BI1389" s="117" t="str">
        <f>IFERROR(VLOOKUP($D1389,'WB Data'!$C$3:$M$578,7,FALSE)/100,"..")</f>
        <v>..</v>
      </c>
      <c r="BJ1389" s="117" t="str">
        <f>IFERROR($BI1389*$AW1389,"..")</f>
        <v>..</v>
      </c>
      <c r="BK1389" s="846" t="str">
        <f>IFERROR($BB1389/$BJ1389,"..")</f>
        <v>..</v>
      </c>
      <c r="BL1389" s="117" t="str">
        <f>IFERROR(VLOOKUP($D1389,'WB Data'!$C$3:$M$578,7,FALSE)/100,"..")</f>
        <v>..</v>
      </c>
      <c r="BM1389" s="117" t="str">
        <f>IFERROR($AW1389*$BL1389,"..")</f>
        <v>..</v>
      </c>
      <c r="BN1389" s="846" t="str">
        <f>IFERROR($BB1389/$BM1389,"..")</f>
        <v>..</v>
      </c>
      <c r="BO1389" s="801">
        <f t="shared" si="236"/>
        <v>27</v>
      </c>
      <c r="BP1389" s="117" t="str">
        <f>VLOOKUP($D1389,'WB Data'!$C$3:$M$578,9,FALSE)</f>
        <v>..</v>
      </c>
      <c r="BQ1389" s="117">
        <f>VLOOKUP($D1389,'WB Data'!$C$3:$M$578,10,FALSE)</f>
        <v>51.710243902439032</v>
      </c>
      <c r="BR1389" s="117">
        <f>VLOOKUP($D1389,'WB Data'!$C$3:$M$578,11,FALSE)</f>
        <v>79.2</v>
      </c>
      <c r="BS1389" s="129" t="str">
        <f>IFERROR(VLOOKUP($D1389,'WB Data 2'!$C$2:$K$545,9,FALSE),"..")</f>
        <v>..</v>
      </c>
      <c r="BT1389" s="129">
        <f>_xlfn.IFNA(VLOOKUP($C1389,RGI!$A$2:$C$43,2,FALSE),"..")</f>
        <v>46.5</v>
      </c>
      <c r="BU1389" s="129">
        <f>_xlfn.IFNA(VLOOKUP($C1389,RGI!$A$2:$C$43,3,FALSE),"..")</f>
        <v>42.488706175328218</v>
      </c>
      <c r="BV1389" s="129">
        <f>VLOOKUP($D1389,WGI!$C$2:$O$478,7,FALSE)</f>
        <v>-0.73672391613667498</v>
      </c>
      <c r="BW1389" s="129">
        <f>VLOOKUP($D1389,WGI!$C$2:$O$478,4,FALSE)</f>
        <v>-1.9462524352720001</v>
      </c>
      <c r="BX1389" s="129">
        <f>VLOOKUP($D1389,WGI!$C$2:$O$478,3,FALSE)</f>
        <v>-1.08047539707395</v>
      </c>
      <c r="BY1389" s="129">
        <f>VLOOKUP($D1389,WGI!$C$2:$O$478,5,FALSE)</f>
        <v>-0.66940161273980003</v>
      </c>
      <c r="BZ1389" s="129">
        <f>VLOOKUP($D1389,WGI!$C$2:$O$478,2,FALSE)</f>
        <v>-1.12338313325942</v>
      </c>
      <c r="CB1389" s="129"/>
    </row>
    <row r="1390" spans="1:80" s="120" customFormat="1" ht="15" customHeight="1">
      <c r="A1390" s="294" t="s">
        <v>430</v>
      </c>
      <c r="B1390" s="214">
        <v>2011</v>
      </c>
      <c r="C1390" s="809" t="s">
        <v>413</v>
      </c>
      <c r="D1390" s="117" t="s">
        <v>3710</v>
      </c>
      <c r="E1390" s="452" t="s">
        <v>86</v>
      </c>
      <c r="F1390" s="117"/>
      <c r="G1390" s="117" t="s">
        <v>24</v>
      </c>
      <c r="H1390" s="117" t="str">
        <f t="shared" si="241"/>
        <v>yes</v>
      </c>
      <c r="I1390" s="117" t="str">
        <f t="shared" si="233"/>
        <v>no</v>
      </c>
      <c r="J1390" s="117" t="str">
        <f t="shared" si="234"/>
        <v>no</v>
      </c>
      <c r="K1390" s="117" t="s">
        <v>1228</v>
      </c>
      <c r="L1390" s="117" t="str">
        <f t="shared" si="242"/>
        <v>detailed</v>
      </c>
      <c r="M1390" s="117" t="str">
        <f t="shared" si="235"/>
        <v>detailed Mining</v>
      </c>
      <c r="N1390" s="179">
        <v>70000</v>
      </c>
      <c r="O1390" s="179"/>
      <c r="P1390" s="179"/>
      <c r="Q1390" s="179"/>
      <c r="R1390" s="179"/>
      <c r="S1390" s="117" t="s">
        <v>610</v>
      </c>
      <c r="T1390" s="119">
        <v>167.75416666666999</v>
      </c>
      <c r="U1390" s="117" t="s">
        <v>611</v>
      </c>
      <c r="V1390" s="117" t="s">
        <v>1983</v>
      </c>
      <c r="W1390" s="89">
        <f>N1390*T1390</f>
        <v>11742791.666666899</v>
      </c>
      <c r="X1390" s="117"/>
      <c r="Y1390" s="117"/>
      <c r="Z1390" s="117"/>
      <c r="AA1390" s="89"/>
      <c r="AB1390" s="89"/>
      <c r="AC1390" s="240"/>
      <c r="AD1390" s="240"/>
      <c r="AE1390" s="240"/>
      <c r="AF1390" s="241"/>
      <c r="AG1390" s="117"/>
      <c r="AH1390" s="124"/>
      <c r="AI1390" s="117"/>
      <c r="AJ1390" s="117"/>
      <c r="AK1390" s="89"/>
      <c r="AL1390" s="117"/>
      <c r="AM1390" s="117"/>
      <c r="AN1390" s="117"/>
      <c r="AO1390" s="117"/>
      <c r="AP1390" s="117"/>
      <c r="AQ1390" s="117"/>
      <c r="AR1390" s="117"/>
      <c r="AS1390" s="117"/>
      <c r="AT1390" s="117"/>
      <c r="AU1390" s="117"/>
      <c r="AV1390" s="128"/>
      <c r="AW1390" s="117">
        <f>VLOOKUP($D1390,'WB Data'!$C$3:$M$578,2,FALSE)</f>
        <v>411743801711.64203</v>
      </c>
      <c r="AX1390" s="117">
        <f>VLOOKUP($D1390,'WB Data'!$C$3:$M$578,3,FALSE)</f>
        <v>164192925</v>
      </c>
      <c r="AY1390" s="847">
        <f t="shared" si="237"/>
        <v>0.16664096859447627</v>
      </c>
      <c r="AZ1390" s="117">
        <f>VLOOKUP($D1390,'WB Data'!$C$3:$M$578,4,FALSE)/100</f>
        <v>5.5773232387429254E-2</v>
      </c>
      <c r="BA1390" s="117">
        <f t="shared" si="238"/>
        <v>22964282736.947002</v>
      </c>
      <c r="BB1390" s="129">
        <f>IFERROR(VLOOKUP($D1390,'EITI Revenues'!$C$2:$G$224,5,FALSE),"..")</f>
        <v>68613385930</v>
      </c>
      <c r="BC1390" s="846">
        <f t="shared" si="239"/>
        <v>2.9878305678412773</v>
      </c>
      <c r="BD1390" s="129">
        <f>VLOOKUP($D1390,'WB Data 2'!$C$2:$K$545,6,FALSE)</f>
        <v>101965507852.90999</v>
      </c>
      <c r="BE1390" s="129">
        <f>IFERROR(VLOOKUP($D1390,UNCTAD!$C$5:$V$529,4,FALSE),"..")</f>
        <v>99755753000</v>
      </c>
      <c r="BF1390" s="846">
        <f t="shared" si="240"/>
        <v>1.0221516532776811</v>
      </c>
      <c r="BG1390" s="117">
        <f>VLOOKUP($D1390,'WB Data'!$C$3:$M$578,5,FALSE)</f>
        <v>1768550000</v>
      </c>
      <c r="BH1390" s="129">
        <f>IFERROR($BB1390/$BG1390,"..")</f>
        <v>38.796407186678351</v>
      </c>
      <c r="BI1390" s="117" t="str">
        <f>IFERROR(VLOOKUP($D1390,'WB Data'!$C$3:$M$578,7,FALSE)/100,"..")</f>
        <v>..</v>
      </c>
      <c r="BJ1390" s="117" t="str">
        <f>IFERROR($BI1390*$AW1390,"..")</f>
        <v>..</v>
      </c>
      <c r="BK1390" s="846" t="str">
        <f>IFERROR($BB1390/$BJ1390,"..")</f>
        <v>..</v>
      </c>
      <c r="BL1390" s="117" t="str">
        <f>IFERROR(VLOOKUP($D1390,'WB Data'!$C$3:$M$578,7,FALSE)/100,"..")</f>
        <v>..</v>
      </c>
      <c r="BM1390" s="117" t="str">
        <f>IFERROR($AW1390*$BL1390,"..")</f>
        <v>..</v>
      </c>
      <c r="BN1390" s="846" t="str">
        <f>IFERROR($BB1390/$BM1390,"..")</f>
        <v>..</v>
      </c>
      <c r="BO1390" s="801">
        <f t="shared" si="236"/>
        <v>27</v>
      </c>
      <c r="BP1390" s="117" t="str">
        <f>VLOOKUP($D1390,'WB Data'!$C$3:$M$578,9,FALSE)</f>
        <v>..</v>
      </c>
      <c r="BQ1390" s="117">
        <f>VLOOKUP($D1390,'WB Data'!$C$3:$M$578,10,FALSE)</f>
        <v>51.710243902439032</v>
      </c>
      <c r="BR1390" s="117">
        <f>VLOOKUP($D1390,'WB Data'!$C$3:$M$578,11,FALSE)</f>
        <v>79.2</v>
      </c>
      <c r="BS1390" s="129" t="str">
        <f>IFERROR(VLOOKUP($D1390,'WB Data 2'!$C$2:$K$545,9,FALSE),"..")</f>
        <v>..</v>
      </c>
      <c r="BT1390" s="129">
        <f>_xlfn.IFNA(VLOOKUP($C1390,RGI!$A$2:$C$43,2,FALSE),"..")</f>
        <v>46.5</v>
      </c>
      <c r="BU1390" s="129">
        <f>_xlfn.IFNA(VLOOKUP($C1390,RGI!$A$2:$C$43,3,FALSE),"..")</f>
        <v>42.488706175328218</v>
      </c>
      <c r="BV1390" s="129">
        <f>VLOOKUP($D1390,WGI!$C$2:$O$478,7,FALSE)</f>
        <v>-0.73672391613667498</v>
      </c>
      <c r="BW1390" s="129">
        <f>VLOOKUP($D1390,WGI!$C$2:$O$478,4,FALSE)</f>
        <v>-1.9462524352720001</v>
      </c>
      <c r="BX1390" s="129">
        <f>VLOOKUP($D1390,WGI!$C$2:$O$478,3,FALSE)</f>
        <v>-1.08047539707395</v>
      </c>
      <c r="BY1390" s="129">
        <f>VLOOKUP($D1390,WGI!$C$2:$O$478,5,FALSE)</f>
        <v>-0.66940161273980003</v>
      </c>
      <c r="BZ1390" s="129">
        <f>VLOOKUP($D1390,WGI!$C$2:$O$478,2,FALSE)</f>
        <v>-1.12338313325942</v>
      </c>
      <c r="CB1390" s="129"/>
    </row>
    <row r="1391" spans="1:80" s="120" customFormat="1" ht="15" customHeight="1">
      <c r="A1391" s="294" t="s">
        <v>430</v>
      </c>
      <c r="B1391" s="214">
        <v>2011</v>
      </c>
      <c r="C1391" s="809" t="s">
        <v>413</v>
      </c>
      <c r="D1391" s="117" t="s">
        <v>3710</v>
      </c>
      <c r="E1391" s="452" t="s">
        <v>86</v>
      </c>
      <c r="F1391" s="117"/>
      <c r="G1391" s="117" t="s">
        <v>24</v>
      </c>
      <c r="H1391" s="117" t="str">
        <f t="shared" si="241"/>
        <v>yes</v>
      </c>
      <c r="I1391" s="117" t="str">
        <f t="shared" ref="I1391:I1466" si="243">IF($G1391="Gas","yes",IF($G1391="Oil, Gas, Mining","yes",IF($G1391="Gas, Mining","yes",IF($G1391="Oil, Gas","yes",IF($G1391="Oil, Gas, Other","yes","no")))))</f>
        <v>no</v>
      </c>
      <c r="J1391" s="117" t="str">
        <f t="shared" ref="J1391:J1466" si="244">IF($G1391="Oil","yes",IF($G1391="Oil, Gas, Mining","yes",IF($G1391="Oil, Mining","yes",IF($G1391="Oil, Gas","yes",IF($G1391="Oil, Gas, Other","yes","no")))))</f>
        <v>no</v>
      </c>
      <c r="K1391" s="117" t="s">
        <v>1984</v>
      </c>
      <c r="L1391" s="117" t="str">
        <f t="shared" si="242"/>
        <v>detailed</v>
      </c>
      <c r="M1391" s="117" t="str">
        <f t="shared" ref="M1391:M1466" si="245">L1391&amp;" "&amp;G1391</f>
        <v>detailed Mining</v>
      </c>
      <c r="N1391" s="179">
        <v>2573000</v>
      </c>
      <c r="O1391" s="179"/>
      <c r="P1391" s="179">
        <v>2304615.85</v>
      </c>
      <c r="Q1391" s="179"/>
      <c r="R1391" s="179"/>
      <c r="S1391" s="117" t="s">
        <v>610</v>
      </c>
      <c r="T1391" s="119"/>
      <c r="U1391" s="117"/>
      <c r="V1391" s="117" t="s">
        <v>684</v>
      </c>
      <c r="W1391" s="89"/>
      <c r="X1391" s="117"/>
      <c r="Y1391" s="117"/>
      <c r="Z1391" s="117"/>
      <c r="AA1391" s="89"/>
      <c r="AB1391" s="89"/>
      <c r="AC1391" s="240"/>
      <c r="AD1391" s="240"/>
      <c r="AE1391" s="240"/>
      <c r="AF1391" s="241"/>
      <c r="AG1391" s="117"/>
      <c r="AH1391" s="124"/>
      <c r="AI1391" s="117"/>
      <c r="AJ1391" s="117"/>
      <c r="AK1391" s="89"/>
      <c r="AL1391" s="117"/>
      <c r="AM1391" s="117"/>
      <c r="AN1391" s="117"/>
      <c r="AO1391" s="117"/>
      <c r="AP1391" s="117"/>
      <c r="AQ1391" s="117"/>
      <c r="AR1391" s="117"/>
      <c r="AS1391" s="117"/>
      <c r="AT1391" s="117"/>
      <c r="AU1391" s="117" t="s">
        <v>1976</v>
      </c>
      <c r="AV1391" s="128"/>
      <c r="AW1391" s="117">
        <f>VLOOKUP($D1391,'WB Data'!$C$3:$M$578,2,FALSE)</f>
        <v>411743801711.64203</v>
      </c>
      <c r="AX1391" s="117">
        <f>VLOOKUP($D1391,'WB Data'!$C$3:$M$578,3,FALSE)</f>
        <v>164192925</v>
      </c>
      <c r="AY1391" s="847">
        <f t="shared" si="237"/>
        <v>0.16664096859447627</v>
      </c>
      <c r="AZ1391" s="117">
        <f>VLOOKUP($D1391,'WB Data'!$C$3:$M$578,4,FALSE)/100</f>
        <v>5.5773232387429254E-2</v>
      </c>
      <c r="BA1391" s="117">
        <f t="shared" si="238"/>
        <v>22964282736.947002</v>
      </c>
      <c r="BB1391" s="129">
        <f>IFERROR(VLOOKUP($D1391,'EITI Revenues'!$C$2:$G$224,5,FALSE),"..")</f>
        <v>68613385930</v>
      </c>
      <c r="BC1391" s="846">
        <f t="shared" si="239"/>
        <v>2.9878305678412773</v>
      </c>
      <c r="BD1391" s="129">
        <f>VLOOKUP($D1391,'WB Data 2'!$C$2:$K$545,6,FALSE)</f>
        <v>101965507852.90999</v>
      </c>
      <c r="BE1391" s="129">
        <f>IFERROR(VLOOKUP($D1391,UNCTAD!$C$5:$V$529,4,FALSE),"..")</f>
        <v>99755753000</v>
      </c>
      <c r="BF1391" s="846">
        <f t="shared" si="240"/>
        <v>1.0221516532776811</v>
      </c>
      <c r="BG1391" s="117">
        <f>VLOOKUP($D1391,'WB Data'!$C$3:$M$578,5,FALSE)</f>
        <v>1768550000</v>
      </c>
      <c r="BH1391" s="129">
        <f>IFERROR($BB1391/$BG1391,"..")</f>
        <v>38.796407186678351</v>
      </c>
      <c r="BI1391" s="117" t="str">
        <f>IFERROR(VLOOKUP($D1391,'WB Data'!$C$3:$M$578,7,FALSE)/100,"..")</f>
        <v>..</v>
      </c>
      <c r="BJ1391" s="117" t="str">
        <f>IFERROR($BI1391*$AW1391,"..")</f>
        <v>..</v>
      </c>
      <c r="BK1391" s="846" t="str">
        <f>IFERROR($BB1391/$BJ1391,"..")</f>
        <v>..</v>
      </c>
      <c r="BL1391" s="117" t="str">
        <f>IFERROR(VLOOKUP($D1391,'WB Data'!$C$3:$M$578,7,FALSE)/100,"..")</f>
        <v>..</v>
      </c>
      <c r="BM1391" s="117" t="str">
        <f>IFERROR($AW1391*$BL1391,"..")</f>
        <v>..</v>
      </c>
      <c r="BN1391" s="846" t="str">
        <f>IFERROR($BB1391/$BM1391,"..")</f>
        <v>..</v>
      </c>
      <c r="BO1391" s="801">
        <f t="shared" si="236"/>
        <v>27</v>
      </c>
      <c r="BP1391" s="117" t="str">
        <f>VLOOKUP($D1391,'WB Data'!$C$3:$M$578,9,FALSE)</f>
        <v>..</v>
      </c>
      <c r="BQ1391" s="117">
        <f>VLOOKUP($D1391,'WB Data'!$C$3:$M$578,10,FALSE)</f>
        <v>51.710243902439032</v>
      </c>
      <c r="BR1391" s="117">
        <f>VLOOKUP($D1391,'WB Data'!$C$3:$M$578,11,FALSE)</f>
        <v>79.2</v>
      </c>
      <c r="BS1391" s="129" t="str">
        <f>IFERROR(VLOOKUP($D1391,'WB Data 2'!$C$2:$K$545,9,FALSE),"..")</f>
        <v>..</v>
      </c>
      <c r="BT1391" s="129">
        <f>_xlfn.IFNA(VLOOKUP($C1391,RGI!$A$2:$C$43,2,FALSE),"..")</f>
        <v>46.5</v>
      </c>
      <c r="BU1391" s="129">
        <f>_xlfn.IFNA(VLOOKUP($C1391,RGI!$A$2:$C$43,3,FALSE),"..")</f>
        <v>42.488706175328218</v>
      </c>
      <c r="BV1391" s="129">
        <f>VLOOKUP($D1391,WGI!$C$2:$O$478,7,FALSE)</f>
        <v>-0.73672391613667498</v>
      </c>
      <c r="BW1391" s="129">
        <f>VLOOKUP($D1391,WGI!$C$2:$O$478,4,FALSE)</f>
        <v>-1.9462524352720001</v>
      </c>
      <c r="BX1391" s="129">
        <f>VLOOKUP($D1391,WGI!$C$2:$O$478,3,FALSE)</f>
        <v>-1.08047539707395</v>
      </c>
      <c r="BY1391" s="129">
        <f>VLOOKUP($D1391,WGI!$C$2:$O$478,5,FALSE)</f>
        <v>-0.66940161273980003</v>
      </c>
      <c r="BZ1391" s="129">
        <f>VLOOKUP($D1391,WGI!$C$2:$O$478,2,FALSE)</f>
        <v>-1.12338313325942</v>
      </c>
      <c r="CB1391" s="129"/>
    </row>
    <row r="1392" spans="1:80" s="120" customFormat="1" ht="15" customHeight="1">
      <c r="A1392" s="294" t="s">
        <v>430</v>
      </c>
      <c r="B1392" s="214">
        <v>2011</v>
      </c>
      <c r="C1392" s="809" t="s">
        <v>413</v>
      </c>
      <c r="D1392" s="117" t="s">
        <v>3710</v>
      </c>
      <c r="E1392" s="452" t="s">
        <v>86</v>
      </c>
      <c r="F1392" s="117"/>
      <c r="G1392" s="117" t="s">
        <v>24</v>
      </c>
      <c r="H1392" s="117" t="str">
        <f t="shared" si="241"/>
        <v>yes</v>
      </c>
      <c r="I1392" s="117" t="str">
        <f t="shared" si="243"/>
        <v>no</v>
      </c>
      <c r="J1392" s="117" t="str">
        <f t="shared" si="244"/>
        <v>no</v>
      </c>
      <c r="K1392" s="117" t="s">
        <v>1985</v>
      </c>
      <c r="L1392" s="117" t="str">
        <f t="shared" si="242"/>
        <v>detailed</v>
      </c>
      <c r="M1392" s="117" t="str">
        <f t="shared" si="245"/>
        <v>detailed Mining</v>
      </c>
      <c r="N1392" s="179">
        <v>800000</v>
      </c>
      <c r="O1392" s="179"/>
      <c r="P1392" s="179"/>
      <c r="Q1392" s="179"/>
      <c r="R1392" s="179"/>
      <c r="S1392" s="117" t="s">
        <v>610</v>
      </c>
      <c r="T1392" s="119"/>
      <c r="U1392" s="117"/>
      <c r="V1392" s="117" t="s">
        <v>684</v>
      </c>
      <c r="W1392" s="89"/>
      <c r="X1392" s="117"/>
      <c r="Y1392" s="117"/>
      <c r="Z1392" s="117"/>
      <c r="AA1392" s="89"/>
      <c r="AB1392" s="89"/>
      <c r="AC1392" s="240"/>
      <c r="AD1392" s="240"/>
      <c r="AE1392" s="240"/>
      <c r="AF1392" s="241"/>
      <c r="AG1392" s="117"/>
      <c r="AH1392" s="124"/>
      <c r="AI1392" s="117"/>
      <c r="AJ1392" s="117"/>
      <c r="AK1392" s="89"/>
      <c r="AL1392" s="117"/>
      <c r="AM1392" s="117"/>
      <c r="AN1392" s="117"/>
      <c r="AO1392" s="117"/>
      <c r="AP1392" s="117"/>
      <c r="AQ1392" s="117"/>
      <c r="AR1392" s="117"/>
      <c r="AS1392" s="117"/>
      <c r="AT1392" s="117"/>
      <c r="AU1392" s="117"/>
      <c r="AV1392" s="128"/>
      <c r="AW1392" s="117">
        <f>VLOOKUP($D1392,'WB Data'!$C$3:$M$578,2,FALSE)</f>
        <v>411743801711.64203</v>
      </c>
      <c r="AX1392" s="117">
        <f>VLOOKUP($D1392,'WB Data'!$C$3:$M$578,3,FALSE)</f>
        <v>164192925</v>
      </c>
      <c r="AY1392" s="847">
        <f t="shared" si="237"/>
        <v>0.16664096859447627</v>
      </c>
      <c r="AZ1392" s="117">
        <f>VLOOKUP($D1392,'WB Data'!$C$3:$M$578,4,FALSE)/100</f>
        <v>5.5773232387429254E-2</v>
      </c>
      <c r="BA1392" s="117">
        <f t="shared" si="238"/>
        <v>22964282736.947002</v>
      </c>
      <c r="BB1392" s="129">
        <f>IFERROR(VLOOKUP($D1392,'EITI Revenues'!$C$2:$G$224,5,FALSE),"..")</f>
        <v>68613385930</v>
      </c>
      <c r="BC1392" s="846">
        <f t="shared" si="239"/>
        <v>2.9878305678412773</v>
      </c>
      <c r="BD1392" s="129">
        <f>VLOOKUP($D1392,'WB Data 2'!$C$2:$K$545,6,FALSE)</f>
        <v>101965507852.90999</v>
      </c>
      <c r="BE1392" s="129">
        <f>IFERROR(VLOOKUP($D1392,UNCTAD!$C$5:$V$529,4,FALSE),"..")</f>
        <v>99755753000</v>
      </c>
      <c r="BF1392" s="846">
        <f t="shared" si="240"/>
        <v>1.0221516532776811</v>
      </c>
      <c r="BG1392" s="117">
        <f>VLOOKUP($D1392,'WB Data'!$C$3:$M$578,5,FALSE)</f>
        <v>1768550000</v>
      </c>
      <c r="BH1392" s="129">
        <f>IFERROR($BB1392/$BG1392,"..")</f>
        <v>38.796407186678351</v>
      </c>
      <c r="BI1392" s="117" t="str">
        <f>IFERROR(VLOOKUP($D1392,'WB Data'!$C$3:$M$578,7,FALSE)/100,"..")</f>
        <v>..</v>
      </c>
      <c r="BJ1392" s="117" t="str">
        <f>IFERROR($BI1392*$AW1392,"..")</f>
        <v>..</v>
      </c>
      <c r="BK1392" s="846" t="str">
        <f>IFERROR($BB1392/$BJ1392,"..")</f>
        <v>..</v>
      </c>
      <c r="BL1392" s="117" t="str">
        <f>IFERROR(VLOOKUP($D1392,'WB Data'!$C$3:$M$578,7,FALSE)/100,"..")</f>
        <v>..</v>
      </c>
      <c r="BM1392" s="117" t="str">
        <f>IFERROR($AW1392*$BL1392,"..")</f>
        <v>..</v>
      </c>
      <c r="BN1392" s="846" t="str">
        <f>IFERROR($BB1392/$BM1392,"..")</f>
        <v>..</v>
      </c>
      <c r="BO1392" s="801">
        <f t="shared" si="236"/>
        <v>27</v>
      </c>
      <c r="BP1392" s="117" t="str">
        <f>VLOOKUP($D1392,'WB Data'!$C$3:$M$578,9,FALSE)</f>
        <v>..</v>
      </c>
      <c r="BQ1392" s="117">
        <f>VLOOKUP($D1392,'WB Data'!$C$3:$M$578,10,FALSE)</f>
        <v>51.710243902439032</v>
      </c>
      <c r="BR1392" s="117">
        <f>VLOOKUP($D1392,'WB Data'!$C$3:$M$578,11,FALSE)</f>
        <v>79.2</v>
      </c>
      <c r="BS1392" s="129" t="str">
        <f>IFERROR(VLOOKUP($D1392,'WB Data 2'!$C$2:$K$545,9,FALSE),"..")</f>
        <v>..</v>
      </c>
      <c r="BT1392" s="129">
        <f>_xlfn.IFNA(VLOOKUP($C1392,RGI!$A$2:$C$43,2,FALSE),"..")</f>
        <v>46.5</v>
      </c>
      <c r="BU1392" s="129">
        <f>_xlfn.IFNA(VLOOKUP($C1392,RGI!$A$2:$C$43,3,FALSE),"..")</f>
        <v>42.488706175328218</v>
      </c>
      <c r="BV1392" s="129">
        <f>VLOOKUP($D1392,WGI!$C$2:$O$478,7,FALSE)</f>
        <v>-0.73672391613667498</v>
      </c>
      <c r="BW1392" s="129">
        <f>VLOOKUP($D1392,WGI!$C$2:$O$478,4,FALSE)</f>
        <v>-1.9462524352720001</v>
      </c>
      <c r="BX1392" s="129">
        <f>VLOOKUP($D1392,WGI!$C$2:$O$478,3,FALSE)</f>
        <v>-1.08047539707395</v>
      </c>
      <c r="BY1392" s="129">
        <f>VLOOKUP($D1392,WGI!$C$2:$O$478,5,FALSE)</f>
        <v>-0.66940161273980003</v>
      </c>
      <c r="BZ1392" s="129">
        <f>VLOOKUP($D1392,WGI!$C$2:$O$478,2,FALSE)</f>
        <v>-1.12338313325942</v>
      </c>
      <c r="CB1392" s="129"/>
    </row>
    <row r="1393" spans="1:80" s="120" customFormat="1" ht="15" customHeight="1">
      <c r="A1393" s="294" t="s">
        <v>430</v>
      </c>
      <c r="B1393" s="214">
        <v>2011</v>
      </c>
      <c r="C1393" s="809" t="s">
        <v>413</v>
      </c>
      <c r="D1393" s="117" t="s">
        <v>3710</v>
      </c>
      <c r="E1393" s="452" t="s">
        <v>86</v>
      </c>
      <c r="F1393" s="117"/>
      <c r="G1393" s="117" t="s">
        <v>24</v>
      </c>
      <c r="H1393" s="117" t="str">
        <f t="shared" si="241"/>
        <v>yes</v>
      </c>
      <c r="I1393" s="117" t="str">
        <f t="shared" si="243"/>
        <v>no</v>
      </c>
      <c r="J1393" s="117" t="str">
        <f t="shared" si="244"/>
        <v>no</v>
      </c>
      <c r="K1393" s="117" t="s">
        <v>703</v>
      </c>
      <c r="L1393" s="117" t="str">
        <f t="shared" si="242"/>
        <v>detailed</v>
      </c>
      <c r="M1393" s="117" t="str">
        <f t="shared" si="245"/>
        <v>detailed Mining</v>
      </c>
      <c r="N1393" s="179">
        <v>8280000</v>
      </c>
      <c r="O1393" s="179"/>
      <c r="P1393" s="179">
        <v>15224910.32</v>
      </c>
      <c r="Q1393" s="179"/>
      <c r="R1393" s="179"/>
      <c r="S1393" s="117" t="s">
        <v>610</v>
      </c>
      <c r="T1393" s="119">
        <v>9.06</v>
      </c>
      <c r="U1393" s="117" t="s">
        <v>611</v>
      </c>
      <c r="V1393" s="117" t="s">
        <v>1917</v>
      </c>
      <c r="W1393" s="89">
        <f>N1393*T1393</f>
        <v>75016800</v>
      </c>
      <c r="X1393" s="117"/>
      <c r="Y1393" s="117"/>
      <c r="Z1393" s="117"/>
      <c r="AA1393" s="89"/>
      <c r="AB1393" s="89"/>
      <c r="AC1393" s="240"/>
      <c r="AD1393" s="240"/>
      <c r="AE1393" s="240"/>
      <c r="AF1393" s="241"/>
      <c r="AG1393" s="117"/>
      <c r="AH1393" s="124"/>
      <c r="AI1393" s="117"/>
      <c r="AJ1393" s="117"/>
      <c r="AK1393" s="89"/>
      <c r="AL1393" s="117"/>
      <c r="AM1393" s="117"/>
      <c r="AN1393" s="117"/>
      <c r="AO1393" s="117"/>
      <c r="AP1393" s="117"/>
      <c r="AQ1393" s="117"/>
      <c r="AR1393" s="117"/>
      <c r="AS1393" s="117"/>
      <c r="AT1393" s="117"/>
      <c r="AU1393" s="117" t="s">
        <v>1976</v>
      </c>
      <c r="AV1393" s="128"/>
      <c r="AW1393" s="117">
        <f>VLOOKUP($D1393,'WB Data'!$C$3:$M$578,2,FALSE)</f>
        <v>411743801711.64203</v>
      </c>
      <c r="AX1393" s="117">
        <f>VLOOKUP($D1393,'WB Data'!$C$3:$M$578,3,FALSE)</f>
        <v>164192925</v>
      </c>
      <c r="AY1393" s="847">
        <f t="shared" si="237"/>
        <v>0.16664096859447627</v>
      </c>
      <c r="AZ1393" s="117">
        <f>VLOOKUP($D1393,'WB Data'!$C$3:$M$578,4,FALSE)/100</f>
        <v>5.5773232387429254E-2</v>
      </c>
      <c r="BA1393" s="117">
        <f t="shared" si="238"/>
        <v>22964282736.947002</v>
      </c>
      <c r="BB1393" s="129">
        <f>IFERROR(VLOOKUP($D1393,'EITI Revenues'!$C$2:$G$224,5,FALSE),"..")</f>
        <v>68613385930</v>
      </c>
      <c r="BC1393" s="846">
        <f t="shared" si="239"/>
        <v>2.9878305678412773</v>
      </c>
      <c r="BD1393" s="129">
        <f>VLOOKUP($D1393,'WB Data 2'!$C$2:$K$545,6,FALSE)</f>
        <v>101965507852.90999</v>
      </c>
      <c r="BE1393" s="129">
        <f>IFERROR(VLOOKUP($D1393,UNCTAD!$C$5:$V$529,4,FALSE),"..")</f>
        <v>99755753000</v>
      </c>
      <c r="BF1393" s="846">
        <f t="shared" si="240"/>
        <v>1.0221516532776811</v>
      </c>
      <c r="BG1393" s="117">
        <f>VLOOKUP($D1393,'WB Data'!$C$3:$M$578,5,FALSE)</f>
        <v>1768550000</v>
      </c>
      <c r="BH1393" s="129">
        <f>IFERROR($BB1393/$BG1393,"..")</f>
        <v>38.796407186678351</v>
      </c>
      <c r="BI1393" s="117" t="str">
        <f>IFERROR(VLOOKUP($D1393,'WB Data'!$C$3:$M$578,7,FALSE)/100,"..")</f>
        <v>..</v>
      </c>
      <c r="BJ1393" s="117" t="str">
        <f>IFERROR($BI1393*$AW1393,"..")</f>
        <v>..</v>
      </c>
      <c r="BK1393" s="846" t="str">
        <f>IFERROR($BB1393/$BJ1393,"..")</f>
        <v>..</v>
      </c>
      <c r="BL1393" s="117" t="str">
        <f>IFERROR(VLOOKUP($D1393,'WB Data'!$C$3:$M$578,7,FALSE)/100,"..")</f>
        <v>..</v>
      </c>
      <c r="BM1393" s="117" t="str">
        <f>IFERROR($AW1393*$BL1393,"..")</f>
        <v>..</v>
      </c>
      <c r="BN1393" s="846" t="str">
        <f>IFERROR($BB1393/$BM1393,"..")</f>
        <v>..</v>
      </c>
      <c r="BO1393" s="801">
        <f t="shared" si="236"/>
        <v>27</v>
      </c>
      <c r="BP1393" s="117" t="str">
        <f>VLOOKUP($D1393,'WB Data'!$C$3:$M$578,9,FALSE)</f>
        <v>..</v>
      </c>
      <c r="BQ1393" s="117">
        <f>VLOOKUP($D1393,'WB Data'!$C$3:$M$578,10,FALSE)</f>
        <v>51.710243902439032</v>
      </c>
      <c r="BR1393" s="117">
        <f>VLOOKUP($D1393,'WB Data'!$C$3:$M$578,11,FALSE)</f>
        <v>79.2</v>
      </c>
      <c r="BS1393" s="129" t="str">
        <f>IFERROR(VLOOKUP($D1393,'WB Data 2'!$C$2:$K$545,9,FALSE),"..")</f>
        <v>..</v>
      </c>
      <c r="BT1393" s="129">
        <f>_xlfn.IFNA(VLOOKUP($C1393,RGI!$A$2:$C$43,2,FALSE),"..")</f>
        <v>46.5</v>
      </c>
      <c r="BU1393" s="129">
        <f>_xlfn.IFNA(VLOOKUP($C1393,RGI!$A$2:$C$43,3,FALSE),"..")</f>
        <v>42.488706175328218</v>
      </c>
      <c r="BV1393" s="129">
        <f>VLOOKUP($D1393,WGI!$C$2:$O$478,7,FALSE)</f>
        <v>-0.73672391613667498</v>
      </c>
      <c r="BW1393" s="129">
        <f>VLOOKUP($D1393,WGI!$C$2:$O$478,4,FALSE)</f>
        <v>-1.9462524352720001</v>
      </c>
      <c r="BX1393" s="129">
        <f>VLOOKUP($D1393,WGI!$C$2:$O$478,3,FALSE)</f>
        <v>-1.08047539707395</v>
      </c>
      <c r="BY1393" s="129">
        <f>VLOOKUP($D1393,WGI!$C$2:$O$478,5,FALSE)</f>
        <v>-0.66940161273980003</v>
      </c>
      <c r="BZ1393" s="129">
        <f>VLOOKUP($D1393,WGI!$C$2:$O$478,2,FALSE)</f>
        <v>-1.12338313325942</v>
      </c>
      <c r="CB1393" s="129"/>
    </row>
    <row r="1394" spans="1:80" s="120" customFormat="1" ht="15" customHeight="1">
      <c r="A1394" s="294" t="s">
        <v>430</v>
      </c>
      <c r="B1394" s="214">
        <v>2011</v>
      </c>
      <c r="C1394" s="809" t="s">
        <v>413</v>
      </c>
      <c r="D1394" s="117" t="s">
        <v>3710</v>
      </c>
      <c r="E1394" s="452" t="s">
        <v>86</v>
      </c>
      <c r="F1394" s="117"/>
      <c r="G1394" s="117" t="s">
        <v>24</v>
      </c>
      <c r="H1394" s="117" t="str">
        <f t="shared" si="241"/>
        <v>yes</v>
      </c>
      <c r="I1394" s="117" t="str">
        <f t="shared" si="243"/>
        <v>no</v>
      </c>
      <c r="J1394" s="117" t="str">
        <f t="shared" si="244"/>
        <v>no</v>
      </c>
      <c r="K1394" s="117" t="s">
        <v>843</v>
      </c>
      <c r="L1394" s="117" t="str">
        <f t="shared" si="242"/>
        <v>detailed</v>
      </c>
      <c r="M1394" s="117" t="str">
        <f t="shared" si="245"/>
        <v>detailed Mining</v>
      </c>
      <c r="N1394" s="179"/>
      <c r="O1394" s="179"/>
      <c r="P1394" s="179"/>
      <c r="Q1394" s="179"/>
      <c r="R1394" s="179"/>
      <c r="S1394" s="117"/>
      <c r="T1394" s="119">
        <v>0.4439706429563603</v>
      </c>
      <c r="U1394" s="117" t="s">
        <v>611</v>
      </c>
      <c r="V1394" s="117" t="s">
        <v>1978</v>
      </c>
      <c r="W1394" s="89"/>
      <c r="X1394" s="117"/>
      <c r="Y1394" s="117"/>
      <c r="Z1394" s="117"/>
      <c r="AA1394" s="89"/>
      <c r="AB1394" s="89"/>
      <c r="AC1394" s="240"/>
      <c r="AD1394" s="240"/>
      <c r="AE1394" s="240"/>
      <c r="AF1394" s="241"/>
      <c r="AG1394" s="117"/>
      <c r="AH1394" s="124"/>
      <c r="AI1394" s="117"/>
      <c r="AJ1394" s="117"/>
      <c r="AK1394" s="89"/>
      <c r="AL1394" s="117"/>
      <c r="AM1394" s="117"/>
      <c r="AN1394" s="117"/>
      <c r="AO1394" s="117"/>
      <c r="AP1394" s="117"/>
      <c r="AQ1394" s="117"/>
      <c r="AR1394" s="117"/>
      <c r="AS1394" s="117"/>
      <c r="AT1394" s="117"/>
      <c r="AU1394" s="117" t="s">
        <v>1979</v>
      </c>
      <c r="AV1394" s="128" t="s">
        <v>1980</v>
      </c>
      <c r="AW1394" s="117">
        <f>VLOOKUP($D1394,'WB Data'!$C$3:$M$578,2,FALSE)</f>
        <v>411743801711.64203</v>
      </c>
      <c r="AX1394" s="117">
        <f>VLOOKUP($D1394,'WB Data'!$C$3:$M$578,3,FALSE)</f>
        <v>164192925</v>
      </c>
      <c r="AY1394" s="847">
        <f t="shared" si="237"/>
        <v>0.16664096859447627</v>
      </c>
      <c r="AZ1394" s="117">
        <f>VLOOKUP($D1394,'WB Data'!$C$3:$M$578,4,FALSE)/100</f>
        <v>5.5773232387429254E-2</v>
      </c>
      <c r="BA1394" s="117">
        <f t="shared" si="238"/>
        <v>22964282736.947002</v>
      </c>
      <c r="BB1394" s="129">
        <f>IFERROR(VLOOKUP($D1394,'EITI Revenues'!$C$2:$G$224,5,FALSE),"..")</f>
        <v>68613385930</v>
      </c>
      <c r="BC1394" s="846">
        <f t="shared" si="239"/>
        <v>2.9878305678412773</v>
      </c>
      <c r="BD1394" s="129">
        <f>VLOOKUP($D1394,'WB Data 2'!$C$2:$K$545,6,FALSE)</f>
        <v>101965507852.90999</v>
      </c>
      <c r="BE1394" s="129">
        <f>IFERROR(VLOOKUP($D1394,UNCTAD!$C$5:$V$529,4,FALSE),"..")</f>
        <v>99755753000</v>
      </c>
      <c r="BF1394" s="846">
        <f t="shared" si="240"/>
        <v>1.0221516532776811</v>
      </c>
      <c r="BG1394" s="117">
        <f>VLOOKUP($D1394,'WB Data'!$C$3:$M$578,5,FALSE)</f>
        <v>1768550000</v>
      </c>
      <c r="BH1394" s="129">
        <f>IFERROR($BB1394/$BG1394,"..")</f>
        <v>38.796407186678351</v>
      </c>
      <c r="BI1394" s="117" t="str">
        <f>IFERROR(VLOOKUP($D1394,'WB Data'!$C$3:$M$578,7,FALSE)/100,"..")</f>
        <v>..</v>
      </c>
      <c r="BJ1394" s="117" t="str">
        <f>IFERROR($BI1394*$AW1394,"..")</f>
        <v>..</v>
      </c>
      <c r="BK1394" s="846" t="str">
        <f>IFERROR($BB1394/$BJ1394,"..")</f>
        <v>..</v>
      </c>
      <c r="BL1394" s="117" t="str">
        <f>IFERROR(VLOOKUP($D1394,'WB Data'!$C$3:$M$578,7,FALSE)/100,"..")</f>
        <v>..</v>
      </c>
      <c r="BM1394" s="117" t="str">
        <f>IFERROR($AW1394*$BL1394,"..")</f>
        <v>..</v>
      </c>
      <c r="BN1394" s="846" t="str">
        <f>IFERROR($BB1394/$BM1394,"..")</f>
        <v>..</v>
      </c>
      <c r="BO1394" s="801">
        <f t="shared" si="236"/>
        <v>27</v>
      </c>
      <c r="BP1394" s="117" t="str">
        <f>VLOOKUP($D1394,'WB Data'!$C$3:$M$578,9,FALSE)</f>
        <v>..</v>
      </c>
      <c r="BQ1394" s="117">
        <f>VLOOKUP($D1394,'WB Data'!$C$3:$M$578,10,FALSE)</f>
        <v>51.710243902439032</v>
      </c>
      <c r="BR1394" s="117">
        <f>VLOOKUP($D1394,'WB Data'!$C$3:$M$578,11,FALSE)</f>
        <v>79.2</v>
      </c>
      <c r="BS1394" s="129" t="str">
        <f>IFERROR(VLOOKUP($D1394,'WB Data 2'!$C$2:$K$545,9,FALSE),"..")</f>
        <v>..</v>
      </c>
      <c r="BT1394" s="129">
        <f>_xlfn.IFNA(VLOOKUP($C1394,RGI!$A$2:$C$43,2,FALSE),"..")</f>
        <v>46.5</v>
      </c>
      <c r="BU1394" s="129">
        <f>_xlfn.IFNA(VLOOKUP($C1394,RGI!$A$2:$C$43,3,FALSE),"..")</f>
        <v>42.488706175328218</v>
      </c>
      <c r="BV1394" s="129">
        <f>VLOOKUP($D1394,WGI!$C$2:$O$478,7,FALSE)</f>
        <v>-0.73672391613667498</v>
      </c>
      <c r="BW1394" s="129">
        <f>VLOOKUP($D1394,WGI!$C$2:$O$478,4,FALSE)</f>
        <v>-1.9462524352720001</v>
      </c>
      <c r="BX1394" s="129">
        <f>VLOOKUP($D1394,WGI!$C$2:$O$478,3,FALSE)</f>
        <v>-1.08047539707395</v>
      </c>
      <c r="BY1394" s="129">
        <f>VLOOKUP($D1394,WGI!$C$2:$O$478,5,FALSE)</f>
        <v>-0.66940161273980003</v>
      </c>
      <c r="BZ1394" s="129">
        <f>VLOOKUP($D1394,WGI!$C$2:$O$478,2,FALSE)</f>
        <v>-1.12338313325942</v>
      </c>
      <c r="CB1394" s="129"/>
    </row>
    <row r="1395" spans="1:80" s="120" customFormat="1" ht="15" customHeight="1">
      <c r="A1395" s="294" t="s">
        <v>430</v>
      </c>
      <c r="B1395" s="214">
        <v>2011</v>
      </c>
      <c r="C1395" s="809" t="s">
        <v>413</v>
      </c>
      <c r="D1395" s="117" t="s">
        <v>3710</v>
      </c>
      <c r="E1395" s="452" t="s">
        <v>86</v>
      </c>
      <c r="F1395" s="117"/>
      <c r="G1395" s="117" t="s">
        <v>24</v>
      </c>
      <c r="H1395" s="117" t="str">
        <f t="shared" si="241"/>
        <v>yes</v>
      </c>
      <c r="I1395" s="117" t="str">
        <f t="shared" si="243"/>
        <v>no</v>
      </c>
      <c r="J1395" s="117" t="str">
        <f t="shared" si="244"/>
        <v>no</v>
      </c>
      <c r="K1395" s="117" t="s">
        <v>1986</v>
      </c>
      <c r="L1395" s="117" t="str">
        <f t="shared" si="242"/>
        <v>detailed</v>
      </c>
      <c r="M1395" s="117" t="str">
        <f t="shared" si="245"/>
        <v>detailed Mining</v>
      </c>
      <c r="N1395" s="179">
        <v>10185000</v>
      </c>
      <c r="O1395" s="179"/>
      <c r="P1395" s="179"/>
      <c r="Q1395" s="179"/>
      <c r="R1395" s="179"/>
      <c r="S1395" s="117" t="s">
        <v>610</v>
      </c>
      <c r="T1395" s="119">
        <v>15.3</v>
      </c>
      <c r="U1395" s="117" t="s">
        <v>611</v>
      </c>
      <c r="V1395" s="117" t="s">
        <v>1252</v>
      </c>
      <c r="W1395" s="89">
        <f>N1395*T1395</f>
        <v>155830500</v>
      </c>
      <c r="X1395" s="117"/>
      <c r="Y1395" s="117"/>
      <c r="Z1395" s="117"/>
      <c r="AA1395" s="89"/>
      <c r="AB1395" s="89"/>
      <c r="AC1395" s="240"/>
      <c r="AD1395" s="240"/>
      <c r="AE1395" s="240"/>
      <c r="AF1395" s="241"/>
      <c r="AG1395" s="117"/>
      <c r="AH1395" s="124"/>
      <c r="AI1395" s="117"/>
      <c r="AJ1395" s="117"/>
      <c r="AK1395" s="89"/>
      <c r="AL1395" s="117"/>
      <c r="AM1395" s="117"/>
      <c r="AN1395" s="117"/>
      <c r="AO1395" s="117"/>
      <c r="AP1395" s="117"/>
      <c r="AQ1395" s="117"/>
      <c r="AR1395" s="117"/>
      <c r="AS1395" s="117"/>
      <c r="AT1395" s="117"/>
      <c r="AU1395" s="117"/>
      <c r="AV1395" s="128"/>
      <c r="AW1395" s="117">
        <f>VLOOKUP($D1395,'WB Data'!$C$3:$M$578,2,FALSE)</f>
        <v>411743801711.64203</v>
      </c>
      <c r="AX1395" s="117">
        <f>VLOOKUP($D1395,'WB Data'!$C$3:$M$578,3,FALSE)</f>
        <v>164192925</v>
      </c>
      <c r="AY1395" s="847">
        <f t="shared" si="237"/>
        <v>0.16664096859447627</v>
      </c>
      <c r="AZ1395" s="117">
        <f>VLOOKUP($D1395,'WB Data'!$C$3:$M$578,4,FALSE)/100</f>
        <v>5.5773232387429254E-2</v>
      </c>
      <c r="BA1395" s="117">
        <f t="shared" si="238"/>
        <v>22964282736.947002</v>
      </c>
      <c r="BB1395" s="129">
        <f>IFERROR(VLOOKUP($D1395,'EITI Revenues'!$C$2:$G$224,5,FALSE),"..")</f>
        <v>68613385930</v>
      </c>
      <c r="BC1395" s="846">
        <f t="shared" si="239"/>
        <v>2.9878305678412773</v>
      </c>
      <c r="BD1395" s="129">
        <f>VLOOKUP($D1395,'WB Data 2'!$C$2:$K$545,6,FALSE)</f>
        <v>101965507852.90999</v>
      </c>
      <c r="BE1395" s="129">
        <f>IFERROR(VLOOKUP($D1395,UNCTAD!$C$5:$V$529,4,FALSE),"..")</f>
        <v>99755753000</v>
      </c>
      <c r="BF1395" s="846">
        <f t="shared" si="240"/>
        <v>1.0221516532776811</v>
      </c>
      <c r="BG1395" s="117">
        <f>VLOOKUP($D1395,'WB Data'!$C$3:$M$578,5,FALSE)</f>
        <v>1768550000</v>
      </c>
      <c r="BH1395" s="129">
        <f>IFERROR($BB1395/$BG1395,"..")</f>
        <v>38.796407186678351</v>
      </c>
      <c r="BI1395" s="117" t="str">
        <f>IFERROR(VLOOKUP($D1395,'WB Data'!$C$3:$M$578,7,FALSE)/100,"..")</f>
        <v>..</v>
      </c>
      <c r="BJ1395" s="117" t="str">
        <f>IFERROR($BI1395*$AW1395,"..")</f>
        <v>..</v>
      </c>
      <c r="BK1395" s="846" t="str">
        <f>IFERROR($BB1395/$BJ1395,"..")</f>
        <v>..</v>
      </c>
      <c r="BL1395" s="117" t="str">
        <f>IFERROR(VLOOKUP($D1395,'WB Data'!$C$3:$M$578,7,FALSE)/100,"..")</f>
        <v>..</v>
      </c>
      <c r="BM1395" s="117" t="str">
        <f>IFERROR($AW1395*$BL1395,"..")</f>
        <v>..</v>
      </c>
      <c r="BN1395" s="846" t="str">
        <f>IFERROR($BB1395/$BM1395,"..")</f>
        <v>..</v>
      </c>
      <c r="BO1395" s="801">
        <f t="shared" si="236"/>
        <v>27</v>
      </c>
      <c r="BP1395" s="117" t="str">
        <f>VLOOKUP($D1395,'WB Data'!$C$3:$M$578,9,FALSE)</f>
        <v>..</v>
      </c>
      <c r="BQ1395" s="117">
        <f>VLOOKUP($D1395,'WB Data'!$C$3:$M$578,10,FALSE)</f>
        <v>51.710243902439032</v>
      </c>
      <c r="BR1395" s="117">
        <f>VLOOKUP($D1395,'WB Data'!$C$3:$M$578,11,FALSE)</f>
        <v>79.2</v>
      </c>
      <c r="BS1395" s="129" t="str">
        <f>IFERROR(VLOOKUP($D1395,'WB Data 2'!$C$2:$K$545,9,FALSE),"..")</f>
        <v>..</v>
      </c>
      <c r="BT1395" s="129">
        <f>_xlfn.IFNA(VLOOKUP($C1395,RGI!$A$2:$C$43,2,FALSE),"..")</f>
        <v>46.5</v>
      </c>
      <c r="BU1395" s="129">
        <f>_xlfn.IFNA(VLOOKUP($C1395,RGI!$A$2:$C$43,3,FALSE),"..")</f>
        <v>42.488706175328218</v>
      </c>
      <c r="BV1395" s="129">
        <f>VLOOKUP($D1395,WGI!$C$2:$O$478,7,FALSE)</f>
        <v>-0.73672391613667498</v>
      </c>
      <c r="BW1395" s="129">
        <f>VLOOKUP($D1395,WGI!$C$2:$O$478,4,FALSE)</f>
        <v>-1.9462524352720001</v>
      </c>
      <c r="BX1395" s="129">
        <f>VLOOKUP($D1395,WGI!$C$2:$O$478,3,FALSE)</f>
        <v>-1.08047539707395</v>
      </c>
      <c r="BY1395" s="129">
        <f>VLOOKUP($D1395,WGI!$C$2:$O$478,5,FALSE)</f>
        <v>-0.66940161273980003</v>
      </c>
      <c r="BZ1395" s="129">
        <f>VLOOKUP($D1395,WGI!$C$2:$O$478,2,FALSE)</f>
        <v>-1.12338313325942</v>
      </c>
      <c r="CB1395" s="129"/>
    </row>
    <row r="1396" spans="1:80" s="120" customFormat="1" ht="15" customHeight="1">
      <c r="A1396" s="294" t="s">
        <v>430</v>
      </c>
      <c r="B1396" s="214">
        <v>2011</v>
      </c>
      <c r="C1396" s="809" t="s">
        <v>413</v>
      </c>
      <c r="D1396" s="117" t="s">
        <v>3710</v>
      </c>
      <c r="E1396" s="452" t="s">
        <v>86</v>
      </c>
      <c r="F1396" s="117"/>
      <c r="G1396" s="117" t="s">
        <v>24</v>
      </c>
      <c r="H1396" s="117" t="str">
        <f t="shared" si="241"/>
        <v>yes</v>
      </c>
      <c r="I1396" s="117" t="str">
        <f t="shared" si="243"/>
        <v>no</v>
      </c>
      <c r="J1396" s="117" t="str">
        <f t="shared" si="244"/>
        <v>no</v>
      </c>
      <c r="K1396" s="117" t="s">
        <v>1987</v>
      </c>
      <c r="L1396" s="117" t="str">
        <f t="shared" si="242"/>
        <v>detailed</v>
      </c>
      <c r="M1396" s="117" t="str">
        <f t="shared" si="245"/>
        <v>detailed Mining</v>
      </c>
      <c r="N1396" s="179">
        <v>80000</v>
      </c>
      <c r="O1396" s="179"/>
      <c r="P1396" s="179"/>
      <c r="Q1396" s="179"/>
      <c r="R1396" s="179"/>
      <c r="S1396" s="117" t="s">
        <v>610</v>
      </c>
      <c r="T1396" s="119">
        <v>531</v>
      </c>
      <c r="U1396" s="117" t="s">
        <v>611</v>
      </c>
      <c r="V1396" s="117" t="s">
        <v>1988</v>
      </c>
      <c r="W1396" s="89">
        <f>N1396*T1396</f>
        <v>42480000</v>
      </c>
      <c r="X1396" s="117"/>
      <c r="Y1396" s="117"/>
      <c r="Z1396" s="117"/>
      <c r="AA1396" s="89"/>
      <c r="AB1396" s="89"/>
      <c r="AC1396" s="240"/>
      <c r="AD1396" s="240"/>
      <c r="AE1396" s="240"/>
      <c r="AF1396" s="241"/>
      <c r="AG1396" s="117"/>
      <c r="AH1396" s="124"/>
      <c r="AI1396" s="117"/>
      <c r="AJ1396" s="117"/>
      <c r="AK1396" s="89"/>
      <c r="AL1396" s="117"/>
      <c r="AM1396" s="117"/>
      <c r="AN1396" s="117"/>
      <c r="AO1396" s="117"/>
      <c r="AP1396" s="117"/>
      <c r="AQ1396" s="117"/>
      <c r="AR1396" s="117"/>
      <c r="AS1396" s="117"/>
      <c r="AT1396" s="117"/>
      <c r="AU1396" s="117"/>
      <c r="AV1396" s="128"/>
      <c r="AW1396" s="117">
        <f>VLOOKUP($D1396,'WB Data'!$C$3:$M$578,2,FALSE)</f>
        <v>411743801711.64203</v>
      </c>
      <c r="AX1396" s="117">
        <f>VLOOKUP($D1396,'WB Data'!$C$3:$M$578,3,FALSE)</f>
        <v>164192925</v>
      </c>
      <c r="AY1396" s="847">
        <f t="shared" si="237"/>
        <v>0.16664096859447627</v>
      </c>
      <c r="AZ1396" s="117">
        <f>VLOOKUP($D1396,'WB Data'!$C$3:$M$578,4,FALSE)/100</f>
        <v>5.5773232387429254E-2</v>
      </c>
      <c r="BA1396" s="117">
        <f t="shared" si="238"/>
        <v>22964282736.947002</v>
      </c>
      <c r="BB1396" s="129">
        <f>IFERROR(VLOOKUP($D1396,'EITI Revenues'!$C$2:$G$224,5,FALSE),"..")</f>
        <v>68613385930</v>
      </c>
      <c r="BC1396" s="846">
        <f t="shared" si="239"/>
        <v>2.9878305678412773</v>
      </c>
      <c r="BD1396" s="129">
        <f>VLOOKUP($D1396,'WB Data 2'!$C$2:$K$545,6,FALSE)</f>
        <v>101965507852.90999</v>
      </c>
      <c r="BE1396" s="129">
        <f>IFERROR(VLOOKUP($D1396,UNCTAD!$C$5:$V$529,4,FALSE),"..")</f>
        <v>99755753000</v>
      </c>
      <c r="BF1396" s="846">
        <f t="shared" si="240"/>
        <v>1.0221516532776811</v>
      </c>
      <c r="BG1396" s="117">
        <f>VLOOKUP($D1396,'WB Data'!$C$3:$M$578,5,FALSE)</f>
        <v>1768550000</v>
      </c>
      <c r="BH1396" s="129">
        <f>IFERROR($BB1396/$BG1396,"..")</f>
        <v>38.796407186678351</v>
      </c>
      <c r="BI1396" s="117" t="str">
        <f>IFERROR(VLOOKUP($D1396,'WB Data'!$C$3:$M$578,7,FALSE)/100,"..")</f>
        <v>..</v>
      </c>
      <c r="BJ1396" s="117" t="str">
        <f>IFERROR($BI1396*$AW1396,"..")</f>
        <v>..</v>
      </c>
      <c r="BK1396" s="846" t="str">
        <f>IFERROR($BB1396/$BJ1396,"..")</f>
        <v>..</v>
      </c>
      <c r="BL1396" s="117" t="str">
        <f>IFERROR(VLOOKUP($D1396,'WB Data'!$C$3:$M$578,7,FALSE)/100,"..")</f>
        <v>..</v>
      </c>
      <c r="BM1396" s="117" t="str">
        <f>IFERROR($AW1396*$BL1396,"..")</f>
        <v>..</v>
      </c>
      <c r="BN1396" s="846" t="str">
        <f>IFERROR($BB1396/$BM1396,"..")</f>
        <v>..</v>
      </c>
      <c r="BO1396" s="801">
        <f t="shared" si="236"/>
        <v>27</v>
      </c>
      <c r="BP1396" s="117" t="str">
        <f>VLOOKUP($D1396,'WB Data'!$C$3:$M$578,9,FALSE)</f>
        <v>..</v>
      </c>
      <c r="BQ1396" s="117">
        <f>VLOOKUP($D1396,'WB Data'!$C$3:$M$578,10,FALSE)</f>
        <v>51.710243902439032</v>
      </c>
      <c r="BR1396" s="117">
        <f>VLOOKUP($D1396,'WB Data'!$C$3:$M$578,11,FALSE)</f>
        <v>79.2</v>
      </c>
      <c r="BS1396" s="129" t="str">
        <f>IFERROR(VLOOKUP($D1396,'WB Data 2'!$C$2:$K$545,9,FALSE),"..")</f>
        <v>..</v>
      </c>
      <c r="BT1396" s="129">
        <f>_xlfn.IFNA(VLOOKUP($C1396,RGI!$A$2:$C$43,2,FALSE),"..")</f>
        <v>46.5</v>
      </c>
      <c r="BU1396" s="129">
        <f>_xlfn.IFNA(VLOOKUP($C1396,RGI!$A$2:$C$43,3,FALSE),"..")</f>
        <v>42.488706175328218</v>
      </c>
      <c r="BV1396" s="129">
        <f>VLOOKUP($D1396,WGI!$C$2:$O$478,7,FALSE)</f>
        <v>-0.73672391613667498</v>
      </c>
      <c r="BW1396" s="129">
        <f>VLOOKUP($D1396,WGI!$C$2:$O$478,4,FALSE)</f>
        <v>-1.9462524352720001</v>
      </c>
      <c r="BX1396" s="129">
        <f>VLOOKUP($D1396,WGI!$C$2:$O$478,3,FALSE)</f>
        <v>-1.08047539707395</v>
      </c>
      <c r="BY1396" s="129">
        <f>VLOOKUP($D1396,WGI!$C$2:$O$478,5,FALSE)</f>
        <v>-0.66940161273980003</v>
      </c>
      <c r="BZ1396" s="129">
        <f>VLOOKUP($D1396,WGI!$C$2:$O$478,2,FALSE)</f>
        <v>-1.12338313325942</v>
      </c>
      <c r="CB1396" s="129"/>
    </row>
    <row r="1397" spans="1:80" s="120" customFormat="1" ht="15" customHeight="1">
      <c r="A1397" s="294" t="s">
        <v>430</v>
      </c>
      <c r="B1397" s="214">
        <v>2011</v>
      </c>
      <c r="C1397" s="809" t="s">
        <v>413</v>
      </c>
      <c r="D1397" s="117" t="s">
        <v>3710</v>
      </c>
      <c r="E1397" s="452" t="s">
        <v>86</v>
      </c>
      <c r="F1397" s="117"/>
      <c r="G1397" s="117" t="s">
        <v>24</v>
      </c>
      <c r="H1397" s="117" t="str">
        <f t="shared" si="241"/>
        <v>yes</v>
      </c>
      <c r="I1397" s="117" t="str">
        <f t="shared" si="243"/>
        <v>no</v>
      </c>
      <c r="J1397" s="117" t="str">
        <f t="shared" si="244"/>
        <v>no</v>
      </c>
      <c r="K1397" s="117" t="s">
        <v>1989</v>
      </c>
      <c r="L1397" s="117" t="str">
        <f t="shared" si="242"/>
        <v>detailed</v>
      </c>
      <c r="M1397" s="117" t="str">
        <f t="shared" si="245"/>
        <v>detailed Mining</v>
      </c>
      <c r="N1397" s="179">
        <v>204779.13</v>
      </c>
      <c r="O1397" s="179"/>
      <c r="P1397" s="179">
        <v>204779.13</v>
      </c>
      <c r="Q1397" s="179"/>
      <c r="R1397" s="179"/>
      <c r="S1397" s="117" t="s">
        <v>610</v>
      </c>
      <c r="T1397" s="119"/>
      <c r="U1397" s="117"/>
      <c r="V1397" s="117" t="s">
        <v>1990</v>
      </c>
      <c r="W1397" s="89"/>
      <c r="X1397" s="117"/>
      <c r="Y1397" s="117"/>
      <c r="Z1397" s="117"/>
      <c r="AA1397" s="89"/>
      <c r="AB1397" s="89"/>
      <c r="AC1397" s="240"/>
      <c r="AD1397" s="240"/>
      <c r="AE1397" s="240"/>
      <c r="AF1397" s="241"/>
      <c r="AG1397" s="117"/>
      <c r="AH1397" s="124"/>
      <c r="AI1397" s="117"/>
      <c r="AJ1397" s="117"/>
      <c r="AK1397" s="89"/>
      <c r="AL1397" s="117"/>
      <c r="AM1397" s="117"/>
      <c r="AN1397" s="117"/>
      <c r="AO1397" s="117"/>
      <c r="AP1397" s="117"/>
      <c r="AQ1397" s="117"/>
      <c r="AR1397" s="117"/>
      <c r="AS1397" s="117"/>
      <c r="AT1397" s="117"/>
      <c r="AU1397" s="117" t="s">
        <v>1976</v>
      </c>
      <c r="AV1397" s="128" t="s">
        <v>1807</v>
      </c>
      <c r="AW1397" s="117">
        <f>VLOOKUP($D1397,'WB Data'!$C$3:$M$578,2,FALSE)</f>
        <v>411743801711.64203</v>
      </c>
      <c r="AX1397" s="117">
        <f>VLOOKUP($D1397,'WB Data'!$C$3:$M$578,3,FALSE)</f>
        <v>164192925</v>
      </c>
      <c r="AY1397" s="847">
        <f t="shared" si="237"/>
        <v>0.16664096859447627</v>
      </c>
      <c r="AZ1397" s="117">
        <f>VLOOKUP($D1397,'WB Data'!$C$3:$M$578,4,FALSE)/100</f>
        <v>5.5773232387429254E-2</v>
      </c>
      <c r="BA1397" s="117">
        <f t="shared" si="238"/>
        <v>22964282736.947002</v>
      </c>
      <c r="BB1397" s="129">
        <f>IFERROR(VLOOKUP($D1397,'EITI Revenues'!$C$2:$G$224,5,FALSE),"..")</f>
        <v>68613385930</v>
      </c>
      <c r="BC1397" s="846">
        <f t="shared" si="239"/>
        <v>2.9878305678412773</v>
      </c>
      <c r="BD1397" s="129">
        <f>VLOOKUP($D1397,'WB Data 2'!$C$2:$K$545,6,FALSE)</f>
        <v>101965507852.90999</v>
      </c>
      <c r="BE1397" s="129">
        <f>IFERROR(VLOOKUP($D1397,UNCTAD!$C$5:$V$529,4,FALSE),"..")</f>
        <v>99755753000</v>
      </c>
      <c r="BF1397" s="846">
        <f t="shared" si="240"/>
        <v>1.0221516532776811</v>
      </c>
      <c r="BG1397" s="117">
        <f>VLOOKUP($D1397,'WB Data'!$C$3:$M$578,5,FALSE)</f>
        <v>1768550000</v>
      </c>
      <c r="BH1397" s="129">
        <f>IFERROR($BB1397/$BG1397,"..")</f>
        <v>38.796407186678351</v>
      </c>
      <c r="BI1397" s="117" t="str">
        <f>IFERROR(VLOOKUP($D1397,'WB Data'!$C$3:$M$578,7,FALSE)/100,"..")</f>
        <v>..</v>
      </c>
      <c r="BJ1397" s="117" t="str">
        <f>IFERROR($BI1397*$AW1397,"..")</f>
        <v>..</v>
      </c>
      <c r="BK1397" s="846" t="str">
        <f>IFERROR($BB1397/$BJ1397,"..")</f>
        <v>..</v>
      </c>
      <c r="BL1397" s="117" t="str">
        <f>IFERROR(VLOOKUP($D1397,'WB Data'!$C$3:$M$578,7,FALSE)/100,"..")</f>
        <v>..</v>
      </c>
      <c r="BM1397" s="117" t="str">
        <f>IFERROR($AW1397*$BL1397,"..")</f>
        <v>..</v>
      </c>
      <c r="BN1397" s="846" t="str">
        <f>IFERROR($BB1397/$BM1397,"..")</f>
        <v>..</v>
      </c>
      <c r="BO1397" s="801">
        <f t="shared" si="236"/>
        <v>27</v>
      </c>
      <c r="BP1397" s="117" t="str">
        <f>VLOOKUP($D1397,'WB Data'!$C$3:$M$578,9,FALSE)</f>
        <v>..</v>
      </c>
      <c r="BQ1397" s="117">
        <f>VLOOKUP($D1397,'WB Data'!$C$3:$M$578,10,FALSE)</f>
        <v>51.710243902439032</v>
      </c>
      <c r="BR1397" s="117">
        <f>VLOOKUP($D1397,'WB Data'!$C$3:$M$578,11,FALSE)</f>
        <v>79.2</v>
      </c>
      <c r="BS1397" s="129" t="str">
        <f>IFERROR(VLOOKUP($D1397,'WB Data 2'!$C$2:$K$545,9,FALSE),"..")</f>
        <v>..</v>
      </c>
      <c r="BT1397" s="129">
        <f>_xlfn.IFNA(VLOOKUP($C1397,RGI!$A$2:$C$43,2,FALSE),"..")</f>
        <v>46.5</v>
      </c>
      <c r="BU1397" s="129">
        <f>_xlfn.IFNA(VLOOKUP($C1397,RGI!$A$2:$C$43,3,FALSE),"..")</f>
        <v>42.488706175328218</v>
      </c>
      <c r="BV1397" s="129">
        <f>VLOOKUP($D1397,WGI!$C$2:$O$478,7,FALSE)</f>
        <v>-0.73672391613667498</v>
      </c>
      <c r="BW1397" s="129">
        <f>VLOOKUP($D1397,WGI!$C$2:$O$478,4,FALSE)</f>
        <v>-1.9462524352720001</v>
      </c>
      <c r="BX1397" s="129">
        <f>VLOOKUP($D1397,WGI!$C$2:$O$478,3,FALSE)</f>
        <v>-1.08047539707395</v>
      </c>
      <c r="BY1397" s="129">
        <f>VLOOKUP($D1397,WGI!$C$2:$O$478,5,FALSE)</f>
        <v>-0.66940161273980003</v>
      </c>
      <c r="BZ1397" s="129">
        <f>VLOOKUP($D1397,WGI!$C$2:$O$478,2,FALSE)</f>
        <v>-1.12338313325942</v>
      </c>
      <c r="CB1397" s="129"/>
    </row>
    <row r="1398" spans="1:80" s="120" customFormat="1" ht="15" customHeight="1">
      <c r="A1398" s="294" t="s">
        <v>430</v>
      </c>
      <c r="B1398" s="214">
        <v>2011</v>
      </c>
      <c r="C1398" s="809" t="s">
        <v>413</v>
      </c>
      <c r="D1398" s="117" t="s">
        <v>3710</v>
      </c>
      <c r="E1398" s="452" t="s">
        <v>86</v>
      </c>
      <c r="F1398" s="117"/>
      <c r="G1398" s="117" t="s">
        <v>24</v>
      </c>
      <c r="H1398" s="117" t="str">
        <f t="shared" si="241"/>
        <v>yes</v>
      </c>
      <c r="I1398" s="117" t="str">
        <f t="shared" si="243"/>
        <v>no</v>
      </c>
      <c r="J1398" s="117" t="str">
        <f t="shared" si="244"/>
        <v>no</v>
      </c>
      <c r="K1398" s="117" t="s">
        <v>970</v>
      </c>
      <c r="L1398" s="117" t="str">
        <f t="shared" si="242"/>
        <v>detailed</v>
      </c>
      <c r="M1398" s="117" t="str">
        <f t="shared" si="245"/>
        <v>detailed Mining</v>
      </c>
      <c r="N1398" s="179">
        <v>1394000</v>
      </c>
      <c r="O1398" s="179"/>
      <c r="P1398" s="179">
        <v>1624634.9</v>
      </c>
      <c r="Q1398" s="179"/>
      <c r="R1398" s="179"/>
      <c r="S1398" s="117" t="s">
        <v>610</v>
      </c>
      <c r="T1398" s="119">
        <v>7.49</v>
      </c>
      <c r="U1398" s="117" t="s">
        <v>611</v>
      </c>
      <c r="V1398" s="117" t="s">
        <v>1253</v>
      </c>
      <c r="W1398" s="89">
        <f>N1398*T1398</f>
        <v>10441060</v>
      </c>
      <c r="X1398" s="117"/>
      <c r="Y1398" s="117"/>
      <c r="Z1398" s="117"/>
      <c r="AA1398" s="89"/>
      <c r="AB1398" s="89"/>
      <c r="AC1398" s="240"/>
      <c r="AD1398" s="240"/>
      <c r="AE1398" s="240"/>
      <c r="AF1398" s="241"/>
      <c r="AG1398" s="117"/>
      <c r="AH1398" s="124"/>
      <c r="AI1398" s="117"/>
      <c r="AJ1398" s="117"/>
      <c r="AK1398" s="89"/>
      <c r="AL1398" s="117"/>
      <c r="AM1398" s="117"/>
      <c r="AN1398" s="117"/>
      <c r="AO1398" s="117"/>
      <c r="AP1398" s="117"/>
      <c r="AQ1398" s="117"/>
      <c r="AR1398" s="117"/>
      <c r="AS1398" s="117"/>
      <c r="AT1398" s="117"/>
      <c r="AU1398" s="117" t="s">
        <v>1976</v>
      </c>
      <c r="AV1398" s="128"/>
      <c r="AW1398" s="117">
        <f>VLOOKUP($D1398,'WB Data'!$C$3:$M$578,2,FALSE)</f>
        <v>411743801711.64203</v>
      </c>
      <c r="AX1398" s="117">
        <f>VLOOKUP($D1398,'WB Data'!$C$3:$M$578,3,FALSE)</f>
        <v>164192925</v>
      </c>
      <c r="AY1398" s="847">
        <f t="shared" si="237"/>
        <v>0.16664096859447627</v>
      </c>
      <c r="AZ1398" s="117">
        <f>VLOOKUP($D1398,'WB Data'!$C$3:$M$578,4,FALSE)/100</f>
        <v>5.5773232387429254E-2</v>
      </c>
      <c r="BA1398" s="117">
        <f t="shared" si="238"/>
        <v>22964282736.947002</v>
      </c>
      <c r="BB1398" s="129">
        <f>IFERROR(VLOOKUP($D1398,'EITI Revenues'!$C$2:$G$224,5,FALSE),"..")</f>
        <v>68613385930</v>
      </c>
      <c r="BC1398" s="846">
        <f t="shared" si="239"/>
        <v>2.9878305678412773</v>
      </c>
      <c r="BD1398" s="129">
        <f>VLOOKUP($D1398,'WB Data 2'!$C$2:$K$545,6,FALSE)</f>
        <v>101965507852.90999</v>
      </c>
      <c r="BE1398" s="129">
        <f>IFERROR(VLOOKUP($D1398,UNCTAD!$C$5:$V$529,4,FALSE),"..")</f>
        <v>99755753000</v>
      </c>
      <c r="BF1398" s="846">
        <f t="shared" si="240"/>
        <v>1.0221516532776811</v>
      </c>
      <c r="BG1398" s="117">
        <f>VLOOKUP($D1398,'WB Data'!$C$3:$M$578,5,FALSE)</f>
        <v>1768550000</v>
      </c>
      <c r="BH1398" s="129">
        <f>IFERROR($BB1398/$BG1398,"..")</f>
        <v>38.796407186678351</v>
      </c>
      <c r="BI1398" s="117" t="str">
        <f>IFERROR(VLOOKUP($D1398,'WB Data'!$C$3:$M$578,7,FALSE)/100,"..")</f>
        <v>..</v>
      </c>
      <c r="BJ1398" s="117" t="str">
        <f>IFERROR($BI1398*$AW1398,"..")</f>
        <v>..</v>
      </c>
      <c r="BK1398" s="846" t="str">
        <f>IFERROR($BB1398/$BJ1398,"..")</f>
        <v>..</v>
      </c>
      <c r="BL1398" s="117" t="str">
        <f>IFERROR(VLOOKUP($D1398,'WB Data'!$C$3:$M$578,7,FALSE)/100,"..")</f>
        <v>..</v>
      </c>
      <c r="BM1398" s="117" t="str">
        <f>IFERROR($AW1398*$BL1398,"..")</f>
        <v>..</v>
      </c>
      <c r="BN1398" s="846" t="str">
        <f>IFERROR($BB1398/$BM1398,"..")</f>
        <v>..</v>
      </c>
      <c r="BO1398" s="801">
        <f t="shared" si="236"/>
        <v>27</v>
      </c>
      <c r="BP1398" s="117" t="str">
        <f>VLOOKUP($D1398,'WB Data'!$C$3:$M$578,9,FALSE)</f>
        <v>..</v>
      </c>
      <c r="BQ1398" s="117">
        <f>VLOOKUP($D1398,'WB Data'!$C$3:$M$578,10,FALSE)</f>
        <v>51.710243902439032</v>
      </c>
      <c r="BR1398" s="117">
        <f>VLOOKUP($D1398,'WB Data'!$C$3:$M$578,11,FALSE)</f>
        <v>79.2</v>
      </c>
      <c r="BS1398" s="129" t="str">
        <f>IFERROR(VLOOKUP($D1398,'WB Data 2'!$C$2:$K$545,9,FALSE),"..")</f>
        <v>..</v>
      </c>
      <c r="BT1398" s="129">
        <f>_xlfn.IFNA(VLOOKUP($C1398,RGI!$A$2:$C$43,2,FALSE),"..")</f>
        <v>46.5</v>
      </c>
      <c r="BU1398" s="129">
        <f>_xlfn.IFNA(VLOOKUP($C1398,RGI!$A$2:$C$43,3,FALSE),"..")</f>
        <v>42.488706175328218</v>
      </c>
      <c r="BV1398" s="129">
        <f>VLOOKUP($D1398,WGI!$C$2:$O$478,7,FALSE)</f>
        <v>-0.73672391613667498</v>
      </c>
      <c r="BW1398" s="129">
        <f>VLOOKUP($D1398,WGI!$C$2:$O$478,4,FALSE)</f>
        <v>-1.9462524352720001</v>
      </c>
      <c r="BX1398" s="129">
        <f>VLOOKUP($D1398,WGI!$C$2:$O$478,3,FALSE)</f>
        <v>-1.08047539707395</v>
      </c>
      <c r="BY1398" s="129">
        <f>VLOOKUP($D1398,WGI!$C$2:$O$478,5,FALSE)</f>
        <v>-0.66940161273980003</v>
      </c>
      <c r="BZ1398" s="129">
        <f>VLOOKUP($D1398,WGI!$C$2:$O$478,2,FALSE)</f>
        <v>-1.12338313325942</v>
      </c>
      <c r="CB1398" s="129"/>
    </row>
    <row r="1399" spans="1:80" s="120" customFormat="1" ht="15" customHeight="1">
      <c r="A1399" s="294" t="s">
        <v>430</v>
      </c>
      <c r="B1399" s="214">
        <v>2011</v>
      </c>
      <c r="C1399" s="809" t="s">
        <v>413</v>
      </c>
      <c r="D1399" s="117" t="s">
        <v>3710</v>
      </c>
      <c r="E1399" s="452" t="s">
        <v>86</v>
      </c>
      <c r="F1399" s="117"/>
      <c r="G1399" s="117" t="s">
        <v>24</v>
      </c>
      <c r="H1399" s="117" t="str">
        <f t="shared" si="241"/>
        <v>yes</v>
      </c>
      <c r="I1399" s="117" t="str">
        <f t="shared" si="243"/>
        <v>no</v>
      </c>
      <c r="J1399" s="117" t="str">
        <f t="shared" si="244"/>
        <v>no</v>
      </c>
      <c r="K1399" s="117" t="s">
        <v>1991</v>
      </c>
      <c r="L1399" s="117" t="str">
        <f t="shared" si="242"/>
        <v>detailed</v>
      </c>
      <c r="M1399" s="117" t="str">
        <f t="shared" si="245"/>
        <v>detailed Mining</v>
      </c>
      <c r="N1399" s="179"/>
      <c r="O1399" s="179"/>
      <c r="P1399" s="179"/>
      <c r="Q1399" s="179"/>
      <c r="R1399" s="179"/>
      <c r="S1399" s="117"/>
      <c r="T1399" s="119">
        <v>7.6114186035074497E-3</v>
      </c>
      <c r="U1399" s="117" t="s">
        <v>611</v>
      </c>
      <c r="V1399" s="117" t="s">
        <v>1978</v>
      </c>
      <c r="W1399" s="89"/>
      <c r="X1399" s="117"/>
      <c r="Y1399" s="117"/>
      <c r="Z1399" s="117"/>
      <c r="AA1399" s="89"/>
      <c r="AB1399" s="89"/>
      <c r="AC1399" s="240"/>
      <c r="AD1399" s="240"/>
      <c r="AE1399" s="240"/>
      <c r="AF1399" s="241"/>
      <c r="AG1399" s="117"/>
      <c r="AH1399" s="124"/>
      <c r="AI1399" s="117"/>
      <c r="AJ1399" s="117"/>
      <c r="AK1399" s="89"/>
      <c r="AL1399" s="117"/>
      <c r="AM1399" s="117"/>
      <c r="AN1399" s="117"/>
      <c r="AO1399" s="117"/>
      <c r="AP1399" s="117"/>
      <c r="AQ1399" s="117"/>
      <c r="AR1399" s="117"/>
      <c r="AS1399" s="117"/>
      <c r="AT1399" s="117"/>
      <c r="AU1399" s="117" t="s">
        <v>1979</v>
      </c>
      <c r="AV1399" s="128"/>
      <c r="AW1399" s="117">
        <f>VLOOKUP($D1399,'WB Data'!$C$3:$M$578,2,FALSE)</f>
        <v>411743801711.64203</v>
      </c>
      <c r="AX1399" s="117">
        <f>VLOOKUP($D1399,'WB Data'!$C$3:$M$578,3,FALSE)</f>
        <v>164192925</v>
      </c>
      <c r="AY1399" s="847">
        <f t="shared" si="237"/>
        <v>0.16664096859447627</v>
      </c>
      <c r="AZ1399" s="117">
        <f>VLOOKUP($D1399,'WB Data'!$C$3:$M$578,4,FALSE)/100</f>
        <v>5.5773232387429254E-2</v>
      </c>
      <c r="BA1399" s="117">
        <f t="shared" si="238"/>
        <v>22964282736.947002</v>
      </c>
      <c r="BB1399" s="129">
        <f>IFERROR(VLOOKUP($D1399,'EITI Revenues'!$C$2:$G$224,5,FALSE),"..")</f>
        <v>68613385930</v>
      </c>
      <c r="BC1399" s="846">
        <f t="shared" si="239"/>
        <v>2.9878305678412773</v>
      </c>
      <c r="BD1399" s="129">
        <f>VLOOKUP($D1399,'WB Data 2'!$C$2:$K$545,6,FALSE)</f>
        <v>101965507852.90999</v>
      </c>
      <c r="BE1399" s="129">
        <f>IFERROR(VLOOKUP($D1399,UNCTAD!$C$5:$V$529,4,FALSE),"..")</f>
        <v>99755753000</v>
      </c>
      <c r="BF1399" s="846">
        <f t="shared" si="240"/>
        <v>1.0221516532776811</v>
      </c>
      <c r="BG1399" s="117">
        <f>VLOOKUP($D1399,'WB Data'!$C$3:$M$578,5,FALSE)</f>
        <v>1768550000</v>
      </c>
      <c r="BH1399" s="129">
        <f>IFERROR($BB1399/$BG1399,"..")</f>
        <v>38.796407186678351</v>
      </c>
      <c r="BI1399" s="117" t="str">
        <f>IFERROR(VLOOKUP($D1399,'WB Data'!$C$3:$M$578,7,FALSE)/100,"..")</f>
        <v>..</v>
      </c>
      <c r="BJ1399" s="117" t="str">
        <f>IFERROR($BI1399*$AW1399,"..")</f>
        <v>..</v>
      </c>
      <c r="BK1399" s="846" t="str">
        <f>IFERROR($BB1399/$BJ1399,"..")</f>
        <v>..</v>
      </c>
      <c r="BL1399" s="117" t="str">
        <f>IFERROR(VLOOKUP($D1399,'WB Data'!$C$3:$M$578,7,FALSE)/100,"..")</f>
        <v>..</v>
      </c>
      <c r="BM1399" s="117" t="str">
        <f>IFERROR($AW1399*$BL1399,"..")</f>
        <v>..</v>
      </c>
      <c r="BN1399" s="846" t="str">
        <f>IFERROR($BB1399/$BM1399,"..")</f>
        <v>..</v>
      </c>
      <c r="BO1399" s="801">
        <f t="shared" si="236"/>
        <v>27</v>
      </c>
      <c r="BP1399" s="117" t="str">
        <f>VLOOKUP($D1399,'WB Data'!$C$3:$M$578,9,FALSE)</f>
        <v>..</v>
      </c>
      <c r="BQ1399" s="117">
        <f>VLOOKUP($D1399,'WB Data'!$C$3:$M$578,10,FALSE)</f>
        <v>51.710243902439032</v>
      </c>
      <c r="BR1399" s="117">
        <f>VLOOKUP($D1399,'WB Data'!$C$3:$M$578,11,FALSE)</f>
        <v>79.2</v>
      </c>
      <c r="BS1399" s="129" t="str">
        <f>IFERROR(VLOOKUP($D1399,'WB Data 2'!$C$2:$K$545,9,FALSE),"..")</f>
        <v>..</v>
      </c>
      <c r="BT1399" s="129">
        <f>_xlfn.IFNA(VLOOKUP($C1399,RGI!$A$2:$C$43,2,FALSE),"..")</f>
        <v>46.5</v>
      </c>
      <c r="BU1399" s="129">
        <f>_xlfn.IFNA(VLOOKUP($C1399,RGI!$A$2:$C$43,3,FALSE),"..")</f>
        <v>42.488706175328218</v>
      </c>
      <c r="BV1399" s="129">
        <f>VLOOKUP($D1399,WGI!$C$2:$O$478,7,FALSE)</f>
        <v>-0.73672391613667498</v>
      </c>
      <c r="BW1399" s="129">
        <f>VLOOKUP($D1399,WGI!$C$2:$O$478,4,FALSE)</f>
        <v>-1.9462524352720001</v>
      </c>
      <c r="BX1399" s="129">
        <f>VLOOKUP($D1399,WGI!$C$2:$O$478,3,FALSE)</f>
        <v>-1.08047539707395</v>
      </c>
      <c r="BY1399" s="129">
        <f>VLOOKUP($D1399,WGI!$C$2:$O$478,5,FALSE)</f>
        <v>-0.66940161273980003</v>
      </c>
      <c r="BZ1399" s="129">
        <f>VLOOKUP($D1399,WGI!$C$2:$O$478,2,FALSE)</f>
        <v>-1.12338313325942</v>
      </c>
      <c r="CB1399" s="129"/>
    </row>
    <row r="1400" spans="1:80" s="120" customFormat="1" ht="15" customHeight="1">
      <c r="A1400" s="294" t="s">
        <v>430</v>
      </c>
      <c r="B1400" s="214">
        <v>2011</v>
      </c>
      <c r="C1400" s="809" t="s">
        <v>413</v>
      </c>
      <c r="D1400" s="117" t="s">
        <v>3710</v>
      </c>
      <c r="E1400" s="452" t="s">
        <v>86</v>
      </c>
      <c r="F1400" s="117"/>
      <c r="G1400" s="117" t="s">
        <v>24</v>
      </c>
      <c r="H1400" s="117" t="str">
        <f t="shared" si="241"/>
        <v>yes</v>
      </c>
      <c r="I1400" s="117" t="str">
        <f t="shared" si="243"/>
        <v>no</v>
      </c>
      <c r="J1400" s="117" t="str">
        <f t="shared" si="244"/>
        <v>no</v>
      </c>
      <c r="K1400" s="117" t="s">
        <v>1992</v>
      </c>
      <c r="L1400" s="117" t="str">
        <f t="shared" si="242"/>
        <v>detailed</v>
      </c>
      <c r="M1400" s="117" t="str">
        <f t="shared" si="245"/>
        <v>detailed Mining</v>
      </c>
      <c r="N1400" s="179">
        <v>7452000</v>
      </c>
      <c r="O1400" s="179"/>
      <c r="P1400" s="179">
        <v>491469.91</v>
      </c>
      <c r="Q1400" s="179"/>
      <c r="R1400" s="179"/>
      <c r="S1400" s="117" t="s">
        <v>610</v>
      </c>
      <c r="T1400" s="119"/>
      <c r="U1400" s="117"/>
      <c r="V1400" s="117" t="s">
        <v>684</v>
      </c>
      <c r="W1400" s="89"/>
      <c r="X1400" s="117"/>
      <c r="Y1400" s="117"/>
      <c r="Z1400" s="117"/>
      <c r="AA1400" s="89"/>
      <c r="AB1400" s="89"/>
      <c r="AC1400" s="240"/>
      <c r="AD1400" s="240"/>
      <c r="AE1400" s="240"/>
      <c r="AF1400" s="241"/>
      <c r="AG1400" s="117"/>
      <c r="AH1400" s="124"/>
      <c r="AI1400" s="117"/>
      <c r="AJ1400" s="117"/>
      <c r="AK1400" s="89"/>
      <c r="AL1400" s="117"/>
      <c r="AM1400" s="117"/>
      <c r="AN1400" s="117"/>
      <c r="AO1400" s="117"/>
      <c r="AP1400" s="117"/>
      <c r="AQ1400" s="117"/>
      <c r="AR1400" s="117"/>
      <c r="AS1400" s="117"/>
      <c r="AT1400" s="117"/>
      <c r="AU1400" s="117" t="s">
        <v>1976</v>
      </c>
      <c r="AV1400" s="128"/>
      <c r="AW1400" s="117">
        <f>VLOOKUP($D1400,'WB Data'!$C$3:$M$578,2,FALSE)</f>
        <v>411743801711.64203</v>
      </c>
      <c r="AX1400" s="117">
        <f>VLOOKUP($D1400,'WB Data'!$C$3:$M$578,3,FALSE)</f>
        <v>164192925</v>
      </c>
      <c r="AY1400" s="847">
        <f t="shared" si="237"/>
        <v>0.16664096859447627</v>
      </c>
      <c r="AZ1400" s="117">
        <f>VLOOKUP($D1400,'WB Data'!$C$3:$M$578,4,FALSE)/100</f>
        <v>5.5773232387429254E-2</v>
      </c>
      <c r="BA1400" s="117">
        <f t="shared" si="238"/>
        <v>22964282736.947002</v>
      </c>
      <c r="BB1400" s="129">
        <f>IFERROR(VLOOKUP($D1400,'EITI Revenues'!$C$2:$G$224,5,FALSE),"..")</f>
        <v>68613385930</v>
      </c>
      <c r="BC1400" s="846">
        <f t="shared" si="239"/>
        <v>2.9878305678412773</v>
      </c>
      <c r="BD1400" s="129">
        <f>VLOOKUP($D1400,'WB Data 2'!$C$2:$K$545,6,FALSE)</f>
        <v>101965507852.90999</v>
      </c>
      <c r="BE1400" s="129">
        <f>IFERROR(VLOOKUP($D1400,UNCTAD!$C$5:$V$529,4,FALSE),"..")</f>
        <v>99755753000</v>
      </c>
      <c r="BF1400" s="846">
        <f t="shared" si="240"/>
        <v>1.0221516532776811</v>
      </c>
      <c r="BG1400" s="117">
        <f>VLOOKUP($D1400,'WB Data'!$C$3:$M$578,5,FALSE)</f>
        <v>1768550000</v>
      </c>
      <c r="BH1400" s="129">
        <f>IFERROR($BB1400/$BG1400,"..")</f>
        <v>38.796407186678351</v>
      </c>
      <c r="BI1400" s="117" t="str">
        <f>IFERROR(VLOOKUP($D1400,'WB Data'!$C$3:$M$578,7,FALSE)/100,"..")</f>
        <v>..</v>
      </c>
      <c r="BJ1400" s="117" t="str">
        <f>IFERROR($BI1400*$AW1400,"..")</f>
        <v>..</v>
      </c>
      <c r="BK1400" s="846" t="str">
        <f>IFERROR($BB1400/$BJ1400,"..")</f>
        <v>..</v>
      </c>
      <c r="BL1400" s="117" t="str">
        <f>IFERROR(VLOOKUP($D1400,'WB Data'!$C$3:$M$578,7,FALSE)/100,"..")</f>
        <v>..</v>
      </c>
      <c r="BM1400" s="117" t="str">
        <f>IFERROR($AW1400*$BL1400,"..")</f>
        <v>..</v>
      </c>
      <c r="BN1400" s="846" t="str">
        <f>IFERROR($BB1400/$BM1400,"..")</f>
        <v>..</v>
      </c>
      <c r="BO1400" s="801">
        <f t="shared" si="236"/>
        <v>27</v>
      </c>
      <c r="BP1400" s="117" t="str">
        <f>VLOOKUP($D1400,'WB Data'!$C$3:$M$578,9,FALSE)</f>
        <v>..</v>
      </c>
      <c r="BQ1400" s="117">
        <f>VLOOKUP($D1400,'WB Data'!$C$3:$M$578,10,FALSE)</f>
        <v>51.710243902439032</v>
      </c>
      <c r="BR1400" s="117">
        <f>VLOOKUP($D1400,'WB Data'!$C$3:$M$578,11,FALSE)</f>
        <v>79.2</v>
      </c>
      <c r="BS1400" s="129" t="str">
        <f>IFERROR(VLOOKUP($D1400,'WB Data 2'!$C$2:$K$545,9,FALSE),"..")</f>
        <v>..</v>
      </c>
      <c r="BT1400" s="129">
        <f>_xlfn.IFNA(VLOOKUP($C1400,RGI!$A$2:$C$43,2,FALSE),"..")</f>
        <v>46.5</v>
      </c>
      <c r="BU1400" s="129">
        <f>_xlfn.IFNA(VLOOKUP($C1400,RGI!$A$2:$C$43,3,FALSE),"..")</f>
        <v>42.488706175328218</v>
      </c>
      <c r="BV1400" s="129">
        <f>VLOOKUP($D1400,WGI!$C$2:$O$478,7,FALSE)</f>
        <v>-0.73672391613667498</v>
      </c>
      <c r="BW1400" s="129">
        <f>VLOOKUP($D1400,WGI!$C$2:$O$478,4,FALSE)</f>
        <v>-1.9462524352720001</v>
      </c>
      <c r="BX1400" s="129">
        <f>VLOOKUP($D1400,WGI!$C$2:$O$478,3,FALSE)</f>
        <v>-1.08047539707395</v>
      </c>
      <c r="BY1400" s="129">
        <f>VLOOKUP($D1400,WGI!$C$2:$O$478,5,FALSE)</f>
        <v>-0.66940161273980003</v>
      </c>
      <c r="BZ1400" s="129">
        <f>VLOOKUP($D1400,WGI!$C$2:$O$478,2,FALSE)</f>
        <v>-1.12338313325942</v>
      </c>
      <c r="CB1400" s="129"/>
    </row>
    <row r="1401" spans="1:80" s="120" customFormat="1" ht="15" customHeight="1">
      <c r="A1401" s="294" t="s">
        <v>430</v>
      </c>
      <c r="B1401" s="214">
        <v>2011</v>
      </c>
      <c r="C1401" s="809" t="s">
        <v>413</v>
      </c>
      <c r="D1401" s="117" t="s">
        <v>3710</v>
      </c>
      <c r="E1401" s="452" t="s">
        <v>86</v>
      </c>
      <c r="F1401" s="117"/>
      <c r="G1401" s="117" t="s">
        <v>24</v>
      </c>
      <c r="H1401" s="117" t="str">
        <f t="shared" si="241"/>
        <v>yes</v>
      </c>
      <c r="I1401" s="117" t="str">
        <f t="shared" si="243"/>
        <v>no</v>
      </c>
      <c r="J1401" s="117" t="str">
        <f t="shared" si="244"/>
        <v>no</v>
      </c>
      <c r="K1401" s="117" t="s">
        <v>1993</v>
      </c>
      <c r="L1401" s="117" t="str">
        <f t="shared" si="242"/>
        <v>detailed</v>
      </c>
      <c r="M1401" s="117" t="str">
        <f t="shared" si="245"/>
        <v>detailed Mining</v>
      </c>
      <c r="N1401" s="179"/>
      <c r="O1401" s="179"/>
      <c r="P1401" s="179">
        <v>400</v>
      </c>
      <c r="Q1401" s="179"/>
      <c r="R1401" s="179"/>
      <c r="S1401" s="117" t="s">
        <v>610</v>
      </c>
      <c r="T1401" s="119">
        <v>17.525455449787156</v>
      </c>
      <c r="U1401" s="117" t="s">
        <v>611</v>
      </c>
      <c r="V1401" s="117" t="s">
        <v>1978</v>
      </c>
      <c r="W1401" s="89">
        <f>N1403*T1401</f>
        <v>9989.5096063786787</v>
      </c>
      <c r="X1401" s="117"/>
      <c r="Y1401" s="117"/>
      <c r="Z1401" s="117"/>
      <c r="AA1401" s="89"/>
      <c r="AB1401" s="89"/>
      <c r="AC1401" s="240"/>
      <c r="AD1401" s="240"/>
      <c r="AE1401" s="240"/>
      <c r="AF1401" s="241"/>
      <c r="AG1401" s="117"/>
      <c r="AH1401" s="124"/>
      <c r="AI1401" s="117"/>
      <c r="AJ1401" s="117"/>
      <c r="AK1401" s="89"/>
      <c r="AL1401" s="117"/>
      <c r="AM1401" s="117"/>
      <c r="AN1401" s="117"/>
      <c r="AO1401" s="117"/>
      <c r="AP1401" s="117"/>
      <c r="AQ1401" s="117"/>
      <c r="AR1401" s="117"/>
      <c r="AS1401" s="117"/>
      <c r="AT1401" s="117"/>
      <c r="AU1401" s="117" t="s">
        <v>1994</v>
      </c>
      <c r="AV1401" s="128"/>
      <c r="AW1401" s="117">
        <f>VLOOKUP($D1401,'WB Data'!$C$3:$M$578,2,FALSE)</f>
        <v>411743801711.64203</v>
      </c>
      <c r="AX1401" s="117">
        <f>VLOOKUP($D1401,'WB Data'!$C$3:$M$578,3,FALSE)</f>
        <v>164192925</v>
      </c>
      <c r="AY1401" s="847">
        <f t="shared" si="237"/>
        <v>0.16664096859447627</v>
      </c>
      <c r="AZ1401" s="117">
        <f>VLOOKUP($D1401,'WB Data'!$C$3:$M$578,4,FALSE)/100</f>
        <v>5.5773232387429254E-2</v>
      </c>
      <c r="BA1401" s="117">
        <f t="shared" si="238"/>
        <v>22964282736.947002</v>
      </c>
      <c r="BB1401" s="129">
        <f>IFERROR(VLOOKUP($D1401,'EITI Revenues'!$C$2:$G$224,5,FALSE),"..")</f>
        <v>68613385930</v>
      </c>
      <c r="BC1401" s="846">
        <f t="shared" si="239"/>
        <v>2.9878305678412773</v>
      </c>
      <c r="BD1401" s="129">
        <f>VLOOKUP($D1401,'WB Data 2'!$C$2:$K$545,6,FALSE)</f>
        <v>101965507852.90999</v>
      </c>
      <c r="BE1401" s="129">
        <f>IFERROR(VLOOKUP($D1401,UNCTAD!$C$5:$V$529,4,FALSE),"..")</f>
        <v>99755753000</v>
      </c>
      <c r="BF1401" s="846">
        <f t="shared" si="240"/>
        <v>1.0221516532776811</v>
      </c>
      <c r="BG1401" s="117">
        <f>VLOOKUP($D1401,'WB Data'!$C$3:$M$578,5,FALSE)</f>
        <v>1768550000</v>
      </c>
      <c r="BH1401" s="129">
        <f>IFERROR($BB1401/$BG1401,"..")</f>
        <v>38.796407186678351</v>
      </c>
      <c r="BI1401" s="117" t="str">
        <f>IFERROR(VLOOKUP($D1401,'WB Data'!$C$3:$M$578,7,FALSE)/100,"..")</f>
        <v>..</v>
      </c>
      <c r="BJ1401" s="117" t="str">
        <f>IFERROR($BI1401*$AW1401,"..")</f>
        <v>..</v>
      </c>
      <c r="BK1401" s="846" t="str">
        <f>IFERROR($BB1401/$BJ1401,"..")</f>
        <v>..</v>
      </c>
      <c r="BL1401" s="117" t="str">
        <f>IFERROR(VLOOKUP($D1401,'WB Data'!$C$3:$M$578,7,FALSE)/100,"..")</f>
        <v>..</v>
      </c>
      <c r="BM1401" s="117" t="str">
        <f>IFERROR($AW1401*$BL1401,"..")</f>
        <v>..</v>
      </c>
      <c r="BN1401" s="846" t="str">
        <f>IFERROR($BB1401/$BM1401,"..")</f>
        <v>..</v>
      </c>
      <c r="BO1401" s="801">
        <f t="shared" si="236"/>
        <v>27</v>
      </c>
      <c r="BP1401" s="117" t="str">
        <f>VLOOKUP($D1401,'WB Data'!$C$3:$M$578,9,FALSE)</f>
        <v>..</v>
      </c>
      <c r="BQ1401" s="117">
        <f>VLOOKUP($D1401,'WB Data'!$C$3:$M$578,10,FALSE)</f>
        <v>51.710243902439032</v>
      </c>
      <c r="BR1401" s="117">
        <f>VLOOKUP($D1401,'WB Data'!$C$3:$M$578,11,FALSE)</f>
        <v>79.2</v>
      </c>
      <c r="BS1401" s="129" t="str">
        <f>IFERROR(VLOOKUP($D1401,'WB Data 2'!$C$2:$K$545,9,FALSE),"..")</f>
        <v>..</v>
      </c>
      <c r="BT1401" s="129">
        <f>_xlfn.IFNA(VLOOKUP($C1401,RGI!$A$2:$C$43,2,FALSE),"..")</f>
        <v>46.5</v>
      </c>
      <c r="BU1401" s="129">
        <f>_xlfn.IFNA(VLOOKUP($C1401,RGI!$A$2:$C$43,3,FALSE),"..")</f>
        <v>42.488706175328218</v>
      </c>
      <c r="BV1401" s="129">
        <f>VLOOKUP($D1401,WGI!$C$2:$O$478,7,FALSE)</f>
        <v>-0.73672391613667498</v>
      </c>
      <c r="BW1401" s="129">
        <f>VLOOKUP($D1401,WGI!$C$2:$O$478,4,FALSE)</f>
        <v>-1.9462524352720001</v>
      </c>
      <c r="BX1401" s="129">
        <f>VLOOKUP($D1401,WGI!$C$2:$O$478,3,FALSE)</f>
        <v>-1.08047539707395</v>
      </c>
      <c r="BY1401" s="129">
        <f>VLOOKUP($D1401,WGI!$C$2:$O$478,5,FALSE)</f>
        <v>-0.66940161273980003</v>
      </c>
      <c r="BZ1401" s="129">
        <f>VLOOKUP($D1401,WGI!$C$2:$O$478,2,FALSE)</f>
        <v>-1.12338313325942</v>
      </c>
      <c r="CB1401" s="129"/>
    </row>
    <row r="1402" spans="1:80" s="120" customFormat="1" ht="15" customHeight="1">
      <c r="A1402" s="294" t="s">
        <v>430</v>
      </c>
      <c r="B1402" s="214">
        <v>2011</v>
      </c>
      <c r="C1402" s="809" t="s">
        <v>413</v>
      </c>
      <c r="D1402" s="117" t="s">
        <v>3710</v>
      </c>
      <c r="E1402" s="452" t="s">
        <v>86</v>
      </c>
      <c r="F1402" s="117"/>
      <c r="G1402" s="117" t="s">
        <v>24</v>
      </c>
      <c r="H1402" s="117" t="str">
        <f t="shared" si="241"/>
        <v>yes</v>
      </c>
      <c r="I1402" s="117" t="str">
        <f t="shared" si="243"/>
        <v>no</v>
      </c>
      <c r="J1402" s="117" t="str">
        <f t="shared" si="244"/>
        <v>no</v>
      </c>
      <c r="K1402" s="117" t="s">
        <v>1066</v>
      </c>
      <c r="L1402" s="117" t="str">
        <f t="shared" si="242"/>
        <v>detailed</v>
      </c>
      <c r="M1402" s="117" t="str">
        <f t="shared" si="245"/>
        <v>detailed Mining</v>
      </c>
      <c r="N1402" s="179">
        <v>740</v>
      </c>
      <c r="O1402" s="179"/>
      <c r="P1402" s="179"/>
      <c r="Q1402" s="179"/>
      <c r="R1402" s="179"/>
      <c r="S1402" s="117" t="s">
        <v>610</v>
      </c>
      <c r="T1402" s="119"/>
      <c r="U1402" s="117"/>
      <c r="V1402" s="117" t="s">
        <v>684</v>
      </c>
      <c r="W1402" s="89"/>
      <c r="X1402" s="117"/>
      <c r="Y1402" s="117"/>
      <c r="Z1402" s="117"/>
      <c r="AA1402" s="89"/>
      <c r="AB1402" s="89"/>
      <c r="AC1402" s="240"/>
      <c r="AD1402" s="240"/>
      <c r="AE1402" s="240"/>
      <c r="AF1402" s="241"/>
      <c r="AG1402" s="117"/>
      <c r="AH1402" s="124"/>
      <c r="AI1402" s="117"/>
      <c r="AJ1402" s="117"/>
      <c r="AK1402" s="89"/>
      <c r="AL1402" s="117"/>
      <c r="AM1402" s="117"/>
      <c r="AN1402" s="117"/>
      <c r="AO1402" s="117"/>
      <c r="AP1402" s="117"/>
      <c r="AQ1402" s="117"/>
      <c r="AR1402" s="117"/>
      <c r="AS1402" s="117"/>
      <c r="AT1402" s="117"/>
      <c r="AU1402" s="117"/>
      <c r="AV1402" s="128"/>
      <c r="AW1402" s="117">
        <f>VLOOKUP($D1402,'WB Data'!$C$3:$M$578,2,FALSE)</f>
        <v>411743801711.64203</v>
      </c>
      <c r="AX1402" s="117">
        <f>VLOOKUP($D1402,'WB Data'!$C$3:$M$578,3,FALSE)</f>
        <v>164192925</v>
      </c>
      <c r="AY1402" s="847">
        <f t="shared" si="237"/>
        <v>0.16664096859447627</v>
      </c>
      <c r="AZ1402" s="117">
        <f>VLOOKUP($D1402,'WB Data'!$C$3:$M$578,4,FALSE)/100</f>
        <v>5.5773232387429254E-2</v>
      </c>
      <c r="BA1402" s="117">
        <f t="shared" si="238"/>
        <v>22964282736.947002</v>
      </c>
      <c r="BB1402" s="129">
        <f>IFERROR(VLOOKUP($D1402,'EITI Revenues'!$C$2:$G$224,5,FALSE),"..")</f>
        <v>68613385930</v>
      </c>
      <c r="BC1402" s="846">
        <f t="shared" si="239"/>
        <v>2.9878305678412773</v>
      </c>
      <c r="BD1402" s="129">
        <f>VLOOKUP($D1402,'WB Data 2'!$C$2:$K$545,6,FALSE)</f>
        <v>101965507852.90999</v>
      </c>
      <c r="BE1402" s="129">
        <f>IFERROR(VLOOKUP($D1402,UNCTAD!$C$5:$V$529,4,FALSE),"..")</f>
        <v>99755753000</v>
      </c>
      <c r="BF1402" s="846">
        <f t="shared" si="240"/>
        <v>1.0221516532776811</v>
      </c>
      <c r="BG1402" s="117">
        <f>VLOOKUP($D1402,'WB Data'!$C$3:$M$578,5,FALSE)</f>
        <v>1768550000</v>
      </c>
      <c r="BH1402" s="129">
        <f>IFERROR($BB1402/$BG1402,"..")</f>
        <v>38.796407186678351</v>
      </c>
      <c r="BI1402" s="117" t="str">
        <f>IFERROR(VLOOKUP($D1402,'WB Data'!$C$3:$M$578,7,FALSE)/100,"..")</f>
        <v>..</v>
      </c>
      <c r="BJ1402" s="117" t="str">
        <f>IFERROR($BI1402*$AW1402,"..")</f>
        <v>..</v>
      </c>
      <c r="BK1402" s="846" t="str">
        <f>IFERROR($BB1402/$BJ1402,"..")</f>
        <v>..</v>
      </c>
      <c r="BL1402" s="117" t="str">
        <f>IFERROR(VLOOKUP($D1402,'WB Data'!$C$3:$M$578,7,FALSE)/100,"..")</f>
        <v>..</v>
      </c>
      <c r="BM1402" s="117" t="str">
        <f>IFERROR($AW1402*$BL1402,"..")</f>
        <v>..</v>
      </c>
      <c r="BN1402" s="846" t="str">
        <f>IFERROR($BB1402/$BM1402,"..")</f>
        <v>..</v>
      </c>
      <c r="BO1402" s="801">
        <f t="shared" si="236"/>
        <v>27</v>
      </c>
      <c r="BP1402" s="117" t="str">
        <f>VLOOKUP($D1402,'WB Data'!$C$3:$M$578,9,FALSE)</f>
        <v>..</v>
      </c>
      <c r="BQ1402" s="117">
        <f>VLOOKUP($D1402,'WB Data'!$C$3:$M$578,10,FALSE)</f>
        <v>51.710243902439032</v>
      </c>
      <c r="BR1402" s="117">
        <f>VLOOKUP($D1402,'WB Data'!$C$3:$M$578,11,FALSE)</f>
        <v>79.2</v>
      </c>
      <c r="BS1402" s="129" t="str">
        <f>IFERROR(VLOOKUP($D1402,'WB Data 2'!$C$2:$K$545,9,FALSE),"..")</f>
        <v>..</v>
      </c>
      <c r="BT1402" s="129">
        <f>_xlfn.IFNA(VLOOKUP($C1402,RGI!$A$2:$C$43,2,FALSE),"..")</f>
        <v>46.5</v>
      </c>
      <c r="BU1402" s="129">
        <f>_xlfn.IFNA(VLOOKUP($C1402,RGI!$A$2:$C$43,3,FALSE),"..")</f>
        <v>42.488706175328218</v>
      </c>
      <c r="BV1402" s="129">
        <f>VLOOKUP($D1402,WGI!$C$2:$O$478,7,FALSE)</f>
        <v>-0.73672391613667498</v>
      </c>
      <c r="BW1402" s="129">
        <f>VLOOKUP($D1402,WGI!$C$2:$O$478,4,FALSE)</f>
        <v>-1.9462524352720001</v>
      </c>
      <c r="BX1402" s="129">
        <f>VLOOKUP($D1402,WGI!$C$2:$O$478,3,FALSE)</f>
        <v>-1.08047539707395</v>
      </c>
      <c r="BY1402" s="129">
        <f>VLOOKUP($D1402,WGI!$C$2:$O$478,5,FALSE)</f>
        <v>-0.66940161273980003</v>
      </c>
      <c r="BZ1402" s="129">
        <f>VLOOKUP($D1402,WGI!$C$2:$O$478,2,FALSE)</f>
        <v>-1.12338313325942</v>
      </c>
      <c r="CB1402" s="129"/>
    </row>
    <row r="1403" spans="1:80" s="120" customFormat="1" ht="15" customHeight="1">
      <c r="A1403" s="294" t="s">
        <v>430</v>
      </c>
      <c r="B1403" s="214">
        <v>2011</v>
      </c>
      <c r="C1403" s="809" t="s">
        <v>413</v>
      </c>
      <c r="D1403" s="117" t="s">
        <v>3710</v>
      </c>
      <c r="E1403" s="452" t="s">
        <v>86</v>
      </c>
      <c r="F1403" s="117"/>
      <c r="G1403" s="117" t="s">
        <v>24</v>
      </c>
      <c r="H1403" s="117" t="str">
        <f t="shared" si="241"/>
        <v>yes</v>
      </c>
      <c r="I1403" s="117" t="str">
        <f t="shared" si="243"/>
        <v>no</v>
      </c>
      <c r="J1403" s="117" t="str">
        <f t="shared" si="244"/>
        <v>no</v>
      </c>
      <c r="K1403" s="117" t="s">
        <v>1077</v>
      </c>
      <c r="L1403" s="117" t="str">
        <f t="shared" si="242"/>
        <v>detailed</v>
      </c>
      <c r="M1403" s="117" t="str">
        <f t="shared" si="245"/>
        <v>detailed Mining</v>
      </c>
      <c r="N1403" s="179">
        <v>570</v>
      </c>
      <c r="O1403" s="179"/>
      <c r="P1403" s="179"/>
      <c r="Q1403" s="179"/>
      <c r="R1403" s="179"/>
      <c r="S1403" s="117" t="s">
        <v>610</v>
      </c>
      <c r="T1403" s="119"/>
      <c r="U1403" s="117"/>
      <c r="V1403" s="117" t="s">
        <v>684</v>
      </c>
      <c r="W1403" s="89"/>
      <c r="X1403" s="117"/>
      <c r="Y1403" s="117"/>
      <c r="Z1403" s="117"/>
      <c r="AA1403" s="89"/>
      <c r="AB1403" s="89"/>
      <c r="AC1403" s="240"/>
      <c r="AD1403" s="240"/>
      <c r="AE1403" s="240"/>
      <c r="AF1403" s="241"/>
      <c r="AG1403" s="117"/>
      <c r="AH1403" s="124"/>
      <c r="AI1403" s="117"/>
      <c r="AJ1403" s="117"/>
      <c r="AK1403" s="89"/>
      <c r="AL1403" s="117"/>
      <c r="AM1403" s="117"/>
      <c r="AN1403" s="117"/>
      <c r="AO1403" s="117"/>
      <c r="AP1403" s="117"/>
      <c r="AQ1403" s="117"/>
      <c r="AR1403" s="117"/>
      <c r="AS1403" s="117"/>
      <c r="AT1403" s="117"/>
      <c r="AU1403" s="117"/>
      <c r="AV1403" s="128"/>
      <c r="AW1403" s="117">
        <f>VLOOKUP($D1403,'WB Data'!$C$3:$M$578,2,FALSE)</f>
        <v>411743801711.64203</v>
      </c>
      <c r="AX1403" s="117">
        <f>VLOOKUP($D1403,'WB Data'!$C$3:$M$578,3,FALSE)</f>
        <v>164192925</v>
      </c>
      <c r="AY1403" s="847">
        <f t="shared" si="237"/>
        <v>0.16664096859447627</v>
      </c>
      <c r="AZ1403" s="117">
        <f>VLOOKUP($D1403,'WB Data'!$C$3:$M$578,4,FALSE)/100</f>
        <v>5.5773232387429254E-2</v>
      </c>
      <c r="BA1403" s="117">
        <f t="shared" si="238"/>
        <v>22964282736.947002</v>
      </c>
      <c r="BB1403" s="129">
        <f>IFERROR(VLOOKUP($D1403,'EITI Revenues'!$C$2:$G$224,5,FALSE),"..")</f>
        <v>68613385930</v>
      </c>
      <c r="BC1403" s="846">
        <f t="shared" si="239"/>
        <v>2.9878305678412773</v>
      </c>
      <c r="BD1403" s="129">
        <f>VLOOKUP($D1403,'WB Data 2'!$C$2:$K$545,6,FALSE)</f>
        <v>101965507852.90999</v>
      </c>
      <c r="BE1403" s="129">
        <f>IFERROR(VLOOKUP($D1403,UNCTAD!$C$5:$V$529,4,FALSE),"..")</f>
        <v>99755753000</v>
      </c>
      <c r="BF1403" s="846">
        <f t="shared" si="240"/>
        <v>1.0221516532776811</v>
      </c>
      <c r="BG1403" s="117">
        <f>VLOOKUP($D1403,'WB Data'!$C$3:$M$578,5,FALSE)</f>
        <v>1768550000</v>
      </c>
      <c r="BH1403" s="129">
        <f>IFERROR($BB1403/$BG1403,"..")</f>
        <v>38.796407186678351</v>
      </c>
      <c r="BI1403" s="117" t="str">
        <f>IFERROR(VLOOKUP($D1403,'WB Data'!$C$3:$M$578,7,FALSE)/100,"..")</f>
        <v>..</v>
      </c>
      <c r="BJ1403" s="117" t="str">
        <f>IFERROR($BI1403*$AW1403,"..")</f>
        <v>..</v>
      </c>
      <c r="BK1403" s="846" t="str">
        <f>IFERROR($BB1403/$BJ1403,"..")</f>
        <v>..</v>
      </c>
      <c r="BL1403" s="117" t="str">
        <f>IFERROR(VLOOKUP($D1403,'WB Data'!$C$3:$M$578,7,FALSE)/100,"..")</f>
        <v>..</v>
      </c>
      <c r="BM1403" s="117" t="str">
        <f>IFERROR($AW1403*$BL1403,"..")</f>
        <v>..</v>
      </c>
      <c r="BN1403" s="846" t="str">
        <f>IFERROR($BB1403/$BM1403,"..")</f>
        <v>..</v>
      </c>
      <c r="BO1403" s="801">
        <f t="shared" si="236"/>
        <v>27</v>
      </c>
      <c r="BP1403" s="117" t="str">
        <f>VLOOKUP($D1403,'WB Data'!$C$3:$M$578,9,FALSE)</f>
        <v>..</v>
      </c>
      <c r="BQ1403" s="117">
        <f>VLOOKUP($D1403,'WB Data'!$C$3:$M$578,10,FALSE)</f>
        <v>51.710243902439032</v>
      </c>
      <c r="BR1403" s="117">
        <f>VLOOKUP($D1403,'WB Data'!$C$3:$M$578,11,FALSE)</f>
        <v>79.2</v>
      </c>
      <c r="BS1403" s="129" t="str">
        <f>IFERROR(VLOOKUP($D1403,'WB Data 2'!$C$2:$K$545,9,FALSE),"..")</f>
        <v>..</v>
      </c>
      <c r="BT1403" s="129">
        <f>_xlfn.IFNA(VLOOKUP($C1403,RGI!$A$2:$C$43,2,FALSE),"..")</f>
        <v>46.5</v>
      </c>
      <c r="BU1403" s="129">
        <f>_xlfn.IFNA(VLOOKUP($C1403,RGI!$A$2:$C$43,3,FALSE),"..")</f>
        <v>42.488706175328218</v>
      </c>
      <c r="BV1403" s="129">
        <f>VLOOKUP($D1403,WGI!$C$2:$O$478,7,FALSE)</f>
        <v>-0.73672391613667498</v>
      </c>
      <c r="BW1403" s="129">
        <f>VLOOKUP($D1403,WGI!$C$2:$O$478,4,FALSE)</f>
        <v>-1.9462524352720001</v>
      </c>
      <c r="BX1403" s="129">
        <f>VLOOKUP($D1403,WGI!$C$2:$O$478,3,FALSE)</f>
        <v>-1.08047539707395</v>
      </c>
      <c r="BY1403" s="129">
        <f>VLOOKUP($D1403,WGI!$C$2:$O$478,5,FALSE)</f>
        <v>-0.66940161273980003</v>
      </c>
      <c r="BZ1403" s="129">
        <f>VLOOKUP($D1403,WGI!$C$2:$O$478,2,FALSE)</f>
        <v>-1.12338313325942</v>
      </c>
      <c r="CB1403" s="129"/>
    </row>
    <row r="1404" spans="1:80" s="120" customFormat="1" ht="15" customHeight="1">
      <c r="A1404" s="294" t="s">
        <v>430</v>
      </c>
      <c r="B1404" s="214">
        <v>2011</v>
      </c>
      <c r="C1404" s="809" t="s">
        <v>413</v>
      </c>
      <c r="D1404" s="117" t="s">
        <v>3710</v>
      </c>
      <c r="E1404" s="452" t="s">
        <v>86</v>
      </c>
      <c r="F1404" s="117"/>
      <c r="G1404" s="117" t="s">
        <v>24</v>
      </c>
      <c r="H1404" s="117" t="str">
        <f t="shared" si="241"/>
        <v>yes</v>
      </c>
      <c r="I1404" s="117" t="str">
        <f t="shared" si="243"/>
        <v>no</v>
      </c>
      <c r="J1404" s="117" t="str">
        <f t="shared" si="244"/>
        <v>no</v>
      </c>
      <c r="K1404" s="117" t="s">
        <v>1995</v>
      </c>
      <c r="L1404" s="117" t="str">
        <f t="shared" si="242"/>
        <v>detailed</v>
      </c>
      <c r="M1404" s="117" t="str">
        <f t="shared" si="245"/>
        <v>detailed Mining</v>
      </c>
      <c r="N1404" s="179">
        <v>1000</v>
      </c>
      <c r="O1404" s="179"/>
      <c r="P1404" s="179"/>
      <c r="Q1404" s="179"/>
      <c r="R1404" s="179"/>
      <c r="S1404" s="117" t="s">
        <v>967</v>
      </c>
      <c r="T1404" s="119">
        <f>7.5/0.0002</f>
        <v>37500</v>
      </c>
      <c r="U1404" s="117" t="s">
        <v>1874</v>
      </c>
      <c r="V1404" s="401" t="s">
        <v>1996</v>
      </c>
      <c r="W1404" s="89">
        <f>N1404*T1404</f>
        <v>37500000</v>
      </c>
      <c r="X1404" s="117"/>
      <c r="Y1404" s="117"/>
      <c r="Z1404" s="117"/>
      <c r="AA1404" s="89"/>
      <c r="AB1404" s="89"/>
      <c r="AC1404" s="240"/>
      <c r="AD1404" s="240"/>
      <c r="AE1404" s="240"/>
      <c r="AF1404" s="241"/>
      <c r="AG1404" s="117"/>
      <c r="AH1404" s="124"/>
      <c r="AI1404" s="117"/>
      <c r="AJ1404" s="117"/>
      <c r="AK1404" s="89"/>
      <c r="AL1404" s="117"/>
      <c r="AM1404" s="117"/>
      <c r="AN1404" s="117"/>
      <c r="AO1404" s="117"/>
      <c r="AP1404" s="117"/>
      <c r="AQ1404" s="117"/>
      <c r="AR1404" s="117"/>
      <c r="AS1404" s="117"/>
      <c r="AT1404" s="117"/>
      <c r="AU1404" s="117"/>
      <c r="AV1404" s="128"/>
      <c r="AW1404" s="117">
        <f>VLOOKUP($D1404,'WB Data'!$C$3:$M$578,2,FALSE)</f>
        <v>411743801711.64203</v>
      </c>
      <c r="AX1404" s="117">
        <f>VLOOKUP($D1404,'WB Data'!$C$3:$M$578,3,FALSE)</f>
        <v>164192925</v>
      </c>
      <c r="AY1404" s="847">
        <f t="shared" si="237"/>
        <v>0.16664096859447627</v>
      </c>
      <c r="AZ1404" s="117">
        <f>VLOOKUP($D1404,'WB Data'!$C$3:$M$578,4,FALSE)/100</f>
        <v>5.5773232387429254E-2</v>
      </c>
      <c r="BA1404" s="117">
        <f t="shared" si="238"/>
        <v>22964282736.947002</v>
      </c>
      <c r="BB1404" s="129">
        <f>IFERROR(VLOOKUP($D1404,'EITI Revenues'!$C$2:$G$224,5,FALSE),"..")</f>
        <v>68613385930</v>
      </c>
      <c r="BC1404" s="846">
        <f t="shared" si="239"/>
        <v>2.9878305678412773</v>
      </c>
      <c r="BD1404" s="129">
        <f>VLOOKUP($D1404,'WB Data 2'!$C$2:$K$545,6,FALSE)</f>
        <v>101965507852.90999</v>
      </c>
      <c r="BE1404" s="129">
        <f>IFERROR(VLOOKUP($D1404,UNCTAD!$C$5:$V$529,4,FALSE),"..")</f>
        <v>99755753000</v>
      </c>
      <c r="BF1404" s="846">
        <f t="shared" si="240"/>
        <v>1.0221516532776811</v>
      </c>
      <c r="BG1404" s="117">
        <f>VLOOKUP($D1404,'WB Data'!$C$3:$M$578,5,FALSE)</f>
        <v>1768550000</v>
      </c>
      <c r="BH1404" s="129">
        <f>IFERROR($BB1404/$BG1404,"..")</f>
        <v>38.796407186678351</v>
      </c>
      <c r="BI1404" s="117" t="str">
        <f>IFERROR(VLOOKUP($D1404,'WB Data'!$C$3:$M$578,7,FALSE)/100,"..")</f>
        <v>..</v>
      </c>
      <c r="BJ1404" s="117" t="str">
        <f>IFERROR($BI1404*$AW1404,"..")</f>
        <v>..</v>
      </c>
      <c r="BK1404" s="846" t="str">
        <f>IFERROR($BB1404/$BJ1404,"..")</f>
        <v>..</v>
      </c>
      <c r="BL1404" s="117" t="str">
        <f>IFERROR(VLOOKUP($D1404,'WB Data'!$C$3:$M$578,7,FALSE)/100,"..")</f>
        <v>..</v>
      </c>
      <c r="BM1404" s="117" t="str">
        <f>IFERROR($AW1404*$BL1404,"..")</f>
        <v>..</v>
      </c>
      <c r="BN1404" s="846" t="str">
        <f>IFERROR($BB1404/$BM1404,"..")</f>
        <v>..</v>
      </c>
      <c r="BO1404" s="801">
        <f t="shared" si="236"/>
        <v>27</v>
      </c>
      <c r="BP1404" s="117" t="str">
        <f>VLOOKUP($D1404,'WB Data'!$C$3:$M$578,9,FALSE)</f>
        <v>..</v>
      </c>
      <c r="BQ1404" s="117">
        <f>VLOOKUP($D1404,'WB Data'!$C$3:$M$578,10,FALSE)</f>
        <v>51.710243902439032</v>
      </c>
      <c r="BR1404" s="117">
        <f>VLOOKUP($D1404,'WB Data'!$C$3:$M$578,11,FALSE)</f>
        <v>79.2</v>
      </c>
      <c r="BS1404" s="129" t="str">
        <f>IFERROR(VLOOKUP($D1404,'WB Data 2'!$C$2:$K$545,9,FALSE),"..")</f>
        <v>..</v>
      </c>
      <c r="BT1404" s="129">
        <f>_xlfn.IFNA(VLOOKUP($C1404,RGI!$A$2:$C$43,2,FALSE),"..")</f>
        <v>46.5</v>
      </c>
      <c r="BU1404" s="129">
        <f>_xlfn.IFNA(VLOOKUP($C1404,RGI!$A$2:$C$43,3,FALSE),"..")</f>
        <v>42.488706175328218</v>
      </c>
      <c r="BV1404" s="129">
        <f>VLOOKUP($D1404,WGI!$C$2:$O$478,7,FALSE)</f>
        <v>-0.73672391613667498</v>
      </c>
      <c r="BW1404" s="129">
        <f>VLOOKUP($D1404,WGI!$C$2:$O$478,4,FALSE)</f>
        <v>-1.9462524352720001</v>
      </c>
      <c r="BX1404" s="129">
        <f>VLOOKUP($D1404,WGI!$C$2:$O$478,3,FALSE)</f>
        <v>-1.08047539707395</v>
      </c>
      <c r="BY1404" s="129">
        <f>VLOOKUP($D1404,WGI!$C$2:$O$478,5,FALSE)</f>
        <v>-0.66940161273980003</v>
      </c>
      <c r="BZ1404" s="129">
        <f>VLOOKUP($D1404,WGI!$C$2:$O$478,2,FALSE)</f>
        <v>-1.12338313325942</v>
      </c>
      <c r="CB1404" s="129"/>
    </row>
    <row r="1405" spans="1:80" s="120" customFormat="1" ht="15" customHeight="1">
      <c r="A1405" s="294" t="s">
        <v>430</v>
      </c>
      <c r="B1405" s="214">
        <v>2011</v>
      </c>
      <c r="C1405" s="809" t="s">
        <v>413</v>
      </c>
      <c r="D1405" s="117" t="s">
        <v>3710</v>
      </c>
      <c r="E1405" s="452" t="s">
        <v>86</v>
      </c>
      <c r="F1405" s="117"/>
      <c r="G1405" s="117" t="s">
        <v>24</v>
      </c>
      <c r="H1405" s="117" t="str">
        <f t="shared" si="241"/>
        <v>yes</v>
      </c>
      <c r="I1405" s="117" t="str">
        <f t="shared" si="243"/>
        <v>no</v>
      </c>
      <c r="J1405" s="117" t="str">
        <f t="shared" si="244"/>
        <v>no</v>
      </c>
      <c r="K1405" s="117" t="s">
        <v>1997</v>
      </c>
      <c r="L1405" s="117" t="str">
        <f t="shared" si="242"/>
        <v>detailed</v>
      </c>
      <c r="M1405" s="117" t="str">
        <f t="shared" si="245"/>
        <v>detailed Mining</v>
      </c>
      <c r="N1405" s="179">
        <v>100000000</v>
      </c>
      <c r="O1405" s="179"/>
      <c r="P1405" s="179">
        <v>100000000</v>
      </c>
      <c r="Q1405" s="179"/>
      <c r="R1405" s="179"/>
      <c r="S1405" s="117" t="s">
        <v>967</v>
      </c>
      <c r="T1405" s="617">
        <f>88.75/0.0002</f>
        <v>443750</v>
      </c>
      <c r="U1405" s="117" t="s">
        <v>1874</v>
      </c>
      <c r="V1405" s="401" t="s">
        <v>1998</v>
      </c>
      <c r="W1405" s="298"/>
      <c r="X1405" s="117"/>
      <c r="Y1405" s="117"/>
      <c r="Z1405" s="117"/>
      <c r="AA1405" s="89"/>
      <c r="AB1405" s="89"/>
      <c r="AC1405" s="240"/>
      <c r="AD1405" s="240"/>
      <c r="AE1405" s="240"/>
      <c r="AF1405" s="241"/>
      <c r="AG1405" s="117"/>
      <c r="AH1405" s="124"/>
      <c r="AI1405" s="117"/>
      <c r="AJ1405" s="117"/>
      <c r="AK1405" s="89"/>
      <c r="AL1405" s="117"/>
      <c r="AM1405" s="117"/>
      <c r="AN1405" s="117"/>
      <c r="AO1405" s="117"/>
      <c r="AP1405" s="117"/>
      <c r="AQ1405" s="117"/>
      <c r="AR1405" s="117"/>
      <c r="AS1405" s="117"/>
      <c r="AT1405" s="117"/>
      <c r="AU1405" s="117" t="s">
        <v>1976</v>
      </c>
      <c r="AV1405" s="128" t="s">
        <v>1980</v>
      </c>
      <c r="AW1405" s="117">
        <f>VLOOKUP($D1405,'WB Data'!$C$3:$M$578,2,FALSE)</f>
        <v>411743801711.64203</v>
      </c>
      <c r="AX1405" s="117">
        <f>VLOOKUP($D1405,'WB Data'!$C$3:$M$578,3,FALSE)</f>
        <v>164192925</v>
      </c>
      <c r="AY1405" s="847">
        <f t="shared" si="237"/>
        <v>0.16664096859447627</v>
      </c>
      <c r="AZ1405" s="117">
        <f>VLOOKUP($D1405,'WB Data'!$C$3:$M$578,4,FALSE)/100</f>
        <v>5.5773232387429254E-2</v>
      </c>
      <c r="BA1405" s="117">
        <f t="shared" si="238"/>
        <v>22964282736.947002</v>
      </c>
      <c r="BB1405" s="129">
        <f>IFERROR(VLOOKUP($D1405,'EITI Revenues'!$C$2:$G$224,5,FALSE),"..")</f>
        <v>68613385930</v>
      </c>
      <c r="BC1405" s="846">
        <f t="shared" si="239"/>
        <v>2.9878305678412773</v>
      </c>
      <c r="BD1405" s="129">
        <f>VLOOKUP($D1405,'WB Data 2'!$C$2:$K$545,6,FALSE)</f>
        <v>101965507852.90999</v>
      </c>
      <c r="BE1405" s="129">
        <f>IFERROR(VLOOKUP($D1405,UNCTAD!$C$5:$V$529,4,FALSE),"..")</f>
        <v>99755753000</v>
      </c>
      <c r="BF1405" s="846">
        <f t="shared" si="240"/>
        <v>1.0221516532776811</v>
      </c>
      <c r="BG1405" s="117">
        <f>VLOOKUP($D1405,'WB Data'!$C$3:$M$578,5,FALSE)</f>
        <v>1768550000</v>
      </c>
      <c r="BH1405" s="129">
        <f>IFERROR($BB1405/$BG1405,"..")</f>
        <v>38.796407186678351</v>
      </c>
      <c r="BI1405" s="117" t="str">
        <f>IFERROR(VLOOKUP($D1405,'WB Data'!$C$3:$M$578,7,FALSE)/100,"..")</f>
        <v>..</v>
      </c>
      <c r="BJ1405" s="117" t="str">
        <f>IFERROR($BI1405*$AW1405,"..")</f>
        <v>..</v>
      </c>
      <c r="BK1405" s="846" t="str">
        <f>IFERROR($BB1405/$BJ1405,"..")</f>
        <v>..</v>
      </c>
      <c r="BL1405" s="117" t="str">
        <f>IFERROR(VLOOKUP($D1405,'WB Data'!$C$3:$M$578,7,FALSE)/100,"..")</f>
        <v>..</v>
      </c>
      <c r="BM1405" s="117" t="str">
        <f>IFERROR($AW1405*$BL1405,"..")</f>
        <v>..</v>
      </c>
      <c r="BN1405" s="846" t="str">
        <f>IFERROR($BB1405/$BM1405,"..")</f>
        <v>..</v>
      </c>
      <c r="BO1405" s="801">
        <f t="shared" si="236"/>
        <v>27</v>
      </c>
      <c r="BP1405" s="117" t="str">
        <f>VLOOKUP($D1405,'WB Data'!$C$3:$M$578,9,FALSE)</f>
        <v>..</v>
      </c>
      <c r="BQ1405" s="117">
        <f>VLOOKUP($D1405,'WB Data'!$C$3:$M$578,10,FALSE)</f>
        <v>51.710243902439032</v>
      </c>
      <c r="BR1405" s="117">
        <f>VLOOKUP($D1405,'WB Data'!$C$3:$M$578,11,FALSE)</f>
        <v>79.2</v>
      </c>
      <c r="BS1405" s="129" t="str">
        <f>IFERROR(VLOOKUP($D1405,'WB Data 2'!$C$2:$K$545,9,FALSE),"..")</f>
        <v>..</v>
      </c>
      <c r="BT1405" s="129">
        <f>_xlfn.IFNA(VLOOKUP($C1405,RGI!$A$2:$C$43,2,FALSE),"..")</f>
        <v>46.5</v>
      </c>
      <c r="BU1405" s="129">
        <f>_xlfn.IFNA(VLOOKUP($C1405,RGI!$A$2:$C$43,3,FALSE),"..")</f>
        <v>42.488706175328218</v>
      </c>
      <c r="BV1405" s="129">
        <f>VLOOKUP($D1405,WGI!$C$2:$O$478,7,FALSE)</f>
        <v>-0.73672391613667498</v>
      </c>
      <c r="BW1405" s="129">
        <f>VLOOKUP($D1405,WGI!$C$2:$O$478,4,FALSE)</f>
        <v>-1.9462524352720001</v>
      </c>
      <c r="BX1405" s="129">
        <f>VLOOKUP($D1405,WGI!$C$2:$O$478,3,FALSE)</f>
        <v>-1.08047539707395</v>
      </c>
      <c r="BY1405" s="129">
        <f>VLOOKUP($D1405,WGI!$C$2:$O$478,5,FALSE)</f>
        <v>-0.66940161273980003</v>
      </c>
      <c r="BZ1405" s="129">
        <f>VLOOKUP($D1405,WGI!$C$2:$O$478,2,FALSE)</f>
        <v>-1.12338313325942</v>
      </c>
      <c r="CB1405" s="129"/>
    </row>
    <row r="1406" spans="1:80" s="120" customFormat="1" ht="15" customHeight="1">
      <c r="A1406" s="294" t="s">
        <v>430</v>
      </c>
      <c r="B1406" s="214">
        <v>2011</v>
      </c>
      <c r="C1406" s="809" t="s">
        <v>413</v>
      </c>
      <c r="D1406" s="117" t="s">
        <v>3710</v>
      </c>
      <c r="E1406" s="452" t="s">
        <v>86</v>
      </c>
      <c r="F1406" s="117"/>
      <c r="G1406" s="117" t="s">
        <v>24</v>
      </c>
      <c r="H1406" s="117" t="str">
        <f t="shared" si="241"/>
        <v>yes</v>
      </c>
      <c r="I1406" s="117" t="str">
        <f t="shared" si="243"/>
        <v>no</v>
      </c>
      <c r="J1406" s="117" t="str">
        <f t="shared" si="244"/>
        <v>no</v>
      </c>
      <c r="K1406" s="117" t="s">
        <v>1116</v>
      </c>
      <c r="L1406" s="117" t="str">
        <f t="shared" si="242"/>
        <v>detailed</v>
      </c>
      <c r="M1406" s="117" t="str">
        <f t="shared" si="245"/>
        <v>detailed Mining</v>
      </c>
      <c r="N1406" s="179">
        <v>85</v>
      </c>
      <c r="O1406" s="179"/>
      <c r="P1406" s="179">
        <v>85</v>
      </c>
      <c r="Q1406" s="179"/>
      <c r="R1406" s="179"/>
      <c r="S1406" s="117" t="s">
        <v>610</v>
      </c>
      <c r="T1406" s="119"/>
      <c r="U1406" s="117"/>
      <c r="V1406" s="117" t="s">
        <v>1990</v>
      </c>
      <c r="W1406" s="89"/>
      <c r="X1406" s="117"/>
      <c r="Y1406" s="117"/>
      <c r="Z1406" s="117"/>
      <c r="AA1406" s="89"/>
      <c r="AB1406" s="89"/>
      <c r="AC1406" s="240"/>
      <c r="AD1406" s="240"/>
      <c r="AE1406" s="240"/>
      <c r="AF1406" s="241"/>
      <c r="AG1406" s="117"/>
      <c r="AH1406" s="124"/>
      <c r="AI1406" s="117"/>
      <c r="AJ1406" s="117"/>
      <c r="AK1406" s="89"/>
      <c r="AL1406" s="117"/>
      <c r="AM1406" s="117"/>
      <c r="AN1406" s="117"/>
      <c r="AO1406" s="117"/>
      <c r="AP1406" s="117"/>
      <c r="AQ1406" s="117"/>
      <c r="AR1406" s="117"/>
      <c r="AS1406" s="117"/>
      <c r="AT1406" s="117"/>
      <c r="AU1406" s="117" t="s">
        <v>1976</v>
      </c>
      <c r="AV1406" s="128" t="s">
        <v>1807</v>
      </c>
      <c r="AW1406" s="117">
        <f>VLOOKUP($D1406,'WB Data'!$C$3:$M$578,2,FALSE)</f>
        <v>411743801711.64203</v>
      </c>
      <c r="AX1406" s="117">
        <f>VLOOKUP($D1406,'WB Data'!$C$3:$M$578,3,FALSE)</f>
        <v>164192925</v>
      </c>
      <c r="AY1406" s="847">
        <f t="shared" si="237"/>
        <v>0.16664096859447627</v>
      </c>
      <c r="AZ1406" s="117">
        <f>VLOOKUP($D1406,'WB Data'!$C$3:$M$578,4,FALSE)/100</f>
        <v>5.5773232387429254E-2</v>
      </c>
      <c r="BA1406" s="117">
        <f t="shared" si="238"/>
        <v>22964282736.947002</v>
      </c>
      <c r="BB1406" s="129">
        <f>IFERROR(VLOOKUP($D1406,'EITI Revenues'!$C$2:$G$224,5,FALSE),"..")</f>
        <v>68613385930</v>
      </c>
      <c r="BC1406" s="846">
        <f t="shared" si="239"/>
        <v>2.9878305678412773</v>
      </c>
      <c r="BD1406" s="129">
        <f>VLOOKUP($D1406,'WB Data 2'!$C$2:$K$545,6,FALSE)</f>
        <v>101965507852.90999</v>
      </c>
      <c r="BE1406" s="129">
        <f>IFERROR(VLOOKUP($D1406,UNCTAD!$C$5:$V$529,4,FALSE),"..")</f>
        <v>99755753000</v>
      </c>
      <c r="BF1406" s="846">
        <f t="shared" si="240"/>
        <v>1.0221516532776811</v>
      </c>
      <c r="BG1406" s="117">
        <f>VLOOKUP($D1406,'WB Data'!$C$3:$M$578,5,FALSE)</f>
        <v>1768550000</v>
      </c>
      <c r="BH1406" s="129">
        <f>IFERROR($BB1406/$BG1406,"..")</f>
        <v>38.796407186678351</v>
      </c>
      <c r="BI1406" s="117" t="str">
        <f>IFERROR(VLOOKUP($D1406,'WB Data'!$C$3:$M$578,7,FALSE)/100,"..")</f>
        <v>..</v>
      </c>
      <c r="BJ1406" s="117" t="str">
        <f>IFERROR($BI1406*$AW1406,"..")</f>
        <v>..</v>
      </c>
      <c r="BK1406" s="846" t="str">
        <f>IFERROR($BB1406/$BJ1406,"..")</f>
        <v>..</v>
      </c>
      <c r="BL1406" s="117" t="str">
        <f>IFERROR(VLOOKUP($D1406,'WB Data'!$C$3:$M$578,7,FALSE)/100,"..")</f>
        <v>..</v>
      </c>
      <c r="BM1406" s="117" t="str">
        <f>IFERROR($AW1406*$BL1406,"..")</f>
        <v>..</v>
      </c>
      <c r="BN1406" s="846" t="str">
        <f>IFERROR($BB1406/$BM1406,"..")</f>
        <v>..</v>
      </c>
      <c r="BO1406" s="801">
        <f t="shared" si="236"/>
        <v>27</v>
      </c>
      <c r="BP1406" s="117" t="str">
        <f>VLOOKUP($D1406,'WB Data'!$C$3:$M$578,9,FALSE)</f>
        <v>..</v>
      </c>
      <c r="BQ1406" s="117">
        <f>VLOOKUP($D1406,'WB Data'!$C$3:$M$578,10,FALSE)</f>
        <v>51.710243902439032</v>
      </c>
      <c r="BR1406" s="117">
        <f>VLOOKUP($D1406,'WB Data'!$C$3:$M$578,11,FALSE)</f>
        <v>79.2</v>
      </c>
      <c r="BS1406" s="129" t="str">
        <f>IFERROR(VLOOKUP($D1406,'WB Data 2'!$C$2:$K$545,9,FALSE),"..")</f>
        <v>..</v>
      </c>
      <c r="BT1406" s="129">
        <f>_xlfn.IFNA(VLOOKUP($C1406,RGI!$A$2:$C$43,2,FALSE),"..")</f>
        <v>46.5</v>
      </c>
      <c r="BU1406" s="129">
        <f>_xlfn.IFNA(VLOOKUP($C1406,RGI!$A$2:$C$43,3,FALSE),"..")</f>
        <v>42.488706175328218</v>
      </c>
      <c r="BV1406" s="129">
        <f>VLOOKUP($D1406,WGI!$C$2:$O$478,7,FALSE)</f>
        <v>-0.73672391613667498</v>
      </c>
      <c r="BW1406" s="129">
        <f>VLOOKUP($D1406,WGI!$C$2:$O$478,4,FALSE)</f>
        <v>-1.9462524352720001</v>
      </c>
      <c r="BX1406" s="129">
        <f>VLOOKUP($D1406,WGI!$C$2:$O$478,3,FALSE)</f>
        <v>-1.08047539707395</v>
      </c>
      <c r="BY1406" s="129">
        <f>VLOOKUP($D1406,WGI!$C$2:$O$478,5,FALSE)</f>
        <v>-0.66940161273980003</v>
      </c>
      <c r="BZ1406" s="129">
        <f>VLOOKUP($D1406,WGI!$C$2:$O$478,2,FALSE)</f>
        <v>-1.12338313325942</v>
      </c>
      <c r="CB1406" s="129"/>
    </row>
    <row r="1407" spans="1:80" s="158" customFormat="1" ht="15" customHeight="1">
      <c r="A1407" s="295" t="s">
        <v>430</v>
      </c>
      <c r="B1407" s="218">
        <v>2011</v>
      </c>
      <c r="C1407" s="809" t="s">
        <v>413</v>
      </c>
      <c r="D1407" s="117" t="s">
        <v>3710</v>
      </c>
      <c r="E1407" s="453" t="s">
        <v>86</v>
      </c>
      <c r="F1407" s="149"/>
      <c r="G1407" s="149" t="s">
        <v>24</v>
      </c>
      <c r="H1407" s="149" t="str">
        <f t="shared" si="241"/>
        <v>yes</v>
      </c>
      <c r="I1407" s="149" t="str">
        <f t="shared" si="243"/>
        <v>no</v>
      </c>
      <c r="J1407" s="149" t="str">
        <f t="shared" si="244"/>
        <v>no</v>
      </c>
      <c r="K1407" s="149" t="s">
        <v>1999</v>
      </c>
      <c r="L1407" s="149" t="str">
        <f t="shared" si="242"/>
        <v>detailed</v>
      </c>
      <c r="M1407" s="149" t="str">
        <f t="shared" si="245"/>
        <v>detailed Mining</v>
      </c>
      <c r="N1407" s="216"/>
      <c r="O1407" s="216"/>
      <c r="P1407" s="216"/>
      <c r="Q1407" s="216"/>
      <c r="R1407" s="216"/>
      <c r="S1407" s="149"/>
      <c r="T1407" s="151">
        <v>175.37268430195519</v>
      </c>
      <c r="U1407" s="149" t="s">
        <v>611</v>
      </c>
      <c r="V1407" s="149" t="s">
        <v>1978</v>
      </c>
      <c r="W1407" s="152"/>
      <c r="X1407" s="149"/>
      <c r="Y1407" s="149"/>
      <c r="Z1407" s="149"/>
      <c r="AA1407" s="152"/>
      <c r="AB1407" s="152"/>
      <c r="AC1407" s="288"/>
      <c r="AD1407" s="288"/>
      <c r="AE1407" s="288"/>
      <c r="AF1407" s="285"/>
      <c r="AG1407" s="149"/>
      <c r="AH1407" s="156"/>
      <c r="AI1407" s="149"/>
      <c r="AJ1407" s="149"/>
      <c r="AK1407" s="152"/>
      <c r="AL1407" s="149"/>
      <c r="AM1407" s="149"/>
      <c r="AN1407" s="149"/>
      <c r="AO1407" s="149"/>
      <c r="AP1407" s="149"/>
      <c r="AQ1407" s="149"/>
      <c r="AR1407" s="149"/>
      <c r="AS1407" s="149"/>
      <c r="AT1407" s="149"/>
      <c r="AU1407" s="149" t="s">
        <v>1979</v>
      </c>
      <c r="AV1407" s="157" t="s">
        <v>1980</v>
      </c>
      <c r="AW1407" s="117">
        <f>VLOOKUP($D1407,'WB Data'!$C$3:$M$578,2,FALSE)</f>
        <v>411743801711.64203</v>
      </c>
      <c r="AX1407" s="117">
        <f>VLOOKUP($D1407,'WB Data'!$C$3:$M$578,3,FALSE)</f>
        <v>164192925</v>
      </c>
      <c r="AY1407" s="847">
        <f t="shared" si="237"/>
        <v>0.16664096859447627</v>
      </c>
      <c r="AZ1407" s="117">
        <f>VLOOKUP($D1407,'WB Data'!$C$3:$M$578,4,FALSE)/100</f>
        <v>5.5773232387429254E-2</v>
      </c>
      <c r="BA1407" s="117">
        <f t="shared" si="238"/>
        <v>22964282736.947002</v>
      </c>
      <c r="BB1407" s="129">
        <f>IFERROR(VLOOKUP($D1407,'EITI Revenues'!$C$2:$G$224,5,FALSE),"..")</f>
        <v>68613385930</v>
      </c>
      <c r="BC1407" s="846">
        <f t="shared" si="239"/>
        <v>2.9878305678412773</v>
      </c>
      <c r="BD1407" s="129">
        <f>VLOOKUP($D1407,'WB Data 2'!$C$2:$K$545,6,FALSE)</f>
        <v>101965507852.90999</v>
      </c>
      <c r="BE1407" s="129">
        <f>IFERROR(VLOOKUP($D1407,UNCTAD!$C$5:$V$529,4,FALSE),"..")</f>
        <v>99755753000</v>
      </c>
      <c r="BF1407" s="846">
        <f t="shared" si="240"/>
        <v>1.0221516532776811</v>
      </c>
      <c r="BG1407" s="117">
        <f>VLOOKUP($D1407,'WB Data'!$C$3:$M$578,5,FALSE)</f>
        <v>1768550000</v>
      </c>
      <c r="BH1407" s="129">
        <f>IFERROR($BB1407/$BG1407,"..")</f>
        <v>38.796407186678351</v>
      </c>
      <c r="BI1407" s="117" t="str">
        <f>IFERROR(VLOOKUP($D1407,'WB Data'!$C$3:$M$578,7,FALSE)/100,"..")</f>
        <v>..</v>
      </c>
      <c r="BJ1407" s="117" t="str">
        <f>IFERROR($BI1407*$AW1407,"..")</f>
        <v>..</v>
      </c>
      <c r="BK1407" s="846" t="str">
        <f>IFERROR($BB1407/$BJ1407,"..")</f>
        <v>..</v>
      </c>
      <c r="BL1407" s="117" t="str">
        <f>IFERROR(VLOOKUP($D1407,'WB Data'!$C$3:$M$578,7,FALSE)/100,"..")</f>
        <v>..</v>
      </c>
      <c r="BM1407" s="117" t="str">
        <f>IFERROR($AW1407*$BL1407,"..")</f>
        <v>..</v>
      </c>
      <c r="BN1407" s="846" t="str">
        <f>IFERROR($BB1407/$BM1407,"..")</f>
        <v>..</v>
      </c>
      <c r="BO1407" s="801">
        <f t="shared" si="236"/>
        <v>27</v>
      </c>
      <c r="BP1407" s="117" t="str">
        <f>VLOOKUP($D1407,'WB Data'!$C$3:$M$578,9,FALSE)</f>
        <v>..</v>
      </c>
      <c r="BQ1407" s="117">
        <f>VLOOKUP($D1407,'WB Data'!$C$3:$M$578,10,FALSE)</f>
        <v>51.710243902439032</v>
      </c>
      <c r="BR1407" s="117">
        <f>VLOOKUP($D1407,'WB Data'!$C$3:$M$578,11,FALSE)</f>
        <v>79.2</v>
      </c>
      <c r="BS1407" s="129" t="str">
        <f>IFERROR(VLOOKUP($D1407,'WB Data 2'!$C$2:$K$545,9,FALSE),"..")</f>
        <v>..</v>
      </c>
      <c r="BT1407" s="129">
        <f>_xlfn.IFNA(VLOOKUP($C1407,RGI!$A$2:$C$43,2,FALSE),"..")</f>
        <v>46.5</v>
      </c>
      <c r="BU1407" s="129">
        <f>_xlfn.IFNA(VLOOKUP($C1407,RGI!$A$2:$C$43,3,FALSE),"..")</f>
        <v>42.488706175328218</v>
      </c>
      <c r="BV1407" s="129">
        <f>VLOOKUP($D1407,WGI!$C$2:$O$478,7,FALSE)</f>
        <v>-0.73672391613667498</v>
      </c>
      <c r="BW1407" s="129">
        <f>VLOOKUP($D1407,WGI!$C$2:$O$478,4,FALSE)</f>
        <v>-1.9462524352720001</v>
      </c>
      <c r="BX1407" s="129">
        <f>VLOOKUP($D1407,WGI!$C$2:$O$478,3,FALSE)</f>
        <v>-1.08047539707395</v>
      </c>
      <c r="BY1407" s="129">
        <f>VLOOKUP($D1407,WGI!$C$2:$O$478,5,FALSE)</f>
        <v>-0.66940161273980003</v>
      </c>
      <c r="BZ1407" s="129">
        <f>VLOOKUP($D1407,WGI!$C$2:$O$478,2,FALSE)</f>
        <v>-1.12338313325942</v>
      </c>
      <c r="CB1407" s="129"/>
    </row>
    <row r="1408" spans="1:80" ht="15" customHeight="1">
      <c r="A1408" s="289" t="s">
        <v>433</v>
      </c>
      <c r="B1408" s="146">
        <v>2012</v>
      </c>
      <c r="C1408" s="809" t="s">
        <v>413</v>
      </c>
      <c r="D1408" s="117" t="s">
        <v>3744</v>
      </c>
      <c r="E1408" s="146" t="s">
        <v>86</v>
      </c>
      <c r="F1408" s="146" t="s">
        <v>1936</v>
      </c>
      <c r="G1408" s="146" t="s">
        <v>24</v>
      </c>
      <c r="H1408" s="146"/>
      <c r="I1408" s="146"/>
      <c r="J1408" s="146"/>
      <c r="K1408" s="146" t="s">
        <v>709</v>
      </c>
      <c r="L1408" s="146"/>
      <c r="M1408" s="146"/>
      <c r="N1408" s="754"/>
      <c r="O1408" s="754"/>
      <c r="P1408" s="754"/>
      <c r="Q1408" s="146"/>
      <c r="R1408" s="754"/>
      <c r="S1408" s="146"/>
      <c r="T1408" s="119"/>
      <c r="U1408" s="146"/>
      <c r="V1408" s="146" t="s">
        <v>963</v>
      </c>
      <c r="W1408" s="303"/>
      <c r="X1408" s="146" t="s">
        <v>2000</v>
      </c>
      <c r="Y1408" s="146" t="s">
        <v>602</v>
      </c>
      <c r="Z1408" s="146" t="s">
        <v>664</v>
      </c>
      <c r="AA1408" s="760">
        <v>177501338.81</v>
      </c>
      <c r="AB1408" s="760">
        <v>164593480.06999999</v>
      </c>
      <c r="AC1408" s="756"/>
      <c r="AD1408" s="760">
        <v>185071166.36000001</v>
      </c>
      <c r="AE1408" s="756"/>
      <c r="AF1408" s="758"/>
      <c r="AG1408" s="146" t="s">
        <v>2001</v>
      </c>
      <c r="AH1408" s="792">
        <v>155.27000000000001</v>
      </c>
      <c r="AI1408" s="146" t="s">
        <v>722</v>
      </c>
      <c r="AJ1408" s="146"/>
      <c r="AK1408" s="760"/>
      <c r="AL1408" s="146"/>
      <c r="AM1408" s="146"/>
      <c r="AN1408" s="146">
        <v>65</v>
      </c>
      <c r="AO1408" s="146" t="s">
        <v>2002</v>
      </c>
      <c r="AP1408" s="146">
        <v>58</v>
      </c>
      <c r="AQ1408" s="239" t="s">
        <v>50</v>
      </c>
      <c r="AR1408" s="146"/>
      <c r="AS1408" s="146" t="s">
        <v>607</v>
      </c>
      <c r="AT1408" s="146" t="s">
        <v>434</v>
      </c>
      <c r="AU1408" s="146"/>
      <c r="AV1408" s="128"/>
      <c r="AW1408" s="117">
        <f>VLOOKUP($D1408,'WB Data'!$C$3:$M$578,2,FALSE)</f>
        <v>462979245902.41315</v>
      </c>
      <c r="AX1408" s="117">
        <f>VLOOKUP($D1408,'WB Data'!$C$3:$M$578,3,FALSE)</f>
        <v>168833776</v>
      </c>
      <c r="AY1408" s="847">
        <f t="shared" si="237"/>
        <v>3.8338940758353944E-4</v>
      </c>
      <c r="AZ1408" s="117">
        <f>VLOOKUP($D1408,'WB Data'!$C$3:$M$578,4,FALSE)/100</f>
        <v>4.9996122569770672E-2</v>
      </c>
      <c r="BA1408" s="117">
        <f t="shared" si="238"/>
        <v>23147167125.397045</v>
      </c>
      <c r="BB1408" s="129">
        <f>IFERROR(VLOOKUP($D1408,'EITI Revenues'!$C$2:$G$224,5,FALSE),"..")</f>
        <v>177501338.81</v>
      </c>
      <c r="BC1408" s="846">
        <f t="shared" si="239"/>
        <v>7.6683828240582293E-3</v>
      </c>
      <c r="BD1408" s="129">
        <f>VLOOKUP($D1408,'WB Data 2'!$C$2:$K$545,6,FALSE)</f>
        <v>97143314565.458511</v>
      </c>
      <c r="BE1408" s="129">
        <f>IFERROR(VLOOKUP($D1408,UNCTAD!$C$5:$V$529,4,FALSE),"..")</f>
        <v>98087457000</v>
      </c>
      <c r="BF1408" s="846">
        <f t="shared" si="240"/>
        <v>0.99037448351279522</v>
      </c>
      <c r="BG1408" s="117">
        <f>VLOOKUP($D1408,'WB Data'!$C$3:$M$578,5,FALSE)</f>
        <v>1915820000</v>
      </c>
      <c r="BH1408" s="129">
        <f>IFERROR($BB1408/$BG1408,"..")</f>
        <v>9.2650321434163962E-2</v>
      </c>
      <c r="BI1408" s="117" t="str">
        <f>IFERROR(VLOOKUP($D1408,'WB Data'!$C$3:$M$578,7,FALSE)/100,"..")</f>
        <v>..</v>
      </c>
      <c r="BJ1408" s="117" t="str">
        <f>IFERROR($BI1408*$AW1408,"..")</f>
        <v>..</v>
      </c>
      <c r="BK1408" s="846" t="str">
        <f>IFERROR($BB1408/$BJ1408,"..")</f>
        <v>..</v>
      </c>
      <c r="BL1408" s="117" t="str">
        <f>IFERROR(VLOOKUP($D1408,'WB Data'!$C$3:$M$578,7,FALSE)/100,"..")</f>
        <v>..</v>
      </c>
      <c r="BM1408" s="117" t="str">
        <f>IFERROR($AW1408*$BL1408,"..")</f>
        <v>..</v>
      </c>
      <c r="BN1408" s="846" t="str">
        <f>IFERROR($BB1408/$BM1408,"..")</f>
        <v>..</v>
      </c>
      <c r="BO1408" s="801">
        <f t="shared" si="236"/>
        <v>27</v>
      </c>
      <c r="BP1408" s="117" t="str">
        <f>VLOOKUP($D1408,'WB Data'!$C$3:$M$578,9,FALSE)</f>
        <v>..</v>
      </c>
      <c r="BQ1408" s="117">
        <f>VLOOKUP($D1408,'WB Data'!$C$3:$M$578,10,FALSE)</f>
        <v>52.10902439024391</v>
      </c>
      <c r="BR1408" s="117">
        <f>VLOOKUP($D1408,'WB Data'!$C$3:$M$578,11,FALSE)</f>
        <v>76.599999999999994</v>
      </c>
      <c r="BS1408" s="129" t="str">
        <f>IFERROR(VLOOKUP($D1408,'WB Data 2'!$C$2:$K$545,9,FALSE),"..")</f>
        <v>..</v>
      </c>
      <c r="BT1408" s="129">
        <f>_xlfn.IFNA(VLOOKUP($C1408,RGI!$A$2:$C$43,2,FALSE),"..")</f>
        <v>46.5</v>
      </c>
      <c r="BU1408" s="129">
        <f>_xlfn.IFNA(VLOOKUP($C1408,RGI!$A$2:$C$43,3,FALSE),"..")</f>
        <v>42.488706175328218</v>
      </c>
      <c r="BV1408" s="129">
        <f>VLOOKUP($D1408,WGI!$C$2:$O$478,7,FALSE)</f>
        <v>-0.72749646576441196</v>
      </c>
      <c r="BW1408" s="129">
        <f>VLOOKUP($D1408,WGI!$C$2:$O$478,4,FALSE)</f>
        <v>-2.05327401816449</v>
      </c>
      <c r="BX1408" s="129">
        <f>VLOOKUP($D1408,WGI!$C$2:$O$478,3,FALSE)</f>
        <v>-0.99778014629661604</v>
      </c>
      <c r="BY1408" s="129">
        <f>VLOOKUP($D1408,WGI!$C$2:$O$478,5,FALSE)</f>
        <v>-0.72247740244145298</v>
      </c>
      <c r="BZ1408" s="129">
        <f>VLOOKUP($D1408,WGI!$C$2:$O$478,2,FALSE)</f>
        <v>-1.1327559316657301</v>
      </c>
    </row>
    <row r="1409" spans="1:80" ht="15" customHeight="1">
      <c r="A1409" s="289" t="s">
        <v>433</v>
      </c>
      <c r="B1409" s="146">
        <v>2012</v>
      </c>
      <c r="C1409" s="809" t="s">
        <v>413</v>
      </c>
      <c r="D1409" s="117" t="s">
        <v>3744</v>
      </c>
      <c r="E1409" s="146" t="s">
        <v>86</v>
      </c>
      <c r="F1409" s="146"/>
      <c r="G1409" s="146" t="s">
        <v>24</v>
      </c>
      <c r="H1409" s="146"/>
      <c r="I1409" s="146"/>
      <c r="J1409" s="146"/>
      <c r="K1409" s="146" t="s">
        <v>703</v>
      </c>
      <c r="L1409" s="146"/>
      <c r="M1409" s="146"/>
      <c r="N1409" s="754"/>
      <c r="O1409" s="754"/>
      <c r="P1409" s="754"/>
      <c r="Q1409" s="754">
        <v>18109880</v>
      </c>
      <c r="R1409" s="754"/>
      <c r="S1409" s="146" t="s">
        <v>610</v>
      </c>
      <c r="T1409" s="119"/>
      <c r="U1409" s="146"/>
      <c r="V1409" s="146"/>
      <c r="W1409" s="146"/>
      <c r="X1409" s="146"/>
      <c r="Y1409" s="146"/>
      <c r="Z1409" s="146"/>
      <c r="AA1409" s="146"/>
      <c r="AB1409" s="146"/>
      <c r="AC1409" s="756"/>
      <c r="AD1409" s="756"/>
      <c r="AE1409" s="756"/>
      <c r="AF1409" s="758"/>
      <c r="AG1409" s="146"/>
      <c r="AH1409" s="759"/>
      <c r="AI1409" s="146"/>
      <c r="AJ1409" s="146"/>
      <c r="AK1409" s="760"/>
      <c r="AL1409" s="146"/>
      <c r="AM1409" s="146"/>
      <c r="AN1409" s="146"/>
      <c r="AO1409" s="146"/>
      <c r="AP1409" s="146"/>
      <c r="AQ1409" s="146"/>
      <c r="AR1409" s="146"/>
      <c r="AS1409" s="146"/>
      <c r="AT1409" s="146"/>
      <c r="AU1409" s="146"/>
      <c r="AV1409" s="128"/>
      <c r="AW1409" s="117">
        <f>VLOOKUP($D1409,'WB Data'!$C$3:$M$578,2,FALSE)</f>
        <v>462979245902.41315</v>
      </c>
      <c r="AX1409" s="117">
        <f>VLOOKUP($D1409,'WB Data'!$C$3:$M$578,3,FALSE)</f>
        <v>168833776</v>
      </c>
      <c r="AY1409" s="847">
        <f t="shared" si="237"/>
        <v>3.8338940758353944E-4</v>
      </c>
      <c r="AZ1409" s="117">
        <f>VLOOKUP($D1409,'WB Data'!$C$3:$M$578,4,FALSE)/100</f>
        <v>4.9996122569770672E-2</v>
      </c>
      <c r="BA1409" s="117">
        <f t="shared" si="238"/>
        <v>23147167125.397045</v>
      </c>
      <c r="BB1409" s="129">
        <f>IFERROR(VLOOKUP($D1409,'EITI Revenues'!$C$2:$G$224,5,FALSE),"..")</f>
        <v>177501338.81</v>
      </c>
      <c r="BC1409" s="846">
        <f t="shared" si="239"/>
        <v>7.6683828240582293E-3</v>
      </c>
      <c r="BD1409" s="129">
        <f>VLOOKUP($D1409,'WB Data 2'!$C$2:$K$545,6,FALSE)</f>
        <v>97143314565.458511</v>
      </c>
      <c r="BE1409" s="129">
        <f>IFERROR(VLOOKUP($D1409,UNCTAD!$C$5:$V$529,4,FALSE),"..")</f>
        <v>98087457000</v>
      </c>
      <c r="BF1409" s="846">
        <f t="shared" si="240"/>
        <v>0.99037448351279522</v>
      </c>
      <c r="BG1409" s="117">
        <f>VLOOKUP($D1409,'WB Data'!$C$3:$M$578,5,FALSE)</f>
        <v>1915820000</v>
      </c>
      <c r="BH1409" s="129">
        <f>IFERROR($BB1409/$BG1409,"..")</f>
        <v>9.2650321434163962E-2</v>
      </c>
      <c r="BI1409" s="117" t="str">
        <f>IFERROR(VLOOKUP($D1409,'WB Data'!$C$3:$M$578,7,FALSE)/100,"..")</f>
        <v>..</v>
      </c>
      <c r="BJ1409" s="117" t="str">
        <f>IFERROR($BI1409*$AW1409,"..")</f>
        <v>..</v>
      </c>
      <c r="BK1409" s="846" t="str">
        <f>IFERROR($BB1409/$BJ1409,"..")</f>
        <v>..</v>
      </c>
      <c r="BL1409" s="117" t="str">
        <f>IFERROR(VLOOKUP($D1409,'WB Data'!$C$3:$M$578,7,FALSE)/100,"..")</f>
        <v>..</v>
      </c>
      <c r="BM1409" s="117" t="str">
        <f>IFERROR($AW1409*$BL1409,"..")</f>
        <v>..</v>
      </c>
      <c r="BN1409" s="846" t="str">
        <f>IFERROR($BB1409/$BM1409,"..")</f>
        <v>..</v>
      </c>
      <c r="BO1409" s="801">
        <f t="shared" si="236"/>
        <v>27</v>
      </c>
      <c r="BP1409" s="117" t="str">
        <f>VLOOKUP($D1409,'WB Data'!$C$3:$M$578,9,FALSE)</f>
        <v>..</v>
      </c>
      <c r="BQ1409" s="117">
        <f>VLOOKUP($D1409,'WB Data'!$C$3:$M$578,10,FALSE)</f>
        <v>52.10902439024391</v>
      </c>
      <c r="BR1409" s="117">
        <f>VLOOKUP($D1409,'WB Data'!$C$3:$M$578,11,FALSE)</f>
        <v>76.599999999999994</v>
      </c>
      <c r="BS1409" s="129" t="str">
        <f>IFERROR(VLOOKUP($D1409,'WB Data 2'!$C$2:$K$545,9,FALSE),"..")</f>
        <v>..</v>
      </c>
      <c r="BT1409" s="129">
        <f>_xlfn.IFNA(VLOOKUP($C1409,RGI!$A$2:$C$43,2,FALSE),"..")</f>
        <v>46.5</v>
      </c>
      <c r="BU1409" s="129">
        <f>_xlfn.IFNA(VLOOKUP($C1409,RGI!$A$2:$C$43,3,FALSE),"..")</f>
        <v>42.488706175328218</v>
      </c>
      <c r="BV1409" s="129">
        <f>VLOOKUP($D1409,WGI!$C$2:$O$478,7,FALSE)</f>
        <v>-0.72749646576441196</v>
      </c>
      <c r="BW1409" s="129">
        <f>VLOOKUP($D1409,WGI!$C$2:$O$478,4,FALSE)</f>
        <v>-2.05327401816449</v>
      </c>
      <c r="BX1409" s="129">
        <f>VLOOKUP($D1409,WGI!$C$2:$O$478,3,FALSE)</f>
        <v>-0.99778014629661604</v>
      </c>
      <c r="BY1409" s="129">
        <f>VLOOKUP($D1409,WGI!$C$2:$O$478,5,FALSE)</f>
        <v>-0.72247740244145298</v>
      </c>
      <c r="BZ1409" s="129">
        <f>VLOOKUP($D1409,WGI!$C$2:$O$478,2,FALSE)</f>
        <v>-1.1327559316657301</v>
      </c>
    </row>
    <row r="1410" spans="1:80" ht="15" customHeight="1">
      <c r="A1410" s="289" t="s">
        <v>433</v>
      </c>
      <c r="B1410" s="146">
        <v>2012</v>
      </c>
      <c r="C1410" s="809" t="s">
        <v>413</v>
      </c>
      <c r="D1410" s="117" t="s">
        <v>3744</v>
      </c>
      <c r="E1410" s="146" t="s">
        <v>86</v>
      </c>
      <c r="F1410" s="146"/>
      <c r="G1410" s="146" t="s">
        <v>24</v>
      </c>
      <c r="H1410" s="146"/>
      <c r="I1410" s="146"/>
      <c r="J1410" s="146"/>
      <c r="K1410" s="146" t="s">
        <v>955</v>
      </c>
      <c r="L1410" s="146"/>
      <c r="M1410" s="146"/>
      <c r="N1410" s="754"/>
      <c r="O1410" s="754"/>
      <c r="P1410" s="754"/>
      <c r="Q1410" s="754">
        <v>11959014</v>
      </c>
      <c r="R1410" s="754"/>
      <c r="S1410" s="146" t="s">
        <v>610</v>
      </c>
      <c r="T1410" s="119"/>
      <c r="U1410" s="146"/>
      <c r="V1410" s="146"/>
      <c r="W1410" s="146"/>
      <c r="X1410" s="146"/>
      <c r="Y1410" s="146"/>
      <c r="Z1410" s="146"/>
      <c r="AA1410" s="146"/>
      <c r="AB1410" s="146"/>
      <c r="AC1410" s="756"/>
      <c r="AD1410" s="756"/>
      <c r="AE1410" s="756"/>
      <c r="AF1410" s="758"/>
      <c r="AG1410" s="146"/>
      <c r="AH1410" s="759"/>
      <c r="AI1410" s="146"/>
      <c r="AJ1410" s="146"/>
      <c r="AK1410" s="760"/>
      <c r="AL1410" s="146"/>
      <c r="AM1410" s="146"/>
      <c r="AN1410" s="146"/>
      <c r="AO1410" s="146"/>
      <c r="AP1410" s="146"/>
      <c r="AQ1410" s="146"/>
      <c r="AR1410" s="146"/>
      <c r="AS1410" s="146"/>
      <c r="AT1410" s="146"/>
      <c r="AU1410" s="146"/>
      <c r="AV1410" s="128"/>
      <c r="AW1410" s="117">
        <f>VLOOKUP($D1410,'WB Data'!$C$3:$M$578,2,FALSE)</f>
        <v>462979245902.41315</v>
      </c>
      <c r="AX1410" s="117">
        <f>VLOOKUP($D1410,'WB Data'!$C$3:$M$578,3,FALSE)</f>
        <v>168833776</v>
      </c>
      <c r="AY1410" s="847">
        <f t="shared" si="237"/>
        <v>3.8338940758353944E-4</v>
      </c>
      <c r="AZ1410" s="117">
        <f>VLOOKUP($D1410,'WB Data'!$C$3:$M$578,4,FALSE)/100</f>
        <v>4.9996122569770672E-2</v>
      </c>
      <c r="BA1410" s="117">
        <f t="shared" si="238"/>
        <v>23147167125.397045</v>
      </c>
      <c r="BB1410" s="129">
        <f>IFERROR(VLOOKUP($D1410,'EITI Revenues'!$C$2:$G$224,5,FALSE),"..")</f>
        <v>177501338.81</v>
      </c>
      <c r="BC1410" s="846">
        <f t="shared" si="239"/>
        <v>7.6683828240582293E-3</v>
      </c>
      <c r="BD1410" s="129">
        <f>VLOOKUP($D1410,'WB Data 2'!$C$2:$K$545,6,FALSE)</f>
        <v>97143314565.458511</v>
      </c>
      <c r="BE1410" s="129">
        <f>IFERROR(VLOOKUP($D1410,UNCTAD!$C$5:$V$529,4,FALSE),"..")</f>
        <v>98087457000</v>
      </c>
      <c r="BF1410" s="846">
        <f t="shared" si="240"/>
        <v>0.99037448351279522</v>
      </c>
      <c r="BG1410" s="117">
        <f>VLOOKUP($D1410,'WB Data'!$C$3:$M$578,5,FALSE)</f>
        <v>1915820000</v>
      </c>
      <c r="BH1410" s="129">
        <f>IFERROR($BB1410/$BG1410,"..")</f>
        <v>9.2650321434163962E-2</v>
      </c>
      <c r="BI1410" s="117" t="str">
        <f>IFERROR(VLOOKUP($D1410,'WB Data'!$C$3:$M$578,7,FALSE)/100,"..")</f>
        <v>..</v>
      </c>
      <c r="BJ1410" s="117" t="str">
        <f>IFERROR($BI1410*$AW1410,"..")</f>
        <v>..</v>
      </c>
      <c r="BK1410" s="846" t="str">
        <f>IFERROR($BB1410/$BJ1410,"..")</f>
        <v>..</v>
      </c>
      <c r="BL1410" s="117" t="str">
        <f>IFERROR(VLOOKUP($D1410,'WB Data'!$C$3:$M$578,7,FALSE)/100,"..")</f>
        <v>..</v>
      </c>
      <c r="BM1410" s="117" t="str">
        <f>IFERROR($AW1410*$BL1410,"..")</f>
        <v>..</v>
      </c>
      <c r="BN1410" s="846" t="str">
        <f>IFERROR($BB1410/$BM1410,"..")</f>
        <v>..</v>
      </c>
      <c r="BO1410" s="801">
        <f t="shared" ref="BO1410:BO1473" si="246">_xlfn.IFNA(VLOOKUP($C1410,CPI_2013,2,FALSE),"..")</f>
        <v>27</v>
      </c>
      <c r="BP1410" s="117" t="str">
        <f>VLOOKUP($D1410,'WB Data'!$C$3:$M$578,9,FALSE)</f>
        <v>..</v>
      </c>
      <c r="BQ1410" s="117">
        <f>VLOOKUP($D1410,'WB Data'!$C$3:$M$578,10,FALSE)</f>
        <v>52.10902439024391</v>
      </c>
      <c r="BR1410" s="117">
        <f>VLOOKUP($D1410,'WB Data'!$C$3:$M$578,11,FALSE)</f>
        <v>76.599999999999994</v>
      </c>
      <c r="BS1410" s="129" t="str">
        <f>IFERROR(VLOOKUP($D1410,'WB Data 2'!$C$2:$K$545,9,FALSE),"..")</f>
        <v>..</v>
      </c>
      <c r="BT1410" s="129">
        <f>_xlfn.IFNA(VLOOKUP($C1410,RGI!$A$2:$C$43,2,FALSE),"..")</f>
        <v>46.5</v>
      </c>
      <c r="BU1410" s="129">
        <f>_xlfn.IFNA(VLOOKUP($C1410,RGI!$A$2:$C$43,3,FALSE),"..")</f>
        <v>42.488706175328218</v>
      </c>
      <c r="BV1410" s="129">
        <f>VLOOKUP($D1410,WGI!$C$2:$O$478,7,FALSE)</f>
        <v>-0.72749646576441196</v>
      </c>
      <c r="BW1410" s="129">
        <f>VLOOKUP($D1410,WGI!$C$2:$O$478,4,FALSE)</f>
        <v>-2.05327401816449</v>
      </c>
      <c r="BX1410" s="129">
        <f>VLOOKUP($D1410,WGI!$C$2:$O$478,3,FALSE)</f>
        <v>-0.99778014629661604</v>
      </c>
      <c r="BY1410" s="129">
        <f>VLOOKUP($D1410,WGI!$C$2:$O$478,5,FALSE)</f>
        <v>-0.72247740244145298</v>
      </c>
      <c r="BZ1410" s="129">
        <f>VLOOKUP($D1410,WGI!$C$2:$O$478,2,FALSE)</f>
        <v>-1.1327559316657301</v>
      </c>
    </row>
    <row r="1411" spans="1:80" ht="15" customHeight="1">
      <c r="A1411" s="289" t="s">
        <v>433</v>
      </c>
      <c r="B1411" s="146">
        <v>2012</v>
      </c>
      <c r="C1411" s="809" t="s">
        <v>413</v>
      </c>
      <c r="D1411" s="117" t="s">
        <v>3744</v>
      </c>
      <c r="E1411" s="146" t="s">
        <v>86</v>
      </c>
      <c r="F1411" s="146"/>
      <c r="G1411" s="146" t="s">
        <v>24</v>
      </c>
      <c r="H1411" s="146"/>
      <c r="I1411" s="146"/>
      <c r="J1411" s="146"/>
      <c r="K1411" s="146" t="s">
        <v>1984</v>
      </c>
      <c r="L1411" s="146"/>
      <c r="M1411" s="146"/>
      <c r="N1411" s="754"/>
      <c r="O1411" s="754"/>
      <c r="P1411" s="754"/>
      <c r="Q1411" s="754">
        <v>3661332</v>
      </c>
      <c r="R1411" s="754"/>
      <c r="S1411" s="146" t="s">
        <v>610</v>
      </c>
      <c r="T1411" s="119"/>
      <c r="U1411" s="146"/>
      <c r="V1411" s="146"/>
      <c r="W1411" s="146"/>
      <c r="X1411" s="146"/>
      <c r="Y1411" s="146"/>
      <c r="Z1411" s="146"/>
      <c r="AA1411" s="146"/>
      <c r="AB1411" s="146"/>
      <c r="AC1411" s="756"/>
      <c r="AD1411" s="756"/>
      <c r="AE1411" s="756"/>
      <c r="AF1411" s="758"/>
      <c r="AG1411" s="146"/>
      <c r="AH1411" s="759"/>
      <c r="AI1411" s="146"/>
      <c r="AJ1411" s="146"/>
      <c r="AK1411" s="760"/>
      <c r="AL1411" s="146"/>
      <c r="AM1411" s="146"/>
      <c r="AN1411" s="146"/>
      <c r="AO1411" s="146"/>
      <c r="AP1411" s="146"/>
      <c r="AQ1411" s="146"/>
      <c r="AR1411" s="146"/>
      <c r="AS1411" s="146"/>
      <c r="AT1411" s="146"/>
      <c r="AU1411" s="146"/>
      <c r="AV1411" s="128"/>
      <c r="AW1411" s="117">
        <f>VLOOKUP($D1411,'WB Data'!$C$3:$M$578,2,FALSE)</f>
        <v>462979245902.41315</v>
      </c>
      <c r="AX1411" s="117">
        <f>VLOOKUP($D1411,'WB Data'!$C$3:$M$578,3,FALSE)</f>
        <v>168833776</v>
      </c>
      <c r="AY1411" s="847">
        <f t="shared" ref="AY1411:AY1474" si="247">IFERROR($BB1411/$AW1411,"..")</f>
        <v>3.8338940758353944E-4</v>
      </c>
      <c r="AZ1411" s="117">
        <f>VLOOKUP($D1411,'WB Data'!$C$3:$M$578,4,FALSE)/100</f>
        <v>4.9996122569770672E-2</v>
      </c>
      <c r="BA1411" s="117">
        <f t="shared" ref="BA1411:BA1474" si="248">IFERROR($AW1411*$AZ1411,"..")</f>
        <v>23147167125.397045</v>
      </c>
      <c r="BB1411" s="129">
        <f>IFERROR(VLOOKUP($D1411,'EITI Revenues'!$C$2:$G$224,5,FALSE),"..")</f>
        <v>177501338.81</v>
      </c>
      <c r="BC1411" s="846">
        <f t="shared" ref="BC1411:BC1474" si="249">IFERROR($BB1411/$BA1411,"..")</f>
        <v>7.6683828240582293E-3</v>
      </c>
      <c r="BD1411" s="129">
        <f>VLOOKUP($D1411,'WB Data 2'!$C$2:$K$545,6,FALSE)</f>
        <v>97143314565.458511</v>
      </c>
      <c r="BE1411" s="129">
        <f>IFERROR(VLOOKUP($D1411,UNCTAD!$C$5:$V$529,4,FALSE),"..")</f>
        <v>98087457000</v>
      </c>
      <c r="BF1411" s="846">
        <f t="shared" ref="BF1411:BF1474" si="250">IFERROR(($BD1411/$BE1411),"..")</f>
        <v>0.99037448351279522</v>
      </c>
      <c r="BG1411" s="117">
        <f>VLOOKUP($D1411,'WB Data'!$C$3:$M$578,5,FALSE)</f>
        <v>1915820000</v>
      </c>
      <c r="BH1411" s="129">
        <f>IFERROR($BB1411/$BG1411,"..")</f>
        <v>9.2650321434163962E-2</v>
      </c>
      <c r="BI1411" s="117" t="str">
        <f>IFERROR(VLOOKUP($D1411,'WB Data'!$C$3:$M$578,7,FALSE)/100,"..")</f>
        <v>..</v>
      </c>
      <c r="BJ1411" s="117" t="str">
        <f>IFERROR($BI1411*$AW1411,"..")</f>
        <v>..</v>
      </c>
      <c r="BK1411" s="846" t="str">
        <f>IFERROR($BB1411/$BJ1411,"..")</f>
        <v>..</v>
      </c>
      <c r="BL1411" s="117" t="str">
        <f>IFERROR(VLOOKUP($D1411,'WB Data'!$C$3:$M$578,7,FALSE)/100,"..")</f>
        <v>..</v>
      </c>
      <c r="BM1411" s="117" t="str">
        <f>IFERROR($AW1411*$BL1411,"..")</f>
        <v>..</v>
      </c>
      <c r="BN1411" s="846" t="str">
        <f>IFERROR($BB1411/$BM1411,"..")</f>
        <v>..</v>
      </c>
      <c r="BO1411" s="801">
        <f t="shared" si="246"/>
        <v>27</v>
      </c>
      <c r="BP1411" s="117" t="str">
        <f>VLOOKUP($D1411,'WB Data'!$C$3:$M$578,9,FALSE)</f>
        <v>..</v>
      </c>
      <c r="BQ1411" s="117">
        <f>VLOOKUP($D1411,'WB Data'!$C$3:$M$578,10,FALSE)</f>
        <v>52.10902439024391</v>
      </c>
      <c r="BR1411" s="117">
        <f>VLOOKUP($D1411,'WB Data'!$C$3:$M$578,11,FALSE)</f>
        <v>76.599999999999994</v>
      </c>
      <c r="BS1411" s="129" t="str">
        <f>IFERROR(VLOOKUP($D1411,'WB Data 2'!$C$2:$K$545,9,FALSE),"..")</f>
        <v>..</v>
      </c>
      <c r="BT1411" s="129">
        <f>_xlfn.IFNA(VLOOKUP($C1411,RGI!$A$2:$C$43,2,FALSE),"..")</f>
        <v>46.5</v>
      </c>
      <c r="BU1411" s="129">
        <f>_xlfn.IFNA(VLOOKUP($C1411,RGI!$A$2:$C$43,3,FALSE),"..")</f>
        <v>42.488706175328218</v>
      </c>
      <c r="BV1411" s="129">
        <f>VLOOKUP($D1411,WGI!$C$2:$O$478,7,FALSE)</f>
        <v>-0.72749646576441196</v>
      </c>
      <c r="BW1411" s="129">
        <f>VLOOKUP($D1411,WGI!$C$2:$O$478,4,FALSE)</f>
        <v>-2.05327401816449</v>
      </c>
      <c r="BX1411" s="129">
        <f>VLOOKUP($D1411,WGI!$C$2:$O$478,3,FALSE)</f>
        <v>-0.99778014629661604</v>
      </c>
      <c r="BY1411" s="129">
        <f>VLOOKUP($D1411,WGI!$C$2:$O$478,5,FALSE)</f>
        <v>-0.72247740244145298</v>
      </c>
      <c r="BZ1411" s="129">
        <f>VLOOKUP($D1411,WGI!$C$2:$O$478,2,FALSE)</f>
        <v>-1.1327559316657301</v>
      </c>
    </row>
    <row r="1412" spans="1:80" ht="15" customHeight="1">
      <c r="A1412" s="289" t="s">
        <v>433</v>
      </c>
      <c r="B1412" s="146">
        <v>2012</v>
      </c>
      <c r="C1412" s="809" t="s">
        <v>413</v>
      </c>
      <c r="D1412" s="117" t="s">
        <v>3744</v>
      </c>
      <c r="E1412" s="146" t="s">
        <v>86</v>
      </c>
      <c r="F1412" s="146"/>
      <c r="G1412" s="146" t="s">
        <v>24</v>
      </c>
      <c r="H1412" s="146"/>
      <c r="I1412" s="146"/>
      <c r="J1412" s="146"/>
      <c r="K1412" s="146" t="s">
        <v>970</v>
      </c>
      <c r="L1412" s="146"/>
      <c r="M1412" s="146"/>
      <c r="N1412" s="754"/>
      <c r="O1412" s="754"/>
      <c r="P1412" s="754"/>
      <c r="Q1412" s="754">
        <v>2108504</v>
      </c>
      <c r="R1412" s="754"/>
      <c r="S1412" s="146" t="s">
        <v>610</v>
      </c>
      <c r="T1412" s="119"/>
      <c r="U1412" s="146"/>
      <c r="V1412" s="146"/>
      <c r="W1412" s="146"/>
      <c r="X1412" s="146"/>
      <c r="Y1412" s="146"/>
      <c r="Z1412" s="146"/>
      <c r="AA1412" s="146"/>
      <c r="AB1412" s="146"/>
      <c r="AC1412" s="756"/>
      <c r="AD1412" s="756"/>
      <c r="AE1412" s="756"/>
      <c r="AF1412" s="758"/>
      <c r="AG1412" s="146"/>
      <c r="AH1412" s="759"/>
      <c r="AI1412" s="146"/>
      <c r="AJ1412" s="146"/>
      <c r="AK1412" s="760"/>
      <c r="AL1412" s="146"/>
      <c r="AM1412" s="146"/>
      <c r="AN1412" s="146"/>
      <c r="AO1412" s="146"/>
      <c r="AP1412" s="146"/>
      <c r="AQ1412" s="146"/>
      <c r="AR1412" s="146"/>
      <c r="AS1412" s="146"/>
      <c r="AT1412" s="146"/>
      <c r="AU1412" s="146"/>
      <c r="AV1412" s="128"/>
      <c r="AW1412" s="117">
        <f>VLOOKUP($D1412,'WB Data'!$C$3:$M$578,2,FALSE)</f>
        <v>462979245902.41315</v>
      </c>
      <c r="AX1412" s="117">
        <f>VLOOKUP($D1412,'WB Data'!$C$3:$M$578,3,FALSE)</f>
        <v>168833776</v>
      </c>
      <c r="AY1412" s="847">
        <f t="shared" si="247"/>
        <v>3.8338940758353944E-4</v>
      </c>
      <c r="AZ1412" s="117">
        <f>VLOOKUP($D1412,'WB Data'!$C$3:$M$578,4,FALSE)/100</f>
        <v>4.9996122569770672E-2</v>
      </c>
      <c r="BA1412" s="117">
        <f t="shared" si="248"/>
        <v>23147167125.397045</v>
      </c>
      <c r="BB1412" s="129">
        <f>IFERROR(VLOOKUP($D1412,'EITI Revenues'!$C$2:$G$224,5,FALSE),"..")</f>
        <v>177501338.81</v>
      </c>
      <c r="BC1412" s="846">
        <f t="shared" si="249"/>
        <v>7.6683828240582293E-3</v>
      </c>
      <c r="BD1412" s="129">
        <f>VLOOKUP($D1412,'WB Data 2'!$C$2:$K$545,6,FALSE)</f>
        <v>97143314565.458511</v>
      </c>
      <c r="BE1412" s="129">
        <f>IFERROR(VLOOKUP($D1412,UNCTAD!$C$5:$V$529,4,FALSE),"..")</f>
        <v>98087457000</v>
      </c>
      <c r="BF1412" s="846">
        <f t="shared" si="250"/>
        <v>0.99037448351279522</v>
      </c>
      <c r="BG1412" s="117">
        <f>VLOOKUP($D1412,'WB Data'!$C$3:$M$578,5,FALSE)</f>
        <v>1915820000</v>
      </c>
      <c r="BH1412" s="129">
        <f>IFERROR($BB1412/$BG1412,"..")</f>
        <v>9.2650321434163962E-2</v>
      </c>
      <c r="BI1412" s="117" t="str">
        <f>IFERROR(VLOOKUP($D1412,'WB Data'!$C$3:$M$578,7,FALSE)/100,"..")</f>
        <v>..</v>
      </c>
      <c r="BJ1412" s="117" t="str">
        <f>IFERROR($BI1412*$AW1412,"..")</f>
        <v>..</v>
      </c>
      <c r="BK1412" s="846" t="str">
        <f>IFERROR($BB1412/$BJ1412,"..")</f>
        <v>..</v>
      </c>
      <c r="BL1412" s="117" t="str">
        <f>IFERROR(VLOOKUP($D1412,'WB Data'!$C$3:$M$578,7,FALSE)/100,"..")</f>
        <v>..</v>
      </c>
      <c r="BM1412" s="117" t="str">
        <f>IFERROR($AW1412*$BL1412,"..")</f>
        <v>..</v>
      </c>
      <c r="BN1412" s="846" t="str">
        <f>IFERROR($BB1412/$BM1412,"..")</f>
        <v>..</v>
      </c>
      <c r="BO1412" s="801">
        <f t="shared" si="246"/>
        <v>27</v>
      </c>
      <c r="BP1412" s="117" t="str">
        <f>VLOOKUP($D1412,'WB Data'!$C$3:$M$578,9,FALSE)</f>
        <v>..</v>
      </c>
      <c r="BQ1412" s="117">
        <f>VLOOKUP($D1412,'WB Data'!$C$3:$M$578,10,FALSE)</f>
        <v>52.10902439024391</v>
      </c>
      <c r="BR1412" s="117">
        <f>VLOOKUP($D1412,'WB Data'!$C$3:$M$578,11,FALSE)</f>
        <v>76.599999999999994</v>
      </c>
      <c r="BS1412" s="129" t="str">
        <f>IFERROR(VLOOKUP($D1412,'WB Data 2'!$C$2:$K$545,9,FALSE),"..")</f>
        <v>..</v>
      </c>
      <c r="BT1412" s="129">
        <f>_xlfn.IFNA(VLOOKUP($C1412,RGI!$A$2:$C$43,2,FALSE),"..")</f>
        <v>46.5</v>
      </c>
      <c r="BU1412" s="129">
        <f>_xlfn.IFNA(VLOOKUP($C1412,RGI!$A$2:$C$43,3,FALSE),"..")</f>
        <v>42.488706175328218</v>
      </c>
      <c r="BV1412" s="129">
        <f>VLOOKUP($D1412,WGI!$C$2:$O$478,7,FALSE)</f>
        <v>-0.72749646576441196</v>
      </c>
      <c r="BW1412" s="129">
        <f>VLOOKUP($D1412,WGI!$C$2:$O$478,4,FALSE)</f>
        <v>-2.05327401816449</v>
      </c>
      <c r="BX1412" s="129">
        <f>VLOOKUP($D1412,WGI!$C$2:$O$478,3,FALSE)</f>
        <v>-0.99778014629661604</v>
      </c>
      <c r="BY1412" s="129">
        <f>VLOOKUP($D1412,WGI!$C$2:$O$478,5,FALSE)</f>
        <v>-0.72247740244145298</v>
      </c>
      <c r="BZ1412" s="129">
        <f>VLOOKUP($D1412,WGI!$C$2:$O$478,2,FALSE)</f>
        <v>-1.1327559316657301</v>
      </c>
    </row>
    <row r="1413" spans="1:80" ht="15" customHeight="1">
      <c r="A1413" s="289" t="s">
        <v>433</v>
      </c>
      <c r="B1413" s="146">
        <v>2012</v>
      </c>
      <c r="C1413" s="809" t="s">
        <v>413</v>
      </c>
      <c r="D1413" s="117" t="s">
        <v>3744</v>
      </c>
      <c r="E1413" s="146" t="s">
        <v>86</v>
      </c>
      <c r="F1413" s="146"/>
      <c r="G1413" s="146" t="s">
        <v>24</v>
      </c>
      <c r="H1413" s="146"/>
      <c r="I1413" s="146"/>
      <c r="J1413" s="146"/>
      <c r="K1413" s="146" t="s">
        <v>1992</v>
      </c>
      <c r="L1413" s="146"/>
      <c r="M1413" s="146"/>
      <c r="N1413" s="754"/>
      <c r="O1413" s="754"/>
      <c r="P1413" s="754"/>
      <c r="Q1413" s="754">
        <v>566589</v>
      </c>
      <c r="R1413" s="754"/>
      <c r="S1413" s="146" t="s">
        <v>610</v>
      </c>
      <c r="T1413" s="119"/>
      <c r="U1413" s="146"/>
      <c r="V1413" s="146"/>
      <c r="W1413" s="146"/>
      <c r="X1413" s="146"/>
      <c r="Y1413" s="146"/>
      <c r="Z1413" s="146"/>
      <c r="AA1413" s="146"/>
      <c r="AB1413" s="146"/>
      <c r="AC1413" s="756"/>
      <c r="AD1413" s="756"/>
      <c r="AE1413" s="756"/>
      <c r="AF1413" s="758"/>
      <c r="AG1413" s="146"/>
      <c r="AH1413" s="759"/>
      <c r="AI1413" s="146"/>
      <c r="AJ1413" s="146"/>
      <c r="AK1413" s="760"/>
      <c r="AL1413" s="146"/>
      <c r="AM1413" s="146"/>
      <c r="AN1413" s="146"/>
      <c r="AO1413" s="146"/>
      <c r="AP1413" s="146"/>
      <c r="AQ1413" s="146"/>
      <c r="AR1413" s="146"/>
      <c r="AS1413" s="146"/>
      <c r="AT1413" s="146"/>
      <c r="AU1413" s="146"/>
      <c r="AV1413" s="128"/>
      <c r="AW1413" s="117">
        <f>VLOOKUP($D1413,'WB Data'!$C$3:$M$578,2,FALSE)</f>
        <v>462979245902.41315</v>
      </c>
      <c r="AX1413" s="117">
        <f>VLOOKUP($D1413,'WB Data'!$C$3:$M$578,3,FALSE)</f>
        <v>168833776</v>
      </c>
      <c r="AY1413" s="847">
        <f t="shared" si="247"/>
        <v>3.8338940758353944E-4</v>
      </c>
      <c r="AZ1413" s="117">
        <f>VLOOKUP($D1413,'WB Data'!$C$3:$M$578,4,FALSE)/100</f>
        <v>4.9996122569770672E-2</v>
      </c>
      <c r="BA1413" s="117">
        <f t="shared" si="248"/>
        <v>23147167125.397045</v>
      </c>
      <c r="BB1413" s="129">
        <f>IFERROR(VLOOKUP($D1413,'EITI Revenues'!$C$2:$G$224,5,FALSE),"..")</f>
        <v>177501338.81</v>
      </c>
      <c r="BC1413" s="846">
        <f t="shared" si="249"/>
        <v>7.6683828240582293E-3</v>
      </c>
      <c r="BD1413" s="129">
        <f>VLOOKUP($D1413,'WB Data 2'!$C$2:$K$545,6,FALSE)</f>
        <v>97143314565.458511</v>
      </c>
      <c r="BE1413" s="129">
        <f>IFERROR(VLOOKUP($D1413,UNCTAD!$C$5:$V$529,4,FALSE),"..")</f>
        <v>98087457000</v>
      </c>
      <c r="BF1413" s="846">
        <f t="shared" si="250"/>
        <v>0.99037448351279522</v>
      </c>
      <c r="BG1413" s="117">
        <f>VLOOKUP($D1413,'WB Data'!$C$3:$M$578,5,FALSE)</f>
        <v>1915820000</v>
      </c>
      <c r="BH1413" s="129">
        <f>IFERROR($BB1413/$BG1413,"..")</f>
        <v>9.2650321434163962E-2</v>
      </c>
      <c r="BI1413" s="117" t="str">
        <f>IFERROR(VLOOKUP($D1413,'WB Data'!$C$3:$M$578,7,FALSE)/100,"..")</f>
        <v>..</v>
      </c>
      <c r="BJ1413" s="117" t="str">
        <f>IFERROR($BI1413*$AW1413,"..")</f>
        <v>..</v>
      </c>
      <c r="BK1413" s="846" t="str">
        <f>IFERROR($BB1413/$BJ1413,"..")</f>
        <v>..</v>
      </c>
      <c r="BL1413" s="117" t="str">
        <f>IFERROR(VLOOKUP($D1413,'WB Data'!$C$3:$M$578,7,FALSE)/100,"..")</f>
        <v>..</v>
      </c>
      <c r="BM1413" s="117" t="str">
        <f>IFERROR($AW1413*$BL1413,"..")</f>
        <v>..</v>
      </c>
      <c r="BN1413" s="846" t="str">
        <f>IFERROR($BB1413/$BM1413,"..")</f>
        <v>..</v>
      </c>
      <c r="BO1413" s="801">
        <f t="shared" si="246"/>
        <v>27</v>
      </c>
      <c r="BP1413" s="117" t="str">
        <f>VLOOKUP($D1413,'WB Data'!$C$3:$M$578,9,FALSE)</f>
        <v>..</v>
      </c>
      <c r="BQ1413" s="117">
        <f>VLOOKUP($D1413,'WB Data'!$C$3:$M$578,10,FALSE)</f>
        <v>52.10902439024391</v>
      </c>
      <c r="BR1413" s="117">
        <f>VLOOKUP($D1413,'WB Data'!$C$3:$M$578,11,FALSE)</f>
        <v>76.599999999999994</v>
      </c>
      <c r="BS1413" s="129" t="str">
        <f>IFERROR(VLOOKUP($D1413,'WB Data 2'!$C$2:$K$545,9,FALSE),"..")</f>
        <v>..</v>
      </c>
      <c r="BT1413" s="129">
        <f>_xlfn.IFNA(VLOOKUP($C1413,RGI!$A$2:$C$43,2,FALSE),"..")</f>
        <v>46.5</v>
      </c>
      <c r="BU1413" s="129">
        <f>_xlfn.IFNA(VLOOKUP($C1413,RGI!$A$2:$C$43,3,FALSE),"..")</f>
        <v>42.488706175328218</v>
      </c>
      <c r="BV1413" s="129">
        <f>VLOOKUP($D1413,WGI!$C$2:$O$478,7,FALSE)</f>
        <v>-0.72749646576441196</v>
      </c>
      <c r="BW1413" s="129">
        <f>VLOOKUP($D1413,WGI!$C$2:$O$478,4,FALSE)</f>
        <v>-2.05327401816449</v>
      </c>
      <c r="BX1413" s="129">
        <f>VLOOKUP($D1413,WGI!$C$2:$O$478,3,FALSE)</f>
        <v>-0.99778014629661604</v>
      </c>
      <c r="BY1413" s="129">
        <f>VLOOKUP($D1413,WGI!$C$2:$O$478,5,FALSE)</f>
        <v>-0.72247740244145298</v>
      </c>
      <c r="BZ1413" s="129">
        <f>VLOOKUP($D1413,WGI!$C$2:$O$478,2,FALSE)</f>
        <v>-1.1327559316657301</v>
      </c>
    </row>
    <row r="1414" spans="1:80" ht="15" customHeight="1">
      <c r="A1414" s="289" t="s">
        <v>433</v>
      </c>
      <c r="B1414" s="146">
        <v>2012</v>
      </c>
      <c r="C1414" s="809" t="s">
        <v>413</v>
      </c>
      <c r="D1414" s="117" t="s">
        <v>3744</v>
      </c>
      <c r="E1414" s="146" t="s">
        <v>86</v>
      </c>
      <c r="F1414" s="146"/>
      <c r="G1414" s="146" t="s">
        <v>24</v>
      </c>
      <c r="H1414" s="146"/>
      <c r="I1414" s="146"/>
      <c r="J1414" s="146"/>
      <c r="K1414" s="146" t="s">
        <v>2003</v>
      </c>
      <c r="L1414" s="146"/>
      <c r="M1414" s="146"/>
      <c r="N1414" s="754"/>
      <c r="O1414" s="754"/>
      <c r="P1414" s="754"/>
      <c r="Q1414" s="754">
        <v>95590</v>
      </c>
      <c r="R1414" s="754"/>
      <c r="S1414" s="146" t="s">
        <v>610</v>
      </c>
      <c r="T1414" s="119"/>
      <c r="U1414" s="146"/>
      <c r="V1414" s="146"/>
      <c r="W1414" s="146"/>
      <c r="X1414" s="146"/>
      <c r="Y1414" s="146"/>
      <c r="Z1414" s="146"/>
      <c r="AA1414" s="146"/>
      <c r="AB1414" s="146"/>
      <c r="AC1414" s="756"/>
      <c r="AD1414" s="756"/>
      <c r="AE1414" s="756"/>
      <c r="AF1414" s="758"/>
      <c r="AG1414" s="146"/>
      <c r="AH1414" s="759"/>
      <c r="AI1414" s="146"/>
      <c r="AJ1414" s="146"/>
      <c r="AK1414" s="760"/>
      <c r="AL1414" s="146"/>
      <c r="AM1414" s="146"/>
      <c r="AN1414" s="146"/>
      <c r="AO1414" s="146"/>
      <c r="AP1414" s="146"/>
      <c r="AQ1414" s="146"/>
      <c r="AR1414" s="146"/>
      <c r="AS1414" s="146"/>
      <c r="AT1414" s="146"/>
      <c r="AU1414" s="146"/>
      <c r="AV1414" s="128"/>
      <c r="AW1414" s="117">
        <f>VLOOKUP($D1414,'WB Data'!$C$3:$M$578,2,FALSE)</f>
        <v>462979245902.41315</v>
      </c>
      <c r="AX1414" s="117">
        <f>VLOOKUP($D1414,'WB Data'!$C$3:$M$578,3,FALSE)</f>
        <v>168833776</v>
      </c>
      <c r="AY1414" s="847">
        <f t="shared" si="247"/>
        <v>3.8338940758353944E-4</v>
      </c>
      <c r="AZ1414" s="117">
        <f>VLOOKUP($D1414,'WB Data'!$C$3:$M$578,4,FALSE)/100</f>
        <v>4.9996122569770672E-2</v>
      </c>
      <c r="BA1414" s="117">
        <f t="shared" si="248"/>
        <v>23147167125.397045</v>
      </c>
      <c r="BB1414" s="129">
        <f>IFERROR(VLOOKUP($D1414,'EITI Revenues'!$C$2:$G$224,5,FALSE),"..")</f>
        <v>177501338.81</v>
      </c>
      <c r="BC1414" s="846">
        <f t="shared" si="249"/>
        <v>7.6683828240582293E-3</v>
      </c>
      <c r="BD1414" s="129">
        <f>VLOOKUP($D1414,'WB Data 2'!$C$2:$K$545,6,FALSE)</f>
        <v>97143314565.458511</v>
      </c>
      <c r="BE1414" s="129">
        <f>IFERROR(VLOOKUP($D1414,UNCTAD!$C$5:$V$529,4,FALSE),"..")</f>
        <v>98087457000</v>
      </c>
      <c r="BF1414" s="846">
        <f t="shared" si="250"/>
        <v>0.99037448351279522</v>
      </c>
      <c r="BG1414" s="117">
        <f>VLOOKUP($D1414,'WB Data'!$C$3:$M$578,5,FALSE)</f>
        <v>1915820000</v>
      </c>
      <c r="BH1414" s="129">
        <f>IFERROR($BB1414/$BG1414,"..")</f>
        <v>9.2650321434163962E-2</v>
      </c>
      <c r="BI1414" s="117" t="str">
        <f>IFERROR(VLOOKUP($D1414,'WB Data'!$C$3:$M$578,7,FALSE)/100,"..")</f>
        <v>..</v>
      </c>
      <c r="BJ1414" s="117" t="str">
        <f>IFERROR($BI1414*$AW1414,"..")</f>
        <v>..</v>
      </c>
      <c r="BK1414" s="846" t="str">
        <f>IFERROR($BB1414/$BJ1414,"..")</f>
        <v>..</v>
      </c>
      <c r="BL1414" s="117" t="str">
        <f>IFERROR(VLOOKUP($D1414,'WB Data'!$C$3:$M$578,7,FALSE)/100,"..")</f>
        <v>..</v>
      </c>
      <c r="BM1414" s="117" t="str">
        <f>IFERROR($AW1414*$BL1414,"..")</f>
        <v>..</v>
      </c>
      <c r="BN1414" s="846" t="str">
        <f>IFERROR($BB1414/$BM1414,"..")</f>
        <v>..</v>
      </c>
      <c r="BO1414" s="801">
        <f t="shared" si="246"/>
        <v>27</v>
      </c>
      <c r="BP1414" s="117" t="str">
        <f>VLOOKUP($D1414,'WB Data'!$C$3:$M$578,9,FALSE)</f>
        <v>..</v>
      </c>
      <c r="BQ1414" s="117">
        <f>VLOOKUP($D1414,'WB Data'!$C$3:$M$578,10,FALSE)</f>
        <v>52.10902439024391</v>
      </c>
      <c r="BR1414" s="117">
        <f>VLOOKUP($D1414,'WB Data'!$C$3:$M$578,11,FALSE)</f>
        <v>76.599999999999994</v>
      </c>
      <c r="BS1414" s="129" t="str">
        <f>IFERROR(VLOOKUP($D1414,'WB Data 2'!$C$2:$K$545,9,FALSE),"..")</f>
        <v>..</v>
      </c>
      <c r="BT1414" s="129">
        <f>_xlfn.IFNA(VLOOKUP($C1414,RGI!$A$2:$C$43,2,FALSE),"..")</f>
        <v>46.5</v>
      </c>
      <c r="BU1414" s="129">
        <f>_xlfn.IFNA(VLOOKUP($C1414,RGI!$A$2:$C$43,3,FALSE),"..")</f>
        <v>42.488706175328218</v>
      </c>
      <c r="BV1414" s="129">
        <f>VLOOKUP($D1414,WGI!$C$2:$O$478,7,FALSE)</f>
        <v>-0.72749646576441196</v>
      </c>
      <c r="BW1414" s="129">
        <f>VLOOKUP($D1414,WGI!$C$2:$O$478,4,FALSE)</f>
        <v>-2.05327401816449</v>
      </c>
      <c r="BX1414" s="129">
        <f>VLOOKUP($D1414,WGI!$C$2:$O$478,3,FALSE)</f>
        <v>-0.99778014629661604</v>
      </c>
      <c r="BY1414" s="129">
        <f>VLOOKUP($D1414,WGI!$C$2:$O$478,5,FALSE)</f>
        <v>-0.72247740244145298</v>
      </c>
      <c r="BZ1414" s="129">
        <f>VLOOKUP($D1414,WGI!$C$2:$O$478,2,FALSE)</f>
        <v>-1.1327559316657301</v>
      </c>
    </row>
    <row r="1415" spans="1:80" ht="15" customHeight="1">
      <c r="A1415" s="289" t="s">
        <v>433</v>
      </c>
      <c r="B1415" s="146">
        <v>2012</v>
      </c>
      <c r="C1415" s="809" t="s">
        <v>413</v>
      </c>
      <c r="D1415" s="117" t="s">
        <v>3744</v>
      </c>
      <c r="E1415" s="146" t="s">
        <v>86</v>
      </c>
      <c r="F1415" s="146"/>
      <c r="G1415" s="146" t="s">
        <v>24</v>
      </c>
      <c r="H1415" s="146"/>
      <c r="I1415" s="146"/>
      <c r="J1415" s="146"/>
      <c r="K1415" s="146" t="s">
        <v>1989</v>
      </c>
      <c r="L1415" s="146"/>
      <c r="M1415" s="146"/>
      <c r="N1415" s="754"/>
      <c r="O1415" s="754"/>
      <c r="P1415" s="754"/>
      <c r="Q1415" s="754">
        <v>54837</v>
      </c>
      <c r="R1415" s="754"/>
      <c r="S1415" s="146" t="s">
        <v>610</v>
      </c>
      <c r="T1415" s="119"/>
      <c r="U1415" s="146"/>
      <c r="V1415" s="146"/>
      <c r="W1415" s="146"/>
      <c r="X1415" s="146"/>
      <c r="Y1415" s="146"/>
      <c r="Z1415" s="146"/>
      <c r="AA1415" s="146"/>
      <c r="AB1415" s="146"/>
      <c r="AC1415" s="756"/>
      <c r="AD1415" s="756"/>
      <c r="AE1415" s="756"/>
      <c r="AF1415" s="758"/>
      <c r="AG1415" s="146"/>
      <c r="AH1415" s="759"/>
      <c r="AI1415" s="146"/>
      <c r="AJ1415" s="146"/>
      <c r="AK1415" s="760"/>
      <c r="AL1415" s="146"/>
      <c r="AM1415" s="146"/>
      <c r="AN1415" s="146"/>
      <c r="AO1415" s="146"/>
      <c r="AP1415" s="146"/>
      <c r="AQ1415" s="146"/>
      <c r="AR1415" s="146"/>
      <c r="AS1415" s="146"/>
      <c r="AT1415" s="146"/>
      <c r="AU1415" s="146"/>
      <c r="AV1415" s="128"/>
      <c r="AW1415" s="117">
        <f>VLOOKUP($D1415,'WB Data'!$C$3:$M$578,2,FALSE)</f>
        <v>462979245902.41315</v>
      </c>
      <c r="AX1415" s="117">
        <f>VLOOKUP($D1415,'WB Data'!$C$3:$M$578,3,FALSE)</f>
        <v>168833776</v>
      </c>
      <c r="AY1415" s="847">
        <f t="shared" si="247"/>
        <v>3.8338940758353944E-4</v>
      </c>
      <c r="AZ1415" s="117">
        <f>VLOOKUP($D1415,'WB Data'!$C$3:$M$578,4,FALSE)/100</f>
        <v>4.9996122569770672E-2</v>
      </c>
      <c r="BA1415" s="117">
        <f t="shared" si="248"/>
        <v>23147167125.397045</v>
      </c>
      <c r="BB1415" s="129">
        <f>IFERROR(VLOOKUP($D1415,'EITI Revenues'!$C$2:$G$224,5,FALSE),"..")</f>
        <v>177501338.81</v>
      </c>
      <c r="BC1415" s="846">
        <f t="shared" si="249"/>
        <v>7.6683828240582293E-3</v>
      </c>
      <c r="BD1415" s="129">
        <f>VLOOKUP($D1415,'WB Data 2'!$C$2:$K$545,6,FALSE)</f>
        <v>97143314565.458511</v>
      </c>
      <c r="BE1415" s="129">
        <f>IFERROR(VLOOKUP($D1415,UNCTAD!$C$5:$V$529,4,FALSE),"..")</f>
        <v>98087457000</v>
      </c>
      <c r="BF1415" s="846">
        <f t="shared" si="250"/>
        <v>0.99037448351279522</v>
      </c>
      <c r="BG1415" s="117">
        <f>VLOOKUP($D1415,'WB Data'!$C$3:$M$578,5,FALSE)</f>
        <v>1915820000</v>
      </c>
      <c r="BH1415" s="129">
        <f>IFERROR($BB1415/$BG1415,"..")</f>
        <v>9.2650321434163962E-2</v>
      </c>
      <c r="BI1415" s="117" t="str">
        <f>IFERROR(VLOOKUP($D1415,'WB Data'!$C$3:$M$578,7,FALSE)/100,"..")</f>
        <v>..</v>
      </c>
      <c r="BJ1415" s="117" t="str">
        <f>IFERROR($BI1415*$AW1415,"..")</f>
        <v>..</v>
      </c>
      <c r="BK1415" s="846" t="str">
        <f>IFERROR($BB1415/$BJ1415,"..")</f>
        <v>..</v>
      </c>
      <c r="BL1415" s="117" t="str">
        <f>IFERROR(VLOOKUP($D1415,'WB Data'!$C$3:$M$578,7,FALSE)/100,"..")</f>
        <v>..</v>
      </c>
      <c r="BM1415" s="117" t="str">
        <f>IFERROR($AW1415*$BL1415,"..")</f>
        <v>..</v>
      </c>
      <c r="BN1415" s="846" t="str">
        <f>IFERROR($BB1415/$BM1415,"..")</f>
        <v>..</v>
      </c>
      <c r="BO1415" s="801">
        <f t="shared" si="246"/>
        <v>27</v>
      </c>
      <c r="BP1415" s="117" t="str">
        <f>VLOOKUP($D1415,'WB Data'!$C$3:$M$578,9,FALSE)</f>
        <v>..</v>
      </c>
      <c r="BQ1415" s="117">
        <f>VLOOKUP($D1415,'WB Data'!$C$3:$M$578,10,FALSE)</f>
        <v>52.10902439024391</v>
      </c>
      <c r="BR1415" s="117">
        <f>VLOOKUP($D1415,'WB Data'!$C$3:$M$578,11,FALSE)</f>
        <v>76.599999999999994</v>
      </c>
      <c r="BS1415" s="129" t="str">
        <f>IFERROR(VLOOKUP($D1415,'WB Data 2'!$C$2:$K$545,9,FALSE),"..")</f>
        <v>..</v>
      </c>
      <c r="BT1415" s="129">
        <f>_xlfn.IFNA(VLOOKUP($C1415,RGI!$A$2:$C$43,2,FALSE),"..")</f>
        <v>46.5</v>
      </c>
      <c r="BU1415" s="129">
        <f>_xlfn.IFNA(VLOOKUP($C1415,RGI!$A$2:$C$43,3,FALSE),"..")</f>
        <v>42.488706175328218</v>
      </c>
      <c r="BV1415" s="129">
        <f>VLOOKUP($D1415,WGI!$C$2:$O$478,7,FALSE)</f>
        <v>-0.72749646576441196</v>
      </c>
      <c r="BW1415" s="129">
        <f>VLOOKUP($D1415,WGI!$C$2:$O$478,4,FALSE)</f>
        <v>-2.05327401816449</v>
      </c>
      <c r="BX1415" s="129">
        <f>VLOOKUP($D1415,WGI!$C$2:$O$478,3,FALSE)</f>
        <v>-0.99778014629661604</v>
      </c>
      <c r="BY1415" s="129">
        <f>VLOOKUP($D1415,WGI!$C$2:$O$478,5,FALSE)</f>
        <v>-0.72247740244145298</v>
      </c>
      <c r="BZ1415" s="129">
        <f>VLOOKUP($D1415,WGI!$C$2:$O$478,2,FALSE)</f>
        <v>-1.1327559316657301</v>
      </c>
    </row>
    <row r="1416" spans="1:80" ht="15" customHeight="1">
      <c r="A1416" s="289" t="s">
        <v>433</v>
      </c>
      <c r="B1416" s="146">
        <v>2012</v>
      </c>
      <c r="C1416" s="809" t="s">
        <v>413</v>
      </c>
      <c r="D1416" s="117" t="s">
        <v>3744</v>
      </c>
      <c r="E1416" s="146" t="s">
        <v>86</v>
      </c>
      <c r="F1416" s="146"/>
      <c r="G1416" s="146" t="s">
        <v>24</v>
      </c>
      <c r="H1416" s="146"/>
      <c r="I1416" s="146"/>
      <c r="J1416" s="146"/>
      <c r="K1416" s="146" t="s">
        <v>616</v>
      </c>
      <c r="L1416" s="146"/>
      <c r="M1416" s="146"/>
      <c r="N1416" s="754"/>
      <c r="O1416" s="754"/>
      <c r="P1416" s="754"/>
      <c r="Q1416" s="754">
        <v>53614</v>
      </c>
      <c r="R1416" s="754"/>
      <c r="S1416" s="146" t="s">
        <v>610</v>
      </c>
      <c r="T1416" s="119"/>
      <c r="U1416" s="146"/>
      <c r="V1416" s="146"/>
      <c r="W1416" s="146"/>
      <c r="X1416" s="146"/>
      <c r="Y1416" s="146"/>
      <c r="Z1416" s="146"/>
      <c r="AA1416" s="146"/>
      <c r="AB1416" s="146"/>
      <c r="AC1416" s="756"/>
      <c r="AD1416" s="756"/>
      <c r="AE1416" s="756"/>
      <c r="AF1416" s="758"/>
      <c r="AG1416" s="146"/>
      <c r="AH1416" s="759"/>
      <c r="AI1416" s="146"/>
      <c r="AJ1416" s="146"/>
      <c r="AK1416" s="760"/>
      <c r="AL1416" s="146"/>
      <c r="AM1416" s="146"/>
      <c r="AN1416" s="146"/>
      <c r="AO1416" s="146"/>
      <c r="AP1416" s="146"/>
      <c r="AQ1416" s="146"/>
      <c r="AR1416" s="146"/>
      <c r="AS1416" s="146"/>
      <c r="AT1416" s="146"/>
      <c r="AU1416" s="146"/>
      <c r="AV1416" s="128"/>
      <c r="AW1416" s="117">
        <f>VLOOKUP($D1416,'WB Data'!$C$3:$M$578,2,FALSE)</f>
        <v>462979245902.41315</v>
      </c>
      <c r="AX1416" s="117">
        <f>VLOOKUP($D1416,'WB Data'!$C$3:$M$578,3,FALSE)</f>
        <v>168833776</v>
      </c>
      <c r="AY1416" s="847">
        <f t="shared" si="247"/>
        <v>3.8338940758353944E-4</v>
      </c>
      <c r="AZ1416" s="117">
        <f>VLOOKUP($D1416,'WB Data'!$C$3:$M$578,4,FALSE)/100</f>
        <v>4.9996122569770672E-2</v>
      </c>
      <c r="BA1416" s="117">
        <f t="shared" si="248"/>
        <v>23147167125.397045</v>
      </c>
      <c r="BB1416" s="129">
        <f>IFERROR(VLOOKUP($D1416,'EITI Revenues'!$C$2:$G$224,5,FALSE),"..")</f>
        <v>177501338.81</v>
      </c>
      <c r="BC1416" s="846">
        <f t="shared" si="249"/>
        <v>7.6683828240582293E-3</v>
      </c>
      <c r="BD1416" s="129">
        <f>VLOOKUP($D1416,'WB Data 2'!$C$2:$K$545,6,FALSE)</f>
        <v>97143314565.458511</v>
      </c>
      <c r="BE1416" s="129">
        <f>IFERROR(VLOOKUP($D1416,UNCTAD!$C$5:$V$529,4,FALSE),"..")</f>
        <v>98087457000</v>
      </c>
      <c r="BF1416" s="846">
        <f t="shared" si="250"/>
        <v>0.99037448351279522</v>
      </c>
      <c r="BG1416" s="117">
        <f>VLOOKUP($D1416,'WB Data'!$C$3:$M$578,5,FALSE)</f>
        <v>1915820000</v>
      </c>
      <c r="BH1416" s="129">
        <f>IFERROR($BB1416/$BG1416,"..")</f>
        <v>9.2650321434163962E-2</v>
      </c>
      <c r="BI1416" s="117" t="str">
        <f>IFERROR(VLOOKUP($D1416,'WB Data'!$C$3:$M$578,7,FALSE)/100,"..")</f>
        <v>..</v>
      </c>
      <c r="BJ1416" s="117" t="str">
        <f>IFERROR($BI1416*$AW1416,"..")</f>
        <v>..</v>
      </c>
      <c r="BK1416" s="846" t="str">
        <f>IFERROR($BB1416/$BJ1416,"..")</f>
        <v>..</v>
      </c>
      <c r="BL1416" s="117" t="str">
        <f>IFERROR(VLOOKUP($D1416,'WB Data'!$C$3:$M$578,7,FALSE)/100,"..")</f>
        <v>..</v>
      </c>
      <c r="BM1416" s="117" t="str">
        <f>IFERROR($AW1416*$BL1416,"..")</f>
        <v>..</v>
      </c>
      <c r="BN1416" s="846" t="str">
        <f>IFERROR($BB1416/$BM1416,"..")</f>
        <v>..</v>
      </c>
      <c r="BO1416" s="801">
        <f t="shared" si="246"/>
        <v>27</v>
      </c>
      <c r="BP1416" s="117" t="str">
        <f>VLOOKUP($D1416,'WB Data'!$C$3:$M$578,9,FALSE)</f>
        <v>..</v>
      </c>
      <c r="BQ1416" s="117">
        <f>VLOOKUP($D1416,'WB Data'!$C$3:$M$578,10,FALSE)</f>
        <v>52.10902439024391</v>
      </c>
      <c r="BR1416" s="117">
        <f>VLOOKUP($D1416,'WB Data'!$C$3:$M$578,11,FALSE)</f>
        <v>76.599999999999994</v>
      </c>
      <c r="BS1416" s="129" t="str">
        <f>IFERROR(VLOOKUP($D1416,'WB Data 2'!$C$2:$K$545,9,FALSE),"..")</f>
        <v>..</v>
      </c>
      <c r="BT1416" s="129">
        <f>_xlfn.IFNA(VLOOKUP($C1416,RGI!$A$2:$C$43,2,FALSE),"..")</f>
        <v>46.5</v>
      </c>
      <c r="BU1416" s="129">
        <f>_xlfn.IFNA(VLOOKUP($C1416,RGI!$A$2:$C$43,3,FALSE),"..")</f>
        <v>42.488706175328218</v>
      </c>
      <c r="BV1416" s="129">
        <f>VLOOKUP($D1416,WGI!$C$2:$O$478,7,FALSE)</f>
        <v>-0.72749646576441196</v>
      </c>
      <c r="BW1416" s="129">
        <f>VLOOKUP($D1416,WGI!$C$2:$O$478,4,FALSE)</f>
        <v>-2.05327401816449</v>
      </c>
      <c r="BX1416" s="129">
        <f>VLOOKUP($D1416,WGI!$C$2:$O$478,3,FALSE)</f>
        <v>-0.99778014629661604</v>
      </c>
      <c r="BY1416" s="129">
        <f>VLOOKUP($D1416,WGI!$C$2:$O$478,5,FALSE)</f>
        <v>-0.72247740244145298</v>
      </c>
      <c r="BZ1416" s="129">
        <f>VLOOKUP($D1416,WGI!$C$2:$O$478,2,FALSE)</f>
        <v>-1.1327559316657301</v>
      </c>
    </row>
    <row r="1417" spans="1:80" ht="15" customHeight="1">
      <c r="A1417" s="289" t="s">
        <v>433</v>
      </c>
      <c r="B1417" s="146">
        <v>2012</v>
      </c>
      <c r="C1417" s="809" t="s">
        <v>413</v>
      </c>
      <c r="D1417" s="117" t="s">
        <v>3744</v>
      </c>
      <c r="E1417" s="146" t="s">
        <v>86</v>
      </c>
      <c r="F1417" s="146"/>
      <c r="G1417" s="146" t="s">
        <v>24</v>
      </c>
      <c r="H1417" s="146"/>
      <c r="I1417" s="146"/>
      <c r="J1417" s="146"/>
      <c r="K1417" s="146" t="s">
        <v>2004</v>
      </c>
      <c r="L1417" s="146"/>
      <c r="M1417" s="146"/>
      <c r="N1417" s="754"/>
      <c r="O1417" s="754"/>
      <c r="P1417" s="754"/>
      <c r="Q1417" s="754">
        <v>16630</v>
      </c>
      <c r="R1417" s="754"/>
      <c r="S1417" s="146" t="s">
        <v>610</v>
      </c>
      <c r="T1417" s="119"/>
      <c r="U1417" s="146"/>
      <c r="V1417" s="146"/>
      <c r="W1417" s="146"/>
      <c r="X1417" s="146"/>
      <c r="Y1417" s="146"/>
      <c r="Z1417" s="146"/>
      <c r="AA1417" s="146"/>
      <c r="AB1417" s="146"/>
      <c r="AC1417" s="756"/>
      <c r="AD1417" s="756"/>
      <c r="AE1417" s="756"/>
      <c r="AF1417" s="758"/>
      <c r="AG1417" s="146"/>
      <c r="AH1417" s="759"/>
      <c r="AI1417" s="146"/>
      <c r="AJ1417" s="146"/>
      <c r="AK1417" s="760"/>
      <c r="AL1417" s="146"/>
      <c r="AM1417" s="146"/>
      <c r="AN1417" s="146"/>
      <c r="AO1417" s="146"/>
      <c r="AP1417" s="146"/>
      <c r="AQ1417" s="146"/>
      <c r="AR1417" s="146"/>
      <c r="AS1417" s="146"/>
      <c r="AT1417" s="146"/>
      <c r="AU1417" s="146"/>
      <c r="AV1417" s="128"/>
      <c r="AW1417" s="117">
        <f>VLOOKUP($D1417,'WB Data'!$C$3:$M$578,2,FALSE)</f>
        <v>462979245902.41315</v>
      </c>
      <c r="AX1417" s="117">
        <f>VLOOKUP($D1417,'WB Data'!$C$3:$M$578,3,FALSE)</f>
        <v>168833776</v>
      </c>
      <c r="AY1417" s="847">
        <f t="shared" si="247"/>
        <v>3.8338940758353944E-4</v>
      </c>
      <c r="AZ1417" s="117">
        <f>VLOOKUP($D1417,'WB Data'!$C$3:$M$578,4,FALSE)/100</f>
        <v>4.9996122569770672E-2</v>
      </c>
      <c r="BA1417" s="117">
        <f t="shared" si="248"/>
        <v>23147167125.397045</v>
      </c>
      <c r="BB1417" s="129">
        <f>IFERROR(VLOOKUP($D1417,'EITI Revenues'!$C$2:$G$224,5,FALSE),"..")</f>
        <v>177501338.81</v>
      </c>
      <c r="BC1417" s="846">
        <f t="shared" si="249"/>
        <v>7.6683828240582293E-3</v>
      </c>
      <c r="BD1417" s="129">
        <f>VLOOKUP($D1417,'WB Data 2'!$C$2:$K$545,6,FALSE)</f>
        <v>97143314565.458511</v>
      </c>
      <c r="BE1417" s="129">
        <f>IFERROR(VLOOKUP($D1417,UNCTAD!$C$5:$V$529,4,FALSE),"..")</f>
        <v>98087457000</v>
      </c>
      <c r="BF1417" s="846">
        <f t="shared" si="250"/>
        <v>0.99037448351279522</v>
      </c>
      <c r="BG1417" s="117">
        <f>VLOOKUP($D1417,'WB Data'!$C$3:$M$578,5,FALSE)</f>
        <v>1915820000</v>
      </c>
      <c r="BH1417" s="129">
        <f>IFERROR($BB1417/$BG1417,"..")</f>
        <v>9.2650321434163962E-2</v>
      </c>
      <c r="BI1417" s="117" t="str">
        <f>IFERROR(VLOOKUP($D1417,'WB Data'!$C$3:$M$578,7,FALSE)/100,"..")</f>
        <v>..</v>
      </c>
      <c r="BJ1417" s="117" t="str">
        <f>IFERROR($BI1417*$AW1417,"..")</f>
        <v>..</v>
      </c>
      <c r="BK1417" s="846" t="str">
        <f>IFERROR($BB1417/$BJ1417,"..")</f>
        <v>..</v>
      </c>
      <c r="BL1417" s="117" t="str">
        <f>IFERROR(VLOOKUP($D1417,'WB Data'!$C$3:$M$578,7,FALSE)/100,"..")</f>
        <v>..</v>
      </c>
      <c r="BM1417" s="117" t="str">
        <f>IFERROR($AW1417*$BL1417,"..")</f>
        <v>..</v>
      </c>
      <c r="BN1417" s="846" t="str">
        <f>IFERROR($BB1417/$BM1417,"..")</f>
        <v>..</v>
      </c>
      <c r="BO1417" s="801">
        <f t="shared" si="246"/>
        <v>27</v>
      </c>
      <c r="BP1417" s="117" t="str">
        <f>VLOOKUP($D1417,'WB Data'!$C$3:$M$578,9,FALSE)</f>
        <v>..</v>
      </c>
      <c r="BQ1417" s="117">
        <f>VLOOKUP($D1417,'WB Data'!$C$3:$M$578,10,FALSE)</f>
        <v>52.10902439024391</v>
      </c>
      <c r="BR1417" s="117">
        <f>VLOOKUP($D1417,'WB Data'!$C$3:$M$578,11,FALSE)</f>
        <v>76.599999999999994</v>
      </c>
      <c r="BS1417" s="129" t="str">
        <f>IFERROR(VLOOKUP($D1417,'WB Data 2'!$C$2:$K$545,9,FALSE),"..")</f>
        <v>..</v>
      </c>
      <c r="BT1417" s="129">
        <f>_xlfn.IFNA(VLOOKUP($C1417,RGI!$A$2:$C$43,2,FALSE),"..")</f>
        <v>46.5</v>
      </c>
      <c r="BU1417" s="129">
        <f>_xlfn.IFNA(VLOOKUP($C1417,RGI!$A$2:$C$43,3,FALSE),"..")</f>
        <v>42.488706175328218</v>
      </c>
      <c r="BV1417" s="129">
        <f>VLOOKUP($D1417,WGI!$C$2:$O$478,7,FALSE)</f>
        <v>-0.72749646576441196</v>
      </c>
      <c r="BW1417" s="129">
        <f>VLOOKUP($D1417,WGI!$C$2:$O$478,4,FALSE)</f>
        <v>-2.05327401816449</v>
      </c>
      <c r="BX1417" s="129">
        <f>VLOOKUP($D1417,WGI!$C$2:$O$478,3,FALSE)</f>
        <v>-0.99778014629661604</v>
      </c>
      <c r="BY1417" s="129">
        <f>VLOOKUP($D1417,WGI!$C$2:$O$478,5,FALSE)</f>
        <v>-0.72247740244145298</v>
      </c>
      <c r="BZ1417" s="129">
        <f>VLOOKUP($D1417,WGI!$C$2:$O$478,2,FALSE)</f>
        <v>-1.1327559316657301</v>
      </c>
    </row>
    <row r="1418" spans="1:80" ht="15" customHeight="1">
      <c r="A1418" s="289" t="s">
        <v>433</v>
      </c>
      <c r="B1418" s="146">
        <v>2012</v>
      </c>
      <c r="C1418" s="809" t="s">
        <v>413</v>
      </c>
      <c r="D1418" s="117" t="s">
        <v>3744</v>
      </c>
      <c r="E1418" s="146" t="s">
        <v>86</v>
      </c>
      <c r="F1418" s="146"/>
      <c r="G1418" s="146" t="s">
        <v>24</v>
      </c>
      <c r="H1418" s="146"/>
      <c r="I1418" s="146"/>
      <c r="J1418" s="146"/>
      <c r="K1418" s="146" t="s">
        <v>622</v>
      </c>
      <c r="L1418" s="146"/>
      <c r="M1418" s="146"/>
      <c r="N1418" s="754"/>
      <c r="O1418" s="754"/>
      <c r="P1418" s="754"/>
      <c r="Q1418" s="754">
        <v>1750</v>
      </c>
      <c r="R1418" s="754"/>
      <c r="S1418" s="146" t="s">
        <v>610</v>
      </c>
      <c r="T1418" s="119"/>
      <c r="U1418" s="146"/>
      <c r="V1418" s="146"/>
      <c r="W1418" s="146"/>
      <c r="X1418" s="146"/>
      <c r="Y1418" s="146"/>
      <c r="Z1418" s="146"/>
      <c r="AA1418" s="146"/>
      <c r="AB1418" s="146"/>
      <c r="AC1418" s="756"/>
      <c r="AD1418" s="756"/>
      <c r="AE1418" s="756"/>
      <c r="AF1418" s="758"/>
      <c r="AG1418" s="146"/>
      <c r="AH1418" s="759"/>
      <c r="AI1418" s="146"/>
      <c r="AJ1418" s="146"/>
      <c r="AK1418" s="760"/>
      <c r="AL1418" s="146"/>
      <c r="AM1418" s="146"/>
      <c r="AN1418" s="146"/>
      <c r="AO1418" s="146"/>
      <c r="AP1418" s="146"/>
      <c r="AQ1418" s="146"/>
      <c r="AR1418" s="146"/>
      <c r="AS1418" s="146"/>
      <c r="AT1418" s="146"/>
      <c r="AU1418" s="146"/>
      <c r="AV1418" s="128"/>
      <c r="AW1418" s="117">
        <f>VLOOKUP($D1418,'WB Data'!$C$3:$M$578,2,FALSE)</f>
        <v>462979245902.41315</v>
      </c>
      <c r="AX1418" s="117">
        <f>VLOOKUP($D1418,'WB Data'!$C$3:$M$578,3,FALSE)</f>
        <v>168833776</v>
      </c>
      <c r="AY1418" s="847">
        <f t="shared" si="247"/>
        <v>3.8338940758353944E-4</v>
      </c>
      <c r="AZ1418" s="117">
        <f>VLOOKUP($D1418,'WB Data'!$C$3:$M$578,4,FALSE)/100</f>
        <v>4.9996122569770672E-2</v>
      </c>
      <c r="BA1418" s="117">
        <f t="shared" si="248"/>
        <v>23147167125.397045</v>
      </c>
      <c r="BB1418" s="129">
        <f>IFERROR(VLOOKUP($D1418,'EITI Revenues'!$C$2:$G$224,5,FALSE),"..")</f>
        <v>177501338.81</v>
      </c>
      <c r="BC1418" s="846">
        <f t="shared" si="249"/>
        <v>7.6683828240582293E-3</v>
      </c>
      <c r="BD1418" s="129">
        <f>VLOOKUP($D1418,'WB Data 2'!$C$2:$K$545,6,FALSE)</f>
        <v>97143314565.458511</v>
      </c>
      <c r="BE1418" s="129">
        <f>IFERROR(VLOOKUP($D1418,UNCTAD!$C$5:$V$529,4,FALSE),"..")</f>
        <v>98087457000</v>
      </c>
      <c r="BF1418" s="846">
        <f t="shared" si="250"/>
        <v>0.99037448351279522</v>
      </c>
      <c r="BG1418" s="117">
        <f>VLOOKUP($D1418,'WB Data'!$C$3:$M$578,5,FALSE)</f>
        <v>1915820000</v>
      </c>
      <c r="BH1418" s="129">
        <f>IFERROR($BB1418/$BG1418,"..")</f>
        <v>9.2650321434163962E-2</v>
      </c>
      <c r="BI1418" s="117" t="str">
        <f>IFERROR(VLOOKUP($D1418,'WB Data'!$C$3:$M$578,7,FALSE)/100,"..")</f>
        <v>..</v>
      </c>
      <c r="BJ1418" s="117" t="str">
        <f>IFERROR($BI1418*$AW1418,"..")</f>
        <v>..</v>
      </c>
      <c r="BK1418" s="846" t="str">
        <f>IFERROR($BB1418/$BJ1418,"..")</f>
        <v>..</v>
      </c>
      <c r="BL1418" s="117" t="str">
        <f>IFERROR(VLOOKUP($D1418,'WB Data'!$C$3:$M$578,7,FALSE)/100,"..")</f>
        <v>..</v>
      </c>
      <c r="BM1418" s="117" t="str">
        <f>IFERROR($AW1418*$BL1418,"..")</f>
        <v>..</v>
      </c>
      <c r="BN1418" s="846" t="str">
        <f>IFERROR($BB1418/$BM1418,"..")</f>
        <v>..</v>
      </c>
      <c r="BO1418" s="801">
        <f t="shared" si="246"/>
        <v>27</v>
      </c>
      <c r="BP1418" s="117" t="str">
        <f>VLOOKUP($D1418,'WB Data'!$C$3:$M$578,9,FALSE)</f>
        <v>..</v>
      </c>
      <c r="BQ1418" s="117">
        <f>VLOOKUP($D1418,'WB Data'!$C$3:$M$578,10,FALSE)</f>
        <v>52.10902439024391</v>
      </c>
      <c r="BR1418" s="117">
        <f>VLOOKUP($D1418,'WB Data'!$C$3:$M$578,11,FALSE)</f>
        <v>76.599999999999994</v>
      </c>
      <c r="BS1418" s="129" t="str">
        <f>IFERROR(VLOOKUP($D1418,'WB Data 2'!$C$2:$K$545,9,FALSE),"..")</f>
        <v>..</v>
      </c>
      <c r="BT1418" s="129">
        <f>_xlfn.IFNA(VLOOKUP($C1418,RGI!$A$2:$C$43,2,FALSE),"..")</f>
        <v>46.5</v>
      </c>
      <c r="BU1418" s="129">
        <f>_xlfn.IFNA(VLOOKUP($C1418,RGI!$A$2:$C$43,3,FALSE),"..")</f>
        <v>42.488706175328218</v>
      </c>
      <c r="BV1418" s="129">
        <f>VLOOKUP($D1418,WGI!$C$2:$O$478,7,FALSE)</f>
        <v>-0.72749646576441196</v>
      </c>
      <c r="BW1418" s="129">
        <f>VLOOKUP($D1418,WGI!$C$2:$O$478,4,FALSE)</f>
        <v>-2.05327401816449</v>
      </c>
      <c r="BX1418" s="129">
        <f>VLOOKUP($D1418,WGI!$C$2:$O$478,3,FALSE)</f>
        <v>-0.99778014629661604</v>
      </c>
      <c r="BY1418" s="129">
        <f>VLOOKUP($D1418,WGI!$C$2:$O$478,5,FALSE)</f>
        <v>-0.72247740244145298</v>
      </c>
      <c r="BZ1418" s="129">
        <f>VLOOKUP($D1418,WGI!$C$2:$O$478,2,FALSE)</f>
        <v>-1.1327559316657301</v>
      </c>
    </row>
    <row r="1419" spans="1:80" s="173" customFormat="1" ht="15" customHeight="1" thickBot="1">
      <c r="A1419" s="764" t="s">
        <v>433</v>
      </c>
      <c r="B1419" s="307">
        <v>2012</v>
      </c>
      <c r="C1419" s="809" t="s">
        <v>413</v>
      </c>
      <c r="D1419" s="117" t="s">
        <v>3744</v>
      </c>
      <c r="E1419" s="307" t="s">
        <v>86</v>
      </c>
      <c r="F1419" s="307"/>
      <c r="G1419" s="307" t="s">
        <v>24</v>
      </c>
      <c r="H1419" s="307"/>
      <c r="I1419" s="307"/>
      <c r="J1419" s="307"/>
      <c r="K1419" s="307" t="s">
        <v>2005</v>
      </c>
      <c r="L1419" s="307"/>
      <c r="M1419" s="307"/>
      <c r="N1419" s="309"/>
      <c r="O1419" s="309"/>
      <c r="P1419" s="309"/>
      <c r="Q1419" s="307"/>
      <c r="R1419" s="309"/>
      <c r="S1419" s="307"/>
      <c r="T1419" s="166"/>
      <c r="U1419" s="307"/>
      <c r="V1419" s="307"/>
      <c r="W1419" s="307"/>
      <c r="X1419" s="307"/>
      <c r="Y1419" s="307"/>
      <c r="Z1419" s="307"/>
      <c r="AA1419" s="307"/>
      <c r="AB1419" s="307"/>
      <c r="AC1419" s="311"/>
      <c r="AD1419" s="311"/>
      <c r="AE1419" s="311"/>
      <c r="AF1419" s="312"/>
      <c r="AG1419" s="307"/>
      <c r="AH1419" s="313"/>
      <c r="AI1419" s="307"/>
      <c r="AJ1419" s="307"/>
      <c r="AK1419" s="314"/>
      <c r="AL1419" s="307"/>
      <c r="AM1419" s="307"/>
      <c r="AN1419" s="307"/>
      <c r="AO1419" s="307"/>
      <c r="AP1419" s="307"/>
      <c r="AQ1419" s="307"/>
      <c r="AR1419" s="307"/>
      <c r="AS1419" s="307"/>
      <c r="AT1419" s="307"/>
      <c r="AU1419" s="307"/>
      <c r="AV1419" s="172"/>
      <c r="AW1419" s="117">
        <f>VLOOKUP($D1419,'WB Data'!$C$3:$M$578,2,FALSE)</f>
        <v>462979245902.41315</v>
      </c>
      <c r="AX1419" s="117">
        <f>VLOOKUP($D1419,'WB Data'!$C$3:$M$578,3,FALSE)</f>
        <v>168833776</v>
      </c>
      <c r="AY1419" s="847">
        <f t="shared" si="247"/>
        <v>3.8338940758353944E-4</v>
      </c>
      <c r="AZ1419" s="117">
        <f>VLOOKUP($D1419,'WB Data'!$C$3:$M$578,4,FALSE)/100</f>
        <v>4.9996122569770672E-2</v>
      </c>
      <c r="BA1419" s="117">
        <f t="shared" si="248"/>
        <v>23147167125.397045</v>
      </c>
      <c r="BB1419" s="129">
        <f>IFERROR(VLOOKUP($D1419,'EITI Revenues'!$C$2:$G$224,5,FALSE),"..")</f>
        <v>177501338.81</v>
      </c>
      <c r="BC1419" s="846">
        <f t="shared" si="249"/>
        <v>7.6683828240582293E-3</v>
      </c>
      <c r="BD1419" s="129">
        <f>VLOOKUP($D1419,'WB Data 2'!$C$2:$K$545,6,FALSE)</f>
        <v>97143314565.458511</v>
      </c>
      <c r="BE1419" s="129">
        <f>IFERROR(VLOOKUP($D1419,UNCTAD!$C$5:$V$529,4,FALSE),"..")</f>
        <v>98087457000</v>
      </c>
      <c r="BF1419" s="846">
        <f t="shared" si="250"/>
        <v>0.99037448351279522</v>
      </c>
      <c r="BG1419" s="117">
        <f>VLOOKUP($D1419,'WB Data'!$C$3:$M$578,5,FALSE)</f>
        <v>1915820000</v>
      </c>
      <c r="BH1419" s="129">
        <f>IFERROR($BB1419/$BG1419,"..")</f>
        <v>9.2650321434163962E-2</v>
      </c>
      <c r="BI1419" s="117" t="str">
        <f>IFERROR(VLOOKUP($D1419,'WB Data'!$C$3:$M$578,7,FALSE)/100,"..")</f>
        <v>..</v>
      </c>
      <c r="BJ1419" s="117" t="str">
        <f>IFERROR($BI1419*$AW1419,"..")</f>
        <v>..</v>
      </c>
      <c r="BK1419" s="846" t="str">
        <f>IFERROR($BB1419/$BJ1419,"..")</f>
        <v>..</v>
      </c>
      <c r="BL1419" s="117" t="str">
        <f>IFERROR(VLOOKUP($D1419,'WB Data'!$C$3:$M$578,7,FALSE)/100,"..")</f>
        <v>..</v>
      </c>
      <c r="BM1419" s="117" t="str">
        <f>IFERROR($AW1419*$BL1419,"..")</f>
        <v>..</v>
      </c>
      <c r="BN1419" s="846" t="str">
        <f>IFERROR($BB1419/$BM1419,"..")</f>
        <v>..</v>
      </c>
      <c r="BO1419" s="801">
        <f t="shared" si="246"/>
        <v>27</v>
      </c>
      <c r="BP1419" s="117" t="str">
        <f>VLOOKUP($D1419,'WB Data'!$C$3:$M$578,9,FALSE)</f>
        <v>..</v>
      </c>
      <c r="BQ1419" s="117">
        <f>VLOOKUP($D1419,'WB Data'!$C$3:$M$578,10,FALSE)</f>
        <v>52.10902439024391</v>
      </c>
      <c r="BR1419" s="117">
        <f>VLOOKUP($D1419,'WB Data'!$C$3:$M$578,11,FALSE)</f>
        <v>76.599999999999994</v>
      </c>
      <c r="BS1419" s="129" t="str">
        <f>IFERROR(VLOOKUP($D1419,'WB Data 2'!$C$2:$K$545,9,FALSE),"..")</f>
        <v>..</v>
      </c>
      <c r="BT1419" s="129">
        <f>_xlfn.IFNA(VLOOKUP($C1419,RGI!$A$2:$C$43,2,FALSE),"..")</f>
        <v>46.5</v>
      </c>
      <c r="BU1419" s="129">
        <f>_xlfn.IFNA(VLOOKUP($C1419,RGI!$A$2:$C$43,3,FALSE),"..")</f>
        <v>42.488706175328218</v>
      </c>
      <c r="BV1419" s="129">
        <f>VLOOKUP($D1419,WGI!$C$2:$O$478,7,FALSE)</f>
        <v>-0.72749646576441196</v>
      </c>
      <c r="BW1419" s="129">
        <f>VLOOKUP($D1419,WGI!$C$2:$O$478,4,FALSE)</f>
        <v>-2.05327401816449</v>
      </c>
      <c r="BX1419" s="129">
        <f>VLOOKUP($D1419,WGI!$C$2:$O$478,3,FALSE)</f>
        <v>-0.99778014629661604</v>
      </c>
      <c r="BY1419" s="129">
        <f>VLOOKUP($D1419,WGI!$C$2:$O$478,5,FALSE)</f>
        <v>-0.72247740244145298</v>
      </c>
      <c r="BZ1419" s="129">
        <f>VLOOKUP($D1419,WGI!$C$2:$O$478,2,FALSE)</f>
        <v>-1.1327559316657301</v>
      </c>
      <c r="CB1419" s="129"/>
    </row>
    <row r="1420" spans="1:80" ht="15" customHeight="1">
      <c r="A1420" s="280" t="s">
        <v>435</v>
      </c>
      <c r="B1420" s="117">
        <v>2008</v>
      </c>
      <c r="C1420" s="117" t="s">
        <v>436</v>
      </c>
      <c r="D1420" s="117" t="s">
        <v>3799</v>
      </c>
      <c r="E1420" s="117" t="s">
        <v>39</v>
      </c>
      <c r="F1420" s="117" t="s">
        <v>2007</v>
      </c>
      <c r="G1420" s="117" t="s">
        <v>55</v>
      </c>
      <c r="H1420" s="117" t="str">
        <f t="shared" si="241"/>
        <v>no</v>
      </c>
      <c r="I1420" s="117" t="str">
        <f t="shared" si="243"/>
        <v>yes</v>
      </c>
      <c r="J1420" s="117" t="str">
        <f t="shared" si="244"/>
        <v>yes</v>
      </c>
      <c r="K1420" s="117" t="s">
        <v>709</v>
      </c>
      <c r="L1420" s="117" t="str">
        <f t="shared" si="242"/>
        <v>Total</v>
      </c>
      <c r="M1420" s="117" t="str">
        <f t="shared" si="245"/>
        <v>Total Oil, Gas</v>
      </c>
      <c r="N1420" s="118"/>
      <c r="O1420" s="118"/>
      <c r="P1420" s="118"/>
      <c r="Q1420" s="118"/>
      <c r="R1420" s="118"/>
      <c r="S1420" s="117"/>
      <c r="T1420" s="119"/>
      <c r="U1420" s="117"/>
      <c r="V1420" s="117"/>
      <c r="W1420" s="89">
        <f>SUM(W1421:W1422)</f>
        <v>121364424000</v>
      </c>
      <c r="X1420" s="117" t="s">
        <v>2008</v>
      </c>
      <c r="Y1420" s="117" t="s">
        <v>602</v>
      </c>
      <c r="Z1420" s="117" t="s">
        <v>603</v>
      </c>
      <c r="AA1420" s="89">
        <v>71008812000.233994</v>
      </c>
      <c r="AB1420" s="89">
        <v>71008812000.233994</v>
      </c>
      <c r="AC1420" s="240"/>
      <c r="AD1420" s="240"/>
      <c r="AE1420" s="240"/>
      <c r="AF1420" s="241">
        <f>AA1420/W1420</f>
        <v>0.5850875376810093</v>
      </c>
      <c r="AG1420" s="117" t="s">
        <v>2009</v>
      </c>
      <c r="AH1420" s="124">
        <v>5.64</v>
      </c>
      <c r="AI1420" s="117" t="s">
        <v>605</v>
      </c>
      <c r="AJ1420" s="117"/>
      <c r="AK1420" s="89"/>
      <c r="AL1420" s="117"/>
      <c r="AM1420" s="117"/>
      <c r="AN1420" s="117">
        <v>69</v>
      </c>
      <c r="AO1420" s="117" t="s">
        <v>2010</v>
      </c>
      <c r="AP1420" s="117">
        <v>69</v>
      </c>
      <c r="AQ1420" s="117" t="s">
        <v>172</v>
      </c>
      <c r="AR1420" s="126">
        <v>41899</v>
      </c>
      <c r="AS1420" s="117" t="s">
        <v>712</v>
      </c>
      <c r="AT1420" s="117" t="s">
        <v>437</v>
      </c>
      <c r="AU1420" s="117">
        <v>17</v>
      </c>
      <c r="AV1420" s="128" t="s">
        <v>2011</v>
      </c>
      <c r="AW1420" s="117">
        <f>VLOOKUP($D1420,'WB Data'!$C$3:$M$578,2,FALSE)</f>
        <v>453885460992.90784</v>
      </c>
      <c r="AX1420" s="117">
        <f>VLOOKUP($D1420,'WB Data'!$C$3:$M$578,3,FALSE)</f>
        <v>4768212</v>
      </c>
      <c r="AY1420" s="847">
        <f t="shared" si="247"/>
        <v>1.5644654507924874E-4</v>
      </c>
      <c r="AZ1420" s="117">
        <f>VLOOKUP($D1420,'WB Data'!$C$3:$M$578,4,FALSE)/100</f>
        <v>0.51117342223215312</v>
      </c>
      <c r="BA1420" s="117">
        <f t="shared" si="248"/>
        <v>232014184397.16315</v>
      </c>
      <c r="BB1420" s="129">
        <f>IFERROR(VLOOKUP($D1420,'EITI Revenues'!$C$2:$G$224,5,FALSE),"..")</f>
        <v>71008812.234042555</v>
      </c>
      <c r="BC1420" s="846">
        <f t="shared" si="249"/>
        <v>3.0605375450877298E-4</v>
      </c>
      <c r="BD1420" s="129">
        <f>VLOOKUP($D1420,'WB Data 2'!$C$2:$K$545,6,FALSE)</f>
        <v>128129327664.51552</v>
      </c>
      <c r="BE1420" s="129">
        <f>IFERROR(VLOOKUP($D1420,UNCTAD!$C$5:$V$529,4,FALSE),"..")</f>
        <v>216594889079</v>
      </c>
      <c r="BF1420" s="846">
        <f t="shared" si="250"/>
        <v>0.59156210106962459</v>
      </c>
      <c r="BG1420" s="117" t="str">
        <f>VLOOKUP($D1420,'WB Data'!$C$3:$M$578,5,FALSE)</f>
        <v>..</v>
      </c>
      <c r="BH1420" s="129" t="str">
        <f>IFERROR($BB1420/$BG1420,"..")</f>
        <v>..</v>
      </c>
      <c r="BI1420" s="117">
        <f>IFERROR(VLOOKUP($D1420,'WB Data'!$C$3:$M$578,7,FALSE)/100,"..")</f>
        <v>6.4010499999999998E-2</v>
      </c>
      <c r="BJ1420" s="117">
        <f>IFERROR($BI1420*$AW1420,"..")</f>
        <v>29053435300.886528</v>
      </c>
      <c r="BK1420" s="846">
        <f>IFERROR($BB1420/$BJ1420,"..")</f>
        <v>2.4440762855976557E-3</v>
      </c>
      <c r="BL1420" s="117">
        <f>IFERROR(VLOOKUP($D1420,'WB Data'!$C$3:$M$578,7,FALSE)/100,"..")</f>
        <v>6.4010499999999998E-2</v>
      </c>
      <c r="BM1420" s="117">
        <f>IFERROR($AW1420*$BL1420,"..")</f>
        <v>29053435300.886528</v>
      </c>
      <c r="BN1420" s="846">
        <f>IFERROR($BB1420/$BM1420,"..")</f>
        <v>2.4440762855976557E-3</v>
      </c>
      <c r="BO1420" s="801">
        <f t="shared" si="246"/>
        <v>86</v>
      </c>
      <c r="BP1420" s="117" t="str">
        <f>VLOOKUP($D1420,'WB Data'!$C$3:$M$578,9,FALSE)</f>
        <v>..</v>
      </c>
      <c r="BQ1420" s="117">
        <f>VLOOKUP($D1420,'WB Data'!$C$3:$M$578,10,FALSE)</f>
        <v>80.592682926829283</v>
      </c>
      <c r="BR1420" s="117">
        <f>VLOOKUP($D1420,'WB Data'!$C$3:$M$578,11,FALSE)</f>
        <v>2.9</v>
      </c>
      <c r="BS1420" s="129">
        <f>IFERROR(VLOOKUP($D1420,'WB Data 2'!$C$2:$K$545,9,FALSE),"..")</f>
        <v>99.227590000000006</v>
      </c>
      <c r="BT1420" s="129">
        <f>_xlfn.IFNA(VLOOKUP($C1420,RGI!$A$2:$C$43,2,FALSE),"..")</f>
        <v>96.4</v>
      </c>
      <c r="BU1420" s="129">
        <f>_xlfn.IFNA(VLOOKUP($C1420,RGI!$A$2:$C$43,3,FALSE),"..")</f>
        <v>98.017483296506555</v>
      </c>
      <c r="BV1420" s="129" t="e">
        <f>VLOOKUP($D1420,WGI!$C$2:$O$478,7,FALSE)</f>
        <v>#N/A</v>
      </c>
      <c r="BW1420" s="129" t="e">
        <f>VLOOKUP($D1420,WGI!$C$2:$O$478,4,FALSE)</f>
        <v>#N/A</v>
      </c>
      <c r="BX1420" s="129" t="e">
        <f>VLOOKUP($D1420,WGI!$C$2:$O$478,3,FALSE)</f>
        <v>#N/A</v>
      </c>
      <c r="BY1420" s="129" t="e">
        <f>VLOOKUP($D1420,WGI!$C$2:$O$478,5,FALSE)</f>
        <v>#N/A</v>
      </c>
      <c r="BZ1420" s="129" t="e">
        <f>VLOOKUP($D1420,WGI!$C$2:$O$478,2,FALSE)</f>
        <v>#N/A</v>
      </c>
    </row>
    <row r="1421" spans="1:80" ht="15" customHeight="1">
      <c r="A1421" s="280" t="s">
        <v>435</v>
      </c>
      <c r="B1421" s="117">
        <v>2008</v>
      </c>
      <c r="C1421" s="117" t="s">
        <v>436</v>
      </c>
      <c r="D1421" s="117" t="s">
        <v>3799</v>
      </c>
      <c r="E1421" s="117" t="s">
        <v>39</v>
      </c>
      <c r="F1421" s="117"/>
      <c r="G1421" s="117" t="s">
        <v>561</v>
      </c>
      <c r="H1421" s="117" t="str">
        <f t="shared" si="241"/>
        <v>no</v>
      </c>
      <c r="I1421" s="117" t="str">
        <f t="shared" si="243"/>
        <v>yes</v>
      </c>
      <c r="J1421" s="117" t="str">
        <f t="shared" si="244"/>
        <v>no</v>
      </c>
      <c r="K1421" s="117" t="s">
        <v>561</v>
      </c>
      <c r="L1421" s="117" t="str">
        <f t="shared" si="242"/>
        <v>detailed</v>
      </c>
      <c r="M1421" s="117" t="str">
        <f t="shared" si="245"/>
        <v>detailed Gas</v>
      </c>
      <c r="N1421" s="118">
        <v>100100000000</v>
      </c>
      <c r="O1421" s="118">
        <f>N1421*0.0066</f>
        <v>660660000</v>
      </c>
      <c r="P1421" s="118"/>
      <c r="Q1421" s="118"/>
      <c r="R1421" s="118"/>
      <c r="S1421" s="117" t="s">
        <v>642</v>
      </c>
      <c r="T1421" s="119">
        <v>0.32879700000000006</v>
      </c>
      <c r="U1421" s="117" t="s">
        <v>643</v>
      </c>
      <c r="V1421" s="117" t="s">
        <v>738</v>
      </c>
      <c r="W1421" s="89">
        <f>N1421*T1421</f>
        <v>32912579700.000008</v>
      </c>
      <c r="X1421" s="117"/>
      <c r="Y1421" s="117"/>
      <c r="Z1421" s="117"/>
      <c r="AA1421" s="89"/>
      <c r="AB1421" s="89"/>
      <c r="AC1421" s="240"/>
      <c r="AD1421" s="240"/>
      <c r="AE1421" s="240"/>
      <c r="AF1421" s="241"/>
      <c r="AG1421" s="117"/>
      <c r="AH1421" s="124"/>
      <c r="AI1421" s="117"/>
      <c r="AJ1421" s="117"/>
      <c r="AK1421" s="89"/>
      <c r="AL1421" s="117"/>
      <c r="AM1421" s="117"/>
      <c r="AN1421" s="117"/>
      <c r="AO1421" s="117"/>
      <c r="AP1421" s="117"/>
      <c r="AQ1421" s="117"/>
      <c r="AR1421" s="126"/>
      <c r="AS1421" s="117"/>
      <c r="AT1421" s="117"/>
      <c r="AU1421" s="117"/>
      <c r="AV1421" s="128"/>
      <c r="AW1421" s="117">
        <f>VLOOKUP($D1421,'WB Data'!$C$3:$M$578,2,FALSE)</f>
        <v>453885460992.90784</v>
      </c>
      <c r="AX1421" s="117">
        <f>VLOOKUP($D1421,'WB Data'!$C$3:$M$578,3,FALSE)</f>
        <v>4768212</v>
      </c>
      <c r="AY1421" s="847">
        <f t="shared" si="247"/>
        <v>1.5644654507924874E-4</v>
      </c>
      <c r="AZ1421" s="117">
        <f>VLOOKUP($D1421,'WB Data'!$C$3:$M$578,4,FALSE)/100</f>
        <v>0.51117342223215312</v>
      </c>
      <c r="BA1421" s="117">
        <f t="shared" si="248"/>
        <v>232014184397.16315</v>
      </c>
      <c r="BB1421" s="129">
        <f>IFERROR(VLOOKUP($D1421,'EITI Revenues'!$C$2:$G$224,5,FALSE),"..")</f>
        <v>71008812.234042555</v>
      </c>
      <c r="BC1421" s="846">
        <f t="shared" si="249"/>
        <v>3.0605375450877298E-4</v>
      </c>
      <c r="BD1421" s="129">
        <f>VLOOKUP($D1421,'WB Data 2'!$C$2:$K$545,6,FALSE)</f>
        <v>128129327664.51552</v>
      </c>
      <c r="BE1421" s="129">
        <f>IFERROR(VLOOKUP($D1421,UNCTAD!$C$5:$V$529,4,FALSE),"..")</f>
        <v>216594889079</v>
      </c>
      <c r="BF1421" s="846">
        <f t="shared" si="250"/>
        <v>0.59156210106962459</v>
      </c>
      <c r="BG1421" s="117" t="str">
        <f>VLOOKUP($D1421,'WB Data'!$C$3:$M$578,5,FALSE)</f>
        <v>..</v>
      </c>
      <c r="BH1421" s="129" t="str">
        <f>IFERROR($BB1421/$BG1421,"..")</f>
        <v>..</v>
      </c>
      <c r="BI1421" s="117">
        <f>IFERROR(VLOOKUP($D1421,'WB Data'!$C$3:$M$578,7,FALSE)/100,"..")</f>
        <v>6.4010499999999998E-2</v>
      </c>
      <c r="BJ1421" s="117">
        <f>IFERROR($BI1421*$AW1421,"..")</f>
        <v>29053435300.886528</v>
      </c>
      <c r="BK1421" s="846">
        <f>IFERROR($BB1421/$BJ1421,"..")</f>
        <v>2.4440762855976557E-3</v>
      </c>
      <c r="BL1421" s="117">
        <f>IFERROR(VLOOKUP($D1421,'WB Data'!$C$3:$M$578,7,FALSE)/100,"..")</f>
        <v>6.4010499999999998E-2</v>
      </c>
      <c r="BM1421" s="117">
        <f>IFERROR($AW1421*$BL1421,"..")</f>
        <v>29053435300.886528</v>
      </c>
      <c r="BN1421" s="846">
        <f>IFERROR($BB1421/$BM1421,"..")</f>
        <v>2.4440762855976557E-3</v>
      </c>
      <c r="BO1421" s="801">
        <f t="shared" si="246"/>
        <v>86</v>
      </c>
      <c r="BP1421" s="117" t="str">
        <f>VLOOKUP($D1421,'WB Data'!$C$3:$M$578,9,FALSE)</f>
        <v>..</v>
      </c>
      <c r="BQ1421" s="117">
        <f>VLOOKUP($D1421,'WB Data'!$C$3:$M$578,10,FALSE)</f>
        <v>80.592682926829283</v>
      </c>
      <c r="BR1421" s="117">
        <f>VLOOKUP($D1421,'WB Data'!$C$3:$M$578,11,FALSE)</f>
        <v>2.9</v>
      </c>
      <c r="BS1421" s="129">
        <f>IFERROR(VLOOKUP($D1421,'WB Data 2'!$C$2:$K$545,9,FALSE),"..")</f>
        <v>99.227590000000006</v>
      </c>
      <c r="BT1421" s="129">
        <f>_xlfn.IFNA(VLOOKUP($C1421,RGI!$A$2:$C$43,2,FALSE),"..")</f>
        <v>96.4</v>
      </c>
      <c r="BU1421" s="129">
        <f>_xlfn.IFNA(VLOOKUP($C1421,RGI!$A$2:$C$43,3,FALSE),"..")</f>
        <v>98.017483296506555</v>
      </c>
      <c r="BV1421" s="129" t="e">
        <f>VLOOKUP($D1421,WGI!$C$2:$O$478,7,FALSE)</f>
        <v>#N/A</v>
      </c>
      <c r="BW1421" s="129" t="e">
        <f>VLOOKUP($D1421,WGI!$C$2:$O$478,4,FALSE)</f>
        <v>#N/A</v>
      </c>
      <c r="BX1421" s="129" t="e">
        <f>VLOOKUP($D1421,WGI!$C$2:$O$478,3,FALSE)</f>
        <v>#N/A</v>
      </c>
      <c r="BY1421" s="129" t="e">
        <f>VLOOKUP($D1421,WGI!$C$2:$O$478,5,FALSE)</f>
        <v>#N/A</v>
      </c>
      <c r="BZ1421" s="129" t="e">
        <f>VLOOKUP($D1421,WGI!$C$2:$O$478,2,FALSE)</f>
        <v>#N/A</v>
      </c>
    </row>
    <row r="1422" spans="1:80" ht="15" customHeight="1">
      <c r="A1422" s="280" t="s">
        <v>435</v>
      </c>
      <c r="B1422" s="117">
        <v>2008</v>
      </c>
      <c r="C1422" s="117" t="s">
        <v>436</v>
      </c>
      <c r="D1422" s="117" t="s">
        <v>3799</v>
      </c>
      <c r="E1422" s="117" t="s">
        <v>39</v>
      </c>
      <c r="F1422" s="117"/>
      <c r="G1422" s="117" t="s">
        <v>103</v>
      </c>
      <c r="H1422" s="117" t="str">
        <f t="shared" si="241"/>
        <v>no</v>
      </c>
      <c r="I1422" s="117" t="str">
        <f t="shared" si="243"/>
        <v>no</v>
      </c>
      <c r="J1422" s="117" t="str">
        <f t="shared" si="244"/>
        <v>yes</v>
      </c>
      <c r="K1422" s="117" t="s">
        <v>103</v>
      </c>
      <c r="L1422" s="117" t="str">
        <f t="shared" si="242"/>
        <v>detailed</v>
      </c>
      <c r="M1422" s="117" t="str">
        <f t="shared" si="245"/>
        <v>detailed Oil</v>
      </c>
      <c r="N1422" s="118">
        <v>900090000</v>
      </c>
      <c r="O1422" s="211">
        <f>O1421/N1422</f>
        <v>0.73399326733993264</v>
      </c>
      <c r="P1422" s="118"/>
      <c r="Q1422" s="118"/>
      <c r="R1422" s="118"/>
      <c r="S1422" s="117" t="s">
        <v>646</v>
      </c>
      <c r="T1422" s="119">
        <v>98.27</v>
      </c>
      <c r="U1422" s="117" t="s">
        <v>673</v>
      </c>
      <c r="V1422" s="117" t="s">
        <v>740</v>
      </c>
      <c r="W1422" s="89">
        <f>N1422*T1422</f>
        <v>88451844300</v>
      </c>
      <c r="X1422" s="117"/>
      <c r="Y1422" s="117"/>
      <c r="Z1422" s="117"/>
      <c r="AA1422" s="89"/>
      <c r="AB1422" s="89"/>
      <c r="AC1422" s="240"/>
      <c r="AD1422" s="240"/>
      <c r="AE1422" s="240"/>
      <c r="AF1422" s="241"/>
      <c r="AG1422" s="117"/>
      <c r="AH1422" s="124"/>
      <c r="AI1422" s="117"/>
      <c r="AJ1422" s="117"/>
      <c r="AK1422" s="89"/>
      <c r="AL1422" s="117"/>
      <c r="AM1422" s="117"/>
      <c r="AN1422" s="117"/>
      <c r="AO1422" s="117"/>
      <c r="AP1422" s="117"/>
      <c r="AQ1422" s="117"/>
      <c r="AR1422" s="126"/>
      <c r="AS1422" s="117"/>
      <c r="AT1422" s="117"/>
      <c r="AU1422" s="117"/>
      <c r="AV1422" s="128"/>
      <c r="AW1422" s="117">
        <f>VLOOKUP($D1422,'WB Data'!$C$3:$M$578,2,FALSE)</f>
        <v>453885460992.90784</v>
      </c>
      <c r="AX1422" s="117">
        <f>VLOOKUP($D1422,'WB Data'!$C$3:$M$578,3,FALSE)</f>
        <v>4768212</v>
      </c>
      <c r="AY1422" s="847">
        <f t="shared" si="247"/>
        <v>1.5644654507924874E-4</v>
      </c>
      <c r="AZ1422" s="117">
        <f>VLOOKUP($D1422,'WB Data'!$C$3:$M$578,4,FALSE)/100</f>
        <v>0.51117342223215312</v>
      </c>
      <c r="BA1422" s="117">
        <f t="shared" si="248"/>
        <v>232014184397.16315</v>
      </c>
      <c r="BB1422" s="129">
        <f>IFERROR(VLOOKUP($D1422,'EITI Revenues'!$C$2:$G$224,5,FALSE),"..")</f>
        <v>71008812.234042555</v>
      </c>
      <c r="BC1422" s="846">
        <f t="shared" si="249"/>
        <v>3.0605375450877298E-4</v>
      </c>
      <c r="BD1422" s="129">
        <f>VLOOKUP($D1422,'WB Data 2'!$C$2:$K$545,6,FALSE)</f>
        <v>128129327664.51552</v>
      </c>
      <c r="BE1422" s="129">
        <f>IFERROR(VLOOKUP($D1422,UNCTAD!$C$5:$V$529,4,FALSE),"..")</f>
        <v>216594889079</v>
      </c>
      <c r="BF1422" s="846">
        <f t="shared" si="250"/>
        <v>0.59156210106962459</v>
      </c>
      <c r="BG1422" s="117" t="str">
        <f>VLOOKUP($D1422,'WB Data'!$C$3:$M$578,5,FALSE)</f>
        <v>..</v>
      </c>
      <c r="BH1422" s="129" t="str">
        <f>IFERROR($BB1422/$BG1422,"..")</f>
        <v>..</v>
      </c>
      <c r="BI1422" s="117">
        <f>IFERROR(VLOOKUP($D1422,'WB Data'!$C$3:$M$578,7,FALSE)/100,"..")</f>
        <v>6.4010499999999998E-2</v>
      </c>
      <c r="BJ1422" s="117">
        <f>IFERROR($BI1422*$AW1422,"..")</f>
        <v>29053435300.886528</v>
      </c>
      <c r="BK1422" s="846">
        <f>IFERROR($BB1422/$BJ1422,"..")</f>
        <v>2.4440762855976557E-3</v>
      </c>
      <c r="BL1422" s="117">
        <f>IFERROR(VLOOKUP($D1422,'WB Data'!$C$3:$M$578,7,FALSE)/100,"..")</f>
        <v>6.4010499999999998E-2</v>
      </c>
      <c r="BM1422" s="117">
        <f>IFERROR($AW1422*$BL1422,"..")</f>
        <v>29053435300.886528</v>
      </c>
      <c r="BN1422" s="846">
        <f>IFERROR($BB1422/$BM1422,"..")</f>
        <v>2.4440762855976557E-3</v>
      </c>
      <c r="BO1422" s="801">
        <f t="shared" si="246"/>
        <v>86</v>
      </c>
      <c r="BP1422" s="117" t="str">
        <f>VLOOKUP($D1422,'WB Data'!$C$3:$M$578,9,FALSE)</f>
        <v>..</v>
      </c>
      <c r="BQ1422" s="117">
        <f>VLOOKUP($D1422,'WB Data'!$C$3:$M$578,10,FALSE)</f>
        <v>80.592682926829283</v>
      </c>
      <c r="BR1422" s="117">
        <f>VLOOKUP($D1422,'WB Data'!$C$3:$M$578,11,FALSE)</f>
        <v>2.9</v>
      </c>
      <c r="BS1422" s="129">
        <f>IFERROR(VLOOKUP($D1422,'WB Data 2'!$C$2:$K$545,9,FALSE),"..")</f>
        <v>99.227590000000006</v>
      </c>
      <c r="BT1422" s="129">
        <f>_xlfn.IFNA(VLOOKUP($C1422,RGI!$A$2:$C$43,2,FALSE),"..")</f>
        <v>96.4</v>
      </c>
      <c r="BU1422" s="129">
        <f>_xlfn.IFNA(VLOOKUP($C1422,RGI!$A$2:$C$43,3,FALSE),"..")</f>
        <v>98.017483296506555</v>
      </c>
      <c r="BV1422" s="129" t="e">
        <f>VLOOKUP($D1422,WGI!$C$2:$O$478,7,FALSE)</f>
        <v>#N/A</v>
      </c>
      <c r="BW1422" s="129" t="e">
        <f>VLOOKUP($D1422,WGI!$C$2:$O$478,4,FALSE)</f>
        <v>#N/A</v>
      </c>
      <c r="BX1422" s="129" t="e">
        <f>VLOOKUP($D1422,WGI!$C$2:$O$478,3,FALSE)</f>
        <v>#N/A</v>
      </c>
      <c r="BY1422" s="129" t="e">
        <f>VLOOKUP($D1422,WGI!$C$2:$O$478,5,FALSE)</f>
        <v>#N/A</v>
      </c>
      <c r="BZ1422" s="129" t="e">
        <f>VLOOKUP($D1422,WGI!$C$2:$O$478,2,FALSE)</f>
        <v>#N/A</v>
      </c>
    </row>
    <row r="1423" spans="1:80" s="144" customFormat="1" ht="15" customHeight="1">
      <c r="A1423" s="279" t="s">
        <v>438</v>
      </c>
      <c r="B1423" s="132">
        <v>2009</v>
      </c>
      <c r="C1423" s="132" t="s">
        <v>436</v>
      </c>
      <c r="D1423" s="117" t="s">
        <v>3800</v>
      </c>
      <c r="E1423" s="132" t="s">
        <v>39</v>
      </c>
      <c r="F1423" s="132" t="s">
        <v>2007</v>
      </c>
      <c r="G1423" s="132" t="s">
        <v>55</v>
      </c>
      <c r="H1423" s="117" t="str">
        <f t="shared" si="241"/>
        <v>no</v>
      </c>
      <c r="I1423" s="117" t="str">
        <f t="shared" si="243"/>
        <v>yes</v>
      </c>
      <c r="J1423" s="117" t="str">
        <f t="shared" si="244"/>
        <v>yes</v>
      </c>
      <c r="K1423" s="132" t="s">
        <v>709</v>
      </c>
      <c r="L1423" s="117" t="str">
        <f t="shared" si="242"/>
        <v>Total</v>
      </c>
      <c r="M1423" s="117" t="str">
        <f t="shared" si="245"/>
        <v>Total Oil, Gas</v>
      </c>
      <c r="N1423" s="133"/>
      <c r="O1423" s="133"/>
      <c r="P1423" s="133"/>
      <c r="Q1423" s="133"/>
      <c r="R1423" s="133"/>
      <c r="S1423" s="132"/>
      <c r="T1423" s="134"/>
      <c r="U1423" s="132"/>
      <c r="V1423" s="132"/>
      <c r="W1423" s="135">
        <f>SUM(W1424:W1425)</f>
        <v>68283864000</v>
      </c>
      <c r="X1423" s="132" t="s">
        <v>2008</v>
      </c>
      <c r="Y1423" s="132" t="s">
        <v>602</v>
      </c>
      <c r="Z1423" s="132" t="s">
        <v>603</v>
      </c>
      <c r="AA1423" s="135">
        <v>42349871974.522293</v>
      </c>
      <c r="AB1423" s="135">
        <v>42349871974.522293</v>
      </c>
      <c r="AC1423" s="599"/>
      <c r="AD1423" s="599"/>
      <c r="AE1423" s="599"/>
      <c r="AF1423" s="600">
        <f>AA1423/W1423</f>
        <v>0.62020321484036545</v>
      </c>
      <c r="AG1423" s="132" t="s">
        <v>2009</v>
      </c>
      <c r="AH1423" s="140">
        <v>6.28</v>
      </c>
      <c r="AI1423" s="132" t="s">
        <v>605</v>
      </c>
      <c r="AJ1423" s="132"/>
      <c r="AK1423" s="135"/>
      <c r="AL1423" s="132"/>
      <c r="AM1423" s="132"/>
      <c r="AN1423" s="132">
        <v>64</v>
      </c>
      <c r="AO1423" s="132" t="s">
        <v>2012</v>
      </c>
      <c r="AP1423" s="132">
        <v>64</v>
      </c>
      <c r="AQ1423" s="229" t="s">
        <v>439</v>
      </c>
      <c r="AR1423" s="141">
        <v>41899</v>
      </c>
      <c r="AS1423" s="132" t="s">
        <v>712</v>
      </c>
      <c r="AT1423" s="132" t="s">
        <v>440</v>
      </c>
      <c r="AU1423" s="132">
        <v>16</v>
      </c>
      <c r="AV1423" s="143" t="s">
        <v>2013</v>
      </c>
      <c r="AW1423" s="117">
        <f>VLOOKUP($D1423,'WB Data'!$C$3:$M$578,2,FALSE)</f>
        <v>378849191624.70203</v>
      </c>
      <c r="AX1423" s="117">
        <f>VLOOKUP($D1423,'WB Data'!$C$3:$M$578,3,FALSE)</f>
        <v>4828726</v>
      </c>
      <c r="AY1423" s="847">
        <f t="shared" si="247"/>
        <v>0.11178556774241501</v>
      </c>
      <c r="AZ1423" s="117">
        <f>VLOOKUP($D1423,'WB Data'!$C$3:$M$578,4,FALSE)/100</f>
        <v>0.48173426855221568</v>
      </c>
      <c r="BA1423" s="117">
        <f t="shared" si="248"/>
        <v>182504638218.92404</v>
      </c>
      <c r="BB1423" s="129">
        <f>IFERROR(VLOOKUP($D1423,'EITI Revenues'!$C$2:$G$224,5,FALSE),"..")</f>
        <v>42349871974.522293</v>
      </c>
      <c r="BC1423" s="846">
        <f t="shared" si="249"/>
        <v>0.23204819552981093</v>
      </c>
      <c r="BD1423" s="129">
        <f>VLOOKUP($D1423,'WB Data 2'!$C$2:$K$545,6,FALSE)</f>
        <v>79857590847.760071</v>
      </c>
      <c r="BE1423" s="129">
        <f>IFERROR(VLOOKUP($D1423,UNCTAD!$C$5:$V$529,4,FALSE),"..")</f>
        <v>159900418055</v>
      </c>
      <c r="BF1423" s="846">
        <f t="shared" si="250"/>
        <v>0.49942077587496941</v>
      </c>
      <c r="BG1423" s="117" t="str">
        <f>VLOOKUP($D1423,'WB Data'!$C$3:$M$578,5,FALSE)</f>
        <v>..</v>
      </c>
      <c r="BH1423" s="129" t="str">
        <f>IFERROR($BB1423/$BG1423,"..")</f>
        <v>..</v>
      </c>
      <c r="BI1423" s="117">
        <f>IFERROR(VLOOKUP($D1423,'WB Data'!$C$3:$M$578,7,FALSE)/100,"..")</f>
        <v>7.240980000000001E-2</v>
      </c>
      <c r="BJ1423" s="117">
        <f>IFERROR($BI1423*$AW1423,"..")</f>
        <v>27432394195.706352</v>
      </c>
      <c r="BK1423" s="846">
        <f>IFERROR($BB1423/$BJ1423,"..")</f>
        <v>1.5437905883238869</v>
      </c>
      <c r="BL1423" s="117">
        <f>IFERROR(VLOOKUP($D1423,'WB Data'!$C$3:$M$578,7,FALSE)/100,"..")</f>
        <v>7.240980000000001E-2</v>
      </c>
      <c r="BM1423" s="117">
        <f>IFERROR($AW1423*$BL1423,"..")</f>
        <v>27432394195.706352</v>
      </c>
      <c r="BN1423" s="846">
        <f>IFERROR($BB1423/$BM1423,"..")</f>
        <v>1.5437905883238869</v>
      </c>
      <c r="BO1423" s="801">
        <f t="shared" si="246"/>
        <v>86</v>
      </c>
      <c r="BP1423" s="117" t="str">
        <f>VLOOKUP($D1423,'WB Data'!$C$3:$M$578,9,FALSE)</f>
        <v>..</v>
      </c>
      <c r="BQ1423" s="117">
        <f>VLOOKUP($D1423,'WB Data'!$C$3:$M$578,10,FALSE)</f>
        <v>80.795121951219514</v>
      </c>
      <c r="BR1423" s="117">
        <f>VLOOKUP($D1423,'WB Data'!$C$3:$M$578,11,FALSE)</f>
        <v>2.7</v>
      </c>
      <c r="BS1423" s="129">
        <f>IFERROR(VLOOKUP($D1423,'WB Data 2'!$C$2:$K$545,9,FALSE),"..")</f>
        <v>99.004090000000005</v>
      </c>
      <c r="BT1423" s="129">
        <f>_xlfn.IFNA(VLOOKUP($C1423,RGI!$A$2:$C$43,2,FALSE),"..")</f>
        <v>96.4</v>
      </c>
      <c r="BU1423" s="129">
        <f>_xlfn.IFNA(VLOOKUP($C1423,RGI!$A$2:$C$43,3,FALSE),"..")</f>
        <v>98.017483296506555</v>
      </c>
      <c r="BV1423" s="129" t="e">
        <f>VLOOKUP($D1423,WGI!$C$2:$O$478,7,FALSE)</f>
        <v>#N/A</v>
      </c>
      <c r="BW1423" s="129" t="e">
        <f>VLOOKUP($D1423,WGI!$C$2:$O$478,4,FALSE)</f>
        <v>#N/A</v>
      </c>
      <c r="BX1423" s="129" t="e">
        <f>VLOOKUP($D1423,WGI!$C$2:$O$478,3,FALSE)</f>
        <v>#N/A</v>
      </c>
      <c r="BY1423" s="129" t="e">
        <f>VLOOKUP($D1423,WGI!$C$2:$O$478,5,FALSE)</f>
        <v>#N/A</v>
      </c>
      <c r="BZ1423" s="129" t="e">
        <f>VLOOKUP($D1423,WGI!$C$2:$O$478,2,FALSE)</f>
        <v>#N/A</v>
      </c>
      <c r="CB1423" s="129"/>
    </row>
    <row r="1424" spans="1:80" s="120" customFormat="1" ht="15" customHeight="1">
      <c r="A1424" s="280" t="s">
        <v>438</v>
      </c>
      <c r="B1424" s="117">
        <v>2009</v>
      </c>
      <c r="C1424" s="117" t="s">
        <v>436</v>
      </c>
      <c r="D1424" s="117" t="s">
        <v>3800</v>
      </c>
      <c r="E1424" s="117" t="s">
        <v>39</v>
      </c>
      <c r="F1424" s="117"/>
      <c r="G1424" s="117" t="s">
        <v>561</v>
      </c>
      <c r="H1424" s="117" t="str">
        <f t="shared" si="241"/>
        <v>no</v>
      </c>
      <c r="I1424" s="117" t="str">
        <f t="shared" si="243"/>
        <v>yes</v>
      </c>
      <c r="J1424" s="117" t="str">
        <f t="shared" si="244"/>
        <v>no</v>
      </c>
      <c r="K1424" s="117" t="s">
        <v>561</v>
      </c>
      <c r="L1424" s="117" t="str">
        <f t="shared" si="242"/>
        <v>detailed</v>
      </c>
      <c r="M1424" s="117" t="str">
        <f t="shared" si="245"/>
        <v>detailed Gas</v>
      </c>
      <c r="N1424" s="118">
        <v>104400000000</v>
      </c>
      <c r="O1424" s="118">
        <f>N1424*0.0066</f>
        <v>689040000</v>
      </c>
      <c r="P1424" s="118"/>
      <c r="Q1424" s="118"/>
      <c r="R1424" s="118"/>
      <c r="S1424" s="117" t="s">
        <v>642</v>
      </c>
      <c r="T1424" s="119">
        <v>0.14422800000000002</v>
      </c>
      <c r="U1424" s="117" t="s">
        <v>643</v>
      </c>
      <c r="V1424" s="117" t="s">
        <v>738</v>
      </c>
      <c r="W1424" s="89">
        <f>N1424*T1424</f>
        <v>15057403200.000002</v>
      </c>
      <c r="X1424" s="117"/>
      <c r="Y1424" s="117"/>
      <c r="Z1424" s="117"/>
      <c r="AA1424" s="89"/>
      <c r="AB1424" s="89"/>
      <c r="AC1424" s="240"/>
      <c r="AD1424" s="240"/>
      <c r="AE1424" s="240"/>
      <c r="AF1424" s="241"/>
      <c r="AG1424" s="117"/>
      <c r="AH1424" s="124"/>
      <c r="AI1424" s="117"/>
      <c r="AJ1424" s="117"/>
      <c r="AK1424" s="89"/>
      <c r="AL1424" s="117"/>
      <c r="AM1424" s="117"/>
      <c r="AN1424" s="117"/>
      <c r="AO1424" s="117"/>
      <c r="AP1424" s="117"/>
      <c r="AQ1424" s="117"/>
      <c r="AR1424" s="126"/>
      <c r="AS1424" s="117"/>
      <c r="AT1424" s="117"/>
      <c r="AU1424" s="117"/>
      <c r="AV1424" s="128"/>
      <c r="AW1424" s="117">
        <f>VLOOKUP($D1424,'WB Data'!$C$3:$M$578,2,FALSE)</f>
        <v>378849191624.70203</v>
      </c>
      <c r="AX1424" s="117">
        <f>VLOOKUP($D1424,'WB Data'!$C$3:$M$578,3,FALSE)</f>
        <v>4828726</v>
      </c>
      <c r="AY1424" s="847">
        <f t="shared" si="247"/>
        <v>0.11178556774241501</v>
      </c>
      <c r="AZ1424" s="117">
        <f>VLOOKUP($D1424,'WB Data'!$C$3:$M$578,4,FALSE)/100</f>
        <v>0.48173426855221568</v>
      </c>
      <c r="BA1424" s="117">
        <f t="shared" si="248"/>
        <v>182504638218.92404</v>
      </c>
      <c r="BB1424" s="129">
        <f>IFERROR(VLOOKUP($D1424,'EITI Revenues'!$C$2:$G$224,5,FALSE),"..")</f>
        <v>42349871974.522293</v>
      </c>
      <c r="BC1424" s="846">
        <f t="shared" si="249"/>
        <v>0.23204819552981093</v>
      </c>
      <c r="BD1424" s="129">
        <f>VLOOKUP($D1424,'WB Data 2'!$C$2:$K$545,6,FALSE)</f>
        <v>79857590847.760071</v>
      </c>
      <c r="BE1424" s="129">
        <f>IFERROR(VLOOKUP($D1424,UNCTAD!$C$5:$V$529,4,FALSE),"..")</f>
        <v>159900418055</v>
      </c>
      <c r="BF1424" s="846">
        <f t="shared" si="250"/>
        <v>0.49942077587496941</v>
      </c>
      <c r="BG1424" s="117" t="str">
        <f>VLOOKUP($D1424,'WB Data'!$C$3:$M$578,5,FALSE)</f>
        <v>..</v>
      </c>
      <c r="BH1424" s="129" t="str">
        <f>IFERROR($BB1424/$BG1424,"..")</f>
        <v>..</v>
      </c>
      <c r="BI1424" s="117">
        <f>IFERROR(VLOOKUP($D1424,'WB Data'!$C$3:$M$578,7,FALSE)/100,"..")</f>
        <v>7.240980000000001E-2</v>
      </c>
      <c r="BJ1424" s="117">
        <f>IFERROR($BI1424*$AW1424,"..")</f>
        <v>27432394195.706352</v>
      </c>
      <c r="BK1424" s="846">
        <f>IFERROR($BB1424/$BJ1424,"..")</f>
        <v>1.5437905883238869</v>
      </c>
      <c r="BL1424" s="117">
        <f>IFERROR(VLOOKUP($D1424,'WB Data'!$C$3:$M$578,7,FALSE)/100,"..")</f>
        <v>7.240980000000001E-2</v>
      </c>
      <c r="BM1424" s="117">
        <f>IFERROR($AW1424*$BL1424,"..")</f>
        <v>27432394195.706352</v>
      </c>
      <c r="BN1424" s="846">
        <f>IFERROR($BB1424/$BM1424,"..")</f>
        <v>1.5437905883238869</v>
      </c>
      <c r="BO1424" s="801">
        <f t="shared" si="246"/>
        <v>86</v>
      </c>
      <c r="BP1424" s="117" t="str">
        <f>VLOOKUP($D1424,'WB Data'!$C$3:$M$578,9,FALSE)</f>
        <v>..</v>
      </c>
      <c r="BQ1424" s="117">
        <f>VLOOKUP($D1424,'WB Data'!$C$3:$M$578,10,FALSE)</f>
        <v>80.795121951219514</v>
      </c>
      <c r="BR1424" s="117">
        <f>VLOOKUP($D1424,'WB Data'!$C$3:$M$578,11,FALSE)</f>
        <v>2.7</v>
      </c>
      <c r="BS1424" s="129">
        <f>IFERROR(VLOOKUP($D1424,'WB Data 2'!$C$2:$K$545,9,FALSE),"..")</f>
        <v>99.004090000000005</v>
      </c>
      <c r="BT1424" s="129">
        <f>_xlfn.IFNA(VLOOKUP($C1424,RGI!$A$2:$C$43,2,FALSE),"..")</f>
        <v>96.4</v>
      </c>
      <c r="BU1424" s="129">
        <f>_xlfn.IFNA(VLOOKUP($C1424,RGI!$A$2:$C$43,3,FALSE),"..")</f>
        <v>98.017483296506555</v>
      </c>
      <c r="BV1424" s="129" t="e">
        <f>VLOOKUP($D1424,WGI!$C$2:$O$478,7,FALSE)</f>
        <v>#N/A</v>
      </c>
      <c r="BW1424" s="129" t="e">
        <f>VLOOKUP($D1424,WGI!$C$2:$O$478,4,FALSE)</f>
        <v>#N/A</v>
      </c>
      <c r="BX1424" s="129" t="e">
        <f>VLOOKUP($D1424,WGI!$C$2:$O$478,3,FALSE)</f>
        <v>#N/A</v>
      </c>
      <c r="BY1424" s="129" t="e">
        <f>VLOOKUP($D1424,WGI!$C$2:$O$478,5,FALSE)</f>
        <v>#N/A</v>
      </c>
      <c r="BZ1424" s="129" t="e">
        <f>VLOOKUP($D1424,WGI!$C$2:$O$478,2,FALSE)</f>
        <v>#N/A</v>
      </c>
      <c r="CB1424" s="129"/>
    </row>
    <row r="1425" spans="1:80" s="158" customFormat="1" ht="15" customHeight="1">
      <c r="A1425" s="282" t="s">
        <v>438</v>
      </c>
      <c r="B1425" s="149">
        <v>2009</v>
      </c>
      <c r="C1425" s="117" t="s">
        <v>436</v>
      </c>
      <c r="D1425" s="117" t="s">
        <v>3800</v>
      </c>
      <c r="E1425" s="149" t="s">
        <v>39</v>
      </c>
      <c r="F1425" s="149"/>
      <c r="G1425" s="149" t="s">
        <v>103</v>
      </c>
      <c r="H1425" s="117" t="str">
        <f t="shared" si="241"/>
        <v>no</v>
      </c>
      <c r="I1425" s="117" t="str">
        <f t="shared" si="243"/>
        <v>no</v>
      </c>
      <c r="J1425" s="117" t="str">
        <f t="shared" si="244"/>
        <v>yes</v>
      </c>
      <c r="K1425" s="149" t="s">
        <v>103</v>
      </c>
      <c r="L1425" s="117" t="str">
        <f t="shared" si="242"/>
        <v>detailed</v>
      </c>
      <c r="M1425" s="117" t="str">
        <f t="shared" si="245"/>
        <v>detailed Oil</v>
      </c>
      <c r="N1425" s="150">
        <v>857385000</v>
      </c>
      <c r="O1425" s="211">
        <f>O1424/N1425</f>
        <v>0.80365296803652964</v>
      </c>
      <c r="P1425" s="150"/>
      <c r="Q1425" s="150"/>
      <c r="R1425" s="150"/>
      <c r="S1425" s="149" t="s">
        <v>646</v>
      </c>
      <c r="T1425" s="151">
        <v>62.08</v>
      </c>
      <c r="U1425" s="149" t="s">
        <v>673</v>
      </c>
      <c r="V1425" s="149" t="s">
        <v>740</v>
      </c>
      <c r="W1425" s="152">
        <f>N1425*T1425</f>
        <v>53226460800</v>
      </c>
      <c r="X1425" s="149"/>
      <c r="Y1425" s="149"/>
      <c r="Z1425" s="149" t="s">
        <v>603</v>
      </c>
      <c r="AA1425" s="152"/>
      <c r="AB1425" s="152"/>
      <c r="AC1425" s="288"/>
      <c r="AD1425" s="288"/>
      <c r="AE1425" s="288"/>
      <c r="AF1425" s="285"/>
      <c r="AG1425" s="149"/>
      <c r="AH1425" s="156"/>
      <c r="AI1425" s="149"/>
      <c r="AJ1425" s="149"/>
      <c r="AK1425" s="152"/>
      <c r="AL1425" s="149"/>
      <c r="AM1425" s="149"/>
      <c r="AN1425" s="149"/>
      <c r="AO1425" s="149"/>
      <c r="AP1425" s="149"/>
      <c r="AQ1425" s="149"/>
      <c r="AR1425" s="220"/>
      <c r="AS1425" s="149"/>
      <c r="AT1425" s="149"/>
      <c r="AU1425" s="149"/>
      <c r="AV1425" s="157"/>
      <c r="AW1425" s="117">
        <f>VLOOKUP($D1425,'WB Data'!$C$3:$M$578,2,FALSE)</f>
        <v>378849191624.70203</v>
      </c>
      <c r="AX1425" s="117">
        <f>VLOOKUP($D1425,'WB Data'!$C$3:$M$578,3,FALSE)</f>
        <v>4828726</v>
      </c>
      <c r="AY1425" s="847">
        <f t="shared" si="247"/>
        <v>0.11178556774241501</v>
      </c>
      <c r="AZ1425" s="117">
        <f>VLOOKUP($D1425,'WB Data'!$C$3:$M$578,4,FALSE)/100</f>
        <v>0.48173426855221568</v>
      </c>
      <c r="BA1425" s="117">
        <f t="shared" si="248"/>
        <v>182504638218.92404</v>
      </c>
      <c r="BB1425" s="129">
        <f>IFERROR(VLOOKUP($D1425,'EITI Revenues'!$C$2:$G$224,5,FALSE),"..")</f>
        <v>42349871974.522293</v>
      </c>
      <c r="BC1425" s="846">
        <f t="shared" si="249"/>
        <v>0.23204819552981093</v>
      </c>
      <c r="BD1425" s="129">
        <f>VLOOKUP($D1425,'WB Data 2'!$C$2:$K$545,6,FALSE)</f>
        <v>79857590847.760071</v>
      </c>
      <c r="BE1425" s="129">
        <f>IFERROR(VLOOKUP($D1425,UNCTAD!$C$5:$V$529,4,FALSE),"..")</f>
        <v>159900418055</v>
      </c>
      <c r="BF1425" s="846">
        <f t="shared" si="250"/>
        <v>0.49942077587496941</v>
      </c>
      <c r="BG1425" s="117" t="str">
        <f>VLOOKUP($D1425,'WB Data'!$C$3:$M$578,5,FALSE)</f>
        <v>..</v>
      </c>
      <c r="BH1425" s="129" t="str">
        <f>IFERROR($BB1425/$BG1425,"..")</f>
        <v>..</v>
      </c>
      <c r="BI1425" s="117">
        <f>IFERROR(VLOOKUP($D1425,'WB Data'!$C$3:$M$578,7,FALSE)/100,"..")</f>
        <v>7.240980000000001E-2</v>
      </c>
      <c r="BJ1425" s="117">
        <f>IFERROR($BI1425*$AW1425,"..")</f>
        <v>27432394195.706352</v>
      </c>
      <c r="BK1425" s="846">
        <f>IFERROR($BB1425/$BJ1425,"..")</f>
        <v>1.5437905883238869</v>
      </c>
      <c r="BL1425" s="117">
        <f>IFERROR(VLOOKUP($D1425,'WB Data'!$C$3:$M$578,7,FALSE)/100,"..")</f>
        <v>7.240980000000001E-2</v>
      </c>
      <c r="BM1425" s="117">
        <f>IFERROR($AW1425*$BL1425,"..")</f>
        <v>27432394195.706352</v>
      </c>
      <c r="BN1425" s="846">
        <f>IFERROR($BB1425/$BM1425,"..")</f>
        <v>1.5437905883238869</v>
      </c>
      <c r="BO1425" s="801">
        <f t="shared" si="246"/>
        <v>86</v>
      </c>
      <c r="BP1425" s="117" t="str">
        <f>VLOOKUP($D1425,'WB Data'!$C$3:$M$578,9,FALSE)</f>
        <v>..</v>
      </c>
      <c r="BQ1425" s="117">
        <f>VLOOKUP($D1425,'WB Data'!$C$3:$M$578,10,FALSE)</f>
        <v>80.795121951219514</v>
      </c>
      <c r="BR1425" s="117">
        <f>VLOOKUP($D1425,'WB Data'!$C$3:$M$578,11,FALSE)</f>
        <v>2.7</v>
      </c>
      <c r="BS1425" s="129">
        <f>IFERROR(VLOOKUP($D1425,'WB Data 2'!$C$2:$K$545,9,FALSE),"..")</f>
        <v>99.004090000000005</v>
      </c>
      <c r="BT1425" s="129">
        <f>_xlfn.IFNA(VLOOKUP($C1425,RGI!$A$2:$C$43,2,FALSE),"..")</f>
        <v>96.4</v>
      </c>
      <c r="BU1425" s="129">
        <f>_xlfn.IFNA(VLOOKUP($C1425,RGI!$A$2:$C$43,3,FALSE),"..")</f>
        <v>98.017483296506555</v>
      </c>
      <c r="BV1425" s="129" t="e">
        <f>VLOOKUP($D1425,WGI!$C$2:$O$478,7,FALSE)</f>
        <v>#N/A</v>
      </c>
      <c r="BW1425" s="129" t="e">
        <f>VLOOKUP($D1425,WGI!$C$2:$O$478,4,FALSE)</f>
        <v>#N/A</v>
      </c>
      <c r="BX1425" s="129" t="e">
        <f>VLOOKUP($D1425,WGI!$C$2:$O$478,3,FALSE)</f>
        <v>#N/A</v>
      </c>
      <c r="BY1425" s="129" t="e">
        <f>VLOOKUP($D1425,WGI!$C$2:$O$478,5,FALSE)</f>
        <v>#N/A</v>
      </c>
      <c r="BZ1425" s="129" t="e">
        <f>VLOOKUP($D1425,WGI!$C$2:$O$478,2,FALSE)</f>
        <v>#N/A</v>
      </c>
      <c r="CB1425" s="129"/>
    </row>
    <row r="1426" spans="1:80" ht="15" customHeight="1">
      <c r="A1426" s="407" t="s">
        <v>441</v>
      </c>
      <c r="B1426" s="408">
        <v>2010</v>
      </c>
      <c r="C1426" s="132" t="s">
        <v>436</v>
      </c>
      <c r="D1426" s="117" t="s">
        <v>3801</v>
      </c>
      <c r="E1426" s="409" t="s">
        <v>39</v>
      </c>
      <c r="F1426" s="410" t="s">
        <v>2007</v>
      </c>
      <c r="G1426" s="410" t="s">
        <v>55</v>
      </c>
      <c r="H1426" s="117" t="str">
        <f t="shared" si="241"/>
        <v>no</v>
      </c>
      <c r="I1426" s="117" t="str">
        <f t="shared" si="243"/>
        <v>yes</v>
      </c>
      <c r="J1426" s="117" t="str">
        <f t="shared" si="244"/>
        <v>yes</v>
      </c>
      <c r="K1426" s="410" t="s">
        <v>709</v>
      </c>
      <c r="L1426" s="117" t="str">
        <f t="shared" si="242"/>
        <v>Total</v>
      </c>
      <c r="M1426" s="117" t="str">
        <f t="shared" si="245"/>
        <v>Total Oil, Gas</v>
      </c>
      <c r="N1426" s="411"/>
      <c r="O1426" s="411"/>
      <c r="P1426" s="411"/>
      <c r="Q1426" s="411"/>
      <c r="R1426" s="411"/>
      <c r="S1426" s="410"/>
      <c r="T1426" s="412"/>
      <c r="U1426" s="410"/>
      <c r="V1426" s="410"/>
      <c r="W1426" s="413">
        <f>SUM(W1427:W1428)</f>
        <v>80673952925.268036</v>
      </c>
      <c r="X1426" s="410" t="s">
        <v>2014</v>
      </c>
      <c r="Y1426" s="410" t="s">
        <v>602</v>
      </c>
      <c r="Z1426" s="410"/>
      <c r="AA1426" s="413">
        <v>44013892000</v>
      </c>
      <c r="AB1426" s="413">
        <v>44013892000</v>
      </c>
      <c r="AC1426" s="618"/>
      <c r="AD1426" s="618"/>
      <c r="AE1426" s="618"/>
      <c r="AF1426" s="619">
        <f>AA1426/W1426</f>
        <v>0.54557748076100943</v>
      </c>
      <c r="AG1426" s="410"/>
      <c r="AH1426" s="417">
        <v>5.97</v>
      </c>
      <c r="AI1426" s="410" t="s">
        <v>722</v>
      </c>
      <c r="AJ1426" s="410"/>
      <c r="AK1426" s="413"/>
      <c r="AL1426" s="410"/>
      <c r="AM1426" s="410"/>
      <c r="AN1426" s="410"/>
      <c r="AO1426" s="410"/>
      <c r="AP1426" s="410">
        <v>66</v>
      </c>
      <c r="AQ1426" s="410" t="s">
        <v>442</v>
      </c>
      <c r="AR1426" s="418">
        <v>41922</v>
      </c>
      <c r="AS1426" s="410" t="s">
        <v>712</v>
      </c>
      <c r="AT1426" s="410" t="s">
        <v>443</v>
      </c>
      <c r="AU1426" s="410"/>
      <c r="AV1426" s="419" t="s">
        <v>2015</v>
      </c>
      <c r="AW1426" s="117">
        <f>VLOOKUP($D1426,'WB Data'!$C$3:$M$578,2,FALSE)</f>
        <v>420945705225.42371</v>
      </c>
      <c r="AX1426" s="117">
        <f>VLOOKUP($D1426,'WB Data'!$C$3:$M$578,3,FALSE)</f>
        <v>4889252</v>
      </c>
      <c r="AY1426" s="847">
        <f t="shared" si="247"/>
        <v>0.10455954640618034</v>
      </c>
      <c r="AZ1426" s="117">
        <f>VLOOKUP($D1426,'WB Data'!$C$3:$M$578,4,FALSE)/100</f>
        <v>0.47789814429780536</v>
      </c>
      <c r="BA1426" s="117">
        <f t="shared" si="248"/>
        <v>201169171377.36099</v>
      </c>
      <c r="BB1426" s="129">
        <f>IFERROR(VLOOKUP($D1426,'EITI Revenues'!$C$2:$G$224,5,FALSE),"..")</f>
        <v>44013892000</v>
      </c>
      <c r="BC1426" s="846">
        <f t="shared" si="249"/>
        <v>0.21879044238561296</v>
      </c>
      <c r="BD1426" s="129">
        <f>VLOOKUP($D1426,'WB Data 2'!$C$2:$K$545,6,FALSE)</f>
        <v>91713796937.235306</v>
      </c>
      <c r="BE1426" s="129">
        <f>IFERROR(VLOOKUP($D1426,UNCTAD!$C$5:$V$529,4,FALSE),"..")</f>
        <v>172106149893</v>
      </c>
      <c r="BF1426" s="846">
        <f t="shared" si="250"/>
        <v>0.53289087574299132</v>
      </c>
      <c r="BG1426" s="117" t="str">
        <f>VLOOKUP($D1426,'WB Data'!$C$3:$M$578,5,FALSE)</f>
        <v>..</v>
      </c>
      <c r="BH1426" s="129" t="str">
        <f>IFERROR($BB1426/$BG1426,"..")</f>
        <v>..</v>
      </c>
      <c r="BI1426" s="117">
        <f>IFERROR(VLOOKUP($D1426,'WB Data'!$C$3:$M$578,7,FALSE)/100,"..")</f>
        <v>6.8715299999999993E-2</v>
      </c>
      <c r="BJ1426" s="117">
        <f>IFERROR($BI1426*$AW1426,"..")</f>
        <v>28925410418.276554</v>
      </c>
      <c r="BK1426" s="846">
        <f>IFERROR($BB1426/$BJ1426,"..")</f>
        <v>1.5216341397939084</v>
      </c>
      <c r="BL1426" s="117">
        <f>IFERROR(VLOOKUP($D1426,'WB Data'!$C$3:$M$578,7,FALSE)/100,"..")</f>
        <v>6.8715299999999993E-2</v>
      </c>
      <c r="BM1426" s="117">
        <f>IFERROR($AW1426*$BL1426,"..")</f>
        <v>28925410418.276554</v>
      </c>
      <c r="BN1426" s="846">
        <f>IFERROR($BB1426/$BM1426,"..")</f>
        <v>1.5216341397939084</v>
      </c>
      <c r="BO1426" s="801">
        <f t="shared" si="246"/>
        <v>86</v>
      </c>
      <c r="BP1426" s="117" t="str">
        <f>VLOOKUP($D1426,'WB Data'!$C$3:$M$578,9,FALSE)</f>
        <v>..</v>
      </c>
      <c r="BQ1426" s="117">
        <f>VLOOKUP($D1426,'WB Data'!$C$3:$M$578,10,FALSE)</f>
        <v>80.997560975609773</v>
      </c>
      <c r="BR1426" s="117">
        <f>VLOOKUP($D1426,'WB Data'!$C$3:$M$578,11,FALSE)</f>
        <v>2.6</v>
      </c>
      <c r="BS1426" s="129">
        <f>IFERROR(VLOOKUP($D1426,'WB Data 2'!$C$2:$K$545,9,FALSE),"..")</f>
        <v>98.877499999999998</v>
      </c>
      <c r="BT1426" s="129">
        <f>_xlfn.IFNA(VLOOKUP($C1426,RGI!$A$2:$C$43,2,FALSE),"..")</f>
        <v>96.4</v>
      </c>
      <c r="BU1426" s="129">
        <f>_xlfn.IFNA(VLOOKUP($C1426,RGI!$A$2:$C$43,3,FALSE),"..")</f>
        <v>98.017483296506555</v>
      </c>
      <c r="BV1426" s="129" t="e">
        <f>VLOOKUP($D1426,WGI!$C$2:$O$478,7,FALSE)</f>
        <v>#N/A</v>
      </c>
      <c r="BW1426" s="129" t="e">
        <f>VLOOKUP($D1426,WGI!$C$2:$O$478,4,FALSE)</f>
        <v>#N/A</v>
      </c>
      <c r="BX1426" s="129" t="e">
        <f>VLOOKUP($D1426,WGI!$C$2:$O$478,3,FALSE)</f>
        <v>#N/A</v>
      </c>
      <c r="BY1426" s="129" t="e">
        <f>VLOOKUP($D1426,WGI!$C$2:$O$478,5,FALSE)</f>
        <v>#N/A</v>
      </c>
      <c r="BZ1426" s="129" t="e">
        <f>VLOOKUP($D1426,WGI!$C$2:$O$478,2,FALSE)</f>
        <v>#N/A</v>
      </c>
    </row>
    <row r="1427" spans="1:80" s="120" customFormat="1" ht="15" customHeight="1">
      <c r="A1427" s="407" t="s">
        <v>441</v>
      </c>
      <c r="B1427" s="408">
        <v>2010</v>
      </c>
      <c r="C1427" s="117" t="s">
        <v>436</v>
      </c>
      <c r="D1427" s="117" t="s">
        <v>3801</v>
      </c>
      <c r="E1427" s="409" t="s">
        <v>39</v>
      </c>
      <c r="F1427" s="410"/>
      <c r="G1427" s="410" t="s">
        <v>561</v>
      </c>
      <c r="H1427" s="117" t="str">
        <f t="shared" si="241"/>
        <v>no</v>
      </c>
      <c r="I1427" s="117" t="str">
        <f t="shared" si="243"/>
        <v>yes</v>
      </c>
      <c r="J1427" s="117" t="str">
        <f t="shared" si="244"/>
        <v>no</v>
      </c>
      <c r="K1427" s="410" t="s">
        <v>561</v>
      </c>
      <c r="L1427" s="117" t="str">
        <f t="shared" si="242"/>
        <v>detailed</v>
      </c>
      <c r="M1427" s="117" t="str">
        <f t="shared" si="245"/>
        <v>detailed Gas</v>
      </c>
      <c r="N1427" s="411">
        <v>107300000000</v>
      </c>
      <c r="O1427" s="118">
        <f>N1427*0.0066</f>
        <v>708180000</v>
      </c>
      <c r="P1427" s="411"/>
      <c r="Q1427" s="411"/>
      <c r="R1427" s="411"/>
      <c r="S1427" s="410" t="s">
        <v>642</v>
      </c>
      <c r="T1427" s="412">
        <v>0.1741077336927683</v>
      </c>
      <c r="U1427" s="410" t="s">
        <v>643</v>
      </c>
      <c r="V1427" s="410" t="s">
        <v>738</v>
      </c>
      <c r="W1427" s="413">
        <f>N1427*T1427</f>
        <v>18681759825.234039</v>
      </c>
      <c r="X1427" s="410"/>
      <c r="Y1427" s="410"/>
      <c r="Z1427" s="410"/>
      <c r="AA1427" s="413"/>
      <c r="AB1427" s="413"/>
      <c r="AC1427" s="618"/>
      <c r="AD1427" s="618"/>
      <c r="AE1427" s="618"/>
      <c r="AF1427" s="619"/>
      <c r="AG1427" s="410"/>
      <c r="AH1427" s="417"/>
      <c r="AI1427" s="410"/>
      <c r="AJ1427" s="410"/>
      <c r="AK1427" s="413"/>
      <c r="AL1427" s="410"/>
      <c r="AM1427" s="410"/>
      <c r="AN1427" s="410"/>
      <c r="AO1427" s="410"/>
      <c r="AP1427" s="410"/>
      <c r="AQ1427" s="410"/>
      <c r="AR1427" s="418"/>
      <c r="AS1427" s="410"/>
      <c r="AT1427" s="410"/>
      <c r="AU1427" s="410"/>
      <c r="AV1427" s="419"/>
      <c r="AW1427" s="117">
        <f>VLOOKUP($D1427,'WB Data'!$C$3:$M$578,2,FALSE)</f>
        <v>420945705225.42371</v>
      </c>
      <c r="AX1427" s="117">
        <f>VLOOKUP($D1427,'WB Data'!$C$3:$M$578,3,FALSE)</f>
        <v>4889252</v>
      </c>
      <c r="AY1427" s="847">
        <f t="shared" si="247"/>
        <v>0.10455954640618034</v>
      </c>
      <c r="AZ1427" s="117">
        <f>VLOOKUP($D1427,'WB Data'!$C$3:$M$578,4,FALSE)/100</f>
        <v>0.47789814429780536</v>
      </c>
      <c r="BA1427" s="117">
        <f t="shared" si="248"/>
        <v>201169171377.36099</v>
      </c>
      <c r="BB1427" s="129">
        <f>IFERROR(VLOOKUP($D1427,'EITI Revenues'!$C$2:$G$224,5,FALSE),"..")</f>
        <v>44013892000</v>
      </c>
      <c r="BC1427" s="846">
        <f t="shared" si="249"/>
        <v>0.21879044238561296</v>
      </c>
      <c r="BD1427" s="129">
        <f>VLOOKUP($D1427,'WB Data 2'!$C$2:$K$545,6,FALSE)</f>
        <v>91713796937.235306</v>
      </c>
      <c r="BE1427" s="129">
        <f>IFERROR(VLOOKUP($D1427,UNCTAD!$C$5:$V$529,4,FALSE),"..")</f>
        <v>172106149893</v>
      </c>
      <c r="BF1427" s="846">
        <f t="shared" si="250"/>
        <v>0.53289087574299132</v>
      </c>
      <c r="BG1427" s="117" t="str">
        <f>VLOOKUP($D1427,'WB Data'!$C$3:$M$578,5,FALSE)</f>
        <v>..</v>
      </c>
      <c r="BH1427" s="129" t="str">
        <f>IFERROR($BB1427/$BG1427,"..")</f>
        <v>..</v>
      </c>
      <c r="BI1427" s="117">
        <f>IFERROR(VLOOKUP($D1427,'WB Data'!$C$3:$M$578,7,FALSE)/100,"..")</f>
        <v>6.8715299999999993E-2</v>
      </c>
      <c r="BJ1427" s="117">
        <f>IFERROR($BI1427*$AW1427,"..")</f>
        <v>28925410418.276554</v>
      </c>
      <c r="BK1427" s="846">
        <f>IFERROR($BB1427/$BJ1427,"..")</f>
        <v>1.5216341397939084</v>
      </c>
      <c r="BL1427" s="117">
        <f>IFERROR(VLOOKUP($D1427,'WB Data'!$C$3:$M$578,7,FALSE)/100,"..")</f>
        <v>6.8715299999999993E-2</v>
      </c>
      <c r="BM1427" s="117">
        <f>IFERROR($AW1427*$BL1427,"..")</f>
        <v>28925410418.276554</v>
      </c>
      <c r="BN1427" s="846">
        <f>IFERROR($BB1427/$BM1427,"..")</f>
        <v>1.5216341397939084</v>
      </c>
      <c r="BO1427" s="801">
        <f t="shared" si="246"/>
        <v>86</v>
      </c>
      <c r="BP1427" s="117" t="str">
        <f>VLOOKUP($D1427,'WB Data'!$C$3:$M$578,9,FALSE)</f>
        <v>..</v>
      </c>
      <c r="BQ1427" s="117">
        <f>VLOOKUP($D1427,'WB Data'!$C$3:$M$578,10,FALSE)</f>
        <v>80.997560975609773</v>
      </c>
      <c r="BR1427" s="117">
        <f>VLOOKUP($D1427,'WB Data'!$C$3:$M$578,11,FALSE)</f>
        <v>2.6</v>
      </c>
      <c r="BS1427" s="129">
        <f>IFERROR(VLOOKUP($D1427,'WB Data 2'!$C$2:$K$545,9,FALSE),"..")</f>
        <v>98.877499999999998</v>
      </c>
      <c r="BT1427" s="129">
        <f>_xlfn.IFNA(VLOOKUP($C1427,RGI!$A$2:$C$43,2,FALSE),"..")</f>
        <v>96.4</v>
      </c>
      <c r="BU1427" s="129">
        <f>_xlfn.IFNA(VLOOKUP($C1427,RGI!$A$2:$C$43,3,FALSE),"..")</f>
        <v>98.017483296506555</v>
      </c>
      <c r="BV1427" s="129" t="e">
        <f>VLOOKUP($D1427,WGI!$C$2:$O$478,7,FALSE)</f>
        <v>#N/A</v>
      </c>
      <c r="BW1427" s="129" t="e">
        <f>VLOOKUP($D1427,WGI!$C$2:$O$478,4,FALSE)</f>
        <v>#N/A</v>
      </c>
      <c r="BX1427" s="129" t="e">
        <f>VLOOKUP($D1427,WGI!$C$2:$O$478,3,FALSE)</f>
        <v>#N/A</v>
      </c>
      <c r="BY1427" s="129" t="e">
        <f>VLOOKUP($D1427,WGI!$C$2:$O$478,5,FALSE)</f>
        <v>#N/A</v>
      </c>
      <c r="BZ1427" s="129" t="e">
        <f>VLOOKUP($D1427,WGI!$C$2:$O$478,2,FALSE)</f>
        <v>#N/A</v>
      </c>
      <c r="CB1427" s="129"/>
    </row>
    <row r="1428" spans="1:80" ht="15" customHeight="1">
      <c r="A1428" s="407" t="s">
        <v>441</v>
      </c>
      <c r="B1428" s="408">
        <v>2010</v>
      </c>
      <c r="C1428" s="117" t="s">
        <v>436</v>
      </c>
      <c r="D1428" s="117" t="s">
        <v>3801</v>
      </c>
      <c r="E1428" s="409" t="s">
        <v>39</v>
      </c>
      <c r="F1428" s="410"/>
      <c r="G1428" s="410" t="s">
        <v>103</v>
      </c>
      <c r="H1428" s="117" t="str">
        <f t="shared" si="241"/>
        <v>no</v>
      </c>
      <c r="I1428" s="117" t="str">
        <f t="shared" si="243"/>
        <v>no</v>
      </c>
      <c r="J1428" s="117" t="str">
        <f t="shared" si="244"/>
        <v>yes</v>
      </c>
      <c r="K1428" s="410" t="s">
        <v>103</v>
      </c>
      <c r="L1428" s="117" t="str">
        <f t="shared" si="242"/>
        <v>detailed</v>
      </c>
      <c r="M1428" s="117" t="str">
        <f t="shared" si="245"/>
        <v>detailed Oil</v>
      </c>
      <c r="N1428" s="411">
        <v>779640000</v>
      </c>
      <c r="O1428" s="211">
        <f>O1427/N1428</f>
        <v>0.90834231183623215</v>
      </c>
      <c r="P1428" s="411"/>
      <c r="Q1428" s="411"/>
      <c r="R1428" s="411"/>
      <c r="S1428" s="410" t="s">
        <v>646</v>
      </c>
      <c r="T1428" s="412">
        <v>79.513869349999993</v>
      </c>
      <c r="U1428" s="410" t="s">
        <v>673</v>
      </c>
      <c r="V1428" s="410" t="s">
        <v>740</v>
      </c>
      <c r="W1428" s="413">
        <f>N1428*T1428</f>
        <v>61992193100.033997</v>
      </c>
      <c r="X1428" s="410"/>
      <c r="Y1428" s="410"/>
      <c r="Z1428" s="410"/>
      <c r="AA1428" s="413"/>
      <c r="AB1428" s="413"/>
      <c r="AC1428" s="618"/>
      <c r="AD1428" s="618"/>
      <c r="AE1428" s="618"/>
      <c r="AF1428" s="619"/>
      <c r="AG1428" s="410"/>
      <c r="AH1428" s="417"/>
      <c r="AI1428" s="410"/>
      <c r="AJ1428" s="410"/>
      <c r="AK1428" s="413"/>
      <c r="AL1428" s="410"/>
      <c r="AM1428" s="410"/>
      <c r="AN1428" s="410"/>
      <c r="AO1428" s="410"/>
      <c r="AP1428" s="410"/>
      <c r="AQ1428" s="410"/>
      <c r="AR1428" s="418"/>
      <c r="AS1428" s="410"/>
      <c r="AT1428" s="410"/>
      <c r="AU1428" s="410"/>
      <c r="AV1428" s="419"/>
      <c r="AW1428" s="117">
        <f>VLOOKUP($D1428,'WB Data'!$C$3:$M$578,2,FALSE)</f>
        <v>420945705225.42371</v>
      </c>
      <c r="AX1428" s="117">
        <f>VLOOKUP($D1428,'WB Data'!$C$3:$M$578,3,FALSE)</f>
        <v>4889252</v>
      </c>
      <c r="AY1428" s="847">
        <f t="shared" si="247"/>
        <v>0.10455954640618034</v>
      </c>
      <c r="AZ1428" s="117">
        <f>VLOOKUP($D1428,'WB Data'!$C$3:$M$578,4,FALSE)/100</f>
        <v>0.47789814429780536</v>
      </c>
      <c r="BA1428" s="117">
        <f t="shared" si="248"/>
        <v>201169171377.36099</v>
      </c>
      <c r="BB1428" s="129">
        <f>IFERROR(VLOOKUP($D1428,'EITI Revenues'!$C$2:$G$224,5,FALSE),"..")</f>
        <v>44013892000</v>
      </c>
      <c r="BC1428" s="846">
        <f t="shared" si="249"/>
        <v>0.21879044238561296</v>
      </c>
      <c r="BD1428" s="129">
        <f>VLOOKUP($D1428,'WB Data 2'!$C$2:$K$545,6,FALSE)</f>
        <v>91713796937.235306</v>
      </c>
      <c r="BE1428" s="129">
        <f>IFERROR(VLOOKUP($D1428,UNCTAD!$C$5:$V$529,4,FALSE),"..")</f>
        <v>172106149893</v>
      </c>
      <c r="BF1428" s="846">
        <f t="shared" si="250"/>
        <v>0.53289087574299132</v>
      </c>
      <c r="BG1428" s="117" t="str">
        <f>VLOOKUP($D1428,'WB Data'!$C$3:$M$578,5,FALSE)</f>
        <v>..</v>
      </c>
      <c r="BH1428" s="129" t="str">
        <f>IFERROR($BB1428/$BG1428,"..")</f>
        <v>..</v>
      </c>
      <c r="BI1428" s="117">
        <f>IFERROR(VLOOKUP($D1428,'WB Data'!$C$3:$M$578,7,FALSE)/100,"..")</f>
        <v>6.8715299999999993E-2</v>
      </c>
      <c r="BJ1428" s="117">
        <f>IFERROR($BI1428*$AW1428,"..")</f>
        <v>28925410418.276554</v>
      </c>
      <c r="BK1428" s="846">
        <f>IFERROR($BB1428/$BJ1428,"..")</f>
        <v>1.5216341397939084</v>
      </c>
      <c r="BL1428" s="117">
        <f>IFERROR(VLOOKUP($D1428,'WB Data'!$C$3:$M$578,7,FALSE)/100,"..")</f>
        <v>6.8715299999999993E-2</v>
      </c>
      <c r="BM1428" s="117">
        <f>IFERROR($AW1428*$BL1428,"..")</f>
        <v>28925410418.276554</v>
      </c>
      <c r="BN1428" s="846">
        <f>IFERROR($BB1428/$BM1428,"..")</f>
        <v>1.5216341397939084</v>
      </c>
      <c r="BO1428" s="801">
        <f t="shared" si="246"/>
        <v>86</v>
      </c>
      <c r="BP1428" s="117" t="str">
        <f>VLOOKUP($D1428,'WB Data'!$C$3:$M$578,9,FALSE)</f>
        <v>..</v>
      </c>
      <c r="BQ1428" s="117">
        <f>VLOOKUP($D1428,'WB Data'!$C$3:$M$578,10,FALSE)</f>
        <v>80.997560975609773</v>
      </c>
      <c r="BR1428" s="117">
        <f>VLOOKUP($D1428,'WB Data'!$C$3:$M$578,11,FALSE)</f>
        <v>2.6</v>
      </c>
      <c r="BS1428" s="129">
        <f>IFERROR(VLOOKUP($D1428,'WB Data 2'!$C$2:$K$545,9,FALSE),"..")</f>
        <v>98.877499999999998</v>
      </c>
      <c r="BT1428" s="129">
        <f>_xlfn.IFNA(VLOOKUP($C1428,RGI!$A$2:$C$43,2,FALSE),"..")</f>
        <v>96.4</v>
      </c>
      <c r="BU1428" s="129">
        <f>_xlfn.IFNA(VLOOKUP($C1428,RGI!$A$2:$C$43,3,FALSE),"..")</f>
        <v>98.017483296506555</v>
      </c>
      <c r="BV1428" s="129" t="e">
        <f>VLOOKUP($D1428,WGI!$C$2:$O$478,7,FALSE)</f>
        <v>#N/A</v>
      </c>
      <c r="BW1428" s="129" t="e">
        <f>VLOOKUP($D1428,WGI!$C$2:$O$478,4,FALSE)</f>
        <v>#N/A</v>
      </c>
      <c r="BX1428" s="129" t="e">
        <f>VLOOKUP($D1428,WGI!$C$2:$O$478,3,FALSE)</f>
        <v>#N/A</v>
      </c>
      <c r="BY1428" s="129" t="e">
        <f>VLOOKUP($D1428,WGI!$C$2:$O$478,5,FALSE)</f>
        <v>#N/A</v>
      </c>
      <c r="BZ1428" s="129" t="e">
        <f>VLOOKUP($D1428,WGI!$C$2:$O$478,2,FALSE)</f>
        <v>#N/A</v>
      </c>
    </row>
    <row r="1429" spans="1:80" s="144" customFormat="1" ht="15" customHeight="1">
      <c r="A1429" s="279" t="s">
        <v>444</v>
      </c>
      <c r="B1429" s="132">
        <v>2011</v>
      </c>
      <c r="C1429" s="132" t="s">
        <v>436</v>
      </c>
      <c r="D1429" s="117" t="s">
        <v>3802</v>
      </c>
      <c r="E1429" s="132" t="s">
        <v>39</v>
      </c>
      <c r="F1429" s="132" t="s">
        <v>2007</v>
      </c>
      <c r="G1429" s="132" t="s">
        <v>55</v>
      </c>
      <c r="H1429" s="117" t="str">
        <f t="shared" si="241"/>
        <v>no</v>
      </c>
      <c r="I1429" s="117" t="str">
        <f t="shared" si="243"/>
        <v>yes</v>
      </c>
      <c r="J1429" s="117" t="str">
        <f t="shared" si="244"/>
        <v>yes</v>
      </c>
      <c r="K1429" s="132" t="s">
        <v>709</v>
      </c>
      <c r="L1429" s="117" t="str">
        <f t="shared" si="242"/>
        <v>Total</v>
      </c>
      <c r="M1429" s="117" t="str">
        <f t="shared" si="245"/>
        <v>Total Oil, Gas</v>
      </c>
      <c r="N1429" s="133"/>
      <c r="O1429" s="133"/>
      <c r="P1429" s="133"/>
      <c r="Q1429" s="133"/>
      <c r="R1429" s="133"/>
      <c r="S1429" s="132"/>
      <c r="T1429" s="134"/>
      <c r="U1429" s="132"/>
      <c r="V1429" s="132"/>
      <c r="W1429" s="135">
        <f>SUM(W1430:W1431)</f>
        <v>99243940363.94603</v>
      </c>
      <c r="X1429" s="132" t="s">
        <v>2008</v>
      </c>
      <c r="Y1429" s="132" t="s">
        <v>602</v>
      </c>
      <c r="Z1429" s="132" t="s">
        <v>603</v>
      </c>
      <c r="AA1429" s="135">
        <v>60421715740</v>
      </c>
      <c r="AB1429" s="135">
        <v>60421715740</v>
      </c>
      <c r="AC1429" s="599"/>
      <c r="AD1429" s="599"/>
      <c r="AE1429" s="599"/>
      <c r="AF1429" s="600">
        <f>AA1429/W1429</f>
        <v>0.6088202011973961</v>
      </c>
      <c r="AG1429" s="132" t="s">
        <v>2009</v>
      </c>
      <c r="AH1429" s="140">
        <v>5.59</v>
      </c>
      <c r="AI1429" s="132" t="s">
        <v>605</v>
      </c>
      <c r="AJ1429" s="132"/>
      <c r="AK1429" s="135"/>
      <c r="AL1429" s="132"/>
      <c r="AM1429" s="132"/>
      <c r="AN1429" s="132">
        <v>64</v>
      </c>
      <c r="AO1429" s="132" t="s">
        <v>2016</v>
      </c>
      <c r="AP1429" s="132">
        <v>64</v>
      </c>
      <c r="AQ1429" s="229" t="s">
        <v>44</v>
      </c>
      <c r="AR1429" s="141">
        <v>41899</v>
      </c>
      <c r="AS1429" s="132" t="s">
        <v>712</v>
      </c>
      <c r="AT1429" s="142" t="s">
        <v>445</v>
      </c>
      <c r="AU1429" s="132">
        <v>17</v>
      </c>
      <c r="AV1429" s="143" t="s">
        <v>2017</v>
      </c>
      <c r="AW1429" s="117">
        <f>VLOOKUP($D1429,'WB Data'!$C$3:$M$578,2,FALSE)</f>
        <v>490806911071.2771</v>
      </c>
      <c r="AX1429" s="117">
        <f>VLOOKUP($D1429,'WB Data'!$C$3:$M$578,3,FALSE)</f>
        <v>4953088</v>
      </c>
      <c r="AY1429" s="847">
        <f t="shared" si="247"/>
        <v>0.12310689677966923</v>
      </c>
      <c r="AZ1429" s="117">
        <f>VLOOKUP($D1429,'WB Data'!$C$3:$M$578,4,FALSE)/100</f>
        <v>0.49216949374359265</v>
      </c>
      <c r="BA1429" s="117">
        <f t="shared" si="248"/>
        <v>241560188947.80695</v>
      </c>
      <c r="BB1429" s="129">
        <f>IFERROR(VLOOKUP($D1429,'EITI Revenues'!$C$2:$G$224,5,FALSE),"..")</f>
        <v>60421715740</v>
      </c>
      <c r="BC1429" s="846">
        <f t="shared" si="249"/>
        <v>0.25013109984383686</v>
      </c>
      <c r="BD1429" s="129">
        <f>VLOOKUP($D1429,'WB Data 2'!$C$2:$K$545,6,FALSE)</f>
        <v>119014420402.3934</v>
      </c>
      <c r="BE1429" s="129">
        <f>IFERROR(VLOOKUP($D1429,UNCTAD!$C$5:$V$529,4,FALSE),"..")</f>
        <v>203746969080</v>
      </c>
      <c r="BF1429" s="846">
        <f t="shared" si="250"/>
        <v>0.58412854404554659</v>
      </c>
      <c r="BG1429" s="117" t="str">
        <f>VLOOKUP($D1429,'WB Data'!$C$3:$M$578,5,FALSE)</f>
        <v>..</v>
      </c>
      <c r="BH1429" s="129" t="str">
        <f>IFERROR($BB1429/$BG1429,"..")</f>
        <v>..</v>
      </c>
      <c r="BI1429" s="117" t="str">
        <f>IFERROR(VLOOKUP($D1429,'WB Data'!$C$3:$M$578,7,FALSE)/100,"..")</f>
        <v>..</v>
      </c>
      <c r="BJ1429" s="117" t="str">
        <f>IFERROR($BI1429*$AW1429,"..")</f>
        <v>..</v>
      </c>
      <c r="BK1429" s="846" t="str">
        <f>IFERROR($BB1429/$BJ1429,"..")</f>
        <v>..</v>
      </c>
      <c r="BL1429" s="117" t="str">
        <f>IFERROR(VLOOKUP($D1429,'WB Data'!$C$3:$M$578,7,FALSE)/100,"..")</f>
        <v>..</v>
      </c>
      <c r="BM1429" s="117" t="str">
        <f>IFERROR($AW1429*$BL1429,"..")</f>
        <v>..</v>
      </c>
      <c r="BN1429" s="846" t="str">
        <f>IFERROR($BB1429/$BM1429,"..")</f>
        <v>..</v>
      </c>
      <c r="BO1429" s="801">
        <f t="shared" si="246"/>
        <v>86</v>
      </c>
      <c r="BP1429" s="117" t="str">
        <f>VLOOKUP($D1429,'WB Data'!$C$3:$M$578,9,FALSE)</f>
        <v>..</v>
      </c>
      <c r="BQ1429" s="117">
        <f>VLOOKUP($D1429,'WB Data'!$C$3:$M$578,10,FALSE)</f>
        <v>81.2951219512195</v>
      </c>
      <c r="BR1429" s="117">
        <f>VLOOKUP($D1429,'WB Data'!$C$3:$M$578,11,FALSE)</f>
        <v>2.5</v>
      </c>
      <c r="BS1429" s="129">
        <f>IFERROR(VLOOKUP($D1429,'WB Data 2'!$C$2:$K$545,9,FALSE),"..")</f>
        <v>99.273039999999995</v>
      </c>
      <c r="BT1429" s="129">
        <f>_xlfn.IFNA(VLOOKUP($C1429,RGI!$A$2:$C$43,2,FALSE),"..")</f>
        <v>96.4</v>
      </c>
      <c r="BU1429" s="129">
        <f>_xlfn.IFNA(VLOOKUP($C1429,RGI!$A$2:$C$43,3,FALSE),"..")</f>
        <v>98.017483296506555</v>
      </c>
      <c r="BV1429" s="129" t="e">
        <f>VLOOKUP($D1429,WGI!$C$2:$O$478,7,FALSE)</f>
        <v>#N/A</v>
      </c>
      <c r="BW1429" s="129" t="e">
        <f>VLOOKUP($D1429,WGI!$C$2:$O$478,4,FALSE)</f>
        <v>#N/A</v>
      </c>
      <c r="BX1429" s="129" t="e">
        <f>VLOOKUP($D1429,WGI!$C$2:$O$478,3,FALSE)</f>
        <v>#N/A</v>
      </c>
      <c r="BY1429" s="129" t="e">
        <f>VLOOKUP($D1429,WGI!$C$2:$O$478,5,FALSE)</f>
        <v>#N/A</v>
      </c>
      <c r="BZ1429" s="129" t="e">
        <f>VLOOKUP($D1429,WGI!$C$2:$O$478,2,FALSE)</f>
        <v>#N/A</v>
      </c>
      <c r="CB1429" s="129"/>
    </row>
    <row r="1430" spans="1:80" s="120" customFormat="1" ht="15" customHeight="1">
      <c r="A1430" s="280" t="s">
        <v>444</v>
      </c>
      <c r="B1430" s="117">
        <v>2011</v>
      </c>
      <c r="C1430" s="117" t="s">
        <v>436</v>
      </c>
      <c r="D1430" s="117" t="s">
        <v>3802</v>
      </c>
      <c r="E1430" s="117" t="s">
        <v>39</v>
      </c>
      <c r="F1430" s="117"/>
      <c r="G1430" s="117" t="s">
        <v>561</v>
      </c>
      <c r="H1430" s="117" t="str">
        <f t="shared" si="241"/>
        <v>no</v>
      </c>
      <c r="I1430" s="117" t="str">
        <f t="shared" si="243"/>
        <v>yes</v>
      </c>
      <c r="J1430" s="117" t="str">
        <f t="shared" si="244"/>
        <v>no</v>
      </c>
      <c r="K1430" s="117" t="s">
        <v>561</v>
      </c>
      <c r="L1430" s="117" t="str">
        <f t="shared" si="242"/>
        <v>detailed</v>
      </c>
      <c r="M1430" s="117" t="str">
        <f t="shared" si="245"/>
        <v>detailed Gas</v>
      </c>
      <c r="N1430" s="118">
        <v>101300000000</v>
      </c>
      <c r="O1430" s="118">
        <f>N1430*0.0066</f>
        <v>668580000</v>
      </c>
      <c r="P1430" s="118"/>
      <c r="Q1430" s="118"/>
      <c r="R1430" s="118"/>
      <c r="S1430" s="117" t="s">
        <v>642</v>
      </c>
      <c r="T1430" s="119">
        <v>0.19666043794616025</v>
      </c>
      <c r="U1430" s="117" t="s">
        <v>643</v>
      </c>
      <c r="V1430" s="117" t="s">
        <v>738</v>
      </c>
      <c r="W1430" s="89">
        <f>N1430*T1430</f>
        <v>19921702363.946033</v>
      </c>
      <c r="X1430" s="117"/>
      <c r="Y1430" s="117"/>
      <c r="Z1430" s="117"/>
      <c r="AA1430" s="89"/>
      <c r="AB1430" s="89"/>
      <c r="AC1430" s="240"/>
      <c r="AD1430" s="240"/>
      <c r="AE1430" s="240"/>
      <c r="AF1430" s="241"/>
      <c r="AG1430" s="117"/>
      <c r="AH1430" s="124"/>
      <c r="AI1430" s="117"/>
      <c r="AJ1430" s="117"/>
      <c r="AK1430" s="89"/>
      <c r="AL1430" s="117"/>
      <c r="AM1430" s="117"/>
      <c r="AN1430" s="117"/>
      <c r="AO1430" s="117"/>
      <c r="AP1430" s="117"/>
      <c r="AQ1430" s="117"/>
      <c r="AR1430" s="126"/>
      <c r="AS1430" s="117"/>
      <c r="AT1430" s="117"/>
      <c r="AU1430" s="117"/>
      <c r="AV1430" s="128"/>
      <c r="AW1430" s="117">
        <f>VLOOKUP($D1430,'WB Data'!$C$3:$M$578,2,FALSE)</f>
        <v>490806911071.2771</v>
      </c>
      <c r="AX1430" s="117">
        <f>VLOOKUP($D1430,'WB Data'!$C$3:$M$578,3,FALSE)</f>
        <v>4953088</v>
      </c>
      <c r="AY1430" s="847">
        <f t="shared" si="247"/>
        <v>0.12310689677966923</v>
      </c>
      <c r="AZ1430" s="117">
        <f>VLOOKUP($D1430,'WB Data'!$C$3:$M$578,4,FALSE)/100</f>
        <v>0.49216949374359265</v>
      </c>
      <c r="BA1430" s="117">
        <f t="shared" si="248"/>
        <v>241560188947.80695</v>
      </c>
      <c r="BB1430" s="129">
        <f>IFERROR(VLOOKUP($D1430,'EITI Revenues'!$C$2:$G$224,5,FALSE),"..")</f>
        <v>60421715740</v>
      </c>
      <c r="BC1430" s="846">
        <f t="shared" si="249"/>
        <v>0.25013109984383686</v>
      </c>
      <c r="BD1430" s="129">
        <f>VLOOKUP($D1430,'WB Data 2'!$C$2:$K$545,6,FALSE)</f>
        <v>119014420402.3934</v>
      </c>
      <c r="BE1430" s="129">
        <f>IFERROR(VLOOKUP($D1430,UNCTAD!$C$5:$V$529,4,FALSE),"..")</f>
        <v>203746969080</v>
      </c>
      <c r="BF1430" s="846">
        <f t="shared" si="250"/>
        <v>0.58412854404554659</v>
      </c>
      <c r="BG1430" s="117" t="str">
        <f>VLOOKUP($D1430,'WB Data'!$C$3:$M$578,5,FALSE)</f>
        <v>..</v>
      </c>
      <c r="BH1430" s="129" t="str">
        <f>IFERROR($BB1430/$BG1430,"..")</f>
        <v>..</v>
      </c>
      <c r="BI1430" s="117" t="str">
        <f>IFERROR(VLOOKUP($D1430,'WB Data'!$C$3:$M$578,7,FALSE)/100,"..")</f>
        <v>..</v>
      </c>
      <c r="BJ1430" s="117" t="str">
        <f>IFERROR($BI1430*$AW1430,"..")</f>
        <v>..</v>
      </c>
      <c r="BK1430" s="846" t="str">
        <f>IFERROR($BB1430/$BJ1430,"..")</f>
        <v>..</v>
      </c>
      <c r="BL1430" s="117" t="str">
        <f>IFERROR(VLOOKUP($D1430,'WB Data'!$C$3:$M$578,7,FALSE)/100,"..")</f>
        <v>..</v>
      </c>
      <c r="BM1430" s="117" t="str">
        <f>IFERROR($AW1430*$BL1430,"..")</f>
        <v>..</v>
      </c>
      <c r="BN1430" s="846" t="str">
        <f>IFERROR($BB1430/$BM1430,"..")</f>
        <v>..</v>
      </c>
      <c r="BO1430" s="801">
        <f t="shared" si="246"/>
        <v>86</v>
      </c>
      <c r="BP1430" s="117" t="str">
        <f>VLOOKUP($D1430,'WB Data'!$C$3:$M$578,9,FALSE)</f>
        <v>..</v>
      </c>
      <c r="BQ1430" s="117">
        <f>VLOOKUP($D1430,'WB Data'!$C$3:$M$578,10,FALSE)</f>
        <v>81.2951219512195</v>
      </c>
      <c r="BR1430" s="117">
        <f>VLOOKUP($D1430,'WB Data'!$C$3:$M$578,11,FALSE)</f>
        <v>2.5</v>
      </c>
      <c r="BS1430" s="129">
        <f>IFERROR(VLOOKUP($D1430,'WB Data 2'!$C$2:$K$545,9,FALSE),"..")</f>
        <v>99.273039999999995</v>
      </c>
      <c r="BT1430" s="129">
        <f>_xlfn.IFNA(VLOOKUP($C1430,RGI!$A$2:$C$43,2,FALSE),"..")</f>
        <v>96.4</v>
      </c>
      <c r="BU1430" s="129">
        <f>_xlfn.IFNA(VLOOKUP($C1430,RGI!$A$2:$C$43,3,FALSE),"..")</f>
        <v>98.017483296506555</v>
      </c>
      <c r="BV1430" s="129" t="e">
        <f>VLOOKUP($D1430,WGI!$C$2:$O$478,7,FALSE)</f>
        <v>#N/A</v>
      </c>
      <c r="BW1430" s="129" t="e">
        <f>VLOOKUP($D1430,WGI!$C$2:$O$478,4,FALSE)</f>
        <v>#N/A</v>
      </c>
      <c r="BX1430" s="129" t="e">
        <f>VLOOKUP($D1430,WGI!$C$2:$O$478,3,FALSE)</f>
        <v>#N/A</v>
      </c>
      <c r="BY1430" s="129" t="e">
        <f>VLOOKUP($D1430,WGI!$C$2:$O$478,5,FALSE)</f>
        <v>#N/A</v>
      </c>
      <c r="BZ1430" s="129" t="e">
        <f>VLOOKUP($D1430,WGI!$C$2:$O$478,2,FALSE)</f>
        <v>#N/A</v>
      </c>
      <c r="CB1430" s="129"/>
    </row>
    <row r="1431" spans="1:80" s="158" customFormat="1" ht="15" customHeight="1">
      <c r="A1431" s="282" t="s">
        <v>444</v>
      </c>
      <c r="B1431" s="149">
        <v>2011</v>
      </c>
      <c r="C1431" s="149" t="s">
        <v>436</v>
      </c>
      <c r="D1431" s="117" t="s">
        <v>3802</v>
      </c>
      <c r="E1431" s="149" t="s">
        <v>39</v>
      </c>
      <c r="F1431" s="149"/>
      <c r="G1431" s="149" t="s">
        <v>103</v>
      </c>
      <c r="H1431" s="117" t="str">
        <f t="shared" si="241"/>
        <v>no</v>
      </c>
      <c r="I1431" s="117" t="str">
        <f t="shared" si="243"/>
        <v>no</v>
      </c>
      <c r="J1431" s="117" t="str">
        <f t="shared" si="244"/>
        <v>yes</v>
      </c>
      <c r="K1431" s="149" t="s">
        <v>103</v>
      </c>
      <c r="L1431" s="117" t="str">
        <f t="shared" si="242"/>
        <v>detailed</v>
      </c>
      <c r="M1431" s="117" t="str">
        <f t="shared" si="245"/>
        <v>detailed Oil</v>
      </c>
      <c r="N1431" s="150">
        <v>744600000</v>
      </c>
      <c r="O1431" s="211">
        <f>O1430/N1431</f>
        <v>0.89790491539081385</v>
      </c>
      <c r="P1431" s="150"/>
      <c r="Q1431" s="150"/>
      <c r="R1431" s="150"/>
      <c r="S1431" s="149" t="s">
        <v>646</v>
      </c>
      <c r="T1431" s="151">
        <v>106.53</v>
      </c>
      <c r="U1431" s="149" t="s">
        <v>673</v>
      </c>
      <c r="V1431" s="149" t="s">
        <v>740</v>
      </c>
      <c r="W1431" s="152">
        <f>N1431*T1431</f>
        <v>79322238000</v>
      </c>
      <c r="X1431" s="149"/>
      <c r="Y1431" s="149"/>
      <c r="Z1431" s="149"/>
      <c r="AA1431" s="152"/>
      <c r="AB1431" s="152"/>
      <c r="AC1431" s="288"/>
      <c r="AD1431" s="288"/>
      <c r="AE1431" s="288"/>
      <c r="AF1431" s="285"/>
      <c r="AG1431" s="149"/>
      <c r="AH1431" s="156"/>
      <c r="AI1431" s="149"/>
      <c r="AJ1431" s="149"/>
      <c r="AK1431" s="152"/>
      <c r="AL1431" s="149"/>
      <c r="AM1431" s="149"/>
      <c r="AN1431" s="149"/>
      <c r="AO1431" s="149"/>
      <c r="AP1431" s="149"/>
      <c r="AQ1431" s="149"/>
      <c r="AR1431" s="220"/>
      <c r="AS1431" s="149"/>
      <c r="AT1431" s="149"/>
      <c r="AU1431" s="149"/>
      <c r="AV1431" s="157"/>
      <c r="AW1431" s="117">
        <f>VLOOKUP($D1431,'WB Data'!$C$3:$M$578,2,FALSE)</f>
        <v>490806911071.2771</v>
      </c>
      <c r="AX1431" s="117">
        <f>VLOOKUP($D1431,'WB Data'!$C$3:$M$578,3,FALSE)</f>
        <v>4953088</v>
      </c>
      <c r="AY1431" s="847">
        <f t="shared" si="247"/>
        <v>0.12310689677966923</v>
      </c>
      <c r="AZ1431" s="117">
        <f>VLOOKUP($D1431,'WB Data'!$C$3:$M$578,4,FALSE)/100</f>
        <v>0.49216949374359265</v>
      </c>
      <c r="BA1431" s="117">
        <f t="shared" si="248"/>
        <v>241560188947.80695</v>
      </c>
      <c r="BB1431" s="129">
        <f>IFERROR(VLOOKUP($D1431,'EITI Revenues'!$C$2:$G$224,5,FALSE),"..")</f>
        <v>60421715740</v>
      </c>
      <c r="BC1431" s="846">
        <f t="shared" si="249"/>
        <v>0.25013109984383686</v>
      </c>
      <c r="BD1431" s="129">
        <f>VLOOKUP($D1431,'WB Data 2'!$C$2:$K$545,6,FALSE)</f>
        <v>119014420402.3934</v>
      </c>
      <c r="BE1431" s="129">
        <f>IFERROR(VLOOKUP($D1431,UNCTAD!$C$5:$V$529,4,FALSE),"..")</f>
        <v>203746969080</v>
      </c>
      <c r="BF1431" s="846">
        <f t="shared" si="250"/>
        <v>0.58412854404554659</v>
      </c>
      <c r="BG1431" s="117" t="str">
        <f>VLOOKUP($D1431,'WB Data'!$C$3:$M$578,5,FALSE)</f>
        <v>..</v>
      </c>
      <c r="BH1431" s="129" t="str">
        <f>IFERROR($BB1431/$BG1431,"..")</f>
        <v>..</v>
      </c>
      <c r="BI1431" s="117" t="str">
        <f>IFERROR(VLOOKUP($D1431,'WB Data'!$C$3:$M$578,7,FALSE)/100,"..")</f>
        <v>..</v>
      </c>
      <c r="BJ1431" s="117" t="str">
        <f>IFERROR($BI1431*$AW1431,"..")</f>
        <v>..</v>
      </c>
      <c r="BK1431" s="846" t="str">
        <f>IFERROR($BB1431/$BJ1431,"..")</f>
        <v>..</v>
      </c>
      <c r="BL1431" s="117" t="str">
        <f>IFERROR(VLOOKUP($D1431,'WB Data'!$C$3:$M$578,7,FALSE)/100,"..")</f>
        <v>..</v>
      </c>
      <c r="BM1431" s="117" t="str">
        <f>IFERROR($AW1431*$BL1431,"..")</f>
        <v>..</v>
      </c>
      <c r="BN1431" s="846" t="str">
        <f>IFERROR($BB1431/$BM1431,"..")</f>
        <v>..</v>
      </c>
      <c r="BO1431" s="801">
        <f t="shared" si="246"/>
        <v>86</v>
      </c>
      <c r="BP1431" s="117" t="str">
        <f>VLOOKUP($D1431,'WB Data'!$C$3:$M$578,9,FALSE)</f>
        <v>..</v>
      </c>
      <c r="BQ1431" s="117">
        <f>VLOOKUP($D1431,'WB Data'!$C$3:$M$578,10,FALSE)</f>
        <v>81.2951219512195</v>
      </c>
      <c r="BR1431" s="117">
        <f>VLOOKUP($D1431,'WB Data'!$C$3:$M$578,11,FALSE)</f>
        <v>2.5</v>
      </c>
      <c r="BS1431" s="129">
        <f>IFERROR(VLOOKUP($D1431,'WB Data 2'!$C$2:$K$545,9,FALSE),"..")</f>
        <v>99.273039999999995</v>
      </c>
      <c r="BT1431" s="129">
        <f>_xlfn.IFNA(VLOOKUP($C1431,RGI!$A$2:$C$43,2,FALSE),"..")</f>
        <v>96.4</v>
      </c>
      <c r="BU1431" s="129">
        <f>_xlfn.IFNA(VLOOKUP($C1431,RGI!$A$2:$C$43,3,FALSE),"..")</f>
        <v>98.017483296506555</v>
      </c>
      <c r="BV1431" s="129" t="e">
        <f>VLOOKUP($D1431,WGI!$C$2:$O$478,7,FALSE)</f>
        <v>#N/A</v>
      </c>
      <c r="BW1431" s="129" t="e">
        <f>VLOOKUP($D1431,WGI!$C$2:$O$478,4,FALSE)</f>
        <v>#N/A</v>
      </c>
      <c r="BX1431" s="129" t="e">
        <f>VLOOKUP($D1431,WGI!$C$2:$O$478,3,FALSE)</f>
        <v>#N/A</v>
      </c>
      <c r="BY1431" s="129" t="e">
        <f>VLOOKUP($D1431,WGI!$C$2:$O$478,5,FALSE)</f>
        <v>#N/A</v>
      </c>
      <c r="BZ1431" s="129" t="e">
        <f>VLOOKUP($D1431,WGI!$C$2:$O$478,2,FALSE)</f>
        <v>#N/A</v>
      </c>
      <c r="CB1431" s="129"/>
    </row>
    <row r="1432" spans="1:80" ht="15" customHeight="1">
      <c r="A1432" s="280" t="s">
        <v>446</v>
      </c>
      <c r="B1432" s="117">
        <v>2012</v>
      </c>
      <c r="C1432" s="117" t="s">
        <v>436</v>
      </c>
      <c r="D1432" s="117" t="s">
        <v>3803</v>
      </c>
      <c r="E1432" s="117" t="s">
        <v>39</v>
      </c>
      <c r="F1432" s="117" t="s">
        <v>2007</v>
      </c>
      <c r="G1432" s="117" t="s">
        <v>55</v>
      </c>
      <c r="H1432" s="117" t="str">
        <f t="shared" si="241"/>
        <v>no</v>
      </c>
      <c r="I1432" s="117" t="str">
        <f t="shared" si="243"/>
        <v>yes</v>
      </c>
      <c r="J1432" s="117" t="str">
        <f t="shared" si="244"/>
        <v>yes</v>
      </c>
      <c r="K1432" s="117" t="s">
        <v>709</v>
      </c>
      <c r="L1432" s="117" t="str">
        <f t="shared" si="242"/>
        <v>Total</v>
      </c>
      <c r="M1432" s="117" t="str">
        <f t="shared" si="245"/>
        <v>Total Oil, Gas</v>
      </c>
      <c r="N1432" s="118"/>
      <c r="O1432" s="118"/>
      <c r="P1432" s="118"/>
      <c r="Q1432" s="118"/>
      <c r="R1432" s="118"/>
      <c r="S1432" s="117"/>
      <c r="T1432" s="119"/>
      <c r="U1432" s="117"/>
      <c r="V1432" s="117"/>
      <c r="W1432" s="89">
        <f>SUM(W1433:W1434)</f>
        <v>94832884557.290375</v>
      </c>
      <c r="X1432" s="117" t="s">
        <v>2008</v>
      </c>
      <c r="Y1432" s="117" t="s">
        <v>602</v>
      </c>
      <c r="Z1432" s="117" t="s">
        <v>603</v>
      </c>
      <c r="AA1432" s="597">
        <v>65229640210</v>
      </c>
      <c r="AB1432" s="597">
        <v>65229640210</v>
      </c>
      <c r="AC1432" s="240"/>
      <c r="AD1432" s="240"/>
      <c r="AE1432" s="240"/>
      <c r="AF1432" s="241">
        <f>AA1432/W1432</f>
        <v>0.68783777393793732</v>
      </c>
      <c r="AG1432" s="117" t="s">
        <v>2009</v>
      </c>
      <c r="AH1432" s="124">
        <v>5.82</v>
      </c>
      <c r="AI1432" s="117" t="s">
        <v>605</v>
      </c>
      <c r="AJ1432" s="117"/>
      <c r="AK1432" s="89"/>
      <c r="AL1432" s="117"/>
      <c r="AM1432" s="117"/>
      <c r="AN1432" s="117">
        <v>69</v>
      </c>
      <c r="AO1432" s="117" t="s">
        <v>2018</v>
      </c>
      <c r="AP1432" s="117">
        <v>69</v>
      </c>
      <c r="AQ1432" s="215" t="s">
        <v>95</v>
      </c>
      <c r="AR1432" s="126">
        <v>41899</v>
      </c>
      <c r="AS1432" s="117" t="s">
        <v>712</v>
      </c>
      <c r="AT1432" s="127" t="s">
        <v>447</v>
      </c>
      <c r="AU1432" s="117">
        <v>18</v>
      </c>
      <c r="AV1432" s="128" t="s">
        <v>2011</v>
      </c>
      <c r="AW1432" s="117">
        <f>VLOOKUP($D1432,'WB Data'!$C$3:$M$578,2,FALSE)</f>
        <v>500029909755.04944</v>
      </c>
      <c r="AX1432" s="117">
        <f>VLOOKUP($D1432,'WB Data'!$C$3:$M$578,3,FALSE)</f>
        <v>5018573</v>
      </c>
      <c r="AY1432" s="847">
        <f t="shared" si="247"/>
        <v>0.13045147687656156</v>
      </c>
      <c r="AZ1432" s="117">
        <f>VLOOKUP($D1432,'WB Data'!$C$3:$M$578,4,FALSE)/100</f>
        <v>0.49114380437577604</v>
      </c>
      <c r="BA1432" s="117">
        <f t="shared" si="248"/>
        <v>245586592178.77094</v>
      </c>
      <c r="BB1432" s="129">
        <f>IFERROR(VLOOKUP($D1432,'EITI Revenues'!$C$2:$G$224,5,FALSE),"..")</f>
        <v>65229640210</v>
      </c>
      <c r="BC1432" s="846">
        <f t="shared" si="249"/>
        <v>0.26560749767038216</v>
      </c>
      <c r="BD1432" s="129">
        <f>VLOOKUP($D1432,'WB Data 2'!$C$2:$K$545,6,FALSE)</f>
        <v>121121384673.19498</v>
      </c>
      <c r="BE1432" s="129">
        <f>IFERROR(VLOOKUP($D1432,UNCTAD!$C$5:$V$529,4,FALSE),"..")</f>
        <v>203375300759</v>
      </c>
      <c r="BF1432" s="846">
        <f t="shared" si="250"/>
        <v>0.59555601993539997</v>
      </c>
      <c r="BG1432" s="117" t="str">
        <f>VLOOKUP($D1432,'WB Data'!$C$3:$M$578,5,FALSE)</f>
        <v>..</v>
      </c>
      <c r="BH1432" s="129" t="str">
        <f>IFERROR($BB1432/$BG1432,"..")</f>
        <v>..</v>
      </c>
      <c r="BI1432" s="117" t="str">
        <f>IFERROR(VLOOKUP($D1432,'WB Data'!$C$3:$M$578,7,FALSE)/100,"..")</f>
        <v>..</v>
      </c>
      <c r="BJ1432" s="117" t="str">
        <f>IFERROR($BI1432*$AW1432,"..")</f>
        <v>..</v>
      </c>
      <c r="BK1432" s="846" t="str">
        <f>IFERROR($BB1432/$BJ1432,"..")</f>
        <v>..</v>
      </c>
      <c r="BL1432" s="117" t="str">
        <f>IFERROR(VLOOKUP($D1432,'WB Data'!$C$3:$M$578,7,FALSE)/100,"..")</f>
        <v>..</v>
      </c>
      <c r="BM1432" s="117" t="str">
        <f>IFERROR($AW1432*$BL1432,"..")</f>
        <v>..</v>
      </c>
      <c r="BN1432" s="846" t="str">
        <f>IFERROR($BB1432/$BM1432,"..")</f>
        <v>..</v>
      </c>
      <c r="BO1432" s="801">
        <f t="shared" si="246"/>
        <v>86</v>
      </c>
      <c r="BP1432" s="117" t="str">
        <f>VLOOKUP($D1432,'WB Data'!$C$3:$M$578,9,FALSE)</f>
        <v>..</v>
      </c>
      <c r="BQ1432" s="117">
        <f>VLOOKUP($D1432,'WB Data'!$C$3:$M$578,10,FALSE)</f>
        <v>81.451219512195138</v>
      </c>
      <c r="BR1432" s="117">
        <f>VLOOKUP($D1432,'WB Data'!$C$3:$M$578,11,FALSE)</f>
        <v>2.2999999999999998</v>
      </c>
      <c r="BS1432" s="129">
        <f>IFERROR(VLOOKUP($D1432,'WB Data 2'!$C$2:$K$545,9,FALSE),"..")</f>
        <v>99.436989999999994</v>
      </c>
      <c r="BT1432" s="129">
        <f>_xlfn.IFNA(VLOOKUP($C1432,RGI!$A$2:$C$43,2,FALSE),"..")</f>
        <v>96.4</v>
      </c>
      <c r="BU1432" s="129">
        <f>_xlfn.IFNA(VLOOKUP($C1432,RGI!$A$2:$C$43,3,FALSE),"..")</f>
        <v>98.017483296506555</v>
      </c>
      <c r="BV1432" s="129" t="e">
        <f>VLOOKUP($D1432,WGI!$C$2:$O$478,7,FALSE)</f>
        <v>#N/A</v>
      </c>
      <c r="BW1432" s="129" t="e">
        <f>VLOOKUP($D1432,WGI!$C$2:$O$478,4,FALSE)</f>
        <v>#N/A</v>
      </c>
      <c r="BX1432" s="129" t="e">
        <f>VLOOKUP($D1432,WGI!$C$2:$O$478,3,FALSE)</f>
        <v>#N/A</v>
      </c>
      <c r="BY1432" s="129" t="e">
        <f>VLOOKUP($D1432,WGI!$C$2:$O$478,5,FALSE)</f>
        <v>#N/A</v>
      </c>
      <c r="BZ1432" s="129" t="e">
        <f>VLOOKUP($D1432,WGI!$C$2:$O$478,2,FALSE)</f>
        <v>#N/A</v>
      </c>
    </row>
    <row r="1433" spans="1:80" ht="15" customHeight="1">
      <c r="A1433" s="280" t="s">
        <v>446</v>
      </c>
      <c r="B1433" s="117">
        <v>2012</v>
      </c>
      <c r="C1433" s="117" t="s">
        <v>436</v>
      </c>
      <c r="D1433" s="117" t="s">
        <v>3803</v>
      </c>
      <c r="E1433" s="117" t="s">
        <v>39</v>
      </c>
      <c r="F1433" s="117"/>
      <c r="G1433" s="117" t="s">
        <v>561</v>
      </c>
      <c r="H1433" s="117" t="str">
        <f t="shared" ref="H1433:H1498" si="251">IF($G1433="Mining","yes",IF($G1433="Oil, Gas, Mining","yes",IF($G1433="Gas, Mining","yes",IF($G1433="Oil, Mining","yes",IF($G1433="Oil, Mining, Other","yes","no")))))</f>
        <v>no</v>
      </c>
      <c r="I1433" s="117" t="str">
        <f t="shared" si="243"/>
        <v>yes</v>
      </c>
      <c r="J1433" s="117" t="str">
        <f t="shared" si="244"/>
        <v>no</v>
      </c>
      <c r="K1433" s="117" t="s">
        <v>561</v>
      </c>
      <c r="L1433" s="117" t="str">
        <f t="shared" ref="L1433:L1498" si="252">IF(LEFT(K1433,5)="Total","Total","detailed")</f>
        <v>detailed</v>
      </c>
      <c r="M1433" s="117" t="str">
        <f t="shared" si="245"/>
        <v>detailed Gas</v>
      </c>
      <c r="N1433" s="118">
        <v>114700000000</v>
      </c>
      <c r="O1433" s="118">
        <f>N1433*0.0066</f>
        <v>757020000</v>
      </c>
      <c r="P1433" s="118"/>
      <c r="Q1433" s="118"/>
      <c r="R1433" s="118"/>
      <c r="S1433" s="117" t="s">
        <v>642</v>
      </c>
      <c r="T1433" s="119">
        <v>0.17241089108361263</v>
      </c>
      <c r="U1433" s="117" t="s">
        <v>643</v>
      </c>
      <c r="V1433" s="117" t="s">
        <v>738</v>
      </c>
      <c r="W1433" s="89">
        <f>N1433*T1433</f>
        <v>19775529207.290367</v>
      </c>
      <c r="X1433" s="117"/>
      <c r="Y1433" s="117"/>
      <c r="Z1433" s="117"/>
      <c r="AA1433" s="89"/>
      <c r="AB1433" s="89"/>
      <c r="AC1433" s="240"/>
      <c r="AD1433" s="240"/>
      <c r="AE1433" s="240"/>
      <c r="AF1433" s="241"/>
      <c r="AG1433" s="117"/>
      <c r="AH1433" s="124"/>
      <c r="AI1433" s="117"/>
      <c r="AJ1433" s="117"/>
      <c r="AK1433" s="89"/>
      <c r="AL1433" s="117"/>
      <c r="AM1433" s="117"/>
      <c r="AN1433" s="117"/>
      <c r="AO1433" s="117"/>
      <c r="AP1433" s="117"/>
      <c r="AQ1433" s="117"/>
      <c r="AR1433" s="126"/>
      <c r="AS1433" s="117"/>
      <c r="AT1433" s="117"/>
      <c r="AU1433" s="117"/>
      <c r="AV1433" s="128"/>
      <c r="AW1433" s="117">
        <f>VLOOKUP($D1433,'WB Data'!$C$3:$M$578,2,FALSE)</f>
        <v>500029909755.04944</v>
      </c>
      <c r="AX1433" s="117">
        <f>VLOOKUP($D1433,'WB Data'!$C$3:$M$578,3,FALSE)</f>
        <v>5018573</v>
      </c>
      <c r="AY1433" s="847">
        <f t="shared" si="247"/>
        <v>0.13045147687656156</v>
      </c>
      <c r="AZ1433" s="117">
        <f>VLOOKUP($D1433,'WB Data'!$C$3:$M$578,4,FALSE)/100</f>
        <v>0.49114380437577604</v>
      </c>
      <c r="BA1433" s="117">
        <f t="shared" si="248"/>
        <v>245586592178.77094</v>
      </c>
      <c r="BB1433" s="129">
        <f>IFERROR(VLOOKUP($D1433,'EITI Revenues'!$C$2:$G$224,5,FALSE),"..")</f>
        <v>65229640210</v>
      </c>
      <c r="BC1433" s="846">
        <f t="shared" si="249"/>
        <v>0.26560749767038216</v>
      </c>
      <c r="BD1433" s="129">
        <f>VLOOKUP($D1433,'WB Data 2'!$C$2:$K$545,6,FALSE)</f>
        <v>121121384673.19498</v>
      </c>
      <c r="BE1433" s="129">
        <f>IFERROR(VLOOKUP($D1433,UNCTAD!$C$5:$V$529,4,FALSE),"..")</f>
        <v>203375300759</v>
      </c>
      <c r="BF1433" s="846">
        <f t="shared" si="250"/>
        <v>0.59555601993539997</v>
      </c>
      <c r="BG1433" s="117" t="str">
        <f>VLOOKUP($D1433,'WB Data'!$C$3:$M$578,5,FALSE)</f>
        <v>..</v>
      </c>
      <c r="BH1433" s="129" t="str">
        <f>IFERROR($BB1433/$BG1433,"..")</f>
        <v>..</v>
      </c>
      <c r="BI1433" s="117" t="str">
        <f>IFERROR(VLOOKUP($D1433,'WB Data'!$C$3:$M$578,7,FALSE)/100,"..")</f>
        <v>..</v>
      </c>
      <c r="BJ1433" s="117" t="str">
        <f>IFERROR($BI1433*$AW1433,"..")</f>
        <v>..</v>
      </c>
      <c r="BK1433" s="846" t="str">
        <f>IFERROR($BB1433/$BJ1433,"..")</f>
        <v>..</v>
      </c>
      <c r="BL1433" s="117" t="str">
        <f>IFERROR(VLOOKUP($D1433,'WB Data'!$C$3:$M$578,7,FALSE)/100,"..")</f>
        <v>..</v>
      </c>
      <c r="BM1433" s="117" t="str">
        <f>IFERROR($AW1433*$BL1433,"..")</f>
        <v>..</v>
      </c>
      <c r="BN1433" s="846" t="str">
        <f>IFERROR($BB1433/$BM1433,"..")</f>
        <v>..</v>
      </c>
      <c r="BO1433" s="801">
        <f t="shared" si="246"/>
        <v>86</v>
      </c>
      <c r="BP1433" s="117" t="str">
        <f>VLOOKUP($D1433,'WB Data'!$C$3:$M$578,9,FALSE)</f>
        <v>..</v>
      </c>
      <c r="BQ1433" s="117">
        <f>VLOOKUP($D1433,'WB Data'!$C$3:$M$578,10,FALSE)</f>
        <v>81.451219512195138</v>
      </c>
      <c r="BR1433" s="117">
        <f>VLOOKUP($D1433,'WB Data'!$C$3:$M$578,11,FALSE)</f>
        <v>2.2999999999999998</v>
      </c>
      <c r="BS1433" s="129">
        <f>IFERROR(VLOOKUP($D1433,'WB Data 2'!$C$2:$K$545,9,FALSE),"..")</f>
        <v>99.436989999999994</v>
      </c>
      <c r="BT1433" s="129">
        <f>_xlfn.IFNA(VLOOKUP($C1433,RGI!$A$2:$C$43,2,FALSE),"..")</f>
        <v>96.4</v>
      </c>
      <c r="BU1433" s="129">
        <f>_xlfn.IFNA(VLOOKUP($C1433,RGI!$A$2:$C$43,3,FALSE),"..")</f>
        <v>98.017483296506555</v>
      </c>
      <c r="BV1433" s="129" t="e">
        <f>VLOOKUP($D1433,WGI!$C$2:$O$478,7,FALSE)</f>
        <v>#N/A</v>
      </c>
      <c r="BW1433" s="129" t="e">
        <f>VLOOKUP($D1433,WGI!$C$2:$O$478,4,FALSE)</f>
        <v>#N/A</v>
      </c>
      <c r="BX1433" s="129" t="e">
        <f>VLOOKUP($D1433,WGI!$C$2:$O$478,3,FALSE)</f>
        <v>#N/A</v>
      </c>
      <c r="BY1433" s="129" t="e">
        <f>VLOOKUP($D1433,WGI!$C$2:$O$478,5,FALSE)</f>
        <v>#N/A</v>
      </c>
      <c r="BZ1433" s="129" t="e">
        <f>VLOOKUP($D1433,WGI!$C$2:$O$478,2,FALSE)</f>
        <v>#N/A</v>
      </c>
    </row>
    <row r="1434" spans="1:80" ht="15" customHeight="1" thickBot="1">
      <c r="A1434" s="280" t="s">
        <v>446</v>
      </c>
      <c r="B1434" s="117">
        <v>2012</v>
      </c>
      <c r="C1434" s="117" t="s">
        <v>436</v>
      </c>
      <c r="D1434" s="117" t="s">
        <v>3803</v>
      </c>
      <c r="E1434" s="117" t="s">
        <v>39</v>
      </c>
      <c r="F1434" s="117"/>
      <c r="G1434" s="117" t="s">
        <v>103</v>
      </c>
      <c r="H1434" s="117" t="str">
        <f t="shared" si="251"/>
        <v>no</v>
      </c>
      <c r="I1434" s="117" t="str">
        <f t="shared" si="243"/>
        <v>no</v>
      </c>
      <c r="J1434" s="117" t="str">
        <f t="shared" si="244"/>
        <v>yes</v>
      </c>
      <c r="K1434" s="117" t="s">
        <v>103</v>
      </c>
      <c r="L1434" s="117" t="str">
        <f t="shared" si="252"/>
        <v>detailed</v>
      </c>
      <c r="M1434" s="117" t="str">
        <f t="shared" si="245"/>
        <v>detailed Oil</v>
      </c>
      <c r="N1434" s="118">
        <v>699705000</v>
      </c>
      <c r="O1434" s="211">
        <f>O1433/N1434</f>
        <v>1.0819130919458915</v>
      </c>
      <c r="P1434" s="118"/>
      <c r="Q1434" s="118"/>
      <c r="R1434" s="118"/>
      <c r="S1434" s="117" t="s">
        <v>646</v>
      </c>
      <c r="T1434" s="119">
        <v>107.27</v>
      </c>
      <c r="U1434" s="117" t="s">
        <v>673</v>
      </c>
      <c r="V1434" s="117" t="s">
        <v>740</v>
      </c>
      <c r="W1434" s="89">
        <f>N1434*T1434</f>
        <v>75057355350</v>
      </c>
      <c r="X1434" s="117"/>
      <c r="Y1434" s="117"/>
      <c r="Z1434" s="117"/>
      <c r="AA1434" s="89"/>
      <c r="AB1434" s="89"/>
      <c r="AC1434" s="240"/>
      <c r="AD1434" s="240"/>
      <c r="AE1434" s="240"/>
      <c r="AF1434" s="241"/>
      <c r="AG1434" s="117"/>
      <c r="AH1434" s="124"/>
      <c r="AI1434" s="117"/>
      <c r="AJ1434" s="117"/>
      <c r="AK1434" s="89"/>
      <c r="AL1434" s="117"/>
      <c r="AM1434" s="117"/>
      <c r="AN1434" s="117"/>
      <c r="AO1434" s="117"/>
      <c r="AP1434" s="117"/>
      <c r="AQ1434" s="117"/>
      <c r="AR1434" s="126"/>
      <c r="AS1434" s="117"/>
      <c r="AT1434" s="117"/>
      <c r="AU1434" s="117"/>
      <c r="AV1434" s="128"/>
      <c r="AW1434" s="117">
        <f>VLOOKUP($D1434,'WB Data'!$C$3:$M$578,2,FALSE)</f>
        <v>500029909755.04944</v>
      </c>
      <c r="AX1434" s="117">
        <f>VLOOKUP($D1434,'WB Data'!$C$3:$M$578,3,FALSE)</f>
        <v>5018573</v>
      </c>
      <c r="AY1434" s="847">
        <f t="shared" si="247"/>
        <v>0.13045147687656156</v>
      </c>
      <c r="AZ1434" s="117">
        <f>VLOOKUP($D1434,'WB Data'!$C$3:$M$578,4,FALSE)/100</f>
        <v>0.49114380437577604</v>
      </c>
      <c r="BA1434" s="117">
        <f t="shared" si="248"/>
        <v>245586592178.77094</v>
      </c>
      <c r="BB1434" s="129">
        <f>IFERROR(VLOOKUP($D1434,'EITI Revenues'!$C$2:$G$224,5,FALSE),"..")</f>
        <v>65229640210</v>
      </c>
      <c r="BC1434" s="846">
        <f t="shared" si="249"/>
        <v>0.26560749767038216</v>
      </c>
      <c r="BD1434" s="129">
        <f>VLOOKUP($D1434,'WB Data 2'!$C$2:$K$545,6,FALSE)</f>
        <v>121121384673.19498</v>
      </c>
      <c r="BE1434" s="129">
        <f>IFERROR(VLOOKUP($D1434,UNCTAD!$C$5:$V$529,4,FALSE),"..")</f>
        <v>203375300759</v>
      </c>
      <c r="BF1434" s="846">
        <f t="shared" si="250"/>
        <v>0.59555601993539997</v>
      </c>
      <c r="BG1434" s="117" t="str">
        <f>VLOOKUP($D1434,'WB Data'!$C$3:$M$578,5,FALSE)</f>
        <v>..</v>
      </c>
      <c r="BH1434" s="129" t="str">
        <f>IFERROR($BB1434/$BG1434,"..")</f>
        <v>..</v>
      </c>
      <c r="BI1434" s="117" t="str">
        <f>IFERROR(VLOOKUP($D1434,'WB Data'!$C$3:$M$578,7,FALSE)/100,"..")</f>
        <v>..</v>
      </c>
      <c r="BJ1434" s="117" t="str">
        <f>IFERROR($BI1434*$AW1434,"..")</f>
        <v>..</v>
      </c>
      <c r="BK1434" s="846" t="str">
        <f>IFERROR($BB1434/$BJ1434,"..")</f>
        <v>..</v>
      </c>
      <c r="BL1434" s="117" t="str">
        <f>IFERROR(VLOOKUP($D1434,'WB Data'!$C$3:$M$578,7,FALSE)/100,"..")</f>
        <v>..</v>
      </c>
      <c r="BM1434" s="117" t="str">
        <f>IFERROR($AW1434*$BL1434,"..")</f>
        <v>..</v>
      </c>
      <c r="BN1434" s="846" t="str">
        <f>IFERROR($BB1434/$BM1434,"..")</f>
        <v>..</v>
      </c>
      <c r="BO1434" s="801">
        <f t="shared" si="246"/>
        <v>86</v>
      </c>
      <c r="BP1434" s="117" t="str">
        <f>VLOOKUP($D1434,'WB Data'!$C$3:$M$578,9,FALSE)</f>
        <v>..</v>
      </c>
      <c r="BQ1434" s="117">
        <f>VLOOKUP($D1434,'WB Data'!$C$3:$M$578,10,FALSE)</f>
        <v>81.451219512195138</v>
      </c>
      <c r="BR1434" s="117">
        <f>VLOOKUP($D1434,'WB Data'!$C$3:$M$578,11,FALSE)</f>
        <v>2.2999999999999998</v>
      </c>
      <c r="BS1434" s="129">
        <f>IFERROR(VLOOKUP($D1434,'WB Data 2'!$C$2:$K$545,9,FALSE),"..")</f>
        <v>99.436989999999994</v>
      </c>
      <c r="BT1434" s="129">
        <f>_xlfn.IFNA(VLOOKUP($C1434,RGI!$A$2:$C$43,2,FALSE),"..")</f>
        <v>96.4</v>
      </c>
      <c r="BU1434" s="129">
        <f>_xlfn.IFNA(VLOOKUP($C1434,RGI!$A$2:$C$43,3,FALSE),"..")</f>
        <v>98.017483296506555</v>
      </c>
      <c r="BV1434" s="129" t="e">
        <f>VLOOKUP($D1434,WGI!$C$2:$O$478,7,FALSE)</f>
        <v>#N/A</v>
      </c>
      <c r="BW1434" s="129" t="e">
        <f>VLOOKUP($D1434,WGI!$C$2:$O$478,4,FALSE)</f>
        <v>#N/A</v>
      </c>
      <c r="BX1434" s="129" t="e">
        <f>VLOOKUP($D1434,WGI!$C$2:$O$478,3,FALSE)</f>
        <v>#N/A</v>
      </c>
      <c r="BY1434" s="129" t="e">
        <f>VLOOKUP($D1434,WGI!$C$2:$O$478,5,FALSE)</f>
        <v>#N/A</v>
      </c>
      <c r="BZ1434" s="129" t="e">
        <f>VLOOKUP($D1434,WGI!$C$2:$O$478,2,FALSE)</f>
        <v>#N/A</v>
      </c>
    </row>
    <row r="1435" spans="1:80" s="210" customFormat="1" ht="15" customHeight="1">
      <c r="A1435" s="290" t="s">
        <v>448</v>
      </c>
      <c r="B1435" s="175">
        <v>2004</v>
      </c>
      <c r="C1435" s="175" t="s">
        <v>449</v>
      </c>
      <c r="D1435" s="117" t="s">
        <v>3473</v>
      </c>
      <c r="E1435" s="497" t="s">
        <v>220</v>
      </c>
      <c r="F1435" s="175" t="s">
        <v>2019</v>
      </c>
      <c r="G1435" s="175" t="s">
        <v>35</v>
      </c>
      <c r="H1435" s="117" t="str">
        <f t="shared" si="251"/>
        <v>yes</v>
      </c>
      <c r="I1435" s="117" t="str">
        <f t="shared" si="243"/>
        <v>yes</v>
      </c>
      <c r="J1435" s="117" t="str">
        <f t="shared" si="244"/>
        <v>yes</v>
      </c>
      <c r="K1435" s="175" t="s">
        <v>709</v>
      </c>
      <c r="L1435" s="117" t="str">
        <f t="shared" si="252"/>
        <v>Total</v>
      </c>
      <c r="M1435" s="117" t="str">
        <f t="shared" si="245"/>
        <v>Total Oil, Gas, Mining</v>
      </c>
      <c r="N1435" s="337"/>
      <c r="O1435" s="337"/>
      <c r="P1435" s="337"/>
      <c r="Q1435" s="337"/>
      <c r="R1435" s="337"/>
      <c r="S1435" s="175"/>
      <c r="T1435" s="198"/>
      <c r="U1435" s="175"/>
      <c r="V1435" s="175"/>
      <c r="W1435" s="199">
        <f>W1436+W1439</f>
        <v>12033023931.505838</v>
      </c>
      <c r="X1435" s="175" t="s">
        <v>2020</v>
      </c>
      <c r="Y1435" s="175" t="s">
        <v>602</v>
      </c>
      <c r="Z1435" s="175" t="s">
        <v>603</v>
      </c>
      <c r="AA1435" s="199">
        <v>884263514.49853373</v>
      </c>
      <c r="AB1435" s="199">
        <v>883327965.60997057</v>
      </c>
      <c r="AC1435" s="595"/>
      <c r="AD1435" s="595"/>
      <c r="AE1435" s="595"/>
      <c r="AF1435" s="596">
        <f>AA1435/(((W1437*0.27)+(W1438*0.74))+W1439)</f>
        <v>7.6203747549747486E-2</v>
      </c>
      <c r="AG1435" s="175" t="s">
        <v>2021</v>
      </c>
      <c r="AH1435" s="204">
        <v>3.41</v>
      </c>
      <c r="AI1435" s="175" t="s">
        <v>667</v>
      </c>
      <c r="AJ1435" s="175"/>
      <c r="AK1435" s="199"/>
      <c r="AL1435" s="175"/>
      <c r="AM1435" s="175"/>
      <c r="AN1435" s="175">
        <v>33</v>
      </c>
      <c r="AO1435" s="175" t="s">
        <v>2022</v>
      </c>
      <c r="AP1435" s="175">
        <v>33</v>
      </c>
      <c r="AQ1435" s="175" t="s">
        <v>368</v>
      </c>
      <c r="AR1435" s="206">
        <v>41898</v>
      </c>
      <c r="AS1435" s="175" t="s">
        <v>1382</v>
      </c>
      <c r="AT1435" s="175" t="s">
        <v>450</v>
      </c>
      <c r="AU1435" s="175" t="s">
        <v>2023</v>
      </c>
      <c r="AV1435" s="209" t="s">
        <v>2024</v>
      </c>
      <c r="AW1435" s="117">
        <f>VLOOKUP($D1435,'WB Data'!$C$3:$M$578,2,FALSE)</f>
        <v>66730306799.531067</v>
      </c>
      <c r="AX1435" s="117">
        <f>VLOOKUP($D1435,'WB Data'!$C$3:$M$578,3,FALSE)</f>
        <v>27403845</v>
      </c>
      <c r="AY1435" s="847">
        <f t="shared" si="247"/>
        <v>1.3251302997227456E-2</v>
      </c>
      <c r="AZ1435" s="117">
        <f>VLOOKUP($D1435,'WB Data'!$C$3:$M$578,4,FALSE)/100</f>
        <v>0.17222963965305593</v>
      </c>
      <c r="BA1435" s="117">
        <f t="shared" si="248"/>
        <v>11492936694.021103</v>
      </c>
      <c r="BB1435" s="129">
        <f>IFERROR(VLOOKUP($D1435,'EITI Revenues'!$C$2:$G$224,5,FALSE),"..")</f>
        <v>884263514.49853373</v>
      </c>
      <c r="BC1435" s="846">
        <f t="shared" si="249"/>
        <v>7.6939735947431823E-2</v>
      </c>
      <c r="BD1435" s="129">
        <f>VLOOKUP($D1435,'WB Data 2'!$C$2:$K$545,6,FALSE)</f>
        <v>7023518729.961482</v>
      </c>
      <c r="BE1435" s="129">
        <f>IFERROR(VLOOKUP($D1435,UNCTAD!$C$5:$V$529,4,FALSE),"..")</f>
        <v>14802480000</v>
      </c>
      <c r="BF1435" s="846">
        <f t="shared" si="250"/>
        <v>0.47448256845889891</v>
      </c>
      <c r="BG1435" s="117">
        <f>VLOOKUP($D1435,'WB Data'!$C$3:$M$578,5,FALSE)</f>
        <v>463450000</v>
      </c>
      <c r="BH1435" s="129">
        <f>IFERROR($BB1435/$BG1435,"..")</f>
        <v>1.9080019732409834</v>
      </c>
      <c r="BI1435" s="117">
        <f>IFERROR(VLOOKUP($D1435,'WB Data'!$C$3:$M$578,7,FALSE)/100,"..")</f>
        <v>2.83396E-2</v>
      </c>
      <c r="BJ1435" s="117">
        <f>IFERROR($BI1435*$AW1435,"..")</f>
        <v>1891110202.5759907</v>
      </c>
      <c r="BK1435" s="846">
        <f>IFERROR($BB1435/$BJ1435,"..")</f>
        <v>0.46758962713755509</v>
      </c>
      <c r="BL1435" s="117">
        <f>IFERROR(VLOOKUP($D1435,'WB Data'!$C$3:$M$578,7,FALSE)/100,"..")</f>
        <v>2.83396E-2</v>
      </c>
      <c r="BM1435" s="117">
        <f>IFERROR($AW1435*$BL1435,"..")</f>
        <v>1891110202.5759907</v>
      </c>
      <c r="BN1435" s="846">
        <f>IFERROR($BB1435/$BM1435,"..")</f>
        <v>0.46758962713755509</v>
      </c>
      <c r="BO1435" s="801">
        <f t="shared" si="246"/>
        <v>38</v>
      </c>
      <c r="BP1435" s="117">
        <f>VLOOKUP($D1435,'WB Data'!$C$3:$M$578,9,FALSE)</f>
        <v>58.7</v>
      </c>
      <c r="BQ1435" s="117">
        <f>VLOOKUP($D1435,'WB Data'!$C$3:$M$578,10,FALSE)</f>
        <v>72.096804878048786</v>
      </c>
      <c r="BR1435" s="117">
        <f>VLOOKUP($D1435,'WB Data'!$C$3:$M$578,11,FALSE)</f>
        <v>23</v>
      </c>
      <c r="BS1435" s="129">
        <f>IFERROR(VLOOKUP($D1435,'WB Data 2'!$C$2:$K$545,9,FALSE),"..")</f>
        <v>99.634069999999994</v>
      </c>
      <c r="BT1435" s="129">
        <f>_xlfn.IFNA(VLOOKUP($C1435,RGI!$A$2:$C$43,2,FALSE),"..")</f>
        <v>76.8</v>
      </c>
      <c r="BU1435" s="129">
        <f>_xlfn.IFNA(VLOOKUP($C1435,RGI!$A$2:$C$43,3,FALSE),"..")</f>
        <v>72.816147461462435</v>
      </c>
      <c r="BV1435" s="129">
        <f>VLOOKUP($D1435,WGI!$C$2:$O$478,7,FALSE)</f>
        <v>-0.14663028957413399</v>
      </c>
      <c r="BW1435" s="129">
        <f>VLOOKUP($D1435,WGI!$C$2:$O$478,4,FALSE)</f>
        <v>-1.00309654857232</v>
      </c>
      <c r="BX1435" s="129">
        <f>VLOOKUP($D1435,WGI!$C$2:$O$478,3,FALSE)</f>
        <v>-0.46854602636037601</v>
      </c>
      <c r="BY1435" s="129">
        <f>VLOOKUP($D1435,WGI!$C$2:$O$478,5,FALSE)</f>
        <v>0.23233413649883</v>
      </c>
      <c r="BZ1435" s="129">
        <f>VLOOKUP($D1435,WGI!$C$2:$O$478,2,FALSE)</f>
        <v>-0.35116899578167798</v>
      </c>
      <c r="CB1435" s="129"/>
    </row>
    <row r="1436" spans="1:80" s="120" customFormat="1" ht="15" customHeight="1">
      <c r="A1436" s="294" t="s">
        <v>448</v>
      </c>
      <c r="B1436" s="117">
        <v>2004</v>
      </c>
      <c r="C1436" s="117" t="s">
        <v>449</v>
      </c>
      <c r="D1436" s="117" t="s">
        <v>3473</v>
      </c>
      <c r="E1436" s="452" t="s">
        <v>220</v>
      </c>
      <c r="F1436" s="117"/>
      <c r="G1436" s="120" t="s">
        <v>55</v>
      </c>
      <c r="H1436" s="117" t="str">
        <f t="shared" si="251"/>
        <v>no</v>
      </c>
      <c r="I1436" s="117" t="str">
        <f t="shared" si="243"/>
        <v>yes</v>
      </c>
      <c r="J1436" s="117" t="str">
        <f t="shared" si="244"/>
        <v>yes</v>
      </c>
      <c r="K1436" s="117" t="s">
        <v>640</v>
      </c>
      <c r="L1436" s="117" t="str">
        <f t="shared" si="252"/>
        <v>Total</v>
      </c>
      <c r="M1436" s="117" t="str">
        <f t="shared" si="245"/>
        <v>Total Oil, Gas</v>
      </c>
      <c r="N1436" s="179"/>
      <c r="O1436" s="179"/>
      <c r="P1436" s="179"/>
      <c r="Q1436" s="179"/>
      <c r="R1436" s="179"/>
      <c r="S1436" s="117"/>
      <c r="T1436" s="119"/>
      <c r="U1436" s="117"/>
      <c r="V1436" s="117"/>
      <c r="W1436" s="89">
        <f>SUM(W1437:W1438)</f>
        <v>1353344600</v>
      </c>
      <c r="X1436" s="117"/>
      <c r="Y1436" s="117"/>
      <c r="Z1436" s="117"/>
      <c r="AA1436" s="89">
        <v>255399117.10850438</v>
      </c>
      <c r="AB1436" s="89">
        <v>255399117.10850438</v>
      </c>
      <c r="AC1436" s="240"/>
      <c r="AD1436" s="240"/>
      <c r="AF1436" s="241">
        <f>AA1436/((W1437*0.27)+(W1438*0.74))</f>
        <v>0.27632880039705315</v>
      </c>
      <c r="AG1436" s="117"/>
      <c r="AH1436" s="124"/>
      <c r="AI1436" s="117"/>
      <c r="AJ1436" s="117"/>
      <c r="AK1436" s="89"/>
      <c r="AL1436" s="117"/>
      <c r="AM1436" s="117"/>
      <c r="AN1436" s="117">
        <v>9</v>
      </c>
      <c r="AO1436" s="117" t="s">
        <v>2025</v>
      </c>
      <c r="AP1436" s="117">
        <v>9</v>
      </c>
      <c r="AQ1436" s="117"/>
      <c r="AR1436" s="117"/>
      <c r="AS1436" s="117"/>
      <c r="AT1436" s="117"/>
      <c r="AU1436" s="117"/>
      <c r="AV1436" s="128"/>
      <c r="AW1436" s="117">
        <f>VLOOKUP($D1436,'WB Data'!$C$3:$M$578,2,FALSE)</f>
        <v>66730306799.531067</v>
      </c>
      <c r="AX1436" s="117">
        <f>VLOOKUP($D1436,'WB Data'!$C$3:$M$578,3,FALSE)</f>
        <v>27403845</v>
      </c>
      <c r="AY1436" s="847">
        <f t="shared" si="247"/>
        <v>1.3251302997227456E-2</v>
      </c>
      <c r="AZ1436" s="117">
        <f>VLOOKUP($D1436,'WB Data'!$C$3:$M$578,4,FALSE)/100</f>
        <v>0.17222963965305593</v>
      </c>
      <c r="BA1436" s="117">
        <f t="shared" si="248"/>
        <v>11492936694.021103</v>
      </c>
      <c r="BB1436" s="129">
        <f>IFERROR(VLOOKUP($D1436,'EITI Revenues'!$C$2:$G$224,5,FALSE),"..")</f>
        <v>884263514.49853373</v>
      </c>
      <c r="BC1436" s="846">
        <f t="shared" si="249"/>
        <v>7.6939735947431823E-2</v>
      </c>
      <c r="BD1436" s="129">
        <f>VLOOKUP($D1436,'WB Data 2'!$C$2:$K$545,6,FALSE)</f>
        <v>7023518729.961482</v>
      </c>
      <c r="BE1436" s="129">
        <f>IFERROR(VLOOKUP($D1436,UNCTAD!$C$5:$V$529,4,FALSE),"..")</f>
        <v>14802480000</v>
      </c>
      <c r="BF1436" s="846">
        <f t="shared" si="250"/>
        <v>0.47448256845889891</v>
      </c>
      <c r="BG1436" s="117">
        <f>VLOOKUP($D1436,'WB Data'!$C$3:$M$578,5,FALSE)</f>
        <v>463450000</v>
      </c>
      <c r="BH1436" s="129">
        <f>IFERROR($BB1436/$BG1436,"..")</f>
        <v>1.9080019732409834</v>
      </c>
      <c r="BI1436" s="117">
        <f>IFERROR(VLOOKUP($D1436,'WB Data'!$C$3:$M$578,7,FALSE)/100,"..")</f>
        <v>2.83396E-2</v>
      </c>
      <c r="BJ1436" s="117">
        <f>IFERROR($BI1436*$AW1436,"..")</f>
        <v>1891110202.5759907</v>
      </c>
      <c r="BK1436" s="846">
        <f>IFERROR($BB1436/$BJ1436,"..")</f>
        <v>0.46758962713755509</v>
      </c>
      <c r="BL1436" s="117">
        <f>IFERROR(VLOOKUP($D1436,'WB Data'!$C$3:$M$578,7,FALSE)/100,"..")</f>
        <v>2.83396E-2</v>
      </c>
      <c r="BM1436" s="117">
        <f>IFERROR($AW1436*$BL1436,"..")</f>
        <v>1891110202.5759907</v>
      </c>
      <c r="BN1436" s="846">
        <f>IFERROR($BB1436/$BM1436,"..")</f>
        <v>0.46758962713755509</v>
      </c>
      <c r="BO1436" s="801">
        <f t="shared" si="246"/>
        <v>38</v>
      </c>
      <c r="BP1436" s="117">
        <f>VLOOKUP($D1436,'WB Data'!$C$3:$M$578,9,FALSE)</f>
        <v>58.7</v>
      </c>
      <c r="BQ1436" s="117">
        <f>VLOOKUP($D1436,'WB Data'!$C$3:$M$578,10,FALSE)</f>
        <v>72.096804878048786</v>
      </c>
      <c r="BR1436" s="117">
        <f>VLOOKUP($D1436,'WB Data'!$C$3:$M$578,11,FALSE)</f>
        <v>23</v>
      </c>
      <c r="BS1436" s="129">
        <f>IFERROR(VLOOKUP($D1436,'WB Data 2'!$C$2:$K$545,9,FALSE),"..")</f>
        <v>99.634069999999994</v>
      </c>
      <c r="BT1436" s="129">
        <f>_xlfn.IFNA(VLOOKUP($C1436,RGI!$A$2:$C$43,2,FALSE),"..")</f>
        <v>76.8</v>
      </c>
      <c r="BU1436" s="129">
        <f>_xlfn.IFNA(VLOOKUP($C1436,RGI!$A$2:$C$43,3,FALSE),"..")</f>
        <v>72.816147461462435</v>
      </c>
      <c r="BV1436" s="129">
        <f>VLOOKUP($D1436,WGI!$C$2:$O$478,7,FALSE)</f>
        <v>-0.14663028957413399</v>
      </c>
      <c r="BW1436" s="129">
        <f>VLOOKUP($D1436,WGI!$C$2:$O$478,4,FALSE)</f>
        <v>-1.00309654857232</v>
      </c>
      <c r="BX1436" s="129">
        <f>VLOOKUP($D1436,WGI!$C$2:$O$478,3,FALSE)</f>
        <v>-0.46854602636037601</v>
      </c>
      <c r="BY1436" s="129">
        <f>VLOOKUP($D1436,WGI!$C$2:$O$478,5,FALSE)</f>
        <v>0.23233413649883</v>
      </c>
      <c r="BZ1436" s="129">
        <f>VLOOKUP($D1436,WGI!$C$2:$O$478,2,FALSE)</f>
        <v>-0.35116899578167798</v>
      </c>
      <c r="CB1436" s="129"/>
    </row>
    <row r="1437" spans="1:80" s="120" customFormat="1" ht="15" customHeight="1">
      <c r="A1437" s="294" t="s">
        <v>448</v>
      </c>
      <c r="B1437" s="117">
        <v>2004</v>
      </c>
      <c r="C1437" s="117" t="s">
        <v>449</v>
      </c>
      <c r="D1437" s="117" t="s">
        <v>3473</v>
      </c>
      <c r="E1437" s="452" t="s">
        <v>220</v>
      </c>
      <c r="F1437" s="117"/>
      <c r="G1437" s="120" t="s">
        <v>561</v>
      </c>
      <c r="H1437" s="117" t="str">
        <f t="shared" si="251"/>
        <v>no</v>
      </c>
      <c r="I1437" s="117" t="str">
        <f t="shared" si="243"/>
        <v>yes</v>
      </c>
      <c r="J1437" s="117" t="str">
        <f t="shared" si="244"/>
        <v>no</v>
      </c>
      <c r="K1437" s="117" t="s">
        <v>561</v>
      </c>
      <c r="L1437" s="117" t="str">
        <f t="shared" si="252"/>
        <v>detailed</v>
      </c>
      <c r="M1437" s="117" t="str">
        <f t="shared" si="245"/>
        <v>detailed Gas</v>
      </c>
      <c r="N1437" s="179">
        <v>900000000</v>
      </c>
      <c r="O1437" s="179"/>
      <c r="P1437" s="179"/>
      <c r="Q1437" s="179"/>
      <c r="R1437" s="179"/>
      <c r="S1437" s="117" t="s">
        <v>642</v>
      </c>
      <c r="T1437" s="119">
        <v>0.18254599999999999</v>
      </c>
      <c r="U1437" s="117" t="s">
        <v>643</v>
      </c>
      <c r="V1437" s="117" t="s">
        <v>738</v>
      </c>
      <c r="W1437" s="89">
        <f>N1437*T1437</f>
        <v>164291400</v>
      </c>
      <c r="X1437" s="117"/>
      <c r="AA1437" s="89"/>
      <c r="AB1437" s="89"/>
      <c r="AC1437" s="240" t="s">
        <v>2026</v>
      </c>
      <c r="AD1437" s="240"/>
      <c r="AE1437" s="240"/>
      <c r="AF1437" s="241"/>
      <c r="AH1437" s="124"/>
      <c r="AI1437" s="117"/>
      <c r="AJ1437" s="117"/>
      <c r="AK1437" s="89"/>
      <c r="AL1437" s="117"/>
      <c r="AM1437" s="117"/>
      <c r="AN1437" s="117">
        <v>6</v>
      </c>
      <c r="AO1437" s="117" t="s">
        <v>2027</v>
      </c>
      <c r="AP1437" s="117">
        <v>6</v>
      </c>
      <c r="AQ1437" s="117"/>
      <c r="AR1437" s="117"/>
      <c r="AS1437" s="117"/>
      <c r="AT1437" s="117"/>
      <c r="AU1437" s="117"/>
      <c r="AV1437" s="128"/>
      <c r="AW1437" s="117">
        <f>VLOOKUP($D1437,'WB Data'!$C$3:$M$578,2,FALSE)</f>
        <v>66730306799.531067</v>
      </c>
      <c r="AX1437" s="117">
        <f>VLOOKUP($D1437,'WB Data'!$C$3:$M$578,3,FALSE)</f>
        <v>27403845</v>
      </c>
      <c r="AY1437" s="847">
        <f t="shared" si="247"/>
        <v>1.3251302997227456E-2</v>
      </c>
      <c r="AZ1437" s="117">
        <f>VLOOKUP($D1437,'WB Data'!$C$3:$M$578,4,FALSE)/100</f>
        <v>0.17222963965305593</v>
      </c>
      <c r="BA1437" s="117">
        <f t="shared" si="248"/>
        <v>11492936694.021103</v>
      </c>
      <c r="BB1437" s="129">
        <f>IFERROR(VLOOKUP($D1437,'EITI Revenues'!$C$2:$G$224,5,FALSE),"..")</f>
        <v>884263514.49853373</v>
      </c>
      <c r="BC1437" s="846">
        <f t="shared" si="249"/>
        <v>7.6939735947431823E-2</v>
      </c>
      <c r="BD1437" s="129">
        <f>VLOOKUP($D1437,'WB Data 2'!$C$2:$K$545,6,FALSE)</f>
        <v>7023518729.961482</v>
      </c>
      <c r="BE1437" s="129">
        <f>IFERROR(VLOOKUP($D1437,UNCTAD!$C$5:$V$529,4,FALSE),"..")</f>
        <v>14802480000</v>
      </c>
      <c r="BF1437" s="846">
        <f t="shared" si="250"/>
        <v>0.47448256845889891</v>
      </c>
      <c r="BG1437" s="117">
        <f>VLOOKUP($D1437,'WB Data'!$C$3:$M$578,5,FALSE)</f>
        <v>463450000</v>
      </c>
      <c r="BH1437" s="129">
        <f>IFERROR($BB1437/$BG1437,"..")</f>
        <v>1.9080019732409834</v>
      </c>
      <c r="BI1437" s="117">
        <f>IFERROR(VLOOKUP($D1437,'WB Data'!$C$3:$M$578,7,FALSE)/100,"..")</f>
        <v>2.83396E-2</v>
      </c>
      <c r="BJ1437" s="117">
        <f>IFERROR($BI1437*$AW1437,"..")</f>
        <v>1891110202.5759907</v>
      </c>
      <c r="BK1437" s="846">
        <f>IFERROR($BB1437/$BJ1437,"..")</f>
        <v>0.46758962713755509</v>
      </c>
      <c r="BL1437" s="117">
        <f>IFERROR(VLOOKUP($D1437,'WB Data'!$C$3:$M$578,7,FALSE)/100,"..")</f>
        <v>2.83396E-2</v>
      </c>
      <c r="BM1437" s="117">
        <f>IFERROR($AW1437*$BL1437,"..")</f>
        <v>1891110202.5759907</v>
      </c>
      <c r="BN1437" s="846">
        <f>IFERROR($BB1437/$BM1437,"..")</f>
        <v>0.46758962713755509</v>
      </c>
      <c r="BO1437" s="801">
        <f t="shared" si="246"/>
        <v>38</v>
      </c>
      <c r="BP1437" s="117">
        <f>VLOOKUP($D1437,'WB Data'!$C$3:$M$578,9,FALSE)</f>
        <v>58.7</v>
      </c>
      <c r="BQ1437" s="117">
        <f>VLOOKUP($D1437,'WB Data'!$C$3:$M$578,10,FALSE)</f>
        <v>72.096804878048786</v>
      </c>
      <c r="BR1437" s="117">
        <f>VLOOKUP($D1437,'WB Data'!$C$3:$M$578,11,FALSE)</f>
        <v>23</v>
      </c>
      <c r="BS1437" s="129">
        <f>IFERROR(VLOOKUP($D1437,'WB Data 2'!$C$2:$K$545,9,FALSE),"..")</f>
        <v>99.634069999999994</v>
      </c>
      <c r="BT1437" s="129">
        <f>_xlfn.IFNA(VLOOKUP($C1437,RGI!$A$2:$C$43,2,FALSE),"..")</f>
        <v>76.8</v>
      </c>
      <c r="BU1437" s="129">
        <f>_xlfn.IFNA(VLOOKUP($C1437,RGI!$A$2:$C$43,3,FALSE),"..")</f>
        <v>72.816147461462435</v>
      </c>
      <c r="BV1437" s="129">
        <f>VLOOKUP($D1437,WGI!$C$2:$O$478,7,FALSE)</f>
        <v>-0.14663028957413399</v>
      </c>
      <c r="BW1437" s="129">
        <f>VLOOKUP($D1437,WGI!$C$2:$O$478,4,FALSE)</f>
        <v>-1.00309654857232</v>
      </c>
      <c r="BX1437" s="129">
        <f>VLOOKUP($D1437,WGI!$C$2:$O$478,3,FALSE)</f>
        <v>-0.46854602636037601</v>
      </c>
      <c r="BY1437" s="129">
        <f>VLOOKUP($D1437,WGI!$C$2:$O$478,5,FALSE)</f>
        <v>0.23233413649883</v>
      </c>
      <c r="BZ1437" s="129">
        <f>VLOOKUP($D1437,WGI!$C$2:$O$478,2,FALSE)</f>
        <v>-0.35116899578167798</v>
      </c>
      <c r="CB1437" s="129"/>
    </row>
    <row r="1438" spans="1:80" s="120" customFormat="1" ht="15" customHeight="1">
      <c r="A1438" s="294" t="s">
        <v>448</v>
      </c>
      <c r="B1438" s="117">
        <v>2004</v>
      </c>
      <c r="C1438" s="117" t="s">
        <v>449</v>
      </c>
      <c r="D1438" s="117" t="s">
        <v>3473</v>
      </c>
      <c r="E1438" s="452" t="s">
        <v>220</v>
      </c>
      <c r="F1438" s="117"/>
      <c r="G1438" s="120" t="s">
        <v>103</v>
      </c>
      <c r="H1438" s="117" t="str">
        <f t="shared" si="251"/>
        <v>no</v>
      </c>
      <c r="I1438" s="117" t="str">
        <f t="shared" si="243"/>
        <v>no</v>
      </c>
      <c r="J1438" s="117" t="str">
        <f t="shared" si="244"/>
        <v>yes</v>
      </c>
      <c r="K1438" s="117" t="s">
        <v>103</v>
      </c>
      <c r="L1438" s="117" t="str">
        <f t="shared" si="252"/>
        <v>detailed</v>
      </c>
      <c r="M1438" s="117" t="str">
        <f t="shared" si="245"/>
        <v>detailed Oil</v>
      </c>
      <c r="N1438" s="179">
        <v>31390000</v>
      </c>
      <c r="O1438" s="179"/>
      <c r="P1438" s="179"/>
      <c r="Q1438" s="179"/>
      <c r="R1438" s="179"/>
      <c r="S1438" s="117" t="s">
        <v>646</v>
      </c>
      <c r="T1438" s="119">
        <v>37.880000000000003</v>
      </c>
      <c r="U1438" s="117" t="s">
        <v>673</v>
      </c>
      <c r="V1438" s="117" t="s">
        <v>740</v>
      </c>
      <c r="W1438" s="89">
        <f>N1438*T1438</f>
        <v>1189053200</v>
      </c>
      <c r="X1438" s="117"/>
      <c r="AA1438" s="89"/>
      <c r="AB1438" s="89"/>
      <c r="AC1438" s="240" t="s">
        <v>2028</v>
      </c>
      <c r="AD1438" s="240"/>
      <c r="AE1438" s="240"/>
      <c r="AF1438" s="241"/>
      <c r="AH1438" s="124"/>
      <c r="AI1438" s="117"/>
      <c r="AJ1438" s="117"/>
      <c r="AK1438" s="89"/>
      <c r="AL1438" s="117"/>
      <c r="AM1438" s="117"/>
      <c r="AN1438" s="117">
        <v>8</v>
      </c>
      <c r="AO1438" s="117" t="s">
        <v>2029</v>
      </c>
      <c r="AP1438" s="117">
        <v>8</v>
      </c>
      <c r="AQ1438" s="117"/>
      <c r="AR1438" s="117"/>
      <c r="AS1438" s="117"/>
      <c r="AT1438" s="117"/>
      <c r="AU1438" s="117"/>
      <c r="AV1438" s="128"/>
      <c r="AW1438" s="117">
        <f>VLOOKUP($D1438,'WB Data'!$C$3:$M$578,2,FALSE)</f>
        <v>66730306799.531067</v>
      </c>
      <c r="AX1438" s="117">
        <f>VLOOKUP($D1438,'WB Data'!$C$3:$M$578,3,FALSE)</f>
        <v>27403845</v>
      </c>
      <c r="AY1438" s="847">
        <f t="shared" si="247"/>
        <v>1.3251302997227456E-2</v>
      </c>
      <c r="AZ1438" s="117">
        <f>VLOOKUP($D1438,'WB Data'!$C$3:$M$578,4,FALSE)/100</f>
        <v>0.17222963965305593</v>
      </c>
      <c r="BA1438" s="117">
        <f t="shared" si="248"/>
        <v>11492936694.021103</v>
      </c>
      <c r="BB1438" s="129">
        <f>IFERROR(VLOOKUP($D1438,'EITI Revenues'!$C$2:$G$224,5,FALSE),"..")</f>
        <v>884263514.49853373</v>
      </c>
      <c r="BC1438" s="846">
        <f t="shared" si="249"/>
        <v>7.6939735947431823E-2</v>
      </c>
      <c r="BD1438" s="129">
        <f>VLOOKUP($D1438,'WB Data 2'!$C$2:$K$545,6,FALSE)</f>
        <v>7023518729.961482</v>
      </c>
      <c r="BE1438" s="129">
        <f>IFERROR(VLOOKUP($D1438,UNCTAD!$C$5:$V$529,4,FALSE),"..")</f>
        <v>14802480000</v>
      </c>
      <c r="BF1438" s="846">
        <f t="shared" si="250"/>
        <v>0.47448256845889891</v>
      </c>
      <c r="BG1438" s="117">
        <f>VLOOKUP($D1438,'WB Data'!$C$3:$M$578,5,FALSE)</f>
        <v>463450000</v>
      </c>
      <c r="BH1438" s="129">
        <f>IFERROR($BB1438/$BG1438,"..")</f>
        <v>1.9080019732409834</v>
      </c>
      <c r="BI1438" s="117">
        <f>IFERROR(VLOOKUP($D1438,'WB Data'!$C$3:$M$578,7,FALSE)/100,"..")</f>
        <v>2.83396E-2</v>
      </c>
      <c r="BJ1438" s="117">
        <f>IFERROR($BI1438*$AW1438,"..")</f>
        <v>1891110202.5759907</v>
      </c>
      <c r="BK1438" s="846">
        <f>IFERROR($BB1438/$BJ1438,"..")</f>
        <v>0.46758962713755509</v>
      </c>
      <c r="BL1438" s="117">
        <f>IFERROR(VLOOKUP($D1438,'WB Data'!$C$3:$M$578,7,FALSE)/100,"..")</f>
        <v>2.83396E-2</v>
      </c>
      <c r="BM1438" s="117">
        <f>IFERROR($AW1438*$BL1438,"..")</f>
        <v>1891110202.5759907</v>
      </c>
      <c r="BN1438" s="846">
        <f>IFERROR($BB1438/$BM1438,"..")</f>
        <v>0.46758962713755509</v>
      </c>
      <c r="BO1438" s="801">
        <f t="shared" si="246"/>
        <v>38</v>
      </c>
      <c r="BP1438" s="117">
        <f>VLOOKUP($D1438,'WB Data'!$C$3:$M$578,9,FALSE)</f>
        <v>58.7</v>
      </c>
      <c r="BQ1438" s="117">
        <f>VLOOKUP($D1438,'WB Data'!$C$3:$M$578,10,FALSE)</f>
        <v>72.096804878048786</v>
      </c>
      <c r="BR1438" s="117">
        <f>VLOOKUP($D1438,'WB Data'!$C$3:$M$578,11,FALSE)</f>
        <v>23</v>
      </c>
      <c r="BS1438" s="129">
        <f>IFERROR(VLOOKUP($D1438,'WB Data 2'!$C$2:$K$545,9,FALSE),"..")</f>
        <v>99.634069999999994</v>
      </c>
      <c r="BT1438" s="129">
        <f>_xlfn.IFNA(VLOOKUP($C1438,RGI!$A$2:$C$43,2,FALSE),"..")</f>
        <v>76.8</v>
      </c>
      <c r="BU1438" s="129">
        <f>_xlfn.IFNA(VLOOKUP($C1438,RGI!$A$2:$C$43,3,FALSE),"..")</f>
        <v>72.816147461462435</v>
      </c>
      <c r="BV1438" s="129">
        <f>VLOOKUP($D1438,WGI!$C$2:$O$478,7,FALSE)</f>
        <v>-0.14663028957413399</v>
      </c>
      <c r="BW1438" s="129">
        <f>VLOOKUP($D1438,WGI!$C$2:$O$478,4,FALSE)</f>
        <v>-1.00309654857232</v>
      </c>
      <c r="BX1438" s="129">
        <f>VLOOKUP($D1438,WGI!$C$2:$O$478,3,FALSE)</f>
        <v>-0.46854602636037601</v>
      </c>
      <c r="BY1438" s="129">
        <f>VLOOKUP($D1438,WGI!$C$2:$O$478,5,FALSE)</f>
        <v>0.23233413649883</v>
      </c>
      <c r="BZ1438" s="129">
        <f>VLOOKUP($D1438,WGI!$C$2:$O$478,2,FALSE)</f>
        <v>-0.35116899578167798</v>
      </c>
      <c r="CB1438" s="129"/>
    </row>
    <row r="1439" spans="1:80" s="120" customFormat="1" ht="15" customHeight="1">
      <c r="A1439" s="294" t="s">
        <v>448</v>
      </c>
      <c r="B1439" s="117">
        <v>2004</v>
      </c>
      <c r="C1439" s="117" t="s">
        <v>449</v>
      </c>
      <c r="D1439" s="117" t="s">
        <v>3473</v>
      </c>
      <c r="E1439" s="452" t="s">
        <v>220</v>
      </c>
      <c r="F1439" s="117"/>
      <c r="G1439" s="120" t="s">
        <v>24</v>
      </c>
      <c r="H1439" s="117" t="str">
        <f t="shared" si="251"/>
        <v>yes</v>
      </c>
      <c r="I1439" s="117" t="str">
        <f t="shared" si="243"/>
        <v>no</v>
      </c>
      <c r="J1439" s="117" t="str">
        <f t="shared" si="244"/>
        <v>no</v>
      </c>
      <c r="K1439" s="117" t="s">
        <v>600</v>
      </c>
      <c r="L1439" s="117" t="str">
        <f t="shared" si="252"/>
        <v>Total</v>
      </c>
      <c r="M1439" s="117" t="str">
        <f t="shared" si="245"/>
        <v>Total Mining</v>
      </c>
      <c r="N1439" s="179"/>
      <c r="O1439" s="179"/>
      <c r="P1439" s="179"/>
      <c r="Q1439" s="179"/>
      <c r="R1439" s="179"/>
      <c r="S1439" s="117"/>
      <c r="T1439" s="119"/>
      <c r="U1439" s="117"/>
      <c r="V1439" s="117"/>
      <c r="W1439" s="89">
        <f>SUM(W1440:W1462)</f>
        <v>10679679331.505838</v>
      </c>
      <c r="X1439" s="117"/>
      <c r="AA1439" s="89">
        <v>628864398.27900195</v>
      </c>
      <c r="AB1439" s="89">
        <v>627928848.50146627</v>
      </c>
      <c r="AC1439" s="240"/>
      <c r="AD1439" s="240"/>
      <c r="AE1439" s="240"/>
      <c r="AF1439" s="241">
        <f>AA1439/W1439</f>
        <v>5.8884202302198888E-2</v>
      </c>
      <c r="AH1439" s="124"/>
      <c r="AI1439" s="117"/>
      <c r="AJ1439" s="117"/>
      <c r="AK1439" s="89"/>
      <c r="AL1439" s="117"/>
      <c r="AM1439" s="117"/>
      <c r="AN1439" s="117">
        <v>24</v>
      </c>
      <c r="AO1439" s="117" t="s">
        <v>2030</v>
      </c>
      <c r="AP1439" s="117">
        <v>24</v>
      </c>
      <c r="AQ1439" s="117"/>
      <c r="AR1439" s="117"/>
      <c r="AS1439" s="117"/>
      <c r="AT1439" s="117"/>
      <c r="AU1439" s="117"/>
      <c r="AV1439" s="128"/>
      <c r="AW1439" s="117">
        <f>VLOOKUP($D1439,'WB Data'!$C$3:$M$578,2,FALSE)</f>
        <v>66730306799.531067</v>
      </c>
      <c r="AX1439" s="117">
        <f>VLOOKUP($D1439,'WB Data'!$C$3:$M$578,3,FALSE)</f>
        <v>27403845</v>
      </c>
      <c r="AY1439" s="847">
        <f t="shared" si="247"/>
        <v>1.3251302997227456E-2</v>
      </c>
      <c r="AZ1439" s="117">
        <f>VLOOKUP($D1439,'WB Data'!$C$3:$M$578,4,FALSE)/100</f>
        <v>0.17222963965305593</v>
      </c>
      <c r="BA1439" s="117">
        <f t="shared" si="248"/>
        <v>11492936694.021103</v>
      </c>
      <c r="BB1439" s="129">
        <f>IFERROR(VLOOKUP($D1439,'EITI Revenues'!$C$2:$G$224,5,FALSE),"..")</f>
        <v>884263514.49853373</v>
      </c>
      <c r="BC1439" s="846">
        <f t="shared" si="249"/>
        <v>7.6939735947431823E-2</v>
      </c>
      <c r="BD1439" s="129">
        <f>VLOOKUP($D1439,'WB Data 2'!$C$2:$K$545,6,FALSE)</f>
        <v>7023518729.961482</v>
      </c>
      <c r="BE1439" s="129">
        <f>IFERROR(VLOOKUP($D1439,UNCTAD!$C$5:$V$529,4,FALSE),"..")</f>
        <v>14802480000</v>
      </c>
      <c r="BF1439" s="846">
        <f t="shared" si="250"/>
        <v>0.47448256845889891</v>
      </c>
      <c r="BG1439" s="117">
        <f>VLOOKUP($D1439,'WB Data'!$C$3:$M$578,5,FALSE)</f>
        <v>463450000</v>
      </c>
      <c r="BH1439" s="129">
        <f>IFERROR($BB1439/$BG1439,"..")</f>
        <v>1.9080019732409834</v>
      </c>
      <c r="BI1439" s="117">
        <f>IFERROR(VLOOKUP($D1439,'WB Data'!$C$3:$M$578,7,FALSE)/100,"..")</f>
        <v>2.83396E-2</v>
      </c>
      <c r="BJ1439" s="117">
        <f>IFERROR($BI1439*$AW1439,"..")</f>
        <v>1891110202.5759907</v>
      </c>
      <c r="BK1439" s="846">
        <f>IFERROR($BB1439/$BJ1439,"..")</f>
        <v>0.46758962713755509</v>
      </c>
      <c r="BL1439" s="117">
        <f>IFERROR(VLOOKUP($D1439,'WB Data'!$C$3:$M$578,7,FALSE)/100,"..")</f>
        <v>2.83396E-2</v>
      </c>
      <c r="BM1439" s="117">
        <f>IFERROR($AW1439*$BL1439,"..")</f>
        <v>1891110202.5759907</v>
      </c>
      <c r="BN1439" s="846">
        <f>IFERROR($BB1439/$BM1439,"..")</f>
        <v>0.46758962713755509</v>
      </c>
      <c r="BO1439" s="801">
        <f t="shared" si="246"/>
        <v>38</v>
      </c>
      <c r="BP1439" s="117">
        <f>VLOOKUP($D1439,'WB Data'!$C$3:$M$578,9,FALSE)</f>
        <v>58.7</v>
      </c>
      <c r="BQ1439" s="117">
        <f>VLOOKUP($D1439,'WB Data'!$C$3:$M$578,10,FALSE)</f>
        <v>72.096804878048786</v>
      </c>
      <c r="BR1439" s="117">
        <f>VLOOKUP($D1439,'WB Data'!$C$3:$M$578,11,FALSE)</f>
        <v>23</v>
      </c>
      <c r="BS1439" s="129">
        <f>IFERROR(VLOOKUP($D1439,'WB Data 2'!$C$2:$K$545,9,FALSE),"..")</f>
        <v>99.634069999999994</v>
      </c>
      <c r="BT1439" s="129">
        <f>_xlfn.IFNA(VLOOKUP($C1439,RGI!$A$2:$C$43,2,FALSE),"..")</f>
        <v>76.8</v>
      </c>
      <c r="BU1439" s="129">
        <f>_xlfn.IFNA(VLOOKUP($C1439,RGI!$A$2:$C$43,3,FALSE),"..")</f>
        <v>72.816147461462435</v>
      </c>
      <c r="BV1439" s="129">
        <f>VLOOKUP($D1439,WGI!$C$2:$O$478,7,FALSE)</f>
        <v>-0.14663028957413399</v>
      </c>
      <c r="BW1439" s="129">
        <f>VLOOKUP($D1439,WGI!$C$2:$O$478,4,FALSE)</f>
        <v>-1.00309654857232</v>
      </c>
      <c r="BX1439" s="129">
        <f>VLOOKUP($D1439,WGI!$C$2:$O$478,3,FALSE)</f>
        <v>-0.46854602636037601</v>
      </c>
      <c r="BY1439" s="129">
        <f>VLOOKUP($D1439,WGI!$C$2:$O$478,5,FALSE)</f>
        <v>0.23233413649883</v>
      </c>
      <c r="BZ1439" s="129">
        <f>VLOOKUP($D1439,WGI!$C$2:$O$478,2,FALSE)</f>
        <v>-0.35116899578167798</v>
      </c>
      <c r="CB1439" s="129"/>
    </row>
    <row r="1440" spans="1:80" s="120" customFormat="1" ht="15" customHeight="1">
      <c r="A1440" s="294" t="s">
        <v>448</v>
      </c>
      <c r="B1440" s="117">
        <v>2004</v>
      </c>
      <c r="C1440" s="117" t="s">
        <v>449</v>
      </c>
      <c r="D1440" s="117" t="s">
        <v>3473</v>
      </c>
      <c r="E1440" s="452" t="s">
        <v>220</v>
      </c>
      <c r="F1440" s="117"/>
      <c r="G1440" s="120" t="s">
        <v>24</v>
      </c>
      <c r="H1440" s="117" t="str">
        <f t="shared" si="251"/>
        <v>yes</v>
      </c>
      <c r="I1440" s="117" t="str">
        <f t="shared" si="243"/>
        <v>no</v>
      </c>
      <c r="J1440" s="117" t="str">
        <f t="shared" si="244"/>
        <v>no</v>
      </c>
      <c r="K1440" s="117" t="s">
        <v>2031</v>
      </c>
      <c r="L1440" s="117" t="str">
        <f t="shared" si="252"/>
        <v>detailed</v>
      </c>
      <c r="M1440" s="117" t="str">
        <f t="shared" si="245"/>
        <v>detailed Mining</v>
      </c>
      <c r="N1440" s="179">
        <v>600</v>
      </c>
      <c r="O1440" s="179"/>
      <c r="P1440" s="179"/>
      <c r="Q1440" s="179"/>
      <c r="R1440" s="179"/>
      <c r="S1440" s="117" t="s">
        <v>610</v>
      </c>
      <c r="T1440" s="119">
        <f>3.35/0.000453592</f>
        <v>7385.4918076156546</v>
      </c>
      <c r="U1440" s="120" t="s">
        <v>611</v>
      </c>
      <c r="V1440" s="120" t="s">
        <v>2032</v>
      </c>
      <c r="W1440" s="89">
        <f>N1440*T1440</f>
        <v>4431295.0845693927</v>
      </c>
      <c r="X1440" s="117"/>
      <c r="AA1440" s="89"/>
      <c r="AB1440" s="89"/>
      <c r="AC1440" s="240"/>
      <c r="AD1440" s="240"/>
      <c r="AE1440" s="240"/>
      <c r="AF1440" s="241"/>
      <c r="AH1440" s="124"/>
      <c r="AI1440" s="117"/>
      <c r="AJ1440" s="117"/>
      <c r="AK1440" s="89"/>
      <c r="AL1440" s="117"/>
      <c r="AM1440" s="117"/>
      <c r="AN1440" s="117"/>
      <c r="AO1440" s="117"/>
      <c r="AP1440" s="117"/>
      <c r="AQ1440" s="117"/>
      <c r="AR1440" s="117"/>
      <c r="AS1440" s="117"/>
      <c r="AT1440" s="117"/>
      <c r="AU1440" s="117"/>
      <c r="AV1440" s="128"/>
      <c r="AW1440" s="117">
        <f>VLOOKUP($D1440,'WB Data'!$C$3:$M$578,2,FALSE)</f>
        <v>66730306799.531067</v>
      </c>
      <c r="AX1440" s="117">
        <f>VLOOKUP($D1440,'WB Data'!$C$3:$M$578,3,FALSE)</f>
        <v>27403845</v>
      </c>
      <c r="AY1440" s="847">
        <f t="shared" si="247"/>
        <v>1.3251302997227456E-2</v>
      </c>
      <c r="AZ1440" s="117">
        <f>VLOOKUP($D1440,'WB Data'!$C$3:$M$578,4,FALSE)/100</f>
        <v>0.17222963965305593</v>
      </c>
      <c r="BA1440" s="117">
        <f t="shared" si="248"/>
        <v>11492936694.021103</v>
      </c>
      <c r="BB1440" s="129">
        <f>IFERROR(VLOOKUP($D1440,'EITI Revenues'!$C$2:$G$224,5,FALSE),"..")</f>
        <v>884263514.49853373</v>
      </c>
      <c r="BC1440" s="846">
        <f t="shared" si="249"/>
        <v>7.6939735947431823E-2</v>
      </c>
      <c r="BD1440" s="129">
        <f>VLOOKUP($D1440,'WB Data 2'!$C$2:$K$545,6,FALSE)</f>
        <v>7023518729.961482</v>
      </c>
      <c r="BE1440" s="129">
        <f>IFERROR(VLOOKUP($D1440,UNCTAD!$C$5:$V$529,4,FALSE),"..")</f>
        <v>14802480000</v>
      </c>
      <c r="BF1440" s="846">
        <f t="shared" si="250"/>
        <v>0.47448256845889891</v>
      </c>
      <c r="BG1440" s="117">
        <f>VLOOKUP($D1440,'WB Data'!$C$3:$M$578,5,FALSE)</f>
        <v>463450000</v>
      </c>
      <c r="BH1440" s="129">
        <f>IFERROR($BB1440/$BG1440,"..")</f>
        <v>1.9080019732409834</v>
      </c>
      <c r="BI1440" s="117">
        <f>IFERROR(VLOOKUP($D1440,'WB Data'!$C$3:$M$578,7,FALSE)/100,"..")</f>
        <v>2.83396E-2</v>
      </c>
      <c r="BJ1440" s="117">
        <f>IFERROR($BI1440*$AW1440,"..")</f>
        <v>1891110202.5759907</v>
      </c>
      <c r="BK1440" s="846">
        <f>IFERROR($BB1440/$BJ1440,"..")</f>
        <v>0.46758962713755509</v>
      </c>
      <c r="BL1440" s="117">
        <f>IFERROR(VLOOKUP($D1440,'WB Data'!$C$3:$M$578,7,FALSE)/100,"..")</f>
        <v>2.83396E-2</v>
      </c>
      <c r="BM1440" s="117">
        <f>IFERROR($AW1440*$BL1440,"..")</f>
        <v>1891110202.5759907</v>
      </c>
      <c r="BN1440" s="846">
        <f>IFERROR($BB1440/$BM1440,"..")</f>
        <v>0.46758962713755509</v>
      </c>
      <c r="BO1440" s="801">
        <f t="shared" si="246"/>
        <v>38</v>
      </c>
      <c r="BP1440" s="117">
        <f>VLOOKUP($D1440,'WB Data'!$C$3:$M$578,9,FALSE)</f>
        <v>58.7</v>
      </c>
      <c r="BQ1440" s="117">
        <f>VLOOKUP($D1440,'WB Data'!$C$3:$M$578,10,FALSE)</f>
        <v>72.096804878048786</v>
      </c>
      <c r="BR1440" s="117">
        <f>VLOOKUP($D1440,'WB Data'!$C$3:$M$578,11,FALSE)</f>
        <v>23</v>
      </c>
      <c r="BS1440" s="129">
        <f>IFERROR(VLOOKUP($D1440,'WB Data 2'!$C$2:$K$545,9,FALSE),"..")</f>
        <v>99.634069999999994</v>
      </c>
      <c r="BT1440" s="129">
        <f>_xlfn.IFNA(VLOOKUP($C1440,RGI!$A$2:$C$43,2,FALSE),"..")</f>
        <v>76.8</v>
      </c>
      <c r="BU1440" s="129">
        <f>_xlfn.IFNA(VLOOKUP($C1440,RGI!$A$2:$C$43,3,FALSE),"..")</f>
        <v>72.816147461462435</v>
      </c>
      <c r="BV1440" s="129">
        <f>VLOOKUP($D1440,WGI!$C$2:$O$478,7,FALSE)</f>
        <v>-0.14663028957413399</v>
      </c>
      <c r="BW1440" s="129">
        <f>VLOOKUP($D1440,WGI!$C$2:$O$478,4,FALSE)</f>
        <v>-1.00309654857232</v>
      </c>
      <c r="BX1440" s="129">
        <f>VLOOKUP($D1440,WGI!$C$2:$O$478,3,FALSE)</f>
        <v>-0.46854602636037601</v>
      </c>
      <c r="BY1440" s="129">
        <f>VLOOKUP($D1440,WGI!$C$2:$O$478,5,FALSE)</f>
        <v>0.23233413649883</v>
      </c>
      <c r="BZ1440" s="129">
        <f>VLOOKUP($D1440,WGI!$C$2:$O$478,2,FALSE)</f>
        <v>-0.35116899578167798</v>
      </c>
      <c r="CB1440" s="129"/>
    </row>
    <row r="1441" spans="1:80" s="120" customFormat="1" ht="15" customHeight="1">
      <c r="A1441" s="294" t="s">
        <v>448</v>
      </c>
      <c r="B1441" s="117">
        <v>2004</v>
      </c>
      <c r="C1441" s="117" t="s">
        <v>449</v>
      </c>
      <c r="D1441" s="117" t="s">
        <v>3473</v>
      </c>
      <c r="E1441" s="452" t="s">
        <v>220</v>
      </c>
      <c r="F1441" s="117"/>
      <c r="G1441" s="120" t="s">
        <v>24</v>
      </c>
      <c r="H1441" s="117" t="str">
        <f t="shared" si="251"/>
        <v>yes</v>
      </c>
      <c r="I1441" s="117" t="str">
        <f t="shared" si="243"/>
        <v>no</v>
      </c>
      <c r="J1441" s="117" t="str">
        <f t="shared" si="244"/>
        <v>no</v>
      </c>
      <c r="K1441" s="117" t="s">
        <v>619</v>
      </c>
      <c r="L1441" s="117" t="str">
        <f t="shared" si="252"/>
        <v>detailed</v>
      </c>
      <c r="M1441" s="117" t="str">
        <f t="shared" si="245"/>
        <v>detailed Mining</v>
      </c>
      <c r="N1441" s="179"/>
      <c r="O1441" s="179"/>
      <c r="P1441" s="179"/>
      <c r="Q1441" s="179"/>
      <c r="R1441" s="179"/>
      <c r="S1441" s="117"/>
      <c r="T1441" s="186">
        <v>2865.8849166666701</v>
      </c>
      <c r="U1441" s="117" t="s">
        <v>611</v>
      </c>
      <c r="V1441" s="117" t="s">
        <v>681</v>
      </c>
      <c r="W1441" s="89">
        <f>SUM(N1443:N1444)*T1441</f>
        <v>2365624643.268086</v>
      </c>
      <c r="X1441" s="117"/>
      <c r="AA1441" s="89"/>
      <c r="AB1441" s="89"/>
      <c r="AC1441" s="240" t="s">
        <v>2033</v>
      </c>
      <c r="AD1441" s="240"/>
      <c r="AE1441" s="240"/>
      <c r="AF1441" s="241"/>
      <c r="AH1441" s="124"/>
      <c r="AI1441" s="117"/>
      <c r="AJ1441" s="117"/>
      <c r="AK1441" s="89"/>
      <c r="AL1441" s="117"/>
      <c r="AM1441" s="117"/>
      <c r="AN1441" s="117">
        <v>17</v>
      </c>
      <c r="AO1441" s="117" t="s">
        <v>2034</v>
      </c>
      <c r="AP1441" s="117">
        <v>17</v>
      </c>
      <c r="AQ1441" s="117"/>
      <c r="AR1441" s="117"/>
      <c r="AS1441" s="117"/>
      <c r="AT1441" s="117"/>
      <c r="AU1441" s="117"/>
      <c r="AV1441" s="128"/>
      <c r="AW1441" s="117">
        <f>VLOOKUP($D1441,'WB Data'!$C$3:$M$578,2,FALSE)</f>
        <v>66730306799.531067</v>
      </c>
      <c r="AX1441" s="117">
        <f>VLOOKUP($D1441,'WB Data'!$C$3:$M$578,3,FALSE)</f>
        <v>27403845</v>
      </c>
      <c r="AY1441" s="847">
        <f t="shared" si="247"/>
        <v>1.3251302997227456E-2</v>
      </c>
      <c r="AZ1441" s="117">
        <f>VLOOKUP($D1441,'WB Data'!$C$3:$M$578,4,FALSE)/100</f>
        <v>0.17222963965305593</v>
      </c>
      <c r="BA1441" s="117">
        <f t="shared" si="248"/>
        <v>11492936694.021103</v>
      </c>
      <c r="BB1441" s="129">
        <f>IFERROR(VLOOKUP($D1441,'EITI Revenues'!$C$2:$G$224,5,FALSE),"..")</f>
        <v>884263514.49853373</v>
      </c>
      <c r="BC1441" s="846">
        <f t="shared" si="249"/>
        <v>7.6939735947431823E-2</v>
      </c>
      <c r="BD1441" s="129">
        <f>VLOOKUP($D1441,'WB Data 2'!$C$2:$K$545,6,FALSE)</f>
        <v>7023518729.961482</v>
      </c>
      <c r="BE1441" s="129">
        <f>IFERROR(VLOOKUP($D1441,UNCTAD!$C$5:$V$529,4,FALSE),"..")</f>
        <v>14802480000</v>
      </c>
      <c r="BF1441" s="846">
        <f t="shared" si="250"/>
        <v>0.47448256845889891</v>
      </c>
      <c r="BG1441" s="117">
        <f>VLOOKUP($D1441,'WB Data'!$C$3:$M$578,5,FALSE)</f>
        <v>463450000</v>
      </c>
      <c r="BH1441" s="129">
        <f>IFERROR($BB1441/$BG1441,"..")</f>
        <v>1.9080019732409834</v>
      </c>
      <c r="BI1441" s="117">
        <f>IFERROR(VLOOKUP($D1441,'WB Data'!$C$3:$M$578,7,FALSE)/100,"..")</f>
        <v>2.83396E-2</v>
      </c>
      <c r="BJ1441" s="117">
        <f>IFERROR($BI1441*$AW1441,"..")</f>
        <v>1891110202.5759907</v>
      </c>
      <c r="BK1441" s="846">
        <f>IFERROR($BB1441/$BJ1441,"..")</f>
        <v>0.46758962713755509</v>
      </c>
      <c r="BL1441" s="117">
        <f>IFERROR(VLOOKUP($D1441,'WB Data'!$C$3:$M$578,7,FALSE)/100,"..")</f>
        <v>2.83396E-2</v>
      </c>
      <c r="BM1441" s="117">
        <f>IFERROR($AW1441*$BL1441,"..")</f>
        <v>1891110202.5759907</v>
      </c>
      <c r="BN1441" s="846">
        <f>IFERROR($BB1441/$BM1441,"..")</f>
        <v>0.46758962713755509</v>
      </c>
      <c r="BO1441" s="801">
        <f t="shared" si="246"/>
        <v>38</v>
      </c>
      <c r="BP1441" s="117">
        <f>VLOOKUP($D1441,'WB Data'!$C$3:$M$578,9,FALSE)</f>
        <v>58.7</v>
      </c>
      <c r="BQ1441" s="117">
        <f>VLOOKUP($D1441,'WB Data'!$C$3:$M$578,10,FALSE)</f>
        <v>72.096804878048786</v>
      </c>
      <c r="BR1441" s="117">
        <f>VLOOKUP($D1441,'WB Data'!$C$3:$M$578,11,FALSE)</f>
        <v>23</v>
      </c>
      <c r="BS1441" s="129">
        <f>IFERROR(VLOOKUP($D1441,'WB Data 2'!$C$2:$K$545,9,FALSE),"..")</f>
        <v>99.634069999999994</v>
      </c>
      <c r="BT1441" s="129">
        <f>_xlfn.IFNA(VLOOKUP($C1441,RGI!$A$2:$C$43,2,FALSE),"..")</f>
        <v>76.8</v>
      </c>
      <c r="BU1441" s="129">
        <f>_xlfn.IFNA(VLOOKUP($C1441,RGI!$A$2:$C$43,3,FALSE),"..")</f>
        <v>72.816147461462435</v>
      </c>
      <c r="BV1441" s="129">
        <f>VLOOKUP($D1441,WGI!$C$2:$O$478,7,FALSE)</f>
        <v>-0.14663028957413399</v>
      </c>
      <c r="BW1441" s="129">
        <f>VLOOKUP($D1441,WGI!$C$2:$O$478,4,FALSE)</f>
        <v>-1.00309654857232</v>
      </c>
      <c r="BX1441" s="129">
        <f>VLOOKUP($D1441,WGI!$C$2:$O$478,3,FALSE)</f>
        <v>-0.46854602636037601</v>
      </c>
      <c r="BY1441" s="129">
        <f>VLOOKUP($D1441,WGI!$C$2:$O$478,5,FALSE)</f>
        <v>0.23233413649883</v>
      </c>
      <c r="BZ1441" s="129">
        <f>VLOOKUP($D1441,WGI!$C$2:$O$478,2,FALSE)</f>
        <v>-0.35116899578167798</v>
      </c>
      <c r="CB1441" s="129"/>
    </row>
    <row r="1442" spans="1:80" s="120" customFormat="1" ht="15" customHeight="1">
      <c r="A1442" s="294" t="s">
        <v>448</v>
      </c>
      <c r="B1442" s="117">
        <v>2004</v>
      </c>
      <c r="C1442" s="117" t="s">
        <v>449</v>
      </c>
      <c r="D1442" s="117" t="s">
        <v>3473</v>
      </c>
      <c r="E1442" s="452" t="s">
        <v>220</v>
      </c>
      <c r="F1442" s="117"/>
      <c r="G1442" s="120" t="s">
        <v>24</v>
      </c>
      <c r="H1442" s="117" t="str">
        <f t="shared" si="251"/>
        <v>yes</v>
      </c>
      <c r="I1442" s="117" t="str">
        <f t="shared" si="243"/>
        <v>no</v>
      </c>
      <c r="J1442" s="117" t="str">
        <f t="shared" si="244"/>
        <v>no</v>
      </c>
      <c r="K1442" s="117" t="s">
        <v>1324</v>
      </c>
      <c r="L1442" s="117" t="str">
        <f t="shared" si="252"/>
        <v>detailed</v>
      </c>
      <c r="M1442" s="117" t="str">
        <f t="shared" si="245"/>
        <v>detailed Mining</v>
      </c>
      <c r="N1442" s="179">
        <v>1035574</v>
      </c>
      <c r="O1442" s="179"/>
      <c r="P1442" s="179"/>
      <c r="Q1442" s="179"/>
      <c r="R1442" s="179"/>
      <c r="S1442" s="117" t="s">
        <v>610</v>
      </c>
      <c r="T1442" s="119"/>
      <c r="U1442" s="117"/>
      <c r="V1442" s="117" t="s">
        <v>1146</v>
      </c>
      <c r="W1442" s="89"/>
      <c r="X1442" s="117"/>
      <c r="AA1442" s="89"/>
      <c r="AB1442" s="89"/>
      <c r="AC1442" s="240"/>
      <c r="AD1442" s="240"/>
      <c r="AE1442" s="240"/>
      <c r="AF1442" s="241"/>
      <c r="AH1442" s="124"/>
      <c r="AI1442" s="117"/>
      <c r="AJ1442" s="117"/>
      <c r="AK1442" s="89"/>
      <c r="AL1442" s="117"/>
      <c r="AM1442" s="117"/>
      <c r="AN1442" s="117"/>
      <c r="AO1442" s="117"/>
      <c r="AP1442" s="117"/>
      <c r="AQ1442" s="117"/>
      <c r="AR1442" s="117"/>
      <c r="AS1442" s="117"/>
      <c r="AT1442" s="117"/>
      <c r="AU1442" s="117"/>
      <c r="AV1442" s="128"/>
      <c r="AW1442" s="117">
        <f>VLOOKUP($D1442,'WB Data'!$C$3:$M$578,2,FALSE)</f>
        <v>66730306799.531067</v>
      </c>
      <c r="AX1442" s="117">
        <f>VLOOKUP($D1442,'WB Data'!$C$3:$M$578,3,FALSE)</f>
        <v>27403845</v>
      </c>
      <c r="AY1442" s="847">
        <f t="shared" si="247"/>
        <v>1.3251302997227456E-2</v>
      </c>
      <c r="AZ1442" s="117">
        <f>VLOOKUP($D1442,'WB Data'!$C$3:$M$578,4,FALSE)/100</f>
        <v>0.17222963965305593</v>
      </c>
      <c r="BA1442" s="117">
        <f t="shared" si="248"/>
        <v>11492936694.021103</v>
      </c>
      <c r="BB1442" s="129">
        <f>IFERROR(VLOOKUP($D1442,'EITI Revenues'!$C$2:$G$224,5,FALSE),"..")</f>
        <v>884263514.49853373</v>
      </c>
      <c r="BC1442" s="846">
        <f t="shared" si="249"/>
        <v>7.6939735947431823E-2</v>
      </c>
      <c r="BD1442" s="129">
        <f>VLOOKUP($D1442,'WB Data 2'!$C$2:$K$545,6,FALSE)</f>
        <v>7023518729.961482</v>
      </c>
      <c r="BE1442" s="129">
        <f>IFERROR(VLOOKUP($D1442,UNCTAD!$C$5:$V$529,4,FALSE),"..")</f>
        <v>14802480000</v>
      </c>
      <c r="BF1442" s="846">
        <f t="shared" si="250"/>
        <v>0.47448256845889891</v>
      </c>
      <c r="BG1442" s="117">
        <f>VLOOKUP($D1442,'WB Data'!$C$3:$M$578,5,FALSE)</f>
        <v>463450000</v>
      </c>
      <c r="BH1442" s="129">
        <f>IFERROR($BB1442/$BG1442,"..")</f>
        <v>1.9080019732409834</v>
      </c>
      <c r="BI1442" s="117">
        <f>IFERROR(VLOOKUP($D1442,'WB Data'!$C$3:$M$578,7,FALSE)/100,"..")</f>
        <v>2.83396E-2</v>
      </c>
      <c r="BJ1442" s="117">
        <f>IFERROR($BI1442*$AW1442,"..")</f>
        <v>1891110202.5759907</v>
      </c>
      <c r="BK1442" s="846">
        <f>IFERROR($BB1442/$BJ1442,"..")</f>
        <v>0.46758962713755509</v>
      </c>
      <c r="BL1442" s="117">
        <f>IFERROR(VLOOKUP($D1442,'WB Data'!$C$3:$M$578,7,FALSE)/100,"..")</f>
        <v>2.83396E-2</v>
      </c>
      <c r="BM1442" s="117">
        <f>IFERROR($AW1442*$BL1442,"..")</f>
        <v>1891110202.5759907</v>
      </c>
      <c r="BN1442" s="846">
        <f>IFERROR($BB1442/$BM1442,"..")</f>
        <v>0.46758962713755509</v>
      </c>
      <c r="BO1442" s="801">
        <f t="shared" si="246"/>
        <v>38</v>
      </c>
      <c r="BP1442" s="117">
        <f>VLOOKUP($D1442,'WB Data'!$C$3:$M$578,9,FALSE)</f>
        <v>58.7</v>
      </c>
      <c r="BQ1442" s="117">
        <f>VLOOKUP($D1442,'WB Data'!$C$3:$M$578,10,FALSE)</f>
        <v>72.096804878048786</v>
      </c>
      <c r="BR1442" s="117">
        <f>VLOOKUP($D1442,'WB Data'!$C$3:$M$578,11,FALSE)</f>
        <v>23</v>
      </c>
      <c r="BS1442" s="129">
        <f>IFERROR(VLOOKUP($D1442,'WB Data 2'!$C$2:$K$545,9,FALSE),"..")</f>
        <v>99.634069999999994</v>
      </c>
      <c r="BT1442" s="129">
        <f>_xlfn.IFNA(VLOOKUP($C1442,RGI!$A$2:$C$43,2,FALSE),"..")</f>
        <v>76.8</v>
      </c>
      <c r="BU1442" s="129">
        <f>_xlfn.IFNA(VLOOKUP($C1442,RGI!$A$2:$C$43,3,FALSE),"..")</f>
        <v>72.816147461462435</v>
      </c>
      <c r="BV1442" s="129">
        <f>VLOOKUP($D1442,WGI!$C$2:$O$478,7,FALSE)</f>
        <v>-0.14663028957413399</v>
      </c>
      <c r="BW1442" s="129">
        <f>VLOOKUP($D1442,WGI!$C$2:$O$478,4,FALSE)</f>
        <v>-1.00309654857232</v>
      </c>
      <c r="BX1442" s="129">
        <f>VLOOKUP($D1442,WGI!$C$2:$O$478,3,FALSE)</f>
        <v>-0.46854602636037601</v>
      </c>
      <c r="BY1442" s="129">
        <f>VLOOKUP($D1442,WGI!$C$2:$O$478,5,FALSE)</f>
        <v>0.23233413649883</v>
      </c>
      <c r="BZ1442" s="129">
        <f>VLOOKUP($D1442,WGI!$C$2:$O$478,2,FALSE)</f>
        <v>-0.35116899578167798</v>
      </c>
      <c r="CB1442" s="129"/>
    </row>
    <row r="1443" spans="1:80" s="120" customFormat="1" ht="15" customHeight="1">
      <c r="A1443" s="294" t="s">
        <v>448</v>
      </c>
      <c r="B1443" s="117">
        <v>2004</v>
      </c>
      <c r="C1443" s="117" t="s">
        <v>449</v>
      </c>
      <c r="D1443" s="117" t="s">
        <v>3473</v>
      </c>
      <c r="E1443" s="452" t="s">
        <v>220</v>
      </c>
      <c r="F1443" s="117"/>
      <c r="G1443" s="120" t="s">
        <v>24</v>
      </c>
      <c r="H1443" s="117" t="str">
        <f t="shared" si="251"/>
        <v>yes</v>
      </c>
      <c r="I1443" s="117" t="str">
        <f t="shared" si="243"/>
        <v>no</v>
      </c>
      <c r="J1443" s="117" t="str">
        <f t="shared" si="244"/>
        <v>no</v>
      </c>
      <c r="K1443" s="117" t="s">
        <v>1421</v>
      </c>
      <c r="L1443" s="117" t="str">
        <f t="shared" si="252"/>
        <v>detailed</v>
      </c>
      <c r="M1443" s="117" t="str">
        <f t="shared" si="245"/>
        <v>detailed Mining</v>
      </c>
      <c r="N1443" s="179">
        <v>320135</v>
      </c>
      <c r="O1443" s="179"/>
      <c r="P1443" s="179"/>
      <c r="Q1443" s="179"/>
      <c r="R1443" s="179"/>
      <c r="S1443" s="117" t="s">
        <v>610</v>
      </c>
      <c r="T1443" s="119"/>
      <c r="U1443" s="117"/>
      <c r="V1443" s="117" t="s">
        <v>1146</v>
      </c>
      <c r="W1443" s="89"/>
      <c r="X1443" s="117"/>
      <c r="AA1443" s="89"/>
      <c r="AB1443" s="89"/>
      <c r="AC1443" s="240"/>
      <c r="AD1443" s="240"/>
      <c r="AE1443" s="240"/>
      <c r="AF1443" s="241"/>
      <c r="AH1443" s="124"/>
      <c r="AI1443" s="117"/>
      <c r="AJ1443" s="117"/>
      <c r="AK1443" s="89"/>
      <c r="AL1443" s="117"/>
      <c r="AM1443" s="117"/>
      <c r="AN1443" s="117"/>
      <c r="AO1443" s="117"/>
      <c r="AP1443" s="117"/>
      <c r="AQ1443" s="117"/>
      <c r="AR1443" s="117"/>
      <c r="AS1443" s="117"/>
      <c r="AT1443" s="117"/>
      <c r="AU1443" s="117"/>
      <c r="AV1443" s="128"/>
      <c r="AW1443" s="117">
        <f>VLOOKUP($D1443,'WB Data'!$C$3:$M$578,2,FALSE)</f>
        <v>66730306799.531067</v>
      </c>
      <c r="AX1443" s="117">
        <f>VLOOKUP($D1443,'WB Data'!$C$3:$M$578,3,FALSE)</f>
        <v>27403845</v>
      </c>
      <c r="AY1443" s="847">
        <f t="shared" si="247"/>
        <v>1.3251302997227456E-2</v>
      </c>
      <c r="AZ1443" s="117">
        <f>VLOOKUP($D1443,'WB Data'!$C$3:$M$578,4,FALSE)/100</f>
        <v>0.17222963965305593</v>
      </c>
      <c r="BA1443" s="117">
        <f t="shared" si="248"/>
        <v>11492936694.021103</v>
      </c>
      <c r="BB1443" s="129">
        <f>IFERROR(VLOOKUP($D1443,'EITI Revenues'!$C$2:$G$224,5,FALSE),"..")</f>
        <v>884263514.49853373</v>
      </c>
      <c r="BC1443" s="846">
        <f t="shared" si="249"/>
        <v>7.6939735947431823E-2</v>
      </c>
      <c r="BD1443" s="129">
        <f>VLOOKUP($D1443,'WB Data 2'!$C$2:$K$545,6,FALSE)</f>
        <v>7023518729.961482</v>
      </c>
      <c r="BE1443" s="129">
        <f>IFERROR(VLOOKUP($D1443,UNCTAD!$C$5:$V$529,4,FALSE),"..")</f>
        <v>14802480000</v>
      </c>
      <c r="BF1443" s="846">
        <f t="shared" si="250"/>
        <v>0.47448256845889891</v>
      </c>
      <c r="BG1443" s="117">
        <f>VLOOKUP($D1443,'WB Data'!$C$3:$M$578,5,FALSE)</f>
        <v>463450000</v>
      </c>
      <c r="BH1443" s="129">
        <f>IFERROR($BB1443/$BG1443,"..")</f>
        <v>1.9080019732409834</v>
      </c>
      <c r="BI1443" s="117">
        <f>IFERROR(VLOOKUP($D1443,'WB Data'!$C$3:$M$578,7,FALSE)/100,"..")</f>
        <v>2.83396E-2</v>
      </c>
      <c r="BJ1443" s="117">
        <f>IFERROR($BI1443*$AW1443,"..")</f>
        <v>1891110202.5759907</v>
      </c>
      <c r="BK1443" s="846">
        <f>IFERROR($BB1443/$BJ1443,"..")</f>
        <v>0.46758962713755509</v>
      </c>
      <c r="BL1443" s="117">
        <f>IFERROR(VLOOKUP($D1443,'WB Data'!$C$3:$M$578,7,FALSE)/100,"..")</f>
        <v>2.83396E-2</v>
      </c>
      <c r="BM1443" s="117">
        <f>IFERROR($AW1443*$BL1443,"..")</f>
        <v>1891110202.5759907</v>
      </c>
      <c r="BN1443" s="846">
        <f>IFERROR($BB1443/$BM1443,"..")</f>
        <v>0.46758962713755509</v>
      </c>
      <c r="BO1443" s="801">
        <f t="shared" si="246"/>
        <v>38</v>
      </c>
      <c r="BP1443" s="117">
        <f>VLOOKUP($D1443,'WB Data'!$C$3:$M$578,9,FALSE)</f>
        <v>58.7</v>
      </c>
      <c r="BQ1443" s="117">
        <f>VLOOKUP($D1443,'WB Data'!$C$3:$M$578,10,FALSE)</f>
        <v>72.096804878048786</v>
      </c>
      <c r="BR1443" s="117">
        <f>VLOOKUP($D1443,'WB Data'!$C$3:$M$578,11,FALSE)</f>
        <v>23</v>
      </c>
      <c r="BS1443" s="129">
        <f>IFERROR(VLOOKUP($D1443,'WB Data 2'!$C$2:$K$545,9,FALSE),"..")</f>
        <v>99.634069999999994</v>
      </c>
      <c r="BT1443" s="129">
        <f>_xlfn.IFNA(VLOOKUP($C1443,RGI!$A$2:$C$43,2,FALSE),"..")</f>
        <v>76.8</v>
      </c>
      <c r="BU1443" s="129">
        <f>_xlfn.IFNA(VLOOKUP($C1443,RGI!$A$2:$C$43,3,FALSE),"..")</f>
        <v>72.816147461462435</v>
      </c>
      <c r="BV1443" s="129">
        <f>VLOOKUP($D1443,WGI!$C$2:$O$478,7,FALSE)</f>
        <v>-0.14663028957413399</v>
      </c>
      <c r="BW1443" s="129">
        <f>VLOOKUP($D1443,WGI!$C$2:$O$478,4,FALSE)</f>
        <v>-1.00309654857232</v>
      </c>
      <c r="BX1443" s="129">
        <f>VLOOKUP($D1443,WGI!$C$2:$O$478,3,FALSE)</f>
        <v>-0.46854602636037601</v>
      </c>
      <c r="BY1443" s="129">
        <f>VLOOKUP($D1443,WGI!$C$2:$O$478,5,FALSE)</f>
        <v>0.23233413649883</v>
      </c>
      <c r="BZ1443" s="129">
        <f>VLOOKUP($D1443,WGI!$C$2:$O$478,2,FALSE)</f>
        <v>-0.35116899578167798</v>
      </c>
      <c r="CB1443" s="129"/>
    </row>
    <row r="1444" spans="1:80" s="120" customFormat="1" ht="15" customHeight="1">
      <c r="A1444" s="294" t="s">
        <v>448</v>
      </c>
      <c r="B1444" s="117">
        <v>2004</v>
      </c>
      <c r="C1444" s="117" t="s">
        <v>449</v>
      </c>
      <c r="D1444" s="117" t="s">
        <v>3473</v>
      </c>
      <c r="E1444" s="452" t="s">
        <v>220</v>
      </c>
      <c r="F1444" s="117"/>
      <c r="G1444" s="120" t="s">
        <v>24</v>
      </c>
      <c r="H1444" s="117" t="str">
        <f t="shared" si="251"/>
        <v>yes</v>
      </c>
      <c r="I1444" s="117" t="str">
        <f t="shared" si="243"/>
        <v>no</v>
      </c>
      <c r="J1444" s="117" t="str">
        <f t="shared" si="244"/>
        <v>no</v>
      </c>
      <c r="K1444" s="117" t="s">
        <v>1422</v>
      </c>
      <c r="L1444" s="117" t="str">
        <f t="shared" si="252"/>
        <v>detailed</v>
      </c>
      <c r="M1444" s="117" t="str">
        <f t="shared" si="245"/>
        <v>detailed Mining</v>
      </c>
      <c r="N1444" s="179">
        <v>505308</v>
      </c>
      <c r="O1444" s="179"/>
      <c r="P1444" s="179"/>
      <c r="Q1444" s="179"/>
      <c r="R1444" s="179"/>
      <c r="S1444" s="117" t="s">
        <v>610</v>
      </c>
      <c r="T1444" s="119"/>
      <c r="U1444" s="117"/>
      <c r="V1444" s="117" t="s">
        <v>1146</v>
      </c>
      <c r="W1444" s="89"/>
      <c r="X1444" s="117"/>
      <c r="AA1444" s="89"/>
      <c r="AB1444" s="89"/>
      <c r="AC1444" s="240"/>
      <c r="AD1444" s="240"/>
      <c r="AE1444" s="240"/>
      <c r="AF1444" s="241"/>
      <c r="AH1444" s="124"/>
      <c r="AI1444" s="117"/>
      <c r="AJ1444" s="117"/>
      <c r="AK1444" s="89"/>
      <c r="AL1444" s="117"/>
      <c r="AM1444" s="117"/>
      <c r="AN1444" s="117"/>
      <c r="AO1444" s="117"/>
      <c r="AP1444" s="117"/>
      <c r="AQ1444" s="117"/>
      <c r="AR1444" s="117"/>
      <c r="AS1444" s="117"/>
      <c r="AT1444" s="117"/>
      <c r="AU1444" s="117"/>
      <c r="AV1444" s="128"/>
      <c r="AW1444" s="117">
        <f>VLOOKUP($D1444,'WB Data'!$C$3:$M$578,2,FALSE)</f>
        <v>66730306799.531067</v>
      </c>
      <c r="AX1444" s="117">
        <f>VLOOKUP($D1444,'WB Data'!$C$3:$M$578,3,FALSE)</f>
        <v>27403845</v>
      </c>
      <c r="AY1444" s="847">
        <f t="shared" si="247"/>
        <v>1.3251302997227456E-2</v>
      </c>
      <c r="AZ1444" s="117">
        <f>VLOOKUP($D1444,'WB Data'!$C$3:$M$578,4,FALSE)/100</f>
        <v>0.17222963965305593</v>
      </c>
      <c r="BA1444" s="117">
        <f t="shared" si="248"/>
        <v>11492936694.021103</v>
      </c>
      <c r="BB1444" s="129">
        <f>IFERROR(VLOOKUP($D1444,'EITI Revenues'!$C$2:$G$224,5,FALSE),"..")</f>
        <v>884263514.49853373</v>
      </c>
      <c r="BC1444" s="846">
        <f t="shared" si="249"/>
        <v>7.6939735947431823E-2</v>
      </c>
      <c r="BD1444" s="129">
        <f>VLOOKUP($D1444,'WB Data 2'!$C$2:$K$545,6,FALSE)</f>
        <v>7023518729.961482</v>
      </c>
      <c r="BE1444" s="129">
        <f>IFERROR(VLOOKUP($D1444,UNCTAD!$C$5:$V$529,4,FALSE),"..")</f>
        <v>14802480000</v>
      </c>
      <c r="BF1444" s="846">
        <f t="shared" si="250"/>
        <v>0.47448256845889891</v>
      </c>
      <c r="BG1444" s="117">
        <f>VLOOKUP($D1444,'WB Data'!$C$3:$M$578,5,FALSE)</f>
        <v>463450000</v>
      </c>
      <c r="BH1444" s="129">
        <f>IFERROR($BB1444/$BG1444,"..")</f>
        <v>1.9080019732409834</v>
      </c>
      <c r="BI1444" s="117">
        <f>IFERROR(VLOOKUP($D1444,'WB Data'!$C$3:$M$578,7,FALSE)/100,"..")</f>
        <v>2.83396E-2</v>
      </c>
      <c r="BJ1444" s="117">
        <f>IFERROR($BI1444*$AW1444,"..")</f>
        <v>1891110202.5759907</v>
      </c>
      <c r="BK1444" s="846">
        <f>IFERROR($BB1444/$BJ1444,"..")</f>
        <v>0.46758962713755509</v>
      </c>
      <c r="BL1444" s="117">
        <f>IFERROR(VLOOKUP($D1444,'WB Data'!$C$3:$M$578,7,FALSE)/100,"..")</f>
        <v>2.83396E-2</v>
      </c>
      <c r="BM1444" s="117">
        <f>IFERROR($AW1444*$BL1444,"..")</f>
        <v>1891110202.5759907</v>
      </c>
      <c r="BN1444" s="846">
        <f>IFERROR($BB1444/$BM1444,"..")</f>
        <v>0.46758962713755509</v>
      </c>
      <c r="BO1444" s="801">
        <f t="shared" si="246"/>
        <v>38</v>
      </c>
      <c r="BP1444" s="117">
        <f>VLOOKUP($D1444,'WB Data'!$C$3:$M$578,9,FALSE)</f>
        <v>58.7</v>
      </c>
      <c r="BQ1444" s="117">
        <f>VLOOKUP($D1444,'WB Data'!$C$3:$M$578,10,FALSE)</f>
        <v>72.096804878048786</v>
      </c>
      <c r="BR1444" s="117">
        <f>VLOOKUP($D1444,'WB Data'!$C$3:$M$578,11,FALSE)</f>
        <v>23</v>
      </c>
      <c r="BS1444" s="129">
        <f>IFERROR(VLOOKUP($D1444,'WB Data 2'!$C$2:$K$545,9,FALSE),"..")</f>
        <v>99.634069999999994</v>
      </c>
      <c r="BT1444" s="129">
        <f>_xlfn.IFNA(VLOOKUP($C1444,RGI!$A$2:$C$43,2,FALSE),"..")</f>
        <v>76.8</v>
      </c>
      <c r="BU1444" s="129">
        <f>_xlfn.IFNA(VLOOKUP($C1444,RGI!$A$2:$C$43,3,FALSE),"..")</f>
        <v>72.816147461462435</v>
      </c>
      <c r="BV1444" s="129">
        <f>VLOOKUP($D1444,WGI!$C$2:$O$478,7,FALSE)</f>
        <v>-0.14663028957413399</v>
      </c>
      <c r="BW1444" s="129">
        <f>VLOOKUP($D1444,WGI!$C$2:$O$478,4,FALSE)</f>
        <v>-1.00309654857232</v>
      </c>
      <c r="BX1444" s="129">
        <f>VLOOKUP($D1444,WGI!$C$2:$O$478,3,FALSE)</f>
        <v>-0.46854602636037601</v>
      </c>
      <c r="BY1444" s="129">
        <f>VLOOKUP($D1444,WGI!$C$2:$O$478,5,FALSE)</f>
        <v>0.23233413649883</v>
      </c>
      <c r="BZ1444" s="129">
        <f>VLOOKUP($D1444,WGI!$C$2:$O$478,2,FALSE)</f>
        <v>-0.35116899578167798</v>
      </c>
      <c r="CB1444" s="129"/>
    </row>
    <row r="1445" spans="1:80" s="120" customFormat="1" ht="15" customHeight="1">
      <c r="A1445" s="294" t="s">
        <v>448</v>
      </c>
      <c r="B1445" s="117">
        <v>2004</v>
      </c>
      <c r="C1445" s="117" t="s">
        <v>449</v>
      </c>
      <c r="D1445" s="117" t="s">
        <v>3473</v>
      </c>
      <c r="E1445" s="452" t="s">
        <v>220</v>
      </c>
      <c r="F1445" s="117"/>
      <c r="G1445" s="120" t="s">
        <v>24</v>
      </c>
      <c r="H1445" s="117" t="str">
        <f t="shared" si="251"/>
        <v>yes</v>
      </c>
      <c r="I1445" s="117" t="str">
        <f t="shared" si="243"/>
        <v>no</v>
      </c>
      <c r="J1445" s="117" t="str">
        <f t="shared" si="244"/>
        <v>no</v>
      </c>
      <c r="K1445" s="117" t="s">
        <v>784</v>
      </c>
      <c r="L1445" s="117" t="str">
        <f t="shared" si="252"/>
        <v>detailed</v>
      </c>
      <c r="M1445" s="117" t="str">
        <f t="shared" si="245"/>
        <v>detailed Mining</v>
      </c>
      <c r="N1445" s="179">
        <f>173224*32.150743126506</f>
        <v>5569280.3273458751</v>
      </c>
      <c r="O1445" s="179"/>
      <c r="P1445" s="179"/>
      <c r="Q1445" s="179"/>
      <c r="R1445" s="179"/>
      <c r="S1445" s="117" t="s">
        <v>785</v>
      </c>
      <c r="T1445" s="119">
        <v>409.21158333333</v>
      </c>
      <c r="U1445" s="117" t="s">
        <v>786</v>
      </c>
      <c r="V1445" s="117" t="s">
        <v>902</v>
      </c>
      <c r="W1445" s="89">
        <f>N1445*T1445</f>
        <v>2279014020.7803721</v>
      </c>
      <c r="X1445" s="117"/>
      <c r="Y1445" s="492"/>
      <c r="Z1445" s="492"/>
      <c r="AA1445" s="89"/>
      <c r="AB1445" s="89"/>
      <c r="AC1445" s="240" t="s">
        <v>2035</v>
      </c>
      <c r="AD1445" s="240"/>
      <c r="AE1445" s="240"/>
      <c r="AF1445" s="241"/>
      <c r="AG1445" s="89"/>
      <c r="AH1445" s="124"/>
      <c r="AI1445" s="117"/>
      <c r="AJ1445" s="117"/>
      <c r="AK1445" s="89"/>
      <c r="AL1445" s="117"/>
      <c r="AM1445" s="117"/>
      <c r="AN1445" s="117">
        <v>11</v>
      </c>
      <c r="AO1445" s="117" t="s">
        <v>2036</v>
      </c>
      <c r="AP1445" s="117">
        <v>11</v>
      </c>
      <c r="AQ1445" s="117"/>
      <c r="AR1445" s="117"/>
      <c r="AS1445" s="117"/>
      <c r="AT1445" s="117"/>
      <c r="AU1445" s="117"/>
      <c r="AV1445" s="128"/>
      <c r="AW1445" s="117">
        <f>VLOOKUP($D1445,'WB Data'!$C$3:$M$578,2,FALSE)</f>
        <v>66730306799.531067</v>
      </c>
      <c r="AX1445" s="117">
        <f>VLOOKUP($D1445,'WB Data'!$C$3:$M$578,3,FALSE)</f>
        <v>27403845</v>
      </c>
      <c r="AY1445" s="847">
        <f t="shared" si="247"/>
        <v>1.3251302997227456E-2</v>
      </c>
      <c r="AZ1445" s="117">
        <f>VLOOKUP($D1445,'WB Data'!$C$3:$M$578,4,FALSE)/100</f>
        <v>0.17222963965305593</v>
      </c>
      <c r="BA1445" s="117">
        <f t="shared" si="248"/>
        <v>11492936694.021103</v>
      </c>
      <c r="BB1445" s="129">
        <f>IFERROR(VLOOKUP($D1445,'EITI Revenues'!$C$2:$G$224,5,FALSE),"..")</f>
        <v>884263514.49853373</v>
      </c>
      <c r="BC1445" s="846">
        <f t="shared" si="249"/>
        <v>7.6939735947431823E-2</v>
      </c>
      <c r="BD1445" s="129">
        <f>VLOOKUP($D1445,'WB Data 2'!$C$2:$K$545,6,FALSE)</f>
        <v>7023518729.961482</v>
      </c>
      <c r="BE1445" s="129">
        <f>IFERROR(VLOOKUP($D1445,UNCTAD!$C$5:$V$529,4,FALSE),"..")</f>
        <v>14802480000</v>
      </c>
      <c r="BF1445" s="846">
        <f t="shared" si="250"/>
        <v>0.47448256845889891</v>
      </c>
      <c r="BG1445" s="117">
        <f>VLOOKUP($D1445,'WB Data'!$C$3:$M$578,5,FALSE)</f>
        <v>463450000</v>
      </c>
      <c r="BH1445" s="129">
        <f>IFERROR($BB1445/$BG1445,"..")</f>
        <v>1.9080019732409834</v>
      </c>
      <c r="BI1445" s="117">
        <f>IFERROR(VLOOKUP($D1445,'WB Data'!$C$3:$M$578,7,FALSE)/100,"..")</f>
        <v>2.83396E-2</v>
      </c>
      <c r="BJ1445" s="117">
        <f>IFERROR($BI1445*$AW1445,"..")</f>
        <v>1891110202.5759907</v>
      </c>
      <c r="BK1445" s="846">
        <f>IFERROR($BB1445/$BJ1445,"..")</f>
        <v>0.46758962713755509</v>
      </c>
      <c r="BL1445" s="117">
        <f>IFERROR(VLOOKUP($D1445,'WB Data'!$C$3:$M$578,7,FALSE)/100,"..")</f>
        <v>2.83396E-2</v>
      </c>
      <c r="BM1445" s="117">
        <f>IFERROR($AW1445*$BL1445,"..")</f>
        <v>1891110202.5759907</v>
      </c>
      <c r="BN1445" s="846">
        <f>IFERROR($BB1445/$BM1445,"..")</f>
        <v>0.46758962713755509</v>
      </c>
      <c r="BO1445" s="801">
        <f t="shared" si="246"/>
        <v>38</v>
      </c>
      <c r="BP1445" s="117">
        <f>VLOOKUP($D1445,'WB Data'!$C$3:$M$578,9,FALSE)</f>
        <v>58.7</v>
      </c>
      <c r="BQ1445" s="117">
        <f>VLOOKUP($D1445,'WB Data'!$C$3:$M$578,10,FALSE)</f>
        <v>72.096804878048786</v>
      </c>
      <c r="BR1445" s="117">
        <f>VLOOKUP($D1445,'WB Data'!$C$3:$M$578,11,FALSE)</f>
        <v>23</v>
      </c>
      <c r="BS1445" s="129">
        <f>IFERROR(VLOOKUP($D1445,'WB Data 2'!$C$2:$K$545,9,FALSE),"..")</f>
        <v>99.634069999999994</v>
      </c>
      <c r="BT1445" s="129">
        <f>_xlfn.IFNA(VLOOKUP($C1445,RGI!$A$2:$C$43,2,FALSE),"..")</f>
        <v>76.8</v>
      </c>
      <c r="BU1445" s="129">
        <f>_xlfn.IFNA(VLOOKUP($C1445,RGI!$A$2:$C$43,3,FALSE),"..")</f>
        <v>72.816147461462435</v>
      </c>
      <c r="BV1445" s="129">
        <f>VLOOKUP($D1445,WGI!$C$2:$O$478,7,FALSE)</f>
        <v>-0.14663028957413399</v>
      </c>
      <c r="BW1445" s="129">
        <f>VLOOKUP($D1445,WGI!$C$2:$O$478,4,FALSE)</f>
        <v>-1.00309654857232</v>
      </c>
      <c r="BX1445" s="129">
        <f>VLOOKUP($D1445,WGI!$C$2:$O$478,3,FALSE)</f>
        <v>-0.46854602636037601</v>
      </c>
      <c r="BY1445" s="129">
        <f>VLOOKUP($D1445,WGI!$C$2:$O$478,5,FALSE)</f>
        <v>0.23233413649883</v>
      </c>
      <c r="BZ1445" s="129">
        <f>VLOOKUP($D1445,WGI!$C$2:$O$478,2,FALSE)</f>
        <v>-0.35116899578167798</v>
      </c>
      <c r="CB1445" s="129"/>
    </row>
    <row r="1446" spans="1:80" s="120" customFormat="1" ht="15" customHeight="1">
      <c r="A1446" s="294" t="s">
        <v>448</v>
      </c>
      <c r="B1446" s="117">
        <v>2004</v>
      </c>
      <c r="C1446" s="117" t="s">
        <v>449</v>
      </c>
      <c r="D1446" s="117" t="s">
        <v>3473</v>
      </c>
      <c r="E1446" s="452" t="s">
        <v>220</v>
      </c>
      <c r="F1446" s="117"/>
      <c r="G1446" s="120" t="s">
        <v>24</v>
      </c>
      <c r="H1446" s="117" t="str">
        <f t="shared" si="251"/>
        <v>yes</v>
      </c>
      <c r="I1446" s="117" t="str">
        <f t="shared" si="243"/>
        <v>no</v>
      </c>
      <c r="J1446" s="117" t="str">
        <f t="shared" si="244"/>
        <v>no</v>
      </c>
      <c r="K1446" s="117" t="s">
        <v>2037</v>
      </c>
      <c r="L1446" s="117" t="str">
        <f t="shared" si="252"/>
        <v>detailed</v>
      </c>
      <c r="M1446" s="117" t="str">
        <f t="shared" si="245"/>
        <v>detailed Mining</v>
      </c>
      <c r="N1446" s="179">
        <v>5500</v>
      </c>
      <c r="O1446" s="179"/>
      <c r="P1446" s="179"/>
      <c r="Q1446" s="179"/>
      <c r="R1446" s="179"/>
      <c r="S1446" s="117" t="s">
        <v>967</v>
      </c>
      <c r="T1446" s="119">
        <v>643</v>
      </c>
      <c r="U1446" s="117" t="s">
        <v>1874</v>
      </c>
      <c r="V1446" s="117" t="s">
        <v>2038</v>
      </c>
      <c r="W1446" s="89">
        <f>N1446*T1446</f>
        <v>3536500</v>
      </c>
      <c r="X1446" s="117"/>
      <c r="Y1446" s="492"/>
      <c r="Z1446" s="492"/>
      <c r="AA1446" s="89"/>
      <c r="AB1446" s="89"/>
      <c r="AC1446" s="240"/>
      <c r="AD1446" s="240"/>
      <c r="AE1446" s="240"/>
      <c r="AF1446" s="241"/>
      <c r="AG1446" s="89"/>
      <c r="AH1446" s="124"/>
      <c r="AI1446" s="117"/>
      <c r="AJ1446" s="117"/>
      <c r="AK1446" s="89"/>
      <c r="AL1446" s="117"/>
      <c r="AM1446" s="117"/>
      <c r="AN1446" s="117"/>
      <c r="AO1446" s="117"/>
      <c r="AP1446" s="117"/>
      <c r="AQ1446" s="117"/>
      <c r="AR1446" s="117"/>
      <c r="AS1446" s="117"/>
      <c r="AT1446" s="117"/>
      <c r="AU1446" s="117"/>
      <c r="AV1446" s="128"/>
      <c r="AW1446" s="117">
        <f>VLOOKUP($D1446,'WB Data'!$C$3:$M$578,2,FALSE)</f>
        <v>66730306799.531067</v>
      </c>
      <c r="AX1446" s="117">
        <f>VLOOKUP($D1446,'WB Data'!$C$3:$M$578,3,FALSE)</f>
        <v>27403845</v>
      </c>
      <c r="AY1446" s="847">
        <f t="shared" si="247"/>
        <v>1.3251302997227456E-2</v>
      </c>
      <c r="AZ1446" s="117">
        <f>VLOOKUP($D1446,'WB Data'!$C$3:$M$578,4,FALSE)/100</f>
        <v>0.17222963965305593</v>
      </c>
      <c r="BA1446" s="117">
        <f t="shared" si="248"/>
        <v>11492936694.021103</v>
      </c>
      <c r="BB1446" s="129">
        <f>IFERROR(VLOOKUP($D1446,'EITI Revenues'!$C$2:$G$224,5,FALSE),"..")</f>
        <v>884263514.49853373</v>
      </c>
      <c r="BC1446" s="846">
        <f t="shared" si="249"/>
        <v>7.6939735947431823E-2</v>
      </c>
      <c r="BD1446" s="129">
        <f>VLOOKUP($D1446,'WB Data 2'!$C$2:$K$545,6,FALSE)</f>
        <v>7023518729.961482</v>
      </c>
      <c r="BE1446" s="129">
        <f>IFERROR(VLOOKUP($D1446,UNCTAD!$C$5:$V$529,4,FALSE),"..")</f>
        <v>14802480000</v>
      </c>
      <c r="BF1446" s="846">
        <f t="shared" si="250"/>
        <v>0.47448256845889891</v>
      </c>
      <c r="BG1446" s="117">
        <f>VLOOKUP($D1446,'WB Data'!$C$3:$M$578,5,FALSE)</f>
        <v>463450000</v>
      </c>
      <c r="BH1446" s="129">
        <f>IFERROR($BB1446/$BG1446,"..")</f>
        <v>1.9080019732409834</v>
      </c>
      <c r="BI1446" s="117">
        <f>IFERROR(VLOOKUP($D1446,'WB Data'!$C$3:$M$578,7,FALSE)/100,"..")</f>
        <v>2.83396E-2</v>
      </c>
      <c r="BJ1446" s="117">
        <f>IFERROR($BI1446*$AW1446,"..")</f>
        <v>1891110202.5759907</v>
      </c>
      <c r="BK1446" s="846">
        <f>IFERROR($BB1446/$BJ1446,"..")</f>
        <v>0.46758962713755509</v>
      </c>
      <c r="BL1446" s="117">
        <f>IFERROR(VLOOKUP($D1446,'WB Data'!$C$3:$M$578,7,FALSE)/100,"..")</f>
        <v>2.83396E-2</v>
      </c>
      <c r="BM1446" s="117">
        <f>IFERROR($AW1446*$BL1446,"..")</f>
        <v>1891110202.5759907</v>
      </c>
      <c r="BN1446" s="846">
        <f>IFERROR($BB1446/$BM1446,"..")</f>
        <v>0.46758962713755509</v>
      </c>
      <c r="BO1446" s="801">
        <f t="shared" si="246"/>
        <v>38</v>
      </c>
      <c r="BP1446" s="117">
        <f>VLOOKUP($D1446,'WB Data'!$C$3:$M$578,9,FALSE)</f>
        <v>58.7</v>
      </c>
      <c r="BQ1446" s="117">
        <f>VLOOKUP($D1446,'WB Data'!$C$3:$M$578,10,FALSE)</f>
        <v>72.096804878048786</v>
      </c>
      <c r="BR1446" s="117">
        <f>VLOOKUP($D1446,'WB Data'!$C$3:$M$578,11,FALSE)</f>
        <v>23</v>
      </c>
      <c r="BS1446" s="129">
        <f>IFERROR(VLOOKUP($D1446,'WB Data 2'!$C$2:$K$545,9,FALSE),"..")</f>
        <v>99.634069999999994</v>
      </c>
      <c r="BT1446" s="129">
        <f>_xlfn.IFNA(VLOOKUP($C1446,RGI!$A$2:$C$43,2,FALSE),"..")</f>
        <v>76.8</v>
      </c>
      <c r="BU1446" s="129">
        <f>_xlfn.IFNA(VLOOKUP($C1446,RGI!$A$2:$C$43,3,FALSE),"..")</f>
        <v>72.816147461462435</v>
      </c>
      <c r="BV1446" s="129">
        <f>VLOOKUP($D1446,WGI!$C$2:$O$478,7,FALSE)</f>
        <v>-0.14663028957413399</v>
      </c>
      <c r="BW1446" s="129">
        <f>VLOOKUP($D1446,WGI!$C$2:$O$478,4,FALSE)</f>
        <v>-1.00309654857232</v>
      </c>
      <c r="BX1446" s="129">
        <f>VLOOKUP($D1446,WGI!$C$2:$O$478,3,FALSE)</f>
        <v>-0.46854602636037601</v>
      </c>
      <c r="BY1446" s="129">
        <f>VLOOKUP($D1446,WGI!$C$2:$O$478,5,FALSE)</f>
        <v>0.23233413649883</v>
      </c>
      <c r="BZ1446" s="129">
        <f>VLOOKUP($D1446,WGI!$C$2:$O$478,2,FALSE)</f>
        <v>-0.35116899578167798</v>
      </c>
      <c r="CB1446" s="129"/>
    </row>
    <row r="1447" spans="1:80" s="120" customFormat="1" ht="15" customHeight="1">
      <c r="A1447" s="294" t="s">
        <v>448</v>
      </c>
      <c r="B1447" s="117">
        <v>2004</v>
      </c>
      <c r="C1447" s="117" t="s">
        <v>449</v>
      </c>
      <c r="D1447" s="117" t="s">
        <v>3473</v>
      </c>
      <c r="E1447" s="452" t="s">
        <v>220</v>
      </c>
      <c r="F1447" s="117"/>
      <c r="G1447" s="120" t="s">
        <v>24</v>
      </c>
      <c r="H1447" s="117" t="str">
        <f t="shared" si="251"/>
        <v>yes</v>
      </c>
      <c r="I1447" s="117" t="str">
        <f t="shared" si="243"/>
        <v>no</v>
      </c>
      <c r="J1447" s="117" t="str">
        <f t="shared" si="244"/>
        <v>no</v>
      </c>
      <c r="K1447" s="117" t="s">
        <v>1228</v>
      </c>
      <c r="L1447" s="117" t="str">
        <f t="shared" si="252"/>
        <v>detailed</v>
      </c>
      <c r="M1447" s="117" t="str">
        <f t="shared" si="245"/>
        <v>detailed Mining</v>
      </c>
      <c r="N1447" s="179">
        <v>6439000</v>
      </c>
      <c r="O1447" s="179"/>
      <c r="P1447" s="179"/>
      <c r="Q1447" s="179"/>
      <c r="R1447" s="179"/>
      <c r="S1447" s="117" t="s">
        <v>610</v>
      </c>
      <c r="T1447" s="119">
        <v>37.9</v>
      </c>
      <c r="U1447" s="117" t="s">
        <v>611</v>
      </c>
      <c r="V1447" s="117" t="s">
        <v>2039</v>
      </c>
      <c r="W1447" s="89">
        <f>N1447*T1447</f>
        <v>244038100</v>
      </c>
      <c r="X1447" s="117"/>
      <c r="Y1447" s="492"/>
      <c r="Z1447" s="492"/>
      <c r="AA1447" s="89"/>
      <c r="AB1447" s="89"/>
      <c r="AC1447" s="240"/>
      <c r="AD1447" s="240"/>
      <c r="AE1447" s="240"/>
      <c r="AF1447" s="241"/>
      <c r="AG1447" s="89"/>
      <c r="AH1447" s="124"/>
      <c r="AI1447" s="117"/>
      <c r="AJ1447" s="117"/>
      <c r="AK1447" s="89"/>
      <c r="AL1447" s="117"/>
      <c r="AM1447" s="117"/>
      <c r="AN1447" s="117"/>
      <c r="AO1447" s="117"/>
      <c r="AP1447" s="117"/>
      <c r="AQ1447" s="117"/>
      <c r="AR1447" s="117"/>
      <c r="AS1447" s="117"/>
      <c r="AT1447" s="117"/>
      <c r="AU1447" s="117"/>
      <c r="AV1447" s="128"/>
      <c r="AW1447" s="117">
        <f>VLOOKUP($D1447,'WB Data'!$C$3:$M$578,2,FALSE)</f>
        <v>66730306799.531067</v>
      </c>
      <c r="AX1447" s="117">
        <f>VLOOKUP($D1447,'WB Data'!$C$3:$M$578,3,FALSE)</f>
        <v>27403845</v>
      </c>
      <c r="AY1447" s="847">
        <f t="shared" si="247"/>
        <v>1.3251302997227456E-2</v>
      </c>
      <c r="AZ1447" s="117">
        <f>VLOOKUP($D1447,'WB Data'!$C$3:$M$578,4,FALSE)/100</f>
        <v>0.17222963965305593</v>
      </c>
      <c r="BA1447" s="117">
        <f t="shared" si="248"/>
        <v>11492936694.021103</v>
      </c>
      <c r="BB1447" s="129">
        <f>IFERROR(VLOOKUP($D1447,'EITI Revenues'!$C$2:$G$224,5,FALSE),"..")</f>
        <v>884263514.49853373</v>
      </c>
      <c r="BC1447" s="846">
        <f t="shared" si="249"/>
        <v>7.6939735947431823E-2</v>
      </c>
      <c r="BD1447" s="129">
        <f>VLOOKUP($D1447,'WB Data 2'!$C$2:$K$545,6,FALSE)</f>
        <v>7023518729.961482</v>
      </c>
      <c r="BE1447" s="129">
        <f>IFERROR(VLOOKUP($D1447,UNCTAD!$C$5:$V$529,4,FALSE),"..")</f>
        <v>14802480000</v>
      </c>
      <c r="BF1447" s="846">
        <f t="shared" si="250"/>
        <v>0.47448256845889891</v>
      </c>
      <c r="BG1447" s="117">
        <f>VLOOKUP($D1447,'WB Data'!$C$3:$M$578,5,FALSE)</f>
        <v>463450000</v>
      </c>
      <c r="BH1447" s="129">
        <f>IFERROR($BB1447/$BG1447,"..")</f>
        <v>1.9080019732409834</v>
      </c>
      <c r="BI1447" s="117">
        <f>IFERROR(VLOOKUP($D1447,'WB Data'!$C$3:$M$578,7,FALSE)/100,"..")</f>
        <v>2.83396E-2</v>
      </c>
      <c r="BJ1447" s="117">
        <f>IFERROR($BI1447*$AW1447,"..")</f>
        <v>1891110202.5759907</v>
      </c>
      <c r="BK1447" s="846">
        <f>IFERROR($BB1447/$BJ1447,"..")</f>
        <v>0.46758962713755509</v>
      </c>
      <c r="BL1447" s="117">
        <f>IFERROR(VLOOKUP($D1447,'WB Data'!$C$3:$M$578,7,FALSE)/100,"..")</f>
        <v>2.83396E-2</v>
      </c>
      <c r="BM1447" s="117">
        <f>IFERROR($AW1447*$BL1447,"..")</f>
        <v>1891110202.5759907</v>
      </c>
      <c r="BN1447" s="846">
        <f>IFERROR($BB1447/$BM1447,"..")</f>
        <v>0.46758962713755509</v>
      </c>
      <c r="BO1447" s="801">
        <f t="shared" si="246"/>
        <v>38</v>
      </c>
      <c r="BP1447" s="117">
        <f>VLOOKUP($D1447,'WB Data'!$C$3:$M$578,9,FALSE)</f>
        <v>58.7</v>
      </c>
      <c r="BQ1447" s="117">
        <f>VLOOKUP($D1447,'WB Data'!$C$3:$M$578,10,FALSE)</f>
        <v>72.096804878048786</v>
      </c>
      <c r="BR1447" s="117">
        <f>VLOOKUP($D1447,'WB Data'!$C$3:$M$578,11,FALSE)</f>
        <v>23</v>
      </c>
      <c r="BS1447" s="129">
        <f>IFERROR(VLOOKUP($D1447,'WB Data 2'!$C$2:$K$545,9,FALSE),"..")</f>
        <v>99.634069999999994</v>
      </c>
      <c r="BT1447" s="129">
        <f>_xlfn.IFNA(VLOOKUP($C1447,RGI!$A$2:$C$43,2,FALSE),"..")</f>
        <v>76.8</v>
      </c>
      <c r="BU1447" s="129">
        <f>_xlfn.IFNA(VLOOKUP($C1447,RGI!$A$2:$C$43,3,FALSE),"..")</f>
        <v>72.816147461462435</v>
      </c>
      <c r="BV1447" s="129">
        <f>VLOOKUP($D1447,WGI!$C$2:$O$478,7,FALSE)</f>
        <v>-0.14663028957413399</v>
      </c>
      <c r="BW1447" s="129">
        <f>VLOOKUP($D1447,WGI!$C$2:$O$478,4,FALSE)</f>
        <v>-1.00309654857232</v>
      </c>
      <c r="BX1447" s="129">
        <f>VLOOKUP($D1447,WGI!$C$2:$O$478,3,FALSE)</f>
        <v>-0.46854602636037601</v>
      </c>
      <c r="BY1447" s="129">
        <f>VLOOKUP($D1447,WGI!$C$2:$O$478,5,FALSE)</f>
        <v>0.23233413649883</v>
      </c>
      <c r="BZ1447" s="129">
        <f>VLOOKUP($D1447,WGI!$C$2:$O$478,2,FALSE)</f>
        <v>-0.35116899578167798</v>
      </c>
      <c r="CB1447" s="129"/>
    </row>
    <row r="1448" spans="1:80" s="120" customFormat="1" ht="15" customHeight="1">
      <c r="A1448" s="294" t="s">
        <v>448</v>
      </c>
      <c r="B1448" s="117">
        <v>2004</v>
      </c>
      <c r="C1448" s="117" t="s">
        <v>449</v>
      </c>
      <c r="D1448" s="117" t="s">
        <v>3473</v>
      </c>
      <c r="E1448" s="452" t="s">
        <v>220</v>
      </c>
      <c r="F1448" s="117"/>
      <c r="G1448" s="120" t="s">
        <v>24</v>
      </c>
      <c r="H1448" s="117" t="str">
        <f t="shared" si="251"/>
        <v>yes</v>
      </c>
      <c r="I1448" s="117" t="str">
        <f t="shared" si="243"/>
        <v>no</v>
      </c>
      <c r="J1448" s="117" t="str">
        <f t="shared" si="244"/>
        <v>no</v>
      </c>
      <c r="K1448" s="117" t="s">
        <v>1473</v>
      </c>
      <c r="L1448" s="117" t="str">
        <f t="shared" si="252"/>
        <v>detailed</v>
      </c>
      <c r="M1448" s="117" t="str">
        <f t="shared" si="245"/>
        <v>detailed Mining</v>
      </c>
      <c r="N1448" s="179"/>
      <c r="O1448" s="179"/>
      <c r="P1448" s="179"/>
      <c r="Q1448" s="179"/>
      <c r="R1448" s="179"/>
      <c r="S1448" s="117"/>
      <c r="T1448" s="186">
        <v>886.54499999999996</v>
      </c>
      <c r="U1448" s="117" t="s">
        <v>611</v>
      </c>
      <c r="V1448" s="117" t="s">
        <v>2040</v>
      </c>
      <c r="W1448" s="89">
        <f>N1450*T1448</f>
        <v>105472258.64999999</v>
      </c>
      <c r="X1448" s="117"/>
      <c r="AA1448" s="89"/>
      <c r="AB1448" s="89"/>
      <c r="AC1448" s="240" t="s">
        <v>2041</v>
      </c>
      <c r="AD1448" s="240"/>
      <c r="AE1448" s="240"/>
      <c r="AF1448" s="241"/>
      <c r="AH1448" s="124"/>
      <c r="AI1448" s="117"/>
      <c r="AJ1448" s="117"/>
      <c r="AK1448" s="89"/>
      <c r="AL1448" s="117"/>
      <c r="AM1448" s="117"/>
      <c r="AN1448" s="117">
        <v>10</v>
      </c>
      <c r="AO1448" s="117" t="s">
        <v>2042</v>
      </c>
      <c r="AP1448" s="117">
        <v>10</v>
      </c>
      <c r="AQ1448" s="117"/>
      <c r="AR1448" s="117"/>
      <c r="AS1448" s="117"/>
      <c r="AT1448" s="117"/>
      <c r="AU1448" s="117"/>
      <c r="AV1448" s="128"/>
      <c r="AW1448" s="117">
        <f>VLOOKUP($D1448,'WB Data'!$C$3:$M$578,2,FALSE)</f>
        <v>66730306799.531067</v>
      </c>
      <c r="AX1448" s="117">
        <f>VLOOKUP($D1448,'WB Data'!$C$3:$M$578,3,FALSE)</f>
        <v>27403845</v>
      </c>
      <c r="AY1448" s="847">
        <f t="shared" si="247"/>
        <v>1.3251302997227456E-2</v>
      </c>
      <c r="AZ1448" s="117">
        <f>VLOOKUP($D1448,'WB Data'!$C$3:$M$578,4,FALSE)/100</f>
        <v>0.17222963965305593</v>
      </c>
      <c r="BA1448" s="117">
        <f t="shared" si="248"/>
        <v>11492936694.021103</v>
      </c>
      <c r="BB1448" s="129">
        <f>IFERROR(VLOOKUP($D1448,'EITI Revenues'!$C$2:$G$224,5,FALSE),"..")</f>
        <v>884263514.49853373</v>
      </c>
      <c r="BC1448" s="846">
        <f t="shared" si="249"/>
        <v>7.6939735947431823E-2</v>
      </c>
      <c r="BD1448" s="129">
        <f>VLOOKUP($D1448,'WB Data 2'!$C$2:$K$545,6,FALSE)</f>
        <v>7023518729.961482</v>
      </c>
      <c r="BE1448" s="129">
        <f>IFERROR(VLOOKUP($D1448,UNCTAD!$C$5:$V$529,4,FALSE),"..")</f>
        <v>14802480000</v>
      </c>
      <c r="BF1448" s="846">
        <f t="shared" si="250"/>
        <v>0.47448256845889891</v>
      </c>
      <c r="BG1448" s="117">
        <f>VLOOKUP($D1448,'WB Data'!$C$3:$M$578,5,FALSE)</f>
        <v>463450000</v>
      </c>
      <c r="BH1448" s="129">
        <f>IFERROR($BB1448/$BG1448,"..")</f>
        <v>1.9080019732409834</v>
      </c>
      <c r="BI1448" s="117">
        <f>IFERROR(VLOOKUP($D1448,'WB Data'!$C$3:$M$578,7,FALSE)/100,"..")</f>
        <v>2.83396E-2</v>
      </c>
      <c r="BJ1448" s="117">
        <f>IFERROR($BI1448*$AW1448,"..")</f>
        <v>1891110202.5759907</v>
      </c>
      <c r="BK1448" s="846">
        <f>IFERROR($BB1448/$BJ1448,"..")</f>
        <v>0.46758962713755509</v>
      </c>
      <c r="BL1448" s="117">
        <f>IFERROR(VLOOKUP($D1448,'WB Data'!$C$3:$M$578,7,FALSE)/100,"..")</f>
        <v>2.83396E-2</v>
      </c>
      <c r="BM1448" s="117">
        <f>IFERROR($AW1448*$BL1448,"..")</f>
        <v>1891110202.5759907</v>
      </c>
      <c r="BN1448" s="846">
        <f>IFERROR($BB1448/$BM1448,"..")</f>
        <v>0.46758962713755509</v>
      </c>
      <c r="BO1448" s="801">
        <f t="shared" si="246"/>
        <v>38</v>
      </c>
      <c r="BP1448" s="117">
        <f>VLOOKUP($D1448,'WB Data'!$C$3:$M$578,9,FALSE)</f>
        <v>58.7</v>
      </c>
      <c r="BQ1448" s="117">
        <f>VLOOKUP($D1448,'WB Data'!$C$3:$M$578,10,FALSE)</f>
        <v>72.096804878048786</v>
      </c>
      <c r="BR1448" s="117">
        <f>VLOOKUP($D1448,'WB Data'!$C$3:$M$578,11,FALSE)</f>
        <v>23</v>
      </c>
      <c r="BS1448" s="129">
        <f>IFERROR(VLOOKUP($D1448,'WB Data 2'!$C$2:$K$545,9,FALSE),"..")</f>
        <v>99.634069999999994</v>
      </c>
      <c r="BT1448" s="129">
        <f>_xlfn.IFNA(VLOOKUP($C1448,RGI!$A$2:$C$43,2,FALSE),"..")</f>
        <v>76.8</v>
      </c>
      <c r="BU1448" s="129">
        <f>_xlfn.IFNA(VLOOKUP($C1448,RGI!$A$2:$C$43,3,FALSE),"..")</f>
        <v>72.816147461462435</v>
      </c>
      <c r="BV1448" s="129">
        <f>VLOOKUP($D1448,WGI!$C$2:$O$478,7,FALSE)</f>
        <v>-0.14663028957413399</v>
      </c>
      <c r="BW1448" s="129">
        <f>VLOOKUP($D1448,WGI!$C$2:$O$478,4,FALSE)</f>
        <v>-1.00309654857232</v>
      </c>
      <c r="BX1448" s="129">
        <f>VLOOKUP($D1448,WGI!$C$2:$O$478,3,FALSE)</f>
        <v>-0.46854602636037601</v>
      </c>
      <c r="BY1448" s="129">
        <f>VLOOKUP($D1448,WGI!$C$2:$O$478,5,FALSE)</f>
        <v>0.23233413649883</v>
      </c>
      <c r="BZ1448" s="129">
        <f>VLOOKUP($D1448,WGI!$C$2:$O$478,2,FALSE)</f>
        <v>-0.35116899578167798</v>
      </c>
      <c r="CB1448" s="129"/>
    </row>
    <row r="1449" spans="1:80" s="120" customFormat="1" ht="15" customHeight="1">
      <c r="A1449" s="294" t="s">
        <v>448</v>
      </c>
      <c r="B1449" s="117">
        <v>2004</v>
      </c>
      <c r="C1449" s="117" t="s">
        <v>449</v>
      </c>
      <c r="D1449" s="117" t="s">
        <v>3473</v>
      </c>
      <c r="E1449" s="452" t="s">
        <v>220</v>
      </c>
      <c r="F1449" s="117"/>
      <c r="G1449" s="120" t="s">
        <v>24</v>
      </c>
      <c r="H1449" s="117" t="str">
        <f t="shared" si="251"/>
        <v>yes</v>
      </c>
      <c r="I1449" s="117" t="str">
        <f t="shared" si="243"/>
        <v>no</v>
      </c>
      <c r="J1449" s="117" t="str">
        <f t="shared" si="244"/>
        <v>no</v>
      </c>
      <c r="K1449" s="117" t="s">
        <v>2043</v>
      </c>
      <c r="L1449" s="117" t="str">
        <f t="shared" si="252"/>
        <v>detailed</v>
      </c>
      <c r="M1449" s="117" t="str">
        <f t="shared" si="245"/>
        <v>detailed Mining</v>
      </c>
      <c r="N1449" s="179">
        <v>306211</v>
      </c>
      <c r="O1449" s="179"/>
      <c r="P1449" s="179"/>
      <c r="Q1449" s="179"/>
      <c r="R1449" s="179"/>
      <c r="S1449" s="117" t="s">
        <v>610</v>
      </c>
      <c r="T1449" s="119"/>
      <c r="U1449" s="117"/>
      <c r="V1449" s="117" t="s">
        <v>1146</v>
      </c>
      <c r="W1449" s="89"/>
      <c r="X1449" s="117"/>
      <c r="AA1449" s="89"/>
      <c r="AB1449" s="89"/>
      <c r="AC1449" s="240"/>
      <c r="AD1449" s="240"/>
      <c r="AE1449" s="240"/>
      <c r="AF1449" s="241"/>
      <c r="AH1449" s="124"/>
      <c r="AI1449" s="117"/>
      <c r="AJ1449" s="117"/>
      <c r="AK1449" s="89"/>
      <c r="AL1449" s="117"/>
      <c r="AM1449" s="117"/>
      <c r="AN1449" s="117"/>
      <c r="AO1449" s="117"/>
      <c r="AP1449" s="117"/>
      <c r="AQ1449" s="117"/>
      <c r="AR1449" s="117"/>
      <c r="AS1449" s="117"/>
      <c r="AT1449" s="117"/>
      <c r="AU1449" s="117"/>
      <c r="AV1449" s="128"/>
      <c r="AW1449" s="117">
        <f>VLOOKUP($D1449,'WB Data'!$C$3:$M$578,2,FALSE)</f>
        <v>66730306799.531067</v>
      </c>
      <c r="AX1449" s="117">
        <f>VLOOKUP($D1449,'WB Data'!$C$3:$M$578,3,FALSE)</f>
        <v>27403845</v>
      </c>
      <c r="AY1449" s="847">
        <f t="shared" si="247"/>
        <v>1.3251302997227456E-2</v>
      </c>
      <c r="AZ1449" s="117">
        <f>VLOOKUP($D1449,'WB Data'!$C$3:$M$578,4,FALSE)/100</f>
        <v>0.17222963965305593</v>
      </c>
      <c r="BA1449" s="117">
        <f t="shared" si="248"/>
        <v>11492936694.021103</v>
      </c>
      <c r="BB1449" s="129">
        <f>IFERROR(VLOOKUP($D1449,'EITI Revenues'!$C$2:$G$224,5,FALSE),"..")</f>
        <v>884263514.49853373</v>
      </c>
      <c r="BC1449" s="846">
        <f t="shared" si="249"/>
        <v>7.6939735947431823E-2</v>
      </c>
      <c r="BD1449" s="129">
        <f>VLOOKUP($D1449,'WB Data 2'!$C$2:$K$545,6,FALSE)</f>
        <v>7023518729.961482</v>
      </c>
      <c r="BE1449" s="129">
        <f>IFERROR(VLOOKUP($D1449,UNCTAD!$C$5:$V$529,4,FALSE),"..")</f>
        <v>14802480000</v>
      </c>
      <c r="BF1449" s="846">
        <f t="shared" si="250"/>
        <v>0.47448256845889891</v>
      </c>
      <c r="BG1449" s="117">
        <f>VLOOKUP($D1449,'WB Data'!$C$3:$M$578,5,FALSE)</f>
        <v>463450000</v>
      </c>
      <c r="BH1449" s="129">
        <f>IFERROR($BB1449/$BG1449,"..")</f>
        <v>1.9080019732409834</v>
      </c>
      <c r="BI1449" s="117">
        <f>IFERROR(VLOOKUP($D1449,'WB Data'!$C$3:$M$578,7,FALSE)/100,"..")</f>
        <v>2.83396E-2</v>
      </c>
      <c r="BJ1449" s="117">
        <f>IFERROR($BI1449*$AW1449,"..")</f>
        <v>1891110202.5759907</v>
      </c>
      <c r="BK1449" s="846">
        <f>IFERROR($BB1449/$BJ1449,"..")</f>
        <v>0.46758962713755509</v>
      </c>
      <c r="BL1449" s="117">
        <f>IFERROR(VLOOKUP($D1449,'WB Data'!$C$3:$M$578,7,FALSE)/100,"..")</f>
        <v>2.83396E-2</v>
      </c>
      <c r="BM1449" s="117">
        <f>IFERROR($AW1449*$BL1449,"..")</f>
        <v>1891110202.5759907</v>
      </c>
      <c r="BN1449" s="846">
        <f>IFERROR($BB1449/$BM1449,"..")</f>
        <v>0.46758962713755509</v>
      </c>
      <c r="BO1449" s="801">
        <f t="shared" si="246"/>
        <v>38</v>
      </c>
      <c r="BP1449" s="117">
        <f>VLOOKUP($D1449,'WB Data'!$C$3:$M$578,9,FALSE)</f>
        <v>58.7</v>
      </c>
      <c r="BQ1449" s="117">
        <f>VLOOKUP($D1449,'WB Data'!$C$3:$M$578,10,FALSE)</f>
        <v>72.096804878048786</v>
      </c>
      <c r="BR1449" s="117">
        <f>VLOOKUP($D1449,'WB Data'!$C$3:$M$578,11,FALSE)</f>
        <v>23</v>
      </c>
      <c r="BS1449" s="129">
        <f>IFERROR(VLOOKUP($D1449,'WB Data 2'!$C$2:$K$545,9,FALSE),"..")</f>
        <v>99.634069999999994</v>
      </c>
      <c r="BT1449" s="129">
        <f>_xlfn.IFNA(VLOOKUP($C1449,RGI!$A$2:$C$43,2,FALSE),"..")</f>
        <v>76.8</v>
      </c>
      <c r="BU1449" s="129">
        <f>_xlfn.IFNA(VLOOKUP($C1449,RGI!$A$2:$C$43,3,FALSE),"..")</f>
        <v>72.816147461462435</v>
      </c>
      <c r="BV1449" s="129">
        <f>VLOOKUP($D1449,WGI!$C$2:$O$478,7,FALSE)</f>
        <v>-0.14663028957413399</v>
      </c>
      <c r="BW1449" s="129">
        <f>VLOOKUP($D1449,WGI!$C$2:$O$478,4,FALSE)</f>
        <v>-1.00309654857232</v>
      </c>
      <c r="BX1449" s="129">
        <f>VLOOKUP($D1449,WGI!$C$2:$O$478,3,FALSE)</f>
        <v>-0.46854602636037601</v>
      </c>
      <c r="BY1449" s="129">
        <f>VLOOKUP($D1449,WGI!$C$2:$O$478,5,FALSE)</f>
        <v>0.23233413649883</v>
      </c>
      <c r="BZ1449" s="129">
        <f>VLOOKUP($D1449,WGI!$C$2:$O$478,2,FALSE)</f>
        <v>-0.35116899578167798</v>
      </c>
      <c r="CB1449" s="129"/>
    </row>
    <row r="1450" spans="1:80" s="120" customFormat="1" ht="15" customHeight="1">
      <c r="A1450" s="294" t="s">
        <v>448</v>
      </c>
      <c r="B1450" s="117">
        <v>2004</v>
      </c>
      <c r="C1450" s="117" t="s">
        <v>449</v>
      </c>
      <c r="D1450" s="117" t="s">
        <v>3473</v>
      </c>
      <c r="E1450" s="452" t="s">
        <v>220</v>
      </c>
      <c r="F1450" s="117"/>
      <c r="G1450" s="120" t="s">
        <v>24</v>
      </c>
      <c r="H1450" s="117" t="str">
        <f t="shared" si="251"/>
        <v>yes</v>
      </c>
      <c r="I1450" s="117" t="str">
        <f t="shared" si="243"/>
        <v>no</v>
      </c>
      <c r="J1450" s="117" t="str">
        <f t="shared" si="244"/>
        <v>no</v>
      </c>
      <c r="K1450" s="117" t="s">
        <v>1336</v>
      </c>
      <c r="L1450" s="117" t="str">
        <f t="shared" si="252"/>
        <v>detailed</v>
      </c>
      <c r="M1450" s="117" t="str">
        <f t="shared" si="245"/>
        <v>detailed Mining</v>
      </c>
      <c r="N1450" s="179">
        <v>118970</v>
      </c>
      <c r="O1450" s="179"/>
      <c r="P1450" s="179"/>
      <c r="Q1450" s="179"/>
      <c r="R1450" s="179"/>
      <c r="S1450" s="117" t="s">
        <v>610</v>
      </c>
      <c r="T1450" s="119"/>
      <c r="U1450" s="117"/>
      <c r="V1450" s="117" t="s">
        <v>1146</v>
      </c>
      <c r="W1450" s="89"/>
      <c r="X1450" s="117"/>
      <c r="AA1450" s="89"/>
      <c r="AB1450" s="89"/>
      <c r="AC1450" s="240"/>
      <c r="AD1450" s="240"/>
      <c r="AE1450" s="240"/>
      <c r="AF1450" s="241"/>
      <c r="AH1450" s="124"/>
      <c r="AI1450" s="117"/>
      <c r="AJ1450" s="117"/>
      <c r="AK1450" s="89"/>
      <c r="AL1450" s="117"/>
      <c r="AM1450" s="117"/>
      <c r="AN1450" s="117"/>
      <c r="AO1450" s="117"/>
      <c r="AP1450" s="117"/>
      <c r="AQ1450" s="117"/>
      <c r="AR1450" s="117"/>
      <c r="AS1450" s="117"/>
      <c r="AT1450" s="117"/>
      <c r="AU1450" s="117"/>
      <c r="AV1450" s="128"/>
      <c r="AW1450" s="117">
        <f>VLOOKUP($D1450,'WB Data'!$C$3:$M$578,2,FALSE)</f>
        <v>66730306799.531067</v>
      </c>
      <c r="AX1450" s="117">
        <f>VLOOKUP($D1450,'WB Data'!$C$3:$M$578,3,FALSE)</f>
        <v>27403845</v>
      </c>
      <c r="AY1450" s="847">
        <f t="shared" si="247"/>
        <v>1.3251302997227456E-2</v>
      </c>
      <c r="AZ1450" s="117">
        <f>VLOOKUP($D1450,'WB Data'!$C$3:$M$578,4,FALSE)/100</f>
        <v>0.17222963965305593</v>
      </c>
      <c r="BA1450" s="117">
        <f t="shared" si="248"/>
        <v>11492936694.021103</v>
      </c>
      <c r="BB1450" s="129">
        <f>IFERROR(VLOOKUP($D1450,'EITI Revenues'!$C$2:$G$224,5,FALSE),"..")</f>
        <v>884263514.49853373</v>
      </c>
      <c r="BC1450" s="846">
        <f t="shared" si="249"/>
        <v>7.6939735947431823E-2</v>
      </c>
      <c r="BD1450" s="129">
        <f>VLOOKUP($D1450,'WB Data 2'!$C$2:$K$545,6,FALSE)</f>
        <v>7023518729.961482</v>
      </c>
      <c r="BE1450" s="129">
        <f>IFERROR(VLOOKUP($D1450,UNCTAD!$C$5:$V$529,4,FALSE),"..")</f>
        <v>14802480000</v>
      </c>
      <c r="BF1450" s="846">
        <f t="shared" si="250"/>
        <v>0.47448256845889891</v>
      </c>
      <c r="BG1450" s="117">
        <f>VLOOKUP($D1450,'WB Data'!$C$3:$M$578,5,FALSE)</f>
        <v>463450000</v>
      </c>
      <c r="BH1450" s="129">
        <f>IFERROR($BB1450/$BG1450,"..")</f>
        <v>1.9080019732409834</v>
      </c>
      <c r="BI1450" s="117">
        <f>IFERROR(VLOOKUP($D1450,'WB Data'!$C$3:$M$578,7,FALSE)/100,"..")</f>
        <v>2.83396E-2</v>
      </c>
      <c r="BJ1450" s="117">
        <f>IFERROR($BI1450*$AW1450,"..")</f>
        <v>1891110202.5759907</v>
      </c>
      <c r="BK1450" s="846">
        <f>IFERROR($BB1450/$BJ1450,"..")</f>
        <v>0.46758962713755509</v>
      </c>
      <c r="BL1450" s="117">
        <f>IFERROR(VLOOKUP($D1450,'WB Data'!$C$3:$M$578,7,FALSE)/100,"..")</f>
        <v>2.83396E-2</v>
      </c>
      <c r="BM1450" s="117">
        <f>IFERROR($AW1450*$BL1450,"..")</f>
        <v>1891110202.5759907</v>
      </c>
      <c r="BN1450" s="846">
        <f>IFERROR($BB1450/$BM1450,"..")</f>
        <v>0.46758962713755509</v>
      </c>
      <c r="BO1450" s="801">
        <f t="shared" si="246"/>
        <v>38</v>
      </c>
      <c r="BP1450" s="117">
        <f>VLOOKUP($D1450,'WB Data'!$C$3:$M$578,9,FALSE)</f>
        <v>58.7</v>
      </c>
      <c r="BQ1450" s="117">
        <f>VLOOKUP($D1450,'WB Data'!$C$3:$M$578,10,FALSE)</f>
        <v>72.096804878048786</v>
      </c>
      <c r="BR1450" s="117">
        <f>VLOOKUP($D1450,'WB Data'!$C$3:$M$578,11,FALSE)</f>
        <v>23</v>
      </c>
      <c r="BS1450" s="129">
        <f>IFERROR(VLOOKUP($D1450,'WB Data 2'!$C$2:$K$545,9,FALSE),"..")</f>
        <v>99.634069999999994</v>
      </c>
      <c r="BT1450" s="129">
        <f>_xlfn.IFNA(VLOOKUP($C1450,RGI!$A$2:$C$43,2,FALSE),"..")</f>
        <v>76.8</v>
      </c>
      <c r="BU1450" s="129">
        <f>_xlfn.IFNA(VLOOKUP($C1450,RGI!$A$2:$C$43,3,FALSE),"..")</f>
        <v>72.816147461462435</v>
      </c>
      <c r="BV1450" s="129">
        <f>VLOOKUP($D1450,WGI!$C$2:$O$478,7,FALSE)</f>
        <v>-0.14663028957413399</v>
      </c>
      <c r="BW1450" s="129">
        <f>VLOOKUP($D1450,WGI!$C$2:$O$478,4,FALSE)</f>
        <v>-1.00309654857232</v>
      </c>
      <c r="BX1450" s="129">
        <f>VLOOKUP($D1450,WGI!$C$2:$O$478,3,FALSE)</f>
        <v>-0.46854602636037601</v>
      </c>
      <c r="BY1450" s="129">
        <f>VLOOKUP($D1450,WGI!$C$2:$O$478,5,FALSE)</f>
        <v>0.23233413649883</v>
      </c>
      <c r="BZ1450" s="129">
        <f>VLOOKUP($D1450,WGI!$C$2:$O$478,2,FALSE)</f>
        <v>-0.35116899578167798</v>
      </c>
      <c r="CB1450" s="129"/>
    </row>
    <row r="1451" spans="1:80" s="120" customFormat="1" ht="15" customHeight="1">
      <c r="A1451" s="294" t="s">
        <v>448</v>
      </c>
      <c r="B1451" s="117">
        <v>2004</v>
      </c>
      <c r="C1451" s="117" t="s">
        <v>449</v>
      </c>
      <c r="D1451" s="117" t="s">
        <v>3473</v>
      </c>
      <c r="E1451" s="452" t="s">
        <v>220</v>
      </c>
      <c r="F1451" s="117"/>
      <c r="G1451" s="120" t="s">
        <v>24</v>
      </c>
      <c r="H1451" s="117" t="str">
        <f t="shared" si="251"/>
        <v>yes</v>
      </c>
      <c r="I1451" s="117" t="str">
        <f t="shared" si="243"/>
        <v>no</v>
      </c>
      <c r="J1451" s="117" t="str">
        <f t="shared" si="244"/>
        <v>no</v>
      </c>
      <c r="K1451" s="117" t="s">
        <v>1437</v>
      </c>
      <c r="L1451" s="117" t="str">
        <f t="shared" si="252"/>
        <v>detailed</v>
      </c>
      <c r="M1451" s="117" t="str">
        <f t="shared" si="245"/>
        <v>detailed Mining</v>
      </c>
      <c r="N1451" s="179">
        <v>330000</v>
      </c>
      <c r="O1451" s="179"/>
      <c r="P1451" s="179"/>
      <c r="Q1451" s="179"/>
      <c r="R1451" s="179"/>
      <c r="S1451" s="117" t="s">
        <v>610</v>
      </c>
      <c r="T1451" s="119"/>
      <c r="U1451" s="117"/>
      <c r="V1451" s="117" t="s">
        <v>1146</v>
      </c>
      <c r="W1451" s="89"/>
      <c r="X1451" s="117"/>
      <c r="Y1451" s="89"/>
      <c r="Z1451" s="89"/>
      <c r="AA1451" s="89"/>
      <c r="AB1451" s="89"/>
      <c r="AC1451" s="240"/>
      <c r="AD1451" s="240"/>
      <c r="AE1451" s="240"/>
      <c r="AF1451" s="241"/>
      <c r="AG1451" s="89"/>
      <c r="AH1451" s="124"/>
      <c r="AI1451" s="117"/>
      <c r="AJ1451" s="117"/>
      <c r="AK1451" s="89"/>
      <c r="AL1451" s="117"/>
      <c r="AM1451" s="117"/>
      <c r="AN1451" s="117"/>
      <c r="AO1451" s="117"/>
      <c r="AP1451" s="117"/>
      <c r="AQ1451" s="117"/>
      <c r="AR1451" s="117"/>
      <c r="AS1451" s="117"/>
      <c r="AT1451" s="117"/>
      <c r="AU1451" s="117"/>
      <c r="AV1451" s="128"/>
      <c r="AW1451" s="117">
        <f>VLOOKUP($D1451,'WB Data'!$C$3:$M$578,2,FALSE)</f>
        <v>66730306799.531067</v>
      </c>
      <c r="AX1451" s="117">
        <f>VLOOKUP($D1451,'WB Data'!$C$3:$M$578,3,FALSE)</f>
        <v>27403845</v>
      </c>
      <c r="AY1451" s="847">
        <f t="shared" si="247"/>
        <v>1.3251302997227456E-2</v>
      </c>
      <c r="AZ1451" s="117">
        <f>VLOOKUP($D1451,'WB Data'!$C$3:$M$578,4,FALSE)/100</f>
        <v>0.17222963965305593</v>
      </c>
      <c r="BA1451" s="117">
        <f t="shared" si="248"/>
        <v>11492936694.021103</v>
      </c>
      <c r="BB1451" s="129">
        <f>IFERROR(VLOOKUP($D1451,'EITI Revenues'!$C$2:$G$224,5,FALSE),"..")</f>
        <v>884263514.49853373</v>
      </c>
      <c r="BC1451" s="846">
        <f t="shared" si="249"/>
        <v>7.6939735947431823E-2</v>
      </c>
      <c r="BD1451" s="129">
        <f>VLOOKUP($D1451,'WB Data 2'!$C$2:$K$545,6,FALSE)</f>
        <v>7023518729.961482</v>
      </c>
      <c r="BE1451" s="129">
        <f>IFERROR(VLOOKUP($D1451,UNCTAD!$C$5:$V$529,4,FALSE),"..")</f>
        <v>14802480000</v>
      </c>
      <c r="BF1451" s="846">
        <f t="shared" si="250"/>
        <v>0.47448256845889891</v>
      </c>
      <c r="BG1451" s="117">
        <f>VLOOKUP($D1451,'WB Data'!$C$3:$M$578,5,FALSE)</f>
        <v>463450000</v>
      </c>
      <c r="BH1451" s="129">
        <f>IFERROR($BB1451/$BG1451,"..")</f>
        <v>1.9080019732409834</v>
      </c>
      <c r="BI1451" s="117">
        <f>IFERROR(VLOOKUP($D1451,'WB Data'!$C$3:$M$578,7,FALSE)/100,"..")</f>
        <v>2.83396E-2</v>
      </c>
      <c r="BJ1451" s="117">
        <f>IFERROR($BI1451*$AW1451,"..")</f>
        <v>1891110202.5759907</v>
      </c>
      <c r="BK1451" s="846">
        <f>IFERROR($BB1451/$BJ1451,"..")</f>
        <v>0.46758962713755509</v>
      </c>
      <c r="BL1451" s="117">
        <f>IFERROR(VLOOKUP($D1451,'WB Data'!$C$3:$M$578,7,FALSE)/100,"..")</f>
        <v>2.83396E-2</v>
      </c>
      <c r="BM1451" s="117">
        <f>IFERROR($AW1451*$BL1451,"..")</f>
        <v>1891110202.5759907</v>
      </c>
      <c r="BN1451" s="846">
        <f>IFERROR($BB1451/$BM1451,"..")</f>
        <v>0.46758962713755509</v>
      </c>
      <c r="BO1451" s="801">
        <f t="shared" si="246"/>
        <v>38</v>
      </c>
      <c r="BP1451" s="117">
        <f>VLOOKUP($D1451,'WB Data'!$C$3:$M$578,9,FALSE)</f>
        <v>58.7</v>
      </c>
      <c r="BQ1451" s="117">
        <f>VLOOKUP($D1451,'WB Data'!$C$3:$M$578,10,FALSE)</f>
        <v>72.096804878048786</v>
      </c>
      <c r="BR1451" s="117">
        <f>VLOOKUP($D1451,'WB Data'!$C$3:$M$578,11,FALSE)</f>
        <v>23</v>
      </c>
      <c r="BS1451" s="129">
        <f>IFERROR(VLOOKUP($D1451,'WB Data 2'!$C$2:$K$545,9,FALSE),"..")</f>
        <v>99.634069999999994</v>
      </c>
      <c r="BT1451" s="129">
        <f>_xlfn.IFNA(VLOOKUP($C1451,RGI!$A$2:$C$43,2,FALSE),"..")</f>
        <v>76.8</v>
      </c>
      <c r="BU1451" s="129">
        <f>_xlfn.IFNA(VLOOKUP($C1451,RGI!$A$2:$C$43,3,FALSE),"..")</f>
        <v>72.816147461462435</v>
      </c>
      <c r="BV1451" s="129">
        <f>VLOOKUP($D1451,WGI!$C$2:$O$478,7,FALSE)</f>
        <v>-0.14663028957413399</v>
      </c>
      <c r="BW1451" s="129">
        <f>VLOOKUP($D1451,WGI!$C$2:$O$478,4,FALSE)</f>
        <v>-1.00309654857232</v>
      </c>
      <c r="BX1451" s="129">
        <f>VLOOKUP($D1451,WGI!$C$2:$O$478,3,FALSE)</f>
        <v>-0.46854602636037601</v>
      </c>
      <c r="BY1451" s="129">
        <f>VLOOKUP($D1451,WGI!$C$2:$O$478,5,FALSE)</f>
        <v>0.23233413649883</v>
      </c>
      <c r="BZ1451" s="129">
        <f>VLOOKUP($D1451,WGI!$C$2:$O$478,2,FALSE)</f>
        <v>-0.35116899578167798</v>
      </c>
      <c r="CB1451" s="129"/>
    </row>
    <row r="1452" spans="1:80" s="120" customFormat="1" ht="15" customHeight="1">
      <c r="A1452" s="294" t="s">
        <v>448</v>
      </c>
      <c r="B1452" s="117">
        <v>2004</v>
      </c>
      <c r="C1452" s="117" t="s">
        <v>449</v>
      </c>
      <c r="D1452" s="117" t="s">
        <v>3473</v>
      </c>
      <c r="E1452" s="452" t="s">
        <v>220</v>
      </c>
      <c r="F1452" s="117"/>
      <c r="G1452" s="120" t="s">
        <v>24</v>
      </c>
      <c r="H1452" s="117" t="str">
        <f t="shared" si="251"/>
        <v>yes</v>
      </c>
      <c r="I1452" s="117" t="str">
        <f t="shared" si="243"/>
        <v>no</v>
      </c>
      <c r="J1452" s="117" t="str">
        <f t="shared" si="244"/>
        <v>no</v>
      </c>
      <c r="K1452" s="117" t="s">
        <v>2044</v>
      </c>
      <c r="L1452" s="117" t="str">
        <f t="shared" si="252"/>
        <v>detailed</v>
      </c>
      <c r="M1452" s="117" t="str">
        <f t="shared" si="245"/>
        <v>detailed Mining</v>
      </c>
      <c r="N1452" s="179">
        <v>75660</v>
      </c>
      <c r="O1452" s="179"/>
      <c r="P1452" s="179"/>
      <c r="Q1452" s="179"/>
      <c r="R1452" s="179"/>
      <c r="S1452" s="117" t="s">
        <v>610</v>
      </c>
      <c r="T1452" s="119">
        <f>24.86/0.000453592</f>
        <v>54806.963085768708</v>
      </c>
      <c r="U1452" s="117" t="s">
        <v>611</v>
      </c>
      <c r="V1452" s="117" t="s">
        <v>2045</v>
      </c>
      <c r="W1452" s="89">
        <f>N1452*T1452</f>
        <v>4146694827.0692606</v>
      </c>
      <c r="X1452" s="117"/>
      <c r="Y1452" s="89"/>
      <c r="Z1452" s="89"/>
      <c r="AA1452" s="89"/>
      <c r="AB1452" s="89"/>
      <c r="AC1452" s="240"/>
      <c r="AD1452" s="240"/>
      <c r="AE1452" s="240"/>
      <c r="AF1452" s="241"/>
      <c r="AG1452" s="89"/>
      <c r="AH1452" s="124"/>
      <c r="AI1452" s="117"/>
      <c r="AJ1452" s="117"/>
      <c r="AK1452" s="89"/>
      <c r="AL1452" s="117"/>
      <c r="AM1452" s="117"/>
      <c r="AN1452" s="117"/>
      <c r="AO1452" s="117"/>
      <c r="AP1452" s="117"/>
      <c r="AQ1452" s="117"/>
      <c r="AR1452" s="117"/>
      <c r="AS1452" s="117"/>
      <c r="AT1452" s="117"/>
      <c r="AU1452" s="117"/>
      <c r="AV1452" s="128"/>
      <c r="AW1452" s="117">
        <f>VLOOKUP($D1452,'WB Data'!$C$3:$M$578,2,FALSE)</f>
        <v>66730306799.531067</v>
      </c>
      <c r="AX1452" s="117">
        <f>VLOOKUP($D1452,'WB Data'!$C$3:$M$578,3,FALSE)</f>
        <v>27403845</v>
      </c>
      <c r="AY1452" s="847">
        <f t="shared" si="247"/>
        <v>1.3251302997227456E-2</v>
      </c>
      <c r="AZ1452" s="117">
        <f>VLOOKUP($D1452,'WB Data'!$C$3:$M$578,4,FALSE)/100</f>
        <v>0.17222963965305593</v>
      </c>
      <c r="BA1452" s="117">
        <f t="shared" si="248"/>
        <v>11492936694.021103</v>
      </c>
      <c r="BB1452" s="129">
        <f>IFERROR(VLOOKUP($D1452,'EITI Revenues'!$C$2:$G$224,5,FALSE),"..")</f>
        <v>884263514.49853373</v>
      </c>
      <c r="BC1452" s="846">
        <f t="shared" si="249"/>
        <v>7.6939735947431823E-2</v>
      </c>
      <c r="BD1452" s="129">
        <f>VLOOKUP($D1452,'WB Data 2'!$C$2:$K$545,6,FALSE)</f>
        <v>7023518729.961482</v>
      </c>
      <c r="BE1452" s="129">
        <f>IFERROR(VLOOKUP($D1452,UNCTAD!$C$5:$V$529,4,FALSE),"..")</f>
        <v>14802480000</v>
      </c>
      <c r="BF1452" s="846">
        <f t="shared" si="250"/>
        <v>0.47448256845889891</v>
      </c>
      <c r="BG1452" s="117">
        <f>VLOOKUP($D1452,'WB Data'!$C$3:$M$578,5,FALSE)</f>
        <v>463450000</v>
      </c>
      <c r="BH1452" s="129">
        <f>IFERROR($BB1452/$BG1452,"..")</f>
        <v>1.9080019732409834</v>
      </c>
      <c r="BI1452" s="117">
        <f>IFERROR(VLOOKUP($D1452,'WB Data'!$C$3:$M$578,7,FALSE)/100,"..")</f>
        <v>2.83396E-2</v>
      </c>
      <c r="BJ1452" s="117">
        <f>IFERROR($BI1452*$AW1452,"..")</f>
        <v>1891110202.5759907</v>
      </c>
      <c r="BK1452" s="846">
        <f>IFERROR($BB1452/$BJ1452,"..")</f>
        <v>0.46758962713755509</v>
      </c>
      <c r="BL1452" s="117">
        <f>IFERROR(VLOOKUP($D1452,'WB Data'!$C$3:$M$578,7,FALSE)/100,"..")</f>
        <v>2.83396E-2</v>
      </c>
      <c r="BM1452" s="117">
        <f>IFERROR($AW1452*$BL1452,"..")</f>
        <v>1891110202.5759907</v>
      </c>
      <c r="BN1452" s="846">
        <f>IFERROR($BB1452/$BM1452,"..")</f>
        <v>0.46758962713755509</v>
      </c>
      <c r="BO1452" s="801">
        <f t="shared" si="246"/>
        <v>38</v>
      </c>
      <c r="BP1452" s="117">
        <f>VLOOKUP($D1452,'WB Data'!$C$3:$M$578,9,FALSE)</f>
        <v>58.7</v>
      </c>
      <c r="BQ1452" s="117">
        <f>VLOOKUP($D1452,'WB Data'!$C$3:$M$578,10,FALSE)</f>
        <v>72.096804878048786</v>
      </c>
      <c r="BR1452" s="117">
        <f>VLOOKUP($D1452,'WB Data'!$C$3:$M$578,11,FALSE)</f>
        <v>23</v>
      </c>
      <c r="BS1452" s="129">
        <f>IFERROR(VLOOKUP($D1452,'WB Data 2'!$C$2:$K$545,9,FALSE),"..")</f>
        <v>99.634069999999994</v>
      </c>
      <c r="BT1452" s="129">
        <f>_xlfn.IFNA(VLOOKUP($C1452,RGI!$A$2:$C$43,2,FALSE),"..")</f>
        <v>76.8</v>
      </c>
      <c r="BU1452" s="129">
        <f>_xlfn.IFNA(VLOOKUP($C1452,RGI!$A$2:$C$43,3,FALSE),"..")</f>
        <v>72.816147461462435</v>
      </c>
      <c r="BV1452" s="129">
        <f>VLOOKUP($D1452,WGI!$C$2:$O$478,7,FALSE)</f>
        <v>-0.14663028957413399</v>
      </c>
      <c r="BW1452" s="129">
        <f>VLOOKUP($D1452,WGI!$C$2:$O$478,4,FALSE)</f>
        <v>-1.00309654857232</v>
      </c>
      <c r="BX1452" s="129">
        <f>VLOOKUP($D1452,WGI!$C$2:$O$478,3,FALSE)</f>
        <v>-0.46854602636037601</v>
      </c>
      <c r="BY1452" s="129">
        <f>VLOOKUP($D1452,WGI!$C$2:$O$478,5,FALSE)</f>
        <v>0.23233413649883</v>
      </c>
      <c r="BZ1452" s="129">
        <f>VLOOKUP($D1452,WGI!$C$2:$O$478,2,FALSE)</f>
        <v>-0.35116899578167798</v>
      </c>
      <c r="CB1452" s="129"/>
    </row>
    <row r="1453" spans="1:80" s="120" customFormat="1" ht="15" customHeight="1">
      <c r="A1453" s="294" t="s">
        <v>448</v>
      </c>
      <c r="B1453" s="117">
        <v>2004</v>
      </c>
      <c r="C1453" s="117" t="s">
        <v>449</v>
      </c>
      <c r="D1453" s="117" t="s">
        <v>3473</v>
      </c>
      <c r="E1453" s="452" t="s">
        <v>220</v>
      </c>
      <c r="F1453" s="117"/>
      <c r="G1453" s="120" t="s">
        <v>24</v>
      </c>
      <c r="H1453" s="117" t="str">
        <f t="shared" si="251"/>
        <v>yes</v>
      </c>
      <c r="I1453" s="117" t="str">
        <f t="shared" si="243"/>
        <v>no</v>
      </c>
      <c r="J1453" s="117" t="str">
        <f t="shared" si="244"/>
        <v>no</v>
      </c>
      <c r="K1453" s="117" t="s">
        <v>789</v>
      </c>
      <c r="L1453" s="117" t="str">
        <f t="shared" si="252"/>
        <v>detailed</v>
      </c>
      <c r="M1453" s="117" t="str">
        <f t="shared" si="245"/>
        <v>detailed Mining</v>
      </c>
      <c r="N1453" s="179">
        <f>3060*32150.7466</f>
        <v>98381284.596000001</v>
      </c>
      <c r="O1453" s="179"/>
      <c r="P1453" s="179"/>
      <c r="Q1453" s="179"/>
      <c r="R1453" s="179"/>
      <c r="S1453" s="117" t="s">
        <v>785</v>
      </c>
      <c r="T1453" s="119">
        <f>6.65786666667/1</f>
        <v>6.6578666666700004</v>
      </c>
      <c r="U1453" s="117" t="s">
        <v>786</v>
      </c>
      <c r="V1453" s="117" t="s">
        <v>1149</v>
      </c>
      <c r="W1453" s="89">
        <f>N1453*T1453</f>
        <v>655009475.33588314</v>
      </c>
      <c r="Y1453" s="89"/>
      <c r="Z1453" s="89"/>
      <c r="AA1453" s="89"/>
      <c r="AB1453" s="89"/>
      <c r="AC1453" s="240" t="s">
        <v>2046</v>
      </c>
      <c r="AD1453" s="240"/>
      <c r="AE1453" s="240"/>
      <c r="AF1453" s="241"/>
      <c r="AG1453" s="89"/>
      <c r="AH1453" s="124"/>
      <c r="AI1453" s="117"/>
      <c r="AJ1453" s="117"/>
      <c r="AK1453" s="89"/>
      <c r="AL1453" s="117"/>
      <c r="AM1453" s="117"/>
      <c r="AN1453" s="117">
        <v>16</v>
      </c>
      <c r="AO1453" s="117" t="s">
        <v>2047</v>
      </c>
      <c r="AP1453" s="117">
        <v>16</v>
      </c>
      <c r="AQ1453" s="117"/>
      <c r="AR1453" s="117"/>
      <c r="AS1453" s="117"/>
      <c r="AT1453" s="117"/>
      <c r="AU1453" s="117"/>
      <c r="AV1453" s="128"/>
      <c r="AW1453" s="117">
        <f>VLOOKUP($D1453,'WB Data'!$C$3:$M$578,2,FALSE)</f>
        <v>66730306799.531067</v>
      </c>
      <c r="AX1453" s="117">
        <f>VLOOKUP($D1453,'WB Data'!$C$3:$M$578,3,FALSE)</f>
        <v>27403845</v>
      </c>
      <c r="AY1453" s="847">
        <f t="shared" si="247"/>
        <v>1.3251302997227456E-2</v>
      </c>
      <c r="AZ1453" s="117">
        <f>VLOOKUP($D1453,'WB Data'!$C$3:$M$578,4,FALSE)/100</f>
        <v>0.17222963965305593</v>
      </c>
      <c r="BA1453" s="117">
        <f t="shared" si="248"/>
        <v>11492936694.021103</v>
      </c>
      <c r="BB1453" s="129">
        <f>IFERROR(VLOOKUP($D1453,'EITI Revenues'!$C$2:$G$224,5,FALSE),"..")</f>
        <v>884263514.49853373</v>
      </c>
      <c r="BC1453" s="846">
        <f t="shared" si="249"/>
        <v>7.6939735947431823E-2</v>
      </c>
      <c r="BD1453" s="129">
        <f>VLOOKUP($D1453,'WB Data 2'!$C$2:$K$545,6,FALSE)</f>
        <v>7023518729.961482</v>
      </c>
      <c r="BE1453" s="129">
        <f>IFERROR(VLOOKUP($D1453,UNCTAD!$C$5:$V$529,4,FALSE),"..")</f>
        <v>14802480000</v>
      </c>
      <c r="BF1453" s="846">
        <f t="shared" si="250"/>
        <v>0.47448256845889891</v>
      </c>
      <c r="BG1453" s="117">
        <f>VLOOKUP($D1453,'WB Data'!$C$3:$M$578,5,FALSE)</f>
        <v>463450000</v>
      </c>
      <c r="BH1453" s="129">
        <f>IFERROR($BB1453/$BG1453,"..")</f>
        <v>1.9080019732409834</v>
      </c>
      <c r="BI1453" s="117">
        <f>IFERROR(VLOOKUP($D1453,'WB Data'!$C$3:$M$578,7,FALSE)/100,"..")</f>
        <v>2.83396E-2</v>
      </c>
      <c r="BJ1453" s="117">
        <f>IFERROR($BI1453*$AW1453,"..")</f>
        <v>1891110202.5759907</v>
      </c>
      <c r="BK1453" s="846">
        <f>IFERROR($BB1453/$BJ1453,"..")</f>
        <v>0.46758962713755509</v>
      </c>
      <c r="BL1453" s="117">
        <f>IFERROR(VLOOKUP($D1453,'WB Data'!$C$3:$M$578,7,FALSE)/100,"..")</f>
        <v>2.83396E-2</v>
      </c>
      <c r="BM1453" s="117">
        <f>IFERROR($AW1453*$BL1453,"..")</f>
        <v>1891110202.5759907</v>
      </c>
      <c r="BN1453" s="846">
        <f>IFERROR($BB1453/$BM1453,"..")</f>
        <v>0.46758962713755509</v>
      </c>
      <c r="BO1453" s="801">
        <f t="shared" si="246"/>
        <v>38</v>
      </c>
      <c r="BP1453" s="117">
        <f>VLOOKUP($D1453,'WB Data'!$C$3:$M$578,9,FALSE)</f>
        <v>58.7</v>
      </c>
      <c r="BQ1453" s="117">
        <f>VLOOKUP($D1453,'WB Data'!$C$3:$M$578,10,FALSE)</f>
        <v>72.096804878048786</v>
      </c>
      <c r="BR1453" s="117">
        <f>VLOOKUP($D1453,'WB Data'!$C$3:$M$578,11,FALSE)</f>
        <v>23</v>
      </c>
      <c r="BS1453" s="129">
        <f>IFERROR(VLOOKUP($D1453,'WB Data 2'!$C$2:$K$545,9,FALSE),"..")</f>
        <v>99.634069999999994</v>
      </c>
      <c r="BT1453" s="129">
        <f>_xlfn.IFNA(VLOOKUP($C1453,RGI!$A$2:$C$43,2,FALSE),"..")</f>
        <v>76.8</v>
      </c>
      <c r="BU1453" s="129">
        <f>_xlfn.IFNA(VLOOKUP($C1453,RGI!$A$2:$C$43,3,FALSE),"..")</f>
        <v>72.816147461462435</v>
      </c>
      <c r="BV1453" s="129">
        <f>VLOOKUP($D1453,WGI!$C$2:$O$478,7,FALSE)</f>
        <v>-0.14663028957413399</v>
      </c>
      <c r="BW1453" s="129">
        <f>VLOOKUP($D1453,WGI!$C$2:$O$478,4,FALSE)</f>
        <v>-1.00309654857232</v>
      </c>
      <c r="BX1453" s="129">
        <f>VLOOKUP($D1453,WGI!$C$2:$O$478,3,FALSE)</f>
        <v>-0.46854602636037601</v>
      </c>
      <c r="BY1453" s="129">
        <f>VLOOKUP($D1453,WGI!$C$2:$O$478,5,FALSE)</f>
        <v>0.23233413649883</v>
      </c>
      <c r="BZ1453" s="129">
        <f>VLOOKUP($D1453,WGI!$C$2:$O$478,2,FALSE)</f>
        <v>-0.35116899578167798</v>
      </c>
      <c r="CB1453" s="129"/>
    </row>
    <row r="1454" spans="1:80" s="120" customFormat="1" ht="15" customHeight="1">
      <c r="A1454" s="294" t="s">
        <v>448</v>
      </c>
      <c r="B1454" s="117">
        <v>2004</v>
      </c>
      <c r="C1454" s="117" t="s">
        <v>449</v>
      </c>
      <c r="D1454" s="117" t="s">
        <v>3473</v>
      </c>
      <c r="E1454" s="452" t="s">
        <v>220</v>
      </c>
      <c r="F1454" s="117"/>
      <c r="G1454" s="120" t="s">
        <v>24</v>
      </c>
      <c r="H1454" s="117" t="str">
        <f t="shared" si="251"/>
        <v>yes</v>
      </c>
      <c r="I1454" s="117" t="str">
        <f t="shared" si="243"/>
        <v>no</v>
      </c>
      <c r="J1454" s="117" t="str">
        <f t="shared" si="244"/>
        <v>no</v>
      </c>
      <c r="K1454" s="117" t="s">
        <v>2048</v>
      </c>
      <c r="L1454" s="117" t="str">
        <f t="shared" si="252"/>
        <v>detailed</v>
      </c>
      <c r="M1454" s="117" t="str">
        <f t="shared" si="245"/>
        <v>detailed Mining</v>
      </c>
      <c r="N1454" s="179">
        <v>100</v>
      </c>
      <c r="O1454" s="179"/>
      <c r="P1454" s="179"/>
      <c r="Q1454" s="179"/>
      <c r="R1454" s="179"/>
      <c r="S1454" s="117" t="s">
        <v>610</v>
      </c>
      <c r="T1454" s="119"/>
      <c r="U1454" s="117"/>
      <c r="V1454" s="117" t="s">
        <v>1146</v>
      </c>
      <c r="W1454" s="89"/>
      <c r="Y1454" s="89"/>
      <c r="Z1454" s="89"/>
      <c r="AA1454" s="89"/>
      <c r="AB1454" s="89"/>
      <c r="AC1454" s="240"/>
      <c r="AD1454" s="240"/>
      <c r="AE1454" s="240"/>
      <c r="AF1454" s="241"/>
      <c r="AG1454" s="89"/>
      <c r="AH1454" s="124"/>
      <c r="AI1454" s="117"/>
      <c r="AJ1454" s="117"/>
      <c r="AK1454" s="89"/>
      <c r="AL1454" s="117"/>
      <c r="AM1454" s="117"/>
      <c r="AN1454" s="117"/>
      <c r="AO1454" s="117"/>
      <c r="AP1454" s="117"/>
      <c r="AQ1454" s="117"/>
      <c r="AR1454" s="117"/>
      <c r="AS1454" s="117"/>
      <c r="AT1454" s="117"/>
      <c r="AU1454" s="117"/>
      <c r="AV1454" s="128"/>
      <c r="AW1454" s="117">
        <f>VLOOKUP($D1454,'WB Data'!$C$3:$M$578,2,FALSE)</f>
        <v>66730306799.531067</v>
      </c>
      <c r="AX1454" s="117">
        <f>VLOOKUP($D1454,'WB Data'!$C$3:$M$578,3,FALSE)</f>
        <v>27403845</v>
      </c>
      <c r="AY1454" s="847">
        <f t="shared" si="247"/>
        <v>1.3251302997227456E-2</v>
      </c>
      <c r="AZ1454" s="117">
        <f>VLOOKUP($D1454,'WB Data'!$C$3:$M$578,4,FALSE)/100</f>
        <v>0.17222963965305593</v>
      </c>
      <c r="BA1454" s="117">
        <f t="shared" si="248"/>
        <v>11492936694.021103</v>
      </c>
      <c r="BB1454" s="129">
        <f>IFERROR(VLOOKUP($D1454,'EITI Revenues'!$C$2:$G$224,5,FALSE),"..")</f>
        <v>884263514.49853373</v>
      </c>
      <c r="BC1454" s="846">
        <f t="shared" si="249"/>
        <v>7.6939735947431823E-2</v>
      </c>
      <c r="BD1454" s="129">
        <f>VLOOKUP($D1454,'WB Data 2'!$C$2:$K$545,6,FALSE)</f>
        <v>7023518729.961482</v>
      </c>
      <c r="BE1454" s="129">
        <f>IFERROR(VLOOKUP($D1454,UNCTAD!$C$5:$V$529,4,FALSE),"..")</f>
        <v>14802480000</v>
      </c>
      <c r="BF1454" s="846">
        <f t="shared" si="250"/>
        <v>0.47448256845889891</v>
      </c>
      <c r="BG1454" s="117">
        <f>VLOOKUP($D1454,'WB Data'!$C$3:$M$578,5,FALSE)</f>
        <v>463450000</v>
      </c>
      <c r="BH1454" s="129">
        <f>IFERROR($BB1454/$BG1454,"..")</f>
        <v>1.9080019732409834</v>
      </c>
      <c r="BI1454" s="117">
        <f>IFERROR(VLOOKUP($D1454,'WB Data'!$C$3:$M$578,7,FALSE)/100,"..")</f>
        <v>2.83396E-2</v>
      </c>
      <c r="BJ1454" s="117">
        <f>IFERROR($BI1454*$AW1454,"..")</f>
        <v>1891110202.5759907</v>
      </c>
      <c r="BK1454" s="846">
        <f>IFERROR($BB1454/$BJ1454,"..")</f>
        <v>0.46758962713755509</v>
      </c>
      <c r="BL1454" s="117">
        <f>IFERROR(VLOOKUP($D1454,'WB Data'!$C$3:$M$578,7,FALSE)/100,"..")</f>
        <v>2.83396E-2</v>
      </c>
      <c r="BM1454" s="117">
        <f>IFERROR($AW1454*$BL1454,"..")</f>
        <v>1891110202.5759907</v>
      </c>
      <c r="BN1454" s="846">
        <f>IFERROR($BB1454/$BM1454,"..")</f>
        <v>0.46758962713755509</v>
      </c>
      <c r="BO1454" s="801">
        <f t="shared" si="246"/>
        <v>38</v>
      </c>
      <c r="BP1454" s="117">
        <f>VLOOKUP($D1454,'WB Data'!$C$3:$M$578,9,FALSE)</f>
        <v>58.7</v>
      </c>
      <c r="BQ1454" s="117">
        <f>VLOOKUP($D1454,'WB Data'!$C$3:$M$578,10,FALSE)</f>
        <v>72.096804878048786</v>
      </c>
      <c r="BR1454" s="117">
        <f>VLOOKUP($D1454,'WB Data'!$C$3:$M$578,11,FALSE)</f>
        <v>23</v>
      </c>
      <c r="BS1454" s="129">
        <f>IFERROR(VLOOKUP($D1454,'WB Data 2'!$C$2:$K$545,9,FALSE),"..")</f>
        <v>99.634069999999994</v>
      </c>
      <c r="BT1454" s="129">
        <f>_xlfn.IFNA(VLOOKUP($C1454,RGI!$A$2:$C$43,2,FALSE),"..")</f>
        <v>76.8</v>
      </c>
      <c r="BU1454" s="129">
        <f>_xlfn.IFNA(VLOOKUP($C1454,RGI!$A$2:$C$43,3,FALSE),"..")</f>
        <v>72.816147461462435</v>
      </c>
      <c r="BV1454" s="129">
        <f>VLOOKUP($D1454,WGI!$C$2:$O$478,7,FALSE)</f>
        <v>-0.14663028957413399</v>
      </c>
      <c r="BW1454" s="129">
        <f>VLOOKUP($D1454,WGI!$C$2:$O$478,4,FALSE)</f>
        <v>-1.00309654857232</v>
      </c>
      <c r="BX1454" s="129">
        <f>VLOOKUP($D1454,WGI!$C$2:$O$478,3,FALSE)</f>
        <v>-0.46854602636037601</v>
      </c>
      <c r="BY1454" s="129">
        <f>VLOOKUP($D1454,WGI!$C$2:$O$478,5,FALSE)</f>
        <v>0.23233413649883</v>
      </c>
      <c r="BZ1454" s="129">
        <f>VLOOKUP($D1454,WGI!$C$2:$O$478,2,FALSE)</f>
        <v>-0.35116899578167798</v>
      </c>
      <c r="CB1454" s="129"/>
    </row>
    <row r="1455" spans="1:80" s="120" customFormat="1" ht="15" customHeight="1">
      <c r="A1455" s="294" t="s">
        <v>448</v>
      </c>
      <c r="B1455" s="117">
        <v>2004</v>
      </c>
      <c r="C1455" s="117" t="s">
        <v>449</v>
      </c>
      <c r="D1455" s="117" t="s">
        <v>3473</v>
      </c>
      <c r="E1455" s="452" t="s">
        <v>220</v>
      </c>
      <c r="F1455" s="117"/>
      <c r="G1455" s="120" t="s">
        <v>24</v>
      </c>
      <c r="H1455" s="117" t="str">
        <f t="shared" si="251"/>
        <v>yes</v>
      </c>
      <c r="I1455" s="117" t="str">
        <f t="shared" si="243"/>
        <v>no</v>
      </c>
      <c r="J1455" s="117" t="str">
        <f t="shared" si="244"/>
        <v>no</v>
      </c>
      <c r="K1455" s="117" t="s">
        <v>2049</v>
      </c>
      <c r="L1455" s="117" t="str">
        <f t="shared" si="252"/>
        <v>detailed</v>
      </c>
      <c r="M1455" s="117" t="str">
        <f t="shared" si="245"/>
        <v>detailed Mining</v>
      </c>
      <c r="N1455" s="179">
        <v>623000</v>
      </c>
      <c r="O1455" s="179"/>
      <c r="P1455" s="179"/>
      <c r="Q1455" s="179"/>
      <c r="R1455" s="179"/>
      <c r="S1455" s="117" t="s">
        <v>610</v>
      </c>
      <c r="T1455" s="119"/>
      <c r="U1455" s="117"/>
      <c r="V1455" s="117" t="s">
        <v>1146</v>
      </c>
      <c r="W1455" s="89"/>
      <c r="Y1455" s="89"/>
      <c r="Z1455" s="89"/>
      <c r="AA1455" s="89"/>
      <c r="AB1455" s="89"/>
      <c r="AC1455" s="240"/>
      <c r="AD1455" s="240"/>
      <c r="AE1455" s="240"/>
      <c r="AF1455" s="241"/>
      <c r="AG1455" s="89"/>
      <c r="AH1455" s="124"/>
      <c r="AI1455" s="117"/>
      <c r="AJ1455" s="117"/>
      <c r="AK1455" s="89"/>
      <c r="AL1455" s="117"/>
      <c r="AM1455" s="117"/>
      <c r="AN1455" s="117"/>
      <c r="AO1455" s="117"/>
      <c r="AP1455" s="117"/>
      <c r="AQ1455" s="117"/>
      <c r="AR1455" s="117"/>
      <c r="AS1455" s="117"/>
      <c r="AT1455" s="117"/>
      <c r="AU1455" s="117"/>
      <c r="AV1455" s="128"/>
      <c r="AW1455" s="117">
        <f>VLOOKUP($D1455,'WB Data'!$C$3:$M$578,2,FALSE)</f>
        <v>66730306799.531067</v>
      </c>
      <c r="AX1455" s="117">
        <f>VLOOKUP($D1455,'WB Data'!$C$3:$M$578,3,FALSE)</f>
        <v>27403845</v>
      </c>
      <c r="AY1455" s="847">
        <f t="shared" si="247"/>
        <v>1.3251302997227456E-2</v>
      </c>
      <c r="AZ1455" s="117">
        <f>VLOOKUP($D1455,'WB Data'!$C$3:$M$578,4,FALSE)/100</f>
        <v>0.17222963965305593</v>
      </c>
      <c r="BA1455" s="117">
        <f t="shared" si="248"/>
        <v>11492936694.021103</v>
      </c>
      <c r="BB1455" s="129">
        <f>IFERROR(VLOOKUP($D1455,'EITI Revenues'!$C$2:$G$224,5,FALSE),"..")</f>
        <v>884263514.49853373</v>
      </c>
      <c r="BC1455" s="846">
        <f t="shared" si="249"/>
        <v>7.6939735947431823E-2</v>
      </c>
      <c r="BD1455" s="129">
        <f>VLOOKUP($D1455,'WB Data 2'!$C$2:$K$545,6,FALSE)</f>
        <v>7023518729.961482</v>
      </c>
      <c r="BE1455" s="129">
        <f>IFERROR(VLOOKUP($D1455,UNCTAD!$C$5:$V$529,4,FALSE),"..")</f>
        <v>14802480000</v>
      </c>
      <c r="BF1455" s="846">
        <f t="shared" si="250"/>
        <v>0.47448256845889891</v>
      </c>
      <c r="BG1455" s="117">
        <f>VLOOKUP($D1455,'WB Data'!$C$3:$M$578,5,FALSE)</f>
        <v>463450000</v>
      </c>
      <c r="BH1455" s="129">
        <f>IFERROR($BB1455/$BG1455,"..")</f>
        <v>1.9080019732409834</v>
      </c>
      <c r="BI1455" s="117">
        <f>IFERROR(VLOOKUP($D1455,'WB Data'!$C$3:$M$578,7,FALSE)/100,"..")</f>
        <v>2.83396E-2</v>
      </c>
      <c r="BJ1455" s="117">
        <f>IFERROR($BI1455*$AW1455,"..")</f>
        <v>1891110202.5759907</v>
      </c>
      <c r="BK1455" s="846">
        <f>IFERROR($BB1455/$BJ1455,"..")</f>
        <v>0.46758962713755509</v>
      </c>
      <c r="BL1455" s="117">
        <f>IFERROR(VLOOKUP($D1455,'WB Data'!$C$3:$M$578,7,FALSE)/100,"..")</f>
        <v>2.83396E-2</v>
      </c>
      <c r="BM1455" s="117">
        <f>IFERROR($AW1455*$BL1455,"..")</f>
        <v>1891110202.5759907</v>
      </c>
      <c r="BN1455" s="846">
        <f>IFERROR($BB1455/$BM1455,"..")</f>
        <v>0.46758962713755509</v>
      </c>
      <c r="BO1455" s="801">
        <f t="shared" si="246"/>
        <v>38</v>
      </c>
      <c r="BP1455" s="117">
        <f>VLOOKUP($D1455,'WB Data'!$C$3:$M$578,9,FALSE)</f>
        <v>58.7</v>
      </c>
      <c r="BQ1455" s="117">
        <f>VLOOKUP($D1455,'WB Data'!$C$3:$M$578,10,FALSE)</f>
        <v>72.096804878048786</v>
      </c>
      <c r="BR1455" s="117">
        <f>VLOOKUP($D1455,'WB Data'!$C$3:$M$578,11,FALSE)</f>
        <v>23</v>
      </c>
      <c r="BS1455" s="129">
        <f>IFERROR(VLOOKUP($D1455,'WB Data 2'!$C$2:$K$545,9,FALSE),"..")</f>
        <v>99.634069999999994</v>
      </c>
      <c r="BT1455" s="129">
        <f>_xlfn.IFNA(VLOOKUP($C1455,RGI!$A$2:$C$43,2,FALSE),"..")</f>
        <v>76.8</v>
      </c>
      <c r="BU1455" s="129">
        <f>_xlfn.IFNA(VLOOKUP($C1455,RGI!$A$2:$C$43,3,FALSE),"..")</f>
        <v>72.816147461462435</v>
      </c>
      <c r="BV1455" s="129">
        <f>VLOOKUP($D1455,WGI!$C$2:$O$478,7,FALSE)</f>
        <v>-0.14663028957413399</v>
      </c>
      <c r="BW1455" s="129">
        <f>VLOOKUP($D1455,WGI!$C$2:$O$478,4,FALSE)</f>
        <v>-1.00309654857232</v>
      </c>
      <c r="BX1455" s="129">
        <f>VLOOKUP($D1455,WGI!$C$2:$O$478,3,FALSE)</f>
        <v>-0.46854602636037601</v>
      </c>
      <c r="BY1455" s="129">
        <f>VLOOKUP($D1455,WGI!$C$2:$O$478,5,FALSE)</f>
        <v>0.23233413649883</v>
      </c>
      <c r="BZ1455" s="129">
        <f>VLOOKUP($D1455,WGI!$C$2:$O$478,2,FALSE)</f>
        <v>-0.35116899578167798</v>
      </c>
      <c r="CB1455" s="129"/>
    </row>
    <row r="1456" spans="1:80" s="120" customFormat="1" ht="15" customHeight="1">
      <c r="A1456" s="294" t="s">
        <v>448</v>
      </c>
      <c r="B1456" s="117">
        <v>2004</v>
      </c>
      <c r="C1456" s="117" t="s">
        <v>449</v>
      </c>
      <c r="D1456" s="117" t="s">
        <v>3473</v>
      </c>
      <c r="E1456" s="452" t="s">
        <v>220</v>
      </c>
      <c r="F1456" s="117"/>
      <c r="G1456" s="120" t="s">
        <v>24</v>
      </c>
      <c r="H1456" s="117" t="str">
        <f t="shared" si="251"/>
        <v>yes</v>
      </c>
      <c r="I1456" s="117" t="str">
        <f t="shared" si="243"/>
        <v>no</v>
      </c>
      <c r="J1456" s="117" t="str">
        <f t="shared" si="244"/>
        <v>no</v>
      </c>
      <c r="K1456" s="117" t="s">
        <v>2050</v>
      </c>
      <c r="L1456" s="117" t="str">
        <f t="shared" si="252"/>
        <v>detailed</v>
      </c>
      <c r="M1456" s="117" t="str">
        <f t="shared" si="245"/>
        <v>detailed Mining</v>
      </c>
      <c r="N1456" s="179">
        <v>25000</v>
      </c>
      <c r="O1456" s="179"/>
      <c r="P1456" s="179"/>
      <c r="Q1456" s="179"/>
      <c r="R1456" s="179"/>
      <c r="S1456" s="117" t="s">
        <v>610</v>
      </c>
      <c r="T1456" s="119">
        <v>13000</v>
      </c>
      <c r="U1456" s="117" t="s">
        <v>611</v>
      </c>
      <c r="V1456" s="117" t="s">
        <v>2051</v>
      </c>
      <c r="W1456" s="89">
        <f>N1456*T1456</f>
        <v>325000000</v>
      </c>
      <c r="Y1456" s="89"/>
      <c r="Z1456" s="89"/>
      <c r="AA1456" s="89"/>
      <c r="AB1456" s="89"/>
      <c r="AC1456" s="240"/>
      <c r="AD1456" s="240"/>
      <c r="AE1456" s="240"/>
      <c r="AF1456" s="241"/>
      <c r="AG1456" s="89"/>
      <c r="AH1456" s="124"/>
      <c r="AI1456" s="117"/>
      <c r="AJ1456" s="117"/>
      <c r="AK1456" s="89"/>
      <c r="AL1456" s="117"/>
      <c r="AM1456" s="117"/>
      <c r="AN1456" s="117"/>
      <c r="AO1456" s="117"/>
      <c r="AP1456" s="117"/>
      <c r="AQ1456" s="117"/>
      <c r="AR1456" s="117"/>
      <c r="AS1456" s="117"/>
      <c r="AT1456" s="117"/>
      <c r="AU1456" s="117"/>
      <c r="AV1456" s="128"/>
      <c r="AW1456" s="117">
        <f>VLOOKUP($D1456,'WB Data'!$C$3:$M$578,2,FALSE)</f>
        <v>66730306799.531067</v>
      </c>
      <c r="AX1456" s="117">
        <f>VLOOKUP($D1456,'WB Data'!$C$3:$M$578,3,FALSE)</f>
        <v>27403845</v>
      </c>
      <c r="AY1456" s="847">
        <f t="shared" si="247"/>
        <v>1.3251302997227456E-2</v>
      </c>
      <c r="AZ1456" s="117">
        <f>VLOOKUP($D1456,'WB Data'!$C$3:$M$578,4,FALSE)/100</f>
        <v>0.17222963965305593</v>
      </c>
      <c r="BA1456" s="117">
        <f t="shared" si="248"/>
        <v>11492936694.021103</v>
      </c>
      <c r="BB1456" s="129">
        <f>IFERROR(VLOOKUP($D1456,'EITI Revenues'!$C$2:$G$224,5,FALSE),"..")</f>
        <v>884263514.49853373</v>
      </c>
      <c r="BC1456" s="846">
        <f t="shared" si="249"/>
        <v>7.6939735947431823E-2</v>
      </c>
      <c r="BD1456" s="129">
        <f>VLOOKUP($D1456,'WB Data 2'!$C$2:$K$545,6,FALSE)</f>
        <v>7023518729.961482</v>
      </c>
      <c r="BE1456" s="129">
        <f>IFERROR(VLOOKUP($D1456,UNCTAD!$C$5:$V$529,4,FALSE),"..")</f>
        <v>14802480000</v>
      </c>
      <c r="BF1456" s="846">
        <f t="shared" si="250"/>
        <v>0.47448256845889891</v>
      </c>
      <c r="BG1456" s="117">
        <f>VLOOKUP($D1456,'WB Data'!$C$3:$M$578,5,FALSE)</f>
        <v>463450000</v>
      </c>
      <c r="BH1456" s="129">
        <f>IFERROR($BB1456/$BG1456,"..")</f>
        <v>1.9080019732409834</v>
      </c>
      <c r="BI1456" s="117">
        <f>IFERROR(VLOOKUP($D1456,'WB Data'!$C$3:$M$578,7,FALSE)/100,"..")</f>
        <v>2.83396E-2</v>
      </c>
      <c r="BJ1456" s="117">
        <f>IFERROR($BI1456*$AW1456,"..")</f>
        <v>1891110202.5759907</v>
      </c>
      <c r="BK1456" s="846">
        <f>IFERROR($BB1456/$BJ1456,"..")</f>
        <v>0.46758962713755509</v>
      </c>
      <c r="BL1456" s="117">
        <f>IFERROR(VLOOKUP($D1456,'WB Data'!$C$3:$M$578,7,FALSE)/100,"..")</f>
        <v>2.83396E-2</v>
      </c>
      <c r="BM1456" s="117">
        <f>IFERROR($AW1456*$BL1456,"..")</f>
        <v>1891110202.5759907</v>
      </c>
      <c r="BN1456" s="846">
        <f>IFERROR($BB1456/$BM1456,"..")</f>
        <v>0.46758962713755509</v>
      </c>
      <c r="BO1456" s="801">
        <f t="shared" si="246"/>
        <v>38</v>
      </c>
      <c r="BP1456" s="117">
        <f>VLOOKUP($D1456,'WB Data'!$C$3:$M$578,9,FALSE)</f>
        <v>58.7</v>
      </c>
      <c r="BQ1456" s="117">
        <f>VLOOKUP($D1456,'WB Data'!$C$3:$M$578,10,FALSE)</f>
        <v>72.096804878048786</v>
      </c>
      <c r="BR1456" s="117">
        <f>VLOOKUP($D1456,'WB Data'!$C$3:$M$578,11,FALSE)</f>
        <v>23</v>
      </c>
      <c r="BS1456" s="129">
        <f>IFERROR(VLOOKUP($D1456,'WB Data 2'!$C$2:$K$545,9,FALSE),"..")</f>
        <v>99.634069999999994</v>
      </c>
      <c r="BT1456" s="129">
        <f>_xlfn.IFNA(VLOOKUP($C1456,RGI!$A$2:$C$43,2,FALSE),"..")</f>
        <v>76.8</v>
      </c>
      <c r="BU1456" s="129">
        <f>_xlfn.IFNA(VLOOKUP($C1456,RGI!$A$2:$C$43,3,FALSE),"..")</f>
        <v>72.816147461462435</v>
      </c>
      <c r="BV1456" s="129">
        <f>VLOOKUP($D1456,WGI!$C$2:$O$478,7,FALSE)</f>
        <v>-0.14663028957413399</v>
      </c>
      <c r="BW1456" s="129">
        <f>VLOOKUP($D1456,WGI!$C$2:$O$478,4,FALSE)</f>
        <v>-1.00309654857232</v>
      </c>
      <c r="BX1456" s="129">
        <f>VLOOKUP($D1456,WGI!$C$2:$O$478,3,FALSE)</f>
        <v>-0.46854602636037601</v>
      </c>
      <c r="BY1456" s="129">
        <f>VLOOKUP($D1456,WGI!$C$2:$O$478,5,FALSE)</f>
        <v>0.23233413649883</v>
      </c>
      <c r="BZ1456" s="129">
        <f>VLOOKUP($D1456,WGI!$C$2:$O$478,2,FALSE)</f>
        <v>-0.35116899578167798</v>
      </c>
      <c r="CB1456" s="129"/>
    </row>
    <row r="1457" spans="1:80" s="120" customFormat="1" ht="15" customHeight="1">
      <c r="A1457" s="294" t="s">
        <v>448</v>
      </c>
      <c r="B1457" s="117">
        <v>2004</v>
      </c>
      <c r="C1457" s="117" t="s">
        <v>449</v>
      </c>
      <c r="D1457" s="117" t="s">
        <v>3473</v>
      </c>
      <c r="E1457" s="452" t="s">
        <v>220</v>
      </c>
      <c r="F1457" s="117"/>
      <c r="G1457" s="120" t="s">
        <v>24</v>
      </c>
      <c r="H1457" s="117" t="str">
        <f t="shared" si="251"/>
        <v>yes</v>
      </c>
      <c r="I1457" s="117" t="str">
        <f t="shared" si="243"/>
        <v>no</v>
      </c>
      <c r="J1457" s="117" t="str">
        <f t="shared" si="244"/>
        <v>no</v>
      </c>
      <c r="K1457" s="117" t="s">
        <v>1332</v>
      </c>
      <c r="L1457" s="117" t="str">
        <f t="shared" si="252"/>
        <v>detailed</v>
      </c>
      <c r="M1457" s="117" t="str">
        <f t="shared" si="245"/>
        <v>detailed Mining</v>
      </c>
      <c r="N1457" s="179"/>
      <c r="O1457" s="179"/>
      <c r="P1457" s="179"/>
      <c r="Q1457" s="179"/>
      <c r="R1457" s="179"/>
      <c r="S1457" s="117"/>
      <c r="T1457" s="186">
        <f>8512.73341666667</f>
        <v>8512.7334166666697</v>
      </c>
      <c r="U1457" s="117" t="s">
        <v>611</v>
      </c>
      <c r="V1457" s="117" t="s">
        <v>1333</v>
      </c>
      <c r="W1457" s="89">
        <f>N1459*T1457</f>
        <v>345821282.31866682</v>
      </c>
      <c r="Y1457" s="492"/>
      <c r="Z1457" s="492"/>
      <c r="AA1457" s="89"/>
      <c r="AB1457" s="89"/>
      <c r="AC1457" s="240" t="s">
        <v>2052</v>
      </c>
      <c r="AD1457" s="240"/>
      <c r="AE1457" s="240"/>
      <c r="AF1457" s="241"/>
      <c r="AH1457" s="124"/>
      <c r="AI1457" s="117"/>
      <c r="AJ1457" s="117"/>
      <c r="AK1457" s="89"/>
      <c r="AL1457" s="117"/>
      <c r="AM1457" s="117"/>
      <c r="AN1457" s="117">
        <v>1</v>
      </c>
      <c r="AO1457" s="117" t="s">
        <v>2053</v>
      </c>
      <c r="AP1457" s="117">
        <v>1</v>
      </c>
      <c r="AQ1457" s="117"/>
      <c r="AR1457" s="117"/>
      <c r="AS1457" s="117"/>
      <c r="AT1457" s="117"/>
      <c r="AU1457" s="117"/>
      <c r="AV1457" s="128"/>
      <c r="AW1457" s="117">
        <f>VLOOKUP($D1457,'WB Data'!$C$3:$M$578,2,FALSE)</f>
        <v>66730306799.531067</v>
      </c>
      <c r="AX1457" s="117">
        <f>VLOOKUP($D1457,'WB Data'!$C$3:$M$578,3,FALSE)</f>
        <v>27403845</v>
      </c>
      <c r="AY1457" s="847">
        <f t="shared" si="247"/>
        <v>1.3251302997227456E-2</v>
      </c>
      <c r="AZ1457" s="117">
        <f>VLOOKUP($D1457,'WB Data'!$C$3:$M$578,4,FALSE)/100</f>
        <v>0.17222963965305593</v>
      </c>
      <c r="BA1457" s="117">
        <f t="shared" si="248"/>
        <v>11492936694.021103</v>
      </c>
      <c r="BB1457" s="129">
        <f>IFERROR(VLOOKUP($D1457,'EITI Revenues'!$C$2:$G$224,5,FALSE),"..")</f>
        <v>884263514.49853373</v>
      </c>
      <c r="BC1457" s="846">
        <f t="shared" si="249"/>
        <v>7.6939735947431823E-2</v>
      </c>
      <c r="BD1457" s="129">
        <f>VLOOKUP($D1457,'WB Data 2'!$C$2:$K$545,6,FALSE)</f>
        <v>7023518729.961482</v>
      </c>
      <c r="BE1457" s="129">
        <f>IFERROR(VLOOKUP($D1457,UNCTAD!$C$5:$V$529,4,FALSE),"..")</f>
        <v>14802480000</v>
      </c>
      <c r="BF1457" s="846">
        <f t="shared" si="250"/>
        <v>0.47448256845889891</v>
      </c>
      <c r="BG1457" s="117">
        <f>VLOOKUP($D1457,'WB Data'!$C$3:$M$578,5,FALSE)</f>
        <v>463450000</v>
      </c>
      <c r="BH1457" s="129">
        <f>IFERROR($BB1457/$BG1457,"..")</f>
        <v>1.9080019732409834</v>
      </c>
      <c r="BI1457" s="117">
        <f>IFERROR(VLOOKUP($D1457,'WB Data'!$C$3:$M$578,7,FALSE)/100,"..")</f>
        <v>2.83396E-2</v>
      </c>
      <c r="BJ1457" s="117">
        <f>IFERROR($BI1457*$AW1457,"..")</f>
        <v>1891110202.5759907</v>
      </c>
      <c r="BK1457" s="846">
        <f>IFERROR($BB1457/$BJ1457,"..")</f>
        <v>0.46758962713755509</v>
      </c>
      <c r="BL1457" s="117">
        <f>IFERROR(VLOOKUP($D1457,'WB Data'!$C$3:$M$578,7,FALSE)/100,"..")</f>
        <v>2.83396E-2</v>
      </c>
      <c r="BM1457" s="117">
        <f>IFERROR($AW1457*$BL1457,"..")</f>
        <v>1891110202.5759907</v>
      </c>
      <c r="BN1457" s="846">
        <f>IFERROR($BB1457/$BM1457,"..")</f>
        <v>0.46758962713755509</v>
      </c>
      <c r="BO1457" s="801">
        <f t="shared" si="246"/>
        <v>38</v>
      </c>
      <c r="BP1457" s="117">
        <f>VLOOKUP($D1457,'WB Data'!$C$3:$M$578,9,FALSE)</f>
        <v>58.7</v>
      </c>
      <c r="BQ1457" s="117">
        <f>VLOOKUP($D1457,'WB Data'!$C$3:$M$578,10,FALSE)</f>
        <v>72.096804878048786</v>
      </c>
      <c r="BR1457" s="117">
        <f>VLOOKUP($D1457,'WB Data'!$C$3:$M$578,11,FALSE)</f>
        <v>23</v>
      </c>
      <c r="BS1457" s="129">
        <f>IFERROR(VLOOKUP($D1457,'WB Data 2'!$C$2:$K$545,9,FALSE),"..")</f>
        <v>99.634069999999994</v>
      </c>
      <c r="BT1457" s="129">
        <f>_xlfn.IFNA(VLOOKUP($C1457,RGI!$A$2:$C$43,2,FALSE),"..")</f>
        <v>76.8</v>
      </c>
      <c r="BU1457" s="129">
        <f>_xlfn.IFNA(VLOOKUP($C1457,RGI!$A$2:$C$43,3,FALSE),"..")</f>
        <v>72.816147461462435</v>
      </c>
      <c r="BV1457" s="129">
        <f>VLOOKUP($D1457,WGI!$C$2:$O$478,7,FALSE)</f>
        <v>-0.14663028957413399</v>
      </c>
      <c r="BW1457" s="129">
        <f>VLOOKUP($D1457,WGI!$C$2:$O$478,4,FALSE)</f>
        <v>-1.00309654857232</v>
      </c>
      <c r="BX1457" s="129">
        <f>VLOOKUP($D1457,WGI!$C$2:$O$478,3,FALSE)</f>
        <v>-0.46854602636037601</v>
      </c>
      <c r="BY1457" s="129">
        <f>VLOOKUP($D1457,WGI!$C$2:$O$478,5,FALSE)</f>
        <v>0.23233413649883</v>
      </c>
      <c r="BZ1457" s="129">
        <f>VLOOKUP($D1457,WGI!$C$2:$O$478,2,FALSE)</f>
        <v>-0.35116899578167798</v>
      </c>
      <c r="CB1457" s="129"/>
    </row>
    <row r="1458" spans="1:80" s="120" customFormat="1" ht="15" customHeight="1">
      <c r="A1458" s="294" t="s">
        <v>448</v>
      </c>
      <c r="B1458" s="117">
        <v>2004</v>
      </c>
      <c r="C1458" s="117" t="s">
        <v>449</v>
      </c>
      <c r="D1458" s="117" t="s">
        <v>3473</v>
      </c>
      <c r="E1458" s="452" t="s">
        <v>220</v>
      </c>
      <c r="F1458" s="117"/>
      <c r="G1458" s="120" t="s">
        <v>24</v>
      </c>
      <c r="H1458" s="117" t="str">
        <f t="shared" si="251"/>
        <v>yes</v>
      </c>
      <c r="I1458" s="117" t="str">
        <f t="shared" si="243"/>
        <v>no</v>
      </c>
      <c r="J1458" s="117" t="str">
        <f t="shared" si="244"/>
        <v>no</v>
      </c>
      <c r="K1458" s="117" t="s">
        <v>2054</v>
      </c>
      <c r="L1458" s="117" t="str">
        <f t="shared" si="252"/>
        <v>detailed</v>
      </c>
      <c r="M1458" s="117" t="str">
        <f t="shared" si="245"/>
        <v>detailed Mining</v>
      </c>
      <c r="N1458" s="179">
        <v>41613</v>
      </c>
      <c r="O1458" s="179"/>
      <c r="P1458" s="179"/>
      <c r="Q1458" s="179"/>
      <c r="R1458" s="179"/>
      <c r="S1458" s="117" t="s">
        <v>610</v>
      </c>
      <c r="T1458" s="119"/>
      <c r="U1458" s="117"/>
      <c r="V1458" s="117" t="s">
        <v>1146</v>
      </c>
      <c r="W1458" s="89"/>
      <c r="X1458" s="117"/>
      <c r="AA1458" s="89"/>
      <c r="AB1458" s="89"/>
      <c r="AC1458" s="240"/>
      <c r="AD1458" s="240"/>
      <c r="AE1458" s="240"/>
      <c r="AF1458" s="241"/>
      <c r="AH1458" s="124"/>
      <c r="AI1458" s="117"/>
      <c r="AJ1458" s="117"/>
      <c r="AK1458" s="89"/>
      <c r="AL1458" s="117"/>
      <c r="AM1458" s="117"/>
      <c r="AN1458" s="117"/>
      <c r="AO1458" s="117"/>
      <c r="AP1458" s="117"/>
      <c r="AQ1458" s="117"/>
      <c r="AR1458" s="117"/>
      <c r="AS1458" s="117"/>
      <c r="AT1458" s="117"/>
      <c r="AU1458" s="117"/>
      <c r="AV1458" s="128"/>
      <c r="AW1458" s="117">
        <f>VLOOKUP($D1458,'WB Data'!$C$3:$M$578,2,FALSE)</f>
        <v>66730306799.531067</v>
      </c>
      <c r="AX1458" s="117">
        <f>VLOOKUP($D1458,'WB Data'!$C$3:$M$578,3,FALSE)</f>
        <v>27403845</v>
      </c>
      <c r="AY1458" s="847">
        <f t="shared" si="247"/>
        <v>1.3251302997227456E-2</v>
      </c>
      <c r="AZ1458" s="117">
        <f>VLOOKUP($D1458,'WB Data'!$C$3:$M$578,4,FALSE)/100</f>
        <v>0.17222963965305593</v>
      </c>
      <c r="BA1458" s="117">
        <f t="shared" si="248"/>
        <v>11492936694.021103</v>
      </c>
      <c r="BB1458" s="129">
        <f>IFERROR(VLOOKUP($D1458,'EITI Revenues'!$C$2:$G$224,5,FALSE),"..")</f>
        <v>884263514.49853373</v>
      </c>
      <c r="BC1458" s="846">
        <f t="shared" si="249"/>
        <v>7.6939735947431823E-2</v>
      </c>
      <c r="BD1458" s="129">
        <f>VLOOKUP($D1458,'WB Data 2'!$C$2:$K$545,6,FALSE)</f>
        <v>7023518729.961482</v>
      </c>
      <c r="BE1458" s="129">
        <f>IFERROR(VLOOKUP($D1458,UNCTAD!$C$5:$V$529,4,FALSE),"..")</f>
        <v>14802480000</v>
      </c>
      <c r="BF1458" s="846">
        <f t="shared" si="250"/>
        <v>0.47448256845889891</v>
      </c>
      <c r="BG1458" s="117">
        <f>VLOOKUP($D1458,'WB Data'!$C$3:$M$578,5,FALSE)</f>
        <v>463450000</v>
      </c>
      <c r="BH1458" s="129">
        <f>IFERROR($BB1458/$BG1458,"..")</f>
        <v>1.9080019732409834</v>
      </c>
      <c r="BI1458" s="117">
        <f>IFERROR(VLOOKUP($D1458,'WB Data'!$C$3:$M$578,7,FALSE)/100,"..")</f>
        <v>2.83396E-2</v>
      </c>
      <c r="BJ1458" s="117">
        <f>IFERROR($BI1458*$AW1458,"..")</f>
        <v>1891110202.5759907</v>
      </c>
      <c r="BK1458" s="846">
        <f>IFERROR($BB1458/$BJ1458,"..")</f>
        <v>0.46758962713755509</v>
      </c>
      <c r="BL1458" s="117">
        <f>IFERROR(VLOOKUP($D1458,'WB Data'!$C$3:$M$578,7,FALSE)/100,"..")</f>
        <v>2.83396E-2</v>
      </c>
      <c r="BM1458" s="117">
        <f>IFERROR($AW1458*$BL1458,"..")</f>
        <v>1891110202.5759907</v>
      </c>
      <c r="BN1458" s="846">
        <f>IFERROR($BB1458/$BM1458,"..")</f>
        <v>0.46758962713755509</v>
      </c>
      <c r="BO1458" s="801">
        <f t="shared" si="246"/>
        <v>38</v>
      </c>
      <c r="BP1458" s="117">
        <f>VLOOKUP($D1458,'WB Data'!$C$3:$M$578,9,FALSE)</f>
        <v>58.7</v>
      </c>
      <c r="BQ1458" s="117">
        <f>VLOOKUP($D1458,'WB Data'!$C$3:$M$578,10,FALSE)</f>
        <v>72.096804878048786</v>
      </c>
      <c r="BR1458" s="117">
        <f>VLOOKUP($D1458,'WB Data'!$C$3:$M$578,11,FALSE)</f>
        <v>23</v>
      </c>
      <c r="BS1458" s="129">
        <f>IFERROR(VLOOKUP($D1458,'WB Data 2'!$C$2:$K$545,9,FALSE),"..")</f>
        <v>99.634069999999994</v>
      </c>
      <c r="BT1458" s="129">
        <f>_xlfn.IFNA(VLOOKUP($C1458,RGI!$A$2:$C$43,2,FALSE),"..")</f>
        <v>76.8</v>
      </c>
      <c r="BU1458" s="129">
        <f>_xlfn.IFNA(VLOOKUP($C1458,RGI!$A$2:$C$43,3,FALSE),"..")</f>
        <v>72.816147461462435</v>
      </c>
      <c r="BV1458" s="129">
        <f>VLOOKUP($D1458,WGI!$C$2:$O$478,7,FALSE)</f>
        <v>-0.14663028957413399</v>
      </c>
      <c r="BW1458" s="129">
        <f>VLOOKUP($D1458,WGI!$C$2:$O$478,4,FALSE)</f>
        <v>-1.00309654857232</v>
      </c>
      <c r="BX1458" s="129">
        <f>VLOOKUP($D1458,WGI!$C$2:$O$478,3,FALSE)</f>
        <v>-0.46854602636037601</v>
      </c>
      <c r="BY1458" s="129">
        <f>VLOOKUP($D1458,WGI!$C$2:$O$478,5,FALSE)</f>
        <v>0.23233413649883</v>
      </c>
      <c r="BZ1458" s="129">
        <f>VLOOKUP($D1458,WGI!$C$2:$O$478,2,FALSE)</f>
        <v>-0.35116899578167798</v>
      </c>
      <c r="CB1458" s="129"/>
    </row>
    <row r="1459" spans="1:80" s="120" customFormat="1" ht="15" customHeight="1">
      <c r="A1459" s="294" t="s">
        <v>448</v>
      </c>
      <c r="B1459" s="117">
        <v>2004</v>
      </c>
      <c r="C1459" s="117" t="s">
        <v>449</v>
      </c>
      <c r="D1459" s="117" t="s">
        <v>3473</v>
      </c>
      <c r="E1459" s="452" t="s">
        <v>220</v>
      </c>
      <c r="F1459" s="117"/>
      <c r="G1459" s="120" t="s">
        <v>24</v>
      </c>
      <c r="H1459" s="117" t="str">
        <f t="shared" si="251"/>
        <v>yes</v>
      </c>
      <c r="I1459" s="117" t="str">
        <f t="shared" si="243"/>
        <v>no</v>
      </c>
      <c r="J1459" s="117" t="str">
        <f t="shared" si="244"/>
        <v>no</v>
      </c>
      <c r="K1459" s="117" t="s">
        <v>1336</v>
      </c>
      <c r="L1459" s="117" t="str">
        <f t="shared" si="252"/>
        <v>detailed</v>
      </c>
      <c r="M1459" s="117" t="str">
        <f t="shared" si="245"/>
        <v>detailed Mining</v>
      </c>
      <c r="N1459" s="179">
        <v>40624</v>
      </c>
      <c r="O1459" s="179"/>
      <c r="P1459" s="179"/>
      <c r="Q1459" s="179"/>
      <c r="R1459" s="179"/>
      <c r="S1459" s="117" t="s">
        <v>610</v>
      </c>
      <c r="T1459" s="119"/>
      <c r="U1459" s="117"/>
      <c r="V1459" s="117" t="s">
        <v>1146</v>
      </c>
      <c r="W1459" s="89"/>
      <c r="X1459" s="117"/>
      <c r="AA1459" s="89"/>
      <c r="AB1459" s="89"/>
      <c r="AC1459" s="240"/>
      <c r="AD1459" s="240"/>
      <c r="AE1459" s="240"/>
      <c r="AF1459" s="241"/>
      <c r="AH1459" s="124"/>
      <c r="AI1459" s="117"/>
      <c r="AJ1459" s="117"/>
      <c r="AK1459" s="89"/>
      <c r="AL1459" s="117"/>
      <c r="AM1459" s="117"/>
      <c r="AN1459" s="117"/>
      <c r="AO1459" s="117"/>
      <c r="AP1459" s="117"/>
      <c r="AQ1459" s="117"/>
      <c r="AR1459" s="117"/>
      <c r="AS1459" s="117"/>
      <c r="AT1459" s="117"/>
      <c r="AU1459" s="117"/>
      <c r="AV1459" s="128"/>
      <c r="AW1459" s="117">
        <f>VLOOKUP($D1459,'WB Data'!$C$3:$M$578,2,FALSE)</f>
        <v>66730306799.531067</v>
      </c>
      <c r="AX1459" s="117">
        <f>VLOOKUP($D1459,'WB Data'!$C$3:$M$578,3,FALSE)</f>
        <v>27403845</v>
      </c>
      <c r="AY1459" s="847">
        <f t="shared" si="247"/>
        <v>1.3251302997227456E-2</v>
      </c>
      <c r="AZ1459" s="117">
        <f>VLOOKUP($D1459,'WB Data'!$C$3:$M$578,4,FALSE)/100</f>
        <v>0.17222963965305593</v>
      </c>
      <c r="BA1459" s="117">
        <f t="shared" si="248"/>
        <v>11492936694.021103</v>
      </c>
      <c r="BB1459" s="129">
        <f>IFERROR(VLOOKUP($D1459,'EITI Revenues'!$C$2:$G$224,5,FALSE),"..")</f>
        <v>884263514.49853373</v>
      </c>
      <c r="BC1459" s="846">
        <f t="shared" si="249"/>
        <v>7.6939735947431823E-2</v>
      </c>
      <c r="BD1459" s="129">
        <f>VLOOKUP($D1459,'WB Data 2'!$C$2:$K$545,6,FALSE)</f>
        <v>7023518729.961482</v>
      </c>
      <c r="BE1459" s="129">
        <f>IFERROR(VLOOKUP($D1459,UNCTAD!$C$5:$V$529,4,FALSE),"..")</f>
        <v>14802480000</v>
      </c>
      <c r="BF1459" s="846">
        <f t="shared" si="250"/>
        <v>0.47448256845889891</v>
      </c>
      <c r="BG1459" s="117">
        <f>VLOOKUP($D1459,'WB Data'!$C$3:$M$578,5,FALSE)</f>
        <v>463450000</v>
      </c>
      <c r="BH1459" s="129">
        <f>IFERROR($BB1459/$BG1459,"..")</f>
        <v>1.9080019732409834</v>
      </c>
      <c r="BI1459" s="117">
        <f>IFERROR(VLOOKUP($D1459,'WB Data'!$C$3:$M$578,7,FALSE)/100,"..")</f>
        <v>2.83396E-2</v>
      </c>
      <c r="BJ1459" s="117">
        <f>IFERROR($BI1459*$AW1459,"..")</f>
        <v>1891110202.5759907</v>
      </c>
      <c r="BK1459" s="846">
        <f>IFERROR($BB1459/$BJ1459,"..")</f>
        <v>0.46758962713755509</v>
      </c>
      <c r="BL1459" s="117">
        <f>IFERROR(VLOOKUP($D1459,'WB Data'!$C$3:$M$578,7,FALSE)/100,"..")</f>
        <v>2.83396E-2</v>
      </c>
      <c r="BM1459" s="117">
        <f>IFERROR($AW1459*$BL1459,"..")</f>
        <v>1891110202.5759907</v>
      </c>
      <c r="BN1459" s="846">
        <f>IFERROR($BB1459/$BM1459,"..")</f>
        <v>0.46758962713755509</v>
      </c>
      <c r="BO1459" s="801">
        <f t="shared" si="246"/>
        <v>38</v>
      </c>
      <c r="BP1459" s="117">
        <f>VLOOKUP($D1459,'WB Data'!$C$3:$M$578,9,FALSE)</f>
        <v>58.7</v>
      </c>
      <c r="BQ1459" s="117">
        <f>VLOOKUP($D1459,'WB Data'!$C$3:$M$578,10,FALSE)</f>
        <v>72.096804878048786</v>
      </c>
      <c r="BR1459" s="117">
        <f>VLOOKUP($D1459,'WB Data'!$C$3:$M$578,11,FALSE)</f>
        <v>23</v>
      </c>
      <c r="BS1459" s="129">
        <f>IFERROR(VLOOKUP($D1459,'WB Data 2'!$C$2:$K$545,9,FALSE),"..")</f>
        <v>99.634069999999994</v>
      </c>
      <c r="BT1459" s="129">
        <f>_xlfn.IFNA(VLOOKUP($C1459,RGI!$A$2:$C$43,2,FALSE),"..")</f>
        <v>76.8</v>
      </c>
      <c r="BU1459" s="129">
        <f>_xlfn.IFNA(VLOOKUP($C1459,RGI!$A$2:$C$43,3,FALSE),"..")</f>
        <v>72.816147461462435</v>
      </c>
      <c r="BV1459" s="129">
        <f>VLOOKUP($D1459,WGI!$C$2:$O$478,7,FALSE)</f>
        <v>-0.14663028957413399</v>
      </c>
      <c r="BW1459" s="129">
        <f>VLOOKUP($D1459,WGI!$C$2:$O$478,4,FALSE)</f>
        <v>-1.00309654857232</v>
      </c>
      <c r="BX1459" s="129">
        <f>VLOOKUP($D1459,WGI!$C$2:$O$478,3,FALSE)</f>
        <v>-0.46854602636037601</v>
      </c>
      <c r="BY1459" s="129">
        <f>VLOOKUP($D1459,WGI!$C$2:$O$478,5,FALSE)</f>
        <v>0.23233413649883</v>
      </c>
      <c r="BZ1459" s="129">
        <f>VLOOKUP($D1459,WGI!$C$2:$O$478,2,FALSE)</f>
        <v>-0.35116899578167798</v>
      </c>
      <c r="CB1459" s="129"/>
    </row>
    <row r="1460" spans="1:80" s="120" customFormat="1" ht="15" customHeight="1">
      <c r="A1460" s="294" t="s">
        <v>448</v>
      </c>
      <c r="B1460" s="117">
        <v>2004</v>
      </c>
      <c r="C1460" s="117" t="s">
        <v>449</v>
      </c>
      <c r="D1460" s="117" t="s">
        <v>3473</v>
      </c>
      <c r="E1460" s="452" t="s">
        <v>220</v>
      </c>
      <c r="F1460" s="117"/>
      <c r="G1460" s="120" t="s">
        <v>24</v>
      </c>
      <c r="H1460" s="117" t="str">
        <f t="shared" si="251"/>
        <v>yes</v>
      </c>
      <c r="I1460" s="117" t="str">
        <f t="shared" si="243"/>
        <v>no</v>
      </c>
      <c r="J1460" s="117" t="str">
        <f t="shared" si="244"/>
        <v>no</v>
      </c>
      <c r="K1460" s="117" t="s">
        <v>849</v>
      </c>
      <c r="L1460" s="117" t="str">
        <f t="shared" si="252"/>
        <v>detailed</v>
      </c>
      <c r="M1460" s="117" t="str">
        <f t="shared" si="245"/>
        <v>detailed Mining</v>
      </c>
      <c r="N1460" s="179"/>
      <c r="O1460" s="179"/>
      <c r="P1460" s="179"/>
      <c r="Q1460" s="179"/>
      <c r="R1460" s="179"/>
      <c r="S1460" s="117"/>
      <c r="T1460" s="186">
        <f>1047.75325</f>
        <v>1047.75325</v>
      </c>
      <c r="U1460" s="117" t="s">
        <v>611</v>
      </c>
      <c r="V1460" s="117" t="s">
        <v>2055</v>
      </c>
      <c r="W1460" s="89">
        <f>N1462*T1460</f>
        <v>205036928.99899998</v>
      </c>
      <c r="Y1460" s="89"/>
      <c r="Z1460" s="89"/>
      <c r="AA1460" s="89"/>
      <c r="AB1460" s="89"/>
      <c r="AC1460" s="240" t="s">
        <v>2056</v>
      </c>
      <c r="AD1460" s="240"/>
      <c r="AE1460" s="240"/>
      <c r="AF1460" s="241"/>
      <c r="AG1460" s="89"/>
      <c r="AH1460" s="124"/>
      <c r="AI1460" s="117"/>
      <c r="AJ1460" s="117"/>
      <c r="AK1460" s="89"/>
      <c r="AL1460" s="117"/>
      <c r="AM1460" s="117"/>
      <c r="AN1460" s="117">
        <v>10</v>
      </c>
      <c r="AO1460" s="117" t="s">
        <v>2057</v>
      </c>
      <c r="AP1460" s="117">
        <v>10</v>
      </c>
      <c r="AQ1460" s="117"/>
      <c r="AR1460" s="117"/>
      <c r="AS1460" s="117"/>
      <c r="AT1460" s="117"/>
      <c r="AU1460" s="117"/>
      <c r="AV1460" s="128"/>
      <c r="AW1460" s="117">
        <f>VLOOKUP($D1460,'WB Data'!$C$3:$M$578,2,FALSE)</f>
        <v>66730306799.531067</v>
      </c>
      <c r="AX1460" s="117">
        <f>VLOOKUP($D1460,'WB Data'!$C$3:$M$578,3,FALSE)</f>
        <v>27403845</v>
      </c>
      <c r="AY1460" s="847">
        <f t="shared" si="247"/>
        <v>1.3251302997227456E-2</v>
      </c>
      <c r="AZ1460" s="117">
        <f>VLOOKUP($D1460,'WB Data'!$C$3:$M$578,4,FALSE)/100</f>
        <v>0.17222963965305593</v>
      </c>
      <c r="BA1460" s="117">
        <f t="shared" si="248"/>
        <v>11492936694.021103</v>
      </c>
      <c r="BB1460" s="129">
        <f>IFERROR(VLOOKUP($D1460,'EITI Revenues'!$C$2:$G$224,5,FALSE),"..")</f>
        <v>884263514.49853373</v>
      </c>
      <c r="BC1460" s="846">
        <f t="shared" si="249"/>
        <v>7.6939735947431823E-2</v>
      </c>
      <c r="BD1460" s="129">
        <f>VLOOKUP($D1460,'WB Data 2'!$C$2:$K$545,6,FALSE)</f>
        <v>7023518729.961482</v>
      </c>
      <c r="BE1460" s="129">
        <f>IFERROR(VLOOKUP($D1460,UNCTAD!$C$5:$V$529,4,FALSE),"..")</f>
        <v>14802480000</v>
      </c>
      <c r="BF1460" s="846">
        <f t="shared" si="250"/>
        <v>0.47448256845889891</v>
      </c>
      <c r="BG1460" s="117">
        <f>VLOOKUP($D1460,'WB Data'!$C$3:$M$578,5,FALSE)</f>
        <v>463450000</v>
      </c>
      <c r="BH1460" s="129">
        <f>IFERROR($BB1460/$BG1460,"..")</f>
        <v>1.9080019732409834</v>
      </c>
      <c r="BI1460" s="117">
        <f>IFERROR(VLOOKUP($D1460,'WB Data'!$C$3:$M$578,7,FALSE)/100,"..")</f>
        <v>2.83396E-2</v>
      </c>
      <c r="BJ1460" s="117">
        <f>IFERROR($BI1460*$AW1460,"..")</f>
        <v>1891110202.5759907</v>
      </c>
      <c r="BK1460" s="846">
        <f>IFERROR($BB1460/$BJ1460,"..")</f>
        <v>0.46758962713755509</v>
      </c>
      <c r="BL1460" s="117">
        <f>IFERROR(VLOOKUP($D1460,'WB Data'!$C$3:$M$578,7,FALSE)/100,"..")</f>
        <v>2.83396E-2</v>
      </c>
      <c r="BM1460" s="117">
        <f>IFERROR($AW1460*$BL1460,"..")</f>
        <v>1891110202.5759907</v>
      </c>
      <c r="BN1460" s="846">
        <f>IFERROR($BB1460/$BM1460,"..")</f>
        <v>0.46758962713755509</v>
      </c>
      <c r="BO1460" s="801">
        <f t="shared" si="246"/>
        <v>38</v>
      </c>
      <c r="BP1460" s="117">
        <f>VLOOKUP($D1460,'WB Data'!$C$3:$M$578,9,FALSE)</f>
        <v>58.7</v>
      </c>
      <c r="BQ1460" s="117">
        <f>VLOOKUP($D1460,'WB Data'!$C$3:$M$578,10,FALSE)</f>
        <v>72.096804878048786</v>
      </c>
      <c r="BR1460" s="117">
        <f>VLOOKUP($D1460,'WB Data'!$C$3:$M$578,11,FALSE)</f>
        <v>23</v>
      </c>
      <c r="BS1460" s="129">
        <f>IFERROR(VLOOKUP($D1460,'WB Data 2'!$C$2:$K$545,9,FALSE),"..")</f>
        <v>99.634069999999994</v>
      </c>
      <c r="BT1460" s="129">
        <f>_xlfn.IFNA(VLOOKUP($C1460,RGI!$A$2:$C$43,2,FALSE),"..")</f>
        <v>76.8</v>
      </c>
      <c r="BU1460" s="129">
        <f>_xlfn.IFNA(VLOOKUP($C1460,RGI!$A$2:$C$43,3,FALSE),"..")</f>
        <v>72.816147461462435</v>
      </c>
      <c r="BV1460" s="129">
        <f>VLOOKUP($D1460,WGI!$C$2:$O$478,7,FALSE)</f>
        <v>-0.14663028957413399</v>
      </c>
      <c r="BW1460" s="129">
        <f>VLOOKUP($D1460,WGI!$C$2:$O$478,4,FALSE)</f>
        <v>-1.00309654857232</v>
      </c>
      <c r="BX1460" s="129">
        <f>VLOOKUP($D1460,WGI!$C$2:$O$478,3,FALSE)</f>
        <v>-0.46854602636037601</v>
      </c>
      <c r="BY1460" s="129">
        <f>VLOOKUP($D1460,WGI!$C$2:$O$478,5,FALSE)</f>
        <v>0.23233413649883</v>
      </c>
      <c r="BZ1460" s="129">
        <f>VLOOKUP($D1460,WGI!$C$2:$O$478,2,FALSE)</f>
        <v>-0.35116899578167798</v>
      </c>
      <c r="CB1460" s="129"/>
    </row>
    <row r="1461" spans="1:80" s="120" customFormat="1" ht="15" customHeight="1">
      <c r="A1461" s="294" t="s">
        <v>448</v>
      </c>
      <c r="B1461" s="117">
        <v>2004</v>
      </c>
      <c r="C1461" s="117" t="s">
        <v>449</v>
      </c>
      <c r="D1461" s="117" t="s">
        <v>3473</v>
      </c>
      <c r="E1461" s="452" t="s">
        <v>220</v>
      </c>
      <c r="F1461" s="117"/>
      <c r="G1461" s="120" t="s">
        <v>24</v>
      </c>
      <c r="H1461" s="117" t="str">
        <f t="shared" si="251"/>
        <v>yes</v>
      </c>
      <c r="I1461" s="117" t="str">
        <f t="shared" si="243"/>
        <v>no</v>
      </c>
      <c r="J1461" s="117" t="str">
        <f t="shared" si="244"/>
        <v>no</v>
      </c>
      <c r="K1461" s="117" t="s">
        <v>2058</v>
      </c>
      <c r="L1461" s="117" t="str">
        <f t="shared" si="252"/>
        <v>detailed</v>
      </c>
      <c r="M1461" s="117" t="str">
        <f t="shared" si="245"/>
        <v>detailed Mining</v>
      </c>
      <c r="N1461" s="179">
        <v>1209006</v>
      </c>
      <c r="O1461" s="179"/>
      <c r="P1461" s="179"/>
      <c r="Q1461" s="179"/>
      <c r="R1461" s="179"/>
      <c r="S1461" s="117" t="s">
        <v>610</v>
      </c>
      <c r="T1461" s="119"/>
      <c r="U1461" s="117"/>
      <c r="V1461" s="117" t="s">
        <v>1146</v>
      </c>
      <c r="W1461" s="89"/>
      <c r="X1461" s="117"/>
      <c r="AA1461" s="89"/>
      <c r="AB1461" s="89"/>
      <c r="AC1461" s="240"/>
      <c r="AD1461" s="240"/>
      <c r="AE1461" s="240"/>
      <c r="AF1461" s="241"/>
      <c r="AH1461" s="124"/>
      <c r="AI1461" s="117"/>
      <c r="AJ1461" s="117"/>
      <c r="AK1461" s="89"/>
      <c r="AL1461" s="117"/>
      <c r="AM1461" s="117"/>
      <c r="AN1461" s="117"/>
      <c r="AO1461" s="117"/>
      <c r="AP1461" s="117"/>
      <c r="AQ1461" s="117"/>
      <c r="AR1461" s="117"/>
      <c r="AS1461" s="117"/>
      <c r="AT1461" s="117"/>
      <c r="AU1461" s="117"/>
      <c r="AV1461" s="128"/>
      <c r="AW1461" s="117">
        <f>VLOOKUP($D1461,'WB Data'!$C$3:$M$578,2,FALSE)</f>
        <v>66730306799.531067</v>
      </c>
      <c r="AX1461" s="117">
        <f>VLOOKUP($D1461,'WB Data'!$C$3:$M$578,3,FALSE)</f>
        <v>27403845</v>
      </c>
      <c r="AY1461" s="847">
        <f t="shared" si="247"/>
        <v>1.3251302997227456E-2</v>
      </c>
      <c r="AZ1461" s="117">
        <f>VLOOKUP($D1461,'WB Data'!$C$3:$M$578,4,FALSE)/100</f>
        <v>0.17222963965305593</v>
      </c>
      <c r="BA1461" s="117">
        <f t="shared" si="248"/>
        <v>11492936694.021103</v>
      </c>
      <c r="BB1461" s="129">
        <f>IFERROR(VLOOKUP($D1461,'EITI Revenues'!$C$2:$G$224,5,FALSE),"..")</f>
        <v>884263514.49853373</v>
      </c>
      <c r="BC1461" s="846">
        <f t="shared" si="249"/>
        <v>7.6939735947431823E-2</v>
      </c>
      <c r="BD1461" s="129">
        <f>VLOOKUP($D1461,'WB Data 2'!$C$2:$K$545,6,FALSE)</f>
        <v>7023518729.961482</v>
      </c>
      <c r="BE1461" s="129">
        <f>IFERROR(VLOOKUP($D1461,UNCTAD!$C$5:$V$529,4,FALSE),"..")</f>
        <v>14802480000</v>
      </c>
      <c r="BF1461" s="846">
        <f t="shared" si="250"/>
        <v>0.47448256845889891</v>
      </c>
      <c r="BG1461" s="117">
        <f>VLOOKUP($D1461,'WB Data'!$C$3:$M$578,5,FALSE)</f>
        <v>463450000</v>
      </c>
      <c r="BH1461" s="129">
        <f>IFERROR($BB1461/$BG1461,"..")</f>
        <v>1.9080019732409834</v>
      </c>
      <c r="BI1461" s="117">
        <f>IFERROR(VLOOKUP($D1461,'WB Data'!$C$3:$M$578,7,FALSE)/100,"..")</f>
        <v>2.83396E-2</v>
      </c>
      <c r="BJ1461" s="117">
        <f>IFERROR($BI1461*$AW1461,"..")</f>
        <v>1891110202.5759907</v>
      </c>
      <c r="BK1461" s="846">
        <f>IFERROR($BB1461/$BJ1461,"..")</f>
        <v>0.46758962713755509</v>
      </c>
      <c r="BL1461" s="117">
        <f>IFERROR(VLOOKUP($D1461,'WB Data'!$C$3:$M$578,7,FALSE)/100,"..")</f>
        <v>2.83396E-2</v>
      </c>
      <c r="BM1461" s="117">
        <f>IFERROR($AW1461*$BL1461,"..")</f>
        <v>1891110202.5759907</v>
      </c>
      <c r="BN1461" s="846">
        <f>IFERROR($BB1461/$BM1461,"..")</f>
        <v>0.46758962713755509</v>
      </c>
      <c r="BO1461" s="801">
        <f t="shared" si="246"/>
        <v>38</v>
      </c>
      <c r="BP1461" s="117">
        <f>VLOOKUP($D1461,'WB Data'!$C$3:$M$578,9,FALSE)</f>
        <v>58.7</v>
      </c>
      <c r="BQ1461" s="117">
        <f>VLOOKUP($D1461,'WB Data'!$C$3:$M$578,10,FALSE)</f>
        <v>72.096804878048786</v>
      </c>
      <c r="BR1461" s="117">
        <f>VLOOKUP($D1461,'WB Data'!$C$3:$M$578,11,FALSE)</f>
        <v>23</v>
      </c>
      <c r="BS1461" s="129">
        <f>IFERROR(VLOOKUP($D1461,'WB Data 2'!$C$2:$K$545,9,FALSE),"..")</f>
        <v>99.634069999999994</v>
      </c>
      <c r="BT1461" s="129">
        <f>_xlfn.IFNA(VLOOKUP($C1461,RGI!$A$2:$C$43,2,FALSE),"..")</f>
        <v>76.8</v>
      </c>
      <c r="BU1461" s="129">
        <f>_xlfn.IFNA(VLOOKUP($C1461,RGI!$A$2:$C$43,3,FALSE),"..")</f>
        <v>72.816147461462435</v>
      </c>
      <c r="BV1461" s="129">
        <f>VLOOKUP($D1461,WGI!$C$2:$O$478,7,FALSE)</f>
        <v>-0.14663028957413399</v>
      </c>
      <c r="BW1461" s="129">
        <f>VLOOKUP($D1461,WGI!$C$2:$O$478,4,FALSE)</f>
        <v>-1.00309654857232</v>
      </c>
      <c r="BX1461" s="129">
        <f>VLOOKUP($D1461,WGI!$C$2:$O$478,3,FALSE)</f>
        <v>-0.46854602636037601</v>
      </c>
      <c r="BY1461" s="129">
        <f>VLOOKUP($D1461,WGI!$C$2:$O$478,5,FALSE)</f>
        <v>0.23233413649883</v>
      </c>
      <c r="BZ1461" s="129">
        <f>VLOOKUP($D1461,WGI!$C$2:$O$478,2,FALSE)</f>
        <v>-0.35116899578167798</v>
      </c>
      <c r="CB1461" s="129"/>
    </row>
    <row r="1462" spans="1:80" s="158" customFormat="1" ht="15" customHeight="1">
      <c r="A1462" s="295" t="s">
        <v>448</v>
      </c>
      <c r="B1462" s="149">
        <v>2004</v>
      </c>
      <c r="C1462" s="149" t="s">
        <v>449</v>
      </c>
      <c r="D1462" s="117" t="s">
        <v>3473</v>
      </c>
      <c r="E1462" s="453" t="s">
        <v>220</v>
      </c>
      <c r="F1462" s="149"/>
      <c r="G1462" s="120" t="s">
        <v>24</v>
      </c>
      <c r="H1462" s="117" t="str">
        <f t="shared" si="251"/>
        <v>yes</v>
      </c>
      <c r="I1462" s="117" t="str">
        <f t="shared" si="243"/>
        <v>no</v>
      </c>
      <c r="J1462" s="117" t="str">
        <f t="shared" si="244"/>
        <v>no</v>
      </c>
      <c r="K1462" s="149" t="s">
        <v>1336</v>
      </c>
      <c r="L1462" s="117" t="str">
        <f t="shared" si="252"/>
        <v>detailed</v>
      </c>
      <c r="M1462" s="117" t="str">
        <f t="shared" si="245"/>
        <v>detailed Mining</v>
      </c>
      <c r="N1462" s="216">
        <v>195692</v>
      </c>
      <c r="O1462" s="216"/>
      <c r="P1462" s="216"/>
      <c r="Q1462" s="216"/>
      <c r="R1462" s="216"/>
      <c r="S1462" s="149" t="s">
        <v>610</v>
      </c>
      <c r="T1462" s="151"/>
      <c r="U1462" s="149"/>
      <c r="V1462" s="149" t="s">
        <v>1146</v>
      </c>
      <c r="W1462" s="152"/>
      <c r="X1462" s="149"/>
      <c r="AA1462" s="152"/>
      <c r="AB1462" s="152"/>
      <c r="AC1462" s="288"/>
      <c r="AD1462" s="288"/>
      <c r="AE1462" s="240"/>
      <c r="AF1462" s="241"/>
      <c r="AH1462" s="156"/>
      <c r="AI1462" s="149"/>
      <c r="AJ1462" s="149"/>
      <c r="AK1462" s="152"/>
      <c r="AL1462" s="149"/>
      <c r="AM1462" s="149"/>
      <c r="AN1462" s="149"/>
      <c r="AO1462" s="149"/>
      <c r="AP1462" s="149"/>
      <c r="AQ1462" s="149"/>
      <c r="AR1462" s="149"/>
      <c r="AS1462" s="149"/>
      <c r="AT1462" s="149"/>
      <c r="AU1462" s="149"/>
      <c r="AV1462" s="157"/>
      <c r="AW1462" s="117">
        <f>VLOOKUP($D1462,'WB Data'!$C$3:$M$578,2,FALSE)</f>
        <v>66730306799.531067</v>
      </c>
      <c r="AX1462" s="117">
        <f>VLOOKUP($D1462,'WB Data'!$C$3:$M$578,3,FALSE)</f>
        <v>27403845</v>
      </c>
      <c r="AY1462" s="847">
        <f t="shared" si="247"/>
        <v>1.3251302997227456E-2</v>
      </c>
      <c r="AZ1462" s="117">
        <f>VLOOKUP($D1462,'WB Data'!$C$3:$M$578,4,FALSE)/100</f>
        <v>0.17222963965305593</v>
      </c>
      <c r="BA1462" s="117">
        <f t="shared" si="248"/>
        <v>11492936694.021103</v>
      </c>
      <c r="BB1462" s="129">
        <f>IFERROR(VLOOKUP($D1462,'EITI Revenues'!$C$2:$G$224,5,FALSE),"..")</f>
        <v>884263514.49853373</v>
      </c>
      <c r="BC1462" s="846">
        <f t="shared" si="249"/>
        <v>7.6939735947431823E-2</v>
      </c>
      <c r="BD1462" s="129">
        <f>VLOOKUP($D1462,'WB Data 2'!$C$2:$K$545,6,FALSE)</f>
        <v>7023518729.961482</v>
      </c>
      <c r="BE1462" s="129">
        <f>IFERROR(VLOOKUP($D1462,UNCTAD!$C$5:$V$529,4,FALSE),"..")</f>
        <v>14802480000</v>
      </c>
      <c r="BF1462" s="846">
        <f t="shared" si="250"/>
        <v>0.47448256845889891</v>
      </c>
      <c r="BG1462" s="117">
        <f>VLOOKUP($D1462,'WB Data'!$C$3:$M$578,5,FALSE)</f>
        <v>463450000</v>
      </c>
      <c r="BH1462" s="129">
        <f>IFERROR($BB1462/$BG1462,"..")</f>
        <v>1.9080019732409834</v>
      </c>
      <c r="BI1462" s="117">
        <f>IFERROR(VLOOKUP($D1462,'WB Data'!$C$3:$M$578,7,FALSE)/100,"..")</f>
        <v>2.83396E-2</v>
      </c>
      <c r="BJ1462" s="117">
        <f>IFERROR($BI1462*$AW1462,"..")</f>
        <v>1891110202.5759907</v>
      </c>
      <c r="BK1462" s="846">
        <f>IFERROR($BB1462/$BJ1462,"..")</f>
        <v>0.46758962713755509</v>
      </c>
      <c r="BL1462" s="117">
        <f>IFERROR(VLOOKUP($D1462,'WB Data'!$C$3:$M$578,7,FALSE)/100,"..")</f>
        <v>2.83396E-2</v>
      </c>
      <c r="BM1462" s="117">
        <f>IFERROR($AW1462*$BL1462,"..")</f>
        <v>1891110202.5759907</v>
      </c>
      <c r="BN1462" s="846">
        <f>IFERROR($BB1462/$BM1462,"..")</f>
        <v>0.46758962713755509</v>
      </c>
      <c r="BO1462" s="801">
        <f t="shared" si="246"/>
        <v>38</v>
      </c>
      <c r="BP1462" s="117">
        <f>VLOOKUP($D1462,'WB Data'!$C$3:$M$578,9,FALSE)</f>
        <v>58.7</v>
      </c>
      <c r="BQ1462" s="117">
        <f>VLOOKUP($D1462,'WB Data'!$C$3:$M$578,10,FALSE)</f>
        <v>72.096804878048786</v>
      </c>
      <c r="BR1462" s="117">
        <f>VLOOKUP($D1462,'WB Data'!$C$3:$M$578,11,FALSE)</f>
        <v>23</v>
      </c>
      <c r="BS1462" s="129">
        <f>IFERROR(VLOOKUP($D1462,'WB Data 2'!$C$2:$K$545,9,FALSE),"..")</f>
        <v>99.634069999999994</v>
      </c>
      <c r="BT1462" s="129">
        <f>_xlfn.IFNA(VLOOKUP($C1462,RGI!$A$2:$C$43,2,FALSE),"..")</f>
        <v>76.8</v>
      </c>
      <c r="BU1462" s="129">
        <f>_xlfn.IFNA(VLOOKUP($C1462,RGI!$A$2:$C$43,3,FALSE),"..")</f>
        <v>72.816147461462435</v>
      </c>
      <c r="BV1462" s="129">
        <f>VLOOKUP($D1462,WGI!$C$2:$O$478,7,FALSE)</f>
        <v>-0.14663028957413399</v>
      </c>
      <c r="BW1462" s="129">
        <f>VLOOKUP($D1462,WGI!$C$2:$O$478,4,FALSE)</f>
        <v>-1.00309654857232</v>
      </c>
      <c r="BX1462" s="129">
        <f>VLOOKUP($D1462,WGI!$C$2:$O$478,3,FALSE)</f>
        <v>-0.46854602636037601</v>
      </c>
      <c r="BY1462" s="129">
        <f>VLOOKUP($D1462,WGI!$C$2:$O$478,5,FALSE)</f>
        <v>0.23233413649883</v>
      </c>
      <c r="BZ1462" s="129">
        <f>VLOOKUP($D1462,WGI!$C$2:$O$478,2,FALSE)</f>
        <v>-0.35116899578167798</v>
      </c>
      <c r="CB1462" s="129"/>
    </row>
    <row r="1463" spans="1:80" ht="15" customHeight="1">
      <c r="A1463" s="296" t="s">
        <v>451</v>
      </c>
      <c r="B1463" s="132">
        <v>2005</v>
      </c>
      <c r="C1463" s="132" t="s">
        <v>449</v>
      </c>
      <c r="D1463" s="117" t="s">
        <v>3507</v>
      </c>
      <c r="E1463" s="450" t="s">
        <v>220</v>
      </c>
      <c r="F1463" s="132" t="s">
        <v>2019</v>
      </c>
      <c r="G1463" s="132" t="s">
        <v>35</v>
      </c>
      <c r="H1463" s="117" t="str">
        <f t="shared" si="251"/>
        <v>yes</v>
      </c>
      <c r="I1463" s="117" t="str">
        <f t="shared" si="243"/>
        <v>yes</v>
      </c>
      <c r="J1463" s="117" t="str">
        <f t="shared" si="244"/>
        <v>yes</v>
      </c>
      <c r="K1463" s="117" t="s">
        <v>709</v>
      </c>
      <c r="L1463" s="117" t="str">
        <f t="shared" si="252"/>
        <v>Total</v>
      </c>
      <c r="M1463" s="117" t="str">
        <f t="shared" si="245"/>
        <v>Total Oil, Gas, Mining</v>
      </c>
      <c r="N1463" s="179"/>
      <c r="O1463" s="179"/>
      <c r="P1463" s="179"/>
      <c r="Q1463" s="179"/>
      <c r="R1463" s="179"/>
      <c r="S1463" s="117"/>
      <c r="T1463" s="119"/>
      <c r="U1463" s="117"/>
      <c r="V1463" s="117"/>
      <c r="W1463" s="89">
        <f>W1464+W1467</f>
        <v>21170972454.372276</v>
      </c>
      <c r="X1463" s="117" t="s">
        <v>2020</v>
      </c>
      <c r="Y1463" s="117" t="s">
        <v>602</v>
      </c>
      <c r="Z1463" s="117" t="s">
        <v>603</v>
      </c>
      <c r="AA1463" s="89">
        <v>1756747244.267477</v>
      </c>
      <c r="AB1463" s="89">
        <v>1755425838.3039513</v>
      </c>
      <c r="AC1463" s="240"/>
      <c r="AD1463" s="240"/>
      <c r="AE1463" s="600"/>
      <c r="AF1463" s="600">
        <f>AA1463/(((W1465*0.41)+(W1466*0.71))+W1467)</f>
        <v>8.6123198806761184E-2</v>
      </c>
      <c r="AG1463" s="117" t="s">
        <v>2021</v>
      </c>
      <c r="AH1463" s="124">
        <v>3.29</v>
      </c>
      <c r="AI1463" s="117" t="s">
        <v>667</v>
      </c>
      <c r="AJ1463" s="117"/>
      <c r="AK1463" s="89"/>
      <c r="AL1463" s="117"/>
      <c r="AM1463" s="117"/>
      <c r="AN1463" s="117">
        <v>33</v>
      </c>
      <c r="AO1463" s="117" t="s">
        <v>2022</v>
      </c>
      <c r="AP1463" s="117">
        <v>33</v>
      </c>
      <c r="AQ1463" s="117" t="s">
        <v>368</v>
      </c>
      <c r="AR1463" s="126">
        <v>41898</v>
      </c>
      <c r="AS1463" s="117" t="s">
        <v>1382</v>
      </c>
      <c r="AT1463" s="117" t="s">
        <v>450</v>
      </c>
      <c r="AU1463" s="117" t="s">
        <v>2023</v>
      </c>
      <c r="AV1463" s="128" t="s">
        <v>2059</v>
      </c>
      <c r="AW1463" s="117">
        <f>VLOOKUP($D1463,'WB Data'!$C$3:$M$578,2,FALSE)</f>
        <v>74963815412.621368</v>
      </c>
      <c r="AX1463" s="117">
        <f>VLOOKUP($D1463,'WB Data'!$C$3:$M$578,3,FALSE)</f>
        <v>27723281</v>
      </c>
      <c r="AY1463" s="847">
        <f t="shared" si="247"/>
        <v>2.3434602876039049E-2</v>
      </c>
      <c r="AZ1463" s="117">
        <f>VLOOKUP($D1463,'WB Data'!$C$3:$M$578,4,FALSE)/100</f>
        <v>0.18666934873736063</v>
      </c>
      <c r="BA1463" s="117">
        <f t="shared" si="248"/>
        <v>13993446601.941748</v>
      </c>
      <c r="BB1463" s="129">
        <f>IFERROR(VLOOKUP($D1463,'EITI Revenues'!$C$2:$G$224,5,FALSE),"..")</f>
        <v>1756747244.267477</v>
      </c>
      <c r="BC1463" s="846">
        <f t="shared" si="249"/>
        <v>0.12554071160879754</v>
      </c>
      <c r="BD1463" s="129">
        <f>VLOOKUP($D1463,'WB Data 2'!$C$2:$K$545,6,FALSE)</f>
        <v>10433642919.64677</v>
      </c>
      <c r="BE1463" s="129">
        <f>IFERROR(VLOOKUP($D1463,UNCTAD!$C$5:$V$529,4,FALSE),"..")</f>
        <v>19656900000</v>
      </c>
      <c r="BF1463" s="846">
        <f t="shared" si="250"/>
        <v>0.53078781087794979</v>
      </c>
      <c r="BG1463" s="117">
        <f>VLOOKUP($D1463,'WB Data'!$C$3:$M$578,5,FALSE)</f>
        <v>450480000</v>
      </c>
      <c r="BH1463" s="129">
        <f>IFERROR($BB1463/$BG1463,"..")</f>
        <v>3.8997230604410342</v>
      </c>
      <c r="BI1463" s="117">
        <f>IFERROR(VLOOKUP($D1463,'WB Data'!$C$3:$M$578,7,FALSE)/100,"..")</f>
        <v>2.7207200000000001E-2</v>
      </c>
      <c r="BJ1463" s="117">
        <f>IFERROR($BI1463*$AW1463,"..")</f>
        <v>2039555518.694272</v>
      </c>
      <c r="BK1463" s="846">
        <f>IFERROR($BB1463/$BJ1463,"..")</f>
        <v>0.86133828089766862</v>
      </c>
      <c r="BL1463" s="117">
        <f>IFERROR(VLOOKUP($D1463,'WB Data'!$C$3:$M$578,7,FALSE)/100,"..")</f>
        <v>2.7207200000000001E-2</v>
      </c>
      <c r="BM1463" s="117">
        <f>IFERROR($AW1463*$BL1463,"..")</f>
        <v>2039555518.694272</v>
      </c>
      <c r="BN1463" s="846">
        <f>IFERROR($BB1463/$BM1463,"..")</f>
        <v>0.86133828089766862</v>
      </c>
      <c r="BO1463" s="801">
        <f t="shared" si="246"/>
        <v>38</v>
      </c>
      <c r="BP1463" s="117">
        <f>VLOOKUP($D1463,'WB Data'!$C$3:$M$578,9,FALSE)</f>
        <v>55.6</v>
      </c>
      <c r="BQ1463" s="117">
        <f>VLOOKUP($D1463,'WB Data'!$C$3:$M$578,10,FALSE)</f>
        <v>72.418609756097567</v>
      </c>
      <c r="BR1463" s="117">
        <f>VLOOKUP($D1463,'WB Data'!$C$3:$M$578,11,FALSE)</f>
        <v>21.5</v>
      </c>
      <c r="BS1463" s="129">
        <f>IFERROR(VLOOKUP($D1463,'WB Data 2'!$C$2:$K$545,9,FALSE),"..")</f>
        <v>99.638220000000004</v>
      </c>
      <c r="BT1463" s="129">
        <f>_xlfn.IFNA(VLOOKUP($C1463,RGI!$A$2:$C$43,2,FALSE),"..")</f>
        <v>76.8</v>
      </c>
      <c r="BU1463" s="129">
        <f>_xlfn.IFNA(VLOOKUP($C1463,RGI!$A$2:$C$43,3,FALSE),"..")</f>
        <v>72.816147461462435</v>
      </c>
      <c r="BV1463" s="129">
        <f>VLOOKUP($D1463,WGI!$C$2:$O$478,7,FALSE)</f>
        <v>-1.8341252380880701E-2</v>
      </c>
      <c r="BW1463" s="129">
        <f>VLOOKUP($D1463,WGI!$C$2:$O$478,4,FALSE)</f>
        <v>-0.97676687745370405</v>
      </c>
      <c r="BX1463" s="129">
        <f>VLOOKUP($D1463,WGI!$C$2:$O$478,3,FALSE)</f>
        <v>-0.60044293542902905</v>
      </c>
      <c r="BY1463" s="129">
        <f>VLOOKUP($D1463,WGI!$C$2:$O$478,5,FALSE)</f>
        <v>8.1359403889796206E-2</v>
      </c>
      <c r="BZ1463" s="129">
        <f>VLOOKUP($D1463,WGI!$C$2:$O$478,2,FALSE)</f>
        <v>-0.36012924757922499</v>
      </c>
    </row>
    <row r="1464" spans="1:80" ht="15" customHeight="1">
      <c r="A1464" s="294" t="s">
        <v>451</v>
      </c>
      <c r="B1464" s="117">
        <v>2005</v>
      </c>
      <c r="C1464" s="117" t="s">
        <v>449</v>
      </c>
      <c r="D1464" s="117" t="s">
        <v>3507</v>
      </c>
      <c r="E1464" s="452" t="s">
        <v>220</v>
      </c>
      <c r="F1464" s="117"/>
      <c r="G1464" s="120" t="s">
        <v>55</v>
      </c>
      <c r="H1464" s="117" t="str">
        <f t="shared" si="251"/>
        <v>no</v>
      </c>
      <c r="I1464" s="117" t="str">
        <f t="shared" si="243"/>
        <v>yes</v>
      </c>
      <c r="J1464" s="117" t="str">
        <f t="shared" si="244"/>
        <v>yes</v>
      </c>
      <c r="K1464" s="117" t="s">
        <v>640</v>
      </c>
      <c r="L1464" s="117" t="str">
        <f t="shared" si="252"/>
        <v>Total</v>
      </c>
      <c r="M1464" s="117" t="str">
        <f t="shared" si="245"/>
        <v>Total Oil, Gas</v>
      </c>
      <c r="N1464" s="179"/>
      <c r="O1464" s="179"/>
      <c r="P1464" s="179"/>
      <c r="Q1464" s="179"/>
      <c r="R1464" s="179"/>
      <c r="S1464" s="117"/>
      <c r="T1464" s="119"/>
      <c r="U1464" s="117"/>
      <c r="V1464" s="117"/>
      <c r="W1464" s="89">
        <f>SUM(W1465:W1466)</f>
        <v>2232710200</v>
      </c>
      <c r="X1464" s="117"/>
      <c r="Y1464" s="117"/>
      <c r="Z1464" s="117"/>
      <c r="AA1464" s="89">
        <v>497838775.45592701</v>
      </c>
      <c r="AB1464" s="89">
        <v>497895241.45592701</v>
      </c>
      <c r="AC1464" s="240"/>
      <c r="AD1464" s="240"/>
      <c r="AE1464" s="240"/>
      <c r="AF1464" s="241">
        <f>AA1464/((W1465*0.41)+(W1466*0.71))</f>
        <v>0.34102981006411381</v>
      </c>
      <c r="AG1464" s="117"/>
      <c r="AH1464" s="124"/>
      <c r="AI1464" s="117"/>
      <c r="AJ1464" s="117"/>
      <c r="AK1464" s="89"/>
      <c r="AL1464" s="117"/>
      <c r="AM1464" s="117"/>
      <c r="AN1464" s="117">
        <v>9</v>
      </c>
      <c r="AO1464" s="117" t="s">
        <v>2025</v>
      </c>
      <c r="AP1464" s="117">
        <v>9</v>
      </c>
      <c r="AQ1464" s="117"/>
      <c r="AR1464" s="117"/>
      <c r="AS1464" s="117"/>
      <c r="AT1464" s="117"/>
      <c r="AU1464" s="117"/>
      <c r="AV1464" s="128"/>
      <c r="AW1464" s="117">
        <f>VLOOKUP($D1464,'WB Data'!$C$3:$M$578,2,FALSE)</f>
        <v>74963815412.621368</v>
      </c>
      <c r="AX1464" s="117">
        <f>VLOOKUP($D1464,'WB Data'!$C$3:$M$578,3,FALSE)</f>
        <v>27723281</v>
      </c>
      <c r="AY1464" s="847">
        <f t="shared" si="247"/>
        <v>2.3434602876039049E-2</v>
      </c>
      <c r="AZ1464" s="117">
        <f>VLOOKUP($D1464,'WB Data'!$C$3:$M$578,4,FALSE)/100</f>
        <v>0.18666934873736063</v>
      </c>
      <c r="BA1464" s="117">
        <f t="shared" si="248"/>
        <v>13993446601.941748</v>
      </c>
      <c r="BB1464" s="129">
        <f>IFERROR(VLOOKUP($D1464,'EITI Revenues'!$C$2:$G$224,5,FALSE),"..")</f>
        <v>1756747244.267477</v>
      </c>
      <c r="BC1464" s="846">
        <f t="shared" si="249"/>
        <v>0.12554071160879754</v>
      </c>
      <c r="BD1464" s="129">
        <f>VLOOKUP($D1464,'WB Data 2'!$C$2:$K$545,6,FALSE)</f>
        <v>10433642919.64677</v>
      </c>
      <c r="BE1464" s="129">
        <f>IFERROR(VLOOKUP($D1464,UNCTAD!$C$5:$V$529,4,FALSE),"..")</f>
        <v>19656900000</v>
      </c>
      <c r="BF1464" s="846">
        <f t="shared" si="250"/>
        <v>0.53078781087794979</v>
      </c>
      <c r="BG1464" s="117">
        <f>VLOOKUP($D1464,'WB Data'!$C$3:$M$578,5,FALSE)</f>
        <v>450480000</v>
      </c>
      <c r="BH1464" s="129">
        <f>IFERROR($BB1464/$BG1464,"..")</f>
        <v>3.8997230604410342</v>
      </c>
      <c r="BI1464" s="117">
        <f>IFERROR(VLOOKUP($D1464,'WB Data'!$C$3:$M$578,7,FALSE)/100,"..")</f>
        <v>2.7207200000000001E-2</v>
      </c>
      <c r="BJ1464" s="117">
        <f>IFERROR($BI1464*$AW1464,"..")</f>
        <v>2039555518.694272</v>
      </c>
      <c r="BK1464" s="846">
        <f>IFERROR($BB1464/$BJ1464,"..")</f>
        <v>0.86133828089766862</v>
      </c>
      <c r="BL1464" s="117">
        <f>IFERROR(VLOOKUP($D1464,'WB Data'!$C$3:$M$578,7,FALSE)/100,"..")</f>
        <v>2.7207200000000001E-2</v>
      </c>
      <c r="BM1464" s="117">
        <f>IFERROR($AW1464*$BL1464,"..")</f>
        <v>2039555518.694272</v>
      </c>
      <c r="BN1464" s="846">
        <f>IFERROR($BB1464/$BM1464,"..")</f>
        <v>0.86133828089766862</v>
      </c>
      <c r="BO1464" s="801">
        <f t="shared" si="246"/>
        <v>38</v>
      </c>
      <c r="BP1464" s="117">
        <f>VLOOKUP($D1464,'WB Data'!$C$3:$M$578,9,FALSE)</f>
        <v>55.6</v>
      </c>
      <c r="BQ1464" s="117">
        <f>VLOOKUP($D1464,'WB Data'!$C$3:$M$578,10,FALSE)</f>
        <v>72.418609756097567</v>
      </c>
      <c r="BR1464" s="117">
        <f>VLOOKUP($D1464,'WB Data'!$C$3:$M$578,11,FALSE)</f>
        <v>21.5</v>
      </c>
      <c r="BS1464" s="129">
        <f>IFERROR(VLOOKUP($D1464,'WB Data 2'!$C$2:$K$545,9,FALSE),"..")</f>
        <v>99.638220000000004</v>
      </c>
      <c r="BT1464" s="129">
        <f>_xlfn.IFNA(VLOOKUP($C1464,RGI!$A$2:$C$43,2,FALSE),"..")</f>
        <v>76.8</v>
      </c>
      <c r="BU1464" s="129">
        <f>_xlfn.IFNA(VLOOKUP($C1464,RGI!$A$2:$C$43,3,FALSE),"..")</f>
        <v>72.816147461462435</v>
      </c>
      <c r="BV1464" s="129">
        <f>VLOOKUP($D1464,WGI!$C$2:$O$478,7,FALSE)</f>
        <v>-1.8341252380880701E-2</v>
      </c>
      <c r="BW1464" s="129">
        <f>VLOOKUP($D1464,WGI!$C$2:$O$478,4,FALSE)</f>
        <v>-0.97676687745370405</v>
      </c>
      <c r="BX1464" s="129">
        <f>VLOOKUP($D1464,WGI!$C$2:$O$478,3,FALSE)</f>
        <v>-0.60044293542902905</v>
      </c>
      <c r="BY1464" s="129">
        <f>VLOOKUP($D1464,WGI!$C$2:$O$478,5,FALSE)</f>
        <v>8.1359403889796206E-2</v>
      </c>
      <c r="BZ1464" s="129">
        <f>VLOOKUP($D1464,WGI!$C$2:$O$478,2,FALSE)</f>
        <v>-0.36012924757922499</v>
      </c>
    </row>
    <row r="1465" spans="1:80" ht="15" customHeight="1">
      <c r="A1465" s="294" t="s">
        <v>451</v>
      </c>
      <c r="B1465" s="117">
        <v>2005</v>
      </c>
      <c r="C1465" s="117" t="s">
        <v>449</v>
      </c>
      <c r="D1465" s="117" t="s">
        <v>3507</v>
      </c>
      <c r="E1465" s="452" t="s">
        <v>220</v>
      </c>
      <c r="F1465" s="117"/>
      <c r="G1465" s="120" t="s">
        <v>561</v>
      </c>
      <c r="H1465" s="117" t="str">
        <f t="shared" si="251"/>
        <v>no</v>
      </c>
      <c r="I1465" s="117" t="str">
        <f t="shared" si="243"/>
        <v>yes</v>
      </c>
      <c r="J1465" s="117" t="str">
        <f t="shared" si="244"/>
        <v>no</v>
      </c>
      <c r="K1465" s="117" t="s">
        <v>561</v>
      </c>
      <c r="L1465" s="117" t="str">
        <f t="shared" si="252"/>
        <v>detailed</v>
      </c>
      <c r="M1465" s="117" t="str">
        <f t="shared" si="245"/>
        <v>detailed Gas</v>
      </c>
      <c r="N1465" s="179">
        <v>1500000000</v>
      </c>
      <c r="O1465" s="179"/>
      <c r="P1465" s="179"/>
      <c r="Q1465" s="179"/>
      <c r="R1465" s="179"/>
      <c r="S1465" s="117" t="s">
        <v>642</v>
      </c>
      <c r="T1465" s="119">
        <v>0.27869799999999995</v>
      </c>
      <c r="U1465" s="117" t="s">
        <v>643</v>
      </c>
      <c r="V1465" s="117" t="s">
        <v>738</v>
      </c>
      <c r="W1465" s="89">
        <f>N1465*T1465</f>
        <v>418046999.99999994</v>
      </c>
      <c r="X1465" s="117"/>
      <c r="Y1465" s="89"/>
      <c r="Z1465" s="89"/>
      <c r="AA1465" s="89"/>
      <c r="AB1465" s="89"/>
      <c r="AC1465" s="240" t="s">
        <v>2060</v>
      </c>
      <c r="AD1465" s="240"/>
      <c r="AE1465" s="240"/>
      <c r="AF1465" s="241"/>
      <c r="AG1465" s="89"/>
      <c r="AH1465" s="124"/>
      <c r="AI1465" s="117"/>
      <c r="AJ1465" s="117"/>
      <c r="AK1465" s="89"/>
      <c r="AL1465" s="117"/>
      <c r="AM1465" s="117"/>
      <c r="AN1465" s="117">
        <v>6</v>
      </c>
      <c r="AO1465" s="117" t="s">
        <v>2027</v>
      </c>
      <c r="AP1465" s="117">
        <v>6</v>
      </c>
      <c r="AQ1465" s="117"/>
      <c r="AR1465" s="117"/>
      <c r="AS1465" s="117"/>
      <c r="AT1465" s="117"/>
      <c r="AU1465" s="117"/>
      <c r="AV1465" s="128"/>
      <c r="AW1465" s="117">
        <f>VLOOKUP($D1465,'WB Data'!$C$3:$M$578,2,FALSE)</f>
        <v>74963815412.621368</v>
      </c>
      <c r="AX1465" s="117">
        <f>VLOOKUP($D1465,'WB Data'!$C$3:$M$578,3,FALSE)</f>
        <v>27723281</v>
      </c>
      <c r="AY1465" s="847">
        <f t="shared" si="247"/>
        <v>2.3434602876039049E-2</v>
      </c>
      <c r="AZ1465" s="117">
        <f>VLOOKUP($D1465,'WB Data'!$C$3:$M$578,4,FALSE)/100</f>
        <v>0.18666934873736063</v>
      </c>
      <c r="BA1465" s="117">
        <f t="shared" si="248"/>
        <v>13993446601.941748</v>
      </c>
      <c r="BB1465" s="129">
        <f>IFERROR(VLOOKUP($D1465,'EITI Revenues'!$C$2:$G$224,5,FALSE),"..")</f>
        <v>1756747244.267477</v>
      </c>
      <c r="BC1465" s="846">
        <f t="shared" si="249"/>
        <v>0.12554071160879754</v>
      </c>
      <c r="BD1465" s="129">
        <f>VLOOKUP($D1465,'WB Data 2'!$C$2:$K$545,6,FALSE)</f>
        <v>10433642919.64677</v>
      </c>
      <c r="BE1465" s="129">
        <f>IFERROR(VLOOKUP($D1465,UNCTAD!$C$5:$V$529,4,FALSE),"..")</f>
        <v>19656900000</v>
      </c>
      <c r="BF1465" s="846">
        <f t="shared" si="250"/>
        <v>0.53078781087794979</v>
      </c>
      <c r="BG1465" s="117">
        <f>VLOOKUP($D1465,'WB Data'!$C$3:$M$578,5,FALSE)</f>
        <v>450480000</v>
      </c>
      <c r="BH1465" s="129">
        <f>IFERROR($BB1465/$BG1465,"..")</f>
        <v>3.8997230604410342</v>
      </c>
      <c r="BI1465" s="117">
        <f>IFERROR(VLOOKUP($D1465,'WB Data'!$C$3:$M$578,7,FALSE)/100,"..")</f>
        <v>2.7207200000000001E-2</v>
      </c>
      <c r="BJ1465" s="117">
        <f>IFERROR($BI1465*$AW1465,"..")</f>
        <v>2039555518.694272</v>
      </c>
      <c r="BK1465" s="846">
        <f>IFERROR($BB1465/$BJ1465,"..")</f>
        <v>0.86133828089766862</v>
      </c>
      <c r="BL1465" s="117">
        <f>IFERROR(VLOOKUP($D1465,'WB Data'!$C$3:$M$578,7,FALSE)/100,"..")</f>
        <v>2.7207200000000001E-2</v>
      </c>
      <c r="BM1465" s="117">
        <f>IFERROR($AW1465*$BL1465,"..")</f>
        <v>2039555518.694272</v>
      </c>
      <c r="BN1465" s="846">
        <f>IFERROR($BB1465/$BM1465,"..")</f>
        <v>0.86133828089766862</v>
      </c>
      <c r="BO1465" s="801">
        <f t="shared" si="246"/>
        <v>38</v>
      </c>
      <c r="BP1465" s="117">
        <f>VLOOKUP($D1465,'WB Data'!$C$3:$M$578,9,FALSE)</f>
        <v>55.6</v>
      </c>
      <c r="BQ1465" s="117">
        <f>VLOOKUP($D1465,'WB Data'!$C$3:$M$578,10,FALSE)</f>
        <v>72.418609756097567</v>
      </c>
      <c r="BR1465" s="117">
        <f>VLOOKUP($D1465,'WB Data'!$C$3:$M$578,11,FALSE)</f>
        <v>21.5</v>
      </c>
      <c r="BS1465" s="129">
        <f>IFERROR(VLOOKUP($D1465,'WB Data 2'!$C$2:$K$545,9,FALSE),"..")</f>
        <v>99.638220000000004</v>
      </c>
      <c r="BT1465" s="129">
        <f>_xlfn.IFNA(VLOOKUP($C1465,RGI!$A$2:$C$43,2,FALSE),"..")</f>
        <v>76.8</v>
      </c>
      <c r="BU1465" s="129">
        <f>_xlfn.IFNA(VLOOKUP($C1465,RGI!$A$2:$C$43,3,FALSE),"..")</f>
        <v>72.816147461462435</v>
      </c>
      <c r="BV1465" s="129">
        <f>VLOOKUP($D1465,WGI!$C$2:$O$478,7,FALSE)</f>
        <v>-1.8341252380880701E-2</v>
      </c>
      <c r="BW1465" s="129">
        <f>VLOOKUP($D1465,WGI!$C$2:$O$478,4,FALSE)</f>
        <v>-0.97676687745370405</v>
      </c>
      <c r="BX1465" s="129">
        <f>VLOOKUP($D1465,WGI!$C$2:$O$478,3,FALSE)</f>
        <v>-0.60044293542902905</v>
      </c>
      <c r="BY1465" s="129">
        <f>VLOOKUP($D1465,WGI!$C$2:$O$478,5,FALSE)</f>
        <v>8.1359403889796206E-2</v>
      </c>
      <c r="BZ1465" s="129">
        <f>VLOOKUP($D1465,WGI!$C$2:$O$478,2,FALSE)</f>
        <v>-0.36012924757922499</v>
      </c>
    </row>
    <row r="1466" spans="1:80" ht="15" customHeight="1">
      <c r="A1466" s="294" t="s">
        <v>451</v>
      </c>
      <c r="B1466" s="117">
        <v>2005</v>
      </c>
      <c r="C1466" s="117" t="s">
        <v>449</v>
      </c>
      <c r="D1466" s="117" t="s">
        <v>3507</v>
      </c>
      <c r="E1466" s="452" t="s">
        <v>220</v>
      </c>
      <c r="F1466" s="117"/>
      <c r="G1466" s="120" t="s">
        <v>103</v>
      </c>
      <c r="H1466" s="117" t="str">
        <f t="shared" si="251"/>
        <v>no</v>
      </c>
      <c r="I1466" s="117" t="str">
        <f t="shared" si="243"/>
        <v>no</v>
      </c>
      <c r="J1466" s="117" t="str">
        <f t="shared" si="244"/>
        <v>yes</v>
      </c>
      <c r="K1466" s="117" t="s">
        <v>103</v>
      </c>
      <c r="L1466" s="117" t="str">
        <f t="shared" si="252"/>
        <v>detailed</v>
      </c>
      <c r="M1466" s="117" t="str">
        <f t="shared" si="245"/>
        <v>detailed Oil</v>
      </c>
      <c r="N1466" s="179">
        <v>33580000</v>
      </c>
      <c r="O1466" s="179"/>
      <c r="P1466" s="179"/>
      <c r="Q1466" s="179"/>
      <c r="R1466" s="179"/>
      <c r="S1466" s="117" t="s">
        <v>646</v>
      </c>
      <c r="T1466" s="119">
        <v>54.04</v>
      </c>
      <c r="U1466" s="117" t="s">
        <v>673</v>
      </c>
      <c r="V1466" s="117" t="s">
        <v>740</v>
      </c>
      <c r="W1466" s="89">
        <f>N1466*T1466</f>
        <v>1814663200</v>
      </c>
      <c r="X1466" s="117"/>
      <c r="Y1466" s="89"/>
      <c r="Z1466" s="89"/>
      <c r="AA1466" s="89"/>
      <c r="AB1466" s="89"/>
      <c r="AC1466" s="240" t="s">
        <v>2061</v>
      </c>
      <c r="AD1466" s="240"/>
      <c r="AE1466" s="240"/>
      <c r="AF1466" s="241"/>
      <c r="AG1466" s="89"/>
      <c r="AH1466" s="124"/>
      <c r="AI1466" s="117"/>
      <c r="AJ1466" s="117"/>
      <c r="AK1466" s="89"/>
      <c r="AL1466" s="117"/>
      <c r="AM1466" s="117"/>
      <c r="AN1466" s="117">
        <v>8</v>
      </c>
      <c r="AO1466" s="117" t="s">
        <v>2029</v>
      </c>
      <c r="AP1466" s="117">
        <v>8</v>
      </c>
      <c r="AQ1466" s="117"/>
      <c r="AR1466" s="117"/>
      <c r="AS1466" s="117"/>
      <c r="AT1466" s="117"/>
      <c r="AU1466" s="117"/>
      <c r="AV1466" s="128"/>
      <c r="AW1466" s="117">
        <f>VLOOKUP($D1466,'WB Data'!$C$3:$M$578,2,FALSE)</f>
        <v>74963815412.621368</v>
      </c>
      <c r="AX1466" s="117">
        <f>VLOOKUP($D1466,'WB Data'!$C$3:$M$578,3,FALSE)</f>
        <v>27723281</v>
      </c>
      <c r="AY1466" s="847">
        <f t="shared" si="247"/>
        <v>2.3434602876039049E-2</v>
      </c>
      <c r="AZ1466" s="117">
        <f>VLOOKUP($D1466,'WB Data'!$C$3:$M$578,4,FALSE)/100</f>
        <v>0.18666934873736063</v>
      </c>
      <c r="BA1466" s="117">
        <f t="shared" si="248"/>
        <v>13993446601.941748</v>
      </c>
      <c r="BB1466" s="129">
        <f>IFERROR(VLOOKUP($D1466,'EITI Revenues'!$C$2:$G$224,5,FALSE),"..")</f>
        <v>1756747244.267477</v>
      </c>
      <c r="BC1466" s="846">
        <f t="shared" si="249"/>
        <v>0.12554071160879754</v>
      </c>
      <c r="BD1466" s="129">
        <f>VLOOKUP($D1466,'WB Data 2'!$C$2:$K$545,6,FALSE)</f>
        <v>10433642919.64677</v>
      </c>
      <c r="BE1466" s="129">
        <f>IFERROR(VLOOKUP($D1466,UNCTAD!$C$5:$V$529,4,FALSE),"..")</f>
        <v>19656900000</v>
      </c>
      <c r="BF1466" s="846">
        <f t="shared" si="250"/>
        <v>0.53078781087794979</v>
      </c>
      <c r="BG1466" s="117">
        <f>VLOOKUP($D1466,'WB Data'!$C$3:$M$578,5,FALSE)</f>
        <v>450480000</v>
      </c>
      <c r="BH1466" s="129">
        <f>IFERROR($BB1466/$BG1466,"..")</f>
        <v>3.8997230604410342</v>
      </c>
      <c r="BI1466" s="117">
        <f>IFERROR(VLOOKUP($D1466,'WB Data'!$C$3:$M$578,7,FALSE)/100,"..")</f>
        <v>2.7207200000000001E-2</v>
      </c>
      <c r="BJ1466" s="117">
        <f>IFERROR($BI1466*$AW1466,"..")</f>
        <v>2039555518.694272</v>
      </c>
      <c r="BK1466" s="846">
        <f>IFERROR($BB1466/$BJ1466,"..")</f>
        <v>0.86133828089766862</v>
      </c>
      <c r="BL1466" s="117">
        <f>IFERROR(VLOOKUP($D1466,'WB Data'!$C$3:$M$578,7,FALSE)/100,"..")</f>
        <v>2.7207200000000001E-2</v>
      </c>
      <c r="BM1466" s="117">
        <f>IFERROR($AW1466*$BL1466,"..")</f>
        <v>2039555518.694272</v>
      </c>
      <c r="BN1466" s="846">
        <f>IFERROR($BB1466/$BM1466,"..")</f>
        <v>0.86133828089766862</v>
      </c>
      <c r="BO1466" s="801">
        <f t="shared" si="246"/>
        <v>38</v>
      </c>
      <c r="BP1466" s="117">
        <f>VLOOKUP($D1466,'WB Data'!$C$3:$M$578,9,FALSE)</f>
        <v>55.6</v>
      </c>
      <c r="BQ1466" s="117">
        <f>VLOOKUP($D1466,'WB Data'!$C$3:$M$578,10,FALSE)</f>
        <v>72.418609756097567</v>
      </c>
      <c r="BR1466" s="117">
        <f>VLOOKUP($D1466,'WB Data'!$C$3:$M$578,11,FALSE)</f>
        <v>21.5</v>
      </c>
      <c r="BS1466" s="129">
        <f>IFERROR(VLOOKUP($D1466,'WB Data 2'!$C$2:$K$545,9,FALSE),"..")</f>
        <v>99.638220000000004</v>
      </c>
      <c r="BT1466" s="129">
        <f>_xlfn.IFNA(VLOOKUP($C1466,RGI!$A$2:$C$43,2,FALSE),"..")</f>
        <v>76.8</v>
      </c>
      <c r="BU1466" s="129">
        <f>_xlfn.IFNA(VLOOKUP($C1466,RGI!$A$2:$C$43,3,FALSE),"..")</f>
        <v>72.816147461462435</v>
      </c>
      <c r="BV1466" s="129">
        <f>VLOOKUP($D1466,WGI!$C$2:$O$478,7,FALSE)</f>
        <v>-1.8341252380880701E-2</v>
      </c>
      <c r="BW1466" s="129">
        <f>VLOOKUP($D1466,WGI!$C$2:$O$478,4,FALSE)</f>
        <v>-0.97676687745370405</v>
      </c>
      <c r="BX1466" s="129">
        <f>VLOOKUP($D1466,WGI!$C$2:$O$478,3,FALSE)</f>
        <v>-0.60044293542902905</v>
      </c>
      <c r="BY1466" s="129">
        <f>VLOOKUP($D1466,WGI!$C$2:$O$478,5,FALSE)</f>
        <v>8.1359403889796206E-2</v>
      </c>
      <c r="BZ1466" s="129">
        <f>VLOOKUP($D1466,WGI!$C$2:$O$478,2,FALSE)</f>
        <v>-0.36012924757922499</v>
      </c>
    </row>
    <row r="1467" spans="1:80" ht="15" customHeight="1">
      <c r="A1467" s="294" t="s">
        <v>451</v>
      </c>
      <c r="B1467" s="117">
        <v>2005</v>
      </c>
      <c r="C1467" s="117" t="s">
        <v>449</v>
      </c>
      <c r="D1467" s="117" t="s">
        <v>3507</v>
      </c>
      <c r="E1467" s="452" t="s">
        <v>220</v>
      </c>
      <c r="F1467" s="117"/>
      <c r="G1467" s="120" t="s">
        <v>24</v>
      </c>
      <c r="H1467" s="117" t="str">
        <f t="shared" si="251"/>
        <v>yes</v>
      </c>
      <c r="I1467" s="117" t="str">
        <f t="shared" ref="I1467:I1530" si="253">IF($G1467="Gas","yes",IF($G1467="Oil, Gas, Mining","yes",IF($G1467="Gas, Mining","yes",IF($G1467="Oil, Gas","yes",IF($G1467="Oil, Gas, Other","yes","no")))))</f>
        <v>no</v>
      </c>
      <c r="J1467" s="117" t="str">
        <f t="shared" ref="J1467:J1530" si="254">IF($G1467="Oil","yes",IF($G1467="Oil, Gas, Mining","yes",IF($G1467="Oil, Mining","yes",IF($G1467="Oil, Gas","yes",IF($G1467="Oil, Gas, Other","yes","no")))))</f>
        <v>no</v>
      </c>
      <c r="K1467" s="117" t="s">
        <v>600</v>
      </c>
      <c r="L1467" s="117" t="str">
        <f t="shared" si="252"/>
        <v>Total</v>
      </c>
      <c r="M1467" s="117" t="str">
        <f t="shared" ref="M1467:M1530" si="255">L1467&amp;" "&amp;G1467</f>
        <v>Total Mining</v>
      </c>
      <c r="N1467" s="179"/>
      <c r="O1467" s="179"/>
      <c r="P1467" s="179"/>
      <c r="Q1467" s="179"/>
      <c r="R1467" s="179"/>
      <c r="S1467" s="117"/>
      <c r="T1467" s="119"/>
      <c r="U1467" s="117"/>
      <c r="V1467" s="117"/>
      <c r="W1467" s="89">
        <f>SUM(W1468:W1490)</f>
        <v>18938262254.372276</v>
      </c>
      <c r="X1467" s="117"/>
      <c r="Y1467" s="89"/>
      <c r="Z1467" s="89"/>
      <c r="AA1467" s="89">
        <v>1258908468.8115501</v>
      </c>
      <c r="AB1467" s="89">
        <v>1257530596.8480244</v>
      </c>
      <c r="AC1467" s="240"/>
      <c r="AD1467" s="240"/>
      <c r="AE1467" s="240"/>
      <c r="AF1467" s="241">
        <f>AA1467/W1467</f>
        <v>6.647433919238846E-2</v>
      </c>
      <c r="AG1467" s="89"/>
      <c r="AH1467" s="124"/>
      <c r="AI1467" s="117"/>
      <c r="AJ1467" s="117"/>
      <c r="AK1467" s="89"/>
      <c r="AL1467" s="117"/>
      <c r="AM1467" s="117"/>
      <c r="AN1467" s="117">
        <v>24</v>
      </c>
      <c r="AO1467" s="117" t="s">
        <v>2030</v>
      </c>
      <c r="AP1467" s="117">
        <v>24</v>
      </c>
      <c r="AQ1467" s="117"/>
      <c r="AR1467" s="117"/>
      <c r="AS1467" s="117"/>
      <c r="AT1467" s="117"/>
      <c r="AU1467" s="117"/>
      <c r="AV1467" s="128"/>
      <c r="AW1467" s="117">
        <f>VLOOKUP($D1467,'WB Data'!$C$3:$M$578,2,FALSE)</f>
        <v>74963815412.621368</v>
      </c>
      <c r="AX1467" s="117">
        <f>VLOOKUP($D1467,'WB Data'!$C$3:$M$578,3,FALSE)</f>
        <v>27723281</v>
      </c>
      <c r="AY1467" s="847">
        <f t="shared" si="247"/>
        <v>2.3434602876039049E-2</v>
      </c>
      <c r="AZ1467" s="117">
        <f>VLOOKUP($D1467,'WB Data'!$C$3:$M$578,4,FALSE)/100</f>
        <v>0.18666934873736063</v>
      </c>
      <c r="BA1467" s="117">
        <f t="shared" si="248"/>
        <v>13993446601.941748</v>
      </c>
      <c r="BB1467" s="129">
        <f>IFERROR(VLOOKUP($D1467,'EITI Revenues'!$C$2:$G$224,5,FALSE),"..")</f>
        <v>1756747244.267477</v>
      </c>
      <c r="BC1467" s="846">
        <f t="shared" si="249"/>
        <v>0.12554071160879754</v>
      </c>
      <c r="BD1467" s="129">
        <f>VLOOKUP($D1467,'WB Data 2'!$C$2:$K$545,6,FALSE)</f>
        <v>10433642919.64677</v>
      </c>
      <c r="BE1467" s="129">
        <f>IFERROR(VLOOKUP($D1467,UNCTAD!$C$5:$V$529,4,FALSE),"..")</f>
        <v>19656900000</v>
      </c>
      <c r="BF1467" s="846">
        <f t="shared" si="250"/>
        <v>0.53078781087794979</v>
      </c>
      <c r="BG1467" s="117">
        <f>VLOOKUP($D1467,'WB Data'!$C$3:$M$578,5,FALSE)</f>
        <v>450480000</v>
      </c>
      <c r="BH1467" s="129">
        <f>IFERROR($BB1467/$BG1467,"..")</f>
        <v>3.8997230604410342</v>
      </c>
      <c r="BI1467" s="117">
        <f>IFERROR(VLOOKUP($D1467,'WB Data'!$C$3:$M$578,7,FALSE)/100,"..")</f>
        <v>2.7207200000000001E-2</v>
      </c>
      <c r="BJ1467" s="117">
        <f>IFERROR($BI1467*$AW1467,"..")</f>
        <v>2039555518.694272</v>
      </c>
      <c r="BK1467" s="846">
        <f>IFERROR($BB1467/$BJ1467,"..")</f>
        <v>0.86133828089766862</v>
      </c>
      <c r="BL1467" s="117">
        <f>IFERROR(VLOOKUP($D1467,'WB Data'!$C$3:$M$578,7,FALSE)/100,"..")</f>
        <v>2.7207200000000001E-2</v>
      </c>
      <c r="BM1467" s="117">
        <f>IFERROR($AW1467*$BL1467,"..")</f>
        <v>2039555518.694272</v>
      </c>
      <c r="BN1467" s="846">
        <f>IFERROR($BB1467/$BM1467,"..")</f>
        <v>0.86133828089766862</v>
      </c>
      <c r="BO1467" s="801">
        <f t="shared" si="246"/>
        <v>38</v>
      </c>
      <c r="BP1467" s="117">
        <f>VLOOKUP($D1467,'WB Data'!$C$3:$M$578,9,FALSE)</f>
        <v>55.6</v>
      </c>
      <c r="BQ1467" s="117">
        <f>VLOOKUP($D1467,'WB Data'!$C$3:$M$578,10,FALSE)</f>
        <v>72.418609756097567</v>
      </c>
      <c r="BR1467" s="117">
        <f>VLOOKUP($D1467,'WB Data'!$C$3:$M$578,11,FALSE)</f>
        <v>21.5</v>
      </c>
      <c r="BS1467" s="129">
        <f>IFERROR(VLOOKUP($D1467,'WB Data 2'!$C$2:$K$545,9,FALSE),"..")</f>
        <v>99.638220000000004</v>
      </c>
      <c r="BT1467" s="129">
        <f>_xlfn.IFNA(VLOOKUP($C1467,RGI!$A$2:$C$43,2,FALSE),"..")</f>
        <v>76.8</v>
      </c>
      <c r="BU1467" s="129">
        <f>_xlfn.IFNA(VLOOKUP($C1467,RGI!$A$2:$C$43,3,FALSE),"..")</f>
        <v>72.816147461462435</v>
      </c>
      <c r="BV1467" s="129">
        <f>VLOOKUP($D1467,WGI!$C$2:$O$478,7,FALSE)</f>
        <v>-1.8341252380880701E-2</v>
      </c>
      <c r="BW1467" s="129">
        <f>VLOOKUP($D1467,WGI!$C$2:$O$478,4,FALSE)</f>
        <v>-0.97676687745370405</v>
      </c>
      <c r="BX1467" s="129">
        <f>VLOOKUP($D1467,WGI!$C$2:$O$478,3,FALSE)</f>
        <v>-0.60044293542902905</v>
      </c>
      <c r="BY1467" s="129">
        <f>VLOOKUP($D1467,WGI!$C$2:$O$478,5,FALSE)</f>
        <v>8.1359403889796206E-2</v>
      </c>
      <c r="BZ1467" s="129">
        <f>VLOOKUP($D1467,WGI!$C$2:$O$478,2,FALSE)</f>
        <v>-0.36012924757922499</v>
      </c>
    </row>
    <row r="1468" spans="1:80" ht="15" customHeight="1">
      <c r="A1468" s="294" t="s">
        <v>451</v>
      </c>
      <c r="B1468" s="117">
        <v>2005</v>
      </c>
      <c r="C1468" s="117" t="s">
        <v>449</v>
      </c>
      <c r="D1468" s="117" t="s">
        <v>3507</v>
      </c>
      <c r="E1468" s="452" t="s">
        <v>220</v>
      </c>
      <c r="F1468" s="117"/>
      <c r="G1468" s="120" t="s">
        <v>24</v>
      </c>
      <c r="H1468" s="117" t="str">
        <f t="shared" si="251"/>
        <v>yes</v>
      </c>
      <c r="I1468" s="117" t="str">
        <f t="shared" si="253"/>
        <v>no</v>
      </c>
      <c r="J1468" s="117" t="str">
        <f t="shared" si="254"/>
        <v>no</v>
      </c>
      <c r="K1468" s="117" t="s">
        <v>2031</v>
      </c>
      <c r="L1468" s="117" t="str">
        <f t="shared" si="252"/>
        <v>detailed</v>
      </c>
      <c r="M1468" s="117" t="str">
        <f t="shared" si="255"/>
        <v>detailed Mining</v>
      </c>
      <c r="N1468" s="179">
        <v>600</v>
      </c>
      <c r="O1468" s="179"/>
      <c r="P1468" s="179"/>
      <c r="Q1468" s="179"/>
      <c r="R1468" s="179"/>
      <c r="S1468" s="117" t="s">
        <v>610</v>
      </c>
      <c r="T1468" s="119">
        <f>3.91/0.000453592</f>
        <v>8620.0814829185711</v>
      </c>
      <c r="U1468" s="120" t="s">
        <v>611</v>
      </c>
      <c r="V1468" s="120" t="s">
        <v>2032</v>
      </c>
      <c r="W1468" s="89">
        <f>N1468*T1468</f>
        <v>5172048.8897511428</v>
      </c>
      <c r="X1468" s="117"/>
      <c r="Y1468" s="120"/>
      <c r="Z1468" s="120"/>
      <c r="AA1468" s="89"/>
      <c r="AB1468" s="89"/>
      <c r="AC1468" s="240"/>
      <c r="AD1468" s="240"/>
      <c r="AE1468" s="240"/>
      <c r="AF1468" s="241"/>
      <c r="AG1468" s="120"/>
      <c r="AH1468" s="124"/>
      <c r="AI1468" s="117"/>
      <c r="AJ1468" s="117"/>
      <c r="AK1468" s="89"/>
      <c r="AL1468" s="117"/>
      <c r="AM1468" s="117"/>
      <c r="AN1468" s="117"/>
      <c r="AO1468" s="117"/>
      <c r="AP1468" s="117"/>
      <c r="AQ1468" s="117"/>
      <c r="AR1468" s="117"/>
      <c r="AS1468" s="117"/>
      <c r="AT1468" s="117"/>
      <c r="AU1468" s="117"/>
      <c r="AV1468" s="128"/>
      <c r="AW1468" s="117">
        <f>VLOOKUP($D1468,'WB Data'!$C$3:$M$578,2,FALSE)</f>
        <v>74963815412.621368</v>
      </c>
      <c r="AX1468" s="117">
        <f>VLOOKUP($D1468,'WB Data'!$C$3:$M$578,3,FALSE)</f>
        <v>27723281</v>
      </c>
      <c r="AY1468" s="847">
        <f t="shared" si="247"/>
        <v>2.3434602876039049E-2</v>
      </c>
      <c r="AZ1468" s="117">
        <f>VLOOKUP($D1468,'WB Data'!$C$3:$M$578,4,FALSE)/100</f>
        <v>0.18666934873736063</v>
      </c>
      <c r="BA1468" s="117">
        <f t="shared" si="248"/>
        <v>13993446601.941748</v>
      </c>
      <c r="BB1468" s="129">
        <f>IFERROR(VLOOKUP($D1468,'EITI Revenues'!$C$2:$G$224,5,FALSE),"..")</f>
        <v>1756747244.267477</v>
      </c>
      <c r="BC1468" s="846">
        <f t="shared" si="249"/>
        <v>0.12554071160879754</v>
      </c>
      <c r="BD1468" s="129">
        <f>VLOOKUP($D1468,'WB Data 2'!$C$2:$K$545,6,FALSE)</f>
        <v>10433642919.64677</v>
      </c>
      <c r="BE1468" s="129">
        <f>IFERROR(VLOOKUP($D1468,UNCTAD!$C$5:$V$529,4,FALSE),"..")</f>
        <v>19656900000</v>
      </c>
      <c r="BF1468" s="846">
        <f t="shared" si="250"/>
        <v>0.53078781087794979</v>
      </c>
      <c r="BG1468" s="117">
        <f>VLOOKUP($D1468,'WB Data'!$C$3:$M$578,5,FALSE)</f>
        <v>450480000</v>
      </c>
      <c r="BH1468" s="129">
        <f>IFERROR($BB1468/$BG1468,"..")</f>
        <v>3.8997230604410342</v>
      </c>
      <c r="BI1468" s="117">
        <f>IFERROR(VLOOKUP($D1468,'WB Data'!$C$3:$M$578,7,FALSE)/100,"..")</f>
        <v>2.7207200000000001E-2</v>
      </c>
      <c r="BJ1468" s="117">
        <f>IFERROR($BI1468*$AW1468,"..")</f>
        <v>2039555518.694272</v>
      </c>
      <c r="BK1468" s="846">
        <f>IFERROR($BB1468/$BJ1468,"..")</f>
        <v>0.86133828089766862</v>
      </c>
      <c r="BL1468" s="117">
        <f>IFERROR(VLOOKUP($D1468,'WB Data'!$C$3:$M$578,7,FALSE)/100,"..")</f>
        <v>2.7207200000000001E-2</v>
      </c>
      <c r="BM1468" s="117">
        <f>IFERROR($AW1468*$BL1468,"..")</f>
        <v>2039555518.694272</v>
      </c>
      <c r="BN1468" s="846">
        <f>IFERROR($BB1468/$BM1468,"..")</f>
        <v>0.86133828089766862</v>
      </c>
      <c r="BO1468" s="801">
        <f t="shared" si="246"/>
        <v>38</v>
      </c>
      <c r="BP1468" s="117">
        <f>VLOOKUP($D1468,'WB Data'!$C$3:$M$578,9,FALSE)</f>
        <v>55.6</v>
      </c>
      <c r="BQ1468" s="117">
        <f>VLOOKUP($D1468,'WB Data'!$C$3:$M$578,10,FALSE)</f>
        <v>72.418609756097567</v>
      </c>
      <c r="BR1468" s="117">
        <f>VLOOKUP($D1468,'WB Data'!$C$3:$M$578,11,FALSE)</f>
        <v>21.5</v>
      </c>
      <c r="BS1468" s="129">
        <f>IFERROR(VLOOKUP($D1468,'WB Data 2'!$C$2:$K$545,9,FALSE),"..")</f>
        <v>99.638220000000004</v>
      </c>
      <c r="BT1468" s="129">
        <f>_xlfn.IFNA(VLOOKUP($C1468,RGI!$A$2:$C$43,2,FALSE),"..")</f>
        <v>76.8</v>
      </c>
      <c r="BU1468" s="129">
        <f>_xlfn.IFNA(VLOOKUP($C1468,RGI!$A$2:$C$43,3,FALSE),"..")</f>
        <v>72.816147461462435</v>
      </c>
      <c r="BV1468" s="129">
        <f>VLOOKUP($D1468,WGI!$C$2:$O$478,7,FALSE)</f>
        <v>-1.8341252380880701E-2</v>
      </c>
      <c r="BW1468" s="129">
        <f>VLOOKUP($D1468,WGI!$C$2:$O$478,4,FALSE)</f>
        <v>-0.97676687745370405</v>
      </c>
      <c r="BX1468" s="129">
        <f>VLOOKUP($D1468,WGI!$C$2:$O$478,3,FALSE)</f>
        <v>-0.60044293542902905</v>
      </c>
      <c r="BY1468" s="129">
        <f>VLOOKUP($D1468,WGI!$C$2:$O$478,5,FALSE)</f>
        <v>8.1359403889796206E-2</v>
      </c>
      <c r="BZ1468" s="129">
        <f>VLOOKUP($D1468,WGI!$C$2:$O$478,2,FALSE)</f>
        <v>-0.36012924757922499</v>
      </c>
    </row>
    <row r="1469" spans="1:80" ht="15" customHeight="1">
      <c r="A1469" s="294" t="s">
        <v>451</v>
      </c>
      <c r="B1469" s="117">
        <v>2005</v>
      </c>
      <c r="C1469" s="117" t="s">
        <v>449</v>
      </c>
      <c r="D1469" s="117" t="s">
        <v>3507</v>
      </c>
      <c r="E1469" s="452" t="s">
        <v>220</v>
      </c>
      <c r="F1469" s="117"/>
      <c r="G1469" s="120" t="s">
        <v>24</v>
      </c>
      <c r="H1469" s="117" t="str">
        <f t="shared" si="251"/>
        <v>yes</v>
      </c>
      <c r="I1469" s="117" t="str">
        <f t="shared" si="253"/>
        <v>no</v>
      </c>
      <c r="J1469" s="117" t="str">
        <f t="shared" si="254"/>
        <v>no</v>
      </c>
      <c r="K1469" s="117" t="s">
        <v>619</v>
      </c>
      <c r="L1469" s="117" t="str">
        <f t="shared" si="252"/>
        <v>detailed</v>
      </c>
      <c r="M1469" s="117" t="str">
        <f t="shared" si="255"/>
        <v>detailed Mining</v>
      </c>
      <c r="N1469" s="179"/>
      <c r="O1469" s="179"/>
      <c r="P1469" s="179"/>
      <c r="Q1469" s="179"/>
      <c r="R1469" s="179"/>
      <c r="S1469" s="117"/>
      <c r="T1469" s="186">
        <v>3678.8764166666701</v>
      </c>
      <c r="U1469" s="117" t="s">
        <v>611</v>
      </c>
      <c r="V1469" s="117" t="s">
        <v>681</v>
      </c>
      <c r="W1469" s="89">
        <f>SUM(N1471:N1472)*T1469</f>
        <v>3062153253.0530863</v>
      </c>
      <c r="X1469" s="117"/>
      <c r="Y1469" s="89"/>
      <c r="Z1469" s="89"/>
      <c r="AA1469" s="89"/>
      <c r="AB1469" s="89"/>
      <c r="AC1469" s="240" t="s">
        <v>2062</v>
      </c>
      <c r="AD1469" s="240"/>
      <c r="AE1469" s="240"/>
      <c r="AF1469" s="241"/>
      <c r="AG1469" s="89"/>
      <c r="AH1469" s="124"/>
      <c r="AI1469" s="117"/>
      <c r="AJ1469" s="117"/>
      <c r="AK1469" s="89"/>
      <c r="AL1469" s="117"/>
      <c r="AM1469" s="117"/>
      <c r="AN1469" s="117">
        <v>17</v>
      </c>
      <c r="AO1469" s="117" t="s">
        <v>2034</v>
      </c>
      <c r="AP1469" s="117">
        <v>17</v>
      </c>
      <c r="AQ1469" s="117"/>
      <c r="AR1469" s="117"/>
      <c r="AS1469" s="117"/>
      <c r="AT1469" s="117"/>
      <c r="AU1469" s="117"/>
      <c r="AV1469" s="128"/>
      <c r="AW1469" s="117">
        <f>VLOOKUP($D1469,'WB Data'!$C$3:$M$578,2,FALSE)</f>
        <v>74963815412.621368</v>
      </c>
      <c r="AX1469" s="117">
        <f>VLOOKUP($D1469,'WB Data'!$C$3:$M$578,3,FALSE)</f>
        <v>27723281</v>
      </c>
      <c r="AY1469" s="847">
        <f t="shared" si="247"/>
        <v>2.3434602876039049E-2</v>
      </c>
      <c r="AZ1469" s="117">
        <f>VLOOKUP($D1469,'WB Data'!$C$3:$M$578,4,FALSE)/100</f>
        <v>0.18666934873736063</v>
      </c>
      <c r="BA1469" s="117">
        <f t="shared" si="248"/>
        <v>13993446601.941748</v>
      </c>
      <c r="BB1469" s="129">
        <f>IFERROR(VLOOKUP($D1469,'EITI Revenues'!$C$2:$G$224,5,FALSE),"..")</f>
        <v>1756747244.267477</v>
      </c>
      <c r="BC1469" s="846">
        <f t="shared" si="249"/>
        <v>0.12554071160879754</v>
      </c>
      <c r="BD1469" s="129">
        <f>VLOOKUP($D1469,'WB Data 2'!$C$2:$K$545,6,FALSE)</f>
        <v>10433642919.64677</v>
      </c>
      <c r="BE1469" s="129">
        <f>IFERROR(VLOOKUP($D1469,UNCTAD!$C$5:$V$529,4,FALSE),"..")</f>
        <v>19656900000</v>
      </c>
      <c r="BF1469" s="846">
        <f t="shared" si="250"/>
        <v>0.53078781087794979</v>
      </c>
      <c r="BG1469" s="117">
        <f>VLOOKUP($D1469,'WB Data'!$C$3:$M$578,5,FALSE)</f>
        <v>450480000</v>
      </c>
      <c r="BH1469" s="129">
        <f>IFERROR($BB1469/$BG1469,"..")</f>
        <v>3.8997230604410342</v>
      </c>
      <c r="BI1469" s="117">
        <f>IFERROR(VLOOKUP($D1469,'WB Data'!$C$3:$M$578,7,FALSE)/100,"..")</f>
        <v>2.7207200000000001E-2</v>
      </c>
      <c r="BJ1469" s="117">
        <f>IFERROR($BI1469*$AW1469,"..")</f>
        <v>2039555518.694272</v>
      </c>
      <c r="BK1469" s="846">
        <f>IFERROR($BB1469/$BJ1469,"..")</f>
        <v>0.86133828089766862</v>
      </c>
      <c r="BL1469" s="117">
        <f>IFERROR(VLOOKUP($D1469,'WB Data'!$C$3:$M$578,7,FALSE)/100,"..")</f>
        <v>2.7207200000000001E-2</v>
      </c>
      <c r="BM1469" s="117">
        <f>IFERROR($AW1469*$BL1469,"..")</f>
        <v>2039555518.694272</v>
      </c>
      <c r="BN1469" s="846">
        <f>IFERROR($BB1469/$BM1469,"..")</f>
        <v>0.86133828089766862</v>
      </c>
      <c r="BO1469" s="801">
        <f t="shared" si="246"/>
        <v>38</v>
      </c>
      <c r="BP1469" s="117">
        <f>VLOOKUP($D1469,'WB Data'!$C$3:$M$578,9,FALSE)</f>
        <v>55.6</v>
      </c>
      <c r="BQ1469" s="117">
        <f>VLOOKUP($D1469,'WB Data'!$C$3:$M$578,10,FALSE)</f>
        <v>72.418609756097567</v>
      </c>
      <c r="BR1469" s="117">
        <f>VLOOKUP($D1469,'WB Data'!$C$3:$M$578,11,FALSE)</f>
        <v>21.5</v>
      </c>
      <c r="BS1469" s="129">
        <f>IFERROR(VLOOKUP($D1469,'WB Data 2'!$C$2:$K$545,9,FALSE),"..")</f>
        <v>99.638220000000004</v>
      </c>
      <c r="BT1469" s="129">
        <f>_xlfn.IFNA(VLOOKUP($C1469,RGI!$A$2:$C$43,2,FALSE),"..")</f>
        <v>76.8</v>
      </c>
      <c r="BU1469" s="129">
        <f>_xlfn.IFNA(VLOOKUP($C1469,RGI!$A$2:$C$43,3,FALSE),"..")</f>
        <v>72.816147461462435</v>
      </c>
      <c r="BV1469" s="129">
        <f>VLOOKUP($D1469,WGI!$C$2:$O$478,7,FALSE)</f>
        <v>-1.8341252380880701E-2</v>
      </c>
      <c r="BW1469" s="129">
        <f>VLOOKUP($D1469,WGI!$C$2:$O$478,4,FALSE)</f>
        <v>-0.97676687745370405</v>
      </c>
      <c r="BX1469" s="129">
        <f>VLOOKUP($D1469,WGI!$C$2:$O$478,3,FALSE)</f>
        <v>-0.60044293542902905</v>
      </c>
      <c r="BY1469" s="129">
        <f>VLOOKUP($D1469,WGI!$C$2:$O$478,5,FALSE)</f>
        <v>8.1359403889796206E-2</v>
      </c>
      <c r="BZ1469" s="129">
        <f>VLOOKUP($D1469,WGI!$C$2:$O$478,2,FALSE)</f>
        <v>-0.36012924757922499</v>
      </c>
    </row>
    <row r="1470" spans="1:80" ht="15" customHeight="1">
      <c r="A1470" s="294" t="s">
        <v>451</v>
      </c>
      <c r="B1470" s="117">
        <v>2005</v>
      </c>
      <c r="C1470" s="117" t="s">
        <v>449</v>
      </c>
      <c r="D1470" s="117" t="s">
        <v>3507</v>
      </c>
      <c r="E1470" s="452" t="s">
        <v>220</v>
      </c>
      <c r="F1470" s="117"/>
      <c r="G1470" s="120" t="s">
        <v>24</v>
      </c>
      <c r="H1470" s="117" t="str">
        <f t="shared" si="251"/>
        <v>yes</v>
      </c>
      <c r="I1470" s="117" t="str">
        <f t="shared" si="253"/>
        <v>no</v>
      </c>
      <c r="J1470" s="117" t="str">
        <f t="shared" si="254"/>
        <v>no</v>
      </c>
      <c r="K1470" s="117" t="s">
        <v>1324</v>
      </c>
      <c r="L1470" s="117" t="str">
        <f t="shared" si="252"/>
        <v>detailed</v>
      </c>
      <c r="M1470" s="117" t="str">
        <f t="shared" si="255"/>
        <v>detailed Mining</v>
      </c>
      <c r="N1470" s="179">
        <v>1009898</v>
      </c>
      <c r="O1470" s="179"/>
      <c r="P1470" s="179"/>
      <c r="Q1470" s="179"/>
      <c r="R1470" s="179"/>
      <c r="S1470" s="117" t="s">
        <v>610</v>
      </c>
      <c r="T1470" s="119"/>
      <c r="U1470" s="117"/>
      <c r="V1470" s="117" t="s">
        <v>1146</v>
      </c>
      <c r="W1470" s="89"/>
      <c r="X1470" s="117"/>
      <c r="Y1470" s="120"/>
      <c r="Z1470" s="120"/>
      <c r="AA1470" s="89"/>
      <c r="AB1470" s="89"/>
      <c r="AC1470" s="240"/>
      <c r="AD1470" s="240"/>
      <c r="AE1470" s="240"/>
      <c r="AF1470" s="241"/>
      <c r="AG1470" s="120"/>
      <c r="AH1470" s="124"/>
      <c r="AI1470" s="117"/>
      <c r="AJ1470" s="117"/>
      <c r="AK1470" s="89"/>
      <c r="AL1470" s="117"/>
      <c r="AM1470" s="117"/>
      <c r="AN1470" s="117"/>
      <c r="AO1470" s="117"/>
      <c r="AP1470" s="117"/>
      <c r="AQ1470" s="117"/>
      <c r="AR1470" s="117"/>
      <c r="AS1470" s="117"/>
      <c r="AT1470" s="117"/>
      <c r="AU1470" s="117"/>
      <c r="AV1470" s="128"/>
      <c r="AW1470" s="117">
        <f>VLOOKUP($D1470,'WB Data'!$C$3:$M$578,2,FALSE)</f>
        <v>74963815412.621368</v>
      </c>
      <c r="AX1470" s="117">
        <f>VLOOKUP($D1470,'WB Data'!$C$3:$M$578,3,FALSE)</f>
        <v>27723281</v>
      </c>
      <c r="AY1470" s="847">
        <f t="shared" si="247"/>
        <v>2.3434602876039049E-2</v>
      </c>
      <c r="AZ1470" s="117">
        <f>VLOOKUP($D1470,'WB Data'!$C$3:$M$578,4,FALSE)/100</f>
        <v>0.18666934873736063</v>
      </c>
      <c r="BA1470" s="117">
        <f t="shared" si="248"/>
        <v>13993446601.941748</v>
      </c>
      <c r="BB1470" s="129">
        <f>IFERROR(VLOOKUP($D1470,'EITI Revenues'!$C$2:$G$224,5,FALSE),"..")</f>
        <v>1756747244.267477</v>
      </c>
      <c r="BC1470" s="846">
        <f t="shared" si="249"/>
        <v>0.12554071160879754</v>
      </c>
      <c r="BD1470" s="129">
        <f>VLOOKUP($D1470,'WB Data 2'!$C$2:$K$545,6,FALSE)</f>
        <v>10433642919.64677</v>
      </c>
      <c r="BE1470" s="129">
        <f>IFERROR(VLOOKUP($D1470,UNCTAD!$C$5:$V$529,4,FALSE),"..")</f>
        <v>19656900000</v>
      </c>
      <c r="BF1470" s="846">
        <f t="shared" si="250"/>
        <v>0.53078781087794979</v>
      </c>
      <c r="BG1470" s="117">
        <f>VLOOKUP($D1470,'WB Data'!$C$3:$M$578,5,FALSE)</f>
        <v>450480000</v>
      </c>
      <c r="BH1470" s="129">
        <f>IFERROR($BB1470/$BG1470,"..")</f>
        <v>3.8997230604410342</v>
      </c>
      <c r="BI1470" s="117">
        <f>IFERROR(VLOOKUP($D1470,'WB Data'!$C$3:$M$578,7,FALSE)/100,"..")</f>
        <v>2.7207200000000001E-2</v>
      </c>
      <c r="BJ1470" s="117">
        <f>IFERROR($BI1470*$AW1470,"..")</f>
        <v>2039555518.694272</v>
      </c>
      <c r="BK1470" s="846">
        <f>IFERROR($BB1470/$BJ1470,"..")</f>
        <v>0.86133828089766862</v>
      </c>
      <c r="BL1470" s="117">
        <f>IFERROR(VLOOKUP($D1470,'WB Data'!$C$3:$M$578,7,FALSE)/100,"..")</f>
        <v>2.7207200000000001E-2</v>
      </c>
      <c r="BM1470" s="117">
        <f>IFERROR($AW1470*$BL1470,"..")</f>
        <v>2039555518.694272</v>
      </c>
      <c r="BN1470" s="846">
        <f>IFERROR($BB1470/$BM1470,"..")</f>
        <v>0.86133828089766862</v>
      </c>
      <c r="BO1470" s="801">
        <f t="shared" si="246"/>
        <v>38</v>
      </c>
      <c r="BP1470" s="117">
        <f>VLOOKUP($D1470,'WB Data'!$C$3:$M$578,9,FALSE)</f>
        <v>55.6</v>
      </c>
      <c r="BQ1470" s="117">
        <f>VLOOKUP($D1470,'WB Data'!$C$3:$M$578,10,FALSE)</f>
        <v>72.418609756097567</v>
      </c>
      <c r="BR1470" s="117">
        <f>VLOOKUP($D1470,'WB Data'!$C$3:$M$578,11,FALSE)</f>
        <v>21.5</v>
      </c>
      <c r="BS1470" s="129">
        <f>IFERROR(VLOOKUP($D1470,'WB Data 2'!$C$2:$K$545,9,FALSE),"..")</f>
        <v>99.638220000000004</v>
      </c>
      <c r="BT1470" s="129">
        <f>_xlfn.IFNA(VLOOKUP($C1470,RGI!$A$2:$C$43,2,FALSE),"..")</f>
        <v>76.8</v>
      </c>
      <c r="BU1470" s="129">
        <f>_xlfn.IFNA(VLOOKUP($C1470,RGI!$A$2:$C$43,3,FALSE),"..")</f>
        <v>72.816147461462435</v>
      </c>
      <c r="BV1470" s="129">
        <f>VLOOKUP($D1470,WGI!$C$2:$O$478,7,FALSE)</f>
        <v>-1.8341252380880701E-2</v>
      </c>
      <c r="BW1470" s="129">
        <f>VLOOKUP($D1470,WGI!$C$2:$O$478,4,FALSE)</f>
        <v>-0.97676687745370405</v>
      </c>
      <c r="BX1470" s="129">
        <f>VLOOKUP($D1470,WGI!$C$2:$O$478,3,FALSE)</f>
        <v>-0.60044293542902905</v>
      </c>
      <c r="BY1470" s="129">
        <f>VLOOKUP($D1470,WGI!$C$2:$O$478,5,FALSE)</f>
        <v>8.1359403889796206E-2</v>
      </c>
      <c r="BZ1470" s="129">
        <f>VLOOKUP($D1470,WGI!$C$2:$O$478,2,FALSE)</f>
        <v>-0.36012924757922499</v>
      </c>
    </row>
    <row r="1471" spans="1:80" ht="15" customHeight="1">
      <c r="A1471" s="294" t="s">
        <v>451</v>
      </c>
      <c r="B1471" s="117">
        <v>2005</v>
      </c>
      <c r="C1471" s="117" t="s">
        <v>449</v>
      </c>
      <c r="D1471" s="117" t="s">
        <v>3507</v>
      </c>
      <c r="E1471" s="452" t="s">
        <v>220</v>
      </c>
      <c r="F1471" s="117"/>
      <c r="G1471" s="120" t="s">
        <v>24</v>
      </c>
      <c r="H1471" s="117" t="str">
        <f t="shared" si="251"/>
        <v>yes</v>
      </c>
      <c r="I1471" s="117" t="str">
        <f t="shared" si="253"/>
        <v>no</v>
      </c>
      <c r="J1471" s="117" t="str">
        <f t="shared" si="254"/>
        <v>no</v>
      </c>
      <c r="K1471" s="117" t="s">
        <v>1421</v>
      </c>
      <c r="L1471" s="117" t="str">
        <f t="shared" si="252"/>
        <v>detailed</v>
      </c>
      <c r="M1471" s="117" t="str">
        <f t="shared" si="255"/>
        <v>detailed Mining</v>
      </c>
      <c r="N1471" s="179">
        <v>320625</v>
      </c>
      <c r="O1471" s="179"/>
      <c r="P1471" s="179"/>
      <c r="Q1471" s="179"/>
      <c r="R1471" s="179"/>
      <c r="S1471" s="117" t="s">
        <v>610</v>
      </c>
      <c r="T1471" s="119"/>
      <c r="U1471" s="117"/>
      <c r="V1471" s="117" t="s">
        <v>1146</v>
      </c>
      <c r="W1471" s="89"/>
      <c r="X1471" s="117"/>
      <c r="Y1471" s="120"/>
      <c r="Z1471" s="120"/>
      <c r="AA1471" s="89"/>
      <c r="AB1471" s="89"/>
      <c r="AC1471" s="240"/>
      <c r="AD1471" s="240"/>
      <c r="AE1471" s="240"/>
      <c r="AF1471" s="241"/>
      <c r="AG1471" s="120"/>
      <c r="AH1471" s="124"/>
      <c r="AI1471" s="117"/>
      <c r="AJ1471" s="117"/>
      <c r="AK1471" s="89"/>
      <c r="AL1471" s="117"/>
      <c r="AM1471" s="117"/>
      <c r="AN1471" s="117"/>
      <c r="AO1471" s="117"/>
      <c r="AP1471" s="117"/>
      <c r="AQ1471" s="117"/>
      <c r="AR1471" s="117"/>
      <c r="AS1471" s="117"/>
      <c r="AT1471" s="117"/>
      <c r="AU1471" s="117"/>
      <c r="AV1471" s="128"/>
      <c r="AW1471" s="117">
        <f>VLOOKUP($D1471,'WB Data'!$C$3:$M$578,2,FALSE)</f>
        <v>74963815412.621368</v>
      </c>
      <c r="AX1471" s="117">
        <f>VLOOKUP($D1471,'WB Data'!$C$3:$M$578,3,FALSE)</f>
        <v>27723281</v>
      </c>
      <c r="AY1471" s="847">
        <f t="shared" si="247"/>
        <v>2.3434602876039049E-2</v>
      </c>
      <c r="AZ1471" s="117">
        <f>VLOOKUP($D1471,'WB Data'!$C$3:$M$578,4,FALSE)/100</f>
        <v>0.18666934873736063</v>
      </c>
      <c r="BA1471" s="117">
        <f t="shared" si="248"/>
        <v>13993446601.941748</v>
      </c>
      <c r="BB1471" s="129">
        <f>IFERROR(VLOOKUP($D1471,'EITI Revenues'!$C$2:$G$224,5,FALSE),"..")</f>
        <v>1756747244.267477</v>
      </c>
      <c r="BC1471" s="846">
        <f t="shared" si="249"/>
        <v>0.12554071160879754</v>
      </c>
      <c r="BD1471" s="129">
        <f>VLOOKUP($D1471,'WB Data 2'!$C$2:$K$545,6,FALSE)</f>
        <v>10433642919.64677</v>
      </c>
      <c r="BE1471" s="129">
        <f>IFERROR(VLOOKUP($D1471,UNCTAD!$C$5:$V$529,4,FALSE),"..")</f>
        <v>19656900000</v>
      </c>
      <c r="BF1471" s="846">
        <f t="shared" si="250"/>
        <v>0.53078781087794979</v>
      </c>
      <c r="BG1471" s="117">
        <f>VLOOKUP($D1471,'WB Data'!$C$3:$M$578,5,FALSE)</f>
        <v>450480000</v>
      </c>
      <c r="BH1471" s="129">
        <f>IFERROR($BB1471/$BG1471,"..")</f>
        <v>3.8997230604410342</v>
      </c>
      <c r="BI1471" s="117">
        <f>IFERROR(VLOOKUP($D1471,'WB Data'!$C$3:$M$578,7,FALSE)/100,"..")</f>
        <v>2.7207200000000001E-2</v>
      </c>
      <c r="BJ1471" s="117">
        <f>IFERROR($BI1471*$AW1471,"..")</f>
        <v>2039555518.694272</v>
      </c>
      <c r="BK1471" s="846">
        <f>IFERROR($BB1471/$BJ1471,"..")</f>
        <v>0.86133828089766862</v>
      </c>
      <c r="BL1471" s="117">
        <f>IFERROR(VLOOKUP($D1471,'WB Data'!$C$3:$M$578,7,FALSE)/100,"..")</f>
        <v>2.7207200000000001E-2</v>
      </c>
      <c r="BM1471" s="117">
        <f>IFERROR($AW1471*$BL1471,"..")</f>
        <v>2039555518.694272</v>
      </c>
      <c r="BN1471" s="846">
        <f>IFERROR($BB1471/$BM1471,"..")</f>
        <v>0.86133828089766862</v>
      </c>
      <c r="BO1471" s="801">
        <f t="shared" si="246"/>
        <v>38</v>
      </c>
      <c r="BP1471" s="117">
        <f>VLOOKUP($D1471,'WB Data'!$C$3:$M$578,9,FALSE)</f>
        <v>55.6</v>
      </c>
      <c r="BQ1471" s="117">
        <f>VLOOKUP($D1471,'WB Data'!$C$3:$M$578,10,FALSE)</f>
        <v>72.418609756097567</v>
      </c>
      <c r="BR1471" s="117">
        <f>VLOOKUP($D1471,'WB Data'!$C$3:$M$578,11,FALSE)</f>
        <v>21.5</v>
      </c>
      <c r="BS1471" s="129">
        <f>IFERROR(VLOOKUP($D1471,'WB Data 2'!$C$2:$K$545,9,FALSE),"..")</f>
        <v>99.638220000000004</v>
      </c>
      <c r="BT1471" s="129">
        <f>_xlfn.IFNA(VLOOKUP($C1471,RGI!$A$2:$C$43,2,FALSE),"..")</f>
        <v>76.8</v>
      </c>
      <c r="BU1471" s="129">
        <f>_xlfn.IFNA(VLOOKUP($C1471,RGI!$A$2:$C$43,3,FALSE),"..")</f>
        <v>72.816147461462435</v>
      </c>
      <c r="BV1471" s="129">
        <f>VLOOKUP($D1471,WGI!$C$2:$O$478,7,FALSE)</f>
        <v>-1.8341252380880701E-2</v>
      </c>
      <c r="BW1471" s="129">
        <f>VLOOKUP($D1471,WGI!$C$2:$O$478,4,FALSE)</f>
        <v>-0.97676687745370405</v>
      </c>
      <c r="BX1471" s="129">
        <f>VLOOKUP($D1471,WGI!$C$2:$O$478,3,FALSE)</f>
        <v>-0.60044293542902905</v>
      </c>
      <c r="BY1471" s="129">
        <f>VLOOKUP($D1471,WGI!$C$2:$O$478,5,FALSE)</f>
        <v>8.1359403889796206E-2</v>
      </c>
      <c r="BZ1471" s="129">
        <f>VLOOKUP($D1471,WGI!$C$2:$O$478,2,FALSE)</f>
        <v>-0.36012924757922499</v>
      </c>
    </row>
    <row r="1472" spans="1:80" ht="15" customHeight="1">
      <c r="A1472" s="294" t="s">
        <v>451</v>
      </c>
      <c r="B1472" s="117">
        <v>2005</v>
      </c>
      <c r="C1472" s="117" t="s">
        <v>449</v>
      </c>
      <c r="D1472" s="117" t="s">
        <v>3507</v>
      </c>
      <c r="E1472" s="452" t="s">
        <v>220</v>
      </c>
      <c r="F1472" s="117"/>
      <c r="G1472" s="120" t="s">
        <v>24</v>
      </c>
      <c r="H1472" s="117" t="str">
        <f t="shared" si="251"/>
        <v>yes</v>
      </c>
      <c r="I1472" s="117" t="str">
        <f t="shared" si="253"/>
        <v>no</v>
      </c>
      <c r="J1472" s="117" t="str">
        <f t="shared" si="254"/>
        <v>no</v>
      </c>
      <c r="K1472" s="117" t="s">
        <v>1422</v>
      </c>
      <c r="L1472" s="117" t="str">
        <f t="shared" si="252"/>
        <v>detailed</v>
      </c>
      <c r="M1472" s="117" t="str">
        <f t="shared" si="255"/>
        <v>detailed Mining</v>
      </c>
      <c r="N1472" s="179">
        <v>511736</v>
      </c>
      <c r="O1472" s="179"/>
      <c r="P1472" s="179"/>
      <c r="Q1472" s="179"/>
      <c r="R1472" s="179"/>
      <c r="S1472" s="117" t="s">
        <v>610</v>
      </c>
      <c r="T1472" s="119"/>
      <c r="U1472" s="117"/>
      <c r="V1472" s="117" t="s">
        <v>1146</v>
      </c>
      <c r="W1472" s="89"/>
      <c r="X1472" s="117"/>
      <c r="Y1472" s="120"/>
      <c r="Z1472" s="120"/>
      <c r="AA1472" s="89"/>
      <c r="AB1472" s="89"/>
      <c r="AC1472" s="240"/>
      <c r="AD1472" s="240"/>
      <c r="AE1472" s="240"/>
      <c r="AF1472" s="241"/>
      <c r="AG1472" s="120"/>
      <c r="AH1472" s="124"/>
      <c r="AI1472" s="117"/>
      <c r="AJ1472" s="117"/>
      <c r="AK1472" s="89"/>
      <c r="AL1472" s="117"/>
      <c r="AM1472" s="117"/>
      <c r="AN1472" s="117"/>
      <c r="AO1472" s="117"/>
      <c r="AP1472" s="117"/>
      <c r="AQ1472" s="117"/>
      <c r="AR1472" s="117"/>
      <c r="AS1472" s="117"/>
      <c r="AT1472" s="117"/>
      <c r="AU1472" s="117"/>
      <c r="AV1472" s="128"/>
      <c r="AW1472" s="117">
        <f>VLOOKUP($D1472,'WB Data'!$C$3:$M$578,2,FALSE)</f>
        <v>74963815412.621368</v>
      </c>
      <c r="AX1472" s="117">
        <f>VLOOKUP($D1472,'WB Data'!$C$3:$M$578,3,FALSE)</f>
        <v>27723281</v>
      </c>
      <c r="AY1472" s="847">
        <f t="shared" si="247"/>
        <v>2.3434602876039049E-2</v>
      </c>
      <c r="AZ1472" s="117">
        <f>VLOOKUP($D1472,'WB Data'!$C$3:$M$578,4,FALSE)/100</f>
        <v>0.18666934873736063</v>
      </c>
      <c r="BA1472" s="117">
        <f t="shared" si="248"/>
        <v>13993446601.941748</v>
      </c>
      <c r="BB1472" s="129">
        <f>IFERROR(VLOOKUP($D1472,'EITI Revenues'!$C$2:$G$224,5,FALSE),"..")</f>
        <v>1756747244.267477</v>
      </c>
      <c r="BC1472" s="846">
        <f t="shared" si="249"/>
        <v>0.12554071160879754</v>
      </c>
      <c r="BD1472" s="129">
        <f>VLOOKUP($D1472,'WB Data 2'!$C$2:$K$545,6,FALSE)</f>
        <v>10433642919.64677</v>
      </c>
      <c r="BE1472" s="129">
        <f>IFERROR(VLOOKUP($D1472,UNCTAD!$C$5:$V$529,4,FALSE),"..")</f>
        <v>19656900000</v>
      </c>
      <c r="BF1472" s="846">
        <f t="shared" si="250"/>
        <v>0.53078781087794979</v>
      </c>
      <c r="BG1472" s="117">
        <f>VLOOKUP($D1472,'WB Data'!$C$3:$M$578,5,FALSE)</f>
        <v>450480000</v>
      </c>
      <c r="BH1472" s="129">
        <f>IFERROR($BB1472/$BG1472,"..")</f>
        <v>3.8997230604410342</v>
      </c>
      <c r="BI1472" s="117">
        <f>IFERROR(VLOOKUP($D1472,'WB Data'!$C$3:$M$578,7,FALSE)/100,"..")</f>
        <v>2.7207200000000001E-2</v>
      </c>
      <c r="BJ1472" s="117">
        <f>IFERROR($BI1472*$AW1472,"..")</f>
        <v>2039555518.694272</v>
      </c>
      <c r="BK1472" s="846">
        <f>IFERROR($BB1472/$BJ1472,"..")</f>
        <v>0.86133828089766862</v>
      </c>
      <c r="BL1472" s="117">
        <f>IFERROR(VLOOKUP($D1472,'WB Data'!$C$3:$M$578,7,FALSE)/100,"..")</f>
        <v>2.7207200000000001E-2</v>
      </c>
      <c r="BM1472" s="117">
        <f>IFERROR($AW1472*$BL1472,"..")</f>
        <v>2039555518.694272</v>
      </c>
      <c r="BN1472" s="846">
        <f>IFERROR($BB1472/$BM1472,"..")</f>
        <v>0.86133828089766862</v>
      </c>
      <c r="BO1472" s="801">
        <f t="shared" si="246"/>
        <v>38</v>
      </c>
      <c r="BP1472" s="117">
        <f>VLOOKUP($D1472,'WB Data'!$C$3:$M$578,9,FALSE)</f>
        <v>55.6</v>
      </c>
      <c r="BQ1472" s="117">
        <f>VLOOKUP($D1472,'WB Data'!$C$3:$M$578,10,FALSE)</f>
        <v>72.418609756097567</v>
      </c>
      <c r="BR1472" s="117">
        <f>VLOOKUP($D1472,'WB Data'!$C$3:$M$578,11,FALSE)</f>
        <v>21.5</v>
      </c>
      <c r="BS1472" s="129">
        <f>IFERROR(VLOOKUP($D1472,'WB Data 2'!$C$2:$K$545,9,FALSE),"..")</f>
        <v>99.638220000000004</v>
      </c>
      <c r="BT1472" s="129">
        <f>_xlfn.IFNA(VLOOKUP($C1472,RGI!$A$2:$C$43,2,FALSE),"..")</f>
        <v>76.8</v>
      </c>
      <c r="BU1472" s="129">
        <f>_xlfn.IFNA(VLOOKUP($C1472,RGI!$A$2:$C$43,3,FALSE),"..")</f>
        <v>72.816147461462435</v>
      </c>
      <c r="BV1472" s="129">
        <f>VLOOKUP($D1472,WGI!$C$2:$O$478,7,FALSE)</f>
        <v>-1.8341252380880701E-2</v>
      </c>
      <c r="BW1472" s="129">
        <f>VLOOKUP($D1472,WGI!$C$2:$O$478,4,FALSE)</f>
        <v>-0.97676687745370405</v>
      </c>
      <c r="BX1472" s="129">
        <f>VLOOKUP($D1472,WGI!$C$2:$O$478,3,FALSE)</f>
        <v>-0.60044293542902905</v>
      </c>
      <c r="BY1472" s="129">
        <f>VLOOKUP($D1472,WGI!$C$2:$O$478,5,FALSE)</f>
        <v>8.1359403889796206E-2</v>
      </c>
      <c r="BZ1472" s="129">
        <f>VLOOKUP($D1472,WGI!$C$2:$O$478,2,FALSE)</f>
        <v>-0.36012924757922499</v>
      </c>
    </row>
    <row r="1473" spans="1:78" ht="15" customHeight="1">
      <c r="A1473" s="294" t="s">
        <v>451</v>
      </c>
      <c r="B1473" s="117">
        <v>2005</v>
      </c>
      <c r="C1473" s="117" t="s">
        <v>449</v>
      </c>
      <c r="D1473" s="117" t="s">
        <v>3507</v>
      </c>
      <c r="E1473" s="452" t="s">
        <v>220</v>
      </c>
      <c r="F1473" s="117"/>
      <c r="G1473" s="120" t="s">
        <v>24</v>
      </c>
      <c r="H1473" s="117" t="str">
        <f t="shared" si="251"/>
        <v>yes</v>
      </c>
      <c r="I1473" s="117" t="str">
        <f t="shared" si="253"/>
        <v>no</v>
      </c>
      <c r="J1473" s="117" t="str">
        <f t="shared" si="254"/>
        <v>no</v>
      </c>
      <c r="K1473" s="117" t="s">
        <v>784</v>
      </c>
      <c r="L1473" s="117" t="str">
        <f t="shared" si="252"/>
        <v>detailed</v>
      </c>
      <c r="M1473" s="117" t="str">
        <f t="shared" si="255"/>
        <v>detailed Mining</v>
      </c>
      <c r="N1473" s="179">
        <f>208002*32.150743126506</f>
        <v>6687418.8717995016</v>
      </c>
      <c r="O1473" s="179"/>
      <c r="P1473" s="179"/>
      <c r="Q1473" s="179"/>
      <c r="R1473" s="179"/>
      <c r="S1473" s="117" t="s">
        <v>785</v>
      </c>
      <c r="T1473" s="119">
        <v>444.84258333333003</v>
      </c>
      <c r="U1473" s="117" t="s">
        <v>786</v>
      </c>
      <c r="V1473" s="117" t="s">
        <v>902</v>
      </c>
      <c r="W1473" s="89">
        <f>N1473*T1473</f>
        <v>2974848686.7633538</v>
      </c>
      <c r="X1473" s="117"/>
      <c r="Y1473" s="120"/>
      <c r="Z1473" s="120"/>
      <c r="AA1473" s="89"/>
      <c r="AB1473" s="89"/>
      <c r="AC1473" s="462" t="s">
        <v>2028</v>
      </c>
      <c r="AD1473" s="462"/>
      <c r="AE1473" s="462"/>
      <c r="AF1473" s="463"/>
      <c r="AG1473" s="120"/>
      <c r="AH1473" s="124"/>
      <c r="AI1473" s="117"/>
      <c r="AJ1473" s="117"/>
      <c r="AK1473" s="89"/>
      <c r="AL1473" s="117"/>
      <c r="AM1473" s="117"/>
      <c r="AN1473" s="117">
        <v>11</v>
      </c>
      <c r="AO1473" s="117" t="s">
        <v>2036</v>
      </c>
      <c r="AP1473" s="117">
        <v>11</v>
      </c>
      <c r="AQ1473" s="117"/>
      <c r="AR1473" s="117"/>
      <c r="AS1473" s="117"/>
      <c r="AT1473" s="117"/>
      <c r="AU1473" s="117"/>
      <c r="AV1473" s="128"/>
      <c r="AW1473" s="117">
        <f>VLOOKUP($D1473,'WB Data'!$C$3:$M$578,2,FALSE)</f>
        <v>74963815412.621368</v>
      </c>
      <c r="AX1473" s="117">
        <f>VLOOKUP($D1473,'WB Data'!$C$3:$M$578,3,FALSE)</f>
        <v>27723281</v>
      </c>
      <c r="AY1473" s="847">
        <f t="shared" si="247"/>
        <v>2.3434602876039049E-2</v>
      </c>
      <c r="AZ1473" s="117">
        <f>VLOOKUP($D1473,'WB Data'!$C$3:$M$578,4,FALSE)/100</f>
        <v>0.18666934873736063</v>
      </c>
      <c r="BA1473" s="117">
        <f t="shared" si="248"/>
        <v>13993446601.941748</v>
      </c>
      <c r="BB1473" s="129">
        <f>IFERROR(VLOOKUP($D1473,'EITI Revenues'!$C$2:$G$224,5,FALSE),"..")</f>
        <v>1756747244.267477</v>
      </c>
      <c r="BC1473" s="846">
        <f t="shared" si="249"/>
        <v>0.12554071160879754</v>
      </c>
      <c r="BD1473" s="129">
        <f>VLOOKUP($D1473,'WB Data 2'!$C$2:$K$545,6,FALSE)</f>
        <v>10433642919.64677</v>
      </c>
      <c r="BE1473" s="129">
        <f>IFERROR(VLOOKUP($D1473,UNCTAD!$C$5:$V$529,4,FALSE),"..")</f>
        <v>19656900000</v>
      </c>
      <c r="BF1473" s="846">
        <f t="shared" si="250"/>
        <v>0.53078781087794979</v>
      </c>
      <c r="BG1473" s="117">
        <f>VLOOKUP($D1473,'WB Data'!$C$3:$M$578,5,FALSE)</f>
        <v>450480000</v>
      </c>
      <c r="BH1473" s="129">
        <f>IFERROR($BB1473/$BG1473,"..")</f>
        <v>3.8997230604410342</v>
      </c>
      <c r="BI1473" s="117">
        <f>IFERROR(VLOOKUP($D1473,'WB Data'!$C$3:$M$578,7,FALSE)/100,"..")</f>
        <v>2.7207200000000001E-2</v>
      </c>
      <c r="BJ1473" s="117">
        <f>IFERROR($BI1473*$AW1473,"..")</f>
        <v>2039555518.694272</v>
      </c>
      <c r="BK1473" s="846">
        <f>IFERROR($BB1473/$BJ1473,"..")</f>
        <v>0.86133828089766862</v>
      </c>
      <c r="BL1473" s="117">
        <f>IFERROR(VLOOKUP($D1473,'WB Data'!$C$3:$M$578,7,FALSE)/100,"..")</f>
        <v>2.7207200000000001E-2</v>
      </c>
      <c r="BM1473" s="117">
        <f>IFERROR($AW1473*$BL1473,"..")</f>
        <v>2039555518.694272</v>
      </c>
      <c r="BN1473" s="846">
        <f>IFERROR($BB1473/$BM1473,"..")</f>
        <v>0.86133828089766862</v>
      </c>
      <c r="BO1473" s="801">
        <f t="shared" si="246"/>
        <v>38</v>
      </c>
      <c r="BP1473" s="117">
        <f>VLOOKUP($D1473,'WB Data'!$C$3:$M$578,9,FALSE)</f>
        <v>55.6</v>
      </c>
      <c r="BQ1473" s="117">
        <f>VLOOKUP($D1473,'WB Data'!$C$3:$M$578,10,FALSE)</f>
        <v>72.418609756097567</v>
      </c>
      <c r="BR1473" s="117">
        <f>VLOOKUP($D1473,'WB Data'!$C$3:$M$578,11,FALSE)</f>
        <v>21.5</v>
      </c>
      <c r="BS1473" s="129">
        <f>IFERROR(VLOOKUP($D1473,'WB Data 2'!$C$2:$K$545,9,FALSE),"..")</f>
        <v>99.638220000000004</v>
      </c>
      <c r="BT1473" s="129">
        <f>_xlfn.IFNA(VLOOKUP($C1473,RGI!$A$2:$C$43,2,FALSE),"..")</f>
        <v>76.8</v>
      </c>
      <c r="BU1473" s="129">
        <f>_xlfn.IFNA(VLOOKUP($C1473,RGI!$A$2:$C$43,3,FALSE),"..")</f>
        <v>72.816147461462435</v>
      </c>
      <c r="BV1473" s="129">
        <f>VLOOKUP($D1473,WGI!$C$2:$O$478,7,FALSE)</f>
        <v>-1.8341252380880701E-2</v>
      </c>
      <c r="BW1473" s="129">
        <f>VLOOKUP($D1473,WGI!$C$2:$O$478,4,FALSE)</f>
        <v>-0.97676687745370405</v>
      </c>
      <c r="BX1473" s="129">
        <f>VLOOKUP($D1473,WGI!$C$2:$O$478,3,FALSE)</f>
        <v>-0.60044293542902905</v>
      </c>
      <c r="BY1473" s="129">
        <f>VLOOKUP($D1473,WGI!$C$2:$O$478,5,FALSE)</f>
        <v>8.1359403889796206E-2</v>
      </c>
      <c r="BZ1473" s="129">
        <f>VLOOKUP($D1473,WGI!$C$2:$O$478,2,FALSE)</f>
        <v>-0.36012924757922499</v>
      </c>
    </row>
    <row r="1474" spans="1:78" ht="15" customHeight="1">
      <c r="A1474" s="294" t="s">
        <v>451</v>
      </c>
      <c r="B1474" s="117">
        <v>2005</v>
      </c>
      <c r="C1474" s="117" t="s">
        <v>449</v>
      </c>
      <c r="D1474" s="117" t="s">
        <v>3507</v>
      </c>
      <c r="E1474" s="452" t="s">
        <v>220</v>
      </c>
      <c r="F1474" s="117"/>
      <c r="G1474" s="120" t="s">
        <v>24</v>
      </c>
      <c r="H1474" s="117" t="str">
        <f t="shared" si="251"/>
        <v>yes</v>
      </c>
      <c r="I1474" s="117" t="str">
        <f t="shared" si="253"/>
        <v>no</v>
      </c>
      <c r="J1474" s="117" t="str">
        <f t="shared" si="254"/>
        <v>no</v>
      </c>
      <c r="K1474" s="117" t="s">
        <v>2037</v>
      </c>
      <c r="L1474" s="117" t="str">
        <f t="shared" si="252"/>
        <v>detailed</v>
      </c>
      <c r="M1474" s="117" t="str">
        <f t="shared" si="255"/>
        <v>detailed Mining</v>
      </c>
      <c r="N1474" s="179">
        <v>7000</v>
      </c>
      <c r="O1474" s="179"/>
      <c r="P1474" s="179"/>
      <c r="Q1474" s="179"/>
      <c r="R1474" s="179"/>
      <c r="S1474" s="117" t="s">
        <v>967</v>
      </c>
      <c r="T1474" s="119">
        <v>946</v>
      </c>
      <c r="U1474" s="117" t="s">
        <v>1874</v>
      </c>
      <c r="V1474" s="117" t="s">
        <v>2038</v>
      </c>
      <c r="W1474" s="89">
        <f>N1474*T1474</f>
        <v>6622000</v>
      </c>
      <c r="X1474" s="117"/>
      <c r="Y1474" s="492"/>
      <c r="Z1474" s="492"/>
      <c r="AA1474" s="89"/>
      <c r="AB1474" s="89"/>
      <c r="AC1474" s="240"/>
      <c r="AD1474" s="240"/>
      <c r="AE1474" s="240"/>
      <c r="AF1474" s="241"/>
      <c r="AG1474" s="89"/>
      <c r="AH1474" s="124"/>
      <c r="AI1474" s="117"/>
      <c r="AJ1474" s="117"/>
      <c r="AK1474" s="89"/>
      <c r="AL1474" s="117"/>
      <c r="AM1474" s="117"/>
      <c r="AN1474" s="117"/>
      <c r="AO1474" s="117"/>
      <c r="AP1474" s="117"/>
      <c r="AQ1474" s="117"/>
      <c r="AR1474" s="117"/>
      <c r="AS1474" s="117"/>
      <c r="AT1474" s="117"/>
      <c r="AU1474" s="117"/>
      <c r="AV1474" s="128"/>
      <c r="AW1474" s="117">
        <f>VLOOKUP($D1474,'WB Data'!$C$3:$M$578,2,FALSE)</f>
        <v>74963815412.621368</v>
      </c>
      <c r="AX1474" s="117">
        <f>VLOOKUP($D1474,'WB Data'!$C$3:$M$578,3,FALSE)</f>
        <v>27723281</v>
      </c>
      <c r="AY1474" s="847">
        <f t="shared" si="247"/>
        <v>2.3434602876039049E-2</v>
      </c>
      <c r="AZ1474" s="117">
        <f>VLOOKUP($D1474,'WB Data'!$C$3:$M$578,4,FALSE)/100</f>
        <v>0.18666934873736063</v>
      </c>
      <c r="BA1474" s="117">
        <f t="shared" si="248"/>
        <v>13993446601.941748</v>
      </c>
      <c r="BB1474" s="129">
        <f>IFERROR(VLOOKUP($D1474,'EITI Revenues'!$C$2:$G$224,5,FALSE),"..")</f>
        <v>1756747244.267477</v>
      </c>
      <c r="BC1474" s="846">
        <f t="shared" si="249"/>
        <v>0.12554071160879754</v>
      </c>
      <c r="BD1474" s="129">
        <f>VLOOKUP($D1474,'WB Data 2'!$C$2:$K$545,6,FALSE)</f>
        <v>10433642919.64677</v>
      </c>
      <c r="BE1474" s="129">
        <f>IFERROR(VLOOKUP($D1474,UNCTAD!$C$5:$V$529,4,FALSE),"..")</f>
        <v>19656900000</v>
      </c>
      <c r="BF1474" s="846">
        <f t="shared" si="250"/>
        <v>0.53078781087794979</v>
      </c>
      <c r="BG1474" s="117">
        <f>VLOOKUP($D1474,'WB Data'!$C$3:$M$578,5,FALSE)</f>
        <v>450480000</v>
      </c>
      <c r="BH1474" s="129">
        <f>IFERROR($BB1474/$BG1474,"..")</f>
        <v>3.8997230604410342</v>
      </c>
      <c r="BI1474" s="117">
        <f>IFERROR(VLOOKUP($D1474,'WB Data'!$C$3:$M$578,7,FALSE)/100,"..")</f>
        <v>2.7207200000000001E-2</v>
      </c>
      <c r="BJ1474" s="117">
        <f>IFERROR($BI1474*$AW1474,"..")</f>
        <v>2039555518.694272</v>
      </c>
      <c r="BK1474" s="846">
        <f>IFERROR($BB1474/$BJ1474,"..")</f>
        <v>0.86133828089766862</v>
      </c>
      <c r="BL1474" s="117">
        <f>IFERROR(VLOOKUP($D1474,'WB Data'!$C$3:$M$578,7,FALSE)/100,"..")</f>
        <v>2.7207200000000001E-2</v>
      </c>
      <c r="BM1474" s="117">
        <f>IFERROR($AW1474*$BL1474,"..")</f>
        <v>2039555518.694272</v>
      </c>
      <c r="BN1474" s="846">
        <f>IFERROR($BB1474/$BM1474,"..")</f>
        <v>0.86133828089766862</v>
      </c>
      <c r="BO1474" s="801">
        <f t="shared" ref="BO1474:BO1537" si="256">_xlfn.IFNA(VLOOKUP($C1474,CPI_2013,2,FALSE),"..")</f>
        <v>38</v>
      </c>
      <c r="BP1474" s="117">
        <f>VLOOKUP($D1474,'WB Data'!$C$3:$M$578,9,FALSE)</f>
        <v>55.6</v>
      </c>
      <c r="BQ1474" s="117">
        <f>VLOOKUP($D1474,'WB Data'!$C$3:$M$578,10,FALSE)</f>
        <v>72.418609756097567</v>
      </c>
      <c r="BR1474" s="117">
        <f>VLOOKUP($D1474,'WB Data'!$C$3:$M$578,11,FALSE)</f>
        <v>21.5</v>
      </c>
      <c r="BS1474" s="129">
        <f>IFERROR(VLOOKUP($D1474,'WB Data 2'!$C$2:$K$545,9,FALSE),"..")</f>
        <v>99.638220000000004</v>
      </c>
      <c r="BT1474" s="129">
        <f>_xlfn.IFNA(VLOOKUP($C1474,RGI!$A$2:$C$43,2,FALSE),"..")</f>
        <v>76.8</v>
      </c>
      <c r="BU1474" s="129">
        <f>_xlfn.IFNA(VLOOKUP($C1474,RGI!$A$2:$C$43,3,FALSE),"..")</f>
        <v>72.816147461462435</v>
      </c>
      <c r="BV1474" s="129">
        <f>VLOOKUP($D1474,WGI!$C$2:$O$478,7,FALSE)</f>
        <v>-1.8341252380880701E-2</v>
      </c>
      <c r="BW1474" s="129">
        <f>VLOOKUP($D1474,WGI!$C$2:$O$478,4,FALSE)</f>
        <v>-0.97676687745370405</v>
      </c>
      <c r="BX1474" s="129">
        <f>VLOOKUP($D1474,WGI!$C$2:$O$478,3,FALSE)</f>
        <v>-0.60044293542902905</v>
      </c>
      <c r="BY1474" s="129">
        <f>VLOOKUP($D1474,WGI!$C$2:$O$478,5,FALSE)</f>
        <v>8.1359403889796206E-2</v>
      </c>
      <c r="BZ1474" s="129">
        <f>VLOOKUP($D1474,WGI!$C$2:$O$478,2,FALSE)</f>
        <v>-0.36012924757922499</v>
      </c>
    </row>
    <row r="1475" spans="1:78" ht="15" customHeight="1">
      <c r="A1475" s="294" t="s">
        <v>451</v>
      </c>
      <c r="B1475" s="117">
        <v>2005</v>
      </c>
      <c r="C1475" s="117" t="s">
        <v>449</v>
      </c>
      <c r="D1475" s="117" t="s">
        <v>3507</v>
      </c>
      <c r="E1475" s="452" t="s">
        <v>220</v>
      </c>
      <c r="F1475" s="117"/>
      <c r="G1475" s="120" t="s">
        <v>24</v>
      </c>
      <c r="H1475" s="117" t="str">
        <f t="shared" si="251"/>
        <v>yes</v>
      </c>
      <c r="I1475" s="117" t="str">
        <f t="shared" si="253"/>
        <v>no</v>
      </c>
      <c r="J1475" s="117" t="str">
        <f t="shared" si="254"/>
        <v>no</v>
      </c>
      <c r="K1475" s="117" t="s">
        <v>1228</v>
      </c>
      <c r="L1475" s="117" t="str">
        <f t="shared" si="252"/>
        <v>detailed</v>
      </c>
      <c r="M1475" s="117" t="str">
        <f t="shared" si="255"/>
        <v>detailed Mining</v>
      </c>
      <c r="N1475" s="179">
        <v>6810000</v>
      </c>
      <c r="O1475" s="179"/>
      <c r="P1475" s="179"/>
      <c r="Q1475" s="179"/>
      <c r="R1475" s="179"/>
      <c r="S1475" s="117" t="s">
        <v>610</v>
      </c>
      <c r="T1475" s="119">
        <v>65</v>
      </c>
      <c r="U1475" s="117" t="s">
        <v>611</v>
      </c>
      <c r="V1475" s="117" t="s">
        <v>2039</v>
      </c>
      <c r="W1475" s="89">
        <f>N1475*T1475</f>
        <v>442650000</v>
      </c>
      <c r="X1475" s="117"/>
      <c r="Y1475" s="492"/>
      <c r="Z1475" s="492"/>
      <c r="AA1475" s="89"/>
      <c r="AB1475" s="89"/>
      <c r="AC1475" s="240"/>
      <c r="AD1475" s="240"/>
      <c r="AE1475" s="240"/>
      <c r="AF1475" s="241"/>
      <c r="AG1475" s="89"/>
      <c r="AH1475" s="124"/>
      <c r="AI1475" s="117"/>
      <c r="AJ1475" s="117"/>
      <c r="AK1475" s="89"/>
      <c r="AL1475" s="117"/>
      <c r="AM1475" s="117"/>
      <c r="AN1475" s="117"/>
      <c r="AO1475" s="117"/>
      <c r="AP1475" s="117"/>
      <c r="AQ1475" s="117"/>
      <c r="AR1475" s="117"/>
      <c r="AS1475" s="117"/>
      <c r="AT1475" s="117"/>
      <c r="AU1475" s="117"/>
      <c r="AV1475" s="128"/>
      <c r="AW1475" s="117">
        <f>VLOOKUP($D1475,'WB Data'!$C$3:$M$578,2,FALSE)</f>
        <v>74963815412.621368</v>
      </c>
      <c r="AX1475" s="117">
        <f>VLOOKUP($D1475,'WB Data'!$C$3:$M$578,3,FALSE)</f>
        <v>27723281</v>
      </c>
      <c r="AY1475" s="847">
        <f t="shared" ref="AY1475:AY1538" si="257">IFERROR($BB1475/$AW1475,"..")</f>
        <v>2.3434602876039049E-2</v>
      </c>
      <c r="AZ1475" s="117">
        <f>VLOOKUP($D1475,'WB Data'!$C$3:$M$578,4,FALSE)/100</f>
        <v>0.18666934873736063</v>
      </c>
      <c r="BA1475" s="117">
        <f t="shared" ref="BA1475:BA1538" si="258">IFERROR($AW1475*$AZ1475,"..")</f>
        <v>13993446601.941748</v>
      </c>
      <c r="BB1475" s="129">
        <f>IFERROR(VLOOKUP($D1475,'EITI Revenues'!$C$2:$G$224,5,FALSE),"..")</f>
        <v>1756747244.267477</v>
      </c>
      <c r="BC1475" s="846">
        <f t="shared" ref="BC1475:BC1538" si="259">IFERROR($BB1475/$BA1475,"..")</f>
        <v>0.12554071160879754</v>
      </c>
      <c r="BD1475" s="129">
        <f>VLOOKUP($D1475,'WB Data 2'!$C$2:$K$545,6,FALSE)</f>
        <v>10433642919.64677</v>
      </c>
      <c r="BE1475" s="129">
        <f>IFERROR(VLOOKUP($D1475,UNCTAD!$C$5:$V$529,4,FALSE),"..")</f>
        <v>19656900000</v>
      </c>
      <c r="BF1475" s="846">
        <f t="shared" ref="BF1475:BF1538" si="260">IFERROR(($BD1475/$BE1475),"..")</f>
        <v>0.53078781087794979</v>
      </c>
      <c r="BG1475" s="117">
        <f>VLOOKUP($D1475,'WB Data'!$C$3:$M$578,5,FALSE)</f>
        <v>450480000</v>
      </c>
      <c r="BH1475" s="129">
        <f>IFERROR($BB1475/$BG1475,"..")</f>
        <v>3.8997230604410342</v>
      </c>
      <c r="BI1475" s="117">
        <f>IFERROR(VLOOKUP($D1475,'WB Data'!$C$3:$M$578,7,FALSE)/100,"..")</f>
        <v>2.7207200000000001E-2</v>
      </c>
      <c r="BJ1475" s="117">
        <f>IFERROR($BI1475*$AW1475,"..")</f>
        <v>2039555518.694272</v>
      </c>
      <c r="BK1475" s="846">
        <f>IFERROR($BB1475/$BJ1475,"..")</f>
        <v>0.86133828089766862</v>
      </c>
      <c r="BL1475" s="117">
        <f>IFERROR(VLOOKUP($D1475,'WB Data'!$C$3:$M$578,7,FALSE)/100,"..")</f>
        <v>2.7207200000000001E-2</v>
      </c>
      <c r="BM1475" s="117">
        <f>IFERROR($AW1475*$BL1475,"..")</f>
        <v>2039555518.694272</v>
      </c>
      <c r="BN1475" s="846">
        <f>IFERROR($BB1475/$BM1475,"..")</f>
        <v>0.86133828089766862</v>
      </c>
      <c r="BO1475" s="801">
        <f t="shared" si="256"/>
        <v>38</v>
      </c>
      <c r="BP1475" s="117">
        <f>VLOOKUP($D1475,'WB Data'!$C$3:$M$578,9,FALSE)</f>
        <v>55.6</v>
      </c>
      <c r="BQ1475" s="117">
        <f>VLOOKUP($D1475,'WB Data'!$C$3:$M$578,10,FALSE)</f>
        <v>72.418609756097567</v>
      </c>
      <c r="BR1475" s="117">
        <f>VLOOKUP($D1475,'WB Data'!$C$3:$M$578,11,FALSE)</f>
        <v>21.5</v>
      </c>
      <c r="BS1475" s="129">
        <f>IFERROR(VLOOKUP($D1475,'WB Data 2'!$C$2:$K$545,9,FALSE),"..")</f>
        <v>99.638220000000004</v>
      </c>
      <c r="BT1475" s="129">
        <f>_xlfn.IFNA(VLOOKUP($C1475,RGI!$A$2:$C$43,2,FALSE),"..")</f>
        <v>76.8</v>
      </c>
      <c r="BU1475" s="129">
        <f>_xlfn.IFNA(VLOOKUP($C1475,RGI!$A$2:$C$43,3,FALSE),"..")</f>
        <v>72.816147461462435</v>
      </c>
      <c r="BV1475" s="129">
        <f>VLOOKUP($D1475,WGI!$C$2:$O$478,7,FALSE)</f>
        <v>-1.8341252380880701E-2</v>
      </c>
      <c r="BW1475" s="129">
        <f>VLOOKUP($D1475,WGI!$C$2:$O$478,4,FALSE)</f>
        <v>-0.97676687745370405</v>
      </c>
      <c r="BX1475" s="129">
        <f>VLOOKUP($D1475,WGI!$C$2:$O$478,3,FALSE)</f>
        <v>-0.60044293542902905</v>
      </c>
      <c r="BY1475" s="129">
        <f>VLOOKUP($D1475,WGI!$C$2:$O$478,5,FALSE)</f>
        <v>8.1359403889796206E-2</v>
      </c>
      <c r="BZ1475" s="129">
        <f>VLOOKUP($D1475,WGI!$C$2:$O$478,2,FALSE)</f>
        <v>-0.36012924757922499</v>
      </c>
    </row>
    <row r="1476" spans="1:78" ht="15" customHeight="1">
      <c r="A1476" s="294" t="s">
        <v>451</v>
      </c>
      <c r="B1476" s="117">
        <v>2005</v>
      </c>
      <c r="C1476" s="117" t="s">
        <v>449</v>
      </c>
      <c r="D1476" s="117" t="s">
        <v>3507</v>
      </c>
      <c r="E1476" s="452" t="s">
        <v>220</v>
      </c>
      <c r="F1476" s="117"/>
      <c r="G1476" s="120" t="s">
        <v>24</v>
      </c>
      <c r="H1476" s="117" t="str">
        <f t="shared" si="251"/>
        <v>yes</v>
      </c>
      <c r="I1476" s="117" t="str">
        <f t="shared" si="253"/>
        <v>no</v>
      </c>
      <c r="J1476" s="117" t="str">
        <f t="shared" si="254"/>
        <v>no</v>
      </c>
      <c r="K1476" s="117" t="s">
        <v>1473</v>
      </c>
      <c r="L1476" s="117" t="str">
        <f t="shared" si="252"/>
        <v>detailed</v>
      </c>
      <c r="M1476" s="117" t="str">
        <f t="shared" si="255"/>
        <v>detailed Mining</v>
      </c>
      <c r="N1476" s="179"/>
      <c r="O1476" s="179"/>
      <c r="P1476" s="179"/>
      <c r="Q1476" s="179"/>
      <c r="R1476" s="179"/>
      <c r="S1476" s="117"/>
      <c r="T1476" s="186">
        <v>976.36816666667005</v>
      </c>
      <c r="U1476" s="117" t="s">
        <v>611</v>
      </c>
      <c r="V1476" s="117" t="s">
        <v>2040</v>
      </c>
      <c r="W1476" s="89">
        <f>N1478*T1476</f>
        <v>119194049.41850041</v>
      </c>
      <c r="X1476" s="117"/>
      <c r="Y1476" s="89"/>
      <c r="Z1476" s="89"/>
      <c r="AA1476" s="117"/>
      <c r="AB1476" s="117"/>
      <c r="AC1476" s="240" t="s">
        <v>2063</v>
      </c>
      <c r="AD1476" s="240"/>
      <c r="AE1476" s="240"/>
      <c r="AF1476" s="241"/>
      <c r="AG1476" s="89"/>
      <c r="AH1476" s="124"/>
      <c r="AI1476" s="117"/>
      <c r="AJ1476" s="117"/>
      <c r="AK1476" s="89"/>
      <c r="AL1476" s="117"/>
      <c r="AM1476" s="117"/>
      <c r="AN1476" s="117">
        <v>10</v>
      </c>
      <c r="AO1476" s="117" t="s">
        <v>2042</v>
      </c>
      <c r="AP1476" s="117">
        <v>10</v>
      </c>
      <c r="AQ1476" s="117"/>
      <c r="AR1476" s="117"/>
      <c r="AS1476" s="117"/>
      <c r="AT1476" s="117"/>
      <c r="AU1476" s="117"/>
      <c r="AV1476" s="128"/>
      <c r="AW1476" s="117">
        <f>VLOOKUP($D1476,'WB Data'!$C$3:$M$578,2,FALSE)</f>
        <v>74963815412.621368</v>
      </c>
      <c r="AX1476" s="117">
        <f>VLOOKUP($D1476,'WB Data'!$C$3:$M$578,3,FALSE)</f>
        <v>27723281</v>
      </c>
      <c r="AY1476" s="847">
        <f t="shared" si="257"/>
        <v>2.3434602876039049E-2</v>
      </c>
      <c r="AZ1476" s="117">
        <f>VLOOKUP($D1476,'WB Data'!$C$3:$M$578,4,FALSE)/100</f>
        <v>0.18666934873736063</v>
      </c>
      <c r="BA1476" s="117">
        <f t="shared" si="258"/>
        <v>13993446601.941748</v>
      </c>
      <c r="BB1476" s="129">
        <f>IFERROR(VLOOKUP($D1476,'EITI Revenues'!$C$2:$G$224,5,FALSE),"..")</f>
        <v>1756747244.267477</v>
      </c>
      <c r="BC1476" s="846">
        <f t="shared" si="259"/>
        <v>0.12554071160879754</v>
      </c>
      <c r="BD1476" s="129">
        <f>VLOOKUP($D1476,'WB Data 2'!$C$2:$K$545,6,FALSE)</f>
        <v>10433642919.64677</v>
      </c>
      <c r="BE1476" s="129">
        <f>IFERROR(VLOOKUP($D1476,UNCTAD!$C$5:$V$529,4,FALSE),"..")</f>
        <v>19656900000</v>
      </c>
      <c r="BF1476" s="846">
        <f t="shared" si="260"/>
        <v>0.53078781087794979</v>
      </c>
      <c r="BG1476" s="117">
        <f>VLOOKUP($D1476,'WB Data'!$C$3:$M$578,5,FALSE)</f>
        <v>450480000</v>
      </c>
      <c r="BH1476" s="129">
        <f>IFERROR($BB1476/$BG1476,"..")</f>
        <v>3.8997230604410342</v>
      </c>
      <c r="BI1476" s="117">
        <f>IFERROR(VLOOKUP($D1476,'WB Data'!$C$3:$M$578,7,FALSE)/100,"..")</f>
        <v>2.7207200000000001E-2</v>
      </c>
      <c r="BJ1476" s="117">
        <f>IFERROR($BI1476*$AW1476,"..")</f>
        <v>2039555518.694272</v>
      </c>
      <c r="BK1476" s="846">
        <f>IFERROR($BB1476/$BJ1476,"..")</f>
        <v>0.86133828089766862</v>
      </c>
      <c r="BL1476" s="117">
        <f>IFERROR(VLOOKUP($D1476,'WB Data'!$C$3:$M$578,7,FALSE)/100,"..")</f>
        <v>2.7207200000000001E-2</v>
      </c>
      <c r="BM1476" s="117">
        <f>IFERROR($AW1476*$BL1476,"..")</f>
        <v>2039555518.694272</v>
      </c>
      <c r="BN1476" s="846">
        <f>IFERROR($BB1476/$BM1476,"..")</f>
        <v>0.86133828089766862</v>
      </c>
      <c r="BO1476" s="801">
        <f t="shared" si="256"/>
        <v>38</v>
      </c>
      <c r="BP1476" s="117">
        <f>VLOOKUP($D1476,'WB Data'!$C$3:$M$578,9,FALSE)</f>
        <v>55.6</v>
      </c>
      <c r="BQ1476" s="117">
        <f>VLOOKUP($D1476,'WB Data'!$C$3:$M$578,10,FALSE)</f>
        <v>72.418609756097567</v>
      </c>
      <c r="BR1476" s="117">
        <f>VLOOKUP($D1476,'WB Data'!$C$3:$M$578,11,FALSE)</f>
        <v>21.5</v>
      </c>
      <c r="BS1476" s="129">
        <f>IFERROR(VLOOKUP($D1476,'WB Data 2'!$C$2:$K$545,9,FALSE),"..")</f>
        <v>99.638220000000004</v>
      </c>
      <c r="BT1476" s="129">
        <f>_xlfn.IFNA(VLOOKUP($C1476,RGI!$A$2:$C$43,2,FALSE),"..")</f>
        <v>76.8</v>
      </c>
      <c r="BU1476" s="129">
        <f>_xlfn.IFNA(VLOOKUP($C1476,RGI!$A$2:$C$43,3,FALSE),"..")</f>
        <v>72.816147461462435</v>
      </c>
      <c r="BV1476" s="129">
        <f>VLOOKUP($D1476,WGI!$C$2:$O$478,7,FALSE)</f>
        <v>-1.8341252380880701E-2</v>
      </c>
      <c r="BW1476" s="129">
        <f>VLOOKUP($D1476,WGI!$C$2:$O$478,4,FALSE)</f>
        <v>-0.97676687745370405</v>
      </c>
      <c r="BX1476" s="129">
        <f>VLOOKUP($D1476,WGI!$C$2:$O$478,3,FALSE)</f>
        <v>-0.60044293542902905</v>
      </c>
      <c r="BY1476" s="129">
        <f>VLOOKUP($D1476,WGI!$C$2:$O$478,5,FALSE)</f>
        <v>8.1359403889796206E-2</v>
      </c>
      <c r="BZ1476" s="129">
        <f>VLOOKUP($D1476,WGI!$C$2:$O$478,2,FALSE)</f>
        <v>-0.36012924757922499</v>
      </c>
    </row>
    <row r="1477" spans="1:78" ht="15" customHeight="1">
      <c r="A1477" s="294" t="s">
        <v>451</v>
      </c>
      <c r="B1477" s="117">
        <v>2005</v>
      </c>
      <c r="C1477" s="117" t="s">
        <v>449</v>
      </c>
      <c r="D1477" s="117" t="s">
        <v>3507</v>
      </c>
      <c r="E1477" s="452" t="s">
        <v>220</v>
      </c>
      <c r="F1477" s="117"/>
      <c r="G1477" s="120" t="s">
        <v>24</v>
      </c>
      <c r="H1477" s="117" t="str">
        <f t="shared" si="251"/>
        <v>yes</v>
      </c>
      <c r="I1477" s="117" t="str">
        <f t="shared" si="253"/>
        <v>no</v>
      </c>
      <c r="J1477" s="117" t="str">
        <f t="shared" si="254"/>
        <v>no</v>
      </c>
      <c r="K1477" s="117" t="s">
        <v>2043</v>
      </c>
      <c r="L1477" s="117" t="str">
        <f t="shared" si="252"/>
        <v>detailed</v>
      </c>
      <c r="M1477" s="117" t="str">
        <f t="shared" si="255"/>
        <v>detailed Mining</v>
      </c>
      <c r="N1477" s="179">
        <v>319368</v>
      </c>
      <c r="O1477" s="179"/>
      <c r="P1477" s="179"/>
      <c r="Q1477" s="179"/>
      <c r="R1477" s="179"/>
      <c r="S1477" s="117" t="s">
        <v>610</v>
      </c>
      <c r="T1477" s="119"/>
      <c r="U1477" s="117"/>
      <c r="V1477" s="117" t="s">
        <v>1146</v>
      </c>
      <c r="W1477" s="89"/>
      <c r="X1477" s="117"/>
      <c r="Y1477" s="120"/>
      <c r="Z1477" s="120"/>
      <c r="AA1477" s="89"/>
      <c r="AB1477" s="89"/>
      <c r="AC1477" s="240"/>
      <c r="AD1477" s="240"/>
      <c r="AE1477" s="240"/>
      <c r="AF1477" s="241"/>
      <c r="AG1477" s="120"/>
      <c r="AH1477" s="124"/>
      <c r="AI1477" s="117"/>
      <c r="AJ1477" s="117"/>
      <c r="AK1477" s="89"/>
      <c r="AL1477" s="117"/>
      <c r="AM1477" s="117"/>
      <c r="AN1477" s="117"/>
      <c r="AO1477" s="117"/>
      <c r="AP1477" s="117"/>
      <c r="AQ1477" s="117"/>
      <c r="AR1477" s="117"/>
      <c r="AS1477" s="117"/>
      <c r="AT1477" s="117"/>
      <c r="AU1477" s="117"/>
      <c r="AV1477" s="128"/>
      <c r="AW1477" s="117">
        <f>VLOOKUP($D1477,'WB Data'!$C$3:$M$578,2,FALSE)</f>
        <v>74963815412.621368</v>
      </c>
      <c r="AX1477" s="117">
        <f>VLOOKUP($D1477,'WB Data'!$C$3:$M$578,3,FALSE)</f>
        <v>27723281</v>
      </c>
      <c r="AY1477" s="847">
        <f t="shared" si="257"/>
        <v>2.3434602876039049E-2</v>
      </c>
      <c r="AZ1477" s="117">
        <f>VLOOKUP($D1477,'WB Data'!$C$3:$M$578,4,FALSE)/100</f>
        <v>0.18666934873736063</v>
      </c>
      <c r="BA1477" s="117">
        <f t="shared" si="258"/>
        <v>13993446601.941748</v>
      </c>
      <c r="BB1477" s="129">
        <f>IFERROR(VLOOKUP($D1477,'EITI Revenues'!$C$2:$G$224,5,FALSE),"..")</f>
        <v>1756747244.267477</v>
      </c>
      <c r="BC1477" s="846">
        <f t="shared" si="259"/>
        <v>0.12554071160879754</v>
      </c>
      <c r="BD1477" s="129">
        <f>VLOOKUP($D1477,'WB Data 2'!$C$2:$K$545,6,FALSE)</f>
        <v>10433642919.64677</v>
      </c>
      <c r="BE1477" s="129">
        <f>IFERROR(VLOOKUP($D1477,UNCTAD!$C$5:$V$529,4,FALSE),"..")</f>
        <v>19656900000</v>
      </c>
      <c r="BF1477" s="846">
        <f t="shared" si="260"/>
        <v>0.53078781087794979</v>
      </c>
      <c r="BG1477" s="117">
        <f>VLOOKUP($D1477,'WB Data'!$C$3:$M$578,5,FALSE)</f>
        <v>450480000</v>
      </c>
      <c r="BH1477" s="129">
        <f>IFERROR($BB1477/$BG1477,"..")</f>
        <v>3.8997230604410342</v>
      </c>
      <c r="BI1477" s="117">
        <f>IFERROR(VLOOKUP($D1477,'WB Data'!$C$3:$M$578,7,FALSE)/100,"..")</f>
        <v>2.7207200000000001E-2</v>
      </c>
      <c r="BJ1477" s="117">
        <f>IFERROR($BI1477*$AW1477,"..")</f>
        <v>2039555518.694272</v>
      </c>
      <c r="BK1477" s="846">
        <f>IFERROR($BB1477/$BJ1477,"..")</f>
        <v>0.86133828089766862</v>
      </c>
      <c r="BL1477" s="117">
        <f>IFERROR(VLOOKUP($D1477,'WB Data'!$C$3:$M$578,7,FALSE)/100,"..")</f>
        <v>2.7207200000000001E-2</v>
      </c>
      <c r="BM1477" s="117">
        <f>IFERROR($AW1477*$BL1477,"..")</f>
        <v>2039555518.694272</v>
      </c>
      <c r="BN1477" s="846">
        <f>IFERROR($BB1477/$BM1477,"..")</f>
        <v>0.86133828089766862</v>
      </c>
      <c r="BO1477" s="801">
        <f t="shared" si="256"/>
        <v>38</v>
      </c>
      <c r="BP1477" s="117">
        <f>VLOOKUP($D1477,'WB Data'!$C$3:$M$578,9,FALSE)</f>
        <v>55.6</v>
      </c>
      <c r="BQ1477" s="117">
        <f>VLOOKUP($D1477,'WB Data'!$C$3:$M$578,10,FALSE)</f>
        <v>72.418609756097567</v>
      </c>
      <c r="BR1477" s="117">
        <f>VLOOKUP($D1477,'WB Data'!$C$3:$M$578,11,FALSE)</f>
        <v>21.5</v>
      </c>
      <c r="BS1477" s="129">
        <f>IFERROR(VLOOKUP($D1477,'WB Data 2'!$C$2:$K$545,9,FALSE),"..")</f>
        <v>99.638220000000004</v>
      </c>
      <c r="BT1477" s="129">
        <f>_xlfn.IFNA(VLOOKUP($C1477,RGI!$A$2:$C$43,2,FALSE),"..")</f>
        <v>76.8</v>
      </c>
      <c r="BU1477" s="129">
        <f>_xlfn.IFNA(VLOOKUP($C1477,RGI!$A$2:$C$43,3,FALSE),"..")</f>
        <v>72.816147461462435</v>
      </c>
      <c r="BV1477" s="129">
        <f>VLOOKUP($D1477,WGI!$C$2:$O$478,7,FALSE)</f>
        <v>-1.8341252380880701E-2</v>
      </c>
      <c r="BW1477" s="129">
        <f>VLOOKUP($D1477,WGI!$C$2:$O$478,4,FALSE)</f>
        <v>-0.97676687745370405</v>
      </c>
      <c r="BX1477" s="129">
        <f>VLOOKUP($D1477,WGI!$C$2:$O$478,3,FALSE)</f>
        <v>-0.60044293542902905</v>
      </c>
      <c r="BY1477" s="129">
        <f>VLOOKUP($D1477,WGI!$C$2:$O$478,5,FALSE)</f>
        <v>8.1359403889796206E-2</v>
      </c>
      <c r="BZ1477" s="129">
        <f>VLOOKUP($D1477,WGI!$C$2:$O$478,2,FALSE)</f>
        <v>-0.36012924757922499</v>
      </c>
    </row>
    <row r="1478" spans="1:78" ht="15" customHeight="1">
      <c r="A1478" s="294" t="s">
        <v>451</v>
      </c>
      <c r="B1478" s="117">
        <v>2005</v>
      </c>
      <c r="C1478" s="117" t="s">
        <v>449</v>
      </c>
      <c r="D1478" s="117" t="s">
        <v>3507</v>
      </c>
      <c r="E1478" s="452" t="s">
        <v>220</v>
      </c>
      <c r="F1478" s="117"/>
      <c r="G1478" s="120" t="s">
        <v>24</v>
      </c>
      <c r="H1478" s="117" t="str">
        <f t="shared" si="251"/>
        <v>yes</v>
      </c>
      <c r="I1478" s="117" t="str">
        <f t="shared" si="253"/>
        <v>no</v>
      </c>
      <c r="J1478" s="117" t="str">
        <f t="shared" si="254"/>
        <v>no</v>
      </c>
      <c r="K1478" s="117" t="s">
        <v>1336</v>
      </c>
      <c r="L1478" s="117" t="str">
        <f t="shared" si="252"/>
        <v>detailed</v>
      </c>
      <c r="M1478" s="117" t="str">
        <f t="shared" si="255"/>
        <v>detailed Mining</v>
      </c>
      <c r="N1478" s="179">
        <v>122079</v>
      </c>
      <c r="O1478" s="179"/>
      <c r="P1478" s="179"/>
      <c r="Q1478" s="179"/>
      <c r="R1478" s="179"/>
      <c r="S1478" s="117" t="s">
        <v>610</v>
      </c>
      <c r="T1478" s="119"/>
      <c r="U1478" s="117"/>
      <c r="V1478" s="117" t="s">
        <v>1146</v>
      </c>
      <c r="W1478" s="89"/>
      <c r="X1478" s="117"/>
      <c r="Y1478" s="120"/>
      <c r="Z1478" s="120"/>
      <c r="AA1478" s="89"/>
      <c r="AB1478" s="89"/>
      <c r="AC1478" s="240"/>
      <c r="AD1478" s="240"/>
      <c r="AE1478" s="240"/>
      <c r="AF1478" s="241"/>
      <c r="AG1478" s="120"/>
      <c r="AH1478" s="124"/>
      <c r="AI1478" s="117"/>
      <c r="AJ1478" s="117"/>
      <c r="AK1478" s="89"/>
      <c r="AL1478" s="117"/>
      <c r="AM1478" s="117"/>
      <c r="AN1478" s="117"/>
      <c r="AO1478" s="117"/>
      <c r="AP1478" s="117"/>
      <c r="AQ1478" s="117"/>
      <c r="AR1478" s="117"/>
      <c r="AS1478" s="117"/>
      <c r="AT1478" s="117"/>
      <c r="AU1478" s="117"/>
      <c r="AV1478" s="128"/>
      <c r="AW1478" s="117">
        <f>VLOOKUP($D1478,'WB Data'!$C$3:$M$578,2,FALSE)</f>
        <v>74963815412.621368</v>
      </c>
      <c r="AX1478" s="117">
        <f>VLOOKUP($D1478,'WB Data'!$C$3:$M$578,3,FALSE)</f>
        <v>27723281</v>
      </c>
      <c r="AY1478" s="847">
        <f t="shared" si="257"/>
        <v>2.3434602876039049E-2</v>
      </c>
      <c r="AZ1478" s="117">
        <f>VLOOKUP($D1478,'WB Data'!$C$3:$M$578,4,FALSE)/100</f>
        <v>0.18666934873736063</v>
      </c>
      <c r="BA1478" s="117">
        <f t="shared" si="258"/>
        <v>13993446601.941748</v>
      </c>
      <c r="BB1478" s="129">
        <f>IFERROR(VLOOKUP($D1478,'EITI Revenues'!$C$2:$G$224,5,FALSE),"..")</f>
        <v>1756747244.267477</v>
      </c>
      <c r="BC1478" s="846">
        <f t="shared" si="259"/>
        <v>0.12554071160879754</v>
      </c>
      <c r="BD1478" s="129">
        <f>VLOOKUP($D1478,'WB Data 2'!$C$2:$K$545,6,FALSE)</f>
        <v>10433642919.64677</v>
      </c>
      <c r="BE1478" s="129">
        <f>IFERROR(VLOOKUP($D1478,UNCTAD!$C$5:$V$529,4,FALSE),"..")</f>
        <v>19656900000</v>
      </c>
      <c r="BF1478" s="846">
        <f t="shared" si="260"/>
        <v>0.53078781087794979</v>
      </c>
      <c r="BG1478" s="117">
        <f>VLOOKUP($D1478,'WB Data'!$C$3:$M$578,5,FALSE)</f>
        <v>450480000</v>
      </c>
      <c r="BH1478" s="129">
        <f>IFERROR($BB1478/$BG1478,"..")</f>
        <v>3.8997230604410342</v>
      </c>
      <c r="BI1478" s="117">
        <f>IFERROR(VLOOKUP($D1478,'WB Data'!$C$3:$M$578,7,FALSE)/100,"..")</f>
        <v>2.7207200000000001E-2</v>
      </c>
      <c r="BJ1478" s="117">
        <f>IFERROR($BI1478*$AW1478,"..")</f>
        <v>2039555518.694272</v>
      </c>
      <c r="BK1478" s="846">
        <f>IFERROR($BB1478/$BJ1478,"..")</f>
        <v>0.86133828089766862</v>
      </c>
      <c r="BL1478" s="117">
        <f>IFERROR(VLOOKUP($D1478,'WB Data'!$C$3:$M$578,7,FALSE)/100,"..")</f>
        <v>2.7207200000000001E-2</v>
      </c>
      <c r="BM1478" s="117">
        <f>IFERROR($AW1478*$BL1478,"..")</f>
        <v>2039555518.694272</v>
      </c>
      <c r="BN1478" s="846">
        <f>IFERROR($BB1478/$BM1478,"..")</f>
        <v>0.86133828089766862</v>
      </c>
      <c r="BO1478" s="801">
        <f t="shared" si="256"/>
        <v>38</v>
      </c>
      <c r="BP1478" s="117">
        <f>VLOOKUP($D1478,'WB Data'!$C$3:$M$578,9,FALSE)</f>
        <v>55.6</v>
      </c>
      <c r="BQ1478" s="117">
        <f>VLOOKUP($D1478,'WB Data'!$C$3:$M$578,10,FALSE)</f>
        <v>72.418609756097567</v>
      </c>
      <c r="BR1478" s="117">
        <f>VLOOKUP($D1478,'WB Data'!$C$3:$M$578,11,FALSE)</f>
        <v>21.5</v>
      </c>
      <c r="BS1478" s="129">
        <f>IFERROR(VLOOKUP($D1478,'WB Data 2'!$C$2:$K$545,9,FALSE),"..")</f>
        <v>99.638220000000004</v>
      </c>
      <c r="BT1478" s="129">
        <f>_xlfn.IFNA(VLOOKUP($C1478,RGI!$A$2:$C$43,2,FALSE),"..")</f>
        <v>76.8</v>
      </c>
      <c r="BU1478" s="129">
        <f>_xlfn.IFNA(VLOOKUP($C1478,RGI!$A$2:$C$43,3,FALSE),"..")</f>
        <v>72.816147461462435</v>
      </c>
      <c r="BV1478" s="129">
        <f>VLOOKUP($D1478,WGI!$C$2:$O$478,7,FALSE)</f>
        <v>-1.8341252380880701E-2</v>
      </c>
      <c r="BW1478" s="129">
        <f>VLOOKUP($D1478,WGI!$C$2:$O$478,4,FALSE)</f>
        <v>-0.97676687745370405</v>
      </c>
      <c r="BX1478" s="129">
        <f>VLOOKUP($D1478,WGI!$C$2:$O$478,3,FALSE)</f>
        <v>-0.60044293542902905</v>
      </c>
      <c r="BY1478" s="129">
        <f>VLOOKUP($D1478,WGI!$C$2:$O$478,5,FALSE)</f>
        <v>8.1359403889796206E-2</v>
      </c>
      <c r="BZ1478" s="129">
        <f>VLOOKUP($D1478,WGI!$C$2:$O$478,2,FALSE)</f>
        <v>-0.36012924757922499</v>
      </c>
    </row>
    <row r="1479" spans="1:78" ht="15" customHeight="1">
      <c r="A1479" s="294" t="s">
        <v>451</v>
      </c>
      <c r="B1479" s="117">
        <v>2005</v>
      </c>
      <c r="C1479" s="117" t="s">
        <v>449</v>
      </c>
      <c r="D1479" s="117" t="s">
        <v>3507</v>
      </c>
      <c r="E1479" s="452" t="s">
        <v>220</v>
      </c>
      <c r="F1479" s="117"/>
      <c r="G1479" s="120" t="s">
        <v>24</v>
      </c>
      <c r="H1479" s="117" t="str">
        <f t="shared" si="251"/>
        <v>yes</v>
      </c>
      <c r="I1479" s="117" t="str">
        <f t="shared" si="253"/>
        <v>no</v>
      </c>
      <c r="J1479" s="117" t="str">
        <f t="shared" si="254"/>
        <v>no</v>
      </c>
      <c r="K1479" s="117" t="s">
        <v>1437</v>
      </c>
      <c r="L1479" s="117" t="str">
        <f t="shared" si="252"/>
        <v>detailed</v>
      </c>
      <c r="M1479" s="117" t="str">
        <f t="shared" si="255"/>
        <v>detailed Mining</v>
      </c>
      <c r="N1479" s="179">
        <v>330000</v>
      </c>
      <c r="O1479" s="179"/>
      <c r="P1479" s="179"/>
      <c r="Q1479" s="179"/>
      <c r="R1479" s="179"/>
      <c r="S1479" s="117" t="s">
        <v>610</v>
      </c>
      <c r="T1479" s="119"/>
      <c r="U1479" s="117"/>
      <c r="V1479" s="117" t="s">
        <v>1146</v>
      </c>
      <c r="W1479" s="89"/>
      <c r="X1479" s="117"/>
      <c r="Y1479" s="89"/>
      <c r="Z1479" s="89"/>
      <c r="AA1479" s="89"/>
      <c r="AB1479" s="89"/>
      <c r="AC1479" s="240"/>
      <c r="AD1479" s="240"/>
      <c r="AE1479" s="240"/>
      <c r="AF1479" s="241"/>
      <c r="AG1479" s="89"/>
      <c r="AH1479" s="124"/>
      <c r="AI1479" s="117"/>
      <c r="AJ1479" s="117"/>
      <c r="AK1479" s="89"/>
      <c r="AL1479" s="117"/>
      <c r="AM1479" s="117"/>
      <c r="AN1479" s="117"/>
      <c r="AO1479" s="117"/>
      <c r="AP1479" s="117"/>
      <c r="AQ1479" s="117"/>
      <c r="AR1479" s="117"/>
      <c r="AS1479" s="117"/>
      <c r="AT1479" s="117"/>
      <c r="AU1479" s="117"/>
      <c r="AV1479" s="128"/>
      <c r="AW1479" s="117">
        <f>VLOOKUP($D1479,'WB Data'!$C$3:$M$578,2,FALSE)</f>
        <v>74963815412.621368</v>
      </c>
      <c r="AX1479" s="117">
        <f>VLOOKUP($D1479,'WB Data'!$C$3:$M$578,3,FALSE)</f>
        <v>27723281</v>
      </c>
      <c r="AY1479" s="847">
        <f t="shared" si="257"/>
        <v>2.3434602876039049E-2</v>
      </c>
      <c r="AZ1479" s="117">
        <f>VLOOKUP($D1479,'WB Data'!$C$3:$M$578,4,FALSE)/100</f>
        <v>0.18666934873736063</v>
      </c>
      <c r="BA1479" s="117">
        <f t="shared" si="258"/>
        <v>13993446601.941748</v>
      </c>
      <c r="BB1479" s="129">
        <f>IFERROR(VLOOKUP($D1479,'EITI Revenues'!$C$2:$G$224,5,FALSE),"..")</f>
        <v>1756747244.267477</v>
      </c>
      <c r="BC1479" s="846">
        <f t="shared" si="259"/>
        <v>0.12554071160879754</v>
      </c>
      <c r="BD1479" s="129">
        <f>VLOOKUP($D1479,'WB Data 2'!$C$2:$K$545,6,FALSE)</f>
        <v>10433642919.64677</v>
      </c>
      <c r="BE1479" s="129">
        <f>IFERROR(VLOOKUP($D1479,UNCTAD!$C$5:$V$529,4,FALSE),"..")</f>
        <v>19656900000</v>
      </c>
      <c r="BF1479" s="846">
        <f t="shared" si="260"/>
        <v>0.53078781087794979</v>
      </c>
      <c r="BG1479" s="117">
        <f>VLOOKUP($D1479,'WB Data'!$C$3:$M$578,5,FALSE)</f>
        <v>450480000</v>
      </c>
      <c r="BH1479" s="129">
        <f>IFERROR($BB1479/$BG1479,"..")</f>
        <v>3.8997230604410342</v>
      </c>
      <c r="BI1479" s="117">
        <f>IFERROR(VLOOKUP($D1479,'WB Data'!$C$3:$M$578,7,FALSE)/100,"..")</f>
        <v>2.7207200000000001E-2</v>
      </c>
      <c r="BJ1479" s="117">
        <f>IFERROR($BI1479*$AW1479,"..")</f>
        <v>2039555518.694272</v>
      </c>
      <c r="BK1479" s="846">
        <f>IFERROR($BB1479/$BJ1479,"..")</f>
        <v>0.86133828089766862</v>
      </c>
      <c r="BL1479" s="117">
        <f>IFERROR(VLOOKUP($D1479,'WB Data'!$C$3:$M$578,7,FALSE)/100,"..")</f>
        <v>2.7207200000000001E-2</v>
      </c>
      <c r="BM1479" s="117">
        <f>IFERROR($AW1479*$BL1479,"..")</f>
        <v>2039555518.694272</v>
      </c>
      <c r="BN1479" s="846">
        <f>IFERROR($BB1479/$BM1479,"..")</f>
        <v>0.86133828089766862</v>
      </c>
      <c r="BO1479" s="801">
        <f t="shared" si="256"/>
        <v>38</v>
      </c>
      <c r="BP1479" s="117">
        <f>VLOOKUP($D1479,'WB Data'!$C$3:$M$578,9,FALSE)</f>
        <v>55.6</v>
      </c>
      <c r="BQ1479" s="117">
        <f>VLOOKUP($D1479,'WB Data'!$C$3:$M$578,10,FALSE)</f>
        <v>72.418609756097567</v>
      </c>
      <c r="BR1479" s="117">
        <f>VLOOKUP($D1479,'WB Data'!$C$3:$M$578,11,FALSE)</f>
        <v>21.5</v>
      </c>
      <c r="BS1479" s="129">
        <f>IFERROR(VLOOKUP($D1479,'WB Data 2'!$C$2:$K$545,9,FALSE),"..")</f>
        <v>99.638220000000004</v>
      </c>
      <c r="BT1479" s="129">
        <f>_xlfn.IFNA(VLOOKUP($C1479,RGI!$A$2:$C$43,2,FALSE),"..")</f>
        <v>76.8</v>
      </c>
      <c r="BU1479" s="129">
        <f>_xlfn.IFNA(VLOOKUP($C1479,RGI!$A$2:$C$43,3,FALSE),"..")</f>
        <v>72.816147461462435</v>
      </c>
      <c r="BV1479" s="129">
        <f>VLOOKUP($D1479,WGI!$C$2:$O$478,7,FALSE)</f>
        <v>-1.8341252380880701E-2</v>
      </c>
      <c r="BW1479" s="129">
        <f>VLOOKUP($D1479,WGI!$C$2:$O$478,4,FALSE)</f>
        <v>-0.97676687745370405</v>
      </c>
      <c r="BX1479" s="129">
        <f>VLOOKUP($D1479,WGI!$C$2:$O$478,3,FALSE)</f>
        <v>-0.60044293542902905</v>
      </c>
      <c r="BY1479" s="129">
        <f>VLOOKUP($D1479,WGI!$C$2:$O$478,5,FALSE)</f>
        <v>8.1359403889796206E-2</v>
      </c>
      <c r="BZ1479" s="129">
        <f>VLOOKUP($D1479,WGI!$C$2:$O$478,2,FALSE)</f>
        <v>-0.36012924757922499</v>
      </c>
    </row>
    <row r="1480" spans="1:78" ht="15" customHeight="1">
      <c r="A1480" s="294" t="s">
        <v>451</v>
      </c>
      <c r="B1480" s="117">
        <v>2005</v>
      </c>
      <c r="C1480" s="117" t="s">
        <v>449</v>
      </c>
      <c r="D1480" s="117" t="s">
        <v>3507</v>
      </c>
      <c r="E1480" s="452" t="s">
        <v>220</v>
      </c>
      <c r="F1480" s="117"/>
      <c r="G1480" s="120" t="s">
        <v>24</v>
      </c>
      <c r="H1480" s="117" t="str">
        <f t="shared" si="251"/>
        <v>yes</v>
      </c>
      <c r="I1480" s="117" t="str">
        <f t="shared" si="253"/>
        <v>no</v>
      </c>
      <c r="J1480" s="117" t="str">
        <f t="shared" si="254"/>
        <v>no</v>
      </c>
      <c r="K1480" s="117" t="s">
        <v>2044</v>
      </c>
      <c r="L1480" s="117" t="str">
        <f t="shared" si="252"/>
        <v>detailed</v>
      </c>
      <c r="M1480" s="117" t="str">
        <f t="shared" si="255"/>
        <v>detailed Mining</v>
      </c>
      <c r="N1480" s="179">
        <v>69820</v>
      </c>
      <c r="O1480" s="179"/>
      <c r="P1480" s="179"/>
      <c r="Q1480" s="179"/>
      <c r="R1480" s="179"/>
      <c r="S1480" s="117" t="s">
        <v>610</v>
      </c>
      <c r="T1480" s="119">
        <f>51.44/0.000453592</f>
        <v>113405.88017425351</v>
      </c>
      <c r="U1480" s="117" t="s">
        <v>611</v>
      </c>
      <c r="V1480" s="117" t="s">
        <v>2045</v>
      </c>
      <c r="W1480" s="89">
        <f>N1480*T1480</f>
        <v>7917998553.7663803</v>
      </c>
      <c r="X1480" s="117"/>
      <c r="Y1480" s="89"/>
      <c r="Z1480" s="89"/>
      <c r="AA1480" s="89"/>
      <c r="AB1480" s="89"/>
      <c r="AC1480" s="240"/>
      <c r="AD1480" s="240"/>
      <c r="AE1480" s="240"/>
      <c r="AF1480" s="241"/>
      <c r="AG1480" s="89"/>
      <c r="AH1480" s="124"/>
      <c r="AI1480" s="117"/>
      <c r="AJ1480" s="117"/>
      <c r="AK1480" s="89"/>
      <c r="AL1480" s="117"/>
      <c r="AM1480" s="117"/>
      <c r="AN1480" s="117"/>
      <c r="AO1480" s="117"/>
      <c r="AP1480" s="117"/>
      <c r="AQ1480" s="117"/>
      <c r="AR1480" s="117"/>
      <c r="AS1480" s="117"/>
      <c r="AT1480" s="117"/>
      <c r="AU1480" s="117"/>
      <c r="AV1480" s="128"/>
      <c r="AW1480" s="117">
        <f>VLOOKUP($D1480,'WB Data'!$C$3:$M$578,2,FALSE)</f>
        <v>74963815412.621368</v>
      </c>
      <c r="AX1480" s="117">
        <f>VLOOKUP($D1480,'WB Data'!$C$3:$M$578,3,FALSE)</f>
        <v>27723281</v>
      </c>
      <c r="AY1480" s="847">
        <f t="shared" si="257"/>
        <v>2.3434602876039049E-2</v>
      </c>
      <c r="AZ1480" s="117">
        <f>VLOOKUP($D1480,'WB Data'!$C$3:$M$578,4,FALSE)/100</f>
        <v>0.18666934873736063</v>
      </c>
      <c r="BA1480" s="117">
        <f t="shared" si="258"/>
        <v>13993446601.941748</v>
      </c>
      <c r="BB1480" s="129">
        <f>IFERROR(VLOOKUP($D1480,'EITI Revenues'!$C$2:$G$224,5,FALSE),"..")</f>
        <v>1756747244.267477</v>
      </c>
      <c r="BC1480" s="846">
        <f t="shared" si="259"/>
        <v>0.12554071160879754</v>
      </c>
      <c r="BD1480" s="129">
        <f>VLOOKUP($D1480,'WB Data 2'!$C$2:$K$545,6,FALSE)</f>
        <v>10433642919.64677</v>
      </c>
      <c r="BE1480" s="129">
        <f>IFERROR(VLOOKUP($D1480,UNCTAD!$C$5:$V$529,4,FALSE),"..")</f>
        <v>19656900000</v>
      </c>
      <c r="BF1480" s="846">
        <f t="shared" si="260"/>
        <v>0.53078781087794979</v>
      </c>
      <c r="BG1480" s="117">
        <f>VLOOKUP($D1480,'WB Data'!$C$3:$M$578,5,FALSE)</f>
        <v>450480000</v>
      </c>
      <c r="BH1480" s="129">
        <f>IFERROR($BB1480/$BG1480,"..")</f>
        <v>3.8997230604410342</v>
      </c>
      <c r="BI1480" s="117">
        <f>IFERROR(VLOOKUP($D1480,'WB Data'!$C$3:$M$578,7,FALSE)/100,"..")</f>
        <v>2.7207200000000001E-2</v>
      </c>
      <c r="BJ1480" s="117">
        <f>IFERROR($BI1480*$AW1480,"..")</f>
        <v>2039555518.694272</v>
      </c>
      <c r="BK1480" s="846">
        <f>IFERROR($BB1480/$BJ1480,"..")</f>
        <v>0.86133828089766862</v>
      </c>
      <c r="BL1480" s="117">
        <f>IFERROR(VLOOKUP($D1480,'WB Data'!$C$3:$M$578,7,FALSE)/100,"..")</f>
        <v>2.7207200000000001E-2</v>
      </c>
      <c r="BM1480" s="117">
        <f>IFERROR($AW1480*$BL1480,"..")</f>
        <v>2039555518.694272</v>
      </c>
      <c r="BN1480" s="846">
        <f>IFERROR($BB1480/$BM1480,"..")</f>
        <v>0.86133828089766862</v>
      </c>
      <c r="BO1480" s="801">
        <f t="shared" si="256"/>
        <v>38</v>
      </c>
      <c r="BP1480" s="117">
        <f>VLOOKUP($D1480,'WB Data'!$C$3:$M$578,9,FALSE)</f>
        <v>55.6</v>
      </c>
      <c r="BQ1480" s="117">
        <f>VLOOKUP($D1480,'WB Data'!$C$3:$M$578,10,FALSE)</f>
        <v>72.418609756097567</v>
      </c>
      <c r="BR1480" s="117">
        <f>VLOOKUP($D1480,'WB Data'!$C$3:$M$578,11,FALSE)</f>
        <v>21.5</v>
      </c>
      <c r="BS1480" s="129">
        <f>IFERROR(VLOOKUP($D1480,'WB Data 2'!$C$2:$K$545,9,FALSE),"..")</f>
        <v>99.638220000000004</v>
      </c>
      <c r="BT1480" s="129">
        <f>_xlfn.IFNA(VLOOKUP($C1480,RGI!$A$2:$C$43,2,FALSE),"..")</f>
        <v>76.8</v>
      </c>
      <c r="BU1480" s="129">
        <f>_xlfn.IFNA(VLOOKUP($C1480,RGI!$A$2:$C$43,3,FALSE),"..")</f>
        <v>72.816147461462435</v>
      </c>
      <c r="BV1480" s="129">
        <f>VLOOKUP($D1480,WGI!$C$2:$O$478,7,FALSE)</f>
        <v>-1.8341252380880701E-2</v>
      </c>
      <c r="BW1480" s="129">
        <f>VLOOKUP($D1480,WGI!$C$2:$O$478,4,FALSE)</f>
        <v>-0.97676687745370405</v>
      </c>
      <c r="BX1480" s="129">
        <f>VLOOKUP($D1480,WGI!$C$2:$O$478,3,FALSE)</f>
        <v>-0.60044293542902905</v>
      </c>
      <c r="BY1480" s="129">
        <f>VLOOKUP($D1480,WGI!$C$2:$O$478,5,FALSE)</f>
        <v>8.1359403889796206E-2</v>
      </c>
      <c r="BZ1480" s="129">
        <f>VLOOKUP($D1480,WGI!$C$2:$O$478,2,FALSE)</f>
        <v>-0.36012924757922499</v>
      </c>
    </row>
    <row r="1481" spans="1:78" ht="15" customHeight="1">
      <c r="A1481" s="294" t="s">
        <v>451</v>
      </c>
      <c r="B1481" s="117">
        <v>2005</v>
      </c>
      <c r="C1481" s="117" t="s">
        <v>449</v>
      </c>
      <c r="D1481" s="117" t="s">
        <v>3507</v>
      </c>
      <c r="E1481" s="452" t="s">
        <v>220</v>
      </c>
      <c r="F1481" s="117"/>
      <c r="G1481" s="120" t="s">
        <v>24</v>
      </c>
      <c r="H1481" s="117" t="str">
        <f t="shared" si="251"/>
        <v>yes</v>
      </c>
      <c r="I1481" s="117" t="str">
        <f t="shared" si="253"/>
        <v>no</v>
      </c>
      <c r="J1481" s="117" t="str">
        <f t="shared" si="254"/>
        <v>no</v>
      </c>
      <c r="K1481" s="117" t="s">
        <v>789</v>
      </c>
      <c r="L1481" s="117" t="str">
        <f t="shared" si="252"/>
        <v>detailed</v>
      </c>
      <c r="M1481" s="117" t="str">
        <f t="shared" si="255"/>
        <v>detailed Mining</v>
      </c>
      <c r="N1481" s="179">
        <f>3206*32150.7466</f>
        <v>103075293.5996</v>
      </c>
      <c r="O1481" s="179"/>
      <c r="P1481" s="179"/>
      <c r="Q1481" s="179"/>
      <c r="R1481" s="179"/>
      <c r="S1481" s="117" t="s">
        <v>785</v>
      </c>
      <c r="T1481" s="119">
        <f>7.30836666667/1</f>
        <v>7.3083666666699996</v>
      </c>
      <c r="U1481" s="117" t="s">
        <v>786</v>
      </c>
      <c r="V1481" s="117" t="s">
        <v>1149</v>
      </c>
      <c r="W1481" s="89">
        <f>N1481*T1481</f>
        <v>753312039.90054023</v>
      </c>
      <c r="X1481" s="117"/>
      <c r="Y1481" s="89"/>
      <c r="Z1481" s="89"/>
      <c r="AA1481" s="89"/>
      <c r="AB1481" s="89"/>
      <c r="AC1481" s="240" t="s">
        <v>2064</v>
      </c>
      <c r="AD1481" s="240"/>
      <c r="AE1481" s="240"/>
      <c r="AF1481" s="241"/>
      <c r="AG1481" s="492"/>
      <c r="AH1481" s="124"/>
      <c r="AI1481" s="117"/>
      <c r="AJ1481" s="117"/>
      <c r="AK1481" s="89"/>
      <c r="AL1481" s="117"/>
      <c r="AM1481" s="117"/>
      <c r="AN1481" s="117">
        <v>16</v>
      </c>
      <c r="AO1481" s="117" t="s">
        <v>2047</v>
      </c>
      <c r="AP1481" s="117">
        <v>16</v>
      </c>
      <c r="AQ1481" s="117"/>
      <c r="AR1481" s="117"/>
      <c r="AS1481" s="117"/>
      <c r="AT1481" s="117"/>
      <c r="AU1481" s="117"/>
      <c r="AV1481" s="128"/>
      <c r="AW1481" s="117">
        <f>VLOOKUP($D1481,'WB Data'!$C$3:$M$578,2,FALSE)</f>
        <v>74963815412.621368</v>
      </c>
      <c r="AX1481" s="117">
        <f>VLOOKUP($D1481,'WB Data'!$C$3:$M$578,3,FALSE)</f>
        <v>27723281</v>
      </c>
      <c r="AY1481" s="847">
        <f t="shared" si="257"/>
        <v>2.3434602876039049E-2</v>
      </c>
      <c r="AZ1481" s="117">
        <f>VLOOKUP($D1481,'WB Data'!$C$3:$M$578,4,FALSE)/100</f>
        <v>0.18666934873736063</v>
      </c>
      <c r="BA1481" s="117">
        <f t="shared" si="258"/>
        <v>13993446601.941748</v>
      </c>
      <c r="BB1481" s="129">
        <f>IFERROR(VLOOKUP($D1481,'EITI Revenues'!$C$2:$G$224,5,FALSE),"..")</f>
        <v>1756747244.267477</v>
      </c>
      <c r="BC1481" s="846">
        <f t="shared" si="259"/>
        <v>0.12554071160879754</v>
      </c>
      <c r="BD1481" s="129">
        <f>VLOOKUP($D1481,'WB Data 2'!$C$2:$K$545,6,FALSE)</f>
        <v>10433642919.64677</v>
      </c>
      <c r="BE1481" s="129">
        <f>IFERROR(VLOOKUP($D1481,UNCTAD!$C$5:$V$529,4,FALSE),"..")</f>
        <v>19656900000</v>
      </c>
      <c r="BF1481" s="846">
        <f t="shared" si="260"/>
        <v>0.53078781087794979</v>
      </c>
      <c r="BG1481" s="117">
        <f>VLOOKUP($D1481,'WB Data'!$C$3:$M$578,5,FALSE)</f>
        <v>450480000</v>
      </c>
      <c r="BH1481" s="129">
        <f>IFERROR($BB1481/$BG1481,"..")</f>
        <v>3.8997230604410342</v>
      </c>
      <c r="BI1481" s="117">
        <f>IFERROR(VLOOKUP($D1481,'WB Data'!$C$3:$M$578,7,FALSE)/100,"..")</f>
        <v>2.7207200000000001E-2</v>
      </c>
      <c r="BJ1481" s="117">
        <f>IFERROR($BI1481*$AW1481,"..")</f>
        <v>2039555518.694272</v>
      </c>
      <c r="BK1481" s="846">
        <f>IFERROR($BB1481/$BJ1481,"..")</f>
        <v>0.86133828089766862</v>
      </c>
      <c r="BL1481" s="117">
        <f>IFERROR(VLOOKUP($D1481,'WB Data'!$C$3:$M$578,7,FALSE)/100,"..")</f>
        <v>2.7207200000000001E-2</v>
      </c>
      <c r="BM1481" s="117">
        <f>IFERROR($AW1481*$BL1481,"..")</f>
        <v>2039555518.694272</v>
      </c>
      <c r="BN1481" s="846">
        <f>IFERROR($BB1481/$BM1481,"..")</f>
        <v>0.86133828089766862</v>
      </c>
      <c r="BO1481" s="801">
        <f t="shared" si="256"/>
        <v>38</v>
      </c>
      <c r="BP1481" s="117">
        <f>VLOOKUP($D1481,'WB Data'!$C$3:$M$578,9,FALSE)</f>
        <v>55.6</v>
      </c>
      <c r="BQ1481" s="117">
        <f>VLOOKUP($D1481,'WB Data'!$C$3:$M$578,10,FALSE)</f>
        <v>72.418609756097567</v>
      </c>
      <c r="BR1481" s="117">
        <f>VLOOKUP($D1481,'WB Data'!$C$3:$M$578,11,FALSE)</f>
        <v>21.5</v>
      </c>
      <c r="BS1481" s="129">
        <f>IFERROR(VLOOKUP($D1481,'WB Data 2'!$C$2:$K$545,9,FALSE),"..")</f>
        <v>99.638220000000004</v>
      </c>
      <c r="BT1481" s="129">
        <f>_xlfn.IFNA(VLOOKUP($C1481,RGI!$A$2:$C$43,2,FALSE),"..")</f>
        <v>76.8</v>
      </c>
      <c r="BU1481" s="129">
        <f>_xlfn.IFNA(VLOOKUP($C1481,RGI!$A$2:$C$43,3,FALSE),"..")</f>
        <v>72.816147461462435</v>
      </c>
      <c r="BV1481" s="129">
        <f>VLOOKUP($D1481,WGI!$C$2:$O$478,7,FALSE)</f>
        <v>-1.8341252380880701E-2</v>
      </c>
      <c r="BW1481" s="129">
        <f>VLOOKUP($D1481,WGI!$C$2:$O$478,4,FALSE)</f>
        <v>-0.97676687745370405</v>
      </c>
      <c r="BX1481" s="129">
        <f>VLOOKUP($D1481,WGI!$C$2:$O$478,3,FALSE)</f>
        <v>-0.60044293542902905</v>
      </c>
      <c r="BY1481" s="129">
        <f>VLOOKUP($D1481,WGI!$C$2:$O$478,5,FALSE)</f>
        <v>8.1359403889796206E-2</v>
      </c>
      <c r="BZ1481" s="129">
        <f>VLOOKUP($D1481,WGI!$C$2:$O$478,2,FALSE)</f>
        <v>-0.36012924757922499</v>
      </c>
    </row>
    <row r="1482" spans="1:78" ht="15" customHeight="1">
      <c r="A1482" s="294" t="s">
        <v>451</v>
      </c>
      <c r="B1482" s="117">
        <v>2005</v>
      </c>
      <c r="C1482" s="117" t="s">
        <v>449</v>
      </c>
      <c r="D1482" s="117" t="s">
        <v>3507</v>
      </c>
      <c r="E1482" s="452" t="s">
        <v>220</v>
      </c>
      <c r="F1482" s="117"/>
      <c r="G1482" s="120" t="s">
        <v>24</v>
      </c>
      <c r="H1482" s="117" t="str">
        <f t="shared" si="251"/>
        <v>yes</v>
      </c>
      <c r="I1482" s="117" t="str">
        <f t="shared" si="253"/>
        <v>no</v>
      </c>
      <c r="J1482" s="117" t="str">
        <f t="shared" si="254"/>
        <v>no</v>
      </c>
      <c r="K1482" s="117" t="s">
        <v>2048</v>
      </c>
      <c r="L1482" s="117" t="str">
        <f t="shared" si="252"/>
        <v>detailed</v>
      </c>
      <c r="M1482" s="117" t="str">
        <f t="shared" si="255"/>
        <v>detailed Mining</v>
      </c>
      <c r="N1482" s="179">
        <v>100</v>
      </c>
      <c r="O1482" s="179"/>
      <c r="P1482" s="179"/>
      <c r="Q1482" s="179"/>
      <c r="R1482" s="179"/>
      <c r="S1482" s="117" t="s">
        <v>610</v>
      </c>
      <c r="T1482" s="119"/>
      <c r="U1482" s="117"/>
      <c r="V1482" s="117" t="s">
        <v>1146</v>
      </c>
      <c r="W1482" s="89"/>
      <c r="X1482" s="120"/>
      <c r="Y1482" s="89"/>
      <c r="Z1482" s="89"/>
      <c r="AA1482" s="89"/>
      <c r="AB1482" s="89"/>
      <c r="AC1482" s="240"/>
      <c r="AD1482" s="240"/>
      <c r="AE1482" s="240"/>
      <c r="AF1482" s="241"/>
      <c r="AG1482" s="89"/>
      <c r="AH1482" s="124"/>
      <c r="AI1482" s="117"/>
      <c r="AJ1482" s="117"/>
      <c r="AK1482" s="89"/>
      <c r="AL1482" s="117"/>
      <c r="AM1482" s="117"/>
      <c r="AN1482" s="117"/>
      <c r="AO1482" s="117"/>
      <c r="AP1482" s="117"/>
      <c r="AQ1482" s="117"/>
      <c r="AR1482" s="117"/>
      <c r="AS1482" s="117"/>
      <c r="AT1482" s="117"/>
      <c r="AU1482" s="117"/>
      <c r="AV1482" s="128"/>
      <c r="AW1482" s="117">
        <f>VLOOKUP($D1482,'WB Data'!$C$3:$M$578,2,FALSE)</f>
        <v>74963815412.621368</v>
      </c>
      <c r="AX1482" s="117">
        <f>VLOOKUP($D1482,'WB Data'!$C$3:$M$578,3,FALSE)</f>
        <v>27723281</v>
      </c>
      <c r="AY1482" s="847">
        <f t="shared" si="257"/>
        <v>2.3434602876039049E-2</v>
      </c>
      <c r="AZ1482" s="117">
        <f>VLOOKUP($D1482,'WB Data'!$C$3:$M$578,4,FALSE)/100</f>
        <v>0.18666934873736063</v>
      </c>
      <c r="BA1482" s="117">
        <f t="shared" si="258"/>
        <v>13993446601.941748</v>
      </c>
      <c r="BB1482" s="129">
        <f>IFERROR(VLOOKUP($D1482,'EITI Revenues'!$C$2:$G$224,5,FALSE),"..")</f>
        <v>1756747244.267477</v>
      </c>
      <c r="BC1482" s="846">
        <f t="shared" si="259"/>
        <v>0.12554071160879754</v>
      </c>
      <c r="BD1482" s="129">
        <f>VLOOKUP($D1482,'WB Data 2'!$C$2:$K$545,6,FALSE)</f>
        <v>10433642919.64677</v>
      </c>
      <c r="BE1482" s="129">
        <f>IFERROR(VLOOKUP($D1482,UNCTAD!$C$5:$V$529,4,FALSE),"..")</f>
        <v>19656900000</v>
      </c>
      <c r="BF1482" s="846">
        <f t="shared" si="260"/>
        <v>0.53078781087794979</v>
      </c>
      <c r="BG1482" s="117">
        <f>VLOOKUP($D1482,'WB Data'!$C$3:$M$578,5,FALSE)</f>
        <v>450480000</v>
      </c>
      <c r="BH1482" s="129">
        <f>IFERROR($BB1482/$BG1482,"..")</f>
        <v>3.8997230604410342</v>
      </c>
      <c r="BI1482" s="117">
        <f>IFERROR(VLOOKUP($D1482,'WB Data'!$C$3:$M$578,7,FALSE)/100,"..")</f>
        <v>2.7207200000000001E-2</v>
      </c>
      <c r="BJ1482" s="117">
        <f>IFERROR($BI1482*$AW1482,"..")</f>
        <v>2039555518.694272</v>
      </c>
      <c r="BK1482" s="846">
        <f>IFERROR($BB1482/$BJ1482,"..")</f>
        <v>0.86133828089766862</v>
      </c>
      <c r="BL1482" s="117">
        <f>IFERROR(VLOOKUP($D1482,'WB Data'!$C$3:$M$578,7,FALSE)/100,"..")</f>
        <v>2.7207200000000001E-2</v>
      </c>
      <c r="BM1482" s="117">
        <f>IFERROR($AW1482*$BL1482,"..")</f>
        <v>2039555518.694272</v>
      </c>
      <c r="BN1482" s="846">
        <f>IFERROR($BB1482/$BM1482,"..")</f>
        <v>0.86133828089766862</v>
      </c>
      <c r="BO1482" s="801">
        <f t="shared" si="256"/>
        <v>38</v>
      </c>
      <c r="BP1482" s="117">
        <f>VLOOKUP($D1482,'WB Data'!$C$3:$M$578,9,FALSE)</f>
        <v>55.6</v>
      </c>
      <c r="BQ1482" s="117">
        <f>VLOOKUP($D1482,'WB Data'!$C$3:$M$578,10,FALSE)</f>
        <v>72.418609756097567</v>
      </c>
      <c r="BR1482" s="117">
        <f>VLOOKUP($D1482,'WB Data'!$C$3:$M$578,11,FALSE)</f>
        <v>21.5</v>
      </c>
      <c r="BS1482" s="129">
        <f>IFERROR(VLOOKUP($D1482,'WB Data 2'!$C$2:$K$545,9,FALSE),"..")</f>
        <v>99.638220000000004</v>
      </c>
      <c r="BT1482" s="129">
        <f>_xlfn.IFNA(VLOOKUP($C1482,RGI!$A$2:$C$43,2,FALSE),"..")</f>
        <v>76.8</v>
      </c>
      <c r="BU1482" s="129">
        <f>_xlfn.IFNA(VLOOKUP($C1482,RGI!$A$2:$C$43,3,FALSE),"..")</f>
        <v>72.816147461462435</v>
      </c>
      <c r="BV1482" s="129">
        <f>VLOOKUP($D1482,WGI!$C$2:$O$478,7,FALSE)</f>
        <v>-1.8341252380880701E-2</v>
      </c>
      <c r="BW1482" s="129">
        <f>VLOOKUP($D1482,WGI!$C$2:$O$478,4,FALSE)</f>
        <v>-0.97676687745370405</v>
      </c>
      <c r="BX1482" s="129">
        <f>VLOOKUP($D1482,WGI!$C$2:$O$478,3,FALSE)</f>
        <v>-0.60044293542902905</v>
      </c>
      <c r="BY1482" s="129">
        <f>VLOOKUP($D1482,WGI!$C$2:$O$478,5,FALSE)</f>
        <v>8.1359403889796206E-2</v>
      </c>
      <c r="BZ1482" s="129">
        <f>VLOOKUP($D1482,WGI!$C$2:$O$478,2,FALSE)</f>
        <v>-0.36012924757922499</v>
      </c>
    </row>
    <row r="1483" spans="1:78" ht="15" customHeight="1">
      <c r="A1483" s="294" t="s">
        <v>451</v>
      </c>
      <c r="B1483" s="117">
        <v>2005</v>
      </c>
      <c r="C1483" s="117" t="s">
        <v>449</v>
      </c>
      <c r="D1483" s="117" t="s">
        <v>3507</v>
      </c>
      <c r="E1483" s="452" t="s">
        <v>220</v>
      </c>
      <c r="F1483" s="117"/>
      <c r="G1483" s="120" t="s">
        <v>24</v>
      </c>
      <c r="H1483" s="117" t="str">
        <f t="shared" si="251"/>
        <v>yes</v>
      </c>
      <c r="I1483" s="117" t="str">
        <f t="shared" si="253"/>
        <v>no</v>
      </c>
      <c r="J1483" s="117" t="str">
        <f t="shared" si="254"/>
        <v>no</v>
      </c>
      <c r="K1483" s="117" t="s">
        <v>2049</v>
      </c>
      <c r="L1483" s="117" t="str">
        <f t="shared" si="252"/>
        <v>detailed</v>
      </c>
      <c r="M1483" s="117" t="str">
        <f t="shared" si="255"/>
        <v>detailed Mining</v>
      </c>
      <c r="N1483" s="179">
        <v>623000</v>
      </c>
      <c r="O1483" s="179"/>
      <c r="P1483" s="179"/>
      <c r="Q1483" s="179"/>
      <c r="R1483" s="179"/>
      <c r="S1483" s="117" t="s">
        <v>610</v>
      </c>
      <c r="T1483" s="119"/>
      <c r="U1483" s="117"/>
      <c r="V1483" s="117" t="s">
        <v>1146</v>
      </c>
      <c r="W1483" s="89"/>
      <c r="X1483" s="120"/>
      <c r="Y1483" s="89"/>
      <c r="Z1483" s="89"/>
      <c r="AA1483" s="89"/>
      <c r="AB1483" s="89"/>
      <c r="AC1483" s="240"/>
      <c r="AD1483" s="240"/>
      <c r="AE1483" s="240"/>
      <c r="AF1483" s="241"/>
      <c r="AG1483" s="89"/>
      <c r="AH1483" s="124"/>
      <c r="AI1483" s="117"/>
      <c r="AJ1483" s="117"/>
      <c r="AK1483" s="89"/>
      <c r="AL1483" s="117"/>
      <c r="AM1483" s="117"/>
      <c r="AN1483" s="117"/>
      <c r="AO1483" s="117"/>
      <c r="AP1483" s="117"/>
      <c r="AQ1483" s="117"/>
      <c r="AR1483" s="117"/>
      <c r="AS1483" s="117"/>
      <c r="AT1483" s="117"/>
      <c r="AU1483" s="117"/>
      <c r="AV1483" s="128"/>
      <c r="AW1483" s="117">
        <f>VLOOKUP($D1483,'WB Data'!$C$3:$M$578,2,FALSE)</f>
        <v>74963815412.621368</v>
      </c>
      <c r="AX1483" s="117">
        <f>VLOOKUP($D1483,'WB Data'!$C$3:$M$578,3,FALSE)</f>
        <v>27723281</v>
      </c>
      <c r="AY1483" s="847">
        <f t="shared" si="257"/>
        <v>2.3434602876039049E-2</v>
      </c>
      <c r="AZ1483" s="117">
        <f>VLOOKUP($D1483,'WB Data'!$C$3:$M$578,4,FALSE)/100</f>
        <v>0.18666934873736063</v>
      </c>
      <c r="BA1483" s="117">
        <f t="shared" si="258"/>
        <v>13993446601.941748</v>
      </c>
      <c r="BB1483" s="129">
        <f>IFERROR(VLOOKUP($D1483,'EITI Revenues'!$C$2:$G$224,5,FALSE),"..")</f>
        <v>1756747244.267477</v>
      </c>
      <c r="BC1483" s="846">
        <f t="shared" si="259"/>
        <v>0.12554071160879754</v>
      </c>
      <c r="BD1483" s="129">
        <f>VLOOKUP($D1483,'WB Data 2'!$C$2:$K$545,6,FALSE)</f>
        <v>10433642919.64677</v>
      </c>
      <c r="BE1483" s="129">
        <f>IFERROR(VLOOKUP($D1483,UNCTAD!$C$5:$V$529,4,FALSE),"..")</f>
        <v>19656900000</v>
      </c>
      <c r="BF1483" s="846">
        <f t="shared" si="260"/>
        <v>0.53078781087794979</v>
      </c>
      <c r="BG1483" s="117">
        <f>VLOOKUP($D1483,'WB Data'!$C$3:$M$578,5,FALSE)</f>
        <v>450480000</v>
      </c>
      <c r="BH1483" s="129">
        <f>IFERROR($BB1483/$BG1483,"..")</f>
        <v>3.8997230604410342</v>
      </c>
      <c r="BI1483" s="117">
        <f>IFERROR(VLOOKUP($D1483,'WB Data'!$C$3:$M$578,7,FALSE)/100,"..")</f>
        <v>2.7207200000000001E-2</v>
      </c>
      <c r="BJ1483" s="117">
        <f>IFERROR($BI1483*$AW1483,"..")</f>
        <v>2039555518.694272</v>
      </c>
      <c r="BK1483" s="846">
        <f>IFERROR($BB1483/$BJ1483,"..")</f>
        <v>0.86133828089766862</v>
      </c>
      <c r="BL1483" s="117">
        <f>IFERROR(VLOOKUP($D1483,'WB Data'!$C$3:$M$578,7,FALSE)/100,"..")</f>
        <v>2.7207200000000001E-2</v>
      </c>
      <c r="BM1483" s="117">
        <f>IFERROR($AW1483*$BL1483,"..")</f>
        <v>2039555518.694272</v>
      </c>
      <c r="BN1483" s="846">
        <f>IFERROR($BB1483/$BM1483,"..")</f>
        <v>0.86133828089766862</v>
      </c>
      <c r="BO1483" s="801">
        <f t="shared" si="256"/>
        <v>38</v>
      </c>
      <c r="BP1483" s="117">
        <f>VLOOKUP($D1483,'WB Data'!$C$3:$M$578,9,FALSE)</f>
        <v>55.6</v>
      </c>
      <c r="BQ1483" s="117">
        <f>VLOOKUP($D1483,'WB Data'!$C$3:$M$578,10,FALSE)</f>
        <v>72.418609756097567</v>
      </c>
      <c r="BR1483" s="117">
        <f>VLOOKUP($D1483,'WB Data'!$C$3:$M$578,11,FALSE)</f>
        <v>21.5</v>
      </c>
      <c r="BS1483" s="129">
        <f>IFERROR(VLOOKUP($D1483,'WB Data 2'!$C$2:$K$545,9,FALSE),"..")</f>
        <v>99.638220000000004</v>
      </c>
      <c r="BT1483" s="129">
        <f>_xlfn.IFNA(VLOOKUP($C1483,RGI!$A$2:$C$43,2,FALSE),"..")</f>
        <v>76.8</v>
      </c>
      <c r="BU1483" s="129">
        <f>_xlfn.IFNA(VLOOKUP($C1483,RGI!$A$2:$C$43,3,FALSE),"..")</f>
        <v>72.816147461462435</v>
      </c>
      <c r="BV1483" s="129">
        <f>VLOOKUP($D1483,WGI!$C$2:$O$478,7,FALSE)</f>
        <v>-1.8341252380880701E-2</v>
      </c>
      <c r="BW1483" s="129">
        <f>VLOOKUP($D1483,WGI!$C$2:$O$478,4,FALSE)</f>
        <v>-0.97676687745370405</v>
      </c>
      <c r="BX1483" s="129">
        <f>VLOOKUP($D1483,WGI!$C$2:$O$478,3,FALSE)</f>
        <v>-0.60044293542902905</v>
      </c>
      <c r="BY1483" s="129">
        <f>VLOOKUP($D1483,WGI!$C$2:$O$478,5,FALSE)</f>
        <v>8.1359403889796206E-2</v>
      </c>
      <c r="BZ1483" s="129">
        <f>VLOOKUP($D1483,WGI!$C$2:$O$478,2,FALSE)</f>
        <v>-0.36012924757922499</v>
      </c>
    </row>
    <row r="1484" spans="1:78" ht="15" customHeight="1">
      <c r="A1484" s="294" t="s">
        <v>451</v>
      </c>
      <c r="B1484" s="117">
        <v>2005</v>
      </c>
      <c r="C1484" s="117" t="s">
        <v>449</v>
      </c>
      <c r="D1484" s="117" t="s">
        <v>3507</v>
      </c>
      <c r="E1484" s="452" t="s">
        <v>220</v>
      </c>
      <c r="F1484" s="117"/>
      <c r="G1484" s="120" t="s">
        <v>24</v>
      </c>
      <c r="H1484" s="117" t="str">
        <f t="shared" si="251"/>
        <v>yes</v>
      </c>
      <c r="I1484" s="117" t="str">
        <f t="shared" si="253"/>
        <v>no</v>
      </c>
      <c r="J1484" s="117" t="str">
        <f t="shared" si="254"/>
        <v>no</v>
      </c>
      <c r="K1484" s="117" t="s">
        <v>2050</v>
      </c>
      <c r="L1484" s="117" t="str">
        <f t="shared" si="252"/>
        <v>detailed</v>
      </c>
      <c r="M1484" s="117" t="str">
        <f t="shared" si="255"/>
        <v>detailed Mining</v>
      </c>
      <c r="N1484" s="179">
        <v>32880</v>
      </c>
      <c r="O1484" s="179"/>
      <c r="P1484" s="179"/>
      <c r="Q1484" s="179"/>
      <c r="R1484" s="179"/>
      <c r="S1484" s="117" t="s">
        <v>610</v>
      </c>
      <c r="T1484" s="119">
        <v>96000</v>
      </c>
      <c r="U1484" s="117" t="s">
        <v>611</v>
      </c>
      <c r="V1484" s="117" t="s">
        <v>2051</v>
      </c>
      <c r="W1484" s="89">
        <f>N1484*T1484</f>
        <v>3156480000</v>
      </c>
      <c r="X1484" s="120"/>
      <c r="Y1484" s="89"/>
      <c r="Z1484" s="89"/>
      <c r="AA1484" s="89"/>
      <c r="AB1484" s="89"/>
      <c r="AC1484" s="240"/>
      <c r="AD1484" s="240"/>
      <c r="AE1484" s="240"/>
      <c r="AF1484" s="241"/>
      <c r="AG1484" s="89"/>
      <c r="AH1484" s="124"/>
      <c r="AI1484" s="117"/>
      <c r="AJ1484" s="117"/>
      <c r="AK1484" s="89"/>
      <c r="AL1484" s="117"/>
      <c r="AM1484" s="117"/>
      <c r="AN1484" s="117"/>
      <c r="AO1484" s="117"/>
      <c r="AP1484" s="117"/>
      <c r="AQ1484" s="117"/>
      <c r="AR1484" s="117"/>
      <c r="AS1484" s="117"/>
      <c r="AT1484" s="117"/>
      <c r="AU1484" s="117"/>
      <c r="AV1484" s="128"/>
      <c r="AW1484" s="117">
        <f>VLOOKUP($D1484,'WB Data'!$C$3:$M$578,2,FALSE)</f>
        <v>74963815412.621368</v>
      </c>
      <c r="AX1484" s="117">
        <f>VLOOKUP($D1484,'WB Data'!$C$3:$M$578,3,FALSE)</f>
        <v>27723281</v>
      </c>
      <c r="AY1484" s="847">
        <f t="shared" si="257"/>
        <v>2.3434602876039049E-2</v>
      </c>
      <c r="AZ1484" s="117">
        <f>VLOOKUP($D1484,'WB Data'!$C$3:$M$578,4,FALSE)/100</f>
        <v>0.18666934873736063</v>
      </c>
      <c r="BA1484" s="117">
        <f t="shared" si="258"/>
        <v>13993446601.941748</v>
      </c>
      <c r="BB1484" s="129">
        <f>IFERROR(VLOOKUP($D1484,'EITI Revenues'!$C$2:$G$224,5,FALSE),"..")</f>
        <v>1756747244.267477</v>
      </c>
      <c r="BC1484" s="846">
        <f t="shared" si="259"/>
        <v>0.12554071160879754</v>
      </c>
      <c r="BD1484" s="129">
        <f>VLOOKUP($D1484,'WB Data 2'!$C$2:$K$545,6,FALSE)</f>
        <v>10433642919.64677</v>
      </c>
      <c r="BE1484" s="129">
        <f>IFERROR(VLOOKUP($D1484,UNCTAD!$C$5:$V$529,4,FALSE),"..")</f>
        <v>19656900000</v>
      </c>
      <c r="BF1484" s="846">
        <f t="shared" si="260"/>
        <v>0.53078781087794979</v>
      </c>
      <c r="BG1484" s="117">
        <f>VLOOKUP($D1484,'WB Data'!$C$3:$M$578,5,FALSE)</f>
        <v>450480000</v>
      </c>
      <c r="BH1484" s="129">
        <f>IFERROR($BB1484/$BG1484,"..")</f>
        <v>3.8997230604410342</v>
      </c>
      <c r="BI1484" s="117">
        <f>IFERROR(VLOOKUP($D1484,'WB Data'!$C$3:$M$578,7,FALSE)/100,"..")</f>
        <v>2.7207200000000001E-2</v>
      </c>
      <c r="BJ1484" s="117">
        <f>IFERROR($BI1484*$AW1484,"..")</f>
        <v>2039555518.694272</v>
      </c>
      <c r="BK1484" s="846">
        <f>IFERROR($BB1484/$BJ1484,"..")</f>
        <v>0.86133828089766862</v>
      </c>
      <c r="BL1484" s="117">
        <f>IFERROR(VLOOKUP($D1484,'WB Data'!$C$3:$M$578,7,FALSE)/100,"..")</f>
        <v>2.7207200000000001E-2</v>
      </c>
      <c r="BM1484" s="117">
        <f>IFERROR($AW1484*$BL1484,"..")</f>
        <v>2039555518.694272</v>
      </c>
      <c r="BN1484" s="846">
        <f>IFERROR($BB1484/$BM1484,"..")</f>
        <v>0.86133828089766862</v>
      </c>
      <c r="BO1484" s="801">
        <f t="shared" si="256"/>
        <v>38</v>
      </c>
      <c r="BP1484" s="117">
        <f>VLOOKUP($D1484,'WB Data'!$C$3:$M$578,9,FALSE)</f>
        <v>55.6</v>
      </c>
      <c r="BQ1484" s="117">
        <f>VLOOKUP($D1484,'WB Data'!$C$3:$M$578,10,FALSE)</f>
        <v>72.418609756097567</v>
      </c>
      <c r="BR1484" s="117">
        <f>VLOOKUP($D1484,'WB Data'!$C$3:$M$578,11,FALSE)</f>
        <v>21.5</v>
      </c>
      <c r="BS1484" s="129">
        <f>IFERROR(VLOOKUP($D1484,'WB Data 2'!$C$2:$K$545,9,FALSE),"..")</f>
        <v>99.638220000000004</v>
      </c>
      <c r="BT1484" s="129">
        <f>_xlfn.IFNA(VLOOKUP($C1484,RGI!$A$2:$C$43,2,FALSE),"..")</f>
        <v>76.8</v>
      </c>
      <c r="BU1484" s="129">
        <f>_xlfn.IFNA(VLOOKUP($C1484,RGI!$A$2:$C$43,3,FALSE),"..")</f>
        <v>72.816147461462435</v>
      </c>
      <c r="BV1484" s="129">
        <f>VLOOKUP($D1484,WGI!$C$2:$O$478,7,FALSE)</f>
        <v>-1.8341252380880701E-2</v>
      </c>
      <c r="BW1484" s="129">
        <f>VLOOKUP($D1484,WGI!$C$2:$O$478,4,FALSE)</f>
        <v>-0.97676687745370405</v>
      </c>
      <c r="BX1484" s="129">
        <f>VLOOKUP($D1484,WGI!$C$2:$O$478,3,FALSE)</f>
        <v>-0.60044293542902905</v>
      </c>
      <c r="BY1484" s="129">
        <f>VLOOKUP($D1484,WGI!$C$2:$O$478,5,FALSE)</f>
        <v>8.1359403889796206E-2</v>
      </c>
      <c r="BZ1484" s="129">
        <f>VLOOKUP($D1484,WGI!$C$2:$O$478,2,FALSE)</f>
        <v>-0.36012924757922499</v>
      </c>
    </row>
    <row r="1485" spans="1:78" ht="15" customHeight="1">
      <c r="A1485" s="294" t="s">
        <v>451</v>
      </c>
      <c r="B1485" s="117">
        <v>2005</v>
      </c>
      <c r="C1485" s="117" t="s">
        <v>449</v>
      </c>
      <c r="D1485" s="117" t="s">
        <v>3507</v>
      </c>
      <c r="E1485" s="452" t="s">
        <v>220</v>
      </c>
      <c r="F1485" s="117"/>
      <c r="G1485" s="120" t="s">
        <v>24</v>
      </c>
      <c r="H1485" s="117" t="str">
        <f t="shared" si="251"/>
        <v>yes</v>
      </c>
      <c r="I1485" s="117" t="str">
        <f t="shared" si="253"/>
        <v>no</v>
      </c>
      <c r="J1485" s="117" t="str">
        <f t="shared" si="254"/>
        <v>no</v>
      </c>
      <c r="K1485" s="117" t="s">
        <v>1332</v>
      </c>
      <c r="L1485" s="117" t="str">
        <f t="shared" si="252"/>
        <v>detailed</v>
      </c>
      <c r="M1485" s="117" t="str">
        <f t="shared" si="255"/>
        <v>detailed Mining</v>
      </c>
      <c r="N1485" s="179"/>
      <c r="O1485" s="179"/>
      <c r="P1485" s="179"/>
      <c r="Q1485" s="179"/>
      <c r="R1485" s="179"/>
      <c r="S1485" s="117"/>
      <c r="T1485" s="186">
        <f>7379.82791666667</f>
        <v>7379.8279166666698</v>
      </c>
      <c r="U1485" s="117" t="s">
        <v>611</v>
      </c>
      <c r="V1485" s="117" t="s">
        <v>1333</v>
      </c>
      <c r="W1485" s="89">
        <f>N1487*T1485</f>
        <v>271083218.86291677</v>
      </c>
      <c r="X1485" s="117"/>
      <c r="Y1485" s="117"/>
      <c r="Z1485" s="117"/>
      <c r="AA1485" s="117"/>
      <c r="AB1485" s="117"/>
      <c r="AC1485" s="240" t="s">
        <v>2052</v>
      </c>
      <c r="AD1485" s="240"/>
      <c r="AE1485" s="240"/>
      <c r="AF1485" s="241"/>
      <c r="AG1485" s="117"/>
      <c r="AH1485" s="124"/>
      <c r="AI1485" s="117"/>
      <c r="AJ1485" s="117"/>
      <c r="AK1485" s="89"/>
      <c r="AL1485" s="117"/>
      <c r="AM1485" s="117"/>
      <c r="AN1485" s="117">
        <v>1</v>
      </c>
      <c r="AO1485" s="117" t="s">
        <v>2053</v>
      </c>
      <c r="AP1485" s="117">
        <v>1</v>
      </c>
      <c r="AQ1485" s="117"/>
      <c r="AR1485" s="117"/>
      <c r="AS1485" s="117"/>
      <c r="AT1485" s="117"/>
      <c r="AU1485" s="117"/>
      <c r="AV1485" s="128"/>
      <c r="AW1485" s="117">
        <f>VLOOKUP($D1485,'WB Data'!$C$3:$M$578,2,FALSE)</f>
        <v>74963815412.621368</v>
      </c>
      <c r="AX1485" s="117">
        <f>VLOOKUP($D1485,'WB Data'!$C$3:$M$578,3,FALSE)</f>
        <v>27723281</v>
      </c>
      <c r="AY1485" s="847">
        <f t="shared" si="257"/>
        <v>2.3434602876039049E-2</v>
      </c>
      <c r="AZ1485" s="117">
        <f>VLOOKUP($D1485,'WB Data'!$C$3:$M$578,4,FALSE)/100</f>
        <v>0.18666934873736063</v>
      </c>
      <c r="BA1485" s="117">
        <f t="shared" si="258"/>
        <v>13993446601.941748</v>
      </c>
      <c r="BB1485" s="129">
        <f>IFERROR(VLOOKUP($D1485,'EITI Revenues'!$C$2:$G$224,5,FALSE),"..")</f>
        <v>1756747244.267477</v>
      </c>
      <c r="BC1485" s="846">
        <f t="shared" si="259"/>
        <v>0.12554071160879754</v>
      </c>
      <c r="BD1485" s="129">
        <f>VLOOKUP($D1485,'WB Data 2'!$C$2:$K$545,6,FALSE)</f>
        <v>10433642919.64677</v>
      </c>
      <c r="BE1485" s="129">
        <f>IFERROR(VLOOKUP($D1485,UNCTAD!$C$5:$V$529,4,FALSE),"..")</f>
        <v>19656900000</v>
      </c>
      <c r="BF1485" s="846">
        <f t="shared" si="260"/>
        <v>0.53078781087794979</v>
      </c>
      <c r="BG1485" s="117">
        <f>VLOOKUP($D1485,'WB Data'!$C$3:$M$578,5,FALSE)</f>
        <v>450480000</v>
      </c>
      <c r="BH1485" s="129">
        <f>IFERROR($BB1485/$BG1485,"..")</f>
        <v>3.8997230604410342</v>
      </c>
      <c r="BI1485" s="117">
        <f>IFERROR(VLOOKUP($D1485,'WB Data'!$C$3:$M$578,7,FALSE)/100,"..")</f>
        <v>2.7207200000000001E-2</v>
      </c>
      <c r="BJ1485" s="117">
        <f>IFERROR($BI1485*$AW1485,"..")</f>
        <v>2039555518.694272</v>
      </c>
      <c r="BK1485" s="846">
        <f>IFERROR($BB1485/$BJ1485,"..")</f>
        <v>0.86133828089766862</v>
      </c>
      <c r="BL1485" s="117">
        <f>IFERROR(VLOOKUP($D1485,'WB Data'!$C$3:$M$578,7,FALSE)/100,"..")</f>
        <v>2.7207200000000001E-2</v>
      </c>
      <c r="BM1485" s="117">
        <f>IFERROR($AW1485*$BL1485,"..")</f>
        <v>2039555518.694272</v>
      </c>
      <c r="BN1485" s="846">
        <f>IFERROR($BB1485/$BM1485,"..")</f>
        <v>0.86133828089766862</v>
      </c>
      <c r="BO1485" s="801">
        <f t="shared" si="256"/>
        <v>38</v>
      </c>
      <c r="BP1485" s="117">
        <f>VLOOKUP($D1485,'WB Data'!$C$3:$M$578,9,FALSE)</f>
        <v>55.6</v>
      </c>
      <c r="BQ1485" s="117">
        <f>VLOOKUP($D1485,'WB Data'!$C$3:$M$578,10,FALSE)</f>
        <v>72.418609756097567</v>
      </c>
      <c r="BR1485" s="117">
        <f>VLOOKUP($D1485,'WB Data'!$C$3:$M$578,11,FALSE)</f>
        <v>21.5</v>
      </c>
      <c r="BS1485" s="129">
        <f>IFERROR(VLOOKUP($D1485,'WB Data 2'!$C$2:$K$545,9,FALSE),"..")</f>
        <v>99.638220000000004</v>
      </c>
      <c r="BT1485" s="129">
        <f>_xlfn.IFNA(VLOOKUP($C1485,RGI!$A$2:$C$43,2,FALSE),"..")</f>
        <v>76.8</v>
      </c>
      <c r="BU1485" s="129">
        <f>_xlfn.IFNA(VLOOKUP($C1485,RGI!$A$2:$C$43,3,FALSE),"..")</f>
        <v>72.816147461462435</v>
      </c>
      <c r="BV1485" s="129">
        <f>VLOOKUP($D1485,WGI!$C$2:$O$478,7,FALSE)</f>
        <v>-1.8341252380880701E-2</v>
      </c>
      <c r="BW1485" s="129">
        <f>VLOOKUP($D1485,WGI!$C$2:$O$478,4,FALSE)</f>
        <v>-0.97676687745370405</v>
      </c>
      <c r="BX1485" s="129">
        <f>VLOOKUP($D1485,WGI!$C$2:$O$478,3,FALSE)</f>
        <v>-0.60044293542902905</v>
      </c>
      <c r="BY1485" s="129">
        <f>VLOOKUP($D1485,WGI!$C$2:$O$478,5,FALSE)</f>
        <v>8.1359403889796206E-2</v>
      </c>
      <c r="BZ1485" s="129">
        <f>VLOOKUP($D1485,WGI!$C$2:$O$478,2,FALSE)</f>
        <v>-0.36012924757922499</v>
      </c>
    </row>
    <row r="1486" spans="1:78" ht="15" customHeight="1">
      <c r="A1486" s="294" t="s">
        <v>451</v>
      </c>
      <c r="B1486" s="117">
        <v>2005</v>
      </c>
      <c r="C1486" s="117" t="s">
        <v>449</v>
      </c>
      <c r="D1486" s="117" t="s">
        <v>3507</v>
      </c>
      <c r="E1486" s="452" t="s">
        <v>220</v>
      </c>
      <c r="F1486" s="117"/>
      <c r="G1486" s="120" t="s">
        <v>24</v>
      </c>
      <c r="H1486" s="117" t="str">
        <f t="shared" si="251"/>
        <v>yes</v>
      </c>
      <c r="I1486" s="117" t="str">
        <f t="shared" si="253"/>
        <v>no</v>
      </c>
      <c r="J1486" s="117" t="str">
        <f t="shared" si="254"/>
        <v>no</v>
      </c>
      <c r="K1486" s="117" t="s">
        <v>2054</v>
      </c>
      <c r="L1486" s="117" t="str">
        <f t="shared" si="252"/>
        <v>detailed</v>
      </c>
      <c r="M1486" s="117" t="str">
        <f t="shared" si="255"/>
        <v>detailed Mining</v>
      </c>
      <c r="N1486" s="179">
        <v>42145</v>
      </c>
      <c r="O1486" s="179"/>
      <c r="P1486" s="179"/>
      <c r="Q1486" s="179"/>
      <c r="R1486" s="179"/>
      <c r="S1486" s="117" t="s">
        <v>610</v>
      </c>
      <c r="T1486" s="119"/>
      <c r="U1486" s="117"/>
      <c r="V1486" s="117" t="s">
        <v>1146</v>
      </c>
      <c r="W1486" s="89"/>
      <c r="X1486" s="117"/>
      <c r="Y1486" s="120"/>
      <c r="Z1486" s="120"/>
      <c r="AA1486" s="89"/>
      <c r="AB1486" s="89"/>
      <c r="AC1486" s="240"/>
      <c r="AD1486" s="240"/>
      <c r="AE1486" s="240"/>
      <c r="AF1486" s="241"/>
      <c r="AG1486" s="120"/>
      <c r="AH1486" s="124"/>
      <c r="AI1486" s="117"/>
      <c r="AJ1486" s="117"/>
      <c r="AK1486" s="89"/>
      <c r="AL1486" s="117"/>
      <c r="AM1486" s="117"/>
      <c r="AN1486" s="117"/>
      <c r="AO1486" s="117"/>
      <c r="AP1486" s="117"/>
      <c r="AQ1486" s="117"/>
      <c r="AR1486" s="117"/>
      <c r="AS1486" s="117"/>
      <c r="AT1486" s="117"/>
      <c r="AU1486" s="117"/>
      <c r="AV1486" s="128"/>
      <c r="AW1486" s="117">
        <f>VLOOKUP($D1486,'WB Data'!$C$3:$M$578,2,FALSE)</f>
        <v>74963815412.621368</v>
      </c>
      <c r="AX1486" s="117">
        <f>VLOOKUP($D1486,'WB Data'!$C$3:$M$578,3,FALSE)</f>
        <v>27723281</v>
      </c>
      <c r="AY1486" s="847">
        <f t="shared" si="257"/>
        <v>2.3434602876039049E-2</v>
      </c>
      <c r="AZ1486" s="117">
        <f>VLOOKUP($D1486,'WB Data'!$C$3:$M$578,4,FALSE)/100</f>
        <v>0.18666934873736063</v>
      </c>
      <c r="BA1486" s="117">
        <f t="shared" si="258"/>
        <v>13993446601.941748</v>
      </c>
      <c r="BB1486" s="129">
        <f>IFERROR(VLOOKUP($D1486,'EITI Revenues'!$C$2:$G$224,5,FALSE),"..")</f>
        <v>1756747244.267477</v>
      </c>
      <c r="BC1486" s="846">
        <f t="shared" si="259"/>
        <v>0.12554071160879754</v>
      </c>
      <c r="BD1486" s="129">
        <f>VLOOKUP($D1486,'WB Data 2'!$C$2:$K$545,6,FALSE)</f>
        <v>10433642919.64677</v>
      </c>
      <c r="BE1486" s="129">
        <f>IFERROR(VLOOKUP($D1486,UNCTAD!$C$5:$V$529,4,FALSE),"..")</f>
        <v>19656900000</v>
      </c>
      <c r="BF1486" s="846">
        <f t="shared" si="260"/>
        <v>0.53078781087794979</v>
      </c>
      <c r="BG1486" s="117">
        <f>VLOOKUP($D1486,'WB Data'!$C$3:$M$578,5,FALSE)</f>
        <v>450480000</v>
      </c>
      <c r="BH1486" s="129">
        <f>IFERROR($BB1486/$BG1486,"..")</f>
        <v>3.8997230604410342</v>
      </c>
      <c r="BI1486" s="117">
        <f>IFERROR(VLOOKUP($D1486,'WB Data'!$C$3:$M$578,7,FALSE)/100,"..")</f>
        <v>2.7207200000000001E-2</v>
      </c>
      <c r="BJ1486" s="117">
        <f>IFERROR($BI1486*$AW1486,"..")</f>
        <v>2039555518.694272</v>
      </c>
      <c r="BK1486" s="846">
        <f>IFERROR($BB1486/$BJ1486,"..")</f>
        <v>0.86133828089766862</v>
      </c>
      <c r="BL1486" s="117">
        <f>IFERROR(VLOOKUP($D1486,'WB Data'!$C$3:$M$578,7,FALSE)/100,"..")</f>
        <v>2.7207200000000001E-2</v>
      </c>
      <c r="BM1486" s="117">
        <f>IFERROR($AW1486*$BL1486,"..")</f>
        <v>2039555518.694272</v>
      </c>
      <c r="BN1486" s="846">
        <f>IFERROR($BB1486/$BM1486,"..")</f>
        <v>0.86133828089766862</v>
      </c>
      <c r="BO1486" s="801">
        <f t="shared" si="256"/>
        <v>38</v>
      </c>
      <c r="BP1486" s="117">
        <f>VLOOKUP($D1486,'WB Data'!$C$3:$M$578,9,FALSE)</f>
        <v>55.6</v>
      </c>
      <c r="BQ1486" s="117">
        <f>VLOOKUP($D1486,'WB Data'!$C$3:$M$578,10,FALSE)</f>
        <v>72.418609756097567</v>
      </c>
      <c r="BR1486" s="117">
        <f>VLOOKUP($D1486,'WB Data'!$C$3:$M$578,11,FALSE)</f>
        <v>21.5</v>
      </c>
      <c r="BS1486" s="129">
        <f>IFERROR(VLOOKUP($D1486,'WB Data 2'!$C$2:$K$545,9,FALSE),"..")</f>
        <v>99.638220000000004</v>
      </c>
      <c r="BT1486" s="129">
        <f>_xlfn.IFNA(VLOOKUP($C1486,RGI!$A$2:$C$43,2,FALSE),"..")</f>
        <v>76.8</v>
      </c>
      <c r="BU1486" s="129">
        <f>_xlfn.IFNA(VLOOKUP($C1486,RGI!$A$2:$C$43,3,FALSE),"..")</f>
        <v>72.816147461462435</v>
      </c>
      <c r="BV1486" s="129">
        <f>VLOOKUP($D1486,WGI!$C$2:$O$478,7,FALSE)</f>
        <v>-1.8341252380880701E-2</v>
      </c>
      <c r="BW1486" s="129">
        <f>VLOOKUP($D1486,WGI!$C$2:$O$478,4,FALSE)</f>
        <v>-0.97676687745370405</v>
      </c>
      <c r="BX1486" s="129">
        <f>VLOOKUP($D1486,WGI!$C$2:$O$478,3,FALSE)</f>
        <v>-0.60044293542902905</v>
      </c>
      <c r="BY1486" s="129">
        <f>VLOOKUP($D1486,WGI!$C$2:$O$478,5,FALSE)</f>
        <v>8.1359403889796206E-2</v>
      </c>
      <c r="BZ1486" s="129">
        <f>VLOOKUP($D1486,WGI!$C$2:$O$478,2,FALSE)</f>
        <v>-0.36012924757922499</v>
      </c>
    </row>
    <row r="1487" spans="1:78" ht="15" customHeight="1">
      <c r="A1487" s="294" t="s">
        <v>451</v>
      </c>
      <c r="B1487" s="117">
        <v>2005</v>
      </c>
      <c r="C1487" s="117" t="s">
        <v>449</v>
      </c>
      <c r="D1487" s="117" t="s">
        <v>3507</v>
      </c>
      <c r="E1487" s="452" t="s">
        <v>220</v>
      </c>
      <c r="F1487" s="117"/>
      <c r="G1487" s="120" t="s">
        <v>24</v>
      </c>
      <c r="H1487" s="117" t="str">
        <f t="shared" si="251"/>
        <v>yes</v>
      </c>
      <c r="I1487" s="117" t="str">
        <f t="shared" si="253"/>
        <v>no</v>
      </c>
      <c r="J1487" s="117" t="str">
        <f t="shared" si="254"/>
        <v>no</v>
      </c>
      <c r="K1487" s="117" t="s">
        <v>1336</v>
      </c>
      <c r="L1487" s="117" t="str">
        <f t="shared" si="252"/>
        <v>detailed</v>
      </c>
      <c r="M1487" s="117" t="str">
        <f t="shared" si="255"/>
        <v>detailed Mining</v>
      </c>
      <c r="N1487" s="179">
        <v>36733</v>
      </c>
      <c r="O1487" s="179"/>
      <c r="P1487" s="179"/>
      <c r="Q1487" s="179"/>
      <c r="R1487" s="179"/>
      <c r="S1487" s="117" t="s">
        <v>610</v>
      </c>
      <c r="T1487" s="119"/>
      <c r="U1487" s="117"/>
      <c r="V1487" s="117" t="s">
        <v>1146</v>
      </c>
      <c r="W1487" s="89"/>
      <c r="X1487" s="117"/>
      <c r="Y1487" s="120"/>
      <c r="Z1487" s="120"/>
      <c r="AA1487" s="89"/>
      <c r="AB1487" s="89"/>
      <c r="AC1487" s="240"/>
      <c r="AD1487" s="240"/>
      <c r="AE1487" s="240"/>
      <c r="AF1487" s="241"/>
      <c r="AG1487" s="120"/>
      <c r="AH1487" s="124"/>
      <c r="AI1487" s="117"/>
      <c r="AJ1487" s="117"/>
      <c r="AK1487" s="89"/>
      <c r="AL1487" s="117"/>
      <c r="AM1487" s="117"/>
      <c r="AN1487" s="117"/>
      <c r="AO1487" s="117"/>
      <c r="AP1487" s="117"/>
      <c r="AQ1487" s="117"/>
      <c r="AR1487" s="117"/>
      <c r="AS1487" s="117"/>
      <c r="AT1487" s="117"/>
      <c r="AU1487" s="117"/>
      <c r="AV1487" s="128"/>
      <c r="AW1487" s="117">
        <f>VLOOKUP($D1487,'WB Data'!$C$3:$M$578,2,FALSE)</f>
        <v>74963815412.621368</v>
      </c>
      <c r="AX1487" s="117">
        <f>VLOOKUP($D1487,'WB Data'!$C$3:$M$578,3,FALSE)</f>
        <v>27723281</v>
      </c>
      <c r="AY1487" s="847">
        <f t="shared" si="257"/>
        <v>2.3434602876039049E-2</v>
      </c>
      <c r="AZ1487" s="117">
        <f>VLOOKUP($D1487,'WB Data'!$C$3:$M$578,4,FALSE)/100</f>
        <v>0.18666934873736063</v>
      </c>
      <c r="BA1487" s="117">
        <f t="shared" si="258"/>
        <v>13993446601.941748</v>
      </c>
      <c r="BB1487" s="129">
        <f>IFERROR(VLOOKUP($D1487,'EITI Revenues'!$C$2:$G$224,5,FALSE),"..")</f>
        <v>1756747244.267477</v>
      </c>
      <c r="BC1487" s="846">
        <f t="shared" si="259"/>
        <v>0.12554071160879754</v>
      </c>
      <c r="BD1487" s="129">
        <f>VLOOKUP($D1487,'WB Data 2'!$C$2:$K$545,6,FALSE)</f>
        <v>10433642919.64677</v>
      </c>
      <c r="BE1487" s="129">
        <f>IFERROR(VLOOKUP($D1487,UNCTAD!$C$5:$V$529,4,FALSE),"..")</f>
        <v>19656900000</v>
      </c>
      <c r="BF1487" s="846">
        <f t="shared" si="260"/>
        <v>0.53078781087794979</v>
      </c>
      <c r="BG1487" s="117">
        <f>VLOOKUP($D1487,'WB Data'!$C$3:$M$578,5,FALSE)</f>
        <v>450480000</v>
      </c>
      <c r="BH1487" s="129">
        <f>IFERROR($BB1487/$BG1487,"..")</f>
        <v>3.8997230604410342</v>
      </c>
      <c r="BI1487" s="117">
        <f>IFERROR(VLOOKUP($D1487,'WB Data'!$C$3:$M$578,7,FALSE)/100,"..")</f>
        <v>2.7207200000000001E-2</v>
      </c>
      <c r="BJ1487" s="117">
        <f>IFERROR($BI1487*$AW1487,"..")</f>
        <v>2039555518.694272</v>
      </c>
      <c r="BK1487" s="846">
        <f>IFERROR($BB1487/$BJ1487,"..")</f>
        <v>0.86133828089766862</v>
      </c>
      <c r="BL1487" s="117">
        <f>IFERROR(VLOOKUP($D1487,'WB Data'!$C$3:$M$578,7,FALSE)/100,"..")</f>
        <v>2.7207200000000001E-2</v>
      </c>
      <c r="BM1487" s="117">
        <f>IFERROR($AW1487*$BL1487,"..")</f>
        <v>2039555518.694272</v>
      </c>
      <c r="BN1487" s="846">
        <f>IFERROR($BB1487/$BM1487,"..")</f>
        <v>0.86133828089766862</v>
      </c>
      <c r="BO1487" s="801">
        <f t="shared" si="256"/>
        <v>38</v>
      </c>
      <c r="BP1487" s="117">
        <f>VLOOKUP($D1487,'WB Data'!$C$3:$M$578,9,FALSE)</f>
        <v>55.6</v>
      </c>
      <c r="BQ1487" s="117">
        <f>VLOOKUP($D1487,'WB Data'!$C$3:$M$578,10,FALSE)</f>
        <v>72.418609756097567</v>
      </c>
      <c r="BR1487" s="117">
        <f>VLOOKUP($D1487,'WB Data'!$C$3:$M$578,11,FALSE)</f>
        <v>21.5</v>
      </c>
      <c r="BS1487" s="129">
        <f>IFERROR(VLOOKUP($D1487,'WB Data 2'!$C$2:$K$545,9,FALSE),"..")</f>
        <v>99.638220000000004</v>
      </c>
      <c r="BT1487" s="129">
        <f>_xlfn.IFNA(VLOOKUP($C1487,RGI!$A$2:$C$43,2,FALSE),"..")</f>
        <v>76.8</v>
      </c>
      <c r="BU1487" s="129">
        <f>_xlfn.IFNA(VLOOKUP($C1487,RGI!$A$2:$C$43,3,FALSE),"..")</f>
        <v>72.816147461462435</v>
      </c>
      <c r="BV1487" s="129">
        <f>VLOOKUP($D1487,WGI!$C$2:$O$478,7,FALSE)</f>
        <v>-1.8341252380880701E-2</v>
      </c>
      <c r="BW1487" s="129">
        <f>VLOOKUP($D1487,WGI!$C$2:$O$478,4,FALSE)</f>
        <v>-0.97676687745370405</v>
      </c>
      <c r="BX1487" s="129">
        <f>VLOOKUP($D1487,WGI!$C$2:$O$478,3,FALSE)</f>
        <v>-0.60044293542902905</v>
      </c>
      <c r="BY1487" s="129">
        <f>VLOOKUP($D1487,WGI!$C$2:$O$478,5,FALSE)</f>
        <v>8.1359403889796206E-2</v>
      </c>
      <c r="BZ1487" s="129">
        <f>VLOOKUP($D1487,WGI!$C$2:$O$478,2,FALSE)</f>
        <v>-0.36012924757922499</v>
      </c>
    </row>
    <row r="1488" spans="1:78" ht="15" customHeight="1">
      <c r="A1488" s="294" t="s">
        <v>451</v>
      </c>
      <c r="B1488" s="117">
        <v>2005</v>
      </c>
      <c r="C1488" s="117" t="s">
        <v>449</v>
      </c>
      <c r="D1488" s="117" t="s">
        <v>3507</v>
      </c>
      <c r="E1488" s="452" t="s">
        <v>220</v>
      </c>
      <c r="F1488" s="117"/>
      <c r="G1488" s="120" t="s">
        <v>24</v>
      </c>
      <c r="H1488" s="117" t="str">
        <f t="shared" si="251"/>
        <v>yes</v>
      </c>
      <c r="I1488" s="117" t="str">
        <f t="shared" si="253"/>
        <v>no</v>
      </c>
      <c r="J1488" s="117" t="str">
        <f t="shared" si="254"/>
        <v>no</v>
      </c>
      <c r="K1488" s="117" t="s">
        <v>849</v>
      </c>
      <c r="L1488" s="117" t="str">
        <f t="shared" si="252"/>
        <v>detailed</v>
      </c>
      <c r="M1488" s="117" t="str">
        <f t="shared" si="255"/>
        <v>detailed Mining</v>
      </c>
      <c r="N1488" s="179"/>
      <c r="O1488" s="179"/>
      <c r="P1488" s="179"/>
      <c r="Q1488" s="179"/>
      <c r="R1488" s="179"/>
      <c r="S1488" s="117"/>
      <c r="T1488" s="186">
        <f>1381.30591666667</f>
        <v>1381.3059166666701</v>
      </c>
      <c r="U1488" s="117" t="s">
        <v>611</v>
      </c>
      <c r="V1488" s="117" t="s">
        <v>2055</v>
      </c>
      <c r="W1488" s="89">
        <f>N1490*T1488</f>
        <v>228748403.71775058</v>
      </c>
      <c r="X1488" s="117"/>
      <c r="Y1488" s="117"/>
      <c r="Z1488" s="117"/>
      <c r="AA1488" s="117"/>
      <c r="AB1488" s="117"/>
      <c r="AC1488" s="240" t="s">
        <v>2056</v>
      </c>
      <c r="AD1488" s="240"/>
      <c r="AE1488" s="240"/>
      <c r="AF1488" s="241"/>
      <c r="AG1488" s="117"/>
      <c r="AH1488" s="124"/>
      <c r="AI1488" s="117"/>
      <c r="AJ1488" s="117"/>
      <c r="AK1488" s="89"/>
      <c r="AL1488" s="117"/>
      <c r="AM1488" s="117"/>
      <c r="AN1488" s="117">
        <v>10</v>
      </c>
      <c r="AO1488" s="117" t="s">
        <v>2057</v>
      </c>
      <c r="AP1488" s="117">
        <v>10</v>
      </c>
      <c r="AQ1488" s="117"/>
      <c r="AR1488" s="117"/>
      <c r="AS1488" s="117"/>
      <c r="AT1488" s="117"/>
      <c r="AU1488" s="117"/>
      <c r="AV1488" s="128"/>
      <c r="AW1488" s="117">
        <f>VLOOKUP($D1488,'WB Data'!$C$3:$M$578,2,FALSE)</f>
        <v>74963815412.621368</v>
      </c>
      <c r="AX1488" s="117">
        <f>VLOOKUP($D1488,'WB Data'!$C$3:$M$578,3,FALSE)</f>
        <v>27723281</v>
      </c>
      <c r="AY1488" s="847">
        <f t="shared" si="257"/>
        <v>2.3434602876039049E-2</v>
      </c>
      <c r="AZ1488" s="117">
        <f>VLOOKUP($D1488,'WB Data'!$C$3:$M$578,4,FALSE)/100</f>
        <v>0.18666934873736063</v>
      </c>
      <c r="BA1488" s="117">
        <f t="shared" si="258"/>
        <v>13993446601.941748</v>
      </c>
      <c r="BB1488" s="129">
        <f>IFERROR(VLOOKUP($D1488,'EITI Revenues'!$C$2:$G$224,5,FALSE),"..")</f>
        <v>1756747244.267477</v>
      </c>
      <c r="BC1488" s="846">
        <f t="shared" si="259"/>
        <v>0.12554071160879754</v>
      </c>
      <c r="BD1488" s="129">
        <f>VLOOKUP($D1488,'WB Data 2'!$C$2:$K$545,6,FALSE)</f>
        <v>10433642919.64677</v>
      </c>
      <c r="BE1488" s="129">
        <f>IFERROR(VLOOKUP($D1488,UNCTAD!$C$5:$V$529,4,FALSE),"..")</f>
        <v>19656900000</v>
      </c>
      <c r="BF1488" s="846">
        <f t="shared" si="260"/>
        <v>0.53078781087794979</v>
      </c>
      <c r="BG1488" s="117">
        <f>VLOOKUP($D1488,'WB Data'!$C$3:$M$578,5,FALSE)</f>
        <v>450480000</v>
      </c>
      <c r="BH1488" s="129">
        <f>IFERROR($BB1488/$BG1488,"..")</f>
        <v>3.8997230604410342</v>
      </c>
      <c r="BI1488" s="117">
        <f>IFERROR(VLOOKUP($D1488,'WB Data'!$C$3:$M$578,7,FALSE)/100,"..")</f>
        <v>2.7207200000000001E-2</v>
      </c>
      <c r="BJ1488" s="117">
        <f>IFERROR($BI1488*$AW1488,"..")</f>
        <v>2039555518.694272</v>
      </c>
      <c r="BK1488" s="846">
        <f>IFERROR($BB1488/$BJ1488,"..")</f>
        <v>0.86133828089766862</v>
      </c>
      <c r="BL1488" s="117">
        <f>IFERROR(VLOOKUP($D1488,'WB Data'!$C$3:$M$578,7,FALSE)/100,"..")</f>
        <v>2.7207200000000001E-2</v>
      </c>
      <c r="BM1488" s="117">
        <f>IFERROR($AW1488*$BL1488,"..")</f>
        <v>2039555518.694272</v>
      </c>
      <c r="BN1488" s="846">
        <f>IFERROR($BB1488/$BM1488,"..")</f>
        <v>0.86133828089766862</v>
      </c>
      <c r="BO1488" s="801">
        <f t="shared" si="256"/>
        <v>38</v>
      </c>
      <c r="BP1488" s="117">
        <f>VLOOKUP($D1488,'WB Data'!$C$3:$M$578,9,FALSE)</f>
        <v>55.6</v>
      </c>
      <c r="BQ1488" s="117">
        <f>VLOOKUP($D1488,'WB Data'!$C$3:$M$578,10,FALSE)</f>
        <v>72.418609756097567</v>
      </c>
      <c r="BR1488" s="117">
        <f>VLOOKUP($D1488,'WB Data'!$C$3:$M$578,11,FALSE)</f>
        <v>21.5</v>
      </c>
      <c r="BS1488" s="129">
        <f>IFERROR(VLOOKUP($D1488,'WB Data 2'!$C$2:$K$545,9,FALSE),"..")</f>
        <v>99.638220000000004</v>
      </c>
      <c r="BT1488" s="129">
        <f>_xlfn.IFNA(VLOOKUP($C1488,RGI!$A$2:$C$43,2,FALSE),"..")</f>
        <v>76.8</v>
      </c>
      <c r="BU1488" s="129">
        <f>_xlfn.IFNA(VLOOKUP($C1488,RGI!$A$2:$C$43,3,FALSE),"..")</f>
        <v>72.816147461462435</v>
      </c>
      <c r="BV1488" s="129">
        <f>VLOOKUP($D1488,WGI!$C$2:$O$478,7,FALSE)</f>
        <v>-1.8341252380880701E-2</v>
      </c>
      <c r="BW1488" s="129">
        <f>VLOOKUP($D1488,WGI!$C$2:$O$478,4,FALSE)</f>
        <v>-0.97676687745370405</v>
      </c>
      <c r="BX1488" s="129">
        <f>VLOOKUP($D1488,WGI!$C$2:$O$478,3,FALSE)</f>
        <v>-0.60044293542902905</v>
      </c>
      <c r="BY1488" s="129">
        <f>VLOOKUP($D1488,WGI!$C$2:$O$478,5,FALSE)</f>
        <v>8.1359403889796206E-2</v>
      </c>
      <c r="BZ1488" s="129">
        <f>VLOOKUP($D1488,WGI!$C$2:$O$478,2,FALSE)</f>
        <v>-0.36012924757922499</v>
      </c>
    </row>
    <row r="1489" spans="1:80" ht="15" customHeight="1">
      <c r="A1489" s="294" t="s">
        <v>451</v>
      </c>
      <c r="B1489" s="117">
        <v>2005</v>
      </c>
      <c r="C1489" s="117" t="s">
        <v>449</v>
      </c>
      <c r="D1489" s="117" t="s">
        <v>3507</v>
      </c>
      <c r="E1489" s="452" t="s">
        <v>220</v>
      </c>
      <c r="F1489" s="117"/>
      <c r="G1489" s="120" t="s">
        <v>24</v>
      </c>
      <c r="H1489" s="117" t="str">
        <f t="shared" si="251"/>
        <v>yes</v>
      </c>
      <c r="I1489" s="117" t="str">
        <f t="shared" si="253"/>
        <v>no</v>
      </c>
      <c r="J1489" s="117" t="str">
        <f t="shared" si="254"/>
        <v>no</v>
      </c>
      <c r="K1489" s="117" t="s">
        <v>2058</v>
      </c>
      <c r="L1489" s="117" t="str">
        <f t="shared" si="252"/>
        <v>detailed</v>
      </c>
      <c r="M1489" s="117" t="str">
        <f t="shared" si="255"/>
        <v>detailed Mining</v>
      </c>
      <c r="N1489" s="179">
        <v>1201671</v>
      </c>
      <c r="O1489" s="179"/>
      <c r="P1489" s="179"/>
      <c r="Q1489" s="179"/>
      <c r="R1489" s="179"/>
      <c r="S1489" s="117" t="s">
        <v>610</v>
      </c>
      <c r="T1489" s="119"/>
      <c r="U1489" s="117"/>
      <c r="V1489" s="117" t="s">
        <v>1146</v>
      </c>
      <c r="W1489" s="89"/>
      <c r="X1489" s="117"/>
      <c r="Y1489" s="120"/>
      <c r="Z1489" s="120"/>
      <c r="AA1489" s="89"/>
      <c r="AB1489" s="89"/>
      <c r="AC1489" s="240"/>
      <c r="AD1489" s="240"/>
      <c r="AE1489" s="240"/>
      <c r="AF1489" s="241"/>
      <c r="AG1489" s="120"/>
      <c r="AH1489" s="124"/>
      <c r="AI1489" s="117"/>
      <c r="AJ1489" s="117"/>
      <c r="AK1489" s="89"/>
      <c r="AL1489" s="117"/>
      <c r="AM1489" s="117"/>
      <c r="AN1489" s="117"/>
      <c r="AO1489" s="117"/>
      <c r="AP1489" s="117"/>
      <c r="AQ1489" s="117"/>
      <c r="AR1489" s="117"/>
      <c r="AS1489" s="117"/>
      <c r="AT1489" s="117"/>
      <c r="AU1489" s="117"/>
      <c r="AV1489" s="128"/>
      <c r="AW1489" s="117">
        <f>VLOOKUP($D1489,'WB Data'!$C$3:$M$578,2,FALSE)</f>
        <v>74963815412.621368</v>
      </c>
      <c r="AX1489" s="117">
        <f>VLOOKUP($D1489,'WB Data'!$C$3:$M$578,3,FALSE)</f>
        <v>27723281</v>
      </c>
      <c r="AY1489" s="847">
        <f t="shared" si="257"/>
        <v>2.3434602876039049E-2</v>
      </c>
      <c r="AZ1489" s="117">
        <f>VLOOKUP($D1489,'WB Data'!$C$3:$M$578,4,FALSE)/100</f>
        <v>0.18666934873736063</v>
      </c>
      <c r="BA1489" s="117">
        <f t="shared" si="258"/>
        <v>13993446601.941748</v>
      </c>
      <c r="BB1489" s="129">
        <f>IFERROR(VLOOKUP($D1489,'EITI Revenues'!$C$2:$G$224,5,FALSE),"..")</f>
        <v>1756747244.267477</v>
      </c>
      <c r="BC1489" s="846">
        <f t="shared" si="259"/>
        <v>0.12554071160879754</v>
      </c>
      <c r="BD1489" s="129">
        <f>VLOOKUP($D1489,'WB Data 2'!$C$2:$K$545,6,FALSE)</f>
        <v>10433642919.64677</v>
      </c>
      <c r="BE1489" s="129">
        <f>IFERROR(VLOOKUP($D1489,UNCTAD!$C$5:$V$529,4,FALSE),"..")</f>
        <v>19656900000</v>
      </c>
      <c r="BF1489" s="846">
        <f t="shared" si="260"/>
        <v>0.53078781087794979</v>
      </c>
      <c r="BG1489" s="117">
        <f>VLOOKUP($D1489,'WB Data'!$C$3:$M$578,5,FALSE)</f>
        <v>450480000</v>
      </c>
      <c r="BH1489" s="129">
        <f>IFERROR($BB1489/$BG1489,"..")</f>
        <v>3.8997230604410342</v>
      </c>
      <c r="BI1489" s="117">
        <f>IFERROR(VLOOKUP($D1489,'WB Data'!$C$3:$M$578,7,FALSE)/100,"..")</f>
        <v>2.7207200000000001E-2</v>
      </c>
      <c r="BJ1489" s="117">
        <f>IFERROR($BI1489*$AW1489,"..")</f>
        <v>2039555518.694272</v>
      </c>
      <c r="BK1489" s="846">
        <f>IFERROR($BB1489/$BJ1489,"..")</f>
        <v>0.86133828089766862</v>
      </c>
      <c r="BL1489" s="117">
        <f>IFERROR(VLOOKUP($D1489,'WB Data'!$C$3:$M$578,7,FALSE)/100,"..")</f>
        <v>2.7207200000000001E-2</v>
      </c>
      <c r="BM1489" s="117">
        <f>IFERROR($AW1489*$BL1489,"..")</f>
        <v>2039555518.694272</v>
      </c>
      <c r="BN1489" s="846">
        <f>IFERROR($BB1489/$BM1489,"..")</f>
        <v>0.86133828089766862</v>
      </c>
      <c r="BO1489" s="801">
        <f t="shared" si="256"/>
        <v>38</v>
      </c>
      <c r="BP1489" s="117">
        <f>VLOOKUP($D1489,'WB Data'!$C$3:$M$578,9,FALSE)</f>
        <v>55.6</v>
      </c>
      <c r="BQ1489" s="117">
        <f>VLOOKUP($D1489,'WB Data'!$C$3:$M$578,10,FALSE)</f>
        <v>72.418609756097567</v>
      </c>
      <c r="BR1489" s="117">
        <f>VLOOKUP($D1489,'WB Data'!$C$3:$M$578,11,FALSE)</f>
        <v>21.5</v>
      </c>
      <c r="BS1489" s="129">
        <f>IFERROR(VLOOKUP($D1489,'WB Data 2'!$C$2:$K$545,9,FALSE),"..")</f>
        <v>99.638220000000004</v>
      </c>
      <c r="BT1489" s="129">
        <f>_xlfn.IFNA(VLOOKUP($C1489,RGI!$A$2:$C$43,2,FALSE),"..")</f>
        <v>76.8</v>
      </c>
      <c r="BU1489" s="129">
        <f>_xlfn.IFNA(VLOOKUP($C1489,RGI!$A$2:$C$43,3,FALSE),"..")</f>
        <v>72.816147461462435</v>
      </c>
      <c r="BV1489" s="129">
        <f>VLOOKUP($D1489,WGI!$C$2:$O$478,7,FALSE)</f>
        <v>-1.8341252380880701E-2</v>
      </c>
      <c r="BW1489" s="129">
        <f>VLOOKUP($D1489,WGI!$C$2:$O$478,4,FALSE)</f>
        <v>-0.97676687745370405</v>
      </c>
      <c r="BX1489" s="129">
        <f>VLOOKUP($D1489,WGI!$C$2:$O$478,3,FALSE)</f>
        <v>-0.60044293542902905</v>
      </c>
      <c r="BY1489" s="129">
        <f>VLOOKUP($D1489,WGI!$C$2:$O$478,5,FALSE)</f>
        <v>8.1359403889796206E-2</v>
      </c>
      <c r="BZ1489" s="129">
        <f>VLOOKUP($D1489,WGI!$C$2:$O$478,2,FALSE)</f>
        <v>-0.36012924757922499</v>
      </c>
    </row>
    <row r="1490" spans="1:80" ht="15" customHeight="1">
      <c r="A1490" s="295" t="s">
        <v>451</v>
      </c>
      <c r="B1490" s="149">
        <v>2005</v>
      </c>
      <c r="C1490" s="149" t="s">
        <v>449</v>
      </c>
      <c r="D1490" s="117" t="s">
        <v>3507</v>
      </c>
      <c r="E1490" s="453" t="s">
        <v>220</v>
      </c>
      <c r="F1490" s="149"/>
      <c r="G1490" s="120" t="s">
        <v>24</v>
      </c>
      <c r="H1490" s="117" t="str">
        <f t="shared" si="251"/>
        <v>yes</v>
      </c>
      <c r="I1490" s="117" t="str">
        <f t="shared" si="253"/>
        <v>no</v>
      </c>
      <c r="J1490" s="117" t="str">
        <f t="shared" si="254"/>
        <v>no</v>
      </c>
      <c r="K1490" s="117" t="s">
        <v>1336</v>
      </c>
      <c r="L1490" s="117" t="str">
        <f t="shared" si="252"/>
        <v>detailed</v>
      </c>
      <c r="M1490" s="117" t="str">
        <f t="shared" si="255"/>
        <v>detailed Mining</v>
      </c>
      <c r="N1490" s="179">
        <v>165603</v>
      </c>
      <c r="O1490" s="179"/>
      <c r="P1490" s="179"/>
      <c r="Q1490" s="179"/>
      <c r="R1490" s="179"/>
      <c r="S1490" s="117" t="s">
        <v>610</v>
      </c>
      <c r="T1490" s="119"/>
      <c r="U1490" s="117"/>
      <c r="V1490" s="117" t="s">
        <v>1146</v>
      </c>
      <c r="W1490" s="89"/>
      <c r="X1490" s="117"/>
      <c r="Y1490" s="120"/>
      <c r="Z1490" s="120"/>
      <c r="AA1490" s="89"/>
      <c r="AB1490" s="89"/>
      <c r="AC1490" s="240"/>
      <c r="AD1490" s="240"/>
      <c r="AE1490" s="240"/>
      <c r="AF1490" s="241"/>
      <c r="AG1490" s="120"/>
      <c r="AH1490" s="124"/>
      <c r="AI1490" s="117"/>
      <c r="AJ1490" s="117"/>
      <c r="AK1490" s="89"/>
      <c r="AL1490" s="117"/>
      <c r="AM1490" s="117"/>
      <c r="AN1490" s="117"/>
      <c r="AO1490" s="117"/>
      <c r="AP1490" s="117"/>
      <c r="AQ1490" s="117"/>
      <c r="AR1490" s="117"/>
      <c r="AS1490" s="117"/>
      <c r="AT1490" s="117"/>
      <c r="AU1490" s="117"/>
      <c r="AV1490" s="128"/>
      <c r="AW1490" s="117">
        <f>VLOOKUP($D1490,'WB Data'!$C$3:$M$578,2,FALSE)</f>
        <v>74963815412.621368</v>
      </c>
      <c r="AX1490" s="117">
        <f>VLOOKUP($D1490,'WB Data'!$C$3:$M$578,3,FALSE)</f>
        <v>27723281</v>
      </c>
      <c r="AY1490" s="847">
        <f t="shared" si="257"/>
        <v>2.3434602876039049E-2</v>
      </c>
      <c r="AZ1490" s="117">
        <f>VLOOKUP($D1490,'WB Data'!$C$3:$M$578,4,FALSE)/100</f>
        <v>0.18666934873736063</v>
      </c>
      <c r="BA1490" s="117">
        <f t="shared" si="258"/>
        <v>13993446601.941748</v>
      </c>
      <c r="BB1490" s="129">
        <f>IFERROR(VLOOKUP($D1490,'EITI Revenues'!$C$2:$G$224,5,FALSE),"..")</f>
        <v>1756747244.267477</v>
      </c>
      <c r="BC1490" s="846">
        <f t="shared" si="259"/>
        <v>0.12554071160879754</v>
      </c>
      <c r="BD1490" s="129">
        <f>VLOOKUP($D1490,'WB Data 2'!$C$2:$K$545,6,FALSE)</f>
        <v>10433642919.64677</v>
      </c>
      <c r="BE1490" s="129">
        <f>IFERROR(VLOOKUP($D1490,UNCTAD!$C$5:$V$529,4,FALSE),"..")</f>
        <v>19656900000</v>
      </c>
      <c r="BF1490" s="846">
        <f t="shared" si="260"/>
        <v>0.53078781087794979</v>
      </c>
      <c r="BG1490" s="117">
        <f>VLOOKUP($D1490,'WB Data'!$C$3:$M$578,5,FALSE)</f>
        <v>450480000</v>
      </c>
      <c r="BH1490" s="129">
        <f>IFERROR($BB1490/$BG1490,"..")</f>
        <v>3.8997230604410342</v>
      </c>
      <c r="BI1490" s="117">
        <f>IFERROR(VLOOKUP($D1490,'WB Data'!$C$3:$M$578,7,FALSE)/100,"..")</f>
        <v>2.7207200000000001E-2</v>
      </c>
      <c r="BJ1490" s="117">
        <f>IFERROR($BI1490*$AW1490,"..")</f>
        <v>2039555518.694272</v>
      </c>
      <c r="BK1490" s="846">
        <f>IFERROR($BB1490/$BJ1490,"..")</f>
        <v>0.86133828089766862</v>
      </c>
      <c r="BL1490" s="117">
        <f>IFERROR(VLOOKUP($D1490,'WB Data'!$C$3:$M$578,7,FALSE)/100,"..")</f>
        <v>2.7207200000000001E-2</v>
      </c>
      <c r="BM1490" s="117">
        <f>IFERROR($AW1490*$BL1490,"..")</f>
        <v>2039555518.694272</v>
      </c>
      <c r="BN1490" s="846">
        <f>IFERROR($BB1490/$BM1490,"..")</f>
        <v>0.86133828089766862</v>
      </c>
      <c r="BO1490" s="801">
        <f t="shared" si="256"/>
        <v>38</v>
      </c>
      <c r="BP1490" s="117">
        <f>VLOOKUP($D1490,'WB Data'!$C$3:$M$578,9,FALSE)</f>
        <v>55.6</v>
      </c>
      <c r="BQ1490" s="117">
        <f>VLOOKUP($D1490,'WB Data'!$C$3:$M$578,10,FALSE)</f>
        <v>72.418609756097567</v>
      </c>
      <c r="BR1490" s="117">
        <f>VLOOKUP($D1490,'WB Data'!$C$3:$M$578,11,FALSE)</f>
        <v>21.5</v>
      </c>
      <c r="BS1490" s="129">
        <f>IFERROR(VLOOKUP($D1490,'WB Data 2'!$C$2:$K$545,9,FALSE),"..")</f>
        <v>99.638220000000004</v>
      </c>
      <c r="BT1490" s="129">
        <f>_xlfn.IFNA(VLOOKUP($C1490,RGI!$A$2:$C$43,2,FALSE),"..")</f>
        <v>76.8</v>
      </c>
      <c r="BU1490" s="129">
        <f>_xlfn.IFNA(VLOOKUP($C1490,RGI!$A$2:$C$43,3,FALSE),"..")</f>
        <v>72.816147461462435</v>
      </c>
      <c r="BV1490" s="129">
        <f>VLOOKUP($D1490,WGI!$C$2:$O$478,7,FALSE)</f>
        <v>-1.8341252380880701E-2</v>
      </c>
      <c r="BW1490" s="129">
        <f>VLOOKUP($D1490,WGI!$C$2:$O$478,4,FALSE)</f>
        <v>-0.97676687745370405</v>
      </c>
      <c r="BX1490" s="129">
        <f>VLOOKUP($D1490,WGI!$C$2:$O$478,3,FALSE)</f>
        <v>-0.60044293542902905</v>
      </c>
      <c r="BY1490" s="129">
        <f>VLOOKUP($D1490,WGI!$C$2:$O$478,5,FALSE)</f>
        <v>8.1359403889796206E-2</v>
      </c>
      <c r="BZ1490" s="129">
        <f>VLOOKUP($D1490,WGI!$C$2:$O$478,2,FALSE)</f>
        <v>-0.36012924757922499</v>
      </c>
    </row>
    <row r="1491" spans="1:80" s="144" customFormat="1" ht="15" customHeight="1">
      <c r="A1491" s="296" t="s">
        <v>452</v>
      </c>
      <c r="B1491" s="132">
        <v>2006</v>
      </c>
      <c r="C1491" s="132" t="s">
        <v>449</v>
      </c>
      <c r="D1491" s="117" t="s">
        <v>3541</v>
      </c>
      <c r="E1491" s="450" t="s">
        <v>220</v>
      </c>
      <c r="F1491" s="132" t="s">
        <v>2019</v>
      </c>
      <c r="G1491" s="132" t="s">
        <v>35</v>
      </c>
      <c r="H1491" s="117" t="str">
        <f t="shared" si="251"/>
        <v>yes</v>
      </c>
      <c r="I1491" s="117" t="str">
        <f t="shared" si="253"/>
        <v>yes</v>
      </c>
      <c r="J1491" s="117" t="str">
        <f t="shared" si="254"/>
        <v>yes</v>
      </c>
      <c r="K1491" s="132" t="s">
        <v>709</v>
      </c>
      <c r="L1491" s="117" t="str">
        <f t="shared" si="252"/>
        <v>Total</v>
      </c>
      <c r="M1491" s="117" t="str">
        <f t="shared" si="255"/>
        <v>Total Oil, Gas, Mining</v>
      </c>
      <c r="N1491" s="238"/>
      <c r="O1491" s="238"/>
      <c r="P1491" s="238"/>
      <c r="Q1491" s="238"/>
      <c r="R1491" s="238"/>
      <c r="S1491" s="132"/>
      <c r="T1491" s="134"/>
      <c r="U1491" s="132"/>
      <c r="V1491" s="132"/>
      <c r="W1491" s="135">
        <f>W1492+W1495</f>
        <v>22517414758.921078</v>
      </c>
      <c r="X1491" s="132" t="s">
        <v>2020</v>
      </c>
      <c r="Y1491" s="132" t="s">
        <v>602</v>
      </c>
      <c r="Z1491" s="132" t="s">
        <v>603</v>
      </c>
      <c r="AA1491" s="135">
        <v>2926435259.9327216</v>
      </c>
      <c r="AB1491" s="135">
        <v>2926253811.7614679</v>
      </c>
      <c r="AC1491" s="599"/>
      <c r="AD1491" s="599"/>
      <c r="AE1491" s="599"/>
      <c r="AF1491" s="600">
        <f>AA1491/(((W1493*0.44)+(W1494*0.7))+W1495)</f>
        <v>0.13559398097398315</v>
      </c>
      <c r="AG1491" s="132" t="s">
        <v>2021</v>
      </c>
      <c r="AH1491" s="140">
        <v>3.27</v>
      </c>
      <c r="AI1491" s="132" t="s">
        <v>667</v>
      </c>
      <c r="AJ1491" s="132"/>
      <c r="AK1491" s="135"/>
      <c r="AL1491" s="132"/>
      <c r="AM1491" s="132"/>
      <c r="AN1491" s="132">
        <v>33</v>
      </c>
      <c r="AO1491" s="132" t="s">
        <v>2022</v>
      </c>
      <c r="AP1491" s="132">
        <v>33</v>
      </c>
      <c r="AQ1491" s="132" t="s">
        <v>368</v>
      </c>
      <c r="AR1491" s="141">
        <v>41898</v>
      </c>
      <c r="AS1491" s="132" t="s">
        <v>1382</v>
      </c>
      <c r="AT1491" s="132" t="s">
        <v>450</v>
      </c>
      <c r="AU1491" s="132" t="s">
        <v>2023</v>
      </c>
      <c r="AV1491" s="143" t="s">
        <v>2065</v>
      </c>
      <c r="AW1491" s="117">
        <f>VLOOKUP($D1491,'WB Data'!$C$3:$M$578,2,FALSE)</f>
        <v>87985689388.379211</v>
      </c>
      <c r="AX1491" s="117">
        <f>VLOOKUP($D1491,'WB Data'!$C$3:$M$578,3,FALSE)</f>
        <v>28030688</v>
      </c>
      <c r="AY1491" s="847">
        <f t="shared" si="257"/>
        <v>3.3260354954032255E-2</v>
      </c>
      <c r="AZ1491" s="117">
        <f>VLOOKUP($D1491,'WB Data'!$C$3:$M$578,4,FALSE)/100</f>
        <v>0.20121095279864007</v>
      </c>
      <c r="BA1491" s="117">
        <f t="shared" si="258"/>
        <v>17703684394.480976</v>
      </c>
      <c r="BB1491" s="129">
        <f>IFERROR(VLOOKUP($D1491,'EITI Revenues'!$C$2:$G$224,5,FALSE),"..")</f>
        <v>2926435259.9327216</v>
      </c>
      <c r="BC1491" s="846">
        <f t="shared" si="259"/>
        <v>0.16530091673149241</v>
      </c>
      <c r="BD1491" s="129">
        <f>VLOOKUP($D1491,'WB Data 2'!$C$2:$K$545,6,FALSE)</f>
        <v>15893054239.757475</v>
      </c>
      <c r="BE1491" s="129">
        <f>IFERROR(VLOOKUP($D1491,UNCTAD!$C$5:$V$529,4,FALSE),"..")</f>
        <v>26490180000</v>
      </c>
      <c r="BF1491" s="846">
        <f t="shared" si="260"/>
        <v>0.59996022072169664</v>
      </c>
      <c r="BG1491" s="117">
        <f>VLOOKUP($D1491,'WB Data'!$C$3:$M$578,5,FALSE)</f>
        <v>463440000</v>
      </c>
      <c r="BH1491" s="129">
        <f>IFERROR($BB1491/$BG1491,"..")</f>
        <v>6.314593604204906</v>
      </c>
      <c r="BI1491" s="117">
        <f>IFERROR(VLOOKUP($D1491,'WB Data'!$C$3:$M$578,7,FALSE)/100,"..")</f>
        <v>2.5476299999999997E-2</v>
      </c>
      <c r="BJ1491" s="117">
        <f>IFERROR($BI1491*$AW1491,"..")</f>
        <v>2241549818.565165</v>
      </c>
      <c r="BK1491" s="846">
        <f>IFERROR($BB1491/$BJ1491,"..")</f>
        <v>1.3055410304491726</v>
      </c>
      <c r="BL1491" s="117">
        <f>IFERROR(VLOOKUP($D1491,'WB Data'!$C$3:$M$578,7,FALSE)/100,"..")</f>
        <v>2.5476299999999997E-2</v>
      </c>
      <c r="BM1491" s="117">
        <f>IFERROR($AW1491*$BL1491,"..")</f>
        <v>2241549818.565165</v>
      </c>
      <c r="BN1491" s="846">
        <f>IFERROR($BB1491/$BM1491,"..")</f>
        <v>1.3055410304491726</v>
      </c>
      <c r="BO1491" s="801">
        <f t="shared" si="256"/>
        <v>38</v>
      </c>
      <c r="BP1491" s="117">
        <f>VLOOKUP($D1491,'WB Data'!$C$3:$M$578,9,FALSE)</f>
        <v>49.2</v>
      </c>
      <c r="BQ1491" s="117">
        <f>VLOOKUP($D1491,'WB Data'!$C$3:$M$578,10,FALSE)</f>
        <v>72.72097560975611</v>
      </c>
      <c r="BR1491" s="117">
        <f>VLOOKUP($D1491,'WB Data'!$C$3:$M$578,11,FALSE)</f>
        <v>20</v>
      </c>
      <c r="BS1491" s="129">
        <f>IFERROR(VLOOKUP($D1491,'WB Data 2'!$C$2:$K$545,9,FALSE),"..")</f>
        <v>99.710220000000007</v>
      </c>
      <c r="BT1491" s="129">
        <f>_xlfn.IFNA(VLOOKUP($C1491,RGI!$A$2:$C$43,2,FALSE),"..")</f>
        <v>76.8</v>
      </c>
      <c r="BU1491" s="129">
        <f>_xlfn.IFNA(VLOOKUP($C1491,RGI!$A$2:$C$43,3,FALSE),"..")</f>
        <v>72.816147461462435</v>
      </c>
      <c r="BV1491" s="129">
        <f>VLOOKUP($D1491,WGI!$C$2:$O$478,7,FALSE)</f>
        <v>4.6586424280511997E-2</v>
      </c>
      <c r="BW1491" s="129">
        <f>VLOOKUP($D1491,WGI!$C$2:$O$478,4,FALSE)</f>
        <v>-0.85037808720575603</v>
      </c>
      <c r="BX1491" s="129">
        <f>VLOOKUP($D1491,WGI!$C$2:$O$478,3,FALSE)</f>
        <v>-0.58013716140483895</v>
      </c>
      <c r="BY1491" s="129">
        <f>VLOOKUP($D1491,WGI!$C$2:$O$478,5,FALSE)</f>
        <v>0.15895971262752601</v>
      </c>
      <c r="BZ1491" s="129">
        <f>VLOOKUP($D1491,WGI!$C$2:$O$478,2,FALSE)</f>
        <v>-0.216828366148589</v>
      </c>
      <c r="CB1491" s="129"/>
    </row>
    <row r="1492" spans="1:80" s="120" customFormat="1" ht="15" customHeight="1">
      <c r="A1492" s="294" t="s">
        <v>452</v>
      </c>
      <c r="B1492" s="117">
        <v>2006</v>
      </c>
      <c r="C1492" s="117" t="s">
        <v>449</v>
      </c>
      <c r="D1492" s="117" t="s">
        <v>3541</v>
      </c>
      <c r="E1492" s="452" t="s">
        <v>220</v>
      </c>
      <c r="F1492" s="117"/>
      <c r="G1492" s="120" t="s">
        <v>55</v>
      </c>
      <c r="H1492" s="117" t="str">
        <f t="shared" si="251"/>
        <v>no</v>
      </c>
      <c r="I1492" s="117" t="str">
        <f t="shared" si="253"/>
        <v>yes</v>
      </c>
      <c r="J1492" s="117" t="str">
        <f t="shared" si="254"/>
        <v>yes</v>
      </c>
      <c r="K1492" s="117" t="s">
        <v>640</v>
      </c>
      <c r="L1492" s="117" t="str">
        <f t="shared" si="252"/>
        <v>Total</v>
      </c>
      <c r="M1492" s="117" t="str">
        <f t="shared" si="255"/>
        <v>Total Oil, Gas</v>
      </c>
      <c r="N1492" s="179"/>
      <c r="O1492" s="179"/>
      <c r="P1492" s="179"/>
      <c r="Q1492" s="179"/>
      <c r="R1492" s="179"/>
      <c r="S1492" s="117"/>
      <c r="T1492" s="119"/>
      <c r="U1492" s="117"/>
      <c r="V1492" s="117"/>
      <c r="W1492" s="89">
        <f>SUM(W1493:W1494)</f>
        <v>2737099850.0000005</v>
      </c>
      <c r="X1492" s="117"/>
      <c r="Y1492" s="117"/>
      <c r="Z1492" s="117"/>
      <c r="AA1492" s="89">
        <v>599046968.63608563</v>
      </c>
      <c r="AB1492" s="89">
        <v>599007421.15902138</v>
      </c>
      <c r="AC1492" s="240"/>
      <c r="AD1492" s="240"/>
      <c r="AE1492" s="240"/>
      <c r="AF1492" s="241">
        <f>AA1492/((W1493*0.41)+(W1494*0.71))</f>
        <v>0.33062451707087226</v>
      </c>
      <c r="AG1492" s="117"/>
      <c r="AH1492" s="124"/>
      <c r="AI1492" s="117"/>
      <c r="AJ1492" s="117"/>
      <c r="AK1492" s="89"/>
      <c r="AL1492" s="117"/>
      <c r="AM1492" s="117"/>
      <c r="AN1492" s="117">
        <v>9</v>
      </c>
      <c r="AO1492" s="117" t="s">
        <v>2025</v>
      </c>
      <c r="AP1492" s="117">
        <v>9</v>
      </c>
      <c r="AQ1492" s="117"/>
      <c r="AR1492" s="117"/>
      <c r="AS1492" s="117"/>
      <c r="AT1492" s="117"/>
      <c r="AU1492" s="117"/>
      <c r="AV1492" s="128"/>
      <c r="AW1492" s="117">
        <f>VLOOKUP($D1492,'WB Data'!$C$3:$M$578,2,FALSE)</f>
        <v>87985689388.379211</v>
      </c>
      <c r="AX1492" s="117">
        <f>VLOOKUP($D1492,'WB Data'!$C$3:$M$578,3,FALSE)</f>
        <v>28030688</v>
      </c>
      <c r="AY1492" s="847">
        <f t="shared" si="257"/>
        <v>3.3260354954032255E-2</v>
      </c>
      <c r="AZ1492" s="117">
        <f>VLOOKUP($D1492,'WB Data'!$C$3:$M$578,4,FALSE)/100</f>
        <v>0.20121095279864007</v>
      </c>
      <c r="BA1492" s="117">
        <f t="shared" si="258"/>
        <v>17703684394.480976</v>
      </c>
      <c r="BB1492" s="129">
        <f>IFERROR(VLOOKUP($D1492,'EITI Revenues'!$C$2:$G$224,5,FALSE),"..")</f>
        <v>2926435259.9327216</v>
      </c>
      <c r="BC1492" s="846">
        <f t="shared" si="259"/>
        <v>0.16530091673149241</v>
      </c>
      <c r="BD1492" s="129">
        <f>VLOOKUP($D1492,'WB Data 2'!$C$2:$K$545,6,FALSE)</f>
        <v>15893054239.757475</v>
      </c>
      <c r="BE1492" s="129">
        <f>IFERROR(VLOOKUP($D1492,UNCTAD!$C$5:$V$529,4,FALSE),"..")</f>
        <v>26490180000</v>
      </c>
      <c r="BF1492" s="846">
        <f t="shared" si="260"/>
        <v>0.59996022072169664</v>
      </c>
      <c r="BG1492" s="117">
        <f>VLOOKUP($D1492,'WB Data'!$C$3:$M$578,5,FALSE)</f>
        <v>463440000</v>
      </c>
      <c r="BH1492" s="129">
        <f>IFERROR($BB1492/$BG1492,"..")</f>
        <v>6.314593604204906</v>
      </c>
      <c r="BI1492" s="117">
        <f>IFERROR(VLOOKUP($D1492,'WB Data'!$C$3:$M$578,7,FALSE)/100,"..")</f>
        <v>2.5476299999999997E-2</v>
      </c>
      <c r="BJ1492" s="117">
        <f>IFERROR($BI1492*$AW1492,"..")</f>
        <v>2241549818.565165</v>
      </c>
      <c r="BK1492" s="846">
        <f>IFERROR($BB1492/$BJ1492,"..")</f>
        <v>1.3055410304491726</v>
      </c>
      <c r="BL1492" s="117">
        <f>IFERROR(VLOOKUP($D1492,'WB Data'!$C$3:$M$578,7,FALSE)/100,"..")</f>
        <v>2.5476299999999997E-2</v>
      </c>
      <c r="BM1492" s="117">
        <f>IFERROR($AW1492*$BL1492,"..")</f>
        <v>2241549818.565165</v>
      </c>
      <c r="BN1492" s="846">
        <f>IFERROR($BB1492/$BM1492,"..")</f>
        <v>1.3055410304491726</v>
      </c>
      <c r="BO1492" s="801">
        <f t="shared" si="256"/>
        <v>38</v>
      </c>
      <c r="BP1492" s="117">
        <f>VLOOKUP($D1492,'WB Data'!$C$3:$M$578,9,FALSE)</f>
        <v>49.2</v>
      </c>
      <c r="BQ1492" s="117">
        <f>VLOOKUP($D1492,'WB Data'!$C$3:$M$578,10,FALSE)</f>
        <v>72.72097560975611</v>
      </c>
      <c r="BR1492" s="117">
        <f>VLOOKUP($D1492,'WB Data'!$C$3:$M$578,11,FALSE)</f>
        <v>20</v>
      </c>
      <c r="BS1492" s="129">
        <f>IFERROR(VLOOKUP($D1492,'WB Data 2'!$C$2:$K$545,9,FALSE),"..")</f>
        <v>99.710220000000007</v>
      </c>
      <c r="BT1492" s="129">
        <f>_xlfn.IFNA(VLOOKUP($C1492,RGI!$A$2:$C$43,2,FALSE),"..")</f>
        <v>76.8</v>
      </c>
      <c r="BU1492" s="129">
        <f>_xlfn.IFNA(VLOOKUP($C1492,RGI!$A$2:$C$43,3,FALSE),"..")</f>
        <v>72.816147461462435</v>
      </c>
      <c r="BV1492" s="129">
        <f>VLOOKUP($D1492,WGI!$C$2:$O$478,7,FALSE)</f>
        <v>4.6586424280511997E-2</v>
      </c>
      <c r="BW1492" s="129">
        <f>VLOOKUP($D1492,WGI!$C$2:$O$478,4,FALSE)</f>
        <v>-0.85037808720575603</v>
      </c>
      <c r="BX1492" s="129">
        <f>VLOOKUP($D1492,WGI!$C$2:$O$478,3,FALSE)</f>
        <v>-0.58013716140483895</v>
      </c>
      <c r="BY1492" s="129">
        <f>VLOOKUP($D1492,WGI!$C$2:$O$478,5,FALSE)</f>
        <v>0.15895971262752601</v>
      </c>
      <c r="BZ1492" s="129">
        <f>VLOOKUP($D1492,WGI!$C$2:$O$478,2,FALSE)</f>
        <v>-0.216828366148589</v>
      </c>
      <c r="CB1492" s="129"/>
    </row>
    <row r="1493" spans="1:80" s="120" customFormat="1" ht="15" customHeight="1">
      <c r="A1493" s="294" t="s">
        <v>452</v>
      </c>
      <c r="B1493" s="117">
        <v>2006</v>
      </c>
      <c r="C1493" s="117" t="s">
        <v>449</v>
      </c>
      <c r="D1493" s="117" t="s">
        <v>3541</v>
      </c>
      <c r="E1493" s="452" t="s">
        <v>220</v>
      </c>
      <c r="F1493" s="117"/>
      <c r="G1493" s="120" t="s">
        <v>561</v>
      </c>
      <c r="H1493" s="117" t="str">
        <f t="shared" si="251"/>
        <v>no</v>
      </c>
      <c r="I1493" s="117" t="str">
        <f t="shared" si="253"/>
        <v>yes</v>
      </c>
      <c r="J1493" s="117" t="str">
        <f t="shared" si="254"/>
        <v>no</v>
      </c>
      <c r="K1493" s="117" t="s">
        <v>561</v>
      </c>
      <c r="L1493" s="117" t="str">
        <f t="shared" si="252"/>
        <v>detailed</v>
      </c>
      <c r="M1493" s="117" t="str">
        <f t="shared" si="255"/>
        <v>detailed Gas</v>
      </c>
      <c r="N1493" s="179">
        <v>1800000000</v>
      </c>
      <c r="O1493" s="179"/>
      <c r="P1493" s="179"/>
      <c r="Q1493" s="179"/>
      <c r="R1493" s="179"/>
      <c r="S1493" s="117" t="s">
        <v>642</v>
      </c>
      <c r="T1493" s="119">
        <v>0.243474</v>
      </c>
      <c r="U1493" s="117" t="s">
        <v>643</v>
      </c>
      <c r="V1493" s="117" t="s">
        <v>738</v>
      </c>
      <c r="W1493" s="89">
        <f>N1493*T1493</f>
        <v>438253200</v>
      </c>
      <c r="X1493" s="117"/>
      <c r="Y1493" s="89"/>
      <c r="Z1493" s="89"/>
      <c r="AA1493" s="117"/>
      <c r="AB1493" s="117"/>
      <c r="AC1493" s="240" t="s">
        <v>2066</v>
      </c>
      <c r="AD1493" s="462"/>
      <c r="AE1493" s="462"/>
      <c r="AF1493" s="463"/>
      <c r="AG1493" s="89"/>
      <c r="AH1493" s="124"/>
      <c r="AI1493" s="117"/>
      <c r="AJ1493" s="117"/>
      <c r="AK1493" s="89"/>
      <c r="AL1493" s="117"/>
      <c r="AM1493" s="117"/>
      <c r="AN1493" s="117">
        <v>6</v>
      </c>
      <c r="AO1493" s="117" t="s">
        <v>2027</v>
      </c>
      <c r="AP1493" s="117">
        <v>6</v>
      </c>
      <c r="AQ1493" s="117"/>
      <c r="AR1493" s="117"/>
      <c r="AS1493" s="117"/>
      <c r="AT1493" s="117"/>
      <c r="AU1493" s="117"/>
      <c r="AV1493" s="128"/>
      <c r="AW1493" s="117">
        <f>VLOOKUP($D1493,'WB Data'!$C$3:$M$578,2,FALSE)</f>
        <v>87985689388.379211</v>
      </c>
      <c r="AX1493" s="117">
        <f>VLOOKUP($D1493,'WB Data'!$C$3:$M$578,3,FALSE)</f>
        <v>28030688</v>
      </c>
      <c r="AY1493" s="847">
        <f t="shared" si="257"/>
        <v>3.3260354954032255E-2</v>
      </c>
      <c r="AZ1493" s="117">
        <f>VLOOKUP($D1493,'WB Data'!$C$3:$M$578,4,FALSE)/100</f>
        <v>0.20121095279864007</v>
      </c>
      <c r="BA1493" s="117">
        <f t="shared" si="258"/>
        <v>17703684394.480976</v>
      </c>
      <c r="BB1493" s="129">
        <f>IFERROR(VLOOKUP($D1493,'EITI Revenues'!$C$2:$G$224,5,FALSE),"..")</f>
        <v>2926435259.9327216</v>
      </c>
      <c r="BC1493" s="846">
        <f t="shared" si="259"/>
        <v>0.16530091673149241</v>
      </c>
      <c r="BD1493" s="129">
        <f>VLOOKUP($D1493,'WB Data 2'!$C$2:$K$545,6,FALSE)</f>
        <v>15893054239.757475</v>
      </c>
      <c r="BE1493" s="129">
        <f>IFERROR(VLOOKUP($D1493,UNCTAD!$C$5:$V$529,4,FALSE),"..")</f>
        <v>26490180000</v>
      </c>
      <c r="BF1493" s="846">
        <f t="shared" si="260"/>
        <v>0.59996022072169664</v>
      </c>
      <c r="BG1493" s="117">
        <f>VLOOKUP($D1493,'WB Data'!$C$3:$M$578,5,FALSE)</f>
        <v>463440000</v>
      </c>
      <c r="BH1493" s="129">
        <f>IFERROR($BB1493/$BG1493,"..")</f>
        <v>6.314593604204906</v>
      </c>
      <c r="BI1493" s="117">
        <f>IFERROR(VLOOKUP($D1493,'WB Data'!$C$3:$M$578,7,FALSE)/100,"..")</f>
        <v>2.5476299999999997E-2</v>
      </c>
      <c r="BJ1493" s="117">
        <f>IFERROR($BI1493*$AW1493,"..")</f>
        <v>2241549818.565165</v>
      </c>
      <c r="BK1493" s="846">
        <f>IFERROR($BB1493/$BJ1493,"..")</f>
        <v>1.3055410304491726</v>
      </c>
      <c r="BL1493" s="117">
        <f>IFERROR(VLOOKUP($D1493,'WB Data'!$C$3:$M$578,7,FALSE)/100,"..")</f>
        <v>2.5476299999999997E-2</v>
      </c>
      <c r="BM1493" s="117">
        <f>IFERROR($AW1493*$BL1493,"..")</f>
        <v>2241549818.565165</v>
      </c>
      <c r="BN1493" s="846">
        <f>IFERROR($BB1493/$BM1493,"..")</f>
        <v>1.3055410304491726</v>
      </c>
      <c r="BO1493" s="801">
        <f t="shared" si="256"/>
        <v>38</v>
      </c>
      <c r="BP1493" s="117">
        <f>VLOOKUP($D1493,'WB Data'!$C$3:$M$578,9,FALSE)</f>
        <v>49.2</v>
      </c>
      <c r="BQ1493" s="117">
        <f>VLOOKUP($D1493,'WB Data'!$C$3:$M$578,10,FALSE)</f>
        <v>72.72097560975611</v>
      </c>
      <c r="BR1493" s="117">
        <f>VLOOKUP($D1493,'WB Data'!$C$3:$M$578,11,FALSE)</f>
        <v>20</v>
      </c>
      <c r="BS1493" s="129">
        <f>IFERROR(VLOOKUP($D1493,'WB Data 2'!$C$2:$K$545,9,FALSE),"..")</f>
        <v>99.710220000000007</v>
      </c>
      <c r="BT1493" s="129">
        <f>_xlfn.IFNA(VLOOKUP($C1493,RGI!$A$2:$C$43,2,FALSE),"..")</f>
        <v>76.8</v>
      </c>
      <c r="BU1493" s="129">
        <f>_xlfn.IFNA(VLOOKUP($C1493,RGI!$A$2:$C$43,3,FALSE),"..")</f>
        <v>72.816147461462435</v>
      </c>
      <c r="BV1493" s="129">
        <f>VLOOKUP($D1493,WGI!$C$2:$O$478,7,FALSE)</f>
        <v>4.6586424280511997E-2</v>
      </c>
      <c r="BW1493" s="129">
        <f>VLOOKUP($D1493,WGI!$C$2:$O$478,4,FALSE)</f>
        <v>-0.85037808720575603</v>
      </c>
      <c r="BX1493" s="129">
        <f>VLOOKUP($D1493,WGI!$C$2:$O$478,3,FALSE)</f>
        <v>-0.58013716140483895</v>
      </c>
      <c r="BY1493" s="129">
        <f>VLOOKUP($D1493,WGI!$C$2:$O$478,5,FALSE)</f>
        <v>0.15895971262752601</v>
      </c>
      <c r="BZ1493" s="129">
        <f>VLOOKUP($D1493,WGI!$C$2:$O$478,2,FALSE)</f>
        <v>-0.216828366148589</v>
      </c>
      <c r="CB1493" s="129"/>
    </row>
    <row r="1494" spans="1:80" s="120" customFormat="1" ht="15" customHeight="1">
      <c r="A1494" s="294" t="s">
        <v>452</v>
      </c>
      <c r="B1494" s="117">
        <v>2006</v>
      </c>
      <c r="C1494" s="117" t="s">
        <v>449</v>
      </c>
      <c r="D1494" s="117" t="s">
        <v>3541</v>
      </c>
      <c r="E1494" s="452" t="s">
        <v>220</v>
      </c>
      <c r="F1494" s="117"/>
      <c r="G1494" s="120" t="s">
        <v>103</v>
      </c>
      <c r="H1494" s="117" t="str">
        <f t="shared" si="251"/>
        <v>no</v>
      </c>
      <c r="I1494" s="117" t="str">
        <f t="shared" si="253"/>
        <v>no</v>
      </c>
      <c r="J1494" s="117" t="str">
        <f t="shared" si="254"/>
        <v>yes</v>
      </c>
      <c r="K1494" s="117" t="s">
        <v>103</v>
      </c>
      <c r="L1494" s="117" t="str">
        <f t="shared" si="252"/>
        <v>detailed</v>
      </c>
      <c r="M1494" s="117" t="str">
        <f t="shared" si="255"/>
        <v>detailed Oil</v>
      </c>
      <c r="N1494" s="179">
        <v>35405000</v>
      </c>
      <c r="O1494" s="179"/>
      <c r="P1494" s="179"/>
      <c r="Q1494" s="179"/>
      <c r="R1494" s="179"/>
      <c r="S1494" s="117" t="s">
        <v>646</v>
      </c>
      <c r="T1494" s="119">
        <v>64.930000000000007</v>
      </c>
      <c r="U1494" s="117" t="s">
        <v>673</v>
      </c>
      <c r="V1494" s="117" t="s">
        <v>740</v>
      </c>
      <c r="W1494" s="89">
        <f>N1494*T1494</f>
        <v>2298846650.0000005</v>
      </c>
      <c r="X1494" s="117"/>
      <c r="Y1494" s="89"/>
      <c r="Z1494" s="89"/>
      <c r="AA1494" s="89"/>
      <c r="AB1494" s="89"/>
      <c r="AC1494" s="240" t="s">
        <v>2035</v>
      </c>
      <c r="AD1494" s="240"/>
      <c r="AE1494" s="240"/>
      <c r="AF1494" s="241"/>
      <c r="AG1494" s="89"/>
      <c r="AH1494" s="124"/>
      <c r="AI1494" s="117"/>
      <c r="AJ1494" s="117"/>
      <c r="AK1494" s="89"/>
      <c r="AL1494" s="117"/>
      <c r="AM1494" s="117"/>
      <c r="AN1494" s="117">
        <v>8</v>
      </c>
      <c r="AO1494" s="117" t="s">
        <v>2029</v>
      </c>
      <c r="AP1494" s="117">
        <v>8</v>
      </c>
      <c r="AQ1494" s="117"/>
      <c r="AR1494" s="117"/>
      <c r="AS1494" s="117"/>
      <c r="AT1494" s="117"/>
      <c r="AU1494" s="117"/>
      <c r="AV1494" s="128"/>
      <c r="AW1494" s="117">
        <f>VLOOKUP($D1494,'WB Data'!$C$3:$M$578,2,FALSE)</f>
        <v>87985689388.379211</v>
      </c>
      <c r="AX1494" s="117">
        <f>VLOOKUP($D1494,'WB Data'!$C$3:$M$578,3,FALSE)</f>
        <v>28030688</v>
      </c>
      <c r="AY1494" s="847">
        <f t="shared" si="257"/>
        <v>3.3260354954032255E-2</v>
      </c>
      <c r="AZ1494" s="117">
        <f>VLOOKUP($D1494,'WB Data'!$C$3:$M$578,4,FALSE)/100</f>
        <v>0.20121095279864007</v>
      </c>
      <c r="BA1494" s="117">
        <f t="shared" si="258"/>
        <v>17703684394.480976</v>
      </c>
      <c r="BB1494" s="129">
        <f>IFERROR(VLOOKUP($D1494,'EITI Revenues'!$C$2:$G$224,5,FALSE),"..")</f>
        <v>2926435259.9327216</v>
      </c>
      <c r="BC1494" s="846">
        <f t="shared" si="259"/>
        <v>0.16530091673149241</v>
      </c>
      <c r="BD1494" s="129">
        <f>VLOOKUP($D1494,'WB Data 2'!$C$2:$K$545,6,FALSE)</f>
        <v>15893054239.757475</v>
      </c>
      <c r="BE1494" s="129">
        <f>IFERROR(VLOOKUP($D1494,UNCTAD!$C$5:$V$529,4,FALSE),"..")</f>
        <v>26490180000</v>
      </c>
      <c r="BF1494" s="846">
        <f t="shared" si="260"/>
        <v>0.59996022072169664</v>
      </c>
      <c r="BG1494" s="117">
        <f>VLOOKUP($D1494,'WB Data'!$C$3:$M$578,5,FALSE)</f>
        <v>463440000</v>
      </c>
      <c r="BH1494" s="129">
        <f>IFERROR($BB1494/$BG1494,"..")</f>
        <v>6.314593604204906</v>
      </c>
      <c r="BI1494" s="117">
        <f>IFERROR(VLOOKUP($D1494,'WB Data'!$C$3:$M$578,7,FALSE)/100,"..")</f>
        <v>2.5476299999999997E-2</v>
      </c>
      <c r="BJ1494" s="117">
        <f>IFERROR($BI1494*$AW1494,"..")</f>
        <v>2241549818.565165</v>
      </c>
      <c r="BK1494" s="846">
        <f>IFERROR($BB1494/$BJ1494,"..")</f>
        <v>1.3055410304491726</v>
      </c>
      <c r="BL1494" s="117">
        <f>IFERROR(VLOOKUP($D1494,'WB Data'!$C$3:$M$578,7,FALSE)/100,"..")</f>
        <v>2.5476299999999997E-2</v>
      </c>
      <c r="BM1494" s="117">
        <f>IFERROR($AW1494*$BL1494,"..")</f>
        <v>2241549818.565165</v>
      </c>
      <c r="BN1494" s="846">
        <f>IFERROR($BB1494/$BM1494,"..")</f>
        <v>1.3055410304491726</v>
      </c>
      <c r="BO1494" s="801">
        <f t="shared" si="256"/>
        <v>38</v>
      </c>
      <c r="BP1494" s="117">
        <f>VLOOKUP($D1494,'WB Data'!$C$3:$M$578,9,FALSE)</f>
        <v>49.2</v>
      </c>
      <c r="BQ1494" s="117">
        <f>VLOOKUP($D1494,'WB Data'!$C$3:$M$578,10,FALSE)</f>
        <v>72.72097560975611</v>
      </c>
      <c r="BR1494" s="117">
        <f>VLOOKUP($D1494,'WB Data'!$C$3:$M$578,11,FALSE)</f>
        <v>20</v>
      </c>
      <c r="BS1494" s="129">
        <f>IFERROR(VLOOKUP($D1494,'WB Data 2'!$C$2:$K$545,9,FALSE),"..")</f>
        <v>99.710220000000007</v>
      </c>
      <c r="BT1494" s="129">
        <f>_xlfn.IFNA(VLOOKUP($C1494,RGI!$A$2:$C$43,2,FALSE),"..")</f>
        <v>76.8</v>
      </c>
      <c r="BU1494" s="129">
        <f>_xlfn.IFNA(VLOOKUP($C1494,RGI!$A$2:$C$43,3,FALSE),"..")</f>
        <v>72.816147461462435</v>
      </c>
      <c r="BV1494" s="129">
        <f>VLOOKUP($D1494,WGI!$C$2:$O$478,7,FALSE)</f>
        <v>4.6586424280511997E-2</v>
      </c>
      <c r="BW1494" s="129">
        <f>VLOOKUP($D1494,WGI!$C$2:$O$478,4,FALSE)</f>
        <v>-0.85037808720575603</v>
      </c>
      <c r="BX1494" s="129">
        <f>VLOOKUP($D1494,WGI!$C$2:$O$478,3,FALSE)</f>
        <v>-0.58013716140483895</v>
      </c>
      <c r="BY1494" s="129">
        <f>VLOOKUP($D1494,WGI!$C$2:$O$478,5,FALSE)</f>
        <v>0.15895971262752601</v>
      </c>
      <c r="BZ1494" s="129">
        <f>VLOOKUP($D1494,WGI!$C$2:$O$478,2,FALSE)</f>
        <v>-0.216828366148589</v>
      </c>
      <c r="CB1494" s="129"/>
    </row>
    <row r="1495" spans="1:80" s="120" customFormat="1" ht="15" customHeight="1">
      <c r="A1495" s="294" t="s">
        <v>452</v>
      </c>
      <c r="B1495" s="117">
        <v>2006</v>
      </c>
      <c r="C1495" s="117" t="s">
        <v>449</v>
      </c>
      <c r="D1495" s="117" t="s">
        <v>3541</v>
      </c>
      <c r="E1495" s="452" t="s">
        <v>220</v>
      </c>
      <c r="F1495" s="117"/>
      <c r="G1495" s="120" t="s">
        <v>24</v>
      </c>
      <c r="H1495" s="117" t="str">
        <f t="shared" si="251"/>
        <v>yes</v>
      </c>
      <c r="I1495" s="117" t="str">
        <f t="shared" si="253"/>
        <v>no</v>
      </c>
      <c r="J1495" s="117" t="str">
        <f t="shared" si="254"/>
        <v>no</v>
      </c>
      <c r="K1495" s="117" t="s">
        <v>600</v>
      </c>
      <c r="L1495" s="117" t="str">
        <f t="shared" si="252"/>
        <v>Total</v>
      </c>
      <c r="M1495" s="117" t="str">
        <f t="shared" si="255"/>
        <v>Total Mining</v>
      </c>
      <c r="N1495" s="179"/>
      <c r="O1495" s="179"/>
      <c r="P1495" s="179"/>
      <c r="Q1495" s="179"/>
      <c r="R1495" s="179"/>
      <c r="S1495" s="117"/>
      <c r="T1495" s="119"/>
      <c r="U1495" s="117"/>
      <c r="V1495" s="117"/>
      <c r="W1495" s="89">
        <f>SUM(W1496:W1518)</f>
        <v>19780314908.921078</v>
      </c>
      <c r="X1495" s="117"/>
      <c r="Y1495" s="89"/>
      <c r="Z1495" s="89"/>
      <c r="AA1495" s="89">
        <v>2327388291.2966361</v>
      </c>
      <c r="AB1495" s="89">
        <v>2327246390.6024466</v>
      </c>
      <c r="AC1495" s="240"/>
      <c r="AD1495" s="240"/>
      <c r="AE1495" s="240"/>
      <c r="AF1495" s="241">
        <f>AA1495/W1495</f>
        <v>0.11766184219074115</v>
      </c>
      <c r="AG1495" s="89"/>
      <c r="AH1495" s="124"/>
      <c r="AI1495" s="117"/>
      <c r="AJ1495" s="117"/>
      <c r="AK1495" s="89"/>
      <c r="AL1495" s="117"/>
      <c r="AM1495" s="117"/>
      <c r="AN1495" s="117">
        <v>24</v>
      </c>
      <c r="AO1495" s="117" t="s">
        <v>2030</v>
      </c>
      <c r="AP1495" s="117">
        <v>24</v>
      </c>
      <c r="AQ1495" s="117"/>
      <c r="AR1495" s="117"/>
      <c r="AS1495" s="117"/>
      <c r="AT1495" s="117"/>
      <c r="AU1495" s="117"/>
      <c r="AV1495" s="128"/>
      <c r="AW1495" s="117">
        <f>VLOOKUP($D1495,'WB Data'!$C$3:$M$578,2,FALSE)</f>
        <v>87985689388.379211</v>
      </c>
      <c r="AX1495" s="117">
        <f>VLOOKUP($D1495,'WB Data'!$C$3:$M$578,3,FALSE)</f>
        <v>28030688</v>
      </c>
      <c r="AY1495" s="847">
        <f t="shared" si="257"/>
        <v>3.3260354954032255E-2</v>
      </c>
      <c r="AZ1495" s="117">
        <f>VLOOKUP($D1495,'WB Data'!$C$3:$M$578,4,FALSE)/100</f>
        <v>0.20121095279864007</v>
      </c>
      <c r="BA1495" s="117">
        <f t="shared" si="258"/>
        <v>17703684394.480976</v>
      </c>
      <c r="BB1495" s="129">
        <f>IFERROR(VLOOKUP($D1495,'EITI Revenues'!$C$2:$G$224,5,FALSE),"..")</f>
        <v>2926435259.9327216</v>
      </c>
      <c r="BC1495" s="846">
        <f t="shared" si="259"/>
        <v>0.16530091673149241</v>
      </c>
      <c r="BD1495" s="129">
        <f>VLOOKUP($D1495,'WB Data 2'!$C$2:$K$545,6,FALSE)</f>
        <v>15893054239.757475</v>
      </c>
      <c r="BE1495" s="129">
        <f>IFERROR(VLOOKUP($D1495,UNCTAD!$C$5:$V$529,4,FALSE),"..")</f>
        <v>26490180000</v>
      </c>
      <c r="BF1495" s="846">
        <f t="shared" si="260"/>
        <v>0.59996022072169664</v>
      </c>
      <c r="BG1495" s="117">
        <f>VLOOKUP($D1495,'WB Data'!$C$3:$M$578,5,FALSE)</f>
        <v>463440000</v>
      </c>
      <c r="BH1495" s="129">
        <f>IFERROR($BB1495/$BG1495,"..")</f>
        <v>6.314593604204906</v>
      </c>
      <c r="BI1495" s="117">
        <f>IFERROR(VLOOKUP($D1495,'WB Data'!$C$3:$M$578,7,FALSE)/100,"..")</f>
        <v>2.5476299999999997E-2</v>
      </c>
      <c r="BJ1495" s="117">
        <f>IFERROR($BI1495*$AW1495,"..")</f>
        <v>2241549818.565165</v>
      </c>
      <c r="BK1495" s="846">
        <f>IFERROR($BB1495/$BJ1495,"..")</f>
        <v>1.3055410304491726</v>
      </c>
      <c r="BL1495" s="117">
        <f>IFERROR(VLOOKUP($D1495,'WB Data'!$C$3:$M$578,7,FALSE)/100,"..")</f>
        <v>2.5476299999999997E-2</v>
      </c>
      <c r="BM1495" s="117">
        <f>IFERROR($AW1495*$BL1495,"..")</f>
        <v>2241549818.565165</v>
      </c>
      <c r="BN1495" s="846">
        <f>IFERROR($BB1495/$BM1495,"..")</f>
        <v>1.3055410304491726</v>
      </c>
      <c r="BO1495" s="801">
        <f t="shared" si="256"/>
        <v>38</v>
      </c>
      <c r="BP1495" s="117">
        <f>VLOOKUP($D1495,'WB Data'!$C$3:$M$578,9,FALSE)</f>
        <v>49.2</v>
      </c>
      <c r="BQ1495" s="117">
        <f>VLOOKUP($D1495,'WB Data'!$C$3:$M$578,10,FALSE)</f>
        <v>72.72097560975611</v>
      </c>
      <c r="BR1495" s="117">
        <f>VLOOKUP($D1495,'WB Data'!$C$3:$M$578,11,FALSE)</f>
        <v>20</v>
      </c>
      <c r="BS1495" s="129">
        <f>IFERROR(VLOOKUP($D1495,'WB Data 2'!$C$2:$K$545,9,FALSE),"..")</f>
        <v>99.710220000000007</v>
      </c>
      <c r="BT1495" s="129">
        <f>_xlfn.IFNA(VLOOKUP($C1495,RGI!$A$2:$C$43,2,FALSE),"..")</f>
        <v>76.8</v>
      </c>
      <c r="BU1495" s="129">
        <f>_xlfn.IFNA(VLOOKUP($C1495,RGI!$A$2:$C$43,3,FALSE),"..")</f>
        <v>72.816147461462435</v>
      </c>
      <c r="BV1495" s="129">
        <f>VLOOKUP($D1495,WGI!$C$2:$O$478,7,FALSE)</f>
        <v>4.6586424280511997E-2</v>
      </c>
      <c r="BW1495" s="129">
        <f>VLOOKUP($D1495,WGI!$C$2:$O$478,4,FALSE)</f>
        <v>-0.85037808720575603</v>
      </c>
      <c r="BX1495" s="129">
        <f>VLOOKUP($D1495,WGI!$C$2:$O$478,3,FALSE)</f>
        <v>-0.58013716140483895</v>
      </c>
      <c r="BY1495" s="129">
        <f>VLOOKUP($D1495,WGI!$C$2:$O$478,5,FALSE)</f>
        <v>0.15895971262752601</v>
      </c>
      <c r="BZ1495" s="129">
        <f>VLOOKUP($D1495,WGI!$C$2:$O$478,2,FALSE)</f>
        <v>-0.216828366148589</v>
      </c>
      <c r="CB1495" s="129"/>
    </row>
    <row r="1496" spans="1:80" s="120" customFormat="1" ht="15" customHeight="1">
      <c r="A1496" s="294" t="s">
        <v>452</v>
      </c>
      <c r="B1496" s="117">
        <v>2006</v>
      </c>
      <c r="C1496" s="117" t="s">
        <v>449</v>
      </c>
      <c r="D1496" s="117" t="s">
        <v>3541</v>
      </c>
      <c r="E1496" s="452" t="s">
        <v>220</v>
      </c>
      <c r="F1496" s="117"/>
      <c r="G1496" s="120" t="s">
        <v>24</v>
      </c>
      <c r="H1496" s="117" t="str">
        <f t="shared" si="251"/>
        <v>yes</v>
      </c>
      <c r="I1496" s="117" t="str">
        <f t="shared" si="253"/>
        <v>no</v>
      </c>
      <c r="J1496" s="117" t="str">
        <f t="shared" si="254"/>
        <v>no</v>
      </c>
      <c r="K1496" s="117" t="s">
        <v>2031</v>
      </c>
      <c r="L1496" s="117" t="str">
        <f t="shared" si="252"/>
        <v>detailed</v>
      </c>
      <c r="M1496" s="117" t="str">
        <f t="shared" si="255"/>
        <v>detailed Mining</v>
      </c>
      <c r="N1496" s="179">
        <v>600</v>
      </c>
      <c r="O1496" s="179"/>
      <c r="P1496" s="179"/>
      <c r="Q1496" s="179"/>
      <c r="R1496" s="179"/>
      <c r="S1496" s="117" t="s">
        <v>610</v>
      </c>
      <c r="T1496" s="119">
        <f>5.04/0.000453592</f>
        <v>11111.307077726238</v>
      </c>
      <c r="U1496" s="120" t="s">
        <v>611</v>
      </c>
      <c r="V1496" s="120" t="s">
        <v>2032</v>
      </c>
      <c r="W1496" s="89">
        <f>N1496*T1496</f>
        <v>6666784.2466357434</v>
      </c>
      <c r="X1496" s="117"/>
      <c r="AA1496" s="89"/>
      <c r="AB1496" s="89"/>
      <c r="AC1496" s="240"/>
      <c r="AD1496" s="240"/>
      <c r="AE1496" s="240"/>
      <c r="AF1496" s="241"/>
      <c r="AH1496" s="124"/>
      <c r="AI1496" s="117"/>
      <c r="AJ1496" s="117"/>
      <c r="AK1496" s="89"/>
      <c r="AL1496" s="117"/>
      <c r="AM1496" s="117"/>
      <c r="AN1496" s="117"/>
      <c r="AO1496" s="117"/>
      <c r="AP1496" s="117"/>
      <c r="AQ1496" s="117"/>
      <c r="AR1496" s="117"/>
      <c r="AS1496" s="117"/>
      <c r="AT1496" s="117"/>
      <c r="AU1496" s="117"/>
      <c r="AV1496" s="128"/>
      <c r="AW1496" s="117">
        <f>VLOOKUP($D1496,'WB Data'!$C$3:$M$578,2,FALSE)</f>
        <v>87985689388.379211</v>
      </c>
      <c r="AX1496" s="117">
        <f>VLOOKUP($D1496,'WB Data'!$C$3:$M$578,3,FALSE)</f>
        <v>28030688</v>
      </c>
      <c r="AY1496" s="847">
        <f t="shared" si="257"/>
        <v>3.3260354954032255E-2</v>
      </c>
      <c r="AZ1496" s="117">
        <f>VLOOKUP($D1496,'WB Data'!$C$3:$M$578,4,FALSE)/100</f>
        <v>0.20121095279864007</v>
      </c>
      <c r="BA1496" s="117">
        <f t="shared" si="258"/>
        <v>17703684394.480976</v>
      </c>
      <c r="BB1496" s="129">
        <f>IFERROR(VLOOKUP($D1496,'EITI Revenues'!$C$2:$G$224,5,FALSE),"..")</f>
        <v>2926435259.9327216</v>
      </c>
      <c r="BC1496" s="846">
        <f t="shared" si="259"/>
        <v>0.16530091673149241</v>
      </c>
      <c r="BD1496" s="129">
        <f>VLOOKUP($D1496,'WB Data 2'!$C$2:$K$545,6,FALSE)</f>
        <v>15893054239.757475</v>
      </c>
      <c r="BE1496" s="129">
        <f>IFERROR(VLOOKUP($D1496,UNCTAD!$C$5:$V$529,4,FALSE),"..")</f>
        <v>26490180000</v>
      </c>
      <c r="BF1496" s="846">
        <f t="shared" si="260"/>
        <v>0.59996022072169664</v>
      </c>
      <c r="BG1496" s="117">
        <f>VLOOKUP($D1496,'WB Data'!$C$3:$M$578,5,FALSE)</f>
        <v>463440000</v>
      </c>
      <c r="BH1496" s="129">
        <f>IFERROR($BB1496/$BG1496,"..")</f>
        <v>6.314593604204906</v>
      </c>
      <c r="BI1496" s="117">
        <f>IFERROR(VLOOKUP($D1496,'WB Data'!$C$3:$M$578,7,FALSE)/100,"..")</f>
        <v>2.5476299999999997E-2</v>
      </c>
      <c r="BJ1496" s="117">
        <f>IFERROR($BI1496*$AW1496,"..")</f>
        <v>2241549818.565165</v>
      </c>
      <c r="BK1496" s="846">
        <f>IFERROR($BB1496/$BJ1496,"..")</f>
        <v>1.3055410304491726</v>
      </c>
      <c r="BL1496" s="117">
        <f>IFERROR(VLOOKUP($D1496,'WB Data'!$C$3:$M$578,7,FALSE)/100,"..")</f>
        <v>2.5476299999999997E-2</v>
      </c>
      <c r="BM1496" s="117">
        <f>IFERROR($AW1496*$BL1496,"..")</f>
        <v>2241549818.565165</v>
      </c>
      <c r="BN1496" s="846">
        <f>IFERROR($BB1496/$BM1496,"..")</f>
        <v>1.3055410304491726</v>
      </c>
      <c r="BO1496" s="801">
        <f t="shared" si="256"/>
        <v>38</v>
      </c>
      <c r="BP1496" s="117">
        <f>VLOOKUP($D1496,'WB Data'!$C$3:$M$578,9,FALSE)</f>
        <v>49.2</v>
      </c>
      <c r="BQ1496" s="117">
        <f>VLOOKUP($D1496,'WB Data'!$C$3:$M$578,10,FALSE)</f>
        <v>72.72097560975611</v>
      </c>
      <c r="BR1496" s="117">
        <f>VLOOKUP($D1496,'WB Data'!$C$3:$M$578,11,FALSE)</f>
        <v>20</v>
      </c>
      <c r="BS1496" s="129">
        <f>IFERROR(VLOOKUP($D1496,'WB Data 2'!$C$2:$K$545,9,FALSE),"..")</f>
        <v>99.710220000000007</v>
      </c>
      <c r="BT1496" s="129">
        <f>_xlfn.IFNA(VLOOKUP($C1496,RGI!$A$2:$C$43,2,FALSE),"..")</f>
        <v>76.8</v>
      </c>
      <c r="BU1496" s="129">
        <f>_xlfn.IFNA(VLOOKUP($C1496,RGI!$A$2:$C$43,3,FALSE),"..")</f>
        <v>72.816147461462435</v>
      </c>
      <c r="BV1496" s="129">
        <f>VLOOKUP($D1496,WGI!$C$2:$O$478,7,FALSE)</f>
        <v>4.6586424280511997E-2</v>
      </c>
      <c r="BW1496" s="129">
        <f>VLOOKUP($D1496,WGI!$C$2:$O$478,4,FALSE)</f>
        <v>-0.85037808720575603</v>
      </c>
      <c r="BX1496" s="129">
        <f>VLOOKUP($D1496,WGI!$C$2:$O$478,3,FALSE)</f>
        <v>-0.58013716140483895</v>
      </c>
      <c r="BY1496" s="129">
        <f>VLOOKUP($D1496,WGI!$C$2:$O$478,5,FALSE)</f>
        <v>0.15895971262752601</v>
      </c>
      <c r="BZ1496" s="129">
        <f>VLOOKUP($D1496,WGI!$C$2:$O$478,2,FALSE)</f>
        <v>-0.216828366148589</v>
      </c>
      <c r="CB1496" s="129"/>
    </row>
    <row r="1497" spans="1:80" s="120" customFormat="1" ht="15" customHeight="1">
      <c r="A1497" s="294" t="s">
        <v>452</v>
      </c>
      <c r="B1497" s="117">
        <v>2006</v>
      </c>
      <c r="C1497" s="117" t="s">
        <v>449</v>
      </c>
      <c r="D1497" s="117" t="s">
        <v>3541</v>
      </c>
      <c r="E1497" s="452" t="s">
        <v>220</v>
      </c>
      <c r="F1497" s="117"/>
      <c r="G1497" s="120" t="s">
        <v>24</v>
      </c>
      <c r="H1497" s="117" t="str">
        <f t="shared" si="251"/>
        <v>yes</v>
      </c>
      <c r="I1497" s="117" t="str">
        <f t="shared" si="253"/>
        <v>no</v>
      </c>
      <c r="J1497" s="117" t="str">
        <f t="shared" si="254"/>
        <v>no</v>
      </c>
      <c r="K1497" s="117" t="s">
        <v>619</v>
      </c>
      <c r="L1497" s="117" t="str">
        <f t="shared" si="252"/>
        <v>detailed</v>
      </c>
      <c r="M1497" s="117" t="str">
        <f t="shared" si="255"/>
        <v>detailed Mining</v>
      </c>
      <c r="N1497" s="179"/>
      <c r="O1497" s="179"/>
      <c r="P1497" s="179"/>
      <c r="Q1497" s="179"/>
      <c r="R1497" s="179"/>
      <c r="S1497" s="117"/>
      <c r="T1497" s="186">
        <v>6722.1345000000001</v>
      </c>
      <c r="U1497" s="117" t="s">
        <v>611</v>
      </c>
      <c r="V1497" s="117" t="s">
        <v>681</v>
      </c>
      <c r="W1497" s="89">
        <f>SUM(N1499:N1500)*T1497</f>
        <v>5578685977.2810001</v>
      </c>
      <c r="X1497" s="117"/>
      <c r="Y1497" s="89"/>
      <c r="Z1497" s="89"/>
      <c r="AA1497" s="89"/>
      <c r="AB1497" s="89"/>
      <c r="AC1497" s="240" t="s">
        <v>2062</v>
      </c>
      <c r="AD1497" s="240"/>
      <c r="AE1497" s="240"/>
      <c r="AF1497" s="241"/>
      <c r="AG1497" s="89"/>
      <c r="AH1497" s="124"/>
      <c r="AI1497" s="117"/>
      <c r="AJ1497" s="117"/>
      <c r="AK1497" s="89"/>
      <c r="AL1497" s="117"/>
      <c r="AM1497" s="117"/>
      <c r="AN1497" s="117">
        <v>17</v>
      </c>
      <c r="AO1497" s="117" t="s">
        <v>2034</v>
      </c>
      <c r="AP1497" s="117">
        <v>17</v>
      </c>
      <c r="AQ1497" s="117"/>
      <c r="AR1497" s="117"/>
      <c r="AS1497" s="117"/>
      <c r="AT1497" s="117"/>
      <c r="AU1497" s="117"/>
      <c r="AV1497" s="128"/>
      <c r="AW1497" s="117">
        <f>VLOOKUP($D1497,'WB Data'!$C$3:$M$578,2,FALSE)</f>
        <v>87985689388.379211</v>
      </c>
      <c r="AX1497" s="117">
        <f>VLOOKUP($D1497,'WB Data'!$C$3:$M$578,3,FALSE)</f>
        <v>28030688</v>
      </c>
      <c r="AY1497" s="847">
        <f t="shared" si="257"/>
        <v>3.3260354954032255E-2</v>
      </c>
      <c r="AZ1497" s="117">
        <f>VLOOKUP($D1497,'WB Data'!$C$3:$M$578,4,FALSE)/100</f>
        <v>0.20121095279864007</v>
      </c>
      <c r="BA1497" s="117">
        <f t="shared" si="258"/>
        <v>17703684394.480976</v>
      </c>
      <c r="BB1497" s="129">
        <f>IFERROR(VLOOKUP($D1497,'EITI Revenues'!$C$2:$G$224,5,FALSE),"..")</f>
        <v>2926435259.9327216</v>
      </c>
      <c r="BC1497" s="846">
        <f t="shared" si="259"/>
        <v>0.16530091673149241</v>
      </c>
      <c r="BD1497" s="129">
        <f>VLOOKUP($D1497,'WB Data 2'!$C$2:$K$545,6,FALSE)</f>
        <v>15893054239.757475</v>
      </c>
      <c r="BE1497" s="129">
        <f>IFERROR(VLOOKUP($D1497,UNCTAD!$C$5:$V$529,4,FALSE),"..")</f>
        <v>26490180000</v>
      </c>
      <c r="BF1497" s="846">
        <f t="shared" si="260"/>
        <v>0.59996022072169664</v>
      </c>
      <c r="BG1497" s="117">
        <f>VLOOKUP($D1497,'WB Data'!$C$3:$M$578,5,FALSE)</f>
        <v>463440000</v>
      </c>
      <c r="BH1497" s="129">
        <f>IFERROR($BB1497/$BG1497,"..")</f>
        <v>6.314593604204906</v>
      </c>
      <c r="BI1497" s="117">
        <f>IFERROR(VLOOKUP($D1497,'WB Data'!$C$3:$M$578,7,FALSE)/100,"..")</f>
        <v>2.5476299999999997E-2</v>
      </c>
      <c r="BJ1497" s="117">
        <f>IFERROR($BI1497*$AW1497,"..")</f>
        <v>2241549818.565165</v>
      </c>
      <c r="BK1497" s="846">
        <f>IFERROR($BB1497/$BJ1497,"..")</f>
        <v>1.3055410304491726</v>
      </c>
      <c r="BL1497" s="117">
        <f>IFERROR(VLOOKUP($D1497,'WB Data'!$C$3:$M$578,7,FALSE)/100,"..")</f>
        <v>2.5476299999999997E-2</v>
      </c>
      <c r="BM1497" s="117">
        <f>IFERROR($AW1497*$BL1497,"..")</f>
        <v>2241549818.565165</v>
      </c>
      <c r="BN1497" s="846">
        <f>IFERROR($BB1497/$BM1497,"..")</f>
        <v>1.3055410304491726</v>
      </c>
      <c r="BO1497" s="801">
        <f t="shared" si="256"/>
        <v>38</v>
      </c>
      <c r="BP1497" s="117">
        <f>VLOOKUP($D1497,'WB Data'!$C$3:$M$578,9,FALSE)</f>
        <v>49.2</v>
      </c>
      <c r="BQ1497" s="117">
        <f>VLOOKUP($D1497,'WB Data'!$C$3:$M$578,10,FALSE)</f>
        <v>72.72097560975611</v>
      </c>
      <c r="BR1497" s="117">
        <f>VLOOKUP($D1497,'WB Data'!$C$3:$M$578,11,FALSE)</f>
        <v>20</v>
      </c>
      <c r="BS1497" s="129">
        <f>IFERROR(VLOOKUP($D1497,'WB Data 2'!$C$2:$K$545,9,FALSE),"..")</f>
        <v>99.710220000000007</v>
      </c>
      <c r="BT1497" s="129">
        <f>_xlfn.IFNA(VLOOKUP($C1497,RGI!$A$2:$C$43,2,FALSE),"..")</f>
        <v>76.8</v>
      </c>
      <c r="BU1497" s="129">
        <f>_xlfn.IFNA(VLOOKUP($C1497,RGI!$A$2:$C$43,3,FALSE),"..")</f>
        <v>72.816147461462435</v>
      </c>
      <c r="BV1497" s="129">
        <f>VLOOKUP($D1497,WGI!$C$2:$O$478,7,FALSE)</f>
        <v>4.6586424280511997E-2</v>
      </c>
      <c r="BW1497" s="129">
        <f>VLOOKUP($D1497,WGI!$C$2:$O$478,4,FALSE)</f>
        <v>-0.85037808720575603</v>
      </c>
      <c r="BX1497" s="129">
        <f>VLOOKUP($D1497,WGI!$C$2:$O$478,3,FALSE)</f>
        <v>-0.58013716140483895</v>
      </c>
      <c r="BY1497" s="129">
        <f>VLOOKUP($D1497,WGI!$C$2:$O$478,5,FALSE)</f>
        <v>0.15895971262752601</v>
      </c>
      <c r="BZ1497" s="129">
        <f>VLOOKUP($D1497,WGI!$C$2:$O$478,2,FALSE)</f>
        <v>-0.216828366148589</v>
      </c>
      <c r="CB1497" s="129"/>
    </row>
    <row r="1498" spans="1:80" s="120" customFormat="1" ht="15" customHeight="1">
      <c r="A1498" s="294" t="s">
        <v>452</v>
      </c>
      <c r="B1498" s="117">
        <v>2006</v>
      </c>
      <c r="C1498" s="117" t="s">
        <v>449</v>
      </c>
      <c r="D1498" s="117" t="s">
        <v>3541</v>
      </c>
      <c r="E1498" s="452" t="s">
        <v>220</v>
      </c>
      <c r="F1498" s="117"/>
      <c r="G1498" s="120" t="s">
        <v>24</v>
      </c>
      <c r="H1498" s="117" t="str">
        <f t="shared" si="251"/>
        <v>yes</v>
      </c>
      <c r="I1498" s="117" t="str">
        <f t="shared" si="253"/>
        <v>no</v>
      </c>
      <c r="J1498" s="117" t="str">
        <f t="shared" si="254"/>
        <v>no</v>
      </c>
      <c r="K1498" s="117" t="s">
        <v>1324</v>
      </c>
      <c r="L1498" s="117" t="str">
        <f t="shared" si="252"/>
        <v>detailed</v>
      </c>
      <c r="M1498" s="117" t="str">
        <f t="shared" si="255"/>
        <v>detailed Mining</v>
      </c>
      <c r="N1498" s="179">
        <v>1048472</v>
      </c>
      <c r="O1498" s="179"/>
      <c r="P1498" s="179"/>
      <c r="Q1498" s="179"/>
      <c r="R1498" s="179"/>
      <c r="S1498" s="117" t="s">
        <v>610</v>
      </c>
      <c r="T1498" s="119"/>
      <c r="U1498" s="117"/>
      <c r="V1498" s="117" t="s">
        <v>1146</v>
      </c>
      <c r="W1498" s="89"/>
      <c r="X1498" s="117"/>
      <c r="AA1498" s="89"/>
      <c r="AB1498" s="89"/>
      <c r="AC1498" s="240"/>
      <c r="AD1498" s="240"/>
      <c r="AE1498" s="240"/>
      <c r="AF1498" s="241"/>
      <c r="AH1498" s="124"/>
      <c r="AI1498" s="117"/>
      <c r="AJ1498" s="117"/>
      <c r="AK1498" s="89"/>
      <c r="AL1498" s="117"/>
      <c r="AM1498" s="117"/>
      <c r="AN1498" s="117"/>
      <c r="AO1498" s="117"/>
      <c r="AP1498" s="117"/>
      <c r="AQ1498" s="117"/>
      <c r="AR1498" s="117"/>
      <c r="AS1498" s="117"/>
      <c r="AT1498" s="117"/>
      <c r="AU1498" s="117"/>
      <c r="AV1498" s="128"/>
      <c r="AW1498" s="117">
        <f>VLOOKUP($D1498,'WB Data'!$C$3:$M$578,2,FALSE)</f>
        <v>87985689388.379211</v>
      </c>
      <c r="AX1498" s="117">
        <f>VLOOKUP($D1498,'WB Data'!$C$3:$M$578,3,FALSE)</f>
        <v>28030688</v>
      </c>
      <c r="AY1498" s="847">
        <f t="shared" si="257"/>
        <v>3.3260354954032255E-2</v>
      </c>
      <c r="AZ1498" s="117">
        <f>VLOOKUP($D1498,'WB Data'!$C$3:$M$578,4,FALSE)/100</f>
        <v>0.20121095279864007</v>
      </c>
      <c r="BA1498" s="117">
        <f t="shared" si="258"/>
        <v>17703684394.480976</v>
      </c>
      <c r="BB1498" s="129">
        <f>IFERROR(VLOOKUP($D1498,'EITI Revenues'!$C$2:$G$224,5,FALSE),"..")</f>
        <v>2926435259.9327216</v>
      </c>
      <c r="BC1498" s="846">
        <f t="shared" si="259"/>
        <v>0.16530091673149241</v>
      </c>
      <c r="BD1498" s="129">
        <f>VLOOKUP($D1498,'WB Data 2'!$C$2:$K$545,6,FALSE)</f>
        <v>15893054239.757475</v>
      </c>
      <c r="BE1498" s="129">
        <f>IFERROR(VLOOKUP($D1498,UNCTAD!$C$5:$V$529,4,FALSE),"..")</f>
        <v>26490180000</v>
      </c>
      <c r="BF1498" s="846">
        <f t="shared" si="260"/>
        <v>0.59996022072169664</v>
      </c>
      <c r="BG1498" s="117">
        <f>VLOOKUP($D1498,'WB Data'!$C$3:$M$578,5,FALSE)</f>
        <v>463440000</v>
      </c>
      <c r="BH1498" s="129">
        <f>IFERROR($BB1498/$BG1498,"..")</f>
        <v>6.314593604204906</v>
      </c>
      <c r="BI1498" s="117">
        <f>IFERROR(VLOOKUP($D1498,'WB Data'!$C$3:$M$578,7,FALSE)/100,"..")</f>
        <v>2.5476299999999997E-2</v>
      </c>
      <c r="BJ1498" s="117">
        <f>IFERROR($BI1498*$AW1498,"..")</f>
        <v>2241549818.565165</v>
      </c>
      <c r="BK1498" s="846">
        <f>IFERROR($BB1498/$BJ1498,"..")</f>
        <v>1.3055410304491726</v>
      </c>
      <c r="BL1498" s="117">
        <f>IFERROR(VLOOKUP($D1498,'WB Data'!$C$3:$M$578,7,FALSE)/100,"..")</f>
        <v>2.5476299999999997E-2</v>
      </c>
      <c r="BM1498" s="117">
        <f>IFERROR($AW1498*$BL1498,"..")</f>
        <v>2241549818.565165</v>
      </c>
      <c r="BN1498" s="846">
        <f>IFERROR($BB1498/$BM1498,"..")</f>
        <v>1.3055410304491726</v>
      </c>
      <c r="BO1498" s="801">
        <f t="shared" si="256"/>
        <v>38</v>
      </c>
      <c r="BP1498" s="117">
        <f>VLOOKUP($D1498,'WB Data'!$C$3:$M$578,9,FALSE)</f>
        <v>49.2</v>
      </c>
      <c r="BQ1498" s="117">
        <f>VLOOKUP($D1498,'WB Data'!$C$3:$M$578,10,FALSE)</f>
        <v>72.72097560975611</v>
      </c>
      <c r="BR1498" s="117">
        <f>VLOOKUP($D1498,'WB Data'!$C$3:$M$578,11,FALSE)</f>
        <v>20</v>
      </c>
      <c r="BS1498" s="129">
        <f>IFERROR(VLOOKUP($D1498,'WB Data 2'!$C$2:$K$545,9,FALSE),"..")</f>
        <v>99.710220000000007</v>
      </c>
      <c r="BT1498" s="129">
        <f>_xlfn.IFNA(VLOOKUP($C1498,RGI!$A$2:$C$43,2,FALSE),"..")</f>
        <v>76.8</v>
      </c>
      <c r="BU1498" s="129">
        <f>_xlfn.IFNA(VLOOKUP($C1498,RGI!$A$2:$C$43,3,FALSE),"..")</f>
        <v>72.816147461462435</v>
      </c>
      <c r="BV1498" s="129">
        <f>VLOOKUP($D1498,WGI!$C$2:$O$478,7,FALSE)</f>
        <v>4.6586424280511997E-2</v>
      </c>
      <c r="BW1498" s="129">
        <f>VLOOKUP($D1498,WGI!$C$2:$O$478,4,FALSE)</f>
        <v>-0.85037808720575603</v>
      </c>
      <c r="BX1498" s="129">
        <f>VLOOKUP($D1498,WGI!$C$2:$O$478,3,FALSE)</f>
        <v>-0.58013716140483895</v>
      </c>
      <c r="BY1498" s="129">
        <f>VLOOKUP($D1498,WGI!$C$2:$O$478,5,FALSE)</f>
        <v>0.15895971262752601</v>
      </c>
      <c r="BZ1498" s="129">
        <f>VLOOKUP($D1498,WGI!$C$2:$O$478,2,FALSE)</f>
        <v>-0.216828366148589</v>
      </c>
      <c r="CB1498" s="129"/>
    </row>
    <row r="1499" spans="1:80" s="120" customFormat="1" ht="15" customHeight="1">
      <c r="A1499" s="294" t="s">
        <v>452</v>
      </c>
      <c r="B1499" s="117">
        <v>2006</v>
      </c>
      <c r="C1499" s="117" t="s">
        <v>449</v>
      </c>
      <c r="D1499" s="117" t="s">
        <v>3541</v>
      </c>
      <c r="E1499" s="452" t="s">
        <v>220</v>
      </c>
      <c r="F1499" s="117"/>
      <c r="G1499" s="120" t="s">
        <v>24</v>
      </c>
      <c r="H1499" s="117" t="str">
        <f t="shared" ref="H1499:H1562" si="261">IF($G1499="Mining","yes",IF($G1499="Oil, Gas, Mining","yes",IF($G1499="Gas, Mining","yes",IF($G1499="Oil, Mining","yes",IF($G1499="Oil, Mining, Other","yes","no")))))</f>
        <v>yes</v>
      </c>
      <c r="I1499" s="117" t="str">
        <f t="shared" si="253"/>
        <v>no</v>
      </c>
      <c r="J1499" s="117" t="str">
        <f t="shared" si="254"/>
        <v>no</v>
      </c>
      <c r="K1499" s="117" t="s">
        <v>1421</v>
      </c>
      <c r="L1499" s="117" t="str">
        <f t="shared" ref="L1499:L1562" si="262">IF(LEFT(K1499,5)="Total","Total","detailed")</f>
        <v>detailed</v>
      </c>
      <c r="M1499" s="117" t="str">
        <f t="shared" si="255"/>
        <v>detailed Mining</v>
      </c>
      <c r="N1499" s="179">
        <v>322188</v>
      </c>
      <c r="O1499" s="179"/>
      <c r="P1499" s="179"/>
      <c r="Q1499" s="179"/>
      <c r="R1499" s="179"/>
      <c r="S1499" s="117" t="s">
        <v>610</v>
      </c>
      <c r="T1499" s="119"/>
      <c r="U1499" s="117"/>
      <c r="V1499" s="117" t="s">
        <v>1146</v>
      </c>
      <c r="W1499" s="89"/>
      <c r="X1499" s="117"/>
      <c r="AA1499" s="89"/>
      <c r="AB1499" s="89"/>
      <c r="AC1499" s="240"/>
      <c r="AD1499" s="240"/>
      <c r="AE1499" s="240"/>
      <c r="AF1499" s="241"/>
      <c r="AH1499" s="124"/>
      <c r="AI1499" s="117"/>
      <c r="AJ1499" s="117"/>
      <c r="AK1499" s="89"/>
      <c r="AL1499" s="117"/>
      <c r="AM1499" s="117"/>
      <c r="AN1499" s="117"/>
      <c r="AO1499" s="117"/>
      <c r="AP1499" s="117"/>
      <c r="AQ1499" s="117"/>
      <c r="AR1499" s="117"/>
      <c r="AS1499" s="117"/>
      <c r="AT1499" s="117"/>
      <c r="AU1499" s="117"/>
      <c r="AV1499" s="128"/>
      <c r="AW1499" s="117">
        <f>VLOOKUP($D1499,'WB Data'!$C$3:$M$578,2,FALSE)</f>
        <v>87985689388.379211</v>
      </c>
      <c r="AX1499" s="117">
        <f>VLOOKUP($D1499,'WB Data'!$C$3:$M$578,3,FALSE)</f>
        <v>28030688</v>
      </c>
      <c r="AY1499" s="847">
        <f t="shared" si="257"/>
        <v>3.3260354954032255E-2</v>
      </c>
      <c r="AZ1499" s="117">
        <f>VLOOKUP($D1499,'WB Data'!$C$3:$M$578,4,FALSE)/100</f>
        <v>0.20121095279864007</v>
      </c>
      <c r="BA1499" s="117">
        <f t="shared" si="258"/>
        <v>17703684394.480976</v>
      </c>
      <c r="BB1499" s="129">
        <f>IFERROR(VLOOKUP($D1499,'EITI Revenues'!$C$2:$G$224,5,FALSE),"..")</f>
        <v>2926435259.9327216</v>
      </c>
      <c r="BC1499" s="846">
        <f t="shared" si="259"/>
        <v>0.16530091673149241</v>
      </c>
      <c r="BD1499" s="129">
        <f>VLOOKUP($D1499,'WB Data 2'!$C$2:$K$545,6,FALSE)</f>
        <v>15893054239.757475</v>
      </c>
      <c r="BE1499" s="129">
        <f>IFERROR(VLOOKUP($D1499,UNCTAD!$C$5:$V$529,4,FALSE),"..")</f>
        <v>26490180000</v>
      </c>
      <c r="BF1499" s="846">
        <f t="shared" si="260"/>
        <v>0.59996022072169664</v>
      </c>
      <c r="BG1499" s="117">
        <f>VLOOKUP($D1499,'WB Data'!$C$3:$M$578,5,FALSE)</f>
        <v>463440000</v>
      </c>
      <c r="BH1499" s="129">
        <f>IFERROR($BB1499/$BG1499,"..")</f>
        <v>6.314593604204906</v>
      </c>
      <c r="BI1499" s="117">
        <f>IFERROR(VLOOKUP($D1499,'WB Data'!$C$3:$M$578,7,FALSE)/100,"..")</f>
        <v>2.5476299999999997E-2</v>
      </c>
      <c r="BJ1499" s="117">
        <f>IFERROR($BI1499*$AW1499,"..")</f>
        <v>2241549818.565165</v>
      </c>
      <c r="BK1499" s="846">
        <f>IFERROR($BB1499/$BJ1499,"..")</f>
        <v>1.3055410304491726</v>
      </c>
      <c r="BL1499" s="117">
        <f>IFERROR(VLOOKUP($D1499,'WB Data'!$C$3:$M$578,7,FALSE)/100,"..")</f>
        <v>2.5476299999999997E-2</v>
      </c>
      <c r="BM1499" s="117">
        <f>IFERROR($AW1499*$BL1499,"..")</f>
        <v>2241549818.565165</v>
      </c>
      <c r="BN1499" s="846">
        <f>IFERROR($BB1499/$BM1499,"..")</f>
        <v>1.3055410304491726</v>
      </c>
      <c r="BO1499" s="801">
        <f t="shared" si="256"/>
        <v>38</v>
      </c>
      <c r="BP1499" s="117">
        <f>VLOOKUP($D1499,'WB Data'!$C$3:$M$578,9,FALSE)</f>
        <v>49.2</v>
      </c>
      <c r="BQ1499" s="117">
        <f>VLOOKUP($D1499,'WB Data'!$C$3:$M$578,10,FALSE)</f>
        <v>72.72097560975611</v>
      </c>
      <c r="BR1499" s="117">
        <f>VLOOKUP($D1499,'WB Data'!$C$3:$M$578,11,FALSE)</f>
        <v>20</v>
      </c>
      <c r="BS1499" s="129">
        <f>IFERROR(VLOOKUP($D1499,'WB Data 2'!$C$2:$K$545,9,FALSE),"..")</f>
        <v>99.710220000000007</v>
      </c>
      <c r="BT1499" s="129">
        <f>_xlfn.IFNA(VLOOKUP($C1499,RGI!$A$2:$C$43,2,FALSE),"..")</f>
        <v>76.8</v>
      </c>
      <c r="BU1499" s="129">
        <f>_xlfn.IFNA(VLOOKUP($C1499,RGI!$A$2:$C$43,3,FALSE),"..")</f>
        <v>72.816147461462435</v>
      </c>
      <c r="BV1499" s="129">
        <f>VLOOKUP($D1499,WGI!$C$2:$O$478,7,FALSE)</f>
        <v>4.6586424280511997E-2</v>
      </c>
      <c r="BW1499" s="129">
        <f>VLOOKUP($D1499,WGI!$C$2:$O$478,4,FALSE)</f>
        <v>-0.85037808720575603</v>
      </c>
      <c r="BX1499" s="129">
        <f>VLOOKUP($D1499,WGI!$C$2:$O$478,3,FALSE)</f>
        <v>-0.58013716140483895</v>
      </c>
      <c r="BY1499" s="129">
        <f>VLOOKUP($D1499,WGI!$C$2:$O$478,5,FALSE)</f>
        <v>0.15895971262752601</v>
      </c>
      <c r="BZ1499" s="129">
        <f>VLOOKUP($D1499,WGI!$C$2:$O$478,2,FALSE)</f>
        <v>-0.216828366148589</v>
      </c>
      <c r="CB1499" s="129"/>
    </row>
    <row r="1500" spans="1:80" s="120" customFormat="1" ht="15" customHeight="1">
      <c r="A1500" s="294" t="s">
        <v>452</v>
      </c>
      <c r="B1500" s="117">
        <v>2006</v>
      </c>
      <c r="C1500" s="117" t="s">
        <v>449</v>
      </c>
      <c r="D1500" s="117" t="s">
        <v>3541</v>
      </c>
      <c r="E1500" s="452" t="s">
        <v>220</v>
      </c>
      <c r="F1500" s="117"/>
      <c r="G1500" s="120" t="s">
        <v>24</v>
      </c>
      <c r="H1500" s="117" t="str">
        <f t="shared" si="261"/>
        <v>yes</v>
      </c>
      <c r="I1500" s="117" t="str">
        <f t="shared" si="253"/>
        <v>no</v>
      </c>
      <c r="J1500" s="117" t="str">
        <f t="shared" si="254"/>
        <v>no</v>
      </c>
      <c r="K1500" s="117" t="s">
        <v>1422</v>
      </c>
      <c r="L1500" s="117" t="str">
        <f t="shared" si="262"/>
        <v>detailed</v>
      </c>
      <c r="M1500" s="117" t="str">
        <f t="shared" si="255"/>
        <v>detailed Mining</v>
      </c>
      <c r="N1500" s="179">
        <v>507710</v>
      </c>
      <c r="O1500" s="179"/>
      <c r="P1500" s="179"/>
      <c r="Q1500" s="179"/>
      <c r="R1500" s="179"/>
      <c r="S1500" s="117" t="s">
        <v>610</v>
      </c>
      <c r="T1500" s="119"/>
      <c r="U1500" s="117"/>
      <c r="V1500" s="117" t="s">
        <v>1146</v>
      </c>
      <c r="W1500" s="89"/>
      <c r="X1500" s="117"/>
      <c r="AA1500" s="89"/>
      <c r="AB1500" s="89"/>
      <c r="AC1500" s="240"/>
      <c r="AD1500" s="240"/>
      <c r="AE1500" s="240"/>
      <c r="AF1500" s="241"/>
      <c r="AH1500" s="124"/>
      <c r="AI1500" s="117"/>
      <c r="AJ1500" s="117"/>
      <c r="AK1500" s="89"/>
      <c r="AL1500" s="117"/>
      <c r="AM1500" s="117"/>
      <c r="AN1500" s="117"/>
      <c r="AO1500" s="117"/>
      <c r="AP1500" s="117"/>
      <c r="AQ1500" s="117"/>
      <c r="AR1500" s="117"/>
      <c r="AS1500" s="117"/>
      <c r="AT1500" s="117"/>
      <c r="AU1500" s="117"/>
      <c r="AV1500" s="128"/>
      <c r="AW1500" s="117">
        <f>VLOOKUP($D1500,'WB Data'!$C$3:$M$578,2,FALSE)</f>
        <v>87985689388.379211</v>
      </c>
      <c r="AX1500" s="117">
        <f>VLOOKUP($D1500,'WB Data'!$C$3:$M$578,3,FALSE)</f>
        <v>28030688</v>
      </c>
      <c r="AY1500" s="847">
        <f t="shared" si="257"/>
        <v>3.3260354954032255E-2</v>
      </c>
      <c r="AZ1500" s="117">
        <f>VLOOKUP($D1500,'WB Data'!$C$3:$M$578,4,FALSE)/100</f>
        <v>0.20121095279864007</v>
      </c>
      <c r="BA1500" s="117">
        <f t="shared" si="258"/>
        <v>17703684394.480976</v>
      </c>
      <c r="BB1500" s="129">
        <f>IFERROR(VLOOKUP($D1500,'EITI Revenues'!$C$2:$G$224,5,FALSE),"..")</f>
        <v>2926435259.9327216</v>
      </c>
      <c r="BC1500" s="846">
        <f t="shared" si="259"/>
        <v>0.16530091673149241</v>
      </c>
      <c r="BD1500" s="129">
        <f>VLOOKUP($D1500,'WB Data 2'!$C$2:$K$545,6,FALSE)</f>
        <v>15893054239.757475</v>
      </c>
      <c r="BE1500" s="129">
        <f>IFERROR(VLOOKUP($D1500,UNCTAD!$C$5:$V$529,4,FALSE),"..")</f>
        <v>26490180000</v>
      </c>
      <c r="BF1500" s="846">
        <f t="shared" si="260"/>
        <v>0.59996022072169664</v>
      </c>
      <c r="BG1500" s="117">
        <f>VLOOKUP($D1500,'WB Data'!$C$3:$M$578,5,FALSE)</f>
        <v>463440000</v>
      </c>
      <c r="BH1500" s="129">
        <f>IFERROR($BB1500/$BG1500,"..")</f>
        <v>6.314593604204906</v>
      </c>
      <c r="BI1500" s="117">
        <f>IFERROR(VLOOKUP($D1500,'WB Data'!$C$3:$M$578,7,FALSE)/100,"..")</f>
        <v>2.5476299999999997E-2</v>
      </c>
      <c r="BJ1500" s="117">
        <f>IFERROR($BI1500*$AW1500,"..")</f>
        <v>2241549818.565165</v>
      </c>
      <c r="BK1500" s="846">
        <f>IFERROR($BB1500/$BJ1500,"..")</f>
        <v>1.3055410304491726</v>
      </c>
      <c r="BL1500" s="117">
        <f>IFERROR(VLOOKUP($D1500,'WB Data'!$C$3:$M$578,7,FALSE)/100,"..")</f>
        <v>2.5476299999999997E-2</v>
      </c>
      <c r="BM1500" s="117">
        <f>IFERROR($AW1500*$BL1500,"..")</f>
        <v>2241549818.565165</v>
      </c>
      <c r="BN1500" s="846">
        <f>IFERROR($BB1500/$BM1500,"..")</f>
        <v>1.3055410304491726</v>
      </c>
      <c r="BO1500" s="801">
        <f t="shared" si="256"/>
        <v>38</v>
      </c>
      <c r="BP1500" s="117">
        <f>VLOOKUP($D1500,'WB Data'!$C$3:$M$578,9,FALSE)</f>
        <v>49.2</v>
      </c>
      <c r="BQ1500" s="117">
        <f>VLOOKUP($D1500,'WB Data'!$C$3:$M$578,10,FALSE)</f>
        <v>72.72097560975611</v>
      </c>
      <c r="BR1500" s="117">
        <f>VLOOKUP($D1500,'WB Data'!$C$3:$M$578,11,FALSE)</f>
        <v>20</v>
      </c>
      <c r="BS1500" s="129">
        <f>IFERROR(VLOOKUP($D1500,'WB Data 2'!$C$2:$K$545,9,FALSE),"..")</f>
        <v>99.710220000000007</v>
      </c>
      <c r="BT1500" s="129">
        <f>_xlfn.IFNA(VLOOKUP($C1500,RGI!$A$2:$C$43,2,FALSE),"..")</f>
        <v>76.8</v>
      </c>
      <c r="BU1500" s="129">
        <f>_xlfn.IFNA(VLOOKUP($C1500,RGI!$A$2:$C$43,3,FALSE),"..")</f>
        <v>72.816147461462435</v>
      </c>
      <c r="BV1500" s="129">
        <f>VLOOKUP($D1500,WGI!$C$2:$O$478,7,FALSE)</f>
        <v>4.6586424280511997E-2</v>
      </c>
      <c r="BW1500" s="129">
        <f>VLOOKUP($D1500,WGI!$C$2:$O$478,4,FALSE)</f>
        <v>-0.85037808720575603</v>
      </c>
      <c r="BX1500" s="129">
        <f>VLOOKUP($D1500,WGI!$C$2:$O$478,3,FALSE)</f>
        <v>-0.58013716140483895</v>
      </c>
      <c r="BY1500" s="129">
        <f>VLOOKUP($D1500,WGI!$C$2:$O$478,5,FALSE)</f>
        <v>0.15895971262752601</v>
      </c>
      <c r="BZ1500" s="129">
        <f>VLOOKUP($D1500,WGI!$C$2:$O$478,2,FALSE)</f>
        <v>-0.216828366148589</v>
      </c>
      <c r="CB1500" s="129"/>
    </row>
    <row r="1501" spans="1:80" s="120" customFormat="1" ht="15" customHeight="1">
      <c r="A1501" s="294" t="s">
        <v>452</v>
      </c>
      <c r="B1501" s="117">
        <v>2006</v>
      </c>
      <c r="C1501" s="117" t="s">
        <v>449</v>
      </c>
      <c r="D1501" s="117" t="s">
        <v>3541</v>
      </c>
      <c r="E1501" s="452" t="s">
        <v>220</v>
      </c>
      <c r="F1501" s="117"/>
      <c r="G1501" s="120" t="s">
        <v>24</v>
      </c>
      <c r="H1501" s="117" t="str">
        <f t="shared" si="261"/>
        <v>yes</v>
      </c>
      <c r="I1501" s="117" t="str">
        <f t="shared" si="253"/>
        <v>no</v>
      </c>
      <c r="J1501" s="117" t="str">
        <f t="shared" si="254"/>
        <v>no</v>
      </c>
      <c r="K1501" s="117" t="s">
        <v>784</v>
      </c>
      <c r="L1501" s="117" t="str">
        <f t="shared" si="262"/>
        <v>detailed</v>
      </c>
      <c r="M1501" s="117" t="str">
        <f t="shared" si="255"/>
        <v>detailed Mining</v>
      </c>
      <c r="N1501" s="179">
        <f>202826*32.150743126506</f>
        <v>6521006.625376706</v>
      </c>
      <c r="O1501" s="179"/>
      <c r="P1501" s="179"/>
      <c r="Q1501" s="179"/>
      <c r="R1501" s="179"/>
      <c r="S1501" s="117" t="s">
        <v>785</v>
      </c>
      <c r="T1501" s="119">
        <v>604.33583333333002</v>
      </c>
      <c r="U1501" s="117" t="s">
        <v>786</v>
      </c>
      <c r="V1501" s="117" t="s">
        <v>902</v>
      </c>
      <c r="W1501" s="89">
        <f>N1501*T1501</f>
        <v>3940877973.1191978</v>
      </c>
      <c r="X1501" s="117"/>
      <c r="Y1501" s="89"/>
      <c r="Z1501" s="89"/>
      <c r="AA1501" s="89"/>
      <c r="AB1501" s="89"/>
      <c r="AC1501" s="240" t="s">
        <v>2067</v>
      </c>
      <c r="AD1501" s="240"/>
      <c r="AE1501" s="240"/>
      <c r="AF1501" s="241"/>
      <c r="AG1501" s="89"/>
      <c r="AH1501" s="124"/>
      <c r="AI1501" s="117"/>
      <c r="AJ1501" s="117"/>
      <c r="AK1501" s="89"/>
      <c r="AL1501" s="117"/>
      <c r="AM1501" s="117"/>
      <c r="AN1501" s="117">
        <v>11</v>
      </c>
      <c r="AO1501" s="117" t="s">
        <v>2036</v>
      </c>
      <c r="AP1501" s="117">
        <v>11</v>
      </c>
      <c r="AQ1501" s="117"/>
      <c r="AR1501" s="117"/>
      <c r="AS1501" s="117"/>
      <c r="AT1501" s="117"/>
      <c r="AU1501" s="117"/>
      <c r="AV1501" s="128"/>
      <c r="AW1501" s="117">
        <f>VLOOKUP($D1501,'WB Data'!$C$3:$M$578,2,FALSE)</f>
        <v>87985689388.379211</v>
      </c>
      <c r="AX1501" s="117">
        <f>VLOOKUP($D1501,'WB Data'!$C$3:$M$578,3,FALSE)</f>
        <v>28030688</v>
      </c>
      <c r="AY1501" s="847">
        <f t="shared" si="257"/>
        <v>3.3260354954032255E-2</v>
      </c>
      <c r="AZ1501" s="117">
        <f>VLOOKUP($D1501,'WB Data'!$C$3:$M$578,4,FALSE)/100</f>
        <v>0.20121095279864007</v>
      </c>
      <c r="BA1501" s="117">
        <f t="shared" si="258"/>
        <v>17703684394.480976</v>
      </c>
      <c r="BB1501" s="129">
        <f>IFERROR(VLOOKUP($D1501,'EITI Revenues'!$C$2:$G$224,5,FALSE),"..")</f>
        <v>2926435259.9327216</v>
      </c>
      <c r="BC1501" s="846">
        <f t="shared" si="259"/>
        <v>0.16530091673149241</v>
      </c>
      <c r="BD1501" s="129">
        <f>VLOOKUP($D1501,'WB Data 2'!$C$2:$K$545,6,FALSE)</f>
        <v>15893054239.757475</v>
      </c>
      <c r="BE1501" s="129">
        <f>IFERROR(VLOOKUP($D1501,UNCTAD!$C$5:$V$529,4,FALSE),"..")</f>
        <v>26490180000</v>
      </c>
      <c r="BF1501" s="846">
        <f t="shared" si="260"/>
        <v>0.59996022072169664</v>
      </c>
      <c r="BG1501" s="117">
        <f>VLOOKUP($D1501,'WB Data'!$C$3:$M$578,5,FALSE)</f>
        <v>463440000</v>
      </c>
      <c r="BH1501" s="129">
        <f>IFERROR($BB1501/$BG1501,"..")</f>
        <v>6.314593604204906</v>
      </c>
      <c r="BI1501" s="117">
        <f>IFERROR(VLOOKUP($D1501,'WB Data'!$C$3:$M$578,7,FALSE)/100,"..")</f>
        <v>2.5476299999999997E-2</v>
      </c>
      <c r="BJ1501" s="117">
        <f>IFERROR($BI1501*$AW1501,"..")</f>
        <v>2241549818.565165</v>
      </c>
      <c r="BK1501" s="846">
        <f>IFERROR($BB1501/$BJ1501,"..")</f>
        <v>1.3055410304491726</v>
      </c>
      <c r="BL1501" s="117">
        <f>IFERROR(VLOOKUP($D1501,'WB Data'!$C$3:$M$578,7,FALSE)/100,"..")</f>
        <v>2.5476299999999997E-2</v>
      </c>
      <c r="BM1501" s="117">
        <f>IFERROR($AW1501*$BL1501,"..")</f>
        <v>2241549818.565165</v>
      </c>
      <c r="BN1501" s="846">
        <f>IFERROR($BB1501/$BM1501,"..")</f>
        <v>1.3055410304491726</v>
      </c>
      <c r="BO1501" s="801">
        <f t="shared" si="256"/>
        <v>38</v>
      </c>
      <c r="BP1501" s="117">
        <f>VLOOKUP($D1501,'WB Data'!$C$3:$M$578,9,FALSE)</f>
        <v>49.2</v>
      </c>
      <c r="BQ1501" s="117">
        <f>VLOOKUP($D1501,'WB Data'!$C$3:$M$578,10,FALSE)</f>
        <v>72.72097560975611</v>
      </c>
      <c r="BR1501" s="117">
        <f>VLOOKUP($D1501,'WB Data'!$C$3:$M$578,11,FALSE)</f>
        <v>20</v>
      </c>
      <c r="BS1501" s="129">
        <f>IFERROR(VLOOKUP($D1501,'WB Data 2'!$C$2:$K$545,9,FALSE),"..")</f>
        <v>99.710220000000007</v>
      </c>
      <c r="BT1501" s="129">
        <f>_xlfn.IFNA(VLOOKUP($C1501,RGI!$A$2:$C$43,2,FALSE),"..")</f>
        <v>76.8</v>
      </c>
      <c r="BU1501" s="129">
        <f>_xlfn.IFNA(VLOOKUP($C1501,RGI!$A$2:$C$43,3,FALSE),"..")</f>
        <v>72.816147461462435</v>
      </c>
      <c r="BV1501" s="129">
        <f>VLOOKUP($D1501,WGI!$C$2:$O$478,7,FALSE)</f>
        <v>4.6586424280511997E-2</v>
      </c>
      <c r="BW1501" s="129">
        <f>VLOOKUP($D1501,WGI!$C$2:$O$478,4,FALSE)</f>
        <v>-0.85037808720575603</v>
      </c>
      <c r="BX1501" s="129">
        <f>VLOOKUP($D1501,WGI!$C$2:$O$478,3,FALSE)</f>
        <v>-0.58013716140483895</v>
      </c>
      <c r="BY1501" s="129">
        <f>VLOOKUP($D1501,WGI!$C$2:$O$478,5,FALSE)</f>
        <v>0.15895971262752601</v>
      </c>
      <c r="BZ1501" s="129">
        <f>VLOOKUP($D1501,WGI!$C$2:$O$478,2,FALSE)</f>
        <v>-0.216828366148589</v>
      </c>
      <c r="CB1501" s="129"/>
    </row>
    <row r="1502" spans="1:80" s="120" customFormat="1" ht="15" customHeight="1">
      <c r="A1502" s="294" t="s">
        <v>452</v>
      </c>
      <c r="B1502" s="117">
        <v>2006</v>
      </c>
      <c r="C1502" s="117" t="s">
        <v>449</v>
      </c>
      <c r="D1502" s="117" t="s">
        <v>3541</v>
      </c>
      <c r="E1502" s="452" t="s">
        <v>220</v>
      </c>
      <c r="F1502" s="117"/>
      <c r="G1502" s="120" t="s">
        <v>24</v>
      </c>
      <c r="H1502" s="117" t="str">
        <f t="shared" si="261"/>
        <v>yes</v>
      </c>
      <c r="I1502" s="117" t="str">
        <f t="shared" si="253"/>
        <v>no</v>
      </c>
      <c r="J1502" s="117" t="str">
        <f t="shared" si="254"/>
        <v>no</v>
      </c>
      <c r="K1502" s="117" t="s">
        <v>2037</v>
      </c>
      <c r="L1502" s="117" t="str">
        <f t="shared" si="262"/>
        <v>detailed</v>
      </c>
      <c r="M1502" s="117" t="str">
        <f t="shared" si="255"/>
        <v>detailed Mining</v>
      </c>
      <c r="N1502" s="179">
        <v>6000</v>
      </c>
      <c r="O1502" s="179"/>
      <c r="P1502" s="179"/>
      <c r="Q1502" s="179"/>
      <c r="R1502" s="179"/>
      <c r="S1502" s="117" t="s">
        <v>967</v>
      </c>
      <c r="T1502" s="119">
        <v>918</v>
      </c>
      <c r="U1502" s="117" t="s">
        <v>1874</v>
      </c>
      <c r="V1502" s="117" t="s">
        <v>2038</v>
      </c>
      <c r="W1502" s="89">
        <f>N1502*T1502</f>
        <v>5508000</v>
      </c>
      <c r="X1502" s="117"/>
      <c r="Y1502" s="492"/>
      <c r="Z1502" s="492"/>
      <c r="AA1502" s="89"/>
      <c r="AB1502" s="89"/>
      <c r="AC1502" s="240"/>
      <c r="AD1502" s="240"/>
      <c r="AE1502" s="240"/>
      <c r="AF1502" s="241"/>
      <c r="AG1502" s="89"/>
      <c r="AH1502" s="124"/>
      <c r="AI1502" s="117"/>
      <c r="AJ1502" s="117"/>
      <c r="AK1502" s="89"/>
      <c r="AL1502" s="117"/>
      <c r="AM1502" s="117"/>
      <c r="AN1502" s="117"/>
      <c r="AO1502" s="117"/>
      <c r="AP1502" s="117"/>
      <c r="AQ1502" s="117"/>
      <c r="AR1502" s="117"/>
      <c r="AS1502" s="117"/>
      <c r="AT1502" s="117"/>
      <c r="AU1502" s="117"/>
      <c r="AV1502" s="128"/>
      <c r="AW1502" s="117">
        <f>VLOOKUP($D1502,'WB Data'!$C$3:$M$578,2,FALSE)</f>
        <v>87985689388.379211</v>
      </c>
      <c r="AX1502" s="117">
        <f>VLOOKUP($D1502,'WB Data'!$C$3:$M$578,3,FALSE)</f>
        <v>28030688</v>
      </c>
      <c r="AY1502" s="847">
        <f t="shared" si="257"/>
        <v>3.3260354954032255E-2</v>
      </c>
      <c r="AZ1502" s="117">
        <f>VLOOKUP($D1502,'WB Data'!$C$3:$M$578,4,FALSE)/100</f>
        <v>0.20121095279864007</v>
      </c>
      <c r="BA1502" s="117">
        <f t="shared" si="258"/>
        <v>17703684394.480976</v>
      </c>
      <c r="BB1502" s="129">
        <f>IFERROR(VLOOKUP($D1502,'EITI Revenues'!$C$2:$G$224,5,FALSE),"..")</f>
        <v>2926435259.9327216</v>
      </c>
      <c r="BC1502" s="846">
        <f t="shared" si="259"/>
        <v>0.16530091673149241</v>
      </c>
      <c r="BD1502" s="129">
        <f>VLOOKUP($D1502,'WB Data 2'!$C$2:$K$545,6,FALSE)</f>
        <v>15893054239.757475</v>
      </c>
      <c r="BE1502" s="129">
        <f>IFERROR(VLOOKUP($D1502,UNCTAD!$C$5:$V$529,4,FALSE),"..")</f>
        <v>26490180000</v>
      </c>
      <c r="BF1502" s="846">
        <f t="shared" si="260"/>
        <v>0.59996022072169664</v>
      </c>
      <c r="BG1502" s="117">
        <f>VLOOKUP($D1502,'WB Data'!$C$3:$M$578,5,FALSE)</f>
        <v>463440000</v>
      </c>
      <c r="BH1502" s="129">
        <f>IFERROR($BB1502/$BG1502,"..")</f>
        <v>6.314593604204906</v>
      </c>
      <c r="BI1502" s="117">
        <f>IFERROR(VLOOKUP($D1502,'WB Data'!$C$3:$M$578,7,FALSE)/100,"..")</f>
        <v>2.5476299999999997E-2</v>
      </c>
      <c r="BJ1502" s="117">
        <f>IFERROR($BI1502*$AW1502,"..")</f>
        <v>2241549818.565165</v>
      </c>
      <c r="BK1502" s="846">
        <f>IFERROR($BB1502/$BJ1502,"..")</f>
        <v>1.3055410304491726</v>
      </c>
      <c r="BL1502" s="117">
        <f>IFERROR(VLOOKUP($D1502,'WB Data'!$C$3:$M$578,7,FALSE)/100,"..")</f>
        <v>2.5476299999999997E-2</v>
      </c>
      <c r="BM1502" s="117">
        <f>IFERROR($AW1502*$BL1502,"..")</f>
        <v>2241549818.565165</v>
      </c>
      <c r="BN1502" s="846">
        <f>IFERROR($BB1502/$BM1502,"..")</f>
        <v>1.3055410304491726</v>
      </c>
      <c r="BO1502" s="801">
        <f t="shared" si="256"/>
        <v>38</v>
      </c>
      <c r="BP1502" s="117">
        <f>VLOOKUP($D1502,'WB Data'!$C$3:$M$578,9,FALSE)</f>
        <v>49.2</v>
      </c>
      <c r="BQ1502" s="117">
        <f>VLOOKUP($D1502,'WB Data'!$C$3:$M$578,10,FALSE)</f>
        <v>72.72097560975611</v>
      </c>
      <c r="BR1502" s="117">
        <f>VLOOKUP($D1502,'WB Data'!$C$3:$M$578,11,FALSE)</f>
        <v>20</v>
      </c>
      <c r="BS1502" s="129">
        <f>IFERROR(VLOOKUP($D1502,'WB Data 2'!$C$2:$K$545,9,FALSE),"..")</f>
        <v>99.710220000000007</v>
      </c>
      <c r="BT1502" s="129">
        <f>_xlfn.IFNA(VLOOKUP($C1502,RGI!$A$2:$C$43,2,FALSE),"..")</f>
        <v>76.8</v>
      </c>
      <c r="BU1502" s="129">
        <f>_xlfn.IFNA(VLOOKUP($C1502,RGI!$A$2:$C$43,3,FALSE),"..")</f>
        <v>72.816147461462435</v>
      </c>
      <c r="BV1502" s="129">
        <f>VLOOKUP($D1502,WGI!$C$2:$O$478,7,FALSE)</f>
        <v>4.6586424280511997E-2</v>
      </c>
      <c r="BW1502" s="129">
        <f>VLOOKUP($D1502,WGI!$C$2:$O$478,4,FALSE)</f>
        <v>-0.85037808720575603</v>
      </c>
      <c r="BX1502" s="129">
        <f>VLOOKUP($D1502,WGI!$C$2:$O$478,3,FALSE)</f>
        <v>-0.58013716140483895</v>
      </c>
      <c r="BY1502" s="129">
        <f>VLOOKUP($D1502,WGI!$C$2:$O$478,5,FALSE)</f>
        <v>0.15895971262752601</v>
      </c>
      <c r="BZ1502" s="129">
        <f>VLOOKUP($D1502,WGI!$C$2:$O$478,2,FALSE)</f>
        <v>-0.216828366148589</v>
      </c>
      <c r="CB1502" s="129"/>
    </row>
    <row r="1503" spans="1:80" s="120" customFormat="1" ht="15" customHeight="1">
      <c r="A1503" s="294" t="s">
        <v>452</v>
      </c>
      <c r="B1503" s="117">
        <v>2006</v>
      </c>
      <c r="C1503" s="117" t="s">
        <v>449</v>
      </c>
      <c r="D1503" s="117" t="s">
        <v>3541</v>
      </c>
      <c r="E1503" s="452" t="s">
        <v>220</v>
      </c>
      <c r="F1503" s="117"/>
      <c r="G1503" s="120" t="s">
        <v>24</v>
      </c>
      <c r="H1503" s="117" t="str">
        <f t="shared" si="261"/>
        <v>yes</v>
      </c>
      <c r="I1503" s="117" t="str">
        <f t="shared" si="253"/>
        <v>no</v>
      </c>
      <c r="J1503" s="117" t="str">
        <f t="shared" si="254"/>
        <v>no</v>
      </c>
      <c r="K1503" s="117" t="s">
        <v>1228</v>
      </c>
      <c r="L1503" s="117" t="str">
        <f t="shared" si="262"/>
        <v>detailed</v>
      </c>
      <c r="M1503" s="117" t="str">
        <f t="shared" si="255"/>
        <v>detailed Mining</v>
      </c>
      <c r="N1503" s="179">
        <v>7138000</v>
      </c>
      <c r="O1503" s="179"/>
      <c r="P1503" s="179"/>
      <c r="Q1503" s="179"/>
      <c r="R1503" s="179"/>
      <c r="S1503" s="117" t="s">
        <v>610</v>
      </c>
      <c r="T1503" s="119">
        <v>69.333333333330003</v>
      </c>
      <c r="U1503" s="117" t="s">
        <v>611</v>
      </c>
      <c r="V1503" s="117" t="s">
        <v>2039</v>
      </c>
      <c r="W1503" s="89">
        <f>N1503*T1503</f>
        <v>494901333.33330959</v>
      </c>
      <c r="X1503" s="117"/>
      <c r="Y1503" s="492"/>
      <c r="Z1503" s="492"/>
      <c r="AA1503" s="89"/>
      <c r="AB1503" s="89"/>
      <c r="AC1503" s="240"/>
      <c r="AD1503" s="240"/>
      <c r="AE1503" s="240"/>
      <c r="AF1503" s="241"/>
      <c r="AG1503" s="89"/>
      <c r="AH1503" s="124"/>
      <c r="AI1503" s="117"/>
      <c r="AJ1503" s="117"/>
      <c r="AK1503" s="89"/>
      <c r="AL1503" s="117"/>
      <c r="AM1503" s="117"/>
      <c r="AN1503" s="117"/>
      <c r="AO1503" s="117"/>
      <c r="AP1503" s="117"/>
      <c r="AQ1503" s="117"/>
      <c r="AR1503" s="117"/>
      <c r="AS1503" s="117"/>
      <c r="AT1503" s="117"/>
      <c r="AU1503" s="117"/>
      <c r="AV1503" s="128"/>
      <c r="AW1503" s="117">
        <f>VLOOKUP($D1503,'WB Data'!$C$3:$M$578,2,FALSE)</f>
        <v>87985689388.379211</v>
      </c>
      <c r="AX1503" s="117">
        <f>VLOOKUP($D1503,'WB Data'!$C$3:$M$578,3,FALSE)</f>
        <v>28030688</v>
      </c>
      <c r="AY1503" s="847">
        <f t="shared" si="257"/>
        <v>3.3260354954032255E-2</v>
      </c>
      <c r="AZ1503" s="117">
        <f>VLOOKUP($D1503,'WB Data'!$C$3:$M$578,4,FALSE)/100</f>
        <v>0.20121095279864007</v>
      </c>
      <c r="BA1503" s="117">
        <f t="shared" si="258"/>
        <v>17703684394.480976</v>
      </c>
      <c r="BB1503" s="129">
        <f>IFERROR(VLOOKUP($D1503,'EITI Revenues'!$C$2:$G$224,5,FALSE),"..")</f>
        <v>2926435259.9327216</v>
      </c>
      <c r="BC1503" s="846">
        <f t="shared" si="259"/>
        <v>0.16530091673149241</v>
      </c>
      <c r="BD1503" s="129">
        <f>VLOOKUP($D1503,'WB Data 2'!$C$2:$K$545,6,FALSE)</f>
        <v>15893054239.757475</v>
      </c>
      <c r="BE1503" s="129">
        <f>IFERROR(VLOOKUP($D1503,UNCTAD!$C$5:$V$529,4,FALSE),"..")</f>
        <v>26490180000</v>
      </c>
      <c r="BF1503" s="846">
        <f t="shared" si="260"/>
        <v>0.59996022072169664</v>
      </c>
      <c r="BG1503" s="117">
        <f>VLOOKUP($D1503,'WB Data'!$C$3:$M$578,5,FALSE)</f>
        <v>463440000</v>
      </c>
      <c r="BH1503" s="129">
        <f>IFERROR($BB1503/$BG1503,"..")</f>
        <v>6.314593604204906</v>
      </c>
      <c r="BI1503" s="117">
        <f>IFERROR(VLOOKUP($D1503,'WB Data'!$C$3:$M$578,7,FALSE)/100,"..")</f>
        <v>2.5476299999999997E-2</v>
      </c>
      <c r="BJ1503" s="117">
        <f>IFERROR($BI1503*$AW1503,"..")</f>
        <v>2241549818.565165</v>
      </c>
      <c r="BK1503" s="846">
        <f>IFERROR($BB1503/$BJ1503,"..")</f>
        <v>1.3055410304491726</v>
      </c>
      <c r="BL1503" s="117">
        <f>IFERROR(VLOOKUP($D1503,'WB Data'!$C$3:$M$578,7,FALSE)/100,"..")</f>
        <v>2.5476299999999997E-2</v>
      </c>
      <c r="BM1503" s="117">
        <f>IFERROR($AW1503*$BL1503,"..")</f>
        <v>2241549818.565165</v>
      </c>
      <c r="BN1503" s="846">
        <f>IFERROR($BB1503/$BM1503,"..")</f>
        <v>1.3055410304491726</v>
      </c>
      <c r="BO1503" s="801">
        <f t="shared" si="256"/>
        <v>38</v>
      </c>
      <c r="BP1503" s="117">
        <f>VLOOKUP($D1503,'WB Data'!$C$3:$M$578,9,FALSE)</f>
        <v>49.2</v>
      </c>
      <c r="BQ1503" s="117">
        <f>VLOOKUP($D1503,'WB Data'!$C$3:$M$578,10,FALSE)</f>
        <v>72.72097560975611</v>
      </c>
      <c r="BR1503" s="117">
        <f>VLOOKUP($D1503,'WB Data'!$C$3:$M$578,11,FALSE)</f>
        <v>20</v>
      </c>
      <c r="BS1503" s="129">
        <f>IFERROR(VLOOKUP($D1503,'WB Data 2'!$C$2:$K$545,9,FALSE),"..")</f>
        <v>99.710220000000007</v>
      </c>
      <c r="BT1503" s="129">
        <f>_xlfn.IFNA(VLOOKUP($C1503,RGI!$A$2:$C$43,2,FALSE),"..")</f>
        <v>76.8</v>
      </c>
      <c r="BU1503" s="129">
        <f>_xlfn.IFNA(VLOOKUP($C1503,RGI!$A$2:$C$43,3,FALSE),"..")</f>
        <v>72.816147461462435</v>
      </c>
      <c r="BV1503" s="129">
        <f>VLOOKUP($D1503,WGI!$C$2:$O$478,7,FALSE)</f>
        <v>4.6586424280511997E-2</v>
      </c>
      <c r="BW1503" s="129">
        <f>VLOOKUP($D1503,WGI!$C$2:$O$478,4,FALSE)</f>
        <v>-0.85037808720575603</v>
      </c>
      <c r="BX1503" s="129">
        <f>VLOOKUP($D1503,WGI!$C$2:$O$478,3,FALSE)</f>
        <v>-0.58013716140483895</v>
      </c>
      <c r="BY1503" s="129">
        <f>VLOOKUP($D1503,WGI!$C$2:$O$478,5,FALSE)</f>
        <v>0.15895971262752601</v>
      </c>
      <c r="BZ1503" s="129">
        <f>VLOOKUP($D1503,WGI!$C$2:$O$478,2,FALSE)</f>
        <v>-0.216828366148589</v>
      </c>
      <c r="CB1503" s="129"/>
    </row>
    <row r="1504" spans="1:80" s="120" customFormat="1" ht="15" customHeight="1">
      <c r="A1504" s="294" t="s">
        <v>452</v>
      </c>
      <c r="B1504" s="117">
        <v>2006</v>
      </c>
      <c r="C1504" s="117" t="s">
        <v>449</v>
      </c>
      <c r="D1504" s="117" t="s">
        <v>3541</v>
      </c>
      <c r="E1504" s="452" t="s">
        <v>220</v>
      </c>
      <c r="F1504" s="117"/>
      <c r="G1504" s="120" t="s">
        <v>24</v>
      </c>
      <c r="H1504" s="117" t="str">
        <f t="shared" si="261"/>
        <v>yes</v>
      </c>
      <c r="I1504" s="117" t="str">
        <f t="shared" si="253"/>
        <v>no</v>
      </c>
      <c r="J1504" s="117" t="str">
        <f t="shared" si="254"/>
        <v>no</v>
      </c>
      <c r="K1504" s="117" t="s">
        <v>1473</v>
      </c>
      <c r="L1504" s="117" t="str">
        <f t="shared" si="262"/>
        <v>detailed</v>
      </c>
      <c r="M1504" s="117" t="str">
        <f t="shared" si="255"/>
        <v>detailed Mining</v>
      </c>
      <c r="N1504" s="179"/>
      <c r="O1504" s="179"/>
      <c r="P1504" s="179"/>
      <c r="Q1504" s="179"/>
      <c r="R1504" s="179"/>
      <c r="S1504" s="117"/>
      <c r="T1504" s="186">
        <v>1289.7220833333299</v>
      </c>
      <c r="U1504" s="117" t="s">
        <v>611</v>
      </c>
      <c r="V1504" s="117" t="s">
        <v>2040</v>
      </c>
      <c r="W1504" s="89">
        <f>N1506*T1504</f>
        <v>157447982.21124959</v>
      </c>
      <c r="X1504" s="117"/>
      <c r="Y1504" s="117"/>
      <c r="Z1504" s="117"/>
      <c r="AA1504" s="117"/>
      <c r="AB1504" s="117"/>
      <c r="AC1504" s="240" t="s">
        <v>2066</v>
      </c>
      <c r="AD1504" s="240"/>
      <c r="AE1504" s="240"/>
      <c r="AF1504" s="241"/>
      <c r="AG1504" s="117"/>
      <c r="AH1504" s="124"/>
      <c r="AI1504" s="117"/>
      <c r="AJ1504" s="117"/>
      <c r="AK1504" s="89"/>
      <c r="AL1504" s="117"/>
      <c r="AM1504" s="117"/>
      <c r="AN1504" s="117">
        <v>10</v>
      </c>
      <c r="AO1504" s="117" t="s">
        <v>2042</v>
      </c>
      <c r="AP1504" s="117">
        <v>10</v>
      </c>
      <c r="AQ1504" s="117"/>
      <c r="AR1504" s="117"/>
      <c r="AS1504" s="117"/>
      <c r="AT1504" s="117"/>
      <c r="AU1504" s="117"/>
      <c r="AV1504" s="128"/>
      <c r="AW1504" s="117">
        <f>VLOOKUP($D1504,'WB Data'!$C$3:$M$578,2,FALSE)</f>
        <v>87985689388.379211</v>
      </c>
      <c r="AX1504" s="117">
        <f>VLOOKUP($D1504,'WB Data'!$C$3:$M$578,3,FALSE)</f>
        <v>28030688</v>
      </c>
      <c r="AY1504" s="847">
        <f t="shared" si="257"/>
        <v>3.3260354954032255E-2</v>
      </c>
      <c r="AZ1504" s="117">
        <f>VLOOKUP($D1504,'WB Data'!$C$3:$M$578,4,FALSE)/100</f>
        <v>0.20121095279864007</v>
      </c>
      <c r="BA1504" s="117">
        <f t="shared" si="258"/>
        <v>17703684394.480976</v>
      </c>
      <c r="BB1504" s="129">
        <f>IFERROR(VLOOKUP($D1504,'EITI Revenues'!$C$2:$G$224,5,FALSE),"..")</f>
        <v>2926435259.9327216</v>
      </c>
      <c r="BC1504" s="846">
        <f t="shared" si="259"/>
        <v>0.16530091673149241</v>
      </c>
      <c r="BD1504" s="129">
        <f>VLOOKUP($D1504,'WB Data 2'!$C$2:$K$545,6,FALSE)</f>
        <v>15893054239.757475</v>
      </c>
      <c r="BE1504" s="129">
        <f>IFERROR(VLOOKUP($D1504,UNCTAD!$C$5:$V$529,4,FALSE),"..")</f>
        <v>26490180000</v>
      </c>
      <c r="BF1504" s="846">
        <f t="shared" si="260"/>
        <v>0.59996022072169664</v>
      </c>
      <c r="BG1504" s="117">
        <f>VLOOKUP($D1504,'WB Data'!$C$3:$M$578,5,FALSE)</f>
        <v>463440000</v>
      </c>
      <c r="BH1504" s="129">
        <f>IFERROR($BB1504/$BG1504,"..")</f>
        <v>6.314593604204906</v>
      </c>
      <c r="BI1504" s="117">
        <f>IFERROR(VLOOKUP($D1504,'WB Data'!$C$3:$M$578,7,FALSE)/100,"..")</f>
        <v>2.5476299999999997E-2</v>
      </c>
      <c r="BJ1504" s="117">
        <f>IFERROR($BI1504*$AW1504,"..")</f>
        <v>2241549818.565165</v>
      </c>
      <c r="BK1504" s="846">
        <f>IFERROR($BB1504/$BJ1504,"..")</f>
        <v>1.3055410304491726</v>
      </c>
      <c r="BL1504" s="117">
        <f>IFERROR(VLOOKUP($D1504,'WB Data'!$C$3:$M$578,7,FALSE)/100,"..")</f>
        <v>2.5476299999999997E-2</v>
      </c>
      <c r="BM1504" s="117">
        <f>IFERROR($AW1504*$BL1504,"..")</f>
        <v>2241549818.565165</v>
      </c>
      <c r="BN1504" s="846">
        <f>IFERROR($BB1504/$BM1504,"..")</f>
        <v>1.3055410304491726</v>
      </c>
      <c r="BO1504" s="801">
        <f t="shared" si="256"/>
        <v>38</v>
      </c>
      <c r="BP1504" s="117">
        <f>VLOOKUP($D1504,'WB Data'!$C$3:$M$578,9,FALSE)</f>
        <v>49.2</v>
      </c>
      <c r="BQ1504" s="117">
        <f>VLOOKUP($D1504,'WB Data'!$C$3:$M$578,10,FALSE)</f>
        <v>72.72097560975611</v>
      </c>
      <c r="BR1504" s="117">
        <f>VLOOKUP($D1504,'WB Data'!$C$3:$M$578,11,FALSE)</f>
        <v>20</v>
      </c>
      <c r="BS1504" s="129">
        <f>IFERROR(VLOOKUP($D1504,'WB Data 2'!$C$2:$K$545,9,FALSE),"..")</f>
        <v>99.710220000000007</v>
      </c>
      <c r="BT1504" s="129">
        <f>_xlfn.IFNA(VLOOKUP($C1504,RGI!$A$2:$C$43,2,FALSE),"..")</f>
        <v>76.8</v>
      </c>
      <c r="BU1504" s="129">
        <f>_xlfn.IFNA(VLOOKUP($C1504,RGI!$A$2:$C$43,3,FALSE),"..")</f>
        <v>72.816147461462435</v>
      </c>
      <c r="BV1504" s="129">
        <f>VLOOKUP($D1504,WGI!$C$2:$O$478,7,FALSE)</f>
        <v>4.6586424280511997E-2</v>
      </c>
      <c r="BW1504" s="129">
        <f>VLOOKUP($D1504,WGI!$C$2:$O$478,4,FALSE)</f>
        <v>-0.85037808720575603</v>
      </c>
      <c r="BX1504" s="129">
        <f>VLOOKUP($D1504,WGI!$C$2:$O$478,3,FALSE)</f>
        <v>-0.58013716140483895</v>
      </c>
      <c r="BY1504" s="129">
        <f>VLOOKUP($D1504,WGI!$C$2:$O$478,5,FALSE)</f>
        <v>0.15895971262752601</v>
      </c>
      <c r="BZ1504" s="129">
        <f>VLOOKUP($D1504,WGI!$C$2:$O$478,2,FALSE)</f>
        <v>-0.216828366148589</v>
      </c>
      <c r="CB1504" s="129"/>
    </row>
    <row r="1505" spans="1:80" s="120" customFormat="1" ht="15" customHeight="1">
      <c r="A1505" s="294" t="s">
        <v>452</v>
      </c>
      <c r="B1505" s="117">
        <v>2006</v>
      </c>
      <c r="C1505" s="117" t="s">
        <v>449</v>
      </c>
      <c r="D1505" s="117" t="s">
        <v>3541</v>
      </c>
      <c r="E1505" s="452" t="s">
        <v>220</v>
      </c>
      <c r="F1505" s="117"/>
      <c r="G1505" s="120" t="s">
        <v>24</v>
      </c>
      <c r="H1505" s="117" t="str">
        <f t="shared" si="261"/>
        <v>yes</v>
      </c>
      <c r="I1505" s="117" t="str">
        <f t="shared" si="253"/>
        <v>no</v>
      </c>
      <c r="J1505" s="117" t="str">
        <f t="shared" si="254"/>
        <v>no</v>
      </c>
      <c r="K1505" s="117" t="s">
        <v>2043</v>
      </c>
      <c r="L1505" s="117" t="str">
        <f t="shared" si="262"/>
        <v>detailed</v>
      </c>
      <c r="M1505" s="117" t="str">
        <f t="shared" si="255"/>
        <v>detailed Mining</v>
      </c>
      <c r="N1505" s="179">
        <v>313332</v>
      </c>
      <c r="O1505" s="179"/>
      <c r="P1505" s="179"/>
      <c r="Q1505" s="179"/>
      <c r="R1505" s="179"/>
      <c r="S1505" s="117" t="s">
        <v>610</v>
      </c>
      <c r="T1505" s="119"/>
      <c r="U1505" s="117"/>
      <c r="V1505" s="117" t="s">
        <v>1146</v>
      </c>
      <c r="W1505" s="89"/>
      <c r="X1505" s="117"/>
      <c r="AA1505" s="89"/>
      <c r="AB1505" s="89"/>
      <c r="AC1505" s="240"/>
      <c r="AD1505" s="240"/>
      <c r="AE1505" s="240"/>
      <c r="AF1505" s="241"/>
      <c r="AH1505" s="124"/>
      <c r="AI1505" s="117"/>
      <c r="AJ1505" s="117"/>
      <c r="AK1505" s="89"/>
      <c r="AL1505" s="117"/>
      <c r="AM1505" s="117"/>
      <c r="AN1505" s="117"/>
      <c r="AO1505" s="117"/>
      <c r="AP1505" s="117"/>
      <c r="AQ1505" s="117"/>
      <c r="AR1505" s="117"/>
      <c r="AS1505" s="117"/>
      <c r="AT1505" s="117"/>
      <c r="AU1505" s="117"/>
      <c r="AV1505" s="128"/>
      <c r="AW1505" s="117">
        <f>VLOOKUP($D1505,'WB Data'!$C$3:$M$578,2,FALSE)</f>
        <v>87985689388.379211</v>
      </c>
      <c r="AX1505" s="117">
        <f>VLOOKUP($D1505,'WB Data'!$C$3:$M$578,3,FALSE)</f>
        <v>28030688</v>
      </c>
      <c r="AY1505" s="847">
        <f t="shared" si="257"/>
        <v>3.3260354954032255E-2</v>
      </c>
      <c r="AZ1505" s="117">
        <f>VLOOKUP($D1505,'WB Data'!$C$3:$M$578,4,FALSE)/100</f>
        <v>0.20121095279864007</v>
      </c>
      <c r="BA1505" s="117">
        <f t="shared" si="258"/>
        <v>17703684394.480976</v>
      </c>
      <c r="BB1505" s="129">
        <f>IFERROR(VLOOKUP($D1505,'EITI Revenues'!$C$2:$G$224,5,FALSE),"..")</f>
        <v>2926435259.9327216</v>
      </c>
      <c r="BC1505" s="846">
        <f t="shared" si="259"/>
        <v>0.16530091673149241</v>
      </c>
      <c r="BD1505" s="129">
        <f>VLOOKUP($D1505,'WB Data 2'!$C$2:$K$545,6,FALSE)</f>
        <v>15893054239.757475</v>
      </c>
      <c r="BE1505" s="129">
        <f>IFERROR(VLOOKUP($D1505,UNCTAD!$C$5:$V$529,4,FALSE),"..")</f>
        <v>26490180000</v>
      </c>
      <c r="BF1505" s="846">
        <f t="shared" si="260"/>
        <v>0.59996022072169664</v>
      </c>
      <c r="BG1505" s="117">
        <f>VLOOKUP($D1505,'WB Data'!$C$3:$M$578,5,FALSE)</f>
        <v>463440000</v>
      </c>
      <c r="BH1505" s="129">
        <f>IFERROR($BB1505/$BG1505,"..")</f>
        <v>6.314593604204906</v>
      </c>
      <c r="BI1505" s="117">
        <f>IFERROR(VLOOKUP($D1505,'WB Data'!$C$3:$M$578,7,FALSE)/100,"..")</f>
        <v>2.5476299999999997E-2</v>
      </c>
      <c r="BJ1505" s="117">
        <f>IFERROR($BI1505*$AW1505,"..")</f>
        <v>2241549818.565165</v>
      </c>
      <c r="BK1505" s="846">
        <f>IFERROR($BB1505/$BJ1505,"..")</f>
        <v>1.3055410304491726</v>
      </c>
      <c r="BL1505" s="117">
        <f>IFERROR(VLOOKUP($D1505,'WB Data'!$C$3:$M$578,7,FALSE)/100,"..")</f>
        <v>2.5476299999999997E-2</v>
      </c>
      <c r="BM1505" s="117">
        <f>IFERROR($AW1505*$BL1505,"..")</f>
        <v>2241549818.565165</v>
      </c>
      <c r="BN1505" s="846">
        <f>IFERROR($BB1505/$BM1505,"..")</f>
        <v>1.3055410304491726</v>
      </c>
      <c r="BO1505" s="801">
        <f t="shared" si="256"/>
        <v>38</v>
      </c>
      <c r="BP1505" s="117">
        <f>VLOOKUP($D1505,'WB Data'!$C$3:$M$578,9,FALSE)</f>
        <v>49.2</v>
      </c>
      <c r="BQ1505" s="117">
        <f>VLOOKUP($D1505,'WB Data'!$C$3:$M$578,10,FALSE)</f>
        <v>72.72097560975611</v>
      </c>
      <c r="BR1505" s="117">
        <f>VLOOKUP($D1505,'WB Data'!$C$3:$M$578,11,FALSE)</f>
        <v>20</v>
      </c>
      <c r="BS1505" s="129">
        <f>IFERROR(VLOOKUP($D1505,'WB Data 2'!$C$2:$K$545,9,FALSE),"..")</f>
        <v>99.710220000000007</v>
      </c>
      <c r="BT1505" s="129">
        <f>_xlfn.IFNA(VLOOKUP($C1505,RGI!$A$2:$C$43,2,FALSE),"..")</f>
        <v>76.8</v>
      </c>
      <c r="BU1505" s="129">
        <f>_xlfn.IFNA(VLOOKUP($C1505,RGI!$A$2:$C$43,3,FALSE),"..")</f>
        <v>72.816147461462435</v>
      </c>
      <c r="BV1505" s="129">
        <f>VLOOKUP($D1505,WGI!$C$2:$O$478,7,FALSE)</f>
        <v>4.6586424280511997E-2</v>
      </c>
      <c r="BW1505" s="129">
        <f>VLOOKUP($D1505,WGI!$C$2:$O$478,4,FALSE)</f>
        <v>-0.85037808720575603</v>
      </c>
      <c r="BX1505" s="129">
        <f>VLOOKUP($D1505,WGI!$C$2:$O$478,3,FALSE)</f>
        <v>-0.58013716140483895</v>
      </c>
      <c r="BY1505" s="129">
        <f>VLOOKUP($D1505,WGI!$C$2:$O$478,5,FALSE)</f>
        <v>0.15895971262752601</v>
      </c>
      <c r="BZ1505" s="129">
        <f>VLOOKUP($D1505,WGI!$C$2:$O$478,2,FALSE)</f>
        <v>-0.216828366148589</v>
      </c>
      <c r="CB1505" s="129"/>
    </row>
    <row r="1506" spans="1:80" s="120" customFormat="1" ht="15" customHeight="1">
      <c r="A1506" s="294" t="s">
        <v>452</v>
      </c>
      <c r="B1506" s="117">
        <v>2006</v>
      </c>
      <c r="C1506" s="117" t="s">
        <v>449</v>
      </c>
      <c r="D1506" s="117" t="s">
        <v>3541</v>
      </c>
      <c r="E1506" s="452" t="s">
        <v>220</v>
      </c>
      <c r="F1506" s="117"/>
      <c r="G1506" s="120" t="s">
        <v>24</v>
      </c>
      <c r="H1506" s="117" t="str">
        <f t="shared" si="261"/>
        <v>yes</v>
      </c>
      <c r="I1506" s="117" t="str">
        <f t="shared" si="253"/>
        <v>no</v>
      </c>
      <c r="J1506" s="117" t="str">
        <f t="shared" si="254"/>
        <v>no</v>
      </c>
      <c r="K1506" s="117" t="s">
        <v>1336</v>
      </c>
      <c r="L1506" s="117" t="str">
        <f t="shared" si="262"/>
        <v>detailed</v>
      </c>
      <c r="M1506" s="117" t="str">
        <f t="shared" si="255"/>
        <v>detailed Mining</v>
      </c>
      <c r="N1506" s="179">
        <v>122079</v>
      </c>
      <c r="O1506" s="179"/>
      <c r="P1506" s="179"/>
      <c r="Q1506" s="179"/>
      <c r="R1506" s="179"/>
      <c r="S1506" s="117" t="s">
        <v>610</v>
      </c>
      <c r="T1506" s="119"/>
      <c r="U1506" s="117"/>
      <c r="V1506" s="117" t="s">
        <v>1146</v>
      </c>
      <c r="W1506" s="89"/>
      <c r="X1506" s="117"/>
      <c r="AA1506" s="89"/>
      <c r="AB1506" s="89"/>
      <c r="AC1506" s="240"/>
      <c r="AD1506" s="240"/>
      <c r="AE1506" s="240"/>
      <c r="AF1506" s="241"/>
      <c r="AH1506" s="124"/>
      <c r="AI1506" s="117"/>
      <c r="AJ1506" s="117"/>
      <c r="AK1506" s="89"/>
      <c r="AL1506" s="117"/>
      <c r="AM1506" s="117"/>
      <c r="AN1506" s="117"/>
      <c r="AO1506" s="117"/>
      <c r="AP1506" s="117"/>
      <c r="AQ1506" s="117"/>
      <c r="AR1506" s="117"/>
      <c r="AS1506" s="117"/>
      <c r="AT1506" s="117"/>
      <c r="AU1506" s="117"/>
      <c r="AV1506" s="128"/>
      <c r="AW1506" s="117">
        <f>VLOOKUP($D1506,'WB Data'!$C$3:$M$578,2,FALSE)</f>
        <v>87985689388.379211</v>
      </c>
      <c r="AX1506" s="117">
        <f>VLOOKUP($D1506,'WB Data'!$C$3:$M$578,3,FALSE)</f>
        <v>28030688</v>
      </c>
      <c r="AY1506" s="847">
        <f t="shared" si="257"/>
        <v>3.3260354954032255E-2</v>
      </c>
      <c r="AZ1506" s="117">
        <f>VLOOKUP($D1506,'WB Data'!$C$3:$M$578,4,FALSE)/100</f>
        <v>0.20121095279864007</v>
      </c>
      <c r="BA1506" s="117">
        <f t="shared" si="258"/>
        <v>17703684394.480976</v>
      </c>
      <c r="BB1506" s="129">
        <f>IFERROR(VLOOKUP($D1506,'EITI Revenues'!$C$2:$G$224,5,FALSE),"..")</f>
        <v>2926435259.9327216</v>
      </c>
      <c r="BC1506" s="846">
        <f t="shared" si="259"/>
        <v>0.16530091673149241</v>
      </c>
      <c r="BD1506" s="129">
        <f>VLOOKUP($D1506,'WB Data 2'!$C$2:$K$545,6,FALSE)</f>
        <v>15893054239.757475</v>
      </c>
      <c r="BE1506" s="129">
        <f>IFERROR(VLOOKUP($D1506,UNCTAD!$C$5:$V$529,4,FALSE),"..")</f>
        <v>26490180000</v>
      </c>
      <c r="BF1506" s="846">
        <f t="shared" si="260"/>
        <v>0.59996022072169664</v>
      </c>
      <c r="BG1506" s="117">
        <f>VLOOKUP($D1506,'WB Data'!$C$3:$M$578,5,FALSE)</f>
        <v>463440000</v>
      </c>
      <c r="BH1506" s="129">
        <f>IFERROR($BB1506/$BG1506,"..")</f>
        <v>6.314593604204906</v>
      </c>
      <c r="BI1506" s="117">
        <f>IFERROR(VLOOKUP($D1506,'WB Data'!$C$3:$M$578,7,FALSE)/100,"..")</f>
        <v>2.5476299999999997E-2</v>
      </c>
      <c r="BJ1506" s="117">
        <f>IFERROR($BI1506*$AW1506,"..")</f>
        <v>2241549818.565165</v>
      </c>
      <c r="BK1506" s="846">
        <f>IFERROR($BB1506/$BJ1506,"..")</f>
        <v>1.3055410304491726</v>
      </c>
      <c r="BL1506" s="117">
        <f>IFERROR(VLOOKUP($D1506,'WB Data'!$C$3:$M$578,7,FALSE)/100,"..")</f>
        <v>2.5476299999999997E-2</v>
      </c>
      <c r="BM1506" s="117">
        <f>IFERROR($AW1506*$BL1506,"..")</f>
        <v>2241549818.565165</v>
      </c>
      <c r="BN1506" s="846">
        <f>IFERROR($BB1506/$BM1506,"..")</f>
        <v>1.3055410304491726</v>
      </c>
      <c r="BO1506" s="801">
        <f t="shared" si="256"/>
        <v>38</v>
      </c>
      <c r="BP1506" s="117">
        <f>VLOOKUP($D1506,'WB Data'!$C$3:$M$578,9,FALSE)</f>
        <v>49.2</v>
      </c>
      <c r="BQ1506" s="117">
        <f>VLOOKUP($D1506,'WB Data'!$C$3:$M$578,10,FALSE)</f>
        <v>72.72097560975611</v>
      </c>
      <c r="BR1506" s="117">
        <f>VLOOKUP($D1506,'WB Data'!$C$3:$M$578,11,FALSE)</f>
        <v>20</v>
      </c>
      <c r="BS1506" s="129">
        <f>IFERROR(VLOOKUP($D1506,'WB Data 2'!$C$2:$K$545,9,FALSE),"..")</f>
        <v>99.710220000000007</v>
      </c>
      <c r="BT1506" s="129">
        <f>_xlfn.IFNA(VLOOKUP($C1506,RGI!$A$2:$C$43,2,FALSE),"..")</f>
        <v>76.8</v>
      </c>
      <c r="BU1506" s="129">
        <f>_xlfn.IFNA(VLOOKUP($C1506,RGI!$A$2:$C$43,3,FALSE),"..")</f>
        <v>72.816147461462435</v>
      </c>
      <c r="BV1506" s="129">
        <f>VLOOKUP($D1506,WGI!$C$2:$O$478,7,FALSE)</f>
        <v>4.6586424280511997E-2</v>
      </c>
      <c r="BW1506" s="129">
        <f>VLOOKUP($D1506,WGI!$C$2:$O$478,4,FALSE)</f>
        <v>-0.85037808720575603</v>
      </c>
      <c r="BX1506" s="129">
        <f>VLOOKUP($D1506,WGI!$C$2:$O$478,3,FALSE)</f>
        <v>-0.58013716140483895</v>
      </c>
      <c r="BY1506" s="129">
        <f>VLOOKUP($D1506,WGI!$C$2:$O$478,5,FALSE)</f>
        <v>0.15895971262752601</v>
      </c>
      <c r="BZ1506" s="129">
        <f>VLOOKUP($D1506,WGI!$C$2:$O$478,2,FALSE)</f>
        <v>-0.216828366148589</v>
      </c>
      <c r="CB1506" s="129"/>
    </row>
    <row r="1507" spans="1:80" s="120" customFormat="1" ht="15" customHeight="1">
      <c r="A1507" s="294" t="s">
        <v>452</v>
      </c>
      <c r="B1507" s="117">
        <v>2006</v>
      </c>
      <c r="C1507" s="117" t="s">
        <v>449</v>
      </c>
      <c r="D1507" s="117" t="s">
        <v>3541</v>
      </c>
      <c r="E1507" s="452" t="s">
        <v>220</v>
      </c>
      <c r="F1507" s="117"/>
      <c r="G1507" s="120" t="s">
        <v>24</v>
      </c>
      <c r="H1507" s="117" t="str">
        <f t="shared" si="261"/>
        <v>yes</v>
      </c>
      <c r="I1507" s="117" t="str">
        <f t="shared" si="253"/>
        <v>no</v>
      </c>
      <c r="J1507" s="117" t="str">
        <f t="shared" si="254"/>
        <v>no</v>
      </c>
      <c r="K1507" s="117" t="s">
        <v>1437</v>
      </c>
      <c r="L1507" s="117" t="str">
        <f t="shared" si="262"/>
        <v>detailed</v>
      </c>
      <c r="M1507" s="117" t="str">
        <f t="shared" si="255"/>
        <v>detailed Mining</v>
      </c>
      <c r="N1507" s="179">
        <v>330000</v>
      </c>
      <c r="O1507" s="179"/>
      <c r="P1507" s="179"/>
      <c r="Q1507" s="179"/>
      <c r="R1507" s="179"/>
      <c r="S1507" s="117" t="s">
        <v>610</v>
      </c>
      <c r="T1507" s="119"/>
      <c r="U1507" s="117"/>
      <c r="V1507" s="117" t="s">
        <v>1146</v>
      </c>
      <c r="W1507" s="89"/>
      <c r="X1507" s="117"/>
      <c r="Y1507" s="89"/>
      <c r="Z1507" s="89"/>
      <c r="AA1507" s="89"/>
      <c r="AB1507" s="89"/>
      <c r="AC1507" s="240"/>
      <c r="AD1507" s="240"/>
      <c r="AE1507" s="240"/>
      <c r="AF1507" s="241"/>
      <c r="AG1507" s="89"/>
      <c r="AH1507" s="124"/>
      <c r="AI1507" s="117"/>
      <c r="AJ1507" s="117"/>
      <c r="AK1507" s="89"/>
      <c r="AL1507" s="117"/>
      <c r="AM1507" s="117"/>
      <c r="AN1507" s="117"/>
      <c r="AO1507" s="117"/>
      <c r="AP1507" s="117"/>
      <c r="AQ1507" s="117"/>
      <c r="AR1507" s="117"/>
      <c r="AS1507" s="117"/>
      <c r="AT1507" s="117"/>
      <c r="AU1507" s="117"/>
      <c r="AV1507" s="128"/>
      <c r="AW1507" s="117">
        <f>VLOOKUP($D1507,'WB Data'!$C$3:$M$578,2,FALSE)</f>
        <v>87985689388.379211</v>
      </c>
      <c r="AX1507" s="117">
        <f>VLOOKUP($D1507,'WB Data'!$C$3:$M$578,3,FALSE)</f>
        <v>28030688</v>
      </c>
      <c r="AY1507" s="847">
        <f t="shared" si="257"/>
        <v>3.3260354954032255E-2</v>
      </c>
      <c r="AZ1507" s="117">
        <f>VLOOKUP($D1507,'WB Data'!$C$3:$M$578,4,FALSE)/100</f>
        <v>0.20121095279864007</v>
      </c>
      <c r="BA1507" s="117">
        <f t="shared" si="258"/>
        <v>17703684394.480976</v>
      </c>
      <c r="BB1507" s="129">
        <f>IFERROR(VLOOKUP($D1507,'EITI Revenues'!$C$2:$G$224,5,FALSE),"..")</f>
        <v>2926435259.9327216</v>
      </c>
      <c r="BC1507" s="846">
        <f t="shared" si="259"/>
        <v>0.16530091673149241</v>
      </c>
      <c r="BD1507" s="129">
        <f>VLOOKUP($D1507,'WB Data 2'!$C$2:$K$545,6,FALSE)</f>
        <v>15893054239.757475</v>
      </c>
      <c r="BE1507" s="129">
        <f>IFERROR(VLOOKUP($D1507,UNCTAD!$C$5:$V$529,4,FALSE),"..")</f>
        <v>26490180000</v>
      </c>
      <c r="BF1507" s="846">
        <f t="shared" si="260"/>
        <v>0.59996022072169664</v>
      </c>
      <c r="BG1507" s="117">
        <f>VLOOKUP($D1507,'WB Data'!$C$3:$M$578,5,FALSE)</f>
        <v>463440000</v>
      </c>
      <c r="BH1507" s="129">
        <f>IFERROR($BB1507/$BG1507,"..")</f>
        <v>6.314593604204906</v>
      </c>
      <c r="BI1507" s="117">
        <f>IFERROR(VLOOKUP($D1507,'WB Data'!$C$3:$M$578,7,FALSE)/100,"..")</f>
        <v>2.5476299999999997E-2</v>
      </c>
      <c r="BJ1507" s="117">
        <f>IFERROR($BI1507*$AW1507,"..")</f>
        <v>2241549818.565165</v>
      </c>
      <c r="BK1507" s="846">
        <f>IFERROR($BB1507/$BJ1507,"..")</f>
        <v>1.3055410304491726</v>
      </c>
      <c r="BL1507" s="117">
        <f>IFERROR(VLOOKUP($D1507,'WB Data'!$C$3:$M$578,7,FALSE)/100,"..")</f>
        <v>2.5476299999999997E-2</v>
      </c>
      <c r="BM1507" s="117">
        <f>IFERROR($AW1507*$BL1507,"..")</f>
        <v>2241549818.565165</v>
      </c>
      <c r="BN1507" s="846">
        <f>IFERROR($BB1507/$BM1507,"..")</f>
        <v>1.3055410304491726</v>
      </c>
      <c r="BO1507" s="801">
        <f t="shared" si="256"/>
        <v>38</v>
      </c>
      <c r="BP1507" s="117">
        <f>VLOOKUP($D1507,'WB Data'!$C$3:$M$578,9,FALSE)</f>
        <v>49.2</v>
      </c>
      <c r="BQ1507" s="117">
        <f>VLOOKUP($D1507,'WB Data'!$C$3:$M$578,10,FALSE)</f>
        <v>72.72097560975611</v>
      </c>
      <c r="BR1507" s="117">
        <f>VLOOKUP($D1507,'WB Data'!$C$3:$M$578,11,FALSE)</f>
        <v>20</v>
      </c>
      <c r="BS1507" s="129">
        <f>IFERROR(VLOOKUP($D1507,'WB Data 2'!$C$2:$K$545,9,FALSE),"..")</f>
        <v>99.710220000000007</v>
      </c>
      <c r="BT1507" s="129">
        <f>_xlfn.IFNA(VLOOKUP($C1507,RGI!$A$2:$C$43,2,FALSE),"..")</f>
        <v>76.8</v>
      </c>
      <c r="BU1507" s="129">
        <f>_xlfn.IFNA(VLOOKUP($C1507,RGI!$A$2:$C$43,3,FALSE),"..")</f>
        <v>72.816147461462435</v>
      </c>
      <c r="BV1507" s="129">
        <f>VLOOKUP($D1507,WGI!$C$2:$O$478,7,FALSE)</f>
        <v>4.6586424280511997E-2</v>
      </c>
      <c r="BW1507" s="129">
        <f>VLOOKUP($D1507,WGI!$C$2:$O$478,4,FALSE)</f>
        <v>-0.85037808720575603</v>
      </c>
      <c r="BX1507" s="129">
        <f>VLOOKUP($D1507,WGI!$C$2:$O$478,3,FALSE)</f>
        <v>-0.58013716140483895</v>
      </c>
      <c r="BY1507" s="129">
        <f>VLOOKUP($D1507,WGI!$C$2:$O$478,5,FALSE)</f>
        <v>0.15895971262752601</v>
      </c>
      <c r="BZ1507" s="129">
        <f>VLOOKUP($D1507,WGI!$C$2:$O$478,2,FALSE)</f>
        <v>-0.216828366148589</v>
      </c>
      <c r="CB1507" s="129"/>
    </row>
    <row r="1508" spans="1:80" s="120" customFormat="1" ht="15" customHeight="1">
      <c r="A1508" s="294" t="s">
        <v>452</v>
      </c>
      <c r="B1508" s="117">
        <v>2006</v>
      </c>
      <c r="C1508" s="117" t="s">
        <v>449</v>
      </c>
      <c r="D1508" s="117" t="s">
        <v>3541</v>
      </c>
      <c r="E1508" s="452" t="s">
        <v>220</v>
      </c>
      <c r="F1508" s="117"/>
      <c r="G1508" s="120" t="s">
        <v>24</v>
      </c>
      <c r="H1508" s="117" t="str">
        <f t="shared" si="261"/>
        <v>yes</v>
      </c>
      <c r="I1508" s="117" t="str">
        <f t="shared" si="253"/>
        <v>no</v>
      </c>
      <c r="J1508" s="117" t="str">
        <f t="shared" si="254"/>
        <v>no</v>
      </c>
      <c r="K1508" s="117" t="s">
        <v>2044</v>
      </c>
      <c r="L1508" s="117" t="str">
        <f t="shared" si="262"/>
        <v>detailed</v>
      </c>
      <c r="M1508" s="117" t="str">
        <f t="shared" si="255"/>
        <v>detailed Mining</v>
      </c>
      <c r="N1508" s="179">
        <v>75390</v>
      </c>
      <c r="O1508" s="179"/>
      <c r="P1508" s="179"/>
      <c r="Q1508" s="179"/>
      <c r="R1508" s="179"/>
      <c r="S1508" s="117" t="s">
        <v>610</v>
      </c>
      <c r="T1508" s="119">
        <f>24.57/0.000453592</f>
        <v>54167.622003915414</v>
      </c>
      <c r="U1508" s="117" t="s">
        <v>611</v>
      </c>
      <c r="V1508" s="117" t="s">
        <v>2045</v>
      </c>
      <c r="W1508" s="89">
        <f>N1508*T1508</f>
        <v>4083697022.8751831</v>
      </c>
      <c r="X1508" s="117"/>
      <c r="Y1508" s="89"/>
      <c r="Z1508" s="89"/>
      <c r="AA1508" s="89"/>
      <c r="AB1508" s="89"/>
      <c r="AC1508" s="240"/>
      <c r="AD1508" s="240"/>
      <c r="AE1508" s="240"/>
      <c r="AF1508" s="241"/>
      <c r="AG1508" s="89"/>
      <c r="AH1508" s="124"/>
      <c r="AI1508" s="117"/>
      <c r="AJ1508" s="117"/>
      <c r="AK1508" s="89"/>
      <c r="AL1508" s="117"/>
      <c r="AM1508" s="117"/>
      <c r="AN1508" s="117"/>
      <c r="AO1508" s="117"/>
      <c r="AP1508" s="117"/>
      <c r="AQ1508" s="117"/>
      <c r="AR1508" s="117"/>
      <c r="AS1508" s="117"/>
      <c r="AT1508" s="117"/>
      <c r="AU1508" s="117"/>
      <c r="AV1508" s="128"/>
      <c r="AW1508" s="117">
        <f>VLOOKUP($D1508,'WB Data'!$C$3:$M$578,2,FALSE)</f>
        <v>87985689388.379211</v>
      </c>
      <c r="AX1508" s="117">
        <f>VLOOKUP($D1508,'WB Data'!$C$3:$M$578,3,FALSE)</f>
        <v>28030688</v>
      </c>
      <c r="AY1508" s="847">
        <f t="shared" si="257"/>
        <v>3.3260354954032255E-2</v>
      </c>
      <c r="AZ1508" s="117">
        <f>VLOOKUP($D1508,'WB Data'!$C$3:$M$578,4,FALSE)/100</f>
        <v>0.20121095279864007</v>
      </c>
      <c r="BA1508" s="117">
        <f t="shared" si="258"/>
        <v>17703684394.480976</v>
      </c>
      <c r="BB1508" s="129">
        <f>IFERROR(VLOOKUP($D1508,'EITI Revenues'!$C$2:$G$224,5,FALSE),"..")</f>
        <v>2926435259.9327216</v>
      </c>
      <c r="BC1508" s="846">
        <f t="shared" si="259"/>
        <v>0.16530091673149241</v>
      </c>
      <c r="BD1508" s="129">
        <f>VLOOKUP($D1508,'WB Data 2'!$C$2:$K$545,6,FALSE)</f>
        <v>15893054239.757475</v>
      </c>
      <c r="BE1508" s="129">
        <f>IFERROR(VLOOKUP($D1508,UNCTAD!$C$5:$V$529,4,FALSE),"..")</f>
        <v>26490180000</v>
      </c>
      <c r="BF1508" s="846">
        <f t="shared" si="260"/>
        <v>0.59996022072169664</v>
      </c>
      <c r="BG1508" s="117">
        <f>VLOOKUP($D1508,'WB Data'!$C$3:$M$578,5,FALSE)</f>
        <v>463440000</v>
      </c>
      <c r="BH1508" s="129">
        <f>IFERROR($BB1508/$BG1508,"..")</f>
        <v>6.314593604204906</v>
      </c>
      <c r="BI1508" s="117">
        <f>IFERROR(VLOOKUP($D1508,'WB Data'!$C$3:$M$578,7,FALSE)/100,"..")</f>
        <v>2.5476299999999997E-2</v>
      </c>
      <c r="BJ1508" s="117">
        <f>IFERROR($BI1508*$AW1508,"..")</f>
        <v>2241549818.565165</v>
      </c>
      <c r="BK1508" s="846">
        <f>IFERROR($BB1508/$BJ1508,"..")</f>
        <v>1.3055410304491726</v>
      </c>
      <c r="BL1508" s="117">
        <f>IFERROR(VLOOKUP($D1508,'WB Data'!$C$3:$M$578,7,FALSE)/100,"..")</f>
        <v>2.5476299999999997E-2</v>
      </c>
      <c r="BM1508" s="117">
        <f>IFERROR($AW1508*$BL1508,"..")</f>
        <v>2241549818.565165</v>
      </c>
      <c r="BN1508" s="846">
        <f>IFERROR($BB1508/$BM1508,"..")</f>
        <v>1.3055410304491726</v>
      </c>
      <c r="BO1508" s="801">
        <f t="shared" si="256"/>
        <v>38</v>
      </c>
      <c r="BP1508" s="117">
        <f>VLOOKUP($D1508,'WB Data'!$C$3:$M$578,9,FALSE)</f>
        <v>49.2</v>
      </c>
      <c r="BQ1508" s="117">
        <f>VLOOKUP($D1508,'WB Data'!$C$3:$M$578,10,FALSE)</f>
        <v>72.72097560975611</v>
      </c>
      <c r="BR1508" s="117">
        <f>VLOOKUP($D1508,'WB Data'!$C$3:$M$578,11,FALSE)</f>
        <v>20</v>
      </c>
      <c r="BS1508" s="129">
        <f>IFERROR(VLOOKUP($D1508,'WB Data 2'!$C$2:$K$545,9,FALSE),"..")</f>
        <v>99.710220000000007</v>
      </c>
      <c r="BT1508" s="129">
        <f>_xlfn.IFNA(VLOOKUP($C1508,RGI!$A$2:$C$43,2,FALSE),"..")</f>
        <v>76.8</v>
      </c>
      <c r="BU1508" s="129">
        <f>_xlfn.IFNA(VLOOKUP($C1508,RGI!$A$2:$C$43,3,FALSE),"..")</f>
        <v>72.816147461462435</v>
      </c>
      <c r="BV1508" s="129">
        <f>VLOOKUP($D1508,WGI!$C$2:$O$478,7,FALSE)</f>
        <v>4.6586424280511997E-2</v>
      </c>
      <c r="BW1508" s="129">
        <f>VLOOKUP($D1508,WGI!$C$2:$O$478,4,FALSE)</f>
        <v>-0.85037808720575603</v>
      </c>
      <c r="BX1508" s="129">
        <f>VLOOKUP($D1508,WGI!$C$2:$O$478,3,FALSE)</f>
        <v>-0.58013716140483895</v>
      </c>
      <c r="BY1508" s="129">
        <f>VLOOKUP($D1508,WGI!$C$2:$O$478,5,FALSE)</f>
        <v>0.15895971262752601</v>
      </c>
      <c r="BZ1508" s="129">
        <f>VLOOKUP($D1508,WGI!$C$2:$O$478,2,FALSE)</f>
        <v>-0.216828366148589</v>
      </c>
      <c r="CB1508" s="129"/>
    </row>
    <row r="1509" spans="1:80" s="120" customFormat="1" ht="15" customHeight="1">
      <c r="A1509" s="294" t="s">
        <v>452</v>
      </c>
      <c r="B1509" s="117">
        <v>2006</v>
      </c>
      <c r="C1509" s="117" t="s">
        <v>449</v>
      </c>
      <c r="D1509" s="117" t="s">
        <v>3541</v>
      </c>
      <c r="E1509" s="452" t="s">
        <v>220</v>
      </c>
      <c r="F1509" s="117"/>
      <c r="G1509" s="120" t="s">
        <v>24</v>
      </c>
      <c r="H1509" s="117" t="str">
        <f t="shared" si="261"/>
        <v>yes</v>
      </c>
      <c r="I1509" s="117" t="str">
        <f t="shared" si="253"/>
        <v>no</v>
      </c>
      <c r="J1509" s="117" t="str">
        <f t="shared" si="254"/>
        <v>no</v>
      </c>
      <c r="K1509" s="117" t="s">
        <v>789</v>
      </c>
      <c r="L1509" s="117" t="str">
        <f t="shared" si="262"/>
        <v>detailed</v>
      </c>
      <c r="M1509" s="117" t="str">
        <f t="shared" si="255"/>
        <v>detailed Mining</v>
      </c>
      <c r="N1509" s="179">
        <f>3471*32150.7466</f>
        <v>111595241.44859999</v>
      </c>
      <c r="O1509" s="179"/>
      <c r="P1509" s="179"/>
      <c r="Q1509" s="179"/>
      <c r="R1509" s="179"/>
      <c r="S1509" s="117" t="s">
        <v>785</v>
      </c>
      <c r="T1509" s="119">
        <f>11.55923333333/1</f>
        <v>11.559233333330001</v>
      </c>
      <c r="U1509" s="117" t="s">
        <v>786</v>
      </c>
      <c r="V1509" s="117" t="s">
        <v>1149</v>
      </c>
      <c r="W1509" s="89">
        <f>N1509*T1509</f>
        <v>1289955434.7936668</v>
      </c>
      <c r="X1509" s="117"/>
      <c r="Y1509" s="89"/>
      <c r="Z1509" s="89"/>
      <c r="AA1509" s="89"/>
      <c r="AB1509" s="89"/>
      <c r="AC1509" s="240" t="s">
        <v>2068</v>
      </c>
      <c r="AD1509" s="240"/>
      <c r="AE1509" s="240"/>
      <c r="AF1509" s="241"/>
      <c r="AG1509" s="89"/>
      <c r="AH1509" s="124"/>
      <c r="AI1509" s="117"/>
      <c r="AJ1509" s="117"/>
      <c r="AK1509" s="89"/>
      <c r="AL1509" s="117"/>
      <c r="AM1509" s="117"/>
      <c r="AN1509" s="117">
        <v>16</v>
      </c>
      <c r="AO1509" s="117" t="s">
        <v>2047</v>
      </c>
      <c r="AP1509" s="117">
        <v>16</v>
      </c>
      <c r="AQ1509" s="117"/>
      <c r="AR1509" s="117"/>
      <c r="AS1509" s="117"/>
      <c r="AT1509" s="117"/>
      <c r="AU1509" s="117"/>
      <c r="AV1509" s="128"/>
      <c r="AW1509" s="117">
        <f>VLOOKUP($D1509,'WB Data'!$C$3:$M$578,2,FALSE)</f>
        <v>87985689388.379211</v>
      </c>
      <c r="AX1509" s="117">
        <f>VLOOKUP($D1509,'WB Data'!$C$3:$M$578,3,FALSE)</f>
        <v>28030688</v>
      </c>
      <c r="AY1509" s="847">
        <f t="shared" si="257"/>
        <v>3.3260354954032255E-2</v>
      </c>
      <c r="AZ1509" s="117">
        <f>VLOOKUP($D1509,'WB Data'!$C$3:$M$578,4,FALSE)/100</f>
        <v>0.20121095279864007</v>
      </c>
      <c r="BA1509" s="117">
        <f t="shared" si="258"/>
        <v>17703684394.480976</v>
      </c>
      <c r="BB1509" s="129">
        <f>IFERROR(VLOOKUP($D1509,'EITI Revenues'!$C$2:$G$224,5,FALSE),"..")</f>
        <v>2926435259.9327216</v>
      </c>
      <c r="BC1509" s="846">
        <f t="shared" si="259"/>
        <v>0.16530091673149241</v>
      </c>
      <c r="BD1509" s="129">
        <f>VLOOKUP($D1509,'WB Data 2'!$C$2:$K$545,6,FALSE)</f>
        <v>15893054239.757475</v>
      </c>
      <c r="BE1509" s="129">
        <f>IFERROR(VLOOKUP($D1509,UNCTAD!$C$5:$V$529,4,FALSE),"..")</f>
        <v>26490180000</v>
      </c>
      <c r="BF1509" s="846">
        <f t="shared" si="260"/>
        <v>0.59996022072169664</v>
      </c>
      <c r="BG1509" s="117">
        <f>VLOOKUP($D1509,'WB Data'!$C$3:$M$578,5,FALSE)</f>
        <v>463440000</v>
      </c>
      <c r="BH1509" s="129">
        <f>IFERROR($BB1509/$BG1509,"..")</f>
        <v>6.314593604204906</v>
      </c>
      <c r="BI1509" s="117">
        <f>IFERROR(VLOOKUP($D1509,'WB Data'!$C$3:$M$578,7,FALSE)/100,"..")</f>
        <v>2.5476299999999997E-2</v>
      </c>
      <c r="BJ1509" s="117">
        <f>IFERROR($BI1509*$AW1509,"..")</f>
        <v>2241549818.565165</v>
      </c>
      <c r="BK1509" s="846">
        <f>IFERROR($BB1509/$BJ1509,"..")</f>
        <v>1.3055410304491726</v>
      </c>
      <c r="BL1509" s="117">
        <f>IFERROR(VLOOKUP($D1509,'WB Data'!$C$3:$M$578,7,FALSE)/100,"..")</f>
        <v>2.5476299999999997E-2</v>
      </c>
      <c r="BM1509" s="117">
        <f>IFERROR($AW1509*$BL1509,"..")</f>
        <v>2241549818.565165</v>
      </c>
      <c r="BN1509" s="846">
        <f>IFERROR($BB1509/$BM1509,"..")</f>
        <v>1.3055410304491726</v>
      </c>
      <c r="BO1509" s="801">
        <f t="shared" si="256"/>
        <v>38</v>
      </c>
      <c r="BP1509" s="117">
        <f>VLOOKUP($D1509,'WB Data'!$C$3:$M$578,9,FALSE)</f>
        <v>49.2</v>
      </c>
      <c r="BQ1509" s="117">
        <f>VLOOKUP($D1509,'WB Data'!$C$3:$M$578,10,FALSE)</f>
        <v>72.72097560975611</v>
      </c>
      <c r="BR1509" s="117">
        <f>VLOOKUP($D1509,'WB Data'!$C$3:$M$578,11,FALSE)</f>
        <v>20</v>
      </c>
      <c r="BS1509" s="129">
        <f>IFERROR(VLOOKUP($D1509,'WB Data 2'!$C$2:$K$545,9,FALSE),"..")</f>
        <v>99.710220000000007</v>
      </c>
      <c r="BT1509" s="129">
        <f>_xlfn.IFNA(VLOOKUP($C1509,RGI!$A$2:$C$43,2,FALSE),"..")</f>
        <v>76.8</v>
      </c>
      <c r="BU1509" s="129">
        <f>_xlfn.IFNA(VLOOKUP($C1509,RGI!$A$2:$C$43,3,FALSE),"..")</f>
        <v>72.816147461462435</v>
      </c>
      <c r="BV1509" s="129">
        <f>VLOOKUP($D1509,WGI!$C$2:$O$478,7,FALSE)</f>
        <v>4.6586424280511997E-2</v>
      </c>
      <c r="BW1509" s="129">
        <f>VLOOKUP($D1509,WGI!$C$2:$O$478,4,FALSE)</f>
        <v>-0.85037808720575603</v>
      </c>
      <c r="BX1509" s="129">
        <f>VLOOKUP($D1509,WGI!$C$2:$O$478,3,FALSE)</f>
        <v>-0.58013716140483895</v>
      </c>
      <c r="BY1509" s="129">
        <f>VLOOKUP($D1509,WGI!$C$2:$O$478,5,FALSE)</f>
        <v>0.15895971262752601</v>
      </c>
      <c r="BZ1509" s="129">
        <f>VLOOKUP($D1509,WGI!$C$2:$O$478,2,FALSE)</f>
        <v>-0.216828366148589</v>
      </c>
      <c r="CB1509" s="129"/>
    </row>
    <row r="1510" spans="1:80" s="120" customFormat="1" ht="15" customHeight="1">
      <c r="A1510" s="294" t="s">
        <v>452</v>
      </c>
      <c r="B1510" s="117">
        <v>2006</v>
      </c>
      <c r="C1510" s="117" t="s">
        <v>449</v>
      </c>
      <c r="D1510" s="117" t="s">
        <v>3541</v>
      </c>
      <c r="E1510" s="452" t="s">
        <v>220</v>
      </c>
      <c r="F1510" s="117"/>
      <c r="G1510" s="120" t="s">
        <v>24</v>
      </c>
      <c r="H1510" s="117" t="str">
        <f t="shared" si="261"/>
        <v>yes</v>
      </c>
      <c r="I1510" s="117" t="str">
        <f t="shared" si="253"/>
        <v>no</v>
      </c>
      <c r="J1510" s="117" t="str">
        <f t="shared" si="254"/>
        <v>no</v>
      </c>
      <c r="K1510" s="117" t="s">
        <v>2048</v>
      </c>
      <c r="L1510" s="117" t="str">
        <f t="shared" si="262"/>
        <v>detailed</v>
      </c>
      <c r="M1510" s="117" t="str">
        <f t="shared" si="255"/>
        <v>detailed Mining</v>
      </c>
      <c r="N1510" s="179">
        <v>100</v>
      </c>
      <c r="O1510" s="179"/>
      <c r="P1510" s="179"/>
      <c r="Q1510" s="179"/>
      <c r="R1510" s="179"/>
      <c r="S1510" s="117" t="s">
        <v>610</v>
      </c>
      <c r="T1510" s="119"/>
      <c r="U1510" s="117"/>
      <c r="V1510" s="117" t="s">
        <v>1146</v>
      </c>
      <c r="W1510" s="89"/>
      <c r="Y1510" s="89"/>
      <c r="Z1510" s="89"/>
      <c r="AA1510" s="89"/>
      <c r="AB1510" s="89"/>
      <c r="AC1510" s="240"/>
      <c r="AD1510" s="240"/>
      <c r="AE1510" s="240"/>
      <c r="AF1510" s="241"/>
      <c r="AG1510" s="89"/>
      <c r="AH1510" s="124"/>
      <c r="AI1510" s="117"/>
      <c r="AJ1510" s="117"/>
      <c r="AK1510" s="89"/>
      <c r="AL1510" s="117"/>
      <c r="AM1510" s="117"/>
      <c r="AN1510" s="117"/>
      <c r="AO1510" s="117"/>
      <c r="AP1510" s="117"/>
      <c r="AQ1510" s="117"/>
      <c r="AR1510" s="117"/>
      <c r="AS1510" s="117"/>
      <c r="AT1510" s="117"/>
      <c r="AU1510" s="117"/>
      <c r="AV1510" s="128"/>
      <c r="AW1510" s="117">
        <f>VLOOKUP($D1510,'WB Data'!$C$3:$M$578,2,FALSE)</f>
        <v>87985689388.379211</v>
      </c>
      <c r="AX1510" s="117">
        <f>VLOOKUP($D1510,'WB Data'!$C$3:$M$578,3,FALSE)</f>
        <v>28030688</v>
      </c>
      <c r="AY1510" s="847">
        <f t="shared" si="257"/>
        <v>3.3260354954032255E-2</v>
      </c>
      <c r="AZ1510" s="117">
        <f>VLOOKUP($D1510,'WB Data'!$C$3:$M$578,4,FALSE)/100</f>
        <v>0.20121095279864007</v>
      </c>
      <c r="BA1510" s="117">
        <f t="shared" si="258"/>
        <v>17703684394.480976</v>
      </c>
      <c r="BB1510" s="129">
        <f>IFERROR(VLOOKUP($D1510,'EITI Revenues'!$C$2:$G$224,5,FALSE),"..")</f>
        <v>2926435259.9327216</v>
      </c>
      <c r="BC1510" s="846">
        <f t="shared" si="259"/>
        <v>0.16530091673149241</v>
      </c>
      <c r="BD1510" s="129">
        <f>VLOOKUP($D1510,'WB Data 2'!$C$2:$K$545,6,FALSE)</f>
        <v>15893054239.757475</v>
      </c>
      <c r="BE1510" s="129">
        <f>IFERROR(VLOOKUP($D1510,UNCTAD!$C$5:$V$529,4,FALSE),"..")</f>
        <v>26490180000</v>
      </c>
      <c r="BF1510" s="846">
        <f t="shared" si="260"/>
        <v>0.59996022072169664</v>
      </c>
      <c r="BG1510" s="117">
        <f>VLOOKUP($D1510,'WB Data'!$C$3:$M$578,5,FALSE)</f>
        <v>463440000</v>
      </c>
      <c r="BH1510" s="129">
        <f>IFERROR($BB1510/$BG1510,"..")</f>
        <v>6.314593604204906</v>
      </c>
      <c r="BI1510" s="117">
        <f>IFERROR(VLOOKUP($D1510,'WB Data'!$C$3:$M$578,7,FALSE)/100,"..")</f>
        <v>2.5476299999999997E-2</v>
      </c>
      <c r="BJ1510" s="117">
        <f>IFERROR($BI1510*$AW1510,"..")</f>
        <v>2241549818.565165</v>
      </c>
      <c r="BK1510" s="846">
        <f>IFERROR($BB1510/$BJ1510,"..")</f>
        <v>1.3055410304491726</v>
      </c>
      <c r="BL1510" s="117">
        <f>IFERROR(VLOOKUP($D1510,'WB Data'!$C$3:$M$578,7,FALSE)/100,"..")</f>
        <v>2.5476299999999997E-2</v>
      </c>
      <c r="BM1510" s="117">
        <f>IFERROR($AW1510*$BL1510,"..")</f>
        <v>2241549818.565165</v>
      </c>
      <c r="BN1510" s="846">
        <f>IFERROR($BB1510/$BM1510,"..")</f>
        <v>1.3055410304491726</v>
      </c>
      <c r="BO1510" s="801">
        <f t="shared" si="256"/>
        <v>38</v>
      </c>
      <c r="BP1510" s="117">
        <f>VLOOKUP($D1510,'WB Data'!$C$3:$M$578,9,FALSE)</f>
        <v>49.2</v>
      </c>
      <c r="BQ1510" s="117">
        <f>VLOOKUP($D1510,'WB Data'!$C$3:$M$578,10,FALSE)</f>
        <v>72.72097560975611</v>
      </c>
      <c r="BR1510" s="117">
        <f>VLOOKUP($D1510,'WB Data'!$C$3:$M$578,11,FALSE)</f>
        <v>20</v>
      </c>
      <c r="BS1510" s="129">
        <f>IFERROR(VLOOKUP($D1510,'WB Data 2'!$C$2:$K$545,9,FALSE),"..")</f>
        <v>99.710220000000007</v>
      </c>
      <c r="BT1510" s="129">
        <f>_xlfn.IFNA(VLOOKUP($C1510,RGI!$A$2:$C$43,2,FALSE),"..")</f>
        <v>76.8</v>
      </c>
      <c r="BU1510" s="129">
        <f>_xlfn.IFNA(VLOOKUP($C1510,RGI!$A$2:$C$43,3,FALSE),"..")</f>
        <v>72.816147461462435</v>
      </c>
      <c r="BV1510" s="129">
        <f>VLOOKUP($D1510,WGI!$C$2:$O$478,7,FALSE)</f>
        <v>4.6586424280511997E-2</v>
      </c>
      <c r="BW1510" s="129">
        <f>VLOOKUP($D1510,WGI!$C$2:$O$478,4,FALSE)</f>
        <v>-0.85037808720575603</v>
      </c>
      <c r="BX1510" s="129">
        <f>VLOOKUP($D1510,WGI!$C$2:$O$478,3,FALSE)</f>
        <v>-0.58013716140483895</v>
      </c>
      <c r="BY1510" s="129">
        <f>VLOOKUP($D1510,WGI!$C$2:$O$478,5,FALSE)</f>
        <v>0.15895971262752601</v>
      </c>
      <c r="BZ1510" s="129">
        <f>VLOOKUP($D1510,WGI!$C$2:$O$478,2,FALSE)</f>
        <v>-0.216828366148589</v>
      </c>
      <c r="CB1510" s="129"/>
    </row>
    <row r="1511" spans="1:80" s="120" customFormat="1" ht="15" customHeight="1">
      <c r="A1511" s="294" t="s">
        <v>452</v>
      </c>
      <c r="B1511" s="117">
        <v>2006</v>
      </c>
      <c r="C1511" s="117" t="s">
        <v>449</v>
      </c>
      <c r="D1511" s="117" t="s">
        <v>3541</v>
      </c>
      <c r="E1511" s="452" t="s">
        <v>220</v>
      </c>
      <c r="F1511" s="117"/>
      <c r="G1511" s="120" t="s">
        <v>24</v>
      </c>
      <c r="H1511" s="117" t="str">
        <f t="shared" si="261"/>
        <v>yes</v>
      </c>
      <c r="I1511" s="117" t="str">
        <f t="shared" si="253"/>
        <v>no</v>
      </c>
      <c r="J1511" s="117" t="str">
        <f t="shared" si="254"/>
        <v>no</v>
      </c>
      <c r="K1511" s="117" t="s">
        <v>2049</v>
      </c>
      <c r="L1511" s="117" t="str">
        <f t="shared" si="262"/>
        <v>detailed</v>
      </c>
      <c r="M1511" s="117" t="str">
        <f t="shared" si="255"/>
        <v>detailed Mining</v>
      </c>
      <c r="N1511" s="179">
        <v>623000</v>
      </c>
      <c r="O1511" s="179"/>
      <c r="P1511" s="179"/>
      <c r="Q1511" s="179"/>
      <c r="R1511" s="179"/>
      <c r="S1511" s="117" t="s">
        <v>610</v>
      </c>
      <c r="T1511" s="119"/>
      <c r="U1511" s="117"/>
      <c r="V1511" s="117" t="s">
        <v>1146</v>
      </c>
      <c r="W1511" s="89"/>
      <c r="Y1511" s="89"/>
      <c r="Z1511" s="89"/>
      <c r="AA1511" s="89"/>
      <c r="AB1511" s="89"/>
      <c r="AC1511" s="240"/>
      <c r="AD1511" s="240"/>
      <c r="AE1511" s="240"/>
      <c r="AF1511" s="241"/>
      <c r="AG1511" s="89"/>
      <c r="AH1511" s="124"/>
      <c r="AI1511" s="117"/>
      <c r="AJ1511" s="117"/>
      <c r="AK1511" s="89"/>
      <c r="AL1511" s="117"/>
      <c r="AM1511" s="117"/>
      <c r="AN1511" s="117"/>
      <c r="AO1511" s="117"/>
      <c r="AP1511" s="117"/>
      <c r="AQ1511" s="117"/>
      <c r="AR1511" s="117"/>
      <c r="AS1511" s="117"/>
      <c r="AT1511" s="117"/>
      <c r="AU1511" s="117"/>
      <c r="AV1511" s="128"/>
      <c r="AW1511" s="117">
        <f>VLOOKUP($D1511,'WB Data'!$C$3:$M$578,2,FALSE)</f>
        <v>87985689388.379211</v>
      </c>
      <c r="AX1511" s="117">
        <f>VLOOKUP($D1511,'WB Data'!$C$3:$M$578,3,FALSE)</f>
        <v>28030688</v>
      </c>
      <c r="AY1511" s="847">
        <f t="shared" si="257"/>
        <v>3.3260354954032255E-2</v>
      </c>
      <c r="AZ1511" s="117">
        <f>VLOOKUP($D1511,'WB Data'!$C$3:$M$578,4,FALSE)/100</f>
        <v>0.20121095279864007</v>
      </c>
      <c r="BA1511" s="117">
        <f t="shared" si="258"/>
        <v>17703684394.480976</v>
      </c>
      <c r="BB1511" s="129">
        <f>IFERROR(VLOOKUP($D1511,'EITI Revenues'!$C$2:$G$224,5,FALSE),"..")</f>
        <v>2926435259.9327216</v>
      </c>
      <c r="BC1511" s="846">
        <f t="shared" si="259"/>
        <v>0.16530091673149241</v>
      </c>
      <c r="BD1511" s="129">
        <f>VLOOKUP($D1511,'WB Data 2'!$C$2:$K$545,6,FALSE)</f>
        <v>15893054239.757475</v>
      </c>
      <c r="BE1511" s="129">
        <f>IFERROR(VLOOKUP($D1511,UNCTAD!$C$5:$V$529,4,FALSE),"..")</f>
        <v>26490180000</v>
      </c>
      <c r="BF1511" s="846">
        <f t="shared" si="260"/>
        <v>0.59996022072169664</v>
      </c>
      <c r="BG1511" s="117">
        <f>VLOOKUP($D1511,'WB Data'!$C$3:$M$578,5,FALSE)</f>
        <v>463440000</v>
      </c>
      <c r="BH1511" s="129">
        <f>IFERROR($BB1511/$BG1511,"..")</f>
        <v>6.314593604204906</v>
      </c>
      <c r="BI1511" s="117">
        <f>IFERROR(VLOOKUP($D1511,'WB Data'!$C$3:$M$578,7,FALSE)/100,"..")</f>
        <v>2.5476299999999997E-2</v>
      </c>
      <c r="BJ1511" s="117">
        <f>IFERROR($BI1511*$AW1511,"..")</f>
        <v>2241549818.565165</v>
      </c>
      <c r="BK1511" s="846">
        <f>IFERROR($BB1511/$BJ1511,"..")</f>
        <v>1.3055410304491726</v>
      </c>
      <c r="BL1511" s="117">
        <f>IFERROR(VLOOKUP($D1511,'WB Data'!$C$3:$M$578,7,FALSE)/100,"..")</f>
        <v>2.5476299999999997E-2</v>
      </c>
      <c r="BM1511" s="117">
        <f>IFERROR($AW1511*$BL1511,"..")</f>
        <v>2241549818.565165</v>
      </c>
      <c r="BN1511" s="846">
        <f>IFERROR($BB1511/$BM1511,"..")</f>
        <v>1.3055410304491726</v>
      </c>
      <c r="BO1511" s="801">
        <f t="shared" si="256"/>
        <v>38</v>
      </c>
      <c r="BP1511" s="117">
        <f>VLOOKUP($D1511,'WB Data'!$C$3:$M$578,9,FALSE)</f>
        <v>49.2</v>
      </c>
      <c r="BQ1511" s="117">
        <f>VLOOKUP($D1511,'WB Data'!$C$3:$M$578,10,FALSE)</f>
        <v>72.72097560975611</v>
      </c>
      <c r="BR1511" s="117">
        <f>VLOOKUP($D1511,'WB Data'!$C$3:$M$578,11,FALSE)</f>
        <v>20</v>
      </c>
      <c r="BS1511" s="129">
        <f>IFERROR(VLOOKUP($D1511,'WB Data 2'!$C$2:$K$545,9,FALSE),"..")</f>
        <v>99.710220000000007</v>
      </c>
      <c r="BT1511" s="129">
        <f>_xlfn.IFNA(VLOOKUP($C1511,RGI!$A$2:$C$43,2,FALSE),"..")</f>
        <v>76.8</v>
      </c>
      <c r="BU1511" s="129">
        <f>_xlfn.IFNA(VLOOKUP($C1511,RGI!$A$2:$C$43,3,FALSE),"..")</f>
        <v>72.816147461462435</v>
      </c>
      <c r="BV1511" s="129">
        <f>VLOOKUP($D1511,WGI!$C$2:$O$478,7,FALSE)</f>
        <v>4.6586424280511997E-2</v>
      </c>
      <c r="BW1511" s="129">
        <f>VLOOKUP($D1511,WGI!$C$2:$O$478,4,FALSE)</f>
        <v>-0.85037808720575603</v>
      </c>
      <c r="BX1511" s="129">
        <f>VLOOKUP($D1511,WGI!$C$2:$O$478,3,FALSE)</f>
        <v>-0.58013716140483895</v>
      </c>
      <c r="BY1511" s="129">
        <f>VLOOKUP($D1511,WGI!$C$2:$O$478,5,FALSE)</f>
        <v>0.15895971262752601</v>
      </c>
      <c r="BZ1511" s="129">
        <f>VLOOKUP($D1511,WGI!$C$2:$O$478,2,FALSE)</f>
        <v>-0.216828366148589</v>
      </c>
      <c r="CB1511" s="129"/>
    </row>
    <row r="1512" spans="1:80" s="120" customFormat="1" ht="15" customHeight="1">
      <c r="A1512" s="294" t="s">
        <v>452</v>
      </c>
      <c r="B1512" s="117">
        <v>2006</v>
      </c>
      <c r="C1512" s="117" t="s">
        <v>449</v>
      </c>
      <c r="D1512" s="117" t="s">
        <v>3541</v>
      </c>
      <c r="E1512" s="452" t="s">
        <v>220</v>
      </c>
      <c r="F1512" s="117"/>
      <c r="G1512" s="120" t="s">
        <v>24</v>
      </c>
      <c r="H1512" s="117" t="str">
        <f t="shared" si="261"/>
        <v>yes</v>
      </c>
      <c r="I1512" s="117" t="str">
        <f t="shared" si="253"/>
        <v>no</v>
      </c>
      <c r="J1512" s="117" t="str">
        <f t="shared" si="254"/>
        <v>no</v>
      </c>
      <c r="K1512" s="117" t="s">
        <v>2050</v>
      </c>
      <c r="L1512" s="117" t="str">
        <f t="shared" si="262"/>
        <v>detailed</v>
      </c>
      <c r="M1512" s="117" t="str">
        <f t="shared" si="255"/>
        <v>detailed Mining</v>
      </c>
      <c r="N1512" s="179">
        <v>37000</v>
      </c>
      <c r="O1512" s="179"/>
      <c r="P1512" s="179"/>
      <c r="Q1512" s="179"/>
      <c r="R1512" s="179"/>
      <c r="S1512" s="117" t="s">
        <v>610</v>
      </c>
      <c r="T1512" s="119">
        <v>89000</v>
      </c>
      <c r="U1512" s="117" t="s">
        <v>611</v>
      </c>
      <c r="V1512" s="117" t="s">
        <v>2051</v>
      </c>
      <c r="W1512" s="89">
        <f>N1512*T1512</f>
        <v>3293000000</v>
      </c>
      <c r="Y1512" s="89"/>
      <c r="Z1512" s="89"/>
      <c r="AA1512" s="89"/>
      <c r="AB1512" s="89"/>
      <c r="AC1512" s="240"/>
      <c r="AD1512" s="240"/>
      <c r="AE1512" s="240"/>
      <c r="AF1512" s="241"/>
      <c r="AG1512" s="89"/>
      <c r="AH1512" s="124"/>
      <c r="AI1512" s="117"/>
      <c r="AJ1512" s="117"/>
      <c r="AK1512" s="89"/>
      <c r="AL1512" s="117"/>
      <c r="AM1512" s="117"/>
      <c r="AN1512" s="117"/>
      <c r="AO1512" s="117"/>
      <c r="AP1512" s="117"/>
      <c r="AQ1512" s="117"/>
      <c r="AR1512" s="117"/>
      <c r="AS1512" s="117"/>
      <c r="AT1512" s="117"/>
      <c r="AU1512" s="117"/>
      <c r="AV1512" s="128"/>
      <c r="AW1512" s="117">
        <f>VLOOKUP($D1512,'WB Data'!$C$3:$M$578,2,FALSE)</f>
        <v>87985689388.379211</v>
      </c>
      <c r="AX1512" s="117">
        <f>VLOOKUP($D1512,'WB Data'!$C$3:$M$578,3,FALSE)</f>
        <v>28030688</v>
      </c>
      <c r="AY1512" s="847">
        <f t="shared" si="257"/>
        <v>3.3260354954032255E-2</v>
      </c>
      <c r="AZ1512" s="117">
        <f>VLOOKUP($D1512,'WB Data'!$C$3:$M$578,4,FALSE)/100</f>
        <v>0.20121095279864007</v>
      </c>
      <c r="BA1512" s="117">
        <f t="shared" si="258"/>
        <v>17703684394.480976</v>
      </c>
      <c r="BB1512" s="129">
        <f>IFERROR(VLOOKUP($D1512,'EITI Revenues'!$C$2:$G$224,5,FALSE),"..")</f>
        <v>2926435259.9327216</v>
      </c>
      <c r="BC1512" s="846">
        <f t="shared" si="259"/>
        <v>0.16530091673149241</v>
      </c>
      <c r="BD1512" s="129">
        <f>VLOOKUP($D1512,'WB Data 2'!$C$2:$K$545,6,FALSE)</f>
        <v>15893054239.757475</v>
      </c>
      <c r="BE1512" s="129">
        <f>IFERROR(VLOOKUP($D1512,UNCTAD!$C$5:$V$529,4,FALSE),"..")</f>
        <v>26490180000</v>
      </c>
      <c r="BF1512" s="846">
        <f t="shared" si="260"/>
        <v>0.59996022072169664</v>
      </c>
      <c r="BG1512" s="117">
        <f>VLOOKUP($D1512,'WB Data'!$C$3:$M$578,5,FALSE)</f>
        <v>463440000</v>
      </c>
      <c r="BH1512" s="129">
        <f>IFERROR($BB1512/$BG1512,"..")</f>
        <v>6.314593604204906</v>
      </c>
      <c r="BI1512" s="117">
        <f>IFERROR(VLOOKUP($D1512,'WB Data'!$C$3:$M$578,7,FALSE)/100,"..")</f>
        <v>2.5476299999999997E-2</v>
      </c>
      <c r="BJ1512" s="117">
        <f>IFERROR($BI1512*$AW1512,"..")</f>
        <v>2241549818.565165</v>
      </c>
      <c r="BK1512" s="846">
        <f>IFERROR($BB1512/$BJ1512,"..")</f>
        <v>1.3055410304491726</v>
      </c>
      <c r="BL1512" s="117">
        <f>IFERROR(VLOOKUP($D1512,'WB Data'!$C$3:$M$578,7,FALSE)/100,"..")</f>
        <v>2.5476299999999997E-2</v>
      </c>
      <c r="BM1512" s="117">
        <f>IFERROR($AW1512*$BL1512,"..")</f>
        <v>2241549818.565165</v>
      </c>
      <c r="BN1512" s="846">
        <f>IFERROR($BB1512/$BM1512,"..")</f>
        <v>1.3055410304491726</v>
      </c>
      <c r="BO1512" s="801">
        <f t="shared" si="256"/>
        <v>38</v>
      </c>
      <c r="BP1512" s="117">
        <f>VLOOKUP($D1512,'WB Data'!$C$3:$M$578,9,FALSE)</f>
        <v>49.2</v>
      </c>
      <c r="BQ1512" s="117">
        <f>VLOOKUP($D1512,'WB Data'!$C$3:$M$578,10,FALSE)</f>
        <v>72.72097560975611</v>
      </c>
      <c r="BR1512" s="117">
        <f>VLOOKUP($D1512,'WB Data'!$C$3:$M$578,11,FALSE)</f>
        <v>20</v>
      </c>
      <c r="BS1512" s="129">
        <f>IFERROR(VLOOKUP($D1512,'WB Data 2'!$C$2:$K$545,9,FALSE),"..")</f>
        <v>99.710220000000007</v>
      </c>
      <c r="BT1512" s="129">
        <f>_xlfn.IFNA(VLOOKUP($C1512,RGI!$A$2:$C$43,2,FALSE),"..")</f>
        <v>76.8</v>
      </c>
      <c r="BU1512" s="129">
        <f>_xlfn.IFNA(VLOOKUP($C1512,RGI!$A$2:$C$43,3,FALSE),"..")</f>
        <v>72.816147461462435</v>
      </c>
      <c r="BV1512" s="129">
        <f>VLOOKUP($D1512,WGI!$C$2:$O$478,7,FALSE)</f>
        <v>4.6586424280511997E-2</v>
      </c>
      <c r="BW1512" s="129">
        <f>VLOOKUP($D1512,WGI!$C$2:$O$478,4,FALSE)</f>
        <v>-0.85037808720575603</v>
      </c>
      <c r="BX1512" s="129">
        <f>VLOOKUP($D1512,WGI!$C$2:$O$478,3,FALSE)</f>
        <v>-0.58013716140483895</v>
      </c>
      <c r="BY1512" s="129">
        <f>VLOOKUP($D1512,WGI!$C$2:$O$478,5,FALSE)</f>
        <v>0.15895971262752601</v>
      </c>
      <c r="BZ1512" s="129">
        <f>VLOOKUP($D1512,WGI!$C$2:$O$478,2,FALSE)</f>
        <v>-0.216828366148589</v>
      </c>
      <c r="CB1512" s="129"/>
    </row>
    <row r="1513" spans="1:80" s="120" customFormat="1" ht="15" customHeight="1">
      <c r="A1513" s="294" t="s">
        <v>452</v>
      </c>
      <c r="B1513" s="117">
        <v>2006</v>
      </c>
      <c r="C1513" s="117" t="s">
        <v>449</v>
      </c>
      <c r="D1513" s="117" t="s">
        <v>3541</v>
      </c>
      <c r="E1513" s="452" t="s">
        <v>220</v>
      </c>
      <c r="F1513" s="117"/>
      <c r="G1513" s="120" t="s">
        <v>24</v>
      </c>
      <c r="H1513" s="117" t="str">
        <f t="shared" si="261"/>
        <v>yes</v>
      </c>
      <c r="I1513" s="117" t="str">
        <f t="shared" si="253"/>
        <v>no</v>
      </c>
      <c r="J1513" s="117" t="str">
        <f t="shared" si="254"/>
        <v>no</v>
      </c>
      <c r="K1513" s="117" t="s">
        <v>1332</v>
      </c>
      <c r="L1513" s="117" t="str">
        <f t="shared" si="262"/>
        <v>detailed</v>
      </c>
      <c r="M1513" s="117" t="str">
        <f t="shared" si="255"/>
        <v>detailed Mining</v>
      </c>
      <c r="N1513" s="179"/>
      <c r="O1513" s="179"/>
      <c r="P1513" s="179"/>
      <c r="Q1513" s="179"/>
      <c r="R1513" s="179"/>
      <c r="S1513" s="117"/>
      <c r="T1513" s="186">
        <f>8780.82533333333</f>
        <v>8780.8253333333305</v>
      </c>
      <c r="U1513" s="117" t="s">
        <v>611</v>
      </c>
      <c r="V1513" s="117" t="s">
        <v>1333</v>
      </c>
      <c r="W1513" s="89">
        <f>N1515*T1513</f>
        <v>355579521.87333322</v>
      </c>
      <c r="X1513" s="117"/>
      <c r="Y1513" s="117"/>
      <c r="Z1513" s="117"/>
      <c r="AA1513" s="117"/>
      <c r="AB1513" s="117"/>
      <c r="AC1513" s="240" t="s">
        <v>2052</v>
      </c>
      <c r="AD1513" s="240"/>
      <c r="AE1513" s="240"/>
      <c r="AF1513" s="241"/>
      <c r="AG1513" s="117"/>
      <c r="AH1513" s="124"/>
      <c r="AI1513" s="117"/>
      <c r="AJ1513" s="117"/>
      <c r="AK1513" s="89"/>
      <c r="AL1513" s="117"/>
      <c r="AM1513" s="117"/>
      <c r="AN1513" s="117">
        <v>1</v>
      </c>
      <c r="AO1513" s="117" t="s">
        <v>2053</v>
      </c>
      <c r="AP1513" s="117">
        <v>1</v>
      </c>
      <c r="AQ1513" s="117"/>
      <c r="AR1513" s="117"/>
      <c r="AS1513" s="117"/>
      <c r="AT1513" s="117"/>
      <c r="AU1513" s="117"/>
      <c r="AV1513" s="128"/>
      <c r="AW1513" s="117">
        <f>VLOOKUP($D1513,'WB Data'!$C$3:$M$578,2,FALSE)</f>
        <v>87985689388.379211</v>
      </c>
      <c r="AX1513" s="117">
        <f>VLOOKUP($D1513,'WB Data'!$C$3:$M$578,3,FALSE)</f>
        <v>28030688</v>
      </c>
      <c r="AY1513" s="847">
        <f t="shared" si="257"/>
        <v>3.3260354954032255E-2</v>
      </c>
      <c r="AZ1513" s="117">
        <f>VLOOKUP($D1513,'WB Data'!$C$3:$M$578,4,FALSE)/100</f>
        <v>0.20121095279864007</v>
      </c>
      <c r="BA1513" s="117">
        <f t="shared" si="258"/>
        <v>17703684394.480976</v>
      </c>
      <c r="BB1513" s="129">
        <f>IFERROR(VLOOKUP($D1513,'EITI Revenues'!$C$2:$G$224,5,FALSE),"..")</f>
        <v>2926435259.9327216</v>
      </c>
      <c r="BC1513" s="846">
        <f t="shared" si="259"/>
        <v>0.16530091673149241</v>
      </c>
      <c r="BD1513" s="129">
        <f>VLOOKUP($D1513,'WB Data 2'!$C$2:$K$545,6,FALSE)</f>
        <v>15893054239.757475</v>
      </c>
      <c r="BE1513" s="129">
        <f>IFERROR(VLOOKUP($D1513,UNCTAD!$C$5:$V$529,4,FALSE),"..")</f>
        <v>26490180000</v>
      </c>
      <c r="BF1513" s="846">
        <f t="shared" si="260"/>
        <v>0.59996022072169664</v>
      </c>
      <c r="BG1513" s="117">
        <f>VLOOKUP($D1513,'WB Data'!$C$3:$M$578,5,FALSE)</f>
        <v>463440000</v>
      </c>
      <c r="BH1513" s="129">
        <f>IFERROR($BB1513/$BG1513,"..")</f>
        <v>6.314593604204906</v>
      </c>
      <c r="BI1513" s="117">
        <f>IFERROR(VLOOKUP($D1513,'WB Data'!$C$3:$M$578,7,FALSE)/100,"..")</f>
        <v>2.5476299999999997E-2</v>
      </c>
      <c r="BJ1513" s="117">
        <f>IFERROR($BI1513*$AW1513,"..")</f>
        <v>2241549818.565165</v>
      </c>
      <c r="BK1513" s="846">
        <f>IFERROR($BB1513/$BJ1513,"..")</f>
        <v>1.3055410304491726</v>
      </c>
      <c r="BL1513" s="117">
        <f>IFERROR(VLOOKUP($D1513,'WB Data'!$C$3:$M$578,7,FALSE)/100,"..")</f>
        <v>2.5476299999999997E-2</v>
      </c>
      <c r="BM1513" s="117">
        <f>IFERROR($AW1513*$BL1513,"..")</f>
        <v>2241549818.565165</v>
      </c>
      <c r="BN1513" s="846">
        <f>IFERROR($BB1513/$BM1513,"..")</f>
        <v>1.3055410304491726</v>
      </c>
      <c r="BO1513" s="801">
        <f t="shared" si="256"/>
        <v>38</v>
      </c>
      <c r="BP1513" s="117">
        <f>VLOOKUP($D1513,'WB Data'!$C$3:$M$578,9,FALSE)</f>
        <v>49.2</v>
      </c>
      <c r="BQ1513" s="117">
        <f>VLOOKUP($D1513,'WB Data'!$C$3:$M$578,10,FALSE)</f>
        <v>72.72097560975611</v>
      </c>
      <c r="BR1513" s="117">
        <f>VLOOKUP($D1513,'WB Data'!$C$3:$M$578,11,FALSE)</f>
        <v>20</v>
      </c>
      <c r="BS1513" s="129">
        <f>IFERROR(VLOOKUP($D1513,'WB Data 2'!$C$2:$K$545,9,FALSE),"..")</f>
        <v>99.710220000000007</v>
      </c>
      <c r="BT1513" s="129">
        <f>_xlfn.IFNA(VLOOKUP($C1513,RGI!$A$2:$C$43,2,FALSE),"..")</f>
        <v>76.8</v>
      </c>
      <c r="BU1513" s="129">
        <f>_xlfn.IFNA(VLOOKUP($C1513,RGI!$A$2:$C$43,3,FALSE),"..")</f>
        <v>72.816147461462435</v>
      </c>
      <c r="BV1513" s="129">
        <f>VLOOKUP($D1513,WGI!$C$2:$O$478,7,FALSE)</f>
        <v>4.6586424280511997E-2</v>
      </c>
      <c r="BW1513" s="129">
        <f>VLOOKUP($D1513,WGI!$C$2:$O$478,4,FALSE)</f>
        <v>-0.85037808720575603</v>
      </c>
      <c r="BX1513" s="129">
        <f>VLOOKUP($D1513,WGI!$C$2:$O$478,3,FALSE)</f>
        <v>-0.58013716140483895</v>
      </c>
      <c r="BY1513" s="129">
        <f>VLOOKUP($D1513,WGI!$C$2:$O$478,5,FALSE)</f>
        <v>0.15895971262752601</v>
      </c>
      <c r="BZ1513" s="129">
        <f>VLOOKUP($D1513,WGI!$C$2:$O$478,2,FALSE)</f>
        <v>-0.216828366148589</v>
      </c>
      <c r="CB1513" s="129"/>
    </row>
    <row r="1514" spans="1:80" s="120" customFormat="1" ht="15" customHeight="1">
      <c r="A1514" s="294" t="s">
        <v>452</v>
      </c>
      <c r="B1514" s="117">
        <v>2006</v>
      </c>
      <c r="C1514" s="117" t="s">
        <v>449</v>
      </c>
      <c r="D1514" s="117" t="s">
        <v>3541</v>
      </c>
      <c r="E1514" s="452" t="s">
        <v>220</v>
      </c>
      <c r="F1514" s="117"/>
      <c r="G1514" s="120" t="s">
        <v>24</v>
      </c>
      <c r="H1514" s="117" t="str">
        <f t="shared" si="261"/>
        <v>yes</v>
      </c>
      <c r="I1514" s="117" t="str">
        <f t="shared" si="253"/>
        <v>no</v>
      </c>
      <c r="J1514" s="117" t="str">
        <f t="shared" si="254"/>
        <v>no</v>
      </c>
      <c r="K1514" s="117" t="s">
        <v>2054</v>
      </c>
      <c r="L1514" s="117" t="str">
        <f t="shared" si="262"/>
        <v>detailed</v>
      </c>
      <c r="M1514" s="117" t="str">
        <f t="shared" si="255"/>
        <v>detailed Mining</v>
      </c>
      <c r="N1514" s="179">
        <v>38470</v>
      </c>
      <c r="O1514" s="179"/>
      <c r="P1514" s="179"/>
      <c r="Q1514" s="179"/>
      <c r="R1514" s="179"/>
      <c r="S1514" s="117" t="s">
        <v>610</v>
      </c>
      <c r="T1514" s="119"/>
      <c r="U1514" s="117"/>
      <c r="V1514" s="117" t="s">
        <v>1146</v>
      </c>
      <c r="W1514" s="89"/>
      <c r="X1514" s="117"/>
      <c r="AA1514" s="89"/>
      <c r="AB1514" s="89"/>
      <c r="AC1514" s="240"/>
      <c r="AD1514" s="240"/>
      <c r="AE1514" s="240"/>
      <c r="AF1514" s="241"/>
      <c r="AH1514" s="124"/>
      <c r="AI1514" s="117"/>
      <c r="AJ1514" s="117"/>
      <c r="AK1514" s="89"/>
      <c r="AL1514" s="117"/>
      <c r="AM1514" s="117"/>
      <c r="AN1514" s="117"/>
      <c r="AO1514" s="117"/>
      <c r="AP1514" s="117"/>
      <c r="AQ1514" s="117"/>
      <c r="AR1514" s="117"/>
      <c r="AS1514" s="117"/>
      <c r="AT1514" s="117"/>
      <c r="AU1514" s="117"/>
      <c r="AV1514" s="128"/>
      <c r="AW1514" s="117">
        <f>VLOOKUP($D1514,'WB Data'!$C$3:$M$578,2,FALSE)</f>
        <v>87985689388.379211</v>
      </c>
      <c r="AX1514" s="117">
        <f>VLOOKUP($D1514,'WB Data'!$C$3:$M$578,3,FALSE)</f>
        <v>28030688</v>
      </c>
      <c r="AY1514" s="847">
        <f t="shared" si="257"/>
        <v>3.3260354954032255E-2</v>
      </c>
      <c r="AZ1514" s="117">
        <f>VLOOKUP($D1514,'WB Data'!$C$3:$M$578,4,FALSE)/100</f>
        <v>0.20121095279864007</v>
      </c>
      <c r="BA1514" s="117">
        <f t="shared" si="258"/>
        <v>17703684394.480976</v>
      </c>
      <c r="BB1514" s="129">
        <f>IFERROR(VLOOKUP($D1514,'EITI Revenues'!$C$2:$G$224,5,FALSE),"..")</f>
        <v>2926435259.9327216</v>
      </c>
      <c r="BC1514" s="846">
        <f t="shared" si="259"/>
        <v>0.16530091673149241</v>
      </c>
      <c r="BD1514" s="129">
        <f>VLOOKUP($D1514,'WB Data 2'!$C$2:$K$545,6,FALSE)</f>
        <v>15893054239.757475</v>
      </c>
      <c r="BE1514" s="129">
        <f>IFERROR(VLOOKUP($D1514,UNCTAD!$C$5:$V$529,4,FALSE),"..")</f>
        <v>26490180000</v>
      </c>
      <c r="BF1514" s="846">
        <f t="shared" si="260"/>
        <v>0.59996022072169664</v>
      </c>
      <c r="BG1514" s="117">
        <f>VLOOKUP($D1514,'WB Data'!$C$3:$M$578,5,FALSE)</f>
        <v>463440000</v>
      </c>
      <c r="BH1514" s="129">
        <f>IFERROR($BB1514/$BG1514,"..")</f>
        <v>6.314593604204906</v>
      </c>
      <c r="BI1514" s="117">
        <f>IFERROR(VLOOKUP($D1514,'WB Data'!$C$3:$M$578,7,FALSE)/100,"..")</f>
        <v>2.5476299999999997E-2</v>
      </c>
      <c r="BJ1514" s="117">
        <f>IFERROR($BI1514*$AW1514,"..")</f>
        <v>2241549818.565165</v>
      </c>
      <c r="BK1514" s="846">
        <f>IFERROR($BB1514/$BJ1514,"..")</f>
        <v>1.3055410304491726</v>
      </c>
      <c r="BL1514" s="117">
        <f>IFERROR(VLOOKUP($D1514,'WB Data'!$C$3:$M$578,7,FALSE)/100,"..")</f>
        <v>2.5476299999999997E-2</v>
      </c>
      <c r="BM1514" s="117">
        <f>IFERROR($AW1514*$BL1514,"..")</f>
        <v>2241549818.565165</v>
      </c>
      <c r="BN1514" s="846">
        <f>IFERROR($BB1514/$BM1514,"..")</f>
        <v>1.3055410304491726</v>
      </c>
      <c r="BO1514" s="801">
        <f t="shared" si="256"/>
        <v>38</v>
      </c>
      <c r="BP1514" s="117">
        <f>VLOOKUP($D1514,'WB Data'!$C$3:$M$578,9,FALSE)</f>
        <v>49.2</v>
      </c>
      <c r="BQ1514" s="117">
        <f>VLOOKUP($D1514,'WB Data'!$C$3:$M$578,10,FALSE)</f>
        <v>72.72097560975611</v>
      </c>
      <c r="BR1514" s="117">
        <f>VLOOKUP($D1514,'WB Data'!$C$3:$M$578,11,FALSE)</f>
        <v>20</v>
      </c>
      <c r="BS1514" s="129">
        <f>IFERROR(VLOOKUP($D1514,'WB Data 2'!$C$2:$K$545,9,FALSE),"..")</f>
        <v>99.710220000000007</v>
      </c>
      <c r="BT1514" s="129">
        <f>_xlfn.IFNA(VLOOKUP($C1514,RGI!$A$2:$C$43,2,FALSE),"..")</f>
        <v>76.8</v>
      </c>
      <c r="BU1514" s="129">
        <f>_xlfn.IFNA(VLOOKUP($C1514,RGI!$A$2:$C$43,3,FALSE),"..")</f>
        <v>72.816147461462435</v>
      </c>
      <c r="BV1514" s="129">
        <f>VLOOKUP($D1514,WGI!$C$2:$O$478,7,FALSE)</f>
        <v>4.6586424280511997E-2</v>
      </c>
      <c r="BW1514" s="129">
        <f>VLOOKUP($D1514,WGI!$C$2:$O$478,4,FALSE)</f>
        <v>-0.85037808720575603</v>
      </c>
      <c r="BX1514" s="129">
        <f>VLOOKUP($D1514,WGI!$C$2:$O$478,3,FALSE)</f>
        <v>-0.58013716140483895</v>
      </c>
      <c r="BY1514" s="129">
        <f>VLOOKUP($D1514,WGI!$C$2:$O$478,5,FALSE)</f>
        <v>0.15895971262752601</v>
      </c>
      <c r="BZ1514" s="129">
        <f>VLOOKUP($D1514,WGI!$C$2:$O$478,2,FALSE)</f>
        <v>-0.216828366148589</v>
      </c>
      <c r="CB1514" s="129"/>
    </row>
    <row r="1515" spans="1:80" s="120" customFormat="1" ht="15" customHeight="1">
      <c r="A1515" s="294" t="s">
        <v>452</v>
      </c>
      <c r="B1515" s="117">
        <v>2006</v>
      </c>
      <c r="C1515" s="117" t="s">
        <v>449</v>
      </c>
      <c r="D1515" s="117" t="s">
        <v>3541</v>
      </c>
      <c r="E1515" s="452" t="s">
        <v>220</v>
      </c>
      <c r="F1515" s="117"/>
      <c r="G1515" s="120" t="s">
        <v>24</v>
      </c>
      <c r="H1515" s="117" t="str">
        <f t="shared" si="261"/>
        <v>yes</v>
      </c>
      <c r="I1515" s="117" t="str">
        <f t="shared" si="253"/>
        <v>no</v>
      </c>
      <c r="J1515" s="117" t="str">
        <f t="shared" si="254"/>
        <v>no</v>
      </c>
      <c r="K1515" s="117" t="s">
        <v>1336</v>
      </c>
      <c r="L1515" s="117" t="str">
        <f t="shared" si="262"/>
        <v>detailed</v>
      </c>
      <c r="M1515" s="117" t="str">
        <f t="shared" si="255"/>
        <v>detailed Mining</v>
      </c>
      <c r="N1515" s="179">
        <v>40495</v>
      </c>
      <c r="O1515" s="179"/>
      <c r="P1515" s="179"/>
      <c r="Q1515" s="179"/>
      <c r="R1515" s="179"/>
      <c r="S1515" s="117" t="s">
        <v>610</v>
      </c>
      <c r="T1515" s="119"/>
      <c r="U1515" s="117"/>
      <c r="V1515" s="117" t="s">
        <v>1146</v>
      </c>
      <c r="W1515" s="89"/>
      <c r="X1515" s="117"/>
      <c r="AA1515" s="89"/>
      <c r="AB1515" s="89"/>
      <c r="AC1515" s="240"/>
      <c r="AD1515" s="240"/>
      <c r="AE1515" s="240"/>
      <c r="AF1515" s="241"/>
      <c r="AH1515" s="124"/>
      <c r="AI1515" s="117"/>
      <c r="AJ1515" s="117"/>
      <c r="AK1515" s="89"/>
      <c r="AL1515" s="117"/>
      <c r="AM1515" s="117"/>
      <c r="AN1515" s="117"/>
      <c r="AO1515" s="117"/>
      <c r="AP1515" s="117"/>
      <c r="AQ1515" s="117"/>
      <c r="AR1515" s="117"/>
      <c r="AS1515" s="117"/>
      <c r="AT1515" s="117"/>
      <c r="AU1515" s="117"/>
      <c r="AV1515" s="128"/>
      <c r="AW1515" s="117">
        <f>VLOOKUP($D1515,'WB Data'!$C$3:$M$578,2,FALSE)</f>
        <v>87985689388.379211</v>
      </c>
      <c r="AX1515" s="117">
        <f>VLOOKUP($D1515,'WB Data'!$C$3:$M$578,3,FALSE)</f>
        <v>28030688</v>
      </c>
      <c r="AY1515" s="847">
        <f t="shared" si="257"/>
        <v>3.3260354954032255E-2</v>
      </c>
      <c r="AZ1515" s="117">
        <f>VLOOKUP($D1515,'WB Data'!$C$3:$M$578,4,FALSE)/100</f>
        <v>0.20121095279864007</v>
      </c>
      <c r="BA1515" s="117">
        <f t="shared" si="258"/>
        <v>17703684394.480976</v>
      </c>
      <c r="BB1515" s="129">
        <f>IFERROR(VLOOKUP($D1515,'EITI Revenues'!$C$2:$G$224,5,FALSE),"..")</f>
        <v>2926435259.9327216</v>
      </c>
      <c r="BC1515" s="846">
        <f t="shared" si="259"/>
        <v>0.16530091673149241</v>
      </c>
      <c r="BD1515" s="129">
        <f>VLOOKUP($D1515,'WB Data 2'!$C$2:$K$545,6,FALSE)</f>
        <v>15893054239.757475</v>
      </c>
      <c r="BE1515" s="129">
        <f>IFERROR(VLOOKUP($D1515,UNCTAD!$C$5:$V$529,4,FALSE),"..")</f>
        <v>26490180000</v>
      </c>
      <c r="BF1515" s="846">
        <f t="shared" si="260"/>
        <v>0.59996022072169664</v>
      </c>
      <c r="BG1515" s="117">
        <f>VLOOKUP($D1515,'WB Data'!$C$3:$M$578,5,FALSE)</f>
        <v>463440000</v>
      </c>
      <c r="BH1515" s="129">
        <f>IFERROR($BB1515/$BG1515,"..")</f>
        <v>6.314593604204906</v>
      </c>
      <c r="BI1515" s="117">
        <f>IFERROR(VLOOKUP($D1515,'WB Data'!$C$3:$M$578,7,FALSE)/100,"..")</f>
        <v>2.5476299999999997E-2</v>
      </c>
      <c r="BJ1515" s="117">
        <f>IFERROR($BI1515*$AW1515,"..")</f>
        <v>2241549818.565165</v>
      </c>
      <c r="BK1515" s="846">
        <f>IFERROR($BB1515/$BJ1515,"..")</f>
        <v>1.3055410304491726</v>
      </c>
      <c r="BL1515" s="117">
        <f>IFERROR(VLOOKUP($D1515,'WB Data'!$C$3:$M$578,7,FALSE)/100,"..")</f>
        <v>2.5476299999999997E-2</v>
      </c>
      <c r="BM1515" s="117">
        <f>IFERROR($AW1515*$BL1515,"..")</f>
        <v>2241549818.565165</v>
      </c>
      <c r="BN1515" s="846">
        <f>IFERROR($BB1515/$BM1515,"..")</f>
        <v>1.3055410304491726</v>
      </c>
      <c r="BO1515" s="801">
        <f t="shared" si="256"/>
        <v>38</v>
      </c>
      <c r="BP1515" s="117">
        <f>VLOOKUP($D1515,'WB Data'!$C$3:$M$578,9,FALSE)</f>
        <v>49.2</v>
      </c>
      <c r="BQ1515" s="117">
        <f>VLOOKUP($D1515,'WB Data'!$C$3:$M$578,10,FALSE)</f>
        <v>72.72097560975611</v>
      </c>
      <c r="BR1515" s="117">
        <f>VLOOKUP($D1515,'WB Data'!$C$3:$M$578,11,FALSE)</f>
        <v>20</v>
      </c>
      <c r="BS1515" s="129">
        <f>IFERROR(VLOOKUP($D1515,'WB Data 2'!$C$2:$K$545,9,FALSE),"..")</f>
        <v>99.710220000000007</v>
      </c>
      <c r="BT1515" s="129">
        <f>_xlfn.IFNA(VLOOKUP($C1515,RGI!$A$2:$C$43,2,FALSE),"..")</f>
        <v>76.8</v>
      </c>
      <c r="BU1515" s="129">
        <f>_xlfn.IFNA(VLOOKUP($C1515,RGI!$A$2:$C$43,3,FALSE),"..")</f>
        <v>72.816147461462435</v>
      </c>
      <c r="BV1515" s="129">
        <f>VLOOKUP($D1515,WGI!$C$2:$O$478,7,FALSE)</f>
        <v>4.6586424280511997E-2</v>
      </c>
      <c r="BW1515" s="129">
        <f>VLOOKUP($D1515,WGI!$C$2:$O$478,4,FALSE)</f>
        <v>-0.85037808720575603</v>
      </c>
      <c r="BX1515" s="129">
        <f>VLOOKUP($D1515,WGI!$C$2:$O$478,3,FALSE)</f>
        <v>-0.58013716140483895</v>
      </c>
      <c r="BY1515" s="129">
        <f>VLOOKUP($D1515,WGI!$C$2:$O$478,5,FALSE)</f>
        <v>0.15895971262752601</v>
      </c>
      <c r="BZ1515" s="129">
        <f>VLOOKUP($D1515,WGI!$C$2:$O$478,2,FALSE)</f>
        <v>-0.216828366148589</v>
      </c>
      <c r="CB1515" s="129"/>
    </row>
    <row r="1516" spans="1:80" s="120" customFormat="1" ht="15" customHeight="1">
      <c r="A1516" s="294" t="s">
        <v>452</v>
      </c>
      <c r="B1516" s="117">
        <v>2006</v>
      </c>
      <c r="C1516" s="117" t="s">
        <v>449</v>
      </c>
      <c r="D1516" s="117" t="s">
        <v>3541</v>
      </c>
      <c r="E1516" s="452" t="s">
        <v>220</v>
      </c>
      <c r="F1516" s="117"/>
      <c r="G1516" s="120" t="s">
        <v>24</v>
      </c>
      <c r="H1516" s="117" t="str">
        <f t="shared" si="261"/>
        <v>yes</v>
      </c>
      <c r="I1516" s="117" t="str">
        <f t="shared" si="253"/>
        <v>no</v>
      </c>
      <c r="J1516" s="117" t="str">
        <f t="shared" si="254"/>
        <v>no</v>
      </c>
      <c r="K1516" s="117" t="s">
        <v>849</v>
      </c>
      <c r="L1516" s="117" t="str">
        <f t="shared" si="262"/>
        <v>detailed</v>
      </c>
      <c r="M1516" s="117" t="str">
        <f t="shared" si="255"/>
        <v>detailed Mining</v>
      </c>
      <c r="N1516" s="179"/>
      <c r="O1516" s="179"/>
      <c r="P1516" s="179"/>
      <c r="Q1516" s="179"/>
      <c r="R1516" s="179"/>
      <c r="S1516" s="117"/>
      <c r="T1516" s="186">
        <f>3275.29175</f>
        <v>3275.2917499999999</v>
      </c>
      <c r="U1516" s="117" t="s">
        <v>611</v>
      </c>
      <c r="V1516" s="117" t="s">
        <v>2055</v>
      </c>
      <c r="W1516" s="89">
        <f>N1518*T1516</f>
        <v>573994879.1875</v>
      </c>
      <c r="X1516" s="117"/>
      <c r="Y1516" s="117"/>
      <c r="Z1516" s="117"/>
      <c r="AA1516" s="117"/>
      <c r="AB1516" s="117"/>
      <c r="AC1516" s="240" t="s">
        <v>2056</v>
      </c>
      <c r="AD1516" s="240"/>
      <c r="AE1516" s="240"/>
      <c r="AF1516" s="241"/>
      <c r="AG1516" s="117"/>
      <c r="AH1516" s="124"/>
      <c r="AI1516" s="117"/>
      <c r="AJ1516" s="117"/>
      <c r="AK1516" s="89"/>
      <c r="AL1516" s="117"/>
      <c r="AM1516" s="117"/>
      <c r="AN1516" s="117">
        <v>10</v>
      </c>
      <c r="AO1516" s="117" t="s">
        <v>2057</v>
      </c>
      <c r="AP1516" s="117">
        <v>10</v>
      </c>
      <c r="AQ1516" s="117"/>
      <c r="AR1516" s="117"/>
      <c r="AS1516" s="117"/>
      <c r="AT1516" s="117"/>
      <c r="AU1516" s="117"/>
      <c r="AV1516" s="128"/>
      <c r="AW1516" s="117">
        <f>VLOOKUP($D1516,'WB Data'!$C$3:$M$578,2,FALSE)</f>
        <v>87985689388.379211</v>
      </c>
      <c r="AX1516" s="117">
        <f>VLOOKUP($D1516,'WB Data'!$C$3:$M$578,3,FALSE)</f>
        <v>28030688</v>
      </c>
      <c r="AY1516" s="847">
        <f t="shared" si="257"/>
        <v>3.3260354954032255E-2</v>
      </c>
      <c r="AZ1516" s="117">
        <f>VLOOKUP($D1516,'WB Data'!$C$3:$M$578,4,FALSE)/100</f>
        <v>0.20121095279864007</v>
      </c>
      <c r="BA1516" s="117">
        <f t="shared" si="258"/>
        <v>17703684394.480976</v>
      </c>
      <c r="BB1516" s="129">
        <f>IFERROR(VLOOKUP($D1516,'EITI Revenues'!$C$2:$G$224,5,FALSE),"..")</f>
        <v>2926435259.9327216</v>
      </c>
      <c r="BC1516" s="846">
        <f t="shared" si="259"/>
        <v>0.16530091673149241</v>
      </c>
      <c r="BD1516" s="129">
        <f>VLOOKUP($D1516,'WB Data 2'!$C$2:$K$545,6,FALSE)</f>
        <v>15893054239.757475</v>
      </c>
      <c r="BE1516" s="129">
        <f>IFERROR(VLOOKUP($D1516,UNCTAD!$C$5:$V$529,4,FALSE),"..")</f>
        <v>26490180000</v>
      </c>
      <c r="BF1516" s="846">
        <f t="shared" si="260"/>
        <v>0.59996022072169664</v>
      </c>
      <c r="BG1516" s="117">
        <f>VLOOKUP($D1516,'WB Data'!$C$3:$M$578,5,FALSE)</f>
        <v>463440000</v>
      </c>
      <c r="BH1516" s="129">
        <f>IFERROR($BB1516/$BG1516,"..")</f>
        <v>6.314593604204906</v>
      </c>
      <c r="BI1516" s="117">
        <f>IFERROR(VLOOKUP($D1516,'WB Data'!$C$3:$M$578,7,FALSE)/100,"..")</f>
        <v>2.5476299999999997E-2</v>
      </c>
      <c r="BJ1516" s="117">
        <f>IFERROR($BI1516*$AW1516,"..")</f>
        <v>2241549818.565165</v>
      </c>
      <c r="BK1516" s="846">
        <f>IFERROR($BB1516/$BJ1516,"..")</f>
        <v>1.3055410304491726</v>
      </c>
      <c r="BL1516" s="117">
        <f>IFERROR(VLOOKUP($D1516,'WB Data'!$C$3:$M$578,7,FALSE)/100,"..")</f>
        <v>2.5476299999999997E-2</v>
      </c>
      <c r="BM1516" s="117">
        <f>IFERROR($AW1516*$BL1516,"..")</f>
        <v>2241549818.565165</v>
      </c>
      <c r="BN1516" s="846">
        <f>IFERROR($BB1516/$BM1516,"..")</f>
        <v>1.3055410304491726</v>
      </c>
      <c r="BO1516" s="801">
        <f t="shared" si="256"/>
        <v>38</v>
      </c>
      <c r="BP1516" s="117">
        <f>VLOOKUP($D1516,'WB Data'!$C$3:$M$578,9,FALSE)</f>
        <v>49.2</v>
      </c>
      <c r="BQ1516" s="117">
        <f>VLOOKUP($D1516,'WB Data'!$C$3:$M$578,10,FALSE)</f>
        <v>72.72097560975611</v>
      </c>
      <c r="BR1516" s="117">
        <f>VLOOKUP($D1516,'WB Data'!$C$3:$M$578,11,FALSE)</f>
        <v>20</v>
      </c>
      <c r="BS1516" s="129">
        <f>IFERROR(VLOOKUP($D1516,'WB Data 2'!$C$2:$K$545,9,FALSE),"..")</f>
        <v>99.710220000000007</v>
      </c>
      <c r="BT1516" s="129">
        <f>_xlfn.IFNA(VLOOKUP($C1516,RGI!$A$2:$C$43,2,FALSE),"..")</f>
        <v>76.8</v>
      </c>
      <c r="BU1516" s="129">
        <f>_xlfn.IFNA(VLOOKUP($C1516,RGI!$A$2:$C$43,3,FALSE),"..")</f>
        <v>72.816147461462435</v>
      </c>
      <c r="BV1516" s="129">
        <f>VLOOKUP($D1516,WGI!$C$2:$O$478,7,FALSE)</f>
        <v>4.6586424280511997E-2</v>
      </c>
      <c r="BW1516" s="129">
        <f>VLOOKUP($D1516,WGI!$C$2:$O$478,4,FALSE)</f>
        <v>-0.85037808720575603</v>
      </c>
      <c r="BX1516" s="129">
        <f>VLOOKUP($D1516,WGI!$C$2:$O$478,3,FALSE)</f>
        <v>-0.58013716140483895</v>
      </c>
      <c r="BY1516" s="129">
        <f>VLOOKUP($D1516,WGI!$C$2:$O$478,5,FALSE)</f>
        <v>0.15895971262752601</v>
      </c>
      <c r="BZ1516" s="129">
        <f>VLOOKUP($D1516,WGI!$C$2:$O$478,2,FALSE)</f>
        <v>-0.216828366148589</v>
      </c>
      <c r="CB1516" s="129"/>
    </row>
    <row r="1517" spans="1:80" s="120" customFormat="1" ht="15" customHeight="1">
      <c r="A1517" s="294" t="s">
        <v>452</v>
      </c>
      <c r="B1517" s="117">
        <v>2006</v>
      </c>
      <c r="C1517" s="117" t="s">
        <v>449</v>
      </c>
      <c r="D1517" s="117" t="s">
        <v>3541</v>
      </c>
      <c r="E1517" s="452" t="s">
        <v>220</v>
      </c>
      <c r="F1517" s="117"/>
      <c r="G1517" s="120" t="s">
        <v>24</v>
      </c>
      <c r="H1517" s="117" t="str">
        <f t="shared" si="261"/>
        <v>yes</v>
      </c>
      <c r="I1517" s="117" t="str">
        <f t="shared" si="253"/>
        <v>no</v>
      </c>
      <c r="J1517" s="117" t="str">
        <f t="shared" si="254"/>
        <v>no</v>
      </c>
      <c r="K1517" s="117" t="s">
        <v>2058</v>
      </c>
      <c r="L1517" s="117" t="str">
        <f t="shared" si="262"/>
        <v>detailed</v>
      </c>
      <c r="M1517" s="117" t="str">
        <f t="shared" si="255"/>
        <v>detailed Mining</v>
      </c>
      <c r="N1517" s="179">
        <v>1203364</v>
      </c>
      <c r="O1517" s="179"/>
      <c r="P1517" s="179"/>
      <c r="Q1517" s="179"/>
      <c r="R1517" s="179"/>
      <c r="S1517" s="117" t="s">
        <v>610</v>
      </c>
      <c r="T1517" s="119"/>
      <c r="U1517" s="117"/>
      <c r="V1517" s="117" t="s">
        <v>1146</v>
      </c>
      <c r="W1517" s="89"/>
      <c r="X1517" s="117"/>
      <c r="AA1517" s="89"/>
      <c r="AB1517" s="89"/>
      <c r="AC1517" s="240"/>
      <c r="AD1517" s="240"/>
      <c r="AE1517" s="240"/>
      <c r="AF1517" s="241"/>
      <c r="AH1517" s="124"/>
      <c r="AI1517" s="117"/>
      <c r="AJ1517" s="117"/>
      <c r="AK1517" s="89"/>
      <c r="AL1517" s="117"/>
      <c r="AM1517" s="117"/>
      <c r="AN1517" s="117"/>
      <c r="AO1517" s="117"/>
      <c r="AP1517" s="117"/>
      <c r="AQ1517" s="117"/>
      <c r="AR1517" s="117"/>
      <c r="AS1517" s="117"/>
      <c r="AT1517" s="117"/>
      <c r="AU1517" s="117"/>
      <c r="AV1517" s="128"/>
      <c r="AW1517" s="117">
        <f>VLOOKUP($D1517,'WB Data'!$C$3:$M$578,2,FALSE)</f>
        <v>87985689388.379211</v>
      </c>
      <c r="AX1517" s="117">
        <f>VLOOKUP($D1517,'WB Data'!$C$3:$M$578,3,FALSE)</f>
        <v>28030688</v>
      </c>
      <c r="AY1517" s="847">
        <f t="shared" si="257"/>
        <v>3.3260354954032255E-2</v>
      </c>
      <c r="AZ1517" s="117">
        <f>VLOOKUP($D1517,'WB Data'!$C$3:$M$578,4,FALSE)/100</f>
        <v>0.20121095279864007</v>
      </c>
      <c r="BA1517" s="117">
        <f t="shared" si="258"/>
        <v>17703684394.480976</v>
      </c>
      <c r="BB1517" s="129">
        <f>IFERROR(VLOOKUP($D1517,'EITI Revenues'!$C$2:$G$224,5,FALSE),"..")</f>
        <v>2926435259.9327216</v>
      </c>
      <c r="BC1517" s="846">
        <f t="shared" si="259"/>
        <v>0.16530091673149241</v>
      </c>
      <c r="BD1517" s="129">
        <f>VLOOKUP($D1517,'WB Data 2'!$C$2:$K$545,6,FALSE)</f>
        <v>15893054239.757475</v>
      </c>
      <c r="BE1517" s="129">
        <f>IFERROR(VLOOKUP($D1517,UNCTAD!$C$5:$V$529,4,FALSE),"..")</f>
        <v>26490180000</v>
      </c>
      <c r="BF1517" s="846">
        <f t="shared" si="260"/>
        <v>0.59996022072169664</v>
      </c>
      <c r="BG1517" s="117">
        <f>VLOOKUP($D1517,'WB Data'!$C$3:$M$578,5,FALSE)</f>
        <v>463440000</v>
      </c>
      <c r="BH1517" s="129">
        <f>IFERROR($BB1517/$BG1517,"..")</f>
        <v>6.314593604204906</v>
      </c>
      <c r="BI1517" s="117">
        <f>IFERROR(VLOOKUP($D1517,'WB Data'!$C$3:$M$578,7,FALSE)/100,"..")</f>
        <v>2.5476299999999997E-2</v>
      </c>
      <c r="BJ1517" s="117">
        <f>IFERROR($BI1517*$AW1517,"..")</f>
        <v>2241549818.565165</v>
      </c>
      <c r="BK1517" s="846">
        <f>IFERROR($BB1517/$BJ1517,"..")</f>
        <v>1.3055410304491726</v>
      </c>
      <c r="BL1517" s="117">
        <f>IFERROR(VLOOKUP($D1517,'WB Data'!$C$3:$M$578,7,FALSE)/100,"..")</f>
        <v>2.5476299999999997E-2</v>
      </c>
      <c r="BM1517" s="117">
        <f>IFERROR($AW1517*$BL1517,"..")</f>
        <v>2241549818.565165</v>
      </c>
      <c r="BN1517" s="846">
        <f>IFERROR($BB1517/$BM1517,"..")</f>
        <v>1.3055410304491726</v>
      </c>
      <c r="BO1517" s="801">
        <f t="shared" si="256"/>
        <v>38</v>
      </c>
      <c r="BP1517" s="117">
        <f>VLOOKUP($D1517,'WB Data'!$C$3:$M$578,9,FALSE)</f>
        <v>49.2</v>
      </c>
      <c r="BQ1517" s="117">
        <f>VLOOKUP($D1517,'WB Data'!$C$3:$M$578,10,FALSE)</f>
        <v>72.72097560975611</v>
      </c>
      <c r="BR1517" s="117">
        <f>VLOOKUP($D1517,'WB Data'!$C$3:$M$578,11,FALSE)</f>
        <v>20</v>
      </c>
      <c r="BS1517" s="129">
        <f>IFERROR(VLOOKUP($D1517,'WB Data 2'!$C$2:$K$545,9,FALSE),"..")</f>
        <v>99.710220000000007</v>
      </c>
      <c r="BT1517" s="129">
        <f>_xlfn.IFNA(VLOOKUP($C1517,RGI!$A$2:$C$43,2,FALSE),"..")</f>
        <v>76.8</v>
      </c>
      <c r="BU1517" s="129">
        <f>_xlfn.IFNA(VLOOKUP($C1517,RGI!$A$2:$C$43,3,FALSE),"..")</f>
        <v>72.816147461462435</v>
      </c>
      <c r="BV1517" s="129">
        <f>VLOOKUP($D1517,WGI!$C$2:$O$478,7,FALSE)</f>
        <v>4.6586424280511997E-2</v>
      </c>
      <c r="BW1517" s="129">
        <f>VLOOKUP($D1517,WGI!$C$2:$O$478,4,FALSE)</f>
        <v>-0.85037808720575603</v>
      </c>
      <c r="BX1517" s="129">
        <f>VLOOKUP($D1517,WGI!$C$2:$O$478,3,FALSE)</f>
        <v>-0.58013716140483895</v>
      </c>
      <c r="BY1517" s="129">
        <f>VLOOKUP($D1517,WGI!$C$2:$O$478,5,FALSE)</f>
        <v>0.15895971262752601</v>
      </c>
      <c r="BZ1517" s="129">
        <f>VLOOKUP($D1517,WGI!$C$2:$O$478,2,FALSE)</f>
        <v>-0.216828366148589</v>
      </c>
      <c r="CB1517" s="129"/>
    </row>
    <row r="1518" spans="1:80" s="158" customFormat="1" ht="15" customHeight="1">
      <c r="A1518" s="295" t="s">
        <v>452</v>
      </c>
      <c r="B1518" s="149">
        <v>2006</v>
      </c>
      <c r="C1518" s="149" t="s">
        <v>449</v>
      </c>
      <c r="D1518" s="117" t="s">
        <v>3541</v>
      </c>
      <c r="E1518" s="453" t="s">
        <v>220</v>
      </c>
      <c r="F1518" s="149"/>
      <c r="G1518" s="120" t="s">
        <v>24</v>
      </c>
      <c r="H1518" s="117" t="str">
        <f t="shared" si="261"/>
        <v>yes</v>
      </c>
      <c r="I1518" s="117" t="str">
        <f t="shared" si="253"/>
        <v>no</v>
      </c>
      <c r="J1518" s="117" t="str">
        <f t="shared" si="254"/>
        <v>no</v>
      </c>
      <c r="K1518" s="149" t="s">
        <v>1336</v>
      </c>
      <c r="L1518" s="117" t="str">
        <f t="shared" si="262"/>
        <v>detailed</v>
      </c>
      <c r="M1518" s="117" t="str">
        <f t="shared" si="255"/>
        <v>detailed Mining</v>
      </c>
      <c r="N1518" s="216">
        <v>175250</v>
      </c>
      <c r="O1518" s="216"/>
      <c r="P1518" s="216"/>
      <c r="Q1518" s="216"/>
      <c r="R1518" s="216"/>
      <c r="S1518" s="149" t="s">
        <v>610</v>
      </c>
      <c r="T1518" s="151"/>
      <c r="U1518" s="149"/>
      <c r="V1518" s="149" t="s">
        <v>1146</v>
      </c>
      <c r="W1518" s="152"/>
      <c r="X1518" s="149"/>
      <c r="AA1518" s="152"/>
      <c r="AB1518" s="152"/>
      <c r="AC1518" s="288"/>
      <c r="AD1518" s="288"/>
      <c r="AE1518" s="288"/>
      <c r="AF1518" s="285"/>
      <c r="AH1518" s="156"/>
      <c r="AI1518" s="149"/>
      <c r="AJ1518" s="149"/>
      <c r="AK1518" s="152"/>
      <c r="AL1518" s="149"/>
      <c r="AM1518" s="149"/>
      <c r="AN1518" s="149"/>
      <c r="AO1518" s="149"/>
      <c r="AP1518" s="149"/>
      <c r="AQ1518" s="149"/>
      <c r="AR1518" s="149"/>
      <c r="AS1518" s="149"/>
      <c r="AT1518" s="149"/>
      <c r="AU1518" s="149"/>
      <c r="AV1518" s="157"/>
      <c r="AW1518" s="117">
        <f>VLOOKUP($D1518,'WB Data'!$C$3:$M$578,2,FALSE)</f>
        <v>87985689388.379211</v>
      </c>
      <c r="AX1518" s="117">
        <f>VLOOKUP($D1518,'WB Data'!$C$3:$M$578,3,FALSE)</f>
        <v>28030688</v>
      </c>
      <c r="AY1518" s="847">
        <f t="shared" si="257"/>
        <v>3.3260354954032255E-2</v>
      </c>
      <c r="AZ1518" s="117">
        <f>VLOOKUP($D1518,'WB Data'!$C$3:$M$578,4,FALSE)/100</f>
        <v>0.20121095279864007</v>
      </c>
      <c r="BA1518" s="117">
        <f t="shared" si="258"/>
        <v>17703684394.480976</v>
      </c>
      <c r="BB1518" s="129">
        <f>IFERROR(VLOOKUP($D1518,'EITI Revenues'!$C$2:$G$224,5,FALSE),"..")</f>
        <v>2926435259.9327216</v>
      </c>
      <c r="BC1518" s="846">
        <f t="shared" si="259"/>
        <v>0.16530091673149241</v>
      </c>
      <c r="BD1518" s="129">
        <f>VLOOKUP($D1518,'WB Data 2'!$C$2:$K$545,6,FALSE)</f>
        <v>15893054239.757475</v>
      </c>
      <c r="BE1518" s="129">
        <f>IFERROR(VLOOKUP($D1518,UNCTAD!$C$5:$V$529,4,FALSE),"..")</f>
        <v>26490180000</v>
      </c>
      <c r="BF1518" s="846">
        <f t="shared" si="260"/>
        <v>0.59996022072169664</v>
      </c>
      <c r="BG1518" s="117">
        <f>VLOOKUP($D1518,'WB Data'!$C$3:$M$578,5,FALSE)</f>
        <v>463440000</v>
      </c>
      <c r="BH1518" s="129">
        <f>IFERROR($BB1518/$BG1518,"..")</f>
        <v>6.314593604204906</v>
      </c>
      <c r="BI1518" s="117">
        <f>IFERROR(VLOOKUP($D1518,'WB Data'!$C$3:$M$578,7,FALSE)/100,"..")</f>
        <v>2.5476299999999997E-2</v>
      </c>
      <c r="BJ1518" s="117">
        <f>IFERROR($BI1518*$AW1518,"..")</f>
        <v>2241549818.565165</v>
      </c>
      <c r="BK1518" s="846">
        <f>IFERROR($BB1518/$BJ1518,"..")</f>
        <v>1.3055410304491726</v>
      </c>
      <c r="BL1518" s="117">
        <f>IFERROR(VLOOKUP($D1518,'WB Data'!$C$3:$M$578,7,FALSE)/100,"..")</f>
        <v>2.5476299999999997E-2</v>
      </c>
      <c r="BM1518" s="117">
        <f>IFERROR($AW1518*$BL1518,"..")</f>
        <v>2241549818.565165</v>
      </c>
      <c r="BN1518" s="846">
        <f>IFERROR($BB1518/$BM1518,"..")</f>
        <v>1.3055410304491726</v>
      </c>
      <c r="BO1518" s="801">
        <f t="shared" si="256"/>
        <v>38</v>
      </c>
      <c r="BP1518" s="117">
        <f>VLOOKUP($D1518,'WB Data'!$C$3:$M$578,9,FALSE)</f>
        <v>49.2</v>
      </c>
      <c r="BQ1518" s="117">
        <f>VLOOKUP($D1518,'WB Data'!$C$3:$M$578,10,FALSE)</f>
        <v>72.72097560975611</v>
      </c>
      <c r="BR1518" s="117">
        <f>VLOOKUP($D1518,'WB Data'!$C$3:$M$578,11,FALSE)</f>
        <v>20</v>
      </c>
      <c r="BS1518" s="129">
        <f>IFERROR(VLOOKUP($D1518,'WB Data 2'!$C$2:$K$545,9,FALSE),"..")</f>
        <v>99.710220000000007</v>
      </c>
      <c r="BT1518" s="129">
        <f>_xlfn.IFNA(VLOOKUP($C1518,RGI!$A$2:$C$43,2,FALSE),"..")</f>
        <v>76.8</v>
      </c>
      <c r="BU1518" s="129">
        <f>_xlfn.IFNA(VLOOKUP($C1518,RGI!$A$2:$C$43,3,FALSE),"..")</f>
        <v>72.816147461462435</v>
      </c>
      <c r="BV1518" s="129">
        <f>VLOOKUP($D1518,WGI!$C$2:$O$478,7,FALSE)</f>
        <v>4.6586424280511997E-2</v>
      </c>
      <c r="BW1518" s="129">
        <f>VLOOKUP($D1518,WGI!$C$2:$O$478,4,FALSE)</f>
        <v>-0.85037808720575603</v>
      </c>
      <c r="BX1518" s="129">
        <f>VLOOKUP($D1518,WGI!$C$2:$O$478,3,FALSE)</f>
        <v>-0.58013716140483895</v>
      </c>
      <c r="BY1518" s="129">
        <f>VLOOKUP($D1518,WGI!$C$2:$O$478,5,FALSE)</f>
        <v>0.15895971262752601</v>
      </c>
      <c r="BZ1518" s="129">
        <f>VLOOKUP($D1518,WGI!$C$2:$O$478,2,FALSE)</f>
        <v>-0.216828366148589</v>
      </c>
      <c r="CB1518" s="129"/>
    </row>
    <row r="1519" spans="1:80" ht="15" customHeight="1">
      <c r="A1519" s="294" t="s">
        <v>453</v>
      </c>
      <c r="B1519" s="117">
        <v>2007</v>
      </c>
      <c r="C1519" s="117" t="s">
        <v>449</v>
      </c>
      <c r="D1519" s="117" t="s">
        <v>3575</v>
      </c>
      <c r="E1519" s="452" t="s">
        <v>220</v>
      </c>
      <c r="F1519" s="117" t="s">
        <v>2019</v>
      </c>
      <c r="G1519" s="132" t="s">
        <v>35</v>
      </c>
      <c r="H1519" s="117" t="str">
        <f t="shared" si="261"/>
        <v>yes</v>
      </c>
      <c r="I1519" s="117" t="str">
        <f t="shared" si="253"/>
        <v>yes</v>
      </c>
      <c r="J1519" s="117" t="str">
        <f t="shared" si="254"/>
        <v>yes</v>
      </c>
      <c r="K1519" s="117" t="s">
        <v>709</v>
      </c>
      <c r="L1519" s="117" t="str">
        <f t="shared" si="262"/>
        <v>Total</v>
      </c>
      <c r="M1519" s="117" t="str">
        <f t="shared" si="255"/>
        <v>Total Oil, Gas, Mining</v>
      </c>
      <c r="N1519" s="179"/>
      <c r="O1519" s="179"/>
      <c r="P1519" s="179"/>
      <c r="Q1519" s="179"/>
      <c r="R1519" s="179"/>
      <c r="S1519" s="117"/>
      <c r="T1519" s="119"/>
      <c r="U1519" s="117"/>
      <c r="V1519" s="117"/>
      <c r="W1519" s="89">
        <f>W1520+W1523</f>
        <v>22602945343.433014</v>
      </c>
      <c r="X1519" s="117" t="s">
        <v>2020</v>
      </c>
      <c r="Y1519" s="117" t="s">
        <v>602</v>
      </c>
      <c r="Z1519" s="117" t="s">
        <v>603</v>
      </c>
      <c r="AA1519" s="89">
        <v>3125388072.7948718</v>
      </c>
      <c r="AB1519" s="89">
        <v>3126093879.5100002</v>
      </c>
      <c r="AC1519" s="120"/>
      <c r="AD1519" s="240"/>
      <c r="AE1519" s="240"/>
      <c r="AF1519" s="600">
        <f>AA1519/(((W1521*0.5)+(W1522*0.71))+W1523)</f>
        <v>0.1449232481845486</v>
      </c>
      <c r="AG1519" s="117" t="s">
        <v>2021</v>
      </c>
      <c r="AH1519" s="124">
        <v>3.12</v>
      </c>
      <c r="AI1519" s="117" t="s">
        <v>667</v>
      </c>
      <c r="AJ1519" s="117"/>
      <c r="AK1519" s="89"/>
      <c r="AL1519" s="117"/>
      <c r="AM1519" s="117"/>
      <c r="AN1519" s="117">
        <v>33</v>
      </c>
      <c r="AO1519" s="117" t="s">
        <v>2022</v>
      </c>
      <c r="AP1519" s="117">
        <v>33</v>
      </c>
      <c r="AQ1519" s="117" t="s">
        <v>368</v>
      </c>
      <c r="AR1519" s="126">
        <v>41898</v>
      </c>
      <c r="AS1519" s="117" t="s">
        <v>1382</v>
      </c>
      <c r="AT1519" s="117" t="s">
        <v>450</v>
      </c>
      <c r="AU1519" s="117" t="s">
        <v>2023</v>
      </c>
      <c r="AV1519" s="128" t="s">
        <v>2069</v>
      </c>
      <c r="AW1519" s="117">
        <f>VLOOKUP($D1519,'WB Data'!$C$3:$M$578,2,FALSE)</f>
        <v>102172270670.77251</v>
      </c>
      <c r="AX1519" s="117">
        <f>VLOOKUP($D1519,'WB Data'!$C$3:$M$578,3,FALSE)</f>
        <v>28328410</v>
      </c>
      <c r="AY1519" s="847">
        <f t="shared" si="257"/>
        <v>3.0589396244953212E-2</v>
      </c>
      <c r="AZ1519" s="117">
        <f>VLOOKUP($D1519,'WB Data'!$C$3:$M$578,4,FALSE)/100</f>
        <v>0.20970709473979002</v>
      </c>
      <c r="BA1519" s="117">
        <f t="shared" si="258"/>
        <v>21426250045.335159</v>
      </c>
      <c r="BB1519" s="129">
        <f>IFERROR(VLOOKUP($D1519,'EITI Revenues'!$C$2:$G$224,5,FALSE),"..")</f>
        <v>3125388072.7948718</v>
      </c>
      <c r="BC1519" s="846">
        <f t="shared" si="259"/>
        <v>0.14586724537340678</v>
      </c>
      <c r="BD1519" s="129">
        <f>VLOOKUP($D1519,'WB Data 2'!$C$2:$K$545,6,FALSE)</f>
        <v>19194682543.472164</v>
      </c>
      <c r="BE1519" s="129">
        <f>IFERROR(VLOOKUP($D1519,UNCTAD!$C$5:$V$529,4,FALSE),"..")</f>
        <v>31246090000</v>
      </c>
      <c r="BF1519" s="846">
        <f t="shared" si="260"/>
        <v>0.61430670344584437</v>
      </c>
      <c r="BG1519" s="117">
        <f>VLOOKUP($D1519,'WB Data'!$C$3:$M$578,5,FALSE)</f>
        <v>307030000</v>
      </c>
      <c r="BH1519" s="129">
        <f>IFERROR($BB1519/$BG1519,"..")</f>
        <v>10.179422443392736</v>
      </c>
      <c r="BI1519" s="117">
        <f>IFERROR(VLOOKUP($D1519,'WB Data'!$C$3:$M$578,7,FALSE)/100,"..")</f>
        <v>2.49927E-2</v>
      </c>
      <c r="BJ1519" s="117">
        <f>IFERROR($BI1519*$AW1519,"..")</f>
        <v>2553560909.1934161</v>
      </c>
      <c r="BK1519" s="846">
        <f>IFERROR($BB1519/$BJ1519,"..")</f>
        <v>1.2239332383037131</v>
      </c>
      <c r="BL1519" s="117">
        <f>IFERROR(VLOOKUP($D1519,'WB Data'!$C$3:$M$578,7,FALSE)/100,"..")</f>
        <v>2.49927E-2</v>
      </c>
      <c r="BM1519" s="117">
        <f>IFERROR($AW1519*$BL1519,"..")</f>
        <v>2553560909.1934161</v>
      </c>
      <c r="BN1519" s="846">
        <f>IFERROR($BB1519/$BM1519,"..")</f>
        <v>1.2239332383037131</v>
      </c>
      <c r="BO1519" s="801">
        <f t="shared" si="256"/>
        <v>38</v>
      </c>
      <c r="BP1519" s="117">
        <f>VLOOKUP($D1519,'WB Data'!$C$3:$M$578,9,FALSE)</f>
        <v>42.4</v>
      </c>
      <c r="BQ1519" s="117">
        <f>VLOOKUP($D1519,'WB Data'!$C$3:$M$578,10,FALSE)</f>
        <v>73.014878048780488</v>
      </c>
      <c r="BR1519" s="117">
        <f>VLOOKUP($D1519,'WB Data'!$C$3:$M$578,11,FALSE)</f>
        <v>18.600000000000001</v>
      </c>
      <c r="BS1519" s="129">
        <f>IFERROR(VLOOKUP($D1519,'WB Data 2'!$C$2:$K$545,9,FALSE),"..")</f>
        <v>99.705489999999998</v>
      </c>
      <c r="BT1519" s="129">
        <f>_xlfn.IFNA(VLOOKUP($C1519,RGI!$A$2:$C$43,2,FALSE),"..")</f>
        <v>76.8</v>
      </c>
      <c r="BU1519" s="129">
        <f>_xlfn.IFNA(VLOOKUP($C1519,RGI!$A$2:$C$43,3,FALSE),"..")</f>
        <v>72.816147461462435</v>
      </c>
      <c r="BV1519" s="129">
        <f>VLOOKUP($D1519,WGI!$C$2:$O$478,7,FALSE)</f>
        <v>6.2703568528113707E-2</v>
      </c>
      <c r="BW1519" s="129">
        <f>VLOOKUP($D1519,WGI!$C$2:$O$478,4,FALSE)</f>
        <v>-0.76005136929099804</v>
      </c>
      <c r="BX1519" s="129">
        <f>VLOOKUP($D1519,WGI!$C$2:$O$478,3,FALSE)</f>
        <v>-0.50979739813082503</v>
      </c>
      <c r="BY1519" s="129">
        <f>VLOOKUP($D1519,WGI!$C$2:$O$478,5,FALSE)</f>
        <v>0.27595894070192201</v>
      </c>
      <c r="BZ1519" s="129">
        <f>VLOOKUP($D1519,WGI!$C$2:$O$478,2,FALSE)</f>
        <v>-0.260524325273502</v>
      </c>
    </row>
    <row r="1520" spans="1:80" ht="15" customHeight="1">
      <c r="A1520" s="294" t="s">
        <v>453</v>
      </c>
      <c r="B1520" s="117">
        <v>2007</v>
      </c>
      <c r="C1520" s="117" t="s">
        <v>449</v>
      </c>
      <c r="D1520" s="117" t="s">
        <v>3575</v>
      </c>
      <c r="E1520" s="452" t="s">
        <v>220</v>
      </c>
      <c r="F1520" s="117"/>
      <c r="G1520" s="120" t="s">
        <v>55</v>
      </c>
      <c r="H1520" s="117" t="str">
        <f t="shared" si="261"/>
        <v>no</v>
      </c>
      <c r="I1520" s="117" t="str">
        <f t="shared" si="253"/>
        <v>yes</v>
      </c>
      <c r="J1520" s="117" t="str">
        <f t="shared" si="254"/>
        <v>yes</v>
      </c>
      <c r="K1520" s="117" t="s">
        <v>640</v>
      </c>
      <c r="L1520" s="117" t="str">
        <f t="shared" si="262"/>
        <v>Total</v>
      </c>
      <c r="M1520" s="117" t="str">
        <f t="shared" si="255"/>
        <v>Total Oil, Gas</v>
      </c>
      <c r="N1520" s="179"/>
      <c r="O1520" s="179"/>
      <c r="P1520" s="179"/>
      <c r="Q1520" s="179"/>
      <c r="R1520" s="179"/>
      <c r="S1520" s="117"/>
      <c r="T1520" s="119"/>
      <c r="U1520" s="117"/>
      <c r="V1520" s="117"/>
      <c r="W1520" s="89">
        <f>SUM(W1521:W1522)</f>
        <v>3131219699.9999995</v>
      </c>
      <c r="X1520" s="117"/>
      <c r="Y1520" s="117"/>
      <c r="Z1520" s="117"/>
      <c r="AA1520" s="89">
        <v>663117717.52564096</v>
      </c>
      <c r="AB1520" s="89">
        <v>663123566.52564096</v>
      </c>
      <c r="AC1520" s="120"/>
      <c r="AD1520" s="240"/>
      <c r="AE1520" s="120"/>
      <c r="AF1520" s="241">
        <f>AA1520/((W1521*0.5)+(W1522*0.71))</f>
        <v>0.31666149679639105</v>
      </c>
      <c r="AG1520" s="117"/>
      <c r="AH1520" s="124"/>
      <c r="AI1520" s="117"/>
      <c r="AJ1520" s="117"/>
      <c r="AK1520" s="89"/>
      <c r="AL1520" s="117"/>
      <c r="AM1520" s="117"/>
      <c r="AN1520" s="117">
        <v>9</v>
      </c>
      <c r="AO1520" s="117" t="s">
        <v>2025</v>
      </c>
      <c r="AP1520" s="117">
        <v>9</v>
      </c>
      <c r="AQ1520" s="117"/>
      <c r="AR1520" s="117"/>
      <c r="AS1520" s="117"/>
      <c r="AT1520" s="117"/>
      <c r="AU1520" s="117"/>
      <c r="AV1520" s="128"/>
      <c r="AW1520" s="117">
        <f>VLOOKUP($D1520,'WB Data'!$C$3:$M$578,2,FALSE)</f>
        <v>102172270670.77251</v>
      </c>
      <c r="AX1520" s="117">
        <f>VLOOKUP($D1520,'WB Data'!$C$3:$M$578,3,FALSE)</f>
        <v>28328410</v>
      </c>
      <c r="AY1520" s="847">
        <f t="shared" si="257"/>
        <v>3.0589396244953212E-2</v>
      </c>
      <c r="AZ1520" s="117">
        <f>VLOOKUP($D1520,'WB Data'!$C$3:$M$578,4,FALSE)/100</f>
        <v>0.20970709473979002</v>
      </c>
      <c r="BA1520" s="117">
        <f t="shared" si="258"/>
        <v>21426250045.335159</v>
      </c>
      <c r="BB1520" s="129">
        <f>IFERROR(VLOOKUP($D1520,'EITI Revenues'!$C$2:$G$224,5,FALSE),"..")</f>
        <v>3125388072.7948718</v>
      </c>
      <c r="BC1520" s="846">
        <f t="shared" si="259"/>
        <v>0.14586724537340678</v>
      </c>
      <c r="BD1520" s="129">
        <f>VLOOKUP($D1520,'WB Data 2'!$C$2:$K$545,6,FALSE)</f>
        <v>19194682543.472164</v>
      </c>
      <c r="BE1520" s="129">
        <f>IFERROR(VLOOKUP($D1520,UNCTAD!$C$5:$V$529,4,FALSE),"..")</f>
        <v>31246090000</v>
      </c>
      <c r="BF1520" s="846">
        <f t="shared" si="260"/>
        <v>0.61430670344584437</v>
      </c>
      <c r="BG1520" s="117">
        <f>VLOOKUP($D1520,'WB Data'!$C$3:$M$578,5,FALSE)</f>
        <v>307030000</v>
      </c>
      <c r="BH1520" s="129">
        <f>IFERROR($BB1520/$BG1520,"..")</f>
        <v>10.179422443392736</v>
      </c>
      <c r="BI1520" s="117">
        <f>IFERROR(VLOOKUP($D1520,'WB Data'!$C$3:$M$578,7,FALSE)/100,"..")</f>
        <v>2.49927E-2</v>
      </c>
      <c r="BJ1520" s="117">
        <f>IFERROR($BI1520*$AW1520,"..")</f>
        <v>2553560909.1934161</v>
      </c>
      <c r="BK1520" s="846">
        <f>IFERROR($BB1520/$BJ1520,"..")</f>
        <v>1.2239332383037131</v>
      </c>
      <c r="BL1520" s="117">
        <f>IFERROR(VLOOKUP($D1520,'WB Data'!$C$3:$M$578,7,FALSE)/100,"..")</f>
        <v>2.49927E-2</v>
      </c>
      <c r="BM1520" s="117">
        <f>IFERROR($AW1520*$BL1520,"..")</f>
        <v>2553560909.1934161</v>
      </c>
      <c r="BN1520" s="846">
        <f>IFERROR($BB1520/$BM1520,"..")</f>
        <v>1.2239332383037131</v>
      </c>
      <c r="BO1520" s="801">
        <f t="shared" si="256"/>
        <v>38</v>
      </c>
      <c r="BP1520" s="117">
        <f>VLOOKUP($D1520,'WB Data'!$C$3:$M$578,9,FALSE)</f>
        <v>42.4</v>
      </c>
      <c r="BQ1520" s="117">
        <f>VLOOKUP($D1520,'WB Data'!$C$3:$M$578,10,FALSE)</f>
        <v>73.014878048780488</v>
      </c>
      <c r="BR1520" s="117">
        <f>VLOOKUP($D1520,'WB Data'!$C$3:$M$578,11,FALSE)</f>
        <v>18.600000000000001</v>
      </c>
      <c r="BS1520" s="129">
        <f>IFERROR(VLOOKUP($D1520,'WB Data 2'!$C$2:$K$545,9,FALSE),"..")</f>
        <v>99.705489999999998</v>
      </c>
      <c r="BT1520" s="129">
        <f>_xlfn.IFNA(VLOOKUP($C1520,RGI!$A$2:$C$43,2,FALSE),"..")</f>
        <v>76.8</v>
      </c>
      <c r="BU1520" s="129">
        <f>_xlfn.IFNA(VLOOKUP($C1520,RGI!$A$2:$C$43,3,FALSE),"..")</f>
        <v>72.816147461462435</v>
      </c>
      <c r="BV1520" s="129">
        <f>VLOOKUP($D1520,WGI!$C$2:$O$478,7,FALSE)</f>
        <v>6.2703568528113707E-2</v>
      </c>
      <c r="BW1520" s="129">
        <f>VLOOKUP($D1520,WGI!$C$2:$O$478,4,FALSE)</f>
        <v>-0.76005136929099804</v>
      </c>
      <c r="BX1520" s="129">
        <f>VLOOKUP($D1520,WGI!$C$2:$O$478,3,FALSE)</f>
        <v>-0.50979739813082503</v>
      </c>
      <c r="BY1520" s="129">
        <f>VLOOKUP($D1520,WGI!$C$2:$O$478,5,FALSE)</f>
        <v>0.27595894070192201</v>
      </c>
      <c r="BZ1520" s="129">
        <f>VLOOKUP($D1520,WGI!$C$2:$O$478,2,FALSE)</f>
        <v>-0.260524325273502</v>
      </c>
    </row>
    <row r="1521" spans="1:78" ht="15" customHeight="1">
      <c r="A1521" s="294" t="s">
        <v>453</v>
      </c>
      <c r="B1521" s="117">
        <v>2007</v>
      </c>
      <c r="C1521" s="117" t="s">
        <v>449</v>
      </c>
      <c r="D1521" s="117" t="s">
        <v>3575</v>
      </c>
      <c r="E1521" s="452" t="s">
        <v>220</v>
      </c>
      <c r="F1521" s="117"/>
      <c r="G1521" s="120" t="s">
        <v>561</v>
      </c>
      <c r="H1521" s="117" t="str">
        <f t="shared" si="261"/>
        <v>no</v>
      </c>
      <c r="I1521" s="117" t="str">
        <f t="shared" si="253"/>
        <v>yes</v>
      </c>
      <c r="J1521" s="117" t="str">
        <f t="shared" si="254"/>
        <v>no</v>
      </c>
      <c r="K1521" s="117" t="s">
        <v>561</v>
      </c>
      <c r="L1521" s="117" t="str">
        <f t="shared" si="262"/>
        <v>detailed</v>
      </c>
      <c r="M1521" s="117" t="str">
        <f t="shared" si="255"/>
        <v>detailed Gas</v>
      </c>
      <c r="N1521" s="179">
        <v>2700000000</v>
      </c>
      <c r="O1521" s="179"/>
      <c r="P1521" s="179"/>
      <c r="Q1521" s="179"/>
      <c r="R1521" s="179"/>
      <c r="S1521" s="117" t="s">
        <v>642</v>
      </c>
      <c r="T1521" s="119">
        <v>0.22764700000000004</v>
      </c>
      <c r="U1521" s="117" t="s">
        <v>643</v>
      </c>
      <c r="V1521" s="117" t="s">
        <v>738</v>
      </c>
      <c r="W1521" s="89">
        <f>N1521*T1521</f>
        <v>614646900.00000012</v>
      </c>
      <c r="X1521" s="117"/>
      <c r="Y1521" s="117"/>
      <c r="Z1521" s="117"/>
      <c r="AA1521" s="89"/>
      <c r="AB1521" s="89"/>
      <c r="AC1521" s="240" t="s">
        <v>2070</v>
      </c>
      <c r="AD1521" s="240"/>
      <c r="AE1521" s="240"/>
      <c r="AF1521" s="241"/>
      <c r="AG1521" s="117"/>
      <c r="AH1521" s="124"/>
      <c r="AI1521" s="117"/>
      <c r="AJ1521" s="117"/>
      <c r="AK1521" s="89"/>
      <c r="AL1521" s="117"/>
      <c r="AM1521" s="117"/>
      <c r="AN1521" s="117">
        <v>6</v>
      </c>
      <c r="AO1521" s="117" t="s">
        <v>2027</v>
      </c>
      <c r="AP1521" s="117">
        <v>6</v>
      </c>
      <c r="AQ1521" s="117"/>
      <c r="AR1521" s="117"/>
      <c r="AS1521" s="117"/>
      <c r="AT1521" s="117"/>
      <c r="AU1521" s="117"/>
      <c r="AV1521" s="128"/>
      <c r="AW1521" s="117">
        <f>VLOOKUP($D1521,'WB Data'!$C$3:$M$578,2,FALSE)</f>
        <v>102172270670.77251</v>
      </c>
      <c r="AX1521" s="117">
        <f>VLOOKUP($D1521,'WB Data'!$C$3:$M$578,3,FALSE)</f>
        <v>28328410</v>
      </c>
      <c r="AY1521" s="847">
        <f t="shared" si="257"/>
        <v>3.0589396244953212E-2</v>
      </c>
      <c r="AZ1521" s="117">
        <f>VLOOKUP($D1521,'WB Data'!$C$3:$M$578,4,FALSE)/100</f>
        <v>0.20970709473979002</v>
      </c>
      <c r="BA1521" s="117">
        <f t="shared" si="258"/>
        <v>21426250045.335159</v>
      </c>
      <c r="BB1521" s="129">
        <f>IFERROR(VLOOKUP($D1521,'EITI Revenues'!$C$2:$G$224,5,FALSE),"..")</f>
        <v>3125388072.7948718</v>
      </c>
      <c r="BC1521" s="846">
        <f t="shared" si="259"/>
        <v>0.14586724537340678</v>
      </c>
      <c r="BD1521" s="129">
        <f>VLOOKUP($D1521,'WB Data 2'!$C$2:$K$545,6,FALSE)</f>
        <v>19194682543.472164</v>
      </c>
      <c r="BE1521" s="129">
        <f>IFERROR(VLOOKUP($D1521,UNCTAD!$C$5:$V$529,4,FALSE),"..")</f>
        <v>31246090000</v>
      </c>
      <c r="BF1521" s="846">
        <f t="shared" si="260"/>
        <v>0.61430670344584437</v>
      </c>
      <c r="BG1521" s="117">
        <f>VLOOKUP($D1521,'WB Data'!$C$3:$M$578,5,FALSE)</f>
        <v>307030000</v>
      </c>
      <c r="BH1521" s="129">
        <f>IFERROR($BB1521/$BG1521,"..")</f>
        <v>10.179422443392736</v>
      </c>
      <c r="BI1521" s="117">
        <f>IFERROR(VLOOKUP($D1521,'WB Data'!$C$3:$M$578,7,FALSE)/100,"..")</f>
        <v>2.49927E-2</v>
      </c>
      <c r="BJ1521" s="117">
        <f>IFERROR($BI1521*$AW1521,"..")</f>
        <v>2553560909.1934161</v>
      </c>
      <c r="BK1521" s="846">
        <f>IFERROR($BB1521/$BJ1521,"..")</f>
        <v>1.2239332383037131</v>
      </c>
      <c r="BL1521" s="117">
        <f>IFERROR(VLOOKUP($D1521,'WB Data'!$C$3:$M$578,7,FALSE)/100,"..")</f>
        <v>2.49927E-2</v>
      </c>
      <c r="BM1521" s="117">
        <f>IFERROR($AW1521*$BL1521,"..")</f>
        <v>2553560909.1934161</v>
      </c>
      <c r="BN1521" s="846">
        <f>IFERROR($BB1521/$BM1521,"..")</f>
        <v>1.2239332383037131</v>
      </c>
      <c r="BO1521" s="801">
        <f t="shared" si="256"/>
        <v>38</v>
      </c>
      <c r="BP1521" s="117">
        <f>VLOOKUP($D1521,'WB Data'!$C$3:$M$578,9,FALSE)</f>
        <v>42.4</v>
      </c>
      <c r="BQ1521" s="117">
        <f>VLOOKUP($D1521,'WB Data'!$C$3:$M$578,10,FALSE)</f>
        <v>73.014878048780488</v>
      </c>
      <c r="BR1521" s="117">
        <f>VLOOKUP($D1521,'WB Data'!$C$3:$M$578,11,FALSE)</f>
        <v>18.600000000000001</v>
      </c>
      <c r="BS1521" s="129">
        <f>IFERROR(VLOOKUP($D1521,'WB Data 2'!$C$2:$K$545,9,FALSE),"..")</f>
        <v>99.705489999999998</v>
      </c>
      <c r="BT1521" s="129">
        <f>_xlfn.IFNA(VLOOKUP($C1521,RGI!$A$2:$C$43,2,FALSE),"..")</f>
        <v>76.8</v>
      </c>
      <c r="BU1521" s="129">
        <f>_xlfn.IFNA(VLOOKUP($C1521,RGI!$A$2:$C$43,3,FALSE),"..")</f>
        <v>72.816147461462435</v>
      </c>
      <c r="BV1521" s="129">
        <f>VLOOKUP($D1521,WGI!$C$2:$O$478,7,FALSE)</f>
        <v>6.2703568528113707E-2</v>
      </c>
      <c r="BW1521" s="129">
        <f>VLOOKUP($D1521,WGI!$C$2:$O$478,4,FALSE)</f>
        <v>-0.76005136929099804</v>
      </c>
      <c r="BX1521" s="129">
        <f>VLOOKUP($D1521,WGI!$C$2:$O$478,3,FALSE)</f>
        <v>-0.50979739813082503</v>
      </c>
      <c r="BY1521" s="129">
        <f>VLOOKUP($D1521,WGI!$C$2:$O$478,5,FALSE)</f>
        <v>0.27595894070192201</v>
      </c>
      <c r="BZ1521" s="129">
        <f>VLOOKUP($D1521,WGI!$C$2:$O$478,2,FALSE)</f>
        <v>-0.260524325273502</v>
      </c>
    </row>
    <row r="1522" spans="1:78" ht="15" customHeight="1">
      <c r="A1522" s="294" t="s">
        <v>453</v>
      </c>
      <c r="B1522" s="117">
        <v>2007</v>
      </c>
      <c r="C1522" s="117" t="s">
        <v>449</v>
      </c>
      <c r="D1522" s="117" t="s">
        <v>3575</v>
      </c>
      <c r="E1522" s="452" t="s">
        <v>220</v>
      </c>
      <c r="F1522" s="117"/>
      <c r="G1522" s="120" t="s">
        <v>103</v>
      </c>
      <c r="H1522" s="117" t="str">
        <f t="shared" si="261"/>
        <v>no</v>
      </c>
      <c r="I1522" s="117" t="str">
        <f t="shared" si="253"/>
        <v>no</v>
      </c>
      <c r="J1522" s="117" t="str">
        <f t="shared" si="254"/>
        <v>yes</v>
      </c>
      <c r="K1522" s="117" t="s">
        <v>103</v>
      </c>
      <c r="L1522" s="117" t="str">
        <f t="shared" si="262"/>
        <v>detailed</v>
      </c>
      <c r="M1522" s="117" t="str">
        <f t="shared" si="255"/>
        <v>detailed Oil</v>
      </c>
      <c r="N1522" s="179">
        <v>35040000</v>
      </c>
      <c r="O1522" s="179"/>
      <c r="P1522" s="179"/>
      <c r="Q1522" s="179"/>
      <c r="R1522" s="179"/>
      <c r="S1522" s="117" t="s">
        <v>646</v>
      </c>
      <c r="T1522" s="119">
        <v>71.819999999999993</v>
      </c>
      <c r="U1522" s="117" t="s">
        <v>673</v>
      </c>
      <c r="V1522" s="117" t="s">
        <v>740</v>
      </c>
      <c r="W1522" s="89">
        <f>N1522*T1522</f>
        <v>2516572799.9999995</v>
      </c>
      <c r="X1522" s="117"/>
      <c r="Y1522" s="89"/>
      <c r="Z1522" s="89"/>
      <c r="AA1522" s="89"/>
      <c r="AB1522" s="89"/>
      <c r="AC1522" s="240" t="s">
        <v>2061</v>
      </c>
      <c r="AD1522" s="240"/>
      <c r="AE1522" s="240"/>
      <c r="AF1522" s="241"/>
      <c r="AG1522" s="89"/>
      <c r="AH1522" s="124"/>
      <c r="AI1522" s="117"/>
      <c r="AJ1522" s="117"/>
      <c r="AK1522" s="89"/>
      <c r="AL1522" s="117"/>
      <c r="AM1522" s="117"/>
      <c r="AN1522" s="117">
        <v>8</v>
      </c>
      <c r="AO1522" s="117" t="s">
        <v>2029</v>
      </c>
      <c r="AP1522" s="117">
        <v>8</v>
      </c>
      <c r="AQ1522" s="117"/>
      <c r="AR1522" s="117"/>
      <c r="AS1522" s="117"/>
      <c r="AT1522" s="117"/>
      <c r="AU1522" s="117"/>
      <c r="AV1522" s="128"/>
      <c r="AW1522" s="117">
        <f>VLOOKUP($D1522,'WB Data'!$C$3:$M$578,2,FALSE)</f>
        <v>102172270670.77251</v>
      </c>
      <c r="AX1522" s="117">
        <f>VLOOKUP($D1522,'WB Data'!$C$3:$M$578,3,FALSE)</f>
        <v>28328410</v>
      </c>
      <c r="AY1522" s="847">
        <f t="shared" si="257"/>
        <v>3.0589396244953212E-2</v>
      </c>
      <c r="AZ1522" s="117">
        <f>VLOOKUP($D1522,'WB Data'!$C$3:$M$578,4,FALSE)/100</f>
        <v>0.20970709473979002</v>
      </c>
      <c r="BA1522" s="117">
        <f t="shared" si="258"/>
        <v>21426250045.335159</v>
      </c>
      <c r="BB1522" s="129">
        <f>IFERROR(VLOOKUP($D1522,'EITI Revenues'!$C$2:$G$224,5,FALSE),"..")</f>
        <v>3125388072.7948718</v>
      </c>
      <c r="BC1522" s="846">
        <f t="shared" si="259"/>
        <v>0.14586724537340678</v>
      </c>
      <c r="BD1522" s="129">
        <f>VLOOKUP($D1522,'WB Data 2'!$C$2:$K$545,6,FALSE)</f>
        <v>19194682543.472164</v>
      </c>
      <c r="BE1522" s="129">
        <f>IFERROR(VLOOKUP($D1522,UNCTAD!$C$5:$V$529,4,FALSE),"..")</f>
        <v>31246090000</v>
      </c>
      <c r="BF1522" s="846">
        <f t="shared" si="260"/>
        <v>0.61430670344584437</v>
      </c>
      <c r="BG1522" s="117">
        <f>VLOOKUP($D1522,'WB Data'!$C$3:$M$578,5,FALSE)</f>
        <v>307030000</v>
      </c>
      <c r="BH1522" s="129">
        <f>IFERROR($BB1522/$BG1522,"..")</f>
        <v>10.179422443392736</v>
      </c>
      <c r="BI1522" s="117">
        <f>IFERROR(VLOOKUP($D1522,'WB Data'!$C$3:$M$578,7,FALSE)/100,"..")</f>
        <v>2.49927E-2</v>
      </c>
      <c r="BJ1522" s="117">
        <f>IFERROR($BI1522*$AW1522,"..")</f>
        <v>2553560909.1934161</v>
      </c>
      <c r="BK1522" s="846">
        <f>IFERROR($BB1522/$BJ1522,"..")</f>
        <v>1.2239332383037131</v>
      </c>
      <c r="BL1522" s="117">
        <f>IFERROR(VLOOKUP($D1522,'WB Data'!$C$3:$M$578,7,FALSE)/100,"..")</f>
        <v>2.49927E-2</v>
      </c>
      <c r="BM1522" s="117">
        <f>IFERROR($AW1522*$BL1522,"..")</f>
        <v>2553560909.1934161</v>
      </c>
      <c r="BN1522" s="846">
        <f>IFERROR($BB1522/$BM1522,"..")</f>
        <v>1.2239332383037131</v>
      </c>
      <c r="BO1522" s="801">
        <f t="shared" si="256"/>
        <v>38</v>
      </c>
      <c r="BP1522" s="117">
        <f>VLOOKUP($D1522,'WB Data'!$C$3:$M$578,9,FALSE)</f>
        <v>42.4</v>
      </c>
      <c r="BQ1522" s="117">
        <f>VLOOKUP($D1522,'WB Data'!$C$3:$M$578,10,FALSE)</f>
        <v>73.014878048780488</v>
      </c>
      <c r="BR1522" s="117">
        <f>VLOOKUP($D1522,'WB Data'!$C$3:$M$578,11,FALSE)</f>
        <v>18.600000000000001</v>
      </c>
      <c r="BS1522" s="129">
        <f>IFERROR(VLOOKUP($D1522,'WB Data 2'!$C$2:$K$545,9,FALSE),"..")</f>
        <v>99.705489999999998</v>
      </c>
      <c r="BT1522" s="129">
        <f>_xlfn.IFNA(VLOOKUP($C1522,RGI!$A$2:$C$43,2,FALSE),"..")</f>
        <v>76.8</v>
      </c>
      <c r="BU1522" s="129">
        <f>_xlfn.IFNA(VLOOKUP($C1522,RGI!$A$2:$C$43,3,FALSE),"..")</f>
        <v>72.816147461462435</v>
      </c>
      <c r="BV1522" s="129">
        <f>VLOOKUP($D1522,WGI!$C$2:$O$478,7,FALSE)</f>
        <v>6.2703568528113707E-2</v>
      </c>
      <c r="BW1522" s="129">
        <f>VLOOKUP($D1522,WGI!$C$2:$O$478,4,FALSE)</f>
        <v>-0.76005136929099804</v>
      </c>
      <c r="BX1522" s="129">
        <f>VLOOKUP($D1522,WGI!$C$2:$O$478,3,FALSE)</f>
        <v>-0.50979739813082503</v>
      </c>
      <c r="BY1522" s="129">
        <f>VLOOKUP($D1522,WGI!$C$2:$O$478,5,FALSE)</f>
        <v>0.27595894070192201</v>
      </c>
      <c r="BZ1522" s="129">
        <f>VLOOKUP($D1522,WGI!$C$2:$O$478,2,FALSE)</f>
        <v>-0.260524325273502</v>
      </c>
    </row>
    <row r="1523" spans="1:78" ht="15" customHeight="1">
      <c r="A1523" s="294" t="s">
        <v>453</v>
      </c>
      <c r="B1523" s="117">
        <v>2007</v>
      </c>
      <c r="C1523" s="117" t="s">
        <v>449</v>
      </c>
      <c r="D1523" s="117" t="s">
        <v>3575</v>
      </c>
      <c r="E1523" s="452" t="s">
        <v>220</v>
      </c>
      <c r="F1523" s="117"/>
      <c r="G1523" s="120" t="s">
        <v>24</v>
      </c>
      <c r="H1523" s="117" t="str">
        <f t="shared" si="261"/>
        <v>yes</v>
      </c>
      <c r="I1523" s="117" t="str">
        <f t="shared" si="253"/>
        <v>no</v>
      </c>
      <c r="J1523" s="117" t="str">
        <f t="shared" si="254"/>
        <v>no</v>
      </c>
      <c r="K1523" s="117" t="s">
        <v>600</v>
      </c>
      <c r="L1523" s="117" t="str">
        <f t="shared" si="262"/>
        <v>Total</v>
      </c>
      <c r="M1523" s="117" t="str">
        <f t="shared" si="255"/>
        <v>Total Mining</v>
      </c>
      <c r="N1523" s="179"/>
      <c r="O1523" s="179"/>
      <c r="P1523" s="179"/>
      <c r="Q1523" s="179"/>
      <c r="R1523" s="179"/>
      <c r="S1523" s="117"/>
      <c r="T1523" s="119"/>
      <c r="U1523" s="117"/>
      <c r="V1523" s="117"/>
      <c r="W1523" s="89">
        <f>SUM(W1524:W1547)</f>
        <v>19471725643.433014</v>
      </c>
      <c r="X1523" s="117"/>
      <c r="Y1523" s="492"/>
      <c r="Z1523" s="492"/>
      <c r="AA1523" s="89">
        <v>2462270355.2692308</v>
      </c>
      <c r="AB1523" s="89">
        <v>2462970312.974359</v>
      </c>
      <c r="AC1523" s="240"/>
      <c r="AD1523" s="240"/>
      <c r="AE1523" s="240"/>
      <c r="AF1523" s="241">
        <f>AA1523/W1523</f>
        <v>0.12645362821757147</v>
      </c>
      <c r="AG1523" s="492"/>
      <c r="AH1523" s="124"/>
      <c r="AI1523" s="117"/>
      <c r="AJ1523" s="117"/>
      <c r="AK1523" s="89"/>
      <c r="AL1523" s="117"/>
      <c r="AM1523" s="117"/>
      <c r="AN1523" s="117">
        <v>24</v>
      </c>
      <c r="AO1523" s="117" t="s">
        <v>2030</v>
      </c>
      <c r="AP1523" s="117">
        <v>24</v>
      </c>
      <c r="AQ1523" s="117"/>
      <c r="AR1523" s="117"/>
      <c r="AS1523" s="117"/>
      <c r="AT1523" s="117"/>
      <c r="AU1523" s="117"/>
      <c r="AV1523" s="128"/>
      <c r="AW1523" s="117">
        <f>VLOOKUP($D1523,'WB Data'!$C$3:$M$578,2,FALSE)</f>
        <v>102172270670.77251</v>
      </c>
      <c r="AX1523" s="117">
        <f>VLOOKUP($D1523,'WB Data'!$C$3:$M$578,3,FALSE)</f>
        <v>28328410</v>
      </c>
      <c r="AY1523" s="847">
        <f t="shared" si="257"/>
        <v>3.0589396244953212E-2</v>
      </c>
      <c r="AZ1523" s="117">
        <f>VLOOKUP($D1523,'WB Data'!$C$3:$M$578,4,FALSE)/100</f>
        <v>0.20970709473979002</v>
      </c>
      <c r="BA1523" s="117">
        <f t="shared" si="258"/>
        <v>21426250045.335159</v>
      </c>
      <c r="BB1523" s="129">
        <f>IFERROR(VLOOKUP($D1523,'EITI Revenues'!$C$2:$G$224,5,FALSE),"..")</f>
        <v>3125388072.7948718</v>
      </c>
      <c r="BC1523" s="846">
        <f t="shared" si="259"/>
        <v>0.14586724537340678</v>
      </c>
      <c r="BD1523" s="129">
        <f>VLOOKUP($D1523,'WB Data 2'!$C$2:$K$545,6,FALSE)</f>
        <v>19194682543.472164</v>
      </c>
      <c r="BE1523" s="129">
        <f>IFERROR(VLOOKUP($D1523,UNCTAD!$C$5:$V$529,4,FALSE),"..")</f>
        <v>31246090000</v>
      </c>
      <c r="BF1523" s="846">
        <f t="shared" si="260"/>
        <v>0.61430670344584437</v>
      </c>
      <c r="BG1523" s="117">
        <f>VLOOKUP($D1523,'WB Data'!$C$3:$M$578,5,FALSE)</f>
        <v>307030000</v>
      </c>
      <c r="BH1523" s="129">
        <f>IFERROR($BB1523/$BG1523,"..")</f>
        <v>10.179422443392736</v>
      </c>
      <c r="BI1523" s="117">
        <f>IFERROR(VLOOKUP($D1523,'WB Data'!$C$3:$M$578,7,FALSE)/100,"..")</f>
        <v>2.49927E-2</v>
      </c>
      <c r="BJ1523" s="117">
        <f>IFERROR($BI1523*$AW1523,"..")</f>
        <v>2553560909.1934161</v>
      </c>
      <c r="BK1523" s="846">
        <f>IFERROR($BB1523/$BJ1523,"..")</f>
        <v>1.2239332383037131</v>
      </c>
      <c r="BL1523" s="117">
        <f>IFERROR(VLOOKUP($D1523,'WB Data'!$C$3:$M$578,7,FALSE)/100,"..")</f>
        <v>2.49927E-2</v>
      </c>
      <c r="BM1523" s="117">
        <f>IFERROR($AW1523*$BL1523,"..")</f>
        <v>2553560909.1934161</v>
      </c>
      <c r="BN1523" s="846">
        <f>IFERROR($BB1523/$BM1523,"..")</f>
        <v>1.2239332383037131</v>
      </c>
      <c r="BO1523" s="801">
        <f t="shared" si="256"/>
        <v>38</v>
      </c>
      <c r="BP1523" s="117">
        <f>VLOOKUP($D1523,'WB Data'!$C$3:$M$578,9,FALSE)</f>
        <v>42.4</v>
      </c>
      <c r="BQ1523" s="117">
        <f>VLOOKUP($D1523,'WB Data'!$C$3:$M$578,10,FALSE)</f>
        <v>73.014878048780488</v>
      </c>
      <c r="BR1523" s="117">
        <f>VLOOKUP($D1523,'WB Data'!$C$3:$M$578,11,FALSE)</f>
        <v>18.600000000000001</v>
      </c>
      <c r="BS1523" s="129">
        <f>IFERROR(VLOOKUP($D1523,'WB Data 2'!$C$2:$K$545,9,FALSE),"..")</f>
        <v>99.705489999999998</v>
      </c>
      <c r="BT1523" s="129">
        <f>_xlfn.IFNA(VLOOKUP($C1523,RGI!$A$2:$C$43,2,FALSE),"..")</f>
        <v>76.8</v>
      </c>
      <c r="BU1523" s="129">
        <f>_xlfn.IFNA(VLOOKUP($C1523,RGI!$A$2:$C$43,3,FALSE),"..")</f>
        <v>72.816147461462435</v>
      </c>
      <c r="BV1523" s="129">
        <f>VLOOKUP($D1523,WGI!$C$2:$O$478,7,FALSE)</f>
        <v>6.2703568528113707E-2</v>
      </c>
      <c r="BW1523" s="129">
        <f>VLOOKUP($D1523,WGI!$C$2:$O$478,4,FALSE)</f>
        <v>-0.76005136929099804</v>
      </c>
      <c r="BX1523" s="129">
        <f>VLOOKUP($D1523,WGI!$C$2:$O$478,3,FALSE)</f>
        <v>-0.50979739813082503</v>
      </c>
      <c r="BY1523" s="129">
        <f>VLOOKUP($D1523,WGI!$C$2:$O$478,5,FALSE)</f>
        <v>0.27595894070192201</v>
      </c>
      <c r="BZ1523" s="129">
        <f>VLOOKUP($D1523,WGI!$C$2:$O$478,2,FALSE)</f>
        <v>-0.260524325273502</v>
      </c>
    </row>
    <row r="1524" spans="1:78" ht="15" customHeight="1">
      <c r="A1524" s="294" t="s">
        <v>453</v>
      </c>
      <c r="B1524" s="117">
        <v>2007</v>
      </c>
      <c r="C1524" s="117" t="s">
        <v>449</v>
      </c>
      <c r="D1524" s="117" t="s">
        <v>3575</v>
      </c>
      <c r="E1524" s="452" t="s">
        <v>220</v>
      </c>
      <c r="F1524" s="117"/>
      <c r="G1524" s="120" t="s">
        <v>24</v>
      </c>
      <c r="H1524" s="117" t="str">
        <f t="shared" si="261"/>
        <v>yes</v>
      </c>
      <c r="I1524" s="117" t="str">
        <f t="shared" si="253"/>
        <v>no</v>
      </c>
      <c r="J1524" s="117" t="str">
        <f t="shared" si="254"/>
        <v>no</v>
      </c>
      <c r="K1524" s="117" t="s">
        <v>2031</v>
      </c>
      <c r="L1524" s="117" t="str">
        <f t="shared" si="262"/>
        <v>detailed</v>
      </c>
      <c r="M1524" s="117" t="str">
        <f t="shared" si="255"/>
        <v>detailed Mining</v>
      </c>
      <c r="N1524" s="179">
        <v>1114</v>
      </c>
      <c r="O1524" s="179"/>
      <c r="P1524" s="179"/>
      <c r="Q1524" s="179"/>
      <c r="R1524" s="179"/>
      <c r="S1524" s="117" t="s">
        <v>610</v>
      </c>
      <c r="T1524" s="119">
        <f>14.07/0.000453592</f>
        <v>31019.065591985749</v>
      </c>
      <c r="U1524" s="120" t="s">
        <v>611</v>
      </c>
      <c r="V1524" s="120" t="s">
        <v>2071</v>
      </c>
      <c r="W1524" s="89">
        <f>N1524*T1524</f>
        <v>34555239.069472127</v>
      </c>
      <c r="X1524" s="117"/>
      <c r="Y1524" s="120"/>
      <c r="Z1524" s="120"/>
      <c r="AA1524" s="89"/>
      <c r="AB1524" s="89"/>
      <c r="AC1524" s="240"/>
      <c r="AD1524" s="240"/>
      <c r="AE1524" s="240"/>
      <c r="AF1524" s="241"/>
      <c r="AG1524" s="120"/>
      <c r="AH1524" s="124"/>
      <c r="AI1524" s="117"/>
      <c r="AJ1524" s="117"/>
      <c r="AK1524" s="89"/>
      <c r="AL1524" s="117"/>
      <c r="AM1524" s="117"/>
      <c r="AN1524" s="117"/>
      <c r="AO1524" s="117"/>
      <c r="AP1524" s="117"/>
      <c r="AQ1524" s="117"/>
      <c r="AR1524" s="117"/>
      <c r="AS1524" s="117"/>
      <c r="AT1524" s="117"/>
      <c r="AU1524" s="117"/>
      <c r="AV1524" s="128"/>
      <c r="AW1524" s="117">
        <f>VLOOKUP($D1524,'WB Data'!$C$3:$M$578,2,FALSE)</f>
        <v>102172270670.77251</v>
      </c>
      <c r="AX1524" s="117">
        <f>VLOOKUP($D1524,'WB Data'!$C$3:$M$578,3,FALSE)</f>
        <v>28328410</v>
      </c>
      <c r="AY1524" s="847">
        <f t="shared" si="257"/>
        <v>3.0589396244953212E-2</v>
      </c>
      <c r="AZ1524" s="117">
        <f>VLOOKUP($D1524,'WB Data'!$C$3:$M$578,4,FALSE)/100</f>
        <v>0.20970709473979002</v>
      </c>
      <c r="BA1524" s="117">
        <f t="shared" si="258"/>
        <v>21426250045.335159</v>
      </c>
      <c r="BB1524" s="129">
        <f>IFERROR(VLOOKUP($D1524,'EITI Revenues'!$C$2:$G$224,5,FALSE),"..")</f>
        <v>3125388072.7948718</v>
      </c>
      <c r="BC1524" s="846">
        <f t="shared" si="259"/>
        <v>0.14586724537340678</v>
      </c>
      <c r="BD1524" s="129">
        <f>VLOOKUP($D1524,'WB Data 2'!$C$2:$K$545,6,FALSE)</f>
        <v>19194682543.472164</v>
      </c>
      <c r="BE1524" s="129">
        <f>IFERROR(VLOOKUP($D1524,UNCTAD!$C$5:$V$529,4,FALSE),"..")</f>
        <v>31246090000</v>
      </c>
      <c r="BF1524" s="846">
        <f t="shared" si="260"/>
        <v>0.61430670344584437</v>
      </c>
      <c r="BG1524" s="117">
        <f>VLOOKUP($D1524,'WB Data'!$C$3:$M$578,5,FALSE)</f>
        <v>307030000</v>
      </c>
      <c r="BH1524" s="129">
        <f>IFERROR($BB1524/$BG1524,"..")</f>
        <v>10.179422443392736</v>
      </c>
      <c r="BI1524" s="117">
        <f>IFERROR(VLOOKUP($D1524,'WB Data'!$C$3:$M$578,7,FALSE)/100,"..")</f>
        <v>2.49927E-2</v>
      </c>
      <c r="BJ1524" s="117">
        <f>IFERROR($BI1524*$AW1524,"..")</f>
        <v>2553560909.1934161</v>
      </c>
      <c r="BK1524" s="846">
        <f>IFERROR($BB1524/$BJ1524,"..")</f>
        <v>1.2239332383037131</v>
      </c>
      <c r="BL1524" s="117">
        <f>IFERROR(VLOOKUP($D1524,'WB Data'!$C$3:$M$578,7,FALSE)/100,"..")</f>
        <v>2.49927E-2</v>
      </c>
      <c r="BM1524" s="117">
        <f>IFERROR($AW1524*$BL1524,"..")</f>
        <v>2553560909.1934161</v>
      </c>
      <c r="BN1524" s="846">
        <f>IFERROR($BB1524/$BM1524,"..")</f>
        <v>1.2239332383037131</v>
      </c>
      <c r="BO1524" s="801">
        <f t="shared" si="256"/>
        <v>38</v>
      </c>
      <c r="BP1524" s="117">
        <f>VLOOKUP($D1524,'WB Data'!$C$3:$M$578,9,FALSE)</f>
        <v>42.4</v>
      </c>
      <c r="BQ1524" s="117">
        <f>VLOOKUP($D1524,'WB Data'!$C$3:$M$578,10,FALSE)</f>
        <v>73.014878048780488</v>
      </c>
      <c r="BR1524" s="117">
        <f>VLOOKUP($D1524,'WB Data'!$C$3:$M$578,11,FALSE)</f>
        <v>18.600000000000001</v>
      </c>
      <c r="BS1524" s="129">
        <f>IFERROR(VLOOKUP($D1524,'WB Data 2'!$C$2:$K$545,9,FALSE),"..")</f>
        <v>99.705489999999998</v>
      </c>
      <c r="BT1524" s="129">
        <f>_xlfn.IFNA(VLOOKUP($C1524,RGI!$A$2:$C$43,2,FALSE),"..")</f>
        <v>76.8</v>
      </c>
      <c r="BU1524" s="129">
        <f>_xlfn.IFNA(VLOOKUP($C1524,RGI!$A$2:$C$43,3,FALSE),"..")</f>
        <v>72.816147461462435</v>
      </c>
      <c r="BV1524" s="129">
        <f>VLOOKUP($D1524,WGI!$C$2:$O$478,7,FALSE)</f>
        <v>6.2703568528113707E-2</v>
      </c>
      <c r="BW1524" s="129">
        <f>VLOOKUP($D1524,WGI!$C$2:$O$478,4,FALSE)</f>
        <v>-0.76005136929099804</v>
      </c>
      <c r="BX1524" s="129">
        <f>VLOOKUP($D1524,WGI!$C$2:$O$478,3,FALSE)</f>
        <v>-0.50979739813082503</v>
      </c>
      <c r="BY1524" s="129">
        <f>VLOOKUP($D1524,WGI!$C$2:$O$478,5,FALSE)</f>
        <v>0.27595894070192201</v>
      </c>
      <c r="BZ1524" s="129">
        <f>VLOOKUP($D1524,WGI!$C$2:$O$478,2,FALSE)</f>
        <v>-0.260524325273502</v>
      </c>
    </row>
    <row r="1525" spans="1:78" ht="15" customHeight="1">
      <c r="A1525" s="294" t="s">
        <v>453</v>
      </c>
      <c r="B1525" s="117">
        <v>2007</v>
      </c>
      <c r="C1525" s="117" t="s">
        <v>449</v>
      </c>
      <c r="D1525" s="117" t="s">
        <v>3575</v>
      </c>
      <c r="E1525" s="452" t="s">
        <v>220</v>
      </c>
      <c r="F1525" s="117"/>
      <c r="G1525" s="120" t="s">
        <v>24</v>
      </c>
      <c r="H1525" s="117" t="str">
        <f t="shared" si="261"/>
        <v>yes</v>
      </c>
      <c r="I1525" s="117" t="str">
        <f t="shared" si="253"/>
        <v>no</v>
      </c>
      <c r="J1525" s="117" t="str">
        <f t="shared" si="254"/>
        <v>no</v>
      </c>
      <c r="K1525" s="117" t="s">
        <v>619</v>
      </c>
      <c r="L1525" s="117" t="str">
        <f t="shared" si="262"/>
        <v>detailed</v>
      </c>
      <c r="M1525" s="117" t="str">
        <f t="shared" si="255"/>
        <v>detailed Mining</v>
      </c>
      <c r="N1525" s="179"/>
      <c r="O1525" s="179"/>
      <c r="P1525" s="179"/>
      <c r="Q1525" s="179"/>
      <c r="R1525" s="179"/>
      <c r="S1525" s="117"/>
      <c r="T1525" s="186">
        <v>7118.2259999999997</v>
      </c>
      <c r="U1525" s="117" t="s">
        <v>611</v>
      </c>
      <c r="V1525" s="117" t="s">
        <v>681</v>
      </c>
      <c r="W1525" s="89">
        <f>SUM(N1527:N1528)*T1525</f>
        <v>4602972369.9959993</v>
      </c>
      <c r="X1525" s="117"/>
      <c r="Y1525" s="120"/>
      <c r="Z1525" s="120"/>
      <c r="AA1525" s="89"/>
      <c r="AB1525" s="89"/>
      <c r="AC1525" s="240" t="s">
        <v>2062</v>
      </c>
      <c r="AD1525" s="240"/>
      <c r="AE1525" s="240"/>
      <c r="AF1525" s="241"/>
      <c r="AG1525" s="120"/>
      <c r="AH1525" s="124"/>
      <c r="AI1525" s="117"/>
      <c r="AJ1525" s="117"/>
      <c r="AK1525" s="89"/>
      <c r="AL1525" s="117"/>
      <c r="AM1525" s="117"/>
      <c r="AN1525" s="117">
        <v>17</v>
      </c>
      <c r="AO1525" s="117" t="s">
        <v>2034</v>
      </c>
      <c r="AP1525" s="117">
        <v>17</v>
      </c>
      <c r="AQ1525" s="117"/>
      <c r="AR1525" s="117"/>
      <c r="AS1525" s="117"/>
      <c r="AT1525" s="117"/>
      <c r="AU1525" s="117"/>
      <c r="AV1525" s="128"/>
      <c r="AW1525" s="117">
        <f>VLOOKUP($D1525,'WB Data'!$C$3:$M$578,2,FALSE)</f>
        <v>102172270670.77251</v>
      </c>
      <c r="AX1525" s="117">
        <f>VLOOKUP($D1525,'WB Data'!$C$3:$M$578,3,FALSE)</f>
        <v>28328410</v>
      </c>
      <c r="AY1525" s="847">
        <f t="shared" si="257"/>
        <v>3.0589396244953212E-2</v>
      </c>
      <c r="AZ1525" s="117">
        <f>VLOOKUP($D1525,'WB Data'!$C$3:$M$578,4,FALSE)/100</f>
        <v>0.20970709473979002</v>
      </c>
      <c r="BA1525" s="117">
        <f t="shared" si="258"/>
        <v>21426250045.335159</v>
      </c>
      <c r="BB1525" s="129">
        <f>IFERROR(VLOOKUP($D1525,'EITI Revenues'!$C$2:$G$224,5,FALSE),"..")</f>
        <v>3125388072.7948718</v>
      </c>
      <c r="BC1525" s="846">
        <f t="shared" si="259"/>
        <v>0.14586724537340678</v>
      </c>
      <c r="BD1525" s="129">
        <f>VLOOKUP($D1525,'WB Data 2'!$C$2:$K$545,6,FALSE)</f>
        <v>19194682543.472164</v>
      </c>
      <c r="BE1525" s="129">
        <f>IFERROR(VLOOKUP($D1525,UNCTAD!$C$5:$V$529,4,FALSE),"..")</f>
        <v>31246090000</v>
      </c>
      <c r="BF1525" s="846">
        <f t="shared" si="260"/>
        <v>0.61430670344584437</v>
      </c>
      <c r="BG1525" s="117">
        <f>VLOOKUP($D1525,'WB Data'!$C$3:$M$578,5,FALSE)</f>
        <v>307030000</v>
      </c>
      <c r="BH1525" s="129">
        <f>IFERROR($BB1525/$BG1525,"..")</f>
        <v>10.179422443392736</v>
      </c>
      <c r="BI1525" s="117">
        <f>IFERROR(VLOOKUP($D1525,'WB Data'!$C$3:$M$578,7,FALSE)/100,"..")</f>
        <v>2.49927E-2</v>
      </c>
      <c r="BJ1525" s="117">
        <f>IFERROR($BI1525*$AW1525,"..")</f>
        <v>2553560909.1934161</v>
      </c>
      <c r="BK1525" s="846">
        <f>IFERROR($BB1525/$BJ1525,"..")</f>
        <v>1.2239332383037131</v>
      </c>
      <c r="BL1525" s="117">
        <f>IFERROR(VLOOKUP($D1525,'WB Data'!$C$3:$M$578,7,FALSE)/100,"..")</f>
        <v>2.49927E-2</v>
      </c>
      <c r="BM1525" s="117">
        <f>IFERROR($AW1525*$BL1525,"..")</f>
        <v>2553560909.1934161</v>
      </c>
      <c r="BN1525" s="846">
        <f>IFERROR($BB1525/$BM1525,"..")</f>
        <v>1.2239332383037131</v>
      </c>
      <c r="BO1525" s="801">
        <f t="shared" si="256"/>
        <v>38</v>
      </c>
      <c r="BP1525" s="117">
        <f>VLOOKUP($D1525,'WB Data'!$C$3:$M$578,9,FALSE)</f>
        <v>42.4</v>
      </c>
      <c r="BQ1525" s="117">
        <f>VLOOKUP($D1525,'WB Data'!$C$3:$M$578,10,FALSE)</f>
        <v>73.014878048780488</v>
      </c>
      <c r="BR1525" s="117">
        <f>VLOOKUP($D1525,'WB Data'!$C$3:$M$578,11,FALSE)</f>
        <v>18.600000000000001</v>
      </c>
      <c r="BS1525" s="129">
        <f>IFERROR(VLOOKUP($D1525,'WB Data 2'!$C$2:$K$545,9,FALSE),"..")</f>
        <v>99.705489999999998</v>
      </c>
      <c r="BT1525" s="129">
        <f>_xlfn.IFNA(VLOOKUP($C1525,RGI!$A$2:$C$43,2,FALSE),"..")</f>
        <v>76.8</v>
      </c>
      <c r="BU1525" s="129">
        <f>_xlfn.IFNA(VLOOKUP($C1525,RGI!$A$2:$C$43,3,FALSE),"..")</f>
        <v>72.816147461462435</v>
      </c>
      <c r="BV1525" s="129">
        <f>VLOOKUP($D1525,WGI!$C$2:$O$478,7,FALSE)</f>
        <v>6.2703568528113707E-2</v>
      </c>
      <c r="BW1525" s="129">
        <f>VLOOKUP($D1525,WGI!$C$2:$O$478,4,FALSE)</f>
        <v>-0.76005136929099804</v>
      </c>
      <c r="BX1525" s="129">
        <f>VLOOKUP($D1525,WGI!$C$2:$O$478,3,FALSE)</f>
        <v>-0.50979739813082503</v>
      </c>
      <c r="BY1525" s="129">
        <f>VLOOKUP($D1525,WGI!$C$2:$O$478,5,FALSE)</f>
        <v>0.27595894070192201</v>
      </c>
      <c r="BZ1525" s="129">
        <f>VLOOKUP($D1525,WGI!$C$2:$O$478,2,FALSE)</f>
        <v>-0.260524325273502</v>
      </c>
    </row>
    <row r="1526" spans="1:78" ht="15" customHeight="1">
      <c r="A1526" s="294" t="s">
        <v>453</v>
      </c>
      <c r="B1526" s="117">
        <v>2007</v>
      </c>
      <c r="C1526" s="117" t="s">
        <v>449</v>
      </c>
      <c r="D1526" s="117" t="s">
        <v>3575</v>
      </c>
      <c r="E1526" s="452" t="s">
        <v>220</v>
      </c>
      <c r="F1526" s="117"/>
      <c r="G1526" s="120" t="s">
        <v>24</v>
      </c>
      <c r="H1526" s="117" t="str">
        <f t="shared" si="261"/>
        <v>yes</v>
      </c>
      <c r="I1526" s="117" t="str">
        <f t="shared" si="253"/>
        <v>no</v>
      </c>
      <c r="J1526" s="117" t="str">
        <f t="shared" si="254"/>
        <v>no</v>
      </c>
      <c r="K1526" s="117" t="s">
        <v>1324</v>
      </c>
      <c r="L1526" s="117" t="str">
        <f t="shared" si="262"/>
        <v>detailed</v>
      </c>
      <c r="M1526" s="117" t="str">
        <f t="shared" si="255"/>
        <v>detailed Mining</v>
      </c>
      <c r="N1526" s="179">
        <v>1018155</v>
      </c>
      <c r="O1526" s="179"/>
      <c r="P1526" s="179"/>
      <c r="Q1526" s="179"/>
      <c r="R1526" s="179"/>
      <c r="S1526" s="117" t="s">
        <v>610</v>
      </c>
      <c r="T1526" s="119"/>
      <c r="U1526" s="117"/>
      <c r="V1526" s="117" t="s">
        <v>847</v>
      </c>
      <c r="W1526" s="89"/>
      <c r="X1526" s="117"/>
      <c r="Y1526" s="120"/>
      <c r="Z1526" s="120"/>
      <c r="AA1526" s="89"/>
      <c r="AB1526" s="89"/>
      <c r="AC1526" s="240"/>
      <c r="AD1526" s="240"/>
      <c r="AE1526" s="240"/>
      <c r="AF1526" s="241"/>
      <c r="AG1526" s="120"/>
      <c r="AH1526" s="124"/>
      <c r="AI1526" s="117"/>
      <c r="AJ1526" s="117"/>
      <c r="AK1526" s="89"/>
      <c r="AL1526" s="117"/>
      <c r="AM1526" s="117"/>
      <c r="AN1526" s="117"/>
      <c r="AO1526" s="117"/>
      <c r="AP1526" s="117"/>
      <c r="AQ1526" s="117"/>
      <c r="AR1526" s="117"/>
      <c r="AS1526" s="117"/>
      <c r="AT1526" s="117"/>
      <c r="AU1526" s="117"/>
      <c r="AV1526" s="128"/>
      <c r="AW1526" s="117">
        <f>VLOOKUP($D1526,'WB Data'!$C$3:$M$578,2,FALSE)</f>
        <v>102172270670.77251</v>
      </c>
      <c r="AX1526" s="117">
        <f>VLOOKUP($D1526,'WB Data'!$C$3:$M$578,3,FALSE)</f>
        <v>28328410</v>
      </c>
      <c r="AY1526" s="847">
        <f t="shared" si="257"/>
        <v>3.0589396244953212E-2</v>
      </c>
      <c r="AZ1526" s="117">
        <f>VLOOKUP($D1526,'WB Data'!$C$3:$M$578,4,FALSE)/100</f>
        <v>0.20970709473979002</v>
      </c>
      <c r="BA1526" s="117">
        <f t="shared" si="258"/>
        <v>21426250045.335159</v>
      </c>
      <c r="BB1526" s="129">
        <f>IFERROR(VLOOKUP($D1526,'EITI Revenues'!$C$2:$G$224,5,FALSE),"..")</f>
        <v>3125388072.7948718</v>
      </c>
      <c r="BC1526" s="846">
        <f t="shared" si="259"/>
        <v>0.14586724537340678</v>
      </c>
      <c r="BD1526" s="129">
        <f>VLOOKUP($D1526,'WB Data 2'!$C$2:$K$545,6,FALSE)</f>
        <v>19194682543.472164</v>
      </c>
      <c r="BE1526" s="129">
        <f>IFERROR(VLOOKUP($D1526,UNCTAD!$C$5:$V$529,4,FALSE),"..")</f>
        <v>31246090000</v>
      </c>
      <c r="BF1526" s="846">
        <f t="shared" si="260"/>
        <v>0.61430670344584437</v>
      </c>
      <c r="BG1526" s="117">
        <f>VLOOKUP($D1526,'WB Data'!$C$3:$M$578,5,FALSE)</f>
        <v>307030000</v>
      </c>
      <c r="BH1526" s="129">
        <f>IFERROR($BB1526/$BG1526,"..")</f>
        <v>10.179422443392736</v>
      </c>
      <c r="BI1526" s="117">
        <f>IFERROR(VLOOKUP($D1526,'WB Data'!$C$3:$M$578,7,FALSE)/100,"..")</f>
        <v>2.49927E-2</v>
      </c>
      <c r="BJ1526" s="117">
        <f>IFERROR($BI1526*$AW1526,"..")</f>
        <v>2553560909.1934161</v>
      </c>
      <c r="BK1526" s="846">
        <f>IFERROR($BB1526/$BJ1526,"..")</f>
        <v>1.2239332383037131</v>
      </c>
      <c r="BL1526" s="117">
        <f>IFERROR(VLOOKUP($D1526,'WB Data'!$C$3:$M$578,7,FALSE)/100,"..")</f>
        <v>2.49927E-2</v>
      </c>
      <c r="BM1526" s="117">
        <f>IFERROR($AW1526*$BL1526,"..")</f>
        <v>2553560909.1934161</v>
      </c>
      <c r="BN1526" s="846">
        <f>IFERROR($BB1526/$BM1526,"..")</f>
        <v>1.2239332383037131</v>
      </c>
      <c r="BO1526" s="801">
        <f t="shared" si="256"/>
        <v>38</v>
      </c>
      <c r="BP1526" s="117">
        <f>VLOOKUP($D1526,'WB Data'!$C$3:$M$578,9,FALSE)</f>
        <v>42.4</v>
      </c>
      <c r="BQ1526" s="117">
        <f>VLOOKUP($D1526,'WB Data'!$C$3:$M$578,10,FALSE)</f>
        <v>73.014878048780488</v>
      </c>
      <c r="BR1526" s="117">
        <f>VLOOKUP($D1526,'WB Data'!$C$3:$M$578,11,FALSE)</f>
        <v>18.600000000000001</v>
      </c>
      <c r="BS1526" s="129">
        <f>IFERROR(VLOOKUP($D1526,'WB Data 2'!$C$2:$K$545,9,FALSE),"..")</f>
        <v>99.705489999999998</v>
      </c>
      <c r="BT1526" s="129">
        <f>_xlfn.IFNA(VLOOKUP($C1526,RGI!$A$2:$C$43,2,FALSE),"..")</f>
        <v>76.8</v>
      </c>
      <c r="BU1526" s="129">
        <f>_xlfn.IFNA(VLOOKUP($C1526,RGI!$A$2:$C$43,3,FALSE),"..")</f>
        <v>72.816147461462435</v>
      </c>
      <c r="BV1526" s="129">
        <f>VLOOKUP($D1526,WGI!$C$2:$O$478,7,FALSE)</f>
        <v>6.2703568528113707E-2</v>
      </c>
      <c r="BW1526" s="129">
        <f>VLOOKUP($D1526,WGI!$C$2:$O$478,4,FALSE)</f>
        <v>-0.76005136929099804</v>
      </c>
      <c r="BX1526" s="129">
        <f>VLOOKUP($D1526,WGI!$C$2:$O$478,3,FALSE)</f>
        <v>-0.50979739813082503</v>
      </c>
      <c r="BY1526" s="129">
        <f>VLOOKUP($D1526,WGI!$C$2:$O$478,5,FALSE)</f>
        <v>0.27595894070192201</v>
      </c>
      <c r="BZ1526" s="129">
        <f>VLOOKUP($D1526,WGI!$C$2:$O$478,2,FALSE)</f>
        <v>-0.260524325273502</v>
      </c>
    </row>
    <row r="1527" spans="1:78" ht="15" customHeight="1">
      <c r="A1527" s="294" t="s">
        <v>453</v>
      </c>
      <c r="B1527" s="117">
        <v>2007</v>
      </c>
      <c r="C1527" s="117" t="s">
        <v>449</v>
      </c>
      <c r="D1527" s="117" t="s">
        <v>3575</v>
      </c>
      <c r="E1527" s="452" t="s">
        <v>220</v>
      </c>
      <c r="F1527" s="117"/>
      <c r="G1527" s="120" t="s">
        <v>24</v>
      </c>
      <c r="H1527" s="117" t="str">
        <f t="shared" si="261"/>
        <v>yes</v>
      </c>
      <c r="I1527" s="117" t="str">
        <f t="shared" si="253"/>
        <v>no</v>
      </c>
      <c r="J1527" s="117" t="str">
        <f t="shared" si="254"/>
        <v>no</v>
      </c>
      <c r="K1527" s="117" t="s">
        <v>1421</v>
      </c>
      <c r="L1527" s="117" t="str">
        <f t="shared" si="262"/>
        <v>detailed</v>
      </c>
      <c r="M1527" s="117" t="str">
        <f t="shared" si="255"/>
        <v>detailed Mining</v>
      </c>
      <c r="N1527" s="179">
        <v>236809</v>
      </c>
      <c r="O1527" s="179"/>
      <c r="P1527" s="179"/>
      <c r="Q1527" s="179"/>
      <c r="R1527" s="179"/>
      <c r="S1527" s="117" t="s">
        <v>610</v>
      </c>
      <c r="T1527" s="119"/>
      <c r="U1527" s="117"/>
      <c r="V1527" s="117" t="s">
        <v>847</v>
      </c>
      <c r="W1527" s="89"/>
      <c r="X1527" s="117"/>
      <c r="Y1527" s="120"/>
      <c r="Z1527" s="120"/>
      <c r="AA1527" s="89"/>
      <c r="AB1527" s="89"/>
      <c r="AC1527" s="240"/>
      <c r="AD1527" s="240"/>
      <c r="AE1527" s="240"/>
      <c r="AF1527" s="241"/>
      <c r="AG1527" s="120"/>
      <c r="AH1527" s="124"/>
      <c r="AI1527" s="117"/>
      <c r="AJ1527" s="117"/>
      <c r="AK1527" s="89"/>
      <c r="AL1527" s="117"/>
      <c r="AM1527" s="117"/>
      <c r="AN1527" s="117"/>
      <c r="AO1527" s="117"/>
      <c r="AP1527" s="117"/>
      <c r="AQ1527" s="117"/>
      <c r="AR1527" s="117"/>
      <c r="AS1527" s="117"/>
      <c r="AT1527" s="117"/>
      <c r="AU1527" s="117"/>
      <c r="AV1527" s="128"/>
      <c r="AW1527" s="117">
        <f>VLOOKUP($D1527,'WB Data'!$C$3:$M$578,2,FALSE)</f>
        <v>102172270670.77251</v>
      </c>
      <c r="AX1527" s="117">
        <f>VLOOKUP($D1527,'WB Data'!$C$3:$M$578,3,FALSE)</f>
        <v>28328410</v>
      </c>
      <c r="AY1527" s="847">
        <f t="shared" si="257"/>
        <v>3.0589396244953212E-2</v>
      </c>
      <c r="AZ1527" s="117">
        <f>VLOOKUP($D1527,'WB Data'!$C$3:$M$578,4,FALSE)/100</f>
        <v>0.20970709473979002</v>
      </c>
      <c r="BA1527" s="117">
        <f t="shared" si="258"/>
        <v>21426250045.335159</v>
      </c>
      <c r="BB1527" s="129">
        <f>IFERROR(VLOOKUP($D1527,'EITI Revenues'!$C$2:$G$224,5,FALSE),"..")</f>
        <v>3125388072.7948718</v>
      </c>
      <c r="BC1527" s="846">
        <f t="shared" si="259"/>
        <v>0.14586724537340678</v>
      </c>
      <c r="BD1527" s="129">
        <f>VLOOKUP($D1527,'WB Data 2'!$C$2:$K$545,6,FALSE)</f>
        <v>19194682543.472164</v>
      </c>
      <c r="BE1527" s="129">
        <f>IFERROR(VLOOKUP($D1527,UNCTAD!$C$5:$V$529,4,FALSE),"..")</f>
        <v>31246090000</v>
      </c>
      <c r="BF1527" s="846">
        <f t="shared" si="260"/>
        <v>0.61430670344584437</v>
      </c>
      <c r="BG1527" s="117">
        <f>VLOOKUP($D1527,'WB Data'!$C$3:$M$578,5,FALSE)</f>
        <v>307030000</v>
      </c>
      <c r="BH1527" s="129">
        <f>IFERROR($BB1527/$BG1527,"..")</f>
        <v>10.179422443392736</v>
      </c>
      <c r="BI1527" s="117">
        <f>IFERROR(VLOOKUP($D1527,'WB Data'!$C$3:$M$578,7,FALSE)/100,"..")</f>
        <v>2.49927E-2</v>
      </c>
      <c r="BJ1527" s="117">
        <f>IFERROR($BI1527*$AW1527,"..")</f>
        <v>2553560909.1934161</v>
      </c>
      <c r="BK1527" s="846">
        <f>IFERROR($BB1527/$BJ1527,"..")</f>
        <v>1.2239332383037131</v>
      </c>
      <c r="BL1527" s="117">
        <f>IFERROR(VLOOKUP($D1527,'WB Data'!$C$3:$M$578,7,FALSE)/100,"..")</f>
        <v>2.49927E-2</v>
      </c>
      <c r="BM1527" s="117">
        <f>IFERROR($AW1527*$BL1527,"..")</f>
        <v>2553560909.1934161</v>
      </c>
      <c r="BN1527" s="846">
        <f>IFERROR($BB1527/$BM1527,"..")</f>
        <v>1.2239332383037131</v>
      </c>
      <c r="BO1527" s="801">
        <f t="shared" si="256"/>
        <v>38</v>
      </c>
      <c r="BP1527" s="117">
        <f>VLOOKUP($D1527,'WB Data'!$C$3:$M$578,9,FALSE)</f>
        <v>42.4</v>
      </c>
      <c r="BQ1527" s="117">
        <f>VLOOKUP($D1527,'WB Data'!$C$3:$M$578,10,FALSE)</f>
        <v>73.014878048780488</v>
      </c>
      <c r="BR1527" s="117">
        <f>VLOOKUP($D1527,'WB Data'!$C$3:$M$578,11,FALSE)</f>
        <v>18.600000000000001</v>
      </c>
      <c r="BS1527" s="129">
        <f>IFERROR(VLOOKUP($D1527,'WB Data 2'!$C$2:$K$545,9,FALSE),"..")</f>
        <v>99.705489999999998</v>
      </c>
      <c r="BT1527" s="129">
        <f>_xlfn.IFNA(VLOOKUP($C1527,RGI!$A$2:$C$43,2,FALSE),"..")</f>
        <v>76.8</v>
      </c>
      <c r="BU1527" s="129">
        <f>_xlfn.IFNA(VLOOKUP($C1527,RGI!$A$2:$C$43,3,FALSE),"..")</f>
        <v>72.816147461462435</v>
      </c>
      <c r="BV1527" s="129">
        <f>VLOOKUP($D1527,WGI!$C$2:$O$478,7,FALSE)</f>
        <v>6.2703568528113707E-2</v>
      </c>
      <c r="BW1527" s="129">
        <f>VLOOKUP($D1527,WGI!$C$2:$O$478,4,FALSE)</f>
        <v>-0.76005136929099804</v>
      </c>
      <c r="BX1527" s="129">
        <f>VLOOKUP($D1527,WGI!$C$2:$O$478,3,FALSE)</f>
        <v>-0.50979739813082503</v>
      </c>
      <c r="BY1527" s="129">
        <f>VLOOKUP($D1527,WGI!$C$2:$O$478,5,FALSE)</f>
        <v>0.27595894070192201</v>
      </c>
      <c r="BZ1527" s="129">
        <f>VLOOKUP($D1527,WGI!$C$2:$O$478,2,FALSE)</f>
        <v>-0.260524325273502</v>
      </c>
    </row>
    <row r="1528" spans="1:78" ht="15" customHeight="1">
      <c r="A1528" s="294" t="s">
        <v>453</v>
      </c>
      <c r="B1528" s="117">
        <v>2007</v>
      </c>
      <c r="C1528" s="117" t="s">
        <v>449</v>
      </c>
      <c r="D1528" s="117" t="s">
        <v>3575</v>
      </c>
      <c r="E1528" s="452" t="s">
        <v>220</v>
      </c>
      <c r="F1528" s="117"/>
      <c r="G1528" s="120" t="s">
        <v>24</v>
      </c>
      <c r="H1528" s="117" t="str">
        <f t="shared" si="261"/>
        <v>yes</v>
      </c>
      <c r="I1528" s="117" t="str">
        <f t="shared" si="253"/>
        <v>no</v>
      </c>
      <c r="J1528" s="117" t="str">
        <f t="shared" si="254"/>
        <v>no</v>
      </c>
      <c r="K1528" s="117" t="s">
        <v>1422</v>
      </c>
      <c r="L1528" s="117" t="str">
        <f t="shared" si="262"/>
        <v>detailed</v>
      </c>
      <c r="M1528" s="117" t="str">
        <f t="shared" si="255"/>
        <v>detailed Mining</v>
      </c>
      <c r="N1528" s="179">
        <v>409837</v>
      </c>
      <c r="O1528" s="179"/>
      <c r="P1528" s="179"/>
      <c r="Q1528" s="179"/>
      <c r="R1528" s="179"/>
      <c r="S1528" s="117" t="s">
        <v>610</v>
      </c>
      <c r="T1528" s="119"/>
      <c r="U1528" s="117"/>
      <c r="V1528" s="117" t="s">
        <v>847</v>
      </c>
      <c r="W1528" s="89"/>
      <c r="X1528" s="117"/>
      <c r="Y1528" s="120"/>
      <c r="Z1528" s="120"/>
      <c r="AA1528" s="89"/>
      <c r="AB1528" s="89"/>
      <c r="AC1528" s="240"/>
      <c r="AD1528" s="240"/>
      <c r="AE1528" s="240"/>
      <c r="AF1528" s="241"/>
      <c r="AG1528" s="120"/>
      <c r="AH1528" s="124"/>
      <c r="AI1528" s="117"/>
      <c r="AJ1528" s="117"/>
      <c r="AK1528" s="89"/>
      <c r="AL1528" s="117"/>
      <c r="AM1528" s="117"/>
      <c r="AN1528" s="117"/>
      <c r="AO1528" s="117"/>
      <c r="AP1528" s="117"/>
      <c r="AQ1528" s="117"/>
      <c r="AR1528" s="117"/>
      <c r="AS1528" s="117"/>
      <c r="AT1528" s="117"/>
      <c r="AU1528" s="117"/>
      <c r="AV1528" s="128"/>
      <c r="AW1528" s="117">
        <f>VLOOKUP($D1528,'WB Data'!$C$3:$M$578,2,FALSE)</f>
        <v>102172270670.77251</v>
      </c>
      <c r="AX1528" s="117">
        <f>VLOOKUP($D1528,'WB Data'!$C$3:$M$578,3,FALSE)</f>
        <v>28328410</v>
      </c>
      <c r="AY1528" s="847">
        <f t="shared" si="257"/>
        <v>3.0589396244953212E-2</v>
      </c>
      <c r="AZ1528" s="117">
        <f>VLOOKUP($D1528,'WB Data'!$C$3:$M$578,4,FALSE)/100</f>
        <v>0.20970709473979002</v>
      </c>
      <c r="BA1528" s="117">
        <f t="shared" si="258"/>
        <v>21426250045.335159</v>
      </c>
      <c r="BB1528" s="129">
        <f>IFERROR(VLOOKUP($D1528,'EITI Revenues'!$C$2:$G$224,5,FALSE),"..")</f>
        <v>3125388072.7948718</v>
      </c>
      <c r="BC1528" s="846">
        <f t="shared" si="259"/>
        <v>0.14586724537340678</v>
      </c>
      <c r="BD1528" s="129">
        <f>VLOOKUP($D1528,'WB Data 2'!$C$2:$K$545,6,FALSE)</f>
        <v>19194682543.472164</v>
      </c>
      <c r="BE1528" s="129">
        <f>IFERROR(VLOOKUP($D1528,UNCTAD!$C$5:$V$529,4,FALSE),"..")</f>
        <v>31246090000</v>
      </c>
      <c r="BF1528" s="846">
        <f t="shared" si="260"/>
        <v>0.61430670344584437</v>
      </c>
      <c r="BG1528" s="117">
        <f>VLOOKUP($D1528,'WB Data'!$C$3:$M$578,5,FALSE)</f>
        <v>307030000</v>
      </c>
      <c r="BH1528" s="129">
        <f>IFERROR($BB1528/$BG1528,"..")</f>
        <v>10.179422443392736</v>
      </c>
      <c r="BI1528" s="117">
        <f>IFERROR(VLOOKUP($D1528,'WB Data'!$C$3:$M$578,7,FALSE)/100,"..")</f>
        <v>2.49927E-2</v>
      </c>
      <c r="BJ1528" s="117">
        <f>IFERROR($BI1528*$AW1528,"..")</f>
        <v>2553560909.1934161</v>
      </c>
      <c r="BK1528" s="846">
        <f>IFERROR($BB1528/$BJ1528,"..")</f>
        <v>1.2239332383037131</v>
      </c>
      <c r="BL1528" s="117">
        <f>IFERROR(VLOOKUP($D1528,'WB Data'!$C$3:$M$578,7,FALSE)/100,"..")</f>
        <v>2.49927E-2</v>
      </c>
      <c r="BM1528" s="117">
        <f>IFERROR($AW1528*$BL1528,"..")</f>
        <v>2553560909.1934161</v>
      </c>
      <c r="BN1528" s="846">
        <f>IFERROR($BB1528/$BM1528,"..")</f>
        <v>1.2239332383037131</v>
      </c>
      <c r="BO1528" s="801">
        <f t="shared" si="256"/>
        <v>38</v>
      </c>
      <c r="BP1528" s="117">
        <f>VLOOKUP($D1528,'WB Data'!$C$3:$M$578,9,FALSE)</f>
        <v>42.4</v>
      </c>
      <c r="BQ1528" s="117">
        <f>VLOOKUP($D1528,'WB Data'!$C$3:$M$578,10,FALSE)</f>
        <v>73.014878048780488</v>
      </c>
      <c r="BR1528" s="117">
        <f>VLOOKUP($D1528,'WB Data'!$C$3:$M$578,11,FALSE)</f>
        <v>18.600000000000001</v>
      </c>
      <c r="BS1528" s="129">
        <f>IFERROR(VLOOKUP($D1528,'WB Data 2'!$C$2:$K$545,9,FALSE),"..")</f>
        <v>99.705489999999998</v>
      </c>
      <c r="BT1528" s="129">
        <f>_xlfn.IFNA(VLOOKUP($C1528,RGI!$A$2:$C$43,2,FALSE),"..")</f>
        <v>76.8</v>
      </c>
      <c r="BU1528" s="129">
        <f>_xlfn.IFNA(VLOOKUP($C1528,RGI!$A$2:$C$43,3,FALSE),"..")</f>
        <v>72.816147461462435</v>
      </c>
      <c r="BV1528" s="129">
        <f>VLOOKUP($D1528,WGI!$C$2:$O$478,7,FALSE)</f>
        <v>6.2703568528113707E-2</v>
      </c>
      <c r="BW1528" s="129">
        <f>VLOOKUP($D1528,WGI!$C$2:$O$478,4,FALSE)</f>
        <v>-0.76005136929099804</v>
      </c>
      <c r="BX1528" s="129">
        <f>VLOOKUP($D1528,WGI!$C$2:$O$478,3,FALSE)</f>
        <v>-0.50979739813082503</v>
      </c>
      <c r="BY1528" s="129">
        <f>VLOOKUP($D1528,WGI!$C$2:$O$478,5,FALSE)</f>
        <v>0.27595894070192201</v>
      </c>
      <c r="BZ1528" s="129">
        <f>VLOOKUP($D1528,WGI!$C$2:$O$478,2,FALSE)</f>
        <v>-0.260524325273502</v>
      </c>
    </row>
    <row r="1529" spans="1:78" ht="15" customHeight="1">
      <c r="A1529" s="294" t="s">
        <v>453</v>
      </c>
      <c r="B1529" s="117">
        <v>2007</v>
      </c>
      <c r="C1529" s="117" t="s">
        <v>449</v>
      </c>
      <c r="D1529" s="117" t="s">
        <v>3575</v>
      </c>
      <c r="E1529" s="452" t="s">
        <v>220</v>
      </c>
      <c r="F1529" s="117"/>
      <c r="G1529" s="120" t="s">
        <v>24</v>
      </c>
      <c r="H1529" s="117" t="str">
        <f t="shared" si="261"/>
        <v>yes</v>
      </c>
      <c r="I1529" s="117" t="str">
        <f t="shared" si="253"/>
        <v>no</v>
      </c>
      <c r="J1529" s="117" t="str">
        <f t="shared" si="254"/>
        <v>no</v>
      </c>
      <c r="K1529" s="117" t="s">
        <v>784</v>
      </c>
      <c r="L1529" s="117" t="str">
        <f t="shared" si="262"/>
        <v>detailed</v>
      </c>
      <c r="M1529" s="117" t="str">
        <f t="shared" si="255"/>
        <v>detailed Mining</v>
      </c>
      <c r="N1529" s="179">
        <f>170236*32.150743126506</f>
        <v>5473213.9068838758</v>
      </c>
      <c r="O1529" s="179"/>
      <c r="P1529" s="179"/>
      <c r="Q1529" s="179"/>
      <c r="R1529" s="179"/>
      <c r="S1529" s="117" t="s">
        <v>785</v>
      </c>
      <c r="T1529" s="119">
        <v>696.72024999999996</v>
      </c>
      <c r="U1529" s="117" t="s">
        <v>786</v>
      </c>
      <c r="V1529" s="117" t="s">
        <v>841</v>
      </c>
      <c r="W1529" s="89">
        <f>N1529*T1529</f>
        <v>3813298961.5076103</v>
      </c>
      <c r="X1529" s="117"/>
      <c r="Y1529" s="117"/>
      <c r="Z1529" s="117"/>
      <c r="AA1529" s="89"/>
      <c r="AB1529" s="89"/>
      <c r="AC1529" s="240" t="s">
        <v>2072</v>
      </c>
      <c r="AD1529" s="240"/>
      <c r="AE1529" s="240"/>
      <c r="AF1529" s="241"/>
      <c r="AG1529" s="117"/>
      <c r="AH1529" s="124"/>
      <c r="AI1529" s="117"/>
      <c r="AJ1529" s="117"/>
      <c r="AK1529" s="89"/>
      <c r="AL1529" s="117"/>
      <c r="AM1529" s="117"/>
      <c r="AN1529" s="117">
        <v>11</v>
      </c>
      <c r="AO1529" s="117" t="s">
        <v>2036</v>
      </c>
      <c r="AP1529" s="117">
        <v>11</v>
      </c>
      <c r="AQ1529" s="117"/>
      <c r="AR1529" s="117"/>
      <c r="AS1529" s="117"/>
      <c r="AT1529" s="117"/>
      <c r="AU1529" s="117"/>
      <c r="AV1529" s="128"/>
      <c r="AW1529" s="117">
        <f>VLOOKUP($D1529,'WB Data'!$C$3:$M$578,2,FALSE)</f>
        <v>102172270670.77251</v>
      </c>
      <c r="AX1529" s="117">
        <f>VLOOKUP($D1529,'WB Data'!$C$3:$M$578,3,FALSE)</f>
        <v>28328410</v>
      </c>
      <c r="AY1529" s="847">
        <f t="shared" si="257"/>
        <v>3.0589396244953212E-2</v>
      </c>
      <c r="AZ1529" s="117">
        <f>VLOOKUP($D1529,'WB Data'!$C$3:$M$578,4,FALSE)/100</f>
        <v>0.20970709473979002</v>
      </c>
      <c r="BA1529" s="117">
        <f t="shared" si="258"/>
        <v>21426250045.335159</v>
      </c>
      <c r="BB1529" s="129">
        <f>IFERROR(VLOOKUP($D1529,'EITI Revenues'!$C$2:$G$224,5,FALSE),"..")</f>
        <v>3125388072.7948718</v>
      </c>
      <c r="BC1529" s="846">
        <f t="shared" si="259"/>
        <v>0.14586724537340678</v>
      </c>
      <c r="BD1529" s="129">
        <f>VLOOKUP($D1529,'WB Data 2'!$C$2:$K$545,6,FALSE)</f>
        <v>19194682543.472164</v>
      </c>
      <c r="BE1529" s="129">
        <f>IFERROR(VLOOKUP($D1529,UNCTAD!$C$5:$V$529,4,FALSE),"..")</f>
        <v>31246090000</v>
      </c>
      <c r="BF1529" s="846">
        <f t="shared" si="260"/>
        <v>0.61430670344584437</v>
      </c>
      <c r="BG1529" s="117">
        <f>VLOOKUP($D1529,'WB Data'!$C$3:$M$578,5,FALSE)</f>
        <v>307030000</v>
      </c>
      <c r="BH1529" s="129">
        <f>IFERROR($BB1529/$BG1529,"..")</f>
        <v>10.179422443392736</v>
      </c>
      <c r="BI1529" s="117">
        <f>IFERROR(VLOOKUP($D1529,'WB Data'!$C$3:$M$578,7,FALSE)/100,"..")</f>
        <v>2.49927E-2</v>
      </c>
      <c r="BJ1529" s="117">
        <f>IFERROR($BI1529*$AW1529,"..")</f>
        <v>2553560909.1934161</v>
      </c>
      <c r="BK1529" s="846">
        <f>IFERROR($BB1529/$BJ1529,"..")</f>
        <v>1.2239332383037131</v>
      </c>
      <c r="BL1529" s="117">
        <f>IFERROR(VLOOKUP($D1529,'WB Data'!$C$3:$M$578,7,FALSE)/100,"..")</f>
        <v>2.49927E-2</v>
      </c>
      <c r="BM1529" s="117">
        <f>IFERROR($AW1529*$BL1529,"..")</f>
        <v>2553560909.1934161</v>
      </c>
      <c r="BN1529" s="846">
        <f>IFERROR($BB1529/$BM1529,"..")</f>
        <v>1.2239332383037131</v>
      </c>
      <c r="BO1529" s="801">
        <f t="shared" si="256"/>
        <v>38</v>
      </c>
      <c r="BP1529" s="117">
        <f>VLOOKUP($D1529,'WB Data'!$C$3:$M$578,9,FALSE)</f>
        <v>42.4</v>
      </c>
      <c r="BQ1529" s="117">
        <f>VLOOKUP($D1529,'WB Data'!$C$3:$M$578,10,FALSE)</f>
        <v>73.014878048780488</v>
      </c>
      <c r="BR1529" s="117">
        <f>VLOOKUP($D1529,'WB Data'!$C$3:$M$578,11,FALSE)</f>
        <v>18.600000000000001</v>
      </c>
      <c r="BS1529" s="129">
        <f>IFERROR(VLOOKUP($D1529,'WB Data 2'!$C$2:$K$545,9,FALSE),"..")</f>
        <v>99.705489999999998</v>
      </c>
      <c r="BT1529" s="129">
        <f>_xlfn.IFNA(VLOOKUP($C1529,RGI!$A$2:$C$43,2,FALSE),"..")</f>
        <v>76.8</v>
      </c>
      <c r="BU1529" s="129">
        <f>_xlfn.IFNA(VLOOKUP($C1529,RGI!$A$2:$C$43,3,FALSE),"..")</f>
        <v>72.816147461462435</v>
      </c>
      <c r="BV1529" s="129">
        <f>VLOOKUP($D1529,WGI!$C$2:$O$478,7,FALSE)</f>
        <v>6.2703568528113707E-2</v>
      </c>
      <c r="BW1529" s="129">
        <f>VLOOKUP($D1529,WGI!$C$2:$O$478,4,FALSE)</f>
        <v>-0.76005136929099804</v>
      </c>
      <c r="BX1529" s="129">
        <f>VLOOKUP($D1529,WGI!$C$2:$O$478,3,FALSE)</f>
        <v>-0.50979739813082503</v>
      </c>
      <c r="BY1529" s="129">
        <f>VLOOKUP($D1529,WGI!$C$2:$O$478,5,FALSE)</f>
        <v>0.27595894070192201</v>
      </c>
      <c r="BZ1529" s="129">
        <f>VLOOKUP($D1529,WGI!$C$2:$O$478,2,FALSE)</f>
        <v>-0.260524325273502</v>
      </c>
    </row>
    <row r="1530" spans="1:78" ht="15" customHeight="1">
      <c r="A1530" s="294" t="s">
        <v>453</v>
      </c>
      <c r="B1530" s="117">
        <v>2007</v>
      </c>
      <c r="C1530" s="117" t="s">
        <v>449</v>
      </c>
      <c r="D1530" s="117" t="s">
        <v>3575</v>
      </c>
      <c r="E1530" s="452" t="s">
        <v>220</v>
      </c>
      <c r="F1530" s="117"/>
      <c r="G1530" s="120" t="s">
        <v>24</v>
      </c>
      <c r="H1530" s="117" t="str">
        <f t="shared" si="261"/>
        <v>yes</v>
      </c>
      <c r="I1530" s="117" t="str">
        <f t="shared" si="253"/>
        <v>no</v>
      </c>
      <c r="J1530" s="117" t="str">
        <f t="shared" si="254"/>
        <v>no</v>
      </c>
      <c r="K1530" s="117" t="s">
        <v>2037</v>
      </c>
      <c r="L1530" s="117" t="str">
        <f t="shared" si="262"/>
        <v>detailed</v>
      </c>
      <c r="M1530" s="117" t="str">
        <f t="shared" si="255"/>
        <v>detailed Mining</v>
      </c>
      <c r="N1530" s="179">
        <v>5000</v>
      </c>
      <c r="O1530" s="179"/>
      <c r="P1530" s="179"/>
      <c r="Q1530" s="179"/>
      <c r="R1530" s="179"/>
      <c r="S1530" s="117" t="s">
        <v>967</v>
      </c>
      <c r="T1530" s="119">
        <v>795</v>
      </c>
      <c r="U1530" s="117" t="s">
        <v>1874</v>
      </c>
      <c r="V1530" s="117" t="s">
        <v>2073</v>
      </c>
      <c r="W1530" s="89">
        <f>N1530*T1530</f>
        <v>3975000</v>
      </c>
      <c r="X1530" s="117"/>
      <c r="Y1530" s="492"/>
      <c r="Z1530" s="492"/>
      <c r="AA1530" s="89"/>
      <c r="AB1530" s="89"/>
      <c r="AC1530" s="240"/>
      <c r="AD1530" s="240"/>
      <c r="AE1530" s="240"/>
      <c r="AF1530" s="241"/>
      <c r="AG1530" s="89"/>
      <c r="AH1530" s="124"/>
      <c r="AI1530" s="117"/>
      <c r="AJ1530" s="117"/>
      <c r="AK1530" s="89"/>
      <c r="AL1530" s="117"/>
      <c r="AM1530" s="117"/>
      <c r="AN1530" s="117"/>
      <c r="AO1530" s="117"/>
      <c r="AP1530" s="117"/>
      <c r="AQ1530" s="117"/>
      <c r="AR1530" s="117"/>
      <c r="AS1530" s="117"/>
      <c r="AT1530" s="117"/>
      <c r="AU1530" s="117"/>
      <c r="AV1530" s="128"/>
      <c r="AW1530" s="117">
        <f>VLOOKUP($D1530,'WB Data'!$C$3:$M$578,2,FALSE)</f>
        <v>102172270670.77251</v>
      </c>
      <c r="AX1530" s="117">
        <f>VLOOKUP($D1530,'WB Data'!$C$3:$M$578,3,FALSE)</f>
        <v>28328410</v>
      </c>
      <c r="AY1530" s="847">
        <f t="shared" si="257"/>
        <v>3.0589396244953212E-2</v>
      </c>
      <c r="AZ1530" s="117">
        <f>VLOOKUP($D1530,'WB Data'!$C$3:$M$578,4,FALSE)/100</f>
        <v>0.20970709473979002</v>
      </c>
      <c r="BA1530" s="117">
        <f t="shared" si="258"/>
        <v>21426250045.335159</v>
      </c>
      <c r="BB1530" s="129">
        <f>IFERROR(VLOOKUP($D1530,'EITI Revenues'!$C$2:$G$224,5,FALSE),"..")</f>
        <v>3125388072.7948718</v>
      </c>
      <c r="BC1530" s="846">
        <f t="shared" si="259"/>
        <v>0.14586724537340678</v>
      </c>
      <c r="BD1530" s="129">
        <f>VLOOKUP($D1530,'WB Data 2'!$C$2:$K$545,6,FALSE)</f>
        <v>19194682543.472164</v>
      </c>
      <c r="BE1530" s="129">
        <f>IFERROR(VLOOKUP($D1530,UNCTAD!$C$5:$V$529,4,FALSE),"..")</f>
        <v>31246090000</v>
      </c>
      <c r="BF1530" s="846">
        <f t="shared" si="260"/>
        <v>0.61430670344584437</v>
      </c>
      <c r="BG1530" s="117">
        <f>VLOOKUP($D1530,'WB Data'!$C$3:$M$578,5,FALSE)</f>
        <v>307030000</v>
      </c>
      <c r="BH1530" s="129">
        <f>IFERROR($BB1530/$BG1530,"..")</f>
        <v>10.179422443392736</v>
      </c>
      <c r="BI1530" s="117">
        <f>IFERROR(VLOOKUP($D1530,'WB Data'!$C$3:$M$578,7,FALSE)/100,"..")</f>
        <v>2.49927E-2</v>
      </c>
      <c r="BJ1530" s="117">
        <f>IFERROR($BI1530*$AW1530,"..")</f>
        <v>2553560909.1934161</v>
      </c>
      <c r="BK1530" s="846">
        <f>IFERROR($BB1530/$BJ1530,"..")</f>
        <v>1.2239332383037131</v>
      </c>
      <c r="BL1530" s="117">
        <f>IFERROR(VLOOKUP($D1530,'WB Data'!$C$3:$M$578,7,FALSE)/100,"..")</f>
        <v>2.49927E-2</v>
      </c>
      <c r="BM1530" s="117">
        <f>IFERROR($AW1530*$BL1530,"..")</f>
        <v>2553560909.1934161</v>
      </c>
      <c r="BN1530" s="846">
        <f>IFERROR($BB1530/$BM1530,"..")</f>
        <v>1.2239332383037131</v>
      </c>
      <c r="BO1530" s="801">
        <f t="shared" si="256"/>
        <v>38</v>
      </c>
      <c r="BP1530" s="117">
        <f>VLOOKUP($D1530,'WB Data'!$C$3:$M$578,9,FALSE)</f>
        <v>42.4</v>
      </c>
      <c r="BQ1530" s="117">
        <f>VLOOKUP($D1530,'WB Data'!$C$3:$M$578,10,FALSE)</f>
        <v>73.014878048780488</v>
      </c>
      <c r="BR1530" s="117">
        <f>VLOOKUP($D1530,'WB Data'!$C$3:$M$578,11,FALSE)</f>
        <v>18.600000000000001</v>
      </c>
      <c r="BS1530" s="129">
        <f>IFERROR(VLOOKUP($D1530,'WB Data 2'!$C$2:$K$545,9,FALSE),"..")</f>
        <v>99.705489999999998</v>
      </c>
      <c r="BT1530" s="129">
        <f>_xlfn.IFNA(VLOOKUP($C1530,RGI!$A$2:$C$43,2,FALSE),"..")</f>
        <v>76.8</v>
      </c>
      <c r="BU1530" s="129">
        <f>_xlfn.IFNA(VLOOKUP($C1530,RGI!$A$2:$C$43,3,FALSE),"..")</f>
        <v>72.816147461462435</v>
      </c>
      <c r="BV1530" s="129">
        <f>VLOOKUP($D1530,WGI!$C$2:$O$478,7,FALSE)</f>
        <v>6.2703568528113707E-2</v>
      </c>
      <c r="BW1530" s="129">
        <f>VLOOKUP($D1530,WGI!$C$2:$O$478,4,FALSE)</f>
        <v>-0.76005136929099804</v>
      </c>
      <c r="BX1530" s="129">
        <f>VLOOKUP($D1530,WGI!$C$2:$O$478,3,FALSE)</f>
        <v>-0.50979739813082503</v>
      </c>
      <c r="BY1530" s="129">
        <f>VLOOKUP($D1530,WGI!$C$2:$O$478,5,FALSE)</f>
        <v>0.27595894070192201</v>
      </c>
      <c r="BZ1530" s="129">
        <f>VLOOKUP($D1530,WGI!$C$2:$O$478,2,FALSE)</f>
        <v>-0.260524325273502</v>
      </c>
    </row>
    <row r="1531" spans="1:78" ht="15" customHeight="1">
      <c r="A1531" s="294" t="s">
        <v>453</v>
      </c>
      <c r="B1531" s="117">
        <v>2007</v>
      </c>
      <c r="C1531" s="117" t="s">
        <v>449</v>
      </c>
      <c r="D1531" s="117" t="s">
        <v>3575</v>
      </c>
      <c r="E1531" s="452" t="s">
        <v>220</v>
      </c>
      <c r="F1531" s="117"/>
      <c r="G1531" s="120" t="s">
        <v>24</v>
      </c>
      <c r="H1531" s="117" t="str">
        <f t="shared" si="261"/>
        <v>yes</v>
      </c>
      <c r="I1531" s="117" t="str">
        <f t="shared" ref="I1531:I1594" si="263">IF($G1531="Gas","yes",IF($G1531="Oil, Gas, Mining","yes",IF($G1531="Gas, Mining","yes",IF($G1531="Oil, Gas","yes",IF($G1531="Oil, Gas, Other","yes","no")))))</f>
        <v>no</v>
      </c>
      <c r="J1531" s="117" t="str">
        <f t="shared" ref="J1531:J1594" si="264">IF($G1531="Oil","yes",IF($G1531="Oil, Gas, Mining","yes",IF($G1531="Oil, Mining","yes",IF($G1531="Oil, Gas","yes",IF($G1531="Oil, Gas, Other","yes","no")))))</f>
        <v>no</v>
      </c>
      <c r="K1531" s="117" t="s">
        <v>1228</v>
      </c>
      <c r="L1531" s="117" t="str">
        <f t="shared" si="262"/>
        <v>detailed</v>
      </c>
      <c r="M1531" s="117" t="str">
        <f t="shared" ref="M1531:M1594" si="265">L1531&amp;" "&amp;G1531</f>
        <v>detailed Mining</v>
      </c>
      <c r="N1531" s="179">
        <v>7614000</v>
      </c>
      <c r="O1531" s="179"/>
      <c r="P1531" s="179"/>
      <c r="Q1531" s="179"/>
      <c r="R1531" s="179"/>
      <c r="S1531" s="117" t="s">
        <v>610</v>
      </c>
      <c r="T1531" s="119">
        <v>122.9875</v>
      </c>
      <c r="U1531" s="117" t="s">
        <v>611</v>
      </c>
      <c r="V1531" s="117" t="s">
        <v>1431</v>
      </c>
      <c r="W1531" s="89">
        <f>N1531*T1531</f>
        <v>936426825</v>
      </c>
      <c r="X1531" s="117"/>
      <c r="Y1531" s="492"/>
      <c r="Z1531" s="492"/>
      <c r="AA1531" s="89"/>
      <c r="AB1531" s="89"/>
      <c r="AC1531" s="240"/>
      <c r="AD1531" s="240"/>
      <c r="AE1531" s="240"/>
      <c r="AF1531" s="241"/>
      <c r="AG1531" s="89"/>
      <c r="AH1531" s="124"/>
      <c r="AI1531" s="117"/>
      <c r="AJ1531" s="117"/>
      <c r="AK1531" s="89"/>
      <c r="AL1531" s="117"/>
      <c r="AM1531" s="117"/>
      <c r="AN1531" s="117"/>
      <c r="AO1531" s="117"/>
      <c r="AP1531" s="117"/>
      <c r="AQ1531" s="117"/>
      <c r="AR1531" s="117"/>
      <c r="AS1531" s="117"/>
      <c r="AT1531" s="117"/>
      <c r="AU1531" s="117"/>
      <c r="AV1531" s="128"/>
      <c r="AW1531" s="117">
        <f>VLOOKUP($D1531,'WB Data'!$C$3:$M$578,2,FALSE)</f>
        <v>102172270670.77251</v>
      </c>
      <c r="AX1531" s="117">
        <f>VLOOKUP($D1531,'WB Data'!$C$3:$M$578,3,FALSE)</f>
        <v>28328410</v>
      </c>
      <c r="AY1531" s="847">
        <f t="shared" si="257"/>
        <v>3.0589396244953212E-2</v>
      </c>
      <c r="AZ1531" s="117">
        <f>VLOOKUP($D1531,'WB Data'!$C$3:$M$578,4,FALSE)/100</f>
        <v>0.20970709473979002</v>
      </c>
      <c r="BA1531" s="117">
        <f t="shared" si="258"/>
        <v>21426250045.335159</v>
      </c>
      <c r="BB1531" s="129">
        <f>IFERROR(VLOOKUP($D1531,'EITI Revenues'!$C$2:$G$224,5,FALSE),"..")</f>
        <v>3125388072.7948718</v>
      </c>
      <c r="BC1531" s="846">
        <f t="shared" si="259"/>
        <v>0.14586724537340678</v>
      </c>
      <c r="BD1531" s="129">
        <f>VLOOKUP($D1531,'WB Data 2'!$C$2:$K$545,6,FALSE)</f>
        <v>19194682543.472164</v>
      </c>
      <c r="BE1531" s="129">
        <f>IFERROR(VLOOKUP($D1531,UNCTAD!$C$5:$V$529,4,FALSE),"..")</f>
        <v>31246090000</v>
      </c>
      <c r="BF1531" s="846">
        <f t="shared" si="260"/>
        <v>0.61430670344584437</v>
      </c>
      <c r="BG1531" s="117">
        <f>VLOOKUP($D1531,'WB Data'!$C$3:$M$578,5,FALSE)</f>
        <v>307030000</v>
      </c>
      <c r="BH1531" s="129">
        <f>IFERROR($BB1531/$BG1531,"..")</f>
        <v>10.179422443392736</v>
      </c>
      <c r="BI1531" s="117">
        <f>IFERROR(VLOOKUP($D1531,'WB Data'!$C$3:$M$578,7,FALSE)/100,"..")</f>
        <v>2.49927E-2</v>
      </c>
      <c r="BJ1531" s="117">
        <f>IFERROR($BI1531*$AW1531,"..")</f>
        <v>2553560909.1934161</v>
      </c>
      <c r="BK1531" s="846">
        <f>IFERROR($BB1531/$BJ1531,"..")</f>
        <v>1.2239332383037131</v>
      </c>
      <c r="BL1531" s="117">
        <f>IFERROR(VLOOKUP($D1531,'WB Data'!$C$3:$M$578,7,FALSE)/100,"..")</f>
        <v>2.49927E-2</v>
      </c>
      <c r="BM1531" s="117">
        <f>IFERROR($AW1531*$BL1531,"..")</f>
        <v>2553560909.1934161</v>
      </c>
      <c r="BN1531" s="846">
        <f>IFERROR($BB1531/$BM1531,"..")</f>
        <v>1.2239332383037131</v>
      </c>
      <c r="BO1531" s="801">
        <f t="shared" si="256"/>
        <v>38</v>
      </c>
      <c r="BP1531" s="117">
        <f>VLOOKUP($D1531,'WB Data'!$C$3:$M$578,9,FALSE)</f>
        <v>42.4</v>
      </c>
      <c r="BQ1531" s="117">
        <f>VLOOKUP($D1531,'WB Data'!$C$3:$M$578,10,FALSE)</f>
        <v>73.014878048780488</v>
      </c>
      <c r="BR1531" s="117">
        <f>VLOOKUP($D1531,'WB Data'!$C$3:$M$578,11,FALSE)</f>
        <v>18.600000000000001</v>
      </c>
      <c r="BS1531" s="129">
        <f>IFERROR(VLOOKUP($D1531,'WB Data 2'!$C$2:$K$545,9,FALSE),"..")</f>
        <v>99.705489999999998</v>
      </c>
      <c r="BT1531" s="129">
        <f>_xlfn.IFNA(VLOOKUP($C1531,RGI!$A$2:$C$43,2,FALSE),"..")</f>
        <v>76.8</v>
      </c>
      <c r="BU1531" s="129">
        <f>_xlfn.IFNA(VLOOKUP($C1531,RGI!$A$2:$C$43,3,FALSE),"..")</f>
        <v>72.816147461462435</v>
      </c>
      <c r="BV1531" s="129">
        <f>VLOOKUP($D1531,WGI!$C$2:$O$478,7,FALSE)</f>
        <v>6.2703568528113707E-2</v>
      </c>
      <c r="BW1531" s="129">
        <f>VLOOKUP($D1531,WGI!$C$2:$O$478,4,FALSE)</f>
        <v>-0.76005136929099804</v>
      </c>
      <c r="BX1531" s="129">
        <f>VLOOKUP($D1531,WGI!$C$2:$O$478,3,FALSE)</f>
        <v>-0.50979739813082503</v>
      </c>
      <c r="BY1531" s="129">
        <f>VLOOKUP($D1531,WGI!$C$2:$O$478,5,FALSE)</f>
        <v>0.27595894070192201</v>
      </c>
      <c r="BZ1531" s="129">
        <f>VLOOKUP($D1531,WGI!$C$2:$O$478,2,FALSE)</f>
        <v>-0.260524325273502</v>
      </c>
    </row>
    <row r="1532" spans="1:78" ht="15" customHeight="1">
      <c r="A1532" s="294" t="s">
        <v>453</v>
      </c>
      <c r="B1532" s="117">
        <v>2007</v>
      </c>
      <c r="C1532" s="117" t="s">
        <v>449</v>
      </c>
      <c r="D1532" s="117" t="s">
        <v>3575</v>
      </c>
      <c r="E1532" s="452" t="s">
        <v>220</v>
      </c>
      <c r="F1532" s="117"/>
      <c r="G1532" s="120" t="s">
        <v>24</v>
      </c>
      <c r="H1532" s="117" t="str">
        <f t="shared" si="261"/>
        <v>yes</v>
      </c>
      <c r="I1532" s="117" t="str">
        <f t="shared" si="263"/>
        <v>no</v>
      </c>
      <c r="J1532" s="117" t="str">
        <f t="shared" si="264"/>
        <v>no</v>
      </c>
      <c r="K1532" s="117" t="s">
        <v>1473</v>
      </c>
      <c r="L1532" s="117" t="str">
        <f t="shared" si="262"/>
        <v>detailed</v>
      </c>
      <c r="M1532" s="117" t="str">
        <f t="shared" si="265"/>
        <v>detailed Mining</v>
      </c>
      <c r="N1532" s="179"/>
      <c r="O1532" s="179"/>
      <c r="P1532" s="179"/>
      <c r="Q1532" s="179"/>
      <c r="R1532" s="179"/>
      <c r="S1532" s="117"/>
      <c r="T1532" s="186">
        <v>2579.9854166666701</v>
      </c>
      <c r="U1532" s="117" t="s">
        <v>611</v>
      </c>
      <c r="V1532" s="117" t="s">
        <v>2040</v>
      </c>
      <c r="W1532" s="89">
        <f>N1534*T1532</f>
        <v>301275217.04583371</v>
      </c>
      <c r="X1532" s="117"/>
      <c r="Y1532" s="89"/>
      <c r="Z1532" s="89"/>
      <c r="AA1532" s="89"/>
      <c r="AB1532" s="89"/>
      <c r="AC1532" s="240" t="s">
        <v>2074</v>
      </c>
      <c r="AD1532" s="240"/>
      <c r="AE1532" s="240"/>
      <c r="AF1532" s="241"/>
      <c r="AG1532" s="89"/>
      <c r="AH1532" s="124"/>
      <c r="AI1532" s="117"/>
      <c r="AJ1532" s="117"/>
      <c r="AK1532" s="89"/>
      <c r="AL1532" s="117"/>
      <c r="AM1532" s="117"/>
      <c r="AN1532" s="117">
        <v>10</v>
      </c>
      <c r="AO1532" s="117" t="s">
        <v>2042</v>
      </c>
      <c r="AP1532" s="117">
        <v>10</v>
      </c>
      <c r="AQ1532" s="117"/>
      <c r="AR1532" s="117"/>
      <c r="AS1532" s="117"/>
      <c r="AT1532" s="117"/>
      <c r="AU1532" s="117"/>
      <c r="AV1532" s="128"/>
      <c r="AW1532" s="117">
        <f>VLOOKUP($D1532,'WB Data'!$C$3:$M$578,2,FALSE)</f>
        <v>102172270670.77251</v>
      </c>
      <c r="AX1532" s="117">
        <f>VLOOKUP($D1532,'WB Data'!$C$3:$M$578,3,FALSE)</f>
        <v>28328410</v>
      </c>
      <c r="AY1532" s="847">
        <f t="shared" si="257"/>
        <v>3.0589396244953212E-2</v>
      </c>
      <c r="AZ1532" s="117">
        <f>VLOOKUP($D1532,'WB Data'!$C$3:$M$578,4,FALSE)/100</f>
        <v>0.20970709473979002</v>
      </c>
      <c r="BA1532" s="117">
        <f t="shared" si="258"/>
        <v>21426250045.335159</v>
      </c>
      <c r="BB1532" s="129">
        <f>IFERROR(VLOOKUP($D1532,'EITI Revenues'!$C$2:$G$224,5,FALSE),"..")</f>
        <v>3125388072.7948718</v>
      </c>
      <c r="BC1532" s="846">
        <f t="shared" si="259"/>
        <v>0.14586724537340678</v>
      </c>
      <c r="BD1532" s="129">
        <f>VLOOKUP($D1532,'WB Data 2'!$C$2:$K$545,6,FALSE)</f>
        <v>19194682543.472164</v>
      </c>
      <c r="BE1532" s="129">
        <f>IFERROR(VLOOKUP($D1532,UNCTAD!$C$5:$V$529,4,FALSE),"..")</f>
        <v>31246090000</v>
      </c>
      <c r="BF1532" s="846">
        <f t="shared" si="260"/>
        <v>0.61430670344584437</v>
      </c>
      <c r="BG1532" s="117">
        <f>VLOOKUP($D1532,'WB Data'!$C$3:$M$578,5,FALSE)</f>
        <v>307030000</v>
      </c>
      <c r="BH1532" s="129">
        <f>IFERROR($BB1532/$BG1532,"..")</f>
        <v>10.179422443392736</v>
      </c>
      <c r="BI1532" s="117">
        <f>IFERROR(VLOOKUP($D1532,'WB Data'!$C$3:$M$578,7,FALSE)/100,"..")</f>
        <v>2.49927E-2</v>
      </c>
      <c r="BJ1532" s="117">
        <f>IFERROR($BI1532*$AW1532,"..")</f>
        <v>2553560909.1934161</v>
      </c>
      <c r="BK1532" s="846">
        <f>IFERROR($BB1532/$BJ1532,"..")</f>
        <v>1.2239332383037131</v>
      </c>
      <c r="BL1532" s="117">
        <f>IFERROR(VLOOKUP($D1532,'WB Data'!$C$3:$M$578,7,FALSE)/100,"..")</f>
        <v>2.49927E-2</v>
      </c>
      <c r="BM1532" s="117">
        <f>IFERROR($AW1532*$BL1532,"..")</f>
        <v>2553560909.1934161</v>
      </c>
      <c r="BN1532" s="846">
        <f>IFERROR($BB1532/$BM1532,"..")</f>
        <v>1.2239332383037131</v>
      </c>
      <c r="BO1532" s="801">
        <f t="shared" si="256"/>
        <v>38</v>
      </c>
      <c r="BP1532" s="117">
        <f>VLOOKUP($D1532,'WB Data'!$C$3:$M$578,9,FALSE)</f>
        <v>42.4</v>
      </c>
      <c r="BQ1532" s="117">
        <f>VLOOKUP($D1532,'WB Data'!$C$3:$M$578,10,FALSE)</f>
        <v>73.014878048780488</v>
      </c>
      <c r="BR1532" s="117">
        <f>VLOOKUP($D1532,'WB Data'!$C$3:$M$578,11,FALSE)</f>
        <v>18.600000000000001</v>
      </c>
      <c r="BS1532" s="129">
        <f>IFERROR(VLOOKUP($D1532,'WB Data 2'!$C$2:$K$545,9,FALSE),"..")</f>
        <v>99.705489999999998</v>
      </c>
      <c r="BT1532" s="129">
        <f>_xlfn.IFNA(VLOOKUP($C1532,RGI!$A$2:$C$43,2,FALSE),"..")</f>
        <v>76.8</v>
      </c>
      <c r="BU1532" s="129">
        <f>_xlfn.IFNA(VLOOKUP($C1532,RGI!$A$2:$C$43,3,FALSE),"..")</f>
        <v>72.816147461462435</v>
      </c>
      <c r="BV1532" s="129">
        <f>VLOOKUP($D1532,WGI!$C$2:$O$478,7,FALSE)</f>
        <v>6.2703568528113707E-2</v>
      </c>
      <c r="BW1532" s="129">
        <f>VLOOKUP($D1532,WGI!$C$2:$O$478,4,FALSE)</f>
        <v>-0.76005136929099804</v>
      </c>
      <c r="BX1532" s="129">
        <f>VLOOKUP($D1532,WGI!$C$2:$O$478,3,FALSE)</f>
        <v>-0.50979739813082503</v>
      </c>
      <c r="BY1532" s="129">
        <f>VLOOKUP($D1532,WGI!$C$2:$O$478,5,FALSE)</f>
        <v>0.27595894070192201</v>
      </c>
      <c r="BZ1532" s="129">
        <f>VLOOKUP($D1532,WGI!$C$2:$O$478,2,FALSE)</f>
        <v>-0.260524325273502</v>
      </c>
    </row>
    <row r="1533" spans="1:78" ht="15" customHeight="1">
      <c r="A1533" s="294" t="s">
        <v>453</v>
      </c>
      <c r="B1533" s="117">
        <v>2007</v>
      </c>
      <c r="C1533" s="117" t="s">
        <v>449</v>
      </c>
      <c r="D1533" s="117" t="s">
        <v>3575</v>
      </c>
      <c r="E1533" s="452" t="s">
        <v>220</v>
      </c>
      <c r="F1533" s="117"/>
      <c r="G1533" s="120" t="s">
        <v>24</v>
      </c>
      <c r="H1533" s="117" t="str">
        <f t="shared" si="261"/>
        <v>yes</v>
      </c>
      <c r="I1533" s="117" t="str">
        <f t="shared" si="263"/>
        <v>no</v>
      </c>
      <c r="J1533" s="117" t="str">
        <f t="shared" si="264"/>
        <v>no</v>
      </c>
      <c r="K1533" s="117" t="s">
        <v>2043</v>
      </c>
      <c r="L1533" s="117" t="str">
        <f t="shared" si="262"/>
        <v>detailed</v>
      </c>
      <c r="M1533" s="117" t="str">
        <f t="shared" si="265"/>
        <v>detailed Mining</v>
      </c>
      <c r="N1533" s="179">
        <v>329165</v>
      </c>
      <c r="O1533" s="179"/>
      <c r="P1533" s="179"/>
      <c r="Q1533" s="179"/>
      <c r="R1533" s="179"/>
      <c r="S1533" s="117" t="s">
        <v>610</v>
      </c>
      <c r="T1533" s="119"/>
      <c r="U1533" s="117"/>
      <c r="V1533" s="117" t="s">
        <v>847</v>
      </c>
      <c r="W1533" s="89"/>
      <c r="X1533" s="117"/>
      <c r="Y1533" s="120"/>
      <c r="Z1533" s="120"/>
      <c r="AA1533" s="89"/>
      <c r="AB1533" s="89"/>
      <c r="AC1533" s="240"/>
      <c r="AD1533" s="240"/>
      <c r="AE1533" s="240"/>
      <c r="AF1533" s="241"/>
      <c r="AG1533" s="120"/>
      <c r="AH1533" s="124"/>
      <c r="AI1533" s="117"/>
      <c r="AJ1533" s="117"/>
      <c r="AK1533" s="89"/>
      <c r="AL1533" s="117"/>
      <c r="AM1533" s="117"/>
      <c r="AN1533" s="117"/>
      <c r="AO1533" s="117"/>
      <c r="AP1533" s="117"/>
      <c r="AQ1533" s="117"/>
      <c r="AR1533" s="117"/>
      <c r="AS1533" s="117"/>
      <c r="AT1533" s="117"/>
      <c r="AU1533" s="117"/>
      <c r="AV1533" s="128"/>
      <c r="AW1533" s="117">
        <f>VLOOKUP($D1533,'WB Data'!$C$3:$M$578,2,FALSE)</f>
        <v>102172270670.77251</v>
      </c>
      <c r="AX1533" s="117">
        <f>VLOOKUP($D1533,'WB Data'!$C$3:$M$578,3,FALSE)</f>
        <v>28328410</v>
      </c>
      <c r="AY1533" s="847">
        <f t="shared" si="257"/>
        <v>3.0589396244953212E-2</v>
      </c>
      <c r="AZ1533" s="117">
        <f>VLOOKUP($D1533,'WB Data'!$C$3:$M$578,4,FALSE)/100</f>
        <v>0.20970709473979002</v>
      </c>
      <c r="BA1533" s="117">
        <f t="shared" si="258"/>
        <v>21426250045.335159</v>
      </c>
      <c r="BB1533" s="129">
        <f>IFERROR(VLOOKUP($D1533,'EITI Revenues'!$C$2:$G$224,5,FALSE),"..")</f>
        <v>3125388072.7948718</v>
      </c>
      <c r="BC1533" s="846">
        <f t="shared" si="259"/>
        <v>0.14586724537340678</v>
      </c>
      <c r="BD1533" s="129">
        <f>VLOOKUP($D1533,'WB Data 2'!$C$2:$K$545,6,FALSE)</f>
        <v>19194682543.472164</v>
      </c>
      <c r="BE1533" s="129">
        <f>IFERROR(VLOOKUP($D1533,UNCTAD!$C$5:$V$529,4,FALSE),"..")</f>
        <v>31246090000</v>
      </c>
      <c r="BF1533" s="846">
        <f t="shared" si="260"/>
        <v>0.61430670344584437</v>
      </c>
      <c r="BG1533" s="117">
        <f>VLOOKUP($D1533,'WB Data'!$C$3:$M$578,5,FALSE)</f>
        <v>307030000</v>
      </c>
      <c r="BH1533" s="129">
        <f>IFERROR($BB1533/$BG1533,"..")</f>
        <v>10.179422443392736</v>
      </c>
      <c r="BI1533" s="117">
        <f>IFERROR(VLOOKUP($D1533,'WB Data'!$C$3:$M$578,7,FALSE)/100,"..")</f>
        <v>2.49927E-2</v>
      </c>
      <c r="BJ1533" s="117">
        <f>IFERROR($BI1533*$AW1533,"..")</f>
        <v>2553560909.1934161</v>
      </c>
      <c r="BK1533" s="846">
        <f>IFERROR($BB1533/$BJ1533,"..")</f>
        <v>1.2239332383037131</v>
      </c>
      <c r="BL1533" s="117">
        <f>IFERROR(VLOOKUP($D1533,'WB Data'!$C$3:$M$578,7,FALSE)/100,"..")</f>
        <v>2.49927E-2</v>
      </c>
      <c r="BM1533" s="117">
        <f>IFERROR($AW1533*$BL1533,"..")</f>
        <v>2553560909.1934161</v>
      </c>
      <c r="BN1533" s="846">
        <f>IFERROR($BB1533/$BM1533,"..")</f>
        <v>1.2239332383037131</v>
      </c>
      <c r="BO1533" s="801">
        <f t="shared" si="256"/>
        <v>38</v>
      </c>
      <c r="BP1533" s="117">
        <f>VLOOKUP($D1533,'WB Data'!$C$3:$M$578,9,FALSE)</f>
        <v>42.4</v>
      </c>
      <c r="BQ1533" s="117">
        <f>VLOOKUP($D1533,'WB Data'!$C$3:$M$578,10,FALSE)</f>
        <v>73.014878048780488</v>
      </c>
      <c r="BR1533" s="117">
        <f>VLOOKUP($D1533,'WB Data'!$C$3:$M$578,11,FALSE)</f>
        <v>18.600000000000001</v>
      </c>
      <c r="BS1533" s="129">
        <f>IFERROR(VLOOKUP($D1533,'WB Data 2'!$C$2:$K$545,9,FALSE),"..")</f>
        <v>99.705489999999998</v>
      </c>
      <c r="BT1533" s="129">
        <f>_xlfn.IFNA(VLOOKUP($C1533,RGI!$A$2:$C$43,2,FALSE),"..")</f>
        <v>76.8</v>
      </c>
      <c r="BU1533" s="129">
        <f>_xlfn.IFNA(VLOOKUP($C1533,RGI!$A$2:$C$43,3,FALSE),"..")</f>
        <v>72.816147461462435</v>
      </c>
      <c r="BV1533" s="129">
        <f>VLOOKUP($D1533,WGI!$C$2:$O$478,7,FALSE)</f>
        <v>6.2703568528113707E-2</v>
      </c>
      <c r="BW1533" s="129">
        <f>VLOOKUP($D1533,WGI!$C$2:$O$478,4,FALSE)</f>
        <v>-0.76005136929099804</v>
      </c>
      <c r="BX1533" s="129">
        <f>VLOOKUP($D1533,WGI!$C$2:$O$478,3,FALSE)</f>
        <v>-0.50979739813082503</v>
      </c>
      <c r="BY1533" s="129">
        <f>VLOOKUP($D1533,WGI!$C$2:$O$478,5,FALSE)</f>
        <v>0.27595894070192201</v>
      </c>
      <c r="BZ1533" s="129">
        <f>VLOOKUP($D1533,WGI!$C$2:$O$478,2,FALSE)</f>
        <v>-0.260524325273502</v>
      </c>
    </row>
    <row r="1534" spans="1:78" ht="15" customHeight="1">
      <c r="A1534" s="294" t="s">
        <v>453</v>
      </c>
      <c r="B1534" s="117">
        <v>2007</v>
      </c>
      <c r="C1534" s="117" t="s">
        <v>449</v>
      </c>
      <c r="D1534" s="117" t="s">
        <v>3575</v>
      </c>
      <c r="E1534" s="452" t="s">
        <v>220</v>
      </c>
      <c r="F1534" s="117"/>
      <c r="G1534" s="120" t="s">
        <v>24</v>
      </c>
      <c r="H1534" s="117" t="str">
        <f t="shared" si="261"/>
        <v>yes</v>
      </c>
      <c r="I1534" s="117" t="str">
        <f t="shared" si="263"/>
        <v>no</v>
      </c>
      <c r="J1534" s="117" t="str">
        <f t="shared" si="264"/>
        <v>no</v>
      </c>
      <c r="K1534" s="117" t="s">
        <v>1336</v>
      </c>
      <c r="L1534" s="117" t="str">
        <f t="shared" si="262"/>
        <v>detailed</v>
      </c>
      <c r="M1534" s="117" t="str">
        <f t="shared" si="265"/>
        <v>detailed Mining</v>
      </c>
      <c r="N1534" s="179">
        <v>116774</v>
      </c>
      <c r="O1534" s="179"/>
      <c r="P1534" s="179"/>
      <c r="Q1534" s="179"/>
      <c r="R1534" s="179"/>
      <c r="S1534" s="117" t="s">
        <v>610</v>
      </c>
      <c r="T1534" s="119"/>
      <c r="U1534" s="117"/>
      <c r="V1534" s="117" t="s">
        <v>847</v>
      </c>
      <c r="W1534" s="89"/>
      <c r="X1534" s="117"/>
      <c r="Y1534" s="120"/>
      <c r="Z1534" s="120"/>
      <c r="AA1534" s="89"/>
      <c r="AB1534" s="89"/>
      <c r="AC1534" s="240"/>
      <c r="AD1534" s="240"/>
      <c r="AE1534" s="240"/>
      <c r="AF1534" s="241"/>
      <c r="AG1534" s="120"/>
      <c r="AH1534" s="124"/>
      <c r="AI1534" s="117"/>
      <c r="AJ1534" s="117"/>
      <c r="AK1534" s="89"/>
      <c r="AL1534" s="117"/>
      <c r="AM1534" s="117"/>
      <c r="AN1534" s="117"/>
      <c r="AO1534" s="117"/>
      <c r="AP1534" s="117"/>
      <c r="AQ1534" s="117"/>
      <c r="AR1534" s="117"/>
      <c r="AS1534" s="117"/>
      <c r="AT1534" s="117"/>
      <c r="AU1534" s="117"/>
      <c r="AV1534" s="128"/>
      <c r="AW1534" s="117">
        <f>VLOOKUP($D1534,'WB Data'!$C$3:$M$578,2,FALSE)</f>
        <v>102172270670.77251</v>
      </c>
      <c r="AX1534" s="117">
        <f>VLOOKUP($D1534,'WB Data'!$C$3:$M$578,3,FALSE)</f>
        <v>28328410</v>
      </c>
      <c r="AY1534" s="847">
        <f t="shared" si="257"/>
        <v>3.0589396244953212E-2</v>
      </c>
      <c r="AZ1534" s="117">
        <f>VLOOKUP($D1534,'WB Data'!$C$3:$M$578,4,FALSE)/100</f>
        <v>0.20970709473979002</v>
      </c>
      <c r="BA1534" s="117">
        <f t="shared" si="258"/>
        <v>21426250045.335159</v>
      </c>
      <c r="BB1534" s="129">
        <f>IFERROR(VLOOKUP($D1534,'EITI Revenues'!$C$2:$G$224,5,FALSE),"..")</f>
        <v>3125388072.7948718</v>
      </c>
      <c r="BC1534" s="846">
        <f t="shared" si="259"/>
        <v>0.14586724537340678</v>
      </c>
      <c r="BD1534" s="129">
        <f>VLOOKUP($D1534,'WB Data 2'!$C$2:$K$545,6,FALSE)</f>
        <v>19194682543.472164</v>
      </c>
      <c r="BE1534" s="129">
        <f>IFERROR(VLOOKUP($D1534,UNCTAD!$C$5:$V$529,4,FALSE),"..")</f>
        <v>31246090000</v>
      </c>
      <c r="BF1534" s="846">
        <f t="shared" si="260"/>
        <v>0.61430670344584437</v>
      </c>
      <c r="BG1534" s="117">
        <f>VLOOKUP($D1534,'WB Data'!$C$3:$M$578,5,FALSE)</f>
        <v>307030000</v>
      </c>
      <c r="BH1534" s="129">
        <f>IFERROR($BB1534/$BG1534,"..")</f>
        <v>10.179422443392736</v>
      </c>
      <c r="BI1534" s="117">
        <f>IFERROR(VLOOKUP($D1534,'WB Data'!$C$3:$M$578,7,FALSE)/100,"..")</f>
        <v>2.49927E-2</v>
      </c>
      <c r="BJ1534" s="117">
        <f>IFERROR($BI1534*$AW1534,"..")</f>
        <v>2553560909.1934161</v>
      </c>
      <c r="BK1534" s="846">
        <f>IFERROR($BB1534/$BJ1534,"..")</f>
        <v>1.2239332383037131</v>
      </c>
      <c r="BL1534" s="117">
        <f>IFERROR(VLOOKUP($D1534,'WB Data'!$C$3:$M$578,7,FALSE)/100,"..")</f>
        <v>2.49927E-2</v>
      </c>
      <c r="BM1534" s="117">
        <f>IFERROR($AW1534*$BL1534,"..")</f>
        <v>2553560909.1934161</v>
      </c>
      <c r="BN1534" s="846">
        <f>IFERROR($BB1534/$BM1534,"..")</f>
        <v>1.2239332383037131</v>
      </c>
      <c r="BO1534" s="801">
        <f t="shared" si="256"/>
        <v>38</v>
      </c>
      <c r="BP1534" s="117">
        <f>VLOOKUP($D1534,'WB Data'!$C$3:$M$578,9,FALSE)</f>
        <v>42.4</v>
      </c>
      <c r="BQ1534" s="117">
        <f>VLOOKUP($D1534,'WB Data'!$C$3:$M$578,10,FALSE)</f>
        <v>73.014878048780488</v>
      </c>
      <c r="BR1534" s="117">
        <f>VLOOKUP($D1534,'WB Data'!$C$3:$M$578,11,FALSE)</f>
        <v>18.600000000000001</v>
      </c>
      <c r="BS1534" s="129">
        <f>IFERROR(VLOOKUP($D1534,'WB Data 2'!$C$2:$K$545,9,FALSE),"..")</f>
        <v>99.705489999999998</v>
      </c>
      <c r="BT1534" s="129">
        <f>_xlfn.IFNA(VLOOKUP($C1534,RGI!$A$2:$C$43,2,FALSE),"..")</f>
        <v>76.8</v>
      </c>
      <c r="BU1534" s="129">
        <f>_xlfn.IFNA(VLOOKUP($C1534,RGI!$A$2:$C$43,3,FALSE),"..")</f>
        <v>72.816147461462435</v>
      </c>
      <c r="BV1534" s="129">
        <f>VLOOKUP($D1534,WGI!$C$2:$O$478,7,FALSE)</f>
        <v>6.2703568528113707E-2</v>
      </c>
      <c r="BW1534" s="129">
        <f>VLOOKUP($D1534,WGI!$C$2:$O$478,4,FALSE)</f>
        <v>-0.76005136929099804</v>
      </c>
      <c r="BX1534" s="129">
        <f>VLOOKUP($D1534,WGI!$C$2:$O$478,3,FALSE)</f>
        <v>-0.50979739813082503</v>
      </c>
      <c r="BY1534" s="129">
        <f>VLOOKUP($D1534,WGI!$C$2:$O$478,5,FALSE)</f>
        <v>0.27595894070192201</v>
      </c>
      <c r="BZ1534" s="129">
        <f>VLOOKUP($D1534,WGI!$C$2:$O$478,2,FALSE)</f>
        <v>-0.260524325273502</v>
      </c>
    </row>
    <row r="1535" spans="1:78" ht="15" customHeight="1">
      <c r="A1535" s="294" t="s">
        <v>453</v>
      </c>
      <c r="B1535" s="117">
        <v>2007</v>
      </c>
      <c r="C1535" s="117" t="s">
        <v>449</v>
      </c>
      <c r="D1535" s="117" t="s">
        <v>3575</v>
      </c>
      <c r="E1535" s="452" t="s">
        <v>220</v>
      </c>
      <c r="F1535" s="117"/>
      <c r="G1535" s="120" t="s">
        <v>24</v>
      </c>
      <c r="H1535" s="117" t="str">
        <f t="shared" si="261"/>
        <v>yes</v>
      </c>
      <c r="I1535" s="117" t="str">
        <f t="shared" si="263"/>
        <v>no</v>
      </c>
      <c r="J1535" s="117" t="str">
        <f t="shared" si="264"/>
        <v>no</v>
      </c>
      <c r="K1535" s="117" t="s">
        <v>1437</v>
      </c>
      <c r="L1535" s="117" t="str">
        <f t="shared" si="262"/>
        <v>detailed</v>
      </c>
      <c r="M1535" s="117" t="str">
        <f t="shared" si="265"/>
        <v>detailed Mining</v>
      </c>
      <c r="N1535" s="179">
        <v>330000</v>
      </c>
      <c r="O1535" s="179"/>
      <c r="P1535" s="179"/>
      <c r="Q1535" s="179"/>
      <c r="R1535" s="179"/>
      <c r="S1535" s="117" t="s">
        <v>610</v>
      </c>
      <c r="T1535" s="119"/>
      <c r="U1535" s="117"/>
      <c r="V1535" s="117" t="s">
        <v>847</v>
      </c>
      <c r="W1535" s="89"/>
      <c r="X1535" s="117"/>
      <c r="Y1535" s="89"/>
      <c r="Z1535" s="89"/>
      <c r="AA1535" s="89"/>
      <c r="AB1535" s="89"/>
      <c r="AC1535" s="240"/>
      <c r="AD1535" s="240"/>
      <c r="AE1535" s="240"/>
      <c r="AF1535" s="241"/>
      <c r="AG1535" s="89"/>
      <c r="AH1535" s="124"/>
      <c r="AI1535" s="117"/>
      <c r="AJ1535" s="117"/>
      <c r="AK1535" s="89"/>
      <c r="AL1535" s="117"/>
      <c r="AM1535" s="117"/>
      <c r="AN1535" s="117"/>
      <c r="AO1535" s="117"/>
      <c r="AP1535" s="117"/>
      <c r="AQ1535" s="117"/>
      <c r="AR1535" s="117"/>
      <c r="AS1535" s="117"/>
      <c r="AT1535" s="117"/>
      <c r="AU1535" s="117"/>
      <c r="AV1535" s="128"/>
      <c r="AW1535" s="117">
        <f>VLOOKUP($D1535,'WB Data'!$C$3:$M$578,2,FALSE)</f>
        <v>102172270670.77251</v>
      </c>
      <c r="AX1535" s="117">
        <f>VLOOKUP($D1535,'WB Data'!$C$3:$M$578,3,FALSE)</f>
        <v>28328410</v>
      </c>
      <c r="AY1535" s="847">
        <f t="shared" si="257"/>
        <v>3.0589396244953212E-2</v>
      </c>
      <c r="AZ1535" s="117">
        <f>VLOOKUP($D1535,'WB Data'!$C$3:$M$578,4,FALSE)/100</f>
        <v>0.20970709473979002</v>
      </c>
      <c r="BA1535" s="117">
        <f t="shared" si="258"/>
        <v>21426250045.335159</v>
      </c>
      <c r="BB1535" s="129">
        <f>IFERROR(VLOOKUP($D1535,'EITI Revenues'!$C$2:$G$224,5,FALSE),"..")</f>
        <v>3125388072.7948718</v>
      </c>
      <c r="BC1535" s="846">
        <f t="shared" si="259"/>
        <v>0.14586724537340678</v>
      </c>
      <c r="BD1535" s="129">
        <f>VLOOKUP($D1535,'WB Data 2'!$C$2:$K$545,6,FALSE)</f>
        <v>19194682543.472164</v>
      </c>
      <c r="BE1535" s="129">
        <f>IFERROR(VLOOKUP($D1535,UNCTAD!$C$5:$V$529,4,FALSE),"..")</f>
        <v>31246090000</v>
      </c>
      <c r="BF1535" s="846">
        <f t="shared" si="260"/>
        <v>0.61430670344584437</v>
      </c>
      <c r="BG1535" s="117">
        <f>VLOOKUP($D1535,'WB Data'!$C$3:$M$578,5,FALSE)</f>
        <v>307030000</v>
      </c>
      <c r="BH1535" s="129">
        <f>IFERROR($BB1535/$BG1535,"..")</f>
        <v>10.179422443392736</v>
      </c>
      <c r="BI1535" s="117">
        <f>IFERROR(VLOOKUP($D1535,'WB Data'!$C$3:$M$578,7,FALSE)/100,"..")</f>
        <v>2.49927E-2</v>
      </c>
      <c r="BJ1535" s="117">
        <f>IFERROR($BI1535*$AW1535,"..")</f>
        <v>2553560909.1934161</v>
      </c>
      <c r="BK1535" s="846">
        <f>IFERROR($BB1535/$BJ1535,"..")</f>
        <v>1.2239332383037131</v>
      </c>
      <c r="BL1535" s="117">
        <f>IFERROR(VLOOKUP($D1535,'WB Data'!$C$3:$M$578,7,FALSE)/100,"..")</f>
        <v>2.49927E-2</v>
      </c>
      <c r="BM1535" s="117">
        <f>IFERROR($AW1535*$BL1535,"..")</f>
        <v>2553560909.1934161</v>
      </c>
      <c r="BN1535" s="846">
        <f>IFERROR($BB1535/$BM1535,"..")</f>
        <v>1.2239332383037131</v>
      </c>
      <c r="BO1535" s="801">
        <f t="shared" si="256"/>
        <v>38</v>
      </c>
      <c r="BP1535" s="117">
        <f>VLOOKUP($D1535,'WB Data'!$C$3:$M$578,9,FALSE)</f>
        <v>42.4</v>
      </c>
      <c r="BQ1535" s="117">
        <f>VLOOKUP($D1535,'WB Data'!$C$3:$M$578,10,FALSE)</f>
        <v>73.014878048780488</v>
      </c>
      <c r="BR1535" s="117">
        <f>VLOOKUP($D1535,'WB Data'!$C$3:$M$578,11,FALSE)</f>
        <v>18.600000000000001</v>
      </c>
      <c r="BS1535" s="129">
        <f>IFERROR(VLOOKUP($D1535,'WB Data 2'!$C$2:$K$545,9,FALSE),"..")</f>
        <v>99.705489999999998</v>
      </c>
      <c r="BT1535" s="129">
        <f>_xlfn.IFNA(VLOOKUP($C1535,RGI!$A$2:$C$43,2,FALSE),"..")</f>
        <v>76.8</v>
      </c>
      <c r="BU1535" s="129">
        <f>_xlfn.IFNA(VLOOKUP($C1535,RGI!$A$2:$C$43,3,FALSE),"..")</f>
        <v>72.816147461462435</v>
      </c>
      <c r="BV1535" s="129">
        <f>VLOOKUP($D1535,WGI!$C$2:$O$478,7,FALSE)</f>
        <v>6.2703568528113707E-2</v>
      </c>
      <c r="BW1535" s="129">
        <f>VLOOKUP($D1535,WGI!$C$2:$O$478,4,FALSE)</f>
        <v>-0.76005136929099804</v>
      </c>
      <c r="BX1535" s="129">
        <f>VLOOKUP($D1535,WGI!$C$2:$O$478,3,FALSE)</f>
        <v>-0.50979739813082503</v>
      </c>
      <c r="BY1535" s="129">
        <f>VLOOKUP($D1535,WGI!$C$2:$O$478,5,FALSE)</f>
        <v>0.27595894070192201</v>
      </c>
      <c r="BZ1535" s="129">
        <f>VLOOKUP($D1535,WGI!$C$2:$O$478,2,FALSE)</f>
        <v>-0.260524325273502</v>
      </c>
    </row>
    <row r="1536" spans="1:78" ht="15" customHeight="1">
      <c r="A1536" s="294" t="s">
        <v>453</v>
      </c>
      <c r="B1536" s="117">
        <v>2007</v>
      </c>
      <c r="C1536" s="117" t="s">
        <v>449</v>
      </c>
      <c r="D1536" s="117" t="s">
        <v>3575</v>
      </c>
      <c r="E1536" s="452" t="s">
        <v>220</v>
      </c>
      <c r="F1536" s="117"/>
      <c r="G1536" s="120" t="s">
        <v>24</v>
      </c>
      <c r="H1536" s="117" t="str">
        <f t="shared" si="261"/>
        <v>yes</v>
      </c>
      <c r="I1536" s="117" t="str">
        <f t="shared" si="263"/>
        <v>no</v>
      </c>
      <c r="J1536" s="117" t="str">
        <f t="shared" si="264"/>
        <v>no</v>
      </c>
      <c r="K1536" s="117" t="s">
        <v>2044</v>
      </c>
      <c r="L1536" s="117" t="str">
        <f t="shared" si="262"/>
        <v>detailed</v>
      </c>
      <c r="M1536" s="117" t="str">
        <f t="shared" si="265"/>
        <v>detailed Mining</v>
      </c>
      <c r="N1536" s="179">
        <v>60000</v>
      </c>
      <c r="O1536" s="179"/>
      <c r="P1536" s="179"/>
      <c r="Q1536" s="179"/>
      <c r="R1536" s="179"/>
      <c r="S1536" s="117" t="s">
        <v>610</v>
      </c>
      <c r="T1536" s="119">
        <f>32.9/0.000453592</f>
        <v>72532.14342404627</v>
      </c>
      <c r="U1536" s="117" t="s">
        <v>611</v>
      </c>
      <c r="V1536" s="117" t="s">
        <v>2075</v>
      </c>
      <c r="W1536" s="89">
        <f>N1536*T1536</f>
        <v>4351928605.4427757</v>
      </c>
      <c r="X1536" s="117"/>
      <c r="Y1536" s="89"/>
      <c r="Z1536" s="89"/>
      <c r="AA1536" s="89"/>
      <c r="AB1536" s="89"/>
      <c r="AC1536" s="240"/>
      <c r="AD1536" s="240"/>
      <c r="AE1536" s="240"/>
      <c r="AF1536" s="241"/>
      <c r="AG1536" s="89"/>
      <c r="AH1536" s="124"/>
      <c r="AI1536" s="117"/>
      <c r="AJ1536" s="117"/>
      <c r="AK1536" s="89"/>
      <c r="AL1536" s="117"/>
      <c r="AM1536" s="117"/>
      <c r="AN1536" s="117"/>
      <c r="AO1536" s="117"/>
      <c r="AP1536" s="117"/>
      <c r="AQ1536" s="117"/>
      <c r="AR1536" s="117"/>
      <c r="AS1536" s="117"/>
      <c r="AT1536" s="117"/>
      <c r="AU1536" s="117"/>
      <c r="AV1536" s="128"/>
      <c r="AW1536" s="117">
        <f>VLOOKUP($D1536,'WB Data'!$C$3:$M$578,2,FALSE)</f>
        <v>102172270670.77251</v>
      </c>
      <c r="AX1536" s="117">
        <f>VLOOKUP($D1536,'WB Data'!$C$3:$M$578,3,FALSE)</f>
        <v>28328410</v>
      </c>
      <c r="AY1536" s="847">
        <f t="shared" si="257"/>
        <v>3.0589396244953212E-2</v>
      </c>
      <c r="AZ1536" s="117">
        <f>VLOOKUP($D1536,'WB Data'!$C$3:$M$578,4,FALSE)/100</f>
        <v>0.20970709473979002</v>
      </c>
      <c r="BA1536" s="117">
        <f t="shared" si="258"/>
        <v>21426250045.335159</v>
      </c>
      <c r="BB1536" s="129">
        <f>IFERROR(VLOOKUP($D1536,'EITI Revenues'!$C$2:$G$224,5,FALSE),"..")</f>
        <v>3125388072.7948718</v>
      </c>
      <c r="BC1536" s="846">
        <f t="shared" si="259"/>
        <v>0.14586724537340678</v>
      </c>
      <c r="BD1536" s="129">
        <f>VLOOKUP($D1536,'WB Data 2'!$C$2:$K$545,6,FALSE)</f>
        <v>19194682543.472164</v>
      </c>
      <c r="BE1536" s="129">
        <f>IFERROR(VLOOKUP($D1536,UNCTAD!$C$5:$V$529,4,FALSE),"..")</f>
        <v>31246090000</v>
      </c>
      <c r="BF1536" s="846">
        <f t="shared" si="260"/>
        <v>0.61430670344584437</v>
      </c>
      <c r="BG1536" s="117">
        <f>VLOOKUP($D1536,'WB Data'!$C$3:$M$578,5,FALSE)</f>
        <v>307030000</v>
      </c>
      <c r="BH1536" s="129">
        <f>IFERROR($BB1536/$BG1536,"..")</f>
        <v>10.179422443392736</v>
      </c>
      <c r="BI1536" s="117">
        <f>IFERROR(VLOOKUP($D1536,'WB Data'!$C$3:$M$578,7,FALSE)/100,"..")</f>
        <v>2.49927E-2</v>
      </c>
      <c r="BJ1536" s="117">
        <f>IFERROR($BI1536*$AW1536,"..")</f>
        <v>2553560909.1934161</v>
      </c>
      <c r="BK1536" s="846">
        <f>IFERROR($BB1536/$BJ1536,"..")</f>
        <v>1.2239332383037131</v>
      </c>
      <c r="BL1536" s="117">
        <f>IFERROR(VLOOKUP($D1536,'WB Data'!$C$3:$M$578,7,FALSE)/100,"..")</f>
        <v>2.49927E-2</v>
      </c>
      <c r="BM1536" s="117">
        <f>IFERROR($AW1536*$BL1536,"..")</f>
        <v>2553560909.1934161</v>
      </c>
      <c r="BN1536" s="846">
        <f>IFERROR($BB1536/$BM1536,"..")</f>
        <v>1.2239332383037131</v>
      </c>
      <c r="BO1536" s="801">
        <f t="shared" si="256"/>
        <v>38</v>
      </c>
      <c r="BP1536" s="117">
        <f>VLOOKUP($D1536,'WB Data'!$C$3:$M$578,9,FALSE)</f>
        <v>42.4</v>
      </c>
      <c r="BQ1536" s="117">
        <f>VLOOKUP($D1536,'WB Data'!$C$3:$M$578,10,FALSE)</f>
        <v>73.014878048780488</v>
      </c>
      <c r="BR1536" s="117">
        <f>VLOOKUP($D1536,'WB Data'!$C$3:$M$578,11,FALSE)</f>
        <v>18.600000000000001</v>
      </c>
      <c r="BS1536" s="129">
        <f>IFERROR(VLOOKUP($D1536,'WB Data 2'!$C$2:$K$545,9,FALSE),"..")</f>
        <v>99.705489999999998</v>
      </c>
      <c r="BT1536" s="129">
        <f>_xlfn.IFNA(VLOOKUP($C1536,RGI!$A$2:$C$43,2,FALSE),"..")</f>
        <v>76.8</v>
      </c>
      <c r="BU1536" s="129">
        <f>_xlfn.IFNA(VLOOKUP($C1536,RGI!$A$2:$C$43,3,FALSE),"..")</f>
        <v>72.816147461462435</v>
      </c>
      <c r="BV1536" s="129">
        <f>VLOOKUP($D1536,WGI!$C$2:$O$478,7,FALSE)</f>
        <v>6.2703568528113707E-2</v>
      </c>
      <c r="BW1536" s="129">
        <f>VLOOKUP($D1536,WGI!$C$2:$O$478,4,FALSE)</f>
        <v>-0.76005136929099804</v>
      </c>
      <c r="BX1536" s="129">
        <f>VLOOKUP($D1536,WGI!$C$2:$O$478,3,FALSE)</f>
        <v>-0.50979739813082503</v>
      </c>
      <c r="BY1536" s="129">
        <f>VLOOKUP($D1536,WGI!$C$2:$O$478,5,FALSE)</f>
        <v>0.27595894070192201</v>
      </c>
      <c r="BZ1536" s="129">
        <f>VLOOKUP($D1536,WGI!$C$2:$O$478,2,FALSE)</f>
        <v>-0.260524325273502</v>
      </c>
    </row>
    <row r="1537" spans="1:80" ht="15" customHeight="1">
      <c r="A1537" s="294" t="s">
        <v>453</v>
      </c>
      <c r="B1537" s="117">
        <v>2007</v>
      </c>
      <c r="C1537" s="117" t="s">
        <v>449</v>
      </c>
      <c r="D1537" s="117" t="s">
        <v>3575</v>
      </c>
      <c r="E1537" s="452" t="s">
        <v>220</v>
      </c>
      <c r="F1537" s="117"/>
      <c r="G1537" s="120" t="s">
        <v>24</v>
      </c>
      <c r="H1537" s="117" t="str">
        <f t="shared" si="261"/>
        <v>yes</v>
      </c>
      <c r="I1537" s="117" t="str">
        <f t="shared" si="263"/>
        <v>no</v>
      </c>
      <c r="J1537" s="117" t="str">
        <f t="shared" si="264"/>
        <v>no</v>
      </c>
      <c r="K1537" s="117" t="s">
        <v>2076</v>
      </c>
      <c r="L1537" s="117" t="str">
        <f t="shared" si="262"/>
        <v>detailed</v>
      </c>
      <c r="M1537" s="117" t="str">
        <f t="shared" si="265"/>
        <v>detailed Mining</v>
      </c>
      <c r="N1537" s="179">
        <v>4000</v>
      </c>
      <c r="O1537" s="179"/>
      <c r="P1537" s="179"/>
      <c r="Q1537" s="179"/>
      <c r="R1537" s="179"/>
      <c r="S1537" s="117" t="s">
        <v>610</v>
      </c>
      <c r="T1537" s="119">
        <v>8.4700000000000006</v>
      </c>
      <c r="U1537" s="117" t="s">
        <v>611</v>
      </c>
      <c r="V1537" s="117" t="s">
        <v>2077</v>
      </c>
      <c r="W1537" s="89">
        <f>N1537*T1537</f>
        <v>33880</v>
      </c>
      <c r="X1537" s="117"/>
      <c r="Y1537" s="89"/>
      <c r="Z1537" s="89"/>
      <c r="AA1537" s="89"/>
      <c r="AB1537" s="89"/>
      <c r="AC1537" s="240"/>
      <c r="AD1537" s="240"/>
      <c r="AE1537" s="240"/>
      <c r="AF1537" s="241"/>
      <c r="AG1537" s="89"/>
      <c r="AH1537" s="124"/>
      <c r="AI1537" s="117"/>
      <c r="AJ1537" s="117"/>
      <c r="AK1537" s="89"/>
      <c r="AL1537" s="117"/>
      <c r="AM1537" s="117"/>
      <c r="AN1537" s="117"/>
      <c r="AO1537" s="117"/>
      <c r="AP1537" s="117"/>
      <c r="AQ1537" s="117"/>
      <c r="AR1537" s="117"/>
      <c r="AS1537" s="117"/>
      <c r="AT1537" s="117"/>
      <c r="AU1537" s="117"/>
      <c r="AV1537" s="128"/>
      <c r="AW1537" s="117">
        <f>VLOOKUP($D1537,'WB Data'!$C$3:$M$578,2,FALSE)</f>
        <v>102172270670.77251</v>
      </c>
      <c r="AX1537" s="117">
        <f>VLOOKUP($D1537,'WB Data'!$C$3:$M$578,3,FALSE)</f>
        <v>28328410</v>
      </c>
      <c r="AY1537" s="847">
        <f t="shared" si="257"/>
        <v>3.0589396244953212E-2</v>
      </c>
      <c r="AZ1537" s="117">
        <f>VLOOKUP($D1537,'WB Data'!$C$3:$M$578,4,FALSE)/100</f>
        <v>0.20970709473979002</v>
      </c>
      <c r="BA1537" s="117">
        <f t="shared" si="258"/>
        <v>21426250045.335159</v>
      </c>
      <c r="BB1537" s="129">
        <f>IFERROR(VLOOKUP($D1537,'EITI Revenues'!$C$2:$G$224,5,FALSE),"..")</f>
        <v>3125388072.7948718</v>
      </c>
      <c r="BC1537" s="846">
        <f t="shared" si="259"/>
        <v>0.14586724537340678</v>
      </c>
      <c r="BD1537" s="129">
        <f>VLOOKUP($D1537,'WB Data 2'!$C$2:$K$545,6,FALSE)</f>
        <v>19194682543.472164</v>
      </c>
      <c r="BE1537" s="129">
        <f>IFERROR(VLOOKUP($D1537,UNCTAD!$C$5:$V$529,4,FALSE),"..")</f>
        <v>31246090000</v>
      </c>
      <c r="BF1537" s="846">
        <f t="shared" si="260"/>
        <v>0.61430670344584437</v>
      </c>
      <c r="BG1537" s="117">
        <f>VLOOKUP($D1537,'WB Data'!$C$3:$M$578,5,FALSE)</f>
        <v>307030000</v>
      </c>
      <c r="BH1537" s="129">
        <f>IFERROR($BB1537/$BG1537,"..")</f>
        <v>10.179422443392736</v>
      </c>
      <c r="BI1537" s="117">
        <f>IFERROR(VLOOKUP($D1537,'WB Data'!$C$3:$M$578,7,FALSE)/100,"..")</f>
        <v>2.49927E-2</v>
      </c>
      <c r="BJ1537" s="117">
        <f>IFERROR($BI1537*$AW1537,"..")</f>
        <v>2553560909.1934161</v>
      </c>
      <c r="BK1537" s="846">
        <f>IFERROR($BB1537/$BJ1537,"..")</f>
        <v>1.2239332383037131</v>
      </c>
      <c r="BL1537" s="117">
        <f>IFERROR(VLOOKUP($D1537,'WB Data'!$C$3:$M$578,7,FALSE)/100,"..")</f>
        <v>2.49927E-2</v>
      </c>
      <c r="BM1537" s="117">
        <f>IFERROR($AW1537*$BL1537,"..")</f>
        <v>2553560909.1934161</v>
      </c>
      <c r="BN1537" s="846">
        <f>IFERROR($BB1537/$BM1537,"..")</f>
        <v>1.2239332383037131</v>
      </c>
      <c r="BO1537" s="801">
        <f t="shared" si="256"/>
        <v>38</v>
      </c>
      <c r="BP1537" s="117">
        <f>VLOOKUP($D1537,'WB Data'!$C$3:$M$578,9,FALSE)</f>
        <v>42.4</v>
      </c>
      <c r="BQ1537" s="117">
        <f>VLOOKUP($D1537,'WB Data'!$C$3:$M$578,10,FALSE)</f>
        <v>73.014878048780488</v>
      </c>
      <c r="BR1537" s="117">
        <f>VLOOKUP($D1537,'WB Data'!$C$3:$M$578,11,FALSE)</f>
        <v>18.600000000000001</v>
      </c>
      <c r="BS1537" s="129">
        <f>IFERROR(VLOOKUP($D1537,'WB Data 2'!$C$2:$K$545,9,FALSE),"..")</f>
        <v>99.705489999999998</v>
      </c>
      <c r="BT1537" s="129">
        <f>_xlfn.IFNA(VLOOKUP($C1537,RGI!$A$2:$C$43,2,FALSE),"..")</f>
        <v>76.8</v>
      </c>
      <c r="BU1537" s="129">
        <f>_xlfn.IFNA(VLOOKUP($C1537,RGI!$A$2:$C$43,3,FALSE),"..")</f>
        <v>72.816147461462435</v>
      </c>
      <c r="BV1537" s="129">
        <f>VLOOKUP($D1537,WGI!$C$2:$O$478,7,FALSE)</f>
        <v>6.2703568528113707E-2</v>
      </c>
      <c r="BW1537" s="129">
        <f>VLOOKUP($D1537,WGI!$C$2:$O$478,4,FALSE)</f>
        <v>-0.76005136929099804</v>
      </c>
      <c r="BX1537" s="129">
        <f>VLOOKUP($D1537,WGI!$C$2:$O$478,3,FALSE)</f>
        <v>-0.50979739813082503</v>
      </c>
      <c r="BY1537" s="129">
        <f>VLOOKUP($D1537,WGI!$C$2:$O$478,5,FALSE)</f>
        <v>0.27595894070192201</v>
      </c>
      <c r="BZ1537" s="129">
        <f>VLOOKUP($D1537,WGI!$C$2:$O$478,2,FALSE)</f>
        <v>-0.260524325273502</v>
      </c>
    </row>
    <row r="1538" spans="1:80" ht="15" customHeight="1">
      <c r="A1538" s="294" t="s">
        <v>453</v>
      </c>
      <c r="B1538" s="117">
        <v>2007</v>
      </c>
      <c r="C1538" s="117" t="s">
        <v>449</v>
      </c>
      <c r="D1538" s="117" t="s">
        <v>3575</v>
      </c>
      <c r="E1538" s="452" t="s">
        <v>220</v>
      </c>
      <c r="F1538" s="117"/>
      <c r="G1538" s="120" t="s">
        <v>24</v>
      </c>
      <c r="H1538" s="117" t="str">
        <f t="shared" si="261"/>
        <v>yes</v>
      </c>
      <c r="I1538" s="117" t="str">
        <f t="shared" si="263"/>
        <v>no</v>
      </c>
      <c r="J1538" s="117" t="str">
        <f t="shared" si="264"/>
        <v>no</v>
      </c>
      <c r="K1538" s="117" t="s">
        <v>789</v>
      </c>
      <c r="L1538" s="117" t="str">
        <f t="shared" si="262"/>
        <v>detailed</v>
      </c>
      <c r="M1538" s="117" t="str">
        <f t="shared" si="265"/>
        <v>detailed Mining</v>
      </c>
      <c r="N1538" s="179">
        <f>3501*32150.7466</f>
        <v>112559763.8466</v>
      </c>
      <c r="O1538" s="179"/>
      <c r="P1538" s="179"/>
      <c r="Q1538" s="179"/>
      <c r="R1538" s="179"/>
      <c r="S1538" s="117" t="s">
        <v>785</v>
      </c>
      <c r="T1538" s="119">
        <f>13.391975/1</f>
        <v>13.391975</v>
      </c>
      <c r="U1538" s="117" t="s">
        <v>786</v>
      </c>
      <c r="V1538" s="117" t="s">
        <v>1167</v>
      </c>
      <c r="W1538" s="89">
        <f>N1538*T1538</f>
        <v>1507397543.4395711</v>
      </c>
      <c r="X1538" s="117"/>
      <c r="Y1538" s="89"/>
      <c r="Z1538" s="89"/>
      <c r="AA1538" s="89"/>
      <c r="AB1538" s="89"/>
      <c r="AC1538" s="240" t="s">
        <v>2078</v>
      </c>
      <c r="AD1538" s="240"/>
      <c r="AE1538" s="240"/>
      <c r="AF1538" s="241"/>
      <c r="AG1538" s="89"/>
      <c r="AH1538" s="124"/>
      <c r="AI1538" s="117"/>
      <c r="AJ1538" s="117"/>
      <c r="AK1538" s="89"/>
      <c r="AL1538" s="117"/>
      <c r="AM1538" s="117"/>
      <c r="AN1538" s="117">
        <v>16</v>
      </c>
      <c r="AO1538" s="117" t="s">
        <v>2047</v>
      </c>
      <c r="AP1538" s="117">
        <v>16</v>
      </c>
      <c r="AQ1538" s="117"/>
      <c r="AR1538" s="117"/>
      <c r="AS1538" s="117"/>
      <c r="AT1538" s="117"/>
      <c r="AU1538" s="117"/>
      <c r="AV1538" s="128"/>
      <c r="AW1538" s="117">
        <f>VLOOKUP($D1538,'WB Data'!$C$3:$M$578,2,FALSE)</f>
        <v>102172270670.77251</v>
      </c>
      <c r="AX1538" s="117">
        <f>VLOOKUP($D1538,'WB Data'!$C$3:$M$578,3,FALSE)</f>
        <v>28328410</v>
      </c>
      <c r="AY1538" s="847">
        <f t="shared" si="257"/>
        <v>3.0589396244953212E-2</v>
      </c>
      <c r="AZ1538" s="117">
        <f>VLOOKUP($D1538,'WB Data'!$C$3:$M$578,4,FALSE)/100</f>
        <v>0.20970709473979002</v>
      </c>
      <c r="BA1538" s="117">
        <f t="shared" si="258"/>
        <v>21426250045.335159</v>
      </c>
      <c r="BB1538" s="129">
        <f>IFERROR(VLOOKUP($D1538,'EITI Revenues'!$C$2:$G$224,5,FALSE),"..")</f>
        <v>3125388072.7948718</v>
      </c>
      <c r="BC1538" s="846">
        <f t="shared" si="259"/>
        <v>0.14586724537340678</v>
      </c>
      <c r="BD1538" s="129">
        <f>VLOOKUP($D1538,'WB Data 2'!$C$2:$K$545,6,FALSE)</f>
        <v>19194682543.472164</v>
      </c>
      <c r="BE1538" s="129">
        <f>IFERROR(VLOOKUP($D1538,UNCTAD!$C$5:$V$529,4,FALSE),"..")</f>
        <v>31246090000</v>
      </c>
      <c r="BF1538" s="846">
        <f t="shared" si="260"/>
        <v>0.61430670344584437</v>
      </c>
      <c r="BG1538" s="117">
        <f>VLOOKUP($D1538,'WB Data'!$C$3:$M$578,5,FALSE)</f>
        <v>307030000</v>
      </c>
      <c r="BH1538" s="129">
        <f>IFERROR($BB1538/$BG1538,"..")</f>
        <v>10.179422443392736</v>
      </c>
      <c r="BI1538" s="117">
        <f>IFERROR(VLOOKUP($D1538,'WB Data'!$C$3:$M$578,7,FALSE)/100,"..")</f>
        <v>2.49927E-2</v>
      </c>
      <c r="BJ1538" s="117">
        <f>IFERROR($BI1538*$AW1538,"..")</f>
        <v>2553560909.1934161</v>
      </c>
      <c r="BK1538" s="846">
        <f>IFERROR($BB1538/$BJ1538,"..")</f>
        <v>1.2239332383037131</v>
      </c>
      <c r="BL1538" s="117">
        <f>IFERROR(VLOOKUP($D1538,'WB Data'!$C$3:$M$578,7,FALSE)/100,"..")</f>
        <v>2.49927E-2</v>
      </c>
      <c r="BM1538" s="117">
        <f>IFERROR($AW1538*$BL1538,"..")</f>
        <v>2553560909.1934161</v>
      </c>
      <c r="BN1538" s="846">
        <f>IFERROR($BB1538/$BM1538,"..")</f>
        <v>1.2239332383037131</v>
      </c>
      <c r="BO1538" s="801">
        <f t="shared" ref="BO1538:BO1601" si="266">_xlfn.IFNA(VLOOKUP($C1538,CPI_2013,2,FALSE),"..")</f>
        <v>38</v>
      </c>
      <c r="BP1538" s="117">
        <f>VLOOKUP($D1538,'WB Data'!$C$3:$M$578,9,FALSE)</f>
        <v>42.4</v>
      </c>
      <c r="BQ1538" s="117">
        <f>VLOOKUP($D1538,'WB Data'!$C$3:$M$578,10,FALSE)</f>
        <v>73.014878048780488</v>
      </c>
      <c r="BR1538" s="117">
        <f>VLOOKUP($D1538,'WB Data'!$C$3:$M$578,11,FALSE)</f>
        <v>18.600000000000001</v>
      </c>
      <c r="BS1538" s="129">
        <f>IFERROR(VLOOKUP($D1538,'WB Data 2'!$C$2:$K$545,9,FALSE),"..")</f>
        <v>99.705489999999998</v>
      </c>
      <c r="BT1538" s="129">
        <f>_xlfn.IFNA(VLOOKUP($C1538,RGI!$A$2:$C$43,2,FALSE),"..")</f>
        <v>76.8</v>
      </c>
      <c r="BU1538" s="129">
        <f>_xlfn.IFNA(VLOOKUP($C1538,RGI!$A$2:$C$43,3,FALSE),"..")</f>
        <v>72.816147461462435</v>
      </c>
      <c r="BV1538" s="129">
        <f>VLOOKUP($D1538,WGI!$C$2:$O$478,7,FALSE)</f>
        <v>6.2703568528113707E-2</v>
      </c>
      <c r="BW1538" s="129">
        <f>VLOOKUP($D1538,WGI!$C$2:$O$478,4,FALSE)</f>
        <v>-0.76005136929099804</v>
      </c>
      <c r="BX1538" s="129">
        <f>VLOOKUP($D1538,WGI!$C$2:$O$478,3,FALSE)</f>
        <v>-0.50979739813082503</v>
      </c>
      <c r="BY1538" s="129">
        <f>VLOOKUP($D1538,WGI!$C$2:$O$478,5,FALSE)</f>
        <v>0.27595894070192201</v>
      </c>
      <c r="BZ1538" s="129">
        <f>VLOOKUP($D1538,WGI!$C$2:$O$478,2,FALSE)</f>
        <v>-0.260524325273502</v>
      </c>
    </row>
    <row r="1539" spans="1:80" ht="15" customHeight="1">
      <c r="A1539" s="294" t="s">
        <v>453</v>
      </c>
      <c r="B1539" s="117">
        <v>2007</v>
      </c>
      <c r="C1539" s="117" t="s">
        <v>449</v>
      </c>
      <c r="D1539" s="117" t="s">
        <v>3575</v>
      </c>
      <c r="E1539" s="452" t="s">
        <v>220</v>
      </c>
      <c r="F1539" s="117"/>
      <c r="G1539" s="120" t="s">
        <v>24</v>
      </c>
      <c r="H1539" s="117" t="str">
        <f t="shared" si="261"/>
        <v>yes</v>
      </c>
      <c r="I1539" s="117" t="str">
        <f t="shared" si="263"/>
        <v>no</v>
      </c>
      <c r="J1539" s="117" t="str">
        <f t="shared" si="264"/>
        <v>no</v>
      </c>
      <c r="K1539" s="117" t="s">
        <v>2048</v>
      </c>
      <c r="L1539" s="117" t="str">
        <f t="shared" si="262"/>
        <v>detailed</v>
      </c>
      <c r="M1539" s="117" t="str">
        <f t="shared" si="265"/>
        <v>detailed Mining</v>
      </c>
      <c r="N1539" s="179">
        <v>100</v>
      </c>
      <c r="O1539" s="179"/>
      <c r="P1539" s="179"/>
      <c r="Q1539" s="179"/>
      <c r="R1539" s="179"/>
      <c r="S1539" s="117" t="s">
        <v>610</v>
      </c>
      <c r="T1539" s="119"/>
      <c r="U1539" s="117"/>
      <c r="V1539" s="117" t="s">
        <v>847</v>
      </c>
      <c r="W1539" s="89"/>
      <c r="X1539" s="120"/>
      <c r="Y1539" s="89"/>
      <c r="Z1539" s="89"/>
      <c r="AA1539" s="89"/>
      <c r="AB1539" s="89"/>
      <c r="AC1539" s="240"/>
      <c r="AD1539" s="240"/>
      <c r="AE1539" s="240"/>
      <c r="AF1539" s="241"/>
      <c r="AG1539" s="89"/>
      <c r="AH1539" s="124"/>
      <c r="AI1539" s="117"/>
      <c r="AJ1539" s="117"/>
      <c r="AK1539" s="89"/>
      <c r="AL1539" s="117"/>
      <c r="AM1539" s="117"/>
      <c r="AN1539" s="117"/>
      <c r="AO1539" s="117"/>
      <c r="AP1539" s="117"/>
      <c r="AQ1539" s="117"/>
      <c r="AR1539" s="117"/>
      <c r="AS1539" s="117"/>
      <c r="AT1539" s="117"/>
      <c r="AU1539" s="117"/>
      <c r="AV1539" s="128"/>
      <c r="AW1539" s="117">
        <f>VLOOKUP($D1539,'WB Data'!$C$3:$M$578,2,FALSE)</f>
        <v>102172270670.77251</v>
      </c>
      <c r="AX1539" s="117">
        <f>VLOOKUP($D1539,'WB Data'!$C$3:$M$578,3,FALSE)</f>
        <v>28328410</v>
      </c>
      <c r="AY1539" s="847">
        <f t="shared" ref="AY1539:AY1602" si="267">IFERROR($BB1539/$AW1539,"..")</f>
        <v>3.0589396244953212E-2</v>
      </c>
      <c r="AZ1539" s="117">
        <f>VLOOKUP($D1539,'WB Data'!$C$3:$M$578,4,FALSE)/100</f>
        <v>0.20970709473979002</v>
      </c>
      <c r="BA1539" s="117">
        <f t="shared" ref="BA1539:BA1602" si="268">IFERROR($AW1539*$AZ1539,"..")</f>
        <v>21426250045.335159</v>
      </c>
      <c r="BB1539" s="129">
        <f>IFERROR(VLOOKUP($D1539,'EITI Revenues'!$C$2:$G$224,5,FALSE),"..")</f>
        <v>3125388072.7948718</v>
      </c>
      <c r="BC1539" s="846">
        <f t="shared" ref="BC1539:BC1602" si="269">IFERROR($BB1539/$BA1539,"..")</f>
        <v>0.14586724537340678</v>
      </c>
      <c r="BD1539" s="129">
        <f>VLOOKUP($D1539,'WB Data 2'!$C$2:$K$545,6,FALSE)</f>
        <v>19194682543.472164</v>
      </c>
      <c r="BE1539" s="129">
        <f>IFERROR(VLOOKUP($D1539,UNCTAD!$C$5:$V$529,4,FALSE),"..")</f>
        <v>31246090000</v>
      </c>
      <c r="BF1539" s="846">
        <f t="shared" ref="BF1539:BF1602" si="270">IFERROR(($BD1539/$BE1539),"..")</f>
        <v>0.61430670344584437</v>
      </c>
      <c r="BG1539" s="117">
        <f>VLOOKUP($D1539,'WB Data'!$C$3:$M$578,5,FALSE)</f>
        <v>307030000</v>
      </c>
      <c r="BH1539" s="129">
        <f>IFERROR($BB1539/$BG1539,"..")</f>
        <v>10.179422443392736</v>
      </c>
      <c r="BI1539" s="117">
        <f>IFERROR(VLOOKUP($D1539,'WB Data'!$C$3:$M$578,7,FALSE)/100,"..")</f>
        <v>2.49927E-2</v>
      </c>
      <c r="BJ1539" s="117">
        <f>IFERROR($BI1539*$AW1539,"..")</f>
        <v>2553560909.1934161</v>
      </c>
      <c r="BK1539" s="846">
        <f>IFERROR($BB1539/$BJ1539,"..")</f>
        <v>1.2239332383037131</v>
      </c>
      <c r="BL1539" s="117">
        <f>IFERROR(VLOOKUP($D1539,'WB Data'!$C$3:$M$578,7,FALSE)/100,"..")</f>
        <v>2.49927E-2</v>
      </c>
      <c r="BM1539" s="117">
        <f>IFERROR($AW1539*$BL1539,"..")</f>
        <v>2553560909.1934161</v>
      </c>
      <c r="BN1539" s="846">
        <f>IFERROR($BB1539/$BM1539,"..")</f>
        <v>1.2239332383037131</v>
      </c>
      <c r="BO1539" s="801">
        <f t="shared" si="266"/>
        <v>38</v>
      </c>
      <c r="BP1539" s="117">
        <f>VLOOKUP($D1539,'WB Data'!$C$3:$M$578,9,FALSE)</f>
        <v>42.4</v>
      </c>
      <c r="BQ1539" s="117">
        <f>VLOOKUP($D1539,'WB Data'!$C$3:$M$578,10,FALSE)</f>
        <v>73.014878048780488</v>
      </c>
      <c r="BR1539" s="117">
        <f>VLOOKUP($D1539,'WB Data'!$C$3:$M$578,11,FALSE)</f>
        <v>18.600000000000001</v>
      </c>
      <c r="BS1539" s="129">
        <f>IFERROR(VLOOKUP($D1539,'WB Data 2'!$C$2:$K$545,9,FALSE),"..")</f>
        <v>99.705489999999998</v>
      </c>
      <c r="BT1539" s="129">
        <f>_xlfn.IFNA(VLOOKUP($C1539,RGI!$A$2:$C$43,2,FALSE),"..")</f>
        <v>76.8</v>
      </c>
      <c r="BU1539" s="129">
        <f>_xlfn.IFNA(VLOOKUP($C1539,RGI!$A$2:$C$43,3,FALSE),"..")</f>
        <v>72.816147461462435</v>
      </c>
      <c r="BV1539" s="129">
        <f>VLOOKUP($D1539,WGI!$C$2:$O$478,7,FALSE)</f>
        <v>6.2703568528113707E-2</v>
      </c>
      <c r="BW1539" s="129">
        <f>VLOOKUP($D1539,WGI!$C$2:$O$478,4,FALSE)</f>
        <v>-0.76005136929099804</v>
      </c>
      <c r="BX1539" s="129">
        <f>VLOOKUP($D1539,WGI!$C$2:$O$478,3,FALSE)</f>
        <v>-0.50979739813082503</v>
      </c>
      <c r="BY1539" s="129">
        <f>VLOOKUP($D1539,WGI!$C$2:$O$478,5,FALSE)</f>
        <v>0.27595894070192201</v>
      </c>
      <c r="BZ1539" s="129">
        <f>VLOOKUP($D1539,WGI!$C$2:$O$478,2,FALSE)</f>
        <v>-0.260524325273502</v>
      </c>
    </row>
    <row r="1540" spans="1:80" ht="15" customHeight="1">
      <c r="A1540" s="294" t="s">
        <v>453</v>
      </c>
      <c r="B1540" s="117">
        <v>2007</v>
      </c>
      <c r="C1540" s="117" t="s">
        <v>449</v>
      </c>
      <c r="D1540" s="117" t="s">
        <v>3575</v>
      </c>
      <c r="E1540" s="452" t="s">
        <v>220</v>
      </c>
      <c r="F1540" s="117"/>
      <c r="G1540" s="120" t="s">
        <v>24</v>
      </c>
      <c r="H1540" s="117" t="str">
        <f t="shared" si="261"/>
        <v>yes</v>
      </c>
      <c r="I1540" s="117" t="str">
        <f t="shared" si="263"/>
        <v>no</v>
      </c>
      <c r="J1540" s="117" t="str">
        <f t="shared" si="264"/>
        <v>no</v>
      </c>
      <c r="K1540" s="117" t="s">
        <v>2049</v>
      </c>
      <c r="L1540" s="117" t="str">
        <f t="shared" si="262"/>
        <v>detailed</v>
      </c>
      <c r="M1540" s="117" t="str">
        <f t="shared" si="265"/>
        <v>detailed Mining</v>
      </c>
      <c r="N1540" s="179">
        <v>623000</v>
      </c>
      <c r="O1540" s="179"/>
      <c r="P1540" s="179"/>
      <c r="Q1540" s="179"/>
      <c r="R1540" s="179"/>
      <c r="S1540" s="117" t="s">
        <v>610</v>
      </c>
      <c r="T1540" s="119"/>
      <c r="U1540" s="117"/>
      <c r="V1540" s="117" t="s">
        <v>847</v>
      </c>
      <c r="W1540" s="89"/>
      <c r="X1540" s="120"/>
      <c r="Y1540" s="89"/>
      <c r="Z1540" s="89"/>
      <c r="AA1540" s="89"/>
      <c r="AB1540" s="89"/>
      <c r="AC1540" s="240"/>
      <c r="AD1540" s="240"/>
      <c r="AE1540" s="240"/>
      <c r="AF1540" s="241"/>
      <c r="AG1540" s="89"/>
      <c r="AH1540" s="124"/>
      <c r="AI1540" s="117"/>
      <c r="AJ1540" s="117"/>
      <c r="AK1540" s="89"/>
      <c r="AL1540" s="117"/>
      <c r="AM1540" s="117"/>
      <c r="AN1540" s="117"/>
      <c r="AO1540" s="117"/>
      <c r="AP1540" s="117"/>
      <c r="AQ1540" s="117"/>
      <c r="AR1540" s="117"/>
      <c r="AS1540" s="117"/>
      <c r="AT1540" s="117"/>
      <c r="AU1540" s="117"/>
      <c r="AV1540" s="128"/>
      <c r="AW1540" s="117">
        <f>VLOOKUP($D1540,'WB Data'!$C$3:$M$578,2,FALSE)</f>
        <v>102172270670.77251</v>
      </c>
      <c r="AX1540" s="117">
        <f>VLOOKUP($D1540,'WB Data'!$C$3:$M$578,3,FALSE)</f>
        <v>28328410</v>
      </c>
      <c r="AY1540" s="847">
        <f t="shared" si="267"/>
        <v>3.0589396244953212E-2</v>
      </c>
      <c r="AZ1540" s="117">
        <f>VLOOKUP($D1540,'WB Data'!$C$3:$M$578,4,FALSE)/100</f>
        <v>0.20970709473979002</v>
      </c>
      <c r="BA1540" s="117">
        <f t="shared" si="268"/>
        <v>21426250045.335159</v>
      </c>
      <c r="BB1540" s="129">
        <f>IFERROR(VLOOKUP($D1540,'EITI Revenues'!$C$2:$G$224,5,FALSE),"..")</f>
        <v>3125388072.7948718</v>
      </c>
      <c r="BC1540" s="846">
        <f t="shared" si="269"/>
        <v>0.14586724537340678</v>
      </c>
      <c r="BD1540" s="129">
        <f>VLOOKUP($D1540,'WB Data 2'!$C$2:$K$545,6,FALSE)</f>
        <v>19194682543.472164</v>
      </c>
      <c r="BE1540" s="129">
        <f>IFERROR(VLOOKUP($D1540,UNCTAD!$C$5:$V$529,4,FALSE),"..")</f>
        <v>31246090000</v>
      </c>
      <c r="BF1540" s="846">
        <f t="shared" si="270"/>
        <v>0.61430670344584437</v>
      </c>
      <c r="BG1540" s="117">
        <f>VLOOKUP($D1540,'WB Data'!$C$3:$M$578,5,FALSE)</f>
        <v>307030000</v>
      </c>
      <c r="BH1540" s="129">
        <f>IFERROR($BB1540/$BG1540,"..")</f>
        <v>10.179422443392736</v>
      </c>
      <c r="BI1540" s="117">
        <f>IFERROR(VLOOKUP($D1540,'WB Data'!$C$3:$M$578,7,FALSE)/100,"..")</f>
        <v>2.49927E-2</v>
      </c>
      <c r="BJ1540" s="117">
        <f>IFERROR($BI1540*$AW1540,"..")</f>
        <v>2553560909.1934161</v>
      </c>
      <c r="BK1540" s="846">
        <f>IFERROR($BB1540/$BJ1540,"..")</f>
        <v>1.2239332383037131</v>
      </c>
      <c r="BL1540" s="117">
        <f>IFERROR(VLOOKUP($D1540,'WB Data'!$C$3:$M$578,7,FALSE)/100,"..")</f>
        <v>2.49927E-2</v>
      </c>
      <c r="BM1540" s="117">
        <f>IFERROR($AW1540*$BL1540,"..")</f>
        <v>2553560909.1934161</v>
      </c>
      <c r="BN1540" s="846">
        <f>IFERROR($BB1540/$BM1540,"..")</f>
        <v>1.2239332383037131</v>
      </c>
      <c r="BO1540" s="801">
        <f t="shared" si="266"/>
        <v>38</v>
      </c>
      <c r="BP1540" s="117">
        <f>VLOOKUP($D1540,'WB Data'!$C$3:$M$578,9,FALSE)</f>
        <v>42.4</v>
      </c>
      <c r="BQ1540" s="117">
        <f>VLOOKUP($D1540,'WB Data'!$C$3:$M$578,10,FALSE)</f>
        <v>73.014878048780488</v>
      </c>
      <c r="BR1540" s="117">
        <f>VLOOKUP($D1540,'WB Data'!$C$3:$M$578,11,FALSE)</f>
        <v>18.600000000000001</v>
      </c>
      <c r="BS1540" s="129">
        <f>IFERROR(VLOOKUP($D1540,'WB Data 2'!$C$2:$K$545,9,FALSE),"..")</f>
        <v>99.705489999999998</v>
      </c>
      <c r="BT1540" s="129">
        <f>_xlfn.IFNA(VLOOKUP($C1540,RGI!$A$2:$C$43,2,FALSE),"..")</f>
        <v>76.8</v>
      </c>
      <c r="BU1540" s="129">
        <f>_xlfn.IFNA(VLOOKUP($C1540,RGI!$A$2:$C$43,3,FALSE),"..")</f>
        <v>72.816147461462435</v>
      </c>
      <c r="BV1540" s="129">
        <f>VLOOKUP($D1540,WGI!$C$2:$O$478,7,FALSE)</f>
        <v>6.2703568528113707E-2</v>
      </c>
      <c r="BW1540" s="129">
        <f>VLOOKUP($D1540,WGI!$C$2:$O$478,4,FALSE)</f>
        <v>-0.76005136929099804</v>
      </c>
      <c r="BX1540" s="129">
        <f>VLOOKUP($D1540,WGI!$C$2:$O$478,3,FALSE)</f>
        <v>-0.50979739813082503</v>
      </c>
      <c r="BY1540" s="129">
        <f>VLOOKUP($D1540,WGI!$C$2:$O$478,5,FALSE)</f>
        <v>0.27595894070192201</v>
      </c>
      <c r="BZ1540" s="129">
        <f>VLOOKUP($D1540,WGI!$C$2:$O$478,2,FALSE)</f>
        <v>-0.260524325273502</v>
      </c>
    </row>
    <row r="1541" spans="1:80" ht="15" customHeight="1">
      <c r="A1541" s="294" t="s">
        <v>453</v>
      </c>
      <c r="B1541" s="117">
        <v>2007</v>
      </c>
      <c r="C1541" s="117" t="s">
        <v>449</v>
      </c>
      <c r="D1541" s="117" t="s">
        <v>3575</v>
      </c>
      <c r="E1541" s="452" t="s">
        <v>220</v>
      </c>
      <c r="F1541" s="117"/>
      <c r="G1541" s="120" t="s">
        <v>24</v>
      </c>
      <c r="H1541" s="117" t="str">
        <f t="shared" si="261"/>
        <v>yes</v>
      </c>
      <c r="I1541" s="117" t="str">
        <f t="shared" si="263"/>
        <v>no</v>
      </c>
      <c r="J1541" s="117" t="str">
        <f t="shared" si="264"/>
        <v>no</v>
      </c>
      <c r="K1541" s="117" t="s">
        <v>2050</v>
      </c>
      <c r="L1541" s="117" t="str">
        <f t="shared" si="262"/>
        <v>detailed</v>
      </c>
      <c r="M1541" s="117" t="str">
        <f t="shared" si="265"/>
        <v>detailed Mining</v>
      </c>
      <c r="N1541" s="179">
        <v>35000</v>
      </c>
      <c r="O1541" s="179"/>
      <c r="P1541" s="179"/>
      <c r="Q1541" s="179"/>
      <c r="R1541" s="179"/>
      <c r="S1541" s="117" t="s">
        <v>610</v>
      </c>
      <c r="T1541" s="119">
        <v>82000</v>
      </c>
      <c r="U1541" s="117" t="s">
        <v>611</v>
      </c>
      <c r="V1541" s="117" t="s">
        <v>2079</v>
      </c>
      <c r="W1541" s="89">
        <f>N1541*T1541</f>
        <v>2870000000</v>
      </c>
      <c r="X1541" s="120"/>
      <c r="Y1541" s="89"/>
      <c r="Z1541" s="89"/>
      <c r="AA1541" s="89"/>
      <c r="AB1541" s="89"/>
      <c r="AC1541" s="240"/>
      <c r="AD1541" s="240"/>
      <c r="AE1541" s="240"/>
      <c r="AF1541" s="241"/>
      <c r="AG1541" s="89"/>
      <c r="AH1541" s="124"/>
      <c r="AI1541" s="117"/>
      <c r="AJ1541" s="117"/>
      <c r="AK1541" s="89"/>
      <c r="AL1541" s="117"/>
      <c r="AM1541" s="117"/>
      <c r="AN1541" s="117"/>
      <c r="AO1541" s="117"/>
      <c r="AP1541" s="117"/>
      <c r="AQ1541" s="117"/>
      <c r="AR1541" s="117"/>
      <c r="AS1541" s="117"/>
      <c r="AT1541" s="117"/>
      <c r="AU1541" s="117"/>
      <c r="AV1541" s="128"/>
      <c r="AW1541" s="117">
        <f>VLOOKUP($D1541,'WB Data'!$C$3:$M$578,2,FALSE)</f>
        <v>102172270670.77251</v>
      </c>
      <c r="AX1541" s="117">
        <f>VLOOKUP($D1541,'WB Data'!$C$3:$M$578,3,FALSE)</f>
        <v>28328410</v>
      </c>
      <c r="AY1541" s="847">
        <f t="shared" si="267"/>
        <v>3.0589396244953212E-2</v>
      </c>
      <c r="AZ1541" s="117">
        <f>VLOOKUP($D1541,'WB Data'!$C$3:$M$578,4,FALSE)/100</f>
        <v>0.20970709473979002</v>
      </c>
      <c r="BA1541" s="117">
        <f t="shared" si="268"/>
        <v>21426250045.335159</v>
      </c>
      <c r="BB1541" s="129">
        <f>IFERROR(VLOOKUP($D1541,'EITI Revenues'!$C$2:$G$224,5,FALSE),"..")</f>
        <v>3125388072.7948718</v>
      </c>
      <c r="BC1541" s="846">
        <f t="shared" si="269"/>
        <v>0.14586724537340678</v>
      </c>
      <c r="BD1541" s="129">
        <f>VLOOKUP($D1541,'WB Data 2'!$C$2:$K$545,6,FALSE)</f>
        <v>19194682543.472164</v>
      </c>
      <c r="BE1541" s="129">
        <f>IFERROR(VLOOKUP($D1541,UNCTAD!$C$5:$V$529,4,FALSE),"..")</f>
        <v>31246090000</v>
      </c>
      <c r="BF1541" s="846">
        <f t="shared" si="270"/>
        <v>0.61430670344584437</v>
      </c>
      <c r="BG1541" s="117">
        <f>VLOOKUP($D1541,'WB Data'!$C$3:$M$578,5,FALSE)</f>
        <v>307030000</v>
      </c>
      <c r="BH1541" s="129">
        <f>IFERROR($BB1541/$BG1541,"..")</f>
        <v>10.179422443392736</v>
      </c>
      <c r="BI1541" s="117">
        <f>IFERROR(VLOOKUP($D1541,'WB Data'!$C$3:$M$578,7,FALSE)/100,"..")</f>
        <v>2.49927E-2</v>
      </c>
      <c r="BJ1541" s="117">
        <f>IFERROR($BI1541*$AW1541,"..")</f>
        <v>2553560909.1934161</v>
      </c>
      <c r="BK1541" s="846">
        <f>IFERROR($BB1541/$BJ1541,"..")</f>
        <v>1.2239332383037131</v>
      </c>
      <c r="BL1541" s="117">
        <f>IFERROR(VLOOKUP($D1541,'WB Data'!$C$3:$M$578,7,FALSE)/100,"..")</f>
        <v>2.49927E-2</v>
      </c>
      <c r="BM1541" s="117">
        <f>IFERROR($AW1541*$BL1541,"..")</f>
        <v>2553560909.1934161</v>
      </c>
      <c r="BN1541" s="846">
        <f>IFERROR($BB1541/$BM1541,"..")</f>
        <v>1.2239332383037131</v>
      </c>
      <c r="BO1541" s="801">
        <f t="shared" si="266"/>
        <v>38</v>
      </c>
      <c r="BP1541" s="117">
        <f>VLOOKUP($D1541,'WB Data'!$C$3:$M$578,9,FALSE)</f>
        <v>42.4</v>
      </c>
      <c r="BQ1541" s="117">
        <f>VLOOKUP($D1541,'WB Data'!$C$3:$M$578,10,FALSE)</f>
        <v>73.014878048780488</v>
      </c>
      <c r="BR1541" s="117">
        <f>VLOOKUP($D1541,'WB Data'!$C$3:$M$578,11,FALSE)</f>
        <v>18.600000000000001</v>
      </c>
      <c r="BS1541" s="129">
        <f>IFERROR(VLOOKUP($D1541,'WB Data 2'!$C$2:$K$545,9,FALSE),"..")</f>
        <v>99.705489999999998</v>
      </c>
      <c r="BT1541" s="129">
        <f>_xlfn.IFNA(VLOOKUP($C1541,RGI!$A$2:$C$43,2,FALSE),"..")</f>
        <v>76.8</v>
      </c>
      <c r="BU1541" s="129">
        <f>_xlfn.IFNA(VLOOKUP($C1541,RGI!$A$2:$C$43,3,FALSE),"..")</f>
        <v>72.816147461462435</v>
      </c>
      <c r="BV1541" s="129">
        <f>VLOOKUP($D1541,WGI!$C$2:$O$478,7,FALSE)</f>
        <v>6.2703568528113707E-2</v>
      </c>
      <c r="BW1541" s="129">
        <f>VLOOKUP($D1541,WGI!$C$2:$O$478,4,FALSE)</f>
        <v>-0.76005136929099804</v>
      </c>
      <c r="BX1541" s="129">
        <f>VLOOKUP($D1541,WGI!$C$2:$O$478,3,FALSE)</f>
        <v>-0.50979739813082503</v>
      </c>
      <c r="BY1541" s="129">
        <f>VLOOKUP($D1541,WGI!$C$2:$O$478,5,FALSE)</f>
        <v>0.27595894070192201</v>
      </c>
      <c r="BZ1541" s="129">
        <f>VLOOKUP($D1541,WGI!$C$2:$O$478,2,FALSE)</f>
        <v>-0.260524325273502</v>
      </c>
    </row>
    <row r="1542" spans="1:80" ht="15" customHeight="1">
      <c r="A1542" s="294" t="s">
        <v>453</v>
      </c>
      <c r="B1542" s="117">
        <v>2007</v>
      </c>
      <c r="C1542" s="117" t="s">
        <v>449</v>
      </c>
      <c r="D1542" s="117" t="s">
        <v>3575</v>
      </c>
      <c r="E1542" s="452" t="s">
        <v>220</v>
      </c>
      <c r="F1542" s="117"/>
      <c r="G1542" s="120" t="s">
        <v>24</v>
      </c>
      <c r="H1542" s="117" t="str">
        <f t="shared" si="261"/>
        <v>yes</v>
      </c>
      <c r="I1542" s="117" t="str">
        <f t="shared" si="263"/>
        <v>no</v>
      </c>
      <c r="J1542" s="117" t="str">
        <f t="shared" si="264"/>
        <v>no</v>
      </c>
      <c r="K1542" s="117" t="s">
        <v>1332</v>
      </c>
      <c r="L1542" s="117" t="str">
        <f t="shared" si="262"/>
        <v>detailed</v>
      </c>
      <c r="M1542" s="117" t="str">
        <f t="shared" si="265"/>
        <v>detailed Mining</v>
      </c>
      <c r="N1542" s="179"/>
      <c r="O1542" s="179"/>
      <c r="P1542" s="179"/>
      <c r="Q1542" s="179"/>
      <c r="R1542" s="179"/>
      <c r="S1542" s="117"/>
      <c r="T1542" s="186">
        <f>14536.8345</f>
        <v>14536.834500000001</v>
      </c>
      <c r="U1542" s="117" t="s">
        <v>611</v>
      </c>
      <c r="V1542" s="117" t="s">
        <v>1333</v>
      </c>
      <c r="W1542" s="89">
        <f>N1544*T1542</f>
        <v>523384189.33800006</v>
      </c>
      <c r="X1542" s="117"/>
      <c r="Y1542" s="117"/>
      <c r="Z1542" s="117"/>
      <c r="AA1542" s="89"/>
      <c r="AB1542" s="89"/>
      <c r="AC1542" s="240" t="s">
        <v>2052</v>
      </c>
      <c r="AD1542" s="240"/>
      <c r="AE1542" s="240"/>
      <c r="AF1542" s="241"/>
      <c r="AG1542" s="117"/>
      <c r="AH1542" s="124"/>
      <c r="AI1542" s="117"/>
      <c r="AJ1542" s="117"/>
      <c r="AK1542" s="89"/>
      <c r="AL1542" s="117"/>
      <c r="AM1542" s="117"/>
      <c r="AN1542" s="117">
        <v>1</v>
      </c>
      <c r="AO1542" s="117" t="s">
        <v>2053</v>
      </c>
      <c r="AP1542" s="117">
        <v>1</v>
      </c>
      <c r="AQ1542" s="117"/>
      <c r="AR1542" s="117"/>
      <c r="AS1542" s="117"/>
      <c r="AT1542" s="117"/>
      <c r="AU1542" s="117"/>
      <c r="AV1542" s="128"/>
      <c r="AW1542" s="117">
        <f>VLOOKUP($D1542,'WB Data'!$C$3:$M$578,2,FALSE)</f>
        <v>102172270670.77251</v>
      </c>
      <c r="AX1542" s="117">
        <f>VLOOKUP($D1542,'WB Data'!$C$3:$M$578,3,FALSE)</f>
        <v>28328410</v>
      </c>
      <c r="AY1542" s="847">
        <f t="shared" si="267"/>
        <v>3.0589396244953212E-2</v>
      </c>
      <c r="AZ1542" s="117">
        <f>VLOOKUP($D1542,'WB Data'!$C$3:$M$578,4,FALSE)/100</f>
        <v>0.20970709473979002</v>
      </c>
      <c r="BA1542" s="117">
        <f t="shared" si="268"/>
        <v>21426250045.335159</v>
      </c>
      <c r="BB1542" s="129">
        <f>IFERROR(VLOOKUP($D1542,'EITI Revenues'!$C$2:$G$224,5,FALSE),"..")</f>
        <v>3125388072.7948718</v>
      </c>
      <c r="BC1542" s="846">
        <f t="shared" si="269"/>
        <v>0.14586724537340678</v>
      </c>
      <c r="BD1542" s="129">
        <f>VLOOKUP($D1542,'WB Data 2'!$C$2:$K$545,6,FALSE)</f>
        <v>19194682543.472164</v>
      </c>
      <c r="BE1542" s="129">
        <f>IFERROR(VLOOKUP($D1542,UNCTAD!$C$5:$V$529,4,FALSE),"..")</f>
        <v>31246090000</v>
      </c>
      <c r="BF1542" s="846">
        <f t="shared" si="270"/>
        <v>0.61430670344584437</v>
      </c>
      <c r="BG1542" s="117">
        <f>VLOOKUP($D1542,'WB Data'!$C$3:$M$578,5,FALSE)</f>
        <v>307030000</v>
      </c>
      <c r="BH1542" s="129">
        <f>IFERROR($BB1542/$BG1542,"..")</f>
        <v>10.179422443392736</v>
      </c>
      <c r="BI1542" s="117">
        <f>IFERROR(VLOOKUP($D1542,'WB Data'!$C$3:$M$578,7,FALSE)/100,"..")</f>
        <v>2.49927E-2</v>
      </c>
      <c r="BJ1542" s="117">
        <f>IFERROR($BI1542*$AW1542,"..")</f>
        <v>2553560909.1934161</v>
      </c>
      <c r="BK1542" s="846">
        <f>IFERROR($BB1542/$BJ1542,"..")</f>
        <v>1.2239332383037131</v>
      </c>
      <c r="BL1542" s="117">
        <f>IFERROR(VLOOKUP($D1542,'WB Data'!$C$3:$M$578,7,FALSE)/100,"..")</f>
        <v>2.49927E-2</v>
      </c>
      <c r="BM1542" s="117">
        <f>IFERROR($AW1542*$BL1542,"..")</f>
        <v>2553560909.1934161</v>
      </c>
      <c r="BN1542" s="846">
        <f>IFERROR($BB1542/$BM1542,"..")</f>
        <v>1.2239332383037131</v>
      </c>
      <c r="BO1542" s="801">
        <f t="shared" si="266"/>
        <v>38</v>
      </c>
      <c r="BP1542" s="117">
        <f>VLOOKUP($D1542,'WB Data'!$C$3:$M$578,9,FALSE)</f>
        <v>42.4</v>
      </c>
      <c r="BQ1542" s="117">
        <f>VLOOKUP($D1542,'WB Data'!$C$3:$M$578,10,FALSE)</f>
        <v>73.014878048780488</v>
      </c>
      <c r="BR1542" s="117">
        <f>VLOOKUP($D1542,'WB Data'!$C$3:$M$578,11,FALSE)</f>
        <v>18.600000000000001</v>
      </c>
      <c r="BS1542" s="129">
        <f>IFERROR(VLOOKUP($D1542,'WB Data 2'!$C$2:$K$545,9,FALSE),"..")</f>
        <v>99.705489999999998</v>
      </c>
      <c r="BT1542" s="129">
        <f>_xlfn.IFNA(VLOOKUP($C1542,RGI!$A$2:$C$43,2,FALSE),"..")</f>
        <v>76.8</v>
      </c>
      <c r="BU1542" s="129">
        <f>_xlfn.IFNA(VLOOKUP($C1542,RGI!$A$2:$C$43,3,FALSE),"..")</f>
        <v>72.816147461462435</v>
      </c>
      <c r="BV1542" s="129">
        <f>VLOOKUP($D1542,WGI!$C$2:$O$478,7,FALSE)</f>
        <v>6.2703568528113707E-2</v>
      </c>
      <c r="BW1542" s="129">
        <f>VLOOKUP($D1542,WGI!$C$2:$O$478,4,FALSE)</f>
        <v>-0.76005136929099804</v>
      </c>
      <c r="BX1542" s="129">
        <f>VLOOKUP($D1542,WGI!$C$2:$O$478,3,FALSE)</f>
        <v>-0.50979739813082503</v>
      </c>
      <c r="BY1542" s="129">
        <f>VLOOKUP($D1542,WGI!$C$2:$O$478,5,FALSE)</f>
        <v>0.27595894070192201</v>
      </c>
      <c r="BZ1542" s="129">
        <f>VLOOKUP($D1542,WGI!$C$2:$O$478,2,FALSE)</f>
        <v>-0.260524325273502</v>
      </c>
    </row>
    <row r="1543" spans="1:80" ht="15" customHeight="1">
      <c r="A1543" s="294" t="s">
        <v>453</v>
      </c>
      <c r="B1543" s="117">
        <v>2007</v>
      </c>
      <c r="C1543" s="117" t="s">
        <v>449</v>
      </c>
      <c r="D1543" s="117" t="s">
        <v>3575</v>
      </c>
      <c r="E1543" s="452" t="s">
        <v>220</v>
      </c>
      <c r="F1543" s="117"/>
      <c r="G1543" s="120" t="s">
        <v>24</v>
      </c>
      <c r="H1543" s="117" t="str">
        <f t="shared" si="261"/>
        <v>yes</v>
      </c>
      <c r="I1543" s="117" t="str">
        <f t="shared" si="263"/>
        <v>no</v>
      </c>
      <c r="J1543" s="117" t="str">
        <f t="shared" si="264"/>
        <v>no</v>
      </c>
      <c r="K1543" s="117" t="s">
        <v>2054</v>
      </c>
      <c r="L1543" s="117" t="str">
        <f t="shared" si="262"/>
        <v>detailed</v>
      </c>
      <c r="M1543" s="117" t="str">
        <f t="shared" si="265"/>
        <v>detailed Mining</v>
      </c>
      <c r="N1543" s="179">
        <v>39019</v>
      </c>
      <c r="O1543" s="179"/>
      <c r="P1543" s="179"/>
      <c r="Q1543" s="179"/>
      <c r="R1543" s="179"/>
      <c r="S1543" s="117" t="s">
        <v>610</v>
      </c>
      <c r="T1543" s="119"/>
      <c r="U1543" s="117"/>
      <c r="V1543" s="117" t="s">
        <v>847</v>
      </c>
      <c r="W1543" s="89"/>
      <c r="X1543" s="117"/>
      <c r="Y1543" s="120"/>
      <c r="Z1543" s="120"/>
      <c r="AA1543" s="89"/>
      <c r="AB1543" s="89"/>
      <c r="AC1543" s="240"/>
      <c r="AD1543" s="240"/>
      <c r="AE1543" s="240"/>
      <c r="AF1543" s="241"/>
      <c r="AG1543" s="120"/>
      <c r="AH1543" s="124"/>
      <c r="AI1543" s="117"/>
      <c r="AJ1543" s="117"/>
      <c r="AK1543" s="89"/>
      <c r="AL1543" s="117"/>
      <c r="AM1543" s="117"/>
      <c r="AN1543" s="117"/>
      <c r="AO1543" s="117"/>
      <c r="AP1543" s="117"/>
      <c r="AQ1543" s="117"/>
      <c r="AR1543" s="117"/>
      <c r="AS1543" s="117"/>
      <c r="AT1543" s="117"/>
      <c r="AU1543" s="117"/>
      <c r="AV1543" s="128"/>
      <c r="AW1543" s="117">
        <f>VLOOKUP($D1543,'WB Data'!$C$3:$M$578,2,FALSE)</f>
        <v>102172270670.77251</v>
      </c>
      <c r="AX1543" s="117">
        <f>VLOOKUP($D1543,'WB Data'!$C$3:$M$578,3,FALSE)</f>
        <v>28328410</v>
      </c>
      <c r="AY1543" s="847">
        <f t="shared" si="267"/>
        <v>3.0589396244953212E-2</v>
      </c>
      <c r="AZ1543" s="117">
        <f>VLOOKUP($D1543,'WB Data'!$C$3:$M$578,4,FALSE)/100</f>
        <v>0.20970709473979002</v>
      </c>
      <c r="BA1543" s="117">
        <f t="shared" si="268"/>
        <v>21426250045.335159</v>
      </c>
      <c r="BB1543" s="129">
        <f>IFERROR(VLOOKUP($D1543,'EITI Revenues'!$C$2:$G$224,5,FALSE),"..")</f>
        <v>3125388072.7948718</v>
      </c>
      <c r="BC1543" s="846">
        <f t="shared" si="269"/>
        <v>0.14586724537340678</v>
      </c>
      <c r="BD1543" s="129">
        <f>VLOOKUP($D1543,'WB Data 2'!$C$2:$K$545,6,FALSE)</f>
        <v>19194682543.472164</v>
      </c>
      <c r="BE1543" s="129">
        <f>IFERROR(VLOOKUP($D1543,UNCTAD!$C$5:$V$529,4,FALSE),"..")</f>
        <v>31246090000</v>
      </c>
      <c r="BF1543" s="846">
        <f t="shared" si="270"/>
        <v>0.61430670344584437</v>
      </c>
      <c r="BG1543" s="117">
        <f>VLOOKUP($D1543,'WB Data'!$C$3:$M$578,5,FALSE)</f>
        <v>307030000</v>
      </c>
      <c r="BH1543" s="129">
        <f>IFERROR($BB1543/$BG1543,"..")</f>
        <v>10.179422443392736</v>
      </c>
      <c r="BI1543" s="117">
        <f>IFERROR(VLOOKUP($D1543,'WB Data'!$C$3:$M$578,7,FALSE)/100,"..")</f>
        <v>2.49927E-2</v>
      </c>
      <c r="BJ1543" s="117">
        <f>IFERROR($BI1543*$AW1543,"..")</f>
        <v>2553560909.1934161</v>
      </c>
      <c r="BK1543" s="846">
        <f>IFERROR($BB1543/$BJ1543,"..")</f>
        <v>1.2239332383037131</v>
      </c>
      <c r="BL1543" s="117">
        <f>IFERROR(VLOOKUP($D1543,'WB Data'!$C$3:$M$578,7,FALSE)/100,"..")</f>
        <v>2.49927E-2</v>
      </c>
      <c r="BM1543" s="117">
        <f>IFERROR($AW1543*$BL1543,"..")</f>
        <v>2553560909.1934161</v>
      </c>
      <c r="BN1543" s="846">
        <f>IFERROR($BB1543/$BM1543,"..")</f>
        <v>1.2239332383037131</v>
      </c>
      <c r="BO1543" s="801">
        <f t="shared" si="266"/>
        <v>38</v>
      </c>
      <c r="BP1543" s="117">
        <f>VLOOKUP($D1543,'WB Data'!$C$3:$M$578,9,FALSE)</f>
        <v>42.4</v>
      </c>
      <c r="BQ1543" s="117">
        <f>VLOOKUP($D1543,'WB Data'!$C$3:$M$578,10,FALSE)</f>
        <v>73.014878048780488</v>
      </c>
      <c r="BR1543" s="117">
        <f>VLOOKUP($D1543,'WB Data'!$C$3:$M$578,11,FALSE)</f>
        <v>18.600000000000001</v>
      </c>
      <c r="BS1543" s="129">
        <f>IFERROR(VLOOKUP($D1543,'WB Data 2'!$C$2:$K$545,9,FALSE),"..")</f>
        <v>99.705489999999998</v>
      </c>
      <c r="BT1543" s="129">
        <f>_xlfn.IFNA(VLOOKUP($C1543,RGI!$A$2:$C$43,2,FALSE),"..")</f>
        <v>76.8</v>
      </c>
      <c r="BU1543" s="129">
        <f>_xlfn.IFNA(VLOOKUP($C1543,RGI!$A$2:$C$43,3,FALSE),"..")</f>
        <v>72.816147461462435</v>
      </c>
      <c r="BV1543" s="129">
        <f>VLOOKUP($D1543,WGI!$C$2:$O$478,7,FALSE)</f>
        <v>6.2703568528113707E-2</v>
      </c>
      <c r="BW1543" s="129">
        <f>VLOOKUP($D1543,WGI!$C$2:$O$478,4,FALSE)</f>
        <v>-0.76005136929099804</v>
      </c>
      <c r="BX1543" s="129">
        <f>VLOOKUP($D1543,WGI!$C$2:$O$478,3,FALSE)</f>
        <v>-0.50979739813082503</v>
      </c>
      <c r="BY1543" s="129">
        <f>VLOOKUP($D1543,WGI!$C$2:$O$478,5,FALSE)</f>
        <v>0.27595894070192201</v>
      </c>
      <c r="BZ1543" s="129">
        <f>VLOOKUP($D1543,WGI!$C$2:$O$478,2,FALSE)</f>
        <v>-0.260524325273502</v>
      </c>
    </row>
    <row r="1544" spans="1:80" ht="15" customHeight="1">
      <c r="A1544" s="294" t="s">
        <v>453</v>
      </c>
      <c r="B1544" s="117">
        <v>2007</v>
      </c>
      <c r="C1544" s="117" t="s">
        <v>449</v>
      </c>
      <c r="D1544" s="117" t="s">
        <v>3575</v>
      </c>
      <c r="E1544" s="452" t="s">
        <v>220</v>
      </c>
      <c r="F1544" s="117"/>
      <c r="G1544" s="120" t="s">
        <v>24</v>
      </c>
      <c r="H1544" s="117" t="str">
        <f t="shared" si="261"/>
        <v>yes</v>
      </c>
      <c r="I1544" s="117" t="str">
        <f t="shared" si="263"/>
        <v>no</v>
      </c>
      <c r="J1544" s="117" t="str">
        <f t="shared" si="264"/>
        <v>no</v>
      </c>
      <c r="K1544" s="117" t="s">
        <v>1336</v>
      </c>
      <c r="L1544" s="117" t="str">
        <f t="shared" si="262"/>
        <v>detailed</v>
      </c>
      <c r="M1544" s="117" t="str">
        <f t="shared" si="265"/>
        <v>detailed Mining</v>
      </c>
      <c r="N1544" s="179">
        <v>36004</v>
      </c>
      <c r="O1544" s="179"/>
      <c r="P1544" s="179"/>
      <c r="Q1544" s="179"/>
      <c r="R1544" s="179"/>
      <c r="S1544" s="117" t="s">
        <v>610</v>
      </c>
      <c r="T1544" s="119"/>
      <c r="U1544" s="117"/>
      <c r="V1544" s="117" t="s">
        <v>847</v>
      </c>
      <c r="W1544" s="89"/>
      <c r="X1544" s="117"/>
      <c r="Y1544" s="120"/>
      <c r="Z1544" s="120"/>
      <c r="AA1544" s="89"/>
      <c r="AB1544" s="89"/>
      <c r="AC1544" s="240"/>
      <c r="AD1544" s="240"/>
      <c r="AE1544" s="240"/>
      <c r="AF1544" s="241"/>
      <c r="AG1544" s="120"/>
      <c r="AH1544" s="124"/>
      <c r="AI1544" s="117"/>
      <c r="AJ1544" s="117"/>
      <c r="AK1544" s="89"/>
      <c r="AL1544" s="117"/>
      <c r="AM1544" s="117"/>
      <c r="AN1544" s="117"/>
      <c r="AO1544" s="117"/>
      <c r="AP1544" s="117"/>
      <c r="AQ1544" s="117"/>
      <c r="AR1544" s="117"/>
      <c r="AS1544" s="117"/>
      <c r="AT1544" s="117"/>
      <c r="AU1544" s="117"/>
      <c r="AV1544" s="128"/>
      <c r="AW1544" s="117">
        <f>VLOOKUP($D1544,'WB Data'!$C$3:$M$578,2,FALSE)</f>
        <v>102172270670.77251</v>
      </c>
      <c r="AX1544" s="117">
        <f>VLOOKUP($D1544,'WB Data'!$C$3:$M$578,3,FALSE)</f>
        <v>28328410</v>
      </c>
      <c r="AY1544" s="847">
        <f t="shared" si="267"/>
        <v>3.0589396244953212E-2</v>
      </c>
      <c r="AZ1544" s="117">
        <f>VLOOKUP($D1544,'WB Data'!$C$3:$M$578,4,FALSE)/100</f>
        <v>0.20970709473979002</v>
      </c>
      <c r="BA1544" s="117">
        <f t="shared" si="268"/>
        <v>21426250045.335159</v>
      </c>
      <c r="BB1544" s="129">
        <f>IFERROR(VLOOKUP($D1544,'EITI Revenues'!$C$2:$G$224,5,FALSE),"..")</f>
        <v>3125388072.7948718</v>
      </c>
      <c r="BC1544" s="846">
        <f t="shared" si="269"/>
        <v>0.14586724537340678</v>
      </c>
      <c r="BD1544" s="129">
        <f>VLOOKUP($D1544,'WB Data 2'!$C$2:$K$545,6,FALSE)</f>
        <v>19194682543.472164</v>
      </c>
      <c r="BE1544" s="129">
        <f>IFERROR(VLOOKUP($D1544,UNCTAD!$C$5:$V$529,4,FALSE),"..")</f>
        <v>31246090000</v>
      </c>
      <c r="BF1544" s="846">
        <f t="shared" si="270"/>
        <v>0.61430670344584437</v>
      </c>
      <c r="BG1544" s="117">
        <f>VLOOKUP($D1544,'WB Data'!$C$3:$M$578,5,FALSE)</f>
        <v>307030000</v>
      </c>
      <c r="BH1544" s="129">
        <f>IFERROR($BB1544/$BG1544,"..")</f>
        <v>10.179422443392736</v>
      </c>
      <c r="BI1544" s="117">
        <f>IFERROR(VLOOKUP($D1544,'WB Data'!$C$3:$M$578,7,FALSE)/100,"..")</f>
        <v>2.49927E-2</v>
      </c>
      <c r="BJ1544" s="117">
        <f>IFERROR($BI1544*$AW1544,"..")</f>
        <v>2553560909.1934161</v>
      </c>
      <c r="BK1544" s="846">
        <f>IFERROR($BB1544/$BJ1544,"..")</f>
        <v>1.2239332383037131</v>
      </c>
      <c r="BL1544" s="117">
        <f>IFERROR(VLOOKUP($D1544,'WB Data'!$C$3:$M$578,7,FALSE)/100,"..")</f>
        <v>2.49927E-2</v>
      </c>
      <c r="BM1544" s="117">
        <f>IFERROR($AW1544*$BL1544,"..")</f>
        <v>2553560909.1934161</v>
      </c>
      <c r="BN1544" s="846">
        <f>IFERROR($BB1544/$BM1544,"..")</f>
        <v>1.2239332383037131</v>
      </c>
      <c r="BO1544" s="801">
        <f t="shared" si="266"/>
        <v>38</v>
      </c>
      <c r="BP1544" s="117">
        <f>VLOOKUP($D1544,'WB Data'!$C$3:$M$578,9,FALSE)</f>
        <v>42.4</v>
      </c>
      <c r="BQ1544" s="117">
        <f>VLOOKUP($D1544,'WB Data'!$C$3:$M$578,10,FALSE)</f>
        <v>73.014878048780488</v>
      </c>
      <c r="BR1544" s="117">
        <f>VLOOKUP($D1544,'WB Data'!$C$3:$M$578,11,FALSE)</f>
        <v>18.600000000000001</v>
      </c>
      <c r="BS1544" s="129">
        <f>IFERROR(VLOOKUP($D1544,'WB Data 2'!$C$2:$K$545,9,FALSE),"..")</f>
        <v>99.705489999999998</v>
      </c>
      <c r="BT1544" s="129">
        <f>_xlfn.IFNA(VLOOKUP($C1544,RGI!$A$2:$C$43,2,FALSE),"..")</f>
        <v>76.8</v>
      </c>
      <c r="BU1544" s="129">
        <f>_xlfn.IFNA(VLOOKUP($C1544,RGI!$A$2:$C$43,3,FALSE),"..")</f>
        <v>72.816147461462435</v>
      </c>
      <c r="BV1544" s="129">
        <f>VLOOKUP($D1544,WGI!$C$2:$O$478,7,FALSE)</f>
        <v>6.2703568528113707E-2</v>
      </c>
      <c r="BW1544" s="129">
        <f>VLOOKUP($D1544,WGI!$C$2:$O$478,4,FALSE)</f>
        <v>-0.76005136929099804</v>
      </c>
      <c r="BX1544" s="129">
        <f>VLOOKUP($D1544,WGI!$C$2:$O$478,3,FALSE)</f>
        <v>-0.50979739813082503</v>
      </c>
      <c r="BY1544" s="129">
        <f>VLOOKUP($D1544,WGI!$C$2:$O$478,5,FALSE)</f>
        <v>0.27595894070192201</v>
      </c>
      <c r="BZ1544" s="129">
        <f>VLOOKUP($D1544,WGI!$C$2:$O$478,2,FALSE)</f>
        <v>-0.260524325273502</v>
      </c>
    </row>
    <row r="1545" spans="1:80" ht="15" customHeight="1">
      <c r="A1545" s="294" t="s">
        <v>453</v>
      </c>
      <c r="B1545" s="117">
        <v>2007</v>
      </c>
      <c r="C1545" s="117" t="s">
        <v>449</v>
      </c>
      <c r="D1545" s="117" t="s">
        <v>3575</v>
      </c>
      <c r="E1545" s="452" t="s">
        <v>220</v>
      </c>
      <c r="F1545" s="117"/>
      <c r="G1545" s="120" t="s">
        <v>24</v>
      </c>
      <c r="H1545" s="117" t="str">
        <f t="shared" si="261"/>
        <v>yes</v>
      </c>
      <c r="I1545" s="117" t="str">
        <f t="shared" si="263"/>
        <v>no</v>
      </c>
      <c r="J1545" s="117" t="str">
        <f t="shared" si="264"/>
        <v>no</v>
      </c>
      <c r="K1545" s="117" t="s">
        <v>849</v>
      </c>
      <c r="L1545" s="117" t="str">
        <f t="shared" si="262"/>
        <v>detailed</v>
      </c>
      <c r="M1545" s="117" t="str">
        <f t="shared" si="265"/>
        <v>detailed Mining</v>
      </c>
      <c r="N1545" s="179"/>
      <c r="O1545" s="179"/>
      <c r="P1545" s="179"/>
      <c r="Q1545" s="179"/>
      <c r="R1545" s="179"/>
      <c r="S1545" s="117"/>
      <c r="T1545" s="186">
        <f>3242.35758333333</f>
        <v>3242.3575833333298</v>
      </c>
      <c r="U1545" s="117" t="s">
        <v>611</v>
      </c>
      <c r="V1545" s="117" t="s">
        <v>2055</v>
      </c>
      <c r="W1545" s="89">
        <f>N1547*T1545</f>
        <v>526477812.5937494</v>
      </c>
      <c r="X1545" s="117"/>
      <c r="Y1545" s="117"/>
      <c r="Z1545" s="117"/>
      <c r="AA1545" s="117"/>
      <c r="AB1545" s="117"/>
      <c r="AC1545" s="240" t="s">
        <v>2080</v>
      </c>
      <c r="AD1545" s="240"/>
      <c r="AE1545" s="240"/>
      <c r="AF1545" s="241"/>
      <c r="AG1545" s="117"/>
      <c r="AH1545" s="124"/>
      <c r="AI1545" s="117"/>
      <c r="AJ1545" s="117"/>
      <c r="AK1545" s="89"/>
      <c r="AL1545" s="117"/>
      <c r="AM1545" s="117"/>
      <c r="AN1545" s="117">
        <v>10</v>
      </c>
      <c r="AO1545" s="117" t="s">
        <v>2057</v>
      </c>
      <c r="AP1545" s="117">
        <v>10</v>
      </c>
      <c r="AQ1545" s="117"/>
      <c r="AR1545" s="117"/>
      <c r="AS1545" s="117"/>
      <c r="AT1545" s="117"/>
      <c r="AU1545" s="117"/>
      <c r="AV1545" s="128"/>
      <c r="AW1545" s="117">
        <f>VLOOKUP($D1545,'WB Data'!$C$3:$M$578,2,FALSE)</f>
        <v>102172270670.77251</v>
      </c>
      <c r="AX1545" s="117">
        <f>VLOOKUP($D1545,'WB Data'!$C$3:$M$578,3,FALSE)</f>
        <v>28328410</v>
      </c>
      <c r="AY1545" s="847">
        <f t="shared" si="267"/>
        <v>3.0589396244953212E-2</v>
      </c>
      <c r="AZ1545" s="117">
        <f>VLOOKUP($D1545,'WB Data'!$C$3:$M$578,4,FALSE)/100</f>
        <v>0.20970709473979002</v>
      </c>
      <c r="BA1545" s="117">
        <f t="shared" si="268"/>
        <v>21426250045.335159</v>
      </c>
      <c r="BB1545" s="129">
        <f>IFERROR(VLOOKUP($D1545,'EITI Revenues'!$C$2:$G$224,5,FALSE),"..")</f>
        <v>3125388072.7948718</v>
      </c>
      <c r="BC1545" s="846">
        <f t="shared" si="269"/>
        <v>0.14586724537340678</v>
      </c>
      <c r="BD1545" s="129">
        <f>VLOOKUP($D1545,'WB Data 2'!$C$2:$K$545,6,FALSE)</f>
        <v>19194682543.472164</v>
      </c>
      <c r="BE1545" s="129">
        <f>IFERROR(VLOOKUP($D1545,UNCTAD!$C$5:$V$529,4,FALSE),"..")</f>
        <v>31246090000</v>
      </c>
      <c r="BF1545" s="846">
        <f t="shared" si="270"/>
        <v>0.61430670344584437</v>
      </c>
      <c r="BG1545" s="117">
        <f>VLOOKUP($D1545,'WB Data'!$C$3:$M$578,5,FALSE)</f>
        <v>307030000</v>
      </c>
      <c r="BH1545" s="129">
        <f>IFERROR($BB1545/$BG1545,"..")</f>
        <v>10.179422443392736</v>
      </c>
      <c r="BI1545" s="117">
        <f>IFERROR(VLOOKUP($D1545,'WB Data'!$C$3:$M$578,7,FALSE)/100,"..")</f>
        <v>2.49927E-2</v>
      </c>
      <c r="BJ1545" s="117">
        <f>IFERROR($BI1545*$AW1545,"..")</f>
        <v>2553560909.1934161</v>
      </c>
      <c r="BK1545" s="846">
        <f>IFERROR($BB1545/$BJ1545,"..")</f>
        <v>1.2239332383037131</v>
      </c>
      <c r="BL1545" s="117">
        <f>IFERROR(VLOOKUP($D1545,'WB Data'!$C$3:$M$578,7,FALSE)/100,"..")</f>
        <v>2.49927E-2</v>
      </c>
      <c r="BM1545" s="117">
        <f>IFERROR($AW1545*$BL1545,"..")</f>
        <v>2553560909.1934161</v>
      </c>
      <c r="BN1545" s="846">
        <f>IFERROR($BB1545/$BM1545,"..")</f>
        <v>1.2239332383037131</v>
      </c>
      <c r="BO1545" s="801">
        <f t="shared" si="266"/>
        <v>38</v>
      </c>
      <c r="BP1545" s="117">
        <f>VLOOKUP($D1545,'WB Data'!$C$3:$M$578,9,FALSE)</f>
        <v>42.4</v>
      </c>
      <c r="BQ1545" s="117">
        <f>VLOOKUP($D1545,'WB Data'!$C$3:$M$578,10,FALSE)</f>
        <v>73.014878048780488</v>
      </c>
      <c r="BR1545" s="117">
        <f>VLOOKUP($D1545,'WB Data'!$C$3:$M$578,11,FALSE)</f>
        <v>18.600000000000001</v>
      </c>
      <c r="BS1545" s="129">
        <f>IFERROR(VLOOKUP($D1545,'WB Data 2'!$C$2:$K$545,9,FALSE),"..")</f>
        <v>99.705489999999998</v>
      </c>
      <c r="BT1545" s="129">
        <f>_xlfn.IFNA(VLOOKUP($C1545,RGI!$A$2:$C$43,2,FALSE),"..")</f>
        <v>76.8</v>
      </c>
      <c r="BU1545" s="129">
        <f>_xlfn.IFNA(VLOOKUP($C1545,RGI!$A$2:$C$43,3,FALSE),"..")</f>
        <v>72.816147461462435</v>
      </c>
      <c r="BV1545" s="129">
        <f>VLOOKUP($D1545,WGI!$C$2:$O$478,7,FALSE)</f>
        <v>6.2703568528113707E-2</v>
      </c>
      <c r="BW1545" s="129">
        <f>VLOOKUP($D1545,WGI!$C$2:$O$478,4,FALSE)</f>
        <v>-0.76005136929099804</v>
      </c>
      <c r="BX1545" s="129">
        <f>VLOOKUP($D1545,WGI!$C$2:$O$478,3,FALSE)</f>
        <v>-0.50979739813082503</v>
      </c>
      <c r="BY1545" s="129">
        <f>VLOOKUP($D1545,WGI!$C$2:$O$478,5,FALSE)</f>
        <v>0.27595894070192201</v>
      </c>
      <c r="BZ1545" s="129">
        <f>VLOOKUP($D1545,WGI!$C$2:$O$478,2,FALSE)</f>
        <v>-0.260524325273502</v>
      </c>
    </row>
    <row r="1546" spans="1:80" ht="15" customHeight="1">
      <c r="A1546" s="294" t="s">
        <v>453</v>
      </c>
      <c r="B1546" s="117">
        <v>2007</v>
      </c>
      <c r="C1546" s="117" t="s">
        <v>449</v>
      </c>
      <c r="D1546" s="117" t="s">
        <v>3575</v>
      </c>
      <c r="E1546" s="452" t="s">
        <v>220</v>
      </c>
      <c r="F1546" s="117"/>
      <c r="G1546" s="120" t="s">
        <v>24</v>
      </c>
      <c r="H1546" s="117" t="str">
        <f t="shared" si="261"/>
        <v>yes</v>
      </c>
      <c r="I1546" s="117" t="str">
        <f t="shared" si="263"/>
        <v>no</v>
      </c>
      <c r="J1546" s="117" t="str">
        <f t="shared" si="264"/>
        <v>no</v>
      </c>
      <c r="K1546" s="117" t="s">
        <v>2058</v>
      </c>
      <c r="L1546" s="117" t="str">
        <f t="shared" si="262"/>
        <v>detailed</v>
      </c>
      <c r="M1546" s="117" t="str">
        <f t="shared" si="265"/>
        <v>detailed Mining</v>
      </c>
      <c r="N1546" s="118">
        <v>1444381</v>
      </c>
      <c r="O1546" s="118"/>
      <c r="P1546" s="118"/>
      <c r="Q1546" s="118"/>
      <c r="R1546" s="118"/>
      <c r="S1546" s="117" t="s">
        <v>610</v>
      </c>
      <c r="T1546" s="119"/>
      <c r="U1546" s="117"/>
      <c r="V1546" s="117" t="s">
        <v>847</v>
      </c>
      <c r="W1546" s="89"/>
      <c r="X1546" s="117"/>
      <c r="Y1546" s="120"/>
      <c r="Z1546" s="120"/>
      <c r="AA1546" s="89"/>
      <c r="AB1546" s="89"/>
      <c r="AC1546" s="240"/>
      <c r="AD1546" s="240"/>
      <c r="AE1546" s="240"/>
      <c r="AF1546" s="241"/>
      <c r="AG1546" s="120"/>
      <c r="AH1546" s="124"/>
      <c r="AI1546" s="117"/>
      <c r="AJ1546" s="117"/>
      <c r="AK1546" s="89"/>
      <c r="AL1546" s="117"/>
      <c r="AM1546" s="117"/>
      <c r="AN1546" s="117"/>
      <c r="AO1546" s="117"/>
      <c r="AP1546" s="117"/>
      <c r="AQ1546" s="117"/>
      <c r="AR1546" s="117"/>
      <c r="AS1546" s="117"/>
      <c r="AT1546" s="117"/>
      <c r="AU1546" s="117"/>
      <c r="AV1546" s="128"/>
      <c r="AW1546" s="117">
        <f>VLOOKUP($D1546,'WB Data'!$C$3:$M$578,2,FALSE)</f>
        <v>102172270670.77251</v>
      </c>
      <c r="AX1546" s="117">
        <f>VLOOKUP($D1546,'WB Data'!$C$3:$M$578,3,FALSE)</f>
        <v>28328410</v>
      </c>
      <c r="AY1546" s="847">
        <f t="shared" si="267"/>
        <v>3.0589396244953212E-2</v>
      </c>
      <c r="AZ1546" s="117">
        <f>VLOOKUP($D1546,'WB Data'!$C$3:$M$578,4,FALSE)/100</f>
        <v>0.20970709473979002</v>
      </c>
      <c r="BA1546" s="117">
        <f t="shared" si="268"/>
        <v>21426250045.335159</v>
      </c>
      <c r="BB1546" s="129">
        <f>IFERROR(VLOOKUP($D1546,'EITI Revenues'!$C$2:$G$224,5,FALSE),"..")</f>
        <v>3125388072.7948718</v>
      </c>
      <c r="BC1546" s="846">
        <f t="shared" si="269"/>
        <v>0.14586724537340678</v>
      </c>
      <c r="BD1546" s="129">
        <f>VLOOKUP($D1546,'WB Data 2'!$C$2:$K$545,6,FALSE)</f>
        <v>19194682543.472164</v>
      </c>
      <c r="BE1546" s="129">
        <f>IFERROR(VLOOKUP($D1546,UNCTAD!$C$5:$V$529,4,FALSE),"..")</f>
        <v>31246090000</v>
      </c>
      <c r="BF1546" s="846">
        <f t="shared" si="270"/>
        <v>0.61430670344584437</v>
      </c>
      <c r="BG1546" s="117">
        <f>VLOOKUP($D1546,'WB Data'!$C$3:$M$578,5,FALSE)</f>
        <v>307030000</v>
      </c>
      <c r="BH1546" s="129">
        <f>IFERROR($BB1546/$BG1546,"..")</f>
        <v>10.179422443392736</v>
      </c>
      <c r="BI1546" s="117">
        <f>IFERROR(VLOOKUP($D1546,'WB Data'!$C$3:$M$578,7,FALSE)/100,"..")</f>
        <v>2.49927E-2</v>
      </c>
      <c r="BJ1546" s="117">
        <f>IFERROR($BI1546*$AW1546,"..")</f>
        <v>2553560909.1934161</v>
      </c>
      <c r="BK1546" s="846">
        <f>IFERROR($BB1546/$BJ1546,"..")</f>
        <v>1.2239332383037131</v>
      </c>
      <c r="BL1546" s="117">
        <f>IFERROR(VLOOKUP($D1546,'WB Data'!$C$3:$M$578,7,FALSE)/100,"..")</f>
        <v>2.49927E-2</v>
      </c>
      <c r="BM1546" s="117">
        <f>IFERROR($AW1546*$BL1546,"..")</f>
        <v>2553560909.1934161</v>
      </c>
      <c r="BN1546" s="846">
        <f>IFERROR($BB1546/$BM1546,"..")</f>
        <v>1.2239332383037131</v>
      </c>
      <c r="BO1546" s="801">
        <f t="shared" si="266"/>
        <v>38</v>
      </c>
      <c r="BP1546" s="117">
        <f>VLOOKUP($D1546,'WB Data'!$C$3:$M$578,9,FALSE)</f>
        <v>42.4</v>
      </c>
      <c r="BQ1546" s="117">
        <f>VLOOKUP($D1546,'WB Data'!$C$3:$M$578,10,FALSE)</f>
        <v>73.014878048780488</v>
      </c>
      <c r="BR1546" s="117">
        <f>VLOOKUP($D1546,'WB Data'!$C$3:$M$578,11,FALSE)</f>
        <v>18.600000000000001</v>
      </c>
      <c r="BS1546" s="129">
        <f>IFERROR(VLOOKUP($D1546,'WB Data 2'!$C$2:$K$545,9,FALSE),"..")</f>
        <v>99.705489999999998</v>
      </c>
      <c r="BT1546" s="129">
        <f>_xlfn.IFNA(VLOOKUP($C1546,RGI!$A$2:$C$43,2,FALSE),"..")</f>
        <v>76.8</v>
      </c>
      <c r="BU1546" s="129">
        <f>_xlfn.IFNA(VLOOKUP($C1546,RGI!$A$2:$C$43,3,FALSE),"..")</f>
        <v>72.816147461462435</v>
      </c>
      <c r="BV1546" s="129">
        <f>VLOOKUP($D1546,WGI!$C$2:$O$478,7,FALSE)</f>
        <v>6.2703568528113707E-2</v>
      </c>
      <c r="BW1546" s="129">
        <f>VLOOKUP($D1546,WGI!$C$2:$O$478,4,FALSE)</f>
        <v>-0.76005136929099804</v>
      </c>
      <c r="BX1546" s="129">
        <f>VLOOKUP($D1546,WGI!$C$2:$O$478,3,FALSE)</f>
        <v>-0.50979739813082503</v>
      </c>
      <c r="BY1546" s="129">
        <f>VLOOKUP($D1546,WGI!$C$2:$O$478,5,FALSE)</f>
        <v>0.27595894070192201</v>
      </c>
      <c r="BZ1546" s="129">
        <f>VLOOKUP($D1546,WGI!$C$2:$O$478,2,FALSE)</f>
        <v>-0.260524325273502</v>
      </c>
    </row>
    <row r="1547" spans="1:80" ht="15" customHeight="1">
      <c r="A1547" s="294" t="s">
        <v>453</v>
      </c>
      <c r="B1547" s="117">
        <v>2007</v>
      </c>
      <c r="C1547" s="117" t="s">
        <v>449</v>
      </c>
      <c r="D1547" s="117" t="s">
        <v>3575</v>
      </c>
      <c r="E1547" s="452" t="s">
        <v>220</v>
      </c>
      <c r="F1547" s="117"/>
      <c r="G1547" s="120" t="s">
        <v>24</v>
      </c>
      <c r="H1547" s="117" t="str">
        <f t="shared" si="261"/>
        <v>yes</v>
      </c>
      <c r="I1547" s="117" t="str">
        <f t="shared" si="263"/>
        <v>no</v>
      </c>
      <c r="J1547" s="117" t="str">
        <f t="shared" si="264"/>
        <v>no</v>
      </c>
      <c r="K1547" s="117" t="s">
        <v>1336</v>
      </c>
      <c r="L1547" s="117" t="str">
        <f t="shared" si="262"/>
        <v>detailed</v>
      </c>
      <c r="M1547" s="117" t="str">
        <f t="shared" si="265"/>
        <v>detailed Mining</v>
      </c>
      <c r="N1547" s="118">
        <v>162375</v>
      </c>
      <c r="O1547" s="118"/>
      <c r="P1547" s="118"/>
      <c r="Q1547" s="118"/>
      <c r="R1547" s="118"/>
      <c r="S1547" s="117" t="s">
        <v>610</v>
      </c>
      <c r="T1547" s="119"/>
      <c r="U1547" s="117"/>
      <c r="V1547" s="117" t="s">
        <v>847</v>
      </c>
      <c r="W1547" s="89"/>
      <c r="X1547" s="117"/>
      <c r="Y1547" s="120"/>
      <c r="Z1547" s="120"/>
      <c r="AA1547" s="89"/>
      <c r="AB1547" s="89"/>
      <c r="AC1547" s="240"/>
      <c r="AD1547" s="240"/>
      <c r="AE1547" s="240"/>
      <c r="AF1547" s="241"/>
      <c r="AG1547" s="120"/>
      <c r="AH1547" s="124"/>
      <c r="AI1547" s="117"/>
      <c r="AJ1547" s="117"/>
      <c r="AK1547" s="89"/>
      <c r="AL1547" s="117"/>
      <c r="AM1547" s="117"/>
      <c r="AN1547" s="117"/>
      <c r="AO1547" s="117"/>
      <c r="AP1547" s="117"/>
      <c r="AQ1547" s="117"/>
      <c r="AR1547" s="117"/>
      <c r="AS1547" s="117"/>
      <c r="AT1547" s="117"/>
      <c r="AU1547" s="117"/>
      <c r="AV1547" s="128"/>
      <c r="AW1547" s="117">
        <f>VLOOKUP($D1547,'WB Data'!$C$3:$M$578,2,FALSE)</f>
        <v>102172270670.77251</v>
      </c>
      <c r="AX1547" s="117">
        <f>VLOOKUP($D1547,'WB Data'!$C$3:$M$578,3,FALSE)</f>
        <v>28328410</v>
      </c>
      <c r="AY1547" s="847">
        <f t="shared" si="267"/>
        <v>3.0589396244953212E-2</v>
      </c>
      <c r="AZ1547" s="117">
        <f>VLOOKUP($D1547,'WB Data'!$C$3:$M$578,4,FALSE)/100</f>
        <v>0.20970709473979002</v>
      </c>
      <c r="BA1547" s="117">
        <f t="shared" si="268"/>
        <v>21426250045.335159</v>
      </c>
      <c r="BB1547" s="129">
        <f>IFERROR(VLOOKUP($D1547,'EITI Revenues'!$C$2:$G$224,5,FALSE),"..")</f>
        <v>3125388072.7948718</v>
      </c>
      <c r="BC1547" s="846">
        <f t="shared" si="269"/>
        <v>0.14586724537340678</v>
      </c>
      <c r="BD1547" s="129">
        <f>VLOOKUP($D1547,'WB Data 2'!$C$2:$K$545,6,FALSE)</f>
        <v>19194682543.472164</v>
      </c>
      <c r="BE1547" s="129">
        <f>IFERROR(VLOOKUP($D1547,UNCTAD!$C$5:$V$529,4,FALSE),"..")</f>
        <v>31246090000</v>
      </c>
      <c r="BF1547" s="846">
        <f t="shared" si="270"/>
        <v>0.61430670344584437</v>
      </c>
      <c r="BG1547" s="117">
        <f>VLOOKUP($D1547,'WB Data'!$C$3:$M$578,5,FALSE)</f>
        <v>307030000</v>
      </c>
      <c r="BH1547" s="129">
        <f>IFERROR($BB1547/$BG1547,"..")</f>
        <v>10.179422443392736</v>
      </c>
      <c r="BI1547" s="117">
        <f>IFERROR(VLOOKUP($D1547,'WB Data'!$C$3:$M$578,7,FALSE)/100,"..")</f>
        <v>2.49927E-2</v>
      </c>
      <c r="BJ1547" s="117">
        <f>IFERROR($BI1547*$AW1547,"..")</f>
        <v>2553560909.1934161</v>
      </c>
      <c r="BK1547" s="846">
        <f>IFERROR($BB1547/$BJ1547,"..")</f>
        <v>1.2239332383037131</v>
      </c>
      <c r="BL1547" s="117">
        <f>IFERROR(VLOOKUP($D1547,'WB Data'!$C$3:$M$578,7,FALSE)/100,"..")</f>
        <v>2.49927E-2</v>
      </c>
      <c r="BM1547" s="117">
        <f>IFERROR($AW1547*$BL1547,"..")</f>
        <v>2553560909.1934161</v>
      </c>
      <c r="BN1547" s="846">
        <f>IFERROR($BB1547/$BM1547,"..")</f>
        <v>1.2239332383037131</v>
      </c>
      <c r="BO1547" s="801">
        <f t="shared" si="266"/>
        <v>38</v>
      </c>
      <c r="BP1547" s="117">
        <f>VLOOKUP($D1547,'WB Data'!$C$3:$M$578,9,FALSE)</f>
        <v>42.4</v>
      </c>
      <c r="BQ1547" s="117">
        <f>VLOOKUP($D1547,'WB Data'!$C$3:$M$578,10,FALSE)</f>
        <v>73.014878048780488</v>
      </c>
      <c r="BR1547" s="117">
        <f>VLOOKUP($D1547,'WB Data'!$C$3:$M$578,11,FALSE)</f>
        <v>18.600000000000001</v>
      </c>
      <c r="BS1547" s="129">
        <f>IFERROR(VLOOKUP($D1547,'WB Data 2'!$C$2:$K$545,9,FALSE),"..")</f>
        <v>99.705489999999998</v>
      </c>
      <c r="BT1547" s="129">
        <f>_xlfn.IFNA(VLOOKUP($C1547,RGI!$A$2:$C$43,2,FALSE),"..")</f>
        <v>76.8</v>
      </c>
      <c r="BU1547" s="129">
        <f>_xlfn.IFNA(VLOOKUP($C1547,RGI!$A$2:$C$43,3,FALSE),"..")</f>
        <v>72.816147461462435</v>
      </c>
      <c r="BV1547" s="129">
        <f>VLOOKUP($D1547,WGI!$C$2:$O$478,7,FALSE)</f>
        <v>6.2703568528113707E-2</v>
      </c>
      <c r="BW1547" s="129">
        <f>VLOOKUP($D1547,WGI!$C$2:$O$478,4,FALSE)</f>
        <v>-0.76005136929099804</v>
      </c>
      <c r="BX1547" s="129">
        <f>VLOOKUP($D1547,WGI!$C$2:$O$478,3,FALSE)</f>
        <v>-0.50979739813082503</v>
      </c>
      <c r="BY1547" s="129">
        <f>VLOOKUP($D1547,WGI!$C$2:$O$478,5,FALSE)</f>
        <v>0.27595894070192201</v>
      </c>
      <c r="BZ1547" s="129">
        <f>VLOOKUP($D1547,WGI!$C$2:$O$478,2,FALSE)</f>
        <v>-0.260524325273502</v>
      </c>
    </row>
    <row r="1548" spans="1:80" s="144" customFormat="1" ht="15" customHeight="1">
      <c r="A1548" s="296" t="s">
        <v>454</v>
      </c>
      <c r="B1548" s="132">
        <v>2008</v>
      </c>
      <c r="C1548" s="132" t="s">
        <v>449</v>
      </c>
      <c r="D1548" s="117" t="s">
        <v>3609</v>
      </c>
      <c r="E1548" s="450" t="s">
        <v>220</v>
      </c>
      <c r="F1548" s="132" t="s">
        <v>2019</v>
      </c>
      <c r="G1548" s="132" t="s">
        <v>35</v>
      </c>
      <c r="H1548" s="117" t="str">
        <f t="shared" si="261"/>
        <v>yes</v>
      </c>
      <c r="I1548" s="117" t="str">
        <f t="shared" si="263"/>
        <v>yes</v>
      </c>
      <c r="J1548" s="117" t="str">
        <f t="shared" si="264"/>
        <v>yes</v>
      </c>
      <c r="K1548" s="132" t="s">
        <v>709</v>
      </c>
      <c r="L1548" s="117" t="str">
        <f t="shared" si="262"/>
        <v>Total</v>
      </c>
      <c r="M1548" s="117" t="str">
        <f t="shared" si="265"/>
        <v>Total Oil, Gas, Mining</v>
      </c>
      <c r="N1548" s="133"/>
      <c r="O1548" s="133"/>
      <c r="P1548" s="133"/>
      <c r="Q1548" s="133"/>
      <c r="R1548" s="133"/>
      <c r="S1548" s="132"/>
      <c r="T1548" s="134"/>
      <c r="U1548" s="132"/>
      <c r="V1548" s="132"/>
      <c r="W1548" s="135">
        <f>W1549+W1552</f>
        <v>26830570791.299999</v>
      </c>
      <c r="X1548" s="132" t="s">
        <v>2020</v>
      </c>
      <c r="Y1548" s="132" t="s">
        <v>602</v>
      </c>
      <c r="Z1548" s="132" t="s">
        <v>603</v>
      </c>
      <c r="AA1548" s="611">
        <v>3573697357.7190704</v>
      </c>
      <c r="AB1548" s="598">
        <v>3573963810.1613121</v>
      </c>
      <c r="AC1548" s="599"/>
      <c r="AD1548" s="599"/>
      <c r="AE1548" s="599"/>
      <c r="AF1548" s="600">
        <f>AA1548/((W1549*0.88)+(W1552*0.87))</f>
        <v>0.15273976956230409</v>
      </c>
      <c r="AG1548" s="132" t="s">
        <v>2021</v>
      </c>
      <c r="AH1548" s="140">
        <v>2.9260000000000002</v>
      </c>
      <c r="AI1548" s="132" t="s">
        <v>667</v>
      </c>
      <c r="AJ1548" s="132"/>
      <c r="AK1548" s="135"/>
      <c r="AL1548" s="132"/>
      <c r="AM1548" s="132"/>
      <c r="AN1548" s="132">
        <v>51</v>
      </c>
      <c r="AO1548" s="132" t="s">
        <v>2081</v>
      </c>
      <c r="AP1548" s="132">
        <v>51</v>
      </c>
      <c r="AQ1548" s="346">
        <v>40878</v>
      </c>
      <c r="AR1548" s="141">
        <v>41899</v>
      </c>
      <c r="AS1548" s="132" t="s">
        <v>1382</v>
      </c>
      <c r="AT1548" s="132" t="s">
        <v>456</v>
      </c>
      <c r="AU1548" s="132" t="s">
        <v>2082</v>
      </c>
      <c r="AV1548" s="143" t="s">
        <v>2083</v>
      </c>
      <c r="AW1548" s="117">
        <f>VLOOKUP($D1548,'WB Data'!$C$3:$M$578,2,FALSE)</f>
        <v>121571548180.02281</v>
      </c>
      <c r="AX1548" s="117">
        <f>VLOOKUP($D1548,'WB Data'!$C$3:$M$578,3,FALSE)</f>
        <v>28625628</v>
      </c>
      <c r="AY1548" s="847">
        <f t="shared" si="267"/>
        <v>2.9395836535923269E-2</v>
      </c>
      <c r="AZ1548" s="117">
        <f>VLOOKUP($D1548,'WB Data'!$C$3:$M$578,4,FALSE)/100</f>
        <v>0.20973667240502653</v>
      </c>
      <c r="BA1548" s="117">
        <f t="shared" si="268"/>
        <v>25498011974.405342</v>
      </c>
      <c r="BB1548" s="129">
        <f>IFERROR(VLOOKUP($D1548,'EITI Revenues'!$C$2:$G$224,5,FALSE),"..")</f>
        <v>3573697357.7190704</v>
      </c>
      <c r="BC1548" s="846">
        <f t="shared" si="269"/>
        <v>0.14015592122657694</v>
      </c>
      <c r="BD1548" s="129">
        <f>VLOOKUP($D1548,'WB Data 2'!$C$2:$K$545,6,FALSE)</f>
        <v>19689907936.979385</v>
      </c>
      <c r="BE1548" s="129">
        <f>IFERROR(VLOOKUP($D1548,UNCTAD!$C$5:$V$529,4,FALSE),"..")</f>
        <v>34667290000</v>
      </c>
      <c r="BF1548" s="846">
        <f t="shared" si="270"/>
        <v>0.5679679010669535</v>
      </c>
      <c r="BG1548" s="117">
        <f>VLOOKUP($D1548,'WB Data'!$C$3:$M$578,5,FALSE)</f>
        <v>463020000</v>
      </c>
      <c r="BH1548" s="129">
        <f>IFERROR($BB1548/$BG1548,"..")</f>
        <v>7.7182354060711642</v>
      </c>
      <c r="BI1548" s="117">
        <f>IFERROR(VLOOKUP($D1548,'WB Data'!$C$3:$M$578,7,FALSE)/100,"..")</f>
        <v>2.6741899999999999E-2</v>
      </c>
      <c r="BJ1548" s="117">
        <f>IFERROR($BI1548*$AW1548,"..")</f>
        <v>3251054184.275352</v>
      </c>
      <c r="BK1548" s="846">
        <f>IFERROR($BB1548/$BJ1548,"..")</f>
        <v>1.0992426318220945</v>
      </c>
      <c r="BL1548" s="117">
        <f>IFERROR(VLOOKUP($D1548,'WB Data'!$C$3:$M$578,7,FALSE)/100,"..")</f>
        <v>2.6741899999999999E-2</v>
      </c>
      <c r="BM1548" s="117">
        <f>IFERROR($AW1548*$BL1548,"..")</f>
        <v>3251054184.275352</v>
      </c>
      <c r="BN1548" s="846">
        <f>IFERROR($BB1548/$BM1548,"..")</f>
        <v>1.0992426318220945</v>
      </c>
      <c r="BO1548" s="801">
        <f t="shared" si="266"/>
        <v>38</v>
      </c>
      <c r="BP1548" s="117">
        <f>VLOOKUP($D1548,'WB Data'!$C$3:$M$578,9,FALSE)</f>
        <v>37.299999999999997</v>
      </c>
      <c r="BQ1548" s="117">
        <f>VLOOKUP($D1548,'WB Data'!$C$3:$M$578,10,FALSE)</f>
        <v>73.307292682926828</v>
      </c>
      <c r="BR1548" s="117">
        <f>VLOOKUP($D1548,'WB Data'!$C$3:$M$578,11,FALSE)</f>
        <v>17.399999999999999</v>
      </c>
      <c r="BS1548" s="129">
        <f>IFERROR(VLOOKUP($D1548,'WB Data 2'!$C$2:$K$545,9,FALSE),"..")</f>
        <v>97.638440000000003</v>
      </c>
      <c r="BT1548" s="129">
        <f>_xlfn.IFNA(VLOOKUP($C1548,RGI!$A$2:$C$43,2,FALSE),"..")</f>
        <v>76.8</v>
      </c>
      <c r="BU1548" s="129">
        <f>_xlfn.IFNA(VLOOKUP($C1548,RGI!$A$2:$C$43,3,FALSE),"..")</f>
        <v>72.816147461462435</v>
      </c>
      <c r="BV1548" s="129">
        <f>VLOOKUP($D1548,WGI!$C$2:$O$478,7,FALSE)</f>
        <v>0.102797518483968</v>
      </c>
      <c r="BW1548" s="129">
        <f>VLOOKUP($D1548,WGI!$C$2:$O$478,4,FALSE)</f>
        <v>-0.89730607728999101</v>
      </c>
      <c r="BX1548" s="129">
        <f>VLOOKUP($D1548,WGI!$C$2:$O$478,3,FALSE)</f>
        <v>-0.35724068854121799</v>
      </c>
      <c r="BY1548" s="129">
        <f>VLOOKUP($D1548,WGI!$C$2:$O$478,5,FALSE)</f>
        <v>0.34906767606171601</v>
      </c>
      <c r="BZ1548" s="129">
        <f>VLOOKUP($D1548,WGI!$C$2:$O$478,2,FALSE)</f>
        <v>-0.20419570946809601</v>
      </c>
      <c r="CB1548" s="129"/>
    </row>
    <row r="1549" spans="1:80" s="120" customFormat="1" ht="15" customHeight="1">
      <c r="A1549" s="294" t="s">
        <v>454</v>
      </c>
      <c r="B1549" s="117">
        <v>2008</v>
      </c>
      <c r="C1549" s="117" t="s">
        <v>449</v>
      </c>
      <c r="D1549" s="117" t="s">
        <v>3609</v>
      </c>
      <c r="E1549" s="452" t="s">
        <v>220</v>
      </c>
      <c r="F1549" s="117"/>
      <c r="G1549" s="120" t="s">
        <v>55</v>
      </c>
      <c r="H1549" s="117" t="str">
        <f t="shared" si="261"/>
        <v>no</v>
      </c>
      <c r="I1549" s="117" t="str">
        <f t="shared" si="263"/>
        <v>yes</v>
      </c>
      <c r="J1549" s="117" t="str">
        <f t="shared" si="264"/>
        <v>yes</v>
      </c>
      <c r="K1549" s="117" t="s">
        <v>640</v>
      </c>
      <c r="L1549" s="117" t="str">
        <f t="shared" si="262"/>
        <v>Total</v>
      </c>
      <c r="M1549" s="117" t="str">
        <f t="shared" si="265"/>
        <v>Total Oil, Gas</v>
      </c>
      <c r="N1549" s="118"/>
      <c r="O1549" s="118"/>
      <c r="P1549" s="118"/>
      <c r="Q1549" s="118"/>
      <c r="R1549" s="118"/>
      <c r="S1549" s="117"/>
      <c r="T1549" s="119"/>
      <c r="U1549" s="117"/>
      <c r="V1549" s="117"/>
      <c r="W1549" s="89">
        <v>5469782912.6199999</v>
      </c>
      <c r="X1549" s="117"/>
      <c r="Y1549" s="117"/>
      <c r="Z1549" s="117"/>
      <c r="AA1549" s="89">
        <v>1242636379.2378674</v>
      </c>
      <c r="AB1549" s="89">
        <v>1242653558.2378674</v>
      </c>
      <c r="AC1549" s="240" t="s">
        <v>2084</v>
      </c>
      <c r="AD1549" s="240"/>
      <c r="AE1549" s="240"/>
      <c r="AF1549" s="241">
        <f>AA1549/(W1549*0.88)</f>
        <v>0.25816139637470598</v>
      </c>
      <c r="AG1549" s="117"/>
      <c r="AH1549" s="124"/>
      <c r="AI1549" s="117"/>
      <c r="AJ1549" s="117"/>
      <c r="AK1549" s="89"/>
      <c r="AL1549" s="117"/>
      <c r="AM1549" s="117"/>
      <c r="AN1549" s="117">
        <v>18</v>
      </c>
      <c r="AO1549" s="117" t="s">
        <v>2085</v>
      </c>
      <c r="AP1549" s="117">
        <v>18</v>
      </c>
      <c r="AQ1549" s="117"/>
      <c r="AR1549" s="117"/>
      <c r="AS1549" s="117"/>
      <c r="AT1549" s="117"/>
      <c r="AU1549" s="117">
        <v>10</v>
      </c>
      <c r="AV1549" s="128"/>
      <c r="AW1549" s="117">
        <f>VLOOKUP($D1549,'WB Data'!$C$3:$M$578,2,FALSE)</f>
        <v>121571548180.02281</v>
      </c>
      <c r="AX1549" s="117">
        <f>VLOOKUP($D1549,'WB Data'!$C$3:$M$578,3,FALSE)</f>
        <v>28625628</v>
      </c>
      <c r="AY1549" s="847">
        <f t="shared" si="267"/>
        <v>2.9395836535923269E-2</v>
      </c>
      <c r="AZ1549" s="117">
        <f>VLOOKUP($D1549,'WB Data'!$C$3:$M$578,4,FALSE)/100</f>
        <v>0.20973667240502653</v>
      </c>
      <c r="BA1549" s="117">
        <f t="shared" si="268"/>
        <v>25498011974.405342</v>
      </c>
      <c r="BB1549" s="129">
        <f>IFERROR(VLOOKUP($D1549,'EITI Revenues'!$C$2:$G$224,5,FALSE),"..")</f>
        <v>3573697357.7190704</v>
      </c>
      <c r="BC1549" s="846">
        <f t="shared" si="269"/>
        <v>0.14015592122657694</v>
      </c>
      <c r="BD1549" s="129">
        <f>VLOOKUP($D1549,'WB Data 2'!$C$2:$K$545,6,FALSE)</f>
        <v>19689907936.979385</v>
      </c>
      <c r="BE1549" s="129">
        <f>IFERROR(VLOOKUP($D1549,UNCTAD!$C$5:$V$529,4,FALSE),"..")</f>
        <v>34667290000</v>
      </c>
      <c r="BF1549" s="846">
        <f t="shared" si="270"/>
        <v>0.5679679010669535</v>
      </c>
      <c r="BG1549" s="117">
        <f>VLOOKUP($D1549,'WB Data'!$C$3:$M$578,5,FALSE)</f>
        <v>463020000</v>
      </c>
      <c r="BH1549" s="129">
        <f>IFERROR($BB1549/$BG1549,"..")</f>
        <v>7.7182354060711642</v>
      </c>
      <c r="BI1549" s="117">
        <f>IFERROR(VLOOKUP($D1549,'WB Data'!$C$3:$M$578,7,FALSE)/100,"..")</f>
        <v>2.6741899999999999E-2</v>
      </c>
      <c r="BJ1549" s="117">
        <f>IFERROR($BI1549*$AW1549,"..")</f>
        <v>3251054184.275352</v>
      </c>
      <c r="BK1549" s="846">
        <f>IFERROR($BB1549/$BJ1549,"..")</f>
        <v>1.0992426318220945</v>
      </c>
      <c r="BL1549" s="117">
        <f>IFERROR(VLOOKUP($D1549,'WB Data'!$C$3:$M$578,7,FALSE)/100,"..")</f>
        <v>2.6741899999999999E-2</v>
      </c>
      <c r="BM1549" s="117">
        <f>IFERROR($AW1549*$BL1549,"..")</f>
        <v>3251054184.275352</v>
      </c>
      <c r="BN1549" s="846">
        <f>IFERROR($BB1549/$BM1549,"..")</f>
        <v>1.0992426318220945</v>
      </c>
      <c r="BO1549" s="801">
        <f t="shared" si="266"/>
        <v>38</v>
      </c>
      <c r="BP1549" s="117">
        <f>VLOOKUP($D1549,'WB Data'!$C$3:$M$578,9,FALSE)</f>
        <v>37.299999999999997</v>
      </c>
      <c r="BQ1549" s="117">
        <f>VLOOKUP($D1549,'WB Data'!$C$3:$M$578,10,FALSE)</f>
        <v>73.307292682926828</v>
      </c>
      <c r="BR1549" s="117">
        <f>VLOOKUP($D1549,'WB Data'!$C$3:$M$578,11,FALSE)</f>
        <v>17.399999999999999</v>
      </c>
      <c r="BS1549" s="129">
        <f>IFERROR(VLOOKUP($D1549,'WB Data 2'!$C$2:$K$545,9,FALSE),"..")</f>
        <v>97.638440000000003</v>
      </c>
      <c r="BT1549" s="129">
        <f>_xlfn.IFNA(VLOOKUP($C1549,RGI!$A$2:$C$43,2,FALSE),"..")</f>
        <v>76.8</v>
      </c>
      <c r="BU1549" s="129">
        <f>_xlfn.IFNA(VLOOKUP($C1549,RGI!$A$2:$C$43,3,FALSE),"..")</f>
        <v>72.816147461462435</v>
      </c>
      <c r="BV1549" s="129">
        <f>VLOOKUP($D1549,WGI!$C$2:$O$478,7,FALSE)</f>
        <v>0.102797518483968</v>
      </c>
      <c r="BW1549" s="129">
        <f>VLOOKUP($D1549,WGI!$C$2:$O$478,4,FALSE)</f>
        <v>-0.89730607728999101</v>
      </c>
      <c r="BX1549" s="129">
        <f>VLOOKUP($D1549,WGI!$C$2:$O$478,3,FALSE)</f>
        <v>-0.35724068854121799</v>
      </c>
      <c r="BY1549" s="129">
        <f>VLOOKUP($D1549,WGI!$C$2:$O$478,5,FALSE)</f>
        <v>0.34906767606171601</v>
      </c>
      <c r="BZ1549" s="129">
        <f>VLOOKUP($D1549,WGI!$C$2:$O$478,2,FALSE)</f>
        <v>-0.20419570946809601</v>
      </c>
      <c r="CB1549" s="129"/>
    </row>
    <row r="1550" spans="1:80" s="120" customFormat="1" ht="15" customHeight="1">
      <c r="A1550" s="294" t="s">
        <v>454</v>
      </c>
      <c r="B1550" s="117">
        <v>2008</v>
      </c>
      <c r="C1550" s="117" t="s">
        <v>449</v>
      </c>
      <c r="D1550" s="117" t="s">
        <v>3609</v>
      </c>
      <c r="E1550" s="452" t="s">
        <v>220</v>
      </c>
      <c r="F1550" s="117"/>
      <c r="G1550" s="120" t="s">
        <v>561</v>
      </c>
      <c r="H1550" s="117" t="str">
        <f t="shared" si="261"/>
        <v>no</v>
      </c>
      <c r="I1550" s="117" t="str">
        <f t="shared" si="263"/>
        <v>yes</v>
      </c>
      <c r="J1550" s="117" t="str">
        <f t="shared" si="264"/>
        <v>no</v>
      </c>
      <c r="K1550" s="117" t="s">
        <v>561</v>
      </c>
      <c r="L1550" s="117" t="str">
        <f t="shared" si="262"/>
        <v>detailed</v>
      </c>
      <c r="M1550" s="117" t="str">
        <f t="shared" si="265"/>
        <v>detailed Gas</v>
      </c>
      <c r="N1550" s="118"/>
      <c r="O1550" s="118"/>
      <c r="P1550" s="118"/>
      <c r="Q1550" s="118"/>
      <c r="R1550" s="118"/>
      <c r="S1550" s="117"/>
      <c r="T1550" s="119"/>
      <c r="U1550" s="117"/>
      <c r="V1550" s="117"/>
      <c r="W1550" s="89"/>
      <c r="X1550" s="117"/>
      <c r="Y1550" s="117"/>
      <c r="Z1550" s="117"/>
      <c r="AA1550" s="89"/>
      <c r="AB1550" s="89"/>
      <c r="AC1550" s="240"/>
      <c r="AD1550" s="240"/>
      <c r="AE1550" s="240"/>
      <c r="AF1550" s="241"/>
      <c r="AG1550" s="117"/>
      <c r="AH1550" s="124"/>
      <c r="AI1550" s="117"/>
      <c r="AJ1550" s="117"/>
      <c r="AK1550" s="89"/>
      <c r="AL1550" s="117"/>
      <c r="AM1550" s="117"/>
      <c r="AN1550" s="117"/>
      <c r="AP1550" s="117"/>
      <c r="AQ1550" s="117"/>
      <c r="AR1550" s="117"/>
      <c r="AS1550" s="117"/>
      <c r="AT1550" s="117"/>
      <c r="AU1550" s="117"/>
      <c r="AV1550" s="128"/>
      <c r="AW1550" s="117">
        <f>VLOOKUP($D1550,'WB Data'!$C$3:$M$578,2,FALSE)</f>
        <v>121571548180.02281</v>
      </c>
      <c r="AX1550" s="117">
        <f>VLOOKUP($D1550,'WB Data'!$C$3:$M$578,3,FALSE)</f>
        <v>28625628</v>
      </c>
      <c r="AY1550" s="847">
        <f t="shared" si="267"/>
        <v>2.9395836535923269E-2</v>
      </c>
      <c r="AZ1550" s="117">
        <f>VLOOKUP($D1550,'WB Data'!$C$3:$M$578,4,FALSE)/100</f>
        <v>0.20973667240502653</v>
      </c>
      <c r="BA1550" s="117">
        <f t="shared" si="268"/>
        <v>25498011974.405342</v>
      </c>
      <c r="BB1550" s="129">
        <f>IFERROR(VLOOKUP($D1550,'EITI Revenues'!$C$2:$G$224,5,FALSE),"..")</f>
        <v>3573697357.7190704</v>
      </c>
      <c r="BC1550" s="846">
        <f t="shared" si="269"/>
        <v>0.14015592122657694</v>
      </c>
      <c r="BD1550" s="129">
        <f>VLOOKUP($D1550,'WB Data 2'!$C$2:$K$545,6,FALSE)</f>
        <v>19689907936.979385</v>
      </c>
      <c r="BE1550" s="129">
        <f>IFERROR(VLOOKUP($D1550,UNCTAD!$C$5:$V$529,4,FALSE),"..")</f>
        <v>34667290000</v>
      </c>
      <c r="BF1550" s="846">
        <f t="shared" si="270"/>
        <v>0.5679679010669535</v>
      </c>
      <c r="BG1550" s="117">
        <f>VLOOKUP($D1550,'WB Data'!$C$3:$M$578,5,FALSE)</f>
        <v>463020000</v>
      </c>
      <c r="BH1550" s="129">
        <f>IFERROR($BB1550/$BG1550,"..")</f>
        <v>7.7182354060711642</v>
      </c>
      <c r="BI1550" s="117">
        <f>IFERROR(VLOOKUP($D1550,'WB Data'!$C$3:$M$578,7,FALSE)/100,"..")</f>
        <v>2.6741899999999999E-2</v>
      </c>
      <c r="BJ1550" s="117">
        <f>IFERROR($BI1550*$AW1550,"..")</f>
        <v>3251054184.275352</v>
      </c>
      <c r="BK1550" s="846">
        <f>IFERROR($BB1550/$BJ1550,"..")</f>
        <v>1.0992426318220945</v>
      </c>
      <c r="BL1550" s="117">
        <f>IFERROR(VLOOKUP($D1550,'WB Data'!$C$3:$M$578,7,FALSE)/100,"..")</f>
        <v>2.6741899999999999E-2</v>
      </c>
      <c r="BM1550" s="117">
        <f>IFERROR($AW1550*$BL1550,"..")</f>
        <v>3251054184.275352</v>
      </c>
      <c r="BN1550" s="846">
        <f>IFERROR($BB1550/$BM1550,"..")</f>
        <v>1.0992426318220945</v>
      </c>
      <c r="BO1550" s="801">
        <f t="shared" si="266"/>
        <v>38</v>
      </c>
      <c r="BP1550" s="117">
        <f>VLOOKUP($D1550,'WB Data'!$C$3:$M$578,9,FALSE)</f>
        <v>37.299999999999997</v>
      </c>
      <c r="BQ1550" s="117">
        <f>VLOOKUP($D1550,'WB Data'!$C$3:$M$578,10,FALSE)</f>
        <v>73.307292682926828</v>
      </c>
      <c r="BR1550" s="117">
        <f>VLOOKUP($D1550,'WB Data'!$C$3:$M$578,11,FALSE)</f>
        <v>17.399999999999999</v>
      </c>
      <c r="BS1550" s="129">
        <f>IFERROR(VLOOKUP($D1550,'WB Data 2'!$C$2:$K$545,9,FALSE),"..")</f>
        <v>97.638440000000003</v>
      </c>
      <c r="BT1550" s="129">
        <f>_xlfn.IFNA(VLOOKUP($C1550,RGI!$A$2:$C$43,2,FALSE),"..")</f>
        <v>76.8</v>
      </c>
      <c r="BU1550" s="129">
        <f>_xlfn.IFNA(VLOOKUP($C1550,RGI!$A$2:$C$43,3,FALSE),"..")</f>
        <v>72.816147461462435</v>
      </c>
      <c r="BV1550" s="129">
        <f>VLOOKUP($D1550,WGI!$C$2:$O$478,7,FALSE)</f>
        <v>0.102797518483968</v>
      </c>
      <c r="BW1550" s="129">
        <f>VLOOKUP($D1550,WGI!$C$2:$O$478,4,FALSE)</f>
        <v>-0.89730607728999101</v>
      </c>
      <c r="BX1550" s="129">
        <f>VLOOKUP($D1550,WGI!$C$2:$O$478,3,FALSE)</f>
        <v>-0.35724068854121799</v>
      </c>
      <c r="BY1550" s="129">
        <f>VLOOKUP($D1550,WGI!$C$2:$O$478,5,FALSE)</f>
        <v>0.34906767606171601</v>
      </c>
      <c r="BZ1550" s="129">
        <f>VLOOKUP($D1550,WGI!$C$2:$O$478,2,FALSE)</f>
        <v>-0.20419570946809601</v>
      </c>
      <c r="CB1550" s="129"/>
    </row>
    <row r="1551" spans="1:80" s="120" customFormat="1" ht="15" customHeight="1">
      <c r="A1551" s="294" t="s">
        <v>454</v>
      </c>
      <c r="B1551" s="117">
        <v>2008</v>
      </c>
      <c r="C1551" s="117" t="s">
        <v>449</v>
      </c>
      <c r="D1551" s="117" t="s">
        <v>3609</v>
      </c>
      <c r="E1551" s="452" t="s">
        <v>220</v>
      </c>
      <c r="F1551" s="117"/>
      <c r="G1551" s="120" t="s">
        <v>103</v>
      </c>
      <c r="H1551" s="117" t="str">
        <f t="shared" si="261"/>
        <v>no</v>
      </c>
      <c r="I1551" s="117" t="str">
        <f t="shared" si="263"/>
        <v>no</v>
      </c>
      <c r="J1551" s="117" t="str">
        <f t="shared" si="264"/>
        <v>yes</v>
      </c>
      <c r="K1551" s="117" t="s">
        <v>103</v>
      </c>
      <c r="L1551" s="117" t="str">
        <f t="shared" si="262"/>
        <v>detailed</v>
      </c>
      <c r="M1551" s="117" t="str">
        <f t="shared" si="265"/>
        <v>detailed Oil</v>
      </c>
      <c r="N1551" s="118"/>
      <c r="O1551" s="118"/>
      <c r="P1551" s="118"/>
      <c r="Q1551" s="118"/>
      <c r="R1551" s="118"/>
      <c r="S1551" s="117"/>
      <c r="T1551" s="119"/>
      <c r="U1551" s="117"/>
      <c r="V1551" s="117"/>
      <c r="W1551" s="89"/>
      <c r="X1551" s="117"/>
      <c r="Y1551" s="117"/>
      <c r="Z1551" s="117"/>
      <c r="AA1551" s="89"/>
      <c r="AB1551" s="89"/>
      <c r="AC1551" s="240"/>
      <c r="AD1551" s="240"/>
      <c r="AE1551" s="240"/>
      <c r="AF1551" s="241"/>
      <c r="AG1551" s="117"/>
      <c r="AH1551" s="124"/>
      <c r="AI1551" s="117"/>
      <c r="AJ1551" s="117"/>
      <c r="AK1551" s="89"/>
      <c r="AL1551" s="117"/>
      <c r="AM1551" s="117"/>
      <c r="AN1551" s="117"/>
      <c r="AO1551" s="117"/>
      <c r="AP1551" s="117"/>
      <c r="AQ1551" s="117"/>
      <c r="AR1551" s="117"/>
      <c r="AS1551" s="117"/>
      <c r="AT1551" s="117"/>
      <c r="AU1551" s="117"/>
      <c r="AV1551" s="128"/>
      <c r="AW1551" s="117">
        <f>VLOOKUP($D1551,'WB Data'!$C$3:$M$578,2,FALSE)</f>
        <v>121571548180.02281</v>
      </c>
      <c r="AX1551" s="117">
        <f>VLOOKUP($D1551,'WB Data'!$C$3:$M$578,3,FALSE)</f>
        <v>28625628</v>
      </c>
      <c r="AY1551" s="847">
        <f t="shared" si="267"/>
        <v>2.9395836535923269E-2</v>
      </c>
      <c r="AZ1551" s="117">
        <f>VLOOKUP($D1551,'WB Data'!$C$3:$M$578,4,FALSE)/100</f>
        <v>0.20973667240502653</v>
      </c>
      <c r="BA1551" s="117">
        <f t="shared" si="268"/>
        <v>25498011974.405342</v>
      </c>
      <c r="BB1551" s="129">
        <f>IFERROR(VLOOKUP($D1551,'EITI Revenues'!$C$2:$G$224,5,FALSE),"..")</f>
        <v>3573697357.7190704</v>
      </c>
      <c r="BC1551" s="846">
        <f t="shared" si="269"/>
        <v>0.14015592122657694</v>
      </c>
      <c r="BD1551" s="129">
        <f>VLOOKUP($D1551,'WB Data 2'!$C$2:$K$545,6,FALSE)</f>
        <v>19689907936.979385</v>
      </c>
      <c r="BE1551" s="129">
        <f>IFERROR(VLOOKUP($D1551,UNCTAD!$C$5:$V$529,4,FALSE),"..")</f>
        <v>34667290000</v>
      </c>
      <c r="BF1551" s="846">
        <f t="shared" si="270"/>
        <v>0.5679679010669535</v>
      </c>
      <c r="BG1551" s="117">
        <f>VLOOKUP($D1551,'WB Data'!$C$3:$M$578,5,FALSE)</f>
        <v>463020000</v>
      </c>
      <c r="BH1551" s="129">
        <f>IFERROR($BB1551/$BG1551,"..")</f>
        <v>7.7182354060711642</v>
      </c>
      <c r="BI1551" s="117">
        <f>IFERROR(VLOOKUP($D1551,'WB Data'!$C$3:$M$578,7,FALSE)/100,"..")</f>
        <v>2.6741899999999999E-2</v>
      </c>
      <c r="BJ1551" s="117">
        <f>IFERROR($BI1551*$AW1551,"..")</f>
        <v>3251054184.275352</v>
      </c>
      <c r="BK1551" s="846">
        <f>IFERROR($BB1551/$BJ1551,"..")</f>
        <v>1.0992426318220945</v>
      </c>
      <c r="BL1551" s="117">
        <f>IFERROR(VLOOKUP($D1551,'WB Data'!$C$3:$M$578,7,FALSE)/100,"..")</f>
        <v>2.6741899999999999E-2</v>
      </c>
      <c r="BM1551" s="117">
        <f>IFERROR($AW1551*$BL1551,"..")</f>
        <v>3251054184.275352</v>
      </c>
      <c r="BN1551" s="846">
        <f>IFERROR($BB1551/$BM1551,"..")</f>
        <v>1.0992426318220945</v>
      </c>
      <c r="BO1551" s="801">
        <f t="shared" si="266"/>
        <v>38</v>
      </c>
      <c r="BP1551" s="117">
        <f>VLOOKUP($D1551,'WB Data'!$C$3:$M$578,9,FALSE)</f>
        <v>37.299999999999997</v>
      </c>
      <c r="BQ1551" s="117">
        <f>VLOOKUP($D1551,'WB Data'!$C$3:$M$578,10,FALSE)</f>
        <v>73.307292682926828</v>
      </c>
      <c r="BR1551" s="117">
        <f>VLOOKUP($D1551,'WB Data'!$C$3:$M$578,11,FALSE)</f>
        <v>17.399999999999999</v>
      </c>
      <c r="BS1551" s="129">
        <f>IFERROR(VLOOKUP($D1551,'WB Data 2'!$C$2:$K$545,9,FALSE),"..")</f>
        <v>97.638440000000003</v>
      </c>
      <c r="BT1551" s="129">
        <f>_xlfn.IFNA(VLOOKUP($C1551,RGI!$A$2:$C$43,2,FALSE),"..")</f>
        <v>76.8</v>
      </c>
      <c r="BU1551" s="129">
        <f>_xlfn.IFNA(VLOOKUP($C1551,RGI!$A$2:$C$43,3,FALSE),"..")</f>
        <v>72.816147461462435</v>
      </c>
      <c r="BV1551" s="129">
        <f>VLOOKUP($D1551,WGI!$C$2:$O$478,7,FALSE)</f>
        <v>0.102797518483968</v>
      </c>
      <c r="BW1551" s="129">
        <f>VLOOKUP($D1551,WGI!$C$2:$O$478,4,FALSE)</f>
        <v>-0.89730607728999101</v>
      </c>
      <c r="BX1551" s="129">
        <f>VLOOKUP($D1551,WGI!$C$2:$O$478,3,FALSE)</f>
        <v>-0.35724068854121799</v>
      </c>
      <c r="BY1551" s="129">
        <f>VLOOKUP($D1551,WGI!$C$2:$O$478,5,FALSE)</f>
        <v>0.34906767606171601</v>
      </c>
      <c r="BZ1551" s="129">
        <f>VLOOKUP($D1551,WGI!$C$2:$O$478,2,FALSE)</f>
        <v>-0.20419570946809601</v>
      </c>
      <c r="CB1551" s="129"/>
    </row>
    <row r="1552" spans="1:80" s="120" customFormat="1" ht="15" customHeight="1">
      <c r="A1552" s="294" t="s">
        <v>454</v>
      </c>
      <c r="B1552" s="117">
        <v>2008</v>
      </c>
      <c r="C1552" s="117" t="s">
        <v>449</v>
      </c>
      <c r="D1552" s="117" t="s">
        <v>3609</v>
      </c>
      <c r="E1552" s="452" t="s">
        <v>220</v>
      </c>
      <c r="F1552" s="117"/>
      <c r="G1552" s="120" t="s">
        <v>24</v>
      </c>
      <c r="H1552" s="117" t="str">
        <f t="shared" si="261"/>
        <v>yes</v>
      </c>
      <c r="I1552" s="117" t="str">
        <f t="shared" si="263"/>
        <v>no</v>
      </c>
      <c r="J1552" s="117" t="str">
        <f t="shared" si="264"/>
        <v>no</v>
      </c>
      <c r="K1552" s="117" t="s">
        <v>600</v>
      </c>
      <c r="L1552" s="117" t="str">
        <f t="shared" si="262"/>
        <v>Total</v>
      </c>
      <c r="M1552" s="117" t="str">
        <f t="shared" si="265"/>
        <v>Total Mining</v>
      </c>
      <c r="N1552" s="118"/>
      <c r="O1552" s="118"/>
      <c r="P1552" s="118"/>
      <c r="Q1552" s="118"/>
      <c r="R1552" s="118"/>
      <c r="S1552" s="117"/>
      <c r="T1552" s="119"/>
      <c r="U1552" s="117"/>
      <c r="V1552" s="117"/>
      <c r="W1552" s="89">
        <v>21360787878.68</v>
      </c>
      <c r="X1552" s="117"/>
      <c r="AA1552" s="89">
        <v>2331060978.4812031</v>
      </c>
      <c r="AB1552" s="89">
        <v>2331310251.9234447</v>
      </c>
      <c r="AC1552" s="240" t="s">
        <v>2086</v>
      </c>
      <c r="AD1552" s="240"/>
      <c r="AE1552" s="240"/>
      <c r="AF1552" s="241">
        <f>AA1552/(W1552*0.87)</f>
        <v>0.12543453220235054</v>
      </c>
      <c r="AH1552" s="124"/>
      <c r="AI1552" s="117"/>
      <c r="AJ1552" s="117"/>
      <c r="AK1552" s="89"/>
      <c r="AL1552" s="117"/>
      <c r="AM1552" s="117"/>
      <c r="AN1552" s="117">
        <v>33</v>
      </c>
      <c r="AO1552" s="117" t="s">
        <v>2087</v>
      </c>
      <c r="AP1552" s="117">
        <v>33</v>
      </c>
      <c r="AQ1552" s="117"/>
      <c r="AR1552" s="117"/>
      <c r="AS1552" s="117"/>
      <c r="AT1552" s="117"/>
      <c r="AU1552" s="117">
        <v>10</v>
      </c>
      <c r="AV1552" s="128"/>
      <c r="AW1552" s="117">
        <f>VLOOKUP($D1552,'WB Data'!$C$3:$M$578,2,FALSE)</f>
        <v>121571548180.02281</v>
      </c>
      <c r="AX1552" s="117">
        <f>VLOOKUP($D1552,'WB Data'!$C$3:$M$578,3,FALSE)</f>
        <v>28625628</v>
      </c>
      <c r="AY1552" s="847">
        <f t="shared" si="267"/>
        <v>2.9395836535923269E-2</v>
      </c>
      <c r="AZ1552" s="117">
        <f>VLOOKUP($D1552,'WB Data'!$C$3:$M$578,4,FALSE)/100</f>
        <v>0.20973667240502653</v>
      </c>
      <c r="BA1552" s="117">
        <f t="shared" si="268"/>
        <v>25498011974.405342</v>
      </c>
      <c r="BB1552" s="129">
        <f>IFERROR(VLOOKUP($D1552,'EITI Revenues'!$C$2:$G$224,5,FALSE),"..")</f>
        <v>3573697357.7190704</v>
      </c>
      <c r="BC1552" s="846">
        <f t="shared" si="269"/>
        <v>0.14015592122657694</v>
      </c>
      <c r="BD1552" s="129">
        <f>VLOOKUP($D1552,'WB Data 2'!$C$2:$K$545,6,FALSE)</f>
        <v>19689907936.979385</v>
      </c>
      <c r="BE1552" s="129">
        <f>IFERROR(VLOOKUP($D1552,UNCTAD!$C$5:$V$529,4,FALSE),"..")</f>
        <v>34667290000</v>
      </c>
      <c r="BF1552" s="846">
        <f t="shared" si="270"/>
        <v>0.5679679010669535</v>
      </c>
      <c r="BG1552" s="117">
        <f>VLOOKUP($D1552,'WB Data'!$C$3:$M$578,5,FALSE)</f>
        <v>463020000</v>
      </c>
      <c r="BH1552" s="129">
        <f>IFERROR($BB1552/$BG1552,"..")</f>
        <v>7.7182354060711642</v>
      </c>
      <c r="BI1552" s="117">
        <f>IFERROR(VLOOKUP($D1552,'WB Data'!$C$3:$M$578,7,FALSE)/100,"..")</f>
        <v>2.6741899999999999E-2</v>
      </c>
      <c r="BJ1552" s="117">
        <f>IFERROR($BI1552*$AW1552,"..")</f>
        <v>3251054184.275352</v>
      </c>
      <c r="BK1552" s="846">
        <f>IFERROR($BB1552/$BJ1552,"..")</f>
        <v>1.0992426318220945</v>
      </c>
      <c r="BL1552" s="117">
        <f>IFERROR(VLOOKUP($D1552,'WB Data'!$C$3:$M$578,7,FALSE)/100,"..")</f>
        <v>2.6741899999999999E-2</v>
      </c>
      <c r="BM1552" s="117">
        <f>IFERROR($AW1552*$BL1552,"..")</f>
        <v>3251054184.275352</v>
      </c>
      <c r="BN1552" s="846">
        <f>IFERROR($BB1552/$BM1552,"..")</f>
        <v>1.0992426318220945</v>
      </c>
      <c r="BO1552" s="801">
        <f t="shared" si="266"/>
        <v>38</v>
      </c>
      <c r="BP1552" s="117">
        <f>VLOOKUP($D1552,'WB Data'!$C$3:$M$578,9,FALSE)</f>
        <v>37.299999999999997</v>
      </c>
      <c r="BQ1552" s="117">
        <f>VLOOKUP($D1552,'WB Data'!$C$3:$M$578,10,FALSE)</f>
        <v>73.307292682926828</v>
      </c>
      <c r="BR1552" s="117">
        <f>VLOOKUP($D1552,'WB Data'!$C$3:$M$578,11,FALSE)</f>
        <v>17.399999999999999</v>
      </c>
      <c r="BS1552" s="129">
        <f>IFERROR(VLOOKUP($D1552,'WB Data 2'!$C$2:$K$545,9,FALSE),"..")</f>
        <v>97.638440000000003</v>
      </c>
      <c r="BT1552" s="129">
        <f>_xlfn.IFNA(VLOOKUP($C1552,RGI!$A$2:$C$43,2,FALSE),"..")</f>
        <v>76.8</v>
      </c>
      <c r="BU1552" s="129">
        <f>_xlfn.IFNA(VLOOKUP($C1552,RGI!$A$2:$C$43,3,FALSE),"..")</f>
        <v>72.816147461462435</v>
      </c>
      <c r="BV1552" s="129">
        <f>VLOOKUP($D1552,WGI!$C$2:$O$478,7,FALSE)</f>
        <v>0.102797518483968</v>
      </c>
      <c r="BW1552" s="129">
        <f>VLOOKUP($D1552,WGI!$C$2:$O$478,4,FALSE)</f>
        <v>-0.89730607728999101</v>
      </c>
      <c r="BX1552" s="129">
        <f>VLOOKUP($D1552,WGI!$C$2:$O$478,3,FALSE)</f>
        <v>-0.35724068854121799</v>
      </c>
      <c r="BY1552" s="129">
        <f>VLOOKUP($D1552,WGI!$C$2:$O$478,5,FALSE)</f>
        <v>0.34906767606171601</v>
      </c>
      <c r="BZ1552" s="129">
        <f>VLOOKUP($D1552,WGI!$C$2:$O$478,2,FALSE)</f>
        <v>-0.20419570946809601</v>
      </c>
      <c r="CB1552" s="129"/>
    </row>
    <row r="1553" spans="1:80" s="120" customFormat="1" ht="15" customHeight="1">
      <c r="A1553" s="294" t="s">
        <v>454</v>
      </c>
      <c r="B1553" s="117">
        <v>2008</v>
      </c>
      <c r="C1553" s="117" t="s">
        <v>449</v>
      </c>
      <c r="D1553" s="117" t="s">
        <v>3609</v>
      </c>
      <c r="E1553" s="452" t="s">
        <v>220</v>
      </c>
      <c r="F1553" s="117"/>
      <c r="G1553" s="120" t="s">
        <v>24</v>
      </c>
      <c r="H1553" s="117" t="str">
        <f t="shared" si="261"/>
        <v>yes</v>
      </c>
      <c r="I1553" s="117" t="str">
        <f t="shared" si="263"/>
        <v>no</v>
      </c>
      <c r="J1553" s="117" t="str">
        <f t="shared" si="264"/>
        <v>no</v>
      </c>
      <c r="K1553" s="117" t="s">
        <v>2088</v>
      </c>
      <c r="L1553" s="117" t="str">
        <f t="shared" si="262"/>
        <v>detailed</v>
      </c>
      <c r="M1553" s="117" t="str">
        <f t="shared" si="265"/>
        <v>detailed Mining</v>
      </c>
      <c r="N1553" s="118"/>
      <c r="O1553" s="118"/>
      <c r="P1553" s="118"/>
      <c r="Q1553" s="118"/>
      <c r="R1553" s="118"/>
      <c r="S1553" s="117"/>
      <c r="T1553" s="119"/>
      <c r="U1553" s="117"/>
      <c r="V1553" s="117"/>
      <c r="W1553" s="89"/>
      <c r="X1553" s="117"/>
      <c r="AA1553" s="89"/>
      <c r="AB1553" s="89"/>
      <c r="AC1553" s="240"/>
      <c r="AD1553" s="240"/>
      <c r="AE1553" s="240"/>
      <c r="AF1553" s="241"/>
      <c r="AH1553" s="124"/>
      <c r="AI1553" s="117"/>
      <c r="AJ1553" s="117"/>
      <c r="AK1553" s="89"/>
      <c r="AL1553" s="117"/>
      <c r="AM1553" s="117"/>
      <c r="AN1553" s="117"/>
      <c r="AO1553" s="117"/>
      <c r="AP1553" s="117"/>
      <c r="AQ1553" s="117"/>
      <c r="AR1553" s="117"/>
      <c r="AS1553" s="117"/>
      <c r="AT1553" s="117"/>
      <c r="AU1553" s="117"/>
      <c r="AV1553" s="128"/>
      <c r="AW1553" s="117">
        <f>VLOOKUP($D1553,'WB Data'!$C$3:$M$578,2,FALSE)</f>
        <v>121571548180.02281</v>
      </c>
      <c r="AX1553" s="117">
        <f>VLOOKUP($D1553,'WB Data'!$C$3:$M$578,3,FALSE)</f>
        <v>28625628</v>
      </c>
      <c r="AY1553" s="847">
        <f t="shared" si="267"/>
        <v>2.9395836535923269E-2</v>
      </c>
      <c r="AZ1553" s="117">
        <f>VLOOKUP($D1553,'WB Data'!$C$3:$M$578,4,FALSE)/100</f>
        <v>0.20973667240502653</v>
      </c>
      <c r="BA1553" s="117">
        <f t="shared" si="268"/>
        <v>25498011974.405342</v>
      </c>
      <c r="BB1553" s="129">
        <f>IFERROR(VLOOKUP($D1553,'EITI Revenues'!$C$2:$G$224,5,FALSE),"..")</f>
        <v>3573697357.7190704</v>
      </c>
      <c r="BC1553" s="846">
        <f t="shared" si="269"/>
        <v>0.14015592122657694</v>
      </c>
      <c r="BD1553" s="129">
        <f>VLOOKUP($D1553,'WB Data 2'!$C$2:$K$545,6,FALSE)</f>
        <v>19689907936.979385</v>
      </c>
      <c r="BE1553" s="129">
        <f>IFERROR(VLOOKUP($D1553,UNCTAD!$C$5:$V$529,4,FALSE),"..")</f>
        <v>34667290000</v>
      </c>
      <c r="BF1553" s="846">
        <f t="shared" si="270"/>
        <v>0.5679679010669535</v>
      </c>
      <c r="BG1553" s="117">
        <f>VLOOKUP($D1553,'WB Data'!$C$3:$M$578,5,FALSE)</f>
        <v>463020000</v>
      </c>
      <c r="BH1553" s="129">
        <f>IFERROR($BB1553/$BG1553,"..")</f>
        <v>7.7182354060711642</v>
      </c>
      <c r="BI1553" s="117">
        <f>IFERROR(VLOOKUP($D1553,'WB Data'!$C$3:$M$578,7,FALSE)/100,"..")</f>
        <v>2.6741899999999999E-2</v>
      </c>
      <c r="BJ1553" s="117">
        <f>IFERROR($BI1553*$AW1553,"..")</f>
        <v>3251054184.275352</v>
      </c>
      <c r="BK1553" s="846">
        <f>IFERROR($BB1553/$BJ1553,"..")</f>
        <v>1.0992426318220945</v>
      </c>
      <c r="BL1553" s="117">
        <f>IFERROR(VLOOKUP($D1553,'WB Data'!$C$3:$M$578,7,FALSE)/100,"..")</f>
        <v>2.6741899999999999E-2</v>
      </c>
      <c r="BM1553" s="117">
        <f>IFERROR($AW1553*$BL1553,"..")</f>
        <v>3251054184.275352</v>
      </c>
      <c r="BN1553" s="846">
        <f>IFERROR($BB1553/$BM1553,"..")</f>
        <v>1.0992426318220945</v>
      </c>
      <c r="BO1553" s="801">
        <f t="shared" si="266"/>
        <v>38</v>
      </c>
      <c r="BP1553" s="117">
        <f>VLOOKUP($D1553,'WB Data'!$C$3:$M$578,9,FALSE)</f>
        <v>37.299999999999997</v>
      </c>
      <c r="BQ1553" s="117">
        <f>VLOOKUP($D1553,'WB Data'!$C$3:$M$578,10,FALSE)</f>
        <v>73.307292682926828</v>
      </c>
      <c r="BR1553" s="117">
        <f>VLOOKUP($D1553,'WB Data'!$C$3:$M$578,11,FALSE)</f>
        <v>17.399999999999999</v>
      </c>
      <c r="BS1553" s="129">
        <f>IFERROR(VLOOKUP($D1553,'WB Data 2'!$C$2:$K$545,9,FALSE),"..")</f>
        <v>97.638440000000003</v>
      </c>
      <c r="BT1553" s="129">
        <f>_xlfn.IFNA(VLOOKUP($C1553,RGI!$A$2:$C$43,2,FALSE),"..")</f>
        <v>76.8</v>
      </c>
      <c r="BU1553" s="129">
        <f>_xlfn.IFNA(VLOOKUP($C1553,RGI!$A$2:$C$43,3,FALSE),"..")</f>
        <v>72.816147461462435</v>
      </c>
      <c r="BV1553" s="129">
        <f>VLOOKUP($D1553,WGI!$C$2:$O$478,7,FALSE)</f>
        <v>0.102797518483968</v>
      </c>
      <c r="BW1553" s="129">
        <f>VLOOKUP($D1553,WGI!$C$2:$O$478,4,FALSE)</f>
        <v>-0.89730607728999101</v>
      </c>
      <c r="BX1553" s="129">
        <f>VLOOKUP($D1553,WGI!$C$2:$O$478,3,FALSE)</f>
        <v>-0.35724068854121799</v>
      </c>
      <c r="BY1553" s="129">
        <f>VLOOKUP($D1553,WGI!$C$2:$O$478,5,FALSE)</f>
        <v>0.34906767606171601</v>
      </c>
      <c r="BZ1553" s="129">
        <f>VLOOKUP($D1553,WGI!$C$2:$O$478,2,FALSE)</f>
        <v>-0.20419570946809601</v>
      </c>
      <c r="CB1553" s="129"/>
    </row>
    <row r="1554" spans="1:80" s="120" customFormat="1" ht="15" customHeight="1">
      <c r="A1554" s="294" t="s">
        <v>454</v>
      </c>
      <c r="B1554" s="117">
        <v>2008</v>
      </c>
      <c r="C1554" s="117" t="s">
        <v>449</v>
      </c>
      <c r="D1554" s="117" t="s">
        <v>3609</v>
      </c>
      <c r="E1554" s="452" t="s">
        <v>220</v>
      </c>
      <c r="F1554" s="117"/>
      <c r="G1554" s="120" t="s">
        <v>24</v>
      </c>
      <c r="H1554" s="117" t="str">
        <f t="shared" si="261"/>
        <v>yes</v>
      </c>
      <c r="I1554" s="117" t="str">
        <f t="shared" si="263"/>
        <v>no</v>
      </c>
      <c r="J1554" s="117" t="str">
        <f t="shared" si="264"/>
        <v>no</v>
      </c>
      <c r="K1554" s="117" t="s">
        <v>2089</v>
      </c>
      <c r="L1554" s="117" t="str">
        <f t="shared" si="262"/>
        <v>detailed</v>
      </c>
      <c r="M1554" s="117" t="str">
        <f t="shared" si="265"/>
        <v>detailed Mining</v>
      </c>
      <c r="N1554" s="118"/>
      <c r="O1554" s="118"/>
      <c r="P1554" s="118"/>
      <c r="Q1554" s="118"/>
      <c r="R1554" s="118"/>
      <c r="S1554" s="117"/>
      <c r="T1554" s="119"/>
      <c r="U1554" s="117"/>
      <c r="V1554" s="117"/>
      <c r="W1554" s="89"/>
      <c r="X1554" s="117"/>
      <c r="AA1554" s="89"/>
      <c r="AB1554" s="89"/>
      <c r="AC1554" s="240"/>
      <c r="AD1554" s="240"/>
      <c r="AE1554" s="240"/>
      <c r="AF1554" s="241"/>
      <c r="AH1554" s="124"/>
      <c r="AI1554" s="117"/>
      <c r="AJ1554" s="117"/>
      <c r="AK1554" s="89"/>
      <c r="AL1554" s="117"/>
      <c r="AM1554" s="117"/>
      <c r="AN1554" s="117"/>
      <c r="AO1554" s="117"/>
      <c r="AP1554" s="117"/>
      <c r="AQ1554" s="117"/>
      <c r="AR1554" s="117"/>
      <c r="AS1554" s="117"/>
      <c r="AT1554" s="117"/>
      <c r="AU1554" s="117"/>
      <c r="AV1554" s="128"/>
      <c r="AW1554" s="117">
        <f>VLOOKUP($D1554,'WB Data'!$C$3:$M$578,2,FALSE)</f>
        <v>121571548180.02281</v>
      </c>
      <c r="AX1554" s="117">
        <f>VLOOKUP($D1554,'WB Data'!$C$3:$M$578,3,FALSE)</f>
        <v>28625628</v>
      </c>
      <c r="AY1554" s="847">
        <f t="shared" si="267"/>
        <v>2.9395836535923269E-2</v>
      </c>
      <c r="AZ1554" s="117">
        <f>VLOOKUP($D1554,'WB Data'!$C$3:$M$578,4,FALSE)/100</f>
        <v>0.20973667240502653</v>
      </c>
      <c r="BA1554" s="117">
        <f t="shared" si="268"/>
        <v>25498011974.405342</v>
      </c>
      <c r="BB1554" s="129">
        <f>IFERROR(VLOOKUP($D1554,'EITI Revenues'!$C$2:$G$224,5,FALSE),"..")</f>
        <v>3573697357.7190704</v>
      </c>
      <c r="BC1554" s="846">
        <f t="shared" si="269"/>
        <v>0.14015592122657694</v>
      </c>
      <c r="BD1554" s="129">
        <f>VLOOKUP($D1554,'WB Data 2'!$C$2:$K$545,6,FALSE)</f>
        <v>19689907936.979385</v>
      </c>
      <c r="BE1554" s="129">
        <f>IFERROR(VLOOKUP($D1554,UNCTAD!$C$5:$V$529,4,FALSE),"..")</f>
        <v>34667290000</v>
      </c>
      <c r="BF1554" s="846">
        <f t="shared" si="270"/>
        <v>0.5679679010669535</v>
      </c>
      <c r="BG1554" s="117">
        <f>VLOOKUP($D1554,'WB Data'!$C$3:$M$578,5,FALSE)</f>
        <v>463020000</v>
      </c>
      <c r="BH1554" s="129">
        <f>IFERROR($BB1554/$BG1554,"..")</f>
        <v>7.7182354060711642</v>
      </c>
      <c r="BI1554" s="117">
        <f>IFERROR(VLOOKUP($D1554,'WB Data'!$C$3:$M$578,7,FALSE)/100,"..")</f>
        <v>2.6741899999999999E-2</v>
      </c>
      <c r="BJ1554" s="117">
        <f>IFERROR($BI1554*$AW1554,"..")</f>
        <v>3251054184.275352</v>
      </c>
      <c r="BK1554" s="846">
        <f>IFERROR($BB1554/$BJ1554,"..")</f>
        <v>1.0992426318220945</v>
      </c>
      <c r="BL1554" s="117">
        <f>IFERROR(VLOOKUP($D1554,'WB Data'!$C$3:$M$578,7,FALSE)/100,"..")</f>
        <v>2.6741899999999999E-2</v>
      </c>
      <c r="BM1554" s="117">
        <f>IFERROR($AW1554*$BL1554,"..")</f>
        <v>3251054184.275352</v>
      </c>
      <c r="BN1554" s="846">
        <f>IFERROR($BB1554/$BM1554,"..")</f>
        <v>1.0992426318220945</v>
      </c>
      <c r="BO1554" s="801">
        <f t="shared" si="266"/>
        <v>38</v>
      </c>
      <c r="BP1554" s="117">
        <f>VLOOKUP($D1554,'WB Data'!$C$3:$M$578,9,FALSE)</f>
        <v>37.299999999999997</v>
      </c>
      <c r="BQ1554" s="117">
        <f>VLOOKUP($D1554,'WB Data'!$C$3:$M$578,10,FALSE)</f>
        <v>73.307292682926828</v>
      </c>
      <c r="BR1554" s="117">
        <f>VLOOKUP($D1554,'WB Data'!$C$3:$M$578,11,FALSE)</f>
        <v>17.399999999999999</v>
      </c>
      <c r="BS1554" s="129">
        <f>IFERROR(VLOOKUP($D1554,'WB Data 2'!$C$2:$K$545,9,FALSE),"..")</f>
        <v>97.638440000000003</v>
      </c>
      <c r="BT1554" s="129">
        <f>_xlfn.IFNA(VLOOKUP($C1554,RGI!$A$2:$C$43,2,FALSE),"..")</f>
        <v>76.8</v>
      </c>
      <c r="BU1554" s="129">
        <f>_xlfn.IFNA(VLOOKUP($C1554,RGI!$A$2:$C$43,3,FALSE),"..")</f>
        <v>72.816147461462435</v>
      </c>
      <c r="BV1554" s="129">
        <f>VLOOKUP($D1554,WGI!$C$2:$O$478,7,FALSE)</f>
        <v>0.102797518483968</v>
      </c>
      <c r="BW1554" s="129">
        <f>VLOOKUP($D1554,WGI!$C$2:$O$478,4,FALSE)</f>
        <v>-0.89730607728999101</v>
      </c>
      <c r="BX1554" s="129">
        <f>VLOOKUP($D1554,WGI!$C$2:$O$478,3,FALSE)</f>
        <v>-0.35724068854121799</v>
      </c>
      <c r="BY1554" s="129">
        <f>VLOOKUP($D1554,WGI!$C$2:$O$478,5,FALSE)</f>
        <v>0.34906767606171601</v>
      </c>
      <c r="BZ1554" s="129">
        <f>VLOOKUP($D1554,WGI!$C$2:$O$478,2,FALSE)</f>
        <v>-0.20419570946809601</v>
      </c>
      <c r="CB1554" s="129"/>
    </row>
    <row r="1555" spans="1:80" s="120" customFormat="1" ht="15" customHeight="1">
      <c r="A1555" s="294" t="s">
        <v>454</v>
      </c>
      <c r="B1555" s="117">
        <v>2008</v>
      </c>
      <c r="C1555" s="117" t="s">
        <v>449</v>
      </c>
      <c r="D1555" s="117" t="s">
        <v>3609</v>
      </c>
      <c r="E1555" s="452" t="s">
        <v>220</v>
      </c>
      <c r="F1555" s="117"/>
      <c r="G1555" s="120" t="s">
        <v>24</v>
      </c>
      <c r="H1555" s="117" t="str">
        <f t="shared" si="261"/>
        <v>yes</v>
      </c>
      <c r="I1555" s="117" t="str">
        <f t="shared" si="263"/>
        <v>no</v>
      </c>
      <c r="J1555" s="117" t="str">
        <f t="shared" si="264"/>
        <v>no</v>
      </c>
      <c r="K1555" s="117" t="s">
        <v>1413</v>
      </c>
      <c r="L1555" s="117" t="str">
        <f t="shared" si="262"/>
        <v>detailed</v>
      </c>
      <c r="M1555" s="117" t="str">
        <f t="shared" si="265"/>
        <v>detailed Mining</v>
      </c>
      <c r="N1555" s="118"/>
      <c r="O1555" s="118"/>
      <c r="P1555" s="118"/>
      <c r="Q1555" s="118"/>
      <c r="R1555" s="118"/>
      <c r="S1555" s="117"/>
      <c r="T1555" s="119"/>
      <c r="U1555" s="117"/>
      <c r="V1555" s="117"/>
      <c r="W1555" s="89"/>
      <c r="X1555" s="117"/>
      <c r="AA1555" s="89"/>
      <c r="AB1555" s="89"/>
      <c r="AC1555" s="240"/>
      <c r="AD1555" s="240"/>
      <c r="AE1555" s="240"/>
      <c r="AF1555" s="241"/>
      <c r="AH1555" s="124"/>
      <c r="AI1555" s="117"/>
      <c r="AJ1555" s="117"/>
      <c r="AK1555" s="89"/>
      <c r="AL1555" s="117"/>
      <c r="AM1555" s="117"/>
      <c r="AN1555" s="117"/>
      <c r="AO1555" s="117"/>
      <c r="AP1555" s="117"/>
      <c r="AQ1555" s="117"/>
      <c r="AR1555" s="117"/>
      <c r="AS1555" s="117"/>
      <c r="AT1555" s="117"/>
      <c r="AU1555" s="117"/>
      <c r="AV1555" s="128"/>
      <c r="AW1555" s="117">
        <f>VLOOKUP($D1555,'WB Data'!$C$3:$M$578,2,FALSE)</f>
        <v>121571548180.02281</v>
      </c>
      <c r="AX1555" s="117">
        <f>VLOOKUP($D1555,'WB Data'!$C$3:$M$578,3,FALSE)</f>
        <v>28625628</v>
      </c>
      <c r="AY1555" s="847">
        <f t="shared" si="267"/>
        <v>2.9395836535923269E-2</v>
      </c>
      <c r="AZ1555" s="117">
        <f>VLOOKUP($D1555,'WB Data'!$C$3:$M$578,4,FALSE)/100</f>
        <v>0.20973667240502653</v>
      </c>
      <c r="BA1555" s="117">
        <f t="shared" si="268"/>
        <v>25498011974.405342</v>
      </c>
      <c r="BB1555" s="129">
        <f>IFERROR(VLOOKUP($D1555,'EITI Revenues'!$C$2:$G$224,5,FALSE),"..")</f>
        <v>3573697357.7190704</v>
      </c>
      <c r="BC1555" s="846">
        <f t="shared" si="269"/>
        <v>0.14015592122657694</v>
      </c>
      <c r="BD1555" s="129">
        <f>VLOOKUP($D1555,'WB Data 2'!$C$2:$K$545,6,FALSE)</f>
        <v>19689907936.979385</v>
      </c>
      <c r="BE1555" s="129">
        <f>IFERROR(VLOOKUP($D1555,UNCTAD!$C$5:$V$529,4,FALSE),"..")</f>
        <v>34667290000</v>
      </c>
      <c r="BF1555" s="846">
        <f t="shared" si="270"/>
        <v>0.5679679010669535</v>
      </c>
      <c r="BG1555" s="117">
        <f>VLOOKUP($D1555,'WB Data'!$C$3:$M$578,5,FALSE)</f>
        <v>463020000</v>
      </c>
      <c r="BH1555" s="129">
        <f>IFERROR($BB1555/$BG1555,"..")</f>
        <v>7.7182354060711642</v>
      </c>
      <c r="BI1555" s="117">
        <f>IFERROR(VLOOKUP($D1555,'WB Data'!$C$3:$M$578,7,FALSE)/100,"..")</f>
        <v>2.6741899999999999E-2</v>
      </c>
      <c r="BJ1555" s="117">
        <f>IFERROR($BI1555*$AW1555,"..")</f>
        <v>3251054184.275352</v>
      </c>
      <c r="BK1555" s="846">
        <f>IFERROR($BB1555/$BJ1555,"..")</f>
        <v>1.0992426318220945</v>
      </c>
      <c r="BL1555" s="117">
        <f>IFERROR(VLOOKUP($D1555,'WB Data'!$C$3:$M$578,7,FALSE)/100,"..")</f>
        <v>2.6741899999999999E-2</v>
      </c>
      <c r="BM1555" s="117">
        <f>IFERROR($AW1555*$BL1555,"..")</f>
        <v>3251054184.275352</v>
      </c>
      <c r="BN1555" s="846">
        <f>IFERROR($BB1555/$BM1555,"..")</f>
        <v>1.0992426318220945</v>
      </c>
      <c r="BO1555" s="801">
        <f t="shared" si="266"/>
        <v>38</v>
      </c>
      <c r="BP1555" s="117">
        <f>VLOOKUP($D1555,'WB Data'!$C$3:$M$578,9,FALSE)</f>
        <v>37.299999999999997</v>
      </c>
      <c r="BQ1555" s="117">
        <f>VLOOKUP($D1555,'WB Data'!$C$3:$M$578,10,FALSE)</f>
        <v>73.307292682926828</v>
      </c>
      <c r="BR1555" s="117">
        <f>VLOOKUP($D1555,'WB Data'!$C$3:$M$578,11,FALSE)</f>
        <v>17.399999999999999</v>
      </c>
      <c r="BS1555" s="129">
        <f>IFERROR(VLOOKUP($D1555,'WB Data 2'!$C$2:$K$545,9,FALSE),"..")</f>
        <v>97.638440000000003</v>
      </c>
      <c r="BT1555" s="129">
        <f>_xlfn.IFNA(VLOOKUP($C1555,RGI!$A$2:$C$43,2,FALSE),"..")</f>
        <v>76.8</v>
      </c>
      <c r="BU1555" s="129">
        <f>_xlfn.IFNA(VLOOKUP($C1555,RGI!$A$2:$C$43,3,FALSE),"..")</f>
        <v>72.816147461462435</v>
      </c>
      <c r="BV1555" s="129">
        <f>VLOOKUP($D1555,WGI!$C$2:$O$478,7,FALSE)</f>
        <v>0.102797518483968</v>
      </c>
      <c r="BW1555" s="129">
        <f>VLOOKUP($D1555,WGI!$C$2:$O$478,4,FALSE)</f>
        <v>-0.89730607728999101</v>
      </c>
      <c r="BX1555" s="129">
        <f>VLOOKUP($D1555,WGI!$C$2:$O$478,3,FALSE)</f>
        <v>-0.35724068854121799</v>
      </c>
      <c r="BY1555" s="129">
        <f>VLOOKUP($D1555,WGI!$C$2:$O$478,5,FALSE)</f>
        <v>0.34906767606171601</v>
      </c>
      <c r="BZ1555" s="129">
        <f>VLOOKUP($D1555,WGI!$C$2:$O$478,2,FALSE)</f>
        <v>-0.20419570946809601</v>
      </c>
      <c r="CB1555" s="129"/>
    </row>
    <row r="1556" spans="1:80" s="120" customFormat="1" ht="15" customHeight="1">
      <c r="A1556" s="294" t="s">
        <v>454</v>
      </c>
      <c r="B1556" s="117">
        <v>2008</v>
      </c>
      <c r="C1556" s="117" t="s">
        <v>449</v>
      </c>
      <c r="D1556" s="117" t="s">
        <v>3609</v>
      </c>
      <c r="E1556" s="452" t="s">
        <v>220</v>
      </c>
      <c r="F1556" s="117"/>
      <c r="G1556" s="120" t="s">
        <v>24</v>
      </c>
      <c r="H1556" s="117" t="str">
        <f t="shared" si="261"/>
        <v>yes</v>
      </c>
      <c r="I1556" s="117" t="str">
        <f t="shared" si="263"/>
        <v>no</v>
      </c>
      <c r="J1556" s="117" t="str">
        <f t="shared" si="264"/>
        <v>no</v>
      </c>
      <c r="K1556" s="117" t="s">
        <v>1215</v>
      </c>
      <c r="L1556" s="117" t="str">
        <f t="shared" si="262"/>
        <v>detailed</v>
      </c>
      <c r="M1556" s="117" t="str">
        <f t="shared" si="265"/>
        <v>detailed Mining</v>
      </c>
      <c r="N1556" s="118"/>
      <c r="O1556" s="118"/>
      <c r="P1556" s="118"/>
      <c r="Q1556" s="118"/>
      <c r="R1556" s="118"/>
      <c r="S1556" s="117"/>
      <c r="T1556" s="119"/>
      <c r="U1556" s="117"/>
      <c r="V1556" s="117"/>
      <c r="W1556" s="89"/>
      <c r="X1556" s="117"/>
      <c r="AA1556" s="89"/>
      <c r="AB1556" s="89"/>
      <c r="AC1556" s="240"/>
      <c r="AD1556" s="240"/>
      <c r="AE1556" s="240"/>
      <c r="AF1556" s="241"/>
      <c r="AH1556" s="124"/>
      <c r="AI1556" s="117"/>
      <c r="AJ1556" s="117"/>
      <c r="AK1556" s="89"/>
      <c r="AL1556" s="117"/>
      <c r="AM1556" s="117"/>
      <c r="AN1556" s="117"/>
      <c r="AO1556" s="117"/>
      <c r="AP1556" s="117"/>
      <c r="AQ1556" s="117"/>
      <c r="AR1556" s="117"/>
      <c r="AS1556" s="117"/>
      <c r="AT1556" s="117"/>
      <c r="AU1556" s="117"/>
      <c r="AV1556" s="128"/>
      <c r="AW1556" s="117">
        <f>VLOOKUP($D1556,'WB Data'!$C$3:$M$578,2,FALSE)</f>
        <v>121571548180.02281</v>
      </c>
      <c r="AX1556" s="117">
        <f>VLOOKUP($D1556,'WB Data'!$C$3:$M$578,3,FALSE)</f>
        <v>28625628</v>
      </c>
      <c r="AY1556" s="847">
        <f t="shared" si="267"/>
        <v>2.9395836535923269E-2</v>
      </c>
      <c r="AZ1556" s="117">
        <f>VLOOKUP($D1556,'WB Data'!$C$3:$M$578,4,FALSE)/100</f>
        <v>0.20973667240502653</v>
      </c>
      <c r="BA1556" s="117">
        <f t="shared" si="268"/>
        <v>25498011974.405342</v>
      </c>
      <c r="BB1556" s="129">
        <f>IFERROR(VLOOKUP($D1556,'EITI Revenues'!$C$2:$G$224,5,FALSE),"..")</f>
        <v>3573697357.7190704</v>
      </c>
      <c r="BC1556" s="846">
        <f t="shared" si="269"/>
        <v>0.14015592122657694</v>
      </c>
      <c r="BD1556" s="129">
        <f>VLOOKUP($D1556,'WB Data 2'!$C$2:$K$545,6,FALSE)</f>
        <v>19689907936.979385</v>
      </c>
      <c r="BE1556" s="129">
        <f>IFERROR(VLOOKUP($D1556,UNCTAD!$C$5:$V$529,4,FALSE),"..")</f>
        <v>34667290000</v>
      </c>
      <c r="BF1556" s="846">
        <f t="shared" si="270"/>
        <v>0.5679679010669535</v>
      </c>
      <c r="BG1556" s="117">
        <f>VLOOKUP($D1556,'WB Data'!$C$3:$M$578,5,FALSE)</f>
        <v>463020000</v>
      </c>
      <c r="BH1556" s="129">
        <f>IFERROR($BB1556/$BG1556,"..")</f>
        <v>7.7182354060711642</v>
      </c>
      <c r="BI1556" s="117">
        <f>IFERROR(VLOOKUP($D1556,'WB Data'!$C$3:$M$578,7,FALSE)/100,"..")</f>
        <v>2.6741899999999999E-2</v>
      </c>
      <c r="BJ1556" s="117">
        <f>IFERROR($BI1556*$AW1556,"..")</f>
        <v>3251054184.275352</v>
      </c>
      <c r="BK1556" s="846">
        <f>IFERROR($BB1556/$BJ1556,"..")</f>
        <v>1.0992426318220945</v>
      </c>
      <c r="BL1556" s="117">
        <f>IFERROR(VLOOKUP($D1556,'WB Data'!$C$3:$M$578,7,FALSE)/100,"..")</f>
        <v>2.6741899999999999E-2</v>
      </c>
      <c r="BM1556" s="117">
        <f>IFERROR($AW1556*$BL1556,"..")</f>
        <v>3251054184.275352</v>
      </c>
      <c r="BN1556" s="846">
        <f>IFERROR($BB1556/$BM1556,"..")</f>
        <v>1.0992426318220945</v>
      </c>
      <c r="BO1556" s="801">
        <f t="shared" si="266"/>
        <v>38</v>
      </c>
      <c r="BP1556" s="117">
        <f>VLOOKUP($D1556,'WB Data'!$C$3:$M$578,9,FALSE)</f>
        <v>37.299999999999997</v>
      </c>
      <c r="BQ1556" s="117">
        <f>VLOOKUP($D1556,'WB Data'!$C$3:$M$578,10,FALSE)</f>
        <v>73.307292682926828</v>
      </c>
      <c r="BR1556" s="117">
        <f>VLOOKUP($D1556,'WB Data'!$C$3:$M$578,11,FALSE)</f>
        <v>17.399999999999999</v>
      </c>
      <c r="BS1556" s="129">
        <f>IFERROR(VLOOKUP($D1556,'WB Data 2'!$C$2:$K$545,9,FALSE),"..")</f>
        <v>97.638440000000003</v>
      </c>
      <c r="BT1556" s="129">
        <f>_xlfn.IFNA(VLOOKUP($C1556,RGI!$A$2:$C$43,2,FALSE),"..")</f>
        <v>76.8</v>
      </c>
      <c r="BU1556" s="129">
        <f>_xlfn.IFNA(VLOOKUP($C1556,RGI!$A$2:$C$43,3,FALSE),"..")</f>
        <v>72.816147461462435</v>
      </c>
      <c r="BV1556" s="129">
        <f>VLOOKUP($D1556,WGI!$C$2:$O$478,7,FALSE)</f>
        <v>0.102797518483968</v>
      </c>
      <c r="BW1556" s="129">
        <f>VLOOKUP($D1556,WGI!$C$2:$O$478,4,FALSE)</f>
        <v>-0.89730607728999101</v>
      </c>
      <c r="BX1556" s="129">
        <f>VLOOKUP($D1556,WGI!$C$2:$O$478,3,FALSE)</f>
        <v>-0.35724068854121799</v>
      </c>
      <c r="BY1556" s="129">
        <f>VLOOKUP($D1556,WGI!$C$2:$O$478,5,FALSE)</f>
        <v>0.34906767606171601</v>
      </c>
      <c r="BZ1556" s="129">
        <f>VLOOKUP($D1556,WGI!$C$2:$O$478,2,FALSE)</f>
        <v>-0.20419570946809601</v>
      </c>
      <c r="CB1556" s="129"/>
    </row>
    <row r="1557" spans="1:80" s="120" customFormat="1" ht="15" customHeight="1">
      <c r="A1557" s="294" t="s">
        <v>454</v>
      </c>
      <c r="B1557" s="117">
        <v>2008</v>
      </c>
      <c r="C1557" s="117" t="s">
        <v>449</v>
      </c>
      <c r="D1557" s="117" t="s">
        <v>3609</v>
      </c>
      <c r="E1557" s="452" t="s">
        <v>220</v>
      </c>
      <c r="F1557" s="117"/>
      <c r="G1557" s="120" t="s">
        <v>24</v>
      </c>
      <c r="H1557" s="117" t="str">
        <f t="shared" si="261"/>
        <v>yes</v>
      </c>
      <c r="I1557" s="117" t="str">
        <f t="shared" si="263"/>
        <v>no</v>
      </c>
      <c r="J1557" s="117" t="str">
        <f t="shared" si="264"/>
        <v>no</v>
      </c>
      <c r="K1557" s="117" t="s">
        <v>2031</v>
      </c>
      <c r="L1557" s="117" t="str">
        <f t="shared" si="262"/>
        <v>detailed</v>
      </c>
      <c r="M1557" s="117" t="str">
        <f t="shared" si="265"/>
        <v>detailed Mining</v>
      </c>
      <c r="N1557" s="118"/>
      <c r="O1557" s="118"/>
      <c r="P1557" s="118"/>
      <c r="Q1557" s="118"/>
      <c r="R1557" s="118"/>
      <c r="S1557" s="117"/>
      <c r="T1557" s="119"/>
      <c r="U1557" s="117"/>
      <c r="V1557" s="117"/>
      <c r="W1557" s="89"/>
      <c r="X1557" s="117"/>
      <c r="AA1557" s="89"/>
      <c r="AB1557" s="89"/>
      <c r="AC1557" s="240"/>
      <c r="AD1557" s="240"/>
      <c r="AE1557" s="240"/>
      <c r="AF1557" s="241"/>
      <c r="AH1557" s="124"/>
      <c r="AI1557" s="117"/>
      <c r="AJ1557" s="117"/>
      <c r="AK1557" s="89"/>
      <c r="AL1557" s="117"/>
      <c r="AM1557" s="117"/>
      <c r="AN1557" s="117"/>
      <c r="AO1557" s="117"/>
      <c r="AP1557" s="117"/>
      <c r="AQ1557" s="117"/>
      <c r="AR1557" s="117"/>
      <c r="AS1557" s="117"/>
      <c r="AT1557" s="117"/>
      <c r="AU1557" s="117"/>
      <c r="AV1557" s="128"/>
      <c r="AW1557" s="117">
        <f>VLOOKUP($D1557,'WB Data'!$C$3:$M$578,2,FALSE)</f>
        <v>121571548180.02281</v>
      </c>
      <c r="AX1557" s="117">
        <f>VLOOKUP($D1557,'WB Data'!$C$3:$M$578,3,FALSE)</f>
        <v>28625628</v>
      </c>
      <c r="AY1557" s="847">
        <f t="shared" si="267"/>
        <v>2.9395836535923269E-2</v>
      </c>
      <c r="AZ1557" s="117">
        <f>VLOOKUP($D1557,'WB Data'!$C$3:$M$578,4,FALSE)/100</f>
        <v>0.20973667240502653</v>
      </c>
      <c r="BA1557" s="117">
        <f t="shared" si="268"/>
        <v>25498011974.405342</v>
      </c>
      <c r="BB1557" s="129">
        <f>IFERROR(VLOOKUP($D1557,'EITI Revenues'!$C$2:$G$224,5,FALSE),"..")</f>
        <v>3573697357.7190704</v>
      </c>
      <c r="BC1557" s="846">
        <f t="shared" si="269"/>
        <v>0.14015592122657694</v>
      </c>
      <c r="BD1557" s="129">
        <f>VLOOKUP($D1557,'WB Data 2'!$C$2:$K$545,6,FALSE)</f>
        <v>19689907936.979385</v>
      </c>
      <c r="BE1557" s="129">
        <f>IFERROR(VLOOKUP($D1557,UNCTAD!$C$5:$V$529,4,FALSE),"..")</f>
        <v>34667290000</v>
      </c>
      <c r="BF1557" s="846">
        <f t="shared" si="270"/>
        <v>0.5679679010669535</v>
      </c>
      <c r="BG1557" s="117">
        <f>VLOOKUP($D1557,'WB Data'!$C$3:$M$578,5,FALSE)</f>
        <v>463020000</v>
      </c>
      <c r="BH1557" s="129">
        <f>IFERROR($BB1557/$BG1557,"..")</f>
        <v>7.7182354060711642</v>
      </c>
      <c r="BI1557" s="117">
        <f>IFERROR(VLOOKUP($D1557,'WB Data'!$C$3:$M$578,7,FALSE)/100,"..")</f>
        <v>2.6741899999999999E-2</v>
      </c>
      <c r="BJ1557" s="117">
        <f>IFERROR($BI1557*$AW1557,"..")</f>
        <v>3251054184.275352</v>
      </c>
      <c r="BK1557" s="846">
        <f>IFERROR($BB1557/$BJ1557,"..")</f>
        <v>1.0992426318220945</v>
      </c>
      <c r="BL1557" s="117">
        <f>IFERROR(VLOOKUP($D1557,'WB Data'!$C$3:$M$578,7,FALSE)/100,"..")</f>
        <v>2.6741899999999999E-2</v>
      </c>
      <c r="BM1557" s="117">
        <f>IFERROR($AW1557*$BL1557,"..")</f>
        <v>3251054184.275352</v>
      </c>
      <c r="BN1557" s="846">
        <f>IFERROR($BB1557/$BM1557,"..")</f>
        <v>1.0992426318220945</v>
      </c>
      <c r="BO1557" s="801">
        <f t="shared" si="266"/>
        <v>38</v>
      </c>
      <c r="BP1557" s="117">
        <f>VLOOKUP($D1557,'WB Data'!$C$3:$M$578,9,FALSE)</f>
        <v>37.299999999999997</v>
      </c>
      <c r="BQ1557" s="117">
        <f>VLOOKUP($D1557,'WB Data'!$C$3:$M$578,10,FALSE)</f>
        <v>73.307292682926828</v>
      </c>
      <c r="BR1557" s="117">
        <f>VLOOKUP($D1557,'WB Data'!$C$3:$M$578,11,FALSE)</f>
        <v>17.399999999999999</v>
      </c>
      <c r="BS1557" s="129">
        <f>IFERROR(VLOOKUP($D1557,'WB Data 2'!$C$2:$K$545,9,FALSE),"..")</f>
        <v>97.638440000000003</v>
      </c>
      <c r="BT1557" s="129">
        <f>_xlfn.IFNA(VLOOKUP($C1557,RGI!$A$2:$C$43,2,FALSE),"..")</f>
        <v>76.8</v>
      </c>
      <c r="BU1557" s="129">
        <f>_xlfn.IFNA(VLOOKUP($C1557,RGI!$A$2:$C$43,3,FALSE),"..")</f>
        <v>72.816147461462435</v>
      </c>
      <c r="BV1557" s="129">
        <f>VLOOKUP($D1557,WGI!$C$2:$O$478,7,FALSE)</f>
        <v>0.102797518483968</v>
      </c>
      <c r="BW1557" s="129">
        <f>VLOOKUP($D1557,WGI!$C$2:$O$478,4,FALSE)</f>
        <v>-0.89730607728999101</v>
      </c>
      <c r="BX1557" s="129">
        <f>VLOOKUP($D1557,WGI!$C$2:$O$478,3,FALSE)</f>
        <v>-0.35724068854121799</v>
      </c>
      <c r="BY1557" s="129">
        <f>VLOOKUP($D1557,WGI!$C$2:$O$478,5,FALSE)</f>
        <v>0.34906767606171601</v>
      </c>
      <c r="BZ1557" s="129">
        <f>VLOOKUP($D1557,WGI!$C$2:$O$478,2,FALSE)</f>
        <v>-0.20419570946809601</v>
      </c>
      <c r="CB1557" s="129"/>
    </row>
    <row r="1558" spans="1:80" s="120" customFormat="1" ht="15" customHeight="1">
      <c r="A1558" s="294" t="s">
        <v>454</v>
      </c>
      <c r="B1558" s="117">
        <v>2008</v>
      </c>
      <c r="C1558" s="117" t="s">
        <v>449</v>
      </c>
      <c r="D1558" s="117" t="s">
        <v>3609</v>
      </c>
      <c r="E1558" s="452" t="s">
        <v>220</v>
      </c>
      <c r="F1558" s="117"/>
      <c r="G1558" s="120" t="s">
        <v>24</v>
      </c>
      <c r="H1558" s="117" t="str">
        <f t="shared" si="261"/>
        <v>yes</v>
      </c>
      <c r="I1558" s="117" t="str">
        <f t="shared" si="263"/>
        <v>no</v>
      </c>
      <c r="J1558" s="117" t="str">
        <f t="shared" si="264"/>
        <v>no</v>
      </c>
      <c r="K1558" s="117" t="s">
        <v>2090</v>
      </c>
      <c r="L1558" s="117" t="str">
        <f t="shared" si="262"/>
        <v>detailed</v>
      </c>
      <c r="M1558" s="117" t="str">
        <f t="shared" si="265"/>
        <v>detailed Mining</v>
      </c>
      <c r="N1558" s="118"/>
      <c r="O1558" s="118"/>
      <c r="P1558" s="118"/>
      <c r="Q1558" s="118"/>
      <c r="R1558" s="118"/>
      <c r="S1558" s="117"/>
      <c r="T1558" s="119"/>
      <c r="U1558" s="117"/>
      <c r="V1558" s="117"/>
      <c r="W1558" s="89"/>
      <c r="X1558" s="117"/>
      <c r="AA1558" s="89"/>
      <c r="AB1558" s="89"/>
      <c r="AC1558" s="240"/>
      <c r="AD1558" s="240"/>
      <c r="AE1558" s="240"/>
      <c r="AF1558" s="241"/>
      <c r="AH1558" s="124"/>
      <c r="AI1558" s="117"/>
      <c r="AJ1558" s="117"/>
      <c r="AK1558" s="89"/>
      <c r="AL1558" s="117"/>
      <c r="AM1558" s="117"/>
      <c r="AN1558" s="117"/>
      <c r="AO1558" s="117"/>
      <c r="AP1558" s="117"/>
      <c r="AQ1558" s="117"/>
      <c r="AR1558" s="117"/>
      <c r="AS1558" s="117"/>
      <c r="AT1558" s="117"/>
      <c r="AU1558" s="117"/>
      <c r="AV1558" s="128"/>
      <c r="AW1558" s="117">
        <f>VLOOKUP($D1558,'WB Data'!$C$3:$M$578,2,FALSE)</f>
        <v>121571548180.02281</v>
      </c>
      <c r="AX1558" s="117">
        <f>VLOOKUP($D1558,'WB Data'!$C$3:$M$578,3,FALSE)</f>
        <v>28625628</v>
      </c>
      <c r="AY1558" s="847">
        <f t="shared" si="267"/>
        <v>2.9395836535923269E-2</v>
      </c>
      <c r="AZ1558" s="117">
        <f>VLOOKUP($D1558,'WB Data'!$C$3:$M$578,4,FALSE)/100</f>
        <v>0.20973667240502653</v>
      </c>
      <c r="BA1558" s="117">
        <f t="shared" si="268"/>
        <v>25498011974.405342</v>
      </c>
      <c r="BB1558" s="129">
        <f>IFERROR(VLOOKUP($D1558,'EITI Revenues'!$C$2:$G$224,5,FALSE),"..")</f>
        <v>3573697357.7190704</v>
      </c>
      <c r="BC1558" s="846">
        <f t="shared" si="269"/>
        <v>0.14015592122657694</v>
      </c>
      <c r="BD1558" s="129">
        <f>VLOOKUP($D1558,'WB Data 2'!$C$2:$K$545,6,FALSE)</f>
        <v>19689907936.979385</v>
      </c>
      <c r="BE1558" s="129">
        <f>IFERROR(VLOOKUP($D1558,UNCTAD!$C$5:$V$529,4,FALSE),"..")</f>
        <v>34667290000</v>
      </c>
      <c r="BF1558" s="846">
        <f t="shared" si="270"/>
        <v>0.5679679010669535</v>
      </c>
      <c r="BG1558" s="117">
        <f>VLOOKUP($D1558,'WB Data'!$C$3:$M$578,5,FALSE)</f>
        <v>463020000</v>
      </c>
      <c r="BH1558" s="129">
        <f>IFERROR($BB1558/$BG1558,"..")</f>
        <v>7.7182354060711642</v>
      </c>
      <c r="BI1558" s="117">
        <f>IFERROR(VLOOKUP($D1558,'WB Data'!$C$3:$M$578,7,FALSE)/100,"..")</f>
        <v>2.6741899999999999E-2</v>
      </c>
      <c r="BJ1558" s="117">
        <f>IFERROR($BI1558*$AW1558,"..")</f>
        <v>3251054184.275352</v>
      </c>
      <c r="BK1558" s="846">
        <f>IFERROR($BB1558/$BJ1558,"..")</f>
        <v>1.0992426318220945</v>
      </c>
      <c r="BL1558" s="117">
        <f>IFERROR(VLOOKUP($D1558,'WB Data'!$C$3:$M$578,7,FALSE)/100,"..")</f>
        <v>2.6741899999999999E-2</v>
      </c>
      <c r="BM1558" s="117">
        <f>IFERROR($AW1558*$BL1558,"..")</f>
        <v>3251054184.275352</v>
      </c>
      <c r="BN1558" s="846">
        <f>IFERROR($BB1558/$BM1558,"..")</f>
        <v>1.0992426318220945</v>
      </c>
      <c r="BO1558" s="801">
        <f t="shared" si="266"/>
        <v>38</v>
      </c>
      <c r="BP1558" s="117">
        <f>VLOOKUP($D1558,'WB Data'!$C$3:$M$578,9,FALSE)</f>
        <v>37.299999999999997</v>
      </c>
      <c r="BQ1558" s="117">
        <f>VLOOKUP($D1558,'WB Data'!$C$3:$M$578,10,FALSE)</f>
        <v>73.307292682926828</v>
      </c>
      <c r="BR1558" s="117">
        <f>VLOOKUP($D1558,'WB Data'!$C$3:$M$578,11,FALSE)</f>
        <v>17.399999999999999</v>
      </c>
      <c r="BS1558" s="129">
        <f>IFERROR(VLOOKUP($D1558,'WB Data 2'!$C$2:$K$545,9,FALSE),"..")</f>
        <v>97.638440000000003</v>
      </c>
      <c r="BT1558" s="129">
        <f>_xlfn.IFNA(VLOOKUP($C1558,RGI!$A$2:$C$43,2,FALSE),"..")</f>
        <v>76.8</v>
      </c>
      <c r="BU1558" s="129">
        <f>_xlfn.IFNA(VLOOKUP($C1558,RGI!$A$2:$C$43,3,FALSE),"..")</f>
        <v>72.816147461462435</v>
      </c>
      <c r="BV1558" s="129">
        <f>VLOOKUP($D1558,WGI!$C$2:$O$478,7,FALSE)</f>
        <v>0.102797518483968</v>
      </c>
      <c r="BW1558" s="129">
        <f>VLOOKUP($D1558,WGI!$C$2:$O$478,4,FALSE)</f>
        <v>-0.89730607728999101</v>
      </c>
      <c r="BX1558" s="129">
        <f>VLOOKUP($D1558,WGI!$C$2:$O$478,3,FALSE)</f>
        <v>-0.35724068854121799</v>
      </c>
      <c r="BY1558" s="129">
        <f>VLOOKUP($D1558,WGI!$C$2:$O$478,5,FALSE)</f>
        <v>0.34906767606171601</v>
      </c>
      <c r="BZ1558" s="129">
        <f>VLOOKUP($D1558,WGI!$C$2:$O$478,2,FALSE)</f>
        <v>-0.20419570946809601</v>
      </c>
      <c r="CB1558" s="129"/>
    </row>
    <row r="1559" spans="1:80" s="120" customFormat="1" ht="15" customHeight="1">
      <c r="A1559" s="294" t="s">
        <v>454</v>
      </c>
      <c r="B1559" s="117">
        <v>2008</v>
      </c>
      <c r="C1559" s="117" t="s">
        <v>449</v>
      </c>
      <c r="D1559" s="117" t="s">
        <v>3609</v>
      </c>
      <c r="E1559" s="452" t="s">
        <v>220</v>
      </c>
      <c r="F1559" s="117"/>
      <c r="G1559" s="120" t="s">
        <v>24</v>
      </c>
      <c r="H1559" s="117" t="str">
        <f t="shared" si="261"/>
        <v>yes</v>
      </c>
      <c r="I1559" s="117" t="str">
        <f t="shared" si="263"/>
        <v>no</v>
      </c>
      <c r="J1559" s="117" t="str">
        <f t="shared" si="264"/>
        <v>no</v>
      </c>
      <c r="K1559" s="117" t="s">
        <v>2091</v>
      </c>
      <c r="L1559" s="117" t="str">
        <f t="shared" si="262"/>
        <v>detailed</v>
      </c>
      <c r="M1559" s="117" t="str">
        <f t="shared" si="265"/>
        <v>detailed Mining</v>
      </c>
      <c r="N1559" s="118"/>
      <c r="O1559" s="118"/>
      <c r="P1559" s="118"/>
      <c r="Q1559" s="118"/>
      <c r="R1559" s="118"/>
      <c r="S1559" s="117"/>
      <c r="T1559" s="119"/>
      <c r="U1559" s="117"/>
      <c r="V1559" s="117"/>
      <c r="W1559" s="89"/>
      <c r="X1559" s="117"/>
      <c r="AA1559" s="89"/>
      <c r="AB1559" s="89"/>
      <c r="AC1559" s="240"/>
      <c r="AD1559" s="240"/>
      <c r="AE1559" s="240"/>
      <c r="AF1559" s="241"/>
      <c r="AH1559" s="124"/>
      <c r="AI1559" s="117"/>
      <c r="AJ1559" s="117"/>
      <c r="AK1559" s="89"/>
      <c r="AL1559" s="117"/>
      <c r="AM1559" s="117"/>
      <c r="AN1559" s="117"/>
      <c r="AO1559" s="117"/>
      <c r="AP1559" s="117"/>
      <c r="AQ1559" s="117"/>
      <c r="AR1559" s="117"/>
      <c r="AS1559" s="117"/>
      <c r="AT1559" s="117"/>
      <c r="AU1559" s="117"/>
      <c r="AV1559" s="128"/>
      <c r="AW1559" s="117">
        <f>VLOOKUP($D1559,'WB Data'!$C$3:$M$578,2,FALSE)</f>
        <v>121571548180.02281</v>
      </c>
      <c r="AX1559" s="117">
        <f>VLOOKUP($D1559,'WB Data'!$C$3:$M$578,3,FALSE)</f>
        <v>28625628</v>
      </c>
      <c r="AY1559" s="847">
        <f t="shared" si="267"/>
        <v>2.9395836535923269E-2</v>
      </c>
      <c r="AZ1559" s="117">
        <f>VLOOKUP($D1559,'WB Data'!$C$3:$M$578,4,FALSE)/100</f>
        <v>0.20973667240502653</v>
      </c>
      <c r="BA1559" s="117">
        <f t="shared" si="268"/>
        <v>25498011974.405342</v>
      </c>
      <c r="BB1559" s="129">
        <f>IFERROR(VLOOKUP($D1559,'EITI Revenues'!$C$2:$G$224,5,FALSE),"..")</f>
        <v>3573697357.7190704</v>
      </c>
      <c r="BC1559" s="846">
        <f t="shared" si="269"/>
        <v>0.14015592122657694</v>
      </c>
      <c r="BD1559" s="129">
        <f>VLOOKUP($D1559,'WB Data 2'!$C$2:$K$545,6,FALSE)</f>
        <v>19689907936.979385</v>
      </c>
      <c r="BE1559" s="129">
        <f>IFERROR(VLOOKUP($D1559,UNCTAD!$C$5:$V$529,4,FALSE),"..")</f>
        <v>34667290000</v>
      </c>
      <c r="BF1559" s="846">
        <f t="shared" si="270"/>
        <v>0.5679679010669535</v>
      </c>
      <c r="BG1559" s="117">
        <f>VLOOKUP($D1559,'WB Data'!$C$3:$M$578,5,FALSE)</f>
        <v>463020000</v>
      </c>
      <c r="BH1559" s="129">
        <f>IFERROR($BB1559/$BG1559,"..")</f>
        <v>7.7182354060711642</v>
      </c>
      <c r="BI1559" s="117">
        <f>IFERROR(VLOOKUP($D1559,'WB Data'!$C$3:$M$578,7,FALSE)/100,"..")</f>
        <v>2.6741899999999999E-2</v>
      </c>
      <c r="BJ1559" s="117">
        <f>IFERROR($BI1559*$AW1559,"..")</f>
        <v>3251054184.275352</v>
      </c>
      <c r="BK1559" s="846">
        <f>IFERROR($BB1559/$BJ1559,"..")</f>
        <v>1.0992426318220945</v>
      </c>
      <c r="BL1559" s="117">
        <f>IFERROR(VLOOKUP($D1559,'WB Data'!$C$3:$M$578,7,FALSE)/100,"..")</f>
        <v>2.6741899999999999E-2</v>
      </c>
      <c r="BM1559" s="117">
        <f>IFERROR($AW1559*$BL1559,"..")</f>
        <v>3251054184.275352</v>
      </c>
      <c r="BN1559" s="846">
        <f>IFERROR($BB1559/$BM1559,"..")</f>
        <v>1.0992426318220945</v>
      </c>
      <c r="BO1559" s="801">
        <f t="shared" si="266"/>
        <v>38</v>
      </c>
      <c r="BP1559" s="117">
        <f>VLOOKUP($D1559,'WB Data'!$C$3:$M$578,9,FALSE)</f>
        <v>37.299999999999997</v>
      </c>
      <c r="BQ1559" s="117">
        <f>VLOOKUP($D1559,'WB Data'!$C$3:$M$578,10,FALSE)</f>
        <v>73.307292682926828</v>
      </c>
      <c r="BR1559" s="117">
        <f>VLOOKUP($D1559,'WB Data'!$C$3:$M$578,11,FALSE)</f>
        <v>17.399999999999999</v>
      </c>
      <c r="BS1559" s="129">
        <f>IFERROR(VLOOKUP($D1559,'WB Data 2'!$C$2:$K$545,9,FALSE),"..")</f>
        <v>97.638440000000003</v>
      </c>
      <c r="BT1559" s="129">
        <f>_xlfn.IFNA(VLOOKUP($C1559,RGI!$A$2:$C$43,2,FALSE),"..")</f>
        <v>76.8</v>
      </c>
      <c r="BU1559" s="129">
        <f>_xlfn.IFNA(VLOOKUP($C1559,RGI!$A$2:$C$43,3,FALSE),"..")</f>
        <v>72.816147461462435</v>
      </c>
      <c r="BV1559" s="129">
        <f>VLOOKUP($D1559,WGI!$C$2:$O$478,7,FALSE)</f>
        <v>0.102797518483968</v>
      </c>
      <c r="BW1559" s="129">
        <f>VLOOKUP($D1559,WGI!$C$2:$O$478,4,FALSE)</f>
        <v>-0.89730607728999101</v>
      </c>
      <c r="BX1559" s="129">
        <f>VLOOKUP($D1559,WGI!$C$2:$O$478,3,FALSE)</f>
        <v>-0.35724068854121799</v>
      </c>
      <c r="BY1559" s="129">
        <f>VLOOKUP($D1559,WGI!$C$2:$O$478,5,FALSE)</f>
        <v>0.34906767606171601</v>
      </c>
      <c r="BZ1559" s="129">
        <f>VLOOKUP($D1559,WGI!$C$2:$O$478,2,FALSE)</f>
        <v>-0.20419570946809601</v>
      </c>
      <c r="CB1559" s="129"/>
    </row>
    <row r="1560" spans="1:80" s="120" customFormat="1" ht="15" customHeight="1">
      <c r="A1560" s="294" t="s">
        <v>454</v>
      </c>
      <c r="B1560" s="117">
        <v>2008</v>
      </c>
      <c r="C1560" s="117" t="s">
        <v>449</v>
      </c>
      <c r="D1560" s="117" t="s">
        <v>3609</v>
      </c>
      <c r="E1560" s="452" t="s">
        <v>220</v>
      </c>
      <c r="F1560" s="117"/>
      <c r="G1560" s="120" t="s">
        <v>24</v>
      </c>
      <c r="H1560" s="117" t="str">
        <f t="shared" si="261"/>
        <v>yes</v>
      </c>
      <c r="I1560" s="117" t="str">
        <f t="shared" si="263"/>
        <v>no</v>
      </c>
      <c r="J1560" s="117" t="str">
        <f t="shared" si="264"/>
        <v>no</v>
      </c>
      <c r="K1560" s="117" t="s">
        <v>609</v>
      </c>
      <c r="L1560" s="117" t="str">
        <f t="shared" si="262"/>
        <v>detailed</v>
      </c>
      <c r="M1560" s="117" t="str">
        <f t="shared" si="265"/>
        <v>detailed Mining</v>
      </c>
      <c r="N1560" s="118"/>
      <c r="O1560" s="118"/>
      <c r="P1560" s="118"/>
      <c r="Q1560" s="118"/>
      <c r="R1560" s="118"/>
      <c r="S1560" s="117"/>
      <c r="T1560" s="119"/>
      <c r="U1560" s="117"/>
      <c r="V1560" s="117"/>
      <c r="W1560" s="89"/>
      <c r="X1560" s="117"/>
      <c r="AA1560" s="89"/>
      <c r="AB1560" s="89"/>
      <c r="AC1560" s="240"/>
      <c r="AD1560" s="240"/>
      <c r="AE1560" s="240"/>
      <c r="AF1560" s="241"/>
      <c r="AH1560" s="124"/>
      <c r="AI1560" s="117"/>
      <c r="AJ1560" s="117"/>
      <c r="AK1560" s="89"/>
      <c r="AL1560" s="117"/>
      <c r="AM1560" s="117"/>
      <c r="AN1560" s="117"/>
      <c r="AO1560" s="117"/>
      <c r="AP1560" s="117"/>
      <c r="AQ1560" s="117"/>
      <c r="AR1560" s="117"/>
      <c r="AS1560" s="117"/>
      <c r="AT1560" s="117"/>
      <c r="AU1560" s="117"/>
      <c r="AV1560" s="128"/>
      <c r="AW1560" s="117">
        <f>VLOOKUP($D1560,'WB Data'!$C$3:$M$578,2,FALSE)</f>
        <v>121571548180.02281</v>
      </c>
      <c r="AX1560" s="117">
        <f>VLOOKUP($D1560,'WB Data'!$C$3:$M$578,3,FALSE)</f>
        <v>28625628</v>
      </c>
      <c r="AY1560" s="847">
        <f t="shared" si="267"/>
        <v>2.9395836535923269E-2</v>
      </c>
      <c r="AZ1560" s="117">
        <f>VLOOKUP($D1560,'WB Data'!$C$3:$M$578,4,FALSE)/100</f>
        <v>0.20973667240502653</v>
      </c>
      <c r="BA1560" s="117">
        <f t="shared" si="268"/>
        <v>25498011974.405342</v>
      </c>
      <c r="BB1560" s="129">
        <f>IFERROR(VLOOKUP($D1560,'EITI Revenues'!$C$2:$G$224,5,FALSE),"..")</f>
        <v>3573697357.7190704</v>
      </c>
      <c r="BC1560" s="846">
        <f t="shared" si="269"/>
        <v>0.14015592122657694</v>
      </c>
      <c r="BD1560" s="129">
        <f>VLOOKUP($D1560,'WB Data 2'!$C$2:$K$545,6,FALSE)</f>
        <v>19689907936.979385</v>
      </c>
      <c r="BE1560" s="129">
        <f>IFERROR(VLOOKUP($D1560,UNCTAD!$C$5:$V$529,4,FALSE),"..")</f>
        <v>34667290000</v>
      </c>
      <c r="BF1560" s="846">
        <f t="shared" si="270"/>
        <v>0.5679679010669535</v>
      </c>
      <c r="BG1560" s="117">
        <f>VLOOKUP($D1560,'WB Data'!$C$3:$M$578,5,FALSE)</f>
        <v>463020000</v>
      </c>
      <c r="BH1560" s="129">
        <f>IFERROR($BB1560/$BG1560,"..")</f>
        <v>7.7182354060711642</v>
      </c>
      <c r="BI1560" s="117">
        <f>IFERROR(VLOOKUP($D1560,'WB Data'!$C$3:$M$578,7,FALSE)/100,"..")</f>
        <v>2.6741899999999999E-2</v>
      </c>
      <c r="BJ1560" s="117">
        <f>IFERROR($BI1560*$AW1560,"..")</f>
        <v>3251054184.275352</v>
      </c>
      <c r="BK1560" s="846">
        <f>IFERROR($BB1560/$BJ1560,"..")</f>
        <v>1.0992426318220945</v>
      </c>
      <c r="BL1560" s="117">
        <f>IFERROR(VLOOKUP($D1560,'WB Data'!$C$3:$M$578,7,FALSE)/100,"..")</f>
        <v>2.6741899999999999E-2</v>
      </c>
      <c r="BM1560" s="117">
        <f>IFERROR($AW1560*$BL1560,"..")</f>
        <v>3251054184.275352</v>
      </c>
      <c r="BN1560" s="846">
        <f>IFERROR($BB1560/$BM1560,"..")</f>
        <v>1.0992426318220945</v>
      </c>
      <c r="BO1560" s="801">
        <f t="shared" si="266"/>
        <v>38</v>
      </c>
      <c r="BP1560" s="117">
        <f>VLOOKUP($D1560,'WB Data'!$C$3:$M$578,9,FALSE)</f>
        <v>37.299999999999997</v>
      </c>
      <c r="BQ1560" s="117">
        <f>VLOOKUP($D1560,'WB Data'!$C$3:$M$578,10,FALSE)</f>
        <v>73.307292682926828</v>
      </c>
      <c r="BR1560" s="117">
        <f>VLOOKUP($D1560,'WB Data'!$C$3:$M$578,11,FALSE)</f>
        <v>17.399999999999999</v>
      </c>
      <c r="BS1560" s="129">
        <f>IFERROR(VLOOKUP($D1560,'WB Data 2'!$C$2:$K$545,9,FALSE),"..")</f>
        <v>97.638440000000003</v>
      </c>
      <c r="BT1560" s="129">
        <f>_xlfn.IFNA(VLOOKUP($C1560,RGI!$A$2:$C$43,2,FALSE),"..")</f>
        <v>76.8</v>
      </c>
      <c r="BU1560" s="129">
        <f>_xlfn.IFNA(VLOOKUP($C1560,RGI!$A$2:$C$43,3,FALSE),"..")</f>
        <v>72.816147461462435</v>
      </c>
      <c r="BV1560" s="129">
        <f>VLOOKUP($D1560,WGI!$C$2:$O$478,7,FALSE)</f>
        <v>0.102797518483968</v>
      </c>
      <c r="BW1560" s="129">
        <f>VLOOKUP($D1560,WGI!$C$2:$O$478,4,FALSE)</f>
        <v>-0.89730607728999101</v>
      </c>
      <c r="BX1560" s="129">
        <f>VLOOKUP($D1560,WGI!$C$2:$O$478,3,FALSE)</f>
        <v>-0.35724068854121799</v>
      </c>
      <c r="BY1560" s="129">
        <f>VLOOKUP($D1560,WGI!$C$2:$O$478,5,FALSE)</f>
        <v>0.34906767606171601</v>
      </c>
      <c r="BZ1560" s="129">
        <f>VLOOKUP($D1560,WGI!$C$2:$O$478,2,FALSE)</f>
        <v>-0.20419570946809601</v>
      </c>
      <c r="CB1560" s="129"/>
    </row>
    <row r="1561" spans="1:80" s="120" customFormat="1" ht="15" customHeight="1">
      <c r="A1561" s="294" t="s">
        <v>454</v>
      </c>
      <c r="B1561" s="117">
        <v>2008</v>
      </c>
      <c r="C1561" s="117" t="s">
        <v>449</v>
      </c>
      <c r="D1561" s="117" t="s">
        <v>3609</v>
      </c>
      <c r="E1561" s="452" t="s">
        <v>220</v>
      </c>
      <c r="F1561" s="117"/>
      <c r="G1561" s="120" t="s">
        <v>24</v>
      </c>
      <c r="H1561" s="117" t="str">
        <f t="shared" si="261"/>
        <v>yes</v>
      </c>
      <c r="I1561" s="117" t="str">
        <f t="shared" si="263"/>
        <v>no</v>
      </c>
      <c r="J1561" s="117" t="str">
        <f t="shared" si="264"/>
        <v>no</v>
      </c>
      <c r="K1561" s="117" t="s">
        <v>2092</v>
      </c>
      <c r="L1561" s="117" t="str">
        <f t="shared" si="262"/>
        <v>detailed</v>
      </c>
      <c r="M1561" s="117" t="str">
        <f t="shared" si="265"/>
        <v>detailed Mining</v>
      </c>
      <c r="N1561" s="118"/>
      <c r="O1561" s="118"/>
      <c r="P1561" s="118"/>
      <c r="Q1561" s="118"/>
      <c r="R1561" s="118"/>
      <c r="S1561" s="117"/>
      <c r="T1561" s="119"/>
      <c r="U1561" s="117"/>
      <c r="V1561" s="117"/>
      <c r="W1561" s="89"/>
      <c r="X1561" s="117"/>
      <c r="AA1561" s="89"/>
      <c r="AB1561" s="89"/>
      <c r="AC1561" s="240"/>
      <c r="AD1561" s="240"/>
      <c r="AE1561" s="240"/>
      <c r="AF1561" s="241"/>
      <c r="AH1561" s="124"/>
      <c r="AI1561" s="117"/>
      <c r="AJ1561" s="117"/>
      <c r="AK1561" s="89"/>
      <c r="AL1561" s="117"/>
      <c r="AM1561" s="117"/>
      <c r="AN1561" s="117"/>
      <c r="AO1561" s="117"/>
      <c r="AP1561" s="117"/>
      <c r="AQ1561" s="117"/>
      <c r="AR1561" s="117"/>
      <c r="AS1561" s="117"/>
      <c r="AT1561" s="117"/>
      <c r="AU1561" s="117"/>
      <c r="AV1561" s="128"/>
      <c r="AW1561" s="117">
        <f>VLOOKUP($D1561,'WB Data'!$C$3:$M$578,2,FALSE)</f>
        <v>121571548180.02281</v>
      </c>
      <c r="AX1561" s="117">
        <f>VLOOKUP($D1561,'WB Data'!$C$3:$M$578,3,FALSE)</f>
        <v>28625628</v>
      </c>
      <c r="AY1561" s="847">
        <f t="shared" si="267"/>
        <v>2.9395836535923269E-2</v>
      </c>
      <c r="AZ1561" s="117">
        <f>VLOOKUP($D1561,'WB Data'!$C$3:$M$578,4,FALSE)/100</f>
        <v>0.20973667240502653</v>
      </c>
      <c r="BA1561" s="117">
        <f t="shared" si="268"/>
        <v>25498011974.405342</v>
      </c>
      <c r="BB1561" s="129">
        <f>IFERROR(VLOOKUP($D1561,'EITI Revenues'!$C$2:$G$224,5,FALSE),"..")</f>
        <v>3573697357.7190704</v>
      </c>
      <c r="BC1561" s="846">
        <f t="shared" si="269"/>
        <v>0.14015592122657694</v>
      </c>
      <c r="BD1561" s="129">
        <f>VLOOKUP($D1561,'WB Data 2'!$C$2:$K$545,6,FALSE)</f>
        <v>19689907936.979385</v>
      </c>
      <c r="BE1561" s="129">
        <f>IFERROR(VLOOKUP($D1561,UNCTAD!$C$5:$V$529,4,FALSE),"..")</f>
        <v>34667290000</v>
      </c>
      <c r="BF1561" s="846">
        <f t="shared" si="270"/>
        <v>0.5679679010669535</v>
      </c>
      <c r="BG1561" s="117">
        <f>VLOOKUP($D1561,'WB Data'!$C$3:$M$578,5,FALSE)</f>
        <v>463020000</v>
      </c>
      <c r="BH1561" s="129">
        <f>IFERROR($BB1561/$BG1561,"..")</f>
        <v>7.7182354060711642</v>
      </c>
      <c r="BI1561" s="117">
        <f>IFERROR(VLOOKUP($D1561,'WB Data'!$C$3:$M$578,7,FALSE)/100,"..")</f>
        <v>2.6741899999999999E-2</v>
      </c>
      <c r="BJ1561" s="117">
        <f>IFERROR($BI1561*$AW1561,"..")</f>
        <v>3251054184.275352</v>
      </c>
      <c r="BK1561" s="846">
        <f>IFERROR($BB1561/$BJ1561,"..")</f>
        <v>1.0992426318220945</v>
      </c>
      <c r="BL1561" s="117">
        <f>IFERROR(VLOOKUP($D1561,'WB Data'!$C$3:$M$578,7,FALSE)/100,"..")</f>
        <v>2.6741899999999999E-2</v>
      </c>
      <c r="BM1561" s="117">
        <f>IFERROR($AW1561*$BL1561,"..")</f>
        <v>3251054184.275352</v>
      </c>
      <c r="BN1561" s="846">
        <f>IFERROR($BB1561/$BM1561,"..")</f>
        <v>1.0992426318220945</v>
      </c>
      <c r="BO1561" s="801">
        <f t="shared" si="266"/>
        <v>38</v>
      </c>
      <c r="BP1561" s="117">
        <f>VLOOKUP($D1561,'WB Data'!$C$3:$M$578,9,FALSE)</f>
        <v>37.299999999999997</v>
      </c>
      <c r="BQ1561" s="117">
        <f>VLOOKUP($D1561,'WB Data'!$C$3:$M$578,10,FALSE)</f>
        <v>73.307292682926828</v>
      </c>
      <c r="BR1561" s="117">
        <f>VLOOKUP($D1561,'WB Data'!$C$3:$M$578,11,FALSE)</f>
        <v>17.399999999999999</v>
      </c>
      <c r="BS1561" s="129">
        <f>IFERROR(VLOOKUP($D1561,'WB Data 2'!$C$2:$K$545,9,FALSE),"..")</f>
        <v>97.638440000000003</v>
      </c>
      <c r="BT1561" s="129">
        <f>_xlfn.IFNA(VLOOKUP($C1561,RGI!$A$2:$C$43,2,FALSE),"..")</f>
        <v>76.8</v>
      </c>
      <c r="BU1561" s="129">
        <f>_xlfn.IFNA(VLOOKUP($C1561,RGI!$A$2:$C$43,3,FALSE),"..")</f>
        <v>72.816147461462435</v>
      </c>
      <c r="BV1561" s="129">
        <f>VLOOKUP($D1561,WGI!$C$2:$O$478,7,FALSE)</f>
        <v>0.102797518483968</v>
      </c>
      <c r="BW1561" s="129">
        <f>VLOOKUP($D1561,WGI!$C$2:$O$478,4,FALSE)</f>
        <v>-0.89730607728999101</v>
      </c>
      <c r="BX1561" s="129">
        <f>VLOOKUP($D1561,WGI!$C$2:$O$478,3,FALSE)</f>
        <v>-0.35724068854121799</v>
      </c>
      <c r="BY1561" s="129">
        <f>VLOOKUP($D1561,WGI!$C$2:$O$478,5,FALSE)</f>
        <v>0.34906767606171601</v>
      </c>
      <c r="BZ1561" s="129">
        <f>VLOOKUP($D1561,WGI!$C$2:$O$478,2,FALSE)</f>
        <v>-0.20419570946809601</v>
      </c>
      <c r="CB1561" s="129"/>
    </row>
    <row r="1562" spans="1:80" s="120" customFormat="1" ht="15" customHeight="1">
      <c r="A1562" s="294" t="s">
        <v>454</v>
      </c>
      <c r="B1562" s="117">
        <v>2008</v>
      </c>
      <c r="C1562" s="117" t="s">
        <v>449</v>
      </c>
      <c r="D1562" s="117" t="s">
        <v>3609</v>
      </c>
      <c r="E1562" s="452" t="s">
        <v>220</v>
      </c>
      <c r="F1562" s="117"/>
      <c r="G1562" s="120" t="s">
        <v>24</v>
      </c>
      <c r="H1562" s="117" t="str">
        <f t="shared" si="261"/>
        <v>yes</v>
      </c>
      <c r="I1562" s="117" t="str">
        <f t="shared" si="263"/>
        <v>no</v>
      </c>
      <c r="J1562" s="117" t="str">
        <f t="shared" si="264"/>
        <v>no</v>
      </c>
      <c r="K1562" s="117" t="s">
        <v>616</v>
      </c>
      <c r="L1562" s="117" t="str">
        <f t="shared" si="262"/>
        <v>detailed</v>
      </c>
      <c r="M1562" s="117" t="str">
        <f t="shared" si="265"/>
        <v>detailed Mining</v>
      </c>
      <c r="N1562" s="118"/>
      <c r="O1562" s="118"/>
      <c r="P1562" s="118"/>
      <c r="Q1562" s="118"/>
      <c r="R1562" s="118"/>
      <c r="S1562" s="117"/>
      <c r="T1562" s="119"/>
      <c r="U1562" s="117"/>
      <c r="V1562" s="117"/>
      <c r="W1562" s="89"/>
      <c r="X1562" s="117"/>
      <c r="AA1562" s="89"/>
      <c r="AB1562" s="89"/>
      <c r="AC1562" s="240"/>
      <c r="AD1562" s="240"/>
      <c r="AE1562" s="240"/>
      <c r="AF1562" s="241"/>
      <c r="AH1562" s="124"/>
      <c r="AI1562" s="117"/>
      <c r="AJ1562" s="117"/>
      <c r="AK1562" s="89"/>
      <c r="AL1562" s="117"/>
      <c r="AM1562" s="117"/>
      <c r="AN1562" s="117"/>
      <c r="AO1562" s="117"/>
      <c r="AP1562" s="117"/>
      <c r="AQ1562" s="117"/>
      <c r="AR1562" s="117"/>
      <c r="AS1562" s="117"/>
      <c r="AT1562" s="117"/>
      <c r="AU1562" s="117"/>
      <c r="AV1562" s="128"/>
      <c r="AW1562" s="117">
        <f>VLOOKUP($D1562,'WB Data'!$C$3:$M$578,2,FALSE)</f>
        <v>121571548180.02281</v>
      </c>
      <c r="AX1562" s="117">
        <f>VLOOKUP($D1562,'WB Data'!$C$3:$M$578,3,FALSE)</f>
        <v>28625628</v>
      </c>
      <c r="AY1562" s="847">
        <f t="shared" si="267"/>
        <v>2.9395836535923269E-2</v>
      </c>
      <c r="AZ1562" s="117">
        <f>VLOOKUP($D1562,'WB Data'!$C$3:$M$578,4,FALSE)/100</f>
        <v>0.20973667240502653</v>
      </c>
      <c r="BA1562" s="117">
        <f t="shared" si="268"/>
        <v>25498011974.405342</v>
      </c>
      <c r="BB1562" s="129">
        <f>IFERROR(VLOOKUP($D1562,'EITI Revenues'!$C$2:$G$224,5,FALSE),"..")</f>
        <v>3573697357.7190704</v>
      </c>
      <c r="BC1562" s="846">
        <f t="shared" si="269"/>
        <v>0.14015592122657694</v>
      </c>
      <c r="BD1562" s="129">
        <f>VLOOKUP($D1562,'WB Data 2'!$C$2:$K$545,6,FALSE)</f>
        <v>19689907936.979385</v>
      </c>
      <c r="BE1562" s="129">
        <f>IFERROR(VLOOKUP($D1562,UNCTAD!$C$5:$V$529,4,FALSE),"..")</f>
        <v>34667290000</v>
      </c>
      <c r="BF1562" s="846">
        <f t="shared" si="270"/>
        <v>0.5679679010669535</v>
      </c>
      <c r="BG1562" s="117">
        <f>VLOOKUP($D1562,'WB Data'!$C$3:$M$578,5,FALSE)</f>
        <v>463020000</v>
      </c>
      <c r="BH1562" s="129">
        <f>IFERROR($BB1562/$BG1562,"..")</f>
        <v>7.7182354060711642</v>
      </c>
      <c r="BI1562" s="117">
        <f>IFERROR(VLOOKUP($D1562,'WB Data'!$C$3:$M$578,7,FALSE)/100,"..")</f>
        <v>2.6741899999999999E-2</v>
      </c>
      <c r="BJ1562" s="117">
        <f>IFERROR($BI1562*$AW1562,"..")</f>
        <v>3251054184.275352</v>
      </c>
      <c r="BK1562" s="846">
        <f>IFERROR($BB1562/$BJ1562,"..")</f>
        <v>1.0992426318220945</v>
      </c>
      <c r="BL1562" s="117">
        <f>IFERROR(VLOOKUP($D1562,'WB Data'!$C$3:$M$578,7,FALSE)/100,"..")</f>
        <v>2.6741899999999999E-2</v>
      </c>
      <c r="BM1562" s="117">
        <f>IFERROR($AW1562*$BL1562,"..")</f>
        <v>3251054184.275352</v>
      </c>
      <c r="BN1562" s="846">
        <f>IFERROR($BB1562/$BM1562,"..")</f>
        <v>1.0992426318220945</v>
      </c>
      <c r="BO1562" s="801">
        <f t="shared" si="266"/>
        <v>38</v>
      </c>
      <c r="BP1562" s="117">
        <f>VLOOKUP($D1562,'WB Data'!$C$3:$M$578,9,FALSE)</f>
        <v>37.299999999999997</v>
      </c>
      <c r="BQ1562" s="117">
        <f>VLOOKUP($D1562,'WB Data'!$C$3:$M$578,10,FALSE)</f>
        <v>73.307292682926828</v>
      </c>
      <c r="BR1562" s="117">
        <f>VLOOKUP($D1562,'WB Data'!$C$3:$M$578,11,FALSE)</f>
        <v>17.399999999999999</v>
      </c>
      <c r="BS1562" s="129">
        <f>IFERROR(VLOOKUP($D1562,'WB Data 2'!$C$2:$K$545,9,FALSE),"..")</f>
        <v>97.638440000000003</v>
      </c>
      <c r="BT1562" s="129">
        <f>_xlfn.IFNA(VLOOKUP($C1562,RGI!$A$2:$C$43,2,FALSE),"..")</f>
        <v>76.8</v>
      </c>
      <c r="BU1562" s="129">
        <f>_xlfn.IFNA(VLOOKUP($C1562,RGI!$A$2:$C$43,3,FALSE),"..")</f>
        <v>72.816147461462435</v>
      </c>
      <c r="BV1562" s="129">
        <f>VLOOKUP($D1562,WGI!$C$2:$O$478,7,FALSE)</f>
        <v>0.102797518483968</v>
      </c>
      <c r="BW1562" s="129">
        <f>VLOOKUP($D1562,WGI!$C$2:$O$478,4,FALSE)</f>
        <v>-0.89730607728999101</v>
      </c>
      <c r="BX1562" s="129">
        <f>VLOOKUP($D1562,WGI!$C$2:$O$478,3,FALSE)</f>
        <v>-0.35724068854121799</v>
      </c>
      <c r="BY1562" s="129">
        <f>VLOOKUP($D1562,WGI!$C$2:$O$478,5,FALSE)</f>
        <v>0.34906767606171601</v>
      </c>
      <c r="BZ1562" s="129">
        <f>VLOOKUP($D1562,WGI!$C$2:$O$478,2,FALSE)</f>
        <v>-0.20419570946809601</v>
      </c>
      <c r="CB1562" s="129"/>
    </row>
    <row r="1563" spans="1:80" s="120" customFormat="1" ht="15" customHeight="1">
      <c r="A1563" s="294" t="s">
        <v>454</v>
      </c>
      <c r="B1563" s="117">
        <v>2008</v>
      </c>
      <c r="C1563" s="117" t="s">
        <v>449</v>
      </c>
      <c r="D1563" s="117" t="s">
        <v>3609</v>
      </c>
      <c r="E1563" s="452" t="s">
        <v>220</v>
      </c>
      <c r="F1563" s="117"/>
      <c r="G1563" s="120" t="s">
        <v>24</v>
      </c>
      <c r="H1563" s="117" t="str">
        <f t="shared" ref="H1563:H1626" si="271">IF($G1563="Mining","yes",IF($G1563="Oil, Gas, Mining","yes",IF($G1563="Gas, Mining","yes",IF($G1563="Oil, Mining","yes",IF($G1563="Oil, Mining, Other","yes","no")))))</f>
        <v>yes</v>
      </c>
      <c r="I1563" s="117" t="str">
        <f t="shared" si="263"/>
        <v>no</v>
      </c>
      <c r="J1563" s="117" t="str">
        <f t="shared" si="264"/>
        <v>no</v>
      </c>
      <c r="K1563" s="117" t="s">
        <v>2093</v>
      </c>
      <c r="L1563" s="117" t="str">
        <f t="shared" ref="L1563:L1626" si="272">IF(LEFT(K1563,5)="Total","Total","detailed")</f>
        <v>detailed</v>
      </c>
      <c r="M1563" s="117" t="str">
        <f t="shared" si="265"/>
        <v>detailed Mining</v>
      </c>
      <c r="N1563" s="118"/>
      <c r="O1563" s="118"/>
      <c r="P1563" s="118"/>
      <c r="Q1563" s="118"/>
      <c r="R1563" s="118"/>
      <c r="S1563" s="117"/>
      <c r="T1563" s="119"/>
      <c r="U1563" s="117"/>
      <c r="V1563" s="117"/>
      <c r="W1563" s="89"/>
      <c r="X1563" s="117"/>
      <c r="AA1563" s="89"/>
      <c r="AB1563" s="89"/>
      <c r="AC1563" s="240"/>
      <c r="AD1563" s="240"/>
      <c r="AE1563" s="240"/>
      <c r="AF1563" s="241"/>
      <c r="AH1563" s="124"/>
      <c r="AI1563" s="117"/>
      <c r="AJ1563" s="117"/>
      <c r="AK1563" s="89"/>
      <c r="AL1563" s="117"/>
      <c r="AM1563" s="117"/>
      <c r="AN1563" s="117"/>
      <c r="AO1563" s="117"/>
      <c r="AP1563" s="117"/>
      <c r="AQ1563" s="117"/>
      <c r="AR1563" s="117"/>
      <c r="AS1563" s="117"/>
      <c r="AT1563" s="117"/>
      <c r="AU1563" s="117"/>
      <c r="AV1563" s="128"/>
      <c r="AW1563" s="117">
        <f>VLOOKUP($D1563,'WB Data'!$C$3:$M$578,2,FALSE)</f>
        <v>121571548180.02281</v>
      </c>
      <c r="AX1563" s="117">
        <f>VLOOKUP($D1563,'WB Data'!$C$3:$M$578,3,FALSE)</f>
        <v>28625628</v>
      </c>
      <c r="AY1563" s="847">
        <f t="shared" si="267"/>
        <v>2.9395836535923269E-2</v>
      </c>
      <c r="AZ1563" s="117">
        <f>VLOOKUP($D1563,'WB Data'!$C$3:$M$578,4,FALSE)/100</f>
        <v>0.20973667240502653</v>
      </c>
      <c r="BA1563" s="117">
        <f t="shared" si="268"/>
        <v>25498011974.405342</v>
      </c>
      <c r="BB1563" s="129">
        <f>IFERROR(VLOOKUP($D1563,'EITI Revenues'!$C$2:$G$224,5,FALSE),"..")</f>
        <v>3573697357.7190704</v>
      </c>
      <c r="BC1563" s="846">
        <f t="shared" si="269"/>
        <v>0.14015592122657694</v>
      </c>
      <c r="BD1563" s="129">
        <f>VLOOKUP($D1563,'WB Data 2'!$C$2:$K$545,6,FALSE)</f>
        <v>19689907936.979385</v>
      </c>
      <c r="BE1563" s="129">
        <f>IFERROR(VLOOKUP($D1563,UNCTAD!$C$5:$V$529,4,FALSE),"..")</f>
        <v>34667290000</v>
      </c>
      <c r="BF1563" s="846">
        <f t="shared" si="270"/>
        <v>0.5679679010669535</v>
      </c>
      <c r="BG1563" s="117">
        <f>VLOOKUP($D1563,'WB Data'!$C$3:$M$578,5,FALSE)</f>
        <v>463020000</v>
      </c>
      <c r="BH1563" s="129">
        <f>IFERROR($BB1563/$BG1563,"..")</f>
        <v>7.7182354060711642</v>
      </c>
      <c r="BI1563" s="117">
        <f>IFERROR(VLOOKUP($D1563,'WB Data'!$C$3:$M$578,7,FALSE)/100,"..")</f>
        <v>2.6741899999999999E-2</v>
      </c>
      <c r="BJ1563" s="117">
        <f>IFERROR($BI1563*$AW1563,"..")</f>
        <v>3251054184.275352</v>
      </c>
      <c r="BK1563" s="846">
        <f>IFERROR($BB1563/$BJ1563,"..")</f>
        <v>1.0992426318220945</v>
      </c>
      <c r="BL1563" s="117">
        <f>IFERROR(VLOOKUP($D1563,'WB Data'!$C$3:$M$578,7,FALSE)/100,"..")</f>
        <v>2.6741899999999999E-2</v>
      </c>
      <c r="BM1563" s="117">
        <f>IFERROR($AW1563*$BL1563,"..")</f>
        <v>3251054184.275352</v>
      </c>
      <c r="BN1563" s="846">
        <f>IFERROR($BB1563/$BM1563,"..")</f>
        <v>1.0992426318220945</v>
      </c>
      <c r="BO1563" s="801">
        <f t="shared" si="266"/>
        <v>38</v>
      </c>
      <c r="BP1563" s="117">
        <f>VLOOKUP($D1563,'WB Data'!$C$3:$M$578,9,FALSE)</f>
        <v>37.299999999999997</v>
      </c>
      <c r="BQ1563" s="117">
        <f>VLOOKUP($D1563,'WB Data'!$C$3:$M$578,10,FALSE)</f>
        <v>73.307292682926828</v>
      </c>
      <c r="BR1563" s="117">
        <f>VLOOKUP($D1563,'WB Data'!$C$3:$M$578,11,FALSE)</f>
        <v>17.399999999999999</v>
      </c>
      <c r="BS1563" s="129">
        <f>IFERROR(VLOOKUP($D1563,'WB Data 2'!$C$2:$K$545,9,FALSE),"..")</f>
        <v>97.638440000000003</v>
      </c>
      <c r="BT1563" s="129">
        <f>_xlfn.IFNA(VLOOKUP($C1563,RGI!$A$2:$C$43,2,FALSE),"..")</f>
        <v>76.8</v>
      </c>
      <c r="BU1563" s="129">
        <f>_xlfn.IFNA(VLOOKUP($C1563,RGI!$A$2:$C$43,3,FALSE),"..")</f>
        <v>72.816147461462435</v>
      </c>
      <c r="BV1563" s="129">
        <f>VLOOKUP($D1563,WGI!$C$2:$O$478,7,FALSE)</f>
        <v>0.102797518483968</v>
      </c>
      <c r="BW1563" s="129">
        <f>VLOOKUP($D1563,WGI!$C$2:$O$478,4,FALSE)</f>
        <v>-0.89730607728999101</v>
      </c>
      <c r="BX1563" s="129">
        <f>VLOOKUP($D1563,WGI!$C$2:$O$478,3,FALSE)</f>
        <v>-0.35724068854121799</v>
      </c>
      <c r="BY1563" s="129">
        <f>VLOOKUP($D1563,WGI!$C$2:$O$478,5,FALSE)</f>
        <v>0.34906767606171601</v>
      </c>
      <c r="BZ1563" s="129">
        <f>VLOOKUP($D1563,WGI!$C$2:$O$478,2,FALSE)</f>
        <v>-0.20419570946809601</v>
      </c>
      <c r="CB1563" s="129"/>
    </row>
    <row r="1564" spans="1:80" s="120" customFormat="1" ht="15" customHeight="1">
      <c r="A1564" s="294" t="s">
        <v>454</v>
      </c>
      <c r="B1564" s="117">
        <v>2008</v>
      </c>
      <c r="C1564" s="117" t="s">
        <v>449</v>
      </c>
      <c r="D1564" s="117" t="s">
        <v>3609</v>
      </c>
      <c r="E1564" s="452" t="s">
        <v>220</v>
      </c>
      <c r="F1564" s="117"/>
      <c r="G1564" s="120" t="s">
        <v>24</v>
      </c>
      <c r="H1564" s="117" t="str">
        <f t="shared" si="271"/>
        <v>yes</v>
      </c>
      <c r="I1564" s="117" t="str">
        <f t="shared" si="263"/>
        <v>no</v>
      </c>
      <c r="J1564" s="117" t="str">
        <f t="shared" si="264"/>
        <v>no</v>
      </c>
      <c r="K1564" s="117" t="s">
        <v>619</v>
      </c>
      <c r="L1564" s="117" t="str">
        <f t="shared" si="272"/>
        <v>detailed</v>
      </c>
      <c r="M1564" s="117" t="str">
        <f t="shared" si="265"/>
        <v>detailed Mining</v>
      </c>
      <c r="N1564" s="118"/>
      <c r="O1564" s="118"/>
      <c r="P1564" s="118"/>
      <c r="Q1564" s="118"/>
      <c r="R1564" s="118"/>
      <c r="S1564" s="117"/>
      <c r="T1564" s="119"/>
      <c r="U1564" s="117"/>
      <c r="V1564" s="117"/>
      <c r="W1564" s="89"/>
      <c r="X1564" s="117"/>
      <c r="Y1564" s="492"/>
      <c r="Z1564" s="492"/>
      <c r="AA1564" s="89"/>
      <c r="AB1564" s="89"/>
      <c r="AC1564" s="462"/>
      <c r="AD1564" s="462"/>
      <c r="AE1564" s="462"/>
      <c r="AF1564" s="463"/>
      <c r="AG1564" s="492"/>
      <c r="AH1564" s="124"/>
      <c r="AI1564" s="117"/>
      <c r="AJ1564" s="117"/>
      <c r="AK1564" s="89"/>
      <c r="AL1564" s="117"/>
      <c r="AM1564" s="117"/>
      <c r="AN1564" s="117"/>
      <c r="AO1564" s="117"/>
      <c r="AP1564" s="117"/>
      <c r="AQ1564" s="117"/>
      <c r="AR1564" s="117"/>
      <c r="AS1564" s="117"/>
      <c r="AT1564" s="117"/>
      <c r="AU1564" s="117"/>
      <c r="AV1564" s="128"/>
      <c r="AW1564" s="117">
        <f>VLOOKUP($D1564,'WB Data'!$C$3:$M$578,2,FALSE)</f>
        <v>121571548180.02281</v>
      </c>
      <c r="AX1564" s="117">
        <f>VLOOKUP($D1564,'WB Data'!$C$3:$M$578,3,FALSE)</f>
        <v>28625628</v>
      </c>
      <c r="AY1564" s="847">
        <f t="shared" si="267"/>
        <v>2.9395836535923269E-2</v>
      </c>
      <c r="AZ1564" s="117">
        <f>VLOOKUP($D1564,'WB Data'!$C$3:$M$578,4,FALSE)/100</f>
        <v>0.20973667240502653</v>
      </c>
      <c r="BA1564" s="117">
        <f t="shared" si="268"/>
        <v>25498011974.405342</v>
      </c>
      <c r="BB1564" s="129">
        <f>IFERROR(VLOOKUP($D1564,'EITI Revenues'!$C$2:$G$224,5,FALSE),"..")</f>
        <v>3573697357.7190704</v>
      </c>
      <c r="BC1564" s="846">
        <f t="shared" si="269"/>
        <v>0.14015592122657694</v>
      </c>
      <c r="BD1564" s="129">
        <f>VLOOKUP($D1564,'WB Data 2'!$C$2:$K$545,6,FALSE)</f>
        <v>19689907936.979385</v>
      </c>
      <c r="BE1564" s="129">
        <f>IFERROR(VLOOKUP($D1564,UNCTAD!$C$5:$V$529,4,FALSE),"..")</f>
        <v>34667290000</v>
      </c>
      <c r="BF1564" s="846">
        <f t="shared" si="270"/>
        <v>0.5679679010669535</v>
      </c>
      <c r="BG1564" s="117">
        <f>VLOOKUP($D1564,'WB Data'!$C$3:$M$578,5,FALSE)</f>
        <v>463020000</v>
      </c>
      <c r="BH1564" s="129">
        <f>IFERROR($BB1564/$BG1564,"..")</f>
        <v>7.7182354060711642</v>
      </c>
      <c r="BI1564" s="117">
        <f>IFERROR(VLOOKUP($D1564,'WB Data'!$C$3:$M$578,7,FALSE)/100,"..")</f>
        <v>2.6741899999999999E-2</v>
      </c>
      <c r="BJ1564" s="117">
        <f>IFERROR($BI1564*$AW1564,"..")</f>
        <v>3251054184.275352</v>
      </c>
      <c r="BK1564" s="846">
        <f>IFERROR($BB1564/$BJ1564,"..")</f>
        <v>1.0992426318220945</v>
      </c>
      <c r="BL1564" s="117">
        <f>IFERROR(VLOOKUP($D1564,'WB Data'!$C$3:$M$578,7,FALSE)/100,"..")</f>
        <v>2.6741899999999999E-2</v>
      </c>
      <c r="BM1564" s="117">
        <f>IFERROR($AW1564*$BL1564,"..")</f>
        <v>3251054184.275352</v>
      </c>
      <c r="BN1564" s="846">
        <f>IFERROR($BB1564/$BM1564,"..")</f>
        <v>1.0992426318220945</v>
      </c>
      <c r="BO1564" s="801">
        <f t="shared" si="266"/>
        <v>38</v>
      </c>
      <c r="BP1564" s="117">
        <f>VLOOKUP($D1564,'WB Data'!$C$3:$M$578,9,FALSE)</f>
        <v>37.299999999999997</v>
      </c>
      <c r="BQ1564" s="117">
        <f>VLOOKUP($D1564,'WB Data'!$C$3:$M$578,10,FALSE)</f>
        <v>73.307292682926828</v>
      </c>
      <c r="BR1564" s="117">
        <f>VLOOKUP($D1564,'WB Data'!$C$3:$M$578,11,FALSE)</f>
        <v>17.399999999999999</v>
      </c>
      <c r="BS1564" s="129">
        <f>IFERROR(VLOOKUP($D1564,'WB Data 2'!$C$2:$K$545,9,FALSE),"..")</f>
        <v>97.638440000000003</v>
      </c>
      <c r="BT1564" s="129">
        <f>_xlfn.IFNA(VLOOKUP($C1564,RGI!$A$2:$C$43,2,FALSE),"..")</f>
        <v>76.8</v>
      </c>
      <c r="BU1564" s="129">
        <f>_xlfn.IFNA(VLOOKUP($C1564,RGI!$A$2:$C$43,3,FALSE),"..")</f>
        <v>72.816147461462435</v>
      </c>
      <c r="BV1564" s="129">
        <f>VLOOKUP($D1564,WGI!$C$2:$O$478,7,FALSE)</f>
        <v>0.102797518483968</v>
      </c>
      <c r="BW1564" s="129">
        <f>VLOOKUP($D1564,WGI!$C$2:$O$478,4,FALSE)</f>
        <v>-0.89730607728999101</v>
      </c>
      <c r="BX1564" s="129">
        <f>VLOOKUP($D1564,WGI!$C$2:$O$478,3,FALSE)</f>
        <v>-0.35724068854121799</v>
      </c>
      <c r="BY1564" s="129">
        <f>VLOOKUP($D1564,WGI!$C$2:$O$478,5,FALSE)</f>
        <v>0.34906767606171601</v>
      </c>
      <c r="BZ1564" s="129">
        <f>VLOOKUP($D1564,WGI!$C$2:$O$478,2,FALSE)</f>
        <v>-0.20419570946809601</v>
      </c>
      <c r="CB1564" s="129"/>
    </row>
    <row r="1565" spans="1:80" s="120" customFormat="1" ht="15" customHeight="1">
      <c r="A1565" s="294" t="s">
        <v>454</v>
      </c>
      <c r="B1565" s="117">
        <v>2008</v>
      </c>
      <c r="C1565" s="117" t="s">
        <v>449</v>
      </c>
      <c r="D1565" s="117" t="s">
        <v>3609</v>
      </c>
      <c r="E1565" s="452" t="s">
        <v>220</v>
      </c>
      <c r="F1565" s="117"/>
      <c r="G1565" s="120" t="s">
        <v>24</v>
      </c>
      <c r="H1565" s="117" t="str">
        <f t="shared" si="271"/>
        <v>yes</v>
      </c>
      <c r="I1565" s="117" t="str">
        <f t="shared" si="263"/>
        <v>no</v>
      </c>
      <c r="J1565" s="117" t="str">
        <f t="shared" si="264"/>
        <v>no</v>
      </c>
      <c r="K1565" s="117" t="s">
        <v>2094</v>
      </c>
      <c r="L1565" s="117" t="str">
        <f t="shared" si="272"/>
        <v>detailed</v>
      </c>
      <c r="M1565" s="117" t="str">
        <f t="shared" si="265"/>
        <v>detailed Mining</v>
      </c>
      <c r="N1565" s="118"/>
      <c r="O1565" s="118"/>
      <c r="P1565" s="118"/>
      <c r="Q1565" s="118"/>
      <c r="R1565" s="118"/>
      <c r="S1565" s="117"/>
      <c r="T1565" s="119"/>
      <c r="U1565" s="117"/>
      <c r="V1565" s="117"/>
      <c r="W1565" s="89"/>
      <c r="X1565" s="117"/>
      <c r="AA1565" s="89"/>
      <c r="AB1565" s="89"/>
      <c r="AC1565" s="240"/>
      <c r="AD1565" s="240"/>
      <c r="AE1565" s="240"/>
      <c r="AF1565" s="241"/>
      <c r="AH1565" s="124"/>
      <c r="AI1565" s="117"/>
      <c r="AJ1565" s="117"/>
      <c r="AK1565" s="89"/>
      <c r="AL1565" s="117"/>
      <c r="AM1565" s="117"/>
      <c r="AN1565" s="117"/>
      <c r="AO1565" s="117"/>
      <c r="AP1565" s="117"/>
      <c r="AQ1565" s="117"/>
      <c r="AR1565" s="117"/>
      <c r="AS1565" s="117"/>
      <c r="AT1565" s="117"/>
      <c r="AU1565" s="117"/>
      <c r="AV1565" s="128"/>
      <c r="AW1565" s="117">
        <f>VLOOKUP($D1565,'WB Data'!$C$3:$M$578,2,FALSE)</f>
        <v>121571548180.02281</v>
      </c>
      <c r="AX1565" s="117">
        <f>VLOOKUP($D1565,'WB Data'!$C$3:$M$578,3,FALSE)</f>
        <v>28625628</v>
      </c>
      <c r="AY1565" s="847">
        <f t="shared" si="267"/>
        <v>2.9395836535923269E-2</v>
      </c>
      <c r="AZ1565" s="117">
        <f>VLOOKUP($D1565,'WB Data'!$C$3:$M$578,4,FALSE)/100</f>
        <v>0.20973667240502653</v>
      </c>
      <c r="BA1565" s="117">
        <f t="shared" si="268"/>
        <v>25498011974.405342</v>
      </c>
      <c r="BB1565" s="129">
        <f>IFERROR(VLOOKUP($D1565,'EITI Revenues'!$C$2:$G$224,5,FALSE),"..")</f>
        <v>3573697357.7190704</v>
      </c>
      <c r="BC1565" s="846">
        <f t="shared" si="269"/>
        <v>0.14015592122657694</v>
      </c>
      <c r="BD1565" s="129">
        <f>VLOOKUP($D1565,'WB Data 2'!$C$2:$K$545,6,FALSE)</f>
        <v>19689907936.979385</v>
      </c>
      <c r="BE1565" s="129">
        <f>IFERROR(VLOOKUP($D1565,UNCTAD!$C$5:$V$529,4,FALSE),"..")</f>
        <v>34667290000</v>
      </c>
      <c r="BF1565" s="846">
        <f t="shared" si="270"/>
        <v>0.5679679010669535</v>
      </c>
      <c r="BG1565" s="117">
        <f>VLOOKUP($D1565,'WB Data'!$C$3:$M$578,5,FALSE)</f>
        <v>463020000</v>
      </c>
      <c r="BH1565" s="129">
        <f>IFERROR($BB1565/$BG1565,"..")</f>
        <v>7.7182354060711642</v>
      </c>
      <c r="BI1565" s="117">
        <f>IFERROR(VLOOKUP($D1565,'WB Data'!$C$3:$M$578,7,FALSE)/100,"..")</f>
        <v>2.6741899999999999E-2</v>
      </c>
      <c r="BJ1565" s="117">
        <f>IFERROR($BI1565*$AW1565,"..")</f>
        <v>3251054184.275352</v>
      </c>
      <c r="BK1565" s="846">
        <f>IFERROR($BB1565/$BJ1565,"..")</f>
        <v>1.0992426318220945</v>
      </c>
      <c r="BL1565" s="117">
        <f>IFERROR(VLOOKUP($D1565,'WB Data'!$C$3:$M$578,7,FALSE)/100,"..")</f>
        <v>2.6741899999999999E-2</v>
      </c>
      <c r="BM1565" s="117">
        <f>IFERROR($AW1565*$BL1565,"..")</f>
        <v>3251054184.275352</v>
      </c>
      <c r="BN1565" s="846">
        <f>IFERROR($BB1565/$BM1565,"..")</f>
        <v>1.0992426318220945</v>
      </c>
      <c r="BO1565" s="801">
        <f t="shared" si="266"/>
        <v>38</v>
      </c>
      <c r="BP1565" s="117">
        <f>VLOOKUP($D1565,'WB Data'!$C$3:$M$578,9,FALSE)</f>
        <v>37.299999999999997</v>
      </c>
      <c r="BQ1565" s="117">
        <f>VLOOKUP($D1565,'WB Data'!$C$3:$M$578,10,FALSE)</f>
        <v>73.307292682926828</v>
      </c>
      <c r="BR1565" s="117">
        <f>VLOOKUP($D1565,'WB Data'!$C$3:$M$578,11,FALSE)</f>
        <v>17.399999999999999</v>
      </c>
      <c r="BS1565" s="129">
        <f>IFERROR(VLOOKUP($D1565,'WB Data 2'!$C$2:$K$545,9,FALSE),"..")</f>
        <v>97.638440000000003</v>
      </c>
      <c r="BT1565" s="129">
        <f>_xlfn.IFNA(VLOOKUP($C1565,RGI!$A$2:$C$43,2,FALSE),"..")</f>
        <v>76.8</v>
      </c>
      <c r="BU1565" s="129">
        <f>_xlfn.IFNA(VLOOKUP($C1565,RGI!$A$2:$C$43,3,FALSE),"..")</f>
        <v>72.816147461462435</v>
      </c>
      <c r="BV1565" s="129">
        <f>VLOOKUP($D1565,WGI!$C$2:$O$478,7,FALSE)</f>
        <v>0.102797518483968</v>
      </c>
      <c r="BW1565" s="129">
        <f>VLOOKUP($D1565,WGI!$C$2:$O$478,4,FALSE)</f>
        <v>-0.89730607728999101</v>
      </c>
      <c r="BX1565" s="129">
        <f>VLOOKUP($D1565,WGI!$C$2:$O$478,3,FALSE)</f>
        <v>-0.35724068854121799</v>
      </c>
      <c r="BY1565" s="129">
        <f>VLOOKUP($D1565,WGI!$C$2:$O$478,5,FALSE)</f>
        <v>0.34906767606171601</v>
      </c>
      <c r="BZ1565" s="129">
        <f>VLOOKUP($D1565,WGI!$C$2:$O$478,2,FALSE)</f>
        <v>-0.20419570946809601</v>
      </c>
      <c r="CB1565" s="129"/>
    </row>
    <row r="1566" spans="1:80" s="120" customFormat="1" ht="15" customHeight="1">
      <c r="A1566" s="294" t="s">
        <v>454</v>
      </c>
      <c r="B1566" s="117">
        <v>2008</v>
      </c>
      <c r="C1566" s="117" t="s">
        <v>449</v>
      </c>
      <c r="D1566" s="117" t="s">
        <v>3609</v>
      </c>
      <c r="E1566" s="452" t="s">
        <v>220</v>
      </c>
      <c r="F1566" s="117"/>
      <c r="G1566" s="120" t="s">
        <v>24</v>
      </c>
      <c r="H1566" s="117" t="str">
        <f t="shared" si="271"/>
        <v>yes</v>
      </c>
      <c r="I1566" s="117" t="str">
        <f t="shared" si="263"/>
        <v>no</v>
      </c>
      <c r="J1566" s="117" t="str">
        <f t="shared" si="264"/>
        <v>no</v>
      </c>
      <c r="K1566" s="117" t="s">
        <v>2095</v>
      </c>
      <c r="L1566" s="117" t="str">
        <f t="shared" si="272"/>
        <v>detailed</v>
      </c>
      <c r="M1566" s="117" t="str">
        <f t="shared" si="265"/>
        <v>detailed Mining</v>
      </c>
      <c r="N1566" s="118"/>
      <c r="O1566" s="118"/>
      <c r="P1566" s="118"/>
      <c r="Q1566" s="118"/>
      <c r="R1566" s="118"/>
      <c r="S1566" s="117"/>
      <c r="T1566" s="119"/>
      <c r="U1566" s="117"/>
      <c r="V1566" s="117"/>
      <c r="W1566" s="89"/>
      <c r="X1566" s="117"/>
      <c r="AA1566" s="89"/>
      <c r="AB1566" s="89"/>
      <c r="AC1566" s="240"/>
      <c r="AD1566" s="240"/>
      <c r="AE1566" s="240"/>
      <c r="AF1566" s="241"/>
      <c r="AH1566" s="124"/>
      <c r="AI1566" s="117"/>
      <c r="AJ1566" s="117"/>
      <c r="AK1566" s="89"/>
      <c r="AL1566" s="117"/>
      <c r="AM1566" s="117"/>
      <c r="AN1566" s="117"/>
      <c r="AO1566" s="117"/>
      <c r="AP1566" s="117"/>
      <c r="AQ1566" s="117"/>
      <c r="AR1566" s="117"/>
      <c r="AS1566" s="117"/>
      <c r="AT1566" s="117"/>
      <c r="AU1566" s="117"/>
      <c r="AV1566" s="128"/>
      <c r="AW1566" s="117">
        <f>VLOOKUP($D1566,'WB Data'!$C$3:$M$578,2,FALSE)</f>
        <v>121571548180.02281</v>
      </c>
      <c r="AX1566" s="117">
        <f>VLOOKUP($D1566,'WB Data'!$C$3:$M$578,3,FALSE)</f>
        <v>28625628</v>
      </c>
      <c r="AY1566" s="847">
        <f t="shared" si="267"/>
        <v>2.9395836535923269E-2</v>
      </c>
      <c r="AZ1566" s="117">
        <f>VLOOKUP($D1566,'WB Data'!$C$3:$M$578,4,FALSE)/100</f>
        <v>0.20973667240502653</v>
      </c>
      <c r="BA1566" s="117">
        <f t="shared" si="268"/>
        <v>25498011974.405342</v>
      </c>
      <c r="BB1566" s="129">
        <f>IFERROR(VLOOKUP($D1566,'EITI Revenues'!$C$2:$G$224,5,FALSE),"..")</f>
        <v>3573697357.7190704</v>
      </c>
      <c r="BC1566" s="846">
        <f t="shared" si="269"/>
        <v>0.14015592122657694</v>
      </c>
      <c r="BD1566" s="129">
        <f>VLOOKUP($D1566,'WB Data 2'!$C$2:$K$545,6,FALSE)</f>
        <v>19689907936.979385</v>
      </c>
      <c r="BE1566" s="129">
        <f>IFERROR(VLOOKUP($D1566,UNCTAD!$C$5:$V$529,4,FALSE),"..")</f>
        <v>34667290000</v>
      </c>
      <c r="BF1566" s="846">
        <f t="shared" si="270"/>
        <v>0.5679679010669535</v>
      </c>
      <c r="BG1566" s="117">
        <f>VLOOKUP($D1566,'WB Data'!$C$3:$M$578,5,FALSE)</f>
        <v>463020000</v>
      </c>
      <c r="BH1566" s="129">
        <f>IFERROR($BB1566/$BG1566,"..")</f>
        <v>7.7182354060711642</v>
      </c>
      <c r="BI1566" s="117">
        <f>IFERROR(VLOOKUP($D1566,'WB Data'!$C$3:$M$578,7,FALSE)/100,"..")</f>
        <v>2.6741899999999999E-2</v>
      </c>
      <c r="BJ1566" s="117">
        <f>IFERROR($BI1566*$AW1566,"..")</f>
        <v>3251054184.275352</v>
      </c>
      <c r="BK1566" s="846">
        <f>IFERROR($BB1566/$BJ1566,"..")</f>
        <v>1.0992426318220945</v>
      </c>
      <c r="BL1566" s="117">
        <f>IFERROR(VLOOKUP($D1566,'WB Data'!$C$3:$M$578,7,FALSE)/100,"..")</f>
        <v>2.6741899999999999E-2</v>
      </c>
      <c r="BM1566" s="117">
        <f>IFERROR($AW1566*$BL1566,"..")</f>
        <v>3251054184.275352</v>
      </c>
      <c r="BN1566" s="846">
        <f>IFERROR($BB1566/$BM1566,"..")</f>
        <v>1.0992426318220945</v>
      </c>
      <c r="BO1566" s="801">
        <f t="shared" si="266"/>
        <v>38</v>
      </c>
      <c r="BP1566" s="117">
        <f>VLOOKUP($D1566,'WB Data'!$C$3:$M$578,9,FALSE)</f>
        <v>37.299999999999997</v>
      </c>
      <c r="BQ1566" s="117">
        <f>VLOOKUP($D1566,'WB Data'!$C$3:$M$578,10,FALSE)</f>
        <v>73.307292682926828</v>
      </c>
      <c r="BR1566" s="117">
        <f>VLOOKUP($D1566,'WB Data'!$C$3:$M$578,11,FALSE)</f>
        <v>17.399999999999999</v>
      </c>
      <c r="BS1566" s="129">
        <f>IFERROR(VLOOKUP($D1566,'WB Data 2'!$C$2:$K$545,9,FALSE),"..")</f>
        <v>97.638440000000003</v>
      </c>
      <c r="BT1566" s="129">
        <f>_xlfn.IFNA(VLOOKUP($C1566,RGI!$A$2:$C$43,2,FALSE),"..")</f>
        <v>76.8</v>
      </c>
      <c r="BU1566" s="129">
        <f>_xlfn.IFNA(VLOOKUP($C1566,RGI!$A$2:$C$43,3,FALSE),"..")</f>
        <v>72.816147461462435</v>
      </c>
      <c r="BV1566" s="129">
        <f>VLOOKUP($D1566,WGI!$C$2:$O$478,7,FALSE)</f>
        <v>0.102797518483968</v>
      </c>
      <c r="BW1566" s="129">
        <f>VLOOKUP($D1566,WGI!$C$2:$O$478,4,FALSE)</f>
        <v>-0.89730607728999101</v>
      </c>
      <c r="BX1566" s="129">
        <f>VLOOKUP($D1566,WGI!$C$2:$O$478,3,FALSE)</f>
        <v>-0.35724068854121799</v>
      </c>
      <c r="BY1566" s="129">
        <f>VLOOKUP($D1566,WGI!$C$2:$O$478,5,FALSE)</f>
        <v>0.34906767606171601</v>
      </c>
      <c r="BZ1566" s="129">
        <f>VLOOKUP($D1566,WGI!$C$2:$O$478,2,FALSE)</f>
        <v>-0.20419570946809601</v>
      </c>
      <c r="CB1566" s="129"/>
    </row>
    <row r="1567" spans="1:80" s="120" customFormat="1" ht="15" customHeight="1">
      <c r="A1567" s="294" t="s">
        <v>454</v>
      </c>
      <c r="B1567" s="117">
        <v>2008</v>
      </c>
      <c r="C1567" s="117" t="s">
        <v>449</v>
      </c>
      <c r="D1567" s="117" t="s">
        <v>3609</v>
      </c>
      <c r="E1567" s="452" t="s">
        <v>220</v>
      </c>
      <c r="F1567" s="117"/>
      <c r="G1567" s="120" t="s">
        <v>24</v>
      </c>
      <c r="H1567" s="117" t="str">
        <f t="shared" si="271"/>
        <v>yes</v>
      </c>
      <c r="I1567" s="117" t="str">
        <f t="shared" si="263"/>
        <v>no</v>
      </c>
      <c r="J1567" s="117" t="str">
        <f t="shared" si="264"/>
        <v>no</v>
      </c>
      <c r="K1567" s="117" t="s">
        <v>1220</v>
      </c>
      <c r="L1567" s="117" t="str">
        <f t="shared" si="272"/>
        <v>detailed</v>
      </c>
      <c r="M1567" s="117" t="str">
        <f t="shared" si="265"/>
        <v>detailed Mining</v>
      </c>
      <c r="N1567" s="118"/>
      <c r="O1567" s="118"/>
      <c r="P1567" s="118"/>
      <c r="Q1567" s="118"/>
      <c r="R1567" s="118"/>
      <c r="S1567" s="117"/>
      <c r="T1567" s="119"/>
      <c r="U1567" s="117"/>
      <c r="V1567" s="117"/>
      <c r="W1567" s="89"/>
      <c r="X1567" s="117"/>
      <c r="AA1567" s="89"/>
      <c r="AB1567" s="89"/>
      <c r="AC1567" s="240"/>
      <c r="AD1567" s="240"/>
      <c r="AE1567" s="240"/>
      <c r="AF1567" s="241"/>
      <c r="AH1567" s="124"/>
      <c r="AI1567" s="117"/>
      <c r="AJ1567" s="117"/>
      <c r="AK1567" s="89"/>
      <c r="AL1567" s="117"/>
      <c r="AM1567" s="117"/>
      <c r="AN1567" s="117"/>
      <c r="AO1567" s="117"/>
      <c r="AP1567" s="117"/>
      <c r="AQ1567" s="117"/>
      <c r="AR1567" s="117"/>
      <c r="AS1567" s="117"/>
      <c r="AT1567" s="117"/>
      <c r="AU1567" s="117"/>
      <c r="AV1567" s="128"/>
      <c r="AW1567" s="117">
        <f>VLOOKUP($D1567,'WB Data'!$C$3:$M$578,2,FALSE)</f>
        <v>121571548180.02281</v>
      </c>
      <c r="AX1567" s="117">
        <f>VLOOKUP($D1567,'WB Data'!$C$3:$M$578,3,FALSE)</f>
        <v>28625628</v>
      </c>
      <c r="AY1567" s="847">
        <f t="shared" si="267"/>
        <v>2.9395836535923269E-2</v>
      </c>
      <c r="AZ1567" s="117">
        <f>VLOOKUP($D1567,'WB Data'!$C$3:$M$578,4,FALSE)/100</f>
        <v>0.20973667240502653</v>
      </c>
      <c r="BA1567" s="117">
        <f t="shared" si="268"/>
        <v>25498011974.405342</v>
      </c>
      <c r="BB1567" s="129">
        <f>IFERROR(VLOOKUP($D1567,'EITI Revenues'!$C$2:$G$224,5,FALSE),"..")</f>
        <v>3573697357.7190704</v>
      </c>
      <c r="BC1567" s="846">
        <f t="shared" si="269"/>
        <v>0.14015592122657694</v>
      </c>
      <c r="BD1567" s="129">
        <f>VLOOKUP($D1567,'WB Data 2'!$C$2:$K$545,6,FALSE)</f>
        <v>19689907936.979385</v>
      </c>
      <c r="BE1567" s="129">
        <f>IFERROR(VLOOKUP($D1567,UNCTAD!$C$5:$V$529,4,FALSE),"..")</f>
        <v>34667290000</v>
      </c>
      <c r="BF1567" s="846">
        <f t="shared" si="270"/>
        <v>0.5679679010669535</v>
      </c>
      <c r="BG1567" s="117">
        <f>VLOOKUP($D1567,'WB Data'!$C$3:$M$578,5,FALSE)</f>
        <v>463020000</v>
      </c>
      <c r="BH1567" s="129">
        <f>IFERROR($BB1567/$BG1567,"..")</f>
        <v>7.7182354060711642</v>
      </c>
      <c r="BI1567" s="117">
        <f>IFERROR(VLOOKUP($D1567,'WB Data'!$C$3:$M$578,7,FALSE)/100,"..")</f>
        <v>2.6741899999999999E-2</v>
      </c>
      <c r="BJ1567" s="117">
        <f>IFERROR($BI1567*$AW1567,"..")</f>
        <v>3251054184.275352</v>
      </c>
      <c r="BK1567" s="846">
        <f>IFERROR($BB1567/$BJ1567,"..")</f>
        <v>1.0992426318220945</v>
      </c>
      <c r="BL1567" s="117">
        <f>IFERROR(VLOOKUP($D1567,'WB Data'!$C$3:$M$578,7,FALSE)/100,"..")</f>
        <v>2.6741899999999999E-2</v>
      </c>
      <c r="BM1567" s="117">
        <f>IFERROR($AW1567*$BL1567,"..")</f>
        <v>3251054184.275352</v>
      </c>
      <c r="BN1567" s="846">
        <f>IFERROR($BB1567/$BM1567,"..")</f>
        <v>1.0992426318220945</v>
      </c>
      <c r="BO1567" s="801">
        <f t="shared" si="266"/>
        <v>38</v>
      </c>
      <c r="BP1567" s="117">
        <f>VLOOKUP($D1567,'WB Data'!$C$3:$M$578,9,FALSE)</f>
        <v>37.299999999999997</v>
      </c>
      <c r="BQ1567" s="117">
        <f>VLOOKUP($D1567,'WB Data'!$C$3:$M$578,10,FALSE)</f>
        <v>73.307292682926828</v>
      </c>
      <c r="BR1567" s="117">
        <f>VLOOKUP($D1567,'WB Data'!$C$3:$M$578,11,FALSE)</f>
        <v>17.399999999999999</v>
      </c>
      <c r="BS1567" s="129">
        <f>IFERROR(VLOOKUP($D1567,'WB Data 2'!$C$2:$K$545,9,FALSE),"..")</f>
        <v>97.638440000000003</v>
      </c>
      <c r="BT1567" s="129">
        <f>_xlfn.IFNA(VLOOKUP($C1567,RGI!$A$2:$C$43,2,FALSE),"..")</f>
        <v>76.8</v>
      </c>
      <c r="BU1567" s="129">
        <f>_xlfn.IFNA(VLOOKUP($C1567,RGI!$A$2:$C$43,3,FALSE),"..")</f>
        <v>72.816147461462435</v>
      </c>
      <c r="BV1567" s="129">
        <f>VLOOKUP($D1567,WGI!$C$2:$O$478,7,FALSE)</f>
        <v>0.102797518483968</v>
      </c>
      <c r="BW1567" s="129">
        <f>VLOOKUP($D1567,WGI!$C$2:$O$478,4,FALSE)</f>
        <v>-0.89730607728999101</v>
      </c>
      <c r="BX1567" s="129">
        <f>VLOOKUP($D1567,WGI!$C$2:$O$478,3,FALSE)</f>
        <v>-0.35724068854121799</v>
      </c>
      <c r="BY1567" s="129">
        <f>VLOOKUP($D1567,WGI!$C$2:$O$478,5,FALSE)</f>
        <v>0.34906767606171601</v>
      </c>
      <c r="BZ1567" s="129">
        <f>VLOOKUP($D1567,WGI!$C$2:$O$478,2,FALSE)</f>
        <v>-0.20419570946809601</v>
      </c>
      <c r="CB1567" s="129"/>
    </row>
    <row r="1568" spans="1:80" s="120" customFormat="1" ht="15" customHeight="1">
      <c r="A1568" s="294" t="s">
        <v>454</v>
      </c>
      <c r="B1568" s="117">
        <v>2008</v>
      </c>
      <c r="C1568" s="117" t="s">
        <v>449</v>
      </c>
      <c r="D1568" s="117" t="s">
        <v>3609</v>
      </c>
      <c r="E1568" s="452" t="s">
        <v>220</v>
      </c>
      <c r="F1568" s="117"/>
      <c r="G1568" s="120" t="s">
        <v>24</v>
      </c>
      <c r="H1568" s="117" t="str">
        <f t="shared" si="271"/>
        <v>yes</v>
      </c>
      <c r="I1568" s="117" t="str">
        <f t="shared" si="263"/>
        <v>no</v>
      </c>
      <c r="J1568" s="117" t="str">
        <f t="shared" si="264"/>
        <v>no</v>
      </c>
      <c r="K1568" s="117" t="s">
        <v>2096</v>
      </c>
      <c r="L1568" s="117" t="str">
        <f t="shared" si="272"/>
        <v>detailed</v>
      </c>
      <c r="M1568" s="117" t="str">
        <f t="shared" si="265"/>
        <v>detailed Mining</v>
      </c>
      <c r="N1568" s="118"/>
      <c r="O1568" s="118"/>
      <c r="P1568" s="118"/>
      <c r="Q1568" s="118"/>
      <c r="R1568" s="118"/>
      <c r="S1568" s="117"/>
      <c r="T1568" s="119"/>
      <c r="U1568" s="117"/>
      <c r="V1568" s="117"/>
      <c r="W1568" s="89"/>
      <c r="X1568" s="117"/>
      <c r="AA1568" s="89"/>
      <c r="AB1568" s="89"/>
      <c r="AC1568" s="240"/>
      <c r="AD1568" s="240"/>
      <c r="AE1568" s="240"/>
      <c r="AF1568" s="241"/>
      <c r="AH1568" s="124"/>
      <c r="AI1568" s="117"/>
      <c r="AJ1568" s="117"/>
      <c r="AK1568" s="89"/>
      <c r="AL1568" s="117"/>
      <c r="AM1568" s="117"/>
      <c r="AN1568" s="117"/>
      <c r="AO1568" s="117"/>
      <c r="AP1568" s="117"/>
      <c r="AQ1568" s="117"/>
      <c r="AR1568" s="117"/>
      <c r="AS1568" s="117"/>
      <c r="AT1568" s="117"/>
      <c r="AU1568" s="117"/>
      <c r="AV1568" s="128"/>
      <c r="AW1568" s="117">
        <f>VLOOKUP($D1568,'WB Data'!$C$3:$M$578,2,FALSE)</f>
        <v>121571548180.02281</v>
      </c>
      <c r="AX1568" s="117">
        <f>VLOOKUP($D1568,'WB Data'!$C$3:$M$578,3,FALSE)</f>
        <v>28625628</v>
      </c>
      <c r="AY1568" s="847">
        <f t="shared" si="267"/>
        <v>2.9395836535923269E-2</v>
      </c>
      <c r="AZ1568" s="117">
        <f>VLOOKUP($D1568,'WB Data'!$C$3:$M$578,4,FALSE)/100</f>
        <v>0.20973667240502653</v>
      </c>
      <c r="BA1568" s="117">
        <f t="shared" si="268"/>
        <v>25498011974.405342</v>
      </c>
      <c r="BB1568" s="129">
        <f>IFERROR(VLOOKUP($D1568,'EITI Revenues'!$C$2:$G$224,5,FALSE),"..")</f>
        <v>3573697357.7190704</v>
      </c>
      <c r="BC1568" s="846">
        <f t="shared" si="269"/>
        <v>0.14015592122657694</v>
      </c>
      <c r="BD1568" s="129">
        <f>VLOOKUP($D1568,'WB Data 2'!$C$2:$K$545,6,FALSE)</f>
        <v>19689907936.979385</v>
      </c>
      <c r="BE1568" s="129">
        <f>IFERROR(VLOOKUP($D1568,UNCTAD!$C$5:$V$529,4,FALSE),"..")</f>
        <v>34667290000</v>
      </c>
      <c r="BF1568" s="846">
        <f t="shared" si="270"/>
        <v>0.5679679010669535</v>
      </c>
      <c r="BG1568" s="117">
        <f>VLOOKUP($D1568,'WB Data'!$C$3:$M$578,5,FALSE)</f>
        <v>463020000</v>
      </c>
      <c r="BH1568" s="129">
        <f>IFERROR($BB1568/$BG1568,"..")</f>
        <v>7.7182354060711642</v>
      </c>
      <c r="BI1568" s="117">
        <f>IFERROR(VLOOKUP($D1568,'WB Data'!$C$3:$M$578,7,FALSE)/100,"..")</f>
        <v>2.6741899999999999E-2</v>
      </c>
      <c r="BJ1568" s="117">
        <f>IFERROR($BI1568*$AW1568,"..")</f>
        <v>3251054184.275352</v>
      </c>
      <c r="BK1568" s="846">
        <f>IFERROR($BB1568/$BJ1568,"..")</f>
        <v>1.0992426318220945</v>
      </c>
      <c r="BL1568" s="117">
        <f>IFERROR(VLOOKUP($D1568,'WB Data'!$C$3:$M$578,7,FALSE)/100,"..")</f>
        <v>2.6741899999999999E-2</v>
      </c>
      <c r="BM1568" s="117">
        <f>IFERROR($AW1568*$BL1568,"..")</f>
        <v>3251054184.275352</v>
      </c>
      <c r="BN1568" s="846">
        <f>IFERROR($BB1568/$BM1568,"..")</f>
        <v>1.0992426318220945</v>
      </c>
      <c r="BO1568" s="801">
        <f t="shared" si="266"/>
        <v>38</v>
      </c>
      <c r="BP1568" s="117">
        <f>VLOOKUP($D1568,'WB Data'!$C$3:$M$578,9,FALSE)</f>
        <v>37.299999999999997</v>
      </c>
      <c r="BQ1568" s="117">
        <f>VLOOKUP($D1568,'WB Data'!$C$3:$M$578,10,FALSE)</f>
        <v>73.307292682926828</v>
      </c>
      <c r="BR1568" s="117">
        <f>VLOOKUP($D1568,'WB Data'!$C$3:$M$578,11,FALSE)</f>
        <v>17.399999999999999</v>
      </c>
      <c r="BS1568" s="129">
        <f>IFERROR(VLOOKUP($D1568,'WB Data 2'!$C$2:$K$545,9,FALSE),"..")</f>
        <v>97.638440000000003</v>
      </c>
      <c r="BT1568" s="129">
        <f>_xlfn.IFNA(VLOOKUP($C1568,RGI!$A$2:$C$43,2,FALSE),"..")</f>
        <v>76.8</v>
      </c>
      <c r="BU1568" s="129">
        <f>_xlfn.IFNA(VLOOKUP($C1568,RGI!$A$2:$C$43,3,FALSE),"..")</f>
        <v>72.816147461462435</v>
      </c>
      <c r="BV1568" s="129">
        <f>VLOOKUP($D1568,WGI!$C$2:$O$478,7,FALSE)</f>
        <v>0.102797518483968</v>
      </c>
      <c r="BW1568" s="129">
        <f>VLOOKUP($D1568,WGI!$C$2:$O$478,4,FALSE)</f>
        <v>-0.89730607728999101</v>
      </c>
      <c r="BX1568" s="129">
        <f>VLOOKUP($D1568,WGI!$C$2:$O$478,3,FALSE)</f>
        <v>-0.35724068854121799</v>
      </c>
      <c r="BY1568" s="129">
        <f>VLOOKUP($D1568,WGI!$C$2:$O$478,5,FALSE)</f>
        <v>0.34906767606171601</v>
      </c>
      <c r="BZ1568" s="129">
        <f>VLOOKUP($D1568,WGI!$C$2:$O$478,2,FALSE)</f>
        <v>-0.20419570946809601</v>
      </c>
      <c r="CB1568" s="129"/>
    </row>
    <row r="1569" spans="1:80" s="120" customFormat="1" ht="15" customHeight="1">
      <c r="A1569" s="294" t="s">
        <v>454</v>
      </c>
      <c r="B1569" s="117">
        <v>2008</v>
      </c>
      <c r="C1569" s="117" t="s">
        <v>449</v>
      </c>
      <c r="D1569" s="117" t="s">
        <v>3609</v>
      </c>
      <c r="E1569" s="452" t="s">
        <v>220</v>
      </c>
      <c r="F1569" s="117"/>
      <c r="G1569" s="120" t="s">
        <v>24</v>
      </c>
      <c r="H1569" s="117" t="str">
        <f t="shared" si="271"/>
        <v>yes</v>
      </c>
      <c r="I1569" s="117" t="str">
        <f t="shared" si="263"/>
        <v>no</v>
      </c>
      <c r="J1569" s="117" t="str">
        <f t="shared" si="264"/>
        <v>no</v>
      </c>
      <c r="K1569" s="117" t="s">
        <v>2097</v>
      </c>
      <c r="L1569" s="117" t="str">
        <f t="shared" si="272"/>
        <v>detailed</v>
      </c>
      <c r="M1569" s="117" t="str">
        <f t="shared" si="265"/>
        <v>detailed Mining</v>
      </c>
      <c r="N1569" s="118"/>
      <c r="O1569" s="118"/>
      <c r="P1569" s="118"/>
      <c r="Q1569" s="118"/>
      <c r="R1569" s="118"/>
      <c r="S1569" s="117"/>
      <c r="T1569" s="119"/>
      <c r="U1569" s="117"/>
      <c r="V1569" s="117"/>
      <c r="W1569" s="89"/>
      <c r="X1569" s="117"/>
      <c r="AA1569" s="89"/>
      <c r="AB1569" s="89"/>
      <c r="AC1569" s="240"/>
      <c r="AD1569" s="240"/>
      <c r="AE1569" s="240"/>
      <c r="AF1569" s="241"/>
      <c r="AH1569" s="124"/>
      <c r="AI1569" s="117"/>
      <c r="AJ1569" s="117"/>
      <c r="AK1569" s="89"/>
      <c r="AL1569" s="117"/>
      <c r="AM1569" s="117"/>
      <c r="AN1569" s="117"/>
      <c r="AO1569" s="117"/>
      <c r="AP1569" s="117"/>
      <c r="AQ1569" s="117"/>
      <c r="AR1569" s="117"/>
      <c r="AS1569" s="117"/>
      <c r="AT1569" s="117"/>
      <c r="AU1569" s="117"/>
      <c r="AV1569" s="128"/>
      <c r="AW1569" s="117">
        <f>VLOOKUP($D1569,'WB Data'!$C$3:$M$578,2,FALSE)</f>
        <v>121571548180.02281</v>
      </c>
      <c r="AX1569" s="117">
        <f>VLOOKUP($D1569,'WB Data'!$C$3:$M$578,3,FALSE)</f>
        <v>28625628</v>
      </c>
      <c r="AY1569" s="847">
        <f t="shared" si="267"/>
        <v>2.9395836535923269E-2</v>
      </c>
      <c r="AZ1569" s="117">
        <f>VLOOKUP($D1569,'WB Data'!$C$3:$M$578,4,FALSE)/100</f>
        <v>0.20973667240502653</v>
      </c>
      <c r="BA1569" s="117">
        <f t="shared" si="268"/>
        <v>25498011974.405342</v>
      </c>
      <c r="BB1569" s="129">
        <f>IFERROR(VLOOKUP($D1569,'EITI Revenues'!$C$2:$G$224,5,FALSE),"..")</f>
        <v>3573697357.7190704</v>
      </c>
      <c r="BC1569" s="846">
        <f t="shared" si="269"/>
        <v>0.14015592122657694</v>
      </c>
      <c r="BD1569" s="129">
        <f>VLOOKUP($D1569,'WB Data 2'!$C$2:$K$545,6,FALSE)</f>
        <v>19689907936.979385</v>
      </c>
      <c r="BE1569" s="129">
        <f>IFERROR(VLOOKUP($D1569,UNCTAD!$C$5:$V$529,4,FALSE),"..")</f>
        <v>34667290000</v>
      </c>
      <c r="BF1569" s="846">
        <f t="shared" si="270"/>
        <v>0.5679679010669535</v>
      </c>
      <c r="BG1569" s="117">
        <f>VLOOKUP($D1569,'WB Data'!$C$3:$M$578,5,FALSE)</f>
        <v>463020000</v>
      </c>
      <c r="BH1569" s="129">
        <f>IFERROR($BB1569/$BG1569,"..")</f>
        <v>7.7182354060711642</v>
      </c>
      <c r="BI1569" s="117">
        <f>IFERROR(VLOOKUP($D1569,'WB Data'!$C$3:$M$578,7,FALSE)/100,"..")</f>
        <v>2.6741899999999999E-2</v>
      </c>
      <c r="BJ1569" s="117">
        <f>IFERROR($BI1569*$AW1569,"..")</f>
        <v>3251054184.275352</v>
      </c>
      <c r="BK1569" s="846">
        <f>IFERROR($BB1569/$BJ1569,"..")</f>
        <v>1.0992426318220945</v>
      </c>
      <c r="BL1569" s="117">
        <f>IFERROR(VLOOKUP($D1569,'WB Data'!$C$3:$M$578,7,FALSE)/100,"..")</f>
        <v>2.6741899999999999E-2</v>
      </c>
      <c r="BM1569" s="117">
        <f>IFERROR($AW1569*$BL1569,"..")</f>
        <v>3251054184.275352</v>
      </c>
      <c r="BN1569" s="846">
        <f>IFERROR($BB1569/$BM1569,"..")</f>
        <v>1.0992426318220945</v>
      </c>
      <c r="BO1569" s="801">
        <f t="shared" si="266"/>
        <v>38</v>
      </c>
      <c r="BP1569" s="117">
        <f>VLOOKUP($D1569,'WB Data'!$C$3:$M$578,9,FALSE)</f>
        <v>37.299999999999997</v>
      </c>
      <c r="BQ1569" s="117">
        <f>VLOOKUP($D1569,'WB Data'!$C$3:$M$578,10,FALSE)</f>
        <v>73.307292682926828</v>
      </c>
      <c r="BR1569" s="117">
        <f>VLOOKUP($D1569,'WB Data'!$C$3:$M$578,11,FALSE)</f>
        <v>17.399999999999999</v>
      </c>
      <c r="BS1569" s="129">
        <f>IFERROR(VLOOKUP($D1569,'WB Data 2'!$C$2:$K$545,9,FALSE),"..")</f>
        <v>97.638440000000003</v>
      </c>
      <c r="BT1569" s="129">
        <f>_xlfn.IFNA(VLOOKUP($C1569,RGI!$A$2:$C$43,2,FALSE),"..")</f>
        <v>76.8</v>
      </c>
      <c r="BU1569" s="129">
        <f>_xlfn.IFNA(VLOOKUP($C1569,RGI!$A$2:$C$43,3,FALSE),"..")</f>
        <v>72.816147461462435</v>
      </c>
      <c r="BV1569" s="129">
        <f>VLOOKUP($D1569,WGI!$C$2:$O$478,7,FALSE)</f>
        <v>0.102797518483968</v>
      </c>
      <c r="BW1569" s="129">
        <f>VLOOKUP($D1569,WGI!$C$2:$O$478,4,FALSE)</f>
        <v>-0.89730607728999101</v>
      </c>
      <c r="BX1569" s="129">
        <f>VLOOKUP($D1569,WGI!$C$2:$O$478,3,FALSE)</f>
        <v>-0.35724068854121799</v>
      </c>
      <c r="BY1569" s="129">
        <f>VLOOKUP($D1569,WGI!$C$2:$O$478,5,FALSE)</f>
        <v>0.34906767606171601</v>
      </c>
      <c r="BZ1569" s="129">
        <f>VLOOKUP($D1569,WGI!$C$2:$O$478,2,FALSE)</f>
        <v>-0.20419570946809601</v>
      </c>
      <c r="CB1569" s="129"/>
    </row>
    <row r="1570" spans="1:80" s="120" customFormat="1" ht="15" customHeight="1">
      <c r="A1570" s="294" t="s">
        <v>454</v>
      </c>
      <c r="B1570" s="117">
        <v>2008</v>
      </c>
      <c r="C1570" s="117" t="s">
        <v>449</v>
      </c>
      <c r="D1570" s="117" t="s">
        <v>3609</v>
      </c>
      <c r="E1570" s="452" t="s">
        <v>220</v>
      </c>
      <c r="F1570" s="117"/>
      <c r="G1570" s="120" t="s">
        <v>24</v>
      </c>
      <c r="H1570" s="117" t="str">
        <f t="shared" si="271"/>
        <v>yes</v>
      </c>
      <c r="I1570" s="117" t="str">
        <f t="shared" si="263"/>
        <v>no</v>
      </c>
      <c r="J1570" s="117" t="str">
        <f t="shared" si="264"/>
        <v>no</v>
      </c>
      <c r="K1570" s="117" t="s">
        <v>784</v>
      </c>
      <c r="L1570" s="117" t="str">
        <f t="shared" si="272"/>
        <v>detailed</v>
      </c>
      <c r="M1570" s="117" t="str">
        <f t="shared" si="265"/>
        <v>detailed Mining</v>
      </c>
      <c r="N1570" s="118"/>
      <c r="O1570" s="118"/>
      <c r="P1570" s="118"/>
      <c r="Q1570" s="118"/>
      <c r="R1570" s="118"/>
      <c r="S1570" s="117"/>
      <c r="T1570" s="119"/>
      <c r="U1570" s="117"/>
      <c r="V1570" s="117"/>
      <c r="W1570" s="89"/>
      <c r="X1570" s="117"/>
      <c r="AA1570" s="89"/>
      <c r="AB1570" s="89"/>
      <c r="AC1570" s="240"/>
      <c r="AD1570" s="240"/>
      <c r="AE1570" s="240"/>
      <c r="AF1570" s="241"/>
      <c r="AH1570" s="124"/>
      <c r="AI1570" s="117"/>
      <c r="AJ1570" s="117"/>
      <c r="AK1570" s="89"/>
      <c r="AL1570" s="117"/>
      <c r="AM1570" s="117"/>
      <c r="AN1570" s="117"/>
      <c r="AO1570" s="117"/>
      <c r="AP1570" s="117"/>
      <c r="AQ1570" s="117"/>
      <c r="AR1570" s="117"/>
      <c r="AS1570" s="117"/>
      <c r="AT1570" s="117"/>
      <c r="AU1570" s="117"/>
      <c r="AV1570" s="128"/>
      <c r="AW1570" s="117">
        <f>VLOOKUP($D1570,'WB Data'!$C$3:$M$578,2,FALSE)</f>
        <v>121571548180.02281</v>
      </c>
      <c r="AX1570" s="117">
        <f>VLOOKUP($D1570,'WB Data'!$C$3:$M$578,3,FALSE)</f>
        <v>28625628</v>
      </c>
      <c r="AY1570" s="847">
        <f t="shared" si="267"/>
        <v>2.9395836535923269E-2</v>
      </c>
      <c r="AZ1570" s="117">
        <f>VLOOKUP($D1570,'WB Data'!$C$3:$M$578,4,FALSE)/100</f>
        <v>0.20973667240502653</v>
      </c>
      <c r="BA1570" s="117">
        <f t="shared" si="268"/>
        <v>25498011974.405342</v>
      </c>
      <c r="BB1570" s="129">
        <f>IFERROR(VLOOKUP($D1570,'EITI Revenues'!$C$2:$G$224,5,FALSE),"..")</f>
        <v>3573697357.7190704</v>
      </c>
      <c r="BC1570" s="846">
        <f t="shared" si="269"/>
        <v>0.14015592122657694</v>
      </c>
      <c r="BD1570" s="129">
        <f>VLOOKUP($D1570,'WB Data 2'!$C$2:$K$545,6,FALSE)</f>
        <v>19689907936.979385</v>
      </c>
      <c r="BE1570" s="129">
        <f>IFERROR(VLOOKUP($D1570,UNCTAD!$C$5:$V$529,4,FALSE),"..")</f>
        <v>34667290000</v>
      </c>
      <c r="BF1570" s="846">
        <f t="shared" si="270"/>
        <v>0.5679679010669535</v>
      </c>
      <c r="BG1570" s="117">
        <f>VLOOKUP($D1570,'WB Data'!$C$3:$M$578,5,FALSE)</f>
        <v>463020000</v>
      </c>
      <c r="BH1570" s="129">
        <f>IFERROR($BB1570/$BG1570,"..")</f>
        <v>7.7182354060711642</v>
      </c>
      <c r="BI1570" s="117">
        <f>IFERROR(VLOOKUP($D1570,'WB Data'!$C$3:$M$578,7,FALSE)/100,"..")</f>
        <v>2.6741899999999999E-2</v>
      </c>
      <c r="BJ1570" s="117">
        <f>IFERROR($BI1570*$AW1570,"..")</f>
        <v>3251054184.275352</v>
      </c>
      <c r="BK1570" s="846">
        <f>IFERROR($BB1570/$BJ1570,"..")</f>
        <v>1.0992426318220945</v>
      </c>
      <c r="BL1570" s="117">
        <f>IFERROR(VLOOKUP($D1570,'WB Data'!$C$3:$M$578,7,FALSE)/100,"..")</f>
        <v>2.6741899999999999E-2</v>
      </c>
      <c r="BM1570" s="117">
        <f>IFERROR($AW1570*$BL1570,"..")</f>
        <v>3251054184.275352</v>
      </c>
      <c r="BN1570" s="846">
        <f>IFERROR($BB1570/$BM1570,"..")</f>
        <v>1.0992426318220945</v>
      </c>
      <c r="BO1570" s="801">
        <f t="shared" si="266"/>
        <v>38</v>
      </c>
      <c r="BP1570" s="117">
        <f>VLOOKUP($D1570,'WB Data'!$C$3:$M$578,9,FALSE)</f>
        <v>37.299999999999997</v>
      </c>
      <c r="BQ1570" s="117">
        <f>VLOOKUP($D1570,'WB Data'!$C$3:$M$578,10,FALSE)</f>
        <v>73.307292682926828</v>
      </c>
      <c r="BR1570" s="117">
        <f>VLOOKUP($D1570,'WB Data'!$C$3:$M$578,11,FALSE)</f>
        <v>17.399999999999999</v>
      </c>
      <c r="BS1570" s="129">
        <f>IFERROR(VLOOKUP($D1570,'WB Data 2'!$C$2:$K$545,9,FALSE),"..")</f>
        <v>97.638440000000003</v>
      </c>
      <c r="BT1570" s="129">
        <f>_xlfn.IFNA(VLOOKUP($C1570,RGI!$A$2:$C$43,2,FALSE),"..")</f>
        <v>76.8</v>
      </c>
      <c r="BU1570" s="129">
        <f>_xlfn.IFNA(VLOOKUP($C1570,RGI!$A$2:$C$43,3,FALSE),"..")</f>
        <v>72.816147461462435</v>
      </c>
      <c r="BV1570" s="129">
        <f>VLOOKUP($D1570,WGI!$C$2:$O$478,7,FALSE)</f>
        <v>0.102797518483968</v>
      </c>
      <c r="BW1570" s="129">
        <f>VLOOKUP($D1570,WGI!$C$2:$O$478,4,FALSE)</f>
        <v>-0.89730607728999101</v>
      </c>
      <c r="BX1570" s="129">
        <f>VLOOKUP($D1570,WGI!$C$2:$O$478,3,FALSE)</f>
        <v>-0.35724068854121799</v>
      </c>
      <c r="BY1570" s="129">
        <f>VLOOKUP($D1570,WGI!$C$2:$O$478,5,FALSE)</f>
        <v>0.34906767606171601</v>
      </c>
      <c r="BZ1570" s="129">
        <f>VLOOKUP($D1570,WGI!$C$2:$O$478,2,FALSE)</f>
        <v>-0.20419570946809601</v>
      </c>
      <c r="CB1570" s="129"/>
    </row>
    <row r="1571" spans="1:80" s="120" customFormat="1" ht="15" customHeight="1">
      <c r="A1571" s="294" t="s">
        <v>454</v>
      </c>
      <c r="B1571" s="117">
        <v>2008</v>
      </c>
      <c r="C1571" s="117" t="s">
        <v>449</v>
      </c>
      <c r="D1571" s="117" t="s">
        <v>3609</v>
      </c>
      <c r="E1571" s="452" t="s">
        <v>220</v>
      </c>
      <c r="F1571" s="117"/>
      <c r="G1571" s="120" t="s">
        <v>24</v>
      </c>
      <c r="H1571" s="117" t="str">
        <f t="shared" si="271"/>
        <v>yes</v>
      </c>
      <c r="I1571" s="117" t="str">
        <f t="shared" si="263"/>
        <v>no</v>
      </c>
      <c r="J1571" s="117" t="str">
        <f t="shared" si="264"/>
        <v>no</v>
      </c>
      <c r="K1571" s="117" t="s">
        <v>955</v>
      </c>
      <c r="L1571" s="117" t="str">
        <f t="shared" si="272"/>
        <v>detailed</v>
      </c>
      <c r="M1571" s="117" t="str">
        <f t="shared" si="265"/>
        <v>detailed Mining</v>
      </c>
      <c r="N1571" s="118"/>
      <c r="O1571" s="118"/>
      <c r="P1571" s="118"/>
      <c r="Q1571" s="118"/>
      <c r="R1571" s="118"/>
      <c r="S1571" s="117"/>
      <c r="T1571" s="119"/>
      <c r="U1571" s="117"/>
      <c r="V1571" s="117"/>
      <c r="W1571" s="89"/>
      <c r="X1571" s="117"/>
      <c r="Y1571" s="492"/>
      <c r="Z1571" s="492"/>
      <c r="AA1571" s="89"/>
      <c r="AB1571" s="89"/>
      <c r="AC1571" s="240"/>
      <c r="AD1571" s="240"/>
      <c r="AE1571" s="240"/>
      <c r="AF1571" s="241"/>
      <c r="AG1571" s="89"/>
      <c r="AH1571" s="124"/>
      <c r="AI1571" s="117"/>
      <c r="AJ1571" s="117"/>
      <c r="AK1571" s="89"/>
      <c r="AL1571" s="117"/>
      <c r="AM1571" s="117"/>
      <c r="AN1571" s="117"/>
      <c r="AO1571" s="117"/>
      <c r="AP1571" s="117"/>
      <c r="AQ1571" s="117"/>
      <c r="AR1571" s="117"/>
      <c r="AS1571" s="117"/>
      <c r="AT1571" s="117"/>
      <c r="AU1571" s="117"/>
      <c r="AV1571" s="128"/>
      <c r="AW1571" s="117">
        <f>VLOOKUP($D1571,'WB Data'!$C$3:$M$578,2,FALSE)</f>
        <v>121571548180.02281</v>
      </c>
      <c r="AX1571" s="117">
        <f>VLOOKUP($D1571,'WB Data'!$C$3:$M$578,3,FALSE)</f>
        <v>28625628</v>
      </c>
      <c r="AY1571" s="847">
        <f t="shared" si="267"/>
        <v>2.9395836535923269E-2</v>
      </c>
      <c r="AZ1571" s="117">
        <f>VLOOKUP($D1571,'WB Data'!$C$3:$M$578,4,FALSE)/100</f>
        <v>0.20973667240502653</v>
      </c>
      <c r="BA1571" s="117">
        <f t="shared" si="268"/>
        <v>25498011974.405342</v>
      </c>
      <c r="BB1571" s="129">
        <f>IFERROR(VLOOKUP($D1571,'EITI Revenues'!$C$2:$G$224,5,FALSE),"..")</f>
        <v>3573697357.7190704</v>
      </c>
      <c r="BC1571" s="846">
        <f t="shared" si="269"/>
        <v>0.14015592122657694</v>
      </c>
      <c r="BD1571" s="129">
        <f>VLOOKUP($D1571,'WB Data 2'!$C$2:$K$545,6,FALSE)</f>
        <v>19689907936.979385</v>
      </c>
      <c r="BE1571" s="129">
        <f>IFERROR(VLOOKUP($D1571,UNCTAD!$C$5:$V$529,4,FALSE),"..")</f>
        <v>34667290000</v>
      </c>
      <c r="BF1571" s="846">
        <f t="shared" si="270"/>
        <v>0.5679679010669535</v>
      </c>
      <c r="BG1571" s="117">
        <f>VLOOKUP($D1571,'WB Data'!$C$3:$M$578,5,FALSE)</f>
        <v>463020000</v>
      </c>
      <c r="BH1571" s="129">
        <f>IFERROR($BB1571/$BG1571,"..")</f>
        <v>7.7182354060711642</v>
      </c>
      <c r="BI1571" s="117">
        <f>IFERROR(VLOOKUP($D1571,'WB Data'!$C$3:$M$578,7,FALSE)/100,"..")</f>
        <v>2.6741899999999999E-2</v>
      </c>
      <c r="BJ1571" s="117">
        <f>IFERROR($BI1571*$AW1571,"..")</f>
        <v>3251054184.275352</v>
      </c>
      <c r="BK1571" s="846">
        <f>IFERROR($BB1571/$BJ1571,"..")</f>
        <v>1.0992426318220945</v>
      </c>
      <c r="BL1571" s="117">
        <f>IFERROR(VLOOKUP($D1571,'WB Data'!$C$3:$M$578,7,FALSE)/100,"..")</f>
        <v>2.6741899999999999E-2</v>
      </c>
      <c r="BM1571" s="117">
        <f>IFERROR($AW1571*$BL1571,"..")</f>
        <v>3251054184.275352</v>
      </c>
      <c r="BN1571" s="846">
        <f>IFERROR($BB1571/$BM1571,"..")</f>
        <v>1.0992426318220945</v>
      </c>
      <c r="BO1571" s="801">
        <f t="shared" si="266"/>
        <v>38</v>
      </c>
      <c r="BP1571" s="117">
        <f>VLOOKUP($D1571,'WB Data'!$C$3:$M$578,9,FALSE)</f>
        <v>37.299999999999997</v>
      </c>
      <c r="BQ1571" s="117">
        <f>VLOOKUP($D1571,'WB Data'!$C$3:$M$578,10,FALSE)</f>
        <v>73.307292682926828</v>
      </c>
      <c r="BR1571" s="117">
        <f>VLOOKUP($D1571,'WB Data'!$C$3:$M$578,11,FALSE)</f>
        <v>17.399999999999999</v>
      </c>
      <c r="BS1571" s="129">
        <f>IFERROR(VLOOKUP($D1571,'WB Data 2'!$C$2:$K$545,9,FALSE),"..")</f>
        <v>97.638440000000003</v>
      </c>
      <c r="BT1571" s="129">
        <f>_xlfn.IFNA(VLOOKUP($C1571,RGI!$A$2:$C$43,2,FALSE),"..")</f>
        <v>76.8</v>
      </c>
      <c r="BU1571" s="129">
        <f>_xlfn.IFNA(VLOOKUP($C1571,RGI!$A$2:$C$43,3,FALSE),"..")</f>
        <v>72.816147461462435</v>
      </c>
      <c r="BV1571" s="129">
        <f>VLOOKUP($D1571,WGI!$C$2:$O$478,7,FALSE)</f>
        <v>0.102797518483968</v>
      </c>
      <c r="BW1571" s="129">
        <f>VLOOKUP($D1571,WGI!$C$2:$O$478,4,FALSE)</f>
        <v>-0.89730607728999101</v>
      </c>
      <c r="BX1571" s="129">
        <f>VLOOKUP($D1571,WGI!$C$2:$O$478,3,FALSE)</f>
        <v>-0.35724068854121799</v>
      </c>
      <c r="BY1571" s="129">
        <f>VLOOKUP($D1571,WGI!$C$2:$O$478,5,FALSE)</f>
        <v>0.34906767606171601</v>
      </c>
      <c r="BZ1571" s="129">
        <f>VLOOKUP($D1571,WGI!$C$2:$O$478,2,FALSE)</f>
        <v>-0.20419570946809601</v>
      </c>
      <c r="CB1571" s="129"/>
    </row>
    <row r="1572" spans="1:80" s="120" customFormat="1" ht="15" customHeight="1">
      <c r="A1572" s="294" t="s">
        <v>454</v>
      </c>
      <c r="B1572" s="117">
        <v>2008</v>
      </c>
      <c r="C1572" s="117" t="s">
        <v>449</v>
      </c>
      <c r="D1572" s="117" t="s">
        <v>3609</v>
      </c>
      <c r="E1572" s="452" t="s">
        <v>220</v>
      </c>
      <c r="F1572" s="117"/>
      <c r="G1572" s="120" t="s">
        <v>24</v>
      </c>
      <c r="H1572" s="117" t="str">
        <f t="shared" si="271"/>
        <v>yes</v>
      </c>
      <c r="I1572" s="117" t="str">
        <f t="shared" si="263"/>
        <v>no</v>
      </c>
      <c r="J1572" s="117" t="str">
        <f t="shared" si="264"/>
        <v>no</v>
      </c>
      <c r="K1572" s="117" t="s">
        <v>1226</v>
      </c>
      <c r="L1572" s="117" t="str">
        <f t="shared" si="272"/>
        <v>detailed</v>
      </c>
      <c r="M1572" s="117" t="str">
        <f t="shared" si="265"/>
        <v>detailed Mining</v>
      </c>
      <c r="N1572" s="118"/>
      <c r="O1572" s="118"/>
      <c r="P1572" s="118"/>
      <c r="Q1572" s="118"/>
      <c r="R1572" s="118"/>
      <c r="S1572" s="117"/>
      <c r="T1572" s="119"/>
      <c r="U1572" s="117"/>
      <c r="V1572" s="117"/>
      <c r="W1572" s="89"/>
      <c r="X1572" s="117"/>
      <c r="Y1572" s="492"/>
      <c r="Z1572" s="492"/>
      <c r="AA1572" s="89"/>
      <c r="AB1572" s="89"/>
      <c r="AC1572" s="240"/>
      <c r="AD1572" s="240"/>
      <c r="AE1572" s="240"/>
      <c r="AF1572" s="241"/>
      <c r="AG1572" s="89"/>
      <c r="AH1572" s="124"/>
      <c r="AI1572" s="117"/>
      <c r="AJ1572" s="117"/>
      <c r="AK1572" s="89"/>
      <c r="AL1572" s="117"/>
      <c r="AM1572" s="117"/>
      <c r="AN1572" s="117"/>
      <c r="AO1572" s="117"/>
      <c r="AP1572" s="117"/>
      <c r="AQ1572" s="117"/>
      <c r="AR1572" s="117"/>
      <c r="AS1572" s="117"/>
      <c r="AT1572" s="117"/>
      <c r="AU1572" s="117"/>
      <c r="AV1572" s="128"/>
      <c r="AW1572" s="117">
        <f>VLOOKUP($D1572,'WB Data'!$C$3:$M$578,2,FALSE)</f>
        <v>121571548180.02281</v>
      </c>
      <c r="AX1572" s="117">
        <f>VLOOKUP($D1572,'WB Data'!$C$3:$M$578,3,FALSE)</f>
        <v>28625628</v>
      </c>
      <c r="AY1572" s="847">
        <f t="shared" si="267"/>
        <v>2.9395836535923269E-2</v>
      </c>
      <c r="AZ1572" s="117">
        <f>VLOOKUP($D1572,'WB Data'!$C$3:$M$578,4,FALSE)/100</f>
        <v>0.20973667240502653</v>
      </c>
      <c r="BA1572" s="117">
        <f t="shared" si="268"/>
        <v>25498011974.405342</v>
      </c>
      <c r="BB1572" s="129">
        <f>IFERROR(VLOOKUP($D1572,'EITI Revenues'!$C$2:$G$224,5,FALSE),"..")</f>
        <v>3573697357.7190704</v>
      </c>
      <c r="BC1572" s="846">
        <f t="shared" si="269"/>
        <v>0.14015592122657694</v>
      </c>
      <c r="BD1572" s="129">
        <f>VLOOKUP($D1572,'WB Data 2'!$C$2:$K$545,6,FALSE)</f>
        <v>19689907936.979385</v>
      </c>
      <c r="BE1572" s="129">
        <f>IFERROR(VLOOKUP($D1572,UNCTAD!$C$5:$V$529,4,FALSE),"..")</f>
        <v>34667290000</v>
      </c>
      <c r="BF1572" s="846">
        <f t="shared" si="270"/>
        <v>0.5679679010669535</v>
      </c>
      <c r="BG1572" s="117">
        <f>VLOOKUP($D1572,'WB Data'!$C$3:$M$578,5,FALSE)</f>
        <v>463020000</v>
      </c>
      <c r="BH1572" s="129">
        <f>IFERROR($BB1572/$BG1572,"..")</f>
        <v>7.7182354060711642</v>
      </c>
      <c r="BI1572" s="117">
        <f>IFERROR(VLOOKUP($D1572,'WB Data'!$C$3:$M$578,7,FALSE)/100,"..")</f>
        <v>2.6741899999999999E-2</v>
      </c>
      <c r="BJ1572" s="117">
        <f>IFERROR($BI1572*$AW1572,"..")</f>
        <v>3251054184.275352</v>
      </c>
      <c r="BK1572" s="846">
        <f>IFERROR($BB1572/$BJ1572,"..")</f>
        <v>1.0992426318220945</v>
      </c>
      <c r="BL1572" s="117">
        <f>IFERROR(VLOOKUP($D1572,'WB Data'!$C$3:$M$578,7,FALSE)/100,"..")</f>
        <v>2.6741899999999999E-2</v>
      </c>
      <c r="BM1572" s="117">
        <f>IFERROR($AW1572*$BL1572,"..")</f>
        <v>3251054184.275352</v>
      </c>
      <c r="BN1572" s="846">
        <f>IFERROR($BB1572/$BM1572,"..")</f>
        <v>1.0992426318220945</v>
      </c>
      <c r="BO1572" s="801">
        <f t="shared" si="266"/>
        <v>38</v>
      </c>
      <c r="BP1572" s="117">
        <f>VLOOKUP($D1572,'WB Data'!$C$3:$M$578,9,FALSE)</f>
        <v>37.299999999999997</v>
      </c>
      <c r="BQ1572" s="117">
        <f>VLOOKUP($D1572,'WB Data'!$C$3:$M$578,10,FALSE)</f>
        <v>73.307292682926828</v>
      </c>
      <c r="BR1572" s="117">
        <f>VLOOKUP($D1572,'WB Data'!$C$3:$M$578,11,FALSE)</f>
        <v>17.399999999999999</v>
      </c>
      <c r="BS1572" s="129">
        <f>IFERROR(VLOOKUP($D1572,'WB Data 2'!$C$2:$K$545,9,FALSE),"..")</f>
        <v>97.638440000000003</v>
      </c>
      <c r="BT1572" s="129">
        <f>_xlfn.IFNA(VLOOKUP($C1572,RGI!$A$2:$C$43,2,FALSE),"..")</f>
        <v>76.8</v>
      </c>
      <c r="BU1572" s="129">
        <f>_xlfn.IFNA(VLOOKUP($C1572,RGI!$A$2:$C$43,3,FALSE),"..")</f>
        <v>72.816147461462435</v>
      </c>
      <c r="BV1572" s="129">
        <f>VLOOKUP($D1572,WGI!$C$2:$O$478,7,FALSE)</f>
        <v>0.102797518483968</v>
      </c>
      <c r="BW1572" s="129">
        <f>VLOOKUP($D1572,WGI!$C$2:$O$478,4,FALSE)</f>
        <v>-0.89730607728999101</v>
      </c>
      <c r="BX1572" s="129">
        <f>VLOOKUP($D1572,WGI!$C$2:$O$478,3,FALSE)</f>
        <v>-0.35724068854121799</v>
      </c>
      <c r="BY1572" s="129">
        <f>VLOOKUP($D1572,WGI!$C$2:$O$478,5,FALSE)</f>
        <v>0.34906767606171601</v>
      </c>
      <c r="BZ1572" s="129">
        <f>VLOOKUP($D1572,WGI!$C$2:$O$478,2,FALSE)</f>
        <v>-0.20419570946809601</v>
      </c>
      <c r="CB1572" s="129"/>
    </row>
    <row r="1573" spans="1:80" s="120" customFormat="1" ht="15" customHeight="1">
      <c r="A1573" s="294" t="s">
        <v>454</v>
      </c>
      <c r="B1573" s="117">
        <v>2008</v>
      </c>
      <c r="C1573" s="117" t="s">
        <v>449</v>
      </c>
      <c r="D1573" s="117" t="s">
        <v>3609</v>
      </c>
      <c r="E1573" s="452" t="s">
        <v>220</v>
      </c>
      <c r="F1573" s="117"/>
      <c r="G1573" s="120" t="s">
        <v>24</v>
      </c>
      <c r="H1573" s="117" t="str">
        <f t="shared" si="271"/>
        <v>yes</v>
      </c>
      <c r="I1573" s="117" t="str">
        <f t="shared" si="263"/>
        <v>no</v>
      </c>
      <c r="J1573" s="117" t="str">
        <f t="shared" si="264"/>
        <v>no</v>
      </c>
      <c r="K1573" s="117" t="s">
        <v>2037</v>
      </c>
      <c r="L1573" s="117" t="str">
        <f t="shared" si="272"/>
        <v>detailed</v>
      </c>
      <c r="M1573" s="117" t="str">
        <f t="shared" si="265"/>
        <v>detailed Mining</v>
      </c>
      <c r="N1573" s="118"/>
      <c r="O1573" s="118"/>
      <c r="P1573" s="118"/>
      <c r="Q1573" s="118"/>
      <c r="R1573" s="118"/>
      <c r="S1573" s="117"/>
      <c r="T1573" s="119"/>
      <c r="U1573" s="117"/>
      <c r="V1573" s="117"/>
      <c r="W1573" s="89"/>
      <c r="X1573" s="117"/>
      <c r="Y1573" s="492"/>
      <c r="Z1573" s="492"/>
      <c r="AA1573" s="89"/>
      <c r="AB1573" s="89"/>
      <c r="AC1573" s="240"/>
      <c r="AD1573" s="240"/>
      <c r="AE1573" s="240"/>
      <c r="AF1573" s="241"/>
      <c r="AG1573" s="89"/>
      <c r="AH1573" s="124"/>
      <c r="AI1573" s="117"/>
      <c r="AJ1573" s="117"/>
      <c r="AK1573" s="89"/>
      <c r="AL1573" s="117"/>
      <c r="AM1573" s="117"/>
      <c r="AN1573" s="117"/>
      <c r="AO1573" s="117"/>
      <c r="AP1573" s="117"/>
      <c r="AQ1573" s="117"/>
      <c r="AR1573" s="117"/>
      <c r="AS1573" s="117"/>
      <c r="AT1573" s="117"/>
      <c r="AU1573" s="117"/>
      <c r="AV1573" s="128"/>
      <c r="AW1573" s="117">
        <f>VLOOKUP($D1573,'WB Data'!$C$3:$M$578,2,FALSE)</f>
        <v>121571548180.02281</v>
      </c>
      <c r="AX1573" s="117">
        <f>VLOOKUP($D1573,'WB Data'!$C$3:$M$578,3,FALSE)</f>
        <v>28625628</v>
      </c>
      <c r="AY1573" s="847">
        <f t="shared" si="267"/>
        <v>2.9395836535923269E-2</v>
      </c>
      <c r="AZ1573" s="117">
        <f>VLOOKUP($D1573,'WB Data'!$C$3:$M$578,4,FALSE)/100</f>
        <v>0.20973667240502653</v>
      </c>
      <c r="BA1573" s="117">
        <f t="shared" si="268"/>
        <v>25498011974.405342</v>
      </c>
      <c r="BB1573" s="129">
        <f>IFERROR(VLOOKUP($D1573,'EITI Revenues'!$C$2:$G$224,5,FALSE),"..")</f>
        <v>3573697357.7190704</v>
      </c>
      <c r="BC1573" s="846">
        <f t="shared" si="269"/>
        <v>0.14015592122657694</v>
      </c>
      <c r="BD1573" s="129">
        <f>VLOOKUP($D1573,'WB Data 2'!$C$2:$K$545,6,FALSE)</f>
        <v>19689907936.979385</v>
      </c>
      <c r="BE1573" s="129">
        <f>IFERROR(VLOOKUP($D1573,UNCTAD!$C$5:$V$529,4,FALSE),"..")</f>
        <v>34667290000</v>
      </c>
      <c r="BF1573" s="846">
        <f t="shared" si="270"/>
        <v>0.5679679010669535</v>
      </c>
      <c r="BG1573" s="117">
        <f>VLOOKUP($D1573,'WB Data'!$C$3:$M$578,5,FALSE)</f>
        <v>463020000</v>
      </c>
      <c r="BH1573" s="129">
        <f>IFERROR($BB1573/$BG1573,"..")</f>
        <v>7.7182354060711642</v>
      </c>
      <c r="BI1573" s="117">
        <f>IFERROR(VLOOKUP($D1573,'WB Data'!$C$3:$M$578,7,FALSE)/100,"..")</f>
        <v>2.6741899999999999E-2</v>
      </c>
      <c r="BJ1573" s="117">
        <f>IFERROR($BI1573*$AW1573,"..")</f>
        <v>3251054184.275352</v>
      </c>
      <c r="BK1573" s="846">
        <f>IFERROR($BB1573/$BJ1573,"..")</f>
        <v>1.0992426318220945</v>
      </c>
      <c r="BL1573" s="117">
        <f>IFERROR(VLOOKUP($D1573,'WB Data'!$C$3:$M$578,7,FALSE)/100,"..")</f>
        <v>2.6741899999999999E-2</v>
      </c>
      <c r="BM1573" s="117">
        <f>IFERROR($AW1573*$BL1573,"..")</f>
        <v>3251054184.275352</v>
      </c>
      <c r="BN1573" s="846">
        <f>IFERROR($BB1573/$BM1573,"..")</f>
        <v>1.0992426318220945</v>
      </c>
      <c r="BO1573" s="801">
        <f t="shared" si="266"/>
        <v>38</v>
      </c>
      <c r="BP1573" s="117">
        <f>VLOOKUP($D1573,'WB Data'!$C$3:$M$578,9,FALSE)</f>
        <v>37.299999999999997</v>
      </c>
      <c r="BQ1573" s="117">
        <f>VLOOKUP($D1573,'WB Data'!$C$3:$M$578,10,FALSE)</f>
        <v>73.307292682926828</v>
      </c>
      <c r="BR1573" s="117">
        <f>VLOOKUP($D1573,'WB Data'!$C$3:$M$578,11,FALSE)</f>
        <v>17.399999999999999</v>
      </c>
      <c r="BS1573" s="129">
        <f>IFERROR(VLOOKUP($D1573,'WB Data 2'!$C$2:$K$545,9,FALSE),"..")</f>
        <v>97.638440000000003</v>
      </c>
      <c r="BT1573" s="129">
        <f>_xlfn.IFNA(VLOOKUP($C1573,RGI!$A$2:$C$43,2,FALSE),"..")</f>
        <v>76.8</v>
      </c>
      <c r="BU1573" s="129">
        <f>_xlfn.IFNA(VLOOKUP($C1573,RGI!$A$2:$C$43,3,FALSE),"..")</f>
        <v>72.816147461462435</v>
      </c>
      <c r="BV1573" s="129">
        <f>VLOOKUP($D1573,WGI!$C$2:$O$478,7,FALSE)</f>
        <v>0.102797518483968</v>
      </c>
      <c r="BW1573" s="129">
        <f>VLOOKUP($D1573,WGI!$C$2:$O$478,4,FALSE)</f>
        <v>-0.89730607728999101</v>
      </c>
      <c r="BX1573" s="129">
        <f>VLOOKUP($D1573,WGI!$C$2:$O$478,3,FALSE)</f>
        <v>-0.35724068854121799</v>
      </c>
      <c r="BY1573" s="129">
        <f>VLOOKUP($D1573,WGI!$C$2:$O$478,5,FALSE)</f>
        <v>0.34906767606171601</v>
      </c>
      <c r="BZ1573" s="129">
        <f>VLOOKUP($D1573,WGI!$C$2:$O$478,2,FALSE)</f>
        <v>-0.20419570946809601</v>
      </c>
      <c r="CB1573" s="129"/>
    </row>
    <row r="1574" spans="1:80" s="120" customFormat="1" ht="15" customHeight="1">
      <c r="A1574" s="294" t="s">
        <v>454</v>
      </c>
      <c r="B1574" s="117">
        <v>2008</v>
      </c>
      <c r="C1574" s="117" t="s">
        <v>449</v>
      </c>
      <c r="D1574" s="117" t="s">
        <v>3609</v>
      </c>
      <c r="E1574" s="452" t="s">
        <v>220</v>
      </c>
      <c r="F1574" s="117"/>
      <c r="G1574" s="120" t="s">
        <v>24</v>
      </c>
      <c r="H1574" s="117" t="str">
        <f t="shared" si="271"/>
        <v>yes</v>
      </c>
      <c r="I1574" s="117" t="str">
        <f t="shared" si="263"/>
        <v>no</v>
      </c>
      <c r="J1574" s="117" t="str">
        <f t="shared" si="264"/>
        <v>no</v>
      </c>
      <c r="K1574" s="117" t="s">
        <v>1228</v>
      </c>
      <c r="L1574" s="117" t="str">
        <f t="shared" si="272"/>
        <v>detailed</v>
      </c>
      <c r="M1574" s="117" t="str">
        <f t="shared" si="265"/>
        <v>detailed Mining</v>
      </c>
      <c r="N1574" s="118"/>
      <c r="O1574" s="118"/>
      <c r="P1574" s="118"/>
      <c r="Q1574" s="118"/>
      <c r="R1574" s="118"/>
      <c r="S1574" s="117"/>
      <c r="T1574" s="119"/>
      <c r="U1574" s="117"/>
      <c r="V1574" s="117"/>
      <c r="W1574" s="89"/>
      <c r="X1574" s="117"/>
      <c r="Y1574" s="492"/>
      <c r="Z1574" s="492"/>
      <c r="AA1574" s="89"/>
      <c r="AB1574" s="89"/>
      <c r="AC1574" s="240"/>
      <c r="AD1574" s="240"/>
      <c r="AE1574" s="240"/>
      <c r="AF1574" s="241"/>
      <c r="AG1574" s="89"/>
      <c r="AH1574" s="124"/>
      <c r="AI1574" s="117"/>
      <c r="AJ1574" s="117"/>
      <c r="AK1574" s="89"/>
      <c r="AL1574" s="117"/>
      <c r="AM1574" s="117"/>
      <c r="AN1574" s="117"/>
      <c r="AO1574" s="117"/>
      <c r="AP1574" s="117"/>
      <c r="AQ1574" s="117"/>
      <c r="AR1574" s="117"/>
      <c r="AS1574" s="117"/>
      <c r="AT1574" s="117"/>
      <c r="AU1574" s="117"/>
      <c r="AV1574" s="128"/>
      <c r="AW1574" s="117">
        <f>VLOOKUP($D1574,'WB Data'!$C$3:$M$578,2,FALSE)</f>
        <v>121571548180.02281</v>
      </c>
      <c r="AX1574" s="117">
        <f>VLOOKUP($D1574,'WB Data'!$C$3:$M$578,3,FALSE)</f>
        <v>28625628</v>
      </c>
      <c r="AY1574" s="847">
        <f t="shared" si="267"/>
        <v>2.9395836535923269E-2</v>
      </c>
      <c r="AZ1574" s="117">
        <f>VLOOKUP($D1574,'WB Data'!$C$3:$M$578,4,FALSE)/100</f>
        <v>0.20973667240502653</v>
      </c>
      <c r="BA1574" s="117">
        <f t="shared" si="268"/>
        <v>25498011974.405342</v>
      </c>
      <c r="BB1574" s="129">
        <f>IFERROR(VLOOKUP($D1574,'EITI Revenues'!$C$2:$G$224,5,FALSE),"..")</f>
        <v>3573697357.7190704</v>
      </c>
      <c r="BC1574" s="846">
        <f t="shared" si="269"/>
        <v>0.14015592122657694</v>
      </c>
      <c r="BD1574" s="129">
        <f>VLOOKUP($D1574,'WB Data 2'!$C$2:$K$545,6,FALSE)</f>
        <v>19689907936.979385</v>
      </c>
      <c r="BE1574" s="129">
        <f>IFERROR(VLOOKUP($D1574,UNCTAD!$C$5:$V$529,4,FALSE),"..")</f>
        <v>34667290000</v>
      </c>
      <c r="BF1574" s="846">
        <f t="shared" si="270"/>
        <v>0.5679679010669535</v>
      </c>
      <c r="BG1574" s="117">
        <f>VLOOKUP($D1574,'WB Data'!$C$3:$M$578,5,FALSE)</f>
        <v>463020000</v>
      </c>
      <c r="BH1574" s="129">
        <f>IFERROR($BB1574/$BG1574,"..")</f>
        <v>7.7182354060711642</v>
      </c>
      <c r="BI1574" s="117">
        <f>IFERROR(VLOOKUP($D1574,'WB Data'!$C$3:$M$578,7,FALSE)/100,"..")</f>
        <v>2.6741899999999999E-2</v>
      </c>
      <c r="BJ1574" s="117">
        <f>IFERROR($BI1574*$AW1574,"..")</f>
        <v>3251054184.275352</v>
      </c>
      <c r="BK1574" s="846">
        <f>IFERROR($BB1574/$BJ1574,"..")</f>
        <v>1.0992426318220945</v>
      </c>
      <c r="BL1574" s="117">
        <f>IFERROR(VLOOKUP($D1574,'WB Data'!$C$3:$M$578,7,FALSE)/100,"..")</f>
        <v>2.6741899999999999E-2</v>
      </c>
      <c r="BM1574" s="117">
        <f>IFERROR($AW1574*$BL1574,"..")</f>
        <v>3251054184.275352</v>
      </c>
      <c r="BN1574" s="846">
        <f>IFERROR($BB1574/$BM1574,"..")</f>
        <v>1.0992426318220945</v>
      </c>
      <c r="BO1574" s="801">
        <f t="shared" si="266"/>
        <v>38</v>
      </c>
      <c r="BP1574" s="117">
        <f>VLOOKUP($D1574,'WB Data'!$C$3:$M$578,9,FALSE)</f>
        <v>37.299999999999997</v>
      </c>
      <c r="BQ1574" s="117">
        <f>VLOOKUP($D1574,'WB Data'!$C$3:$M$578,10,FALSE)</f>
        <v>73.307292682926828</v>
      </c>
      <c r="BR1574" s="117">
        <f>VLOOKUP($D1574,'WB Data'!$C$3:$M$578,11,FALSE)</f>
        <v>17.399999999999999</v>
      </c>
      <c r="BS1574" s="129">
        <f>IFERROR(VLOOKUP($D1574,'WB Data 2'!$C$2:$K$545,9,FALSE),"..")</f>
        <v>97.638440000000003</v>
      </c>
      <c r="BT1574" s="129">
        <f>_xlfn.IFNA(VLOOKUP($C1574,RGI!$A$2:$C$43,2,FALSE),"..")</f>
        <v>76.8</v>
      </c>
      <c r="BU1574" s="129">
        <f>_xlfn.IFNA(VLOOKUP($C1574,RGI!$A$2:$C$43,3,FALSE),"..")</f>
        <v>72.816147461462435</v>
      </c>
      <c r="BV1574" s="129">
        <f>VLOOKUP($D1574,WGI!$C$2:$O$478,7,FALSE)</f>
        <v>0.102797518483968</v>
      </c>
      <c r="BW1574" s="129">
        <f>VLOOKUP($D1574,WGI!$C$2:$O$478,4,FALSE)</f>
        <v>-0.89730607728999101</v>
      </c>
      <c r="BX1574" s="129">
        <f>VLOOKUP($D1574,WGI!$C$2:$O$478,3,FALSE)</f>
        <v>-0.35724068854121799</v>
      </c>
      <c r="BY1574" s="129">
        <f>VLOOKUP($D1574,WGI!$C$2:$O$478,5,FALSE)</f>
        <v>0.34906767606171601</v>
      </c>
      <c r="BZ1574" s="129">
        <f>VLOOKUP($D1574,WGI!$C$2:$O$478,2,FALSE)</f>
        <v>-0.20419570946809601</v>
      </c>
      <c r="CB1574" s="129"/>
    </row>
    <row r="1575" spans="1:80" s="120" customFormat="1" ht="15" customHeight="1">
      <c r="A1575" s="294" t="s">
        <v>454</v>
      </c>
      <c r="B1575" s="117">
        <v>2008</v>
      </c>
      <c r="C1575" s="117" t="s">
        <v>449</v>
      </c>
      <c r="D1575" s="117" t="s">
        <v>3609</v>
      </c>
      <c r="E1575" s="452" t="s">
        <v>220</v>
      </c>
      <c r="F1575" s="117"/>
      <c r="G1575" s="120" t="s">
        <v>24</v>
      </c>
      <c r="H1575" s="117" t="str">
        <f t="shared" si="271"/>
        <v>yes</v>
      </c>
      <c r="I1575" s="117" t="str">
        <f t="shared" si="263"/>
        <v>no</v>
      </c>
      <c r="J1575" s="117" t="str">
        <f t="shared" si="264"/>
        <v>no</v>
      </c>
      <c r="K1575" s="117" t="s">
        <v>1230</v>
      </c>
      <c r="L1575" s="117" t="str">
        <f t="shared" si="272"/>
        <v>detailed</v>
      </c>
      <c r="M1575" s="117" t="str">
        <f t="shared" si="265"/>
        <v>detailed Mining</v>
      </c>
      <c r="N1575" s="118"/>
      <c r="O1575" s="118"/>
      <c r="P1575" s="118"/>
      <c r="Q1575" s="118"/>
      <c r="R1575" s="118"/>
      <c r="S1575" s="117"/>
      <c r="T1575" s="119"/>
      <c r="U1575" s="117"/>
      <c r="V1575" s="117"/>
      <c r="W1575" s="89"/>
      <c r="X1575" s="117"/>
      <c r="Y1575" s="492"/>
      <c r="Z1575" s="492"/>
      <c r="AA1575" s="89"/>
      <c r="AB1575" s="89"/>
      <c r="AC1575" s="240"/>
      <c r="AD1575" s="240"/>
      <c r="AE1575" s="240"/>
      <c r="AF1575" s="241"/>
      <c r="AG1575" s="89"/>
      <c r="AH1575" s="124"/>
      <c r="AI1575" s="117"/>
      <c r="AJ1575" s="117"/>
      <c r="AK1575" s="89"/>
      <c r="AL1575" s="117"/>
      <c r="AM1575" s="117"/>
      <c r="AN1575" s="117"/>
      <c r="AO1575" s="117"/>
      <c r="AP1575" s="117"/>
      <c r="AQ1575" s="117"/>
      <c r="AR1575" s="117"/>
      <c r="AS1575" s="117"/>
      <c r="AT1575" s="117"/>
      <c r="AU1575" s="117"/>
      <c r="AV1575" s="128"/>
      <c r="AW1575" s="117">
        <f>VLOOKUP($D1575,'WB Data'!$C$3:$M$578,2,FALSE)</f>
        <v>121571548180.02281</v>
      </c>
      <c r="AX1575" s="117">
        <f>VLOOKUP($D1575,'WB Data'!$C$3:$M$578,3,FALSE)</f>
        <v>28625628</v>
      </c>
      <c r="AY1575" s="847">
        <f t="shared" si="267"/>
        <v>2.9395836535923269E-2</v>
      </c>
      <c r="AZ1575" s="117">
        <f>VLOOKUP($D1575,'WB Data'!$C$3:$M$578,4,FALSE)/100</f>
        <v>0.20973667240502653</v>
      </c>
      <c r="BA1575" s="117">
        <f t="shared" si="268"/>
        <v>25498011974.405342</v>
      </c>
      <c r="BB1575" s="129">
        <f>IFERROR(VLOOKUP($D1575,'EITI Revenues'!$C$2:$G$224,5,FALSE),"..")</f>
        <v>3573697357.7190704</v>
      </c>
      <c r="BC1575" s="846">
        <f t="shared" si="269"/>
        <v>0.14015592122657694</v>
      </c>
      <c r="BD1575" s="129">
        <f>VLOOKUP($D1575,'WB Data 2'!$C$2:$K$545,6,FALSE)</f>
        <v>19689907936.979385</v>
      </c>
      <c r="BE1575" s="129">
        <f>IFERROR(VLOOKUP($D1575,UNCTAD!$C$5:$V$529,4,FALSE),"..")</f>
        <v>34667290000</v>
      </c>
      <c r="BF1575" s="846">
        <f t="shared" si="270"/>
        <v>0.5679679010669535</v>
      </c>
      <c r="BG1575" s="117">
        <f>VLOOKUP($D1575,'WB Data'!$C$3:$M$578,5,FALSE)</f>
        <v>463020000</v>
      </c>
      <c r="BH1575" s="129">
        <f>IFERROR($BB1575/$BG1575,"..")</f>
        <v>7.7182354060711642</v>
      </c>
      <c r="BI1575" s="117">
        <f>IFERROR(VLOOKUP($D1575,'WB Data'!$C$3:$M$578,7,FALSE)/100,"..")</f>
        <v>2.6741899999999999E-2</v>
      </c>
      <c r="BJ1575" s="117">
        <f>IFERROR($BI1575*$AW1575,"..")</f>
        <v>3251054184.275352</v>
      </c>
      <c r="BK1575" s="846">
        <f>IFERROR($BB1575/$BJ1575,"..")</f>
        <v>1.0992426318220945</v>
      </c>
      <c r="BL1575" s="117">
        <f>IFERROR(VLOOKUP($D1575,'WB Data'!$C$3:$M$578,7,FALSE)/100,"..")</f>
        <v>2.6741899999999999E-2</v>
      </c>
      <c r="BM1575" s="117">
        <f>IFERROR($AW1575*$BL1575,"..")</f>
        <v>3251054184.275352</v>
      </c>
      <c r="BN1575" s="846">
        <f>IFERROR($BB1575/$BM1575,"..")</f>
        <v>1.0992426318220945</v>
      </c>
      <c r="BO1575" s="801">
        <f t="shared" si="266"/>
        <v>38</v>
      </c>
      <c r="BP1575" s="117">
        <f>VLOOKUP($D1575,'WB Data'!$C$3:$M$578,9,FALSE)</f>
        <v>37.299999999999997</v>
      </c>
      <c r="BQ1575" s="117">
        <f>VLOOKUP($D1575,'WB Data'!$C$3:$M$578,10,FALSE)</f>
        <v>73.307292682926828</v>
      </c>
      <c r="BR1575" s="117">
        <f>VLOOKUP($D1575,'WB Data'!$C$3:$M$578,11,FALSE)</f>
        <v>17.399999999999999</v>
      </c>
      <c r="BS1575" s="129">
        <f>IFERROR(VLOOKUP($D1575,'WB Data 2'!$C$2:$K$545,9,FALSE),"..")</f>
        <v>97.638440000000003</v>
      </c>
      <c r="BT1575" s="129">
        <f>_xlfn.IFNA(VLOOKUP($C1575,RGI!$A$2:$C$43,2,FALSE),"..")</f>
        <v>76.8</v>
      </c>
      <c r="BU1575" s="129">
        <f>_xlfn.IFNA(VLOOKUP($C1575,RGI!$A$2:$C$43,3,FALSE),"..")</f>
        <v>72.816147461462435</v>
      </c>
      <c r="BV1575" s="129">
        <f>VLOOKUP($D1575,WGI!$C$2:$O$478,7,FALSE)</f>
        <v>0.102797518483968</v>
      </c>
      <c r="BW1575" s="129">
        <f>VLOOKUP($D1575,WGI!$C$2:$O$478,4,FALSE)</f>
        <v>-0.89730607728999101</v>
      </c>
      <c r="BX1575" s="129">
        <f>VLOOKUP($D1575,WGI!$C$2:$O$478,3,FALSE)</f>
        <v>-0.35724068854121799</v>
      </c>
      <c r="BY1575" s="129">
        <f>VLOOKUP($D1575,WGI!$C$2:$O$478,5,FALSE)</f>
        <v>0.34906767606171601</v>
      </c>
      <c r="BZ1575" s="129">
        <f>VLOOKUP($D1575,WGI!$C$2:$O$478,2,FALSE)</f>
        <v>-0.20419570946809601</v>
      </c>
      <c r="CB1575" s="129"/>
    </row>
    <row r="1576" spans="1:80" s="120" customFormat="1" ht="15" customHeight="1">
      <c r="A1576" s="294" t="s">
        <v>454</v>
      </c>
      <c r="B1576" s="117">
        <v>2008</v>
      </c>
      <c r="C1576" s="117" t="s">
        <v>449</v>
      </c>
      <c r="D1576" s="117" t="s">
        <v>3609</v>
      </c>
      <c r="E1576" s="452" t="s">
        <v>220</v>
      </c>
      <c r="F1576" s="117"/>
      <c r="G1576" s="120" t="s">
        <v>24</v>
      </c>
      <c r="H1576" s="117" t="str">
        <f t="shared" si="271"/>
        <v>yes</v>
      </c>
      <c r="I1576" s="117" t="str">
        <f t="shared" si="263"/>
        <v>no</v>
      </c>
      <c r="J1576" s="117" t="str">
        <f t="shared" si="264"/>
        <v>no</v>
      </c>
      <c r="K1576" s="117" t="s">
        <v>1473</v>
      </c>
      <c r="L1576" s="117" t="str">
        <f t="shared" si="272"/>
        <v>detailed</v>
      </c>
      <c r="M1576" s="117" t="str">
        <f t="shared" si="265"/>
        <v>detailed Mining</v>
      </c>
      <c r="N1576" s="118"/>
      <c r="O1576" s="118"/>
      <c r="P1576" s="118"/>
      <c r="Q1576" s="118"/>
      <c r="R1576" s="118"/>
      <c r="S1576" s="117"/>
      <c r="T1576" s="119"/>
      <c r="U1576" s="117"/>
      <c r="V1576" s="117"/>
      <c r="W1576" s="89"/>
      <c r="X1576" s="117"/>
      <c r="Y1576" s="89"/>
      <c r="Z1576" s="89"/>
      <c r="AA1576" s="117"/>
      <c r="AB1576" s="117"/>
      <c r="AC1576" s="462"/>
      <c r="AD1576" s="462"/>
      <c r="AE1576" s="462"/>
      <c r="AF1576" s="463"/>
      <c r="AG1576" s="89"/>
      <c r="AH1576" s="124"/>
      <c r="AI1576" s="117"/>
      <c r="AJ1576" s="117"/>
      <c r="AK1576" s="89"/>
      <c r="AL1576" s="117"/>
      <c r="AM1576" s="117"/>
      <c r="AN1576" s="117"/>
      <c r="AO1576" s="117"/>
      <c r="AP1576" s="117"/>
      <c r="AQ1576" s="117"/>
      <c r="AR1576" s="117"/>
      <c r="AS1576" s="117"/>
      <c r="AT1576" s="117"/>
      <c r="AU1576" s="117"/>
      <c r="AV1576" s="128"/>
      <c r="AW1576" s="117">
        <f>VLOOKUP($D1576,'WB Data'!$C$3:$M$578,2,FALSE)</f>
        <v>121571548180.02281</v>
      </c>
      <c r="AX1576" s="117">
        <f>VLOOKUP($D1576,'WB Data'!$C$3:$M$578,3,FALSE)</f>
        <v>28625628</v>
      </c>
      <c r="AY1576" s="847">
        <f t="shared" si="267"/>
        <v>2.9395836535923269E-2</v>
      </c>
      <c r="AZ1576" s="117">
        <f>VLOOKUP($D1576,'WB Data'!$C$3:$M$578,4,FALSE)/100</f>
        <v>0.20973667240502653</v>
      </c>
      <c r="BA1576" s="117">
        <f t="shared" si="268"/>
        <v>25498011974.405342</v>
      </c>
      <c r="BB1576" s="129">
        <f>IFERROR(VLOOKUP($D1576,'EITI Revenues'!$C$2:$G$224,5,FALSE),"..")</f>
        <v>3573697357.7190704</v>
      </c>
      <c r="BC1576" s="846">
        <f t="shared" si="269"/>
        <v>0.14015592122657694</v>
      </c>
      <c r="BD1576" s="129">
        <f>VLOOKUP($D1576,'WB Data 2'!$C$2:$K$545,6,FALSE)</f>
        <v>19689907936.979385</v>
      </c>
      <c r="BE1576" s="129">
        <f>IFERROR(VLOOKUP($D1576,UNCTAD!$C$5:$V$529,4,FALSE),"..")</f>
        <v>34667290000</v>
      </c>
      <c r="BF1576" s="846">
        <f t="shared" si="270"/>
        <v>0.5679679010669535</v>
      </c>
      <c r="BG1576" s="117">
        <f>VLOOKUP($D1576,'WB Data'!$C$3:$M$578,5,FALSE)</f>
        <v>463020000</v>
      </c>
      <c r="BH1576" s="129">
        <f>IFERROR($BB1576/$BG1576,"..")</f>
        <v>7.7182354060711642</v>
      </c>
      <c r="BI1576" s="117">
        <f>IFERROR(VLOOKUP($D1576,'WB Data'!$C$3:$M$578,7,FALSE)/100,"..")</f>
        <v>2.6741899999999999E-2</v>
      </c>
      <c r="BJ1576" s="117">
        <f>IFERROR($BI1576*$AW1576,"..")</f>
        <v>3251054184.275352</v>
      </c>
      <c r="BK1576" s="846">
        <f>IFERROR($BB1576/$BJ1576,"..")</f>
        <v>1.0992426318220945</v>
      </c>
      <c r="BL1576" s="117">
        <f>IFERROR(VLOOKUP($D1576,'WB Data'!$C$3:$M$578,7,FALSE)/100,"..")</f>
        <v>2.6741899999999999E-2</v>
      </c>
      <c r="BM1576" s="117">
        <f>IFERROR($AW1576*$BL1576,"..")</f>
        <v>3251054184.275352</v>
      </c>
      <c r="BN1576" s="846">
        <f>IFERROR($BB1576/$BM1576,"..")</f>
        <v>1.0992426318220945</v>
      </c>
      <c r="BO1576" s="801">
        <f t="shared" si="266"/>
        <v>38</v>
      </c>
      <c r="BP1576" s="117">
        <f>VLOOKUP($D1576,'WB Data'!$C$3:$M$578,9,FALSE)</f>
        <v>37.299999999999997</v>
      </c>
      <c r="BQ1576" s="117">
        <f>VLOOKUP($D1576,'WB Data'!$C$3:$M$578,10,FALSE)</f>
        <v>73.307292682926828</v>
      </c>
      <c r="BR1576" s="117">
        <f>VLOOKUP($D1576,'WB Data'!$C$3:$M$578,11,FALSE)</f>
        <v>17.399999999999999</v>
      </c>
      <c r="BS1576" s="129">
        <f>IFERROR(VLOOKUP($D1576,'WB Data 2'!$C$2:$K$545,9,FALSE),"..")</f>
        <v>97.638440000000003</v>
      </c>
      <c r="BT1576" s="129">
        <f>_xlfn.IFNA(VLOOKUP($C1576,RGI!$A$2:$C$43,2,FALSE),"..")</f>
        <v>76.8</v>
      </c>
      <c r="BU1576" s="129">
        <f>_xlfn.IFNA(VLOOKUP($C1576,RGI!$A$2:$C$43,3,FALSE),"..")</f>
        <v>72.816147461462435</v>
      </c>
      <c r="BV1576" s="129">
        <f>VLOOKUP($D1576,WGI!$C$2:$O$478,7,FALSE)</f>
        <v>0.102797518483968</v>
      </c>
      <c r="BW1576" s="129">
        <f>VLOOKUP($D1576,WGI!$C$2:$O$478,4,FALSE)</f>
        <v>-0.89730607728999101</v>
      </c>
      <c r="BX1576" s="129">
        <f>VLOOKUP($D1576,WGI!$C$2:$O$478,3,FALSE)</f>
        <v>-0.35724068854121799</v>
      </c>
      <c r="BY1576" s="129">
        <f>VLOOKUP($D1576,WGI!$C$2:$O$478,5,FALSE)</f>
        <v>0.34906767606171601</v>
      </c>
      <c r="BZ1576" s="129">
        <f>VLOOKUP($D1576,WGI!$C$2:$O$478,2,FALSE)</f>
        <v>-0.20419570946809601</v>
      </c>
      <c r="CB1576" s="129"/>
    </row>
    <row r="1577" spans="1:80" s="120" customFormat="1" ht="15" customHeight="1">
      <c r="A1577" s="294" t="s">
        <v>454</v>
      </c>
      <c r="B1577" s="117">
        <v>2008</v>
      </c>
      <c r="C1577" s="117" t="s">
        <v>449</v>
      </c>
      <c r="D1577" s="117" t="s">
        <v>3609</v>
      </c>
      <c r="E1577" s="452" t="s">
        <v>220</v>
      </c>
      <c r="F1577" s="117"/>
      <c r="G1577" s="120" t="s">
        <v>24</v>
      </c>
      <c r="H1577" s="117" t="str">
        <f t="shared" si="271"/>
        <v>yes</v>
      </c>
      <c r="I1577" s="117" t="str">
        <f t="shared" si="263"/>
        <v>no</v>
      </c>
      <c r="J1577" s="117" t="str">
        <f t="shared" si="264"/>
        <v>no</v>
      </c>
      <c r="K1577" s="117" t="s">
        <v>2098</v>
      </c>
      <c r="L1577" s="117" t="str">
        <f t="shared" si="272"/>
        <v>detailed</v>
      </c>
      <c r="M1577" s="117" t="str">
        <f t="shared" si="265"/>
        <v>detailed Mining</v>
      </c>
      <c r="N1577" s="118"/>
      <c r="O1577" s="118"/>
      <c r="P1577" s="118"/>
      <c r="Q1577" s="118"/>
      <c r="R1577" s="118"/>
      <c r="S1577" s="117"/>
      <c r="T1577" s="119"/>
      <c r="U1577" s="117"/>
      <c r="V1577" s="117"/>
      <c r="W1577" s="89"/>
      <c r="X1577" s="117"/>
      <c r="AA1577" s="89"/>
      <c r="AB1577" s="89"/>
      <c r="AC1577" s="240"/>
      <c r="AD1577" s="240"/>
      <c r="AE1577" s="240"/>
      <c r="AF1577" s="241"/>
      <c r="AH1577" s="124"/>
      <c r="AI1577" s="117"/>
      <c r="AJ1577" s="117"/>
      <c r="AK1577" s="89"/>
      <c r="AL1577" s="117"/>
      <c r="AM1577" s="117"/>
      <c r="AN1577" s="117"/>
      <c r="AO1577" s="117"/>
      <c r="AP1577" s="117"/>
      <c r="AQ1577" s="117"/>
      <c r="AR1577" s="117"/>
      <c r="AS1577" s="117"/>
      <c r="AT1577" s="117"/>
      <c r="AU1577" s="117"/>
      <c r="AV1577" s="128"/>
      <c r="AW1577" s="117">
        <f>VLOOKUP($D1577,'WB Data'!$C$3:$M$578,2,FALSE)</f>
        <v>121571548180.02281</v>
      </c>
      <c r="AX1577" s="117">
        <f>VLOOKUP($D1577,'WB Data'!$C$3:$M$578,3,FALSE)</f>
        <v>28625628</v>
      </c>
      <c r="AY1577" s="847">
        <f t="shared" si="267"/>
        <v>2.9395836535923269E-2</v>
      </c>
      <c r="AZ1577" s="117">
        <f>VLOOKUP($D1577,'WB Data'!$C$3:$M$578,4,FALSE)/100</f>
        <v>0.20973667240502653</v>
      </c>
      <c r="BA1577" s="117">
        <f t="shared" si="268"/>
        <v>25498011974.405342</v>
      </c>
      <c r="BB1577" s="129">
        <f>IFERROR(VLOOKUP($D1577,'EITI Revenues'!$C$2:$G$224,5,FALSE),"..")</f>
        <v>3573697357.7190704</v>
      </c>
      <c r="BC1577" s="846">
        <f t="shared" si="269"/>
        <v>0.14015592122657694</v>
      </c>
      <c r="BD1577" s="129">
        <f>VLOOKUP($D1577,'WB Data 2'!$C$2:$K$545,6,FALSE)</f>
        <v>19689907936.979385</v>
      </c>
      <c r="BE1577" s="129">
        <f>IFERROR(VLOOKUP($D1577,UNCTAD!$C$5:$V$529,4,FALSE),"..")</f>
        <v>34667290000</v>
      </c>
      <c r="BF1577" s="846">
        <f t="shared" si="270"/>
        <v>0.5679679010669535</v>
      </c>
      <c r="BG1577" s="117">
        <f>VLOOKUP($D1577,'WB Data'!$C$3:$M$578,5,FALSE)</f>
        <v>463020000</v>
      </c>
      <c r="BH1577" s="129">
        <f>IFERROR($BB1577/$BG1577,"..")</f>
        <v>7.7182354060711642</v>
      </c>
      <c r="BI1577" s="117">
        <f>IFERROR(VLOOKUP($D1577,'WB Data'!$C$3:$M$578,7,FALSE)/100,"..")</f>
        <v>2.6741899999999999E-2</v>
      </c>
      <c r="BJ1577" s="117">
        <f>IFERROR($BI1577*$AW1577,"..")</f>
        <v>3251054184.275352</v>
      </c>
      <c r="BK1577" s="846">
        <f>IFERROR($BB1577/$BJ1577,"..")</f>
        <v>1.0992426318220945</v>
      </c>
      <c r="BL1577" s="117">
        <f>IFERROR(VLOOKUP($D1577,'WB Data'!$C$3:$M$578,7,FALSE)/100,"..")</f>
        <v>2.6741899999999999E-2</v>
      </c>
      <c r="BM1577" s="117">
        <f>IFERROR($AW1577*$BL1577,"..")</f>
        <v>3251054184.275352</v>
      </c>
      <c r="BN1577" s="846">
        <f>IFERROR($BB1577/$BM1577,"..")</f>
        <v>1.0992426318220945</v>
      </c>
      <c r="BO1577" s="801">
        <f t="shared" si="266"/>
        <v>38</v>
      </c>
      <c r="BP1577" s="117">
        <f>VLOOKUP($D1577,'WB Data'!$C$3:$M$578,9,FALSE)</f>
        <v>37.299999999999997</v>
      </c>
      <c r="BQ1577" s="117">
        <f>VLOOKUP($D1577,'WB Data'!$C$3:$M$578,10,FALSE)</f>
        <v>73.307292682926828</v>
      </c>
      <c r="BR1577" s="117">
        <f>VLOOKUP($D1577,'WB Data'!$C$3:$M$578,11,FALSE)</f>
        <v>17.399999999999999</v>
      </c>
      <c r="BS1577" s="129">
        <f>IFERROR(VLOOKUP($D1577,'WB Data 2'!$C$2:$K$545,9,FALSE),"..")</f>
        <v>97.638440000000003</v>
      </c>
      <c r="BT1577" s="129">
        <f>_xlfn.IFNA(VLOOKUP($C1577,RGI!$A$2:$C$43,2,FALSE),"..")</f>
        <v>76.8</v>
      </c>
      <c r="BU1577" s="129">
        <f>_xlfn.IFNA(VLOOKUP($C1577,RGI!$A$2:$C$43,3,FALSE),"..")</f>
        <v>72.816147461462435</v>
      </c>
      <c r="BV1577" s="129">
        <f>VLOOKUP($D1577,WGI!$C$2:$O$478,7,FALSE)</f>
        <v>0.102797518483968</v>
      </c>
      <c r="BW1577" s="129">
        <f>VLOOKUP($D1577,WGI!$C$2:$O$478,4,FALSE)</f>
        <v>-0.89730607728999101</v>
      </c>
      <c r="BX1577" s="129">
        <f>VLOOKUP($D1577,WGI!$C$2:$O$478,3,FALSE)</f>
        <v>-0.35724068854121799</v>
      </c>
      <c r="BY1577" s="129">
        <f>VLOOKUP($D1577,WGI!$C$2:$O$478,5,FALSE)</f>
        <v>0.34906767606171601</v>
      </c>
      <c r="BZ1577" s="129">
        <f>VLOOKUP($D1577,WGI!$C$2:$O$478,2,FALSE)</f>
        <v>-0.20419570946809601</v>
      </c>
      <c r="CB1577" s="129"/>
    </row>
    <row r="1578" spans="1:80" s="120" customFormat="1" ht="15" customHeight="1">
      <c r="A1578" s="294" t="s">
        <v>454</v>
      </c>
      <c r="B1578" s="117">
        <v>2008</v>
      </c>
      <c r="C1578" s="117" t="s">
        <v>449</v>
      </c>
      <c r="D1578" s="117" t="s">
        <v>3609</v>
      </c>
      <c r="E1578" s="452" t="s">
        <v>220</v>
      </c>
      <c r="F1578" s="117"/>
      <c r="G1578" s="120" t="s">
        <v>24</v>
      </c>
      <c r="H1578" s="117" t="str">
        <f t="shared" si="271"/>
        <v>yes</v>
      </c>
      <c r="I1578" s="117" t="str">
        <f t="shared" si="263"/>
        <v>no</v>
      </c>
      <c r="J1578" s="117" t="str">
        <f t="shared" si="264"/>
        <v>no</v>
      </c>
      <c r="K1578" s="117" t="s">
        <v>703</v>
      </c>
      <c r="L1578" s="117" t="str">
        <f t="shared" si="272"/>
        <v>detailed</v>
      </c>
      <c r="M1578" s="117" t="str">
        <f t="shared" si="265"/>
        <v>detailed Mining</v>
      </c>
      <c r="N1578" s="118"/>
      <c r="O1578" s="118"/>
      <c r="P1578" s="118"/>
      <c r="Q1578" s="118"/>
      <c r="R1578" s="118"/>
      <c r="S1578" s="117"/>
      <c r="T1578" s="119"/>
      <c r="U1578" s="117"/>
      <c r="V1578" s="117"/>
      <c r="W1578" s="89"/>
      <c r="X1578" s="117"/>
      <c r="AA1578" s="89"/>
      <c r="AB1578" s="89"/>
      <c r="AC1578" s="240"/>
      <c r="AD1578" s="240"/>
      <c r="AE1578" s="240"/>
      <c r="AF1578" s="241"/>
      <c r="AH1578" s="124"/>
      <c r="AI1578" s="117"/>
      <c r="AJ1578" s="117"/>
      <c r="AK1578" s="89"/>
      <c r="AL1578" s="117"/>
      <c r="AM1578" s="117"/>
      <c r="AN1578" s="117"/>
      <c r="AO1578" s="117"/>
      <c r="AP1578" s="117"/>
      <c r="AQ1578" s="117"/>
      <c r="AR1578" s="117"/>
      <c r="AS1578" s="117"/>
      <c r="AT1578" s="117"/>
      <c r="AU1578" s="117"/>
      <c r="AV1578" s="128"/>
      <c r="AW1578" s="117">
        <f>VLOOKUP($D1578,'WB Data'!$C$3:$M$578,2,FALSE)</f>
        <v>121571548180.02281</v>
      </c>
      <c r="AX1578" s="117">
        <f>VLOOKUP($D1578,'WB Data'!$C$3:$M$578,3,FALSE)</f>
        <v>28625628</v>
      </c>
      <c r="AY1578" s="847">
        <f t="shared" si="267"/>
        <v>2.9395836535923269E-2</v>
      </c>
      <c r="AZ1578" s="117">
        <f>VLOOKUP($D1578,'WB Data'!$C$3:$M$578,4,FALSE)/100</f>
        <v>0.20973667240502653</v>
      </c>
      <c r="BA1578" s="117">
        <f t="shared" si="268"/>
        <v>25498011974.405342</v>
      </c>
      <c r="BB1578" s="129">
        <f>IFERROR(VLOOKUP($D1578,'EITI Revenues'!$C$2:$G$224,5,FALSE),"..")</f>
        <v>3573697357.7190704</v>
      </c>
      <c r="BC1578" s="846">
        <f t="shared" si="269"/>
        <v>0.14015592122657694</v>
      </c>
      <c r="BD1578" s="129">
        <f>VLOOKUP($D1578,'WB Data 2'!$C$2:$K$545,6,FALSE)</f>
        <v>19689907936.979385</v>
      </c>
      <c r="BE1578" s="129">
        <f>IFERROR(VLOOKUP($D1578,UNCTAD!$C$5:$V$529,4,FALSE),"..")</f>
        <v>34667290000</v>
      </c>
      <c r="BF1578" s="846">
        <f t="shared" si="270"/>
        <v>0.5679679010669535</v>
      </c>
      <c r="BG1578" s="117">
        <f>VLOOKUP($D1578,'WB Data'!$C$3:$M$578,5,FALSE)</f>
        <v>463020000</v>
      </c>
      <c r="BH1578" s="129">
        <f>IFERROR($BB1578/$BG1578,"..")</f>
        <v>7.7182354060711642</v>
      </c>
      <c r="BI1578" s="117">
        <f>IFERROR(VLOOKUP($D1578,'WB Data'!$C$3:$M$578,7,FALSE)/100,"..")</f>
        <v>2.6741899999999999E-2</v>
      </c>
      <c r="BJ1578" s="117">
        <f>IFERROR($BI1578*$AW1578,"..")</f>
        <v>3251054184.275352</v>
      </c>
      <c r="BK1578" s="846">
        <f>IFERROR($BB1578/$BJ1578,"..")</f>
        <v>1.0992426318220945</v>
      </c>
      <c r="BL1578" s="117">
        <f>IFERROR(VLOOKUP($D1578,'WB Data'!$C$3:$M$578,7,FALSE)/100,"..")</f>
        <v>2.6741899999999999E-2</v>
      </c>
      <c r="BM1578" s="117">
        <f>IFERROR($AW1578*$BL1578,"..")</f>
        <v>3251054184.275352</v>
      </c>
      <c r="BN1578" s="846">
        <f>IFERROR($BB1578/$BM1578,"..")</f>
        <v>1.0992426318220945</v>
      </c>
      <c r="BO1578" s="801">
        <f t="shared" si="266"/>
        <v>38</v>
      </c>
      <c r="BP1578" s="117">
        <f>VLOOKUP($D1578,'WB Data'!$C$3:$M$578,9,FALSE)</f>
        <v>37.299999999999997</v>
      </c>
      <c r="BQ1578" s="117">
        <f>VLOOKUP($D1578,'WB Data'!$C$3:$M$578,10,FALSE)</f>
        <v>73.307292682926828</v>
      </c>
      <c r="BR1578" s="117">
        <f>VLOOKUP($D1578,'WB Data'!$C$3:$M$578,11,FALSE)</f>
        <v>17.399999999999999</v>
      </c>
      <c r="BS1578" s="129">
        <f>IFERROR(VLOOKUP($D1578,'WB Data 2'!$C$2:$K$545,9,FALSE),"..")</f>
        <v>97.638440000000003</v>
      </c>
      <c r="BT1578" s="129">
        <f>_xlfn.IFNA(VLOOKUP($C1578,RGI!$A$2:$C$43,2,FALSE),"..")</f>
        <v>76.8</v>
      </c>
      <c r="BU1578" s="129">
        <f>_xlfn.IFNA(VLOOKUP($C1578,RGI!$A$2:$C$43,3,FALSE),"..")</f>
        <v>72.816147461462435</v>
      </c>
      <c r="BV1578" s="129">
        <f>VLOOKUP($D1578,WGI!$C$2:$O$478,7,FALSE)</f>
        <v>0.102797518483968</v>
      </c>
      <c r="BW1578" s="129">
        <f>VLOOKUP($D1578,WGI!$C$2:$O$478,4,FALSE)</f>
        <v>-0.89730607728999101</v>
      </c>
      <c r="BX1578" s="129">
        <f>VLOOKUP($D1578,WGI!$C$2:$O$478,3,FALSE)</f>
        <v>-0.35724068854121799</v>
      </c>
      <c r="BY1578" s="129">
        <f>VLOOKUP($D1578,WGI!$C$2:$O$478,5,FALSE)</f>
        <v>0.34906767606171601</v>
      </c>
      <c r="BZ1578" s="129">
        <f>VLOOKUP($D1578,WGI!$C$2:$O$478,2,FALSE)</f>
        <v>-0.20419570946809601</v>
      </c>
      <c r="CB1578" s="129"/>
    </row>
    <row r="1579" spans="1:80" s="120" customFormat="1" ht="15" customHeight="1">
      <c r="A1579" s="294" t="s">
        <v>454</v>
      </c>
      <c r="B1579" s="117">
        <v>2008</v>
      </c>
      <c r="C1579" s="117" t="s">
        <v>449</v>
      </c>
      <c r="D1579" s="117" t="s">
        <v>3609</v>
      </c>
      <c r="E1579" s="452" t="s">
        <v>220</v>
      </c>
      <c r="F1579" s="117"/>
      <c r="G1579" s="120" t="s">
        <v>24</v>
      </c>
      <c r="H1579" s="117" t="str">
        <f t="shared" si="271"/>
        <v>yes</v>
      </c>
      <c r="I1579" s="117" t="str">
        <f t="shared" si="263"/>
        <v>no</v>
      </c>
      <c r="J1579" s="117" t="str">
        <f t="shared" si="264"/>
        <v>no</v>
      </c>
      <c r="K1579" s="117" t="s">
        <v>843</v>
      </c>
      <c r="L1579" s="117" t="str">
        <f t="shared" si="272"/>
        <v>detailed</v>
      </c>
      <c r="M1579" s="117" t="str">
        <f t="shared" si="265"/>
        <v>detailed Mining</v>
      </c>
      <c r="N1579" s="118"/>
      <c r="O1579" s="118"/>
      <c r="P1579" s="118"/>
      <c r="Q1579" s="118"/>
      <c r="R1579" s="118"/>
      <c r="S1579" s="117"/>
      <c r="T1579" s="119"/>
      <c r="U1579" s="117"/>
      <c r="V1579" s="117"/>
      <c r="W1579" s="89"/>
      <c r="X1579" s="117"/>
      <c r="AA1579" s="89"/>
      <c r="AB1579" s="89"/>
      <c r="AC1579" s="240"/>
      <c r="AD1579" s="240"/>
      <c r="AE1579" s="240"/>
      <c r="AF1579" s="241"/>
      <c r="AH1579" s="124"/>
      <c r="AI1579" s="117"/>
      <c r="AJ1579" s="117"/>
      <c r="AK1579" s="89"/>
      <c r="AL1579" s="117"/>
      <c r="AM1579" s="117"/>
      <c r="AN1579" s="117"/>
      <c r="AO1579" s="117"/>
      <c r="AP1579" s="117"/>
      <c r="AQ1579" s="117"/>
      <c r="AR1579" s="117"/>
      <c r="AS1579" s="117"/>
      <c r="AT1579" s="117"/>
      <c r="AU1579" s="117"/>
      <c r="AV1579" s="128"/>
      <c r="AW1579" s="117">
        <f>VLOOKUP($D1579,'WB Data'!$C$3:$M$578,2,FALSE)</f>
        <v>121571548180.02281</v>
      </c>
      <c r="AX1579" s="117">
        <f>VLOOKUP($D1579,'WB Data'!$C$3:$M$578,3,FALSE)</f>
        <v>28625628</v>
      </c>
      <c r="AY1579" s="847">
        <f t="shared" si="267"/>
        <v>2.9395836535923269E-2</v>
      </c>
      <c r="AZ1579" s="117">
        <f>VLOOKUP($D1579,'WB Data'!$C$3:$M$578,4,FALSE)/100</f>
        <v>0.20973667240502653</v>
      </c>
      <c r="BA1579" s="117">
        <f t="shared" si="268"/>
        <v>25498011974.405342</v>
      </c>
      <c r="BB1579" s="129">
        <f>IFERROR(VLOOKUP($D1579,'EITI Revenues'!$C$2:$G$224,5,FALSE),"..")</f>
        <v>3573697357.7190704</v>
      </c>
      <c r="BC1579" s="846">
        <f t="shared" si="269"/>
        <v>0.14015592122657694</v>
      </c>
      <c r="BD1579" s="129">
        <f>VLOOKUP($D1579,'WB Data 2'!$C$2:$K$545,6,FALSE)</f>
        <v>19689907936.979385</v>
      </c>
      <c r="BE1579" s="129">
        <f>IFERROR(VLOOKUP($D1579,UNCTAD!$C$5:$V$529,4,FALSE),"..")</f>
        <v>34667290000</v>
      </c>
      <c r="BF1579" s="846">
        <f t="shared" si="270"/>
        <v>0.5679679010669535</v>
      </c>
      <c r="BG1579" s="117">
        <f>VLOOKUP($D1579,'WB Data'!$C$3:$M$578,5,FALSE)</f>
        <v>463020000</v>
      </c>
      <c r="BH1579" s="129">
        <f>IFERROR($BB1579/$BG1579,"..")</f>
        <v>7.7182354060711642</v>
      </c>
      <c r="BI1579" s="117">
        <f>IFERROR(VLOOKUP($D1579,'WB Data'!$C$3:$M$578,7,FALSE)/100,"..")</f>
        <v>2.6741899999999999E-2</v>
      </c>
      <c r="BJ1579" s="117">
        <f>IFERROR($BI1579*$AW1579,"..")</f>
        <v>3251054184.275352</v>
      </c>
      <c r="BK1579" s="846">
        <f>IFERROR($BB1579/$BJ1579,"..")</f>
        <v>1.0992426318220945</v>
      </c>
      <c r="BL1579" s="117">
        <f>IFERROR(VLOOKUP($D1579,'WB Data'!$C$3:$M$578,7,FALSE)/100,"..")</f>
        <v>2.6741899999999999E-2</v>
      </c>
      <c r="BM1579" s="117">
        <f>IFERROR($AW1579*$BL1579,"..")</f>
        <v>3251054184.275352</v>
      </c>
      <c r="BN1579" s="846">
        <f>IFERROR($BB1579/$BM1579,"..")</f>
        <v>1.0992426318220945</v>
      </c>
      <c r="BO1579" s="801">
        <f t="shared" si="266"/>
        <v>38</v>
      </c>
      <c r="BP1579" s="117">
        <f>VLOOKUP($D1579,'WB Data'!$C$3:$M$578,9,FALSE)</f>
        <v>37.299999999999997</v>
      </c>
      <c r="BQ1579" s="117">
        <f>VLOOKUP($D1579,'WB Data'!$C$3:$M$578,10,FALSE)</f>
        <v>73.307292682926828</v>
      </c>
      <c r="BR1579" s="117">
        <f>VLOOKUP($D1579,'WB Data'!$C$3:$M$578,11,FALSE)</f>
        <v>17.399999999999999</v>
      </c>
      <c r="BS1579" s="129">
        <f>IFERROR(VLOOKUP($D1579,'WB Data 2'!$C$2:$K$545,9,FALSE),"..")</f>
        <v>97.638440000000003</v>
      </c>
      <c r="BT1579" s="129">
        <f>_xlfn.IFNA(VLOOKUP($C1579,RGI!$A$2:$C$43,2,FALSE),"..")</f>
        <v>76.8</v>
      </c>
      <c r="BU1579" s="129">
        <f>_xlfn.IFNA(VLOOKUP($C1579,RGI!$A$2:$C$43,3,FALSE),"..")</f>
        <v>72.816147461462435</v>
      </c>
      <c r="BV1579" s="129">
        <f>VLOOKUP($D1579,WGI!$C$2:$O$478,7,FALSE)</f>
        <v>0.102797518483968</v>
      </c>
      <c r="BW1579" s="129">
        <f>VLOOKUP($D1579,WGI!$C$2:$O$478,4,FALSE)</f>
        <v>-0.89730607728999101</v>
      </c>
      <c r="BX1579" s="129">
        <f>VLOOKUP($D1579,WGI!$C$2:$O$478,3,FALSE)</f>
        <v>-0.35724068854121799</v>
      </c>
      <c r="BY1579" s="129">
        <f>VLOOKUP($D1579,WGI!$C$2:$O$478,5,FALSE)</f>
        <v>0.34906767606171601</v>
      </c>
      <c r="BZ1579" s="129">
        <f>VLOOKUP($D1579,WGI!$C$2:$O$478,2,FALSE)</f>
        <v>-0.20419570946809601</v>
      </c>
      <c r="CB1579" s="129"/>
    </row>
    <row r="1580" spans="1:80" s="120" customFormat="1" ht="15" customHeight="1">
      <c r="A1580" s="294" t="s">
        <v>454</v>
      </c>
      <c r="B1580" s="117">
        <v>2008</v>
      </c>
      <c r="C1580" s="117" t="s">
        <v>449</v>
      </c>
      <c r="D1580" s="117" t="s">
        <v>3609</v>
      </c>
      <c r="E1580" s="452" t="s">
        <v>220</v>
      </c>
      <c r="F1580" s="117"/>
      <c r="G1580" s="120" t="s">
        <v>24</v>
      </c>
      <c r="H1580" s="117" t="str">
        <f t="shared" si="271"/>
        <v>yes</v>
      </c>
      <c r="I1580" s="117" t="str">
        <f t="shared" si="263"/>
        <v>no</v>
      </c>
      <c r="J1580" s="117" t="str">
        <f t="shared" si="264"/>
        <v>no</v>
      </c>
      <c r="K1580" s="117" t="s">
        <v>656</v>
      </c>
      <c r="L1580" s="117" t="str">
        <f t="shared" si="272"/>
        <v>detailed</v>
      </c>
      <c r="M1580" s="117" t="str">
        <f t="shared" si="265"/>
        <v>detailed Mining</v>
      </c>
      <c r="N1580" s="118"/>
      <c r="O1580" s="118"/>
      <c r="P1580" s="118"/>
      <c r="Q1580" s="118"/>
      <c r="R1580" s="118"/>
      <c r="S1580" s="117"/>
      <c r="T1580" s="119"/>
      <c r="U1580" s="117"/>
      <c r="V1580" s="117"/>
      <c r="W1580" s="89"/>
      <c r="X1580" s="117"/>
      <c r="AA1580" s="89"/>
      <c r="AB1580" s="89"/>
      <c r="AC1580" s="240"/>
      <c r="AD1580" s="240"/>
      <c r="AE1580" s="240"/>
      <c r="AF1580" s="241"/>
      <c r="AH1580" s="124"/>
      <c r="AI1580" s="117"/>
      <c r="AJ1580" s="117"/>
      <c r="AK1580" s="89"/>
      <c r="AL1580" s="117"/>
      <c r="AM1580" s="117"/>
      <c r="AN1580" s="117"/>
      <c r="AO1580" s="117"/>
      <c r="AP1580" s="117"/>
      <c r="AQ1580" s="117"/>
      <c r="AR1580" s="117"/>
      <c r="AS1580" s="117"/>
      <c r="AT1580" s="117"/>
      <c r="AU1580" s="117"/>
      <c r="AV1580" s="128"/>
      <c r="AW1580" s="117">
        <f>VLOOKUP($D1580,'WB Data'!$C$3:$M$578,2,FALSE)</f>
        <v>121571548180.02281</v>
      </c>
      <c r="AX1580" s="117">
        <f>VLOOKUP($D1580,'WB Data'!$C$3:$M$578,3,FALSE)</f>
        <v>28625628</v>
      </c>
      <c r="AY1580" s="847">
        <f t="shared" si="267"/>
        <v>2.9395836535923269E-2</v>
      </c>
      <c r="AZ1580" s="117">
        <f>VLOOKUP($D1580,'WB Data'!$C$3:$M$578,4,FALSE)/100</f>
        <v>0.20973667240502653</v>
      </c>
      <c r="BA1580" s="117">
        <f t="shared" si="268"/>
        <v>25498011974.405342</v>
      </c>
      <c r="BB1580" s="129">
        <f>IFERROR(VLOOKUP($D1580,'EITI Revenues'!$C$2:$G$224,5,FALSE),"..")</f>
        <v>3573697357.7190704</v>
      </c>
      <c r="BC1580" s="846">
        <f t="shared" si="269"/>
        <v>0.14015592122657694</v>
      </c>
      <c r="BD1580" s="129">
        <f>VLOOKUP($D1580,'WB Data 2'!$C$2:$K$545,6,FALSE)</f>
        <v>19689907936.979385</v>
      </c>
      <c r="BE1580" s="129">
        <f>IFERROR(VLOOKUP($D1580,UNCTAD!$C$5:$V$529,4,FALSE),"..")</f>
        <v>34667290000</v>
      </c>
      <c r="BF1580" s="846">
        <f t="shared" si="270"/>
        <v>0.5679679010669535</v>
      </c>
      <c r="BG1580" s="117">
        <f>VLOOKUP($D1580,'WB Data'!$C$3:$M$578,5,FALSE)</f>
        <v>463020000</v>
      </c>
      <c r="BH1580" s="129">
        <f>IFERROR($BB1580/$BG1580,"..")</f>
        <v>7.7182354060711642</v>
      </c>
      <c r="BI1580" s="117">
        <f>IFERROR(VLOOKUP($D1580,'WB Data'!$C$3:$M$578,7,FALSE)/100,"..")</f>
        <v>2.6741899999999999E-2</v>
      </c>
      <c r="BJ1580" s="117">
        <f>IFERROR($BI1580*$AW1580,"..")</f>
        <v>3251054184.275352</v>
      </c>
      <c r="BK1580" s="846">
        <f>IFERROR($BB1580/$BJ1580,"..")</f>
        <v>1.0992426318220945</v>
      </c>
      <c r="BL1580" s="117">
        <f>IFERROR(VLOOKUP($D1580,'WB Data'!$C$3:$M$578,7,FALSE)/100,"..")</f>
        <v>2.6741899999999999E-2</v>
      </c>
      <c r="BM1580" s="117">
        <f>IFERROR($AW1580*$BL1580,"..")</f>
        <v>3251054184.275352</v>
      </c>
      <c r="BN1580" s="846">
        <f>IFERROR($BB1580/$BM1580,"..")</f>
        <v>1.0992426318220945</v>
      </c>
      <c r="BO1580" s="801">
        <f t="shared" si="266"/>
        <v>38</v>
      </c>
      <c r="BP1580" s="117">
        <f>VLOOKUP($D1580,'WB Data'!$C$3:$M$578,9,FALSE)</f>
        <v>37.299999999999997</v>
      </c>
      <c r="BQ1580" s="117">
        <f>VLOOKUP($D1580,'WB Data'!$C$3:$M$578,10,FALSE)</f>
        <v>73.307292682926828</v>
      </c>
      <c r="BR1580" s="117">
        <f>VLOOKUP($D1580,'WB Data'!$C$3:$M$578,11,FALSE)</f>
        <v>17.399999999999999</v>
      </c>
      <c r="BS1580" s="129">
        <f>IFERROR(VLOOKUP($D1580,'WB Data 2'!$C$2:$K$545,9,FALSE),"..")</f>
        <v>97.638440000000003</v>
      </c>
      <c r="BT1580" s="129">
        <f>_xlfn.IFNA(VLOOKUP($C1580,RGI!$A$2:$C$43,2,FALSE),"..")</f>
        <v>76.8</v>
      </c>
      <c r="BU1580" s="129">
        <f>_xlfn.IFNA(VLOOKUP($C1580,RGI!$A$2:$C$43,3,FALSE),"..")</f>
        <v>72.816147461462435</v>
      </c>
      <c r="BV1580" s="129">
        <f>VLOOKUP($D1580,WGI!$C$2:$O$478,7,FALSE)</f>
        <v>0.102797518483968</v>
      </c>
      <c r="BW1580" s="129">
        <f>VLOOKUP($D1580,WGI!$C$2:$O$478,4,FALSE)</f>
        <v>-0.89730607728999101</v>
      </c>
      <c r="BX1580" s="129">
        <f>VLOOKUP($D1580,WGI!$C$2:$O$478,3,FALSE)</f>
        <v>-0.35724068854121799</v>
      </c>
      <c r="BY1580" s="129">
        <f>VLOOKUP($D1580,WGI!$C$2:$O$478,5,FALSE)</f>
        <v>0.34906767606171601</v>
      </c>
      <c r="BZ1580" s="129">
        <f>VLOOKUP($D1580,WGI!$C$2:$O$478,2,FALSE)</f>
        <v>-0.20419570946809601</v>
      </c>
      <c r="CB1580" s="129"/>
    </row>
    <row r="1581" spans="1:80" s="120" customFormat="1" ht="15" customHeight="1">
      <c r="A1581" s="294" t="s">
        <v>454</v>
      </c>
      <c r="B1581" s="117">
        <v>2008</v>
      </c>
      <c r="C1581" s="117" t="s">
        <v>449</v>
      </c>
      <c r="D1581" s="117" t="s">
        <v>3609</v>
      </c>
      <c r="E1581" s="452" t="s">
        <v>220</v>
      </c>
      <c r="F1581" s="117"/>
      <c r="G1581" s="120" t="s">
        <v>24</v>
      </c>
      <c r="H1581" s="117" t="str">
        <f t="shared" si="271"/>
        <v>yes</v>
      </c>
      <c r="I1581" s="117" t="str">
        <f t="shared" si="263"/>
        <v>no</v>
      </c>
      <c r="J1581" s="117" t="str">
        <f t="shared" si="264"/>
        <v>no</v>
      </c>
      <c r="K1581" s="117" t="s">
        <v>1493</v>
      </c>
      <c r="L1581" s="117" t="str">
        <f t="shared" si="272"/>
        <v>detailed</v>
      </c>
      <c r="M1581" s="117" t="str">
        <f t="shared" si="265"/>
        <v>detailed Mining</v>
      </c>
      <c r="N1581" s="118"/>
      <c r="O1581" s="118"/>
      <c r="P1581" s="118"/>
      <c r="Q1581" s="118"/>
      <c r="R1581" s="118"/>
      <c r="S1581" s="117"/>
      <c r="T1581" s="119"/>
      <c r="U1581" s="117"/>
      <c r="V1581" s="117"/>
      <c r="W1581" s="89"/>
      <c r="X1581" s="117"/>
      <c r="Y1581" s="117"/>
      <c r="Z1581" s="117"/>
      <c r="AA1581" s="89"/>
      <c r="AB1581" s="89"/>
      <c r="AC1581" s="240"/>
      <c r="AD1581" s="240"/>
      <c r="AE1581" s="240"/>
      <c r="AF1581" s="241"/>
      <c r="AG1581" s="117"/>
      <c r="AH1581" s="124"/>
      <c r="AI1581" s="117"/>
      <c r="AJ1581" s="117"/>
      <c r="AK1581" s="89"/>
      <c r="AL1581" s="117"/>
      <c r="AM1581" s="117"/>
      <c r="AN1581" s="117"/>
      <c r="AO1581" s="117"/>
      <c r="AP1581" s="117"/>
      <c r="AQ1581" s="117"/>
      <c r="AR1581" s="117"/>
      <c r="AS1581" s="117"/>
      <c r="AT1581" s="117"/>
      <c r="AU1581" s="117"/>
      <c r="AV1581" s="128"/>
      <c r="AW1581" s="117">
        <f>VLOOKUP($D1581,'WB Data'!$C$3:$M$578,2,FALSE)</f>
        <v>121571548180.02281</v>
      </c>
      <c r="AX1581" s="117">
        <f>VLOOKUP($D1581,'WB Data'!$C$3:$M$578,3,FALSE)</f>
        <v>28625628</v>
      </c>
      <c r="AY1581" s="847">
        <f t="shared" si="267"/>
        <v>2.9395836535923269E-2</v>
      </c>
      <c r="AZ1581" s="117">
        <f>VLOOKUP($D1581,'WB Data'!$C$3:$M$578,4,FALSE)/100</f>
        <v>0.20973667240502653</v>
      </c>
      <c r="BA1581" s="117">
        <f t="shared" si="268"/>
        <v>25498011974.405342</v>
      </c>
      <c r="BB1581" s="129">
        <f>IFERROR(VLOOKUP($D1581,'EITI Revenues'!$C$2:$G$224,5,FALSE),"..")</f>
        <v>3573697357.7190704</v>
      </c>
      <c r="BC1581" s="846">
        <f t="shared" si="269"/>
        <v>0.14015592122657694</v>
      </c>
      <c r="BD1581" s="129">
        <f>VLOOKUP($D1581,'WB Data 2'!$C$2:$K$545,6,FALSE)</f>
        <v>19689907936.979385</v>
      </c>
      <c r="BE1581" s="129">
        <f>IFERROR(VLOOKUP($D1581,UNCTAD!$C$5:$V$529,4,FALSE),"..")</f>
        <v>34667290000</v>
      </c>
      <c r="BF1581" s="846">
        <f t="shared" si="270"/>
        <v>0.5679679010669535</v>
      </c>
      <c r="BG1581" s="117">
        <f>VLOOKUP($D1581,'WB Data'!$C$3:$M$578,5,FALSE)</f>
        <v>463020000</v>
      </c>
      <c r="BH1581" s="129">
        <f>IFERROR($BB1581/$BG1581,"..")</f>
        <v>7.7182354060711642</v>
      </c>
      <c r="BI1581" s="117">
        <f>IFERROR(VLOOKUP($D1581,'WB Data'!$C$3:$M$578,7,FALSE)/100,"..")</f>
        <v>2.6741899999999999E-2</v>
      </c>
      <c r="BJ1581" s="117">
        <f>IFERROR($BI1581*$AW1581,"..")</f>
        <v>3251054184.275352</v>
      </c>
      <c r="BK1581" s="846">
        <f>IFERROR($BB1581/$BJ1581,"..")</f>
        <v>1.0992426318220945</v>
      </c>
      <c r="BL1581" s="117">
        <f>IFERROR(VLOOKUP($D1581,'WB Data'!$C$3:$M$578,7,FALSE)/100,"..")</f>
        <v>2.6741899999999999E-2</v>
      </c>
      <c r="BM1581" s="117">
        <f>IFERROR($AW1581*$BL1581,"..")</f>
        <v>3251054184.275352</v>
      </c>
      <c r="BN1581" s="846">
        <f>IFERROR($BB1581/$BM1581,"..")</f>
        <v>1.0992426318220945</v>
      </c>
      <c r="BO1581" s="801">
        <f t="shared" si="266"/>
        <v>38</v>
      </c>
      <c r="BP1581" s="117">
        <f>VLOOKUP($D1581,'WB Data'!$C$3:$M$578,9,FALSE)</f>
        <v>37.299999999999997</v>
      </c>
      <c r="BQ1581" s="117">
        <f>VLOOKUP($D1581,'WB Data'!$C$3:$M$578,10,FALSE)</f>
        <v>73.307292682926828</v>
      </c>
      <c r="BR1581" s="117">
        <f>VLOOKUP($D1581,'WB Data'!$C$3:$M$578,11,FALSE)</f>
        <v>17.399999999999999</v>
      </c>
      <c r="BS1581" s="129">
        <f>IFERROR(VLOOKUP($D1581,'WB Data 2'!$C$2:$K$545,9,FALSE),"..")</f>
        <v>97.638440000000003</v>
      </c>
      <c r="BT1581" s="129">
        <f>_xlfn.IFNA(VLOOKUP($C1581,RGI!$A$2:$C$43,2,FALSE),"..")</f>
        <v>76.8</v>
      </c>
      <c r="BU1581" s="129">
        <f>_xlfn.IFNA(VLOOKUP($C1581,RGI!$A$2:$C$43,3,FALSE),"..")</f>
        <v>72.816147461462435</v>
      </c>
      <c r="BV1581" s="129">
        <f>VLOOKUP($D1581,WGI!$C$2:$O$478,7,FALSE)</f>
        <v>0.102797518483968</v>
      </c>
      <c r="BW1581" s="129">
        <f>VLOOKUP($D1581,WGI!$C$2:$O$478,4,FALSE)</f>
        <v>-0.89730607728999101</v>
      </c>
      <c r="BX1581" s="129">
        <f>VLOOKUP($D1581,WGI!$C$2:$O$478,3,FALSE)</f>
        <v>-0.35724068854121799</v>
      </c>
      <c r="BY1581" s="129">
        <f>VLOOKUP($D1581,WGI!$C$2:$O$478,5,FALSE)</f>
        <v>0.34906767606171601</v>
      </c>
      <c r="BZ1581" s="129">
        <f>VLOOKUP($D1581,WGI!$C$2:$O$478,2,FALSE)</f>
        <v>-0.20419570946809601</v>
      </c>
      <c r="CB1581" s="129"/>
    </row>
    <row r="1582" spans="1:80" s="120" customFormat="1" ht="15" customHeight="1">
      <c r="A1582" s="294" t="s">
        <v>454</v>
      </c>
      <c r="B1582" s="117">
        <v>2008</v>
      </c>
      <c r="C1582" s="117" t="s">
        <v>449</v>
      </c>
      <c r="D1582" s="117" t="s">
        <v>3609</v>
      </c>
      <c r="E1582" s="452" t="s">
        <v>220</v>
      </c>
      <c r="F1582" s="117"/>
      <c r="G1582" s="120" t="s">
        <v>24</v>
      </c>
      <c r="H1582" s="117" t="str">
        <f t="shared" si="271"/>
        <v>yes</v>
      </c>
      <c r="I1582" s="117" t="str">
        <f t="shared" si="263"/>
        <v>no</v>
      </c>
      <c r="J1582" s="117" t="str">
        <f t="shared" si="264"/>
        <v>no</v>
      </c>
      <c r="K1582" s="117" t="s">
        <v>1987</v>
      </c>
      <c r="L1582" s="117" t="str">
        <f t="shared" si="272"/>
        <v>detailed</v>
      </c>
      <c r="M1582" s="117" t="str">
        <f t="shared" si="265"/>
        <v>detailed Mining</v>
      </c>
      <c r="N1582" s="118"/>
      <c r="O1582" s="118"/>
      <c r="P1582" s="118"/>
      <c r="Q1582" s="118"/>
      <c r="R1582" s="118"/>
      <c r="S1582" s="117"/>
      <c r="T1582" s="119"/>
      <c r="U1582" s="117"/>
      <c r="V1582" s="117"/>
      <c r="W1582" s="89"/>
      <c r="X1582" s="117"/>
      <c r="Y1582" s="89"/>
      <c r="Z1582" s="89"/>
      <c r="AA1582" s="89"/>
      <c r="AB1582" s="89"/>
      <c r="AC1582" s="240"/>
      <c r="AD1582" s="240"/>
      <c r="AE1582" s="240"/>
      <c r="AF1582" s="241"/>
      <c r="AG1582" s="89"/>
      <c r="AH1582" s="124"/>
      <c r="AI1582" s="117"/>
      <c r="AJ1582" s="117"/>
      <c r="AK1582" s="89"/>
      <c r="AL1582" s="117"/>
      <c r="AM1582" s="117"/>
      <c r="AN1582" s="117"/>
      <c r="AO1582" s="117"/>
      <c r="AP1582" s="117"/>
      <c r="AQ1582" s="117"/>
      <c r="AR1582" s="117"/>
      <c r="AS1582" s="117"/>
      <c r="AT1582" s="117"/>
      <c r="AU1582" s="117"/>
      <c r="AV1582" s="128"/>
      <c r="AW1582" s="117">
        <f>VLOOKUP($D1582,'WB Data'!$C$3:$M$578,2,FALSE)</f>
        <v>121571548180.02281</v>
      </c>
      <c r="AX1582" s="117">
        <f>VLOOKUP($D1582,'WB Data'!$C$3:$M$578,3,FALSE)</f>
        <v>28625628</v>
      </c>
      <c r="AY1582" s="847">
        <f t="shared" si="267"/>
        <v>2.9395836535923269E-2</v>
      </c>
      <c r="AZ1582" s="117">
        <f>VLOOKUP($D1582,'WB Data'!$C$3:$M$578,4,FALSE)/100</f>
        <v>0.20973667240502653</v>
      </c>
      <c r="BA1582" s="117">
        <f t="shared" si="268"/>
        <v>25498011974.405342</v>
      </c>
      <c r="BB1582" s="129">
        <f>IFERROR(VLOOKUP($D1582,'EITI Revenues'!$C$2:$G$224,5,FALSE),"..")</f>
        <v>3573697357.7190704</v>
      </c>
      <c r="BC1582" s="846">
        <f t="shared" si="269"/>
        <v>0.14015592122657694</v>
      </c>
      <c r="BD1582" s="129">
        <f>VLOOKUP($D1582,'WB Data 2'!$C$2:$K$545,6,FALSE)</f>
        <v>19689907936.979385</v>
      </c>
      <c r="BE1582" s="129">
        <f>IFERROR(VLOOKUP($D1582,UNCTAD!$C$5:$V$529,4,FALSE),"..")</f>
        <v>34667290000</v>
      </c>
      <c r="BF1582" s="846">
        <f t="shared" si="270"/>
        <v>0.5679679010669535</v>
      </c>
      <c r="BG1582" s="117">
        <f>VLOOKUP($D1582,'WB Data'!$C$3:$M$578,5,FALSE)</f>
        <v>463020000</v>
      </c>
      <c r="BH1582" s="129">
        <f>IFERROR($BB1582/$BG1582,"..")</f>
        <v>7.7182354060711642</v>
      </c>
      <c r="BI1582" s="117">
        <f>IFERROR(VLOOKUP($D1582,'WB Data'!$C$3:$M$578,7,FALSE)/100,"..")</f>
        <v>2.6741899999999999E-2</v>
      </c>
      <c r="BJ1582" s="117">
        <f>IFERROR($BI1582*$AW1582,"..")</f>
        <v>3251054184.275352</v>
      </c>
      <c r="BK1582" s="846">
        <f>IFERROR($BB1582/$BJ1582,"..")</f>
        <v>1.0992426318220945</v>
      </c>
      <c r="BL1582" s="117">
        <f>IFERROR(VLOOKUP($D1582,'WB Data'!$C$3:$M$578,7,FALSE)/100,"..")</f>
        <v>2.6741899999999999E-2</v>
      </c>
      <c r="BM1582" s="117">
        <f>IFERROR($AW1582*$BL1582,"..")</f>
        <v>3251054184.275352</v>
      </c>
      <c r="BN1582" s="846">
        <f>IFERROR($BB1582/$BM1582,"..")</f>
        <v>1.0992426318220945</v>
      </c>
      <c r="BO1582" s="801">
        <f t="shared" si="266"/>
        <v>38</v>
      </c>
      <c r="BP1582" s="117">
        <f>VLOOKUP($D1582,'WB Data'!$C$3:$M$578,9,FALSE)</f>
        <v>37.299999999999997</v>
      </c>
      <c r="BQ1582" s="117">
        <f>VLOOKUP($D1582,'WB Data'!$C$3:$M$578,10,FALSE)</f>
        <v>73.307292682926828</v>
      </c>
      <c r="BR1582" s="117">
        <f>VLOOKUP($D1582,'WB Data'!$C$3:$M$578,11,FALSE)</f>
        <v>17.399999999999999</v>
      </c>
      <c r="BS1582" s="129">
        <f>IFERROR(VLOOKUP($D1582,'WB Data 2'!$C$2:$K$545,9,FALSE),"..")</f>
        <v>97.638440000000003</v>
      </c>
      <c r="BT1582" s="129">
        <f>_xlfn.IFNA(VLOOKUP($C1582,RGI!$A$2:$C$43,2,FALSE),"..")</f>
        <v>76.8</v>
      </c>
      <c r="BU1582" s="129">
        <f>_xlfn.IFNA(VLOOKUP($C1582,RGI!$A$2:$C$43,3,FALSE),"..")</f>
        <v>72.816147461462435</v>
      </c>
      <c r="BV1582" s="129">
        <f>VLOOKUP($D1582,WGI!$C$2:$O$478,7,FALSE)</f>
        <v>0.102797518483968</v>
      </c>
      <c r="BW1582" s="129">
        <f>VLOOKUP($D1582,WGI!$C$2:$O$478,4,FALSE)</f>
        <v>-0.89730607728999101</v>
      </c>
      <c r="BX1582" s="129">
        <f>VLOOKUP($D1582,WGI!$C$2:$O$478,3,FALSE)</f>
        <v>-0.35724068854121799</v>
      </c>
      <c r="BY1582" s="129">
        <f>VLOOKUP($D1582,WGI!$C$2:$O$478,5,FALSE)</f>
        <v>0.34906767606171601</v>
      </c>
      <c r="BZ1582" s="129">
        <f>VLOOKUP($D1582,WGI!$C$2:$O$478,2,FALSE)</f>
        <v>-0.20419570946809601</v>
      </c>
      <c r="CB1582" s="129"/>
    </row>
    <row r="1583" spans="1:80" s="120" customFormat="1" ht="15" customHeight="1">
      <c r="A1583" s="294" t="s">
        <v>454</v>
      </c>
      <c r="B1583" s="117">
        <v>2008</v>
      </c>
      <c r="C1583" s="117" t="s">
        <v>449</v>
      </c>
      <c r="D1583" s="117" t="s">
        <v>3609</v>
      </c>
      <c r="E1583" s="452" t="s">
        <v>220</v>
      </c>
      <c r="F1583" s="117"/>
      <c r="G1583" s="120" t="s">
        <v>24</v>
      </c>
      <c r="H1583" s="117" t="str">
        <f t="shared" si="271"/>
        <v>yes</v>
      </c>
      <c r="I1583" s="117" t="str">
        <f t="shared" si="263"/>
        <v>no</v>
      </c>
      <c r="J1583" s="117" t="str">
        <f t="shared" si="264"/>
        <v>no</v>
      </c>
      <c r="K1583" s="117" t="s">
        <v>2099</v>
      </c>
      <c r="L1583" s="117" t="str">
        <f t="shared" si="272"/>
        <v>detailed</v>
      </c>
      <c r="M1583" s="117" t="str">
        <f t="shared" si="265"/>
        <v>detailed Mining</v>
      </c>
      <c r="N1583" s="118"/>
      <c r="O1583" s="118"/>
      <c r="P1583" s="118"/>
      <c r="Q1583" s="118"/>
      <c r="R1583" s="118"/>
      <c r="S1583" s="117"/>
      <c r="T1583" s="119"/>
      <c r="U1583" s="117"/>
      <c r="V1583" s="117"/>
      <c r="W1583" s="89"/>
      <c r="X1583" s="117"/>
      <c r="Y1583" s="89"/>
      <c r="Z1583" s="89"/>
      <c r="AA1583" s="89"/>
      <c r="AB1583" s="89"/>
      <c r="AC1583" s="240"/>
      <c r="AD1583" s="240"/>
      <c r="AE1583" s="240"/>
      <c r="AF1583" s="241"/>
      <c r="AG1583" s="89"/>
      <c r="AH1583" s="124"/>
      <c r="AI1583" s="117"/>
      <c r="AJ1583" s="117"/>
      <c r="AK1583" s="89"/>
      <c r="AL1583" s="117"/>
      <c r="AM1583" s="117"/>
      <c r="AN1583" s="117"/>
      <c r="AO1583" s="117"/>
      <c r="AP1583" s="117"/>
      <c r="AQ1583" s="117"/>
      <c r="AR1583" s="117"/>
      <c r="AS1583" s="117"/>
      <c r="AT1583" s="117"/>
      <c r="AU1583" s="117"/>
      <c r="AV1583" s="128"/>
      <c r="AW1583" s="117">
        <f>VLOOKUP($D1583,'WB Data'!$C$3:$M$578,2,FALSE)</f>
        <v>121571548180.02281</v>
      </c>
      <c r="AX1583" s="117">
        <f>VLOOKUP($D1583,'WB Data'!$C$3:$M$578,3,FALSE)</f>
        <v>28625628</v>
      </c>
      <c r="AY1583" s="847">
        <f t="shared" si="267"/>
        <v>2.9395836535923269E-2</v>
      </c>
      <c r="AZ1583" s="117">
        <f>VLOOKUP($D1583,'WB Data'!$C$3:$M$578,4,FALSE)/100</f>
        <v>0.20973667240502653</v>
      </c>
      <c r="BA1583" s="117">
        <f t="shared" si="268"/>
        <v>25498011974.405342</v>
      </c>
      <c r="BB1583" s="129">
        <f>IFERROR(VLOOKUP($D1583,'EITI Revenues'!$C$2:$G$224,5,FALSE),"..")</f>
        <v>3573697357.7190704</v>
      </c>
      <c r="BC1583" s="846">
        <f t="shared" si="269"/>
        <v>0.14015592122657694</v>
      </c>
      <c r="BD1583" s="129">
        <f>VLOOKUP($D1583,'WB Data 2'!$C$2:$K$545,6,FALSE)</f>
        <v>19689907936.979385</v>
      </c>
      <c r="BE1583" s="129">
        <f>IFERROR(VLOOKUP($D1583,UNCTAD!$C$5:$V$529,4,FALSE),"..")</f>
        <v>34667290000</v>
      </c>
      <c r="BF1583" s="846">
        <f t="shared" si="270"/>
        <v>0.5679679010669535</v>
      </c>
      <c r="BG1583" s="117">
        <f>VLOOKUP($D1583,'WB Data'!$C$3:$M$578,5,FALSE)</f>
        <v>463020000</v>
      </c>
      <c r="BH1583" s="129">
        <f>IFERROR($BB1583/$BG1583,"..")</f>
        <v>7.7182354060711642</v>
      </c>
      <c r="BI1583" s="117">
        <f>IFERROR(VLOOKUP($D1583,'WB Data'!$C$3:$M$578,7,FALSE)/100,"..")</f>
        <v>2.6741899999999999E-2</v>
      </c>
      <c r="BJ1583" s="117">
        <f>IFERROR($BI1583*$AW1583,"..")</f>
        <v>3251054184.275352</v>
      </c>
      <c r="BK1583" s="846">
        <f>IFERROR($BB1583/$BJ1583,"..")</f>
        <v>1.0992426318220945</v>
      </c>
      <c r="BL1583" s="117">
        <f>IFERROR(VLOOKUP($D1583,'WB Data'!$C$3:$M$578,7,FALSE)/100,"..")</f>
        <v>2.6741899999999999E-2</v>
      </c>
      <c r="BM1583" s="117">
        <f>IFERROR($AW1583*$BL1583,"..")</f>
        <v>3251054184.275352</v>
      </c>
      <c r="BN1583" s="846">
        <f>IFERROR($BB1583/$BM1583,"..")</f>
        <v>1.0992426318220945</v>
      </c>
      <c r="BO1583" s="801">
        <f t="shared" si="266"/>
        <v>38</v>
      </c>
      <c r="BP1583" s="117">
        <f>VLOOKUP($D1583,'WB Data'!$C$3:$M$578,9,FALSE)</f>
        <v>37.299999999999997</v>
      </c>
      <c r="BQ1583" s="117">
        <f>VLOOKUP($D1583,'WB Data'!$C$3:$M$578,10,FALSE)</f>
        <v>73.307292682926828</v>
      </c>
      <c r="BR1583" s="117">
        <f>VLOOKUP($D1583,'WB Data'!$C$3:$M$578,11,FALSE)</f>
        <v>17.399999999999999</v>
      </c>
      <c r="BS1583" s="129">
        <f>IFERROR(VLOOKUP($D1583,'WB Data 2'!$C$2:$K$545,9,FALSE),"..")</f>
        <v>97.638440000000003</v>
      </c>
      <c r="BT1583" s="129">
        <f>_xlfn.IFNA(VLOOKUP($C1583,RGI!$A$2:$C$43,2,FALSE),"..")</f>
        <v>76.8</v>
      </c>
      <c r="BU1583" s="129">
        <f>_xlfn.IFNA(VLOOKUP($C1583,RGI!$A$2:$C$43,3,FALSE),"..")</f>
        <v>72.816147461462435</v>
      </c>
      <c r="BV1583" s="129">
        <f>VLOOKUP($D1583,WGI!$C$2:$O$478,7,FALSE)</f>
        <v>0.102797518483968</v>
      </c>
      <c r="BW1583" s="129">
        <f>VLOOKUP($D1583,WGI!$C$2:$O$478,4,FALSE)</f>
        <v>-0.89730607728999101</v>
      </c>
      <c r="BX1583" s="129">
        <f>VLOOKUP($D1583,WGI!$C$2:$O$478,3,FALSE)</f>
        <v>-0.35724068854121799</v>
      </c>
      <c r="BY1583" s="129">
        <f>VLOOKUP($D1583,WGI!$C$2:$O$478,5,FALSE)</f>
        <v>0.34906767606171601</v>
      </c>
      <c r="BZ1583" s="129">
        <f>VLOOKUP($D1583,WGI!$C$2:$O$478,2,FALSE)</f>
        <v>-0.20419570946809601</v>
      </c>
      <c r="CB1583" s="129"/>
    </row>
    <row r="1584" spans="1:80" s="120" customFormat="1" ht="15" customHeight="1">
      <c r="A1584" s="294" t="s">
        <v>454</v>
      </c>
      <c r="B1584" s="117">
        <v>2008</v>
      </c>
      <c r="C1584" s="117" t="s">
        <v>449</v>
      </c>
      <c r="D1584" s="117" t="s">
        <v>3609</v>
      </c>
      <c r="E1584" s="452" t="s">
        <v>220</v>
      </c>
      <c r="F1584" s="117"/>
      <c r="G1584" s="120" t="s">
        <v>24</v>
      </c>
      <c r="H1584" s="117" t="str">
        <f t="shared" si="271"/>
        <v>yes</v>
      </c>
      <c r="I1584" s="117" t="str">
        <f t="shared" si="263"/>
        <v>no</v>
      </c>
      <c r="J1584" s="117" t="str">
        <f t="shared" si="264"/>
        <v>no</v>
      </c>
      <c r="K1584" s="117" t="s">
        <v>2100</v>
      </c>
      <c r="L1584" s="117" t="str">
        <f t="shared" si="272"/>
        <v>detailed</v>
      </c>
      <c r="M1584" s="117" t="str">
        <f t="shared" si="265"/>
        <v>detailed Mining</v>
      </c>
      <c r="N1584" s="118"/>
      <c r="O1584" s="118"/>
      <c r="P1584" s="118"/>
      <c r="Q1584" s="118"/>
      <c r="R1584" s="118"/>
      <c r="S1584" s="117"/>
      <c r="T1584" s="119"/>
      <c r="U1584" s="117"/>
      <c r="V1584" s="117"/>
      <c r="W1584" s="89"/>
      <c r="X1584" s="117"/>
      <c r="Y1584" s="89"/>
      <c r="Z1584" s="89"/>
      <c r="AA1584" s="89"/>
      <c r="AB1584" s="89"/>
      <c r="AC1584" s="240"/>
      <c r="AD1584" s="240"/>
      <c r="AE1584" s="240"/>
      <c r="AF1584" s="241"/>
      <c r="AG1584" s="89"/>
      <c r="AH1584" s="124"/>
      <c r="AI1584" s="117"/>
      <c r="AJ1584" s="117"/>
      <c r="AK1584" s="89"/>
      <c r="AL1584" s="117"/>
      <c r="AM1584" s="117"/>
      <c r="AN1584" s="117"/>
      <c r="AO1584" s="117"/>
      <c r="AP1584" s="117"/>
      <c r="AQ1584" s="117"/>
      <c r="AR1584" s="117"/>
      <c r="AS1584" s="117"/>
      <c r="AT1584" s="117"/>
      <c r="AU1584" s="117"/>
      <c r="AV1584" s="128"/>
      <c r="AW1584" s="117">
        <f>VLOOKUP($D1584,'WB Data'!$C$3:$M$578,2,FALSE)</f>
        <v>121571548180.02281</v>
      </c>
      <c r="AX1584" s="117">
        <f>VLOOKUP($D1584,'WB Data'!$C$3:$M$578,3,FALSE)</f>
        <v>28625628</v>
      </c>
      <c r="AY1584" s="847">
        <f t="shared" si="267"/>
        <v>2.9395836535923269E-2</v>
      </c>
      <c r="AZ1584" s="117">
        <f>VLOOKUP($D1584,'WB Data'!$C$3:$M$578,4,FALSE)/100</f>
        <v>0.20973667240502653</v>
      </c>
      <c r="BA1584" s="117">
        <f t="shared" si="268"/>
        <v>25498011974.405342</v>
      </c>
      <c r="BB1584" s="129">
        <f>IFERROR(VLOOKUP($D1584,'EITI Revenues'!$C$2:$G$224,5,FALSE),"..")</f>
        <v>3573697357.7190704</v>
      </c>
      <c r="BC1584" s="846">
        <f t="shared" si="269"/>
        <v>0.14015592122657694</v>
      </c>
      <c r="BD1584" s="129">
        <f>VLOOKUP($D1584,'WB Data 2'!$C$2:$K$545,6,FALSE)</f>
        <v>19689907936.979385</v>
      </c>
      <c r="BE1584" s="129">
        <f>IFERROR(VLOOKUP($D1584,UNCTAD!$C$5:$V$529,4,FALSE),"..")</f>
        <v>34667290000</v>
      </c>
      <c r="BF1584" s="846">
        <f t="shared" si="270"/>
        <v>0.5679679010669535</v>
      </c>
      <c r="BG1584" s="117">
        <f>VLOOKUP($D1584,'WB Data'!$C$3:$M$578,5,FALSE)</f>
        <v>463020000</v>
      </c>
      <c r="BH1584" s="129">
        <f>IFERROR($BB1584/$BG1584,"..")</f>
        <v>7.7182354060711642</v>
      </c>
      <c r="BI1584" s="117">
        <f>IFERROR(VLOOKUP($D1584,'WB Data'!$C$3:$M$578,7,FALSE)/100,"..")</f>
        <v>2.6741899999999999E-2</v>
      </c>
      <c r="BJ1584" s="117">
        <f>IFERROR($BI1584*$AW1584,"..")</f>
        <v>3251054184.275352</v>
      </c>
      <c r="BK1584" s="846">
        <f>IFERROR($BB1584/$BJ1584,"..")</f>
        <v>1.0992426318220945</v>
      </c>
      <c r="BL1584" s="117">
        <f>IFERROR(VLOOKUP($D1584,'WB Data'!$C$3:$M$578,7,FALSE)/100,"..")</f>
        <v>2.6741899999999999E-2</v>
      </c>
      <c r="BM1584" s="117">
        <f>IFERROR($AW1584*$BL1584,"..")</f>
        <v>3251054184.275352</v>
      </c>
      <c r="BN1584" s="846">
        <f>IFERROR($BB1584/$BM1584,"..")</f>
        <v>1.0992426318220945</v>
      </c>
      <c r="BO1584" s="801">
        <f t="shared" si="266"/>
        <v>38</v>
      </c>
      <c r="BP1584" s="117">
        <f>VLOOKUP($D1584,'WB Data'!$C$3:$M$578,9,FALSE)</f>
        <v>37.299999999999997</v>
      </c>
      <c r="BQ1584" s="117">
        <f>VLOOKUP($D1584,'WB Data'!$C$3:$M$578,10,FALSE)</f>
        <v>73.307292682926828</v>
      </c>
      <c r="BR1584" s="117">
        <f>VLOOKUP($D1584,'WB Data'!$C$3:$M$578,11,FALSE)</f>
        <v>17.399999999999999</v>
      </c>
      <c r="BS1584" s="129">
        <f>IFERROR(VLOOKUP($D1584,'WB Data 2'!$C$2:$K$545,9,FALSE),"..")</f>
        <v>97.638440000000003</v>
      </c>
      <c r="BT1584" s="129">
        <f>_xlfn.IFNA(VLOOKUP($C1584,RGI!$A$2:$C$43,2,FALSE),"..")</f>
        <v>76.8</v>
      </c>
      <c r="BU1584" s="129">
        <f>_xlfn.IFNA(VLOOKUP($C1584,RGI!$A$2:$C$43,3,FALSE),"..")</f>
        <v>72.816147461462435</v>
      </c>
      <c r="BV1584" s="129">
        <f>VLOOKUP($D1584,WGI!$C$2:$O$478,7,FALSE)</f>
        <v>0.102797518483968</v>
      </c>
      <c r="BW1584" s="129">
        <f>VLOOKUP($D1584,WGI!$C$2:$O$478,4,FALSE)</f>
        <v>-0.89730607728999101</v>
      </c>
      <c r="BX1584" s="129">
        <f>VLOOKUP($D1584,WGI!$C$2:$O$478,3,FALSE)</f>
        <v>-0.35724068854121799</v>
      </c>
      <c r="BY1584" s="129">
        <f>VLOOKUP($D1584,WGI!$C$2:$O$478,5,FALSE)</f>
        <v>0.34906767606171601</v>
      </c>
      <c r="BZ1584" s="129">
        <f>VLOOKUP($D1584,WGI!$C$2:$O$478,2,FALSE)</f>
        <v>-0.20419570946809601</v>
      </c>
      <c r="CB1584" s="129"/>
    </row>
    <row r="1585" spans="1:80" s="120" customFormat="1" ht="15" customHeight="1">
      <c r="A1585" s="294" t="s">
        <v>454</v>
      </c>
      <c r="B1585" s="117">
        <v>2008</v>
      </c>
      <c r="C1585" s="117" t="s">
        <v>449</v>
      </c>
      <c r="D1585" s="117" t="s">
        <v>3609</v>
      </c>
      <c r="E1585" s="452" t="s">
        <v>220</v>
      </c>
      <c r="F1585" s="117"/>
      <c r="G1585" s="120" t="s">
        <v>24</v>
      </c>
      <c r="H1585" s="117" t="str">
        <f t="shared" si="271"/>
        <v>yes</v>
      </c>
      <c r="I1585" s="117" t="str">
        <f t="shared" si="263"/>
        <v>no</v>
      </c>
      <c r="J1585" s="117" t="str">
        <f t="shared" si="264"/>
        <v>no</v>
      </c>
      <c r="K1585" s="117" t="s">
        <v>1437</v>
      </c>
      <c r="L1585" s="117" t="str">
        <f t="shared" si="272"/>
        <v>detailed</v>
      </c>
      <c r="M1585" s="117" t="str">
        <f t="shared" si="265"/>
        <v>detailed Mining</v>
      </c>
      <c r="N1585" s="118"/>
      <c r="O1585" s="118"/>
      <c r="P1585" s="118"/>
      <c r="Q1585" s="118"/>
      <c r="R1585" s="118"/>
      <c r="S1585" s="117"/>
      <c r="T1585" s="119"/>
      <c r="U1585" s="117"/>
      <c r="V1585" s="117"/>
      <c r="W1585" s="89"/>
      <c r="X1585" s="117"/>
      <c r="Y1585" s="89"/>
      <c r="Z1585" s="89"/>
      <c r="AA1585" s="89"/>
      <c r="AB1585" s="89"/>
      <c r="AC1585" s="240"/>
      <c r="AD1585" s="240"/>
      <c r="AE1585" s="240"/>
      <c r="AF1585" s="241"/>
      <c r="AG1585" s="89"/>
      <c r="AH1585" s="124"/>
      <c r="AI1585" s="117"/>
      <c r="AJ1585" s="117"/>
      <c r="AK1585" s="89"/>
      <c r="AL1585" s="117"/>
      <c r="AM1585" s="117"/>
      <c r="AN1585" s="117"/>
      <c r="AO1585" s="117"/>
      <c r="AP1585" s="117"/>
      <c r="AQ1585" s="117"/>
      <c r="AR1585" s="117"/>
      <c r="AS1585" s="117"/>
      <c r="AT1585" s="117"/>
      <c r="AU1585" s="117"/>
      <c r="AV1585" s="128"/>
      <c r="AW1585" s="117">
        <f>VLOOKUP($D1585,'WB Data'!$C$3:$M$578,2,FALSE)</f>
        <v>121571548180.02281</v>
      </c>
      <c r="AX1585" s="117">
        <f>VLOOKUP($D1585,'WB Data'!$C$3:$M$578,3,FALSE)</f>
        <v>28625628</v>
      </c>
      <c r="AY1585" s="847">
        <f t="shared" si="267"/>
        <v>2.9395836535923269E-2</v>
      </c>
      <c r="AZ1585" s="117">
        <f>VLOOKUP($D1585,'WB Data'!$C$3:$M$578,4,FALSE)/100</f>
        <v>0.20973667240502653</v>
      </c>
      <c r="BA1585" s="117">
        <f t="shared" si="268"/>
        <v>25498011974.405342</v>
      </c>
      <c r="BB1585" s="129">
        <f>IFERROR(VLOOKUP($D1585,'EITI Revenues'!$C$2:$G$224,5,FALSE),"..")</f>
        <v>3573697357.7190704</v>
      </c>
      <c r="BC1585" s="846">
        <f t="shared" si="269"/>
        <v>0.14015592122657694</v>
      </c>
      <c r="BD1585" s="129">
        <f>VLOOKUP($D1585,'WB Data 2'!$C$2:$K$545,6,FALSE)</f>
        <v>19689907936.979385</v>
      </c>
      <c r="BE1585" s="129">
        <f>IFERROR(VLOOKUP($D1585,UNCTAD!$C$5:$V$529,4,FALSE),"..")</f>
        <v>34667290000</v>
      </c>
      <c r="BF1585" s="846">
        <f t="shared" si="270"/>
        <v>0.5679679010669535</v>
      </c>
      <c r="BG1585" s="117">
        <f>VLOOKUP($D1585,'WB Data'!$C$3:$M$578,5,FALSE)</f>
        <v>463020000</v>
      </c>
      <c r="BH1585" s="129">
        <f>IFERROR($BB1585/$BG1585,"..")</f>
        <v>7.7182354060711642</v>
      </c>
      <c r="BI1585" s="117">
        <f>IFERROR(VLOOKUP($D1585,'WB Data'!$C$3:$M$578,7,FALSE)/100,"..")</f>
        <v>2.6741899999999999E-2</v>
      </c>
      <c r="BJ1585" s="117">
        <f>IFERROR($BI1585*$AW1585,"..")</f>
        <v>3251054184.275352</v>
      </c>
      <c r="BK1585" s="846">
        <f>IFERROR($BB1585/$BJ1585,"..")</f>
        <v>1.0992426318220945</v>
      </c>
      <c r="BL1585" s="117">
        <f>IFERROR(VLOOKUP($D1585,'WB Data'!$C$3:$M$578,7,FALSE)/100,"..")</f>
        <v>2.6741899999999999E-2</v>
      </c>
      <c r="BM1585" s="117">
        <f>IFERROR($AW1585*$BL1585,"..")</f>
        <v>3251054184.275352</v>
      </c>
      <c r="BN1585" s="846">
        <f>IFERROR($BB1585/$BM1585,"..")</f>
        <v>1.0992426318220945</v>
      </c>
      <c r="BO1585" s="801">
        <f t="shared" si="266"/>
        <v>38</v>
      </c>
      <c r="BP1585" s="117">
        <f>VLOOKUP($D1585,'WB Data'!$C$3:$M$578,9,FALSE)</f>
        <v>37.299999999999997</v>
      </c>
      <c r="BQ1585" s="117">
        <f>VLOOKUP($D1585,'WB Data'!$C$3:$M$578,10,FALSE)</f>
        <v>73.307292682926828</v>
      </c>
      <c r="BR1585" s="117">
        <f>VLOOKUP($D1585,'WB Data'!$C$3:$M$578,11,FALSE)</f>
        <v>17.399999999999999</v>
      </c>
      <c r="BS1585" s="129">
        <f>IFERROR(VLOOKUP($D1585,'WB Data 2'!$C$2:$K$545,9,FALSE),"..")</f>
        <v>97.638440000000003</v>
      </c>
      <c r="BT1585" s="129">
        <f>_xlfn.IFNA(VLOOKUP($C1585,RGI!$A$2:$C$43,2,FALSE),"..")</f>
        <v>76.8</v>
      </c>
      <c r="BU1585" s="129">
        <f>_xlfn.IFNA(VLOOKUP($C1585,RGI!$A$2:$C$43,3,FALSE),"..")</f>
        <v>72.816147461462435</v>
      </c>
      <c r="BV1585" s="129">
        <f>VLOOKUP($D1585,WGI!$C$2:$O$478,7,FALSE)</f>
        <v>0.102797518483968</v>
      </c>
      <c r="BW1585" s="129">
        <f>VLOOKUP($D1585,WGI!$C$2:$O$478,4,FALSE)</f>
        <v>-0.89730607728999101</v>
      </c>
      <c r="BX1585" s="129">
        <f>VLOOKUP($D1585,WGI!$C$2:$O$478,3,FALSE)</f>
        <v>-0.35724068854121799</v>
      </c>
      <c r="BY1585" s="129">
        <f>VLOOKUP($D1585,WGI!$C$2:$O$478,5,FALSE)</f>
        <v>0.34906767606171601</v>
      </c>
      <c r="BZ1585" s="129">
        <f>VLOOKUP($D1585,WGI!$C$2:$O$478,2,FALSE)</f>
        <v>-0.20419570946809601</v>
      </c>
      <c r="CB1585" s="129"/>
    </row>
    <row r="1586" spans="1:80" s="120" customFormat="1" ht="15" customHeight="1">
      <c r="A1586" s="294" t="s">
        <v>454</v>
      </c>
      <c r="B1586" s="117">
        <v>2008</v>
      </c>
      <c r="C1586" s="117" t="s">
        <v>449</v>
      </c>
      <c r="D1586" s="117" t="s">
        <v>3609</v>
      </c>
      <c r="E1586" s="452" t="s">
        <v>220</v>
      </c>
      <c r="F1586" s="117"/>
      <c r="G1586" s="120" t="s">
        <v>24</v>
      </c>
      <c r="H1586" s="117" t="str">
        <f t="shared" si="271"/>
        <v>yes</v>
      </c>
      <c r="I1586" s="117" t="str">
        <f t="shared" si="263"/>
        <v>no</v>
      </c>
      <c r="J1586" s="117" t="str">
        <f t="shared" si="264"/>
        <v>no</v>
      </c>
      <c r="K1586" s="117" t="s">
        <v>2101</v>
      </c>
      <c r="L1586" s="117" t="str">
        <f t="shared" si="272"/>
        <v>detailed</v>
      </c>
      <c r="M1586" s="117" t="str">
        <f t="shared" si="265"/>
        <v>detailed Mining</v>
      </c>
      <c r="N1586" s="118"/>
      <c r="O1586" s="118"/>
      <c r="P1586" s="118"/>
      <c r="Q1586" s="118"/>
      <c r="R1586" s="118"/>
      <c r="S1586" s="117"/>
      <c r="T1586" s="119"/>
      <c r="U1586" s="117"/>
      <c r="V1586" s="117"/>
      <c r="W1586" s="89"/>
      <c r="X1586" s="117"/>
      <c r="Y1586" s="89"/>
      <c r="Z1586" s="89"/>
      <c r="AA1586" s="89"/>
      <c r="AB1586" s="89"/>
      <c r="AC1586" s="240"/>
      <c r="AD1586" s="240"/>
      <c r="AE1586" s="240"/>
      <c r="AF1586" s="241"/>
      <c r="AG1586" s="89"/>
      <c r="AH1586" s="124"/>
      <c r="AI1586" s="117"/>
      <c r="AJ1586" s="117"/>
      <c r="AK1586" s="89"/>
      <c r="AL1586" s="117"/>
      <c r="AM1586" s="117"/>
      <c r="AN1586" s="117"/>
      <c r="AO1586" s="117"/>
      <c r="AP1586" s="117"/>
      <c r="AQ1586" s="117"/>
      <c r="AR1586" s="117"/>
      <c r="AS1586" s="117"/>
      <c r="AT1586" s="117"/>
      <c r="AU1586" s="117"/>
      <c r="AV1586" s="128"/>
      <c r="AW1586" s="117">
        <f>VLOOKUP($D1586,'WB Data'!$C$3:$M$578,2,FALSE)</f>
        <v>121571548180.02281</v>
      </c>
      <c r="AX1586" s="117">
        <f>VLOOKUP($D1586,'WB Data'!$C$3:$M$578,3,FALSE)</f>
        <v>28625628</v>
      </c>
      <c r="AY1586" s="847">
        <f t="shared" si="267"/>
        <v>2.9395836535923269E-2</v>
      </c>
      <c r="AZ1586" s="117">
        <f>VLOOKUP($D1586,'WB Data'!$C$3:$M$578,4,FALSE)/100</f>
        <v>0.20973667240502653</v>
      </c>
      <c r="BA1586" s="117">
        <f t="shared" si="268"/>
        <v>25498011974.405342</v>
      </c>
      <c r="BB1586" s="129">
        <f>IFERROR(VLOOKUP($D1586,'EITI Revenues'!$C$2:$G$224,5,FALSE),"..")</f>
        <v>3573697357.7190704</v>
      </c>
      <c r="BC1586" s="846">
        <f t="shared" si="269"/>
        <v>0.14015592122657694</v>
      </c>
      <c r="BD1586" s="129">
        <f>VLOOKUP($D1586,'WB Data 2'!$C$2:$K$545,6,FALSE)</f>
        <v>19689907936.979385</v>
      </c>
      <c r="BE1586" s="129">
        <f>IFERROR(VLOOKUP($D1586,UNCTAD!$C$5:$V$529,4,FALSE),"..")</f>
        <v>34667290000</v>
      </c>
      <c r="BF1586" s="846">
        <f t="shared" si="270"/>
        <v>0.5679679010669535</v>
      </c>
      <c r="BG1586" s="117">
        <f>VLOOKUP($D1586,'WB Data'!$C$3:$M$578,5,FALSE)</f>
        <v>463020000</v>
      </c>
      <c r="BH1586" s="129">
        <f>IFERROR($BB1586/$BG1586,"..")</f>
        <v>7.7182354060711642</v>
      </c>
      <c r="BI1586" s="117">
        <f>IFERROR(VLOOKUP($D1586,'WB Data'!$C$3:$M$578,7,FALSE)/100,"..")</f>
        <v>2.6741899999999999E-2</v>
      </c>
      <c r="BJ1586" s="117">
        <f>IFERROR($BI1586*$AW1586,"..")</f>
        <v>3251054184.275352</v>
      </c>
      <c r="BK1586" s="846">
        <f>IFERROR($BB1586/$BJ1586,"..")</f>
        <v>1.0992426318220945</v>
      </c>
      <c r="BL1586" s="117">
        <f>IFERROR(VLOOKUP($D1586,'WB Data'!$C$3:$M$578,7,FALSE)/100,"..")</f>
        <v>2.6741899999999999E-2</v>
      </c>
      <c r="BM1586" s="117">
        <f>IFERROR($AW1586*$BL1586,"..")</f>
        <v>3251054184.275352</v>
      </c>
      <c r="BN1586" s="846">
        <f>IFERROR($BB1586/$BM1586,"..")</f>
        <v>1.0992426318220945</v>
      </c>
      <c r="BO1586" s="801">
        <f t="shared" si="266"/>
        <v>38</v>
      </c>
      <c r="BP1586" s="117">
        <f>VLOOKUP($D1586,'WB Data'!$C$3:$M$578,9,FALSE)</f>
        <v>37.299999999999997</v>
      </c>
      <c r="BQ1586" s="117">
        <f>VLOOKUP($D1586,'WB Data'!$C$3:$M$578,10,FALSE)</f>
        <v>73.307292682926828</v>
      </c>
      <c r="BR1586" s="117">
        <f>VLOOKUP($D1586,'WB Data'!$C$3:$M$578,11,FALSE)</f>
        <v>17.399999999999999</v>
      </c>
      <c r="BS1586" s="129">
        <f>IFERROR(VLOOKUP($D1586,'WB Data 2'!$C$2:$K$545,9,FALSE),"..")</f>
        <v>97.638440000000003</v>
      </c>
      <c r="BT1586" s="129">
        <f>_xlfn.IFNA(VLOOKUP($C1586,RGI!$A$2:$C$43,2,FALSE),"..")</f>
        <v>76.8</v>
      </c>
      <c r="BU1586" s="129">
        <f>_xlfn.IFNA(VLOOKUP($C1586,RGI!$A$2:$C$43,3,FALSE),"..")</f>
        <v>72.816147461462435</v>
      </c>
      <c r="BV1586" s="129">
        <f>VLOOKUP($D1586,WGI!$C$2:$O$478,7,FALSE)</f>
        <v>0.102797518483968</v>
      </c>
      <c r="BW1586" s="129">
        <f>VLOOKUP($D1586,WGI!$C$2:$O$478,4,FALSE)</f>
        <v>-0.89730607728999101</v>
      </c>
      <c r="BX1586" s="129">
        <f>VLOOKUP($D1586,WGI!$C$2:$O$478,3,FALSE)</f>
        <v>-0.35724068854121799</v>
      </c>
      <c r="BY1586" s="129">
        <f>VLOOKUP($D1586,WGI!$C$2:$O$478,5,FALSE)</f>
        <v>0.34906767606171601</v>
      </c>
      <c r="BZ1586" s="129">
        <f>VLOOKUP($D1586,WGI!$C$2:$O$478,2,FALSE)</f>
        <v>-0.20419570946809601</v>
      </c>
      <c r="CB1586" s="129"/>
    </row>
    <row r="1587" spans="1:80" s="120" customFormat="1" ht="15" customHeight="1">
      <c r="A1587" s="294" t="s">
        <v>454</v>
      </c>
      <c r="B1587" s="117">
        <v>2008</v>
      </c>
      <c r="C1587" s="117" t="s">
        <v>449</v>
      </c>
      <c r="D1587" s="117" t="s">
        <v>3609</v>
      </c>
      <c r="E1587" s="452" t="s">
        <v>220</v>
      </c>
      <c r="F1587" s="117"/>
      <c r="G1587" s="120" t="s">
        <v>24</v>
      </c>
      <c r="H1587" s="117" t="str">
        <f t="shared" si="271"/>
        <v>yes</v>
      </c>
      <c r="I1587" s="117" t="str">
        <f t="shared" si="263"/>
        <v>no</v>
      </c>
      <c r="J1587" s="117" t="str">
        <f t="shared" si="264"/>
        <v>no</v>
      </c>
      <c r="K1587" s="117" t="s">
        <v>1147</v>
      </c>
      <c r="L1587" s="117" t="str">
        <f t="shared" si="272"/>
        <v>detailed</v>
      </c>
      <c r="M1587" s="117" t="str">
        <f t="shared" si="265"/>
        <v>detailed Mining</v>
      </c>
      <c r="N1587" s="118"/>
      <c r="O1587" s="118"/>
      <c r="P1587" s="118"/>
      <c r="Q1587" s="118"/>
      <c r="R1587" s="118"/>
      <c r="S1587" s="117"/>
      <c r="T1587" s="119"/>
      <c r="U1587" s="117"/>
      <c r="V1587" s="117"/>
      <c r="W1587" s="89"/>
      <c r="X1587" s="117"/>
      <c r="Y1587" s="89"/>
      <c r="Z1587" s="89"/>
      <c r="AA1587" s="89"/>
      <c r="AB1587" s="89"/>
      <c r="AC1587" s="240"/>
      <c r="AD1587" s="240"/>
      <c r="AE1587" s="240"/>
      <c r="AF1587" s="241"/>
      <c r="AG1587" s="89"/>
      <c r="AH1587" s="124"/>
      <c r="AI1587" s="117"/>
      <c r="AJ1587" s="117"/>
      <c r="AK1587" s="89"/>
      <c r="AL1587" s="117"/>
      <c r="AM1587" s="117"/>
      <c r="AN1587" s="117"/>
      <c r="AO1587" s="117"/>
      <c r="AP1587" s="117"/>
      <c r="AQ1587" s="117"/>
      <c r="AR1587" s="117"/>
      <c r="AS1587" s="117"/>
      <c r="AT1587" s="117"/>
      <c r="AU1587" s="117"/>
      <c r="AV1587" s="128"/>
      <c r="AW1587" s="117">
        <f>VLOOKUP($D1587,'WB Data'!$C$3:$M$578,2,FALSE)</f>
        <v>121571548180.02281</v>
      </c>
      <c r="AX1587" s="117">
        <f>VLOOKUP($D1587,'WB Data'!$C$3:$M$578,3,FALSE)</f>
        <v>28625628</v>
      </c>
      <c r="AY1587" s="847">
        <f t="shared" si="267"/>
        <v>2.9395836535923269E-2</v>
      </c>
      <c r="AZ1587" s="117">
        <f>VLOOKUP($D1587,'WB Data'!$C$3:$M$578,4,FALSE)/100</f>
        <v>0.20973667240502653</v>
      </c>
      <c r="BA1587" s="117">
        <f t="shared" si="268"/>
        <v>25498011974.405342</v>
      </c>
      <c r="BB1587" s="129">
        <f>IFERROR(VLOOKUP($D1587,'EITI Revenues'!$C$2:$G$224,5,FALSE),"..")</f>
        <v>3573697357.7190704</v>
      </c>
      <c r="BC1587" s="846">
        <f t="shared" si="269"/>
        <v>0.14015592122657694</v>
      </c>
      <c r="BD1587" s="129">
        <f>VLOOKUP($D1587,'WB Data 2'!$C$2:$K$545,6,FALSE)</f>
        <v>19689907936.979385</v>
      </c>
      <c r="BE1587" s="129">
        <f>IFERROR(VLOOKUP($D1587,UNCTAD!$C$5:$V$529,4,FALSE),"..")</f>
        <v>34667290000</v>
      </c>
      <c r="BF1587" s="846">
        <f t="shared" si="270"/>
        <v>0.5679679010669535</v>
      </c>
      <c r="BG1587" s="117">
        <f>VLOOKUP($D1587,'WB Data'!$C$3:$M$578,5,FALSE)</f>
        <v>463020000</v>
      </c>
      <c r="BH1587" s="129">
        <f>IFERROR($BB1587/$BG1587,"..")</f>
        <v>7.7182354060711642</v>
      </c>
      <c r="BI1587" s="117">
        <f>IFERROR(VLOOKUP($D1587,'WB Data'!$C$3:$M$578,7,FALSE)/100,"..")</f>
        <v>2.6741899999999999E-2</v>
      </c>
      <c r="BJ1587" s="117">
        <f>IFERROR($BI1587*$AW1587,"..")</f>
        <v>3251054184.275352</v>
      </c>
      <c r="BK1587" s="846">
        <f>IFERROR($BB1587/$BJ1587,"..")</f>
        <v>1.0992426318220945</v>
      </c>
      <c r="BL1587" s="117">
        <f>IFERROR(VLOOKUP($D1587,'WB Data'!$C$3:$M$578,7,FALSE)/100,"..")</f>
        <v>2.6741899999999999E-2</v>
      </c>
      <c r="BM1587" s="117">
        <f>IFERROR($AW1587*$BL1587,"..")</f>
        <v>3251054184.275352</v>
      </c>
      <c r="BN1587" s="846">
        <f>IFERROR($BB1587/$BM1587,"..")</f>
        <v>1.0992426318220945</v>
      </c>
      <c r="BO1587" s="801">
        <f t="shared" si="266"/>
        <v>38</v>
      </c>
      <c r="BP1587" s="117">
        <f>VLOOKUP($D1587,'WB Data'!$C$3:$M$578,9,FALSE)</f>
        <v>37.299999999999997</v>
      </c>
      <c r="BQ1587" s="117">
        <f>VLOOKUP($D1587,'WB Data'!$C$3:$M$578,10,FALSE)</f>
        <v>73.307292682926828</v>
      </c>
      <c r="BR1587" s="117">
        <f>VLOOKUP($D1587,'WB Data'!$C$3:$M$578,11,FALSE)</f>
        <v>17.399999999999999</v>
      </c>
      <c r="BS1587" s="129">
        <f>IFERROR(VLOOKUP($D1587,'WB Data 2'!$C$2:$K$545,9,FALSE),"..")</f>
        <v>97.638440000000003</v>
      </c>
      <c r="BT1587" s="129">
        <f>_xlfn.IFNA(VLOOKUP($C1587,RGI!$A$2:$C$43,2,FALSE),"..")</f>
        <v>76.8</v>
      </c>
      <c r="BU1587" s="129">
        <f>_xlfn.IFNA(VLOOKUP($C1587,RGI!$A$2:$C$43,3,FALSE),"..")</f>
        <v>72.816147461462435</v>
      </c>
      <c r="BV1587" s="129">
        <f>VLOOKUP($D1587,WGI!$C$2:$O$478,7,FALSE)</f>
        <v>0.102797518483968</v>
      </c>
      <c r="BW1587" s="129">
        <f>VLOOKUP($D1587,WGI!$C$2:$O$478,4,FALSE)</f>
        <v>-0.89730607728999101</v>
      </c>
      <c r="BX1587" s="129">
        <f>VLOOKUP($D1587,WGI!$C$2:$O$478,3,FALSE)</f>
        <v>-0.35724068854121799</v>
      </c>
      <c r="BY1587" s="129">
        <f>VLOOKUP($D1587,WGI!$C$2:$O$478,5,FALSE)</f>
        <v>0.34906767606171601</v>
      </c>
      <c r="BZ1587" s="129">
        <f>VLOOKUP($D1587,WGI!$C$2:$O$478,2,FALSE)</f>
        <v>-0.20419570946809601</v>
      </c>
      <c r="CB1587" s="129"/>
    </row>
    <row r="1588" spans="1:80" s="120" customFormat="1" ht="15" customHeight="1">
      <c r="A1588" s="294" t="s">
        <v>454</v>
      </c>
      <c r="B1588" s="117">
        <v>2008</v>
      </c>
      <c r="C1588" s="117" t="s">
        <v>449</v>
      </c>
      <c r="D1588" s="117" t="s">
        <v>3609</v>
      </c>
      <c r="E1588" s="452" t="s">
        <v>220</v>
      </c>
      <c r="F1588" s="117"/>
      <c r="G1588" s="120" t="s">
        <v>24</v>
      </c>
      <c r="H1588" s="117" t="str">
        <f t="shared" si="271"/>
        <v>yes</v>
      </c>
      <c r="I1588" s="117" t="str">
        <f t="shared" si="263"/>
        <v>no</v>
      </c>
      <c r="J1588" s="117" t="str">
        <f t="shared" si="264"/>
        <v>no</v>
      </c>
      <c r="K1588" s="117" t="s">
        <v>970</v>
      </c>
      <c r="L1588" s="117" t="str">
        <f t="shared" si="272"/>
        <v>detailed</v>
      </c>
      <c r="M1588" s="117" t="str">
        <f t="shared" si="265"/>
        <v>detailed Mining</v>
      </c>
      <c r="N1588" s="118"/>
      <c r="O1588" s="118"/>
      <c r="P1588" s="118"/>
      <c r="Q1588" s="118"/>
      <c r="R1588" s="118"/>
      <c r="S1588" s="117"/>
      <c r="T1588" s="119"/>
      <c r="U1588" s="117"/>
      <c r="V1588" s="117"/>
      <c r="W1588" s="89"/>
      <c r="X1588" s="117"/>
      <c r="Y1588" s="89"/>
      <c r="Z1588" s="89"/>
      <c r="AA1588" s="89"/>
      <c r="AB1588" s="89"/>
      <c r="AC1588" s="240"/>
      <c r="AD1588" s="240"/>
      <c r="AE1588" s="240"/>
      <c r="AF1588" s="241"/>
      <c r="AG1588" s="89"/>
      <c r="AH1588" s="124"/>
      <c r="AI1588" s="117"/>
      <c r="AJ1588" s="117"/>
      <c r="AK1588" s="89"/>
      <c r="AL1588" s="117"/>
      <c r="AM1588" s="117"/>
      <c r="AN1588" s="117"/>
      <c r="AO1588" s="117"/>
      <c r="AP1588" s="117"/>
      <c r="AQ1588" s="117"/>
      <c r="AR1588" s="117"/>
      <c r="AS1588" s="117"/>
      <c r="AT1588" s="117"/>
      <c r="AU1588" s="117"/>
      <c r="AV1588" s="128"/>
      <c r="AW1588" s="117">
        <f>VLOOKUP($D1588,'WB Data'!$C$3:$M$578,2,FALSE)</f>
        <v>121571548180.02281</v>
      </c>
      <c r="AX1588" s="117">
        <f>VLOOKUP($D1588,'WB Data'!$C$3:$M$578,3,FALSE)</f>
        <v>28625628</v>
      </c>
      <c r="AY1588" s="847">
        <f t="shared" si="267"/>
        <v>2.9395836535923269E-2</v>
      </c>
      <c r="AZ1588" s="117">
        <f>VLOOKUP($D1588,'WB Data'!$C$3:$M$578,4,FALSE)/100</f>
        <v>0.20973667240502653</v>
      </c>
      <c r="BA1588" s="117">
        <f t="shared" si="268"/>
        <v>25498011974.405342</v>
      </c>
      <c r="BB1588" s="129">
        <f>IFERROR(VLOOKUP($D1588,'EITI Revenues'!$C$2:$G$224,5,FALSE),"..")</f>
        <v>3573697357.7190704</v>
      </c>
      <c r="BC1588" s="846">
        <f t="shared" si="269"/>
        <v>0.14015592122657694</v>
      </c>
      <c r="BD1588" s="129">
        <f>VLOOKUP($D1588,'WB Data 2'!$C$2:$K$545,6,FALSE)</f>
        <v>19689907936.979385</v>
      </c>
      <c r="BE1588" s="129">
        <f>IFERROR(VLOOKUP($D1588,UNCTAD!$C$5:$V$529,4,FALSE),"..")</f>
        <v>34667290000</v>
      </c>
      <c r="BF1588" s="846">
        <f t="shared" si="270"/>
        <v>0.5679679010669535</v>
      </c>
      <c r="BG1588" s="117">
        <f>VLOOKUP($D1588,'WB Data'!$C$3:$M$578,5,FALSE)</f>
        <v>463020000</v>
      </c>
      <c r="BH1588" s="129">
        <f>IFERROR($BB1588/$BG1588,"..")</f>
        <v>7.7182354060711642</v>
      </c>
      <c r="BI1588" s="117">
        <f>IFERROR(VLOOKUP($D1588,'WB Data'!$C$3:$M$578,7,FALSE)/100,"..")</f>
        <v>2.6741899999999999E-2</v>
      </c>
      <c r="BJ1588" s="117">
        <f>IFERROR($BI1588*$AW1588,"..")</f>
        <v>3251054184.275352</v>
      </c>
      <c r="BK1588" s="846">
        <f>IFERROR($BB1588/$BJ1588,"..")</f>
        <v>1.0992426318220945</v>
      </c>
      <c r="BL1588" s="117">
        <f>IFERROR(VLOOKUP($D1588,'WB Data'!$C$3:$M$578,7,FALSE)/100,"..")</f>
        <v>2.6741899999999999E-2</v>
      </c>
      <c r="BM1588" s="117">
        <f>IFERROR($AW1588*$BL1588,"..")</f>
        <v>3251054184.275352</v>
      </c>
      <c r="BN1588" s="846">
        <f>IFERROR($BB1588/$BM1588,"..")</f>
        <v>1.0992426318220945</v>
      </c>
      <c r="BO1588" s="801">
        <f t="shared" si="266"/>
        <v>38</v>
      </c>
      <c r="BP1588" s="117">
        <f>VLOOKUP($D1588,'WB Data'!$C$3:$M$578,9,FALSE)</f>
        <v>37.299999999999997</v>
      </c>
      <c r="BQ1588" s="117">
        <f>VLOOKUP($D1588,'WB Data'!$C$3:$M$578,10,FALSE)</f>
        <v>73.307292682926828</v>
      </c>
      <c r="BR1588" s="117">
        <f>VLOOKUP($D1588,'WB Data'!$C$3:$M$578,11,FALSE)</f>
        <v>17.399999999999999</v>
      </c>
      <c r="BS1588" s="129">
        <f>IFERROR(VLOOKUP($D1588,'WB Data 2'!$C$2:$K$545,9,FALSE),"..")</f>
        <v>97.638440000000003</v>
      </c>
      <c r="BT1588" s="129">
        <f>_xlfn.IFNA(VLOOKUP($C1588,RGI!$A$2:$C$43,2,FALSE),"..")</f>
        <v>76.8</v>
      </c>
      <c r="BU1588" s="129">
        <f>_xlfn.IFNA(VLOOKUP($C1588,RGI!$A$2:$C$43,3,FALSE),"..")</f>
        <v>72.816147461462435</v>
      </c>
      <c r="BV1588" s="129">
        <f>VLOOKUP($D1588,WGI!$C$2:$O$478,7,FALSE)</f>
        <v>0.102797518483968</v>
      </c>
      <c r="BW1588" s="129">
        <f>VLOOKUP($D1588,WGI!$C$2:$O$478,4,FALSE)</f>
        <v>-0.89730607728999101</v>
      </c>
      <c r="BX1588" s="129">
        <f>VLOOKUP($D1588,WGI!$C$2:$O$478,3,FALSE)</f>
        <v>-0.35724068854121799</v>
      </c>
      <c r="BY1588" s="129">
        <f>VLOOKUP($D1588,WGI!$C$2:$O$478,5,FALSE)</f>
        <v>0.34906767606171601</v>
      </c>
      <c r="BZ1588" s="129">
        <f>VLOOKUP($D1588,WGI!$C$2:$O$478,2,FALSE)</f>
        <v>-0.20419570946809601</v>
      </c>
      <c r="CB1588" s="129"/>
    </row>
    <row r="1589" spans="1:80" s="120" customFormat="1" ht="15" customHeight="1">
      <c r="A1589" s="294" t="s">
        <v>454</v>
      </c>
      <c r="B1589" s="117">
        <v>2008</v>
      </c>
      <c r="C1589" s="117" t="s">
        <v>449</v>
      </c>
      <c r="D1589" s="117" t="s">
        <v>3609</v>
      </c>
      <c r="E1589" s="452" t="s">
        <v>220</v>
      </c>
      <c r="F1589" s="117"/>
      <c r="G1589" s="120" t="s">
        <v>24</v>
      </c>
      <c r="H1589" s="117" t="str">
        <f t="shared" si="271"/>
        <v>yes</v>
      </c>
      <c r="I1589" s="117" t="str">
        <f t="shared" si="263"/>
        <v>no</v>
      </c>
      <c r="J1589" s="117" t="str">
        <f t="shared" si="264"/>
        <v>no</v>
      </c>
      <c r="K1589" s="117" t="s">
        <v>2044</v>
      </c>
      <c r="L1589" s="117" t="str">
        <f t="shared" si="272"/>
        <v>detailed</v>
      </c>
      <c r="M1589" s="117" t="str">
        <f t="shared" si="265"/>
        <v>detailed Mining</v>
      </c>
      <c r="N1589" s="118"/>
      <c r="O1589" s="118"/>
      <c r="P1589" s="118"/>
      <c r="Q1589" s="118"/>
      <c r="R1589" s="118"/>
      <c r="S1589" s="117"/>
      <c r="T1589" s="119"/>
      <c r="U1589" s="117"/>
      <c r="V1589" s="117"/>
      <c r="W1589" s="89"/>
      <c r="X1589" s="117"/>
      <c r="Y1589" s="89"/>
      <c r="Z1589" s="89"/>
      <c r="AA1589" s="89"/>
      <c r="AB1589" s="89"/>
      <c r="AC1589" s="240"/>
      <c r="AD1589" s="240"/>
      <c r="AE1589" s="240"/>
      <c r="AF1589" s="241"/>
      <c r="AG1589" s="89"/>
      <c r="AH1589" s="124"/>
      <c r="AI1589" s="117"/>
      <c r="AJ1589" s="117"/>
      <c r="AK1589" s="89"/>
      <c r="AL1589" s="117"/>
      <c r="AM1589" s="117"/>
      <c r="AN1589" s="117"/>
      <c r="AO1589" s="117"/>
      <c r="AP1589" s="117"/>
      <c r="AQ1589" s="117"/>
      <c r="AR1589" s="117"/>
      <c r="AS1589" s="117"/>
      <c r="AT1589" s="117"/>
      <c r="AU1589" s="117"/>
      <c r="AV1589" s="128"/>
      <c r="AW1589" s="117">
        <f>VLOOKUP($D1589,'WB Data'!$C$3:$M$578,2,FALSE)</f>
        <v>121571548180.02281</v>
      </c>
      <c r="AX1589" s="117">
        <f>VLOOKUP($D1589,'WB Data'!$C$3:$M$578,3,FALSE)</f>
        <v>28625628</v>
      </c>
      <c r="AY1589" s="847">
        <f t="shared" si="267"/>
        <v>2.9395836535923269E-2</v>
      </c>
      <c r="AZ1589" s="117">
        <f>VLOOKUP($D1589,'WB Data'!$C$3:$M$578,4,FALSE)/100</f>
        <v>0.20973667240502653</v>
      </c>
      <c r="BA1589" s="117">
        <f t="shared" si="268"/>
        <v>25498011974.405342</v>
      </c>
      <c r="BB1589" s="129">
        <f>IFERROR(VLOOKUP($D1589,'EITI Revenues'!$C$2:$G$224,5,FALSE),"..")</f>
        <v>3573697357.7190704</v>
      </c>
      <c r="BC1589" s="846">
        <f t="shared" si="269"/>
        <v>0.14015592122657694</v>
      </c>
      <c r="BD1589" s="129">
        <f>VLOOKUP($D1589,'WB Data 2'!$C$2:$K$545,6,FALSE)</f>
        <v>19689907936.979385</v>
      </c>
      <c r="BE1589" s="129">
        <f>IFERROR(VLOOKUP($D1589,UNCTAD!$C$5:$V$529,4,FALSE),"..")</f>
        <v>34667290000</v>
      </c>
      <c r="BF1589" s="846">
        <f t="shared" si="270"/>
        <v>0.5679679010669535</v>
      </c>
      <c r="BG1589" s="117">
        <f>VLOOKUP($D1589,'WB Data'!$C$3:$M$578,5,FALSE)</f>
        <v>463020000</v>
      </c>
      <c r="BH1589" s="129">
        <f>IFERROR($BB1589/$BG1589,"..")</f>
        <v>7.7182354060711642</v>
      </c>
      <c r="BI1589" s="117">
        <f>IFERROR(VLOOKUP($D1589,'WB Data'!$C$3:$M$578,7,FALSE)/100,"..")</f>
        <v>2.6741899999999999E-2</v>
      </c>
      <c r="BJ1589" s="117">
        <f>IFERROR($BI1589*$AW1589,"..")</f>
        <v>3251054184.275352</v>
      </c>
      <c r="BK1589" s="846">
        <f>IFERROR($BB1589/$BJ1589,"..")</f>
        <v>1.0992426318220945</v>
      </c>
      <c r="BL1589" s="117">
        <f>IFERROR(VLOOKUP($D1589,'WB Data'!$C$3:$M$578,7,FALSE)/100,"..")</f>
        <v>2.6741899999999999E-2</v>
      </c>
      <c r="BM1589" s="117">
        <f>IFERROR($AW1589*$BL1589,"..")</f>
        <v>3251054184.275352</v>
      </c>
      <c r="BN1589" s="846">
        <f>IFERROR($BB1589/$BM1589,"..")</f>
        <v>1.0992426318220945</v>
      </c>
      <c r="BO1589" s="801">
        <f t="shared" si="266"/>
        <v>38</v>
      </c>
      <c r="BP1589" s="117">
        <f>VLOOKUP($D1589,'WB Data'!$C$3:$M$578,9,FALSE)</f>
        <v>37.299999999999997</v>
      </c>
      <c r="BQ1589" s="117">
        <f>VLOOKUP($D1589,'WB Data'!$C$3:$M$578,10,FALSE)</f>
        <v>73.307292682926828</v>
      </c>
      <c r="BR1589" s="117">
        <f>VLOOKUP($D1589,'WB Data'!$C$3:$M$578,11,FALSE)</f>
        <v>17.399999999999999</v>
      </c>
      <c r="BS1589" s="129">
        <f>IFERROR(VLOOKUP($D1589,'WB Data 2'!$C$2:$K$545,9,FALSE),"..")</f>
        <v>97.638440000000003</v>
      </c>
      <c r="BT1589" s="129">
        <f>_xlfn.IFNA(VLOOKUP($C1589,RGI!$A$2:$C$43,2,FALSE),"..")</f>
        <v>76.8</v>
      </c>
      <c r="BU1589" s="129">
        <f>_xlfn.IFNA(VLOOKUP($C1589,RGI!$A$2:$C$43,3,FALSE),"..")</f>
        <v>72.816147461462435</v>
      </c>
      <c r="BV1589" s="129">
        <f>VLOOKUP($D1589,WGI!$C$2:$O$478,7,FALSE)</f>
        <v>0.102797518483968</v>
      </c>
      <c r="BW1589" s="129">
        <f>VLOOKUP($D1589,WGI!$C$2:$O$478,4,FALSE)</f>
        <v>-0.89730607728999101</v>
      </c>
      <c r="BX1589" s="129">
        <f>VLOOKUP($D1589,WGI!$C$2:$O$478,3,FALSE)</f>
        <v>-0.35724068854121799</v>
      </c>
      <c r="BY1589" s="129">
        <f>VLOOKUP($D1589,WGI!$C$2:$O$478,5,FALSE)</f>
        <v>0.34906767606171601</v>
      </c>
      <c r="BZ1589" s="129">
        <f>VLOOKUP($D1589,WGI!$C$2:$O$478,2,FALSE)</f>
        <v>-0.20419570946809601</v>
      </c>
      <c r="CB1589" s="129"/>
    </row>
    <row r="1590" spans="1:80" s="120" customFormat="1" ht="15" customHeight="1">
      <c r="A1590" s="294" t="s">
        <v>454</v>
      </c>
      <c r="B1590" s="117">
        <v>2008</v>
      </c>
      <c r="C1590" s="117" t="s">
        <v>449</v>
      </c>
      <c r="D1590" s="117" t="s">
        <v>3609</v>
      </c>
      <c r="E1590" s="452" t="s">
        <v>220</v>
      </c>
      <c r="F1590" s="117"/>
      <c r="G1590" s="120" t="s">
        <v>24</v>
      </c>
      <c r="H1590" s="117" t="str">
        <f t="shared" si="271"/>
        <v>yes</v>
      </c>
      <c r="I1590" s="117" t="str">
        <f t="shared" si="263"/>
        <v>no</v>
      </c>
      <c r="J1590" s="117" t="str">
        <f t="shared" si="264"/>
        <v>no</v>
      </c>
      <c r="K1590" s="117" t="s">
        <v>2076</v>
      </c>
      <c r="L1590" s="117" t="str">
        <f t="shared" si="272"/>
        <v>detailed</v>
      </c>
      <c r="M1590" s="117" t="str">
        <f t="shared" si="265"/>
        <v>detailed Mining</v>
      </c>
      <c r="N1590" s="118"/>
      <c r="O1590" s="118"/>
      <c r="P1590" s="118"/>
      <c r="Q1590" s="118"/>
      <c r="R1590" s="118"/>
      <c r="S1590" s="117"/>
      <c r="T1590" s="119"/>
      <c r="U1590" s="117"/>
      <c r="V1590" s="117"/>
      <c r="W1590" s="89"/>
      <c r="X1590" s="117"/>
      <c r="Y1590" s="89"/>
      <c r="Z1590" s="89"/>
      <c r="AA1590" s="89"/>
      <c r="AB1590" s="89"/>
      <c r="AC1590" s="240"/>
      <c r="AD1590" s="240"/>
      <c r="AE1590" s="240"/>
      <c r="AF1590" s="241"/>
      <c r="AG1590" s="89"/>
      <c r="AH1590" s="124"/>
      <c r="AI1590" s="117"/>
      <c r="AJ1590" s="117"/>
      <c r="AK1590" s="89"/>
      <c r="AL1590" s="117"/>
      <c r="AM1590" s="117"/>
      <c r="AN1590" s="117"/>
      <c r="AO1590" s="117"/>
      <c r="AP1590" s="117"/>
      <c r="AQ1590" s="117"/>
      <c r="AR1590" s="117"/>
      <c r="AS1590" s="117"/>
      <c r="AT1590" s="117"/>
      <c r="AU1590" s="117"/>
      <c r="AV1590" s="128"/>
      <c r="AW1590" s="117">
        <f>VLOOKUP($D1590,'WB Data'!$C$3:$M$578,2,FALSE)</f>
        <v>121571548180.02281</v>
      </c>
      <c r="AX1590" s="117">
        <f>VLOOKUP($D1590,'WB Data'!$C$3:$M$578,3,FALSE)</f>
        <v>28625628</v>
      </c>
      <c r="AY1590" s="847">
        <f t="shared" si="267"/>
        <v>2.9395836535923269E-2</v>
      </c>
      <c r="AZ1590" s="117">
        <f>VLOOKUP($D1590,'WB Data'!$C$3:$M$578,4,FALSE)/100</f>
        <v>0.20973667240502653</v>
      </c>
      <c r="BA1590" s="117">
        <f t="shared" si="268"/>
        <v>25498011974.405342</v>
      </c>
      <c r="BB1590" s="129">
        <f>IFERROR(VLOOKUP($D1590,'EITI Revenues'!$C$2:$G$224,5,FALSE),"..")</f>
        <v>3573697357.7190704</v>
      </c>
      <c r="BC1590" s="846">
        <f t="shared" si="269"/>
        <v>0.14015592122657694</v>
      </c>
      <c r="BD1590" s="129">
        <f>VLOOKUP($D1590,'WB Data 2'!$C$2:$K$545,6,FALSE)</f>
        <v>19689907936.979385</v>
      </c>
      <c r="BE1590" s="129">
        <f>IFERROR(VLOOKUP($D1590,UNCTAD!$C$5:$V$529,4,FALSE),"..")</f>
        <v>34667290000</v>
      </c>
      <c r="BF1590" s="846">
        <f t="shared" si="270"/>
        <v>0.5679679010669535</v>
      </c>
      <c r="BG1590" s="117">
        <f>VLOOKUP($D1590,'WB Data'!$C$3:$M$578,5,FALSE)</f>
        <v>463020000</v>
      </c>
      <c r="BH1590" s="129">
        <f>IFERROR($BB1590/$BG1590,"..")</f>
        <v>7.7182354060711642</v>
      </c>
      <c r="BI1590" s="117">
        <f>IFERROR(VLOOKUP($D1590,'WB Data'!$C$3:$M$578,7,FALSE)/100,"..")</f>
        <v>2.6741899999999999E-2</v>
      </c>
      <c r="BJ1590" s="117">
        <f>IFERROR($BI1590*$AW1590,"..")</f>
        <v>3251054184.275352</v>
      </c>
      <c r="BK1590" s="846">
        <f>IFERROR($BB1590/$BJ1590,"..")</f>
        <v>1.0992426318220945</v>
      </c>
      <c r="BL1590" s="117">
        <f>IFERROR(VLOOKUP($D1590,'WB Data'!$C$3:$M$578,7,FALSE)/100,"..")</f>
        <v>2.6741899999999999E-2</v>
      </c>
      <c r="BM1590" s="117">
        <f>IFERROR($AW1590*$BL1590,"..")</f>
        <v>3251054184.275352</v>
      </c>
      <c r="BN1590" s="846">
        <f>IFERROR($BB1590/$BM1590,"..")</f>
        <v>1.0992426318220945</v>
      </c>
      <c r="BO1590" s="801">
        <f t="shared" si="266"/>
        <v>38</v>
      </c>
      <c r="BP1590" s="117">
        <f>VLOOKUP($D1590,'WB Data'!$C$3:$M$578,9,FALSE)</f>
        <v>37.299999999999997</v>
      </c>
      <c r="BQ1590" s="117">
        <f>VLOOKUP($D1590,'WB Data'!$C$3:$M$578,10,FALSE)</f>
        <v>73.307292682926828</v>
      </c>
      <c r="BR1590" s="117">
        <f>VLOOKUP($D1590,'WB Data'!$C$3:$M$578,11,FALSE)</f>
        <v>17.399999999999999</v>
      </c>
      <c r="BS1590" s="129">
        <f>IFERROR(VLOOKUP($D1590,'WB Data 2'!$C$2:$K$545,9,FALSE),"..")</f>
        <v>97.638440000000003</v>
      </c>
      <c r="BT1590" s="129">
        <f>_xlfn.IFNA(VLOOKUP($C1590,RGI!$A$2:$C$43,2,FALSE),"..")</f>
        <v>76.8</v>
      </c>
      <c r="BU1590" s="129">
        <f>_xlfn.IFNA(VLOOKUP($C1590,RGI!$A$2:$C$43,3,FALSE),"..")</f>
        <v>72.816147461462435</v>
      </c>
      <c r="BV1590" s="129">
        <f>VLOOKUP($D1590,WGI!$C$2:$O$478,7,FALSE)</f>
        <v>0.102797518483968</v>
      </c>
      <c r="BW1590" s="129">
        <f>VLOOKUP($D1590,WGI!$C$2:$O$478,4,FALSE)</f>
        <v>-0.89730607728999101</v>
      </c>
      <c r="BX1590" s="129">
        <f>VLOOKUP($D1590,WGI!$C$2:$O$478,3,FALSE)</f>
        <v>-0.35724068854121799</v>
      </c>
      <c r="BY1590" s="129">
        <f>VLOOKUP($D1590,WGI!$C$2:$O$478,5,FALSE)</f>
        <v>0.34906767606171601</v>
      </c>
      <c r="BZ1590" s="129">
        <f>VLOOKUP($D1590,WGI!$C$2:$O$478,2,FALSE)</f>
        <v>-0.20419570946809601</v>
      </c>
      <c r="CB1590" s="129"/>
    </row>
    <row r="1591" spans="1:80" s="120" customFormat="1" ht="15" customHeight="1">
      <c r="A1591" s="294" t="s">
        <v>454</v>
      </c>
      <c r="B1591" s="117">
        <v>2008</v>
      </c>
      <c r="C1591" s="117" t="s">
        <v>449</v>
      </c>
      <c r="D1591" s="117" t="s">
        <v>3609</v>
      </c>
      <c r="E1591" s="452" t="s">
        <v>220</v>
      </c>
      <c r="F1591" s="117"/>
      <c r="G1591" s="120" t="s">
        <v>24</v>
      </c>
      <c r="H1591" s="117" t="str">
        <f t="shared" si="271"/>
        <v>yes</v>
      </c>
      <c r="I1591" s="117" t="str">
        <f t="shared" si="263"/>
        <v>no</v>
      </c>
      <c r="J1591" s="117" t="str">
        <f t="shared" si="264"/>
        <v>no</v>
      </c>
      <c r="K1591" s="117" t="s">
        <v>789</v>
      </c>
      <c r="L1591" s="117" t="str">
        <f t="shared" si="272"/>
        <v>detailed</v>
      </c>
      <c r="M1591" s="117" t="str">
        <f t="shared" si="265"/>
        <v>detailed Mining</v>
      </c>
      <c r="N1591" s="118"/>
      <c r="O1591" s="118"/>
      <c r="P1591" s="118"/>
      <c r="Q1591" s="118"/>
      <c r="R1591" s="118"/>
      <c r="S1591" s="117"/>
      <c r="T1591" s="119"/>
      <c r="U1591" s="117"/>
      <c r="V1591" s="117"/>
      <c r="W1591" s="89"/>
      <c r="X1591" s="117"/>
      <c r="Y1591" s="89"/>
      <c r="Z1591" s="89"/>
      <c r="AA1591" s="89"/>
      <c r="AB1591" s="89"/>
      <c r="AC1591" s="240"/>
      <c r="AD1591" s="240"/>
      <c r="AE1591" s="240"/>
      <c r="AF1591" s="241"/>
      <c r="AG1591" s="89"/>
      <c r="AH1591" s="124"/>
      <c r="AI1591" s="117"/>
      <c r="AJ1591" s="117"/>
      <c r="AK1591" s="89"/>
      <c r="AL1591" s="117"/>
      <c r="AM1591" s="117"/>
      <c r="AN1591" s="117"/>
      <c r="AO1591" s="117"/>
      <c r="AP1591" s="117"/>
      <c r="AQ1591" s="117"/>
      <c r="AR1591" s="117"/>
      <c r="AS1591" s="117"/>
      <c r="AT1591" s="117"/>
      <c r="AU1591" s="117"/>
      <c r="AV1591" s="128"/>
      <c r="AW1591" s="117">
        <f>VLOOKUP($D1591,'WB Data'!$C$3:$M$578,2,FALSE)</f>
        <v>121571548180.02281</v>
      </c>
      <c r="AX1591" s="117">
        <f>VLOOKUP($D1591,'WB Data'!$C$3:$M$578,3,FALSE)</f>
        <v>28625628</v>
      </c>
      <c r="AY1591" s="847">
        <f t="shared" si="267"/>
        <v>2.9395836535923269E-2</v>
      </c>
      <c r="AZ1591" s="117">
        <f>VLOOKUP($D1591,'WB Data'!$C$3:$M$578,4,FALSE)/100</f>
        <v>0.20973667240502653</v>
      </c>
      <c r="BA1591" s="117">
        <f t="shared" si="268"/>
        <v>25498011974.405342</v>
      </c>
      <c r="BB1591" s="129">
        <f>IFERROR(VLOOKUP($D1591,'EITI Revenues'!$C$2:$G$224,5,FALSE),"..")</f>
        <v>3573697357.7190704</v>
      </c>
      <c r="BC1591" s="846">
        <f t="shared" si="269"/>
        <v>0.14015592122657694</v>
      </c>
      <c r="BD1591" s="129">
        <f>VLOOKUP($D1591,'WB Data 2'!$C$2:$K$545,6,FALSE)</f>
        <v>19689907936.979385</v>
      </c>
      <c r="BE1591" s="129">
        <f>IFERROR(VLOOKUP($D1591,UNCTAD!$C$5:$V$529,4,FALSE),"..")</f>
        <v>34667290000</v>
      </c>
      <c r="BF1591" s="846">
        <f t="shared" si="270"/>
        <v>0.5679679010669535</v>
      </c>
      <c r="BG1591" s="117">
        <f>VLOOKUP($D1591,'WB Data'!$C$3:$M$578,5,FALSE)</f>
        <v>463020000</v>
      </c>
      <c r="BH1591" s="129">
        <f>IFERROR($BB1591/$BG1591,"..")</f>
        <v>7.7182354060711642</v>
      </c>
      <c r="BI1591" s="117">
        <f>IFERROR(VLOOKUP($D1591,'WB Data'!$C$3:$M$578,7,FALSE)/100,"..")</f>
        <v>2.6741899999999999E-2</v>
      </c>
      <c r="BJ1591" s="117">
        <f>IFERROR($BI1591*$AW1591,"..")</f>
        <v>3251054184.275352</v>
      </c>
      <c r="BK1591" s="846">
        <f>IFERROR($BB1591/$BJ1591,"..")</f>
        <v>1.0992426318220945</v>
      </c>
      <c r="BL1591" s="117">
        <f>IFERROR(VLOOKUP($D1591,'WB Data'!$C$3:$M$578,7,FALSE)/100,"..")</f>
        <v>2.6741899999999999E-2</v>
      </c>
      <c r="BM1591" s="117">
        <f>IFERROR($AW1591*$BL1591,"..")</f>
        <v>3251054184.275352</v>
      </c>
      <c r="BN1591" s="846">
        <f>IFERROR($BB1591/$BM1591,"..")</f>
        <v>1.0992426318220945</v>
      </c>
      <c r="BO1591" s="801">
        <f t="shared" si="266"/>
        <v>38</v>
      </c>
      <c r="BP1591" s="117">
        <f>VLOOKUP($D1591,'WB Data'!$C$3:$M$578,9,FALSE)</f>
        <v>37.299999999999997</v>
      </c>
      <c r="BQ1591" s="117">
        <f>VLOOKUP($D1591,'WB Data'!$C$3:$M$578,10,FALSE)</f>
        <v>73.307292682926828</v>
      </c>
      <c r="BR1591" s="117">
        <f>VLOOKUP($D1591,'WB Data'!$C$3:$M$578,11,FALSE)</f>
        <v>17.399999999999999</v>
      </c>
      <c r="BS1591" s="129">
        <f>IFERROR(VLOOKUP($D1591,'WB Data 2'!$C$2:$K$545,9,FALSE),"..")</f>
        <v>97.638440000000003</v>
      </c>
      <c r="BT1591" s="129">
        <f>_xlfn.IFNA(VLOOKUP($C1591,RGI!$A$2:$C$43,2,FALSE),"..")</f>
        <v>76.8</v>
      </c>
      <c r="BU1591" s="129">
        <f>_xlfn.IFNA(VLOOKUP($C1591,RGI!$A$2:$C$43,3,FALSE),"..")</f>
        <v>72.816147461462435</v>
      </c>
      <c r="BV1591" s="129">
        <f>VLOOKUP($D1591,WGI!$C$2:$O$478,7,FALSE)</f>
        <v>0.102797518483968</v>
      </c>
      <c r="BW1591" s="129">
        <f>VLOOKUP($D1591,WGI!$C$2:$O$478,4,FALSE)</f>
        <v>-0.89730607728999101</v>
      </c>
      <c r="BX1591" s="129">
        <f>VLOOKUP($D1591,WGI!$C$2:$O$478,3,FALSE)</f>
        <v>-0.35724068854121799</v>
      </c>
      <c r="BY1591" s="129">
        <f>VLOOKUP($D1591,WGI!$C$2:$O$478,5,FALSE)</f>
        <v>0.34906767606171601</v>
      </c>
      <c r="BZ1591" s="129">
        <f>VLOOKUP($D1591,WGI!$C$2:$O$478,2,FALSE)</f>
        <v>-0.20419570946809601</v>
      </c>
      <c r="CB1591" s="129"/>
    </row>
    <row r="1592" spans="1:80" s="120" customFormat="1" ht="15" customHeight="1">
      <c r="A1592" s="294" t="s">
        <v>454</v>
      </c>
      <c r="B1592" s="117">
        <v>2008</v>
      </c>
      <c r="C1592" s="117" t="s">
        <v>449</v>
      </c>
      <c r="D1592" s="117" t="s">
        <v>3609</v>
      </c>
      <c r="E1592" s="452" t="s">
        <v>220</v>
      </c>
      <c r="F1592" s="117"/>
      <c r="G1592" s="120" t="s">
        <v>24</v>
      </c>
      <c r="H1592" s="117" t="str">
        <f t="shared" si="271"/>
        <v>yes</v>
      </c>
      <c r="I1592" s="117" t="str">
        <f t="shared" si="263"/>
        <v>no</v>
      </c>
      <c r="J1592" s="117" t="str">
        <f t="shared" si="264"/>
        <v>no</v>
      </c>
      <c r="K1592" s="117" t="s">
        <v>1241</v>
      </c>
      <c r="L1592" s="117" t="str">
        <f t="shared" si="272"/>
        <v>detailed</v>
      </c>
      <c r="M1592" s="117" t="str">
        <f t="shared" si="265"/>
        <v>detailed Mining</v>
      </c>
      <c r="N1592" s="118"/>
      <c r="O1592" s="118"/>
      <c r="P1592" s="118"/>
      <c r="Q1592" s="118"/>
      <c r="R1592" s="118"/>
      <c r="S1592" s="117"/>
      <c r="T1592" s="119"/>
      <c r="U1592" s="117"/>
      <c r="V1592" s="117"/>
      <c r="W1592" s="89"/>
      <c r="Y1592" s="89"/>
      <c r="Z1592" s="89"/>
      <c r="AA1592" s="89"/>
      <c r="AB1592" s="89"/>
      <c r="AC1592" s="240"/>
      <c r="AD1592" s="240"/>
      <c r="AE1592" s="240"/>
      <c r="AF1592" s="241"/>
      <c r="AG1592" s="89"/>
      <c r="AH1592" s="124"/>
      <c r="AI1592" s="117"/>
      <c r="AJ1592" s="117"/>
      <c r="AK1592" s="89"/>
      <c r="AL1592" s="117"/>
      <c r="AM1592" s="117"/>
      <c r="AN1592" s="117"/>
      <c r="AO1592" s="117"/>
      <c r="AP1592" s="117"/>
      <c r="AQ1592" s="117"/>
      <c r="AR1592" s="117"/>
      <c r="AS1592" s="117"/>
      <c r="AT1592" s="117"/>
      <c r="AU1592" s="117"/>
      <c r="AV1592" s="128"/>
      <c r="AW1592" s="117">
        <f>VLOOKUP($D1592,'WB Data'!$C$3:$M$578,2,FALSE)</f>
        <v>121571548180.02281</v>
      </c>
      <c r="AX1592" s="117">
        <f>VLOOKUP($D1592,'WB Data'!$C$3:$M$578,3,FALSE)</f>
        <v>28625628</v>
      </c>
      <c r="AY1592" s="847">
        <f t="shared" si="267"/>
        <v>2.9395836535923269E-2</v>
      </c>
      <c r="AZ1592" s="117">
        <f>VLOOKUP($D1592,'WB Data'!$C$3:$M$578,4,FALSE)/100</f>
        <v>0.20973667240502653</v>
      </c>
      <c r="BA1592" s="117">
        <f t="shared" si="268"/>
        <v>25498011974.405342</v>
      </c>
      <c r="BB1592" s="129">
        <f>IFERROR(VLOOKUP($D1592,'EITI Revenues'!$C$2:$G$224,5,FALSE),"..")</f>
        <v>3573697357.7190704</v>
      </c>
      <c r="BC1592" s="846">
        <f t="shared" si="269"/>
        <v>0.14015592122657694</v>
      </c>
      <c r="BD1592" s="129">
        <f>VLOOKUP($D1592,'WB Data 2'!$C$2:$K$545,6,FALSE)</f>
        <v>19689907936.979385</v>
      </c>
      <c r="BE1592" s="129">
        <f>IFERROR(VLOOKUP($D1592,UNCTAD!$C$5:$V$529,4,FALSE),"..")</f>
        <v>34667290000</v>
      </c>
      <c r="BF1592" s="846">
        <f t="shared" si="270"/>
        <v>0.5679679010669535</v>
      </c>
      <c r="BG1592" s="117">
        <f>VLOOKUP($D1592,'WB Data'!$C$3:$M$578,5,FALSE)</f>
        <v>463020000</v>
      </c>
      <c r="BH1592" s="129">
        <f>IFERROR($BB1592/$BG1592,"..")</f>
        <v>7.7182354060711642</v>
      </c>
      <c r="BI1592" s="117">
        <f>IFERROR(VLOOKUP($D1592,'WB Data'!$C$3:$M$578,7,FALSE)/100,"..")</f>
        <v>2.6741899999999999E-2</v>
      </c>
      <c r="BJ1592" s="117">
        <f>IFERROR($BI1592*$AW1592,"..")</f>
        <v>3251054184.275352</v>
      </c>
      <c r="BK1592" s="846">
        <f>IFERROR($BB1592/$BJ1592,"..")</f>
        <v>1.0992426318220945</v>
      </c>
      <c r="BL1592" s="117">
        <f>IFERROR(VLOOKUP($D1592,'WB Data'!$C$3:$M$578,7,FALSE)/100,"..")</f>
        <v>2.6741899999999999E-2</v>
      </c>
      <c r="BM1592" s="117">
        <f>IFERROR($AW1592*$BL1592,"..")</f>
        <v>3251054184.275352</v>
      </c>
      <c r="BN1592" s="846">
        <f>IFERROR($BB1592/$BM1592,"..")</f>
        <v>1.0992426318220945</v>
      </c>
      <c r="BO1592" s="801">
        <f t="shared" si="266"/>
        <v>38</v>
      </c>
      <c r="BP1592" s="117">
        <f>VLOOKUP($D1592,'WB Data'!$C$3:$M$578,9,FALSE)</f>
        <v>37.299999999999997</v>
      </c>
      <c r="BQ1592" s="117">
        <f>VLOOKUP($D1592,'WB Data'!$C$3:$M$578,10,FALSE)</f>
        <v>73.307292682926828</v>
      </c>
      <c r="BR1592" s="117">
        <f>VLOOKUP($D1592,'WB Data'!$C$3:$M$578,11,FALSE)</f>
        <v>17.399999999999999</v>
      </c>
      <c r="BS1592" s="129">
        <f>IFERROR(VLOOKUP($D1592,'WB Data 2'!$C$2:$K$545,9,FALSE),"..")</f>
        <v>97.638440000000003</v>
      </c>
      <c r="BT1592" s="129">
        <f>_xlfn.IFNA(VLOOKUP($C1592,RGI!$A$2:$C$43,2,FALSE),"..")</f>
        <v>76.8</v>
      </c>
      <c r="BU1592" s="129">
        <f>_xlfn.IFNA(VLOOKUP($C1592,RGI!$A$2:$C$43,3,FALSE),"..")</f>
        <v>72.816147461462435</v>
      </c>
      <c r="BV1592" s="129">
        <f>VLOOKUP($D1592,WGI!$C$2:$O$478,7,FALSE)</f>
        <v>0.102797518483968</v>
      </c>
      <c r="BW1592" s="129">
        <f>VLOOKUP($D1592,WGI!$C$2:$O$478,4,FALSE)</f>
        <v>-0.89730607728999101</v>
      </c>
      <c r="BX1592" s="129">
        <f>VLOOKUP($D1592,WGI!$C$2:$O$478,3,FALSE)</f>
        <v>-0.35724068854121799</v>
      </c>
      <c r="BY1592" s="129">
        <f>VLOOKUP($D1592,WGI!$C$2:$O$478,5,FALSE)</f>
        <v>0.34906767606171601</v>
      </c>
      <c r="BZ1592" s="129">
        <f>VLOOKUP($D1592,WGI!$C$2:$O$478,2,FALSE)</f>
        <v>-0.20419570946809601</v>
      </c>
      <c r="CB1592" s="129"/>
    </row>
    <row r="1593" spans="1:80" s="120" customFormat="1" ht="15" customHeight="1">
      <c r="A1593" s="294" t="s">
        <v>454</v>
      </c>
      <c r="B1593" s="117">
        <v>2008</v>
      </c>
      <c r="C1593" s="117" t="s">
        <v>449</v>
      </c>
      <c r="D1593" s="117" t="s">
        <v>3609</v>
      </c>
      <c r="E1593" s="452" t="s">
        <v>220</v>
      </c>
      <c r="F1593" s="117"/>
      <c r="G1593" s="120" t="s">
        <v>24</v>
      </c>
      <c r="H1593" s="117" t="str">
        <f t="shared" si="271"/>
        <v>yes</v>
      </c>
      <c r="I1593" s="117" t="str">
        <f t="shared" si="263"/>
        <v>no</v>
      </c>
      <c r="J1593" s="117" t="str">
        <f t="shared" si="264"/>
        <v>no</v>
      </c>
      <c r="K1593" s="117" t="s">
        <v>2102</v>
      </c>
      <c r="L1593" s="117" t="str">
        <f t="shared" si="272"/>
        <v>detailed</v>
      </c>
      <c r="M1593" s="117" t="str">
        <f t="shared" si="265"/>
        <v>detailed Mining</v>
      </c>
      <c r="N1593" s="118"/>
      <c r="O1593" s="118"/>
      <c r="P1593" s="118"/>
      <c r="Q1593" s="118"/>
      <c r="R1593" s="118"/>
      <c r="S1593" s="117"/>
      <c r="T1593" s="119"/>
      <c r="U1593" s="117"/>
      <c r="V1593" s="117"/>
      <c r="W1593" s="89"/>
      <c r="Y1593" s="89"/>
      <c r="Z1593" s="89"/>
      <c r="AA1593" s="89"/>
      <c r="AB1593" s="89"/>
      <c r="AC1593" s="240"/>
      <c r="AD1593" s="240"/>
      <c r="AE1593" s="240"/>
      <c r="AF1593" s="241"/>
      <c r="AG1593" s="89"/>
      <c r="AH1593" s="124"/>
      <c r="AI1593" s="117"/>
      <c r="AJ1593" s="117"/>
      <c r="AK1593" s="89"/>
      <c r="AL1593" s="117"/>
      <c r="AM1593" s="117"/>
      <c r="AN1593" s="117"/>
      <c r="AO1593" s="117"/>
      <c r="AP1593" s="117"/>
      <c r="AQ1593" s="117"/>
      <c r="AR1593" s="117"/>
      <c r="AS1593" s="117"/>
      <c r="AT1593" s="117"/>
      <c r="AU1593" s="117"/>
      <c r="AV1593" s="128"/>
      <c r="AW1593" s="117">
        <f>VLOOKUP($D1593,'WB Data'!$C$3:$M$578,2,FALSE)</f>
        <v>121571548180.02281</v>
      </c>
      <c r="AX1593" s="117">
        <f>VLOOKUP($D1593,'WB Data'!$C$3:$M$578,3,FALSE)</f>
        <v>28625628</v>
      </c>
      <c r="AY1593" s="847">
        <f t="shared" si="267"/>
        <v>2.9395836535923269E-2</v>
      </c>
      <c r="AZ1593" s="117">
        <f>VLOOKUP($D1593,'WB Data'!$C$3:$M$578,4,FALSE)/100</f>
        <v>0.20973667240502653</v>
      </c>
      <c r="BA1593" s="117">
        <f t="shared" si="268"/>
        <v>25498011974.405342</v>
      </c>
      <c r="BB1593" s="129">
        <f>IFERROR(VLOOKUP($D1593,'EITI Revenues'!$C$2:$G$224,5,FALSE),"..")</f>
        <v>3573697357.7190704</v>
      </c>
      <c r="BC1593" s="846">
        <f t="shared" si="269"/>
        <v>0.14015592122657694</v>
      </c>
      <c r="BD1593" s="129">
        <f>VLOOKUP($D1593,'WB Data 2'!$C$2:$K$545,6,FALSE)</f>
        <v>19689907936.979385</v>
      </c>
      <c r="BE1593" s="129">
        <f>IFERROR(VLOOKUP($D1593,UNCTAD!$C$5:$V$529,4,FALSE),"..")</f>
        <v>34667290000</v>
      </c>
      <c r="BF1593" s="846">
        <f t="shared" si="270"/>
        <v>0.5679679010669535</v>
      </c>
      <c r="BG1593" s="117">
        <f>VLOOKUP($D1593,'WB Data'!$C$3:$M$578,5,FALSE)</f>
        <v>463020000</v>
      </c>
      <c r="BH1593" s="129">
        <f>IFERROR($BB1593/$BG1593,"..")</f>
        <v>7.7182354060711642</v>
      </c>
      <c r="BI1593" s="117">
        <f>IFERROR(VLOOKUP($D1593,'WB Data'!$C$3:$M$578,7,FALSE)/100,"..")</f>
        <v>2.6741899999999999E-2</v>
      </c>
      <c r="BJ1593" s="117">
        <f>IFERROR($BI1593*$AW1593,"..")</f>
        <v>3251054184.275352</v>
      </c>
      <c r="BK1593" s="846">
        <f>IFERROR($BB1593/$BJ1593,"..")</f>
        <v>1.0992426318220945</v>
      </c>
      <c r="BL1593" s="117">
        <f>IFERROR(VLOOKUP($D1593,'WB Data'!$C$3:$M$578,7,FALSE)/100,"..")</f>
        <v>2.6741899999999999E-2</v>
      </c>
      <c r="BM1593" s="117">
        <f>IFERROR($AW1593*$BL1593,"..")</f>
        <v>3251054184.275352</v>
      </c>
      <c r="BN1593" s="846">
        <f>IFERROR($BB1593/$BM1593,"..")</f>
        <v>1.0992426318220945</v>
      </c>
      <c r="BO1593" s="801">
        <f t="shared" si="266"/>
        <v>38</v>
      </c>
      <c r="BP1593" s="117">
        <f>VLOOKUP($D1593,'WB Data'!$C$3:$M$578,9,FALSE)</f>
        <v>37.299999999999997</v>
      </c>
      <c r="BQ1593" s="117">
        <f>VLOOKUP($D1593,'WB Data'!$C$3:$M$578,10,FALSE)</f>
        <v>73.307292682926828</v>
      </c>
      <c r="BR1593" s="117">
        <f>VLOOKUP($D1593,'WB Data'!$C$3:$M$578,11,FALSE)</f>
        <v>17.399999999999999</v>
      </c>
      <c r="BS1593" s="129">
        <f>IFERROR(VLOOKUP($D1593,'WB Data 2'!$C$2:$K$545,9,FALSE),"..")</f>
        <v>97.638440000000003</v>
      </c>
      <c r="BT1593" s="129">
        <f>_xlfn.IFNA(VLOOKUP($C1593,RGI!$A$2:$C$43,2,FALSE),"..")</f>
        <v>76.8</v>
      </c>
      <c r="BU1593" s="129">
        <f>_xlfn.IFNA(VLOOKUP($C1593,RGI!$A$2:$C$43,3,FALSE),"..")</f>
        <v>72.816147461462435</v>
      </c>
      <c r="BV1593" s="129">
        <f>VLOOKUP($D1593,WGI!$C$2:$O$478,7,FALSE)</f>
        <v>0.102797518483968</v>
      </c>
      <c r="BW1593" s="129">
        <f>VLOOKUP($D1593,WGI!$C$2:$O$478,4,FALSE)</f>
        <v>-0.89730607728999101</v>
      </c>
      <c r="BX1593" s="129">
        <f>VLOOKUP($D1593,WGI!$C$2:$O$478,3,FALSE)</f>
        <v>-0.35724068854121799</v>
      </c>
      <c r="BY1593" s="129">
        <f>VLOOKUP($D1593,WGI!$C$2:$O$478,5,FALSE)</f>
        <v>0.34906767606171601</v>
      </c>
      <c r="BZ1593" s="129">
        <f>VLOOKUP($D1593,WGI!$C$2:$O$478,2,FALSE)</f>
        <v>-0.20419570946809601</v>
      </c>
      <c r="CB1593" s="129"/>
    </row>
    <row r="1594" spans="1:80" s="120" customFormat="1" ht="15" customHeight="1">
      <c r="A1594" s="294" t="s">
        <v>454</v>
      </c>
      <c r="B1594" s="117">
        <v>2008</v>
      </c>
      <c r="C1594" s="117" t="s">
        <v>449</v>
      </c>
      <c r="D1594" s="117" t="s">
        <v>3609</v>
      </c>
      <c r="E1594" s="452" t="s">
        <v>220</v>
      </c>
      <c r="F1594" s="117"/>
      <c r="G1594" s="120" t="s">
        <v>24</v>
      </c>
      <c r="H1594" s="117" t="str">
        <f t="shared" si="271"/>
        <v>yes</v>
      </c>
      <c r="I1594" s="117" t="str">
        <f t="shared" si="263"/>
        <v>no</v>
      </c>
      <c r="J1594" s="117" t="str">
        <f t="shared" si="264"/>
        <v>no</v>
      </c>
      <c r="K1594" s="117" t="s">
        <v>2103</v>
      </c>
      <c r="L1594" s="117" t="str">
        <f t="shared" si="272"/>
        <v>detailed</v>
      </c>
      <c r="M1594" s="117" t="str">
        <f t="shared" si="265"/>
        <v>detailed Mining</v>
      </c>
      <c r="N1594" s="118"/>
      <c r="O1594" s="118"/>
      <c r="P1594" s="118"/>
      <c r="Q1594" s="118"/>
      <c r="R1594" s="118"/>
      <c r="S1594" s="117"/>
      <c r="T1594" s="119"/>
      <c r="U1594" s="117"/>
      <c r="V1594" s="117"/>
      <c r="W1594" s="89"/>
      <c r="Y1594" s="89"/>
      <c r="Z1594" s="89"/>
      <c r="AA1594" s="89"/>
      <c r="AB1594" s="89"/>
      <c r="AC1594" s="240"/>
      <c r="AD1594" s="240"/>
      <c r="AE1594" s="240"/>
      <c r="AF1594" s="241"/>
      <c r="AG1594" s="89"/>
      <c r="AH1594" s="124"/>
      <c r="AI1594" s="117"/>
      <c r="AJ1594" s="117"/>
      <c r="AK1594" s="89"/>
      <c r="AL1594" s="117"/>
      <c r="AM1594" s="117"/>
      <c r="AN1594" s="117"/>
      <c r="AO1594" s="117"/>
      <c r="AP1594" s="117"/>
      <c r="AQ1594" s="117"/>
      <c r="AR1594" s="117"/>
      <c r="AS1594" s="117"/>
      <c r="AT1594" s="117"/>
      <c r="AU1594" s="117"/>
      <c r="AV1594" s="128"/>
      <c r="AW1594" s="117">
        <f>VLOOKUP($D1594,'WB Data'!$C$3:$M$578,2,FALSE)</f>
        <v>121571548180.02281</v>
      </c>
      <c r="AX1594" s="117">
        <f>VLOOKUP($D1594,'WB Data'!$C$3:$M$578,3,FALSE)</f>
        <v>28625628</v>
      </c>
      <c r="AY1594" s="847">
        <f t="shared" si="267"/>
        <v>2.9395836535923269E-2</v>
      </c>
      <c r="AZ1594" s="117">
        <f>VLOOKUP($D1594,'WB Data'!$C$3:$M$578,4,FALSE)/100</f>
        <v>0.20973667240502653</v>
      </c>
      <c r="BA1594" s="117">
        <f t="shared" si="268"/>
        <v>25498011974.405342</v>
      </c>
      <c r="BB1594" s="129">
        <f>IFERROR(VLOOKUP($D1594,'EITI Revenues'!$C$2:$G$224,5,FALSE),"..")</f>
        <v>3573697357.7190704</v>
      </c>
      <c r="BC1594" s="846">
        <f t="shared" si="269"/>
        <v>0.14015592122657694</v>
      </c>
      <c r="BD1594" s="129">
        <f>VLOOKUP($D1594,'WB Data 2'!$C$2:$K$545,6,FALSE)</f>
        <v>19689907936.979385</v>
      </c>
      <c r="BE1594" s="129">
        <f>IFERROR(VLOOKUP($D1594,UNCTAD!$C$5:$V$529,4,FALSE),"..")</f>
        <v>34667290000</v>
      </c>
      <c r="BF1594" s="846">
        <f t="shared" si="270"/>
        <v>0.5679679010669535</v>
      </c>
      <c r="BG1594" s="117">
        <f>VLOOKUP($D1594,'WB Data'!$C$3:$M$578,5,FALSE)</f>
        <v>463020000</v>
      </c>
      <c r="BH1594" s="129">
        <f>IFERROR($BB1594/$BG1594,"..")</f>
        <v>7.7182354060711642</v>
      </c>
      <c r="BI1594" s="117">
        <f>IFERROR(VLOOKUP($D1594,'WB Data'!$C$3:$M$578,7,FALSE)/100,"..")</f>
        <v>2.6741899999999999E-2</v>
      </c>
      <c r="BJ1594" s="117">
        <f>IFERROR($BI1594*$AW1594,"..")</f>
        <v>3251054184.275352</v>
      </c>
      <c r="BK1594" s="846">
        <f>IFERROR($BB1594/$BJ1594,"..")</f>
        <v>1.0992426318220945</v>
      </c>
      <c r="BL1594" s="117">
        <f>IFERROR(VLOOKUP($D1594,'WB Data'!$C$3:$M$578,7,FALSE)/100,"..")</f>
        <v>2.6741899999999999E-2</v>
      </c>
      <c r="BM1594" s="117">
        <f>IFERROR($AW1594*$BL1594,"..")</f>
        <v>3251054184.275352</v>
      </c>
      <c r="BN1594" s="846">
        <f>IFERROR($BB1594/$BM1594,"..")</f>
        <v>1.0992426318220945</v>
      </c>
      <c r="BO1594" s="801">
        <f t="shared" si="266"/>
        <v>38</v>
      </c>
      <c r="BP1594" s="117">
        <f>VLOOKUP($D1594,'WB Data'!$C$3:$M$578,9,FALSE)</f>
        <v>37.299999999999997</v>
      </c>
      <c r="BQ1594" s="117">
        <f>VLOOKUP($D1594,'WB Data'!$C$3:$M$578,10,FALSE)</f>
        <v>73.307292682926828</v>
      </c>
      <c r="BR1594" s="117">
        <f>VLOOKUP($D1594,'WB Data'!$C$3:$M$578,11,FALSE)</f>
        <v>17.399999999999999</v>
      </c>
      <c r="BS1594" s="129">
        <f>IFERROR(VLOOKUP($D1594,'WB Data 2'!$C$2:$K$545,9,FALSE),"..")</f>
        <v>97.638440000000003</v>
      </c>
      <c r="BT1594" s="129">
        <f>_xlfn.IFNA(VLOOKUP($C1594,RGI!$A$2:$C$43,2,FALSE),"..")</f>
        <v>76.8</v>
      </c>
      <c r="BU1594" s="129">
        <f>_xlfn.IFNA(VLOOKUP($C1594,RGI!$A$2:$C$43,3,FALSE),"..")</f>
        <v>72.816147461462435</v>
      </c>
      <c r="BV1594" s="129">
        <f>VLOOKUP($D1594,WGI!$C$2:$O$478,7,FALSE)</f>
        <v>0.102797518483968</v>
      </c>
      <c r="BW1594" s="129">
        <f>VLOOKUP($D1594,WGI!$C$2:$O$478,4,FALSE)</f>
        <v>-0.89730607728999101</v>
      </c>
      <c r="BX1594" s="129">
        <f>VLOOKUP($D1594,WGI!$C$2:$O$478,3,FALSE)</f>
        <v>-0.35724068854121799</v>
      </c>
      <c r="BY1594" s="129">
        <f>VLOOKUP($D1594,WGI!$C$2:$O$478,5,FALSE)</f>
        <v>0.34906767606171601</v>
      </c>
      <c r="BZ1594" s="129">
        <f>VLOOKUP($D1594,WGI!$C$2:$O$478,2,FALSE)</f>
        <v>-0.20419570946809601</v>
      </c>
      <c r="CB1594" s="129"/>
    </row>
    <row r="1595" spans="1:80" s="120" customFormat="1" ht="15" customHeight="1">
      <c r="A1595" s="294" t="s">
        <v>454</v>
      </c>
      <c r="B1595" s="117">
        <v>2008</v>
      </c>
      <c r="C1595" s="117" t="s">
        <v>449</v>
      </c>
      <c r="D1595" s="117" t="s">
        <v>3609</v>
      </c>
      <c r="E1595" s="452" t="s">
        <v>220</v>
      </c>
      <c r="F1595" s="117"/>
      <c r="G1595" s="120" t="s">
        <v>24</v>
      </c>
      <c r="H1595" s="117" t="str">
        <f t="shared" si="271"/>
        <v>yes</v>
      </c>
      <c r="I1595" s="117" t="str">
        <f t="shared" ref="I1595:I1658" si="273">IF($G1595="Gas","yes",IF($G1595="Oil, Gas, Mining","yes",IF($G1595="Gas, Mining","yes",IF($G1595="Oil, Gas","yes",IF($G1595="Oil, Gas, Other","yes","no")))))</f>
        <v>no</v>
      </c>
      <c r="J1595" s="117" t="str">
        <f t="shared" ref="J1595:J1658" si="274">IF($G1595="Oil","yes",IF($G1595="Oil, Gas, Mining","yes",IF($G1595="Oil, Mining","yes",IF($G1595="Oil, Gas","yes",IF($G1595="Oil, Gas, Other","yes","no")))))</f>
        <v>no</v>
      </c>
      <c r="K1595" s="117" t="s">
        <v>2104</v>
      </c>
      <c r="L1595" s="117" t="str">
        <f t="shared" si="272"/>
        <v>detailed</v>
      </c>
      <c r="M1595" s="117" t="str">
        <f t="shared" ref="M1595:M1658" si="275">L1595&amp;" "&amp;G1595</f>
        <v>detailed Mining</v>
      </c>
      <c r="N1595" s="118"/>
      <c r="O1595" s="118"/>
      <c r="P1595" s="118"/>
      <c r="Q1595" s="118"/>
      <c r="R1595" s="118"/>
      <c r="S1595" s="117"/>
      <c r="T1595" s="119"/>
      <c r="U1595" s="117"/>
      <c r="V1595" s="117"/>
      <c r="W1595" s="89"/>
      <c r="Y1595" s="89"/>
      <c r="Z1595" s="89"/>
      <c r="AA1595" s="89"/>
      <c r="AB1595" s="89"/>
      <c r="AC1595" s="240"/>
      <c r="AD1595" s="240"/>
      <c r="AE1595" s="240"/>
      <c r="AF1595" s="241"/>
      <c r="AG1595" s="89"/>
      <c r="AH1595" s="124"/>
      <c r="AI1595" s="117"/>
      <c r="AJ1595" s="117"/>
      <c r="AK1595" s="89"/>
      <c r="AL1595" s="117"/>
      <c r="AM1595" s="117"/>
      <c r="AN1595" s="117"/>
      <c r="AO1595" s="117"/>
      <c r="AP1595" s="117"/>
      <c r="AQ1595" s="117"/>
      <c r="AR1595" s="117"/>
      <c r="AS1595" s="117"/>
      <c r="AT1595" s="117"/>
      <c r="AU1595" s="117"/>
      <c r="AV1595" s="128"/>
      <c r="AW1595" s="117">
        <f>VLOOKUP($D1595,'WB Data'!$C$3:$M$578,2,FALSE)</f>
        <v>121571548180.02281</v>
      </c>
      <c r="AX1595" s="117">
        <f>VLOOKUP($D1595,'WB Data'!$C$3:$M$578,3,FALSE)</f>
        <v>28625628</v>
      </c>
      <c r="AY1595" s="847">
        <f t="shared" si="267"/>
        <v>2.9395836535923269E-2</v>
      </c>
      <c r="AZ1595" s="117">
        <f>VLOOKUP($D1595,'WB Data'!$C$3:$M$578,4,FALSE)/100</f>
        <v>0.20973667240502653</v>
      </c>
      <c r="BA1595" s="117">
        <f t="shared" si="268"/>
        <v>25498011974.405342</v>
      </c>
      <c r="BB1595" s="129">
        <f>IFERROR(VLOOKUP($D1595,'EITI Revenues'!$C$2:$G$224,5,FALSE),"..")</f>
        <v>3573697357.7190704</v>
      </c>
      <c r="BC1595" s="846">
        <f t="shared" si="269"/>
        <v>0.14015592122657694</v>
      </c>
      <c r="BD1595" s="129">
        <f>VLOOKUP($D1595,'WB Data 2'!$C$2:$K$545,6,FALSE)</f>
        <v>19689907936.979385</v>
      </c>
      <c r="BE1595" s="129">
        <f>IFERROR(VLOOKUP($D1595,UNCTAD!$C$5:$V$529,4,FALSE),"..")</f>
        <v>34667290000</v>
      </c>
      <c r="BF1595" s="846">
        <f t="shared" si="270"/>
        <v>0.5679679010669535</v>
      </c>
      <c r="BG1595" s="117">
        <f>VLOOKUP($D1595,'WB Data'!$C$3:$M$578,5,FALSE)</f>
        <v>463020000</v>
      </c>
      <c r="BH1595" s="129">
        <f>IFERROR($BB1595/$BG1595,"..")</f>
        <v>7.7182354060711642</v>
      </c>
      <c r="BI1595" s="117">
        <f>IFERROR(VLOOKUP($D1595,'WB Data'!$C$3:$M$578,7,FALSE)/100,"..")</f>
        <v>2.6741899999999999E-2</v>
      </c>
      <c r="BJ1595" s="117">
        <f>IFERROR($BI1595*$AW1595,"..")</f>
        <v>3251054184.275352</v>
      </c>
      <c r="BK1595" s="846">
        <f>IFERROR($BB1595/$BJ1595,"..")</f>
        <v>1.0992426318220945</v>
      </c>
      <c r="BL1595" s="117">
        <f>IFERROR(VLOOKUP($D1595,'WB Data'!$C$3:$M$578,7,FALSE)/100,"..")</f>
        <v>2.6741899999999999E-2</v>
      </c>
      <c r="BM1595" s="117">
        <f>IFERROR($AW1595*$BL1595,"..")</f>
        <v>3251054184.275352</v>
      </c>
      <c r="BN1595" s="846">
        <f>IFERROR($BB1595/$BM1595,"..")</f>
        <v>1.0992426318220945</v>
      </c>
      <c r="BO1595" s="801">
        <f t="shared" si="266"/>
        <v>38</v>
      </c>
      <c r="BP1595" s="117">
        <f>VLOOKUP($D1595,'WB Data'!$C$3:$M$578,9,FALSE)</f>
        <v>37.299999999999997</v>
      </c>
      <c r="BQ1595" s="117">
        <f>VLOOKUP($D1595,'WB Data'!$C$3:$M$578,10,FALSE)</f>
        <v>73.307292682926828</v>
      </c>
      <c r="BR1595" s="117">
        <f>VLOOKUP($D1595,'WB Data'!$C$3:$M$578,11,FALSE)</f>
        <v>17.399999999999999</v>
      </c>
      <c r="BS1595" s="129">
        <f>IFERROR(VLOOKUP($D1595,'WB Data 2'!$C$2:$K$545,9,FALSE),"..")</f>
        <v>97.638440000000003</v>
      </c>
      <c r="BT1595" s="129">
        <f>_xlfn.IFNA(VLOOKUP($C1595,RGI!$A$2:$C$43,2,FALSE),"..")</f>
        <v>76.8</v>
      </c>
      <c r="BU1595" s="129">
        <f>_xlfn.IFNA(VLOOKUP($C1595,RGI!$A$2:$C$43,3,FALSE),"..")</f>
        <v>72.816147461462435</v>
      </c>
      <c r="BV1595" s="129">
        <f>VLOOKUP($D1595,WGI!$C$2:$O$478,7,FALSE)</f>
        <v>0.102797518483968</v>
      </c>
      <c r="BW1595" s="129">
        <f>VLOOKUP($D1595,WGI!$C$2:$O$478,4,FALSE)</f>
        <v>-0.89730607728999101</v>
      </c>
      <c r="BX1595" s="129">
        <f>VLOOKUP($D1595,WGI!$C$2:$O$478,3,FALSE)</f>
        <v>-0.35724068854121799</v>
      </c>
      <c r="BY1595" s="129">
        <f>VLOOKUP($D1595,WGI!$C$2:$O$478,5,FALSE)</f>
        <v>0.34906767606171601</v>
      </c>
      <c r="BZ1595" s="129">
        <f>VLOOKUP($D1595,WGI!$C$2:$O$478,2,FALSE)</f>
        <v>-0.20419570946809601</v>
      </c>
      <c r="CB1595" s="129"/>
    </row>
    <row r="1596" spans="1:80" s="120" customFormat="1" ht="15" customHeight="1">
      <c r="A1596" s="294" t="s">
        <v>454</v>
      </c>
      <c r="B1596" s="117">
        <v>2008</v>
      </c>
      <c r="C1596" s="117" t="s">
        <v>449</v>
      </c>
      <c r="D1596" s="117" t="s">
        <v>3609</v>
      </c>
      <c r="E1596" s="452" t="s">
        <v>220</v>
      </c>
      <c r="F1596" s="117"/>
      <c r="G1596" s="120" t="s">
        <v>24</v>
      </c>
      <c r="H1596" s="117" t="str">
        <f t="shared" si="271"/>
        <v>yes</v>
      </c>
      <c r="I1596" s="117" t="str">
        <f t="shared" si="273"/>
        <v>no</v>
      </c>
      <c r="J1596" s="117" t="str">
        <f t="shared" si="274"/>
        <v>no</v>
      </c>
      <c r="K1596" s="117" t="s">
        <v>627</v>
      </c>
      <c r="L1596" s="117" t="str">
        <f t="shared" si="272"/>
        <v>detailed</v>
      </c>
      <c r="M1596" s="117" t="str">
        <f t="shared" si="275"/>
        <v>detailed Mining</v>
      </c>
      <c r="N1596" s="118"/>
      <c r="O1596" s="118"/>
      <c r="P1596" s="118"/>
      <c r="Q1596" s="118"/>
      <c r="R1596" s="118"/>
      <c r="S1596" s="117"/>
      <c r="T1596" s="119"/>
      <c r="U1596" s="117"/>
      <c r="V1596" s="117"/>
      <c r="W1596" s="89"/>
      <c r="Y1596" s="89"/>
      <c r="Z1596" s="89"/>
      <c r="AA1596" s="89"/>
      <c r="AB1596" s="89"/>
      <c r="AC1596" s="240"/>
      <c r="AD1596" s="240"/>
      <c r="AE1596" s="240"/>
      <c r="AF1596" s="241"/>
      <c r="AG1596" s="89"/>
      <c r="AH1596" s="124"/>
      <c r="AI1596" s="117"/>
      <c r="AJ1596" s="117"/>
      <c r="AK1596" s="89"/>
      <c r="AL1596" s="117"/>
      <c r="AM1596" s="117"/>
      <c r="AN1596" s="117"/>
      <c r="AO1596" s="117"/>
      <c r="AP1596" s="117"/>
      <c r="AQ1596" s="117"/>
      <c r="AR1596" s="117"/>
      <c r="AS1596" s="117"/>
      <c r="AT1596" s="117"/>
      <c r="AU1596" s="117"/>
      <c r="AV1596" s="128"/>
      <c r="AW1596" s="117">
        <f>VLOOKUP($D1596,'WB Data'!$C$3:$M$578,2,FALSE)</f>
        <v>121571548180.02281</v>
      </c>
      <c r="AX1596" s="117">
        <f>VLOOKUP($D1596,'WB Data'!$C$3:$M$578,3,FALSE)</f>
        <v>28625628</v>
      </c>
      <c r="AY1596" s="847">
        <f t="shared" si="267"/>
        <v>2.9395836535923269E-2</v>
      </c>
      <c r="AZ1596" s="117">
        <f>VLOOKUP($D1596,'WB Data'!$C$3:$M$578,4,FALSE)/100</f>
        <v>0.20973667240502653</v>
      </c>
      <c r="BA1596" s="117">
        <f t="shared" si="268"/>
        <v>25498011974.405342</v>
      </c>
      <c r="BB1596" s="129">
        <f>IFERROR(VLOOKUP($D1596,'EITI Revenues'!$C$2:$G$224,5,FALSE),"..")</f>
        <v>3573697357.7190704</v>
      </c>
      <c r="BC1596" s="846">
        <f t="shared" si="269"/>
        <v>0.14015592122657694</v>
      </c>
      <c r="BD1596" s="129">
        <f>VLOOKUP($D1596,'WB Data 2'!$C$2:$K$545,6,FALSE)</f>
        <v>19689907936.979385</v>
      </c>
      <c r="BE1596" s="129">
        <f>IFERROR(VLOOKUP($D1596,UNCTAD!$C$5:$V$529,4,FALSE),"..")</f>
        <v>34667290000</v>
      </c>
      <c r="BF1596" s="846">
        <f t="shared" si="270"/>
        <v>0.5679679010669535</v>
      </c>
      <c r="BG1596" s="117">
        <f>VLOOKUP($D1596,'WB Data'!$C$3:$M$578,5,FALSE)</f>
        <v>463020000</v>
      </c>
      <c r="BH1596" s="129">
        <f>IFERROR($BB1596/$BG1596,"..")</f>
        <v>7.7182354060711642</v>
      </c>
      <c r="BI1596" s="117">
        <f>IFERROR(VLOOKUP($D1596,'WB Data'!$C$3:$M$578,7,FALSE)/100,"..")</f>
        <v>2.6741899999999999E-2</v>
      </c>
      <c r="BJ1596" s="117">
        <f>IFERROR($BI1596*$AW1596,"..")</f>
        <v>3251054184.275352</v>
      </c>
      <c r="BK1596" s="846">
        <f>IFERROR($BB1596/$BJ1596,"..")</f>
        <v>1.0992426318220945</v>
      </c>
      <c r="BL1596" s="117">
        <f>IFERROR(VLOOKUP($D1596,'WB Data'!$C$3:$M$578,7,FALSE)/100,"..")</f>
        <v>2.6741899999999999E-2</v>
      </c>
      <c r="BM1596" s="117">
        <f>IFERROR($AW1596*$BL1596,"..")</f>
        <v>3251054184.275352</v>
      </c>
      <c r="BN1596" s="846">
        <f>IFERROR($BB1596/$BM1596,"..")</f>
        <v>1.0992426318220945</v>
      </c>
      <c r="BO1596" s="801">
        <f t="shared" si="266"/>
        <v>38</v>
      </c>
      <c r="BP1596" s="117">
        <f>VLOOKUP($D1596,'WB Data'!$C$3:$M$578,9,FALSE)</f>
        <v>37.299999999999997</v>
      </c>
      <c r="BQ1596" s="117">
        <f>VLOOKUP($D1596,'WB Data'!$C$3:$M$578,10,FALSE)</f>
        <v>73.307292682926828</v>
      </c>
      <c r="BR1596" s="117">
        <f>VLOOKUP($D1596,'WB Data'!$C$3:$M$578,11,FALSE)</f>
        <v>17.399999999999999</v>
      </c>
      <c r="BS1596" s="129">
        <f>IFERROR(VLOOKUP($D1596,'WB Data 2'!$C$2:$K$545,9,FALSE),"..")</f>
        <v>97.638440000000003</v>
      </c>
      <c r="BT1596" s="129">
        <f>_xlfn.IFNA(VLOOKUP($C1596,RGI!$A$2:$C$43,2,FALSE),"..")</f>
        <v>76.8</v>
      </c>
      <c r="BU1596" s="129">
        <f>_xlfn.IFNA(VLOOKUP($C1596,RGI!$A$2:$C$43,3,FALSE),"..")</f>
        <v>72.816147461462435</v>
      </c>
      <c r="BV1596" s="129">
        <f>VLOOKUP($D1596,WGI!$C$2:$O$478,7,FALSE)</f>
        <v>0.102797518483968</v>
      </c>
      <c r="BW1596" s="129">
        <f>VLOOKUP($D1596,WGI!$C$2:$O$478,4,FALSE)</f>
        <v>-0.89730607728999101</v>
      </c>
      <c r="BX1596" s="129">
        <f>VLOOKUP($D1596,WGI!$C$2:$O$478,3,FALSE)</f>
        <v>-0.35724068854121799</v>
      </c>
      <c r="BY1596" s="129">
        <f>VLOOKUP($D1596,WGI!$C$2:$O$478,5,FALSE)</f>
        <v>0.34906767606171601</v>
      </c>
      <c r="BZ1596" s="129">
        <f>VLOOKUP($D1596,WGI!$C$2:$O$478,2,FALSE)</f>
        <v>-0.20419570946809601</v>
      </c>
      <c r="CB1596" s="129"/>
    </row>
    <row r="1597" spans="1:80" s="120" customFormat="1" ht="15" customHeight="1">
      <c r="A1597" s="294" t="s">
        <v>454</v>
      </c>
      <c r="B1597" s="117">
        <v>2008</v>
      </c>
      <c r="C1597" s="117" t="s">
        <v>449</v>
      </c>
      <c r="D1597" s="117" t="s">
        <v>3609</v>
      </c>
      <c r="E1597" s="452" t="s">
        <v>220</v>
      </c>
      <c r="F1597" s="117"/>
      <c r="G1597" s="120" t="s">
        <v>24</v>
      </c>
      <c r="H1597" s="117" t="str">
        <f t="shared" si="271"/>
        <v>yes</v>
      </c>
      <c r="I1597" s="117" t="str">
        <f t="shared" si="273"/>
        <v>no</v>
      </c>
      <c r="J1597" s="117" t="str">
        <f t="shared" si="274"/>
        <v>no</v>
      </c>
      <c r="K1597" s="117" t="s">
        <v>2050</v>
      </c>
      <c r="L1597" s="117" t="str">
        <f t="shared" si="272"/>
        <v>detailed</v>
      </c>
      <c r="M1597" s="117" t="str">
        <f t="shared" si="275"/>
        <v>detailed Mining</v>
      </c>
      <c r="N1597" s="118"/>
      <c r="O1597" s="118"/>
      <c r="P1597" s="118"/>
      <c r="Q1597" s="118"/>
      <c r="R1597" s="118"/>
      <c r="S1597" s="117"/>
      <c r="T1597" s="119"/>
      <c r="U1597" s="117"/>
      <c r="V1597" s="117"/>
      <c r="W1597" s="89"/>
      <c r="Y1597" s="89"/>
      <c r="Z1597" s="89"/>
      <c r="AA1597" s="89"/>
      <c r="AB1597" s="89"/>
      <c r="AC1597" s="240"/>
      <c r="AD1597" s="240"/>
      <c r="AE1597" s="240"/>
      <c r="AF1597" s="241"/>
      <c r="AG1597" s="89"/>
      <c r="AH1597" s="124"/>
      <c r="AI1597" s="117"/>
      <c r="AJ1597" s="117"/>
      <c r="AK1597" s="89"/>
      <c r="AL1597" s="117"/>
      <c r="AM1597" s="117"/>
      <c r="AN1597" s="117"/>
      <c r="AO1597" s="117"/>
      <c r="AP1597" s="117"/>
      <c r="AQ1597" s="117"/>
      <c r="AR1597" s="117"/>
      <c r="AS1597" s="117"/>
      <c r="AT1597" s="117"/>
      <c r="AU1597" s="117"/>
      <c r="AV1597" s="128"/>
      <c r="AW1597" s="117">
        <f>VLOOKUP($D1597,'WB Data'!$C$3:$M$578,2,FALSE)</f>
        <v>121571548180.02281</v>
      </c>
      <c r="AX1597" s="117">
        <f>VLOOKUP($D1597,'WB Data'!$C$3:$M$578,3,FALSE)</f>
        <v>28625628</v>
      </c>
      <c r="AY1597" s="847">
        <f t="shared" si="267"/>
        <v>2.9395836535923269E-2</v>
      </c>
      <c r="AZ1597" s="117">
        <f>VLOOKUP($D1597,'WB Data'!$C$3:$M$578,4,FALSE)/100</f>
        <v>0.20973667240502653</v>
      </c>
      <c r="BA1597" s="117">
        <f t="shared" si="268"/>
        <v>25498011974.405342</v>
      </c>
      <c r="BB1597" s="129">
        <f>IFERROR(VLOOKUP($D1597,'EITI Revenues'!$C$2:$G$224,5,FALSE),"..")</f>
        <v>3573697357.7190704</v>
      </c>
      <c r="BC1597" s="846">
        <f t="shared" si="269"/>
        <v>0.14015592122657694</v>
      </c>
      <c r="BD1597" s="129">
        <f>VLOOKUP($D1597,'WB Data 2'!$C$2:$K$545,6,FALSE)</f>
        <v>19689907936.979385</v>
      </c>
      <c r="BE1597" s="129">
        <f>IFERROR(VLOOKUP($D1597,UNCTAD!$C$5:$V$529,4,FALSE),"..")</f>
        <v>34667290000</v>
      </c>
      <c r="BF1597" s="846">
        <f t="shared" si="270"/>
        <v>0.5679679010669535</v>
      </c>
      <c r="BG1597" s="117">
        <f>VLOOKUP($D1597,'WB Data'!$C$3:$M$578,5,FALSE)</f>
        <v>463020000</v>
      </c>
      <c r="BH1597" s="129">
        <f>IFERROR($BB1597/$BG1597,"..")</f>
        <v>7.7182354060711642</v>
      </c>
      <c r="BI1597" s="117">
        <f>IFERROR(VLOOKUP($D1597,'WB Data'!$C$3:$M$578,7,FALSE)/100,"..")</f>
        <v>2.6741899999999999E-2</v>
      </c>
      <c r="BJ1597" s="117">
        <f>IFERROR($BI1597*$AW1597,"..")</f>
        <v>3251054184.275352</v>
      </c>
      <c r="BK1597" s="846">
        <f>IFERROR($BB1597/$BJ1597,"..")</f>
        <v>1.0992426318220945</v>
      </c>
      <c r="BL1597" s="117">
        <f>IFERROR(VLOOKUP($D1597,'WB Data'!$C$3:$M$578,7,FALSE)/100,"..")</f>
        <v>2.6741899999999999E-2</v>
      </c>
      <c r="BM1597" s="117">
        <f>IFERROR($AW1597*$BL1597,"..")</f>
        <v>3251054184.275352</v>
      </c>
      <c r="BN1597" s="846">
        <f>IFERROR($BB1597/$BM1597,"..")</f>
        <v>1.0992426318220945</v>
      </c>
      <c r="BO1597" s="801">
        <f t="shared" si="266"/>
        <v>38</v>
      </c>
      <c r="BP1597" s="117">
        <f>VLOOKUP($D1597,'WB Data'!$C$3:$M$578,9,FALSE)</f>
        <v>37.299999999999997</v>
      </c>
      <c r="BQ1597" s="117">
        <f>VLOOKUP($D1597,'WB Data'!$C$3:$M$578,10,FALSE)</f>
        <v>73.307292682926828</v>
      </c>
      <c r="BR1597" s="117">
        <f>VLOOKUP($D1597,'WB Data'!$C$3:$M$578,11,FALSE)</f>
        <v>17.399999999999999</v>
      </c>
      <c r="BS1597" s="129">
        <f>IFERROR(VLOOKUP($D1597,'WB Data 2'!$C$2:$K$545,9,FALSE),"..")</f>
        <v>97.638440000000003</v>
      </c>
      <c r="BT1597" s="129">
        <f>_xlfn.IFNA(VLOOKUP($C1597,RGI!$A$2:$C$43,2,FALSE),"..")</f>
        <v>76.8</v>
      </c>
      <c r="BU1597" s="129">
        <f>_xlfn.IFNA(VLOOKUP($C1597,RGI!$A$2:$C$43,3,FALSE),"..")</f>
        <v>72.816147461462435</v>
      </c>
      <c r="BV1597" s="129">
        <f>VLOOKUP($D1597,WGI!$C$2:$O$478,7,FALSE)</f>
        <v>0.102797518483968</v>
      </c>
      <c r="BW1597" s="129">
        <f>VLOOKUP($D1597,WGI!$C$2:$O$478,4,FALSE)</f>
        <v>-0.89730607728999101</v>
      </c>
      <c r="BX1597" s="129">
        <f>VLOOKUP($D1597,WGI!$C$2:$O$478,3,FALSE)</f>
        <v>-0.35724068854121799</v>
      </c>
      <c r="BY1597" s="129">
        <f>VLOOKUP($D1597,WGI!$C$2:$O$478,5,FALSE)</f>
        <v>0.34906767606171601</v>
      </c>
      <c r="BZ1597" s="129">
        <f>VLOOKUP($D1597,WGI!$C$2:$O$478,2,FALSE)</f>
        <v>-0.20419570946809601</v>
      </c>
      <c r="CB1597" s="129"/>
    </row>
    <row r="1598" spans="1:80" s="120" customFormat="1" ht="15" customHeight="1">
      <c r="A1598" s="294" t="s">
        <v>454</v>
      </c>
      <c r="B1598" s="117">
        <v>2008</v>
      </c>
      <c r="C1598" s="117" t="s">
        <v>449</v>
      </c>
      <c r="D1598" s="117" t="s">
        <v>3609</v>
      </c>
      <c r="E1598" s="452" t="s">
        <v>220</v>
      </c>
      <c r="F1598" s="117"/>
      <c r="G1598" s="120" t="s">
        <v>24</v>
      </c>
      <c r="H1598" s="117" t="str">
        <f t="shared" si="271"/>
        <v>yes</v>
      </c>
      <c r="I1598" s="117" t="str">
        <f t="shared" si="273"/>
        <v>no</v>
      </c>
      <c r="J1598" s="117" t="str">
        <f t="shared" si="274"/>
        <v>no</v>
      </c>
      <c r="K1598" s="117" t="s">
        <v>1332</v>
      </c>
      <c r="L1598" s="117" t="str">
        <f t="shared" si="272"/>
        <v>detailed</v>
      </c>
      <c r="M1598" s="117" t="str">
        <f t="shared" si="275"/>
        <v>detailed Mining</v>
      </c>
      <c r="N1598" s="118"/>
      <c r="O1598" s="118"/>
      <c r="P1598" s="118"/>
      <c r="Q1598" s="118"/>
      <c r="R1598" s="118"/>
      <c r="S1598" s="117"/>
      <c r="T1598" s="119"/>
      <c r="U1598" s="117"/>
      <c r="V1598" s="117"/>
      <c r="W1598" s="89"/>
      <c r="X1598" s="117"/>
      <c r="Y1598" s="492"/>
      <c r="Z1598" s="492"/>
      <c r="AA1598" s="89"/>
      <c r="AB1598" s="89"/>
      <c r="AC1598" s="462"/>
      <c r="AD1598" s="462"/>
      <c r="AE1598" s="462"/>
      <c r="AF1598" s="463"/>
      <c r="AG1598" s="89"/>
      <c r="AH1598" s="124"/>
      <c r="AI1598" s="117"/>
      <c r="AJ1598" s="117"/>
      <c r="AK1598" s="89"/>
      <c r="AL1598" s="117"/>
      <c r="AM1598" s="117"/>
      <c r="AN1598" s="117"/>
      <c r="AO1598" s="117"/>
      <c r="AP1598" s="117"/>
      <c r="AQ1598" s="117"/>
      <c r="AR1598" s="117"/>
      <c r="AS1598" s="117"/>
      <c r="AT1598" s="117"/>
      <c r="AU1598" s="117"/>
      <c r="AV1598" s="128"/>
      <c r="AW1598" s="117">
        <f>VLOOKUP($D1598,'WB Data'!$C$3:$M$578,2,FALSE)</f>
        <v>121571548180.02281</v>
      </c>
      <c r="AX1598" s="117">
        <f>VLOOKUP($D1598,'WB Data'!$C$3:$M$578,3,FALSE)</f>
        <v>28625628</v>
      </c>
      <c r="AY1598" s="847">
        <f t="shared" si="267"/>
        <v>2.9395836535923269E-2</v>
      </c>
      <c r="AZ1598" s="117">
        <f>VLOOKUP($D1598,'WB Data'!$C$3:$M$578,4,FALSE)/100</f>
        <v>0.20973667240502653</v>
      </c>
      <c r="BA1598" s="117">
        <f t="shared" si="268"/>
        <v>25498011974.405342</v>
      </c>
      <c r="BB1598" s="129">
        <f>IFERROR(VLOOKUP($D1598,'EITI Revenues'!$C$2:$G$224,5,FALSE),"..")</f>
        <v>3573697357.7190704</v>
      </c>
      <c r="BC1598" s="846">
        <f t="shared" si="269"/>
        <v>0.14015592122657694</v>
      </c>
      <c r="BD1598" s="129">
        <f>VLOOKUP($D1598,'WB Data 2'!$C$2:$K$545,6,FALSE)</f>
        <v>19689907936.979385</v>
      </c>
      <c r="BE1598" s="129">
        <f>IFERROR(VLOOKUP($D1598,UNCTAD!$C$5:$V$529,4,FALSE),"..")</f>
        <v>34667290000</v>
      </c>
      <c r="BF1598" s="846">
        <f t="shared" si="270"/>
        <v>0.5679679010669535</v>
      </c>
      <c r="BG1598" s="117">
        <f>VLOOKUP($D1598,'WB Data'!$C$3:$M$578,5,FALSE)</f>
        <v>463020000</v>
      </c>
      <c r="BH1598" s="129">
        <f>IFERROR($BB1598/$BG1598,"..")</f>
        <v>7.7182354060711642</v>
      </c>
      <c r="BI1598" s="117">
        <f>IFERROR(VLOOKUP($D1598,'WB Data'!$C$3:$M$578,7,FALSE)/100,"..")</f>
        <v>2.6741899999999999E-2</v>
      </c>
      <c r="BJ1598" s="117">
        <f>IFERROR($BI1598*$AW1598,"..")</f>
        <v>3251054184.275352</v>
      </c>
      <c r="BK1598" s="846">
        <f>IFERROR($BB1598/$BJ1598,"..")</f>
        <v>1.0992426318220945</v>
      </c>
      <c r="BL1598" s="117">
        <f>IFERROR(VLOOKUP($D1598,'WB Data'!$C$3:$M$578,7,FALSE)/100,"..")</f>
        <v>2.6741899999999999E-2</v>
      </c>
      <c r="BM1598" s="117">
        <f>IFERROR($AW1598*$BL1598,"..")</f>
        <v>3251054184.275352</v>
      </c>
      <c r="BN1598" s="846">
        <f>IFERROR($BB1598/$BM1598,"..")</f>
        <v>1.0992426318220945</v>
      </c>
      <c r="BO1598" s="801">
        <f t="shared" si="266"/>
        <v>38</v>
      </c>
      <c r="BP1598" s="117">
        <f>VLOOKUP($D1598,'WB Data'!$C$3:$M$578,9,FALSE)</f>
        <v>37.299999999999997</v>
      </c>
      <c r="BQ1598" s="117">
        <f>VLOOKUP($D1598,'WB Data'!$C$3:$M$578,10,FALSE)</f>
        <v>73.307292682926828</v>
      </c>
      <c r="BR1598" s="117">
        <f>VLOOKUP($D1598,'WB Data'!$C$3:$M$578,11,FALSE)</f>
        <v>17.399999999999999</v>
      </c>
      <c r="BS1598" s="129">
        <f>IFERROR(VLOOKUP($D1598,'WB Data 2'!$C$2:$K$545,9,FALSE),"..")</f>
        <v>97.638440000000003</v>
      </c>
      <c r="BT1598" s="129">
        <f>_xlfn.IFNA(VLOOKUP($C1598,RGI!$A$2:$C$43,2,FALSE),"..")</f>
        <v>76.8</v>
      </c>
      <c r="BU1598" s="129">
        <f>_xlfn.IFNA(VLOOKUP($C1598,RGI!$A$2:$C$43,3,FALSE),"..")</f>
        <v>72.816147461462435</v>
      </c>
      <c r="BV1598" s="129">
        <f>VLOOKUP($D1598,WGI!$C$2:$O$478,7,FALSE)</f>
        <v>0.102797518483968</v>
      </c>
      <c r="BW1598" s="129">
        <f>VLOOKUP($D1598,WGI!$C$2:$O$478,4,FALSE)</f>
        <v>-0.89730607728999101</v>
      </c>
      <c r="BX1598" s="129">
        <f>VLOOKUP($D1598,WGI!$C$2:$O$478,3,FALSE)</f>
        <v>-0.35724068854121799</v>
      </c>
      <c r="BY1598" s="129">
        <f>VLOOKUP($D1598,WGI!$C$2:$O$478,5,FALSE)</f>
        <v>0.34906767606171601</v>
      </c>
      <c r="BZ1598" s="129">
        <f>VLOOKUP($D1598,WGI!$C$2:$O$478,2,FALSE)</f>
        <v>-0.20419570946809601</v>
      </c>
      <c r="CB1598" s="129"/>
    </row>
    <row r="1599" spans="1:80" s="120" customFormat="1" ht="15" customHeight="1">
      <c r="A1599" s="294" t="s">
        <v>454</v>
      </c>
      <c r="B1599" s="117">
        <v>2008</v>
      </c>
      <c r="C1599" s="117" t="s">
        <v>449</v>
      </c>
      <c r="D1599" s="117" t="s">
        <v>3609</v>
      </c>
      <c r="E1599" s="452" t="s">
        <v>220</v>
      </c>
      <c r="F1599" s="117"/>
      <c r="G1599" s="120" t="s">
        <v>24</v>
      </c>
      <c r="H1599" s="117" t="str">
        <f t="shared" si="271"/>
        <v>yes</v>
      </c>
      <c r="I1599" s="117" t="str">
        <f t="shared" si="273"/>
        <v>no</v>
      </c>
      <c r="J1599" s="117" t="str">
        <f t="shared" si="274"/>
        <v>no</v>
      </c>
      <c r="K1599" s="117" t="s">
        <v>2105</v>
      </c>
      <c r="L1599" s="117" t="str">
        <f t="shared" si="272"/>
        <v>detailed</v>
      </c>
      <c r="M1599" s="117" t="str">
        <f t="shared" si="275"/>
        <v>detailed Mining</v>
      </c>
      <c r="N1599" s="118"/>
      <c r="O1599" s="118"/>
      <c r="P1599" s="118"/>
      <c r="Q1599" s="118"/>
      <c r="R1599" s="118"/>
      <c r="S1599" s="117"/>
      <c r="T1599" s="119"/>
      <c r="U1599" s="117"/>
      <c r="V1599" s="117"/>
      <c r="W1599" s="89"/>
      <c r="X1599" s="117"/>
      <c r="AA1599" s="89"/>
      <c r="AB1599" s="89"/>
      <c r="AC1599" s="240"/>
      <c r="AD1599" s="240"/>
      <c r="AE1599" s="240"/>
      <c r="AF1599" s="241"/>
      <c r="AH1599" s="124"/>
      <c r="AI1599" s="117"/>
      <c r="AJ1599" s="117"/>
      <c r="AK1599" s="89"/>
      <c r="AL1599" s="117"/>
      <c r="AM1599" s="117"/>
      <c r="AN1599" s="117"/>
      <c r="AO1599" s="117"/>
      <c r="AP1599" s="117"/>
      <c r="AQ1599" s="117"/>
      <c r="AR1599" s="117"/>
      <c r="AS1599" s="117"/>
      <c r="AT1599" s="117"/>
      <c r="AU1599" s="117"/>
      <c r="AV1599" s="128"/>
      <c r="AW1599" s="117">
        <f>VLOOKUP($D1599,'WB Data'!$C$3:$M$578,2,FALSE)</f>
        <v>121571548180.02281</v>
      </c>
      <c r="AX1599" s="117">
        <f>VLOOKUP($D1599,'WB Data'!$C$3:$M$578,3,FALSE)</f>
        <v>28625628</v>
      </c>
      <c r="AY1599" s="847">
        <f t="shared" si="267"/>
        <v>2.9395836535923269E-2</v>
      </c>
      <c r="AZ1599" s="117">
        <f>VLOOKUP($D1599,'WB Data'!$C$3:$M$578,4,FALSE)/100</f>
        <v>0.20973667240502653</v>
      </c>
      <c r="BA1599" s="117">
        <f t="shared" si="268"/>
        <v>25498011974.405342</v>
      </c>
      <c r="BB1599" s="129">
        <f>IFERROR(VLOOKUP($D1599,'EITI Revenues'!$C$2:$G$224,5,FALSE),"..")</f>
        <v>3573697357.7190704</v>
      </c>
      <c r="BC1599" s="846">
        <f t="shared" si="269"/>
        <v>0.14015592122657694</v>
      </c>
      <c r="BD1599" s="129">
        <f>VLOOKUP($D1599,'WB Data 2'!$C$2:$K$545,6,FALSE)</f>
        <v>19689907936.979385</v>
      </c>
      <c r="BE1599" s="129">
        <f>IFERROR(VLOOKUP($D1599,UNCTAD!$C$5:$V$529,4,FALSE),"..")</f>
        <v>34667290000</v>
      </c>
      <c r="BF1599" s="846">
        <f t="shared" si="270"/>
        <v>0.5679679010669535</v>
      </c>
      <c r="BG1599" s="117">
        <f>VLOOKUP($D1599,'WB Data'!$C$3:$M$578,5,FALSE)</f>
        <v>463020000</v>
      </c>
      <c r="BH1599" s="129">
        <f>IFERROR($BB1599/$BG1599,"..")</f>
        <v>7.7182354060711642</v>
      </c>
      <c r="BI1599" s="117">
        <f>IFERROR(VLOOKUP($D1599,'WB Data'!$C$3:$M$578,7,FALSE)/100,"..")</f>
        <v>2.6741899999999999E-2</v>
      </c>
      <c r="BJ1599" s="117">
        <f>IFERROR($BI1599*$AW1599,"..")</f>
        <v>3251054184.275352</v>
      </c>
      <c r="BK1599" s="846">
        <f>IFERROR($BB1599/$BJ1599,"..")</f>
        <v>1.0992426318220945</v>
      </c>
      <c r="BL1599" s="117">
        <f>IFERROR(VLOOKUP($D1599,'WB Data'!$C$3:$M$578,7,FALSE)/100,"..")</f>
        <v>2.6741899999999999E-2</v>
      </c>
      <c r="BM1599" s="117">
        <f>IFERROR($AW1599*$BL1599,"..")</f>
        <v>3251054184.275352</v>
      </c>
      <c r="BN1599" s="846">
        <f>IFERROR($BB1599/$BM1599,"..")</f>
        <v>1.0992426318220945</v>
      </c>
      <c r="BO1599" s="801">
        <f t="shared" si="266"/>
        <v>38</v>
      </c>
      <c r="BP1599" s="117">
        <f>VLOOKUP($D1599,'WB Data'!$C$3:$M$578,9,FALSE)</f>
        <v>37.299999999999997</v>
      </c>
      <c r="BQ1599" s="117">
        <f>VLOOKUP($D1599,'WB Data'!$C$3:$M$578,10,FALSE)</f>
        <v>73.307292682926828</v>
      </c>
      <c r="BR1599" s="117">
        <f>VLOOKUP($D1599,'WB Data'!$C$3:$M$578,11,FALSE)</f>
        <v>17.399999999999999</v>
      </c>
      <c r="BS1599" s="129">
        <f>IFERROR(VLOOKUP($D1599,'WB Data 2'!$C$2:$K$545,9,FALSE),"..")</f>
        <v>97.638440000000003</v>
      </c>
      <c r="BT1599" s="129">
        <f>_xlfn.IFNA(VLOOKUP($C1599,RGI!$A$2:$C$43,2,FALSE),"..")</f>
        <v>76.8</v>
      </c>
      <c r="BU1599" s="129">
        <f>_xlfn.IFNA(VLOOKUP($C1599,RGI!$A$2:$C$43,3,FALSE),"..")</f>
        <v>72.816147461462435</v>
      </c>
      <c r="BV1599" s="129">
        <f>VLOOKUP($D1599,WGI!$C$2:$O$478,7,FALSE)</f>
        <v>0.102797518483968</v>
      </c>
      <c r="BW1599" s="129">
        <f>VLOOKUP($D1599,WGI!$C$2:$O$478,4,FALSE)</f>
        <v>-0.89730607728999101</v>
      </c>
      <c r="BX1599" s="129">
        <f>VLOOKUP($D1599,WGI!$C$2:$O$478,3,FALSE)</f>
        <v>-0.35724068854121799</v>
      </c>
      <c r="BY1599" s="129">
        <f>VLOOKUP($D1599,WGI!$C$2:$O$478,5,FALSE)</f>
        <v>0.34906767606171601</v>
      </c>
      <c r="BZ1599" s="129">
        <f>VLOOKUP($D1599,WGI!$C$2:$O$478,2,FALSE)</f>
        <v>-0.20419570946809601</v>
      </c>
      <c r="CB1599" s="129"/>
    </row>
    <row r="1600" spans="1:80" s="120" customFormat="1" ht="15" customHeight="1">
      <c r="A1600" s="294" t="s">
        <v>454</v>
      </c>
      <c r="B1600" s="117">
        <v>2008</v>
      </c>
      <c r="C1600" s="117" t="s">
        <v>449</v>
      </c>
      <c r="D1600" s="117" t="s">
        <v>3609</v>
      </c>
      <c r="E1600" s="452" t="s">
        <v>220</v>
      </c>
      <c r="F1600" s="117"/>
      <c r="G1600" s="120" t="s">
        <v>24</v>
      </c>
      <c r="H1600" s="117" t="str">
        <f t="shared" si="271"/>
        <v>yes</v>
      </c>
      <c r="I1600" s="117" t="str">
        <f t="shared" si="273"/>
        <v>no</v>
      </c>
      <c r="J1600" s="117" t="str">
        <f t="shared" si="274"/>
        <v>no</v>
      </c>
      <c r="K1600" s="117" t="s">
        <v>2106</v>
      </c>
      <c r="L1600" s="117" t="str">
        <f t="shared" si="272"/>
        <v>detailed</v>
      </c>
      <c r="M1600" s="117" t="str">
        <f t="shared" si="275"/>
        <v>detailed Mining</v>
      </c>
      <c r="N1600" s="118"/>
      <c r="O1600" s="118"/>
      <c r="P1600" s="118"/>
      <c r="Q1600" s="118"/>
      <c r="R1600" s="118"/>
      <c r="S1600" s="117"/>
      <c r="T1600" s="119"/>
      <c r="U1600" s="117"/>
      <c r="V1600" s="117"/>
      <c r="W1600" s="89"/>
      <c r="X1600" s="117"/>
      <c r="AA1600" s="89"/>
      <c r="AB1600" s="89"/>
      <c r="AC1600" s="240"/>
      <c r="AD1600" s="240"/>
      <c r="AE1600" s="240"/>
      <c r="AF1600" s="241"/>
      <c r="AH1600" s="124"/>
      <c r="AI1600" s="117"/>
      <c r="AJ1600" s="117"/>
      <c r="AK1600" s="89"/>
      <c r="AL1600" s="117"/>
      <c r="AM1600" s="117"/>
      <c r="AN1600" s="117"/>
      <c r="AO1600" s="117"/>
      <c r="AP1600" s="117"/>
      <c r="AQ1600" s="117"/>
      <c r="AR1600" s="117"/>
      <c r="AS1600" s="117"/>
      <c r="AT1600" s="117"/>
      <c r="AU1600" s="117"/>
      <c r="AV1600" s="128"/>
      <c r="AW1600" s="117">
        <f>VLOOKUP($D1600,'WB Data'!$C$3:$M$578,2,FALSE)</f>
        <v>121571548180.02281</v>
      </c>
      <c r="AX1600" s="117">
        <f>VLOOKUP($D1600,'WB Data'!$C$3:$M$578,3,FALSE)</f>
        <v>28625628</v>
      </c>
      <c r="AY1600" s="847">
        <f t="shared" si="267"/>
        <v>2.9395836535923269E-2</v>
      </c>
      <c r="AZ1600" s="117">
        <f>VLOOKUP($D1600,'WB Data'!$C$3:$M$578,4,FALSE)/100</f>
        <v>0.20973667240502653</v>
      </c>
      <c r="BA1600" s="117">
        <f t="shared" si="268"/>
        <v>25498011974.405342</v>
      </c>
      <c r="BB1600" s="129">
        <f>IFERROR(VLOOKUP($D1600,'EITI Revenues'!$C$2:$G$224,5,FALSE),"..")</f>
        <v>3573697357.7190704</v>
      </c>
      <c r="BC1600" s="846">
        <f t="shared" si="269"/>
        <v>0.14015592122657694</v>
      </c>
      <c r="BD1600" s="129">
        <f>VLOOKUP($D1600,'WB Data 2'!$C$2:$K$545,6,FALSE)</f>
        <v>19689907936.979385</v>
      </c>
      <c r="BE1600" s="129">
        <f>IFERROR(VLOOKUP($D1600,UNCTAD!$C$5:$V$529,4,FALSE),"..")</f>
        <v>34667290000</v>
      </c>
      <c r="BF1600" s="846">
        <f t="shared" si="270"/>
        <v>0.5679679010669535</v>
      </c>
      <c r="BG1600" s="117">
        <f>VLOOKUP($D1600,'WB Data'!$C$3:$M$578,5,FALSE)</f>
        <v>463020000</v>
      </c>
      <c r="BH1600" s="129">
        <f>IFERROR($BB1600/$BG1600,"..")</f>
        <v>7.7182354060711642</v>
      </c>
      <c r="BI1600" s="117">
        <f>IFERROR(VLOOKUP($D1600,'WB Data'!$C$3:$M$578,7,FALSE)/100,"..")</f>
        <v>2.6741899999999999E-2</v>
      </c>
      <c r="BJ1600" s="117">
        <f>IFERROR($BI1600*$AW1600,"..")</f>
        <v>3251054184.275352</v>
      </c>
      <c r="BK1600" s="846">
        <f>IFERROR($BB1600/$BJ1600,"..")</f>
        <v>1.0992426318220945</v>
      </c>
      <c r="BL1600" s="117">
        <f>IFERROR(VLOOKUP($D1600,'WB Data'!$C$3:$M$578,7,FALSE)/100,"..")</f>
        <v>2.6741899999999999E-2</v>
      </c>
      <c r="BM1600" s="117">
        <f>IFERROR($AW1600*$BL1600,"..")</f>
        <v>3251054184.275352</v>
      </c>
      <c r="BN1600" s="846">
        <f>IFERROR($BB1600/$BM1600,"..")</f>
        <v>1.0992426318220945</v>
      </c>
      <c r="BO1600" s="801">
        <f t="shared" si="266"/>
        <v>38</v>
      </c>
      <c r="BP1600" s="117">
        <f>VLOOKUP($D1600,'WB Data'!$C$3:$M$578,9,FALSE)</f>
        <v>37.299999999999997</v>
      </c>
      <c r="BQ1600" s="117">
        <f>VLOOKUP($D1600,'WB Data'!$C$3:$M$578,10,FALSE)</f>
        <v>73.307292682926828</v>
      </c>
      <c r="BR1600" s="117">
        <f>VLOOKUP($D1600,'WB Data'!$C$3:$M$578,11,FALSE)</f>
        <v>17.399999999999999</v>
      </c>
      <c r="BS1600" s="129">
        <f>IFERROR(VLOOKUP($D1600,'WB Data 2'!$C$2:$K$545,9,FALSE),"..")</f>
        <v>97.638440000000003</v>
      </c>
      <c r="BT1600" s="129">
        <f>_xlfn.IFNA(VLOOKUP($C1600,RGI!$A$2:$C$43,2,FALSE),"..")</f>
        <v>76.8</v>
      </c>
      <c r="BU1600" s="129">
        <f>_xlfn.IFNA(VLOOKUP($C1600,RGI!$A$2:$C$43,3,FALSE),"..")</f>
        <v>72.816147461462435</v>
      </c>
      <c r="BV1600" s="129">
        <f>VLOOKUP($D1600,WGI!$C$2:$O$478,7,FALSE)</f>
        <v>0.102797518483968</v>
      </c>
      <c r="BW1600" s="129">
        <f>VLOOKUP($D1600,WGI!$C$2:$O$478,4,FALSE)</f>
        <v>-0.89730607728999101</v>
      </c>
      <c r="BX1600" s="129">
        <f>VLOOKUP($D1600,WGI!$C$2:$O$478,3,FALSE)</f>
        <v>-0.35724068854121799</v>
      </c>
      <c r="BY1600" s="129">
        <f>VLOOKUP($D1600,WGI!$C$2:$O$478,5,FALSE)</f>
        <v>0.34906767606171601</v>
      </c>
      <c r="BZ1600" s="129">
        <f>VLOOKUP($D1600,WGI!$C$2:$O$478,2,FALSE)</f>
        <v>-0.20419570946809601</v>
      </c>
      <c r="CB1600" s="129"/>
    </row>
    <row r="1601" spans="1:80" s="158" customFormat="1" ht="15" customHeight="1">
      <c r="A1601" s="295" t="s">
        <v>454</v>
      </c>
      <c r="B1601" s="149">
        <v>2008</v>
      </c>
      <c r="C1601" s="149" t="s">
        <v>449</v>
      </c>
      <c r="D1601" s="117" t="s">
        <v>3609</v>
      </c>
      <c r="E1601" s="453" t="s">
        <v>220</v>
      </c>
      <c r="F1601" s="149"/>
      <c r="G1601" s="120" t="s">
        <v>24</v>
      </c>
      <c r="H1601" s="117" t="str">
        <f t="shared" si="271"/>
        <v>yes</v>
      </c>
      <c r="I1601" s="117" t="str">
        <f t="shared" si="273"/>
        <v>no</v>
      </c>
      <c r="J1601" s="117" t="str">
        <f t="shared" si="274"/>
        <v>no</v>
      </c>
      <c r="K1601" s="149" t="s">
        <v>849</v>
      </c>
      <c r="L1601" s="117" t="str">
        <f t="shared" si="272"/>
        <v>detailed</v>
      </c>
      <c r="M1601" s="117" t="str">
        <f t="shared" si="275"/>
        <v>detailed Mining</v>
      </c>
      <c r="N1601" s="150"/>
      <c r="O1601" s="150"/>
      <c r="P1601" s="150"/>
      <c r="Q1601" s="150"/>
      <c r="R1601" s="150"/>
      <c r="S1601" s="149"/>
      <c r="T1601" s="151"/>
      <c r="U1601" s="149"/>
      <c r="V1601" s="149"/>
      <c r="W1601" s="152"/>
      <c r="X1601" s="149"/>
      <c r="Y1601" s="149"/>
      <c r="Z1601" s="149"/>
      <c r="AA1601" s="149"/>
      <c r="AB1601" s="149"/>
      <c r="AC1601" s="288"/>
      <c r="AD1601" s="288"/>
      <c r="AE1601" s="288"/>
      <c r="AF1601" s="285"/>
      <c r="AG1601" s="149"/>
      <c r="AH1601" s="156"/>
      <c r="AI1601" s="149"/>
      <c r="AJ1601" s="149"/>
      <c r="AK1601" s="152"/>
      <c r="AL1601" s="149"/>
      <c r="AM1601" s="149"/>
      <c r="AN1601" s="149"/>
      <c r="AO1601" s="149"/>
      <c r="AP1601" s="149"/>
      <c r="AQ1601" s="149"/>
      <c r="AR1601" s="149"/>
      <c r="AS1601" s="149"/>
      <c r="AT1601" s="149"/>
      <c r="AU1601" s="149"/>
      <c r="AV1601" s="157"/>
      <c r="AW1601" s="117">
        <f>VLOOKUP($D1601,'WB Data'!$C$3:$M$578,2,FALSE)</f>
        <v>121571548180.02281</v>
      </c>
      <c r="AX1601" s="117">
        <f>VLOOKUP($D1601,'WB Data'!$C$3:$M$578,3,FALSE)</f>
        <v>28625628</v>
      </c>
      <c r="AY1601" s="847">
        <f t="shared" si="267"/>
        <v>2.9395836535923269E-2</v>
      </c>
      <c r="AZ1601" s="117">
        <f>VLOOKUP($D1601,'WB Data'!$C$3:$M$578,4,FALSE)/100</f>
        <v>0.20973667240502653</v>
      </c>
      <c r="BA1601" s="117">
        <f t="shared" si="268"/>
        <v>25498011974.405342</v>
      </c>
      <c r="BB1601" s="129">
        <f>IFERROR(VLOOKUP($D1601,'EITI Revenues'!$C$2:$G$224,5,FALSE),"..")</f>
        <v>3573697357.7190704</v>
      </c>
      <c r="BC1601" s="846">
        <f t="shared" si="269"/>
        <v>0.14015592122657694</v>
      </c>
      <c r="BD1601" s="129">
        <f>VLOOKUP($D1601,'WB Data 2'!$C$2:$K$545,6,FALSE)</f>
        <v>19689907936.979385</v>
      </c>
      <c r="BE1601" s="129">
        <f>IFERROR(VLOOKUP($D1601,UNCTAD!$C$5:$V$529,4,FALSE),"..")</f>
        <v>34667290000</v>
      </c>
      <c r="BF1601" s="846">
        <f t="shared" si="270"/>
        <v>0.5679679010669535</v>
      </c>
      <c r="BG1601" s="117">
        <f>VLOOKUP($D1601,'WB Data'!$C$3:$M$578,5,FALSE)</f>
        <v>463020000</v>
      </c>
      <c r="BH1601" s="129">
        <f>IFERROR($BB1601/$BG1601,"..")</f>
        <v>7.7182354060711642</v>
      </c>
      <c r="BI1601" s="117">
        <f>IFERROR(VLOOKUP($D1601,'WB Data'!$C$3:$M$578,7,FALSE)/100,"..")</f>
        <v>2.6741899999999999E-2</v>
      </c>
      <c r="BJ1601" s="117">
        <f>IFERROR($BI1601*$AW1601,"..")</f>
        <v>3251054184.275352</v>
      </c>
      <c r="BK1601" s="846">
        <f>IFERROR($BB1601/$BJ1601,"..")</f>
        <v>1.0992426318220945</v>
      </c>
      <c r="BL1601" s="117">
        <f>IFERROR(VLOOKUP($D1601,'WB Data'!$C$3:$M$578,7,FALSE)/100,"..")</f>
        <v>2.6741899999999999E-2</v>
      </c>
      <c r="BM1601" s="117">
        <f>IFERROR($AW1601*$BL1601,"..")</f>
        <v>3251054184.275352</v>
      </c>
      <c r="BN1601" s="846">
        <f>IFERROR($BB1601/$BM1601,"..")</f>
        <v>1.0992426318220945</v>
      </c>
      <c r="BO1601" s="801">
        <f t="shared" si="266"/>
        <v>38</v>
      </c>
      <c r="BP1601" s="117">
        <f>VLOOKUP($D1601,'WB Data'!$C$3:$M$578,9,FALSE)</f>
        <v>37.299999999999997</v>
      </c>
      <c r="BQ1601" s="117">
        <f>VLOOKUP($D1601,'WB Data'!$C$3:$M$578,10,FALSE)</f>
        <v>73.307292682926828</v>
      </c>
      <c r="BR1601" s="117">
        <f>VLOOKUP($D1601,'WB Data'!$C$3:$M$578,11,FALSE)</f>
        <v>17.399999999999999</v>
      </c>
      <c r="BS1601" s="129">
        <f>IFERROR(VLOOKUP($D1601,'WB Data 2'!$C$2:$K$545,9,FALSE),"..")</f>
        <v>97.638440000000003</v>
      </c>
      <c r="BT1601" s="129">
        <f>_xlfn.IFNA(VLOOKUP($C1601,RGI!$A$2:$C$43,2,FALSE),"..")</f>
        <v>76.8</v>
      </c>
      <c r="BU1601" s="129">
        <f>_xlfn.IFNA(VLOOKUP($C1601,RGI!$A$2:$C$43,3,FALSE),"..")</f>
        <v>72.816147461462435</v>
      </c>
      <c r="BV1601" s="129">
        <f>VLOOKUP($D1601,WGI!$C$2:$O$478,7,FALSE)</f>
        <v>0.102797518483968</v>
      </c>
      <c r="BW1601" s="129">
        <f>VLOOKUP($D1601,WGI!$C$2:$O$478,4,FALSE)</f>
        <v>-0.89730607728999101</v>
      </c>
      <c r="BX1601" s="129">
        <f>VLOOKUP($D1601,WGI!$C$2:$O$478,3,FALSE)</f>
        <v>-0.35724068854121799</v>
      </c>
      <c r="BY1601" s="129">
        <f>VLOOKUP($D1601,WGI!$C$2:$O$478,5,FALSE)</f>
        <v>0.34906767606171601</v>
      </c>
      <c r="BZ1601" s="129">
        <f>VLOOKUP($D1601,WGI!$C$2:$O$478,2,FALSE)</f>
        <v>-0.20419570946809601</v>
      </c>
      <c r="CB1601" s="129"/>
    </row>
    <row r="1602" spans="1:80" ht="15" customHeight="1">
      <c r="A1602" s="294" t="s">
        <v>457</v>
      </c>
      <c r="B1602" s="117">
        <v>2009</v>
      </c>
      <c r="C1602" s="117" t="s">
        <v>449</v>
      </c>
      <c r="D1602" s="117" t="s">
        <v>3643</v>
      </c>
      <c r="E1602" s="452" t="s">
        <v>220</v>
      </c>
      <c r="F1602" s="117" t="s">
        <v>2019</v>
      </c>
      <c r="G1602" s="132" t="s">
        <v>35</v>
      </c>
      <c r="H1602" s="117" t="str">
        <f t="shared" si="271"/>
        <v>yes</v>
      </c>
      <c r="I1602" s="117" t="str">
        <f t="shared" si="273"/>
        <v>yes</v>
      </c>
      <c r="J1602" s="117" t="str">
        <f t="shared" si="274"/>
        <v>yes</v>
      </c>
      <c r="K1602" s="117" t="s">
        <v>709</v>
      </c>
      <c r="L1602" s="117" t="str">
        <f t="shared" si="272"/>
        <v>Total</v>
      </c>
      <c r="M1602" s="117" t="str">
        <f t="shared" si="275"/>
        <v>Total Oil, Gas, Mining</v>
      </c>
      <c r="N1602" s="118"/>
      <c r="O1602" s="118"/>
      <c r="P1602" s="118"/>
      <c r="Q1602" s="118"/>
      <c r="R1602" s="118"/>
      <c r="S1602" s="117"/>
      <c r="T1602" s="119"/>
      <c r="U1602" s="117"/>
      <c r="V1602" s="117"/>
      <c r="W1602" s="89">
        <f>W1603+W1606</f>
        <v>21925846717.900002</v>
      </c>
      <c r="X1602" s="117" t="s">
        <v>2020</v>
      </c>
      <c r="Y1602" s="117" t="s">
        <v>602</v>
      </c>
      <c r="Z1602" s="117" t="s">
        <v>603</v>
      </c>
      <c r="AA1602" s="620">
        <v>2965369766.4701195</v>
      </c>
      <c r="AB1602" s="597">
        <v>2965945526.7968125</v>
      </c>
      <c r="AC1602" s="240"/>
      <c r="AD1602" s="240"/>
      <c r="AE1602" s="240"/>
      <c r="AF1602" s="600">
        <f>AA1602/((W1603*0.88)+(W1606*0.87))</f>
        <v>0.15514833295028571</v>
      </c>
      <c r="AG1602" s="117" t="s">
        <v>2021</v>
      </c>
      <c r="AH1602" s="124">
        <v>3.012</v>
      </c>
      <c r="AI1602" s="117" t="s">
        <v>667</v>
      </c>
      <c r="AJ1602" s="117"/>
      <c r="AK1602" s="89"/>
      <c r="AL1602" s="117"/>
      <c r="AM1602" s="117"/>
      <c r="AN1602" s="117">
        <v>51</v>
      </c>
      <c r="AO1602" s="117" t="s">
        <v>2081</v>
      </c>
      <c r="AP1602" s="117">
        <v>51</v>
      </c>
      <c r="AQ1602" s="232">
        <v>40878</v>
      </c>
      <c r="AR1602" s="126">
        <v>41899</v>
      </c>
      <c r="AS1602" s="117" t="s">
        <v>1382</v>
      </c>
      <c r="AT1602" s="117" t="s">
        <v>456</v>
      </c>
      <c r="AU1602" s="117" t="s">
        <v>2082</v>
      </c>
      <c r="AV1602" s="128" t="s">
        <v>2107</v>
      </c>
      <c r="AW1602" s="117">
        <f>VLOOKUP($D1602,'WB Data'!$C$3:$M$578,2,FALSE)</f>
        <v>121200381042.49667</v>
      </c>
      <c r="AX1602" s="117">
        <f>VLOOKUP($D1602,'WB Data'!$C$3:$M$578,3,FALSE)</f>
        <v>28934303</v>
      </c>
      <c r="AY1602" s="847">
        <f t="shared" si="267"/>
        <v>2.4466670326971723E-2</v>
      </c>
      <c r="AZ1602" s="117">
        <f>VLOOKUP($D1602,'WB Data'!$C$3:$M$578,4,FALSE)/100</f>
        <v>0.18903877723521581</v>
      </c>
      <c r="BA1602" s="117">
        <f t="shared" si="268"/>
        <v>22911571832.715801</v>
      </c>
      <c r="BB1602" s="129">
        <f>IFERROR(VLOOKUP($D1602,'EITI Revenues'!$C$2:$G$224,5,FALSE),"..")</f>
        <v>2965369766.4701195</v>
      </c>
      <c r="BC1602" s="846">
        <f t="shared" si="269"/>
        <v>0.12942672759953641</v>
      </c>
      <c r="BD1602" s="129">
        <f>VLOOKUP($D1602,'WB Data 2'!$C$2:$K$545,6,FALSE)</f>
        <v>15993770399.481031</v>
      </c>
      <c r="BE1602" s="129">
        <f>IFERROR(VLOOKUP($D1602,UNCTAD!$C$5:$V$529,4,FALSE),"..")</f>
        <v>30597077000</v>
      </c>
      <c r="BF1602" s="846">
        <f t="shared" si="270"/>
        <v>0.5227221672018223</v>
      </c>
      <c r="BG1602" s="117">
        <f>VLOOKUP($D1602,'WB Data'!$C$3:$M$578,5,FALSE)</f>
        <v>441170000</v>
      </c>
      <c r="BH1602" s="129">
        <f>IFERROR($BB1602/$BG1602,"..")</f>
        <v>6.7216033875152874</v>
      </c>
      <c r="BI1602" s="117">
        <f>IFERROR(VLOOKUP($D1602,'WB Data'!$C$3:$M$578,7,FALSE)/100,"..")</f>
        <v>2.9168400000000001E-2</v>
      </c>
      <c r="BJ1602" s="117">
        <f>IFERROR($BI1602*$AW1602,"..")</f>
        <v>3535221194.39996</v>
      </c>
      <c r="BK1602" s="846">
        <f>IFERROR($BB1602/$BJ1602,"..")</f>
        <v>0.83880741922668789</v>
      </c>
      <c r="BL1602" s="117">
        <f>IFERROR(VLOOKUP($D1602,'WB Data'!$C$3:$M$578,7,FALSE)/100,"..")</f>
        <v>2.9168400000000001E-2</v>
      </c>
      <c r="BM1602" s="117">
        <f>IFERROR($AW1602*$BL1602,"..")</f>
        <v>3535221194.39996</v>
      </c>
      <c r="BN1602" s="846">
        <f>IFERROR($BB1602/$BM1602,"..")</f>
        <v>0.83880741922668789</v>
      </c>
      <c r="BO1602" s="801">
        <f t="shared" ref="BO1602:BO1665" si="276">_xlfn.IFNA(VLOOKUP($C1602,CPI_2013,2,FALSE),"..")</f>
        <v>38</v>
      </c>
      <c r="BP1602" s="117">
        <f>VLOOKUP($D1602,'WB Data'!$C$3:$M$578,9,FALSE)</f>
        <v>33.5</v>
      </c>
      <c r="BQ1602" s="117">
        <f>VLOOKUP($D1602,'WB Data'!$C$3:$M$578,10,FALSE)</f>
        <v>73.603682926829279</v>
      </c>
      <c r="BR1602" s="117">
        <f>VLOOKUP($D1602,'WB Data'!$C$3:$M$578,11,FALSE)</f>
        <v>16.2</v>
      </c>
      <c r="BS1602" s="129">
        <f>IFERROR(VLOOKUP($D1602,'WB Data 2'!$C$2:$K$545,9,FALSE),"..")</f>
        <v>96.569890000000001</v>
      </c>
      <c r="BT1602" s="129">
        <f>_xlfn.IFNA(VLOOKUP($C1602,RGI!$A$2:$C$43,2,FALSE),"..")</f>
        <v>76.8</v>
      </c>
      <c r="BU1602" s="129">
        <f>_xlfn.IFNA(VLOOKUP($C1602,RGI!$A$2:$C$43,3,FALSE),"..")</f>
        <v>72.816147461462435</v>
      </c>
      <c r="BV1602" s="129">
        <f>VLOOKUP($D1602,WGI!$C$2:$O$478,7,FALSE)</f>
        <v>4.0587288441011303E-2</v>
      </c>
      <c r="BW1602" s="129">
        <f>VLOOKUP($D1602,WGI!$C$2:$O$478,4,FALSE)</f>
        <v>-1.1809401239462201</v>
      </c>
      <c r="BX1602" s="129">
        <f>VLOOKUP($D1602,WGI!$C$2:$O$478,3,FALSE)</f>
        <v>-0.42240703988964201</v>
      </c>
      <c r="BY1602" s="129">
        <f>VLOOKUP($D1602,WGI!$C$2:$O$478,5,FALSE)</f>
        <v>0.401355532712239</v>
      </c>
      <c r="BZ1602" s="129">
        <f>VLOOKUP($D1602,WGI!$C$2:$O$478,2,FALSE)</f>
        <v>-0.34216136455586199</v>
      </c>
    </row>
    <row r="1603" spans="1:80" ht="15" customHeight="1">
      <c r="A1603" s="294" t="s">
        <v>457</v>
      </c>
      <c r="B1603" s="117">
        <v>2009</v>
      </c>
      <c r="C1603" s="117" t="s">
        <v>449</v>
      </c>
      <c r="D1603" s="117" t="s">
        <v>3643</v>
      </c>
      <c r="E1603" s="452" t="s">
        <v>220</v>
      </c>
      <c r="F1603" s="117"/>
      <c r="G1603" s="120" t="s">
        <v>55</v>
      </c>
      <c r="H1603" s="117" t="str">
        <f t="shared" si="271"/>
        <v>no</v>
      </c>
      <c r="I1603" s="117" t="str">
        <f t="shared" si="273"/>
        <v>yes</v>
      </c>
      <c r="J1603" s="117" t="str">
        <f t="shared" si="274"/>
        <v>yes</v>
      </c>
      <c r="K1603" s="117" t="s">
        <v>640</v>
      </c>
      <c r="L1603" s="117" t="str">
        <f t="shared" si="272"/>
        <v>Total</v>
      </c>
      <c r="M1603" s="117" t="str">
        <f t="shared" si="275"/>
        <v>Total Oil, Gas</v>
      </c>
      <c r="N1603" s="118"/>
      <c r="O1603" s="118"/>
      <c r="P1603" s="118"/>
      <c r="Q1603" s="118"/>
      <c r="R1603" s="118"/>
      <c r="S1603" s="117"/>
      <c r="T1603" s="119"/>
      <c r="U1603" s="117"/>
      <c r="V1603" s="117"/>
      <c r="W1603" s="89">
        <v>3764019398.8099999</v>
      </c>
      <c r="X1603" s="117"/>
      <c r="Y1603" s="117"/>
      <c r="Z1603" s="117"/>
      <c r="AA1603" s="89">
        <v>908761224.34528553</v>
      </c>
      <c r="AB1603" s="89">
        <v>908758831.34528553</v>
      </c>
      <c r="AC1603" s="240" t="s">
        <v>2108</v>
      </c>
      <c r="AD1603" s="240"/>
      <c r="AE1603" s="240"/>
      <c r="AF1603" s="241">
        <f>AA1603/(W1603*0.88)</f>
        <v>0.27435650565716091</v>
      </c>
      <c r="AG1603" s="117"/>
      <c r="AH1603" s="124"/>
      <c r="AI1603" s="117"/>
      <c r="AJ1603" s="117"/>
      <c r="AK1603" s="89"/>
      <c r="AL1603" s="117"/>
      <c r="AM1603" s="117"/>
      <c r="AN1603" s="117">
        <v>18</v>
      </c>
      <c r="AO1603" s="117" t="s">
        <v>2085</v>
      </c>
      <c r="AP1603" s="117">
        <v>18</v>
      </c>
      <c r="AQ1603" s="117"/>
      <c r="AR1603" s="117"/>
      <c r="AS1603" s="117"/>
      <c r="AT1603" s="117"/>
      <c r="AU1603" s="117">
        <v>10</v>
      </c>
      <c r="AV1603" s="128"/>
      <c r="AW1603" s="117">
        <f>VLOOKUP($D1603,'WB Data'!$C$3:$M$578,2,FALSE)</f>
        <v>121200381042.49667</v>
      </c>
      <c r="AX1603" s="117">
        <f>VLOOKUP($D1603,'WB Data'!$C$3:$M$578,3,FALSE)</f>
        <v>28934303</v>
      </c>
      <c r="AY1603" s="847">
        <f t="shared" ref="AY1603:AY1666" si="277">IFERROR($BB1603/$AW1603,"..")</f>
        <v>2.4466670326971723E-2</v>
      </c>
      <c r="AZ1603" s="117">
        <f>VLOOKUP($D1603,'WB Data'!$C$3:$M$578,4,FALSE)/100</f>
        <v>0.18903877723521581</v>
      </c>
      <c r="BA1603" s="117">
        <f t="shared" ref="BA1603:BA1666" si="278">IFERROR($AW1603*$AZ1603,"..")</f>
        <v>22911571832.715801</v>
      </c>
      <c r="BB1603" s="129">
        <f>IFERROR(VLOOKUP($D1603,'EITI Revenues'!$C$2:$G$224,5,FALSE),"..")</f>
        <v>2965369766.4701195</v>
      </c>
      <c r="BC1603" s="846">
        <f t="shared" ref="BC1603:BC1666" si="279">IFERROR($BB1603/$BA1603,"..")</f>
        <v>0.12942672759953641</v>
      </c>
      <c r="BD1603" s="129">
        <f>VLOOKUP($D1603,'WB Data 2'!$C$2:$K$545,6,FALSE)</f>
        <v>15993770399.481031</v>
      </c>
      <c r="BE1603" s="129">
        <f>IFERROR(VLOOKUP($D1603,UNCTAD!$C$5:$V$529,4,FALSE),"..")</f>
        <v>30597077000</v>
      </c>
      <c r="BF1603" s="846">
        <f t="shared" ref="BF1603:BF1666" si="280">IFERROR(($BD1603/$BE1603),"..")</f>
        <v>0.5227221672018223</v>
      </c>
      <c r="BG1603" s="117">
        <f>VLOOKUP($D1603,'WB Data'!$C$3:$M$578,5,FALSE)</f>
        <v>441170000</v>
      </c>
      <c r="BH1603" s="129">
        <f>IFERROR($BB1603/$BG1603,"..")</f>
        <v>6.7216033875152874</v>
      </c>
      <c r="BI1603" s="117">
        <f>IFERROR(VLOOKUP($D1603,'WB Data'!$C$3:$M$578,7,FALSE)/100,"..")</f>
        <v>2.9168400000000001E-2</v>
      </c>
      <c r="BJ1603" s="117">
        <f>IFERROR($BI1603*$AW1603,"..")</f>
        <v>3535221194.39996</v>
      </c>
      <c r="BK1603" s="846">
        <f>IFERROR($BB1603/$BJ1603,"..")</f>
        <v>0.83880741922668789</v>
      </c>
      <c r="BL1603" s="117">
        <f>IFERROR(VLOOKUP($D1603,'WB Data'!$C$3:$M$578,7,FALSE)/100,"..")</f>
        <v>2.9168400000000001E-2</v>
      </c>
      <c r="BM1603" s="117">
        <f>IFERROR($AW1603*$BL1603,"..")</f>
        <v>3535221194.39996</v>
      </c>
      <c r="BN1603" s="846">
        <f>IFERROR($BB1603/$BM1603,"..")</f>
        <v>0.83880741922668789</v>
      </c>
      <c r="BO1603" s="801">
        <f t="shared" si="276"/>
        <v>38</v>
      </c>
      <c r="BP1603" s="117">
        <f>VLOOKUP($D1603,'WB Data'!$C$3:$M$578,9,FALSE)</f>
        <v>33.5</v>
      </c>
      <c r="BQ1603" s="117">
        <f>VLOOKUP($D1603,'WB Data'!$C$3:$M$578,10,FALSE)</f>
        <v>73.603682926829279</v>
      </c>
      <c r="BR1603" s="117">
        <f>VLOOKUP($D1603,'WB Data'!$C$3:$M$578,11,FALSE)</f>
        <v>16.2</v>
      </c>
      <c r="BS1603" s="129">
        <f>IFERROR(VLOOKUP($D1603,'WB Data 2'!$C$2:$K$545,9,FALSE),"..")</f>
        <v>96.569890000000001</v>
      </c>
      <c r="BT1603" s="129">
        <f>_xlfn.IFNA(VLOOKUP($C1603,RGI!$A$2:$C$43,2,FALSE),"..")</f>
        <v>76.8</v>
      </c>
      <c r="BU1603" s="129">
        <f>_xlfn.IFNA(VLOOKUP($C1603,RGI!$A$2:$C$43,3,FALSE),"..")</f>
        <v>72.816147461462435</v>
      </c>
      <c r="BV1603" s="129">
        <f>VLOOKUP($D1603,WGI!$C$2:$O$478,7,FALSE)</f>
        <v>4.0587288441011303E-2</v>
      </c>
      <c r="BW1603" s="129">
        <f>VLOOKUP($D1603,WGI!$C$2:$O$478,4,FALSE)</f>
        <v>-1.1809401239462201</v>
      </c>
      <c r="BX1603" s="129">
        <f>VLOOKUP($D1603,WGI!$C$2:$O$478,3,FALSE)</f>
        <v>-0.42240703988964201</v>
      </c>
      <c r="BY1603" s="129">
        <f>VLOOKUP($D1603,WGI!$C$2:$O$478,5,FALSE)</f>
        <v>0.401355532712239</v>
      </c>
      <c r="BZ1603" s="129">
        <f>VLOOKUP($D1603,WGI!$C$2:$O$478,2,FALSE)</f>
        <v>-0.34216136455586199</v>
      </c>
    </row>
    <row r="1604" spans="1:80" ht="15" customHeight="1">
      <c r="A1604" s="294" t="s">
        <v>457</v>
      </c>
      <c r="B1604" s="117">
        <v>2009</v>
      </c>
      <c r="C1604" s="117" t="s">
        <v>449</v>
      </c>
      <c r="D1604" s="117" t="s">
        <v>3643</v>
      </c>
      <c r="E1604" s="452" t="s">
        <v>220</v>
      </c>
      <c r="F1604" s="117"/>
      <c r="G1604" s="120" t="s">
        <v>561</v>
      </c>
      <c r="H1604" s="117" t="str">
        <f t="shared" si="271"/>
        <v>no</v>
      </c>
      <c r="I1604" s="117" t="str">
        <f t="shared" si="273"/>
        <v>yes</v>
      </c>
      <c r="J1604" s="117" t="str">
        <f t="shared" si="274"/>
        <v>no</v>
      </c>
      <c r="K1604" s="117" t="s">
        <v>561</v>
      </c>
      <c r="L1604" s="117" t="str">
        <f t="shared" si="272"/>
        <v>detailed</v>
      </c>
      <c r="M1604" s="117" t="str">
        <f t="shared" si="275"/>
        <v>detailed Gas</v>
      </c>
      <c r="N1604" s="118"/>
      <c r="O1604" s="118"/>
      <c r="P1604" s="118"/>
      <c r="Q1604" s="118"/>
      <c r="R1604" s="118"/>
      <c r="S1604" s="117"/>
      <c r="T1604" s="119"/>
      <c r="U1604" s="117"/>
      <c r="V1604" s="117"/>
      <c r="W1604" s="89"/>
      <c r="X1604" s="117"/>
      <c r="Y1604" s="117"/>
      <c r="Z1604" s="117"/>
      <c r="AA1604" s="89"/>
      <c r="AB1604" s="89"/>
      <c r="AC1604" s="240"/>
      <c r="AD1604" s="240"/>
      <c r="AE1604" s="240"/>
      <c r="AF1604" s="241"/>
      <c r="AG1604" s="117"/>
      <c r="AH1604" s="124"/>
      <c r="AI1604" s="117"/>
      <c r="AJ1604" s="117"/>
      <c r="AK1604" s="89"/>
      <c r="AL1604" s="117"/>
      <c r="AM1604" s="117"/>
      <c r="AN1604" s="117"/>
      <c r="AO1604" s="117" t="s">
        <v>2087</v>
      </c>
      <c r="AP1604" s="117"/>
      <c r="AQ1604" s="117"/>
      <c r="AR1604" s="117"/>
      <c r="AS1604" s="117"/>
      <c r="AT1604" s="117"/>
      <c r="AU1604" s="117"/>
      <c r="AV1604" s="128"/>
      <c r="AW1604" s="117">
        <f>VLOOKUP($D1604,'WB Data'!$C$3:$M$578,2,FALSE)</f>
        <v>121200381042.49667</v>
      </c>
      <c r="AX1604" s="117">
        <f>VLOOKUP($D1604,'WB Data'!$C$3:$M$578,3,FALSE)</f>
        <v>28934303</v>
      </c>
      <c r="AY1604" s="847">
        <f t="shared" si="277"/>
        <v>2.4466670326971723E-2</v>
      </c>
      <c r="AZ1604" s="117">
        <f>VLOOKUP($D1604,'WB Data'!$C$3:$M$578,4,FALSE)/100</f>
        <v>0.18903877723521581</v>
      </c>
      <c r="BA1604" s="117">
        <f t="shared" si="278"/>
        <v>22911571832.715801</v>
      </c>
      <c r="BB1604" s="129">
        <f>IFERROR(VLOOKUP($D1604,'EITI Revenues'!$C$2:$G$224,5,FALSE),"..")</f>
        <v>2965369766.4701195</v>
      </c>
      <c r="BC1604" s="846">
        <f t="shared" si="279"/>
        <v>0.12942672759953641</v>
      </c>
      <c r="BD1604" s="129">
        <f>VLOOKUP($D1604,'WB Data 2'!$C$2:$K$545,6,FALSE)</f>
        <v>15993770399.481031</v>
      </c>
      <c r="BE1604" s="129">
        <f>IFERROR(VLOOKUP($D1604,UNCTAD!$C$5:$V$529,4,FALSE),"..")</f>
        <v>30597077000</v>
      </c>
      <c r="BF1604" s="846">
        <f t="shared" si="280"/>
        <v>0.5227221672018223</v>
      </c>
      <c r="BG1604" s="117">
        <f>VLOOKUP($D1604,'WB Data'!$C$3:$M$578,5,FALSE)</f>
        <v>441170000</v>
      </c>
      <c r="BH1604" s="129">
        <f>IFERROR($BB1604/$BG1604,"..")</f>
        <v>6.7216033875152874</v>
      </c>
      <c r="BI1604" s="117">
        <f>IFERROR(VLOOKUP($D1604,'WB Data'!$C$3:$M$578,7,FALSE)/100,"..")</f>
        <v>2.9168400000000001E-2</v>
      </c>
      <c r="BJ1604" s="117">
        <f>IFERROR($BI1604*$AW1604,"..")</f>
        <v>3535221194.39996</v>
      </c>
      <c r="BK1604" s="846">
        <f>IFERROR($BB1604/$BJ1604,"..")</f>
        <v>0.83880741922668789</v>
      </c>
      <c r="BL1604" s="117">
        <f>IFERROR(VLOOKUP($D1604,'WB Data'!$C$3:$M$578,7,FALSE)/100,"..")</f>
        <v>2.9168400000000001E-2</v>
      </c>
      <c r="BM1604" s="117">
        <f>IFERROR($AW1604*$BL1604,"..")</f>
        <v>3535221194.39996</v>
      </c>
      <c r="BN1604" s="846">
        <f>IFERROR($BB1604/$BM1604,"..")</f>
        <v>0.83880741922668789</v>
      </c>
      <c r="BO1604" s="801">
        <f t="shared" si="276"/>
        <v>38</v>
      </c>
      <c r="BP1604" s="117">
        <f>VLOOKUP($D1604,'WB Data'!$C$3:$M$578,9,FALSE)</f>
        <v>33.5</v>
      </c>
      <c r="BQ1604" s="117">
        <f>VLOOKUP($D1604,'WB Data'!$C$3:$M$578,10,FALSE)</f>
        <v>73.603682926829279</v>
      </c>
      <c r="BR1604" s="117">
        <f>VLOOKUP($D1604,'WB Data'!$C$3:$M$578,11,FALSE)</f>
        <v>16.2</v>
      </c>
      <c r="BS1604" s="129">
        <f>IFERROR(VLOOKUP($D1604,'WB Data 2'!$C$2:$K$545,9,FALSE),"..")</f>
        <v>96.569890000000001</v>
      </c>
      <c r="BT1604" s="129">
        <f>_xlfn.IFNA(VLOOKUP($C1604,RGI!$A$2:$C$43,2,FALSE),"..")</f>
        <v>76.8</v>
      </c>
      <c r="BU1604" s="129">
        <f>_xlfn.IFNA(VLOOKUP($C1604,RGI!$A$2:$C$43,3,FALSE),"..")</f>
        <v>72.816147461462435</v>
      </c>
      <c r="BV1604" s="129">
        <f>VLOOKUP($D1604,WGI!$C$2:$O$478,7,FALSE)</f>
        <v>4.0587288441011303E-2</v>
      </c>
      <c r="BW1604" s="129">
        <f>VLOOKUP($D1604,WGI!$C$2:$O$478,4,FALSE)</f>
        <v>-1.1809401239462201</v>
      </c>
      <c r="BX1604" s="129">
        <f>VLOOKUP($D1604,WGI!$C$2:$O$478,3,FALSE)</f>
        <v>-0.42240703988964201</v>
      </c>
      <c r="BY1604" s="129">
        <f>VLOOKUP($D1604,WGI!$C$2:$O$478,5,FALSE)</f>
        <v>0.401355532712239</v>
      </c>
      <c r="BZ1604" s="129">
        <f>VLOOKUP($D1604,WGI!$C$2:$O$478,2,FALSE)</f>
        <v>-0.34216136455586199</v>
      </c>
    </row>
    <row r="1605" spans="1:80" ht="15" customHeight="1">
      <c r="A1605" s="294" t="s">
        <v>457</v>
      </c>
      <c r="B1605" s="117">
        <v>2009</v>
      </c>
      <c r="C1605" s="117" t="s">
        <v>449</v>
      </c>
      <c r="D1605" s="117" t="s">
        <v>3643</v>
      </c>
      <c r="E1605" s="452" t="s">
        <v>220</v>
      </c>
      <c r="F1605" s="117"/>
      <c r="G1605" s="120" t="s">
        <v>103</v>
      </c>
      <c r="H1605" s="117" t="str">
        <f t="shared" si="271"/>
        <v>no</v>
      </c>
      <c r="I1605" s="117" t="str">
        <f t="shared" si="273"/>
        <v>no</v>
      </c>
      <c r="J1605" s="117" t="str">
        <f t="shared" si="274"/>
        <v>yes</v>
      </c>
      <c r="K1605" s="117" t="s">
        <v>103</v>
      </c>
      <c r="L1605" s="117" t="str">
        <f t="shared" si="272"/>
        <v>detailed</v>
      </c>
      <c r="M1605" s="117" t="str">
        <f t="shared" si="275"/>
        <v>detailed Oil</v>
      </c>
      <c r="N1605" s="118"/>
      <c r="O1605" s="118"/>
      <c r="P1605" s="118"/>
      <c r="Q1605" s="118"/>
      <c r="R1605" s="118"/>
      <c r="S1605" s="117"/>
      <c r="T1605" s="119"/>
      <c r="U1605" s="117"/>
      <c r="V1605" s="117"/>
      <c r="W1605" s="89"/>
      <c r="X1605" s="117"/>
      <c r="Y1605" s="117"/>
      <c r="Z1605" s="117"/>
      <c r="AA1605" s="89"/>
      <c r="AB1605" s="89"/>
      <c r="AC1605" s="240"/>
      <c r="AD1605" s="240"/>
      <c r="AE1605" s="240"/>
      <c r="AF1605" s="241"/>
      <c r="AG1605" s="117"/>
      <c r="AH1605" s="124"/>
      <c r="AI1605" s="117"/>
      <c r="AJ1605" s="117"/>
      <c r="AK1605" s="89"/>
      <c r="AL1605" s="117"/>
      <c r="AM1605" s="117"/>
      <c r="AN1605" s="117"/>
      <c r="AO1605" s="117"/>
      <c r="AP1605" s="117"/>
      <c r="AQ1605" s="117"/>
      <c r="AR1605" s="117"/>
      <c r="AS1605" s="117"/>
      <c r="AT1605" s="117"/>
      <c r="AU1605" s="117"/>
      <c r="AV1605" s="128"/>
      <c r="AW1605" s="117">
        <f>VLOOKUP($D1605,'WB Data'!$C$3:$M$578,2,FALSE)</f>
        <v>121200381042.49667</v>
      </c>
      <c r="AX1605" s="117">
        <f>VLOOKUP($D1605,'WB Data'!$C$3:$M$578,3,FALSE)</f>
        <v>28934303</v>
      </c>
      <c r="AY1605" s="847">
        <f t="shared" si="277"/>
        <v>2.4466670326971723E-2</v>
      </c>
      <c r="AZ1605" s="117">
        <f>VLOOKUP($D1605,'WB Data'!$C$3:$M$578,4,FALSE)/100</f>
        <v>0.18903877723521581</v>
      </c>
      <c r="BA1605" s="117">
        <f t="shared" si="278"/>
        <v>22911571832.715801</v>
      </c>
      <c r="BB1605" s="129">
        <f>IFERROR(VLOOKUP($D1605,'EITI Revenues'!$C$2:$G$224,5,FALSE),"..")</f>
        <v>2965369766.4701195</v>
      </c>
      <c r="BC1605" s="846">
        <f t="shared" si="279"/>
        <v>0.12942672759953641</v>
      </c>
      <c r="BD1605" s="129">
        <f>VLOOKUP($D1605,'WB Data 2'!$C$2:$K$545,6,FALSE)</f>
        <v>15993770399.481031</v>
      </c>
      <c r="BE1605" s="129">
        <f>IFERROR(VLOOKUP($D1605,UNCTAD!$C$5:$V$529,4,FALSE),"..")</f>
        <v>30597077000</v>
      </c>
      <c r="BF1605" s="846">
        <f t="shared" si="280"/>
        <v>0.5227221672018223</v>
      </c>
      <c r="BG1605" s="117">
        <f>VLOOKUP($D1605,'WB Data'!$C$3:$M$578,5,FALSE)</f>
        <v>441170000</v>
      </c>
      <c r="BH1605" s="129">
        <f>IFERROR($BB1605/$BG1605,"..")</f>
        <v>6.7216033875152874</v>
      </c>
      <c r="BI1605" s="117">
        <f>IFERROR(VLOOKUP($D1605,'WB Data'!$C$3:$M$578,7,FALSE)/100,"..")</f>
        <v>2.9168400000000001E-2</v>
      </c>
      <c r="BJ1605" s="117">
        <f>IFERROR($BI1605*$AW1605,"..")</f>
        <v>3535221194.39996</v>
      </c>
      <c r="BK1605" s="846">
        <f>IFERROR($BB1605/$BJ1605,"..")</f>
        <v>0.83880741922668789</v>
      </c>
      <c r="BL1605" s="117">
        <f>IFERROR(VLOOKUP($D1605,'WB Data'!$C$3:$M$578,7,FALSE)/100,"..")</f>
        <v>2.9168400000000001E-2</v>
      </c>
      <c r="BM1605" s="117">
        <f>IFERROR($AW1605*$BL1605,"..")</f>
        <v>3535221194.39996</v>
      </c>
      <c r="BN1605" s="846">
        <f>IFERROR($BB1605/$BM1605,"..")</f>
        <v>0.83880741922668789</v>
      </c>
      <c r="BO1605" s="801">
        <f t="shared" si="276"/>
        <v>38</v>
      </c>
      <c r="BP1605" s="117">
        <f>VLOOKUP($D1605,'WB Data'!$C$3:$M$578,9,FALSE)</f>
        <v>33.5</v>
      </c>
      <c r="BQ1605" s="117">
        <f>VLOOKUP($D1605,'WB Data'!$C$3:$M$578,10,FALSE)</f>
        <v>73.603682926829279</v>
      </c>
      <c r="BR1605" s="117">
        <f>VLOOKUP($D1605,'WB Data'!$C$3:$M$578,11,FALSE)</f>
        <v>16.2</v>
      </c>
      <c r="BS1605" s="129">
        <f>IFERROR(VLOOKUP($D1605,'WB Data 2'!$C$2:$K$545,9,FALSE),"..")</f>
        <v>96.569890000000001</v>
      </c>
      <c r="BT1605" s="129">
        <f>_xlfn.IFNA(VLOOKUP($C1605,RGI!$A$2:$C$43,2,FALSE),"..")</f>
        <v>76.8</v>
      </c>
      <c r="BU1605" s="129">
        <f>_xlfn.IFNA(VLOOKUP($C1605,RGI!$A$2:$C$43,3,FALSE),"..")</f>
        <v>72.816147461462435</v>
      </c>
      <c r="BV1605" s="129">
        <f>VLOOKUP($D1605,WGI!$C$2:$O$478,7,FALSE)</f>
        <v>4.0587288441011303E-2</v>
      </c>
      <c r="BW1605" s="129">
        <f>VLOOKUP($D1605,WGI!$C$2:$O$478,4,FALSE)</f>
        <v>-1.1809401239462201</v>
      </c>
      <c r="BX1605" s="129">
        <f>VLOOKUP($D1605,WGI!$C$2:$O$478,3,FALSE)</f>
        <v>-0.42240703988964201</v>
      </c>
      <c r="BY1605" s="129">
        <f>VLOOKUP($D1605,WGI!$C$2:$O$478,5,FALSE)</f>
        <v>0.401355532712239</v>
      </c>
      <c r="BZ1605" s="129">
        <f>VLOOKUP($D1605,WGI!$C$2:$O$478,2,FALSE)</f>
        <v>-0.34216136455586199</v>
      </c>
    </row>
    <row r="1606" spans="1:80" ht="15" customHeight="1">
      <c r="A1606" s="294" t="s">
        <v>457</v>
      </c>
      <c r="B1606" s="117">
        <v>2009</v>
      </c>
      <c r="C1606" s="117" t="s">
        <v>449</v>
      </c>
      <c r="D1606" s="117" t="s">
        <v>3643</v>
      </c>
      <c r="E1606" s="452" t="s">
        <v>220</v>
      </c>
      <c r="F1606" s="117"/>
      <c r="G1606" s="120" t="s">
        <v>24</v>
      </c>
      <c r="H1606" s="117" t="str">
        <f t="shared" si="271"/>
        <v>yes</v>
      </c>
      <c r="I1606" s="117" t="str">
        <f t="shared" si="273"/>
        <v>no</v>
      </c>
      <c r="J1606" s="117" t="str">
        <f t="shared" si="274"/>
        <v>no</v>
      </c>
      <c r="K1606" s="117" t="s">
        <v>600</v>
      </c>
      <c r="L1606" s="117" t="str">
        <f t="shared" si="272"/>
        <v>Total</v>
      </c>
      <c r="M1606" s="117" t="str">
        <f t="shared" si="275"/>
        <v>Total Mining</v>
      </c>
      <c r="N1606" s="118"/>
      <c r="O1606" s="118"/>
      <c r="P1606" s="118"/>
      <c r="Q1606" s="118"/>
      <c r="R1606" s="118"/>
      <c r="S1606" s="117"/>
      <c r="T1606" s="119"/>
      <c r="U1606" s="117"/>
      <c r="V1606" s="117"/>
      <c r="W1606" s="89">
        <v>18161827319.09</v>
      </c>
      <c r="X1606" s="117"/>
      <c r="Y1606" s="120"/>
      <c r="Z1606" s="120"/>
      <c r="AA1606" s="89">
        <v>2056608542.1248341</v>
      </c>
      <c r="AB1606" s="89">
        <v>2057186695.4515271</v>
      </c>
      <c r="AC1606" s="240" t="s">
        <v>2109</v>
      </c>
      <c r="AD1606" s="240"/>
      <c r="AE1606" s="240"/>
      <c r="AF1606" s="241">
        <f>AA1606/(W1606*0.87)</f>
        <v>0.13015859158767445</v>
      </c>
      <c r="AG1606" s="120"/>
      <c r="AH1606" s="124"/>
      <c r="AI1606" s="117"/>
      <c r="AJ1606" s="117"/>
      <c r="AK1606" s="89"/>
      <c r="AL1606" s="117"/>
      <c r="AM1606" s="117"/>
      <c r="AN1606" s="117">
        <v>33</v>
      </c>
      <c r="AO1606" s="117" t="s">
        <v>2087</v>
      </c>
      <c r="AP1606" s="117">
        <v>33</v>
      </c>
      <c r="AQ1606" s="117"/>
      <c r="AR1606" s="117"/>
      <c r="AS1606" s="117"/>
      <c r="AT1606" s="117"/>
      <c r="AU1606" s="117">
        <v>10</v>
      </c>
      <c r="AV1606" s="128"/>
      <c r="AW1606" s="117">
        <f>VLOOKUP($D1606,'WB Data'!$C$3:$M$578,2,FALSE)</f>
        <v>121200381042.49667</v>
      </c>
      <c r="AX1606" s="117">
        <f>VLOOKUP($D1606,'WB Data'!$C$3:$M$578,3,FALSE)</f>
        <v>28934303</v>
      </c>
      <c r="AY1606" s="847">
        <f t="shared" si="277"/>
        <v>2.4466670326971723E-2</v>
      </c>
      <c r="AZ1606" s="117">
        <f>VLOOKUP($D1606,'WB Data'!$C$3:$M$578,4,FALSE)/100</f>
        <v>0.18903877723521581</v>
      </c>
      <c r="BA1606" s="117">
        <f t="shared" si="278"/>
        <v>22911571832.715801</v>
      </c>
      <c r="BB1606" s="129">
        <f>IFERROR(VLOOKUP($D1606,'EITI Revenues'!$C$2:$G$224,5,FALSE),"..")</f>
        <v>2965369766.4701195</v>
      </c>
      <c r="BC1606" s="846">
        <f t="shared" si="279"/>
        <v>0.12942672759953641</v>
      </c>
      <c r="BD1606" s="129">
        <f>VLOOKUP($D1606,'WB Data 2'!$C$2:$K$545,6,FALSE)</f>
        <v>15993770399.481031</v>
      </c>
      <c r="BE1606" s="129">
        <f>IFERROR(VLOOKUP($D1606,UNCTAD!$C$5:$V$529,4,FALSE),"..")</f>
        <v>30597077000</v>
      </c>
      <c r="BF1606" s="846">
        <f t="shared" si="280"/>
        <v>0.5227221672018223</v>
      </c>
      <c r="BG1606" s="117">
        <f>VLOOKUP($D1606,'WB Data'!$C$3:$M$578,5,FALSE)</f>
        <v>441170000</v>
      </c>
      <c r="BH1606" s="129">
        <f>IFERROR($BB1606/$BG1606,"..")</f>
        <v>6.7216033875152874</v>
      </c>
      <c r="BI1606" s="117">
        <f>IFERROR(VLOOKUP($D1606,'WB Data'!$C$3:$M$578,7,FALSE)/100,"..")</f>
        <v>2.9168400000000001E-2</v>
      </c>
      <c r="BJ1606" s="117">
        <f>IFERROR($BI1606*$AW1606,"..")</f>
        <v>3535221194.39996</v>
      </c>
      <c r="BK1606" s="846">
        <f>IFERROR($BB1606/$BJ1606,"..")</f>
        <v>0.83880741922668789</v>
      </c>
      <c r="BL1606" s="117">
        <f>IFERROR(VLOOKUP($D1606,'WB Data'!$C$3:$M$578,7,FALSE)/100,"..")</f>
        <v>2.9168400000000001E-2</v>
      </c>
      <c r="BM1606" s="117">
        <f>IFERROR($AW1606*$BL1606,"..")</f>
        <v>3535221194.39996</v>
      </c>
      <c r="BN1606" s="846">
        <f>IFERROR($BB1606/$BM1606,"..")</f>
        <v>0.83880741922668789</v>
      </c>
      <c r="BO1606" s="801">
        <f t="shared" si="276"/>
        <v>38</v>
      </c>
      <c r="BP1606" s="117">
        <f>VLOOKUP($D1606,'WB Data'!$C$3:$M$578,9,FALSE)</f>
        <v>33.5</v>
      </c>
      <c r="BQ1606" s="117">
        <f>VLOOKUP($D1606,'WB Data'!$C$3:$M$578,10,FALSE)</f>
        <v>73.603682926829279</v>
      </c>
      <c r="BR1606" s="117">
        <f>VLOOKUP($D1606,'WB Data'!$C$3:$M$578,11,FALSE)</f>
        <v>16.2</v>
      </c>
      <c r="BS1606" s="129">
        <f>IFERROR(VLOOKUP($D1606,'WB Data 2'!$C$2:$K$545,9,FALSE),"..")</f>
        <v>96.569890000000001</v>
      </c>
      <c r="BT1606" s="129">
        <f>_xlfn.IFNA(VLOOKUP($C1606,RGI!$A$2:$C$43,2,FALSE),"..")</f>
        <v>76.8</v>
      </c>
      <c r="BU1606" s="129">
        <f>_xlfn.IFNA(VLOOKUP($C1606,RGI!$A$2:$C$43,3,FALSE),"..")</f>
        <v>72.816147461462435</v>
      </c>
      <c r="BV1606" s="129">
        <f>VLOOKUP($D1606,WGI!$C$2:$O$478,7,FALSE)</f>
        <v>4.0587288441011303E-2</v>
      </c>
      <c r="BW1606" s="129">
        <f>VLOOKUP($D1606,WGI!$C$2:$O$478,4,FALSE)</f>
        <v>-1.1809401239462201</v>
      </c>
      <c r="BX1606" s="129">
        <f>VLOOKUP($D1606,WGI!$C$2:$O$478,3,FALSE)</f>
        <v>-0.42240703988964201</v>
      </c>
      <c r="BY1606" s="129">
        <f>VLOOKUP($D1606,WGI!$C$2:$O$478,5,FALSE)</f>
        <v>0.401355532712239</v>
      </c>
      <c r="BZ1606" s="129">
        <f>VLOOKUP($D1606,WGI!$C$2:$O$478,2,FALSE)</f>
        <v>-0.34216136455586199</v>
      </c>
    </row>
    <row r="1607" spans="1:80" ht="15" customHeight="1">
      <c r="A1607" s="294" t="s">
        <v>457</v>
      </c>
      <c r="B1607" s="117">
        <v>2009</v>
      </c>
      <c r="C1607" s="117" t="s">
        <v>449</v>
      </c>
      <c r="D1607" s="117" t="s">
        <v>3643</v>
      </c>
      <c r="E1607" s="452" t="s">
        <v>220</v>
      </c>
      <c r="F1607" s="117"/>
      <c r="G1607" s="120" t="s">
        <v>24</v>
      </c>
      <c r="H1607" s="117" t="str">
        <f t="shared" si="271"/>
        <v>yes</v>
      </c>
      <c r="I1607" s="117" t="str">
        <f t="shared" si="273"/>
        <v>no</v>
      </c>
      <c r="J1607" s="117" t="str">
        <f t="shared" si="274"/>
        <v>no</v>
      </c>
      <c r="K1607" s="117" t="s">
        <v>2088</v>
      </c>
      <c r="L1607" s="117" t="str">
        <f t="shared" si="272"/>
        <v>detailed</v>
      </c>
      <c r="M1607" s="117" t="str">
        <f t="shared" si="275"/>
        <v>detailed Mining</v>
      </c>
      <c r="N1607" s="118"/>
      <c r="O1607" s="118"/>
      <c r="P1607" s="118"/>
      <c r="Q1607" s="118"/>
      <c r="R1607" s="118"/>
      <c r="S1607" s="117"/>
      <c r="T1607" s="119"/>
      <c r="U1607" s="117"/>
      <c r="V1607" s="117"/>
      <c r="W1607" s="89"/>
      <c r="X1607" s="117"/>
      <c r="Y1607" s="120"/>
      <c r="Z1607" s="120"/>
      <c r="AA1607" s="89"/>
      <c r="AB1607" s="89"/>
      <c r="AC1607" s="240"/>
      <c r="AD1607" s="240"/>
      <c r="AE1607" s="240"/>
      <c r="AF1607" s="241"/>
      <c r="AG1607" s="120"/>
      <c r="AH1607" s="124"/>
      <c r="AI1607" s="117"/>
      <c r="AJ1607" s="117"/>
      <c r="AK1607" s="89"/>
      <c r="AL1607" s="117"/>
      <c r="AM1607" s="117"/>
      <c r="AN1607" s="117"/>
      <c r="AO1607" s="117"/>
      <c r="AP1607" s="117"/>
      <c r="AQ1607" s="117"/>
      <c r="AR1607" s="117"/>
      <c r="AS1607" s="117"/>
      <c r="AT1607" s="117"/>
      <c r="AU1607" s="117"/>
      <c r="AV1607" s="128"/>
      <c r="AW1607" s="117">
        <f>VLOOKUP($D1607,'WB Data'!$C$3:$M$578,2,FALSE)</f>
        <v>121200381042.49667</v>
      </c>
      <c r="AX1607" s="117">
        <f>VLOOKUP($D1607,'WB Data'!$C$3:$M$578,3,FALSE)</f>
        <v>28934303</v>
      </c>
      <c r="AY1607" s="847">
        <f t="shared" si="277"/>
        <v>2.4466670326971723E-2</v>
      </c>
      <c r="AZ1607" s="117">
        <f>VLOOKUP($D1607,'WB Data'!$C$3:$M$578,4,FALSE)/100</f>
        <v>0.18903877723521581</v>
      </c>
      <c r="BA1607" s="117">
        <f t="shared" si="278"/>
        <v>22911571832.715801</v>
      </c>
      <c r="BB1607" s="129">
        <f>IFERROR(VLOOKUP($D1607,'EITI Revenues'!$C$2:$G$224,5,FALSE),"..")</f>
        <v>2965369766.4701195</v>
      </c>
      <c r="BC1607" s="846">
        <f t="shared" si="279"/>
        <v>0.12942672759953641</v>
      </c>
      <c r="BD1607" s="129">
        <f>VLOOKUP($D1607,'WB Data 2'!$C$2:$K$545,6,FALSE)</f>
        <v>15993770399.481031</v>
      </c>
      <c r="BE1607" s="129">
        <f>IFERROR(VLOOKUP($D1607,UNCTAD!$C$5:$V$529,4,FALSE),"..")</f>
        <v>30597077000</v>
      </c>
      <c r="BF1607" s="846">
        <f t="shared" si="280"/>
        <v>0.5227221672018223</v>
      </c>
      <c r="BG1607" s="117">
        <f>VLOOKUP($D1607,'WB Data'!$C$3:$M$578,5,FALSE)</f>
        <v>441170000</v>
      </c>
      <c r="BH1607" s="129">
        <f>IFERROR($BB1607/$BG1607,"..")</f>
        <v>6.7216033875152874</v>
      </c>
      <c r="BI1607" s="117">
        <f>IFERROR(VLOOKUP($D1607,'WB Data'!$C$3:$M$578,7,FALSE)/100,"..")</f>
        <v>2.9168400000000001E-2</v>
      </c>
      <c r="BJ1607" s="117">
        <f>IFERROR($BI1607*$AW1607,"..")</f>
        <v>3535221194.39996</v>
      </c>
      <c r="BK1607" s="846">
        <f>IFERROR($BB1607/$BJ1607,"..")</f>
        <v>0.83880741922668789</v>
      </c>
      <c r="BL1607" s="117">
        <f>IFERROR(VLOOKUP($D1607,'WB Data'!$C$3:$M$578,7,FALSE)/100,"..")</f>
        <v>2.9168400000000001E-2</v>
      </c>
      <c r="BM1607" s="117">
        <f>IFERROR($AW1607*$BL1607,"..")</f>
        <v>3535221194.39996</v>
      </c>
      <c r="BN1607" s="846">
        <f>IFERROR($BB1607/$BM1607,"..")</f>
        <v>0.83880741922668789</v>
      </c>
      <c r="BO1607" s="801">
        <f t="shared" si="276"/>
        <v>38</v>
      </c>
      <c r="BP1607" s="117">
        <f>VLOOKUP($D1607,'WB Data'!$C$3:$M$578,9,FALSE)</f>
        <v>33.5</v>
      </c>
      <c r="BQ1607" s="117">
        <f>VLOOKUP($D1607,'WB Data'!$C$3:$M$578,10,FALSE)</f>
        <v>73.603682926829279</v>
      </c>
      <c r="BR1607" s="117">
        <f>VLOOKUP($D1607,'WB Data'!$C$3:$M$578,11,FALSE)</f>
        <v>16.2</v>
      </c>
      <c r="BS1607" s="129">
        <f>IFERROR(VLOOKUP($D1607,'WB Data 2'!$C$2:$K$545,9,FALSE),"..")</f>
        <v>96.569890000000001</v>
      </c>
      <c r="BT1607" s="129">
        <f>_xlfn.IFNA(VLOOKUP($C1607,RGI!$A$2:$C$43,2,FALSE),"..")</f>
        <v>76.8</v>
      </c>
      <c r="BU1607" s="129">
        <f>_xlfn.IFNA(VLOOKUP($C1607,RGI!$A$2:$C$43,3,FALSE),"..")</f>
        <v>72.816147461462435</v>
      </c>
      <c r="BV1607" s="129">
        <f>VLOOKUP($D1607,WGI!$C$2:$O$478,7,FALSE)</f>
        <v>4.0587288441011303E-2</v>
      </c>
      <c r="BW1607" s="129">
        <f>VLOOKUP($D1607,WGI!$C$2:$O$478,4,FALSE)</f>
        <v>-1.1809401239462201</v>
      </c>
      <c r="BX1607" s="129">
        <f>VLOOKUP($D1607,WGI!$C$2:$O$478,3,FALSE)</f>
        <v>-0.42240703988964201</v>
      </c>
      <c r="BY1607" s="129">
        <f>VLOOKUP($D1607,WGI!$C$2:$O$478,5,FALSE)</f>
        <v>0.401355532712239</v>
      </c>
      <c r="BZ1607" s="129">
        <f>VLOOKUP($D1607,WGI!$C$2:$O$478,2,FALSE)</f>
        <v>-0.34216136455586199</v>
      </c>
    </row>
    <row r="1608" spans="1:80" ht="15" customHeight="1">
      <c r="A1608" s="294" t="s">
        <v>457</v>
      </c>
      <c r="B1608" s="117">
        <v>2009</v>
      </c>
      <c r="C1608" s="117" t="s">
        <v>449</v>
      </c>
      <c r="D1608" s="117" t="s">
        <v>3643</v>
      </c>
      <c r="E1608" s="452" t="s">
        <v>220</v>
      </c>
      <c r="F1608" s="117"/>
      <c r="G1608" s="120" t="s">
        <v>24</v>
      </c>
      <c r="H1608" s="117" t="str">
        <f t="shared" si="271"/>
        <v>yes</v>
      </c>
      <c r="I1608" s="117" t="str">
        <f t="shared" si="273"/>
        <v>no</v>
      </c>
      <c r="J1608" s="117" t="str">
        <f t="shared" si="274"/>
        <v>no</v>
      </c>
      <c r="K1608" s="117" t="s">
        <v>2089</v>
      </c>
      <c r="L1608" s="117" t="str">
        <f t="shared" si="272"/>
        <v>detailed</v>
      </c>
      <c r="M1608" s="117" t="str">
        <f t="shared" si="275"/>
        <v>detailed Mining</v>
      </c>
      <c r="N1608" s="118"/>
      <c r="O1608" s="118"/>
      <c r="P1608" s="118"/>
      <c r="Q1608" s="118"/>
      <c r="R1608" s="118"/>
      <c r="S1608" s="117"/>
      <c r="T1608" s="119"/>
      <c r="U1608" s="117"/>
      <c r="V1608" s="117"/>
      <c r="W1608" s="89"/>
      <c r="X1608" s="117"/>
      <c r="Y1608" s="120"/>
      <c r="Z1608" s="120"/>
      <c r="AA1608" s="89"/>
      <c r="AB1608" s="89"/>
      <c r="AC1608" s="240"/>
      <c r="AD1608" s="240"/>
      <c r="AE1608" s="240"/>
      <c r="AF1608" s="241"/>
      <c r="AG1608" s="120"/>
      <c r="AH1608" s="124"/>
      <c r="AI1608" s="117"/>
      <c r="AJ1608" s="117"/>
      <c r="AK1608" s="89"/>
      <c r="AL1608" s="117"/>
      <c r="AM1608" s="117"/>
      <c r="AN1608" s="117"/>
      <c r="AO1608" s="117"/>
      <c r="AP1608" s="117"/>
      <c r="AQ1608" s="117"/>
      <c r="AR1608" s="117"/>
      <c r="AS1608" s="117"/>
      <c r="AT1608" s="117"/>
      <c r="AU1608" s="117"/>
      <c r="AV1608" s="128"/>
      <c r="AW1608" s="117">
        <f>VLOOKUP($D1608,'WB Data'!$C$3:$M$578,2,FALSE)</f>
        <v>121200381042.49667</v>
      </c>
      <c r="AX1608" s="117">
        <f>VLOOKUP($D1608,'WB Data'!$C$3:$M$578,3,FALSE)</f>
        <v>28934303</v>
      </c>
      <c r="AY1608" s="847">
        <f t="shared" si="277"/>
        <v>2.4466670326971723E-2</v>
      </c>
      <c r="AZ1608" s="117">
        <f>VLOOKUP($D1608,'WB Data'!$C$3:$M$578,4,FALSE)/100</f>
        <v>0.18903877723521581</v>
      </c>
      <c r="BA1608" s="117">
        <f t="shared" si="278"/>
        <v>22911571832.715801</v>
      </c>
      <c r="BB1608" s="129">
        <f>IFERROR(VLOOKUP($D1608,'EITI Revenues'!$C$2:$G$224,5,FALSE),"..")</f>
        <v>2965369766.4701195</v>
      </c>
      <c r="BC1608" s="846">
        <f t="shared" si="279"/>
        <v>0.12942672759953641</v>
      </c>
      <c r="BD1608" s="129">
        <f>VLOOKUP($D1608,'WB Data 2'!$C$2:$K$545,6,FALSE)</f>
        <v>15993770399.481031</v>
      </c>
      <c r="BE1608" s="129">
        <f>IFERROR(VLOOKUP($D1608,UNCTAD!$C$5:$V$529,4,FALSE),"..")</f>
        <v>30597077000</v>
      </c>
      <c r="BF1608" s="846">
        <f t="shared" si="280"/>
        <v>0.5227221672018223</v>
      </c>
      <c r="BG1608" s="117">
        <f>VLOOKUP($D1608,'WB Data'!$C$3:$M$578,5,FALSE)</f>
        <v>441170000</v>
      </c>
      <c r="BH1608" s="129">
        <f>IFERROR($BB1608/$BG1608,"..")</f>
        <v>6.7216033875152874</v>
      </c>
      <c r="BI1608" s="117">
        <f>IFERROR(VLOOKUP($D1608,'WB Data'!$C$3:$M$578,7,FALSE)/100,"..")</f>
        <v>2.9168400000000001E-2</v>
      </c>
      <c r="BJ1608" s="117">
        <f>IFERROR($BI1608*$AW1608,"..")</f>
        <v>3535221194.39996</v>
      </c>
      <c r="BK1608" s="846">
        <f>IFERROR($BB1608/$BJ1608,"..")</f>
        <v>0.83880741922668789</v>
      </c>
      <c r="BL1608" s="117">
        <f>IFERROR(VLOOKUP($D1608,'WB Data'!$C$3:$M$578,7,FALSE)/100,"..")</f>
        <v>2.9168400000000001E-2</v>
      </c>
      <c r="BM1608" s="117">
        <f>IFERROR($AW1608*$BL1608,"..")</f>
        <v>3535221194.39996</v>
      </c>
      <c r="BN1608" s="846">
        <f>IFERROR($BB1608/$BM1608,"..")</f>
        <v>0.83880741922668789</v>
      </c>
      <c r="BO1608" s="801">
        <f t="shared" si="276"/>
        <v>38</v>
      </c>
      <c r="BP1608" s="117">
        <f>VLOOKUP($D1608,'WB Data'!$C$3:$M$578,9,FALSE)</f>
        <v>33.5</v>
      </c>
      <c r="BQ1608" s="117">
        <f>VLOOKUP($D1608,'WB Data'!$C$3:$M$578,10,FALSE)</f>
        <v>73.603682926829279</v>
      </c>
      <c r="BR1608" s="117">
        <f>VLOOKUP($D1608,'WB Data'!$C$3:$M$578,11,FALSE)</f>
        <v>16.2</v>
      </c>
      <c r="BS1608" s="129">
        <f>IFERROR(VLOOKUP($D1608,'WB Data 2'!$C$2:$K$545,9,FALSE),"..")</f>
        <v>96.569890000000001</v>
      </c>
      <c r="BT1608" s="129">
        <f>_xlfn.IFNA(VLOOKUP($C1608,RGI!$A$2:$C$43,2,FALSE),"..")</f>
        <v>76.8</v>
      </c>
      <c r="BU1608" s="129">
        <f>_xlfn.IFNA(VLOOKUP($C1608,RGI!$A$2:$C$43,3,FALSE),"..")</f>
        <v>72.816147461462435</v>
      </c>
      <c r="BV1608" s="129">
        <f>VLOOKUP($D1608,WGI!$C$2:$O$478,7,FALSE)</f>
        <v>4.0587288441011303E-2</v>
      </c>
      <c r="BW1608" s="129">
        <f>VLOOKUP($D1608,WGI!$C$2:$O$478,4,FALSE)</f>
        <v>-1.1809401239462201</v>
      </c>
      <c r="BX1608" s="129">
        <f>VLOOKUP($D1608,WGI!$C$2:$O$478,3,FALSE)</f>
        <v>-0.42240703988964201</v>
      </c>
      <c r="BY1608" s="129">
        <f>VLOOKUP($D1608,WGI!$C$2:$O$478,5,FALSE)</f>
        <v>0.401355532712239</v>
      </c>
      <c r="BZ1608" s="129">
        <f>VLOOKUP($D1608,WGI!$C$2:$O$478,2,FALSE)</f>
        <v>-0.34216136455586199</v>
      </c>
    </row>
    <row r="1609" spans="1:80" ht="15" customHeight="1">
      <c r="A1609" s="294" t="s">
        <v>457</v>
      </c>
      <c r="B1609" s="117">
        <v>2009</v>
      </c>
      <c r="C1609" s="117" t="s">
        <v>449</v>
      </c>
      <c r="D1609" s="117" t="s">
        <v>3643</v>
      </c>
      <c r="E1609" s="452" t="s">
        <v>220</v>
      </c>
      <c r="F1609" s="117"/>
      <c r="G1609" s="120" t="s">
        <v>24</v>
      </c>
      <c r="H1609" s="117" t="str">
        <f t="shared" si="271"/>
        <v>yes</v>
      </c>
      <c r="I1609" s="117" t="str">
        <f t="shared" si="273"/>
        <v>no</v>
      </c>
      <c r="J1609" s="117" t="str">
        <f t="shared" si="274"/>
        <v>no</v>
      </c>
      <c r="K1609" s="117" t="s">
        <v>1413</v>
      </c>
      <c r="L1609" s="117" t="str">
        <f t="shared" si="272"/>
        <v>detailed</v>
      </c>
      <c r="M1609" s="117" t="str">
        <f t="shared" si="275"/>
        <v>detailed Mining</v>
      </c>
      <c r="N1609" s="118"/>
      <c r="O1609" s="118"/>
      <c r="P1609" s="118"/>
      <c r="Q1609" s="118"/>
      <c r="R1609" s="118"/>
      <c r="S1609" s="117"/>
      <c r="T1609" s="119"/>
      <c r="U1609" s="117"/>
      <c r="V1609" s="117"/>
      <c r="W1609" s="89"/>
      <c r="X1609" s="117"/>
      <c r="Y1609" s="120"/>
      <c r="Z1609" s="120"/>
      <c r="AA1609" s="89"/>
      <c r="AB1609" s="89"/>
      <c r="AC1609" s="240"/>
      <c r="AD1609" s="240"/>
      <c r="AE1609" s="240"/>
      <c r="AF1609" s="241"/>
      <c r="AG1609" s="120"/>
      <c r="AH1609" s="124"/>
      <c r="AI1609" s="117"/>
      <c r="AJ1609" s="117"/>
      <c r="AK1609" s="89"/>
      <c r="AL1609" s="117"/>
      <c r="AM1609" s="117"/>
      <c r="AN1609" s="117"/>
      <c r="AO1609" s="117"/>
      <c r="AP1609" s="117"/>
      <c r="AQ1609" s="117"/>
      <c r="AR1609" s="117"/>
      <c r="AS1609" s="117"/>
      <c r="AT1609" s="117"/>
      <c r="AU1609" s="117"/>
      <c r="AV1609" s="128"/>
      <c r="AW1609" s="117">
        <f>VLOOKUP($D1609,'WB Data'!$C$3:$M$578,2,FALSE)</f>
        <v>121200381042.49667</v>
      </c>
      <c r="AX1609" s="117">
        <f>VLOOKUP($D1609,'WB Data'!$C$3:$M$578,3,FALSE)</f>
        <v>28934303</v>
      </c>
      <c r="AY1609" s="847">
        <f t="shared" si="277"/>
        <v>2.4466670326971723E-2</v>
      </c>
      <c r="AZ1609" s="117">
        <f>VLOOKUP($D1609,'WB Data'!$C$3:$M$578,4,FALSE)/100</f>
        <v>0.18903877723521581</v>
      </c>
      <c r="BA1609" s="117">
        <f t="shared" si="278"/>
        <v>22911571832.715801</v>
      </c>
      <c r="BB1609" s="129">
        <f>IFERROR(VLOOKUP($D1609,'EITI Revenues'!$C$2:$G$224,5,FALSE),"..")</f>
        <v>2965369766.4701195</v>
      </c>
      <c r="BC1609" s="846">
        <f t="shared" si="279"/>
        <v>0.12942672759953641</v>
      </c>
      <c r="BD1609" s="129">
        <f>VLOOKUP($D1609,'WB Data 2'!$C$2:$K$545,6,FALSE)</f>
        <v>15993770399.481031</v>
      </c>
      <c r="BE1609" s="129">
        <f>IFERROR(VLOOKUP($D1609,UNCTAD!$C$5:$V$529,4,FALSE),"..")</f>
        <v>30597077000</v>
      </c>
      <c r="BF1609" s="846">
        <f t="shared" si="280"/>
        <v>0.5227221672018223</v>
      </c>
      <c r="BG1609" s="117">
        <f>VLOOKUP($D1609,'WB Data'!$C$3:$M$578,5,FALSE)</f>
        <v>441170000</v>
      </c>
      <c r="BH1609" s="129">
        <f>IFERROR($BB1609/$BG1609,"..")</f>
        <v>6.7216033875152874</v>
      </c>
      <c r="BI1609" s="117">
        <f>IFERROR(VLOOKUP($D1609,'WB Data'!$C$3:$M$578,7,FALSE)/100,"..")</f>
        <v>2.9168400000000001E-2</v>
      </c>
      <c r="BJ1609" s="117">
        <f>IFERROR($BI1609*$AW1609,"..")</f>
        <v>3535221194.39996</v>
      </c>
      <c r="BK1609" s="846">
        <f>IFERROR($BB1609/$BJ1609,"..")</f>
        <v>0.83880741922668789</v>
      </c>
      <c r="BL1609" s="117">
        <f>IFERROR(VLOOKUP($D1609,'WB Data'!$C$3:$M$578,7,FALSE)/100,"..")</f>
        <v>2.9168400000000001E-2</v>
      </c>
      <c r="BM1609" s="117">
        <f>IFERROR($AW1609*$BL1609,"..")</f>
        <v>3535221194.39996</v>
      </c>
      <c r="BN1609" s="846">
        <f>IFERROR($BB1609/$BM1609,"..")</f>
        <v>0.83880741922668789</v>
      </c>
      <c r="BO1609" s="801">
        <f t="shared" si="276"/>
        <v>38</v>
      </c>
      <c r="BP1609" s="117">
        <f>VLOOKUP($D1609,'WB Data'!$C$3:$M$578,9,FALSE)</f>
        <v>33.5</v>
      </c>
      <c r="BQ1609" s="117">
        <f>VLOOKUP($D1609,'WB Data'!$C$3:$M$578,10,FALSE)</f>
        <v>73.603682926829279</v>
      </c>
      <c r="BR1609" s="117">
        <f>VLOOKUP($D1609,'WB Data'!$C$3:$M$578,11,FALSE)</f>
        <v>16.2</v>
      </c>
      <c r="BS1609" s="129">
        <f>IFERROR(VLOOKUP($D1609,'WB Data 2'!$C$2:$K$545,9,FALSE),"..")</f>
        <v>96.569890000000001</v>
      </c>
      <c r="BT1609" s="129">
        <f>_xlfn.IFNA(VLOOKUP($C1609,RGI!$A$2:$C$43,2,FALSE),"..")</f>
        <v>76.8</v>
      </c>
      <c r="BU1609" s="129">
        <f>_xlfn.IFNA(VLOOKUP($C1609,RGI!$A$2:$C$43,3,FALSE),"..")</f>
        <v>72.816147461462435</v>
      </c>
      <c r="BV1609" s="129">
        <f>VLOOKUP($D1609,WGI!$C$2:$O$478,7,FALSE)</f>
        <v>4.0587288441011303E-2</v>
      </c>
      <c r="BW1609" s="129">
        <f>VLOOKUP($D1609,WGI!$C$2:$O$478,4,FALSE)</f>
        <v>-1.1809401239462201</v>
      </c>
      <c r="BX1609" s="129">
        <f>VLOOKUP($D1609,WGI!$C$2:$O$478,3,FALSE)</f>
        <v>-0.42240703988964201</v>
      </c>
      <c r="BY1609" s="129">
        <f>VLOOKUP($D1609,WGI!$C$2:$O$478,5,FALSE)</f>
        <v>0.401355532712239</v>
      </c>
      <c r="BZ1609" s="129">
        <f>VLOOKUP($D1609,WGI!$C$2:$O$478,2,FALSE)</f>
        <v>-0.34216136455586199</v>
      </c>
    </row>
    <row r="1610" spans="1:80" ht="15" customHeight="1">
      <c r="A1610" s="294" t="s">
        <v>457</v>
      </c>
      <c r="B1610" s="117">
        <v>2009</v>
      </c>
      <c r="C1610" s="117" t="s">
        <v>449</v>
      </c>
      <c r="D1610" s="117" t="s">
        <v>3643</v>
      </c>
      <c r="E1610" s="452" t="s">
        <v>220</v>
      </c>
      <c r="F1610" s="117"/>
      <c r="G1610" s="120" t="s">
        <v>24</v>
      </c>
      <c r="H1610" s="117" t="str">
        <f t="shared" si="271"/>
        <v>yes</v>
      </c>
      <c r="I1610" s="117" t="str">
        <f t="shared" si="273"/>
        <v>no</v>
      </c>
      <c r="J1610" s="117" t="str">
        <f t="shared" si="274"/>
        <v>no</v>
      </c>
      <c r="K1610" s="117" t="s">
        <v>1215</v>
      </c>
      <c r="L1610" s="117" t="str">
        <f t="shared" si="272"/>
        <v>detailed</v>
      </c>
      <c r="M1610" s="117" t="str">
        <f t="shared" si="275"/>
        <v>detailed Mining</v>
      </c>
      <c r="N1610" s="118"/>
      <c r="O1610" s="118"/>
      <c r="P1610" s="118"/>
      <c r="Q1610" s="118"/>
      <c r="R1610" s="118"/>
      <c r="S1610" s="117"/>
      <c r="T1610" s="119"/>
      <c r="U1610" s="117"/>
      <c r="V1610" s="117"/>
      <c r="W1610" s="89"/>
      <c r="X1610" s="117"/>
      <c r="Y1610" s="120"/>
      <c r="Z1610" s="120"/>
      <c r="AA1610" s="89"/>
      <c r="AB1610" s="89"/>
      <c r="AC1610" s="240"/>
      <c r="AD1610" s="240"/>
      <c r="AE1610" s="240"/>
      <c r="AF1610" s="241"/>
      <c r="AG1610" s="120"/>
      <c r="AH1610" s="124"/>
      <c r="AI1610" s="117"/>
      <c r="AJ1610" s="117"/>
      <c r="AK1610" s="89"/>
      <c r="AL1610" s="117"/>
      <c r="AM1610" s="117"/>
      <c r="AN1610" s="117"/>
      <c r="AO1610" s="117"/>
      <c r="AP1610" s="117"/>
      <c r="AQ1610" s="117"/>
      <c r="AR1610" s="117"/>
      <c r="AS1610" s="117"/>
      <c r="AT1610" s="117"/>
      <c r="AU1610" s="117"/>
      <c r="AV1610" s="128"/>
      <c r="AW1610" s="117">
        <f>VLOOKUP($D1610,'WB Data'!$C$3:$M$578,2,FALSE)</f>
        <v>121200381042.49667</v>
      </c>
      <c r="AX1610" s="117">
        <f>VLOOKUP($D1610,'WB Data'!$C$3:$M$578,3,FALSE)</f>
        <v>28934303</v>
      </c>
      <c r="AY1610" s="847">
        <f t="shared" si="277"/>
        <v>2.4466670326971723E-2</v>
      </c>
      <c r="AZ1610" s="117">
        <f>VLOOKUP($D1610,'WB Data'!$C$3:$M$578,4,FALSE)/100</f>
        <v>0.18903877723521581</v>
      </c>
      <c r="BA1610" s="117">
        <f t="shared" si="278"/>
        <v>22911571832.715801</v>
      </c>
      <c r="BB1610" s="129">
        <f>IFERROR(VLOOKUP($D1610,'EITI Revenues'!$C$2:$G$224,5,FALSE),"..")</f>
        <v>2965369766.4701195</v>
      </c>
      <c r="BC1610" s="846">
        <f t="shared" si="279"/>
        <v>0.12942672759953641</v>
      </c>
      <c r="BD1610" s="129">
        <f>VLOOKUP($D1610,'WB Data 2'!$C$2:$K$545,6,FALSE)</f>
        <v>15993770399.481031</v>
      </c>
      <c r="BE1610" s="129">
        <f>IFERROR(VLOOKUP($D1610,UNCTAD!$C$5:$V$529,4,FALSE),"..")</f>
        <v>30597077000</v>
      </c>
      <c r="BF1610" s="846">
        <f t="shared" si="280"/>
        <v>0.5227221672018223</v>
      </c>
      <c r="BG1610" s="117">
        <f>VLOOKUP($D1610,'WB Data'!$C$3:$M$578,5,FALSE)</f>
        <v>441170000</v>
      </c>
      <c r="BH1610" s="129">
        <f>IFERROR($BB1610/$BG1610,"..")</f>
        <v>6.7216033875152874</v>
      </c>
      <c r="BI1610" s="117">
        <f>IFERROR(VLOOKUP($D1610,'WB Data'!$C$3:$M$578,7,FALSE)/100,"..")</f>
        <v>2.9168400000000001E-2</v>
      </c>
      <c r="BJ1610" s="117">
        <f>IFERROR($BI1610*$AW1610,"..")</f>
        <v>3535221194.39996</v>
      </c>
      <c r="BK1610" s="846">
        <f>IFERROR($BB1610/$BJ1610,"..")</f>
        <v>0.83880741922668789</v>
      </c>
      <c r="BL1610" s="117">
        <f>IFERROR(VLOOKUP($D1610,'WB Data'!$C$3:$M$578,7,FALSE)/100,"..")</f>
        <v>2.9168400000000001E-2</v>
      </c>
      <c r="BM1610" s="117">
        <f>IFERROR($AW1610*$BL1610,"..")</f>
        <v>3535221194.39996</v>
      </c>
      <c r="BN1610" s="846">
        <f>IFERROR($BB1610/$BM1610,"..")</f>
        <v>0.83880741922668789</v>
      </c>
      <c r="BO1610" s="801">
        <f t="shared" si="276"/>
        <v>38</v>
      </c>
      <c r="BP1610" s="117">
        <f>VLOOKUP($D1610,'WB Data'!$C$3:$M$578,9,FALSE)</f>
        <v>33.5</v>
      </c>
      <c r="BQ1610" s="117">
        <f>VLOOKUP($D1610,'WB Data'!$C$3:$M$578,10,FALSE)</f>
        <v>73.603682926829279</v>
      </c>
      <c r="BR1610" s="117">
        <f>VLOOKUP($D1610,'WB Data'!$C$3:$M$578,11,FALSE)</f>
        <v>16.2</v>
      </c>
      <c r="BS1610" s="129">
        <f>IFERROR(VLOOKUP($D1610,'WB Data 2'!$C$2:$K$545,9,FALSE),"..")</f>
        <v>96.569890000000001</v>
      </c>
      <c r="BT1610" s="129">
        <f>_xlfn.IFNA(VLOOKUP($C1610,RGI!$A$2:$C$43,2,FALSE),"..")</f>
        <v>76.8</v>
      </c>
      <c r="BU1610" s="129">
        <f>_xlfn.IFNA(VLOOKUP($C1610,RGI!$A$2:$C$43,3,FALSE),"..")</f>
        <v>72.816147461462435</v>
      </c>
      <c r="BV1610" s="129">
        <f>VLOOKUP($D1610,WGI!$C$2:$O$478,7,FALSE)</f>
        <v>4.0587288441011303E-2</v>
      </c>
      <c r="BW1610" s="129">
        <f>VLOOKUP($D1610,WGI!$C$2:$O$478,4,FALSE)</f>
        <v>-1.1809401239462201</v>
      </c>
      <c r="BX1610" s="129">
        <f>VLOOKUP($D1610,WGI!$C$2:$O$478,3,FALSE)</f>
        <v>-0.42240703988964201</v>
      </c>
      <c r="BY1610" s="129">
        <f>VLOOKUP($D1610,WGI!$C$2:$O$478,5,FALSE)</f>
        <v>0.401355532712239</v>
      </c>
      <c r="BZ1610" s="129">
        <f>VLOOKUP($D1610,WGI!$C$2:$O$478,2,FALSE)</f>
        <v>-0.34216136455586199</v>
      </c>
    </row>
    <row r="1611" spans="1:80" ht="15" customHeight="1">
      <c r="A1611" s="294" t="s">
        <v>457</v>
      </c>
      <c r="B1611" s="117">
        <v>2009</v>
      </c>
      <c r="C1611" s="117" t="s">
        <v>449</v>
      </c>
      <c r="D1611" s="117" t="s">
        <v>3643</v>
      </c>
      <c r="E1611" s="452" t="s">
        <v>220</v>
      </c>
      <c r="F1611" s="117"/>
      <c r="G1611" s="120" t="s">
        <v>24</v>
      </c>
      <c r="H1611" s="117" t="str">
        <f t="shared" si="271"/>
        <v>yes</v>
      </c>
      <c r="I1611" s="117" t="str">
        <f t="shared" si="273"/>
        <v>no</v>
      </c>
      <c r="J1611" s="117" t="str">
        <f t="shared" si="274"/>
        <v>no</v>
      </c>
      <c r="K1611" s="117" t="s">
        <v>2031</v>
      </c>
      <c r="L1611" s="117" t="str">
        <f t="shared" si="272"/>
        <v>detailed</v>
      </c>
      <c r="M1611" s="117" t="str">
        <f t="shared" si="275"/>
        <v>detailed Mining</v>
      </c>
      <c r="N1611" s="118"/>
      <c r="O1611" s="118"/>
      <c r="P1611" s="118"/>
      <c r="Q1611" s="118"/>
      <c r="R1611" s="118"/>
      <c r="S1611" s="117"/>
      <c r="T1611" s="119"/>
      <c r="U1611" s="117"/>
      <c r="V1611" s="117"/>
      <c r="W1611" s="89"/>
      <c r="X1611" s="117"/>
      <c r="Y1611" s="120"/>
      <c r="Z1611" s="120"/>
      <c r="AA1611" s="89"/>
      <c r="AB1611" s="89"/>
      <c r="AC1611" s="240"/>
      <c r="AD1611" s="240"/>
      <c r="AE1611" s="240"/>
      <c r="AF1611" s="241"/>
      <c r="AG1611" s="120"/>
      <c r="AH1611" s="124"/>
      <c r="AI1611" s="117"/>
      <c r="AJ1611" s="117"/>
      <c r="AK1611" s="89"/>
      <c r="AL1611" s="117"/>
      <c r="AM1611" s="117"/>
      <c r="AN1611" s="117"/>
      <c r="AO1611" s="117"/>
      <c r="AP1611" s="117"/>
      <c r="AQ1611" s="117"/>
      <c r="AR1611" s="117"/>
      <c r="AS1611" s="117"/>
      <c r="AT1611" s="117"/>
      <c r="AU1611" s="117"/>
      <c r="AV1611" s="128"/>
      <c r="AW1611" s="117">
        <f>VLOOKUP($D1611,'WB Data'!$C$3:$M$578,2,FALSE)</f>
        <v>121200381042.49667</v>
      </c>
      <c r="AX1611" s="117">
        <f>VLOOKUP($D1611,'WB Data'!$C$3:$M$578,3,FALSE)</f>
        <v>28934303</v>
      </c>
      <c r="AY1611" s="847">
        <f t="shared" si="277"/>
        <v>2.4466670326971723E-2</v>
      </c>
      <c r="AZ1611" s="117">
        <f>VLOOKUP($D1611,'WB Data'!$C$3:$M$578,4,FALSE)/100</f>
        <v>0.18903877723521581</v>
      </c>
      <c r="BA1611" s="117">
        <f t="shared" si="278"/>
        <v>22911571832.715801</v>
      </c>
      <c r="BB1611" s="129">
        <f>IFERROR(VLOOKUP($D1611,'EITI Revenues'!$C$2:$G$224,5,FALSE),"..")</f>
        <v>2965369766.4701195</v>
      </c>
      <c r="BC1611" s="846">
        <f t="shared" si="279"/>
        <v>0.12942672759953641</v>
      </c>
      <c r="BD1611" s="129">
        <f>VLOOKUP($D1611,'WB Data 2'!$C$2:$K$545,6,FALSE)</f>
        <v>15993770399.481031</v>
      </c>
      <c r="BE1611" s="129">
        <f>IFERROR(VLOOKUP($D1611,UNCTAD!$C$5:$V$529,4,FALSE),"..")</f>
        <v>30597077000</v>
      </c>
      <c r="BF1611" s="846">
        <f t="shared" si="280"/>
        <v>0.5227221672018223</v>
      </c>
      <c r="BG1611" s="117">
        <f>VLOOKUP($D1611,'WB Data'!$C$3:$M$578,5,FALSE)</f>
        <v>441170000</v>
      </c>
      <c r="BH1611" s="129">
        <f>IFERROR($BB1611/$BG1611,"..")</f>
        <v>6.7216033875152874</v>
      </c>
      <c r="BI1611" s="117">
        <f>IFERROR(VLOOKUP($D1611,'WB Data'!$C$3:$M$578,7,FALSE)/100,"..")</f>
        <v>2.9168400000000001E-2</v>
      </c>
      <c r="BJ1611" s="117">
        <f>IFERROR($BI1611*$AW1611,"..")</f>
        <v>3535221194.39996</v>
      </c>
      <c r="BK1611" s="846">
        <f>IFERROR($BB1611/$BJ1611,"..")</f>
        <v>0.83880741922668789</v>
      </c>
      <c r="BL1611" s="117">
        <f>IFERROR(VLOOKUP($D1611,'WB Data'!$C$3:$M$578,7,FALSE)/100,"..")</f>
        <v>2.9168400000000001E-2</v>
      </c>
      <c r="BM1611" s="117">
        <f>IFERROR($AW1611*$BL1611,"..")</f>
        <v>3535221194.39996</v>
      </c>
      <c r="BN1611" s="846">
        <f>IFERROR($BB1611/$BM1611,"..")</f>
        <v>0.83880741922668789</v>
      </c>
      <c r="BO1611" s="801">
        <f t="shared" si="276"/>
        <v>38</v>
      </c>
      <c r="BP1611" s="117">
        <f>VLOOKUP($D1611,'WB Data'!$C$3:$M$578,9,FALSE)</f>
        <v>33.5</v>
      </c>
      <c r="BQ1611" s="117">
        <f>VLOOKUP($D1611,'WB Data'!$C$3:$M$578,10,FALSE)</f>
        <v>73.603682926829279</v>
      </c>
      <c r="BR1611" s="117">
        <f>VLOOKUP($D1611,'WB Data'!$C$3:$M$578,11,FALSE)</f>
        <v>16.2</v>
      </c>
      <c r="BS1611" s="129">
        <f>IFERROR(VLOOKUP($D1611,'WB Data 2'!$C$2:$K$545,9,FALSE),"..")</f>
        <v>96.569890000000001</v>
      </c>
      <c r="BT1611" s="129">
        <f>_xlfn.IFNA(VLOOKUP($C1611,RGI!$A$2:$C$43,2,FALSE),"..")</f>
        <v>76.8</v>
      </c>
      <c r="BU1611" s="129">
        <f>_xlfn.IFNA(VLOOKUP($C1611,RGI!$A$2:$C$43,3,FALSE),"..")</f>
        <v>72.816147461462435</v>
      </c>
      <c r="BV1611" s="129">
        <f>VLOOKUP($D1611,WGI!$C$2:$O$478,7,FALSE)</f>
        <v>4.0587288441011303E-2</v>
      </c>
      <c r="BW1611" s="129">
        <f>VLOOKUP($D1611,WGI!$C$2:$O$478,4,FALSE)</f>
        <v>-1.1809401239462201</v>
      </c>
      <c r="BX1611" s="129">
        <f>VLOOKUP($D1611,WGI!$C$2:$O$478,3,FALSE)</f>
        <v>-0.42240703988964201</v>
      </c>
      <c r="BY1611" s="129">
        <f>VLOOKUP($D1611,WGI!$C$2:$O$478,5,FALSE)</f>
        <v>0.401355532712239</v>
      </c>
      <c r="BZ1611" s="129">
        <f>VLOOKUP($D1611,WGI!$C$2:$O$478,2,FALSE)</f>
        <v>-0.34216136455586199</v>
      </c>
    </row>
    <row r="1612" spans="1:80" ht="15" customHeight="1">
      <c r="A1612" s="294" t="s">
        <v>457</v>
      </c>
      <c r="B1612" s="117">
        <v>2009</v>
      </c>
      <c r="C1612" s="117" t="s">
        <v>449</v>
      </c>
      <c r="D1612" s="117" t="s">
        <v>3643</v>
      </c>
      <c r="E1612" s="452" t="s">
        <v>220</v>
      </c>
      <c r="F1612" s="117"/>
      <c r="G1612" s="120" t="s">
        <v>24</v>
      </c>
      <c r="H1612" s="117" t="str">
        <f t="shared" si="271"/>
        <v>yes</v>
      </c>
      <c r="I1612" s="117" t="str">
        <f t="shared" si="273"/>
        <v>no</v>
      </c>
      <c r="J1612" s="117" t="str">
        <f t="shared" si="274"/>
        <v>no</v>
      </c>
      <c r="K1612" s="117" t="s">
        <v>2090</v>
      </c>
      <c r="L1612" s="117" t="str">
        <f t="shared" si="272"/>
        <v>detailed</v>
      </c>
      <c r="M1612" s="117" t="str">
        <f t="shared" si="275"/>
        <v>detailed Mining</v>
      </c>
      <c r="N1612" s="118"/>
      <c r="O1612" s="118"/>
      <c r="P1612" s="118"/>
      <c r="Q1612" s="118"/>
      <c r="R1612" s="118"/>
      <c r="S1612" s="117"/>
      <c r="T1612" s="119"/>
      <c r="U1612" s="117"/>
      <c r="V1612" s="117"/>
      <c r="W1612" s="89"/>
      <c r="X1612" s="117"/>
      <c r="Y1612" s="120"/>
      <c r="Z1612" s="120"/>
      <c r="AA1612" s="89"/>
      <c r="AB1612" s="89"/>
      <c r="AC1612" s="240"/>
      <c r="AD1612" s="240"/>
      <c r="AE1612" s="240"/>
      <c r="AF1612" s="241"/>
      <c r="AG1612" s="120"/>
      <c r="AH1612" s="124"/>
      <c r="AI1612" s="117"/>
      <c r="AJ1612" s="117"/>
      <c r="AK1612" s="89"/>
      <c r="AL1612" s="117"/>
      <c r="AM1612" s="117"/>
      <c r="AN1612" s="117"/>
      <c r="AO1612" s="117"/>
      <c r="AP1612" s="117"/>
      <c r="AQ1612" s="117"/>
      <c r="AR1612" s="117"/>
      <c r="AS1612" s="117"/>
      <c r="AT1612" s="117"/>
      <c r="AU1612" s="117"/>
      <c r="AV1612" s="128"/>
      <c r="AW1612" s="117">
        <f>VLOOKUP($D1612,'WB Data'!$C$3:$M$578,2,FALSE)</f>
        <v>121200381042.49667</v>
      </c>
      <c r="AX1612" s="117">
        <f>VLOOKUP($D1612,'WB Data'!$C$3:$M$578,3,FALSE)</f>
        <v>28934303</v>
      </c>
      <c r="AY1612" s="847">
        <f t="shared" si="277"/>
        <v>2.4466670326971723E-2</v>
      </c>
      <c r="AZ1612" s="117">
        <f>VLOOKUP($D1612,'WB Data'!$C$3:$M$578,4,FALSE)/100</f>
        <v>0.18903877723521581</v>
      </c>
      <c r="BA1612" s="117">
        <f t="shared" si="278"/>
        <v>22911571832.715801</v>
      </c>
      <c r="BB1612" s="129">
        <f>IFERROR(VLOOKUP($D1612,'EITI Revenues'!$C$2:$G$224,5,FALSE),"..")</f>
        <v>2965369766.4701195</v>
      </c>
      <c r="BC1612" s="846">
        <f t="shared" si="279"/>
        <v>0.12942672759953641</v>
      </c>
      <c r="BD1612" s="129">
        <f>VLOOKUP($D1612,'WB Data 2'!$C$2:$K$545,6,FALSE)</f>
        <v>15993770399.481031</v>
      </c>
      <c r="BE1612" s="129">
        <f>IFERROR(VLOOKUP($D1612,UNCTAD!$C$5:$V$529,4,FALSE),"..")</f>
        <v>30597077000</v>
      </c>
      <c r="BF1612" s="846">
        <f t="shared" si="280"/>
        <v>0.5227221672018223</v>
      </c>
      <c r="BG1612" s="117">
        <f>VLOOKUP($D1612,'WB Data'!$C$3:$M$578,5,FALSE)</f>
        <v>441170000</v>
      </c>
      <c r="BH1612" s="129">
        <f>IFERROR($BB1612/$BG1612,"..")</f>
        <v>6.7216033875152874</v>
      </c>
      <c r="BI1612" s="117">
        <f>IFERROR(VLOOKUP($D1612,'WB Data'!$C$3:$M$578,7,FALSE)/100,"..")</f>
        <v>2.9168400000000001E-2</v>
      </c>
      <c r="BJ1612" s="117">
        <f>IFERROR($BI1612*$AW1612,"..")</f>
        <v>3535221194.39996</v>
      </c>
      <c r="BK1612" s="846">
        <f>IFERROR($BB1612/$BJ1612,"..")</f>
        <v>0.83880741922668789</v>
      </c>
      <c r="BL1612" s="117">
        <f>IFERROR(VLOOKUP($D1612,'WB Data'!$C$3:$M$578,7,FALSE)/100,"..")</f>
        <v>2.9168400000000001E-2</v>
      </c>
      <c r="BM1612" s="117">
        <f>IFERROR($AW1612*$BL1612,"..")</f>
        <v>3535221194.39996</v>
      </c>
      <c r="BN1612" s="846">
        <f>IFERROR($BB1612/$BM1612,"..")</f>
        <v>0.83880741922668789</v>
      </c>
      <c r="BO1612" s="801">
        <f t="shared" si="276"/>
        <v>38</v>
      </c>
      <c r="BP1612" s="117">
        <f>VLOOKUP($D1612,'WB Data'!$C$3:$M$578,9,FALSE)</f>
        <v>33.5</v>
      </c>
      <c r="BQ1612" s="117">
        <f>VLOOKUP($D1612,'WB Data'!$C$3:$M$578,10,FALSE)</f>
        <v>73.603682926829279</v>
      </c>
      <c r="BR1612" s="117">
        <f>VLOOKUP($D1612,'WB Data'!$C$3:$M$578,11,FALSE)</f>
        <v>16.2</v>
      </c>
      <c r="BS1612" s="129">
        <f>IFERROR(VLOOKUP($D1612,'WB Data 2'!$C$2:$K$545,9,FALSE),"..")</f>
        <v>96.569890000000001</v>
      </c>
      <c r="BT1612" s="129">
        <f>_xlfn.IFNA(VLOOKUP($C1612,RGI!$A$2:$C$43,2,FALSE),"..")</f>
        <v>76.8</v>
      </c>
      <c r="BU1612" s="129">
        <f>_xlfn.IFNA(VLOOKUP($C1612,RGI!$A$2:$C$43,3,FALSE),"..")</f>
        <v>72.816147461462435</v>
      </c>
      <c r="BV1612" s="129">
        <f>VLOOKUP($D1612,WGI!$C$2:$O$478,7,FALSE)</f>
        <v>4.0587288441011303E-2</v>
      </c>
      <c r="BW1612" s="129">
        <f>VLOOKUP($D1612,WGI!$C$2:$O$478,4,FALSE)</f>
        <v>-1.1809401239462201</v>
      </c>
      <c r="BX1612" s="129">
        <f>VLOOKUP($D1612,WGI!$C$2:$O$478,3,FALSE)</f>
        <v>-0.42240703988964201</v>
      </c>
      <c r="BY1612" s="129">
        <f>VLOOKUP($D1612,WGI!$C$2:$O$478,5,FALSE)</f>
        <v>0.401355532712239</v>
      </c>
      <c r="BZ1612" s="129">
        <f>VLOOKUP($D1612,WGI!$C$2:$O$478,2,FALSE)</f>
        <v>-0.34216136455586199</v>
      </c>
    </row>
    <row r="1613" spans="1:80" ht="15" customHeight="1">
      <c r="A1613" s="294" t="s">
        <v>457</v>
      </c>
      <c r="B1613" s="117">
        <v>2009</v>
      </c>
      <c r="C1613" s="117" t="s">
        <v>449</v>
      </c>
      <c r="D1613" s="117" t="s">
        <v>3643</v>
      </c>
      <c r="E1613" s="452" t="s">
        <v>220</v>
      </c>
      <c r="F1613" s="117"/>
      <c r="G1613" s="120" t="s">
        <v>24</v>
      </c>
      <c r="H1613" s="117" t="str">
        <f t="shared" si="271"/>
        <v>yes</v>
      </c>
      <c r="I1613" s="117" t="str">
        <f t="shared" si="273"/>
        <v>no</v>
      </c>
      <c r="J1613" s="117" t="str">
        <f t="shared" si="274"/>
        <v>no</v>
      </c>
      <c r="K1613" s="117" t="s">
        <v>2091</v>
      </c>
      <c r="L1613" s="117" t="str">
        <f t="shared" si="272"/>
        <v>detailed</v>
      </c>
      <c r="M1613" s="117" t="str">
        <f t="shared" si="275"/>
        <v>detailed Mining</v>
      </c>
      <c r="N1613" s="118"/>
      <c r="O1613" s="118"/>
      <c r="P1613" s="118"/>
      <c r="Q1613" s="118"/>
      <c r="R1613" s="118"/>
      <c r="S1613" s="117"/>
      <c r="T1613" s="119"/>
      <c r="U1613" s="117"/>
      <c r="V1613" s="117"/>
      <c r="W1613" s="89"/>
      <c r="X1613" s="117"/>
      <c r="Y1613" s="120"/>
      <c r="Z1613" s="120"/>
      <c r="AA1613" s="89"/>
      <c r="AB1613" s="89"/>
      <c r="AC1613" s="240"/>
      <c r="AD1613" s="240"/>
      <c r="AE1613" s="240"/>
      <c r="AF1613" s="241"/>
      <c r="AG1613" s="120"/>
      <c r="AH1613" s="124"/>
      <c r="AI1613" s="117"/>
      <c r="AJ1613" s="117"/>
      <c r="AK1613" s="89"/>
      <c r="AL1613" s="117"/>
      <c r="AM1613" s="117"/>
      <c r="AN1613" s="117"/>
      <c r="AO1613" s="117"/>
      <c r="AP1613" s="117"/>
      <c r="AQ1613" s="117"/>
      <c r="AR1613" s="117"/>
      <c r="AS1613" s="117"/>
      <c r="AT1613" s="117"/>
      <c r="AU1613" s="117"/>
      <c r="AV1613" s="128"/>
      <c r="AW1613" s="117">
        <f>VLOOKUP($D1613,'WB Data'!$C$3:$M$578,2,FALSE)</f>
        <v>121200381042.49667</v>
      </c>
      <c r="AX1613" s="117">
        <f>VLOOKUP($D1613,'WB Data'!$C$3:$M$578,3,FALSE)</f>
        <v>28934303</v>
      </c>
      <c r="AY1613" s="847">
        <f t="shared" si="277"/>
        <v>2.4466670326971723E-2</v>
      </c>
      <c r="AZ1613" s="117">
        <f>VLOOKUP($D1613,'WB Data'!$C$3:$M$578,4,FALSE)/100</f>
        <v>0.18903877723521581</v>
      </c>
      <c r="BA1613" s="117">
        <f t="shared" si="278"/>
        <v>22911571832.715801</v>
      </c>
      <c r="BB1613" s="129">
        <f>IFERROR(VLOOKUP($D1613,'EITI Revenues'!$C$2:$G$224,5,FALSE),"..")</f>
        <v>2965369766.4701195</v>
      </c>
      <c r="BC1613" s="846">
        <f t="shared" si="279"/>
        <v>0.12942672759953641</v>
      </c>
      <c r="BD1613" s="129">
        <f>VLOOKUP($D1613,'WB Data 2'!$C$2:$K$545,6,FALSE)</f>
        <v>15993770399.481031</v>
      </c>
      <c r="BE1613" s="129">
        <f>IFERROR(VLOOKUP($D1613,UNCTAD!$C$5:$V$529,4,FALSE),"..")</f>
        <v>30597077000</v>
      </c>
      <c r="BF1613" s="846">
        <f t="shared" si="280"/>
        <v>0.5227221672018223</v>
      </c>
      <c r="BG1613" s="117">
        <f>VLOOKUP($D1613,'WB Data'!$C$3:$M$578,5,FALSE)</f>
        <v>441170000</v>
      </c>
      <c r="BH1613" s="129">
        <f>IFERROR($BB1613/$BG1613,"..")</f>
        <v>6.7216033875152874</v>
      </c>
      <c r="BI1613" s="117">
        <f>IFERROR(VLOOKUP($D1613,'WB Data'!$C$3:$M$578,7,FALSE)/100,"..")</f>
        <v>2.9168400000000001E-2</v>
      </c>
      <c r="BJ1613" s="117">
        <f>IFERROR($BI1613*$AW1613,"..")</f>
        <v>3535221194.39996</v>
      </c>
      <c r="BK1613" s="846">
        <f>IFERROR($BB1613/$BJ1613,"..")</f>
        <v>0.83880741922668789</v>
      </c>
      <c r="BL1613" s="117">
        <f>IFERROR(VLOOKUP($D1613,'WB Data'!$C$3:$M$578,7,FALSE)/100,"..")</f>
        <v>2.9168400000000001E-2</v>
      </c>
      <c r="BM1613" s="117">
        <f>IFERROR($AW1613*$BL1613,"..")</f>
        <v>3535221194.39996</v>
      </c>
      <c r="BN1613" s="846">
        <f>IFERROR($BB1613/$BM1613,"..")</f>
        <v>0.83880741922668789</v>
      </c>
      <c r="BO1613" s="801">
        <f t="shared" si="276"/>
        <v>38</v>
      </c>
      <c r="BP1613" s="117">
        <f>VLOOKUP($D1613,'WB Data'!$C$3:$M$578,9,FALSE)</f>
        <v>33.5</v>
      </c>
      <c r="BQ1613" s="117">
        <f>VLOOKUP($D1613,'WB Data'!$C$3:$M$578,10,FALSE)</f>
        <v>73.603682926829279</v>
      </c>
      <c r="BR1613" s="117">
        <f>VLOOKUP($D1613,'WB Data'!$C$3:$M$578,11,FALSE)</f>
        <v>16.2</v>
      </c>
      <c r="BS1613" s="129">
        <f>IFERROR(VLOOKUP($D1613,'WB Data 2'!$C$2:$K$545,9,FALSE),"..")</f>
        <v>96.569890000000001</v>
      </c>
      <c r="BT1613" s="129">
        <f>_xlfn.IFNA(VLOOKUP($C1613,RGI!$A$2:$C$43,2,FALSE),"..")</f>
        <v>76.8</v>
      </c>
      <c r="BU1613" s="129">
        <f>_xlfn.IFNA(VLOOKUP($C1613,RGI!$A$2:$C$43,3,FALSE),"..")</f>
        <v>72.816147461462435</v>
      </c>
      <c r="BV1613" s="129">
        <f>VLOOKUP($D1613,WGI!$C$2:$O$478,7,FALSE)</f>
        <v>4.0587288441011303E-2</v>
      </c>
      <c r="BW1613" s="129">
        <f>VLOOKUP($D1613,WGI!$C$2:$O$478,4,FALSE)</f>
        <v>-1.1809401239462201</v>
      </c>
      <c r="BX1613" s="129">
        <f>VLOOKUP($D1613,WGI!$C$2:$O$478,3,FALSE)</f>
        <v>-0.42240703988964201</v>
      </c>
      <c r="BY1613" s="129">
        <f>VLOOKUP($D1613,WGI!$C$2:$O$478,5,FALSE)</f>
        <v>0.401355532712239</v>
      </c>
      <c r="BZ1613" s="129">
        <f>VLOOKUP($D1613,WGI!$C$2:$O$478,2,FALSE)</f>
        <v>-0.34216136455586199</v>
      </c>
    </row>
    <row r="1614" spans="1:80" ht="15" customHeight="1">
      <c r="A1614" s="294" t="s">
        <v>457</v>
      </c>
      <c r="B1614" s="117">
        <v>2009</v>
      </c>
      <c r="C1614" s="117" t="s">
        <v>449</v>
      </c>
      <c r="D1614" s="117" t="s">
        <v>3643</v>
      </c>
      <c r="E1614" s="452" t="s">
        <v>220</v>
      </c>
      <c r="F1614" s="117"/>
      <c r="G1614" s="120" t="s">
        <v>24</v>
      </c>
      <c r="H1614" s="117" t="str">
        <f t="shared" si="271"/>
        <v>yes</v>
      </c>
      <c r="I1614" s="117" t="str">
        <f t="shared" si="273"/>
        <v>no</v>
      </c>
      <c r="J1614" s="117" t="str">
        <f t="shared" si="274"/>
        <v>no</v>
      </c>
      <c r="K1614" s="117" t="s">
        <v>609</v>
      </c>
      <c r="L1614" s="117" t="str">
        <f t="shared" si="272"/>
        <v>detailed</v>
      </c>
      <c r="M1614" s="117" t="str">
        <f t="shared" si="275"/>
        <v>detailed Mining</v>
      </c>
      <c r="N1614" s="118"/>
      <c r="O1614" s="118"/>
      <c r="P1614" s="118"/>
      <c r="Q1614" s="118"/>
      <c r="R1614" s="118"/>
      <c r="S1614" s="117"/>
      <c r="T1614" s="119"/>
      <c r="U1614" s="117"/>
      <c r="V1614" s="117"/>
      <c r="W1614" s="89"/>
      <c r="X1614" s="117"/>
      <c r="Y1614" s="120"/>
      <c r="Z1614" s="120"/>
      <c r="AA1614" s="89"/>
      <c r="AB1614" s="89"/>
      <c r="AC1614" s="240"/>
      <c r="AD1614" s="240"/>
      <c r="AE1614" s="240"/>
      <c r="AF1614" s="241"/>
      <c r="AG1614" s="120"/>
      <c r="AH1614" s="124"/>
      <c r="AI1614" s="117"/>
      <c r="AJ1614" s="117"/>
      <c r="AK1614" s="89"/>
      <c r="AL1614" s="117"/>
      <c r="AM1614" s="117"/>
      <c r="AN1614" s="117"/>
      <c r="AO1614" s="117"/>
      <c r="AP1614" s="117"/>
      <c r="AQ1614" s="117"/>
      <c r="AR1614" s="117"/>
      <c r="AS1614" s="117"/>
      <c r="AT1614" s="117"/>
      <c r="AU1614" s="117"/>
      <c r="AV1614" s="128"/>
      <c r="AW1614" s="117">
        <f>VLOOKUP($D1614,'WB Data'!$C$3:$M$578,2,FALSE)</f>
        <v>121200381042.49667</v>
      </c>
      <c r="AX1614" s="117">
        <f>VLOOKUP($D1614,'WB Data'!$C$3:$M$578,3,FALSE)</f>
        <v>28934303</v>
      </c>
      <c r="AY1614" s="847">
        <f t="shared" si="277"/>
        <v>2.4466670326971723E-2</v>
      </c>
      <c r="AZ1614" s="117">
        <f>VLOOKUP($D1614,'WB Data'!$C$3:$M$578,4,FALSE)/100</f>
        <v>0.18903877723521581</v>
      </c>
      <c r="BA1614" s="117">
        <f t="shared" si="278"/>
        <v>22911571832.715801</v>
      </c>
      <c r="BB1614" s="129">
        <f>IFERROR(VLOOKUP($D1614,'EITI Revenues'!$C$2:$G$224,5,FALSE),"..")</f>
        <v>2965369766.4701195</v>
      </c>
      <c r="BC1614" s="846">
        <f t="shared" si="279"/>
        <v>0.12942672759953641</v>
      </c>
      <c r="BD1614" s="129">
        <f>VLOOKUP($D1614,'WB Data 2'!$C$2:$K$545,6,FALSE)</f>
        <v>15993770399.481031</v>
      </c>
      <c r="BE1614" s="129">
        <f>IFERROR(VLOOKUP($D1614,UNCTAD!$C$5:$V$529,4,FALSE),"..")</f>
        <v>30597077000</v>
      </c>
      <c r="BF1614" s="846">
        <f t="shared" si="280"/>
        <v>0.5227221672018223</v>
      </c>
      <c r="BG1614" s="117">
        <f>VLOOKUP($D1614,'WB Data'!$C$3:$M$578,5,FALSE)</f>
        <v>441170000</v>
      </c>
      <c r="BH1614" s="129">
        <f>IFERROR($BB1614/$BG1614,"..")</f>
        <v>6.7216033875152874</v>
      </c>
      <c r="BI1614" s="117">
        <f>IFERROR(VLOOKUP($D1614,'WB Data'!$C$3:$M$578,7,FALSE)/100,"..")</f>
        <v>2.9168400000000001E-2</v>
      </c>
      <c r="BJ1614" s="117">
        <f>IFERROR($BI1614*$AW1614,"..")</f>
        <v>3535221194.39996</v>
      </c>
      <c r="BK1614" s="846">
        <f>IFERROR($BB1614/$BJ1614,"..")</f>
        <v>0.83880741922668789</v>
      </c>
      <c r="BL1614" s="117">
        <f>IFERROR(VLOOKUP($D1614,'WB Data'!$C$3:$M$578,7,FALSE)/100,"..")</f>
        <v>2.9168400000000001E-2</v>
      </c>
      <c r="BM1614" s="117">
        <f>IFERROR($AW1614*$BL1614,"..")</f>
        <v>3535221194.39996</v>
      </c>
      <c r="BN1614" s="846">
        <f>IFERROR($BB1614/$BM1614,"..")</f>
        <v>0.83880741922668789</v>
      </c>
      <c r="BO1614" s="801">
        <f t="shared" si="276"/>
        <v>38</v>
      </c>
      <c r="BP1614" s="117">
        <f>VLOOKUP($D1614,'WB Data'!$C$3:$M$578,9,FALSE)</f>
        <v>33.5</v>
      </c>
      <c r="BQ1614" s="117">
        <f>VLOOKUP($D1614,'WB Data'!$C$3:$M$578,10,FALSE)</f>
        <v>73.603682926829279</v>
      </c>
      <c r="BR1614" s="117">
        <f>VLOOKUP($D1614,'WB Data'!$C$3:$M$578,11,FALSE)</f>
        <v>16.2</v>
      </c>
      <c r="BS1614" s="129">
        <f>IFERROR(VLOOKUP($D1614,'WB Data 2'!$C$2:$K$545,9,FALSE),"..")</f>
        <v>96.569890000000001</v>
      </c>
      <c r="BT1614" s="129">
        <f>_xlfn.IFNA(VLOOKUP($C1614,RGI!$A$2:$C$43,2,FALSE),"..")</f>
        <v>76.8</v>
      </c>
      <c r="BU1614" s="129">
        <f>_xlfn.IFNA(VLOOKUP($C1614,RGI!$A$2:$C$43,3,FALSE),"..")</f>
        <v>72.816147461462435</v>
      </c>
      <c r="BV1614" s="129">
        <f>VLOOKUP($D1614,WGI!$C$2:$O$478,7,FALSE)</f>
        <v>4.0587288441011303E-2</v>
      </c>
      <c r="BW1614" s="129">
        <f>VLOOKUP($D1614,WGI!$C$2:$O$478,4,FALSE)</f>
        <v>-1.1809401239462201</v>
      </c>
      <c r="BX1614" s="129">
        <f>VLOOKUP($D1614,WGI!$C$2:$O$478,3,FALSE)</f>
        <v>-0.42240703988964201</v>
      </c>
      <c r="BY1614" s="129">
        <f>VLOOKUP($D1614,WGI!$C$2:$O$478,5,FALSE)</f>
        <v>0.401355532712239</v>
      </c>
      <c r="BZ1614" s="129">
        <f>VLOOKUP($D1614,WGI!$C$2:$O$478,2,FALSE)</f>
        <v>-0.34216136455586199</v>
      </c>
    </row>
    <row r="1615" spans="1:80" ht="15" customHeight="1">
      <c r="A1615" s="294" t="s">
        <v>457</v>
      </c>
      <c r="B1615" s="117">
        <v>2009</v>
      </c>
      <c r="C1615" s="117" t="s">
        <v>449</v>
      </c>
      <c r="D1615" s="117" t="s">
        <v>3643</v>
      </c>
      <c r="E1615" s="452" t="s">
        <v>220</v>
      </c>
      <c r="F1615" s="117"/>
      <c r="G1615" s="120" t="s">
        <v>24</v>
      </c>
      <c r="H1615" s="117" t="str">
        <f t="shared" si="271"/>
        <v>yes</v>
      </c>
      <c r="I1615" s="117" t="str">
        <f t="shared" si="273"/>
        <v>no</v>
      </c>
      <c r="J1615" s="117" t="str">
        <f t="shared" si="274"/>
        <v>no</v>
      </c>
      <c r="K1615" s="117" t="s">
        <v>2092</v>
      </c>
      <c r="L1615" s="117" t="str">
        <f t="shared" si="272"/>
        <v>detailed</v>
      </c>
      <c r="M1615" s="117" t="str">
        <f t="shared" si="275"/>
        <v>detailed Mining</v>
      </c>
      <c r="N1615" s="118"/>
      <c r="O1615" s="118"/>
      <c r="P1615" s="118"/>
      <c r="Q1615" s="118"/>
      <c r="R1615" s="118"/>
      <c r="S1615" s="117"/>
      <c r="T1615" s="119"/>
      <c r="U1615" s="117"/>
      <c r="V1615" s="117"/>
      <c r="W1615" s="89"/>
      <c r="X1615" s="117"/>
      <c r="Y1615" s="120"/>
      <c r="Z1615" s="120"/>
      <c r="AA1615" s="89"/>
      <c r="AB1615" s="89"/>
      <c r="AC1615" s="240"/>
      <c r="AD1615" s="240"/>
      <c r="AE1615" s="240"/>
      <c r="AF1615" s="241"/>
      <c r="AG1615" s="120"/>
      <c r="AH1615" s="124"/>
      <c r="AI1615" s="117"/>
      <c r="AJ1615" s="117"/>
      <c r="AK1615" s="89"/>
      <c r="AL1615" s="117"/>
      <c r="AM1615" s="117"/>
      <c r="AN1615" s="117"/>
      <c r="AO1615" s="117"/>
      <c r="AP1615" s="117"/>
      <c r="AQ1615" s="117"/>
      <c r="AR1615" s="117"/>
      <c r="AS1615" s="117"/>
      <c r="AT1615" s="117"/>
      <c r="AU1615" s="117"/>
      <c r="AV1615" s="128"/>
      <c r="AW1615" s="117">
        <f>VLOOKUP($D1615,'WB Data'!$C$3:$M$578,2,FALSE)</f>
        <v>121200381042.49667</v>
      </c>
      <c r="AX1615" s="117">
        <f>VLOOKUP($D1615,'WB Data'!$C$3:$M$578,3,FALSE)</f>
        <v>28934303</v>
      </c>
      <c r="AY1615" s="847">
        <f t="shared" si="277"/>
        <v>2.4466670326971723E-2</v>
      </c>
      <c r="AZ1615" s="117">
        <f>VLOOKUP($D1615,'WB Data'!$C$3:$M$578,4,FALSE)/100</f>
        <v>0.18903877723521581</v>
      </c>
      <c r="BA1615" s="117">
        <f t="shared" si="278"/>
        <v>22911571832.715801</v>
      </c>
      <c r="BB1615" s="129">
        <f>IFERROR(VLOOKUP($D1615,'EITI Revenues'!$C$2:$G$224,5,FALSE),"..")</f>
        <v>2965369766.4701195</v>
      </c>
      <c r="BC1615" s="846">
        <f t="shared" si="279"/>
        <v>0.12942672759953641</v>
      </c>
      <c r="BD1615" s="129">
        <f>VLOOKUP($D1615,'WB Data 2'!$C$2:$K$545,6,FALSE)</f>
        <v>15993770399.481031</v>
      </c>
      <c r="BE1615" s="129">
        <f>IFERROR(VLOOKUP($D1615,UNCTAD!$C$5:$V$529,4,FALSE),"..")</f>
        <v>30597077000</v>
      </c>
      <c r="BF1615" s="846">
        <f t="shared" si="280"/>
        <v>0.5227221672018223</v>
      </c>
      <c r="BG1615" s="117">
        <f>VLOOKUP($D1615,'WB Data'!$C$3:$M$578,5,FALSE)</f>
        <v>441170000</v>
      </c>
      <c r="BH1615" s="129">
        <f>IFERROR($BB1615/$BG1615,"..")</f>
        <v>6.7216033875152874</v>
      </c>
      <c r="BI1615" s="117">
        <f>IFERROR(VLOOKUP($D1615,'WB Data'!$C$3:$M$578,7,FALSE)/100,"..")</f>
        <v>2.9168400000000001E-2</v>
      </c>
      <c r="BJ1615" s="117">
        <f>IFERROR($BI1615*$AW1615,"..")</f>
        <v>3535221194.39996</v>
      </c>
      <c r="BK1615" s="846">
        <f>IFERROR($BB1615/$BJ1615,"..")</f>
        <v>0.83880741922668789</v>
      </c>
      <c r="BL1615" s="117">
        <f>IFERROR(VLOOKUP($D1615,'WB Data'!$C$3:$M$578,7,FALSE)/100,"..")</f>
        <v>2.9168400000000001E-2</v>
      </c>
      <c r="BM1615" s="117">
        <f>IFERROR($AW1615*$BL1615,"..")</f>
        <v>3535221194.39996</v>
      </c>
      <c r="BN1615" s="846">
        <f>IFERROR($BB1615/$BM1615,"..")</f>
        <v>0.83880741922668789</v>
      </c>
      <c r="BO1615" s="801">
        <f t="shared" si="276"/>
        <v>38</v>
      </c>
      <c r="BP1615" s="117">
        <f>VLOOKUP($D1615,'WB Data'!$C$3:$M$578,9,FALSE)</f>
        <v>33.5</v>
      </c>
      <c r="BQ1615" s="117">
        <f>VLOOKUP($D1615,'WB Data'!$C$3:$M$578,10,FALSE)</f>
        <v>73.603682926829279</v>
      </c>
      <c r="BR1615" s="117">
        <f>VLOOKUP($D1615,'WB Data'!$C$3:$M$578,11,FALSE)</f>
        <v>16.2</v>
      </c>
      <c r="BS1615" s="129">
        <f>IFERROR(VLOOKUP($D1615,'WB Data 2'!$C$2:$K$545,9,FALSE),"..")</f>
        <v>96.569890000000001</v>
      </c>
      <c r="BT1615" s="129">
        <f>_xlfn.IFNA(VLOOKUP($C1615,RGI!$A$2:$C$43,2,FALSE),"..")</f>
        <v>76.8</v>
      </c>
      <c r="BU1615" s="129">
        <f>_xlfn.IFNA(VLOOKUP($C1615,RGI!$A$2:$C$43,3,FALSE),"..")</f>
        <v>72.816147461462435</v>
      </c>
      <c r="BV1615" s="129">
        <f>VLOOKUP($D1615,WGI!$C$2:$O$478,7,FALSE)</f>
        <v>4.0587288441011303E-2</v>
      </c>
      <c r="BW1615" s="129">
        <f>VLOOKUP($D1615,WGI!$C$2:$O$478,4,FALSE)</f>
        <v>-1.1809401239462201</v>
      </c>
      <c r="BX1615" s="129">
        <f>VLOOKUP($D1615,WGI!$C$2:$O$478,3,FALSE)</f>
        <v>-0.42240703988964201</v>
      </c>
      <c r="BY1615" s="129">
        <f>VLOOKUP($D1615,WGI!$C$2:$O$478,5,FALSE)</f>
        <v>0.401355532712239</v>
      </c>
      <c r="BZ1615" s="129">
        <f>VLOOKUP($D1615,WGI!$C$2:$O$478,2,FALSE)</f>
        <v>-0.34216136455586199</v>
      </c>
    </row>
    <row r="1616" spans="1:80" ht="15" customHeight="1">
      <c r="A1616" s="294" t="s">
        <v>457</v>
      </c>
      <c r="B1616" s="117">
        <v>2009</v>
      </c>
      <c r="C1616" s="117" t="s">
        <v>449</v>
      </c>
      <c r="D1616" s="117" t="s">
        <v>3643</v>
      </c>
      <c r="E1616" s="452" t="s">
        <v>220</v>
      </c>
      <c r="F1616" s="117"/>
      <c r="G1616" s="120" t="s">
        <v>24</v>
      </c>
      <c r="H1616" s="117" t="str">
        <f t="shared" si="271"/>
        <v>yes</v>
      </c>
      <c r="I1616" s="117" t="str">
        <f t="shared" si="273"/>
        <v>no</v>
      </c>
      <c r="J1616" s="117" t="str">
        <f t="shared" si="274"/>
        <v>no</v>
      </c>
      <c r="K1616" s="117" t="s">
        <v>616</v>
      </c>
      <c r="L1616" s="117" t="str">
        <f t="shared" si="272"/>
        <v>detailed</v>
      </c>
      <c r="M1616" s="117" t="str">
        <f t="shared" si="275"/>
        <v>detailed Mining</v>
      </c>
      <c r="N1616" s="118"/>
      <c r="O1616" s="118"/>
      <c r="P1616" s="118"/>
      <c r="Q1616" s="118"/>
      <c r="R1616" s="118"/>
      <c r="S1616" s="117"/>
      <c r="T1616" s="119"/>
      <c r="U1616" s="117"/>
      <c r="V1616" s="117"/>
      <c r="W1616" s="89"/>
      <c r="X1616" s="117"/>
      <c r="Y1616" s="120"/>
      <c r="Z1616" s="120"/>
      <c r="AA1616" s="89"/>
      <c r="AB1616" s="89"/>
      <c r="AC1616" s="240"/>
      <c r="AD1616" s="240"/>
      <c r="AE1616" s="240"/>
      <c r="AF1616" s="241"/>
      <c r="AG1616" s="120"/>
      <c r="AH1616" s="124"/>
      <c r="AI1616" s="117"/>
      <c r="AJ1616" s="117"/>
      <c r="AK1616" s="89"/>
      <c r="AL1616" s="117"/>
      <c r="AM1616" s="117"/>
      <c r="AN1616" s="117"/>
      <c r="AO1616" s="117"/>
      <c r="AP1616" s="117"/>
      <c r="AQ1616" s="117"/>
      <c r="AR1616" s="117"/>
      <c r="AS1616" s="117"/>
      <c r="AT1616" s="117"/>
      <c r="AU1616" s="117"/>
      <c r="AV1616" s="128"/>
      <c r="AW1616" s="117">
        <f>VLOOKUP($D1616,'WB Data'!$C$3:$M$578,2,FALSE)</f>
        <v>121200381042.49667</v>
      </c>
      <c r="AX1616" s="117">
        <f>VLOOKUP($D1616,'WB Data'!$C$3:$M$578,3,FALSE)</f>
        <v>28934303</v>
      </c>
      <c r="AY1616" s="847">
        <f t="shared" si="277"/>
        <v>2.4466670326971723E-2</v>
      </c>
      <c r="AZ1616" s="117">
        <f>VLOOKUP($D1616,'WB Data'!$C$3:$M$578,4,FALSE)/100</f>
        <v>0.18903877723521581</v>
      </c>
      <c r="BA1616" s="117">
        <f t="shared" si="278"/>
        <v>22911571832.715801</v>
      </c>
      <c r="BB1616" s="129">
        <f>IFERROR(VLOOKUP($D1616,'EITI Revenues'!$C$2:$G$224,5,FALSE),"..")</f>
        <v>2965369766.4701195</v>
      </c>
      <c r="BC1616" s="846">
        <f t="shared" si="279"/>
        <v>0.12942672759953641</v>
      </c>
      <c r="BD1616" s="129">
        <f>VLOOKUP($D1616,'WB Data 2'!$C$2:$K$545,6,FALSE)</f>
        <v>15993770399.481031</v>
      </c>
      <c r="BE1616" s="129">
        <f>IFERROR(VLOOKUP($D1616,UNCTAD!$C$5:$V$529,4,FALSE),"..")</f>
        <v>30597077000</v>
      </c>
      <c r="BF1616" s="846">
        <f t="shared" si="280"/>
        <v>0.5227221672018223</v>
      </c>
      <c r="BG1616" s="117">
        <f>VLOOKUP($D1616,'WB Data'!$C$3:$M$578,5,FALSE)</f>
        <v>441170000</v>
      </c>
      <c r="BH1616" s="129">
        <f>IFERROR($BB1616/$BG1616,"..")</f>
        <v>6.7216033875152874</v>
      </c>
      <c r="BI1616" s="117">
        <f>IFERROR(VLOOKUP($D1616,'WB Data'!$C$3:$M$578,7,FALSE)/100,"..")</f>
        <v>2.9168400000000001E-2</v>
      </c>
      <c r="BJ1616" s="117">
        <f>IFERROR($BI1616*$AW1616,"..")</f>
        <v>3535221194.39996</v>
      </c>
      <c r="BK1616" s="846">
        <f>IFERROR($BB1616/$BJ1616,"..")</f>
        <v>0.83880741922668789</v>
      </c>
      <c r="BL1616" s="117">
        <f>IFERROR(VLOOKUP($D1616,'WB Data'!$C$3:$M$578,7,FALSE)/100,"..")</f>
        <v>2.9168400000000001E-2</v>
      </c>
      <c r="BM1616" s="117">
        <f>IFERROR($AW1616*$BL1616,"..")</f>
        <v>3535221194.39996</v>
      </c>
      <c r="BN1616" s="846">
        <f>IFERROR($BB1616/$BM1616,"..")</f>
        <v>0.83880741922668789</v>
      </c>
      <c r="BO1616" s="801">
        <f t="shared" si="276"/>
        <v>38</v>
      </c>
      <c r="BP1616" s="117">
        <f>VLOOKUP($D1616,'WB Data'!$C$3:$M$578,9,FALSE)</f>
        <v>33.5</v>
      </c>
      <c r="BQ1616" s="117">
        <f>VLOOKUP($D1616,'WB Data'!$C$3:$M$578,10,FALSE)</f>
        <v>73.603682926829279</v>
      </c>
      <c r="BR1616" s="117">
        <f>VLOOKUP($D1616,'WB Data'!$C$3:$M$578,11,FALSE)</f>
        <v>16.2</v>
      </c>
      <c r="BS1616" s="129">
        <f>IFERROR(VLOOKUP($D1616,'WB Data 2'!$C$2:$K$545,9,FALSE),"..")</f>
        <v>96.569890000000001</v>
      </c>
      <c r="BT1616" s="129">
        <f>_xlfn.IFNA(VLOOKUP($C1616,RGI!$A$2:$C$43,2,FALSE),"..")</f>
        <v>76.8</v>
      </c>
      <c r="BU1616" s="129">
        <f>_xlfn.IFNA(VLOOKUP($C1616,RGI!$A$2:$C$43,3,FALSE),"..")</f>
        <v>72.816147461462435</v>
      </c>
      <c r="BV1616" s="129">
        <f>VLOOKUP($D1616,WGI!$C$2:$O$478,7,FALSE)</f>
        <v>4.0587288441011303E-2</v>
      </c>
      <c r="BW1616" s="129">
        <f>VLOOKUP($D1616,WGI!$C$2:$O$478,4,FALSE)</f>
        <v>-1.1809401239462201</v>
      </c>
      <c r="BX1616" s="129">
        <f>VLOOKUP($D1616,WGI!$C$2:$O$478,3,FALSE)</f>
        <v>-0.42240703988964201</v>
      </c>
      <c r="BY1616" s="129">
        <f>VLOOKUP($D1616,WGI!$C$2:$O$478,5,FALSE)</f>
        <v>0.401355532712239</v>
      </c>
      <c r="BZ1616" s="129">
        <f>VLOOKUP($D1616,WGI!$C$2:$O$478,2,FALSE)</f>
        <v>-0.34216136455586199</v>
      </c>
    </row>
    <row r="1617" spans="1:78" ht="15" customHeight="1">
      <c r="A1617" s="294" t="s">
        <v>457</v>
      </c>
      <c r="B1617" s="117">
        <v>2009</v>
      </c>
      <c r="C1617" s="117" t="s">
        <v>449</v>
      </c>
      <c r="D1617" s="117" t="s">
        <v>3643</v>
      </c>
      <c r="E1617" s="452" t="s">
        <v>220</v>
      </c>
      <c r="F1617" s="117"/>
      <c r="G1617" s="120" t="s">
        <v>24</v>
      </c>
      <c r="H1617" s="117" t="str">
        <f t="shared" si="271"/>
        <v>yes</v>
      </c>
      <c r="I1617" s="117" t="str">
        <f t="shared" si="273"/>
        <v>no</v>
      </c>
      <c r="J1617" s="117" t="str">
        <f t="shared" si="274"/>
        <v>no</v>
      </c>
      <c r="K1617" s="117" t="s">
        <v>2093</v>
      </c>
      <c r="L1617" s="117" t="str">
        <f t="shared" si="272"/>
        <v>detailed</v>
      </c>
      <c r="M1617" s="117" t="str">
        <f t="shared" si="275"/>
        <v>detailed Mining</v>
      </c>
      <c r="N1617" s="118"/>
      <c r="O1617" s="118"/>
      <c r="P1617" s="118"/>
      <c r="Q1617" s="118"/>
      <c r="R1617" s="118"/>
      <c r="S1617" s="117"/>
      <c r="T1617" s="119"/>
      <c r="U1617" s="117"/>
      <c r="V1617" s="117"/>
      <c r="W1617" s="89"/>
      <c r="X1617" s="117"/>
      <c r="Y1617" s="120"/>
      <c r="Z1617" s="120"/>
      <c r="AA1617" s="89"/>
      <c r="AB1617" s="89"/>
      <c r="AC1617" s="240"/>
      <c r="AD1617" s="240"/>
      <c r="AE1617" s="240"/>
      <c r="AF1617" s="241"/>
      <c r="AG1617" s="120"/>
      <c r="AH1617" s="124"/>
      <c r="AI1617" s="117"/>
      <c r="AJ1617" s="117"/>
      <c r="AK1617" s="89"/>
      <c r="AL1617" s="117"/>
      <c r="AM1617" s="117"/>
      <c r="AN1617" s="117"/>
      <c r="AO1617" s="117"/>
      <c r="AP1617" s="117"/>
      <c r="AQ1617" s="117"/>
      <c r="AR1617" s="117"/>
      <c r="AS1617" s="117"/>
      <c r="AT1617" s="117"/>
      <c r="AU1617" s="117"/>
      <c r="AV1617" s="128"/>
      <c r="AW1617" s="117">
        <f>VLOOKUP($D1617,'WB Data'!$C$3:$M$578,2,FALSE)</f>
        <v>121200381042.49667</v>
      </c>
      <c r="AX1617" s="117">
        <f>VLOOKUP($D1617,'WB Data'!$C$3:$M$578,3,FALSE)</f>
        <v>28934303</v>
      </c>
      <c r="AY1617" s="847">
        <f t="shared" si="277"/>
        <v>2.4466670326971723E-2</v>
      </c>
      <c r="AZ1617" s="117">
        <f>VLOOKUP($D1617,'WB Data'!$C$3:$M$578,4,FALSE)/100</f>
        <v>0.18903877723521581</v>
      </c>
      <c r="BA1617" s="117">
        <f t="shared" si="278"/>
        <v>22911571832.715801</v>
      </c>
      <c r="BB1617" s="129">
        <f>IFERROR(VLOOKUP($D1617,'EITI Revenues'!$C$2:$G$224,5,FALSE),"..")</f>
        <v>2965369766.4701195</v>
      </c>
      <c r="BC1617" s="846">
        <f t="shared" si="279"/>
        <v>0.12942672759953641</v>
      </c>
      <c r="BD1617" s="129">
        <f>VLOOKUP($D1617,'WB Data 2'!$C$2:$K$545,6,FALSE)</f>
        <v>15993770399.481031</v>
      </c>
      <c r="BE1617" s="129">
        <f>IFERROR(VLOOKUP($D1617,UNCTAD!$C$5:$V$529,4,FALSE),"..")</f>
        <v>30597077000</v>
      </c>
      <c r="BF1617" s="846">
        <f t="shared" si="280"/>
        <v>0.5227221672018223</v>
      </c>
      <c r="BG1617" s="117">
        <f>VLOOKUP($D1617,'WB Data'!$C$3:$M$578,5,FALSE)</f>
        <v>441170000</v>
      </c>
      <c r="BH1617" s="129">
        <f>IFERROR($BB1617/$BG1617,"..")</f>
        <v>6.7216033875152874</v>
      </c>
      <c r="BI1617" s="117">
        <f>IFERROR(VLOOKUP($D1617,'WB Data'!$C$3:$M$578,7,FALSE)/100,"..")</f>
        <v>2.9168400000000001E-2</v>
      </c>
      <c r="BJ1617" s="117">
        <f>IFERROR($BI1617*$AW1617,"..")</f>
        <v>3535221194.39996</v>
      </c>
      <c r="BK1617" s="846">
        <f>IFERROR($BB1617/$BJ1617,"..")</f>
        <v>0.83880741922668789</v>
      </c>
      <c r="BL1617" s="117">
        <f>IFERROR(VLOOKUP($D1617,'WB Data'!$C$3:$M$578,7,FALSE)/100,"..")</f>
        <v>2.9168400000000001E-2</v>
      </c>
      <c r="BM1617" s="117">
        <f>IFERROR($AW1617*$BL1617,"..")</f>
        <v>3535221194.39996</v>
      </c>
      <c r="BN1617" s="846">
        <f>IFERROR($BB1617/$BM1617,"..")</f>
        <v>0.83880741922668789</v>
      </c>
      <c r="BO1617" s="801">
        <f t="shared" si="276"/>
        <v>38</v>
      </c>
      <c r="BP1617" s="117">
        <f>VLOOKUP($D1617,'WB Data'!$C$3:$M$578,9,FALSE)</f>
        <v>33.5</v>
      </c>
      <c r="BQ1617" s="117">
        <f>VLOOKUP($D1617,'WB Data'!$C$3:$M$578,10,FALSE)</f>
        <v>73.603682926829279</v>
      </c>
      <c r="BR1617" s="117">
        <f>VLOOKUP($D1617,'WB Data'!$C$3:$M$578,11,FALSE)</f>
        <v>16.2</v>
      </c>
      <c r="BS1617" s="129">
        <f>IFERROR(VLOOKUP($D1617,'WB Data 2'!$C$2:$K$545,9,FALSE),"..")</f>
        <v>96.569890000000001</v>
      </c>
      <c r="BT1617" s="129">
        <f>_xlfn.IFNA(VLOOKUP($C1617,RGI!$A$2:$C$43,2,FALSE),"..")</f>
        <v>76.8</v>
      </c>
      <c r="BU1617" s="129">
        <f>_xlfn.IFNA(VLOOKUP($C1617,RGI!$A$2:$C$43,3,FALSE),"..")</f>
        <v>72.816147461462435</v>
      </c>
      <c r="BV1617" s="129">
        <f>VLOOKUP($D1617,WGI!$C$2:$O$478,7,FALSE)</f>
        <v>4.0587288441011303E-2</v>
      </c>
      <c r="BW1617" s="129">
        <f>VLOOKUP($D1617,WGI!$C$2:$O$478,4,FALSE)</f>
        <v>-1.1809401239462201</v>
      </c>
      <c r="BX1617" s="129">
        <f>VLOOKUP($D1617,WGI!$C$2:$O$478,3,FALSE)</f>
        <v>-0.42240703988964201</v>
      </c>
      <c r="BY1617" s="129">
        <f>VLOOKUP($D1617,WGI!$C$2:$O$478,5,FALSE)</f>
        <v>0.401355532712239</v>
      </c>
      <c r="BZ1617" s="129">
        <f>VLOOKUP($D1617,WGI!$C$2:$O$478,2,FALSE)</f>
        <v>-0.34216136455586199</v>
      </c>
    </row>
    <row r="1618" spans="1:78" ht="15" customHeight="1">
      <c r="A1618" s="294" t="s">
        <v>457</v>
      </c>
      <c r="B1618" s="117">
        <v>2009</v>
      </c>
      <c r="C1618" s="117" t="s">
        <v>449</v>
      </c>
      <c r="D1618" s="117" t="s">
        <v>3643</v>
      </c>
      <c r="E1618" s="452" t="s">
        <v>220</v>
      </c>
      <c r="F1618" s="117"/>
      <c r="G1618" s="120" t="s">
        <v>24</v>
      </c>
      <c r="H1618" s="117" t="str">
        <f t="shared" si="271"/>
        <v>yes</v>
      </c>
      <c r="I1618" s="117" t="str">
        <f t="shared" si="273"/>
        <v>no</v>
      </c>
      <c r="J1618" s="117" t="str">
        <f t="shared" si="274"/>
        <v>no</v>
      </c>
      <c r="K1618" s="117" t="s">
        <v>619</v>
      </c>
      <c r="L1618" s="117" t="str">
        <f t="shared" si="272"/>
        <v>detailed</v>
      </c>
      <c r="M1618" s="117" t="str">
        <f t="shared" si="275"/>
        <v>detailed Mining</v>
      </c>
      <c r="N1618" s="118"/>
      <c r="O1618" s="118"/>
      <c r="P1618" s="118"/>
      <c r="Q1618" s="118"/>
      <c r="R1618" s="118"/>
      <c r="S1618" s="117"/>
      <c r="T1618" s="119"/>
      <c r="U1618" s="117"/>
      <c r="V1618" s="117"/>
      <c r="W1618" s="89"/>
      <c r="X1618" s="117"/>
      <c r="Y1618" s="492"/>
      <c r="Z1618" s="492"/>
      <c r="AA1618" s="89"/>
      <c r="AB1618" s="89"/>
      <c r="AC1618" s="462"/>
      <c r="AD1618" s="462"/>
      <c r="AE1618" s="462"/>
      <c r="AF1618" s="463"/>
      <c r="AG1618" s="492"/>
      <c r="AH1618" s="124"/>
      <c r="AI1618" s="117"/>
      <c r="AJ1618" s="117"/>
      <c r="AK1618" s="89"/>
      <c r="AL1618" s="117"/>
      <c r="AM1618" s="117"/>
      <c r="AN1618" s="117"/>
      <c r="AO1618" s="117"/>
      <c r="AP1618" s="117"/>
      <c r="AQ1618" s="117"/>
      <c r="AR1618" s="117"/>
      <c r="AS1618" s="117"/>
      <c r="AT1618" s="117"/>
      <c r="AU1618" s="117"/>
      <c r="AV1618" s="128"/>
      <c r="AW1618" s="117">
        <f>VLOOKUP($D1618,'WB Data'!$C$3:$M$578,2,FALSE)</f>
        <v>121200381042.49667</v>
      </c>
      <c r="AX1618" s="117">
        <f>VLOOKUP($D1618,'WB Data'!$C$3:$M$578,3,FALSE)</f>
        <v>28934303</v>
      </c>
      <c r="AY1618" s="847">
        <f t="shared" si="277"/>
        <v>2.4466670326971723E-2</v>
      </c>
      <c r="AZ1618" s="117">
        <f>VLOOKUP($D1618,'WB Data'!$C$3:$M$578,4,FALSE)/100</f>
        <v>0.18903877723521581</v>
      </c>
      <c r="BA1618" s="117">
        <f t="shared" si="278"/>
        <v>22911571832.715801</v>
      </c>
      <c r="BB1618" s="129">
        <f>IFERROR(VLOOKUP($D1618,'EITI Revenues'!$C$2:$G$224,5,FALSE),"..")</f>
        <v>2965369766.4701195</v>
      </c>
      <c r="BC1618" s="846">
        <f t="shared" si="279"/>
        <v>0.12942672759953641</v>
      </c>
      <c r="BD1618" s="129">
        <f>VLOOKUP($D1618,'WB Data 2'!$C$2:$K$545,6,FALSE)</f>
        <v>15993770399.481031</v>
      </c>
      <c r="BE1618" s="129">
        <f>IFERROR(VLOOKUP($D1618,UNCTAD!$C$5:$V$529,4,FALSE),"..")</f>
        <v>30597077000</v>
      </c>
      <c r="BF1618" s="846">
        <f t="shared" si="280"/>
        <v>0.5227221672018223</v>
      </c>
      <c r="BG1618" s="117">
        <f>VLOOKUP($D1618,'WB Data'!$C$3:$M$578,5,FALSE)</f>
        <v>441170000</v>
      </c>
      <c r="BH1618" s="129">
        <f>IFERROR($BB1618/$BG1618,"..")</f>
        <v>6.7216033875152874</v>
      </c>
      <c r="BI1618" s="117">
        <f>IFERROR(VLOOKUP($D1618,'WB Data'!$C$3:$M$578,7,FALSE)/100,"..")</f>
        <v>2.9168400000000001E-2</v>
      </c>
      <c r="BJ1618" s="117">
        <f>IFERROR($BI1618*$AW1618,"..")</f>
        <v>3535221194.39996</v>
      </c>
      <c r="BK1618" s="846">
        <f>IFERROR($BB1618/$BJ1618,"..")</f>
        <v>0.83880741922668789</v>
      </c>
      <c r="BL1618" s="117">
        <f>IFERROR(VLOOKUP($D1618,'WB Data'!$C$3:$M$578,7,FALSE)/100,"..")</f>
        <v>2.9168400000000001E-2</v>
      </c>
      <c r="BM1618" s="117">
        <f>IFERROR($AW1618*$BL1618,"..")</f>
        <v>3535221194.39996</v>
      </c>
      <c r="BN1618" s="846">
        <f>IFERROR($BB1618/$BM1618,"..")</f>
        <v>0.83880741922668789</v>
      </c>
      <c r="BO1618" s="801">
        <f t="shared" si="276"/>
        <v>38</v>
      </c>
      <c r="BP1618" s="117">
        <f>VLOOKUP($D1618,'WB Data'!$C$3:$M$578,9,FALSE)</f>
        <v>33.5</v>
      </c>
      <c r="BQ1618" s="117">
        <f>VLOOKUP($D1618,'WB Data'!$C$3:$M$578,10,FALSE)</f>
        <v>73.603682926829279</v>
      </c>
      <c r="BR1618" s="117">
        <f>VLOOKUP($D1618,'WB Data'!$C$3:$M$578,11,FALSE)</f>
        <v>16.2</v>
      </c>
      <c r="BS1618" s="129">
        <f>IFERROR(VLOOKUP($D1618,'WB Data 2'!$C$2:$K$545,9,FALSE),"..")</f>
        <v>96.569890000000001</v>
      </c>
      <c r="BT1618" s="129">
        <f>_xlfn.IFNA(VLOOKUP($C1618,RGI!$A$2:$C$43,2,FALSE),"..")</f>
        <v>76.8</v>
      </c>
      <c r="BU1618" s="129">
        <f>_xlfn.IFNA(VLOOKUP($C1618,RGI!$A$2:$C$43,3,FALSE),"..")</f>
        <v>72.816147461462435</v>
      </c>
      <c r="BV1618" s="129">
        <f>VLOOKUP($D1618,WGI!$C$2:$O$478,7,FALSE)</f>
        <v>4.0587288441011303E-2</v>
      </c>
      <c r="BW1618" s="129">
        <f>VLOOKUP($D1618,WGI!$C$2:$O$478,4,FALSE)</f>
        <v>-1.1809401239462201</v>
      </c>
      <c r="BX1618" s="129">
        <f>VLOOKUP($D1618,WGI!$C$2:$O$478,3,FALSE)</f>
        <v>-0.42240703988964201</v>
      </c>
      <c r="BY1618" s="129">
        <f>VLOOKUP($D1618,WGI!$C$2:$O$478,5,FALSE)</f>
        <v>0.401355532712239</v>
      </c>
      <c r="BZ1618" s="129">
        <f>VLOOKUP($D1618,WGI!$C$2:$O$478,2,FALSE)</f>
        <v>-0.34216136455586199</v>
      </c>
    </row>
    <row r="1619" spans="1:78" ht="15" customHeight="1">
      <c r="A1619" s="294" t="s">
        <v>457</v>
      </c>
      <c r="B1619" s="117">
        <v>2009</v>
      </c>
      <c r="C1619" s="117" t="s">
        <v>449</v>
      </c>
      <c r="D1619" s="117" t="s">
        <v>3643</v>
      </c>
      <c r="E1619" s="452" t="s">
        <v>220</v>
      </c>
      <c r="F1619" s="117"/>
      <c r="G1619" s="120" t="s">
        <v>24</v>
      </c>
      <c r="H1619" s="117" t="str">
        <f t="shared" si="271"/>
        <v>yes</v>
      </c>
      <c r="I1619" s="117" t="str">
        <f t="shared" si="273"/>
        <v>no</v>
      </c>
      <c r="J1619" s="117" t="str">
        <f t="shared" si="274"/>
        <v>no</v>
      </c>
      <c r="K1619" s="117" t="s">
        <v>2094</v>
      </c>
      <c r="L1619" s="117" t="str">
        <f t="shared" si="272"/>
        <v>detailed</v>
      </c>
      <c r="M1619" s="117" t="str">
        <f t="shared" si="275"/>
        <v>detailed Mining</v>
      </c>
      <c r="N1619" s="118"/>
      <c r="O1619" s="118"/>
      <c r="P1619" s="118"/>
      <c r="Q1619" s="118"/>
      <c r="R1619" s="118"/>
      <c r="S1619" s="117"/>
      <c r="T1619" s="119"/>
      <c r="U1619" s="117"/>
      <c r="V1619" s="117"/>
      <c r="W1619" s="89"/>
      <c r="X1619" s="117"/>
      <c r="Y1619" s="120"/>
      <c r="Z1619" s="120"/>
      <c r="AA1619" s="89"/>
      <c r="AB1619" s="89"/>
      <c r="AC1619" s="240"/>
      <c r="AD1619" s="240"/>
      <c r="AE1619" s="240"/>
      <c r="AF1619" s="241"/>
      <c r="AG1619" s="120"/>
      <c r="AH1619" s="124"/>
      <c r="AI1619" s="117"/>
      <c r="AJ1619" s="117"/>
      <c r="AK1619" s="89"/>
      <c r="AL1619" s="117"/>
      <c r="AM1619" s="117"/>
      <c r="AN1619" s="117"/>
      <c r="AO1619" s="117"/>
      <c r="AP1619" s="117"/>
      <c r="AQ1619" s="117"/>
      <c r="AR1619" s="117"/>
      <c r="AS1619" s="117"/>
      <c r="AT1619" s="117"/>
      <c r="AU1619" s="117"/>
      <c r="AV1619" s="128"/>
      <c r="AW1619" s="117">
        <f>VLOOKUP($D1619,'WB Data'!$C$3:$M$578,2,FALSE)</f>
        <v>121200381042.49667</v>
      </c>
      <c r="AX1619" s="117">
        <f>VLOOKUP($D1619,'WB Data'!$C$3:$M$578,3,FALSE)</f>
        <v>28934303</v>
      </c>
      <c r="AY1619" s="847">
        <f t="shared" si="277"/>
        <v>2.4466670326971723E-2</v>
      </c>
      <c r="AZ1619" s="117">
        <f>VLOOKUP($D1619,'WB Data'!$C$3:$M$578,4,FALSE)/100</f>
        <v>0.18903877723521581</v>
      </c>
      <c r="BA1619" s="117">
        <f t="shared" si="278"/>
        <v>22911571832.715801</v>
      </c>
      <c r="BB1619" s="129">
        <f>IFERROR(VLOOKUP($D1619,'EITI Revenues'!$C$2:$G$224,5,FALSE),"..")</f>
        <v>2965369766.4701195</v>
      </c>
      <c r="BC1619" s="846">
        <f t="shared" si="279"/>
        <v>0.12942672759953641</v>
      </c>
      <c r="BD1619" s="129">
        <f>VLOOKUP($D1619,'WB Data 2'!$C$2:$K$545,6,FALSE)</f>
        <v>15993770399.481031</v>
      </c>
      <c r="BE1619" s="129">
        <f>IFERROR(VLOOKUP($D1619,UNCTAD!$C$5:$V$529,4,FALSE),"..")</f>
        <v>30597077000</v>
      </c>
      <c r="BF1619" s="846">
        <f t="shared" si="280"/>
        <v>0.5227221672018223</v>
      </c>
      <c r="BG1619" s="117">
        <f>VLOOKUP($D1619,'WB Data'!$C$3:$M$578,5,FALSE)</f>
        <v>441170000</v>
      </c>
      <c r="BH1619" s="129">
        <f>IFERROR($BB1619/$BG1619,"..")</f>
        <v>6.7216033875152874</v>
      </c>
      <c r="BI1619" s="117">
        <f>IFERROR(VLOOKUP($D1619,'WB Data'!$C$3:$M$578,7,FALSE)/100,"..")</f>
        <v>2.9168400000000001E-2</v>
      </c>
      <c r="BJ1619" s="117">
        <f>IFERROR($BI1619*$AW1619,"..")</f>
        <v>3535221194.39996</v>
      </c>
      <c r="BK1619" s="846">
        <f>IFERROR($BB1619/$BJ1619,"..")</f>
        <v>0.83880741922668789</v>
      </c>
      <c r="BL1619" s="117">
        <f>IFERROR(VLOOKUP($D1619,'WB Data'!$C$3:$M$578,7,FALSE)/100,"..")</f>
        <v>2.9168400000000001E-2</v>
      </c>
      <c r="BM1619" s="117">
        <f>IFERROR($AW1619*$BL1619,"..")</f>
        <v>3535221194.39996</v>
      </c>
      <c r="BN1619" s="846">
        <f>IFERROR($BB1619/$BM1619,"..")</f>
        <v>0.83880741922668789</v>
      </c>
      <c r="BO1619" s="801">
        <f t="shared" si="276"/>
        <v>38</v>
      </c>
      <c r="BP1619" s="117">
        <f>VLOOKUP($D1619,'WB Data'!$C$3:$M$578,9,FALSE)</f>
        <v>33.5</v>
      </c>
      <c r="BQ1619" s="117">
        <f>VLOOKUP($D1619,'WB Data'!$C$3:$M$578,10,FALSE)</f>
        <v>73.603682926829279</v>
      </c>
      <c r="BR1619" s="117">
        <f>VLOOKUP($D1619,'WB Data'!$C$3:$M$578,11,FALSE)</f>
        <v>16.2</v>
      </c>
      <c r="BS1619" s="129">
        <f>IFERROR(VLOOKUP($D1619,'WB Data 2'!$C$2:$K$545,9,FALSE),"..")</f>
        <v>96.569890000000001</v>
      </c>
      <c r="BT1619" s="129">
        <f>_xlfn.IFNA(VLOOKUP($C1619,RGI!$A$2:$C$43,2,FALSE),"..")</f>
        <v>76.8</v>
      </c>
      <c r="BU1619" s="129">
        <f>_xlfn.IFNA(VLOOKUP($C1619,RGI!$A$2:$C$43,3,FALSE),"..")</f>
        <v>72.816147461462435</v>
      </c>
      <c r="BV1619" s="129">
        <f>VLOOKUP($D1619,WGI!$C$2:$O$478,7,FALSE)</f>
        <v>4.0587288441011303E-2</v>
      </c>
      <c r="BW1619" s="129">
        <f>VLOOKUP($D1619,WGI!$C$2:$O$478,4,FALSE)</f>
        <v>-1.1809401239462201</v>
      </c>
      <c r="BX1619" s="129">
        <f>VLOOKUP($D1619,WGI!$C$2:$O$478,3,FALSE)</f>
        <v>-0.42240703988964201</v>
      </c>
      <c r="BY1619" s="129">
        <f>VLOOKUP($D1619,WGI!$C$2:$O$478,5,FALSE)</f>
        <v>0.401355532712239</v>
      </c>
      <c r="BZ1619" s="129">
        <f>VLOOKUP($D1619,WGI!$C$2:$O$478,2,FALSE)</f>
        <v>-0.34216136455586199</v>
      </c>
    </row>
    <row r="1620" spans="1:78" ht="15" customHeight="1">
      <c r="A1620" s="294" t="s">
        <v>457</v>
      </c>
      <c r="B1620" s="117">
        <v>2009</v>
      </c>
      <c r="C1620" s="117" t="s">
        <v>449</v>
      </c>
      <c r="D1620" s="117" t="s">
        <v>3643</v>
      </c>
      <c r="E1620" s="452" t="s">
        <v>220</v>
      </c>
      <c r="F1620" s="117"/>
      <c r="G1620" s="120" t="s">
        <v>24</v>
      </c>
      <c r="H1620" s="117" t="str">
        <f t="shared" si="271"/>
        <v>yes</v>
      </c>
      <c r="I1620" s="117" t="str">
        <f t="shared" si="273"/>
        <v>no</v>
      </c>
      <c r="J1620" s="117" t="str">
        <f t="shared" si="274"/>
        <v>no</v>
      </c>
      <c r="K1620" s="117" t="s">
        <v>2095</v>
      </c>
      <c r="L1620" s="117" t="str">
        <f t="shared" si="272"/>
        <v>detailed</v>
      </c>
      <c r="M1620" s="117" t="str">
        <f t="shared" si="275"/>
        <v>detailed Mining</v>
      </c>
      <c r="N1620" s="118"/>
      <c r="O1620" s="118"/>
      <c r="P1620" s="118"/>
      <c r="Q1620" s="118"/>
      <c r="R1620" s="118"/>
      <c r="S1620" s="117"/>
      <c r="T1620" s="119"/>
      <c r="U1620" s="117"/>
      <c r="V1620" s="117"/>
      <c r="W1620" s="89"/>
      <c r="X1620" s="117"/>
      <c r="Y1620" s="120"/>
      <c r="Z1620" s="120"/>
      <c r="AA1620" s="89"/>
      <c r="AB1620" s="89"/>
      <c r="AC1620" s="240"/>
      <c r="AD1620" s="240"/>
      <c r="AE1620" s="240"/>
      <c r="AF1620" s="241"/>
      <c r="AG1620" s="120"/>
      <c r="AH1620" s="124"/>
      <c r="AI1620" s="117"/>
      <c r="AJ1620" s="117"/>
      <c r="AK1620" s="89"/>
      <c r="AL1620" s="117"/>
      <c r="AM1620" s="117"/>
      <c r="AN1620" s="117"/>
      <c r="AO1620" s="117"/>
      <c r="AP1620" s="117"/>
      <c r="AQ1620" s="117"/>
      <c r="AR1620" s="117"/>
      <c r="AS1620" s="117"/>
      <c r="AT1620" s="117"/>
      <c r="AU1620" s="117"/>
      <c r="AV1620" s="128"/>
      <c r="AW1620" s="117">
        <f>VLOOKUP($D1620,'WB Data'!$C$3:$M$578,2,FALSE)</f>
        <v>121200381042.49667</v>
      </c>
      <c r="AX1620" s="117">
        <f>VLOOKUP($D1620,'WB Data'!$C$3:$M$578,3,FALSE)</f>
        <v>28934303</v>
      </c>
      <c r="AY1620" s="847">
        <f t="shared" si="277"/>
        <v>2.4466670326971723E-2</v>
      </c>
      <c r="AZ1620" s="117">
        <f>VLOOKUP($D1620,'WB Data'!$C$3:$M$578,4,FALSE)/100</f>
        <v>0.18903877723521581</v>
      </c>
      <c r="BA1620" s="117">
        <f t="shared" si="278"/>
        <v>22911571832.715801</v>
      </c>
      <c r="BB1620" s="129">
        <f>IFERROR(VLOOKUP($D1620,'EITI Revenues'!$C$2:$G$224,5,FALSE),"..")</f>
        <v>2965369766.4701195</v>
      </c>
      <c r="BC1620" s="846">
        <f t="shared" si="279"/>
        <v>0.12942672759953641</v>
      </c>
      <c r="BD1620" s="129">
        <f>VLOOKUP($D1620,'WB Data 2'!$C$2:$K$545,6,FALSE)</f>
        <v>15993770399.481031</v>
      </c>
      <c r="BE1620" s="129">
        <f>IFERROR(VLOOKUP($D1620,UNCTAD!$C$5:$V$529,4,FALSE),"..")</f>
        <v>30597077000</v>
      </c>
      <c r="BF1620" s="846">
        <f t="shared" si="280"/>
        <v>0.5227221672018223</v>
      </c>
      <c r="BG1620" s="117">
        <f>VLOOKUP($D1620,'WB Data'!$C$3:$M$578,5,FALSE)</f>
        <v>441170000</v>
      </c>
      <c r="BH1620" s="129">
        <f>IFERROR($BB1620/$BG1620,"..")</f>
        <v>6.7216033875152874</v>
      </c>
      <c r="BI1620" s="117">
        <f>IFERROR(VLOOKUP($D1620,'WB Data'!$C$3:$M$578,7,FALSE)/100,"..")</f>
        <v>2.9168400000000001E-2</v>
      </c>
      <c r="BJ1620" s="117">
        <f>IFERROR($BI1620*$AW1620,"..")</f>
        <v>3535221194.39996</v>
      </c>
      <c r="BK1620" s="846">
        <f>IFERROR($BB1620/$BJ1620,"..")</f>
        <v>0.83880741922668789</v>
      </c>
      <c r="BL1620" s="117">
        <f>IFERROR(VLOOKUP($D1620,'WB Data'!$C$3:$M$578,7,FALSE)/100,"..")</f>
        <v>2.9168400000000001E-2</v>
      </c>
      <c r="BM1620" s="117">
        <f>IFERROR($AW1620*$BL1620,"..")</f>
        <v>3535221194.39996</v>
      </c>
      <c r="BN1620" s="846">
        <f>IFERROR($BB1620/$BM1620,"..")</f>
        <v>0.83880741922668789</v>
      </c>
      <c r="BO1620" s="801">
        <f t="shared" si="276"/>
        <v>38</v>
      </c>
      <c r="BP1620" s="117">
        <f>VLOOKUP($D1620,'WB Data'!$C$3:$M$578,9,FALSE)</f>
        <v>33.5</v>
      </c>
      <c r="BQ1620" s="117">
        <f>VLOOKUP($D1620,'WB Data'!$C$3:$M$578,10,FALSE)</f>
        <v>73.603682926829279</v>
      </c>
      <c r="BR1620" s="117">
        <f>VLOOKUP($D1620,'WB Data'!$C$3:$M$578,11,FALSE)</f>
        <v>16.2</v>
      </c>
      <c r="BS1620" s="129">
        <f>IFERROR(VLOOKUP($D1620,'WB Data 2'!$C$2:$K$545,9,FALSE),"..")</f>
        <v>96.569890000000001</v>
      </c>
      <c r="BT1620" s="129">
        <f>_xlfn.IFNA(VLOOKUP($C1620,RGI!$A$2:$C$43,2,FALSE),"..")</f>
        <v>76.8</v>
      </c>
      <c r="BU1620" s="129">
        <f>_xlfn.IFNA(VLOOKUP($C1620,RGI!$A$2:$C$43,3,FALSE),"..")</f>
        <v>72.816147461462435</v>
      </c>
      <c r="BV1620" s="129">
        <f>VLOOKUP($D1620,WGI!$C$2:$O$478,7,FALSE)</f>
        <v>4.0587288441011303E-2</v>
      </c>
      <c r="BW1620" s="129">
        <f>VLOOKUP($D1620,WGI!$C$2:$O$478,4,FALSE)</f>
        <v>-1.1809401239462201</v>
      </c>
      <c r="BX1620" s="129">
        <f>VLOOKUP($D1620,WGI!$C$2:$O$478,3,FALSE)</f>
        <v>-0.42240703988964201</v>
      </c>
      <c r="BY1620" s="129">
        <f>VLOOKUP($D1620,WGI!$C$2:$O$478,5,FALSE)</f>
        <v>0.401355532712239</v>
      </c>
      <c r="BZ1620" s="129">
        <f>VLOOKUP($D1620,WGI!$C$2:$O$478,2,FALSE)</f>
        <v>-0.34216136455586199</v>
      </c>
    </row>
    <row r="1621" spans="1:78" ht="15" customHeight="1">
      <c r="A1621" s="294" t="s">
        <v>457</v>
      </c>
      <c r="B1621" s="117">
        <v>2009</v>
      </c>
      <c r="C1621" s="117" t="s">
        <v>449</v>
      </c>
      <c r="D1621" s="117" t="s">
        <v>3643</v>
      </c>
      <c r="E1621" s="452" t="s">
        <v>220</v>
      </c>
      <c r="F1621" s="117"/>
      <c r="G1621" s="120" t="s">
        <v>24</v>
      </c>
      <c r="H1621" s="117" t="str">
        <f t="shared" si="271"/>
        <v>yes</v>
      </c>
      <c r="I1621" s="117" t="str">
        <f t="shared" si="273"/>
        <v>no</v>
      </c>
      <c r="J1621" s="117" t="str">
        <f t="shared" si="274"/>
        <v>no</v>
      </c>
      <c r="K1621" s="117" t="s">
        <v>1220</v>
      </c>
      <c r="L1621" s="117" t="str">
        <f t="shared" si="272"/>
        <v>detailed</v>
      </c>
      <c r="M1621" s="117" t="str">
        <f t="shared" si="275"/>
        <v>detailed Mining</v>
      </c>
      <c r="N1621" s="118"/>
      <c r="O1621" s="118"/>
      <c r="P1621" s="118"/>
      <c r="Q1621" s="118"/>
      <c r="R1621" s="118"/>
      <c r="S1621" s="117"/>
      <c r="T1621" s="119"/>
      <c r="U1621" s="117"/>
      <c r="V1621" s="117"/>
      <c r="W1621" s="89"/>
      <c r="X1621" s="117"/>
      <c r="Y1621" s="120"/>
      <c r="Z1621" s="120"/>
      <c r="AA1621" s="89"/>
      <c r="AB1621" s="89"/>
      <c r="AC1621" s="240"/>
      <c r="AD1621" s="240"/>
      <c r="AE1621" s="240"/>
      <c r="AF1621" s="241"/>
      <c r="AG1621" s="120"/>
      <c r="AH1621" s="124"/>
      <c r="AI1621" s="117"/>
      <c r="AJ1621" s="117"/>
      <c r="AK1621" s="89"/>
      <c r="AL1621" s="117"/>
      <c r="AM1621" s="117"/>
      <c r="AN1621" s="117"/>
      <c r="AO1621" s="117"/>
      <c r="AP1621" s="117"/>
      <c r="AQ1621" s="117"/>
      <c r="AR1621" s="117"/>
      <c r="AS1621" s="117"/>
      <c r="AT1621" s="117"/>
      <c r="AU1621" s="117"/>
      <c r="AV1621" s="128"/>
      <c r="AW1621" s="117">
        <f>VLOOKUP($D1621,'WB Data'!$C$3:$M$578,2,FALSE)</f>
        <v>121200381042.49667</v>
      </c>
      <c r="AX1621" s="117">
        <f>VLOOKUP($D1621,'WB Data'!$C$3:$M$578,3,FALSE)</f>
        <v>28934303</v>
      </c>
      <c r="AY1621" s="847">
        <f t="shared" si="277"/>
        <v>2.4466670326971723E-2</v>
      </c>
      <c r="AZ1621" s="117">
        <f>VLOOKUP($D1621,'WB Data'!$C$3:$M$578,4,FALSE)/100</f>
        <v>0.18903877723521581</v>
      </c>
      <c r="BA1621" s="117">
        <f t="shared" si="278"/>
        <v>22911571832.715801</v>
      </c>
      <c r="BB1621" s="129">
        <f>IFERROR(VLOOKUP($D1621,'EITI Revenues'!$C$2:$G$224,5,FALSE),"..")</f>
        <v>2965369766.4701195</v>
      </c>
      <c r="BC1621" s="846">
        <f t="shared" si="279"/>
        <v>0.12942672759953641</v>
      </c>
      <c r="BD1621" s="129">
        <f>VLOOKUP($D1621,'WB Data 2'!$C$2:$K$545,6,FALSE)</f>
        <v>15993770399.481031</v>
      </c>
      <c r="BE1621" s="129">
        <f>IFERROR(VLOOKUP($D1621,UNCTAD!$C$5:$V$529,4,FALSE),"..")</f>
        <v>30597077000</v>
      </c>
      <c r="BF1621" s="846">
        <f t="shared" si="280"/>
        <v>0.5227221672018223</v>
      </c>
      <c r="BG1621" s="117">
        <f>VLOOKUP($D1621,'WB Data'!$C$3:$M$578,5,FALSE)</f>
        <v>441170000</v>
      </c>
      <c r="BH1621" s="129">
        <f>IFERROR($BB1621/$BG1621,"..")</f>
        <v>6.7216033875152874</v>
      </c>
      <c r="BI1621" s="117">
        <f>IFERROR(VLOOKUP($D1621,'WB Data'!$C$3:$M$578,7,FALSE)/100,"..")</f>
        <v>2.9168400000000001E-2</v>
      </c>
      <c r="BJ1621" s="117">
        <f>IFERROR($BI1621*$AW1621,"..")</f>
        <v>3535221194.39996</v>
      </c>
      <c r="BK1621" s="846">
        <f>IFERROR($BB1621/$BJ1621,"..")</f>
        <v>0.83880741922668789</v>
      </c>
      <c r="BL1621" s="117">
        <f>IFERROR(VLOOKUP($D1621,'WB Data'!$C$3:$M$578,7,FALSE)/100,"..")</f>
        <v>2.9168400000000001E-2</v>
      </c>
      <c r="BM1621" s="117">
        <f>IFERROR($AW1621*$BL1621,"..")</f>
        <v>3535221194.39996</v>
      </c>
      <c r="BN1621" s="846">
        <f>IFERROR($BB1621/$BM1621,"..")</f>
        <v>0.83880741922668789</v>
      </c>
      <c r="BO1621" s="801">
        <f t="shared" si="276"/>
        <v>38</v>
      </c>
      <c r="BP1621" s="117">
        <f>VLOOKUP($D1621,'WB Data'!$C$3:$M$578,9,FALSE)</f>
        <v>33.5</v>
      </c>
      <c r="BQ1621" s="117">
        <f>VLOOKUP($D1621,'WB Data'!$C$3:$M$578,10,FALSE)</f>
        <v>73.603682926829279</v>
      </c>
      <c r="BR1621" s="117">
        <f>VLOOKUP($D1621,'WB Data'!$C$3:$M$578,11,FALSE)</f>
        <v>16.2</v>
      </c>
      <c r="BS1621" s="129">
        <f>IFERROR(VLOOKUP($D1621,'WB Data 2'!$C$2:$K$545,9,FALSE),"..")</f>
        <v>96.569890000000001</v>
      </c>
      <c r="BT1621" s="129">
        <f>_xlfn.IFNA(VLOOKUP($C1621,RGI!$A$2:$C$43,2,FALSE),"..")</f>
        <v>76.8</v>
      </c>
      <c r="BU1621" s="129">
        <f>_xlfn.IFNA(VLOOKUP($C1621,RGI!$A$2:$C$43,3,FALSE),"..")</f>
        <v>72.816147461462435</v>
      </c>
      <c r="BV1621" s="129">
        <f>VLOOKUP($D1621,WGI!$C$2:$O$478,7,FALSE)</f>
        <v>4.0587288441011303E-2</v>
      </c>
      <c r="BW1621" s="129">
        <f>VLOOKUP($D1621,WGI!$C$2:$O$478,4,FALSE)</f>
        <v>-1.1809401239462201</v>
      </c>
      <c r="BX1621" s="129">
        <f>VLOOKUP($D1621,WGI!$C$2:$O$478,3,FALSE)</f>
        <v>-0.42240703988964201</v>
      </c>
      <c r="BY1621" s="129">
        <f>VLOOKUP($D1621,WGI!$C$2:$O$478,5,FALSE)</f>
        <v>0.401355532712239</v>
      </c>
      <c r="BZ1621" s="129">
        <f>VLOOKUP($D1621,WGI!$C$2:$O$478,2,FALSE)</f>
        <v>-0.34216136455586199</v>
      </c>
    </row>
    <row r="1622" spans="1:78" ht="15" customHeight="1">
      <c r="A1622" s="294" t="s">
        <v>457</v>
      </c>
      <c r="B1622" s="117">
        <v>2009</v>
      </c>
      <c r="C1622" s="117" t="s">
        <v>449</v>
      </c>
      <c r="D1622" s="117" t="s">
        <v>3643</v>
      </c>
      <c r="E1622" s="452" t="s">
        <v>220</v>
      </c>
      <c r="F1622" s="117"/>
      <c r="G1622" s="120" t="s">
        <v>24</v>
      </c>
      <c r="H1622" s="117" t="str">
        <f t="shared" si="271"/>
        <v>yes</v>
      </c>
      <c r="I1622" s="117" t="str">
        <f t="shared" si="273"/>
        <v>no</v>
      </c>
      <c r="J1622" s="117" t="str">
        <f t="shared" si="274"/>
        <v>no</v>
      </c>
      <c r="K1622" s="117" t="s">
        <v>2096</v>
      </c>
      <c r="L1622" s="117" t="str">
        <f t="shared" si="272"/>
        <v>detailed</v>
      </c>
      <c r="M1622" s="117" t="str">
        <f t="shared" si="275"/>
        <v>detailed Mining</v>
      </c>
      <c r="N1622" s="118"/>
      <c r="O1622" s="118"/>
      <c r="P1622" s="118"/>
      <c r="Q1622" s="118"/>
      <c r="R1622" s="118"/>
      <c r="S1622" s="117"/>
      <c r="T1622" s="119"/>
      <c r="U1622" s="117"/>
      <c r="V1622" s="117"/>
      <c r="W1622" s="89"/>
      <c r="X1622" s="117"/>
      <c r="Y1622" s="120"/>
      <c r="Z1622" s="120"/>
      <c r="AA1622" s="89"/>
      <c r="AB1622" s="89"/>
      <c r="AC1622" s="240"/>
      <c r="AD1622" s="240"/>
      <c r="AE1622" s="240"/>
      <c r="AF1622" s="241"/>
      <c r="AG1622" s="120"/>
      <c r="AH1622" s="124"/>
      <c r="AI1622" s="117"/>
      <c r="AJ1622" s="117"/>
      <c r="AK1622" s="89"/>
      <c r="AL1622" s="117"/>
      <c r="AM1622" s="117"/>
      <c r="AN1622" s="117"/>
      <c r="AO1622" s="117"/>
      <c r="AP1622" s="117"/>
      <c r="AQ1622" s="117"/>
      <c r="AR1622" s="117"/>
      <c r="AS1622" s="117"/>
      <c r="AT1622" s="117"/>
      <c r="AU1622" s="117"/>
      <c r="AV1622" s="128"/>
      <c r="AW1622" s="117">
        <f>VLOOKUP($D1622,'WB Data'!$C$3:$M$578,2,FALSE)</f>
        <v>121200381042.49667</v>
      </c>
      <c r="AX1622" s="117">
        <f>VLOOKUP($D1622,'WB Data'!$C$3:$M$578,3,FALSE)</f>
        <v>28934303</v>
      </c>
      <c r="AY1622" s="847">
        <f t="shared" si="277"/>
        <v>2.4466670326971723E-2</v>
      </c>
      <c r="AZ1622" s="117">
        <f>VLOOKUP($D1622,'WB Data'!$C$3:$M$578,4,FALSE)/100</f>
        <v>0.18903877723521581</v>
      </c>
      <c r="BA1622" s="117">
        <f t="shared" si="278"/>
        <v>22911571832.715801</v>
      </c>
      <c r="BB1622" s="129">
        <f>IFERROR(VLOOKUP($D1622,'EITI Revenues'!$C$2:$G$224,5,FALSE),"..")</f>
        <v>2965369766.4701195</v>
      </c>
      <c r="BC1622" s="846">
        <f t="shared" si="279"/>
        <v>0.12942672759953641</v>
      </c>
      <c r="BD1622" s="129">
        <f>VLOOKUP($D1622,'WB Data 2'!$C$2:$K$545,6,FALSE)</f>
        <v>15993770399.481031</v>
      </c>
      <c r="BE1622" s="129">
        <f>IFERROR(VLOOKUP($D1622,UNCTAD!$C$5:$V$529,4,FALSE),"..")</f>
        <v>30597077000</v>
      </c>
      <c r="BF1622" s="846">
        <f t="shared" si="280"/>
        <v>0.5227221672018223</v>
      </c>
      <c r="BG1622" s="117">
        <f>VLOOKUP($D1622,'WB Data'!$C$3:$M$578,5,FALSE)</f>
        <v>441170000</v>
      </c>
      <c r="BH1622" s="129">
        <f>IFERROR($BB1622/$BG1622,"..")</f>
        <v>6.7216033875152874</v>
      </c>
      <c r="BI1622" s="117">
        <f>IFERROR(VLOOKUP($D1622,'WB Data'!$C$3:$M$578,7,FALSE)/100,"..")</f>
        <v>2.9168400000000001E-2</v>
      </c>
      <c r="BJ1622" s="117">
        <f>IFERROR($BI1622*$AW1622,"..")</f>
        <v>3535221194.39996</v>
      </c>
      <c r="BK1622" s="846">
        <f>IFERROR($BB1622/$BJ1622,"..")</f>
        <v>0.83880741922668789</v>
      </c>
      <c r="BL1622" s="117">
        <f>IFERROR(VLOOKUP($D1622,'WB Data'!$C$3:$M$578,7,FALSE)/100,"..")</f>
        <v>2.9168400000000001E-2</v>
      </c>
      <c r="BM1622" s="117">
        <f>IFERROR($AW1622*$BL1622,"..")</f>
        <v>3535221194.39996</v>
      </c>
      <c r="BN1622" s="846">
        <f>IFERROR($BB1622/$BM1622,"..")</f>
        <v>0.83880741922668789</v>
      </c>
      <c r="BO1622" s="801">
        <f t="shared" si="276"/>
        <v>38</v>
      </c>
      <c r="BP1622" s="117">
        <f>VLOOKUP($D1622,'WB Data'!$C$3:$M$578,9,FALSE)</f>
        <v>33.5</v>
      </c>
      <c r="BQ1622" s="117">
        <f>VLOOKUP($D1622,'WB Data'!$C$3:$M$578,10,FALSE)</f>
        <v>73.603682926829279</v>
      </c>
      <c r="BR1622" s="117">
        <f>VLOOKUP($D1622,'WB Data'!$C$3:$M$578,11,FALSE)</f>
        <v>16.2</v>
      </c>
      <c r="BS1622" s="129">
        <f>IFERROR(VLOOKUP($D1622,'WB Data 2'!$C$2:$K$545,9,FALSE),"..")</f>
        <v>96.569890000000001</v>
      </c>
      <c r="BT1622" s="129">
        <f>_xlfn.IFNA(VLOOKUP($C1622,RGI!$A$2:$C$43,2,FALSE),"..")</f>
        <v>76.8</v>
      </c>
      <c r="BU1622" s="129">
        <f>_xlfn.IFNA(VLOOKUP($C1622,RGI!$A$2:$C$43,3,FALSE),"..")</f>
        <v>72.816147461462435</v>
      </c>
      <c r="BV1622" s="129">
        <f>VLOOKUP($D1622,WGI!$C$2:$O$478,7,FALSE)</f>
        <v>4.0587288441011303E-2</v>
      </c>
      <c r="BW1622" s="129">
        <f>VLOOKUP($D1622,WGI!$C$2:$O$478,4,FALSE)</f>
        <v>-1.1809401239462201</v>
      </c>
      <c r="BX1622" s="129">
        <f>VLOOKUP($D1622,WGI!$C$2:$O$478,3,FALSE)</f>
        <v>-0.42240703988964201</v>
      </c>
      <c r="BY1622" s="129">
        <f>VLOOKUP($D1622,WGI!$C$2:$O$478,5,FALSE)</f>
        <v>0.401355532712239</v>
      </c>
      <c r="BZ1622" s="129">
        <f>VLOOKUP($D1622,WGI!$C$2:$O$478,2,FALSE)</f>
        <v>-0.34216136455586199</v>
      </c>
    </row>
    <row r="1623" spans="1:78" ht="15" customHeight="1">
      <c r="A1623" s="294" t="s">
        <v>457</v>
      </c>
      <c r="B1623" s="117">
        <v>2009</v>
      </c>
      <c r="C1623" s="117" t="s">
        <v>449</v>
      </c>
      <c r="D1623" s="117" t="s">
        <v>3643</v>
      </c>
      <c r="E1623" s="452" t="s">
        <v>220</v>
      </c>
      <c r="F1623" s="117"/>
      <c r="G1623" s="120" t="s">
        <v>24</v>
      </c>
      <c r="H1623" s="117" t="str">
        <f t="shared" si="271"/>
        <v>yes</v>
      </c>
      <c r="I1623" s="117" t="str">
        <f t="shared" si="273"/>
        <v>no</v>
      </c>
      <c r="J1623" s="117" t="str">
        <f t="shared" si="274"/>
        <v>no</v>
      </c>
      <c r="K1623" s="117" t="s">
        <v>2097</v>
      </c>
      <c r="L1623" s="117" t="str">
        <f t="shared" si="272"/>
        <v>detailed</v>
      </c>
      <c r="M1623" s="117" t="str">
        <f t="shared" si="275"/>
        <v>detailed Mining</v>
      </c>
      <c r="N1623" s="118"/>
      <c r="O1623" s="118"/>
      <c r="P1623" s="118"/>
      <c r="Q1623" s="118"/>
      <c r="R1623" s="118"/>
      <c r="S1623" s="117"/>
      <c r="T1623" s="119"/>
      <c r="U1623" s="117"/>
      <c r="V1623" s="117"/>
      <c r="W1623" s="89"/>
      <c r="X1623" s="117"/>
      <c r="Y1623" s="120"/>
      <c r="Z1623" s="120"/>
      <c r="AA1623" s="89"/>
      <c r="AB1623" s="89"/>
      <c r="AC1623" s="240"/>
      <c r="AD1623" s="240"/>
      <c r="AE1623" s="240"/>
      <c r="AF1623" s="241"/>
      <c r="AG1623" s="120"/>
      <c r="AH1623" s="124"/>
      <c r="AI1623" s="117"/>
      <c r="AJ1623" s="117"/>
      <c r="AK1623" s="89"/>
      <c r="AL1623" s="117"/>
      <c r="AM1623" s="117"/>
      <c r="AN1623" s="117"/>
      <c r="AO1623" s="117"/>
      <c r="AP1623" s="117"/>
      <c r="AQ1623" s="117"/>
      <c r="AR1623" s="117"/>
      <c r="AS1623" s="117"/>
      <c r="AT1623" s="117"/>
      <c r="AU1623" s="117"/>
      <c r="AV1623" s="128"/>
      <c r="AW1623" s="117">
        <f>VLOOKUP($D1623,'WB Data'!$C$3:$M$578,2,FALSE)</f>
        <v>121200381042.49667</v>
      </c>
      <c r="AX1623" s="117">
        <f>VLOOKUP($D1623,'WB Data'!$C$3:$M$578,3,FALSE)</f>
        <v>28934303</v>
      </c>
      <c r="AY1623" s="847">
        <f t="shared" si="277"/>
        <v>2.4466670326971723E-2</v>
      </c>
      <c r="AZ1623" s="117">
        <f>VLOOKUP($D1623,'WB Data'!$C$3:$M$578,4,FALSE)/100</f>
        <v>0.18903877723521581</v>
      </c>
      <c r="BA1623" s="117">
        <f t="shared" si="278"/>
        <v>22911571832.715801</v>
      </c>
      <c r="BB1623" s="129">
        <f>IFERROR(VLOOKUP($D1623,'EITI Revenues'!$C$2:$G$224,5,FALSE),"..")</f>
        <v>2965369766.4701195</v>
      </c>
      <c r="BC1623" s="846">
        <f t="shared" si="279"/>
        <v>0.12942672759953641</v>
      </c>
      <c r="BD1623" s="129">
        <f>VLOOKUP($D1623,'WB Data 2'!$C$2:$K$545,6,FALSE)</f>
        <v>15993770399.481031</v>
      </c>
      <c r="BE1623" s="129">
        <f>IFERROR(VLOOKUP($D1623,UNCTAD!$C$5:$V$529,4,FALSE),"..")</f>
        <v>30597077000</v>
      </c>
      <c r="BF1623" s="846">
        <f t="shared" si="280"/>
        <v>0.5227221672018223</v>
      </c>
      <c r="BG1623" s="117">
        <f>VLOOKUP($D1623,'WB Data'!$C$3:$M$578,5,FALSE)</f>
        <v>441170000</v>
      </c>
      <c r="BH1623" s="129">
        <f>IFERROR($BB1623/$BG1623,"..")</f>
        <v>6.7216033875152874</v>
      </c>
      <c r="BI1623" s="117">
        <f>IFERROR(VLOOKUP($D1623,'WB Data'!$C$3:$M$578,7,FALSE)/100,"..")</f>
        <v>2.9168400000000001E-2</v>
      </c>
      <c r="BJ1623" s="117">
        <f>IFERROR($BI1623*$AW1623,"..")</f>
        <v>3535221194.39996</v>
      </c>
      <c r="BK1623" s="846">
        <f>IFERROR($BB1623/$BJ1623,"..")</f>
        <v>0.83880741922668789</v>
      </c>
      <c r="BL1623" s="117">
        <f>IFERROR(VLOOKUP($D1623,'WB Data'!$C$3:$M$578,7,FALSE)/100,"..")</f>
        <v>2.9168400000000001E-2</v>
      </c>
      <c r="BM1623" s="117">
        <f>IFERROR($AW1623*$BL1623,"..")</f>
        <v>3535221194.39996</v>
      </c>
      <c r="BN1623" s="846">
        <f>IFERROR($BB1623/$BM1623,"..")</f>
        <v>0.83880741922668789</v>
      </c>
      <c r="BO1623" s="801">
        <f t="shared" si="276"/>
        <v>38</v>
      </c>
      <c r="BP1623" s="117">
        <f>VLOOKUP($D1623,'WB Data'!$C$3:$M$578,9,FALSE)</f>
        <v>33.5</v>
      </c>
      <c r="BQ1623" s="117">
        <f>VLOOKUP($D1623,'WB Data'!$C$3:$M$578,10,FALSE)</f>
        <v>73.603682926829279</v>
      </c>
      <c r="BR1623" s="117">
        <f>VLOOKUP($D1623,'WB Data'!$C$3:$M$578,11,FALSE)</f>
        <v>16.2</v>
      </c>
      <c r="BS1623" s="129">
        <f>IFERROR(VLOOKUP($D1623,'WB Data 2'!$C$2:$K$545,9,FALSE),"..")</f>
        <v>96.569890000000001</v>
      </c>
      <c r="BT1623" s="129">
        <f>_xlfn.IFNA(VLOOKUP($C1623,RGI!$A$2:$C$43,2,FALSE),"..")</f>
        <v>76.8</v>
      </c>
      <c r="BU1623" s="129">
        <f>_xlfn.IFNA(VLOOKUP($C1623,RGI!$A$2:$C$43,3,FALSE),"..")</f>
        <v>72.816147461462435</v>
      </c>
      <c r="BV1623" s="129">
        <f>VLOOKUP($D1623,WGI!$C$2:$O$478,7,FALSE)</f>
        <v>4.0587288441011303E-2</v>
      </c>
      <c r="BW1623" s="129">
        <f>VLOOKUP($D1623,WGI!$C$2:$O$478,4,FALSE)</f>
        <v>-1.1809401239462201</v>
      </c>
      <c r="BX1623" s="129">
        <f>VLOOKUP($D1623,WGI!$C$2:$O$478,3,FALSE)</f>
        <v>-0.42240703988964201</v>
      </c>
      <c r="BY1623" s="129">
        <f>VLOOKUP($D1623,WGI!$C$2:$O$478,5,FALSE)</f>
        <v>0.401355532712239</v>
      </c>
      <c r="BZ1623" s="129">
        <f>VLOOKUP($D1623,WGI!$C$2:$O$478,2,FALSE)</f>
        <v>-0.34216136455586199</v>
      </c>
    </row>
    <row r="1624" spans="1:78" ht="15" customHeight="1">
      <c r="A1624" s="294" t="s">
        <v>457</v>
      </c>
      <c r="B1624" s="117">
        <v>2009</v>
      </c>
      <c r="C1624" s="117" t="s">
        <v>449</v>
      </c>
      <c r="D1624" s="117" t="s">
        <v>3643</v>
      </c>
      <c r="E1624" s="452" t="s">
        <v>220</v>
      </c>
      <c r="F1624" s="117"/>
      <c r="G1624" s="120" t="s">
        <v>24</v>
      </c>
      <c r="H1624" s="117" t="str">
        <f t="shared" si="271"/>
        <v>yes</v>
      </c>
      <c r="I1624" s="117" t="str">
        <f t="shared" si="273"/>
        <v>no</v>
      </c>
      <c r="J1624" s="117" t="str">
        <f t="shared" si="274"/>
        <v>no</v>
      </c>
      <c r="K1624" s="117" t="s">
        <v>784</v>
      </c>
      <c r="L1624" s="117" t="str">
        <f t="shared" si="272"/>
        <v>detailed</v>
      </c>
      <c r="M1624" s="117" t="str">
        <f t="shared" si="275"/>
        <v>detailed Mining</v>
      </c>
      <c r="N1624" s="118"/>
      <c r="O1624" s="118"/>
      <c r="P1624" s="118"/>
      <c r="Q1624" s="118"/>
      <c r="R1624" s="118"/>
      <c r="S1624" s="117"/>
      <c r="T1624" s="119"/>
      <c r="U1624" s="117"/>
      <c r="V1624" s="117"/>
      <c r="W1624" s="89"/>
      <c r="X1624" s="117"/>
      <c r="Y1624" s="120"/>
      <c r="Z1624" s="120"/>
      <c r="AA1624" s="89"/>
      <c r="AB1624" s="89"/>
      <c r="AC1624" s="240"/>
      <c r="AD1624" s="240"/>
      <c r="AE1624" s="240"/>
      <c r="AF1624" s="241"/>
      <c r="AG1624" s="120"/>
      <c r="AH1624" s="124"/>
      <c r="AI1624" s="117"/>
      <c r="AJ1624" s="117"/>
      <c r="AK1624" s="89"/>
      <c r="AL1624" s="117"/>
      <c r="AM1624" s="117"/>
      <c r="AN1624" s="117"/>
      <c r="AO1624" s="117"/>
      <c r="AP1624" s="117"/>
      <c r="AQ1624" s="117"/>
      <c r="AR1624" s="117"/>
      <c r="AS1624" s="117"/>
      <c r="AT1624" s="117"/>
      <c r="AU1624" s="117"/>
      <c r="AV1624" s="128"/>
      <c r="AW1624" s="117">
        <f>VLOOKUP($D1624,'WB Data'!$C$3:$M$578,2,FALSE)</f>
        <v>121200381042.49667</v>
      </c>
      <c r="AX1624" s="117">
        <f>VLOOKUP($D1624,'WB Data'!$C$3:$M$578,3,FALSE)</f>
        <v>28934303</v>
      </c>
      <c r="AY1624" s="847">
        <f t="shared" si="277"/>
        <v>2.4466670326971723E-2</v>
      </c>
      <c r="AZ1624" s="117">
        <f>VLOOKUP($D1624,'WB Data'!$C$3:$M$578,4,FALSE)/100</f>
        <v>0.18903877723521581</v>
      </c>
      <c r="BA1624" s="117">
        <f t="shared" si="278"/>
        <v>22911571832.715801</v>
      </c>
      <c r="BB1624" s="129">
        <f>IFERROR(VLOOKUP($D1624,'EITI Revenues'!$C$2:$G$224,5,FALSE),"..")</f>
        <v>2965369766.4701195</v>
      </c>
      <c r="BC1624" s="846">
        <f t="shared" si="279"/>
        <v>0.12942672759953641</v>
      </c>
      <c r="BD1624" s="129">
        <f>VLOOKUP($D1624,'WB Data 2'!$C$2:$K$545,6,FALSE)</f>
        <v>15993770399.481031</v>
      </c>
      <c r="BE1624" s="129">
        <f>IFERROR(VLOOKUP($D1624,UNCTAD!$C$5:$V$529,4,FALSE),"..")</f>
        <v>30597077000</v>
      </c>
      <c r="BF1624" s="846">
        <f t="shared" si="280"/>
        <v>0.5227221672018223</v>
      </c>
      <c r="BG1624" s="117">
        <f>VLOOKUP($D1624,'WB Data'!$C$3:$M$578,5,FALSE)</f>
        <v>441170000</v>
      </c>
      <c r="BH1624" s="129">
        <f>IFERROR($BB1624/$BG1624,"..")</f>
        <v>6.7216033875152874</v>
      </c>
      <c r="BI1624" s="117">
        <f>IFERROR(VLOOKUP($D1624,'WB Data'!$C$3:$M$578,7,FALSE)/100,"..")</f>
        <v>2.9168400000000001E-2</v>
      </c>
      <c r="BJ1624" s="117">
        <f>IFERROR($BI1624*$AW1624,"..")</f>
        <v>3535221194.39996</v>
      </c>
      <c r="BK1624" s="846">
        <f>IFERROR($BB1624/$BJ1624,"..")</f>
        <v>0.83880741922668789</v>
      </c>
      <c r="BL1624" s="117">
        <f>IFERROR(VLOOKUP($D1624,'WB Data'!$C$3:$M$578,7,FALSE)/100,"..")</f>
        <v>2.9168400000000001E-2</v>
      </c>
      <c r="BM1624" s="117">
        <f>IFERROR($AW1624*$BL1624,"..")</f>
        <v>3535221194.39996</v>
      </c>
      <c r="BN1624" s="846">
        <f>IFERROR($BB1624/$BM1624,"..")</f>
        <v>0.83880741922668789</v>
      </c>
      <c r="BO1624" s="801">
        <f t="shared" si="276"/>
        <v>38</v>
      </c>
      <c r="BP1624" s="117">
        <f>VLOOKUP($D1624,'WB Data'!$C$3:$M$578,9,FALSE)</f>
        <v>33.5</v>
      </c>
      <c r="BQ1624" s="117">
        <f>VLOOKUP($D1624,'WB Data'!$C$3:$M$578,10,FALSE)</f>
        <v>73.603682926829279</v>
      </c>
      <c r="BR1624" s="117">
        <f>VLOOKUP($D1624,'WB Data'!$C$3:$M$578,11,FALSE)</f>
        <v>16.2</v>
      </c>
      <c r="BS1624" s="129">
        <f>IFERROR(VLOOKUP($D1624,'WB Data 2'!$C$2:$K$545,9,FALSE),"..")</f>
        <v>96.569890000000001</v>
      </c>
      <c r="BT1624" s="129">
        <f>_xlfn.IFNA(VLOOKUP($C1624,RGI!$A$2:$C$43,2,FALSE),"..")</f>
        <v>76.8</v>
      </c>
      <c r="BU1624" s="129">
        <f>_xlfn.IFNA(VLOOKUP($C1624,RGI!$A$2:$C$43,3,FALSE),"..")</f>
        <v>72.816147461462435</v>
      </c>
      <c r="BV1624" s="129">
        <f>VLOOKUP($D1624,WGI!$C$2:$O$478,7,FALSE)</f>
        <v>4.0587288441011303E-2</v>
      </c>
      <c r="BW1624" s="129">
        <f>VLOOKUP($D1624,WGI!$C$2:$O$478,4,FALSE)</f>
        <v>-1.1809401239462201</v>
      </c>
      <c r="BX1624" s="129">
        <f>VLOOKUP($D1624,WGI!$C$2:$O$478,3,FALSE)</f>
        <v>-0.42240703988964201</v>
      </c>
      <c r="BY1624" s="129">
        <f>VLOOKUP($D1624,WGI!$C$2:$O$478,5,FALSE)</f>
        <v>0.401355532712239</v>
      </c>
      <c r="BZ1624" s="129">
        <f>VLOOKUP($D1624,WGI!$C$2:$O$478,2,FALSE)</f>
        <v>-0.34216136455586199</v>
      </c>
    </row>
    <row r="1625" spans="1:78" ht="15" customHeight="1">
      <c r="A1625" s="294" t="s">
        <v>457</v>
      </c>
      <c r="B1625" s="117">
        <v>2009</v>
      </c>
      <c r="C1625" s="117" t="s">
        <v>449</v>
      </c>
      <c r="D1625" s="117" t="s">
        <v>3643</v>
      </c>
      <c r="E1625" s="452" t="s">
        <v>220</v>
      </c>
      <c r="F1625" s="117"/>
      <c r="G1625" s="120" t="s">
        <v>24</v>
      </c>
      <c r="H1625" s="117" t="str">
        <f t="shared" si="271"/>
        <v>yes</v>
      </c>
      <c r="I1625" s="117" t="str">
        <f t="shared" si="273"/>
        <v>no</v>
      </c>
      <c r="J1625" s="117" t="str">
        <f t="shared" si="274"/>
        <v>no</v>
      </c>
      <c r="K1625" s="117" t="s">
        <v>955</v>
      </c>
      <c r="L1625" s="117" t="str">
        <f t="shared" si="272"/>
        <v>detailed</v>
      </c>
      <c r="M1625" s="117" t="str">
        <f t="shared" si="275"/>
        <v>detailed Mining</v>
      </c>
      <c r="N1625" s="118"/>
      <c r="O1625" s="118"/>
      <c r="P1625" s="118"/>
      <c r="Q1625" s="118"/>
      <c r="R1625" s="118"/>
      <c r="S1625" s="117"/>
      <c r="T1625" s="119"/>
      <c r="U1625" s="117"/>
      <c r="V1625" s="117"/>
      <c r="W1625" s="89"/>
      <c r="X1625" s="117"/>
      <c r="Y1625" s="492"/>
      <c r="Z1625" s="492"/>
      <c r="AA1625" s="89"/>
      <c r="AB1625" s="89"/>
      <c r="AC1625" s="240"/>
      <c r="AD1625" s="240"/>
      <c r="AE1625" s="240"/>
      <c r="AF1625" s="241"/>
      <c r="AG1625" s="89"/>
      <c r="AH1625" s="124"/>
      <c r="AI1625" s="117"/>
      <c r="AJ1625" s="117"/>
      <c r="AK1625" s="89"/>
      <c r="AL1625" s="117"/>
      <c r="AM1625" s="117"/>
      <c r="AN1625" s="117"/>
      <c r="AO1625" s="117"/>
      <c r="AP1625" s="117"/>
      <c r="AQ1625" s="117"/>
      <c r="AR1625" s="117"/>
      <c r="AS1625" s="117"/>
      <c r="AT1625" s="117"/>
      <c r="AU1625" s="117"/>
      <c r="AV1625" s="128"/>
      <c r="AW1625" s="117">
        <f>VLOOKUP($D1625,'WB Data'!$C$3:$M$578,2,FALSE)</f>
        <v>121200381042.49667</v>
      </c>
      <c r="AX1625" s="117">
        <f>VLOOKUP($D1625,'WB Data'!$C$3:$M$578,3,FALSE)</f>
        <v>28934303</v>
      </c>
      <c r="AY1625" s="847">
        <f t="shared" si="277"/>
        <v>2.4466670326971723E-2</v>
      </c>
      <c r="AZ1625" s="117">
        <f>VLOOKUP($D1625,'WB Data'!$C$3:$M$578,4,FALSE)/100</f>
        <v>0.18903877723521581</v>
      </c>
      <c r="BA1625" s="117">
        <f t="shared" si="278"/>
        <v>22911571832.715801</v>
      </c>
      <c r="BB1625" s="129">
        <f>IFERROR(VLOOKUP($D1625,'EITI Revenues'!$C$2:$G$224,5,FALSE),"..")</f>
        <v>2965369766.4701195</v>
      </c>
      <c r="BC1625" s="846">
        <f t="shared" si="279"/>
        <v>0.12942672759953641</v>
      </c>
      <c r="BD1625" s="129">
        <f>VLOOKUP($D1625,'WB Data 2'!$C$2:$K$545,6,FALSE)</f>
        <v>15993770399.481031</v>
      </c>
      <c r="BE1625" s="129">
        <f>IFERROR(VLOOKUP($D1625,UNCTAD!$C$5:$V$529,4,FALSE),"..")</f>
        <v>30597077000</v>
      </c>
      <c r="BF1625" s="846">
        <f t="shared" si="280"/>
        <v>0.5227221672018223</v>
      </c>
      <c r="BG1625" s="117">
        <f>VLOOKUP($D1625,'WB Data'!$C$3:$M$578,5,FALSE)</f>
        <v>441170000</v>
      </c>
      <c r="BH1625" s="129">
        <f>IFERROR($BB1625/$BG1625,"..")</f>
        <v>6.7216033875152874</v>
      </c>
      <c r="BI1625" s="117">
        <f>IFERROR(VLOOKUP($D1625,'WB Data'!$C$3:$M$578,7,FALSE)/100,"..")</f>
        <v>2.9168400000000001E-2</v>
      </c>
      <c r="BJ1625" s="117">
        <f>IFERROR($BI1625*$AW1625,"..")</f>
        <v>3535221194.39996</v>
      </c>
      <c r="BK1625" s="846">
        <f>IFERROR($BB1625/$BJ1625,"..")</f>
        <v>0.83880741922668789</v>
      </c>
      <c r="BL1625" s="117">
        <f>IFERROR(VLOOKUP($D1625,'WB Data'!$C$3:$M$578,7,FALSE)/100,"..")</f>
        <v>2.9168400000000001E-2</v>
      </c>
      <c r="BM1625" s="117">
        <f>IFERROR($AW1625*$BL1625,"..")</f>
        <v>3535221194.39996</v>
      </c>
      <c r="BN1625" s="846">
        <f>IFERROR($BB1625/$BM1625,"..")</f>
        <v>0.83880741922668789</v>
      </c>
      <c r="BO1625" s="801">
        <f t="shared" si="276"/>
        <v>38</v>
      </c>
      <c r="BP1625" s="117">
        <f>VLOOKUP($D1625,'WB Data'!$C$3:$M$578,9,FALSE)</f>
        <v>33.5</v>
      </c>
      <c r="BQ1625" s="117">
        <f>VLOOKUP($D1625,'WB Data'!$C$3:$M$578,10,FALSE)</f>
        <v>73.603682926829279</v>
      </c>
      <c r="BR1625" s="117">
        <f>VLOOKUP($D1625,'WB Data'!$C$3:$M$578,11,FALSE)</f>
        <v>16.2</v>
      </c>
      <c r="BS1625" s="129">
        <f>IFERROR(VLOOKUP($D1625,'WB Data 2'!$C$2:$K$545,9,FALSE),"..")</f>
        <v>96.569890000000001</v>
      </c>
      <c r="BT1625" s="129">
        <f>_xlfn.IFNA(VLOOKUP($C1625,RGI!$A$2:$C$43,2,FALSE),"..")</f>
        <v>76.8</v>
      </c>
      <c r="BU1625" s="129">
        <f>_xlfn.IFNA(VLOOKUP($C1625,RGI!$A$2:$C$43,3,FALSE),"..")</f>
        <v>72.816147461462435</v>
      </c>
      <c r="BV1625" s="129">
        <f>VLOOKUP($D1625,WGI!$C$2:$O$478,7,FALSE)</f>
        <v>4.0587288441011303E-2</v>
      </c>
      <c r="BW1625" s="129">
        <f>VLOOKUP($D1625,WGI!$C$2:$O$478,4,FALSE)</f>
        <v>-1.1809401239462201</v>
      </c>
      <c r="BX1625" s="129">
        <f>VLOOKUP($D1625,WGI!$C$2:$O$478,3,FALSE)</f>
        <v>-0.42240703988964201</v>
      </c>
      <c r="BY1625" s="129">
        <f>VLOOKUP($D1625,WGI!$C$2:$O$478,5,FALSE)</f>
        <v>0.401355532712239</v>
      </c>
      <c r="BZ1625" s="129">
        <f>VLOOKUP($D1625,WGI!$C$2:$O$478,2,FALSE)</f>
        <v>-0.34216136455586199</v>
      </c>
    </row>
    <row r="1626" spans="1:78" ht="15" customHeight="1">
      <c r="A1626" s="294" t="s">
        <v>457</v>
      </c>
      <c r="B1626" s="117">
        <v>2009</v>
      </c>
      <c r="C1626" s="117" t="s">
        <v>449</v>
      </c>
      <c r="D1626" s="117" t="s">
        <v>3643</v>
      </c>
      <c r="E1626" s="452" t="s">
        <v>220</v>
      </c>
      <c r="F1626" s="117"/>
      <c r="G1626" s="120" t="s">
        <v>24</v>
      </c>
      <c r="H1626" s="117" t="str">
        <f t="shared" si="271"/>
        <v>yes</v>
      </c>
      <c r="I1626" s="117" t="str">
        <f t="shared" si="273"/>
        <v>no</v>
      </c>
      <c r="J1626" s="117" t="str">
        <f t="shared" si="274"/>
        <v>no</v>
      </c>
      <c r="K1626" s="117" t="s">
        <v>1226</v>
      </c>
      <c r="L1626" s="117" t="str">
        <f t="shared" si="272"/>
        <v>detailed</v>
      </c>
      <c r="M1626" s="117" t="str">
        <f t="shared" si="275"/>
        <v>detailed Mining</v>
      </c>
      <c r="N1626" s="118"/>
      <c r="O1626" s="118"/>
      <c r="P1626" s="118"/>
      <c r="Q1626" s="118"/>
      <c r="R1626" s="118"/>
      <c r="S1626" s="117"/>
      <c r="T1626" s="119"/>
      <c r="U1626" s="117"/>
      <c r="V1626" s="117"/>
      <c r="W1626" s="89"/>
      <c r="X1626" s="117"/>
      <c r="Y1626" s="492"/>
      <c r="Z1626" s="492"/>
      <c r="AA1626" s="89"/>
      <c r="AB1626" s="89"/>
      <c r="AC1626" s="240"/>
      <c r="AD1626" s="240"/>
      <c r="AE1626" s="240"/>
      <c r="AF1626" s="241"/>
      <c r="AG1626" s="89"/>
      <c r="AH1626" s="124"/>
      <c r="AI1626" s="117"/>
      <c r="AJ1626" s="117"/>
      <c r="AK1626" s="89"/>
      <c r="AL1626" s="117"/>
      <c r="AM1626" s="117"/>
      <c r="AN1626" s="117"/>
      <c r="AO1626" s="117"/>
      <c r="AP1626" s="117"/>
      <c r="AQ1626" s="117"/>
      <c r="AR1626" s="117"/>
      <c r="AS1626" s="117"/>
      <c r="AT1626" s="117"/>
      <c r="AU1626" s="117"/>
      <c r="AV1626" s="128"/>
      <c r="AW1626" s="117">
        <f>VLOOKUP($D1626,'WB Data'!$C$3:$M$578,2,FALSE)</f>
        <v>121200381042.49667</v>
      </c>
      <c r="AX1626" s="117">
        <f>VLOOKUP($D1626,'WB Data'!$C$3:$M$578,3,FALSE)</f>
        <v>28934303</v>
      </c>
      <c r="AY1626" s="847">
        <f t="shared" si="277"/>
        <v>2.4466670326971723E-2</v>
      </c>
      <c r="AZ1626" s="117">
        <f>VLOOKUP($D1626,'WB Data'!$C$3:$M$578,4,FALSE)/100</f>
        <v>0.18903877723521581</v>
      </c>
      <c r="BA1626" s="117">
        <f t="shared" si="278"/>
        <v>22911571832.715801</v>
      </c>
      <c r="BB1626" s="129">
        <f>IFERROR(VLOOKUP($D1626,'EITI Revenues'!$C$2:$G$224,5,FALSE),"..")</f>
        <v>2965369766.4701195</v>
      </c>
      <c r="BC1626" s="846">
        <f t="shared" si="279"/>
        <v>0.12942672759953641</v>
      </c>
      <c r="BD1626" s="129">
        <f>VLOOKUP($D1626,'WB Data 2'!$C$2:$K$545,6,FALSE)</f>
        <v>15993770399.481031</v>
      </c>
      <c r="BE1626" s="129">
        <f>IFERROR(VLOOKUP($D1626,UNCTAD!$C$5:$V$529,4,FALSE),"..")</f>
        <v>30597077000</v>
      </c>
      <c r="BF1626" s="846">
        <f t="shared" si="280"/>
        <v>0.5227221672018223</v>
      </c>
      <c r="BG1626" s="117">
        <f>VLOOKUP($D1626,'WB Data'!$C$3:$M$578,5,FALSE)</f>
        <v>441170000</v>
      </c>
      <c r="BH1626" s="129">
        <f>IFERROR($BB1626/$BG1626,"..")</f>
        <v>6.7216033875152874</v>
      </c>
      <c r="BI1626" s="117">
        <f>IFERROR(VLOOKUP($D1626,'WB Data'!$C$3:$M$578,7,FALSE)/100,"..")</f>
        <v>2.9168400000000001E-2</v>
      </c>
      <c r="BJ1626" s="117">
        <f>IFERROR($BI1626*$AW1626,"..")</f>
        <v>3535221194.39996</v>
      </c>
      <c r="BK1626" s="846">
        <f>IFERROR($BB1626/$BJ1626,"..")</f>
        <v>0.83880741922668789</v>
      </c>
      <c r="BL1626" s="117">
        <f>IFERROR(VLOOKUP($D1626,'WB Data'!$C$3:$M$578,7,FALSE)/100,"..")</f>
        <v>2.9168400000000001E-2</v>
      </c>
      <c r="BM1626" s="117">
        <f>IFERROR($AW1626*$BL1626,"..")</f>
        <v>3535221194.39996</v>
      </c>
      <c r="BN1626" s="846">
        <f>IFERROR($BB1626/$BM1626,"..")</f>
        <v>0.83880741922668789</v>
      </c>
      <c r="BO1626" s="801">
        <f t="shared" si="276"/>
        <v>38</v>
      </c>
      <c r="BP1626" s="117">
        <f>VLOOKUP($D1626,'WB Data'!$C$3:$M$578,9,FALSE)</f>
        <v>33.5</v>
      </c>
      <c r="BQ1626" s="117">
        <f>VLOOKUP($D1626,'WB Data'!$C$3:$M$578,10,FALSE)</f>
        <v>73.603682926829279</v>
      </c>
      <c r="BR1626" s="117">
        <f>VLOOKUP($D1626,'WB Data'!$C$3:$M$578,11,FALSE)</f>
        <v>16.2</v>
      </c>
      <c r="BS1626" s="129">
        <f>IFERROR(VLOOKUP($D1626,'WB Data 2'!$C$2:$K$545,9,FALSE),"..")</f>
        <v>96.569890000000001</v>
      </c>
      <c r="BT1626" s="129">
        <f>_xlfn.IFNA(VLOOKUP($C1626,RGI!$A$2:$C$43,2,FALSE),"..")</f>
        <v>76.8</v>
      </c>
      <c r="BU1626" s="129">
        <f>_xlfn.IFNA(VLOOKUP($C1626,RGI!$A$2:$C$43,3,FALSE),"..")</f>
        <v>72.816147461462435</v>
      </c>
      <c r="BV1626" s="129">
        <f>VLOOKUP($D1626,WGI!$C$2:$O$478,7,FALSE)</f>
        <v>4.0587288441011303E-2</v>
      </c>
      <c r="BW1626" s="129">
        <f>VLOOKUP($D1626,WGI!$C$2:$O$478,4,FALSE)</f>
        <v>-1.1809401239462201</v>
      </c>
      <c r="BX1626" s="129">
        <f>VLOOKUP($D1626,WGI!$C$2:$O$478,3,FALSE)</f>
        <v>-0.42240703988964201</v>
      </c>
      <c r="BY1626" s="129">
        <f>VLOOKUP($D1626,WGI!$C$2:$O$478,5,FALSE)</f>
        <v>0.401355532712239</v>
      </c>
      <c r="BZ1626" s="129">
        <f>VLOOKUP($D1626,WGI!$C$2:$O$478,2,FALSE)</f>
        <v>-0.34216136455586199</v>
      </c>
    </row>
    <row r="1627" spans="1:78" ht="15" customHeight="1">
      <c r="A1627" s="294" t="s">
        <v>457</v>
      </c>
      <c r="B1627" s="117">
        <v>2009</v>
      </c>
      <c r="C1627" s="117" t="s">
        <v>449</v>
      </c>
      <c r="D1627" s="117" t="s">
        <v>3643</v>
      </c>
      <c r="E1627" s="452" t="s">
        <v>220</v>
      </c>
      <c r="F1627" s="117"/>
      <c r="G1627" s="120" t="s">
        <v>24</v>
      </c>
      <c r="H1627" s="117" t="str">
        <f t="shared" ref="H1627:H1690" si="281">IF($G1627="Mining","yes",IF($G1627="Oil, Gas, Mining","yes",IF($G1627="Gas, Mining","yes",IF($G1627="Oil, Mining","yes",IF($G1627="Oil, Mining, Other","yes","no")))))</f>
        <v>yes</v>
      </c>
      <c r="I1627" s="117" t="str">
        <f t="shared" si="273"/>
        <v>no</v>
      </c>
      <c r="J1627" s="117" t="str">
        <f t="shared" si="274"/>
        <v>no</v>
      </c>
      <c r="K1627" s="117" t="s">
        <v>2037</v>
      </c>
      <c r="L1627" s="117" t="str">
        <f t="shared" ref="L1627:L1690" si="282">IF(LEFT(K1627,5)="Total","Total","detailed")</f>
        <v>detailed</v>
      </c>
      <c r="M1627" s="117" t="str">
        <f t="shared" si="275"/>
        <v>detailed Mining</v>
      </c>
      <c r="N1627" s="118"/>
      <c r="O1627" s="118"/>
      <c r="P1627" s="118"/>
      <c r="Q1627" s="118"/>
      <c r="R1627" s="118"/>
      <c r="S1627" s="117"/>
      <c r="T1627" s="119"/>
      <c r="U1627" s="117"/>
      <c r="V1627" s="117"/>
      <c r="W1627" s="89"/>
      <c r="X1627" s="117"/>
      <c r="Y1627" s="492"/>
      <c r="Z1627" s="492"/>
      <c r="AA1627" s="89"/>
      <c r="AB1627" s="89"/>
      <c r="AC1627" s="240"/>
      <c r="AD1627" s="240"/>
      <c r="AE1627" s="240"/>
      <c r="AF1627" s="241"/>
      <c r="AG1627" s="89"/>
      <c r="AH1627" s="124"/>
      <c r="AI1627" s="117"/>
      <c r="AJ1627" s="117"/>
      <c r="AK1627" s="89"/>
      <c r="AL1627" s="117"/>
      <c r="AM1627" s="117"/>
      <c r="AN1627" s="117"/>
      <c r="AO1627" s="117"/>
      <c r="AP1627" s="117"/>
      <c r="AQ1627" s="117"/>
      <c r="AR1627" s="117"/>
      <c r="AS1627" s="117"/>
      <c r="AT1627" s="117"/>
      <c r="AU1627" s="117"/>
      <c r="AV1627" s="128"/>
      <c r="AW1627" s="117">
        <f>VLOOKUP($D1627,'WB Data'!$C$3:$M$578,2,FALSE)</f>
        <v>121200381042.49667</v>
      </c>
      <c r="AX1627" s="117">
        <f>VLOOKUP($D1627,'WB Data'!$C$3:$M$578,3,FALSE)</f>
        <v>28934303</v>
      </c>
      <c r="AY1627" s="847">
        <f t="shared" si="277"/>
        <v>2.4466670326971723E-2</v>
      </c>
      <c r="AZ1627" s="117">
        <f>VLOOKUP($D1627,'WB Data'!$C$3:$M$578,4,FALSE)/100</f>
        <v>0.18903877723521581</v>
      </c>
      <c r="BA1627" s="117">
        <f t="shared" si="278"/>
        <v>22911571832.715801</v>
      </c>
      <c r="BB1627" s="129">
        <f>IFERROR(VLOOKUP($D1627,'EITI Revenues'!$C$2:$G$224,5,FALSE),"..")</f>
        <v>2965369766.4701195</v>
      </c>
      <c r="BC1627" s="846">
        <f t="shared" si="279"/>
        <v>0.12942672759953641</v>
      </c>
      <c r="BD1627" s="129">
        <f>VLOOKUP($D1627,'WB Data 2'!$C$2:$K$545,6,FALSE)</f>
        <v>15993770399.481031</v>
      </c>
      <c r="BE1627" s="129">
        <f>IFERROR(VLOOKUP($D1627,UNCTAD!$C$5:$V$529,4,FALSE),"..")</f>
        <v>30597077000</v>
      </c>
      <c r="BF1627" s="846">
        <f t="shared" si="280"/>
        <v>0.5227221672018223</v>
      </c>
      <c r="BG1627" s="117">
        <f>VLOOKUP($D1627,'WB Data'!$C$3:$M$578,5,FALSE)</f>
        <v>441170000</v>
      </c>
      <c r="BH1627" s="129">
        <f>IFERROR($BB1627/$BG1627,"..")</f>
        <v>6.7216033875152874</v>
      </c>
      <c r="BI1627" s="117">
        <f>IFERROR(VLOOKUP($D1627,'WB Data'!$C$3:$M$578,7,FALSE)/100,"..")</f>
        <v>2.9168400000000001E-2</v>
      </c>
      <c r="BJ1627" s="117">
        <f>IFERROR($BI1627*$AW1627,"..")</f>
        <v>3535221194.39996</v>
      </c>
      <c r="BK1627" s="846">
        <f>IFERROR($BB1627/$BJ1627,"..")</f>
        <v>0.83880741922668789</v>
      </c>
      <c r="BL1627" s="117">
        <f>IFERROR(VLOOKUP($D1627,'WB Data'!$C$3:$M$578,7,FALSE)/100,"..")</f>
        <v>2.9168400000000001E-2</v>
      </c>
      <c r="BM1627" s="117">
        <f>IFERROR($AW1627*$BL1627,"..")</f>
        <v>3535221194.39996</v>
      </c>
      <c r="BN1627" s="846">
        <f>IFERROR($BB1627/$BM1627,"..")</f>
        <v>0.83880741922668789</v>
      </c>
      <c r="BO1627" s="801">
        <f t="shared" si="276"/>
        <v>38</v>
      </c>
      <c r="BP1627" s="117">
        <f>VLOOKUP($D1627,'WB Data'!$C$3:$M$578,9,FALSE)</f>
        <v>33.5</v>
      </c>
      <c r="BQ1627" s="117">
        <f>VLOOKUP($D1627,'WB Data'!$C$3:$M$578,10,FALSE)</f>
        <v>73.603682926829279</v>
      </c>
      <c r="BR1627" s="117">
        <f>VLOOKUP($D1627,'WB Data'!$C$3:$M$578,11,FALSE)</f>
        <v>16.2</v>
      </c>
      <c r="BS1627" s="129">
        <f>IFERROR(VLOOKUP($D1627,'WB Data 2'!$C$2:$K$545,9,FALSE),"..")</f>
        <v>96.569890000000001</v>
      </c>
      <c r="BT1627" s="129">
        <f>_xlfn.IFNA(VLOOKUP($C1627,RGI!$A$2:$C$43,2,FALSE),"..")</f>
        <v>76.8</v>
      </c>
      <c r="BU1627" s="129">
        <f>_xlfn.IFNA(VLOOKUP($C1627,RGI!$A$2:$C$43,3,FALSE),"..")</f>
        <v>72.816147461462435</v>
      </c>
      <c r="BV1627" s="129">
        <f>VLOOKUP($D1627,WGI!$C$2:$O$478,7,FALSE)</f>
        <v>4.0587288441011303E-2</v>
      </c>
      <c r="BW1627" s="129">
        <f>VLOOKUP($D1627,WGI!$C$2:$O$478,4,FALSE)</f>
        <v>-1.1809401239462201</v>
      </c>
      <c r="BX1627" s="129">
        <f>VLOOKUP($D1627,WGI!$C$2:$O$478,3,FALSE)</f>
        <v>-0.42240703988964201</v>
      </c>
      <c r="BY1627" s="129">
        <f>VLOOKUP($D1627,WGI!$C$2:$O$478,5,FALSE)</f>
        <v>0.401355532712239</v>
      </c>
      <c r="BZ1627" s="129">
        <f>VLOOKUP($D1627,WGI!$C$2:$O$478,2,FALSE)</f>
        <v>-0.34216136455586199</v>
      </c>
    </row>
    <row r="1628" spans="1:78" ht="15" customHeight="1">
      <c r="A1628" s="294" t="s">
        <v>457</v>
      </c>
      <c r="B1628" s="117">
        <v>2009</v>
      </c>
      <c r="C1628" s="117" t="s">
        <v>449</v>
      </c>
      <c r="D1628" s="117" t="s">
        <v>3643</v>
      </c>
      <c r="E1628" s="452" t="s">
        <v>220</v>
      </c>
      <c r="F1628" s="117"/>
      <c r="G1628" s="120" t="s">
        <v>24</v>
      </c>
      <c r="H1628" s="117" t="str">
        <f t="shared" si="281"/>
        <v>yes</v>
      </c>
      <c r="I1628" s="117" t="str">
        <f t="shared" si="273"/>
        <v>no</v>
      </c>
      <c r="J1628" s="117" t="str">
        <f t="shared" si="274"/>
        <v>no</v>
      </c>
      <c r="K1628" s="117" t="s">
        <v>1228</v>
      </c>
      <c r="L1628" s="117" t="str">
        <f t="shared" si="282"/>
        <v>detailed</v>
      </c>
      <c r="M1628" s="117" t="str">
        <f t="shared" si="275"/>
        <v>detailed Mining</v>
      </c>
      <c r="N1628" s="118"/>
      <c r="O1628" s="118"/>
      <c r="P1628" s="118"/>
      <c r="Q1628" s="118"/>
      <c r="R1628" s="118"/>
      <c r="S1628" s="117"/>
      <c r="T1628" s="119"/>
      <c r="U1628" s="117"/>
      <c r="V1628" s="117"/>
      <c r="W1628" s="89"/>
      <c r="X1628" s="117"/>
      <c r="Y1628" s="492"/>
      <c r="Z1628" s="492"/>
      <c r="AA1628" s="89"/>
      <c r="AB1628" s="89"/>
      <c r="AC1628" s="240"/>
      <c r="AD1628" s="240"/>
      <c r="AE1628" s="240"/>
      <c r="AF1628" s="241"/>
      <c r="AG1628" s="89"/>
      <c r="AH1628" s="124"/>
      <c r="AI1628" s="117"/>
      <c r="AJ1628" s="117"/>
      <c r="AK1628" s="89"/>
      <c r="AL1628" s="117"/>
      <c r="AM1628" s="117"/>
      <c r="AN1628" s="117"/>
      <c r="AO1628" s="117"/>
      <c r="AP1628" s="117"/>
      <c r="AQ1628" s="117"/>
      <c r="AR1628" s="117"/>
      <c r="AS1628" s="117"/>
      <c r="AT1628" s="117"/>
      <c r="AU1628" s="117"/>
      <c r="AV1628" s="128"/>
      <c r="AW1628" s="117">
        <f>VLOOKUP($D1628,'WB Data'!$C$3:$M$578,2,FALSE)</f>
        <v>121200381042.49667</v>
      </c>
      <c r="AX1628" s="117">
        <f>VLOOKUP($D1628,'WB Data'!$C$3:$M$578,3,FALSE)</f>
        <v>28934303</v>
      </c>
      <c r="AY1628" s="847">
        <f t="shared" si="277"/>
        <v>2.4466670326971723E-2</v>
      </c>
      <c r="AZ1628" s="117">
        <f>VLOOKUP($D1628,'WB Data'!$C$3:$M$578,4,FALSE)/100</f>
        <v>0.18903877723521581</v>
      </c>
      <c r="BA1628" s="117">
        <f t="shared" si="278"/>
        <v>22911571832.715801</v>
      </c>
      <c r="BB1628" s="129">
        <f>IFERROR(VLOOKUP($D1628,'EITI Revenues'!$C$2:$G$224,5,FALSE),"..")</f>
        <v>2965369766.4701195</v>
      </c>
      <c r="BC1628" s="846">
        <f t="shared" si="279"/>
        <v>0.12942672759953641</v>
      </c>
      <c r="BD1628" s="129">
        <f>VLOOKUP($D1628,'WB Data 2'!$C$2:$K$545,6,FALSE)</f>
        <v>15993770399.481031</v>
      </c>
      <c r="BE1628" s="129">
        <f>IFERROR(VLOOKUP($D1628,UNCTAD!$C$5:$V$529,4,FALSE),"..")</f>
        <v>30597077000</v>
      </c>
      <c r="BF1628" s="846">
        <f t="shared" si="280"/>
        <v>0.5227221672018223</v>
      </c>
      <c r="BG1628" s="117">
        <f>VLOOKUP($D1628,'WB Data'!$C$3:$M$578,5,FALSE)</f>
        <v>441170000</v>
      </c>
      <c r="BH1628" s="129">
        <f>IFERROR($BB1628/$BG1628,"..")</f>
        <v>6.7216033875152874</v>
      </c>
      <c r="BI1628" s="117">
        <f>IFERROR(VLOOKUP($D1628,'WB Data'!$C$3:$M$578,7,FALSE)/100,"..")</f>
        <v>2.9168400000000001E-2</v>
      </c>
      <c r="BJ1628" s="117">
        <f>IFERROR($BI1628*$AW1628,"..")</f>
        <v>3535221194.39996</v>
      </c>
      <c r="BK1628" s="846">
        <f>IFERROR($BB1628/$BJ1628,"..")</f>
        <v>0.83880741922668789</v>
      </c>
      <c r="BL1628" s="117">
        <f>IFERROR(VLOOKUP($D1628,'WB Data'!$C$3:$M$578,7,FALSE)/100,"..")</f>
        <v>2.9168400000000001E-2</v>
      </c>
      <c r="BM1628" s="117">
        <f>IFERROR($AW1628*$BL1628,"..")</f>
        <v>3535221194.39996</v>
      </c>
      <c r="BN1628" s="846">
        <f>IFERROR($BB1628/$BM1628,"..")</f>
        <v>0.83880741922668789</v>
      </c>
      <c r="BO1628" s="801">
        <f t="shared" si="276"/>
        <v>38</v>
      </c>
      <c r="BP1628" s="117">
        <f>VLOOKUP($D1628,'WB Data'!$C$3:$M$578,9,FALSE)</f>
        <v>33.5</v>
      </c>
      <c r="BQ1628" s="117">
        <f>VLOOKUP($D1628,'WB Data'!$C$3:$M$578,10,FALSE)</f>
        <v>73.603682926829279</v>
      </c>
      <c r="BR1628" s="117">
        <f>VLOOKUP($D1628,'WB Data'!$C$3:$M$578,11,FALSE)</f>
        <v>16.2</v>
      </c>
      <c r="BS1628" s="129">
        <f>IFERROR(VLOOKUP($D1628,'WB Data 2'!$C$2:$K$545,9,FALSE),"..")</f>
        <v>96.569890000000001</v>
      </c>
      <c r="BT1628" s="129">
        <f>_xlfn.IFNA(VLOOKUP($C1628,RGI!$A$2:$C$43,2,FALSE),"..")</f>
        <v>76.8</v>
      </c>
      <c r="BU1628" s="129">
        <f>_xlfn.IFNA(VLOOKUP($C1628,RGI!$A$2:$C$43,3,FALSE),"..")</f>
        <v>72.816147461462435</v>
      </c>
      <c r="BV1628" s="129">
        <f>VLOOKUP($D1628,WGI!$C$2:$O$478,7,FALSE)</f>
        <v>4.0587288441011303E-2</v>
      </c>
      <c r="BW1628" s="129">
        <f>VLOOKUP($D1628,WGI!$C$2:$O$478,4,FALSE)</f>
        <v>-1.1809401239462201</v>
      </c>
      <c r="BX1628" s="129">
        <f>VLOOKUP($D1628,WGI!$C$2:$O$478,3,FALSE)</f>
        <v>-0.42240703988964201</v>
      </c>
      <c r="BY1628" s="129">
        <f>VLOOKUP($D1628,WGI!$C$2:$O$478,5,FALSE)</f>
        <v>0.401355532712239</v>
      </c>
      <c r="BZ1628" s="129">
        <f>VLOOKUP($D1628,WGI!$C$2:$O$478,2,FALSE)</f>
        <v>-0.34216136455586199</v>
      </c>
    </row>
    <row r="1629" spans="1:78" ht="15" customHeight="1">
      <c r="A1629" s="294" t="s">
        <v>457</v>
      </c>
      <c r="B1629" s="117">
        <v>2009</v>
      </c>
      <c r="C1629" s="117" t="s">
        <v>449</v>
      </c>
      <c r="D1629" s="117" t="s">
        <v>3643</v>
      </c>
      <c r="E1629" s="452" t="s">
        <v>220</v>
      </c>
      <c r="F1629" s="117"/>
      <c r="G1629" s="120" t="s">
        <v>24</v>
      </c>
      <c r="H1629" s="117" t="str">
        <f t="shared" si="281"/>
        <v>yes</v>
      </c>
      <c r="I1629" s="117" t="str">
        <f t="shared" si="273"/>
        <v>no</v>
      </c>
      <c r="J1629" s="117" t="str">
        <f t="shared" si="274"/>
        <v>no</v>
      </c>
      <c r="K1629" s="117" t="s">
        <v>1230</v>
      </c>
      <c r="L1629" s="117" t="str">
        <f t="shared" si="282"/>
        <v>detailed</v>
      </c>
      <c r="M1629" s="117" t="str">
        <f t="shared" si="275"/>
        <v>detailed Mining</v>
      </c>
      <c r="N1629" s="118"/>
      <c r="O1629" s="118"/>
      <c r="P1629" s="118"/>
      <c r="Q1629" s="118"/>
      <c r="R1629" s="118"/>
      <c r="S1629" s="117"/>
      <c r="T1629" s="119"/>
      <c r="U1629" s="117"/>
      <c r="V1629" s="117"/>
      <c r="W1629" s="89"/>
      <c r="X1629" s="117"/>
      <c r="Y1629" s="492"/>
      <c r="Z1629" s="492"/>
      <c r="AA1629" s="89"/>
      <c r="AB1629" s="89"/>
      <c r="AC1629" s="240"/>
      <c r="AD1629" s="240"/>
      <c r="AE1629" s="240"/>
      <c r="AF1629" s="241"/>
      <c r="AG1629" s="89"/>
      <c r="AH1629" s="124"/>
      <c r="AI1629" s="117"/>
      <c r="AJ1629" s="117"/>
      <c r="AK1629" s="89"/>
      <c r="AL1629" s="117"/>
      <c r="AM1629" s="117"/>
      <c r="AN1629" s="117"/>
      <c r="AO1629" s="117"/>
      <c r="AP1629" s="117"/>
      <c r="AQ1629" s="117"/>
      <c r="AR1629" s="117"/>
      <c r="AS1629" s="117"/>
      <c r="AT1629" s="117"/>
      <c r="AU1629" s="117"/>
      <c r="AV1629" s="128"/>
      <c r="AW1629" s="117">
        <f>VLOOKUP($D1629,'WB Data'!$C$3:$M$578,2,FALSE)</f>
        <v>121200381042.49667</v>
      </c>
      <c r="AX1629" s="117">
        <f>VLOOKUP($D1629,'WB Data'!$C$3:$M$578,3,FALSE)</f>
        <v>28934303</v>
      </c>
      <c r="AY1629" s="847">
        <f t="shared" si="277"/>
        <v>2.4466670326971723E-2</v>
      </c>
      <c r="AZ1629" s="117">
        <f>VLOOKUP($D1629,'WB Data'!$C$3:$M$578,4,FALSE)/100</f>
        <v>0.18903877723521581</v>
      </c>
      <c r="BA1629" s="117">
        <f t="shared" si="278"/>
        <v>22911571832.715801</v>
      </c>
      <c r="BB1629" s="129">
        <f>IFERROR(VLOOKUP($D1629,'EITI Revenues'!$C$2:$G$224,5,FALSE),"..")</f>
        <v>2965369766.4701195</v>
      </c>
      <c r="BC1629" s="846">
        <f t="shared" si="279"/>
        <v>0.12942672759953641</v>
      </c>
      <c r="BD1629" s="129">
        <f>VLOOKUP($D1629,'WB Data 2'!$C$2:$K$545,6,FALSE)</f>
        <v>15993770399.481031</v>
      </c>
      <c r="BE1629" s="129">
        <f>IFERROR(VLOOKUP($D1629,UNCTAD!$C$5:$V$529,4,FALSE),"..")</f>
        <v>30597077000</v>
      </c>
      <c r="BF1629" s="846">
        <f t="shared" si="280"/>
        <v>0.5227221672018223</v>
      </c>
      <c r="BG1629" s="117">
        <f>VLOOKUP($D1629,'WB Data'!$C$3:$M$578,5,FALSE)</f>
        <v>441170000</v>
      </c>
      <c r="BH1629" s="129">
        <f>IFERROR($BB1629/$BG1629,"..")</f>
        <v>6.7216033875152874</v>
      </c>
      <c r="BI1629" s="117">
        <f>IFERROR(VLOOKUP($D1629,'WB Data'!$C$3:$M$578,7,FALSE)/100,"..")</f>
        <v>2.9168400000000001E-2</v>
      </c>
      <c r="BJ1629" s="117">
        <f>IFERROR($BI1629*$AW1629,"..")</f>
        <v>3535221194.39996</v>
      </c>
      <c r="BK1629" s="846">
        <f>IFERROR($BB1629/$BJ1629,"..")</f>
        <v>0.83880741922668789</v>
      </c>
      <c r="BL1629" s="117">
        <f>IFERROR(VLOOKUP($D1629,'WB Data'!$C$3:$M$578,7,FALSE)/100,"..")</f>
        <v>2.9168400000000001E-2</v>
      </c>
      <c r="BM1629" s="117">
        <f>IFERROR($AW1629*$BL1629,"..")</f>
        <v>3535221194.39996</v>
      </c>
      <c r="BN1629" s="846">
        <f>IFERROR($BB1629/$BM1629,"..")</f>
        <v>0.83880741922668789</v>
      </c>
      <c r="BO1629" s="801">
        <f t="shared" si="276"/>
        <v>38</v>
      </c>
      <c r="BP1629" s="117">
        <f>VLOOKUP($D1629,'WB Data'!$C$3:$M$578,9,FALSE)</f>
        <v>33.5</v>
      </c>
      <c r="BQ1629" s="117">
        <f>VLOOKUP($D1629,'WB Data'!$C$3:$M$578,10,FALSE)</f>
        <v>73.603682926829279</v>
      </c>
      <c r="BR1629" s="117">
        <f>VLOOKUP($D1629,'WB Data'!$C$3:$M$578,11,FALSE)</f>
        <v>16.2</v>
      </c>
      <c r="BS1629" s="129">
        <f>IFERROR(VLOOKUP($D1629,'WB Data 2'!$C$2:$K$545,9,FALSE),"..")</f>
        <v>96.569890000000001</v>
      </c>
      <c r="BT1629" s="129">
        <f>_xlfn.IFNA(VLOOKUP($C1629,RGI!$A$2:$C$43,2,FALSE),"..")</f>
        <v>76.8</v>
      </c>
      <c r="BU1629" s="129">
        <f>_xlfn.IFNA(VLOOKUP($C1629,RGI!$A$2:$C$43,3,FALSE),"..")</f>
        <v>72.816147461462435</v>
      </c>
      <c r="BV1629" s="129">
        <f>VLOOKUP($D1629,WGI!$C$2:$O$478,7,FALSE)</f>
        <v>4.0587288441011303E-2</v>
      </c>
      <c r="BW1629" s="129">
        <f>VLOOKUP($D1629,WGI!$C$2:$O$478,4,FALSE)</f>
        <v>-1.1809401239462201</v>
      </c>
      <c r="BX1629" s="129">
        <f>VLOOKUP($D1629,WGI!$C$2:$O$478,3,FALSE)</f>
        <v>-0.42240703988964201</v>
      </c>
      <c r="BY1629" s="129">
        <f>VLOOKUP($D1629,WGI!$C$2:$O$478,5,FALSE)</f>
        <v>0.401355532712239</v>
      </c>
      <c r="BZ1629" s="129">
        <f>VLOOKUP($D1629,WGI!$C$2:$O$478,2,FALSE)</f>
        <v>-0.34216136455586199</v>
      </c>
    </row>
    <row r="1630" spans="1:78" ht="15" customHeight="1">
      <c r="A1630" s="294" t="s">
        <v>457</v>
      </c>
      <c r="B1630" s="117">
        <v>2009</v>
      </c>
      <c r="C1630" s="117" t="s">
        <v>449</v>
      </c>
      <c r="D1630" s="117" t="s">
        <v>3643</v>
      </c>
      <c r="E1630" s="452" t="s">
        <v>220</v>
      </c>
      <c r="F1630" s="117"/>
      <c r="G1630" s="120" t="s">
        <v>24</v>
      </c>
      <c r="H1630" s="117" t="str">
        <f t="shared" si="281"/>
        <v>yes</v>
      </c>
      <c r="I1630" s="117" t="str">
        <f t="shared" si="273"/>
        <v>no</v>
      </c>
      <c r="J1630" s="117" t="str">
        <f t="shared" si="274"/>
        <v>no</v>
      </c>
      <c r="K1630" s="117" t="s">
        <v>1473</v>
      </c>
      <c r="L1630" s="117" t="str">
        <f t="shared" si="282"/>
        <v>detailed</v>
      </c>
      <c r="M1630" s="117" t="str">
        <f t="shared" si="275"/>
        <v>detailed Mining</v>
      </c>
      <c r="N1630" s="118"/>
      <c r="O1630" s="118"/>
      <c r="P1630" s="118"/>
      <c r="Q1630" s="118"/>
      <c r="R1630" s="118"/>
      <c r="S1630" s="117"/>
      <c r="T1630" s="119"/>
      <c r="U1630" s="117"/>
      <c r="V1630" s="117"/>
      <c r="W1630" s="89"/>
      <c r="X1630" s="117"/>
      <c r="Y1630" s="89"/>
      <c r="Z1630" s="89"/>
      <c r="AA1630" s="117"/>
      <c r="AB1630" s="117"/>
      <c r="AC1630" s="462"/>
      <c r="AD1630" s="462"/>
      <c r="AE1630" s="462"/>
      <c r="AF1630" s="463"/>
      <c r="AG1630" s="89"/>
      <c r="AH1630" s="124"/>
      <c r="AI1630" s="117"/>
      <c r="AJ1630" s="117"/>
      <c r="AK1630" s="89"/>
      <c r="AL1630" s="117"/>
      <c r="AM1630" s="117"/>
      <c r="AN1630" s="117"/>
      <c r="AO1630" s="117"/>
      <c r="AP1630" s="117"/>
      <c r="AQ1630" s="117"/>
      <c r="AR1630" s="117"/>
      <c r="AS1630" s="117"/>
      <c r="AT1630" s="117"/>
      <c r="AU1630" s="117"/>
      <c r="AV1630" s="128"/>
      <c r="AW1630" s="117">
        <f>VLOOKUP($D1630,'WB Data'!$C$3:$M$578,2,FALSE)</f>
        <v>121200381042.49667</v>
      </c>
      <c r="AX1630" s="117">
        <f>VLOOKUP($D1630,'WB Data'!$C$3:$M$578,3,FALSE)</f>
        <v>28934303</v>
      </c>
      <c r="AY1630" s="847">
        <f t="shared" si="277"/>
        <v>2.4466670326971723E-2</v>
      </c>
      <c r="AZ1630" s="117">
        <f>VLOOKUP($D1630,'WB Data'!$C$3:$M$578,4,FALSE)/100</f>
        <v>0.18903877723521581</v>
      </c>
      <c r="BA1630" s="117">
        <f t="shared" si="278"/>
        <v>22911571832.715801</v>
      </c>
      <c r="BB1630" s="129">
        <f>IFERROR(VLOOKUP($D1630,'EITI Revenues'!$C$2:$G$224,5,FALSE),"..")</f>
        <v>2965369766.4701195</v>
      </c>
      <c r="BC1630" s="846">
        <f t="shared" si="279"/>
        <v>0.12942672759953641</v>
      </c>
      <c r="BD1630" s="129">
        <f>VLOOKUP($D1630,'WB Data 2'!$C$2:$K$545,6,FALSE)</f>
        <v>15993770399.481031</v>
      </c>
      <c r="BE1630" s="129">
        <f>IFERROR(VLOOKUP($D1630,UNCTAD!$C$5:$V$529,4,FALSE),"..")</f>
        <v>30597077000</v>
      </c>
      <c r="BF1630" s="846">
        <f t="shared" si="280"/>
        <v>0.5227221672018223</v>
      </c>
      <c r="BG1630" s="117">
        <f>VLOOKUP($D1630,'WB Data'!$C$3:$M$578,5,FALSE)</f>
        <v>441170000</v>
      </c>
      <c r="BH1630" s="129">
        <f>IFERROR($BB1630/$BG1630,"..")</f>
        <v>6.7216033875152874</v>
      </c>
      <c r="BI1630" s="117">
        <f>IFERROR(VLOOKUP($D1630,'WB Data'!$C$3:$M$578,7,FALSE)/100,"..")</f>
        <v>2.9168400000000001E-2</v>
      </c>
      <c r="BJ1630" s="117">
        <f>IFERROR($BI1630*$AW1630,"..")</f>
        <v>3535221194.39996</v>
      </c>
      <c r="BK1630" s="846">
        <f>IFERROR($BB1630/$BJ1630,"..")</f>
        <v>0.83880741922668789</v>
      </c>
      <c r="BL1630" s="117">
        <f>IFERROR(VLOOKUP($D1630,'WB Data'!$C$3:$M$578,7,FALSE)/100,"..")</f>
        <v>2.9168400000000001E-2</v>
      </c>
      <c r="BM1630" s="117">
        <f>IFERROR($AW1630*$BL1630,"..")</f>
        <v>3535221194.39996</v>
      </c>
      <c r="BN1630" s="846">
        <f>IFERROR($BB1630/$BM1630,"..")</f>
        <v>0.83880741922668789</v>
      </c>
      <c r="BO1630" s="801">
        <f t="shared" si="276"/>
        <v>38</v>
      </c>
      <c r="BP1630" s="117">
        <f>VLOOKUP($D1630,'WB Data'!$C$3:$M$578,9,FALSE)</f>
        <v>33.5</v>
      </c>
      <c r="BQ1630" s="117">
        <f>VLOOKUP($D1630,'WB Data'!$C$3:$M$578,10,FALSE)</f>
        <v>73.603682926829279</v>
      </c>
      <c r="BR1630" s="117">
        <f>VLOOKUP($D1630,'WB Data'!$C$3:$M$578,11,FALSE)</f>
        <v>16.2</v>
      </c>
      <c r="BS1630" s="129">
        <f>IFERROR(VLOOKUP($D1630,'WB Data 2'!$C$2:$K$545,9,FALSE),"..")</f>
        <v>96.569890000000001</v>
      </c>
      <c r="BT1630" s="129">
        <f>_xlfn.IFNA(VLOOKUP($C1630,RGI!$A$2:$C$43,2,FALSE),"..")</f>
        <v>76.8</v>
      </c>
      <c r="BU1630" s="129">
        <f>_xlfn.IFNA(VLOOKUP($C1630,RGI!$A$2:$C$43,3,FALSE),"..")</f>
        <v>72.816147461462435</v>
      </c>
      <c r="BV1630" s="129">
        <f>VLOOKUP($D1630,WGI!$C$2:$O$478,7,FALSE)</f>
        <v>4.0587288441011303E-2</v>
      </c>
      <c r="BW1630" s="129">
        <f>VLOOKUP($D1630,WGI!$C$2:$O$478,4,FALSE)</f>
        <v>-1.1809401239462201</v>
      </c>
      <c r="BX1630" s="129">
        <f>VLOOKUP($D1630,WGI!$C$2:$O$478,3,FALSE)</f>
        <v>-0.42240703988964201</v>
      </c>
      <c r="BY1630" s="129">
        <f>VLOOKUP($D1630,WGI!$C$2:$O$478,5,FALSE)</f>
        <v>0.401355532712239</v>
      </c>
      <c r="BZ1630" s="129">
        <f>VLOOKUP($D1630,WGI!$C$2:$O$478,2,FALSE)</f>
        <v>-0.34216136455586199</v>
      </c>
    </row>
    <row r="1631" spans="1:78" ht="15" customHeight="1">
      <c r="A1631" s="294" t="s">
        <v>457</v>
      </c>
      <c r="B1631" s="117">
        <v>2009</v>
      </c>
      <c r="C1631" s="117" t="s">
        <v>449</v>
      </c>
      <c r="D1631" s="117" t="s">
        <v>3643</v>
      </c>
      <c r="E1631" s="452" t="s">
        <v>220</v>
      </c>
      <c r="F1631" s="117"/>
      <c r="G1631" s="120" t="s">
        <v>24</v>
      </c>
      <c r="H1631" s="117" t="str">
        <f t="shared" si="281"/>
        <v>yes</v>
      </c>
      <c r="I1631" s="117" t="str">
        <f t="shared" si="273"/>
        <v>no</v>
      </c>
      <c r="J1631" s="117" t="str">
        <f t="shared" si="274"/>
        <v>no</v>
      </c>
      <c r="K1631" s="117" t="s">
        <v>2098</v>
      </c>
      <c r="L1631" s="117" t="str">
        <f t="shared" si="282"/>
        <v>detailed</v>
      </c>
      <c r="M1631" s="117" t="str">
        <f t="shared" si="275"/>
        <v>detailed Mining</v>
      </c>
      <c r="N1631" s="118"/>
      <c r="O1631" s="118"/>
      <c r="P1631" s="118"/>
      <c r="Q1631" s="118"/>
      <c r="R1631" s="118"/>
      <c r="S1631" s="117"/>
      <c r="T1631" s="119"/>
      <c r="U1631" s="117"/>
      <c r="V1631" s="117"/>
      <c r="W1631" s="89"/>
      <c r="X1631" s="117"/>
      <c r="Y1631" s="120"/>
      <c r="Z1631" s="120"/>
      <c r="AA1631" s="89"/>
      <c r="AB1631" s="89"/>
      <c r="AC1631" s="240"/>
      <c r="AD1631" s="240"/>
      <c r="AE1631" s="240"/>
      <c r="AF1631" s="241"/>
      <c r="AG1631" s="120"/>
      <c r="AH1631" s="124"/>
      <c r="AI1631" s="117"/>
      <c r="AJ1631" s="117"/>
      <c r="AK1631" s="89"/>
      <c r="AL1631" s="117"/>
      <c r="AM1631" s="117"/>
      <c r="AN1631" s="117"/>
      <c r="AO1631" s="117"/>
      <c r="AP1631" s="117"/>
      <c r="AQ1631" s="117"/>
      <c r="AR1631" s="117"/>
      <c r="AS1631" s="117"/>
      <c r="AT1631" s="117"/>
      <c r="AU1631" s="117"/>
      <c r="AV1631" s="128"/>
      <c r="AW1631" s="117">
        <f>VLOOKUP($D1631,'WB Data'!$C$3:$M$578,2,FALSE)</f>
        <v>121200381042.49667</v>
      </c>
      <c r="AX1631" s="117">
        <f>VLOOKUP($D1631,'WB Data'!$C$3:$M$578,3,FALSE)</f>
        <v>28934303</v>
      </c>
      <c r="AY1631" s="847">
        <f t="shared" si="277"/>
        <v>2.4466670326971723E-2</v>
      </c>
      <c r="AZ1631" s="117">
        <f>VLOOKUP($D1631,'WB Data'!$C$3:$M$578,4,FALSE)/100</f>
        <v>0.18903877723521581</v>
      </c>
      <c r="BA1631" s="117">
        <f t="shared" si="278"/>
        <v>22911571832.715801</v>
      </c>
      <c r="BB1631" s="129">
        <f>IFERROR(VLOOKUP($D1631,'EITI Revenues'!$C$2:$G$224,5,FALSE),"..")</f>
        <v>2965369766.4701195</v>
      </c>
      <c r="BC1631" s="846">
        <f t="shared" si="279"/>
        <v>0.12942672759953641</v>
      </c>
      <c r="BD1631" s="129">
        <f>VLOOKUP($D1631,'WB Data 2'!$C$2:$K$545,6,FALSE)</f>
        <v>15993770399.481031</v>
      </c>
      <c r="BE1631" s="129">
        <f>IFERROR(VLOOKUP($D1631,UNCTAD!$C$5:$V$529,4,FALSE),"..")</f>
        <v>30597077000</v>
      </c>
      <c r="BF1631" s="846">
        <f t="shared" si="280"/>
        <v>0.5227221672018223</v>
      </c>
      <c r="BG1631" s="117">
        <f>VLOOKUP($D1631,'WB Data'!$C$3:$M$578,5,FALSE)</f>
        <v>441170000</v>
      </c>
      <c r="BH1631" s="129">
        <f>IFERROR($BB1631/$BG1631,"..")</f>
        <v>6.7216033875152874</v>
      </c>
      <c r="BI1631" s="117">
        <f>IFERROR(VLOOKUP($D1631,'WB Data'!$C$3:$M$578,7,FALSE)/100,"..")</f>
        <v>2.9168400000000001E-2</v>
      </c>
      <c r="BJ1631" s="117">
        <f>IFERROR($BI1631*$AW1631,"..")</f>
        <v>3535221194.39996</v>
      </c>
      <c r="BK1631" s="846">
        <f>IFERROR($BB1631/$BJ1631,"..")</f>
        <v>0.83880741922668789</v>
      </c>
      <c r="BL1631" s="117">
        <f>IFERROR(VLOOKUP($D1631,'WB Data'!$C$3:$M$578,7,FALSE)/100,"..")</f>
        <v>2.9168400000000001E-2</v>
      </c>
      <c r="BM1631" s="117">
        <f>IFERROR($AW1631*$BL1631,"..")</f>
        <v>3535221194.39996</v>
      </c>
      <c r="BN1631" s="846">
        <f>IFERROR($BB1631/$BM1631,"..")</f>
        <v>0.83880741922668789</v>
      </c>
      <c r="BO1631" s="801">
        <f t="shared" si="276"/>
        <v>38</v>
      </c>
      <c r="BP1631" s="117">
        <f>VLOOKUP($D1631,'WB Data'!$C$3:$M$578,9,FALSE)</f>
        <v>33.5</v>
      </c>
      <c r="BQ1631" s="117">
        <f>VLOOKUP($D1631,'WB Data'!$C$3:$M$578,10,FALSE)</f>
        <v>73.603682926829279</v>
      </c>
      <c r="BR1631" s="117">
        <f>VLOOKUP($D1631,'WB Data'!$C$3:$M$578,11,FALSE)</f>
        <v>16.2</v>
      </c>
      <c r="BS1631" s="129">
        <f>IFERROR(VLOOKUP($D1631,'WB Data 2'!$C$2:$K$545,9,FALSE),"..")</f>
        <v>96.569890000000001</v>
      </c>
      <c r="BT1631" s="129">
        <f>_xlfn.IFNA(VLOOKUP($C1631,RGI!$A$2:$C$43,2,FALSE),"..")</f>
        <v>76.8</v>
      </c>
      <c r="BU1631" s="129">
        <f>_xlfn.IFNA(VLOOKUP($C1631,RGI!$A$2:$C$43,3,FALSE),"..")</f>
        <v>72.816147461462435</v>
      </c>
      <c r="BV1631" s="129">
        <f>VLOOKUP($D1631,WGI!$C$2:$O$478,7,FALSE)</f>
        <v>4.0587288441011303E-2</v>
      </c>
      <c r="BW1631" s="129">
        <f>VLOOKUP($D1631,WGI!$C$2:$O$478,4,FALSE)</f>
        <v>-1.1809401239462201</v>
      </c>
      <c r="BX1631" s="129">
        <f>VLOOKUP($D1631,WGI!$C$2:$O$478,3,FALSE)</f>
        <v>-0.42240703988964201</v>
      </c>
      <c r="BY1631" s="129">
        <f>VLOOKUP($D1631,WGI!$C$2:$O$478,5,FALSE)</f>
        <v>0.401355532712239</v>
      </c>
      <c r="BZ1631" s="129">
        <f>VLOOKUP($D1631,WGI!$C$2:$O$478,2,FALSE)</f>
        <v>-0.34216136455586199</v>
      </c>
    </row>
    <row r="1632" spans="1:78" ht="15" customHeight="1">
      <c r="A1632" s="294" t="s">
        <v>457</v>
      </c>
      <c r="B1632" s="117">
        <v>2009</v>
      </c>
      <c r="C1632" s="117" t="s">
        <v>449</v>
      </c>
      <c r="D1632" s="117" t="s">
        <v>3643</v>
      </c>
      <c r="E1632" s="452" t="s">
        <v>220</v>
      </c>
      <c r="F1632" s="117"/>
      <c r="G1632" s="120" t="s">
        <v>24</v>
      </c>
      <c r="H1632" s="117" t="str">
        <f t="shared" si="281"/>
        <v>yes</v>
      </c>
      <c r="I1632" s="117" t="str">
        <f t="shared" si="273"/>
        <v>no</v>
      </c>
      <c r="J1632" s="117" t="str">
        <f t="shared" si="274"/>
        <v>no</v>
      </c>
      <c r="K1632" s="117" t="s">
        <v>703</v>
      </c>
      <c r="L1632" s="117" t="str">
        <f t="shared" si="282"/>
        <v>detailed</v>
      </c>
      <c r="M1632" s="117" t="str">
        <f t="shared" si="275"/>
        <v>detailed Mining</v>
      </c>
      <c r="N1632" s="118"/>
      <c r="O1632" s="118"/>
      <c r="P1632" s="118"/>
      <c r="Q1632" s="118"/>
      <c r="R1632" s="118"/>
      <c r="S1632" s="117"/>
      <c r="T1632" s="119"/>
      <c r="U1632" s="117"/>
      <c r="V1632" s="117"/>
      <c r="W1632" s="89"/>
      <c r="X1632" s="117"/>
      <c r="Y1632" s="120"/>
      <c r="Z1632" s="120"/>
      <c r="AA1632" s="89"/>
      <c r="AB1632" s="89"/>
      <c r="AC1632" s="240"/>
      <c r="AD1632" s="240"/>
      <c r="AE1632" s="240"/>
      <c r="AF1632" s="241"/>
      <c r="AG1632" s="120"/>
      <c r="AH1632" s="124"/>
      <c r="AI1632" s="117"/>
      <c r="AJ1632" s="117"/>
      <c r="AK1632" s="89"/>
      <c r="AL1632" s="117"/>
      <c r="AM1632" s="117"/>
      <c r="AN1632" s="117"/>
      <c r="AO1632" s="117"/>
      <c r="AP1632" s="117"/>
      <c r="AQ1632" s="117"/>
      <c r="AR1632" s="117"/>
      <c r="AS1632" s="117"/>
      <c r="AT1632" s="117"/>
      <c r="AU1632" s="117"/>
      <c r="AV1632" s="128"/>
      <c r="AW1632" s="117">
        <f>VLOOKUP($D1632,'WB Data'!$C$3:$M$578,2,FALSE)</f>
        <v>121200381042.49667</v>
      </c>
      <c r="AX1632" s="117">
        <f>VLOOKUP($D1632,'WB Data'!$C$3:$M$578,3,FALSE)</f>
        <v>28934303</v>
      </c>
      <c r="AY1632" s="847">
        <f t="shared" si="277"/>
        <v>2.4466670326971723E-2</v>
      </c>
      <c r="AZ1632" s="117">
        <f>VLOOKUP($D1632,'WB Data'!$C$3:$M$578,4,FALSE)/100</f>
        <v>0.18903877723521581</v>
      </c>
      <c r="BA1632" s="117">
        <f t="shared" si="278"/>
        <v>22911571832.715801</v>
      </c>
      <c r="BB1632" s="129">
        <f>IFERROR(VLOOKUP($D1632,'EITI Revenues'!$C$2:$G$224,5,FALSE),"..")</f>
        <v>2965369766.4701195</v>
      </c>
      <c r="BC1632" s="846">
        <f t="shared" si="279"/>
        <v>0.12942672759953641</v>
      </c>
      <c r="BD1632" s="129">
        <f>VLOOKUP($D1632,'WB Data 2'!$C$2:$K$545,6,FALSE)</f>
        <v>15993770399.481031</v>
      </c>
      <c r="BE1632" s="129">
        <f>IFERROR(VLOOKUP($D1632,UNCTAD!$C$5:$V$529,4,FALSE),"..")</f>
        <v>30597077000</v>
      </c>
      <c r="BF1632" s="846">
        <f t="shared" si="280"/>
        <v>0.5227221672018223</v>
      </c>
      <c r="BG1632" s="117">
        <f>VLOOKUP($D1632,'WB Data'!$C$3:$M$578,5,FALSE)</f>
        <v>441170000</v>
      </c>
      <c r="BH1632" s="129">
        <f>IFERROR($BB1632/$BG1632,"..")</f>
        <v>6.7216033875152874</v>
      </c>
      <c r="BI1632" s="117">
        <f>IFERROR(VLOOKUP($D1632,'WB Data'!$C$3:$M$578,7,FALSE)/100,"..")</f>
        <v>2.9168400000000001E-2</v>
      </c>
      <c r="BJ1632" s="117">
        <f>IFERROR($BI1632*$AW1632,"..")</f>
        <v>3535221194.39996</v>
      </c>
      <c r="BK1632" s="846">
        <f>IFERROR($BB1632/$BJ1632,"..")</f>
        <v>0.83880741922668789</v>
      </c>
      <c r="BL1632" s="117">
        <f>IFERROR(VLOOKUP($D1632,'WB Data'!$C$3:$M$578,7,FALSE)/100,"..")</f>
        <v>2.9168400000000001E-2</v>
      </c>
      <c r="BM1632" s="117">
        <f>IFERROR($AW1632*$BL1632,"..")</f>
        <v>3535221194.39996</v>
      </c>
      <c r="BN1632" s="846">
        <f>IFERROR($BB1632/$BM1632,"..")</f>
        <v>0.83880741922668789</v>
      </c>
      <c r="BO1632" s="801">
        <f t="shared" si="276"/>
        <v>38</v>
      </c>
      <c r="BP1632" s="117">
        <f>VLOOKUP($D1632,'WB Data'!$C$3:$M$578,9,FALSE)</f>
        <v>33.5</v>
      </c>
      <c r="BQ1632" s="117">
        <f>VLOOKUP($D1632,'WB Data'!$C$3:$M$578,10,FALSE)</f>
        <v>73.603682926829279</v>
      </c>
      <c r="BR1632" s="117">
        <f>VLOOKUP($D1632,'WB Data'!$C$3:$M$578,11,FALSE)</f>
        <v>16.2</v>
      </c>
      <c r="BS1632" s="129">
        <f>IFERROR(VLOOKUP($D1632,'WB Data 2'!$C$2:$K$545,9,FALSE),"..")</f>
        <v>96.569890000000001</v>
      </c>
      <c r="BT1632" s="129">
        <f>_xlfn.IFNA(VLOOKUP($C1632,RGI!$A$2:$C$43,2,FALSE),"..")</f>
        <v>76.8</v>
      </c>
      <c r="BU1632" s="129">
        <f>_xlfn.IFNA(VLOOKUP($C1632,RGI!$A$2:$C$43,3,FALSE),"..")</f>
        <v>72.816147461462435</v>
      </c>
      <c r="BV1632" s="129">
        <f>VLOOKUP($D1632,WGI!$C$2:$O$478,7,FALSE)</f>
        <v>4.0587288441011303E-2</v>
      </c>
      <c r="BW1632" s="129">
        <f>VLOOKUP($D1632,WGI!$C$2:$O$478,4,FALSE)</f>
        <v>-1.1809401239462201</v>
      </c>
      <c r="BX1632" s="129">
        <f>VLOOKUP($D1632,WGI!$C$2:$O$478,3,FALSE)</f>
        <v>-0.42240703988964201</v>
      </c>
      <c r="BY1632" s="129">
        <f>VLOOKUP($D1632,WGI!$C$2:$O$478,5,FALSE)</f>
        <v>0.401355532712239</v>
      </c>
      <c r="BZ1632" s="129">
        <f>VLOOKUP($D1632,WGI!$C$2:$O$478,2,FALSE)</f>
        <v>-0.34216136455586199</v>
      </c>
    </row>
    <row r="1633" spans="1:78" ht="15" customHeight="1">
      <c r="A1633" s="294" t="s">
        <v>457</v>
      </c>
      <c r="B1633" s="117">
        <v>2009</v>
      </c>
      <c r="C1633" s="117" t="s">
        <v>449</v>
      </c>
      <c r="D1633" s="117" t="s">
        <v>3643</v>
      </c>
      <c r="E1633" s="452" t="s">
        <v>220</v>
      </c>
      <c r="F1633" s="117"/>
      <c r="G1633" s="120" t="s">
        <v>24</v>
      </c>
      <c r="H1633" s="117" t="str">
        <f t="shared" si="281"/>
        <v>yes</v>
      </c>
      <c r="I1633" s="117" t="str">
        <f t="shared" si="273"/>
        <v>no</v>
      </c>
      <c r="J1633" s="117" t="str">
        <f t="shared" si="274"/>
        <v>no</v>
      </c>
      <c r="K1633" s="117" t="s">
        <v>843</v>
      </c>
      <c r="L1633" s="117" t="str">
        <f t="shared" si="282"/>
        <v>detailed</v>
      </c>
      <c r="M1633" s="117" t="str">
        <f t="shared" si="275"/>
        <v>detailed Mining</v>
      </c>
      <c r="N1633" s="118"/>
      <c r="O1633" s="118"/>
      <c r="P1633" s="118"/>
      <c r="Q1633" s="118"/>
      <c r="R1633" s="118"/>
      <c r="S1633" s="117"/>
      <c r="T1633" s="119"/>
      <c r="U1633" s="117"/>
      <c r="V1633" s="117"/>
      <c r="W1633" s="89"/>
      <c r="X1633" s="117"/>
      <c r="Y1633" s="120"/>
      <c r="Z1633" s="120"/>
      <c r="AA1633" s="89"/>
      <c r="AB1633" s="89"/>
      <c r="AC1633" s="240"/>
      <c r="AD1633" s="240"/>
      <c r="AE1633" s="240"/>
      <c r="AF1633" s="241"/>
      <c r="AG1633" s="120"/>
      <c r="AH1633" s="124"/>
      <c r="AI1633" s="117"/>
      <c r="AJ1633" s="117"/>
      <c r="AK1633" s="89"/>
      <c r="AL1633" s="117"/>
      <c r="AM1633" s="117"/>
      <c r="AN1633" s="117"/>
      <c r="AO1633" s="117"/>
      <c r="AP1633" s="117"/>
      <c r="AQ1633" s="117"/>
      <c r="AR1633" s="117"/>
      <c r="AS1633" s="117"/>
      <c r="AT1633" s="117"/>
      <c r="AU1633" s="117"/>
      <c r="AV1633" s="128"/>
      <c r="AW1633" s="117">
        <f>VLOOKUP($D1633,'WB Data'!$C$3:$M$578,2,FALSE)</f>
        <v>121200381042.49667</v>
      </c>
      <c r="AX1633" s="117">
        <f>VLOOKUP($D1633,'WB Data'!$C$3:$M$578,3,FALSE)</f>
        <v>28934303</v>
      </c>
      <c r="AY1633" s="847">
        <f t="shared" si="277"/>
        <v>2.4466670326971723E-2</v>
      </c>
      <c r="AZ1633" s="117">
        <f>VLOOKUP($D1633,'WB Data'!$C$3:$M$578,4,FALSE)/100</f>
        <v>0.18903877723521581</v>
      </c>
      <c r="BA1633" s="117">
        <f t="shared" si="278"/>
        <v>22911571832.715801</v>
      </c>
      <c r="BB1633" s="129">
        <f>IFERROR(VLOOKUP($D1633,'EITI Revenues'!$C$2:$G$224,5,FALSE),"..")</f>
        <v>2965369766.4701195</v>
      </c>
      <c r="BC1633" s="846">
        <f t="shared" si="279"/>
        <v>0.12942672759953641</v>
      </c>
      <c r="BD1633" s="129">
        <f>VLOOKUP($D1633,'WB Data 2'!$C$2:$K$545,6,FALSE)</f>
        <v>15993770399.481031</v>
      </c>
      <c r="BE1633" s="129">
        <f>IFERROR(VLOOKUP($D1633,UNCTAD!$C$5:$V$529,4,FALSE),"..")</f>
        <v>30597077000</v>
      </c>
      <c r="BF1633" s="846">
        <f t="shared" si="280"/>
        <v>0.5227221672018223</v>
      </c>
      <c r="BG1633" s="117">
        <f>VLOOKUP($D1633,'WB Data'!$C$3:$M$578,5,FALSE)</f>
        <v>441170000</v>
      </c>
      <c r="BH1633" s="129">
        <f>IFERROR($BB1633/$BG1633,"..")</f>
        <v>6.7216033875152874</v>
      </c>
      <c r="BI1633" s="117">
        <f>IFERROR(VLOOKUP($D1633,'WB Data'!$C$3:$M$578,7,FALSE)/100,"..")</f>
        <v>2.9168400000000001E-2</v>
      </c>
      <c r="BJ1633" s="117">
        <f>IFERROR($BI1633*$AW1633,"..")</f>
        <v>3535221194.39996</v>
      </c>
      <c r="BK1633" s="846">
        <f>IFERROR($BB1633/$BJ1633,"..")</f>
        <v>0.83880741922668789</v>
      </c>
      <c r="BL1633" s="117">
        <f>IFERROR(VLOOKUP($D1633,'WB Data'!$C$3:$M$578,7,FALSE)/100,"..")</f>
        <v>2.9168400000000001E-2</v>
      </c>
      <c r="BM1633" s="117">
        <f>IFERROR($AW1633*$BL1633,"..")</f>
        <v>3535221194.39996</v>
      </c>
      <c r="BN1633" s="846">
        <f>IFERROR($BB1633/$BM1633,"..")</f>
        <v>0.83880741922668789</v>
      </c>
      <c r="BO1633" s="801">
        <f t="shared" si="276"/>
        <v>38</v>
      </c>
      <c r="BP1633" s="117">
        <f>VLOOKUP($D1633,'WB Data'!$C$3:$M$578,9,FALSE)</f>
        <v>33.5</v>
      </c>
      <c r="BQ1633" s="117">
        <f>VLOOKUP($D1633,'WB Data'!$C$3:$M$578,10,FALSE)</f>
        <v>73.603682926829279</v>
      </c>
      <c r="BR1633" s="117">
        <f>VLOOKUP($D1633,'WB Data'!$C$3:$M$578,11,FALSE)</f>
        <v>16.2</v>
      </c>
      <c r="BS1633" s="129">
        <f>IFERROR(VLOOKUP($D1633,'WB Data 2'!$C$2:$K$545,9,FALSE),"..")</f>
        <v>96.569890000000001</v>
      </c>
      <c r="BT1633" s="129">
        <f>_xlfn.IFNA(VLOOKUP($C1633,RGI!$A$2:$C$43,2,FALSE),"..")</f>
        <v>76.8</v>
      </c>
      <c r="BU1633" s="129">
        <f>_xlfn.IFNA(VLOOKUP($C1633,RGI!$A$2:$C$43,3,FALSE),"..")</f>
        <v>72.816147461462435</v>
      </c>
      <c r="BV1633" s="129">
        <f>VLOOKUP($D1633,WGI!$C$2:$O$478,7,FALSE)</f>
        <v>4.0587288441011303E-2</v>
      </c>
      <c r="BW1633" s="129">
        <f>VLOOKUP($D1633,WGI!$C$2:$O$478,4,FALSE)</f>
        <v>-1.1809401239462201</v>
      </c>
      <c r="BX1633" s="129">
        <f>VLOOKUP($D1633,WGI!$C$2:$O$478,3,FALSE)</f>
        <v>-0.42240703988964201</v>
      </c>
      <c r="BY1633" s="129">
        <f>VLOOKUP($D1633,WGI!$C$2:$O$478,5,FALSE)</f>
        <v>0.401355532712239</v>
      </c>
      <c r="BZ1633" s="129">
        <f>VLOOKUP($D1633,WGI!$C$2:$O$478,2,FALSE)</f>
        <v>-0.34216136455586199</v>
      </c>
    </row>
    <row r="1634" spans="1:78" ht="15" customHeight="1">
      <c r="A1634" s="294" t="s">
        <v>457</v>
      </c>
      <c r="B1634" s="117">
        <v>2009</v>
      </c>
      <c r="C1634" s="117" t="s">
        <v>449</v>
      </c>
      <c r="D1634" s="117" t="s">
        <v>3643</v>
      </c>
      <c r="E1634" s="452" t="s">
        <v>220</v>
      </c>
      <c r="F1634" s="117"/>
      <c r="G1634" s="120" t="s">
        <v>24</v>
      </c>
      <c r="H1634" s="117" t="str">
        <f t="shared" si="281"/>
        <v>yes</v>
      </c>
      <c r="I1634" s="117" t="str">
        <f t="shared" si="273"/>
        <v>no</v>
      </c>
      <c r="J1634" s="117" t="str">
        <f t="shared" si="274"/>
        <v>no</v>
      </c>
      <c r="K1634" s="117" t="s">
        <v>656</v>
      </c>
      <c r="L1634" s="117" t="str">
        <f t="shared" si="282"/>
        <v>detailed</v>
      </c>
      <c r="M1634" s="117" t="str">
        <f t="shared" si="275"/>
        <v>detailed Mining</v>
      </c>
      <c r="N1634" s="118"/>
      <c r="O1634" s="118"/>
      <c r="P1634" s="118"/>
      <c r="Q1634" s="118"/>
      <c r="R1634" s="118"/>
      <c r="S1634" s="117"/>
      <c r="T1634" s="119"/>
      <c r="U1634" s="117"/>
      <c r="V1634" s="117"/>
      <c r="W1634" s="89"/>
      <c r="X1634" s="117"/>
      <c r="Y1634" s="120"/>
      <c r="Z1634" s="120"/>
      <c r="AA1634" s="89"/>
      <c r="AB1634" s="89"/>
      <c r="AC1634" s="240"/>
      <c r="AD1634" s="240"/>
      <c r="AE1634" s="240"/>
      <c r="AF1634" s="241"/>
      <c r="AG1634" s="120"/>
      <c r="AH1634" s="124"/>
      <c r="AI1634" s="117"/>
      <c r="AJ1634" s="117"/>
      <c r="AK1634" s="89"/>
      <c r="AL1634" s="117"/>
      <c r="AM1634" s="117"/>
      <c r="AN1634" s="117"/>
      <c r="AO1634" s="117"/>
      <c r="AP1634" s="117"/>
      <c r="AQ1634" s="117"/>
      <c r="AR1634" s="117"/>
      <c r="AS1634" s="117"/>
      <c r="AT1634" s="117"/>
      <c r="AU1634" s="117"/>
      <c r="AV1634" s="128"/>
      <c r="AW1634" s="117">
        <f>VLOOKUP($D1634,'WB Data'!$C$3:$M$578,2,FALSE)</f>
        <v>121200381042.49667</v>
      </c>
      <c r="AX1634" s="117">
        <f>VLOOKUP($D1634,'WB Data'!$C$3:$M$578,3,FALSE)</f>
        <v>28934303</v>
      </c>
      <c r="AY1634" s="847">
        <f t="shared" si="277"/>
        <v>2.4466670326971723E-2</v>
      </c>
      <c r="AZ1634" s="117">
        <f>VLOOKUP($D1634,'WB Data'!$C$3:$M$578,4,FALSE)/100</f>
        <v>0.18903877723521581</v>
      </c>
      <c r="BA1634" s="117">
        <f t="shared" si="278"/>
        <v>22911571832.715801</v>
      </c>
      <c r="BB1634" s="129">
        <f>IFERROR(VLOOKUP($D1634,'EITI Revenues'!$C$2:$G$224,5,FALSE),"..")</f>
        <v>2965369766.4701195</v>
      </c>
      <c r="BC1634" s="846">
        <f t="shared" si="279"/>
        <v>0.12942672759953641</v>
      </c>
      <c r="BD1634" s="129">
        <f>VLOOKUP($D1634,'WB Data 2'!$C$2:$K$545,6,FALSE)</f>
        <v>15993770399.481031</v>
      </c>
      <c r="BE1634" s="129">
        <f>IFERROR(VLOOKUP($D1634,UNCTAD!$C$5:$V$529,4,FALSE),"..")</f>
        <v>30597077000</v>
      </c>
      <c r="BF1634" s="846">
        <f t="shared" si="280"/>
        <v>0.5227221672018223</v>
      </c>
      <c r="BG1634" s="117">
        <f>VLOOKUP($D1634,'WB Data'!$C$3:$M$578,5,FALSE)</f>
        <v>441170000</v>
      </c>
      <c r="BH1634" s="129">
        <f>IFERROR($BB1634/$BG1634,"..")</f>
        <v>6.7216033875152874</v>
      </c>
      <c r="BI1634" s="117">
        <f>IFERROR(VLOOKUP($D1634,'WB Data'!$C$3:$M$578,7,FALSE)/100,"..")</f>
        <v>2.9168400000000001E-2</v>
      </c>
      <c r="BJ1634" s="117">
        <f>IFERROR($BI1634*$AW1634,"..")</f>
        <v>3535221194.39996</v>
      </c>
      <c r="BK1634" s="846">
        <f>IFERROR($BB1634/$BJ1634,"..")</f>
        <v>0.83880741922668789</v>
      </c>
      <c r="BL1634" s="117">
        <f>IFERROR(VLOOKUP($D1634,'WB Data'!$C$3:$M$578,7,FALSE)/100,"..")</f>
        <v>2.9168400000000001E-2</v>
      </c>
      <c r="BM1634" s="117">
        <f>IFERROR($AW1634*$BL1634,"..")</f>
        <v>3535221194.39996</v>
      </c>
      <c r="BN1634" s="846">
        <f>IFERROR($BB1634/$BM1634,"..")</f>
        <v>0.83880741922668789</v>
      </c>
      <c r="BO1634" s="801">
        <f t="shared" si="276"/>
        <v>38</v>
      </c>
      <c r="BP1634" s="117">
        <f>VLOOKUP($D1634,'WB Data'!$C$3:$M$578,9,FALSE)</f>
        <v>33.5</v>
      </c>
      <c r="BQ1634" s="117">
        <f>VLOOKUP($D1634,'WB Data'!$C$3:$M$578,10,FALSE)</f>
        <v>73.603682926829279</v>
      </c>
      <c r="BR1634" s="117">
        <f>VLOOKUP($D1634,'WB Data'!$C$3:$M$578,11,FALSE)</f>
        <v>16.2</v>
      </c>
      <c r="BS1634" s="129">
        <f>IFERROR(VLOOKUP($D1634,'WB Data 2'!$C$2:$K$545,9,FALSE),"..")</f>
        <v>96.569890000000001</v>
      </c>
      <c r="BT1634" s="129">
        <f>_xlfn.IFNA(VLOOKUP($C1634,RGI!$A$2:$C$43,2,FALSE),"..")</f>
        <v>76.8</v>
      </c>
      <c r="BU1634" s="129">
        <f>_xlfn.IFNA(VLOOKUP($C1634,RGI!$A$2:$C$43,3,FALSE),"..")</f>
        <v>72.816147461462435</v>
      </c>
      <c r="BV1634" s="129">
        <f>VLOOKUP($D1634,WGI!$C$2:$O$478,7,FALSE)</f>
        <v>4.0587288441011303E-2</v>
      </c>
      <c r="BW1634" s="129">
        <f>VLOOKUP($D1634,WGI!$C$2:$O$478,4,FALSE)</f>
        <v>-1.1809401239462201</v>
      </c>
      <c r="BX1634" s="129">
        <f>VLOOKUP($D1634,WGI!$C$2:$O$478,3,FALSE)</f>
        <v>-0.42240703988964201</v>
      </c>
      <c r="BY1634" s="129">
        <f>VLOOKUP($D1634,WGI!$C$2:$O$478,5,FALSE)</f>
        <v>0.401355532712239</v>
      </c>
      <c r="BZ1634" s="129">
        <f>VLOOKUP($D1634,WGI!$C$2:$O$478,2,FALSE)</f>
        <v>-0.34216136455586199</v>
      </c>
    </row>
    <row r="1635" spans="1:78" ht="15" customHeight="1">
      <c r="A1635" s="294" t="s">
        <v>457</v>
      </c>
      <c r="B1635" s="117">
        <v>2009</v>
      </c>
      <c r="C1635" s="117" t="s">
        <v>449</v>
      </c>
      <c r="D1635" s="117" t="s">
        <v>3643</v>
      </c>
      <c r="E1635" s="452" t="s">
        <v>220</v>
      </c>
      <c r="F1635" s="117"/>
      <c r="G1635" s="120" t="s">
        <v>24</v>
      </c>
      <c r="H1635" s="117" t="str">
        <f t="shared" si="281"/>
        <v>yes</v>
      </c>
      <c r="I1635" s="117" t="str">
        <f t="shared" si="273"/>
        <v>no</v>
      </c>
      <c r="J1635" s="117" t="str">
        <f t="shared" si="274"/>
        <v>no</v>
      </c>
      <c r="K1635" s="117" t="s">
        <v>1493</v>
      </c>
      <c r="L1635" s="117" t="str">
        <f t="shared" si="282"/>
        <v>detailed</v>
      </c>
      <c r="M1635" s="117" t="str">
        <f t="shared" si="275"/>
        <v>detailed Mining</v>
      </c>
      <c r="N1635" s="118"/>
      <c r="O1635" s="118"/>
      <c r="P1635" s="118"/>
      <c r="Q1635" s="118"/>
      <c r="R1635" s="118"/>
      <c r="S1635" s="117"/>
      <c r="T1635" s="119"/>
      <c r="U1635" s="117"/>
      <c r="V1635" s="117"/>
      <c r="W1635" s="89"/>
      <c r="X1635" s="117"/>
      <c r="Y1635" s="117"/>
      <c r="Z1635" s="117"/>
      <c r="AA1635" s="89"/>
      <c r="AB1635" s="89"/>
      <c r="AC1635" s="240"/>
      <c r="AD1635" s="240"/>
      <c r="AE1635" s="240"/>
      <c r="AF1635" s="241"/>
      <c r="AG1635" s="117"/>
      <c r="AH1635" s="124"/>
      <c r="AI1635" s="117"/>
      <c r="AJ1635" s="117"/>
      <c r="AK1635" s="89"/>
      <c r="AL1635" s="117"/>
      <c r="AM1635" s="117"/>
      <c r="AN1635" s="117"/>
      <c r="AO1635" s="117"/>
      <c r="AP1635" s="117"/>
      <c r="AQ1635" s="117"/>
      <c r="AR1635" s="117"/>
      <c r="AS1635" s="117"/>
      <c r="AT1635" s="117"/>
      <c r="AU1635" s="117"/>
      <c r="AV1635" s="128"/>
      <c r="AW1635" s="117">
        <f>VLOOKUP($D1635,'WB Data'!$C$3:$M$578,2,FALSE)</f>
        <v>121200381042.49667</v>
      </c>
      <c r="AX1635" s="117">
        <f>VLOOKUP($D1635,'WB Data'!$C$3:$M$578,3,FALSE)</f>
        <v>28934303</v>
      </c>
      <c r="AY1635" s="847">
        <f t="shared" si="277"/>
        <v>2.4466670326971723E-2</v>
      </c>
      <c r="AZ1635" s="117">
        <f>VLOOKUP($D1635,'WB Data'!$C$3:$M$578,4,FALSE)/100</f>
        <v>0.18903877723521581</v>
      </c>
      <c r="BA1635" s="117">
        <f t="shared" si="278"/>
        <v>22911571832.715801</v>
      </c>
      <c r="BB1635" s="129">
        <f>IFERROR(VLOOKUP($D1635,'EITI Revenues'!$C$2:$G$224,5,FALSE),"..")</f>
        <v>2965369766.4701195</v>
      </c>
      <c r="BC1635" s="846">
        <f t="shared" si="279"/>
        <v>0.12942672759953641</v>
      </c>
      <c r="BD1635" s="129">
        <f>VLOOKUP($D1635,'WB Data 2'!$C$2:$K$545,6,FALSE)</f>
        <v>15993770399.481031</v>
      </c>
      <c r="BE1635" s="129">
        <f>IFERROR(VLOOKUP($D1635,UNCTAD!$C$5:$V$529,4,FALSE),"..")</f>
        <v>30597077000</v>
      </c>
      <c r="BF1635" s="846">
        <f t="shared" si="280"/>
        <v>0.5227221672018223</v>
      </c>
      <c r="BG1635" s="117">
        <f>VLOOKUP($D1635,'WB Data'!$C$3:$M$578,5,FALSE)</f>
        <v>441170000</v>
      </c>
      <c r="BH1635" s="129">
        <f>IFERROR($BB1635/$BG1635,"..")</f>
        <v>6.7216033875152874</v>
      </c>
      <c r="BI1635" s="117">
        <f>IFERROR(VLOOKUP($D1635,'WB Data'!$C$3:$M$578,7,FALSE)/100,"..")</f>
        <v>2.9168400000000001E-2</v>
      </c>
      <c r="BJ1635" s="117">
        <f>IFERROR($BI1635*$AW1635,"..")</f>
        <v>3535221194.39996</v>
      </c>
      <c r="BK1635" s="846">
        <f>IFERROR($BB1635/$BJ1635,"..")</f>
        <v>0.83880741922668789</v>
      </c>
      <c r="BL1635" s="117">
        <f>IFERROR(VLOOKUP($D1635,'WB Data'!$C$3:$M$578,7,FALSE)/100,"..")</f>
        <v>2.9168400000000001E-2</v>
      </c>
      <c r="BM1635" s="117">
        <f>IFERROR($AW1635*$BL1635,"..")</f>
        <v>3535221194.39996</v>
      </c>
      <c r="BN1635" s="846">
        <f>IFERROR($BB1635/$BM1635,"..")</f>
        <v>0.83880741922668789</v>
      </c>
      <c r="BO1635" s="801">
        <f t="shared" si="276"/>
        <v>38</v>
      </c>
      <c r="BP1635" s="117">
        <f>VLOOKUP($D1635,'WB Data'!$C$3:$M$578,9,FALSE)</f>
        <v>33.5</v>
      </c>
      <c r="BQ1635" s="117">
        <f>VLOOKUP($D1635,'WB Data'!$C$3:$M$578,10,FALSE)</f>
        <v>73.603682926829279</v>
      </c>
      <c r="BR1635" s="117">
        <f>VLOOKUP($D1635,'WB Data'!$C$3:$M$578,11,FALSE)</f>
        <v>16.2</v>
      </c>
      <c r="BS1635" s="129">
        <f>IFERROR(VLOOKUP($D1635,'WB Data 2'!$C$2:$K$545,9,FALSE),"..")</f>
        <v>96.569890000000001</v>
      </c>
      <c r="BT1635" s="129">
        <f>_xlfn.IFNA(VLOOKUP($C1635,RGI!$A$2:$C$43,2,FALSE),"..")</f>
        <v>76.8</v>
      </c>
      <c r="BU1635" s="129">
        <f>_xlfn.IFNA(VLOOKUP($C1635,RGI!$A$2:$C$43,3,FALSE),"..")</f>
        <v>72.816147461462435</v>
      </c>
      <c r="BV1635" s="129">
        <f>VLOOKUP($D1635,WGI!$C$2:$O$478,7,FALSE)</f>
        <v>4.0587288441011303E-2</v>
      </c>
      <c r="BW1635" s="129">
        <f>VLOOKUP($D1635,WGI!$C$2:$O$478,4,FALSE)</f>
        <v>-1.1809401239462201</v>
      </c>
      <c r="BX1635" s="129">
        <f>VLOOKUP($D1635,WGI!$C$2:$O$478,3,FALSE)</f>
        <v>-0.42240703988964201</v>
      </c>
      <c r="BY1635" s="129">
        <f>VLOOKUP($D1635,WGI!$C$2:$O$478,5,FALSE)</f>
        <v>0.401355532712239</v>
      </c>
      <c r="BZ1635" s="129">
        <f>VLOOKUP($D1635,WGI!$C$2:$O$478,2,FALSE)</f>
        <v>-0.34216136455586199</v>
      </c>
    </row>
    <row r="1636" spans="1:78" ht="15" customHeight="1">
      <c r="A1636" s="294" t="s">
        <v>457</v>
      </c>
      <c r="B1636" s="117">
        <v>2009</v>
      </c>
      <c r="C1636" s="117" t="s">
        <v>449</v>
      </c>
      <c r="D1636" s="117" t="s">
        <v>3643</v>
      </c>
      <c r="E1636" s="452" t="s">
        <v>220</v>
      </c>
      <c r="F1636" s="117"/>
      <c r="G1636" s="120" t="s">
        <v>24</v>
      </c>
      <c r="H1636" s="117" t="str">
        <f t="shared" si="281"/>
        <v>yes</v>
      </c>
      <c r="I1636" s="117" t="str">
        <f t="shared" si="273"/>
        <v>no</v>
      </c>
      <c r="J1636" s="117" t="str">
        <f t="shared" si="274"/>
        <v>no</v>
      </c>
      <c r="K1636" s="117" t="s">
        <v>1987</v>
      </c>
      <c r="L1636" s="117" t="str">
        <f t="shared" si="282"/>
        <v>detailed</v>
      </c>
      <c r="M1636" s="117" t="str">
        <f t="shared" si="275"/>
        <v>detailed Mining</v>
      </c>
      <c r="N1636" s="118"/>
      <c r="O1636" s="118"/>
      <c r="P1636" s="118"/>
      <c r="Q1636" s="118"/>
      <c r="R1636" s="118"/>
      <c r="S1636" s="117"/>
      <c r="T1636" s="119"/>
      <c r="U1636" s="117"/>
      <c r="V1636" s="117"/>
      <c r="W1636" s="89"/>
      <c r="X1636" s="117"/>
      <c r="Y1636" s="89"/>
      <c r="Z1636" s="89"/>
      <c r="AA1636" s="89"/>
      <c r="AB1636" s="89"/>
      <c r="AC1636" s="240"/>
      <c r="AD1636" s="240"/>
      <c r="AE1636" s="240"/>
      <c r="AF1636" s="241"/>
      <c r="AG1636" s="89"/>
      <c r="AH1636" s="124"/>
      <c r="AI1636" s="117"/>
      <c r="AJ1636" s="117"/>
      <c r="AK1636" s="89"/>
      <c r="AL1636" s="117"/>
      <c r="AM1636" s="117"/>
      <c r="AN1636" s="117"/>
      <c r="AO1636" s="117"/>
      <c r="AP1636" s="117"/>
      <c r="AQ1636" s="117"/>
      <c r="AR1636" s="117"/>
      <c r="AS1636" s="117"/>
      <c r="AT1636" s="117"/>
      <c r="AU1636" s="117"/>
      <c r="AV1636" s="128"/>
      <c r="AW1636" s="117">
        <f>VLOOKUP($D1636,'WB Data'!$C$3:$M$578,2,FALSE)</f>
        <v>121200381042.49667</v>
      </c>
      <c r="AX1636" s="117">
        <f>VLOOKUP($D1636,'WB Data'!$C$3:$M$578,3,FALSE)</f>
        <v>28934303</v>
      </c>
      <c r="AY1636" s="847">
        <f t="shared" si="277"/>
        <v>2.4466670326971723E-2</v>
      </c>
      <c r="AZ1636" s="117">
        <f>VLOOKUP($D1636,'WB Data'!$C$3:$M$578,4,FALSE)/100</f>
        <v>0.18903877723521581</v>
      </c>
      <c r="BA1636" s="117">
        <f t="shared" si="278"/>
        <v>22911571832.715801</v>
      </c>
      <c r="BB1636" s="129">
        <f>IFERROR(VLOOKUP($D1636,'EITI Revenues'!$C$2:$G$224,5,FALSE),"..")</f>
        <v>2965369766.4701195</v>
      </c>
      <c r="BC1636" s="846">
        <f t="shared" si="279"/>
        <v>0.12942672759953641</v>
      </c>
      <c r="BD1636" s="129">
        <f>VLOOKUP($D1636,'WB Data 2'!$C$2:$K$545,6,FALSE)</f>
        <v>15993770399.481031</v>
      </c>
      <c r="BE1636" s="129">
        <f>IFERROR(VLOOKUP($D1636,UNCTAD!$C$5:$V$529,4,FALSE),"..")</f>
        <v>30597077000</v>
      </c>
      <c r="BF1636" s="846">
        <f t="shared" si="280"/>
        <v>0.5227221672018223</v>
      </c>
      <c r="BG1636" s="117">
        <f>VLOOKUP($D1636,'WB Data'!$C$3:$M$578,5,FALSE)</f>
        <v>441170000</v>
      </c>
      <c r="BH1636" s="129">
        <f>IFERROR($BB1636/$BG1636,"..")</f>
        <v>6.7216033875152874</v>
      </c>
      <c r="BI1636" s="117">
        <f>IFERROR(VLOOKUP($D1636,'WB Data'!$C$3:$M$578,7,FALSE)/100,"..")</f>
        <v>2.9168400000000001E-2</v>
      </c>
      <c r="BJ1636" s="117">
        <f>IFERROR($BI1636*$AW1636,"..")</f>
        <v>3535221194.39996</v>
      </c>
      <c r="BK1636" s="846">
        <f>IFERROR($BB1636/$BJ1636,"..")</f>
        <v>0.83880741922668789</v>
      </c>
      <c r="BL1636" s="117">
        <f>IFERROR(VLOOKUP($D1636,'WB Data'!$C$3:$M$578,7,FALSE)/100,"..")</f>
        <v>2.9168400000000001E-2</v>
      </c>
      <c r="BM1636" s="117">
        <f>IFERROR($AW1636*$BL1636,"..")</f>
        <v>3535221194.39996</v>
      </c>
      <c r="BN1636" s="846">
        <f>IFERROR($BB1636/$BM1636,"..")</f>
        <v>0.83880741922668789</v>
      </c>
      <c r="BO1636" s="801">
        <f t="shared" si="276"/>
        <v>38</v>
      </c>
      <c r="BP1636" s="117">
        <f>VLOOKUP($D1636,'WB Data'!$C$3:$M$578,9,FALSE)</f>
        <v>33.5</v>
      </c>
      <c r="BQ1636" s="117">
        <f>VLOOKUP($D1636,'WB Data'!$C$3:$M$578,10,FALSE)</f>
        <v>73.603682926829279</v>
      </c>
      <c r="BR1636" s="117">
        <f>VLOOKUP($D1636,'WB Data'!$C$3:$M$578,11,FALSE)</f>
        <v>16.2</v>
      </c>
      <c r="BS1636" s="129">
        <f>IFERROR(VLOOKUP($D1636,'WB Data 2'!$C$2:$K$545,9,FALSE),"..")</f>
        <v>96.569890000000001</v>
      </c>
      <c r="BT1636" s="129">
        <f>_xlfn.IFNA(VLOOKUP($C1636,RGI!$A$2:$C$43,2,FALSE),"..")</f>
        <v>76.8</v>
      </c>
      <c r="BU1636" s="129">
        <f>_xlfn.IFNA(VLOOKUP($C1636,RGI!$A$2:$C$43,3,FALSE),"..")</f>
        <v>72.816147461462435</v>
      </c>
      <c r="BV1636" s="129">
        <f>VLOOKUP($D1636,WGI!$C$2:$O$478,7,FALSE)</f>
        <v>4.0587288441011303E-2</v>
      </c>
      <c r="BW1636" s="129">
        <f>VLOOKUP($D1636,WGI!$C$2:$O$478,4,FALSE)</f>
        <v>-1.1809401239462201</v>
      </c>
      <c r="BX1636" s="129">
        <f>VLOOKUP($D1636,WGI!$C$2:$O$478,3,FALSE)</f>
        <v>-0.42240703988964201</v>
      </c>
      <c r="BY1636" s="129">
        <f>VLOOKUP($D1636,WGI!$C$2:$O$478,5,FALSE)</f>
        <v>0.401355532712239</v>
      </c>
      <c r="BZ1636" s="129">
        <f>VLOOKUP($D1636,WGI!$C$2:$O$478,2,FALSE)</f>
        <v>-0.34216136455586199</v>
      </c>
    </row>
    <row r="1637" spans="1:78" ht="15" customHeight="1">
      <c r="A1637" s="294" t="s">
        <v>457</v>
      </c>
      <c r="B1637" s="117">
        <v>2009</v>
      </c>
      <c r="C1637" s="117" t="s">
        <v>449</v>
      </c>
      <c r="D1637" s="117" t="s">
        <v>3643</v>
      </c>
      <c r="E1637" s="452" t="s">
        <v>220</v>
      </c>
      <c r="F1637" s="117"/>
      <c r="G1637" s="120" t="s">
        <v>24</v>
      </c>
      <c r="H1637" s="117" t="str">
        <f t="shared" si="281"/>
        <v>yes</v>
      </c>
      <c r="I1637" s="117" t="str">
        <f t="shared" si="273"/>
        <v>no</v>
      </c>
      <c r="J1637" s="117" t="str">
        <f t="shared" si="274"/>
        <v>no</v>
      </c>
      <c r="K1637" s="117" t="s">
        <v>2099</v>
      </c>
      <c r="L1637" s="117" t="str">
        <f t="shared" si="282"/>
        <v>detailed</v>
      </c>
      <c r="M1637" s="117" t="str">
        <f t="shared" si="275"/>
        <v>detailed Mining</v>
      </c>
      <c r="N1637" s="118"/>
      <c r="O1637" s="118"/>
      <c r="P1637" s="118"/>
      <c r="Q1637" s="118"/>
      <c r="R1637" s="118"/>
      <c r="S1637" s="117"/>
      <c r="T1637" s="119"/>
      <c r="U1637" s="117"/>
      <c r="V1637" s="117"/>
      <c r="W1637" s="89"/>
      <c r="X1637" s="117"/>
      <c r="Y1637" s="89"/>
      <c r="Z1637" s="89"/>
      <c r="AA1637" s="89"/>
      <c r="AB1637" s="89"/>
      <c r="AC1637" s="240"/>
      <c r="AD1637" s="240"/>
      <c r="AE1637" s="240"/>
      <c r="AF1637" s="241"/>
      <c r="AG1637" s="89"/>
      <c r="AH1637" s="124"/>
      <c r="AI1637" s="117"/>
      <c r="AJ1637" s="117"/>
      <c r="AK1637" s="89"/>
      <c r="AL1637" s="117"/>
      <c r="AM1637" s="117"/>
      <c r="AN1637" s="117"/>
      <c r="AO1637" s="117"/>
      <c r="AP1637" s="117"/>
      <c r="AQ1637" s="117"/>
      <c r="AR1637" s="117"/>
      <c r="AS1637" s="117"/>
      <c r="AT1637" s="117"/>
      <c r="AU1637" s="117"/>
      <c r="AV1637" s="128"/>
      <c r="AW1637" s="117">
        <f>VLOOKUP($D1637,'WB Data'!$C$3:$M$578,2,FALSE)</f>
        <v>121200381042.49667</v>
      </c>
      <c r="AX1637" s="117">
        <f>VLOOKUP($D1637,'WB Data'!$C$3:$M$578,3,FALSE)</f>
        <v>28934303</v>
      </c>
      <c r="AY1637" s="847">
        <f t="shared" si="277"/>
        <v>2.4466670326971723E-2</v>
      </c>
      <c r="AZ1637" s="117">
        <f>VLOOKUP($D1637,'WB Data'!$C$3:$M$578,4,FALSE)/100</f>
        <v>0.18903877723521581</v>
      </c>
      <c r="BA1637" s="117">
        <f t="shared" si="278"/>
        <v>22911571832.715801</v>
      </c>
      <c r="BB1637" s="129">
        <f>IFERROR(VLOOKUP($D1637,'EITI Revenues'!$C$2:$G$224,5,FALSE),"..")</f>
        <v>2965369766.4701195</v>
      </c>
      <c r="BC1637" s="846">
        <f t="shared" si="279"/>
        <v>0.12942672759953641</v>
      </c>
      <c r="BD1637" s="129">
        <f>VLOOKUP($D1637,'WB Data 2'!$C$2:$K$545,6,FALSE)</f>
        <v>15993770399.481031</v>
      </c>
      <c r="BE1637" s="129">
        <f>IFERROR(VLOOKUP($D1637,UNCTAD!$C$5:$V$529,4,FALSE),"..")</f>
        <v>30597077000</v>
      </c>
      <c r="BF1637" s="846">
        <f t="shared" si="280"/>
        <v>0.5227221672018223</v>
      </c>
      <c r="BG1637" s="117">
        <f>VLOOKUP($D1637,'WB Data'!$C$3:$M$578,5,FALSE)</f>
        <v>441170000</v>
      </c>
      <c r="BH1637" s="129">
        <f>IFERROR($BB1637/$BG1637,"..")</f>
        <v>6.7216033875152874</v>
      </c>
      <c r="BI1637" s="117">
        <f>IFERROR(VLOOKUP($D1637,'WB Data'!$C$3:$M$578,7,FALSE)/100,"..")</f>
        <v>2.9168400000000001E-2</v>
      </c>
      <c r="BJ1637" s="117">
        <f>IFERROR($BI1637*$AW1637,"..")</f>
        <v>3535221194.39996</v>
      </c>
      <c r="BK1637" s="846">
        <f>IFERROR($BB1637/$BJ1637,"..")</f>
        <v>0.83880741922668789</v>
      </c>
      <c r="BL1637" s="117">
        <f>IFERROR(VLOOKUP($D1637,'WB Data'!$C$3:$M$578,7,FALSE)/100,"..")</f>
        <v>2.9168400000000001E-2</v>
      </c>
      <c r="BM1637" s="117">
        <f>IFERROR($AW1637*$BL1637,"..")</f>
        <v>3535221194.39996</v>
      </c>
      <c r="BN1637" s="846">
        <f>IFERROR($BB1637/$BM1637,"..")</f>
        <v>0.83880741922668789</v>
      </c>
      <c r="BO1637" s="801">
        <f t="shared" si="276"/>
        <v>38</v>
      </c>
      <c r="BP1637" s="117">
        <f>VLOOKUP($D1637,'WB Data'!$C$3:$M$578,9,FALSE)</f>
        <v>33.5</v>
      </c>
      <c r="BQ1637" s="117">
        <f>VLOOKUP($D1637,'WB Data'!$C$3:$M$578,10,FALSE)</f>
        <v>73.603682926829279</v>
      </c>
      <c r="BR1637" s="117">
        <f>VLOOKUP($D1637,'WB Data'!$C$3:$M$578,11,FALSE)</f>
        <v>16.2</v>
      </c>
      <c r="BS1637" s="129">
        <f>IFERROR(VLOOKUP($D1637,'WB Data 2'!$C$2:$K$545,9,FALSE),"..")</f>
        <v>96.569890000000001</v>
      </c>
      <c r="BT1637" s="129">
        <f>_xlfn.IFNA(VLOOKUP($C1637,RGI!$A$2:$C$43,2,FALSE),"..")</f>
        <v>76.8</v>
      </c>
      <c r="BU1637" s="129">
        <f>_xlfn.IFNA(VLOOKUP($C1637,RGI!$A$2:$C$43,3,FALSE),"..")</f>
        <v>72.816147461462435</v>
      </c>
      <c r="BV1637" s="129">
        <f>VLOOKUP($D1637,WGI!$C$2:$O$478,7,FALSE)</f>
        <v>4.0587288441011303E-2</v>
      </c>
      <c r="BW1637" s="129">
        <f>VLOOKUP($D1637,WGI!$C$2:$O$478,4,FALSE)</f>
        <v>-1.1809401239462201</v>
      </c>
      <c r="BX1637" s="129">
        <f>VLOOKUP($D1637,WGI!$C$2:$O$478,3,FALSE)</f>
        <v>-0.42240703988964201</v>
      </c>
      <c r="BY1637" s="129">
        <f>VLOOKUP($D1637,WGI!$C$2:$O$478,5,FALSE)</f>
        <v>0.401355532712239</v>
      </c>
      <c r="BZ1637" s="129">
        <f>VLOOKUP($D1637,WGI!$C$2:$O$478,2,FALSE)</f>
        <v>-0.34216136455586199</v>
      </c>
    </row>
    <row r="1638" spans="1:78" ht="15" customHeight="1">
      <c r="A1638" s="294" t="s">
        <v>457</v>
      </c>
      <c r="B1638" s="117">
        <v>2009</v>
      </c>
      <c r="C1638" s="117" t="s">
        <v>449</v>
      </c>
      <c r="D1638" s="117" t="s">
        <v>3643</v>
      </c>
      <c r="E1638" s="452" t="s">
        <v>220</v>
      </c>
      <c r="F1638" s="117"/>
      <c r="G1638" s="120" t="s">
        <v>24</v>
      </c>
      <c r="H1638" s="117" t="str">
        <f t="shared" si="281"/>
        <v>yes</v>
      </c>
      <c r="I1638" s="117" t="str">
        <f t="shared" si="273"/>
        <v>no</v>
      </c>
      <c r="J1638" s="117" t="str">
        <f t="shared" si="274"/>
        <v>no</v>
      </c>
      <c r="K1638" s="117" t="s">
        <v>2100</v>
      </c>
      <c r="L1638" s="117" t="str">
        <f t="shared" si="282"/>
        <v>detailed</v>
      </c>
      <c r="M1638" s="117" t="str">
        <f t="shared" si="275"/>
        <v>detailed Mining</v>
      </c>
      <c r="N1638" s="118"/>
      <c r="O1638" s="118"/>
      <c r="P1638" s="118"/>
      <c r="Q1638" s="118"/>
      <c r="R1638" s="118"/>
      <c r="S1638" s="117"/>
      <c r="T1638" s="119"/>
      <c r="U1638" s="117"/>
      <c r="V1638" s="117"/>
      <c r="W1638" s="89"/>
      <c r="X1638" s="117"/>
      <c r="Y1638" s="89"/>
      <c r="Z1638" s="89"/>
      <c r="AA1638" s="89"/>
      <c r="AB1638" s="89"/>
      <c r="AC1638" s="240"/>
      <c r="AD1638" s="240"/>
      <c r="AE1638" s="240"/>
      <c r="AF1638" s="241"/>
      <c r="AG1638" s="89"/>
      <c r="AH1638" s="124"/>
      <c r="AI1638" s="117"/>
      <c r="AJ1638" s="117"/>
      <c r="AK1638" s="89"/>
      <c r="AL1638" s="117"/>
      <c r="AM1638" s="117"/>
      <c r="AN1638" s="117"/>
      <c r="AO1638" s="117"/>
      <c r="AP1638" s="117"/>
      <c r="AQ1638" s="117"/>
      <c r="AR1638" s="117"/>
      <c r="AS1638" s="117"/>
      <c r="AT1638" s="117"/>
      <c r="AU1638" s="117"/>
      <c r="AV1638" s="128"/>
      <c r="AW1638" s="117">
        <f>VLOOKUP($D1638,'WB Data'!$C$3:$M$578,2,FALSE)</f>
        <v>121200381042.49667</v>
      </c>
      <c r="AX1638" s="117">
        <f>VLOOKUP($D1638,'WB Data'!$C$3:$M$578,3,FALSE)</f>
        <v>28934303</v>
      </c>
      <c r="AY1638" s="847">
        <f t="shared" si="277"/>
        <v>2.4466670326971723E-2</v>
      </c>
      <c r="AZ1638" s="117">
        <f>VLOOKUP($D1638,'WB Data'!$C$3:$M$578,4,FALSE)/100</f>
        <v>0.18903877723521581</v>
      </c>
      <c r="BA1638" s="117">
        <f t="shared" si="278"/>
        <v>22911571832.715801</v>
      </c>
      <c r="BB1638" s="129">
        <f>IFERROR(VLOOKUP($D1638,'EITI Revenues'!$C$2:$G$224,5,FALSE),"..")</f>
        <v>2965369766.4701195</v>
      </c>
      <c r="BC1638" s="846">
        <f t="shared" si="279"/>
        <v>0.12942672759953641</v>
      </c>
      <c r="BD1638" s="129">
        <f>VLOOKUP($D1638,'WB Data 2'!$C$2:$K$545,6,FALSE)</f>
        <v>15993770399.481031</v>
      </c>
      <c r="BE1638" s="129">
        <f>IFERROR(VLOOKUP($D1638,UNCTAD!$C$5:$V$529,4,FALSE),"..")</f>
        <v>30597077000</v>
      </c>
      <c r="BF1638" s="846">
        <f t="shared" si="280"/>
        <v>0.5227221672018223</v>
      </c>
      <c r="BG1638" s="117">
        <f>VLOOKUP($D1638,'WB Data'!$C$3:$M$578,5,FALSE)</f>
        <v>441170000</v>
      </c>
      <c r="BH1638" s="129">
        <f>IFERROR($BB1638/$BG1638,"..")</f>
        <v>6.7216033875152874</v>
      </c>
      <c r="BI1638" s="117">
        <f>IFERROR(VLOOKUP($D1638,'WB Data'!$C$3:$M$578,7,FALSE)/100,"..")</f>
        <v>2.9168400000000001E-2</v>
      </c>
      <c r="BJ1638" s="117">
        <f>IFERROR($BI1638*$AW1638,"..")</f>
        <v>3535221194.39996</v>
      </c>
      <c r="BK1638" s="846">
        <f>IFERROR($BB1638/$BJ1638,"..")</f>
        <v>0.83880741922668789</v>
      </c>
      <c r="BL1638" s="117">
        <f>IFERROR(VLOOKUP($D1638,'WB Data'!$C$3:$M$578,7,FALSE)/100,"..")</f>
        <v>2.9168400000000001E-2</v>
      </c>
      <c r="BM1638" s="117">
        <f>IFERROR($AW1638*$BL1638,"..")</f>
        <v>3535221194.39996</v>
      </c>
      <c r="BN1638" s="846">
        <f>IFERROR($BB1638/$BM1638,"..")</f>
        <v>0.83880741922668789</v>
      </c>
      <c r="BO1638" s="801">
        <f t="shared" si="276"/>
        <v>38</v>
      </c>
      <c r="BP1638" s="117">
        <f>VLOOKUP($D1638,'WB Data'!$C$3:$M$578,9,FALSE)</f>
        <v>33.5</v>
      </c>
      <c r="BQ1638" s="117">
        <f>VLOOKUP($D1638,'WB Data'!$C$3:$M$578,10,FALSE)</f>
        <v>73.603682926829279</v>
      </c>
      <c r="BR1638" s="117">
        <f>VLOOKUP($D1638,'WB Data'!$C$3:$M$578,11,FALSE)</f>
        <v>16.2</v>
      </c>
      <c r="BS1638" s="129">
        <f>IFERROR(VLOOKUP($D1638,'WB Data 2'!$C$2:$K$545,9,FALSE),"..")</f>
        <v>96.569890000000001</v>
      </c>
      <c r="BT1638" s="129">
        <f>_xlfn.IFNA(VLOOKUP($C1638,RGI!$A$2:$C$43,2,FALSE),"..")</f>
        <v>76.8</v>
      </c>
      <c r="BU1638" s="129">
        <f>_xlfn.IFNA(VLOOKUP($C1638,RGI!$A$2:$C$43,3,FALSE),"..")</f>
        <v>72.816147461462435</v>
      </c>
      <c r="BV1638" s="129">
        <f>VLOOKUP($D1638,WGI!$C$2:$O$478,7,FALSE)</f>
        <v>4.0587288441011303E-2</v>
      </c>
      <c r="BW1638" s="129">
        <f>VLOOKUP($D1638,WGI!$C$2:$O$478,4,FALSE)</f>
        <v>-1.1809401239462201</v>
      </c>
      <c r="BX1638" s="129">
        <f>VLOOKUP($D1638,WGI!$C$2:$O$478,3,FALSE)</f>
        <v>-0.42240703988964201</v>
      </c>
      <c r="BY1638" s="129">
        <f>VLOOKUP($D1638,WGI!$C$2:$O$478,5,FALSE)</f>
        <v>0.401355532712239</v>
      </c>
      <c r="BZ1638" s="129">
        <f>VLOOKUP($D1638,WGI!$C$2:$O$478,2,FALSE)</f>
        <v>-0.34216136455586199</v>
      </c>
    </row>
    <row r="1639" spans="1:78" ht="15" customHeight="1">
      <c r="A1639" s="294" t="s">
        <v>457</v>
      </c>
      <c r="B1639" s="117">
        <v>2009</v>
      </c>
      <c r="C1639" s="117" t="s">
        <v>449</v>
      </c>
      <c r="D1639" s="117" t="s">
        <v>3643</v>
      </c>
      <c r="E1639" s="452" t="s">
        <v>220</v>
      </c>
      <c r="F1639" s="117"/>
      <c r="G1639" s="120" t="s">
        <v>24</v>
      </c>
      <c r="H1639" s="117" t="str">
        <f t="shared" si="281"/>
        <v>yes</v>
      </c>
      <c r="I1639" s="117" t="str">
        <f t="shared" si="273"/>
        <v>no</v>
      </c>
      <c r="J1639" s="117" t="str">
        <f t="shared" si="274"/>
        <v>no</v>
      </c>
      <c r="K1639" s="117" t="s">
        <v>1066</v>
      </c>
      <c r="L1639" s="117" t="str">
        <f t="shared" si="282"/>
        <v>detailed</v>
      </c>
      <c r="M1639" s="117" t="str">
        <f t="shared" si="275"/>
        <v>detailed Mining</v>
      </c>
      <c r="N1639" s="118"/>
      <c r="O1639" s="118"/>
      <c r="P1639" s="118"/>
      <c r="Q1639" s="118"/>
      <c r="R1639" s="118"/>
      <c r="S1639" s="117"/>
      <c r="T1639" s="119"/>
      <c r="U1639" s="117"/>
      <c r="V1639" s="117"/>
      <c r="W1639" s="89"/>
      <c r="X1639" s="117"/>
      <c r="Y1639" s="89"/>
      <c r="Z1639" s="89"/>
      <c r="AA1639" s="89"/>
      <c r="AB1639" s="89"/>
      <c r="AC1639" s="240"/>
      <c r="AD1639" s="240"/>
      <c r="AE1639" s="240"/>
      <c r="AF1639" s="241"/>
      <c r="AG1639" s="89"/>
      <c r="AH1639" s="124"/>
      <c r="AI1639" s="117"/>
      <c r="AJ1639" s="117"/>
      <c r="AK1639" s="89"/>
      <c r="AL1639" s="117"/>
      <c r="AM1639" s="117"/>
      <c r="AN1639" s="117"/>
      <c r="AO1639" s="117"/>
      <c r="AP1639" s="117"/>
      <c r="AQ1639" s="117"/>
      <c r="AR1639" s="117"/>
      <c r="AS1639" s="117"/>
      <c r="AT1639" s="117"/>
      <c r="AU1639" s="117"/>
      <c r="AV1639" s="128"/>
      <c r="AW1639" s="117">
        <f>VLOOKUP($D1639,'WB Data'!$C$3:$M$578,2,FALSE)</f>
        <v>121200381042.49667</v>
      </c>
      <c r="AX1639" s="117">
        <f>VLOOKUP($D1639,'WB Data'!$C$3:$M$578,3,FALSE)</f>
        <v>28934303</v>
      </c>
      <c r="AY1639" s="847">
        <f t="shared" si="277"/>
        <v>2.4466670326971723E-2</v>
      </c>
      <c r="AZ1639" s="117">
        <f>VLOOKUP($D1639,'WB Data'!$C$3:$M$578,4,FALSE)/100</f>
        <v>0.18903877723521581</v>
      </c>
      <c r="BA1639" s="117">
        <f t="shared" si="278"/>
        <v>22911571832.715801</v>
      </c>
      <c r="BB1639" s="129">
        <f>IFERROR(VLOOKUP($D1639,'EITI Revenues'!$C$2:$G$224,5,FALSE),"..")</f>
        <v>2965369766.4701195</v>
      </c>
      <c r="BC1639" s="846">
        <f t="shared" si="279"/>
        <v>0.12942672759953641</v>
      </c>
      <c r="BD1639" s="129">
        <f>VLOOKUP($D1639,'WB Data 2'!$C$2:$K$545,6,FALSE)</f>
        <v>15993770399.481031</v>
      </c>
      <c r="BE1639" s="129">
        <f>IFERROR(VLOOKUP($D1639,UNCTAD!$C$5:$V$529,4,FALSE),"..")</f>
        <v>30597077000</v>
      </c>
      <c r="BF1639" s="846">
        <f t="shared" si="280"/>
        <v>0.5227221672018223</v>
      </c>
      <c r="BG1639" s="117">
        <f>VLOOKUP($D1639,'WB Data'!$C$3:$M$578,5,FALSE)</f>
        <v>441170000</v>
      </c>
      <c r="BH1639" s="129">
        <f>IFERROR($BB1639/$BG1639,"..")</f>
        <v>6.7216033875152874</v>
      </c>
      <c r="BI1639" s="117">
        <f>IFERROR(VLOOKUP($D1639,'WB Data'!$C$3:$M$578,7,FALSE)/100,"..")</f>
        <v>2.9168400000000001E-2</v>
      </c>
      <c r="BJ1639" s="117">
        <f>IFERROR($BI1639*$AW1639,"..")</f>
        <v>3535221194.39996</v>
      </c>
      <c r="BK1639" s="846">
        <f>IFERROR($BB1639/$BJ1639,"..")</f>
        <v>0.83880741922668789</v>
      </c>
      <c r="BL1639" s="117">
        <f>IFERROR(VLOOKUP($D1639,'WB Data'!$C$3:$M$578,7,FALSE)/100,"..")</f>
        <v>2.9168400000000001E-2</v>
      </c>
      <c r="BM1639" s="117">
        <f>IFERROR($AW1639*$BL1639,"..")</f>
        <v>3535221194.39996</v>
      </c>
      <c r="BN1639" s="846">
        <f>IFERROR($BB1639/$BM1639,"..")</f>
        <v>0.83880741922668789</v>
      </c>
      <c r="BO1639" s="801">
        <f t="shared" si="276"/>
        <v>38</v>
      </c>
      <c r="BP1639" s="117">
        <f>VLOOKUP($D1639,'WB Data'!$C$3:$M$578,9,FALSE)</f>
        <v>33.5</v>
      </c>
      <c r="BQ1639" s="117">
        <f>VLOOKUP($D1639,'WB Data'!$C$3:$M$578,10,FALSE)</f>
        <v>73.603682926829279</v>
      </c>
      <c r="BR1639" s="117">
        <f>VLOOKUP($D1639,'WB Data'!$C$3:$M$578,11,FALSE)</f>
        <v>16.2</v>
      </c>
      <c r="BS1639" s="129">
        <f>IFERROR(VLOOKUP($D1639,'WB Data 2'!$C$2:$K$545,9,FALSE),"..")</f>
        <v>96.569890000000001</v>
      </c>
      <c r="BT1639" s="129">
        <f>_xlfn.IFNA(VLOOKUP($C1639,RGI!$A$2:$C$43,2,FALSE),"..")</f>
        <v>76.8</v>
      </c>
      <c r="BU1639" s="129">
        <f>_xlfn.IFNA(VLOOKUP($C1639,RGI!$A$2:$C$43,3,FALSE),"..")</f>
        <v>72.816147461462435</v>
      </c>
      <c r="BV1639" s="129">
        <f>VLOOKUP($D1639,WGI!$C$2:$O$478,7,FALSE)</f>
        <v>4.0587288441011303E-2</v>
      </c>
      <c r="BW1639" s="129">
        <f>VLOOKUP($D1639,WGI!$C$2:$O$478,4,FALSE)</f>
        <v>-1.1809401239462201</v>
      </c>
      <c r="BX1639" s="129">
        <f>VLOOKUP($D1639,WGI!$C$2:$O$478,3,FALSE)</f>
        <v>-0.42240703988964201</v>
      </c>
      <c r="BY1639" s="129">
        <f>VLOOKUP($D1639,WGI!$C$2:$O$478,5,FALSE)</f>
        <v>0.401355532712239</v>
      </c>
      <c r="BZ1639" s="129">
        <f>VLOOKUP($D1639,WGI!$C$2:$O$478,2,FALSE)</f>
        <v>-0.34216136455586199</v>
      </c>
    </row>
    <row r="1640" spans="1:78" ht="15" customHeight="1">
      <c r="A1640" s="294" t="s">
        <v>457</v>
      </c>
      <c r="B1640" s="117">
        <v>2009</v>
      </c>
      <c r="C1640" s="117" t="s">
        <v>449</v>
      </c>
      <c r="D1640" s="117" t="s">
        <v>3643</v>
      </c>
      <c r="E1640" s="452" t="s">
        <v>220</v>
      </c>
      <c r="F1640" s="117"/>
      <c r="G1640" s="120" t="s">
        <v>24</v>
      </c>
      <c r="H1640" s="117" t="str">
        <f t="shared" si="281"/>
        <v>yes</v>
      </c>
      <c r="I1640" s="117" t="str">
        <f t="shared" si="273"/>
        <v>no</v>
      </c>
      <c r="J1640" s="117" t="str">
        <f t="shared" si="274"/>
        <v>no</v>
      </c>
      <c r="K1640" s="117" t="s">
        <v>2110</v>
      </c>
      <c r="L1640" s="117" t="str">
        <f t="shared" si="282"/>
        <v>detailed</v>
      </c>
      <c r="M1640" s="117" t="str">
        <f t="shared" si="275"/>
        <v>detailed Mining</v>
      </c>
      <c r="N1640" s="118"/>
      <c r="O1640" s="118"/>
      <c r="P1640" s="118"/>
      <c r="Q1640" s="118"/>
      <c r="R1640" s="118"/>
      <c r="S1640" s="117"/>
      <c r="T1640" s="119"/>
      <c r="U1640" s="117"/>
      <c r="V1640" s="117"/>
      <c r="W1640" s="89"/>
      <c r="X1640" s="117"/>
      <c r="Y1640" s="89"/>
      <c r="Z1640" s="89"/>
      <c r="AA1640" s="89"/>
      <c r="AB1640" s="89"/>
      <c r="AC1640" s="240"/>
      <c r="AD1640" s="240"/>
      <c r="AE1640" s="240"/>
      <c r="AF1640" s="241"/>
      <c r="AG1640" s="89"/>
      <c r="AH1640" s="124"/>
      <c r="AI1640" s="117"/>
      <c r="AJ1640" s="117"/>
      <c r="AK1640" s="89"/>
      <c r="AL1640" s="117"/>
      <c r="AM1640" s="117"/>
      <c r="AN1640" s="117"/>
      <c r="AO1640" s="117"/>
      <c r="AP1640" s="117"/>
      <c r="AQ1640" s="117"/>
      <c r="AR1640" s="117"/>
      <c r="AS1640" s="117"/>
      <c r="AT1640" s="117"/>
      <c r="AU1640" s="117"/>
      <c r="AV1640" s="128"/>
      <c r="AW1640" s="117">
        <f>VLOOKUP($D1640,'WB Data'!$C$3:$M$578,2,FALSE)</f>
        <v>121200381042.49667</v>
      </c>
      <c r="AX1640" s="117">
        <f>VLOOKUP($D1640,'WB Data'!$C$3:$M$578,3,FALSE)</f>
        <v>28934303</v>
      </c>
      <c r="AY1640" s="847">
        <f t="shared" si="277"/>
        <v>2.4466670326971723E-2</v>
      </c>
      <c r="AZ1640" s="117">
        <f>VLOOKUP($D1640,'WB Data'!$C$3:$M$578,4,FALSE)/100</f>
        <v>0.18903877723521581</v>
      </c>
      <c r="BA1640" s="117">
        <f t="shared" si="278"/>
        <v>22911571832.715801</v>
      </c>
      <c r="BB1640" s="129">
        <f>IFERROR(VLOOKUP($D1640,'EITI Revenues'!$C$2:$G$224,5,FALSE),"..")</f>
        <v>2965369766.4701195</v>
      </c>
      <c r="BC1640" s="846">
        <f t="shared" si="279"/>
        <v>0.12942672759953641</v>
      </c>
      <c r="BD1640" s="129">
        <f>VLOOKUP($D1640,'WB Data 2'!$C$2:$K$545,6,FALSE)</f>
        <v>15993770399.481031</v>
      </c>
      <c r="BE1640" s="129">
        <f>IFERROR(VLOOKUP($D1640,UNCTAD!$C$5:$V$529,4,FALSE),"..")</f>
        <v>30597077000</v>
      </c>
      <c r="BF1640" s="846">
        <f t="shared" si="280"/>
        <v>0.5227221672018223</v>
      </c>
      <c r="BG1640" s="117">
        <f>VLOOKUP($D1640,'WB Data'!$C$3:$M$578,5,FALSE)</f>
        <v>441170000</v>
      </c>
      <c r="BH1640" s="129">
        <f>IFERROR($BB1640/$BG1640,"..")</f>
        <v>6.7216033875152874</v>
      </c>
      <c r="BI1640" s="117">
        <f>IFERROR(VLOOKUP($D1640,'WB Data'!$C$3:$M$578,7,FALSE)/100,"..")</f>
        <v>2.9168400000000001E-2</v>
      </c>
      <c r="BJ1640" s="117">
        <f>IFERROR($BI1640*$AW1640,"..")</f>
        <v>3535221194.39996</v>
      </c>
      <c r="BK1640" s="846">
        <f>IFERROR($BB1640/$BJ1640,"..")</f>
        <v>0.83880741922668789</v>
      </c>
      <c r="BL1640" s="117">
        <f>IFERROR(VLOOKUP($D1640,'WB Data'!$C$3:$M$578,7,FALSE)/100,"..")</f>
        <v>2.9168400000000001E-2</v>
      </c>
      <c r="BM1640" s="117">
        <f>IFERROR($AW1640*$BL1640,"..")</f>
        <v>3535221194.39996</v>
      </c>
      <c r="BN1640" s="846">
        <f>IFERROR($BB1640/$BM1640,"..")</f>
        <v>0.83880741922668789</v>
      </c>
      <c r="BO1640" s="801">
        <f t="shared" si="276"/>
        <v>38</v>
      </c>
      <c r="BP1640" s="117">
        <f>VLOOKUP($D1640,'WB Data'!$C$3:$M$578,9,FALSE)</f>
        <v>33.5</v>
      </c>
      <c r="BQ1640" s="117">
        <f>VLOOKUP($D1640,'WB Data'!$C$3:$M$578,10,FALSE)</f>
        <v>73.603682926829279</v>
      </c>
      <c r="BR1640" s="117">
        <f>VLOOKUP($D1640,'WB Data'!$C$3:$M$578,11,FALSE)</f>
        <v>16.2</v>
      </c>
      <c r="BS1640" s="129">
        <f>IFERROR(VLOOKUP($D1640,'WB Data 2'!$C$2:$K$545,9,FALSE),"..")</f>
        <v>96.569890000000001</v>
      </c>
      <c r="BT1640" s="129">
        <f>_xlfn.IFNA(VLOOKUP($C1640,RGI!$A$2:$C$43,2,FALSE),"..")</f>
        <v>76.8</v>
      </c>
      <c r="BU1640" s="129">
        <f>_xlfn.IFNA(VLOOKUP($C1640,RGI!$A$2:$C$43,3,FALSE),"..")</f>
        <v>72.816147461462435</v>
      </c>
      <c r="BV1640" s="129">
        <f>VLOOKUP($D1640,WGI!$C$2:$O$478,7,FALSE)</f>
        <v>4.0587288441011303E-2</v>
      </c>
      <c r="BW1640" s="129">
        <f>VLOOKUP($D1640,WGI!$C$2:$O$478,4,FALSE)</f>
        <v>-1.1809401239462201</v>
      </c>
      <c r="BX1640" s="129">
        <f>VLOOKUP($D1640,WGI!$C$2:$O$478,3,FALSE)</f>
        <v>-0.42240703988964201</v>
      </c>
      <c r="BY1640" s="129">
        <f>VLOOKUP($D1640,WGI!$C$2:$O$478,5,FALSE)</f>
        <v>0.401355532712239</v>
      </c>
      <c r="BZ1640" s="129">
        <f>VLOOKUP($D1640,WGI!$C$2:$O$478,2,FALSE)</f>
        <v>-0.34216136455586199</v>
      </c>
    </row>
    <row r="1641" spans="1:78" ht="15" customHeight="1">
      <c r="A1641" s="294" t="s">
        <v>457</v>
      </c>
      <c r="B1641" s="117">
        <v>2009</v>
      </c>
      <c r="C1641" s="117" t="s">
        <v>449</v>
      </c>
      <c r="D1641" s="117" t="s">
        <v>3643</v>
      </c>
      <c r="E1641" s="452" t="s">
        <v>220</v>
      </c>
      <c r="F1641" s="117"/>
      <c r="G1641" s="120" t="s">
        <v>24</v>
      </c>
      <c r="H1641" s="117" t="str">
        <f t="shared" si="281"/>
        <v>yes</v>
      </c>
      <c r="I1641" s="117" t="str">
        <f t="shared" si="273"/>
        <v>no</v>
      </c>
      <c r="J1641" s="117" t="str">
        <f t="shared" si="274"/>
        <v>no</v>
      </c>
      <c r="K1641" s="117" t="s">
        <v>1437</v>
      </c>
      <c r="L1641" s="117" t="str">
        <f t="shared" si="282"/>
        <v>detailed</v>
      </c>
      <c r="M1641" s="117" t="str">
        <f t="shared" si="275"/>
        <v>detailed Mining</v>
      </c>
      <c r="N1641" s="118"/>
      <c r="O1641" s="118"/>
      <c r="P1641" s="118"/>
      <c r="Q1641" s="118"/>
      <c r="R1641" s="118"/>
      <c r="S1641" s="117"/>
      <c r="T1641" s="119"/>
      <c r="U1641" s="117"/>
      <c r="V1641" s="117"/>
      <c r="W1641" s="89"/>
      <c r="X1641" s="117"/>
      <c r="Y1641" s="89"/>
      <c r="Z1641" s="89"/>
      <c r="AA1641" s="89"/>
      <c r="AB1641" s="89"/>
      <c r="AC1641" s="240"/>
      <c r="AD1641" s="240"/>
      <c r="AE1641" s="240"/>
      <c r="AF1641" s="241"/>
      <c r="AG1641" s="89"/>
      <c r="AH1641" s="124"/>
      <c r="AI1641" s="117"/>
      <c r="AJ1641" s="117"/>
      <c r="AK1641" s="89"/>
      <c r="AL1641" s="117"/>
      <c r="AM1641" s="117"/>
      <c r="AN1641" s="117"/>
      <c r="AO1641" s="117"/>
      <c r="AP1641" s="117"/>
      <c r="AQ1641" s="117"/>
      <c r="AR1641" s="117"/>
      <c r="AS1641" s="117"/>
      <c r="AT1641" s="117"/>
      <c r="AU1641" s="117"/>
      <c r="AV1641" s="128"/>
      <c r="AW1641" s="117">
        <f>VLOOKUP($D1641,'WB Data'!$C$3:$M$578,2,FALSE)</f>
        <v>121200381042.49667</v>
      </c>
      <c r="AX1641" s="117">
        <f>VLOOKUP($D1641,'WB Data'!$C$3:$M$578,3,FALSE)</f>
        <v>28934303</v>
      </c>
      <c r="AY1641" s="847">
        <f t="shared" si="277"/>
        <v>2.4466670326971723E-2</v>
      </c>
      <c r="AZ1641" s="117">
        <f>VLOOKUP($D1641,'WB Data'!$C$3:$M$578,4,FALSE)/100</f>
        <v>0.18903877723521581</v>
      </c>
      <c r="BA1641" s="117">
        <f t="shared" si="278"/>
        <v>22911571832.715801</v>
      </c>
      <c r="BB1641" s="129">
        <f>IFERROR(VLOOKUP($D1641,'EITI Revenues'!$C$2:$G$224,5,FALSE),"..")</f>
        <v>2965369766.4701195</v>
      </c>
      <c r="BC1641" s="846">
        <f t="shared" si="279"/>
        <v>0.12942672759953641</v>
      </c>
      <c r="BD1641" s="129">
        <f>VLOOKUP($D1641,'WB Data 2'!$C$2:$K$545,6,FALSE)</f>
        <v>15993770399.481031</v>
      </c>
      <c r="BE1641" s="129">
        <f>IFERROR(VLOOKUP($D1641,UNCTAD!$C$5:$V$529,4,FALSE),"..")</f>
        <v>30597077000</v>
      </c>
      <c r="BF1641" s="846">
        <f t="shared" si="280"/>
        <v>0.5227221672018223</v>
      </c>
      <c r="BG1641" s="117">
        <f>VLOOKUP($D1641,'WB Data'!$C$3:$M$578,5,FALSE)</f>
        <v>441170000</v>
      </c>
      <c r="BH1641" s="129">
        <f>IFERROR($BB1641/$BG1641,"..")</f>
        <v>6.7216033875152874</v>
      </c>
      <c r="BI1641" s="117">
        <f>IFERROR(VLOOKUP($D1641,'WB Data'!$C$3:$M$578,7,FALSE)/100,"..")</f>
        <v>2.9168400000000001E-2</v>
      </c>
      <c r="BJ1641" s="117">
        <f>IFERROR($BI1641*$AW1641,"..")</f>
        <v>3535221194.39996</v>
      </c>
      <c r="BK1641" s="846">
        <f>IFERROR($BB1641/$BJ1641,"..")</f>
        <v>0.83880741922668789</v>
      </c>
      <c r="BL1641" s="117">
        <f>IFERROR(VLOOKUP($D1641,'WB Data'!$C$3:$M$578,7,FALSE)/100,"..")</f>
        <v>2.9168400000000001E-2</v>
      </c>
      <c r="BM1641" s="117">
        <f>IFERROR($AW1641*$BL1641,"..")</f>
        <v>3535221194.39996</v>
      </c>
      <c r="BN1641" s="846">
        <f>IFERROR($BB1641/$BM1641,"..")</f>
        <v>0.83880741922668789</v>
      </c>
      <c r="BO1641" s="801">
        <f t="shared" si="276"/>
        <v>38</v>
      </c>
      <c r="BP1641" s="117">
        <f>VLOOKUP($D1641,'WB Data'!$C$3:$M$578,9,FALSE)</f>
        <v>33.5</v>
      </c>
      <c r="BQ1641" s="117">
        <f>VLOOKUP($D1641,'WB Data'!$C$3:$M$578,10,FALSE)</f>
        <v>73.603682926829279</v>
      </c>
      <c r="BR1641" s="117">
        <f>VLOOKUP($D1641,'WB Data'!$C$3:$M$578,11,FALSE)</f>
        <v>16.2</v>
      </c>
      <c r="BS1641" s="129">
        <f>IFERROR(VLOOKUP($D1641,'WB Data 2'!$C$2:$K$545,9,FALSE),"..")</f>
        <v>96.569890000000001</v>
      </c>
      <c r="BT1641" s="129">
        <f>_xlfn.IFNA(VLOOKUP($C1641,RGI!$A$2:$C$43,2,FALSE),"..")</f>
        <v>76.8</v>
      </c>
      <c r="BU1641" s="129">
        <f>_xlfn.IFNA(VLOOKUP($C1641,RGI!$A$2:$C$43,3,FALSE),"..")</f>
        <v>72.816147461462435</v>
      </c>
      <c r="BV1641" s="129">
        <f>VLOOKUP($D1641,WGI!$C$2:$O$478,7,FALSE)</f>
        <v>4.0587288441011303E-2</v>
      </c>
      <c r="BW1641" s="129">
        <f>VLOOKUP($D1641,WGI!$C$2:$O$478,4,FALSE)</f>
        <v>-1.1809401239462201</v>
      </c>
      <c r="BX1641" s="129">
        <f>VLOOKUP($D1641,WGI!$C$2:$O$478,3,FALSE)</f>
        <v>-0.42240703988964201</v>
      </c>
      <c r="BY1641" s="129">
        <f>VLOOKUP($D1641,WGI!$C$2:$O$478,5,FALSE)</f>
        <v>0.401355532712239</v>
      </c>
      <c r="BZ1641" s="129">
        <f>VLOOKUP($D1641,WGI!$C$2:$O$478,2,FALSE)</f>
        <v>-0.34216136455586199</v>
      </c>
    </row>
    <row r="1642" spans="1:78" ht="15" customHeight="1">
      <c r="A1642" s="294" t="s">
        <v>457</v>
      </c>
      <c r="B1642" s="117">
        <v>2009</v>
      </c>
      <c r="C1642" s="117" t="s">
        <v>449</v>
      </c>
      <c r="D1642" s="117" t="s">
        <v>3643</v>
      </c>
      <c r="E1642" s="452" t="s">
        <v>220</v>
      </c>
      <c r="F1642" s="117"/>
      <c r="G1642" s="120" t="s">
        <v>24</v>
      </c>
      <c r="H1642" s="117" t="str">
        <f t="shared" si="281"/>
        <v>yes</v>
      </c>
      <c r="I1642" s="117" t="str">
        <f t="shared" si="273"/>
        <v>no</v>
      </c>
      <c r="J1642" s="117" t="str">
        <f t="shared" si="274"/>
        <v>no</v>
      </c>
      <c r="K1642" s="117" t="s">
        <v>2101</v>
      </c>
      <c r="L1642" s="117" t="str">
        <f t="shared" si="282"/>
        <v>detailed</v>
      </c>
      <c r="M1642" s="117" t="str">
        <f t="shared" si="275"/>
        <v>detailed Mining</v>
      </c>
      <c r="N1642" s="118"/>
      <c r="O1642" s="118"/>
      <c r="P1642" s="118"/>
      <c r="Q1642" s="118"/>
      <c r="R1642" s="118"/>
      <c r="S1642" s="117"/>
      <c r="T1642" s="119"/>
      <c r="U1642" s="117"/>
      <c r="V1642" s="117"/>
      <c r="W1642" s="89"/>
      <c r="X1642" s="117"/>
      <c r="Y1642" s="89"/>
      <c r="Z1642" s="89"/>
      <c r="AA1642" s="89"/>
      <c r="AB1642" s="89"/>
      <c r="AC1642" s="240"/>
      <c r="AD1642" s="240"/>
      <c r="AE1642" s="240"/>
      <c r="AF1642" s="241"/>
      <c r="AG1642" s="89"/>
      <c r="AH1642" s="124"/>
      <c r="AI1642" s="117"/>
      <c r="AJ1642" s="117"/>
      <c r="AK1642" s="89"/>
      <c r="AL1642" s="117"/>
      <c r="AM1642" s="117"/>
      <c r="AN1642" s="117"/>
      <c r="AO1642" s="117"/>
      <c r="AP1642" s="117"/>
      <c r="AQ1642" s="117"/>
      <c r="AR1642" s="117"/>
      <c r="AS1642" s="117"/>
      <c r="AT1642" s="117"/>
      <c r="AU1642" s="117"/>
      <c r="AV1642" s="128"/>
      <c r="AW1642" s="117">
        <f>VLOOKUP($D1642,'WB Data'!$C$3:$M$578,2,FALSE)</f>
        <v>121200381042.49667</v>
      </c>
      <c r="AX1642" s="117">
        <f>VLOOKUP($D1642,'WB Data'!$C$3:$M$578,3,FALSE)</f>
        <v>28934303</v>
      </c>
      <c r="AY1642" s="847">
        <f t="shared" si="277"/>
        <v>2.4466670326971723E-2</v>
      </c>
      <c r="AZ1642" s="117">
        <f>VLOOKUP($D1642,'WB Data'!$C$3:$M$578,4,FALSE)/100</f>
        <v>0.18903877723521581</v>
      </c>
      <c r="BA1642" s="117">
        <f t="shared" si="278"/>
        <v>22911571832.715801</v>
      </c>
      <c r="BB1642" s="129">
        <f>IFERROR(VLOOKUP($D1642,'EITI Revenues'!$C$2:$G$224,5,FALSE),"..")</f>
        <v>2965369766.4701195</v>
      </c>
      <c r="BC1642" s="846">
        <f t="shared" si="279"/>
        <v>0.12942672759953641</v>
      </c>
      <c r="BD1642" s="129">
        <f>VLOOKUP($D1642,'WB Data 2'!$C$2:$K$545,6,FALSE)</f>
        <v>15993770399.481031</v>
      </c>
      <c r="BE1642" s="129">
        <f>IFERROR(VLOOKUP($D1642,UNCTAD!$C$5:$V$529,4,FALSE),"..")</f>
        <v>30597077000</v>
      </c>
      <c r="BF1642" s="846">
        <f t="shared" si="280"/>
        <v>0.5227221672018223</v>
      </c>
      <c r="BG1642" s="117">
        <f>VLOOKUP($D1642,'WB Data'!$C$3:$M$578,5,FALSE)</f>
        <v>441170000</v>
      </c>
      <c r="BH1642" s="129">
        <f>IFERROR($BB1642/$BG1642,"..")</f>
        <v>6.7216033875152874</v>
      </c>
      <c r="BI1642" s="117">
        <f>IFERROR(VLOOKUP($D1642,'WB Data'!$C$3:$M$578,7,FALSE)/100,"..")</f>
        <v>2.9168400000000001E-2</v>
      </c>
      <c r="BJ1642" s="117">
        <f>IFERROR($BI1642*$AW1642,"..")</f>
        <v>3535221194.39996</v>
      </c>
      <c r="BK1642" s="846">
        <f>IFERROR($BB1642/$BJ1642,"..")</f>
        <v>0.83880741922668789</v>
      </c>
      <c r="BL1642" s="117">
        <f>IFERROR(VLOOKUP($D1642,'WB Data'!$C$3:$M$578,7,FALSE)/100,"..")</f>
        <v>2.9168400000000001E-2</v>
      </c>
      <c r="BM1642" s="117">
        <f>IFERROR($AW1642*$BL1642,"..")</f>
        <v>3535221194.39996</v>
      </c>
      <c r="BN1642" s="846">
        <f>IFERROR($BB1642/$BM1642,"..")</f>
        <v>0.83880741922668789</v>
      </c>
      <c r="BO1642" s="801">
        <f t="shared" si="276"/>
        <v>38</v>
      </c>
      <c r="BP1642" s="117">
        <f>VLOOKUP($D1642,'WB Data'!$C$3:$M$578,9,FALSE)</f>
        <v>33.5</v>
      </c>
      <c r="BQ1642" s="117">
        <f>VLOOKUP($D1642,'WB Data'!$C$3:$M$578,10,FALSE)</f>
        <v>73.603682926829279</v>
      </c>
      <c r="BR1642" s="117">
        <f>VLOOKUP($D1642,'WB Data'!$C$3:$M$578,11,FALSE)</f>
        <v>16.2</v>
      </c>
      <c r="BS1642" s="129">
        <f>IFERROR(VLOOKUP($D1642,'WB Data 2'!$C$2:$K$545,9,FALSE),"..")</f>
        <v>96.569890000000001</v>
      </c>
      <c r="BT1642" s="129">
        <f>_xlfn.IFNA(VLOOKUP($C1642,RGI!$A$2:$C$43,2,FALSE),"..")</f>
        <v>76.8</v>
      </c>
      <c r="BU1642" s="129">
        <f>_xlfn.IFNA(VLOOKUP($C1642,RGI!$A$2:$C$43,3,FALSE),"..")</f>
        <v>72.816147461462435</v>
      </c>
      <c r="BV1642" s="129">
        <f>VLOOKUP($D1642,WGI!$C$2:$O$478,7,FALSE)</f>
        <v>4.0587288441011303E-2</v>
      </c>
      <c r="BW1642" s="129">
        <f>VLOOKUP($D1642,WGI!$C$2:$O$478,4,FALSE)</f>
        <v>-1.1809401239462201</v>
      </c>
      <c r="BX1642" s="129">
        <f>VLOOKUP($D1642,WGI!$C$2:$O$478,3,FALSE)</f>
        <v>-0.42240703988964201</v>
      </c>
      <c r="BY1642" s="129">
        <f>VLOOKUP($D1642,WGI!$C$2:$O$478,5,FALSE)</f>
        <v>0.401355532712239</v>
      </c>
      <c r="BZ1642" s="129">
        <f>VLOOKUP($D1642,WGI!$C$2:$O$478,2,FALSE)</f>
        <v>-0.34216136455586199</v>
      </c>
    </row>
    <row r="1643" spans="1:78" ht="15" customHeight="1">
      <c r="A1643" s="294" t="s">
        <v>457</v>
      </c>
      <c r="B1643" s="117">
        <v>2009</v>
      </c>
      <c r="C1643" s="117" t="s">
        <v>449</v>
      </c>
      <c r="D1643" s="117" t="s">
        <v>3643</v>
      </c>
      <c r="E1643" s="452" t="s">
        <v>220</v>
      </c>
      <c r="F1643" s="117"/>
      <c r="G1643" s="120" t="s">
        <v>24</v>
      </c>
      <c r="H1643" s="117" t="str">
        <f t="shared" si="281"/>
        <v>yes</v>
      </c>
      <c r="I1643" s="117" t="str">
        <f t="shared" si="273"/>
        <v>no</v>
      </c>
      <c r="J1643" s="117" t="str">
        <f t="shared" si="274"/>
        <v>no</v>
      </c>
      <c r="K1643" s="117" t="s">
        <v>1147</v>
      </c>
      <c r="L1643" s="117" t="str">
        <f t="shared" si="282"/>
        <v>detailed</v>
      </c>
      <c r="M1643" s="117" t="str">
        <f t="shared" si="275"/>
        <v>detailed Mining</v>
      </c>
      <c r="N1643" s="118"/>
      <c r="O1643" s="118"/>
      <c r="P1643" s="118"/>
      <c r="Q1643" s="118"/>
      <c r="R1643" s="118"/>
      <c r="S1643" s="117"/>
      <c r="T1643" s="119"/>
      <c r="U1643" s="117"/>
      <c r="V1643" s="117"/>
      <c r="W1643" s="89"/>
      <c r="X1643" s="117"/>
      <c r="Y1643" s="89"/>
      <c r="Z1643" s="89"/>
      <c r="AA1643" s="89"/>
      <c r="AB1643" s="89"/>
      <c r="AC1643" s="240"/>
      <c r="AD1643" s="240"/>
      <c r="AE1643" s="240"/>
      <c r="AF1643" s="241"/>
      <c r="AG1643" s="89"/>
      <c r="AH1643" s="124"/>
      <c r="AI1643" s="117"/>
      <c r="AJ1643" s="117"/>
      <c r="AK1643" s="89"/>
      <c r="AL1643" s="117"/>
      <c r="AM1643" s="117"/>
      <c r="AN1643" s="117"/>
      <c r="AO1643" s="117"/>
      <c r="AP1643" s="117"/>
      <c r="AQ1643" s="117"/>
      <c r="AR1643" s="117"/>
      <c r="AS1643" s="117"/>
      <c r="AT1643" s="117"/>
      <c r="AU1643" s="117"/>
      <c r="AV1643" s="128"/>
      <c r="AW1643" s="117">
        <f>VLOOKUP($D1643,'WB Data'!$C$3:$M$578,2,FALSE)</f>
        <v>121200381042.49667</v>
      </c>
      <c r="AX1643" s="117">
        <f>VLOOKUP($D1643,'WB Data'!$C$3:$M$578,3,FALSE)</f>
        <v>28934303</v>
      </c>
      <c r="AY1643" s="847">
        <f t="shared" si="277"/>
        <v>2.4466670326971723E-2</v>
      </c>
      <c r="AZ1643" s="117">
        <f>VLOOKUP($D1643,'WB Data'!$C$3:$M$578,4,FALSE)/100</f>
        <v>0.18903877723521581</v>
      </c>
      <c r="BA1643" s="117">
        <f t="shared" si="278"/>
        <v>22911571832.715801</v>
      </c>
      <c r="BB1643" s="129">
        <f>IFERROR(VLOOKUP($D1643,'EITI Revenues'!$C$2:$G$224,5,FALSE),"..")</f>
        <v>2965369766.4701195</v>
      </c>
      <c r="BC1643" s="846">
        <f t="shared" si="279"/>
        <v>0.12942672759953641</v>
      </c>
      <c r="BD1643" s="129">
        <f>VLOOKUP($D1643,'WB Data 2'!$C$2:$K$545,6,FALSE)</f>
        <v>15993770399.481031</v>
      </c>
      <c r="BE1643" s="129">
        <f>IFERROR(VLOOKUP($D1643,UNCTAD!$C$5:$V$529,4,FALSE),"..")</f>
        <v>30597077000</v>
      </c>
      <c r="BF1643" s="846">
        <f t="shared" si="280"/>
        <v>0.5227221672018223</v>
      </c>
      <c r="BG1643" s="117">
        <f>VLOOKUP($D1643,'WB Data'!$C$3:$M$578,5,FALSE)</f>
        <v>441170000</v>
      </c>
      <c r="BH1643" s="129">
        <f>IFERROR($BB1643/$BG1643,"..")</f>
        <v>6.7216033875152874</v>
      </c>
      <c r="BI1643" s="117">
        <f>IFERROR(VLOOKUP($D1643,'WB Data'!$C$3:$M$578,7,FALSE)/100,"..")</f>
        <v>2.9168400000000001E-2</v>
      </c>
      <c r="BJ1643" s="117">
        <f>IFERROR($BI1643*$AW1643,"..")</f>
        <v>3535221194.39996</v>
      </c>
      <c r="BK1643" s="846">
        <f>IFERROR($BB1643/$BJ1643,"..")</f>
        <v>0.83880741922668789</v>
      </c>
      <c r="BL1643" s="117">
        <f>IFERROR(VLOOKUP($D1643,'WB Data'!$C$3:$M$578,7,FALSE)/100,"..")</f>
        <v>2.9168400000000001E-2</v>
      </c>
      <c r="BM1643" s="117">
        <f>IFERROR($AW1643*$BL1643,"..")</f>
        <v>3535221194.39996</v>
      </c>
      <c r="BN1643" s="846">
        <f>IFERROR($BB1643/$BM1643,"..")</f>
        <v>0.83880741922668789</v>
      </c>
      <c r="BO1643" s="801">
        <f t="shared" si="276"/>
        <v>38</v>
      </c>
      <c r="BP1643" s="117">
        <f>VLOOKUP($D1643,'WB Data'!$C$3:$M$578,9,FALSE)</f>
        <v>33.5</v>
      </c>
      <c r="BQ1643" s="117">
        <f>VLOOKUP($D1643,'WB Data'!$C$3:$M$578,10,FALSE)</f>
        <v>73.603682926829279</v>
      </c>
      <c r="BR1643" s="117">
        <f>VLOOKUP($D1643,'WB Data'!$C$3:$M$578,11,FALSE)</f>
        <v>16.2</v>
      </c>
      <c r="BS1643" s="129">
        <f>IFERROR(VLOOKUP($D1643,'WB Data 2'!$C$2:$K$545,9,FALSE),"..")</f>
        <v>96.569890000000001</v>
      </c>
      <c r="BT1643" s="129">
        <f>_xlfn.IFNA(VLOOKUP($C1643,RGI!$A$2:$C$43,2,FALSE),"..")</f>
        <v>76.8</v>
      </c>
      <c r="BU1643" s="129">
        <f>_xlfn.IFNA(VLOOKUP($C1643,RGI!$A$2:$C$43,3,FALSE),"..")</f>
        <v>72.816147461462435</v>
      </c>
      <c r="BV1643" s="129">
        <f>VLOOKUP($D1643,WGI!$C$2:$O$478,7,FALSE)</f>
        <v>4.0587288441011303E-2</v>
      </c>
      <c r="BW1643" s="129">
        <f>VLOOKUP($D1643,WGI!$C$2:$O$478,4,FALSE)</f>
        <v>-1.1809401239462201</v>
      </c>
      <c r="BX1643" s="129">
        <f>VLOOKUP($D1643,WGI!$C$2:$O$478,3,FALSE)</f>
        <v>-0.42240703988964201</v>
      </c>
      <c r="BY1643" s="129">
        <f>VLOOKUP($D1643,WGI!$C$2:$O$478,5,FALSE)</f>
        <v>0.401355532712239</v>
      </c>
      <c r="BZ1643" s="129">
        <f>VLOOKUP($D1643,WGI!$C$2:$O$478,2,FALSE)</f>
        <v>-0.34216136455586199</v>
      </c>
    </row>
    <row r="1644" spans="1:78" ht="15" customHeight="1">
      <c r="A1644" s="294" t="s">
        <v>457</v>
      </c>
      <c r="B1644" s="117">
        <v>2009</v>
      </c>
      <c r="C1644" s="117" t="s">
        <v>449</v>
      </c>
      <c r="D1644" s="117" t="s">
        <v>3643</v>
      </c>
      <c r="E1644" s="452" t="s">
        <v>220</v>
      </c>
      <c r="F1644" s="117"/>
      <c r="G1644" s="120" t="s">
        <v>24</v>
      </c>
      <c r="H1644" s="117" t="str">
        <f t="shared" si="281"/>
        <v>yes</v>
      </c>
      <c r="I1644" s="117" t="str">
        <f t="shared" si="273"/>
        <v>no</v>
      </c>
      <c r="J1644" s="117" t="str">
        <f t="shared" si="274"/>
        <v>no</v>
      </c>
      <c r="K1644" s="117" t="s">
        <v>970</v>
      </c>
      <c r="L1644" s="117" t="str">
        <f t="shared" si="282"/>
        <v>detailed</v>
      </c>
      <c r="M1644" s="117" t="str">
        <f t="shared" si="275"/>
        <v>detailed Mining</v>
      </c>
      <c r="N1644" s="118"/>
      <c r="O1644" s="118"/>
      <c r="P1644" s="118"/>
      <c r="Q1644" s="118"/>
      <c r="R1644" s="118"/>
      <c r="S1644" s="117"/>
      <c r="T1644" s="119"/>
      <c r="U1644" s="117"/>
      <c r="V1644" s="117"/>
      <c r="W1644" s="89"/>
      <c r="X1644" s="117"/>
      <c r="Y1644" s="89"/>
      <c r="Z1644" s="89"/>
      <c r="AA1644" s="89"/>
      <c r="AB1644" s="89"/>
      <c r="AC1644" s="240"/>
      <c r="AD1644" s="240"/>
      <c r="AE1644" s="240"/>
      <c r="AF1644" s="241"/>
      <c r="AG1644" s="89"/>
      <c r="AH1644" s="124"/>
      <c r="AI1644" s="117"/>
      <c r="AJ1644" s="117"/>
      <c r="AK1644" s="89"/>
      <c r="AL1644" s="117"/>
      <c r="AM1644" s="117"/>
      <c r="AN1644" s="117"/>
      <c r="AO1644" s="117"/>
      <c r="AP1644" s="117"/>
      <c r="AQ1644" s="117"/>
      <c r="AR1644" s="117"/>
      <c r="AS1644" s="117"/>
      <c r="AT1644" s="117"/>
      <c r="AU1644" s="117"/>
      <c r="AV1644" s="128"/>
      <c r="AW1644" s="117">
        <f>VLOOKUP($D1644,'WB Data'!$C$3:$M$578,2,FALSE)</f>
        <v>121200381042.49667</v>
      </c>
      <c r="AX1644" s="117">
        <f>VLOOKUP($D1644,'WB Data'!$C$3:$M$578,3,FALSE)</f>
        <v>28934303</v>
      </c>
      <c r="AY1644" s="847">
        <f t="shared" si="277"/>
        <v>2.4466670326971723E-2</v>
      </c>
      <c r="AZ1644" s="117">
        <f>VLOOKUP($D1644,'WB Data'!$C$3:$M$578,4,FALSE)/100</f>
        <v>0.18903877723521581</v>
      </c>
      <c r="BA1644" s="117">
        <f t="shared" si="278"/>
        <v>22911571832.715801</v>
      </c>
      <c r="BB1644" s="129">
        <f>IFERROR(VLOOKUP($D1644,'EITI Revenues'!$C$2:$G$224,5,FALSE),"..")</f>
        <v>2965369766.4701195</v>
      </c>
      <c r="BC1644" s="846">
        <f t="shared" si="279"/>
        <v>0.12942672759953641</v>
      </c>
      <c r="BD1644" s="129">
        <f>VLOOKUP($D1644,'WB Data 2'!$C$2:$K$545,6,FALSE)</f>
        <v>15993770399.481031</v>
      </c>
      <c r="BE1644" s="129">
        <f>IFERROR(VLOOKUP($D1644,UNCTAD!$C$5:$V$529,4,FALSE),"..")</f>
        <v>30597077000</v>
      </c>
      <c r="BF1644" s="846">
        <f t="shared" si="280"/>
        <v>0.5227221672018223</v>
      </c>
      <c r="BG1644" s="117">
        <f>VLOOKUP($D1644,'WB Data'!$C$3:$M$578,5,FALSE)</f>
        <v>441170000</v>
      </c>
      <c r="BH1644" s="129">
        <f>IFERROR($BB1644/$BG1644,"..")</f>
        <v>6.7216033875152874</v>
      </c>
      <c r="BI1644" s="117">
        <f>IFERROR(VLOOKUP($D1644,'WB Data'!$C$3:$M$578,7,FALSE)/100,"..")</f>
        <v>2.9168400000000001E-2</v>
      </c>
      <c r="BJ1644" s="117">
        <f>IFERROR($BI1644*$AW1644,"..")</f>
        <v>3535221194.39996</v>
      </c>
      <c r="BK1644" s="846">
        <f>IFERROR($BB1644/$BJ1644,"..")</f>
        <v>0.83880741922668789</v>
      </c>
      <c r="BL1644" s="117">
        <f>IFERROR(VLOOKUP($D1644,'WB Data'!$C$3:$M$578,7,FALSE)/100,"..")</f>
        <v>2.9168400000000001E-2</v>
      </c>
      <c r="BM1644" s="117">
        <f>IFERROR($AW1644*$BL1644,"..")</f>
        <v>3535221194.39996</v>
      </c>
      <c r="BN1644" s="846">
        <f>IFERROR($BB1644/$BM1644,"..")</f>
        <v>0.83880741922668789</v>
      </c>
      <c r="BO1644" s="801">
        <f t="shared" si="276"/>
        <v>38</v>
      </c>
      <c r="BP1644" s="117">
        <f>VLOOKUP($D1644,'WB Data'!$C$3:$M$578,9,FALSE)</f>
        <v>33.5</v>
      </c>
      <c r="BQ1644" s="117">
        <f>VLOOKUP($D1644,'WB Data'!$C$3:$M$578,10,FALSE)</f>
        <v>73.603682926829279</v>
      </c>
      <c r="BR1644" s="117">
        <f>VLOOKUP($D1644,'WB Data'!$C$3:$M$578,11,FALSE)</f>
        <v>16.2</v>
      </c>
      <c r="BS1644" s="129">
        <f>IFERROR(VLOOKUP($D1644,'WB Data 2'!$C$2:$K$545,9,FALSE),"..")</f>
        <v>96.569890000000001</v>
      </c>
      <c r="BT1644" s="129">
        <f>_xlfn.IFNA(VLOOKUP($C1644,RGI!$A$2:$C$43,2,FALSE),"..")</f>
        <v>76.8</v>
      </c>
      <c r="BU1644" s="129">
        <f>_xlfn.IFNA(VLOOKUP($C1644,RGI!$A$2:$C$43,3,FALSE),"..")</f>
        <v>72.816147461462435</v>
      </c>
      <c r="BV1644" s="129">
        <f>VLOOKUP($D1644,WGI!$C$2:$O$478,7,FALSE)</f>
        <v>4.0587288441011303E-2</v>
      </c>
      <c r="BW1644" s="129">
        <f>VLOOKUP($D1644,WGI!$C$2:$O$478,4,FALSE)</f>
        <v>-1.1809401239462201</v>
      </c>
      <c r="BX1644" s="129">
        <f>VLOOKUP($D1644,WGI!$C$2:$O$478,3,FALSE)</f>
        <v>-0.42240703988964201</v>
      </c>
      <c r="BY1644" s="129">
        <f>VLOOKUP($D1644,WGI!$C$2:$O$478,5,FALSE)</f>
        <v>0.401355532712239</v>
      </c>
      <c r="BZ1644" s="129">
        <f>VLOOKUP($D1644,WGI!$C$2:$O$478,2,FALSE)</f>
        <v>-0.34216136455586199</v>
      </c>
    </row>
    <row r="1645" spans="1:78" ht="15" customHeight="1">
      <c r="A1645" s="294" t="s">
        <v>457</v>
      </c>
      <c r="B1645" s="117">
        <v>2009</v>
      </c>
      <c r="C1645" s="117" t="s">
        <v>449</v>
      </c>
      <c r="D1645" s="117" t="s">
        <v>3643</v>
      </c>
      <c r="E1645" s="452" t="s">
        <v>220</v>
      </c>
      <c r="F1645" s="117"/>
      <c r="G1645" s="120" t="s">
        <v>24</v>
      </c>
      <c r="H1645" s="117" t="str">
        <f t="shared" si="281"/>
        <v>yes</v>
      </c>
      <c r="I1645" s="117" t="str">
        <f t="shared" si="273"/>
        <v>no</v>
      </c>
      <c r="J1645" s="117" t="str">
        <f t="shared" si="274"/>
        <v>no</v>
      </c>
      <c r="K1645" s="117" t="s">
        <v>2044</v>
      </c>
      <c r="L1645" s="117" t="str">
        <f t="shared" si="282"/>
        <v>detailed</v>
      </c>
      <c r="M1645" s="117" t="str">
        <f t="shared" si="275"/>
        <v>detailed Mining</v>
      </c>
      <c r="N1645" s="118"/>
      <c r="O1645" s="118"/>
      <c r="P1645" s="118"/>
      <c r="Q1645" s="118"/>
      <c r="R1645" s="118"/>
      <c r="S1645" s="117"/>
      <c r="T1645" s="119"/>
      <c r="U1645" s="117"/>
      <c r="V1645" s="117"/>
      <c r="W1645" s="89"/>
      <c r="X1645" s="117"/>
      <c r="Y1645" s="89"/>
      <c r="Z1645" s="89"/>
      <c r="AA1645" s="89"/>
      <c r="AB1645" s="89"/>
      <c r="AC1645" s="240"/>
      <c r="AD1645" s="240"/>
      <c r="AE1645" s="240"/>
      <c r="AF1645" s="241"/>
      <c r="AG1645" s="89"/>
      <c r="AH1645" s="124"/>
      <c r="AI1645" s="117"/>
      <c r="AJ1645" s="117"/>
      <c r="AK1645" s="89"/>
      <c r="AL1645" s="117"/>
      <c r="AM1645" s="117"/>
      <c r="AN1645" s="117"/>
      <c r="AO1645" s="117"/>
      <c r="AP1645" s="117"/>
      <c r="AQ1645" s="117"/>
      <c r="AR1645" s="117"/>
      <c r="AS1645" s="117"/>
      <c r="AT1645" s="117"/>
      <c r="AU1645" s="117"/>
      <c r="AV1645" s="128"/>
      <c r="AW1645" s="117">
        <f>VLOOKUP($D1645,'WB Data'!$C$3:$M$578,2,FALSE)</f>
        <v>121200381042.49667</v>
      </c>
      <c r="AX1645" s="117">
        <f>VLOOKUP($D1645,'WB Data'!$C$3:$M$578,3,FALSE)</f>
        <v>28934303</v>
      </c>
      <c r="AY1645" s="847">
        <f t="shared" si="277"/>
        <v>2.4466670326971723E-2</v>
      </c>
      <c r="AZ1645" s="117">
        <f>VLOOKUP($D1645,'WB Data'!$C$3:$M$578,4,FALSE)/100</f>
        <v>0.18903877723521581</v>
      </c>
      <c r="BA1645" s="117">
        <f t="shared" si="278"/>
        <v>22911571832.715801</v>
      </c>
      <c r="BB1645" s="129">
        <f>IFERROR(VLOOKUP($D1645,'EITI Revenues'!$C$2:$G$224,5,FALSE),"..")</f>
        <v>2965369766.4701195</v>
      </c>
      <c r="BC1645" s="846">
        <f t="shared" si="279"/>
        <v>0.12942672759953641</v>
      </c>
      <c r="BD1645" s="129">
        <f>VLOOKUP($D1645,'WB Data 2'!$C$2:$K$545,6,FALSE)</f>
        <v>15993770399.481031</v>
      </c>
      <c r="BE1645" s="129">
        <f>IFERROR(VLOOKUP($D1645,UNCTAD!$C$5:$V$529,4,FALSE),"..")</f>
        <v>30597077000</v>
      </c>
      <c r="BF1645" s="846">
        <f t="shared" si="280"/>
        <v>0.5227221672018223</v>
      </c>
      <c r="BG1645" s="117">
        <f>VLOOKUP($D1645,'WB Data'!$C$3:$M$578,5,FALSE)</f>
        <v>441170000</v>
      </c>
      <c r="BH1645" s="129">
        <f>IFERROR($BB1645/$BG1645,"..")</f>
        <v>6.7216033875152874</v>
      </c>
      <c r="BI1645" s="117">
        <f>IFERROR(VLOOKUP($D1645,'WB Data'!$C$3:$M$578,7,FALSE)/100,"..")</f>
        <v>2.9168400000000001E-2</v>
      </c>
      <c r="BJ1645" s="117">
        <f>IFERROR($BI1645*$AW1645,"..")</f>
        <v>3535221194.39996</v>
      </c>
      <c r="BK1645" s="846">
        <f>IFERROR($BB1645/$BJ1645,"..")</f>
        <v>0.83880741922668789</v>
      </c>
      <c r="BL1645" s="117">
        <f>IFERROR(VLOOKUP($D1645,'WB Data'!$C$3:$M$578,7,FALSE)/100,"..")</f>
        <v>2.9168400000000001E-2</v>
      </c>
      <c r="BM1645" s="117">
        <f>IFERROR($AW1645*$BL1645,"..")</f>
        <v>3535221194.39996</v>
      </c>
      <c r="BN1645" s="846">
        <f>IFERROR($BB1645/$BM1645,"..")</f>
        <v>0.83880741922668789</v>
      </c>
      <c r="BO1645" s="801">
        <f t="shared" si="276"/>
        <v>38</v>
      </c>
      <c r="BP1645" s="117">
        <f>VLOOKUP($D1645,'WB Data'!$C$3:$M$578,9,FALSE)</f>
        <v>33.5</v>
      </c>
      <c r="BQ1645" s="117">
        <f>VLOOKUP($D1645,'WB Data'!$C$3:$M$578,10,FALSE)</f>
        <v>73.603682926829279</v>
      </c>
      <c r="BR1645" s="117">
        <f>VLOOKUP($D1645,'WB Data'!$C$3:$M$578,11,FALSE)</f>
        <v>16.2</v>
      </c>
      <c r="BS1645" s="129">
        <f>IFERROR(VLOOKUP($D1645,'WB Data 2'!$C$2:$K$545,9,FALSE),"..")</f>
        <v>96.569890000000001</v>
      </c>
      <c r="BT1645" s="129">
        <f>_xlfn.IFNA(VLOOKUP($C1645,RGI!$A$2:$C$43,2,FALSE),"..")</f>
        <v>76.8</v>
      </c>
      <c r="BU1645" s="129">
        <f>_xlfn.IFNA(VLOOKUP($C1645,RGI!$A$2:$C$43,3,FALSE),"..")</f>
        <v>72.816147461462435</v>
      </c>
      <c r="BV1645" s="129">
        <f>VLOOKUP($D1645,WGI!$C$2:$O$478,7,FALSE)</f>
        <v>4.0587288441011303E-2</v>
      </c>
      <c r="BW1645" s="129">
        <f>VLOOKUP($D1645,WGI!$C$2:$O$478,4,FALSE)</f>
        <v>-1.1809401239462201</v>
      </c>
      <c r="BX1645" s="129">
        <f>VLOOKUP($D1645,WGI!$C$2:$O$478,3,FALSE)</f>
        <v>-0.42240703988964201</v>
      </c>
      <c r="BY1645" s="129">
        <f>VLOOKUP($D1645,WGI!$C$2:$O$478,5,FALSE)</f>
        <v>0.401355532712239</v>
      </c>
      <c r="BZ1645" s="129">
        <f>VLOOKUP($D1645,WGI!$C$2:$O$478,2,FALSE)</f>
        <v>-0.34216136455586199</v>
      </c>
    </row>
    <row r="1646" spans="1:78" ht="15" customHeight="1">
      <c r="A1646" s="294" t="s">
        <v>457</v>
      </c>
      <c r="B1646" s="117">
        <v>2009</v>
      </c>
      <c r="C1646" s="117" t="s">
        <v>449</v>
      </c>
      <c r="D1646" s="117" t="s">
        <v>3643</v>
      </c>
      <c r="E1646" s="452" t="s">
        <v>220</v>
      </c>
      <c r="F1646" s="117"/>
      <c r="G1646" s="120" t="s">
        <v>24</v>
      </c>
      <c r="H1646" s="117" t="str">
        <f t="shared" si="281"/>
        <v>yes</v>
      </c>
      <c r="I1646" s="117" t="str">
        <f t="shared" si="273"/>
        <v>no</v>
      </c>
      <c r="J1646" s="117" t="str">
        <f t="shared" si="274"/>
        <v>no</v>
      </c>
      <c r="K1646" s="117" t="s">
        <v>2076</v>
      </c>
      <c r="L1646" s="117" t="str">
        <f t="shared" si="282"/>
        <v>detailed</v>
      </c>
      <c r="M1646" s="117" t="str">
        <f t="shared" si="275"/>
        <v>detailed Mining</v>
      </c>
      <c r="N1646" s="118"/>
      <c r="O1646" s="118"/>
      <c r="P1646" s="118"/>
      <c r="Q1646" s="118"/>
      <c r="R1646" s="118"/>
      <c r="S1646" s="117"/>
      <c r="T1646" s="119"/>
      <c r="U1646" s="117"/>
      <c r="V1646" s="117"/>
      <c r="W1646" s="89"/>
      <c r="X1646" s="117"/>
      <c r="Y1646" s="89"/>
      <c r="Z1646" s="89"/>
      <c r="AA1646" s="89"/>
      <c r="AB1646" s="89"/>
      <c r="AC1646" s="240"/>
      <c r="AD1646" s="240"/>
      <c r="AE1646" s="240"/>
      <c r="AF1646" s="241"/>
      <c r="AG1646" s="89"/>
      <c r="AH1646" s="124"/>
      <c r="AI1646" s="117"/>
      <c r="AJ1646" s="117"/>
      <c r="AK1646" s="89"/>
      <c r="AL1646" s="117"/>
      <c r="AM1646" s="117"/>
      <c r="AN1646" s="117"/>
      <c r="AO1646" s="117"/>
      <c r="AP1646" s="117"/>
      <c r="AQ1646" s="117"/>
      <c r="AR1646" s="117"/>
      <c r="AS1646" s="117"/>
      <c r="AT1646" s="117"/>
      <c r="AU1646" s="117"/>
      <c r="AV1646" s="128"/>
      <c r="AW1646" s="117">
        <f>VLOOKUP($D1646,'WB Data'!$C$3:$M$578,2,FALSE)</f>
        <v>121200381042.49667</v>
      </c>
      <c r="AX1646" s="117">
        <f>VLOOKUP($D1646,'WB Data'!$C$3:$M$578,3,FALSE)</f>
        <v>28934303</v>
      </c>
      <c r="AY1646" s="847">
        <f t="shared" si="277"/>
        <v>2.4466670326971723E-2</v>
      </c>
      <c r="AZ1646" s="117">
        <f>VLOOKUP($D1646,'WB Data'!$C$3:$M$578,4,FALSE)/100</f>
        <v>0.18903877723521581</v>
      </c>
      <c r="BA1646" s="117">
        <f t="shared" si="278"/>
        <v>22911571832.715801</v>
      </c>
      <c r="BB1646" s="129">
        <f>IFERROR(VLOOKUP($D1646,'EITI Revenues'!$C$2:$G$224,5,FALSE),"..")</f>
        <v>2965369766.4701195</v>
      </c>
      <c r="BC1646" s="846">
        <f t="shared" si="279"/>
        <v>0.12942672759953641</v>
      </c>
      <c r="BD1646" s="129">
        <f>VLOOKUP($D1646,'WB Data 2'!$C$2:$K$545,6,FALSE)</f>
        <v>15993770399.481031</v>
      </c>
      <c r="BE1646" s="129">
        <f>IFERROR(VLOOKUP($D1646,UNCTAD!$C$5:$V$529,4,FALSE),"..")</f>
        <v>30597077000</v>
      </c>
      <c r="BF1646" s="846">
        <f t="shared" si="280"/>
        <v>0.5227221672018223</v>
      </c>
      <c r="BG1646" s="117">
        <f>VLOOKUP($D1646,'WB Data'!$C$3:$M$578,5,FALSE)</f>
        <v>441170000</v>
      </c>
      <c r="BH1646" s="129">
        <f>IFERROR($BB1646/$BG1646,"..")</f>
        <v>6.7216033875152874</v>
      </c>
      <c r="BI1646" s="117">
        <f>IFERROR(VLOOKUP($D1646,'WB Data'!$C$3:$M$578,7,FALSE)/100,"..")</f>
        <v>2.9168400000000001E-2</v>
      </c>
      <c r="BJ1646" s="117">
        <f>IFERROR($BI1646*$AW1646,"..")</f>
        <v>3535221194.39996</v>
      </c>
      <c r="BK1646" s="846">
        <f>IFERROR($BB1646/$BJ1646,"..")</f>
        <v>0.83880741922668789</v>
      </c>
      <c r="BL1646" s="117">
        <f>IFERROR(VLOOKUP($D1646,'WB Data'!$C$3:$M$578,7,FALSE)/100,"..")</f>
        <v>2.9168400000000001E-2</v>
      </c>
      <c r="BM1646" s="117">
        <f>IFERROR($AW1646*$BL1646,"..")</f>
        <v>3535221194.39996</v>
      </c>
      <c r="BN1646" s="846">
        <f>IFERROR($BB1646/$BM1646,"..")</f>
        <v>0.83880741922668789</v>
      </c>
      <c r="BO1646" s="801">
        <f t="shared" si="276"/>
        <v>38</v>
      </c>
      <c r="BP1646" s="117">
        <f>VLOOKUP($D1646,'WB Data'!$C$3:$M$578,9,FALSE)</f>
        <v>33.5</v>
      </c>
      <c r="BQ1646" s="117">
        <f>VLOOKUP($D1646,'WB Data'!$C$3:$M$578,10,FALSE)</f>
        <v>73.603682926829279</v>
      </c>
      <c r="BR1646" s="117">
        <f>VLOOKUP($D1646,'WB Data'!$C$3:$M$578,11,FALSE)</f>
        <v>16.2</v>
      </c>
      <c r="BS1646" s="129">
        <f>IFERROR(VLOOKUP($D1646,'WB Data 2'!$C$2:$K$545,9,FALSE),"..")</f>
        <v>96.569890000000001</v>
      </c>
      <c r="BT1646" s="129">
        <f>_xlfn.IFNA(VLOOKUP($C1646,RGI!$A$2:$C$43,2,FALSE),"..")</f>
        <v>76.8</v>
      </c>
      <c r="BU1646" s="129">
        <f>_xlfn.IFNA(VLOOKUP($C1646,RGI!$A$2:$C$43,3,FALSE),"..")</f>
        <v>72.816147461462435</v>
      </c>
      <c r="BV1646" s="129">
        <f>VLOOKUP($D1646,WGI!$C$2:$O$478,7,FALSE)</f>
        <v>4.0587288441011303E-2</v>
      </c>
      <c r="BW1646" s="129">
        <f>VLOOKUP($D1646,WGI!$C$2:$O$478,4,FALSE)</f>
        <v>-1.1809401239462201</v>
      </c>
      <c r="BX1646" s="129">
        <f>VLOOKUP($D1646,WGI!$C$2:$O$478,3,FALSE)</f>
        <v>-0.42240703988964201</v>
      </c>
      <c r="BY1646" s="129">
        <f>VLOOKUP($D1646,WGI!$C$2:$O$478,5,FALSE)</f>
        <v>0.401355532712239</v>
      </c>
      <c r="BZ1646" s="129">
        <f>VLOOKUP($D1646,WGI!$C$2:$O$478,2,FALSE)</f>
        <v>-0.34216136455586199</v>
      </c>
    </row>
    <row r="1647" spans="1:78" ht="15" customHeight="1">
      <c r="A1647" s="294" t="s">
        <v>457</v>
      </c>
      <c r="B1647" s="117">
        <v>2009</v>
      </c>
      <c r="C1647" s="117" t="s">
        <v>449</v>
      </c>
      <c r="D1647" s="117" t="s">
        <v>3643</v>
      </c>
      <c r="E1647" s="452" t="s">
        <v>220</v>
      </c>
      <c r="F1647" s="117"/>
      <c r="G1647" s="120" t="s">
        <v>24</v>
      </c>
      <c r="H1647" s="117" t="str">
        <f t="shared" si="281"/>
        <v>yes</v>
      </c>
      <c r="I1647" s="117" t="str">
        <f t="shared" si="273"/>
        <v>no</v>
      </c>
      <c r="J1647" s="117" t="str">
        <f t="shared" si="274"/>
        <v>no</v>
      </c>
      <c r="K1647" s="117" t="s">
        <v>789</v>
      </c>
      <c r="L1647" s="117" t="str">
        <f t="shared" si="282"/>
        <v>detailed</v>
      </c>
      <c r="M1647" s="117" t="str">
        <f t="shared" si="275"/>
        <v>detailed Mining</v>
      </c>
      <c r="N1647" s="118"/>
      <c r="O1647" s="118"/>
      <c r="P1647" s="118"/>
      <c r="Q1647" s="118"/>
      <c r="R1647" s="118"/>
      <c r="S1647" s="117"/>
      <c r="T1647" s="119"/>
      <c r="U1647" s="117"/>
      <c r="V1647" s="117"/>
      <c r="W1647" s="89"/>
      <c r="X1647" s="117"/>
      <c r="Y1647" s="89"/>
      <c r="Z1647" s="89"/>
      <c r="AA1647" s="89"/>
      <c r="AB1647" s="89"/>
      <c r="AC1647" s="240"/>
      <c r="AD1647" s="240"/>
      <c r="AE1647" s="240"/>
      <c r="AF1647" s="241"/>
      <c r="AG1647" s="89"/>
      <c r="AH1647" s="124"/>
      <c r="AI1647" s="117"/>
      <c r="AJ1647" s="117"/>
      <c r="AK1647" s="89"/>
      <c r="AL1647" s="117"/>
      <c r="AM1647" s="117"/>
      <c r="AN1647" s="117"/>
      <c r="AO1647" s="117"/>
      <c r="AP1647" s="117"/>
      <c r="AQ1647" s="117"/>
      <c r="AR1647" s="117"/>
      <c r="AS1647" s="117"/>
      <c r="AT1647" s="117"/>
      <c r="AU1647" s="117"/>
      <c r="AV1647" s="128"/>
      <c r="AW1647" s="117">
        <f>VLOOKUP($D1647,'WB Data'!$C$3:$M$578,2,FALSE)</f>
        <v>121200381042.49667</v>
      </c>
      <c r="AX1647" s="117">
        <f>VLOOKUP($D1647,'WB Data'!$C$3:$M$578,3,FALSE)</f>
        <v>28934303</v>
      </c>
      <c r="AY1647" s="847">
        <f t="shared" si="277"/>
        <v>2.4466670326971723E-2</v>
      </c>
      <c r="AZ1647" s="117">
        <f>VLOOKUP($D1647,'WB Data'!$C$3:$M$578,4,FALSE)/100</f>
        <v>0.18903877723521581</v>
      </c>
      <c r="BA1647" s="117">
        <f t="shared" si="278"/>
        <v>22911571832.715801</v>
      </c>
      <c r="BB1647" s="129">
        <f>IFERROR(VLOOKUP($D1647,'EITI Revenues'!$C$2:$G$224,5,FALSE),"..")</f>
        <v>2965369766.4701195</v>
      </c>
      <c r="BC1647" s="846">
        <f t="shared" si="279"/>
        <v>0.12942672759953641</v>
      </c>
      <c r="BD1647" s="129">
        <f>VLOOKUP($D1647,'WB Data 2'!$C$2:$K$545,6,FALSE)</f>
        <v>15993770399.481031</v>
      </c>
      <c r="BE1647" s="129">
        <f>IFERROR(VLOOKUP($D1647,UNCTAD!$C$5:$V$529,4,FALSE),"..")</f>
        <v>30597077000</v>
      </c>
      <c r="BF1647" s="846">
        <f t="shared" si="280"/>
        <v>0.5227221672018223</v>
      </c>
      <c r="BG1647" s="117">
        <f>VLOOKUP($D1647,'WB Data'!$C$3:$M$578,5,FALSE)</f>
        <v>441170000</v>
      </c>
      <c r="BH1647" s="129">
        <f>IFERROR($BB1647/$BG1647,"..")</f>
        <v>6.7216033875152874</v>
      </c>
      <c r="BI1647" s="117">
        <f>IFERROR(VLOOKUP($D1647,'WB Data'!$C$3:$M$578,7,FALSE)/100,"..")</f>
        <v>2.9168400000000001E-2</v>
      </c>
      <c r="BJ1647" s="117">
        <f>IFERROR($BI1647*$AW1647,"..")</f>
        <v>3535221194.39996</v>
      </c>
      <c r="BK1647" s="846">
        <f>IFERROR($BB1647/$BJ1647,"..")</f>
        <v>0.83880741922668789</v>
      </c>
      <c r="BL1647" s="117">
        <f>IFERROR(VLOOKUP($D1647,'WB Data'!$C$3:$M$578,7,FALSE)/100,"..")</f>
        <v>2.9168400000000001E-2</v>
      </c>
      <c r="BM1647" s="117">
        <f>IFERROR($AW1647*$BL1647,"..")</f>
        <v>3535221194.39996</v>
      </c>
      <c r="BN1647" s="846">
        <f>IFERROR($BB1647/$BM1647,"..")</f>
        <v>0.83880741922668789</v>
      </c>
      <c r="BO1647" s="801">
        <f t="shared" si="276"/>
        <v>38</v>
      </c>
      <c r="BP1647" s="117">
        <f>VLOOKUP($D1647,'WB Data'!$C$3:$M$578,9,FALSE)</f>
        <v>33.5</v>
      </c>
      <c r="BQ1647" s="117">
        <f>VLOOKUP($D1647,'WB Data'!$C$3:$M$578,10,FALSE)</f>
        <v>73.603682926829279</v>
      </c>
      <c r="BR1647" s="117">
        <f>VLOOKUP($D1647,'WB Data'!$C$3:$M$578,11,FALSE)</f>
        <v>16.2</v>
      </c>
      <c r="BS1647" s="129">
        <f>IFERROR(VLOOKUP($D1647,'WB Data 2'!$C$2:$K$545,9,FALSE),"..")</f>
        <v>96.569890000000001</v>
      </c>
      <c r="BT1647" s="129">
        <f>_xlfn.IFNA(VLOOKUP($C1647,RGI!$A$2:$C$43,2,FALSE),"..")</f>
        <v>76.8</v>
      </c>
      <c r="BU1647" s="129">
        <f>_xlfn.IFNA(VLOOKUP($C1647,RGI!$A$2:$C$43,3,FALSE),"..")</f>
        <v>72.816147461462435</v>
      </c>
      <c r="BV1647" s="129">
        <f>VLOOKUP($D1647,WGI!$C$2:$O$478,7,FALSE)</f>
        <v>4.0587288441011303E-2</v>
      </c>
      <c r="BW1647" s="129">
        <f>VLOOKUP($D1647,WGI!$C$2:$O$478,4,FALSE)</f>
        <v>-1.1809401239462201</v>
      </c>
      <c r="BX1647" s="129">
        <f>VLOOKUP($D1647,WGI!$C$2:$O$478,3,FALSE)</f>
        <v>-0.42240703988964201</v>
      </c>
      <c r="BY1647" s="129">
        <f>VLOOKUP($D1647,WGI!$C$2:$O$478,5,FALSE)</f>
        <v>0.401355532712239</v>
      </c>
      <c r="BZ1647" s="129">
        <f>VLOOKUP($D1647,WGI!$C$2:$O$478,2,FALSE)</f>
        <v>-0.34216136455586199</v>
      </c>
    </row>
    <row r="1648" spans="1:78" ht="15" customHeight="1">
      <c r="A1648" s="294" t="s">
        <v>457</v>
      </c>
      <c r="B1648" s="117">
        <v>2009</v>
      </c>
      <c r="C1648" s="117" t="s">
        <v>449</v>
      </c>
      <c r="D1648" s="117" t="s">
        <v>3643</v>
      </c>
      <c r="E1648" s="452" t="s">
        <v>220</v>
      </c>
      <c r="F1648" s="117"/>
      <c r="G1648" s="120" t="s">
        <v>24</v>
      </c>
      <c r="H1648" s="117" t="str">
        <f t="shared" si="281"/>
        <v>yes</v>
      </c>
      <c r="I1648" s="117" t="str">
        <f t="shared" si="273"/>
        <v>no</v>
      </c>
      <c r="J1648" s="117" t="str">
        <f t="shared" si="274"/>
        <v>no</v>
      </c>
      <c r="K1648" s="117" t="s">
        <v>1241</v>
      </c>
      <c r="L1648" s="117" t="str">
        <f t="shared" si="282"/>
        <v>detailed</v>
      </c>
      <c r="M1648" s="117" t="str">
        <f t="shared" si="275"/>
        <v>detailed Mining</v>
      </c>
      <c r="N1648" s="118"/>
      <c r="O1648" s="118"/>
      <c r="P1648" s="118"/>
      <c r="Q1648" s="118"/>
      <c r="R1648" s="118"/>
      <c r="S1648" s="117"/>
      <c r="T1648" s="119"/>
      <c r="U1648" s="117"/>
      <c r="V1648" s="117"/>
      <c r="W1648" s="89"/>
      <c r="X1648" s="120"/>
      <c r="Y1648" s="89"/>
      <c r="Z1648" s="89"/>
      <c r="AA1648" s="89"/>
      <c r="AB1648" s="89"/>
      <c r="AC1648" s="240"/>
      <c r="AD1648" s="240"/>
      <c r="AE1648" s="240"/>
      <c r="AF1648" s="241"/>
      <c r="AG1648" s="89"/>
      <c r="AH1648" s="124"/>
      <c r="AI1648" s="117"/>
      <c r="AJ1648" s="117"/>
      <c r="AK1648" s="89"/>
      <c r="AL1648" s="117"/>
      <c r="AM1648" s="117"/>
      <c r="AN1648" s="117"/>
      <c r="AO1648" s="117"/>
      <c r="AP1648" s="117"/>
      <c r="AQ1648" s="117"/>
      <c r="AR1648" s="117"/>
      <c r="AS1648" s="117"/>
      <c r="AT1648" s="117"/>
      <c r="AU1648" s="117"/>
      <c r="AV1648" s="128"/>
      <c r="AW1648" s="117">
        <f>VLOOKUP($D1648,'WB Data'!$C$3:$M$578,2,FALSE)</f>
        <v>121200381042.49667</v>
      </c>
      <c r="AX1648" s="117">
        <f>VLOOKUP($D1648,'WB Data'!$C$3:$M$578,3,FALSE)</f>
        <v>28934303</v>
      </c>
      <c r="AY1648" s="847">
        <f t="shared" si="277"/>
        <v>2.4466670326971723E-2</v>
      </c>
      <c r="AZ1648" s="117">
        <f>VLOOKUP($D1648,'WB Data'!$C$3:$M$578,4,FALSE)/100</f>
        <v>0.18903877723521581</v>
      </c>
      <c r="BA1648" s="117">
        <f t="shared" si="278"/>
        <v>22911571832.715801</v>
      </c>
      <c r="BB1648" s="129">
        <f>IFERROR(VLOOKUP($D1648,'EITI Revenues'!$C$2:$G$224,5,FALSE),"..")</f>
        <v>2965369766.4701195</v>
      </c>
      <c r="BC1648" s="846">
        <f t="shared" si="279"/>
        <v>0.12942672759953641</v>
      </c>
      <c r="BD1648" s="129">
        <f>VLOOKUP($D1648,'WB Data 2'!$C$2:$K$545,6,FALSE)</f>
        <v>15993770399.481031</v>
      </c>
      <c r="BE1648" s="129">
        <f>IFERROR(VLOOKUP($D1648,UNCTAD!$C$5:$V$529,4,FALSE),"..")</f>
        <v>30597077000</v>
      </c>
      <c r="BF1648" s="846">
        <f t="shared" si="280"/>
        <v>0.5227221672018223</v>
      </c>
      <c r="BG1648" s="117">
        <f>VLOOKUP($D1648,'WB Data'!$C$3:$M$578,5,FALSE)</f>
        <v>441170000</v>
      </c>
      <c r="BH1648" s="129">
        <f>IFERROR($BB1648/$BG1648,"..")</f>
        <v>6.7216033875152874</v>
      </c>
      <c r="BI1648" s="117">
        <f>IFERROR(VLOOKUP($D1648,'WB Data'!$C$3:$M$578,7,FALSE)/100,"..")</f>
        <v>2.9168400000000001E-2</v>
      </c>
      <c r="BJ1648" s="117">
        <f>IFERROR($BI1648*$AW1648,"..")</f>
        <v>3535221194.39996</v>
      </c>
      <c r="BK1648" s="846">
        <f>IFERROR($BB1648/$BJ1648,"..")</f>
        <v>0.83880741922668789</v>
      </c>
      <c r="BL1648" s="117">
        <f>IFERROR(VLOOKUP($D1648,'WB Data'!$C$3:$M$578,7,FALSE)/100,"..")</f>
        <v>2.9168400000000001E-2</v>
      </c>
      <c r="BM1648" s="117">
        <f>IFERROR($AW1648*$BL1648,"..")</f>
        <v>3535221194.39996</v>
      </c>
      <c r="BN1648" s="846">
        <f>IFERROR($BB1648/$BM1648,"..")</f>
        <v>0.83880741922668789</v>
      </c>
      <c r="BO1648" s="801">
        <f t="shared" si="276"/>
        <v>38</v>
      </c>
      <c r="BP1648" s="117">
        <f>VLOOKUP($D1648,'WB Data'!$C$3:$M$578,9,FALSE)</f>
        <v>33.5</v>
      </c>
      <c r="BQ1648" s="117">
        <f>VLOOKUP($D1648,'WB Data'!$C$3:$M$578,10,FALSE)</f>
        <v>73.603682926829279</v>
      </c>
      <c r="BR1648" s="117">
        <f>VLOOKUP($D1648,'WB Data'!$C$3:$M$578,11,FALSE)</f>
        <v>16.2</v>
      </c>
      <c r="BS1648" s="129">
        <f>IFERROR(VLOOKUP($D1648,'WB Data 2'!$C$2:$K$545,9,FALSE),"..")</f>
        <v>96.569890000000001</v>
      </c>
      <c r="BT1648" s="129">
        <f>_xlfn.IFNA(VLOOKUP($C1648,RGI!$A$2:$C$43,2,FALSE),"..")</f>
        <v>76.8</v>
      </c>
      <c r="BU1648" s="129">
        <f>_xlfn.IFNA(VLOOKUP($C1648,RGI!$A$2:$C$43,3,FALSE),"..")</f>
        <v>72.816147461462435</v>
      </c>
      <c r="BV1648" s="129">
        <f>VLOOKUP($D1648,WGI!$C$2:$O$478,7,FALSE)</f>
        <v>4.0587288441011303E-2</v>
      </c>
      <c r="BW1648" s="129">
        <f>VLOOKUP($D1648,WGI!$C$2:$O$478,4,FALSE)</f>
        <v>-1.1809401239462201</v>
      </c>
      <c r="BX1648" s="129">
        <f>VLOOKUP($D1648,WGI!$C$2:$O$478,3,FALSE)</f>
        <v>-0.42240703988964201</v>
      </c>
      <c r="BY1648" s="129">
        <f>VLOOKUP($D1648,WGI!$C$2:$O$478,5,FALSE)</f>
        <v>0.401355532712239</v>
      </c>
      <c r="BZ1648" s="129">
        <f>VLOOKUP($D1648,WGI!$C$2:$O$478,2,FALSE)</f>
        <v>-0.34216136455586199</v>
      </c>
    </row>
    <row r="1649" spans="1:80" ht="15" customHeight="1">
      <c r="A1649" s="294" t="s">
        <v>457</v>
      </c>
      <c r="B1649" s="117">
        <v>2009</v>
      </c>
      <c r="C1649" s="117" t="s">
        <v>449</v>
      </c>
      <c r="D1649" s="117" t="s">
        <v>3643</v>
      </c>
      <c r="E1649" s="452" t="s">
        <v>220</v>
      </c>
      <c r="F1649" s="117"/>
      <c r="G1649" s="120" t="s">
        <v>24</v>
      </c>
      <c r="H1649" s="117" t="str">
        <f t="shared" si="281"/>
        <v>yes</v>
      </c>
      <c r="I1649" s="117" t="str">
        <f t="shared" si="273"/>
        <v>no</v>
      </c>
      <c r="J1649" s="117" t="str">
        <f t="shared" si="274"/>
        <v>no</v>
      </c>
      <c r="K1649" s="117" t="s">
        <v>2102</v>
      </c>
      <c r="L1649" s="117" t="str">
        <f t="shared" si="282"/>
        <v>detailed</v>
      </c>
      <c r="M1649" s="117" t="str">
        <f t="shared" si="275"/>
        <v>detailed Mining</v>
      </c>
      <c r="N1649" s="118"/>
      <c r="O1649" s="118"/>
      <c r="P1649" s="118"/>
      <c r="Q1649" s="118"/>
      <c r="R1649" s="118"/>
      <c r="S1649" s="117"/>
      <c r="T1649" s="119"/>
      <c r="U1649" s="117"/>
      <c r="V1649" s="117"/>
      <c r="W1649" s="89"/>
      <c r="X1649" s="120"/>
      <c r="Y1649" s="89"/>
      <c r="Z1649" s="89"/>
      <c r="AA1649" s="89"/>
      <c r="AB1649" s="89"/>
      <c r="AC1649" s="240"/>
      <c r="AD1649" s="240"/>
      <c r="AE1649" s="240"/>
      <c r="AF1649" s="241"/>
      <c r="AG1649" s="89"/>
      <c r="AH1649" s="124"/>
      <c r="AI1649" s="117"/>
      <c r="AJ1649" s="117"/>
      <c r="AK1649" s="89"/>
      <c r="AL1649" s="117"/>
      <c r="AM1649" s="117"/>
      <c r="AN1649" s="117"/>
      <c r="AO1649" s="117"/>
      <c r="AP1649" s="117"/>
      <c r="AQ1649" s="117"/>
      <c r="AR1649" s="117"/>
      <c r="AS1649" s="117"/>
      <c r="AT1649" s="117"/>
      <c r="AU1649" s="117"/>
      <c r="AV1649" s="128"/>
      <c r="AW1649" s="117">
        <f>VLOOKUP($D1649,'WB Data'!$C$3:$M$578,2,FALSE)</f>
        <v>121200381042.49667</v>
      </c>
      <c r="AX1649" s="117">
        <f>VLOOKUP($D1649,'WB Data'!$C$3:$M$578,3,FALSE)</f>
        <v>28934303</v>
      </c>
      <c r="AY1649" s="847">
        <f t="shared" si="277"/>
        <v>2.4466670326971723E-2</v>
      </c>
      <c r="AZ1649" s="117">
        <f>VLOOKUP($D1649,'WB Data'!$C$3:$M$578,4,FALSE)/100</f>
        <v>0.18903877723521581</v>
      </c>
      <c r="BA1649" s="117">
        <f t="shared" si="278"/>
        <v>22911571832.715801</v>
      </c>
      <c r="BB1649" s="129">
        <f>IFERROR(VLOOKUP($D1649,'EITI Revenues'!$C$2:$G$224,5,FALSE),"..")</f>
        <v>2965369766.4701195</v>
      </c>
      <c r="BC1649" s="846">
        <f t="shared" si="279"/>
        <v>0.12942672759953641</v>
      </c>
      <c r="BD1649" s="129">
        <f>VLOOKUP($D1649,'WB Data 2'!$C$2:$K$545,6,FALSE)</f>
        <v>15993770399.481031</v>
      </c>
      <c r="BE1649" s="129">
        <f>IFERROR(VLOOKUP($D1649,UNCTAD!$C$5:$V$529,4,FALSE),"..")</f>
        <v>30597077000</v>
      </c>
      <c r="BF1649" s="846">
        <f t="shared" si="280"/>
        <v>0.5227221672018223</v>
      </c>
      <c r="BG1649" s="117">
        <f>VLOOKUP($D1649,'WB Data'!$C$3:$M$578,5,FALSE)</f>
        <v>441170000</v>
      </c>
      <c r="BH1649" s="129">
        <f>IFERROR($BB1649/$BG1649,"..")</f>
        <v>6.7216033875152874</v>
      </c>
      <c r="BI1649" s="117">
        <f>IFERROR(VLOOKUP($D1649,'WB Data'!$C$3:$M$578,7,FALSE)/100,"..")</f>
        <v>2.9168400000000001E-2</v>
      </c>
      <c r="BJ1649" s="117">
        <f>IFERROR($BI1649*$AW1649,"..")</f>
        <v>3535221194.39996</v>
      </c>
      <c r="BK1649" s="846">
        <f>IFERROR($BB1649/$BJ1649,"..")</f>
        <v>0.83880741922668789</v>
      </c>
      <c r="BL1649" s="117">
        <f>IFERROR(VLOOKUP($D1649,'WB Data'!$C$3:$M$578,7,FALSE)/100,"..")</f>
        <v>2.9168400000000001E-2</v>
      </c>
      <c r="BM1649" s="117">
        <f>IFERROR($AW1649*$BL1649,"..")</f>
        <v>3535221194.39996</v>
      </c>
      <c r="BN1649" s="846">
        <f>IFERROR($BB1649/$BM1649,"..")</f>
        <v>0.83880741922668789</v>
      </c>
      <c r="BO1649" s="801">
        <f t="shared" si="276"/>
        <v>38</v>
      </c>
      <c r="BP1649" s="117">
        <f>VLOOKUP($D1649,'WB Data'!$C$3:$M$578,9,FALSE)</f>
        <v>33.5</v>
      </c>
      <c r="BQ1649" s="117">
        <f>VLOOKUP($D1649,'WB Data'!$C$3:$M$578,10,FALSE)</f>
        <v>73.603682926829279</v>
      </c>
      <c r="BR1649" s="117">
        <f>VLOOKUP($D1649,'WB Data'!$C$3:$M$578,11,FALSE)</f>
        <v>16.2</v>
      </c>
      <c r="BS1649" s="129">
        <f>IFERROR(VLOOKUP($D1649,'WB Data 2'!$C$2:$K$545,9,FALSE),"..")</f>
        <v>96.569890000000001</v>
      </c>
      <c r="BT1649" s="129">
        <f>_xlfn.IFNA(VLOOKUP($C1649,RGI!$A$2:$C$43,2,FALSE),"..")</f>
        <v>76.8</v>
      </c>
      <c r="BU1649" s="129">
        <f>_xlfn.IFNA(VLOOKUP($C1649,RGI!$A$2:$C$43,3,FALSE),"..")</f>
        <v>72.816147461462435</v>
      </c>
      <c r="BV1649" s="129">
        <f>VLOOKUP($D1649,WGI!$C$2:$O$478,7,FALSE)</f>
        <v>4.0587288441011303E-2</v>
      </c>
      <c r="BW1649" s="129">
        <f>VLOOKUP($D1649,WGI!$C$2:$O$478,4,FALSE)</f>
        <v>-1.1809401239462201</v>
      </c>
      <c r="BX1649" s="129">
        <f>VLOOKUP($D1649,WGI!$C$2:$O$478,3,FALSE)</f>
        <v>-0.42240703988964201</v>
      </c>
      <c r="BY1649" s="129">
        <f>VLOOKUP($D1649,WGI!$C$2:$O$478,5,FALSE)</f>
        <v>0.401355532712239</v>
      </c>
      <c r="BZ1649" s="129">
        <f>VLOOKUP($D1649,WGI!$C$2:$O$478,2,FALSE)</f>
        <v>-0.34216136455586199</v>
      </c>
    </row>
    <row r="1650" spans="1:80" ht="15" customHeight="1">
      <c r="A1650" s="294" t="s">
        <v>457</v>
      </c>
      <c r="B1650" s="117">
        <v>2009</v>
      </c>
      <c r="C1650" s="117" t="s">
        <v>449</v>
      </c>
      <c r="D1650" s="117" t="s">
        <v>3643</v>
      </c>
      <c r="E1650" s="452" t="s">
        <v>220</v>
      </c>
      <c r="F1650" s="117"/>
      <c r="G1650" s="120" t="s">
        <v>24</v>
      </c>
      <c r="H1650" s="117" t="str">
        <f t="shared" si="281"/>
        <v>yes</v>
      </c>
      <c r="I1650" s="117" t="str">
        <f t="shared" si="273"/>
        <v>no</v>
      </c>
      <c r="J1650" s="117" t="str">
        <f t="shared" si="274"/>
        <v>no</v>
      </c>
      <c r="K1650" s="117" t="s">
        <v>2103</v>
      </c>
      <c r="L1650" s="117" t="str">
        <f t="shared" si="282"/>
        <v>detailed</v>
      </c>
      <c r="M1650" s="117" t="str">
        <f t="shared" si="275"/>
        <v>detailed Mining</v>
      </c>
      <c r="N1650" s="118"/>
      <c r="O1650" s="118"/>
      <c r="P1650" s="118"/>
      <c r="Q1650" s="118"/>
      <c r="R1650" s="118"/>
      <c r="S1650" s="117"/>
      <c r="T1650" s="119"/>
      <c r="U1650" s="117"/>
      <c r="V1650" s="117"/>
      <c r="W1650" s="89"/>
      <c r="X1650" s="120"/>
      <c r="Y1650" s="89"/>
      <c r="Z1650" s="89"/>
      <c r="AA1650" s="89"/>
      <c r="AB1650" s="89"/>
      <c r="AC1650" s="240"/>
      <c r="AD1650" s="240"/>
      <c r="AE1650" s="240"/>
      <c r="AF1650" s="241"/>
      <c r="AG1650" s="89"/>
      <c r="AH1650" s="124"/>
      <c r="AI1650" s="117"/>
      <c r="AJ1650" s="117"/>
      <c r="AK1650" s="89"/>
      <c r="AL1650" s="117"/>
      <c r="AM1650" s="117"/>
      <c r="AN1650" s="117"/>
      <c r="AO1650" s="117"/>
      <c r="AP1650" s="117"/>
      <c r="AQ1650" s="117"/>
      <c r="AR1650" s="117"/>
      <c r="AS1650" s="117"/>
      <c r="AT1650" s="117"/>
      <c r="AU1650" s="117"/>
      <c r="AV1650" s="128"/>
      <c r="AW1650" s="117">
        <f>VLOOKUP($D1650,'WB Data'!$C$3:$M$578,2,FALSE)</f>
        <v>121200381042.49667</v>
      </c>
      <c r="AX1650" s="117">
        <f>VLOOKUP($D1650,'WB Data'!$C$3:$M$578,3,FALSE)</f>
        <v>28934303</v>
      </c>
      <c r="AY1650" s="847">
        <f t="shared" si="277"/>
        <v>2.4466670326971723E-2</v>
      </c>
      <c r="AZ1650" s="117">
        <f>VLOOKUP($D1650,'WB Data'!$C$3:$M$578,4,FALSE)/100</f>
        <v>0.18903877723521581</v>
      </c>
      <c r="BA1650" s="117">
        <f t="shared" si="278"/>
        <v>22911571832.715801</v>
      </c>
      <c r="BB1650" s="129">
        <f>IFERROR(VLOOKUP($D1650,'EITI Revenues'!$C$2:$G$224,5,FALSE),"..")</f>
        <v>2965369766.4701195</v>
      </c>
      <c r="BC1650" s="846">
        <f t="shared" si="279"/>
        <v>0.12942672759953641</v>
      </c>
      <c r="BD1650" s="129">
        <f>VLOOKUP($D1650,'WB Data 2'!$C$2:$K$545,6,FALSE)</f>
        <v>15993770399.481031</v>
      </c>
      <c r="BE1650" s="129">
        <f>IFERROR(VLOOKUP($D1650,UNCTAD!$C$5:$V$529,4,FALSE),"..")</f>
        <v>30597077000</v>
      </c>
      <c r="BF1650" s="846">
        <f t="shared" si="280"/>
        <v>0.5227221672018223</v>
      </c>
      <c r="BG1650" s="117">
        <f>VLOOKUP($D1650,'WB Data'!$C$3:$M$578,5,FALSE)</f>
        <v>441170000</v>
      </c>
      <c r="BH1650" s="129">
        <f>IFERROR($BB1650/$BG1650,"..")</f>
        <v>6.7216033875152874</v>
      </c>
      <c r="BI1650" s="117">
        <f>IFERROR(VLOOKUP($D1650,'WB Data'!$C$3:$M$578,7,FALSE)/100,"..")</f>
        <v>2.9168400000000001E-2</v>
      </c>
      <c r="BJ1650" s="117">
        <f>IFERROR($BI1650*$AW1650,"..")</f>
        <v>3535221194.39996</v>
      </c>
      <c r="BK1650" s="846">
        <f>IFERROR($BB1650/$BJ1650,"..")</f>
        <v>0.83880741922668789</v>
      </c>
      <c r="BL1650" s="117">
        <f>IFERROR(VLOOKUP($D1650,'WB Data'!$C$3:$M$578,7,FALSE)/100,"..")</f>
        <v>2.9168400000000001E-2</v>
      </c>
      <c r="BM1650" s="117">
        <f>IFERROR($AW1650*$BL1650,"..")</f>
        <v>3535221194.39996</v>
      </c>
      <c r="BN1650" s="846">
        <f>IFERROR($BB1650/$BM1650,"..")</f>
        <v>0.83880741922668789</v>
      </c>
      <c r="BO1650" s="801">
        <f t="shared" si="276"/>
        <v>38</v>
      </c>
      <c r="BP1650" s="117">
        <f>VLOOKUP($D1650,'WB Data'!$C$3:$M$578,9,FALSE)</f>
        <v>33.5</v>
      </c>
      <c r="BQ1650" s="117">
        <f>VLOOKUP($D1650,'WB Data'!$C$3:$M$578,10,FALSE)</f>
        <v>73.603682926829279</v>
      </c>
      <c r="BR1650" s="117">
        <f>VLOOKUP($D1650,'WB Data'!$C$3:$M$578,11,FALSE)</f>
        <v>16.2</v>
      </c>
      <c r="BS1650" s="129">
        <f>IFERROR(VLOOKUP($D1650,'WB Data 2'!$C$2:$K$545,9,FALSE),"..")</f>
        <v>96.569890000000001</v>
      </c>
      <c r="BT1650" s="129">
        <f>_xlfn.IFNA(VLOOKUP($C1650,RGI!$A$2:$C$43,2,FALSE),"..")</f>
        <v>76.8</v>
      </c>
      <c r="BU1650" s="129">
        <f>_xlfn.IFNA(VLOOKUP($C1650,RGI!$A$2:$C$43,3,FALSE),"..")</f>
        <v>72.816147461462435</v>
      </c>
      <c r="BV1650" s="129">
        <f>VLOOKUP($D1650,WGI!$C$2:$O$478,7,FALSE)</f>
        <v>4.0587288441011303E-2</v>
      </c>
      <c r="BW1650" s="129">
        <f>VLOOKUP($D1650,WGI!$C$2:$O$478,4,FALSE)</f>
        <v>-1.1809401239462201</v>
      </c>
      <c r="BX1650" s="129">
        <f>VLOOKUP($D1650,WGI!$C$2:$O$478,3,FALSE)</f>
        <v>-0.42240703988964201</v>
      </c>
      <c r="BY1650" s="129">
        <f>VLOOKUP($D1650,WGI!$C$2:$O$478,5,FALSE)</f>
        <v>0.401355532712239</v>
      </c>
      <c r="BZ1650" s="129">
        <f>VLOOKUP($D1650,WGI!$C$2:$O$478,2,FALSE)</f>
        <v>-0.34216136455586199</v>
      </c>
    </row>
    <row r="1651" spans="1:80" ht="15" customHeight="1">
      <c r="A1651" s="294" t="s">
        <v>457</v>
      </c>
      <c r="B1651" s="117">
        <v>2009</v>
      </c>
      <c r="C1651" s="117" t="s">
        <v>449</v>
      </c>
      <c r="D1651" s="117" t="s">
        <v>3643</v>
      </c>
      <c r="E1651" s="452" t="s">
        <v>220</v>
      </c>
      <c r="F1651" s="117"/>
      <c r="G1651" s="120" t="s">
        <v>24</v>
      </c>
      <c r="H1651" s="117" t="str">
        <f t="shared" si="281"/>
        <v>yes</v>
      </c>
      <c r="I1651" s="117" t="str">
        <f t="shared" si="273"/>
        <v>no</v>
      </c>
      <c r="J1651" s="117" t="str">
        <f t="shared" si="274"/>
        <v>no</v>
      </c>
      <c r="K1651" s="117" t="s">
        <v>2104</v>
      </c>
      <c r="L1651" s="117" t="str">
        <f t="shared" si="282"/>
        <v>detailed</v>
      </c>
      <c r="M1651" s="117" t="str">
        <f t="shared" si="275"/>
        <v>detailed Mining</v>
      </c>
      <c r="N1651" s="118"/>
      <c r="O1651" s="118"/>
      <c r="P1651" s="118"/>
      <c r="Q1651" s="118"/>
      <c r="R1651" s="118"/>
      <c r="S1651" s="117"/>
      <c r="T1651" s="119"/>
      <c r="U1651" s="117"/>
      <c r="V1651" s="117"/>
      <c r="W1651" s="89"/>
      <c r="X1651" s="120"/>
      <c r="Y1651" s="89"/>
      <c r="Z1651" s="89"/>
      <c r="AA1651" s="89"/>
      <c r="AB1651" s="89"/>
      <c r="AC1651" s="240"/>
      <c r="AD1651" s="240"/>
      <c r="AE1651" s="240"/>
      <c r="AF1651" s="241"/>
      <c r="AG1651" s="89"/>
      <c r="AH1651" s="124"/>
      <c r="AI1651" s="117"/>
      <c r="AJ1651" s="117"/>
      <c r="AK1651" s="89"/>
      <c r="AL1651" s="117"/>
      <c r="AM1651" s="117"/>
      <c r="AN1651" s="117"/>
      <c r="AO1651" s="117"/>
      <c r="AP1651" s="117"/>
      <c r="AQ1651" s="117"/>
      <c r="AR1651" s="117"/>
      <c r="AS1651" s="117"/>
      <c r="AT1651" s="117"/>
      <c r="AU1651" s="117"/>
      <c r="AV1651" s="128"/>
      <c r="AW1651" s="117">
        <f>VLOOKUP($D1651,'WB Data'!$C$3:$M$578,2,FALSE)</f>
        <v>121200381042.49667</v>
      </c>
      <c r="AX1651" s="117">
        <f>VLOOKUP($D1651,'WB Data'!$C$3:$M$578,3,FALSE)</f>
        <v>28934303</v>
      </c>
      <c r="AY1651" s="847">
        <f t="shared" si="277"/>
        <v>2.4466670326971723E-2</v>
      </c>
      <c r="AZ1651" s="117">
        <f>VLOOKUP($D1651,'WB Data'!$C$3:$M$578,4,FALSE)/100</f>
        <v>0.18903877723521581</v>
      </c>
      <c r="BA1651" s="117">
        <f t="shared" si="278"/>
        <v>22911571832.715801</v>
      </c>
      <c r="BB1651" s="129">
        <f>IFERROR(VLOOKUP($D1651,'EITI Revenues'!$C$2:$G$224,5,FALSE),"..")</f>
        <v>2965369766.4701195</v>
      </c>
      <c r="BC1651" s="846">
        <f t="shared" si="279"/>
        <v>0.12942672759953641</v>
      </c>
      <c r="BD1651" s="129">
        <f>VLOOKUP($D1651,'WB Data 2'!$C$2:$K$545,6,FALSE)</f>
        <v>15993770399.481031</v>
      </c>
      <c r="BE1651" s="129">
        <f>IFERROR(VLOOKUP($D1651,UNCTAD!$C$5:$V$529,4,FALSE),"..")</f>
        <v>30597077000</v>
      </c>
      <c r="BF1651" s="846">
        <f t="shared" si="280"/>
        <v>0.5227221672018223</v>
      </c>
      <c r="BG1651" s="117">
        <f>VLOOKUP($D1651,'WB Data'!$C$3:$M$578,5,FALSE)</f>
        <v>441170000</v>
      </c>
      <c r="BH1651" s="129">
        <f>IFERROR($BB1651/$BG1651,"..")</f>
        <v>6.7216033875152874</v>
      </c>
      <c r="BI1651" s="117">
        <f>IFERROR(VLOOKUP($D1651,'WB Data'!$C$3:$M$578,7,FALSE)/100,"..")</f>
        <v>2.9168400000000001E-2</v>
      </c>
      <c r="BJ1651" s="117">
        <f>IFERROR($BI1651*$AW1651,"..")</f>
        <v>3535221194.39996</v>
      </c>
      <c r="BK1651" s="846">
        <f>IFERROR($BB1651/$BJ1651,"..")</f>
        <v>0.83880741922668789</v>
      </c>
      <c r="BL1651" s="117">
        <f>IFERROR(VLOOKUP($D1651,'WB Data'!$C$3:$M$578,7,FALSE)/100,"..")</f>
        <v>2.9168400000000001E-2</v>
      </c>
      <c r="BM1651" s="117">
        <f>IFERROR($AW1651*$BL1651,"..")</f>
        <v>3535221194.39996</v>
      </c>
      <c r="BN1651" s="846">
        <f>IFERROR($BB1651/$BM1651,"..")</f>
        <v>0.83880741922668789</v>
      </c>
      <c r="BO1651" s="801">
        <f t="shared" si="276"/>
        <v>38</v>
      </c>
      <c r="BP1651" s="117">
        <f>VLOOKUP($D1651,'WB Data'!$C$3:$M$578,9,FALSE)</f>
        <v>33.5</v>
      </c>
      <c r="BQ1651" s="117">
        <f>VLOOKUP($D1651,'WB Data'!$C$3:$M$578,10,FALSE)</f>
        <v>73.603682926829279</v>
      </c>
      <c r="BR1651" s="117">
        <f>VLOOKUP($D1651,'WB Data'!$C$3:$M$578,11,FALSE)</f>
        <v>16.2</v>
      </c>
      <c r="BS1651" s="129">
        <f>IFERROR(VLOOKUP($D1651,'WB Data 2'!$C$2:$K$545,9,FALSE),"..")</f>
        <v>96.569890000000001</v>
      </c>
      <c r="BT1651" s="129">
        <f>_xlfn.IFNA(VLOOKUP($C1651,RGI!$A$2:$C$43,2,FALSE),"..")</f>
        <v>76.8</v>
      </c>
      <c r="BU1651" s="129">
        <f>_xlfn.IFNA(VLOOKUP($C1651,RGI!$A$2:$C$43,3,FALSE),"..")</f>
        <v>72.816147461462435</v>
      </c>
      <c r="BV1651" s="129">
        <f>VLOOKUP($D1651,WGI!$C$2:$O$478,7,FALSE)</f>
        <v>4.0587288441011303E-2</v>
      </c>
      <c r="BW1651" s="129">
        <f>VLOOKUP($D1651,WGI!$C$2:$O$478,4,FALSE)</f>
        <v>-1.1809401239462201</v>
      </c>
      <c r="BX1651" s="129">
        <f>VLOOKUP($D1651,WGI!$C$2:$O$478,3,FALSE)</f>
        <v>-0.42240703988964201</v>
      </c>
      <c r="BY1651" s="129">
        <f>VLOOKUP($D1651,WGI!$C$2:$O$478,5,FALSE)</f>
        <v>0.401355532712239</v>
      </c>
      <c r="BZ1651" s="129">
        <f>VLOOKUP($D1651,WGI!$C$2:$O$478,2,FALSE)</f>
        <v>-0.34216136455586199</v>
      </c>
    </row>
    <row r="1652" spans="1:80" ht="15" customHeight="1">
      <c r="A1652" s="294" t="s">
        <v>457</v>
      </c>
      <c r="B1652" s="117">
        <v>2009</v>
      </c>
      <c r="C1652" s="117" t="s">
        <v>449</v>
      </c>
      <c r="D1652" s="117" t="s">
        <v>3643</v>
      </c>
      <c r="E1652" s="452" t="s">
        <v>220</v>
      </c>
      <c r="F1652" s="117"/>
      <c r="G1652" s="120" t="s">
        <v>24</v>
      </c>
      <c r="H1652" s="117" t="str">
        <f t="shared" si="281"/>
        <v>yes</v>
      </c>
      <c r="I1652" s="117" t="str">
        <f t="shared" si="273"/>
        <v>no</v>
      </c>
      <c r="J1652" s="117" t="str">
        <f t="shared" si="274"/>
        <v>no</v>
      </c>
      <c r="K1652" s="117" t="s">
        <v>627</v>
      </c>
      <c r="L1652" s="117" t="str">
        <f t="shared" si="282"/>
        <v>detailed</v>
      </c>
      <c r="M1652" s="117" t="str">
        <f t="shared" si="275"/>
        <v>detailed Mining</v>
      </c>
      <c r="N1652" s="118"/>
      <c r="O1652" s="118"/>
      <c r="P1652" s="118"/>
      <c r="Q1652" s="118"/>
      <c r="R1652" s="118"/>
      <c r="S1652" s="117"/>
      <c r="T1652" s="119"/>
      <c r="U1652" s="117"/>
      <c r="V1652" s="117"/>
      <c r="W1652" s="89"/>
      <c r="X1652" s="120"/>
      <c r="Y1652" s="89"/>
      <c r="Z1652" s="89"/>
      <c r="AA1652" s="89"/>
      <c r="AB1652" s="89"/>
      <c r="AC1652" s="240"/>
      <c r="AD1652" s="240"/>
      <c r="AE1652" s="240"/>
      <c r="AF1652" s="241"/>
      <c r="AG1652" s="89"/>
      <c r="AH1652" s="124"/>
      <c r="AI1652" s="117"/>
      <c r="AJ1652" s="117"/>
      <c r="AK1652" s="89"/>
      <c r="AL1652" s="117"/>
      <c r="AM1652" s="117"/>
      <c r="AN1652" s="117"/>
      <c r="AO1652" s="117"/>
      <c r="AP1652" s="117"/>
      <c r="AQ1652" s="117"/>
      <c r="AR1652" s="117"/>
      <c r="AS1652" s="117"/>
      <c r="AT1652" s="117"/>
      <c r="AU1652" s="117"/>
      <c r="AV1652" s="128"/>
      <c r="AW1652" s="117">
        <f>VLOOKUP($D1652,'WB Data'!$C$3:$M$578,2,FALSE)</f>
        <v>121200381042.49667</v>
      </c>
      <c r="AX1652" s="117">
        <f>VLOOKUP($D1652,'WB Data'!$C$3:$M$578,3,FALSE)</f>
        <v>28934303</v>
      </c>
      <c r="AY1652" s="847">
        <f t="shared" si="277"/>
        <v>2.4466670326971723E-2</v>
      </c>
      <c r="AZ1652" s="117">
        <f>VLOOKUP($D1652,'WB Data'!$C$3:$M$578,4,FALSE)/100</f>
        <v>0.18903877723521581</v>
      </c>
      <c r="BA1652" s="117">
        <f t="shared" si="278"/>
        <v>22911571832.715801</v>
      </c>
      <c r="BB1652" s="129">
        <f>IFERROR(VLOOKUP($D1652,'EITI Revenues'!$C$2:$G$224,5,FALSE),"..")</f>
        <v>2965369766.4701195</v>
      </c>
      <c r="BC1652" s="846">
        <f t="shared" si="279"/>
        <v>0.12942672759953641</v>
      </c>
      <c r="BD1652" s="129">
        <f>VLOOKUP($D1652,'WB Data 2'!$C$2:$K$545,6,FALSE)</f>
        <v>15993770399.481031</v>
      </c>
      <c r="BE1652" s="129">
        <f>IFERROR(VLOOKUP($D1652,UNCTAD!$C$5:$V$529,4,FALSE),"..")</f>
        <v>30597077000</v>
      </c>
      <c r="BF1652" s="846">
        <f t="shared" si="280"/>
        <v>0.5227221672018223</v>
      </c>
      <c r="BG1652" s="117">
        <f>VLOOKUP($D1652,'WB Data'!$C$3:$M$578,5,FALSE)</f>
        <v>441170000</v>
      </c>
      <c r="BH1652" s="129">
        <f>IFERROR($BB1652/$BG1652,"..")</f>
        <v>6.7216033875152874</v>
      </c>
      <c r="BI1652" s="117">
        <f>IFERROR(VLOOKUP($D1652,'WB Data'!$C$3:$M$578,7,FALSE)/100,"..")</f>
        <v>2.9168400000000001E-2</v>
      </c>
      <c r="BJ1652" s="117">
        <f>IFERROR($BI1652*$AW1652,"..")</f>
        <v>3535221194.39996</v>
      </c>
      <c r="BK1652" s="846">
        <f>IFERROR($BB1652/$BJ1652,"..")</f>
        <v>0.83880741922668789</v>
      </c>
      <c r="BL1652" s="117">
        <f>IFERROR(VLOOKUP($D1652,'WB Data'!$C$3:$M$578,7,FALSE)/100,"..")</f>
        <v>2.9168400000000001E-2</v>
      </c>
      <c r="BM1652" s="117">
        <f>IFERROR($AW1652*$BL1652,"..")</f>
        <v>3535221194.39996</v>
      </c>
      <c r="BN1652" s="846">
        <f>IFERROR($BB1652/$BM1652,"..")</f>
        <v>0.83880741922668789</v>
      </c>
      <c r="BO1652" s="801">
        <f t="shared" si="276"/>
        <v>38</v>
      </c>
      <c r="BP1652" s="117">
        <f>VLOOKUP($D1652,'WB Data'!$C$3:$M$578,9,FALSE)</f>
        <v>33.5</v>
      </c>
      <c r="BQ1652" s="117">
        <f>VLOOKUP($D1652,'WB Data'!$C$3:$M$578,10,FALSE)</f>
        <v>73.603682926829279</v>
      </c>
      <c r="BR1652" s="117">
        <f>VLOOKUP($D1652,'WB Data'!$C$3:$M$578,11,FALSE)</f>
        <v>16.2</v>
      </c>
      <c r="BS1652" s="129">
        <f>IFERROR(VLOOKUP($D1652,'WB Data 2'!$C$2:$K$545,9,FALSE),"..")</f>
        <v>96.569890000000001</v>
      </c>
      <c r="BT1652" s="129">
        <f>_xlfn.IFNA(VLOOKUP($C1652,RGI!$A$2:$C$43,2,FALSE),"..")</f>
        <v>76.8</v>
      </c>
      <c r="BU1652" s="129">
        <f>_xlfn.IFNA(VLOOKUP($C1652,RGI!$A$2:$C$43,3,FALSE),"..")</f>
        <v>72.816147461462435</v>
      </c>
      <c r="BV1652" s="129">
        <f>VLOOKUP($D1652,WGI!$C$2:$O$478,7,FALSE)</f>
        <v>4.0587288441011303E-2</v>
      </c>
      <c r="BW1652" s="129">
        <f>VLOOKUP($D1652,WGI!$C$2:$O$478,4,FALSE)</f>
        <v>-1.1809401239462201</v>
      </c>
      <c r="BX1652" s="129">
        <f>VLOOKUP($D1652,WGI!$C$2:$O$478,3,FALSE)</f>
        <v>-0.42240703988964201</v>
      </c>
      <c r="BY1652" s="129">
        <f>VLOOKUP($D1652,WGI!$C$2:$O$478,5,FALSE)</f>
        <v>0.401355532712239</v>
      </c>
      <c r="BZ1652" s="129">
        <f>VLOOKUP($D1652,WGI!$C$2:$O$478,2,FALSE)</f>
        <v>-0.34216136455586199</v>
      </c>
    </row>
    <row r="1653" spans="1:80" ht="15" customHeight="1">
      <c r="A1653" s="294" t="s">
        <v>457</v>
      </c>
      <c r="B1653" s="117">
        <v>2009</v>
      </c>
      <c r="C1653" s="117" t="s">
        <v>449</v>
      </c>
      <c r="D1653" s="117" t="s">
        <v>3643</v>
      </c>
      <c r="E1653" s="452" t="s">
        <v>220</v>
      </c>
      <c r="F1653" s="117"/>
      <c r="G1653" s="120" t="s">
        <v>24</v>
      </c>
      <c r="H1653" s="117" t="str">
        <f t="shared" si="281"/>
        <v>yes</v>
      </c>
      <c r="I1653" s="117" t="str">
        <f t="shared" si="273"/>
        <v>no</v>
      </c>
      <c r="J1653" s="117" t="str">
        <f t="shared" si="274"/>
        <v>no</v>
      </c>
      <c r="K1653" s="117" t="s">
        <v>2050</v>
      </c>
      <c r="L1653" s="117" t="str">
        <f t="shared" si="282"/>
        <v>detailed</v>
      </c>
      <c r="M1653" s="117" t="str">
        <f t="shared" si="275"/>
        <v>detailed Mining</v>
      </c>
      <c r="N1653" s="118"/>
      <c r="O1653" s="118"/>
      <c r="P1653" s="118"/>
      <c r="Q1653" s="118"/>
      <c r="R1653" s="118"/>
      <c r="S1653" s="117"/>
      <c r="T1653" s="119"/>
      <c r="U1653" s="117"/>
      <c r="V1653" s="117"/>
      <c r="W1653" s="89"/>
      <c r="X1653" s="120"/>
      <c r="Y1653" s="89"/>
      <c r="Z1653" s="89"/>
      <c r="AA1653" s="89"/>
      <c r="AB1653" s="89"/>
      <c r="AC1653" s="240"/>
      <c r="AD1653" s="240"/>
      <c r="AE1653" s="240"/>
      <c r="AF1653" s="241"/>
      <c r="AG1653" s="89"/>
      <c r="AH1653" s="124"/>
      <c r="AI1653" s="117"/>
      <c r="AJ1653" s="117"/>
      <c r="AK1653" s="89"/>
      <c r="AL1653" s="117"/>
      <c r="AM1653" s="117"/>
      <c r="AN1653" s="117"/>
      <c r="AO1653" s="117"/>
      <c r="AP1653" s="117"/>
      <c r="AQ1653" s="117"/>
      <c r="AR1653" s="117"/>
      <c r="AS1653" s="117"/>
      <c r="AT1653" s="117"/>
      <c r="AU1653" s="117"/>
      <c r="AV1653" s="128"/>
      <c r="AW1653" s="117">
        <f>VLOOKUP($D1653,'WB Data'!$C$3:$M$578,2,FALSE)</f>
        <v>121200381042.49667</v>
      </c>
      <c r="AX1653" s="117">
        <f>VLOOKUP($D1653,'WB Data'!$C$3:$M$578,3,FALSE)</f>
        <v>28934303</v>
      </c>
      <c r="AY1653" s="847">
        <f t="shared" si="277"/>
        <v>2.4466670326971723E-2</v>
      </c>
      <c r="AZ1653" s="117">
        <f>VLOOKUP($D1653,'WB Data'!$C$3:$M$578,4,FALSE)/100</f>
        <v>0.18903877723521581</v>
      </c>
      <c r="BA1653" s="117">
        <f t="shared" si="278"/>
        <v>22911571832.715801</v>
      </c>
      <c r="BB1653" s="129">
        <f>IFERROR(VLOOKUP($D1653,'EITI Revenues'!$C$2:$G$224,5,FALSE),"..")</f>
        <v>2965369766.4701195</v>
      </c>
      <c r="BC1653" s="846">
        <f t="shared" si="279"/>
        <v>0.12942672759953641</v>
      </c>
      <c r="BD1653" s="129">
        <f>VLOOKUP($D1653,'WB Data 2'!$C$2:$K$545,6,FALSE)</f>
        <v>15993770399.481031</v>
      </c>
      <c r="BE1653" s="129">
        <f>IFERROR(VLOOKUP($D1653,UNCTAD!$C$5:$V$529,4,FALSE),"..")</f>
        <v>30597077000</v>
      </c>
      <c r="BF1653" s="846">
        <f t="shared" si="280"/>
        <v>0.5227221672018223</v>
      </c>
      <c r="BG1653" s="117">
        <f>VLOOKUP($D1653,'WB Data'!$C$3:$M$578,5,FALSE)</f>
        <v>441170000</v>
      </c>
      <c r="BH1653" s="129">
        <f>IFERROR($BB1653/$BG1653,"..")</f>
        <v>6.7216033875152874</v>
      </c>
      <c r="BI1653" s="117">
        <f>IFERROR(VLOOKUP($D1653,'WB Data'!$C$3:$M$578,7,FALSE)/100,"..")</f>
        <v>2.9168400000000001E-2</v>
      </c>
      <c r="BJ1653" s="117">
        <f>IFERROR($BI1653*$AW1653,"..")</f>
        <v>3535221194.39996</v>
      </c>
      <c r="BK1653" s="846">
        <f>IFERROR($BB1653/$BJ1653,"..")</f>
        <v>0.83880741922668789</v>
      </c>
      <c r="BL1653" s="117">
        <f>IFERROR(VLOOKUP($D1653,'WB Data'!$C$3:$M$578,7,FALSE)/100,"..")</f>
        <v>2.9168400000000001E-2</v>
      </c>
      <c r="BM1653" s="117">
        <f>IFERROR($AW1653*$BL1653,"..")</f>
        <v>3535221194.39996</v>
      </c>
      <c r="BN1653" s="846">
        <f>IFERROR($BB1653/$BM1653,"..")</f>
        <v>0.83880741922668789</v>
      </c>
      <c r="BO1653" s="801">
        <f t="shared" si="276"/>
        <v>38</v>
      </c>
      <c r="BP1653" s="117">
        <f>VLOOKUP($D1653,'WB Data'!$C$3:$M$578,9,FALSE)</f>
        <v>33.5</v>
      </c>
      <c r="BQ1653" s="117">
        <f>VLOOKUP($D1653,'WB Data'!$C$3:$M$578,10,FALSE)</f>
        <v>73.603682926829279</v>
      </c>
      <c r="BR1653" s="117">
        <f>VLOOKUP($D1653,'WB Data'!$C$3:$M$578,11,FALSE)</f>
        <v>16.2</v>
      </c>
      <c r="BS1653" s="129">
        <f>IFERROR(VLOOKUP($D1653,'WB Data 2'!$C$2:$K$545,9,FALSE),"..")</f>
        <v>96.569890000000001</v>
      </c>
      <c r="BT1653" s="129">
        <f>_xlfn.IFNA(VLOOKUP($C1653,RGI!$A$2:$C$43,2,FALSE),"..")</f>
        <v>76.8</v>
      </c>
      <c r="BU1653" s="129">
        <f>_xlfn.IFNA(VLOOKUP($C1653,RGI!$A$2:$C$43,3,FALSE),"..")</f>
        <v>72.816147461462435</v>
      </c>
      <c r="BV1653" s="129">
        <f>VLOOKUP($D1653,WGI!$C$2:$O$478,7,FALSE)</f>
        <v>4.0587288441011303E-2</v>
      </c>
      <c r="BW1653" s="129">
        <f>VLOOKUP($D1653,WGI!$C$2:$O$478,4,FALSE)</f>
        <v>-1.1809401239462201</v>
      </c>
      <c r="BX1653" s="129">
        <f>VLOOKUP($D1653,WGI!$C$2:$O$478,3,FALSE)</f>
        <v>-0.42240703988964201</v>
      </c>
      <c r="BY1653" s="129">
        <f>VLOOKUP($D1653,WGI!$C$2:$O$478,5,FALSE)</f>
        <v>0.401355532712239</v>
      </c>
      <c r="BZ1653" s="129">
        <f>VLOOKUP($D1653,WGI!$C$2:$O$478,2,FALSE)</f>
        <v>-0.34216136455586199</v>
      </c>
    </row>
    <row r="1654" spans="1:80" ht="15" customHeight="1">
      <c r="A1654" s="294" t="s">
        <v>457</v>
      </c>
      <c r="B1654" s="117">
        <v>2009</v>
      </c>
      <c r="C1654" s="117" t="s">
        <v>449</v>
      </c>
      <c r="D1654" s="117" t="s">
        <v>3643</v>
      </c>
      <c r="E1654" s="452" t="s">
        <v>220</v>
      </c>
      <c r="F1654" s="117"/>
      <c r="G1654" s="120" t="s">
        <v>24</v>
      </c>
      <c r="H1654" s="117" t="str">
        <f t="shared" si="281"/>
        <v>yes</v>
      </c>
      <c r="I1654" s="117" t="str">
        <f t="shared" si="273"/>
        <v>no</v>
      </c>
      <c r="J1654" s="117" t="str">
        <f t="shared" si="274"/>
        <v>no</v>
      </c>
      <c r="K1654" s="117" t="s">
        <v>1332</v>
      </c>
      <c r="L1654" s="117" t="str">
        <f t="shared" si="282"/>
        <v>detailed</v>
      </c>
      <c r="M1654" s="117" t="str">
        <f t="shared" si="275"/>
        <v>detailed Mining</v>
      </c>
      <c r="N1654" s="118"/>
      <c r="O1654" s="118"/>
      <c r="P1654" s="118"/>
      <c r="Q1654" s="118"/>
      <c r="R1654" s="118"/>
      <c r="S1654" s="117"/>
      <c r="T1654" s="119"/>
      <c r="U1654" s="117"/>
      <c r="V1654" s="117"/>
      <c r="W1654" s="89"/>
      <c r="X1654" s="117"/>
      <c r="Y1654" s="492"/>
      <c r="Z1654" s="492"/>
      <c r="AA1654" s="89"/>
      <c r="AB1654" s="89"/>
      <c r="AC1654" s="462"/>
      <c r="AD1654" s="462"/>
      <c r="AE1654" s="462"/>
      <c r="AF1654" s="463"/>
      <c r="AG1654" s="89"/>
      <c r="AH1654" s="124"/>
      <c r="AI1654" s="117"/>
      <c r="AJ1654" s="117"/>
      <c r="AK1654" s="89"/>
      <c r="AL1654" s="117"/>
      <c r="AM1654" s="117"/>
      <c r="AN1654" s="117"/>
      <c r="AO1654" s="117"/>
      <c r="AP1654" s="117"/>
      <c r="AQ1654" s="117"/>
      <c r="AR1654" s="117"/>
      <c r="AS1654" s="117"/>
      <c r="AT1654" s="117"/>
      <c r="AU1654" s="117"/>
      <c r="AV1654" s="128"/>
      <c r="AW1654" s="117">
        <f>VLOOKUP($D1654,'WB Data'!$C$3:$M$578,2,FALSE)</f>
        <v>121200381042.49667</v>
      </c>
      <c r="AX1654" s="117">
        <f>VLOOKUP($D1654,'WB Data'!$C$3:$M$578,3,FALSE)</f>
        <v>28934303</v>
      </c>
      <c r="AY1654" s="847">
        <f t="shared" si="277"/>
        <v>2.4466670326971723E-2</v>
      </c>
      <c r="AZ1654" s="117">
        <f>VLOOKUP($D1654,'WB Data'!$C$3:$M$578,4,FALSE)/100</f>
        <v>0.18903877723521581</v>
      </c>
      <c r="BA1654" s="117">
        <f t="shared" si="278"/>
        <v>22911571832.715801</v>
      </c>
      <c r="BB1654" s="129">
        <f>IFERROR(VLOOKUP($D1654,'EITI Revenues'!$C$2:$G$224,5,FALSE),"..")</f>
        <v>2965369766.4701195</v>
      </c>
      <c r="BC1654" s="846">
        <f t="shared" si="279"/>
        <v>0.12942672759953641</v>
      </c>
      <c r="BD1654" s="129">
        <f>VLOOKUP($D1654,'WB Data 2'!$C$2:$K$545,6,FALSE)</f>
        <v>15993770399.481031</v>
      </c>
      <c r="BE1654" s="129">
        <f>IFERROR(VLOOKUP($D1654,UNCTAD!$C$5:$V$529,4,FALSE),"..")</f>
        <v>30597077000</v>
      </c>
      <c r="BF1654" s="846">
        <f t="shared" si="280"/>
        <v>0.5227221672018223</v>
      </c>
      <c r="BG1654" s="117">
        <f>VLOOKUP($D1654,'WB Data'!$C$3:$M$578,5,FALSE)</f>
        <v>441170000</v>
      </c>
      <c r="BH1654" s="129">
        <f>IFERROR($BB1654/$BG1654,"..")</f>
        <v>6.7216033875152874</v>
      </c>
      <c r="BI1654" s="117">
        <f>IFERROR(VLOOKUP($D1654,'WB Data'!$C$3:$M$578,7,FALSE)/100,"..")</f>
        <v>2.9168400000000001E-2</v>
      </c>
      <c r="BJ1654" s="117">
        <f>IFERROR($BI1654*$AW1654,"..")</f>
        <v>3535221194.39996</v>
      </c>
      <c r="BK1654" s="846">
        <f>IFERROR($BB1654/$BJ1654,"..")</f>
        <v>0.83880741922668789</v>
      </c>
      <c r="BL1654" s="117">
        <f>IFERROR(VLOOKUP($D1654,'WB Data'!$C$3:$M$578,7,FALSE)/100,"..")</f>
        <v>2.9168400000000001E-2</v>
      </c>
      <c r="BM1654" s="117">
        <f>IFERROR($AW1654*$BL1654,"..")</f>
        <v>3535221194.39996</v>
      </c>
      <c r="BN1654" s="846">
        <f>IFERROR($BB1654/$BM1654,"..")</f>
        <v>0.83880741922668789</v>
      </c>
      <c r="BO1654" s="801">
        <f t="shared" si="276"/>
        <v>38</v>
      </c>
      <c r="BP1654" s="117">
        <f>VLOOKUP($D1654,'WB Data'!$C$3:$M$578,9,FALSE)</f>
        <v>33.5</v>
      </c>
      <c r="BQ1654" s="117">
        <f>VLOOKUP($D1654,'WB Data'!$C$3:$M$578,10,FALSE)</f>
        <v>73.603682926829279</v>
      </c>
      <c r="BR1654" s="117">
        <f>VLOOKUP($D1654,'WB Data'!$C$3:$M$578,11,FALSE)</f>
        <v>16.2</v>
      </c>
      <c r="BS1654" s="129">
        <f>IFERROR(VLOOKUP($D1654,'WB Data 2'!$C$2:$K$545,9,FALSE),"..")</f>
        <v>96.569890000000001</v>
      </c>
      <c r="BT1654" s="129">
        <f>_xlfn.IFNA(VLOOKUP($C1654,RGI!$A$2:$C$43,2,FALSE),"..")</f>
        <v>76.8</v>
      </c>
      <c r="BU1654" s="129">
        <f>_xlfn.IFNA(VLOOKUP($C1654,RGI!$A$2:$C$43,3,FALSE),"..")</f>
        <v>72.816147461462435</v>
      </c>
      <c r="BV1654" s="129">
        <f>VLOOKUP($D1654,WGI!$C$2:$O$478,7,FALSE)</f>
        <v>4.0587288441011303E-2</v>
      </c>
      <c r="BW1654" s="129">
        <f>VLOOKUP($D1654,WGI!$C$2:$O$478,4,FALSE)</f>
        <v>-1.1809401239462201</v>
      </c>
      <c r="BX1654" s="129">
        <f>VLOOKUP($D1654,WGI!$C$2:$O$478,3,FALSE)</f>
        <v>-0.42240703988964201</v>
      </c>
      <c r="BY1654" s="129">
        <f>VLOOKUP($D1654,WGI!$C$2:$O$478,5,FALSE)</f>
        <v>0.401355532712239</v>
      </c>
      <c r="BZ1654" s="129">
        <f>VLOOKUP($D1654,WGI!$C$2:$O$478,2,FALSE)</f>
        <v>-0.34216136455586199</v>
      </c>
    </row>
    <row r="1655" spans="1:80" ht="15" customHeight="1">
      <c r="A1655" s="294" t="s">
        <v>457</v>
      </c>
      <c r="B1655" s="117">
        <v>2009</v>
      </c>
      <c r="C1655" s="117" t="s">
        <v>449</v>
      </c>
      <c r="D1655" s="117" t="s">
        <v>3643</v>
      </c>
      <c r="E1655" s="452" t="s">
        <v>220</v>
      </c>
      <c r="F1655" s="117"/>
      <c r="G1655" s="120" t="s">
        <v>24</v>
      </c>
      <c r="H1655" s="117" t="str">
        <f t="shared" si="281"/>
        <v>yes</v>
      </c>
      <c r="I1655" s="117" t="str">
        <f t="shared" si="273"/>
        <v>no</v>
      </c>
      <c r="J1655" s="117" t="str">
        <f t="shared" si="274"/>
        <v>no</v>
      </c>
      <c r="K1655" s="117" t="s">
        <v>2105</v>
      </c>
      <c r="L1655" s="117" t="str">
        <f t="shared" si="282"/>
        <v>detailed</v>
      </c>
      <c r="M1655" s="117" t="str">
        <f t="shared" si="275"/>
        <v>detailed Mining</v>
      </c>
      <c r="N1655" s="118"/>
      <c r="O1655" s="118"/>
      <c r="P1655" s="118"/>
      <c r="Q1655" s="118"/>
      <c r="R1655" s="118"/>
      <c r="S1655" s="117"/>
      <c r="T1655" s="119"/>
      <c r="U1655" s="117"/>
      <c r="V1655" s="117"/>
      <c r="W1655" s="89"/>
      <c r="X1655" s="117"/>
      <c r="Y1655" s="120"/>
      <c r="Z1655" s="120"/>
      <c r="AA1655" s="89"/>
      <c r="AB1655" s="89"/>
      <c r="AC1655" s="240"/>
      <c r="AD1655" s="240"/>
      <c r="AE1655" s="240"/>
      <c r="AF1655" s="241"/>
      <c r="AG1655" s="120"/>
      <c r="AH1655" s="124"/>
      <c r="AI1655" s="117"/>
      <c r="AJ1655" s="117"/>
      <c r="AK1655" s="89"/>
      <c r="AL1655" s="117"/>
      <c r="AM1655" s="117"/>
      <c r="AN1655" s="117"/>
      <c r="AO1655" s="117"/>
      <c r="AP1655" s="117"/>
      <c r="AQ1655" s="117"/>
      <c r="AR1655" s="117"/>
      <c r="AS1655" s="117"/>
      <c r="AT1655" s="117"/>
      <c r="AU1655" s="117"/>
      <c r="AV1655" s="128"/>
      <c r="AW1655" s="117">
        <f>VLOOKUP($D1655,'WB Data'!$C$3:$M$578,2,FALSE)</f>
        <v>121200381042.49667</v>
      </c>
      <c r="AX1655" s="117">
        <f>VLOOKUP($D1655,'WB Data'!$C$3:$M$578,3,FALSE)</f>
        <v>28934303</v>
      </c>
      <c r="AY1655" s="847">
        <f t="shared" si="277"/>
        <v>2.4466670326971723E-2</v>
      </c>
      <c r="AZ1655" s="117">
        <f>VLOOKUP($D1655,'WB Data'!$C$3:$M$578,4,FALSE)/100</f>
        <v>0.18903877723521581</v>
      </c>
      <c r="BA1655" s="117">
        <f t="shared" si="278"/>
        <v>22911571832.715801</v>
      </c>
      <c r="BB1655" s="129">
        <f>IFERROR(VLOOKUP($D1655,'EITI Revenues'!$C$2:$G$224,5,FALSE),"..")</f>
        <v>2965369766.4701195</v>
      </c>
      <c r="BC1655" s="846">
        <f t="shared" si="279"/>
        <v>0.12942672759953641</v>
      </c>
      <c r="BD1655" s="129">
        <f>VLOOKUP($D1655,'WB Data 2'!$C$2:$K$545,6,FALSE)</f>
        <v>15993770399.481031</v>
      </c>
      <c r="BE1655" s="129">
        <f>IFERROR(VLOOKUP($D1655,UNCTAD!$C$5:$V$529,4,FALSE),"..")</f>
        <v>30597077000</v>
      </c>
      <c r="BF1655" s="846">
        <f t="shared" si="280"/>
        <v>0.5227221672018223</v>
      </c>
      <c r="BG1655" s="117">
        <f>VLOOKUP($D1655,'WB Data'!$C$3:$M$578,5,FALSE)</f>
        <v>441170000</v>
      </c>
      <c r="BH1655" s="129">
        <f>IFERROR($BB1655/$BG1655,"..")</f>
        <v>6.7216033875152874</v>
      </c>
      <c r="BI1655" s="117">
        <f>IFERROR(VLOOKUP($D1655,'WB Data'!$C$3:$M$578,7,FALSE)/100,"..")</f>
        <v>2.9168400000000001E-2</v>
      </c>
      <c r="BJ1655" s="117">
        <f>IFERROR($BI1655*$AW1655,"..")</f>
        <v>3535221194.39996</v>
      </c>
      <c r="BK1655" s="846">
        <f>IFERROR($BB1655/$BJ1655,"..")</f>
        <v>0.83880741922668789</v>
      </c>
      <c r="BL1655" s="117">
        <f>IFERROR(VLOOKUP($D1655,'WB Data'!$C$3:$M$578,7,FALSE)/100,"..")</f>
        <v>2.9168400000000001E-2</v>
      </c>
      <c r="BM1655" s="117">
        <f>IFERROR($AW1655*$BL1655,"..")</f>
        <v>3535221194.39996</v>
      </c>
      <c r="BN1655" s="846">
        <f>IFERROR($BB1655/$BM1655,"..")</f>
        <v>0.83880741922668789</v>
      </c>
      <c r="BO1655" s="801">
        <f t="shared" si="276"/>
        <v>38</v>
      </c>
      <c r="BP1655" s="117">
        <f>VLOOKUP($D1655,'WB Data'!$C$3:$M$578,9,FALSE)</f>
        <v>33.5</v>
      </c>
      <c r="BQ1655" s="117">
        <f>VLOOKUP($D1655,'WB Data'!$C$3:$M$578,10,FALSE)</f>
        <v>73.603682926829279</v>
      </c>
      <c r="BR1655" s="117">
        <f>VLOOKUP($D1655,'WB Data'!$C$3:$M$578,11,FALSE)</f>
        <v>16.2</v>
      </c>
      <c r="BS1655" s="129">
        <f>IFERROR(VLOOKUP($D1655,'WB Data 2'!$C$2:$K$545,9,FALSE),"..")</f>
        <v>96.569890000000001</v>
      </c>
      <c r="BT1655" s="129">
        <f>_xlfn.IFNA(VLOOKUP($C1655,RGI!$A$2:$C$43,2,FALSE),"..")</f>
        <v>76.8</v>
      </c>
      <c r="BU1655" s="129">
        <f>_xlfn.IFNA(VLOOKUP($C1655,RGI!$A$2:$C$43,3,FALSE),"..")</f>
        <v>72.816147461462435</v>
      </c>
      <c r="BV1655" s="129">
        <f>VLOOKUP($D1655,WGI!$C$2:$O$478,7,FALSE)</f>
        <v>4.0587288441011303E-2</v>
      </c>
      <c r="BW1655" s="129">
        <f>VLOOKUP($D1655,WGI!$C$2:$O$478,4,FALSE)</f>
        <v>-1.1809401239462201</v>
      </c>
      <c r="BX1655" s="129">
        <f>VLOOKUP($D1655,WGI!$C$2:$O$478,3,FALSE)</f>
        <v>-0.42240703988964201</v>
      </c>
      <c r="BY1655" s="129">
        <f>VLOOKUP($D1655,WGI!$C$2:$O$478,5,FALSE)</f>
        <v>0.401355532712239</v>
      </c>
      <c r="BZ1655" s="129">
        <f>VLOOKUP($D1655,WGI!$C$2:$O$478,2,FALSE)</f>
        <v>-0.34216136455586199</v>
      </c>
    </row>
    <row r="1656" spans="1:80" ht="15" customHeight="1">
      <c r="A1656" s="294" t="s">
        <v>457</v>
      </c>
      <c r="B1656" s="117">
        <v>2009</v>
      </c>
      <c r="C1656" s="117" t="s">
        <v>449</v>
      </c>
      <c r="D1656" s="117" t="s">
        <v>3643</v>
      </c>
      <c r="E1656" s="452" t="s">
        <v>220</v>
      </c>
      <c r="F1656" s="117"/>
      <c r="G1656" s="120" t="s">
        <v>24</v>
      </c>
      <c r="H1656" s="117" t="str">
        <f t="shared" si="281"/>
        <v>yes</v>
      </c>
      <c r="I1656" s="117" t="str">
        <f t="shared" si="273"/>
        <v>no</v>
      </c>
      <c r="J1656" s="117" t="str">
        <f t="shared" si="274"/>
        <v>no</v>
      </c>
      <c r="K1656" s="117" t="s">
        <v>2106</v>
      </c>
      <c r="L1656" s="117" t="str">
        <f t="shared" si="282"/>
        <v>detailed</v>
      </c>
      <c r="M1656" s="117" t="str">
        <f t="shared" si="275"/>
        <v>detailed Mining</v>
      </c>
      <c r="N1656" s="118"/>
      <c r="O1656" s="118"/>
      <c r="P1656" s="118"/>
      <c r="Q1656" s="118"/>
      <c r="R1656" s="118"/>
      <c r="S1656" s="117"/>
      <c r="T1656" s="119"/>
      <c r="U1656" s="117"/>
      <c r="V1656" s="117"/>
      <c r="W1656" s="89"/>
      <c r="X1656" s="117"/>
      <c r="Y1656" s="120"/>
      <c r="Z1656" s="120"/>
      <c r="AA1656" s="89"/>
      <c r="AB1656" s="89"/>
      <c r="AC1656" s="240"/>
      <c r="AD1656" s="240"/>
      <c r="AE1656" s="240"/>
      <c r="AF1656" s="241"/>
      <c r="AG1656" s="120"/>
      <c r="AH1656" s="124"/>
      <c r="AI1656" s="117"/>
      <c r="AJ1656" s="117"/>
      <c r="AK1656" s="89"/>
      <c r="AL1656" s="117"/>
      <c r="AM1656" s="117"/>
      <c r="AN1656" s="117"/>
      <c r="AO1656" s="117"/>
      <c r="AP1656" s="117"/>
      <c r="AQ1656" s="117"/>
      <c r="AR1656" s="117"/>
      <c r="AS1656" s="117"/>
      <c r="AT1656" s="117"/>
      <c r="AU1656" s="117"/>
      <c r="AV1656" s="128"/>
      <c r="AW1656" s="117">
        <f>VLOOKUP($D1656,'WB Data'!$C$3:$M$578,2,FALSE)</f>
        <v>121200381042.49667</v>
      </c>
      <c r="AX1656" s="117">
        <f>VLOOKUP($D1656,'WB Data'!$C$3:$M$578,3,FALSE)</f>
        <v>28934303</v>
      </c>
      <c r="AY1656" s="847">
        <f t="shared" si="277"/>
        <v>2.4466670326971723E-2</v>
      </c>
      <c r="AZ1656" s="117">
        <f>VLOOKUP($D1656,'WB Data'!$C$3:$M$578,4,FALSE)/100</f>
        <v>0.18903877723521581</v>
      </c>
      <c r="BA1656" s="117">
        <f t="shared" si="278"/>
        <v>22911571832.715801</v>
      </c>
      <c r="BB1656" s="129">
        <f>IFERROR(VLOOKUP($D1656,'EITI Revenues'!$C$2:$G$224,5,FALSE),"..")</f>
        <v>2965369766.4701195</v>
      </c>
      <c r="BC1656" s="846">
        <f t="shared" si="279"/>
        <v>0.12942672759953641</v>
      </c>
      <c r="BD1656" s="129">
        <f>VLOOKUP($D1656,'WB Data 2'!$C$2:$K$545,6,FALSE)</f>
        <v>15993770399.481031</v>
      </c>
      <c r="BE1656" s="129">
        <f>IFERROR(VLOOKUP($D1656,UNCTAD!$C$5:$V$529,4,FALSE),"..")</f>
        <v>30597077000</v>
      </c>
      <c r="BF1656" s="846">
        <f t="shared" si="280"/>
        <v>0.5227221672018223</v>
      </c>
      <c r="BG1656" s="117">
        <f>VLOOKUP($D1656,'WB Data'!$C$3:$M$578,5,FALSE)</f>
        <v>441170000</v>
      </c>
      <c r="BH1656" s="129">
        <f>IFERROR($BB1656/$BG1656,"..")</f>
        <v>6.7216033875152874</v>
      </c>
      <c r="BI1656" s="117">
        <f>IFERROR(VLOOKUP($D1656,'WB Data'!$C$3:$M$578,7,FALSE)/100,"..")</f>
        <v>2.9168400000000001E-2</v>
      </c>
      <c r="BJ1656" s="117">
        <f>IFERROR($BI1656*$AW1656,"..")</f>
        <v>3535221194.39996</v>
      </c>
      <c r="BK1656" s="846">
        <f>IFERROR($BB1656/$BJ1656,"..")</f>
        <v>0.83880741922668789</v>
      </c>
      <c r="BL1656" s="117">
        <f>IFERROR(VLOOKUP($D1656,'WB Data'!$C$3:$M$578,7,FALSE)/100,"..")</f>
        <v>2.9168400000000001E-2</v>
      </c>
      <c r="BM1656" s="117">
        <f>IFERROR($AW1656*$BL1656,"..")</f>
        <v>3535221194.39996</v>
      </c>
      <c r="BN1656" s="846">
        <f>IFERROR($BB1656/$BM1656,"..")</f>
        <v>0.83880741922668789</v>
      </c>
      <c r="BO1656" s="801">
        <f t="shared" si="276"/>
        <v>38</v>
      </c>
      <c r="BP1656" s="117">
        <f>VLOOKUP($D1656,'WB Data'!$C$3:$M$578,9,FALSE)</f>
        <v>33.5</v>
      </c>
      <c r="BQ1656" s="117">
        <f>VLOOKUP($D1656,'WB Data'!$C$3:$M$578,10,FALSE)</f>
        <v>73.603682926829279</v>
      </c>
      <c r="BR1656" s="117">
        <f>VLOOKUP($D1656,'WB Data'!$C$3:$M$578,11,FALSE)</f>
        <v>16.2</v>
      </c>
      <c r="BS1656" s="129">
        <f>IFERROR(VLOOKUP($D1656,'WB Data 2'!$C$2:$K$545,9,FALSE),"..")</f>
        <v>96.569890000000001</v>
      </c>
      <c r="BT1656" s="129">
        <f>_xlfn.IFNA(VLOOKUP($C1656,RGI!$A$2:$C$43,2,FALSE),"..")</f>
        <v>76.8</v>
      </c>
      <c r="BU1656" s="129">
        <f>_xlfn.IFNA(VLOOKUP($C1656,RGI!$A$2:$C$43,3,FALSE),"..")</f>
        <v>72.816147461462435</v>
      </c>
      <c r="BV1656" s="129">
        <f>VLOOKUP($D1656,WGI!$C$2:$O$478,7,FALSE)</f>
        <v>4.0587288441011303E-2</v>
      </c>
      <c r="BW1656" s="129">
        <f>VLOOKUP($D1656,WGI!$C$2:$O$478,4,FALSE)</f>
        <v>-1.1809401239462201</v>
      </c>
      <c r="BX1656" s="129">
        <f>VLOOKUP($D1656,WGI!$C$2:$O$478,3,FALSE)</f>
        <v>-0.42240703988964201</v>
      </c>
      <c r="BY1656" s="129">
        <f>VLOOKUP($D1656,WGI!$C$2:$O$478,5,FALSE)</f>
        <v>0.401355532712239</v>
      </c>
      <c r="BZ1656" s="129">
        <f>VLOOKUP($D1656,WGI!$C$2:$O$478,2,FALSE)</f>
        <v>-0.34216136455586199</v>
      </c>
    </row>
    <row r="1657" spans="1:80" ht="15" customHeight="1">
      <c r="A1657" s="294" t="s">
        <v>457</v>
      </c>
      <c r="B1657" s="117">
        <v>2009</v>
      </c>
      <c r="C1657" s="117" t="s">
        <v>449</v>
      </c>
      <c r="D1657" s="117" t="s">
        <v>3643</v>
      </c>
      <c r="E1657" s="452" t="s">
        <v>220</v>
      </c>
      <c r="F1657" s="117"/>
      <c r="G1657" s="120" t="s">
        <v>24</v>
      </c>
      <c r="H1657" s="117" t="str">
        <f t="shared" si="281"/>
        <v>yes</v>
      </c>
      <c r="I1657" s="117" t="str">
        <f t="shared" si="273"/>
        <v>no</v>
      </c>
      <c r="J1657" s="117" t="str">
        <f t="shared" si="274"/>
        <v>no</v>
      </c>
      <c r="K1657" s="117" t="s">
        <v>849</v>
      </c>
      <c r="L1657" s="117" t="str">
        <f t="shared" si="282"/>
        <v>detailed</v>
      </c>
      <c r="M1657" s="117" t="str">
        <f t="shared" si="275"/>
        <v>detailed Mining</v>
      </c>
      <c r="N1657" s="118"/>
      <c r="O1657" s="118"/>
      <c r="P1657" s="118"/>
      <c r="Q1657" s="118"/>
      <c r="R1657" s="118"/>
      <c r="S1657" s="117"/>
      <c r="T1657" s="119"/>
      <c r="U1657" s="117"/>
      <c r="V1657" s="117"/>
      <c r="W1657" s="89"/>
      <c r="X1657" s="117"/>
      <c r="Y1657" s="117"/>
      <c r="Z1657" s="117"/>
      <c r="AA1657" s="117"/>
      <c r="AB1657" s="117"/>
      <c r="AC1657" s="240"/>
      <c r="AD1657" s="240"/>
      <c r="AE1657" s="240"/>
      <c r="AF1657" s="241"/>
      <c r="AG1657" s="117"/>
      <c r="AH1657" s="124"/>
      <c r="AI1657" s="117"/>
      <c r="AJ1657" s="117"/>
      <c r="AK1657" s="89"/>
      <c r="AL1657" s="117"/>
      <c r="AM1657" s="117"/>
      <c r="AN1657" s="117"/>
      <c r="AO1657" s="117"/>
      <c r="AP1657" s="117"/>
      <c r="AQ1657" s="117"/>
      <c r="AR1657" s="117"/>
      <c r="AS1657" s="117"/>
      <c r="AT1657" s="117"/>
      <c r="AU1657" s="117"/>
      <c r="AV1657" s="128"/>
      <c r="AW1657" s="117">
        <f>VLOOKUP($D1657,'WB Data'!$C$3:$M$578,2,FALSE)</f>
        <v>121200381042.49667</v>
      </c>
      <c r="AX1657" s="117">
        <f>VLOOKUP($D1657,'WB Data'!$C$3:$M$578,3,FALSE)</f>
        <v>28934303</v>
      </c>
      <c r="AY1657" s="847">
        <f t="shared" si="277"/>
        <v>2.4466670326971723E-2</v>
      </c>
      <c r="AZ1657" s="117">
        <f>VLOOKUP($D1657,'WB Data'!$C$3:$M$578,4,FALSE)/100</f>
        <v>0.18903877723521581</v>
      </c>
      <c r="BA1657" s="117">
        <f t="shared" si="278"/>
        <v>22911571832.715801</v>
      </c>
      <c r="BB1657" s="129">
        <f>IFERROR(VLOOKUP($D1657,'EITI Revenues'!$C$2:$G$224,5,FALSE),"..")</f>
        <v>2965369766.4701195</v>
      </c>
      <c r="BC1657" s="846">
        <f t="shared" si="279"/>
        <v>0.12942672759953641</v>
      </c>
      <c r="BD1657" s="129">
        <f>VLOOKUP($D1657,'WB Data 2'!$C$2:$K$545,6,FALSE)</f>
        <v>15993770399.481031</v>
      </c>
      <c r="BE1657" s="129">
        <f>IFERROR(VLOOKUP($D1657,UNCTAD!$C$5:$V$529,4,FALSE),"..")</f>
        <v>30597077000</v>
      </c>
      <c r="BF1657" s="846">
        <f t="shared" si="280"/>
        <v>0.5227221672018223</v>
      </c>
      <c r="BG1657" s="117">
        <f>VLOOKUP($D1657,'WB Data'!$C$3:$M$578,5,FALSE)</f>
        <v>441170000</v>
      </c>
      <c r="BH1657" s="129">
        <f>IFERROR($BB1657/$BG1657,"..")</f>
        <v>6.7216033875152874</v>
      </c>
      <c r="BI1657" s="117">
        <f>IFERROR(VLOOKUP($D1657,'WB Data'!$C$3:$M$578,7,FALSE)/100,"..")</f>
        <v>2.9168400000000001E-2</v>
      </c>
      <c r="BJ1657" s="117">
        <f>IFERROR($BI1657*$AW1657,"..")</f>
        <v>3535221194.39996</v>
      </c>
      <c r="BK1657" s="846">
        <f>IFERROR($BB1657/$BJ1657,"..")</f>
        <v>0.83880741922668789</v>
      </c>
      <c r="BL1657" s="117">
        <f>IFERROR(VLOOKUP($D1657,'WB Data'!$C$3:$M$578,7,FALSE)/100,"..")</f>
        <v>2.9168400000000001E-2</v>
      </c>
      <c r="BM1657" s="117">
        <f>IFERROR($AW1657*$BL1657,"..")</f>
        <v>3535221194.39996</v>
      </c>
      <c r="BN1657" s="846">
        <f>IFERROR($BB1657/$BM1657,"..")</f>
        <v>0.83880741922668789</v>
      </c>
      <c r="BO1657" s="801">
        <f t="shared" si="276"/>
        <v>38</v>
      </c>
      <c r="BP1657" s="117">
        <f>VLOOKUP($D1657,'WB Data'!$C$3:$M$578,9,FALSE)</f>
        <v>33.5</v>
      </c>
      <c r="BQ1657" s="117">
        <f>VLOOKUP($D1657,'WB Data'!$C$3:$M$578,10,FALSE)</f>
        <v>73.603682926829279</v>
      </c>
      <c r="BR1657" s="117">
        <f>VLOOKUP($D1657,'WB Data'!$C$3:$M$578,11,FALSE)</f>
        <v>16.2</v>
      </c>
      <c r="BS1657" s="129">
        <f>IFERROR(VLOOKUP($D1657,'WB Data 2'!$C$2:$K$545,9,FALSE),"..")</f>
        <v>96.569890000000001</v>
      </c>
      <c r="BT1657" s="129">
        <f>_xlfn.IFNA(VLOOKUP($C1657,RGI!$A$2:$C$43,2,FALSE),"..")</f>
        <v>76.8</v>
      </c>
      <c r="BU1657" s="129">
        <f>_xlfn.IFNA(VLOOKUP($C1657,RGI!$A$2:$C$43,3,FALSE),"..")</f>
        <v>72.816147461462435</v>
      </c>
      <c r="BV1657" s="129">
        <f>VLOOKUP($D1657,WGI!$C$2:$O$478,7,FALSE)</f>
        <v>4.0587288441011303E-2</v>
      </c>
      <c r="BW1657" s="129">
        <f>VLOOKUP($D1657,WGI!$C$2:$O$478,4,FALSE)</f>
        <v>-1.1809401239462201</v>
      </c>
      <c r="BX1657" s="129">
        <f>VLOOKUP($D1657,WGI!$C$2:$O$478,3,FALSE)</f>
        <v>-0.42240703988964201</v>
      </c>
      <c r="BY1657" s="129">
        <f>VLOOKUP($D1657,WGI!$C$2:$O$478,5,FALSE)</f>
        <v>0.401355532712239</v>
      </c>
      <c r="BZ1657" s="129">
        <f>VLOOKUP($D1657,WGI!$C$2:$O$478,2,FALSE)</f>
        <v>-0.34216136455586199</v>
      </c>
    </row>
    <row r="1658" spans="1:80" s="144" customFormat="1" ht="15" customHeight="1">
      <c r="A1658" s="296" t="s">
        <v>458</v>
      </c>
      <c r="B1658" s="132">
        <v>2010</v>
      </c>
      <c r="C1658" s="132" t="s">
        <v>449</v>
      </c>
      <c r="D1658" s="117" t="s">
        <v>3677</v>
      </c>
      <c r="E1658" s="450" t="s">
        <v>220</v>
      </c>
      <c r="F1658" s="132" t="s">
        <v>2019</v>
      </c>
      <c r="G1658" s="132" t="s">
        <v>35</v>
      </c>
      <c r="H1658" s="117" t="str">
        <f t="shared" si="281"/>
        <v>yes</v>
      </c>
      <c r="I1658" s="117" t="str">
        <f t="shared" si="273"/>
        <v>yes</v>
      </c>
      <c r="J1658" s="117" t="str">
        <f t="shared" si="274"/>
        <v>yes</v>
      </c>
      <c r="K1658" s="132" t="s">
        <v>709</v>
      </c>
      <c r="L1658" s="117" t="str">
        <f t="shared" si="282"/>
        <v>Total</v>
      </c>
      <c r="M1658" s="117" t="str">
        <f t="shared" si="275"/>
        <v>Total Oil, Gas, Mining</v>
      </c>
      <c r="N1658" s="133"/>
      <c r="O1658" s="133"/>
      <c r="P1658" s="133"/>
      <c r="Q1658" s="133"/>
      <c r="R1658" s="133"/>
      <c r="S1658" s="132"/>
      <c r="T1658" s="134"/>
      <c r="U1658" s="132"/>
      <c r="V1658" s="132"/>
      <c r="W1658" s="135">
        <f>W1659+W1662</f>
        <v>29100004547.420002</v>
      </c>
      <c r="X1658" s="132" t="s">
        <v>2020</v>
      </c>
      <c r="Y1658" s="132" t="s">
        <v>602</v>
      </c>
      <c r="Z1658" s="132" t="s">
        <v>603</v>
      </c>
      <c r="AA1658" s="611">
        <v>4358147652.2724705</v>
      </c>
      <c r="AB1658" s="135">
        <v>4358224746.2937012</v>
      </c>
      <c r="AC1658" s="599"/>
      <c r="AD1658" s="599"/>
      <c r="AE1658" s="599"/>
      <c r="AF1658" s="600">
        <f>AA1658/((W1659*0.88)+(W1662*0.87))</f>
        <v>0.17175727590516091</v>
      </c>
      <c r="AG1658" s="132" t="s">
        <v>2021</v>
      </c>
      <c r="AH1658" s="140">
        <v>2.8260000000000001</v>
      </c>
      <c r="AI1658" s="132" t="s">
        <v>667</v>
      </c>
      <c r="AJ1658" s="132"/>
      <c r="AK1658" s="135"/>
      <c r="AL1658" s="132"/>
      <c r="AM1658" s="132"/>
      <c r="AN1658" s="132">
        <v>51</v>
      </c>
      <c r="AO1658" s="132" t="s">
        <v>2081</v>
      </c>
      <c r="AP1658" s="132">
        <v>51</v>
      </c>
      <c r="AQ1658" s="346">
        <v>40878</v>
      </c>
      <c r="AR1658" s="141">
        <v>41899</v>
      </c>
      <c r="AS1658" s="132" t="s">
        <v>1382</v>
      </c>
      <c r="AT1658" s="132" t="s">
        <v>456</v>
      </c>
      <c r="AU1658" s="132" t="s">
        <v>2082</v>
      </c>
      <c r="AV1658" s="143" t="s">
        <v>2111</v>
      </c>
      <c r="AW1658" s="117">
        <f>VLOOKUP($D1658,'WB Data'!$C$3:$M$578,2,FALSE)</f>
        <v>148522810971.50192</v>
      </c>
      <c r="AX1658" s="117">
        <f>VLOOKUP($D1658,'WB Data'!$C$3:$M$578,3,FALSE)</f>
        <v>29262830</v>
      </c>
      <c r="AY1658" s="847">
        <f t="shared" si="277"/>
        <v>2.9343288238119179E-2</v>
      </c>
      <c r="AZ1658" s="117">
        <f>VLOOKUP($D1658,'WB Data'!$C$3:$M$578,4,FALSE)/100</f>
        <v>0.20145402042179156</v>
      </c>
      <c r="BA1658" s="117">
        <f t="shared" si="278"/>
        <v>29920517394.554836</v>
      </c>
      <c r="BB1658" s="129">
        <f>IFERROR(VLOOKUP($D1658,'EITI Revenues'!$C$2:$G$224,5,FALSE),"..")</f>
        <v>4358147652.2724705</v>
      </c>
      <c r="BC1658" s="846">
        <f t="shared" si="279"/>
        <v>0.14565749631941857</v>
      </c>
      <c r="BD1658" s="129">
        <f>VLOOKUP($D1658,'WB Data 2'!$C$2:$K$545,6,FALSE)</f>
        <v>23087442294.109867</v>
      </c>
      <c r="BE1658" s="129">
        <f>IFERROR(VLOOKUP($D1658,UNCTAD!$C$5:$V$529,4,FALSE),"..")</f>
        <v>39257548000</v>
      </c>
      <c r="BF1658" s="846">
        <f t="shared" si="280"/>
        <v>0.58810199491088611</v>
      </c>
      <c r="BG1658" s="117">
        <f>VLOOKUP($D1658,'WB Data'!$C$3:$M$578,5,FALSE)</f>
        <v>-255920000</v>
      </c>
      <c r="BH1658" s="129">
        <f>IFERROR($BB1658/$BG1658,"..")</f>
        <v>-17.029335934168767</v>
      </c>
      <c r="BI1658" s="117">
        <f>IFERROR(VLOOKUP($D1658,'WB Data'!$C$3:$M$578,7,FALSE)/100,"..")</f>
        <v>2.6887599999999998E-2</v>
      </c>
      <c r="BJ1658" s="117">
        <f>IFERROR($BI1658*$AW1658,"..")</f>
        <v>3993421932.2773547</v>
      </c>
      <c r="BK1658" s="846">
        <f>IFERROR($BB1658/$BJ1658,"..")</f>
        <v>1.0913316264047064</v>
      </c>
      <c r="BL1658" s="117">
        <f>IFERROR(VLOOKUP($D1658,'WB Data'!$C$3:$M$578,7,FALSE)/100,"..")</f>
        <v>2.6887599999999998E-2</v>
      </c>
      <c r="BM1658" s="117">
        <f>IFERROR($AW1658*$BL1658,"..")</f>
        <v>3993421932.2773547</v>
      </c>
      <c r="BN1658" s="846">
        <f>IFERROR($BB1658/$BM1658,"..")</f>
        <v>1.0913316264047064</v>
      </c>
      <c r="BO1658" s="801">
        <f t="shared" si="276"/>
        <v>38</v>
      </c>
      <c r="BP1658" s="117">
        <f>VLOOKUP($D1658,'WB Data'!$C$3:$M$578,9,FALSE)</f>
        <v>30.8</v>
      </c>
      <c r="BQ1658" s="117">
        <f>VLOOKUP($D1658,'WB Data'!$C$3:$M$578,10,FALSE)</f>
        <v>73.905097560975619</v>
      </c>
      <c r="BR1658" s="117">
        <f>VLOOKUP($D1658,'WB Data'!$C$3:$M$578,11,FALSE)</f>
        <v>15.2</v>
      </c>
      <c r="BS1658" s="129">
        <f>IFERROR(VLOOKUP($D1658,'WB Data 2'!$C$2:$K$545,9,FALSE),"..")</f>
        <v>97.373459999999994</v>
      </c>
      <c r="BT1658" s="129">
        <f>_xlfn.IFNA(VLOOKUP($C1658,RGI!$A$2:$C$43,2,FALSE),"..")</f>
        <v>76.8</v>
      </c>
      <c r="BU1658" s="129">
        <f>_xlfn.IFNA(VLOOKUP($C1658,RGI!$A$2:$C$43,3,FALSE),"..")</f>
        <v>72.816147461462435</v>
      </c>
      <c r="BV1658" s="129">
        <f>VLOOKUP($D1658,WGI!$C$2:$O$478,7,FALSE)</f>
        <v>6.6403653760441994E-2</v>
      </c>
      <c r="BW1658" s="129">
        <f>VLOOKUP($D1658,WGI!$C$2:$O$478,4,FALSE)</f>
        <v>-0.97688567284337502</v>
      </c>
      <c r="BX1658" s="129">
        <f>VLOOKUP($D1658,WGI!$C$2:$O$478,3,FALSE)</f>
        <v>-0.203136729362278</v>
      </c>
      <c r="BY1658" s="129">
        <f>VLOOKUP($D1658,WGI!$C$2:$O$478,5,FALSE)</f>
        <v>0.460708707951485</v>
      </c>
      <c r="BZ1658" s="129">
        <f>VLOOKUP($D1658,WGI!$C$2:$O$478,2,FALSE)</f>
        <v>-0.25042827669247397</v>
      </c>
      <c r="CB1658" s="129"/>
    </row>
    <row r="1659" spans="1:80" s="120" customFormat="1" ht="15" customHeight="1">
      <c r="A1659" s="294" t="s">
        <v>458</v>
      </c>
      <c r="B1659" s="117">
        <v>2010</v>
      </c>
      <c r="C1659" s="117" t="s">
        <v>449</v>
      </c>
      <c r="D1659" s="117" t="s">
        <v>3677</v>
      </c>
      <c r="E1659" s="452" t="s">
        <v>220</v>
      </c>
      <c r="F1659" s="117"/>
      <c r="G1659" s="120" t="s">
        <v>55</v>
      </c>
      <c r="H1659" s="117" t="str">
        <f t="shared" si="281"/>
        <v>no</v>
      </c>
      <c r="I1659" s="117" t="str">
        <f t="shared" ref="I1659:I1722" si="283">IF($G1659="Gas","yes",IF($G1659="Oil, Gas, Mining","yes",IF($G1659="Gas, Mining","yes",IF($G1659="Oil, Gas","yes",IF($G1659="Oil, Gas, Other","yes","no")))))</f>
        <v>yes</v>
      </c>
      <c r="J1659" s="117" t="str">
        <f t="shared" ref="J1659:J1722" si="284">IF($G1659="Oil","yes",IF($G1659="Oil, Gas, Mining","yes",IF($G1659="Oil, Mining","yes",IF($G1659="Oil, Gas","yes",IF($G1659="Oil, Gas, Other","yes","no")))))</f>
        <v>yes</v>
      </c>
      <c r="K1659" s="117" t="s">
        <v>640</v>
      </c>
      <c r="L1659" s="117" t="str">
        <f t="shared" si="282"/>
        <v>Total</v>
      </c>
      <c r="M1659" s="117" t="str">
        <f t="shared" ref="M1659:M1722" si="285">L1659&amp;" "&amp;G1659</f>
        <v>Total Oil, Gas</v>
      </c>
      <c r="N1659" s="118"/>
      <c r="O1659" s="118"/>
      <c r="P1659" s="118"/>
      <c r="Q1659" s="118"/>
      <c r="R1659" s="118"/>
      <c r="S1659" s="117"/>
      <c r="T1659" s="119"/>
      <c r="U1659" s="117"/>
      <c r="V1659" s="117"/>
      <c r="W1659" s="89">
        <v>5687106187.7200003</v>
      </c>
      <c r="X1659" s="117"/>
      <c r="Y1659" s="117"/>
      <c r="Z1659" s="117"/>
      <c r="AA1659" s="89">
        <v>1509113462.3184714</v>
      </c>
      <c r="AB1659" s="89">
        <v>1509113234.3184714</v>
      </c>
      <c r="AC1659" s="240" t="s">
        <v>2108</v>
      </c>
      <c r="AD1659" s="240"/>
      <c r="AE1659" s="240"/>
      <c r="AF1659" s="241">
        <f>AA1659/(W1659*0.88)</f>
        <v>0.30154205058250394</v>
      </c>
      <c r="AG1659" s="117"/>
      <c r="AH1659" s="124"/>
      <c r="AI1659" s="117"/>
      <c r="AJ1659" s="117"/>
      <c r="AK1659" s="89"/>
      <c r="AL1659" s="117"/>
      <c r="AM1659" s="117"/>
      <c r="AN1659" s="117">
        <v>18</v>
      </c>
      <c r="AO1659" s="117" t="s">
        <v>2085</v>
      </c>
      <c r="AP1659" s="117">
        <v>18</v>
      </c>
      <c r="AQ1659" s="117"/>
      <c r="AR1659" s="117"/>
      <c r="AS1659" s="117"/>
      <c r="AT1659" s="117"/>
      <c r="AU1659" s="117">
        <v>10</v>
      </c>
      <c r="AV1659" s="128"/>
      <c r="AW1659" s="117">
        <f>VLOOKUP($D1659,'WB Data'!$C$3:$M$578,2,FALSE)</f>
        <v>148522810971.50192</v>
      </c>
      <c r="AX1659" s="117">
        <f>VLOOKUP($D1659,'WB Data'!$C$3:$M$578,3,FALSE)</f>
        <v>29262830</v>
      </c>
      <c r="AY1659" s="847">
        <f t="shared" si="277"/>
        <v>2.9343288238119179E-2</v>
      </c>
      <c r="AZ1659" s="117">
        <f>VLOOKUP($D1659,'WB Data'!$C$3:$M$578,4,FALSE)/100</f>
        <v>0.20145402042179156</v>
      </c>
      <c r="BA1659" s="117">
        <f t="shared" si="278"/>
        <v>29920517394.554836</v>
      </c>
      <c r="BB1659" s="129">
        <f>IFERROR(VLOOKUP($D1659,'EITI Revenues'!$C$2:$G$224,5,FALSE),"..")</f>
        <v>4358147652.2724705</v>
      </c>
      <c r="BC1659" s="846">
        <f t="shared" si="279"/>
        <v>0.14565749631941857</v>
      </c>
      <c r="BD1659" s="129">
        <f>VLOOKUP($D1659,'WB Data 2'!$C$2:$K$545,6,FALSE)</f>
        <v>23087442294.109867</v>
      </c>
      <c r="BE1659" s="129">
        <f>IFERROR(VLOOKUP($D1659,UNCTAD!$C$5:$V$529,4,FALSE),"..")</f>
        <v>39257548000</v>
      </c>
      <c r="BF1659" s="846">
        <f t="shared" si="280"/>
        <v>0.58810199491088611</v>
      </c>
      <c r="BG1659" s="117">
        <f>VLOOKUP($D1659,'WB Data'!$C$3:$M$578,5,FALSE)</f>
        <v>-255920000</v>
      </c>
      <c r="BH1659" s="129">
        <f>IFERROR($BB1659/$BG1659,"..")</f>
        <v>-17.029335934168767</v>
      </c>
      <c r="BI1659" s="117">
        <f>IFERROR(VLOOKUP($D1659,'WB Data'!$C$3:$M$578,7,FALSE)/100,"..")</f>
        <v>2.6887599999999998E-2</v>
      </c>
      <c r="BJ1659" s="117">
        <f>IFERROR($BI1659*$AW1659,"..")</f>
        <v>3993421932.2773547</v>
      </c>
      <c r="BK1659" s="846">
        <f>IFERROR($BB1659/$BJ1659,"..")</f>
        <v>1.0913316264047064</v>
      </c>
      <c r="BL1659" s="117">
        <f>IFERROR(VLOOKUP($D1659,'WB Data'!$C$3:$M$578,7,FALSE)/100,"..")</f>
        <v>2.6887599999999998E-2</v>
      </c>
      <c r="BM1659" s="117">
        <f>IFERROR($AW1659*$BL1659,"..")</f>
        <v>3993421932.2773547</v>
      </c>
      <c r="BN1659" s="846">
        <f>IFERROR($BB1659/$BM1659,"..")</f>
        <v>1.0913316264047064</v>
      </c>
      <c r="BO1659" s="801">
        <f t="shared" si="276"/>
        <v>38</v>
      </c>
      <c r="BP1659" s="117">
        <f>VLOOKUP($D1659,'WB Data'!$C$3:$M$578,9,FALSE)</f>
        <v>30.8</v>
      </c>
      <c r="BQ1659" s="117">
        <f>VLOOKUP($D1659,'WB Data'!$C$3:$M$578,10,FALSE)</f>
        <v>73.905097560975619</v>
      </c>
      <c r="BR1659" s="117">
        <f>VLOOKUP($D1659,'WB Data'!$C$3:$M$578,11,FALSE)</f>
        <v>15.2</v>
      </c>
      <c r="BS1659" s="129">
        <f>IFERROR(VLOOKUP($D1659,'WB Data 2'!$C$2:$K$545,9,FALSE),"..")</f>
        <v>97.373459999999994</v>
      </c>
      <c r="BT1659" s="129">
        <f>_xlfn.IFNA(VLOOKUP($C1659,RGI!$A$2:$C$43,2,FALSE),"..")</f>
        <v>76.8</v>
      </c>
      <c r="BU1659" s="129">
        <f>_xlfn.IFNA(VLOOKUP($C1659,RGI!$A$2:$C$43,3,FALSE),"..")</f>
        <v>72.816147461462435</v>
      </c>
      <c r="BV1659" s="129">
        <f>VLOOKUP($D1659,WGI!$C$2:$O$478,7,FALSE)</f>
        <v>6.6403653760441994E-2</v>
      </c>
      <c r="BW1659" s="129">
        <f>VLOOKUP($D1659,WGI!$C$2:$O$478,4,FALSE)</f>
        <v>-0.97688567284337502</v>
      </c>
      <c r="BX1659" s="129">
        <f>VLOOKUP($D1659,WGI!$C$2:$O$478,3,FALSE)</f>
        <v>-0.203136729362278</v>
      </c>
      <c r="BY1659" s="129">
        <f>VLOOKUP($D1659,WGI!$C$2:$O$478,5,FALSE)</f>
        <v>0.460708707951485</v>
      </c>
      <c r="BZ1659" s="129">
        <f>VLOOKUP($D1659,WGI!$C$2:$O$478,2,FALSE)</f>
        <v>-0.25042827669247397</v>
      </c>
      <c r="CB1659" s="129"/>
    </row>
    <row r="1660" spans="1:80" s="120" customFormat="1" ht="15" customHeight="1">
      <c r="A1660" s="294" t="s">
        <v>458</v>
      </c>
      <c r="B1660" s="117">
        <v>2010</v>
      </c>
      <c r="C1660" s="117" t="s">
        <v>449</v>
      </c>
      <c r="D1660" s="117" t="s">
        <v>3677</v>
      </c>
      <c r="E1660" s="452" t="s">
        <v>220</v>
      </c>
      <c r="F1660" s="117"/>
      <c r="G1660" s="120" t="s">
        <v>561</v>
      </c>
      <c r="H1660" s="117" t="str">
        <f t="shared" si="281"/>
        <v>no</v>
      </c>
      <c r="I1660" s="117" t="str">
        <f t="shared" si="283"/>
        <v>yes</v>
      </c>
      <c r="J1660" s="117" t="str">
        <f t="shared" si="284"/>
        <v>no</v>
      </c>
      <c r="K1660" s="117" t="s">
        <v>561</v>
      </c>
      <c r="L1660" s="117" t="str">
        <f t="shared" si="282"/>
        <v>detailed</v>
      </c>
      <c r="M1660" s="117" t="str">
        <f t="shared" si="285"/>
        <v>detailed Gas</v>
      </c>
      <c r="N1660" s="118"/>
      <c r="O1660" s="118"/>
      <c r="P1660" s="118"/>
      <c r="Q1660" s="118"/>
      <c r="R1660" s="118"/>
      <c r="S1660" s="117"/>
      <c r="T1660" s="119"/>
      <c r="U1660" s="117"/>
      <c r="V1660" s="117"/>
      <c r="W1660" s="89"/>
      <c r="X1660" s="117"/>
      <c r="Y1660" s="117"/>
      <c r="Z1660" s="117"/>
      <c r="AA1660" s="89"/>
      <c r="AB1660" s="89"/>
      <c r="AC1660" s="240"/>
      <c r="AD1660" s="240"/>
      <c r="AE1660" s="240"/>
      <c r="AF1660" s="241"/>
      <c r="AG1660" s="117"/>
      <c r="AH1660" s="124"/>
      <c r="AI1660" s="117"/>
      <c r="AJ1660" s="117"/>
      <c r="AK1660" s="89"/>
      <c r="AL1660" s="117"/>
      <c r="AM1660" s="117"/>
      <c r="AN1660" s="117"/>
      <c r="AO1660" s="117" t="s">
        <v>2087</v>
      </c>
      <c r="AP1660" s="117"/>
      <c r="AQ1660" s="117"/>
      <c r="AR1660" s="117"/>
      <c r="AS1660" s="117"/>
      <c r="AT1660" s="117"/>
      <c r="AU1660" s="117"/>
      <c r="AV1660" s="128"/>
      <c r="AW1660" s="117">
        <f>VLOOKUP($D1660,'WB Data'!$C$3:$M$578,2,FALSE)</f>
        <v>148522810971.50192</v>
      </c>
      <c r="AX1660" s="117">
        <f>VLOOKUP($D1660,'WB Data'!$C$3:$M$578,3,FALSE)</f>
        <v>29262830</v>
      </c>
      <c r="AY1660" s="847">
        <f t="shared" si="277"/>
        <v>2.9343288238119179E-2</v>
      </c>
      <c r="AZ1660" s="117">
        <f>VLOOKUP($D1660,'WB Data'!$C$3:$M$578,4,FALSE)/100</f>
        <v>0.20145402042179156</v>
      </c>
      <c r="BA1660" s="117">
        <f t="shared" si="278"/>
        <v>29920517394.554836</v>
      </c>
      <c r="BB1660" s="129">
        <f>IFERROR(VLOOKUP($D1660,'EITI Revenues'!$C$2:$G$224,5,FALSE),"..")</f>
        <v>4358147652.2724705</v>
      </c>
      <c r="BC1660" s="846">
        <f t="shared" si="279"/>
        <v>0.14565749631941857</v>
      </c>
      <c r="BD1660" s="129">
        <f>VLOOKUP($D1660,'WB Data 2'!$C$2:$K$545,6,FALSE)</f>
        <v>23087442294.109867</v>
      </c>
      <c r="BE1660" s="129">
        <f>IFERROR(VLOOKUP($D1660,UNCTAD!$C$5:$V$529,4,FALSE),"..")</f>
        <v>39257548000</v>
      </c>
      <c r="BF1660" s="846">
        <f t="shared" si="280"/>
        <v>0.58810199491088611</v>
      </c>
      <c r="BG1660" s="117">
        <f>VLOOKUP($D1660,'WB Data'!$C$3:$M$578,5,FALSE)</f>
        <v>-255920000</v>
      </c>
      <c r="BH1660" s="129">
        <f>IFERROR($BB1660/$BG1660,"..")</f>
        <v>-17.029335934168767</v>
      </c>
      <c r="BI1660" s="117">
        <f>IFERROR(VLOOKUP($D1660,'WB Data'!$C$3:$M$578,7,FALSE)/100,"..")</f>
        <v>2.6887599999999998E-2</v>
      </c>
      <c r="BJ1660" s="117">
        <f>IFERROR($BI1660*$AW1660,"..")</f>
        <v>3993421932.2773547</v>
      </c>
      <c r="BK1660" s="846">
        <f>IFERROR($BB1660/$BJ1660,"..")</f>
        <v>1.0913316264047064</v>
      </c>
      <c r="BL1660" s="117">
        <f>IFERROR(VLOOKUP($D1660,'WB Data'!$C$3:$M$578,7,FALSE)/100,"..")</f>
        <v>2.6887599999999998E-2</v>
      </c>
      <c r="BM1660" s="117">
        <f>IFERROR($AW1660*$BL1660,"..")</f>
        <v>3993421932.2773547</v>
      </c>
      <c r="BN1660" s="846">
        <f>IFERROR($BB1660/$BM1660,"..")</f>
        <v>1.0913316264047064</v>
      </c>
      <c r="BO1660" s="801">
        <f t="shared" si="276"/>
        <v>38</v>
      </c>
      <c r="BP1660" s="117">
        <f>VLOOKUP($D1660,'WB Data'!$C$3:$M$578,9,FALSE)</f>
        <v>30.8</v>
      </c>
      <c r="BQ1660" s="117">
        <f>VLOOKUP($D1660,'WB Data'!$C$3:$M$578,10,FALSE)</f>
        <v>73.905097560975619</v>
      </c>
      <c r="BR1660" s="117">
        <f>VLOOKUP($D1660,'WB Data'!$C$3:$M$578,11,FALSE)</f>
        <v>15.2</v>
      </c>
      <c r="BS1660" s="129">
        <f>IFERROR(VLOOKUP($D1660,'WB Data 2'!$C$2:$K$545,9,FALSE),"..")</f>
        <v>97.373459999999994</v>
      </c>
      <c r="BT1660" s="129">
        <f>_xlfn.IFNA(VLOOKUP($C1660,RGI!$A$2:$C$43,2,FALSE),"..")</f>
        <v>76.8</v>
      </c>
      <c r="BU1660" s="129">
        <f>_xlfn.IFNA(VLOOKUP($C1660,RGI!$A$2:$C$43,3,FALSE),"..")</f>
        <v>72.816147461462435</v>
      </c>
      <c r="BV1660" s="129">
        <f>VLOOKUP($D1660,WGI!$C$2:$O$478,7,FALSE)</f>
        <v>6.6403653760441994E-2</v>
      </c>
      <c r="BW1660" s="129">
        <f>VLOOKUP($D1660,WGI!$C$2:$O$478,4,FALSE)</f>
        <v>-0.97688567284337502</v>
      </c>
      <c r="BX1660" s="129">
        <f>VLOOKUP($D1660,WGI!$C$2:$O$478,3,FALSE)</f>
        <v>-0.203136729362278</v>
      </c>
      <c r="BY1660" s="129">
        <f>VLOOKUP($D1660,WGI!$C$2:$O$478,5,FALSE)</f>
        <v>0.460708707951485</v>
      </c>
      <c r="BZ1660" s="129">
        <f>VLOOKUP($D1660,WGI!$C$2:$O$478,2,FALSE)</f>
        <v>-0.25042827669247397</v>
      </c>
      <c r="CB1660" s="129"/>
    </row>
    <row r="1661" spans="1:80" s="120" customFormat="1" ht="15" customHeight="1">
      <c r="A1661" s="294" t="s">
        <v>458</v>
      </c>
      <c r="B1661" s="117">
        <v>2010</v>
      </c>
      <c r="C1661" s="117" t="s">
        <v>449</v>
      </c>
      <c r="D1661" s="117" t="s">
        <v>3677</v>
      </c>
      <c r="E1661" s="452" t="s">
        <v>220</v>
      </c>
      <c r="F1661" s="117"/>
      <c r="G1661" s="120" t="s">
        <v>103</v>
      </c>
      <c r="H1661" s="117" t="str">
        <f t="shared" si="281"/>
        <v>no</v>
      </c>
      <c r="I1661" s="117" t="str">
        <f t="shared" si="283"/>
        <v>no</v>
      </c>
      <c r="J1661" s="117" t="str">
        <f t="shared" si="284"/>
        <v>yes</v>
      </c>
      <c r="K1661" s="117" t="s">
        <v>103</v>
      </c>
      <c r="L1661" s="117" t="str">
        <f t="shared" si="282"/>
        <v>detailed</v>
      </c>
      <c r="M1661" s="117" t="str">
        <f t="shared" si="285"/>
        <v>detailed Oil</v>
      </c>
      <c r="N1661" s="118"/>
      <c r="O1661" s="118"/>
      <c r="P1661" s="118"/>
      <c r="Q1661" s="118"/>
      <c r="R1661" s="118"/>
      <c r="S1661" s="117"/>
      <c r="T1661" s="119"/>
      <c r="U1661" s="117"/>
      <c r="V1661" s="117"/>
      <c r="W1661" s="89"/>
      <c r="X1661" s="117"/>
      <c r="Y1661" s="117"/>
      <c r="Z1661" s="117"/>
      <c r="AA1661" s="89"/>
      <c r="AB1661" s="89"/>
      <c r="AC1661" s="240"/>
      <c r="AD1661" s="240"/>
      <c r="AE1661" s="240"/>
      <c r="AF1661" s="241"/>
      <c r="AG1661" s="117"/>
      <c r="AH1661" s="124"/>
      <c r="AI1661" s="117"/>
      <c r="AJ1661" s="117"/>
      <c r="AK1661" s="89"/>
      <c r="AL1661" s="117"/>
      <c r="AM1661" s="117"/>
      <c r="AN1661" s="117"/>
      <c r="AO1661" s="117"/>
      <c r="AP1661" s="117"/>
      <c r="AQ1661" s="117"/>
      <c r="AR1661" s="117"/>
      <c r="AS1661" s="117"/>
      <c r="AT1661" s="117"/>
      <c r="AU1661" s="117"/>
      <c r="AV1661" s="128"/>
      <c r="AW1661" s="117">
        <f>VLOOKUP($D1661,'WB Data'!$C$3:$M$578,2,FALSE)</f>
        <v>148522810971.50192</v>
      </c>
      <c r="AX1661" s="117">
        <f>VLOOKUP($D1661,'WB Data'!$C$3:$M$578,3,FALSE)</f>
        <v>29262830</v>
      </c>
      <c r="AY1661" s="847">
        <f t="shared" si="277"/>
        <v>2.9343288238119179E-2</v>
      </c>
      <c r="AZ1661" s="117">
        <f>VLOOKUP($D1661,'WB Data'!$C$3:$M$578,4,FALSE)/100</f>
        <v>0.20145402042179156</v>
      </c>
      <c r="BA1661" s="117">
        <f t="shared" si="278"/>
        <v>29920517394.554836</v>
      </c>
      <c r="BB1661" s="129">
        <f>IFERROR(VLOOKUP($D1661,'EITI Revenues'!$C$2:$G$224,5,FALSE),"..")</f>
        <v>4358147652.2724705</v>
      </c>
      <c r="BC1661" s="846">
        <f t="shared" si="279"/>
        <v>0.14565749631941857</v>
      </c>
      <c r="BD1661" s="129">
        <f>VLOOKUP($D1661,'WB Data 2'!$C$2:$K$545,6,FALSE)</f>
        <v>23087442294.109867</v>
      </c>
      <c r="BE1661" s="129">
        <f>IFERROR(VLOOKUP($D1661,UNCTAD!$C$5:$V$529,4,FALSE),"..")</f>
        <v>39257548000</v>
      </c>
      <c r="BF1661" s="846">
        <f t="shared" si="280"/>
        <v>0.58810199491088611</v>
      </c>
      <c r="BG1661" s="117">
        <f>VLOOKUP($D1661,'WB Data'!$C$3:$M$578,5,FALSE)</f>
        <v>-255920000</v>
      </c>
      <c r="BH1661" s="129">
        <f>IFERROR($BB1661/$BG1661,"..")</f>
        <v>-17.029335934168767</v>
      </c>
      <c r="BI1661" s="117">
        <f>IFERROR(VLOOKUP($D1661,'WB Data'!$C$3:$M$578,7,FALSE)/100,"..")</f>
        <v>2.6887599999999998E-2</v>
      </c>
      <c r="BJ1661" s="117">
        <f>IFERROR($BI1661*$AW1661,"..")</f>
        <v>3993421932.2773547</v>
      </c>
      <c r="BK1661" s="846">
        <f>IFERROR($BB1661/$BJ1661,"..")</f>
        <v>1.0913316264047064</v>
      </c>
      <c r="BL1661" s="117">
        <f>IFERROR(VLOOKUP($D1661,'WB Data'!$C$3:$M$578,7,FALSE)/100,"..")</f>
        <v>2.6887599999999998E-2</v>
      </c>
      <c r="BM1661" s="117">
        <f>IFERROR($AW1661*$BL1661,"..")</f>
        <v>3993421932.2773547</v>
      </c>
      <c r="BN1661" s="846">
        <f>IFERROR($BB1661/$BM1661,"..")</f>
        <v>1.0913316264047064</v>
      </c>
      <c r="BO1661" s="801">
        <f t="shared" si="276"/>
        <v>38</v>
      </c>
      <c r="BP1661" s="117">
        <f>VLOOKUP($D1661,'WB Data'!$C$3:$M$578,9,FALSE)</f>
        <v>30.8</v>
      </c>
      <c r="BQ1661" s="117">
        <f>VLOOKUP($D1661,'WB Data'!$C$3:$M$578,10,FALSE)</f>
        <v>73.905097560975619</v>
      </c>
      <c r="BR1661" s="117">
        <f>VLOOKUP($D1661,'WB Data'!$C$3:$M$578,11,FALSE)</f>
        <v>15.2</v>
      </c>
      <c r="BS1661" s="129">
        <f>IFERROR(VLOOKUP($D1661,'WB Data 2'!$C$2:$K$545,9,FALSE),"..")</f>
        <v>97.373459999999994</v>
      </c>
      <c r="BT1661" s="129">
        <f>_xlfn.IFNA(VLOOKUP($C1661,RGI!$A$2:$C$43,2,FALSE),"..")</f>
        <v>76.8</v>
      </c>
      <c r="BU1661" s="129">
        <f>_xlfn.IFNA(VLOOKUP($C1661,RGI!$A$2:$C$43,3,FALSE),"..")</f>
        <v>72.816147461462435</v>
      </c>
      <c r="BV1661" s="129">
        <f>VLOOKUP($D1661,WGI!$C$2:$O$478,7,FALSE)</f>
        <v>6.6403653760441994E-2</v>
      </c>
      <c r="BW1661" s="129">
        <f>VLOOKUP($D1661,WGI!$C$2:$O$478,4,FALSE)</f>
        <v>-0.97688567284337502</v>
      </c>
      <c r="BX1661" s="129">
        <f>VLOOKUP($D1661,WGI!$C$2:$O$478,3,FALSE)</f>
        <v>-0.203136729362278</v>
      </c>
      <c r="BY1661" s="129">
        <f>VLOOKUP($D1661,WGI!$C$2:$O$478,5,FALSE)</f>
        <v>0.460708707951485</v>
      </c>
      <c r="BZ1661" s="129">
        <f>VLOOKUP($D1661,WGI!$C$2:$O$478,2,FALSE)</f>
        <v>-0.25042827669247397</v>
      </c>
      <c r="CB1661" s="129"/>
    </row>
    <row r="1662" spans="1:80" s="120" customFormat="1" ht="15" customHeight="1">
      <c r="A1662" s="294" t="s">
        <v>458</v>
      </c>
      <c r="B1662" s="117">
        <v>2010</v>
      </c>
      <c r="C1662" s="117" t="s">
        <v>449</v>
      </c>
      <c r="D1662" s="117" t="s">
        <v>3677</v>
      </c>
      <c r="E1662" s="452" t="s">
        <v>220</v>
      </c>
      <c r="F1662" s="117"/>
      <c r="G1662" s="120" t="s">
        <v>24</v>
      </c>
      <c r="H1662" s="117" t="str">
        <f t="shared" si="281"/>
        <v>yes</v>
      </c>
      <c r="I1662" s="117" t="str">
        <f t="shared" si="283"/>
        <v>no</v>
      </c>
      <c r="J1662" s="117" t="str">
        <f t="shared" si="284"/>
        <v>no</v>
      </c>
      <c r="K1662" s="117" t="s">
        <v>600</v>
      </c>
      <c r="L1662" s="117" t="str">
        <f t="shared" si="282"/>
        <v>Total</v>
      </c>
      <c r="M1662" s="117" t="str">
        <f t="shared" si="285"/>
        <v>Total Mining</v>
      </c>
      <c r="N1662" s="118"/>
      <c r="O1662" s="118"/>
      <c r="P1662" s="118"/>
      <c r="Q1662" s="118"/>
      <c r="R1662" s="118"/>
      <c r="S1662" s="117"/>
      <c r="T1662" s="119"/>
      <c r="U1662" s="117"/>
      <c r="V1662" s="117"/>
      <c r="W1662" s="89">
        <v>23412898359.700001</v>
      </c>
      <c r="X1662" s="117"/>
      <c r="AA1662" s="89">
        <v>2849034189.9539986</v>
      </c>
      <c r="AB1662" s="89">
        <v>2849111511.9752302</v>
      </c>
      <c r="AC1662" s="240" t="s">
        <v>2112</v>
      </c>
      <c r="AD1662" s="240"/>
      <c r="AE1662" s="240"/>
      <c r="AF1662" s="241">
        <f>AA1662/(W1662*0.87)</f>
        <v>0.13986956643149334</v>
      </c>
      <c r="AH1662" s="124"/>
      <c r="AI1662" s="117"/>
      <c r="AJ1662" s="117"/>
      <c r="AK1662" s="89"/>
      <c r="AL1662" s="117"/>
      <c r="AM1662" s="117"/>
      <c r="AN1662" s="117">
        <v>33</v>
      </c>
      <c r="AO1662" s="117" t="s">
        <v>2087</v>
      </c>
      <c r="AP1662" s="117">
        <v>33</v>
      </c>
      <c r="AQ1662" s="117"/>
      <c r="AR1662" s="117"/>
      <c r="AS1662" s="117"/>
      <c r="AT1662" s="117"/>
      <c r="AU1662" s="117">
        <v>10</v>
      </c>
      <c r="AV1662" s="128"/>
      <c r="AW1662" s="117">
        <f>VLOOKUP($D1662,'WB Data'!$C$3:$M$578,2,FALSE)</f>
        <v>148522810971.50192</v>
      </c>
      <c r="AX1662" s="117">
        <f>VLOOKUP($D1662,'WB Data'!$C$3:$M$578,3,FALSE)</f>
        <v>29262830</v>
      </c>
      <c r="AY1662" s="847">
        <f t="shared" si="277"/>
        <v>2.9343288238119179E-2</v>
      </c>
      <c r="AZ1662" s="117">
        <f>VLOOKUP($D1662,'WB Data'!$C$3:$M$578,4,FALSE)/100</f>
        <v>0.20145402042179156</v>
      </c>
      <c r="BA1662" s="117">
        <f t="shared" si="278"/>
        <v>29920517394.554836</v>
      </c>
      <c r="BB1662" s="129">
        <f>IFERROR(VLOOKUP($D1662,'EITI Revenues'!$C$2:$G$224,5,FALSE),"..")</f>
        <v>4358147652.2724705</v>
      </c>
      <c r="BC1662" s="846">
        <f t="shared" si="279"/>
        <v>0.14565749631941857</v>
      </c>
      <c r="BD1662" s="129">
        <f>VLOOKUP($D1662,'WB Data 2'!$C$2:$K$545,6,FALSE)</f>
        <v>23087442294.109867</v>
      </c>
      <c r="BE1662" s="129">
        <f>IFERROR(VLOOKUP($D1662,UNCTAD!$C$5:$V$529,4,FALSE),"..")</f>
        <v>39257548000</v>
      </c>
      <c r="BF1662" s="846">
        <f t="shared" si="280"/>
        <v>0.58810199491088611</v>
      </c>
      <c r="BG1662" s="117">
        <f>VLOOKUP($D1662,'WB Data'!$C$3:$M$578,5,FALSE)</f>
        <v>-255920000</v>
      </c>
      <c r="BH1662" s="129">
        <f>IFERROR($BB1662/$BG1662,"..")</f>
        <v>-17.029335934168767</v>
      </c>
      <c r="BI1662" s="117">
        <f>IFERROR(VLOOKUP($D1662,'WB Data'!$C$3:$M$578,7,FALSE)/100,"..")</f>
        <v>2.6887599999999998E-2</v>
      </c>
      <c r="BJ1662" s="117">
        <f>IFERROR($BI1662*$AW1662,"..")</f>
        <v>3993421932.2773547</v>
      </c>
      <c r="BK1662" s="846">
        <f>IFERROR($BB1662/$BJ1662,"..")</f>
        <v>1.0913316264047064</v>
      </c>
      <c r="BL1662" s="117">
        <f>IFERROR(VLOOKUP($D1662,'WB Data'!$C$3:$M$578,7,FALSE)/100,"..")</f>
        <v>2.6887599999999998E-2</v>
      </c>
      <c r="BM1662" s="117">
        <f>IFERROR($AW1662*$BL1662,"..")</f>
        <v>3993421932.2773547</v>
      </c>
      <c r="BN1662" s="846">
        <f>IFERROR($BB1662/$BM1662,"..")</f>
        <v>1.0913316264047064</v>
      </c>
      <c r="BO1662" s="801">
        <f t="shared" si="276"/>
        <v>38</v>
      </c>
      <c r="BP1662" s="117">
        <f>VLOOKUP($D1662,'WB Data'!$C$3:$M$578,9,FALSE)</f>
        <v>30.8</v>
      </c>
      <c r="BQ1662" s="117">
        <f>VLOOKUP($D1662,'WB Data'!$C$3:$M$578,10,FALSE)</f>
        <v>73.905097560975619</v>
      </c>
      <c r="BR1662" s="117">
        <f>VLOOKUP($D1662,'WB Data'!$C$3:$M$578,11,FALSE)</f>
        <v>15.2</v>
      </c>
      <c r="BS1662" s="129">
        <f>IFERROR(VLOOKUP($D1662,'WB Data 2'!$C$2:$K$545,9,FALSE),"..")</f>
        <v>97.373459999999994</v>
      </c>
      <c r="BT1662" s="129">
        <f>_xlfn.IFNA(VLOOKUP($C1662,RGI!$A$2:$C$43,2,FALSE),"..")</f>
        <v>76.8</v>
      </c>
      <c r="BU1662" s="129">
        <f>_xlfn.IFNA(VLOOKUP($C1662,RGI!$A$2:$C$43,3,FALSE),"..")</f>
        <v>72.816147461462435</v>
      </c>
      <c r="BV1662" s="129">
        <f>VLOOKUP($D1662,WGI!$C$2:$O$478,7,FALSE)</f>
        <v>6.6403653760441994E-2</v>
      </c>
      <c r="BW1662" s="129">
        <f>VLOOKUP($D1662,WGI!$C$2:$O$478,4,FALSE)</f>
        <v>-0.97688567284337502</v>
      </c>
      <c r="BX1662" s="129">
        <f>VLOOKUP($D1662,WGI!$C$2:$O$478,3,FALSE)</f>
        <v>-0.203136729362278</v>
      </c>
      <c r="BY1662" s="129">
        <f>VLOOKUP($D1662,WGI!$C$2:$O$478,5,FALSE)</f>
        <v>0.460708707951485</v>
      </c>
      <c r="BZ1662" s="129">
        <f>VLOOKUP($D1662,WGI!$C$2:$O$478,2,FALSE)</f>
        <v>-0.25042827669247397</v>
      </c>
      <c r="CB1662" s="129"/>
    </row>
    <row r="1663" spans="1:80" s="120" customFormat="1" ht="15" customHeight="1">
      <c r="A1663" s="294" t="s">
        <v>458</v>
      </c>
      <c r="B1663" s="117">
        <v>2010</v>
      </c>
      <c r="C1663" s="117" t="s">
        <v>449</v>
      </c>
      <c r="D1663" s="117" t="s">
        <v>3677</v>
      </c>
      <c r="E1663" s="452" t="s">
        <v>220</v>
      </c>
      <c r="F1663" s="117"/>
      <c r="G1663" s="120" t="s">
        <v>24</v>
      </c>
      <c r="H1663" s="117" t="str">
        <f t="shared" si="281"/>
        <v>yes</v>
      </c>
      <c r="I1663" s="117" t="str">
        <f t="shared" si="283"/>
        <v>no</v>
      </c>
      <c r="J1663" s="117" t="str">
        <f t="shared" si="284"/>
        <v>no</v>
      </c>
      <c r="K1663" s="117" t="s">
        <v>2088</v>
      </c>
      <c r="L1663" s="117" t="str">
        <f t="shared" si="282"/>
        <v>detailed</v>
      </c>
      <c r="M1663" s="117" t="str">
        <f t="shared" si="285"/>
        <v>detailed Mining</v>
      </c>
      <c r="N1663" s="118"/>
      <c r="O1663" s="118"/>
      <c r="P1663" s="118"/>
      <c r="Q1663" s="118"/>
      <c r="R1663" s="118"/>
      <c r="S1663" s="117"/>
      <c r="T1663" s="119"/>
      <c r="U1663" s="117"/>
      <c r="V1663" s="117"/>
      <c r="W1663" s="89"/>
      <c r="X1663" s="117"/>
      <c r="AA1663" s="89"/>
      <c r="AB1663" s="89"/>
      <c r="AC1663" s="240"/>
      <c r="AD1663" s="240"/>
      <c r="AE1663" s="240"/>
      <c r="AF1663" s="241"/>
      <c r="AH1663" s="124"/>
      <c r="AI1663" s="117"/>
      <c r="AJ1663" s="117"/>
      <c r="AK1663" s="89"/>
      <c r="AL1663" s="117"/>
      <c r="AM1663" s="117"/>
      <c r="AN1663" s="117"/>
      <c r="AO1663" s="117"/>
      <c r="AP1663" s="117"/>
      <c r="AQ1663" s="117"/>
      <c r="AR1663" s="117"/>
      <c r="AS1663" s="117"/>
      <c r="AT1663" s="117"/>
      <c r="AU1663" s="117"/>
      <c r="AV1663" s="128"/>
      <c r="AW1663" s="117">
        <f>VLOOKUP($D1663,'WB Data'!$C$3:$M$578,2,FALSE)</f>
        <v>148522810971.50192</v>
      </c>
      <c r="AX1663" s="117">
        <f>VLOOKUP($D1663,'WB Data'!$C$3:$M$578,3,FALSE)</f>
        <v>29262830</v>
      </c>
      <c r="AY1663" s="847">
        <f t="shared" si="277"/>
        <v>2.9343288238119179E-2</v>
      </c>
      <c r="AZ1663" s="117">
        <f>VLOOKUP($D1663,'WB Data'!$C$3:$M$578,4,FALSE)/100</f>
        <v>0.20145402042179156</v>
      </c>
      <c r="BA1663" s="117">
        <f t="shared" si="278"/>
        <v>29920517394.554836</v>
      </c>
      <c r="BB1663" s="129">
        <f>IFERROR(VLOOKUP($D1663,'EITI Revenues'!$C$2:$G$224,5,FALSE),"..")</f>
        <v>4358147652.2724705</v>
      </c>
      <c r="BC1663" s="846">
        <f t="shared" si="279"/>
        <v>0.14565749631941857</v>
      </c>
      <c r="BD1663" s="129">
        <f>VLOOKUP($D1663,'WB Data 2'!$C$2:$K$545,6,FALSE)</f>
        <v>23087442294.109867</v>
      </c>
      <c r="BE1663" s="129">
        <f>IFERROR(VLOOKUP($D1663,UNCTAD!$C$5:$V$529,4,FALSE),"..")</f>
        <v>39257548000</v>
      </c>
      <c r="BF1663" s="846">
        <f t="shared" si="280"/>
        <v>0.58810199491088611</v>
      </c>
      <c r="BG1663" s="117">
        <f>VLOOKUP($D1663,'WB Data'!$C$3:$M$578,5,FALSE)</f>
        <v>-255920000</v>
      </c>
      <c r="BH1663" s="129">
        <f>IFERROR($BB1663/$BG1663,"..")</f>
        <v>-17.029335934168767</v>
      </c>
      <c r="BI1663" s="117">
        <f>IFERROR(VLOOKUP($D1663,'WB Data'!$C$3:$M$578,7,FALSE)/100,"..")</f>
        <v>2.6887599999999998E-2</v>
      </c>
      <c r="BJ1663" s="117">
        <f>IFERROR($BI1663*$AW1663,"..")</f>
        <v>3993421932.2773547</v>
      </c>
      <c r="BK1663" s="846">
        <f>IFERROR($BB1663/$BJ1663,"..")</f>
        <v>1.0913316264047064</v>
      </c>
      <c r="BL1663" s="117">
        <f>IFERROR(VLOOKUP($D1663,'WB Data'!$C$3:$M$578,7,FALSE)/100,"..")</f>
        <v>2.6887599999999998E-2</v>
      </c>
      <c r="BM1663" s="117">
        <f>IFERROR($AW1663*$BL1663,"..")</f>
        <v>3993421932.2773547</v>
      </c>
      <c r="BN1663" s="846">
        <f>IFERROR($BB1663/$BM1663,"..")</f>
        <v>1.0913316264047064</v>
      </c>
      <c r="BO1663" s="801">
        <f t="shared" si="276"/>
        <v>38</v>
      </c>
      <c r="BP1663" s="117">
        <f>VLOOKUP($D1663,'WB Data'!$C$3:$M$578,9,FALSE)</f>
        <v>30.8</v>
      </c>
      <c r="BQ1663" s="117">
        <f>VLOOKUP($D1663,'WB Data'!$C$3:$M$578,10,FALSE)</f>
        <v>73.905097560975619</v>
      </c>
      <c r="BR1663" s="117">
        <f>VLOOKUP($D1663,'WB Data'!$C$3:$M$578,11,FALSE)</f>
        <v>15.2</v>
      </c>
      <c r="BS1663" s="129">
        <f>IFERROR(VLOOKUP($D1663,'WB Data 2'!$C$2:$K$545,9,FALSE),"..")</f>
        <v>97.373459999999994</v>
      </c>
      <c r="BT1663" s="129">
        <f>_xlfn.IFNA(VLOOKUP($C1663,RGI!$A$2:$C$43,2,FALSE),"..")</f>
        <v>76.8</v>
      </c>
      <c r="BU1663" s="129">
        <f>_xlfn.IFNA(VLOOKUP($C1663,RGI!$A$2:$C$43,3,FALSE),"..")</f>
        <v>72.816147461462435</v>
      </c>
      <c r="BV1663" s="129">
        <f>VLOOKUP($D1663,WGI!$C$2:$O$478,7,FALSE)</f>
        <v>6.6403653760441994E-2</v>
      </c>
      <c r="BW1663" s="129">
        <f>VLOOKUP($D1663,WGI!$C$2:$O$478,4,FALSE)</f>
        <v>-0.97688567284337502</v>
      </c>
      <c r="BX1663" s="129">
        <f>VLOOKUP($D1663,WGI!$C$2:$O$478,3,FALSE)</f>
        <v>-0.203136729362278</v>
      </c>
      <c r="BY1663" s="129">
        <f>VLOOKUP($D1663,WGI!$C$2:$O$478,5,FALSE)</f>
        <v>0.460708707951485</v>
      </c>
      <c r="BZ1663" s="129">
        <f>VLOOKUP($D1663,WGI!$C$2:$O$478,2,FALSE)</f>
        <v>-0.25042827669247397</v>
      </c>
      <c r="CB1663" s="129"/>
    </row>
    <row r="1664" spans="1:80" s="120" customFormat="1" ht="15" customHeight="1">
      <c r="A1664" s="294" t="s">
        <v>458</v>
      </c>
      <c r="B1664" s="117">
        <v>2010</v>
      </c>
      <c r="C1664" s="117" t="s">
        <v>449</v>
      </c>
      <c r="D1664" s="117" t="s">
        <v>3677</v>
      </c>
      <c r="E1664" s="452" t="s">
        <v>220</v>
      </c>
      <c r="F1664" s="117"/>
      <c r="G1664" s="120" t="s">
        <v>24</v>
      </c>
      <c r="H1664" s="117" t="str">
        <f t="shared" si="281"/>
        <v>yes</v>
      </c>
      <c r="I1664" s="117" t="str">
        <f t="shared" si="283"/>
        <v>no</v>
      </c>
      <c r="J1664" s="117" t="str">
        <f t="shared" si="284"/>
        <v>no</v>
      </c>
      <c r="K1664" s="117" t="s">
        <v>2089</v>
      </c>
      <c r="L1664" s="117" t="str">
        <f t="shared" si="282"/>
        <v>detailed</v>
      </c>
      <c r="M1664" s="117" t="str">
        <f t="shared" si="285"/>
        <v>detailed Mining</v>
      </c>
      <c r="N1664" s="118"/>
      <c r="O1664" s="118"/>
      <c r="P1664" s="118"/>
      <c r="Q1664" s="118"/>
      <c r="R1664" s="118"/>
      <c r="S1664" s="117"/>
      <c r="T1664" s="119"/>
      <c r="U1664" s="117"/>
      <c r="V1664" s="117"/>
      <c r="W1664" s="89"/>
      <c r="X1664" s="117"/>
      <c r="AA1664" s="89"/>
      <c r="AB1664" s="89"/>
      <c r="AC1664" s="240"/>
      <c r="AD1664" s="240"/>
      <c r="AE1664" s="240"/>
      <c r="AF1664" s="241"/>
      <c r="AH1664" s="124"/>
      <c r="AI1664" s="117"/>
      <c r="AJ1664" s="117"/>
      <c r="AK1664" s="89"/>
      <c r="AL1664" s="117"/>
      <c r="AM1664" s="117"/>
      <c r="AN1664" s="117"/>
      <c r="AO1664" s="117"/>
      <c r="AP1664" s="117"/>
      <c r="AQ1664" s="117"/>
      <c r="AR1664" s="117"/>
      <c r="AS1664" s="117"/>
      <c r="AT1664" s="117"/>
      <c r="AU1664" s="117"/>
      <c r="AV1664" s="128"/>
      <c r="AW1664" s="117">
        <f>VLOOKUP($D1664,'WB Data'!$C$3:$M$578,2,FALSE)</f>
        <v>148522810971.50192</v>
      </c>
      <c r="AX1664" s="117">
        <f>VLOOKUP($D1664,'WB Data'!$C$3:$M$578,3,FALSE)</f>
        <v>29262830</v>
      </c>
      <c r="AY1664" s="847">
        <f t="shared" si="277"/>
        <v>2.9343288238119179E-2</v>
      </c>
      <c r="AZ1664" s="117">
        <f>VLOOKUP($D1664,'WB Data'!$C$3:$M$578,4,FALSE)/100</f>
        <v>0.20145402042179156</v>
      </c>
      <c r="BA1664" s="117">
        <f t="shared" si="278"/>
        <v>29920517394.554836</v>
      </c>
      <c r="BB1664" s="129">
        <f>IFERROR(VLOOKUP($D1664,'EITI Revenues'!$C$2:$G$224,5,FALSE),"..")</f>
        <v>4358147652.2724705</v>
      </c>
      <c r="BC1664" s="846">
        <f t="shared" si="279"/>
        <v>0.14565749631941857</v>
      </c>
      <c r="BD1664" s="129">
        <f>VLOOKUP($D1664,'WB Data 2'!$C$2:$K$545,6,FALSE)</f>
        <v>23087442294.109867</v>
      </c>
      <c r="BE1664" s="129">
        <f>IFERROR(VLOOKUP($D1664,UNCTAD!$C$5:$V$529,4,FALSE),"..")</f>
        <v>39257548000</v>
      </c>
      <c r="BF1664" s="846">
        <f t="shared" si="280"/>
        <v>0.58810199491088611</v>
      </c>
      <c r="BG1664" s="117">
        <f>VLOOKUP($D1664,'WB Data'!$C$3:$M$578,5,FALSE)</f>
        <v>-255920000</v>
      </c>
      <c r="BH1664" s="129">
        <f>IFERROR($BB1664/$BG1664,"..")</f>
        <v>-17.029335934168767</v>
      </c>
      <c r="BI1664" s="117">
        <f>IFERROR(VLOOKUP($D1664,'WB Data'!$C$3:$M$578,7,FALSE)/100,"..")</f>
        <v>2.6887599999999998E-2</v>
      </c>
      <c r="BJ1664" s="117">
        <f>IFERROR($BI1664*$AW1664,"..")</f>
        <v>3993421932.2773547</v>
      </c>
      <c r="BK1664" s="846">
        <f>IFERROR($BB1664/$BJ1664,"..")</f>
        <v>1.0913316264047064</v>
      </c>
      <c r="BL1664" s="117">
        <f>IFERROR(VLOOKUP($D1664,'WB Data'!$C$3:$M$578,7,FALSE)/100,"..")</f>
        <v>2.6887599999999998E-2</v>
      </c>
      <c r="BM1664" s="117">
        <f>IFERROR($AW1664*$BL1664,"..")</f>
        <v>3993421932.2773547</v>
      </c>
      <c r="BN1664" s="846">
        <f>IFERROR($BB1664/$BM1664,"..")</f>
        <v>1.0913316264047064</v>
      </c>
      <c r="BO1664" s="801">
        <f t="shared" si="276"/>
        <v>38</v>
      </c>
      <c r="BP1664" s="117">
        <f>VLOOKUP($D1664,'WB Data'!$C$3:$M$578,9,FALSE)</f>
        <v>30.8</v>
      </c>
      <c r="BQ1664" s="117">
        <f>VLOOKUP($D1664,'WB Data'!$C$3:$M$578,10,FALSE)</f>
        <v>73.905097560975619</v>
      </c>
      <c r="BR1664" s="117">
        <f>VLOOKUP($D1664,'WB Data'!$C$3:$M$578,11,FALSE)</f>
        <v>15.2</v>
      </c>
      <c r="BS1664" s="129">
        <f>IFERROR(VLOOKUP($D1664,'WB Data 2'!$C$2:$K$545,9,FALSE),"..")</f>
        <v>97.373459999999994</v>
      </c>
      <c r="BT1664" s="129">
        <f>_xlfn.IFNA(VLOOKUP($C1664,RGI!$A$2:$C$43,2,FALSE),"..")</f>
        <v>76.8</v>
      </c>
      <c r="BU1664" s="129">
        <f>_xlfn.IFNA(VLOOKUP($C1664,RGI!$A$2:$C$43,3,FALSE),"..")</f>
        <v>72.816147461462435</v>
      </c>
      <c r="BV1664" s="129">
        <f>VLOOKUP($D1664,WGI!$C$2:$O$478,7,FALSE)</f>
        <v>6.6403653760441994E-2</v>
      </c>
      <c r="BW1664" s="129">
        <f>VLOOKUP($D1664,WGI!$C$2:$O$478,4,FALSE)</f>
        <v>-0.97688567284337502</v>
      </c>
      <c r="BX1664" s="129">
        <f>VLOOKUP($D1664,WGI!$C$2:$O$478,3,FALSE)</f>
        <v>-0.203136729362278</v>
      </c>
      <c r="BY1664" s="129">
        <f>VLOOKUP($D1664,WGI!$C$2:$O$478,5,FALSE)</f>
        <v>0.460708707951485</v>
      </c>
      <c r="BZ1664" s="129">
        <f>VLOOKUP($D1664,WGI!$C$2:$O$478,2,FALSE)</f>
        <v>-0.25042827669247397</v>
      </c>
      <c r="CB1664" s="129"/>
    </row>
    <row r="1665" spans="1:80" s="120" customFormat="1" ht="15" customHeight="1">
      <c r="A1665" s="294" t="s">
        <v>458</v>
      </c>
      <c r="B1665" s="117">
        <v>2010</v>
      </c>
      <c r="C1665" s="117" t="s">
        <v>449</v>
      </c>
      <c r="D1665" s="117" t="s">
        <v>3677</v>
      </c>
      <c r="E1665" s="452" t="s">
        <v>220</v>
      </c>
      <c r="F1665" s="117"/>
      <c r="G1665" s="120" t="s">
        <v>24</v>
      </c>
      <c r="H1665" s="117" t="str">
        <f t="shared" si="281"/>
        <v>yes</v>
      </c>
      <c r="I1665" s="117" t="str">
        <f t="shared" si="283"/>
        <v>no</v>
      </c>
      <c r="J1665" s="117" t="str">
        <f t="shared" si="284"/>
        <v>no</v>
      </c>
      <c r="K1665" s="117" t="s">
        <v>1413</v>
      </c>
      <c r="L1665" s="117" t="str">
        <f t="shared" si="282"/>
        <v>detailed</v>
      </c>
      <c r="M1665" s="117" t="str">
        <f t="shared" si="285"/>
        <v>detailed Mining</v>
      </c>
      <c r="N1665" s="118"/>
      <c r="O1665" s="118"/>
      <c r="P1665" s="118"/>
      <c r="Q1665" s="118"/>
      <c r="R1665" s="118"/>
      <c r="S1665" s="117"/>
      <c r="T1665" s="119"/>
      <c r="U1665" s="117"/>
      <c r="V1665" s="117"/>
      <c r="W1665" s="89"/>
      <c r="X1665" s="117"/>
      <c r="AA1665" s="89"/>
      <c r="AB1665" s="89"/>
      <c r="AC1665" s="240"/>
      <c r="AD1665" s="240"/>
      <c r="AE1665" s="240"/>
      <c r="AF1665" s="241"/>
      <c r="AH1665" s="124"/>
      <c r="AI1665" s="117"/>
      <c r="AJ1665" s="117"/>
      <c r="AK1665" s="89"/>
      <c r="AL1665" s="117"/>
      <c r="AM1665" s="117"/>
      <c r="AN1665" s="117"/>
      <c r="AO1665" s="117"/>
      <c r="AP1665" s="117"/>
      <c r="AQ1665" s="117"/>
      <c r="AR1665" s="117"/>
      <c r="AS1665" s="117"/>
      <c r="AT1665" s="117"/>
      <c r="AU1665" s="117"/>
      <c r="AV1665" s="128"/>
      <c r="AW1665" s="117">
        <f>VLOOKUP($D1665,'WB Data'!$C$3:$M$578,2,FALSE)</f>
        <v>148522810971.50192</v>
      </c>
      <c r="AX1665" s="117">
        <f>VLOOKUP($D1665,'WB Data'!$C$3:$M$578,3,FALSE)</f>
        <v>29262830</v>
      </c>
      <c r="AY1665" s="847">
        <f t="shared" si="277"/>
        <v>2.9343288238119179E-2</v>
      </c>
      <c r="AZ1665" s="117">
        <f>VLOOKUP($D1665,'WB Data'!$C$3:$M$578,4,FALSE)/100</f>
        <v>0.20145402042179156</v>
      </c>
      <c r="BA1665" s="117">
        <f t="shared" si="278"/>
        <v>29920517394.554836</v>
      </c>
      <c r="BB1665" s="129">
        <f>IFERROR(VLOOKUP($D1665,'EITI Revenues'!$C$2:$G$224,5,FALSE),"..")</f>
        <v>4358147652.2724705</v>
      </c>
      <c r="BC1665" s="846">
        <f t="shared" si="279"/>
        <v>0.14565749631941857</v>
      </c>
      <c r="BD1665" s="129">
        <f>VLOOKUP($D1665,'WB Data 2'!$C$2:$K$545,6,FALSE)</f>
        <v>23087442294.109867</v>
      </c>
      <c r="BE1665" s="129">
        <f>IFERROR(VLOOKUP($D1665,UNCTAD!$C$5:$V$529,4,FALSE),"..")</f>
        <v>39257548000</v>
      </c>
      <c r="BF1665" s="846">
        <f t="shared" si="280"/>
        <v>0.58810199491088611</v>
      </c>
      <c r="BG1665" s="117">
        <f>VLOOKUP($D1665,'WB Data'!$C$3:$M$578,5,FALSE)</f>
        <v>-255920000</v>
      </c>
      <c r="BH1665" s="129">
        <f>IFERROR($BB1665/$BG1665,"..")</f>
        <v>-17.029335934168767</v>
      </c>
      <c r="BI1665" s="117">
        <f>IFERROR(VLOOKUP($D1665,'WB Data'!$C$3:$M$578,7,FALSE)/100,"..")</f>
        <v>2.6887599999999998E-2</v>
      </c>
      <c r="BJ1665" s="117">
        <f>IFERROR($BI1665*$AW1665,"..")</f>
        <v>3993421932.2773547</v>
      </c>
      <c r="BK1665" s="846">
        <f>IFERROR($BB1665/$BJ1665,"..")</f>
        <v>1.0913316264047064</v>
      </c>
      <c r="BL1665" s="117">
        <f>IFERROR(VLOOKUP($D1665,'WB Data'!$C$3:$M$578,7,FALSE)/100,"..")</f>
        <v>2.6887599999999998E-2</v>
      </c>
      <c r="BM1665" s="117">
        <f>IFERROR($AW1665*$BL1665,"..")</f>
        <v>3993421932.2773547</v>
      </c>
      <c r="BN1665" s="846">
        <f>IFERROR($BB1665/$BM1665,"..")</f>
        <v>1.0913316264047064</v>
      </c>
      <c r="BO1665" s="801">
        <f t="shared" si="276"/>
        <v>38</v>
      </c>
      <c r="BP1665" s="117">
        <f>VLOOKUP($D1665,'WB Data'!$C$3:$M$578,9,FALSE)</f>
        <v>30.8</v>
      </c>
      <c r="BQ1665" s="117">
        <f>VLOOKUP($D1665,'WB Data'!$C$3:$M$578,10,FALSE)</f>
        <v>73.905097560975619</v>
      </c>
      <c r="BR1665" s="117">
        <f>VLOOKUP($D1665,'WB Data'!$C$3:$M$578,11,FALSE)</f>
        <v>15.2</v>
      </c>
      <c r="BS1665" s="129">
        <f>IFERROR(VLOOKUP($D1665,'WB Data 2'!$C$2:$K$545,9,FALSE),"..")</f>
        <v>97.373459999999994</v>
      </c>
      <c r="BT1665" s="129">
        <f>_xlfn.IFNA(VLOOKUP($C1665,RGI!$A$2:$C$43,2,FALSE),"..")</f>
        <v>76.8</v>
      </c>
      <c r="BU1665" s="129">
        <f>_xlfn.IFNA(VLOOKUP($C1665,RGI!$A$2:$C$43,3,FALSE),"..")</f>
        <v>72.816147461462435</v>
      </c>
      <c r="BV1665" s="129">
        <f>VLOOKUP($D1665,WGI!$C$2:$O$478,7,FALSE)</f>
        <v>6.6403653760441994E-2</v>
      </c>
      <c r="BW1665" s="129">
        <f>VLOOKUP($D1665,WGI!$C$2:$O$478,4,FALSE)</f>
        <v>-0.97688567284337502</v>
      </c>
      <c r="BX1665" s="129">
        <f>VLOOKUP($D1665,WGI!$C$2:$O$478,3,FALSE)</f>
        <v>-0.203136729362278</v>
      </c>
      <c r="BY1665" s="129">
        <f>VLOOKUP($D1665,WGI!$C$2:$O$478,5,FALSE)</f>
        <v>0.460708707951485</v>
      </c>
      <c r="BZ1665" s="129">
        <f>VLOOKUP($D1665,WGI!$C$2:$O$478,2,FALSE)</f>
        <v>-0.25042827669247397</v>
      </c>
      <c r="CB1665" s="129"/>
    </row>
    <row r="1666" spans="1:80" s="120" customFormat="1" ht="15" customHeight="1">
      <c r="A1666" s="294" t="s">
        <v>458</v>
      </c>
      <c r="B1666" s="117">
        <v>2010</v>
      </c>
      <c r="C1666" s="117" t="s">
        <v>449</v>
      </c>
      <c r="D1666" s="117" t="s">
        <v>3677</v>
      </c>
      <c r="E1666" s="452" t="s">
        <v>220</v>
      </c>
      <c r="F1666" s="117"/>
      <c r="G1666" s="120" t="s">
        <v>24</v>
      </c>
      <c r="H1666" s="117" t="str">
        <f t="shared" si="281"/>
        <v>yes</v>
      </c>
      <c r="I1666" s="117" t="str">
        <f t="shared" si="283"/>
        <v>no</v>
      </c>
      <c r="J1666" s="117" t="str">
        <f t="shared" si="284"/>
        <v>no</v>
      </c>
      <c r="K1666" s="117" t="s">
        <v>1215</v>
      </c>
      <c r="L1666" s="117" t="str">
        <f t="shared" si="282"/>
        <v>detailed</v>
      </c>
      <c r="M1666" s="117" t="str">
        <f t="shared" si="285"/>
        <v>detailed Mining</v>
      </c>
      <c r="N1666" s="118"/>
      <c r="O1666" s="118"/>
      <c r="P1666" s="118"/>
      <c r="Q1666" s="118"/>
      <c r="R1666" s="118"/>
      <c r="S1666" s="117"/>
      <c r="T1666" s="119"/>
      <c r="U1666" s="117"/>
      <c r="V1666" s="117"/>
      <c r="W1666" s="89"/>
      <c r="X1666" s="117"/>
      <c r="AA1666" s="89"/>
      <c r="AB1666" s="89"/>
      <c r="AC1666" s="240"/>
      <c r="AD1666" s="240"/>
      <c r="AE1666" s="240"/>
      <c r="AF1666" s="241"/>
      <c r="AH1666" s="124"/>
      <c r="AI1666" s="117"/>
      <c r="AJ1666" s="117"/>
      <c r="AK1666" s="89"/>
      <c r="AL1666" s="117"/>
      <c r="AM1666" s="117"/>
      <c r="AN1666" s="117"/>
      <c r="AO1666" s="117"/>
      <c r="AP1666" s="117"/>
      <c r="AQ1666" s="117"/>
      <c r="AR1666" s="117"/>
      <c r="AS1666" s="117"/>
      <c r="AT1666" s="117"/>
      <c r="AU1666" s="117"/>
      <c r="AV1666" s="128"/>
      <c r="AW1666" s="117">
        <f>VLOOKUP($D1666,'WB Data'!$C$3:$M$578,2,FALSE)</f>
        <v>148522810971.50192</v>
      </c>
      <c r="AX1666" s="117">
        <f>VLOOKUP($D1666,'WB Data'!$C$3:$M$578,3,FALSE)</f>
        <v>29262830</v>
      </c>
      <c r="AY1666" s="847">
        <f t="shared" si="277"/>
        <v>2.9343288238119179E-2</v>
      </c>
      <c r="AZ1666" s="117">
        <f>VLOOKUP($D1666,'WB Data'!$C$3:$M$578,4,FALSE)/100</f>
        <v>0.20145402042179156</v>
      </c>
      <c r="BA1666" s="117">
        <f t="shared" si="278"/>
        <v>29920517394.554836</v>
      </c>
      <c r="BB1666" s="129">
        <f>IFERROR(VLOOKUP($D1666,'EITI Revenues'!$C$2:$G$224,5,FALSE),"..")</f>
        <v>4358147652.2724705</v>
      </c>
      <c r="BC1666" s="846">
        <f t="shared" si="279"/>
        <v>0.14565749631941857</v>
      </c>
      <c r="BD1666" s="129">
        <f>VLOOKUP($D1666,'WB Data 2'!$C$2:$K$545,6,FALSE)</f>
        <v>23087442294.109867</v>
      </c>
      <c r="BE1666" s="129">
        <f>IFERROR(VLOOKUP($D1666,UNCTAD!$C$5:$V$529,4,FALSE),"..")</f>
        <v>39257548000</v>
      </c>
      <c r="BF1666" s="846">
        <f t="shared" si="280"/>
        <v>0.58810199491088611</v>
      </c>
      <c r="BG1666" s="117">
        <f>VLOOKUP($D1666,'WB Data'!$C$3:$M$578,5,FALSE)</f>
        <v>-255920000</v>
      </c>
      <c r="BH1666" s="129">
        <f>IFERROR($BB1666/$BG1666,"..")</f>
        <v>-17.029335934168767</v>
      </c>
      <c r="BI1666" s="117">
        <f>IFERROR(VLOOKUP($D1666,'WB Data'!$C$3:$M$578,7,FALSE)/100,"..")</f>
        <v>2.6887599999999998E-2</v>
      </c>
      <c r="BJ1666" s="117">
        <f>IFERROR($BI1666*$AW1666,"..")</f>
        <v>3993421932.2773547</v>
      </c>
      <c r="BK1666" s="846">
        <f>IFERROR($BB1666/$BJ1666,"..")</f>
        <v>1.0913316264047064</v>
      </c>
      <c r="BL1666" s="117">
        <f>IFERROR(VLOOKUP($D1666,'WB Data'!$C$3:$M$578,7,FALSE)/100,"..")</f>
        <v>2.6887599999999998E-2</v>
      </c>
      <c r="BM1666" s="117">
        <f>IFERROR($AW1666*$BL1666,"..")</f>
        <v>3993421932.2773547</v>
      </c>
      <c r="BN1666" s="846">
        <f>IFERROR($BB1666/$BM1666,"..")</f>
        <v>1.0913316264047064</v>
      </c>
      <c r="BO1666" s="801">
        <f t="shared" ref="BO1666:BO1729" si="286">_xlfn.IFNA(VLOOKUP($C1666,CPI_2013,2,FALSE),"..")</f>
        <v>38</v>
      </c>
      <c r="BP1666" s="117">
        <f>VLOOKUP($D1666,'WB Data'!$C$3:$M$578,9,FALSE)</f>
        <v>30.8</v>
      </c>
      <c r="BQ1666" s="117">
        <f>VLOOKUP($D1666,'WB Data'!$C$3:$M$578,10,FALSE)</f>
        <v>73.905097560975619</v>
      </c>
      <c r="BR1666" s="117">
        <f>VLOOKUP($D1666,'WB Data'!$C$3:$M$578,11,FALSE)</f>
        <v>15.2</v>
      </c>
      <c r="BS1666" s="129">
        <f>IFERROR(VLOOKUP($D1666,'WB Data 2'!$C$2:$K$545,9,FALSE),"..")</f>
        <v>97.373459999999994</v>
      </c>
      <c r="BT1666" s="129">
        <f>_xlfn.IFNA(VLOOKUP($C1666,RGI!$A$2:$C$43,2,FALSE),"..")</f>
        <v>76.8</v>
      </c>
      <c r="BU1666" s="129">
        <f>_xlfn.IFNA(VLOOKUP($C1666,RGI!$A$2:$C$43,3,FALSE),"..")</f>
        <v>72.816147461462435</v>
      </c>
      <c r="BV1666" s="129">
        <f>VLOOKUP($D1666,WGI!$C$2:$O$478,7,FALSE)</f>
        <v>6.6403653760441994E-2</v>
      </c>
      <c r="BW1666" s="129">
        <f>VLOOKUP($D1666,WGI!$C$2:$O$478,4,FALSE)</f>
        <v>-0.97688567284337502</v>
      </c>
      <c r="BX1666" s="129">
        <f>VLOOKUP($D1666,WGI!$C$2:$O$478,3,FALSE)</f>
        <v>-0.203136729362278</v>
      </c>
      <c r="BY1666" s="129">
        <f>VLOOKUP($D1666,WGI!$C$2:$O$478,5,FALSE)</f>
        <v>0.460708707951485</v>
      </c>
      <c r="BZ1666" s="129">
        <f>VLOOKUP($D1666,WGI!$C$2:$O$478,2,FALSE)</f>
        <v>-0.25042827669247397</v>
      </c>
      <c r="CB1666" s="129"/>
    </row>
    <row r="1667" spans="1:80" s="120" customFormat="1" ht="15" customHeight="1">
      <c r="A1667" s="294" t="s">
        <v>458</v>
      </c>
      <c r="B1667" s="117">
        <v>2010</v>
      </c>
      <c r="C1667" s="117" t="s">
        <v>449</v>
      </c>
      <c r="D1667" s="117" t="s">
        <v>3677</v>
      </c>
      <c r="E1667" s="452" t="s">
        <v>220</v>
      </c>
      <c r="F1667" s="117"/>
      <c r="G1667" s="120" t="s">
        <v>24</v>
      </c>
      <c r="H1667" s="117" t="str">
        <f t="shared" si="281"/>
        <v>yes</v>
      </c>
      <c r="I1667" s="117" t="str">
        <f t="shared" si="283"/>
        <v>no</v>
      </c>
      <c r="J1667" s="117" t="str">
        <f t="shared" si="284"/>
        <v>no</v>
      </c>
      <c r="K1667" s="117" t="s">
        <v>2031</v>
      </c>
      <c r="L1667" s="117" t="str">
        <f t="shared" si="282"/>
        <v>detailed</v>
      </c>
      <c r="M1667" s="117" t="str">
        <f t="shared" si="285"/>
        <v>detailed Mining</v>
      </c>
      <c r="N1667" s="118"/>
      <c r="O1667" s="118"/>
      <c r="P1667" s="118"/>
      <c r="Q1667" s="118"/>
      <c r="R1667" s="118"/>
      <c r="S1667" s="117"/>
      <c r="T1667" s="119"/>
      <c r="U1667" s="117"/>
      <c r="V1667" s="117"/>
      <c r="W1667" s="89"/>
      <c r="X1667" s="117"/>
      <c r="AA1667" s="89"/>
      <c r="AB1667" s="89"/>
      <c r="AC1667" s="240"/>
      <c r="AD1667" s="240"/>
      <c r="AE1667" s="240"/>
      <c r="AF1667" s="241"/>
      <c r="AH1667" s="124"/>
      <c r="AI1667" s="117"/>
      <c r="AJ1667" s="117"/>
      <c r="AK1667" s="89"/>
      <c r="AL1667" s="117"/>
      <c r="AM1667" s="117"/>
      <c r="AN1667" s="117"/>
      <c r="AO1667" s="117"/>
      <c r="AP1667" s="117"/>
      <c r="AQ1667" s="117"/>
      <c r="AR1667" s="117"/>
      <c r="AS1667" s="117"/>
      <c r="AT1667" s="117"/>
      <c r="AU1667" s="117"/>
      <c r="AV1667" s="128"/>
      <c r="AW1667" s="117">
        <f>VLOOKUP($D1667,'WB Data'!$C$3:$M$578,2,FALSE)</f>
        <v>148522810971.50192</v>
      </c>
      <c r="AX1667" s="117">
        <f>VLOOKUP($D1667,'WB Data'!$C$3:$M$578,3,FALSE)</f>
        <v>29262830</v>
      </c>
      <c r="AY1667" s="847">
        <f t="shared" ref="AY1667:AY1730" si="287">IFERROR($BB1667/$AW1667,"..")</f>
        <v>2.9343288238119179E-2</v>
      </c>
      <c r="AZ1667" s="117">
        <f>VLOOKUP($D1667,'WB Data'!$C$3:$M$578,4,FALSE)/100</f>
        <v>0.20145402042179156</v>
      </c>
      <c r="BA1667" s="117">
        <f t="shared" ref="BA1667:BA1730" si="288">IFERROR($AW1667*$AZ1667,"..")</f>
        <v>29920517394.554836</v>
      </c>
      <c r="BB1667" s="129">
        <f>IFERROR(VLOOKUP($D1667,'EITI Revenues'!$C$2:$G$224,5,FALSE),"..")</f>
        <v>4358147652.2724705</v>
      </c>
      <c r="BC1667" s="846">
        <f t="shared" ref="BC1667:BC1730" si="289">IFERROR($BB1667/$BA1667,"..")</f>
        <v>0.14565749631941857</v>
      </c>
      <c r="BD1667" s="129">
        <f>VLOOKUP($D1667,'WB Data 2'!$C$2:$K$545,6,FALSE)</f>
        <v>23087442294.109867</v>
      </c>
      <c r="BE1667" s="129">
        <f>IFERROR(VLOOKUP($D1667,UNCTAD!$C$5:$V$529,4,FALSE),"..")</f>
        <v>39257548000</v>
      </c>
      <c r="BF1667" s="846">
        <f t="shared" ref="BF1667:BF1730" si="290">IFERROR(($BD1667/$BE1667),"..")</f>
        <v>0.58810199491088611</v>
      </c>
      <c r="BG1667" s="117">
        <f>VLOOKUP($D1667,'WB Data'!$C$3:$M$578,5,FALSE)</f>
        <v>-255920000</v>
      </c>
      <c r="BH1667" s="129">
        <f>IFERROR($BB1667/$BG1667,"..")</f>
        <v>-17.029335934168767</v>
      </c>
      <c r="BI1667" s="117">
        <f>IFERROR(VLOOKUP($D1667,'WB Data'!$C$3:$M$578,7,FALSE)/100,"..")</f>
        <v>2.6887599999999998E-2</v>
      </c>
      <c r="BJ1667" s="117">
        <f>IFERROR($BI1667*$AW1667,"..")</f>
        <v>3993421932.2773547</v>
      </c>
      <c r="BK1667" s="846">
        <f>IFERROR($BB1667/$BJ1667,"..")</f>
        <v>1.0913316264047064</v>
      </c>
      <c r="BL1667" s="117">
        <f>IFERROR(VLOOKUP($D1667,'WB Data'!$C$3:$M$578,7,FALSE)/100,"..")</f>
        <v>2.6887599999999998E-2</v>
      </c>
      <c r="BM1667" s="117">
        <f>IFERROR($AW1667*$BL1667,"..")</f>
        <v>3993421932.2773547</v>
      </c>
      <c r="BN1667" s="846">
        <f>IFERROR($BB1667/$BM1667,"..")</f>
        <v>1.0913316264047064</v>
      </c>
      <c r="BO1667" s="801">
        <f t="shared" si="286"/>
        <v>38</v>
      </c>
      <c r="BP1667" s="117">
        <f>VLOOKUP($D1667,'WB Data'!$C$3:$M$578,9,FALSE)</f>
        <v>30.8</v>
      </c>
      <c r="BQ1667" s="117">
        <f>VLOOKUP($D1667,'WB Data'!$C$3:$M$578,10,FALSE)</f>
        <v>73.905097560975619</v>
      </c>
      <c r="BR1667" s="117">
        <f>VLOOKUP($D1667,'WB Data'!$C$3:$M$578,11,FALSE)</f>
        <v>15.2</v>
      </c>
      <c r="BS1667" s="129">
        <f>IFERROR(VLOOKUP($D1667,'WB Data 2'!$C$2:$K$545,9,FALSE),"..")</f>
        <v>97.373459999999994</v>
      </c>
      <c r="BT1667" s="129">
        <f>_xlfn.IFNA(VLOOKUP($C1667,RGI!$A$2:$C$43,2,FALSE),"..")</f>
        <v>76.8</v>
      </c>
      <c r="BU1667" s="129">
        <f>_xlfn.IFNA(VLOOKUP($C1667,RGI!$A$2:$C$43,3,FALSE),"..")</f>
        <v>72.816147461462435</v>
      </c>
      <c r="BV1667" s="129">
        <f>VLOOKUP($D1667,WGI!$C$2:$O$478,7,FALSE)</f>
        <v>6.6403653760441994E-2</v>
      </c>
      <c r="BW1667" s="129">
        <f>VLOOKUP($D1667,WGI!$C$2:$O$478,4,FALSE)</f>
        <v>-0.97688567284337502</v>
      </c>
      <c r="BX1667" s="129">
        <f>VLOOKUP($D1667,WGI!$C$2:$O$478,3,FALSE)</f>
        <v>-0.203136729362278</v>
      </c>
      <c r="BY1667" s="129">
        <f>VLOOKUP($D1667,WGI!$C$2:$O$478,5,FALSE)</f>
        <v>0.460708707951485</v>
      </c>
      <c r="BZ1667" s="129">
        <f>VLOOKUP($D1667,WGI!$C$2:$O$478,2,FALSE)</f>
        <v>-0.25042827669247397</v>
      </c>
      <c r="CB1667" s="129"/>
    </row>
    <row r="1668" spans="1:80" s="120" customFormat="1" ht="15" customHeight="1">
      <c r="A1668" s="294" t="s">
        <v>458</v>
      </c>
      <c r="B1668" s="117">
        <v>2010</v>
      </c>
      <c r="C1668" s="117" t="s">
        <v>449</v>
      </c>
      <c r="D1668" s="117" t="s">
        <v>3677</v>
      </c>
      <c r="E1668" s="452" t="s">
        <v>220</v>
      </c>
      <c r="F1668" s="117"/>
      <c r="G1668" s="120" t="s">
        <v>24</v>
      </c>
      <c r="H1668" s="117" t="str">
        <f t="shared" si="281"/>
        <v>yes</v>
      </c>
      <c r="I1668" s="117" t="str">
        <f t="shared" si="283"/>
        <v>no</v>
      </c>
      <c r="J1668" s="117" t="str">
        <f t="shared" si="284"/>
        <v>no</v>
      </c>
      <c r="K1668" s="117" t="s">
        <v>2090</v>
      </c>
      <c r="L1668" s="117" t="str">
        <f t="shared" si="282"/>
        <v>detailed</v>
      </c>
      <c r="M1668" s="117" t="str">
        <f t="shared" si="285"/>
        <v>detailed Mining</v>
      </c>
      <c r="N1668" s="118"/>
      <c r="O1668" s="118"/>
      <c r="P1668" s="118"/>
      <c r="Q1668" s="118"/>
      <c r="R1668" s="118"/>
      <c r="S1668" s="117"/>
      <c r="T1668" s="119"/>
      <c r="U1668" s="117"/>
      <c r="V1668" s="117"/>
      <c r="W1668" s="89"/>
      <c r="X1668" s="117"/>
      <c r="AA1668" s="89"/>
      <c r="AB1668" s="89"/>
      <c r="AC1668" s="240"/>
      <c r="AD1668" s="240"/>
      <c r="AE1668" s="240"/>
      <c r="AF1668" s="241"/>
      <c r="AH1668" s="124"/>
      <c r="AI1668" s="117"/>
      <c r="AJ1668" s="117"/>
      <c r="AK1668" s="89"/>
      <c r="AL1668" s="117"/>
      <c r="AM1668" s="117"/>
      <c r="AN1668" s="117"/>
      <c r="AO1668" s="117"/>
      <c r="AP1668" s="117"/>
      <c r="AQ1668" s="117"/>
      <c r="AR1668" s="117"/>
      <c r="AS1668" s="117"/>
      <c r="AT1668" s="117"/>
      <c r="AU1668" s="117"/>
      <c r="AV1668" s="128"/>
      <c r="AW1668" s="117">
        <f>VLOOKUP($D1668,'WB Data'!$C$3:$M$578,2,FALSE)</f>
        <v>148522810971.50192</v>
      </c>
      <c r="AX1668" s="117">
        <f>VLOOKUP($D1668,'WB Data'!$C$3:$M$578,3,FALSE)</f>
        <v>29262830</v>
      </c>
      <c r="AY1668" s="847">
        <f t="shared" si="287"/>
        <v>2.9343288238119179E-2</v>
      </c>
      <c r="AZ1668" s="117">
        <f>VLOOKUP($D1668,'WB Data'!$C$3:$M$578,4,FALSE)/100</f>
        <v>0.20145402042179156</v>
      </c>
      <c r="BA1668" s="117">
        <f t="shared" si="288"/>
        <v>29920517394.554836</v>
      </c>
      <c r="BB1668" s="129">
        <f>IFERROR(VLOOKUP($D1668,'EITI Revenues'!$C$2:$G$224,5,FALSE),"..")</f>
        <v>4358147652.2724705</v>
      </c>
      <c r="BC1668" s="846">
        <f t="shared" si="289"/>
        <v>0.14565749631941857</v>
      </c>
      <c r="BD1668" s="129">
        <f>VLOOKUP($D1668,'WB Data 2'!$C$2:$K$545,6,FALSE)</f>
        <v>23087442294.109867</v>
      </c>
      <c r="BE1668" s="129">
        <f>IFERROR(VLOOKUP($D1668,UNCTAD!$C$5:$V$529,4,FALSE),"..")</f>
        <v>39257548000</v>
      </c>
      <c r="BF1668" s="846">
        <f t="shared" si="290"/>
        <v>0.58810199491088611</v>
      </c>
      <c r="BG1668" s="117">
        <f>VLOOKUP($D1668,'WB Data'!$C$3:$M$578,5,FALSE)</f>
        <v>-255920000</v>
      </c>
      <c r="BH1668" s="129">
        <f>IFERROR($BB1668/$BG1668,"..")</f>
        <v>-17.029335934168767</v>
      </c>
      <c r="BI1668" s="117">
        <f>IFERROR(VLOOKUP($D1668,'WB Data'!$C$3:$M$578,7,FALSE)/100,"..")</f>
        <v>2.6887599999999998E-2</v>
      </c>
      <c r="BJ1668" s="117">
        <f>IFERROR($BI1668*$AW1668,"..")</f>
        <v>3993421932.2773547</v>
      </c>
      <c r="BK1668" s="846">
        <f>IFERROR($BB1668/$BJ1668,"..")</f>
        <v>1.0913316264047064</v>
      </c>
      <c r="BL1668" s="117">
        <f>IFERROR(VLOOKUP($D1668,'WB Data'!$C$3:$M$578,7,FALSE)/100,"..")</f>
        <v>2.6887599999999998E-2</v>
      </c>
      <c r="BM1668" s="117">
        <f>IFERROR($AW1668*$BL1668,"..")</f>
        <v>3993421932.2773547</v>
      </c>
      <c r="BN1668" s="846">
        <f>IFERROR($BB1668/$BM1668,"..")</f>
        <v>1.0913316264047064</v>
      </c>
      <c r="BO1668" s="801">
        <f t="shared" si="286"/>
        <v>38</v>
      </c>
      <c r="BP1668" s="117">
        <f>VLOOKUP($D1668,'WB Data'!$C$3:$M$578,9,FALSE)</f>
        <v>30.8</v>
      </c>
      <c r="BQ1668" s="117">
        <f>VLOOKUP($D1668,'WB Data'!$C$3:$M$578,10,FALSE)</f>
        <v>73.905097560975619</v>
      </c>
      <c r="BR1668" s="117">
        <f>VLOOKUP($D1668,'WB Data'!$C$3:$M$578,11,FALSE)</f>
        <v>15.2</v>
      </c>
      <c r="BS1668" s="129">
        <f>IFERROR(VLOOKUP($D1668,'WB Data 2'!$C$2:$K$545,9,FALSE),"..")</f>
        <v>97.373459999999994</v>
      </c>
      <c r="BT1668" s="129">
        <f>_xlfn.IFNA(VLOOKUP($C1668,RGI!$A$2:$C$43,2,FALSE),"..")</f>
        <v>76.8</v>
      </c>
      <c r="BU1668" s="129">
        <f>_xlfn.IFNA(VLOOKUP($C1668,RGI!$A$2:$C$43,3,FALSE),"..")</f>
        <v>72.816147461462435</v>
      </c>
      <c r="BV1668" s="129">
        <f>VLOOKUP($D1668,WGI!$C$2:$O$478,7,FALSE)</f>
        <v>6.6403653760441994E-2</v>
      </c>
      <c r="BW1668" s="129">
        <f>VLOOKUP($D1668,WGI!$C$2:$O$478,4,FALSE)</f>
        <v>-0.97688567284337502</v>
      </c>
      <c r="BX1668" s="129">
        <f>VLOOKUP($D1668,WGI!$C$2:$O$478,3,FALSE)</f>
        <v>-0.203136729362278</v>
      </c>
      <c r="BY1668" s="129">
        <f>VLOOKUP($D1668,WGI!$C$2:$O$478,5,FALSE)</f>
        <v>0.460708707951485</v>
      </c>
      <c r="BZ1668" s="129">
        <f>VLOOKUP($D1668,WGI!$C$2:$O$478,2,FALSE)</f>
        <v>-0.25042827669247397</v>
      </c>
      <c r="CB1668" s="129"/>
    </row>
    <row r="1669" spans="1:80" s="120" customFormat="1" ht="15" customHeight="1">
      <c r="A1669" s="294" t="s">
        <v>458</v>
      </c>
      <c r="B1669" s="117">
        <v>2010</v>
      </c>
      <c r="C1669" s="117" t="s">
        <v>449</v>
      </c>
      <c r="D1669" s="117" t="s">
        <v>3677</v>
      </c>
      <c r="E1669" s="452" t="s">
        <v>220</v>
      </c>
      <c r="F1669" s="117"/>
      <c r="G1669" s="120" t="s">
        <v>24</v>
      </c>
      <c r="H1669" s="117" t="str">
        <f t="shared" si="281"/>
        <v>yes</v>
      </c>
      <c r="I1669" s="117" t="str">
        <f t="shared" si="283"/>
        <v>no</v>
      </c>
      <c r="J1669" s="117" t="str">
        <f t="shared" si="284"/>
        <v>no</v>
      </c>
      <c r="K1669" s="117" t="s">
        <v>2091</v>
      </c>
      <c r="L1669" s="117" t="str">
        <f t="shared" si="282"/>
        <v>detailed</v>
      </c>
      <c r="M1669" s="117" t="str">
        <f t="shared" si="285"/>
        <v>detailed Mining</v>
      </c>
      <c r="N1669" s="118"/>
      <c r="O1669" s="118"/>
      <c r="P1669" s="118"/>
      <c r="Q1669" s="118"/>
      <c r="R1669" s="118"/>
      <c r="S1669" s="117"/>
      <c r="T1669" s="119"/>
      <c r="U1669" s="117"/>
      <c r="V1669" s="117"/>
      <c r="W1669" s="89"/>
      <c r="X1669" s="117"/>
      <c r="AA1669" s="89"/>
      <c r="AB1669" s="89"/>
      <c r="AC1669" s="240"/>
      <c r="AD1669" s="240"/>
      <c r="AE1669" s="240"/>
      <c r="AF1669" s="241"/>
      <c r="AH1669" s="124"/>
      <c r="AI1669" s="117"/>
      <c r="AJ1669" s="117"/>
      <c r="AK1669" s="89"/>
      <c r="AL1669" s="117"/>
      <c r="AM1669" s="117"/>
      <c r="AN1669" s="117"/>
      <c r="AO1669" s="117"/>
      <c r="AP1669" s="117"/>
      <c r="AQ1669" s="117"/>
      <c r="AR1669" s="117"/>
      <c r="AS1669" s="117"/>
      <c r="AT1669" s="117"/>
      <c r="AU1669" s="117"/>
      <c r="AV1669" s="128"/>
      <c r="AW1669" s="117">
        <f>VLOOKUP($D1669,'WB Data'!$C$3:$M$578,2,FALSE)</f>
        <v>148522810971.50192</v>
      </c>
      <c r="AX1669" s="117">
        <f>VLOOKUP($D1669,'WB Data'!$C$3:$M$578,3,FALSE)</f>
        <v>29262830</v>
      </c>
      <c r="AY1669" s="847">
        <f t="shared" si="287"/>
        <v>2.9343288238119179E-2</v>
      </c>
      <c r="AZ1669" s="117">
        <f>VLOOKUP($D1669,'WB Data'!$C$3:$M$578,4,FALSE)/100</f>
        <v>0.20145402042179156</v>
      </c>
      <c r="BA1669" s="117">
        <f t="shared" si="288"/>
        <v>29920517394.554836</v>
      </c>
      <c r="BB1669" s="129">
        <f>IFERROR(VLOOKUP($D1669,'EITI Revenues'!$C$2:$G$224,5,FALSE),"..")</f>
        <v>4358147652.2724705</v>
      </c>
      <c r="BC1669" s="846">
        <f t="shared" si="289"/>
        <v>0.14565749631941857</v>
      </c>
      <c r="BD1669" s="129">
        <f>VLOOKUP($D1669,'WB Data 2'!$C$2:$K$545,6,FALSE)</f>
        <v>23087442294.109867</v>
      </c>
      <c r="BE1669" s="129">
        <f>IFERROR(VLOOKUP($D1669,UNCTAD!$C$5:$V$529,4,FALSE),"..")</f>
        <v>39257548000</v>
      </c>
      <c r="BF1669" s="846">
        <f t="shared" si="290"/>
        <v>0.58810199491088611</v>
      </c>
      <c r="BG1669" s="117">
        <f>VLOOKUP($D1669,'WB Data'!$C$3:$M$578,5,FALSE)</f>
        <v>-255920000</v>
      </c>
      <c r="BH1669" s="129">
        <f>IFERROR($BB1669/$BG1669,"..")</f>
        <v>-17.029335934168767</v>
      </c>
      <c r="BI1669" s="117">
        <f>IFERROR(VLOOKUP($D1669,'WB Data'!$C$3:$M$578,7,FALSE)/100,"..")</f>
        <v>2.6887599999999998E-2</v>
      </c>
      <c r="BJ1669" s="117">
        <f>IFERROR($BI1669*$AW1669,"..")</f>
        <v>3993421932.2773547</v>
      </c>
      <c r="BK1669" s="846">
        <f>IFERROR($BB1669/$BJ1669,"..")</f>
        <v>1.0913316264047064</v>
      </c>
      <c r="BL1669" s="117">
        <f>IFERROR(VLOOKUP($D1669,'WB Data'!$C$3:$M$578,7,FALSE)/100,"..")</f>
        <v>2.6887599999999998E-2</v>
      </c>
      <c r="BM1669" s="117">
        <f>IFERROR($AW1669*$BL1669,"..")</f>
        <v>3993421932.2773547</v>
      </c>
      <c r="BN1669" s="846">
        <f>IFERROR($BB1669/$BM1669,"..")</f>
        <v>1.0913316264047064</v>
      </c>
      <c r="BO1669" s="801">
        <f t="shared" si="286"/>
        <v>38</v>
      </c>
      <c r="BP1669" s="117">
        <f>VLOOKUP($D1669,'WB Data'!$C$3:$M$578,9,FALSE)</f>
        <v>30.8</v>
      </c>
      <c r="BQ1669" s="117">
        <f>VLOOKUP($D1669,'WB Data'!$C$3:$M$578,10,FALSE)</f>
        <v>73.905097560975619</v>
      </c>
      <c r="BR1669" s="117">
        <f>VLOOKUP($D1669,'WB Data'!$C$3:$M$578,11,FALSE)</f>
        <v>15.2</v>
      </c>
      <c r="BS1669" s="129">
        <f>IFERROR(VLOOKUP($D1669,'WB Data 2'!$C$2:$K$545,9,FALSE),"..")</f>
        <v>97.373459999999994</v>
      </c>
      <c r="BT1669" s="129">
        <f>_xlfn.IFNA(VLOOKUP($C1669,RGI!$A$2:$C$43,2,FALSE),"..")</f>
        <v>76.8</v>
      </c>
      <c r="BU1669" s="129">
        <f>_xlfn.IFNA(VLOOKUP($C1669,RGI!$A$2:$C$43,3,FALSE),"..")</f>
        <v>72.816147461462435</v>
      </c>
      <c r="BV1669" s="129">
        <f>VLOOKUP($D1669,WGI!$C$2:$O$478,7,FALSE)</f>
        <v>6.6403653760441994E-2</v>
      </c>
      <c r="BW1669" s="129">
        <f>VLOOKUP($D1669,WGI!$C$2:$O$478,4,FALSE)</f>
        <v>-0.97688567284337502</v>
      </c>
      <c r="BX1669" s="129">
        <f>VLOOKUP($D1669,WGI!$C$2:$O$478,3,FALSE)</f>
        <v>-0.203136729362278</v>
      </c>
      <c r="BY1669" s="129">
        <f>VLOOKUP($D1669,WGI!$C$2:$O$478,5,FALSE)</f>
        <v>0.460708707951485</v>
      </c>
      <c r="BZ1669" s="129">
        <f>VLOOKUP($D1669,WGI!$C$2:$O$478,2,FALSE)</f>
        <v>-0.25042827669247397</v>
      </c>
      <c r="CB1669" s="129"/>
    </row>
    <row r="1670" spans="1:80" s="120" customFormat="1" ht="15" customHeight="1">
      <c r="A1670" s="294" t="s">
        <v>458</v>
      </c>
      <c r="B1670" s="117">
        <v>2010</v>
      </c>
      <c r="C1670" s="117" t="s">
        <v>449</v>
      </c>
      <c r="D1670" s="117" t="s">
        <v>3677</v>
      </c>
      <c r="E1670" s="452" t="s">
        <v>220</v>
      </c>
      <c r="F1670" s="117"/>
      <c r="G1670" s="120" t="s">
        <v>24</v>
      </c>
      <c r="H1670" s="117" t="str">
        <f t="shared" si="281"/>
        <v>yes</v>
      </c>
      <c r="I1670" s="117" t="str">
        <f t="shared" si="283"/>
        <v>no</v>
      </c>
      <c r="J1670" s="117" t="str">
        <f t="shared" si="284"/>
        <v>no</v>
      </c>
      <c r="K1670" s="117" t="s">
        <v>609</v>
      </c>
      <c r="L1670" s="117" t="str">
        <f t="shared" si="282"/>
        <v>detailed</v>
      </c>
      <c r="M1670" s="117" t="str">
        <f t="shared" si="285"/>
        <v>detailed Mining</v>
      </c>
      <c r="N1670" s="118"/>
      <c r="O1670" s="118"/>
      <c r="P1670" s="118"/>
      <c r="Q1670" s="118"/>
      <c r="R1670" s="118"/>
      <c r="S1670" s="117"/>
      <c r="T1670" s="119"/>
      <c r="U1670" s="117"/>
      <c r="V1670" s="117"/>
      <c r="W1670" s="89"/>
      <c r="X1670" s="117"/>
      <c r="AA1670" s="89"/>
      <c r="AB1670" s="89"/>
      <c r="AC1670" s="240"/>
      <c r="AD1670" s="240"/>
      <c r="AE1670" s="240"/>
      <c r="AF1670" s="241"/>
      <c r="AH1670" s="124"/>
      <c r="AI1670" s="117"/>
      <c r="AJ1670" s="117"/>
      <c r="AK1670" s="89"/>
      <c r="AL1670" s="117"/>
      <c r="AM1670" s="117"/>
      <c r="AN1670" s="117"/>
      <c r="AO1670" s="117"/>
      <c r="AP1670" s="117"/>
      <c r="AQ1670" s="117"/>
      <c r="AR1670" s="117"/>
      <c r="AS1670" s="117"/>
      <c r="AT1670" s="117"/>
      <c r="AU1670" s="117"/>
      <c r="AV1670" s="128"/>
      <c r="AW1670" s="117">
        <f>VLOOKUP($D1670,'WB Data'!$C$3:$M$578,2,FALSE)</f>
        <v>148522810971.50192</v>
      </c>
      <c r="AX1670" s="117">
        <f>VLOOKUP($D1670,'WB Data'!$C$3:$M$578,3,FALSE)</f>
        <v>29262830</v>
      </c>
      <c r="AY1670" s="847">
        <f t="shared" si="287"/>
        <v>2.9343288238119179E-2</v>
      </c>
      <c r="AZ1670" s="117">
        <f>VLOOKUP($D1670,'WB Data'!$C$3:$M$578,4,FALSE)/100</f>
        <v>0.20145402042179156</v>
      </c>
      <c r="BA1670" s="117">
        <f t="shared" si="288"/>
        <v>29920517394.554836</v>
      </c>
      <c r="BB1670" s="129">
        <f>IFERROR(VLOOKUP($D1670,'EITI Revenues'!$C$2:$G$224,5,FALSE),"..")</f>
        <v>4358147652.2724705</v>
      </c>
      <c r="BC1670" s="846">
        <f t="shared" si="289"/>
        <v>0.14565749631941857</v>
      </c>
      <c r="BD1670" s="129">
        <f>VLOOKUP($D1670,'WB Data 2'!$C$2:$K$545,6,FALSE)</f>
        <v>23087442294.109867</v>
      </c>
      <c r="BE1670" s="129">
        <f>IFERROR(VLOOKUP($D1670,UNCTAD!$C$5:$V$529,4,FALSE),"..")</f>
        <v>39257548000</v>
      </c>
      <c r="BF1670" s="846">
        <f t="shared" si="290"/>
        <v>0.58810199491088611</v>
      </c>
      <c r="BG1670" s="117">
        <f>VLOOKUP($D1670,'WB Data'!$C$3:$M$578,5,FALSE)</f>
        <v>-255920000</v>
      </c>
      <c r="BH1670" s="129">
        <f>IFERROR($BB1670/$BG1670,"..")</f>
        <v>-17.029335934168767</v>
      </c>
      <c r="BI1670" s="117">
        <f>IFERROR(VLOOKUP($D1670,'WB Data'!$C$3:$M$578,7,FALSE)/100,"..")</f>
        <v>2.6887599999999998E-2</v>
      </c>
      <c r="BJ1670" s="117">
        <f>IFERROR($BI1670*$AW1670,"..")</f>
        <v>3993421932.2773547</v>
      </c>
      <c r="BK1670" s="846">
        <f>IFERROR($BB1670/$BJ1670,"..")</f>
        <v>1.0913316264047064</v>
      </c>
      <c r="BL1670" s="117">
        <f>IFERROR(VLOOKUP($D1670,'WB Data'!$C$3:$M$578,7,FALSE)/100,"..")</f>
        <v>2.6887599999999998E-2</v>
      </c>
      <c r="BM1670" s="117">
        <f>IFERROR($AW1670*$BL1670,"..")</f>
        <v>3993421932.2773547</v>
      </c>
      <c r="BN1670" s="846">
        <f>IFERROR($BB1670/$BM1670,"..")</f>
        <v>1.0913316264047064</v>
      </c>
      <c r="BO1670" s="801">
        <f t="shared" si="286"/>
        <v>38</v>
      </c>
      <c r="BP1670" s="117">
        <f>VLOOKUP($D1670,'WB Data'!$C$3:$M$578,9,FALSE)</f>
        <v>30.8</v>
      </c>
      <c r="BQ1670" s="117">
        <f>VLOOKUP($D1670,'WB Data'!$C$3:$M$578,10,FALSE)</f>
        <v>73.905097560975619</v>
      </c>
      <c r="BR1670" s="117">
        <f>VLOOKUP($D1670,'WB Data'!$C$3:$M$578,11,FALSE)</f>
        <v>15.2</v>
      </c>
      <c r="BS1670" s="129">
        <f>IFERROR(VLOOKUP($D1670,'WB Data 2'!$C$2:$K$545,9,FALSE),"..")</f>
        <v>97.373459999999994</v>
      </c>
      <c r="BT1670" s="129">
        <f>_xlfn.IFNA(VLOOKUP($C1670,RGI!$A$2:$C$43,2,FALSE),"..")</f>
        <v>76.8</v>
      </c>
      <c r="BU1670" s="129">
        <f>_xlfn.IFNA(VLOOKUP($C1670,RGI!$A$2:$C$43,3,FALSE),"..")</f>
        <v>72.816147461462435</v>
      </c>
      <c r="BV1670" s="129">
        <f>VLOOKUP($D1670,WGI!$C$2:$O$478,7,FALSE)</f>
        <v>6.6403653760441994E-2</v>
      </c>
      <c r="BW1670" s="129">
        <f>VLOOKUP($D1670,WGI!$C$2:$O$478,4,FALSE)</f>
        <v>-0.97688567284337502</v>
      </c>
      <c r="BX1670" s="129">
        <f>VLOOKUP($D1670,WGI!$C$2:$O$478,3,FALSE)</f>
        <v>-0.203136729362278</v>
      </c>
      <c r="BY1670" s="129">
        <f>VLOOKUP($D1670,WGI!$C$2:$O$478,5,FALSE)</f>
        <v>0.460708707951485</v>
      </c>
      <c r="BZ1670" s="129">
        <f>VLOOKUP($D1670,WGI!$C$2:$O$478,2,FALSE)</f>
        <v>-0.25042827669247397</v>
      </c>
      <c r="CB1670" s="129"/>
    </row>
    <row r="1671" spans="1:80" s="120" customFormat="1" ht="15" customHeight="1">
      <c r="A1671" s="294" t="s">
        <v>458</v>
      </c>
      <c r="B1671" s="117">
        <v>2010</v>
      </c>
      <c r="C1671" s="117" t="s">
        <v>449</v>
      </c>
      <c r="D1671" s="117" t="s">
        <v>3677</v>
      </c>
      <c r="E1671" s="452" t="s">
        <v>220</v>
      </c>
      <c r="F1671" s="117"/>
      <c r="G1671" s="120" t="s">
        <v>24</v>
      </c>
      <c r="H1671" s="117" t="str">
        <f t="shared" si="281"/>
        <v>yes</v>
      </c>
      <c r="I1671" s="117" t="str">
        <f t="shared" si="283"/>
        <v>no</v>
      </c>
      <c r="J1671" s="117" t="str">
        <f t="shared" si="284"/>
        <v>no</v>
      </c>
      <c r="K1671" s="117" t="s">
        <v>2092</v>
      </c>
      <c r="L1671" s="117" t="str">
        <f t="shared" si="282"/>
        <v>detailed</v>
      </c>
      <c r="M1671" s="117" t="str">
        <f t="shared" si="285"/>
        <v>detailed Mining</v>
      </c>
      <c r="N1671" s="118"/>
      <c r="O1671" s="118"/>
      <c r="P1671" s="118"/>
      <c r="Q1671" s="118"/>
      <c r="R1671" s="118"/>
      <c r="S1671" s="117"/>
      <c r="T1671" s="119"/>
      <c r="U1671" s="117"/>
      <c r="V1671" s="117"/>
      <c r="W1671" s="89"/>
      <c r="X1671" s="117"/>
      <c r="AA1671" s="89"/>
      <c r="AB1671" s="89"/>
      <c r="AC1671" s="240"/>
      <c r="AD1671" s="240"/>
      <c r="AE1671" s="240"/>
      <c r="AF1671" s="241"/>
      <c r="AH1671" s="124"/>
      <c r="AI1671" s="117"/>
      <c r="AJ1671" s="117"/>
      <c r="AK1671" s="89"/>
      <c r="AL1671" s="117"/>
      <c r="AM1671" s="117"/>
      <c r="AN1671" s="117"/>
      <c r="AO1671" s="117"/>
      <c r="AP1671" s="117"/>
      <c r="AQ1671" s="117"/>
      <c r="AR1671" s="117"/>
      <c r="AS1671" s="117"/>
      <c r="AT1671" s="117"/>
      <c r="AU1671" s="117"/>
      <c r="AV1671" s="128"/>
      <c r="AW1671" s="117">
        <f>VLOOKUP($D1671,'WB Data'!$C$3:$M$578,2,FALSE)</f>
        <v>148522810971.50192</v>
      </c>
      <c r="AX1671" s="117">
        <f>VLOOKUP($D1671,'WB Data'!$C$3:$M$578,3,FALSE)</f>
        <v>29262830</v>
      </c>
      <c r="AY1671" s="847">
        <f t="shared" si="287"/>
        <v>2.9343288238119179E-2</v>
      </c>
      <c r="AZ1671" s="117">
        <f>VLOOKUP($D1671,'WB Data'!$C$3:$M$578,4,FALSE)/100</f>
        <v>0.20145402042179156</v>
      </c>
      <c r="BA1671" s="117">
        <f t="shared" si="288"/>
        <v>29920517394.554836</v>
      </c>
      <c r="BB1671" s="129">
        <f>IFERROR(VLOOKUP($D1671,'EITI Revenues'!$C$2:$G$224,5,FALSE),"..")</f>
        <v>4358147652.2724705</v>
      </c>
      <c r="BC1671" s="846">
        <f t="shared" si="289"/>
        <v>0.14565749631941857</v>
      </c>
      <c r="BD1671" s="129">
        <f>VLOOKUP($D1671,'WB Data 2'!$C$2:$K$545,6,FALSE)</f>
        <v>23087442294.109867</v>
      </c>
      <c r="BE1671" s="129">
        <f>IFERROR(VLOOKUP($D1671,UNCTAD!$C$5:$V$529,4,FALSE),"..")</f>
        <v>39257548000</v>
      </c>
      <c r="BF1671" s="846">
        <f t="shared" si="290"/>
        <v>0.58810199491088611</v>
      </c>
      <c r="BG1671" s="117">
        <f>VLOOKUP($D1671,'WB Data'!$C$3:$M$578,5,FALSE)</f>
        <v>-255920000</v>
      </c>
      <c r="BH1671" s="129">
        <f>IFERROR($BB1671/$BG1671,"..")</f>
        <v>-17.029335934168767</v>
      </c>
      <c r="BI1671" s="117">
        <f>IFERROR(VLOOKUP($D1671,'WB Data'!$C$3:$M$578,7,FALSE)/100,"..")</f>
        <v>2.6887599999999998E-2</v>
      </c>
      <c r="BJ1671" s="117">
        <f>IFERROR($BI1671*$AW1671,"..")</f>
        <v>3993421932.2773547</v>
      </c>
      <c r="BK1671" s="846">
        <f>IFERROR($BB1671/$BJ1671,"..")</f>
        <v>1.0913316264047064</v>
      </c>
      <c r="BL1671" s="117">
        <f>IFERROR(VLOOKUP($D1671,'WB Data'!$C$3:$M$578,7,FALSE)/100,"..")</f>
        <v>2.6887599999999998E-2</v>
      </c>
      <c r="BM1671" s="117">
        <f>IFERROR($AW1671*$BL1671,"..")</f>
        <v>3993421932.2773547</v>
      </c>
      <c r="BN1671" s="846">
        <f>IFERROR($BB1671/$BM1671,"..")</f>
        <v>1.0913316264047064</v>
      </c>
      <c r="BO1671" s="801">
        <f t="shared" si="286"/>
        <v>38</v>
      </c>
      <c r="BP1671" s="117">
        <f>VLOOKUP($D1671,'WB Data'!$C$3:$M$578,9,FALSE)</f>
        <v>30.8</v>
      </c>
      <c r="BQ1671" s="117">
        <f>VLOOKUP($D1671,'WB Data'!$C$3:$M$578,10,FALSE)</f>
        <v>73.905097560975619</v>
      </c>
      <c r="BR1671" s="117">
        <f>VLOOKUP($D1671,'WB Data'!$C$3:$M$578,11,FALSE)</f>
        <v>15.2</v>
      </c>
      <c r="BS1671" s="129">
        <f>IFERROR(VLOOKUP($D1671,'WB Data 2'!$C$2:$K$545,9,FALSE),"..")</f>
        <v>97.373459999999994</v>
      </c>
      <c r="BT1671" s="129">
        <f>_xlfn.IFNA(VLOOKUP($C1671,RGI!$A$2:$C$43,2,FALSE),"..")</f>
        <v>76.8</v>
      </c>
      <c r="BU1671" s="129">
        <f>_xlfn.IFNA(VLOOKUP($C1671,RGI!$A$2:$C$43,3,FALSE),"..")</f>
        <v>72.816147461462435</v>
      </c>
      <c r="BV1671" s="129">
        <f>VLOOKUP($D1671,WGI!$C$2:$O$478,7,FALSE)</f>
        <v>6.6403653760441994E-2</v>
      </c>
      <c r="BW1671" s="129">
        <f>VLOOKUP($D1671,WGI!$C$2:$O$478,4,FALSE)</f>
        <v>-0.97688567284337502</v>
      </c>
      <c r="BX1671" s="129">
        <f>VLOOKUP($D1671,WGI!$C$2:$O$478,3,FALSE)</f>
        <v>-0.203136729362278</v>
      </c>
      <c r="BY1671" s="129">
        <f>VLOOKUP($D1671,WGI!$C$2:$O$478,5,FALSE)</f>
        <v>0.460708707951485</v>
      </c>
      <c r="BZ1671" s="129">
        <f>VLOOKUP($D1671,WGI!$C$2:$O$478,2,FALSE)</f>
        <v>-0.25042827669247397</v>
      </c>
      <c r="CB1671" s="129"/>
    </row>
    <row r="1672" spans="1:80" s="120" customFormat="1" ht="15" customHeight="1">
      <c r="A1672" s="294" t="s">
        <v>458</v>
      </c>
      <c r="B1672" s="117">
        <v>2010</v>
      </c>
      <c r="C1672" s="117" t="s">
        <v>449</v>
      </c>
      <c r="D1672" s="117" t="s">
        <v>3677</v>
      </c>
      <c r="E1672" s="452" t="s">
        <v>220</v>
      </c>
      <c r="F1672" s="117"/>
      <c r="G1672" s="120" t="s">
        <v>24</v>
      </c>
      <c r="H1672" s="117" t="str">
        <f t="shared" si="281"/>
        <v>yes</v>
      </c>
      <c r="I1672" s="117" t="str">
        <f t="shared" si="283"/>
        <v>no</v>
      </c>
      <c r="J1672" s="117" t="str">
        <f t="shared" si="284"/>
        <v>no</v>
      </c>
      <c r="K1672" s="117" t="s">
        <v>616</v>
      </c>
      <c r="L1672" s="117" t="str">
        <f t="shared" si="282"/>
        <v>detailed</v>
      </c>
      <c r="M1672" s="117" t="str">
        <f t="shared" si="285"/>
        <v>detailed Mining</v>
      </c>
      <c r="N1672" s="118"/>
      <c r="O1672" s="118"/>
      <c r="P1672" s="118"/>
      <c r="Q1672" s="118"/>
      <c r="R1672" s="118"/>
      <c r="S1672" s="117"/>
      <c r="T1672" s="119"/>
      <c r="U1672" s="117"/>
      <c r="V1672" s="117"/>
      <c r="W1672" s="89"/>
      <c r="X1672" s="117"/>
      <c r="AA1672" s="89"/>
      <c r="AB1672" s="89"/>
      <c r="AC1672" s="240"/>
      <c r="AD1672" s="240"/>
      <c r="AE1672" s="240"/>
      <c r="AF1672" s="241"/>
      <c r="AH1672" s="124"/>
      <c r="AI1672" s="117"/>
      <c r="AJ1672" s="117"/>
      <c r="AK1672" s="89"/>
      <c r="AL1672" s="117"/>
      <c r="AM1672" s="117"/>
      <c r="AN1672" s="117"/>
      <c r="AO1672" s="117"/>
      <c r="AP1672" s="117"/>
      <c r="AQ1672" s="117"/>
      <c r="AR1672" s="117"/>
      <c r="AS1672" s="117"/>
      <c r="AT1672" s="117"/>
      <c r="AU1672" s="117"/>
      <c r="AV1672" s="128"/>
      <c r="AW1672" s="117">
        <f>VLOOKUP($D1672,'WB Data'!$C$3:$M$578,2,FALSE)</f>
        <v>148522810971.50192</v>
      </c>
      <c r="AX1672" s="117">
        <f>VLOOKUP($D1672,'WB Data'!$C$3:$M$578,3,FALSE)</f>
        <v>29262830</v>
      </c>
      <c r="AY1672" s="847">
        <f t="shared" si="287"/>
        <v>2.9343288238119179E-2</v>
      </c>
      <c r="AZ1672" s="117">
        <f>VLOOKUP($D1672,'WB Data'!$C$3:$M$578,4,FALSE)/100</f>
        <v>0.20145402042179156</v>
      </c>
      <c r="BA1672" s="117">
        <f t="shared" si="288"/>
        <v>29920517394.554836</v>
      </c>
      <c r="BB1672" s="129">
        <f>IFERROR(VLOOKUP($D1672,'EITI Revenues'!$C$2:$G$224,5,FALSE),"..")</f>
        <v>4358147652.2724705</v>
      </c>
      <c r="BC1672" s="846">
        <f t="shared" si="289"/>
        <v>0.14565749631941857</v>
      </c>
      <c r="BD1672" s="129">
        <f>VLOOKUP($D1672,'WB Data 2'!$C$2:$K$545,6,FALSE)</f>
        <v>23087442294.109867</v>
      </c>
      <c r="BE1672" s="129">
        <f>IFERROR(VLOOKUP($D1672,UNCTAD!$C$5:$V$529,4,FALSE),"..")</f>
        <v>39257548000</v>
      </c>
      <c r="BF1672" s="846">
        <f t="shared" si="290"/>
        <v>0.58810199491088611</v>
      </c>
      <c r="BG1672" s="117">
        <f>VLOOKUP($D1672,'WB Data'!$C$3:$M$578,5,FALSE)</f>
        <v>-255920000</v>
      </c>
      <c r="BH1672" s="129">
        <f>IFERROR($BB1672/$BG1672,"..")</f>
        <v>-17.029335934168767</v>
      </c>
      <c r="BI1672" s="117">
        <f>IFERROR(VLOOKUP($D1672,'WB Data'!$C$3:$M$578,7,FALSE)/100,"..")</f>
        <v>2.6887599999999998E-2</v>
      </c>
      <c r="BJ1672" s="117">
        <f>IFERROR($BI1672*$AW1672,"..")</f>
        <v>3993421932.2773547</v>
      </c>
      <c r="BK1672" s="846">
        <f>IFERROR($BB1672/$BJ1672,"..")</f>
        <v>1.0913316264047064</v>
      </c>
      <c r="BL1672" s="117">
        <f>IFERROR(VLOOKUP($D1672,'WB Data'!$C$3:$M$578,7,FALSE)/100,"..")</f>
        <v>2.6887599999999998E-2</v>
      </c>
      <c r="BM1672" s="117">
        <f>IFERROR($AW1672*$BL1672,"..")</f>
        <v>3993421932.2773547</v>
      </c>
      <c r="BN1672" s="846">
        <f>IFERROR($BB1672/$BM1672,"..")</f>
        <v>1.0913316264047064</v>
      </c>
      <c r="BO1672" s="801">
        <f t="shared" si="286"/>
        <v>38</v>
      </c>
      <c r="BP1672" s="117">
        <f>VLOOKUP($D1672,'WB Data'!$C$3:$M$578,9,FALSE)</f>
        <v>30.8</v>
      </c>
      <c r="BQ1672" s="117">
        <f>VLOOKUP($D1672,'WB Data'!$C$3:$M$578,10,FALSE)</f>
        <v>73.905097560975619</v>
      </c>
      <c r="BR1672" s="117">
        <f>VLOOKUP($D1672,'WB Data'!$C$3:$M$578,11,FALSE)</f>
        <v>15.2</v>
      </c>
      <c r="BS1672" s="129">
        <f>IFERROR(VLOOKUP($D1672,'WB Data 2'!$C$2:$K$545,9,FALSE),"..")</f>
        <v>97.373459999999994</v>
      </c>
      <c r="BT1672" s="129">
        <f>_xlfn.IFNA(VLOOKUP($C1672,RGI!$A$2:$C$43,2,FALSE),"..")</f>
        <v>76.8</v>
      </c>
      <c r="BU1672" s="129">
        <f>_xlfn.IFNA(VLOOKUP($C1672,RGI!$A$2:$C$43,3,FALSE),"..")</f>
        <v>72.816147461462435</v>
      </c>
      <c r="BV1672" s="129">
        <f>VLOOKUP($D1672,WGI!$C$2:$O$478,7,FALSE)</f>
        <v>6.6403653760441994E-2</v>
      </c>
      <c r="BW1672" s="129">
        <f>VLOOKUP($D1672,WGI!$C$2:$O$478,4,FALSE)</f>
        <v>-0.97688567284337502</v>
      </c>
      <c r="BX1672" s="129">
        <f>VLOOKUP($D1672,WGI!$C$2:$O$478,3,FALSE)</f>
        <v>-0.203136729362278</v>
      </c>
      <c r="BY1672" s="129">
        <f>VLOOKUP($D1672,WGI!$C$2:$O$478,5,FALSE)</f>
        <v>0.460708707951485</v>
      </c>
      <c r="BZ1672" s="129">
        <f>VLOOKUP($D1672,WGI!$C$2:$O$478,2,FALSE)</f>
        <v>-0.25042827669247397</v>
      </c>
      <c r="CB1672" s="129"/>
    </row>
    <row r="1673" spans="1:80" s="120" customFormat="1" ht="15" customHeight="1">
      <c r="A1673" s="294" t="s">
        <v>458</v>
      </c>
      <c r="B1673" s="117">
        <v>2010</v>
      </c>
      <c r="C1673" s="117" t="s">
        <v>449</v>
      </c>
      <c r="D1673" s="117" t="s">
        <v>3677</v>
      </c>
      <c r="E1673" s="452" t="s">
        <v>220</v>
      </c>
      <c r="F1673" s="117"/>
      <c r="G1673" s="120" t="s">
        <v>24</v>
      </c>
      <c r="H1673" s="117" t="str">
        <f t="shared" si="281"/>
        <v>yes</v>
      </c>
      <c r="I1673" s="117" t="str">
        <f t="shared" si="283"/>
        <v>no</v>
      </c>
      <c r="J1673" s="117" t="str">
        <f t="shared" si="284"/>
        <v>no</v>
      </c>
      <c r="K1673" s="117" t="s">
        <v>2093</v>
      </c>
      <c r="L1673" s="117" t="str">
        <f t="shared" si="282"/>
        <v>detailed</v>
      </c>
      <c r="M1673" s="117" t="str">
        <f t="shared" si="285"/>
        <v>detailed Mining</v>
      </c>
      <c r="N1673" s="118"/>
      <c r="O1673" s="118"/>
      <c r="P1673" s="118"/>
      <c r="Q1673" s="118"/>
      <c r="R1673" s="118"/>
      <c r="S1673" s="117"/>
      <c r="T1673" s="119"/>
      <c r="U1673" s="117"/>
      <c r="V1673" s="117"/>
      <c r="W1673" s="89"/>
      <c r="X1673" s="117"/>
      <c r="AA1673" s="89"/>
      <c r="AB1673" s="89"/>
      <c r="AC1673" s="240"/>
      <c r="AD1673" s="240"/>
      <c r="AE1673" s="240"/>
      <c r="AF1673" s="241"/>
      <c r="AH1673" s="124"/>
      <c r="AI1673" s="117"/>
      <c r="AJ1673" s="117"/>
      <c r="AK1673" s="89"/>
      <c r="AL1673" s="117"/>
      <c r="AM1673" s="117"/>
      <c r="AN1673" s="117"/>
      <c r="AO1673" s="117"/>
      <c r="AP1673" s="117"/>
      <c r="AQ1673" s="117"/>
      <c r="AR1673" s="117"/>
      <c r="AS1673" s="117"/>
      <c r="AT1673" s="117"/>
      <c r="AU1673" s="117"/>
      <c r="AV1673" s="128"/>
      <c r="AW1673" s="117">
        <f>VLOOKUP($D1673,'WB Data'!$C$3:$M$578,2,FALSE)</f>
        <v>148522810971.50192</v>
      </c>
      <c r="AX1673" s="117">
        <f>VLOOKUP($D1673,'WB Data'!$C$3:$M$578,3,FALSE)</f>
        <v>29262830</v>
      </c>
      <c r="AY1673" s="847">
        <f t="shared" si="287"/>
        <v>2.9343288238119179E-2</v>
      </c>
      <c r="AZ1673" s="117">
        <f>VLOOKUP($D1673,'WB Data'!$C$3:$M$578,4,FALSE)/100</f>
        <v>0.20145402042179156</v>
      </c>
      <c r="BA1673" s="117">
        <f t="shared" si="288"/>
        <v>29920517394.554836</v>
      </c>
      <c r="BB1673" s="129">
        <f>IFERROR(VLOOKUP($D1673,'EITI Revenues'!$C$2:$G$224,5,FALSE),"..")</f>
        <v>4358147652.2724705</v>
      </c>
      <c r="BC1673" s="846">
        <f t="shared" si="289"/>
        <v>0.14565749631941857</v>
      </c>
      <c r="BD1673" s="129">
        <f>VLOOKUP($D1673,'WB Data 2'!$C$2:$K$545,6,FALSE)</f>
        <v>23087442294.109867</v>
      </c>
      <c r="BE1673" s="129">
        <f>IFERROR(VLOOKUP($D1673,UNCTAD!$C$5:$V$529,4,FALSE),"..")</f>
        <v>39257548000</v>
      </c>
      <c r="BF1673" s="846">
        <f t="shared" si="290"/>
        <v>0.58810199491088611</v>
      </c>
      <c r="BG1673" s="117">
        <f>VLOOKUP($D1673,'WB Data'!$C$3:$M$578,5,FALSE)</f>
        <v>-255920000</v>
      </c>
      <c r="BH1673" s="129">
        <f>IFERROR($BB1673/$BG1673,"..")</f>
        <v>-17.029335934168767</v>
      </c>
      <c r="BI1673" s="117">
        <f>IFERROR(VLOOKUP($D1673,'WB Data'!$C$3:$M$578,7,FALSE)/100,"..")</f>
        <v>2.6887599999999998E-2</v>
      </c>
      <c r="BJ1673" s="117">
        <f>IFERROR($BI1673*$AW1673,"..")</f>
        <v>3993421932.2773547</v>
      </c>
      <c r="BK1673" s="846">
        <f>IFERROR($BB1673/$BJ1673,"..")</f>
        <v>1.0913316264047064</v>
      </c>
      <c r="BL1673" s="117">
        <f>IFERROR(VLOOKUP($D1673,'WB Data'!$C$3:$M$578,7,FALSE)/100,"..")</f>
        <v>2.6887599999999998E-2</v>
      </c>
      <c r="BM1673" s="117">
        <f>IFERROR($AW1673*$BL1673,"..")</f>
        <v>3993421932.2773547</v>
      </c>
      <c r="BN1673" s="846">
        <f>IFERROR($BB1673/$BM1673,"..")</f>
        <v>1.0913316264047064</v>
      </c>
      <c r="BO1673" s="801">
        <f t="shared" si="286"/>
        <v>38</v>
      </c>
      <c r="BP1673" s="117">
        <f>VLOOKUP($D1673,'WB Data'!$C$3:$M$578,9,FALSE)</f>
        <v>30.8</v>
      </c>
      <c r="BQ1673" s="117">
        <f>VLOOKUP($D1673,'WB Data'!$C$3:$M$578,10,FALSE)</f>
        <v>73.905097560975619</v>
      </c>
      <c r="BR1673" s="117">
        <f>VLOOKUP($D1673,'WB Data'!$C$3:$M$578,11,FALSE)</f>
        <v>15.2</v>
      </c>
      <c r="BS1673" s="129">
        <f>IFERROR(VLOOKUP($D1673,'WB Data 2'!$C$2:$K$545,9,FALSE),"..")</f>
        <v>97.373459999999994</v>
      </c>
      <c r="BT1673" s="129">
        <f>_xlfn.IFNA(VLOOKUP($C1673,RGI!$A$2:$C$43,2,FALSE),"..")</f>
        <v>76.8</v>
      </c>
      <c r="BU1673" s="129">
        <f>_xlfn.IFNA(VLOOKUP($C1673,RGI!$A$2:$C$43,3,FALSE),"..")</f>
        <v>72.816147461462435</v>
      </c>
      <c r="BV1673" s="129">
        <f>VLOOKUP($D1673,WGI!$C$2:$O$478,7,FALSE)</f>
        <v>6.6403653760441994E-2</v>
      </c>
      <c r="BW1673" s="129">
        <f>VLOOKUP($D1673,WGI!$C$2:$O$478,4,FALSE)</f>
        <v>-0.97688567284337502</v>
      </c>
      <c r="BX1673" s="129">
        <f>VLOOKUP($D1673,WGI!$C$2:$O$478,3,FALSE)</f>
        <v>-0.203136729362278</v>
      </c>
      <c r="BY1673" s="129">
        <f>VLOOKUP($D1673,WGI!$C$2:$O$478,5,FALSE)</f>
        <v>0.460708707951485</v>
      </c>
      <c r="BZ1673" s="129">
        <f>VLOOKUP($D1673,WGI!$C$2:$O$478,2,FALSE)</f>
        <v>-0.25042827669247397</v>
      </c>
      <c r="CB1673" s="129"/>
    </row>
    <row r="1674" spans="1:80" s="120" customFormat="1" ht="15" customHeight="1">
      <c r="A1674" s="294" t="s">
        <v>458</v>
      </c>
      <c r="B1674" s="117">
        <v>2010</v>
      </c>
      <c r="C1674" s="117" t="s">
        <v>449</v>
      </c>
      <c r="D1674" s="117" t="s">
        <v>3677</v>
      </c>
      <c r="E1674" s="452" t="s">
        <v>220</v>
      </c>
      <c r="F1674" s="117"/>
      <c r="G1674" s="120" t="s">
        <v>24</v>
      </c>
      <c r="H1674" s="117" t="str">
        <f t="shared" si="281"/>
        <v>yes</v>
      </c>
      <c r="I1674" s="117" t="str">
        <f t="shared" si="283"/>
        <v>no</v>
      </c>
      <c r="J1674" s="117" t="str">
        <f t="shared" si="284"/>
        <v>no</v>
      </c>
      <c r="K1674" s="117" t="s">
        <v>619</v>
      </c>
      <c r="L1674" s="117" t="str">
        <f t="shared" si="282"/>
        <v>detailed</v>
      </c>
      <c r="M1674" s="117" t="str">
        <f t="shared" si="285"/>
        <v>detailed Mining</v>
      </c>
      <c r="N1674" s="118"/>
      <c r="O1674" s="118"/>
      <c r="P1674" s="118"/>
      <c r="Q1674" s="118"/>
      <c r="R1674" s="118"/>
      <c r="S1674" s="117"/>
      <c r="T1674" s="119"/>
      <c r="U1674" s="117"/>
      <c r="V1674" s="117"/>
      <c r="W1674" s="89"/>
      <c r="X1674" s="117"/>
      <c r="Y1674" s="492"/>
      <c r="Z1674" s="492"/>
      <c r="AA1674" s="89"/>
      <c r="AB1674" s="89"/>
      <c r="AC1674" s="462"/>
      <c r="AD1674" s="462"/>
      <c r="AE1674" s="462"/>
      <c r="AF1674" s="463"/>
      <c r="AG1674" s="492"/>
      <c r="AH1674" s="124"/>
      <c r="AI1674" s="117"/>
      <c r="AJ1674" s="117"/>
      <c r="AK1674" s="89"/>
      <c r="AL1674" s="117"/>
      <c r="AM1674" s="117"/>
      <c r="AN1674" s="117"/>
      <c r="AO1674" s="117"/>
      <c r="AP1674" s="117"/>
      <c r="AQ1674" s="117"/>
      <c r="AR1674" s="117"/>
      <c r="AS1674" s="117"/>
      <c r="AT1674" s="117"/>
      <c r="AU1674" s="117"/>
      <c r="AV1674" s="128"/>
      <c r="AW1674" s="117">
        <f>VLOOKUP($D1674,'WB Data'!$C$3:$M$578,2,FALSE)</f>
        <v>148522810971.50192</v>
      </c>
      <c r="AX1674" s="117">
        <f>VLOOKUP($D1674,'WB Data'!$C$3:$M$578,3,FALSE)</f>
        <v>29262830</v>
      </c>
      <c r="AY1674" s="847">
        <f t="shared" si="287"/>
        <v>2.9343288238119179E-2</v>
      </c>
      <c r="AZ1674" s="117">
        <f>VLOOKUP($D1674,'WB Data'!$C$3:$M$578,4,FALSE)/100</f>
        <v>0.20145402042179156</v>
      </c>
      <c r="BA1674" s="117">
        <f t="shared" si="288"/>
        <v>29920517394.554836</v>
      </c>
      <c r="BB1674" s="129">
        <f>IFERROR(VLOOKUP($D1674,'EITI Revenues'!$C$2:$G$224,5,FALSE),"..")</f>
        <v>4358147652.2724705</v>
      </c>
      <c r="BC1674" s="846">
        <f t="shared" si="289"/>
        <v>0.14565749631941857</v>
      </c>
      <c r="BD1674" s="129">
        <f>VLOOKUP($D1674,'WB Data 2'!$C$2:$K$545,6,FALSE)</f>
        <v>23087442294.109867</v>
      </c>
      <c r="BE1674" s="129">
        <f>IFERROR(VLOOKUP($D1674,UNCTAD!$C$5:$V$529,4,FALSE),"..")</f>
        <v>39257548000</v>
      </c>
      <c r="BF1674" s="846">
        <f t="shared" si="290"/>
        <v>0.58810199491088611</v>
      </c>
      <c r="BG1674" s="117">
        <f>VLOOKUP($D1674,'WB Data'!$C$3:$M$578,5,FALSE)</f>
        <v>-255920000</v>
      </c>
      <c r="BH1674" s="129">
        <f>IFERROR($BB1674/$BG1674,"..")</f>
        <v>-17.029335934168767</v>
      </c>
      <c r="BI1674" s="117">
        <f>IFERROR(VLOOKUP($D1674,'WB Data'!$C$3:$M$578,7,FALSE)/100,"..")</f>
        <v>2.6887599999999998E-2</v>
      </c>
      <c r="BJ1674" s="117">
        <f>IFERROR($BI1674*$AW1674,"..")</f>
        <v>3993421932.2773547</v>
      </c>
      <c r="BK1674" s="846">
        <f>IFERROR($BB1674/$BJ1674,"..")</f>
        <v>1.0913316264047064</v>
      </c>
      <c r="BL1674" s="117">
        <f>IFERROR(VLOOKUP($D1674,'WB Data'!$C$3:$M$578,7,FALSE)/100,"..")</f>
        <v>2.6887599999999998E-2</v>
      </c>
      <c r="BM1674" s="117">
        <f>IFERROR($AW1674*$BL1674,"..")</f>
        <v>3993421932.2773547</v>
      </c>
      <c r="BN1674" s="846">
        <f>IFERROR($BB1674/$BM1674,"..")</f>
        <v>1.0913316264047064</v>
      </c>
      <c r="BO1674" s="801">
        <f t="shared" si="286"/>
        <v>38</v>
      </c>
      <c r="BP1674" s="117">
        <f>VLOOKUP($D1674,'WB Data'!$C$3:$M$578,9,FALSE)</f>
        <v>30.8</v>
      </c>
      <c r="BQ1674" s="117">
        <f>VLOOKUP($D1674,'WB Data'!$C$3:$M$578,10,FALSE)</f>
        <v>73.905097560975619</v>
      </c>
      <c r="BR1674" s="117">
        <f>VLOOKUP($D1674,'WB Data'!$C$3:$M$578,11,FALSE)</f>
        <v>15.2</v>
      </c>
      <c r="BS1674" s="129">
        <f>IFERROR(VLOOKUP($D1674,'WB Data 2'!$C$2:$K$545,9,FALSE),"..")</f>
        <v>97.373459999999994</v>
      </c>
      <c r="BT1674" s="129">
        <f>_xlfn.IFNA(VLOOKUP($C1674,RGI!$A$2:$C$43,2,FALSE),"..")</f>
        <v>76.8</v>
      </c>
      <c r="BU1674" s="129">
        <f>_xlfn.IFNA(VLOOKUP($C1674,RGI!$A$2:$C$43,3,FALSE),"..")</f>
        <v>72.816147461462435</v>
      </c>
      <c r="BV1674" s="129">
        <f>VLOOKUP($D1674,WGI!$C$2:$O$478,7,FALSE)</f>
        <v>6.6403653760441994E-2</v>
      </c>
      <c r="BW1674" s="129">
        <f>VLOOKUP($D1674,WGI!$C$2:$O$478,4,FALSE)</f>
        <v>-0.97688567284337502</v>
      </c>
      <c r="BX1674" s="129">
        <f>VLOOKUP($D1674,WGI!$C$2:$O$478,3,FALSE)</f>
        <v>-0.203136729362278</v>
      </c>
      <c r="BY1674" s="129">
        <f>VLOOKUP($D1674,WGI!$C$2:$O$478,5,FALSE)</f>
        <v>0.460708707951485</v>
      </c>
      <c r="BZ1674" s="129">
        <f>VLOOKUP($D1674,WGI!$C$2:$O$478,2,FALSE)</f>
        <v>-0.25042827669247397</v>
      </c>
      <c r="CB1674" s="129"/>
    </row>
    <row r="1675" spans="1:80" s="120" customFormat="1" ht="15" customHeight="1">
      <c r="A1675" s="294" t="s">
        <v>458</v>
      </c>
      <c r="B1675" s="117">
        <v>2010</v>
      </c>
      <c r="C1675" s="117" t="s">
        <v>449</v>
      </c>
      <c r="D1675" s="117" t="s">
        <v>3677</v>
      </c>
      <c r="E1675" s="452" t="s">
        <v>220</v>
      </c>
      <c r="F1675" s="117"/>
      <c r="G1675" s="120" t="s">
        <v>24</v>
      </c>
      <c r="H1675" s="117" t="str">
        <f t="shared" si="281"/>
        <v>yes</v>
      </c>
      <c r="I1675" s="117" t="str">
        <f t="shared" si="283"/>
        <v>no</v>
      </c>
      <c r="J1675" s="117" t="str">
        <f t="shared" si="284"/>
        <v>no</v>
      </c>
      <c r="K1675" s="117" t="s">
        <v>2094</v>
      </c>
      <c r="L1675" s="117" t="str">
        <f t="shared" si="282"/>
        <v>detailed</v>
      </c>
      <c r="M1675" s="117" t="str">
        <f t="shared" si="285"/>
        <v>detailed Mining</v>
      </c>
      <c r="N1675" s="118"/>
      <c r="O1675" s="118"/>
      <c r="P1675" s="118"/>
      <c r="Q1675" s="118"/>
      <c r="R1675" s="118"/>
      <c r="S1675" s="117"/>
      <c r="T1675" s="119"/>
      <c r="U1675" s="117"/>
      <c r="V1675" s="117"/>
      <c r="W1675" s="89"/>
      <c r="X1675" s="117"/>
      <c r="AA1675" s="89"/>
      <c r="AB1675" s="89"/>
      <c r="AC1675" s="240"/>
      <c r="AD1675" s="240"/>
      <c r="AE1675" s="240"/>
      <c r="AF1675" s="241"/>
      <c r="AH1675" s="124"/>
      <c r="AI1675" s="117"/>
      <c r="AJ1675" s="117"/>
      <c r="AK1675" s="89"/>
      <c r="AL1675" s="117"/>
      <c r="AM1675" s="117"/>
      <c r="AN1675" s="117"/>
      <c r="AO1675" s="117"/>
      <c r="AP1675" s="117"/>
      <c r="AQ1675" s="117"/>
      <c r="AR1675" s="117"/>
      <c r="AS1675" s="117"/>
      <c r="AT1675" s="117"/>
      <c r="AU1675" s="117"/>
      <c r="AV1675" s="128"/>
      <c r="AW1675" s="117">
        <f>VLOOKUP($D1675,'WB Data'!$C$3:$M$578,2,FALSE)</f>
        <v>148522810971.50192</v>
      </c>
      <c r="AX1675" s="117">
        <f>VLOOKUP($D1675,'WB Data'!$C$3:$M$578,3,FALSE)</f>
        <v>29262830</v>
      </c>
      <c r="AY1675" s="847">
        <f t="shared" si="287"/>
        <v>2.9343288238119179E-2</v>
      </c>
      <c r="AZ1675" s="117">
        <f>VLOOKUP($D1675,'WB Data'!$C$3:$M$578,4,FALSE)/100</f>
        <v>0.20145402042179156</v>
      </c>
      <c r="BA1675" s="117">
        <f t="shared" si="288"/>
        <v>29920517394.554836</v>
      </c>
      <c r="BB1675" s="129">
        <f>IFERROR(VLOOKUP($D1675,'EITI Revenues'!$C$2:$G$224,5,FALSE),"..")</f>
        <v>4358147652.2724705</v>
      </c>
      <c r="BC1675" s="846">
        <f t="shared" si="289"/>
        <v>0.14565749631941857</v>
      </c>
      <c r="BD1675" s="129">
        <f>VLOOKUP($D1675,'WB Data 2'!$C$2:$K$545,6,FALSE)</f>
        <v>23087442294.109867</v>
      </c>
      <c r="BE1675" s="129">
        <f>IFERROR(VLOOKUP($D1675,UNCTAD!$C$5:$V$529,4,FALSE),"..")</f>
        <v>39257548000</v>
      </c>
      <c r="BF1675" s="846">
        <f t="shared" si="290"/>
        <v>0.58810199491088611</v>
      </c>
      <c r="BG1675" s="117">
        <f>VLOOKUP($D1675,'WB Data'!$C$3:$M$578,5,FALSE)</f>
        <v>-255920000</v>
      </c>
      <c r="BH1675" s="129">
        <f>IFERROR($BB1675/$BG1675,"..")</f>
        <v>-17.029335934168767</v>
      </c>
      <c r="BI1675" s="117">
        <f>IFERROR(VLOOKUP($D1675,'WB Data'!$C$3:$M$578,7,FALSE)/100,"..")</f>
        <v>2.6887599999999998E-2</v>
      </c>
      <c r="BJ1675" s="117">
        <f>IFERROR($BI1675*$AW1675,"..")</f>
        <v>3993421932.2773547</v>
      </c>
      <c r="BK1675" s="846">
        <f>IFERROR($BB1675/$BJ1675,"..")</f>
        <v>1.0913316264047064</v>
      </c>
      <c r="BL1675" s="117">
        <f>IFERROR(VLOOKUP($D1675,'WB Data'!$C$3:$M$578,7,FALSE)/100,"..")</f>
        <v>2.6887599999999998E-2</v>
      </c>
      <c r="BM1675" s="117">
        <f>IFERROR($AW1675*$BL1675,"..")</f>
        <v>3993421932.2773547</v>
      </c>
      <c r="BN1675" s="846">
        <f>IFERROR($BB1675/$BM1675,"..")</f>
        <v>1.0913316264047064</v>
      </c>
      <c r="BO1675" s="801">
        <f t="shared" si="286"/>
        <v>38</v>
      </c>
      <c r="BP1675" s="117">
        <f>VLOOKUP($D1675,'WB Data'!$C$3:$M$578,9,FALSE)</f>
        <v>30.8</v>
      </c>
      <c r="BQ1675" s="117">
        <f>VLOOKUP($D1675,'WB Data'!$C$3:$M$578,10,FALSE)</f>
        <v>73.905097560975619</v>
      </c>
      <c r="BR1675" s="117">
        <f>VLOOKUP($D1675,'WB Data'!$C$3:$M$578,11,FALSE)</f>
        <v>15.2</v>
      </c>
      <c r="BS1675" s="129">
        <f>IFERROR(VLOOKUP($D1675,'WB Data 2'!$C$2:$K$545,9,FALSE),"..")</f>
        <v>97.373459999999994</v>
      </c>
      <c r="BT1675" s="129">
        <f>_xlfn.IFNA(VLOOKUP($C1675,RGI!$A$2:$C$43,2,FALSE),"..")</f>
        <v>76.8</v>
      </c>
      <c r="BU1675" s="129">
        <f>_xlfn.IFNA(VLOOKUP($C1675,RGI!$A$2:$C$43,3,FALSE),"..")</f>
        <v>72.816147461462435</v>
      </c>
      <c r="BV1675" s="129">
        <f>VLOOKUP($D1675,WGI!$C$2:$O$478,7,FALSE)</f>
        <v>6.6403653760441994E-2</v>
      </c>
      <c r="BW1675" s="129">
        <f>VLOOKUP($D1675,WGI!$C$2:$O$478,4,FALSE)</f>
        <v>-0.97688567284337502</v>
      </c>
      <c r="BX1675" s="129">
        <f>VLOOKUP($D1675,WGI!$C$2:$O$478,3,FALSE)</f>
        <v>-0.203136729362278</v>
      </c>
      <c r="BY1675" s="129">
        <f>VLOOKUP($D1675,WGI!$C$2:$O$478,5,FALSE)</f>
        <v>0.460708707951485</v>
      </c>
      <c r="BZ1675" s="129">
        <f>VLOOKUP($D1675,WGI!$C$2:$O$478,2,FALSE)</f>
        <v>-0.25042827669247397</v>
      </c>
      <c r="CB1675" s="129"/>
    </row>
    <row r="1676" spans="1:80" s="120" customFormat="1" ht="15" customHeight="1">
      <c r="A1676" s="294" t="s">
        <v>458</v>
      </c>
      <c r="B1676" s="117">
        <v>2010</v>
      </c>
      <c r="C1676" s="117" t="s">
        <v>449</v>
      </c>
      <c r="D1676" s="117" t="s">
        <v>3677</v>
      </c>
      <c r="E1676" s="452" t="s">
        <v>220</v>
      </c>
      <c r="F1676" s="117"/>
      <c r="G1676" s="120" t="s">
        <v>24</v>
      </c>
      <c r="H1676" s="117" t="str">
        <f t="shared" si="281"/>
        <v>yes</v>
      </c>
      <c r="I1676" s="117" t="str">
        <f t="shared" si="283"/>
        <v>no</v>
      </c>
      <c r="J1676" s="117" t="str">
        <f t="shared" si="284"/>
        <v>no</v>
      </c>
      <c r="K1676" s="117" t="s">
        <v>2095</v>
      </c>
      <c r="L1676" s="117" t="str">
        <f t="shared" si="282"/>
        <v>detailed</v>
      </c>
      <c r="M1676" s="117" t="str">
        <f t="shared" si="285"/>
        <v>detailed Mining</v>
      </c>
      <c r="N1676" s="118"/>
      <c r="O1676" s="118"/>
      <c r="P1676" s="118"/>
      <c r="Q1676" s="118"/>
      <c r="R1676" s="118"/>
      <c r="S1676" s="117"/>
      <c r="T1676" s="119"/>
      <c r="U1676" s="117"/>
      <c r="V1676" s="117"/>
      <c r="W1676" s="89"/>
      <c r="X1676" s="117"/>
      <c r="AA1676" s="89"/>
      <c r="AB1676" s="89"/>
      <c r="AC1676" s="240"/>
      <c r="AD1676" s="240"/>
      <c r="AE1676" s="240"/>
      <c r="AF1676" s="241"/>
      <c r="AH1676" s="124"/>
      <c r="AI1676" s="117"/>
      <c r="AJ1676" s="117"/>
      <c r="AK1676" s="89"/>
      <c r="AL1676" s="117"/>
      <c r="AM1676" s="117"/>
      <c r="AN1676" s="117"/>
      <c r="AO1676" s="117"/>
      <c r="AP1676" s="117"/>
      <c r="AQ1676" s="117"/>
      <c r="AR1676" s="117"/>
      <c r="AS1676" s="117"/>
      <c r="AT1676" s="117"/>
      <c r="AU1676" s="117"/>
      <c r="AV1676" s="128"/>
      <c r="AW1676" s="117">
        <f>VLOOKUP($D1676,'WB Data'!$C$3:$M$578,2,FALSE)</f>
        <v>148522810971.50192</v>
      </c>
      <c r="AX1676" s="117">
        <f>VLOOKUP($D1676,'WB Data'!$C$3:$M$578,3,FALSE)</f>
        <v>29262830</v>
      </c>
      <c r="AY1676" s="847">
        <f t="shared" si="287"/>
        <v>2.9343288238119179E-2</v>
      </c>
      <c r="AZ1676" s="117">
        <f>VLOOKUP($D1676,'WB Data'!$C$3:$M$578,4,FALSE)/100</f>
        <v>0.20145402042179156</v>
      </c>
      <c r="BA1676" s="117">
        <f t="shared" si="288"/>
        <v>29920517394.554836</v>
      </c>
      <c r="BB1676" s="129">
        <f>IFERROR(VLOOKUP($D1676,'EITI Revenues'!$C$2:$G$224,5,FALSE),"..")</f>
        <v>4358147652.2724705</v>
      </c>
      <c r="BC1676" s="846">
        <f t="shared" si="289"/>
        <v>0.14565749631941857</v>
      </c>
      <c r="BD1676" s="129">
        <f>VLOOKUP($D1676,'WB Data 2'!$C$2:$K$545,6,FALSE)</f>
        <v>23087442294.109867</v>
      </c>
      <c r="BE1676" s="129">
        <f>IFERROR(VLOOKUP($D1676,UNCTAD!$C$5:$V$529,4,FALSE),"..")</f>
        <v>39257548000</v>
      </c>
      <c r="BF1676" s="846">
        <f t="shared" si="290"/>
        <v>0.58810199491088611</v>
      </c>
      <c r="BG1676" s="117">
        <f>VLOOKUP($D1676,'WB Data'!$C$3:$M$578,5,FALSE)</f>
        <v>-255920000</v>
      </c>
      <c r="BH1676" s="129">
        <f>IFERROR($BB1676/$BG1676,"..")</f>
        <v>-17.029335934168767</v>
      </c>
      <c r="BI1676" s="117">
        <f>IFERROR(VLOOKUP($D1676,'WB Data'!$C$3:$M$578,7,FALSE)/100,"..")</f>
        <v>2.6887599999999998E-2</v>
      </c>
      <c r="BJ1676" s="117">
        <f>IFERROR($BI1676*$AW1676,"..")</f>
        <v>3993421932.2773547</v>
      </c>
      <c r="BK1676" s="846">
        <f>IFERROR($BB1676/$BJ1676,"..")</f>
        <v>1.0913316264047064</v>
      </c>
      <c r="BL1676" s="117">
        <f>IFERROR(VLOOKUP($D1676,'WB Data'!$C$3:$M$578,7,FALSE)/100,"..")</f>
        <v>2.6887599999999998E-2</v>
      </c>
      <c r="BM1676" s="117">
        <f>IFERROR($AW1676*$BL1676,"..")</f>
        <v>3993421932.2773547</v>
      </c>
      <c r="BN1676" s="846">
        <f>IFERROR($BB1676/$BM1676,"..")</f>
        <v>1.0913316264047064</v>
      </c>
      <c r="BO1676" s="801">
        <f t="shared" si="286"/>
        <v>38</v>
      </c>
      <c r="BP1676" s="117">
        <f>VLOOKUP($D1676,'WB Data'!$C$3:$M$578,9,FALSE)</f>
        <v>30.8</v>
      </c>
      <c r="BQ1676" s="117">
        <f>VLOOKUP($D1676,'WB Data'!$C$3:$M$578,10,FALSE)</f>
        <v>73.905097560975619</v>
      </c>
      <c r="BR1676" s="117">
        <f>VLOOKUP($D1676,'WB Data'!$C$3:$M$578,11,FALSE)</f>
        <v>15.2</v>
      </c>
      <c r="BS1676" s="129">
        <f>IFERROR(VLOOKUP($D1676,'WB Data 2'!$C$2:$K$545,9,FALSE),"..")</f>
        <v>97.373459999999994</v>
      </c>
      <c r="BT1676" s="129">
        <f>_xlfn.IFNA(VLOOKUP($C1676,RGI!$A$2:$C$43,2,FALSE),"..")</f>
        <v>76.8</v>
      </c>
      <c r="BU1676" s="129">
        <f>_xlfn.IFNA(VLOOKUP($C1676,RGI!$A$2:$C$43,3,FALSE),"..")</f>
        <v>72.816147461462435</v>
      </c>
      <c r="BV1676" s="129">
        <f>VLOOKUP($D1676,WGI!$C$2:$O$478,7,FALSE)</f>
        <v>6.6403653760441994E-2</v>
      </c>
      <c r="BW1676" s="129">
        <f>VLOOKUP($D1676,WGI!$C$2:$O$478,4,FALSE)</f>
        <v>-0.97688567284337502</v>
      </c>
      <c r="BX1676" s="129">
        <f>VLOOKUP($D1676,WGI!$C$2:$O$478,3,FALSE)</f>
        <v>-0.203136729362278</v>
      </c>
      <c r="BY1676" s="129">
        <f>VLOOKUP($D1676,WGI!$C$2:$O$478,5,FALSE)</f>
        <v>0.460708707951485</v>
      </c>
      <c r="BZ1676" s="129">
        <f>VLOOKUP($D1676,WGI!$C$2:$O$478,2,FALSE)</f>
        <v>-0.25042827669247397</v>
      </c>
      <c r="CB1676" s="129"/>
    </row>
    <row r="1677" spans="1:80" s="120" customFormat="1" ht="15" customHeight="1">
      <c r="A1677" s="294" t="s">
        <v>458</v>
      </c>
      <c r="B1677" s="117">
        <v>2010</v>
      </c>
      <c r="C1677" s="117" t="s">
        <v>449</v>
      </c>
      <c r="D1677" s="117" t="s">
        <v>3677</v>
      </c>
      <c r="E1677" s="452" t="s">
        <v>220</v>
      </c>
      <c r="F1677" s="117"/>
      <c r="G1677" s="120" t="s">
        <v>24</v>
      </c>
      <c r="H1677" s="117" t="str">
        <f t="shared" si="281"/>
        <v>yes</v>
      </c>
      <c r="I1677" s="117" t="str">
        <f t="shared" si="283"/>
        <v>no</v>
      </c>
      <c r="J1677" s="117" t="str">
        <f t="shared" si="284"/>
        <v>no</v>
      </c>
      <c r="K1677" s="117" t="s">
        <v>1220</v>
      </c>
      <c r="L1677" s="117" t="str">
        <f t="shared" si="282"/>
        <v>detailed</v>
      </c>
      <c r="M1677" s="117" t="str">
        <f t="shared" si="285"/>
        <v>detailed Mining</v>
      </c>
      <c r="N1677" s="118"/>
      <c r="O1677" s="118"/>
      <c r="P1677" s="118"/>
      <c r="Q1677" s="118"/>
      <c r="R1677" s="118"/>
      <c r="S1677" s="117"/>
      <c r="T1677" s="119"/>
      <c r="U1677" s="117"/>
      <c r="V1677" s="117"/>
      <c r="W1677" s="89"/>
      <c r="X1677" s="117"/>
      <c r="AA1677" s="89"/>
      <c r="AB1677" s="89"/>
      <c r="AC1677" s="240"/>
      <c r="AD1677" s="240"/>
      <c r="AE1677" s="240"/>
      <c r="AF1677" s="241"/>
      <c r="AH1677" s="124"/>
      <c r="AI1677" s="117"/>
      <c r="AJ1677" s="117"/>
      <c r="AK1677" s="89"/>
      <c r="AL1677" s="117"/>
      <c r="AM1677" s="117"/>
      <c r="AN1677" s="117"/>
      <c r="AO1677" s="117"/>
      <c r="AP1677" s="117"/>
      <c r="AQ1677" s="117"/>
      <c r="AR1677" s="117"/>
      <c r="AS1677" s="117"/>
      <c r="AT1677" s="117"/>
      <c r="AU1677" s="117"/>
      <c r="AV1677" s="128"/>
      <c r="AW1677" s="117">
        <f>VLOOKUP($D1677,'WB Data'!$C$3:$M$578,2,FALSE)</f>
        <v>148522810971.50192</v>
      </c>
      <c r="AX1677" s="117">
        <f>VLOOKUP($D1677,'WB Data'!$C$3:$M$578,3,FALSE)</f>
        <v>29262830</v>
      </c>
      <c r="AY1677" s="847">
        <f t="shared" si="287"/>
        <v>2.9343288238119179E-2</v>
      </c>
      <c r="AZ1677" s="117">
        <f>VLOOKUP($D1677,'WB Data'!$C$3:$M$578,4,FALSE)/100</f>
        <v>0.20145402042179156</v>
      </c>
      <c r="BA1677" s="117">
        <f t="shared" si="288"/>
        <v>29920517394.554836</v>
      </c>
      <c r="BB1677" s="129">
        <f>IFERROR(VLOOKUP($D1677,'EITI Revenues'!$C$2:$G$224,5,FALSE),"..")</f>
        <v>4358147652.2724705</v>
      </c>
      <c r="BC1677" s="846">
        <f t="shared" si="289"/>
        <v>0.14565749631941857</v>
      </c>
      <c r="BD1677" s="129">
        <f>VLOOKUP($D1677,'WB Data 2'!$C$2:$K$545,6,FALSE)</f>
        <v>23087442294.109867</v>
      </c>
      <c r="BE1677" s="129">
        <f>IFERROR(VLOOKUP($D1677,UNCTAD!$C$5:$V$529,4,FALSE),"..")</f>
        <v>39257548000</v>
      </c>
      <c r="BF1677" s="846">
        <f t="shared" si="290"/>
        <v>0.58810199491088611</v>
      </c>
      <c r="BG1677" s="117">
        <f>VLOOKUP($D1677,'WB Data'!$C$3:$M$578,5,FALSE)</f>
        <v>-255920000</v>
      </c>
      <c r="BH1677" s="129">
        <f>IFERROR($BB1677/$BG1677,"..")</f>
        <v>-17.029335934168767</v>
      </c>
      <c r="BI1677" s="117">
        <f>IFERROR(VLOOKUP($D1677,'WB Data'!$C$3:$M$578,7,FALSE)/100,"..")</f>
        <v>2.6887599999999998E-2</v>
      </c>
      <c r="BJ1677" s="117">
        <f>IFERROR($BI1677*$AW1677,"..")</f>
        <v>3993421932.2773547</v>
      </c>
      <c r="BK1677" s="846">
        <f>IFERROR($BB1677/$BJ1677,"..")</f>
        <v>1.0913316264047064</v>
      </c>
      <c r="BL1677" s="117">
        <f>IFERROR(VLOOKUP($D1677,'WB Data'!$C$3:$M$578,7,FALSE)/100,"..")</f>
        <v>2.6887599999999998E-2</v>
      </c>
      <c r="BM1677" s="117">
        <f>IFERROR($AW1677*$BL1677,"..")</f>
        <v>3993421932.2773547</v>
      </c>
      <c r="BN1677" s="846">
        <f>IFERROR($BB1677/$BM1677,"..")</f>
        <v>1.0913316264047064</v>
      </c>
      <c r="BO1677" s="801">
        <f t="shared" si="286"/>
        <v>38</v>
      </c>
      <c r="BP1677" s="117">
        <f>VLOOKUP($D1677,'WB Data'!$C$3:$M$578,9,FALSE)</f>
        <v>30.8</v>
      </c>
      <c r="BQ1677" s="117">
        <f>VLOOKUP($D1677,'WB Data'!$C$3:$M$578,10,FALSE)</f>
        <v>73.905097560975619</v>
      </c>
      <c r="BR1677" s="117">
        <f>VLOOKUP($D1677,'WB Data'!$C$3:$M$578,11,FALSE)</f>
        <v>15.2</v>
      </c>
      <c r="BS1677" s="129">
        <f>IFERROR(VLOOKUP($D1677,'WB Data 2'!$C$2:$K$545,9,FALSE),"..")</f>
        <v>97.373459999999994</v>
      </c>
      <c r="BT1677" s="129">
        <f>_xlfn.IFNA(VLOOKUP($C1677,RGI!$A$2:$C$43,2,FALSE),"..")</f>
        <v>76.8</v>
      </c>
      <c r="BU1677" s="129">
        <f>_xlfn.IFNA(VLOOKUP($C1677,RGI!$A$2:$C$43,3,FALSE),"..")</f>
        <v>72.816147461462435</v>
      </c>
      <c r="BV1677" s="129">
        <f>VLOOKUP($D1677,WGI!$C$2:$O$478,7,FALSE)</f>
        <v>6.6403653760441994E-2</v>
      </c>
      <c r="BW1677" s="129">
        <f>VLOOKUP($D1677,WGI!$C$2:$O$478,4,FALSE)</f>
        <v>-0.97688567284337502</v>
      </c>
      <c r="BX1677" s="129">
        <f>VLOOKUP($D1677,WGI!$C$2:$O$478,3,FALSE)</f>
        <v>-0.203136729362278</v>
      </c>
      <c r="BY1677" s="129">
        <f>VLOOKUP($D1677,WGI!$C$2:$O$478,5,FALSE)</f>
        <v>0.460708707951485</v>
      </c>
      <c r="BZ1677" s="129">
        <f>VLOOKUP($D1677,WGI!$C$2:$O$478,2,FALSE)</f>
        <v>-0.25042827669247397</v>
      </c>
      <c r="CB1677" s="129"/>
    </row>
    <row r="1678" spans="1:80" s="120" customFormat="1" ht="15" customHeight="1">
      <c r="A1678" s="294" t="s">
        <v>458</v>
      </c>
      <c r="B1678" s="117">
        <v>2010</v>
      </c>
      <c r="C1678" s="117" t="s">
        <v>449</v>
      </c>
      <c r="D1678" s="117" t="s">
        <v>3677</v>
      </c>
      <c r="E1678" s="452" t="s">
        <v>220</v>
      </c>
      <c r="F1678" s="117"/>
      <c r="G1678" s="120" t="s">
        <v>24</v>
      </c>
      <c r="H1678" s="117" t="str">
        <f t="shared" si="281"/>
        <v>yes</v>
      </c>
      <c r="I1678" s="117" t="str">
        <f t="shared" si="283"/>
        <v>no</v>
      </c>
      <c r="J1678" s="117" t="str">
        <f t="shared" si="284"/>
        <v>no</v>
      </c>
      <c r="K1678" s="117" t="s">
        <v>2096</v>
      </c>
      <c r="L1678" s="117" t="str">
        <f t="shared" si="282"/>
        <v>detailed</v>
      </c>
      <c r="M1678" s="117" t="str">
        <f t="shared" si="285"/>
        <v>detailed Mining</v>
      </c>
      <c r="N1678" s="118"/>
      <c r="O1678" s="118"/>
      <c r="P1678" s="118"/>
      <c r="Q1678" s="118"/>
      <c r="R1678" s="118"/>
      <c r="S1678" s="117"/>
      <c r="T1678" s="119"/>
      <c r="U1678" s="117"/>
      <c r="V1678" s="117"/>
      <c r="W1678" s="89"/>
      <c r="X1678" s="117"/>
      <c r="AA1678" s="89"/>
      <c r="AB1678" s="89"/>
      <c r="AC1678" s="240"/>
      <c r="AD1678" s="240"/>
      <c r="AE1678" s="240"/>
      <c r="AF1678" s="241"/>
      <c r="AH1678" s="124"/>
      <c r="AI1678" s="117"/>
      <c r="AJ1678" s="117"/>
      <c r="AK1678" s="89"/>
      <c r="AL1678" s="117"/>
      <c r="AM1678" s="117"/>
      <c r="AN1678" s="117"/>
      <c r="AO1678" s="117"/>
      <c r="AP1678" s="117"/>
      <c r="AQ1678" s="117"/>
      <c r="AR1678" s="117"/>
      <c r="AS1678" s="117"/>
      <c r="AT1678" s="117"/>
      <c r="AU1678" s="117"/>
      <c r="AV1678" s="128"/>
      <c r="AW1678" s="117">
        <f>VLOOKUP($D1678,'WB Data'!$C$3:$M$578,2,FALSE)</f>
        <v>148522810971.50192</v>
      </c>
      <c r="AX1678" s="117">
        <f>VLOOKUP($D1678,'WB Data'!$C$3:$M$578,3,FALSE)</f>
        <v>29262830</v>
      </c>
      <c r="AY1678" s="847">
        <f t="shared" si="287"/>
        <v>2.9343288238119179E-2</v>
      </c>
      <c r="AZ1678" s="117">
        <f>VLOOKUP($D1678,'WB Data'!$C$3:$M$578,4,FALSE)/100</f>
        <v>0.20145402042179156</v>
      </c>
      <c r="BA1678" s="117">
        <f t="shared" si="288"/>
        <v>29920517394.554836</v>
      </c>
      <c r="BB1678" s="129">
        <f>IFERROR(VLOOKUP($D1678,'EITI Revenues'!$C$2:$G$224,5,FALSE),"..")</f>
        <v>4358147652.2724705</v>
      </c>
      <c r="BC1678" s="846">
        <f t="shared" si="289"/>
        <v>0.14565749631941857</v>
      </c>
      <c r="BD1678" s="129">
        <f>VLOOKUP($D1678,'WB Data 2'!$C$2:$K$545,6,FALSE)</f>
        <v>23087442294.109867</v>
      </c>
      <c r="BE1678" s="129">
        <f>IFERROR(VLOOKUP($D1678,UNCTAD!$C$5:$V$529,4,FALSE),"..")</f>
        <v>39257548000</v>
      </c>
      <c r="BF1678" s="846">
        <f t="shared" si="290"/>
        <v>0.58810199491088611</v>
      </c>
      <c r="BG1678" s="117">
        <f>VLOOKUP($D1678,'WB Data'!$C$3:$M$578,5,FALSE)</f>
        <v>-255920000</v>
      </c>
      <c r="BH1678" s="129">
        <f>IFERROR($BB1678/$BG1678,"..")</f>
        <v>-17.029335934168767</v>
      </c>
      <c r="BI1678" s="117">
        <f>IFERROR(VLOOKUP($D1678,'WB Data'!$C$3:$M$578,7,FALSE)/100,"..")</f>
        <v>2.6887599999999998E-2</v>
      </c>
      <c r="BJ1678" s="117">
        <f>IFERROR($BI1678*$AW1678,"..")</f>
        <v>3993421932.2773547</v>
      </c>
      <c r="BK1678" s="846">
        <f>IFERROR($BB1678/$BJ1678,"..")</f>
        <v>1.0913316264047064</v>
      </c>
      <c r="BL1678" s="117">
        <f>IFERROR(VLOOKUP($D1678,'WB Data'!$C$3:$M$578,7,FALSE)/100,"..")</f>
        <v>2.6887599999999998E-2</v>
      </c>
      <c r="BM1678" s="117">
        <f>IFERROR($AW1678*$BL1678,"..")</f>
        <v>3993421932.2773547</v>
      </c>
      <c r="BN1678" s="846">
        <f>IFERROR($BB1678/$BM1678,"..")</f>
        <v>1.0913316264047064</v>
      </c>
      <c r="BO1678" s="801">
        <f t="shared" si="286"/>
        <v>38</v>
      </c>
      <c r="BP1678" s="117">
        <f>VLOOKUP($D1678,'WB Data'!$C$3:$M$578,9,FALSE)</f>
        <v>30.8</v>
      </c>
      <c r="BQ1678" s="117">
        <f>VLOOKUP($D1678,'WB Data'!$C$3:$M$578,10,FALSE)</f>
        <v>73.905097560975619</v>
      </c>
      <c r="BR1678" s="117">
        <f>VLOOKUP($D1678,'WB Data'!$C$3:$M$578,11,FALSE)</f>
        <v>15.2</v>
      </c>
      <c r="BS1678" s="129">
        <f>IFERROR(VLOOKUP($D1678,'WB Data 2'!$C$2:$K$545,9,FALSE),"..")</f>
        <v>97.373459999999994</v>
      </c>
      <c r="BT1678" s="129">
        <f>_xlfn.IFNA(VLOOKUP($C1678,RGI!$A$2:$C$43,2,FALSE),"..")</f>
        <v>76.8</v>
      </c>
      <c r="BU1678" s="129">
        <f>_xlfn.IFNA(VLOOKUP($C1678,RGI!$A$2:$C$43,3,FALSE),"..")</f>
        <v>72.816147461462435</v>
      </c>
      <c r="BV1678" s="129">
        <f>VLOOKUP($D1678,WGI!$C$2:$O$478,7,FALSE)</f>
        <v>6.6403653760441994E-2</v>
      </c>
      <c r="BW1678" s="129">
        <f>VLOOKUP($D1678,WGI!$C$2:$O$478,4,FALSE)</f>
        <v>-0.97688567284337502</v>
      </c>
      <c r="BX1678" s="129">
        <f>VLOOKUP($D1678,WGI!$C$2:$O$478,3,FALSE)</f>
        <v>-0.203136729362278</v>
      </c>
      <c r="BY1678" s="129">
        <f>VLOOKUP($D1678,WGI!$C$2:$O$478,5,FALSE)</f>
        <v>0.460708707951485</v>
      </c>
      <c r="BZ1678" s="129">
        <f>VLOOKUP($D1678,WGI!$C$2:$O$478,2,FALSE)</f>
        <v>-0.25042827669247397</v>
      </c>
      <c r="CB1678" s="129"/>
    </row>
    <row r="1679" spans="1:80" s="120" customFormat="1" ht="15" customHeight="1">
      <c r="A1679" s="294" t="s">
        <v>458</v>
      </c>
      <c r="B1679" s="117">
        <v>2010</v>
      </c>
      <c r="C1679" s="117" t="s">
        <v>449</v>
      </c>
      <c r="D1679" s="117" t="s">
        <v>3677</v>
      </c>
      <c r="E1679" s="452" t="s">
        <v>220</v>
      </c>
      <c r="F1679" s="117"/>
      <c r="G1679" s="120" t="s">
        <v>24</v>
      </c>
      <c r="H1679" s="117" t="str">
        <f t="shared" si="281"/>
        <v>yes</v>
      </c>
      <c r="I1679" s="117" t="str">
        <f t="shared" si="283"/>
        <v>no</v>
      </c>
      <c r="J1679" s="117" t="str">
        <f t="shared" si="284"/>
        <v>no</v>
      </c>
      <c r="K1679" s="117" t="s">
        <v>2097</v>
      </c>
      <c r="L1679" s="117" t="str">
        <f t="shared" si="282"/>
        <v>detailed</v>
      </c>
      <c r="M1679" s="117" t="str">
        <f t="shared" si="285"/>
        <v>detailed Mining</v>
      </c>
      <c r="N1679" s="118"/>
      <c r="O1679" s="118"/>
      <c r="P1679" s="118"/>
      <c r="Q1679" s="118"/>
      <c r="R1679" s="118"/>
      <c r="S1679" s="117"/>
      <c r="T1679" s="119"/>
      <c r="U1679" s="117"/>
      <c r="V1679" s="117"/>
      <c r="W1679" s="89"/>
      <c r="X1679" s="117"/>
      <c r="AA1679" s="89"/>
      <c r="AB1679" s="89"/>
      <c r="AC1679" s="240"/>
      <c r="AD1679" s="240"/>
      <c r="AE1679" s="240"/>
      <c r="AF1679" s="241"/>
      <c r="AH1679" s="124"/>
      <c r="AI1679" s="117"/>
      <c r="AJ1679" s="117"/>
      <c r="AK1679" s="89"/>
      <c r="AL1679" s="117"/>
      <c r="AM1679" s="117"/>
      <c r="AN1679" s="117"/>
      <c r="AO1679" s="117"/>
      <c r="AP1679" s="117"/>
      <c r="AQ1679" s="117"/>
      <c r="AR1679" s="117"/>
      <c r="AS1679" s="117"/>
      <c r="AT1679" s="117"/>
      <c r="AU1679" s="117"/>
      <c r="AV1679" s="128"/>
      <c r="AW1679" s="117">
        <f>VLOOKUP($D1679,'WB Data'!$C$3:$M$578,2,FALSE)</f>
        <v>148522810971.50192</v>
      </c>
      <c r="AX1679" s="117">
        <f>VLOOKUP($D1679,'WB Data'!$C$3:$M$578,3,FALSE)</f>
        <v>29262830</v>
      </c>
      <c r="AY1679" s="847">
        <f t="shared" si="287"/>
        <v>2.9343288238119179E-2</v>
      </c>
      <c r="AZ1679" s="117">
        <f>VLOOKUP($D1679,'WB Data'!$C$3:$M$578,4,FALSE)/100</f>
        <v>0.20145402042179156</v>
      </c>
      <c r="BA1679" s="117">
        <f t="shared" si="288"/>
        <v>29920517394.554836</v>
      </c>
      <c r="BB1679" s="129">
        <f>IFERROR(VLOOKUP($D1679,'EITI Revenues'!$C$2:$G$224,5,FALSE),"..")</f>
        <v>4358147652.2724705</v>
      </c>
      <c r="BC1679" s="846">
        <f t="shared" si="289"/>
        <v>0.14565749631941857</v>
      </c>
      <c r="BD1679" s="129">
        <f>VLOOKUP($D1679,'WB Data 2'!$C$2:$K$545,6,FALSE)</f>
        <v>23087442294.109867</v>
      </c>
      <c r="BE1679" s="129">
        <f>IFERROR(VLOOKUP($D1679,UNCTAD!$C$5:$V$529,4,FALSE),"..")</f>
        <v>39257548000</v>
      </c>
      <c r="BF1679" s="846">
        <f t="shared" si="290"/>
        <v>0.58810199491088611</v>
      </c>
      <c r="BG1679" s="117">
        <f>VLOOKUP($D1679,'WB Data'!$C$3:$M$578,5,FALSE)</f>
        <v>-255920000</v>
      </c>
      <c r="BH1679" s="129">
        <f>IFERROR($BB1679/$BG1679,"..")</f>
        <v>-17.029335934168767</v>
      </c>
      <c r="BI1679" s="117">
        <f>IFERROR(VLOOKUP($D1679,'WB Data'!$C$3:$M$578,7,FALSE)/100,"..")</f>
        <v>2.6887599999999998E-2</v>
      </c>
      <c r="BJ1679" s="117">
        <f>IFERROR($BI1679*$AW1679,"..")</f>
        <v>3993421932.2773547</v>
      </c>
      <c r="BK1679" s="846">
        <f>IFERROR($BB1679/$BJ1679,"..")</f>
        <v>1.0913316264047064</v>
      </c>
      <c r="BL1679" s="117">
        <f>IFERROR(VLOOKUP($D1679,'WB Data'!$C$3:$M$578,7,FALSE)/100,"..")</f>
        <v>2.6887599999999998E-2</v>
      </c>
      <c r="BM1679" s="117">
        <f>IFERROR($AW1679*$BL1679,"..")</f>
        <v>3993421932.2773547</v>
      </c>
      <c r="BN1679" s="846">
        <f>IFERROR($BB1679/$BM1679,"..")</f>
        <v>1.0913316264047064</v>
      </c>
      <c r="BO1679" s="801">
        <f t="shared" si="286"/>
        <v>38</v>
      </c>
      <c r="BP1679" s="117">
        <f>VLOOKUP($D1679,'WB Data'!$C$3:$M$578,9,FALSE)</f>
        <v>30.8</v>
      </c>
      <c r="BQ1679" s="117">
        <f>VLOOKUP($D1679,'WB Data'!$C$3:$M$578,10,FALSE)</f>
        <v>73.905097560975619</v>
      </c>
      <c r="BR1679" s="117">
        <f>VLOOKUP($D1679,'WB Data'!$C$3:$M$578,11,FALSE)</f>
        <v>15.2</v>
      </c>
      <c r="BS1679" s="129">
        <f>IFERROR(VLOOKUP($D1679,'WB Data 2'!$C$2:$K$545,9,FALSE),"..")</f>
        <v>97.373459999999994</v>
      </c>
      <c r="BT1679" s="129">
        <f>_xlfn.IFNA(VLOOKUP($C1679,RGI!$A$2:$C$43,2,FALSE),"..")</f>
        <v>76.8</v>
      </c>
      <c r="BU1679" s="129">
        <f>_xlfn.IFNA(VLOOKUP($C1679,RGI!$A$2:$C$43,3,FALSE),"..")</f>
        <v>72.816147461462435</v>
      </c>
      <c r="BV1679" s="129">
        <f>VLOOKUP($D1679,WGI!$C$2:$O$478,7,FALSE)</f>
        <v>6.6403653760441994E-2</v>
      </c>
      <c r="BW1679" s="129">
        <f>VLOOKUP($D1679,WGI!$C$2:$O$478,4,FALSE)</f>
        <v>-0.97688567284337502</v>
      </c>
      <c r="BX1679" s="129">
        <f>VLOOKUP($D1679,WGI!$C$2:$O$478,3,FALSE)</f>
        <v>-0.203136729362278</v>
      </c>
      <c r="BY1679" s="129">
        <f>VLOOKUP($D1679,WGI!$C$2:$O$478,5,FALSE)</f>
        <v>0.460708707951485</v>
      </c>
      <c r="BZ1679" s="129">
        <f>VLOOKUP($D1679,WGI!$C$2:$O$478,2,FALSE)</f>
        <v>-0.25042827669247397</v>
      </c>
      <c r="CB1679" s="129"/>
    </row>
    <row r="1680" spans="1:80" s="120" customFormat="1" ht="15" customHeight="1">
      <c r="A1680" s="294" t="s">
        <v>458</v>
      </c>
      <c r="B1680" s="117">
        <v>2010</v>
      </c>
      <c r="C1680" s="117" t="s">
        <v>449</v>
      </c>
      <c r="D1680" s="117" t="s">
        <v>3677</v>
      </c>
      <c r="E1680" s="452" t="s">
        <v>220</v>
      </c>
      <c r="F1680" s="117"/>
      <c r="G1680" s="120" t="s">
        <v>24</v>
      </c>
      <c r="H1680" s="117" t="str">
        <f t="shared" si="281"/>
        <v>yes</v>
      </c>
      <c r="I1680" s="117" t="str">
        <f t="shared" si="283"/>
        <v>no</v>
      </c>
      <c r="J1680" s="117" t="str">
        <f t="shared" si="284"/>
        <v>no</v>
      </c>
      <c r="K1680" s="117" t="s">
        <v>784</v>
      </c>
      <c r="L1680" s="117" t="str">
        <f t="shared" si="282"/>
        <v>detailed</v>
      </c>
      <c r="M1680" s="117" t="str">
        <f t="shared" si="285"/>
        <v>detailed Mining</v>
      </c>
      <c r="N1680" s="118"/>
      <c r="O1680" s="118"/>
      <c r="P1680" s="118"/>
      <c r="Q1680" s="118"/>
      <c r="R1680" s="118"/>
      <c r="S1680" s="117"/>
      <c r="T1680" s="119"/>
      <c r="U1680" s="117"/>
      <c r="V1680" s="117"/>
      <c r="W1680" s="89"/>
      <c r="X1680" s="117"/>
      <c r="AA1680" s="89"/>
      <c r="AB1680" s="89"/>
      <c r="AC1680" s="240"/>
      <c r="AD1680" s="240"/>
      <c r="AE1680" s="240"/>
      <c r="AF1680" s="241"/>
      <c r="AH1680" s="124"/>
      <c r="AI1680" s="117"/>
      <c r="AJ1680" s="117"/>
      <c r="AK1680" s="89"/>
      <c r="AL1680" s="117"/>
      <c r="AM1680" s="117"/>
      <c r="AN1680" s="117"/>
      <c r="AO1680" s="117"/>
      <c r="AP1680" s="117"/>
      <c r="AQ1680" s="117"/>
      <c r="AR1680" s="117"/>
      <c r="AS1680" s="117"/>
      <c r="AT1680" s="117"/>
      <c r="AU1680" s="117"/>
      <c r="AV1680" s="128"/>
      <c r="AW1680" s="117">
        <f>VLOOKUP($D1680,'WB Data'!$C$3:$M$578,2,FALSE)</f>
        <v>148522810971.50192</v>
      </c>
      <c r="AX1680" s="117">
        <f>VLOOKUP($D1680,'WB Data'!$C$3:$M$578,3,FALSE)</f>
        <v>29262830</v>
      </c>
      <c r="AY1680" s="847">
        <f t="shared" si="287"/>
        <v>2.9343288238119179E-2</v>
      </c>
      <c r="AZ1680" s="117">
        <f>VLOOKUP($D1680,'WB Data'!$C$3:$M$578,4,FALSE)/100</f>
        <v>0.20145402042179156</v>
      </c>
      <c r="BA1680" s="117">
        <f t="shared" si="288"/>
        <v>29920517394.554836</v>
      </c>
      <c r="BB1680" s="129">
        <f>IFERROR(VLOOKUP($D1680,'EITI Revenues'!$C$2:$G$224,5,FALSE),"..")</f>
        <v>4358147652.2724705</v>
      </c>
      <c r="BC1680" s="846">
        <f t="shared" si="289"/>
        <v>0.14565749631941857</v>
      </c>
      <c r="BD1680" s="129">
        <f>VLOOKUP($D1680,'WB Data 2'!$C$2:$K$545,6,FALSE)</f>
        <v>23087442294.109867</v>
      </c>
      <c r="BE1680" s="129">
        <f>IFERROR(VLOOKUP($D1680,UNCTAD!$C$5:$V$529,4,FALSE),"..")</f>
        <v>39257548000</v>
      </c>
      <c r="BF1680" s="846">
        <f t="shared" si="290"/>
        <v>0.58810199491088611</v>
      </c>
      <c r="BG1680" s="117">
        <f>VLOOKUP($D1680,'WB Data'!$C$3:$M$578,5,FALSE)</f>
        <v>-255920000</v>
      </c>
      <c r="BH1680" s="129">
        <f>IFERROR($BB1680/$BG1680,"..")</f>
        <v>-17.029335934168767</v>
      </c>
      <c r="BI1680" s="117">
        <f>IFERROR(VLOOKUP($D1680,'WB Data'!$C$3:$M$578,7,FALSE)/100,"..")</f>
        <v>2.6887599999999998E-2</v>
      </c>
      <c r="BJ1680" s="117">
        <f>IFERROR($BI1680*$AW1680,"..")</f>
        <v>3993421932.2773547</v>
      </c>
      <c r="BK1680" s="846">
        <f>IFERROR($BB1680/$BJ1680,"..")</f>
        <v>1.0913316264047064</v>
      </c>
      <c r="BL1680" s="117">
        <f>IFERROR(VLOOKUP($D1680,'WB Data'!$C$3:$M$578,7,FALSE)/100,"..")</f>
        <v>2.6887599999999998E-2</v>
      </c>
      <c r="BM1680" s="117">
        <f>IFERROR($AW1680*$BL1680,"..")</f>
        <v>3993421932.2773547</v>
      </c>
      <c r="BN1680" s="846">
        <f>IFERROR($BB1680/$BM1680,"..")</f>
        <v>1.0913316264047064</v>
      </c>
      <c r="BO1680" s="801">
        <f t="shared" si="286"/>
        <v>38</v>
      </c>
      <c r="BP1680" s="117">
        <f>VLOOKUP($D1680,'WB Data'!$C$3:$M$578,9,FALSE)</f>
        <v>30.8</v>
      </c>
      <c r="BQ1680" s="117">
        <f>VLOOKUP($D1680,'WB Data'!$C$3:$M$578,10,FALSE)</f>
        <v>73.905097560975619</v>
      </c>
      <c r="BR1680" s="117">
        <f>VLOOKUP($D1680,'WB Data'!$C$3:$M$578,11,FALSE)</f>
        <v>15.2</v>
      </c>
      <c r="BS1680" s="129">
        <f>IFERROR(VLOOKUP($D1680,'WB Data 2'!$C$2:$K$545,9,FALSE),"..")</f>
        <v>97.373459999999994</v>
      </c>
      <c r="BT1680" s="129">
        <f>_xlfn.IFNA(VLOOKUP($C1680,RGI!$A$2:$C$43,2,FALSE),"..")</f>
        <v>76.8</v>
      </c>
      <c r="BU1680" s="129">
        <f>_xlfn.IFNA(VLOOKUP($C1680,RGI!$A$2:$C$43,3,FALSE),"..")</f>
        <v>72.816147461462435</v>
      </c>
      <c r="BV1680" s="129">
        <f>VLOOKUP($D1680,WGI!$C$2:$O$478,7,FALSE)</f>
        <v>6.6403653760441994E-2</v>
      </c>
      <c r="BW1680" s="129">
        <f>VLOOKUP($D1680,WGI!$C$2:$O$478,4,FALSE)</f>
        <v>-0.97688567284337502</v>
      </c>
      <c r="BX1680" s="129">
        <f>VLOOKUP($D1680,WGI!$C$2:$O$478,3,FALSE)</f>
        <v>-0.203136729362278</v>
      </c>
      <c r="BY1680" s="129">
        <f>VLOOKUP($D1680,WGI!$C$2:$O$478,5,FALSE)</f>
        <v>0.460708707951485</v>
      </c>
      <c r="BZ1680" s="129">
        <f>VLOOKUP($D1680,WGI!$C$2:$O$478,2,FALSE)</f>
        <v>-0.25042827669247397</v>
      </c>
      <c r="CB1680" s="129"/>
    </row>
    <row r="1681" spans="1:80" s="120" customFormat="1" ht="15" customHeight="1">
      <c r="A1681" s="294" t="s">
        <v>458</v>
      </c>
      <c r="B1681" s="117">
        <v>2010</v>
      </c>
      <c r="C1681" s="117" t="s">
        <v>449</v>
      </c>
      <c r="D1681" s="117" t="s">
        <v>3677</v>
      </c>
      <c r="E1681" s="452" t="s">
        <v>220</v>
      </c>
      <c r="F1681" s="117"/>
      <c r="G1681" s="120" t="s">
        <v>24</v>
      </c>
      <c r="H1681" s="117" t="str">
        <f t="shared" si="281"/>
        <v>yes</v>
      </c>
      <c r="I1681" s="117" t="str">
        <f t="shared" si="283"/>
        <v>no</v>
      </c>
      <c r="J1681" s="117" t="str">
        <f t="shared" si="284"/>
        <v>no</v>
      </c>
      <c r="K1681" s="117" t="s">
        <v>955</v>
      </c>
      <c r="L1681" s="117" t="str">
        <f t="shared" si="282"/>
        <v>detailed</v>
      </c>
      <c r="M1681" s="117" t="str">
        <f t="shared" si="285"/>
        <v>detailed Mining</v>
      </c>
      <c r="N1681" s="118"/>
      <c r="O1681" s="118"/>
      <c r="P1681" s="118"/>
      <c r="Q1681" s="118"/>
      <c r="R1681" s="118"/>
      <c r="S1681" s="117"/>
      <c r="T1681" s="119"/>
      <c r="U1681" s="117"/>
      <c r="V1681" s="117"/>
      <c r="W1681" s="89"/>
      <c r="X1681" s="117"/>
      <c r="Y1681" s="492"/>
      <c r="Z1681" s="492"/>
      <c r="AA1681" s="89"/>
      <c r="AB1681" s="89"/>
      <c r="AC1681" s="240"/>
      <c r="AD1681" s="240"/>
      <c r="AE1681" s="240"/>
      <c r="AF1681" s="241"/>
      <c r="AG1681" s="89"/>
      <c r="AH1681" s="124"/>
      <c r="AI1681" s="117"/>
      <c r="AJ1681" s="117"/>
      <c r="AK1681" s="89"/>
      <c r="AL1681" s="117"/>
      <c r="AM1681" s="117"/>
      <c r="AN1681" s="117"/>
      <c r="AO1681" s="117"/>
      <c r="AP1681" s="117"/>
      <c r="AQ1681" s="117"/>
      <c r="AR1681" s="117"/>
      <c r="AS1681" s="117"/>
      <c r="AT1681" s="117"/>
      <c r="AU1681" s="117"/>
      <c r="AV1681" s="128"/>
      <c r="AW1681" s="117">
        <f>VLOOKUP($D1681,'WB Data'!$C$3:$M$578,2,FALSE)</f>
        <v>148522810971.50192</v>
      </c>
      <c r="AX1681" s="117">
        <f>VLOOKUP($D1681,'WB Data'!$C$3:$M$578,3,FALSE)</f>
        <v>29262830</v>
      </c>
      <c r="AY1681" s="847">
        <f t="shared" si="287"/>
        <v>2.9343288238119179E-2</v>
      </c>
      <c r="AZ1681" s="117">
        <f>VLOOKUP($D1681,'WB Data'!$C$3:$M$578,4,FALSE)/100</f>
        <v>0.20145402042179156</v>
      </c>
      <c r="BA1681" s="117">
        <f t="shared" si="288"/>
        <v>29920517394.554836</v>
      </c>
      <c r="BB1681" s="129">
        <f>IFERROR(VLOOKUP($D1681,'EITI Revenues'!$C$2:$G$224,5,FALSE),"..")</f>
        <v>4358147652.2724705</v>
      </c>
      <c r="BC1681" s="846">
        <f t="shared" si="289"/>
        <v>0.14565749631941857</v>
      </c>
      <c r="BD1681" s="129">
        <f>VLOOKUP($D1681,'WB Data 2'!$C$2:$K$545,6,FALSE)</f>
        <v>23087442294.109867</v>
      </c>
      <c r="BE1681" s="129">
        <f>IFERROR(VLOOKUP($D1681,UNCTAD!$C$5:$V$529,4,FALSE),"..")</f>
        <v>39257548000</v>
      </c>
      <c r="BF1681" s="846">
        <f t="shared" si="290"/>
        <v>0.58810199491088611</v>
      </c>
      <c r="BG1681" s="117">
        <f>VLOOKUP($D1681,'WB Data'!$C$3:$M$578,5,FALSE)</f>
        <v>-255920000</v>
      </c>
      <c r="BH1681" s="129">
        <f>IFERROR($BB1681/$BG1681,"..")</f>
        <v>-17.029335934168767</v>
      </c>
      <c r="BI1681" s="117">
        <f>IFERROR(VLOOKUP($D1681,'WB Data'!$C$3:$M$578,7,FALSE)/100,"..")</f>
        <v>2.6887599999999998E-2</v>
      </c>
      <c r="BJ1681" s="117">
        <f>IFERROR($BI1681*$AW1681,"..")</f>
        <v>3993421932.2773547</v>
      </c>
      <c r="BK1681" s="846">
        <f>IFERROR($BB1681/$BJ1681,"..")</f>
        <v>1.0913316264047064</v>
      </c>
      <c r="BL1681" s="117">
        <f>IFERROR(VLOOKUP($D1681,'WB Data'!$C$3:$M$578,7,FALSE)/100,"..")</f>
        <v>2.6887599999999998E-2</v>
      </c>
      <c r="BM1681" s="117">
        <f>IFERROR($AW1681*$BL1681,"..")</f>
        <v>3993421932.2773547</v>
      </c>
      <c r="BN1681" s="846">
        <f>IFERROR($BB1681/$BM1681,"..")</f>
        <v>1.0913316264047064</v>
      </c>
      <c r="BO1681" s="801">
        <f t="shared" si="286"/>
        <v>38</v>
      </c>
      <c r="BP1681" s="117">
        <f>VLOOKUP($D1681,'WB Data'!$C$3:$M$578,9,FALSE)</f>
        <v>30.8</v>
      </c>
      <c r="BQ1681" s="117">
        <f>VLOOKUP($D1681,'WB Data'!$C$3:$M$578,10,FALSE)</f>
        <v>73.905097560975619</v>
      </c>
      <c r="BR1681" s="117">
        <f>VLOOKUP($D1681,'WB Data'!$C$3:$M$578,11,FALSE)</f>
        <v>15.2</v>
      </c>
      <c r="BS1681" s="129">
        <f>IFERROR(VLOOKUP($D1681,'WB Data 2'!$C$2:$K$545,9,FALSE),"..")</f>
        <v>97.373459999999994</v>
      </c>
      <c r="BT1681" s="129">
        <f>_xlfn.IFNA(VLOOKUP($C1681,RGI!$A$2:$C$43,2,FALSE),"..")</f>
        <v>76.8</v>
      </c>
      <c r="BU1681" s="129">
        <f>_xlfn.IFNA(VLOOKUP($C1681,RGI!$A$2:$C$43,3,FALSE),"..")</f>
        <v>72.816147461462435</v>
      </c>
      <c r="BV1681" s="129">
        <f>VLOOKUP($D1681,WGI!$C$2:$O$478,7,FALSE)</f>
        <v>6.6403653760441994E-2</v>
      </c>
      <c r="BW1681" s="129">
        <f>VLOOKUP($D1681,WGI!$C$2:$O$478,4,FALSE)</f>
        <v>-0.97688567284337502</v>
      </c>
      <c r="BX1681" s="129">
        <f>VLOOKUP($D1681,WGI!$C$2:$O$478,3,FALSE)</f>
        <v>-0.203136729362278</v>
      </c>
      <c r="BY1681" s="129">
        <f>VLOOKUP($D1681,WGI!$C$2:$O$478,5,FALSE)</f>
        <v>0.460708707951485</v>
      </c>
      <c r="BZ1681" s="129">
        <f>VLOOKUP($D1681,WGI!$C$2:$O$478,2,FALSE)</f>
        <v>-0.25042827669247397</v>
      </c>
      <c r="CB1681" s="129"/>
    </row>
    <row r="1682" spans="1:80" s="120" customFormat="1" ht="15" customHeight="1">
      <c r="A1682" s="294" t="s">
        <v>458</v>
      </c>
      <c r="B1682" s="117">
        <v>2010</v>
      </c>
      <c r="C1682" s="117" t="s">
        <v>449</v>
      </c>
      <c r="D1682" s="117" t="s">
        <v>3677</v>
      </c>
      <c r="E1682" s="452" t="s">
        <v>220</v>
      </c>
      <c r="F1682" s="117"/>
      <c r="G1682" s="120" t="s">
        <v>24</v>
      </c>
      <c r="H1682" s="117" t="str">
        <f t="shared" si="281"/>
        <v>yes</v>
      </c>
      <c r="I1682" s="117" t="str">
        <f t="shared" si="283"/>
        <v>no</v>
      </c>
      <c r="J1682" s="117" t="str">
        <f t="shared" si="284"/>
        <v>no</v>
      </c>
      <c r="K1682" s="117" t="s">
        <v>1226</v>
      </c>
      <c r="L1682" s="117" t="str">
        <f t="shared" si="282"/>
        <v>detailed</v>
      </c>
      <c r="M1682" s="117" t="str">
        <f t="shared" si="285"/>
        <v>detailed Mining</v>
      </c>
      <c r="N1682" s="118"/>
      <c r="O1682" s="118"/>
      <c r="P1682" s="118"/>
      <c r="Q1682" s="118"/>
      <c r="R1682" s="118"/>
      <c r="S1682" s="117"/>
      <c r="T1682" s="119"/>
      <c r="U1682" s="117"/>
      <c r="V1682" s="117"/>
      <c r="W1682" s="89"/>
      <c r="X1682" s="117"/>
      <c r="Y1682" s="492"/>
      <c r="Z1682" s="492"/>
      <c r="AA1682" s="89"/>
      <c r="AB1682" s="89"/>
      <c r="AC1682" s="240"/>
      <c r="AD1682" s="240"/>
      <c r="AE1682" s="240"/>
      <c r="AF1682" s="241"/>
      <c r="AG1682" s="89"/>
      <c r="AH1682" s="124"/>
      <c r="AI1682" s="117"/>
      <c r="AJ1682" s="117"/>
      <c r="AK1682" s="89"/>
      <c r="AL1682" s="117"/>
      <c r="AM1682" s="117"/>
      <c r="AN1682" s="117"/>
      <c r="AO1682" s="117"/>
      <c r="AP1682" s="117"/>
      <c r="AQ1682" s="117"/>
      <c r="AR1682" s="117"/>
      <c r="AS1682" s="117"/>
      <c r="AT1682" s="117"/>
      <c r="AU1682" s="117"/>
      <c r="AV1682" s="128"/>
      <c r="AW1682" s="117">
        <f>VLOOKUP($D1682,'WB Data'!$C$3:$M$578,2,FALSE)</f>
        <v>148522810971.50192</v>
      </c>
      <c r="AX1682" s="117">
        <f>VLOOKUP($D1682,'WB Data'!$C$3:$M$578,3,FALSE)</f>
        <v>29262830</v>
      </c>
      <c r="AY1682" s="847">
        <f t="shared" si="287"/>
        <v>2.9343288238119179E-2</v>
      </c>
      <c r="AZ1682" s="117">
        <f>VLOOKUP($D1682,'WB Data'!$C$3:$M$578,4,FALSE)/100</f>
        <v>0.20145402042179156</v>
      </c>
      <c r="BA1682" s="117">
        <f t="shared" si="288"/>
        <v>29920517394.554836</v>
      </c>
      <c r="BB1682" s="129">
        <f>IFERROR(VLOOKUP($D1682,'EITI Revenues'!$C$2:$G$224,5,FALSE),"..")</f>
        <v>4358147652.2724705</v>
      </c>
      <c r="BC1682" s="846">
        <f t="shared" si="289"/>
        <v>0.14565749631941857</v>
      </c>
      <c r="BD1682" s="129">
        <f>VLOOKUP($D1682,'WB Data 2'!$C$2:$K$545,6,FALSE)</f>
        <v>23087442294.109867</v>
      </c>
      <c r="BE1682" s="129">
        <f>IFERROR(VLOOKUP($D1682,UNCTAD!$C$5:$V$529,4,FALSE),"..")</f>
        <v>39257548000</v>
      </c>
      <c r="BF1682" s="846">
        <f t="shared" si="290"/>
        <v>0.58810199491088611</v>
      </c>
      <c r="BG1682" s="117">
        <f>VLOOKUP($D1682,'WB Data'!$C$3:$M$578,5,FALSE)</f>
        <v>-255920000</v>
      </c>
      <c r="BH1682" s="129">
        <f>IFERROR($BB1682/$BG1682,"..")</f>
        <v>-17.029335934168767</v>
      </c>
      <c r="BI1682" s="117">
        <f>IFERROR(VLOOKUP($D1682,'WB Data'!$C$3:$M$578,7,FALSE)/100,"..")</f>
        <v>2.6887599999999998E-2</v>
      </c>
      <c r="BJ1682" s="117">
        <f>IFERROR($BI1682*$AW1682,"..")</f>
        <v>3993421932.2773547</v>
      </c>
      <c r="BK1682" s="846">
        <f>IFERROR($BB1682/$BJ1682,"..")</f>
        <v>1.0913316264047064</v>
      </c>
      <c r="BL1682" s="117">
        <f>IFERROR(VLOOKUP($D1682,'WB Data'!$C$3:$M$578,7,FALSE)/100,"..")</f>
        <v>2.6887599999999998E-2</v>
      </c>
      <c r="BM1682" s="117">
        <f>IFERROR($AW1682*$BL1682,"..")</f>
        <v>3993421932.2773547</v>
      </c>
      <c r="BN1682" s="846">
        <f>IFERROR($BB1682/$BM1682,"..")</f>
        <v>1.0913316264047064</v>
      </c>
      <c r="BO1682" s="801">
        <f t="shared" si="286"/>
        <v>38</v>
      </c>
      <c r="BP1682" s="117">
        <f>VLOOKUP($D1682,'WB Data'!$C$3:$M$578,9,FALSE)</f>
        <v>30.8</v>
      </c>
      <c r="BQ1682" s="117">
        <f>VLOOKUP($D1682,'WB Data'!$C$3:$M$578,10,FALSE)</f>
        <v>73.905097560975619</v>
      </c>
      <c r="BR1682" s="117">
        <f>VLOOKUP($D1682,'WB Data'!$C$3:$M$578,11,FALSE)</f>
        <v>15.2</v>
      </c>
      <c r="BS1682" s="129">
        <f>IFERROR(VLOOKUP($D1682,'WB Data 2'!$C$2:$K$545,9,FALSE),"..")</f>
        <v>97.373459999999994</v>
      </c>
      <c r="BT1682" s="129">
        <f>_xlfn.IFNA(VLOOKUP($C1682,RGI!$A$2:$C$43,2,FALSE),"..")</f>
        <v>76.8</v>
      </c>
      <c r="BU1682" s="129">
        <f>_xlfn.IFNA(VLOOKUP($C1682,RGI!$A$2:$C$43,3,FALSE),"..")</f>
        <v>72.816147461462435</v>
      </c>
      <c r="BV1682" s="129">
        <f>VLOOKUP($D1682,WGI!$C$2:$O$478,7,FALSE)</f>
        <v>6.6403653760441994E-2</v>
      </c>
      <c r="BW1682" s="129">
        <f>VLOOKUP($D1682,WGI!$C$2:$O$478,4,FALSE)</f>
        <v>-0.97688567284337502</v>
      </c>
      <c r="BX1682" s="129">
        <f>VLOOKUP($D1682,WGI!$C$2:$O$478,3,FALSE)</f>
        <v>-0.203136729362278</v>
      </c>
      <c r="BY1682" s="129">
        <f>VLOOKUP($D1682,WGI!$C$2:$O$478,5,FALSE)</f>
        <v>0.460708707951485</v>
      </c>
      <c r="BZ1682" s="129">
        <f>VLOOKUP($D1682,WGI!$C$2:$O$478,2,FALSE)</f>
        <v>-0.25042827669247397</v>
      </c>
      <c r="CB1682" s="129"/>
    </row>
    <row r="1683" spans="1:80" s="120" customFormat="1" ht="15" customHeight="1">
      <c r="A1683" s="294" t="s">
        <v>458</v>
      </c>
      <c r="B1683" s="117">
        <v>2010</v>
      </c>
      <c r="C1683" s="117" t="s">
        <v>449</v>
      </c>
      <c r="D1683" s="117" t="s">
        <v>3677</v>
      </c>
      <c r="E1683" s="452" t="s">
        <v>220</v>
      </c>
      <c r="F1683" s="117"/>
      <c r="G1683" s="120" t="s">
        <v>24</v>
      </c>
      <c r="H1683" s="117" t="str">
        <f t="shared" si="281"/>
        <v>yes</v>
      </c>
      <c r="I1683" s="117" t="str">
        <f t="shared" si="283"/>
        <v>no</v>
      </c>
      <c r="J1683" s="117" t="str">
        <f t="shared" si="284"/>
        <v>no</v>
      </c>
      <c r="K1683" s="117" t="s">
        <v>2037</v>
      </c>
      <c r="L1683" s="117" t="str">
        <f t="shared" si="282"/>
        <v>detailed</v>
      </c>
      <c r="M1683" s="117" t="str">
        <f t="shared" si="285"/>
        <v>detailed Mining</v>
      </c>
      <c r="N1683" s="118"/>
      <c r="O1683" s="118"/>
      <c r="P1683" s="118"/>
      <c r="Q1683" s="118"/>
      <c r="R1683" s="118"/>
      <c r="S1683" s="117"/>
      <c r="T1683" s="119"/>
      <c r="U1683" s="117"/>
      <c r="V1683" s="117"/>
      <c r="W1683" s="89"/>
      <c r="X1683" s="117"/>
      <c r="Y1683" s="492"/>
      <c r="Z1683" s="492"/>
      <c r="AA1683" s="89"/>
      <c r="AB1683" s="89"/>
      <c r="AC1683" s="240"/>
      <c r="AD1683" s="240"/>
      <c r="AE1683" s="240"/>
      <c r="AF1683" s="241"/>
      <c r="AG1683" s="89"/>
      <c r="AH1683" s="124"/>
      <c r="AI1683" s="117"/>
      <c r="AJ1683" s="117"/>
      <c r="AK1683" s="89"/>
      <c r="AL1683" s="117"/>
      <c r="AM1683" s="117"/>
      <c r="AN1683" s="117"/>
      <c r="AO1683" s="117"/>
      <c r="AP1683" s="117"/>
      <c r="AQ1683" s="117"/>
      <c r="AR1683" s="117"/>
      <c r="AS1683" s="117"/>
      <c r="AT1683" s="117"/>
      <c r="AU1683" s="117"/>
      <c r="AV1683" s="128"/>
      <c r="AW1683" s="117">
        <f>VLOOKUP($D1683,'WB Data'!$C$3:$M$578,2,FALSE)</f>
        <v>148522810971.50192</v>
      </c>
      <c r="AX1683" s="117">
        <f>VLOOKUP($D1683,'WB Data'!$C$3:$M$578,3,FALSE)</f>
        <v>29262830</v>
      </c>
      <c r="AY1683" s="847">
        <f t="shared" si="287"/>
        <v>2.9343288238119179E-2</v>
      </c>
      <c r="AZ1683" s="117">
        <f>VLOOKUP($D1683,'WB Data'!$C$3:$M$578,4,FALSE)/100</f>
        <v>0.20145402042179156</v>
      </c>
      <c r="BA1683" s="117">
        <f t="shared" si="288"/>
        <v>29920517394.554836</v>
      </c>
      <c r="BB1683" s="129">
        <f>IFERROR(VLOOKUP($D1683,'EITI Revenues'!$C$2:$G$224,5,FALSE),"..")</f>
        <v>4358147652.2724705</v>
      </c>
      <c r="BC1683" s="846">
        <f t="shared" si="289"/>
        <v>0.14565749631941857</v>
      </c>
      <c r="BD1683" s="129">
        <f>VLOOKUP($D1683,'WB Data 2'!$C$2:$K$545,6,FALSE)</f>
        <v>23087442294.109867</v>
      </c>
      <c r="BE1683" s="129">
        <f>IFERROR(VLOOKUP($D1683,UNCTAD!$C$5:$V$529,4,FALSE),"..")</f>
        <v>39257548000</v>
      </c>
      <c r="BF1683" s="846">
        <f t="shared" si="290"/>
        <v>0.58810199491088611</v>
      </c>
      <c r="BG1683" s="117">
        <f>VLOOKUP($D1683,'WB Data'!$C$3:$M$578,5,FALSE)</f>
        <v>-255920000</v>
      </c>
      <c r="BH1683" s="129">
        <f>IFERROR($BB1683/$BG1683,"..")</f>
        <v>-17.029335934168767</v>
      </c>
      <c r="BI1683" s="117">
        <f>IFERROR(VLOOKUP($D1683,'WB Data'!$C$3:$M$578,7,FALSE)/100,"..")</f>
        <v>2.6887599999999998E-2</v>
      </c>
      <c r="BJ1683" s="117">
        <f>IFERROR($BI1683*$AW1683,"..")</f>
        <v>3993421932.2773547</v>
      </c>
      <c r="BK1683" s="846">
        <f>IFERROR($BB1683/$BJ1683,"..")</f>
        <v>1.0913316264047064</v>
      </c>
      <c r="BL1683" s="117">
        <f>IFERROR(VLOOKUP($D1683,'WB Data'!$C$3:$M$578,7,FALSE)/100,"..")</f>
        <v>2.6887599999999998E-2</v>
      </c>
      <c r="BM1683" s="117">
        <f>IFERROR($AW1683*$BL1683,"..")</f>
        <v>3993421932.2773547</v>
      </c>
      <c r="BN1683" s="846">
        <f>IFERROR($BB1683/$BM1683,"..")</f>
        <v>1.0913316264047064</v>
      </c>
      <c r="BO1683" s="801">
        <f t="shared" si="286"/>
        <v>38</v>
      </c>
      <c r="BP1683" s="117">
        <f>VLOOKUP($D1683,'WB Data'!$C$3:$M$578,9,FALSE)</f>
        <v>30.8</v>
      </c>
      <c r="BQ1683" s="117">
        <f>VLOOKUP($D1683,'WB Data'!$C$3:$M$578,10,FALSE)</f>
        <v>73.905097560975619</v>
      </c>
      <c r="BR1683" s="117">
        <f>VLOOKUP($D1683,'WB Data'!$C$3:$M$578,11,FALSE)</f>
        <v>15.2</v>
      </c>
      <c r="BS1683" s="129">
        <f>IFERROR(VLOOKUP($D1683,'WB Data 2'!$C$2:$K$545,9,FALSE),"..")</f>
        <v>97.373459999999994</v>
      </c>
      <c r="BT1683" s="129">
        <f>_xlfn.IFNA(VLOOKUP($C1683,RGI!$A$2:$C$43,2,FALSE),"..")</f>
        <v>76.8</v>
      </c>
      <c r="BU1683" s="129">
        <f>_xlfn.IFNA(VLOOKUP($C1683,RGI!$A$2:$C$43,3,FALSE),"..")</f>
        <v>72.816147461462435</v>
      </c>
      <c r="BV1683" s="129">
        <f>VLOOKUP($D1683,WGI!$C$2:$O$478,7,FALSE)</f>
        <v>6.6403653760441994E-2</v>
      </c>
      <c r="BW1683" s="129">
        <f>VLOOKUP($D1683,WGI!$C$2:$O$478,4,FALSE)</f>
        <v>-0.97688567284337502</v>
      </c>
      <c r="BX1683" s="129">
        <f>VLOOKUP($D1683,WGI!$C$2:$O$478,3,FALSE)</f>
        <v>-0.203136729362278</v>
      </c>
      <c r="BY1683" s="129">
        <f>VLOOKUP($D1683,WGI!$C$2:$O$478,5,FALSE)</f>
        <v>0.460708707951485</v>
      </c>
      <c r="BZ1683" s="129">
        <f>VLOOKUP($D1683,WGI!$C$2:$O$478,2,FALSE)</f>
        <v>-0.25042827669247397</v>
      </c>
      <c r="CB1683" s="129"/>
    </row>
    <row r="1684" spans="1:80" s="120" customFormat="1" ht="15" customHeight="1">
      <c r="A1684" s="294" t="s">
        <v>458</v>
      </c>
      <c r="B1684" s="117">
        <v>2010</v>
      </c>
      <c r="C1684" s="117" t="s">
        <v>449</v>
      </c>
      <c r="D1684" s="117" t="s">
        <v>3677</v>
      </c>
      <c r="E1684" s="452" t="s">
        <v>220</v>
      </c>
      <c r="F1684" s="117"/>
      <c r="G1684" s="120" t="s">
        <v>24</v>
      </c>
      <c r="H1684" s="117" t="str">
        <f t="shared" si="281"/>
        <v>yes</v>
      </c>
      <c r="I1684" s="117" t="str">
        <f t="shared" si="283"/>
        <v>no</v>
      </c>
      <c r="J1684" s="117" t="str">
        <f t="shared" si="284"/>
        <v>no</v>
      </c>
      <c r="K1684" s="117" t="s">
        <v>1228</v>
      </c>
      <c r="L1684" s="117" t="str">
        <f t="shared" si="282"/>
        <v>detailed</v>
      </c>
      <c r="M1684" s="117" t="str">
        <f t="shared" si="285"/>
        <v>detailed Mining</v>
      </c>
      <c r="N1684" s="118"/>
      <c r="O1684" s="118"/>
      <c r="P1684" s="118"/>
      <c r="Q1684" s="118"/>
      <c r="R1684" s="118"/>
      <c r="S1684" s="117"/>
      <c r="T1684" s="119"/>
      <c r="U1684" s="117"/>
      <c r="V1684" s="117"/>
      <c r="W1684" s="89"/>
      <c r="X1684" s="117"/>
      <c r="Y1684" s="492"/>
      <c r="Z1684" s="492"/>
      <c r="AA1684" s="89"/>
      <c r="AB1684" s="89"/>
      <c r="AC1684" s="240"/>
      <c r="AD1684" s="240"/>
      <c r="AE1684" s="240"/>
      <c r="AF1684" s="241"/>
      <c r="AG1684" s="89"/>
      <c r="AH1684" s="124"/>
      <c r="AI1684" s="117"/>
      <c r="AJ1684" s="117"/>
      <c r="AK1684" s="89"/>
      <c r="AL1684" s="117"/>
      <c r="AM1684" s="117"/>
      <c r="AN1684" s="117"/>
      <c r="AO1684" s="117"/>
      <c r="AP1684" s="117"/>
      <c r="AQ1684" s="117"/>
      <c r="AR1684" s="117"/>
      <c r="AS1684" s="117"/>
      <c r="AT1684" s="117"/>
      <c r="AU1684" s="117"/>
      <c r="AV1684" s="128"/>
      <c r="AW1684" s="117">
        <f>VLOOKUP($D1684,'WB Data'!$C$3:$M$578,2,FALSE)</f>
        <v>148522810971.50192</v>
      </c>
      <c r="AX1684" s="117">
        <f>VLOOKUP($D1684,'WB Data'!$C$3:$M$578,3,FALSE)</f>
        <v>29262830</v>
      </c>
      <c r="AY1684" s="847">
        <f t="shared" si="287"/>
        <v>2.9343288238119179E-2</v>
      </c>
      <c r="AZ1684" s="117">
        <f>VLOOKUP($D1684,'WB Data'!$C$3:$M$578,4,FALSE)/100</f>
        <v>0.20145402042179156</v>
      </c>
      <c r="BA1684" s="117">
        <f t="shared" si="288"/>
        <v>29920517394.554836</v>
      </c>
      <c r="BB1684" s="129">
        <f>IFERROR(VLOOKUP($D1684,'EITI Revenues'!$C$2:$G$224,5,FALSE),"..")</f>
        <v>4358147652.2724705</v>
      </c>
      <c r="BC1684" s="846">
        <f t="shared" si="289"/>
        <v>0.14565749631941857</v>
      </c>
      <c r="BD1684" s="129">
        <f>VLOOKUP($D1684,'WB Data 2'!$C$2:$K$545,6,FALSE)</f>
        <v>23087442294.109867</v>
      </c>
      <c r="BE1684" s="129">
        <f>IFERROR(VLOOKUP($D1684,UNCTAD!$C$5:$V$529,4,FALSE),"..")</f>
        <v>39257548000</v>
      </c>
      <c r="BF1684" s="846">
        <f t="shared" si="290"/>
        <v>0.58810199491088611</v>
      </c>
      <c r="BG1684" s="117">
        <f>VLOOKUP($D1684,'WB Data'!$C$3:$M$578,5,FALSE)</f>
        <v>-255920000</v>
      </c>
      <c r="BH1684" s="129">
        <f>IFERROR($BB1684/$BG1684,"..")</f>
        <v>-17.029335934168767</v>
      </c>
      <c r="BI1684" s="117">
        <f>IFERROR(VLOOKUP($D1684,'WB Data'!$C$3:$M$578,7,FALSE)/100,"..")</f>
        <v>2.6887599999999998E-2</v>
      </c>
      <c r="BJ1684" s="117">
        <f>IFERROR($BI1684*$AW1684,"..")</f>
        <v>3993421932.2773547</v>
      </c>
      <c r="BK1684" s="846">
        <f>IFERROR($BB1684/$BJ1684,"..")</f>
        <v>1.0913316264047064</v>
      </c>
      <c r="BL1684" s="117">
        <f>IFERROR(VLOOKUP($D1684,'WB Data'!$C$3:$M$578,7,FALSE)/100,"..")</f>
        <v>2.6887599999999998E-2</v>
      </c>
      <c r="BM1684" s="117">
        <f>IFERROR($AW1684*$BL1684,"..")</f>
        <v>3993421932.2773547</v>
      </c>
      <c r="BN1684" s="846">
        <f>IFERROR($BB1684/$BM1684,"..")</f>
        <v>1.0913316264047064</v>
      </c>
      <c r="BO1684" s="801">
        <f t="shared" si="286"/>
        <v>38</v>
      </c>
      <c r="BP1684" s="117">
        <f>VLOOKUP($D1684,'WB Data'!$C$3:$M$578,9,FALSE)</f>
        <v>30.8</v>
      </c>
      <c r="BQ1684" s="117">
        <f>VLOOKUP($D1684,'WB Data'!$C$3:$M$578,10,FALSE)</f>
        <v>73.905097560975619</v>
      </c>
      <c r="BR1684" s="117">
        <f>VLOOKUP($D1684,'WB Data'!$C$3:$M$578,11,FALSE)</f>
        <v>15.2</v>
      </c>
      <c r="BS1684" s="129">
        <f>IFERROR(VLOOKUP($D1684,'WB Data 2'!$C$2:$K$545,9,FALSE),"..")</f>
        <v>97.373459999999994</v>
      </c>
      <c r="BT1684" s="129">
        <f>_xlfn.IFNA(VLOOKUP($C1684,RGI!$A$2:$C$43,2,FALSE),"..")</f>
        <v>76.8</v>
      </c>
      <c r="BU1684" s="129">
        <f>_xlfn.IFNA(VLOOKUP($C1684,RGI!$A$2:$C$43,3,FALSE),"..")</f>
        <v>72.816147461462435</v>
      </c>
      <c r="BV1684" s="129">
        <f>VLOOKUP($D1684,WGI!$C$2:$O$478,7,FALSE)</f>
        <v>6.6403653760441994E-2</v>
      </c>
      <c r="BW1684" s="129">
        <f>VLOOKUP($D1684,WGI!$C$2:$O$478,4,FALSE)</f>
        <v>-0.97688567284337502</v>
      </c>
      <c r="BX1684" s="129">
        <f>VLOOKUP($D1684,WGI!$C$2:$O$478,3,FALSE)</f>
        <v>-0.203136729362278</v>
      </c>
      <c r="BY1684" s="129">
        <f>VLOOKUP($D1684,WGI!$C$2:$O$478,5,FALSE)</f>
        <v>0.460708707951485</v>
      </c>
      <c r="BZ1684" s="129">
        <f>VLOOKUP($D1684,WGI!$C$2:$O$478,2,FALSE)</f>
        <v>-0.25042827669247397</v>
      </c>
      <c r="CB1684" s="129"/>
    </row>
    <row r="1685" spans="1:80" s="120" customFormat="1" ht="15" customHeight="1">
      <c r="A1685" s="294" t="s">
        <v>458</v>
      </c>
      <c r="B1685" s="117">
        <v>2010</v>
      </c>
      <c r="C1685" s="117" t="s">
        <v>449</v>
      </c>
      <c r="D1685" s="117" t="s">
        <v>3677</v>
      </c>
      <c r="E1685" s="452" t="s">
        <v>220</v>
      </c>
      <c r="F1685" s="117"/>
      <c r="G1685" s="120" t="s">
        <v>24</v>
      </c>
      <c r="H1685" s="117" t="str">
        <f t="shared" si="281"/>
        <v>yes</v>
      </c>
      <c r="I1685" s="117" t="str">
        <f t="shared" si="283"/>
        <v>no</v>
      </c>
      <c r="J1685" s="117" t="str">
        <f t="shared" si="284"/>
        <v>no</v>
      </c>
      <c r="K1685" s="117" t="s">
        <v>1230</v>
      </c>
      <c r="L1685" s="117" t="str">
        <f t="shared" si="282"/>
        <v>detailed</v>
      </c>
      <c r="M1685" s="117" t="str">
        <f t="shared" si="285"/>
        <v>detailed Mining</v>
      </c>
      <c r="N1685" s="118"/>
      <c r="O1685" s="118"/>
      <c r="P1685" s="118"/>
      <c r="Q1685" s="118"/>
      <c r="R1685" s="118"/>
      <c r="S1685" s="117"/>
      <c r="T1685" s="119"/>
      <c r="U1685" s="117"/>
      <c r="V1685" s="117"/>
      <c r="W1685" s="89"/>
      <c r="X1685" s="117"/>
      <c r="Y1685" s="492"/>
      <c r="Z1685" s="492"/>
      <c r="AA1685" s="89"/>
      <c r="AB1685" s="89"/>
      <c r="AC1685" s="240"/>
      <c r="AD1685" s="240"/>
      <c r="AE1685" s="240"/>
      <c r="AF1685" s="241"/>
      <c r="AG1685" s="89"/>
      <c r="AH1685" s="124"/>
      <c r="AI1685" s="117"/>
      <c r="AJ1685" s="117"/>
      <c r="AK1685" s="89"/>
      <c r="AL1685" s="117"/>
      <c r="AM1685" s="117"/>
      <c r="AN1685" s="117"/>
      <c r="AO1685" s="117"/>
      <c r="AP1685" s="117"/>
      <c r="AQ1685" s="117"/>
      <c r="AR1685" s="117"/>
      <c r="AS1685" s="117"/>
      <c r="AT1685" s="117"/>
      <c r="AU1685" s="117"/>
      <c r="AV1685" s="128"/>
      <c r="AW1685" s="117">
        <f>VLOOKUP($D1685,'WB Data'!$C$3:$M$578,2,FALSE)</f>
        <v>148522810971.50192</v>
      </c>
      <c r="AX1685" s="117">
        <f>VLOOKUP($D1685,'WB Data'!$C$3:$M$578,3,FALSE)</f>
        <v>29262830</v>
      </c>
      <c r="AY1685" s="847">
        <f t="shared" si="287"/>
        <v>2.9343288238119179E-2</v>
      </c>
      <c r="AZ1685" s="117">
        <f>VLOOKUP($D1685,'WB Data'!$C$3:$M$578,4,FALSE)/100</f>
        <v>0.20145402042179156</v>
      </c>
      <c r="BA1685" s="117">
        <f t="shared" si="288"/>
        <v>29920517394.554836</v>
      </c>
      <c r="BB1685" s="129">
        <f>IFERROR(VLOOKUP($D1685,'EITI Revenues'!$C$2:$G$224,5,FALSE),"..")</f>
        <v>4358147652.2724705</v>
      </c>
      <c r="BC1685" s="846">
        <f t="shared" si="289"/>
        <v>0.14565749631941857</v>
      </c>
      <c r="BD1685" s="129">
        <f>VLOOKUP($D1685,'WB Data 2'!$C$2:$K$545,6,FALSE)</f>
        <v>23087442294.109867</v>
      </c>
      <c r="BE1685" s="129">
        <f>IFERROR(VLOOKUP($D1685,UNCTAD!$C$5:$V$529,4,FALSE),"..")</f>
        <v>39257548000</v>
      </c>
      <c r="BF1685" s="846">
        <f t="shared" si="290"/>
        <v>0.58810199491088611</v>
      </c>
      <c r="BG1685" s="117">
        <f>VLOOKUP($D1685,'WB Data'!$C$3:$M$578,5,FALSE)</f>
        <v>-255920000</v>
      </c>
      <c r="BH1685" s="129">
        <f>IFERROR($BB1685/$BG1685,"..")</f>
        <v>-17.029335934168767</v>
      </c>
      <c r="BI1685" s="117">
        <f>IFERROR(VLOOKUP($D1685,'WB Data'!$C$3:$M$578,7,FALSE)/100,"..")</f>
        <v>2.6887599999999998E-2</v>
      </c>
      <c r="BJ1685" s="117">
        <f>IFERROR($BI1685*$AW1685,"..")</f>
        <v>3993421932.2773547</v>
      </c>
      <c r="BK1685" s="846">
        <f>IFERROR($BB1685/$BJ1685,"..")</f>
        <v>1.0913316264047064</v>
      </c>
      <c r="BL1685" s="117">
        <f>IFERROR(VLOOKUP($D1685,'WB Data'!$C$3:$M$578,7,FALSE)/100,"..")</f>
        <v>2.6887599999999998E-2</v>
      </c>
      <c r="BM1685" s="117">
        <f>IFERROR($AW1685*$BL1685,"..")</f>
        <v>3993421932.2773547</v>
      </c>
      <c r="BN1685" s="846">
        <f>IFERROR($BB1685/$BM1685,"..")</f>
        <v>1.0913316264047064</v>
      </c>
      <c r="BO1685" s="801">
        <f t="shared" si="286"/>
        <v>38</v>
      </c>
      <c r="BP1685" s="117">
        <f>VLOOKUP($D1685,'WB Data'!$C$3:$M$578,9,FALSE)</f>
        <v>30.8</v>
      </c>
      <c r="BQ1685" s="117">
        <f>VLOOKUP($D1685,'WB Data'!$C$3:$M$578,10,FALSE)</f>
        <v>73.905097560975619</v>
      </c>
      <c r="BR1685" s="117">
        <f>VLOOKUP($D1685,'WB Data'!$C$3:$M$578,11,FALSE)</f>
        <v>15.2</v>
      </c>
      <c r="BS1685" s="129">
        <f>IFERROR(VLOOKUP($D1685,'WB Data 2'!$C$2:$K$545,9,FALSE),"..")</f>
        <v>97.373459999999994</v>
      </c>
      <c r="BT1685" s="129">
        <f>_xlfn.IFNA(VLOOKUP($C1685,RGI!$A$2:$C$43,2,FALSE),"..")</f>
        <v>76.8</v>
      </c>
      <c r="BU1685" s="129">
        <f>_xlfn.IFNA(VLOOKUP($C1685,RGI!$A$2:$C$43,3,FALSE),"..")</f>
        <v>72.816147461462435</v>
      </c>
      <c r="BV1685" s="129">
        <f>VLOOKUP($D1685,WGI!$C$2:$O$478,7,FALSE)</f>
        <v>6.6403653760441994E-2</v>
      </c>
      <c r="BW1685" s="129">
        <f>VLOOKUP($D1685,WGI!$C$2:$O$478,4,FALSE)</f>
        <v>-0.97688567284337502</v>
      </c>
      <c r="BX1685" s="129">
        <f>VLOOKUP($D1685,WGI!$C$2:$O$478,3,FALSE)</f>
        <v>-0.203136729362278</v>
      </c>
      <c r="BY1685" s="129">
        <f>VLOOKUP($D1685,WGI!$C$2:$O$478,5,FALSE)</f>
        <v>0.460708707951485</v>
      </c>
      <c r="BZ1685" s="129">
        <f>VLOOKUP($D1685,WGI!$C$2:$O$478,2,FALSE)</f>
        <v>-0.25042827669247397</v>
      </c>
      <c r="CB1685" s="129"/>
    </row>
    <row r="1686" spans="1:80" s="120" customFormat="1" ht="15" customHeight="1">
      <c r="A1686" s="294" t="s">
        <v>458</v>
      </c>
      <c r="B1686" s="117">
        <v>2010</v>
      </c>
      <c r="C1686" s="117" t="s">
        <v>449</v>
      </c>
      <c r="D1686" s="117" t="s">
        <v>3677</v>
      </c>
      <c r="E1686" s="452" t="s">
        <v>220</v>
      </c>
      <c r="F1686" s="117"/>
      <c r="G1686" s="120" t="s">
        <v>24</v>
      </c>
      <c r="H1686" s="117" t="str">
        <f t="shared" si="281"/>
        <v>yes</v>
      </c>
      <c r="I1686" s="117" t="str">
        <f t="shared" si="283"/>
        <v>no</v>
      </c>
      <c r="J1686" s="117" t="str">
        <f t="shared" si="284"/>
        <v>no</v>
      </c>
      <c r="K1686" s="117" t="s">
        <v>1473</v>
      </c>
      <c r="L1686" s="117" t="str">
        <f t="shared" si="282"/>
        <v>detailed</v>
      </c>
      <c r="M1686" s="117" t="str">
        <f t="shared" si="285"/>
        <v>detailed Mining</v>
      </c>
      <c r="N1686" s="118"/>
      <c r="O1686" s="118"/>
      <c r="P1686" s="118"/>
      <c r="Q1686" s="118"/>
      <c r="R1686" s="118"/>
      <c r="S1686" s="117"/>
      <c r="T1686" s="119"/>
      <c r="U1686" s="117"/>
      <c r="V1686" s="117"/>
      <c r="W1686" s="89"/>
      <c r="X1686" s="117"/>
      <c r="Y1686" s="89"/>
      <c r="Z1686" s="89"/>
      <c r="AA1686" s="117"/>
      <c r="AB1686" s="117"/>
      <c r="AC1686" s="462"/>
      <c r="AD1686" s="462"/>
      <c r="AE1686" s="462"/>
      <c r="AF1686" s="463"/>
      <c r="AG1686" s="89"/>
      <c r="AH1686" s="124"/>
      <c r="AI1686" s="117"/>
      <c r="AJ1686" s="117"/>
      <c r="AK1686" s="89"/>
      <c r="AL1686" s="117"/>
      <c r="AM1686" s="117"/>
      <c r="AN1686" s="117"/>
      <c r="AO1686" s="117"/>
      <c r="AP1686" s="117"/>
      <c r="AQ1686" s="117"/>
      <c r="AR1686" s="117"/>
      <c r="AS1686" s="117"/>
      <c r="AT1686" s="117"/>
      <c r="AU1686" s="117"/>
      <c r="AV1686" s="128"/>
      <c r="AW1686" s="117">
        <f>VLOOKUP($D1686,'WB Data'!$C$3:$M$578,2,FALSE)</f>
        <v>148522810971.50192</v>
      </c>
      <c r="AX1686" s="117">
        <f>VLOOKUP($D1686,'WB Data'!$C$3:$M$578,3,FALSE)</f>
        <v>29262830</v>
      </c>
      <c r="AY1686" s="847">
        <f t="shared" si="287"/>
        <v>2.9343288238119179E-2</v>
      </c>
      <c r="AZ1686" s="117">
        <f>VLOOKUP($D1686,'WB Data'!$C$3:$M$578,4,FALSE)/100</f>
        <v>0.20145402042179156</v>
      </c>
      <c r="BA1686" s="117">
        <f t="shared" si="288"/>
        <v>29920517394.554836</v>
      </c>
      <c r="BB1686" s="129">
        <f>IFERROR(VLOOKUP($D1686,'EITI Revenues'!$C$2:$G$224,5,FALSE),"..")</f>
        <v>4358147652.2724705</v>
      </c>
      <c r="BC1686" s="846">
        <f t="shared" si="289"/>
        <v>0.14565749631941857</v>
      </c>
      <c r="BD1686" s="129">
        <f>VLOOKUP($D1686,'WB Data 2'!$C$2:$K$545,6,FALSE)</f>
        <v>23087442294.109867</v>
      </c>
      <c r="BE1686" s="129">
        <f>IFERROR(VLOOKUP($D1686,UNCTAD!$C$5:$V$529,4,FALSE),"..")</f>
        <v>39257548000</v>
      </c>
      <c r="BF1686" s="846">
        <f t="shared" si="290"/>
        <v>0.58810199491088611</v>
      </c>
      <c r="BG1686" s="117">
        <f>VLOOKUP($D1686,'WB Data'!$C$3:$M$578,5,FALSE)</f>
        <v>-255920000</v>
      </c>
      <c r="BH1686" s="129">
        <f>IFERROR($BB1686/$BG1686,"..")</f>
        <v>-17.029335934168767</v>
      </c>
      <c r="BI1686" s="117">
        <f>IFERROR(VLOOKUP($D1686,'WB Data'!$C$3:$M$578,7,FALSE)/100,"..")</f>
        <v>2.6887599999999998E-2</v>
      </c>
      <c r="BJ1686" s="117">
        <f>IFERROR($BI1686*$AW1686,"..")</f>
        <v>3993421932.2773547</v>
      </c>
      <c r="BK1686" s="846">
        <f>IFERROR($BB1686/$BJ1686,"..")</f>
        <v>1.0913316264047064</v>
      </c>
      <c r="BL1686" s="117">
        <f>IFERROR(VLOOKUP($D1686,'WB Data'!$C$3:$M$578,7,FALSE)/100,"..")</f>
        <v>2.6887599999999998E-2</v>
      </c>
      <c r="BM1686" s="117">
        <f>IFERROR($AW1686*$BL1686,"..")</f>
        <v>3993421932.2773547</v>
      </c>
      <c r="BN1686" s="846">
        <f>IFERROR($BB1686/$BM1686,"..")</f>
        <v>1.0913316264047064</v>
      </c>
      <c r="BO1686" s="801">
        <f t="shared" si="286"/>
        <v>38</v>
      </c>
      <c r="BP1686" s="117">
        <f>VLOOKUP($D1686,'WB Data'!$C$3:$M$578,9,FALSE)</f>
        <v>30.8</v>
      </c>
      <c r="BQ1686" s="117">
        <f>VLOOKUP($D1686,'WB Data'!$C$3:$M$578,10,FALSE)</f>
        <v>73.905097560975619</v>
      </c>
      <c r="BR1686" s="117">
        <f>VLOOKUP($D1686,'WB Data'!$C$3:$M$578,11,FALSE)</f>
        <v>15.2</v>
      </c>
      <c r="BS1686" s="129">
        <f>IFERROR(VLOOKUP($D1686,'WB Data 2'!$C$2:$K$545,9,FALSE),"..")</f>
        <v>97.373459999999994</v>
      </c>
      <c r="BT1686" s="129">
        <f>_xlfn.IFNA(VLOOKUP($C1686,RGI!$A$2:$C$43,2,FALSE),"..")</f>
        <v>76.8</v>
      </c>
      <c r="BU1686" s="129">
        <f>_xlfn.IFNA(VLOOKUP($C1686,RGI!$A$2:$C$43,3,FALSE),"..")</f>
        <v>72.816147461462435</v>
      </c>
      <c r="BV1686" s="129">
        <f>VLOOKUP($D1686,WGI!$C$2:$O$478,7,FALSE)</f>
        <v>6.6403653760441994E-2</v>
      </c>
      <c r="BW1686" s="129">
        <f>VLOOKUP($D1686,WGI!$C$2:$O$478,4,FALSE)</f>
        <v>-0.97688567284337502</v>
      </c>
      <c r="BX1686" s="129">
        <f>VLOOKUP($D1686,WGI!$C$2:$O$478,3,FALSE)</f>
        <v>-0.203136729362278</v>
      </c>
      <c r="BY1686" s="129">
        <f>VLOOKUP($D1686,WGI!$C$2:$O$478,5,FALSE)</f>
        <v>0.460708707951485</v>
      </c>
      <c r="BZ1686" s="129">
        <f>VLOOKUP($D1686,WGI!$C$2:$O$478,2,FALSE)</f>
        <v>-0.25042827669247397</v>
      </c>
      <c r="CB1686" s="129"/>
    </row>
    <row r="1687" spans="1:80" s="120" customFormat="1" ht="15" customHeight="1">
      <c r="A1687" s="294" t="s">
        <v>458</v>
      </c>
      <c r="B1687" s="117">
        <v>2010</v>
      </c>
      <c r="C1687" s="117" t="s">
        <v>449</v>
      </c>
      <c r="D1687" s="117" t="s">
        <v>3677</v>
      </c>
      <c r="E1687" s="452" t="s">
        <v>220</v>
      </c>
      <c r="F1687" s="117"/>
      <c r="G1687" s="120" t="s">
        <v>24</v>
      </c>
      <c r="H1687" s="117" t="str">
        <f t="shared" si="281"/>
        <v>yes</v>
      </c>
      <c r="I1687" s="117" t="str">
        <f t="shared" si="283"/>
        <v>no</v>
      </c>
      <c r="J1687" s="117" t="str">
        <f t="shared" si="284"/>
        <v>no</v>
      </c>
      <c r="K1687" s="117" t="s">
        <v>2098</v>
      </c>
      <c r="L1687" s="117" t="str">
        <f t="shared" si="282"/>
        <v>detailed</v>
      </c>
      <c r="M1687" s="117" t="str">
        <f t="shared" si="285"/>
        <v>detailed Mining</v>
      </c>
      <c r="N1687" s="118"/>
      <c r="O1687" s="118"/>
      <c r="P1687" s="118"/>
      <c r="Q1687" s="118"/>
      <c r="R1687" s="118"/>
      <c r="S1687" s="117"/>
      <c r="T1687" s="119"/>
      <c r="U1687" s="117"/>
      <c r="V1687" s="117"/>
      <c r="W1687" s="89"/>
      <c r="X1687" s="117"/>
      <c r="AA1687" s="89"/>
      <c r="AB1687" s="89"/>
      <c r="AC1687" s="240"/>
      <c r="AD1687" s="240"/>
      <c r="AE1687" s="240"/>
      <c r="AF1687" s="241"/>
      <c r="AH1687" s="124"/>
      <c r="AI1687" s="117"/>
      <c r="AJ1687" s="117"/>
      <c r="AK1687" s="89"/>
      <c r="AL1687" s="117"/>
      <c r="AM1687" s="117"/>
      <c r="AN1687" s="117"/>
      <c r="AO1687" s="117"/>
      <c r="AP1687" s="117"/>
      <c r="AQ1687" s="117"/>
      <c r="AR1687" s="117"/>
      <c r="AS1687" s="117"/>
      <c r="AT1687" s="117"/>
      <c r="AU1687" s="117"/>
      <c r="AV1687" s="128"/>
      <c r="AW1687" s="117">
        <f>VLOOKUP($D1687,'WB Data'!$C$3:$M$578,2,FALSE)</f>
        <v>148522810971.50192</v>
      </c>
      <c r="AX1687" s="117">
        <f>VLOOKUP($D1687,'WB Data'!$C$3:$M$578,3,FALSE)</f>
        <v>29262830</v>
      </c>
      <c r="AY1687" s="847">
        <f t="shared" si="287"/>
        <v>2.9343288238119179E-2</v>
      </c>
      <c r="AZ1687" s="117">
        <f>VLOOKUP($D1687,'WB Data'!$C$3:$M$578,4,FALSE)/100</f>
        <v>0.20145402042179156</v>
      </c>
      <c r="BA1687" s="117">
        <f t="shared" si="288"/>
        <v>29920517394.554836</v>
      </c>
      <c r="BB1687" s="129">
        <f>IFERROR(VLOOKUP($D1687,'EITI Revenues'!$C$2:$G$224,5,FALSE),"..")</f>
        <v>4358147652.2724705</v>
      </c>
      <c r="BC1687" s="846">
        <f t="shared" si="289"/>
        <v>0.14565749631941857</v>
      </c>
      <c r="BD1687" s="129">
        <f>VLOOKUP($D1687,'WB Data 2'!$C$2:$K$545,6,FALSE)</f>
        <v>23087442294.109867</v>
      </c>
      <c r="BE1687" s="129">
        <f>IFERROR(VLOOKUP($D1687,UNCTAD!$C$5:$V$529,4,FALSE),"..")</f>
        <v>39257548000</v>
      </c>
      <c r="BF1687" s="846">
        <f t="shared" si="290"/>
        <v>0.58810199491088611</v>
      </c>
      <c r="BG1687" s="117">
        <f>VLOOKUP($D1687,'WB Data'!$C$3:$M$578,5,FALSE)</f>
        <v>-255920000</v>
      </c>
      <c r="BH1687" s="129">
        <f>IFERROR($BB1687/$BG1687,"..")</f>
        <v>-17.029335934168767</v>
      </c>
      <c r="BI1687" s="117">
        <f>IFERROR(VLOOKUP($D1687,'WB Data'!$C$3:$M$578,7,FALSE)/100,"..")</f>
        <v>2.6887599999999998E-2</v>
      </c>
      <c r="BJ1687" s="117">
        <f>IFERROR($BI1687*$AW1687,"..")</f>
        <v>3993421932.2773547</v>
      </c>
      <c r="BK1687" s="846">
        <f>IFERROR($BB1687/$BJ1687,"..")</f>
        <v>1.0913316264047064</v>
      </c>
      <c r="BL1687" s="117">
        <f>IFERROR(VLOOKUP($D1687,'WB Data'!$C$3:$M$578,7,FALSE)/100,"..")</f>
        <v>2.6887599999999998E-2</v>
      </c>
      <c r="BM1687" s="117">
        <f>IFERROR($AW1687*$BL1687,"..")</f>
        <v>3993421932.2773547</v>
      </c>
      <c r="BN1687" s="846">
        <f>IFERROR($BB1687/$BM1687,"..")</f>
        <v>1.0913316264047064</v>
      </c>
      <c r="BO1687" s="801">
        <f t="shared" si="286"/>
        <v>38</v>
      </c>
      <c r="BP1687" s="117">
        <f>VLOOKUP($D1687,'WB Data'!$C$3:$M$578,9,FALSE)</f>
        <v>30.8</v>
      </c>
      <c r="BQ1687" s="117">
        <f>VLOOKUP($D1687,'WB Data'!$C$3:$M$578,10,FALSE)</f>
        <v>73.905097560975619</v>
      </c>
      <c r="BR1687" s="117">
        <f>VLOOKUP($D1687,'WB Data'!$C$3:$M$578,11,FALSE)</f>
        <v>15.2</v>
      </c>
      <c r="BS1687" s="129">
        <f>IFERROR(VLOOKUP($D1687,'WB Data 2'!$C$2:$K$545,9,FALSE),"..")</f>
        <v>97.373459999999994</v>
      </c>
      <c r="BT1687" s="129">
        <f>_xlfn.IFNA(VLOOKUP($C1687,RGI!$A$2:$C$43,2,FALSE),"..")</f>
        <v>76.8</v>
      </c>
      <c r="BU1687" s="129">
        <f>_xlfn.IFNA(VLOOKUP($C1687,RGI!$A$2:$C$43,3,FALSE),"..")</f>
        <v>72.816147461462435</v>
      </c>
      <c r="BV1687" s="129">
        <f>VLOOKUP($D1687,WGI!$C$2:$O$478,7,FALSE)</f>
        <v>6.6403653760441994E-2</v>
      </c>
      <c r="BW1687" s="129">
        <f>VLOOKUP($D1687,WGI!$C$2:$O$478,4,FALSE)</f>
        <v>-0.97688567284337502</v>
      </c>
      <c r="BX1687" s="129">
        <f>VLOOKUP($D1687,WGI!$C$2:$O$478,3,FALSE)</f>
        <v>-0.203136729362278</v>
      </c>
      <c r="BY1687" s="129">
        <f>VLOOKUP($D1687,WGI!$C$2:$O$478,5,FALSE)</f>
        <v>0.460708707951485</v>
      </c>
      <c r="BZ1687" s="129">
        <f>VLOOKUP($D1687,WGI!$C$2:$O$478,2,FALSE)</f>
        <v>-0.25042827669247397</v>
      </c>
      <c r="CB1687" s="129"/>
    </row>
    <row r="1688" spans="1:80" s="120" customFormat="1" ht="15" customHeight="1">
      <c r="A1688" s="294" t="s">
        <v>458</v>
      </c>
      <c r="B1688" s="117">
        <v>2010</v>
      </c>
      <c r="C1688" s="117" t="s">
        <v>449</v>
      </c>
      <c r="D1688" s="117" t="s">
        <v>3677</v>
      </c>
      <c r="E1688" s="452" t="s">
        <v>220</v>
      </c>
      <c r="F1688" s="117"/>
      <c r="G1688" s="120" t="s">
        <v>24</v>
      </c>
      <c r="H1688" s="117" t="str">
        <f t="shared" si="281"/>
        <v>yes</v>
      </c>
      <c r="I1688" s="117" t="str">
        <f t="shared" si="283"/>
        <v>no</v>
      </c>
      <c r="J1688" s="117" t="str">
        <f t="shared" si="284"/>
        <v>no</v>
      </c>
      <c r="K1688" s="117" t="s">
        <v>703</v>
      </c>
      <c r="L1688" s="117" t="str">
        <f t="shared" si="282"/>
        <v>detailed</v>
      </c>
      <c r="M1688" s="117" t="str">
        <f t="shared" si="285"/>
        <v>detailed Mining</v>
      </c>
      <c r="N1688" s="118"/>
      <c r="O1688" s="118"/>
      <c r="P1688" s="118"/>
      <c r="Q1688" s="118"/>
      <c r="R1688" s="118"/>
      <c r="S1688" s="117"/>
      <c r="T1688" s="119"/>
      <c r="U1688" s="117"/>
      <c r="V1688" s="117"/>
      <c r="W1688" s="89"/>
      <c r="X1688" s="117"/>
      <c r="AA1688" s="89"/>
      <c r="AB1688" s="89"/>
      <c r="AC1688" s="240"/>
      <c r="AD1688" s="240"/>
      <c r="AE1688" s="240"/>
      <c r="AF1688" s="241"/>
      <c r="AH1688" s="124"/>
      <c r="AI1688" s="117"/>
      <c r="AJ1688" s="117"/>
      <c r="AK1688" s="89"/>
      <c r="AL1688" s="117"/>
      <c r="AM1688" s="117"/>
      <c r="AN1688" s="117"/>
      <c r="AO1688" s="117"/>
      <c r="AP1688" s="117"/>
      <c r="AQ1688" s="117"/>
      <c r="AR1688" s="117"/>
      <c r="AS1688" s="117"/>
      <c r="AT1688" s="117"/>
      <c r="AU1688" s="117"/>
      <c r="AV1688" s="128"/>
      <c r="AW1688" s="117">
        <f>VLOOKUP($D1688,'WB Data'!$C$3:$M$578,2,FALSE)</f>
        <v>148522810971.50192</v>
      </c>
      <c r="AX1688" s="117">
        <f>VLOOKUP($D1688,'WB Data'!$C$3:$M$578,3,FALSE)</f>
        <v>29262830</v>
      </c>
      <c r="AY1688" s="847">
        <f t="shared" si="287"/>
        <v>2.9343288238119179E-2</v>
      </c>
      <c r="AZ1688" s="117">
        <f>VLOOKUP($D1688,'WB Data'!$C$3:$M$578,4,FALSE)/100</f>
        <v>0.20145402042179156</v>
      </c>
      <c r="BA1688" s="117">
        <f t="shared" si="288"/>
        <v>29920517394.554836</v>
      </c>
      <c r="BB1688" s="129">
        <f>IFERROR(VLOOKUP($D1688,'EITI Revenues'!$C$2:$G$224,5,FALSE),"..")</f>
        <v>4358147652.2724705</v>
      </c>
      <c r="BC1688" s="846">
        <f t="shared" si="289"/>
        <v>0.14565749631941857</v>
      </c>
      <c r="BD1688" s="129">
        <f>VLOOKUP($D1688,'WB Data 2'!$C$2:$K$545,6,FALSE)</f>
        <v>23087442294.109867</v>
      </c>
      <c r="BE1688" s="129">
        <f>IFERROR(VLOOKUP($D1688,UNCTAD!$C$5:$V$529,4,FALSE),"..")</f>
        <v>39257548000</v>
      </c>
      <c r="BF1688" s="846">
        <f t="shared" si="290"/>
        <v>0.58810199491088611</v>
      </c>
      <c r="BG1688" s="117">
        <f>VLOOKUP($D1688,'WB Data'!$C$3:$M$578,5,FALSE)</f>
        <v>-255920000</v>
      </c>
      <c r="BH1688" s="129">
        <f>IFERROR($BB1688/$BG1688,"..")</f>
        <v>-17.029335934168767</v>
      </c>
      <c r="BI1688" s="117">
        <f>IFERROR(VLOOKUP($D1688,'WB Data'!$C$3:$M$578,7,FALSE)/100,"..")</f>
        <v>2.6887599999999998E-2</v>
      </c>
      <c r="BJ1688" s="117">
        <f>IFERROR($BI1688*$AW1688,"..")</f>
        <v>3993421932.2773547</v>
      </c>
      <c r="BK1688" s="846">
        <f>IFERROR($BB1688/$BJ1688,"..")</f>
        <v>1.0913316264047064</v>
      </c>
      <c r="BL1688" s="117">
        <f>IFERROR(VLOOKUP($D1688,'WB Data'!$C$3:$M$578,7,FALSE)/100,"..")</f>
        <v>2.6887599999999998E-2</v>
      </c>
      <c r="BM1688" s="117">
        <f>IFERROR($AW1688*$BL1688,"..")</f>
        <v>3993421932.2773547</v>
      </c>
      <c r="BN1688" s="846">
        <f>IFERROR($BB1688/$BM1688,"..")</f>
        <v>1.0913316264047064</v>
      </c>
      <c r="BO1688" s="801">
        <f t="shared" si="286"/>
        <v>38</v>
      </c>
      <c r="BP1688" s="117">
        <f>VLOOKUP($D1688,'WB Data'!$C$3:$M$578,9,FALSE)</f>
        <v>30.8</v>
      </c>
      <c r="BQ1688" s="117">
        <f>VLOOKUP($D1688,'WB Data'!$C$3:$M$578,10,FALSE)</f>
        <v>73.905097560975619</v>
      </c>
      <c r="BR1688" s="117">
        <f>VLOOKUP($D1688,'WB Data'!$C$3:$M$578,11,FALSE)</f>
        <v>15.2</v>
      </c>
      <c r="BS1688" s="129">
        <f>IFERROR(VLOOKUP($D1688,'WB Data 2'!$C$2:$K$545,9,FALSE),"..")</f>
        <v>97.373459999999994</v>
      </c>
      <c r="BT1688" s="129">
        <f>_xlfn.IFNA(VLOOKUP($C1688,RGI!$A$2:$C$43,2,FALSE),"..")</f>
        <v>76.8</v>
      </c>
      <c r="BU1688" s="129">
        <f>_xlfn.IFNA(VLOOKUP($C1688,RGI!$A$2:$C$43,3,FALSE),"..")</f>
        <v>72.816147461462435</v>
      </c>
      <c r="BV1688" s="129">
        <f>VLOOKUP($D1688,WGI!$C$2:$O$478,7,FALSE)</f>
        <v>6.6403653760441994E-2</v>
      </c>
      <c r="BW1688" s="129">
        <f>VLOOKUP($D1688,WGI!$C$2:$O$478,4,FALSE)</f>
        <v>-0.97688567284337502</v>
      </c>
      <c r="BX1688" s="129">
        <f>VLOOKUP($D1688,WGI!$C$2:$O$478,3,FALSE)</f>
        <v>-0.203136729362278</v>
      </c>
      <c r="BY1688" s="129">
        <f>VLOOKUP($D1688,WGI!$C$2:$O$478,5,FALSE)</f>
        <v>0.460708707951485</v>
      </c>
      <c r="BZ1688" s="129">
        <f>VLOOKUP($D1688,WGI!$C$2:$O$478,2,FALSE)</f>
        <v>-0.25042827669247397</v>
      </c>
      <c r="CB1688" s="129"/>
    </row>
    <row r="1689" spans="1:80" s="120" customFormat="1" ht="15" customHeight="1">
      <c r="A1689" s="294" t="s">
        <v>458</v>
      </c>
      <c r="B1689" s="117">
        <v>2010</v>
      </c>
      <c r="C1689" s="117" t="s">
        <v>449</v>
      </c>
      <c r="D1689" s="117" t="s">
        <v>3677</v>
      </c>
      <c r="E1689" s="452" t="s">
        <v>220</v>
      </c>
      <c r="F1689" s="117"/>
      <c r="G1689" s="120" t="s">
        <v>24</v>
      </c>
      <c r="H1689" s="117" t="str">
        <f t="shared" si="281"/>
        <v>yes</v>
      </c>
      <c r="I1689" s="117" t="str">
        <f t="shared" si="283"/>
        <v>no</v>
      </c>
      <c r="J1689" s="117" t="str">
        <f t="shared" si="284"/>
        <v>no</v>
      </c>
      <c r="K1689" s="117" t="s">
        <v>843</v>
      </c>
      <c r="L1689" s="117" t="str">
        <f t="shared" si="282"/>
        <v>detailed</v>
      </c>
      <c r="M1689" s="117" t="str">
        <f t="shared" si="285"/>
        <v>detailed Mining</v>
      </c>
      <c r="N1689" s="118"/>
      <c r="O1689" s="118"/>
      <c r="P1689" s="118"/>
      <c r="Q1689" s="118"/>
      <c r="R1689" s="118"/>
      <c r="S1689" s="117"/>
      <c r="T1689" s="119"/>
      <c r="U1689" s="117"/>
      <c r="V1689" s="117"/>
      <c r="W1689" s="89"/>
      <c r="X1689" s="117"/>
      <c r="AA1689" s="89"/>
      <c r="AB1689" s="89"/>
      <c r="AC1689" s="240"/>
      <c r="AD1689" s="240"/>
      <c r="AE1689" s="240"/>
      <c r="AF1689" s="241"/>
      <c r="AH1689" s="124"/>
      <c r="AI1689" s="117"/>
      <c r="AJ1689" s="117"/>
      <c r="AK1689" s="89"/>
      <c r="AL1689" s="117"/>
      <c r="AM1689" s="117"/>
      <c r="AN1689" s="117"/>
      <c r="AO1689" s="117"/>
      <c r="AP1689" s="117"/>
      <c r="AQ1689" s="117"/>
      <c r="AR1689" s="117"/>
      <c r="AS1689" s="117"/>
      <c r="AT1689" s="117"/>
      <c r="AU1689" s="117"/>
      <c r="AV1689" s="128"/>
      <c r="AW1689" s="117">
        <f>VLOOKUP($D1689,'WB Data'!$C$3:$M$578,2,FALSE)</f>
        <v>148522810971.50192</v>
      </c>
      <c r="AX1689" s="117">
        <f>VLOOKUP($D1689,'WB Data'!$C$3:$M$578,3,FALSE)</f>
        <v>29262830</v>
      </c>
      <c r="AY1689" s="847">
        <f t="shared" si="287"/>
        <v>2.9343288238119179E-2</v>
      </c>
      <c r="AZ1689" s="117">
        <f>VLOOKUP($D1689,'WB Data'!$C$3:$M$578,4,FALSE)/100</f>
        <v>0.20145402042179156</v>
      </c>
      <c r="BA1689" s="117">
        <f t="shared" si="288"/>
        <v>29920517394.554836</v>
      </c>
      <c r="BB1689" s="129">
        <f>IFERROR(VLOOKUP($D1689,'EITI Revenues'!$C$2:$G$224,5,FALSE),"..")</f>
        <v>4358147652.2724705</v>
      </c>
      <c r="BC1689" s="846">
        <f t="shared" si="289"/>
        <v>0.14565749631941857</v>
      </c>
      <c r="BD1689" s="129">
        <f>VLOOKUP($D1689,'WB Data 2'!$C$2:$K$545,6,FALSE)</f>
        <v>23087442294.109867</v>
      </c>
      <c r="BE1689" s="129">
        <f>IFERROR(VLOOKUP($D1689,UNCTAD!$C$5:$V$529,4,FALSE),"..")</f>
        <v>39257548000</v>
      </c>
      <c r="BF1689" s="846">
        <f t="shared" si="290"/>
        <v>0.58810199491088611</v>
      </c>
      <c r="BG1689" s="117">
        <f>VLOOKUP($D1689,'WB Data'!$C$3:$M$578,5,FALSE)</f>
        <v>-255920000</v>
      </c>
      <c r="BH1689" s="129">
        <f>IFERROR($BB1689/$BG1689,"..")</f>
        <v>-17.029335934168767</v>
      </c>
      <c r="BI1689" s="117">
        <f>IFERROR(VLOOKUP($D1689,'WB Data'!$C$3:$M$578,7,FALSE)/100,"..")</f>
        <v>2.6887599999999998E-2</v>
      </c>
      <c r="BJ1689" s="117">
        <f>IFERROR($BI1689*$AW1689,"..")</f>
        <v>3993421932.2773547</v>
      </c>
      <c r="BK1689" s="846">
        <f>IFERROR($BB1689/$BJ1689,"..")</f>
        <v>1.0913316264047064</v>
      </c>
      <c r="BL1689" s="117">
        <f>IFERROR(VLOOKUP($D1689,'WB Data'!$C$3:$M$578,7,FALSE)/100,"..")</f>
        <v>2.6887599999999998E-2</v>
      </c>
      <c r="BM1689" s="117">
        <f>IFERROR($AW1689*$BL1689,"..")</f>
        <v>3993421932.2773547</v>
      </c>
      <c r="BN1689" s="846">
        <f>IFERROR($BB1689/$BM1689,"..")</f>
        <v>1.0913316264047064</v>
      </c>
      <c r="BO1689" s="801">
        <f t="shared" si="286"/>
        <v>38</v>
      </c>
      <c r="BP1689" s="117">
        <f>VLOOKUP($D1689,'WB Data'!$C$3:$M$578,9,FALSE)</f>
        <v>30.8</v>
      </c>
      <c r="BQ1689" s="117">
        <f>VLOOKUP($D1689,'WB Data'!$C$3:$M$578,10,FALSE)</f>
        <v>73.905097560975619</v>
      </c>
      <c r="BR1689" s="117">
        <f>VLOOKUP($D1689,'WB Data'!$C$3:$M$578,11,FALSE)</f>
        <v>15.2</v>
      </c>
      <c r="BS1689" s="129">
        <f>IFERROR(VLOOKUP($D1689,'WB Data 2'!$C$2:$K$545,9,FALSE),"..")</f>
        <v>97.373459999999994</v>
      </c>
      <c r="BT1689" s="129">
        <f>_xlfn.IFNA(VLOOKUP($C1689,RGI!$A$2:$C$43,2,FALSE),"..")</f>
        <v>76.8</v>
      </c>
      <c r="BU1689" s="129">
        <f>_xlfn.IFNA(VLOOKUP($C1689,RGI!$A$2:$C$43,3,FALSE),"..")</f>
        <v>72.816147461462435</v>
      </c>
      <c r="BV1689" s="129">
        <f>VLOOKUP($D1689,WGI!$C$2:$O$478,7,FALSE)</f>
        <v>6.6403653760441994E-2</v>
      </c>
      <c r="BW1689" s="129">
        <f>VLOOKUP($D1689,WGI!$C$2:$O$478,4,FALSE)</f>
        <v>-0.97688567284337502</v>
      </c>
      <c r="BX1689" s="129">
        <f>VLOOKUP($D1689,WGI!$C$2:$O$478,3,FALSE)</f>
        <v>-0.203136729362278</v>
      </c>
      <c r="BY1689" s="129">
        <f>VLOOKUP($D1689,WGI!$C$2:$O$478,5,FALSE)</f>
        <v>0.460708707951485</v>
      </c>
      <c r="BZ1689" s="129">
        <f>VLOOKUP($D1689,WGI!$C$2:$O$478,2,FALSE)</f>
        <v>-0.25042827669247397</v>
      </c>
      <c r="CB1689" s="129"/>
    </row>
    <row r="1690" spans="1:80" s="120" customFormat="1" ht="15" customHeight="1">
      <c r="A1690" s="294" t="s">
        <v>458</v>
      </c>
      <c r="B1690" s="117">
        <v>2010</v>
      </c>
      <c r="C1690" s="117" t="s">
        <v>449</v>
      </c>
      <c r="D1690" s="117" t="s">
        <v>3677</v>
      </c>
      <c r="E1690" s="452" t="s">
        <v>220</v>
      </c>
      <c r="F1690" s="117"/>
      <c r="G1690" s="120" t="s">
        <v>24</v>
      </c>
      <c r="H1690" s="117" t="str">
        <f t="shared" si="281"/>
        <v>yes</v>
      </c>
      <c r="I1690" s="117" t="str">
        <f t="shared" si="283"/>
        <v>no</v>
      </c>
      <c r="J1690" s="117" t="str">
        <f t="shared" si="284"/>
        <v>no</v>
      </c>
      <c r="K1690" s="117" t="s">
        <v>656</v>
      </c>
      <c r="L1690" s="117" t="str">
        <f t="shared" si="282"/>
        <v>detailed</v>
      </c>
      <c r="M1690" s="117" t="str">
        <f t="shared" si="285"/>
        <v>detailed Mining</v>
      </c>
      <c r="N1690" s="118"/>
      <c r="O1690" s="118"/>
      <c r="P1690" s="118"/>
      <c r="Q1690" s="118"/>
      <c r="R1690" s="118"/>
      <c r="S1690" s="117"/>
      <c r="T1690" s="119"/>
      <c r="U1690" s="117"/>
      <c r="V1690" s="117"/>
      <c r="W1690" s="89"/>
      <c r="X1690" s="117"/>
      <c r="AA1690" s="89"/>
      <c r="AB1690" s="89"/>
      <c r="AC1690" s="240"/>
      <c r="AD1690" s="240"/>
      <c r="AE1690" s="240"/>
      <c r="AF1690" s="241"/>
      <c r="AH1690" s="124"/>
      <c r="AI1690" s="117"/>
      <c r="AJ1690" s="117"/>
      <c r="AK1690" s="89"/>
      <c r="AL1690" s="117"/>
      <c r="AM1690" s="117"/>
      <c r="AN1690" s="117"/>
      <c r="AO1690" s="117"/>
      <c r="AP1690" s="117"/>
      <c r="AQ1690" s="117"/>
      <c r="AR1690" s="117"/>
      <c r="AS1690" s="117"/>
      <c r="AT1690" s="117"/>
      <c r="AU1690" s="117"/>
      <c r="AV1690" s="128"/>
      <c r="AW1690" s="117">
        <f>VLOOKUP($D1690,'WB Data'!$C$3:$M$578,2,FALSE)</f>
        <v>148522810971.50192</v>
      </c>
      <c r="AX1690" s="117">
        <f>VLOOKUP($D1690,'WB Data'!$C$3:$M$578,3,FALSE)</f>
        <v>29262830</v>
      </c>
      <c r="AY1690" s="847">
        <f t="shared" si="287"/>
        <v>2.9343288238119179E-2</v>
      </c>
      <c r="AZ1690" s="117">
        <f>VLOOKUP($D1690,'WB Data'!$C$3:$M$578,4,FALSE)/100</f>
        <v>0.20145402042179156</v>
      </c>
      <c r="BA1690" s="117">
        <f t="shared" si="288"/>
        <v>29920517394.554836</v>
      </c>
      <c r="BB1690" s="129">
        <f>IFERROR(VLOOKUP($D1690,'EITI Revenues'!$C$2:$G$224,5,FALSE),"..")</f>
        <v>4358147652.2724705</v>
      </c>
      <c r="BC1690" s="846">
        <f t="shared" si="289"/>
        <v>0.14565749631941857</v>
      </c>
      <c r="BD1690" s="129">
        <f>VLOOKUP($D1690,'WB Data 2'!$C$2:$K$545,6,FALSE)</f>
        <v>23087442294.109867</v>
      </c>
      <c r="BE1690" s="129">
        <f>IFERROR(VLOOKUP($D1690,UNCTAD!$C$5:$V$529,4,FALSE),"..")</f>
        <v>39257548000</v>
      </c>
      <c r="BF1690" s="846">
        <f t="shared" si="290"/>
        <v>0.58810199491088611</v>
      </c>
      <c r="BG1690" s="117">
        <f>VLOOKUP($D1690,'WB Data'!$C$3:$M$578,5,FALSE)</f>
        <v>-255920000</v>
      </c>
      <c r="BH1690" s="129">
        <f>IFERROR($BB1690/$BG1690,"..")</f>
        <v>-17.029335934168767</v>
      </c>
      <c r="BI1690" s="117">
        <f>IFERROR(VLOOKUP($D1690,'WB Data'!$C$3:$M$578,7,FALSE)/100,"..")</f>
        <v>2.6887599999999998E-2</v>
      </c>
      <c r="BJ1690" s="117">
        <f>IFERROR($BI1690*$AW1690,"..")</f>
        <v>3993421932.2773547</v>
      </c>
      <c r="BK1690" s="846">
        <f>IFERROR($BB1690/$BJ1690,"..")</f>
        <v>1.0913316264047064</v>
      </c>
      <c r="BL1690" s="117">
        <f>IFERROR(VLOOKUP($D1690,'WB Data'!$C$3:$M$578,7,FALSE)/100,"..")</f>
        <v>2.6887599999999998E-2</v>
      </c>
      <c r="BM1690" s="117">
        <f>IFERROR($AW1690*$BL1690,"..")</f>
        <v>3993421932.2773547</v>
      </c>
      <c r="BN1690" s="846">
        <f>IFERROR($BB1690/$BM1690,"..")</f>
        <v>1.0913316264047064</v>
      </c>
      <c r="BO1690" s="801">
        <f t="shared" si="286"/>
        <v>38</v>
      </c>
      <c r="BP1690" s="117">
        <f>VLOOKUP($D1690,'WB Data'!$C$3:$M$578,9,FALSE)</f>
        <v>30.8</v>
      </c>
      <c r="BQ1690" s="117">
        <f>VLOOKUP($D1690,'WB Data'!$C$3:$M$578,10,FALSE)</f>
        <v>73.905097560975619</v>
      </c>
      <c r="BR1690" s="117">
        <f>VLOOKUP($D1690,'WB Data'!$C$3:$M$578,11,FALSE)</f>
        <v>15.2</v>
      </c>
      <c r="BS1690" s="129">
        <f>IFERROR(VLOOKUP($D1690,'WB Data 2'!$C$2:$K$545,9,FALSE),"..")</f>
        <v>97.373459999999994</v>
      </c>
      <c r="BT1690" s="129">
        <f>_xlfn.IFNA(VLOOKUP($C1690,RGI!$A$2:$C$43,2,FALSE),"..")</f>
        <v>76.8</v>
      </c>
      <c r="BU1690" s="129">
        <f>_xlfn.IFNA(VLOOKUP($C1690,RGI!$A$2:$C$43,3,FALSE),"..")</f>
        <v>72.816147461462435</v>
      </c>
      <c r="BV1690" s="129">
        <f>VLOOKUP($D1690,WGI!$C$2:$O$478,7,FALSE)</f>
        <v>6.6403653760441994E-2</v>
      </c>
      <c r="BW1690" s="129">
        <f>VLOOKUP($D1690,WGI!$C$2:$O$478,4,FALSE)</f>
        <v>-0.97688567284337502</v>
      </c>
      <c r="BX1690" s="129">
        <f>VLOOKUP($D1690,WGI!$C$2:$O$478,3,FALSE)</f>
        <v>-0.203136729362278</v>
      </c>
      <c r="BY1690" s="129">
        <f>VLOOKUP($D1690,WGI!$C$2:$O$478,5,FALSE)</f>
        <v>0.460708707951485</v>
      </c>
      <c r="BZ1690" s="129">
        <f>VLOOKUP($D1690,WGI!$C$2:$O$478,2,FALSE)</f>
        <v>-0.25042827669247397</v>
      </c>
      <c r="CB1690" s="129"/>
    </row>
    <row r="1691" spans="1:80" s="120" customFormat="1" ht="15" customHeight="1">
      <c r="A1691" s="294" t="s">
        <v>458</v>
      </c>
      <c r="B1691" s="117">
        <v>2010</v>
      </c>
      <c r="C1691" s="117" t="s">
        <v>449</v>
      </c>
      <c r="D1691" s="117" t="s">
        <v>3677</v>
      </c>
      <c r="E1691" s="452" t="s">
        <v>220</v>
      </c>
      <c r="F1691" s="117"/>
      <c r="G1691" s="120" t="s">
        <v>24</v>
      </c>
      <c r="H1691" s="117" t="str">
        <f t="shared" ref="H1691:H1754" si="291">IF($G1691="Mining","yes",IF($G1691="Oil, Gas, Mining","yes",IF($G1691="Gas, Mining","yes",IF($G1691="Oil, Mining","yes",IF($G1691="Oil, Mining, Other","yes","no")))))</f>
        <v>yes</v>
      </c>
      <c r="I1691" s="117" t="str">
        <f t="shared" si="283"/>
        <v>no</v>
      </c>
      <c r="J1691" s="117" t="str">
        <f t="shared" si="284"/>
        <v>no</v>
      </c>
      <c r="K1691" s="117" t="s">
        <v>1493</v>
      </c>
      <c r="L1691" s="117" t="str">
        <f t="shared" ref="L1691:L1754" si="292">IF(LEFT(K1691,5)="Total","Total","detailed")</f>
        <v>detailed</v>
      </c>
      <c r="M1691" s="117" t="str">
        <f t="shared" si="285"/>
        <v>detailed Mining</v>
      </c>
      <c r="N1691" s="118"/>
      <c r="O1691" s="118"/>
      <c r="P1691" s="118"/>
      <c r="Q1691" s="118"/>
      <c r="R1691" s="118"/>
      <c r="S1691" s="117"/>
      <c r="T1691" s="119"/>
      <c r="U1691" s="117"/>
      <c r="V1691" s="117"/>
      <c r="W1691" s="89"/>
      <c r="X1691" s="117"/>
      <c r="Y1691" s="117"/>
      <c r="Z1691" s="117"/>
      <c r="AA1691" s="89"/>
      <c r="AB1691" s="89"/>
      <c r="AC1691" s="240"/>
      <c r="AD1691" s="240"/>
      <c r="AE1691" s="240"/>
      <c r="AF1691" s="241"/>
      <c r="AG1691" s="117"/>
      <c r="AH1691" s="124"/>
      <c r="AI1691" s="117"/>
      <c r="AJ1691" s="117"/>
      <c r="AK1691" s="89"/>
      <c r="AL1691" s="117"/>
      <c r="AM1691" s="117"/>
      <c r="AN1691" s="117"/>
      <c r="AO1691" s="117"/>
      <c r="AP1691" s="117"/>
      <c r="AQ1691" s="117"/>
      <c r="AR1691" s="117"/>
      <c r="AS1691" s="117"/>
      <c r="AT1691" s="117"/>
      <c r="AU1691" s="117"/>
      <c r="AV1691" s="128"/>
      <c r="AW1691" s="117">
        <f>VLOOKUP($D1691,'WB Data'!$C$3:$M$578,2,FALSE)</f>
        <v>148522810971.50192</v>
      </c>
      <c r="AX1691" s="117">
        <f>VLOOKUP($D1691,'WB Data'!$C$3:$M$578,3,FALSE)</f>
        <v>29262830</v>
      </c>
      <c r="AY1691" s="847">
        <f t="shared" si="287"/>
        <v>2.9343288238119179E-2</v>
      </c>
      <c r="AZ1691" s="117">
        <f>VLOOKUP($D1691,'WB Data'!$C$3:$M$578,4,FALSE)/100</f>
        <v>0.20145402042179156</v>
      </c>
      <c r="BA1691" s="117">
        <f t="shared" si="288"/>
        <v>29920517394.554836</v>
      </c>
      <c r="BB1691" s="129">
        <f>IFERROR(VLOOKUP($D1691,'EITI Revenues'!$C$2:$G$224,5,FALSE),"..")</f>
        <v>4358147652.2724705</v>
      </c>
      <c r="BC1691" s="846">
        <f t="shared" si="289"/>
        <v>0.14565749631941857</v>
      </c>
      <c r="BD1691" s="129">
        <f>VLOOKUP($D1691,'WB Data 2'!$C$2:$K$545,6,FALSE)</f>
        <v>23087442294.109867</v>
      </c>
      <c r="BE1691" s="129">
        <f>IFERROR(VLOOKUP($D1691,UNCTAD!$C$5:$V$529,4,FALSE),"..")</f>
        <v>39257548000</v>
      </c>
      <c r="BF1691" s="846">
        <f t="shared" si="290"/>
        <v>0.58810199491088611</v>
      </c>
      <c r="BG1691" s="117">
        <f>VLOOKUP($D1691,'WB Data'!$C$3:$M$578,5,FALSE)</f>
        <v>-255920000</v>
      </c>
      <c r="BH1691" s="129">
        <f>IFERROR($BB1691/$BG1691,"..")</f>
        <v>-17.029335934168767</v>
      </c>
      <c r="BI1691" s="117">
        <f>IFERROR(VLOOKUP($D1691,'WB Data'!$C$3:$M$578,7,FALSE)/100,"..")</f>
        <v>2.6887599999999998E-2</v>
      </c>
      <c r="BJ1691" s="117">
        <f>IFERROR($BI1691*$AW1691,"..")</f>
        <v>3993421932.2773547</v>
      </c>
      <c r="BK1691" s="846">
        <f>IFERROR($BB1691/$BJ1691,"..")</f>
        <v>1.0913316264047064</v>
      </c>
      <c r="BL1691" s="117">
        <f>IFERROR(VLOOKUP($D1691,'WB Data'!$C$3:$M$578,7,FALSE)/100,"..")</f>
        <v>2.6887599999999998E-2</v>
      </c>
      <c r="BM1691" s="117">
        <f>IFERROR($AW1691*$BL1691,"..")</f>
        <v>3993421932.2773547</v>
      </c>
      <c r="BN1691" s="846">
        <f>IFERROR($BB1691/$BM1691,"..")</f>
        <v>1.0913316264047064</v>
      </c>
      <c r="BO1691" s="801">
        <f t="shared" si="286"/>
        <v>38</v>
      </c>
      <c r="BP1691" s="117">
        <f>VLOOKUP($D1691,'WB Data'!$C$3:$M$578,9,FALSE)</f>
        <v>30.8</v>
      </c>
      <c r="BQ1691" s="117">
        <f>VLOOKUP($D1691,'WB Data'!$C$3:$M$578,10,FALSE)</f>
        <v>73.905097560975619</v>
      </c>
      <c r="BR1691" s="117">
        <f>VLOOKUP($D1691,'WB Data'!$C$3:$M$578,11,FALSE)</f>
        <v>15.2</v>
      </c>
      <c r="BS1691" s="129">
        <f>IFERROR(VLOOKUP($D1691,'WB Data 2'!$C$2:$K$545,9,FALSE),"..")</f>
        <v>97.373459999999994</v>
      </c>
      <c r="BT1691" s="129">
        <f>_xlfn.IFNA(VLOOKUP($C1691,RGI!$A$2:$C$43,2,FALSE),"..")</f>
        <v>76.8</v>
      </c>
      <c r="BU1691" s="129">
        <f>_xlfn.IFNA(VLOOKUP($C1691,RGI!$A$2:$C$43,3,FALSE),"..")</f>
        <v>72.816147461462435</v>
      </c>
      <c r="BV1691" s="129">
        <f>VLOOKUP($D1691,WGI!$C$2:$O$478,7,FALSE)</f>
        <v>6.6403653760441994E-2</v>
      </c>
      <c r="BW1691" s="129">
        <f>VLOOKUP($D1691,WGI!$C$2:$O$478,4,FALSE)</f>
        <v>-0.97688567284337502</v>
      </c>
      <c r="BX1691" s="129">
        <f>VLOOKUP($D1691,WGI!$C$2:$O$478,3,FALSE)</f>
        <v>-0.203136729362278</v>
      </c>
      <c r="BY1691" s="129">
        <f>VLOOKUP($D1691,WGI!$C$2:$O$478,5,FALSE)</f>
        <v>0.460708707951485</v>
      </c>
      <c r="BZ1691" s="129">
        <f>VLOOKUP($D1691,WGI!$C$2:$O$478,2,FALSE)</f>
        <v>-0.25042827669247397</v>
      </c>
      <c r="CB1691" s="129"/>
    </row>
    <row r="1692" spans="1:80" s="120" customFormat="1" ht="15" customHeight="1">
      <c r="A1692" s="294" t="s">
        <v>458</v>
      </c>
      <c r="B1692" s="117">
        <v>2010</v>
      </c>
      <c r="C1692" s="117" t="s">
        <v>449</v>
      </c>
      <c r="D1692" s="117" t="s">
        <v>3677</v>
      </c>
      <c r="E1692" s="452" t="s">
        <v>220</v>
      </c>
      <c r="F1692" s="117"/>
      <c r="G1692" s="120" t="s">
        <v>24</v>
      </c>
      <c r="H1692" s="117" t="str">
        <f t="shared" si="291"/>
        <v>yes</v>
      </c>
      <c r="I1692" s="117" t="str">
        <f t="shared" si="283"/>
        <v>no</v>
      </c>
      <c r="J1692" s="117" t="str">
        <f t="shared" si="284"/>
        <v>no</v>
      </c>
      <c r="K1692" s="117" t="s">
        <v>1987</v>
      </c>
      <c r="L1692" s="117" t="str">
        <f t="shared" si="292"/>
        <v>detailed</v>
      </c>
      <c r="M1692" s="117" t="str">
        <f t="shared" si="285"/>
        <v>detailed Mining</v>
      </c>
      <c r="N1692" s="118"/>
      <c r="O1692" s="118"/>
      <c r="P1692" s="118"/>
      <c r="Q1692" s="118"/>
      <c r="R1692" s="118"/>
      <c r="S1692" s="117"/>
      <c r="T1692" s="119"/>
      <c r="U1692" s="117"/>
      <c r="V1692" s="117"/>
      <c r="W1692" s="89"/>
      <c r="X1692" s="117"/>
      <c r="Y1692" s="89"/>
      <c r="Z1692" s="89"/>
      <c r="AA1692" s="89"/>
      <c r="AB1692" s="89"/>
      <c r="AC1692" s="240"/>
      <c r="AD1692" s="240"/>
      <c r="AE1692" s="240"/>
      <c r="AF1692" s="241"/>
      <c r="AG1692" s="89"/>
      <c r="AH1692" s="124"/>
      <c r="AI1692" s="117"/>
      <c r="AJ1692" s="117"/>
      <c r="AK1692" s="89"/>
      <c r="AL1692" s="117"/>
      <c r="AM1692" s="117"/>
      <c r="AN1692" s="117"/>
      <c r="AO1692" s="117"/>
      <c r="AP1692" s="117"/>
      <c r="AQ1692" s="117"/>
      <c r="AR1692" s="117"/>
      <c r="AS1692" s="117"/>
      <c r="AT1692" s="117"/>
      <c r="AU1692" s="117"/>
      <c r="AV1692" s="128"/>
      <c r="AW1692" s="117">
        <f>VLOOKUP($D1692,'WB Data'!$C$3:$M$578,2,FALSE)</f>
        <v>148522810971.50192</v>
      </c>
      <c r="AX1692" s="117">
        <f>VLOOKUP($D1692,'WB Data'!$C$3:$M$578,3,FALSE)</f>
        <v>29262830</v>
      </c>
      <c r="AY1692" s="847">
        <f t="shared" si="287"/>
        <v>2.9343288238119179E-2</v>
      </c>
      <c r="AZ1692" s="117">
        <f>VLOOKUP($D1692,'WB Data'!$C$3:$M$578,4,FALSE)/100</f>
        <v>0.20145402042179156</v>
      </c>
      <c r="BA1692" s="117">
        <f t="shared" si="288"/>
        <v>29920517394.554836</v>
      </c>
      <c r="BB1692" s="129">
        <f>IFERROR(VLOOKUP($D1692,'EITI Revenues'!$C$2:$G$224,5,FALSE),"..")</f>
        <v>4358147652.2724705</v>
      </c>
      <c r="BC1692" s="846">
        <f t="shared" si="289"/>
        <v>0.14565749631941857</v>
      </c>
      <c r="BD1692" s="129">
        <f>VLOOKUP($D1692,'WB Data 2'!$C$2:$K$545,6,FALSE)</f>
        <v>23087442294.109867</v>
      </c>
      <c r="BE1692" s="129">
        <f>IFERROR(VLOOKUP($D1692,UNCTAD!$C$5:$V$529,4,FALSE),"..")</f>
        <v>39257548000</v>
      </c>
      <c r="BF1692" s="846">
        <f t="shared" si="290"/>
        <v>0.58810199491088611</v>
      </c>
      <c r="BG1692" s="117">
        <f>VLOOKUP($D1692,'WB Data'!$C$3:$M$578,5,FALSE)</f>
        <v>-255920000</v>
      </c>
      <c r="BH1692" s="129">
        <f>IFERROR($BB1692/$BG1692,"..")</f>
        <v>-17.029335934168767</v>
      </c>
      <c r="BI1692" s="117">
        <f>IFERROR(VLOOKUP($D1692,'WB Data'!$C$3:$M$578,7,FALSE)/100,"..")</f>
        <v>2.6887599999999998E-2</v>
      </c>
      <c r="BJ1692" s="117">
        <f>IFERROR($BI1692*$AW1692,"..")</f>
        <v>3993421932.2773547</v>
      </c>
      <c r="BK1692" s="846">
        <f>IFERROR($BB1692/$BJ1692,"..")</f>
        <v>1.0913316264047064</v>
      </c>
      <c r="BL1692" s="117">
        <f>IFERROR(VLOOKUP($D1692,'WB Data'!$C$3:$M$578,7,FALSE)/100,"..")</f>
        <v>2.6887599999999998E-2</v>
      </c>
      <c r="BM1692" s="117">
        <f>IFERROR($AW1692*$BL1692,"..")</f>
        <v>3993421932.2773547</v>
      </c>
      <c r="BN1692" s="846">
        <f>IFERROR($BB1692/$BM1692,"..")</f>
        <v>1.0913316264047064</v>
      </c>
      <c r="BO1692" s="801">
        <f t="shared" si="286"/>
        <v>38</v>
      </c>
      <c r="BP1692" s="117">
        <f>VLOOKUP($D1692,'WB Data'!$C$3:$M$578,9,FALSE)</f>
        <v>30.8</v>
      </c>
      <c r="BQ1692" s="117">
        <f>VLOOKUP($D1692,'WB Data'!$C$3:$M$578,10,FALSE)</f>
        <v>73.905097560975619</v>
      </c>
      <c r="BR1692" s="117">
        <f>VLOOKUP($D1692,'WB Data'!$C$3:$M$578,11,FALSE)</f>
        <v>15.2</v>
      </c>
      <c r="BS1692" s="129">
        <f>IFERROR(VLOOKUP($D1692,'WB Data 2'!$C$2:$K$545,9,FALSE),"..")</f>
        <v>97.373459999999994</v>
      </c>
      <c r="BT1692" s="129">
        <f>_xlfn.IFNA(VLOOKUP($C1692,RGI!$A$2:$C$43,2,FALSE),"..")</f>
        <v>76.8</v>
      </c>
      <c r="BU1692" s="129">
        <f>_xlfn.IFNA(VLOOKUP($C1692,RGI!$A$2:$C$43,3,FALSE),"..")</f>
        <v>72.816147461462435</v>
      </c>
      <c r="BV1692" s="129">
        <f>VLOOKUP($D1692,WGI!$C$2:$O$478,7,FALSE)</f>
        <v>6.6403653760441994E-2</v>
      </c>
      <c r="BW1692" s="129">
        <f>VLOOKUP($D1692,WGI!$C$2:$O$478,4,FALSE)</f>
        <v>-0.97688567284337502</v>
      </c>
      <c r="BX1692" s="129">
        <f>VLOOKUP($D1692,WGI!$C$2:$O$478,3,FALSE)</f>
        <v>-0.203136729362278</v>
      </c>
      <c r="BY1692" s="129">
        <f>VLOOKUP($D1692,WGI!$C$2:$O$478,5,FALSE)</f>
        <v>0.460708707951485</v>
      </c>
      <c r="BZ1692" s="129">
        <f>VLOOKUP($D1692,WGI!$C$2:$O$478,2,FALSE)</f>
        <v>-0.25042827669247397</v>
      </c>
      <c r="CB1692" s="129"/>
    </row>
    <row r="1693" spans="1:80" s="120" customFormat="1" ht="15" customHeight="1">
      <c r="A1693" s="294" t="s">
        <v>458</v>
      </c>
      <c r="B1693" s="117">
        <v>2010</v>
      </c>
      <c r="C1693" s="117" t="s">
        <v>449</v>
      </c>
      <c r="D1693" s="117" t="s">
        <v>3677</v>
      </c>
      <c r="E1693" s="452" t="s">
        <v>220</v>
      </c>
      <c r="F1693" s="117"/>
      <c r="G1693" s="120" t="s">
        <v>24</v>
      </c>
      <c r="H1693" s="117" t="str">
        <f t="shared" si="291"/>
        <v>yes</v>
      </c>
      <c r="I1693" s="117" t="str">
        <f t="shared" si="283"/>
        <v>no</v>
      </c>
      <c r="J1693" s="117" t="str">
        <f t="shared" si="284"/>
        <v>no</v>
      </c>
      <c r="K1693" s="117" t="s">
        <v>2099</v>
      </c>
      <c r="L1693" s="117" t="str">
        <f t="shared" si="292"/>
        <v>detailed</v>
      </c>
      <c r="M1693" s="117" t="str">
        <f t="shared" si="285"/>
        <v>detailed Mining</v>
      </c>
      <c r="N1693" s="118"/>
      <c r="O1693" s="118"/>
      <c r="P1693" s="118"/>
      <c r="Q1693" s="118"/>
      <c r="R1693" s="118"/>
      <c r="S1693" s="117"/>
      <c r="T1693" s="119"/>
      <c r="U1693" s="117"/>
      <c r="V1693" s="117"/>
      <c r="W1693" s="89"/>
      <c r="X1693" s="117"/>
      <c r="Y1693" s="89"/>
      <c r="Z1693" s="89"/>
      <c r="AA1693" s="89"/>
      <c r="AB1693" s="89"/>
      <c r="AC1693" s="240"/>
      <c r="AD1693" s="240"/>
      <c r="AE1693" s="240"/>
      <c r="AF1693" s="241"/>
      <c r="AG1693" s="89"/>
      <c r="AH1693" s="124"/>
      <c r="AI1693" s="117"/>
      <c r="AJ1693" s="117"/>
      <c r="AK1693" s="89"/>
      <c r="AL1693" s="117"/>
      <c r="AM1693" s="117"/>
      <c r="AN1693" s="117"/>
      <c r="AO1693" s="117"/>
      <c r="AP1693" s="117"/>
      <c r="AQ1693" s="117"/>
      <c r="AR1693" s="117"/>
      <c r="AS1693" s="117"/>
      <c r="AT1693" s="117"/>
      <c r="AU1693" s="117"/>
      <c r="AV1693" s="128"/>
      <c r="AW1693" s="117">
        <f>VLOOKUP($D1693,'WB Data'!$C$3:$M$578,2,FALSE)</f>
        <v>148522810971.50192</v>
      </c>
      <c r="AX1693" s="117">
        <f>VLOOKUP($D1693,'WB Data'!$C$3:$M$578,3,FALSE)</f>
        <v>29262830</v>
      </c>
      <c r="AY1693" s="847">
        <f t="shared" si="287"/>
        <v>2.9343288238119179E-2</v>
      </c>
      <c r="AZ1693" s="117">
        <f>VLOOKUP($D1693,'WB Data'!$C$3:$M$578,4,FALSE)/100</f>
        <v>0.20145402042179156</v>
      </c>
      <c r="BA1693" s="117">
        <f t="shared" si="288"/>
        <v>29920517394.554836</v>
      </c>
      <c r="BB1693" s="129">
        <f>IFERROR(VLOOKUP($D1693,'EITI Revenues'!$C$2:$G$224,5,FALSE),"..")</f>
        <v>4358147652.2724705</v>
      </c>
      <c r="BC1693" s="846">
        <f t="shared" si="289"/>
        <v>0.14565749631941857</v>
      </c>
      <c r="BD1693" s="129">
        <f>VLOOKUP($D1693,'WB Data 2'!$C$2:$K$545,6,FALSE)</f>
        <v>23087442294.109867</v>
      </c>
      <c r="BE1693" s="129">
        <f>IFERROR(VLOOKUP($D1693,UNCTAD!$C$5:$V$529,4,FALSE),"..")</f>
        <v>39257548000</v>
      </c>
      <c r="BF1693" s="846">
        <f t="shared" si="290"/>
        <v>0.58810199491088611</v>
      </c>
      <c r="BG1693" s="117">
        <f>VLOOKUP($D1693,'WB Data'!$C$3:$M$578,5,FALSE)</f>
        <v>-255920000</v>
      </c>
      <c r="BH1693" s="129">
        <f>IFERROR($BB1693/$BG1693,"..")</f>
        <v>-17.029335934168767</v>
      </c>
      <c r="BI1693" s="117">
        <f>IFERROR(VLOOKUP($D1693,'WB Data'!$C$3:$M$578,7,FALSE)/100,"..")</f>
        <v>2.6887599999999998E-2</v>
      </c>
      <c r="BJ1693" s="117">
        <f>IFERROR($BI1693*$AW1693,"..")</f>
        <v>3993421932.2773547</v>
      </c>
      <c r="BK1693" s="846">
        <f>IFERROR($BB1693/$BJ1693,"..")</f>
        <v>1.0913316264047064</v>
      </c>
      <c r="BL1693" s="117">
        <f>IFERROR(VLOOKUP($D1693,'WB Data'!$C$3:$M$578,7,FALSE)/100,"..")</f>
        <v>2.6887599999999998E-2</v>
      </c>
      <c r="BM1693" s="117">
        <f>IFERROR($AW1693*$BL1693,"..")</f>
        <v>3993421932.2773547</v>
      </c>
      <c r="BN1693" s="846">
        <f>IFERROR($BB1693/$BM1693,"..")</f>
        <v>1.0913316264047064</v>
      </c>
      <c r="BO1693" s="801">
        <f t="shared" si="286"/>
        <v>38</v>
      </c>
      <c r="BP1693" s="117">
        <f>VLOOKUP($D1693,'WB Data'!$C$3:$M$578,9,FALSE)</f>
        <v>30.8</v>
      </c>
      <c r="BQ1693" s="117">
        <f>VLOOKUP($D1693,'WB Data'!$C$3:$M$578,10,FALSE)</f>
        <v>73.905097560975619</v>
      </c>
      <c r="BR1693" s="117">
        <f>VLOOKUP($D1693,'WB Data'!$C$3:$M$578,11,FALSE)</f>
        <v>15.2</v>
      </c>
      <c r="BS1693" s="129">
        <f>IFERROR(VLOOKUP($D1693,'WB Data 2'!$C$2:$K$545,9,FALSE),"..")</f>
        <v>97.373459999999994</v>
      </c>
      <c r="BT1693" s="129">
        <f>_xlfn.IFNA(VLOOKUP($C1693,RGI!$A$2:$C$43,2,FALSE),"..")</f>
        <v>76.8</v>
      </c>
      <c r="BU1693" s="129">
        <f>_xlfn.IFNA(VLOOKUP($C1693,RGI!$A$2:$C$43,3,FALSE),"..")</f>
        <v>72.816147461462435</v>
      </c>
      <c r="BV1693" s="129">
        <f>VLOOKUP($D1693,WGI!$C$2:$O$478,7,FALSE)</f>
        <v>6.6403653760441994E-2</v>
      </c>
      <c r="BW1693" s="129">
        <f>VLOOKUP($D1693,WGI!$C$2:$O$478,4,FALSE)</f>
        <v>-0.97688567284337502</v>
      </c>
      <c r="BX1693" s="129">
        <f>VLOOKUP($D1693,WGI!$C$2:$O$478,3,FALSE)</f>
        <v>-0.203136729362278</v>
      </c>
      <c r="BY1693" s="129">
        <f>VLOOKUP($D1693,WGI!$C$2:$O$478,5,FALSE)</f>
        <v>0.460708707951485</v>
      </c>
      <c r="BZ1693" s="129">
        <f>VLOOKUP($D1693,WGI!$C$2:$O$478,2,FALSE)</f>
        <v>-0.25042827669247397</v>
      </c>
      <c r="CB1693" s="129"/>
    </row>
    <row r="1694" spans="1:80" s="120" customFormat="1" ht="15" customHeight="1">
      <c r="A1694" s="294" t="s">
        <v>458</v>
      </c>
      <c r="B1694" s="117">
        <v>2010</v>
      </c>
      <c r="C1694" s="117" t="s">
        <v>449</v>
      </c>
      <c r="D1694" s="117" t="s">
        <v>3677</v>
      </c>
      <c r="E1694" s="452" t="s">
        <v>220</v>
      </c>
      <c r="F1694" s="117"/>
      <c r="G1694" s="120" t="s">
        <v>24</v>
      </c>
      <c r="H1694" s="117" t="str">
        <f t="shared" si="291"/>
        <v>yes</v>
      </c>
      <c r="I1694" s="117" t="str">
        <f t="shared" si="283"/>
        <v>no</v>
      </c>
      <c r="J1694" s="117" t="str">
        <f t="shared" si="284"/>
        <v>no</v>
      </c>
      <c r="K1694" s="117" t="s">
        <v>2100</v>
      </c>
      <c r="L1694" s="117" t="str">
        <f t="shared" si="292"/>
        <v>detailed</v>
      </c>
      <c r="M1694" s="117" t="str">
        <f t="shared" si="285"/>
        <v>detailed Mining</v>
      </c>
      <c r="N1694" s="118"/>
      <c r="O1694" s="118"/>
      <c r="P1694" s="118"/>
      <c r="Q1694" s="118"/>
      <c r="R1694" s="118"/>
      <c r="S1694" s="117"/>
      <c r="T1694" s="119"/>
      <c r="U1694" s="117"/>
      <c r="V1694" s="117"/>
      <c r="W1694" s="89"/>
      <c r="X1694" s="117"/>
      <c r="Y1694" s="89"/>
      <c r="Z1694" s="89"/>
      <c r="AA1694" s="89"/>
      <c r="AB1694" s="89"/>
      <c r="AC1694" s="240"/>
      <c r="AD1694" s="240"/>
      <c r="AE1694" s="240"/>
      <c r="AF1694" s="241"/>
      <c r="AG1694" s="89"/>
      <c r="AH1694" s="124"/>
      <c r="AI1694" s="117"/>
      <c r="AJ1694" s="117"/>
      <c r="AK1694" s="89"/>
      <c r="AL1694" s="117"/>
      <c r="AM1694" s="117"/>
      <c r="AN1694" s="117"/>
      <c r="AO1694" s="117"/>
      <c r="AP1694" s="117"/>
      <c r="AQ1694" s="117"/>
      <c r="AR1694" s="117"/>
      <c r="AS1694" s="117"/>
      <c r="AT1694" s="117"/>
      <c r="AU1694" s="117"/>
      <c r="AV1694" s="128"/>
      <c r="AW1694" s="117">
        <f>VLOOKUP($D1694,'WB Data'!$C$3:$M$578,2,FALSE)</f>
        <v>148522810971.50192</v>
      </c>
      <c r="AX1694" s="117">
        <f>VLOOKUP($D1694,'WB Data'!$C$3:$M$578,3,FALSE)</f>
        <v>29262830</v>
      </c>
      <c r="AY1694" s="847">
        <f t="shared" si="287"/>
        <v>2.9343288238119179E-2</v>
      </c>
      <c r="AZ1694" s="117">
        <f>VLOOKUP($D1694,'WB Data'!$C$3:$M$578,4,FALSE)/100</f>
        <v>0.20145402042179156</v>
      </c>
      <c r="BA1694" s="117">
        <f t="shared" si="288"/>
        <v>29920517394.554836</v>
      </c>
      <c r="BB1694" s="129">
        <f>IFERROR(VLOOKUP($D1694,'EITI Revenues'!$C$2:$G$224,5,FALSE),"..")</f>
        <v>4358147652.2724705</v>
      </c>
      <c r="BC1694" s="846">
        <f t="shared" si="289"/>
        <v>0.14565749631941857</v>
      </c>
      <c r="BD1694" s="129">
        <f>VLOOKUP($D1694,'WB Data 2'!$C$2:$K$545,6,FALSE)</f>
        <v>23087442294.109867</v>
      </c>
      <c r="BE1694" s="129">
        <f>IFERROR(VLOOKUP($D1694,UNCTAD!$C$5:$V$529,4,FALSE),"..")</f>
        <v>39257548000</v>
      </c>
      <c r="BF1694" s="846">
        <f t="shared" si="290"/>
        <v>0.58810199491088611</v>
      </c>
      <c r="BG1694" s="117">
        <f>VLOOKUP($D1694,'WB Data'!$C$3:$M$578,5,FALSE)</f>
        <v>-255920000</v>
      </c>
      <c r="BH1694" s="129">
        <f>IFERROR($BB1694/$BG1694,"..")</f>
        <v>-17.029335934168767</v>
      </c>
      <c r="BI1694" s="117">
        <f>IFERROR(VLOOKUP($D1694,'WB Data'!$C$3:$M$578,7,FALSE)/100,"..")</f>
        <v>2.6887599999999998E-2</v>
      </c>
      <c r="BJ1694" s="117">
        <f>IFERROR($BI1694*$AW1694,"..")</f>
        <v>3993421932.2773547</v>
      </c>
      <c r="BK1694" s="846">
        <f>IFERROR($BB1694/$BJ1694,"..")</f>
        <v>1.0913316264047064</v>
      </c>
      <c r="BL1694" s="117">
        <f>IFERROR(VLOOKUP($D1694,'WB Data'!$C$3:$M$578,7,FALSE)/100,"..")</f>
        <v>2.6887599999999998E-2</v>
      </c>
      <c r="BM1694" s="117">
        <f>IFERROR($AW1694*$BL1694,"..")</f>
        <v>3993421932.2773547</v>
      </c>
      <c r="BN1694" s="846">
        <f>IFERROR($BB1694/$BM1694,"..")</f>
        <v>1.0913316264047064</v>
      </c>
      <c r="BO1694" s="801">
        <f t="shared" si="286"/>
        <v>38</v>
      </c>
      <c r="BP1694" s="117">
        <f>VLOOKUP($D1694,'WB Data'!$C$3:$M$578,9,FALSE)</f>
        <v>30.8</v>
      </c>
      <c r="BQ1694" s="117">
        <f>VLOOKUP($D1694,'WB Data'!$C$3:$M$578,10,FALSE)</f>
        <v>73.905097560975619</v>
      </c>
      <c r="BR1694" s="117">
        <f>VLOOKUP($D1694,'WB Data'!$C$3:$M$578,11,FALSE)</f>
        <v>15.2</v>
      </c>
      <c r="BS1694" s="129">
        <f>IFERROR(VLOOKUP($D1694,'WB Data 2'!$C$2:$K$545,9,FALSE),"..")</f>
        <v>97.373459999999994</v>
      </c>
      <c r="BT1694" s="129">
        <f>_xlfn.IFNA(VLOOKUP($C1694,RGI!$A$2:$C$43,2,FALSE),"..")</f>
        <v>76.8</v>
      </c>
      <c r="BU1694" s="129">
        <f>_xlfn.IFNA(VLOOKUP($C1694,RGI!$A$2:$C$43,3,FALSE),"..")</f>
        <v>72.816147461462435</v>
      </c>
      <c r="BV1694" s="129">
        <f>VLOOKUP($D1694,WGI!$C$2:$O$478,7,FALSE)</f>
        <v>6.6403653760441994E-2</v>
      </c>
      <c r="BW1694" s="129">
        <f>VLOOKUP($D1694,WGI!$C$2:$O$478,4,FALSE)</f>
        <v>-0.97688567284337502</v>
      </c>
      <c r="BX1694" s="129">
        <f>VLOOKUP($D1694,WGI!$C$2:$O$478,3,FALSE)</f>
        <v>-0.203136729362278</v>
      </c>
      <c r="BY1694" s="129">
        <f>VLOOKUP($D1694,WGI!$C$2:$O$478,5,FALSE)</f>
        <v>0.460708707951485</v>
      </c>
      <c r="BZ1694" s="129">
        <f>VLOOKUP($D1694,WGI!$C$2:$O$478,2,FALSE)</f>
        <v>-0.25042827669247397</v>
      </c>
      <c r="CB1694" s="129"/>
    </row>
    <row r="1695" spans="1:80" s="120" customFormat="1" ht="15" customHeight="1">
      <c r="A1695" s="294" t="s">
        <v>458</v>
      </c>
      <c r="B1695" s="117">
        <v>2010</v>
      </c>
      <c r="C1695" s="117" t="s">
        <v>449</v>
      </c>
      <c r="D1695" s="117" t="s">
        <v>3677</v>
      </c>
      <c r="E1695" s="452" t="s">
        <v>220</v>
      </c>
      <c r="F1695" s="117"/>
      <c r="G1695" s="120" t="s">
        <v>24</v>
      </c>
      <c r="H1695" s="117" t="str">
        <f t="shared" si="291"/>
        <v>yes</v>
      </c>
      <c r="I1695" s="117" t="str">
        <f t="shared" si="283"/>
        <v>no</v>
      </c>
      <c r="J1695" s="117" t="str">
        <f t="shared" si="284"/>
        <v>no</v>
      </c>
      <c r="K1695" s="117" t="s">
        <v>1437</v>
      </c>
      <c r="L1695" s="117" t="str">
        <f t="shared" si="292"/>
        <v>detailed</v>
      </c>
      <c r="M1695" s="117" t="str">
        <f t="shared" si="285"/>
        <v>detailed Mining</v>
      </c>
      <c r="N1695" s="118"/>
      <c r="O1695" s="118"/>
      <c r="P1695" s="118"/>
      <c r="Q1695" s="118"/>
      <c r="R1695" s="118"/>
      <c r="S1695" s="117"/>
      <c r="T1695" s="119"/>
      <c r="U1695" s="117"/>
      <c r="V1695" s="117"/>
      <c r="W1695" s="89"/>
      <c r="X1695" s="117"/>
      <c r="Y1695" s="89"/>
      <c r="Z1695" s="89"/>
      <c r="AA1695" s="89"/>
      <c r="AB1695" s="89"/>
      <c r="AC1695" s="240"/>
      <c r="AD1695" s="240"/>
      <c r="AE1695" s="240"/>
      <c r="AF1695" s="241"/>
      <c r="AG1695" s="89"/>
      <c r="AH1695" s="124"/>
      <c r="AI1695" s="117"/>
      <c r="AJ1695" s="117"/>
      <c r="AK1695" s="89"/>
      <c r="AL1695" s="117"/>
      <c r="AM1695" s="117"/>
      <c r="AN1695" s="117"/>
      <c r="AO1695" s="117"/>
      <c r="AP1695" s="117"/>
      <c r="AQ1695" s="117"/>
      <c r="AR1695" s="117"/>
      <c r="AS1695" s="117"/>
      <c r="AT1695" s="117"/>
      <c r="AU1695" s="117"/>
      <c r="AV1695" s="128"/>
      <c r="AW1695" s="117">
        <f>VLOOKUP($D1695,'WB Data'!$C$3:$M$578,2,FALSE)</f>
        <v>148522810971.50192</v>
      </c>
      <c r="AX1695" s="117">
        <f>VLOOKUP($D1695,'WB Data'!$C$3:$M$578,3,FALSE)</f>
        <v>29262830</v>
      </c>
      <c r="AY1695" s="847">
        <f t="shared" si="287"/>
        <v>2.9343288238119179E-2</v>
      </c>
      <c r="AZ1695" s="117">
        <f>VLOOKUP($D1695,'WB Data'!$C$3:$M$578,4,FALSE)/100</f>
        <v>0.20145402042179156</v>
      </c>
      <c r="BA1695" s="117">
        <f t="shared" si="288"/>
        <v>29920517394.554836</v>
      </c>
      <c r="BB1695" s="129">
        <f>IFERROR(VLOOKUP($D1695,'EITI Revenues'!$C$2:$G$224,5,FALSE),"..")</f>
        <v>4358147652.2724705</v>
      </c>
      <c r="BC1695" s="846">
        <f t="shared" si="289"/>
        <v>0.14565749631941857</v>
      </c>
      <c r="BD1695" s="129">
        <f>VLOOKUP($D1695,'WB Data 2'!$C$2:$K$545,6,FALSE)</f>
        <v>23087442294.109867</v>
      </c>
      <c r="BE1695" s="129">
        <f>IFERROR(VLOOKUP($D1695,UNCTAD!$C$5:$V$529,4,FALSE),"..")</f>
        <v>39257548000</v>
      </c>
      <c r="BF1695" s="846">
        <f t="shared" si="290"/>
        <v>0.58810199491088611</v>
      </c>
      <c r="BG1695" s="117">
        <f>VLOOKUP($D1695,'WB Data'!$C$3:$M$578,5,FALSE)</f>
        <v>-255920000</v>
      </c>
      <c r="BH1695" s="129">
        <f>IFERROR($BB1695/$BG1695,"..")</f>
        <v>-17.029335934168767</v>
      </c>
      <c r="BI1695" s="117">
        <f>IFERROR(VLOOKUP($D1695,'WB Data'!$C$3:$M$578,7,FALSE)/100,"..")</f>
        <v>2.6887599999999998E-2</v>
      </c>
      <c r="BJ1695" s="117">
        <f>IFERROR($BI1695*$AW1695,"..")</f>
        <v>3993421932.2773547</v>
      </c>
      <c r="BK1695" s="846">
        <f>IFERROR($BB1695/$BJ1695,"..")</f>
        <v>1.0913316264047064</v>
      </c>
      <c r="BL1695" s="117">
        <f>IFERROR(VLOOKUP($D1695,'WB Data'!$C$3:$M$578,7,FALSE)/100,"..")</f>
        <v>2.6887599999999998E-2</v>
      </c>
      <c r="BM1695" s="117">
        <f>IFERROR($AW1695*$BL1695,"..")</f>
        <v>3993421932.2773547</v>
      </c>
      <c r="BN1695" s="846">
        <f>IFERROR($BB1695/$BM1695,"..")</f>
        <v>1.0913316264047064</v>
      </c>
      <c r="BO1695" s="801">
        <f t="shared" si="286"/>
        <v>38</v>
      </c>
      <c r="BP1695" s="117">
        <f>VLOOKUP($D1695,'WB Data'!$C$3:$M$578,9,FALSE)</f>
        <v>30.8</v>
      </c>
      <c r="BQ1695" s="117">
        <f>VLOOKUP($D1695,'WB Data'!$C$3:$M$578,10,FALSE)</f>
        <v>73.905097560975619</v>
      </c>
      <c r="BR1695" s="117">
        <f>VLOOKUP($D1695,'WB Data'!$C$3:$M$578,11,FALSE)</f>
        <v>15.2</v>
      </c>
      <c r="BS1695" s="129">
        <f>IFERROR(VLOOKUP($D1695,'WB Data 2'!$C$2:$K$545,9,FALSE),"..")</f>
        <v>97.373459999999994</v>
      </c>
      <c r="BT1695" s="129">
        <f>_xlfn.IFNA(VLOOKUP($C1695,RGI!$A$2:$C$43,2,FALSE),"..")</f>
        <v>76.8</v>
      </c>
      <c r="BU1695" s="129">
        <f>_xlfn.IFNA(VLOOKUP($C1695,RGI!$A$2:$C$43,3,FALSE),"..")</f>
        <v>72.816147461462435</v>
      </c>
      <c r="BV1695" s="129">
        <f>VLOOKUP($D1695,WGI!$C$2:$O$478,7,FALSE)</f>
        <v>6.6403653760441994E-2</v>
      </c>
      <c r="BW1695" s="129">
        <f>VLOOKUP($D1695,WGI!$C$2:$O$478,4,FALSE)</f>
        <v>-0.97688567284337502</v>
      </c>
      <c r="BX1695" s="129">
        <f>VLOOKUP($D1695,WGI!$C$2:$O$478,3,FALSE)</f>
        <v>-0.203136729362278</v>
      </c>
      <c r="BY1695" s="129">
        <f>VLOOKUP($D1695,WGI!$C$2:$O$478,5,FALSE)</f>
        <v>0.460708707951485</v>
      </c>
      <c r="BZ1695" s="129">
        <f>VLOOKUP($D1695,WGI!$C$2:$O$478,2,FALSE)</f>
        <v>-0.25042827669247397</v>
      </c>
      <c r="CB1695" s="129"/>
    </row>
    <row r="1696" spans="1:80" s="120" customFormat="1" ht="15" customHeight="1">
      <c r="A1696" s="294" t="s">
        <v>458</v>
      </c>
      <c r="B1696" s="117">
        <v>2010</v>
      </c>
      <c r="C1696" s="117" t="s">
        <v>449</v>
      </c>
      <c r="D1696" s="117" t="s">
        <v>3677</v>
      </c>
      <c r="E1696" s="452" t="s">
        <v>220</v>
      </c>
      <c r="F1696" s="117"/>
      <c r="G1696" s="120" t="s">
        <v>24</v>
      </c>
      <c r="H1696" s="117" t="str">
        <f t="shared" si="291"/>
        <v>yes</v>
      </c>
      <c r="I1696" s="117" t="str">
        <f t="shared" si="283"/>
        <v>no</v>
      </c>
      <c r="J1696" s="117" t="str">
        <f t="shared" si="284"/>
        <v>no</v>
      </c>
      <c r="K1696" s="117" t="s">
        <v>2101</v>
      </c>
      <c r="L1696" s="117" t="str">
        <f t="shared" si="292"/>
        <v>detailed</v>
      </c>
      <c r="M1696" s="117" t="str">
        <f t="shared" si="285"/>
        <v>detailed Mining</v>
      </c>
      <c r="N1696" s="118"/>
      <c r="O1696" s="118"/>
      <c r="P1696" s="118"/>
      <c r="Q1696" s="118"/>
      <c r="R1696" s="118"/>
      <c r="S1696" s="117"/>
      <c r="T1696" s="119"/>
      <c r="U1696" s="117"/>
      <c r="V1696" s="117"/>
      <c r="W1696" s="89"/>
      <c r="X1696" s="117"/>
      <c r="Y1696" s="89"/>
      <c r="Z1696" s="89"/>
      <c r="AA1696" s="89"/>
      <c r="AB1696" s="89"/>
      <c r="AC1696" s="240"/>
      <c r="AD1696" s="240"/>
      <c r="AE1696" s="240"/>
      <c r="AF1696" s="241"/>
      <c r="AG1696" s="89"/>
      <c r="AH1696" s="124"/>
      <c r="AI1696" s="117"/>
      <c r="AJ1696" s="117"/>
      <c r="AK1696" s="89"/>
      <c r="AL1696" s="117"/>
      <c r="AM1696" s="117"/>
      <c r="AN1696" s="117"/>
      <c r="AO1696" s="117"/>
      <c r="AP1696" s="117"/>
      <c r="AQ1696" s="117"/>
      <c r="AR1696" s="117"/>
      <c r="AS1696" s="117"/>
      <c r="AT1696" s="117"/>
      <c r="AU1696" s="117"/>
      <c r="AV1696" s="128"/>
      <c r="AW1696" s="117">
        <f>VLOOKUP($D1696,'WB Data'!$C$3:$M$578,2,FALSE)</f>
        <v>148522810971.50192</v>
      </c>
      <c r="AX1696" s="117">
        <f>VLOOKUP($D1696,'WB Data'!$C$3:$M$578,3,FALSE)</f>
        <v>29262830</v>
      </c>
      <c r="AY1696" s="847">
        <f t="shared" si="287"/>
        <v>2.9343288238119179E-2</v>
      </c>
      <c r="AZ1696" s="117">
        <f>VLOOKUP($D1696,'WB Data'!$C$3:$M$578,4,FALSE)/100</f>
        <v>0.20145402042179156</v>
      </c>
      <c r="BA1696" s="117">
        <f t="shared" si="288"/>
        <v>29920517394.554836</v>
      </c>
      <c r="BB1696" s="129">
        <f>IFERROR(VLOOKUP($D1696,'EITI Revenues'!$C$2:$G$224,5,FALSE),"..")</f>
        <v>4358147652.2724705</v>
      </c>
      <c r="BC1696" s="846">
        <f t="shared" si="289"/>
        <v>0.14565749631941857</v>
      </c>
      <c r="BD1696" s="129">
        <f>VLOOKUP($D1696,'WB Data 2'!$C$2:$K$545,6,FALSE)</f>
        <v>23087442294.109867</v>
      </c>
      <c r="BE1696" s="129">
        <f>IFERROR(VLOOKUP($D1696,UNCTAD!$C$5:$V$529,4,FALSE),"..")</f>
        <v>39257548000</v>
      </c>
      <c r="BF1696" s="846">
        <f t="shared" si="290"/>
        <v>0.58810199491088611</v>
      </c>
      <c r="BG1696" s="117">
        <f>VLOOKUP($D1696,'WB Data'!$C$3:$M$578,5,FALSE)</f>
        <v>-255920000</v>
      </c>
      <c r="BH1696" s="129">
        <f>IFERROR($BB1696/$BG1696,"..")</f>
        <v>-17.029335934168767</v>
      </c>
      <c r="BI1696" s="117">
        <f>IFERROR(VLOOKUP($D1696,'WB Data'!$C$3:$M$578,7,FALSE)/100,"..")</f>
        <v>2.6887599999999998E-2</v>
      </c>
      <c r="BJ1696" s="117">
        <f>IFERROR($BI1696*$AW1696,"..")</f>
        <v>3993421932.2773547</v>
      </c>
      <c r="BK1696" s="846">
        <f>IFERROR($BB1696/$BJ1696,"..")</f>
        <v>1.0913316264047064</v>
      </c>
      <c r="BL1696" s="117">
        <f>IFERROR(VLOOKUP($D1696,'WB Data'!$C$3:$M$578,7,FALSE)/100,"..")</f>
        <v>2.6887599999999998E-2</v>
      </c>
      <c r="BM1696" s="117">
        <f>IFERROR($AW1696*$BL1696,"..")</f>
        <v>3993421932.2773547</v>
      </c>
      <c r="BN1696" s="846">
        <f>IFERROR($BB1696/$BM1696,"..")</f>
        <v>1.0913316264047064</v>
      </c>
      <c r="BO1696" s="801">
        <f t="shared" si="286"/>
        <v>38</v>
      </c>
      <c r="BP1696" s="117">
        <f>VLOOKUP($D1696,'WB Data'!$C$3:$M$578,9,FALSE)</f>
        <v>30.8</v>
      </c>
      <c r="BQ1696" s="117">
        <f>VLOOKUP($D1696,'WB Data'!$C$3:$M$578,10,FALSE)</f>
        <v>73.905097560975619</v>
      </c>
      <c r="BR1696" s="117">
        <f>VLOOKUP($D1696,'WB Data'!$C$3:$M$578,11,FALSE)</f>
        <v>15.2</v>
      </c>
      <c r="BS1696" s="129">
        <f>IFERROR(VLOOKUP($D1696,'WB Data 2'!$C$2:$K$545,9,FALSE),"..")</f>
        <v>97.373459999999994</v>
      </c>
      <c r="BT1696" s="129">
        <f>_xlfn.IFNA(VLOOKUP($C1696,RGI!$A$2:$C$43,2,FALSE),"..")</f>
        <v>76.8</v>
      </c>
      <c r="BU1696" s="129">
        <f>_xlfn.IFNA(VLOOKUP($C1696,RGI!$A$2:$C$43,3,FALSE),"..")</f>
        <v>72.816147461462435</v>
      </c>
      <c r="BV1696" s="129">
        <f>VLOOKUP($D1696,WGI!$C$2:$O$478,7,FALSE)</f>
        <v>6.6403653760441994E-2</v>
      </c>
      <c r="BW1696" s="129">
        <f>VLOOKUP($D1696,WGI!$C$2:$O$478,4,FALSE)</f>
        <v>-0.97688567284337502</v>
      </c>
      <c r="BX1696" s="129">
        <f>VLOOKUP($D1696,WGI!$C$2:$O$478,3,FALSE)</f>
        <v>-0.203136729362278</v>
      </c>
      <c r="BY1696" s="129">
        <f>VLOOKUP($D1696,WGI!$C$2:$O$478,5,FALSE)</f>
        <v>0.460708707951485</v>
      </c>
      <c r="BZ1696" s="129">
        <f>VLOOKUP($D1696,WGI!$C$2:$O$478,2,FALSE)</f>
        <v>-0.25042827669247397</v>
      </c>
      <c r="CB1696" s="129"/>
    </row>
    <row r="1697" spans="1:80" s="120" customFormat="1" ht="15" customHeight="1">
      <c r="A1697" s="294" t="s">
        <v>458</v>
      </c>
      <c r="B1697" s="117">
        <v>2010</v>
      </c>
      <c r="C1697" s="117" t="s">
        <v>449</v>
      </c>
      <c r="D1697" s="117" t="s">
        <v>3677</v>
      </c>
      <c r="E1697" s="452" t="s">
        <v>220</v>
      </c>
      <c r="F1697" s="117"/>
      <c r="G1697" s="120" t="s">
        <v>24</v>
      </c>
      <c r="H1697" s="117" t="str">
        <f t="shared" si="291"/>
        <v>yes</v>
      </c>
      <c r="I1697" s="117" t="str">
        <f t="shared" si="283"/>
        <v>no</v>
      </c>
      <c r="J1697" s="117" t="str">
        <f t="shared" si="284"/>
        <v>no</v>
      </c>
      <c r="K1697" s="117" t="s">
        <v>1147</v>
      </c>
      <c r="L1697" s="117" t="str">
        <f t="shared" si="292"/>
        <v>detailed</v>
      </c>
      <c r="M1697" s="117" t="str">
        <f t="shared" si="285"/>
        <v>detailed Mining</v>
      </c>
      <c r="N1697" s="118"/>
      <c r="O1697" s="118"/>
      <c r="P1697" s="118"/>
      <c r="Q1697" s="118"/>
      <c r="R1697" s="118"/>
      <c r="S1697" s="117"/>
      <c r="T1697" s="119"/>
      <c r="U1697" s="117"/>
      <c r="V1697" s="117"/>
      <c r="W1697" s="89"/>
      <c r="X1697" s="117"/>
      <c r="Y1697" s="89"/>
      <c r="Z1697" s="89"/>
      <c r="AA1697" s="89"/>
      <c r="AB1697" s="89"/>
      <c r="AC1697" s="240"/>
      <c r="AD1697" s="240"/>
      <c r="AE1697" s="240"/>
      <c r="AF1697" s="241"/>
      <c r="AG1697" s="89"/>
      <c r="AH1697" s="124"/>
      <c r="AI1697" s="117"/>
      <c r="AJ1697" s="117"/>
      <c r="AK1697" s="89"/>
      <c r="AL1697" s="117"/>
      <c r="AM1697" s="117"/>
      <c r="AN1697" s="117"/>
      <c r="AO1697" s="117"/>
      <c r="AP1697" s="117"/>
      <c r="AQ1697" s="117"/>
      <c r="AR1697" s="117"/>
      <c r="AS1697" s="117"/>
      <c r="AT1697" s="117"/>
      <c r="AU1697" s="117"/>
      <c r="AV1697" s="128"/>
      <c r="AW1697" s="117">
        <f>VLOOKUP($D1697,'WB Data'!$C$3:$M$578,2,FALSE)</f>
        <v>148522810971.50192</v>
      </c>
      <c r="AX1697" s="117">
        <f>VLOOKUP($D1697,'WB Data'!$C$3:$M$578,3,FALSE)</f>
        <v>29262830</v>
      </c>
      <c r="AY1697" s="847">
        <f t="shared" si="287"/>
        <v>2.9343288238119179E-2</v>
      </c>
      <c r="AZ1697" s="117">
        <f>VLOOKUP($D1697,'WB Data'!$C$3:$M$578,4,FALSE)/100</f>
        <v>0.20145402042179156</v>
      </c>
      <c r="BA1697" s="117">
        <f t="shared" si="288"/>
        <v>29920517394.554836</v>
      </c>
      <c r="BB1697" s="129">
        <f>IFERROR(VLOOKUP($D1697,'EITI Revenues'!$C$2:$G$224,5,FALSE),"..")</f>
        <v>4358147652.2724705</v>
      </c>
      <c r="BC1697" s="846">
        <f t="shared" si="289"/>
        <v>0.14565749631941857</v>
      </c>
      <c r="BD1697" s="129">
        <f>VLOOKUP($D1697,'WB Data 2'!$C$2:$K$545,6,FALSE)</f>
        <v>23087442294.109867</v>
      </c>
      <c r="BE1697" s="129">
        <f>IFERROR(VLOOKUP($D1697,UNCTAD!$C$5:$V$529,4,FALSE),"..")</f>
        <v>39257548000</v>
      </c>
      <c r="BF1697" s="846">
        <f t="shared" si="290"/>
        <v>0.58810199491088611</v>
      </c>
      <c r="BG1697" s="117">
        <f>VLOOKUP($D1697,'WB Data'!$C$3:$M$578,5,FALSE)</f>
        <v>-255920000</v>
      </c>
      <c r="BH1697" s="129">
        <f>IFERROR($BB1697/$BG1697,"..")</f>
        <v>-17.029335934168767</v>
      </c>
      <c r="BI1697" s="117">
        <f>IFERROR(VLOOKUP($D1697,'WB Data'!$C$3:$M$578,7,FALSE)/100,"..")</f>
        <v>2.6887599999999998E-2</v>
      </c>
      <c r="BJ1697" s="117">
        <f>IFERROR($BI1697*$AW1697,"..")</f>
        <v>3993421932.2773547</v>
      </c>
      <c r="BK1697" s="846">
        <f>IFERROR($BB1697/$BJ1697,"..")</f>
        <v>1.0913316264047064</v>
      </c>
      <c r="BL1697" s="117">
        <f>IFERROR(VLOOKUP($D1697,'WB Data'!$C$3:$M$578,7,FALSE)/100,"..")</f>
        <v>2.6887599999999998E-2</v>
      </c>
      <c r="BM1697" s="117">
        <f>IFERROR($AW1697*$BL1697,"..")</f>
        <v>3993421932.2773547</v>
      </c>
      <c r="BN1697" s="846">
        <f>IFERROR($BB1697/$BM1697,"..")</f>
        <v>1.0913316264047064</v>
      </c>
      <c r="BO1697" s="801">
        <f t="shared" si="286"/>
        <v>38</v>
      </c>
      <c r="BP1697" s="117">
        <f>VLOOKUP($D1697,'WB Data'!$C$3:$M$578,9,FALSE)</f>
        <v>30.8</v>
      </c>
      <c r="BQ1697" s="117">
        <f>VLOOKUP($D1697,'WB Data'!$C$3:$M$578,10,FALSE)</f>
        <v>73.905097560975619</v>
      </c>
      <c r="BR1697" s="117">
        <f>VLOOKUP($D1697,'WB Data'!$C$3:$M$578,11,FALSE)</f>
        <v>15.2</v>
      </c>
      <c r="BS1697" s="129">
        <f>IFERROR(VLOOKUP($D1697,'WB Data 2'!$C$2:$K$545,9,FALSE),"..")</f>
        <v>97.373459999999994</v>
      </c>
      <c r="BT1697" s="129">
        <f>_xlfn.IFNA(VLOOKUP($C1697,RGI!$A$2:$C$43,2,FALSE),"..")</f>
        <v>76.8</v>
      </c>
      <c r="BU1697" s="129">
        <f>_xlfn.IFNA(VLOOKUP($C1697,RGI!$A$2:$C$43,3,FALSE),"..")</f>
        <v>72.816147461462435</v>
      </c>
      <c r="BV1697" s="129">
        <f>VLOOKUP($D1697,WGI!$C$2:$O$478,7,FALSE)</f>
        <v>6.6403653760441994E-2</v>
      </c>
      <c r="BW1697" s="129">
        <f>VLOOKUP($D1697,WGI!$C$2:$O$478,4,FALSE)</f>
        <v>-0.97688567284337502</v>
      </c>
      <c r="BX1697" s="129">
        <f>VLOOKUP($D1697,WGI!$C$2:$O$478,3,FALSE)</f>
        <v>-0.203136729362278</v>
      </c>
      <c r="BY1697" s="129">
        <f>VLOOKUP($D1697,WGI!$C$2:$O$478,5,FALSE)</f>
        <v>0.460708707951485</v>
      </c>
      <c r="BZ1697" s="129">
        <f>VLOOKUP($D1697,WGI!$C$2:$O$478,2,FALSE)</f>
        <v>-0.25042827669247397</v>
      </c>
      <c r="CB1697" s="129"/>
    </row>
    <row r="1698" spans="1:80" s="120" customFormat="1" ht="15" customHeight="1">
      <c r="A1698" s="294" t="s">
        <v>458</v>
      </c>
      <c r="B1698" s="117">
        <v>2010</v>
      </c>
      <c r="C1698" s="117" t="s">
        <v>449</v>
      </c>
      <c r="D1698" s="117" t="s">
        <v>3677</v>
      </c>
      <c r="E1698" s="452" t="s">
        <v>220</v>
      </c>
      <c r="F1698" s="117"/>
      <c r="G1698" s="120" t="s">
        <v>24</v>
      </c>
      <c r="H1698" s="117" t="str">
        <f t="shared" si="291"/>
        <v>yes</v>
      </c>
      <c r="I1698" s="117" t="str">
        <f t="shared" si="283"/>
        <v>no</v>
      </c>
      <c r="J1698" s="117" t="str">
        <f t="shared" si="284"/>
        <v>no</v>
      </c>
      <c r="K1698" s="117" t="s">
        <v>970</v>
      </c>
      <c r="L1698" s="117" t="str">
        <f t="shared" si="292"/>
        <v>detailed</v>
      </c>
      <c r="M1698" s="117" t="str">
        <f t="shared" si="285"/>
        <v>detailed Mining</v>
      </c>
      <c r="N1698" s="118"/>
      <c r="O1698" s="118"/>
      <c r="P1698" s="118"/>
      <c r="Q1698" s="118"/>
      <c r="R1698" s="118"/>
      <c r="S1698" s="117"/>
      <c r="T1698" s="119"/>
      <c r="U1698" s="117"/>
      <c r="V1698" s="117"/>
      <c r="W1698" s="89"/>
      <c r="X1698" s="117"/>
      <c r="Y1698" s="89"/>
      <c r="Z1698" s="89"/>
      <c r="AA1698" s="89"/>
      <c r="AB1698" s="89"/>
      <c r="AC1698" s="240"/>
      <c r="AD1698" s="240"/>
      <c r="AE1698" s="240"/>
      <c r="AF1698" s="241"/>
      <c r="AG1698" s="89"/>
      <c r="AH1698" s="124"/>
      <c r="AI1698" s="117"/>
      <c r="AJ1698" s="117"/>
      <c r="AK1698" s="89"/>
      <c r="AL1698" s="117"/>
      <c r="AM1698" s="117"/>
      <c r="AN1698" s="117"/>
      <c r="AO1698" s="117"/>
      <c r="AP1698" s="117"/>
      <c r="AQ1698" s="117"/>
      <c r="AR1698" s="117"/>
      <c r="AS1698" s="117"/>
      <c r="AT1698" s="117"/>
      <c r="AU1698" s="117"/>
      <c r="AV1698" s="128"/>
      <c r="AW1698" s="117">
        <f>VLOOKUP($D1698,'WB Data'!$C$3:$M$578,2,FALSE)</f>
        <v>148522810971.50192</v>
      </c>
      <c r="AX1698" s="117">
        <f>VLOOKUP($D1698,'WB Data'!$C$3:$M$578,3,FALSE)</f>
        <v>29262830</v>
      </c>
      <c r="AY1698" s="847">
        <f t="shared" si="287"/>
        <v>2.9343288238119179E-2</v>
      </c>
      <c r="AZ1698" s="117">
        <f>VLOOKUP($D1698,'WB Data'!$C$3:$M$578,4,FALSE)/100</f>
        <v>0.20145402042179156</v>
      </c>
      <c r="BA1698" s="117">
        <f t="shared" si="288"/>
        <v>29920517394.554836</v>
      </c>
      <c r="BB1698" s="129">
        <f>IFERROR(VLOOKUP($D1698,'EITI Revenues'!$C$2:$G$224,5,FALSE),"..")</f>
        <v>4358147652.2724705</v>
      </c>
      <c r="BC1698" s="846">
        <f t="shared" si="289"/>
        <v>0.14565749631941857</v>
      </c>
      <c r="BD1698" s="129">
        <f>VLOOKUP($D1698,'WB Data 2'!$C$2:$K$545,6,FALSE)</f>
        <v>23087442294.109867</v>
      </c>
      <c r="BE1698" s="129">
        <f>IFERROR(VLOOKUP($D1698,UNCTAD!$C$5:$V$529,4,FALSE),"..")</f>
        <v>39257548000</v>
      </c>
      <c r="BF1698" s="846">
        <f t="shared" si="290"/>
        <v>0.58810199491088611</v>
      </c>
      <c r="BG1698" s="117">
        <f>VLOOKUP($D1698,'WB Data'!$C$3:$M$578,5,FALSE)</f>
        <v>-255920000</v>
      </c>
      <c r="BH1698" s="129">
        <f>IFERROR($BB1698/$BG1698,"..")</f>
        <v>-17.029335934168767</v>
      </c>
      <c r="BI1698" s="117">
        <f>IFERROR(VLOOKUP($D1698,'WB Data'!$C$3:$M$578,7,FALSE)/100,"..")</f>
        <v>2.6887599999999998E-2</v>
      </c>
      <c r="BJ1698" s="117">
        <f>IFERROR($BI1698*$AW1698,"..")</f>
        <v>3993421932.2773547</v>
      </c>
      <c r="BK1698" s="846">
        <f>IFERROR($BB1698/$BJ1698,"..")</f>
        <v>1.0913316264047064</v>
      </c>
      <c r="BL1698" s="117">
        <f>IFERROR(VLOOKUP($D1698,'WB Data'!$C$3:$M$578,7,FALSE)/100,"..")</f>
        <v>2.6887599999999998E-2</v>
      </c>
      <c r="BM1698" s="117">
        <f>IFERROR($AW1698*$BL1698,"..")</f>
        <v>3993421932.2773547</v>
      </c>
      <c r="BN1698" s="846">
        <f>IFERROR($BB1698/$BM1698,"..")</f>
        <v>1.0913316264047064</v>
      </c>
      <c r="BO1698" s="801">
        <f t="shared" si="286"/>
        <v>38</v>
      </c>
      <c r="BP1698" s="117">
        <f>VLOOKUP($D1698,'WB Data'!$C$3:$M$578,9,FALSE)</f>
        <v>30.8</v>
      </c>
      <c r="BQ1698" s="117">
        <f>VLOOKUP($D1698,'WB Data'!$C$3:$M$578,10,FALSE)</f>
        <v>73.905097560975619</v>
      </c>
      <c r="BR1698" s="117">
        <f>VLOOKUP($D1698,'WB Data'!$C$3:$M$578,11,FALSE)</f>
        <v>15.2</v>
      </c>
      <c r="BS1698" s="129">
        <f>IFERROR(VLOOKUP($D1698,'WB Data 2'!$C$2:$K$545,9,FALSE),"..")</f>
        <v>97.373459999999994</v>
      </c>
      <c r="BT1698" s="129">
        <f>_xlfn.IFNA(VLOOKUP($C1698,RGI!$A$2:$C$43,2,FALSE),"..")</f>
        <v>76.8</v>
      </c>
      <c r="BU1698" s="129">
        <f>_xlfn.IFNA(VLOOKUP($C1698,RGI!$A$2:$C$43,3,FALSE),"..")</f>
        <v>72.816147461462435</v>
      </c>
      <c r="BV1698" s="129">
        <f>VLOOKUP($D1698,WGI!$C$2:$O$478,7,FALSE)</f>
        <v>6.6403653760441994E-2</v>
      </c>
      <c r="BW1698" s="129">
        <f>VLOOKUP($D1698,WGI!$C$2:$O$478,4,FALSE)</f>
        <v>-0.97688567284337502</v>
      </c>
      <c r="BX1698" s="129">
        <f>VLOOKUP($D1698,WGI!$C$2:$O$478,3,FALSE)</f>
        <v>-0.203136729362278</v>
      </c>
      <c r="BY1698" s="129">
        <f>VLOOKUP($D1698,WGI!$C$2:$O$478,5,FALSE)</f>
        <v>0.460708707951485</v>
      </c>
      <c r="BZ1698" s="129">
        <f>VLOOKUP($D1698,WGI!$C$2:$O$478,2,FALSE)</f>
        <v>-0.25042827669247397</v>
      </c>
      <c r="CB1698" s="129"/>
    </row>
    <row r="1699" spans="1:80" s="120" customFormat="1" ht="15" customHeight="1">
      <c r="A1699" s="294" t="s">
        <v>458</v>
      </c>
      <c r="B1699" s="117">
        <v>2010</v>
      </c>
      <c r="C1699" s="117" t="s">
        <v>449</v>
      </c>
      <c r="D1699" s="117" t="s">
        <v>3677</v>
      </c>
      <c r="E1699" s="452" t="s">
        <v>220</v>
      </c>
      <c r="F1699" s="117"/>
      <c r="G1699" s="120" t="s">
        <v>24</v>
      </c>
      <c r="H1699" s="117" t="str">
        <f t="shared" si="291"/>
        <v>yes</v>
      </c>
      <c r="I1699" s="117" t="str">
        <f t="shared" si="283"/>
        <v>no</v>
      </c>
      <c r="J1699" s="117" t="str">
        <f t="shared" si="284"/>
        <v>no</v>
      </c>
      <c r="K1699" s="117" t="s">
        <v>2044</v>
      </c>
      <c r="L1699" s="117" t="str">
        <f t="shared" si="292"/>
        <v>detailed</v>
      </c>
      <c r="M1699" s="117" t="str">
        <f t="shared" si="285"/>
        <v>detailed Mining</v>
      </c>
      <c r="N1699" s="118"/>
      <c r="O1699" s="118"/>
      <c r="P1699" s="118"/>
      <c r="Q1699" s="118"/>
      <c r="R1699" s="118"/>
      <c r="S1699" s="117"/>
      <c r="T1699" s="119"/>
      <c r="U1699" s="117"/>
      <c r="V1699" s="117"/>
      <c r="W1699" s="89"/>
      <c r="X1699" s="117"/>
      <c r="Y1699" s="89"/>
      <c r="Z1699" s="89"/>
      <c r="AA1699" s="89"/>
      <c r="AB1699" s="89"/>
      <c r="AC1699" s="240"/>
      <c r="AD1699" s="240"/>
      <c r="AE1699" s="240"/>
      <c r="AF1699" s="241"/>
      <c r="AG1699" s="89"/>
      <c r="AH1699" s="124"/>
      <c r="AI1699" s="117"/>
      <c r="AJ1699" s="117"/>
      <c r="AK1699" s="89"/>
      <c r="AL1699" s="117"/>
      <c r="AM1699" s="117"/>
      <c r="AN1699" s="117"/>
      <c r="AO1699" s="117"/>
      <c r="AP1699" s="117"/>
      <c r="AQ1699" s="117"/>
      <c r="AR1699" s="117"/>
      <c r="AS1699" s="117"/>
      <c r="AT1699" s="117"/>
      <c r="AU1699" s="117"/>
      <c r="AV1699" s="128"/>
      <c r="AW1699" s="117">
        <f>VLOOKUP($D1699,'WB Data'!$C$3:$M$578,2,FALSE)</f>
        <v>148522810971.50192</v>
      </c>
      <c r="AX1699" s="117">
        <f>VLOOKUP($D1699,'WB Data'!$C$3:$M$578,3,FALSE)</f>
        <v>29262830</v>
      </c>
      <c r="AY1699" s="847">
        <f t="shared" si="287"/>
        <v>2.9343288238119179E-2</v>
      </c>
      <c r="AZ1699" s="117">
        <f>VLOOKUP($D1699,'WB Data'!$C$3:$M$578,4,FALSE)/100</f>
        <v>0.20145402042179156</v>
      </c>
      <c r="BA1699" s="117">
        <f t="shared" si="288"/>
        <v>29920517394.554836</v>
      </c>
      <c r="BB1699" s="129">
        <f>IFERROR(VLOOKUP($D1699,'EITI Revenues'!$C$2:$G$224,5,FALSE),"..")</f>
        <v>4358147652.2724705</v>
      </c>
      <c r="BC1699" s="846">
        <f t="shared" si="289"/>
        <v>0.14565749631941857</v>
      </c>
      <c r="BD1699" s="129">
        <f>VLOOKUP($D1699,'WB Data 2'!$C$2:$K$545,6,FALSE)</f>
        <v>23087442294.109867</v>
      </c>
      <c r="BE1699" s="129">
        <f>IFERROR(VLOOKUP($D1699,UNCTAD!$C$5:$V$529,4,FALSE),"..")</f>
        <v>39257548000</v>
      </c>
      <c r="BF1699" s="846">
        <f t="shared" si="290"/>
        <v>0.58810199491088611</v>
      </c>
      <c r="BG1699" s="117">
        <f>VLOOKUP($D1699,'WB Data'!$C$3:$M$578,5,FALSE)</f>
        <v>-255920000</v>
      </c>
      <c r="BH1699" s="129">
        <f>IFERROR($BB1699/$BG1699,"..")</f>
        <v>-17.029335934168767</v>
      </c>
      <c r="BI1699" s="117">
        <f>IFERROR(VLOOKUP($D1699,'WB Data'!$C$3:$M$578,7,FALSE)/100,"..")</f>
        <v>2.6887599999999998E-2</v>
      </c>
      <c r="BJ1699" s="117">
        <f>IFERROR($BI1699*$AW1699,"..")</f>
        <v>3993421932.2773547</v>
      </c>
      <c r="BK1699" s="846">
        <f>IFERROR($BB1699/$BJ1699,"..")</f>
        <v>1.0913316264047064</v>
      </c>
      <c r="BL1699" s="117">
        <f>IFERROR(VLOOKUP($D1699,'WB Data'!$C$3:$M$578,7,FALSE)/100,"..")</f>
        <v>2.6887599999999998E-2</v>
      </c>
      <c r="BM1699" s="117">
        <f>IFERROR($AW1699*$BL1699,"..")</f>
        <v>3993421932.2773547</v>
      </c>
      <c r="BN1699" s="846">
        <f>IFERROR($BB1699/$BM1699,"..")</f>
        <v>1.0913316264047064</v>
      </c>
      <c r="BO1699" s="801">
        <f t="shared" si="286"/>
        <v>38</v>
      </c>
      <c r="BP1699" s="117">
        <f>VLOOKUP($D1699,'WB Data'!$C$3:$M$578,9,FALSE)</f>
        <v>30.8</v>
      </c>
      <c r="BQ1699" s="117">
        <f>VLOOKUP($D1699,'WB Data'!$C$3:$M$578,10,FALSE)</f>
        <v>73.905097560975619</v>
      </c>
      <c r="BR1699" s="117">
        <f>VLOOKUP($D1699,'WB Data'!$C$3:$M$578,11,FALSE)</f>
        <v>15.2</v>
      </c>
      <c r="BS1699" s="129">
        <f>IFERROR(VLOOKUP($D1699,'WB Data 2'!$C$2:$K$545,9,FALSE),"..")</f>
        <v>97.373459999999994</v>
      </c>
      <c r="BT1699" s="129">
        <f>_xlfn.IFNA(VLOOKUP($C1699,RGI!$A$2:$C$43,2,FALSE),"..")</f>
        <v>76.8</v>
      </c>
      <c r="BU1699" s="129">
        <f>_xlfn.IFNA(VLOOKUP($C1699,RGI!$A$2:$C$43,3,FALSE),"..")</f>
        <v>72.816147461462435</v>
      </c>
      <c r="BV1699" s="129">
        <f>VLOOKUP($D1699,WGI!$C$2:$O$478,7,FALSE)</f>
        <v>6.6403653760441994E-2</v>
      </c>
      <c r="BW1699" s="129">
        <f>VLOOKUP($D1699,WGI!$C$2:$O$478,4,FALSE)</f>
        <v>-0.97688567284337502</v>
      </c>
      <c r="BX1699" s="129">
        <f>VLOOKUP($D1699,WGI!$C$2:$O$478,3,FALSE)</f>
        <v>-0.203136729362278</v>
      </c>
      <c r="BY1699" s="129">
        <f>VLOOKUP($D1699,WGI!$C$2:$O$478,5,FALSE)</f>
        <v>0.460708707951485</v>
      </c>
      <c r="BZ1699" s="129">
        <f>VLOOKUP($D1699,WGI!$C$2:$O$478,2,FALSE)</f>
        <v>-0.25042827669247397</v>
      </c>
      <c r="CB1699" s="129"/>
    </row>
    <row r="1700" spans="1:80" s="120" customFormat="1" ht="15" customHeight="1">
      <c r="A1700" s="294" t="s">
        <v>458</v>
      </c>
      <c r="B1700" s="117">
        <v>2010</v>
      </c>
      <c r="C1700" s="117" t="s">
        <v>449</v>
      </c>
      <c r="D1700" s="117" t="s">
        <v>3677</v>
      </c>
      <c r="E1700" s="452" t="s">
        <v>220</v>
      </c>
      <c r="F1700" s="117"/>
      <c r="G1700" s="120" t="s">
        <v>24</v>
      </c>
      <c r="H1700" s="117" t="str">
        <f t="shared" si="291"/>
        <v>yes</v>
      </c>
      <c r="I1700" s="117" t="str">
        <f t="shared" si="283"/>
        <v>no</v>
      </c>
      <c r="J1700" s="117" t="str">
        <f t="shared" si="284"/>
        <v>no</v>
      </c>
      <c r="K1700" s="117" t="s">
        <v>2076</v>
      </c>
      <c r="L1700" s="117" t="str">
        <f t="shared" si="292"/>
        <v>detailed</v>
      </c>
      <c r="M1700" s="117" t="str">
        <f t="shared" si="285"/>
        <v>detailed Mining</v>
      </c>
      <c r="N1700" s="118"/>
      <c r="O1700" s="118"/>
      <c r="P1700" s="118"/>
      <c r="Q1700" s="118"/>
      <c r="R1700" s="118"/>
      <c r="S1700" s="117"/>
      <c r="T1700" s="119"/>
      <c r="U1700" s="117"/>
      <c r="V1700" s="117"/>
      <c r="W1700" s="89"/>
      <c r="X1700" s="117"/>
      <c r="Y1700" s="89"/>
      <c r="Z1700" s="89"/>
      <c r="AA1700" s="89"/>
      <c r="AB1700" s="89"/>
      <c r="AC1700" s="240"/>
      <c r="AD1700" s="240"/>
      <c r="AE1700" s="240"/>
      <c r="AF1700" s="241"/>
      <c r="AG1700" s="89"/>
      <c r="AH1700" s="124"/>
      <c r="AI1700" s="117"/>
      <c r="AJ1700" s="117"/>
      <c r="AK1700" s="89"/>
      <c r="AL1700" s="117"/>
      <c r="AM1700" s="117"/>
      <c r="AN1700" s="117"/>
      <c r="AO1700" s="117"/>
      <c r="AP1700" s="117"/>
      <c r="AQ1700" s="117"/>
      <c r="AR1700" s="117"/>
      <c r="AS1700" s="117"/>
      <c r="AT1700" s="117"/>
      <c r="AU1700" s="117"/>
      <c r="AV1700" s="128"/>
      <c r="AW1700" s="117">
        <f>VLOOKUP($D1700,'WB Data'!$C$3:$M$578,2,FALSE)</f>
        <v>148522810971.50192</v>
      </c>
      <c r="AX1700" s="117">
        <f>VLOOKUP($D1700,'WB Data'!$C$3:$M$578,3,FALSE)</f>
        <v>29262830</v>
      </c>
      <c r="AY1700" s="847">
        <f t="shared" si="287"/>
        <v>2.9343288238119179E-2</v>
      </c>
      <c r="AZ1700" s="117">
        <f>VLOOKUP($D1700,'WB Data'!$C$3:$M$578,4,FALSE)/100</f>
        <v>0.20145402042179156</v>
      </c>
      <c r="BA1700" s="117">
        <f t="shared" si="288"/>
        <v>29920517394.554836</v>
      </c>
      <c r="BB1700" s="129">
        <f>IFERROR(VLOOKUP($D1700,'EITI Revenues'!$C$2:$G$224,5,FALSE),"..")</f>
        <v>4358147652.2724705</v>
      </c>
      <c r="BC1700" s="846">
        <f t="shared" si="289"/>
        <v>0.14565749631941857</v>
      </c>
      <c r="BD1700" s="129">
        <f>VLOOKUP($D1700,'WB Data 2'!$C$2:$K$545,6,FALSE)</f>
        <v>23087442294.109867</v>
      </c>
      <c r="BE1700" s="129">
        <f>IFERROR(VLOOKUP($D1700,UNCTAD!$C$5:$V$529,4,FALSE),"..")</f>
        <v>39257548000</v>
      </c>
      <c r="BF1700" s="846">
        <f t="shared" si="290"/>
        <v>0.58810199491088611</v>
      </c>
      <c r="BG1700" s="117">
        <f>VLOOKUP($D1700,'WB Data'!$C$3:$M$578,5,FALSE)</f>
        <v>-255920000</v>
      </c>
      <c r="BH1700" s="129">
        <f>IFERROR($BB1700/$BG1700,"..")</f>
        <v>-17.029335934168767</v>
      </c>
      <c r="BI1700" s="117">
        <f>IFERROR(VLOOKUP($D1700,'WB Data'!$C$3:$M$578,7,FALSE)/100,"..")</f>
        <v>2.6887599999999998E-2</v>
      </c>
      <c r="BJ1700" s="117">
        <f>IFERROR($BI1700*$AW1700,"..")</f>
        <v>3993421932.2773547</v>
      </c>
      <c r="BK1700" s="846">
        <f>IFERROR($BB1700/$BJ1700,"..")</f>
        <v>1.0913316264047064</v>
      </c>
      <c r="BL1700" s="117">
        <f>IFERROR(VLOOKUP($D1700,'WB Data'!$C$3:$M$578,7,FALSE)/100,"..")</f>
        <v>2.6887599999999998E-2</v>
      </c>
      <c r="BM1700" s="117">
        <f>IFERROR($AW1700*$BL1700,"..")</f>
        <v>3993421932.2773547</v>
      </c>
      <c r="BN1700" s="846">
        <f>IFERROR($BB1700/$BM1700,"..")</f>
        <v>1.0913316264047064</v>
      </c>
      <c r="BO1700" s="801">
        <f t="shared" si="286"/>
        <v>38</v>
      </c>
      <c r="BP1700" s="117">
        <f>VLOOKUP($D1700,'WB Data'!$C$3:$M$578,9,FALSE)</f>
        <v>30.8</v>
      </c>
      <c r="BQ1700" s="117">
        <f>VLOOKUP($D1700,'WB Data'!$C$3:$M$578,10,FALSE)</f>
        <v>73.905097560975619</v>
      </c>
      <c r="BR1700" s="117">
        <f>VLOOKUP($D1700,'WB Data'!$C$3:$M$578,11,FALSE)</f>
        <v>15.2</v>
      </c>
      <c r="BS1700" s="129">
        <f>IFERROR(VLOOKUP($D1700,'WB Data 2'!$C$2:$K$545,9,FALSE),"..")</f>
        <v>97.373459999999994</v>
      </c>
      <c r="BT1700" s="129">
        <f>_xlfn.IFNA(VLOOKUP($C1700,RGI!$A$2:$C$43,2,FALSE),"..")</f>
        <v>76.8</v>
      </c>
      <c r="BU1700" s="129">
        <f>_xlfn.IFNA(VLOOKUP($C1700,RGI!$A$2:$C$43,3,FALSE),"..")</f>
        <v>72.816147461462435</v>
      </c>
      <c r="BV1700" s="129">
        <f>VLOOKUP($D1700,WGI!$C$2:$O$478,7,FALSE)</f>
        <v>6.6403653760441994E-2</v>
      </c>
      <c r="BW1700" s="129">
        <f>VLOOKUP($D1700,WGI!$C$2:$O$478,4,FALSE)</f>
        <v>-0.97688567284337502</v>
      </c>
      <c r="BX1700" s="129">
        <f>VLOOKUP($D1700,WGI!$C$2:$O$478,3,FALSE)</f>
        <v>-0.203136729362278</v>
      </c>
      <c r="BY1700" s="129">
        <f>VLOOKUP($D1700,WGI!$C$2:$O$478,5,FALSE)</f>
        <v>0.460708707951485</v>
      </c>
      <c r="BZ1700" s="129">
        <f>VLOOKUP($D1700,WGI!$C$2:$O$478,2,FALSE)</f>
        <v>-0.25042827669247397</v>
      </c>
      <c r="CB1700" s="129"/>
    </row>
    <row r="1701" spans="1:80" s="120" customFormat="1" ht="15" customHeight="1">
      <c r="A1701" s="294" t="s">
        <v>458</v>
      </c>
      <c r="B1701" s="117">
        <v>2010</v>
      </c>
      <c r="C1701" s="117" t="s">
        <v>449</v>
      </c>
      <c r="D1701" s="117" t="s">
        <v>3677</v>
      </c>
      <c r="E1701" s="452" t="s">
        <v>220</v>
      </c>
      <c r="F1701" s="117"/>
      <c r="G1701" s="120" t="s">
        <v>24</v>
      </c>
      <c r="H1701" s="117" t="str">
        <f t="shared" si="291"/>
        <v>yes</v>
      </c>
      <c r="I1701" s="117" t="str">
        <f t="shared" si="283"/>
        <v>no</v>
      </c>
      <c r="J1701" s="117" t="str">
        <f t="shared" si="284"/>
        <v>no</v>
      </c>
      <c r="K1701" s="117" t="s">
        <v>789</v>
      </c>
      <c r="L1701" s="117" t="str">
        <f t="shared" si="292"/>
        <v>detailed</v>
      </c>
      <c r="M1701" s="117" t="str">
        <f t="shared" si="285"/>
        <v>detailed Mining</v>
      </c>
      <c r="N1701" s="118"/>
      <c r="O1701" s="118"/>
      <c r="P1701" s="118"/>
      <c r="Q1701" s="118"/>
      <c r="R1701" s="118"/>
      <c r="S1701" s="117"/>
      <c r="T1701" s="119"/>
      <c r="U1701" s="117"/>
      <c r="V1701" s="117"/>
      <c r="W1701" s="89"/>
      <c r="X1701" s="117"/>
      <c r="Y1701" s="89"/>
      <c r="Z1701" s="89"/>
      <c r="AA1701" s="89"/>
      <c r="AB1701" s="89"/>
      <c r="AC1701" s="240"/>
      <c r="AD1701" s="240"/>
      <c r="AE1701" s="240"/>
      <c r="AF1701" s="241"/>
      <c r="AG1701" s="89"/>
      <c r="AH1701" s="124"/>
      <c r="AI1701" s="117"/>
      <c r="AJ1701" s="117"/>
      <c r="AK1701" s="89"/>
      <c r="AL1701" s="117"/>
      <c r="AM1701" s="117"/>
      <c r="AN1701" s="117"/>
      <c r="AO1701" s="117"/>
      <c r="AP1701" s="117"/>
      <c r="AQ1701" s="117"/>
      <c r="AR1701" s="117"/>
      <c r="AS1701" s="117"/>
      <c r="AT1701" s="117"/>
      <c r="AU1701" s="117"/>
      <c r="AV1701" s="128"/>
      <c r="AW1701" s="117">
        <f>VLOOKUP($D1701,'WB Data'!$C$3:$M$578,2,FALSE)</f>
        <v>148522810971.50192</v>
      </c>
      <c r="AX1701" s="117">
        <f>VLOOKUP($D1701,'WB Data'!$C$3:$M$578,3,FALSE)</f>
        <v>29262830</v>
      </c>
      <c r="AY1701" s="847">
        <f t="shared" si="287"/>
        <v>2.9343288238119179E-2</v>
      </c>
      <c r="AZ1701" s="117">
        <f>VLOOKUP($D1701,'WB Data'!$C$3:$M$578,4,FALSE)/100</f>
        <v>0.20145402042179156</v>
      </c>
      <c r="BA1701" s="117">
        <f t="shared" si="288"/>
        <v>29920517394.554836</v>
      </c>
      <c r="BB1701" s="129">
        <f>IFERROR(VLOOKUP($D1701,'EITI Revenues'!$C$2:$G$224,5,FALSE),"..")</f>
        <v>4358147652.2724705</v>
      </c>
      <c r="BC1701" s="846">
        <f t="shared" si="289"/>
        <v>0.14565749631941857</v>
      </c>
      <c r="BD1701" s="129">
        <f>VLOOKUP($D1701,'WB Data 2'!$C$2:$K$545,6,FALSE)</f>
        <v>23087442294.109867</v>
      </c>
      <c r="BE1701" s="129">
        <f>IFERROR(VLOOKUP($D1701,UNCTAD!$C$5:$V$529,4,FALSE),"..")</f>
        <v>39257548000</v>
      </c>
      <c r="BF1701" s="846">
        <f t="shared" si="290"/>
        <v>0.58810199491088611</v>
      </c>
      <c r="BG1701" s="117">
        <f>VLOOKUP($D1701,'WB Data'!$C$3:$M$578,5,FALSE)</f>
        <v>-255920000</v>
      </c>
      <c r="BH1701" s="129">
        <f>IFERROR($BB1701/$BG1701,"..")</f>
        <v>-17.029335934168767</v>
      </c>
      <c r="BI1701" s="117">
        <f>IFERROR(VLOOKUP($D1701,'WB Data'!$C$3:$M$578,7,FALSE)/100,"..")</f>
        <v>2.6887599999999998E-2</v>
      </c>
      <c r="BJ1701" s="117">
        <f>IFERROR($BI1701*$AW1701,"..")</f>
        <v>3993421932.2773547</v>
      </c>
      <c r="BK1701" s="846">
        <f>IFERROR($BB1701/$BJ1701,"..")</f>
        <v>1.0913316264047064</v>
      </c>
      <c r="BL1701" s="117">
        <f>IFERROR(VLOOKUP($D1701,'WB Data'!$C$3:$M$578,7,FALSE)/100,"..")</f>
        <v>2.6887599999999998E-2</v>
      </c>
      <c r="BM1701" s="117">
        <f>IFERROR($AW1701*$BL1701,"..")</f>
        <v>3993421932.2773547</v>
      </c>
      <c r="BN1701" s="846">
        <f>IFERROR($BB1701/$BM1701,"..")</f>
        <v>1.0913316264047064</v>
      </c>
      <c r="BO1701" s="801">
        <f t="shared" si="286"/>
        <v>38</v>
      </c>
      <c r="BP1701" s="117">
        <f>VLOOKUP($D1701,'WB Data'!$C$3:$M$578,9,FALSE)</f>
        <v>30.8</v>
      </c>
      <c r="BQ1701" s="117">
        <f>VLOOKUP($D1701,'WB Data'!$C$3:$M$578,10,FALSE)</f>
        <v>73.905097560975619</v>
      </c>
      <c r="BR1701" s="117">
        <f>VLOOKUP($D1701,'WB Data'!$C$3:$M$578,11,FALSE)</f>
        <v>15.2</v>
      </c>
      <c r="BS1701" s="129">
        <f>IFERROR(VLOOKUP($D1701,'WB Data 2'!$C$2:$K$545,9,FALSE),"..")</f>
        <v>97.373459999999994</v>
      </c>
      <c r="BT1701" s="129">
        <f>_xlfn.IFNA(VLOOKUP($C1701,RGI!$A$2:$C$43,2,FALSE),"..")</f>
        <v>76.8</v>
      </c>
      <c r="BU1701" s="129">
        <f>_xlfn.IFNA(VLOOKUP($C1701,RGI!$A$2:$C$43,3,FALSE),"..")</f>
        <v>72.816147461462435</v>
      </c>
      <c r="BV1701" s="129">
        <f>VLOOKUP($D1701,WGI!$C$2:$O$478,7,FALSE)</f>
        <v>6.6403653760441994E-2</v>
      </c>
      <c r="BW1701" s="129">
        <f>VLOOKUP($D1701,WGI!$C$2:$O$478,4,FALSE)</f>
        <v>-0.97688567284337502</v>
      </c>
      <c r="BX1701" s="129">
        <f>VLOOKUP($D1701,WGI!$C$2:$O$478,3,FALSE)</f>
        <v>-0.203136729362278</v>
      </c>
      <c r="BY1701" s="129">
        <f>VLOOKUP($D1701,WGI!$C$2:$O$478,5,FALSE)</f>
        <v>0.460708707951485</v>
      </c>
      <c r="BZ1701" s="129">
        <f>VLOOKUP($D1701,WGI!$C$2:$O$478,2,FALSE)</f>
        <v>-0.25042827669247397</v>
      </c>
      <c r="CB1701" s="129"/>
    </row>
    <row r="1702" spans="1:80" s="120" customFormat="1" ht="15" customHeight="1">
      <c r="A1702" s="294" t="s">
        <v>458</v>
      </c>
      <c r="B1702" s="117">
        <v>2010</v>
      </c>
      <c r="C1702" s="117" t="s">
        <v>449</v>
      </c>
      <c r="D1702" s="117" t="s">
        <v>3677</v>
      </c>
      <c r="E1702" s="452" t="s">
        <v>220</v>
      </c>
      <c r="F1702" s="117"/>
      <c r="G1702" s="120" t="s">
        <v>24</v>
      </c>
      <c r="H1702" s="117" t="str">
        <f t="shared" si="291"/>
        <v>yes</v>
      </c>
      <c r="I1702" s="117" t="str">
        <f t="shared" si="283"/>
        <v>no</v>
      </c>
      <c r="J1702" s="117" t="str">
        <f t="shared" si="284"/>
        <v>no</v>
      </c>
      <c r="K1702" s="117" t="s">
        <v>1241</v>
      </c>
      <c r="L1702" s="117" t="str">
        <f t="shared" si="292"/>
        <v>detailed</v>
      </c>
      <c r="M1702" s="117" t="str">
        <f t="shared" si="285"/>
        <v>detailed Mining</v>
      </c>
      <c r="N1702" s="118"/>
      <c r="O1702" s="118"/>
      <c r="P1702" s="118"/>
      <c r="Q1702" s="118"/>
      <c r="R1702" s="118"/>
      <c r="S1702" s="117"/>
      <c r="T1702" s="119"/>
      <c r="U1702" s="117"/>
      <c r="V1702" s="117"/>
      <c r="W1702" s="89"/>
      <c r="Y1702" s="89"/>
      <c r="Z1702" s="89"/>
      <c r="AA1702" s="89"/>
      <c r="AB1702" s="89"/>
      <c r="AC1702" s="240"/>
      <c r="AD1702" s="240"/>
      <c r="AE1702" s="240"/>
      <c r="AF1702" s="241"/>
      <c r="AG1702" s="89"/>
      <c r="AH1702" s="124"/>
      <c r="AI1702" s="117"/>
      <c r="AJ1702" s="117"/>
      <c r="AK1702" s="89"/>
      <c r="AL1702" s="117"/>
      <c r="AM1702" s="117"/>
      <c r="AN1702" s="117"/>
      <c r="AO1702" s="117"/>
      <c r="AP1702" s="117"/>
      <c r="AQ1702" s="117"/>
      <c r="AR1702" s="117"/>
      <c r="AS1702" s="117"/>
      <c r="AT1702" s="117"/>
      <c r="AU1702" s="117"/>
      <c r="AV1702" s="128"/>
      <c r="AW1702" s="117">
        <f>VLOOKUP($D1702,'WB Data'!$C$3:$M$578,2,FALSE)</f>
        <v>148522810971.50192</v>
      </c>
      <c r="AX1702" s="117">
        <f>VLOOKUP($D1702,'WB Data'!$C$3:$M$578,3,FALSE)</f>
        <v>29262830</v>
      </c>
      <c r="AY1702" s="847">
        <f t="shared" si="287"/>
        <v>2.9343288238119179E-2</v>
      </c>
      <c r="AZ1702" s="117">
        <f>VLOOKUP($D1702,'WB Data'!$C$3:$M$578,4,FALSE)/100</f>
        <v>0.20145402042179156</v>
      </c>
      <c r="BA1702" s="117">
        <f t="shared" si="288"/>
        <v>29920517394.554836</v>
      </c>
      <c r="BB1702" s="129">
        <f>IFERROR(VLOOKUP($D1702,'EITI Revenues'!$C$2:$G$224,5,FALSE),"..")</f>
        <v>4358147652.2724705</v>
      </c>
      <c r="BC1702" s="846">
        <f t="shared" si="289"/>
        <v>0.14565749631941857</v>
      </c>
      <c r="BD1702" s="129">
        <f>VLOOKUP($D1702,'WB Data 2'!$C$2:$K$545,6,FALSE)</f>
        <v>23087442294.109867</v>
      </c>
      <c r="BE1702" s="129">
        <f>IFERROR(VLOOKUP($D1702,UNCTAD!$C$5:$V$529,4,FALSE),"..")</f>
        <v>39257548000</v>
      </c>
      <c r="BF1702" s="846">
        <f t="shared" si="290"/>
        <v>0.58810199491088611</v>
      </c>
      <c r="BG1702" s="117">
        <f>VLOOKUP($D1702,'WB Data'!$C$3:$M$578,5,FALSE)</f>
        <v>-255920000</v>
      </c>
      <c r="BH1702" s="129">
        <f>IFERROR($BB1702/$BG1702,"..")</f>
        <v>-17.029335934168767</v>
      </c>
      <c r="BI1702" s="117">
        <f>IFERROR(VLOOKUP($D1702,'WB Data'!$C$3:$M$578,7,FALSE)/100,"..")</f>
        <v>2.6887599999999998E-2</v>
      </c>
      <c r="BJ1702" s="117">
        <f>IFERROR($BI1702*$AW1702,"..")</f>
        <v>3993421932.2773547</v>
      </c>
      <c r="BK1702" s="846">
        <f>IFERROR($BB1702/$BJ1702,"..")</f>
        <v>1.0913316264047064</v>
      </c>
      <c r="BL1702" s="117">
        <f>IFERROR(VLOOKUP($D1702,'WB Data'!$C$3:$M$578,7,FALSE)/100,"..")</f>
        <v>2.6887599999999998E-2</v>
      </c>
      <c r="BM1702" s="117">
        <f>IFERROR($AW1702*$BL1702,"..")</f>
        <v>3993421932.2773547</v>
      </c>
      <c r="BN1702" s="846">
        <f>IFERROR($BB1702/$BM1702,"..")</f>
        <v>1.0913316264047064</v>
      </c>
      <c r="BO1702" s="801">
        <f t="shared" si="286"/>
        <v>38</v>
      </c>
      <c r="BP1702" s="117">
        <f>VLOOKUP($D1702,'WB Data'!$C$3:$M$578,9,FALSE)</f>
        <v>30.8</v>
      </c>
      <c r="BQ1702" s="117">
        <f>VLOOKUP($D1702,'WB Data'!$C$3:$M$578,10,FALSE)</f>
        <v>73.905097560975619</v>
      </c>
      <c r="BR1702" s="117">
        <f>VLOOKUP($D1702,'WB Data'!$C$3:$M$578,11,FALSE)</f>
        <v>15.2</v>
      </c>
      <c r="BS1702" s="129">
        <f>IFERROR(VLOOKUP($D1702,'WB Data 2'!$C$2:$K$545,9,FALSE),"..")</f>
        <v>97.373459999999994</v>
      </c>
      <c r="BT1702" s="129">
        <f>_xlfn.IFNA(VLOOKUP($C1702,RGI!$A$2:$C$43,2,FALSE),"..")</f>
        <v>76.8</v>
      </c>
      <c r="BU1702" s="129">
        <f>_xlfn.IFNA(VLOOKUP($C1702,RGI!$A$2:$C$43,3,FALSE),"..")</f>
        <v>72.816147461462435</v>
      </c>
      <c r="BV1702" s="129">
        <f>VLOOKUP($D1702,WGI!$C$2:$O$478,7,FALSE)</f>
        <v>6.6403653760441994E-2</v>
      </c>
      <c r="BW1702" s="129">
        <f>VLOOKUP($D1702,WGI!$C$2:$O$478,4,FALSE)</f>
        <v>-0.97688567284337502</v>
      </c>
      <c r="BX1702" s="129">
        <f>VLOOKUP($D1702,WGI!$C$2:$O$478,3,FALSE)</f>
        <v>-0.203136729362278</v>
      </c>
      <c r="BY1702" s="129">
        <f>VLOOKUP($D1702,WGI!$C$2:$O$478,5,FALSE)</f>
        <v>0.460708707951485</v>
      </c>
      <c r="BZ1702" s="129">
        <f>VLOOKUP($D1702,WGI!$C$2:$O$478,2,FALSE)</f>
        <v>-0.25042827669247397</v>
      </c>
      <c r="CB1702" s="129"/>
    </row>
    <row r="1703" spans="1:80" s="120" customFormat="1" ht="15" customHeight="1">
      <c r="A1703" s="294" t="s">
        <v>458</v>
      </c>
      <c r="B1703" s="117">
        <v>2010</v>
      </c>
      <c r="C1703" s="117" t="s">
        <v>449</v>
      </c>
      <c r="D1703" s="117" t="s">
        <v>3677</v>
      </c>
      <c r="E1703" s="452" t="s">
        <v>220</v>
      </c>
      <c r="F1703" s="117"/>
      <c r="G1703" s="120" t="s">
        <v>24</v>
      </c>
      <c r="H1703" s="117" t="str">
        <f t="shared" si="291"/>
        <v>yes</v>
      </c>
      <c r="I1703" s="117" t="str">
        <f t="shared" si="283"/>
        <v>no</v>
      </c>
      <c r="J1703" s="117" t="str">
        <f t="shared" si="284"/>
        <v>no</v>
      </c>
      <c r="K1703" s="117" t="s">
        <v>2102</v>
      </c>
      <c r="L1703" s="117" t="str">
        <f t="shared" si="292"/>
        <v>detailed</v>
      </c>
      <c r="M1703" s="117" t="str">
        <f t="shared" si="285"/>
        <v>detailed Mining</v>
      </c>
      <c r="N1703" s="118"/>
      <c r="O1703" s="118"/>
      <c r="P1703" s="118"/>
      <c r="Q1703" s="118"/>
      <c r="R1703" s="118"/>
      <c r="S1703" s="117"/>
      <c r="T1703" s="119"/>
      <c r="U1703" s="117"/>
      <c r="V1703" s="117"/>
      <c r="W1703" s="89"/>
      <c r="Y1703" s="89"/>
      <c r="Z1703" s="89"/>
      <c r="AA1703" s="89"/>
      <c r="AB1703" s="89"/>
      <c r="AC1703" s="240"/>
      <c r="AD1703" s="240"/>
      <c r="AE1703" s="240"/>
      <c r="AF1703" s="241"/>
      <c r="AG1703" s="89"/>
      <c r="AH1703" s="124"/>
      <c r="AI1703" s="117"/>
      <c r="AJ1703" s="117"/>
      <c r="AK1703" s="89"/>
      <c r="AL1703" s="117"/>
      <c r="AM1703" s="117"/>
      <c r="AN1703" s="117"/>
      <c r="AO1703" s="117"/>
      <c r="AP1703" s="117"/>
      <c r="AQ1703" s="117"/>
      <c r="AR1703" s="117"/>
      <c r="AS1703" s="117"/>
      <c r="AT1703" s="117"/>
      <c r="AU1703" s="117"/>
      <c r="AV1703" s="128"/>
      <c r="AW1703" s="117">
        <f>VLOOKUP($D1703,'WB Data'!$C$3:$M$578,2,FALSE)</f>
        <v>148522810971.50192</v>
      </c>
      <c r="AX1703" s="117">
        <f>VLOOKUP($D1703,'WB Data'!$C$3:$M$578,3,FALSE)</f>
        <v>29262830</v>
      </c>
      <c r="AY1703" s="847">
        <f t="shared" si="287"/>
        <v>2.9343288238119179E-2</v>
      </c>
      <c r="AZ1703" s="117">
        <f>VLOOKUP($D1703,'WB Data'!$C$3:$M$578,4,FALSE)/100</f>
        <v>0.20145402042179156</v>
      </c>
      <c r="BA1703" s="117">
        <f t="shared" si="288"/>
        <v>29920517394.554836</v>
      </c>
      <c r="BB1703" s="129">
        <f>IFERROR(VLOOKUP($D1703,'EITI Revenues'!$C$2:$G$224,5,FALSE),"..")</f>
        <v>4358147652.2724705</v>
      </c>
      <c r="BC1703" s="846">
        <f t="shared" si="289"/>
        <v>0.14565749631941857</v>
      </c>
      <c r="BD1703" s="129">
        <f>VLOOKUP($D1703,'WB Data 2'!$C$2:$K$545,6,FALSE)</f>
        <v>23087442294.109867</v>
      </c>
      <c r="BE1703" s="129">
        <f>IFERROR(VLOOKUP($D1703,UNCTAD!$C$5:$V$529,4,FALSE),"..")</f>
        <v>39257548000</v>
      </c>
      <c r="BF1703" s="846">
        <f t="shared" si="290"/>
        <v>0.58810199491088611</v>
      </c>
      <c r="BG1703" s="117">
        <f>VLOOKUP($D1703,'WB Data'!$C$3:$M$578,5,FALSE)</f>
        <v>-255920000</v>
      </c>
      <c r="BH1703" s="129">
        <f>IFERROR($BB1703/$BG1703,"..")</f>
        <v>-17.029335934168767</v>
      </c>
      <c r="BI1703" s="117">
        <f>IFERROR(VLOOKUP($D1703,'WB Data'!$C$3:$M$578,7,FALSE)/100,"..")</f>
        <v>2.6887599999999998E-2</v>
      </c>
      <c r="BJ1703" s="117">
        <f>IFERROR($BI1703*$AW1703,"..")</f>
        <v>3993421932.2773547</v>
      </c>
      <c r="BK1703" s="846">
        <f>IFERROR($BB1703/$BJ1703,"..")</f>
        <v>1.0913316264047064</v>
      </c>
      <c r="BL1703" s="117">
        <f>IFERROR(VLOOKUP($D1703,'WB Data'!$C$3:$M$578,7,FALSE)/100,"..")</f>
        <v>2.6887599999999998E-2</v>
      </c>
      <c r="BM1703" s="117">
        <f>IFERROR($AW1703*$BL1703,"..")</f>
        <v>3993421932.2773547</v>
      </c>
      <c r="BN1703" s="846">
        <f>IFERROR($BB1703/$BM1703,"..")</f>
        <v>1.0913316264047064</v>
      </c>
      <c r="BO1703" s="801">
        <f t="shared" si="286"/>
        <v>38</v>
      </c>
      <c r="BP1703" s="117">
        <f>VLOOKUP($D1703,'WB Data'!$C$3:$M$578,9,FALSE)</f>
        <v>30.8</v>
      </c>
      <c r="BQ1703" s="117">
        <f>VLOOKUP($D1703,'WB Data'!$C$3:$M$578,10,FALSE)</f>
        <v>73.905097560975619</v>
      </c>
      <c r="BR1703" s="117">
        <f>VLOOKUP($D1703,'WB Data'!$C$3:$M$578,11,FALSE)</f>
        <v>15.2</v>
      </c>
      <c r="BS1703" s="129">
        <f>IFERROR(VLOOKUP($D1703,'WB Data 2'!$C$2:$K$545,9,FALSE),"..")</f>
        <v>97.373459999999994</v>
      </c>
      <c r="BT1703" s="129">
        <f>_xlfn.IFNA(VLOOKUP($C1703,RGI!$A$2:$C$43,2,FALSE),"..")</f>
        <v>76.8</v>
      </c>
      <c r="BU1703" s="129">
        <f>_xlfn.IFNA(VLOOKUP($C1703,RGI!$A$2:$C$43,3,FALSE),"..")</f>
        <v>72.816147461462435</v>
      </c>
      <c r="BV1703" s="129">
        <f>VLOOKUP($D1703,WGI!$C$2:$O$478,7,FALSE)</f>
        <v>6.6403653760441994E-2</v>
      </c>
      <c r="BW1703" s="129">
        <f>VLOOKUP($D1703,WGI!$C$2:$O$478,4,FALSE)</f>
        <v>-0.97688567284337502</v>
      </c>
      <c r="BX1703" s="129">
        <f>VLOOKUP($D1703,WGI!$C$2:$O$478,3,FALSE)</f>
        <v>-0.203136729362278</v>
      </c>
      <c r="BY1703" s="129">
        <f>VLOOKUP($D1703,WGI!$C$2:$O$478,5,FALSE)</f>
        <v>0.460708707951485</v>
      </c>
      <c r="BZ1703" s="129">
        <f>VLOOKUP($D1703,WGI!$C$2:$O$478,2,FALSE)</f>
        <v>-0.25042827669247397</v>
      </c>
      <c r="CB1703" s="129"/>
    </row>
    <row r="1704" spans="1:80" s="120" customFormat="1" ht="15" customHeight="1">
      <c r="A1704" s="294" t="s">
        <v>458</v>
      </c>
      <c r="B1704" s="117">
        <v>2010</v>
      </c>
      <c r="C1704" s="117" t="s">
        <v>449</v>
      </c>
      <c r="D1704" s="117" t="s">
        <v>3677</v>
      </c>
      <c r="E1704" s="452" t="s">
        <v>220</v>
      </c>
      <c r="F1704" s="117"/>
      <c r="G1704" s="120" t="s">
        <v>24</v>
      </c>
      <c r="H1704" s="117" t="str">
        <f t="shared" si="291"/>
        <v>yes</v>
      </c>
      <c r="I1704" s="117" t="str">
        <f t="shared" si="283"/>
        <v>no</v>
      </c>
      <c r="J1704" s="117" t="str">
        <f t="shared" si="284"/>
        <v>no</v>
      </c>
      <c r="K1704" s="117" t="s">
        <v>2103</v>
      </c>
      <c r="L1704" s="117" t="str">
        <f t="shared" si="292"/>
        <v>detailed</v>
      </c>
      <c r="M1704" s="117" t="str">
        <f t="shared" si="285"/>
        <v>detailed Mining</v>
      </c>
      <c r="N1704" s="118"/>
      <c r="O1704" s="118"/>
      <c r="P1704" s="118"/>
      <c r="Q1704" s="118"/>
      <c r="R1704" s="118"/>
      <c r="S1704" s="117"/>
      <c r="T1704" s="119"/>
      <c r="U1704" s="117"/>
      <c r="V1704" s="117"/>
      <c r="W1704" s="89"/>
      <c r="Y1704" s="89"/>
      <c r="Z1704" s="89"/>
      <c r="AA1704" s="89"/>
      <c r="AB1704" s="89"/>
      <c r="AC1704" s="240"/>
      <c r="AD1704" s="240"/>
      <c r="AE1704" s="240"/>
      <c r="AF1704" s="241"/>
      <c r="AG1704" s="89"/>
      <c r="AH1704" s="124"/>
      <c r="AI1704" s="117"/>
      <c r="AJ1704" s="117"/>
      <c r="AK1704" s="89"/>
      <c r="AL1704" s="117"/>
      <c r="AM1704" s="117"/>
      <c r="AN1704" s="117"/>
      <c r="AO1704" s="117"/>
      <c r="AP1704" s="117"/>
      <c r="AQ1704" s="117"/>
      <c r="AR1704" s="117"/>
      <c r="AS1704" s="117"/>
      <c r="AT1704" s="117"/>
      <c r="AU1704" s="117"/>
      <c r="AV1704" s="128"/>
      <c r="AW1704" s="117">
        <f>VLOOKUP($D1704,'WB Data'!$C$3:$M$578,2,FALSE)</f>
        <v>148522810971.50192</v>
      </c>
      <c r="AX1704" s="117">
        <f>VLOOKUP($D1704,'WB Data'!$C$3:$M$578,3,FALSE)</f>
        <v>29262830</v>
      </c>
      <c r="AY1704" s="847">
        <f t="shared" si="287"/>
        <v>2.9343288238119179E-2</v>
      </c>
      <c r="AZ1704" s="117">
        <f>VLOOKUP($D1704,'WB Data'!$C$3:$M$578,4,FALSE)/100</f>
        <v>0.20145402042179156</v>
      </c>
      <c r="BA1704" s="117">
        <f t="shared" si="288"/>
        <v>29920517394.554836</v>
      </c>
      <c r="BB1704" s="129">
        <f>IFERROR(VLOOKUP($D1704,'EITI Revenues'!$C$2:$G$224,5,FALSE),"..")</f>
        <v>4358147652.2724705</v>
      </c>
      <c r="BC1704" s="846">
        <f t="shared" si="289"/>
        <v>0.14565749631941857</v>
      </c>
      <c r="BD1704" s="129">
        <f>VLOOKUP($D1704,'WB Data 2'!$C$2:$K$545,6,FALSE)</f>
        <v>23087442294.109867</v>
      </c>
      <c r="BE1704" s="129">
        <f>IFERROR(VLOOKUP($D1704,UNCTAD!$C$5:$V$529,4,FALSE),"..")</f>
        <v>39257548000</v>
      </c>
      <c r="BF1704" s="846">
        <f t="shared" si="290"/>
        <v>0.58810199491088611</v>
      </c>
      <c r="BG1704" s="117">
        <f>VLOOKUP($D1704,'WB Data'!$C$3:$M$578,5,FALSE)</f>
        <v>-255920000</v>
      </c>
      <c r="BH1704" s="129">
        <f>IFERROR($BB1704/$BG1704,"..")</f>
        <v>-17.029335934168767</v>
      </c>
      <c r="BI1704" s="117">
        <f>IFERROR(VLOOKUP($D1704,'WB Data'!$C$3:$M$578,7,FALSE)/100,"..")</f>
        <v>2.6887599999999998E-2</v>
      </c>
      <c r="BJ1704" s="117">
        <f>IFERROR($BI1704*$AW1704,"..")</f>
        <v>3993421932.2773547</v>
      </c>
      <c r="BK1704" s="846">
        <f>IFERROR($BB1704/$BJ1704,"..")</f>
        <v>1.0913316264047064</v>
      </c>
      <c r="BL1704" s="117">
        <f>IFERROR(VLOOKUP($D1704,'WB Data'!$C$3:$M$578,7,FALSE)/100,"..")</f>
        <v>2.6887599999999998E-2</v>
      </c>
      <c r="BM1704" s="117">
        <f>IFERROR($AW1704*$BL1704,"..")</f>
        <v>3993421932.2773547</v>
      </c>
      <c r="BN1704" s="846">
        <f>IFERROR($BB1704/$BM1704,"..")</f>
        <v>1.0913316264047064</v>
      </c>
      <c r="BO1704" s="801">
        <f t="shared" si="286"/>
        <v>38</v>
      </c>
      <c r="BP1704" s="117">
        <f>VLOOKUP($D1704,'WB Data'!$C$3:$M$578,9,FALSE)</f>
        <v>30.8</v>
      </c>
      <c r="BQ1704" s="117">
        <f>VLOOKUP($D1704,'WB Data'!$C$3:$M$578,10,FALSE)</f>
        <v>73.905097560975619</v>
      </c>
      <c r="BR1704" s="117">
        <f>VLOOKUP($D1704,'WB Data'!$C$3:$M$578,11,FALSE)</f>
        <v>15.2</v>
      </c>
      <c r="BS1704" s="129">
        <f>IFERROR(VLOOKUP($D1704,'WB Data 2'!$C$2:$K$545,9,FALSE),"..")</f>
        <v>97.373459999999994</v>
      </c>
      <c r="BT1704" s="129">
        <f>_xlfn.IFNA(VLOOKUP($C1704,RGI!$A$2:$C$43,2,FALSE),"..")</f>
        <v>76.8</v>
      </c>
      <c r="BU1704" s="129">
        <f>_xlfn.IFNA(VLOOKUP($C1704,RGI!$A$2:$C$43,3,FALSE),"..")</f>
        <v>72.816147461462435</v>
      </c>
      <c r="BV1704" s="129">
        <f>VLOOKUP($D1704,WGI!$C$2:$O$478,7,FALSE)</f>
        <v>6.6403653760441994E-2</v>
      </c>
      <c r="BW1704" s="129">
        <f>VLOOKUP($D1704,WGI!$C$2:$O$478,4,FALSE)</f>
        <v>-0.97688567284337502</v>
      </c>
      <c r="BX1704" s="129">
        <f>VLOOKUP($D1704,WGI!$C$2:$O$478,3,FALSE)</f>
        <v>-0.203136729362278</v>
      </c>
      <c r="BY1704" s="129">
        <f>VLOOKUP($D1704,WGI!$C$2:$O$478,5,FALSE)</f>
        <v>0.460708707951485</v>
      </c>
      <c r="BZ1704" s="129">
        <f>VLOOKUP($D1704,WGI!$C$2:$O$478,2,FALSE)</f>
        <v>-0.25042827669247397</v>
      </c>
      <c r="CB1704" s="129"/>
    </row>
    <row r="1705" spans="1:80" s="120" customFormat="1" ht="15" customHeight="1">
      <c r="A1705" s="294" t="s">
        <v>458</v>
      </c>
      <c r="B1705" s="117">
        <v>2010</v>
      </c>
      <c r="C1705" s="117" t="s">
        <v>449</v>
      </c>
      <c r="D1705" s="117" t="s">
        <v>3677</v>
      </c>
      <c r="E1705" s="452" t="s">
        <v>220</v>
      </c>
      <c r="F1705" s="117"/>
      <c r="G1705" s="120" t="s">
        <v>24</v>
      </c>
      <c r="H1705" s="117" t="str">
        <f t="shared" si="291"/>
        <v>yes</v>
      </c>
      <c r="I1705" s="117" t="str">
        <f t="shared" si="283"/>
        <v>no</v>
      </c>
      <c r="J1705" s="117" t="str">
        <f t="shared" si="284"/>
        <v>no</v>
      </c>
      <c r="K1705" s="117" t="s">
        <v>2104</v>
      </c>
      <c r="L1705" s="117" t="str">
        <f t="shared" si="292"/>
        <v>detailed</v>
      </c>
      <c r="M1705" s="117" t="str">
        <f t="shared" si="285"/>
        <v>detailed Mining</v>
      </c>
      <c r="N1705" s="118"/>
      <c r="O1705" s="118"/>
      <c r="P1705" s="118"/>
      <c r="Q1705" s="118"/>
      <c r="R1705" s="118"/>
      <c r="S1705" s="117"/>
      <c r="T1705" s="119"/>
      <c r="U1705" s="117"/>
      <c r="V1705" s="117"/>
      <c r="W1705" s="89"/>
      <c r="Y1705" s="89"/>
      <c r="Z1705" s="89"/>
      <c r="AA1705" s="89"/>
      <c r="AB1705" s="89"/>
      <c r="AC1705" s="240"/>
      <c r="AD1705" s="240"/>
      <c r="AE1705" s="240"/>
      <c r="AF1705" s="241"/>
      <c r="AG1705" s="89"/>
      <c r="AH1705" s="124"/>
      <c r="AI1705" s="117"/>
      <c r="AJ1705" s="117"/>
      <c r="AK1705" s="89"/>
      <c r="AL1705" s="117"/>
      <c r="AM1705" s="117"/>
      <c r="AN1705" s="117"/>
      <c r="AO1705" s="117"/>
      <c r="AP1705" s="117"/>
      <c r="AQ1705" s="117"/>
      <c r="AR1705" s="117"/>
      <c r="AS1705" s="117"/>
      <c r="AT1705" s="117"/>
      <c r="AU1705" s="117"/>
      <c r="AV1705" s="128"/>
      <c r="AW1705" s="117">
        <f>VLOOKUP($D1705,'WB Data'!$C$3:$M$578,2,FALSE)</f>
        <v>148522810971.50192</v>
      </c>
      <c r="AX1705" s="117">
        <f>VLOOKUP($D1705,'WB Data'!$C$3:$M$578,3,FALSE)</f>
        <v>29262830</v>
      </c>
      <c r="AY1705" s="847">
        <f t="shared" si="287"/>
        <v>2.9343288238119179E-2</v>
      </c>
      <c r="AZ1705" s="117">
        <f>VLOOKUP($D1705,'WB Data'!$C$3:$M$578,4,FALSE)/100</f>
        <v>0.20145402042179156</v>
      </c>
      <c r="BA1705" s="117">
        <f t="shared" si="288"/>
        <v>29920517394.554836</v>
      </c>
      <c r="BB1705" s="129">
        <f>IFERROR(VLOOKUP($D1705,'EITI Revenues'!$C$2:$G$224,5,FALSE),"..")</f>
        <v>4358147652.2724705</v>
      </c>
      <c r="BC1705" s="846">
        <f t="shared" si="289"/>
        <v>0.14565749631941857</v>
      </c>
      <c r="BD1705" s="129">
        <f>VLOOKUP($D1705,'WB Data 2'!$C$2:$K$545,6,FALSE)</f>
        <v>23087442294.109867</v>
      </c>
      <c r="BE1705" s="129">
        <f>IFERROR(VLOOKUP($D1705,UNCTAD!$C$5:$V$529,4,FALSE),"..")</f>
        <v>39257548000</v>
      </c>
      <c r="BF1705" s="846">
        <f t="shared" si="290"/>
        <v>0.58810199491088611</v>
      </c>
      <c r="BG1705" s="117">
        <f>VLOOKUP($D1705,'WB Data'!$C$3:$M$578,5,FALSE)</f>
        <v>-255920000</v>
      </c>
      <c r="BH1705" s="129">
        <f>IFERROR($BB1705/$BG1705,"..")</f>
        <v>-17.029335934168767</v>
      </c>
      <c r="BI1705" s="117">
        <f>IFERROR(VLOOKUP($D1705,'WB Data'!$C$3:$M$578,7,FALSE)/100,"..")</f>
        <v>2.6887599999999998E-2</v>
      </c>
      <c r="BJ1705" s="117">
        <f>IFERROR($BI1705*$AW1705,"..")</f>
        <v>3993421932.2773547</v>
      </c>
      <c r="BK1705" s="846">
        <f>IFERROR($BB1705/$BJ1705,"..")</f>
        <v>1.0913316264047064</v>
      </c>
      <c r="BL1705" s="117">
        <f>IFERROR(VLOOKUP($D1705,'WB Data'!$C$3:$M$578,7,FALSE)/100,"..")</f>
        <v>2.6887599999999998E-2</v>
      </c>
      <c r="BM1705" s="117">
        <f>IFERROR($AW1705*$BL1705,"..")</f>
        <v>3993421932.2773547</v>
      </c>
      <c r="BN1705" s="846">
        <f>IFERROR($BB1705/$BM1705,"..")</f>
        <v>1.0913316264047064</v>
      </c>
      <c r="BO1705" s="801">
        <f t="shared" si="286"/>
        <v>38</v>
      </c>
      <c r="BP1705" s="117">
        <f>VLOOKUP($D1705,'WB Data'!$C$3:$M$578,9,FALSE)</f>
        <v>30.8</v>
      </c>
      <c r="BQ1705" s="117">
        <f>VLOOKUP($D1705,'WB Data'!$C$3:$M$578,10,FALSE)</f>
        <v>73.905097560975619</v>
      </c>
      <c r="BR1705" s="117">
        <f>VLOOKUP($D1705,'WB Data'!$C$3:$M$578,11,FALSE)</f>
        <v>15.2</v>
      </c>
      <c r="BS1705" s="129">
        <f>IFERROR(VLOOKUP($D1705,'WB Data 2'!$C$2:$K$545,9,FALSE),"..")</f>
        <v>97.373459999999994</v>
      </c>
      <c r="BT1705" s="129">
        <f>_xlfn.IFNA(VLOOKUP($C1705,RGI!$A$2:$C$43,2,FALSE),"..")</f>
        <v>76.8</v>
      </c>
      <c r="BU1705" s="129">
        <f>_xlfn.IFNA(VLOOKUP($C1705,RGI!$A$2:$C$43,3,FALSE),"..")</f>
        <v>72.816147461462435</v>
      </c>
      <c r="BV1705" s="129">
        <f>VLOOKUP($D1705,WGI!$C$2:$O$478,7,FALSE)</f>
        <v>6.6403653760441994E-2</v>
      </c>
      <c r="BW1705" s="129">
        <f>VLOOKUP($D1705,WGI!$C$2:$O$478,4,FALSE)</f>
        <v>-0.97688567284337502</v>
      </c>
      <c r="BX1705" s="129">
        <f>VLOOKUP($D1705,WGI!$C$2:$O$478,3,FALSE)</f>
        <v>-0.203136729362278</v>
      </c>
      <c r="BY1705" s="129">
        <f>VLOOKUP($D1705,WGI!$C$2:$O$478,5,FALSE)</f>
        <v>0.460708707951485</v>
      </c>
      <c r="BZ1705" s="129">
        <f>VLOOKUP($D1705,WGI!$C$2:$O$478,2,FALSE)</f>
        <v>-0.25042827669247397</v>
      </c>
      <c r="CB1705" s="129"/>
    </row>
    <row r="1706" spans="1:80" s="120" customFormat="1" ht="15" customHeight="1">
      <c r="A1706" s="294" t="s">
        <v>458</v>
      </c>
      <c r="B1706" s="117">
        <v>2010</v>
      </c>
      <c r="C1706" s="117" t="s">
        <v>449</v>
      </c>
      <c r="D1706" s="117" t="s">
        <v>3677</v>
      </c>
      <c r="E1706" s="452" t="s">
        <v>220</v>
      </c>
      <c r="F1706" s="117"/>
      <c r="G1706" s="120" t="s">
        <v>24</v>
      </c>
      <c r="H1706" s="117" t="str">
        <f t="shared" si="291"/>
        <v>yes</v>
      </c>
      <c r="I1706" s="117" t="str">
        <f t="shared" si="283"/>
        <v>no</v>
      </c>
      <c r="J1706" s="117" t="str">
        <f t="shared" si="284"/>
        <v>no</v>
      </c>
      <c r="K1706" s="117" t="s">
        <v>627</v>
      </c>
      <c r="L1706" s="117" t="str">
        <f t="shared" si="292"/>
        <v>detailed</v>
      </c>
      <c r="M1706" s="117" t="str">
        <f t="shared" si="285"/>
        <v>detailed Mining</v>
      </c>
      <c r="N1706" s="118"/>
      <c r="O1706" s="118"/>
      <c r="P1706" s="118"/>
      <c r="Q1706" s="118"/>
      <c r="R1706" s="118"/>
      <c r="S1706" s="117"/>
      <c r="T1706" s="119"/>
      <c r="U1706" s="117"/>
      <c r="V1706" s="117"/>
      <c r="W1706" s="89"/>
      <c r="Y1706" s="89"/>
      <c r="Z1706" s="89"/>
      <c r="AA1706" s="89"/>
      <c r="AB1706" s="89"/>
      <c r="AC1706" s="240"/>
      <c r="AD1706" s="240"/>
      <c r="AE1706" s="240"/>
      <c r="AF1706" s="241"/>
      <c r="AG1706" s="89"/>
      <c r="AH1706" s="124"/>
      <c r="AI1706" s="117"/>
      <c r="AJ1706" s="117"/>
      <c r="AK1706" s="89"/>
      <c r="AL1706" s="117"/>
      <c r="AM1706" s="117"/>
      <c r="AN1706" s="117"/>
      <c r="AO1706" s="117"/>
      <c r="AP1706" s="117"/>
      <c r="AQ1706" s="117"/>
      <c r="AR1706" s="117"/>
      <c r="AS1706" s="117"/>
      <c r="AT1706" s="117"/>
      <c r="AU1706" s="117"/>
      <c r="AV1706" s="128"/>
      <c r="AW1706" s="117">
        <f>VLOOKUP($D1706,'WB Data'!$C$3:$M$578,2,FALSE)</f>
        <v>148522810971.50192</v>
      </c>
      <c r="AX1706" s="117">
        <f>VLOOKUP($D1706,'WB Data'!$C$3:$M$578,3,FALSE)</f>
        <v>29262830</v>
      </c>
      <c r="AY1706" s="847">
        <f t="shared" si="287"/>
        <v>2.9343288238119179E-2</v>
      </c>
      <c r="AZ1706" s="117">
        <f>VLOOKUP($D1706,'WB Data'!$C$3:$M$578,4,FALSE)/100</f>
        <v>0.20145402042179156</v>
      </c>
      <c r="BA1706" s="117">
        <f t="shared" si="288"/>
        <v>29920517394.554836</v>
      </c>
      <c r="BB1706" s="129">
        <f>IFERROR(VLOOKUP($D1706,'EITI Revenues'!$C$2:$G$224,5,FALSE),"..")</f>
        <v>4358147652.2724705</v>
      </c>
      <c r="BC1706" s="846">
        <f t="shared" si="289"/>
        <v>0.14565749631941857</v>
      </c>
      <c r="BD1706" s="129">
        <f>VLOOKUP($D1706,'WB Data 2'!$C$2:$K$545,6,FALSE)</f>
        <v>23087442294.109867</v>
      </c>
      <c r="BE1706" s="129">
        <f>IFERROR(VLOOKUP($D1706,UNCTAD!$C$5:$V$529,4,FALSE),"..")</f>
        <v>39257548000</v>
      </c>
      <c r="BF1706" s="846">
        <f t="shared" si="290"/>
        <v>0.58810199491088611</v>
      </c>
      <c r="BG1706" s="117">
        <f>VLOOKUP($D1706,'WB Data'!$C$3:$M$578,5,FALSE)</f>
        <v>-255920000</v>
      </c>
      <c r="BH1706" s="129">
        <f>IFERROR($BB1706/$BG1706,"..")</f>
        <v>-17.029335934168767</v>
      </c>
      <c r="BI1706" s="117">
        <f>IFERROR(VLOOKUP($D1706,'WB Data'!$C$3:$M$578,7,FALSE)/100,"..")</f>
        <v>2.6887599999999998E-2</v>
      </c>
      <c r="BJ1706" s="117">
        <f>IFERROR($BI1706*$AW1706,"..")</f>
        <v>3993421932.2773547</v>
      </c>
      <c r="BK1706" s="846">
        <f>IFERROR($BB1706/$BJ1706,"..")</f>
        <v>1.0913316264047064</v>
      </c>
      <c r="BL1706" s="117">
        <f>IFERROR(VLOOKUP($D1706,'WB Data'!$C$3:$M$578,7,FALSE)/100,"..")</f>
        <v>2.6887599999999998E-2</v>
      </c>
      <c r="BM1706" s="117">
        <f>IFERROR($AW1706*$BL1706,"..")</f>
        <v>3993421932.2773547</v>
      </c>
      <c r="BN1706" s="846">
        <f>IFERROR($BB1706/$BM1706,"..")</f>
        <v>1.0913316264047064</v>
      </c>
      <c r="BO1706" s="801">
        <f t="shared" si="286"/>
        <v>38</v>
      </c>
      <c r="BP1706" s="117">
        <f>VLOOKUP($D1706,'WB Data'!$C$3:$M$578,9,FALSE)</f>
        <v>30.8</v>
      </c>
      <c r="BQ1706" s="117">
        <f>VLOOKUP($D1706,'WB Data'!$C$3:$M$578,10,FALSE)</f>
        <v>73.905097560975619</v>
      </c>
      <c r="BR1706" s="117">
        <f>VLOOKUP($D1706,'WB Data'!$C$3:$M$578,11,FALSE)</f>
        <v>15.2</v>
      </c>
      <c r="BS1706" s="129">
        <f>IFERROR(VLOOKUP($D1706,'WB Data 2'!$C$2:$K$545,9,FALSE),"..")</f>
        <v>97.373459999999994</v>
      </c>
      <c r="BT1706" s="129">
        <f>_xlfn.IFNA(VLOOKUP($C1706,RGI!$A$2:$C$43,2,FALSE),"..")</f>
        <v>76.8</v>
      </c>
      <c r="BU1706" s="129">
        <f>_xlfn.IFNA(VLOOKUP($C1706,RGI!$A$2:$C$43,3,FALSE),"..")</f>
        <v>72.816147461462435</v>
      </c>
      <c r="BV1706" s="129">
        <f>VLOOKUP($D1706,WGI!$C$2:$O$478,7,FALSE)</f>
        <v>6.6403653760441994E-2</v>
      </c>
      <c r="BW1706" s="129">
        <f>VLOOKUP($D1706,WGI!$C$2:$O$478,4,FALSE)</f>
        <v>-0.97688567284337502</v>
      </c>
      <c r="BX1706" s="129">
        <f>VLOOKUP($D1706,WGI!$C$2:$O$478,3,FALSE)</f>
        <v>-0.203136729362278</v>
      </c>
      <c r="BY1706" s="129">
        <f>VLOOKUP($D1706,WGI!$C$2:$O$478,5,FALSE)</f>
        <v>0.460708707951485</v>
      </c>
      <c r="BZ1706" s="129">
        <f>VLOOKUP($D1706,WGI!$C$2:$O$478,2,FALSE)</f>
        <v>-0.25042827669247397</v>
      </c>
      <c r="CB1706" s="129"/>
    </row>
    <row r="1707" spans="1:80" s="120" customFormat="1" ht="15" customHeight="1">
      <c r="A1707" s="294" t="s">
        <v>458</v>
      </c>
      <c r="B1707" s="117">
        <v>2010</v>
      </c>
      <c r="C1707" s="117" t="s">
        <v>449</v>
      </c>
      <c r="D1707" s="117" t="s">
        <v>3677</v>
      </c>
      <c r="E1707" s="452" t="s">
        <v>220</v>
      </c>
      <c r="F1707" s="117"/>
      <c r="G1707" s="120" t="s">
        <v>24</v>
      </c>
      <c r="H1707" s="117" t="str">
        <f t="shared" si="291"/>
        <v>yes</v>
      </c>
      <c r="I1707" s="117" t="str">
        <f t="shared" si="283"/>
        <v>no</v>
      </c>
      <c r="J1707" s="117" t="str">
        <f t="shared" si="284"/>
        <v>no</v>
      </c>
      <c r="K1707" s="117" t="s">
        <v>2050</v>
      </c>
      <c r="L1707" s="117" t="str">
        <f t="shared" si="292"/>
        <v>detailed</v>
      </c>
      <c r="M1707" s="117" t="str">
        <f t="shared" si="285"/>
        <v>detailed Mining</v>
      </c>
      <c r="N1707" s="118"/>
      <c r="O1707" s="118"/>
      <c r="P1707" s="118"/>
      <c r="Q1707" s="118"/>
      <c r="R1707" s="118"/>
      <c r="S1707" s="117"/>
      <c r="T1707" s="119"/>
      <c r="U1707" s="117"/>
      <c r="V1707" s="117"/>
      <c r="W1707" s="89"/>
      <c r="Y1707" s="89"/>
      <c r="Z1707" s="89"/>
      <c r="AA1707" s="89"/>
      <c r="AB1707" s="89"/>
      <c r="AC1707" s="240"/>
      <c r="AD1707" s="240"/>
      <c r="AE1707" s="240"/>
      <c r="AF1707" s="241"/>
      <c r="AG1707" s="89"/>
      <c r="AH1707" s="124"/>
      <c r="AI1707" s="117"/>
      <c r="AJ1707" s="117"/>
      <c r="AK1707" s="89"/>
      <c r="AL1707" s="117"/>
      <c r="AM1707" s="117"/>
      <c r="AN1707" s="117"/>
      <c r="AO1707" s="117"/>
      <c r="AP1707" s="117"/>
      <c r="AQ1707" s="117"/>
      <c r="AR1707" s="117"/>
      <c r="AS1707" s="117"/>
      <c r="AT1707" s="117"/>
      <c r="AU1707" s="117"/>
      <c r="AV1707" s="128"/>
      <c r="AW1707" s="117">
        <f>VLOOKUP($D1707,'WB Data'!$C$3:$M$578,2,FALSE)</f>
        <v>148522810971.50192</v>
      </c>
      <c r="AX1707" s="117">
        <f>VLOOKUP($D1707,'WB Data'!$C$3:$M$578,3,FALSE)</f>
        <v>29262830</v>
      </c>
      <c r="AY1707" s="847">
        <f t="shared" si="287"/>
        <v>2.9343288238119179E-2</v>
      </c>
      <c r="AZ1707" s="117">
        <f>VLOOKUP($D1707,'WB Data'!$C$3:$M$578,4,FALSE)/100</f>
        <v>0.20145402042179156</v>
      </c>
      <c r="BA1707" s="117">
        <f t="shared" si="288"/>
        <v>29920517394.554836</v>
      </c>
      <c r="BB1707" s="129">
        <f>IFERROR(VLOOKUP($D1707,'EITI Revenues'!$C$2:$G$224,5,FALSE),"..")</f>
        <v>4358147652.2724705</v>
      </c>
      <c r="BC1707" s="846">
        <f t="shared" si="289"/>
        <v>0.14565749631941857</v>
      </c>
      <c r="BD1707" s="129">
        <f>VLOOKUP($D1707,'WB Data 2'!$C$2:$K$545,6,FALSE)</f>
        <v>23087442294.109867</v>
      </c>
      <c r="BE1707" s="129">
        <f>IFERROR(VLOOKUP($D1707,UNCTAD!$C$5:$V$529,4,FALSE),"..")</f>
        <v>39257548000</v>
      </c>
      <c r="BF1707" s="846">
        <f t="shared" si="290"/>
        <v>0.58810199491088611</v>
      </c>
      <c r="BG1707" s="117">
        <f>VLOOKUP($D1707,'WB Data'!$C$3:$M$578,5,FALSE)</f>
        <v>-255920000</v>
      </c>
      <c r="BH1707" s="129">
        <f>IFERROR($BB1707/$BG1707,"..")</f>
        <v>-17.029335934168767</v>
      </c>
      <c r="BI1707" s="117">
        <f>IFERROR(VLOOKUP($D1707,'WB Data'!$C$3:$M$578,7,FALSE)/100,"..")</f>
        <v>2.6887599999999998E-2</v>
      </c>
      <c r="BJ1707" s="117">
        <f>IFERROR($BI1707*$AW1707,"..")</f>
        <v>3993421932.2773547</v>
      </c>
      <c r="BK1707" s="846">
        <f>IFERROR($BB1707/$BJ1707,"..")</f>
        <v>1.0913316264047064</v>
      </c>
      <c r="BL1707" s="117">
        <f>IFERROR(VLOOKUP($D1707,'WB Data'!$C$3:$M$578,7,FALSE)/100,"..")</f>
        <v>2.6887599999999998E-2</v>
      </c>
      <c r="BM1707" s="117">
        <f>IFERROR($AW1707*$BL1707,"..")</f>
        <v>3993421932.2773547</v>
      </c>
      <c r="BN1707" s="846">
        <f>IFERROR($BB1707/$BM1707,"..")</f>
        <v>1.0913316264047064</v>
      </c>
      <c r="BO1707" s="801">
        <f t="shared" si="286"/>
        <v>38</v>
      </c>
      <c r="BP1707" s="117">
        <f>VLOOKUP($D1707,'WB Data'!$C$3:$M$578,9,FALSE)</f>
        <v>30.8</v>
      </c>
      <c r="BQ1707" s="117">
        <f>VLOOKUP($D1707,'WB Data'!$C$3:$M$578,10,FALSE)</f>
        <v>73.905097560975619</v>
      </c>
      <c r="BR1707" s="117">
        <f>VLOOKUP($D1707,'WB Data'!$C$3:$M$578,11,FALSE)</f>
        <v>15.2</v>
      </c>
      <c r="BS1707" s="129">
        <f>IFERROR(VLOOKUP($D1707,'WB Data 2'!$C$2:$K$545,9,FALSE),"..")</f>
        <v>97.373459999999994</v>
      </c>
      <c r="BT1707" s="129">
        <f>_xlfn.IFNA(VLOOKUP($C1707,RGI!$A$2:$C$43,2,FALSE),"..")</f>
        <v>76.8</v>
      </c>
      <c r="BU1707" s="129">
        <f>_xlfn.IFNA(VLOOKUP($C1707,RGI!$A$2:$C$43,3,FALSE),"..")</f>
        <v>72.816147461462435</v>
      </c>
      <c r="BV1707" s="129">
        <f>VLOOKUP($D1707,WGI!$C$2:$O$478,7,FALSE)</f>
        <v>6.6403653760441994E-2</v>
      </c>
      <c r="BW1707" s="129">
        <f>VLOOKUP($D1707,WGI!$C$2:$O$478,4,FALSE)</f>
        <v>-0.97688567284337502</v>
      </c>
      <c r="BX1707" s="129">
        <f>VLOOKUP($D1707,WGI!$C$2:$O$478,3,FALSE)</f>
        <v>-0.203136729362278</v>
      </c>
      <c r="BY1707" s="129">
        <f>VLOOKUP($D1707,WGI!$C$2:$O$478,5,FALSE)</f>
        <v>0.460708707951485</v>
      </c>
      <c r="BZ1707" s="129">
        <f>VLOOKUP($D1707,WGI!$C$2:$O$478,2,FALSE)</f>
        <v>-0.25042827669247397</v>
      </c>
      <c r="CB1707" s="129"/>
    </row>
    <row r="1708" spans="1:80" s="120" customFormat="1" ht="15" customHeight="1">
      <c r="A1708" s="294" t="s">
        <v>458</v>
      </c>
      <c r="B1708" s="117">
        <v>2010</v>
      </c>
      <c r="C1708" s="117" t="s">
        <v>449</v>
      </c>
      <c r="D1708" s="117" t="s">
        <v>3677</v>
      </c>
      <c r="E1708" s="452" t="s">
        <v>220</v>
      </c>
      <c r="F1708" s="117"/>
      <c r="G1708" s="120" t="s">
        <v>24</v>
      </c>
      <c r="H1708" s="117" t="str">
        <f t="shared" si="291"/>
        <v>yes</v>
      </c>
      <c r="I1708" s="117" t="str">
        <f t="shared" si="283"/>
        <v>no</v>
      </c>
      <c r="J1708" s="117" t="str">
        <f t="shared" si="284"/>
        <v>no</v>
      </c>
      <c r="K1708" s="117" t="s">
        <v>1332</v>
      </c>
      <c r="L1708" s="117" t="str">
        <f t="shared" si="292"/>
        <v>detailed</v>
      </c>
      <c r="M1708" s="117" t="str">
        <f t="shared" si="285"/>
        <v>detailed Mining</v>
      </c>
      <c r="N1708" s="118"/>
      <c r="O1708" s="118"/>
      <c r="P1708" s="118"/>
      <c r="Q1708" s="118"/>
      <c r="R1708" s="118"/>
      <c r="S1708" s="117"/>
      <c r="T1708" s="119"/>
      <c r="U1708" s="117"/>
      <c r="V1708" s="117"/>
      <c r="W1708" s="89"/>
      <c r="X1708" s="117"/>
      <c r="Y1708" s="492"/>
      <c r="Z1708" s="492"/>
      <c r="AA1708" s="89"/>
      <c r="AB1708" s="89"/>
      <c r="AC1708" s="462"/>
      <c r="AD1708" s="462"/>
      <c r="AE1708" s="462"/>
      <c r="AF1708" s="463"/>
      <c r="AG1708" s="89"/>
      <c r="AH1708" s="124"/>
      <c r="AI1708" s="117"/>
      <c r="AJ1708" s="117"/>
      <c r="AK1708" s="89"/>
      <c r="AL1708" s="117"/>
      <c r="AM1708" s="117"/>
      <c r="AN1708" s="117"/>
      <c r="AO1708" s="117"/>
      <c r="AP1708" s="117"/>
      <c r="AQ1708" s="117"/>
      <c r="AR1708" s="117"/>
      <c r="AS1708" s="117"/>
      <c r="AT1708" s="117"/>
      <c r="AU1708" s="117"/>
      <c r="AV1708" s="128"/>
      <c r="AW1708" s="117">
        <f>VLOOKUP($D1708,'WB Data'!$C$3:$M$578,2,FALSE)</f>
        <v>148522810971.50192</v>
      </c>
      <c r="AX1708" s="117">
        <f>VLOOKUP($D1708,'WB Data'!$C$3:$M$578,3,FALSE)</f>
        <v>29262830</v>
      </c>
      <c r="AY1708" s="847">
        <f t="shared" si="287"/>
        <v>2.9343288238119179E-2</v>
      </c>
      <c r="AZ1708" s="117">
        <f>VLOOKUP($D1708,'WB Data'!$C$3:$M$578,4,FALSE)/100</f>
        <v>0.20145402042179156</v>
      </c>
      <c r="BA1708" s="117">
        <f t="shared" si="288"/>
        <v>29920517394.554836</v>
      </c>
      <c r="BB1708" s="129">
        <f>IFERROR(VLOOKUP($D1708,'EITI Revenues'!$C$2:$G$224,5,FALSE),"..")</f>
        <v>4358147652.2724705</v>
      </c>
      <c r="BC1708" s="846">
        <f t="shared" si="289"/>
        <v>0.14565749631941857</v>
      </c>
      <c r="BD1708" s="129">
        <f>VLOOKUP($D1708,'WB Data 2'!$C$2:$K$545,6,FALSE)</f>
        <v>23087442294.109867</v>
      </c>
      <c r="BE1708" s="129">
        <f>IFERROR(VLOOKUP($D1708,UNCTAD!$C$5:$V$529,4,FALSE),"..")</f>
        <v>39257548000</v>
      </c>
      <c r="BF1708" s="846">
        <f t="shared" si="290"/>
        <v>0.58810199491088611</v>
      </c>
      <c r="BG1708" s="117">
        <f>VLOOKUP($D1708,'WB Data'!$C$3:$M$578,5,FALSE)</f>
        <v>-255920000</v>
      </c>
      <c r="BH1708" s="129">
        <f>IFERROR($BB1708/$BG1708,"..")</f>
        <v>-17.029335934168767</v>
      </c>
      <c r="BI1708" s="117">
        <f>IFERROR(VLOOKUP($D1708,'WB Data'!$C$3:$M$578,7,FALSE)/100,"..")</f>
        <v>2.6887599999999998E-2</v>
      </c>
      <c r="BJ1708" s="117">
        <f>IFERROR($BI1708*$AW1708,"..")</f>
        <v>3993421932.2773547</v>
      </c>
      <c r="BK1708" s="846">
        <f>IFERROR($BB1708/$BJ1708,"..")</f>
        <v>1.0913316264047064</v>
      </c>
      <c r="BL1708" s="117">
        <f>IFERROR(VLOOKUP($D1708,'WB Data'!$C$3:$M$578,7,FALSE)/100,"..")</f>
        <v>2.6887599999999998E-2</v>
      </c>
      <c r="BM1708" s="117">
        <f>IFERROR($AW1708*$BL1708,"..")</f>
        <v>3993421932.2773547</v>
      </c>
      <c r="BN1708" s="846">
        <f>IFERROR($BB1708/$BM1708,"..")</f>
        <v>1.0913316264047064</v>
      </c>
      <c r="BO1708" s="801">
        <f t="shared" si="286"/>
        <v>38</v>
      </c>
      <c r="BP1708" s="117">
        <f>VLOOKUP($D1708,'WB Data'!$C$3:$M$578,9,FALSE)</f>
        <v>30.8</v>
      </c>
      <c r="BQ1708" s="117">
        <f>VLOOKUP($D1708,'WB Data'!$C$3:$M$578,10,FALSE)</f>
        <v>73.905097560975619</v>
      </c>
      <c r="BR1708" s="117">
        <f>VLOOKUP($D1708,'WB Data'!$C$3:$M$578,11,FALSE)</f>
        <v>15.2</v>
      </c>
      <c r="BS1708" s="129">
        <f>IFERROR(VLOOKUP($D1708,'WB Data 2'!$C$2:$K$545,9,FALSE),"..")</f>
        <v>97.373459999999994</v>
      </c>
      <c r="BT1708" s="129">
        <f>_xlfn.IFNA(VLOOKUP($C1708,RGI!$A$2:$C$43,2,FALSE),"..")</f>
        <v>76.8</v>
      </c>
      <c r="BU1708" s="129">
        <f>_xlfn.IFNA(VLOOKUP($C1708,RGI!$A$2:$C$43,3,FALSE),"..")</f>
        <v>72.816147461462435</v>
      </c>
      <c r="BV1708" s="129">
        <f>VLOOKUP($D1708,WGI!$C$2:$O$478,7,FALSE)</f>
        <v>6.6403653760441994E-2</v>
      </c>
      <c r="BW1708" s="129">
        <f>VLOOKUP($D1708,WGI!$C$2:$O$478,4,FALSE)</f>
        <v>-0.97688567284337502</v>
      </c>
      <c r="BX1708" s="129">
        <f>VLOOKUP($D1708,WGI!$C$2:$O$478,3,FALSE)</f>
        <v>-0.203136729362278</v>
      </c>
      <c r="BY1708" s="129">
        <f>VLOOKUP($D1708,WGI!$C$2:$O$478,5,FALSE)</f>
        <v>0.460708707951485</v>
      </c>
      <c r="BZ1708" s="129">
        <f>VLOOKUP($D1708,WGI!$C$2:$O$478,2,FALSE)</f>
        <v>-0.25042827669247397</v>
      </c>
      <c r="CB1708" s="129"/>
    </row>
    <row r="1709" spans="1:80" s="120" customFormat="1" ht="15" customHeight="1">
      <c r="A1709" s="294" t="s">
        <v>458</v>
      </c>
      <c r="B1709" s="117">
        <v>2010</v>
      </c>
      <c r="C1709" s="117" t="s">
        <v>449</v>
      </c>
      <c r="D1709" s="117" t="s">
        <v>3677</v>
      </c>
      <c r="E1709" s="452" t="s">
        <v>220</v>
      </c>
      <c r="F1709" s="117"/>
      <c r="G1709" s="120" t="s">
        <v>24</v>
      </c>
      <c r="H1709" s="117" t="str">
        <f t="shared" si="291"/>
        <v>yes</v>
      </c>
      <c r="I1709" s="117" t="str">
        <f t="shared" si="283"/>
        <v>no</v>
      </c>
      <c r="J1709" s="117" t="str">
        <f t="shared" si="284"/>
        <v>no</v>
      </c>
      <c r="K1709" s="117" t="s">
        <v>2105</v>
      </c>
      <c r="L1709" s="117" t="str">
        <f t="shared" si="292"/>
        <v>detailed</v>
      </c>
      <c r="M1709" s="117" t="str">
        <f t="shared" si="285"/>
        <v>detailed Mining</v>
      </c>
      <c r="N1709" s="118"/>
      <c r="O1709" s="118"/>
      <c r="P1709" s="118"/>
      <c r="Q1709" s="118"/>
      <c r="R1709" s="118"/>
      <c r="S1709" s="117"/>
      <c r="T1709" s="119"/>
      <c r="U1709" s="117"/>
      <c r="V1709" s="117"/>
      <c r="W1709" s="89"/>
      <c r="X1709" s="117"/>
      <c r="AA1709" s="89"/>
      <c r="AB1709" s="89"/>
      <c r="AC1709" s="240"/>
      <c r="AD1709" s="240"/>
      <c r="AE1709" s="240"/>
      <c r="AF1709" s="241"/>
      <c r="AH1709" s="124"/>
      <c r="AI1709" s="117"/>
      <c r="AJ1709" s="117"/>
      <c r="AK1709" s="89"/>
      <c r="AL1709" s="117"/>
      <c r="AM1709" s="117"/>
      <c r="AN1709" s="117"/>
      <c r="AO1709" s="117"/>
      <c r="AP1709" s="117"/>
      <c r="AQ1709" s="117"/>
      <c r="AR1709" s="117"/>
      <c r="AS1709" s="117"/>
      <c r="AT1709" s="117"/>
      <c r="AU1709" s="117"/>
      <c r="AV1709" s="128"/>
      <c r="AW1709" s="117">
        <f>VLOOKUP($D1709,'WB Data'!$C$3:$M$578,2,FALSE)</f>
        <v>148522810971.50192</v>
      </c>
      <c r="AX1709" s="117">
        <f>VLOOKUP($D1709,'WB Data'!$C$3:$M$578,3,FALSE)</f>
        <v>29262830</v>
      </c>
      <c r="AY1709" s="847">
        <f t="shared" si="287"/>
        <v>2.9343288238119179E-2</v>
      </c>
      <c r="AZ1709" s="117">
        <f>VLOOKUP($D1709,'WB Data'!$C$3:$M$578,4,FALSE)/100</f>
        <v>0.20145402042179156</v>
      </c>
      <c r="BA1709" s="117">
        <f t="shared" si="288"/>
        <v>29920517394.554836</v>
      </c>
      <c r="BB1709" s="129">
        <f>IFERROR(VLOOKUP($D1709,'EITI Revenues'!$C$2:$G$224,5,FALSE),"..")</f>
        <v>4358147652.2724705</v>
      </c>
      <c r="BC1709" s="846">
        <f t="shared" si="289"/>
        <v>0.14565749631941857</v>
      </c>
      <c r="BD1709" s="129">
        <f>VLOOKUP($D1709,'WB Data 2'!$C$2:$K$545,6,FALSE)</f>
        <v>23087442294.109867</v>
      </c>
      <c r="BE1709" s="129">
        <f>IFERROR(VLOOKUP($D1709,UNCTAD!$C$5:$V$529,4,FALSE),"..")</f>
        <v>39257548000</v>
      </c>
      <c r="BF1709" s="846">
        <f t="shared" si="290"/>
        <v>0.58810199491088611</v>
      </c>
      <c r="BG1709" s="117">
        <f>VLOOKUP($D1709,'WB Data'!$C$3:$M$578,5,FALSE)</f>
        <v>-255920000</v>
      </c>
      <c r="BH1709" s="129">
        <f>IFERROR($BB1709/$BG1709,"..")</f>
        <v>-17.029335934168767</v>
      </c>
      <c r="BI1709" s="117">
        <f>IFERROR(VLOOKUP($D1709,'WB Data'!$C$3:$M$578,7,FALSE)/100,"..")</f>
        <v>2.6887599999999998E-2</v>
      </c>
      <c r="BJ1709" s="117">
        <f>IFERROR($BI1709*$AW1709,"..")</f>
        <v>3993421932.2773547</v>
      </c>
      <c r="BK1709" s="846">
        <f>IFERROR($BB1709/$BJ1709,"..")</f>
        <v>1.0913316264047064</v>
      </c>
      <c r="BL1709" s="117">
        <f>IFERROR(VLOOKUP($D1709,'WB Data'!$C$3:$M$578,7,FALSE)/100,"..")</f>
        <v>2.6887599999999998E-2</v>
      </c>
      <c r="BM1709" s="117">
        <f>IFERROR($AW1709*$BL1709,"..")</f>
        <v>3993421932.2773547</v>
      </c>
      <c r="BN1709" s="846">
        <f>IFERROR($BB1709/$BM1709,"..")</f>
        <v>1.0913316264047064</v>
      </c>
      <c r="BO1709" s="801">
        <f t="shared" si="286"/>
        <v>38</v>
      </c>
      <c r="BP1709" s="117">
        <f>VLOOKUP($D1709,'WB Data'!$C$3:$M$578,9,FALSE)</f>
        <v>30.8</v>
      </c>
      <c r="BQ1709" s="117">
        <f>VLOOKUP($D1709,'WB Data'!$C$3:$M$578,10,FALSE)</f>
        <v>73.905097560975619</v>
      </c>
      <c r="BR1709" s="117">
        <f>VLOOKUP($D1709,'WB Data'!$C$3:$M$578,11,FALSE)</f>
        <v>15.2</v>
      </c>
      <c r="BS1709" s="129">
        <f>IFERROR(VLOOKUP($D1709,'WB Data 2'!$C$2:$K$545,9,FALSE),"..")</f>
        <v>97.373459999999994</v>
      </c>
      <c r="BT1709" s="129">
        <f>_xlfn.IFNA(VLOOKUP($C1709,RGI!$A$2:$C$43,2,FALSE),"..")</f>
        <v>76.8</v>
      </c>
      <c r="BU1709" s="129">
        <f>_xlfn.IFNA(VLOOKUP($C1709,RGI!$A$2:$C$43,3,FALSE),"..")</f>
        <v>72.816147461462435</v>
      </c>
      <c r="BV1709" s="129">
        <f>VLOOKUP($D1709,WGI!$C$2:$O$478,7,FALSE)</f>
        <v>6.6403653760441994E-2</v>
      </c>
      <c r="BW1709" s="129">
        <f>VLOOKUP($D1709,WGI!$C$2:$O$478,4,FALSE)</f>
        <v>-0.97688567284337502</v>
      </c>
      <c r="BX1709" s="129">
        <f>VLOOKUP($D1709,WGI!$C$2:$O$478,3,FALSE)</f>
        <v>-0.203136729362278</v>
      </c>
      <c r="BY1709" s="129">
        <f>VLOOKUP($D1709,WGI!$C$2:$O$478,5,FALSE)</f>
        <v>0.460708707951485</v>
      </c>
      <c r="BZ1709" s="129">
        <f>VLOOKUP($D1709,WGI!$C$2:$O$478,2,FALSE)</f>
        <v>-0.25042827669247397</v>
      </c>
      <c r="CB1709" s="129"/>
    </row>
    <row r="1710" spans="1:80" s="120" customFormat="1" ht="15" customHeight="1">
      <c r="A1710" s="294" t="s">
        <v>458</v>
      </c>
      <c r="B1710" s="117">
        <v>2010</v>
      </c>
      <c r="C1710" s="117" t="s">
        <v>449</v>
      </c>
      <c r="D1710" s="117" t="s">
        <v>3677</v>
      </c>
      <c r="E1710" s="452" t="s">
        <v>220</v>
      </c>
      <c r="F1710" s="117"/>
      <c r="G1710" s="120" t="s">
        <v>24</v>
      </c>
      <c r="H1710" s="117" t="str">
        <f t="shared" si="291"/>
        <v>yes</v>
      </c>
      <c r="I1710" s="117" t="str">
        <f t="shared" si="283"/>
        <v>no</v>
      </c>
      <c r="J1710" s="117" t="str">
        <f t="shared" si="284"/>
        <v>no</v>
      </c>
      <c r="K1710" s="117" t="s">
        <v>2106</v>
      </c>
      <c r="L1710" s="117" t="str">
        <f t="shared" si="292"/>
        <v>detailed</v>
      </c>
      <c r="M1710" s="117" t="str">
        <f t="shared" si="285"/>
        <v>detailed Mining</v>
      </c>
      <c r="N1710" s="118"/>
      <c r="O1710" s="118"/>
      <c r="P1710" s="118"/>
      <c r="Q1710" s="118"/>
      <c r="R1710" s="118"/>
      <c r="S1710" s="117"/>
      <c r="T1710" s="119"/>
      <c r="U1710" s="117"/>
      <c r="V1710" s="117"/>
      <c r="W1710" s="89"/>
      <c r="X1710" s="117"/>
      <c r="AA1710" s="89"/>
      <c r="AB1710" s="89"/>
      <c r="AC1710" s="240"/>
      <c r="AD1710" s="240"/>
      <c r="AE1710" s="240"/>
      <c r="AF1710" s="241"/>
      <c r="AH1710" s="124"/>
      <c r="AI1710" s="117"/>
      <c r="AJ1710" s="117"/>
      <c r="AK1710" s="89"/>
      <c r="AL1710" s="117"/>
      <c r="AM1710" s="117"/>
      <c r="AN1710" s="117"/>
      <c r="AO1710" s="117"/>
      <c r="AP1710" s="117"/>
      <c r="AQ1710" s="117"/>
      <c r="AR1710" s="117"/>
      <c r="AS1710" s="117"/>
      <c r="AT1710" s="117"/>
      <c r="AU1710" s="117"/>
      <c r="AV1710" s="128"/>
      <c r="AW1710" s="117">
        <f>VLOOKUP($D1710,'WB Data'!$C$3:$M$578,2,FALSE)</f>
        <v>148522810971.50192</v>
      </c>
      <c r="AX1710" s="117">
        <f>VLOOKUP($D1710,'WB Data'!$C$3:$M$578,3,FALSE)</f>
        <v>29262830</v>
      </c>
      <c r="AY1710" s="847">
        <f t="shared" si="287"/>
        <v>2.9343288238119179E-2</v>
      </c>
      <c r="AZ1710" s="117">
        <f>VLOOKUP($D1710,'WB Data'!$C$3:$M$578,4,FALSE)/100</f>
        <v>0.20145402042179156</v>
      </c>
      <c r="BA1710" s="117">
        <f t="shared" si="288"/>
        <v>29920517394.554836</v>
      </c>
      <c r="BB1710" s="129">
        <f>IFERROR(VLOOKUP($D1710,'EITI Revenues'!$C$2:$G$224,5,FALSE),"..")</f>
        <v>4358147652.2724705</v>
      </c>
      <c r="BC1710" s="846">
        <f t="shared" si="289"/>
        <v>0.14565749631941857</v>
      </c>
      <c r="BD1710" s="129">
        <f>VLOOKUP($D1710,'WB Data 2'!$C$2:$K$545,6,FALSE)</f>
        <v>23087442294.109867</v>
      </c>
      <c r="BE1710" s="129">
        <f>IFERROR(VLOOKUP($D1710,UNCTAD!$C$5:$V$529,4,FALSE),"..")</f>
        <v>39257548000</v>
      </c>
      <c r="BF1710" s="846">
        <f t="shared" si="290"/>
        <v>0.58810199491088611</v>
      </c>
      <c r="BG1710" s="117">
        <f>VLOOKUP($D1710,'WB Data'!$C$3:$M$578,5,FALSE)</f>
        <v>-255920000</v>
      </c>
      <c r="BH1710" s="129">
        <f>IFERROR($BB1710/$BG1710,"..")</f>
        <v>-17.029335934168767</v>
      </c>
      <c r="BI1710" s="117">
        <f>IFERROR(VLOOKUP($D1710,'WB Data'!$C$3:$M$578,7,FALSE)/100,"..")</f>
        <v>2.6887599999999998E-2</v>
      </c>
      <c r="BJ1710" s="117">
        <f>IFERROR($BI1710*$AW1710,"..")</f>
        <v>3993421932.2773547</v>
      </c>
      <c r="BK1710" s="846">
        <f>IFERROR($BB1710/$BJ1710,"..")</f>
        <v>1.0913316264047064</v>
      </c>
      <c r="BL1710" s="117">
        <f>IFERROR(VLOOKUP($D1710,'WB Data'!$C$3:$M$578,7,FALSE)/100,"..")</f>
        <v>2.6887599999999998E-2</v>
      </c>
      <c r="BM1710" s="117">
        <f>IFERROR($AW1710*$BL1710,"..")</f>
        <v>3993421932.2773547</v>
      </c>
      <c r="BN1710" s="846">
        <f>IFERROR($BB1710/$BM1710,"..")</f>
        <v>1.0913316264047064</v>
      </c>
      <c r="BO1710" s="801">
        <f t="shared" si="286"/>
        <v>38</v>
      </c>
      <c r="BP1710" s="117">
        <f>VLOOKUP($D1710,'WB Data'!$C$3:$M$578,9,FALSE)</f>
        <v>30.8</v>
      </c>
      <c r="BQ1710" s="117">
        <f>VLOOKUP($D1710,'WB Data'!$C$3:$M$578,10,FALSE)</f>
        <v>73.905097560975619</v>
      </c>
      <c r="BR1710" s="117">
        <f>VLOOKUP($D1710,'WB Data'!$C$3:$M$578,11,FALSE)</f>
        <v>15.2</v>
      </c>
      <c r="BS1710" s="129">
        <f>IFERROR(VLOOKUP($D1710,'WB Data 2'!$C$2:$K$545,9,FALSE),"..")</f>
        <v>97.373459999999994</v>
      </c>
      <c r="BT1710" s="129">
        <f>_xlfn.IFNA(VLOOKUP($C1710,RGI!$A$2:$C$43,2,FALSE),"..")</f>
        <v>76.8</v>
      </c>
      <c r="BU1710" s="129">
        <f>_xlfn.IFNA(VLOOKUP($C1710,RGI!$A$2:$C$43,3,FALSE),"..")</f>
        <v>72.816147461462435</v>
      </c>
      <c r="BV1710" s="129">
        <f>VLOOKUP($D1710,WGI!$C$2:$O$478,7,FALSE)</f>
        <v>6.6403653760441994E-2</v>
      </c>
      <c r="BW1710" s="129">
        <f>VLOOKUP($D1710,WGI!$C$2:$O$478,4,FALSE)</f>
        <v>-0.97688567284337502</v>
      </c>
      <c r="BX1710" s="129">
        <f>VLOOKUP($D1710,WGI!$C$2:$O$478,3,FALSE)</f>
        <v>-0.203136729362278</v>
      </c>
      <c r="BY1710" s="129">
        <f>VLOOKUP($D1710,WGI!$C$2:$O$478,5,FALSE)</f>
        <v>0.460708707951485</v>
      </c>
      <c r="BZ1710" s="129">
        <f>VLOOKUP($D1710,WGI!$C$2:$O$478,2,FALSE)</f>
        <v>-0.25042827669247397</v>
      </c>
      <c r="CB1710" s="129"/>
    </row>
    <row r="1711" spans="1:80" s="158" customFormat="1" ht="15" customHeight="1">
      <c r="A1711" s="295" t="s">
        <v>458</v>
      </c>
      <c r="B1711" s="149">
        <v>2010</v>
      </c>
      <c r="C1711" s="149" t="s">
        <v>449</v>
      </c>
      <c r="D1711" s="117" t="s">
        <v>3677</v>
      </c>
      <c r="E1711" s="453" t="s">
        <v>220</v>
      </c>
      <c r="F1711" s="149"/>
      <c r="G1711" s="120" t="s">
        <v>24</v>
      </c>
      <c r="H1711" s="117" t="str">
        <f t="shared" si="291"/>
        <v>yes</v>
      </c>
      <c r="I1711" s="117" t="str">
        <f t="shared" si="283"/>
        <v>no</v>
      </c>
      <c r="J1711" s="117" t="str">
        <f t="shared" si="284"/>
        <v>no</v>
      </c>
      <c r="K1711" s="149" t="s">
        <v>849</v>
      </c>
      <c r="L1711" s="117" t="str">
        <f t="shared" si="292"/>
        <v>detailed</v>
      </c>
      <c r="M1711" s="117" t="str">
        <f t="shared" si="285"/>
        <v>detailed Mining</v>
      </c>
      <c r="N1711" s="150"/>
      <c r="O1711" s="150"/>
      <c r="P1711" s="150"/>
      <c r="Q1711" s="150"/>
      <c r="R1711" s="150"/>
      <c r="S1711" s="149"/>
      <c r="T1711" s="151"/>
      <c r="U1711" s="149"/>
      <c r="V1711" s="149"/>
      <c r="W1711" s="152"/>
      <c r="X1711" s="149"/>
      <c r="Y1711" s="149"/>
      <c r="Z1711" s="149"/>
      <c r="AA1711" s="149"/>
      <c r="AB1711" s="149"/>
      <c r="AC1711" s="288"/>
      <c r="AD1711" s="288"/>
      <c r="AE1711" s="288"/>
      <c r="AF1711" s="285"/>
      <c r="AG1711" s="149"/>
      <c r="AH1711" s="156"/>
      <c r="AI1711" s="149"/>
      <c r="AJ1711" s="149"/>
      <c r="AK1711" s="152"/>
      <c r="AL1711" s="149"/>
      <c r="AM1711" s="149"/>
      <c r="AN1711" s="149"/>
      <c r="AO1711" s="149"/>
      <c r="AP1711" s="149"/>
      <c r="AQ1711" s="149"/>
      <c r="AR1711" s="149"/>
      <c r="AS1711" s="149"/>
      <c r="AT1711" s="149"/>
      <c r="AU1711" s="149"/>
      <c r="AV1711" s="157"/>
      <c r="AW1711" s="117">
        <f>VLOOKUP($D1711,'WB Data'!$C$3:$M$578,2,FALSE)</f>
        <v>148522810971.50192</v>
      </c>
      <c r="AX1711" s="117">
        <f>VLOOKUP($D1711,'WB Data'!$C$3:$M$578,3,FALSE)</f>
        <v>29262830</v>
      </c>
      <c r="AY1711" s="847">
        <f t="shared" si="287"/>
        <v>2.9343288238119179E-2</v>
      </c>
      <c r="AZ1711" s="117">
        <f>VLOOKUP($D1711,'WB Data'!$C$3:$M$578,4,FALSE)/100</f>
        <v>0.20145402042179156</v>
      </c>
      <c r="BA1711" s="117">
        <f t="shared" si="288"/>
        <v>29920517394.554836</v>
      </c>
      <c r="BB1711" s="129">
        <f>IFERROR(VLOOKUP($D1711,'EITI Revenues'!$C$2:$G$224,5,FALSE),"..")</f>
        <v>4358147652.2724705</v>
      </c>
      <c r="BC1711" s="846">
        <f t="shared" si="289"/>
        <v>0.14565749631941857</v>
      </c>
      <c r="BD1711" s="129">
        <f>VLOOKUP($D1711,'WB Data 2'!$C$2:$K$545,6,FALSE)</f>
        <v>23087442294.109867</v>
      </c>
      <c r="BE1711" s="129">
        <f>IFERROR(VLOOKUP($D1711,UNCTAD!$C$5:$V$529,4,FALSE),"..")</f>
        <v>39257548000</v>
      </c>
      <c r="BF1711" s="846">
        <f t="shared" si="290"/>
        <v>0.58810199491088611</v>
      </c>
      <c r="BG1711" s="117">
        <f>VLOOKUP($D1711,'WB Data'!$C$3:$M$578,5,FALSE)</f>
        <v>-255920000</v>
      </c>
      <c r="BH1711" s="129">
        <f>IFERROR($BB1711/$BG1711,"..")</f>
        <v>-17.029335934168767</v>
      </c>
      <c r="BI1711" s="117">
        <f>IFERROR(VLOOKUP($D1711,'WB Data'!$C$3:$M$578,7,FALSE)/100,"..")</f>
        <v>2.6887599999999998E-2</v>
      </c>
      <c r="BJ1711" s="117">
        <f>IFERROR($BI1711*$AW1711,"..")</f>
        <v>3993421932.2773547</v>
      </c>
      <c r="BK1711" s="846">
        <f>IFERROR($BB1711/$BJ1711,"..")</f>
        <v>1.0913316264047064</v>
      </c>
      <c r="BL1711" s="117">
        <f>IFERROR(VLOOKUP($D1711,'WB Data'!$C$3:$M$578,7,FALSE)/100,"..")</f>
        <v>2.6887599999999998E-2</v>
      </c>
      <c r="BM1711" s="117">
        <f>IFERROR($AW1711*$BL1711,"..")</f>
        <v>3993421932.2773547</v>
      </c>
      <c r="BN1711" s="846">
        <f>IFERROR($BB1711/$BM1711,"..")</f>
        <v>1.0913316264047064</v>
      </c>
      <c r="BO1711" s="801">
        <f t="shared" si="286"/>
        <v>38</v>
      </c>
      <c r="BP1711" s="117">
        <f>VLOOKUP($D1711,'WB Data'!$C$3:$M$578,9,FALSE)</f>
        <v>30.8</v>
      </c>
      <c r="BQ1711" s="117">
        <f>VLOOKUP($D1711,'WB Data'!$C$3:$M$578,10,FALSE)</f>
        <v>73.905097560975619</v>
      </c>
      <c r="BR1711" s="117">
        <f>VLOOKUP($D1711,'WB Data'!$C$3:$M$578,11,FALSE)</f>
        <v>15.2</v>
      </c>
      <c r="BS1711" s="129">
        <f>IFERROR(VLOOKUP($D1711,'WB Data 2'!$C$2:$K$545,9,FALSE),"..")</f>
        <v>97.373459999999994</v>
      </c>
      <c r="BT1711" s="129">
        <f>_xlfn.IFNA(VLOOKUP($C1711,RGI!$A$2:$C$43,2,FALSE),"..")</f>
        <v>76.8</v>
      </c>
      <c r="BU1711" s="129">
        <f>_xlfn.IFNA(VLOOKUP($C1711,RGI!$A$2:$C$43,3,FALSE),"..")</f>
        <v>72.816147461462435</v>
      </c>
      <c r="BV1711" s="129">
        <f>VLOOKUP($D1711,WGI!$C$2:$O$478,7,FALSE)</f>
        <v>6.6403653760441994E-2</v>
      </c>
      <c r="BW1711" s="129">
        <f>VLOOKUP($D1711,WGI!$C$2:$O$478,4,FALSE)</f>
        <v>-0.97688567284337502</v>
      </c>
      <c r="BX1711" s="129">
        <f>VLOOKUP($D1711,WGI!$C$2:$O$478,3,FALSE)</f>
        <v>-0.203136729362278</v>
      </c>
      <c r="BY1711" s="129">
        <f>VLOOKUP($D1711,WGI!$C$2:$O$478,5,FALSE)</f>
        <v>0.460708707951485</v>
      </c>
      <c r="BZ1711" s="129">
        <f>VLOOKUP($D1711,WGI!$C$2:$O$478,2,FALSE)</f>
        <v>-0.25042827669247397</v>
      </c>
      <c r="CB1711" s="129"/>
    </row>
    <row r="1712" spans="1:80" ht="15" customHeight="1">
      <c r="A1712" s="407" t="s">
        <v>459</v>
      </c>
      <c r="B1712" s="408">
        <v>2011</v>
      </c>
      <c r="C1712" s="805" t="s">
        <v>449</v>
      </c>
      <c r="D1712" s="117" t="s">
        <v>3711</v>
      </c>
      <c r="E1712" s="409" t="s">
        <v>220</v>
      </c>
      <c r="F1712" s="410" t="s">
        <v>2019</v>
      </c>
      <c r="G1712" s="427" t="s">
        <v>35</v>
      </c>
      <c r="H1712" s="117" t="str">
        <f t="shared" si="291"/>
        <v>yes</v>
      </c>
      <c r="I1712" s="117" t="str">
        <f t="shared" si="283"/>
        <v>yes</v>
      </c>
      <c r="J1712" s="117" t="str">
        <f t="shared" si="284"/>
        <v>yes</v>
      </c>
      <c r="K1712" s="410" t="s">
        <v>709</v>
      </c>
      <c r="L1712" s="117" t="str">
        <f t="shared" si="292"/>
        <v>Total</v>
      </c>
      <c r="M1712" s="117" t="str">
        <f t="shared" si="285"/>
        <v>Total Oil, Gas, Mining</v>
      </c>
      <c r="N1712" s="411"/>
      <c r="O1712" s="411"/>
      <c r="P1712" s="411"/>
      <c r="Q1712" s="411"/>
      <c r="R1712" s="411"/>
      <c r="S1712" s="410"/>
      <c r="T1712" s="412"/>
      <c r="U1712" s="410"/>
      <c r="V1712" s="410"/>
      <c r="W1712" s="413">
        <f>W1713+W1716</f>
        <v>38441848535.731789</v>
      </c>
      <c r="X1712" s="410" t="s">
        <v>998</v>
      </c>
      <c r="Y1712" s="410" t="s">
        <v>602</v>
      </c>
      <c r="Z1712" s="410"/>
      <c r="AA1712" s="413">
        <v>5884323617</v>
      </c>
      <c r="AB1712" s="413">
        <v>5881394469</v>
      </c>
      <c r="AC1712" s="618"/>
      <c r="AD1712" s="618"/>
      <c r="AE1712" s="618"/>
      <c r="AF1712" s="619">
        <f>AA1712/W1712</f>
        <v>0.15307077680019751</v>
      </c>
      <c r="AG1712" s="410"/>
      <c r="AH1712" s="417">
        <v>2.7</v>
      </c>
      <c r="AI1712" s="410" t="s">
        <v>722</v>
      </c>
      <c r="AJ1712" s="410"/>
      <c r="AK1712" s="413"/>
      <c r="AL1712" s="410"/>
      <c r="AM1712" s="410"/>
      <c r="AN1712" s="410"/>
      <c r="AO1712" s="410"/>
      <c r="AP1712" s="410">
        <v>59</v>
      </c>
      <c r="AQ1712" s="410" t="s">
        <v>460</v>
      </c>
      <c r="AR1712" s="418">
        <v>41922</v>
      </c>
      <c r="AS1712" s="410" t="s">
        <v>1382</v>
      </c>
      <c r="AT1712" s="410" t="s">
        <v>461</v>
      </c>
      <c r="AU1712" s="410"/>
      <c r="AV1712" s="419" t="s">
        <v>2113</v>
      </c>
      <c r="AW1712" s="117">
        <f>VLOOKUP($D1712,'WB Data'!$C$3:$M$578,2,FALSE)</f>
        <v>170564249004.95398</v>
      </c>
      <c r="AX1712" s="117">
        <f>VLOOKUP($D1712,'WB Data'!$C$3:$M$578,3,FALSE)</f>
        <v>29614887</v>
      </c>
      <c r="AY1712" s="847">
        <f t="shared" si="287"/>
        <v>3.4499161760616619E-2</v>
      </c>
      <c r="AZ1712" s="117">
        <f>VLOOKUP($D1712,'WB Data'!$C$3:$M$578,4,FALSE)/100</f>
        <v>0.20943982120853646</v>
      </c>
      <c r="BA1712" s="117">
        <f t="shared" si="288"/>
        <v>35722945816.165855</v>
      </c>
      <c r="BB1712" s="129">
        <f>IFERROR(VLOOKUP($D1712,'EITI Revenues'!$C$2:$G$224,5,FALSE),"..")</f>
        <v>5884323617</v>
      </c>
      <c r="BC1712" s="846">
        <f t="shared" si="289"/>
        <v>0.16472111922911861</v>
      </c>
      <c r="BD1712" s="129">
        <f>VLOOKUP($D1712,'WB Data 2'!$C$2:$K$545,6,FALSE)</f>
        <v>29773224958.428841</v>
      </c>
      <c r="BE1712" s="129">
        <f>IFERROR(VLOOKUP($D1712,UNCTAD!$C$5:$V$529,4,FALSE),"..")</f>
        <v>50632851000</v>
      </c>
      <c r="BF1712" s="846">
        <f t="shared" si="290"/>
        <v>0.58802189429208407</v>
      </c>
      <c r="BG1712" s="117">
        <f>VLOOKUP($D1712,'WB Data'!$C$3:$M$578,5,FALSE)</f>
        <v>604820000</v>
      </c>
      <c r="BH1712" s="129">
        <f>IFERROR($BB1712/$BG1712,"..")</f>
        <v>9.7290493320326714</v>
      </c>
      <c r="BI1712" s="117">
        <f>IFERROR(VLOOKUP($D1712,'WB Data'!$C$3:$M$578,7,FALSE)/100,"..")</f>
        <v>2.5311699999999999E-2</v>
      </c>
      <c r="BJ1712" s="117">
        <f>IFERROR($BI1712*$AW1712,"..")</f>
        <v>4317271101.5386934</v>
      </c>
      <c r="BK1712" s="846">
        <f>IFERROR($BB1712/$BJ1712,"..")</f>
        <v>1.3629729240081316</v>
      </c>
      <c r="BL1712" s="117">
        <f>IFERROR(VLOOKUP($D1712,'WB Data'!$C$3:$M$578,7,FALSE)/100,"..")</f>
        <v>2.5311699999999999E-2</v>
      </c>
      <c r="BM1712" s="117">
        <f>IFERROR($AW1712*$BL1712,"..")</f>
        <v>4317271101.5386934</v>
      </c>
      <c r="BN1712" s="846">
        <f>IFERROR($BB1712/$BM1712,"..")</f>
        <v>1.3629729240081316</v>
      </c>
      <c r="BO1712" s="801">
        <f t="shared" si="286"/>
        <v>38</v>
      </c>
      <c r="BP1712" s="117">
        <f>VLOOKUP($D1712,'WB Data'!$C$3:$M$578,9,FALSE)</f>
        <v>27.8</v>
      </c>
      <c r="BQ1712" s="117">
        <f>VLOOKUP($D1712,'WB Data'!$C$3:$M$578,10,FALSE)</f>
        <v>74.210536585365858</v>
      </c>
      <c r="BR1712" s="117">
        <f>VLOOKUP($D1712,'WB Data'!$C$3:$M$578,11,FALSE)</f>
        <v>14.3</v>
      </c>
      <c r="BS1712" s="129">
        <f>IFERROR(VLOOKUP($D1712,'WB Data 2'!$C$2:$K$545,9,FALSE),"..")</f>
        <v>96.327079999999995</v>
      </c>
      <c r="BT1712" s="129">
        <f>_xlfn.IFNA(VLOOKUP($C1712,RGI!$A$2:$C$43,2,FALSE),"..")</f>
        <v>76.8</v>
      </c>
      <c r="BU1712" s="129">
        <f>_xlfn.IFNA(VLOOKUP($C1712,RGI!$A$2:$C$43,3,FALSE),"..")</f>
        <v>72.816147461462435</v>
      </c>
      <c r="BV1712" s="129">
        <f>VLOOKUP($D1712,WGI!$C$2:$O$478,7,FALSE)</f>
        <v>9.0719139218499306E-2</v>
      </c>
      <c r="BW1712" s="129">
        <f>VLOOKUP($D1712,WGI!$C$2:$O$478,4,FALSE)</f>
        <v>-0.738042232413051</v>
      </c>
      <c r="BX1712" s="129">
        <f>VLOOKUP($D1712,WGI!$C$2:$O$478,3,FALSE)</f>
        <v>-0.145710327623474</v>
      </c>
      <c r="BY1712" s="129">
        <f>VLOOKUP($D1712,WGI!$C$2:$O$478,5,FALSE)</f>
        <v>0.476881348098389</v>
      </c>
      <c r="BZ1712" s="129">
        <f>VLOOKUP($D1712,WGI!$C$2:$O$478,2,FALSE)</f>
        <v>-0.248937037637317</v>
      </c>
    </row>
    <row r="1713" spans="1:78" ht="15" customHeight="1">
      <c r="A1713" s="407" t="s">
        <v>459</v>
      </c>
      <c r="B1713" s="408">
        <v>2011</v>
      </c>
      <c r="C1713" s="805" t="s">
        <v>449</v>
      </c>
      <c r="D1713" s="117" t="s">
        <v>3711</v>
      </c>
      <c r="E1713" s="409" t="s">
        <v>220</v>
      </c>
      <c r="F1713" s="410"/>
      <c r="G1713" s="410" t="s">
        <v>55</v>
      </c>
      <c r="H1713" s="117" t="str">
        <f t="shared" si="291"/>
        <v>no</v>
      </c>
      <c r="I1713" s="117" t="str">
        <f t="shared" si="283"/>
        <v>yes</v>
      </c>
      <c r="J1713" s="117" t="str">
        <f t="shared" si="284"/>
        <v>yes</v>
      </c>
      <c r="K1713" s="410" t="s">
        <v>640</v>
      </c>
      <c r="L1713" s="117" t="str">
        <f t="shared" si="292"/>
        <v>Total</v>
      </c>
      <c r="M1713" s="117" t="str">
        <f t="shared" si="285"/>
        <v>Total Oil, Gas</v>
      </c>
      <c r="N1713" s="411"/>
      <c r="O1713" s="411"/>
      <c r="P1713" s="411"/>
      <c r="Q1713" s="411"/>
      <c r="R1713" s="411"/>
      <c r="S1713" s="410"/>
      <c r="T1713" s="412"/>
      <c r="U1713" s="410"/>
      <c r="V1713" s="410"/>
      <c r="W1713" s="413">
        <f>SUM(W1714:W1715)</f>
        <v>6499468689.8278608</v>
      </c>
      <c r="X1713" s="410"/>
      <c r="Y1713" s="410"/>
      <c r="Z1713" s="410"/>
      <c r="AA1713" s="413"/>
      <c r="AB1713" s="413"/>
      <c r="AC1713" s="618"/>
      <c r="AD1713" s="618"/>
      <c r="AE1713" s="618"/>
      <c r="AF1713" s="619"/>
      <c r="AG1713" s="410"/>
      <c r="AH1713" s="417"/>
      <c r="AI1713" s="410"/>
      <c r="AJ1713" s="410"/>
      <c r="AK1713" s="413"/>
      <c r="AL1713" s="410"/>
      <c r="AM1713" s="410"/>
      <c r="AN1713" s="410"/>
      <c r="AO1713" s="410"/>
      <c r="AP1713" s="410"/>
      <c r="AQ1713" s="410"/>
      <c r="AR1713" s="418"/>
      <c r="AS1713" s="410"/>
      <c r="AT1713" s="410"/>
      <c r="AU1713" s="410"/>
      <c r="AV1713" s="419"/>
      <c r="AW1713" s="117">
        <f>VLOOKUP($D1713,'WB Data'!$C$3:$M$578,2,FALSE)</f>
        <v>170564249004.95398</v>
      </c>
      <c r="AX1713" s="117">
        <f>VLOOKUP($D1713,'WB Data'!$C$3:$M$578,3,FALSE)</f>
        <v>29614887</v>
      </c>
      <c r="AY1713" s="847">
        <f t="shared" si="287"/>
        <v>3.4499161760616619E-2</v>
      </c>
      <c r="AZ1713" s="117">
        <f>VLOOKUP($D1713,'WB Data'!$C$3:$M$578,4,FALSE)/100</f>
        <v>0.20943982120853646</v>
      </c>
      <c r="BA1713" s="117">
        <f t="shared" si="288"/>
        <v>35722945816.165855</v>
      </c>
      <c r="BB1713" s="129">
        <f>IFERROR(VLOOKUP($D1713,'EITI Revenues'!$C$2:$G$224,5,FALSE),"..")</f>
        <v>5884323617</v>
      </c>
      <c r="BC1713" s="846">
        <f t="shared" si="289"/>
        <v>0.16472111922911861</v>
      </c>
      <c r="BD1713" s="129">
        <f>VLOOKUP($D1713,'WB Data 2'!$C$2:$K$545,6,FALSE)</f>
        <v>29773224958.428841</v>
      </c>
      <c r="BE1713" s="129">
        <f>IFERROR(VLOOKUP($D1713,UNCTAD!$C$5:$V$529,4,FALSE),"..")</f>
        <v>50632851000</v>
      </c>
      <c r="BF1713" s="846">
        <f t="shared" si="290"/>
        <v>0.58802189429208407</v>
      </c>
      <c r="BG1713" s="117">
        <f>VLOOKUP($D1713,'WB Data'!$C$3:$M$578,5,FALSE)</f>
        <v>604820000</v>
      </c>
      <c r="BH1713" s="129">
        <f>IFERROR($BB1713/$BG1713,"..")</f>
        <v>9.7290493320326714</v>
      </c>
      <c r="BI1713" s="117">
        <f>IFERROR(VLOOKUP($D1713,'WB Data'!$C$3:$M$578,7,FALSE)/100,"..")</f>
        <v>2.5311699999999999E-2</v>
      </c>
      <c r="BJ1713" s="117">
        <f>IFERROR($BI1713*$AW1713,"..")</f>
        <v>4317271101.5386934</v>
      </c>
      <c r="BK1713" s="846">
        <f>IFERROR($BB1713/$BJ1713,"..")</f>
        <v>1.3629729240081316</v>
      </c>
      <c r="BL1713" s="117">
        <f>IFERROR(VLOOKUP($D1713,'WB Data'!$C$3:$M$578,7,FALSE)/100,"..")</f>
        <v>2.5311699999999999E-2</v>
      </c>
      <c r="BM1713" s="117">
        <f>IFERROR($AW1713*$BL1713,"..")</f>
        <v>4317271101.5386934</v>
      </c>
      <c r="BN1713" s="846">
        <f>IFERROR($BB1713/$BM1713,"..")</f>
        <v>1.3629729240081316</v>
      </c>
      <c r="BO1713" s="801">
        <f t="shared" si="286"/>
        <v>38</v>
      </c>
      <c r="BP1713" s="117">
        <f>VLOOKUP($D1713,'WB Data'!$C$3:$M$578,9,FALSE)</f>
        <v>27.8</v>
      </c>
      <c r="BQ1713" s="117">
        <f>VLOOKUP($D1713,'WB Data'!$C$3:$M$578,10,FALSE)</f>
        <v>74.210536585365858</v>
      </c>
      <c r="BR1713" s="117">
        <f>VLOOKUP($D1713,'WB Data'!$C$3:$M$578,11,FALSE)</f>
        <v>14.3</v>
      </c>
      <c r="BS1713" s="129">
        <f>IFERROR(VLOOKUP($D1713,'WB Data 2'!$C$2:$K$545,9,FALSE),"..")</f>
        <v>96.327079999999995</v>
      </c>
      <c r="BT1713" s="129">
        <f>_xlfn.IFNA(VLOOKUP($C1713,RGI!$A$2:$C$43,2,FALSE),"..")</f>
        <v>76.8</v>
      </c>
      <c r="BU1713" s="129">
        <f>_xlfn.IFNA(VLOOKUP($C1713,RGI!$A$2:$C$43,3,FALSE),"..")</f>
        <v>72.816147461462435</v>
      </c>
      <c r="BV1713" s="129">
        <f>VLOOKUP($D1713,WGI!$C$2:$O$478,7,FALSE)</f>
        <v>9.0719139218499306E-2</v>
      </c>
      <c r="BW1713" s="129">
        <f>VLOOKUP($D1713,WGI!$C$2:$O$478,4,FALSE)</f>
        <v>-0.738042232413051</v>
      </c>
      <c r="BX1713" s="129">
        <f>VLOOKUP($D1713,WGI!$C$2:$O$478,3,FALSE)</f>
        <v>-0.145710327623474</v>
      </c>
      <c r="BY1713" s="129">
        <f>VLOOKUP($D1713,WGI!$C$2:$O$478,5,FALSE)</f>
        <v>0.476881348098389</v>
      </c>
      <c r="BZ1713" s="129">
        <f>VLOOKUP($D1713,WGI!$C$2:$O$478,2,FALSE)</f>
        <v>-0.248937037637317</v>
      </c>
    </row>
    <row r="1714" spans="1:78" ht="15" customHeight="1">
      <c r="A1714" s="407" t="s">
        <v>459</v>
      </c>
      <c r="B1714" s="408">
        <v>2011</v>
      </c>
      <c r="C1714" s="805" t="s">
        <v>449</v>
      </c>
      <c r="D1714" s="117" t="s">
        <v>3711</v>
      </c>
      <c r="E1714" s="409" t="s">
        <v>220</v>
      </c>
      <c r="F1714" s="410"/>
      <c r="G1714" s="621" t="s">
        <v>561</v>
      </c>
      <c r="H1714" s="117" t="str">
        <f t="shared" si="291"/>
        <v>no</v>
      </c>
      <c r="I1714" s="117" t="str">
        <f t="shared" si="283"/>
        <v>yes</v>
      </c>
      <c r="J1714" s="117" t="str">
        <f t="shared" si="284"/>
        <v>no</v>
      </c>
      <c r="K1714" s="410" t="s">
        <v>561</v>
      </c>
      <c r="L1714" s="117" t="str">
        <f t="shared" si="292"/>
        <v>detailed</v>
      </c>
      <c r="M1714" s="117" t="str">
        <f t="shared" si="285"/>
        <v>detailed Gas</v>
      </c>
      <c r="N1714" s="411">
        <v>11300000000</v>
      </c>
      <c r="O1714" s="411"/>
      <c r="P1714" s="411"/>
      <c r="Q1714" s="411"/>
      <c r="R1714" s="411"/>
      <c r="S1714" s="410" t="s">
        <v>642</v>
      </c>
      <c r="T1714" s="412">
        <v>0.19666043794616025</v>
      </c>
      <c r="U1714" s="410" t="s">
        <v>643</v>
      </c>
      <c r="V1714" s="410" t="s">
        <v>738</v>
      </c>
      <c r="W1714" s="413">
        <f>N1714*T1714</f>
        <v>2222262948.7916107</v>
      </c>
      <c r="X1714" s="410"/>
      <c r="Y1714" s="410"/>
      <c r="Z1714" s="410"/>
      <c r="AA1714" s="413"/>
      <c r="AB1714" s="413"/>
      <c r="AC1714" s="618"/>
      <c r="AD1714" s="618"/>
      <c r="AE1714" s="618"/>
      <c r="AF1714" s="619"/>
      <c r="AG1714" s="410"/>
      <c r="AH1714" s="417"/>
      <c r="AI1714" s="410"/>
      <c r="AJ1714" s="410"/>
      <c r="AK1714" s="413"/>
      <c r="AL1714" s="410"/>
      <c r="AM1714" s="410"/>
      <c r="AN1714" s="410"/>
      <c r="AO1714" s="410"/>
      <c r="AP1714" s="410"/>
      <c r="AQ1714" s="410"/>
      <c r="AR1714" s="410"/>
      <c r="AS1714" s="410"/>
      <c r="AT1714" s="410"/>
      <c r="AU1714" s="410"/>
      <c r="AV1714" s="419"/>
      <c r="AW1714" s="117">
        <f>VLOOKUP($D1714,'WB Data'!$C$3:$M$578,2,FALSE)</f>
        <v>170564249004.95398</v>
      </c>
      <c r="AX1714" s="117">
        <f>VLOOKUP($D1714,'WB Data'!$C$3:$M$578,3,FALSE)</f>
        <v>29614887</v>
      </c>
      <c r="AY1714" s="847">
        <f t="shared" si="287"/>
        <v>3.4499161760616619E-2</v>
      </c>
      <c r="AZ1714" s="117">
        <f>VLOOKUP($D1714,'WB Data'!$C$3:$M$578,4,FALSE)/100</f>
        <v>0.20943982120853646</v>
      </c>
      <c r="BA1714" s="117">
        <f t="shared" si="288"/>
        <v>35722945816.165855</v>
      </c>
      <c r="BB1714" s="129">
        <f>IFERROR(VLOOKUP($D1714,'EITI Revenues'!$C$2:$G$224,5,FALSE),"..")</f>
        <v>5884323617</v>
      </c>
      <c r="BC1714" s="846">
        <f t="shared" si="289"/>
        <v>0.16472111922911861</v>
      </c>
      <c r="BD1714" s="129">
        <f>VLOOKUP($D1714,'WB Data 2'!$C$2:$K$545,6,FALSE)</f>
        <v>29773224958.428841</v>
      </c>
      <c r="BE1714" s="129">
        <f>IFERROR(VLOOKUP($D1714,UNCTAD!$C$5:$V$529,4,FALSE),"..")</f>
        <v>50632851000</v>
      </c>
      <c r="BF1714" s="846">
        <f t="shared" si="290"/>
        <v>0.58802189429208407</v>
      </c>
      <c r="BG1714" s="117">
        <f>VLOOKUP($D1714,'WB Data'!$C$3:$M$578,5,FALSE)</f>
        <v>604820000</v>
      </c>
      <c r="BH1714" s="129">
        <f>IFERROR($BB1714/$BG1714,"..")</f>
        <v>9.7290493320326714</v>
      </c>
      <c r="BI1714" s="117">
        <f>IFERROR(VLOOKUP($D1714,'WB Data'!$C$3:$M$578,7,FALSE)/100,"..")</f>
        <v>2.5311699999999999E-2</v>
      </c>
      <c r="BJ1714" s="117">
        <f>IFERROR($BI1714*$AW1714,"..")</f>
        <v>4317271101.5386934</v>
      </c>
      <c r="BK1714" s="846">
        <f>IFERROR($BB1714/$BJ1714,"..")</f>
        <v>1.3629729240081316</v>
      </c>
      <c r="BL1714" s="117">
        <f>IFERROR(VLOOKUP($D1714,'WB Data'!$C$3:$M$578,7,FALSE)/100,"..")</f>
        <v>2.5311699999999999E-2</v>
      </c>
      <c r="BM1714" s="117">
        <f>IFERROR($AW1714*$BL1714,"..")</f>
        <v>4317271101.5386934</v>
      </c>
      <c r="BN1714" s="846">
        <f>IFERROR($BB1714/$BM1714,"..")</f>
        <v>1.3629729240081316</v>
      </c>
      <c r="BO1714" s="801">
        <f t="shared" si="286"/>
        <v>38</v>
      </c>
      <c r="BP1714" s="117">
        <f>VLOOKUP($D1714,'WB Data'!$C$3:$M$578,9,FALSE)</f>
        <v>27.8</v>
      </c>
      <c r="BQ1714" s="117">
        <f>VLOOKUP($D1714,'WB Data'!$C$3:$M$578,10,FALSE)</f>
        <v>74.210536585365858</v>
      </c>
      <c r="BR1714" s="117">
        <f>VLOOKUP($D1714,'WB Data'!$C$3:$M$578,11,FALSE)</f>
        <v>14.3</v>
      </c>
      <c r="BS1714" s="129">
        <f>IFERROR(VLOOKUP($D1714,'WB Data 2'!$C$2:$K$545,9,FALSE),"..")</f>
        <v>96.327079999999995</v>
      </c>
      <c r="BT1714" s="129">
        <f>_xlfn.IFNA(VLOOKUP($C1714,RGI!$A$2:$C$43,2,FALSE),"..")</f>
        <v>76.8</v>
      </c>
      <c r="BU1714" s="129">
        <f>_xlfn.IFNA(VLOOKUP($C1714,RGI!$A$2:$C$43,3,FALSE),"..")</f>
        <v>72.816147461462435</v>
      </c>
      <c r="BV1714" s="129">
        <f>VLOOKUP($D1714,WGI!$C$2:$O$478,7,FALSE)</f>
        <v>9.0719139218499306E-2</v>
      </c>
      <c r="BW1714" s="129">
        <f>VLOOKUP($D1714,WGI!$C$2:$O$478,4,FALSE)</f>
        <v>-0.738042232413051</v>
      </c>
      <c r="BX1714" s="129">
        <f>VLOOKUP($D1714,WGI!$C$2:$O$478,3,FALSE)</f>
        <v>-0.145710327623474</v>
      </c>
      <c r="BY1714" s="129">
        <f>VLOOKUP($D1714,WGI!$C$2:$O$478,5,FALSE)</f>
        <v>0.476881348098389</v>
      </c>
      <c r="BZ1714" s="129">
        <f>VLOOKUP($D1714,WGI!$C$2:$O$478,2,FALSE)</f>
        <v>-0.248937037637317</v>
      </c>
    </row>
    <row r="1715" spans="1:78" ht="15" customHeight="1">
      <c r="A1715" s="407" t="s">
        <v>459</v>
      </c>
      <c r="B1715" s="408">
        <v>2011</v>
      </c>
      <c r="C1715" s="805" t="s">
        <v>449</v>
      </c>
      <c r="D1715" s="117" t="s">
        <v>3711</v>
      </c>
      <c r="E1715" s="409" t="s">
        <v>220</v>
      </c>
      <c r="F1715" s="410"/>
      <c r="G1715" s="621" t="s">
        <v>103</v>
      </c>
      <c r="H1715" s="117" t="str">
        <f t="shared" si="291"/>
        <v>no</v>
      </c>
      <c r="I1715" s="117" t="str">
        <f t="shared" si="283"/>
        <v>no</v>
      </c>
      <c r="J1715" s="117" t="str">
        <f t="shared" si="284"/>
        <v>yes</v>
      </c>
      <c r="K1715" s="410" t="s">
        <v>103</v>
      </c>
      <c r="L1715" s="117" t="str">
        <f t="shared" si="292"/>
        <v>detailed</v>
      </c>
      <c r="M1715" s="117" t="str">
        <f t="shared" si="285"/>
        <v>detailed Oil</v>
      </c>
      <c r="N1715" s="411">
        <v>40150000</v>
      </c>
      <c r="O1715" s="411"/>
      <c r="P1715" s="411"/>
      <c r="Q1715" s="411"/>
      <c r="R1715" s="411"/>
      <c r="S1715" s="410" t="s">
        <v>646</v>
      </c>
      <c r="T1715" s="412">
        <v>106.530653575</v>
      </c>
      <c r="U1715" s="410" t="s">
        <v>673</v>
      </c>
      <c r="V1715" s="410" t="s">
        <v>740</v>
      </c>
      <c r="W1715" s="413">
        <f>N1715*T1715</f>
        <v>4277205741.0362501</v>
      </c>
      <c r="X1715" s="410"/>
      <c r="Y1715" s="410"/>
      <c r="Z1715" s="410"/>
      <c r="AA1715" s="413"/>
      <c r="AB1715" s="413"/>
      <c r="AC1715" s="618"/>
      <c r="AD1715" s="618"/>
      <c r="AE1715" s="618"/>
      <c r="AF1715" s="619"/>
      <c r="AG1715" s="410"/>
      <c r="AH1715" s="417"/>
      <c r="AI1715" s="410"/>
      <c r="AJ1715" s="410"/>
      <c r="AK1715" s="413"/>
      <c r="AL1715" s="410"/>
      <c r="AM1715" s="410"/>
      <c r="AN1715" s="410"/>
      <c r="AO1715" s="410"/>
      <c r="AP1715" s="410"/>
      <c r="AQ1715" s="410"/>
      <c r="AR1715" s="410"/>
      <c r="AS1715" s="410"/>
      <c r="AT1715" s="410"/>
      <c r="AU1715" s="410"/>
      <c r="AV1715" s="419"/>
      <c r="AW1715" s="117">
        <f>VLOOKUP($D1715,'WB Data'!$C$3:$M$578,2,FALSE)</f>
        <v>170564249004.95398</v>
      </c>
      <c r="AX1715" s="117">
        <f>VLOOKUP($D1715,'WB Data'!$C$3:$M$578,3,FALSE)</f>
        <v>29614887</v>
      </c>
      <c r="AY1715" s="847">
        <f t="shared" si="287"/>
        <v>3.4499161760616619E-2</v>
      </c>
      <c r="AZ1715" s="117">
        <f>VLOOKUP($D1715,'WB Data'!$C$3:$M$578,4,FALSE)/100</f>
        <v>0.20943982120853646</v>
      </c>
      <c r="BA1715" s="117">
        <f t="shared" si="288"/>
        <v>35722945816.165855</v>
      </c>
      <c r="BB1715" s="129">
        <f>IFERROR(VLOOKUP($D1715,'EITI Revenues'!$C$2:$G$224,5,FALSE),"..")</f>
        <v>5884323617</v>
      </c>
      <c r="BC1715" s="846">
        <f t="shared" si="289"/>
        <v>0.16472111922911861</v>
      </c>
      <c r="BD1715" s="129">
        <f>VLOOKUP($D1715,'WB Data 2'!$C$2:$K$545,6,FALSE)</f>
        <v>29773224958.428841</v>
      </c>
      <c r="BE1715" s="129">
        <f>IFERROR(VLOOKUP($D1715,UNCTAD!$C$5:$V$529,4,FALSE),"..")</f>
        <v>50632851000</v>
      </c>
      <c r="BF1715" s="846">
        <f t="shared" si="290"/>
        <v>0.58802189429208407</v>
      </c>
      <c r="BG1715" s="117">
        <f>VLOOKUP($D1715,'WB Data'!$C$3:$M$578,5,FALSE)</f>
        <v>604820000</v>
      </c>
      <c r="BH1715" s="129">
        <f>IFERROR($BB1715/$BG1715,"..")</f>
        <v>9.7290493320326714</v>
      </c>
      <c r="BI1715" s="117">
        <f>IFERROR(VLOOKUP($D1715,'WB Data'!$C$3:$M$578,7,FALSE)/100,"..")</f>
        <v>2.5311699999999999E-2</v>
      </c>
      <c r="BJ1715" s="117">
        <f>IFERROR($BI1715*$AW1715,"..")</f>
        <v>4317271101.5386934</v>
      </c>
      <c r="BK1715" s="846">
        <f>IFERROR($BB1715/$BJ1715,"..")</f>
        <v>1.3629729240081316</v>
      </c>
      <c r="BL1715" s="117">
        <f>IFERROR(VLOOKUP($D1715,'WB Data'!$C$3:$M$578,7,FALSE)/100,"..")</f>
        <v>2.5311699999999999E-2</v>
      </c>
      <c r="BM1715" s="117">
        <f>IFERROR($AW1715*$BL1715,"..")</f>
        <v>4317271101.5386934</v>
      </c>
      <c r="BN1715" s="846">
        <f>IFERROR($BB1715/$BM1715,"..")</f>
        <v>1.3629729240081316</v>
      </c>
      <c r="BO1715" s="801">
        <f t="shared" si="286"/>
        <v>38</v>
      </c>
      <c r="BP1715" s="117">
        <f>VLOOKUP($D1715,'WB Data'!$C$3:$M$578,9,FALSE)</f>
        <v>27.8</v>
      </c>
      <c r="BQ1715" s="117">
        <f>VLOOKUP($D1715,'WB Data'!$C$3:$M$578,10,FALSE)</f>
        <v>74.210536585365858</v>
      </c>
      <c r="BR1715" s="117">
        <f>VLOOKUP($D1715,'WB Data'!$C$3:$M$578,11,FALSE)</f>
        <v>14.3</v>
      </c>
      <c r="BS1715" s="129">
        <f>IFERROR(VLOOKUP($D1715,'WB Data 2'!$C$2:$K$545,9,FALSE),"..")</f>
        <v>96.327079999999995</v>
      </c>
      <c r="BT1715" s="129">
        <f>_xlfn.IFNA(VLOOKUP($C1715,RGI!$A$2:$C$43,2,FALSE),"..")</f>
        <v>76.8</v>
      </c>
      <c r="BU1715" s="129">
        <f>_xlfn.IFNA(VLOOKUP($C1715,RGI!$A$2:$C$43,3,FALSE),"..")</f>
        <v>72.816147461462435</v>
      </c>
      <c r="BV1715" s="129">
        <f>VLOOKUP($D1715,WGI!$C$2:$O$478,7,FALSE)</f>
        <v>9.0719139218499306E-2</v>
      </c>
      <c r="BW1715" s="129">
        <f>VLOOKUP($D1715,WGI!$C$2:$O$478,4,FALSE)</f>
        <v>-0.738042232413051</v>
      </c>
      <c r="BX1715" s="129">
        <f>VLOOKUP($D1715,WGI!$C$2:$O$478,3,FALSE)</f>
        <v>-0.145710327623474</v>
      </c>
      <c r="BY1715" s="129">
        <f>VLOOKUP($D1715,WGI!$C$2:$O$478,5,FALSE)</f>
        <v>0.476881348098389</v>
      </c>
      <c r="BZ1715" s="129">
        <f>VLOOKUP($D1715,WGI!$C$2:$O$478,2,FALSE)</f>
        <v>-0.248937037637317</v>
      </c>
    </row>
    <row r="1716" spans="1:78" ht="15" customHeight="1">
      <c r="A1716" s="407" t="s">
        <v>459</v>
      </c>
      <c r="B1716" s="408">
        <v>2011</v>
      </c>
      <c r="C1716" s="805" t="s">
        <v>449</v>
      </c>
      <c r="D1716" s="117" t="s">
        <v>3711</v>
      </c>
      <c r="E1716" s="409" t="s">
        <v>220</v>
      </c>
      <c r="F1716" s="410"/>
      <c r="G1716" s="621" t="s">
        <v>24</v>
      </c>
      <c r="H1716" s="117" t="str">
        <f t="shared" si="291"/>
        <v>yes</v>
      </c>
      <c r="I1716" s="117" t="str">
        <f t="shared" si="283"/>
        <v>no</v>
      </c>
      <c r="J1716" s="117" t="str">
        <f t="shared" si="284"/>
        <v>no</v>
      </c>
      <c r="K1716" s="410" t="s">
        <v>600</v>
      </c>
      <c r="L1716" s="117" t="str">
        <f t="shared" si="292"/>
        <v>Total</v>
      </c>
      <c r="M1716" s="117" t="str">
        <f t="shared" si="285"/>
        <v>Total Mining</v>
      </c>
      <c r="N1716" s="411"/>
      <c r="O1716" s="411"/>
      <c r="P1716" s="411"/>
      <c r="Q1716" s="411"/>
      <c r="R1716" s="411"/>
      <c r="S1716" s="410"/>
      <c r="T1716" s="412"/>
      <c r="U1716" s="410"/>
      <c r="V1716" s="410"/>
      <c r="W1716" s="413">
        <f>SUM(W1717:W1776)</f>
        <v>31942379845.903927</v>
      </c>
      <c r="X1716" s="410"/>
      <c r="Y1716" s="621"/>
      <c r="Z1716" s="621"/>
      <c r="AA1716" s="413"/>
      <c r="AB1716" s="413"/>
      <c r="AC1716" s="618"/>
      <c r="AD1716" s="618"/>
      <c r="AE1716" s="618"/>
      <c r="AF1716" s="619"/>
      <c r="AG1716" s="621"/>
      <c r="AH1716" s="417"/>
      <c r="AI1716" s="410"/>
      <c r="AJ1716" s="410"/>
      <c r="AK1716" s="413"/>
      <c r="AL1716" s="410"/>
      <c r="AM1716" s="410"/>
      <c r="AN1716" s="410"/>
      <c r="AO1716" s="410"/>
      <c r="AP1716" s="410"/>
      <c r="AQ1716" s="410"/>
      <c r="AR1716" s="410"/>
      <c r="AS1716" s="410"/>
      <c r="AT1716" s="410"/>
      <c r="AU1716" s="410"/>
      <c r="AV1716" s="419"/>
      <c r="AW1716" s="117">
        <f>VLOOKUP($D1716,'WB Data'!$C$3:$M$578,2,FALSE)</f>
        <v>170564249004.95398</v>
      </c>
      <c r="AX1716" s="117">
        <f>VLOOKUP($D1716,'WB Data'!$C$3:$M$578,3,FALSE)</f>
        <v>29614887</v>
      </c>
      <c r="AY1716" s="847">
        <f t="shared" si="287"/>
        <v>3.4499161760616619E-2</v>
      </c>
      <c r="AZ1716" s="117">
        <f>VLOOKUP($D1716,'WB Data'!$C$3:$M$578,4,FALSE)/100</f>
        <v>0.20943982120853646</v>
      </c>
      <c r="BA1716" s="117">
        <f t="shared" si="288"/>
        <v>35722945816.165855</v>
      </c>
      <c r="BB1716" s="129">
        <f>IFERROR(VLOOKUP($D1716,'EITI Revenues'!$C$2:$G$224,5,FALSE),"..")</f>
        <v>5884323617</v>
      </c>
      <c r="BC1716" s="846">
        <f t="shared" si="289"/>
        <v>0.16472111922911861</v>
      </c>
      <c r="BD1716" s="129">
        <f>VLOOKUP($D1716,'WB Data 2'!$C$2:$K$545,6,FALSE)</f>
        <v>29773224958.428841</v>
      </c>
      <c r="BE1716" s="129">
        <f>IFERROR(VLOOKUP($D1716,UNCTAD!$C$5:$V$529,4,FALSE),"..")</f>
        <v>50632851000</v>
      </c>
      <c r="BF1716" s="846">
        <f t="shared" si="290"/>
        <v>0.58802189429208407</v>
      </c>
      <c r="BG1716" s="117">
        <f>VLOOKUP($D1716,'WB Data'!$C$3:$M$578,5,FALSE)</f>
        <v>604820000</v>
      </c>
      <c r="BH1716" s="129">
        <f>IFERROR($BB1716/$BG1716,"..")</f>
        <v>9.7290493320326714</v>
      </c>
      <c r="BI1716" s="117">
        <f>IFERROR(VLOOKUP($D1716,'WB Data'!$C$3:$M$578,7,FALSE)/100,"..")</f>
        <v>2.5311699999999999E-2</v>
      </c>
      <c r="BJ1716" s="117">
        <f>IFERROR($BI1716*$AW1716,"..")</f>
        <v>4317271101.5386934</v>
      </c>
      <c r="BK1716" s="846">
        <f>IFERROR($BB1716/$BJ1716,"..")</f>
        <v>1.3629729240081316</v>
      </c>
      <c r="BL1716" s="117">
        <f>IFERROR(VLOOKUP($D1716,'WB Data'!$C$3:$M$578,7,FALSE)/100,"..")</f>
        <v>2.5311699999999999E-2</v>
      </c>
      <c r="BM1716" s="117">
        <f>IFERROR($AW1716*$BL1716,"..")</f>
        <v>4317271101.5386934</v>
      </c>
      <c r="BN1716" s="846">
        <f>IFERROR($BB1716/$BM1716,"..")</f>
        <v>1.3629729240081316</v>
      </c>
      <c r="BO1716" s="801">
        <f t="shared" si="286"/>
        <v>38</v>
      </c>
      <c r="BP1716" s="117">
        <f>VLOOKUP($D1716,'WB Data'!$C$3:$M$578,9,FALSE)</f>
        <v>27.8</v>
      </c>
      <c r="BQ1716" s="117">
        <f>VLOOKUP($D1716,'WB Data'!$C$3:$M$578,10,FALSE)</f>
        <v>74.210536585365858</v>
      </c>
      <c r="BR1716" s="117">
        <f>VLOOKUP($D1716,'WB Data'!$C$3:$M$578,11,FALSE)</f>
        <v>14.3</v>
      </c>
      <c r="BS1716" s="129">
        <f>IFERROR(VLOOKUP($D1716,'WB Data 2'!$C$2:$K$545,9,FALSE),"..")</f>
        <v>96.327079999999995</v>
      </c>
      <c r="BT1716" s="129">
        <f>_xlfn.IFNA(VLOOKUP($C1716,RGI!$A$2:$C$43,2,FALSE),"..")</f>
        <v>76.8</v>
      </c>
      <c r="BU1716" s="129">
        <f>_xlfn.IFNA(VLOOKUP($C1716,RGI!$A$2:$C$43,3,FALSE),"..")</f>
        <v>72.816147461462435</v>
      </c>
      <c r="BV1716" s="129">
        <f>VLOOKUP($D1716,WGI!$C$2:$O$478,7,FALSE)</f>
        <v>9.0719139218499306E-2</v>
      </c>
      <c r="BW1716" s="129">
        <f>VLOOKUP($D1716,WGI!$C$2:$O$478,4,FALSE)</f>
        <v>-0.738042232413051</v>
      </c>
      <c r="BX1716" s="129">
        <f>VLOOKUP($D1716,WGI!$C$2:$O$478,3,FALSE)</f>
        <v>-0.145710327623474</v>
      </c>
      <c r="BY1716" s="129">
        <f>VLOOKUP($D1716,WGI!$C$2:$O$478,5,FALSE)</f>
        <v>0.476881348098389</v>
      </c>
      <c r="BZ1716" s="129">
        <f>VLOOKUP($D1716,WGI!$C$2:$O$478,2,FALSE)</f>
        <v>-0.248937037637317</v>
      </c>
    </row>
    <row r="1717" spans="1:78" ht="15" customHeight="1">
      <c r="A1717" s="407" t="s">
        <v>459</v>
      </c>
      <c r="B1717" s="408">
        <v>2011</v>
      </c>
      <c r="C1717" s="805" t="s">
        <v>449</v>
      </c>
      <c r="D1717" s="117" t="s">
        <v>3711</v>
      </c>
      <c r="E1717" s="409" t="s">
        <v>220</v>
      </c>
      <c r="F1717" s="410"/>
      <c r="G1717" s="621" t="s">
        <v>24</v>
      </c>
      <c r="H1717" s="117" t="str">
        <f t="shared" si="291"/>
        <v>yes</v>
      </c>
      <c r="I1717" s="117" t="str">
        <f t="shared" si="283"/>
        <v>no</v>
      </c>
      <c r="J1717" s="117" t="str">
        <f t="shared" si="284"/>
        <v>no</v>
      </c>
      <c r="K1717" s="410" t="s">
        <v>2088</v>
      </c>
      <c r="L1717" s="117" t="str">
        <f t="shared" si="292"/>
        <v>detailed</v>
      </c>
      <c r="M1717" s="117" t="str">
        <f t="shared" si="285"/>
        <v>detailed Mining</v>
      </c>
      <c r="N1717" s="411">
        <v>0</v>
      </c>
      <c r="O1717" s="411"/>
      <c r="P1717" s="411"/>
      <c r="Q1717" s="411"/>
      <c r="R1717" s="411"/>
      <c r="S1717" s="410" t="s">
        <v>610</v>
      </c>
      <c r="T1717" s="412"/>
      <c r="U1717" s="410"/>
      <c r="V1717" s="410" t="s">
        <v>847</v>
      </c>
      <c r="W1717" s="413">
        <f t="shared" ref="W1717:W1727" si="293">N1717*T1717</f>
        <v>0</v>
      </c>
      <c r="X1717" s="410"/>
      <c r="Y1717" s="621"/>
      <c r="Z1717" s="621"/>
      <c r="AA1717" s="413"/>
      <c r="AB1717" s="413"/>
      <c r="AC1717" s="618"/>
      <c r="AD1717" s="618"/>
      <c r="AE1717" s="618"/>
      <c r="AF1717" s="619"/>
      <c r="AG1717" s="621"/>
      <c r="AH1717" s="417"/>
      <c r="AI1717" s="410"/>
      <c r="AJ1717" s="410"/>
      <c r="AK1717" s="413"/>
      <c r="AL1717" s="410"/>
      <c r="AM1717" s="410"/>
      <c r="AN1717" s="410"/>
      <c r="AO1717" s="410"/>
      <c r="AP1717" s="410"/>
      <c r="AQ1717" s="410"/>
      <c r="AR1717" s="410"/>
      <c r="AS1717" s="410"/>
      <c r="AT1717" s="410"/>
      <c r="AU1717" s="410"/>
      <c r="AV1717" s="419"/>
      <c r="AW1717" s="117">
        <f>VLOOKUP($D1717,'WB Data'!$C$3:$M$578,2,FALSE)</f>
        <v>170564249004.95398</v>
      </c>
      <c r="AX1717" s="117">
        <f>VLOOKUP($D1717,'WB Data'!$C$3:$M$578,3,FALSE)</f>
        <v>29614887</v>
      </c>
      <c r="AY1717" s="847">
        <f t="shared" si="287"/>
        <v>3.4499161760616619E-2</v>
      </c>
      <c r="AZ1717" s="117">
        <f>VLOOKUP($D1717,'WB Data'!$C$3:$M$578,4,FALSE)/100</f>
        <v>0.20943982120853646</v>
      </c>
      <c r="BA1717" s="117">
        <f t="shared" si="288"/>
        <v>35722945816.165855</v>
      </c>
      <c r="BB1717" s="129">
        <f>IFERROR(VLOOKUP($D1717,'EITI Revenues'!$C$2:$G$224,5,FALSE),"..")</f>
        <v>5884323617</v>
      </c>
      <c r="BC1717" s="846">
        <f t="shared" si="289"/>
        <v>0.16472111922911861</v>
      </c>
      <c r="BD1717" s="129">
        <f>VLOOKUP($D1717,'WB Data 2'!$C$2:$K$545,6,FALSE)</f>
        <v>29773224958.428841</v>
      </c>
      <c r="BE1717" s="129">
        <f>IFERROR(VLOOKUP($D1717,UNCTAD!$C$5:$V$529,4,FALSE),"..")</f>
        <v>50632851000</v>
      </c>
      <c r="BF1717" s="846">
        <f t="shared" si="290"/>
        <v>0.58802189429208407</v>
      </c>
      <c r="BG1717" s="117">
        <f>VLOOKUP($D1717,'WB Data'!$C$3:$M$578,5,FALSE)</f>
        <v>604820000</v>
      </c>
      <c r="BH1717" s="129">
        <f>IFERROR($BB1717/$BG1717,"..")</f>
        <v>9.7290493320326714</v>
      </c>
      <c r="BI1717" s="117">
        <f>IFERROR(VLOOKUP($D1717,'WB Data'!$C$3:$M$578,7,FALSE)/100,"..")</f>
        <v>2.5311699999999999E-2</v>
      </c>
      <c r="BJ1717" s="117">
        <f>IFERROR($BI1717*$AW1717,"..")</f>
        <v>4317271101.5386934</v>
      </c>
      <c r="BK1717" s="846">
        <f>IFERROR($BB1717/$BJ1717,"..")</f>
        <v>1.3629729240081316</v>
      </c>
      <c r="BL1717" s="117">
        <f>IFERROR(VLOOKUP($D1717,'WB Data'!$C$3:$M$578,7,FALSE)/100,"..")</f>
        <v>2.5311699999999999E-2</v>
      </c>
      <c r="BM1717" s="117">
        <f>IFERROR($AW1717*$BL1717,"..")</f>
        <v>4317271101.5386934</v>
      </c>
      <c r="BN1717" s="846">
        <f>IFERROR($BB1717/$BM1717,"..")</f>
        <v>1.3629729240081316</v>
      </c>
      <c r="BO1717" s="801">
        <f t="shared" si="286"/>
        <v>38</v>
      </c>
      <c r="BP1717" s="117">
        <f>VLOOKUP($D1717,'WB Data'!$C$3:$M$578,9,FALSE)</f>
        <v>27.8</v>
      </c>
      <c r="BQ1717" s="117">
        <f>VLOOKUP($D1717,'WB Data'!$C$3:$M$578,10,FALSE)</f>
        <v>74.210536585365858</v>
      </c>
      <c r="BR1717" s="117">
        <f>VLOOKUP($D1717,'WB Data'!$C$3:$M$578,11,FALSE)</f>
        <v>14.3</v>
      </c>
      <c r="BS1717" s="129">
        <f>IFERROR(VLOOKUP($D1717,'WB Data 2'!$C$2:$K$545,9,FALSE),"..")</f>
        <v>96.327079999999995</v>
      </c>
      <c r="BT1717" s="129">
        <f>_xlfn.IFNA(VLOOKUP($C1717,RGI!$A$2:$C$43,2,FALSE),"..")</f>
        <v>76.8</v>
      </c>
      <c r="BU1717" s="129">
        <f>_xlfn.IFNA(VLOOKUP($C1717,RGI!$A$2:$C$43,3,FALSE),"..")</f>
        <v>72.816147461462435</v>
      </c>
      <c r="BV1717" s="129">
        <f>VLOOKUP($D1717,WGI!$C$2:$O$478,7,FALSE)</f>
        <v>9.0719139218499306E-2</v>
      </c>
      <c r="BW1717" s="129">
        <f>VLOOKUP($D1717,WGI!$C$2:$O$478,4,FALSE)</f>
        <v>-0.738042232413051</v>
      </c>
      <c r="BX1717" s="129">
        <f>VLOOKUP($D1717,WGI!$C$2:$O$478,3,FALSE)</f>
        <v>-0.145710327623474</v>
      </c>
      <c r="BY1717" s="129">
        <f>VLOOKUP($D1717,WGI!$C$2:$O$478,5,FALSE)</f>
        <v>0.476881348098389</v>
      </c>
      <c r="BZ1717" s="129">
        <f>VLOOKUP($D1717,WGI!$C$2:$O$478,2,FALSE)</f>
        <v>-0.248937037637317</v>
      </c>
    </row>
    <row r="1718" spans="1:78" ht="15" customHeight="1">
      <c r="A1718" s="407" t="s">
        <v>459</v>
      </c>
      <c r="B1718" s="408">
        <v>2011</v>
      </c>
      <c r="C1718" s="805" t="s">
        <v>449</v>
      </c>
      <c r="D1718" s="117" t="s">
        <v>3711</v>
      </c>
      <c r="E1718" s="409" t="s">
        <v>220</v>
      </c>
      <c r="F1718" s="410"/>
      <c r="G1718" s="621" t="s">
        <v>24</v>
      </c>
      <c r="H1718" s="117" t="str">
        <f t="shared" si="291"/>
        <v>yes</v>
      </c>
      <c r="I1718" s="117" t="str">
        <f t="shared" si="283"/>
        <v>no</v>
      </c>
      <c r="J1718" s="117" t="str">
        <f t="shared" si="284"/>
        <v>no</v>
      </c>
      <c r="K1718" s="410" t="s">
        <v>2089</v>
      </c>
      <c r="L1718" s="117" t="str">
        <f t="shared" si="292"/>
        <v>detailed</v>
      </c>
      <c r="M1718" s="117" t="str">
        <f t="shared" si="285"/>
        <v>detailed Mining</v>
      </c>
      <c r="N1718" s="411">
        <v>0</v>
      </c>
      <c r="O1718" s="411"/>
      <c r="P1718" s="411"/>
      <c r="Q1718" s="411"/>
      <c r="R1718" s="411"/>
      <c r="S1718" s="410" t="s">
        <v>610</v>
      </c>
      <c r="T1718" s="412"/>
      <c r="U1718" s="410"/>
      <c r="V1718" s="410" t="s">
        <v>847</v>
      </c>
      <c r="W1718" s="413">
        <f t="shared" si="293"/>
        <v>0</v>
      </c>
      <c r="X1718" s="410"/>
      <c r="Y1718" s="621"/>
      <c r="Z1718" s="621"/>
      <c r="AA1718" s="413"/>
      <c r="AB1718" s="413"/>
      <c r="AC1718" s="618"/>
      <c r="AD1718" s="618"/>
      <c r="AE1718" s="618"/>
      <c r="AF1718" s="619"/>
      <c r="AG1718" s="621"/>
      <c r="AH1718" s="417"/>
      <c r="AI1718" s="410"/>
      <c r="AJ1718" s="410"/>
      <c r="AK1718" s="413"/>
      <c r="AL1718" s="410"/>
      <c r="AM1718" s="410"/>
      <c r="AN1718" s="410"/>
      <c r="AO1718" s="410"/>
      <c r="AP1718" s="410"/>
      <c r="AQ1718" s="410"/>
      <c r="AR1718" s="410"/>
      <c r="AS1718" s="410"/>
      <c r="AT1718" s="410"/>
      <c r="AU1718" s="410"/>
      <c r="AV1718" s="419"/>
      <c r="AW1718" s="117">
        <f>VLOOKUP($D1718,'WB Data'!$C$3:$M$578,2,FALSE)</f>
        <v>170564249004.95398</v>
      </c>
      <c r="AX1718" s="117">
        <f>VLOOKUP($D1718,'WB Data'!$C$3:$M$578,3,FALSE)</f>
        <v>29614887</v>
      </c>
      <c r="AY1718" s="847">
        <f t="shared" si="287"/>
        <v>3.4499161760616619E-2</v>
      </c>
      <c r="AZ1718" s="117">
        <f>VLOOKUP($D1718,'WB Data'!$C$3:$M$578,4,FALSE)/100</f>
        <v>0.20943982120853646</v>
      </c>
      <c r="BA1718" s="117">
        <f t="shared" si="288"/>
        <v>35722945816.165855</v>
      </c>
      <c r="BB1718" s="129">
        <f>IFERROR(VLOOKUP($D1718,'EITI Revenues'!$C$2:$G$224,5,FALSE),"..")</f>
        <v>5884323617</v>
      </c>
      <c r="BC1718" s="846">
        <f t="shared" si="289"/>
        <v>0.16472111922911861</v>
      </c>
      <c r="BD1718" s="129">
        <f>VLOOKUP($D1718,'WB Data 2'!$C$2:$K$545,6,FALSE)</f>
        <v>29773224958.428841</v>
      </c>
      <c r="BE1718" s="129">
        <f>IFERROR(VLOOKUP($D1718,UNCTAD!$C$5:$V$529,4,FALSE),"..")</f>
        <v>50632851000</v>
      </c>
      <c r="BF1718" s="846">
        <f t="shared" si="290"/>
        <v>0.58802189429208407</v>
      </c>
      <c r="BG1718" s="117">
        <f>VLOOKUP($D1718,'WB Data'!$C$3:$M$578,5,FALSE)</f>
        <v>604820000</v>
      </c>
      <c r="BH1718" s="129">
        <f>IFERROR($BB1718/$BG1718,"..")</f>
        <v>9.7290493320326714</v>
      </c>
      <c r="BI1718" s="117">
        <f>IFERROR(VLOOKUP($D1718,'WB Data'!$C$3:$M$578,7,FALSE)/100,"..")</f>
        <v>2.5311699999999999E-2</v>
      </c>
      <c r="BJ1718" s="117">
        <f>IFERROR($BI1718*$AW1718,"..")</f>
        <v>4317271101.5386934</v>
      </c>
      <c r="BK1718" s="846">
        <f>IFERROR($BB1718/$BJ1718,"..")</f>
        <v>1.3629729240081316</v>
      </c>
      <c r="BL1718" s="117">
        <f>IFERROR(VLOOKUP($D1718,'WB Data'!$C$3:$M$578,7,FALSE)/100,"..")</f>
        <v>2.5311699999999999E-2</v>
      </c>
      <c r="BM1718" s="117">
        <f>IFERROR($AW1718*$BL1718,"..")</f>
        <v>4317271101.5386934</v>
      </c>
      <c r="BN1718" s="846">
        <f>IFERROR($BB1718/$BM1718,"..")</f>
        <v>1.3629729240081316</v>
      </c>
      <c r="BO1718" s="801">
        <f t="shared" si="286"/>
        <v>38</v>
      </c>
      <c r="BP1718" s="117">
        <f>VLOOKUP($D1718,'WB Data'!$C$3:$M$578,9,FALSE)</f>
        <v>27.8</v>
      </c>
      <c r="BQ1718" s="117">
        <f>VLOOKUP($D1718,'WB Data'!$C$3:$M$578,10,FALSE)</f>
        <v>74.210536585365858</v>
      </c>
      <c r="BR1718" s="117">
        <f>VLOOKUP($D1718,'WB Data'!$C$3:$M$578,11,FALSE)</f>
        <v>14.3</v>
      </c>
      <c r="BS1718" s="129">
        <f>IFERROR(VLOOKUP($D1718,'WB Data 2'!$C$2:$K$545,9,FALSE),"..")</f>
        <v>96.327079999999995</v>
      </c>
      <c r="BT1718" s="129">
        <f>_xlfn.IFNA(VLOOKUP($C1718,RGI!$A$2:$C$43,2,FALSE),"..")</f>
        <v>76.8</v>
      </c>
      <c r="BU1718" s="129">
        <f>_xlfn.IFNA(VLOOKUP($C1718,RGI!$A$2:$C$43,3,FALSE),"..")</f>
        <v>72.816147461462435</v>
      </c>
      <c r="BV1718" s="129">
        <f>VLOOKUP($D1718,WGI!$C$2:$O$478,7,FALSE)</f>
        <v>9.0719139218499306E-2</v>
      </c>
      <c r="BW1718" s="129">
        <f>VLOOKUP($D1718,WGI!$C$2:$O$478,4,FALSE)</f>
        <v>-0.738042232413051</v>
      </c>
      <c r="BX1718" s="129">
        <f>VLOOKUP($D1718,WGI!$C$2:$O$478,3,FALSE)</f>
        <v>-0.145710327623474</v>
      </c>
      <c r="BY1718" s="129">
        <f>VLOOKUP($D1718,WGI!$C$2:$O$478,5,FALSE)</f>
        <v>0.476881348098389</v>
      </c>
      <c r="BZ1718" s="129">
        <f>VLOOKUP($D1718,WGI!$C$2:$O$478,2,FALSE)</f>
        <v>-0.248937037637317</v>
      </c>
    </row>
    <row r="1719" spans="1:78" ht="15" customHeight="1">
      <c r="A1719" s="407" t="s">
        <v>459</v>
      </c>
      <c r="B1719" s="408">
        <v>2011</v>
      </c>
      <c r="C1719" s="805" t="s">
        <v>449</v>
      </c>
      <c r="D1719" s="117" t="s">
        <v>3711</v>
      </c>
      <c r="E1719" s="409" t="s">
        <v>220</v>
      </c>
      <c r="F1719" s="410"/>
      <c r="G1719" s="621" t="s">
        <v>24</v>
      </c>
      <c r="H1719" s="117" t="str">
        <f t="shared" si="291"/>
        <v>yes</v>
      </c>
      <c r="I1719" s="117" t="str">
        <f t="shared" si="283"/>
        <v>no</v>
      </c>
      <c r="J1719" s="117" t="str">
        <f t="shared" si="284"/>
        <v>no</v>
      </c>
      <c r="K1719" s="410" t="s">
        <v>1413</v>
      </c>
      <c r="L1719" s="117" t="str">
        <f t="shared" si="292"/>
        <v>detailed</v>
      </c>
      <c r="M1719" s="117" t="str">
        <f t="shared" si="285"/>
        <v>detailed Mining</v>
      </c>
      <c r="N1719" s="411">
        <v>86790</v>
      </c>
      <c r="O1719" s="411"/>
      <c r="P1719" s="411"/>
      <c r="Q1719" s="411"/>
      <c r="R1719" s="411"/>
      <c r="S1719" s="410" t="s">
        <v>610</v>
      </c>
      <c r="T1719" s="412">
        <v>86</v>
      </c>
      <c r="U1719" s="410" t="s">
        <v>611</v>
      </c>
      <c r="V1719" s="410" t="s">
        <v>2114</v>
      </c>
      <c r="W1719" s="413">
        <f t="shared" si="293"/>
        <v>7463940</v>
      </c>
      <c r="X1719" s="410"/>
      <c r="Y1719" s="621"/>
      <c r="Z1719" s="621"/>
      <c r="AA1719" s="413"/>
      <c r="AB1719" s="413"/>
      <c r="AC1719" s="618"/>
      <c r="AD1719" s="618"/>
      <c r="AE1719" s="618"/>
      <c r="AF1719" s="619"/>
      <c r="AG1719" s="621"/>
      <c r="AH1719" s="417"/>
      <c r="AI1719" s="410"/>
      <c r="AJ1719" s="410"/>
      <c r="AK1719" s="413"/>
      <c r="AL1719" s="410"/>
      <c r="AM1719" s="410"/>
      <c r="AN1719" s="410"/>
      <c r="AO1719" s="410"/>
      <c r="AP1719" s="410"/>
      <c r="AQ1719" s="410"/>
      <c r="AR1719" s="410"/>
      <c r="AS1719" s="410"/>
      <c r="AT1719" s="410"/>
      <c r="AU1719" s="410"/>
      <c r="AV1719" s="419"/>
      <c r="AW1719" s="117">
        <f>VLOOKUP($D1719,'WB Data'!$C$3:$M$578,2,FALSE)</f>
        <v>170564249004.95398</v>
      </c>
      <c r="AX1719" s="117">
        <f>VLOOKUP($D1719,'WB Data'!$C$3:$M$578,3,FALSE)</f>
        <v>29614887</v>
      </c>
      <c r="AY1719" s="847">
        <f t="shared" si="287"/>
        <v>3.4499161760616619E-2</v>
      </c>
      <c r="AZ1719" s="117">
        <f>VLOOKUP($D1719,'WB Data'!$C$3:$M$578,4,FALSE)/100</f>
        <v>0.20943982120853646</v>
      </c>
      <c r="BA1719" s="117">
        <f t="shared" si="288"/>
        <v>35722945816.165855</v>
      </c>
      <c r="BB1719" s="129">
        <f>IFERROR(VLOOKUP($D1719,'EITI Revenues'!$C$2:$G$224,5,FALSE),"..")</f>
        <v>5884323617</v>
      </c>
      <c r="BC1719" s="846">
        <f t="shared" si="289"/>
        <v>0.16472111922911861</v>
      </c>
      <c r="BD1719" s="129">
        <f>VLOOKUP($D1719,'WB Data 2'!$C$2:$K$545,6,FALSE)</f>
        <v>29773224958.428841</v>
      </c>
      <c r="BE1719" s="129">
        <f>IFERROR(VLOOKUP($D1719,UNCTAD!$C$5:$V$529,4,FALSE),"..")</f>
        <v>50632851000</v>
      </c>
      <c r="BF1719" s="846">
        <f t="shared" si="290"/>
        <v>0.58802189429208407</v>
      </c>
      <c r="BG1719" s="117">
        <f>VLOOKUP($D1719,'WB Data'!$C$3:$M$578,5,FALSE)</f>
        <v>604820000</v>
      </c>
      <c r="BH1719" s="129">
        <f>IFERROR($BB1719/$BG1719,"..")</f>
        <v>9.7290493320326714</v>
      </c>
      <c r="BI1719" s="117">
        <f>IFERROR(VLOOKUP($D1719,'WB Data'!$C$3:$M$578,7,FALSE)/100,"..")</f>
        <v>2.5311699999999999E-2</v>
      </c>
      <c r="BJ1719" s="117">
        <f>IFERROR($BI1719*$AW1719,"..")</f>
        <v>4317271101.5386934</v>
      </c>
      <c r="BK1719" s="846">
        <f>IFERROR($BB1719/$BJ1719,"..")</f>
        <v>1.3629729240081316</v>
      </c>
      <c r="BL1719" s="117">
        <f>IFERROR(VLOOKUP($D1719,'WB Data'!$C$3:$M$578,7,FALSE)/100,"..")</f>
        <v>2.5311699999999999E-2</v>
      </c>
      <c r="BM1719" s="117">
        <f>IFERROR($AW1719*$BL1719,"..")</f>
        <v>4317271101.5386934</v>
      </c>
      <c r="BN1719" s="846">
        <f>IFERROR($BB1719/$BM1719,"..")</f>
        <v>1.3629729240081316</v>
      </c>
      <c r="BO1719" s="801">
        <f t="shared" si="286"/>
        <v>38</v>
      </c>
      <c r="BP1719" s="117">
        <f>VLOOKUP($D1719,'WB Data'!$C$3:$M$578,9,FALSE)</f>
        <v>27.8</v>
      </c>
      <c r="BQ1719" s="117">
        <f>VLOOKUP($D1719,'WB Data'!$C$3:$M$578,10,FALSE)</f>
        <v>74.210536585365858</v>
      </c>
      <c r="BR1719" s="117">
        <f>VLOOKUP($D1719,'WB Data'!$C$3:$M$578,11,FALSE)</f>
        <v>14.3</v>
      </c>
      <c r="BS1719" s="129">
        <f>IFERROR(VLOOKUP($D1719,'WB Data 2'!$C$2:$K$545,9,FALSE),"..")</f>
        <v>96.327079999999995</v>
      </c>
      <c r="BT1719" s="129">
        <f>_xlfn.IFNA(VLOOKUP($C1719,RGI!$A$2:$C$43,2,FALSE),"..")</f>
        <v>76.8</v>
      </c>
      <c r="BU1719" s="129">
        <f>_xlfn.IFNA(VLOOKUP($C1719,RGI!$A$2:$C$43,3,FALSE),"..")</f>
        <v>72.816147461462435</v>
      </c>
      <c r="BV1719" s="129">
        <f>VLOOKUP($D1719,WGI!$C$2:$O$478,7,FALSE)</f>
        <v>9.0719139218499306E-2</v>
      </c>
      <c r="BW1719" s="129">
        <f>VLOOKUP($D1719,WGI!$C$2:$O$478,4,FALSE)</f>
        <v>-0.738042232413051</v>
      </c>
      <c r="BX1719" s="129">
        <f>VLOOKUP($D1719,WGI!$C$2:$O$478,3,FALSE)</f>
        <v>-0.145710327623474</v>
      </c>
      <c r="BY1719" s="129">
        <f>VLOOKUP($D1719,WGI!$C$2:$O$478,5,FALSE)</f>
        <v>0.476881348098389</v>
      </c>
      <c r="BZ1719" s="129">
        <f>VLOOKUP($D1719,WGI!$C$2:$O$478,2,FALSE)</f>
        <v>-0.248937037637317</v>
      </c>
    </row>
    <row r="1720" spans="1:78" ht="15" customHeight="1">
      <c r="A1720" s="407" t="s">
        <v>459</v>
      </c>
      <c r="B1720" s="408">
        <v>2011</v>
      </c>
      <c r="C1720" s="805" t="s">
        <v>449</v>
      </c>
      <c r="D1720" s="117" t="s">
        <v>3711</v>
      </c>
      <c r="E1720" s="409" t="s">
        <v>220</v>
      </c>
      <c r="F1720" s="410"/>
      <c r="G1720" s="621" t="s">
        <v>24</v>
      </c>
      <c r="H1720" s="117" t="str">
        <f t="shared" si="291"/>
        <v>yes</v>
      </c>
      <c r="I1720" s="117" t="str">
        <f t="shared" si="283"/>
        <v>no</v>
      </c>
      <c r="J1720" s="117" t="str">
        <f t="shared" si="284"/>
        <v>no</v>
      </c>
      <c r="K1720" s="410" t="s">
        <v>1215</v>
      </c>
      <c r="L1720" s="117" t="str">
        <f t="shared" si="292"/>
        <v>detailed</v>
      </c>
      <c r="M1720" s="117" t="str">
        <f t="shared" si="285"/>
        <v>detailed Mining</v>
      </c>
      <c r="N1720" s="411">
        <v>27534</v>
      </c>
      <c r="O1720" s="411"/>
      <c r="P1720" s="411"/>
      <c r="Q1720" s="411"/>
      <c r="R1720" s="411"/>
      <c r="S1720" s="410" t="s">
        <v>610</v>
      </c>
      <c r="T1720" s="412">
        <v>61</v>
      </c>
      <c r="U1720" s="410" t="s">
        <v>611</v>
      </c>
      <c r="V1720" s="410" t="s">
        <v>2115</v>
      </c>
      <c r="W1720" s="413">
        <f t="shared" si="293"/>
        <v>1679574</v>
      </c>
      <c r="X1720" s="410"/>
      <c r="Y1720" s="621"/>
      <c r="Z1720" s="621"/>
      <c r="AA1720" s="413"/>
      <c r="AB1720" s="413"/>
      <c r="AC1720" s="618"/>
      <c r="AD1720" s="618"/>
      <c r="AE1720" s="618"/>
      <c r="AF1720" s="619"/>
      <c r="AG1720" s="621"/>
      <c r="AH1720" s="417"/>
      <c r="AI1720" s="410"/>
      <c r="AJ1720" s="410"/>
      <c r="AK1720" s="413"/>
      <c r="AL1720" s="410"/>
      <c r="AM1720" s="410"/>
      <c r="AN1720" s="410"/>
      <c r="AO1720" s="410"/>
      <c r="AP1720" s="410"/>
      <c r="AQ1720" s="410"/>
      <c r="AR1720" s="410"/>
      <c r="AS1720" s="410"/>
      <c r="AT1720" s="410"/>
      <c r="AU1720" s="410"/>
      <c r="AV1720" s="419"/>
      <c r="AW1720" s="117">
        <f>VLOOKUP($D1720,'WB Data'!$C$3:$M$578,2,FALSE)</f>
        <v>170564249004.95398</v>
      </c>
      <c r="AX1720" s="117">
        <f>VLOOKUP($D1720,'WB Data'!$C$3:$M$578,3,FALSE)</f>
        <v>29614887</v>
      </c>
      <c r="AY1720" s="847">
        <f t="shared" si="287"/>
        <v>3.4499161760616619E-2</v>
      </c>
      <c r="AZ1720" s="117">
        <f>VLOOKUP($D1720,'WB Data'!$C$3:$M$578,4,FALSE)/100</f>
        <v>0.20943982120853646</v>
      </c>
      <c r="BA1720" s="117">
        <f t="shared" si="288"/>
        <v>35722945816.165855</v>
      </c>
      <c r="BB1720" s="129">
        <f>IFERROR(VLOOKUP($D1720,'EITI Revenues'!$C$2:$G$224,5,FALSE),"..")</f>
        <v>5884323617</v>
      </c>
      <c r="BC1720" s="846">
        <f t="shared" si="289"/>
        <v>0.16472111922911861</v>
      </c>
      <c r="BD1720" s="129">
        <f>VLOOKUP($D1720,'WB Data 2'!$C$2:$K$545,6,FALSE)</f>
        <v>29773224958.428841</v>
      </c>
      <c r="BE1720" s="129">
        <f>IFERROR(VLOOKUP($D1720,UNCTAD!$C$5:$V$529,4,FALSE),"..")</f>
        <v>50632851000</v>
      </c>
      <c r="BF1720" s="846">
        <f t="shared" si="290"/>
        <v>0.58802189429208407</v>
      </c>
      <c r="BG1720" s="117">
        <f>VLOOKUP($D1720,'WB Data'!$C$3:$M$578,5,FALSE)</f>
        <v>604820000</v>
      </c>
      <c r="BH1720" s="129">
        <f>IFERROR($BB1720/$BG1720,"..")</f>
        <v>9.7290493320326714</v>
      </c>
      <c r="BI1720" s="117">
        <f>IFERROR(VLOOKUP($D1720,'WB Data'!$C$3:$M$578,7,FALSE)/100,"..")</f>
        <v>2.5311699999999999E-2</v>
      </c>
      <c r="BJ1720" s="117">
        <f>IFERROR($BI1720*$AW1720,"..")</f>
        <v>4317271101.5386934</v>
      </c>
      <c r="BK1720" s="846">
        <f>IFERROR($BB1720/$BJ1720,"..")</f>
        <v>1.3629729240081316</v>
      </c>
      <c r="BL1720" s="117">
        <f>IFERROR(VLOOKUP($D1720,'WB Data'!$C$3:$M$578,7,FALSE)/100,"..")</f>
        <v>2.5311699999999999E-2</v>
      </c>
      <c r="BM1720" s="117">
        <f>IFERROR($AW1720*$BL1720,"..")</f>
        <v>4317271101.5386934</v>
      </c>
      <c r="BN1720" s="846">
        <f>IFERROR($BB1720/$BM1720,"..")</f>
        <v>1.3629729240081316</v>
      </c>
      <c r="BO1720" s="801">
        <f t="shared" si="286"/>
        <v>38</v>
      </c>
      <c r="BP1720" s="117">
        <f>VLOOKUP($D1720,'WB Data'!$C$3:$M$578,9,FALSE)</f>
        <v>27.8</v>
      </c>
      <c r="BQ1720" s="117">
        <f>VLOOKUP($D1720,'WB Data'!$C$3:$M$578,10,FALSE)</f>
        <v>74.210536585365858</v>
      </c>
      <c r="BR1720" s="117">
        <f>VLOOKUP($D1720,'WB Data'!$C$3:$M$578,11,FALSE)</f>
        <v>14.3</v>
      </c>
      <c r="BS1720" s="129">
        <f>IFERROR(VLOOKUP($D1720,'WB Data 2'!$C$2:$K$545,9,FALSE),"..")</f>
        <v>96.327079999999995</v>
      </c>
      <c r="BT1720" s="129">
        <f>_xlfn.IFNA(VLOOKUP($C1720,RGI!$A$2:$C$43,2,FALSE),"..")</f>
        <v>76.8</v>
      </c>
      <c r="BU1720" s="129">
        <f>_xlfn.IFNA(VLOOKUP($C1720,RGI!$A$2:$C$43,3,FALSE),"..")</f>
        <v>72.816147461462435</v>
      </c>
      <c r="BV1720" s="129">
        <f>VLOOKUP($D1720,WGI!$C$2:$O$478,7,FALSE)</f>
        <v>9.0719139218499306E-2</v>
      </c>
      <c r="BW1720" s="129">
        <f>VLOOKUP($D1720,WGI!$C$2:$O$478,4,FALSE)</f>
        <v>-0.738042232413051</v>
      </c>
      <c r="BX1720" s="129">
        <f>VLOOKUP($D1720,WGI!$C$2:$O$478,3,FALSE)</f>
        <v>-0.145710327623474</v>
      </c>
      <c r="BY1720" s="129">
        <f>VLOOKUP($D1720,WGI!$C$2:$O$478,5,FALSE)</f>
        <v>0.476881348098389</v>
      </c>
      <c r="BZ1720" s="129">
        <f>VLOOKUP($D1720,WGI!$C$2:$O$478,2,FALSE)</f>
        <v>-0.248937037637317</v>
      </c>
    </row>
    <row r="1721" spans="1:78" ht="15" customHeight="1">
      <c r="A1721" s="407" t="s">
        <v>459</v>
      </c>
      <c r="B1721" s="408">
        <v>2011</v>
      </c>
      <c r="C1721" s="805" t="s">
        <v>449</v>
      </c>
      <c r="D1721" s="117" t="s">
        <v>3711</v>
      </c>
      <c r="E1721" s="409" t="s">
        <v>220</v>
      </c>
      <c r="F1721" s="410"/>
      <c r="G1721" s="621" t="s">
        <v>24</v>
      </c>
      <c r="H1721" s="117" t="str">
        <f t="shared" si="291"/>
        <v>yes</v>
      </c>
      <c r="I1721" s="117" t="str">
        <f t="shared" si="283"/>
        <v>no</v>
      </c>
      <c r="J1721" s="117" t="str">
        <f t="shared" si="284"/>
        <v>no</v>
      </c>
      <c r="K1721" s="410" t="s">
        <v>2031</v>
      </c>
      <c r="L1721" s="117" t="str">
        <f t="shared" si="292"/>
        <v>detailed</v>
      </c>
      <c r="M1721" s="117" t="str">
        <f t="shared" si="285"/>
        <v>detailed Mining</v>
      </c>
      <c r="N1721" s="411">
        <v>0</v>
      </c>
      <c r="O1721" s="411"/>
      <c r="P1721" s="411"/>
      <c r="Q1721" s="411"/>
      <c r="R1721" s="411"/>
      <c r="S1721" s="410" t="s">
        <v>610</v>
      </c>
      <c r="T1721" s="412"/>
      <c r="U1721" s="410"/>
      <c r="V1721" s="410" t="s">
        <v>847</v>
      </c>
      <c r="W1721" s="413">
        <f t="shared" si="293"/>
        <v>0</v>
      </c>
      <c r="X1721" s="410"/>
      <c r="Y1721" s="621"/>
      <c r="Z1721" s="621"/>
      <c r="AA1721" s="413"/>
      <c r="AB1721" s="413"/>
      <c r="AC1721" s="618"/>
      <c r="AD1721" s="618"/>
      <c r="AE1721" s="618"/>
      <c r="AF1721" s="619"/>
      <c r="AG1721" s="621"/>
      <c r="AH1721" s="417"/>
      <c r="AI1721" s="410"/>
      <c r="AJ1721" s="410"/>
      <c r="AK1721" s="413"/>
      <c r="AL1721" s="410"/>
      <c r="AM1721" s="410"/>
      <c r="AN1721" s="410"/>
      <c r="AO1721" s="410"/>
      <c r="AP1721" s="410"/>
      <c r="AQ1721" s="410"/>
      <c r="AR1721" s="410"/>
      <c r="AS1721" s="410"/>
      <c r="AT1721" s="410"/>
      <c r="AU1721" s="410"/>
      <c r="AV1721" s="419"/>
      <c r="AW1721" s="117">
        <f>VLOOKUP($D1721,'WB Data'!$C$3:$M$578,2,FALSE)</f>
        <v>170564249004.95398</v>
      </c>
      <c r="AX1721" s="117">
        <f>VLOOKUP($D1721,'WB Data'!$C$3:$M$578,3,FALSE)</f>
        <v>29614887</v>
      </c>
      <c r="AY1721" s="847">
        <f t="shared" si="287"/>
        <v>3.4499161760616619E-2</v>
      </c>
      <c r="AZ1721" s="117">
        <f>VLOOKUP($D1721,'WB Data'!$C$3:$M$578,4,FALSE)/100</f>
        <v>0.20943982120853646</v>
      </c>
      <c r="BA1721" s="117">
        <f t="shared" si="288"/>
        <v>35722945816.165855</v>
      </c>
      <c r="BB1721" s="129">
        <f>IFERROR(VLOOKUP($D1721,'EITI Revenues'!$C$2:$G$224,5,FALSE),"..")</f>
        <v>5884323617</v>
      </c>
      <c r="BC1721" s="846">
        <f t="shared" si="289"/>
        <v>0.16472111922911861</v>
      </c>
      <c r="BD1721" s="129">
        <f>VLOOKUP($D1721,'WB Data 2'!$C$2:$K$545,6,FALSE)</f>
        <v>29773224958.428841</v>
      </c>
      <c r="BE1721" s="129">
        <f>IFERROR(VLOOKUP($D1721,UNCTAD!$C$5:$V$529,4,FALSE),"..")</f>
        <v>50632851000</v>
      </c>
      <c r="BF1721" s="846">
        <f t="shared" si="290"/>
        <v>0.58802189429208407</v>
      </c>
      <c r="BG1721" s="117">
        <f>VLOOKUP($D1721,'WB Data'!$C$3:$M$578,5,FALSE)</f>
        <v>604820000</v>
      </c>
      <c r="BH1721" s="129">
        <f>IFERROR($BB1721/$BG1721,"..")</f>
        <v>9.7290493320326714</v>
      </c>
      <c r="BI1721" s="117">
        <f>IFERROR(VLOOKUP($D1721,'WB Data'!$C$3:$M$578,7,FALSE)/100,"..")</f>
        <v>2.5311699999999999E-2</v>
      </c>
      <c r="BJ1721" s="117">
        <f>IFERROR($BI1721*$AW1721,"..")</f>
        <v>4317271101.5386934</v>
      </c>
      <c r="BK1721" s="846">
        <f>IFERROR($BB1721/$BJ1721,"..")</f>
        <v>1.3629729240081316</v>
      </c>
      <c r="BL1721" s="117">
        <f>IFERROR(VLOOKUP($D1721,'WB Data'!$C$3:$M$578,7,FALSE)/100,"..")</f>
        <v>2.5311699999999999E-2</v>
      </c>
      <c r="BM1721" s="117">
        <f>IFERROR($AW1721*$BL1721,"..")</f>
        <v>4317271101.5386934</v>
      </c>
      <c r="BN1721" s="846">
        <f>IFERROR($BB1721/$BM1721,"..")</f>
        <v>1.3629729240081316</v>
      </c>
      <c r="BO1721" s="801">
        <f t="shared" si="286"/>
        <v>38</v>
      </c>
      <c r="BP1721" s="117">
        <f>VLOOKUP($D1721,'WB Data'!$C$3:$M$578,9,FALSE)</f>
        <v>27.8</v>
      </c>
      <c r="BQ1721" s="117">
        <f>VLOOKUP($D1721,'WB Data'!$C$3:$M$578,10,FALSE)</f>
        <v>74.210536585365858</v>
      </c>
      <c r="BR1721" s="117">
        <f>VLOOKUP($D1721,'WB Data'!$C$3:$M$578,11,FALSE)</f>
        <v>14.3</v>
      </c>
      <c r="BS1721" s="129">
        <f>IFERROR(VLOOKUP($D1721,'WB Data 2'!$C$2:$K$545,9,FALSE),"..")</f>
        <v>96.327079999999995</v>
      </c>
      <c r="BT1721" s="129">
        <f>_xlfn.IFNA(VLOOKUP($C1721,RGI!$A$2:$C$43,2,FALSE),"..")</f>
        <v>76.8</v>
      </c>
      <c r="BU1721" s="129">
        <f>_xlfn.IFNA(VLOOKUP($C1721,RGI!$A$2:$C$43,3,FALSE),"..")</f>
        <v>72.816147461462435</v>
      </c>
      <c r="BV1721" s="129">
        <f>VLOOKUP($D1721,WGI!$C$2:$O$478,7,FALSE)</f>
        <v>9.0719139218499306E-2</v>
      </c>
      <c r="BW1721" s="129">
        <f>VLOOKUP($D1721,WGI!$C$2:$O$478,4,FALSE)</f>
        <v>-0.738042232413051</v>
      </c>
      <c r="BX1721" s="129">
        <f>VLOOKUP($D1721,WGI!$C$2:$O$478,3,FALSE)</f>
        <v>-0.145710327623474</v>
      </c>
      <c r="BY1721" s="129">
        <f>VLOOKUP($D1721,WGI!$C$2:$O$478,5,FALSE)</f>
        <v>0.476881348098389</v>
      </c>
      <c r="BZ1721" s="129">
        <f>VLOOKUP($D1721,WGI!$C$2:$O$478,2,FALSE)</f>
        <v>-0.248937037637317</v>
      </c>
    </row>
    <row r="1722" spans="1:78" ht="15" customHeight="1">
      <c r="A1722" s="407" t="s">
        <v>459</v>
      </c>
      <c r="B1722" s="408">
        <v>2011</v>
      </c>
      <c r="C1722" s="805" t="s">
        <v>449</v>
      </c>
      <c r="D1722" s="117" t="s">
        <v>3711</v>
      </c>
      <c r="E1722" s="409" t="s">
        <v>220</v>
      </c>
      <c r="F1722" s="410"/>
      <c r="G1722" s="621" t="s">
        <v>24</v>
      </c>
      <c r="H1722" s="117" t="str">
        <f t="shared" si="291"/>
        <v>yes</v>
      </c>
      <c r="I1722" s="117" t="str">
        <f t="shared" si="283"/>
        <v>no</v>
      </c>
      <c r="J1722" s="117" t="str">
        <f t="shared" si="284"/>
        <v>no</v>
      </c>
      <c r="K1722" s="410" t="s">
        <v>2090</v>
      </c>
      <c r="L1722" s="117" t="str">
        <f t="shared" si="292"/>
        <v>detailed</v>
      </c>
      <c r="M1722" s="117" t="str">
        <f t="shared" si="285"/>
        <v>detailed Mining</v>
      </c>
      <c r="N1722" s="411">
        <v>0</v>
      </c>
      <c r="O1722" s="411"/>
      <c r="P1722" s="411"/>
      <c r="Q1722" s="411"/>
      <c r="R1722" s="411"/>
      <c r="S1722" s="410" t="s">
        <v>610</v>
      </c>
      <c r="T1722" s="412"/>
      <c r="U1722" s="410"/>
      <c r="V1722" s="410" t="s">
        <v>847</v>
      </c>
      <c r="W1722" s="413">
        <f t="shared" si="293"/>
        <v>0</v>
      </c>
      <c r="X1722" s="410"/>
      <c r="Y1722" s="621"/>
      <c r="Z1722" s="621"/>
      <c r="AA1722" s="413"/>
      <c r="AB1722" s="413"/>
      <c r="AC1722" s="618"/>
      <c r="AD1722" s="618"/>
      <c r="AE1722" s="618"/>
      <c r="AF1722" s="619"/>
      <c r="AG1722" s="621"/>
      <c r="AH1722" s="417"/>
      <c r="AI1722" s="410"/>
      <c r="AJ1722" s="410"/>
      <c r="AK1722" s="413"/>
      <c r="AL1722" s="410"/>
      <c r="AM1722" s="410"/>
      <c r="AN1722" s="410"/>
      <c r="AO1722" s="410"/>
      <c r="AP1722" s="410"/>
      <c r="AQ1722" s="410"/>
      <c r="AR1722" s="410"/>
      <c r="AS1722" s="410"/>
      <c r="AT1722" s="410"/>
      <c r="AU1722" s="410"/>
      <c r="AV1722" s="419"/>
      <c r="AW1722" s="117">
        <f>VLOOKUP($D1722,'WB Data'!$C$3:$M$578,2,FALSE)</f>
        <v>170564249004.95398</v>
      </c>
      <c r="AX1722" s="117">
        <f>VLOOKUP($D1722,'WB Data'!$C$3:$M$578,3,FALSE)</f>
        <v>29614887</v>
      </c>
      <c r="AY1722" s="847">
        <f t="shared" si="287"/>
        <v>3.4499161760616619E-2</v>
      </c>
      <c r="AZ1722" s="117">
        <f>VLOOKUP($D1722,'WB Data'!$C$3:$M$578,4,FALSE)/100</f>
        <v>0.20943982120853646</v>
      </c>
      <c r="BA1722" s="117">
        <f t="shared" si="288"/>
        <v>35722945816.165855</v>
      </c>
      <c r="BB1722" s="129">
        <f>IFERROR(VLOOKUP($D1722,'EITI Revenues'!$C$2:$G$224,5,FALSE),"..")</f>
        <v>5884323617</v>
      </c>
      <c r="BC1722" s="846">
        <f t="shared" si="289"/>
        <v>0.16472111922911861</v>
      </c>
      <c r="BD1722" s="129">
        <f>VLOOKUP($D1722,'WB Data 2'!$C$2:$K$545,6,FALSE)</f>
        <v>29773224958.428841</v>
      </c>
      <c r="BE1722" s="129">
        <f>IFERROR(VLOOKUP($D1722,UNCTAD!$C$5:$V$529,4,FALSE),"..")</f>
        <v>50632851000</v>
      </c>
      <c r="BF1722" s="846">
        <f t="shared" si="290"/>
        <v>0.58802189429208407</v>
      </c>
      <c r="BG1722" s="117">
        <f>VLOOKUP($D1722,'WB Data'!$C$3:$M$578,5,FALSE)</f>
        <v>604820000</v>
      </c>
      <c r="BH1722" s="129">
        <f>IFERROR($BB1722/$BG1722,"..")</f>
        <v>9.7290493320326714</v>
      </c>
      <c r="BI1722" s="117">
        <f>IFERROR(VLOOKUP($D1722,'WB Data'!$C$3:$M$578,7,FALSE)/100,"..")</f>
        <v>2.5311699999999999E-2</v>
      </c>
      <c r="BJ1722" s="117">
        <f>IFERROR($BI1722*$AW1722,"..")</f>
        <v>4317271101.5386934</v>
      </c>
      <c r="BK1722" s="846">
        <f>IFERROR($BB1722/$BJ1722,"..")</f>
        <v>1.3629729240081316</v>
      </c>
      <c r="BL1722" s="117">
        <f>IFERROR(VLOOKUP($D1722,'WB Data'!$C$3:$M$578,7,FALSE)/100,"..")</f>
        <v>2.5311699999999999E-2</v>
      </c>
      <c r="BM1722" s="117">
        <f>IFERROR($AW1722*$BL1722,"..")</f>
        <v>4317271101.5386934</v>
      </c>
      <c r="BN1722" s="846">
        <f>IFERROR($BB1722/$BM1722,"..")</f>
        <v>1.3629729240081316</v>
      </c>
      <c r="BO1722" s="801">
        <f t="shared" si="286"/>
        <v>38</v>
      </c>
      <c r="BP1722" s="117">
        <f>VLOOKUP($D1722,'WB Data'!$C$3:$M$578,9,FALSE)</f>
        <v>27.8</v>
      </c>
      <c r="BQ1722" s="117">
        <f>VLOOKUP($D1722,'WB Data'!$C$3:$M$578,10,FALSE)</f>
        <v>74.210536585365858</v>
      </c>
      <c r="BR1722" s="117">
        <f>VLOOKUP($D1722,'WB Data'!$C$3:$M$578,11,FALSE)</f>
        <v>14.3</v>
      </c>
      <c r="BS1722" s="129">
        <f>IFERROR(VLOOKUP($D1722,'WB Data 2'!$C$2:$K$545,9,FALSE),"..")</f>
        <v>96.327079999999995</v>
      </c>
      <c r="BT1722" s="129">
        <f>_xlfn.IFNA(VLOOKUP($C1722,RGI!$A$2:$C$43,2,FALSE),"..")</f>
        <v>76.8</v>
      </c>
      <c r="BU1722" s="129">
        <f>_xlfn.IFNA(VLOOKUP($C1722,RGI!$A$2:$C$43,3,FALSE),"..")</f>
        <v>72.816147461462435</v>
      </c>
      <c r="BV1722" s="129">
        <f>VLOOKUP($D1722,WGI!$C$2:$O$478,7,FALSE)</f>
        <v>9.0719139218499306E-2</v>
      </c>
      <c r="BW1722" s="129">
        <f>VLOOKUP($D1722,WGI!$C$2:$O$478,4,FALSE)</f>
        <v>-0.738042232413051</v>
      </c>
      <c r="BX1722" s="129">
        <f>VLOOKUP($D1722,WGI!$C$2:$O$478,3,FALSE)</f>
        <v>-0.145710327623474</v>
      </c>
      <c r="BY1722" s="129">
        <f>VLOOKUP($D1722,WGI!$C$2:$O$478,5,FALSE)</f>
        <v>0.476881348098389</v>
      </c>
      <c r="BZ1722" s="129">
        <f>VLOOKUP($D1722,WGI!$C$2:$O$478,2,FALSE)</f>
        <v>-0.248937037637317</v>
      </c>
    </row>
    <row r="1723" spans="1:78" ht="15" customHeight="1">
      <c r="A1723" s="407" t="s">
        <v>459</v>
      </c>
      <c r="B1723" s="408">
        <v>2011</v>
      </c>
      <c r="C1723" s="805" t="s">
        <v>449</v>
      </c>
      <c r="D1723" s="117" t="s">
        <v>3711</v>
      </c>
      <c r="E1723" s="409" t="s">
        <v>220</v>
      </c>
      <c r="F1723" s="410"/>
      <c r="G1723" s="621" t="s">
        <v>24</v>
      </c>
      <c r="H1723" s="117" t="str">
        <f t="shared" si="291"/>
        <v>yes</v>
      </c>
      <c r="I1723" s="117" t="str">
        <f t="shared" ref="I1723:I1786" si="294">IF($G1723="Gas","yes",IF($G1723="Oil, Gas, Mining","yes",IF($G1723="Gas, Mining","yes",IF($G1723="Oil, Gas","yes",IF($G1723="Oil, Gas, Other","yes","no")))))</f>
        <v>no</v>
      </c>
      <c r="J1723" s="117" t="str">
        <f t="shared" ref="J1723:J1786" si="295">IF($G1723="Oil","yes",IF($G1723="Oil, Gas, Mining","yes",IF($G1723="Oil, Mining","yes",IF($G1723="Oil, Gas","yes",IF($G1723="Oil, Gas, Other","yes","no")))))</f>
        <v>no</v>
      </c>
      <c r="K1723" s="410" t="s">
        <v>2091</v>
      </c>
      <c r="L1723" s="117" t="str">
        <f t="shared" si="292"/>
        <v>detailed</v>
      </c>
      <c r="M1723" s="117" t="str">
        <f t="shared" ref="M1723:M1786" si="296">L1723&amp;" "&amp;G1723</f>
        <v>detailed Mining</v>
      </c>
      <c r="N1723" s="411">
        <v>572</v>
      </c>
      <c r="O1723" s="411"/>
      <c r="P1723" s="411"/>
      <c r="Q1723" s="411"/>
      <c r="R1723" s="411"/>
      <c r="S1723" s="410" t="s">
        <v>610</v>
      </c>
      <c r="T1723" s="412">
        <f>1.25/0.000453592</f>
        <v>2755.7805252297217</v>
      </c>
      <c r="U1723" s="621" t="s">
        <v>611</v>
      </c>
      <c r="V1723" s="410" t="s">
        <v>2116</v>
      </c>
      <c r="W1723" s="413">
        <f t="shared" si="293"/>
        <v>1576306.4604314007</v>
      </c>
      <c r="X1723" s="410"/>
      <c r="Y1723" s="621"/>
      <c r="Z1723" s="621"/>
      <c r="AA1723" s="413"/>
      <c r="AB1723" s="413"/>
      <c r="AC1723" s="618"/>
      <c r="AD1723" s="618"/>
      <c r="AE1723" s="618"/>
      <c r="AF1723" s="619"/>
      <c r="AG1723" s="621"/>
      <c r="AH1723" s="417"/>
      <c r="AI1723" s="410"/>
      <c r="AJ1723" s="410"/>
      <c r="AK1723" s="413"/>
      <c r="AL1723" s="410"/>
      <c r="AM1723" s="410"/>
      <c r="AN1723" s="410"/>
      <c r="AO1723" s="410"/>
      <c r="AP1723" s="410"/>
      <c r="AQ1723" s="410"/>
      <c r="AR1723" s="410"/>
      <c r="AS1723" s="410"/>
      <c r="AT1723" s="410"/>
      <c r="AU1723" s="410"/>
      <c r="AV1723" s="419"/>
      <c r="AW1723" s="117">
        <f>VLOOKUP($D1723,'WB Data'!$C$3:$M$578,2,FALSE)</f>
        <v>170564249004.95398</v>
      </c>
      <c r="AX1723" s="117">
        <f>VLOOKUP($D1723,'WB Data'!$C$3:$M$578,3,FALSE)</f>
        <v>29614887</v>
      </c>
      <c r="AY1723" s="847">
        <f t="shared" si="287"/>
        <v>3.4499161760616619E-2</v>
      </c>
      <c r="AZ1723" s="117">
        <f>VLOOKUP($D1723,'WB Data'!$C$3:$M$578,4,FALSE)/100</f>
        <v>0.20943982120853646</v>
      </c>
      <c r="BA1723" s="117">
        <f t="shared" si="288"/>
        <v>35722945816.165855</v>
      </c>
      <c r="BB1723" s="129">
        <f>IFERROR(VLOOKUP($D1723,'EITI Revenues'!$C$2:$G$224,5,FALSE),"..")</f>
        <v>5884323617</v>
      </c>
      <c r="BC1723" s="846">
        <f t="shared" si="289"/>
        <v>0.16472111922911861</v>
      </c>
      <c r="BD1723" s="129">
        <f>VLOOKUP($D1723,'WB Data 2'!$C$2:$K$545,6,FALSE)</f>
        <v>29773224958.428841</v>
      </c>
      <c r="BE1723" s="129">
        <f>IFERROR(VLOOKUP($D1723,UNCTAD!$C$5:$V$529,4,FALSE),"..")</f>
        <v>50632851000</v>
      </c>
      <c r="BF1723" s="846">
        <f t="shared" si="290"/>
        <v>0.58802189429208407</v>
      </c>
      <c r="BG1723" s="117">
        <f>VLOOKUP($D1723,'WB Data'!$C$3:$M$578,5,FALSE)</f>
        <v>604820000</v>
      </c>
      <c r="BH1723" s="129">
        <f>IFERROR($BB1723/$BG1723,"..")</f>
        <v>9.7290493320326714</v>
      </c>
      <c r="BI1723" s="117">
        <f>IFERROR(VLOOKUP($D1723,'WB Data'!$C$3:$M$578,7,FALSE)/100,"..")</f>
        <v>2.5311699999999999E-2</v>
      </c>
      <c r="BJ1723" s="117">
        <f>IFERROR($BI1723*$AW1723,"..")</f>
        <v>4317271101.5386934</v>
      </c>
      <c r="BK1723" s="846">
        <f>IFERROR($BB1723/$BJ1723,"..")</f>
        <v>1.3629729240081316</v>
      </c>
      <c r="BL1723" s="117">
        <f>IFERROR(VLOOKUP($D1723,'WB Data'!$C$3:$M$578,7,FALSE)/100,"..")</f>
        <v>2.5311699999999999E-2</v>
      </c>
      <c r="BM1723" s="117">
        <f>IFERROR($AW1723*$BL1723,"..")</f>
        <v>4317271101.5386934</v>
      </c>
      <c r="BN1723" s="846">
        <f>IFERROR($BB1723/$BM1723,"..")</f>
        <v>1.3629729240081316</v>
      </c>
      <c r="BO1723" s="801">
        <f t="shared" si="286"/>
        <v>38</v>
      </c>
      <c r="BP1723" s="117">
        <f>VLOOKUP($D1723,'WB Data'!$C$3:$M$578,9,FALSE)</f>
        <v>27.8</v>
      </c>
      <c r="BQ1723" s="117">
        <f>VLOOKUP($D1723,'WB Data'!$C$3:$M$578,10,FALSE)</f>
        <v>74.210536585365858</v>
      </c>
      <c r="BR1723" s="117">
        <f>VLOOKUP($D1723,'WB Data'!$C$3:$M$578,11,FALSE)</f>
        <v>14.3</v>
      </c>
      <c r="BS1723" s="129">
        <f>IFERROR(VLOOKUP($D1723,'WB Data 2'!$C$2:$K$545,9,FALSE),"..")</f>
        <v>96.327079999999995</v>
      </c>
      <c r="BT1723" s="129">
        <f>_xlfn.IFNA(VLOOKUP($C1723,RGI!$A$2:$C$43,2,FALSE),"..")</f>
        <v>76.8</v>
      </c>
      <c r="BU1723" s="129">
        <f>_xlfn.IFNA(VLOOKUP($C1723,RGI!$A$2:$C$43,3,FALSE),"..")</f>
        <v>72.816147461462435</v>
      </c>
      <c r="BV1723" s="129">
        <f>VLOOKUP($D1723,WGI!$C$2:$O$478,7,FALSE)</f>
        <v>9.0719139218499306E-2</v>
      </c>
      <c r="BW1723" s="129">
        <f>VLOOKUP($D1723,WGI!$C$2:$O$478,4,FALSE)</f>
        <v>-0.738042232413051</v>
      </c>
      <c r="BX1723" s="129">
        <f>VLOOKUP($D1723,WGI!$C$2:$O$478,3,FALSE)</f>
        <v>-0.145710327623474</v>
      </c>
      <c r="BY1723" s="129">
        <f>VLOOKUP($D1723,WGI!$C$2:$O$478,5,FALSE)</f>
        <v>0.476881348098389</v>
      </c>
      <c r="BZ1723" s="129">
        <f>VLOOKUP($D1723,WGI!$C$2:$O$478,2,FALSE)</f>
        <v>-0.248937037637317</v>
      </c>
    </row>
    <row r="1724" spans="1:78" ht="15" customHeight="1">
      <c r="A1724" s="407" t="s">
        <v>459</v>
      </c>
      <c r="B1724" s="408">
        <v>2011</v>
      </c>
      <c r="C1724" s="805" t="s">
        <v>449</v>
      </c>
      <c r="D1724" s="117" t="s">
        <v>3711</v>
      </c>
      <c r="E1724" s="409" t="s">
        <v>220</v>
      </c>
      <c r="F1724" s="410"/>
      <c r="G1724" s="621" t="s">
        <v>24</v>
      </c>
      <c r="H1724" s="117" t="str">
        <f t="shared" si="291"/>
        <v>yes</v>
      </c>
      <c r="I1724" s="117" t="str">
        <f t="shared" si="294"/>
        <v>no</v>
      </c>
      <c r="J1724" s="117" t="str">
        <f t="shared" si="295"/>
        <v>no</v>
      </c>
      <c r="K1724" s="410" t="s">
        <v>609</v>
      </c>
      <c r="L1724" s="117" t="str">
        <f t="shared" si="292"/>
        <v>detailed</v>
      </c>
      <c r="M1724" s="117" t="str">
        <f t="shared" si="296"/>
        <v>detailed Mining</v>
      </c>
      <c r="N1724" s="411">
        <v>8100000</v>
      </c>
      <c r="O1724" s="411"/>
      <c r="P1724" s="411"/>
      <c r="Q1724" s="411"/>
      <c r="R1724" s="411"/>
      <c r="S1724" s="410" t="s">
        <v>610</v>
      </c>
      <c r="T1724" s="412">
        <v>89.5</v>
      </c>
      <c r="U1724" s="410" t="s">
        <v>611</v>
      </c>
      <c r="V1724" s="410" t="s">
        <v>1732</v>
      </c>
      <c r="W1724" s="413">
        <f t="shared" si="293"/>
        <v>724950000</v>
      </c>
      <c r="X1724" s="410"/>
      <c r="Y1724" s="621"/>
      <c r="Z1724" s="621"/>
      <c r="AA1724" s="413"/>
      <c r="AB1724" s="413"/>
      <c r="AC1724" s="618"/>
      <c r="AD1724" s="618"/>
      <c r="AE1724" s="618"/>
      <c r="AF1724" s="619"/>
      <c r="AG1724" s="621"/>
      <c r="AH1724" s="417"/>
      <c r="AI1724" s="410"/>
      <c r="AJ1724" s="410"/>
      <c r="AK1724" s="413"/>
      <c r="AL1724" s="410"/>
      <c r="AM1724" s="410"/>
      <c r="AN1724" s="410"/>
      <c r="AO1724" s="410"/>
      <c r="AP1724" s="410"/>
      <c r="AQ1724" s="410"/>
      <c r="AR1724" s="410"/>
      <c r="AS1724" s="410"/>
      <c r="AT1724" s="410"/>
      <c r="AU1724" s="410"/>
      <c r="AV1724" s="419"/>
      <c r="AW1724" s="117">
        <f>VLOOKUP($D1724,'WB Data'!$C$3:$M$578,2,FALSE)</f>
        <v>170564249004.95398</v>
      </c>
      <c r="AX1724" s="117">
        <f>VLOOKUP($D1724,'WB Data'!$C$3:$M$578,3,FALSE)</f>
        <v>29614887</v>
      </c>
      <c r="AY1724" s="847">
        <f t="shared" si="287"/>
        <v>3.4499161760616619E-2</v>
      </c>
      <c r="AZ1724" s="117">
        <f>VLOOKUP($D1724,'WB Data'!$C$3:$M$578,4,FALSE)/100</f>
        <v>0.20943982120853646</v>
      </c>
      <c r="BA1724" s="117">
        <f t="shared" si="288"/>
        <v>35722945816.165855</v>
      </c>
      <c r="BB1724" s="129">
        <f>IFERROR(VLOOKUP($D1724,'EITI Revenues'!$C$2:$G$224,5,FALSE),"..")</f>
        <v>5884323617</v>
      </c>
      <c r="BC1724" s="846">
        <f t="shared" si="289"/>
        <v>0.16472111922911861</v>
      </c>
      <c r="BD1724" s="129">
        <f>VLOOKUP($D1724,'WB Data 2'!$C$2:$K$545,6,FALSE)</f>
        <v>29773224958.428841</v>
      </c>
      <c r="BE1724" s="129">
        <f>IFERROR(VLOOKUP($D1724,UNCTAD!$C$5:$V$529,4,FALSE),"..")</f>
        <v>50632851000</v>
      </c>
      <c r="BF1724" s="846">
        <f t="shared" si="290"/>
        <v>0.58802189429208407</v>
      </c>
      <c r="BG1724" s="117">
        <f>VLOOKUP($D1724,'WB Data'!$C$3:$M$578,5,FALSE)</f>
        <v>604820000</v>
      </c>
      <c r="BH1724" s="129">
        <f>IFERROR($BB1724/$BG1724,"..")</f>
        <v>9.7290493320326714</v>
      </c>
      <c r="BI1724" s="117">
        <f>IFERROR(VLOOKUP($D1724,'WB Data'!$C$3:$M$578,7,FALSE)/100,"..")</f>
        <v>2.5311699999999999E-2</v>
      </c>
      <c r="BJ1724" s="117">
        <f>IFERROR($BI1724*$AW1724,"..")</f>
        <v>4317271101.5386934</v>
      </c>
      <c r="BK1724" s="846">
        <f>IFERROR($BB1724/$BJ1724,"..")</f>
        <v>1.3629729240081316</v>
      </c>
      <c r="BL1724" s="117">
        <f>IFERROR(VLOOKUP($D1724,'WB Data'!$C$3:$M$578,7,FALSE)/100,"..")</f>
        <v>2.5311699999999999E-2</v>
      </c>
      <c r="BM1724" s="117">
        <f>IFERROR($AW1724*$BL1724,"..")</f>
        <v>4317271101.5386934</v>
      </c>
      <c r="BN1724" s="846">
        <f>IFERROR($BB1724/$BM1724,"..")</f>
        <v>1.3629729240081316</v>
      </c>
      <c r="BO1724" s="801">
        <f t="shared" si="286"/>
        <v>38</v>
      </c>
      <c r="BP1724" s="117">
        <f>VLOOKUP($D1724,'WB Data'!$C$3:$M$578,9,FALSE)</f>
        <v>27.8</v>
      </c>
      <c r="BQ1724" s="117">
        <f>VLOOKUP($D1724,'WB Data'!$C$3:$M$578,10,FALSE)</f>
        <v>74.210536585365858</v>
      </c>
      <c r="BR1724" s="117">
        <f>VLOOKUP($D1724,'WB Data'!$C$3:$M$578,11,FALSE)</f>
        <v>14.3</v>
      </c>
      <c r="BS1724" s="129">
        <f>IFERROR(VLOOKUP($D1724,'WB Data 2'!$C$2:$K$545,9,FALSE),"..")</f>
        <v>96.327079999999995</v>
      </c>
      <c r="BT1724" s="129">
        <f>_xlfn.IFNA(VLOOKUP($C1724,RGI!$A$2:$C$43,2,FALSE),"..")</f>
        <v>76.8</v>
      </c>
      <c r="BU1724" s="129">
        <f>_xlfn.IFNA(VLOOKUP($C1724,RGI!$A$2:$C$43,3,FALSE),"..")</f>
        <v>72.816147461462435</v>
      </c>
      <c r="BV1724" s="129">
        <f>VLOOKUP($D1724,WGI!$C$2:$O$478,7,FALSE)</f>
        <v>9.0719139218499306E-2</v>
      </c>
      <c r="BW1724" s="129">
        <f>VLOOKUP($D1724,WGI!$C$2:$O$478,4,FALSE)</f>
        <v>-0.738042232413051</v>
      </c>
      <c r="BX1724" s="129">
        <f>VLOOKUP($D1724,WGI!$C$2:$O$478,3,FALSE)</f>
        <v>-0.145710327623474</v>
      </c>
      <c r="BY1724" s="129">
        <f>VLOOKUP($D1724,WGI!$C$2:$O$478,5,FALSE)</f>
        <v>0.476881348098389</v>
      </c>
      <c r="BZ1724" s="129">
        <f>VLOOKUP($D1724,WGI!$C$2:$O$478,2,FALSE)</f>
        <v>-0.248937037637317</v>
      </c>
    </row>
    <row r="1725" spans="1:78" ht="15" customHeight="1">
      <c r="A1725" s="407" t="s">
        <v>459</v>
      </c>
      <c r="B1725" s="408">
        <v>2011</v>
      </c>
      <c r="C1725" s="805" t="s">
        <v>449</v>
      </c>
      <c r="D1725" s="117" t="s">
        <v>3711</v>
      </c>
      <c r="E1725" s="409" t="s">
        <v>220</v>
      </c>
      <c r="F1725" s="410"/>
      <c r="G1725" s="621" t="s">
        <v>24</v>
      </c>
      <c r="H1725" s="117" t="str">
        <f t="shared" si="291"/>
        <v>yes</v>
      </c>
      <c r="I1725" s="117" t="str">
        <f t="shared" si="294"/>
        <v>no</v>
      </c>
      <c r="J1725" s="117" t="str">
        <f t="shared" si="295"/>
        <v>no</v>
      </c>
      <c r="K1725" s="410" t="s">
        <v>2092</v>
      </c>
      <c r="L1725" s="117" t="str">
        <f t="shared" si="292"/>
        <v>detailed</v>
      </c>
      <c r="M1725" s="117" t="str">
        <f t="shared" si="296"/>
        <v>detailed Mining</v>
      </c>
      <c r="N1725" s="411">
        <v>322000</v>
      </c>
      <c r="O1725" s="411"/>
      <c r="P1725" s="411"/>
      <c r="Q1725" s="411"/>
      <c r="R1725" s="411"/>
      <c r="S1725" s="410" t="s">
        <v>610</v>
      </c>
      <c r="T1725" s="412"/>
      <c r="U1725" s="410"/>
      <c r="V1725" s="410" t="s">
        <v>847</v>
      </c>
      <c r="W1725" s="413">
        <f t="shared" si="293"/>
        <v>0</v>
      </c>
      <c r="X1725" s="410"/>
      <c r="Y1725" s="621"/>
      <c r="Z1725" s="621"/>
      <c r="AA1725" s="413"/>
      <c r="AB1725" s="413"/>
      <c r="AC1725" s="618"/>
      <c r="AD1725" s="618"/>
      <c r="AE1725" s="618"/>
      <c r="AF1725" s="619"/>
      <c r="AG1725" s="621"/>
      <c r="AH1725" s="417"/>
      <c r="AI1725" s="410"/>
      <c r="AJ1725" s="410"/>
      <c r="AK1725" s="413"/>
      <c r="AL1725" s="410"/>
      <c r="AM1725" s="410"/>
      <c r="AN1725" s="410"/>
      <c r="AO1725" s="410"/>
      <c r="AP1725" s="410"/>
      <c r="AQ1725" s="410"/>
      <c r="AR1725" s="410"/>
      <c r="AS1725" s="410"/>
      <c r="AT1725" s="410"/>
      <c r="AU1725" s="410"/>
      <c r="AV1725" s="419"/>
      <c r="AW1725" s="117">
        <f>VLOOKUP($D1725,'WB Data'!$C$3:$M$578,2,FALSE)</f>
        <v>170564249004.95398</v>
      </c>
      <c r="AX1725" s="117">
        <f>VLOOKUP($D1725,'WB Data'!$C$3:$M$578,3,FALSE)</f>
        <v>29614887</v>
      </c>
      <c r="AY1725" s="847">
        <f t="shared" si="287"/>
        <v>3.4499161760616619E-2</v>
      </c>
      <c r="AZ1725" s="117">
        <f>VLOOKUP($D1725,'WB Data'!$C$3:$M$578,4,FALSE)/100</f>
        <v>0.20943982120853646</v>
      </c>
      <c r="BA1725" s="117">
        <f t="shared" si="288"/>
        <v>35722945816.165855</v>
      </c>
      <c r="BB1725" s="129">
        <f>IFERROR(VLOOKUP($D1725,'EITI Revenues'!$C$2:$G$224,5,FALSE),"..")</f>
        <v>5884323617</v>
      </c>
      <c r="BC1725" s="846">
        <f t="shared" si="289"/>
        <v>0.16472111922911861</v>
      </c>
      <c r="BD1725" s="129">
        <f>VLOOKUP($D1725,'WB Data 2'!$C$2:$K$545,6,FALSE)</f>
        <v>29773224958.428841</v>
      </c>
      <c r="BE1725" s="129">
        <f>IFERROR(VLOOKUP($D1725,UNCTAD!$C$5:$V$529,4,FALSE),"..")</f>
        <v>50632851000</v>
      </c>
      <c r="BF1725" s="846">
        <f t="shared" si="290"/>
        <v>0.58802189429208407</v>
      </c>
      <c r="BG1725" s="117">
        <f>VLOOKUP($D1725,'WB Data'!$C$3:$M$578,5,FALSE)</f>
        <v>604820000</v>
      </c>
      <c r="BH1725" s="129">
        <f>IFERROR($BB1725/$BG1725,"..")</f>
        <v>9.7290493320326714</v>
      </c>
      <c r="BI1725" s="117">
        <f>IFERROR(VLOOKUP($D1725,'WB Data'!$C$3:$M$578,7,FALSE)/100,"..")</f>
        <v>2.5311699999999999E-2</v>
      </c>
      <c r="BJ1725" s="117">
        <f>IFERROR($BI1725*$AW1725,"..")</f>
        <v>4317271101.5386934</v>
      </c>
      <c r="BK1725" s="846">
        <f>IFERROR($BB1725/$BJ1725,"..")</f>
        <v>1.3629729240081316</v>
      </c>
      <c r="BL1725" s="117">
        <f>IFERROR(VLOOKUP($D1725,'WB Data'!$C$3:$M$578,7,FALSE)/100,"..")</f>
        <v>2.5311699999999999E-2</v>
      </c>
      <c r="BM1725" s="117">
        <f>IFERROR($AW1725*$BL1725,"..")</f>
        <v>4317271101.5386934</v>
      </c>
      <c r="BN1725" s="846">
        <f>IFERROR($BB1725/$BM1725,"..")</f>
        <v>1.3629729240081316</v>
      </c>
      <c r="BO1725" s="801">
        <f t="shared" si="286"/>
        <v>38</v>
      </c>
      <c r="BP1725" s="117">
        <f>VLOOKUP($D1725,'WB Data'!$C$3:$M$578,9,FALSE)</f>
        <v>27.8</v>
      </c>
      <c r="BQ1725" s="117">
        <f>VLOOKUP($D1725,'WB Data'!$C$3:$M$578,10,FALSE)</f>
        <v>74.210536585365858</v>
      </c>
      <c r="BR1725" s="117">
        <f>VLOOKUP($D1725,'WB Data'!$C$3:$M$578,11,FALSE)</f>
        <v>14.3</v>
      </c>
      <c r="BS1725" s="129">
        <f>IFERROR(VLOOKUP($D1725,'WB Data 2'!$C$2:$K$545,9,FALSE),"..")</f>
        <v>96.327079999999995</v>
      </c>
      <c r="BT1725" s="129">
        <f>_xlfn.IFNA(VLOOKUP($C1725,RGI!$A$2:$C$43,2,FALSE),"..")</f>
        <v>76.8</v>
      </c>
      <c r="BU1725" s="129">
        <f>_xlfn.IFNA(VLOOKUP($C1725,RGI!$A$2:$C$43,3,FALSE),"..")</f>
        <v>72.816147461462435</v>
      </c>
      <c r="BV1725" s="129">
        <f>VLOOKUP($D1725,WGI!$C$2:$O$478,7,FALSE)</f>
        <v>9.0719139218499306E-2</v>
      </c>
      <c r="BW1725" s="129">
        <f>VLOOKUP($D1725,WGI!$C$2:$O$478,4,FALSE)</f>
        <v>-0.738042232413051</v>
      </c>
      <c r="BX1725" s="129">
        <f>VLOOKUP($D1725,WGI!$C$2:$O$478,3,FALSE)</f>
        <v>-0.145710327623474</v>
      </c>
      <c r="BY1725" s="129">
        <f>VLOOKUP($D1725,WGI!$C$2:$O$478,5,FALSE)</f>
        <v>0.476881348098389</v>
      </c>
      <c r="BZ1725" s="129">
        <f>VLOOKUP($D1725,WGI!$C$2:$O$478,2,FALSE)</f>
        <v>-0.248937037637317</v>
      </c>
    </row>
    <row r="1726" spans="1:78" ht="15" customHeight="1">
      <c r="A1726" s="407" t="s">
        <v>459</v>
      </c>
      <c r="B1726" s="408">
        <v>2011</v>
      </c>
      <c r="C1726" s="805" t="s">
        <v>449</v>
      </c>
      <c r="D1726" s="117" t="s">
        <v>3711</v>
      </c>
      <c r="E1726" s="409" t="s">
        <v>220</v>
      </c>
      <c r="F1726" s="410"/>
      <c r="G1726" s="621" t="s">
        <v>24</v>
      </c>
      <c r="H1726" s="117" t="str">
        <f t="shared" si="291"/>
        <v>yes</v>
      </c>
      <c r="I1726" s="117" t="str">
        <f t="shared" si="294"/>
        <v>no</v>
      </c>
      <c r="J1726" s="117" t="str">
        <f t="shared" si="295"/>
        <v>no</v>
      </c>
      <c r="K1726" s="410" t="s">
        <v>616</v>
      </c>
      <c r="L1726" s="117" t="str">
        <f t="shared" si="292"/>
        <v>detailed</v>
      </c>
      <c r="M1726" s="117" t="str">
        <f t="shared" si="296"/>
        <v>detailed Mining</v>
      </c>
      <c r="N1726" s="411">
        <v>182481</v>
      </c>
      <c r="O1726" s="411"/>
      <c r="P1726" s="411"/>
      <c r="Q1726" s="411"/>
      <c r="R1726" s="411"/>
      <c r="S1726" s="410" t="s">
        <v>610</v>
      </c>
      <c r="T1726" s="412">
        <v>111.54662184722224</v>
      </c>
      <c r="U1726" s="410" t="s">
        <v>611</v>
      </c>
      <c r="V1726" s="410" t="s">
        <v>2117</v>
      </c>
      <c r="W1726" s="413">
        <f t="shared" si="293"/>
        <v>20355139.101302963</v>
      </c>
      <c r="X1726" s="410"/>
      <c r="Y1726" s="621"/>
      <c r="Z1726" s="621"/>
      <c r="AA1726" s="413"/>
      <c r="AB1726" s="413"/>
      <c r="AC1726" s="618"/>
      <c r="AD1726" s="618"/>
      <c r="AE1726" s="618"/>
      <c r="AF1726" s="619"/>
      <c r="AG1726" s="621"/>
      <c r="AH1726" s="417"/>
      <c r="AI1726" s="410"/>
      <c r="AJ1726" s="410"/>
      <c r="AK1726" s="413"/>
      <c r="AL1726" s="410"/>
      <c r="AM1726" s="410"/>
      <c r="AN1726" s="410"/>
      <c r="AO1726" s="410"/>
      <c r="AP1726" s="410"/>
      <c r="AQ1726" s="410"/>
      <c r="AR1726" s="410"/>
      <c r="AS1726" s="410"/>
      <c r="AT1726" s="410"/>
      <c r="AU1726" s="410"/>
      <c r="AV1726" s="419"/>
      <c r="AW1726" s="117">
        <f>VLOOKUP($D1726,'WB Data'!$C$3:$M$578,2,FALSE)</f>
        <v>170564249004.95398</v>
      </c>
      <c r="AX1726" s="117">
        <f>VLOOKUP($D1726,'WB Data'!$C$3:$M$578,3,FALSE)</f>
        <v>29614887</v>
      </c>
      <c r="AY1726" s="847">
        <f t="shared" si="287"/>
        <v>3.4499161760616619E-2</v>
      </c>
      <c r="AZ1726" s="117">
        <f>VLOOKUP($D1726,'WB Data'!$C$3:$M$578,4,FALSE)/100</f>
        <v>0.20943982120853646</v>
      </c>
      <c r="BA1726" s="117">
        <f t="shared" si="288"/>
        <v>35722945816.165855</v>
      </c>
      <c r="BB1726" s="129">
        <f>IFERROR(VLOOKUP($D1726,'EITI Revenues'!$C$2:$G$224,5,FALSE),"..")</f>
        <v>5884323617</v>
      </c>
      <c r="BC1726" s="846">
        <f t="shared" si="289"/>
        <v>0.16472111922911861</v>
      </c>
      <c r="BD1726" s="129">
        <f>VLOOKUP($D1726,'WB Data 2'!$C$2:$K$545,6,FALSE)</f>
        <v>29773224958.428841</v>
      </c>
      <c r="BE1726" s="129">
        <f>IFERROR(VLOOKUP($D1726,UNCTAD!$C$5:$V$529,4,FALSE),"..")</f>
        <v>50632851000</v>
      </c>
      <c r="BF1726" s="846">
        <f t="shared" si="290"/>
        <v>0.58802189429208407</v>
      </c>
      <c r="BG1726" s="117">
        <f>VLOOKUP($D1726,'WB Data'!$C$3:$M$578,5,FALSE)</f>
        <v>604820000</v>
      </c>
      <c r="BH1726" s="129">
        <f>IFERROR($BB1726/$BG1726,"..")</f>
        <v>9.7290493320326714</v>
      </c>
      <c r="BI1726" s="117">
        <f>IFERROR(VLOOKUP($D1726,'WB Data'!$C$3:$M$578,7,FALSE)/100,"..")</f>
        <v>2.5311699999999999E-2</v>
      </c>
      <c r="BJ1726" s="117">
        <f>IFERROR($BI1726*$AW1726,"..")</f>
        <v>4317271101.5386934</v>
      </c>
      <c r="BK1726" s="846">
        <f>IFERROR($BB1726/$BJ1726,"..")</f>
        <v>1.3629729240081316</v>
      </c>
      <c r="BL1726" s="117">
        <f>IFERROR(VLOOKUP($D1726,'WB Data'!$C$3:$M$578,7,FALSE)/100,"..")</f>
        <v>2.5311699999999999E-2</v>
      </c>
      <c r="BM1726" s="117">
        <f>IFERROR($AW1726*$BL1726,"..")</f>
        <v>4317271101.5386934</v>
      </c>
      <c r="BN1726" s="846">
        <f>IFERROR($BB1726/$BM1726,"..")</f>
        <v>1.3629729240081316</v>
      </c>
      <c r="BO1726" s="801">
        <f t="shared" si="286"/>
        <v>38</v>
      </c>
      <c r="BP1726" s="117">
        <f>VLOOKUP($D1726,'WB Data'!$C$3:$M$578,9,FALSE)</f>
        <v>27.8</v>
      </c>
      <c r="BQ1726" s="117">
        <f>VLOOKUP($D1726,'WB Data'!$C$3:$M$578,10,FALSE)</f>
        <v>74.210536585365858</v>
      </c>
      <c r="BR1726" s="117">
        <f>VLOOKUP($D1726,'WB Data'!$C$3:$M$578,11,FALSE)</f>
        <v>14.3</v>
      </c>
      <c r="BS1726" s="129">
        <f>IFERROR(VLOOKUP($D1726,'WB Data 2'!$C$2:$K$545,9,FALSE),"..")</f>
        <v>96.327079999999995</v>
      </c>
      <c r="BT1726" s="129">
        <f>_xlfn.IFNA(VLOOKUP($C1726,RGI!$A$2:$C$43,2,FALSE),"..")</f>
        <v>76.8</v>
      </c>
      <c r="BU1726" s="129">
        <f>_xlfn.IFNA(VLOOKUP($C1726,RGI!$A$2:$C$43,3,FALSE),"..")</f>
        <v>72.816147461462435</v>
      </c>
      <c r="BV1726" s="129">
        <f>VLOOKUP($D1726,WGI!$C$2:$O$478,7,FALSE)</f>
        <v>9.0719139218499306E-2</v>
      </c>
      <c r="BW1726" s="129">
        <f>VLOOKUP($D1726,WGI!$C$2:$O$478,4,FALSE)</f>
        <v>-0.738042232413051</v>
      </c>
      <c r="BX1726" s="129">
        <f>VLOOKUP($D1726,WGI!$C$2:$O$478,3,FALSE)</f>
        <v>-0.145710327623474</v>
      </c>
      <c r="BY1726" s="129">
        <f>VLOOKUP($D1726,WGI!$C$2:$O$478,5,FALSE)</f>
        <v>0.476881348098389</v>
      </c>
      <c r="BZ1726" s="129">
        <f>VLOOKUP($D1726,WGI!$C$2:$O$478,2,FALSE)</f>
        <v>-0.248937037637317</v>
      </c>
    </row>
    <row r="1727" spans="1:78" ht="15" customHeight="1">
      <c r="A1727" s="407" t="s">
        <v>459</v>
      </c>
      <c r="B1727" s="408">
        <v>2011</v>
      </c>
      <c r="C1727" s="805" t="s">
        <v>449</v>
      </c>
      <c r="D1727" s="117" t="s">
        <v>3711</v>
      </c>
      <c r="E1727" s="409" t="s">
        <v>220</v>
      </c>
      <c r="F1727" s="410"/>
      <c r="G1727" s="621" t="s">
        <v>24</v>
      </c>
      <c r="H1727" s="117" t="str">
        <f t="shared" si="291"/>
        <v>yes</v>
      </c>
      <c r="I1727" s="117" t="str">
        <f t="shared" si="294"/>
        <v>no</v>
      </c>
      <c r="J1727" s="117" t="str">
        <f t="shared" si="295"/>
        <v>no</v>
      </c>
      <c r="K1727" s="410" t="s">
        <v>2093</v>
      </c>
      <c r="L1727" s="117" t="str">
        <f t="shared" si="292"/>
        <v>detailed</v>
      </c>
      <c r="M1727" s="117" t="str">
        <f t="shared" si="296"/>
        <v>detailed Mining</v>
      </c>
      <c r="N1727" s="411">
        <v>1021502</v>
      </c>
      <c r="O1727" s="411"/>
      <c r="P1727" s="411"/>
      <c r="Q1727" s="411"/>
      <c r="R1727" s="411"/>
      <c r="S1727" s="410" t="s">
        <v>610</v>
      </c>
      <c r="T1727" s="412">
        <v>12</v>
      </c>
      <c r="U1727" s="410" t="s">
        <v>611</v>
      </c>
      <c r="V1727" s="410" t="s">
        <v>2118</v>
      </c>
      <c r="W1727" s="413">
        <f t="shared" si="293"/>
        <v>12258024</v>
      </c>
      <c r="X1727" s="410"/>
      <c r="Y1727" s="621"/>
      <c r="Z1727" s="621"/>
      <c r="AA1727" s="413"/>
      <c r="AB1727" s="413"/>
      <c r="AC1727" s="618"/>
      <c r="AD1727" s="618"/>
      <c r="AE1727" s="618"/>
      <c r="AF1727" s="619"/>
      <c r="AG1727" s="621"/>
      <c r="AH1727" s="417"/>
      <c r="AI1727" s="410"/>
      <c r="AJ1727" s="410"/>
      <c r="AK1727" s="413"/>
      <c r="AL1727" s="410"/>
      <c r="AM1727" s="410"/>
      <c r="AN1727" s="410"/>
      <c r="AO1727" s="410"/>
      <c r="AP1727" s="410"/>
      <c r="AQ1727" s="410"/>
      <c r="AR1727" s="410"/>
      <c r="AS1727" s="410"/>
      <c r="AT1727" s="410"/>
      <c r="AU1727" s="410"/>
      <c r="AV1727" s="419"/>
      <c r="AW1727" s="117">
        <f>VLOOKUP($D1727,'WB Data'!$C$3:$M$578,2,FALSE)</f>
        <v>170564249004.95398</v>
      </c>
      <c r="AX1727" s="117">
        <f>VLOOKUP($D1727,'WB Data'!$C$3:$M$578,3,FALSE)</f>
        <v>29614887</v>
      </c>
      <c r="AY1727" s="847">
        <f t="shared" si="287"/>
        <v>3.4499161760616619E-2</v>
      </c>
      <c r="AZ1727" s="117">
        <f>VLOOKUP($D1727,'WB Data'!$C$3:$M$578,4,FALSE)/100</f>
        <v>0.20943982120853646</v>
      </c>
      <c r="BA1727" s="117">
        <f t="shared" si="288"/>
        <v>35722945816.165855</v>
      </c>
      <c r="BB1727" s="129">
        <f>IFERROR(VLOOKUP($D1727,'EITI Revenues'!$C$2:$G$224,5,FALSE),"..")</f>
        <v>5884323617</v>
      </c>
      <c r="BC1727" s="846">
        <f t="shared" si="289"/>
        <v>0.16472111922911861</v>
      </c>
      <c r="BD1727" s="129">
        <f>VLOOKUP($D1727,'WB Data 2'!$C$2:$K$545,6,FALSE)</f>
        <v>29773224958.428841</v>
      </c>
      <c r="BE1727" s="129">
        <f>IFERROR(VLOOKUP($D1727,UNCTAD!$C$5:$V$529,4,FALSE),"..")</f>
        <v>50632851000</v>
      </c>
      <c r="BF1727" s="846">
        <f t="shared" si="290"/>
        <v>0.58802189429208407</v>
      </c>
      <c r="BG1727" s="117">
        <f>VLOOKUP($D1727,'WB Data'!$C$3:$M$578,5,FALSE)</f>
        <v>604820000</v>
      </c>
      <c r="BH1727" s="129">
        <f>IFERROR($BB1727/$BG1727,"..")</f>
        <v>9.7290493320326714</v>
      </c>
      <c r="BI1727" s="117">
        <f>IFERROR(VLOOKUP($D1727,'WB Data'!$C$3:$M$578,7,FALSE)/100,"..")</f>
        <v>2.5311699999999999E-2</v>
      </c>
      <c r="BJ1727" s="117">
        <f>IFERROR($BI1727*$AW1727,"..")</f>
        <v>4317271101.5386934</v>
      </c>
      <c r="BK1727" s="846">
        <f>IFERROR($BB1727/$BJ1727,"..")</f>
        <v>1.3629729240081316</v>
      </c>
      <c r="BL1727" s="117">
        <f>IFERROR(VLOOKUP($D1727,'WB Data'!$C$3:$M$578,7,FALSE)/100,"..")</f>
        <v>2.5311699999999999E-2</v>
      </c>
      <c r="BM1727" s="117">
        <f>IFERROR($AW1727*$BL1727,"..")</f>
        <v>4317271101.5386934</v>
      </c>
      <c r="BN1727" s="846">
        <f>IFERROR($BB1727/$BM1727,"..")</f>
        <v>1.3629729240081316</v>
      </c>
      <c r="BO1727" s="801">
        <f t="shared" si="286"/>
        <v>38</v>
      </c>
      <c r="BP1727" s="117">
        <f>VLOOKUP($D1727,'WB Data'!$C$3:$M$578,9,FALSE)</f>
        <v>27.8</v>
      </c>
      <c r="BQ1727" s="117">
        <f>VLOOKUP($D1727,'WB Data'!$C$3:$M$578,10,FALSE)</f>
        <v>74.210536585365858</v>
      </c>
      <c r="BR1727" s="117">
        <f>VLOOKUP($D1727,'WB Data'!$C$3:$M$578,11,FALSE)</f>
        <v>14.3</v>
      </c>
      <c r="BS1727" s="129">
        <f>IFERROR(VLOOKUP($D1727,'WB Data 2'!$C$2:$K$545,9,FALSE),"..")</f>
        <v>96.327079999999995</v>
      </c>
      <c r="BT1727" s="129">
        <f>_xlfn.IFNA(VLOOKUP($C1727,RGI!$A$2:$C$43,2,FALSE),"..")</f>
        <v>76.8</v>
      </c>
      <c r="BU1727" s="129">
        <f>_xlfn.IFNA(VLOOKUP($C1727,RGI!$A$2:$C$43,3,FALSE),"..")</f>
        <v>72.816147461462435</v>
      </c>
      <c r="BV1727" s="129">
        <f>VLOOKUP($D1727,WGI!$C$2:$O$478,7,FALSE)</f>
        <v>9.0719139218499306E-2</v>
      </c>
      <c r="BW1727" s="129">
        <f>VLOOKUP($D1727,WGI!$C$2:$O$478,4,FALSE)</f>
        <v>-0.738042232413051</v>
      </c>
      <c r="BX1727" s="129">
        <f>VLOOKUP($D1727,WGI!$C$2:$O$478,3,FALSE)</f>
        <v>-0.145710327623474</v>
      </c>
      <c r="BY1727" s="129">
        <f>VLOOKUP($D1727,WGI!$C$2:$O$478,5,FALSE)</f>
        <v>0.476881348098389</v>
      </c>
      <c r="BZ1727" s="129">
        <f>VLOOKUP($D1727,WGI!$C$2:$O$478,2,FALSE)</f>
        <v>-0.248937037637317</v>
      </c>
    </row>
    <row r="1728" spans="1:78" ht="15" customHeight="1">
      <c r="A1728" s="407" t="s">
        <v>459</v>
      </c>
      <c r="B1728" s="408">
        <v>2011</v>
      </c>
      <c r="C1728" s="805" t="s">
        <v>449</v>
      </c>
      <c r="D1728" s="117" t="s">
        <v>3711</v>
      </c>
      <c r="E1728" s="409" t="s">
        <v>220</v>
      </c>
      <c r="F1728" s="410"/>
      <c r="G1728" s="621" t="s">
        <v>24</v>
      </c>
      <c r="H1728" s="117" t="str">
        <f t="shared" si="291"/>
        <v>yes</v>
      </c>
      <c r="I1728" s="117" t="str">
        <f t="shared" si="294"/>
        <v>no</v>
      </c>
      <c r="J1728" s="117" t="str">
        <f t="shared" si="295"/>
        <v>no</v>
      </c>
      <c r="K1728" s="410" t="s">
        <v>619</v>
      </c>
      <c r="L1728" s="117" t="str">
        <f t="shared" si="292"/>
        <v>detailed</v>
      </c>
      <c r="M1728" s="117" t="str">
        <f t="shared" si="296"/>
        <v>detailed Mining</v>
      </c>
      <c r="N1728" s="411"/>
      <c r="O1728" s="411"/>
      <c r="P1728" s="411"/>
      <c r="Q1728" s="411"/>
      <c r="R1728" s="411"/>
      <c r="S1728" s="410"/>
      <c r="T1728" s="622">
        <v>8828.1875</v>
      </c>
      <c r="U1728" s="410" t="s">
        <v>611</v>
      </c>
      <c r="V1728" s="410" t="s">
        <v>681</v>
      </c>
      <c r="W1728" s="413">
        <f>SUM(N1730:N1731)*T1728</f>
        <v>5885443619.6875</v>
      </c>
      <c r="X1728" s="410"/>
      <c r="Y1728" s="623"/>
      <c r="Z1728" s="623"/>
      <c r="AA1728" s="413"/>
      <c r="AB1728" s="413"/>
      <c r="AC1728" s="624"/>
      <c r="AD1728" s="624"/>
      <c r="AE1728" s="624"/>
      <c r="AF1728" s="625"/>
      <c r="AG1728" s="623"/>
      <c r="AH1728" s="417"/>
      <c r="AI1728" s="410"/>
      <c r="AJ1728" s="410"/>
      <c r="AK1728" s="413"/>
      <c r="AL1728" s="410"/>
      <c r="AM1728" s="410"/>
      <c r="AN1728" s="410"/>
      <c r="AO1728" s="410"/>
      <c r="AP1728" s="410"/>
      <c r="AQ1728" s="410"/>
      <c r="AR1728" s="410"/>
      <c r="AS1728" s="410"/>
      <c r="AT1728" s="410"/>
      <c r="AU1728" s="410"/>
      <c r="AV1728" s="419"/>
      <c r="AW1728" s="117">
        <f>VLOOKUP($D1728,'WB Data'!$C$3:$M$578,2,FALSE)</f>
        <v>170564249004.95398</v>
      </c>
      <c r="AX1728" s="117">
        <f>VLOOKUP($D1728,'WB Data'!$C$3:$M$578,3,FALSE)</f>
        <v>29614887</v>
      </c>
      <c r="AY1728" s="847">
        <f t="shared" si="287"/>
        <v>3.4499161760616619E-2</v>
      </c>
      <c r="AZ1728" s="117">
        <f>VLOOKUP($D1728,'WB Data'!$C$3:$M$578,4,FALSE)/100</f>
        <v>0.20943982120853646</v>
      </c>
      <c r="BA1728" s="117">
        <f t="shared" si="288"/>
        <v>35722945816.165855</v>
      </c>
      <c r="BB1728" s="129">
        <f>IFERROR(VLOOKUP($D1728,'EITI Revenues'!$C$2:$G$224,5,FALSE),"..")</f>
        <v>5884323617</v>
      </c>
      <c r="BC1728" s="846">
        <f t="shared" si="289"/>
        <v>0.16472111922911861</v>
      </c>
      <c r="BD1728" s="129">
        <f>VLOOKUP($D1728,'WB Data 2'!$C$2:$K$545,6,FALSE)</f>
        <v>29773224958.428841</v>
      </c>
      <c r="BE1728" s="129">
        <f>IFERROR(VLOOKUP($D1728,UNCTAD!$C$5:$V$529,4,FALSE),"..")</f>
        <v>50632851000</v>
      </c>
      <c r="BF1728" s="846">
        <f t="shared" si="290"/>
        <v>0.58802189429208407</v>
      </c>
      <c r="BG1728" s="117">
        <f>VLOOKUP($D1728,'WB Data'!$C$3:$M$578,5,FALSE)</f>
        <v>604820000</v>
      </c>
      <c r="BH1728" s="129">
        <f>IFERROR($BB1728/$BG1728,"..")</f>
        <v>9.7290493320326714</v>
      </c>
      <c r="BI1728" s="117">
        <f>IFERROR(VLOOKUP($D1728,'WB Data'!$C$3:$M$578,7,FALSE)/100,"..")</f>
        <v>2.5311699999999999E-2</v>
      </c>
      <c r="BJ1728" s="117">
        <f>IFERROR($BI1728*$AW1728,"..")</f>
        <v>4317271101.5386934</v>
      </c>
      <c r="BK1728" s="846">
        <f>IFERROR($BB1728/$BJ1728,"..")</f>
        <v>1.3629729240081316</v>
      </c>
      <c r="BL1728" s="117">
        <f>IFERROR(VLOOKUP($D1728,'WB Data'!$C$3:$M$578,7,FALSE)/100,"..")</f>
        <v>2.5311699999999999E-2</v>
      </c>
      <c r="BM1728" s="117">
        <f>IFERROR($AW1728*$BL1728,"..")</f>
        <v>4317271101.5386934</v>
      </c>
      <c r="BN1728" s="846">
        <f>IFERROR($BB1728/$BM1728,"..")</f>
        <v>1.3629729240081316</v>
      </c>
      <c r="BO1728" s="801">
        <f t="shared" si="286"/>
        <v>38</v>
      </c>
      <c r="BP1728" s="117">
        <f>VLOOKUP($D1728,'WB Data'!$C$3:$M$578,9,FALSE)</f>
        <v>27.8</v>
      </c>
      <c r="BQ1728" s="117">
        <f>VLOOKUP($D1728,'WB Data'!$C$3:$M$578,10,FALSE)</f>
        <v>74.210536585365858</v>
      </c>
      <c r="BR1728" s="117">
        <f>VLOOKUP($D1728,'WB Data'!$C$3:$M$578,11,FALSE)</f>
        <v>14.3</v>
      </c>
      <c r="BS1728" s="129">
        <f>IFERROR(VLOOKUP($D1728,'WB Data 2'!$C$2:$K$545,9,FALSE),"..")</f>
        <v>96.327079999999995</v>
      </c>
      <c r="BT1728" s="129">
        <f>_xlfn.IFNA(VLOOKUP($C1728,RGI!$A$2:$C$43,2,FALSE),"..")</f>
        <v>76.8</v>
      </c>
      <c r="BU1728" s="129">
        <f>_xlfn.IFNA(VLOOKUP($C1728,RGI!$A$2:$C$43,3,FALSE),"..")</f>
        <v>72.816147461462435</v>
      </c>
      <c r="BV1728" s="129">
        <f>VLOOKUP($D1728,WGI!$C$2:$O$478,7,FALSE)</f>
        <v>9.0719139218499306E-2</v>
      </c>
      <c r="BW1728" s="129">
        <f>VLOOKUP($D1728,WGI!$C$2:$O$478,4,FALSE)</f>
        <v>-0.738042232413051</v>
      </c>
      <c r="BX1728" s="129">
        <f>VLOOKUP($D1728,WGI!$C$2:$O$478,3,FALSE)</f>
        <v>-0.145710327623474</v>
      </c>
      <c r="BY1728" s="129">
        <f>VLOOKUP($D1728,WGI!$C$2:$O$478,5,FALSE)</f>
        <v>0.476881348098389</v>
      </c>
      <c r="BZ1728" s="129">
        <f>VLOOKUP($D1728,WGI!$C$2:$O$478,2,FALSE)</f>
        <v>-0.248937037637317</v>
      </c>
    </row>
    <row r="1729" spans="1:78" ht="15" customHeight="1">
      <c r="A1729" s="407" t="s">
        <v>459</v>
      </c>
      <c r="B1729" s="408">
        <v>2011</v>
      </c>
      <c r="C1729" s="805" t="s">
        <v>449</v>
      </c>
      <c r="D1729" s="117" t="s">
        <v>3711</v>
      </c>
      <c r="E1729" s="409" t="s">
        <v>220</v>
      </c>
      <c r="F1729" s="410"/>
      <c r="G1729" s="621" t="s">
        <v>24</v>
      </c>
      <c r="H1729" s="117" t="str">
        <f t="shared" si="291"/>
        <v>yes</v>
      </c>
      <c r="I1729" s="117" t="str">
        <f t="shared" si="294"/>
        <v>no</v>
      </c>
      <c r="J1729" s="117" t="str">
        <f t="shared" si="295"/>
        <v>no</v>
      </c>
      <c r="K1729" s="410" t="s">
        <v>1324</v>
      </c>
      <c r="L1729" s="117" t="str">
        <f t="shared" si="292"/>
        <v>detailed</v>
      </c>
      <c r="M1729" s="117" t="str">
        <f t="shared" si="296"/>
        <v>detailed Mining</v>
      </c>
      <c r="N1729" s="411">
        <v>1094971</v>
      </c>
      <c r="O1729" s="411"/>
      <c r="P1729" s="411"/>
      <c r="Q1729" s="411"/>
      <c r="R1729" s="411"/>
      <c r="S1729" s="410" t="s">
        <v>610</v>
      </c>
      <c r="T1729" s="412"/>
      <c r="U1729" s="410"/>
      <c r="V1729" s="410" t="s">
        <v>847</v>
      </c>
      <c r="W1729" s="413"/>
      <c r="X1729" s="410"/>
      <c r="Y1729" s="621"/>
      <c r="Z1729" s="621"/>
      <c r="AA1729" s="413"/>
      <c r="AB1729" s="413"/>
      <c r="AC1729" s="618"/>
      <c r="AD1729" s="618"/>
      <c r="AE1729" s="618"/>
      <c r="AF1729" s="619"/>
      <c r="AG1729" s="621"/>
      <c r="AH1729" s="417"/>
      <c r="AI1729" s="410"/>
      <c r="AJ1729" s="410"/>
      <c r="AK1729" s="413"/>
      <c r="AL1729" s="410"/>
      <c r="AM1729" s="410"/>
      <c r="AN1729" s="410"/>
      <c r="AO1729" s="410"/>
      <c r="AP1729" s="410"/>
      <c r="AQ1729" s="410"/>
      <c r="AR1729" s="410"/>
      <c r="AS1729" s="410"/>
      <c r="AT1729" s="410"/>
      <c r="AU1729" s="410"/>
      <c r="AV1729" s="419"/>
      <c r="AW1729" s="117">
        <f>VLOOKUP($D1729,'WB Data'!$C$3:$M$578,2,FALSE)</f>
        <v>170564249004.95398</v>
      </c>
      <c r="AX1729" s="117">
        <f>VLOOKUP($D1729,'WB Data'!$C$3:$M$578,3,FALSE)</f>
        <v>29614887</v>
      </c>
      <c r="AY1729" s="847">
        <f t="shared" si="287"/>
        <v>3.4499161760616619E-2</v>
      </c>
      <c r="AZ1729" s="117">
        <f>VLOOKUP($D1729,'WB Data'!$C$3:$M$578,4,FALSE)/100</f>
        <v>0.20943982120853646</v>
      </c>
      <c r="BA1729" s="117">
        <f t="shared" si="288"/>
        <v>35722945816.165855</v>
      </c>
      <c r="BB1729" s="129">
        <f>IFERROR(VLOOKUP($D1729,'EITI Revenues'!$C$2:$G$224,5,FALSE),"..")</f>
        <v>5884323617</v>
      </c>
      <c r="BC1729" s="846">
        <f t="shared" si="289"/>
        <v>0.16472111922911861</v>
      </c>
      <c r="BD1729" s="129">
        <f>VLOOKUP($D1729,'WB Data 2'!$C$2:$K$545,6,FALSE)</f>
        <v>29773224958.428841</v>
      </c>
      <c r="BE1729" s="129">
        <f>IFERROR(VLOOKUP($D1729,UNCTAD!$C$5:$V$529,4,FALSE),"..")</f>
        <v>50632851000</v>
      </c>
      <c r="BF1729" s="846">
        <f t="shared" si="290"/>
        <v>0.58802189429208407</v>
      </c>
      <c r="BG1729" s="117">
        <f>VLOOKUP($D1729,'WB Data'!$C$3:$M$578,5,FALSE)</f>
        <v>604820000</v>
      </c>
      <c r="BH1729" s="129">
        <f>IFERROR($BB1729/$BG1729,"..")</f>
        <v>9.7290493320326714</v>
      </c>
      <c r="BI1729" s="117">
        <f>IFERROR(VLOOKUP($D1729,'WB Data'!$C$3:$M$578,7,FALSE)/100,"..")</f>
        <v>2.5311699999999999E-2</v>
      </c>
      <c r="BJ1729" s="117">
        <f>IFERROR($BI1729*$AW1729,"..")</f>
        <v>4317271101.5386934</v>
      </c>
      <c r="BK1729" s="846">
        <f>IFERROR($BB1729/$BJ1729,"..")</f>
        <v>1.3629729240081316</v>
      </c>
      <c r="BL1729" s="117">
        <f>IFERROR(VLOOKUP($D1729,'WB Data'!$C$3:$M$578,7,FALSE)/100,"..")</f>
        <v>2.5311699999999999E-2</v>
      </c>
      <c r="BM1729" s="117">
        <f>IFERROR($AW1729*$BL1729,"..")</f>
        <v>4317271101.5386934</v>
      </c>
      <c r="BN1729" s="846">
        <f>IFERROR($BB1729/$BM1729,"..")</f>
        <v>1.3629729240081316</v>
      </c>
      <c r="BO1729" s="801">
        <f t="shared" si="286"/>
        <v>38</v>
      </c>
      <c r="BP1729" s="117">
        <f>VLOOKUP($D1729,'WB Data'!$C$3:$M$578,9,FALSE)</f>
        <v>27.8</v>
      </c>
      <c r="BQ1729" s="117">
        <f>VLOOKUP($D1729,'WB Data'!$C$3:$M$578,10,FALSE)</f>
        <v>74.210536585365858</v>
      </c>
      <c r="BR1729" s="117">
        <f>VLOOKUP($D1729,'WB Data'!$C$3:$M$578,11,FALSE)</f>
        <v>14.3</v>
      </c>
      <c r="BS1729" s="129">
        <f>IFERROR(VLOOKUP($D1729,'WB Data 2'!$C$2:$K$545,9,FALSE),"..")</f>
        <v>96.327079999999995</v>
      </c>
      <c r="BT1729" s="129">
        <f>_xlfn.IFNA(VLOOKUP($C1729,RGI!$A$2:$C$43,2,FALSE),"..")</f>
        <v>76.8</v>
      </c>
      <c r="BU1729" s="129">
        <f>_xlfn.IFNA(VLOOKUP($C1729,RGI!$A$2:$C$43,3,FALSE),"..")</f>
        <v>72.816147461462435</v>
      </c>
      <c r="BV1729" s="129">
        <f>VLOOKUP($D1729,WGI!$C$2:$O$478,7,FALSE)</f>
        <v>9.0719139218499306E-2</v>
      </c>
      <c r="BW1729" s="129">
        <f>VLOOKUP($D1729,WGI!$C$2:$O$478,4,FALSE)</f>
        <v>-0.738042232413051</v>
      </c>
      <c r="BX1729" s="129">
        <f>VLOOKUP($D1729,WGI!$C$2:$O$478,3,FALSE)</f>
        <v>-0.145710327623474</v>
      </c>
      <c r="BY1729" s="129">
        <f>VLOOKUP($D1729,WGI!$C$2:$O$478,5,FALSE)</f>
        <v>0.476881348098389</v>
      </c>
      <c r="BZ1729" s="129">
        <f>VLOOKUP($D1729,WGI!$C$2:$O$478,2,FALSE)</f>
        <v>-0.248937037637317</v>
      </c>
    </row>
    <row r="1730" spans="1:78" ht="15" customHeight="1">
      <c r="A1730" s="407" t="s">
        <v>459</v>
      </c>
      <c r="B1730" s="408">
        <v>2011</v>
      </c>
      <c r="C1730" s="805" t="s">
        <v>449</v>
      </c>
      <c r="D1730" s="117" t="s">
        <v>3711</v>
      </c>
      <c r="E1730" s="409" t="s">
        <v>220</v>
      </c>
      <c r="F1730" s="410"/>
      <c r="G1730" s="621" t="s">
        <v>24</v>
      </c>
      <c r="H1730" s="117" t="str">
        <f t="shared" si="291"/>
        <v>yes</v>
      </c>
      <c r="I1730" s="117" t="str">
        <f t="shared" si="294"/>
        <v>no</v>
      </c>
      <c r="J1730" s="117" t="str">
        <f t="shared" si="295"/>
        <v>no</v>
      </c>
      <c r="K1730" s="410" t="s">
        <v>1421</v>
      </c>
      <c r="L1730" s="117" t="str">
        <f t="shared" si="292"/>
        <v>detailed</v>
      </c>
      <c r="M1730" s="117" t="str">
        <f t="shared" si="296"/>
        <v>detailed Mining</v>
      </c>
      <c r="N1730" s="411">
        <v>299004</v>
      </c>
      <c r="O1730" s="411"/>
      <c r="P1730" s="411"/>
      <c r="Q1730" s="411"/>
      <c r="R1730" s="411"/>
      <c r="S1730" s="410" t="s">
        <v>610</v>
      </c>
      <c r="T1730" s="412"/>
      <c r="U1730" s="410"/>
      <c r="V1730" s="410" t="s">
        <v>847</v>
      </c>
      <c r="W1730" s="413"/>
      <c r="X1730" s="410"/>
      <c r="Y1730" s="621"/>
      <c r="Z1730" s="621"/>
      <c r="AA1730" s="413"/>
      <c r="AB1730" s="413"/>
      <c r="AC1730" s="618"/>
      <c r="AD1730" s="618"/>
      <c r="AE1730" s="618"/>
      <c r="AF1730" s="619"/>
      <c r="AG1730" s="621"/>
      <c r="AH1730" s="417"/>
      <c r="AI1730" s="410"/>
      <c r="AJ1730" s="410"/>
      <c r="AK1730" s="413"/>
      <c r="AL1730" s="410"/>
      <c r="AM1730" s="410"/>
      <c r="AN1730" s="410"/>
      <c r="AO1730" s="410"/>
      <c r="AP1730" s="410"/>
      <c r="AQ1730" s="410"/>
      <c r="AR1730" s="410"/>
      <c r="AS1730" s="410"/>
      <c r="AT1730" s="410"/>
      <c r="AU1730" s="410"/>
      <c r="AV1730" s="419"/>
      <c r="AW1730" s="117">
        <f>VLOOKUP($D1730,'WB Data'!$C$3:$M$578,2,FALSE)</f>
        <v>170564249004.95398</v>
      </c>
      <c r="AX1730" s="117">
        <f>VLOOKUP($D1730,'WB Data'!$C$3:$M$578,3,FALSE)</f>
        <v>29614887</v>
      </c>
      <c r="AY1730" s="847">
        <f t="shared" si="287"/>
        <v>3.4499161760616619E-2</v>
      </c>
      <c r="AZ1730" s="117">
        <f>VLOOKUP($D1730,'WB Data'!$C$3:$M$578,4,FALSE)/100</f>
        <v>0.20943982120853646</v>
      </c>
      <c r="BA1730" s="117">
        <f t="shared" si="288"/>
        <v>35722945816.165855</v>
      </c>
      <c r="BB1730" s="129">
        <f>IFERROR(VLOOKUP($D1730,'EITI Revenues'!$C$2:$G$224,5,FALSE),"..")</f>
        <v>5884323617</v>
      </c>
      <c r="BC1730" s="846">
        <f t="shared" si="289"/>
        <v>0.16472111922911861</v>
      </c>
      <c r="BD1730" s="129">
        <f>VLOOKUP($D1730,'WB Data 2'!$C$2:$K$545,6,FALSE)</f>
        <v>29773224958.428841</v>
      </c>
      <c r="BE1730" s="129">
        <f>IFERROR(VLOOKUP($D1730,UNCTAD!$C$5:$V$529,4,FALSE),"..")</f>
        <v>50632851000</v>
      </c>
      <c r="BF1730" s="846">
        <f t="shared" si="290"/>
        <v>0.58802189429208407</v>
      </c>
      <c r="BG1730" s="117">
        <f>VLOOKUP($D1730,'WB Data'!$C$3:$M$578,5,FALSE)</f>
        <v>604820000</v>
      </c>
      <c r="BH1730" s="129">
        <f>IFERROR($BB1730/$BG1730,"..")</f>
        <v>9.7290493320326714</v>
      </c>
      <c r="BI1730" s="117">
        <f>IFERROR(VLOOKUP($D1730,'WB Data'!$C$3:$M$578,7,FALSE)/100,"..")</f>
        <v>2.5311699999999999E-2</v>
      </c>
      <c r="BJ1730" s="117">
        <f>IFERROR($BI1730*$AW1730,"..")</f>
        <v>4317271101.5386934</v>
      </c>
      <c r="BK1730" s="846">
        <f>IFERROR($BB1730/$BJ1730,"..")</f>
        <v>1.3629729240081316</v>
      </c>
      <c r="BL1730" s="117">
        <f>IFERROR(VLOOKUP($D1730,'WB Data'!$C$3:$M$578,7,FALSE)/100,"..")</f>
        <v>2.5311699999999999E-2</v>
      </c>
      <c r="BM1730" s="117">
        <f>IFERROR($AW1730*$BL1730,"..")</f>
        <v>4317271101.5386934</v>
      </c>
      <c r="BN1730" s="846">
        <f>IFERROR($BB1730/$BM1730,"..")</f>
        <v>1.3629729240081316</v>
      </c>
      <c r="BO1730" s="801">
        <f t="shared" ref="BO1730:BO1793" si="297">_xlfn.IFNA(VLOOKUP($C1730,CPI_2013,2,FALSE),"..")</f>
        <v>38</v>
      </c>
      <c r="BP1730" s="117">
        <f>VLOOKUP($D1730,'WB Data'!$C$3:$M$578,9,FALSE)</f>
        <v>27.8</v>
      </c>
      <c r="BQ1730" s="117">
        <f>VLOOKUP($D1730,'WB Data'!$C$3:$M$578,10,FALSE)</f>
        <v>74.210536585365858</v>
      </c>
      <c r="BR1730" s="117">
        <f>VLOOKUP($D1730,'WB Data'!$C$3:$M$578,11,FALSE)</f>
        <v>14.3</v>
      </c>
      <c r="BS1730" s="129">
        <f>IFERROR(VLOOKUP($D1730,'WB Data 2'!$C$2:$K$545,9,FALSE),"..")</f>
        <v>96.327079999999995</v>
      </c>
      <c r="BT1730" s="129">
        <f>_xlfn.IFNA(VLOOKUP($C1730,RGI!$A$2:$C$43,2,FALSE),"..")</f>
        <v>76.8</v>
      </c>
      <c r="BU1730" s="129">
        <f>_xlfn.IFNA(VLOOKUP($C1730,RGI!$A$2:$C$43,3,FALSE),"..")</f>
        <v>72.816147461462435</v>
      </c>
      <c r="BV1730" s="129">
        <f>VLOOKUP($D1730,WGI!$C$2:$O$478,7,FALSE)</f>
        <v>9.0719139218499306E-2</v>
      </c>
      <c r="BW1730" s="129">
        <f>VLOOKUP($D1730,WGI!$C$2:$O$478,4,FALSE)</f>
        <v>-0.738042232413051</v>
      </c>
      <c r="BX1730" s="129">
        <f>VLOOKUP($D1730,WGI!$C$2:$O$478,3,FALSE)</f>
        <v>-0.145710327623474</v>
      </c>
      <c r="BY1730" s="129">
        <f>VLOOKUP($D1730,WGI!$C$2:$O$478,5,FALSE)</f>
        <v>0.476881348098389</v>
      </c>
      <c r="BZ1730" s="129">
        <f>VLOOKUP($D1730,WGI!$C$2:$O$478,2,FALSE)</f>
        <v>-0.248937037637317</v>
      </c>
    </row>
    <row r="1731" spans="1:78" ht="15" customHeight="1">
      <c r="A1731" s="407" t="s">
        <v>459</v>
      </c>
      <c r="B1731" s="408">
        <v>2011</v>
      </c>
      <c r="C1731" s="805" t="s">
        <v>449</v>
      </c>
      <c r="D1731" s="117" t="s">
        <v>3711</v>
      </c>
      <c r="E1731" s="409" t="s">
        <v>220</v>
      </c>
      <c r="F1731" s="410"/>
      <c r="G1731" s="621" t="s">
        <v>24</v>
      </c>
      <c r="H1731" s="117" t="str">
        <f t="shared" si="291"/>
        <v>yes</v>
      </c>
      <c r="I1731" s="117" t="str">
        <f t="shared" si="294"/>
        <v>no</v>
      </c>
      <c r="J1731" s="117" t="str">
        <f t="shared" si="295"/>
        <v>no</v>
      </c>
      <c r="K1731" s="410" t="s">
        <v>1422</v>
      </c>
      <c r="L1731" s="117" t="str">
        <f t="shared" si="292"/>
        <v>detailed</v>
      </c>
      <c r="M1731" s="117" t="str">
        <f t="shared" si="296"/>
        <v>detailed Mining</v>
      </c>
      <c r="N1731" s="411">
        <v>367661</v>
      </c>
      <c r="O1731" s="411"/>
      <c r="P1731" s="411"/>
      <c r="Q1731" s="411"/>
      <c r="R1731" s="411"/>
      <c r="S1731" s="410" t="s">
        <v>610</v>
      </c>
      <c r="T1731" s="412"/>
      <c r="U1731" s="410"/>
      <c r="V1731" s="410" t="s">
        <v>847</v>
      </c>
      <c r="W1731" s="413"/>
      <c r="X1731" s="410"/>
      <c r="Y1731" s="621"/>
      <c r="Z1731" s="621"/>
      <c r="AA1731" s="413"/>
      <c r="AB1731" s="413"/>
      <c r="AC1731" s="618"/>
      <c r="AD1731" s="618"/>
      <c r="AE1731" s="618"/>
      <c r="AF1731" s="619"/>
      <c r="AG1731" s="621"/>
      <c r="AH1731" s="417"/>
      <c r="AI1731" s="410"/>
      <c r="AJ1731" s="410"/>
      <c r="AK1731" s="413"/>
      <c r="AL1731" s="410"/>
      <c r="AM1731" s="410"/>
      <c r="AN1731" s="410"/>
      <c r="AO1731" s="410"/>
      <c r="AP1731" s="410"/>
      <c r="AQ1731" s="410"/>
      <c r="AR1731" s="410"/>
      <c r="AS1731" s="410"/>
      <c r="AT1731" s="410"/>
      <c r="AU1731" s="410"/>
      <c r="AV1731" s="419"/>
      <c r="AW1731" s="117">
        <f>VLOOKUP($D1731,'WB Data'!$C$3:$M$578,2,FALSE)</f>
        <v>170564249004.95398</v>
      </c>
      <c r="AX1731" s="117">
        <f>VLOOKUP($D1731,'WB Data'!$C$3:$M$578,3,FALSE)</f>
        <v>29614887</v>
      </c>
      <c r="AY1731" s="847">
        <f t="shared" ref="AY1731:AY1794" si="298">IFERROR($BB1731/$AW1731,"..")</f>
        <v>3.4499161760616619E-2</v>
      </c>
      <c r="AZ1731" s="117">
        <f>VLOOKUP($D1731,'WB Data'!$C$3:$M$578,4,FALSE)/100</f>
        <v>0.20943982120853646</v>
      </c>
      <c r="BA1731" s="117">
        <f t="shared" ref="BA1731:BA1794" si="299">IFERROR($AW1731*$AZ1731,"..")</f>
        <v>35722945816.165855</v>
      </c>
      <c r="BB1731" s="129">
        <f>IFERROR(VLOOKUP($D1731,'EITI Revenues'!$C$2:$G$224,5,FALSE),"..")</f>
        <v>5884323617</v>
      </c>
      <c r="BC1731" s="846">
        <f t="shared" ref="BC1731:BC1794" si="300">IFERROR($BB1731/$BA1731,"..")</f>
        <v>0.16472111922911861</v>
      </c>
      <c r="BD1731" s="129">
        <f>VLOOKUP($D1731,'WB Data 2'!$C$2:$K$545,6,FALSE)</f>
        <v>29773224958.428841</v>
      </c>
      <c r="BE1731" s="129">
        <f>IFERROR(VLOOKUP($D1731,UNCTAD!$C$5:$V$529,4,FALSE),"..")</f>
        <v>50632851000</v>
      </c>
      <c r="BF1731" s="846">
        <f t="shared" ref="BF1731:BF1794" si="301">IFERROR(($BD1731/$BE1731),"..")</f>
        <v>0.58802189429208407</v>
      </c>
      <c r="BG1731" s="117">
        <f>VLOOKUP($D1731,'WB Data'!$C$3:$M$578,5,FALSE)</f>
        <v>604820000</v>
      </c>
      <c r="BH1731" s="129">
        <f>IFERROR($BB1731/$BG1731,"..")</f>
        <v>9.7290493320326714</v>
      </c>
      <c r="BI1731" s="117">
        <f>IFERROR(VLOOKUP($D1731,'WB Data'!$C$3:$M$578,7,FALSE)/100,"..")</f>
        <v>2.5311699999999999E-2</v>
      </c>
      <c r="BJ1731" s="117">
        <f>IFERROR($BI1731*$AW1731,"..")</f>
        <v>4317271101.5386934</v>
      </c>
      <c r="BK1731" s="846">
        <f>IFERROR($BB1731/$BJ1731,"..")</f>
        <v>1.3629729240081316</v>
      </c>
      <c r="BL1731" s="117">
        <f>IFERROR(VLOOKUP($D1731,'WB Data'!$C$3:$M$578,7,FALSE)/100,"..")</f>
        <v>2.5311699999999999E-2</v>
      </c>
      <c r="BM1731" s="117">
        <f>IFERROR($AW1731*$BL1731,"..")</f>
        <v>4317271101.5386934</v>
      </c>
      <c r="BN1731" s="846">
        <f>IFERROR($BB1731/$BM1731,"..")</f>
        <v>1.3629729240081316</v>
      </c>
      <c r="BO1731" s="801">
        <f t="shared" si="297"/>
        <v>38</v>
      </c>
      <c r="BP1731" s="117">
        <f>VLOOKUP($D1731,'WB Data'!$C$3:$M$578,9,FALSE)</f>
        <v>27.8</v>
      </c>
      <c r="BQ1731" s="117">
        <f>VLOOKUP($D1731,'WB Data'!$C$3:$M$578,10,FALSE)</f>
        <v>74.210536585365858</v>
      </c>
      <c r="BR1731" s="117">
        <f>VLOOKUP($D1731,'WB Data'!$C$3:$M$578,11,FALSE)</f>
        <v>14.3</v>
      </c>
      <c r="BS1731" s="129">
        <f>IFERROR(VLOOKUP($D1731,'WB Data 2'!$C$2:$K$545,9,FALSE),"..")</f>
        <v>96.327079999999995</v>
      </c>
      <c r="BT1731" s="129">
        <f>_xlfn.IFNA(VLOOKUP($C1731,RGI!$A$2:$C$43,2,FALSE),"..")</f>
        <v>76.8</v>
      </c>
      <c r="BU1731" s="129">
        <f>_xlfn.IFNA(VLOOKUP($C1731,RGI!$A$2:$C$43,3,FALSE),"..")</f>
        <v>72.816147461462435</v>
      </c>
      <c r="BV1731" s="129">
        <f>VLOOKUP($D1731,WGI!$C$2:$O$478,7,FALSE)</f>
        <v>9.0719139218499306E-2</v>
      </c>
      <c r="BW1731" s="129">
        <f>VLOOKUP($D1731,WGI!$C$2:$O$478,4,FALSE)</f>
        <v>-0.738042232413051</v>
      </c>
      <c r="BX1731" s="129">
        <f>VLOOKUP($D1731,WGI!$C$2:$O$478,3,FALSE)</f>
        <v>-0.145710327623474</v>
      </c>
      <c r="BY1731" s="129">
        <f>VLOOKUP($D1731,WGI!$C$2:$O$478,5,FALSE)</f>
        <v>0.476881348098389</v>
      </c>
      <c r="BZ1731" s="129">
        <f>VLOOKUP($D1731,WGI!$C$2:$O$478,2,FALSE)</f>
        <v>-0.248937037637317</v>
      </c>
    </row>
    <row r="1732" spans="1:78" ht="15" customHeight="1">
      <c r="A1732" s="407" t="s">
        <v>459</v>
      </c>
      <c r="B1732" s="408">
        <v>2011</v>
      </c>
      <c r="C1732" s="805" t="s">
        <v>449</v>
      </c>
      <c r="D1732" s="117" t="s">
        <v>3711</v>
      </c>
      <c r="E1732" s="409" t="s">
        <v>220</v>
      </c>
      <c r="F1732" s="410"/>
      <c r="G1732" s="621" t="s">
        <v>24</v>
      </c>
      <c r="H1732" s="117" t="str">
        <f t="shared" si="291"/>
        <v>yes</v>
      </c>
      <c r="I1732" s="117" t="str">
        <f t="shared" si="294"/>
        <v>no</v>
      </c>
      <c r="J1732" s="117" t="str">
        <f t="shared" si="295"/>
        <v>no</v>
      </c>
      <c r="K1732" s="410" t="s">
        <v>2094</v>
      </c>
      <c r="L1732" s="117" t="str">
        <f t="shared" si="292"/>
        <v>detailed</v>
      </c>
      <c r="M1732" s="117" t="str">
        <f t="shared" si="296"/>
        <v>detailed Mining</v>
      </c>
      <c r="N1732" s="411">
        <v>10100</v>
      </c>
      <c r="O1732" s="411"/>
      <c r="P1732" s="411"/>
      <c r="Q1732" s="411"/>
      <c r="R1732" s="411"/>
      <c r="S1732" s="410" t="s">
        <v>610</v>
      </c>
      <c r="T1732" s="412">
        <v>269</v>
      </c>
      <c r="U1732" s="410" t="s">
        <v>611</v>
      </c>
      <c r="V1732" s="410" t="s">
        <v>2119</v>
      </c>
      <c r="W1732" s="413">
        <f>N1732*T1732</f>
        <v>2716900</v>
      </c>
      <c r="X1732" s="410"/>
      <c r="Y1732" s="621"/>
      <c r="Z1732" s="621"/>
      <c r="AA1732" s="413"/>
      <c r="AB1732" s="413"/>
      <c r="AC1732" s="618"/>
      <c r="AD1732" s="618"/>
      <c r="AE1732" s="618"/>
      <c r="AF1732" s="619"/>
      <c r="AG1732" s="621"/>
      <c r="AH1732" s="417"/>
      <c r="AI1732" s="410"/>
      <c r="AJ1732" s="410"/>
      <c r="AK1732" s="413"/>
      <c r="AL1732" s="410"/>
      <c r="AM1732" s="410"/>
      <c r="AN1732" s="410"/>
      <c r="AO1732" s="410"/>
      <c r="AP1732" s="410"/>
      <c r="AQ1732" s="410"/>
      <c r="AR1732" s="410"/>
      <c r="AS1732" s="410"/>
      <c r="AT1732" s="410"/>
      <c r="AU1732" s="410"/>
      <c r="AV1732" s="419"/>
      <c r="AW1732" s="117">
        <f>VLOOKUP($D1732,'WB Data'!$C$3:$M$578,2,FALSE)</f>
        <v>170564249004.95398</v>
      </c>
      <c r="AX1732" s="117">
        <f>VLOOKUP($D1732,'WB Data'!$C$3:$M$578,3,FALSE)</f>
        <v>29614887</v>
      </c>
      <c r="AY1732" s="847">
        <f t="shared" si="298"/>
        <v>3.4499161760616619E-2</v>
      </c>
      <c r="AZ1732" s="117">
        <f>VLOOKUP($D1732,'WB Data'!$C$3:$M$578,4,FALSE)/100</f>
        <v>0.20943982120853646</v>
      </c>
      <c r="BA1732" s="117">
        <f t="shared" si="299"/>
        <v>35722945816.165855</v>
      </c>
      <c r="BB1732" s="129">
        <f>IFERROR(VLOOKUP($D1732,'EITI Revenues'!$C$2:$G$224,5,FALSE),"..")</f>
        <v>5884323617</v>
      </c>
      <c r="BC1732" s="846">
        <f t="shared" si="300"/>
        <v>0.16472111922911861</v>
      </c>
      <c r="BD1732" s="129">
        <f>VLOOKUP($D1732,'WB Data 2'!$C$2:$K$545,6,FALSE)</f>
        <v>29773224958.428841</v>
      </c>
      <c r="BE1732" s="129">
        <f>IFERROR(VLOOKUP($D1732,UNCTAD!$C$5:$V$529,4,FALSE),"..")</f>
        <v>50632851000</v>
      </c>
      <c r="BF1732" s="846">
        <f t="shared" si="301"/>
        <v>0.58802189429208407</v>
      </c>
      <c r="BG1732" s="117">
        <f>VLOOKUP($D1732,'WB Data'!$C$3:$M$578,5,FALSE)</f>
        <v>604820000</v>
      </c>
      <c r="BH1732" s="129">
        <f>IFERROR($BB1732/$BG1732,"..")</f>
        <v>9.7290493320326714</v>
      </c>
      <c r="BI1732" s="117">
        <f>IFERROR(VLOOKUP($D1732,'WB Data'!$C$3:$M$578,7,FALSE)/100,"..")</f>
        <v>2.5311699999999999E-2</v>
      </c>
      <c r="BJ1732" s="117">
        <f>IFERROR($BI1732*$AW1732,"..")</f>
        <v>4317271101.5386934</v>
      </c>
      <c r="BK1732" s="846">
        <f>IFERROR($BB1732/$BJ1732,"..")</f>
        <v>1.3629729240081316</v>
      </c>
      <c r="BL1732" s="117">
        <f>IFERROR(VLOOKUP($D1732,'WB Data'!$C$3:$M$578,7,FALSE)/100,"..")</f>
        <v>2.5311699999999999E-2</v>
      </c>
      <c r="BM1732" s="117">
        <f>IFERROR($AW1732*$BL1732,"..")</f>
        <v>4317271101.5386934</v>
      </c>
      <c r="BN1732" s="846">
        <f>IFERROR($BB1732/$BM1732,"..")</f>
        <v>1.3629729240081316</v>
      </c>
      <c r="BO1732" s="801">
        <f t="shared" si="297"/>
        <v>38</v>
      </c>
      <c r="BP1732" s="117">
        <f>VLOOKUP($D1732,'WB Data'!$C$3:$M$578,9,FALSE)</f>
        <v>27.8</v>
      </c>
      <c r="BQ1732" s="117">
        <f>VLOOKUP($D1732,'WB Data'!$C$3:$M$578,10,FALSE)</f>
        <v>74.210536585365858</v>
      </c>
      <c r="BR1732" s="117">
        <f>VLOOKUP($D1732,'WB Data'!$C$3:$M$578,11,FALSE)</f>
        <v>14.3</v>
      </c>
      <c r="BS1732" s="129">
        <f>IFERROR(VLOOKUP($D1732,'WB Data 2'!$C$2:$K$545,9,FALSE),"..")</f>
        <v>96.327079999999995</v>
      </c>
      <c r="BT1732" s="129">
        <f>_xlfn.IFNA(VLOOKUP($C1732,RGI!$A$2:$C$43,2,FALSE),"..")</f>
        <v>76.8</v>
      </c>
      <c r="BU1732" s="129">
        <f>_xlfn.IFNA(VLOOKUP($C1732,RGI!$A$2:$C$43,3,FALSE),"..")</f>
        <v>72.816147461462435</v>
      </c>
      <c r="BV1732" s="129">
        <f>VLOOKUP($D1732,WGI!$C$2:$O$478,7,FALSE)</f>
        <v>9.0719139218499306E-2</v>
      </c>
      <c r="BW1732" s="129">
        <f>VLOOKUP($D1732,WGI!$C$2:$O$478,4,FALSE)</f>
        <v>-0.738042232413051</v>
      </c>
      <c r="BX1732" s="129">
        <f>VLOOKUP($D1732,WGI!$C$2:$O$478,3,FALSE)</f>
        <v>-0.145710327623474</v>
      </c>
      <c r="BY1732" s="129">
        <f>VLOOKUP($D1732,WGI!$C$2:$O$478,5,FALSE)</f>
        <v>0.476881348098389</v>
      </c>
      <c r="BZ1732" s="129">
        <f>VLOOKUP($D1732,WGI!$C$2:$O$478,2,FALSE)</f>
        <v>-0.248937037637317</v>
      </c>
    </row>
    <row r="1733" spans="1:78" ht="15" customHeight="1">
      <c r="A1733" s="407" t="s">
        <v>459</v>
      </c>
      <c r="B1733" s="408">
        <v>2011</v>
      </c>
      <c r="C1733" s="805" t="s">
        <v>449</v>
      </c>
      <c r="D1733" s="117" t="s">
        <v>3711</v>
      </c>
      <c r="E1733" s="409" t="s">
        <v>220</v>
      </c>
      <c r="F1733" s="410"/>
      <c r="G1733" s="621" t="s">
        <v>24</v>
      </c>
      <c r="H1733" s="117" t="str">
        <f t="shared" si="291"/>
        <v>yes</v>
      </c>
      <c r="I1733" s="117" t="str">
        <f t="shared" si="294"/>
        <v>no</v>
      </c>
      <c r="J1733" s="117" t="str">
        <f t="shared" si="295"/>
        <v>no</v>
      </c>
      <c r="K1733" s="410" t="s">
        <v>2095</v>
      </c>
      <c r="L1733" s="117" t="str">
        <f t="shared" si="292"/>
        <v>detailed</v>
      </c>
      <c r="M1733" s="117" t="str">
        <f t="shared" si="296"/>
        <v>detailed Mining</v>
      </c>
      <c r="N1733" s="411">
        <v>645</v>
      </c>
      <c r="O1733" s="411"/>
      <c r="P1733" s="411"/>
      <c r="Q1733" s="411"/>
      <c r="R1733" s="411"/>
      <c r="S1733" s="410" t="s">
        <v>610</v>
      </c>
      <c r="T1733" s="412">
        <v>9.9700000000000006</v>
      </c>
      <c r="U1733" s="410" t="s">
        <v>611</v>
      </c>
      <c r="V1733" s="410" t="s">
        <v>2120</v>
      </c>
      <c r="W1733" s="413">
        <f>N1733*T1733</f>
        <v>6430.6500000000005</v>
      </c>
      <c r="X1733" s="410"/>
      <c r="Y1733" s="621"/>
      <c r="Z1733" s="621"/>
      <c r="AA1733" s="413"/>
      <c r="AB1733" s="413"/>
      <c r="AC1733" s="618"/>
      <c r="AD1733" s="618"/>
      <c r="AE1733" s="618"/>
      <c r="AF1733" s="619"/>
      <c r="AG1733" s="621"/>
      <c r="AH1733" s="417"/>
      <c r="AI1733" s="410"/>
      <c r="AJ1733" s="410"/>
      <c r="AK1733" s="413"/>
      <c r="AL1733" s="410"/>
      <c r="AM1733" s="410"/>
      <c r="AN1733" s="410"/>
      <c r="AO1733" s="410"/>
      <c r="AP1733" s="410"/>
      <c r="AQ1733" s="410"/>
      <c r="AR1733" s="410"/>
      <c r="AS1733" s="410"/>
      <c r="AT1733" s="410"/>
      <c r="AU1733" s="410"/>
      <c r="AV1733" s="419"/>
      <c r="AW1733" s="117">
        <f>VLOOKUP($D1733,'WB Data'!$C$3:$M$578,2,FALSE)</f>
        <v>170564249004.95398</v>
      </c>
      <c r="AX1733" s="117">
        <f>VLOOKUP($D1733,'WB Data'!$C$3:$M$578,3,FALSE)</f>
        <v>29614887</v>
      </c>
      <c r="AY1733" s="847">
        <f t="shared" si="298"/>
        <v>3.4499161760616619E-2</v>
      </c>
      <c r="AZ1733" s="117">
        <f>VLOOKUP($D1733,'WB Data'!$C$3:$M$578,4,FALSE)/100</f>
        <v>0.20943982120853646</v>
      </c>
      <c r="BA1733" s="117">
        <f t="shared" si="299"/>
        <v>35722945816.165855</v>
      </c>
      <c r="BB1733" s="129">
        <f>IFERROR(VLOOKUP($D1733,'EITI Revenues'!$C$2:$G$224,5,FALSE),"..")</f>
        <v>5884323617</v>
      </c>
      <c r="BC1733" s="846">
        <f t="shared" si="300"/>
        <v>0.16472111922911861</v>
      </c>
      <c r="BD1733" s="129">
        <f>VLOOKUP($D1733,'WB Data 2'!$C$2:$K$545,6,FALSE)</f>
        <v>29773224958.428841</v>
      </c>
      <c r="BE1733" s="129">
        <f>IFERROR(VLOOKUP($D1733,UNCTAD!$C$5:$V$529,4,FALSE),"..")</f>
        <v>50632851000</v>
      </c>
      <c r="BF1733" s="846">
        <f t="shared" si="301"/>
        <v>0.58802189429208407</v>
      </c>
      <c r="BG1733" s="117">
        <f>VLOOKUP($D1733,'WB Data'!$C$3:$M$578,5,FALSE)</f>
        <v>604820000</v>
      </c>
      <c r="BH1733" s="129">
        <f>IFERROR($BB1733/$BG1733,"..")</f>
        <v>9.7290493320326714</v>
      </c>
      <c r="BI1733" s="117">
        <f>IFERROR(VLOOKUP($D1733,'WB Data'!$C$3:$M$578,7,FALSE)/100,"..")</f>
        <v>2.5311699999999999E-2</v>
      </c>
      <c r="BJ1733" s="117">
        <f>IFERROR($BI1733*$AW1733,"..")</f>
        <v>4317271101.5386934</v>
      </c>
      <c r="BK1733" s="846">
        <f>IFERROR($BB1733/$BJ1733,"..")</f>
        <v>1.3629729240081316</v>
      </c>
      <c r="BL1733" s="117">
        <f>IFERROR(VLOOKUP($D1733,'WB Data'!$C$3:$M$578,7,FALSE)/100,"..")</f>
        <v>2.5311699999999999E-2</v>
      </c>
      <c r="BM1733" s="117">
        <f>IFERROR($AW1733*$BL1733,"..")</f>
        <v>4317271101.5386934</v>
      </c>
      <c r="BN1733" s="846">
        <f>IFERROR($BB1733/$BM1733,"..")</f>
        <v>1.3629729240081316</v>
      </c>
      <c r="BO1733" s="801">
        <f t="shared" si="297"/>
        <v>38</v>
      </c>
      <c r="BP1733" s="117">
        <f>VLOOKUP($D1733,'WB Data'!$C$3:$M$578,9,FALSE)</f>
        <v>27.8</v>
      </c>
      <c r="BQ1733" s="117">
        <f>VLOOKUP($D1733,'WB Data'!$C$3:$M$578,10,FALSE)</f>
        <v>74.210536585365858</v>
      </c>
      <c r="BR1733" s="117">
        <f>VLOOKUP($D1733,'WB Data'!$C$3:$M$578,11,FALSE)</f>
        <v>14.3</v>
      </c>
      <c r="BS1733" s="129">
        <f>IFERROR(VLOOKUP($D1733,'WB Data 2'!$C$2:$K$545,9,FALSE),"..")</f>
        <v>96.327079999999995</v>
      </c>
      <c r="BT1733" s="129">
        <f>_xlfn.IFNA(VLOOKUP($C1733,RGI!$A$2:$C$43,2,FALSE),"..")</f>
        <v>76.8</v>
      </c>
      <c r="BU1733" s="129">
        <f>_xlfn.IFNA(VLOOKUP($C1733,RGI!$A$2:$C$43,3,FALSE),"..")</f>
        <v>72.816147461462435</v>
      </c>
      <c r="BV1733" s="129">
        <f>VLOOKUP($D1733,WGI!$C$2:$O$478,7,FALSE)</f>
        <v>9.0719139218499306E-2</v>
      </c>
      <c r="BW1733" s="129">
        <f>VLOOKUP($D1733,WGI!$C$2:$O$478,4,FALSE)</f>
        <v>-0.738042232413051</v>
      </c>
      <c r="BX1733" s="129">
        <f>VLOOKUP($D1733,WGI!$C$2:$O$478,3,FALSE)</f>
        <v>-0.145710327623474</v>
      </c>
      <c r="BY1733" s="129">
        <f>VLOOKUP($D1733,WGI!$C$2:$O$478,5,FALSE)</f>
        <v>0.476881348098389</v>
      </c>
      <c r="BZ1733" s="129">
        <f>VLOOKUP($D1733,WGI!$C$2:$O$478,2,FALSE)</f>
        <v>-0.248937037637317</v>
      </c>
    </row>
    <row r="1734" spans="1:78" ht="15" customHeight="1">
      <c r="A1734" s="407" t="s">
        <v>459</v>
      </c>
      <c r="B1734" s="408">
        <v>2011</v>
      </c>
      <c r="C1734" s="805" t="s">
        <v>449</v>
      </c>
      <c r="D1734" s="117" t="s">
        <v>3711</v>
      </c>
      <c r="E1734" s="409" t="s">
        <v>220</v>
      </c>
      <c r="F1734" s="410"/>
      <c r="G1734" s="621" t="s">
        <v>24</v>
      </c>
      <c r="H1734" s="117" t="str">
        <f t="shared" si="291"/>
        <v>yes</v>
      </c>
      <c r="I1734" s="117" t="str">
        <f t="shared" si="294"/>
        <v>no</v>
      </c>
      <c r="J1734" s="117" t="str">
        <f t="shared" si="295"/>
        <v>no</v>
      </c>
      <c r="K1734" s="410" t="s">
        <v>1220</v>
      </c>
      <c r="L1734" s="117" t="str">
        <f t="shared" si="292"/>
        <v>detailed</v>
      </c>
      <c r="M1734" s="117" t="str">
        <f t="shared" si="296"/>
        <v>detailed Mining</v>
      </c>
      <c r="N1734" s="411">
        <v>11645</v>
      </c>
      <c r="O1734" s="411"/>
      <c r="P1734" s="411"/>
      <c r="Q1734" s="411"/>
      <c r="R1734" s="411"/>
      <c r="S1734" s="410" t="s">
        <v>610</v>
      </c>
      <c r="T1734" s="412">
        <v>62</v>
      </c>
      <c r="U1734" s="410" t="s">
        <v>611</v>
      </c>
      <c r="V1734" s="410" t="s">
        <v>2121</v>
      </c>
      <c r="W1734" s="413">
        <f>N1734*T1734</f>
        <v>721990</v>
      </c>
      <c r="X1734" s="410"/>
      <c r="Y1734" s="621"/>
      <c r="Z1734" s="621"/>
      <c r="AA1734" s="413"/>
      <c r="AB1734" s="413"/>
      <c r="AC1734" s="618"/>
      <c r="AD1734" s="618"/>
      <c r="AE1734" s="618"/>
      <c r="AF1734" s="619"/>
      <c r="AG1734" s="621"/>
      <c r="AH1734" s="417"/>
      <c r="AI1734" s="410"/>
      <c r="AJ1734" s="410"/>
      <c r="AK1734" s="413"/>
      <c r="AL1734" s="410"/>
      <c r="AM1734" s="410"/>
      <c r="AN1734" s="410"/>
      <c r="AO1734" s="410"/>
      <c r="AP1734" s="410"/>
      <c r="AQ1734" s="410"/>
      <c r="AR1734" s="410"/>
      <c r="AS1734" s="410"/>
      <c r="AT1734" s="410"/>
      <c r="AU1734" s="410"/>
      <c r="AV1734" s="419"/>
      <c r="AW1734" s="117">
        <f>VLOOKUP($D1734,'WB Data'!$C$3:$M$578,2,FALSE)</f>
        <v>170564249004.95398</v>
      </c>
      <c r="AX1734" s="117">
        <f>VLOOKUP($D1734,'WB Data'!$C$3:$M$578,3,FALSE)</f>
        <v>29614887</v>
      </c>
      <c r="AY1734" s="847">
        <f t="shared" si="298"/>
        <v>3.4499161760616619E-2</v>
      </c>
      <c r="AZ1734" s="117">
        <f>VLOOKUP($D1734,'WB Data'!$C$3:$M$578,4,FALSE)/100</f>
        <v>0.20943982120853646</v>
      </c>
      <c r="BA1734" s="117">
        <f t="shared" si="299"/>
        <v>35722945816.165855</v>
      </c>
      <c r="BB1734" s="129">
        <f>IFERROR(VLOOKUP($D1734,'EITI Revenues'!$C$2:$G$224,5,FALSE),"..")</f>
        <v>5884323617</v>
      </c>
      <c r="BC1734" s="846">
        <f t="shared" si="300"/>
        <v>0.16472111922911861</v>
      </c>
      <c r="BD1734" s="129">
        <f>VLOOKUP($D1734,'WB Data 2'!$C$2:$K$545,6,FALSE)</f>
        <v>29773224958.428841</v>
      </c>
      <c r="BE1734" s="129">
        <f>IFERROR(VLOOKUP($D1734,UNCTAD!$C$5:$V$529,4,FALSE),"..")</f>
        <v>50632851000</v>
      </c>
      <c r="BF1734" s="846">
        <f t="shared" si="301"/>
        <v>0.58802189429208407</v>
      </c>
      <c r="BG1734" s="117">
        <f>VLOOKUP($D1734,'WB Data'!$C$3:$M$578,5,FALSE)</f>
        <v>604820000</v>
      </c>
      <c r="BH1734" s="129">
        <f>IFERROR($BB1734/$BG1734,"..")</f>
        <v>9.7290493320326714</v>
      </c>
      <c r="BI1734" s="117">
        <f>IFERROR(VLOOKUP($D1734,'WB Data'!$C$3:$M$578,7,FALSE)/100,"..")</f>
        <v>2.5311699999999999E-2</v>
      </c>
      <c r="BJ1734" s="117">
        <f>IFERROR($BI1734*$AW1734,"..")</f>
        <v>4317271101.5386934</v>
      </c>
      <c r="BK1734" s="846">
        <f>IFERROR($BB1734/$BJ1734,"..")</f>
        <v>1.3629729240081316</v>
      </c>
      <c r="BL1734" s="117">
        <f>IFERROR(VLOOKUP($D1734,'WB Data'!$C$3:$M$578,7,FALSE)/100,"..")</f>
        <v>2.5311699999999999E-2</v>
      </c>
      <c r="BM1734" s="117">
        <f>IFERROR($AW1734*$BL1734,"..")</f>
        <v>4317271101.5386934</v>
      </c>
      <c r="BN1734" s="846">
        <f>IFERROR($BB1734/$BM1734,"..")</f>
        <v>1.3629729240081316</v>
      </c>
      <c r="BO1734" s="801">
        <f t="shared" si="297"/>
        <v>38</v>
      </c>
      <c r="BP1734" s="117">
        <f>VLOOKUP($D1734,'WB Data'!$C$3:$M$578,9,FALSE)</f>
        <v>27.8</v>
      </c>
      <c r="BQ1734" s="117">
        <f>VLOOKUP($D1734,'WB Data'!$C$3:$M$578,10,FALSE)</f>
        <v>74.210536585365858</v>
      </c>
      <c r="BR1734" s="117">
        <f>VLOOKUP($D1734,'WB Data'!$C$3:$M$578,11,FALSE)</f>
        <v>14.3</v>
      </c>
      <c r="BS1734" s="129">
        <f>IFERROR(VLOOKUP($D1734,'WB Data 2'!$C$2:$K$545,9,FALSE),"..")</f>
        <v>96.327079999999995</v>
      </c>
      <c r="BT1734" s="129">
        <f>_xlfn.IFNA(VLOOKUP($C1734,RGI!$A$2:$C$43,2,FALSE),"..")</f>
        <v>76.8</v>
      </c>
      <c r="BU1734" s="129">
        <f>_xlfn.IFNA(VLOOKUP($C1734,RGI!$A$2:$C$43,3,FALSE),"..")</f>
        <v>72.816147461462435</v>
      </c>
      <c r="BV1734" s="129">
        <f>VLOOKUP($D1734,WGI!$C$2:$O$478,7,FALSE)</f>
        <v>9.0719139218499306E-2</v>
      </c>
      <c r="BW1734" s="129">
        <f>VLOOKUP($D1734,WGI!$C$2:$O$478,4,FALSE)</f>
        <v>-0.738042232413051</v>
      </c>
      <c r="BX1734" s="129">
        <f>VLOOKUP($D1734,WGI!$C$2:$O$478,3,FALSE)</f>
        <v>-0.145710327623474</v>
      </c>
      <c r="BY1734" s="129">
        <f>VLOOKUP($D1734,WGI!$C$2:$O$478,5,FALSE)</f>
        <v>0.476881348098389</v>
      </c>
      <c r="BZ1734" s="129">
        <f>VLOOKUP($D1734,WGI!$C$2:$O$478,2,FALSE)</f>
        <v>-0.248937037637317</v>
      </c>
    </row>
    <row r="1735" spans="1:78" ht="15" customHeight="1">
      <c r="A1735" s="407" t="s">
        <v>459</v>
      </c>
      <c r="B1735" s="408">
        <v>2011</v>
      </c>
      <c r="C1735" s="805" t="s">
        <v>449</v>
      </c>
      <c r="D1735" s="117" t="s">
        <v>3711</v>
      </c>
      <c r="E1735" s="409" t="s">
        <v>220</v>
      </c>
      <c r="F1735" s="410"/>
      <c r="G1735" s="621" t="s">
        <v>24</v>
      </c>
      <c r="H1735" s="117" t="str">
        <f t="shared" si="291"/>
        <v>yes</v>
      </c>
      <c r="I1735" s="117" t="str">
        <f t="shared" si="294"/>
        <v>no</v>
      </c>
      <c r="J1735" s="117" t="str">
        <f t="shared" si="295"/>
        <v>no</v>
      </c>
      <c r="K1735" s="410" t="s">
        <v>2096</v>
      </c>
      <c r="L1735" s="117" t="str">
        <f t="shared" si="292"/>
        <v>detailed</v>
      </c>
      <c r="M1735" s="117" t="str">
        <f t="shared" si="296"/>
        <v>detailed Mining</v>
      </c>
      <c r="N1735" s="411">
        <v>6000</v>
      </c>
      <c r="O1735" s="411"/>
      <c r="P1735" s="411"/>
      <c r="Q1735" s="411"/>
      <c r="R1735" s="411"/>
      <c r="S1735" s="410" t="s">
        <v>610</v>
      </c>
      <c r="T1735" s="412">
        <v>29</v>
      </c>
      <c r="U1735" s="410" t="s">
        <v>611</v>
      </c>
      <c r="V1735" s="410" t="s">
        <v>2122</v>
      </c>
      <c r="W1735" s="413">
        <f>N1735*T1735</f>
        <v>174000</v>
      </c>
      <c r="X1735" s="410"/>
      <c r="Y1735" s="621"/>
      <c r="Z1735" s="621"/>
      <c r="AA1735" s="413"/>
      <c r="AB1735" s="413"/>
      <c r="AC1735" s="618"/>
      <c r="AD1735" s="618"/>
      <c r="AE1735" s="618"/>
      <c r="AF1735" s="619"/>
      <c r="AG1735" s="621"/>
      <c r="AH1735" s="417"/>
      <c r="AI1735" s="410"/>
      <c r="AJ1735" s="410"/>
      <c r="AK1735" s="413"/>
      <c r="AL1735" s="410"/>
      <c r="AM1735" s="410"/>
      <c r="AN1735" s="410"/>
      <c r="AO1735" s="410"/>
      <c r="AP1735" s="410"/>
      <c r="AQ1735" s="410"/>
      <c r="AR1735" s="410"/>
      <c r="AS1735" s="410"/>
      <c r="AT1735" s="410"/>
      <c r="AU1735" s="410"/>
      <c r="AV1735" s="419"/>
      <c r="AW1735" s="117">
        <f>VLOOKUP($D1735,'WB Data'!$C$3:$M$578,2,FALSE)</f>
        <v>170564249004.95398</v>
      </c>
      <c r="AX1735" s="117">
        <f>VLOOKUP($D1735,'WB Data'!$C$3:$M$578,3,FALSE)</f>
        <v>29614887</v>
      </c>
      <c r="AY1735" s="847">
        <f t="shared" si="298"/>
        <v>3.4499161760616619E-2</v>
      </c>
      <c r="AZ1735" s="117">
        <f>VLOOKUP($D1735,'WB Data'!$C$3:$M$578,4,FALSE)/100</f>
        <v>0.20943982120853646</v>
      </c>
      <c r="BA1735" s="117">
        <f t="shared" si="299"/>
        <v>35722945816.165855</v>
      </c>
      <c r="BB1735" s="129">
        <f>IFERROR(VLOOKUP($D1735,'EITI Revenues'!$C$2:$G$224,5,FALSE),"..")</f>
        <v>5884323617</v>
      </c>
      <c r="BC1735" s="846">
        <f t="shared" si="300"/>
        <v>0.16472111922911861</v>
      </c>
      <c r="BD1735" s="129">
        <f>VLOOKUP($D1735,'WB Data 2'!$C$2:$K$545,6,FALSE)</f>
        <v>29773224958.428841</v>
      </c>
      <c r="BE1735" s="129">
        <f>IFERROR(VLOOKUP($D1735,UNCTAD!$C$5:$V$529,4,FALSE),"..")</f>
        <v>50632851000</v>
      </c>
      <c r="BF1735" s="846">
        <f t="shared" si="301"/>
        <v>0.58802189429208407</v>
      </c>
      <c r="BG1735" s="117">
        <f>VLOOKUP($D1735,'WB Data'!$C$3:$M$578,5,FALSE)</f>
        <v>604820000</v>
      </c>
      <c r="BH1735" s="129">
        <f>IFERROR($BB1735/$BG1735,"..")</f>
        <v>9.7290493320326714</v>
      </c>
      <c r="BI1735" s="117">
        <f>IFERROR(VLOOKUP($D1735,'WB Data'!$C$3:$M$578,7,FALSE)/100,"..")</f>
        <v>2.5311699999999999E-2</v>
      </c>
      <c r="BJ1735" s="117">
        <f>IFERROR($BI1735*$AW1735,"..")</f>
        <v>4317271101.5386934</v>
      </c>
      <c r="BK1735" s="846">
        <f>IFERROR($BB1735/$BJ1735,"..")</f>
        <v>1.3629729240081316</v>
      </c>
      <c r="BL1735" s="117">
        <f>IFERROR(VLOOKUP($D1735,'WB Data'!$C$3:$M$578,7,FALSE)/100,"..")</f>
        <v>2.5311699999999999E-2</v>
      </c>
      <c r="BM1735" s="117">
        <f>IFERROR($AW1735*$BL1735,"..")</f>
        <v>4317271101.5386934</v>
      </c>
      <c r="BN1735" s="846">
        <f>IFERROR($BB1735/$BM1735,"..")</f>
        <v>1.3629729240081316</v>
      </c>
      <c r="BO1735" s="801">
        <f t="shared" si="297"/>
        <v>38</v>
      </c>
      <c r="BP1735" s="117">
        <f>VLOOKUP($D1735,'WB Data'!$C$3:$M$578,9,FALSE)</f>
        <v>27.8</v>
      </c>
      <c r="BQ1735" s="117">
        <f>VLOOKUP($D1735,'WB Data'!$C$3:$M$578,10,FALSE)</f>
        <v>74.210536585365858</v>
      </c>
      <c r="BR1735" s="117">
        <f>VLOOKUP($D1735,'WB Data'!$C$3:$M$578,11,FALSE)</f>
        <v>14.3</v>
      </c>
      <c r="BS1735" s="129">
        <f>IFERROR(VLOOKUP($D1735,'WB Data 2'!$C$2:$K$545,9,FALSE),"..")</f>
        <v>96.327079999999995</v>
      </c>
      <c r="BT1735" s="129">
        <f>_xlfn.IFNA(VLOOKUP($C1735,RGI!$A$2:$C$43,2,FALSE),"..")</f>
        <v>76.8</v>
      </c>
      <c r="BU1735" s="129">
        <f>_xlfn.IFNA(VLOOKUP($C1735,RGI!$A$2:$C$43,3,FALSE),"..")</f>
        <v>72.816147461462435</v>
      </c>
      <c r="BV1735" s="129">
        <f>VLOOKUP($D1735,WGI!$C$2:$O$478,7,FALSE)</f>
        <v>9.0719139218499306E-2</v>
      </c>
      <c r="BW1735" s="129">
        <f>VLOOKUP($D1735,WGI!$C$2:$O$478,4,FALSE)</f>
        <v>-0.738042232413051</v>
      </c>
      <c r="BX1735" s="129">
        <f>VLOOKUP($D1735,WGI!$C$2:$O$478,3,FALSE)</f>
        <v>-0.145710327623474</v>
      </c>
      <c r="BY1735" s="129">
        <f>VLOOKUP($D1735,WGI!$C$2:$O$478,5,FALSE)</f>
        <v>0.476881348098389</v>
      </c>
      <c r="BZ1735" s="129">
        <f>VLOOKUP($D1735,WGI!$C$2:$O$478,2,FALSE)</f>
        <v>-0.248937037637317</v>
      </c>
    </row>
    <row r="1736" spans="1:78" ht="15" customHeight="1">
      <c r="A1736" s="407" t="s">
        <v>459</v>
      </c>
      <c r="B1736" s="408">
        <v>2011</v>
      </c>
      <c r="C1736" s="805" t="s">
        <v>449</v>
      </c>
      <c r="D1736" s="117" t="s">
        <v>3711</v>
      </c>
      <c r="E1736" s="409" t="s">
        <v>220</v>
      </c>
      <c r="F1736" s="410"/>
      <c r="G1736" s="621" t="s">
        <v>24</v>
      </c>
      <c r="H1736" s="117" t="str">
        <f t="shared" si="291"/>
        <v>yes</v>
      </c>
      <c r="I1736" s="117" t="str">
        <f t="shared" si="294"/>
        <v>no</v>
      </c>
      <c r="J1736" s="117" t="str">
        <f t="shared" si="295"/>
        <v>no</v>
      </c>
      <c r="K1736" s="410" t="s">
        <v>2097</v>
      </c>
      <c r="L1736" s="117" t="str">
        <f t="shared" si="292"/>
        <v>detailed</v>
      </c>
      <c r="M1736" s="117" t="str">
        <f t="shared" si="296"/>
        <v>detailed Mining</v>
      </c>
      <c r="N1736" s="411">
        <v>300000</v>
      </c>
      <c r="O1736" s="411"/>
      <c r="P1736" s="411"/>
      <c r="Q1736" s="411"/>
      <c r="R1736" s="411"/>
      <c r="S1736" s="410" t="s">
        <v>610</v>
      </c>
      <c r="T1736" s="412"/>
      <c r="U1736" s="410"/>
      <c r="V1736" s="410" t="s">
        <v>847</v>
      </c>
      <c r="W1736" s="413"/>
      <c r="X1736" s="410"/>
      <c r="Y1736" s="621"/>
      <c r="Z1736" s="621"/>
      <c r="AA1736" s="413"/>
      <c r="AB1736" s="413"/>
      <c r="AC1736" s="618"/>
      <c r="AD1736" s="618"/>
      <c r="AE1736" s="618"/>
      <c r="AF1736" s="619"/>
      <c r="AG1736" s="621"/>
      <c r="AH1736" s="417"/>
      <c r="AI1736" s="410"/>
      <c r="AJ1736" s="410"/>
      <c r="AK1736" s="413"/>
      <c r="AL1736" s="410"/>
      <c r="AM1736" s="410"/>
      <c r="AN1736" s="410"/>
      <c r="AO1736" s="410"/>
      <c r="AP1736" s="410"/>
      <c r="AQ1736" s="410"/>
      <c r="AR1736" s="410"/>
      <c r="AS1736" s="410"/>
      <c r="AT1736" s="410"/>
      <c r="AU1736" s="410"/>
      <c r="AV1736" s="419"/>
      <c r="AW1736" s="117">
        <f>VLOOKUP($D1736,'WB Data'!$C$3:$M$578,2,FALSE)</f>
        <v>170564249004.95398</v>
      </c>
      <c r="AX1736" s="117">
        <f>VLOOKUP($D1736,'WB Data'!$C$3:$M$578,3,FALSE)</f>
        <v>29614887</v>
      </c>
      <c r="AY1736" s="847">
        <f t="shared" si="298"/>
        <v>3.4499161760616619E-2</v>
      </c>
      <c r="AZ1736" s="117">
        <f>VLOOKUP($D1736,'WB Data'!$C$3:$M$578,4,FALSE)/100</f>
        <v>0.20943982120853646</v>
      </c>
      <c r="BA1736" s="117">
        <f t="shared" si="299"/>
        <v>35722945816.165855</v>
      </c>
      <c r="BB1736" s="129">
        <f>IFERROR(VLOOKUP($D1736,'EITI Revenues'!$C$2:$G$224,5,FALSE),"..")</f>
        <v>5884323617</v>
      </c>
      <c r="BC1736" s="846">
        <f t="shared" si="300"/>
        <v>0.16472111922911861</v>
      </c>
      <c r="BD1736" s="129">
        <f>VLOOKUP($D1736,'WB Data 2'!$C$2:$K$545,6,FALSE)</f>
        <v>29773224958.428841</v>
      </c>
      <c r="BE1736" s="129">
        <f>IFERROR(VLOOKUP($D1736,UNCTAD!$C$5:$V$529,4,FALSE),"..")</f>
        <v>50632851000</v>
      </c>
      <c r="BF1736" s="846">
        <f t="shared" si="301"/>
        <v>0.58802189429208407</v>
      </c>
      <c r="BG1736" s="117">
        <f>VLOOKUP($D1736,'WB Data'!$C$3:$M$578,5,FALSE)</f>
        <v>604820000</v>
      </c>
      <c r="BH1736" s="129">
        <f>IFERROR($BB1736/$BG1736,"..")</f>
        <v>9.7290493320326714</v>
      </c>
      <c r="BI1736" s="117">
        <f>IFERROR(VLOOKUP($D1736,'WB Data'!$C$3:$M$578,7,FALSE)/100,"..")</f>
        <v>2.5311699999999999E-2</v>
      </c>
      <c r="BJ1736" s="117">
        <f>IFERROR($BI1736*$AW1736,"..")</f>
        <v>4317271101.5386934</v>
      </c>
      <c r="BK1736" s="846">
        <f>IFERROR($BB1736/$BJ1736,"..")</f>
        <v>1.3629729240081316</v>
      </c>
      <c r="BL1736" s="117">
        <f>IFERROR(VLOOKUP($D1736,'WB Data'!$C$3:$M$578,7,FALSE)/100,"..")</f>
        <v>2.5311699999999999E-2</v>
      </c>
      <c r="BM1736" s="117">
        <f>IFERROR($AW1736*$BL1736,"..")</f>
        <v>4317271101.5386934</v>
      </c>
      <c r="BN1736" s="846">
        <f>IFERROR($BB1736/$BM1736,"..")</f>
        <v>1.3629729240081316</v>
      </c>
      <c r="BO1736" s="801">
        <f t="shared" si="297"/>
        <v>38</v>
      </c>
      <c r="BP1736" s="117">
        <f>VLOOKUP($D1736,'WB Data'!$C$3:$M$578,9,FALSE)</f>
        <v>27.8</v>
      </c>
      <c r="BQ1736" s="117">
        <f>VLOOKUP($D1736,'WB Data'!$C$3:$M$578,10,FALSE)</f>
        <v>74.210536585365858</v>
      </c>
      <c r="BR1736" s="117">
        <f>VLOOKUP($D1736,'WB Data'!$C$3:$M$578,11,FALSE)</f>
        <v>14.3</v>
      </c>
      <c r="BS1736" s="129">
        <f>IFERROR(VLOOKUP($D1736,'WB Data 2'!$C$2:$K$545,9,FALSE),"..")</f>
        <v>96.327079999999995</v>
      </c>
      <c r="BT1736" s="129">
        <f>_xlfn.IFNA(VLOOKUP($C1736,RGI!$A$2:$C$43,2,FALSE),"..")</f>
        <v>76.8</v>
      </c>
      <c r="BU1736" s="129">
        <f>_xlfn.IFNA(VLOOKUP($C1736,RGI!$A$2:$C$43,3,FALSE),"..")</f>
        <v>72.816147461462435</v>
      </c>
      <c r="BV1736" s="129">
        <f>VLOOKUP($D1736,WGI!$C$2:$O$478,7,FALSE)</f>
        <v>9.0719139218499306E-2</v>
      </c>
      <c r="BW1736" s="129">
        <f>VLOOKUP($D1736,WGI!$C$2:$O$478,4,FALSE)</f>
        <v>-0.738042232413051</v>
      </c>
      <c r="BX1736" s="129">
        <f>VLOOKUP($D1736,WGI!$C$2:$O$478,3,FALSE)</f>
        <v>-0.145710327623474</v>
      </c>
      <c r="BY1736" s="129">
        <f>VLOOKUP($D1736,WGI!$C$2:$O$478,5,FALSE)</f>
        <v>0.476881348098389</v>
      </c>
      <c r="BZ1736" s="129">
        <f>VLOOKUP($D1736,WGI!$C$2:$O$478,2,FALSE)</f>
        <v>-0.248937037637317</v>
      </c>
    </row>
    <row r="1737" spans="1:78" ht="15" customHeight="1">
      <c r="A1737" s="407" t="s">
        <v>459</v>
      </c>
      <c r="B1737" s="408">
        <v>2011</v>
      </c>
      <c r="C1737" s="805" t="s">
        <v>449</v>
      </c>
      <c r="D1737" s="117" t="s">
        <v>3711</v>
      </c>
      <c r="E1737" s="409" t="s">
        <v>220</v>
      </c>
      <c r="F1737" s="410"/>
      <c r="G1737" s="621" t="s">
        <v>24</v>
      </c>
      <c r="H1737" s="117" t="str">
        <f t="shared" si="291"/>
        <v>yes</v>
      </c>
      <c r="I1737" s="117" t="str">
        <f t="shared" si="294"/>
        <v>no</v>
      </c>
      <c r="J1737" s="117" t="str">
        <f t="shared" si="295"/>
        <v>no</v>
      </c>
      <c r="K1737" s="410" t="s">
        <v>784</v>
      </c>
      <c r="L1737" s="117" t="str">
        <f t="shared" si="292"/>
        <v>detailed</v>
      </c>
      <c r="M1737" s="117" t="str">
        <f t="shared" si="296"/>
        <v>detailed Mining</v>
      </c>
      <c r="N1737" s="411">
        <f>164009*32.150743126506</f>
        <v>5273011.2294351226</v>
      </c>
      <c r="O1737" s="411"/>
      <c r="P1737" s="411"/>
      <c r="Q1737" s="411"/>
      <c r="R1737" s="411"/>
      <c r="S1737" s="410" t="s">
        <v>785</v>
      </c>
      <c r="T1737" s="412">
        <v>1569.2108333333299</v>
      </c>
      <c r="U1737" s="410" t="s">
        <v>786</v>
      </c>
      <c r="V1737" s="410" t="s">
        <v>841</v>
      </c>
      <c r="W1737" s="413">
        <f t="shared" ref="W1737:W1742" si="302">N1737*T1737</f>
        <v>8274466345.5178947</v>
      </c>
      <c r="X1737" s="410"/>
      <c r="Y1737" s="621"/>
      <c r="Z1737" s="621"/>
      <c r="AA1737" s="413"/>
      <c r="AB1737" s="413"/>
      <c r="AC1737" s="618"/>
      <c r="AD1737" s="618"/>
      <c r="AE1737" s="618"/>
      <c r="AF1737" s="619"/>
      <c r="AG1737" s="621"/>
      <c r="AH1737" s="417"/>
      <c r="AI1737" s="410"/>
      <c r="AJ1737" s="410"/>
      <c r="AK1737" s="413"/>
      <c r="AL1737" s="410"/>
      <c r="AM1737" s="410"/>
      <c r="AN1737" s="410"/>
      <c r="AO1737" s="410"/>
      <c r="AP1737" s="410"/>
      <c r="AQ1737" s="410"/>
      <c r="AR1737" s="410"/>
      <c r="AS1737" s="410"/>
      <c r="AT1737" s="410"/>
      <c r="AU1737" s="410"/>
      <c r="AV1737" s="419"/>
      <c r="AW1737" s="117">
        <f>VLOOKUP($D1737,'WB Data'!$C$3:$M$578,2,FALSE)</f>
        <v>170564249004.95398</v>
      </c>
      <c r="AX1737" s="117">
        <f>VLOOKUP($D1737,'WB Data'!$C$3:$M$578,3,FALSE)</f>
        <v>29614887</v>
      </c>
      <c r="AY1737" s="847">
        <f t="shared" si="298"/>
        <v>3.4499161760616619E-2</v>
      </c>
      <c r="AZ1737" s="117">
        <f>VLOOKUP($D1737,'WB Data'!$C$3:$M$578,4,FALSE)/100</f>
        <v>0.20943982120853646</v>
      </c>
      <c r="BA1737" s="117">
        <f t="shared" si="299"/>
        <v>35722945816.165855</v>
      </c>
      <c r="BB1737" s="129">
        <f>IFERROR(VLOOKUP($D1737,'EITI Revenues'!$C$2:$G$224,5,FALSE),"..")</f>
        <v>5884323617</v>
      </c>
      <c r="BC1737" s="846">
        <f t="shared" si="300"/>
        <v>0.16472111922911861</v>
      </c>
      <c r="BD1737" s="129">
        <f>VLOOKUP($D1737,'WB Data 2'!$C$2:$K$545,6,FALSE)</f>
        <v>29773224958.428841</v>
      </c>
      <c r="BE1737" s="129">
        <f>IFERROR(VLOOKUP($D1737,UNCTAD!$C$5:$V$529,4,FALSE),"..")</f>
        <v>50632851000</v>
      </c>
      <c r="BF1737" s="846">
        <f t="shared" si="301"/>
        <v>0.58802189429208407</v>
      </c>
      <c r="BG1737" s="117">
        <f>VLOOKUP($D1737,'WB Data'!$C$3:$M$578,5,FALSE)</f>
        <v>604820000</v>
      </c>
      <c r="BH1737" s="129">
        <f>IFERROR($BB1737/$BG1737,"..")</f>
        <v>9.7290493320326714</v>
      </c>
      <c r="BI1737" s="117">
        <f>IFERROR(VLOOKUP($D1737,'WB Data'!$C$3:$M$578,7,FALSE)/100,"..")</f>
        <v>2.5311699999999999E-2</v>
      </c>
      <c r="BJ1737" s="117">
        <f>IFERROR($BI1737*$AW1737,"..")</f>
        <v>4317271101.5386934</v>
      </c>
      <c r="BK1737" s="846">
        <f>IFERROR($BB1737/$BJ1737,"..")</f>
        <v>1.3629729240081316</v>
      </c>
      <c r="BL1737" s="117">
        <f>IFERROR(VLOOKUP($D1737,'WB Data'!$C$3:$M$578,7,FALSE)/100,"..")</f>
        <v>2.5311699999999999E-2</v>
      </c>
      <c r="BM1737" s="117">
        <f>IFERROR($AW1737*$BL1737,"..")</f>
        <v>4317271101.5386934</v>
      </c>
      <c r="BN1737" s="846">
        <f>IFERROR($BB1737/$BM1737,"..")</f>
        <v>1.3629729240081316</v>
      </c>
      <c r="BO1737" s="801">
        <f t="shared" si="297"/>
        <v>38</v>
      </c>
      <c r="BP1737" s="117">
        <f>VLOOKUP($D1737,'WB Data'!$C$3:$M$578,9,FALSE)</f>
        <v>27.8</v>
      </c>
      <c r="BQ1737" s="117">
        <f>VLOOKUP($D1737,'WB Data'!$C$3:$M$578,10,FALSE)</f>
        <v>74.210536585365858</v>
      </c>
      <c r="BR1737" s="117">
        <f>VLOOKUP($D1737,'WB Data'!$C$3:$M$578,11,FALSE)</f>
        <v>14.3</v>
      </c>
      <c r="BS1737" s="129">
        <f>IFERROR(VLOOKUP($D1737,'WB Data 2'!$C$2:$K$545,9,FALSE),"..")</f>
        <v>96.327079999999995</v>
      </c>
      <c r="BT1737" s="129">
        <f>_xlfn.IFNA(VLOOKUP($C1737,RGI!$A$2:$C$43,2,FALSE),"..")</f>
        <v>76.8</v>
      </c>
      <c r="BU1737" s="129">
        <f>_xlfn.IFNA(VLOOKUP($C1737,RGI!$A$2:$C$43,3,FALSE),"..")</f>
        <v>72.816147461462435</v>
      </c>
      <c r="BV1737" s="129">
        <f>VLOOKUP($D1737,WGI!$C$2:$O$478,7,FALSE)</f>
        <v>9.0719139218499306E-2</v>
      </c>
      <c r="BW1737" s="129">
        <f>VLOOKUP($D1737,WGI!$C$2:$O$478,4,FALSE)</f>
        <v>-0.738042232413051</v>
      </c>
      <c r="BX1737" s="129">
        <f>VLOOKUP($D1737,WGI!$C$2:$O$478,3,FALSE)</f>
        <v>-0.145710327623474</v>
      </c>
      <c r="BY1737" s="129">
        <f>VLOOKUP($D1737,WGI!$C$2:$O$478,5,FALSE)</f>
        <v>0.476881348098389</v>
      </c>
      <c r="BZ1737" s="129">
        <f>VLOOKUP($D1737,WGI!$C$2:$O$478,2,FALSE)</f>
        <v>-0.248937037637317</v>
      </c>
    </row>
    <row r="1738" spans="1:78" ht="15" customHeight="1">
      <c r="A1738" s="407" t="s">
        <v>459</v>
      </c>
      <c r="B1738" s="408">
        <v>2011</v>
      </c>
      <c r="C1738" s="805" t="s">
        <v>449</v>
      </c>
      <c r="D1738" s="117" t="s">
        <v>3711</v>
      </c>
      <c r="E1738" s="409" t="s">
        <v>220</v>
      </c>
      <c r="F1738" s="410"/>
      <c r="G1738" s="621" t="s">
        <v>24</v>
      </c>
      <c r="H1738" s="117" t="str">
        <f t="shared" si="291"/>
        <v>yes</v>
      </c>
      <c r="I1738" s="117" t="str">
        <f t="shared" si="294"/>
        <v>no</v>
      </c>
      <c r="J1738" s="117" t="str">
        <f t="shared" si="295"/>
        <v>no</v>
      </c>
      <c r="K1738" s="410" t="s">
        <v>955</v>
      </c>
      <c r="L1738" s="117" t="str">
        <f t="shared" si="292"/>
        <v>detailed</v>
      </c>
      <c r="M1738" s="117" t="str">
        <f t="shared" si="296"/>
        <v>detailed Mining</v>
      </c>
      <c r="N1738" s="411">
        <v>2000</v>
      </c>
      <c r="O1738" s="411"/>
      <c r="P1738" s="411"/>
      <c r="Q1738" s="411"/>
      <c r="R1738" s="411"/>
      <c r="S1738" s="410" t="s">
        <v>610</v>
      </c>
      <c r="T1738" s="412">
        <v>12</v>
      </c>
      <c r="U1738" s="410" t="s">
        <v>611</v>
      </c>
      <c r="V1738" s="410" t="s">
        <v>2123</v>
      </c>
      <c r="W1738" s="413">
        <f t="shared" si="302"/>
        <v>24000</v>
      </c>
      <c r="X1738" s="410"/>
      <c r="Y1738" s="623"/>
      <c r="Z1738" s="623"/>
      <c r="AA1738" s="413"/>
      <c r="AB1738" s="413"/>
      <c r="AC1738" s="618"/>
      <c r="AD1738" s="618"/>
      <c r="AE1738" s="618"/>
      <c r="AF1738" s="619"/>
      <c r="AG1738" s="413"/>
      <c r="AH1738" s="417"/>
      <c r="AI1738" s="410"/>
      <c r="AJ1738" s="410"/>
      <c r="AK1738" s="413"/>
      <c r="AL1738" s="410"/>
      <c r="AM1738" s="410"/>
      <c r="AN1738" s="410"/>
      <c r="AO1738" s="410"/>
      <c r="AP1738" s="410"/>
      <c r="AQ1738" s="410"/>
      <c r="AR1738" s="410"/>
      <c r="AS1738" s="410"/>
      <c r="AT1738" s="410"/>
      <c r="AU1738" s="410"/>
      <c r="AV1738" s="419"/>
      <c r="AW1738" s="117">
        <f>VLOOKUP($D1738,'WB Data'!$C$3:$M$578,2,FALSE)</f>
        <v>170564249004.95398</v>
      </c>
      <c r="AX1738" s="117">
        <f>VLOOKUP($D1738,'WB Data'!$C$3:$M$578,3,FALSE)</f>
        <v>29614887</v>
      </c>
      <c r="AY1738" s="847">
        <f t="shared" si="298"/>
        <v>3.4499161760616619E-2</v>
      </c>
      <c r="AZ1738" s="117">
        <f>VLOOKUP($D1738,'WB Data'!$C$3:$M$578,4,FALSE)/100</f>
        <v>0.20943982120853646</v>
      </c>
      <c r="BA1738" s="117">
        <f t="shared" si="299"/>
        <v>35722945816.165855</v>
      </c>
      <c r="BB1738" s="129">
        <f>IFERROR(VLOOKUP($D1738,'EITI Revenues'!$C$2:$G$224,5,FALSE),"..")</f>
        <v>5884323617</v>
      </c>
      <c r="BC1738" s="846">
        <f t="shared" si="300"/>
        <v>0.16472111922911861</v>
      </c>
      <c r="BD1738" s="129">
        <f>VLOOKUP($D1738,'WB Data 2'!$C$2:$K$545,6,FALSE)</f>
        <v>29773224958.428841</v>
      </c>
      <c r="BE1738" s="129">
        <f>IFERROR(VLOOKUP($D1738,UNCTAD!$C$5:$V$529,4,FALSE),"..")</f>
        <v>50632851000</v>
      </c>
      <c r="BF1738" s="846">
        <f t="shared" si="301"/>
        <v>0.58802189429208407</v>
      </c>
      <c r="BG1738" s="117">
        <f>VLOOKUP($D1738,'WB Data'!$C$3:$M$578,5,FALSE)</f>
        <v>604820000</v>
      </c>
      <c r="BH1738" s="129">
        <f>IFERROR($BB1738/$BG1738,"..")</f>
        <v>9.7290493320326714</v>
      </c>
      <c r="BI1738" s="117">
        <f>IFERROR(VLOOKUP($D1738,'WB Data'!$C$3:$M$578,7,FALSE)/100,"..")</f>
        <v>2.5311699999999999E-2</v>
      </c>
      <c r="BJ1738" s="117">
        <f>IFERROR($BI1738*$AW1738,"..")</f>
        <v>4317271101.5386934</v>
      </c>
      <c r="BK1738" s="846">
        <f>IFERROR($BB1738/$BJ1738,"..")</f>
        <v>1.3629729240081316</v>
      </c>
      <c r="BL1738" s="117">
        <f>IFERROR(VLOOKUP($D1738,'WB Data'!$C$3:$M$578,7,FALSE)/100,"..")</f>
        <v>2.5311699999999999E-2</v>
      </c>
      <c r="BM1738" s="117">
        <f>IFERROR($AW1738*$BL1738,"..")</f>
        <v>4317271101.5386934</v>
      </c>
      <c r="BN1738" s="846">
        <f>IFERROR($BB1738/$BM1738,"..")</f>
        <v>1.3629729240081316</v>
      </c>
      <c r="BO1738" s="801">
        <f t="shared" si="297"/>
        <v>38</v>
      </c>
      <c r="BP1738" s="117">
        <f>VLOOKUP($D1738,'WB Data'!$C$3:$M$578,9,FALSE)</f>
        <v>27.8</v>
      </c>
      <c r="BQ1738" s="117">
        <f>VLOOKUP($D1738,'WB Data'!$C$3:$M$578,10,FALSE)</f>
        <v>74.210536585365858</v>
      </c>
      <c r="BR1738" s="117">
        <f>VLOOKUP($D1738,'WB Data'!$C$3:$M$578,11,FALSE)</f>
        <v>14.3</v>
      </c>
      <c r="BS1738" s="129">
        <f>IFERROR(VLOOKUP($D1738,'WB Data 2'!$C$2:$K$545,9,FALSE),"..")</f>
        <v>96.327079999999995</v>
      </c>
      <c r="BT1738" s="129">
        <f>_xlfn.IFNA(VLOOKUP($C1738,RGI!$A$2:$C$43,2,FALSE),"..")</f>
        <v>76.8</v>
      </c>
      <c r="BU1738" s="129">
        <f>_xlfn.IFNA(VLOOKUP($C1738,RGI!$A$2:$C$43,3,FALSE),"..")</f>
        <v>72.816147461462435</v>
      </c>
      <c r="BV1738" s="129">
        <f>VLOOKUP($D1738,WGI!$C$2:$O$478,7,FALSE)</f>
        <v>9.0719139218499306E-2</v>
      </c>
      <c r="BW1738" s="129">
        <f>VLOOKUP($D1738,WGI!$C$2:$O$478,4,FALSE)</f>
        <v>-0.738042232413051</v>
      </c>
      <c r="BX1738" s="129">
        <f>VLOOKUP($D1738,WGI!$C$2:$O$478,3,FALSE)</f>
        <v>-0.145710327623474</v>
      </c>
      <c r="BY1738" s="129">
        <f>VLOOKUP($D1738,WGI!$C$2:$O$478,5,FALSE)</f>
        <v>0.476881348098389</v>
      </c>
      <c r="BZ1738" s="129">
        <f>VLOOKUP($D1738,WGI!$C$2:$O$478,2,FALSE)</f>
        <v>-0.248937037637317</v>
      </c>
    </row>
    <row r="1739" spans="1:78" ht="15" customHeight="1">
      <c r="A1739" s="407" t="s">
        <v>459</v>
      </c>
      <c r="B1739" s="408">
        <v>2011</v>
      </c>
      <c r="C1739" s="805" t="s">
        <v>449</v>
      </c>
      <c r="D1739" s="117" t="s">
        <v>3711</v>
      </c>
      <c r="E1739" s="409" t="s">
        <v>220</v>
      </c>
      <c r="F1739" s="410"/>
      <c r="G1739" s="621" t="s">
        <v>24</v>
      </c>
      <c r="H1739" s="117" t="str">
        <f t="shared" si="291"/>
        <v>yes</v>
      </c>
      <c r="I1739" s="117" t="str">
        <f t="shared" si="294"/>
        <v>no</v>
      </c>
      <c r="J1739" s="117" t="str">
        <f t="shared" si="295"/>
        <v>no</v>
      </c>
      <c r="K1739" s="410" t="s">
        <v>1226</v>
      </c>
      <c r="L1739" s="117" t="str">
        <f t="shared" si="292"/>
        <v>detailed</v>
      </c>
      <c r="M1739" s="117" t="str">
        <f t="shared" si="296"/>
        <v>detailed Mining</v>
      </c>
      <c r="N1739" s="411">
        <v>331000</v>
      </c>
      <c r="O1739" s="411"/>
      <c r="P1739" s="411"/>
      <c r="Q1739" s="411"/>
      <c r="R1739" s="411"/>
      <c r="S1739" s="410" t="s">
        <v>610</v>
      </c>
      <c r="T1739" s="412">
        <v>18.5</v>
      </c>
      <c r="U1739" s="410" t="s">
        <v>611</v>
      </c>
      <c r="V1739" s="410" t="s">
        <v>2124</v>
      </c>
      <c r="W1739" s="413">
        <f t="shared" si="302"/>
        <v>6123500</v>
      </c>
      <c r="X1739" s="410"/>
      <c r="Y1739" s="623"/>
      <c r="Z1739" s="623"/>
      <c r="AA1739" s="413"/>
      <c r="AB1739" s="413"/>
      <c r="AC1739" s="618"/>
      <c r="AD1739" s="618"/>
      <c r="AE1739" s="618"/>
      <c r="AF1739" s="619"/>
      <c r="AG1739" s="413"/>
      <c r="AH1739" s="417"/>
      <c r="AI1739" s="410"/>
      <c r="AJ1739" s="410"/>
      <c r="AK1739" s="413"/>
      <c r="AL1739" s="410"/>
      <c r="AM1739" s="410"/>
      <c r="AN1739" s="410"/>
      <c r="AO1739" s="410"/>
      <c r="AP1739" s="410"/>
      <c r="AQ1739" s="410"/>
      <c r="AR1739" s="410"/>
      <c r="AS1739" s="410"/>
      <c r="AT1739" s="410"/>
      <c r="AU1739" s="410"/>
      <c r="AV1739" s="419"/>
      <c r="AW1739" s="117">
        <f>VLOOKUP($D1739,'WB Data'!$C$3:$M$578,2,FALSE)</f>
        <v>170564249004.95398</v>
      </c>
      <c r="AX1739" s="117">
        <f>VLOOKUP($D1739,'WB Data'!$C$3:$M$578,3,FALSE)</f>
        <v>29614887</v>
      </c>
      <c r="AY1739" s="847">
        <f t="shared" si="298"/>
        <v>3.4499161760616619E-2</v>
      </c>
      <c r="AZ1739" s="117">
        <f>VLOOKUP($D1739,'WB Data'!$C$3:$M$578,4,FALSE)/100</f>
        <v>0.20943982120853646</v>
      </c>
      <c r="BA1739" s="117">
        <f t="shared" si="299"/>
        <v>35722945816.165855</v>
      </c>
      <c r="BB1739" s="129">
        <f>IFERROR(VLOOKUP($D1739,'EITI Revenues'!$C$2:$G$224,5,FALSE),"..")</f>
        <v>5884323617</v>
      </c>
      <c r="BC1739" s="846">
        <f t="shared" si="300"/>
        <v>0.16472111922911861</v>
      </c>
      <c r="BD1739" s="129">
        <f>VLOOKUP($D1739,'WB Data 2'!$C$2:$K$545,6,FALSE)</f>
        <v>29773224958.428841</v>
      </c>
      <c r="BE1739" s="129">
        <f>IFERROR(VLOOKUP($D1739,UNCTAD!$C$5:$V$529,4,FALSE),"..")</f>
        <v>50632851000</v>
      </c>
      <c r="BF1739" s="846">
        <f t="shared" si="301"/>
        <v>0.58802189429208407</v>
      </c>
      <c r="BG1739" s="117">
        <f>VLOOKUP($D1739,'WB Data'!$C$3:$M$578,5,FALSE)</f>
        <v>604820000</v>
      </c>
      <c r="BH1739" s="129">
        <f>IFERROR($BB1739/$BG1739,"..")</f>
        <v>9.7290493320326714</v>
      </c>
      <c r="BI1739" s="117">
        <f>IFERROR(VLOOKUP($D1739,'WB Data'!$C$3:$M$578,7,FALSE)/100,"..")</f>
        <v>2.5311699999999999E-2</v>
      </c>
      <c r="BJ1739" s="117">
        <f>IFERROR($BI1739*$AW1739,"..")</f>
        <v>4317271101.5386934</v>
      </c>
      <c r="BK1739" s="846">
        <f>IFERROR($BB1739/$BJ1739,"..")</f>
        <v>1.3629729240081316</v>
      </c>
      <c r="BL1739" s="117">
        <f>IFERROR(VLOOKUP($D1739,'WB Data'!$C$3:$M$578,7,FALSE)/100,"..")</f>
        <v>2.5311699999999999E-2</v>
      </c>
      <c r="BM1739" s="117">
        <f>IFERROR($AW1739*$BL1739,"..")</f>
        <v>4317271101.5386934</v>
      </c>
      <c r="BN1739" s="846">
        <f>IFERROR($BB1739/$BM1739,"..")</f>
        <v>1.3629729240081316</v>
      </c>
      <c r="BO1739" s="801">
        <f t="shared" si="297"/>
        <v>38</v>
      </c>
      <c r="BP1739" s="117">
        <f>VLOOKUP($D1739,'WB Data'!$C$3:$M$578,9,FALSE)</f>
        <v>27.8</v>
      </c>
      <c r="BQ1739" s="117">
        <f>VLOOKUP($D1739,'WB Data'!$C$3:$M$578,10,FALSE)</f>
        <v>74.210536585365858</v>
      </c>
      <c r="BR1739" s="117">
        <f>VLOOKUP($D1739,'WB Data'!$C$3:$M$578,11,FALSE)</f>
        <v>14.3</v>
      </c>
      <c r="BS1739" s="129">
        <f>IFERROR(VLOOKUP($D1739,'WB Data 2'!$C$2:$K$545,9,FALSE),"..")</f>
        <v>96.327079999999995</v>
      </c>
      <c r="BT1739" s="129">
        <f>_xlfn.IFNA(VLOOKUP($C1739,RGI!$A$2:$C$43,2,FALSE),"..")</f>
        <v>76.8</v>
      </c>
      <c r="BU1739" s="129">
        <f>_xlfn.IFNA(VLOOKUP($C1739,RGI!$A$2:$C$43,3,FALSE),"..")</f>
        <v>72.816147461462435</v>
      </c>
      <c r="BV1739" s="129">
        <f>VLOOKUP($D1739,WGI!$C$2:$O$478,7,FALSE)</f>
        <v>9.0719139218499306E-2</v>
      </c>
      <c r="BW1739" s="129">
        <f>VLOOKUP($D1739,WGI!$C$2:$O$478,4,FALSE)</f>
        <v>-0.738042232413051</v>
      </c>
      <c r="BX1739" s="129">
        <f>VLOOKUP($D1739,WGI!$C$2:$O$478,3,FALSE)</f>
        <v>-0.145710327623474</v>
      </c>
      <c r="BY1739" s="129">
        <f>VLOOKUP($D1739,WGI!$C$2:$O$478,5,FALSE)</f>
        <v>0.476881348098389</v>
      </c>
      <c r="BZ1739" s="129">
        <f>VLOOKUP($D1739,WGI!$C$2:$O$478,2,FALSE)</f>
        <v>-0.248937037637317</v>
      </c>
    </row>
    <row r="1740" spans="1:78" ht="15" customHeight="1">
      <c r="A1740" s="407" t="s">
        <v>459</v>
      </c>
      <c r="B1740" s="408">
        <v>2011</v>
      </c>
      <c r="C1740" s="805" t="s">
        <v>449</v>
      </c>
      <c r="D1740" s="117" t="s">
        <v>3711</v>
      </c>
      <c r="E1740" s="409" t="s">
        <v>220</v>
      </c>
      <c r="F1740" s="410"/>
      <c r="G1740" s="621" t="s">
        <v>24</v>
      </c>
      <c r="H1740" s="117" t="str">
        <f t="shared" si="291"/>
        <v>yes</v>
      </c>
      <c r="I1740" s="117" t="str">
        <f t="shared" si="294"/>
        <v>no</v>
      </c>
      <c r="J1740" s="117" t="str">
        <f t="shared" si="295"/>
        <v>no</v>
      </c>
      <c r="K1740" s="410" t="s">
        <v>2037</v>
      </c>
      <c r="L1740" s="117" t="str">
        <f t="shared" si="292"/>
        <v>detailed</v>
      </c>
      <c r="M1740" s="117" t="str">
        <f t="shared" si="296"/>
        <v>detailed Mining</v>
      </c>
      <c r="N1740" s="411">
        <v>2000</v>
      </c>
      <c r="O1740" s="411"/>
      <c r="P1740" s="411"/>
      <c r="Q1740" s="411"/>
      <c r="R1740" s="411"/>
      <c r="S1740" s="410" t="s">
        <v>967</v>
      </c>
      <c r="T1740" s="412">
        <v>720</v>
      </c>
      <c r="U1740" s="410" t="s">
        <v>1874</v>
      </c>
      <c r="V1740" s="410" t="s">
        <v>2073</v>
      </c>
      <c r="W1740" s="413">
        <f t="shared" si="302"/>
        <v>1440000</v>
      </c>
      <c r="X1740" s="410"/>
      <c r="Y1740" s="623"/>
      <c r="Z1740" s="623"/>
      <c r="AA1740" s="413"/>
      <c r="AB1740" s="413"/>
      <c r="AC1740" s="618"/>
      <c r="AD1740" s="618"/>
      <c r="AE1740" s="618"/>
      <c r="AF1740" s="619"/>
      <c r="AG1740" s="413"/>
      <c r="AH1740" s="417"/>
      <c r="AI1740" s="410"/>
      <c r="AJ1740" s="410"/>
      <c r="AK1740" s="413"/>
      <c r="AL1740" s="410"/>
      <c r="AM1740" s="410"/>
      <c r="AN1740" s="410"/>
      <c r="AO1740" s="410"/>
      <c r="AP1740" s="410"/>
      <c r="AQ1740" s="410"/>
      <c r="AR1740" s="410"/>
      <c r="AS1740" s="410"/>
      <c r="AT1740" s="410"/>
      <c r="AU1740" s="410"/>
      <c r="AV1740" s="419"/>
      <c r="AW1740" s="117">
        <f>VLOOKUP($D1740,'WB Data'!$C$3:$M$578,2,FALSE)</f>
        <v>170564249004.95398</v>
      </c>
      <c r="AX1740" s="117">
        <f>VLOOKUP($D1740,'WB Data'!$C$3:$M$578,3,FALSE)</f>
        <v>29614887</v>
      </c>
      <c r="AY1740" s="847">
        <f t="shared" si="298"/>
        <v>3.4499161760616619E-2</v>
      </c>
      <c r="AZ1740" s="117">
        <f>VLOOKUP($D1740,'WB Data'!$C$3:$M$578,4,FALSE)/100</f>
        <v>0.20943982120853646</v>
      </c>
      <c r="BA1740" s="117">
        <f t="shared" si="299"/>
        <v>35722945816.165855</v>
      </c>
      <c r="BB1740" s="129">
        <f>IFERROR(VLOOKUP($D1740,'EITI Revenues'!$C$2:$G$224,5,FALSE),"..")</f>
        <v>5884323617</v>
      </c>
      <c r="BC1740" s="846">
        <f t="shared" si="300"/>
        <v>0.16472111922911861</v>
      </c>
      <c r="BD1740" s="129">
        <f>VLOOKUP($D1740,'WB Data 2'!$C$2:$K$545,6,FALSE)</f>
        <v>29773224958.428841</v>
      </c>
      <c r="BE1740" s="129">
        <f>IFERROR(VLOOKUP($D1740,UNCTAD!$C$5:$V$529,4,FALSE),"..")</f>
        <v>50632851000</v>
      </c>
      <c r="BF1740" s="846">
        <f t="shared" si="301"/>
        <v>0.58802189429208407</v>
      </c>
      <c r="BG1740" s="117">
        <f>VLOOKUP($D1740,'WB Data'!$C$3:$M$578,5,FALSE)</f>
        <v>604820000</v>
      </c>
      <c r="BH1740" s="129">
        <f>IFERROR($BB1740/$BG1740,"..")</f>
        <v>9.7290493320326714</v>
      </c>
      <c r="BI1740" s="117">
        <f>IFERROR(VLOOKUP($D1740,'WB Data'!$C$3:$M$578,7,FALSE)/100,"..")</f>
        <v>2.5311699999999999E-2</v>
      </c>
      <c r="BJ1740" s="117">
        <f>IFERROR($BI1740*$AW1740,"..")</f>
        <v>4317271101.5386934</v>
      </c>
      <c r="BK1740" s="846">
        <f>IFERROR($BB1740/$BJ1740,"..")</f>
        <v>1.3629729240081316</v>
      </c>
      <c r="BL1740" s="117">
        <f>IFERROR(VLOOKUP($D1740,'WB Data'!$C$3:$M$578,7,FALSE)/100,"..")</f>
        <v>2.5311699999999999E-2</v>
      </c>
      <c r="BM1740" s="117">
        <f>IFERROR($AW1740*$BL1740,"..")</f>
        <v>4317271101.5386934</v>
      </c>
      <c r="BN1740" s="846">
        <f>IFERROR($BB1740/$BM1740,"..")</f>
        <v>1.3629729240081316</v>
      </c>
      <c r="BO1740" s="801">
        <f t="shared" si="297"/>
        <v>38</v>
      </c>
      <c r="BP1740" s="117">
        <f>VLOOKUP($D1740,'WB Data'!$C$3:$M$578,9,FALSE)</f>
        <v>27.8</v>
      </c>
      <c r="BQ1740" s="117">
        <f>VLOOKUP($D1740,'WB Data'!$C$3:$M$578,10,FALSE)</f>
        <v>74.210536585365858</v>
      </c>
      <c r="BR1740" s="117">
        <f>VLOOKUP($D1740,'WB Data'!$C$3:$M$578,11,FALSE)</f>
        <v>14.3</v>
      </c>
      <c r="BS1740" s="129">
        <f>IFERROR(VLOOKUP($D1740,'WB Data 2'!$C$2:$K$545,9,FALSE),"..")</f>
        <v>96.327079999999995</v>
      </c>
      <c r="BT1740" s="129">
        <f>_xlfn.IFNA(VLOOKUP($C1740,RGI!$A$2:$C$43,2,FALSE),"..")</f>
        <v>76.8</v>
      </c>
      <c r="BU1740" s="129">
        <f>_xlfn.IFNA(VLOOKUP($C1740,RGI!$A$2:$C$43,3,FALSE),"..")</f>
        <v>72.816147461462435</v>
      </c>
      <c r="BV1740" s="129">
        <f>VLOOKUP($D1740,WGI!$C$2:$O$478,7,FALSE)</f>
        <v>9.0719139218499306E-2</v>
      </c>
      <c r="BW1740" s="129">
        <f>VLOOKUP($D1740,WGI!$C$2:$O$478,4,FALSE)</f>
        <v>-0.738042232413051</v>
      </c>
      <c r="BX1740" s="129">
        <f>VLOOKUP($D1740,WGI!$C$2:$O$478,3,FALSE)</f>
        <v>-0.145710327623474</v>
      </c>
      <c r="BY1740" s="129">
        <f>VLOOKUP($D1740,WGI!$C$2:$O$478,5,FALSE)</f>
        <v>0.476881348098389</v>
      </c>
      <c r="BZ1740" s="129">
        <f>VLOOKUP($D1740,WGI!$C$2:$O$478,2,FALSE)</f>
        <v>-0.248937037637317</v>
      </c>
    </row>
    <row r="1741" spans="1:78" ht="15" customHeight="1">
      <c r="A1741" s="407" t="s">
        <v>459</v>
      </c>
      <c r="B1741" s="408">
        <v>2011</v>
      </c>
      <c r="C1741" s="805" t="s">
        <v>449</v>
      </c>
      <c r="D1741" s="117" t="s">
        <v>3711</v>
      </c>
      <c r="E1741" s="409" t="s">
        <v>220</v>
      </c>
      <c r="F1741" s="410"/>
      <c r="G1741" s="621" t="s">
        <v>24</v>
      </c>
      <c r="H1741" s="117" t="str">
        <f t="shared" si="291"/>
        <v>yes</v>
      </c>
      <c r="I1741" s="117" t="str">
        <f t="shared" si="294"/>
        <v>no</v>
      </c>
      <c r="J1741" s="117" t="str">
        <f t="shared" si="295"/>
        <v>no</v>
      </c>
      <c r="K1741" s="410" t="s">
        <v>1228</v>
      </c>
      <c r="L1741" s="117" t="str">
        <f t="shared" si="292"/>
        <v>detailed</v>
      </c>
      <c r="M1741" s="117" t="str">
        <f t="shared" si="296"/>
        <v>detailed Mining</v>
      </c>
      <c r="N1741" s="411">
        <v>10626000</v>
      </c>
      <c r="O1741" s="411"/>
      <c r="P1741" s="411"/>
      <c r="Q1741" s="411"/>
      <c r="R1741" s="411"/>
      <c r="S1741" s="410" t="s">
        <v>610</v>
      </c>
      <c r="T1741" s="412">
        <v>167.75416666666999</v>
      </c>
      <c r="U1741" s="410" t="s">
        <v>611</v>
      </c>
      <c r="V1741" s="410" t="s">
        <v>1431</v>
      </c>
      <c r="W1741" s="413">
        <f t="shared" si="302"/>
        <v>1782555775.0000353</v>
      </c>
      <c r="X1741" s="410"/>
      <c r="Y1741" s="623"/>
      <c r="Z1741" s="623"/>
      <c r="AA1741" s="413"/>
      <c r="AB1741" s="413"/>
      <c r="AC1741" s="618"/>
      <c r="AD1741" s="618"/>
      <c r="AE1741" s="618"/>
      <c r="AF1741" s="619"/>
      <c r="AG1741" s="413"/>
      <c r="AH1741" s="417"/>
      <c r="AI1741" s="410"/>
      <c r="AJ1741" s="410"/>
      <c r="AK1741" s="413"/>
      <c r="AL1741" s="410"/>
      <c r="AM1741" s="410"/>
      <c r="AN1741" s="410"/>
      <c r="AO1741" s="410"/>
      <c r="AP1741" s="410"/>
      <c r="AQ1741" s="410"/>
      <c r="AR1741" s="410"/>
      <c r="AS1741" s="410"/>
      <c r="AT1741" s="410"/>
      <c r="AU1741" s="410"/>
      <c r="AV1741" s="419"/>
      <c r="AW1741" s="117">
        <f>VLOOKUP($D1741,'WB Data'!$C$3:$M$578,2,FALSE)</f>
        <v>170564249004.95398</v>
      </c>
      <c r="AX1741" s="117">
        <f>VLOOKUP($D1741,'WB Data'!$C$3:$M$578,3,FALSE)</f>
        <v>29614887</v>
      </c>
      <c r="AY1741" s="847">
        <f t="shared" si="298"/>
        <v>3.4499161760616619E-2</v>
      </c>
      <c r="AZ1741" s="117">
        <f>VLOOKUP($D1741,'WB Data'!$C$3:$M$578,4,FALSE)/100</f>
        <v>0.20943982120853646</v>
      </c>
      <c r="BA1741" s="117">
        <f t="shared" si="299"/>
        <v>35722945816.165855</v>
      </c>
      <c r="BB1741" s="129">
        <f>IFERROR(VLOOKUP($D1741,'EITI Revenues'!$C$2:$G$224,5,FALSE),"..")</f>
        <v>5884323617</v>
      </c>
      <c r="BC1741" s="846">
        <f t="shared" si="300"/>
        <v>0.16472111922911861</v>
      </c>
      <c r="BD1741" s="129">
        <f>VLOOKUP($D1741,'WB Data 2'!$C$2:$K$545,6,FALSE)</f>
        <v>29773224958.428841</v>
      </c>
      <c r="BE1741" s="129">
        <f>IFERROR(VLOOKUP($D1741,UNCTAD!$C$5:$V$529,4,FALSE),"..")</f>
        <v>50632851000</v>
      </c>
      <c r="BF1741" s="846">
        <f t="shared" si="301"/>
        <v>0.58802189429208407</v>
      </c>
      <c r="BG1741" s="117">
        <f>VLOOKUP($D1741,'WB Data'!$C$3:$M$578,5,FALSE)</f>
        <v>604820000</v>
      </c>
      <c r="BH1741" s="129">
        <f>IFERROR($BB1741/$BG1741,"..")</f>
        <v>9.7290493320326714</v>
      </c>
      <c r="BI1741" s="117">
        <f>IFERROR(VLOOKUP($D1741,'WB Data'!$C$3:$M$578,7,FALSE)/100,"..")</f>
        <v>2.5311699999999999E-2</v>
      </c>
      <c r="BJ1741" s="117">
        <f>IFERROR($BI1741*$AW1741,"..")</f>
        <v>4317271101.5386934</v>
      </c>
      <c r="BK1741" s="846">
        <f>IFERROR($BB1741/$BJ1741,"..")</f>
        <v>1.3629729240081316</v>
      </c>
      <c r="BL1741" s="117">
        <f>IFERROR(VLOOKUP($D1741,'WB Data'!$C$3:$M$578,7,FALSE)/100,"..")</f>
        <v>2.5311699999999999E-2</v>
      </c>
      <c r="BM1741" s="117">
        <f>IFERROR($AW1741*$BL1741,"..")</f>
        <v>4317271101.5386934</v>
      </c>
      <c r="BN1741" s="846">
        <f>IFERROR($BB1741/$BM1741,"..")</f>
        <v>1.3629729240081316</v>
      </c>
      <c r="BO1741" s="801">
        <f t="shared" si="297"/>
        <v>38</v>
      </c>
      <c r="BP1741" s="117">
        <f>VLOOKUP($D1741,'WB Data'!$C$3:$M$578,9,FALSE)</f>
        <v>27.8</v>
      </c>
      <c r="BQ1741" s="117">
        <f>VLOOKUP($D1741,'WB Data'!$C$3:$M$578,10,FALSE)</f>
        <v>74.210536585365858</v>
      </c>
      <c r="BR1741" s="117">
        <f>VLOOKUP($D1741,'WB Data'!$C$3:$M$578,11,FALSE)</f>
        <v>14.3</v>
      </c>
      <c r="BS1741" s="129">
        <f>IFERROR(VLOOKUP($D1741,'WB Data 2'!$C$2:$K$545,9,FALSE),"..")</f>
        <v>96.327079999999995</v>
      </c>
      <c r="BT1741" s="129">
        <f>_xlfn.IFNA(VLOOKUP($C1741,RGI!$A$2:$C$43,2,FALSE),"..")</f>
        <v>76.8</v>
      </c>
      <c r="BU1741" s="129">
        <f>_xlfn.IFNA(VLOOKUP($C1741,RGI!$A$2:$C$43,3,FALSE),"..")</f>
        <v>72.816147461462435</v>
      </c>
      <c r="BV1741" s="129">
        <f>VLOOKUP($D1741,WGI!$C$2:$O$478,7,FALSE)</f>
        <v>9.0719139218499306E-2</v>
      </c>
      <c r="BW1741" s="129">
        <f>VLOOKUP($D1741,WGI!$C$2:$O$478,4,FALSE)</f>
        <v>-0.738042232413051</v>
      </c>
      <c r="BX1741" s="129">
        <f>VLOOKUP($D1741,WGI!$C$2:$O$478,3,FALSE)</f>
        <v>-0.145710327623474</v>
      </c>
      <c r="BY1741" s="129">
        <f>VLOOKUP($D1741,WGI!$C$2:$O$478,5,FALSE)</f>
        <v>0.476881348098389</v>
      </c>
      <c r="BZ1741" s="129">
        <f>VLOOKUP($D1741,WGI!$C$2:$O$478,2,FALSE)</f>
        <v>-0.248937037637317</v>
      </c>
    </row>
    <row r="1742" spans="1:78" ht="15" customHeight="1">
      <c r="A1742" s="407" t="s">
        <v>459</v>
      </c>
      <c r="B1742" s="408">
        <v>2011</v>
      </c>
      <c r="C1742" s="805" t="s">
        <v>449</v>
      </c>
      <c r="D1742" s="117" t="s">
        <v>3711</v>
      </c>
      <c r="E1742" s="409" t="s">
        <v>220</v>
      </c>
      <c r="F1742" s="410"/>
      <c r="G1742" s="621" t="s">
        <v>24</v>
      </c>
      <c r="H1742" s="117" t="str">
        <f t="shared" si="291"/>
        <v>yes</v>
      </c>
      <c r="I1742" s="117" t="str">
        <f t="shared" si="294"/>
        <v>no</v>
      </c>
      <c r="J1742" s="117" t="str">
        <f t="shared" si="295"/>
        <v>no</v>
      </c>
      <c r="K1742" s="410" t="s">
        <v>1230</v>
      </c>
      <c r="L1742" s="117" t="str">
        <f t="shared" si="292"/>
        <v>detailed</v>
      </c>
      <c r="M1742" s="117" t="str">
        <f t="shared" si="296"/>
        <v>detailed Mining</v>
      </c>
      <c r="N1742" s="411">
        <v>18169</v>
      </c>
      <c r="O1742" s="411"/>
      <c r="P1742" s="411"/>
      <c r="Q1742" s="411"/>
      <c r="R1742" s="411"/>
      <c r="S1742" s="410" t="s">
        <v>610</v>
      </c>
      <c r="T1742" s="412">
        <v>143</v>
      </c>
      <c r="U1742" s="410" t="s">
        <v>611</v>
      </c>
      <c r="V1742" s="410" t="s">
        <v>2125</v>
      </c>
      <c r="W1742" s="413">
        <f t="shared" si="302"/>
        <v>2598167</v>
      </c>
      <c r="X1742" s="410"/>
      <c r="Y1742" s="623"/>
      <c r="Z1742" s="623"/>
      <c r="AA1742" s="413"/>
      <c r="AB1742" s="413"/>
      <c r="AC1742" s="618"/>
      <c r="AD1742" s="618"/>
      <c r="AE1742" s="618"/>
      <c r="AF1742" s="619"/>
      <c r="AG1742" s="413"/>
      <c r="AH1742" s="417"/>
      <c r="AI1742" s="410"/>
      <c r="AJ1742" s="410"/>
      <c r="AK1742" s="413"/>
      <c r="AL1742" s="410"/>
      <c r="AM1742" s="410"/>
      <c r="AN1742" s="410"/>
      <c r="AO1742" s="410"/>
      <c r="AP1742" s="410"/>
      <c r="AQ1742" s="410"/>
      <c r="AR1742" s="410"/>
      <c r="AS1742" s="410"/>
      <c r="AT1742" s="410"/>
      <c r="AU1742" s="410"/>
      <c r="AV1742" s="419"/>
      <c r="AW1742" s="117">
        <f>VLOOKUP($D1742,'WB Data'!$C$3:$M$578,2,FALSE)</f>
        <v>170564249004.95398</v>
      </c>
      <c r="AX1742" s="117">
        <f>VLOOKUP($D1742,'WB Data'!$C$3:$M$578,3,FALSE)</f>
        <v>29614887</v>
      </c>
      <c r="AY1742" s="847">
        <f t="shared" si="298"/>
        <v>3.4499161760616619E-2</v>
      </c>
      <c r="AZ1742" s="117">
        <f>VLOOKUP($D1742,'WB Data'!$C$3:$M$578,4,FALSE)/100</f>
        <v>0.20943982120853646</v>
      </c>
      <c r="BA1742" s="117">
        <f t="shared" si="299"/>
        <v>35722945816.165855</v>
      </c>
      <c r="BB1742" s="129">
        <f>IFERROR(VLOOKUP($D1742,'EITI Revenues'!$C$2:$G$224,5,FALSE),"..")</f>
        <v>5884323617</v>
      </c>
      <c r="BC1742" s="846">
        <f t="shared" si="300"/>
        <v>0.16472111922911861</v>
      </c>
      <c r="BD1742" s="129">
        <f>VLOOKUP($D1742,'WB Data 2'!$C$2:$K$545,6,FALSE)</f>
        <v>29773224958.428841</v>
      </c>
      <c r="BE1742" s="129">
        <f>IFERROR(VLOOKUP($D1742,UNCTAD!$C$5:$V$529,4,FALSE),"..")</f>
        <v>50632851000</v>
      </c>
      <c r="BF1742" s="846">
        <f t="shared" si="301"/>
        <v>0.58802189429208407</v>
      </c>
      <c r="BG1742" s="117">
        <f>VLOOKUP($D1742,'WB Data'!$C$3:$M$578,5,FALSE)</f>
        <v>604820000</v>
      </c>
      <c r="BH1742" s="129">
        <f>IFERROR($BB1742/$BG1742,"..")</f>
        <v>9.7290493320326714</v>
      </c>
      <c r="BI1742" s="117">
        <f>IFERROR(VLOOKUP($D1742,'WB Data'!$C$3:$M$578,7,FALSE)/100,"..")</f>
        <v>2.5311699999999999E-2</v>
      </c>
      <c r="BJ1742" s="117">
        <f>IFERROR($BI1742*$AW1742,"..")</f>
        <v>4317271101.5386934</v>
      </c>
      <c r="BK1742" s="846">
        <f>IFERROR($BB1742/$BJ1742,"..")</f>
        <v>1.3629729240081316</v>
      </c>
      <c r="BL1742" s="117">
        <f>IFERROR(VLOOKUP($D1742,'WB Data'!$C$3:$M$578,7,FALSE)/100,"..")</f>
        <v>2.5311699999999999E-2</v>
      </c>
      <c r="BM1742" s="117">
        <f>IFERROR($AW1742*$BL1742,"..")</f>
        <v>4317271101.5386934</v>
      </c>
      <c r="BN1742" s="846">
        <f>IFERROR($BB1742/$BM1742,"..")</f>
        <v>1.3629729240081316</v>
      </c>
      <c r="BO1742" s="801">
        <f t="shared" si="297"/>
        <v>38</v>
      </c>
      <c r="BP1742" s="117">
        <f>VLOOKUP($D1742,'WB Data'!$C$3:$M$578,9,FALSE)</f>
        <v>27.8</v>
      </c>
      <c r="BQ1742" s="117">
        <f>VLOOKUP($D1742,'WB Data'!$C$3:$M$578,10,FALSE)</f>
        <v>74.210536585365858</v>
      </c>
      <c r="BR1742" s="117">
        <f>VLOOKUP($D1742,'WB Data'!$C$3:$M$578,11,FALSE)</f>
        <v>14.3</v>
      </c>
      <c r="BS1742" s="129">
        <f>IFERROR(VLOOKUP($D1742,'WB Data 2'!$C$2:$K$545,9,FALSE),"..")</f>
        <v>96.327079999999995</v>
      </c>
      <c r="BT1742" s="129">
        <f>_xlfn.IFNA(VLOOKUP($C1742,RGI!$A$2:$C$43,2,FALSE),"..")</f>
        <v>76.8</v>
      </c>
      <c r="BU1742" s="129">
        <f>_xlfn.IFNA(VLOOKUP($C1742,RGI!$A$2:$C$43,3,FALSE),"..")</f>
        <v>72.816147461462435</v>
      </c>
      <c r="BV1742" s="129">
        <f>VLOOKUP($D1742,WGI!$C$2:$O$478,7,FALSE)</f>
        <v>9.0719139218499306E-2</v>
      </c>
      <c r="BW1742" s="129">
        <f>VLOOKUP($D1742,WGI!$C$2:$O$478,4,FALSE)</f>
        <v>-0.738042232413051</v>
      </c>
      <c r="BX1742" s="129">
        <f>VLOOKUP($D1742,WGI!$C$2:$O$478,3,FALSE)</f>
        <v>-0.145710327623474</v>
      </c>
      <c r="BY1742" s="129">
        <f>VLOOKUP($D1742,WGI!$C$2:$O$478,5,FALSE)</f>
        <v>0.476881348098389</v>
      </c>
      <c r="BZ1742" s="129">
        <f>VLOOKUP($D1742,WGI!$C$2:$O$478,2,FALSE)</f>
        <v>-0.248937037637317</v>
      </c>
    </row>
    <row r="1743" spans="1:78" ht="15" customHeight="1">
      <c r="A1743" s="407" t="s">
        <v>459</v>
      </c>
      <c r="B1743" s="408">
        <v>2011</v>
      </c>
      <c r="C1743" s="805" t="s">
        <v>449</v>
      </c>
      <c r="D1743" s="117" t="s">
        <v>3711</v>
      </c>
      <c r="E1743" s="409" t="s">
        <v>220</v>
      </c>
      <c r="F1743" s="410"/>
      <c r="G1743" s="621" t="s">
        <v>24</v>
      </c>
      <c r="H1743" s="117" t="str">
        <f t="shared" si="291"/>
        <v>yes</v>
      </c>
      <c r="I1743" s="117" t="str">
        <f t="shared" si="294"/>
        <v>no</v>
      </c>
      <c r="J1743" s="117" t="str">
        <f t="shared" si="295"/>
        <v>no</v>
      </c>
      <c r="K1743" s="410" t="s">
        <v>1473</v>
      </c>
      <c r="L1743" s="117" t="str">
        <f t="shared" si="292"/>
        <v>detailed</v>
      </c>
      <c r="M1743" s="117" t="str">
        <f t="shared" si="296"/>
        <v>detailed Mining</v>
      </c>
      <c r="N1743" s="411"/>
      <c r="O1743" s="411"/>
      <c r="P1743" s="411"/>
      <c r="Q1743" s="411"/>
      <c r="R1743" s="411"/>
      <c r="S1743" s="410"/>
      <c r="T1743" s="622">
        <v>2400.8120833333301</v>
      </c>
      <c r="U1743" s="410" t="s">
        <v>611</v>
      </c>
      <c r="V1743" s="410" t="s">
        <v>2040</v>
      </c>
      <c r="W1743" s="413">
        <f>N1745*T1743</f>
        <v>48597238.190833271</v>
      </c>
      <c r="X1743" s="410"/>
      <c r="Y1743" s="413"/>
      <c r="Z1743" s="413"/>
      <c r="AA1743" s="410"/>
      <c r="AB1743" s="410"/>
      <c r="AC1743" s="624"/>
      <c r="AD1743" s="624"/>
      <c r="AE1743" s="624"/>
      <c r="AF1743" s="625"/>
      <c r="AG1743" s="413"/>
      <c r="AH1743" s="417"/>
      <c r="AI1743" s="410"/>
      <c r="AJ1743" s="410"/>
      <c r="AK1743" s="413"/>
      <c r="AL1743" s="410"/>
      <c r="AM1743" s="410"/>
      <c r="AN1743" s="410"/>
      <c r="AO1743" s="410"/>
      <c r="AP1743" s="410"/>
      <c r="AQ1743" s="410"/>
      <c r="AR1743" s="410"/>
      <c r="AS1743" s="410"/>
      <c r="AT1743" s="410"/>
      <c r="AU1743" s="410"/>
      <c r="AV1743" s="419"/>
      <c r="AW1743" s="117">
        <f>VLOOKUP($D1743,'WB Data'!$C$3:$M$578,2,FALSE)</f>
        <v>170564249004.95398</v>
      </c>
      <c r="AX1743" s="117">
        <f>VLOOKUP($D1743,'WB Data'!$C$3:$M$578,3,FALSE)</f>
        <v>29614887</v>
      </c>
      <c r="AY1743" s="847">
        <f t="shared" si="298"/>
        <v>3.4499161760616619E-2</v>
      </c>
      <c r="AZ1743" s="117">
        <f>VLOOKUP($D1743,'WB Data'!$C$3:$M$578,4,FALSE)/100</f>
        <v>0.20943982120853646</v>
      </c>
      <c r="BA1743" s="117">
        <f t="shared" si="299"/>
        <v>35722945816.165855</v>
      </c>
      <c r="BB1743" s="129">
        <f>IFERROR(VLOOKUP($D1743,'EITI Revenues'!$C$2:$G$224,5,FALSE),"..")</f>
        <v>5884323617</v>
      </c>
      <c r="BC1743" s="846">
        <f t="shared" si="300"/>
        <v>0.16472111922911861</v>
      </c>
      <c r="BD1743" s="129">
        <f>VLOOKUP($D1743,'WB Data 2'!$C$2:$K$545,6,FALSE)</f>
        <v>29773224958.428841</v>
      </c>
      <c r="BE1743" s="129">
        <f>IFERROR(VLOOKUP($D1743,UNCTAD!$C$5:$V$529,4,FALSE),"..")</f>
        <v>50632851000</v>
      </c>
      <c r="BF1743" s="846">
        <f t="shared" si="301"/>
        <v>0.58802189429208407</v>
      </c>
      <c r="BG1743" s="117">
        <f>VLOOKUP($D1743,'WB Data'!$C$3:$M$578,5,FALSE)</f>
        <v>604820000</v>
      </c>
      <c r="BH1743" s="129">
        <f>IFERROR($BB1743/$BG1743,"..")</f>
        <v>9.7290493320326714</v>
      </c>
      <c r="BI1743" s="117">
        <f>IFERROR(VLOOKUP($D1743,'WB Data'!$C$3:$M$578,7,FALSE)/100,"..")</f>
        <v>2.5311699999999999E-2</v>
      </c>
      <c r="BJ1743" s="117">
        <f>IFERROR($BI1743*$AW1743,"..")</f>
        <v>4317271101.5386934</v>
      </c>
      <c r="BK1743" s="846">
        <f>IFERROR($BB1743/$BJ1743,"..")</f>
        <v>1.3629729240081316</v>
      </c>
      <c r="BL1743" s="117">
        <f>IFERROR(VLOOKUP($D1743,'WB Data'!$C$3:$M$578,7,FALSE)/100,"..")</f>
        <v>2.5311699999999999E-2</v>
      </c>
      <c r="BM1743" s="117">
        <f>IFERROR($AW1743*$BL1743,"..")</f>
        <v>4317271101.5386934</v>
      </c>
      <c r="BN1743" s="846">
        <f>IFERROR($BB1743/$BM1743,"..")</f>
        <v>1.3629729240081316</v>
      </c>
      <c r="BO1743" s="801">
        <f t="shared" si="297"/>
        <v>38</v>
      </c>
      <c r="BP1743" s="117">
        <f>VLOOKUP($D1743,'WB Data'!$C$3:$M$578,9,FALSE)</f>
        <v>27.8</v>
      </c>
      <c r="BQ1743" s="117">
        <f>VLOOKUP($D1743,'WB Data'!$C$3:$M$578,10,FALSE)</f>
        <v>74.210536585365858</v>
      </c>
      <c r="BR1743" s="117">
        <f>VLOOKUP($D1743,'WB Data'!$C$3:$M$578,11,FALSE)</f>
        <v>14.3</v>
      </c>
      <c r="BS1743" s="129">
        <f>IFERROR(VLOOKUP($D1743,'WB Data 2'!$C$2:$K$545,9,FALSE),"..")</f>
        <v>96.327079999999995</v>
      </c>
      <c r="BT1743" s="129">
        <f>_xlfn.IFNA(VLOOKUP($C1743,RGI!$A$2:$C$43,2,FALSE),"..")</f>
        <v>76.8</v>
      </c>
      <c r="BU1743" s="129">
        <f>_xlfn.IFNA(VLOOKUP($C1743,RGI!$A$2:$C$43,3,FALSE),"..")</f>
        <v>72.816147461462435</v>
      </c>
      <c r="BV1743" s="129">
        <f>VLOOKUP($D1743,WGI!$C$2:$O$478,7,FALSE)</f>
        <v>9.0719139218499306E-2</v>
      </c>
      <c r="BW1743" s="129">
        <f>VLOOKUP($D1743,WGI!$C$2:$O$478,4,FALSE)</f>
        <v>-0.738042232413051</v>
      </c>
      <c r="BX1743" s="129">
        <f>VLOOKUP($D1743,WGI!$C$2:$O$478,3,FALSE)</f>
        <v>-0.145710327623474</v>
      </c>
      <c r="BY1743" s="129">
        <f>VLOOKUP($D1743,WGI!$C$2:$O$478,5,FALSE)</f>
        <v>0.476881348098389</v>
      </c>
      <c r="BZ1743" s="129">
        <f>VLOOKUP($D1743,WGI!$C$2:$O$478,2,FALSE)</f>
        <v>-0.248937037637317</v>
      </c>
    </row>
    <row r="1744" spans="1:78" ht="15" customHeight="1">
      <c r="A1744" s="407" t="s">
        <v>459</v>
      </c>
      <c r="B1744" s="408">
        <v>2011</v>
      </c>
      <c r="C1744" s="805" t="s">
        <v>449</v>
      </c>
      <c r="D1744" s="117" t="s">
        <v>3711</v>
      </c>
      <c r="E1744" s="409" t="s">
        <v>220</v>
      </c>
      <c r="F1744" s="410"/>
      <c r="G1744" s="621" t="s">
        <v>24</v>
      </c>
      <c r="H1744" s="117" t="str">
        <f t="shared" si="291"/>
        <v>yes</v>
      </c>
      <c r="I1744" s="117" t="str">
        <f t="shared" si="294"/>
        <v>no</v>
      </c>
      <c r="J1744" s="117" t="str">
        <f t="shared" si="295"/>
        <v>no</v>
      </c>
      <c r="K1744" s="410" t="s">
        <v>2043</v>
      </c>
      <c r="L1744" s="117" t="str">
        <f t="shared" si="292"/>
        <v>detailed</v>
      </c>
      <c r="M1744" s="117" t="str">
        <f t="shared" si="296"/>
        <v>detailed Mining</v>
      </c>
      <c r="N1744" s="411">
        <v>230172</v>
      </c>
      <c r="O1744" s="411"/>
      <c r="P1744" s="411"/>
      <c r="Q1744" s="411"/>
      <c r="R1744" s="411"/>
      <c r="S1744" s="410" t="s">
        <v>610</v>
      </c>
      <c r="T1744" s="412"/>
      <c r="U1744" s="410"/>
      <c r="V1744" s="410" t="s">
        <v>847</v>
      </c>
      <c r="W1744" s="413"/>
      <c r="X1744" s="410"/>
      <c r="Y1744" s="621"/>
      <c r="Z1744" s="621"/>
      <c r="AA1744" s="413"/>
      <c r="AB1744" s="413"/>
      <c r="AC1744" s="618"/>
      <c r="AD1744" s="618"/>
      <c r="AE1744" s="618"/>
      <c r="AF1744" s="619"/>
      <c r="AG1744" s="621"/>
      <c r="AH1744" s="417"/>
      <c r="AI1744" s="410"/>
      <c r="AJ1744" s="410"/>
      <c r="AK1744" s="413"/>
      <c r="AL1744" s="410"/>
      <c r="AM1744" s="410"/>
      <c r="AN1744" s="410"/>
      <c r="AO1744" s="410"/>
      <c r="AP1744" s="410"/>
      <c r="AQ1744" s="410"/>
      <c r="AR1744" s="410"/>
      <c r="AS1744" s="410"/>
      <c r="AT1744" s="410"/>
      <c r="AU1744" s="410"/>
      <c r="AV1744" s="419"/>
      <c r="AW1744" s="117">
        <f>VLOOKUP($D1744,'WB Data'!$C$3:$M$578,2,FALSE)</f>
        <v>170564249004.95398</v>
      </c>
      <c r="AX1744" s="117">
        <f>VLOOKUP($D1744,'WB Data'!$C$3:$M$578,3,FALSE)</f>
        <v>29614887</v>
      </c>
      <c r="AY1744" s="847">
        <f t="shared" si="298"/>
        <v>3.4499161760616619E-2</v>
      </c>
      <c r="AZ1744" s="117">
        <f>VLOOKUP($D1744,'WB Data'!$C$3:$M$578,4,FALSE)/100</f>
        <v>0.20943982120853646</v>
      </c>
      <c r="BA1744" s="117">
        <f t="shared" si="299"/>
        <v>35722945816.165855</v>
      </c>
      <c r="BB1744" s="129">
        <f>IFERROR(VLOOKUP($D1744,'EITI Revenues'!$C$2:$G$224,5,FALSE),"..")</f>
        <v>5884323617</v>
      </c>
      <c r="BC1744" s="846">
        <f t="shared" si="300"/>
        <v>0.16472111922911861</v>
      </c>
      <c r="BD1744" s="129">
        <f>VLOOKUP($D1744,'WB Data 2'!$C$2:$K$545,6,FALSE)</f>
        <v>29773224958.428841</v>
      </c>
      <c r="BE1744" s="129">
        <f>IFERROR(VLOOKUP($D1744,UNCTAD!$C$5:$V$529,4,FALSE),"..")</f>
        <v>50632851000</v>
      </c>
      <c r="BF1744" s="846">
        <f t="shared" si="301"/>
        <v>0.58802189429208407</v>
      </c>
      <c r="BG1744" s="117">
        <f>VLOOKUP($D1744,'WB Data'!$C$3:$M$578,5,FALSE)</f>
        <v>604820000</v>
      </c>
      <c r="BH1744" s="129">
        <f>IFERROR($BB1744/$BG1744,"..")</f>
        <v>9.7290493320326714</v>
      </c>
      <c r="BI1744" s="117">
        <f>IFERROR(VLOOKUP($D1744,'WB Data'!$C$3:$M$578,7,FALSE)/100,"..")</f>
        <v>2.5311699999999999E-2</v>
      </c>
      <c r="BJ1744" s="117">
        <f>IFERROR($BI1744*$AW1744,"..")</f>
        <v>4317271101.5386934</v>
      </c>
      <c r="BK1744" s="846">
        <f>IFERROR($BB1744/$BJ1744,"..")</f>
        <v>1.3629729240081316</v>
      </c>
      <c r="BL1744" s="117">
        <f>IFERROR(VLOOKUP($D1744,'WB Data'!$C$3:$M$578,7,FALSE)/100,"..")</f>
        <v>2.5311699999999999E-2</v>
      </c>
      <c r="BM1744" s="117">
        <f>IFERROR($AW1744*$BL1744,"..")</f>
        <v>4317271101.5386934</v>
      </c>
      <c r="BN1744" s="846">
        <f>IFERROR($BB1744/$BM1744,"..")</f>
        <v>1.3629729240081316</v>
      </c>
      <c r="BO1744" s="801">
        <f t="shared" si="297"/>
        <v>38</v>
      </c>
      <c r="BP1744" s="117">
        <f>VLOOKUP($D1744,'WB Data'!$C$3:$M$578,9,FALSE)</f>
        <v>27.8</v>
      </c>
      <c r="BQ1744" s="117">
        <f>VLOOKUP($D1744,'WB Data'!$C$3:$M$578,10,FALSE)</f>
        <v>74.210536585365858</v>
      </c>
      <c r="BR1744" s="117">
        <f>VLOOKUP($D1744,'WB Data'!$C$3:$M$578,11,FALSE)</f>
        <v>14.3</v>
      </c>
      <c r="BS1744" s="129">
        <f>IFERROR(VLOOKUP($D1744,'WB Data 2'!$C$2:$K$545,9,FALSE),"..")</f>
        <v>96.327079999999995</v>
      </c>
      <c r="BT1744" s="129">
        <f>_xlfn.IFNA(VLOOKUP($C1744,RGI!$A$2:$C$43,2,FALSE),"..")</f>
        <v>76.8</v>
      </c>
      <c r="BU1744" s="129">
        <f>_xlfn.IFNA(VLOOKUP($C1744,RGI!$A$2:$C$43,3,FALSE),"..")</f>
        <v>72.816147461462435</v>
      </c>
      <c r="BV1744" s="129">
        <f>VLOOKUP($D1744,WGI!$C$2:$O$478,7,FALSE)</f>
        <v>9.0719139218499306E-2</v>
      </c>
      <c r="BW1744" s="129">
        <f>VLOOKUP($D1744,WGI!$C$2:$O$478,4,FALSE)</f>
        <v>-0.738042232413051</v>
      </c>
      <c r="BX1744" s="129">
        <f>VLOOKUP($D1744,WGI!$C$2:$O$478,3,FALSE)</f>
        <v>-0.145710327623474</v>
      </c>
      <c r="BY1744" s="129">
        <f>VLOOKUP($D1744,WGI!$C$2:$O$478,5,FALSE)</f>
        <v>0.476881348098389</v>
      </c>
      <c r="BZ1744" s="129">
        <f>VLOOKUP($D1744,WGI!$C$2:$O$478,2,FALSE)</f>
        <v>-0.248937037637317</v>
      </c>
    </row>
    <row r="1745" spans="1:78" ht="15" customHeight="1">
      <c r="A1745" s="407" t="s">
        <v>459</v>
      </c>
      <c r="B1745" s="408">
        <v>2011</v>
      </c>
      <c r="C1745" s="805" t="s">
        <v>449</v>
      </c>
      <c r="D1745" s="117" t="s">
        <v>3711</v>
      </c>
      <c r="E1745" s="409" t="s">
        <v>220</v>
      </c>
      <c r="F1745" s="410"/>
      <c r="G1745" s="621" t="s">
        <v>24</v>
      </c>
      <c r="H1745" s="117" t="str">
        <f t="shared" si="291"/>
        <v>yes</v>
      </c>
      <c r="I1745" s="117" t="str">
        <f t="shared" si="294"/>
        <v>no</v>
      </c>
      <c r="J1745" s="117" t="str">
        <f t="shared" si="295"/>
        <v>no</v>
      </c>
      <c r="K1745" s="410" t="s">
        <v>1336</v>
      </c>
      <c r="L1745" s="117" t="str">
        <f t="shared" si="292"/>
        <v>detailed</v>
      </c>
      <c r="M1745" s="117" t="str">
        <f t="shared" si="296"/>
        <v>detailed Mining</v>
      </c>
      <c r="N1745" s="411">
        <v>20242</v>
      </c>
      <c r="O1745" s="411"/>
      <c r="P1745" s="411"/>
      <c r="Q1745" s="411"/>
      <c r="R1745" s="411"/>
      <c r="S1745" s="410" t="s">
        <v>610</v>
      </c>
      <c r="T1745" s="412"/>
      <c r="U1745" s="410"/>
      <c r="V1745" s="410" t="s">
        <v>847</v>
      </c>
      <c r="W1745" s="413"/>
      <c r="X1745" s="410"/>
      <c r="Y1745" s="621"/>
      <c r="Z1745" s="621"/>
      <c r="AA1745" s="413"/>
      <c r="AB1745" s="413"/>
      <c r="AC1745" s="618"/>
      <c r="AD1745" s="618"/>
      <c r="AE1745" s="618"/>
      <c r="AF1745" s="619"/>
      <c r="AG1745" s="621"/>
      <c r="AH1745" s="417"/>
      <c r="AI1745" s="410"/>
      <c r="AJ1745" s="410"/>
      <c r="AK1745" s="413"/>
      <c r="AL1745" s="410"/>
      <c r="AM1745" s="410"/>
      <c r="AN1745" s="410"/>
      <c r="AO1745" s="410"/>
      <c r="AP1745" s="410"/>
      <c r="AQ1745" s="410"/>
      <c r="AR1745" s="410"/>
      <c r="AS1745" s="410"/>
      <c r="AT1745" s="410"/>
      <c r="AU1745" s="410"/>
      <c r="AV1745" s="419"/>
      <c r="AW1745" s="117">
        <f>VLOOKUP($D1745,'WB Data'!$C$3:$M$578,2,FALSE)</f>
        <v>170564249004.95398</v>
      </c>
      <c r="AX1745" s="117">
        <f>VLOOKUP($D1745,'WB Data'!$C$3:$M$578,3,FALSE)</f>
        <v>29614887</v>
      </c>
      <c r="AY1745" s="847">
        <f t="shared" si="298"/>
        <v>3.4499161760616619E-2</v>
      </c>
      <c r="AZ1745" s="117">
        <f>VLOOKUP($D1745,'WB Data'!$C$3:$M$578,4,FALSE)/100</f>
        <v>0.20943982120853646</v>
      </c>
      <c r="BA1745" s="117">
        <f t="shared" si="299"/>
        <v>35722945816.165855</v>
      </c>
      <c r="BB1745" s="129">
        <f>IFERROR(VLOOKUP($D1745,'EITI Revenues'!$C$2:$G$224,5,FALSE),"..")</f>
        <v>5884323617</v>
      </c>
      <c r="BC1745" s="846">
        <f t="shared" si="300"/>
        <v>0.16472111922911861</v>
      </c>
      <c r="BD1745" s="129">
        <f>VLOOKUP($D1745,'WB Data 2'!$C$2:$K$545,6,FALSE)</f>
        <v>29773224958.428841</v>
      </c>
      <c r="BE1745" s="129">
        <f>IFERROR(VLOOKUP($D1745,UNCTAD!$C$5:$V$529,4,FALSE),"..")</f>
        <v>50632851000</v>
      </c>
      <c r="BF1745" s="846">
        <f t="shared" si="301"/>
        <v>0.58802189429208407</v>
      </c>
      <c r="BG1745" s="117">
        <f>VLOOKUP($D1745,'WB Data'!$C$3:$M$578,5,FALSE)</f>
        <v>604820000</v>
      </c>
      <c r="BH1745" s="129">
        <f>IFERROR($BB1745/$BG1745,"..")</f>
        <v>9.7290493320326714</v>
      </c>
      <c r="BI1745" s="117">
        <f>IFERROR(VLOOKUP($D1745,'WB Data'!$C$3:$M$578,7,FALSE)/100,"..")</f>
        <v>2.5311699999999999E-2</v>
      </c>
      <c r="BJ1745" s="117">
        <f>IFERROR($BI1745*$AW1745,"..")</f>
        <v>4317271101.5386934</v>
      </c>
      <c r="BK1745" s="846">
        <f>IFERROR($BB1745/$BJ1745,"..")</f>
        <v>1.3629729240081316</v>
      </c>
      <c r="BL1745" s="117">
        <f>IFERROR(VLOOKUP($D1745,'WB Data'!$C$3:$M$578,7,FALSE)/100,"..")</f>
        <v>2.5311699999999999E-2</v>
      </c>
      <c r="BM1745" s="117">
        <f>IFERROR($AW1745*$BL1745,"..")</f>
        <v>4317271101.5386934</v>
      </c>
      <c r="BN1745" s="846">
        <f>IFERROR($BB1745/$BM1745,"..")</f>
        <v>1.3629729240081316</v>
      </c>
      <c r="BO1745" s="801">
        <f t="shared" si="297"/>
        <v>38</v>
      </c>
      <c r="BP1745" s="117">
        <f>VLOOKUP($D1745,'WB Data'!$C$3:$M$578,9,FALSE)</f>
        <v>27.8</v>
      </c>
      <c r="BQ1745" s="117">
        <f>VLOOKUP($D1745,'WB Data'!$C$3:$M$578,10,FALSE)</f>
        <v>74.210536585365858</v>
      </c>
      <c r="BR1745" s="117">
        <f>VLOOKUP($D1745,'WB Data'!$C$3:$M$578,11,FALSE)</f>
        <v>14.3</v>
      </c>
      <c r="BS1745" s="129">
        <f>IFERROR(VLOOKUP($D1745,'WB Data 2'!$C$2:$K$545,9,FALSE),"..")</f>
        <v>96.327079999999995</v>
      </c>
      <c r="BT1745" s="129">
        <f>_xlfn.IFNA(VLOOKUP($C1745,RGI!$A$2:$C$43,2,FALSE),"..")</f>
        <v>76.8</v>
      </c>
      <c r="BU1745" s="129">
        <f>_xlfn.IFNA(VLOOKUP($C1745,RGI!$A$2:$C$43,3,FALSE),"..")</f>
        <v>72.816147461462435</v>
      </c>
      <c r="BV1745" s="129">
        <f>VLOOKUP($D1745,WGI!$C$2:$O$478,7,FALSE)</f>
        <v>9.0719139218499306E-2</v>
      </c>
      <c r="BW1745" s="129">
        <f>VLOOKUP($D1745,WGI!$C$2:$O$478,4,FALSE)</f>
        <v>-0.738042232413051</v>
      </c>
      <c r="BX1745" s="129">
        <f>VLOOKUP($D1745,WGI!$C$2:$O$478,3,FALSE)</f>
        <v>-0.145710327623474</v>
      </c>
      <c r="BY1745" s="129">
        <f>VLOOKUP($D1745,WGI!$C$2:$O$478,5,FALSE)</f>
        <v>0.476881348098389</v>
      </c>
      <c r="BZ1745" s="129">
        <f>VLOOKUP($D1745,WGI!$C$2:$O$478,2,FALSE)</f>
        <v>-0.248937037637317</v>
      </c>
    </row>
    <row r="1746" spans="1:78" ht="15" customHeight="1">
      <c r="A1746" s="407" t="s">
        <v>459</v>
      </c>
      <c r="B1746" s="408">
        <v>2011</v>
      </c>
      <c r="C1746" s="805" t="s">
        <v>449</v>
      </c>
      <c r="D1746" s="117" t="s">
        <v>3711</v>
      </c>
      <c r="E1746" s="409" t="s">
        <v>220</v>
      </c>
      <c r="F1746" s="410"/>
      <c r="G1746" s="621" t="s">
        <v>24</v>
      </c>
      <c r="H1746" s="117" t="str">
        <f t="shared" si="291"/>
        <v>yes</v>
      </c>
      <c r="I1746" s="117" t="str">
        <f t="shared" si="294"/>
        <v>no</v>
      </c>
      <c r="J1746" s="117" t="str">
        <f t="shared" si="295"/>
        <v>no</v>
      </c>
      <c r="K1746" s="410" t="s">
        <v>2098</v>
      </c>
      <c r="L1746" s="117" t="str">
        <f t="shared" si="292"/>
        <v>detailed</v>
      </c>
      <c r="M1746" s="117" t="str">
        <f t="shared" si="296"/>
        <v>detailed Mining</v>
      </c>
      <c r="N1746" s="411">
        <v>216000</v>
      </c>
      <c r="O1746" s="411"/>
      <c r="P1746" s="411"/>
      <c r="Q1746" s="411"/>
      <c r="R1746" s="411"/>
      <c r="S1746" s="410" t="s">
        <v>610</v>
      </c>
      <c r="T1746" s="412">
        <v>119.4</v>
      </c>
      <c r="U1746" s="410" t="s">
        <v>611</v>
      </c>
      <c r="V1746" s="410" t="s">
        <v>2126</v>
      </c>
      <c r="W1746" s="413">
        <f t="shared" ref="W1746:W1751" si="303">N1746*T1746</f>
        <v>25790400</v>
      </c>
      <c r="X1746" s="410"/>
      <c r="Y1746" s="621"/>
      <c r="Z1746" s="621"/>
      <c r="AA1746" s="413"/>
      <c r="AB1746" s="413"/>
      <c r="AC1746" s="618"/>
      <c r="AD1746" s="618"/>
      <c r="AE1746" s="618"/>
      <c r="AF1746" s="619"/>
      <c r="AG1746" s="621"/>
      <c r="AH1746" s="417"/>
      <c r="AI1746" s="410"/>
      <c r="AJ1746" s="410"/>
      <c r="AK1746" s="413"/>
      <c r="AL1746" s="410"/>
      <c r="AM1746" s="410"/>
      <c r="AN1746" s="410"/>
      <c r="AO1746" s="410"/>
      <c r="AP1746" s="410"/>
      <c r="AQ1746" s="410"/>
      <c r="AR1746" s="410"/>
      <c r="AS1746" s="410"/>
      <c r="AT1746" s="410"/>
      <c r="AU1746" s="410"/>
      <c r="AV1746" s="419"/>
      <c r="AW1746" s="117">
        <f>VLOOKUP($D1746,'WB Data'!$C$3:$M$578,2,FALSE)</f>
        <v>170564249004.95398</v>
      </c>
      <c r="AX1746" s="117">
        <f>VLOOKUP($D1746,'WB Data'!$C$3:$M$578,3,FALSE)</f>
        <v>29614887</v>
      </c>
      <c r="AY1746" s="847">
        <f t="shared" si="298"/>
        <v>3.4499161760616619E-2</v>
      </c>
      <c r="AZ1746" s="117">
        <f>VLOOKUP($D1746,'WB Data'!$C$3:$M$578,4,FALSE)/100</f>
        <v>0.20943982120853646</v>
      </c>
      <c r="BA1746" s="117">
        <f t="shared" si="299"/>
        <v>35722945816.165855</v>
      </c>
      <c r="BB1746" s="129">
        <f>IFERROR(VLOOKUP($D1746,'EITI Revenues'!$C$2:$G$224,5,FALSE),"..")</f>
        <v>5884323617</v>
      </c>
      <c r="BC1746" s="846">
        <f t="shared" si="300"/>
        <v>0.16472111922911861</v>
      </c>
      <c r="BD1746" s="129">
        <f>VLOOKUP($D1746,'WB Data 2'!$C$2:$K$545,6,FALSE)</f>
        <v>29773224958.428841</v>
      </c>
      <c r="BE1746" s="129">
        <f>IFERROR(VLOOKUP($D1746,UNCTAD!$C$5:$V$529,4,FALSE),"..")</f>
        <v>50632851000</v>
      </c>
      <c r="BF1746" s="846">
        <f t="shared" si="301"/>
        <v>0.58802189429208407</v>
      </c>
      <c r="BG1746" s="117">
        <f>VLOOKUP($D1746,'WB Data'!$C$3:$M$578,5,FALSE)</f>
        <v>604820000</v>
      </c>
      <c r="BH1746" s="129">
        <f>IFERROR($BB1746/$BG1746,"..")</f>
        <v>9.7290493320326714</v>
      </c>
      <c r="BI1746" s="117">
        <f>IFERROR(VLOOKUP($D1746,'WB Data'!$C$3:$M$578,7,FALSE)/100,"..")</f>
        <v>2.5311699999999999E-2</v>
      </c>
      <c r="BJ1746" s="117">
        <f>IFERROR($BI1746*$AW1746,"..")</f>
        <v>4317271101.5386934</v>
      </c>
      <c r="BK1746" s="846">
        <f>IFERROR($BB1746/$BJ1746,"..")</f>
        <v>1.3629729240081316</v>
      </c>
      <c r="BL1746" s="117">
        <f>IFERROR(VLOOKUP($D1746,'WB Data'!$C$3:$M$578,7,FALSE)/100,"..")</f>
        <v>2.5311699999999999E-2</v>
      </c>
      <c r="BM1746" s="117">
        <f>IFERROR($AW1746*$BL1746,"..")</f>
        <v>4317271101.5386934</v>
      </c>
      <c r="BN1746" s="846">
        <f>IFERROR($BB1746/$BM1746,"..")</f>
        <v>1.3629729240081316</v>
      </c>
      <c r="BO1746" s="801">
        <f t="shared" si="297"/>
        <v>38</v>
      </c>
      <c r="BP1746" s="117">
        <f>VLOOKUP($D1746,'WB Data'!$C$3:$M$578,9,FALSE)</f>
        <v>27.8</v>
      </c>
      <c r="BQ1746" s="117">
        <f>VLOOKUP($D1746,'WB Data'!$C$3:$M$578,10,FALSE)</f>
        <v>74.210536585365858</v>
      </c>
      <c r="BR1746" s="117">
        <f>VLOOKUP($D1746,'WB Data'!$C$3:$M$578,11,FALSE)</f>
        <v>14.3</v>
      </c>
      <c r="BS1746" s="129">
        <f>IFERROR(VLOOKUP($D1746,'WB Data 2'!$C$2:$K$545,9,FALSE),"..")</f>
        <v>96.327079999999995</v>
      </c>
      <c r="BT1746" s="129">
        <f>_xlfn.IFNA(VLOOKUP($C1746,RGI!$A$2:$C$43,2,FALSE),"..")</f>
        <v>76.8</v>
      </c>
      <c r="BU1746" s="129">
        <f>_xlfn.IFNA(VLOOKUP($C1746,RGI!$A$2:$C$43,3,FALSE),"..")</f>
        <v>72.816147461462435</v>
      </c>
      <c r="BV1746" s="129">
        <f>VLOOKUP($D1746,WGI!$C$2:$O$478,7,FALSE)</f>
        <v>9.0719139218499306E-2</v>
      </c>
      <c r="BW1746" s="129">
        <f>VLOOKUP($D1746,WGI!$C$2:$O$478,4,FALSE)</f>
        <v>-0.738042232413051</v>
      </c>
      <c r="BX1746" s="129">
        <f>VLOOKUP($D1746,WGI!$C$2:$O$478,3,FALSE)</f>
        <v>-0.145710327623474</v>
      </c>
      <c r="BY1746" s="129">
        <f>VLOOKUP($D1746,WGI!$C$2:$O$478,5,FALSE)</f>
        <v>0.476881348098389</v>
      </c>
      <c r="BZ1746" s="129">
        <f>VLOOKUP($D1746,WGI!$C$2:$O$478,2,FALSE)</f>
        <v>-0.248937037637317</v>
      </c>
    </row>
    <row r="1747" spans="1:78" ht="15" customHeight="1">
      <c r="A1747" s="407" t="s">
        <v>459</v>
      </c>
      <c r="B1747" s="408">
        <v>2011</v>
      </c>
      <c r="C1747" s="805" t="s">
        <v>449</v>
      </c>
      <c r="D1747" s="117" t="s">
        <v>3711</v>
      </c>
      <c r="E1747" s="409" t="s">
        <v>220</v>
      </c>
      <c r="F1747" s="410"/>
      <c r="G1747" s="621" t="s">
        <v>24</v>
      </c>
      <c r="H1747" s="117" t="str">
        <f t="shared" si="291"/>
        <v>yes</v>
      </c>
      <c r="I1747" s="117" t="str">
        <f t="shared" si="294"/>
        <v>no</v>
      </c>
      <c r="J1747" s="117" t="str">
        <f t="shared" si="295"/>
        <v>no</v>
      </c>
      <c r="K1747" s="410" t="s">
        <v>703</v>
      </c>
      <c r="L1747" s="117" t="str">
        <f t="shared" si="292"/>
        <v>detailed</v>
      </c>
      <c r="M1747" s="117" t="str">
        <f t="shared" si="296"/>
        <v>detailed Mining</v>
      </c>
      <c r="N1747" s="411">
        <v>11581000</v>
      </c>
      <c r="O1747" s="411"/>
      <c r="P1747" s="411"/>
      <c r="Q1747" s="411"/>
      <c r="R1747" s="411"/>
      <c r="S1747" s="410" t="s">
        <v>610</v>
      </c>
      <c r="T1747" s="412">
        <v>9.06</v>
      </c>
      <c r="U1747" s="410" t="s">
        <v>611</v>
      </c>
      <c r="V1747" s="410" t="s">
        <v>2127</v>
      </c>
      <c r="W1747" s="413">
        <f t="shared" si="303"/>
        <v>104923860</v>
      </c>
      <c r="X1747" s="410"/>
      <c r="Y1747" s="621"/>
      <c r="Z1747" s="621"/>
      <c r="AA1747" s="413"/>
      <c r="AB1747" s="413"/>
      <c r="AC1747" s="618"/>
      <c r="AD1747" s="618"/>
      <c r="AE1747" s="618"/>
      <c r="AF1747" s="619"/>
      <c r="AG1747" s="621"/>
      <c r="AH1747" s="417"/>
      <c r="AI1747" s="410"/>
      <c r="AJ1747" s="410"/>
      <c r="AK1747" s="413"/>
      <c r="AL1747" s="410"/>
      <c r="AM1747" s="410"/>
      <c r="AN1747" s="410"/>
      <c r="AO1747" s="410"/>
      <c r="AP1747" s="410"/>
      <c r="AQ1747" s="410"/>
      <c r="AR1747" s="410"/>
      <c r="AS1747" s="410"/>
      <c r="AT1747" s="410"/>
      <c r="AU1747" s="410"/>
      <c r="AV1747" s="419"/>
      <c r="AW1747" s="117">
        <f>VLOOKUP($D1747,'WB Data'!$C$3:$M$578,2,FALSE)</f>
        <v>170564249004.95398</v>
      </c>
      <c r="AX1747" s="117">
        <f>VLOOKUP($D1747,'WB Data'!$C$3:$M$578,3,FALSE)</f>
        <v>29614887</v>
      </c>
      <c r="AY1747" s="847">
        <f t="shared" si="298"/>
        <v>3.4499161760616619E-2</v>
      </c>
      <c r="AZ1747" s="117">
        <f>VLOOKUP($D1747,'WB Data'!$C$3:$M$578,4,FALSE)/100</f>
        <v>0.20943982120853646</v>
      </c>
      <c r="BA1747" s="117">
        <f t="shared" si="299"/>
        <v>35722945816.165855</v>
      </c>
      <c r="BB1747" s="129">
        <f>IFERROR(VLOOKUP($D1747,'EITI Revenues'!$C$2:$G$224,5,FALSE),"..")</f>
        <v>5884323617</v>
      </c>
      <c r="BC1747" s="846">
        <f t="shared" si="300"/>
        <v>0.16472111922911861</v>
      </c>
      <c r="BD1747" s="129">
        <f>VLOOKUP($D1747,'WB Data 2'!$C$2:$K$545,6,FALSE)</f>
        <v>29773224958.428841</v>
      </c>
      <c r="BE1747" s="129">
        <f>IFERROR(VLOOKUP($D1747,UNCTAD!$C$5:$V$529,4,FALSE),"..")</f>
        <v>50632851000</v>
      </c>
      <c r="BF1747" s="846">
        <f t="shared" si="301"/>
        <v>0.58802189429208407</v>
      </c>
      <c r="BG1747" s="117">
        <f>VLOOKUP($D1747,'WB Data'!$C$3:$M$578,5,FALSE)</f>
        <v>604820000</v>
      </c>
      <c r="BH1747" s="129">
        <f>IFERROR($BB1747/$BG1747,"..")</f>
        <v>9.7290493320326714</v>
      </c>
      <c r="BI1747" s="117">
        <f>IFERROR(VLOOKUP($D1747,'WB Data'!$C$3:$M$578,7,FALSE)/100,"..")</f>
        <v>2.5311699999999999E-2</v>
      </c>
      <c r="BJ1747" s="117">
        <f>IFERROR($BI1747*$AW1747,"..")</f>
        <v>4317271101.5386934</v>
      </c>
      <c r="BK1747" s="846">
        <f>IFERROR($BB1747/$BJ1747,"..")</f>
        <v>1.3629729240081316</v>
      </c>
      <c r="BL1747" s="117">
        <f>IFERROR(VLOOKUP($D1747,'WB Data'!$C$3:$M$578,7,FALSE)/100,"..")</f>
        <v>2.5311699999999999E-2</v>
      </c>
      <c r="BM1747" s="117">
        <f>IFERROR($AW1747*$BL1747,"..")</f>
        <v>4317271101.5386934</v>
      </c>
      <c r="BN1747" s="846">
        <f>IFERROR($BB1747/$BM1747,"..")</f>
        <v>1.3629729240081316</v>
      </c>
      <c r="BO1747" s="801">
        <f t="shared" si="297"/>
        <v>38</v>
      </c>
      <c r="BP1747" s="117">
        <f>VLOOKUP($D1747,'WB Data'!$C$3:$M$578,9,FALSE)</f>
        <v>27.8</v>
      </c>
      <c r="BQ1747" s="117">
        <f>VLOOKUP($D1747,'WB Data'!$C$3:$M$578,10,FALSE)</f>
        <v>74.210536585365858</v>
      </c>
      <c r="BR1747" s="117">
        <f>VLOOKUP($D1747,'WB Data'!$C$3:$M$578,11,FALSE)</f>
        <v>14.3</v>
      </c>
      <c r="BS1747" s="129">
        <f>IFERROR(VLOOKUP($D1747,'WB Data 2'!$C$2:$K$545,9,FALSE),"..")</f>
        <v>96.327079999999995</v>
      </c>
      <c r="BT1747" s="129">
        <f>_xlfn.IFNA(VLOOKUP($C1747,RGI!$A$2:$C$43,2,FALSE),"..")</f>
        <v>76.8</v>
      </c>
      <c r="BU1747" s="129">
        <f>_xlfn.IFNA(VLOOKUP($C1747,RGI!$A$2:$C$43,3,FALSE),"..")</f>
        <v>72.816147461462435</v>
      </c>
      <c r="BV1747" s="129">
        <f>VLOOKUP($D1747,WGI!$C$2:$O$478,7,FALSE)</f>
        <v>9.0719139218499306E-2</v>
      </c>
      <c r="BW1747" s="129">
        <f>VLOOKUP($D1747,WGI!$C$2:$O$478,4,FALSE)</f>
        <v>-0.738042232413051</v>
      </c>
      <c r="BX1747" s="129">
        <f>VLOOKUP($D1747,WGI!$C$2:$O$478,3,FALSE)</f>
        <v>-0.145710327623474</v>
      </c>
      <c r="BY1747" s="129">
        <f>VLOOKUP($D1747,WGI!$C$2:$O$478,5,FALSE)</f>
        <v>0.476881348098389</v>
      </c>
      <c r="BZ1747" s="129">
        <f>VLOOKUP($D1747,WGI!$C$2:$O$478,2,FALSE)</f>
        <v>-0.248937037637317</v>
      </c>
    </row>
    <row r="1748" spans="1:78" ht="15" customHeight="1">
      <c r="A1748" s="407" t="s">
        <v>459</v>
      </c>
      <c r="B1748" s="408">
        <v>2011</v>
      </c>
      <c r="C1748" s="805" t="s">
        <v>449</v>
      </c>
      <c r="D1748" s="117" t="s">
        <v>3711</v>
      </c>
      <c r="E1748" s="409" t="s">
        <v>220</v>
      </c>
      <c r="F1748" s="410"/>
      <c r="G1748" s="621" t="s">
        <v>24</v>
      </c>
      <c r="H1748" s="117" t="str">
        <f t="shared" si="291"/>
        <v>yes</v>
      </c>
      <c r="I1748" s="117" t="str">
        <f t="shared" si="294"/>
        <v>no</v>
      </c>
      <c r="J1748" s="117" t="str">
        <f t="shared" si="295"/>
        <v>no</v>
      </c>
      <c r="K1748" s="410" t="s">
        <v>843</v>
      </c>
      <c r="L1748" s="117" t="str">
        <f t="shared" si="292"/>
        <v>detailed</v>
      </c>
      <c r="M1748" s="117" t="str">
        <f t="shared" si="296"/>
        <v>detailed Mining</v>
      </c>
      <c r="N1748" s="411">
        <v>200</v>
      </c>
      <c r="O1748" s="411"/>
      <c r="P1748" s="411"/>
      <c r="Q1748" s="411"/>
      <c r="R1748" s="411"/>
      <c r="S1748" s="410" t="s">
        <v>610</v>
      </c>
      <c r="T1748" s="412">
        <v>7.88</v>
      </c>
      <c r="U1748" s="410" t="s">
        <v>611</v>
      </c>
      <c r="V1748" s="410" t="s">
        <v>2128</v>
      </c>
      <c r="W1748" s="413">
        <f t="shared" si="303"/>
        <v>1576</v>
      </c>
      <c r="X1748" s="410"/>
      <c r="Y1748" s="621"/>
      <c r="Z1748" s="621"/>
      <c r="AA1748" s="413"/>
      <c r="AB1748" s="413"/>
      <c r="AC1748" s="618"/>
      <c r="AD1748" s="618"/>
      <c r="AE1748" s="618"/>
      <c r="AF1748" s="619"/>
      <c r="AG1748" s="621"/>
      <c r="AH1748" s="417"/>
      <c r="AI1748" s="410"/>
      <c r="AJ1748" s="410"/>
      <c r="AK1748" s="413"/>
      <c r="AL1748" s="410"/>
      <c r="AM1748" s="410"/>
      <c r="AN1748" s="410"/>
      <c r="AO1748" s="410"/>
      <c r="AP1748" s="410"/>
      <c r="AQ1748" s="410"/>
      <c r="AR1748" s="410"/>
      <c r="AS1748" s="410"/>
      <c r="AT1748" s="410"/>
      <c r="AU1748" s="410"/>
      <c r="AV1748" s="419"/>
      <c r="AW1748" s="117">
        <f>VLOOKUP($D1748,'WB Data'!$C$3:$M$578,2,FALSE)</f>
        <v>170564249004.95398</v>
      </c>
      <c r="AX1748" s="117">
        <f>VLOOKUP($D1748,'WB Data'!$C$3:$M$578,3,FALSE)</f>
        <v>29614887</v>
      </c>
      <c r="AY1748" s="847">
        <f t="shared" si="298"/>
        <v>3.4499161760616619E-2</v>
      </c>
      <c r="AZ1748" s="117">
        <f>VLOOKUP($D1748,'WB Data'!$C$3:$M$578,4,FALSE)/100</f>
        <v>0.20943982120853646</v>
      </c>
      <c r="BA1748" s="117">
        <f t="shared" si="299"/>
        <v>35722945816.165855</v>
      </c>
      <c r="BB1748" s="129">
        <f>IFERROR(VLOOKUP($D1748,'EITI Revenues'!$C$2:$G$224,5,FALSE),"..")</f>
        <v>5884323617</v>
      </c>
      <c r="BC1748" s="846">
        <f t="shared" si="300"/>
        <v>0.16472111922911861</v>
      </c>
      <c r="BD1748" s="129">
        <f>VLOOKUP($D1748,'WB Data 2'!$C$2:$K$545,6,FALSE)</f>
        <v>29773224958.428841</v>
      </c>
      <c r="BE1748" s="129">
        <f>IFERROR(VLOOKUP($D1748,UNCTAD!$C$5:$V$529,4,FALSE),"..")</f>
        <v>50632851000</v>
      </c>
      <c r="BF1748" s="846">
        <f t="shared" si="301"/>
        <v>0.58802189429208407</v>
      </c>
      <c r="BG1748" s="117">
        <f>VLOOKUP($D1748,'WB Data'!$C$3:$M$578,5,FALSE)</f>
        <v>604820000</v>
      </c>
      <c r="BH1748" s="129">
        <f>IFERROR($BB1748/$BG1748,"..")</f>
        <v>9.7290493320326714</v>
      </c>
      <c r="BI1748" s="117">
        <f>IFERROR(VLOOKUP($D1748,'WB Data'!$C$3:$M$578,7,FALSE)/100,"..")</f>
        <v>2.5311699999999999E-2</v>
      </c>
      <c r="BJ1748" s="117">
        <f>IFERROR($BI1748*$AW1748,"..")</f>
        <v>4317271101.5386934</v>
      </c>
      <c r="BK1748" s="846">
        <f>IFERROR($BB1748/$BJ1748,"..")</f>
        <v>1.3629729240081316</v>
      </c>
      <c r="BL1748" s="117">
        <f>IFERROR(VLOOKUP($D1748,'WB Data'!$C$3:$M$578,7,FALSE)/100,"..")</f>
        <v>2.5311699999999999E-2</v>
      </c>
      <c r="BM1748" s="117">
        <f>IFERROR($AW1748*$BL1748,"..")</f>
        <v>4317271101.5386934</v>
      </c>
      <c r="BN1748" s="846">
        <f>IFERROR($BB1748/$BM1748,"..")</f>
        <v>1.3629729240081316</v>
      </c>
      <c r="BO1748" s="801">
        <f t="shared" si="297"/>
        <v>38</v>
      </c>
      <c r="BP1748" s="117">
        <f>VLOOKUP($D1748,'WB Data'!$C$3:$M$578,9,FALSE)</f>
        <v>27.8</v>
      </c>
      <c r="BQ1748" s="117">
        <f>VLOOKUP($D1748,'WB Data'!$C$3:$M$578,10,FALSE)</f>
        <v>74.210536585365858</v>
      </c>
      <c r="BR1748" s="117">
        <f>VLOOKUP($D1748,'WB Data'!$C$3:$M$578,11,FALSE)</f>
        <v>14.3</v>
      </c>
      <c r="BS1748" s="129">
        <f>IFERROR(VLOOKUP($D1748,'WB Data 2'!$C$2:$K$545,9,FALSE),"..")</f>
        <v>96.327079999999995</v>
      </c>
      <c r="BT1748" s="129">
        <f>_xlfn.IFNA(VLOOKUP($C1748,RGI!$A$2:$C$43,2,FALSE),"..")</f>
        <v>76.8</v>
      </c>
      <c r="BU1748" s="129">
        <f>_xlfn.IFNA(VLOOKUP($C1748,RGI!$A$2:$C$43,3,FALSE),"..")</f>
        <v>72.816147461462435</v>
      </c>
      <c r="BV1748" s="129">
        <f>VLOOKUP($D1748,WGI!$C$2:$O$478,7,FALSE)</f>
        <v>9.0719139218499306E-2</v>
      </c>
      <c r="BW1748" s="129">
        <f>VLOOKUP($D1748,WGI!$C$2:$O$478,4,FALSE)</f>
        <v>-0.738042232413051</v>
      </c>
      <c r="BX1748" s="129">
        <f>VLOOKUP($D1748,WGI!$C$2:$O$478,3,FALSE)</f>
        <v>-0.145710327623474</v>
      </c>
      <c r="BY1748" s="129">
        <f>VLOOKUP($D1748,WGI!$C$2:$O$478,5,FALSE)</f>
        <v>0.476881348098389</v>
      </c>
      <c r="BZ1748" s="129">
        <f>VLOOKUP($D1748,WGI!$C$2:$O$478,2,FALSE)</f>
        <v>-0.248937037637317</v>
      </c>
    </row>
    <row r="1749" spans="1:78" ht="15" customHeight="1">
      <c r="A1749" s="407" t="s">
        <v>459</v>
      </c>
      <c r="B1749" s="408">
        <v>2011</v>
      </c>
      <c r="C1749" s="805" t="s">
        <v>449</v>
      </c>
      <c r="D1749" s="117" t="s">
        <v>3711</v>
      </c>
      <c r="E1749" s="409" t="s">
        <v>220</v>
      </c>
      <c r="F1749" s="410"/>
      <c r="G1749" s="621" t="s">
        <v>24</v>
      </c>
      <c r="H1749" s="117" t="str">
        <f t="shared" si="291"/>
        <v>yes</v>
      </c>
      <c r="I1749" s="117" t="str">
        <f t="shared" si="294"/>
        <v>no</v>
      </c>
      <c r="J1749" s="117" t="str">
        <f t="shared" si="295"/>
        <v>no</v>
      </c>
      <c r="K1749" s="410" t="s">
        <v>656</v>
      </c>
      <c r="L1749" s="117" t="str">
        <f t="shared" si="292"/>
        <v>detailed</v>
      </c>
      <c r="M1749" s="117" t="str">
        <f t="shared" si="296"/>
        <v>detailed Mining</v>
      </c>
      <c r="N1749" s="411">
        <v>0</v>
      </c>
      <c r="O1749" s="411"/>
      <c r="P1749" s="411"/>
      <c r="Q1749" s="411"/>
      <c r="R1749" s="411"/>
      <c r="S1749" s="410" t="s">
        <v>610</v>
      </c>
      <c r="T1749" s="412"/>
      <c r="U1749" s="410"/>
      <c r="V1749" s="410" t="s">
        <v>847</v>
      </c>
      <c r="W1749" s="413">
        <f t="shared" si="303"/>
        <v>0</v>
      </c>
      <c r="X1749" s="410"/>
      <c r="Y1749" s="621"/>
      <c r="Z1749" s="621"/>
      <c r="AA1749" s="413"/>
      <c r="AB1749" s="413"/>
      <c r="AC1749" s="618"/>
      <c r="AD1749" s="618"/>
      <c r="AE1749" s="618"/>
      <c r="AF1749" s="619"/>
      <c r="AG1749" s="621"/>
      <c r="AH1749" s="417"/>
      <c r="AI1749" s="410"/>
      <c r="AJ1749" s="410"/>
      <c r="AK1749" s="413"/>
      <c r="AL1749" s="410"/>
      <c r="AM1749" s="410"/>
      <c r="AN1749" s="410"/>
      <c r="AO1749" s="410"/>
      <c r="AP1749" s="410"/>
      <c r="AQ1749" s="410"/>
      <c r="AR1749" s="410"/>
      <c r="AS1749" s="410"/>
      <c r="AT1749" s="410"/>
      <c r="AU1749" s="410"/>
      <c r="AV1749" s="419"/>
      <c r="AW1749" s="117">
        <f>VLOOKUP($D1749,'WB Data'!$C$3:$M$578,2,FALSE)</f>
        <v>170564249004.95398</v>
      </c>
      <c r="AX1749" s="117">
        <f>VLOOKUP($D1749,'WB Data'!$C$3:$M$578,3,FALSE)</f>
        <v>29614887</v>
      </c>
      <c r="AY1749" s="847">
        <f t="shared" si="298"/>
        <v>3.4499161760616619E-2</v>
      </c>
      <c r="AZ1749" s="117">
        <f>VLOOKUP($D1749,'WB Data'!$C$3:$M$578,4,FALSE)/100</f>
        <v>0.20943982120853646</v>
      </c>
      <c r="BA1749" s="117">
        <f t="shared" si="299"/>
        <v>35722945816.165855</v>
      </c>
      <c r="BB1749" s="129">
        <f>IFERROR(VLOOKUP($D1749,'EITI Revenues'!$C$2:$G$224,5,FALSE),"..")</f>
        <v>5884323617</v>
      </c>
      <c r="BC1749" s="846">
        <f t="shared" si="300"/>
        <v>0.16472111922911861</v>
      </c>
      <c r="BD1749" s="129">
        <f>VLOOKUP($D1749,'WB Data 2'!$C$2:$K$545,6,FALSE)</f>
        <v>29773224958.428841</v>
      </c>
      <c r="BE1749" s="129">
        <f>IFERROR(VLOOKUP($D1749,UNCTAD!$C$5:$V$529,4,FALSE),"..")</f>
        <v>50632851000</v>
      </c>
      <c r="BF1749" s="846">
        <f t="shared" si="301"/>
        <v>0.58802189429208407</v>
      </c>
      <c r="BG1749" s="117">
        <f>VLOOKUP($D1749,'WB Data'!$C$3:$M$578,5,FALSE)</f>
        <v>604820000</v>
      </c>
      <c r="BH1749" s="129">
        <f>IFERROR($BB1749/$BG1749,"..")</f>
        <v>9.7290493320326714</v>
      </c>
      <c r="BI1749" s="117">
        <f>IFERROR(VLOOKUP($D1749,'WB Data'!$C$3:$M$578,7,FALSE)/100,"..")</f>
        <v>2.5311699999999999E-2</v>
      </c>
      <c r="BJ1749" s="117">
        <f>IFERROR($BI1749*$AW1749,"..")</f>
        <v>4317271101.5386934</v>
      </c>
      <c r="BK1749" s="846">
        <f>IFERROR($BB1749/$BJ1749,"..")</f>
        <v>1.3629729240081316</v>
      </c>
      <c r="BL1749" s="117">
        <f>IFERROR(VLOOKUP($D1749,'WB Data'!$C$3:$M$578,7,FALSE)/100,"..")</f>
        <v>2.5311699999999999E-2</v>
      </c>
      <c r="BM1749" s="117">
        <f>IFERROR($AW1749*$BL1749,"..")</f>
        <v>4317271101.5386934</v>
      </c>
      <c r="BN1749" s="846">
        <f>IFERROR($BB1749/$BM1749,"..")</f>
        <v>1.3629729240081316</v>
      </c>
      <c r="BO1749" s="801">
        <f t="shared" si="297"/>
        <v>38</v>
      </c>
      <c r="BP1749" s="117">
        <f>VLOOKUP($D1749,'WB Data'!$C$3:$M$578,9,FALSE)</f>
        <v>27.8</v>
      </c>
      <c r="BQ1749" s="117">
        <f>VLOOKUP($D1749,'WB Data'!$C$3:$M$578,10,FALSE)</f>
        <v>74.210536585365858</v>
      </c>
      <c r="BR1749" s="117">
        <f>VLOOKUP($D1749,'WB Data'!$C$3:$M$578,11,FALSE)</f>
        <v>14.3</v>
      </c>
      <c r="BS1749" s="129">
        <f>IFERROR(VLOOKUP($D1749,'WB Data 2'!$C$2:$K$545,9,FALSE),"..")</f>
        <v>96.327079999999995</v>
      </c>
      <c r="BT1749" s="129">
        <f>_xlfn.IFNA(VLOOKUP($C1749,RGI!$A$2:$C$43,2,FALSE),"..")</f>
        <v>76.8</v>
      </c>
      <c r="BU1749" s="129">
        <f>_xlfn.IFNA(VLOOKUP($C1749,RGI!$A$2:$C$43,3,FALSE),"..")</f>
        <v>72.816147461462435</v>
      </c>
      <c r="BV1749" s="129">
        <f>VLOOKUP($D1749,WGI!$C$2:$O$478,7,FALSE)</f>
        <v>9.0719139218499306E-2</v>
      </c>
      <c r="BW1749" s="129">
        <f>VLOOKUP($D1749,WGI!$C$2:$O$478,4,FALSE)</f>
        <v>-0.738042232413051</v>
      </c>
      <c r="BX1749" s="129">
        <f>VLOOKUP($D1749,WGI!$C$2:$O$478,3,FALSE)</f>
        <v>-0.145710327623474</v>
      </c>
      <c r="BY1749" s="129">
        <f>VLOOKUP($D1749,WGI!$C$2:$O$478,5,FALSE)</f>
        <v>0.476881348098389</v>
      </c>
      <c r="BZ1749" s="129">
        <f>VLOOKUP($D1749,WGI!$C$2:$O$478,2,FALSE)</f>
        <v>-0.248937037637317</v>
      </c>
    </row>
    <row r="1750" spans="1:78" ht="15" customHeight="1">
      <c r="A1750" s="407" t="s">
        <v>459</v>
      </c>
      <c r="B1750" s="408">
        <v>2011</v>
      </c>
      <c r="C1750" s="805" t="s">
        <v>449</v>
      </c>
      <c r="D1750" s="117" t="s">
        <v>3711</v>
      </c>
      <c r="E1750" s="409" t="s">
        <v>220</v>
      </c>
      <c r="F1750" s="410"/>
      <c r="G1750" s="621" t="s">
        <v>24</v>
      </c>
      <c r="H1750" s="117" t="str">
        <f t="shared" si="291"/>
        <v>yes</v>
      </c>
      <c r="I1750" s="117" t="str">
        <f t="shared" si="294"/>
        <v>no</v>
      </c>
      <c r="J1750" s="117" t="str">
        <f t="shared" si="295"/>
        <v>no</v>
      </c>
      <c r="K1750" s="410" t="s">
        <v>1493</v>
      </c>
      <c r="L1750" s="117" t="str">
        <f t="shared" si="292"/>
        <v>detailed</v>
      </c>
      <c r="M1750" s="117" t="str">
        <f t="shared" si="296"/>
        <v>detailed Mining</v>
      </c>
      <c r="N1750" s="411">
        <v>19141</v>
      </c>
      <c r="O1750" s="411"/>
      <c r="P1750" s="411"/>
      <c r="Q1750" s="411"/>
      <c r="R1750" s="411"/>
      <c r="S1750" s="410" t="s">
        <v>610</v>
      </c>
      <c r="T1750" s="412">
        <v>34130</v>
      </c>
      <c r="U1750" s="410" t="s">
        <v>611</v>
      </c>
      <c r="V1750" s="410" t="s">
        <v>2129</v>
      </c>
      <c r="W1750" s="413">
        <f t="shared" si="303"/>
        <v>653282330</v>
      </c>
      <c r="X1750" s="410"/>
      <c r="Y1750" s="410"/>
      <c r="Z1750" s="410"/>
      <c r="AA1750" s="413"/>
      <c r="AB1750" s="413"/>
      <c r="AC1750" s="618"/>
      <c r="AD1750" s="618"/>
      <c r="AE1750" s="618"/>
      <c r="AF1750" s="619"/>
      <c r="AG1750" s="410"/>
      <c r="AH1750" s="417"/>
      <c r="AI1750" s="410"/>
      <c r="AJ1750" s="410"/>
      <c r="AK1750" s="413"/>
      <c r="AL1750" s="410"/>
      <c r="AM1750" s="410"/>
      <c r="AN1750" s="410"/>
      <c r="AO1750" s="410"/>
      <c r="AP1750" s="410"/>
      <c r="AQ1750" s="410"/>
      <c r="AR1750" s="410"/>
      <c r="AS1750" s="410"/>
      <c r="AT1750" s="410"/>
      <c r="AU1750" s="410"/>
      <c r="AV1750" s="419"/>
      <c r="AW1750" s="117">
        <f>VLOOKUP($D1750,'WB Data'!$C$3:$M$578,2,FALSE)</f>
        <v>170564249004.95398</v>
      </c>
      <c r="AX1750" s="117">
        <f>VLOOKUP($D1750,'WB Data'!$C$3:$M$578,3,FALSE)</f>
        <v>29614887</v>
      </c>
      <c r="AY1750" s="847">
        <f t="shared" si="298"/>
        <v>3.4499161760616619E-2</v>
      </c>
      <c r="AZ1750" s="117">
        <f>VLOOKUP($D1750,'WB Data'!$C$3:$M$578,4,FALSE)/100</f>
        <v>0.20943982120853646</v>
      </c>
      <c r="BA1750" s="117">
        <f t="shared" si="299"/>
        <v>35722945816.165855</v>
      </c>
      <c r="BB1750" s="129">
        <f>IFERROR(VLOOKUP($D1750,'EITI Revenues'!$C$2:$G$224,5,FALSE),"..")</f>
        <v>5884323617</v>
      </c>
      <c r="BC1750" s="846">
        <f t="shared" si="300"/>
        <v>0.16472111922911861</v>
      </c>
      <c r="BD1750" s="129">
        <f>VLOOKUP($D1750,'WB Data 2'!$C$2:$K$545,6,FALSE)</f>
        <v>29773224958.428841</v>
      </c>
      <c r="BE1750" s="129">
        <f>IFERROR(VLOOKUP($D1750,UNCTAD!$C$5:$V$529,4,FALSE),"..")</f>
        <v>50632851000</v>
      </c>
      <c r="BF1750" s="846">
        <f t="shared" si="301"/>
        <v>0.58802189429208407</v>
      </c>
      <c r="BG1750" s="117">
        <f>VLOOKUP($D1750,'WB Data'!$C$3:$M$578,5,FALSE)</f>
        <v>604820000</v>
      </c>
      <c r="BH1750" s="129">
        <f>IFERROR($BB1750/$BG1750,"..")</f>
        <v>9.7290493320326714</v>
      </c>
      <c r="BI1750" s="117">
        <f>IFERROR(VLOOKUP($D1750,'WB Data'!$C$3:$M$578,7,FALSE)/100,"..")</f>
        <v>2.5311699999999999E-2</v>
      </c>
      <c r="BJ1750" s="117">
        <f>IFERROR($BI1750*$AW1750,"..")</f>
        <v>4317271101.5386934</v>
      </c>
      <c r="BK1750" s="846">
        <f>IFERROR($BB1750/$BJ1750,"..")</f>
        <v>1.3629729240081316</v>
      </c>
      <c r="BL1750" s="117">
        <f>IFERROR(VLOOKUP($D1750,'WB Data'!$C$3:$M$578,7,FALSE)/100,"..")</f>
        <v>2.5311699999999999E-2</v>
      </c>
      <c r="BM1750" s="117">
        <f>IFERROR($AW1750*$BL1750,"..")</f>
        <v>4317271101.5386934</v>
      </c>
      <c r="BN1750" s="846">
        <f>IFERROR($BB1750/$BM1750,"..")</f>
        <v>1.3629729240081316</v>
      </c>
      <c r="BO1750" s="801">
        <f t="shared" si="297"/>
        <v>38</v>
      </c>
      <c r="BP1750" s="117">
        <f>VLOOKUP($D1750,'WB Data'!$C$3:$M$578,9,FALSE)</f>
        <v>27.8</v>
      </c>
      <c r="BQ1750" s="117">
        <f>VLOOKUP($D1750,'WB Data'!$C$3:$M$578,10,FALSE)</f>
        <v>74.210536585365858</v>
      </c>
      <c r="BR1750" s="117">
        <f>VLOOKUP($D1750,'WB Data'!$C$3:$M$578,11,FALSE)</f>
        <v>14.3</v>
      </c>
      <c r="BS1750" s="129">
        <f>IFERROR(VLOOKUP($D1750,'WB Data 2'!$C$2:$K$545,9,FALSE),"..")</f>
        <v>96.327079999999995</v>
      </c>
      <c r="BT1750" s="129">
        <f>_xlfn.IFNA(VLOOKUP($C1750,RGI!$A$2:$C$43,2,FALSE),"..")</f>
        <v>76.8</v>
      </c>
      <c r="BU1750" s="129">
        <f>_xlfn.IFNA(VLOOKUP($C1750,RGI!$A$2:$C$43,3,FALSE),"..")</f>
        <v>72.816147461462435</v>
      </c>
      <c r="BV1750" s="129">
        <f>VLOOKUP($D1750,WGI!$C$2:$O$478,7,FALSE)</f>
        <v>9.0719139218499306E-2</v>
      </c>
      <c r="BW1750" s="129">
        <f>VLOOKUP($D1750,WGI!$C$2:$O$478,4,FALSE)</f>
        <v>-0.738042232413051</v>
      </c>
      <c r="BX1750" s="129">
        <f>VLOOKUP($D1750,WGI!$C$2:$O$478,3,FALSE)</f>
        <v>-0.145710327623474</v>
      </c>
      <c r="BY1750" s="129">
        <f>VLOOKUP($D1750,WGI!$C$2:$O$478,5,FALSE)</f>
        <v>0.476881348098389</v>
      </c>
      <c r="BZ1750" s="129">
        <f>VLOOKUP($D1750,WGI!$C$2:$O$478,2,FALSE)</f>
        <v>-0.248937037637317</v>
      </c>
    </row>
    <row r="1751" spans="1:78" ht="15" customHeight="1">
      <c r="A1751" s="407" t="s">
        <v>459</v>
      </c>
      <c r="B1751" s="408">
        <v>2011</v>
      </c>
      <c r="C1751" s="805" t="s">
        <v>449</v>
      </c>
      <c r="D1751" s="117" t="s">
        <v>3711</v>
      </c>
      <c r="E1751" s="409" t="s">
        <v>220</v>
      </c>
      <c r="F1751" s="410"/>
      <c r="G1751" s="621" t="s">
        <v>24</v>
      </c>
      <c r="H1751" s="117" t="str">
        <f t="shared" si="291"/>
        <v>yes</v>
      </c>
      <c r="I1751" s="117" t="str">
        <f t="shared" si="294"/>
        <v>no</v>
      </c>
      <c r="J1751" s="117" t="str">
        <f t="shared" si="295"/>
        <v>no</v>
      </c>
      <c r="K1751" s="410" t="s">
        <v>1987</v>
      </c>
      <c r="L1751" s="117" t="str">
        <f t="shared" si="292"/>
        <v>detailed</v>
      </c>
      <c r="M1751" s="117" t="str">
        <f t="shared" si="296"/>
        <v>detailed Mining</v>
      </c>
      <c r="N1751" s="411">
        <v>5000</v>
      </c>
      <c r="O1751" s="411"/>
      <c r="P1751" s="411"/>
      <c r="Q1751" s="411"/>
      <c r="R1751" s="411"/>
      <c r="S1751" s="410" t="s">
        <v>610</v>
      </c>
      <c r="T1751" s="412">
        <v>531</v>
      </c>
      <c r="U1751" s="410" t="s">
        <v>611</v>
      </c>
      <c r="V1751" s="410" t="s">
        <v>2130</v>
      </c>
      <c r="W1751" s="413">
        <f t="shared" si="303"/>
        <v>2655000</v>
      </c>
      <c r="X1751" s="410"/>
      <c r="Y1751" s="413"/>
      <c r="Z1751" s="413"/>
      <c r="AA1751" s="413"/>
      <c r="AB1751" s="413"/>
      <c r="AC1751" s="618"/>
      <c r="AD1751" s="618"/>
      <c r="AE1751" s="618"/>
      <c r="AF1751" s="619"/>
      <c r="AG1751" s="413"/>
      <c r="AH1751" s="417"/>
      <c r="AI1751" s="410"/>
      <c r="AJ1751" s="410"/>
      <c r="AK1751" s="413"/>
      <c r="AL1751" s="410"/>
      <c r="AM1751" s="410"/>
      <c r="AN1751" s="410"/>
      <c r="AO1751" s="410"/>
      <c r="AP1751" s="410"/>
      <c r="AQ1751" s="410"/>
      <c r="AR1751" s="410"/>
      <c r="AS1751" s="410"/>
      <c r="AT1751" s="410"/>
      <c r="AU1751" s="410"/>
      <c r="AV1751" s="419"/>
      <c r="AW1751" s="117">
        <f>VLOOKUP($D1751,'WB Data'!$C$3:$M$578,2,FALSE)</f>
        <v>170564249004.95398</v>
      </c>
      <c r="AX1751" s="117">
        <f>VLOOKUP($D1751,'WB Data'!$C$3:$M$578,3,FALSE)</f>
        <v>29614887</v>
      </c>
      <c r="AY1751" s="847">
        <f t="shared" si="298"/>
        <v>3.4499161760616619E-2</v>
      </c>
      <c r="AZ1751" s="117">
        <f>VLOOKUP($D1751,'WB Data'!$C$3:$M$578,4,FALSE)/100</f>
        <v>0.20943982120853646</v>
      </c>
      <c r="BA1751" s="117">
        <f t="shared" si="299"/>
        <v>35722945816.165855</v>
      </c>
      <c r="BB1751" s="129">
        <f>IFERROR(VLOOKUP($D1751,'EITI Revenues'!$C$2:$G$224,5,FALSE),"..")</f>
        <v>5884323617</v>
      </c>
      <c r="BC1751" s="846">
        <f t="shared" si="300"/>
        <v>0.16472111922911861</v>
      </c>
      <c r="BD1751" s="129">
        <f>VLOOKUP($D1751,'WB Data 2'!$C$2:$K$545,6,FALSE)</f>
        <v>29773224958.428841</v>
      </c>
      <c r="BE1751" s="129">
        <f>IFERROR(VLOOKUP($D1751,UNCTAD!$C$5:$V$529,4,FALSE),"..")</f>
        <v>50632851000</v>
      </c>
      <c r="BF1751" s="846">
        <f t="shared" si="301"/>
        <v>0.58802189429208407</v>
      </c>
      <c r="BG1751" s="117">
        <f>VLOOKUP($D1751,'WB Data'!$C$3:$M$578,5,FALSE)</f>
        <v>604820000</v>
      </c>
      <c r="BH1751" s="129">
        <f>IFERROR($BB1751/$BG1751,"..")</f>
        <v>9.7290493320326714</v>
      </c>
      <c r="BI1751" s="117">
        <f>IFERROR(VLOOKUP($D1751,'WB Data'!$C$3:$M$578,7,FALSE)/100,"..")</f>
        <v>2.5311699999999999E-2</v>
      </c>
      <c r="BJ1751" s="117">
        <f>IFERROR($BI1751*$AW1751,"..")</f>
        <v>4317271101.5386934</v>
      </c>
      <c r="BK1751" s="846">
        <f>IFERROR($BB1751/$BJ1751,"..")</f>
        <v>1.3629729240081316</v>
      </c>
      <c r="BL1751" s="117">
        <f>IFERROR(VLOOKUP($D1751,'WB Data'!$C$3:$M$578,7,FALSE)/100,"..")</f>
        <v>2.5311699999999999E-2</v>
      </c>
      <c r="BM1751" s="117">
        <f>IFERROR($AW1751*$BL1751,"..")</f>
        <v>4317271101.5386934</v>
      </c>
      <c r="BN1751" s="846">
        <f>IFERROR($BB1751/$BM1751,"..")</f>
        <v>1.3629729240081316</v>
      </c>
      <c r="BO1751" s="801">
        <f t="shared" si="297"/>
        <v>38</v>
      </c>
      <c r="BP1751" s="117">
        <f>VLOOKUP($D1751,'WB Data'!$C$3:$M$578,9,FALSE)</f>
        <v>27.8</v>
      </c>
      <c r="BQ1751" s="117">
        <f>VLOOKUP($D1751,'WB Data'!$C$3:$M$578,10,FALSE)</f>
        <v>74.210536585365858</v>
      </c>
      <c r="BR1751" s="117">
        <f>VLOOKUP($D1751,'WB Data'!$C$3:$M$578,11,FALSE)</f>
        <v>14.3</v>
      </c>
      <c r="BS1751" s="129">
        <f>IFERROR(VLOOKUP($D1751,'WB Data 2'!$C$2:$K$545,9,FALSE),"..")</f>
        <v>96.327079999999995</v>
      </c>
      <c r="BT1751" s="129">
        <f>_xlfn.IFNA(VLOOKUP($C1751,RGI!$A$2:$C$43,2,FALSE),"..")</f>
        <v>76.8</v>
      </c>
      <c r="BU1751" s="129">
        <f>_xlfn.IFNA(VLOOKUP($C1751,RGI!$A$2:$C$43,3,FALSE),"..")</f>
        <v>72.816147461462435</v>
      </c>
      <c r="BV1751" s="129">
        <f>VLOOKUP($D1751,WGI!$C$2:$O$478,7,FALSE)</f>
        <v>9.0719139218499306E-2</v>
      </c>
      <c r="BW1751" s="129">
        <f>VLOOKUP($D1751,WGI!$C$2:$O$478,4,FALSE)</f>
        <v>-0.738042232413051</v>
      </c>
      <c r="BX1751" s="129">
        <f>VLOOKUP($D1751,WGI!$C$2:$O$478,3,FALSE)</f>
        <v>-0.145710327623474</v>
      </c>
      <c r="BY1751" s="129">
        <f>VLOOKUP($D1751,WGI!$C$2:$O$478,5,FALSE)</f>
        <v>0.476881348098389</v>
      </c>
      <c r="BZ1751" s="129">
        <f>VLOOKUP($D1751,WGI!$C$2:$O$478,2,FALSE)</f>
        <v>-0.248937037637317</v>
      </c>
    </row>
    <row r="1752" spans="1:78" ht="15" customHeight="1">
      <c r="A1752" s="407" t="s">
        <v>459</v>
      </c>
      <c r="B1752" s="408">
        <v>2011</v>
      </c>
      <c r="C1752" s="805" t="s">
        <v>449</v>
      </c>
      <c r="D1752" s="117" t="s">
        <v>3711</v>
      </c>
      <c r="E1752" s="409" t="s">
        <v>220</v>
      </c>
      <c r="F1752" s="410"/>
      <c r="G1752" s="621" t="s">
        <v>24</v>
      </c>
      <c r="H1752" s="117" t="str">
        <f t="shared" si="291"/>
        <v>yes</v>
      </c>
      <c r="I1752" s="117" t="str">
        <f t="shared" si="294"/>
        <v>no</v>
      </c>
      <c r="J1752" s="117" t="str">
        <f t="shared" si="295"/>
        <v>no</v>
      </c>
      <c r="K1752" s="410" t="s">
        <v>2099</v>
      </c>
      <c r="L1752" s="117" t="str">
        <f t="shared" si="292"/>
        <v>detailed</v>
      </c>
      <c r="M1752" s="117" t="str">
        <f t="shared" si="296"/>
        <v>detailed Mining</v>
      </c>
      <c r="N1752" s="411">
        <v>150</v>
      </c>
      <c r="O1752" s="411"/>
      <c r="P1752" s="411"/>
      <c r="Q1752" s="411"/>
      <c r="R1752" s="411"/>
      <c r="S1752" s="410" t="s">
        <v>610</v>
      </c>
      <c r="T1752" s="412"/>
      <c r="U1752" s="410"/>
      <c r="V1752" s="410" t="s">
        <v>847</v>
      </c>
      <c r="W1752" s="413"/>
      <c r="X1752" s="410"/>
      <c r="Y1752" s="413"/>
      <c r="Z1752" s="413"/>
      <c r="AA1752" s="413"/>
      <c r="AB1752" s="413"/>
      <c r="AC1752" s="618"/>
      <c r="AD1752" s="618"/>
      <c r="AE1752" s="618"/>
      <c r="AF1752" s="619"/>
      <c r="AG1752" s="413"/>
      <c r="AH1752" s="417"/>
      <c r="AI1752" s="410"/>
      <c r="AJ1752" s="410"/>
      <c r="AK1752" s="413"/>
      <c r="AL1752" s="410"/>
      <c r="AM1752" s="410"/>
      <c r="AN1752" s="410"/>
      <c r="AO1752" s="410"/>
      <c r="AP1752" s="410"/>
      <c r="AQ1752" s="410"/>
      <c r="AR1752" s="410"/>
      <c r="AS1752" s="410"/>
      <c r="AT1752" s="410"/>
      <c r="AU1752" s="410"/>
      <c r="AV1752" s="419"/>
      <c r="AW1752" s="117">
        <f>VLOOKUP($D1752,'WB Data'!$C$3:$M$578,2,FALSE)</f>
        <v>170564249004.95398</v>
      </c>
      <c r="AX1752" s="117">
        <f>VLOOKUP($D1752,'WB Data'!$C$3:$M$578,3,FALSE)</f>
        <v>29614887</v>
      </c>
      <c r="AY1752" s="847">
        <f t="shared" si="298"/>
        <v>3.4499161760616619E-2</v>
      </c>
      <c r="AZ1752" s="117">
        <f>VLOOKUP($D1752,'WB Data'!$C$3:$M$578,4,FALSE)/100</f>
        <v>0.20943982120853646</v>
      </c>
      <c r="BA1752" s="117">
        <f t="shared" si="299"/>
        <v>35722945816.165855</v>
      </c>
      <c r="BB1752" s="129">
        <f>IFERROR(VLOOKUP($D1752,'EITI Revenues'!$C$2:$G$224,5,FALSE),"..")</f>
        <v>5884323617</v>
      </c>
      <c r="BC1752" s="846">
        <f t="shared" si="300"/>
        <v>0.16472111922911861</v>
      </c>
      <c r="BD1752" s="129">
        <f>VLOOKUP($D1752,'WB Data 2'!$C$2:$K$545,6,FALSE)</f>
        <v>29773224958.428841</v>
      </c>
      <c r="BE1752" s="129">
        <f>IFERROR(VLOOKUP($D1752,UNCTAD!$C$5:$V$529,4,FALSE),"..")</f>
        <v>50632851000</v>
      </c>
      <c r="BF1752" s="846">
        <f t="shared" si="301"/>
        <v>0.58802189429208407</v>
      </c>
      <c r="BG1752" s="117">
        <f>VLOOKUP($D1752,'WB Data'!$C$3:$M$578,5,FALSE)</f>
        <v>604820000</v>
      </c>
      <c r="BH1752" s="129">
        <f>IFERROR($BB1752/$BG1752,"..")</f>
        <v>9.7290493320326714</v>
      </c>
      <c r="BI1752" s="117">
        <f>IFERROR(VLOOKUP($D1752,'WB Data'!$C$3:$M$578,7,FALSE)/100,"..")</f>
        <v>2.5311699999999999E-2</v>
      </c>
      <c r="BJ1752" s="117">
        <f>IFERROR($BI1752*$AW1752,"..")</f>
        <v>4317271101.5386934</v>
      </c>
      <c r="BK1752" s="846">
        <f>IFERROR($BB1752/$BJ1752,"..")</f>
        <v>1.3629729240081316</v>
      </c>
      <c r="BL1752" s="117">
        <f>IFERROR(VLOOKUP($D1752,'WB Data'!$C$3:$M$578,7,FALSE)/100,"..")</f>
        <v>2.5311699999999999E-2</v>
      </c>
      <c r="BM1752" s="117">
        <f>IFERROR($AW1752*$BL1752,"..")</f>
        <v>4317271101.5386934</v>
      </c>
      <c r="BN1752" s="846">
        <f>IFERROR($BB1752/$BM1752,"..")</f>
        <v>1.3629729240081316</v>
      </c>
      <c r="BO1752" s="801">
        <f t="shared" si="297"/>
        <v>38</v>
      </c>
      <c r="BP1752" s="117">
        <f>VLOOKUP($D1752,'WB Data'!$C$3:$M$578,9,FALSE)</f>
        <v>27.8</v>
      </c>
      <c r="BQ1752" s="117">
        <f>VLOOKUP($D1752,'WB Data'!$C$3:$M$578,10,FALSE)</f>
        <v>74.210536585365858</v>
      </c>
      <c r="BR1752" s="117">
        <f>VLOOKUP($D1752,'WB Data'!$C$3:$M$578,11,FALSE)</f>
        <v>14.3</v>
      </c>
      <c r="BS1752" s="129">
        <f>IFERROR(VLOOKUP($D1752,'WB Data 2'!$C$2:$K$545,9,FALSE),"..")</f>
        <v>96.327079999999995</v>
      </c>
      <c r="BT1752" s="129">
        <f>_xlfn.IFNA(VLOOKUP($C1752,RGI!$A$2:$C$43,2,FALSE),"..")</f>
        <v>76.8</v>
      </c>
      <c r="BU1752" s="129">
        <f>_xlfn.IFNA(VLOOKUP($C1752,RGI!$A$2:$C$43,3,FALSE),"..")</f>
        <v>72.816147461462435</v>
      </c>
      <c r="BV1752" s="129">
        <f>VLOOKUP($D1752,WGI!$C$2:$O$478,7,FALSE)</f>
        <v>9.0719139218499306E-2</v>
      </c>
      <c r="BW1752" s="129">
        <f>VLOOKUP($D1752,WGI!$C$2:$O$478,4,FALSE)</f>
        <v>-0.738042232413051</v>
      </c>
      <c r="BX1752" s="129">
        <f>VLOOKUP($D1752,WGI!$C$2:$O$478,3,FALSE)</f>
        <v>-0.145710327623474</v>
      </c>
      <c r="BY1752" s="129">
        <f>VLOOKUP($D1752,WGI!$C$2:$O$478,5,FALSE)</f>
        <v>0.476881348098389</v>
      </c>
      <c r="BZ1752" s="129">
        <f>VLOOKUP($D1752,WGI!$C$2:$O$478,2,FALSE)</f>
        <v>-0.248937037637317</v>
      </c>
    </row>
    <row r="1753" spans="1:78" ht="15" customHeight="1">
      <c r="A1753" s="407" t="s">
        <v>459</v>
      </c>
      <c r="B1753" s="408">
        <v>2011</v>
      </c>
      <c r="C1753" s="805" t="s">
        <v>449</v>
      </c>
      <c r="D1753" s="117" t="s">
        <v>3711</v>
      </c>
      <c r="E1753" s="409" t="s">
        <v>220</v>
      </c>
      <c r="F1753" s="410"/>
      <c r="G1753" s="621" t="s">
        <v>24</v>
      </c>
      <c r="H1753" s="117" t="str">
        <f t="shared" si="291"/>
        <v>yes</v>
      </c>
      <c r="I1753" s="117" t="str">
        <f t="shared" si="294"/>
        <v>no</v>
      </c>
      <c r="J1753" s="117" t="str">
        <f t="shared" si="295"/>
        <v>no</v>
      </c>
      <c r="K1753" s="410" t="s">
        <v>2100</v>
      </c>
      <c r="L1753" s="117" t="str">
        <f t="shared" si="292"/>
        <v>detailed</v>
      </c>
      <c r="M1753" s="117" t="str">
        <f t="shared" si="296"/>
        <v>detailed Mining</v>
      </c>
      <c r="N1753" s="411">
        <v>38000</v>
      </c>
      <c r="O1753" s="411"/>
      <c r="P1753" s="411"/>
      <c r="Q1753" s="411"/>
      <c r="R1753" s="411"/>
      <c r="S1753" s="410" t="s">
        <v>610</v>
      </c>
      <c r="T1753" s="412">
        <v>184.89583333332999</v>
      </c>
      <c r="U1753" s="410" t="s">
        <v>611</v>
      </c>
      <c r="V1753" s="410" t="s">
        <v>1436</v>
      </c>
      <c r="W1753" s="413">
        <f>N1753*T1753</f>
        <v>7026041.6666665394</v>
      </c>
      <c r="X1753" s="410"/>
      <c r="Y1753" s="413"/>
      <c r="Z1753" s="413"/>
      <c r="AA1753" s="413"/>
      <c r="AB1753" s="413"/>
      <c r="AC1753" s="618"/>
      <c r="AD1753" s="618"/>
      <c r="AE1753" s="618"/>
      <c r="AF1753" s="619"/>
      <c r="AG1753" s="413"/>
      <c r="AH1753" s="417"/>
      <c r="AI1753" s="410"/>
      <c r="AJ1753" s="410"/>
      <c r="AK1753" s="413"/>
      <c r="AL1753" s="410"/>
      <c r="AM1753" s="410"/>
      <c r="AN1753" s="410"/>
      <c r="AO1753" s="410"/>
      <c r="AP1753" s="410"/>
      <c r="AQ1753" s="410"/>
      <c r="AR1753" s="410"/>
      <c r="AS1753" s="410"/>
      <c r="AT1753" s="410"/>
      <c r="AU1753" s="410"/>
      <c r="AV1753" s="419"/>
      <c r="AW1753" s="117">
        <f>VLOOKUP($D1753,'WB Data'!$C$3:$M$578,2,FALSE)</f>
        <v>170564249004.95398</v>
      </c>
      <c r="AX1753" s="117">
        <f>VLOOKUP($D1753,'WB Data'!$C$3:$M$578,3,FALSE)</f>
        <v>29614887</v>
      </c>
      <c r="AY1753" s="847">
        <f t="shared" si="298"/>
        <v>3.4499161760616619E-2</v>
      </c>
      <c r="AZ1753" s="117">
        <f>VLOOKUP($D1753,'WB Data'!$C$3:$M$578,4,FALSE)/100</f>
        <v>0.20943982120853646</v>
      </c>
      <c r="BA1753" s="117">
        <f t="shared" si="299"/>
        <v>35722945816.165855</v>
      </c>
      <c r="BB1753" s="129">
        <f>IFERROR(VLOOKUP($D1753,'EITI Revenues'!$C$2:$G$224,5,FALSE),"..")</f>
        <v>5884323617</v>
      </c>
      <c r="BC1753" s="846">
        <f t="shared" si="300"/>
        <v>0.16472111922911861</v>
      </c>
      <c r="BD1753" s="129">
        <f>VLOOKUP($D1753,'WB Data 2'!$C$2:$K$545,6,FALSE)</f>
        <v>29773224958.428841</v>
      </c>
      <c r="BE1753" s="129">
        <f>IFERROR(VLOOKUP($D1753,UNCTAD!$C$5:$V$529,4,FALSE),"..")</f>
        <v>50632851000</v>
      </c>
      <c r="BF1753" s="846">
        <f t="shared" si="301"/>
        <v>0.58802189429208407</v>
      </c>
      <c r="BG1753" s="117">
        <f>VLOOKUP($D1753,'WB Data'!$C$3:$M$578,5,FALSE)</f>
        <v>604820000</v>
      </c>
      <c r="BH1753" s="129">
        <f>IFERROR($BB1753/$BG1753,"..")</f>
        <v>9.7290493320326714</v>
      </c>
      <c r="BI1753" s="117">
        <f>IFERROR(VLOOKUP($D1753,'WB Data'!$C$3:$M$578,7,FALSE)/100,"..")</f>
        <v>2.5311699999999999E-2</v>
      </c>
      <c r="BJ1753" s="117">
        <f>IFERROR($BI1753*$AW1753,"..")</f>
        <v>4317271101.5386934</v>
      </c>
      <c r="BK1753" s="846">
        <f>IFERROR($BB1753/$BJ1753,"..")</f>
        <v>1.3629729240081316</v>
      </c>
      <c r="BL1753" s="117">
        <f>IFERROR(VLOOKUP($D1753,'WB Data'!$C$3:$M$578,7,FALSE)/100,"..")</f>
        <v>2.5311699999999999E-2</v>
      </c>
      <c r="BM1753" s="117">
        <f>IFERROR($AW1753*$BL1753,"..")</f>
        <v>4317271101.5386934</v>
      </c>
      <c r="BN1753" s="846">
        <f>IFERROR($BB1753/$BM1753,"..")</f>
        <v>1.3629729240081316</v>
      </c>
      <c r="BO1753" s="801">
        <f t="shared" si="297"/>
        <v>38</v>
      </c>
      <c r="BP1753" s="117">
        <f>VLOOKUP($D1753,'WB Data'!$C$3:$M$578,9,FALSE)</f>
        <v>27.8</v>
      </c>
      <c r="BQ1753" s="117">
        <f>VLOOKUP($D1753,'WB Data'!$C$3:$M$578,10,FALSE)</f>
        <v>74.210536585365858</v>
      </c>
      <c r="BR1753" s="117">
        <f>VLOOKUP($D1753,'WB Data'!$C$3:$M$578,11,FALSE)</f>
        <v>14.3</v>
      </c>
      <c r="BS1753" s="129">
        <f>IFERROR(VLOOKUP($D1753,'WB Data 2'!$C$2:$K$545,9,FALSE),"..")</f>
        <v>96.327079999999995</v>
      </c>
      <c r="BT1753" s="129">
        <f>_xlfn.IFNA(VLOOKUP($C1753,RGI!$A$2:$C$43,2,FALSE),"..")</f>
        <v>76.8</v>
      </c>
      <c r="BU1753" s="129">
        <f>_xlfn.IFNA(VLOOKUP($C1753,RGI!$A$2:$C$43,3,FALSE),"..")</f>
        <v>72.816147461462435</v>
      </c>
      <c r="BV1753" s="129">
        <f>VLOOKUP($D1753,WGI!$C$2:$O$478,7,FALSE)</f>
        <v>9.0719139218499306E-2</v>
      </c>
      <c r="BW1753" s="129">
        <f>VLOOKUP($D1753,WGI!$C$2:$O$478,4,FALSE)</f>
        <v>-0.738042232413051</v>
      </c>
      <c r="BX1753" s="129">
        <f>VLOOKUP($D1753,WGI!$C$2:$O$478,3,FALSE)</f>
        <v>-0.145710327623474</v>
      </c>
      <c r="BY1753" s="129">
        <f>VLOOKUP($D1753,WGI!$C$2:$O$478,5,FALSE)</f>
        <v>0.476881348098389</v>
      </c>
      <c r="BZ1753" s="129">
        <f>VLOOKUP($D1753,WGI!$C$2:$O$478,2,FALSE)</f>
        <v>-0.248937037637317</v>
      </c>
    </row>
    <row r="1754" spans="1:78" ht="15" customHeight="1">
      <c r="A1754" s="407" t="s">
        <v>459</v>
      </c>
      <c r="B1754" s="408">
        <v>2011</v>
      </c>
      <c r="C1754" s="805" t="s">
        <v>449</v>
      </c>
      <c r="D1754" s="117" t="s">
        <v>3711</v>
      </c>
      <c r="E1754" s="409" t="s">
        <v>220</v>
      </c>
      <c r="F1754" s="410"/>
      <c r="G1754" s="621" t="s">
        <v>24</v>
      </c>
      <c r="H1754" s="117" t="str">
        <f t="shared" si="291"/>
        <v>yes</v>
      </c>
      <c r="I1754" s="117" t="str">
        <f t="shared" si="294"/>
        <v>no</v>
      </c>
      <c r="J1754" s="117" t="str">
        <f t="shared" si="295"/>
        <v>no</v>
      </c>
      <c r="K1754" s="410" t="s">
        <v>1437</v>
      </c>
      <c r="L1754" s="117" t="str">
        <f t="shared" si="292"/>
        <v>detailed</v>
      </c>
      <c r="M1754" s="117" t="str">
        <f t="shared" si="296"/>
        <v>detailed Mining</v>
      </c>
      <c r="N1754" s="411">
        <v>330000</v>
      </c>
      <c r="O1754" s="411"/>
      <c r="P1754" s="411"/>
      <c r="Q1754" s="411"/>
      <c r="R1754" s="411"/>
      <c r="S1754" s="410" t="s">
        <v>610</v>
      </c>
      <c r="T1754" s="412"/>
      <c r="U1754" s="410"/>
      <c r="V1754" s="410" t="s">
        <v>847</v>
      </c>
      <c r="W1754" s="413"/>
      <c r="X1754" s="410"/>
      <c r="Y1754" s="413"/>
      <c r="Z1754" s="413"/>
      <c r="AA1754" s="413"/>
      <c r="AB1754" s="413"/>
      <c r="AC1754" s="618"/>
      <c r="AD1754" s="618"/>
      <c r="AE1754" s="618"/>
      <c r="AF1754" s="619"/>
      <c r="AG1754" s="413"/>
      <c r="AH1754" s="417"/>
      <c r="AI1754" s="410"/>
      <c r="AJ1754" s="410"/>
      <c r="AK1754" s="413"/>
      <c r="AL1754" s="410"/>
      <c r="AM1754" s="410"/>
      <c r="AN1754" s="410"/>
      <c r="AO1754" s="410"/>
      <c r="AP1754" s="410"/>
      <c r="AQ1754" s="410"/>
      <c r="AR1754" s="410"/>
      <c r="AS1754" s="410"/>
      <c r="AT1754" s="410"/>
      <c r="AU1754" s="410"/>
      <c r="AV1754" s="419"/>
      <c r="AW1754" s="117">
        <f>VLOOKUP($D1754,'WB Data'!$C$3:$M$578,2,FALSE)</f>
        <v>170564249004.95398</v>
      </c>
      <c r="AX1754" s="117">
        <f>VLOOKUP($D1754,'WB Data'!$C$3:$M$578,3,FALSE)</f>
        <v>29614887</v>
      </c>
      <c r="AY1754" s="847">
        <f t="shared" si="298"/>
        <v>3.4499161760616619E-2</v>
      </c>
      <c r="AZ1754" s="117">
        <f>VLOOKUP($D1754,'WB Data'!$C$3:$M$578,4,FALSE)/100</f>
        <v>0.20943982120853646</v>
      </c>
      <c r="BA1754" s="117">
        <f t="shared" si="299"/>
        <v>35722945816.165855</v>
      </c>
      <c r="BB1754" s="129">
        <f>IFERROR(VLOOKUP($D1754,'EITI Revenues'!$C$2:$G$224,5,FALSE),"..")</f>
        <v>5884323617</v>
      </c>
      <c r="BC1754" s="846">
        <f t="shared" si="300"/>
        <v>0.16472111922911861</v>
      </c>
      <c r="BD1754" s="129">
        <f>VLOOKUP($D1754,'WB Data 2'!$C$2:$K$545,6,FALSE)</f>
        <v>29773224958.428841</v>
      </c>
      <c r="BE1754" s="129">
        <f>IFERROR(VLOOKUP($D1754,UNCTAD!$C$5:$V$529,4,FALSE),"..")</f>
        <v>50632851000</v>
      </c>
      <c r="BF1754" s="846">
        <f t="shared" si="301"/>
        <v>0.58802189429208407</v>
      </c>
      <c r="BG1754" s="117">
        <f>VLOOKUP($D1754,'WB Data'!$C$3:$M$578,5,FALSE)</f>
        <v>604820000</v>
      </c>
      <c r="BH1754" s="129">
        <f>IFERROR($BB1754/$BG1754,"..")</f>
        <v>9.7290493320326714</v>
      </c>
      <c r="BI1754" s="117">
        <f>IFERROR(VLOOKUP($D1754,'WB Data'!$C$3:$M$578,7,FALSE)/100,"..")</f>
        <v>2.5311699999999999E-2</v>
      </c>
      <c r="BJ1754" s="117">
        <f>IFERROR($BI1754*$AW1754,"..")</f>
        <v>4317271101.5386934</v>
      </c>
      <c r="BK1754" s="846">
        <f>IFERROR($BB1754/$BJ1754,"..")</f>
        <v>1.3629729240081316</v>
      </c>
      <c r="BL1754" s="117">
        <f>IFERROR(VLOOKUP($D1754,'WB Data'!$C$3:$M$578,7,FALSE)/100,"..")</f>
        <v>2.5311699999999999E-2</v>
      </c>
      <c r="BM1754" s="117">
        <f>IFERROR($AW1754*$BL1754,"..")</f>
        <v>4317271101.5386934</v>
      </c>
      <c r="BN1754" s="846">
        <f>IFERROR($BB1754/$BM1754,"..")</f>
        <v>1.3629729240081316</v>
      </c>
      <c r="BO1754" s="801">
        <f t="shared" si="297"/>
        <v>38</v>
      </c>
      <c r="BP1754" s="117">
        <f>VLOOKUP($D1754,'WB Data'!$C$3:$M$578,9,FALSE)</f>
        <v>27.8</v>
      </c>
      <c r="BQ1754" s="117">
        <f>VLOOKUP($D1754,'WB Data'!$C$3:$M$578,10,FALSE)</f>
        <v>74.210536585365858</v>
      </c>
      <c r="BR1754" s="117">
        <f>VLOOKUP($D1754,'WB Data'!$C$3:$M$578,11,FALSE)</f>
        <v>14.3</v>
      </c>
      <c r="BS1754" s="129">
        <f>IFERROR(VLOOKUP($D1754,'WB Data 2'!$C$2:$K$545,9,FALSE),"..")</f>
        <v>96.327079999999995</v>
      </c>
      <c r="BT1754" s="129">
        <f>_xlfn.IFNA(VLOOKUP($C1754,RGI!$A$2:$C$43,2,FALSE),"..")</f>
        <v>76.8</v>
      </c>
      <c r="BU1754" s="129">
        <f>_xlfn.IFNA(VLOOKUP($C1754,RGI!$A$2:$C$43,3,FALSE),"..")</f>
        <v>72.816147461462435</v>
      </c>
      <c r="BV1754" s="129">
        <f>VLOOKUP($D1754,WGI!$C$2:$O$478,7,FALSE)</f>
        <v>9.0719139218499306E-2</v>
      </c>
      <c r="BW1754" s="129">
        <f>VLOOKUP($D1754,WGI!$C$2:$O$478,4,FALSE)</f>
        <v>-0.738042232413051</v>
      </c>
      <c r="BX1754" s="129">
        <f>VLOOKUP($D1754,WGI!$C$2:$O$478,3,FALSE)</f>
        <v>-0.145710327623474</v>
      </c>
      <c r="BY1754" s="129">
        <f>VLOOKUP($D1754,WGI!$C$2:$O$478,5,FALSE)</f>
        <v>0.476881348098389</v>
      </c>
      <c r="BZ1754" s="129">
        <f>VLOOKUP($D1754,WGI!$C$2:$O$478,2,FALSE)</f>
        <v>-0.248937037637317</v>
      </c>
    </row>
    <row r="1755" spans="1:78" ht="15" customHeight="1">
      <c r="A1755" s="407" t="s">
        <v>459</v>
      </c>
      <c r="B1755" s="408">
        <v>2011</v>
      </c>
      <c r="C1755" s="805" t="s">
        <v>449</v>
      </c>
      <c r="D1755" s="117" t="s">
        <v>3711</v>
      </c>
      <c r="E1755" s="409" t="s">
        <v>220</v>
      </c>
      <c r="F1755" s="410"/>
      <c r="G1755" s="621" t="s">
        <v>24</v>
      </c>
      <c r="H1755" s="117" t="str">
        <f t="shared" ref="H1755:H1818" si="304">IF($G1755="Mining","yes",IF($G1755="Oil, Gas, Mining","yes",IF($G1755="Gas, Mining","yes",IF($G1755="Oil, Mining","yes",IF($G1755="Oil, Mining, Other","yes","no")))))</f>
        <v>yes</v>
      </c>
      <c r="I1755" s="117" t="str">
        <f t="shared" si="294"/>
        <v>no</v>
      </c>
      <c r="J1755" s="117" t="str">
        <f t="shared" si="295"/>
        <v>no</v>
      </c>
      <c r="K1755" s="410" t="s">
        <v>2101</v>
      </c>
      <c r="L1755" s="117" t="str">
        <f t="shared" ref="L1755:L1818" si="305">IF(LEFT(K1755,5)="Total","Total","detailed")</f>
        <v>detailed</v>
      </c>
      <c r="M1755" s="117" t="str">
        <f t="shared" si="296"/>
        <v>detailed Mining</v>
      </c>
      <c r="N1755" s="411">
        <v>124000</v>
      </c>
      <c r="O1755" s="411"/>
      <c r="P1755" s="411"/>
      <c r="Q1755" s="411"/>
      <c r="R1755" s="411"/>
      <c r="S1755" s="410" t="s">
        <v>610</v>
      </c>
      <c r="T1755" s="412">
        <v>8.98</v>
      </c>
      <c r="U1755" s="410" t="s">
        <v>611</v>
      </c>
      <c r="V1755" s="410" t="s">
        <v>2131</v>
      </c>
      <c r="W1755" s="413">
        <f t="shared" ref="W1755:W1763" si="306">N1755*T1755</f>
        <v>1113520</v>
      </c>
      <c r="X1755" s="410"/>
      <c r="Y1755" s="413"/>
      <c r="Z1755" s="413"/>
      <c r="AA1755" s="413"/>
      <c r="AB1755" s="413"/>
      <c r="AC1755" s="618"/>
      <c r="AD1755" s="618"/>
      <c r="AE1755" s="618"/>
      <c r="AF1755" s="619"/>
      <c r="AG1755" s="413"/>
      <c r="AH1755" s="417"/>
      <c r="AI1755" s="410"/>
      <c r="AJ1755" s="410"/>
      <c r="AK1755" s="413"/>
      <c r="AL1755" s="410"/>
      <c r="AM1755" s="410"/>
      <c r="AN1755" s="410"/>
      <c r="AO1755" s="410"/>
      <c r="AP1755" s="410"/>
      <c r="AQ1755" s="410"/>
      <c r="AR1755" s="410"/>
      <c r="AS1755" s="410"/>
      <c r="AT1755" s="410"/>
      <c r="AU1755" s="410"/>
      <c r="AV1755" s="419"/>
      <c r="AW1755" s="117">
        <f>VLOOKUP($D1755,'WB Data'!$C$3:$M$578,2,FALSE)</f>
        <v>170564249004.95398</v>
      </c>
      <c r="AX1755" s="117">
        <f>VLOOKUP($D1755,'WB Data'!$C$3:$M$578,3,FALSE)</f>
        <v>29614887</v>
      </c>
      <c r="AY1755" s="847">
        <f t="shared" si="298"/>
        <v>3.4499161760616619E-2</v>
      </c>
      <c r="AZ1755" s="117">
        <f>VLOOKUP($D1755,'WB Data'!$C$3:$M$578,4,FALSE)/100</f>
        <v>0.20943982120853646</v>
      </c>
      <c r="BA1755" s="117">
        <f t="shared" si="299"/>
        <v>35722945816.165855</v>
      </c>
      <c r="BB1755" s="129">
        <f>IFERROR(VLOOKUP($D1755,'EITI Revenues'!$C$2:$G$224,5,FALSE),"..")</f>
        <v>5884323617</v>
      </c>
      <c r="BC1755" s="846">
        <f t="shared" si="300"/>
        <v>0.16472111922911861</v>
      </c>
      <c r="BD1755" s="129">
        <f>VLOOKUP($D1755,'WB Data 2'!$C$2:$K$545,6,FALSE)</f>
        <v>29773224958.428841</v>
      </c>
      <c r="BE1755" s="129">
        <f>IFERROR(VLOOKUP($D1755,UNCTAD!$C$5:$V$529,4,FALSE),"..")</f>
        <v>50632851000</v>
      </c>
      <c r="BF1755" s="846">
        <f t="shared" si="301"/>
        <v>0.58802189429208407</v>
      </c>
      <c r="BG1755" s="117">
        <f>VLOOKUP($D1755,'WB Data'!$C$3:$M$578,5,FALSE)</f>
        <v>604820000</v>
      </c>
      <c r="BH1755" s="129">
        <f>IFERROR($BB1755/$BG1755,"..")</f>
        <v>9.7290493320326714</v>
      </c>
      <c r="BI1755" s="117">
        <f>IFERROR(VLOOKUP($D1755,'WB Data'!$C$3:$M$578,7,FALSE)/100,"..")</f>
        <v>2.5311699999999999E-2</v>
      </c>
      <c r="BJ1755" s="117">
        <f>IFERROR($BI1755*$AW1755,"..")</f>
        <v>4317271101.5386934</v>
      </c>
      <c r="BK1755" s="846">
        <f>IFERROR($BB1755/$BJ1755,"..")</f>
        <v>1.3629729240081316</v>
      </c>
      <c r="BL1755" s="117">
        <f>IFERROR(VLOOKUP($D1755,'WB Data'!$C$3:$M$578,7,FALSE)/100,"..")</f>
        <v>2.5311699999999999E-2</v>
      </c>
      <c r="BM1755" s="117">
        <f>IFERROR($AW1755*$BL1755,"..")</f>
        <v>4317271101.5386934</v>
      </c>
      <c r="BN1755" s="846">
        <f>IFERROR($BB1755/$BM1755,"..")</f>
        <v>1.3629729240081316</v>
      </c>
      <c r="BO1755" s="801">
        <f t="shared" si="297"/>
        <v>38</v>
      </c>
      <c r="BP1755" s="117">
        <f>VLOOKUP($D1755,'WB Data'!$C$3:$M$578,9,FALSE)</f>
        <v>27.8</v>
      </c>
      <c r="BQ1755" s="117">
        <f>VLOOKUP($D1755,'WB Data'!$C$3:$M$578,10,FALSE)</f>
        <v>74.210536585365858</v>
      </c>
      <c r="BR1755" s="117">
        <f>VLOOKUP($D1755,'WB Data'!$C$3:$M$578,11,FALSE)</f>
        <v>14.3</v>
      </c>
      <c r="BS1755" s="129">
        <f>IFERROR(VLOOKUP($D1755,'WB Data 2'!$C$2:$K$545,9,FALSE),"..")</f>
        <v>96.327079999999995</v>
      </c>
      <c r="BT1755" s="129">
        <f>_xlfn.IFNA(VLOOKUP($C1755,RGI!$A$2:$C$43,2,FALSE),"..")</f>
        <v>76.8</v>
      </c>
      <c r="BU1755" s="129">
        <f>_xlfn.IFNA(VLOOKUP($C1755,RGI!$A$2:$C$43,3,FALSE),"..")</f>
        <v>72.816147461462435</v>
      </c>
      <c r="BV1755" s="129">
        <f>VLOOKUP($D1755,WGI!$C$2:$O$478,7,FALSE)</f>
        <v>9.0719139218499306E-2</v>
      </c>
      <c r="BW1755" s="129">
        <f>VLOOKUP($D1755,WGI!$C$2:$O$478,4,FALSE)</f>
        <v>-0.738042232413051</v>
      </c>
      <c r="BX1755" s="129">
        <f>VLOOKUP($D1755,WGI!$C$2:$O$478,3,FALSE)</f>
        <v>-0.145710327623474</v>
      </c>
      <c r="BY1755" s="129">
        <f>VLOOKUP($D1755,WGI!$C$2:$O$478,5,FALSE)</f>
        <v>0.476881348098389</v>
      </c>
      <c r="BZ1755" s="129">
        <f>VLOOKUP($D1755,WGI!$C$2:$O$478,2,FALSE)</f>
        <v>-0.248937037637317</v>
      </c>
    </row>
    <row r="1756" spans="1:78" ht="15" customHeight="1">
      <c r="A1756" s="407" t="s">
        <v>459</v>
      </c>
      <c r="B1756" s="408">
        <v>2011</v>
      </c>
      <c r="C1756" s="805" t="s">
        <v>449</v>
      </c>
      <c r="D1756" s="117" t="s">
        <v>3711</v>
      </c>
      <c r="E1756" s="409" t="s">
        <v>220</v>
      </c>
      <c r="F1756" s="410"/>
      <c r="G1756" s="621" t="s">
        <v>24</v>
      </c>
      <c r="H1756" s="117" t="str">
        <f t="shared" si="304"/>
        <v>yes</v>
      </c>
      <c r="I1756" s="117" t="str">
        <f t="shared" si="294"/>
        <v>no</v>
      </c>
      <c r="J1756" s="117" t="str">
        <f t="shared" si="295"/>
        <v>no</v>
      </c>
      <c r="K1756" s="410" t="s">
        <v>1147</v>
      </c>
      <c r="L1756" s="117" t="str">
        <f t="shared" si="305"/>
        <v>detailed</v>
      </c>
      <c r="M1756" s="117" t="str">
        <f t="shared" si="296"/>
        <v>detailed Mining</v>
      </c>
      <c r="N1756" s="411">
        <v>1565000</v>
      </c>
      <c r="O1756" s="411"/>
      <c r="P1756" s="411"/>
      <c r="Q1756" s="411"/>
      <c r="R1756" s="411"/>
      <c r="S1756" s="410" t="s">
        <v>610</v>
      </c>
      <c r="T1756" s="412">
        <v>67.89</v>
      </c>
      <c r="U1756" s="410" t="s">
        <v>611</v>
      </c>
      <c r="V1756" s="410" t="s">
        <v>1172</v>
      </c>
      <c r="W1756" s="413">
        <f t="shared" si="306"/>
        <v>106247850</v>
      </c>
      <c r="X1756" s="410"/>
      <c r="Y1756" s="413"/>
      <c r="Z1756" s="413"/>
      <c r="AA1756" s="413"/>
      <c r="AB1756" s="413"/>
      <c r="AC1756" s="618"/>
      <c r="AD1756" s="618"/>
      <c r="AE1756" s="618"/>
      <c r="AF1756" s="619"/>
      <c r="AG1756" s="413"/>
      <c r="AH1756" s="417"/>
      <c r="AI1756" s="410"/>
      <c r="AJ1756" s="410"/>
      <c r="AK1756" s="413"/>
      <c r="AL1756" s="410"/>
      <c r="AM1756" s="410"/>
      <c r="AN1756" s="410"/>
      <c r="AO1756" s="410"/>
      <c r="AP1756" s="410"/>
      <c r="AQ1756" s="410"/>
      <c r="AR1756" s="410"/>
      <c r="AS1756" s="410"/>
      <c r="AT1756" s="410"/>
      <c r="AU1756" s="410"/>
      <c r="AV1756" s="419"/>
      <c r="AW1756" s="117">
        <f>VLOOKUP($D1756,'WB Data'!$C$3:$M$578,2,FALSE)</f>
        <v>170564249004.95398</v>
      </c>
      <c r="AX1756" s="117">
        <f>VLOOKUP($D1756,'WB Data'!$C$3:$M$578,3,FALSE)</f>
        <v>29614887</v>
      </c>
      <c r="AY1756" s="847">
        <f t="shared" si="298"/>
        <v>3.4499161760616619E-2</v>
      </c>
      <c r="AZ1756" s="117">
        <f>VLOOKUP($D1756,'WB Data'!$C$3:$M$578,4,FALSE)/100</f>
        <v>0.20943982120853646</v>
      </c>
      <c r="BA1756" s="117">
        <f t="shared" si="299"/>
        <v>35722945816.165855</v>
      </c>
      <c r="BB1756" s="129">
        <f>IFERROR(VLOOKUP($D1756,'EITI Revenues'!$C$2:$G$224,5,FALSE),"..")</f>
        <v>5884323617</v>
      </c>
      <c r="BC1756" s="846">
        <f t="shared" si="300"/>
        <v>0.16472111922911861</v>
      </c>
      <c r="BD1756" s="129">
        <f>VLOOKUP($D1756,'WB Data 2'!$C$2:$K$545,6,FALSE)</f>
        <v>29773224958.428841</v>
      </c>
      <c r="BE1756" s="129">
        <f>IFERROR(VLOOKUP($D1756,UNCTAD!$C$5:$V$529,4,FALSE),"..")</f>
        <v>50632851000</v>
      </c>
      <c r="BF1756" s="846">
        <f t="shared" si="301"/>
        <v>0.58802189429208407</v>
      </c>
      <c r="BG1756" s="117">
        <f>VLOOKUP($D1756,'WB Data'!$C$3:$M$578,5,FALSE)</f>
        <v>604820000</v>
      </c>
      <c r="BH1756" s="129">
        <f>IFERROR($BB1756/$BG1756,"..")</f>
        <v>9.7290493320326714</v>
      </c>
      <c r="BI1756" s="117">
        <f>IFERROR(VLOOKUP($D1756,'WB Data'!$C$3:$M$578,7,FALSE)/100,"..")</f>
        <v>2.5311699999999999E-2</v>
      </c>
      <c r="BJ1756" s="117">
        <f>IFERROR($BI1756*$AW1756,"..")</f>
        <v>4317271101.5386934</v>
      </c>
      <c r="BK1756" s="846">
        <f>IFERROR($BB1756/$BJ1756,"..")</f>
        <v>1.3629729240081316</v>
      </c>
      <c r="BL1756" s="117">
        <f>IFERROR(VLOOKUP($D1756,'WB Data'!$C$3:$M$578,7,FALSE)/100,"..")</f>
        <v>2.5311699999999999E-2</v>
      </c>
      <c r="BM1756" s="117">
        <f>IFERROR($AW1756*$BL1756,"..")</f>
        <v>4317271101.5386934</v>
      </c>
      <c r="BN1756" s="846">
        <f>IFERROR($BB1756/$BM1756,"..")</f>
        <v>1.3629729240081316</v>
      </c>
      <c r="BO1756" s="801">
        <f t="shared" si="297"/>
        <v>38</v>
      </c>
      <c r="BP1756" s="117">
        <f>VLOOKUP($D1756,'WB Data'!$C$3:$M$578,9,FALSE)</f>
        <v>27.8</v>
      </c>
      <c r="BQ1756" s="117">
        <f>VLOOKUP($D1756,'WB Data'!$C$3:$M$578,10,FALSE)</f>
        <v>74.210536585365858</v>
      </c>
      <c r="BR1756" s="117">
        <f>VLOOKUP($D1756,'WB Data'!$C$3:$M$578,11,FALSE)</f>
        <v>14.3</v>
      </c>
      <c r="BS1756" s="129">
        <f>IFERROR(VLOOKUP($D1756,'WB Data 2'!$C$2:$K$545,9,FALSE),"..")</f>
        <v>96.327079999999995</v>
      </c>
      <c r="BT1756" s="129">
        <f>_xlfn.IFNA(VLOOKUP($C1756,RGI!$A$2:$C$43,2,FALSE),"..")</f>
        <v>76.8</v>
      </c>
      <c r="BU1756" s="129">
        <f>_xlfn.IFNA(VLOOKUP($C1756,RGI!$A$2:$C$43,3,FALSE),"..")</f>
        <v>72.816147461462435</v>
      </c>
      <c r="BV1756" s="129">
        <f>VLOOKUP($D1756,WGI!$C$2:$O$478,7,FALSE)</f>
        <v>9.0719139218499306E-2</v>
      </c>
      <c r="BW1756" s="129">
        <f>VLOOKUP($D1756,WGI!$C$2:$O$478,4,FALSE)</f>
        <v>-0.738042232413051</v>
      </c>
      <c r="BX1756" s="129">
        <f>VLOOKUP($D1756,WGI!$C$2:$O$478,3,FALSE)</f>
        <v>-0.145710327623474</v>
      </c>
      <c r="BY1756" s="129">
        <f>VLOOKUP($D1756,WGI!$C$2:$O$478,5,FALSE)</f>
        <v>0.476881348098389</v>
      </c>
      <c r="BZ1756" s="129">
        <f>VLOOKUP($D1756,WGI!$C$2:$O$478,2,FALSE)</f>
        <v>-0.248937037637317</v>
      </c>
    </row>
    <row r="1757" spans="1:78" ht="15" customHeight="1">
      <c r="A1757" s="407" t="s">
        <v>459</v>
      </c>
      <c r="B1757" s="408">
        <v>2011</v>
      </c>
      <c r="C1757" s="805" t="s">
        <v>449</v>
      </c>
      <c r="D1757" s="117" t="s">
        <v>3711</v>
      </c>
      <c r="E1757" s="409" t="s">
        <v>220</v>
      </c>
      <c r="F1757" s="410"/>
      <c r="G1757" s="621" t="s">
        <v>24</v>
      </c>
      <c r="H1757" s="117" t="str">
        <f t="shared" si="304"/>
        <v>yes</v>
      </c>
      <c r="I1757" s="117" t="str">
        <f t="shared" si="294"/>
        <v>no</v>
      </c>
      <c r="J1757" s="117" t="str">
        <f t="shared" si="295"/>
        <v>no</v>
      </c>
      <c r="K1757" s="410" t="s">
        <v>970</v>
      </c>
      <c r="L1757" s="117" t="str">
        <f t="shared" si="305"/>
        <v>detailed</v>
      </c>
      <c r="M1757" s="117" t="str">
        <f t="shared" si="296"/>
        <v>detailed Mining</v>
      </c>
      <c r="N1757" s="411">
        <v>1076</v>
      </c>
      <c r="O1757" s="411"/>
      <c r="P1757" s="411"/>
      <c r="Q1757" s="411"/>
      <c r="R1757" s="411"/>
      <c r="S1757" s="410" t="s">
        <v>610</v>
      </c>
      <c r="T1757" s="412">
        <v>7.49</v>
      </c>
      <c r="U1757" s="410" t="s">
        <v>611</v>
      </c>
      <c r="V1757" s="410" t="s">
        <v>2132</v>
      </c>
      <c r="W1757" s="413">
        <f t="shared" si="306"/>
        <v>8059.24</v>
      </c>
      <c r="X1757" s="410"/>
      <c r="Y1757" s="413"/>
      <c r="Z1757" s="413"/>
      <c r="AA1757" s="413"/>
      <c r="AB1757" s="413"/>
      <c r="AC1757" s="618"/>
      <c r="AD1757" s="618"/>
      <c r="AE1757" s="618"/>
      <c r="AF1757" s="619"/>
      <c r="AG1757" s="413"/>
      <c r="AH1757" s="417"/>
      <c r="AI1757" s="410"/>
      <c r="AJ1757" s="410"/>
      <c r="AK1757" s="413"/>
      <c r="AL1757" s="410"/>
      <c r="AM1757" s="410"/>
      <c r="AN1757" s="410"/>
      <c r="AO1757" s="410"/>
      <c r="AP1757" s="410"/>
      <c r="AQ1757" s="410"/>
      <c r="AR1757" s="410"/>
      <c r="AS1757" s="410"/>
      <c r="AT1757" s="410"/>
      <c r="AU1757" s="410"/>
      <c r="AV1757" s="419"/>
      <c r="AW1757" s="117">
        <f>VLOOKUP($D1757,'WB Data'!$C$3:$M$578,2,FALSE)</f>
        <v>170564249004.95398</v>
      </c>
      <c r="AX1757" s="117">
        <f>VLOOKUP($D1757,'WB Data'!$C$3:$M$578,3,FALSE)</f>
        <v>29614887</v>
      </c>
      <c r="AY1757" s="847">
        <f t="shared" si="298"/>
        <v>3.4499161760616619E-2</v>
      </c>
      <c r="AZ1757" s="117">
        <f>VLOOKUP($D1757,'WB Data'!$C$3:$M$578,4,FALSE)/100</f>
        <v>0.20943982120853646</v>
      </c>
      <c r="BA1757" s="117">
        <f t="shared" si="299"/>
        <v>35722945816.165855</v>
      </c>
      <c r="BB1757" s="129">
        <f>IFERROR(VLOOKUP($D1757,'EITI Revenues'!$C$2:$G$224,5,FALSE),"..")</f>
        <v>5884323617</v>
      </c>
      <c r="BC1757" s="846">
        <f t="shared" si="300"/>
        <v>0.16472111922911861</v>
      </c>
      <c r="BD1757" s="129">
        <f>VLOOKUP($D1757,'WB Data 2'!$C$2:$K$545,6,FALSE)</f>
        <v>29773224958.428841</v>
      </c>
      <c r="BE1757" s="129">
        <f>IFERROR(VLOOKUP($D1757,UNCTAD!$C$5:$V$529,4,FALSE),"..")</f>
        <v>50632851000</v>
      </c>
      <c r="BF1757" s="846">
        <f t="shared" si="301"/>
        <v>0.58802189429208407</v>
      </c>
      <c r="BG1757" s="117">
        <f>VLOOKUP($D1757,'WB Data'!$C$3:$M$578,5,FALSE)</f>
        <v>604820000</v>
      </c>
      <c r="BH1757" s="129">
        <f>IFERROR($BB1757/$BG1757,"..")</f>
        <v>9.7290493320326714</v>
      </c>
      <c r="BI1757" s="117">
        <f>IFERROR(VLOOKUP($D1757,'WB Data'!$C$3:$M$578,7,FALSE)/100,"..")</f>
        <v>2.5311699999999999E-2</v>
      </c>
      <c r="BJ1757" s="117">
        <f>IFERROR($BI1757*$AW1757,"..")</f>
        <v>4317271101.5386934</v>
      </c>
      <c r="BK1757" s="846">
        <f>IFERROR($BB1757/$BJ1757,"..")</f>
        <v>1.3629729240081316</v>
      </c>
      <c r="BL1757" s="117">
        <f>IFERROR(VLOOKUP($D1757,'WB Data'!$C$3:$M$578,7,FALSE)/100,"..")</f>
        <v>2.5311699999999999E-2</v>
      </c>
      <c r="BM1757" s="117">
        <f>IFERROR($AW1757*$BL1757,"..")</f>
        <v>4317271101.5386934</v>
      </c>
      <c r="BN1757" s="846">
        <f>IFERROR($BB1757/$BM1757,"..")</f>
        <v>1.3629729240081316</v>
      </c>
      <c r="BO1757" s="801">
        <f t="shared" si="297"/>
        <v>38</v>
      </c>
      <c r="BP1757" s="117">
        <f>VLOOKUP($D1757,'WB Data'!$C$3:$M$578,9,FALSE)</f>
        <v>27.8</v>
      </c>
      <c r="BQ1757" s="117">
        <f>VLOOKUP($D1757,'WB Data'!$C$3:$M$578,10,FALSE)</f>
        <v>74.210536585365858</v>
      </c>
      <c r="BR1757" s="117">
        <f>VLOOKUP($D1757,'WB Data'!$C$3:$M$578,11,FALSE)</f>
        <v>14.3</v>
      </c>
      <c r="BS1757" s="129">
        <f>IFERROR(VLOOKUP($D1757,'WB Data 2'!$C$2:$K$545,9,FALSE),"..")</f>
        <v>96.327079999999995</v>
      </c>
      <c r="BT1757" s="129">
        <f>_xlfn.IFNA(VLOOKUP($C1757,RGI!$A$2:$C$43,2,FALSE),"..")</f>
        <v>76.8</v>
      </c>
      <c r="BU1757" s="129">
        <f>_xlfn.IFNA(VLOOKUP($C1757,RGI!$A$2:$C$43,3,FALSE),"..")</f>
        <v>72.816147461462435</v>
      </c>
      <c r="BV1757" s="129">
        <f>VLOOKUP($D1757,WGI!$C$2:$O$478,7,FALSE)</f>
        <v>9.0719139218499306E-2</v>
      </c>
      <c r="BW1757" s="129">
        <f>VLOOKUP($D1757,WGI!$C$2:$O$478,4,FALSE)</f>
        <v>-0.738042232413051</v>
      </c>
      <c r="BX1757" s="129">
        <f>VLOOKUP($D1757,WGI!$C$2:$O$478,3,FALSE)</f>
        <v>-0.145710327623474</v>
      </c>
      <c r="BY1757" s="129">
        <f>VLOOKUP($D1757,WGI!$C$2:$O$478,5,FALSE)</f>
        <v>0.476881348098389</v>
      </c>
      <c r="BZ1757" s="129">
        <f>VLOOKUP($D1757,WGI!$C$2:$O$478,2,FALSE)</f>
        <v>-0.248937037637317</v>
      </c>
    </row>
    <row r="1758" spans="1:78" ht="15" customHeight="1">
      <c r="A1758" s="407" t="s">
        <v>459</v>
      </c>
      <c r="B1758" s="408">
        <v>2011</v>
      </c>
      <c r="C1758" s="805" t="s">
        <v>449</v>
      </c>
      <c r="D1758" s="117" t="s">
        <v>3711</v>
      </c>
      <c r="E1758" s="409" t="s">
        <v>220</v>
      </c>
      <c r="F1758" s="410"/>
      <c r="G1758" s="621" t="s">
        <v>24</v>
      </c>
      <c r="H1758" s="117" t="str">
        <f t="shared" si="304"/>
        <v>yes</v>
      </c>
      <c r="I1758" s="117" t="str">
        <f t="shared" si="294"/>
        <v>no</v>
      </c>
      <c r="J1758" s="117" t="str">
        <f t="shared" si="295"/>
        <v>no</v>
      </c>
      <c r="K1758" s="410" t="s">
        <v>2044</v>
      </c>
      <c r="L1758" s="117" t="str">
        <f t="shared" si="305"/>
        <v>detailed</v>
      </c>
      <c r="M1758" s="117" t="str">
        <f t="shared" si="296"/>
        <v>detailed Mining</v>
      </c>
      <c r="N1758" s="411">
        <v>54000</v>
      </c>
      <c r="O1758" s="411"/>
      <c r="P1758" s="411"/>
      <c r="Q1758" s="411"/>
      <c r="R1758" s="411"/>
      <c r="S1758" s="410" t="s">
        <v>610</v>
      </c>
      <c r="T1758" s="412">
        <f>66.35/0.000453592</f>
        <v>146276.83027919361</v>
      </c>
      <c r="U1758" s="410" t="s">
        <v>611</v>
      </c>
      <c r="V1758" s="410" t="s">
        <v>2133</v>
      </c>
      <c r="W1758" s="413">
        <f t="shared" si="306"/>
        <v>7898948835.0764551</v>
      </c>
      <c r="X1758" s="410"/>
      <c r="Y1758" s="413"/>
      <c r="Z1758" s="413"/>
      <c r="AA1758" s="413"/>
      <c r="AB1758" s="413"/>
      <c r="AC1758" s="618"/>
      <c r="AD1758" s="618"/>
      <c r="AE1758" s="618"/>
      <c r="AF1758" s="619"/>
      <c r="AG1758" s="413"/>
      <c r="AH1758" s="417"/>
      <c r="AI1758" s="410"/>
      <c r="AJ1758" s="410"/>
      <c r="AK1758" s="413"/>
      <c r="AL1758" s="410"/>
      <c r="AM1758" s="410"/>
      <c r="AN1758" s="410"/>
      <c r="AO1758" s="410"/>
      <c r="AP1758" s="410"/>
      <c r="AQ1758" s="410"/>
      <c r="AR1758" s="410"/>
      <c r="AS1758" s="410"/>
      <c r="AT1758" s="410"/>
      <c r="AU1758" s="410"/>
      <c r="AV1758" s="419"/>
      <c r="AW1758" s="117">
        <f>VLOOKUP($D1758,'WB Data'!$C$3:$M$578,2,FALSE)</f>
        <v>170564249004.95398</v>
      </c>
      <c r="AX1758" s="117">
        <f>VLOOKUP($D1758,'WB Data'!$C$3:$M$578,3,FALSE)</f>
        <v>29614887</v>
      </c>
      <c r="AY1758" s="847">
        <f t="shared" si="298"/>
        <v>3.4499161760616619E-2</v>
      </c>
      <c r="AZ1758" s="117">
        <f>VLOOKUP($D1758,'WB Data'!$C$3:$M$578,4,FALSE)/100</f>
        <v>0.20943982120853646</v>
      </c>
      <c r="BA1758" s="117">
        <f t="shared" si="299"/>
        <v>35722945816.165855</v>
      </c>
      <c r="BB1758" s="129">
        <f>IFERROR(VLOOKUP($D1758,'EITI Revenues'!$C$2:$G$224,5,FALSE),"..")</f>
        <v>5884323617</v>
      </c>
      <c r="BC1758" s="846">
        <f t="shared" si="300"/>
        <v>0.16472111922911861</v>
      </c>
      <c r="BD1758" s="129">
        <f>VLOOKUP($D1758,'WB Data 2'!$C$2:$K$545,6,FALSE)</f>
        <v>29773224958.428841</v>
      </c>
      <c r="BE1758" s="129">
        <f>IFERROR(VLOOKUP($D1758,UNCTAD!$C$5:$V$529,4,FALSE),"..")</f>
        <v>50632851000</v>
      </c>
      <c r="BF1758" s="846">
        <f t="shared" si="301"/>
        <v>0.58802189429208407</v>
      </c>
      <c r="BG1758" s="117">
        <f>VLOOKUP($D1758,'WB Data'!$C$3:$M$578,5,FALSE)</f>
        <v>604820000</v>
      </c>
      <c r="BH1758" s="129">
        <f>IFERROR($BB1758/$BG1758,"..")</f>
        <v>9.7290493320326714</v>
      </c>
      <c r="BI1758" s="117">
        <f>IFERROR(VLOOKUP($D1758,'WB Data'!$C$3:$M$578,7,FALSE)/100,"..")</f>
        <v>2.5311699999999999E-2</v>
      </c>
      <c r="BJ1758" s="117">
        <f>IFERROR($BI1758*$AW1758,"..")</f>
        <v>4317271101.5386934</v>
      </c>
      <c r="BK1758" s="846">
        <f>IFERROR($BB1758/$BJ1758,"..")</f>
        <v>1.3629729240081316</v>
      </c>
      <c r="BL1758" s="117">
        <f>IFERROR(VLOOKUP($D1758,'WB Data'!$C$3:$M$578,7,FALSE)/100,"..")</f>
        <v>2.5311699999999999E-2</v>
      </c>
      <c r="BM1758" s="117">
        <f>IFERROR($AW1758*$BL1758,"..")</f>
        <v>4317271101.5386934</v>
      </c>
      <c r="BN1758" s="846">
        <f>IFERROR($BB1758/$BM1758,"..")</f>
        <v>1.3629729240081316</v>
      </c>
      <c r="BO1758" s="801">
        <f t="shared" si="297"/>
        <v>38</v>
      </c>
      <c r="BP1758" s="117">
        <f>VLOOKUP($D1758,'WB Data'!$C$3:$M$578,9,FALSE)</f>
        <v>27.8</v>
      </c>
      <c r="BQ1758" s="117">
        <f>VLOOKUP($D1758,'WB Data'!$C$3:$M$578,10,FALSE)</f>
        <v>74.210536585365858</v>
      </c>
      <c r="BR1758" s="117">
        <f>VLOOKUP($D1758,'WB Data'!$C$3:$M$578,11,FALSE)</f>
        <v>14.3</v>
      </c>
      <c r="BS1758" s="129">
        <f>IFERROR(VLOOKUP($D1758,'WB Data 2'!$C$2:$K$545,9,FALSE),"..")</f>
        <v>96.327079999999995</v>
      </c>
      <c r="BT1758" s="129">
        <f>_xlfn.IFNA(VLOOKUP($C1758,RGI!$A$2:$C$43,2,FALSE),"..")</f>
        <v>76.8</v>
      </c>
      <c r="BU1758" s="129">
        <f>_xlfn.IFNA(VLOOKUP($C1758,RGI!$A$2:$C$43,3,FALSE),"..")</f>
        <v>72.816147461462435</v>
      </c>
      <c r="BV1758" s="129">
        <f>VLOOKUP($D1758,WGI!$C$2:$O$478,7,FALSE)</f>
        <v>9.0719139218499306E-2</v>
      </c>
      <c r="BW1758" s="129">
        <f>VLOOKUP($D1758,WGI!$C$2:$O$478,4,FALSE)</f>
        <v>-0.738042232413051</v>
      </c>
      <c r="BX1758" s="129">
        <f>VLOOKUP($D1758,WGI!$C$2:$O$478,3,FALSE)</f>
        <v>-0.145710327623474</v>
      </c>
      <c r="BY1758" s="129">
        <f>VLOOKUP($D1758,WGI!$C$2:$O$478,5,FALSE)</f>
        <v>0.476881348098389</v>
      </c>
      <c r="BZ1758" s="129">
        <f>VLOOKUP($D1758,WGI!$C$2:$O$478,2,FALSE)</f>
        <v>-0.248937037637317</v>
      </c>
    </row>
    <row r="1759" spans="1:78" ht="15" customHeight="1">
      <c r="A1759" s="407" t="s">
        <v>459</v>
      </c>
      <c r="B1759" s="408">
        <v>2011</v>
      </c>
      <c r="C1759" s="805" t="s">
        <v>449</v>
      </c>
      <c r="D1759" s="117" t="s">
        <v>3711</v>
      </c>
      <c r="E1759" s="409" t="s">
        <v>220</v>
      </c>
      <c r="F1759" s="410"/>
      <c r="G1759" s="621" t="s">
        <v>24</v>
      </c>
      <c r="H1759" s="117" t="str">
        <f t="shared" si="304"/>
        <v>yes</v>
      </c>
      <c r="I1759" s="117" t="str">
        <f t="shared" si="294"/>
        <v>no</v>
      </c>
      <c r="J1759" s="117" t="str">
        <f t="shared" si="295"/>
        <v>no</v>
      </c>
      <c r="K1759" s="410" t="s">
        <v>2134</v>
      </c>
      <c r="L1759" s="117" t="str">
        <f t="shared" si="305"/>
        <v>detailed</v>
      </c>
      <c r="M1759" s="117" t="str">
        <f t="shared" si="296"/>
        <v>detailed Mining</v>
      </c>
      <c r="N1759" s="411">
        <v>6200</v>
      </c>
      <c r="O1759" s="411"/>
      <c r="P1759" s="411"/>
      <c r="Q1759" s="411"/>
      <c r="R1759" s="411"/>
      <c r="S1759" s="410" t="s">
        <v>610</v>
      </c>
      <c r="T1759" s="412">
        <v>13.81</v>
      </c>
      <c r="U1759" s="410" t="s">
        <v>611</v>
      </c>
      <c r="V1759" s="410" t="s">
        <v>2135</v>
      </c>
      <c r="W1759" s="413">
        <f t="shared" si="306"/>
        <v>85622</v>
      </c>
      <c r="X1759" s="410"/>
      <c r="Y1759" s="413"/>
      <c r="Z1759" s="413"/>
      <c r="AA1759" s="413"/>
      <c r="AB1759" s="413"/>
      <c r="AC1759" s="618"/>
      <c r="AD1759" s="618"/>
      <c r="AE1759" s="618"/>
      <c r="AF1759" s="619"/>
      <c r="AG1759" s="413"/>
      <c r="AH1759" s="417"/>
      <c r="AI1759" s="410"/>
      <c r="AJ1759" s="410"/>
      <c r="AK1759" s="413"/>
      <c r="AL1759" s="410"/>
      <c r="AM1759" s="410"/>
      <c r="AN1759" s="410"/>
      <c r="AO1759" s="410"/>
      <c r="AP1759" s="410"/>
      <c r="AQ1759" s="410"/>
      <c r="AR1759" s="410"/>
      <c r="AS1759" s="410"/>
      <c r="AT1759" s="410"/>
      <c r="AU1759" s="410"/>
      <c r="AV1759" s="419"/>
      <c r="AW1759" s="117">
        <f>VLOOKUP($D1759,'WB Data'!$C$3:$M$578,2,FALSE)</f>
        <v>170564249004.95398</v>
      </c>
      <c r="AX1759" s="117">
        <f>VLOOKUP($D1759,'WB Data'!$C$3:$M$578,3,FALSE)</f>
        <v>29614887</v>
      </c>
      <c r="AY1759" s="847">
        <f t="shared" si="298"/>
        <v>3.4499161760616619E-2</v>
      </c>
      <c r="AZ1759" s="117">
        <f>VLOOKUP($D1759,'WB Data'!$C$3:$M$578,4,FALSE)/100</f>
        <v>0.20943982120853646</v>
      </c>
      <c r="BA1759" s="117">
        <f t="shared" si="299"/>
        <v>35722945816.165855</v>
      </c>
      <c r="BB1759" s="129">
        <f>IFERROR(VLOOKUP($D1759,'EITI Revenues'!$C$2:$G$224,5,FALSE),"..")</f>
        <v>5884323617</v>
      </c>
      <c r="BC1759" s="846">
        <f t="shared" si="300"/>
        <v>0.16472111922911861</v>
      </c>
      <c r="BD1759" s="129">
        <f>VLOOKUP($D1759,'WB Data 2'!$C$2:$K$545,6,FALSE)</f>
        <v>29773224958.428841</v>
      </c>
      <c r="BE1759" s="129">
        <f>IFERROR(VLOOKUP($D1759,UNCTAD!$C$5:$V$529,4,FALSE),"..")</f>
        <v>50632851000</v>
      </c>
      <c r="BF1759" s="846">
        <f t="shared" si="301"/>
        <v>0.58802189429208407</v>
      </c>
      <c r="BG1759" s="117">
        <f>VLOOKUP($D1759,'WB Data'!$C$3:$M$578,5,FALSE)</f>
        <v>604820000</v>
      </c>
      <c r="BH1759" s="129">
        <f>IFERROR($BB1759/$BG1759,"..")</f>
        <v>9.7290493320326714</v>
      </c>
      <c r="BI1759" s="117">
        <f>IFERROR(VLOOKUP($D1759,'WB Data'!$C$3:$M$578,7,FALSE)/100,"..")</f>
        <v>2.5311699999999999E-2</v>
      </c>
      <c r="BJ1759" s="117">
        <f>IFERROR($BI1759*$AW1759,"..")</f>
        <v>4317271101.5386934</v>
      </c>
      <c r="BK1759" s="846">
        <f>IFERROR($BB1759/$BJ1759,"..")</f>
        <v>1.3629729240081316</v>
      </c>
      <c r="BL1759" s="117">
        <f>IFERROR(VLOOKUP($D1759,'WB Data'!$C$3:$M$578,7,FALSE)/100,"..")</f>
        <v>2.5311699999999999E-2</v>
      </c>
      <c r="BM1759" s="117">
        <f>IFERROR($AW1759*$BL1759,"..")</f>
        <v>4317271101.5386934</v>
      </c>
      <c r="BN1759" s="846">
        <f>IFERROR($BB1759/$BM1759,"..")</f>
        <v>1.3629729240081316</v>
      </c>
      <c r="BO1759" s="801">
        <f t="shared" si="297"/>
        <v>38</v>
      </c>
      <c r="BP1759" s="117">
        <f>VLOOKUP($D1759,'WB Data'!$C$3:$M$578,9,FALSE)</f>
        <v>27.8</v>
      </c>
      <c r="BQ1759" s="117">
        <f>VLOOKUP($D1759,'WB Data'!$C$3:$M$578,10,FALSE)</f>
        <v>74.210536585365858</v>
      </c>
      <c r="BR1759" s="117">
        <f>VLOOKUP($D1759,'WB Data'!$C$3:$M$578,11,FALSE)</f>
        <v>14.3</v>
      </c>
      <c r="BS1759" s="129">
        <f>IFERROR(VLOOKUP($D1759,'WB Data 2'!$C$2:$K$545,9,FALSE),"..")</f>
        <v>96.327079999999995</v>
      </c>
      <c r="BT1759" s="129">
        <f>_xlfn.IFNA(VLOOKUP($C1759,RGI!$A$2:$C$43,2,FALSE),"..")</f>
        <v>76.8</v>
      </c>
      <c r="BU1759" s="129">
        <f>_xlfn.IFNA(VLOOKUP($C1759,RGI!$A$2:$C$43,3,FALSE),"..")</f>
        <v>72.816147461462435</v>
      </c>
      <c r="BV1759" s="129">
        <f>VLOOKUP($D1759,WGI!$C$2:$O$478,7,FALSE)</f>
        <v>9.0719139218499306E-2</v>
      </c>
      <c r="BW1759" s="129">
        <f>VLOOKUP($D1759,WGI!$C$2:$O$478,4,FALSE)</f>
        <v>-0.738042232413051</v>
      </c>
      <c r="BX1759" s="129">
        <f>VLOOKUP($D1759,WGI!$C$2:$O$478,3,FALSE)</f>
        <v>-0.145710327623474</v>
      </c>
      <c r="BY1759" s="129">
        <f>VLOOKUP($D1759,WGI!$C$2:$O$478,5,FALSE)</f>
        <v>0.476881348098389</v>
      </c>
      <c r="BZ1759" s="129">
        <f>VLOOKUP($D1759,WGI!$C$2:$O$478,2,FALSE)</f>
        <v>-0.248937037637317</v>
      </c>
    </row>
    <row r="1760" spans="1:78" ht="15" customHeight="1">
      <c r="A1760" s="407" t="s">
        <v>459</v>
      </c>
      <c r="B1760" s="408">
        <v>2011</v>
      </c>
      <c r="C1760" s="805" t="s">
        <v>449</v>
      </c>
      <c r="D1760" s="117" t="s">
        <v>3711</v>
      </c>
      <c r="E1760" s="409" t="s">
        <v>220</v>
      </c>
      <c r="F1760" s="410"/>
      <c r="G1760" s="621" t="s">
        <v>24</v>
      </c>
      <c r="H1760" s="117" t="str">
        <f t="shared" si="304"/>
        <v>yes</v>
      </c>
      <c r="I1760" s="117" t="str">
        <f t="shared" si="294"/>
        <v>no</v>
      </c>
      <c r="J1760" s="117" t="str">
        <f t="shared" si="295"/>
        <v>no</v>
      </c>
      <c r="K1760" s="410" t="s">
        <v>789</v>
      </c>
      <c r="L1760" s="117" t="str">
        <f t="shared" si="305"/>
        <v>detailed</v>
      </c>
      <c r="M1760" s="117" t="str">
        <f t="shared" si="296"/>
        <v>detailed Mining</v>
      </c>
      <c r="N1760" s="411">
        <f>3414*32150.7466</f>
        <v>109762648.8924</v>
      </c>
      <c r="O1760" s="411"/>
      <c r="P1760" s="411"/>
      <c r="Q1760" s="411"/>
      <c r="R1760" s="411"/>
      <c r="S1760" s="410" t="s">
        <v>785</v>
      </c>
      <c r="T1760" s="412">
        <f>35.22411666667/1</f>
        <v>35.22411666667</v>
      </c>
      <c r="U1760" s="410" t="s">
        <v>786</v>
      </c>
      <c r="V1760" s="410" t="s">
        <v>1167</v>
      </c>
      <c r="W1760" s="413">
        <f t="shared" si="306"/>
        <v>3866292350.2286339</v>
      </c>
      <c r="X1760" s="410"/>
      <c r="Y1760" s="413"/>
      <c r="Z1760" s="413"/>
      <c r="AA1760" s="413"/>
      <c r="AB1760" s="413"/>
      <c r="AC1760" s="618"/>
      <c r="AD1760" s="618"/>
      <c r="AE1760" s="618"/>
      <c r="AF1760" s="619"/>
      <c r="AG1760" s="413"/>
      <c r="AH1760" s="417"/>
      <c r="AI1760" s="410"/>
      <c r="AJ1760" s="410"/>
      <c r="AK1760" s="413"/>
      <c r="AL1760" s="410"/>
      <c r="AM1760" s="410"/>
      <c r="AN1760" s="410"/>
      <c r="AO1760" s="410"/>
      <c r="AP1760" s="410"/>
      <c r="AQ1760" s="410"/>
      <c r="AR1760" s="410"/>
      <c r="AS1760" s="410"/>
      <c r="AT1760" s="410"/>
      <c r="AU1760" s="410"/>
      <c r="AV1760" s="419"/>
      <c r="AW1760" s="117">
        <f>VLOOKUP($D1760,'WB Data'!$C$3:$M$578,2,FALSE)</f>
        <v>170564249004.95398</v>
      </c>
      <c r="AX1760" s="117">
        <f>VLOOKUP($D1760,'WB Data'!$C$3:$M$578,3,FALSE)</f>
        <v>29614887</v>
      </c>
      <c r="AY1760" s="847">
        <f t="shared" si="298"/>
        <v>3.4499161760616619E-2</v>
      </c>
      <c r="AZ1760" s="117">
        <f>VLOOKUP($D1760,'WB Data'!$C$3:$M$578,4,FALSE)/100</f>
        <v>0.20943982120853646</v>
      </c>
      <c r="BA1760" s="117">
        <f t="shared" si="299"/>
        <v>35722945816.165855</v>
      </c>
      <c r="BB1760" s="129">
        <f>IFERROR(VLOOKUP($D1760,'EITI Revenues'!$C$2:$G$224,5,FALSE),"..")</f>
        <v>5884323617</v>
      </c>
      <c r="BC1760" s="846">
        <f t="shared" si="300"/>
        <v>0.16472111922911861</v>
      </c>
      <c r="BD1760" s="129">
        <f>VLOOKUP($D1760,'WB Data 2'!$C$2:$K$545,6,FALSE)</f>
        <v>29773224958.428841</v>
      </c>
      <c r="BE1760" s="129">
        <f>IFERROR(VLOOKUP($D1760,UNCTAD!$C$5:$V$529,4,FALSE),"..")</f>
        <v>50632851000</v>
      </c>
      <c r="BF1760" s="846">
        <f t="shared" si="301"/>
        <v>0.58802189429208407</v>
      </c>
      <c r="BG1760" s="117">
        <f>VLOOKUP($D1760,'WB Data'!$C$3:$M$578,5,FALSE)</f>
        <v>604820000</v>
      </c>
      <c r="BH1760" s="129">
        <f>IFERROR($BB1760/$BG1760,"..")</f>
        <v>9.7290493320326714</v>
      </c>
      <c r="BI1760" s="117">
        <f>IFERROR(VLOOKUP($D1760,'WB Data'!$C$3:$M$578,7,FALSE)/100,"..")</f>
        <v>2.5311699999999999E-2</v>
      </c>
      <c r="BJ1760" s="117">
        <f>IFERROR($BI1760*$AW1760,"..")</f>
        <v>4317271101.5386934</v>
      </c>
      <c r="BK1760" s="846">
        <f>IFERROR($BB1760/$BJ1760,"..")</f>
        <v>1.3629729240081316</v>
      </c>
      <c r="BL1760" s="117">
        <f>IFERROR(VLOOKUP($D1760,'WB Data'!$C$3:$M$578,7,FALSE)/100,"..")</f>
        <v>2.5311699999999999E-2</v>
      </c>
      <c r="BM1760" s="117">
        <f>IFERROR($AW1760*$BL1760,"..")</f>
        <v>4317271101.5386934</v>
      </c>
      <c r="BN1760" s="846">
        <f>IFERROR($BB1760/$BM1760,"..")</f>
        <v>1.3629729240081316</v>
      </c>
      <c r="BO1760" s="801">
        <f t="shared" si="297"/>
        <v>38</v>
      </c>
      <c r="BP1760" s="117">
        <f>VLOOKUP($D1760,'WB Data'!$C$3:$M$578,9,FALSE)</f>
        <v>27.8</v>
      </c>
      <c r="BQ1760" s="117">
        <f>VLOOKUP($D1760,'WB Data'!$C$3:$M$578,10,FALSE)</f>
        <v>74.210536585365858</v>
      </c>
      <c r="BR1760" s="117">
        <f>VLOOKUP($D1760,'WB Data'!$C$3:$M$578,11,FALSE)</f>
        <v>14.3</v>
      </c>
      <c r="BS1760" s="129">
        <f>IFERROR(VLOOKUP($D1760,'WB Data 2'!$C$2:$K$545,9,FALSE),"..")</f>
        <v>96.327079999999995</v>
      </c>
      <c r="BT1760" s="129">
        <f>_xlfn.IFNA(VLOOKUP($C1760,RGI!$A$2:$C$43,2,FALSE),"..")</f>
        <v>76.8</v>
      </c>
      <c r="BU1760" s="129">
        <f>_xlfn.IFNA(VLOOKUP($C1760,RGI!$A$2:$C$43,3,FALSE),"..")</f>
        <v>72.816147461462435</v>
      </c>
      <c r="BV1760" s="129">
        <f>VLOOKUP($D1760,WGI!$C$2:$O$478,7,FALSE)</f>
        <v>9.0719139218499306E-2</v>
      </c>
      <c r="BW1760" s="129">
        <f>VLOOKUP($D1760,WGI!$C$2:$O$478,4,FALSE)</f>
        <v>-0.738042232413051</v>
      </c>
      <c r="BX1760" s="129">
        <f>VLOOKUP($D1760,WGI!$C$2:$O$478,3,FALSE)</f>
        <v>-0.145710327623474</v>
      </c>
      <c r="BY1760" s="129">
        <f>VLOOKUP($D1760,WGI!$C$2:$O$478,5,FALSE)</f>
        <v>0.476881348098389</v>
      </c>
      <c r="BZ1760" s="129">
        <f>VLOOKUP($D1760,WGI!$C$2:$O$478,2,FALSE)</f>
        <v>-0.248937037637317</v>
      </c>
    </row>
    <row r="1761" spans="1:78" ht="15" customHeight="1">
      <c r="A1761" s="407" t="s">
        <v>459</v>
      </c>
      <c r="B1761" s="408">
        <v>2011</v>
      </c>
      <c r="C1761" s="805" t="s">
        <v>449</v>
      </c>
      <c r="D1761" s="117" t="s">
        <v>3711</v>
      </c>
      <c r="E1761" s="409" t="s">
        <v>220</v>
      </c>
      <c r="F1761" s="410"/>
      <c r="G1761" s="621" t="s">
        <v>24</v>
      </c>
      <c r="H1761" s="117" t="str">
        <f t="shared" si="304"/>
        <v>yes</v>
      </c>
      <c r="I1761" s="117" t="str">
        <f t="shared" si="294"/>
        <v>no</v>
      </c>
      <c r="J1761" s="117" t="str">
        <f t="shared" si="295"/>
        <v>no</v>
      </c>
      <c r="K1761" s="410" t="s">
        <v>1241</v>
      </c>
      <c r="L1761" s="117" t="str">
        <f t="shared" si="305"/>
        <v>detailed</v>
      </c>
      <c r="M1761" s="117" t="str">
        <f t="shared" si="296"/>
        <v>detailed Mining</v>
      </c>
      <c r="N1761" s="411">
        <v>16500</v>
      </c>
      <c r="O1761" s="411"/>
      <c r="P1761" s="411"/>
      <c r="Q1761" s="411"/>
      <c r="R1761" s="411"/>
      <c r="S1761" s="410" t="s">
        <v>610</v>
      </c>
      <c r="T1761" s="412">
        <v>12.67</v>
      </c>
      <c r="U1761" s="410" t="s">
        <v>611</v>
      </c>
      <c r="V1761" s="410" t="s">
        <v>2136</v>
      </c>
      <c r="W1761" s="413">
        <f t="shared" si="306"/>
        <v>209055</v>
      </c>
      <c r="X1761" s="621"/>
      <c r="Y1761" s="413"/>
      <c r="Z1761" s="413"/>
      <c r="AA1761" s="413"/>
      <c r="AB1761" s="413"/>
      <c r="AC1761" s="618"/>
      <c r="AD1761" s="618"/>
      <c r="AE1761" s="618"/>
      <c r="AF1761" s="619"/>
      <c r="AG1761" s="413"/>
      <c r="AH1761" s="417"/>
      <c r="AI1761" s="410"/>
      <c r="AJ1761" s="410"/>
      <c r="AK1761" s="413"/>
      <c r="AL1761" s="410"/>
      <c r="AM1761" s="410"/>
      <c r="AN1761" s="410"/>
      <c r="AO1761" s="410"/>
      <c r="AP1761" s="410"/>
      <c r="AQ1761" s="410"/>
      <c r="AR1761" s="410"/>
      <c r="AS1761" s="410"/>
      <c r="AT1761" s="410"/>
      <c r="AU1761" s="410"/>
      <c r="AV1761" s="419"/>
      <c r="AW1761" s="117">
        <f>VLOOKUP($D1761,'WB Data'!$C$3:$M$578,2,FALSE)</f>
        <v>170564249004.95398</v>
      </c>
      <c r="AX1761" s="117">
        <f>VLOOKUP($D1761,'WB Data'!$C$3:$M$578,3,FALSE)</f>
        <v>29614887</v>
      </c>
      <c r="AY1761" s="847">
        <f t="shared" si="298"/>
        <v>3.4499161760616619E-2</v>
      </c>
      <c r="AZ1761" s="117">
        <f>VLOOKUP($D1761,'WB Data'!$C$3:$M$578,4,FALSE)/100</f>
        <v>0.20943982120853646</v>
      </c>
      <c r="BA1761" s="117">
        <f t="shared" si="299"/>
        <v>35722945816.165855</v>
      </c>
      <c r="BB1761" s="129">
        <f>IFERROR(VLOOKUP($D1761,'EITI Revenues'!$C$2:$G$224,5,FALSE),"..")</f>
        <v>5884323617</v>
      </c>
      <c r="BC1761" s="846">
        <f t="shared" si="300"/>
        <v>0.16472111922911861</v>
      </c>
      <c r="BD1761" s="129">
        <f>VLOOKUP($D1761,'WB Data 2'!$C$2:$K$545,6,FALSE)</f>
        <v>29773224958.428841</v>
      </c>
      <c r="BE1761" s="129">
        <f>IFERROR(VLOOKUP($D1761,UNCTAD!$C$5:$V$529,4,FALSE),"..")</f>
        <v>50632851000</v>
      </c>
      <c r="BF1761" s="846">
        <f t="shared" si="301"/>
        <v>0.58802189429208407</v>
      </c>
      <c r="BG1761" s="117">
        <f>VLOOKUP($D1761,'WB Data'!$C$3:$M$578,5,FALSE)</f>
        <v>604820000</v>
      </c>
      <c r="BH1761" s="129">
        <f>IFERROR($BB1761/$BG1761,"..")</f>
        <v>9.7290493320326714</v>
      </c>
      <c r="BI1761" s="117">
        <f>IFERROR(VLOOKUP($D1761,'WB Data'!$C$3:$M$578,7,FALSE)/100,"..")</f>
        <v>2.5311699999999999E-2</v>
      </c>
      <c r="BJ1761" s="117">
        <f>IFERROR($BI1761*$AW1761,"..")</f>
        <v>4317271101.5386934</v>
      </c>
      <c r="BK1761" s="846">
        <f>IFERROR($BB1761/$BJ1761,"..")</f>
        <v>1.3629729240081316</v>
      </c>
      <c r="BL1761" s="117">
        <f>IFERROR(VLOOKUP($D1761,'WB Data'!$C$3:$M$578,7,FALSE)/100,"..")</f>
        <v>2.5311699999999999E-2</v>
      </c>
      <c r="BM1761" s="117">
        <f>IFERROR($AW1761*$BL1761,"..")</f>
        <v>4317271101.5386934</v>
      </c>
      <c r="BN1761" s="846">
        <f>IFERROR($BB1761/$BM1761,"..")</f>
        <v>1.3629729240081316</v>
      </c>
      <c r="BO1761" s="801">
        <f t="shared" si="297"/>
        <v>38</v>
      </c>
      <c r="BP1761" s="117">
        <f>VLOOKUP($D1761,'WB Data'!$C$3:$M$578,9,FALSE)</f>
        <v>27.8</v>
      </c>
      <c r="BQ1761" s="117">
        <f>VLOOKUP($D1761,'WB Data'!$C$3:$M$578,10,FALSE)</f>
        <v>74.210536585365858</v>
      </c>
      <c r="BR1761" s="117">
        <f>VLOOKUP($D1761,'WB Data'!$C$3:$M$578,11,FALSE)</f>
        <v>14.3</v>
      </c>
      <c r="BS1761" s="129">
        <f>IFERROR(VLOOKUP($D1761,'WB Data 2'!$C$2:$K$545,9,FALSE),"..")</f>
        <v>96.327079999999995</v>
      </c>
      <c r="BT1761" s="129">
        <f>_xlfn.IFNA(VLOOKUP($C1761,RGI!$A$2:$C$43,2,FALSE),"..")</f>
        <v>76.8</v>
      </c>
      <c r="BU1761" s="129">
        <f>_xlfn.IFNA(VLOOKUP($C1761,RGI!$A$2:$C$43,3,FALSE),"..")</f>
        <v>72.816147461462435</v>
      </c>
      <c r="BV1761" s="129">
        <f>VLOOKUP($D1761,WGI!$C$2:$O$478,7,FALSE)</f>
        <v>9.0719139218499306E-2</v>
      </c>
      <c r="BW1761" s="129">
        <f>VLOOKUP($D1761,WGI!$C$2:$O$478,4,FALSE)</f>
        <v>-0.738042232413051</v>
      </c>
      <c r="BX1761" s="129">
        <f>VLOOKUP($D1761,WGI!$C$2:$O$478,3,FALSE)</f>
        <v>-0.145710327623474</v>
      </c>
      <c r="BY1761" s="129">
        <f>VLOOKUP($D1761,WGI!$C$2:$O$478,5,FALSE)</f>
        <v>0.476881348098389</v>
      </c>
      <c r="BZ1761" s="129">
        <f>VLOOKUP($D1761,WGI!$C$2:$O$478,2,FALSE)</f>
        <v>-0.248937037637317</v>
      </c>
    </row>
    <row r="1762" spans="1:78" ht="15" customHeight="1">
      <c r="A1762" s="407" t="s">
        <v>459</v>
      </c>
      <c r="B1762" s="408">
        <v>2011</v>
      </c>
      <c r="C1762" s="805" t="s">
        <v>449</v>
      </c>
      <c r="D1762" s="117" t="s">
        <v>3711</v>
      </c>
      <c r="E1762" s="409" t="s">
        <v>220</v>
      </c>
      <c r="F1762" s="410"/>
      <c r="G1762" s="621" t="s">
        <v>24</v>
      </c>
      <c r="H1762" s="117" t="str">
        <f t="shared" si="304"/>
        <v>yes</v>
      </c>
      <c r="I1762" s="117" t="str">
        <f t="shared" si="294"/>
        <v>no</v>
      </c>
      <c r="J1762" s="117" t="str">
        <f t="shared" si="295"/>
        <v>no</v>
      </c>
      <c r="K1762" s="410" t="s">
        <v>2137</v>
      </c>
      <c r="L1762" s="117" t="str">
        <f t="shared" si="305"/>
        <v>detailed</v>
      </c>
      <c r="M1762" s="117" t="str">
        <f t="shared" si="296"/>
        <v>detailed Mining</v>
      </c>
      <c r="N1762" s="411">
        <v>1260000</v>
      </c>
      <c r="O1762" s="411"/>
      <c r="P1762" s="411"/>
      <c r="Q1762" s="411"/>
      <c r="R1762" s="411"/>
      <c r="S1762" s="410" t="s">
        <v>610</v>
      </c>
      <c r="T1762" s="412">
        <v>768.715208333335</v>
      </c>
      <c r="U1762" s="410" t="s">
        <v>611</v>
      </c>
      <c r="V1762" s="410" t="s">
        <v>2138</v>
      </c>
      <c r="W1762" s="413">
        <f t="shared" si="306"/>
        <v>968581162.50000215</v>
      </c>
      <c r="X1762" s="621"/>
      <c r="Y1762" s="413"/>
      <c r="Z1762" s="413"/>
      <c r="AA1762" s="413"/>
      <c r="AB1762" s="413"/>
      <c r="AC1762" s="618"/>
      <c r="AD1762" s="618"/>
      <c r="AE1762" s="618"/>
      <c r="AF1762" s="619"/>
      <c r="AG1762" s="413"/>
      <c r="AH1762" s="417"/>
      <c r="AI1762" s="410"/>
      <c r="AJ1762" s="410"/>
      <c r="AK1762" s="413"/>
      <c r="AL1762" s="410"/>
      <c r="AM1762" s="410"/>
      <c r="AN1762" s="410"/>
      <c r="AO1762" s="410"/>
      <c r="AP1762" s="410"/>
      <c r="AQ1762" s="410"/>
      <c r="AR1762" s="410"/>
      <c r="AS1762" s="410"/>
      <c r="AT1762" s="410"/>
      <c r="AU1762" s="410"/>
      <c r="AV1762" s="419"/>
      <c r="AW1762" s="117">
        <f>VLOOKUP($D1762,'WB Data'!$C$3:$M$578,2,FALSE)</f>
        <v>170564249004.95398</v>
      </c>
      <c r="AX1762" s="117">
        <f>VLOOKUP($D1762,'WB Data'!$C$3:$M$578,3,FALSE)</f>
        <v>29614887</v>
      </c>
      <c r="AY1762" s="847">
        <f t="shared" si="298"/>
        <v>3.4499161760616619E-2</v>
      </c>
      <c r="AZ1762" s="117">
        <f>VLOOKUP($D1762,'WB Data'!$C$3:$M$578,4,FALSE)/100</f>
        <v>0.20943982120853646</v>
      </c>
      <c r="BA1762" s="117">
        <f t="shared" si="299"/>
        <v>35722945816.165855</v>
      </c>
      <c r="BB1762" s="129">
        <f>IFERROR(VLOOKUP($D1762,'EITI Revenues'!$C$2:$G$224,5,FALSE),"..")</f>
        <v>5884323617</v>
      </c>
      <c r="BC1762" s="846">
        <f t="shared" si="300"/>
        <v>0.16472111922911861</v>
      </c>
      <c r="BD1762" s="129">
        <f>VLOOKUP($D1762,'WB Data 2'!$C$2:$K$545,6,FALSE)</f>
        <v>29773224958.428841</v>
      </c>
      <c r="BE1762" s="129">
        <f>IFERROR(VLOOKUP($D1762,UNCTAD!$C$5:$V$529,4,FALSE),"..")</f>
        <v>50632851000</v>
      </c>
      <c r="BF1762" s="846">
        <f t="shared" si="301"/>
        <v>0.58802189429208407</v>
      </c>
      <c r="BG1762" s="117">
        <f>VLOOKUP($D1762,'WB Data'!$C$3:$M$578,5,FALSE)</f>
        <v>604820000</v>
      </c>
      <c r="BH1762" s="129">
        <f>IFERROR($BB1762/$BG1762,"..")</f>
        <v>9.7290493320326714</v>
      </c>
      <c r="BI1762" s="117">
        <f>IFERROR(VLOOKUP($D1762,'WB Data'!$C$3:$M$578,7,FALSE)/100,"..")</f>
        <v>2.5311699999999999E-2</v>
      </c>
      <c r="BJ1762" s="117">
        <f>IFERROR($BI1762*$AW1762,"..")</f>
        <v>4317271101.5386934</v>
      </c>
      <c r="BK1762" s="846">
        <f>IFERROR($BB1762/$BJ1762,"..")</f>
        <v>1.3629729240081316</v>
      </c>
      <c r="BL1762" s="117">
        <f>IFERROR(VLOOKUP($D1762,'WB Data'!$C$3:$M$578,7,FALSE)/100,"..")</f>
        <v>2.5311699999999999E-2</v>
      </c>
      <c r="BM1762" s="117">
        <f>IFERROR($AW1762*$BL1762,"..")</f>
        <v>4317271101.5386934</v>
      </c>
      <c r="BN1762" s="846">
        <f>IFERROR($BB1762/$BM1762,"..")</f>
        <v>1.3629729240081316</v>
      </c>
      <c r="BO1762" s="801">
        <f t="shared" si="297"/>
        <v>38</v>
      </c>
      <c r="BP1762" s="117">
        <f>VLOOKUP($D1762,'WB Data'!$C$3:$M$578,9,FALSE)</f>
        <v>27.8</v>
      </c>
      <c r="BQ1762" s="117">
        <f>VLOOKUP($D1762,'WB Data'!$C$3:$M$578,10,FALSE)</f>
        <v>74.210536585365858</v>
      </c>
      <c r="BR1762" s="117">
        <f>VLOOKUP($D1762,'WB Data'!$C$3:$M$578,11,FALSE)</f>
        <v>14.3</v>
      </c>
      <c r="BS1762" s="129">
        <f>IFERROR(VLOOKUP($D1762,'WB Data 2'!$C$2:$K$545,9,FALSE),"..")</f>
        <v>96.327079999999995</v>
      </c>
      <c r="BT1762" s="129">
        <f>_xlfn.IFNA(VLOOKUP($C1762,RGI!$A$2:$C$43,2,FALSE),"..")</f>
        <v>76.8</v>
      </c>
      <c r="BU1762" s="129">
        <f>_xlfn.IFNA(VLOOKUP($C1762,RGI!$A$2:$C$43,3,FALSE),"..")</f>
        <v>72.816147461462435</v>
      </c>
      <c r="BV1762" s="129">
        <f>VLOOKUP($D1762,WGI!$C$2:$O$478,7,FALSE)</f>
        <v>9.0719139218499306E-2</v>
      </c>
      <c r="BW1762" s="129">
        <f>VLOOKUP($D1762,WGI!$C$2:$O$478,4,FALSE)</f>
        <v>-0.738042232413051</v>
      </c>
      <c r="BX1762" s="129">
        <f>VLOOKUP($D1762,WGI!$C$2:$O$478,3,FALSE)</f>
        <v>-0.145710327623474</v>
      </c>
      <c r="BY1762" s="129">
        <f>VLOOKUP($D1762,WGI!$C$2:$O$478,5,FALSE)</f>
        <v>0.476881348098389</v>
      </c>
      <c r="BZ1762" s="129">
        <f>VLOOKUP($D1762,WGI!$C$2:$O$478,2,FALSE)</f>
        <v>-0.248937037637317</v>
      </c>
    </row>
    <row r="1763" spans="1:78" ht="15" customHeight="1">
      <c r="A1763" s="407" t="s">
        <v>459</v>
      </c>
      <c r="B1763" s="408">
        <v>2011</v>
      </c>
      <c r="C1763" s="805" t="s">
        <v>449</v>
      </c>
      <c r="D1763" s="117" t="s">
        <v>3711</v>
      </c>
      <c r="E1763" s="409" t="s">
        <v>220</v>
      </c>
      <c r="F1763" s="410"/>
      <c r="G1763" s="621" t="s">
        <v>24</v>
      </c>
      <c r="H1763" s="117" t="str">
        <f t="shared" si="304"/>
        <v>yes</v>
      </c>
      <c r="I1763" s="117" t="str">
        <f t="shared" si="294"/>
        <v>no</v>
      </c>
      <c r="J1763" s="117" t="str">
        <f t="shared" si="295"/>
        <v>no</v>
      </c>
      <c r="K1763" s="410" t="s">
        <v>2103</v>
      </c>
      <c r="L1763" s="117" t="str">
        <f t="shared" si="305"/>
        <v>detailed</v>
      </c>
      <c r="M1763" s="117" t="str">
        <f t="shared" si="296"/>
        <v>detailed Mining</v>
      </c>
      <c r="N1763" s="411">
        <v>4372</v>
      </c>
      <c r="O1763" s="411"/>
      <c r="P1763" s="411"/>
      <c r="Q1763" s="411"/>
      <c r="R1763" s="411"/>
      <c r="S1763" s="410" t="s">
        <v>610</v>
      </c>
      <c r="T1763" s="412">
        <v>8.66</v>
      </c>
      <c r="U1763" s="410" t="s">
        <v>611</v>
      </c>
      <c r="V1763" s="410" t="s">
        <v>2139</v>
      </c>
      <c r="W1763" s="413">
        <f t="shared" si="306"/>
        <v>37861.520000000004</v>
      </c>
      <c r="X1763" s="621"/>
      <c r="Y1763" s="413"/>
      <c r="Z1763" s="413"/>
      <c r="AA1763" s="413"/>
      <c r="AB1763" s="413"/>
      <c r="AC1763" s="618"/>
      <c r="AD1763" s="618"/>
      <c r="AE1763" s="618"/>
      <c r="AF1763" s="619"/>
      <c r="AG1763" s="413"/>
      <c r="AH1763" s="417"/>
      <c r="AI1763" s="410"/>
      <c r="AJ1763" s="410"/>
      <c r="AK1763" s="413"/>
      <c r="AL1763" s="410"/>
      <c r="AM1763" s="410"/>
      <c r="AN1763" s="410"/>
      <c r="AO1763" s="410"/>
      <c r="AP1763" s="410"/>
      <c r="AQ1763" s="410"/>
      <c r="AR1763" s="410"/>
      <c r="AS1763" s="410"/>
      <c r="AT1763" s="410"/>
      <c r="AU1763" s="410"/>
      <c r="AV1763" s="419"/>
      <c r="AW1763" s="117">
        <f>VLOOKUP($D1763,'WB Data'!$C$3:$M$578,2,FALSE)</f>
        <v>170564249004.95398</v>
      </c>
      <c r="AX1763" s="117">
        <f>VLOOKUP($D1763,'WB Data'!$C$3:$M$578,3,FALSE)</f>
        <v>29614887</v>
      </c>
      <c r="AY1763" s="847">
        <f t="shared" si="298"/>
        <v>3.4499161760616619E-2</v>
      </c>
      <c r="AZ1763" s="117">
        <f>VLOOKUP($D1763,'WB Data'!$C$3:$M$578,4,FALSE)/100</f>
        <v>0.20943982120853646</v>
      </c>
      <c r="BA1763" s="117">
        <f t="shared" si="299"/>
        <v>35722945816.165855</v>
      </c>
      <c r="BB1763" s="129">
        <f>IFERROR(VLOOKUP($D1763,'EITI Revenues'!$C$2:$G$224,5,FALSE),"..")</f>
        <v>5884323617</v>
      </c>
      <c r="BC1763" s="846">
        <f t="shared" si="300"/>
        <v>0.16472111922911861</v>
      </c>
      <c r="BD1763" s="129">
        <f>VLOOKUP($D1763,'WB Data 2'!$C$2:$K$545,6,FALSE)</f>
        <v>29773224958.428841</v>
      </c>
      <c r="BE1763" s="129">
        <f>IFERROR(VLOOKUP($D1763,UNCTAD!$C$5:$V$529,4,FALSE),"..")</f>
        <v>50632851000</v>
      </c>
      <c r="BF1763" s="846">
        <f t="shared" si="301"/>
        <v>0.58802189429208407</v>
      </c>
      <c r="BG1763" s="117">
        <f>VLOOKUP($D1763,'WB Data'!$C$3:$M$578,5,FALSE)</f>
        <v>604820000</v>
      </c>
      <c r="BH1763" s="129">
        <f>IFERROR($BB1763/$BG1763,"..")</f>
        <v>9.7290493320326714</v>
      </c>
      <c r="BI1763" s="117">
        <f>IFERROR(VLOOKUP($D1763,'WB Data'!$C$3:$M$578,7,FALSE)/100,"..")</f>
        <v>2.5311699999999999E-2</v>
      </c>
      <c r="BJ1763" s="117">
        <f>IFERROR($BI1763*$AW1763,"..")</f>
        <v>4317271101.5386934</v>
      </c>
      <c r="BK1763" s="846">
        <f>IFERROR($BB1763/$BJ1763,"..")</f>
        <v>1.3629729240081316</v>
      </c>
      <c r="BL1763" s="117">
        <f>IFERROR(VLOOKUP($D1763,'WB Data'!$C$3:$M$578,7,FALSE)/100,"..")</f>
        <v>2.5311699999999999E-2</v>
      </c>
      <c r="BM1763" s="117">
        <f>IFERROR($AW1763*$BL1763,"..")</f>
        <v>4317271101.5386934</v>
      </c>
      <c r="BN1763" s="846">
        <f>IFERROR($BB1763/$BM1763,"..")</f>
        <v>1.3629729240081316</v>
      </c>
      <c r="BO1763" s="801">
        <f t="shared" si="297"/>
        <v>38</v>
      </c>
      <c r="BP1763" s="117">
        <f>VLOOKUP($D1763,'WB Data'!$C$3:$M$578,9,FALSE)</f>
        <v>27.8</v>
      </c>
      <c r="BQ1763" s="117">
        <f>VLOOKUP($D1763,'WB Data'!$C$3:$M$578,10,FALSE)</f>
        <v>74.210536585365858</v>
      </c>
      <c r="BR1763" s="117">
        <f>VLOOKUP($D1763,'WB Data'!$C$3:$M$578,11,FALSE)</f>
        <v>14.3</v>
      </c>
      <c r="BS1763" s="129">
        <f>IFERROR(VLOOKUP($D1763,'WB Data 2'!$C$2:$K$545,9,FALSE),"..")</f>
        <v>96.327079999999995</v>
      </c>
      <c r="BT1763" s="129">
        <f>_xlfn.IFNA(VLOOKUP($C1763,RGI!$A$2:$C$43,2,FALSE),"..")</f>
        <v>76.8</v>
      </c>
      <c r="BU1763" s="129">
        <f>_xlfn.IFNA(VLOOKUP($C1763,RGI!$A$2:$C$43,3,FALSE),"..")</f>
        <v>72.816147461462435</v>
      </c>
      <c r="BV1763" s="129">
        <f>VLOOKUP($D1763,WGI!$C$2:$O$478,7,FALSE)</f>
        <v>9.0719139218499306E-2</v>
      </c>
      <c r="BW1763" s="129">
        <f>VLOOKUP($D1763,WGI!$C$2:$O$478,4,FALSE)</f>
        <v>-0.738042232413051</v>
      </c>
      <c r="BX1763" s="129">
        <f>VLOOKUP($D1763,WGI!$C$2:$O$478,3,FALSE)</f>
        <v>-0.145710327623474</v>
      </c>
      <c r="BY1763" s="129">
        <f>VLOOKUP($D1763,WGI!$C$2:$O$478,5,FALSE)</f>
        <v>0.476881348098389</v>
      </c>
      <c r="BZ1763" s="129">
        <f>VLOOKUP($D1763,WGI!$C$2:$O$478,2,FALSE)</f>
        <v>-0.248937037637317</v>
      </c>
    </row>
    <row r="1764" spans="1:78" ht="15" customHeight="1">
      <c r="A1764" s="407" t="s">
        <v>459</v>
      </c>
      <c r="B1764" s="408">
        <v>2011</v>
      </c>
      <c r="C1764" s="805" t="s">
        <v>449</v>
      </c>
      <c r="D1764" s="117" t="s">
        <v>3711</v>
      </c>
      <c r="E1764" s="409" t="s">
        <v>220</v>
      </c>
      <c r="F1764" s="410"/>
      <c r="G1764" s="621" t="s">
        <v>24</v>
      </c>
      <c r="H1764" s="117" t="str">
        <f t="shared" si="304"/>
        <v>yes</v>
      </c>
      <c r="I1764" s="117" t="str">
        <f t="shared" si="294"/>
        <v>no</v>
      </c>
      <c r="J1764" s="117" t="str">
        <f t="shared" si="295"/>
        <v>no</v>
      </c>
      <c r="K1764" s="410" t="s">
        <v>2104</v>
      </c>
      <c r="L1764" s="117" t="str">
        <f t="shared" si="305"/>
        <v>detailed</v>
      </c>
      <c r="M1764" s="117" t="str">
        <f t="shared" si="296"/>
        <v>detailed Mining</v>
      </c>
      <c r="N1764" s="411"/>
      <c r="O1764" s="411"/>
      <c r="P1764" s="411"/>
      <c r="Q1764" s="411"/>
      <c r="R1764" s="411"/>
      <c r="S1764" s="410"/>
      <c r="T1764" s="412">
        <v>159.83000000000001</v>
      </c>
      <c r="U1764" s="410" t="s">
        <v>611</v>
      </c>
      <c r="V1764" s="410" t="s">
        <v>2140</v>
      </c>
      <c r="W1764" s="413"/>
      <c r="X1764" s="621"/>
      <c r="Y1764" s="413"/>
      <c r="Z1764" s="413"/>
      <c r="AA1764" s="413"/>
      <c r="AB1764" s="413"/>
      <c r="AC1764" s="618"/>
      <c r="AD1764" s="618"/>
      <c r="AE1764" s="618"/>
      <c r="AF1764" s="619"/>
      <c r="AG1764" s="413"/>
      <c r="AH1764" s="417"/>
      <c r="AI1764" s="410"/>
      <c r="AJ1764" s="410"/>
      <c r="AK1764" s="413"/>
      <c r="AL1764" s="410"/>
      <c r="AM1764" s="410"/>
      <c r="AN1764" s="410"/>
      <c r="AO1764" s="410"/>
      <c r="AP1764" s="410"/>
      <c r="AQ1764" s="410"/>
      <c r="AR1764" s="410"/>
      <c r="AS1764" s="410"/>
      <c r="AT1764" s="410"/>
      <c r="AU1764" s="410"/>
      <c r="AV1764" s="419"/>
      <c r="AW1764" s="117">
        <f>VLOOKUP($D1764,'WB Data'!$C$3:$M$578,2,FALSE)</f>
        <v>170564249004.95398</v>
      </c>
      <c r="AX1764" s="117">
        <f>VLOOKUP($D1764,'WB Data'!$C$3:$M$578,3,FALSE)</f>
        <v>29614887</v>
      </c>
      <c r="AY1764" s="847">
        <f t="shared" si="298"/>
        <v>3.4499161760616619E-2</v>
      </c>
      <c r="AZ1764" s="117">
        <f>VLOOKUP($D1764,'WB Data'!$C$3:$M$578,4,FALSE)/100</f>
        <v>0.20943982120853646</v>
      </c>
      <c r="BA1764" s="117">
        <f t="shared" si="299"/>
        <v>35722945816.165855</v>
      </c>
      <c r="BB1764" s="129">
        <f>IFERROR(VLOOKUP($D1764,'EITI Revenues'!$C$2:$G$224,5,FALSE),"..")</f>
        <v>5884323617</v>
      </c>
      <c r="BC1764" s="846">
        <f t="shared" si="300"/>
        <v>0.16472111922911861</v>
      </c>
      <c r="BD1764" s="129">
        <f>VLOOKUP($D1764,'WB Data 2'!$C$2:$K$545,6,FALSE)</f>
        <v>29773224958.428841</v>
      </c>
      <c r="BE1764" s="129">
        <f>IFERROR(VLOOKUP($D1764,UNCTAD!$C$5:$V$529,4,FALSE),"..")</f>
        <v>50632851000</v>
      </c>
      <c r="BF1764" s="846">
        <f t="shared" si="301"/>
        <v>0.58802189429208407</v>
      </c>
      <c r="BG1764" s="117">
        <f>VLOOKUP($D1764,'WB Data'!$C$3:$M$578,5,FALSE)</f>
        <v>604820000</v>
      </c>
      <c r="BH1764" s="129">
        <f>IFERROR($BB1764/$BG1764,"..")</f>
        <v>9.7290493320326714</v>
      </c>
      <c r="BI1764" s="117">
        <f>IFERROR(VLOOKUP($D1764,'WB Data'!$C$3:$M$578,7,FALSE)/100,"..")</f>
        <v>2.5311699999999999E-2</v>
      </c>
      <c r="BJ1764" s="117">
        <f>IFERROR($BI1764*$AW1764,"..")</f>
        <v>4317271101.5386934</v>
      </c>
      <c r="BK1764" s="846">
        <f>IFERROR($BB1764/$BJ1764,"..")</f>
        <v>1.3629729240081316</v>
      </c>
      <c r="BL1764" s="117">
        <f>IFERROR(VLOOKUP($D1764,'WB Data'!$C$3:$M$578,7,FALSE)/100,"..")</f>
        <v>2.5311699999999999E-2</v>
      </c>
      <c r="BM1764" s="117">
        <f>IFERROR($AW1764*$BL1764,"..")</f>
        <v>4317271101.5386934</v>
      </c>
      <c r="BN1764" s="846">
        <f>IFERROR($BB1764/$BM1764,"..")</f>
        <v>1.3629729240081316</v>
      </c>
      <c r="BO1764" s="801">
        <f t="shared" si="297"/>
        <v>38</v>
      </c>
      <c r="BP1764" s="117">
        <f>VLOOKUP($D1764,'WB Data'!$C$3:$M$578,9,FALSE)</f>
        <v>27.8</v>
      </c>
      <c r="BQ1764" s="117">
        <f>VLOOKUP($D1764,'WB Data'!$C$3:$M$578,10,FALSE)</f>
        <v>74.210536585365858</v>
      </c>
      <c r="BR1764" s="117">
        <f>VLOOKUP($D1764,'WB Data'!$C$3:$M$578,11,FALSE)</f>
        <v>14.3</v>
      </c>
      <c r="BS1764" s="129">
        <f>IFERROR(VLOOKUP($D1764,'WB Data 2'!$C$2:$K$545,9,FALSE),"..")</f>
        <v>96.327079999999995</v>
      </c>
      <c r="BT1764" s="129">
        <f>_xlfn.IFNA(VLOOKUP($C1764,RGI!$A$2:$C$43,2,FALSE),"..")</f>
        <v>76.8</v>
      </c>
      <c r="BU1764" s="129">
        <f>_xlfn.IFNA(VLOOKUP($C1764,RGI!$A$2:$C$43,3,FALSE),"..")</f>
        <v>72.816147461462435</v>
      </c>
      <c r="BV1764" s="129">
        <f>VLOOKUP($D1764,WGI!$C$2:$O$478,7,FALSE)</f>
        <v>9.0719139218499306E-2</v>
      </c>
      <c r="BW1764" s="129">
        <f>VLOOKUP($D1764,WGI!$C$2:$O$478,4,FALSE)</f>
        <v>-0.738042232413051</v>
      </c>
      <c r="BX1764" s="129">
        <f>VLOOKUP($D1764,WGI!$C$2:$O$478,3,FALSE)</f>
        <v>-0.145710327623474</v>
      </c>
      <c r="BY1764" s="129">
        <f>VLOOKUP($D1764,WGI!$C$2:$O$478,5,FALSE)</f>
        <v>0.476881348098389</v>
      </c>
      <c r="BZ1764" s="129">
        <f>VLOOKUP($D1764,WGI!$C$2:$O$478,2,FALSE)</f>
        <v>-0.248937037637317</v>
      </c>
    </row>
    <row r="1765" spans="1:78" ht="15" customHeight="1">
      <c r="A1765" s="407" t="s">
        <v>459</v>
      </c>
      <c r="B1765" s="408">
        <v>2011</v>
      </c>
      <c r="C1765" s="805" t="s">
        <v>449</v>
      </c>
      <c r="D1765" s="117" t="s">
        <v>3711</v>
      </c>
      <c r="E1765" s="409" t="s">
        <v>220</v>
      </c>
      <c r="F1765" s="410"/>
      <c r="G1765" s="621" t="s">
        <v>24</v>
      </c>
      <c r="H1765" s="117" t="str">
        <f t="shared" si="304"/>
        <v>yes</v>
      </c>
      <c r="I1765" s="117" t="str">
        <f t="shared" si="294"/>
        <v>no</v>
      </c>
      <c r="J1765" s="117" t="str">
        <f t="shared" si="295"/>
        <v>no</v>
      </c>
      <c r="K1765" s="410" t="s">
        <v>2048</v>
      </c>
      <c r="L1765" s="117" t="str">
        <f t="shared" si="305"/>
        <v>detailed</v>
      </c>
      <c r="M1765" s="117" t="str">
        <f t="shared" si="296"/>
        <v>detailed Mining</v>
      </c>
      <c r="N1765" s="411">
        <v>100</v>
      </c>
      <c r="O1765" s="411"/>
      <c r="P1765" s="411"/>
      <c r="Q1765" s="411"/>
      <c r="R1765" s="411"/>
      <c r="S1765" s="410" t="s">
        <v>610</v>
      </c>
      <c r="T1765" s="412"/>
      <c r="U1765" s="410"/>
      <c r="V1765" s="410" t="s">
        <v>847</v>
      </c>
      <c r="W1765" s="413"/>
      <c r="X1765" s="621"/>
      <c r="Y1765" s="413"/>
      <c r="Z1765" s="413"/>
      <c r="AA1765" s="413"/>
      <c r="AB1765" s="413"/>
      <c r="AC1765" s="618"/>
      <c r="AD1765" s="618"/>
      <c r="AE1765" s="618"/>
      <c r="AF1765" s="619"/>
      <c r="AG1765" s="413"/>
      <c r="AH1765" s="417"/>
      <c r="AI1765" s="410"/>
      <c r="AJ1765" s="410"/>
      <c r="AK1765" s="413"/>
      <c r="AL1765" s="410"/>
      <c r="AM1765" s="410"/>
      <c r="AN1765" s="410"/>
      <c r="AO1765" s="410"/>
      <c r="AP1765" s="410"/>
      <c r="AQ1765" s="410"/>
      <c r="AR1765" s="410"/>
      <c r="AS1765" s="410"/>
      <c r="AT1765" s="410"/>
      <c r="AU1765" s="410"/>
      <c r="AV1765" s="419"/>
      <c r="AW1765" s="117">
        <f>VLOOKUP($D1765,'WB Data'!$C$3:$M$578,2,FALSE)</f>
        <v>170564249004.95398</v>
      </c>
      <c r="AX1765" s="117">
        <f>VLOOKUP($D1765,'WB Data'!$C$3:$M$578,3,FALSE)</f>
        <v>29614887</v>
      </c>
      <c r="AY1765" s="847">
        <f t="shared" si="298"/>
        <v>3.4499161760616619E-2</v>
      </c>
      <c r="AZ1765" s="117">
        <f>VLOOKUP($D1765,'WB Data'!$C$3:$M$578,4,FALSE)/100</f>
        <v>0.20943982120853646</v>
      </c>
      <c r="BA1765" s="117">
        <f t="shared" si="299"/>
        <v>35722945816.165855</v>
      </c>
      <c r="BB1765" s="129">
        <f>IFERROR(VLOOKUP($D1765,'EITI Revenues'!$C$2:$G$224,5,FALSE),"..")</f>
        <v>5884323617</v>
      </c>
      <c r="BC1765" s="846">
        <f t="shared" si="300"/>
        <v>0.16472111922911861</v>
      </c>
      <c r="BD1765" s="129">
        <f>VLOOKUP($D1765,'WB Data 2'!$C$2:$K$545,6,FALSE)</f>
        <v>29773224958.428841</v>
      </c>
      <c r="BE1765" s="129">
        <f>IFERROR(VLOOKUP($D1765,UNCTAD!$C$5:$V$529,4,FALSE),"..")</f>
        <v>50632851000</v>
      </c>
      <c r="BF1765" s="846">
        <f t="shared" si="301"/>
        <v>0.58802189429208407</v>
      </c>
      <c r="BG1765" s="117">
        <f>VLOOKUP($D1765,'WB Data'!$C$3:$M$578,5,FALSE)</f>
        <v>604820000</v>
      </c>
      <c r="BH1765" s="129">
        <f>IFERROR($BB1765/$BG1765,"..")</f>
        <v>9.7290493320326714</v>
      </c>
      <c r="BI1765" s="117">
        <f>IFERROR(VLOOKUP($D1765,'WB Data'!$C$3:$M$578,7,FALSE)/100,"..")</f>
        <v>2.5311699999999999E-2</v>
      </c>
      <c r="BJ1765" s="117">
        <f>IFERROR($BI1765*$AW1765,"..")</f>
        <v>4317271101.5386934</v>
      </c>
      <c r="BK1765" s="846">
        <f>IFERROR($BB1765/$BJ1765,"..")</f>
        <v>1.3629729240081316</v>
      </c>
      <c r="BL1765" s="117">
        <f>IFERROR(VLOOKUP($D1765,'WB Data'!$C$3:$M$578,7,FALSE)/100,"..")</f>
        <v>2.5311699999999999E-2</v>
      </c>
      <c r="BM1765" s="117">
        <f>IFERROR($AW1765*$BL1765,"..")</f>
        <v>4317271101.5386934</v>
      </c>
      <c r="BN1765" s="846">
        <f>IFERROR($BB1765/$BM1765,"..")</f>
        <v>1.3629729240081316</v>
      </c>
      <c r="BO1765" s="801">
        <f t="shared" si="297"/>
        <v>38</v>
      </c>
      <c r="BP1765" s="117">
        <f>VLOOKUP($D1765,'WB Data'!$C$3:$M$578,9,FALSE)</f>
        <v>27.8</v>
      </c>
      <c r="BQ1765" s="117">
        <f>VLOOKUP($D1765,'WB Data'!$C$3:$M$578,10,FALSE)</f>
        <v>74.210536585365858</v>
      </c>
      <c r="BR1765" s="117">
        <f>VLOOKUP($D1765,'WB Data'!$C$3:$M$578,11,FALSE)</f>
        <v>14.3</v>
      </c>
      <c r="BS1765" s="129">
        <f>IFERROR(VLOOKUP($D1765,'WB Data 2'!$C$2:$K$545,9,FALSE),"..")</f>
        <v>96.327079999999995</v>
      </c>
      <c r="BT1765" s="129">
        <f>_xlfn.IFNA(VLOOKUP($C1765,RGI!$A$2:$C$43,2,FALSE),"..")</f>
        <v>76.8</v>
      </c>
      <c r="BU1765" s="129">
        <f>_xlfn.IFNA(VLOOKUP($C1765,RGI!$A$2:$C$43,3,FALSE),"..")</f>
        <v>72.816147461462435</v>
      </c>
      <c r="BV1765" s="129">
        <f>VLOOKUP($D1765,WGI!$C$2:$O$478,7,FALSE)</f>
        <v>9.0719139218499306E-2</v>
      </c>
      <c r="BW1765" s="129">
        <f>VLOOKUP($D1765,WGI!$C$2:$O$478,4,FALSE)</f>
        <v>-0.738042232413051</v>
      </c>
      <c r="BX1765" s="129">
        <f>VLOOKUP($D1765,WGI!$C$2:$O$478,3,FALSE)</f>
        <v>-0.145710327623474</v>
      </c>
      <c r="BY1765" s="129">
        <f>VLOOKUP($D1765,WGI!$C$2:$O$478,5,FALSE)</f>
        <v>0.476881348098389</v>
      </c>
      <c r="BZ1765" s="129">
        <f>VLOOKUP($D1765,WGI!$C$2:$O$478,2,FALSE)</f>
        <v>-0.248937037637317</v>
      </c>
    </row>
    <row r="1766" spans="1:78" ht="15" customHeight="1">
      <c r="A1766" s="407" t="s">
        <v>459</v>
      </c>
      <c r="B1766" s="408">
        <v>2011</v>
      </c>
      <c r="C1766" s="805" t="s">
        <v>449</v>
      </c>
      <c r="D1766" s="117" t="s">
        <v>3711</v>
      </c>
      <c r="E1766" s="409" t="s">
        <v>220</v>
      </c>
      <c r="F1766" s="410"/>
      <c r="G1766" s="621" t="s">
        <v>24</v>
      </c>
      <c r="H1766" s="117" t="str">
        <f t="shared" si="304"/>
        <v>yes</v>
      </c>
      <c r="I1766" s="117" t="str">
        <f t="shared" si="294"/>
        <v>no</v>
      </c>
      <c r="J1766" s="117" t="str">
        <f t="shared" si="295"/>
        <v>no</v>
      </c>
      <c r="K1766" s="410" t="s">
        <v>2049</v>
      </c>
      <c r="L1766" s="117" t="str">
        <f t="shared" si="305"/>
        <v>detailed</v>
      </c>
      <c r="M1766" s="117" t="str">
        <f t="shared" si="296"/>
        <v>detailed Mining</v>
      </c>
      <c r="N1766" s="411">
        <v>204000</v>
      </c>
      <c r="O1766" s="411"/>
      <c r="P1766" s="411"/>
      <c r="Q1766" s="411"/>
      <c r="R1766" s="411"/>
      <c r="S1766" s="410" t="s">
        <v>610</v>
      </c>
      <c r="T1766" s="412"/>
      <c r="U1766" s="410"/>
      <c r="V1766" s="410" t="s">
        <v>847</v>
      </c>
      <c r="W1766" s="413"/>
      <c r="X1766" s="621"/>
      <c r="Y1766" s="413"/>
      <c r="Z1766" s="413"/>
      <c r="AA1766" s="413"/>
      <c r="AB1766" s="413"/>
      <c r="AC1766" s="618"/>
      <c r="AD1766" s="618"/>
      <c r="AE1766" s="618"/>
      <c r="AF1766" s="619"/>
      <c r="AG1766" s="413"/>
      <c r="AH1766" s="417"/>
      <c r="AI1766" s="410"/>
      <c r="AJ1766" s="410"/>
      <c r="AK1766" s="413"/>
      <c r="AL1766" s="410"/>
      <c r="AM1766" s="410"/>
      <c r="AN1766" s="410"/>
      <c r="AO1766" s="410"/>
      <c r="AP1766" s="410"/>
      <c r="AQ1766" s="410"/>
      <c r="AR1766" s="410"/>
      <c r="AS1766" s="410"/>
      <c r="AT1766" s="410"/>
      <c r="AU1766" s="410"/>
      <c r="AV1766" s="419"/>
      <c r="AW1766" s="117">
        <f>VLOOKUP($D1766,'WB Data'!$C$3:$M$578,2,FALSE)</f>
        <v>170564249004.95398</v>
      </c>
      <c r="AX1766" s="117">
        <f>VLOOKUP($D1766,'WB Data'!$C$3:$M$578,3,FALSE)</f>
        <v>29614887</v>
      </c>
      <c r="AY1766" s="847">
        <f t="shared" si="298"/>
        <v>3.4499161760616619E-2</v>
      </c>
      <c r="AZ1766" s="117">
        <f>VLOOKUP($D1766,'WB Data'!$C$3:$M$578,4,FALSE)/100</f>
        <v>0.20943982120853646</v>
      </c>
      <c r="BA1766" s="117">
        <f t="shared" si="299"/>
        <v>35722945816.165855</v>
      </c>
      <c r="BB1766" s="129">
        <f>IFERROR(VLOOKUP($D1766,'EITI Revenues'!$C$2:$G$224,5,FALSE),"..")</f>
        <v>5884323617</v>
      </c>
      <c r="BC1766" s="846">
        <f t="shared" si="300"/>
        <v>0.16472111922911861</v>
      </c>
      <c r="BD1766" s="129">
        <f>VLOOKUP($D1766,'WB Data 2'!$C$2:$K$545,6,FALSE)</f>
        <v>29773224958.428841</v>
      </c>
      <c r="BE1766" s="129">
        <f>IFERROR(VLOOKUP($D1766,UNCTAD!$C$5:$V$529,4,FALSE),"..")</f>
        <v>50632851000</v>
      </c>
      <c r="BF1766" s="846">
        <f t="shared" si="301"/>
        <v>0.58802189429208407</v>
      </c>
      <c r="BG1766" s="117">
        <f>VLOOKUP($D1766,'WB Data'!$C$3:$M$578,5,FALSE)</f>
        <v>604820000</v>
      </c>
      <c r="BH1766" s="129">
        <f>IFERROR($BB1766/$BG1766,"..")</f>
        <v>9.7290493320326714</v>
      </c>
      <c r="BI1766" s="117">
        <f>IFERROR(VLOOKUP($D1766,'WB Data'!$C$3:$M$578,7,FALSE)/100,"..")</f>
        <v>2.5311699999999999E-2</v>
      </c>
      <c r="BJ1766" s="117">
        <f>IFERROR($BI1766*$AW1766,"..")</f>
        <v>4317271101.5386934</v>
      </c>
      <c r="BK1766" s="846">
        <f>IFERROR($BB1766/$BJ1766,"..")</f>
        <v>1.3629729240081316</v>
      </c>
      <c r="BL1766" s="117">
        <f>IFERROR(VLOOKUP($D1766,'WB Data'!$C$3:$M$578,7,FALSE)/100,"..")</f>
        <v>2.5311699999999999E-2</v>
      </c>
      <c r="BM1766" s="117">
        <f>IFERROR($AW1766*$BL1766,"..")</f>
        <v>4317271101.5386934</v>
      </c>
      <c r="BN1766" s="846">
        <f>IFERROR($BB1766/$BM1766,"..")</f>
        <v>1.3629729240081316</v>
      </c>
      <c r="BO1766" s="801">
        <f t="shared" si="297"/>
        <v>38</v>
      </c>
      <c r="BP1766" s="117">
        <f>VLOOKUP($D1766,'WB Data'!$C$3:$M$578,9,FALSE)</f>
        <v>27.8</v>
      </c>
      <c r="BQ1766" s="117">
        <f>VLOOKUP($D1766,'WB Data'!$C$3:$M$578,10,FALSE)</f>
        <v>74.210536585365858</v>
      </c>
      <c r="BR1766" s="117">
        <f>VLOOKUP($D1766,'WB Data'!$C$3:$M$578,11,FALSE)</f>
        <v>14.3</v>
      </c>
      <c r="BS1766" s="129">
        <f>IFERROR(VLOOKUP($D1766,'WB Data 2'!$C$2:$K$545,9,FALSE),"..")</f>
        <v>96.327079999999995</v>
      </c>
      <c r="BT1766" s="129">
        <f>_xlfn.IFNA(VLOOKUP($C1766,RGI!$A$2:$C$43,2,FALSE),"..")</f>
        <v>76.8</v>
      </c>
      <c r="BU1766" s="129">
        <f>_xlfn.IFNA(VLOOKUP($C1766,RGI!$A$2:$C$43,3,FALSE),"..")</f>
        <v>72.816147461462435</v>
      </c>
      <c r="BV1766" s="129">
        <f>VLOOKUP($D1766,WGI!$C$2:$O$478,7,FALSE)</f>
        <v>9.0719139218499306E-2</v>
      </c>
      <c r="BW1766" s="129">
        <f>VLOOKUP($D1766,WGI!$C$2:$O$478,4,FALSE)</f>
        <v>-0.738042232413051</v>
      </c>
      <c r="BX1766" s="129">
        <f>VLOOKUP($D1766,WGI!$C$2:$O$478,3,FALSE)</f>
        <v>-0.145710327623474</v>
      </c>
      <c r="BY1766" s="129">
        <f>VLOOKUP($D1766,WGI!$C$2:$O$478,5,FALSE)</f>
        <v>0.476881348098389</v>
      </c>
      <c r="BZ1766" s="129">
        <f>VLOOKUP($D1766,WGI!$C$2:$O$478,2,FALSE)</f>
        <v>-0.248937037637317</v>
      </c>
    </row>
    <row r="1767" spans="1:78" ht="15" customHeight="1">
      <c r="A1767" s="407" t="s">
        <v>459</v>
      </c>
      <c r="B1767" s="408">
        <v>2011</v>
      </c>
      <c r="C1767" s="805" t="s">
        <v>449</v>
      </c>
      <c r="D1767" s="117" t="s">
        <v>3711</v>
      </c>
      <c r="E1767" s="409" t="s">
        <v>220</v>
      </c>
      <c r="F1767" s="410"/>
      <c r="G1767" s="621" t="s">
        <v>24</v>
      </c>
      <c r="H1767" s="117" t="str">
        <f t="shared" si="304"/>
        <v>yes</v>
      </c>
      <c r="I1767" s="117" t="str">
        <f t="shared" si="294"/>
        <v>no</v>
      </c>
      <c r="J1767" s="117" t="str">
        <f t="shared" si="295"/>
        <v>no</v>
      </c>
      <c r="K1767" s="410" t="s">
        <v>627</v>
      </c>
      <c r="L1767" s="117" t="str">
        <f t="shared" si="305"/>
        <v>detailed</v>
      </c>
      <c r="M1767" s="117" t="str">
        <f t="shared" si="296"/>
        <v>detailed Mining</v>
      </c>
      <c r="N1767" s="411">
        <v>28296</v>
      </c>
      <c r="O1767" s="411"/>
      <c r="P1767" s="411"/>
      <c r="Q1767" s="411"/>
      <c r="R1767" s="411"/>
      <c r="S1767" s="410" t="s">
        <v>610</v>
      </c>
      <c r="T1767" s="412">
        <v>155</v>
      </c>
      <c r="U1767" s="410" t="s">
        <v>611</v>
      </c>
      <c r="V1767" s="410" t="s">
        <v>2141</v>
      </c>
      <c r="W1767" s="413">
        <f>N1767*T1767</f>
        <v>4385880</v>
      </c>
      <c r="X1767" s="621"/>
      <c r="Y1767" s="413"/>
      <c r="Z1767" s="413"/>
      <c r="AA1767" s="413"/>
      <c r="AB1767" s="413"/>
      <c r="AC1767" s="618"/>
      <c r="AD1767" s="618"/>
      <c r="AE1767" s="618"/>
      <c r="AF1767" s="619"/>
      <c r="AG1767" s="413"/>
      <c r="AH1767" s="417"/>
      <c r="AI1767" s="410"/>
      <c r="AJ1767" s="410"/>
      <c r="AK1767" s="413"/>
      <c r="AL1767" s="410"/>
      <c r="AM1767" s="410"/>
      <c r="AN1767" s="410"/>
      <c r="AO1767" s="410"/>
      <c r="AP1767" s="410"/>
      <c r="AQ1767" s="410"/>
      <c r="AR1767" s="410"/>
      <c r="AS1767" s="410"/>
      <c r="AT1767" s="410"/>
      <c r="AU1767" s="410"/>
      <c r="AV1767" s="419"/>
      <c r="AW1767" s="117">
        <f>VLOOKUP($D1767,'WB Data'!$C$3:$M$578,2,FALSE)</f>
        <v>170564249004.95398</v>
      </c>
      <c r="AX1767" s="117">
        <f>VLOOKUP($D1767,'WB Data'!$C$3:$M$578,3,FALSE)</f>
        <v>29614887</v>
      </c>
      <c r="AY1767" s="847">
        <f t="shared" si="298"/>
        <v>3.4499161760616619E-2</v>
      </c>
      <c r="AZ1767" s="117">
        <f>VLOOKUP($D1767,'WB Data'!$C$3:$M$578,4,FALSE)/100</f>
        <v>0.20943982120853646</v>
      </c>
      <c r="BA1767" s="117">
        <f t="shared" si="299"/>
        <v>35722945816.165855</v>
      </c>
      <c r="BB1767" s="129">
        <f>IFERROR(VLOOKUP($D1767,'EITI Revenues'!$C$2:$G$224,5,FALSE),"..")</f>
        <v>5884323617</v>
      </c>
      <c r="BC1767" s="846">
        <f t="shared" si="300"/>
        <v>0.16472111922911861</v>
      </c>
      <c r="BD1767" s="129">
        <f>VLOOKUP($D1767,'WB Data 2'!$C$2:$K$545,6,FALSE)</f>
        <v>29773224958.428841</v>
      </c>
      <c r="BE1767" s="129">
        <f>IFERROR(VLOOKUP($D1767,UNCTAD!$C$5:$V$529,4,FALSE),"..")</f>
        <v>50632851000</v>
      </c>
      <c r="BF1767" s="846">
        <f t="shared" si="301"/>
        <v>0.58802189429208407</v>
      </c>
      <c r="BG1767" s="117">
        <f>VLOOKUP($D1767,'WB Data'!$C$3:$M$578,5,FALSE)</f>
        <v>604820000</v>
      </c>
      <c r="BH1767" s="129">
        <f>IFERROR($BB1767/$BG1767,"..")</f>
        <v>9.7290493320326714</v>
      </c>
      <c r="BI1767" s="117">
        <f>IFERROR(VLOOKUP($D1767,'WB Data'!$C$3:$M$578,7,FALSE)/100,"..")</f>
        <v>2.5311699999999999E-2</v>
      </c>
      <c r="BJ1767" s="117">
        <f>IFERROR($BI1767*$AW1767,"..")</f>
        <v>4317271101.5386934</v>
      </c>
      <c r="BK1767" s="846">
        <f>IFERROR($BB1767/$BJ1767,"..")</f>
        <v>1.3629729240081316</v>
      </c>
      <c r="BL1767" s="117">
        <f>IFERROR(VLOOKUP($D1767,'WB Data'!$C$3:$M$578,7,FALSE)/100,"..")</f>
        <v>2.5311699999999999E-2</v>
      </c>
      <c r="BM1767" s="117">
        <f>IFERROR($AW1767*$BL1767,"..")</f>
        <v>4317271101.5386934</v>
      </c>
      <c r="BN1767" s="846">
        <f>IFERROR($BB1767/$BM1767,"..")</f>
        <v>1.3629729240081316</v>
      </c>
      <c r="BO1767" s="801">
        <f t="shared" si="297"/>
        <v>38</v>
      </c>
      <c r="BP1767" s="117">
        <f>VLOOKUP($D1767,'WB Data'!$C$3:$M$578,9,FALSE)</f>
        <v>27.8</v>
      </c>
      <c r="BQ1767" s="117">
        <f>VLOOKUP($D1767,'WB Data'!$C$3:$M$578,10,FALSE)</f>
        <v>74.210536585365858</v>
      </c>
      <c r="BR1767" s="117">
        <f>VLOOKUP($D1767,'WB Data'!$C$3:$M$578,11,FALSE)</f>
        <v>14.3</v>
      </c>
      <c r="BS1767" s="129">
        <f>IFERROR(VLOOKUP($D1767,'WB Data 2'!$C$2:$K$545,9,FALSE),"..")</f>
        <v>96.327079999999995</v>
      </c>
      <c r="BT1767" s="129">
        <f>_xlfn.IFNA(VLOOKUP($C1767,RGI!$A$2:$C$43,2,FALSE),"..")</f>
        <v>76.8</v>
      </c>
      <c r="BU1767" s="129">
        <f>_xlfn.IFNA(VLOOKUP($C1767,RGI!$A$2:$C$43,3,FALSE),"..")</f>
        <v>72.816147461462435</v>
      </c>
      <c r="BV1767" s="129">
        <f>VLOOKUP($D1767,WGI!$C$2:$O$478,7,FALSE)</f>
        <v>9.0719139218499306E-2</v>
      </c>
      <c r="BW1767" s="129">
        <f>VLOOKUP($D1767,WGI!$C$2:$O$478,4,FALSE)</f>
        <v>-0.738042232413051</v>
      </c>
      <c r="BX1767" s="129">
        <f>VLOOKUP($D1767,WGI!$C$2:$O$478,3,FALSE)</f>
        <v>-0.145710327623474</v>
      </c>
      <c r="BY1767" s="129">
        <f>VLOOKUP($D1767,WGI!$C$2:$O$478,5,FALSE)</f>
        <v>0.476881348098389</v>
      </c>
      <c r="BZ1767" s="129">
        <f>VLOOKUP($D1767,WGI!$C$2:$O$478,2,FALSE)</f>
        <v>-0.248937037637317</v>
      </c>
    </row>
    <row r="1768" spans="1:78" ht="15" customHeight="1">
      <c r="A1768" s="407" t="s">
        <v>459</v>
      </c>
      <c r="B1768" s="408">
        <v>2011</v>
      </c>
      <c r="C1768" s="805" t="s">
        <v>449</v>
      </c>
      <c r="D1768" s="117" t="s">
        <v>3711</v>
      </c>
      <c r="E1768" s="409" t="s">
        <v>220</v>
      </c>
      <c r="F1768" s="410"/>
      <c r="G1768" s="621" t="s">
        <v>24</v>
      </c>
      <c r="H1768" s="117" t="str">
        <f t="shared" si="304"/>
        <v>yes</v>
      </c>
      <c r="I1768" s="117" t="str">
        <f t="shared" si="294"/>
        <v>no</v>
      </c>
      <c r="J1768" s="117" t="str">
        <f t="shared" si="295"/>
        <v>no</v>
      </c>
      <c r="K1768" s="410" t="s">
        <v>2050</v>
      </c>
      <c r="L1768" s="117" t="str">
        <f t="shared" si="305"/>
        <v>detailed</v>
      </c>
      <c r="M1768" s="117" t="str">
        <f t="shared" si="296"/>
        <v>detailed Mining</v>
      </c>
      <c r="N1768" s="411">
        <v>0</v>
      </c>
      <c r="O1768" s="411"/>
      <c r="P1768" s="411"/>
      <c r="Q1768" s="411"/>
      <c r="R1768" s="411"/>
      <c r="S1768" s="410" t="s">
        <v>610</v>
      </c>
      <c r="T1768" s="412"/>
      <c r="U1768" s="410"/>
      <c r="V1768" s="410" t="s">
        <v>847</v>
      </c>
      <c r="W1768" s="413">
        <f>N1768*T1768</f>
        <v>0</v>
      </c>
      <c r="X1768" s="621"/>
      <c r="Y1768" s="413"/>
      <c r="Z1768" s="413"/>
      <c r="AA1768" s="413"/>
      <c r="AB1768" s="413"/>
      <c r="AC1768" s="618"/>
      <c r="AD1768" s="618"/>
      <c r="AE1768" s="618"/>
      <c r="AF1768" s="619"/>
      <c r="AG1768" s="413"/>
      <c r="AH1768" s="417"/>
      <c r="AI1768" s="410"/>
      <c r="AJ1768" s="410"/>
      <c r="AK1768" s="413"/>
      <c r="AL1768" s="410"/>
      <c r="AM1768" s="410"/>
      <c r="AN1768" s="410"/>
      <c r="AO1768" s="410"/>
      <c r="AP1768" s="410"/>
      <c r="AQ1768" s="410"/>
      <c r="AR1768" s="410"/>
      <c r="AS1768" s="410"/>
      <c r="AT1768" s="410"/>
      <c r="AU1768" s="410"/>
      <c r="AV1768" s="419"/>
      <c r="AW1768" s="117">
        <f>VLOOKUP($D1768,'WB Data'!$C$3:$M$578,2,FALSE)</f>
        <v>170564249004.95398</v>
      </c>
      <c r="AX1768" s="117">
        <f>VLOOKUP($D1768,'WB Data'!$C$3:$M$578,3,FALSE)</f>
        <v>29614887</v>
      </c>
      <c r="AY1768" s="847">
        <f t="shared" si="298"/>
        <v>3.4499161760616619E-2</v>
      </c>
      <c r="AZ1768" s="117">
        <f>VLOOKUP($D1768,'WB Data'!$C$3:$M$578,4,FALSE)/100</f>
        <v>0.20943982120853646</v>
      </c>
      <c r="BA1768" s="117">
        <f t="shared" si="299"/>
        <v>35722945816.165855</v>
      </c>
      <c r="BB1768" s="129">
        <f>IFERROR(VLOOKUP($D1768,'EITI Revenues'!$C$2:$G$224,5,FALSE),"..")</f>
        <v>5884323617</v>
      </c>
      <c r="BC1768" s="846">
        <f t="shared" si="300"/>
        <v>0.16472111922911861</v>
      </c>
      <c r="BD1768" s="129">
        <f>VLOOKUP($D1768,'WB Data 2'!$C$2:$K$545,6,FALSE)</f>
        <v>29773224958.428841</v>
      </c>
      <c r="BE1768" s="129">
        <f>IFERROR(VLOOKUP($D1768,UNCTAD!$C$5:$V$529,4,FALSE),"..")</f>
        <v>50632851000</v>
      </c>
      <c r="BF1768" s="846">
        <f t="shared" si="301"/>
        <v>0.58802189429208407</v>
      </c>
      <c r="BG1768" s="117">
        <f>VLOOKUP($D1768,'WB Data'!$C$3:$M$578,5,FALSE)</f>
        <v>604820000</v>
      </c>
      <c r="BH1768" s="129">
        <f>IFERROR($BB1768/$BG1768,"..")</f>
        <v>9.7290493320326714</v>
      </c>
      <c r="BI1768" s="117">
        <f>IFERROR(VLOOKUP($D1768,'WB Data'!$C$3:$M$578,7,FALSE)/100,"..")</f>
        <v>2.5311699999999999E-2</v>
      </c>
      <c r="BJ1768" s="117">
        <f>IFERROR($BI1768*$AW1768,"..")</f>
        <v>4317271101.5386934</v>
      </c>
      <c r="BK1768" s="846">
        <f>IFERROR($BB1768/$BJ1768,"..")</f>
        <v>1.3629729240081316</v>
      </c>
      <c r="BL1768" s="117">
        <f>IFERROR(VLOOKUP($D1768,'WB Data'!$C$3:$M$578,7,FALSE)/100,"..")</f>
        <v>2.5311699999999999E-2</v>
      </c>
      <c r="BM1768" s="117">
        <f>IFERROR($AW1768*$BL1768,"..")</f>
        <v>4317271101.5386934</v>
      </c>
      <c r="BN1768" s="846">
        <f>IFERROR($BB1768/$BM1768,"..")</f>
        <v>1.3629729240081316</v>
      </c>
      <c r="BO1768" s="801">
        <f t="shared" si="297"/>
        <v>38</v>
      </c>
      <c r="BP1768" s="117">
        <f>VLOOKUP($D1768,'WB Data'!$C$3:$M$578,9,FALSE)</f>
        <v>27.8</v>
      </c>
      <c r="BQ1768" s="117">
        <f>VLOOKUP($D1768,'WB Data'!$C$3:$M$578,10,FALSE)</f>
        <v>74.210536585365858</v>
      </c>
      <c r="BR1768" s="117">
        <f>VLOOKUP($D1768,'WB Data'!$C$3:$M$578,11,FALSE)</f>
        <v>14.3</v>
      </c>
      <c r="BS1768" s="129">
        <f>IFERROR(VLOOKUP($D1768,'WB Data 2'!$C$2:$K$545,9,FALSE),"..")</f>
        <v>96.327079999999995</v>
      </c>
      <c r="BT1768" s="129">
        <f>_xlfn.IFNA(VLOOKUP($C1768,RGI!$A$2:$C$43,2,FALSE),"..")</f>
        <v>76.8</v>
      </c>
      <c r="BU1768" s="129">
        <f>_xlfn.IFNA(VLOOKUP($C1768,RGI!$A$2:$C$43,3,FALSE),"..")</f>
        <v>72.816147461462435</v>
      </c>
      <c r="BV1768" s="129">
        <f>VLOOKUP($D1768,WGI!$C$2:$O$478,7,FALSE)</f>
        <v>9.0719139218499306E-2</v>
      </c>
      <c r="BW1768" s="129">
        <f>VLOOKUP($D1768,WGI!$C$2:$O$478,4,FALSE)</f>
        <v>-0.738042232413051</v>
      </c>
      <c r="BX1768" s="129">
        <f>VLOOKUP($D1768,WGI!$C$2:$O$478,3,FALSE)</f>
        <v>-0.145710327623474</v>
      </c>
      <c r="BY1768" s="129">
        <f>VLOOKUP($D1768,WGI!$C$2:$O$478,5,FALSE)</f>
        <v>0.476881348098389</v>
      </c>
      <c r="BZ1768" s="129">
        <f>VLOOKUP($D1768,WGI!$C$2:$O$478,2,FALSE)</f>
        <v>-0.248937037637317</v>
      </c>
    </row>
    <row r="1769" spans="1:78" ht="15" customHeight="1">
      <c r="A1769" s="407" t="s">
        <v>459</v>
      </c>
      <c r="B1769" s="408">
        <v>2011</v>
      </c>
      <c r="C1769" s="805" t="s">
        <v>449</v>
      </c>
      <c r="D1769" s="117" t="s">
        <v>3711</v>
      </c>
      <c r="E1769" s="409" t="s">
        <v>220</v>
      </c>
      <c r="F1769" s="410"/>
      <c r="G1769" s="621" t="s">
        <v>24</v>
      </c>
      <c r="H1769" s="117" t="str">
        <f t="shared" si="304"/>
        <v>yes</v>
      </c>
      <c r="I1769" s="117" t="str">
        <f t="shared" si="294"/>
        <v>no</v>
      </c>
      <c r="J1769" s="117" t="str">
        <f t="shared" si="295"/>
        <v>no</v>
      </c>
      <c r="K1769" s="410" t="s">
        <v>1332</v>
      </c>
      <c r="L1769" s="117" t="str">
        <f t="shared" si="305"/>
        <v>detailed</v>
      </c>
      <c r="M1769" s="117" t="str">
        <f t="shared" si="296"/>
        <v>detailed Mining</v>
      </c>
      <c r="N1769" s="411"/>
      <c r="O1769" s="411"/>
      <c r="P1769" s="411"/>
      <c r="Q1769" s="411"/>
      <c r="R1769" s="411"/>
      <c r="S1769" s="410"/>
      <c r="T1769" s="622">
        <f>26053.675</f>
        <v>26053.674999999999</v>
      </c>
      <c r="U1769" s="410" t="s">
        <v>611</v>
      </c>
      <c r="V1769" s="410" t="s">
        <v>1333</v>
      </c>
      <c r="W1769" s="413">
        <f>N1771*T1769</f>
        <v>841273165.75</v>
      </c>
      <c r="X1769" s="410"/>
      <c r="Y1769" s="623"/>
      <c r="Z1769" s="623"/>
      <c r="AA1769" s="413"/>
      <c r="AB1769" s="413"/>
      <c r="AC1769" s="624"/>
      <c r="AD1769" s="624"/>
      <c r="AE1769" s="624"/>
      <c r="AF1769" s="625"/>
      <c r="AG1769" s="413"/>
      <c r="AH1769" s="417"/>
      <c r="AI1769" s="410"/>
      <c r="AJ1769" s="410"/>
      <c r="AK1769" s="413"/>
      <c r="AL1769" s="410"/>
      <c r="AM1769" s="410"/>
      <c r="AN1769" s="410"/>
      <c r="AO1769" s="410"/>
      <c r="AP1769" s="410"/>
      <c r="AQ1769" s="410"/>
      <c r="AR1769" s="410"/>
      <c r="AS1769" s="410"/>
      <c r="AT1769" s="410"/>
      <c r="AU1769" s="410"/>
      <c r="AV1769" s="419"/>
      <c r="AW1769" s="117">
        <f>VLOOKUP($D1769,'WB Data'!$C$3:$M$578,2,FALSE)</f>
        <v>170564249004.95398</v>
      </c>
      <c r="AX1769" s="117">
        <f>VLOOKUP($D1769,'WB Data'!$C$3:$M$578,3,FALSE)</f>
        <v>29614887</v>
      </c>
      <c r="AY1769" s="847">
        <f t="shared" si="298"/>
        <v>3.4499161760616619E-2</v>
      </c>
      <c r="AZ1769" s="117">
        <f>VLOOKUP($D1769,'WB Data'!$C$3:$M$578,4,FALSE)/100</f>
        <v>0.20943982120853646</v>
      </c>
      <c r="BA1769" s="117">
        <f t="shared" si="299"/>
        <v>35722945816.165855</v>
      </c>
      <c r="BB1769" s="129">
        <f>IFERROR(VLOOKUP($D1769,'EITI Revenues'!$C$2:$G$224,5,FALSE),"..")</f>
        <v>5884323617</v>
      </c>
      <c r="BC1769" s="846">
        <f t="shared" si="300"/>
        <v>0.16472111922911861</v>
      </c>
      <c r="BD1769" s="129">
        <f>VLOOKUP($D1769,'WB Data 2'!$C$2:$K$545,6,FALSE)</f>
        <v>29773224958.428841</v>
      </c>
      <c r="BE1769" s="129">
        <f>IFERROR(VLOOKUP($D1769,UNCTAD!$C$5:$V$529,4,FALSE),"..")</f>
        <v>50632851000</v>
      </c>
      <c r="BF1769" s="846">
        <f t="shared" si="301"/>
        <v>0.58802189429208407</v>
      </c>
      <c r="BG1769" s="117">
        <f>VLOOKUP($D1769,'WB Data'!$C$3:$M$578,5,FALSE)</f>
        <v>604820000</v>
      </c>
      <c r="BH1769" s="129">
        <f>IFERROR($BB1769/$BG1769,"..")</f>
        <v>9.7290493320326714</v>
      </c>
      <c r="BI1769" s="117">
        <f>IFERROR(VLOOKUP($D1769,'WB Data'!$C$3:$M$578,7,FALSE)/100,"..")</f>
        <v>2.5311699999999999E-2</v>
      </c>
      <c r="BJ1769" s="117">
        <f>IFERROR($BI1769*$AW1769,"..")</f>
        <v>4317271101.5386934</v>
      </c>
      <c r="BK1769" s="846">
        <f>IFERROR($BB1769/$BJ1769,"..")</f>
        <v>1.3629729240081316</v>
      </c>
      <c r="BL1769" s="117">
        <f>IFERROR(VLOOKUP($D1769,'WB Data'!$C$3:$M$578,7,FALSE)/100,"..")</f>
        <v>2.5311699999999999E-2</v>
      </c>
      <c r="BM1769" s="117">
        <f>IFERROR($AW1769*$BL1769,"..")</f>
        <v>4317271101.5386934</v>
      </c>
      <c r="BN1769" s="846">
        <f>IFERROR($BB1769/$BM1769,"..")</f>
        <v>1.3629729240081316</v>
      </c>
      <c r="BO1769" s="801">
        <f t="shared" si="297"/>
        <v>38</v>
      </c>
      <c r="BP1769" s="117">
        <f>VLOOKUP($D1769,'WB Data'!$C$3:$M$578,9,FALSE)</f>
        <v>27.8</v>
      </c>
      <c r="BQ1769" s="117">
        <f>VLOOKUP($D1769,'WB Data'!$C$3:$M$578,10,FALSE)</f>
        <v>74.210536585365858</v>
      </c>
      <c r="BR1769" s="117">
        <f>VLOOKUP($D1769,'WB Data'!$C$3:$M$578,11,FALSE)</f>
        <v>14.3</v>
      </c>
      <c r="BS1769" s="129">
        <f>IFERROR(VLOOKUP($D1769,'WB Data 2'!$C$2:$K$545,9,FALSE),"..")</f>
        <v>96.327079999999995</v>
      </c>
      <c r="BT1769" s="129">
        <f>_xlfn.IFNA(VLOOKUP($C1769,RGI!$A$2:$C$43,2,FALSE),"..")</f>
        <v>76.8</v>
      </c>
      <c r="BU1769" s="129">
        <f>_xlfn.IFNA(VLOOKUP($C1769,RGI!$A$2:$C$43,3,FALSE),"..")</f>
        <v>72.816147461462435</v>
      </c>
      <c r="BV1769" s="129">
        <f>VLOOKUP($D1769,WGI!$C$2:$O$478,7,FALSE)</f>
        <v>9.0719139218499306E-2</v>
      </c>
      <c r="BW1769" s="129">
        <f>VLOOKUP($D1769,WGI!$C$2:$O$478,4,FALSE)</f>
        <v>-0.738042232413051</v>
      </c>
      <c r="BX1769" s="129">
        <f>VLOOKUP($D1769,WGI!$C$2:$O$478,3,FALSE)</f>
        <v>-0.145710327623474</v>
      </c>
      <c r="BY1769" s="129">
        <f>VLOOKUP($D1769,WGI!$C$2:$O$478,5,FALSE)</f>
        <v>0.476881348098389</v>
      </c>
      <c r="BZ1769" s="129">
        <f>VLOOKUP($D1769,WGI!$C$2:$O$478,2,FALSE)</f>
        <v>-0.248937037637317</v>
      </c>
    </row>
    <row r="1770" spans="1:78" ht="15" customHeight="1">
      <c r="A1770" s="407" t="s">
        <v>459</v>
      </c>
      <c r="B1770" s="408">
        <v>2011</v>
      </c>
      <c r="C1770" s="805" t="s">
        <v>449</v>
      </c>
      <c r="D1770" s="117" t="s">
        <v>3711</v>
      </c>
      <c r="E1770" s="409" t="s">
        <v>220</v>
      </c>
      <c r="F1770" s="410"/>
      <c r="G1770" s="621" t="s">
        <v>24</v>
      </c>
      <c r="H1770" s="117" t="str">
        <f t="shared" si="304"/>
        <v>yes</v>
      </c>
      <c r="I1770" s="117" t="str">
        <f t="shared" si="294"/>
        <v>no</v>
      </c>
      <c r="J1770" s="117" t="str">
        <f t="shared" si="295"/>
        <v>no</v>
      </c>
      <c r="K1770" s="410" t="s">
        <v>2054</v>
      </c>
      <c r="L1770" s="117" t="str">
        <f t="shared" si="305"/>
        <v>detailed</v>
      </c>
      <c r="M1770" s="117" t="str">
        <f t="shared" si="296"/>
        <v>detailed Mining</v>
      </c>
      <c r="N1770" s="411">
        <v>28882</v>
      </c>
      <c r="O1770" s="411"/>
      <c r="P1770" s="411"/>
      <c r="Q1770" s="411"/>
      <c r="R1770" s="411"/>
      <c r="S1770" s="410" t="s">
        <v>610</v>
      </c>
      <c r="T1770" s="412"/>
      <c r="U1770" s="410"/>
      <c r="V1770" s="410" t="s">
        <v>847</v>
      </c>
      <c r="W1770" s="413"/>
      <c r="X1770" s="410"/>
      <c r="Y1770" s="621"/>
      <c r="Z1770" s="621"/>
      <c r="AA1770" s="413"/>
      <c r="AB1770" s="413"/>
      <c r="AC1770" s="618"/>
      <c r="AD1770" s="618"/>
      <c r="AE1770" s="618"/>
      <c r="AF1770" s="619"/>
      <c r="AG1770" s="621"/>
      <c r="AH1770" s="417"/>
      <c r="AI1770" s="410"/>
      <c r="AJ1770" s="410"/>
      <c r="AK1770" s="413"/>
      <c r="AL1770" s="410"/>
      <c r="AM1770" s="410"/>
      <c r="AN1770" s="410"/>
      <c r="AO1770" s="410"/>
      <c r="AP1770" s="410"/>
      <c r="AQ1770" s="410"/>
      <c r="AR1770" s="410"/>
      <c r="AS1770" s="410"/>
      <c r="AT1770" s="410"/>
      <c r="AU1770" s="410"/>
      <c r="AV1770" s="419"/>
      <c r="AW1770" s="117">
        <f>VLOOKUP($D1770,'WB Data'!$C$3:$M$578,2,FALSE)</f>
        <v>170564249004.95398</v>
      </c>
      <c r="AX1770" s="117">
        <f>VLOOKUP($D1770,'WB Data'!$C$3:$M$578,3,FALSE)</f>
        <v>29614887</v>
      </c>
      <c r="AY1770" s="847">
        <f t="shared" si="298"/>
        <v>3.4499161760616619E-2</v>
      </c>
      <c r="AZ1770" s="117">
        <f>VLOOKUP($D1770,'WB Data'!$C$3:$M$578,4,FALSE)/100</f>
        <v>0.20943982120853646</v>
      </c>
      <c r="BA1770" s="117">
        <f t="shared" si="299"/>
        <v>35722945816.165855</v>
      </c>
      <c r="BB1770" s="129">
        <f>IFERROR(VLOOKUP($D1770,'EITI Revenues'!$C$2:$G$224,5,FALSE),"..")</f>
        <v>5884323617</v>
      </c>
      <c r="BC1770" s="846">
        <f t="shared" si="300"/>
        <v>0.16472111922911861</v>
      </c>
      <c r="BD1770" s="129">
        <f>VLOOKUP($D1770,'WB Data 2'!$C$2:$K$545,6,FALSE)</f>
        <v>29773224958.428841</v>
      </c>
      <c r="BE1770" s="129">
        <f>IFERROR(VLOOKUP($D1770,UNCTAD!$C$5:$V$529,4,FALSE),"..")</f>
        <v>50632851000</v>
      </c>
      <c r="BF1770" s="846">
        <f t="shared" si="301"/>
        <v>0.58802189429208407</v>
      </c>
      <c r="BG1770" s="117">
        <f>VLOOKUP($D1770,'WB Data'!$C$3:$M$578,5,FALSE)</f>
        <v>604820000</v>
      </c>
      <c r="BH1770" s="129">
        <f>IFERROR($BB1770/$BG1770,"..")</f>
        <v>9.7290493320326714</v>
      </c>
      <c r="BI1770" s="117">
        <f>IFERROR(VLOOKUP($D1770,'WB Data'!$C$3:$M$578,7,FALSE)/100,"..")</f>
        <v>2.5311699999999999E-2</v>
      </c>
      <c r="BJ1770" s="117">
        <f>IFERROR($BI1770*$AW1770,"..")</f>
        <v>4317271101.5386934</v>
      </c>
      <c r="BK1770" s="846">
        <f>IFERROR($BB1770/$BJ1770,"..")</f>
        <v>1.3629729240081316</v>
      </c>
      <c r="BL1770" s="117">
        <f>IFERROR(VLOOKUP($D1770,'WB Data'!$C$3:$M$578,7,FALSE)/100,"..")</f>
        <v>2.5311699999999999E-2</v>
      </c>
      <c r="BM1770" s="117">
        <f>IFERROR($AW1770*$BL1770,"..")</f>
        <v>4317271101.5386934</v>
      </c>
      <c r="BN1770" s="846">
        <f>IFERROR($BB1770/$BM1770,"..")</f>
        <v>1.3629729240081316</v>
      </c>
      <c r="BO1770" s="801">
        <f t="shared" si="297"/>
        <v>38</v>
      </c>
      <c r="BP1770" s="117">
        <f>VLOOKUP($D1770,'WB Data'!$C$3:$M$578,9,FALSE)</f>
        <v>27.8</v>
      </c>
      <c r="BQ1770" s="117">
        <f>VLOOKUP($D1770,'WB Data'!$C$3:$M$578,10,FALSE)</f>
        <v>74.210536585365858</v>
      </c>
      <c r="BR1770" s="117">
        <f>VLOOKUP($D1770,'WB Data'!$C$3:$M$578,11,FALSE)</f>
        <v>14.3</v>
      </c>
      <c r="BS1770" s="129">
        <f>IFERROR(VLOOKUP($D1770,'WB Data 2'!$C$2:$K$545,9,FALSE),"..")</f>
        <v>96.327079999999995</v>
      </c>
      <c r="BT1770" s="129">
        <f>_xlfn.IFNA(VLOOKUP($C1770,RGI!$A$2:$C$43,2,FALSE),"..")</f>
        <v>76.8</v>
      </c>
      <c r="BU1770" s="129">
        <f>_xlfn.IFNA(VLOOKUP($C1770,RGI!$A$2:$C$43,3,FALSE),"..")</f>
        <v>72.816147461462435</v>
      </c>
      <c r="BV1770" s="129">
        <f>VLOOKUP($D1770,WGI!$C$2:$O$478,7,FALSE)</f>
        <v>9.0719139218499306E-2</v>
      </c>
      <c r="BW1770" s="129">
        <f>VLOOKUP($D1770,WGI!$C$2:$O$478,4,FALSE)</f>
        <v>-0.738042232413051</v>
      </c>
      <c r="BX1770" s="129">
        <f>VLOOKUP($D1770,WGI!$C$2:$O$478,3,FALSE)</f>
        <v>-0.145710327623474</v>
      </c>
      <c r="BY1770" s="129">
        <f>VLOOKUP($D1770,WGI!$C$2:$O$478,5,FALSE)</f>
        <v>0.476881348098389</v>
      </c>
      <c r="BZ1770" s="129">
        <f>VLOOKUP($D1770,WGI!$C$2:$O$478,2,FALSE)</f>
        <v>-0.248937037637317</v>
      </c>
    </row>
    <row r="1771" spans="1:78" ht="15" customHeight="1">
      <c r="A1771" s="407" t="s">
        <v>459</v>
      </c>
      <c r="B1771" s="408">
        <v>2011</v>
      </c>
      <c r="C1771" s="805" t="s">
        <v>449</v>
      </c>
      <c r="D1771" s="117" t="s">
        <v>3711</v>
      </c>
      <c r="E1771" s="409" t="s">
        <v>220</v>
      </c>
      <c r="F1771" s="410"/>
      <c r="G1771" s="621" t="s">
        <v>24</v>
      </c>
      <c r="H1771" s="117" t="str">
        <f t="shared" si="304"/>
        <v>yes</v>
      </c>
      <c r="I1771" s="117" t="str">
        <f t="shared" si="294"/>
        <v>no</v>
      </c>
      <c r="J1771" s="117" t="str">
        <f t="shared" si="295"/>
        <v>no</v>
      </c>
      <c r="K1771" s="410" t="s">
        <v>1336</v>
      </c>
      <c r="L1771" s="117" t="str">
        <f t="shared" si="305"/>
        <v>detailed</v>
      </c>
      <c r="M1771" s="117" t="str">
        <f t="shared" si="296"/>
        <v>detailed Mining</v>
      </c>
      <c r="N1771" s="411">
        <v>32290</v>
      </c>
      <c r="O1771" s="411"/>
      <c r="P1771" s="411"/>
      <c r="Q1771" s="411"/>
      <c r="R1771" s="411"/>
      <c r="S1771" s="410" t="s">
        <v>610</v>
      </c>
      <c r="T1771" s="412"/>
      <c r="U1771" s="410"/>
      <c r="V1771" s="410" t="s">
        <v>847</v>
      </c>
      <c r="W1771" s="413"/>
      <c r="X1771" s="410"/>
      <c r="Y1771" s="621"/>
      <c r="Z1771" s="621"/>
      <c r="AA1771" s="413"/>
      <c r="AB1771" s="413"/>
      <c r="AC1771" s="618"/>
      <c r="AD1771" s="618"/>
      <c r="AE1771" s="618"/>
      <c r="AF1771" s="619"/>
      <c r="AG1771" s="621"/>
      <c r="AH1771" s="417"/>
      <c r="AI1771" s="410"/>
      <c r="AJ1771" s="410"/>
      <c r="AK1771" s="413"/>
      <c r="AL1771" s="410"/>
      <c r="AM1771" s="410"/>
      <c r="AN1771" s="410"/>
      <c r="AO1771" s="410"/>
      <c r="AP1771" s="410"/>
      <c r="AQ1771" s="410"/>
      <c r="AR1771" s="410"/>
      <c r="AS1771" s="410"/>
      <c r="AT1771" s="410"/>
      <c r="AU1771" s="410"/>
      <c r="AV1771" s="419"/>
      <c r="AW1771" s="117">
        <f>VLOOKUP($D1771,'WB Data'!$C$3:$M$578,2,FALSE)</f>
        <v>170564249004.95398</v>
      </c>
      <c r="AX1771" s="117">
        <f>VLOOKUP($D1771,'WB Data'!$C$3:$M$578,3,FALSE)</f>
        <v>29614887</v>
      </c>
      <c r="AY1771" s="847">
        <f t="shared" si="298"/>
        <v>3.4499161760616619E-2</v>
      </c>
      <c r="AZ1771" s="117">
        <f>VLOOKUP($D1771,'WB Data'!$C$3:$M$578,4,FALSE)/100</f>
        <v>0.20943982120853646</v>
      </c>
      <c r="BA1771" s="117">
        <f t="shared" si="299"/>
        <v>35722945816.165855</v>
      </c>
      <c r="BB1771" s="129">
        <f>IFERROR(VLOOKUP($D1771,'EITI Revenues'!$C$2:$G$224,5,FALSE),"..")</f>
        <v>5884323617</v>
      </c>
      <c r="BC1771" s="846">
        <f t="shared" si="300"/>
        <v>0.16472111922911861</v>
      </c>
      <c r="BD1771" s="129">
        <f>VLOOKUP($D1771,'WB Data 2'!$C$2:$K$545,6,FALSE)</f>
        <v>29773224958.428841</v>
      </c>
      <c r="BE1771" s="129">
        <f>IFERROR(VLOOKUP($D1771,UNCTAD!$C$5:$V$529,4,FALSE),"..")</f>
        <v>50632851000</v>
      </c>
      <c r="BF1771" s="846">
        <f t="shared" si="301"/>
        <v>0.58802189429208407</v>
      </c>
      <c r="BG1771" s="117">
        <f>VLOOKUP($D1771,'WB Data'!$C$3:$M$578,5,FALSE)</f>
        <v>604820000</v>
      </c>
      <c r="BH1771" s="129">
        <f>IFERROR($BB1771/$BG1771,"..")</f>
        <v>9.7290493320326714</v>
      </c>
      <c r="BI1771" s="117">
        <f>IFERROR(VLOOKUP($D1771,'WB Data'!$C$3:$M$578,7,FALSE)/100,"..")</f>
        <v>2.5311699999999999E-2</v>
      </c>
      <c r="BJ1771" s="117">
        <f>IFERROR($BI1771*$AW1771,"..")</f>
        <v>4317271101.5386934</v>
      </c>
      <c r="BK1771" s="846">
        <f>IFERROR($BB1771/$BJ1771,"..")</f>
        <v>1.3629729240081316</v>
      </c>
      <c r="BL1771" s="117">
        <f>IFERROR(VLOOKUP($D1771,'WB Data'!$C$3:$M$578,7,FALSE)/100,"..")</f>
        <v>2.5311699999999999E-2</v>
      </c>
      <c r="BM1771" s="117">
        <f>IFERROR($AW1771*$BL1771,"..")</f>
        <v>4317271101.5386934</v>
      </c>
      <c r="BN1771" s="846">
        <f>IFERROR($BB1771/$BM1771,"..")</f>
        <v>1.3629729240081316</v>
      </c>
      <c r="BO1771" s="801">
        <f t="shared" si="297"/>
        <v>38</v>
      </c>
      <c r="BP1771" s="117">
        <f>VLOOKUP($D1771,'WB Data'!$C$3:$M$578,9,FALSE)</f>
        <v>27.8</v>
      </c>
      <c r="BQ1771" s="117">
        <f>VLOOKUP($D1771,'WB Data'!$C$3:$M$578,10,FALSE)</f>
        <v>74.210536585365858</v>
      </c>
      <c r="BR1771" s="117">
        <f>VLOOKUP($D1771,'WB Data'!$C$3:$M$578,11,FALSE)</f>
        <v>14.3</v>
      </c>
      <c r="BS1771" s="129">
        <f>IFERROR(VLOOKUP($D1771,'WB Data 2'!$C$2:$K$545,9,FALSE),"..")</f>
        <v>96.327079999999995</v>
      </c>
      <c r="BT1771" s="129">
        <f>_xlfn.IFNA(VLOOKUP($C1771,RGI!$A$2:$C$43,2,FALSE),"..")</f>
        <v>76.8</v>
      </c>
      <c r="BU1771" s="129">
        <f>_xlfn.IFNA(VLOOKUP($C1771,RGI!$A$2:$C$43,3,FALSE),"..")</f>
        <v>72.816147461462435</v>
      </c>
      <c r="BV1771" s="129">
        <f>VLOOKUP($D1771,WGI!$C$2:$O$478,7,FALSE)</f>
        <v>9.0719139218499306E-2</v>
      </c>
      <c r="BW1771" s="129">
        <f>VLOOKUP($D1771,WGI!$C$2:$O$478,4,FALSE)</f>
        <v>-0.738042232413051</v>
      </c>
      <c r="BX1771" s="129">
        <f>VLOOKUP($D1771,WGI!$C$2:$O$478,3,FALSE)</f>
        <v>-0.145710327623474</v>
      </c>
      <c r="BY1771" s="129">
        <f>VLOOKUP($D1771,WGI!$C$2:$O$478,5,FALSE)</f>
        <v>0.476881348098389</v>
      </c>
      <c r="BZ1771" s="129">
        <f>VLOOKUP($D1771,WGI!$C$2:$O$478,2,FALSE)</f>
        <v>-0.248937037637317</v>
      </c>
    </row>
    <row r="1772" spans="1:78" ht="15" customHeight="1">
      <c r="A1772" s="407" t="s">
        <v>459</v>
      </c>
      <c r="B1772" s="408">
        <v>2011</v>
      </c>
      <c r="C1772" s="805" t="s">
        <v>449</v>
      </c>
      <c r="D1772" s="117" t="s">
        <v>3711</v>
      </c>
      <c r="E1772" s="409" t="s">
        <v>220</v>
      </c>
      <c r="F1772" s="410"/>
      <c r="G1772" s="621" t="s">
        <v>24</v>
      </c>
      <c r="H1772" s="117" t="str">
        <f t="shared" si="304"/>
        <v>yes</v>
      </c>
      <c r="I1772" s="117" t="str">
        <f t="shared" si="294"/>
        <v>no</v>
      </c>
      <c r="J1772" s="117" t="str">
        <f t="shared" si="295"/>
        <v>no</v>
      </c>
      <c r="K1772" s="410" t="s">
        <v>2105</v>
      </c>
      <c r="L1772" s="117" t="str">
        <f t="shared" si="305"/>
        <v>detailed</v>
      </c>
      <c r="M1772" s="117" t="str">
        <f t="shared" si="296"/>
        <v>detailed Mining</v>
      </c>
      <c r="N1772" s="411">
        <v>116073</v>
      </c>
      <c r="O1772" s="411"/>
      <c r="P1772" s="411"/>
      <c r="Q1772" s="411"/>
      <c r="R1772" s="411"/>
      <c r="S1772" s="410" t="s">
        <v>610</v>
      </c>
      <c r="T1772" s="412"/>
      <c r="U1772" s="410"/>
      <c r="V1772" s="410" t="s">
        <v>847</v>
      </c>
      <c r="W1772" s="413"/>
      <c r="X1772" s="410"/>
      <c r="Y1772" s="621"/>
      <c r="Z1772" s="621"/>
      <c r="AA1772" s="413"/>
      <c r="AB1772" s="413"/>
      <c r="AC1772" s="618"/>
      <c r="AD1772" s="618"/>
      <c r="AE1772" s="618"/>
      <c r="AF1772" s="619"/>
      <c r="AG1772" s="621"/>
      <c r="AH1772" s="417"/>
      <c r="AI1772" s="410"/>
      <c r="AJ1772" s="410"/>
      <c r="AK1772" s="413"/>
      <c r="AL1772" s="410"/>
      <c r="AM1772" s="410"/>
      <c r="AN1772" s="410"/>
      <c r="AO1772" s="410"/>
      <c r="AP1772" s="410"/>
      <c r="AQ1772" s="410"/>
      <c r="AR1772" s="410"/>
      <c r="AS1772" s="410"/>
      <c r="AT1772" s="410"/>
      <c r="AU1772" s="410"/>
      <c r="AV1772" s="419"/>
      <c r="AW1772" s="117">
        <f>VLOOKUP($D1772,'WB Data'!$C$3:$M$578,2,FALSE)</f>
        <v>170564249004.95398</v>
      </c>
      <c r="AX1772" s="117">
        <f>VLOOKUP($D1772,'WB Data'!$C$3:$M$578,3,FALSE)</f>
        <v>29614887</v>
      </c>
      <c r="AY1772" s="847">
        <f t="shared" si="298"/>
        <v>3.4499161760616619E-2</v>
      </c>
      <c r="AZ1772" s="117">
        <f>VLOOKUP($D1772,'WB Data'!$C$3:$M$578,4,FALSE)/100</f>
        <v>0.20943982120853646</v>
      </c>
      <c r="BA1772" s="117">
        <f t="shared" si="299"/>
        <v>35722945816.165855</v>
      </c>
      <c r="BB1772" s="129">
        <f>IFERROR(VLOOKUP($D1772,'EITI Revenues'!$C$2:$G$224,5,FALSE),"..")</f>
        <v>5884323617</v>
      </c>
      <c r="BC1772" s="846">
        <f t="shared" si="300"/>
        <v>0.16472111922911861</v>
      </c>
      <c r="BD1772" s="129">
        <f>VLOOKUP($D1772,'WB Data 2'!$C$2:$K$545,6,FALSE)</f>
        <v>29773224958.428841</v>
      </c>
      <c r="BE1772" s="129">
        <f>IFERROR(VLOOKUP($D1772,UNCTAD!$C$5:$V$529,4,FALSE),"..")</f>
        <v>50632851000</v>
      </c>
      <c r="BF1772" s="846">
        <f t="shared" si="301"/>
        <v>0.58802189429208407</v>
      </c>
      <c r="BG1772" s="117">
        <f>VLOOKUP($D1772,'WB Data'!$C$3:$M$578,5,FALSE)</f>
        <v>604820000</v>
      </c>
      <c r="BH1772" s="129">
        <f>IFERROR($BB1772/$BG1772,"..")</f>
        <v>9.7290493320326714</v>
      </c>
      <c r="BI1772" s="117">
        <f>IFERROR(VLOOKUP($D1772,'WB Data'!$C$3:$M$578,7,FALSE)/100,"..")</f>
        <v>2.5311699999999999E-2</v>
      </c>
      <c r="BJ1772" s="117">
        <f>IFERROR($BI1772*$AW1772,"..")</f>
        <v>4317271101.5386934</v>
      </c>
      <c r="BK1772" s="846">
        <f>IFERROR($BB1772/$BJ1772,"..")</f>
        <v>1.3629729240081316</v>
      </c>
      <c r="BL1772" s="117">
        <f>IFERROR(VLOOKUP($D1772,'WB Data'!$C$3:$M$578,7,FALSE)/100,"..")</f>
        <v>2.5311699999999999E-2</v>
      </c>
      <c r="BM1772" s="117">
        <f>IFERROR($AW1772*$BL1772,"..")</f>
        <v>4317271101.5386934</v>
      </c>
      <c r="BN1772" s="846">
        <f>IFERROR($BB1772/$BM1772,"..")</f>
        <v>1.3629729240081316</v>
      </c>
      <c r="BO1772" s="801">
        <f t="shared" si="297"/>
        <v>38</v>
      </c>
      <c r="BP1772" s="117">
        <f>VLOOKUP($D1772,'WB Data'!$C$3:$M$578,9,FALSE)</f>
        <v>27.8</v>
      </c>
      <c r="BQ1772" s="117">
        <f>VLOOKUP($D1772,'WB Data'!$C$3:$M$578,10,FALSE)</f>
        <v>74.210536585365858</v>
      </c>
      <c r="BR1772" s="117">
        <f>VLOOKUP($D1772,'WB Data'!$C$3:$M$578,11,FALSE)</f>
        <v>14.3</v>
      </c>
      <c r="BS1772" s="129">
        <f>IFERROR(VLOOKUP($D1772,'WB Data 2'!$C$2:$K$545,9,FALSE),"..")</f>
        <v>96.327079999999995</v>
      </c>
      <c r="BT1772" s="129">
        <f>_xlfn.IFNA(VLOOKUP($C1772,RGI!$A$2:$C$43,2,FALSE),"..")</f>
        <v>76.8</v>
      </c>
      <c r="BU1772" s="129">
        <f>_xlfn.IFNA(VLOOKUP($C1772,RGI!$A$2:$C$43,3,FALSE),"..")</f>
        <v>72.816147461462435</v>
      </c>
      <c r="BV1772" s="129">
        <f>VLOOKUP($D1772,WGI!$C$2:$O$478,7,FALSE)</f>
        <v>9.0719139218499306E-2</v>
      </c>
      <c r="BW1772" s="129">
        <f>VLOOKUP($D1772,WGI!$C$2:$O$478,4,FALSE)</f>
        <v>-0.738042232413051</v>
      </c>
      <c r="BX1772" s="129">
        <f>VLOOKUP($D1772,WGI!$C$2:$O$478,3,FALSE)</f>
        <v>-0.145710327623474</v>
      </c>
      <c r="BY1772" s="129">
        <f>VLOOKUP($D1772,WGI!$C$2:$O$478,5,FALSE)</f>
        <v>0.476881348098389</v>
      </c>
      <c r="BZ1772" s="129">
        <f>VLOOKUP($D1772,WGI!$C$2:$O$478,2,FALSE)</f>
        <v>-0.248937037637317</v>
      </c>
    </row>
    <row r="1773" spans="1:78" ht="15" customHeight="1">
      <c r="A1773" s="407" t="s">
        <v>459</v>
      </c>
      <c r="B1773" s="408">
        <v>2011</v>
      </c>
      <c r="C1773" s="805" t="s">
        <v>449</v>
      </c>
      <c r="D1773" s="117" t="s">
        <v>3711</v>
      </c>
      <c r="E1773" s="409" t="s">
        <v>220</v>
      </c>
      <c r="F1773" s="410"/>
      <c r="G1773" s="621" t="s">
        <v>24</v>
      </c>
      <c r="H1773" s="117" t="str">
        <f t="shared" si="304"/>
        <v>yes</v>
      </c>
      <c r="I1773" s="117" t="str">
        <f t="shared" si="294"/>
        <v>no</v>
      </c>
      <c r="J1773" s="117" t="str">
        <f t="shared" si="295"/>
        <v>no</v>
      </c>
      <c r="K1773" s="410" t="s">
        <v>2106</v>
      </c>
      <c r="L1773" s="117" t="str">
        <f t="shared" si="305"/>
        <v>detailed</v>
      </c>
      <c r="M1773" s="117" t="str">
        <f t="shared" si="296"/>
        <v>detailed Mining</v>
      </c>
      <c r="N1773" s="411">
        <v>548</v>
      </c>
      <c r="O1773" s="411"/>
      <c r="P1773" s="411"/>
      <c r="Q1773" s="411"/>
      <c r="R1773" s="411"/>
      <c r="S1773" s="410" t="s">
        <v>610</v>
      </c>
      <c r="T1773" s="412">
        <v>199</v>
      </c>
      <c r="U1773" s="410" t="s">
        <v>611</v>
      </c>
      <c r="V1773" s="410" t="s">
        <v>2142</v>
      </c>
      <c r="W1773" s="413">
        <f>N1773*T1773</f>
        <v>109052</v>
      </c>
      <c r="X1773" s="410"/>
      <c r="Y1773" s="621"/>
      <c r="Z1773" s="621"/>
      <c r="AA1773" s="413"/>
      <c r="AB1773" s="413"/>
      <c r="AC1773" s="618"/>
      <c r="AD1773" s="618"/>
      <c r="AE1773" s="618"/>
      <c r="AF1773" s="619"/>
      <c r="AG1773" s="621"/>
      <c r="AH1773" s="417"/>
      <c r="AI1773" s="410"/>
      <c r="AJ1773" s="410"/>
      <c r="AK1773" s="413"/>
      <c r="AL1773" s="410"/>
      <c r="AM1773" s="410"/>
      <c r="AN1773" s="410"/>
      <c r="AO1773" s="410"/>
      <c r="AP1773" s="410"/>
      <c r="AQ1773" s="410"/>
      <c r="AR1773" s="410"/>
      <c r="AS1773" s="410"/>
      <c r="AT1773" s="410"/>
      <c r="AU1773" s="410"/>
      <c r="AV1773" s="419"/>
      <c r="AW1773" s="117">
        <f>VLOOKUP($D1773,'WB Data'!$C$3:$M$578,2,FALSE)</f>
        <v>170564249004.95398</v>
      </c>
      <c r="AX1773" s="117">
        <f>VLOOKUP($D1773,'WB Data'!$C$3:$M$578,3,FALSE)</f>
        <v>29614887</v>
      </c>
      <c r="AY1773" s="847">
        <f t="shared" si="298"/>
        <v>3.4499161760616619E-2</v>
      </c>
      <c r="AZ1773" s="117">
        <f>VLOOKUP($D1773,'WB Data'!$C$3:$M$578,4,FALSE)/100</f>
        <v>0.20943982120853646</v>
      </c>
      <c r="BA1773" s="117">
        <f t="shared" si="299"/>
        <v>35722945816.165855</v>
      </c>
      <c r="BB1773" s="129">
        <f>IFERROR(VLOOKUP($D1773,'EITI Revenues'!$C$2:$G$224,5,FALSE),"..")</f>
        <v>5884323617</v>
      </c>
      <c r="BC1773" s="846">
        <f t="shared" si="300"/>
        <v>0.16472111922911861</v>
      </c>
      <c r="BD1773" s="129">
        <f>VLOOKUP($D1773,'WB Data 2'!$C$2:$K$545,6,FALSE)</f>
        <v>29773224958.428841</v>
      </c>
      <c r="BE1773" s="129">
        <f>IFERROR(VLOOKUP($D1773,UNCTAD!$C$5:$V$529,4,FALSE),"..")</f>
        <v>50632851000</v>
      </c>
      <c r="BF1773" s="846">
        <f t="shared" si="301"/>
        <v>0.58802189429208407</v>
      </c>
      <c r="BG1773" s="117">
        <f>VLOOKUP($D1773,'WB Data'!$C$3:$M$578,5,FALSE)</f>
        <v>604820000</v>
      </c>
      <c r="BH1773" s="129">
        <f>IFERROR($BB1773/$BG1773,"..")</f>
        <v>9.7290493320326714</v>
      </c>
      <c r="BI1773" s="117">
        <f>IFERROR(VLOOKUP($D1773,'WB Data'!$C$3:$M$578,7,FALSE)/100,"..")</f>
        <v>2.5311699999999999E-2</v>
      </c>
      <c r="BJ1773" s="117">
        <f>IFERROR($BI1773*$AW1773,"..")</f>
        <v>4317271101.5386934</v>
      </c>
      <c r="BK1773" s="846">
        <f>IFERROR($BB1773/$BJ1773,"..")</f>
        <v>1.3629729240081316</v>
      </c>
      <c r="BL1773" s="117">
        <f>IFERROR(VLOOKUP($D1773,'WB Data'!$C$3:$M$578,7,FALSE)/100,"..")</f>
        <v>2.5311699999999999E-2</v>
      </c>
      <c r="BM1773" s="117">
        <f>IFERROR($AW1773*$BL1773,"..")</f>
        <v>4317271101.5386934</v>
      </c>
      <c r="BN1773" s="846">
        <f>IFERROR($BB1773/$BM1773,"..")</f>
        <v>1.3629729240081316</v>
      </c>
      <c r="BO1773" s="801">
        <f t="shared" si="297"/>
        <v>38</v>
      </c>
      <c r="BP1773" s="117">
        <f>VLOOKUP($D1773,'WB Data'!$C$3:$M$578,9,FALSE)</f>
        <v>27.8</v>
      </c>
      <c r="BQ1773" s="117">
        <f>VLOOKUP($D1773,'WB Data'!$C$3:$M$578,10,FALSE)</f>
        <v>74.210536585365858</v>
      </c>
      <c r="BR1773" s="117">
        <f>VLOOKUP($D1773,'WB Data'!$C$3:$M$578,11,FALSE)</f>
        <v>14.3</v>
      </c>
      <c r="BS1773" s="129">
        <f>IFERROR(VLOOKUP($D1773,'WB Data 2'!$C$2:$K$545,9,FALSE),"..")</f>
        <v>96.327079999999995</v>
      </c>
      <c r="BT1773" s="129">
        <f>_xlfn.IFNA(VLOOKUP($C1773,RGI!$A$2:$C$43,2,FALSE),"..")</f>
        <v>76.8</v>
      </c>
      <c r="BU1773" s="129">
        <f>_xlfn.IFNA(VLOOKUP($C1773,RGI!$A$2:$C$43,3,FALSE),"..")</f>
        <v>72.816147461462435</v>
      </c>
      <c r="BV1773" s="129">
        <f>VLOOKUP($D1773,WGI!$C$2:$O$478,7,FALSE)</f>
        <v>9.0719139218499306E-2</v>
      </c>
      <c r="BW1773" s="129">
        <f>VLOOKUP($D1773,WGI!$C$2:$O$478,4,FALSE)</f>
        <v>-0.738042232413051</v>
      </c>
      <c r="BX1773" s="129">
        <f>VLOOKUP($D1773,WGI!$C$2:$O$478,3,FALSE)</f>
        <v>-0.145710327623474</v>
      </c>
      <c r="BY1773" s="129">
        <f>VLOOKUP($D1773,WGI!$C$2:$O$478,5,FALSE)</f>
        <v>0.476881348098389</v>
      </c>
      <c r="BZ1773" s="129">
        <f>VLOOKUP($D1773,WGI!$C$2:$O$478,2,FALSE)</f>
        <v>-0.248937037637317</v>
      </c>
    </row>
    <row r="1774" spans="1:78" ht="15" customHeight="1">
      <c r="A1774" s="407" t="s">
        <v>459</v>
      </c>
      <c r="B1774" s="408">
        <v>2011</v>
      </c>
      <c r="C1774" s="805" t="s">
        <v>449</v>
      </c>
      <c r="D1774" s="117" t="s">
        <v>3711</v>
      </c>
      <c r="E1774" s="409" t="s">
        <v>220</v>
      </c>
      <c r="F1774" s="410"/>
      <c r="G1774" s="621" t="s">
        <v>24</v>
      </c>
      <c r="H1774" s="117" t="str">
        <f t="shared" si="304"/>
        <v>yes</v>
      </c>
      <c r="I1774" s="117" t="str">
        <f t="shared" si="294"/>
        <v>no</v>
      </c>
      <c r="J1774" s="117" t="str">
        <f t="shared" si="295"/>
        <v>no</v>
      </c>
      <c r="K1774" s="410" t="s">
        <v>849</v>
      </c>
      <c r="L1774" s="117" t="str">
        <f t="shared" si="305"/>
        <v>detailed</v>
      </c>
      <c r="M1774" s="117" t="str">
        <f t="shared" si="296"/>
        <v>detailed Mining</v>
      </c>
      <c r="N1774" s="411"/>
      <c r="O1774" s="411"/>
      <c r="P1774" s="411"/>
      <c r="Q1774" s="411"/>
      <c r="R1774" s="411"/>
      <c r="S1774" s="410"/>
      <c r="T1774" s="622">
        <f>2193.90041666667</f>
        <v>2193.90041666667</v>
      </c>
      <c r="U1774" s="410" t="s">
        <v>611</v>
      </c>
      <c r="V1774" s="410" t="s">
        <v>2055</v>
      </c>
      <c r="W1774" s="413">
        <f>N1776*T1774</f>
        <v>688257275.31416774</v>
      </c>
      <c r="X1774" s="410"/>
      <c r="Y1774" s="410"/>
      <c r="Z1774" s="410"/>
      <c r="AA1774" s="410"/>
      <c r="AB1774" s="410"/>
      <c r="AC1774" s="618"/>
      <c r="AD1774" s="618"/>
      <c r="AE1774" s="618"/>
      <c r="AF1774" s="619"/>
      <c r="AG1774" s="410"/>
      <c r="AH1774" s="417"/>
      <c r="AI1774" s="410"/>
      <c r="AJ1774" s="410"/>
      <c r="AK1774" s="413"/>
      <c r="AL1774" s="410"/>
      <c r="AM1774" s="410"/>
      <c r="AN1774" s="410"/>
      <c r="AO1774" s="410"/>
      <c r="AP1774" s="410"/>
      <c r="AQ1774" s="410"/>
      <c r="AR1774" s="410"/>
      <c r="AS1774" s="410"/>
      <c r="AT1774" s="410"/>
      <c r="AU1774" s="410"/>
      <c r="AV1774" s="419"/>
      <c r="AW1774" s="117">
        <f>VLOOKUP($D1774,'WB Data'!$C$3:$M$578,2,FALSE)</f>
        <v>170564249004.95398</v>
      </c>
      <c r="AX1774" s="117">
        <f>VLOOKUP($D1774,'WB Data'!$C$3:$M$578,3,FALSE)</f>
        <v>29614887</v>
      </c>
      <c r="AY1774" s="847">
        <f t="shared" si="298"/>
        <v>3.4499161760616619E-2</v>
      </c>
      <c r="AZ1774" s="117">
        <f>VLOOKUP($D1774,'WB Data'!$C$3:$M$578,4,FALSE)/100</f>
        <v>0.20943982120853646</v>
      </c>
      <c r="BA1774" s="117">
        <f t="shared" si="299"/>
        <v>35722945816.165855</v>
      </c>
      <c r="BB1774" s="129">
        <f>IFERROR(VLOOKUP($D1774,'EITI Revenues'!$C$2:$G$224,5,FALSE),"..")</f>
        <v>5884323617</v>
      </c>
      <c r="BC1774" s="846">
        <f t="shared" si="300"/>
        <v>0.16472111922911861</v>
      </c>
      <c r="BD1774" s="129">
        <f>VLOOKUP($D1774,'WB Data 2'!$C$2:$K$545,6,FALSE)</f>
        <v>29773224958.428841</v>
      </c>
      <c r="BE1774" s="129">
        <f>IFERROR(VLOOKUP($D1774,UNCTAD!$C$5:$V$529,4,FALSE),"..")</f>
        <v>50632851000</v>
      </c>
      <c r="BF1774" s="846">
        <f t="shared" si="301"/>
        <v>0.58802189429208407</v>
      </c>
      <c r="BG1774" s="117">
        <f>VLOOKUP($D1774,'WB Data'!$C$3:$M$578,5,FALSE)</f>
        <v>604820000</v>
      </c>
      <c r="BH1774" s="129">
        <f>IFERROR($BB1774/$BG1774,"..")</f>
        <v>9.7290493320326714</v>
      </c>
      <c r="BI1774" s="117">
        <f>IFERROR(VLOOKUP($D1774,'WB Data'!$C$3:$M$578,7,FALSE)/100,"..")</f>
        <v>2.5311699999999999E-2</v>
      </c>
      <c r="BJ1774" s="117">
        <f>IFERROR($BI1774*$AW1774,"..")</f>
        <v>4317271101.5386934</v>
      </c>
      <c r="BK1774" s="846">
        <f>IFERROR($BB1774/$BJ1774,"..")</f>
        <v>1.3629729240081316</v>
      </c>
      <c r="BL1774" s="117">
        <f>IFERROR(VLOOKUP($D1774,'WB Data'!$C$3:$M$578,7,FALSE)/100,"..")</f>
        <v>2.5311699999999999E-2</v>
      </c>
      <c r="BM1774" s="117">
        <f>IFERROR($AW1774*$BL1774,"..")</f>
        <v>4317271101.5386934</v>
      </c>
      <c r="BN1774" s="846">
        <f>IFERROR($BB1774/$BM1774,"..")</f>
        <v>1.3629729240081316</v>
      </c>
      <c r="BO1774" s="801">
        <f t="shared" si="297"/>
        <v>38</v>
      </c>
      <c r="BP1774" s="117">
        <f>VLOOKUP($D1774,'WB Data'!$C$3:$M$578,9,FALSE)</f>
        <v>27.8</v>
      </c>
      <c r="BQ1774" s="117">
        <f>VLOOKUP($D1774,'WB Data'!$C$3:$M$578,10,FALSE)</f>
        <v>74.210536585365858</v>
      </c>
      <c r="BR1774" s="117">
        <f>VLOOKUP($D1774,'WB Data'!$C$3:$M$578,11,FALSE)</f>
        <v>14.3</v>
      </c>
      <c r="BS1774" s="129">
        <f>IFERROR(VLOOKUP($D1774,'WB Data 2'!$C$2:$K$545,9,FALSE),"..")</f>
        <v>96.327079999999995</v>
      </c>
      <c r="BT1774" s="129">
        <f>_xlfn.IFNA(VLOOKUP($C1774,RGI!$A$2:$C$43,2,FALSE),"..")</f>
        <v>76.8</v>
      </c>
      <c r="BU1774" s="129">
        <f>_xlfn.IFNA(VLOOKUP($C1774,RGI!$A$2:$C$43,3,FALSE),"..")</f>
        <v>72.816147461462435</v>
      </c>
      <c r="BV1774" s="129">
        <f>VLOOKUP($D1774,WGI!$C$2:$O$478,7,FALSE)</f>
        <v>9.0719139218499306E-2</v>
      </c>
      <c r="BW1774" s="129">
        <f>VLOOKUP($D1774,WGI!$C$2:$O$478,4,FALSE)</f>
        <v>-0.738042232413051</v>
      </c>
      <c r="BX1774" s="129">
        <f>VLOOKUP($D1774,WGI!$C$2:$O$478,3,FALSE)</f>
        <v>-0.145710327623474</v>
      </c>
      <c r="BY1774" s="129">
        <f>VLOOKUP($D1774,WGI!$C$2:$O$478,5,FALSE)</f>
        <v>0.476881348098389</v>
      </c>
      <c r="BZ1774" s="129">
        <f>VLOOKUP($D1774,WGI!$C$2:$O$478,2,FALSE)</f>
        <v>-0.248937037637317</v>
      </c>
    </row>
    <row r="1775" spans="1:78" ht="15" customHeight="1">
      <c r="A1775" s="407" t="s">
        <v>459</v>
      </c>
      <c r="B1775" s="408">
        <v>2011</v>
      </c>
      <c r="C1775" s="805" t="s">
        <v>449</v>
      </c>
      <c r="D1775" s="117" t="s">
        <v>3711</v>
      </c>
      <c r="E1775" s="409" t="s">
        <v>220</v>
      </c>
      <c r="F1775" s="410"/>
      <c r="G1775" s="621" t="s">
        <v>24</v>
      </c>
      <c r="H1775" s="117" t="str">
        <f t="shared" si="304"/>
        <v>yes</v>
      </c>
      <c r="I1775" s="117" t="str">
        <f t="shared" si="294"/>
        <v>no</v>
      </c>
      <c r="J1775" s="117" t="str">
        <f t="shared" si="295"/>
        <v>no</v>
      </c>
      <c r="K1775" s="410" t="s">
        <v>2058</v>
      </c>
      <c r="L1775" s="117" t="str">
        <f t="shared" si="305"/>
        <v>detailed</v>
      </c>
      <c r="M1775" s="117" t="str">
        <f t="shared" si="296"/>
        <v>detailed Mining</v>
      </c>
      <c r="N1775" s="411">
        <v>1256383</v>
      </c>
      <c r="O1775" s="411"/>
      <c r="P1775" s="411"/>
      <c r="Q1775" s="411"/>
      <c r="R1775" s="411"/>
      <c r="S1775" s="410" t="s">
        <v>610</v>
      </c>
      <c r="T1775" s="412"/>
      <c r="U1775" s="410"/>
      <c r="V1775" s="410" t="s">
        <v>847</v>
      </c>
      <c r="W1775" s="413"/>
      <c r="X1775" s="410"/>
      <c r="Y1775" s="621"/>
      <c r="Z1775" s="621"/>
      <c r="AA1775" s="413"/>
      <c r="AB1775" s="413"/>
      <c r="AC1775" s="618"/>
      <c r="AD1775" s="618"/>
      <c r="AE1775" s="618"/>
      <c r="AF1775" s="619"/>
      <c r="AG1775" s="621"/>
      <c r="AH1775" s="417"/>
      <c r="AI1775" s="410"/>
      <c r="AJ1775" s="410"/>
      <c r="AK1775" s="413"/>
      <c r="AL1775" s="410"/>
      <c r="AM1775" s="410"/>
      <c r="AN1775" s="410"/>
      <c r="AO1775" s="410"/>
      <c r="AP1775" s="410"/>
      <c r="AQ1775" s="410"/>
      <c r="AR1775" s="410"/>
      <c r="AS1775" s="410"/>
      <c r="AT1775" s="410"/>
      <c r="AU1775" s="410"/>
      <c r="AV1775" s="419"/>
      <c r="AW1775" s="117">
        <f>VLOOKUP($D1775,'WB Data'!$C$3:$M$578,2,FALSE)</f>
        <v>170564249004.95398</v>
      </c>
      <c r="AX1775" s="117">
        <f>VLOOKUP($D1775,'WB Data'!$C$3:$M$578,3,FALSE)</f>
        <v>29614887</v>
      </c>
      <c r="AY1775" s="847">
        <f t="shared" si="298"/>
        <v>3.4499161760616619E-2</v>
      </c>
      <c r="AZ1775" s="117">
        <f>VLOOKUP($D1775,'WB Data'!$C$3:$M$578,4,FALSE)/100</f>
        <v>0.20943982120853646</v>
      </c>
      <c r="BA1775" s="117">
        <f t="shared" si="299"/>
        <v>35722945816.165855</v>
      </c>
      <c r="BB1775" s="129">
        <f>IFERROR(VLOOKUP($D1775,'EITI Revenues'!$C$2:$G$224,5,FALSE),"..")</f>
        <v>5884323617</v>
      </c>
      <c r="BC1775" s="846">
        <f t="shared" si="300"/>
        <v>0.16472111922911861</v>
      </c>
      <c r="BD1775" s="129">
        <f>VLOOKUP($D1775,'WB Data 2'!$C$2:$K$545,6,FALSE)</f>
        <v>29773224958.428841</v>
      </c>
      <c r="BE1775" s="129">
        <f>IFERROR(VLOOKUP($D1775,UNCTAD!$C$5:$V$529,4,FALSE),"..")</f>
        <v>50632851000</v>
      </c>
      <c r="BF1775" s="846">
        <f t="shared" si="301"/>
        <v>0.58802189429208407</v>
      </c>
      <c r="BG1775" s="117">
        <f>VLOOKUP($D1775,'WB Data'!$C$3:$M$578,5,FALSE)</f>
        <v>604820000</v>
      </c>
      <c r="BH1775" s="129">
        <f>IFERROR($BB1775/$BG1775,"..")</f>
        <v>9.7290493320326714</v>
      </c>
      <c r="BI1775" s="117">
        <f>IFERROR(VLOOKUP($D1775,'WB Data'!$C$3:$M$578,7,FALSE)/100,"..")</f>
        <v>2.5311699999999999E-2</v>
      </c>
      <c r="BJ1775" s="117">
        <f>IFERROR($BI1775*$AW1775,"..")</f>
        <v>4317271101.5386934</v>
      </c>
      <c r="BK1775" s="846">
        <f>IFERROR($BB1775/$BJ1775,"..")</f>
        <v>1.3629729240081316</v>
      </c>
      <c r="BL1775" s="117">
        <f>IFERROR(VLOOKUP($D1775,'WB Data'!$C$3:$M$578,7,FALSE)/100,"..")</f>
        <v>2.5311699999999999E-2</v>
      </c>
      <c r="BM1775" s="117">
        <f>IFERROR($AW1775*$BL1775,"..")</f>
        <v>4317271101.5386934</v>
      </c>
      <c r="BN1775" s="846">
        <f>IFERROR($BB1775/$BM1775,"..")</f>
        <v>1.3629729240081316</v>
      </c>
      <c r="BO1775" s="801">
        <f t="shared" si="297"/>
        <v>38</v>
      </c>
      <c r="BP1775" s="117">
        <f>VLOOKUP($D1775,'WB Data'!$C$3:$M$578,9,FALSE)</f>
        <v>27.8</v>
      </c>
      <c r="BQ1775" s="117">
        <f>VLOOKUP($D1775,'WB Data'!$C$3:$M$578,10,FALSE)</f>
        <v>74.210536585365858</v>
      </c>
      <c r="BR1775" s="117">
        <f>VLOOKUP($D1775,'WB Data'!$C$3:$M$578,11,FALSE)</f>
        <v>14.3</v>
      </c>
      <c r="BS1775" s="129">
        <f>IFERROR(VLOOKUP($D1775,'WB Data 2'!$C$2:$K$545,9,FALSE),"..")</f>
        <v>96.327079999999995</v>
      </c>
      <c r="BT1775" s="129">
        <f>_xlfn.IFNA(VLOOKUP($C1775,RGI!$A$2:$C$43,2,FALSE),"..")</f>
        <v>76.8</v>
      </c>
      <c r="BU1775" s="129">
        <f>_xlfn.IFNA(VLOOKUP($C1775,RGI!$A$2:$C$43,3,FALSE),"..")</f>
        <v>72.816147461462435</v>
      </c>
      <c r="BV1775" s="129">
        <f>VLOOKUP($D1775,WGI!$C$2:$O$478,7,FALSE)</f>
        <v>9.0719139218499306E-2</v>
      </c>
      <c r="BW1775" s="129">
        <f>VLOOKUP($D1775,WGI!$C$2:$O$478,4,FALSE)</f>
        <v>-0.738042232413051</v>
      </c>
      <c r="BX1775" s="129">
        <f>VLOOKUP($D1775,WGI!$C$2:$O$478,3,FALSE)</f>
        <v>-0.145710327623474</v>
      </c>
      <c r="BY1775" s="129">
        <f>VLOOKUP($D1775,WGI!$C$2:$O$478,5,FALSE)</f>
        <v>0.476881348098389</v>
      </c>
      <c r="BZ1775" s="129">
        <f>VLOOKUP($D1775,WGI!$C$2:$O$478,2,FALSE)</f>
        <v>-0.248937037637317</v>
      </c>
    </row>
    <row r="1776" spans="1:78" ht="15" customHeight="1">
      <c r="A1776" s="407" t="s">
        <v>459</v>
      </c>
      <c r="B1776" s="408">
        <v>2011</v>
      </c>
      <c r="C1776" s="805" t="s">
        <v>449</v>
      </c>
      <c r="D1776" s="117" t="s">
        <v>3711</v>
      </c>
      <c r="E1776" s="409" t="s">
        <v>220</v>
      </c>
      <c r="F1776" s="410"/>
      <c r="G1776" s="621" t="s">
        <v>24</v>
      </c>
      <c r="H1776" s="117" t="str">
        <f t="shared" si="304"/>
        <v>yes</v>
      </c>
      <c r="I1776" s="117" t="str">
        <f t="shared" si="294"/>
        <v>no</v>
      </c>
      <c r="J1776" s="117" t="str">
        <f t="shared" si="295"/>
        <v>no</v>
      </c>
      <c r="K1776" s="410" t="s">
        <v>1336</v>
      </c>
      <c r="L1776" s="117" t="str">
        <f t="shared" si="305"/>
        <v>detailed</v>
      </c>
      <c r="M1776" s="117" t="str">
        <f t="shared" si="296"/>
        <v>detailed Mining</v>
      </c>
      <c r="N1776" s="411">
        <v>313714</v>
      </c>
      <c r="O1776" s="411"/>
      <c r="P1776" s="411"/>
      <c r="Q1776" s="411"/>
      <c r="R1776" s="411"/>
      <c r="S1776" s="410" t="s">
        <v>610</v>
      </c>
      <c r="T1776" s="412"/>
      <c r="U1776" s="410"/>
      <c r="V1776" s="410" t="s">
        <v>847</v>
      </c>
      <c r="W1776" s="413"/>
      <c r="X1776" s="410"/>
      <c r="Y1776" s="621"/>
      <c r="Z1776" s="621"/>
      <c r="AA1776" s="413"/>
      <c r="AB1776" s="413"/>
      <c r="AC1776" s="618"/>
      <c r="AD1776" s="618"/>
      <c r="AE1776" s="618"/>
      <c r="AF1776" s="619"/>
      <c r="AG1776" s="621"/>
      <c r="AH1776" s="417"/>
      <c r="AI1776" s="410"/>
      <c r="AJ1776" s="410"/>
      <c r="AK1776" s="413"/>
      <c r="AL1776" s="410"/>
      <c r="AM1776" s="410"/>
      <c r="AN1776" s="410"/>
      <c r="AO1776" s="410"/>
      <c r="AP1776" s="410"/>
      <c r="AQ1776" s="410"/>
      <c r="AR1776" s="410"/>
      <c r="AS1776" s="410"/>
      <c r="AT1776" s="410"/>
      <c r="AU1776" s="410"/>
      <c r="AV1776" s="419"/>
      <c r="AW1776" s="117">
        <f>VLOOKUP($D1776,'WB Data'!$C$3:$M$578,2,FALSE)</f>
        <v>170564249004.95398</v>
      </c>
      <c r="AX1776" s="117">
        <f>VLOOKUP($D1776,'WB Data'!$C$3:$M$578,3,FALSE)</f>
        <v>29614887</v>
      </c>
      <c r="AY1776" s="847">
        <f t="shared" si="298"/>
        <v>3.4499161760616619E-2</v>
      </c>
      <c r="AZ1776" s="117">
        <f>VLOOKUP($D1776,'WB Data'!$C$3:$M$578,4,FALSE)/100</f>
        <v>0.20943982120853646</v>
      </c>
      <c r="BA1776" s="117">
        <f t="shared" si="299"/>
        <v>35722945816.165855</v>
      </c>
      <c r="BB1776" s="129">
        <f>IFERROR(VLOOKUP($D1776,'EITI Revenues'!$C$2:$G$224,5,FALSE),"..")</f>
        <v>5884323617</v>
      </c>
      <c r="BC1776" s="846">
        <f t="shared" si="300"/>
        <v>0.16472111922911861</v>
      </c>
      <c r="BD1776" s="129">
        <f>VLOOKUP($D1776,'WB Data 2'!$C$2:$K$545,6,FALSE)</f>
        <v>29773224958.428841</v>
      </c>
      <c r="BE1776" s="129">
        <f>IFERROR(VLOOKUP($D1776,UNCTAD!$C$5:$V$529,4,FALSE),"..")</f>
        <v>50632851000</v>
      </c>
      <c r="BF1776" s="846">
        <f t="shared" si="301"/>
        <v>0.58802189429208407</v>
      </c>
      <c r="BG1776" s="117">
        <f>VLOOKUP($D1776,'WB Data'!$C$3:$M$578,5,FALSE)</f>
        <v>604820000</v>
      </c>
      <c r="BH1776" s="129">
        <f>IFERROR($BB1776/$BG1776,"..")</f>
        <v>9.7290493320326714</v>
      </c>
      <c r="BI1776" s="117">
        <f>IFERROR(VLOOKUP($D1776,'WB Data'!$C$3:$M$578,7,FALSE)/100,"..")</f>
        <v>2.5311699999999999E-2</v>
      </c>
      <c r="BJ1776" s="117">
        <f>IFERROR($BI1776*$AW1776,"..")</f>
        <v>4317271101.5386934</v>
      </c>
      <c r="BK1776" s="846">
        <f>IFERROR($BB1776/$BJ1776,"..")</f>
        <v>1.3629729240081316</v>
      </c>
      <c r="BL1776" s="117">
        <f>IFERROR(VLOOKUP($D1776,'WB Data'!$C$3:$M$578,7,FALSE)/100,"..")</f>
        <v>2.5311699999999999E-2</v>
      </c>
      <c r="BM1776" s="117">
        <f>IFERROR($AW1776*$BL1776,"..")</f>
        <v>4317271101.5386934</v>
      </c>
      <c r="BN1776" s="846">
        <f>IFERROR($BB1776/$BM1776,"..")</f>
        <v>1.3629729240081316</v>
      </c>
      <c r="BO1776" s="801">
        <f t="shared" si="297"/>
        <v>38</v>
      </c>
      <c r="BP1776" s="117">
        <f>VLOOKUP($D1776,'WB Data'!$C$3:$M$578,9,FALSE)</f>
        <v>27.8</v>
      </c>
      <c r="BQ1776" s="117">
        <f>VLOOKUP($D1776,'WB Data'!$C$3:$M$578,10,FALSE)</f>
        <v>74.210536585365858</v>
      </c>
      <c r="BR1776" s="117">
        <f>VLOOKUP($D1776,'WB Data'!$C$3:$M$578,11,FALSE)</f>
        <v>14.3</v>
      </c>
      <c r="BS1776" s="129">
        <f>IFERROR(VLOOKUP($D1776,'WB Data 2'!$C$2:$K$545,9,FALSE),"..")</f>
        <v>96.327079999999995</v>
      </c>
      <c r="BT1776" s="129">
        <f>_xlfn.IFNA(VLOOKUP($C1776,RGI!$A$2:$C$43,2,FALSE),"..")</f>
        <v>76.8</v>
      </c>
      <c r="BU1776" s="129">
        <f>_xlfn.IFNA(VLOOKUP($C1776,RGI!$A$2:$C$43,3,FALSE),"..")</f>
        <v>72.816147461462435</v>
      </c>
      <c r="BV1776" s="129">
        <f>VLOOKUP($D1776,WGI!$C$2:$O$478,7,FALSE)</f>
        <v>9.0719139218499306E-2</v>
      </c>
      <c r="BW1776" s="129">
        <f>VLOOKUP($D1776,WGI!$C$2:$O$478,4,FALSE)</f>
        <v>-0.738042232413051</v>
      </c>
      <c r="BX1776" s="129">
        <f>VLOOKUP($D1776,WGI!$C$2:$O$478,3,FALSE)</f>
        <v>-0.145710327623474</v>
      </c>
      <c r="BY1776" s="129">
        <f>VLOOKUP($D1776,WGI!$C$2:$O$478,5,FALSE)</f>
        <v>0.476881348098389</v>
      </c>
      <c r="BZ1776" s="129">
        <f>VLOOKUP($D1776,WGI!$C$2:$O$478,2,FALSE)</f>
        <v>-0.248937037637317</v>
      </c>
    </row>
    <row r="1777" spans="1:80" s="144" customFormat="1" ht="15" customHeight="1">
      <c r="A1777" s="424" t="s">
        <v>462</v>
      </c>
      <c r="B1777" s="425">
        <v>2012</v>
      </c>
      <c r="C1777" s="806" t="s">
        <v>449</v>
      </c>
      <c r="D1777" s="117" t="s">
        <v>3745</v>
      </c>
      <c r="E1777" s="426" t="s">
        <v>220</v>
      </c>
      <c r="F1777" s="427" t="s">
        <v>2019</v>
      </c>
      <c r="G1777" s="427" t="s">
        <v>35</v>
      </c>
      <c r="H1777" s="117" t="str">
        <f t="shared" si="304"/>
        <v>yes</v>
      </c>
      <c r="I1777" s="117" t="str">
        <f t="shared" si="294"/>
        <v>yes</v>
      </c>
      <c r="J1777" s="117" t="str">
        <f t="shared" si="295"/>
        <v>yes</v>
      </c>
      <c r="K1777" s="427" t="s">
        <v>709</v>
      </c>
      <c r="L1777" s="117" t="str">
        <f t="shared" si="305"/>
        <v>Total</v>
      </c>
      <c r="M1777" s="117" t="str">
        <f t="shared" si="296"/>
        <v>Total Oil, Gas, Mining</v>
      </c>
      <c r="N1777" s="428"/>
      <c r="O1777" s="428"/>
      <c r="P1777" s="428"/>
      <c r="Q1777" s="428"/>
      <c r="R1777" s="428"/>
      <c r="S1777" s="427"/>
      <c r="T1777" s="429"/>
      <c r="U1777" s="427"/>
      <c r="V1777" s="427"/>
      <c r="W1777" s="430">
        <f>W1778+W1781</f>
        <v>33323460765.120514</v>
      </c>
      <c r="X1777" s="427" t="s">
        <v>633</v>
      </c>
      <c r="Y1777" s="427" t="s">
        <v>602</v>
      </c>
      <c r="Z1777" s="427"/>
      <c r="AA1777" s="430">
        <v>5480907241</v>
      </c>
      <c r="AB1777" s="430">
        <v>5478998767</v>
      </c>
      <c r="AC1777" s="626"/>
      <c r="AD1777" s="626"/>
      <c r="AE1777" s="626"/>
      <c r="AF1777" s="627">
        <f>AA1777/W1777</f>
        <v>0.16447593122551171</v>
      </c>
      <c r="AG1777" s="427"/>
      <c r="AH1777" s="434">
        <v>2.59</v>
      </c>
      <c r="AI1777" s="427" t="s">
        <v>722</v>
      </c>
      <c r="AJ1777" s="427"/>
      <c r="AK1777" s="430"/>
      <c r="AL1777" s="427"/>
      <c r="AM1777" s="427"/>
      <c r="AN1777" s="427"/>
      <c r="AO1777" s="427"/>
      <c r="AP1777" s="427">
        <v>59</v>
      </c>
      <c r="AQ1777" s="427" t="s">
        <v>460</v>
      </c>
      <c r="AR1777" s="435">
        <v>41922</v>
      </c>
      <c r="AS1777" s="427" t="s">
        <v>1382</v>
      </c>
      <c r="AT1777" s="427" t="s">
        <v>463</v>
      </c>
      <c r="AU1777" s="427"/>
      <c r="AV1777" s="436" t="s">
        <v>2113</v>
      </c>
      <c r="AW1777" s="117">
        <f>VLOOKUP($D1777,'WB Data'!$C$3:$M$578,2,FALSE)</f>
        <v>192628494178.35443</v>
      </c>
      <c r="AX1777" s="117">
        <f>VLOOKUP($D1777,'WB Data'!$C$3:$M$578,3,FALSE)</f>
        <v>29987800</v>
      </c>
      <c r="AY1777" s="847">
        <f t="shared" si="298"/>
        <v>2.8453252798234702E-2</v>
      </c>
      <c r="AZ1777" s="117">
        <f>VLOOKUP($D1777,'WB Data'!$C$3:$M$578,4,FALSE)/100</f>
        <v>0.21510754766218843</v>
      </c>
      <c r="BA1777" s="117">
        <f t="shared" si="299"/>
        <v>41435842992.565964</v>
      </c>
      <c r="BB1777" s="129">
        <f>IFERROR(VLOOKUP($D1777,'EITI Revenues'!$C$2:$G$224,5,FALSE),"..")</f>
        <v>5480907241</v>
      </c>
      <c r="BC1777" s="846">
        <f t="shared" si="300"/>
        <v>0.13227454409418757</v>
      </c>
      <c r="BD1777" s="129">
        <f>VLOOKUP($D1777,'WB Data 2'!$C$2:$K$545,6,FALSE)</f>
        <v>29761875410.518784</v>
      </c>
      <c r="BE1777" s="129">
        <f>IFERROR(VLOOKUP($D1777,UNCTAD!$C$5:$V$529,4,FALSE),"..")</f>
        <v>51063297000</v>
      </c>
      <c r="BF1777" s="846">
        <f t="shared" si="301"/>
        <v>0.58284280802547439</v>
      </c>
      <c r="BG1777" s="117">
        <f>VLOOKUP($D1777,'WB Data'!$C$3:$M$578,5,FALSE)</f>
        <v>393820000</v>
      </c>
      <c r="BH1777" s="129">
        <f>IFERROR($BB1777/$BG1777,"..")</f>
        <v>13.91729023665634</v>
      </c>
      <c r="BI1777" s="117">
        <f>IFERROR(VLOOKUP($D1777,'WB Data'!$C$3:$M$578,7,FALSE)/100,"..")</f>
        <v>2.76046E-2</v>
      </c>
      <c r="BJ1777" s="117">
        <f>IFERROR($BI1777*$AW1777,"..")</f>
        <v>5317432530.3958025</v>
      </c>
      <c r="BK1777" s="846">
        <f>IFERROR($BB1777/$BJ1777,"..")</f>
        <v>1.0307431659301241</v>
      </c>
      <c r="BL1777" s="117">
        <f>IFERROR(VLOOKUP($D1777,'WB Data'!$C$3:$M$578,7,FALSE)/100,"..")</f>
        <v>2.76046E-2</v>
      </c>
      <c r="BM1777" s="117">
        <f>IFERROR($AW1777*$BL1777,"..")</f>
        <v>5317432530.3958025</v>
      </c>
      <c r="BN1777" s="846">
        <f>IFERROR($BB1777/$BM1777,"..")</f>
        <v>1.0307431659301241</v>
      </c>
      <c r="BO1777" s="801">
        <f t="shared" si="297"/>
        <v>38</v>
      </c>
      <c r="BP1777" s="117">
        <f>VLOOKUP($D1777,'WB Data'!$C$3:$M$578,9,FALSE)</f>
        <v>25.8</v>
      </c>
      <c r="BQ1777" s="117">
        <f>VLOOKUP($D1777,'WB Data'!$C$3:$M$578,10,FALSE)</f>
        <v>74.515536585365851</v>
      </c>
      <c r="BR1777" s="117">
        <f>VLOOKUP($D1777,'WB Data'!$C$3:$M$578,11,FALSE)</f>
        <v>13.6</v>
      </c>
      <c r="BS1777" s="129" t="str">
        <f>IFERROR(VLOOKUP($D1777,'WB Data 2'!$C$2:$K$545,9,FALSE),"..")</f>
        <v>..</v>
      </c>
      <c r="BT1777" s="129">
        <f>_xlfn.IFNA(VLOOKUP($C1777,RGI!$A$2:$C$43,2,FALSE),"..")</f>
        <v>76.8</v>
      </c>
      <c r="BU1777" s="129">
        <f>_xlfn.IFNA(VLOOKUP($C1777,RGI!$A$2:$C$43,3,FALSE),"..")</f>
        <v>72.816147461462435</v>
      </c>
      <c r="BV1777" s="129">
        <f>VLOOKUP($D1777,WGI!$C$2:$O$478,7,FALSE)</f>
        <v>6.8806180868862199E-2</v>
      </c>
      <c r="BW1777" s="129">
        <f>VLOOKUP($D1777,WGI!$C$2:$O$478,4,FALSE)</f>
        <v>-0.86195648593669605</v>
      </c>
      <c r="BX1777" s="129">
        <f>VLOOKUP($D1777,WGI!$C$2:$O$478,3,FALSE)</f>
        <v>-0.157626358241128</v>
      </c>
      <c r="BY1777" s="129">
        <f>VLOOKUP($D1777,WGI!$C$2:$O$478,5,FALSE)</f>
        <v>0.48941210864302698</v>
      </c>
      <c r="BZ1777" s="129">
        <f>VLOOKUP($D1777,WGI!$C$2:$O$478,2,FALSE)</f>
        <v>-0.394694258708917</v>
      </c>
      <c r="CB1777" s="129"/>
    </row>
    <row r="1778" spans="1:80" s="120" customFormat="1" ht="15" customHeight="1">
      <c r="A1778" s="407" t="s">
        <v>462</v>
      </c>
      <c r="B1778" s="408">
        <v>2012</v>
      </c>
      <c r="C1778" s="805" t="s">
        <v>449</v>
      </c>
      <c r="D1778" s="117" t="s">
        <v>3745</v>
      </c>
      <c r="E1778" s="409" t="s">
        <v>220</v>
      </c>
      <c r="F1778" s="410"/>
      <c r="G1778" s="410" t="s">
        <v>55</v>
      </c>
      <c r="H1778" s="117" t="str">
        <f t="shared" si="304"/>
        <v>no</v>
      </c>
      <c r="I1778" s="117" t="str">
        <f t="shared" si="294"/>
        <v>yes</v>
      </c>
      <c r="J1778" s="117" t="str">
        <f t="shared" si="295"/>
        <v>yes</v>
      </c>
      <c r="K1778" s="410" t="s">
        <v>640</v>
      </c>
      <c r="L1778" s="117" t="str">
        <f t="shared" si="305"/>
        <v>Total</v>
      </c>
      <c r="M1778" s="117" t="str">
        <f t="shared" si="296"/>
        <v>Total Oil, Gas</v>
      </c>
      <c r="N1778" s="411"/>
      <c r="O1778" s="411"/>
      <c r="P1778" s="411"/>
      <c r="Q1778" s="411"/>
      <c r="R1778" s="411"/>
      <c r="S1778" s="410"/>
      <c r="T1778" s="412"/>
      <c r="U1778" s="410"/>
      <c r="V1778" s="410"/>
      <c r="W1778" s="413">
        <f>SUM(W1779:W1780)</f>
        <v>6436963217.4101572</v>
      </c>
      <c r="X1778" s="410"/>
      <c r="Y1778" s="410"/>
      <c r="Z1778" s="410"/>
      <c r="AA1778" s="413"/>
      <c r="AB1778" s="413"/>
      <c r="AC1778" s="618"/>
      <c r="AD1778" s="618"/>
      <c r="AE1778" s="618"/>
      <c r="AF1778" s="619"/>
      <c r="AG1778" s="410"/>
      <c r="AH1778" s="417"/>
      <c r="AI1778" s="410"/>
      <c r="AJ1778" s="410"/>
      <c r="AK1778" s="413"/>
      <c r="AL1778" s="410"/>
      <c r="AM1778" s="410"/>
      <c r="AN1778" s="410"/>
      <c r="AO1778" s="410"/>
      <c r="AP1778" s="410"/>
      <c r="AQ1778" s="410"/>
      <c r="AR1778" s="418"/>
      <c r="AS1778" s="410"/>
      <c r="AT1778" s="410"/>
      <c r="AU1778" s="410"/>
      <c r="AV1778" s="419"/>
      <c r="AW1778" s="117">
        <f>VLOOKUP($D1778,'WB Data'!$C$3:$M$578,2,FALSE)</f>
        <v>192628494178.35443</v>
      </c>
      <c r="AX1778" s="117">
        <f>VLOOKUP($D1778,'WB Data'!$C$3:$M$578,3,FALSE)</f>
        <v>29987800</v>
      </c>
      <c r="AY1778" s="847">
        <f t="shared" si="298"/>
        <v>2.8453252798234702E-2</v>
      </c>
      <c r="AZ1778" s="117">
        <f>VLOOKUP($D1778,'WB Data'!$C$3:$M$578,4,FALSE)/100</f>
        <v>0.21510754766218843</v>
      </c>
      <c r="BA1778" s="117">
        <f t="shared" si="299"/>
        <v>41435842992.565964</v>
      </c>
      <c r="BB1778" s="129">
        <f>IFERROR(VLOOKUP($D1778,'EITI Revenues'!$C$2:$G$224,5,FALSE),"..")</f>
        <v>5480907241</v>
      </c>
      <c r="BC1778" s="846">
        <f t="shared" si="300"/>
        <v>0.13227454409418757</v>
      </c>
      <c r="BD1778" s="129">
        <f>VLOOKUP($D1778,'WB Data 2'!$C$2:$K$545,6,FALSE)</f>
        <v>29761875410.518784</v>
      </c>
      <c r="BE1778" s="129">
        <f>IFERROR(VLOOKUP($D1778,UNCTAD!$C$5:$V$529,4,FALSE),"..")</f>
        <v>51063297000</v>
      </c>
      <c r="BF1778" s="846">
        <f t="shared" si="301"/>
        <v>0.58284280802547439</v>
      </c>
      <c r="BG1778" s="117">
        <f>VLOOKUP($D1778,'WB Data'!$C$3:$M$578,5,FALSE)</f>
        <v>393820000</v>
      </c>
      <c r="BH1778" s="129">
        <f>IFERROR($BB1778/$BG1778,"..")</f>
        <v>13.91729023665634</v>
      </c>
      <c r="BI1778" s="117">
        <f>IFERROR(VLOOKUP($D1778,'WB Data'!$C$3:$M$578,7,FALSE)/100,"..")</f>
        <v>2.76046E-2</v>
      </c>
      <c r="BJ1778" s="117">
        <f>IFERROR($BI1778*$AW1778,"..")</f>
        <v>5317432530.3958025</v>
      </c>
      <c r="BK1778" s="846">
        <f>IFERROR($BB1778/$BJ1778,"..")</f>
        <v>1.0307431659301241</v>
      </c>
      <c r="BL1778" s="117">
        <f>IFERROR(VLOOKUP($D1778,'WB Data'!$C$3:$M$578,7,FALSE)/100,"..")</f>
        <v>2.76046E-2</v>
      </c>
      <c r="BM1778" s="117">
        <f>IFERROR($AW1778*$BL1778,"..")</f>
        <v>5317432530.3958025</v>
      </c>
      <c r="BN1778" s="846">
        <f>IFERROR($BB1778/$BM1778,"..")</f>
        <v>1.0307431659301241</v>
      </c>
      <c r="BO1778" s="801">
        <f t="shared" si="297"/>
        <v>38</v>
      </c>
      <c r="BP1778" s="117">
        <f>VLOOKUP($D1778,'WB Data'!$C$3:$M$578,9,FALSE)</f>
        <v>25.8</v>
      </c>
      <c r="BQ1778" s="117">
        <f>VLOOKUP($D1778,'WB Data'!$C$3:$M$578,10,FALSE)</f>
        <v>74.515536585365851</v>
      </c>
      <c r="BR1778" s="117">
        <f>VLOOKUP($D1778,'WB Data'!$C$3:$M$578,11,FALSE)</f>
        <v>13.6</v>
      </c>
      <c r="BS1778" s="129" t="str">
        <f>IFERROR(VLOOKUP($D1778,'WB Data 2'!$C$2:$K$545,9,FALSE),"..")</f>
        <v>..</v>
      </c>
      <c r="BT1778" s="129">
        <f>_xlfn.IFNA(VLOOKUP($C1778,RGI!$A$2:$C$43,2,FALSE),"..")</f>
        <v>76.8</v>
      </c>
      <c r="BU1778" s="129">
        <f>_xlfn.IFNA(VLOOKUP($C1778,RGI!$A$2:$C$43,3,FALSE),"..")</f>
        <v>72.816147461462435</v>
      </c>
      <c r="BV1778" s="129">
        <f>VLOOKUP($D1778,WGI!$C$2:$O$478,7,FALSE)</f>
        <v>6.8806180868862199E-2</v>
      </c>
      <c r="BW1778" s="129">
        <f>VLOOKUP($D1778,WGI!$C$2:$O$478,4,FALSE)</f>
        <v>-0.86195648593669605</v>
      </c>
      <c r="BX1778" s="129">
        <f>VLOOKUP($D1778,WGI!$C$2:$O$478,3,FALSE)</f>
        <v>-0.157626358241128</v>
      </c>
      <c r="BY1778" s="129">
        <f>VLOOKUP($D1778,WGI!$C$2:$O$478,5,FALSE)</f>
        <v>0.48941210864302698</v>
      </c>
      <c r="BZ1778" s="129">
        <f>VLOOKUP($D1778,WGI!$C$2:$O$478,2,FALSE)</f>
        <v>-0.394694258708917</v>
      </c>
      <c r="CB1778" s="129"/>
    </row>
    <row r="1779" spans="1:80" s="120" customFormat="1" ht="15" customHeight="1">
      <c r="A1779" s="407" t="s">
        <v>462</v>
      </c>
      <c r="B1779" s="408">
        <v>2012</v>
      </c>
      <c r="C1779" s="805" t="s">
        <v>449</v>
      </c>
      <c r="D1779" s="117" t="s">
        <v>3745</v>
      </c>
      <c r="E1779" s="409" t="s">
        <v>220</v>
      </c>
      <c r="F1779" s="410"/>
      <c r="G1779" s="621" t="s">
        <v>561</v>
      </c>
      <c r="H1779" s="117" t="str">
        <f t="shared" si="304"/>
        <v>no</v>
      </c>
      <c r="I1779" s="117" t="str">
        <f t="shared" si="294"/>
        <v>yes</v>
      </c>
      <c r="J1779" s="117" t="str">
        <f t="shared" si="295"/>
        <v>no</v>
      </c>
      <c r="K1779" s="410" t="s">
        <v>561</v>
      </c>
      <c r="L1779" s="117" t="str">
        <f t="shared" si="305"/>
        <v>detailed</v>
      </c>
      <c r="M1779" s="117" t="str">
        <f t="shared" si="296"/>
        <v>detailed Gas</v>
      </c>
      <c r="N1779" s="411">
        <v>11900000000</v>
      </c>
      <c r="O1779" s="411"/>
      <c r="P1779" s="411"/>
      <c r="Q1779" s="411"/>
      <c r="R1779" s="411"/>
      <c r="S1779" s="410" t="s">
        <v>642</v>
      </c>
      <c r="T1779" s="412">
        <v>0.17241089108361263</v>
      </c>
      <c r="U1779" s="410" t="s">
        <v>643</v>
      </c>
      <c r="V1779" s="410" t="s">
        <v>738</v>
      </c>
      <c r="W1779" s="413">
        <f>N1779*T1779</f>
        <v>2051689603.8949902</v>
      </c>
      <c r="X1779" s="410"/>
      <c r="Y1779" s="410"/>
      <c r="Z1779" s="410"/>
      <c r="AA1779" s="413"/>
      <c r="AB1779" s="413"/>
      <c r="AC1779" s="618"/>
      <c r="AD1779" s="618"/>
      <c r="AE1779" s="618"/>
      <c r="AF1779" s="619"/>
      <c r="AG1779" s="410"/>
      <c r="AH1779" s="417"/>
      <c r="AI1779" s="410"/>
      <c r="AJ1779" s="410"/>
      <c r="AK1779" s="413"/>
      <c r="AL1779" s="410"/>
      <c r="AM1779" s="410"/>
      <c r="AN1779" s="410"/>
      <c r="AO1779" s="410"/>
      <c r="AP1779" s="410"/>
      <c r="AQ1779" s="410"/>
      <c r="AR1779" s="410"/>
      <c r="AS1779" s="410"/>
      <c r="AT1779" s="410"/>
      <c r="AU1779" s="410"/>
      <c r="AV1779" s="419"/>
      <c r="AW1779" s="117">
        <f>VLOOKUP($D1779,'WB Data'!$C$3:$M$578,2,FALSE)</f>
        <v>192628494178.35443</v>
      </c>
      <c r="AX1779" s="117">
        <f>VLOOKUP($D1779,'WB Data'!$C$3:$M$578,3,FALSE)</f>
        <v>29987800</v>
      </c>
      <c r="AY1779" s="847">
        <f t="shared" si="298"/>
        <v>2.8453252798234702E-2</v>
      </c>
      <c r="AZ1779" s="117">
        <f>VLOOKUP($D1779,'WB Data'!$C$3:$M$578,4,FALSE)/100</f>
        <v>0.21510754766218843</v>
      </c>
      <c r="BA1779" s="117">
        <f t="shared" si="299"/>
        <v>41435842992.565964</v>
      </c>
      <c r="BB1779" s="129">
        <f>IFERROR(VLOOKUP($D1779,'EITI Revenues'!$C$2:$G$224,5,FALSE),"..")</f>
        <v>5480907241</v>
      </c>
      <c r="BC1779" s="846">
        <f t="shared" si="300"/>
        <v>0.13227454409418757</v>
      </c>
      <c r="BD1779" s="129">
        <f>VLOOKUP($D1779,'WB Data 2'!$C$2:$K$545,6,FALSE)</f>
        <v>29761875410.518784</v>
      </c>
      <c r="BE1779" s="129">
        <f>IFERROR(VLOOKUP($D1779,UNCTAD!$C$5:$V$529,4,FALSE),"..")</f>
        <v>51063297000</v>
      </c>
      <c r="BF1779" s="846">
        <f t="shared" si="301"/>
        <v>0.58284280802547439</v>
      </c>
      <c r="BG1779" s="117">
        <f>VLOOKUP($D1779,'WB Data'!$C$3:$M$578,5,FALSE)</f>
        <v>393820000</v>
      </c>
      <c r="BH1779" s="129">
        <f>IFERROR($BB1779/$BG1779,"..")</f>
        <v>13.91729023665634</v>
      </c>
      <c r="BI1779" s="117">
        <f>IFERROR(VLOOKUP($D1779,'WB Data'!$C$3:$M$578,7,FALSE)/100,"..")</f>
        <v>2.76046E-2</v>
      </c>
      <c r="BJ1779" s="117">
        <f>IFERROR($BI1779*$AW1779,"..")</f>
        <v>5317432530.3958025</v>
      </c>
      <c r="BK1779" s="846">
        <f>IFERROR($BB1779/$BJ1779,"..")</f>
        <v>1.0307431659301241</v>
      </c>
      <c r="BL1779" s="117">
        <f>IFERROR(VLOOKUP($D1779,'WB Data'!$C$3:$M$578,7,FALSE)/100,"..")</f>
        <v>2.76046E-2</v>
      </c>
      <c r="BM1779" s="117">
        <f>IFERROR($AW1779*$BL1779,"..")</f>
        <v>5317432530.3958025</v>
      </c>
      <c r="BN1779" s="846">
        <f>IFERROR($BB1779/$BM1779,"..")</f>
        <v>1.0307431659301241</v>
      </c>
      <c r="BO1779" s="801">
        <f t="shared" si="297"/>
        <v>38</v>
      </c>
      <c r="BP1779" s="117">
        <f>VLOOKUP($D1779,'WB Data'!$C$3:$M$578,9,FALSE)</f>
        <v>25.8</v>
      </c>
      <c r="BQ1779" s="117">
        <f>VLOOKUP($D1779,'WB Data'!$C$3:$M$578,10,FALSE)</f>
        <v>74.515536585365851</v>
      </c>
      <c r="BR1779" s="117">
        <f>VLOOKUP($D1779,'WB Data'!$C$3:$M$578,11,FALSE)</f>
        <v>13.6</v>
      </c>
      <c r="BS1779" s="129" t="str">
        <f>IFERROR(VLOOKUP($D1779,'WB Data 2'!$C$2:$K$545,9,FALSE),"..")</f>
        <v>..</v>
      </c>
      <c r="BT1779" s="129">
        <f>_xlfn.IFNA(VLOOKUP($C1779,RGI!$A$2:$C$43,2,FALSE),"..")</f>
        <v>76.8</v>
      </c>
      <c r="BU1779" s="129">
        <f>_xlfn.IFNA(VLOOKUP($C1779,RGI!$A$2:$C$43,3,FALSE),"..")</f>
        <v>72.816147461462435</v>
      </c>
      <c r="BV1779" s="129">
        <f>VLOOKUP($D1779,WGI!$C$2:$O$478,7,FALSE)</f>
        <v>6.8806180868862199E-2</v>
      </c>
      <c r="BW1779" s="129">
        <f>VLOOKUP($D1779,WGI!$C$2:$O$478,4,FALSE)</f>
        <v>-0.86195648593669605</v>
      </c>
      <c r="BX1779" s="129">
        <f>VLOOKUP($D1779,WGI!$C$2:$O$478,3,FALSE)</f>
        <v>-0.157626358241128</v>
      </c>
      <c r="BY1779" s="129">
        <f>VLOOKUP($D1779,WGI!$C$2:$O$478,5,FALSE)</f>
        <v>0.48941210864302698</v>
      </c>
      <c r="BZ1779" s="129">
        <f>VLOOKUP($D1779,WGI!$C$2:$O$478,2,FALSE)</f>
        <v>-0.394694258708917</v>
      </c>
      <c r="CB1779" s="129"/>
    </row>
    <row r="1780" spans="1:80" s="120" customFormat="1" ht="15" customHeight="1">
      <c r="A1780" s="407" t="s">
        <v>462</v>
      </c>
      <c r="B1780" s="408">
        <v>2012</v>
      </c>
      <c r="C1780" s="805" t="s">
        <v>449</v>
      </c>
      <c r="D1780" s="117" t="s">
        <v>3745</v>
      </c>
      <c r="E1780" s="409" t="s">
        <v>220</v>
      </c>
      <c r="F1780" s="410"/>
      <c r="G1780" s="621" t="s">
        <v>103</v>
      </c>
      <c r="H1780" s="117" t="str">
        <f t="shared" si="304"/>
        <v>no</v>
      </c>
      <c r="I1780" s="117" t="str">
        <f t="shared" si="294"/>
        <v>no</v>
      </c>
      <c r="J1780" s="117" t="str">
        <f t="shared" si="295"/>
        <v>yes</v>
      </c>
      <c r="K1780" s="410" t="s">
        <v>103</v>
      </c>
      <c r="L1780" s="117" t="str">
        <f t="shared" si="305"/>
        <v>detailed</v>
      </c>
      <c r="M1780" s="117" t="str">
        <f t="shared" si="296"/>
        <v>detailed Oil</v>
      </c>
      <c r="N1780" s="411">
        <v>40880000</v>
      </c>
      <c r="O1780" s="411"/>
      <c r="P1780" s="411"/>
      <c r="Q1780" s="411"/>
      <c r="R1780" s="411"/>
      <c r="S1780" s="410" t="s">
        <v>646</v>
      </c>
      <c r="T1780" s="412">
        <v>107.27185943041016</v>
      </c>
      <c r="U1780" s="410" t="s">
        <v>673</v>
      </c>
      <c r="V1780" s="410" t="s">
        <v>740</v>
      </c>
      <c r="W1780" s="413">
        <f>N1780*T1780</f>
        <v>4385273613.5151672</v>
      </c>
      <c r="X1780" s="410"/>
      <c r="Y1780" s="410"/>
      <c r="Z1780" s="410"/>
      <c r="AA1780" s="413"/>
      <c r="AB1780" s="413"/>
      <c r="AC1780" s="618"/>
      <c r="AD1780" s="618"/>
      <c r="AE1780" s="618"/>
      <c r="AF1780" s="619"/>
      <c r="AG1780" s="410"/>
      <c r="AH1780" s="417"/>
      <c r="AI1780" s="410"/>
      <c r="AJ1780" s="410"/>
      <c r="AK1780" s="413"/>
      <c r="AL1780" s="410"/>
      <c r="AM1780" s="410"/>
      <c r="AN1780" s="410"/>
      <c r="AO1780" s="410"/>
      <c r="AP1780" s="410"/>
      <c r="AQ1780" s="410"/>
      <c r="AR1780" s="410"/>
      <c r="AS1780" s="410"/>
      <c r="AT1780" s="410"/>
      <c r="AU1780" s="410"/>
      <c r="AV1780" s="419"/>
      <c r="AW1780" s="117">
        <f>VLOOKUP($D1780,'WB Data'!$C$3:$M$578,2,FALSE)</f>
        <v>192628494178.35443</v>
      </c>
      <c r="AX1780" s="117">
        <f>VLOOKUP($D1780,'WB Data'!$C$3:$M$578,3,FALSE)</f>
        <v>29987800</v>
      </c>
      <c r="AY1780" s="847">
        <f t="shared" si="298"/>
        <v>2.8453252798234702E-2</v>
      </c>
      <c r="AZ1780" s="117">
        <f>VLOOKUP($D1780,'WB Data'!$C$3:$M$578,4,FALSE)/100</f>
        <v>0.21510754766218843</v>
      </c>
      <c r="BA1780" s="117">
        <f t="shared" si="299"/>
        <v>41435842992.565964</v>
      </c>
      <c r="BB1780" s="129">
        <f>IFERROR(VLOOKUP($D1780,'EITI Revenues'!$C$2:$G$224,5,FALSE),"..")</f>
        <v>5480907241</v>
      </c>
      <c r="BC1780" s="846">
        <f t="shared" si="300"/>
        <v>0.13227454409418757</v>
      </c>
      <c r="BD1780" s="129">
        <f>VLOOKUP($D1780,'WB Data 2'!$C$2:$K$545,6,FALSE)</f>
        <v>29761875410.518784</v>
      </c>
      <c r="BE1780" s="129">
        <f>IFERROR(VLOOKUP($D1780,UNCTAD!$C$5:$V$529,4,FALSE),"..")</f>
        <v>51063297000</v>
      </c>
      <c r="BF1780" s="846">
        <f t="shared" si="301"/>
        <v>0.58284280802547439</v>
      </c>
      <c r="BG1780" s="117">
        <f>VLOOKUP($D1780,'WB Data'!$C$3:$M$578,5,FALSE)</f>
        <v>393820000</v>
      </c>
      <c r="BH1780" s="129">
        <f>IFERROR($BB1780/$BG1780,"..")</f>
        <v>13.91729023665634</v>
      </c>
      <c r="BI1780" s="117">
        <f>IFERROR(VLOOKUP($D1780,'WB Data'!$C$3:$M$578,7,FALSE)/100,"..")</f>
        <v>2.76046E-2</v>
      </c>
      <c r="BJ1780" s="117">
        <f>IFERROR($BI1780*$AW1780,"..")</f>
        <v>5317432530.3958025</v>
      </c>
      <c r="BK1780" s="846">
        <f>IFERROR($BB1780/$BJ1780,"..")</f>
        <v>1.0307431659301241</v>
      </c>
      <c r="BL1780" s="117">
        <f>IFERROR(VLOOKUP($D1780,'WB Data'!$C$3:$M$578,7,FALSE)/100,"..")</f>
        <v>2.76046E-2</v>
      </c>
      <c r="BM1780" s="117">
        <f>IFERROR($AW1780*$BL1780,"..")</f>
        <v>5317432530.3958025</v>
      </c>
      <c r="BN1780" s="846">
        <f>IFERROR($BB1780/$BM1780,"..")</f>
        <v>1.0307431659301241</v>
      </c>
      <c r="BO1780" s="801">
        <f t="shared" si="297"/>
        <v>38</v>
      </c>
      <c r="BP1780" s="117">
        <f>VLOOKUP($D1780,'WB Data'!$C$3:$M$578,9,FALSE)</f>
        <v>25.8</v>
      </c>
      <c r="BQ1780" s="117">
        <f>VLOOKUP($D1780,'WB Data'!$C$3:$M$578,10,FALSE)</f>
        <v>74.515536585365851</v>
      </c>
      <c r="BR1780" s="117">
        <f>VLOOKUP($D1780,'WB Data'!$C$3:$M$578,11,FALSE)</f>
        <v>13.6</v>
      </c>
      <c r="BS1780" s="129" t="str">
        <f>IFERROR(VLOOKUP($D1780,'WB Data 2'!$C$2:$K$545,9,FALSE),"..")</f>
        <v>..</v>
      </c>
      <c r="BT1780" s="129">
        <f>_xlfn.IFNA(VLOOKUP($C1780,RGI!$A$2:$C$43,2,FALSE),"..")</f>
        <v>76.8</v>
      </c>
      <c r="BU1780" s="129">
        <f>_xlfn.IFNA(VLOOKUP($C1780,RGI!$A$2:$C$43,3,FALSE),"..")</f>
        <v>72.816147461462435</v>
      </c>
      <c r="BV1780" s="129">
        <f>VLOOKUP($D1780,WGI!$C$2:$O$478,7,FALSE)</f>
        <v>6.8806180868862199E-2</v>
      </c>
      <c r="BW1780" s="129">
        <f>VLOOKUP($D1780,WGI!$C$2:$O$478,4,FALSE)</f>
        <v>-0.86195648593669605</v>
      </c>
      <c r="BX1780" s="129">
        <f>VLOOKUP($D1780,WGI!$C$2:$O$478,3,FALSE)</f>
        <v>-0.157626358241128</v>
      </c>
      <c r="BY1780" s="129">
        <f>VLOOKUP($D1780,WGI!$C$2:$O$478,5,FALSE)</f>
        <v>0.48941210864302698</v>
      </c>
      <c r="BZ1780" s="129">
        <f>VLOOKUP($D1780,WGI!$C$2:$O$478,2,FALSE)</f>
        <v>-0.394694258708917</v>
      </c>
      <c r="CB1780" s="129"/>
    </row>
    <row r="1781" spans="1:80" s="120" customFormat="1" ht="15" customHeight="1">
      <c r="A1781" s="407" t="s">
        <v>462</v>
      </c>
      <c r="B1781" s="408">
        <v>2012</v>
      </c>
      <c r="C1781" s="805" t="s">
        <v>449</v>
      </c>
      <c r="D1781" s="117" t="s">
        <v>3745</v>
      </c>
      <c r="E1781" s="409" t="s">
        <v>220</v>
      </c>
      <c r="F1781" s="410"/>
      <c r="G1781" s="621" t="s">
        <v>24</v>
      </c>
      <c r="H1781" s="117" t="str">
        <f t="shared" si="304"/>
        <v>yes</v>
      </c>
      <c r="I1781" s="117" t="str">
        <f t="shared" si="294"/>
        <v>no</v>
      </c>
      <c r="J1781" s="117" t="str">
        <f t="shared" si="295"/>
        <v>no</v>
      </c>
      <c r="K1781" s="410" t="s">
        <v>600</v>
      </c>
      <c r="L1781" s="117" t="str">
        <f t="shared" si="305"/>
        <v>Total</v>
      </c>
      <c r="M1781" s="117" t="str">
        <f t="shared" si="296"/>
        <v>Total Mining</v>
      </c>
      <c r="N1781" s="411"/>
      <c r="O1781" s="411"/>
      <c r="P1781" s="411"/>
      <c r="Q1781" s="411"/>
      <c r="R1781" s="411"/>
      <c r="S1781" s="410"/>
      <c r="T1781" s="412"/>
      <c r="U1781" s="410"/>
      <c r="V1781" s="410"/>
      <c r="W1781" s="413">
        <f>SUM(W1782:W1830)</f>
        <v>26886497547.710358</v>
      </c>
      <c r="X1781" s="410"/>
      <c r="Y1781" s="621"/>
      <c r="Z1781" s="621"/>
      <c r="AA1781" s="413"/>
      <c r="AB1781" s="413"/>
      <c r="AC1781" s="618"/>
      <c r="AD1781" s="618"/>
      <c r="AE1781" s="618"/>
      <c r="AF1781" s="619"/>
      <c r="AG1781" s="621"/>
      <c r="AH1781" s="417"/>
      <c r="AI1781" s="410"/>
      <c r="AJ1781" s="410"/>
      <c r="AK1781" s="413"/>
      <c r="AL1781" s="410"/>
      <c r="AM1781" s="410"/>
      <c r="AN1781" s="410"/>
      <c r="AO1781" s="410"/>
      <c r="AP1781" s="410"/>
      <c r="AQ1781" s="410"/>
      <c r="AR1781" s="410"/>
      <c r="AS1781" s="410"/>
      <c r="AT1781" s="410"/>
      <c r="AU1781" s="410"/>
      <c r="AV1781" s="419"/>
      <c r="AW1781" s="117">
        <f>VLOOKUP($D1781,'WB Data'!$C$3:$M$578,2,FALSE)</f>
        <v>192628494178.35443</v>
      </c>
      <c r="AX1781" s="117">
        <f>VLOOKUP($D1781,'WB Data'!$C$3:$M$578,3,FALSE)</f>
        <v>29987800</v>
      </c>
      <c r="AY1781" s="847">
        <f t="shared" si="298"/>
        <v>2.8453252798234702E-2</v>
      </c>
      <c r="AZ1781" s="117">
        <f>VLOOKUP($D1781,'WB Data'!$C$3:$M$578,4,FALSE)/100</f>
        <v>0.21510754766218843</v>
      </c>
      <c r="BA1781" s="117">
        <f t="shared" si="299"/>
        <v>41435842992.565964</v>
      </c>
      <c r="BB1781" s="129">
        <f>IFERROR(VLOOKUP($D1781,'EITI Revenues'!$C$2:$G$224,5,FALSE),"..")</f>
        <v>5480907241</v>
      </c>
      <c r="BC1781" s="846">
        <f t="shared" si="300"/>
        <v>0.13227454409418757</v>
      </c>
      <c r="BD1781" s="129">
        <f>VLOOKUP($D1781,'WB Data 2'!$C$2:$K$545,6,FALSE)</f>
        <v>29761875410.518784</v>
      </c>
      <c r="BE1781" s="129">
        <f>IFERROR(VLOOKUP($D1781,UNCTAD!$C$5:$V$529,4,FALSE),"..")</f>
        <v>51063297000</v>
      </c>
      <c r="BF1781" s="846">
        <f t="shared" si="301"/>
        <v>0.58284280802547439</v>
      </c>
      <c r="BG1781" s="117">
        <f>VLOOKUP($D1781,'WB Data'!$C$3:$M$578,5,FALSE)</f>
        <v>393820000</v>
      </c>
      <c r="BH1781" s="129">
        <f>IFERROR($BB1781/$BG1781,"..")</f>
        <v>13.91729023665634</v>
      </c>
      <c r="BI1781" s="117">
        <f>IFERROR(VLOOKUP($D1781,'WB Data'!$C$3:$M$578,7,FALSE)/100,"..")</f>
        <v>2.76046E-2</v>
      </c>
      <c r="BJ1781" s="117">
        <f>IFERROR($BI1781*$AW1781,"..")</f>
        <v>5317432530.3958025</v>
      </c>
      <c r="BK1781" s="846">
        <f>IFERROR($BB1781/$BJ1781,"..")</f>
        <v>1.0307431659301241</v>
      </c>
      <c r="BL1781" s="117">
        <f>IFERROR(VLOOKUP($D1781,'WB Data'!$C$3:$M$578,7,FALSE)/100,"..")</f>
        <v>2.76046E-2</v>
      </c>
      <c r="BM1781" s="117">
        <f>IFERROR($AW1781*$BL1781,"..")</f>
        <v>5317432530.3958025</v>
      </c>
      <c r="BN1781" s="846">
        <f>IFERROR($BB1781/$BM1781,"..")</f>
        <v>1.0307431659301241</v>
      </c>
      <c r="BO1781" s="801">
        <f t="shared" si="297"/>
        <v>38</v>
      </c>
      <c r="BP1781" s="117">
        <f>VLOOKUP($D1781,'WB Data'!$C$3:$M$578,9,FALSE)</f>
        <v>25.8</v>
      </c>
      <c r="BQ1781" s="117">
        <f>VLOOKUP($D1781,'WB Data'!$C$3:$M$578,10,FALSE)</f>
        <v>74.515536585365851</v>
      </c>
      <c r="BR1781" s="117">
        <f>VLOOKUP($D1781,'WB Data'!$C$3:$M$578,11,FALSE)</f>
        <v>13.6</v>
      </c>
      <c r="BS1781" s="129" t="str">
        <f>IFERROR(VLOOKUP($D1781,'WB Data 2'!$C$2:$K$545,9,FALSE),"..")</f>
        <v>..</v>
      </c>
      <c r="BT1781" s="129">
        <f>_xlfn.IFNA(VLOOKUP($C1781,RGI!$A$2:$C$43,2,FALSE),"..")</f>
        <v>76.8</v>
      </c>
      <c r="BU1781" s="129">
        <f>_xlfn.IFNA(VLOOKUP($C1781,RGI!$A$2:$C$43,3,FALSE),"..")</f>
        <v>72.816147461462435</v>
      </c>
      <c r="BV1781" s="129">
        <f>VLOOKUP($D1781,WGI!$C$2:$O$478,7,FALSE)</f>
        <v>6.8806180868862199E-2</v>
      </c>
      <c r="BW1781" s="129">
        <f>VLOOKUP($D1781,WGI!$C$2:$O$478,4,FALSE)</f>
        <v>-0.86195648593669605</v>
      </c>
      <c r="BX1781" s="129">
        <f>VLOOKUP($D1781,WGI!$C$2:$O$478,3,FALSE)</f>
        <v>-0.157626358241128</v>
      </c>
      <c r="BY1781" s="129">
        <f>VLOOKUP($D1781,WGI!$C$2:$O$478,5,FALSE)</f>
        <v>0.48941210864302698</v>
      </c>
      <c r="BZ1781" s="129">
        <f>VLOOKUP($D1781,WGI!$C$2:$O$478,2,FALSE)</f>
        <v>-0.394694258708917</v>
      </c>
      <c r="CB1781" s="129"/>
    </row>
    <row r="1782" spans="1:80" s="120" customFormat="1" ht="15" customHeight="1">
      <c r="A1782" s="407" t="s">
        <v>462</v>
      </c>
      <c r="B1782" s="408">
        <v>2012</v>
      </c>
      <c r="C1782" s="805" t="s">
        <v>449</v>
      </c>
      <c r="D1782" s="117" t="s">
        <v>3745</v>
      </c>
      <c r="E1782" s="409" t="s">
        <v>220</v>
      </c>
      <c r="F1782" s="410"/>
      <c r="G1782" s="621" t="s">
        <v>24</v>
      </c>
      <c r="H1782" s="117" t="str">
        <f t="shared" si="304"/>
        <v>yes</v>
      </c>
      <c r="I1782" s="117" t="str">
        <f t="shared" si="294"/>
        <v>no</v>
      </c>
      <c r="J1782" s="117" t="str">
        <f t="shared" si="295"/>
        <v>no</v>
      </c>
      <c r="K1782" s="410" t="s">
        <v>2088</v>
      </c>
      <c r="L1782" s="117" t="str">
        <f t="shared" si="305"/>
        <v>detailed</v>
      </c>
      <c r="M1782" s="117" t="str">
        <f t="shared" si="296"/>
        <v>detailed Mining</v>
      </c>
      <c r="N1782" s="411">
        <v>0</v>
      </c>
      <c r="O1782" s="411"/>
      <c r="P1782" s="411"/>
      <c r="Q1782" s="411"/>
      <c r="R1782" s="411"/>
      <c r="S1782" s="410" t="s">
        <v>610</v>
      </c>
      <c r="T1782" s="412"/>
      <c r="U1782" s="410"/>
      <c r="V1782" s="410" t="s">
        <v>684</v>
      </c>
      <c r="W1782" s="413">
        <f t="shared" ref="W1782:W1789" si="307">N1782*T1782</f>
        <v>0</v>
      </c>
      <c r="X1782" s="410"/>
      <c r="Y1782" s="621"/>
      <c r="Z1782" s="621"/>
      <c r="AA1782" s="413"/>
      <c r="AB1782" s="413"/>
      <c r="AC1782" s="618"/>
      <c r="AD1782" s="618"/>
      <c r="AE1782" s="618"/>
      <c r="AF1782" s="619"/>
      <c r="AG1782" s="621"/>
      <c r="AH1782" s="417"/>
      <c r="AI1782" s="410"/>
      <c r="AJ1782" s="410"/>
      <c r="AK1782" s="413"/>
      <c r="AL1782" s="410"/>
      <c r="AM1782" s="410"/>
      <c r="AN1782" s="410"/>
      <c r="AO1782" s="410"/>
      <c r="AP1782" s="410"/>
      <c r="AQ1782" s="410"/>
      <c r="AR1782" s="410"/>
      <c r="AS1782" s="410"/>
      <c r="AT1782" s="410"/>
      <c r="AU1782" s="410"/>
      <c r="AV1782" s="419"/>
      <c r="AW1782" s="117">
        <f>VLOOKUP($D1782,'WB Data'!$C$3:$M$578,2,FALSE)</f>
        <v>192628494178.35443</v>
      </c>
      <c r="AX1782" s="117">
        <f>VLOOKUP($D1782,'WB Data'!$C$3:$M$578,3,FALSE)</f>
        <v>29987800</v>
      </c>
      <c r="AY1782" s="847">
        <f t="shared" si="298"/>
        <v>2.8453252798234702E-2</v>
      </c>
      <c r="AZ1782" s="117">
        <f>VLOOKUP($D1782,'WB Data'!$C$3:$M$578,4,FALSE)/100</f>
        <v>0.21510754766218843</v>
      </c>
      <c r="BA1782" s="117">
        <f t="shared" si="299"/>
        <v>41435842992.565964</v>
      </c>
      <c r="BB1782" s="129">
        <f>IFERROR(VLOOKUP($D1782,'EITI Revenues'!$C$2:$G$224,5,FALSE),"..")</f>
        <v>5480907241</v>
      </c>
      <c r="BC1782" s="846">
        <f t="shared" si="300"/>
        <v>0.13227454409418757</v>
      </c>
      <c r="BD1782" s="129">
        <f>VLOOKUP($D1782,'WB Data 2'!$C$2:$K$545,6,FALSE)</f>
        <v>29761875410.518784</v>
      </c>
      <c r="BE1782" s="129">
        <f>IFERROR(VLOOKUP($D1782,UNCTAD!$C$5:$V$529,4,FALSE),"..")</f>
        <v>51063297000</v>
      </c>
      <c r="BF1782" s="846">
        <f t="shared" si="301"/>
        <v>0.58284280802547439</v>
      </c>
      <c r="BG1782" s="117">
        <f>VLOOKUP($D1782,'WB Data'!$C$3:$M$578,5,FALSE)</f>
        <v>393820000</v>
      </c>
      <c r="BH1782" s="129">
        <f>IFERROR($BB1782/$BG1782,"..")</f>
        <v>13.91729023665634</v>
      </c>
      <c r="BI1782" s="117">
        <f>IFERROR(VLOOKUP($D1782,'WB Data'!$C$3:$M$578,7,FALSE)/100,"..")</f>
        <v>2.76046E-2</v>
      </c>
      <c r="BJ1782" s="117">
        <f>IFERROR($BI1782*$AW1782,"..")</f>
        <v>5317432530.3958025</v>
      </c>
      <c r="BK1782" s="846">
        <f>IFERROR($BB1782/$BJ1782,"..")</f>
        <v>1.0307431659301241</v>
      </c>
      <c r="BL1782" s="117">
        <f>IFERROR(VLOOKUP($D1782,'WB Data'!$C$3:$M$578,7,FALSE)/100,"..")</f>
        <v>2.76046E-2</v>
      </c>
      <c r="BM1782" s="117">
        <f>IFERROR($AW1782*$BL1782,"..")</f>
        <v>5317432530.3958025</v>
      </c>
      <c r="BN1782" s="846">
        <f>IFERROR($BB1782/$BM1782,"..")</f>
        <v>1.0307431659301241</v>
      </c>
      <c r="BO1782" s="801">
        <f t="shared" si="297"/>
        <v>38</v>
      </c>
      <c r="BP1782" s="117">
        <f>VLOOKUP($D1782,'WB Data'!$C$3:$M$578,9,FALSE)</f>
        <v>25.8</v>
      </c>
      <c r="BQ1782" s="117">
        <f>VLOOKUP($D1782,'WB Data'!$C$3:$M$578,10,FALSE)</f>
        <v>74.515536585365851</v>
      </c>
      <c r="BR1782" s="117">
        <f>VLOOKUP($D1782,'WB Data'!$C$3:$M$578,11,FALSE)</f>
        <v>13.6</v>
      </c>
      <c r="BS1782" s="129" t="str">
        <f>IFERROR(VLOOKUP($D1782,'WB Data 2'!$C$2:$K$545,9,FALSE),"..")</f>
        <v>..</v>
      </c>
      <c r="BT1782" s="129">
        <f>_xlfn.IFNA(VLOOKUP($C1782,RGI!$A$2:$C$43,2,FALSE),"..")</f>
        <v>76.8</v>
      </c>
      <c r="BU1782" s="129">
        <f>_xlfn.IFNA(VLOOKUP($C1782,RGI!$A$2:$C$43,3,FALSE),"..")</f>
        <v>72.816147461462435</v>
      </c>
      <c r="BV1782" s="129">
        <f>VLOOKUP($D1782,WGI!$C$2:$O$478,7,FALSE)</f>
        <v>6.8806180868862199E-2</v>
      </c>
      <c r="BW1782" s="129">
        <f>VLOOKUP($D1782,WGI!$C$2:$O$478,4,FALSE)</f>
        <v>-0.86195648593669605</v>
      </c>
      <c r="BX1782" s="129">
        <f>VLOOKUP($D1782,WGI!$C$2:$O$478,3,FALSE)</f>
        <v>-0.157626358241128</v>
      </c>
      <c r="BY1782" s="129">
        <f>VLOOKUP($D1782,WGI!$C$2:$O$478,5,FALSE)</f>
        <v>0.48941210864302698</v>
      </c>
      <c r="BZ1782" s="129">
        <f>VLOOKUP($D1782,WGI!$C$2:$O$478,2,FALSE)</f>
        <v>-0.394694258708917</v>
      </c>
      <c r="CB1782" s="129"/>
    </row>
    <row r="1783" spans="1:80" s="120" customFormat="1" ht="15" customHeight="1">
      <c r="A1783" s="407" t="s">
        <v>462</v>
      </c>
      <c r="B1783" s="408">
        <v>2012</v>
      </c>
      <c r="C1783" s="805" t="s">
        <v>449</v>
      </c>
      <c r="D1783" s="117" t="s">
        <v>3745</v>
      </c>
      <c r="E1783" s="409" t="s">
        <v>220</v>
      </c>
      <c r="F1783" s="410"/>
      <c r="G1783" s="621" t="s">
        <v>24</v>
      </c>
      <c r="H1783" s="117" t="str">
        <f t="shared" si="304"/>
        <v>yes</v>
      </c>
      <c r="I1783" s="117" t="str">
        <f t="shared" si="294"/>
        <v>no</v>
      </c>
      <c r="J1783" s="117" t="str">
        <f t="shared" si="295"/>
        <v>no</v>
      </c>
      <c r="K1783" s="410" t="s">
        <v>2089</v>
      </c>
      <c r="L1783" s="117" t="str">
        <f t="shared" si="305"/>
        <v>detailed</v>
      </c>
      <c r="M1783" s="117" t="str">
        <f t="shared" si="296"/>
        <v>detailed Mining</v>
      </c>
      <c r="N1783" s="411">
        <v>0</v>
      </c>
      <c r="O1783" s="411"/>
      <c r="P1783" s="411"/>
      <c r="Q1783" s="411"/>
      <c r="R1783" s="411"/>
      <c r="S1783" s="410" t="s">
        <v>610</v>
      </c>
      <c r="T1783" s="412"/>
      <c r="U1783" s="410"/>
      <c r="V1783" s="410" t="s">
        <v>684</v>
      </c>
      <c r="W1783" s="413">
        <f t="shared" si="307"/>
        <v>0</v>
      </c>
      <c r="X1783" s="410"/>
      <c r="Y1783" s="621"/>
      <c r="Z1783" s="621"/>
      <c r="AA1783" s="413"/>
      <c r="AB1783" s="413"/>
      <c r="AC1783" s="618"/>
      <c r="AD1783" s="618"/>
      <c r="AE1783" s="618"/>
      <c r="AF1783" s="619"/>
      <c r="AG1783" s="621"/>
      <c r="AH1783" s="417"/>
      <c r="AI1783" s="410"/>
      <c r="AJ1783" s="410"/>
      <c r="AK1783" s="413"/>
      <c r="AL1783" s="410"/>
      <c r="AM1783" s="410"/>
      <c r="AN1783" s="410"/>
      <c r="AO1783" s="410"/>
      <c r="AP1783" s="410"/>
      <c r="AQ1783" s="410"/>
      <c r="AR1783" s="410"/>
      <c r="AS1783" s="410"/>
      <c r="AT1783" s="410"/>
      <c r="AU1783" s="410"/>
      <c r="AV1783" s="419"/>
      <c r="AW1783" s="117">
        <f>VLOOKUP($D1783,'WB Data'!$C$3:$M$578,2,FALSE)</f>
        <v>192628494178.35443</v>
      </c>
      <c r="AX1783" s="117">
        <f>VLOOKUP($D1783,'WB Data'!$C$3:$M$578,3,FALSE)</f>
        <v>29987800</v>
      </c>
      <c r="AY1783" s="847">
        <f t="shared" si="298"/>
        <v>2.8453252798234702E-2</v>
      </c>
      <c r="AZ1783" s="117">
        <f>VLOOKUP($D1783,'WB Data'!$C$3:$M$578,4,FALSE)/100</f>
        <v>0.21510754766218843</v>
      </c>
      <c r="BA1783" s="117">
        <f t="shared" si="299"/>
        <v>41435842992.565964</v>
      </c>
      <c r="BB1783" s="129">
        <f>IFERROR(VLOOKUP($D1783,'EITI Revenues'!$C$2:$G$224,5,FALSE),"..")</f>
        <v>5480907241</v>
      </c>
      <c r="BC1783" s="846">
        <f t="shared" si="300"/>
        <v>0.13227454409418757</v>
      </c>
      <c r="BD1783" s="129">
        <f>VLOOKUP($D1783,'WB Data 2'!$C$2:$K$545,6,FALSE)</f>
        <v>29761875410.518784</v>
      </c>
      <c r="BE1783" s="129">
        <f>IFERROR(VLOOKUP($D1783,UNCTAD!$C$5:$V$529,4,FALSE),"..")</f>
        <v>51063297000</v>
      </c>
      <c r="BF1783" s="846">
        <f t="shared" si="301"/>
        <v>0.58284280802547439</v>
      </c>
      <c r="BG1783" s="117">
        <f>VLOOKUP($D1783,'WB Data'!$C$3:$M$578,5,FALSE)</f>
        <v>393820000</v>
      </c>
      <c r="BH1783" s="129">
        <f>IFERROR($BB1783/$BG1783,"..")</f>
        <v>13.91729023665634</v>
      </c>
      <c r="BI1783" s="117">
        <f>IFERROR(VLOOKUP($D1783,'WB Data'!$C$3:$M$578,7,FALSE)/100,"..")</f>
        <v>2.76046E-2</v>
      </c>
      <c r="BJ1783" s="117">
        <f>IFERROR($BI1783*$AW1783,"..")</f>
        <v>5317432530.3958025</v>
      </c>
      <c r="BK1783" s="846">
        <f>IFERROR($BB1783/$BJ1783,"..")</f>
        <v>1.0307431659301241</v>
      </c>
      <c r="BL1783" s="117">
        <f>IFERROR(VLOOKUP($D1783,'WB Data'!$C$3:$M$578,7,FALSE)/100,"..")</f>
        <v>2.76046E-2</v>
      </c>
      <c r="BM1783" s="117">
        <f>IFERROR($AW1783*$BL1783,"..")</f>
        <v>5317432530.3958025</v>
      </c>
      <c r="BN1783" s="846">
        <f>IFERROR($BB1783/$BM1783,"..")</f>
        <v>1.0307431659301241</v>
      </c>
      <c r="BO1783" s="801">
        <f t="shared" si="297"/>
        <v>38</v>
      </c>
      <c r="BP1783" s="117">
        <f>VLOOKUP($D1783,'WB Data'!$C$3:$M$578,9,FALSE)</f>
        <v>25.8</v>
      </c>
      <c r="BQ1783" s="117">
        <f>VLOOKUP($D1783,'WB Data'!$C$3:$M$578,10,FALSE)</f>
        <v>74.515536585365851</v>
      </c>
      <c r="BR1783" s="117">
        <f>VLOOKUP($D1783,'WB Data'!$C$3:$M$578,11,FALSE)</f>
        <v>13.6</v>
      </c>
      <c r="BS1783" s="129" t="str">
        <f>IFERROR(VLOOKUP($D1783,'WB Data 2'!$C$2:$K$545,9,FALSE),"..")</f>
        <v>..</v>
      </c>
      <c r="BT1783" s="129">
        <f>_xlfn.IFNA(VLOOKUP($C1783,RGI!$A$2:$C$43,2,FALSE),"..")</f>
        <v>76.8</v>
      </c>
      <c r="BU1783" s="129">
        <f>_xlfn.IFNA(VLOOKUP($C1783,RGI!$A$2:$C$43,3,FALSE),"..")</f>
        <v>72.816147461462435</v>
      </c>
      <c r="BV1783" s="129">
        <f>VLOOKUP($D1783,WGI!$C$2:$O$478,7,FALSE)</f>
        <v>6.8806180868862199E-2</v>
      </c>
      <c r="BW1783" s="129">
        <f>VLOOKUP($D1783,WGI!$C$2:$O$478,4,FALSE)</f>
        <v>-0.86195648593669605</v>
      </c>
      <c r="BX1783" s="129">
        <f>VLOOKUP($D1783,WGI!$C$2:$O$478,3,FALSE)</f>
        <v>-0.157626358241128</v>
      </c>
      <c r="BY1783" s="129">
        <f>VLOOKUP($D1783,WGI!$C$2:$O$478,5,FALSE)</f>
        <v>0.48941210864302698</v>
      </c>
      <c r="BZ1783" s="129">
        <f>VLOOKUP($D1783,WGI!$C$2:$O$478,2,FALSE)</f>
        <v>-0.394694258708917</v>
      </c>
      <c r="CB1783" s="129"/>
    </row>
    <row r="1784" spans="1:80" s="120" customFormat="1" ht="15" customHeight="1">
      <c r="A1784" s="407" t="s">
        <v>462</v>
      </c>
      <c r="B1784" s="408">
        <v>2012</v>
      </c>
      <c r="C1784" s="805" t="s">
        <v>449</v>
      </c>
      <c r="D1784" s="117" t="s">
        <v>3745</v>
      </c>
      <c r="E1784" s="409" t="s">
        <v>220</v>
      </c>
      <c r="F1784" s="410"/>
      <c r="G1784" s="621" t="s">
        <v>24</v>
      </c>
      <c r="H1784" s="117" t="str">
        <f t="shared" si="304"/>
        <v>yes</v>
      </c>
      <c r="I1784" s="117" t="str">
        <f t="shared" si="294"/>
        <v>no</v>
      </c>
      <c r="J1784" s="117" t="str">
        <f t="shared" si="295"/>
        <v>no</v>
      </c>
      <c r="K1784" s="410" t="s">
        <v>1413</v>
      </c>
      <c r="L1784" s="117" t="str">
        <f t="shared" si="305"/>
        <v>detailed</v>
      </c>
      <c r="M1784" s="117" t="str">
        <f t="shared" si="296"/>
        <v>detailed Mining</v>
      </c>
      <c r="N1784" s="411">
        <v>76007</v>
      </c>
      <c r="O1784" s="411"/>
      <c r="P1784" s="411"/>
      <c r="Q1784" s="411"/>
      <c r="R1784" s="411"/>
      <c r="S1784" s="410" t="s">
        <v>610</v>
      </c>
      <c r="T1784" s="412">
        <v>112</v>
      </c>
      <c r="U1784" s="410" t="s">
        <v>611</v>
      </c>
      <c r="V1784" s="410" t="s">
        <v>2143</v>
      </c>
      <c r="W1784" s="413">
        <f t="shared" si="307"/>
        <v>8512784</v>
      </c>
      <c r="X1784" s="410"/>
      <c r="Y1784" s="621"/>
      <c r="Z1784" s="621"/>
      <c r="AA1784" s="413"/>
      <c r="AB1784" s="413"/>
      <c r="AC1784" s="618"/>
      <c r="AD1784" s="618"/>
      <c r="AE1784" s="618"/>
      <c r="AF1784" s="619"/>
      <c r="AG1784" s="621"/>
      <c r="AH1784" s="417"/>
      <c r="AI1784" s="410"/>
      <c r="AJ1784" s="410"/>
      <c r="AK1784" s="413"/>
      <c r="AL1784" s="410"/>
      <c r="AM1784" s="410"/>
      <c r="AN1784" s="410"/>
      <c r="AO1784" s="410"/>
      <c r="AP1784" s="410"/>
      <c r="AQ1784" s="410"/>
      <c r="AR1784" s="410"/>
      <c r="AS1784" s="410"/>
      <c r="AT1784" s="410"/>
      <c r="AU1784" s="410"/>
      <c r="AV1784" s="419"/>
      <c r="AW1784" s="117">
        <f>VLOOKUP($D1784,'WB Data'!$C$3:$M$578,2,FALSE)</f>
        <v>192628494178.35443</v>
      </c>
      <c r="AX1784" s="117">
        <f>VLOOKUP($D1784,'WB Data'!$C$3:$M$578,3,FALSE)</f>
        <v>29987800</v>
      </c>
      <c r="AY1784" s="847">
        <f t="shared" si="298"/>
        <v>2.8453252798234702E-2</v>
      </c>
      <c r="AZ1784" s="117">
        <f>VLOOKUP($D1784,'WB Data'!$C$3:$M$578,4,FALSE)/100</f>
        <v>0.21510754766218843</v>
      </c>
      <c r="BA1784" s="117">
        <f t="shared" si="299"/>
        <v>41435842992.565964</v>
      </c>
      <c r="BB1784" s="129">
        <f>IFERROR(VLOOKUP($D1784,'EITI Revenues'!$C$2:$G$224,5,FALSE),"..")</f>
        <v>5480907241</v>
      </c>
      <c r="BC1784" s="846">
        <f t="shared" si="300"/>
        <v>0.13227454409418757</v>
      </c>
      <c r="BD1784" s="129">
        <f>VLOOKUP($D1784,'WB Data 2'!$C$2:$K$545,6,FALSE)</f>
        <v>29761875410.518784</v>
      </c>
      <c r="BE1784" s="129">
        <f>IFERROR(VLOOKUP($D1784,UNCTAD!$C$5:$V$529,4,FALSE),"..")</f>
        <v>51063297000</v>
      </c>
      <c r="BF1784" s="846">
        <f t="shared" si="301"/>
        <v>0.58284280802547439</v>
      </c>
      <c r="BG1784" s="117">
        <f>VLOOKUP($D1784,'WB Data'!$C$3:$M$578,5,FALSE)</f>
        <v>393820000</v>
      </c>
      <c r="BH1784" s="129">
        <f>IFERROR($BB1784/$BG1784,"..")</f>
        <v>13.91729023665634</v>
      </c>
      <c r="BI1784" s="117">
        <f>IFERROR(VLOOKUP($D1784,'WB Data'!$C$3:$M$578,7,FALSE)/100,"..")</f>
        <v>2.76046E-2</v>
      </c>
      <c r="BJ1784" s="117">
        <f>IFERROR($BI1784*$AW1784,"..")</f>
        <v>5317432530.3958025</v>
      </c>
      <c r="BK1784" s="846">
        <f>IFERROR($BB1784/$BJ1784,"..")</f>
        <v>1.0307431659301241</v>
      </c>
      <c r="BL1784" s="117">
        <f>IFERROR(VLOOKUP($D1784,'WB Data'!$C$3:$M$578,7,FALSE)/100,"..")</f>
        <v>2.76046E-2</v>
      </c>
      <c r="BM1784" s="117">
        <f>IFERROR($AW1784*$BL1784,"..")</f>
        <v>5317432530.3958025</v>
      </c>
      <c r="BN1784" s="846">
        <f>IFERROR($BB1784/$BM1784,"..")</f>
        <v>1.0307431659301241</v>
      </c>
      <c r="BO1784" s="801">
        <f t="shared" si="297"/>
        <v>38</v>
      </c>
      <c r="BP1784" s="117">
        <f>VLOOKUP($D1784,'WB Data'!$C$3:$M$578,9,FALSE)</f>
        <v>25.8</v>
      </c>
      <c r="BQ1784" s="117">
        <f>VLOOKUP($D1784,'WB Data'!$C$3:$M$578,10,FALSE)</f>
        <v>74.515536585365851</v>
      </c>
      <c r="BR1784" s="117">
        <f>VLOOKUP($D1784,'WB Data'!$C$3:$M$578,11,FALSE)</f>
        <v>13.6</v>
      </c>
      <c r="BS1784" s="129" t="str">
        <f>IFERROR(VLOOKUP($D1784,'WB Data 2'!$C$2:$K$545,9,FALSE),"..")</f>
        <v>..</v>
      </c>
      <c r="BT1784" s="129">
        <f>_xlfn.IFNA(VLOOKUP($C1784,RGI!$A$2:$C$43,2,FALSE),"..")</f>
        <v>76.8</v>
      </c>
      <c r="BU1784" s="129">
        <f>_xlfn.IFNA(VLOOKUP($C1784,RGI!$A$2:$C$43,3,FALSE),"..")</f>
        <v>72.816147461462435</v>
      </c>
      <c r="BV1784" s="129">
        <f>VLOOKUP($D1784,WGI!$C$2:$O$478,7,FALSE)</f>
        <v>6.8806180868862199E-2</v>
      </c>
      <c r="BW1784" s="129">
        <f>VLOOKUP($D1784,WGI!$C$2:$O$478,4,FALSE)</f>
        <v>-0.86195648593669605</v>
      </c>
      <c r="BX1784" s="129">
        <f>VLOOKUP($D1784,WGI!$C$2:$O$478,3,FALSE)</f>
        <v>-0.157626358241128</v>
      </c>
      <c r="BY1784" s="129">
        <f>VLOOKUP($D1784,WGI!$C$2:$O$478,5,FALSE)</f>
        <v>0.48941210864302698</v>
      </c>
      <c r="BZ1784" s="129">
        <f>VLOOKUP($D1784,WGI!$C$2:$O$478,2,FALSE)</f>
        <v>-0.394694258708917</v>
      </c>
      <c r="CB1784" s="129"/>
    </row>
    <row r="1785" spans="1:80" s="120" customFormat="1" ht="15" customHeight="1">
      <c r="A1785" s="407" t="s">
        <v>462</v>
      </c>
      <c r="B1785" s="408">
        <v>2012</v>
      </c>
      <c r="C1785" s="805" t="s">
        <v>449</v>
      </c>
      <c r="D1785" s="117" t="s">
        <v>3745</v>
      </c>
      <c r="E1785" s="409" t="s">
        <v>220</v>
      </c>
      <c r="F1785" s="410"/>
      <c r="G1785" s="621" t="s">
        <v>24</v>
      </c>
      <c r="H1785" s="117" t="str">
        <f t="shared" si="304"/>
        <v>yes</v>
      </c>
      <c r="I1785" s="117" t="str">
        <f t="shared" si="294"/>
        <v>no</v>
      </c>
      <c r="J1785" s="117" t="str">
        <f t="shared" si="295"/>
        <v>no</v>
      </c>
      <c r="K1785" s="410" t="s">
        <v>1215</v>
      </c>
      <c r="L1785" s="117" t="str">
        <f t="shared" si="305"/>
        <v>detailed</v>
      </c>
      <c r="M1785" s="117" t="str">
        <f t="shared" si="296"/>
        <v>detailed Mining</v>
      </c>
      <c r="N1785" s="411">
        <v>22977</v>
      </c>
      <c r="O1785" s="411"/>
      <c r="P1785" s="411"/>
      <c r="Q1785" s="411"/>
      <c r="R1785" s="411"/>
      <c r="S1785" s="410" t="s">
        <v>610</v>
      </c>
      <c r="T1785" s="412">
        <v>62</v>
      </c>
      <c r="U1785" s="410" t="s">
        <v>611</v>
      </c>
      <c r="V1785" s="410" t="s">
        <v>2144</v>
      </c>
      <c r="W1785" s="413">
        <f t="shared" si="307"/>
        <v>1424574</v>
      </c>
      <c r="X1785" s="410"/>
      <c r="Y1785" s="621"/>
      <c r="Z1785" s="621"/>
      <c r="AA1785" s="413"/>
      <c r="AB1785" s="413"/>
      <c r="AC1785" s="618"/>
      <c r="AD1785" s="618"/>
      <c r="AE1785" s="618"/>
      <c r="AF1785" s="619"/>
      <c r="AG1785" s="621"/>
      <c r="AH1785" s="417"/>
      <c r="AI1785" s="410"/>
      <c r="AJ1785" s="410"/>
      <c r="AK1785" s="413"/>
      <c r="AL1785" s="410"/>
      <c r="AM1785" s="410"/>
      <c r="AN1785" s="410"/>
      <c r="AO1785" s="410"/>
      <c r="AP1785" s="410"/>
      <c r="AQ1785" s="410"/>
      <c r="AR1785" s="410"/>
      <c r="AS1785" s="410"/>
      <c r="AT1785" s="410"/>
      <c r="AU1785" s="410"/>
      <c r="AV1785" s="419"/>
      <c r="AW1785" s="117">
        <f>VLOOKUP($D1785,'WB Data'!$C$3:$M$578,2,FALSE)</f>
        <v>192628494178.35443</v>
      </c>
      <c r="AX1785" s="117">
        <f>VLOOKUP($D1785,'WB Data'!$C$3:$M$578,3,FALSE)</f>
        <v>29987800</v>
      </c>
      <c r="AY1785" s="847">
        <f t="shared" si="298"/>
        <v>2.8453252798234702E-2</v>
      </c>
      <c r="AZ1785" s="117">
        <f>VLOOKUP($D1785,'WB Data'!$C$3:$M$578,4,FALSE)/100</f>
        <v>0.21510754766218843</v>
      </c>
      <c r="BA1785" s="117">
        <f t="shared" si="299"/>
        <v>41435842992.565964</v>
      </c>
      <c r="BB1785" s="129">
        <f>IFERROR(VLOOKUP($D1785,'EITI Revenues'!$C$2:$G$224,5,FALSE),"..")</f>
        <v>5480907241</v>
      </c>
      <c r="BC1785" s="846">
        <f t="shared" si="300"/>
        <v>0.13227454409418757</v>
      </c>
      <c r="BD1785" s="129">
        <f>VLOOKUP($D1785,'WB Data 2'!$C$2:$K$545,6,FALSE)</f>
        <v>29761875410.518784</v>
      </c>
      <c r="BE1785" s="129">
        <f>IFERROR(VLOOKUP($D1785,UNCTAD!$C$5:$V$529,4,FALSE),"..")</f>
        <v>51063297000</v>
      </c>
      <c r="BF1785" s="846">
        <f t="shared" si="301"/>
        <v>0.58284280802547439</v>
      </c>
      <c r="BG1785" s="117">
        <f>VLOOKUP($D1785,'WB Data'!$C$3:$M$578,5,FALSE)</f>
        <v>393820000</v>
      </c>
      <c r="BH1785" s="129">
        <f>IFERROR($BB1785/$BG1785,"..")</f>
        <v>13.91729023665634</v>
      </c>
      <c r="BI1785" s="117">
        <f>IFERROR(VLOOKUP($D1785,'WB Data'!$C$3:$M$578,7,FALSE)/100,"..")</f>
        <v>2.76046E-2</v>
      </c>
      <c r="BJ1785" s="117">
        <f>IFERROR($BI1785*$AW1785,"..")</f>
        <v>5317432530.3958025</v>
      </c>
      <c r="BK1785" s="846">
        <f>IFERROR($BB1785/$BJ1785,"..")</f>
        <v>1.0307431659301241</v>
      </c>
      <c r="BL1785" s="117">
        <f>IFERROR(VLOOKUP($D1785,'WB Data'!$C$3:$M$578,7,FALSE)/100,"..")</f>
        <v>2.76046E-2</v>
      </c>
      <c r="BM1785" s="117">
        <f>IFERROR($AW1785*$BL1785,"..")</f>
        <v>5317432530.3958025</v>
      </c>
      <c r="BN1785" s="846">
        <f>IFERROR($BB1785/$BM1785,"..")</f>
        <v>1.0307431659301241</v>
      </c>
      <c r="BO1785" s="801">
        <f t="shared" si="297"/>
        <v>38</v>
      </c>
      <c r="BP1785" s="117">
        <f>VLOOKUP($D1785,'WB Data'!$C$3:$M$578,9,FALSE)</f>
        <v>25.8</v>
      </c>
      <c r="BQ1785" s="117">
        <f>VLOOKUP($D1785,'WB Data'!$C$3:$M$578,10,FALSE)</f>
        <v>74.515536585365851</v>
      </c>
      <c r="BR1785" s="117">
        <f>VLOOKUP($D1785,'WB Data'!$C$3:$M$578,11,FALSE)</f>
        <v>13.6</v>
      </c>
      <c r="BS1785" s="129" t="str">
        <f>IFERROR(VLOOKUP($D1785,'WB Data 2'!$C$2:$K$545,9,FALSE),"..")</f>
        <v>..</v>
      </c>
      <c r="BT1785" s="129">
        <f>_xlfn.IFNA(VLOOKUP($C1785,RGI!$A$2:$C$43,2,FALSE),"..")</f>
        <v>76.8</v>
      </c>
      <c r="BU1785" s="129">
        <f>_xlfn.IFNA(VLOOKUP($C1785,RGI!$A$2:$C$43,3,FALSE),"..")</f>
        <v>72.816147461462435</v>
      </c>
      <c r="BV1785" s="129">
        <f>VLOOKUP($D1785,WGI!$C$2:$O$478,7,FALSE)</f>
        <v>6.8806180868862199E-2</v>
      </c>
      <c r="BW1785" s="129">
        <f>VLOOKUP($D1785,WGI!$C$2:$O$478,4,FALSE)</f>
        <v>-0.86195648593669605</v>
      </c>
      <c r="BX1785" s="129">
        <f>VLOOKUP($D1785,WGI!$C$2:$O$478,3,FALSE)</f>
        <v>-0.157626358241128</v>
      </c>
      <c r="BY1785" s="129">
        <f>VLOOKUP($D1785,WGI!$C$2:$O$478,5,FALSE)</f>
        <v>0.48941210864302698</v>
      </c>
      <c r="BZ1785" s="129">
        <f>VLOOKUP($D1785,WGI!$C$2:$O$478,2,FALSE)</f>
        <v>-0.394694258708917</v>
      </c>
      <c r="CB1785" s="129"/>
    </row>
    <row r="1786" spans="1:80" s="120" customFormat="1" ht="15" customHeight="1">
      <c r="A1786" s="407" t="s">
        <v>462</v>
      </c>
      <c r="B1786" s="408">
        <v>2012</v>
      </c>
      <c r="C1786" s="805" t="s">
        <v>449</v>
      </c>
      <c r="D1786" s="117" t="s">
        <v>3745</v>
      </c>
      <c r="E1786" s="409" t="s">
        <v>220</v>
      </c>
      <c r="F1786" s="410"/>
      <c r="G1786" s="621" t="s">
        <v>24</v>
      </c>
      <c r="H1786" s="117" t="str">
        <f t="shared" si="304"/>
        <v>yes</v>
      </c>
      <c r="I1786" s="117" t="str">
        <f t="shared" si="294"/>
        <v>no</v>
      </c>
      <c r="J1786" s="117" t="str">
        <f t="shared" si="295"/>
        <v>no</v>
      </c>
      <c r="K1786" s="410" t="s">
        <v>2031</v>
      </c>
      <c r="L1786" s="117" t="str">
        <f t="shared" si="305"/>
        <v>detailed</v>
      </c>
      <c r="M1786" s="117" t="str">
        <f t="shared" si="296"/>
        <v>detailed Mining</v>
      </c>
      <c r="N1786" s="411">
        <v>0</v>
      </c>
      <c r="O1786" s="411"/>
      <c r="P1786" s="411"/>
      <c r="Q1786" s="411"/>
      <c r="R1786" s="411"/>
      <c r="S1786" s="410" t="s">
        <v>610</v>
      </c>
      <c r="T1786" s="412"/>
      <c r="U1786" s="410"/>
      <c r="V1786" s="410" t="s">
        <v>684</v>
      </c>
      <c r="W1786" s="413">
        <f t="shared" si="307"/>
        <v>0</v>
      </c>
      <c r="X1786" s="410"/>
      <c r="Y1786" s="621"/>
      <c r="Z1786" s="621"/>
      <c r="AA1786" s="413"/>
      <c r="AB1786" s="413"/>
      <c r="AC1786" s="618"/>
      <c r="AD1786" s="618"/>
      <c r="AE1786" s="618"/>
      <c r="AF1786" s="619"/>
      <c r="AG1786" s="621"/>
      <c r="AH1786" s="417"/>
      <c r="AI1786" s="410"/>
      <c r="AJ1786" s="410"/>
      <c r="AK1786" s="413"/>
      <c r="AL1786" s="410"/>
      <c r="AM1786" s="410"/>
      <c r="AN1786" s="410"/>
      <c r="AO1786" s="410"/>
      <c r="AP1786" s="410"/>
      <c r="AQ1786" s="410"/>
      <c r="AR1786" s="410"/>
      <c r="AS1786" s="410"/>
      <c r="AT1786" s="410"/>
      <c r="AU1786" s="410"/>
      <c r="AV1786" s="419"/>
      <c r="AW1786" s="117">
        <f>VLOOKUP($D1786,'WB Data'!$C$3:$M$578,2,FALSE)</f>
        <v>192628494178.35443</v>
      </c>
      <c r="AX1786" s="117">
        <f>VLOOKUP($D1786,'WB Data'!$C$3:$M$578,3,FALSE)</f>
        <v>29987800</v>
      </c>
      <c r="AY1786" s="847">
        <f t="shared" si="298"/>
        <v>2.8453252798234702E-2</v>
      </c>
      <c r="AZ1786" s="117">
        <f>VLOOKUP($D1786,'WB Data'!$C$3:$M$578,4,FALSE)/100</f>
        <v>0.21510754766218843</v>
      </c>
      <c r="BA1786" s="117">
        <f t="shared" si="299"/>
        <v>41435842992.565964</v>
      </c>
      <c r="BB1786" s="129">
        <f>IFERROR(VLOOKUP($D1786,'EITI Revenues'!$C$2:$G$224,5,FALSE),"..")</f>
        <v>5480907241</v>
      </c>
      <c r="BC1786" s="846">
        <f t="shared" si="300"/>
        <v>0.13227454409418757</v>
      </c>
      <c r="BD1786" s="129">
        <f>VLOOKUP($D1786,'WB Data 2'!$C$2:$K$545,6,FALSE)</f>
        <v>29761875410.518784</v>
      </c>
      <c r="BE1786" s="129">
        <f>IFERROR(VLOOKUP($D1786,UNCTAD!$C$5:$V$529,4,FALSE),"..")</f>
        <v>51063297000</v>
      </c>
      <c r="BF1786" s="846">
        <f t="shared" si="301"/>
        <v>0.58284280802547439</v>
      </c>
      <c r="BG1786" s="117">
        <f>VLOOKUP($D1786,'WB Data'!$C$3:$M$578,5,FALSE)</f>
        <v>393820000</v>
      </c>
      <c r="BH1786" s="129">
        <f>IFERROR($BB1786/$BG1786,"..")</f>
        <v>13.91729023665634</v>
      </c>
      <c r="BI1786" s="117">
        <f>IFERROR(VLOOKUP($D1786,'WB Data'!$C$3:$M$578,7,FALSE)/100,"..")</f>
        <v>2.76046E-2</v>
      </c>
      <c r="BJ1786" s="117">
        <f>IFERROR($BI1786*$AW1786,"..")</f>
        <v>5317432530.3958025</v>
      </c>
      <c r="BK1786" s="846">
        <f>IFERROR($BB1786/$BJ1786,"..")</f>
        <v>1.0307431659301241</v>
      </c>
      <c r="BL1786" s="117">
        <f>IFERROR(VLOOKUP($D1786,'WB Data'!$C$3:$M$578,7,FALSE)/100,"..")</f>
        <v>2.76046E-2</v>
      </c>
      <c r="BM1786" s="117">
        <f>IFERROR($AW1786*$BL1786,"..")</f>
        <v>5317432530.3958025</v>
      </c>
      <c r="BN1786" s="846">
        <f>IFERROR($BB1786/$BM1786,"..")</f>
        <v>1.0307431659301241</v>
      </c>
      <c r="BO1786" s="801">
        <f t="shared" si="297"/>
        <v>38</v>
      </c>
      <c r="BP1786" s="117">
        <f>VLOOKUP($D1786,'WB Data'!$C$3:$M$578,9,FALSE)</f>
        <v>25.8</v>
      </c>
      <c r="BQ1786" s="117">
        <f>VLOOKUP($D1786,'WB Data'!$C$3:$M$578,10,FALSE)</f>
        <v>74.515536585365851</v>
      </c>
      <c r="BR1786" s="117">
        <f>VLOOKUP($D1786,'WB Data'!$C$3:$M$578,11,FALSE)</f>
        <v>13.6</v>
      </c>
      <c r="BS1786" s="129" t="str">
        <f>IFERROR(VLOOKUP($D1786,'WB Data 2'!$C$2:$K$545,9,FALSE),"..")</f>
        <v>..</v>
      </c>
      <c r="BT1786" s="129">
        <f>_xlfn.IFNA(VLOOKUP($C1786,RGI!$A$2:$C$43,2,FALSE),"..")</f>
        <v>76.8</v>
      </c>
      <c r="BU1786" s="129">
        <f>_xlfn.IFNA(VLOOKUP($C1786,RGI!$A$2:$C$43,3,FALSE),"..")</f>
        <v>72.816147461462435</v>
      </c>
      <c r="BV1786" s="129">
        <f>VLOOKUP($D1786,WGI!$C$2:$O$478,7,FALSE)</f>
        <v>6.8806180868862199E-2</v>
      </c>
      <c r="BW1786" s="129">
        <f>VLOOKUP($D1786,WGI!$C$2:$O$478,4,FALSE)</f>
        <v>-0.86195648593669605</v>
      </c>
      <c r="BX1786" s="129">
        <f>VLOOKUP($D1786,WGI!$C$2:$O$478,3,FALSE)</f>
        <v>-0.157626358241128</v>
      </c>
      <c r="BY1786" s="129">
        <f>VLOOKUP($D1786,WGI!$C$2:$O$478,5,FALSE)</f>
        <v>0.48941210864302698</v>
      </c>
      <c r="BZ1786" s="129">
        <f>VLOOKUP($D1786,WGI!$C$2:$O$478,2,FALSE)</f>
        <v>-0.394694258708917</v>
      </c>
      <c r="CB1786" s="129"/>
    </row>
    <row r="1787" spans="1:80" s="120" customFormat="1" ht="15" customHeight="1">
      <c r="A1787" s="407" t="s">
        <v>462</v>
      </c>
      <c r="B1787" s="408">
        <v>2012</v>
      </c>
      <c r="C1787" s="805" t="s">
        <v>449</v>
      </c>
      <c r="D1787" s="117" t="s">
        <v>3745</v>
      </c>
      <c r="E1787" s="409" t="s">
        <v>220</v>
      </c>
      <c r="F1787" s="410"/>
      <c r="G1787" s="621" t="s">
        <v>24</v>
      </c>
      <c r="H1787" s="117" t="str">
        <f t="shared" si="304"/>
        <v>yes</v>
      </c>
      <c r="I1787" s="117" t="str">
        <f t="shared" ref="I1787:I1850" si="308">IF($G1787="Gas","yes",IF($G1787="Oil, Gas, Mining","yes",IF($G1787="Gas, Mining","yes",IF($G1787="Oil, Gas","yes",IF($G1787="Oil, Gas, Other","yes","no")))))</f>
        <v>no</v>
      </c>
      <c r="J1787" s="117" t="str">
        <f t="shared" ref="J1787:J1850" si="309">IF($G1787="Oil","yes",IF($G1787="Oil, Gas, Mining","yes",IF($G1787="Oil, Mining","yes",IF($G1787="Oil, Gas","yes",IF($G1787="Oil, Gas, Other","yes","no")))))</f>
        <v>no</v>
      </c>
      <c r="K1787" s="410" t="s">
        <v>2090</v>
      </c>
      <c r="L1787" s="117" t="str">
        <f t="shared" si="305"/>
        <v>detailed</v>
      </c>
      <c r="M1787" s="117" t="str">
        <f t="shared" ref="M1787:M1850" si="310">L1787&amp;" "&amp;G1787</f>
        <v>detailed Mining</v>
      </c>
      <c r="N1787" s="411">
        <v>104072</v>
      </c>
      <c r="O1787" s="411"/>
      <c r="P1787" s="411"/>
      <c r="Q1787" s="411"/>
      <c r="R1787" s="411"/>
      <c r="S1787" s="410" t="s">
        <v>610</v>
      </c>
      <c r="T1787" s="412">
        <v>360</v>
      </c>
      <c r="U1787" s="410" t="s">
        <v>611</v>
      </c>
      <c r="V1787" s="410" t="s">
        <v>2145</v>
      </c>
      <c r="W1787" s="413">
        <f t="shared" si="307"/>
        <v>37465920</v>
      </c>
      <c r="X1787" s="410"/>
      <c r="Y1787" s="621"/>
      <c r="Z1787" s="621"/>
      <c r="AA1787" s="413"/>
      <c r="AB1787" s="413"/>
      <c r="AC1787" s="618"/>
      <c r="AD1787" s="618"/>
      <c r="AE1787" s="618"/>
      <c r="AF1787" s="619"/>
      <c r="AG1787" s="621"/>
      <c r="AH1787" s="417"/>
      <c r="AI1787" s="410"/>
      <c r="AJ1787" s="410"/>
      <c r="AK1787" s="413"/>
      <c r="AL1787" s="410"/>
      <c r="AM1787" s="410"/>
      <c r="AN1787" s="410"/>
      <c r="AO1787" s="410"/>
      <c r="AP1787" s="410"/>
      <c r="AQ1787" s="410"/>
      <c r="AR1787" s="410"/>
      <c r="AS1787" s="410"/>
      <c r="AT1787" s="410"/>
      <c r="AU1787" s="410"/>
      <c r="AV1787" s="419"/>
      <c r="AW1787" s="117">
        <f>VLOOKUP($D1787,'WB Data'!$C$3:$M$578,2,FALSE)</f>
        <v>192628494178.35443</v>
      </c>
      <c r="AX1787" s="117">
        <f>VLOOKUP($D1787,'WB Data'!$C$3:$M$578,3,FALSE)</f>
        <v>29987800</v>
      </c>
      <c r="AY1787" s="847">
        <f t="shared" si="298"/>
        <v>2.8453252798234702E-2</v>
      </c>
      <c r="AZ1787" s="117">
        <f>VLOOKUP($D1787,'WB Data'!$C$3:$M$578,4,FALSE)/100</f>
        <v>0.21510754766218843</v>
      </c>
      <c r="BA1787" s="117">
        <f t="shared" si="299"/>
        <v>41435842992.565964</v>
      </c>
      <c r="BB1787" s="129">
        <f>IFERROR(VLOOKUP($D1787,'EITI Revenues'!$C$2:$G$224,5,FALSE),"..")</f>
        <v>5480907241</v>
      </c>
      <c r="BC1787" s="846">
        <f t="shared" si="300"/>
        <v>0.13227454409418757</v>
      </c>
      <c r="BD1787" s="129">
        <f>VLOOKUP($D1787,'WB Data 2'!$C$2:$K$545,6,FALSE)</f>
        <v>29761875410.518784</v>
      </c>
      <c r="BE1787" s="129">
        <f>IFERROR(VLOOKUP($D1787,UNCTAD!$C$5:$V$529,4,FALSE),"..")</f>
        <v>51063297000</v>
      </c>
      <c r="BF1787" s="846">
        <f t="shared" si="301"/>
        <v>0.58284280802547439</v>
      </c>
      <c r="BG1787" s="117">
        <f>VLOOKUP($D1787,'WB Data'!$C$3:$M$578,5,FALSE)</f>
        <v>393820000</v>
      </c>
      <c r="BH1787" s="129">
        <f>IFERROR($BB1787/$BG1787,"..")</f>
        <v>13.91729023665634</v>
      </c>
      <c r="BI1787" s="117">
        <f>IFERROR(VLOOKUP($D1787,'WB Data'!$C$3:$M$578,7,FALSE)/100,"..")</f>
        <v>2.76046E-2</v>
      </c>
      <c r="BJ1787" s="117">
        <f>IFERROR($BI1787*$AW1787,"..")</f>
        <v>5317432530.3958025</v>
      </c>
      <c r="BK1787" s="846">
        <f>IFERROR($BB1787/$BJ1787,"..")</f>
        <v>1.0307431659301241</v>
      </c>
      <c r="BL1787" s="117">
        <f>IFERROR(VLOOKUP($D1787,'WB Data'!$C$3:$M$578,7,FALSE)/100,"..")</f>
        <v>2.76046E-2</v>
      </c>
      <c r="BM1787" s="117">
        <f>IFERROR($AW1787*$BL1787,"..")</f>
        <v>5317432530.3958025</v>
      </c>
      <c r="BN1787" s="846">
        <f>IFERROR($BB1787/$BM1787,"..")</f>
        <v>1.0307431659301241</v>
      </c>
      <c r="BO1787" s="801">
        <f t="shared" si="297"/>
        <v>38</v>
      </c>
      <c r="BP1787" s="117">
        <f>VLOOKUP($D1787,'WB Data'!$C$3:$M$578,9,FALSE)</f>
        <v>25.8</v>
      </c>
      <c r="BQ1787" s="117">
        <f>VLOOKUP($D1787,'WB Data'!$C$3:$M$578,10,FALSE)</f>
        <v>74.515536585365851</v>
      </c>
      <c r="BR1787" s="117">
        <f>VLOOKUP($D1787,'WB Data'!$C$3:$M$578,11,FALSE)</f>
        <v>13.6</v>
      </c>
      <c r="BS1787" s="129" t="str">
        <f>IFERROR(VLOOKUP($D1787,'WB Data 2'!$C$2:$K$545,9,FALSE),"..")</f>
        <v>..</v>
      </c>
      <c r="BT1787" s="129">
        <f>_xlfn.IFNA(VLOOKUP($C1787,RGI!$A$2:$C$43,2,FALSE),"..")</f>
        <v>76.8</v>
      </c>
      <c r="BU1787" s="129">
        <f>_xlfn.IFNA(VLOOKUP($C1787,RGI!$A$2:$C$43,3,FALSE),"..")</f>
        <v>72.816147461462435</v>
      </c>
      <c r="BV1787" s="129">
        <f>VLOOKUP($D1787,WGI!$C$2:$O$478,7,FALSE)</f>
        <v>6.8806180868862199E-2</v>
      </c>
      <c r="BW1787" s="129">
        <f>VLOOKUP($D1787,WGI!$C$2:$O$478,4,FALSE)</f>
        <v>-0.86195648593669605</v>
      </c>
      <c r="BX1787" s="129">
        <f>VLOOKUP($D1787,WGI!$C$2:$O$478,3,FALSE)</f>
        <v>-0.157626358241128</v>
      </c>
      <c r="BY1787" s="129">
        <f>VLOOKUP($D1787,WGI!$C$2:$O$478,5,FALSE)</f>
        <v>0.48941210864302698</v>
      </c>
      <c r="BZ1787" s="129">
        <f>VLOOKUP($D1787,WGI!$C$2:$O$478,2,FALSE)</f>
        <v>-0.394694258708917</v>
      </c>
      <c r="CB1787" s="129"/>
    </row>
    <row r="1788" spans="1:80" s="120" customFormat="1" ht="15" customHeight="1">
      <c r="A1788" s="407" t="s">
        <v>462</v>
      </c>
      <c r="B1788" s="408">
        <v>2012</v>
      </c>
      <c r="C1788" s="805" t="s">
        <v>449</v>
      </c>
      <c r="D1788" s="117" t="s">
        <v>3745</v>
      </c>
      <c r="E1788" s="409" t="s">
        <v>220</v>
      </c>
      <c r="F1788" s="410"/>
      <c r="G1788" s="621" t="s">
        <v>24</v>
      </c>
      <c r="H1788" s="117" t="str">
        <f t="shared" si="304"/>
        <v>yes</v>
      </c>
      <c r="I1788" s="117" t="str">
        <f t="shared" si="308"/>
        <v>no</v>
      </c>
      <c r="J1788" s="117" t="str">
        <f t="shared" si="309"/>
        <v>no</v>
      </c>
      <c r="K1788" s="410" t="s">
        <v>2091</v>
      </c>
      <c r="L1788" s="117" t="str">
        <f t="shared" si="305"/>
        <v>detailed</v>
      </c>
      <c r="M1788" s="117" t="str">
        <f t="shared" si="310"/>
        <v>detailed Mining</v>
      </c>
      <c r="N1788" s="411">
        <v>684</v>
      </c>
      <c r="O1788" s="411"/>
      <c r="P1788" s="411"/>
      <c r="Q1788" s="411"/>
      <c r="R1788" s="411"/>
      <c r="S1788" s="410" t="s">
        <v>610</v>
      </c>
      <c r="T1788" s="412">
        <f>0.92/0.000453592</f>
        <v>2028.2544665690755</v>
      </c>
      <c r="U1788" s="621" t="s">
        <v>611</v>
      </c>
      <c r="V1788" s="410" t="s">
        <v>2146</v>
      </c>
      <c r="W1788" s="413">
        <f t="shared" si="307"/>
        <v>1387326.0551332475</v>
      </c>
      <c r="X1788" s="410"/>
      <c r="Y1788" s="621"/>
      <c r="Z1788" s="621"/>
      <c r="AA1788" s="413"/>
      <c r="AB1788" s="413"/>
      <c r="AC1788" s="618"/>
      <c r="AD1788" s="618"/>
      <c r="AE1788" s="618"/>
      <c r="AF1788" s="619"/>
      <c r="AG1788" s="621"/>
      <c r="AH1788" s="417"/>
      <c r="AI1788" s="410"/>
      <c r="AJ1788" s="410"/>
      <c r="AK1788" s="413"/>
      <c r="AL1788" s="410"/>
      <c r="AM1788" s="410"/>
      <c r="AN1788" s="410"/>
      <c r="AO1788" s="410"/>
      <c r="AP1788" s="410"/>
      <c r="AQ1788" s="410"/>
      <c r="AR1788" s="410"/>
      <c r="AS1788" s="410"/>
      <c r="AT1788" s="410"/>
      <c r="AU1788" s="410"/>
      <c r="AV1788" s="419"/>
      <c r="AW1788" s="117">
        <f>VLOOKUP($D1788,'WB Data'!$C$3:$M$578,2,FALSE)</f>
        <v>192628494178.35443</v>
      </c>
      <c r="AX1788" s="117">
        <f>VLOOKUP($D1788,'WB Data'!$C$3:$M$578,3,FALSE)</f>
        <v>29987800</v>
      </c>
      <c r="AY1788" s="847">
        <f t="shared" si="298"/>
        <v>2.8453252798234702E-2</v>
      </c>
      <c r="AZ1788" s="117">
        <f>VLOOKUP($D1788,'WB Data'!$C$3:$M$578,4,FALSE)/100</f>
        <v>0.21510754766218843</v>
      </c>
      <c r="BA1788" s="117">
        <f t="shared" si="299"/>
        <v>41435842992.565964</v>
      </c>
      <c r="BB1788" s="129">
        <f>IFERROR(VLOOKUP($D1788,'EITI Revenues'!$C$2:$G$224,5,FALSE),"..")</f>
        <v>5480907241</v>
      </c>
      <c r="BC1788" s="846">
        <f t="shared" si="300"/>
        <v>0.13227454409418757</v>
      </c>
      <c r="BD1788" s="129">
        <f>VLOOKUP($D1788,'WB Data 2'!$C$2:$K$545,6,FALSE)</f>
        <v>29761875410.518784</v>
      </c>
      <c r="BE1788" s="129">
        <f>IFERROR(VLOOKUP($D1788,UNCTAD!$C$5:$V$529,4,FALSE),"..")</f>
        <v>51063297000</v>
      </c>
      <c r="BF1788" s="846">
        <f t="shared" si="301"/>
        <v>0.58284280802547439</v>
      </c>
      <c r="BG1788" s="117">
        <f>VLOOKUP($D1788,'WB Data'!$C$3:$M$578,5,FALSE)</f>
        <v>393820000</v>
      </c>
      <c r="BH1788" s="129">
        <f>IFERROR($BB1788/$BG1788,"..")</f>
        <v>13.91729023665634</v>
      </c>
      <c r="BI1788" s="117">
        <f>IFERROR(VLOOKUP($D1788,'WB Data'!$C$3:$M$578,7,FALSE)/100,"..")</f>
        <v>2.76046E-2</v>
      </c>
      <c r="BJ1788" s="117">
        <f>IFERROR($BI1788*$AW1788,"..")</f>
        <v>5317432530.3958025</v>
      </c>
      <c r="BK1788" s="846">
        <f>IFERROR($BB1788/$BJ1788,"..")</f>
        <v>1.0307431659301241</v>
      </c>
      <c r="BL1788" s="117">
        <f>IFERROR(VLOOKUP($D1788,'WB Data'!$C$3:$M$578,7,FALSE)/100,"..")</f>
        <v>2.76046E-2</v>
      </c>
      <c r="BM1788" s="117">
        <f>IFERROR($AW1788*$BL1788,"..")</f>
        <v>5317432530.3958025</v>
      </c>
      <c r="BN1788" s="846">
        <f>IFERROR($BB1788/$BM1788,"..")</f>
        <v>1.0307431659301241</v>
      </c>
      <c r="BO1788" s="801">
        <f t="shared" si="297"/>
        <v>38</v>
      </c>
      <c r="BP1788" s="117">
        <f>VLOOKUP($D1788,'WB Data'!$C$3:$M$578,9,FALSE)</f>
        <v>25.8</v>
      </c>
      <c r="BQ1788" s="117">
        <f>VLOOKUP($D1788,'WB Data'!$C$3:$M$578,10,FALSE)</f>
        <v>74.515536585365851</v>
      </c>
      <c r="BR1788" s="117">
        <f>VLOOKUP($D1788,'WB Data'!$C$3:$M$578,11,FALSE)</f>
        <v>13.6</v>
      </c>
      <c r="BS1788" s="129" t="str">
        <f>IFERROR(VLOOKUP($D1788,'WB Data 2'!$C$2:$K$545,9,FALSE),"..")</f>
        <v>..</v>
      </c>
      <c r="BT1788" s="129">
        <f>_xlfn.IFNA(VLOOKUP($C1788,RGI!$A$2:$C$43,2,FALSE),"..")</f>
        <v>76.8</v>
      </c>
      <c r="BU1788" s="129">
        <f>_xlfn.IFNA(VLOOKUP($C1788,RGI!$A$2:$C$43,3,FALSE),"..")</f>
        <v>72.816147461462435</v>
      </c>
      <c r="BV1788" s="129">
        <f>VLOOKUP($D1788,WGI!$C$2:$O$478,7,FALSE)</f>
        <v>6.8806180868862199E-2</v>
      </c>
      <c r="BW1788" s="129">
        <f>VLOOKUP($D1788,WGI!$C$2:$O$478,4,FALSE)</f>
        <v>-0.86195648593669605</v>
      </c>
      <c r="BX1788" s="129">
        <f>VLOOKUP($D1788,WGI!$C$2:$O$478,3,FALSE)</f>
        <v>-0.157626358241128</v>
      </c>
      <c r="BY1788" s="129">
        <f>VLOOKUP($D1788,WGI!$C$2:$O$478,5,FALSE)</f>
        <v>0.48941210864302698</v>
      </c>
      <c r="BZ1788" s="129">
        <f>VLOOKUP($D1788,WGI!$C$2:$O$478,2,FALSE)</f>
        <v>-0.394694258708917</v>
      </c>
      <c r="CB1788" s="129"/>
    </row>
    <row r="1789" spans="1:80" s="120" customFormat="1" ht="15" customHeight="1">
      <c r="A1789" s="407" t="s">
        <v>462</v>
      </c>
      <c r="B1789" s="408">
        <v>2012</v>
      </c>
      <c r="C1789" s="805" t="s">
        <v>449</v>
      </c>
      <c r="D1789" s="117" t="s">
        <v>3745</v>
      </c>
      <c r="E1789" s="409" t="s">
        <v>220</v>
      </c>
      <c r="F1789" s="410"/>
      <c r="G1789" s="621" t="s">
        <v>24</v>
      </c>
      <c r="H1789" s="117" t="str">
        <f t="shared" si="304"/>
        <v>yes</v>
      </c>
      <c r="I1789" s="117" t="str">
        <f t="shared" si="308"/>
        <v>no</v>
      </c>
      <c r="J1789" s="117" t="str">
        <f t="shared" si="309"/>
        <v>no</v>
      </c>
      <c r="K1789" s="410" t="s">
        <v>609</v>
      </c>
      <c r="L1789" s="117" t="str">
        <f t="shared" si="305"/>
        <v>detailed</v>
      </c>
      <c r="M1789" s="117" t="str">
        <f t="shared" si="310"/>
        <v>detailed Mining</v>
      </c>
      <c r="N1789" s="411">
        <v>8100000</v>
      </c>
      <c r="O1789" s="411"/>
      <c r="P1789" s="411"/>
      <c r="Q1789" s="411"/>
      <c r="R1789" s="411"/>
      <c r="S1789" s="410" t="s">
        <v>610</v>
      </c>
      <c r="T1789" s="412">
        <v>89.5</v>
      </c>
      <c r="U1789" s="410" t="s">
        <v>611</v>
      </c>
      <c r="V1789" s="410" t="s">
        <v>1217</v>
      </c>
      <c r="W1789" s="413">
        <f t="shared" si="307"/>
        <v>724950000</v>
      </c>
      <c r="X1789" s="410"/>
      <c r="Y1789" s="621"/>
      <c r="Z1789" s="621"/>
      <c r="AA1789" s="413"/>
      <c r="AB1789" s="413"/>
      <c r="AC1789" s="618"/>
      <c r="AD1789" s="618"/>
      <c r="AE1789" s="618"/>
      <c r="AF1789" s="619"/>
      <c r="AG1789" s="621"/>
      <c r="AH1789" s="417"/>
      <c r="AI1789" s="410"/>
      <c r="AJ1789" s="410"/>
      <c r="AK1789" s="413"/>
      <c r="AL1789" s="410"/>
      <c r="AM1789" s="410"/>
      <c r="AN1789" s="410"/>
      <c r="AO1789" s="410"/>
      <c r="AP1789" s="410"/>
      <c r="AQ1789" s="410"/>
      <c r="AR1789" s="410"/>
      <c r="AS1789" s="410"/>
      <c r="AT1789" s="410"/>
      <c r="AU1789" s="410"/>
      <c r="AV1789" s="419"/>
      <c r="AW1789" s="117">
        <f>VLOOKUP($D1789,'WB Data'!$C$3:$M$578,2,FALSE)</f>
        <v>192628494178.35443</v>
      </c>
      <c r="AX1789" s="117">
        <f>VLOOKUP($D1789,'WB Data'!$C$3:$M$578,3,FALSE)</f>
        <v>29987800</v>
      </c>
      <c r="AY1789" s="847">
        <f t="shared" si="298"/>
        <v>2.8453252798234702E-2</v>
      </c>
      <c r="AZ1789" s="117">
        <f>VLOOKUP($D1789,'WB Data'!$C$3:$M$578,4,FALSE)/100</f>
        <v>0.21510754766218843</v>
      </c>
      <c r="BA1789" s="117">
        <f t="shared" si="299"/>
        <v>41435842992.565964</v>
      </c>
      <c r="BB1789" s="129">
        <f>IFERROR(VLOOKUP($D1789,'EITI Revenues'!$C$2:$G$224,5,FALSE),"..")</f>
        <v>5480907241</v>
      </c>
      <c r="BC1789" s="846">
        <f t="shared" si="300"/>
        <v>0.13227454409418757</v>
      </c>
      <c r="BD1789" s="129">
        <f>VLOOKUP($D1789,'WB Data 2'!$C$2:$K$545,6,FALSE)</f>
        <v>29761875410.518784</v>
      </c>
      <c r="BE1789" s="129">
        <f>IFERROR(VLOOKUP($D1789,UNCTAD!$C$5:$V$529,4,FALSE),"..")</f>
        <v>51063297000</v>
      </c>
      <c r="BF1789" s="846">
        <f t="shared" si="301"/>
        <v>0.58284280802547439</v>
      </c>
      <c r="BG1789" s="117">
        <f>VLOOKUP($D1789,'WB Data'!$C$3:$M$578,5,FALSE)</f>
        <v>393820000</v>
      </c>
      <c r="BH1789" s="129">
        <f>IFERROR($BB1789/$BG1789,"..")</f>
        <v>13.91729023665634</v>
      </c>
      <c r="BI1789" s="117">
        <f>IFERROR(VLOOKUP($D1789,'WB Data'!$C$3:$M$578,7,FALSE)/100,"..")</f>
        <v>2.76046E-2</v>
      </c>
      <c r="BJ1789" s="117">
        <f>IFERROR($BI1789*$AW1789,"..")</f>
        <v>5317432530.3958025</v>
      </c>
      <c r="BK1789" s="846">
        <f>IFERROR($BB1789/$BJ1789,"..")</f>
        <v>1.0307431659301241</v>
      </c>
      <c r="BL1789" s="117">
        <f>IFERROR(VLOOKUP($D1789,'WB Data'!$C$3:$M$578,7,FALSE)/100,"..")</f>
        <v>2.76046E-2</v>
      </c>
      <c r="BM1789" s="117">
        <f>IFERROR($AW1789*$BL1789,"..")</f>
        <v>5317432530.3958025</v>
      </c>
      <c r="BN1789" s="846">
        <f>IFERROR($BB1789/$BM1789,"..")</f>
        <v>1.0307431659301241</v>
      </c>
      <c r="BO1789" s="801">
        <f t="shared" si="297"/>
        <v>38</v>
      </c>
      <c r="BP1789" s="117">
        <f>VLOOKUP($D1789,'WB Data'!$C$3:$M$578,9,FALSE)</f>
        <v>25.8</v>
      </c>
      <c r="BQ1789" s="117">
        <f>VLOOKUP($D1789,'WB Data'!$C$3:$M$578,10,FALSE)</f>
        <v>74.515536585365851</v>
      </c>
      <c r="BR1789" s="117">
        <f>VLOOKUP($D1789,'WB Data'!$C$3:$M$578,11,FALSE)</f>
        <v>13.6</v>
      </c>
      <c r="BS1789" s="129" t="str">
        <f>IFERROR(VLOOKUP($D1789,'WB Data 2'!$C$2:$K$545,9,FALSE),"..")</f>
        <v>..</v>
      </c>
      <c r="BT1789" s="129">
        <f>_xlfn.IFNA(VLOOKUP($C1789,RGI!$A$2:$C$43,2,FALSE),"..")</f>
        <v>76.8</v>
      </c>
      <c r="BU1789" s="129">
        <f>_xlfn.IFNA(VLOOKUP($C1789,RGI!$A$2:$C$43,3,FALSE),"..")</f>
        <v>72.816147461462435</v>
      </c>
      <c r="BV1789" s="129">
        <f>VLOOKUP($D1789,WGI!$C$2:$O$478,7,FALSE)</f>
        <v>6.8806180868862199E-2</v>
      </c>
      <c r="BW1789" s="129">
        <f>VLOOKUP($D1789,WGI!$C$2:$O$478,4,FALSE)</f>
        <v>-0.86195648593669605</v>
      </c>
      <c r="BX1789" s="129">
        <f>VLOOKUP($D1789,WGI!$C$2:$O$478,3,FALSE)</f>
        <v>-0.157626358241128</v>
      </c>
      <c r="BY1789" s="129">
        <f>VLOOKUP($D1789,WGI!$C$2:$O$478,5,FALSE)</f>
        <v>0.48941210864302698</v>
      </c>
      <c r="BZ1789" s="129">
        <f>VLOOKUP($D1789,WGI!$C$2:$O$478,2,FALSE)</f>
        <v>-0.394694258708917</v>
      </c>
      <c r="CB1789" s="129"/>
    </row>
    <row r="1790" spans="1:80" s="120" customFormat="1" ht="15" customHeight="1">
      <c r="A1790" s="407" t="s">
        <v>462</v>
      </c>
      <c r="B1790" s="408">
        <v>2012</v>
      </c>
      <c r="C1790" s="805" t="s">
        <v>449</v>
      </c>
      <c r="D1790" s="117" t="s">
        <v>3745</v>
      </c>
      <c r="E1790" s="409" t="s">
        <v>220</v>
      </c>
      <c r="F1790" s="410"/>
      <c r="G1790" s="621" t="s">
        <v>24</v>
      </c>
      <c r="H1790" s="117" t="str">
        <f t="shared" si="304"/>
        <v>yes</v>
      </c>
      <c r="I1790" s="117" t="str">
        <f t="shared" si="308"/>
        <v>no</v>
      </c>
      <c r="J1790" s="117" t="str">
        <f t="shared" si="309"/>
        <v>no</v>
      </c>
      <c r="K1790" s="410" t="s">
        <v>2092</v>
      </c>
      <c r="L1790" s="117" t="str">
        <f t="shared" si="305"/>
        <v>detailed</v>
      </c>
      <c r="M1790" s="117" t="str">
        <f t="shared" si="310"/>
        <v>detailed Mining</v>
      </c>
      <c r="N1790" s="411">
        <v>321711</v>
      </c>
      <c r="O1790" s="411"/>
      <c r="P1790" s="411"/>
      <c r="Q1790" s="411"/>
      <c r="R1790" s="411"/>
      <c r="S1790" s="410" t="s">
        <v>610</v>
      </c>
      <c r="T1790" s="412"/>
      <c r="U1790" s="410"/>
      <c r="V1790" s="410" t="s">
        <v>684</v>
      </c>
      <c r="W1790" s="413"/>
      <c r="X1790" s="410"/>
      <c r="Y1790" s="621"/>
      <c r="Z1790" s="621"/>
      <c r="AA1790" s="413"/>
      <c r="AB1790" s="413"/>
      <c r="AC1790" s="618"/>
      <c r="AD1790" s="618"/>
      <c r="AE1790" s="618"/>
      <c r="AF1790" s="619"/>
      <c r="AG1790" s="621"/>
      <c r="AH1790" s="417"/>
      <c r="AI1790" s="410"/>
      <c r="AJ1790" s="410"/>
      <c r="AK1790" s="413"/>
      <c r="AL1790" s="410"/>
      <c r="AM1790" s="410"/>
      <c r="AN1790" s="410"/>
      <c r="AO1790" s="410"/>
      <c r="AP1790" s="410"/>
      <c r="AQ1790" s="410"/>
      <c r="AR1790" s="410"/>
      <c r="AS1790" s="410"/>
      <c r="AT1790" s="410"/>
      <c r="AU1790" s="410"/>
      <c r="AV1790" s="419"/>
      <c r="AW1790" s="117">
        <f>VLOOKUP($D1790,'WB Data'!$C$3:$M$578,2,FALSE)</f>
        <v>192628494178.35443</v>
      </c>
      <c r="AX1790" s="117">
        <f>VLOOKUP($D1790,'WB Data'!$C$3:$M$578,3,FALSE)</f>
        <v>29987800</v>
      </c>
      <c r="AY1790" s="847">
        <f t="shared" si="298"/>
        <v>2.8453252798234702E-2</v>
      </c>
      <c r="AZ1790" s="117">
        <f>VLOOKUP($D1790,'WB Data'!$C$3:$M$578,4,FALSE)/100</f>
        <v>0.21510754766218843</v>
      </c>
      <c r="BA1790" s="117">
        <f t="shared" si="299"/>
        <v>41435842992.565964</v>
      </c>
      <c r="BB1790" s="129">
        <f>IFERROR(VLOOKUP($D1790,'EITI Revenues'!$C$2:$G$224,5,FALSE),"..")</f>
        <v>5480907241</v>
      </c>
      <c r="BC1790" s="846">
        <f t="shared" si="300"/>
        <v>0.13227454409418757</v>
      </c>
      <c r="BD1790" s="129">
        <f>VLOOKUP($D1790,'WB Data 2'!$C$2:$K$545,6,FALSE)</f>
        <v>29761875410.518784</v>
      </c>
      <c r="BE1790" s="129">
        <f>IFERROR(VLOOKUP($D1790,UNCTAD!$C$5:$V$529,4,FALSE),"..")</f>
        <v>51063297000</v>
      </c>
      <c r="BF1790" s="846">
        <f t="shared" si="301"/>
        <v>0.58284280802547439</v>
      </c>
      <c r="BG1790" s="117">
        <f>VLOOKUP($D1790,'WB Data'!$C$3:$M$578,5,FALSE)</f>
        <v>393820000</v>
      </c>
      <c r="BH1790" s="129">
        <f>IFERROR($BB1790/$BG1790,"..")</f>
        <v>13.91729023665634</v>
      </c>
      <c r="BI1790" s="117">
        <f>IFERROR(VLOOKUP($D1790,'WB Data'!$C$3:$M$578,7,FALSE)/100,"..")</f>
        <v>2.76046E-2</v>
      </c>
      <c r="BJ1790" s="117">
        <f>IFERROR($BI1790*$AW1790,"..")</f>
        <v>5317432530.3958025</v>
      </c>
      <c r="BK1790" s="846">
        <f>IFERROR($BB1790/$BJ1790,"..")</f>
        <v>1.0307431659301241</v>
      </c>
      <c r="BL1790" s="117">
        <f>IFERROR(VLOOKUP($D1790,'WB Data'!$C$3:$M$578,7,FALSE)/100,"..")</f>
        <v>2.76046E-2</v>
      </c>
      <c r="BM1790" s="117">
        <f>IFERROR($AW1790*$BL1790,"..")</f>
        <v>5317432530.3958025</v>
      </c>
      <c r="BN1790" s="846">
        <f>IFERROR($BB1790/$BM1790,"..")</f>
        <v>1.0307431659301241</v>
      </c>
      <c r="BO1790" s="801">
        <f t="shared" si="297"/>
        <v>38</v>
      </c>
      <c r="BP1790" s="117">
        <f>VLOOKUP($D1790,'WB Data'!$C$3:$M$578,9,FALSE)</f>
        <v>25.8</v>
      </c>
      <c r="BQ1790" s="117">
        <f>VLOOKUP($D1790,'WB Data'!$C$3:$M$578,10,FALSE)</f>
        <v>74.515536585365851</v>
      </c>
      <c r="BR1790" s="117">
        <f>VLOOKUP($D1790,'WB Data'!$C$3:$M$578,11,FALSE)</f>
        <v>13.6</v>
      </c>
      <c r="BS1790" s="129" t="str">
        <f>IFERROR(VLOOKUP($D1790,'WB Data 2'!$C$2:$K$545,9,FALSE),"..")</f>
        <v>..</v>
      </c>
      <c r="BT1790" s="129">
        <f>_xlfn.IFNA(VLOOKUP($C1790,RGI!$A$2:$C$43,2,FALSE),"..")</f>
        <v>76.8</v>
      </c>
      <c r="BU1790" s="129">
        <f>_xlfn.IFNA(VLOOKUP($C1790,RGI!$A$2:$C$43,3,FALSE),"..")</f>
        <v>72.816147461462435</v>
      </c>
      <c r="BV1790" s="129">
        <f>VLOOKUP($D1790,WGI!$C$2:$O$478,7,FALSE)</f>
        <v>6.8806180868862199E-2</v>
      </c>
      <c r="BW1790" s="129">
        <f>VLOOKUP($D1790,WGI!$C$2:$O$478,4,FALSE)</f>
        <v>-0.86195648593669605</v>
      </c>
      <c r="BX1790" s="129">
        <f>VLOOKUP($D1790,WGI!$C$2:$O$478,3,FALSE)</f>
        <v>-0.157626358241128</v>
      </c>
      <c r="BY1790" s="129">
        <f>VLOOKUP($D1790,WGI!$C$2:$O$478,5,FALSE)</f>
        <v>0.48941210864302698</v>
      </c>
      <c r="BZ1790" s="129">
        <f>VLOOKUP($D1790,WGI!$C$2:$O$478,2,FALSE)</f>
        <v>-0.394694258708917</v>
      </c>
      <c r="CB1790" s="129"/>
    </row>
    <row r="1791" spans="1:80" s="120" customFormat="1" ht="15" customHeight="1">
      <c r="A1791" s="407" t="s">
        <v>462</v>
      </c>
      <c r="B1791" s="408">
        <v>2012</v>
      </c>
      <c r="C1791" s="805" t="s">
        <v>449</v>
      </c>
      <c r="D1791" s="117" t="s">
        <v>3745</v>
      </c>
      <c r="E1791" s="409" t="s">
        <v>220</v>
      </c>
      <c r="F1791" s="410"/>
      <c r="G1791" s="621" t="s">
        <v>24</v>
      </c>
      <c r="H1791" s="117" t="str">
        <f t="shared" si="304"/>
        <v>yes</v>
      </c>
      <c r="I1791" s="117" t="str">
        <f t="shared" si="308"/>
        <v>no</v>
      </c>
      <c r="J1791" s="117" t="str">
        <f t="shared" si="309"/>
        <v>no</v>
      </c>
      <c r="K1791" s="410" t="s">
        <v>616</v>
      </c>
      <c r="L1791" s="117" t="str">
        <f t="shared" si="305"/>
        <v>detailed</v>
      </c>
      <c r="M1791" s="117" t="str">
        <f t="shared" si="310"/>
        <v>detailed Mining</v>
      </c>
      <c r="N1791" s="411">
        <v>226358</v>
      </c>
      <c r="O1791" s="411"/>
      <c r="P1791" s="411"/>
      <c r="Q1791" s="411"/>
      <c r="R1791" s="411"/>
      <c r="S1791" s="410" t="s">
        <v>610</v>
      </c>
      <c r="T1791" s="412">
        <v>90.020556297186616</v>
      </c>
      <c r="U1791" s="410" t="s">
        <v>611</v>
      </c>
      <c r="V1791" s="410" t="s">
        <v>2147</v>
      </c>
      <c r="W1791" s="413">
        <f>N1791*T1791</f>
        <v>20376873.082318567</v>
      </c>
      <c r="X1791" s="410"/>
      <c r="Y1791" s="621"/>
      <c r="Z1791" s="621"/>
      <c r="AA1791" s="413"/>
      <c r="AB1791" s="413"/>
      <c r="AC1791" s="618"/>
      <c r="AD1791" s="618"/>
      <c r="AE1791" s="618"/>
      <c r="AF1791" s="619"/>
      <c r="AG1791" s="621"/>
      <c r="AH1791" s="417"/>
      <c r="AI1791" s="410"/>
      <c r="AJ1791" s="410"/>
      <c r="AK1791" s="413"/>
      <c r="AL1791" s="410"/>
      <c r="AM1791" s="410"/>
      <c r="AN1791" s="410"/>
      <c r="AO1791" s="410"/>
      <c r="AP1791" s="410"/>
      <c r="AQ1791" s="410"/>
      <c r="AR1791" s="410"/>
      <c r="AS1791" s="410"/>
      <c r="AT1791" s="410"/>
      <c r="AU1791" s="410"/>
      <c r="AV1791" s="419"/>
      <c r="AW1791" s="117">
        <f>VLOOKUP($D1791,'WB Data'!$C$3:$M$578,2,FALSE)</f>
        <v>192628494178.35443</v>
      </c>
      <c r="AX1791" s="117">
        <f>VLOOKUP($D1791,'WB Data'!$C$3:$M$578,3,FALSE)</f>
        <v>29987800</v>
      </c>
      <c r="AY1791" s="847">
        <f t="shared" si="298"/>
        <v>2.8453252798234702E-2</v>
      </c>
      <c r="AZ1791" s="117">
        <f>VLOOKUP($D1791,'WB Data'!$C$3:$M$578,4,FALSE)/100</f>
        <v>0.21510754766218843</v>
      </c>
      <c r="BA1791" s="117">
        <f t="shared" si="299"/>
        <v>41435842992.565964</v>
      </c>
      <c r="BB1791" s="129">
        <f>IFERROR(VLOOKUP($D1791,'EITI Revenues'!$C$2:$G$224,5,FALSE),"..")</f>
        <v>5480907241</v>
      </c>
      <c r="BC1791" s="846">
        <f t="shared" si="300"/>
        <v>0.13227454409418757</v>
      </c>
      <c r="BD1791" s="129">
        <f>VLOOKUP($D1791,'WB Data 2'!$C$2:$K$545,6,FALSE)</f>
        <v>29761875410.518784</v>
      </c>
      <c r="BE1791" s="129">
        <f>IFERROR(VLOOKUP($D1791,UNCTAD!$C$5:$V$529,4,FALSE),"..")</f>
        <v>51063297000</v>
      </c>
      <c r="BF1791" s="846">
        <f t="shared" si="301"/>
        <v>0.58284280802547439</v>
      </c>
      <c r="BG1791" s="117">
        <f>VLOOKUP($D1791,'WB Data'!$C$3:$M$578,5,FALSE)</f>
        <v>393820000</v>
      </c>
      <c r="BH1791" s="129">
        <f>IFERROR($BB1791/$BG1791,"..")</f>
        <v>13.91729023665634</v>
      </c>
      <c r="BI1791" s="117">
        <f>IFERROR(VLOOKUP($D1791,'WB Data'!$C$3:$M$578,7,FALSE)/100,"..")</f>
        <v>2.76046E-2</v>
      </c>
      <c r="BJ1791" s="117">
        <f>IFERROR($BI1791*$AW1791,"..")</f>
        <v>5317432530.3958025</v>
      </c>
      <c r="BK1791" s="846">
        <f>IFERROR($BB1791/$BJ1791,"..")</f>
        <v>1.0307431659301241</v>
      </c>
      <c r="BL1791" s="117">
        <f>IFERROR(VLOOKUP($D1791,'WB Data'!$C$3:$M$578,7,FALSE)/100,"..")</f>
        <v>2.76046E-2</v>
      </c>
      <c r="BM1791" s="117">
        <f>IFERROR($AW1791*$BL1791,"..")</f>
        <v>5317432530.3958025</v>
      </c>
      <c r="BN1791" s="846">
        <f>IFERROR($BB1791/$BM1791,"..")</f>
        <v>1.0307431659301241</v>
      </c>
      <c r="BO1791" s="801">
        <f t="shared" si="297"/>
        <v>38</v>
      </c>
      <c r="BP1791" s="117">
        <f>VLOOKUP($D1791,'WB Data'!$C$3:$M$578,9,FALSE)</f>
        <v>25.8</v>
      </c>
      <c r="BQ1791" s="117">
        <f>VLOOKUP($D1791,'WB Data'!$C$3:$M$578,10,FALSE)</f>
        <v>74.515536585365851</v>
      </c>
      <c r="BR1791" s="117">
        <f>VLOOKUP($D1791,'WB Data'!$C$3:$M$578,11,FALSE)</f>
        <v>13.6</v>
      </c>
      <c r="BS1791" s="129" t="str">
        <f>IFERROR(VLOOKUP($D1791,'WB Data 2'!$C$2:$K$545,9,FALSE),"..")</f>
        <v>..</v>
      </c>
      <c r="BT1791" s="129">
        <f>_xlfn.IFNA(VLOOKUP($C1791,RGI!$A$2:$C$43,2,FALSE),"..")</f>
        <v>76.8</v>
      </c>
      <c r="BU1791" s="129">
        <f>_xlfn.IFNA(VLOOKUP($C1791,RGI!$A$2:$C$43,3,FALSE),"..")</f>
        <v>72.816147461462435</v>
      </c>
      <c r="BV1791" s="129">
        <f>VLOOKUP($D1791,WGI!$C$2:$O$478,7,FALSE)</f>
        <v>6.8806180868862199E-2</v>
      </c>
      <c r="BW1791" s="129">
        <f>VLOOKUP($D1791,WGI!$C$2:$O$478,4,FALSE)</f>
        <v>-0.86195648593669605</v>
      </c>
      <c r="BX1791" s="129">
        <f>VLOOKUP($D1791,WGI!$C$2:$O$478,3,FALSE)</f>
        <v>-0.157626358241128</v>
      </c>
      <c r="BY1791" s="129">
        <f>VLOOKUP($D1791,WGI!$C$2:$O$478,5,FALSE)</f>
        <v>0.48941210864302698</v>
      </c>
      <c r="BZ1791" s="129">
        <f>VLOOKUP($D1791,WGI!$C$2:$O$478,2,FALSE)</f>
        <v>-0.394694258708917</v>
      </c>
      <c r="CB1791" s="129"/>
    </row>
    <row r="1792" spans="1:80" s="120" customFormat="1" ht="15" customHeight="1">
      <c r="A1792" s="407" t="s">
        <v>462</v>
      </c>
      <c r="B1792" s="408">
        <v>2012</v>
      </c>
      <c r="C1792" s="805" t="s">
        <v>449</v>
      </c>
      <c r="D1792" s="117" t="s">
        <v>3745</v>
      </c>
      <c r="E1792" s="409" t="s">
        <v>220</v>
      </c>
      <c r="F1792" s="410"/>
      <c r="G1792" s="621" t="s">
        <v>24</v>
      </c>
      <c r="H1792" s="117" t="str">
        <f t="shared" si="304"/>
        <v>yes</v>
      </c>
      <c r="I1792" s="117" t="str">
        <f t="shared" si="308"/>
        <v>no</v>
      </c>
      <c r="J1792" s="117" t="str">
        <f t="shared" si="309"/>
        <v>no</v>
      </c>
      <c r="K1792" s="410" t="s">
        <v>2093</v>
      </c>
      <c r="L1792" s="117" t="str">
        <f t="shared" si="305"/>
        <v>detailed</v>
      </c>
      <c r="M1792" s="117" t="str">
        <f t="shared" si="310"/>
        <v>detailed Mining</v>
      </c>
      <c r="N1792" s="411">
        <v>1098267</v>
      </c>
      <c r="O1792" s="411"/>
      <c r="P1792" s="411"/>
      <c r="Q1792" s="411"/>
      <c r="R1792" s="411"/>
      <c r="S1792" s="410" t="s">
        <v>610</v>
      </c>
      <c r="T1792" s="412">
        <v>10</v>
      </c>
      <c r="U1792" s="410" t="s">
        <v>611</v>
      </c>
      <c r="V1792" s="410" t="s">
        <v>2148</v>
      </c>
      <c r="W1792" s="413">
        <f>N1792*T1792</f>
        <v>10982670</v>
      </c>
      <c r="X1792" s="410"/>
      <c r="Y1792" s="621"/>
      <c r="Z1792" s="621"/>
      <c r="AA1792" s="413"/>
      <c r="AB1792" s="413"/>
      <c r="AC1792" s="618"/>
      <c r="AD1792" s="618"/>
      <c r="AE1792" s="618"/>
      <c r="AF1792" s="619"/>
      <c r="AG1792" s="621"/>
      <c r="AH1792" s="417"/>
      <c r="AI1792" s="410"/>
      <c r="AJ1792" s="410"/>
      <c r="AK1792" s="413"/>
      <c r="AL1792" s="410"/>
      <c r="AM1792" s="410"/>
      <c r="AN1792" s="410"/>
      <c r="AO1792" s="410"/>
      <c r="AP1792" s="410"/>
      <c r="AQ1792" s="410"/>
      <c r="AR1792" s="410"/>
      <c r="AS1792" s="410"/>
      <c r="AT1792" s="410"/>
      <c r="AU1792" s="410"/>
      <c r="AV1792" s="419"/>
      <c r="AW1792" s="117">
        <f>VLOOKUP($D1792,'WB Data'!$C$3:$M$578,2,FALSE)</f>
        <v>192628494178.35443</v>
      </c>
      <c r="AX1792" s="117">
        <f>VLOOKUP($D1792,'WB Data'!$C$3:$M$578,3,FALSE)</f>
        <v>29987800</v>
      </c>
      <c r="AY1792" s="847">
        <f t="shared" si="298"/>
        <v>2.8453252798234702E-2</v>
      </c>
      <c r="AZ1792" s="117">
        <f>VLOOKUP($D1792,'WB Data'!$C$3:$M$578,4,FALSE)/100</f>
        <v>0.21510754766218843</v>
      </c>
      <c r="BA1792" s="117">
        <f t="shared" si="299"/>
        <v>41435842992.565964</v>
      </c>
      <c r="BB1792" s="129">
        <f>IFERROR(VLOOKUP($D1792,'EITI Revenues'!$C$2:$G$224,5,FALSE),"..")</f>
        <v>5480907241</v>
      </c>
      <c r="BC1792" s="846">
        <f t="shared" si="300"/>
        <v>0.13227454409418757</v>
      </c>
      <c r="BD1792" s="129">
        <f>VLOOKUP($D1792,'WB Data 2'!$C$2:$K$545,6,FALSE)</f>
        <v>29761875410.518784</v>
      </c>
      <c r="BE1792" s="129">
        <f>IFERROR(VLOOKUP($D1792,UNCTAD!$C$5:$V$529,4,FALSE),"..")</f>
        <v>51063297000</v>
      </c>
      <c r="BF1792" s="846">
        <f t="shared" si="301"/>
        <v>0.58284280802547439</v>
      </c>
      <c r="BG1792" s="117">
        <f>VLOOKUP($D1792,'WB Data'!$C$3:$M$578,5,FALSE)</f>
        <v>393820000</v>
      </c>
      <c r="BH1792" s="129">
        <f>IFERROR($BB1792/$BG1792,"..")</f>
        <v>13.91729023665634</v>
      </c>
      <c r="BI1792" s="117">
        <f>IFERROR(VLOOKUP($D1792,'WB Data'!$C$3:$M$578,7,FALSE)/100,"..")</f>
        <v>2.76046E-2</v>
      </c>
      <c r="BJ1792" s="117">
        <f>IFERROR($BI1792*$AW1792,"..")</f>
        <v>5317432530.3958025</v>
      </c>
      <c r="BK1792" s="846">
        <f>IFERROR($BB1792/$BJ1792,"..")</f>
        <v>1.0307431659301241</v>
      </c>
      <c r="BL1792" s="117">
        <f>IFERROR(VLOOKUP($D1792,'WB Data'!$C$3:$M$578,7,FALSE)/100,"..")</f>
        <v>2.76046E-2</v>
      </c>
      <c r="BM1792" s="117">
        <f>IFERROR($AW1792*$BL1792,"..")</f>
        <v>5317432530.3958025</v>
      </c>
      <c r="BN1792" s="846">
        <f>IFERROR($BB1792/$BM1792,"..")</f>
        <v>1.0307431659301241</v>
      </c>
      <c r="BO1792" s="801">
        <f t="shared" si="297"/>
        <v>38</v>
      </c>
      <c r="BP1792" s="117">
        <f>VLOOKUP($D1792,'WB Data'!$C$3:$M$578,9,FALSE)</f>
        <v>25.8</v>
      </c>
      <c r="BQ1792" s="117">
        <f>VLOOKUP($D1792,'WB Data'!$C$3:$M$578,10,FALSE)</f>
        <v>74.515536585365851</v>
      </c>
      <c r="BR1792" s="117">
        <f>VLOOKUP($D1792,'WB Data'!$C$3:$M$578,11,FALSE)</f>
        <v>13.6</v>
      </c>
      <c r="BS1792" s="129" t="str">
        <f>IFERROR(VLOOKUP($D1792,'WB Data 2'!$C$2:$K$545,9,FALSE),"..")</f>
        <v>..</v>
      </c>
      <c r="BT1792" s="129">
        <f>_xlfn.IFNA(VLOOKUP($C1792,RGI!$A$2:$C$43,2,FALSE),"..")</f>
        <v>76.8</v>
      </c>
      <c r="BU1792" s="129">
        <f>_xlfn.IFNA(VLOOKUP($C1792,RGI!$A$2:$C$43,3,FALSE),"..")</f>
        <v>72.816147461462435</v>
      </c>
      <c r="BV1792" s="129">
        <f>VLOOKUP($D1792,WGI!$C$2:$O$478,7,FALSE)</f>
        <v>6.8806180868862199E-2</v>
      </c>
      <c r="BW1792" s="129">
        <f>VLOOKUP($D1792,WGI!$C$2:$O$478,4,FALSE)</f>
        <v>-0.86195648593669605</v>
      </c>
      <c r="BX1792" s="129">
        <f>VLOOKUP($D1792,WGI!$C$2:$O$478,3,FALSE)</f>
        <v>-0.157626358241128</v>
      </c>
      <c r="BY1792" s="129">
        <f>VLOOKUP($D1792,WGI!$C$2:$O$478,5,FALSE)</f>
        <v>0.48941210864302698</v>
      </c>
      <c r="BZ1792" s="129">
        <f>VLOOKUP($D1792,WGI!$C$2:$O$478,2,FALSE)</f>
        <v>-0.394694258708917</v>
      </c>
      <c r="CB1792" s="129"/>
    </row>
    <row r="1793" spans="1:80" s="120" customFormat="1" ht="15" customHeight="1">
      <c r="A1793" s="407" t="s">
        <v>462</v>
      </c>
      <c r="B1793" s="408">
        <v>2012</v>
      </c>
      <c r="C1793" s="805" t="s">
        <v>449</v>
      </c>
      <c r="D1793" s="117" t="s">
        <v>3745</v>
      </c>
      <c r="E1793" s="409" t="s">
        <v>220</v>
      </c>
      <c r="F1793" s="410"/>
      <c r="G1793" s="621" t="s">
        <v>24</v>
      </c>
      <c r="H1793" s="117" t="str">
        <f t="shared" si="304"/>
        <v>yes</v>
      </c>
      <c r="I1793" s="117" t="str">
        <f t="shared" si="308"/>
        <v>no</v>
      </c>
      <c r="J1793" s="117" t="str">
        <f t="shared" si="309"/>
        <v>no</v>
      </c>
      <c r="K1793" s="410" t="s">
        <v>619</v>
      </c>
      <c r="L1793" s="117" t="str">
        <f t="shared" si="305"/>
        <v>detailed</v>
      </c>
      <c r="M1793" s="117" t="str">
        <f t="shared" si="310"/>
        <v>detailed Mining</v>
      </c>
      <c r="N1793" s="411"/>
      <c r="O1793" s="411"/>
      <c r="P1793" s="411"/>
      <c r="Q1793" s="411"/>
      <c r="R1793" s="411"/>
      <c r="S1793" s="410"/>
      <c r="T1793" s="622">
        <v>7962.3470628192699</v>
      </c>
      <c r="U1793" s="410" t="s">
        <v>611</v>
      </c>
      <c r="V1793" s="410" t="s">
        <v>681</v>
      </c>
      <c r="W1793" s="413">
        <f>SUM(N1795:N1796)*T1793</f>
        <v>4787074527.0258245</v>
      </c>
      <c r="X1793" s="410"/>
      <c r="Y1793" s="623"/>
      <c r="Z1793" s="623"/>
      <c r="AA1793" s="413"/>
      <c r="AB1793" s="413"/>
      <c r="AC1793" s="624"/>
      <c r="AD1793" s="624"/>
      <c r="AE1793" s="624"/>
      <c r="AF1793" s="625"/>
      <c r="AG1793" s="623"/>
      <c r="AH1793" s="417"/>
      <c r="AI1793" s="410"/>
      <c r="AJ1793" s="410"/>
      <c r="AK1793" s="413"/>
      <c r="AL1793" s="410"/>
      <c r="AM1793" s="410"/>
      <c r="AN1793" s="410"/>
      <c r="AO1793" s="410"/>
      <c r="AP1793" s="410"/>
      <c r="AQ1793" s="410"/>
      <c r="AR1793" s="410"/>
      <c r="AS1793" s="410"/>
      <c r="AT1793" s="410"/>
      <c r="AU1793" s="410"/>
      <c r="AV1793" s="419"/>
      <c r="AW1793" s="117">
        <f>VLOOKUP($D1793,'WB Data'!$C$3:$M$578,2,FALSE)</f>
        <v>192628494178.35443</v>
      </c>
      <c r="AX1793" s="117">
        <f>VLOOKUP($D1793,'WB Data'!$C$3:$M$578,3,FALSE)</f>
        <v>29987800</v>
      </c>
      <c r="AY1793" s="847">
        <f t="shared" si="298"/>
        <v>2.8453252798234702E-2</v>
      </c>
      <c r="AZ1793" s="117">
        <f>VLOOKUP($D1793,'WB Data'!$C$3:$M$578,4,FALSE)/100</f>
        <v>0.21510754766218843</v>
      </c>
      <c r="BA1793" s="117">
        <f t="shared" si="299"/>
        <v>41435842992.565964</v>
      </c>
      <c r="BB1793" s="129">
        <f>IFERROR(VLOOKUP($D1793,'EITI Revenues'!$C$2:$G$224,5,FALSE),"..")</f>
        <v>5480907241</v>
      </c>
      <c r="BC1793" s="846">
        <f t="shared" si="300"/>
        <v>0.13227454409418757</v>
      </c>
      <c r="BD1793" s="129">
        <f>VLOOKUP($D1793,'WB Data 2'!$C$2:$K$545,6,FALSE)</f>
        <v>29761875410.518784</v>
      </c>
      <c r="BE1793" s="129">
        <f>IFERROR(VLOOKUP($D1793,UNCTAD!$C$5:$V$529,4,FALSE),"..")</f>
        <v>51063297000</v>
      </c>
      <c r="BF1793" s="846">
        <f t="shared" si="301"/>
        <v>0.58284280802547439</v>
      </c>
      <c r="BG1793" s="117">
        <f>VLOOKUP($D1793,'WB Data'!$C$3:$M$578,5,FALSE)</f>
        <v>393820000</v>
      </c>
      <c r="BH1793" s="129">
        <f>IFERROR($BB1793/$BG1793,"..")</f>
        <v>13.91729023665634</v>
      </c>
      <c r="BI1793" s="117">
        <f>IFERROR(VLOOKUP($D1793,'WB Data'!$C$3:$M$578,7,FALSE)/100,"..")</f>
        <v>2.76046E-2</v>
      </c>
      <c r="BJ1793" s="117">
        <f>IFERROR($BI1793*$AW1793,"..")</f>
        <v>5317432530.3958025</v>
      </c>
      <c r="BK1793" s="846">
        <f>IFERROR($BB1793/$BJ1793,"..")</f>
        <v>1.0307431659301241</v>
      </c>
      <c r="BL1793" s="117">
        <f>IFERROR(VLOOKUP($D1793,'WB Data'!$C$3:$M$578,7,FALSE)/100,"..")</f>
        <v>2.76046E-2</v>
      </c>
      <c r="BM1793" s="117">
        <f>IFERROR($AW1793*$BL1793,"..")</f>
        <v>5317432530.3958025</v>
      </c>
      <c r="BN1793" s="846">
        <f>IFERROR($BB1793/$BM1793,"..")</f>
        <v>1.0307431659301241</v>
      </c>
      <c r="BO1793" s="801">
        <f t="shared" si="297"/>
        <v>38</v>
      </c>
      <c r="BP1793" s="117">
        <f>VLOOKUP($D1793,'WB Data'!$C$3:$M$578,9,FALSE)</f>
        <v>25.8</v>
      </c>
      <c r="BQ1793" s="117">
        <f>VLOOKUP($D1793,'WB Data'!$C$3:$M$578,10,FALSE)</f>
        <v>74.515536585365851</v>
      </c>
      <c r="BR1793" s="117">
        <f>VLOOKUP($D1793,'WB Data'!$C$3:$M$578,11,FALSE)</f>
        <v>13.6</v>
      </c>
      <c r="BS1793" s="129" t="str">
        <f>IFERROR(VLOOKUP($D1793,'WB Data 2'!$C$2:$K$545,9,FALSE),"..")</f>
        <v>..</v>
      </c>
      <c r="BT1793" s="129">
        <f>_xlfn.IFNA(VLOOKUP($C1793,RGI!$A$2:$C$43,2,FALSE),"..")</f>
        <v>76.8</v>
      </c>
      <c r="BU1793" s="129">
        <f>_xlfn.IFNA(VLOOKUP($C1793,RGI!$A$2:$C$43,3,FALSE),"..")</f>
        <v>72.816147461462435</v>
      </c>
      <c r="BV1793" s="129">
        <f>VLOOKUP($D1793,WGI!$C$2:$O$478,7,FALSE)</f>
        <v>6.8806180868862199E-2</v>
      </c>
      <c r="BW1793" s="129">
        <f>VLOOKUP($D1793,WGI!$C$2:$O$478,4,FALSE)</f>
        <v>-0.86195648593669605</v>
      </c>
      <c r="BX1793" s="129">
        <f>VLOOKUP($D1793,WGI!$C$2:$O$478,3,FALSE)</f>
        <v>-0.157626358241128</v>
      </c>
      <c r="BY1793" s="129">
        <f>VLOOKUP($D1793,WGI!$C$2:$O$478,5,FALSE)</f>
        <v>0.48941210864302698</v>
      </c>
      <c r="BZ1793" s="129">
        <f>VLOOKUP($D1793,WGI!$C$2:$O$478,2,FALSE)</f>
        <v>-0.394694258708917</v>
      </c>
      <c r="CB1793" s="129"/>
    </row>
    <row r="1794" spans="1:80" s="120" customFormat="1" ht="15" customHeight="1">
      <c r="A1794" s="407" t="s">
        <v>462</v>
      </c>
      <c r="B1794" s="408">
        <v>2012</v>
      </c>
      <c r="C1794" s="805" t="s">
        <v>449</v>
      </c>
      <c r="D1794" s="117" t="s">
        <v>3745</v>
      </c>
      <c r="E1794" s="409" t="s">
        <v>220</v>
      </c>
      <c r="F1794" s="410"/>
      <c r="G1794" s="621" t="s">
        <v>24</v>
      </c>
      <c r="H1794" s="117" t="str">
        <f t="shared" si="304"/>
        <v>yes</v>
      </c>
      <c r="I1794" s="117" t="str">
        <f t="shared" si="308"/>
        <v>no</v>
      </c>
      <c r="J1794" s="117" t="str">
        <f t="shared" si="309"/>
        <v>no</v>
      </c>
      <c r="K1794" s="410" t="s">
        <v>1324</v>
      </c>
      <c r="L1794" s="117" t="str">
        <f t="shared" si="305"/>
        <v>detailed</v>
      </c>
      <c r="M1794" s="117" t="str">
        <f t="shared" si="310"/>
        <v>detailed Mining</v>
      </c>
      <c r="N1794" s="411">
        <v>1197530</v>
      </c>
      <c r="O1794" s="411"/>
      <c r="P1794" s="411"/>
      <c r="Q1794" s="411"/>
      <c r="R1794" s="411"/>
      <c r="S1794" s="410" t="s">
        <v>610</v>
      </c>
      <c r="T1794" s="412"/>
      <c r="U1794" s="410"/>
      <c r="V1794" s="410" t="s">
        <v>684</v>
      </c>
      <c r="W1794" s="413"/>
      <c r="X1794" s="410"/>
      <c r="Y1794" s="621"/>
      <c r="Z1794" s="621"/>
      <c r="AA1794" s="413"/>
      <c r="AB1794" s="413"/>
      <c r="AC1794" s="618"/>
      <c r="AD1794" s="618"/>
      <c r="AE1794" s="618"/>
      <c r="AF1794" s="619"/>
      <c r="AG1794" s="621"/>
      <c r="AH1794" s="417"/>
      <c r="AI1794" s="410"/>
      <c r="AJ1794" s="410"/>
      <c r="AK1794" s="413"/>
      <c r="AL1794" s="410"/>
      <c r="AM1794" s="410"/>
      <c r="AN1794" s="410"/>
      <c r="AO1794" s="410"/>
      <c r="AP1794" s="410"/>
      <c r="AQ1794" s="410"/>
      <c r="AR1794" s="410"/>
      <c r="AS1794" s="410"/>
      <c r="AT1794" s="410"/>
      <c r="AU1794" s="410"/>
      <c r="AV1794" s="419"/>
      <c r="AW1794" s="117">
        <f>VLOOKUP($D1794,'WB Data'!$C$3:$M$578,2,FALSE)</f>
        <v>192628494178.35443</v>
      </c>
      <c r="AX1794" s="117">
        <f>VLOOKUP($D1794,'WB Data'!$C$3:$M$578,3,FALSE)</f>
        <v>29987800</v>
      </c>
      <c r="AY1794" s="847">
        <f t="shared" si="298"/>
        <v>2.8453252798234702E-2</v>
      </c>
      <c r="AZ1794" s="117">
        <f>VLOOKUP($D1794,'WB Data'!$C$3:$M$578,4,FALSE)/100</f>
        <v>0.21510754766218843</v>
      </c>
      <c r="BA1794" s="117">
        <f t="shared" si="299"/>
        <v>41435842992.565964</v>
      </c>
      <c r="BB1794" s="129">
        <f>IFERROR(VLOOKUP($D1794,'EITI Revenues'!$C$2:$G$224,5,FALSE),"..")</f>
        <v>5480907241</v>
      </c>
      <c r="BC1794" s="846">
        <f t="shared" si="300"/>
        <v>0.13227454409418757</v>
      </c>
      <c r="BD1794" s="129">
        <f>VLOOKUP($D1794,'WB Data 2'!$C$2:$K$545,6,FALSE)</f>
        <v>29761875410.518784</v>
      </c>
      <c r="BE1794" s="129">
        <f>IFERROR(VLOOKUP($D1794,UNCTAD!$C$5:$V$529,4,FALSE),"..")</f>
        <v>51063297000</v>
      </c>
      <c r="BF1794" s="846">
        <f t="shared" si="301"/>
        <v>0.58284280802547439</v>
      </c>
      <c r="BG1794" s="117">
        <f>VLOOKUP($D1794,'WB Data'!$C$3:$M$578,5,FALSE)</f>
        <v>393820000</v>
      </c>
      <c r="BH1794" s="129">
        <f>IFERROR($BB1794/$BG1794,"..")</f>
        <v>13.91729023665634</v>
      </c>
      <c r="BI1794" s="117">
        <f>IFERROR(VLOOKUP($D1794,'WB Data'!$C$3:$M$578,7,FALSE)/100,"..")</f>
        <v>2.76046E-2</v>
      </c>
      <c r="BJ1794" s="117">
        <f>IFERROR($BI1794*$AW1794,"..")</f>
        <v>5317432530.3958025</v>
      </c>
      <c r="BK1794" s="846">
        <f>IFERROR($BB1794/$BJ1794,"..")</f>
        <v>1.0307431659301241</v>
      </c>
      <c r="BL1794" s="117">
        <f>IFERROR(VLOOKUP($D1794,'WB Data'!$C$3:$M$578,7,FALSE)/100,"..")</f>
        <v>2.76046E-2</v>
      </c>
      <c r="BM1794" s="117">
        <f>IFERROR($AW1794*$BL1794,"..")</f>
        <v>5317432530.3958025</v>
      </c>
      <c r="BN1794" s="846">
        <f>IFERROR($BB1794/$BM1794,"..")</f>
        <v>1.0307431659301241</v>
      </c>
      <c r="BO1794" s="801">
        <f t="shared" ref="BO1794:BO1857" si="311">_xlfn.IFNA(VLOOKUP($C1794,CPI_2013,2,FALSE),"..")</f>
        <v>38</v>
      </c>
      <c r="BP1794" s="117">
        <f>VLOOKUP($D1794,'WB Data'!$C$3:$M$578,9,FALSE)</f>
        <v>25.8</v>
      </c>
      <c r="BQ1794" s="117">
        <f>VLOOKUP($D1794,'WB Data'!$C$3:$M$578,10,FALSE)</f>
        <v>74.515536585365851</v>
      </c>
      <c r="BR1794" s="117">
        <f>VLOOKUP($D1794,'WB Data'!$C$3:$M$578,11,FALSE)</f>
        <v>13.6</v>
      </c>
      <c r="BS1794" s="129" t="str">
        <f>IFERROR(VLOOKUP($D1794,'WB Data 2'!$C$2:$K$545,9,FALSE),"..")</f>
        <v>..</v>
      </c>
      <c r="BT1794" s="129">
        <f>_xlfn.IFNA(VLOOKUP($C1794,RGI!$A$2:$C$43,2,FALSE),"..")</f>
        <v>76.8</v>
      </c>
      <c r="BU1794" s="129">
        <f>_xlfn.IFNA(VLOOKUP($C1794,RGI!$A$2:$C$43,3,FALSE),"..")</f>
        <v>72.816147461462435</v>
      </c>
      <c r="BV1794" s="129">
        <f>VLOOKUP($D1794,WGI!$C$2:$O$478,7,FALSE)</f>
        <v>6.8806180868862199E-2</v>
      </c>
      <c r="BW1794" s="129">
        <f>VLOOKUP($D1794,WGI!$C$2:$O$478,4,FALSE)</f>
        <v>-0.86195648593669605</v>
      </c>
      <c r="BX1794" s="129">
        <f>VLOOKUP($D1794,WGI!$C$2:$O$478,3,FALSE)</f>
        <v>-0.157626358241128</v>
      </c>
      <c r="BY1794" s="129">
        <f>VLOOKUP($D1794,WGI!$C$2:$O$478,5,FALSE)</f>
        <v>0.48941210864302698</v>
      </c>
      <c r="BZ1794" s="129">
        <f>VLOOKUP($D1794,WGI!$C$2:$O$478,2,FALSE)</f>
        <v>-0.394694258708917</v>
      </c>
      <c r="CB1794" s="129"/>
    </row>
    <row r="1795" spans="1:80" s="120" customFormat="1" ht="15" customHeight="1">
      <c r="A1795" s="407" t="s">
        <v>462</v>
      </c>
      <c r="B1795" s="408">
        <v>2012</v>
      </c>
      <c r="C1795" s="805" t="s">
        <v>449</v>
      </c>
      <c r="D1795" s="117" t="s">
        <v>3745</v>
      </c>
      <c r="E1795" s="409" t="s">
        <v>220</v>
      </c>
      <c r="F1795" s="410"/>
      <c r="G1795" s="621" t="s">
        <v>24</v>
      </c>
      <c r="H1795" s="117" t="str">
        <f t="shared" si="304"/>
        <v>yes</v>
      </c>
      <c r="I1795" s="117" t="str">
        <f t="shared" si="308"/>
        <v>no</v>
      </c>
      <c r="J1795" s="117" t="str">
        <f t="shared" si="309"/>
        <v>no</v>
      </c>
      <c r="K1795" s="410" t="s">
        <v>1421</v>
      </c>
      <c r="L1795" s="117" t="str">
        <f t="shared" si="305"/>
        <v>detailed</v>
      </c>
      <c r="M1795" s="117" t="str">
        <f t="shared" si="310"/>
        <v>detailed Mining</v>
      </c>
      <c r="N1795" s="411">
        <v>290088</v>
      </c>
      <c r="O1795" s="411"/>
      <c r="P1795" s="411"/>
      <c r="Q1795" s="411"/>
      <c r="R1795" s="411"/>
      <c r="S1795" s="410" t="s">
        <v>610</v>
      </c>
      <c r="T1795" s="412"/>
      <c r="U1795" s="410"/>
      <c r="V1795" s="410" t="s">
        <v>684</v>
      </c>
      <c r="W1795" s="413"/>
      <c r="X1795" s="410"/>
      <c r="Y1795" s="621"/>
      <c r="Z1795" s="621"/>
      <c r="AA1795" s="413"/>
      <c r="AB1795" s="413"/>
      <c r="AC1795" s="618"/>
      <c r="AD1795" s="618"/>
      <c r="AE1795" s="618"/>
      <c r="AF1795" s="619"/>
      <c r="AG1795" s="621"/>
      <c r="AH1795" s="417"/>
      <c r="AI1795" s="410"/>
      <c r="AJ1795" s="410"/>
      <c r="AK1795" s="413"/>
      <c r="AL1795" s="410"/>
      <c r="AM1795" s="410"/>
      <c r="AN1795" s="410"/>
      <c r="AO1795" s="410"/>
      <c r="AP1795" s="410"/>
      <c r="AQ1795" s="410"/>
      <c r="AR1795" s="410"/>
      <c r="AS1795" s="410"/>
      <c r="AT1795" s="410"/>
      <c r="AU1795" s="410"/>
      <c r="AV1795" s="419"/>
      <c r="AW1795" s="117">
        <f>VLOOKUP($D1795,'WB Data'!$C$3:$M$578,2,FALSE)</f>
        <v>192628494178.35443</v>
      </c>
      <c r="AX1795" s="117">
        <f>VLOOKUP($D1795,'WB Data'!$C$3:$M$578,3,FALSE)</f>
        <v>29987800</v>
      </c>
      <c r="AY1795" s="847">
        <f t="shared" ref="AY1795:AY1858" si="312">IFERROR($BB1795/$AW1795,"..")</f>
        <v>2.8453252798234702E-2</v>
      </c>
      <c r="AZ1795" s="117">
        <f>VLOOKUP($D1795,'WB Data'!$C$3:$M$578,4,FALSE)/100</f>
        <v>0.21510754766218843</v>
      </c>
      <c r="BA1795" s="117">
        <f t="shared" ref="BA1795:BA1858" si="313">IFERROR($AW1795*$AZ1795,"..")</f>
        <v>41435842992.565964</v>
      </c>
      <c r="BB1795" s="129">
        <f>IFERROR(VLOOKUP($D1795,'EITI Revenues'!$C$2:$G$224,5,FALSE),"..")</f>
        <v>5480907241</v>
      </c>
      <c r="BC1795" s="846">
        <f t="shared" ref="BC1795:BC1858" si="314">IFERROR($BB1795/$BA1795,"..")</f>
        <v>0.13227454409418757</v>
      </c>
      <c r="BD1795" s="129">
        <f>VLOOKUP($D1795,'WB Data 2'!$C$2:$K$545,6,FALSE)</f>
        <v>29761875410.518784</v>
      </c>
      <c r="BE1795" s="129">
        <f>IFERROR(VLOOKUP($D1795,UNCTAD!$C$5:$V$529,4,FALSE),"..")</f>
        <v>51063297000</v>
      </c>
      <c r="BF1795" s="846">
        <f t="shared" ref="BF1795:BF1858" si="315">IFERROR(($BD1795/$BE1795),"..")</f>
        <v>0.58284280802547439</v>
      </c>
      <c r="BG1795" s="117">
        <f>VLOOKUP($D1795,'WB Data'!$C$3:$M$578,5,FALSE)</f>
        <v>393820000</v>
      </c>
      <c r="BH1795" s="129">
        <f>IFERROR($BB1795/$BG1795,"..")</f>
        <v>13.91729023665634</v>
      </c>
      <c r="BI1795" s="117">
        <f>IFERROR(VLOOKUP($D1795,'WB Data'!$C$3:$M$578,7,FALSE)/100,"..")</f>
        <v>2.76046E-2</v>
      </c>
      <c r="BJ1795" s="117">
        <f>IFERROR($BI1795*$AW1795,"..")</f>
        <v>5317432530.3958025</v>
      </c>
      <c r="BK1795" s="846">
        <f>IFERROR($BB1795/$BJ1795,"..")</f>
        <v>1.0307431659301241</v>
      </c>
      <c r="BL1795" s="117">
        <f>IFERROR(VLOOKUP($D1795,'WB Data'!$C$3:$M$578,7,FALSE)/100,"..")</f>
        <v>2.76046E-2</v>
      </c>
      <c r="BM1795" s="117">
        <f>IFERROR($AW1795*$BL1795,"..")</f>
        <v>5317432530.3958025</v>
      </c>
      <c r="BN1795" s="846">
        <f>IFERROR($BB1795/$BM1795,"..")</f>
        <v>1.0307431659301241</v>
      </c>
      <c r="BO1795" s="801">
        <f t="shared" si="311"/>
        <v>38</v>
      </c>
      <c r="BP1795" s="117">
        <f>VLOOKUP($D1795,'WB Data'!$C$3:$M$578,9,FALSE)</f>
        <v>25.8</v>
      </c>
      <c r="BQ1795" s="117">
        <f>VLOOKUP($D1795,'WB Data'!$C$3:$M$578,10,FALSE)</f>
        <v>74.515536585365851</v>
      </c>
      <c r="BR1795" s="117">
        <f>VLOOKUP($D1795,'WB Data'!$C$3:$M$578,11,FALSE)</f>
        <v>13.6</v>
      </c>
      <c r="BS1795" s="129" t="str">
        <f>IFERROR(VLOOKUP($D1795,'WB Data 2'!$C$2:$K$545,9,FALSE),"..")</f>
        <v>..</v>
      </c>
      <c r="BT1795" s="129">
        <f>_xlfn.IFNA(VLOOKUP($C1795,RGI!$A$2:$C$43,2,FALSE),"..")</f>
        <v>76.8</v>
      </c>
      <c r="BU1795" s="129">
        <f>_xlfn.IFNA(VLOOKUP($C1795,RGI!$A$2:$C$43,3,FALSE),"..")</f>
        <v>72.816147461462435</v>
      </c>
      <c r="BV1795" s="129">
        <f>VLOOKUP($D1795,WGI!$C$2:$O$478,7,FALSE)</f>
        <v>6.8806180868862199E-2</v>
      </c>
      <c r="BW1795" s="129">
        <f>VLOOKUP($D1795,WGI!$C$2:$O$478,4,FALSE)</f>
        <v>-0.86195648593669605</v>
      </c>
      <c r="BX1795" s="129">
        <f>VLOOKUP($D1795,WGI!$C$2:$O$478,3,FALSE)</f>
        <v>-0.157626358241128</v>
      </c>
      <c r="BY1795" s="129">
        <f>VLOOKUP($D1795,WGI!$C$2:$O$478,5,FALSE)</f>
        <v>0.48941210864302698</v>
      </c>
      <c r="BZ1795" s="129">
        <f>VLOOKUP($D1795,WGI!$C$2:$O$478,2,FALSE)</f>
        <v>-0.394694258708917</v>
      </c>
      <c r="CB1795" s="129"/>
    </row>
    <row r="1796" spans="1:80" s="120" customFormat="1" ht="15" customHeight="1">
      <c r="A1796" s="407" t="s">
        <v>462</v>
      </c>
      <c r="B1796" s="408">
        <v>2012</v>
      </c>
      <c r="C1796" s="805" t="s">
        <v>449</v>
      </c>
      <c r="D1796" s="117" t="s">
        <v>3745</v>
      </c>
      <c r="E1796" s="409" t="s">
        <v>220</v>
      </c>
      <c r="F1796" s="410"/>
      <c r="G1796" s="621" t="s">
        <v>24</v>
      </c>
      <c r="H1796" s="117" t="str">
        <f t="shared" si="304"/>
        <v>yes</v>
      </c>
      <c r="I1796" s="117" t="str">
        <f t="shared" si="308"/>
        <v>no</v>
      </c>
      <c r="J1796" s="117" t="str">
        <f t="shared" si="309"/>
        <v>no</v>
      </c>
      <c r="K1796" s="410" t="s">
        <v>1422</v>
      </c>
      <c r="L1796" s="117" t="str">
        <f t="shared" si="305"/>
        <v>detailed</v>
      </c>
      <c r="M1796" s="117" t="str">
        <f t="shared" si="310"/>
        <v>detailed Mining</v>
      </c>
      <c r="N1796" s="411">
        <v>311126</v>
      </c>
      <c r="O1796" s="411"/>
      <c r="P1796" s="411"/>
      <c r="Q1796" s="411"/>
      <c r="R1796" s="411"/>
      <c r="S1796" s="410" t="s">
        <v>610</v>
      </c>
      <c r="T1796" s="412"/>
      <c r="U1796" s="410"/>
      <c r="V1796" s="410" t="s">
        <v>684</v>
      </c>
      <c r="W1796" s="413"/>
      <c r="X1796" s="410"/>
      <c r="Y1796" s="621"/>
      <c r="Z1796" s="621"/>
      <c r="AA1796" s="413"/>
      <c r="AB1796" s="413"/>
      <c r="AC1796" s="618"/>
      <c r="AD1796" s="618"/>
      <c r="AE1796" s="618"/>
      <c r="AF1796" s="619"/>
      <c r="AG1796" s="621"/>
      <c r="AH1796" s="417"/>
      <c r="AI1796" s="410"/>
      <c r="AJ1796" s="410"/>
      <c r="AK1796" s="413"/>
      <c r="AL1796" s="410"/>
      <c r="AM1796" s="410"/>
      <c r="AN1796" s="410"/>
      <c r="AO1796" s="410"/>
      <c r="AP1796" s="410"/>
      <c r="AQ1796" s="410"/>
      <c r="AR1796" s="410"/>
      <c r="AS1796" s="410"/>
      <c r="AT1796" s="410"/>
      <c r="AU1796" s="410"/>
      <c r="AV1796" s="419"/>
      <c r="AW1796" s="117">
        <f>VLOOKUP($D1796,'WB Data'!$C$3:$M$578,2,FALSE)</f>
        <v>192628494178.35443</v>
      </c>
      <c r="AX1796" s="117">
        <f>VLOOKUP($D1796,'WB Data'!$C$3:$M$578,3,FALSE)</f>
        <v>29987800</v>
      </c>
      <c r="AY1796" s="847">
        <f t="shared" si="312"/>
        <v>2.8453252798234702E-2</v>
      </c>
      <c r="AZ1796" s="117">
        <f>VLOOKUP($D1796,'WB Data'!$C$3:$M$578,4,FALSE)/100</f>
        <v>0.21510754766218843</v>
      </c>
      <c r="BA1796" s="117">
        <f t="shared" si="313"/>
        <v>41435842992.565964</v>
      </c>
      <c r="BB1796" s="129">
        <f>IFERROR(VLOOKUP($D1796,'EITI Revenues'!$C$2:$G$224,5,FALSE),"..")</f>
        <v>5480907241</v>
      </c>
      <c r="BC1796" s="846">
        <f t="shared" si="314"/>
        <v>0.13227454409418757</v>
      </c>
      <c r="BD1796" s="129">
        <f>VLOOKUP($D1796,'WB Data 2'!$C$2:$K$545,6,FALSE)</f>
        <v>29761875410.518784</v>
      </c>
      <c r="BE1796" s="129">
        <f>IFERROR(VLOOKUP($D1796,UNCTAD!$C$5:$V$529,4,FALSE),"..")</f>
        <v>51063297000</v>
      </c>
      <c r="BF1796" s="846">
        <f t="shared" si="315"/>
        <v>0.58284280802547439</v>
      </c>
      <c r="BG1796" s="117">
        <f>VLOOKUP($D1796,'WB Data'!$C$3:$M$578,5,FALSE)</f>
        <v>393820000</v>
      </c>
      <c r="BH1796" s="129">
        <f>IFERROR($BB1796/$BG1796,"..")</f>
        <v>13.91729023665634</v>
      </c>
      <c r="BI1796" s="117">
        <f>IFERROR(VLOOKUP($D1796,'WB Data'!$C$3:$M$578,7,FALSE)/100,"..")</f>
        <v>2.76046E-2</v>
      </c>
      <c r="BJ1796" s="117">
        <f>IFERROR($BI1796*$AW1796,"..")</f>
        <v>5317432530.3958025</v>
      </c>
      <c r="BK1796" s="846">
        <f>IFERROR($BB1796/$BJ1796,"..")</f>
        <v>1.0307431659301241</v>
      </c>
      <c r="BL1796" s="117">
        <f>IFERROR(VLOOKUP($D1796,'WB Data'!$C$3:$M$578,7,FALSE)/100,"..")</f>
        <v>2.76046E-2</v>
      </c>
      <c r="BM1796" s="117">
        <f>IFERROR($AW1796*$BL1796,"..")</f>
        <v>5317432530.3958025</v>
      </c>
      <c r="BN1796" s="846">
        <f>IFERROR($BB1796/$BM1796,"..")</f>
        <v>1.0307431659301241</v>
      </c>
      <c r="BO1796" s="801">
        <f t="shared" si="311"/>
        <v>38</v>
      </c>
      <c r="BP1796" s="117">
        <f>VLOOKUP($D1796,'WB Data'!$C$3:$M$578,9,FALSE)</f>
        <v>25.8</v>
      </c>
      <c r="BQ1796" s="117">
        <f>VLOOKUP($D1796,'WB Data'!$C$3:$M$578,10,FALSE)</f>
        <v>74.515536585365851</v>
      </c>
      <c r="BR1796" s="117">
        <f>VLOOKUP($D1796,'WB Data'!$C$3:$M$578,11,FALSE)</f>
        <v>13.6</v>
      </c>
      <c r="BS1796" s="129" t="str">
        <f>IFERROR(VLOOKUP($D1796,'WB Data 2'!$C$2:$K$545,9,FALSE),"..")</f>
        <v>..</v>
      </c>
      <c r="BT1796" s="129">
        <f>_xlfn.IFNA(VLOOKUP($C1796,RGI!$A$2:$C$43,2,FALSE),"..")</f>
        <v>76.8</v>
      </c>
      <c r="BU1796" s="129">
        <f>_xlfn.IFNA(VLOOKUP($C1796,RGI!$A$2:$C$43,3,FALSE),"..")</f>
        <v>72.816147461462435</v>
      </c>
      <c r="BV1796" s="129">
        <f>VLOOKUP($D1796,WGI!$C$2:$O$478,7,FALSE)</f>
        <v>6.8806180868862199E-2</v>
      </c>
      <c r="BW1796" s="129">
        <f>VLOOKUP($D1796,WGI!$C$2:$O$478,4,FALSE)</f>
        <v>-0.86195648593669605</v>
      </c>
      <c r="BX1796" s="129">
        <f>VLOOKUP($D1796,WGI!$C$2:$O$478,3,FALSE)</f>
        <v>-0.157626358241128</v>
      </c>
      <c r="BY1796" s="129">
        <f>VLOOKUP($D1796,WGI!$C$2:$O$478,5,FALSE)</f>
        <v>0.48941210864302698</v>
      </c>
      <c r="BZ1796" s="129">
        <f>VLOOKUP($D1796,WGI!$C$2:$O$478,2,FALSE)</f>
        <v>-0.394694258708917</v>
      </c>
      <c r="CB1796" s="129"/>
    </row>
    <row r="1797" spans="1:80" s="120" customFormat="1" ht="15" customHeight="1">
      <c r="A1797" s="407" t="s">
        <v>462</v>
      </c>
      <c r="B1797" s="408">
        <v>2012</v>
      </c>
      <c r="C1797" s="805" t="s">
        <v>449</v>
      </c>
      <c r="D1797" s="117" t="s">
        <v>3745</v>
      </c>
      <c r="E1797" s="409" t="s">
        <v>220</v>
      </c>
      <c r="F1797" s="410"/>
      <c r="G1797" s="621" t="s">
        <v>24</v>
      </c>
      <c r="H1797" s="117" t="str">
        <f t="shared" si="304"/>
        <v>yes</v>
      </c>
      <c r="I1797" s="117" t="str">
        <f t="shared" si="308"/>
        <v>no</v>
      </c>
      <c r="J1797" s="117" t="str">
        <f t="shared" si="309"/>
        <v>no</v>
      </c>
      <c r="K1797" s="410" t="s">
        <v>2094</v>
      </c>
      <c r="L1797" s="117" t="str">
        <f t="shared" si="305"/>
        <v>detailed</v>
      </c>
      <c r="M1797" s="117" t="str">
        <f t="shared" si="310"/>
        <v>detailed Mining</v>
      </c>
      <c r="N1797" s="411">
        <v>93996</v>
      </c>
      <c r="O1797" s="411"/>
      <c r="P1797" s="411"/>
      <c r="Q1797" s="411"/>
      <c r="R1797" s="411"/>
      <c r="S1797" s="410" t="s">
        <v>610</v>
      </c>
      <c r="T1797" s="412">
        <v>275</v>
      </c>
      <c r="U1797" s="410" t="s">
        <v>611</v>
      </c>
      <c r="V1797" s="410" t="s">
        <v>2149</v>
      </c>
      <c r="W1797" s="413">
        <f t="shared" ref="W1797:W1803" si="316">N1797*T1797</f>
        <v>25848900</v>
      </c>
      <c r="X1797" s="410"/>
      <c r="Y1797" s="621"/>
      <c r="Z1797" s="621"/>
      <c r="AA1797" s="413"/>
      <c r="AB1797" s="413"/>
      <c r="AC1797" s="618"/>
      <c r="AD1797" s="618"/>
      <c r="AE1797" s="618"/>
      <c r="AF1797" s="619"/>
      <c r="AG1797" s="621"/>
      <c r="AH1797" s="417"/>
      <c r="AI1797" s="410"/>
      <c r="AJ1797" s="410"/>
      <c r="AK1797" s="413"/>
      <c r="AL1797" s="410"/>
      <c r="AM1797" s="410"/>
      <c r="AN1797" s="410"/>
      <c r="AO1797" s="410"/>
      <c r="AP1797" s="410"/>
      <c r="AQ1797" s="410"/>
      <c r="AR1797" s="410"/>
      <c r="AS1797" s="410"/>
      <c r="AT1797" s="410"/>
      <c r="AU1797" s="410"/>
      <c r="AV1797" s="419"/>
      <c r="AW1797" s="117">
        <f>VLOOKUP($D1797,'WB Data'!$C$3:$M$578,2,FALSE)</f>
        <v>192628494178.35443</v>
      </c>
      <c r="AX1797" s="117">
        <f>VLOOKUP($D1797,'WB Data'!$C$3:$M$578,3,FALSE)</f>
        <v>29987800</v>
      </c>
      <c r="AY1797" s="847">
        <f t="shared" si="312"/>
        <v>2.8453252798234702E-2</v>
      </c>
      <c r="AZ1797" s="117">
        <f>VLOOKUP($D1797,'WB Data'!$C$3:$M$578,4,FALSE)/100</f>
        <v>0.21510754766218843</v>
      </c>
      <c r="BA1797" s="117">
        <f t="shared" si="313"/>
        <v>41435842992.565964</v>
      </c>
      <c r="BB1797" s="129">
        <f>IFERROR(VLOOKUP($D1797,'EITI Revenues'!$C$2:$G$224,5,FALSE),"..")</f>
        <v>5480907241</v>
      </c>
      <c r="BC1797" s="846">
        <f t="shared" si="314"/>
        <v>0.13227454409418757</v>
      </c>
      <c r="BD1797" s="129">
        <f>VLOOKUP($D1797,'WB Data 2'!$C$2:$K$545,6,FALSE)</f>
        <v>29761875410.518784</v>
      </c>
      <c r="BE1797" s="129">
        <f>IFERROR(VLOOKUP($D1797,UNCTAD!$C$5:$V$529,4,FALSE),"..")</f>
        <v>51063297000</v>
      </c>
      <c r="BF1797" s="846">
        <f t="shared" si="315"/>
        <v>0.58284280802547439</v>
      </c>
      <c r="BG1797" s="117">
        <f>VLOOKUP($D1797,'WB Data'!$C$3:$M$578,5,FALSE)</f>
        <v>393820000</v>
      </c>
      <c r="BH1797" s="129">
        <f>IFERROR($BB1797/$BG1797,"..")</f>
        <v>13.91729023665634</v>
      </c>
      <c r="BI1797" s="117">
        <f>IFERROR(VLOOKUP($D1797,'WB Data'!$C$3:$M$578,7,FALSE)/100,"..")</f>
        <v>2.76046E-2</v>
      </c>
      <c r="BJ1797" s="117">
        <f>IFERROR($BI1797*$AW1797,"..")</f>
        <v>5317432530.3958025</v>
      </c>
      <c r="BK1797" s="846">
        <f>IFERROR($BB1797/$BJ1797,"..")</f>
        <v>1.0307431659301241</v>
      </c>
      <c r="BL1797" s="117">
        <f>IFERROR(VLOOKUP($D1797,'WB Data'!$C$3:$M$578,7,FALSE)/100,"..")</f>
        <v>2.76046E-2</v>
      </c>
      <c r="BM1797" s="117">
        <f>IFERROR($AW1797*$BL1797,"..")</f>
        <v>5317432530.3958025</v>
      </c>
      <c r="BN1797" s="846">
        <f>IFERROR($BB1797/$BM1797,"..")</f>
        <v>1.0307431659301241</v>
      </c>
      <c r="BO1797" s="801">
        <f t="shared" si="311"/>
        <v>38</v>
      </c>
      <c r="BP1797" s="117">
        <f>VLOOKUP($D1797,'WB Data'!$C$3:$M$578,9,FALSE)</f>
        <v>25.8</v>
      </c>
      <c r="BQ1797" s="117">
        <f>VLOOKUP($D1797,'WB Data'!$C$3:$M$578,10,FALSE)</f>
        <v>74.515536585365851</v>
      </c>
      <c r="BR1797" s="117">
        <f>VLOOKUP($D1797,'WB Data'!$C$3:$M$578,11,FALSE)</f>
        <v>13.6</v>
      </c>
      <c r="BS1797" s="129" t="str">
        <f>IFERROR(VLOOKUP($D1797,'WB Data 2'!$C$2:$K$545,9,FALSE),"..")</f>
        <v>..</v>
      </c>
      <c r="BT1797" s="129">
        <f>_xlfn.IFNA(VLOOKUP($C1797,RGI!$A$2:$C$43,2,FALSE),"..")</f>
        <v>76.8</v>
      </c>
      <c r="BU1797" s="129">
        <f>_xlfn.IFNA(VLOOKUP($C1797,RGI!$A$2:$C$43,3,FALSE),"..")</f>
        <v>72.816147461462435</v>
      </c>
      <c r="BV1797" s="129">
        <f>VLOOKUP($D1797,WGI!$C$2:$O$478,7,FALSE)</f>
        <v>6.8806180868862199E-2</v>
      </c>
      <c r="BW1797" s="129">
        <f>VLOOKUP($D1797,WGI!$C$2:$O$478,4,FALSE)</f>
        <v>-0.86195648593669605</v>
      </c>
      <c r="BX1797" s="129">
        <f>VLOOKUP($D1797,WGI!$C$2:$O$478,3,FALSE)</f>
        <v>-0.157626358241128</v>
      </c>
      <c r="BY1797" s="129">
        <f>VLOOKUP($D1797,WGI!$C$2:$O$478,5,FALSE)</f>
        <v>0.48941210864302698</v>
      </c>
      <c r="BZ1797" s="129">
        <f>VLOOKUP($D1797,WGI!$C$2:$O$478,2,FALSE)</f>
        <v>-0.394694258708917</v>
      </c>
      <c r="CB1797" s="129"/>
    </row>
    <row r="1798" spans="1:80" s="120" customFormat="1" ht="15" customHeight="1">
      <c r="A1798" s="407" t="s">
        <v>462</v>
      </c>
      <c r="B1798" s="408">
        <v>2012</v>
      </c>
      <c r="C1798" s="805" t="s">
        <v>449</v>
      </c>
      <c r="D1798" s="117" t="s">
        <v>3745</v>
      </c>
      <c r="E1798" s="409" t="s">
        <v>220</v>
      </c>
      <c r="F1798" s="410"/>
      <c r="G1798" s="621" t="s">
        <v>24</v>
      </c>
      <c r="H1798" s="117" t="str">
        <f t="shared" si="304"/>
        <v>yes</v>
      </c>
      <c r="I1798" s="117" t="str">
        <f t="shared" si="308"/>
        <v>no</v>
      </c>
      <c r="J1798" s="117" t="str">
        <f t="shared" si="309"/>
        <v>no</v>
      </c>
      <c r="K1798" s="410" t="s">
        <v>1220</v>
      </c>
      <c r="L1798" s="117" t="str">
        <f t="shared" si="305"/>
        <v>detailed</v>
      </c>
      <c r="M1798" s="117" t="str">
        <f t="shared" si="310"/>
        <v>detailed Mining</v>
      </c>
      <c r="N1798" s="411">
        <v>26359</v>
      </c>
      <c r="O1798" s="411"/>
      <c r="P1798" s="411"/>
      <c r="Q1798" s="411"/>
      <c r="R1798" s="411"/>
      <c r="S1798" s="410" t="s">
        <v>610</v>
      </c>
      <c r="T1798" s="412">
        <v>68</v>
      </c>
      <c r="U1798" s="410" t="s">
        <v>611</v>
      </c>
      <c r="V1798" s="410" t="s">
        <v>1221</v>
      </c>
      <c r="W1798" s="413">
        <f t="shared" si="316"/>
        <v>1792412</v>
      </c>
      <c r="X1798" s="410"/>
      <c r="Y1798" s="621"/>
      <c r="Z1798" s="621"/>
      <c r="AA1798" s="413"/>
      <c r="AB1798" s="413"/>
      <c r="AC1798" s="618"/>
      <c r="AD1798" s="618"/>
      <c r="AE1798" s="618"/>
      <c r="AF1798" s="619"/>
      <c r="AG1798" s="621"/>
      <c r="AH1798" s="417"/>
      <c r="AI1798" s="410"/>
      <c r="AJ1798" s="410"/>
      <c r="AK1798" s="413"/>
      <c r="AL1798" s="410"/>
      <c r="AM1798" s="410"/>
      <c r="AN1798" s="410"/>
      <c r="AO1798" s="410"/>
      <c r="AP1798" s="410"/>
      <c r="AQ1798" s="410"/>
      <c r="AR1798" s="410"/>
      <c r="AS1798" s="410"/>
      <c r="AT1798" s="410"/>
      <c r="AU1798" s="410"/>
      <c r="AV1798" s="419"/>
      <c r="AW1798" s="117">
        <f>VLOOKUP($D1798,'WB Data'!$C$3:$M$578,2,FALSE)</f>
        <v>192628494178.35443</v>
      </c>
      <c r="AX1798" s="117">
        <f>VLOOKUP($D1798,'WB Data'!$C$3:$M$578,3,FALSE)</f>
        <v>29987800</v>
      </c>
      <c r="AY1798" s="847">
        <f t="shared" si="312"/>
        <v>2.8453252798234702E-2</v>
      </c>
      <c r="AZ1798" s="117">
        <f>VLOOKUP($D1798,'WB Data'!$C$3:$M$578,4,FALSE)/100</f>
        <v>0.21510754766218843</v>
      </c>
      <c r="BA1798" s="117">
        <f t="shared" si="313"/>
        <v>41435842992.565964</v>
      </c>
      <c r="BB1798" s="129">
        <f>IFERROR(VLOOKUP($D1798,'EITI Revenues'!$C$2:$G$224,5,FALSE),"..")</f>
        <v>5480907241</v>
      </c>
      <c r="BC1798" s="846">
        <f t="shared" si="314"/>
        <v>0.13227454409418757</v>
      </c>
      <c r="BD1798" s="129">
        <f>VLOOKUP($D1798,'WB Data 2'!$C$2:$K$545,6,FALSE)</f>
        <v>29761875410.518784</v>
      </c>
      <c r="BE1798" s="129">
        <f>IFERROR(VLOOKUP($D1798,UNCTAD!$C$5:$V$529,4,FALSE),"..")</f>
        <v>51063297000</v>
      </c>
      <c r="BF1798" s="846">
        <f t="shared" si="315"/>
        <v>0.58284280802547439</v>
      </c>
      <c r="BG1798" s="117">
        <f>VLOOKUP($D1798,'WB Data'!$C$3:$M$578,5,FALSE)</f>
        <v>393820000</v>
      </c>
      <c r="BH1798" s="129">
        <f>IFERROR($BB1798/$BG1798,"..")</f>
        <v>13.91729023665634</v>
      </c>
      <c r="BI1798" s="117">
        <f>IFERROR(VLOOKUP($D1798,'WB Data'!$C$3:$M$578,7,FALSE)/100,"..")</f>
        <v>2.76046E-2</v>
      </c>
      <c r="BJ1798" s="117">
        <f>IFERROR($BI1798*$AW1798,"..")</f>
        <v>5317432530.3958025</v>
      </c>
      <c r="BK1798" s="846">
        <f>IFERROR($BB1798/$BJ1798,"..")</f>
        <v>1.0307431659301241</v>
      </c>
      <c r="BL1798" s="117">
        <f>IFERROR(VLOOKUP($D1798,'WB Data'!$C$3:$M$578,7,FALSE)/100,"..")</f>
        <v>2.76046E-2</v>
      </c>
      <c r="BM1798" s="117">
        <f>IFERROR($AW1798*$BL1798,"..")</f>
        <v>5317432530.3958025</v>
      </c>
      <c r="BN1798" s="846">
        <f>IFERROR($BB1798/$BM1798,"..")</f>
        <v>1.0307431659301241</v>
      </c>
      <c r="BO1798" s="801">
        <f t="shared" si="311"/>
        <v>38</v>
      </c>
      <c r="BP1798" s="117">
        <f>VLOOKUP($D1798,'WB Data'!$C$3:$M$578,9,FALSE)</f>
        <v>25.8</v>
      </c>
      <c r="BQ1798" s="117">
        <f>VLOOKUP($D1798,'WB Data'!$C$3:$M$578,10,FALSE)</f>
        <v>74.515536585365851</v>
      </c>
      <c r="BR1798" s="117">
        <f>VLOOKUP($D1798,'WB Data'!$C$3:$M$578,11,FALSE)</f>
        <v>13.6</v>
      </c>
      <c r="BS1798" s="129" t="str">
        <f>IFERROR(VLOOKUP($D1798,'WB Data 2'!$C$2:$K$545,9,FALSE),"..")</f>
        <v>..</v>
      </c>
      <c r="BT1798" s="129">
        <f>_xlfn.IFNA(VLOOKUP($C1798,RGI!$A$2:$C$43,2,FALSE),"..")</f>
        <v>76.8</v>
      </c>
      <c r="BU1798" s="129">
        <f>_xlfn.IFNA(VLOOKUP($C1798,RGI!$A$2:$C$43,3,FALSE),"..")</f>
        <v>72.816147461462435</v>
      </c>
      <c r="BV1798" s="129">
        <f>VLOOKUP($D1798,WGI!$C$2:$O$478,7,FALSE)</f>
        <v>6.8806180868862199E-2</v>
      </c>
      <c r="BW1798" s="129">
        <f>VLOOKUP($D1798,WGI!$C$2:$O$478,4,FALSE)</f>
        <v>-0.86195648593669605</v>
      </c>
      <c r="BX1798" s="129">
        <f>VLOOKUP($D1798,WGI!$C$2:$O$478,3,FALSE)</f>
        <v>-0.157626358241128</v>
      </c>
      <c r="BY1798" s="129">
        <f>VLOOKUP($D1798,WGI!$C$2:$O$478,5,FALSE)</f>
        <v>0.48941210864302698</v>
      </c>
      <c r="BZ1798" s="129">
        <f>VLOOKUP($D1798,WGI!$C$2:$O$478,2,FALSE)</f>
        <v>-0.394694258708917</v>
      </c>
      <c r="CB1798" s="129"/>
    </row>
    <row r="1799" spans="1:80" s="120" customFormat="1" ht="15" customHeight="1">
      <c r="A1799" s="407" t="s">
        <v>462</v>
      </c>
      <c r="B1799" s="408">
        <v>2012</v>
      </c>
      <c r="C1799" s="805" t="s">
        <v>449</v>
      </c>
      <c r="D1799" s="117" t="s">
        <v>3745</v>
      </c>
      <c r="E1799" s="409" t="s">
        <v>220</v>
      </c>
      <c r="F1799" s="410"/>
      <c r="G1799" s="621" t="s">
        <v>24</v>
      </c>
      <c r="H1799" s="117" t="str">
        <f t="shared" si="304"/>
        <v>yes</v>
      </c>
      <c r="I1799" s="117" t="str">
        <f t="shared" si="308"/>
        <v>no</v>
      </c>
      <c r="J1799" s="117" t="str">
        <f t="shared" si="309"/>
        <v>no</v>
      </c>
      <c r="K1799" s="410" t="s">
        <v>784</v>
      </c>
      <c r="L1799" s="117" t="str">
        <f t="shared" si="305"/>
        <v>detailed</v>
      </c>
      <c r="M1799" s="117" t="str">
        <f t="shared" si="310"/>
        <v>detailed Mining</v>
      </c>
      <c r="N1799" s="411">
        <f>161325*32.150743126506</f>
        <v>5186718.6348835807</v>
      </c>
      <c r="O1799" s="411"/>
      <c r="P1799" s="411"/>
      <c r="Q1799" s="411"/>
      <c r="R1799" s="411"/>
      <c r="S1799" s="410" t="s">
        <v>785</v>
      </c>
      <c r="T1799" s="412">
        <v>1669.51766666667</v>
      </c>
      <c r="U1799" s="410" t="s">
        <v>786</v>
      </c>
      <c r="V1799" s="410" t="s">
        <v>787</v>
      </c>
      <c r="W1799" s="413">
        <f t="shared" si="316"/>
        <v>8659318392.967371</v>
      </c>
      <c r="X1799" s="410"/>
      <c r="Y1799" s="621"/>
      <c r="Z1799" s="621"/>
      <c r="AA1799" s="413"/>
      <c r="AB1799" s="413"/>
      <c r="AC1799" s="618"/>
      <c r="AD1799" s="618"/>
      <c r="AE1799" s="618"/>
      <c r="AF1799" s="619"/>
      <c r="AG1799" s="621"/>
      <c r="AH1799" s="417"/>
      <c r="AI1799" s="410"/>
      <c r="AJ1799" s="410"/>
      <c r="AK1799" s="413"/>
      <c r="AL1799" s="410"/>
      <c r="AM1799" s="410"/>
      <c r="AN1799" s="410"/>
      <c r="AO1799" s="410"/>
      <c r="AP1799" s="410"/>
      <c r="AQ1799" s="410"/>
      <c r="AR1799" s="410"/>
      <c r="AS1799" s="410"/>
      <c r="AT1799" s="410"/>
      <c r="AU1799" s="410"/>
      <c r="AV1799" s="419"/>
      <c r="AW1799" s="117">
        <f>VLOOKUP($D1799,'WB Data'!$C$3:$M$578,2,FALSE)</f>
        <v>192628494178.35443</v>
      </c>
      <c r="AX1799" s="117">
        <f>VLOOKUP($D1799,'WB Data'!$C$3:$M$578,3,FALSE)</f>
        <v>29987800</v>
      </c>
      <c r="AY1799" s="847">
        <f t="shared" si="312"/>
        <v>2.8453252798234702E-2</v>
      </c>
      <c r="AZ1799" s="117">
        <f>VLOOKUP($D1799,'WB Data'!$C$3:$M$578,4,FALSE)/100</f>
        <v>0.21510754766218843</v>
      </c>
      <c r="BA1799" s="117">
        <f t="shared" si="313"/>
        <v>41435842992.565964</v>
      </c>
      <c r="BB1799" s="129">
        <f>IFERROR(VLOOKUP($D1799,'EITI Revenues'!$C$2:$G$224,5,FALSE),"..")</f>
        <v>5480907241</v>
      </c>
      <c r="BC1799" s="846">
        <f t="shared" si="314"/>
        <v>0.13227454409418757</v>
      </c>
      <c r="BD1799" s="129">
        <f>VLOOKUP($D1799,'WB Data 2'!$C$2:$K$545,6,FALSE)</f>
        <v>29761875410.518784</v>
      </c>
      <c r="BE1799" s="129">
        <f>IFERROR(VLOOKUP($D1799,UNCTAD!$C$5:$V$529,4,FALSE),"..")</f>
        <v>51063297000</v>
      </c>
      <c r="BF1799" s="846">
        <f t="shared" si="315"/>
        <v>0.58284280802547439</v>
      </c>
      <c r="BG1799" s="117">
        <f>VLOOKUP($D1799,'WB Data'!$C$3:$M$578,5,FALSE)</f>
        <v>393820000</v>
      </c>
      <c r="BH1799" s="129">
        <f>IFERROR($BB1799/$BG1799,"..")</f>
        <v>13.91729023665634</v>
      </c>
      <c r="BI1799" s="117">
        <f>IFERROR(VLOOKUP($D1799,'WB Data'!$C$3:$M$578,7,FALSE)/100,"..")</f>
        <v>2.76046E-2</v>
      </c>
      <c r="BJ1799" s="117">
        <f>IFERROR($BI1799*$AW1799,"..")</f>
        <v>5317432530.3958025</v>
      </c>
      <c r="BK1799" s="846">
        <f>IFERROR($BB1799/$BJ1799,"..")</f>
        <v>1.0307431659301241</v>
      </c>
      <c r="BL1799" s="117">
        <f>IFERROR(VLOOKUP($D1799,'WB Data'!$C$3:$M$578,7,FALSE)/100,"..")</f>
        <v>2.76046E-2</v>
      </c>
      <c r="BM1799" s="117">
        <f>IFERROR($AW1799*$BL1799,"..")</f>
        <v>5317432530.3958025</v>
      </c>
      <c r="BN1799" s="846">
        <f>IFERROR($BB1799/$BM1799,"..")</f>
        <v>1.0307431659301241</v>
      </c>
      <c r="BO1799" s="801">
        <f t="shared" si="311"/>
        <v>38</v>
      </c>
      <c r="BP1799" s="117">
        <f>VLOOKUP($D1799,'WB Data'!$C$3:$M$578,9,FALSE)</f>
        <v>25.8</v>
      </c>
      <c r="BQ1799" s="117">
        <f>VLOOKUP($D1799,'WB Data'!$C$3:$M$578,10,FALSE)</f>
        <v>74.515536585365851</v>
      </c>
      <c r="BR1799" s="117">
        <f>VLOOKUP($D1799,'WB Data'!$C$3:$M$578,11,FALSE)</f>
        <v>13.6</v>
      </c>
      <c r="BS1799" s="129" t="str">
        <f>IFERROR(VLOOKUP($D1799,'WB Data 2'!$C$2:$K$545,9,FALSE),"..")</f>
        <v>..</v>
      </c>
      <c r="BT1799" s="129">
        <f>_xlfn.IFNA(VLOOKUP($C1799,RGI!$A$2:$C$43,2,FALSE),"..")</f>
        <v>76.8</v>
      </c>
      <c r="BU1799" s="129">
        <f>_xlfn.IFNA(VLOOKUP($C1799,RGI!$A$2:$C$43,3,FALSE),"..")</f>
        <v>72.816147461462435</v>
      </c>
      <c r="BV1799" s="129">
        <f>VLOOKUP($D1799,WGI!$C$2:$O$478,7,FALSE)</f>
        <v>6.8806180868862199E-2</v>
      </c>
      <c r="BW1799" s="129">
        <f>VLOOKUP($D1799,WGI!$C$2:$O$478,4,FALSE)</f>
        <v>-0.86195648593669605</v>
      </c>
      <c r="BX1799" s="129">
        <f>VLOOKUP($D1799,WGI!$C$2:$O$478,3,FALSE)</f>
        <v>-0.157626358241128</v>
      </c>
      <c r="BY1799" s="129">
        <f>VLOOKUP($D1799,WGI!$C$2:$O$478,5,FALSE)</f>
        <v>0.48941210864302698</v>
      </c>
      <c r="BZ1799" s="129">
        <f>VLOOKUP($D1799,WGI!$C$2:$O$478,2,FALSE)</f>
        <v>-0.394694258708917</v>
      </c>
      <c r="CB1799" s="129"/>
    </row>
    <row r="1800" spans="1:80" s="120" customFormat="1" ht="15" customHeight="1">
      <c r="A1800" s="407" t="s">
        <v>462</v>
      </c>
      <c r="B1800" s="408">
        <v>2012</v>
      </c>
      <c r="C1800" s="805" t="s">
        <v>449</v>
      </c>
      <c r="D1800" s="117" t="s">
        <v>3745</v>
      </c>
      <c r="E1800" s="409" t="s">
        <v>220</v>
      </c>
      <c r="F1800" s="410"/>
      <c r="G1800" s="621" t="s">
        <v>24</v>
      </c>
      <c r="H1800" s="117" t="str">
        <f t="shared" si="304"/>
        <v>yes</v>
      </c>
      <c r="I1800" s="117" t="str">
        <f t="shared" si="308"/>
        <v>no</v>
      </c>
      <c r="J1800" s="117" t="str">
        <f t="shared" si="309"/>
        <v>no</v>
      </c>
      <c r="K1800" s="410" t="s">
        <v>1226</v>
      </c>
      <c r="L1800" s="117" t="str">
        <f t="shared" si="305"/>
        <v>detailed</v>
      </c>
      <c r="M1800" s="117" t="str">
        <f t="shared" si="310"/>
        <v>detailed Mining</v>
      </c>
      <c r="N1800" s="411">
        <v>345000</v>
      </c>
      <c r="O1800" s="411"/>
      <c r="P1800" s="411"/>
      <c r="Q1800" s="411"/>
      <c r="R1800" s="411"/>
      <c r="S1800" s="410" t="s">
        <v>610</v>
      </c>
      <c r="T1800" s="412">
        <v>18.5</v>
      </c>
      <c r="U1800" s="410" t="s">
        <v>611</v>
      </c>
      <c r="V1800" s="410" t="s">
        <v>1227</v>
      </c>
      <c r="W1800" s="413">
        <f t="shared" si="316"/>
        <v>6382500</v>
      </c>
      <c r="X1800" s="410"/>
      <c r="Y1800" s="623"/>
      <c r="Z1800" s="623"/>
      <c r="AA1800" s="413"/>
      <c r="AB1800" s="413"/>
      <c r="AC1800" s="618"/>
      <c r="AD1800" s="618"/>
      <c r="AE1800" s="618"/>
      <c r="AF1800" s="619"/>
      <c r="AG1800" s="413"/>
      <c r="AH1800" s="417"/>
      <c r="AI1800" s="410"/>
      <c r="AJ1800" s="410"/>
      <c r="AK1800" s="413"/>
      <c r="AL1800" s="410"/>
      <c r="AM1800" s="410"/>
      <c r="AN1800" s="410"/>
      <c r="AO1800" s="410"/>
      <c r="AP1800" s="410"/>
      <c r="AQ1800" s="410"/>
      <c r="AR1800" s="410"/>
      <c r="AS1800" s="410"/>
      <c r="AT1800" s="410"/>
      <c r="AU1800" s="410"/>
      <c r="AV1800" s="419"/>
      <c r="AW1800" s="117">
        <f>VLOOKUP($D1800,'WB Data'!$C$3:$M$578,2,FALSE)</f>
        <v>192628494178.35443</v>
      </c>
      <c r="AX1800" s="117">
        <f>VLOOKUP($D1800,'WB Data'!$C$3:$M$578,3,FALSE)</f>
        <v>29987800</v>
      </c>
      <c r="AY1800" s="847">
        <f t="shared" si="312"/>
        <v>2.8453252798234702E-2</v>
      </c>
      <c r="AZ1800" s="117">
        <f>VLOOKUP($D1800,'WB Data'!$C$3:$M$578,4,FALSE)/100</f>
        <v>0.21510754766218843</v>
      </c>
      <c r="BA1800" s="117">
        <f t="shared" si="313"/>
        <v>41435842992.565964</v>
      </c>
      <c r="BB1800" s="129">
        <f>IFERROR(VLOOKUP($D1800,'EITI Revenues'!$C$2:$G$224,5,FALSE),"..")</f>
        <v>5480907241</v>
      </c>
      <c r="BC1800" s="846">
        <f t="shared" si="314"/>
        <v>0.13227454409418757</v>
      </c>
      <c r="BD1800" s="129">
        <f>VLOOKUP($D1800,'WB Data 2'!$C$2:$K$545,6,FALSE)</f>
        <v>29761875410.518784</v>
      </c>
      <c r="BE1800" s="129">
        <f>IFERROR(VLOOKUP($D1800,UNCTAD!$C$5:$V$529,4,FALSE),"..")</f>
        <v>51063297000</v>
      </c>
      <c r="BF1800" s="846">
        <f t="shared" si="315"/>
        <v>0.58284280802547439</v>
      </c>
      <c r="BG1800" s="117">
        <f>VLOOKUP($D1800,'WB Data'!$C$3:$M$578,5,FALSE)</f>
        <v>393820000</v>
      </c>
      <c r="BH1800" s="129">
        <f>IFERROR($BB1800/$BG1800,"..")</f>
        <v>13.91729023665634</v>
      </c>
      <c r="BI1800" s="117">
        <f>IFERROR(VLOOKUP($D1800,'WB Data'!$C$3:$M$578,7,FALSE)/100,"..")</f>
        <v>2.76046E-2</v>
      </c>
      <c r="BJ1800" s="117">
        <f>IFERROR($BI1800*$AW1800,"..")</f>
        <v>5317432530.3958025</v>
      </c>
      <c r="BK1800" s="846">
        <f>IFERROR($BB1800/$BJ1800,"..")</f>
        <v>1.0307431659301241</v>
      </c>
      <c r="BL1800" s="117">
        <f>IFERROR(VLOOKUP($D1800,'WB Data'!$C$3:$M$578,7,FALSE)/100,"..")</f>
        <v>2.76046E-2</v>
      </c>
      <c r="BM1800" s="117">
        <f>IFERROR($AW1800*$BL1800,"..")</f>
        <v>5317432530.3958025</v>
      </c>
      <c r="BN1800" s="846">
        <f>IFERROR($BB1800/$BM1800,"..")</f>
        <v>1.0307431659301241</v>
      </c>
      <c r="BO1800" s="801">
        <f t="shared" si="311"/>
        <v>38</v>
      </c>
      <c r="BP1800" s="117">
        <f>VLOOKUP($D1800,'WB Data'!$C$3:$M$578,9,FALSE)</f>
        <v>25.8</v>
      </c>
      <c r="BQ1800" s="117">
        <f>VLOOKUP($D1800,'WB Data'!$C$3:$M$578,10,FALSE)</f>
        <v>74.515536585365851</v>
      </c>
      <c r="BR1800" s="117">
        <f>VLOOKUP($D1800,'WB Data'!$C$3:$M$578,11,FALSE)</f>
        <v>13.6</v>
      </c>
      <c r="BS1800" s="129" t="str">
        <f>IFERROR(VLOOKUP($D1800,'WB Data 2'!$C$2:$K$545,9,FALSE),"..")</f>
        <v>..</v>
      </c>
      <c r="BT1800" s="129">
        <f>_xlfn.IFNA(VLOOKUP($C1800,RGI!$A$2:$C$43,2,FALSE),"..")</f>
        <v>76.8</v>
      </c>
      <c r="BU1800" s="129">
        <f>_xlfn.IFNA(VLOOKUP($C1800,RGI!$A$2:$C$43,3,FALSE),"..")</f>
        <v>72.816147461462435</v>
      </c>
      <c r="BV1800" s="129">
        <f>VLOOKUP($D1800,WGI!$C$2:$O$478,7,FALSE)</f>
        <v>6.8806180868862199E-2</v>
      </c>
      <c r="BW1800" s="129">
        <f>VLOOKUP($D1800,WGI!$C$2:$O$478,4,FALSE)</f>
        <v>-0.86195648593669605</v>
      </c>
      <c r="BX1800" s="129">
        <f>VLOOKUP($D1800,WGI!$C$2:$O$478,3,FALSE)</f>
        <v>-0.157626358241128</v>
      </c>
      <c r="BY1800" s="129">
        <f>VLOOKUP($D1800,WGI!$C$2:$O$478,5,FALSE)</f>
        <v>0.48941210864302698</v>
      </c>
      <c r="BZ1800" s="129">
        <f>VLOOKUP($D1800,WGI!$C$2:$O$478,2,FALSE)</f>
        <v>-0.394694258708917</v>
      </c>
      <c r="CB1800" s="129"/>
    </row>
    <row r="1801" spans="1:80" s="120" customFormat="1" ht="15" customHeight="1">
      <c r="A1801" s="407" t="s">
        <v>462</v>
      </c>
      <c r="B1801" s="408">
        <v>2012</v>
      </c>
      <c r="C1801" s="805" t="s">
        <v>449</v>
      </c>
      <c r="D1801" s="117" t="s">
        <v>3745</v>
      </c>
      <c r="E1801" s="409" t="s">
        <v>220</v>
      </c>
      <c r="F1801" s="410"/>
      <c r="G1801" s="621" t="s">
        <v>24</v>
      </c>
      <c r="H1801" s="117" t="str">
        <f t="shared" si="304"/>
        <v>yes</v>
      </c>
      <c r="I1801" s="117" t="str">
        <f t="shared" si="308"/>
        <v>no</v>
      </c>
      <c r="J1801" s="117" t="str">
        <f t="shared" si="309"/>
        <v>no</v>
      </c>
      <c r="K1801" s="410" t="s">
        <v>2037</v>
      </c>
      <c r="L1801" s="117" t="str">
        <f t="shared" si="305"/>
        <v>detailed</v>
      </c>
      <c r="M1801" s="117" t="str">
        <f t="shared" si="310"/>
        <v>detailed Mining</v>
      </c>
      <c r="N1801" s="411">
        <v>2000</v>
      </c>
      <c r="O1801" s="411"/>
      <c r="P1801" s="411"/>
      <c r="Q1801" s="411"/>
      <c r="R1801" s="411"/>
      <c r="S1801" s="410" t="s">
        <v>967</v>
      </c>
      <c r="T1801" s="412">
        <v>650</v>
      </c>
      <c r="U1801" s="410" t="s">
        <v>1874</v>
      </c>
      <c r="V1801" s="410" t="s">
        <v>2150</v>
      </c>
      <c r="W1801" s="413">
        <f t="shared" si="316"/>
        <v>1300000</v>
      </c>
      <c r="X1801" s="410"/>
      <c r="Y1801" s="623"/>
      <c r="Z1801" s="623"/>
      <c r="AA1801" s="413"/>
      <c r="AB1801" s="413"/>
      <c r="AC1801" s="618"/>
      <c r="AD1801" s="618"/>
      <c r="AE1801" s="618"/>
      <c r="AF1801" s="619"/>
      <c r="AG1801" s="413"/>
      <c r="AH1801" s="417"/>
      <c r="AI1801" s="410"/>
      <c r="AJ1801" s="410"/>
      <c r="AK1801" s="413"/>
      <c r="AL1801" s="410"/>
      <c r="AM1801" s="410"/>
      <c r="AN1801" s="410"/>
      <c r="AO1801" s="410"/>
      <c r="AP1801" s="410"/>
      <c r="AQ1801" s="410"/>
      <c r="AR1801" s="410"/>
      <c r="AS1801" s="410"/>
      <c r="AT1801" s="410"/>
      <c r="AU1801" s="410"/>
      <c r="AV1801" s="419"/>
      <c r="AW1801" s="117">
        <f>VLOOKUP($D1801,'WB Data'!$C$3:$M$578,2,FALSE)</f>
        <v>192628494178.35443</v>
      </c>
      <c r="AX1801" s="117">
        <f>VLOOKUP($D1801,'WB Data'!$C$3:$M$578,3,FALSE)</f>
        <v>29987800</v>
      </c>
      <c r="AY1801" s="847">
        <f t="shared" si="312"/>
        <v>2.8453252798234702E-2</v>
      </c>
      <c r="AZ1801" s="117">
        <f>VLOOKUP($D1801,'WB Data'!$C$3:$M$578,4,FALSE)/100</f>
        <v>0.21510754766218843</v>
      </c>
      <c r="BA1801" s="117">
        <f t="shared" si="313"/>
        <v>41435842992.565964</v>
      </c>
      <c r="BB1801" s="129">
        <f>IFERROR(VLOOKUP($D1801,'EITI Revenues'!$C$2:$G$224,5,FALSE),"..")</f>
        <v>5480907241</v>
      </c>
      <c r="BC1801" s="846">
        <f t="shared" si="314"/>
        <v>0.13227454409418757</v>
      </c>
      <c r="BD1801" s="129">
        <f>VLOOKUP($D1801,'WB Data 2'!$C$2:$K$545,6,FALSE)</f>
        <v>29761875410.518784</v>
      </c>
      <c r="BE1801" s="129">
        <f>IFERROR(VLOOKUP($D1801,UNCTAD!$C$5:$V$529,4,FALSE),"..")</f>
        <v>51063297000</v>
      </c>
      <c r="BF1801" s="846">
        <f t="shared" si="315"/>
        <v>0.58284280802547439</v>
      </c>
      <c r="BG1801" s="117">
        <f>VLOOKUP($D1801,'WB Data'!$C$3:$M$578,5,FALSE)</f>
        <v>393820000</v>
      </c>
      <c r="BH1801" s="129">
        <f>IFERROR($BB1801/$BG1801,"..")</f>
        <v>13.91729023665634</v>
      </c>
      <c r="BI1801" s="117">
        <f>IFERROR(VLOOKUP($D1801,'WB Data'!$C$3:$M$578,7,FALSE)/100,"..")</f>
        <v>2.76046E-2</v>
      </c>
      <c r="BJ1801" s="117">
        <f>IFERROR($BI1801*$AW1801,"..")</f>
        <v>5317432530.3958025</v>
      </c>
      <c r="BK1801" s="846">
        <f>IFERROR($BB1801/$BJ1801,"..")</f>
        <v>1.0307431659301241</v>
      </c>
      <c r="BL1801" s="117">
        <f>IFERROR(VLOOKUP($D1801,'WB Data'!$C$3:$M$578,7,FALSE)/100,"..")</f>
        <v>2.76046E-2</v>
      </c>
      <c r="BM1801" s="117">
        <f>IFERROR($AW1801*$BL1801,"..")</f>
        <v>5317432530.3958025</v>
      </c>
      <c r="BN1801" s="846">
        <f>IFERROR($BB1801/$BM1801,"..")</f>
        <v>1.0307431659301241</v>
      </c>
      <c r="BO1801" s="801">
        <f t="shared" si="311"/>
        <v>38</v>
      </c>
      <c r="BP1801" s="117">
        <f>VLOOKUP($D1801,'WB Data'!$C$3:$M$578,9,FALSE)</f>
        <v>25.8</v>
      </c>
      <c r="BQ1801" s="117">
        <f>VLOOKUP($D1801,'WB Data'!$C$3:$M$578,10,FALSE)</f>
        <v>74.515536585365851</v>
      </c>
      <c r="BR1801" s="117">
        <f>VLOOKUP($D1801,'WB Data'!$C$3:$M$578,11,FALSE)</f>
        <v>13.6</v>
      </c>
      <c r="BS1801" s="129" t="str">
        <f>IFERROR(VLOOKUP($D1801,'WB Data 2'!$C$2:$K$545,9,FALSE),"..")</f>
        <v>..</v>
      </c>
      <c r="BT1801" s="129">
        <f>_xlfn.IFNA(VLOOKUP($C1801,RGI!$A$2:$C$43,2,FALSE),"..")</f>
        <v>76.8</v>
      </c>
      <c r="BU1801" s="129">
        <f>_xlfn.IFNA(VLOOKUP($C1801,RGI!$A$2:$C$43,3,FALSE),"..")</f>
        <v>72.816147461462435</v>
      </c>
      <c r="BV1801" s="129">
        <f>VLOOKUP($D1801,WGI!$C$2:$O$478,7,FALSE)</f>
        <v>6.8806180868862199E-2</v>
      </c>
      <c r="BW1801" s="129">
        <f>VLOOKUP($D1801,WGI!$C$2:$O$478,4,FALSE)</f>
        <v>-0.86195648593669605</v>
      </c>
      <c r="BX1801" s="129">
        <f>VLOOKUP($D1801,WGI!$C$2:$O$478,3,FALSE)</f>
        <v>-0.157626358241128</v>
      </c>
      <c r="BY1801" s="129">
        <f>VLOOKUP($D1801,WGI!$C$2:$O$478,5,FALSE)</f>
        <v>0.48941210864302698</v>
      </c>
      <c r="BZ1801" s="129">
        <f>VLOOKUP($D1801,WGI!$C$2:$O$478,2,FALSE)</f>
        <v>-0.394694258708917</v>
      </c>
      <c r="CB1801" s="129"/>
    </row>
    <row r="1802" spans="1:80" s="120" customFormat="1" ht="15" customHeight="1">
      <c r="A1802" s="407" t="s">
        <v>462</v>
      </c>
      <c r="B1802" s="408">
        <v>2012</v>
      </c>
      <c r="C1802" s="805" t="s">
        <v>449</v>
      </c>
      <c r="D1802" s="117" t="s">
        <v>3745</v>
      </c>
      <c r="E1802" s="409" t="s">
        <v>220</v>
      </c>
      <c r="F1802" s="410"/>
      <c r="G1802" s="621" t="s">
        <v>24</v>
      </c>
      <c r="H1802" s="117" t="str">
        <f t="shared" si="304"/>
        <v>yes</v>
      </c>
      <c r="I1802" s="117" t="str">
        <f t="shared" si="308"/>
        <v>no</v>
      </c>
      <c r="J1802" s="117" t="str">
        <f t="shared" si="309"/>
        <v>no</v>
      </c>
      <c r="K1802" s="410" t="s">
        <v>1228</v>
      </c>
      <c r="L1802" s="117" t="str">
        <f t="shared" si="305"/>
        <v>detailed</v>
      </c>
      <c r="M1802" s="117" t="str">
        <f t="shared" si="310"/>
        <v>detailed Mining</v>
      </c>
      <c r="N1802" s="411">
        <v>10132</v>
      </c>
      <c r="O1802" s="411"/>
      <c r="P1802" s="411"/>
      <c r="Q1802" s="411"/>
      <c r="R1802" s="411"/>
      <c r="S1802" s="410" t="s">
        <v>610</v>
      </c>
      <c r="T1802" s="412">
        <v>128.49592592593001</v>
      </c>
      <c r="U1802" s="410" t="s">
        <v>611</v>
      </c>
      <c r="V1802" s="410" t="s">
        <v>1983</v>
      </c>
      <c r="W1802" s="413">
        <f t="shared" si="316"/>
        <v>1301920.7214815228</v>
      </c>
      <c r="X1802" s="410"/>
      <c r="Y1802" s="623"/>
      <c r="Z1802" s="623"/>
      <c r="AA1802" s="413"/>
      <c r="AB1802" s="413"/>
      <c r="AC1802" s="618"/>
      <c r="AD1802" s="618"/>
      <c r="AE1802" s="618"/>
      <c r="AF1802" s="619"/>
      <c r="AG1802" s="413"/>
      <c r="AH1802" s="417"/>
      <c r="AI1802" s="410"/>
      <c r="AJ1802" s="410"/>
      <c r="AK1802" s="413"/>
      <c r="AL1802" s="410"/>
      <c r="AM1802" s="410"/>
      <c r="AN1802" s="410"/>
      <c r="AO1802" s="410"/>
      <c r="AP1802" s="410"/>
      <c r="AQ1802" s="410"/>
      <c r="AR1802" s="410"/>
      <c r="AS1802" s="410"/>
      <c r="AT1802" s="410"/>
      <c r="AU1802" s="410"/>
      <c r="AV1802" s="419"/>
      <c r="AW1802" s="117">
        <f>VLOOKUP($D1802,'WB Data'!$C$3:$M$578,2,FALSE)</f>
        <v>192628494178.35443</v>
      </c>
      <c r="AX1802" s="117">
        <f>VLOOKUP($D1802,'WB Data'!$C$3:$M$578,3,FALSE)</f>
        <v>29987800</v>
      </c>
      <c r="AY1802" s="847">
        <f t="shared" si="312"/>
        <v>2.8453252798234702E-2</v>
      </c>
      <c r="AZ1802" s="117">
        <f>VLOOKUP($D1802,'WB Data'!$C$3:$M$578,4,FALSE)/100</f>
        <v>0.21510754766218843</v>
      </c>
      <c r="BA1802" s="117">
        <f t="shared" si="313"/>
        <v>41435842992.565964</v>
      </c>
      <c r="BB1802" s="129">
        <f>IFERROR(VLOOKUP($D1802,'EITI Revenues'!$C$2:$G$224,5,FALSE),"..")</f>
        <v>5480907241</v>
      </c>
      <c r="BC1802" s="846">
        <f t="shared" si="314"/>
        <v>0.13227454409418757</v>
      </c>
      <c r="BD1802" s="129">
        <f>VLOOKUP($D1802,'WB Data 2'!$C$2:$K$545,6,FALSE)</f>
        <v>29761875410.518784</v>
      </c>
      <c r="BE1802" s="129">
        <f>IFERROR(VLOOKUP($D1802,UNCTAD!$C$5:$V$529,4,FALSE),"..")</f>
        <v>51063297000</v>
      </c>
      <c r="BF1802" s="846">
        <f t="shared" si="315"/>
        <v>0.58284280802547439</v>
      </c>
      <c r="BG1802" s="117">
        <f>VLOOKUP($D1802,'WB Data'!$C$3:$M$578,5,FALSE)</f>
        <v>393820000</v>
      </c>
      <c r="BH1802" s="129">
        <f>IFERROR($BB1802/$BG1802,"..")</f>
        <v>13.91729023665634</v>
      </c>
      <c r="BI1802" s="117">
        <f>IFERROR(VLOOKUP($D1802,'WB Data'!$C$3:$M$578,7,FALSE)/100,"..")</f>
        <v>2.76046E-2</v>
      </c>
      <c r="BJ1802" s="117">
        <f>IFERROR($BI1802*$AW1802,"..")</f>
        <v>5317432530.3958025</v>
      </c>
      <c r="BK1802" s="846">
        <f>IFERROR($BB1802/$BJ1802,"..")</f>
        <v>1.0307431659301241</v>
      </c>
      <c r="BL1802" s="117">
        <f>IFERROR(VLOOKUP($D1802,'WB Data'!$C$3:$M$578,7,FALSE)/100,"..")</f>
        <v>2.76046E-2</v>
      </c>
      <c r="BM1802" s="117">
        <f>IFERROR($AW1802*$BL1802,"..")</f>
        <v>5317432530.3958025</v>
      </c>
      <c r="BN1802" s="846">
        <f>IFERROR($BB1802/$BM1802,"..")</f>
        <v>1.0307431659301241</v>
      </c>
      <c r="BO1802" s="801">
        <f t="shared" si="311"/>
        <v>38</v>
      </c>
      <c r="BP1802" s="117">
        <f>VLOOKUP($D1802,'WB Data'!$C$3:$M$578,9,FALSE)</f>
        <v>25.8</v>
      </c>
      <c r="BQ1802" s="117">
        <f>VLOOKUP($D1802,'WB Data'!$C$3:$M$578,10,FALSE)</f>
        <v>74.515536585365851</v>
      </c>
      <c r="BR1802" s="117">
        <f>VLOOKUP($D1802,'WB Data'!$C$3:$M$578,11,FALSE)</f>
        <v>13.6</v>
      </c>
      <c r="BS1802" s="129" t="str">
        <f>IFERROR(VLOOKUP($D1802,'WB Data 2'!$C$2:$K$545,9,FALSE),"..")</f>
        <v>..</v>
      </c>
      <c r="BT1802" s="129">
        <f>_xlfn.IFNA(VLOOKUP($C1802,RGI!$A$2:$C$43,2,FALSE),"..")</f>
        <v>76.8</v>
      </c>
      <c r="BU1802" s="129">
        <f>_xlfn.IFNA(VLOOKUP($C1802,RGI!$A$2:$C$43,3,FALSE),"..")</f>
        <v>72.816147461462435</v>
      </c>
      <c r="BV1802" s="129">
        <f>VLOOKUP($D1802,WGI!$C$2:$O$478,7,FALSE)</f>
        <v>6.8806180868862199E-2</v>
      </c>
      <c r="BW1802" s="129">
        <f>VLOOKUP($D1802,WGI!$C$2:$O$478,4,FALSE)</f>
        <v>-0.86195648593669605</v>
      </c>
      <c r="BX1802" s="129">
        <f>VLOOKUP($D1802,WGI!$C$2:$O$478,3,FALSE)</f>
        <v>-0.157626358241128</v>
      </c>
      <c r="BY1802" s="129">
        <f>VLOOKUP($D1802,WGI!$C$2:$O$478,5,FALSE)</f>
        <v>0.48941210864302698</v>
      </c>
      <c r="BZ1802" s="129">
        <f>VLOOKUP($D1802,WGI!$C$2:$O$478,2,FALSE)</f>
        <v>-0.394694258708917</v>
      </c>
      <c r="CB1802" s="129"/>
    </row>
    <row r="1803" spans="1:80" s="120" customFormat="1" ht="15" customHeight="1">
      <c r="A1803" s="407" t="s">
        <v>462</v>
      </c>
      <c r="B1803" s="408">
        <v>2012</v>
      </c>
      <c r="C1803" s="805" t="s">
        <v>449</v>
      </c>
      <c r="D1803" s="117" t="s">
        <v>3745</v>
      </c>
      <c r="E1803" s="409" t="s">
        <v>220</v>
      </c>
      <c r="F1803" s="410"/>
      <c r="G1803" s="621" t="s">
        <v>24</v>
      </c>
      <c r="H1803" s="117" t="str">
        <f t="shared" si="304"/>
        <v>yes</v>
      </c>
      <c r="I1803" s="117" t="str">
        <f t="shared" si="308"/>
        <v>no</v>
      </c>
      <c r="J1803" s="117" t="str">
        <f t="shared" si="309"/>
        <v>no</v>
      </c>
      <c r="K1803" s="410" t="s">
        <v>1230</v>
      </c>
      <c r="L1803" s="117" t="str">
        <f t="shared" si="305"/>
        <v>detailed</v>
      </c>
      <c r="M1803" s="117" t="str">
        <f t="shared" si="310"/>
        <v>detailed Mining</v>
      </c>
      <c r="N1803" s="411">
        <v>33863</v>
      </c>
      <c r="O1803" s="411"/>
      <c r="P1803" s="411"/>
      <c r="Q1803" s="411"/>
      <c r="R1803" s="411"/>
      <c r="S1803" s="410" t="s">
        <v>610</v>
      </c>
      <c r="T1803" s="412">
        <v>146</v>
      </c>
      <c r="U1803" s="410" t="s">
        <v>611</v>
      </c>
      <c r="V1803" s="410" t="s">
        <v>2151</v>
      </c>
      <c r="W1803" s="413">
        <f t="shared" si="316"/>
        <v>4943998</v>
      </c>
      <c r="X1803" s="410"/>
      <c r="Y1803" s="623"/>
      <c r="Z1803" s="623"/>
      <c r="AA1803" s="413"/>
      <c r="AB1803" s="413"/>
      <c r="AC1803" s="618"/>
      <c r="AD1803" s="618"/>
      <c r="AE1803" s="618"/>
      <c r="AF1803" s="619"/>
      <c r="AG1803" s="413"/>
      <c r="AH1803" s="417"/>
      <c r="AI1803" s="410"/>
      <c r="AJ1803" s="410"/>
      <c r="AK1803" s="413"/>
      <c r="AL1803" s="410"/>
      <c r="AM1803" s="410"/>
      <c r="AN1803" s="410"/>
      <c r="AO1803" s="410"/>
      <c r="AP1803" s="410"/>
      <c r="AQ1803" s="410"/>
      <c r="AR1803" s="410"/>
      <c r="AS1803" s="410"/>
      <c r="AT1803" s="410"/>
      <c r="AU1803" s="410"/>
      <c r="AV1803" s="419"/>
      <c r="AW1803" s="117">
        <f>VLOOKUP($D1803,'WB Data'!$C$3:$M$578,2,FALSE)</f>
        <v>192628494178.35443</v>
      </c>
      <c r="AX1803" s="117">
        <f>VLOOKUP($D1803,'WB Data'!$C$3:$M$578,3,FALSE)</f>
        <v>29987800</v>
      </c>
      <c r="AY1803" s="847">
        <f t="shared" si="312"/>
        <v>2.8453252798234702E-2</v>
      </c>
      <c r="AZ1803" s="117">
        <f>VLOOKUP($D1803,'WB Data'!$C$3:$M$578,4,FALSE)/100</f>
        <v>0.21510754766218843</v>
      </c>
      <c r="BA1803" s="117">
        <f t="shared" si="313"/>
        <v>41435842992.565964</v>
      </c>
      <c r="BB1803" s="129">
        <f>IFERROR(VLOOKUP($D1803,'EITI Revenues'!$C$2:$G$224,5,FALSE),"..")</f>
        <v>5480907241</v>
      </c>
      <c r="BC1803" s="846">
        <f t="shared" si="314"/>
        <v>0.13227454409418757</v>
      </c>
      <c r="BD1803" s="129">
        <f>VLOOKUP($D1803,'WB Data 2'!$C$2:$K$545,6,FALSE)</f>
        <v>29761875410.518784</v>
      </c>
      <c r="BE1803" s="129">
        <f>IFERROR(VLOOKUP($D1803,UNCTAD!$C$5:$V$529,4,FALSE),"..")</f>
        <v>51063297000</v>
      </c>
      <c r="BF1803" s="846">
        <f t="shared" si="315"/>
        <v>0.58284280802547439</v>
      </c>
      <c r="BG1803" s="117">
        <f>VLOOKUP($D1803,'WB Data'!$C$3:$M$578,5,FALSE)</f>
        <v>393820000</v>
      </c>
      <c r="BH1803" s="129">
        <f>IFERROR($BB1803/$BG1803,"..")</f>
        <v>13.91729023665634</v>
      </c>
      <c r="BI1803" s="117">
        <f>IFERROR(VLOOKUP($D1803,'WB Data'!$C$3:$M$578,7,FALSE)/100,"..")</f>
        <v>2.76046E-2</v>
      </c>
      <c r="BJ1803" s="117">
        <f>IFERROR($BI1803*$AW1803,"..")</f>
        <v>5317432530.3958025</v>
      </c>
      <c r="BK1803" s="846">
        <f>IFERROR($BB1803/$BJ1803,"..")</f>
        <v>1.0307431659301241</v>
      </c>
      <c r="BL1803" s="117">
        <f>IFERROR(VLOOKUP($D1803,'WB Data'!$C$3:$M$578,7,FALSE)/100,"..")</f>
        <v>2.76046E-2</v>
      </c>
      <c r="BM1803" s="117">
        <f>IFERROR($AW1803*$BL1803,"..")</f>
        <v>5317432530.3958025</v>
      </c>
      <c r="BN1803" s="846">
        <f>IFERROR($BB1803/$BM1803,"..")</f>
        <v>1.0307431659301241</v>
      </c>
      <c r="BO1803" s="801">
        <f t="shared" si="311"/>
        <v>38</v>
      </c>
      <c r="BP1803" s="117">
        <f>VLOOKUP($D1803,'WB Data'!$C$3:$M$578,9,FALSE)</f>
        <v>25.8</v>
      </c>
      <c r="BQ1803" s="117">
        <f>VLOOKUP($D1803,'WB Data'!$C$3:$M$578,10,FALSE)</f>
        <v>74.515536585365851</v>
      </c>
      <c r="BR1803" s="117">
        <f>VLOOKUP($D1803,'WB Data'!$C$3:$M$578,11,FALSE)</f>
        <v>13.6</v>
      </c>
      <c r="BS1803" s="129" t="str">
        <f>IFERROR(VLOOKUP($D1803,'WB Data 2'!$C$2:$K$545,9,FALSE),"..")</f>
        <v>..</v>
      </c>
      <c r="BT1803" s="129">
        <f>_xlfn.IFNA(VLOOKUP($C1803,RGI!$A$2:$C$43,2,FALSE),"..")</f>
        <v>76.8</v>
      </c>
      <c r="BU1803" s="129">
        <f>_xlfn.IFNA(VLOOKUP($C1803,RGI!$A$2:$C$43,3,FALSE),"..")</f>
        <v>72.816147461462435</v>
      </c>
      <c r="BV1803" s="129">
        <f>VLOOKUP($D1803,WGI!$C$2:$O$478,7,FALSE)</f>
        <v>6.8806180868862199E-2</v>
      </c>
      <c r="BW1803" s="129">
        <f>VLOOKUP($D1803,WGI!$C$2:$O$478,4,FALSE)</f>
        <v>-0.86195648593669605</v>
      </c>
      <c r="BX1803" s="129">
        <f>VLOOKUP($D1803,WGI!$C$2:$O$478,3,FALSE)</f>
        <v>-0.157626358241128</v>
      </c>
      <c r="BY1803" s="129">
        <f>VLOOKUP($D1803,WGI!$C$2:$O$478,5,FALSE)</f>
        <v>0.48941210864302698</v>
      </c>
      <c r="BZ1803" s="129">
        <f>VLOOKUP($D1803,WGI!$C$2:$O$478,2,FALSE)</f>
        <v>-0.394694258708917</v>
      </c>
      <c r="CB1803" s="129"/>
    </row>
    <row r="1804" spans="1:80" s="120" customFormat="1" ht="15" customHeight="1">
      <c r="A1804" s="407" t="s">
        <v>462</v>
      </c>
      <c r="B1804" s="408">
        <v>2012</v>
      </c>
      <c r="C1804" s="805" t="s">
        <v>449</v>
      </c>
      <c r="D1804" s="117" t="s">
        <v>3745</v>
      </c>
      <c r="E1804" s="409" t="s">
        <v>220</v>
      </c>
      <c r="F1804" s="410"/>
      <c r="G1804" s="621" t="s">
        <v>24</v>
      </c>
      <c r="H1804" s="117" t="str">
        <f t="shared" si="304"/>
        <v>yes</v>
      </c>
      <c r="I1804" s="117" t="str">
        <f t="shared" si="308"/>
        <v>no</v>
      </c>
      <c r="J1804" s="117" t="str">
        <f t="shared" si="309"/>
        <v>no</v>
      </c>
      <c r="K1804" s="410" t="s">
        <v>1473</v>
      </c>
      <c r="L1804" s="117" t="str">
        <f t="shared" si="305"/>
        <v>detailed</v>
      </c>
      <c r="M1804" s="117" t="str">
        <f t="shared" si="310"/>
        <v>detailed Mining</v>
      </c>
      <c r="N1804" s="411"/>
      <c r="O1804" s="411"/>
      <c r="P1804" s="411"/>
      <c r="Q1804" s="411"/>
      <c r="R1804" s="411"/>
      <c r="S1804" s="410"/>
      <c r="T1804" s="622">
        <v>2064.6382656781898</v>
      </c>
      <c r="U1804" s="410" t="s">
        <v>611</v>
      </c>
      <c r="V1804" s="410" t="s">
        <v>2040</v>
      </c>
      <c r="W1804" s="413">
        <f>N1806*T1804</f>
        <v>0</v>
      </c>
      <c r="X1804" s="410"/>
      <c r="Y1804" s="413"/>
      <c r="Z1804" s="413"/>
      <c r="AA1804" s="410"/>
      <c r="AB1804" s="410"/>
      <c r="AC1804" s="624"/>
      <c r="AD1804" s="624"/>
      <c r="AE1804" s="624"/>
      <c r="AF1804" s="625"/>
      <c r="AG1804" s="413"/>
      <c r="AH1804" s="417"/>
      <c r="AI1804" s="410"/>
      <c r="AJ1804" s="410"/>
      <c r="AK1804" s="413"/>
      <c r="AL1804" s="410"/>
      <c r="AM1804" s="410"/>
      <c r="AN1804" s="410"/>
      <c r="AO1804" s="410"/>
      <c r="AP1804" s="410"/>
      <c r="AQ1804" s="410"/>
      <c r="AR1804" s="410"/>
      <c r="AS1804" s="410"/>
      <c r="AT1804" s="410"/>
      <c r="AU1804" s="410"/>
      <c r="AV1804" s="419"/>
      <c r="AW1804" s="117">
        <f>VLOOKUP($D1804,'WB Data'!$C$3:$M$578,2,FALSE)</f>
        <v>192628494178.35443</v>
      </c>
      <c r="AX1804" s="117">
        <f>VLOOKUP($D1804,'WB Data'!$C$3:$M$578,3,FALSE)</f>
        <v>29987800</v>
      </c>
      <c r="AY1804" s="847">
        <f t="shared" si="312"/>
        <v>2.8453252798234702E-2</v>
      </c>
      <c r="AZ1804" s="117">
        <f>VLOOKUP($D1804,'WB Data'!$C$3:$M$578,4,FALSE)/100</f>
        <v>0.21510754766218843</v>
      </c>
      <c r="BA1804" s="117">
        <f t="shared" si="313"/>
        <v>41435842992.565964</v>
      </c>
      <c r="BB1804" s="129">
        <f>IFERROR(VLOOKUP($D1804,'EITI Revenues'!$C$2:$G$224,5,FALSE),"..")</f>
        <v>5480907241</v>
      </c>
      <c r="BC1804" s="846">
        <f t="shared" si="314"/>
        <v>0.13227454409418757</v>
      </c>
      <c r="BD1804" s="129">
        <f>VLOOKUP($D1804,'WB Data 2'!$C$2:$K$545,6,FALSE)</f>
        <v>29761875410.518784</v>
      </c>
      <c r="BE1804" s="129">
        <f>IFERROR(VLOOKUP($D1804,UNCTAD!$C$5:$V$529,4,FALSE),"..")</f>
        <v>51063297000</v>
      </c>
      <c r="BF1804" s="846">
        <f t="shared" si="315"/>
        <v>0.58284280802547439</v>
      </c>
      <c r="BG1804" s="117">
        <f>VLOOKUP($D1804,'WB Data'!$C$3:$M$578,5,FALSE)</f>
        <v>393820000</v>
      </c>
      <c r="BH1804" s="129">
        <f>IFERROR($BB1804/$BG1804,"..")</f>
        <v>13.91729023665634</v>
      </c>
      <c r="BI1804" s="117">
        <f>IFERROR(VLOOKUP($D1804,'WB Data'!$C$3:$M$578,7,FALSE)/100,"..")</f>
        <v>2.76046E-2</v>
      </c>
      <c r="BJ1804" s="117">
        <f>IFERROR($BI1804*$AW1804,"..")</f>
        <v>5317432530.3958025</v>
      </c>
      <c r="BK1804" s="846">
        <f>IFERROR($BB1804/$BJ1804,"..")</f>
        <v>1.0307431659301241</v>
      </c>
      <c r="BL1804" s="117">
        <f>IFERROR(VLOOKUP($D1804,'WB Data'!$C$3:$M$578,7,FALSE)/100,"..")</f>
        <v>2.76046E-2</v>
      </c>
      <c r="BM1804" s="117">
        <f>IFERROR($AW1804*$BL1804,"..")</f>
        <v>5317432530.3958025</v>
      </c>
      <c r="BN1804" s="846">
        <f>IFERROR($BB1804/$BM1804,"..")</f>
        <v>1.0307431659301241</v>
      </c>
      <c r="BO1804" s="801">
        <f t="shared" si="311"/>
        <v>38</v>
      </c>
      <c r="BP1804" s="117">
        <f>VLOOKUP($D1804,'WB Data'!$C$3:$M$578,9,FALSE)</f>
        <v>25.8</v>
      </c>
      <c r="BQ1804" s="117">
        <f>VLOOKUP($D1804,'WB Data'!$C$3:$M$578,10,FALSE)</f>
        <v>74.515536585365851</v>
      </c>
      <c r="BR1804" s="117">
        <f>VLOOKUP($D1804,'WB Data'!$C$3:$M$578,11,FALSE)</f>
        <v>13.6</v>
      </c>
      <c r="BS1804" s="129" t="str">
        <f>IFERROR(VLOOKUP($D1804,'WB Data 2'!$C$2:$K$545,9,FALSE),"..")</f>
        <v>..</v>
      </c>
      <c r="BT1804" s="129">
        <f>_xlfn.IFNA(VLOOKUP($C1804,RGI!$A$2:$C$43,2,FALSE),"..")</f>
        <v>76.8</v>
      </c>
      <c r="BU1804" s="129">
        <f>_xlfn.IFNA(VLOOKUP($C1804,RGI!$A$2:$C$43,3,FALSE),"..")</f>
        <v>72.816147461462435</v>
      </c>
      <c r="BV1804" s="129">
        <f>VLOOKUP($D1804,WGI!$C$2:$O$478,7,FALSE)</f>
        <v>6.8806180868862199E-2</v>
      </c>
      <c r="BW1804" s="129">
        <f>VLOOKUP($D1804,WGI!$C$2:$O$478,4,FALSE)</f>
        <v>-0.86195648593669605</v>
      </c>
      <c r="BX1804" s="129">
        <f>VLOOKUP($D1804,WGI!$C$2:$O$478,3,FALSE)</f>
        <v>-0.157626358241128</v>
      </c>
      <c r="BY1804" s="129">
        <f>VLOOKUP($D1804,WGI!$C$2:$O$478,5,FALSE)</f>
        <v>0.48941210864302698</v>
      </c>
      <c r="BZ1804" s="129">
        <f>VLOOKUP($D1804,WGI!$C$2:$O$478,2,FALSE)</f>
        <v>-0.394694258708917</v>
      </c>
      <c r="CB1804" s="129"/>
    </row>
    <row r="1805" spans="1:80" s="120" customFormat="1" ht="15" customHeight="1">
      <c r="A1805" s="407" t="s">
        <v>462</v>
      </c>
      <c r="B1805" s="408">
        <v>2012</v>
      </c>
      <c r="C1805" s="805" t="s">
        <v>449</v>
      </c>
      <c r="D1805" s="117" t="s">
        <v>3745</v>
      </c>
      <c r="E1805" s="409" t="s">
        <v>220</v>
      </c>
      <c r="F1805" s="410"/>
      <c r="G1805" s="621" t="s">
        <v>24</v>
      </c>
      <c r="H1805" s="117" t="str">
        <f t="shared" si="304"/>
        <v>yes</v>
      </c>
      <c r="I1805" s="117" t="str">
        <f t="shared" si="308"/>
        <v>no</v>
      </c>
      <c r="J1805" s="117" t="str">
        <f t="shared" si="309"/>
        <v>no</v>
      </c>
      <c r="K1805" s="410" t="s">
        <v>2043</v>
      </c>
      <c r="L1805" s="117" t="str">
        <f t="shared" si="305"/>
        <v>detailed</v>
      </c>
      <c r="M1805" s="117" t="str">
        <f t="shared" si="310"/>
        <v>detailed Mining</v>
      </c>
      <c r="N1805" s="411">
        <v>248659</v>
      </c>
      <c r="O1805" s="411"/>
      <c r="P1805" s="411"/>
      <c r="Q1805" s="411"/>
      <c r="R1805" s="411"/>
      <c r="S1805" s="410" t="s">
        <v>610</v>
      </c>
      <c r="T1805" s="412"/>
      <c r="U1805" s="410"/>
      <c r="V1805" s="410" t="s">
        <v>684</v>
      </c>
      <c r="W1805" s="413"/>
      <c r="X1805" s="410"/>
      <c r="Y1805" s="621"/>
      <c r="Z1805" s="621"/>
      <c r="AA1805" s="413"/>
      <c r="AB1805" s="413"/>
      <c r="AC1805" s="618"/>
      <c r="AD1805" s="618"/>
      <c r="AE1805" s="618"/>
      <c r="AF1805" s="619"/>
      <c r="AG1805" s="621"/>
      <c r="AH1805" s="417"/>
      <c r="AI1805" s="410"/>
      <c r="AJ1805" s="410"/>
      <c r="AK1805" s="413"/>
      <c r="AL1805" s="410"/>
      <c r="AM1805" s="410"/>
      <c r="AN1805" s="410"/>
      <c r="AO1805" s="410"/>
      <c r="AP1805" s="410"/>
      <c r="AQ1805" s="410"/>
      <c r="AR1805" s="410"/>
      <c r="AS1805" s="410"/>
      <c r="AT1805" s="410"/>
      <c r="AU1805" s="410"/>
      <c r="AV1805" s="419"/>
      <c r="AW1805" s="117">
        <f>VLOOKUP($D1805,'WB Data'!$C$3:$M$578,2,FALSE)</f>
        <v>192628494178.35443</v>
      </c>
      <c r="AX1805" s="117">
        <f>VLOOKUP($D1805,'WB Data'!$C$3:$M$578,3,FALSE)</f>
        <v>29987800</v>
      </c>
      <c r="AY1805" s="847">
        <f t="shared" si="312"/>
        <v>2.8453252798234702E-2</v>
      </c>
      <c r="AZ1805" s="117">
        <f>VLOOKUP($D1805,'WB Data'!$C$3:$M$578,4,FALSE)/100</f>
        <v>0.21510754766218843</v>
      </c>
      <c r="BA1805" s="117">
        <f t="shared" si="313"/>
        <v>41435842992.565964</v>
      </c>
      <c r="BB1805" s="129">
        <f>IFERROR(VLOOKUP($D1805,'EITI Revenues'!$C$2:$G$224,5,FALSE),"..")</f>
        <v>5480907241</v>
      </c>
      <c r="BC1805" s="846">
        <f t="shared" si="314"/>
        <v>0.13227454409418757</v>
      </c>
      <c r="BD1805" s="129">
        <f>VLOOKUP($D1805,'WB Data 2'!$C$2:$K$545,6,FALSE)</f>
        <v>29761875410.518784</v>
      </c>
      <c r="BE1805" s="129">
        <f>IFERROR(VLOOKUP($D1805,UNCTAD!$C$5:$V$529,4,FALSE),"..")</f>
        <v>51063297000</v>
      </c>
      <c r="BF1805" s="846">
        <f t="shared" si="315"/>
        <v>0.58284280802547439</v>
      </c>
      <c r="BG1805" s="117">
        <f>VLOOKUP($D1805,'WB Data'!$C$3:$M$578,5,FALSE)</f>
        <v>393820000</v>
      </c>
      <c r="BH1805" s="129">
        <f>IFERROR($BB1805/$BG1805,"..")</f>
        <v>13.91729023665634</v>
      </c>
      <c r="BI1805" s="117">
        <f>IFERROR(VLOOKUP($D1805,'WB Data'!$C$3:$M$578,7,FALSE)/100,"..")</f>
        <v>2.76046E-2</v>
      </c>
      <c r="BJ1805" s="117">
        <f>IFERROR($BI1805*$AW1805,"..")</f>
        <v>5317432530.3958025</v>
      </c>
      <c r="BK1805" s="846">
        <f>IFERROR($BB1805/$BJ1805,"..")</f>
        <v>1.0307431659301241</v>
      </c>
      <c r="BL1805" s="117">
        <f>IFERROR(VLOOKUP($D1805,'WB Data'!$C$3:$M$578,7,FALSE)/100,"..")</f>
        <v>2.76046E-2</v>
      </c>
      <c r="BM1805" s="117">
        <f>IFERROR($AW1805*$BL1805,"..")</f>
        <v>5317432530.3958025</v>
      </c>
      <c r="BN1805" s="846">
        <f>IFERROR($BB1805/$BM1805,"..")</f>
        <v>1.0307431659301241</v>
      </c>
      <c r="BO1805" s="801">
        <f t="shared" si="311"/>
        <v>38</v>
      </c>
      <c r="BP1805" s="117">
        <f>VLOOKUP($D1805,'WB Data'!$C$3:$M$578,9,FALSE)</f>
        <v>25.8</v>
      </c>
      <c r="BQ1805" s="117">
        <f>VLOOKUP($D1805,'WB Data'!$C$3:$M$578,10,FALSE)</f>
        <v>74.515536585365851</v>
      </c>
      <c r="BR1805" s="117">
        <f>VLOOKUP($D1805,'WB Data'!$C$3:$M$578,11,FALSE)</f>
        <v>13.6</v>
      </c>
      <c r="BS1805" s="129" t="str">
        <f>IFERROR(VLOOKUP($D1805,'WB Data 2'!$C$2:$K$545,9,FALSE),"..")</f>
        <v>..</v>
      </c>
      <c r="BT1805" s="129">
        <f>_xlfn.IFNA(VLOOKUP($C1805,RGI!$A$2:$C$43,2,FALSE),"..")</f>
        <v>76.8</v>
      </c>
      <c r="BU1805" s="129">
        <f>_xlfn.IFNA(VLOOKUP($C1805,RGI!$A$2:$C$43,3,FALSE),"..")</f>
        <v>72.816147461462435</v>
      </c>
      <c r="BV1805" s="129">
        <f>VLOOKUP($D1805,WGI!$C$2:$O$478,7,FALSE)</f>
        <v>6.8806180868862199E-2</v>
      </c>
      <c r="BW1805" s="129">
        <f>VLOOKUP($D1805,WGI!$C$2:$O$478,4,FALSE)</f>
        <v>-0.86195648593669605</v>
      </c>
      <c r="BX1805" s="129">
        <f>VLOOKUP($D1805,WGI!$C$2:$O$478,3,FALSE)</f>
        <v>-0.157626358241128</v>
      </c>
      <c r="BY1805" s="129">
        <f>VLOOKUP($D1805,WGI!$C$2:$O$478,5,FALSE)</f>
        <v>0.48941210864302698</v>
      </c>
      <c r="BZ1805" s="129">
        <f>VLOOKUP($D1805,WGI!$C$2:$O$478,2,FALSE)</f>
        <v>-0.394694258708917</v>
      </c>
      <c r="CB1805" s="129"/>
    </row>
    <row r="1806" spans="1:80" s="120" customFormat="1" ht="15" customHeight="1">
      <c r="A1806" s="407" t="s">
        <v>462</v>
      </c>
      <c r="B1806" s="408">
        <v>2012</v>
      </c>
      <c r="C1806" s="805" t="s">
        <v>449</v>
      </c>
      <c r="D1806" s="117" t="s">
        <v>3745</v>
      </c>
      <c r="E1806" s="409" t="s">
        <v>220</v>
      </c>
      <c r="F1806" s="410"/>
      <c r="G1806" s="621" t="s">
        <v>24</v>
      </c>
      <c r="H1806" s="117" t="str">
        <f t="shared" si="304"/>
        <v>yes</v>
      </c>
      <c r="I1806" s="117" t="str">
        <f t="shared" si="308"/>
        <v>no</v>
      </c>
      <c r="J1806" s="117" t="str">
        <f t="shared" si="309"/>
        <v>no</v>
      </c>
      <c r="K1806" s="410" t="s">
        <v>1336</v>
      </c>
      <c r="L1806" s="117" t="str">
        <f t="shared" si="305"/>
        <v>detailed</v>
      </c>
      <c r="M1806" s="117" t="str">
        <f t="shared" si="310"/>
        <v>detailed Mining</v>
      </c>
      <c r="N1806" s="411">
        <v>0</v>
      </c>
      <c r="O1806" s="411"/>
      <c r="P1806" s="411"/>
      <c r="Q1806" s="411"/>
      <c r="R1806" s="411"/>
      <c r="S1806" s="410" t="s">
        <v>610</v>
      </c>
      <c r="T1806" s="412"/>
      <c r="U1806" s="410"/>
      <c r="V1806" s="410" t="s">
        <v>684</v>
      </c>
      <c r="W1806" s="413"/>
      <c r="X1806" s="410"/>
      <c r="Y1806" s="621"/>
      <c r="Z1806" s="621"/>
      <c r="AA1806" s="413"/>
      <c r="AB1806" s="413"/>
      <c r="AC1806" s="618"/>
      <c r="AD1806" s="618"/>
      <c r="AE1806" s="618"/>
      <c r="AF1806" s="619"/>
      <c r="AG1806" s="621"/>
      <c r="AH1806" s="417"/>
      <c r="AI1806" s="410"/>
      <c r="AJ1806" s="410"/>
      <c r="AK1806" s="413"/>
      <c r="AL1806" s="410"/>
      <c r="AM1806" s="410"/>
      <c r="AN1806" s="410"/>
      <c r="AO1806" s="410"/>
      <c r="AP1806" s="410"/>
      <c r="AQ1806" s="410"/>
      <c r="AR1806" s="410"/>
      <c r="AS1806" s="410"/>
      <c r="AT1806" s="410"/>
      <c r="AU1806" s="410"/>
      <c r="AV1806" s="419"/>
      <c r="AW1806" s="117">
        <f>VLOOKUP($D1806,'WB Data'!$C$3:$M$578,2,FALSE)</f>
        <v>192628494178.35443</v>
      </c>
      <c r="AX1806" s="117">
        <f>VLOOKUP($D1806,'WB Data'!$C$3:$M$578,3,FALSE)</f>
        <v>29987800</v>
      </c>
      <c r="AY1806" s="847">
        <f t="shared" si="312"/>
        <v>2.8453252798234702E-2</v>
      </c>
      <c r="AZ1806" s="117">
        <f>VLOOKUP($D1806,'WB Data'!$C$3:$M$578,4,FALSE)/100</f>
        <v>0.21510754766218843</v>
      </c>
      <c r="BA1806" s="117">
        <f t="shared" si="313"/>
        <v>41435842992.565964</v>
      </c>
      <c r="BB1806" s="129">
        <f>IFERROR(VLOOKUP($D1806,'EITI Revenues'!$C$2:$G$224,5,FALSE),"..")</f>
        <v>5480907241</v>
      </c>
      <c r="BC1806" s="846">
        <f t="shared" si="314"/>
        <v>0.13227454409418757</v>
      </c>
      <c r="BD1806" s="129">
        <f>VLOOKUP($D1806,'WB Data 2'!$C$2:$K$545,6,FALSE)</f>
        <v>29761875410.518784</v>
      </c>
      <c r="BE1806" s="129">
        <f>IFERROR(VLOOKUP($D1806,UNCTAD!$C$5:$V$529,4,FALSE),"..")</f>
        <v>51063297000</v>
      </c>
      <c r="BF1806" s="846">
        <f t="shared" si="315"/>
        <v>0.58284280802547439</v>
      </c>
      <c r="BG1806" s="117">
        <f>VLOOKUP($D1806,'WB Data'!$C$3:$M$578,5,FALSE)</f>
        <v>393820000</v>
      </c>
      <c r="BH1806" s="129">
        <f>IFERROR($BB1806/$BG1806,"..")</f>
        <v>13.91729023665634</v>
      </c>
      <c r="BI1806" s="117">
        <f>IFERROR(VLOOKUP($D1806,'WB Data'!$C$3:$M$578,7,FALSE)/100,"..")</f>
        <v>2.76046E-2</v>
      </c>
      <c r="BJ1806" s="117">
        <f>IFERROR($BI1806*$AW1806,"..")</f>
        <v>5317432530.3958025</v>
      </c>
      <c r="BK1806" s="846">
        <f>IFERROR($BB1806/$BJ1806,"..")</f>
        <v>1.0307431659301241</v>
      </c>
      <c r="BL1806" s="117">
        <f>IFERROR(VLOOKUP($D1806,'WB Data'!$C$3:$M$578,7,FALSE)/100,"..")</f>
        <v>2.76046E-2</v>
      </c>
      <c r="BM1806" s="117">
        <f>IFERROR($AW1806*$BL1806,"..")</f>
        <v>5317432530.3958025</v>
      </c>
      <c r="BN1806" s="846">
        <f>IFERROR($BB1806/$BM1806,"..")</f>
        <v>1.0307431659301241</v>
      </c>
      <c r="BO1806" s="801">
        <f t="shared" si="311"/>
        <v>38</v>
      </c>
      <c r="BP1806" s="117">
        <f>VLOOKUP($D1806,'WB Data'!$C$3:$M$578,9,FALSE)</f>
        <v>25.8</v>
      </c>
      <c r="BQ1806" s="117">
        <f>VLOOKUP($D1806,'WB Data'!$C$3:$M$578,10,FALSE)</f>
        <v>74.515536585365851</v>
      </c>
      <c r="BR1806" s="117">
        <f>VLOOKUP($D1806,'WB Data'!$C$3:$M$578,11,FALSE)</f>
        <v>13.6</v>
      </c>
      <c r="BS1806" s="129" t="str">
        <f>IFERROR(VLOOKUP($D1806,'WB Data 2'!$C$2:$K$545,9,FALSE),"..")</f>
        <v>..</v>
      </c>
      <c r="BT1806" s="129">
        <f>_xlfn.IFNA(VLOOKUP($C1806,RGI!$A$2:$C$43,2,FALSE),"..")</f>
        <v>76.8</v>
      </c>
      <c r="BU1806" s="129">
        <f>_xlfn.IFNA(VLOOKUP($C1806,RGI!$A$2:$C$43,3,FALSE),"..")</f>
        <v>72.816147461462435</v>
      </c>
      <c r="BV1806" s="129">
        <f>VLOOKUP($D1806,WGI!$C$2:$O$478,7,FALSE)</f>
        <v>6.8806180868862199E-2</v>
      </c>
      <c r="BW1806" s="129">
        <f>VLOOKUP($D1806,WGI!$C$2:$O$478,4,FALSE)</f>
        <v>-0.86195648593669605</v>
      </c>
      <c r="BX1806" s="129">
        <f>VLOOKUP($D1806,WGI!$C$2:$O$478,3,FALSE)</f>
        <v>-0.157626358241128</v>
      </c>
      <c r="BY1806" s="129">
        <f>VLOOKUP($D1806,WGI!$C$2:$O$478,5,FALSE)</f>
        <v>0.48941210864302698</v>
      </c>
      <c r="BZ1806" s="129">
        <f>VLOOKUP($D1806,WGI!$C$2:$O$478,2,FALSE)</f>
        <v>-0.394694258708917</v>
      </c>
      <c r="CB1806" s="129"/>
    </row>
    <row r="1807" spans="1:80" s="120" customFormat="1" ht="15" customHeight="1">
      <c r="A1807" s="407" t="s">
        <v>462</v>
      </c>
      <c r="B1807" s="408">
        <v>2012</v>
      </c>
      <c r="C1807" s="805" t="s">
        <v>449</v>
      </c>
      <c r="D1807" s="117" t="s">
        <v>3745</v>
      </c>
      <c r="E1807" s="409" t="s">
        <v>220</v>
      </c>
      <c r="F1807" s="410"/>
      <c r="G1807" s="621" t="s">
        <v>24</v>
      </c>
      <c r="H1807" s="117" t="str">
        <f t="shared" si="304"/>
        <v>yes</v>
      </c>
      <c r="I1807" s="117" t="str">
        <f t="shared" si="308"/>
        <v>no</v>
      </c>
      <c r="J1807" s="117" t="str">
        <f t="shared" si="309"/>
        <v>no</v>
      </c>
      <c r="K1807" s="410" t="s">
        <v>703</v>
      </c>
      <c r="L1807" s="117" t="str">
        <f t="shared" si="305"/>
        <v>detailed</v>
      </c>
      <c r="M1807" s="117" t="str">
        <f t="shared" si="310"/>
        <v>detailed Mining</v>
      </c>
      <c r="N1807" s="411">
        <v>14567000</v>
      </c>
      <c r="O1807" s="411"/>
      <c r="P1807" s="411"/>
      <c r="Q1807" s="411"/>
      <c r="R1807" s="411"/>
      <c r="S1807" s="410" t="s">
        <v>610</v>
      </c>
      <c r="T1807" s="412">
        <v>9.1</v>
      </c>
      <c r="U1807" s="410" t="s">
        <v>611</v>
      </c>
      <c r="V1807" s="410" t="s">
        <v>1917</v>
      </c>
      <c r="W1807" s="413">
        <f>N1807*T1807</f>
        <v>132559700</v>
      </c>
      <c r="X1807" s="410"/>
      <c r="Y1807" s="621"/>
      <c r="Z1807" s="621"/>
      <c r="AA1807" s="413"/>
      <c r="AB1807" s="413"/>
      <c r="AC1807" s="618"/>
      <c r="AD1807" s="618"/>
      <c r="AE1807" s="618"/>
      <c r="AF1807" s="619"/>
      <c r="AG1807" s="621"/>
      <c r="AH1807" s="417"/>
      <c r="AI1807" s="410"/>
      <c r="AJ1807" s="410"/>
      <c r="AK1807" s="413"/>
      <c r="AL1807" s="410"/>
      <c r="AM1807" s="410"/>
      <c r="AN1807" s="410"/>
      <c r="AO1807" s="410"/>
      <c r="AP1807" s="410"/>
      <c r="AQ1807" s="410"/>
      <c r="AR1807" s="410"/>
      <c r="AS1807" s="410"/>
      <c r="AT1807" s="410"/>
      <c r="AU1807" s="410"/>
      <c r="AV1807" s="419"/>
      <c r="AW1807" s="117">
        <f>VLOOKUP($D1807,'WB Data'!$C$3:$M$578,2,FALSE)</f>
        <v>192628494178.35443</v>
      </c>
      <c r="AX1807" s="117">
        <f>VLOOKUP($D1807,'WB Data'!$C$3:$M$578,3,FALSE)</f>
        <v>29987800</v>
      </c>
      <c r="AY1807" s="847">
        <f t="shared" si="312"/>
        <v>2.8453252798234702E-2</v>
      </c>
      <c r="AZ1807" s="117">
        <f>VLOOKUP($D1807,'WB Data'!$C$3:$M$578,4,FALSE)/100</f>
        <v>0.21510754766218843</v>
      </c>
      <c r="BA1807" s="117">
        <f t="shared" si="313"/>
        <v>41435842992.565964</v>
      </c>
      <c r="BB1807" s="129">
        <f>IFERROR(VLOOKUP($D1807,'EITI Revenues'!$C$2:$G$224,5,FALSE),"..")</f>
        <v>5480907241</v>
      </c>
      <c r="BC1807" s="846">
        <f t="shared" si="314"/>
        <v>0.13227454409418757</v>
      </c>
      <c r="BD1807" s="129">
        <f>VLOOKUP($D1807,'WB Data 2'!$C$2:$K$545,6,FALSE)</f>
        <v>29761875410.518784</v>
      </c>
      <c r="BE1807" s="129">
        <f>IFERROR(VLOOKUP($D1807,UNCTAD!$C$5:$V$529,4,FALSE),"..")</f>
        <v>51063297000</v>
      </c>
      <c r="BF1807" s="846">
        <f t="shared" si="315"/>
        <v>0.58284280802547439</v>
      </c>
      <c r="BG1807" s="117">
        <f>VLOOKUP($D1807,'WB Data'!$C$3:$M$578,5,FALSE)</f>
        <v>393820000</v>
      </c>
      <c r="BH1807" s="129">
        <f>IFERROR($BB1807/$BG1807,"..")</f>
        <v>13.91729023665634</v>
      </c>
      <c r="BI1807" s="117">
        <f>IFERROR(VLOOKUP($D1807,'WB Data'!$C$3:$M$578,7,FALSE)/100,"..")</f>
        <v>2.76046E-2</v>
      </c>
      <c r="BJ1807" s="117">
        <f>IFERROR($BI1807*$AW1807,"..")</f>
        <v>5317432530.3958025</v>
      </c>
      <c r="BK1807" s="846">
        <f>IFERROR($BB1807/$BJ1807,"..")</f>
        <v>1.0307431659301241</v>
      </c>
      <c r="BL1807" s="117">
        <f>IFERROR(VLOOKUP($D1807,'WB Data'!$C$3:$M$578,7,FALSE)/100,"..")</f>
        <v>2.76046E-2</v>
      </c>
      <c r="BM1807" s="117">
        <f>IFERROR($AW1807*$BL1807,"..")</f>
        <v>5317432530.3958025</v>
      </c>
      <c r="BN1807" s="846">
        <f>IFERROR($BB1807/$BM1807,"..")</f>
        <v>1.0307431659301241</v>
      </c>
      <c r="BO1807" s="801">
        <f t="shared" si="311"/>
        <v>38</v>
      </c>
      <c r="BP1807" s="117">
        <f>VLOOKUP($D1807,'WB Data'!$C$3:$M$578,9,FALSE)</f>
        <v>25.8</v>
      </c>
      <c r="BQ1807" s="117">
        <f>VLOOKUP($D1807,'WB Data'!$C$3:$M$578,10,FALSE)</f>
        <v>74.515536585365851</v>
      </c>
      <c r="BR1807" s="117">
        <f>VLOOKUP($D1807,'WB Data'!$C$3:$M$578,11,FALSE)</f>
        <v>13.6</v>
      </c>
      <c r="BS1807" s="129" t="str">
        <f>IFERROR(VLOOKUP($D1807,'WB Data 2'!$C$2:$K$545,9,FALSE),"..")</f>
        <v>..</v>
      </c>
      <c r="BT1807" s="129">
        <f>_xlfn.IFNA(VLOOKUP($C1807,RGI!$A$2:$C$43,2,FALSE),"..")</f>
        <v>76.8</v>
      </c>
      <c r="BU1807" s="129">
        <f>_xlfn.IFNA(VLOOKUP($C1807,RGI!$A$2:$C$43,3,FALSE),"..")</f>
        <v>72.816147461462435</v>
      </c>
      <c r="BV1807" s="129">
        <f>VLOOKUP($D1807,WGI!$C$2:$O$478,7,FALSE)</f>
        <v>6.8806180868862199E-2</v>
      </c>
      <c r="BW1807" s="129">
        <f>VLOOKUP($D1807,WGI!$C$2:$O$478,4,FALSE)</f>
        <v>-0.86195648593669605</v>
      </c>
      <c r="BX1807" s="129">
        <f>VLOOKUP($D1807,WGI!$C$2:$O$478,3,FALSE)</f>
        <v>-0.157626358241128</v>
      </c>
      <c r="BY1807" s="129">
        <f>VLOOKUP($D1807,WGI!$C$2:$O$478,5,FALSE)</f>
        <v>0.48941210864302698</v>
      </c>
      <c r="BZ1807" s="129">
        <f>VLOOKUP($D1807,WGI!$C$2:$O$478,2,FALSE)</f>
        <v>-0.394694258708917</v>
      </c>
      <c r="CB1807" s="129"/>
    </row>
    <row r="1808" spans="1:80" s="120" customFormat="1" ht="15" customHeight="1">
      <c r="A1808" s="407" t="s">
        <v>462</v>
      </c>
      <c r="B1808" s="408">
        <v>2012</v>
      </c>
      <c r="C1808" s="805" t="s">
        <v>449</v>
      </c>
      <c r="D1808" s="117" t="s">
        <v>3745</v>
      </c>
      <c r="E1808" s="409" t="s">
        <v>220</v>
      </c>
      <c r="F1808" s="410"/>
      <c r="G1808" s="621" t="s">
        <v>24</v>
      </c>
      <c r="H1808" s="117" t="str">
        <f t="shared" si="304"/>
        <v>yes</v>
      </c>
      <c r="I1808" s="117" t="str">
        <f t="shared" si="308"/>
        <v>no</v>
      </c>
      <c r="J1808" s="117" t="str">
        <f t="shared" si="309"/>
        <v>no</v>
      </c>
      <c r="K1808" s="410" t="s">
        <v>656</v>
      </c>
      <c r="L1808" s="117" t="str">
        <f t="shared" si="305"/>
        <v>detailed</v>
      </c>
      <c r="M1808" s="117" t="str">
        <f t="shared" si="310"/>
        <v>detailed Mining</v>
      </c>
      <c r="N1808" s="411">
        <v>9885</v>
      </c>
      <c r="O1808" s="411"/>
      <c r="P1808" s="411"/>
      <c r="Q1808" s="411"/>
      <c r="R1808" s="411"/>
      <c r="S1808" s="410" t="s">
        <v>610</v>
      </c>
      <c r="T1808" s="412">
        <v>15.52</v>
      </c>
      <c r="U1808" s="410" t="s">
        <v>611</v>
      </c>
      <c r="V1808" s="410" t="s">
        <v>1252</v>
      </c>
      <c r="W1808" s="413">
        <f>N1808*T1808</f>
        <v>153415.19999999998</v>
      </c>
      <c r="X1808" s="410"/>
      <c r="Y1808" s="621"/>
      <c r="Z1808" s="621"/>
      <c r="AA1808" s="413"/>
      <c r="AB1808" s="413"/>
      <c r="AC1808" s="618"/>
      <c r="AD1808" s="618"/>
      <c r="AE1808" s="618"/>
      <c r="AF1808" s="619"/>
      <c r="AG1808" s="621"/>
      <c r="AH1808" s="417"/>
      <c r="AI1808" s="410"/>
      <c r="AJ1808" s="410"/>
      <c r="AK1808" s="413"/>
      <c r="AL1808" s="410"/>
      <c r="AM1808" s="410"/>
      <c r="AN1808" s="410"/>
      <c r="AO1808" s="410"/>
      <c r="AP1808" s="410"/>
      <c r="AQ1808" s="410"/>
      <c r="AR1808" s="410"/>
      <c r="AS1808" s="410"/>
      <c r="AT1808" s="410"/>
      <c r="AU1808" s="410"/>
      <c r="AV1808" s="419"/>
      <c r="AW1808" s="117">
        <f>VLOOKUP($D1808,'WB Data'!$C$3:$M$578,2,FALSE)</f>
        <v>192628494178.35443</v>
      </c>
      <c r="AX1808" s="117">
        <f>VLOOKUP($D1808,'WB Data'!$C$3:$M$578,3,FALSE)</f>
        <v>29987800</v>
      </c>
      <c r="AY1808" s="847">
        <f t="shared" si="312"/>
        <v>2.8453252798234702E-2</v>
      </c>
      <c r="AZ1808" s="117">
        <f>VLOOKUP($D1808,'WB Data'!$C$3:$M$578,4,FALSE)/100</f>
        <v>0.21510754766218843</v>
      </c>
      <c r="BA1808" s="117">
        <f t="shared" si="313"/>
        <v>41435842992.565964</v>
      </c>
      <c r="BB1808" s="129">
        <f>IFERROR(VLOOKUP($D1808,'EITI Revenues'!$C$2:$G$224,5,FALSE),"..")</f>
        <v>5480907241</v>
      </c>
      <c r="BC1808" s="846">
        <f t="shared" si="314"/>
        <v>0.13227454409418757</v>
      </c>
      <c r="BD1808" s="129">
        <f>VLOOKUP($D1808,'WB Data 2'!$C$2:$K$545,6,FALSE)</f>
        <v>29761875410.518784</v>
      </c>
      <c r="BE1808" s="129">
        <f>IFERROR(VLOOKUP($D1808,UNCTAD!$C$5:$V$529,4,FALSE),"..")</f>
        <v>51063297000</v>
      </c>
      <c r="BF1808" s="846">
        <f t="shared" si="315"/>
        <v>0.58284280802547439</v>
      </c>
      <c r="BG1808" s="117">
        <f>VLOOKUP($D1808,'WB Data'!$C$3:$M$578,5,FALSE)</f>
        <v>393820000</v>
      </c>
      <c r="BH1808" s="129">
        <f>IFERROR($BB1808/$BG1808,"..")</f>
        <v>13.91729023665634</v>
      </c>
      <c r="BI1808" s="117">
        <f>IFERROR(VLOOKUP($D1808,'WB Data'!$C$3:$M$578,7,FALSE)/100,"..")</f>
        <v>2.76046E-2</v>
      </c>
      <c r="BJ1808" s="117">
        <f>IFERROR($BI1808*$AW1808,"..")</f>
        <v>5317432530.3958025</v>
      </c>
      <c r="BK1808" s="846">
        <f>IFERROR($BB1808/$BJ1808,"..")</f>
        <v>1.0307431659301241</v>
      </c>
      <c r="BL1808" s="117">
        <f>IFERROR(VLOOKUP($D1808,'WB Data'!$C$3:$M$578,7,FALSE)/100,"..")</f>
        <v>2.76046E-2</v>
      </c>
      <c r="BM1808" s="117">
        <f>IFERROR($AW1808*$BL1808,"..")</f>
        <v>5317432530.3958025</v>
      </c>
      <c r="BN1808" s="846">
        <f>IFERROR($BB1808/$BM1808,"..")</f>
        <v>1.0307431659301241</v>
      </c>
      <c r="BO1808" s="801">
        <f t="shared" si="311"/>
        <v>38</v>
      </c>
      <c r="BP1808" s="117">
        <f>VLOOKUP($D1808,'WB Data'!$C$3:$M$578,9,FALSE)</f>
        <v>25.8</v>
      </c>
      <c r="BQ1808" s="117">
        <f>VLOOKUP($D1808,'WB Data'!$C$3:$M$578,10,FALSE)</f>
        <v>74.515536585365851</v>
      </c>
      <c r="BR1808" s="117">
        <f>VLOOKUP($D1808,'WB Data'!$C$3:$M$578,11,FALSE)</f>
        <v>13.6</v>
      </c>
      <c r="BS1808" s="129" t="str">
        <f>IFERROR(VLOOKUP($D1808,'WB Data 2'!$C$2:$K$545,9,FALSE),"..")</f>
        <v>..</v>
      </c>
      <c r="BT1808" s="129">
        <f>_xlfn.IFNA(VLOOKUP($C1808,RGI!$A$2:$C$43,2,FALSE),"..")</f>
        <v>76.8</v>
      </c>
      <c r="BU1808" s="129">
        <f>_xlfn.IFNA(VLOOKUP($C1808,RGI!$A$2:$C$43,3,FALSE),"..")</f>
        <v>72.816147461462435</v>
      </c>
      <c r="BV1808" s="129">
        <f>VLOOKUP($D1808,WGI!$C$2:$O$478,7,FALSE)</f>
        <v>6.8806180868862199E-2</v>
      </c>
      <c r="BW1808" s="129">
        <f>VLOOKUP($D1808,WGI!$C$2:$O$478,4,FALSE)</f>
        <v>-0.86195648593669605</v>
      </c>
      <c r="BX1808" s="129">
        <f>VLOOKUP($D1808,WGI!$C$2:$O$478,3,FALSE)</f>
        <v>-0.157626358241128</v>
      </c>
      <c r="BY1808" s="129">
        <f>VLOOKUP($D1808,WGI!$C$2:$O$478,5,FALSE)</f>
        <v>0.48941210864302698</v>
      </c>
      <c r="BZ1808" s="129">
        <f>VLOOKUP($D1808,WGI!$C$2:$O$478,2,FALSE)</f>
        <v>-0.394694258708917</v>
      </c>
      <c r="CB1808" s="129"/>
    </row>
    <row r="1809" spans="1:80" s="120" customFormat="1" ht="15" customHeight="1">
      <c r="A1809" s="407" t="s">
        <v>462</v>
      </c>
      <c r="B1809" s="408">
        <v>2012</v>
      </c>
      <c r="C1809" s="805" t="s">
        <v>449</v>
      </c>
      <c r="D1809" s="117" t="s">
        <v>3745</v>
      </c>
      <c r="E1809" s="409" t="s">
        <v>220</v>
      </c>
      <c r="F1809" s="410"/>
      <c r="G1809" s="621" t="s">
        <v>24</v>
      </c>
      <c r="H1809" s="117" t="str">
        <f t="shared" si="304"/>
        <v>yes</v>
      </c>
      <c r="I1809" s="117" t="str">
        <f t="shared" si="308"/>
        <v>no</v>
      </c>
      <c r="J1809" s="117" t="str">
        <f t="shared" si="309"/>
        <v>no</v>
      </c>
      <c r="K1809" s="410" t="s">
        <v>1493</v>
      </c>
      <c r="L1809" s="117" t="str">
        <f t="shared" si="305"/>
        <v>detailed</v>
      </c>
      <c r="M1809" s="117" t="str">
        <f t="shared" si="310"/>
        <v>detailed Mining</v>
      </c>
      <c r="N1809" s="411">
        <v>16790</v>
      </c>
      <c r="O1809" s="411"/>
      <c r="P1809" s="411"/>
      <c r="Q1809" s="411"/>
      <c r="R1809" s="411"/>
      <c r="S1809" s="410" t="s">
        <v>610</v>
      </c>
      <c r="T1809" s="412">
        <v>29200</v>
      </c>
      <c r="U1809" s="410" t="s">
        <v>611</v>
      </c>
      <c r="V1809" s="410" t="s">
        <v>2152</v>
      </c>
      <c r="W1809" s="413">
        <f>N1809*T1809</f>
        <v>490268000</v>
      </c>
      <c r="X1809" s="410"/>
      <c r="Y1809" s="410"/>
      <c r="Z1809" s="410"/>
      <c r="AA1809" s="413"/>
      <c r="AB1809" s="413"/>
      <c r="AC1809" s="618"/>
      <c r="AD1809" s="618"/>
      <c r="AE1809" s="618"/>
      <c r="AF1809" s="619"/>
      <c r="AG1809" s="410"/>
      <c r="AH1809" s="417"/>
      <c r="AI1809" s="410"/>
      <c r="AJ1809" s="410"/>
      <c r="AK1809" s="413"/>
      <c r="AL1809" s="410"/>
      <c r="AM1809" s="410"/>
      <c r="AN1809" s="410"/>
      <c r="AO1809" s="410"/>
      <c r="AP1809" s="410"/>
      <c r="AQ1809" s="410"/>
      <c r="AR1809" s="410"/>
      <c r="AS1809" s="410"/>
      <c r="AT1809" s="410"/>
      <c r="AU1809" s="410"/>
      <c r="AV1809" s="419"/>
      <c r="AW1809" s="117">
        <f>VLOOKUP($D1809,'WB Data'!$C$3:$M$578,2,FALSE)</f>
        <v>192628494178.35443</v>
      </c>
      <c r="AX1809" s="117">
        <f>VLOOKUP($D1809,'WB Data'!$C$3:$M$578,3,FALSE)</f>
        <v>29987800</v>
      </c>
      <c r="AY1809" s="847">
        <f t="shared" si="312"/>
        <v>2.8453252798234702E-2</v>
      </c>
      <c r="AZ1809" s="117">
        <f>VLOOKUP($D1809,'WB Data'!$C$3:$M$578,4,FALSE)/100</f>
        <v>0.21510754766218843</v>
      </c>
      <c r="BA1809" s="117">
        <f t="shared" si="313"/>
        <v>41435842992.565964</v>
      </c>
      <c r="BB1809" s="129">
        <f>IFERROR(VLOOKUP($D1809,'EITI Revenues'!$C$2:$G$224,5,FALSE),"..")</f>
        <v>5480907241</v>
      </c>
      <c r="BC1809" s="846">
        <f t="shared" si="314"/>
        <v>0.13227454409418757</v>
      </c>
      <c r="BD1809" s="129">
        <f>VLOOKUP($D1809,'WB Data 2'!$C$2:$K$545,6,FALSE)</f>
        <v>29761875410.518784</v>
      </c>
      <c r="BE1809" s="129">
        <f>IFERROR(VLOOKUP($D1809,UNCTAD!$C$5:$V$529,4,FALSE),"..")</f>
        <v>51063297000</v>
      </c>
      <c r="BF1809" s="846">
        <f t="shared" si="315"/>
        <v>0.58284280802547439</v>
      </c>
      <c r="BG1809" s="117">
        <f>VLOOKUP($D1809,'WB Data'!$C$3:$M$578,5,FALSE)</f>
        <v>393820000</v>
      </c>
      <c r="BH1809" s="129">
        <f>IFERROR($BB1809/$BG1809,"..")</f>
        <v>13.91729023665634</v>
      </c>
      <c r="BI1809" s="117">
        <f>IFERROR(VLOOKUP($D1809,'WB Data'!$C$3:$M$578,7,FALSE)/100,"..")</f>
        <v>2.76046E-2</v>
      </c>
      <c r="BJ1809" s="117">
        <f>IFERROR($BI1809*$AW1809,"..")</f>
        <v>5317432530.3958025</v>
      </c>
      <c r="BK1809" s="846">
        <f>IFERROR($BB1809/$BJ1809,"..")</f>
        <v>1.0307431659301241</v>
      </c>
      <c r="BL1809" s="117">
        <f>IFERROR(VLOOKUP($D1809,'WB Data'!$C$3:$M$578,7,FALSE)/100,"..")</f>
        <v>2.76046E-2</v>
      </c>
      <c r="BM1809" s="117">
        <f>IFERROR($AW1809*$BL1809,"..")</f>
        <v>5317432530.3958025</v>
      </c>
      <c r="BN1809" s="846">
        <f>IFERROR($BB1809/$BM1809,"..")</f>
        <v>1.0307431659301241</v>
      </c>
      <c r="BO1809" s="801">
        <f t="shared" si="311"/>
        <v>38</v>
      </c>
      <c r="BP1809" s="117">
        <f>VLOOKUP($D1809,'WB Data'!$C$3:$M$578,9,FALSE)</f>
        <v>25.8</v>
      </c>
      <c r="BQ1809" s="117">
        <f>VLOOKUP($D1809,'WB Data'!$C$3:$M$578,10,FALSE)</f>
        <v>74.515536585365851</v>
      </c>
      <c r="BR1809" s="117">
        <f>VLOOKUP($D1809,'WB Data'!$C$3:$M$578,11,FALSE)</f>
        <v>13.6</v>
      </c>
      <c r="BS1809" s="129" t="str">
        <f>IFERROR(VLOOKUP($D1809,'WB Data 2'!$C$2:$K$545,9,FALSE),"..")</f>
        <v>..</v>
      </c>
      <c r="BT1809" s="129">
        <f>_xlfn.IFNA(VLOOKUP($C1809,RGI!$A$2:$C$43,2,FALSE),"..")</f>
        <v>76.8</v>
      </c>
      <c r="BU1809" s="129">
        <f>_xlfn.IFNA(VLOOKUP($C1809,RGI!$A$2:$C$43,3,FALSE),"..")</f>
        <v>72.816147461462435</v>
      </c>
      <c r="BV1809" s="129">
        <f>VLOOKUP($D1809,WGI!$C$2:$O$478,7,FALSE)</f>
        <v>6.8806180868862199E-2</v>
      </c>
      <c r="BW1809" s="129">
        <f>VLOOKUP($D1809,WGI!$C$2:$O$478,4,FALSE)</f>
        <v>-0.86195648593669605</v>
      </c>
      <c r="BX1809" s="129">
        <f>VLOOKUP($D1809,WGI!$C$2:$O$478,3,FALSE)</f>
        <v>-0.157626358241128</v>
      </c>
      <c r="BY1809" s="129">
        <f>VLOOKUP($D1809,WGI!$C$2:$O$478,5,FALSE)</f>
        <v>0.48941210864302698</v>
      </c>
      <c r="BZ1809" s="129">
        <f>VLOOKUP($D1809,WGI!$C$2:$O$478,2,FALSE)</f>
        <v>-0.394694258708917</v>
      </c>
      <c r="CB1809" s="129"/>
    </row>
    <row r="1810" spans="1:80" s="120" customFormat="1" ht="15" customHeight="1">
      <c r="A1810" s="407" t="s">
        <v>462</v>
      </c>
      <c r="B1810" s="408">
        <v>2012</v>
      </c>
      <c r="C1810" s="805" t="s">
        <v>449</v>
      </c>
      <c r="D1810" s="117" t="s">
        <v>3745</v>
      </c>
      <c r="E1810" s="409" t="s">
        <v>220</v>
      </c>
      <c r="F1810" s="410"/>
      <c r="G1810" s="621" t="s">
        <v>24</v>
      </c>
      <c r="H1810" s="117" t="str">
        <f t="shared" si="304"/>
        <v>yes</v>
      </c>
      <c r="I1810" s="117" t="str">
        <f t="shared" si="308"/>
        <v>no</v>
      </c>
      <c r="J1810" s="117" t="str">
        <f t="shared" si="309"/>
        <v>no</v>
      </c>
      <c r="K1810" s="410" t="s">
        <v>2099</v>
      </c>
      <c r="L1810" s="117" t="str">
        <f t="shared" si="305"/>
        <v>detailed</v>
      </c>
      <c r="M1810" s="117" t="str">
        <f t="shared" si="310"/>
        <v>detailed Mining</v>
      </c>
      <c r="N1810" s="411">
        <v>3578</v>
      </c>
      <c r="O1810" s="411"/>
      <c r="P1810" s="411"/>
      <c r="Q1810" s="411"/>
      <c r="R1810" s="411"/>
      <c r="S1810" s="410" t="s">
        <v>610</v>
      </c>
      <c r="T1810" s="412"/>
      <c r="U1810" s="410"/>
      <c r="V1810" s="410" t="s">
        <v>684</v>
      </c>
      <c r="W1810" s="413"/>
      <c r="X1810" s="410"/>
      <c r="Y1810" s="413"/>
      <c r="Z1810" s="413"/>
      <c r="AA1810" s="413"/>
      <c r="AB1810" s="413"/>
      <c r="AC1810" s="618"/>
      <c r="AD1810" s="618"/>
      <c r="AE1810" s="618"/>
      <c r="AF1810" s="619"/>
      <c r="AG1810" s="413"/>
      <c r="AH1810" s="417"/>
      <c r="AI1810" s="410"/>
      <c r="AJ1810" s="410"/>
      <c r="AK1810" s="413"/>
      <c r="AL1810" s="410"/>
      <c r="AM1810" s="410"/>
      <c r="AN1810" s="410"/>
      <c r="AO1810" s="410"/>
      <c r="AP1810" s="410"/>
      <c r="AQ1810" s="410"/>
      <c r="AR1810" s="410"/>
      <c r="AS1810" s="410"/>
      <c r="AT1810" s="410"/>
      <c r="AU1810" s="410"/>
      <c r="AV1810" s="419"/>
      <c r="AW1810" s="117">
        <f>VLOOKUP($D1810,'WB Data'!$C$3:$M$578,2,FALSE)</f>
        <v>192628494178.35443</v>
      </c>
      <c r="AX1810" s="117">
        <f>VLOOKUP($D1810,'WB Data'!$C$3:$M$578,3,FALSE)</f>
        <v>29987800</v>
      </c>
      <c r="AY1810" s="847">
        <f t="shared" si="312"/>
        <v>2.8453252798234702E-2</v>
      </c>
      <c r="AZ1810" s="117">
        <f>VLOOKUP($D1810,'WB Data'!$C$3:$M$578,4,FALSE)/100</f>
        <v>0.21510754766218843</v>
      </c>
      <c r="BA1810" s="117">
        <f t="shared" si="313"/>
        <v>41435842992.565964</v>
      </c>
      <c r="BB1810" s="129">
        <f>IFERROR(VLOOKUP($D1810,'EITI Revenues'!$C$2:$G$224,5,FALSE),"..")</f>
        <v>5480907241</v>
      </c>
      <c r="BC1810" s="846">
        <f t="shared" si="314"/>
        <v>0.13227454409418757</v>
      </c>
      <c r="BD1810" s="129">
        <f>VLOOKUP($D1810,'WB Data 2'!$C$2:$K$545,6,FALSE)</f>
        <v>29761875410.518784</v>
      </c>
      <c r="BE1810" s="129">
        <f>IFERROR(VLOOKUP($D1810,UNCTAD!$C$5:$V$529,4,FALSE),"..")</f>
        <v>51063297000</v>
      </c>
      <c r="BF1810" s="846">
        <f t="shared" si="315"/>
        <v>0.58284280802547439</v>
      </c>
      <c r="BG1810" s="117">
        <f>VLOOKUP($D1810,'WB Data'!$C$3:$M$578,5,FALSE)</f>
        <v>393820000</v>
      </c>
      <c r="BH1810" s="129">
        <f>IFERROR($BB1810/$BG1810,"..")</f>
        <v>13.91729023665634</v>
      </c>
      <c r="BI1810" s="117">
        <f>IFERROR(VLOOKUP($D1810,'WB Data'!$C$3:$M$578,7,FALSE)/100,"..")</f>
        <v>2.76046E-2</v>
      </c>
      <c r="BJ1810" s="117">
        <f>IFERROR($BI1810*$AW1810,"..")</f>
        <v>5317432530.3958025</v>
      </c>
      <c r="BK1810" s="846">
        <f>IFERROR($BB1810/$BJ1810,"..")</f>
        <v>1.0307431659301241</v>
      </c>
      <c r="BL1810" s="117">
        <f>IFERROR(VLOOKUP($D1810,'WB Data'!$C$3:$M$578,7,FALSE)/100,"..")</f>
        <v>2.76046E-2</v>
      </c>
      <c r="BM1810" s="117">
        <f>IFERROR($AW1810*$BL1810,"..")</f>
        <v>5317432530.3958025</v>
      </c>
      <c r="BN1810" s="846">
        <f>IFERROR($BB1810/$BM1810,"..")</f>
        <v>1.0307431659301241</v>
      </c>
      <c r="BO1810" s="801">
        <f t="shared" si="311"/>
        <v>38</v>
      </c>
      <c r="BP1810" s="117">
        <f>VLOOKUP($D1810,'WB Data'!$C$3:$M$578,9,FALSE)</f>
        <v>25.8</v>
      </c>
      <c r="BQ1810" s="117">
        <f>VLOOKUP($D1810,'WB Data'!$C$3:$M$578,10,FALSE)</f>
        <v>74.515536585365851</v>
      </c>
      <c r="BR1810" s="117">
        <f>VLOOKUP($D1810,'WB Data'!$C$3:$M$578,11,FALSE)</f>
        <v>13.6</v>
      </c>
      <c r="BS1810" s="129" t="str">
        <f>IFERROR(VLOOKUP($D1810,'WB Data 2'!$C$2:$K$545,9,FALSE),"..")</f>
        <v>..</v>
      </c>
      <c r="BT1810" s="129">
        <f>_xlfn.IFNA(VLOOKUP($C1810,RGI!$A$2:$C$43,2,FALSE),"..")</f>
        <v>76.8</v>
      </c>
      <c r="BU1810" s="129">
        <f>_xlfn.IFNA(VLOOKUP($C1810,RGI!$A$2:$C$43,3,FALSE),"..")</f>
        <v>72.816147461462435</v>
      </c>
      <c r="BV1810" s="129">
        <f>VLOOKUP($D1810,WGI!$C$2:$O$478,7,FALSE)</f>
        <v>6.8806180868862199E-2</v>
      </c>
      <c r="BW1810" s="129">
        <f>VLOOKUP($D1810,WGI!$C$2:$O$478,4,FALSE)</f>
        <v>-0.86195648593669605</v>
      </c>
      <c r="BX1810" s="129">
        <f>VLOOKUP($D1810,WGI!$C$2:$O$478,3,FALSE)</f>
        <v>-0.157626358241128</v>
      </c>
      <c r="BY1810" s="129">
        <f>VLOOKUP($D1810,WGI!$C$2:$O$478,5,FALSE)</f>
        <v>0.48941210864302698</v>
      </c>
      <c r="BZ1810" s="129">
        <f>VLOOKUP($D1810,WGI!$C$2:$O$478,2,FALSE)</f>
        <v>-0.394694258708917</v>
      </c>
      <c r="CB1810" s="129"/>
    </row>
    <row r="1811" spans="1:80" s="120" customFormat="1" ht="15" customHeight="1">
      <c r="A1811" s="407" t="s">
        <v>462</v>
      </c>
      <c r="B1811" s="408">
        <v>2012</v>
      </c>
      <c r="C1811" s="805" t="s">
        <v>449</v>
      </c>
      <c r="D1811" s="117" t="s">
        <v>3745</v>
      </c>
      <c r="E1811" s="409" t="s">
        <v>220</v>
      </c>
      <c r="F1811" s="410"/>
      <c r="G1811" s="621" t="s">
        <v>24</v>
      </c>
      <c r="H1811" s="117" t="str">
        <f t="shared" si="304"/>
        <v>yes</v>
      </c>
      <c r="I1811" s="117" t="str">
        <f t="shared" si="308"/>
        <v>no</v>
      </c>
      <c r="J1811" s="117" t="str">
        <f t="shared" si="309"/>
        <v>no</v>
      </c>
      <c r="K1811" s="410" t="s">
        <v>2100</v>
      </c>
      <c r="L1811" s="117" t="str">
        <f t="shared" si="305"/>
        <v>detailed</v>
      </c>
      <c r="M1811" s="117" t="str">
        <f t="shared" si="310"/>
        <v>detailed Mining</v>
      </c>
      <c r="N1811" s="411">
        <v>10338</v>
      </c>
      <c r="O1811" s="411"/>
      <c r="P1811" s="411"/>
      <c r="Q1811" s="411"/>
      <c r="R1811" s="411"/>
      <c r="S1811" s="410" t="s">
        <v>610</v>
      </c>
      <c r="T1811" s="412">
        <v>185.88541666667001</v>
      </c>
      <c r="U1811" s="410" t="s">
        <v>611</v>
      </c>
      <c r="V1811" s="410" t="s">
        <v>2153</v>
      </c>
      <c r="W1811" s="413">
        <f t="shared" ref="W1811:W1821" si="317">N1811*T1811</f>
        <v>1921683.4375000345</v>
      </c>
      <c r="X1811" s="410"/>
      <c r="Y1811" s="413"/>
      <c r="Z1811" s="413"/>
      <c r="AA1811" s="413"/>
      <c r="AB1811" s="413"/>
      <c r="AC1811" s="618"/>
      <c r="AD1811" s="618"/>
      <c r="AE1811" s="618"/>
      <c r="AF1811" s="619"/>
      <c r="AG1811" s="413"/>
      <c r="AH1811" s="417"/>
      <c r="AI1811" s="410"/>
      <c r="AJ1811" s="410"/>
      <c r="AK1811" s="413"/>
      <c r="AL1811" s="410"/>
      <c r="AM1811" s="410"/>
      <c r="AN1811" s="410"/>
      <c r="AO1811" s="410"/>
      <c r="AP1811" s="410"/>
      <c r="AQ1811" s="410"/>
      <c r="AR1811" s="410"/>
      <c r="AS1811" s="410"/>
      <c r="AT1811" s="410"/>
      <c r="AU1811" s="410"/>
      <c r="AV1811" s="419"/>
      <c r="AW1811" s="117">
        <f>VLOOKUP($D1811,'WB Data'!$C$3:$M$578,2,FALSE)</f>
        <v>192628494178.35443</v>
      </c>
      <c r="AX1811" s="117">
        <f>VLOOKUP($D1811,'WB Data'!$C$3:$M$578,3,FALSE)</f>
        <v>29987800</v>
      </c>
      <c r="AY1811" s="847">
        <f t="shared" si="312"/>
        <v>2.8453252798234702E-2</v>
      </c>
      <c r="AZ1811" s="117">
        <f>VLOOKUP($D1811,'WB Data'!$C$3:$M$578,4,FALSE)/100</f>
        <v>0.21510754766218843</v>
      </c>
      <c r="BA1811" s="117">
        <f t="shared" si="313"/>
        <v>41435842992.565964</v>
      </c>
      <c r="BB1811" s="129">
        <f>IFERROR(VLOOKUP($D1811,'EITI Revenues'!$C$2:$G$224,5,FALSE),"..")</f>
        <v>5480907241</v>
      </c>
      <c r="BC1811" s="846">
        <f t="shared" si="314"/>
        <v>0.13227454409418757</v>
      </c>
      <c r="BD1811" s="129">
        <f>VLOOKUP($D1811,'WB Data 2'!$C$2:$K$545,6,FALSE)</f>
        <v>29761875410.518784</v>
      </c>
      <c r="BE1811" s="129">
        <f>IFERROR(VLOOKUP($D1811,UNCTAD!$C$5:$V$529,4,FALSE),"..")</f>
        <v>51063297000</v>
      </c>
      <c r="BF1811" s="846">
        <f t="shared" si="315"/>
        <v>0.58284280802547439</v>
      </c>
      <c r="BG1811" s="117">
        <f>VLOOKUP($D1811,'WB Data'!$C$3:$M$578,5,FALSE)</f>
        <v>393820000</v>
      </c>
      <c r="BH1811" s="129">
        <f>IFERROR($BB1811/$BG1811,"..")</f>
        <v>13.91729023665634</v>
      </c>
      <c r="BI1811" s="117">
        <f>IFERROR(VLOOKUP($D1811,'WB Data'!$C$3:$M$578,7,FALSE)/100,"..")</f>
        <v>2.76046E-2</v>
      </c>
      <c r="BJ1811" s="117">
        <f>IFERROR($BI1811*$AW1811,"..")</f>
        <v>5317432530.3958025</v>
      </c>
      <c r="BK1811" s="846">
        <f>IFERROR($BB1811/$BJ1811,"..")</f>
        <v>1.0307431659301241</v>
      </c>
      <c r="BL1811" s="117">
        <f>IFERROR(VLOOKUP($D1811,'WB Data'!$C$3:$M$578,7,FALSE)/100,"..")</f>
        <v>2.76046E-2</v>
      </c>
      <c r="BM1811" s="117">
        <f>IFERROR($AW1811*$BL1811,"..")</f>
        <v>5317432530.3958025</v>
      </c>
      <c r="BN1811" s="846">
        <f>IFERROR($BB1811/$BM1811,"..")</f>
        <v>1.0307431659301241</v>
      </c>
      <c r="BO1811" s="801">
        <f t="shared" si="311"/>
        <v>38</v>
      </c>
      <c r="BP1811" s="117">
        <f>VLOOKUP($D1811,'WB Data'!$C$3:$M$578,9,FALSE)</f>
        <v>25.8</v>
      </c>
      <c r="BQ1811" s="117">
        <f>VLOOKUP($D1811,'WB Data'!$C$3:$M$578,10,FALSE)</f>
        <v>74.515536585365851</v>
      </c>
      <c r="BR1811" s="117">
        <f>VLOOKUP($D1811,'WB Data'!$C$3:$M$578,11,FALSE)</f>
        <v>13.6</v>
      </c>
      <c r="BS1811" s="129" t="str">
        <f>IFERROR(VLOOKUP($D1811,'WB Data 2'!$C$2:$K$545,9,FALSE),"..")</f>
        <v>..</v>
      </c>
      <c r="BT1811" s="129">
        <f>_xlfn.IFNA(VLOOKUP($C1811,RGI!$A$2:$C$43,2,FALSE),"..")</f>
        <v>76.8</v>
      </c>
      <c r="BU1811" s="129">
        <f>_xlfn.IFNA(VLOOKUP($C1811,RGI!$A$2:$C$43,3,FALSE),"..")</f>
        <v>72.816147461462435</v>
      </c>
      <c r="BV1811" s="129">
        <f>VLOOKUP($D1811,WGI!$C$2:$O$478,7,FALSE)</f>
        <v>6.8806180868862199E-2</v>
      </c>
      <c r="BW1811" s="129">
        <f>VLOOKUP($D1811,WGI!$C$2:$O$478,4,FALSE)</f>
        <v>-0.86195648593669605</v>
      </c>
      <c r="BX1811" s="129">
        <f>VLOOKUP($D1811,WGI!$C$2:$O$478,3,FALSE)</f>
        <v>-0.157626358241128</v>
      </c>
      <c r="BY1811" s="129">
        <f>VLOOKUP($D1811,WGI!$C$2:$O$478,5,FALSE)</f>
        <v>0.48941210864302698</v>
      </c>
      <c r="BZ1811" s="129">
        <f>VLOOKUP($D1811,WGI!$C$2:$O$478,2,FALSE)</f>
        <v>-0.394694258708917</v>
      </c>
      <c r="CB1811" s="129"/>
    </row>
    <row r="1812" spans="1:80" s="120" customFormat="1" ht="15" customHeight="1">
      <c r="A1812" s="407" t="s">
        <v>462</v>
      </c>
      <c r="B1812" s="408">
        <v>2012</v>
      </c>
      <c r="C1812" s="805" t="s">
        <v>449</v>
      </c>
      <c r="D1812" s="117" t="s">
        <v>3745</v>
      </c>
      <c r="E1812" s="409" t="s">
        <v>220</v>
      </c>
      <c r="F1812" s="410"/>
      <c r="G1812" s="621" t="s">
        <v>24</v>
      </c>
      <c r="H1812" s="117" t="str">
        <f t="shared" si="304"/>
        <v>yes</v>
      </c>
      <c r="I1812" s="117" t="str">
        <f t="shared" si="308"/>
        <v>no</v>
      </c>
      <c r="J1812" s="117" t="str">
        <f t="shared" si="309"/>
        <v>no</v>
      </c>
      <c r="K1812" s="410" t="s">
        <v>1437</v>
      </c>
      <c r="L1812" s="117" t="str">
        <f t="shared" si="305"/>
        <v>detailed</v>
      </c>
      <c r="M1812" s="117" t="str">
        <f t="shared" si="310"/>
        <v>detailed Mining</v>
      </c>
      <c r="N1812" s="411">
        <v>0</v>
      </c>
      <c r="O1812" s="411"/>
      <c r="P1812" s="411"/>
      <c r="Q1812" s="411"/>
      <c r="R1812" s="411"/>
      <c r="S1812" s="410" t="s">
        <v>610</v>
      </c>
      <c r="T1812" s="412"/>
      <c r="U1812" s="410"/>
      <c r="V1812" s="410" t="s">
        <v>684</v>
      </c>
      <c r="W1812" s="413">
        <f t="shared" si="317"/>
        <v>0</v>
      </c>
      <c r="X1812" s="410"/>
      <c r="Y1812" s="413"/>
      <c r="Z1812" s="413"/>
      <c r="AA1812" s="413"/>
      <c r="AB1812" s="413"/>
      <c r="AC1812" s="618"/>
      <c r="AD1812" s="618"/>
      <c r="AE1812" s="618"/>
      <c r="AF1812" s="619"/>
      <c r="AG1812" s="413"/>
      <c r="AH1812" s="417"/>
      <c r="AI1812" s="410"/>
      <c r="AJ1812" s="410"/>
      <c r="AK1812" s="413"/>
      <c r="AL1812" s="410"/>
      <c r="AM1812" s="410"/>
      <c r="AN1812" s="410"/>
      <c r="AO1812" s="410"/>
      <c r="AP1812" s="410"/>
      <c r="AQ1812" s="410"/>
      <c r="AR1812" s="410"/>
      <c r="AS1812" s="410"/>
      <c r="AT1812" s="410"/>
      <c r="AU1812" s="410"/>
      <c r="AV1812" s="419"/>
      <c r="AW1812" s="117">
        <f>VLOOKUP($D1812,'WB Data'!$C$3:$M$578,2,FALSE)</f>
        <v>192628494178.35443</v>
      </c>
      <c r="AX1812" s="117">
        <f>VLOOKUP($D1812,'WB Data'!$C$3:$M$578,3,FALSE)</f>
        <v>29987800</v>
      </c>
      <c r="AY1812" s="847">
        <f t="shared" si="312"/>
        <v>2.8453252798234702E-2</v>
      </c>
      <c r="AZ1812" s="117">
        <f>VLOOKUP($D1812,'WB Data'!$C$3:$M$578,4,FALSE)/100</f>
        <v>0.21510754766218843</v>
      </c>
      <c r="BA1812" s="117">
        <f t="shared" si="313"/>
        <v>41435842992.565964</v>
      </c>
      <c r="BB1812" s="129">
        <f>IFERROR(VLOOKUP($D1812,'EITI Revenues'!$C$2:$G$224,5,FALSE),"..")</f>
        <v>5480907241</v>
      </c>
      <c r="BC1812" s="846">
        <f t="shared" si="314"/>
        <v>0.13227454409418757</v>
      </c>
      <c r="BD1812" s="129">
        <f>VLOOKUP($D1812,'WB Data 2'!$C$2:$K$545,6,FALSE)</f>
        <v>29761875410.518784</v>
      </c>
      <c r="BE1812" s="129">
        <f>IFERROR(VLOOKUP($D1812,UNCTAD!$C$5:$V$529,4,FALSE),"..")</f>
        <v>51063297000</v>
      </c>
      <c r="BF1812" s="846">
        <f t="shared" si="315"/>
        <v>0.58284280802547439</v>
      </c>
      <c r="BG1812" s="117">
        <f>VLOOKUP($D1812,'WB Data'!$C$3:$M$578,5,FALSE)</f>
        <v>393820000</v>
      </c>
      <c r="BH1812" s="129">
        <f>IFERROR($BB1812/$BG1812,"..")</f>
        <v>13.91729023665634</v>
      </c>
      <c r="BI1812" s="117">
        <f>IFERROR(VLOOKUP($D1812,'WB Data'!$C$3:$M$578,7,FALSE)/100,"..")</f>
        <v>2.76046E-2</v>
      </c>
      <c r="BJ1812" s="117">
        <f>IFERROR($BI1812*$AW1812,"..")</f>
        <v>5317432530.3958025</v>
      </c>
      <c r="BK1812" s="846">
        <f>IFERROR($BB1812/$BJ1812,"..")</f>
        <v>1.0307431659301241</v>
      </c>
      <c r="BL1812" s="117">
        <f>IFERROR(VLOOKUP($D1812,'WB Data'!$C$3:$M$578,7,FALSE)/100,"..")</f>
        <v>2.76046E-2</v>
      </c>
      <c r="BM1812" s="117">
        <f>IFERROR($AW1812*$BL1812,"..")</f>
        <v>5317432530.3958025</v>
      </c>
      <c r="BN1812" s="846">
        <f>IFERROR($BB1812/$BM1812,"..")</f>
        <v>1.0307431659301241</v>
      </c>
      <c r="BO1812" s="801">
        <f t="shared" si="311"/>
        <v>38</v>
      </c>
      <c r="BP1812" s="117">
        <f>VLOOKUP($D1812,'WB Data'!$C$3:$M$578,9,FALSE)</f>
        <v>25.8</v>
      </c>
      <c r="BQ1812" s="117">
        <f>VLOOKUP($D1812,'WB Data'!$C$3:$M$578,10,FALSE)</f>
        <v>74.515536585365851</v>
      </c>
      <c r="BR1812" s="117">
        <f>VLOOKUP($D1812,'WB Data'!$C$3:$M$578,11,FALSE)</f>
        <v>13.6</v>
      </c>
      <c r="BS1812" s="129" t="str">
        <f>IFERROR(VLOOKUP($D1812,'WB Data 2'!$C$2:$K$545,9,FALSE),"..")</f>
        <v>..</v>
      </c>
      <c r="BT1812" s="129">
        <f>_xlfn.IFNA(VLOOKUP($C1812,RGI!$A$2:$C$43,2,FALSE),"..")</f>
        <v>76.8</v>
      </c>
      <c r="BU1812" s="129">
        <f>_xlfn.IFNA(VLOOKUP($C1812,RGI!$A$2:$C$43,3,FALSE),"..")</f>
        <v>72.816147461462435</v>
      </c>
      <c r="BV1812" s="129">
        <f>VLOOKUP($D1812,WGI!$C$2:$O$478,7,FALSE)</f>
        <v>6.8806180868862199E-2</v>
      </c>
      <c r="BW1812" s="129">
        <f>VLOOKUP($D1812,WGI!$C$2:$O$478,4,FALSE)</f>
        <v>-0.86195648593669605</v>
      </c>
      <c r="BX1812" s="129">
        <f>VLOOKUP($D1812,WGI!$C$2:$O$478,3,FALSE)</f>
        <v>-0.157626358241128</v>
      </c>
      <c r="BY1812" s="129">
        <f>VLOOKUP($D1812,WGI!$C$2:$O$478,5,FALSE)</f>
        <v>0.48941210864302698</v>
      </c>
      <c r="BZ1812" s="129">
        <f>VLOOKUP($D1812,WGI!$C$2:$O$478,2,FALSE)</f>
        <v>-0.394694258708917</v>
      </c>
      <c r="CB1812" s="129"/>
    </row>
    <row r="1813" spans="1:80" s="120" customFormat="1" ht="15" customHeight="1">
      <c r="A1813" s="407" t="s">
        <v>462</v>
      </c>
      <c r="B1813" s="408">
        <v>2012</v>
      </c>
      <c r="C1813" s="805" t="s">
        <v>449</v>
      </c>
      <c r="D1813" s="117" t="s">
        <v>3745</v>
      </c>
      <c r="E1813" s="409" t="s">
        <v>220</v>
      </c>
      <c r="F1813" s="410"/>
      <c r="G1813" s="621" t="s">
        <v>24</v>
      </c>
      <c r="H1813" s="117" t="str">
        <f t="shared" si="304"/>
        <v>yes</v>
      </c>
      <c r="I1813" s="117" t="str">
        <f t="shared" si="308"/>
        <v>no</v>
      </c>
      <c r="J1813" s="117" t="str">
        <f t="shared" si="309"/>
        <v>no</v>
      </c>
      <c r="K1813" s="410" t="s">
        <v>2101</v>
      </c>
      <c r="L1813" s="117" t="str">
        <f t="shared" si="305"/>
        <v>detailed</v>
      </c>
      <c r="M1813" s="117" t="str">
        <f t="shared" si="310"/>
        <v>detailed Mining</v>
      </c>
      <c r="N1813" s="411">
        <v>87481</v>
      </c>
      <c r="O1813" s="411"/>
      <c r="P1813" s="411"/>
      <c r="Q1813" s="411"/>
      <c r="R1813" s="411"/>
      <c r="S1813" s="410" t="s">
        <v>610</v>
      </c>
      <c r="T1813" s="412">
        <v>9.1</v>
      </c>
      <c r="U1813" s="410" t="s">
        <v>611</v>
      </c>
      <c r="V1813" s="410" t="s">
        <v>2154</v>
      </c>
      <c r="W1813" s="413">
        <f t="shared" si="317"/>
        <v>796077.1</v>
      </c>
      <c r="X1813" s="410"/>
      <c r="Y1813" s="413"/>
      <c r="Z1813" s="413"/>
      <c r="AA1813" s="413"/>
      <c r="AB1813" s="413"/>
      <c r="AC1813" s="618"/>
      <c r="AD1813" s="618"/>
      <c r="AE1813" s="618"/>
      <c r="AF1813" s="619"/>
      <c r="AG1813" s="413"/>
      <c r="AH1813" s="417"/>
      <c r="AI1813" s="410"/>
      <c r="AJ1813" s="410"/>
      <c r="AK1813" s="413"/>
      <c r="AL1813" s="410"/>
      <c r="AM1813" s="410"/>
      <c r="AN1813" s="410"/>
      <c r="AO1813" s="410"/>
      <c r="AP1813" s="410"/>
      <c r="AQ1813" s="410"/>
      <c r="AR1813" s="410"/>
      <c r="AS1813" s="410"/>
      <c r="AT1813" s="410"/>
      <c r="AU1813" s="410"/>
      <c r="AV1813" s="419"/>
      <c r="AW1813" s="117">
        <f>VLOOKUP($D1813,'WB Data'!$C$3:$M$578,2,FALSE)</f>
        <v>192628494178.35443</v>
      </c>
      <c r="AX1813" s="117">
        <f>VLOOKUP($D1813,'WB Data'!$C$3:$M$578,3,FALSE)</f>
        <v>29987800</v>
      </c>
      <c r="AY1813" s="847">
        <f t="shared" si="312"/>
        <v>2.8453252798234702E-2</v>
      </c>
      <c r="AZ1813" s="117">
        <f>VLOOKUP($D1813,'WB Data'!$C$3:$M$578,4,FALSE)/100</f>
        <v>0.21510754766218843</v>
      </c>
      <c r="BA1813" s="117">
        <f t="shared" si="313"/>
        <v>41435842992.565964</v>
      </c>
      <c r="BB1813" s="129">
        <f>IFERROR(VLOOKUP($D1813,'EITI Revenues'!$C$2:$G$224,5,FALSE),"..")</f>
        <v>5480907241</v>
      </c>
      <c r="BC1813" s="846">
        <f t="shared" si="314"/>
        <v>0.13227454409418757</v>
      </c>
      <c r="BD1813" s="129">
        <f>VLOOKUP($D1813,'WB Data 2'!$C$2:$K$545,6,FALSE)</f>
        <v>29761875410.518784</v>
      </c>
      <c r="BE1813" s="129">
        <f>IFERROR(VLOOKUP($D1813,UNCTAD!$C$5:$V$529,4,FALSE),"..")</f>
        <v>51063297000</v>
      </c>
      <c r="BF1813" s="846">
        <f t="shared" si="315"/>
        <v>0.58284280802547439</v>
      </c>
      <c r="BG1813" s="117">
        <f>VLOOKUP($D1813,'WB Data'!$C$3:$M$578,5,FALSE)</f>
        <v>393820000</v>
      </c>
      <c r="BH1813" s="129">
        <f>IFERROR($BB1813/$BG1813,"..")</f>
        <v>13.91729023665634</v>
      </c>
      <c r="BI1813" s="117">
        <f>IFERROR(VLOOKUP($D1813,'WB Data'!$C$3:$M$578,7,FALSE)/100,"..")</f>
        <v>2.76046E-2</v>
      </c>
      <c r="BJ1813" s="117">
        <f>IFERROR($BI1813*$AW1813,"..")</f>
        <v>5317432530.3958025</v>
      </c>
      <c r="BK1813" s="846">
        <f>IFERROR($BB1813/$BJ1813,"..")</f>
        <v>1.0307431659301241</v>
      </c>
      <c r="BL1813" s="117">
        <f>IFERROR(VLOOKUP($D1813,'WB Data'!$C$3:$M$578,7,FALSE)/100,"..")</f>
        <v>2.76046E-2</v>
      </c>
      <c r="BM1813" s="117">
        <f>IFERROR($AW1813*$BL1813,"..")</f>
        <v>5317432530.3958025</v>
      </c>
      <c r="BN1813" s="846">
        <f>IFERROR($BB1813/$BM1813,"..")</f>
        <v>1.0307431659301241</v>
      </c>
      <c r="BO1813" s="801">
        <f t="shared" si="311"/>
        <v>38</v>
      </c>
      <c r="BP1813" s="117">
        <f>VLOOKUP($D1813,'WB Data'!$C$3:$M$578,9,FALSE)</f>
        <v>25.8</v>
      </c>
      <c r="BQ1813" s="117">
        <f>VLOOKUP($D1813,'WB Data'!$C$3:$M$578,10,FALSE)</f>
        <v>74.515536585365851</v>
      </c>
      <c r="BR1813" s="117">
        <f>VLOOKUP($D1813,'WB Data'!$C$3:$M$578,11,FALSE)</f>
        <v>13.6</v>
      </c>
      <c r="BS1813" s="129" t="str">
        <f>IFERROR(VLOOKUP($D1813,'WB Data 2'!$C$2:$K$545,9,FALSE),"..")</f>
        <v>..</v>
      </c>
      <c r="BT1813" s="129">
        <f>_xlfn.IFNA(VLOOKUP($C1813,RGI!$A$2:$C$43,2,FALSE),"..")</f>
        <v>76.8</v>
      </c>
      <c r="BU1813" s="129">
        <f>_xlfn.IFNA(VLOOKUP($C1813,RGI!$A$2:$C$43,3,FALSE),"..")</f>
        <v>72.816147461462435</v>
      </c>
      <c r="BV1813" s="129">
        <f>VLOOKUP($D1813,WGI!$C$2:$O$478,7,FALSE)</f>
        <v>6.8806180868862199E-2</v>
      </c>
      <c r="BW1813" s="129">
        <f>VLOOKUP($D1813,WGI!$C$2:$O$478,4,FALSE)</f>
        <v>-0.86195648593669605</v>
      </c>
      <c r="BX1813" s="129">
        <f>VLOOKUP($D1813,WGI!$C$2:$O$478,3,FALSE)</f>
        <v>-0.157626358241128</v>
      </c>
      <c r="BY1813" s="129">
        <f>VLOOKUP($D1813,WGI!$C$2:$O$478,5,FALSE)</f>
        <v>0.48941210864302698</v>
      </c>
      <c r="BZ1813" s="129">
        <f>VLOOKUP($D1813,WGI!$C$2:$O$478,2,FALSE)</f>
        <v>-0.394694258708917</v>
      </c>
      <c r="CB1813" s="129"/>
    </row>
    <row r="1814" spans="1:80" s="120" customFormat="1" ht="15" customHeight="1">
      <c r="A1814" s="407" t="s">
        <v>462</v>
      </c>
      <c r="B1814" s="408">
        <v>2012</v>
      </c>
      <c r="C1814" s="805" t="s">
        <v>449</v>
      </c>
      <c r="D1814" s="117" t="s">
        <v>3745</v>
      </c>
      <c r="E1814" s="409" t="s">
        <v>220</v>
      </c>
      <c r="F1814" s="410"/>
      <c r="G1814" s="621" t="s">
        <v>24</v>
      </c>
      <c r="H1814" s="117" t="str">
        <f t="shared" si="304"/>
        <v>yes</v>
      </c>
      <c r="I1814" s="117" t="str">
        <f t="shared" si="308"/>
        <v>no</v>
      </c>
      <c r="J1814" s="117" t="str">
        <f t="shared" si="309"/>
        <v>no</v>
      </c>
      <c r="K1814" s="410" t="s">
        <v>1147</v>
      </c>
      <c r="L1814" s="117" t="str">
        <f t="shared" si="305"/>
        <v>detailed</v>
      </c>
      <c r="M1814" s="117" t="str">
        <f t="shared" si="310"/>
        <v>detailed Mining</v>
      </c>
      <c r="N1814" s="411">
        <v>1199585</v>
      </c>
      <c r="O1814" s="411"/>
      <c r="P1814" s="411"/>
      <c r="Q1814" s="411"/>
      <c r="R1814" s="411"/>
      <c r="S1814" s="410" t="s">
        <v>610</v>
      </c>
      <c r="T1814" s="412">
        <v>67.25</v>
      </c>
      <c r="U1814" s="410" t="s">
        <v>611</v>
      </c>
      <c r="V1814" s="410" t="s">
        <v>1239</v>
      </c>
      <c r="W1814" s="413">
        <f t="shared" si="317"/>
        <v>80672091.25</v>
      </c>
      <c r="X1814" s="410"/>
      <c r="Y1814" s="413"/>
      <c r="Z1814" s="413"/>
      <c r="AA1814" s="413"/>
      <c r="AB1814" s="413"/>
      <c r="AC1814" s="618"/>
      <c r="AD1814" s="618"/>
      <c r="AE1814" s="618"/>
      <c r="AF1814" s="619"/>
      <c r="AG1814" s="413"/>
      <c r="AH1814" s="417"/>
      <c r="AI1814" s="410"/>
      <c r="AJ1814" s="410"/>
      <c r="AK1814" s="413"/>
      <c r="AL1814" s="410"/>
      <c r="AM1814" s="410"/>
      <c r="AN1814" s="410"/>
      <c r="AO1814" s="410"/>
      <c r="AP1814" s="410"/>
      <c r="AQ1814" s="410"/>
      <c r="AR1814" s="410"/>
      <c r="AS1814" s="410"/>
      <c r="AT1814" s="410"/>
      <c r="AU1814" s="410"/>
      <c r="AV1814" s="419"/>
      <c r="AW1814" s="117">
        <f>VLOOKUP($D1814,'WB Data'!$C$3:$M$578,2,FALSE)</f>
        <v>192628494178.35443</v>
      </c>
      <c r="AX1814" s="117">
        <f>VLOOKUP($D1814,'WB Data'!$C$3:$M$578,3,FALSE)</f>
        <v>29987800</v>
      </c>
      <c r="AY1814" s="847">
        <f t="shared" si="312"/>
        <v>2.8453252798234702E-2</v>
      </c>
      <c r="AZ1814" s="117">
        <f>VLOOKUP($D1814,'WB Data'!$C$3:$M$578,4,FALSE)/100</f>
        <v>0.21510754766218843</v>
      </c>
      <c r="BA1814" s="117">
        <f t="shared" si="313"/>
        <v>41435842992.565964</v>
      </c>
      <c r="BB1814" s="129">
        <f>IFERROR(VLOOKUP($D1814,'EITI Revenues'!$C$2:$G$224,5,FALSE),"..")</f>
        <v>5480907241</v>
      </c>
      <c r="BC1814" s="846">
        <f t="shared" si="314"/>
        <v>0.13227454409418757</v>
      </c>
      <c r="BD1814" s="129">
        <f>VLOOKUP($D1814,'WB Data 2'!$C$2:$K$545,6,FALSE)</f>
        <v>29761875410.518784</v>
      </c>
      <c r="BE1814" s="129">
        <f>IFERROR(VLOOKUP($D1814,UNCTAD!$C$5:$V$529,4,FALSE),"..")</f>
        <v>51063297000</v>
      </c>
      <c r="BF1814" s="846">
        <f t="shared" si="315"/>
        <v>0.58284280802547439</v>
      </c>
      <c r="BG1814" s="117">
        <f>VLOOKUP($D1814,'WB Data'!$C$3:$M$578,5,FALSE)</f>
        <v>393820000</v>
      </c>
      <c r="BH1814" s="129">
        <f>IFERROR($BB1814/$BG1814,"..")</f>
        <v>13.91729023665634</v>
      </c>
      <c r="BI1814" s="117">
        <f>IFERROR(VLOOKUP($D1814,'WB Data'!$C$3:$M$578,7,FALSE)/100,"..")</f>
        <v>2.76046E-2</v>
      </c>
      <c r="BJ1814" s="117">
        <f>IFERROR($BI1814*$AW1814,"..")</f>
        <v>5317432530.3958025</v>
      </c>
      <c r="BK1814" s="846">
        <f>IFERROR($BB1814/$BJ1814,"..")</f>
        <v>1.0307431659301241</v>
      </c>
      <c r="BL1814" s="117">
        <f>IFERROR(VLOOKUP($D1814,'WB Data'!$C$3:$M$578,7,FALSE)/100,"..")</f>
        <v>2.76046E-2</v>
      </c>
      <c r="BM1814" s="117">
        <f>IFERROR($AW1814*$BL1814,"..")</f>
        <v>5317432530.3958025</v>
      </c>
      <c r="BN1814" s="846">
        <f>IFERROR($BB1814/$BM1814,"..")</f>
        <v>1.0307431659301241</v>
      </c>
      <c r="BO1814" s="801">
        <f t="shared" si="311"/>
        <v>38</v>
      </c>
      <c r="BP1814" s="117">
        <f>VLOOKUP($D1814,'WB Data'!$C$3:$M$578,9,FALSE)</f>
        <v>25.8</v>
      </c>
      <c r="BQ1814" s="117">
        <f>VLOOKUP($D1814,'WB Data'!$C$3:$M$578,10,FALSE)</f>
        <v>74.515536585365851</v>
      </c>
      <c r="BR1814" s="117">
        <f>VLOOKUP($D1814,'WB Data'!$C$3:$M$578,11,FALSE)</f>
        <v>13.6</v>
      </c>
      <c r="BS1814" s="129" t="str">
        <f>IFERROR(VLOOKUP($D1814,'WB Data 2'!$C$2:$K$545,9,FALSE),"..")</f>
        <v>..</v>
      </c>
      <c r="BT1814" s="129">
        <f>_xlfn.IFNA(VLOOKUP($C1814,RGI!$A$2:$C$43,2,FALSE),"..")</f>
        <v>76.8</v>
      </c>
      <c r="BU1814" s="129">
        <f>_xlfn.IFNA(VLOOKUP($C1814,RGI!$A$2:$C$43,3,FALSE),"..")</f>
        <v>72.816147461462435</v>
      </c>
      <c r="BV1814" s="129">
        <f>VLOOKUP($D1814,WGI!$C$2:$O$478,7,FALSE)</f>
        <v>6.8806180868862199E-2</v>
      </c>
      <c r="BW1814" s="129">
        <f>VLOOKUP($D1814,WGI!$C$2:$O$478,4,FALSE)</f>
        <v>-0.86195648593669605</v>
      </c>
      <c r="BX1814" s="129">
        <f>VLOOKUP($D1814,WGI!$C$2:$O$478,3,FALSE)</f>
        <v>-0.157626358241128</v>
      </c>
      <c r="BY1814" s="129">
        <f>VLOOKUP($D1814,WGI!$C$2:$O$478,5,FALSE)</f>
        <v>0.48941210864302698</v>
      </c>
      <c r="BZ1814" s="129">
        <f>VLOOKUP($D1814,WGI!$C$2:$O$478,2,FALSE)</f>
        <v>-0.394694258708917</v>
      </c>
      <c r="CB1814" s="129"/>
    </row>
    <row r="1815" spans="1:80" s="120" customFormat="1" ht="15" customHeight="1">
      <c r="A1815" s="407" t="s">
        <v>462</v>
      </c>
      <c r="B1815" s="408">
        <v>2012</v>
      </c>
      <c r="C1815" s="805" t="s">
        <v>449</v>
      </c>
      <c r="D1815" s="117" t="s">
        <v>3745</v>
      </c>
      <c r="E1815" s="409" t="s">
        <v>220</v>
      </c>
      <c r="F1815" s="410"/>
      <c r="G1815" s="621" t="s">
        <v>24</v>
      </c>
      <c r="H1815" s="117" t="str">
        <f t="shared" si="304"/>
        <v>yes</v>
      </c>
      <c r="I1815" s="117" t="str">
        <f t="shared" si="308"/>
        <v>no</v>
      </c>
      <c r="J1815" s="117" t="str">
        <f t="shared" si="309"/>
        <v>no</v>
      </c>
      <c r="K1815" s="410" t="s">
        <v>970</v>
      </c>
      <c r="L1815" s="117" t="str">
        <f t="shared" si="305"/>
        <v>detailed</v>
      </c>
      <c r="M1815" s="117" t="str">
        <f t="shared" si="310"/>
        <v>detailed Mining</v>
      </c>
      <c r="N1815" s="411">
        <v>1625000</v>
      </c>
      <c r="O1815" s="411"/>
      <c r="P1815" s="411"/>
      <c r="Q1815" s="411"/>
      <c r="R1815" s="411"/>
      <c r="S1815" s="410" t="s">
        <v>610</v>
      </c>
      <c r="T1815" s="412">
        <v>7.65</v>
      </c>
      <c r="U1815" s="410" t="s">
        <v>611</v>
      </c>
      <c r="V1815" s="410" t="s">
        <v>1253</v>
      </c>
      <c r="W1815" s="413">
        <f t="shared" si="317"/>
        <v>12431250</v>
      </c>
      <c r="X1815" s="410"/>
      <c r="Y1815" s="413"/>
      <c r="Z1815" s="413"/>
      <c r="AA1815" s="413"/>
      <c r="AB1815" s="413"/>
      <c r="AC1815" s="618"/>
      <c r="AD1815" s="618"/>
      <c r="AE1815" s="618"/>
      <c r="AF1815" s="619"/>
      <c r="AG1815" s="413"/>
      <c r="AH1815" s="417"/>
      <c r="AI1815" s="410"/>
      <c r="AJ1815" s="410"/>
      <c r="AK1815" s="413"/>
      <c r="AL1815" s="410"/>
      <c r="AM1815" s="410"/>
      <c r="AN1815" s="410"/>
      <c r="AO1815" s="410"/>
      <c r="AP1815" s="410"/>
      <c r="AQ1815" s="410"/>
      <c r="AR1815" s="410"/>
      <c r="AS1815" s="410"/>
      <c r="AT1815" s="410"/>
      <c r="AU1815" s="410"/>
      <c r="AV1815" s="419"/>
      <c r="AW1815" s="117">
        <f>VLOOKUP($D1815,'WB Data'!$C$3:$M$578,2,FALSE)</f>
        <v>192628494178.35443</v>
      </c>
      <c r="AX1815" s="117">
        <f>VLOOKUP($D1815,'WB Data'!$C$3:$M$578,3,FALSE)</f>
        <v>29987800</v>
      </c>
      <c r="AY1815" s="847">
        <f t="shared" si="312"/>
        <v>2.8453252798234702E-2</v>
      </c>
      <c r="AZ1815" s="117">
        <f>VLOOKUP($D1815,'WB Data'!$C$3:$M$578,4,FALSE)/100</f>
        <v>0.21510754766218843</v>
      </c>
      <c r="BA1815" s="117">
        <f t="shared" si="313"/>
        <v>41435842992.565964</v>
      </c>
      <c r="BB1815" s="129">
        <f>IFERROR(VLOOKUP($D1815,'EITI Revenues'!$C$2:$G$224,5,FALSE),"..")</f>
        <v>5480907241</v>
      </c>
      <c r="BC1815" s="846">
        <f t="shared" si="314"/>
        <v>0.13227454409418757</v>
      </c>
      <c r="BD1815" s="129">
        <f>VLOOKUP($D1815,'WB Data 2'!$C$2:$K$545,6,FALSE)</f>
        <v>29761875410.518784</v>
      </c>
      <c r="BE1815" s="129">
        <f>IFERROR(VLOOKUP($D1815,UNCTAD!$C$5:$V$529,4,FALSE),"..")</f>
        <v>51063297000</v>
      </c>
      <c r="BF1815" s="846">
        <f t="shared" si="315"/>
        <v>0.58284280802547439</v>
      </c>
      <c r="BG1815" s="117">
        <f>VLOOKUP($D1815,'WB Data'!$C$3:$M$578,5,FALSE)</f>
        <v>393820000</v>
      </c>
      <c r="BH1815" s="129">
        <f>IFERROR($BB1815/$BG1815,"..")</f>
        <v>13.91729023665634</v>
      </c>
      <c r="BI1815" s="117">
        <f>IFERROR(VLOOKUP($D1815,'WB Data'!$C$3:$M$578,7,FALSE)/100,"..")</f>
        <v>2.76046E-2</v>
      </c>
      <c r="BJ1815" s="117">
        <f>IFERROR($BI1815*$AW1815,"..")</f>
        <v>5317432530.3958025</v>
      </c>
      <c r="BK1815" s="846">
        <f>IFERROR($BB1815/$BJ1815,"..")</f>
        <v>1.0307431659301241</v>
      </c>
      <c r="BL1815" s="117">
        <f>IFERROR(VLOOKUP($D1815,'WB Data'!$C$3:$M$578,7,FALSE)/100,"..")</f>
        <v>2.76046E-2</v>
      </c>
      <c r="BM1815" s="117">
        <f>IFERROR($AW1815*$BL1815,"..")</f>
        <v>5317432530.3958025</v>
      </c>
      <c r="BN1815" s="846">
        <f>IFERROR($BB1815/$BM1815,"..")</f>
        <v>1.0307431659301241</v>
      </c>
      <c r="BO1815" s="801">
        <f t="shared" si="311"/>
        <v>38</v>
      </c>
      <c r="BP1815" s="117">
        <f>VLOOKUP($D1815,'WB Data'!$C$3:$M$578,9,FALSE)</f>
        <v>25.8</v>
      </c>
      <c r="BQ1815" s="117">
        <f>VLOOKUP($D1815,'WB Data'!$C$3:$M$578,10,FALSE)</f>
        <v>74.515536585365851</v>
      </c>
      <c r="BR1815" s="117">
        <f>VLOOKUP($D1815,'WB Data'!$C$3:$M$578,11,FALSE)</f>
        <v>13.6</v>
      </c>
      <c r="BS1815" s="129" t="str">
        <f>IFERROR(VLOOKUP($D1815,'WB Data 2'!$C$2:$K$545,9,FALSE),"..")</f>
        <v>..</v>
      </c>
      <c r="BT1815" s="129">
        <f>_xlfn.IFNA(VLOOKUP($C1815,RGI!$A$2:$C$43,2,FALSE),"..")</f>
        <v>76.8</v>
      </c>
      <c r="BU1815" s="129">
        <f>_xlfn.IFNA(VLOOKUP($C1815,RGI!$A$2:$C$43,3,FALSE),"..")</f>
        <v>72.816147461462435</v>
      </c>
      <c r="BV1815" s="129">
        <f>VLOOKUP($D1815,WGI!$C$2:$O$478,7,FALSE)</f>
        <v>6.8806180868862199E-2</v>
      </c>
      <c r="BW1815" s="129">
        <f>VLOOKUP($D1815,WGI!$C$2:$O$478,4,FALSE)</f>
        <v>-0.86195648593669605</v>
      </c>
      <c r="BX1815" s="129">
        <f>VLOOKUP($D1815,WGI!$C$2:$O$478,3,FALSE)</f>
        <v>-0.157626358241128</v>
      </c>
      <c r="BY1815" s="129">
        <f>VLOOKUP($D1815,WGI!$C$2:$O$478,5,FALSE)</f>
        <v>0.48941210864302698</v>
      </c>
      <c r="BZ1815" s="129">
        <f>VLOOKUP($D1815,WGI!$C$2:$O$478,2,FALSE)</f>
        <v>-0.394694258708917</v>
      </c>
      <c r="CB1815" s="129"/>
    </row>
    <row r="1816" spans="1:80" s="120" customFormat="1" ht="15" customHeight="1">
      <c r="A1816" s="407" t="s">
        <v>462</v>
      </c>
      <c r="B1816" s="408">
        <v>2012</v>
      </c>
      <c r="C1816" s="805" t="s">
        <v>449</v>
      </c>
      <c r="D1816" s="117" t="s">
        <v>3745</v>
      </c>
      <c r="E1816" s="409" t="s">
        <v>220</v>
      </c>
      <c r="F1816" s="410"/>
      <c r="G1816" s="621" t="s">
        <v>24</v>
      </c>
      <c r="H1816" s="117" t="str">
        <f t="shared" si="304"/>
        <v>yes</v>
      </c>
      <c r="I1816" s="117" t="str">
        <f t="shared" si="308"/>
        <v>no</v>
      </c>
      <c r="J1816" s="117" t="str">
        <f t="shared" si="309"/>
        <v>no</v>
      </c>
      <c r="K1816" s="410" t="s">
        <v>2044</v>
      </c>
      <c r="L1816" s="117" t="str">
        <f t="shared" si="305"/>
        <v>detailed</v>
      </c>
      <c r="M1816" s="117" t="str">
        <f t="shared" si="310"/>
        <v>detailed Mining</v>
      </c>
      <c r="N1816" s="411">
        <v>54000</v>
      </c>
      <c r="O1816" s="411"/>
      <c r="P1816" s="411"/>
      <c r="Q1816" s="411"/>
      <c r="R1816" s="411"/>
      <c r="S1816" s="410" t="s">
        <v>610</v>
      </c>
      <c r="T1816" s="412">
        <f>54.47/0.000453592</f>
        <v>120085.89216741036</v>
      </c>
      <c r="U1816" s="410" t="s">
        <v>611</v>
      </c>
      <c r="V1816" s="410" t="s">
        <v>2155</v>
      </c>
      <c r="W1816" s="413">
        <f t="shared" si="317"/>
        <v>6484638177.0401592</v>
      </c>
      <c r="X1816" s="410"/>
      <c r="Y1816" s="413"/>
      <c r="Z1816" s="413"/>
      <c r="AA1816" s="413"/>
      <c r="AB1816" s="413"/>
      <c r="AC1816" s="618"/>
      <c r="AD1816" s="618"/>
      <c r="AE1816" s="618"/>
      <c r="AF1816" s="619"/>
      <c r="AG1816" s="413"/>
      <c r="AH1816" s="417"/>
      <c r="AI1816" s="410"/>
      <c r="AJ1816" s="410"/>
      <c r="AK1816" s="413"/>
      <c r="AL1816" s="410"/>
      <c r="AM1816" s="410"/>
      <c r="AN1816" s="410"/>
      <c r="AO1816" s="410"/>
      <c r="AP1816" s="410"/>
      <c r="AQ1816" s="410"/>
      <c r="AR1816" s="410"/>
      <c r="AS1816" s="410"/>
      <c r="AT1816" s="410"/>
      <c r="AU1816" s="410"/>
      <c r="AV1816" s="419"/>
      <c r="AW1816" s="117">
        <f>VLOOKUP($D1816,'WB Data'!$C$3:$M$578,2,FALSE)</f>
        <v>192628494178.35443</v>
      </c>
      <c r="AX1816" s="117">
        <f>VLOOKUP($D1816,'WB Data'!$C$3:$M$578,3,FALSE)</f>
        <v>29987800</v>
      </c>
      <c r="AY1816" s="847">
        <f t="shared" si="312"/>
        <v>2.8453252798234702E-2</v>
      </c>
      <c r="AZ1816" s="117">
        <f>VLOOKUP($D1816,'WB Data'!$C$3:$M$578,4,FALSE)/100</f>
        <v>0.21510754766218843</v>
      </c>
      <c r="BA1816" s="117">
        <f t="shared" si="313"/>
        <v>41435842992.565964</v>
      </c>
      <c r="BB1816" s="129">
        <f>IFERROR(VLOOKUP($D1816,'EITI Revenues'!$C$2:$G$224,5,FALSE),"..")</f>
        <v>5480907241</v>
      </c>
      <c r="BC1816" s="846">
        <f t="shared" si="314"/>
        <v>0.13227454409418757</v>
      </c>
      <c r="BD1816" s="129">
        <f>VLOOKUP($D1816,'WB Data 2'!$C$2:$K$545,6,FALSE)</f>
        <v>29761875410.518784</v>
      </c>
      <c r="BE1816" s="129">
        <f>IFERROR(VLOOKUP($D1816,UNCTAD!$C$5:$V$529,4,FALSE),"..")</f>
        <v>51063297000</v>
      </c>
      <c r="BF1816" s="846">
        <f t="shared" si="315"/>
        <v>0.58284280802547439</v>
      </c>
      <c r="BG1816" s="117">
        <f>VLOOKUP($D1816,'WB Data'!$C$3:$M$578,5,FALSE)</f>
        <v>393820000</v>
      </c>
      <c r="BH1816" s="129">
        <f>IFERROR($BB1816/$BG1816,"..")</f>
        <v>13.91729023665634</v>
      </c>
      <c r="BI1816" s="117">
        <f>IFERROR(VLOOKUP($D1816,'WB Data'!$C$3:$M$578,7,FALSE)/100,"..")</f>
        <v>2.76046E-2</v>
      </c>
      <c r="BJ1816" s="117">
        <f>IFERROR($BI1816*$AW1816,"..")</f>
        <v>5317432530.3958025</v>
      </c>
      <c r="BK1816" s="846">
        <f>IFERROR($BB1816/$BJ1816,"..")</f>
        <v>1.0307431659301241</v>
      </c>
      <c r="BL1816" s="117">
        <f>IFERROR(VLOOKUP($D1816,'WB Data'!$C$3:$M$578,7,FALSE)/100,"..")</f>
        <v>2.76046E-2</v>
      </c>
      <c r="BM1816" s="117">
        <f>IFERROR($AW1816*$BL1816,"..")</f>
        <v>5317432530.3958025</v>
      </c>
      <c r="BN1816" s="846">
        <f>IFERROR($BB1816/$BM1816,"..")</f>
        <v>1.0307431659301241</v>
      </c>
      <c r="BO1816" s="801">
        <f t="shared" si="311"/>
        <v>38</v>
      </c>
      <c r="BP1816" s="117">
        <f>VLOOKUP($D1816,'WB Data'!$C$3:$M$578,9,FALSE)</f>
        <v>25.8</v>
      </c>
      <c r="BQ1816" s="117">
        <f>VLOOKUP($D1816,'WB Data'!$C$3:$M$578,10,FALSE)</f>
        <v>74.515536585365851</v>
      </c>
      <c r="BR1816" s="117">
        <f>VLOOKUP($D1816,'WB Data'!$C$3:$M$578,11,FALSE)</f>
        <v>13.6</v>
      </c>
      <c r="BS1816" s="129" t="str">
        <f>IFERROR(VLOOKUP($D1816,'WB Data 2'!$C$2:$K$545,9,FALSE),"..")</f>
        <v>..</v>
      </c>
      <c r="BT1816" s="129">
        <f>_xlfn.IFNA(VLOOKUP($C1816,RGI!$A$2:$C$43,2,FALSE),"..")</f>
        <v>76.8</v>
      </c>
      <c r="BU1816" s="129">
        <f>_xlfn.IFNA(VLOOKUP($C1816,RGI!$A$2:$C$43,3,FALSE),"..")</f>
        <v>72.816147461462435</v>
      </c>
      <c r="BV1816" s="129">
        <f>VLOOKUP($D1816,WGI!$C$2:$O$478,7,FALSE)</f>
        <v>6.8806180868862199E-2</v>
      </c>
      <c r="BW1816" s="129">
        <f>VLOOKUP($D1816,WGI!$C$2:$O$478,4,FALSE)</f>
        <v>-0.86195648593669605</v>
      </c>
      <c r="BX1816" s="129">
        <f>VLOOKUP($D1816,WGI!$C$2:$O$478,3,FALSE)</f>
        <v>-0.157626358241128</v>
      </c>
      <c r="BY1816" s="129">
        <f>VLOOKUP($D1816,WGI!$C$2:$O$478,5,FALSE)</f>
        <v>0.48941210864302698</v>
      </c>
      <c r="BZ1816" s="129">
        <f>VLOOKUP($D1816,WGI!$C$2:$O$478,2,FALSE)</f>
        <v>-0.394694258708917</v>
      </c>
      <c r="CB1816" s="129"/>
    </row>
    <row r="1817" spans="1:80" s="120" customFormat="1" ht="15" customHeight="1">
      <c r="A1817" s="407" t="s">
        <v>462</v>
      </c>
      <c r="B1817" s="408">
        <v>2012</v>
      </c>
      <c r="C1817" s="805" t="s">
        <v>449</v>
      </c>
      <c r="D1817" s="117" t="s">
        <v>3745</v>
      </c>
      <c r="E1817" s="409" t="s">
        <v>220</v>
      </c>
      <c r="F1817" s="410"/>
      <c r="G1817" s="621" t="s">
        <v>24</v>
      </c>
      <c r="H1817" s="117" t="str">
        <f t="shared" si="304"/>
        <v>yes</v>
      </c>
      <c r="I1817" s="117" t="str">
        <f t="shared" si="308"/>
        <v>no</v>
      </c>
      <c r="J1817" s="117" t="str">
        <f t="shared" si="309"/>
        <v>no</v>
      </c>
      <c r="K1817" s="410" t="s">
        <v>789</v>
      </c>
      <c r="L1817" s="117" t="str">
        <f t="shared" si="305"/>
        <v>detailed</v>
      </c>
      <c r="M1817" s="117" t="str">
        <f t="shared" si="310"/>
        <v>detailed Mining</v>
      </c>
      <c r="N1817" s="411">
        <f>3479*32150.7466</f>
        <v>111852447.4214</v>
      </c>
      <c r="O1817" s="411"/>
      <c r="P1817" s="411"/>
      <c r="Q1817" s="411"/>
      <c r="R1817" s="411"/>
      <c r="S1817" s="410" t="s">
        <v>785</v>
      </c>
      <c r="T1817" s="412">
        <f>31.13740833333/1</f>
        <v>31.137408333330001</v>
      </c>
      <c r="U1817" s="410" t="s">
        <v>786</v>
      </c>
      <c r="V1817" s="410" t="s">
        <v>798</v>
      </c>
      <c r="W1817" s="413">
        <f t="shared" si="317"/>
        <v>3482795328.4424558</v>
      </c>
      <c r="X1817" s="410"/>
      <c r="Y1817" s="413"/>
      <c r="Z1817" s="413"/>
      <c r="AA1817" s="413"/>
      <c r="AB1817" s="413"/>
      <c r="AC1817" s="618"/>
      <c r="AD1817" s="618"/>
      <c r="AE1817" s="618"/>
      <c r="AF1817" s="619"/>
      <c r="AG1817" s="413"/>
      <c r="AH1817" s="417"/>
      <c r="AI1817" s="410"/>
      <c r="AJ1817" s="410"/>
      <c r="AK1817" s="413"/>
      <c r="AL1817" s="410"/>
      <c r="AM1817" s="410"/>
      <c r="AN1817" s="410"/>
      <c r="AO1817" s="410"/>
      <c r="AP1817" s="410"/>
      <c r="AQ1817" s="410"/>
      <c r="AR1817" s="410"/>
      <c r="AS1817" s="410"/>
      <c r="AT1817" s="410"/>
      <c r="AU1817" s="410"/>
      <c r="AV1817" s="419"/>
      <c r="AW1817" s="117">
        <f>VLOOKUP($D1817,'WB Data'!$C$3:$M$578,2,FALSE)</f>
        <v>192628494178.35443</v>
      </c>
      <c r="AX1817" s="117">
        <f>VLOOKUP($D1817,'WB Data'!$C$3:$M$578,3,FALSE)</f>
        <v>29987800</v>
      </c>
      <c r="AY1817" s="847">
        <f t="shared" si="312"/>
        <v>2.8453252798234702E-2</v>
      </c>
      <c r="AZ1817" s="117">
        <f>VLOOKUP($D1817,'WB Data'!$C$3:$M$578,4,FALSE)/100</f>
        <v>0.21510754766218843</v>
      </c>
      <c r="BA1817" s="117">
        <f t="shared" si="313"/>
        <v>41435842992.565964</v>
      </c>
      <c r="BB1817" s="129">
        <f>IFERROR(VLOOKUP($D1817,'EITI Revenues'!$C$2:$G$224,5,FALSE),"..")</f>
        <v>5480907241</v>
      </c>
      <c r="BC1817" s="846">
        <f t="shared" si="314"/>
        <v>0.13227454409418757</v>
      </c>
      <c r="BD1817" s="129">
        <f>VLOOKUP($D1817,'WB Data 2'!$C$2:$K$545,6,FALSE)</f>
        <v>29761875410.518784</v>
      </c>
      <c r="BE1817" s="129">
        <f>IFERROR(VLOOKUP($D1817,UNCTAD!$C$5:$V$529,4,FALSE),"..")</f>
        <v>51063297000</v>
      </c>
      <c r="BF1817" s="846">
        <f t="shared" si="315"/>
        <v>0.58284280802547439</v>
      </c>
      <c r="BG1817" s="117">
        <f>VLOOKUP($D1817,'WB Data'!$C$3:$M$578,5,FALSE)</f>
        <v>393820000</v>
      </c>
      <c r="BH1817" s="129">
        <f>IFERROR($BB1817/$BG1817,"..")</f>
        <v>13.91729023665634</v>
      </c>
      <c r="BI1817" s="117">
        <f>IFERROR(VLOOKUP($D1817,'WB Data'!$C$3:$M$578,7,FALSE)/100,"..")</f>
        <v>2.76046E-2</v>
      </c>
      <c r="BJ1817" s="117">
        <f>IFERROR($BI1817*$AW1817,"..")</f>
        <v>5317432530.3958025</v>
      </c>
      <c r="BK1817" s="846">
        <f>IFERROR($BB1817/$BJ1817,"..")</f>
        <v>1.0307431659301241</v>
      </c>
      <c r="BL1817" s="117">
        <f>IFERROR(VLOOKUP($D1817,'WB Data'!$C$3:$M$578,7,FALSE)/100,"..")</f>
        <v>2.76046E-2</v>
      </c>
      <c r="BM1817" s="117">
        <f>IFERROR($AW1817*$BL1817,"..")</f>
        <v>5317432530.3958025</v>
      </c>
      <c r="BN1817" s="846">
        <f>IFERROR($BB1817/$BM1817,"..")</f>
        <v>1.0307431659301241</v>
      </c>
      <c r="BO1817" s="801">
        <f t="shared" si="311"/>
        <v>38</v>
      </c>
      <c r="BP1817" s="117">
        <f>VLOOKUP($D1817,'WB Data'!$C$3:$M$578,9,FALSE)</f>
        <v>25.8</v>
      </c>
      <c r="BQ1817" s="117">
        <f>VLOOKUP($D1817,'WB Data'!$C$3:$M$578,10,FALSE)</f>
        <v>74.515536585365851</v>
      </c>
      <c r="BR1817" s="117">
        <f>VLOOKUP($D1817,'WB Data'!$C$3:$M$578,11,FALSE)</f>
        <v>13.6</v>
      </c>
      <c r="BS1817" s="129" t="str">
        <f>IFERROR(VLOOKUP($D1817,'WB Data 2'!$C$2:$K$545,9,FALSE),"..")</f>
        <v>..</v>
      </c>
      <c r="BT1817" s="129">
        <f>_xlfn.IFNA(VLOOKUP($C1817,RGI!$A$2:$C$43,2,FALSE),"..")</f>
        <v>76.8</v>
      </c>
      <c r="BU1817" s="129">
        <f>_xlfn.IFNA(VLOOKUP($C1817,RGI!$A$2:$C$43,3,FALSE),"..")</f>
        <v>72.816147461462435</v>
      </c>
      <c r="BV1817" s="129">
        <f>VLOOKUP($D1817,WGI!$C$2:$O$478,7,FALSE)</f>
        <v>6.8806180868862199E-2</v>
      </c>
      <c r="BW1817" s="129">
        <f>VLOOKUP($D1817,WGI!$C$2:$O$478,4,FALSE)</f>
        <v>-0.86195648593669605</v>
      </c>
      <c r="BX1817" s="129">
        <f>VLOOKUP($D1817,WGI!$C$2:$O$478,3,FALSE)</f>
        <v>-0.157626358241128</v>
      </c>
      <c r="BY1817" s="129">
        <f>VLOOKUP($D1817,WGI!$C$2:$O$478,5,FALSE)</f>
        <v>0.48941210864302698</v>
      </c>
      <c r="BZ1817" s="129">
        <f>VLOOKUP($D1817,WGI!$C$2:$O$478,2,FALSE)</f>
        <v>-0.394694258708917</v>
      </c>
      <c r="CB1817" s="129"/>
    </row>
    <row r="1818" spans="1:80" s="120" customFormat="1" ht="15" customHeight="1">
      <c r="A1818" s="407" t="s">
        <v>462</v>
      </c>
      <c r="B1818" s="408">
        <v>2012</v>
      </c>
      <c r="C1818" s="805" t="s">
        <v>449</v>
      </c>
      <c r="D1818" s="117" t="s">
        <v>3745</v>
      </c>
      <c r="E1818" s="409" t="s">
        <v>220</v>
      </c>
      <c r="F1818" s="410"/>
      <c r="G1818" s="621" t="s">
        <v>24</v>
      </c>
      <c r="H1818" s="117" t="str">
        <f t="shared" si="304"/>
        <v>yes</v>
      </c>
      <c r="I1818" s="117" t="str">
        <f t="shared" si="308"/>
        <v>no</v>
      </c>
      <c r="J1818" s="117" t="str">
        <f t="shared" si="309"/>
        <v>no</v>
      </c>
      <c r="K1818" s="410" t="s">
        <v>1241</v>
      </c>
      <c r="L1818" s="117" t="str">
        <f t="shared" si="305"/>
        <v>detailed</v>
      </c>
      <c r="M1818" s="117" t="str">
        <f t="shared" si="310"/>
        <v>detailed Mining</v>
      </c>
      <c r="N1818" s="411">
        <v>16500</v>
      </c>
      <c r="O1818" s="411"/>
      <c r="P1818" s="411"/>
      <c r="Q1818" s="411"/>
      <c r="R1818" s="411"/>
      <c r="S1818" s="410" t="s">
        <v>610</v>
      </c>
      <c r="T1818" s="412">
        <v>11.2</v>
      </c>
      <c r="U1818" s="410" t="s">
        <v>611</v>
      </c>
      <c r="V1818" s="410" t="s">
        <v>2156</v>
      </c>
      <c r="W1818" s="413">
        <f t="shared" si="317"/>
        <v>184800</v>
      </c>
      <c r="X1818" s="621"/>
      <c r="Y1818" s="413"/>
      <c r="Z1818" s="413"/>
      <c r="AA1818" s="413"/>
      <c r="AB1818" s="413"/>
      <c r="AC1818" s="618"/>
      <c r="AD1818" s="618"/>
      <c r="AE1818" s="618"/>
      <c r="AF1818" s="619"/>
      <c r="AG1818" s="413"/>
      <c r="AH1818" s="417"/>
      <c r="AI1818" s="410"/>
      <c r="AJ1818" s="410"/>
      <c r="AK1818" s="413"/>
      <c r="AL1818" s="410"/>
      <c r="AM1818" s="410"/>
      <c r="AN1818" s="410"/>
      <c r="AO1818" s="410"/>
      <c r="AP1818" s="410"/>
      <c r="AQ1818" s="410"/>
      <c r="AR1818" s="410"/>
      <c r="AS1818" s="410"/>
      <c r="AT1818" s="410"/>
      <c r="AU1818" s="410"/>
      <c r="AV1818" s="419"/>
      <c r="AW1818" s="117">
        <f>VLOOKUP($D1818,'WB Data'!$C$3:$M$578,2,FALSE)</f>
        <v>192628494178.35443</v>
      </c>
      <c r="AX1818" s="117">
        <f>VLOOKUP($D1818,'WB Data'!$C$3:$M$578,3,FALSE)</f>
        <v>29987800</v>
      </c>
      <c r="AY1818" s="847">
        <f t="shared" si="312"/>
        <v>2.8453252798234702E-2</v>
      </c>
      <c r="AZ1818" s="117">
        <f>VLOOKUP($D1818,'WB Data'!$C$3:$M$578,4,FALSE)/100</f>
        <v>0.21510754766218843</v>
      </c>
      <c r="BA1818" s="117">
        <f t="shared" si="313"/>
        <v>41435842992.565964</v>
      </c>
      <c r="BB1818" s="129">
        <f>IFERROR(VLOOKUP($D1818,'EITI Revenues'!$C$2:$G$224,5,FALSE),"..")</f>
        <v>5480907241</v>
      </c>
      <c r="BC1818" s="846">
        <f t="shared" si="314"/>
        <v>0.13227454409418757</v>
      </c>
      <c r="BD1818" s="129">
        <f>VLOOKUP($D1818,'WB Data 2'!$C$2:$K$545,6,FALSE)</f>
        <v>29761875410.518784</v>
      </c>
      <c r="BE1818" s="129">
        <f>IFERROR(VLOOKUP($D1818,UNCTAD!$C$5:$V$529,4,FALSE),"..")</f>
        <v>51063297000</v>
      </c>
      <c r="BF1818" s="846">
        <f t="shared" si="315"/>
        <v>0.58284280802547439</v>
      </c>
      <c r="BG1818" s="117">
        <f>VLOOKUP($D1818,'WB Data'!$C$3:$M$578,5,FALSE)</f>
        <v>393820000</v>
      </c>
      <c r="BH1818" s="129">
        <f>IFERROR($BB1818/$BG1818,"..")</f>
        <v>13.91729023665634</v>
      </c>
      <c r="BI1818" s="117">
        <f>IFERROR(VLOOKUP($D1818,'WB Data'!$C$3:$M$578,7,FALSE)/100,"..")</f>
        <v>2.76046E-2</v>
      </c>
      <c r="BJ1818" s="117">
        <f>IFERROR($BI1818*$AW1818,"..")</f>
        <v>5317432530.3958025</v>
      </c>
      <c r="BK1818" s="846">
        <f>IFERROR($BB1818/$BJ1818,"..")</f>
        <v>1.0307431659301241</v>
      </c>
      <c r="BL1818" s="117">
        <f>IFERROR(VLOOKUP($D1818,'WB Data'!$C$3:$M$578,7,FALSE)/100,"..")</f>
        <v>2.76046E-2</v>
      </c>
      <c r="BM1818" s="117">
        <f>IFERROR($AW1818*$BL1818,"..")</f>
        <v>5317432530.3958025</v>
      </c>
      <c r="BN1818" s="846">
        <f>IFERROR($BB1818/$BM1818,"..")</f>
        <v>1.0307431659301241</v>
      </c>
      <c r="BO1818" s="801">
        <f t="shared" si="311"/>
        <v>38</v>
      </c>
      <c r="BP1818" s="117">
        <f>VLOOKUP($D1818,'WB Data'!$C$3:$M$578,9,FALSE)</f>
        <v>25.8</v>
      </c>
      <c r="BQ1818" s="117">
        <f>VLOOKUP($D1818,'WB Data'!$C$3:$M$578,10,FALSE)</f>
        <v>74.515536585365851</v>
      </c>
      <c r="BR1818" s="117">
        <f>VLOOKUP($D1818,'WB Data'!$C$3:$M$578,11,FALSE)</f>
        <v>13.6</v>
      </c>
      <c r="BS1818" s="129" t="str">
        <f>IFERROR(VLOOKUP($D1818,'WB Data 2'!$C$2:$K$545,9,FALSE),"..")</f>
        <v>..</v>
      </c>
      <c r="BT1818" s="129">
        <f>_xlfn.IFNA(VLOOKUP($C1818,RGI!$A$2:$C$43,2,FALSE),"..")</f>
        <v>76.8</v>
      </c>
      <c r="BU1818" s="129">
        <f>_xlfn.IFNA(VLOOKUP($C1818,RGI!$A$2:$C$43,3,FALSE),"..")</f>
        <v>72.816147461462435</v>
      </c>
      <c r="BV1818" s="129">
        <f>VLOOKUP($D1818,WGI!$C$2:$O$478,7,FALSE)</f>
        <v>6.8806180868862199E-2</v>
      </c>
      <c r="BW1818" s="129">
        <f>VLOOKUP($D1818,WGI!$C$2:$O$478,4,FALSE)</f>
        <v>-0.86195648593669605</v>
      </c>
      <c r="BX1818" s="129">
        <f>VLOOKUP($D1818,WGI!$C$2:$O$478,3,FALSE)</f>
        <v>-0.157626358241128</v>
      </c>
      <c r="BY1818" s="129">
        <f>VLOOKUP($D1818,WGI!$C$2:$O$478,5,FALSE)</f>
        <v>0.48941210864302698</v>
      </c>
      <c r="BZ1818" s="129">
        <f>VLOOKUP($D1818,WGI!$C$2:$O$478,2,FALSE)</f>
        <v>-0.394694258708917</v>
      </c>
      <c r="CB1818" s="129"/>
    </row>
    <row r="1819" spans="1:80" s="120" customFormat="1" ht="15" customHeight="1">
      <c r="A1819" s="407" t="s">
        <v>462</v>
      </c>
      <c r="B1819" s="408">
        <v>2012</v>
      </c>
      <c r="C1819" s="805" t="s">
        <v>449</v>
      </c>
      <c r="D1819" s="117" t="s">
        <v>3745</v>
      </c>
      <c r="E1819" s="409" t="s">
        <v>220</v>
      </c>
      <c r="F1819" s="410"/>
      <c r="G1819" s="621" t="s">
        <v>24</v>
      </c>
      <c r="H1819" s="117" t="str">
        <f t="shared" ref="H1819:H1883" si="318">IF($G1819="Mining","yes",IF($G1819="Oil, Gas, Mining","yes",IF($G1819="Gas, Mining","yes",IF($G1819="Oil, Mining","yes",IF($G1819="Oil, Mining, Other","yes","no")))))</f>
        <v>yes</v>
      </c>
      <c r="I1819" s="117" t="str">
        <f t="shared" si="308"/>
        <v>no</v>
      </c>
      <c r="J1819" s="117" t="str">
        <f t="shared" si="309"/>
        <v>no</v>
      </c>
      <c r="K1819" s="410" t="s">
        <v>2137</v>
      </c>
      <c r="L1819" s="117" t="str">
        <f t="shared" ref="L1819:L1883" si="319">IF(LEFT(K1819,5)="Total","Total","detailed")</f>
        <v>detailed</v>
      </c>
      <c r="M1819" s="117" t="str">
        <f t="shared" si="310"/>
        <v>detailed Mining</v>
      </c>
      <c r="N1819" s="411">
        <v>982211</v>
      </c>
      <c r="O1819" s="411"/>
      <c r="P1819" s="411"/>
      <c r="Q1819" s="411"/>
      <c r="R1819" s="411"/>
      <c r="S1819" s="410" t="s">
        <v>610</v>
      </c>
      <c r="T1819" s="412">
        <v>768.715208333335</v>
      </c>
      <c r="U1819" s="410" t="s">
        <v>611</v>
      </c>
      <c r="V1819" s="410" t="s">
        <v>2157</v>
      </c>
      <c r="W1819" s="413">
        <f t="shared" si="317"/>
        <v>755040533.49229336</v>
      </c>
      <c r="X1819" s="621"/>
      <c r="Y1819" s="413"/>
      <c r="Z1819" s="413"/>
      <c r="AA1819" s="413"/>
      <c r="AB1819" s="413"/>
      <c r="AC1819" s="618"/>
      <c r="AD1819" s="618"/>
      <c r="AE1819" s="618"/>
      <c r="AF1819" s="619"/>
      <c r="AG1819" s="413"/>
      <c r="AH1819" s="417"/>
      <c r="AI1819" s="410"/>
      <c r="AJ1819" s="410"/>
      <c r="AK1819" s="413"/>
      <c r="AL1819" s="410"/>
      <c r="AM1819" s="410"/>
      <c r="AN1819" s="410"/>
      <c r="AO1819" s="410"/>
      <c r="AP1819" s="410"/>
      <c r="AQ1819" s="410"/>
      <c r="AR1819" s="410"/>
      <c r="AS1819" s="410"/>
      <c r="AT1819" s="410"/>
      <c r="AU1819" s="410"/>
      <c r="AV1819" s="419" t="s">
        <v>2158</v>
      </c>
      <c r="AW1819" s="117">
        <f>VLOOKUP($D1819,'WB Data'!$C$3:$M$578,2,FALSE)</f>
        <v>192628494178.35443</v>
      </c>
      <c r="AX1819" s="117">
        <f>VLOOKUP($D1819,'WB Data'!$C$3:$M$578,3,FALSE)</f>
        <v>29987800</v>
      </c>
      <c r="AY1819" s="847">
        <f t="shared" si="312"/>
        <v>2.8453252798234702E-2</v>
      </c>
      <c r="AZ1819" s="117">
        <f>VLOOKUP($D1819,'WB Data'!$C$3:$M$578,4,FALSE)/100</f>
        <v>0.21510754766218843</v>
      </c>
      <c r="BA1819" s="117">
        <f t="shared" si="313"/>
        <v>41435842992.565964</v>
      </c>
      <c r="BB1819" s="129">
        <f>IFERROR(VLOOKUP($D1819,'EITI Revenues'!$C$2:$G$224,5,FALSE),"..")</f>
        <v>5480907241</v>
      </c>
      <c r="BC1819" s="846">
        <f t="shared" si="314"/>
        <v>0.13227454409418757</v>
      </c>
      <c r="BD1819" s="129">
        <f>VLOOKUP($D1819,'WB Data 2'!$C$2:$K$545,6,FALSE)</f>
        <v>29761875410.518784</v>
      </c>
      <c r="BE1819" s="129">
        <f>IFERROR(VLOOKUP($D1819,UNCTAD!$C$5:$V$529,4,FALSE),"..")</f>
        <v>51063297000</v>
      </c>
      <c r="BF1819" s="846">
        <f t="shared" si="315"/>
        <v>0.58284280802547439</v>
      </c>
      <c r="BG1819" s="117">
        <f>VLOOKUP($D1819,'WB Data'!$C$3:$M$578,5,FALSE)</f>
        <v>393820000</v>
      </c>
      <c r="BH1819" s="129">
        <f>IFERROR($BB1819/$BG1819,"..")</f>
        <v>13.91729023665634</v>
      </c>
      <c r="BI1819" s="117">
        <f>IFERROR(VLOOKUP($D1819,'WB Data'!$C$3:$M$578,7,FALSE)/100,"..")</f>
        <v>2.76046E-2</v>
      </c>
      <c r="BJ1819" s="117">
        <f>IFERROR($BI1819*$AW1819,"..")</f>
        <v>5317432530.3958025</v>
      </c>
      <c r="BK1819" s="846">
        <f>IFERROR($BB1819/$BJ1819,"..")</f>
        <v>1.0307431659301241</v>
      </c>
      <c r="BL1819" s="117">
        <f>IFERROR(VLOOKUP($D1819,'WB Data'!$C$3:$M$578,7,FALSE)/100,"..")</f>
        <v>2.76046E-2</v>
      </c>
      <c r="BM1819" s="117">
        <f>IFERROR($AW1819*$BL1819,"..")</f>
        <v>5317432530.3958025</v>
      </c>
      <c r="BN1819" s="846">
        <f>IFERROR($BB1819/$BM1819,"..")</f>
        <v>1.0307431659301241</v>
      </c>
      <c r="BO1819" s="801">
        <f t="shared" si="311"/>
        <v>38</v>
      </c>
      <c r="BP1819" s="117">
        <f>VLOOKUP($D1819,'WB Data'!$C$3:$M$578,9,FALSE)</f>
        <v>25.8</v>
      </c>
      <c r="BQ1819" s="117">
        <f>VLOOKUP($D1819,'WB Data'!$C$3:$M$578,10,FALSE)</f>
        <v>74.515536585365851</v>
      </c>
      <c r="BR1819" s="117">
        <f>VLOOKUP($D1819,'WB Data'!$C$3:$M$578,11,FALSE)</f>
        <v>13.6</v>
      </c>
      <c r="BS1819" s="129" t="str">
        <f>IFERROR(VLOOKUP($D1819,'WB Data 2'!$C$2:$K$545,9,FALSE),"..")</f>
        <v>..</v>
      </c>
      <c r="BT1819" s="129">
        <f>_xlfn.IFNA(VLOOKUP($C1819,RGI!$A$2:$C$43,2,FALSE),"..")</f>
        <v>76.8</v>
      </c>
      <c r="BU1819" s="129">
        <f>_xlfn.IFNA(VLOOKUP($C1819,RGI!$A$2:$C$43,3,FALSE),"..")</f>
        <v>72.816147461462435</v>
      </c>
      <c r="BV1819" s="129">
        <f>VLOOKUP($D1819,WGI!$C$2:$O$478,7,FALSE)</f>
        <v>6.8806180868862199E-2</v>
      </c>
      <c r="BW1819" s="129">
        <f>VLOOKUP($D1819,WGI!$C$2:$O$478,4,FALSE)</f>
        <v>-0.86195648593669605</v>
      </c>
      <c r="BX1819" s="129">
        <f>VLOOKUP($D1819,WGI!$C$2:$O$478,3,FALSE)</f>
        <v>-0.157626358241128</v>
      </c>
      <c r="BY1819" s="129">
        <f>VLOOKUP($D1819,WGI!$C$2:$O$478,5,FALSE)</f>
        <v>0.48941210864302698</v>
      </c>
      <c r="BZ1819" s="129">
        <f>VLOOKUP($D1819,WGI!$C$2:$O$478,2,FALSE)</f>
        <v>-0.394694258708917</v>
      </c>
      <c r="CB1819" s="129"/>
    </row>
    <row r="1820" spans="1:80" s="120" customFormat="1" ht="15" customHeight="1">
      <c r="A1820" s="407" t="s">
        <v>462</v>
      </c>
      <c r="B1820" s="408">
        <v>2012</v>
      </c>
      <c r="C1820" s="805" t="s">
        <v>449</v>
      </c>
      <c r="D1820" s="117" t="s">
        <v>3745</v>
      </c>
      <c r="E1820" s="409" t="s">
        <v>220</v>
      </c>
      <c r="F1820" s="410"/>
      <c r="G1820" s="621" t="s">
        <v>24</v>
      </c>
      <c r="H1820" s="117" t="str">
        <f t="shared" si="318"/>
        <v>yes</v>
      </c>
      <c r="I1820" s="117" t="str">
        <f t="shared" si="308"/>
        <v>no</v>
      </c>
      <c r="J1820" s="117" t="str">
        <f t="shared" si="309"/>
        <v>no</v>
      </c>
      <c r="K1820" s="410" t="s">
        <v>2103</v>
      </c>
      <c r="L1820" s="117" t="str">
        <f t="shared" si="319"/>
        <v>detailed</v>
      </c>
      <c r="M1820" s="117" t="str">
        <f t="shared" si="310"/>
        <v>detailed Mining</v>
      </c>
      <c r="N1820" s="411">
        <v>4624</v>
      </c>
      <c r="O1820" s="411"/>
      <c r="P1820" s="411"/>
      <c r="Q1820" s="411"/>
      <c r="R1820" s="411"/>
      <c r="S1820" s="410" t="s">
        <v>610</v>
      </c>
      <c r="T1820" s="412">
        <v>8.82</v>
      </c>
      <c r="U1820" s="410" t="s">
        <v>611</v>
      </c>
      <c r="V1820" s="410" t="s">
        <v>2159</v>
      </c>
      <c r="W1820" s="413">
        <f t="shared" si="317"/>
        <v>40783.68</v>
      </c>
      <c r="X1820" s="621"/>
      <c r="Y1820" s="413"/>
      <c r="Z1820" s="413"/>
      <c r="AA1820" s="413"/>
      <c r="AB1820" s="413"/>
      <c r="AC1820" s="618"/>
      <c r="AD1820" s="618"/>
      <c r="AE1820" s="618"/>
      <c r="AF1820" s="619"/>
      <c r="AG1820" s="413"/>
      <c r="AH1820" s="417"/>
      <c r="AI1820" s="410"/>
      <c r="AJ1820" s="410"/>
      <c r="AK1820" s="413"/>
      <c r="AL1820" s="410"/>
      <c r="AM1820" s="410"/>
      <c r="AN1820" s="410"/>
      <c r="AO1820" s="410"/>
      <c r="AP1820" s="410"/>
      <c r="AQ1820" s="410"/>
      <c r="AR1820" s="410"/>
      <c r="AS1820" s="410"/>
      <c r="AT1820" s="410"/>
      <c r="AU1820" s="410"/>
      <c r="AV1820" s="419"/>
      <c r="AW1820" s="117">
        <f>VLOOKUP($D1820,'WB Data'!$C$3:$M$578,2,FALSE)</f>
        <v>192628494178.35443</v>
      </c>
      <c r="AX1820" s="117">
        <f>VLOOKUP($D1820,'WB Data'!$C$3:$M$578,3,FALSE)</f>
        <v>29987800</v>
      </c>
      <c r="AY1820" s="847">
        <f t="shared" si="312"/>
        <v>2.8453252798234702E-2</v>
      </c>
      <c r="AZ1820" s="117">
        <f>VLOOKUP($D1820,'WB Data'!$C$3:$M$578,4,FALSE)/100</f>
        <v>0.21510754766218843</v>
      </c>
      <c r="BA1820" s="117">
        <f t="shared" si="313"/>
        <v>41435842992.565964</v>
      </c>
      <c r="BB1820" s="129">
        <f>IFERROR(VLOOKUP($D1820,'EITI Revenues'!$C$2:$G$224,5,FALSE),"..")</f>
        <v>5480907241</v>
      </c>
      <c r="BC1820" s="846">
        <f t="shared" si="314"/>
        <v>0.13227454409418757</v>
      </c>
      <c r="BD1820" s="129">
        <f>VLOOKUP($D1820,'WB Data 2'!$C$2:$K$545,6,FALSE)</f>
        <v>29761875410.518784</v>
      </c>
      <c r="BE1820" s="129">
        <f>IFERROR(VLOOKUP($D1820,UNCTAD!$C$5:$V$529,4,FALSE),"..")</f>
        <v>51063297000</v>
      </c>
      <c r="BF1820" s="846">
        <f t="shared" si="315"/>
        <v>0.58284280802547439</v>
      </c>
      <c r="BG1820" s="117">
        <f>VLOOKUP($D1820,'WB Data'!$C$3:$M$578,5,FALSE)</f>
        <v>393820000</v>
      </c>
      <c r="BH1820" s="129">
        <f>IFERROR($BB1820/$BG1820,"..")</f>
        <v>13.91729023665634</v>
      </c>
      <c r="BI1820" s="117">
        <f>IFERROR(VLOOKUP($D1820,'WB Data'!$C$3:$M$578,7,FALSE)/100,"..")</f>
        <v>2.76046E-2</v>
      </c>
      <c r="BJ1820" s="117">
        <f>IFERROR($BI1820*$AW1820,"..")</f>
        <v>5317432530.3958025</v>
      </c>
      <c r="BK1820" s="846">
        <f>IFERROR($BB1820/$BJ1820,"..")</f>
        <v>1.0307431659301241</v>
      </c>
      <c r="BL1820" s="117">
        <f>IFERROR(VLOOKUP($D1820,'WB Data'!$C$3:$M$578,7,FALSE)/100,"..")</f>
        <v>2.76046E-2</v>
      </c>
      <c r="BM1820" s="117">
        <f>IFERROR($AW1820*$BL1820,"..")</f>
        <v>5317432530.3958025</v>
      </c>
      <c r="BN1820" s="846">
        <f>IFERROR($BB1820/$BM1820,"..")</f>
        <v>1.0307431659301241</v>
      </c>
      <c r="BO1820" s="801">
        <f t="shared" si="311"/>
        <v>38</v>
      </c>
      <c r="BP1820" s="117">
        <f>VLOOKUP($D1820,'WB Data'!$C$3:$M$578,9,FALSE)</f>
        <v>25.8</v>
      </c>
      <c r="BQ1820" s="117">
        <f>VLOOKUP($D1820,'WB Data'!$C$3:$M$578,10,FALSE)</f>
        <v>74.515536585365851</v>
      </c>
      <c r="BR1820" s="117">
        <f>VLOOKUP($D1820,'WB Data'!$C$3:$M$578,11,FALSE)</f>
        <v>13.6</v>
      </c>
      <c r="BS1820" s="129" t="str">
        <f>IFERROR(VLOOKUP($D1820,'WB Data 2'!$C$2:$K$545,9,FALSE),"..")</f>
        <v>..</v>
      </c>
      <c r="BT1820" s="129">
        <f>_xlfn.IFNA(VLOOKUP($C1820,RGI!$A$2:$C$43,2,FALSE),"..")</f>
        <v>76.8</v>
      </c>
      <c r="BU1820" s="129">
        <f>_xlfn.IFNA(VLOOKUP($C1820,RGI!$A$2:$C$43,3,FALSE),"..")</f>
        <v>72.816147461462435</v>
      </c>
      <c r="BV1820" s="129">
        <f>VLOOKUP($D1820,WGI!$C$2:$O$478,7,FALSE)</f>
        <v>6.8806180868862199E-2</v>
      </c>
      <c r="BW1820" s="129">
        <f>VLOOKUP($D1820,WGI!$C$2:$O$478,4,FALSE)</f>
        <v>-0.86195648593669605</v>
      </c>
      <c r="BX1820" s="129">
        <f>VLOOKUP($D1820,WGI!$C$2:$O$478,3,FALSE)</f>
        <v>-0.157626358241128</v>
      </c>
      <c r="BY1820" s="129">
        <f>VLOOKUP($D1820,WGI!$C$2:$O$478,5,FALSE)</f>
        <v>0.48941210864302698</v>
      </c>
      <c r="BZ1820" s="129">
        <f>VLOOKUP($D1820,WGI!$C$2:$O$478,2,FALSE)</f>
        <v>-0.394694258708917</v>
      </c>
      <c r="CB1820" s="129"/>
    </row>
    <row r="1821" spans="1:80" s="120" customFormat="1" ht="15" customHeight="1">
      <c r="A1821" s="407" t="s">
        <v>462</v>
      </c>
      <c r="B1821" s="408">
        <v>2012</v>
      </c>
      <c r="C1821" s="805" t="s">
        <v>449</v>
      </c>
      <c r="D1821" s="117" t="s">
        <v>3745</v>
      </c>
      <c r="E1821" s="409" t="s">
        <v>220</v>
      </c>
      <c r="F1821" s="410"/>
      <c r="G1821" s="621" t="s">
        <v>24</v>
      </c>
      <c r="H1821" s="117" t="str">
        <f t="shared" si="318"/>
        <v>yes</v>
      </c>
      <c r="I1821" s="117" t="str">
        <f t="shared" si="308"/>
        <v>no</v>
      </c>
      <c r="J1821" s="117" t="str">
        <f t="shared" si="309"/>
        <v>no</v>
      </c>
      <c r="K1821" s="410" t="s">
        <v>627</v>
      </c>
      <c r="L1821" s="117" t="str">
        <f t="shared" si="319"/>
        <v>detailed</v>
      </c>
      <c r="M1821" s="117" t="str">
        <f t="shared" si="310"/>
        <v>detailed Mining</v>
      </c>
      <c r="N1821" s="411">
        <v>31559</v>
      </c>
      <c r="O1821" s="411"/>
      <c r="P1821" s="411"/>
      <c r="Q1821" s="411"/>
      <c r="R1821" s="411"/>
      <c r="S1821" s="410" t="s">
        <v>610</v>
      </c>
      <c r="T1821" s="412">
        <v>157</v>
      </c>
      <c r="U1821" s="410" t="s">
        <v>611</v>
      </c>
      <c r="V1821" s="410" t="s">
        <v>1246</v>
      </c>
      <c r="W1821" s="413">
        <f t="shared" si="317"/>
        <v>4954763</v>
      </c>
      <c r="X1821" s="621"/>
      <c r="Y1821" s="413"/>
      <c r="Z1821" s="413"/>
      <c r="AA1821" s="413"/>
      <c r="AB1821" s="413"/>
      <c r="AC1821" s="618"/>
      <c r="AD1821" s="618"/>
      <c r="AE1821" s="618"/>
      <c r="AF1821" s="619"/>
      <c r="AG1821" s="413"/>
      <c r="AH1821" s="417"/>
      <c r="AI1821" s="410"/>
      <c r="AJ1821" s="410"/>
      <c r="AK1821" s="413"/>
      <c r="AL1821" s="410"/>
      <c r="AM1821" s="410"/>
      <c r="AN1821" s="410"/>
      <c r="AO1821" s="410"/>
      <c r="AP1821" s="410"/>
      <c r="AQ1821" s="410"/>
      <c r="AR1821" s="410"/>
      <c r="AS1821" s="410"/>
      <c r="AT1821" s="410"/>
      <c r="AU1821" s="410"/>
      <c r="AV1821" s="419"/>
      <c r="AW1821" s="117">
        <f>VLOOKUP($D1821,'WB Data'!$C$3:$M$578,2,FALSE)</f>
        <v>192628494178.35443</v>
      </c>
      <c r="AX1821" s="117">
        <f>VLOOKUP($D1821,'WB Data'!$C$3:$M$578,3,FALSE)</f>
        <v>29987800</v>
      </c>
      <c r="AY1821" s="847">
        <f t="shared" si="312"/>
        <v>2.8453252798234702E-2</v>
      </c>
      <c r="AZ1821" s="117">
        <f>VLOOKUP($D1821,'WB Data'!$C$3:$M$578,4,FALSE)/100</f>
        <v>0.21510754766218843</v>
      </c>
      <c r="BA1821" s="117">
        <f t="shared" si="313"/>
        <v>41435842992.565964</v>
      </c>
      <c r="BB1821" s="129">
        <f>IFERROR(VLOOKUP($D1821,'EITI Revenues'!$C$2:$G$224,5,FALSE),"..")</f>
        <v>5480907241</v>
      </c>
      <c r="BC1821" s="846">
        <f t="shared" si="314"/>
        <v>0.13227454409418757</v>
      </c>
      <c r="BD1821" s="129">
        <f>VLOOKUP($D1821,'WB Data 2'!$C$2:$K$545,6,FALSE)</f>
        <v>29761875410.518784</v>
      </c>
      <c r="BE1821" s="129">
        <f>IFERROR(VLOOKUP($D1821,UNCTAD!$C$5:$V$529,4,FALSE),"..")</f>
        <v>51063297000</v>
      </c>
      <c r="BF1821" s="846">
        <f t="shared" si="315"/>
        <v>0.58284280802547439</v>
      </c>
      <c r="BG1821" s="117">
        <f>VLOOKUP($D1821,'WB Data'!$C$3:$M$578,5,FALSE)</f>
        <v>393820000</v>
      </c>
      <c r="BH1821" s="129">
        <f>IFERROR($BB1821/$BG1821,"..")</f>
        <v>13.91729023665634</v>
      </c>
      <c r="BI1821" s="117">
        <f>IFERROR(VLOOKUP($D1821,'WB Data'!$C$3:$M$578,7,FALSE)/100,"..")</f>
        <v>2.76046E-2</v>
      </c>
      <c r="BJ1821" s="117">
        <f>IFERROR($BI1821*$AW1821,"..")</f>
        <v>5317432530.3958025</v>
      </c>
      <c r="BK1821" s="846">
        <f>IFERROR($BB1821/$BJ1821,"..")</f>
        <v>1.0307431659301241</v>
      </c>
      <c r="BL1821" s="117">
        <f>IFERROR(VLOOKUP($D1821,'WB Data'!$C$3:$M$578,7,FALSE)/100,"..")</f>
        <v>2.76046E-2</v>
      </c>
      <c r="BM1821" s="117">
        <f>IFERROR($AW1821*$BL1821,"..")</f>
        <v>5317432530.3958025</v>
      </c>
      <c r="BN1821" s="846">
        <f>IFERROR($BB1821/$BM1821,"..")</f>
        <v>1.0307431659301241</v>
      </c>
      <c r="BO1821" s="801">
        <f t="shared" si="311"/>
        <v>38</v>
      </c>
      <c r="BP1821" s="117">
        <f>VLOOKUP($D1821,'WB Data'!$C$3:$M$578,9,FALSE)</f>
        <v>25.8</v>
      </c>
      <c r="BQ1821" s="117">
        <f>VLOOKUP($D1821,'WB Data'!$C$3:$M$578,10,FALSE)</f>
        <v>74.515536585365851</v>
      </c>
      <c r="BR1821" s="117">
        <f>VLOOKUP($D1821,'WB Data'!$C$3:$M$578,11,FALSE)</f>
        <v>13.6</v>
      </c>
      <c r="BS1821" s="129" t="str">
        <f>IFERROR(VLOOKUP($D1821,'WB Data 2'!$C$2:$K$545,9,FALSE),"..")</f>
        <v>..</v>
      </c>
      <c r="BT1821" s="129">
        <f>_xlfn.IFNA(VLOOKUP($C1821,RGI!$A$2:$C$43,2,FALSE),"..")</f>
        <v>76.8</v>
      </c>
      <c r="BU1821" s="129">
        <f>_xlfn.IFNA(VLOOKUP($C1821,RGI!$A$2:$C$43,3,FALSE),"..")</f>
        <v>72.816147461462435</v>
      </c>
      <c r="BV1821" s="129">
        <f>VLOOKUP($D1821,WGI!$C$2:$O$478,7,FALSE)</f>
        <v>6.8806180868862199E-2</v>
      </c>
      <c r="BW1821" s="129">
        <f>VLOOKUP($D1821,WGI!$C$2:$O$478,4,FALSE)</f>
        <v>-0.86195648593669605</v>
      </c>
      <c r="BX1821" s="129">
        <f>VLOOKUP($D1821,WGI!$C$2:$O$478,3,FALSE)</f>
        <v>-0.157626358241128</v>
      </c>
      <c r="BY1821" s="129">
        <f>VLOOKUP($D1821,WGI!$C$2:$O$478,5,FALSE)</f>
        <v>0.48941210864302698</v>
      </c>
      <c r="BZ1821" s="129">
        <f>VLOOKUP($D1821,WGI!$C$2:$O$478,2,FALSE)</f>
        <v>-0.394694258708917</v>
      </c>
      <c r="CB1821" s="129"/>
    </row>
    <row r="1822" spans="1:80" s="120" customFormat="1" ht="15" customHeight="1">
      <c r="A1822" s="407" t="s">
        <v>462</v>
      </c>
      <c r="B1822" s="408">
        <v>2012</v>
      </c>
      <c r="C1822" s="805" t="s">
        <v>449</v>
      </c>
      <c r="D1822" s="117" t="s">
        <v>3745</v>
      </c>
      <c r="E1822" s="409" t="s">
        <v>220</v>
      </c>
      <c r="F1822" s="410"/>
      <c r="G1822" s="621" t="s">
        <v>24</v>
      </c>
      <c r="H1822" s="117" t="str">
        <f t="shared" si="318"/>
        <v>yes</v>
      </c>
      <c r="I1822" s="117" t="str">
        <f t="shared" si="308"/>
        <v>no</v>
      </c>
      <c r="J1822" s="117" t="str">
        <f t="shared" si="309"/>
        <v>no</v>
      </c>
      <c r="K1822" s="410" t="s">
        <v>2050</v>
      </c>
      <c r="L1822" s="117" t="str">
        <f t="shared" si="319"/>
        <v>detailed</v>
      </c>
      <c r="M1822" s="117" t="str">
        <f t="shared" si="310"/>
        <v>detailed Mining</v>
      </c>
      <c r="N1822" s="411">
        <v>0</v>
      </c>
      <c r="O1822" s="411"/>
      <c r="P1822" s="411"/>
      <c r="Q1822" s="411"/>
      <c r="R1822" s="411"/>
      <c r="S1822" s="410" t="s">
        <v>610</v>
      </c>
      <c r="T1822" s="412"/>
      <c r="U1822" s="410"/>
      <c r="V1822" s="410" t="s">
        <v>684</v>
      </c>
      <c r="W1822" s="413"/>
      <c r="X1822" s="621"/>
      <c r="Y1822" s="413"/>
      <c r="Z1822" s="413"/>
      <c r="AA1822" s="413"/>
      <c r="AB1822" s="413"/>
      <c r="AC1822" s="618"/>
      <c r="AD1822" s="618"/>
      <c r="AE1822" s="618"/>
      <c r="AF1822" s="619"/>
      <c r="AG1822" s="413"/>
      <c r="AH1822" s="417"/>
      <c r="AI1822" s="410"/>
      <c r="AJ1822" s="410"/>
      <c r="AK1822" s="413"/>
      <c r="AL1822" s="410"/>
      <c r="AM1822" s="410"/>
      <c r="AN1822" s="410"/>
      <c r="AO1822" s="410"/>
      <c r="AP1822" s="410"/>
      <c r="AQ1822" s="410"/>
      <c r="AR1822" s="410"/>
      <c r="AS1822" s="410"/>
      <c r="AT1822" s="410"/>
      <c r="AU1822" s="410"/>
      <c r="AV1822" s="419"/>
      <c r="AW1822" s="117">
        <f>VLOOKUP($D1822,'WB Data'!$C$3:$M$578,2,FALSE)</f>
        <v>192628494178.35443</v>
      </c>
      <c r="AX1822" s="117">
        <f>VLOOKUP($D1822,'WB Data'!$C$3:$M$578,3,FALSE)</f>
        <v>29987800</v>
      </c>
      <c r="AY1822" s="847">
        <f t="shared" si="312"/>
        <v>2.8453252798234702E-2</v>
      </c>
      <c r="AZ1822" s="117">
        <f>VLOOKUP($D1822,'WB Data'!$C$3:$M$578,4,FALSE)/100</f>
        <v>0.21510754766218843</v>
      </c>
      <c r="BA1822" s="117">
        <f t="shared" si="313"/>
        <v>41435842992.565964</v>
      </c>
      <c r="BB1822" s="129">
        <f>IFERROR(VLOOKUP($D1822,'EITI Revenues'!$C$2:$G$224,5,FALSE),"..")</f>
        <v>5480907241</v>
      </c>
      <c r="BC1822" s="846">
        <f t="shared" si="314"/>
        <v>0.13227454409418757</v>
      </c>
      <c r="BD1822" s="129">
        <f>VLOOKUP($D1822,'WB Data 2'!$C$2:$K$545,6,FALSE)</f>
        <v>29761875410.518784</v>
      </c>
      <c r="BE1822" s="129">
        <f>IFERROR(VLOOKUP($D1822,UNCTAD!$C$5:$V$529,4,FALSE),"..")</f>
        <v>51063297000</v>
      </c>
      <c r="BF1822" s="846">
        <f t="shared" si="315"/>
        <v>0.58284280802547439</v>
      </c>
      <c r="BG1822" s="117">
        <f>VLOOKUP($D1822,'WB Data'!$C$3:$M$578,5,FALSE)</f>
        <v>393820000</v>
      </c>
      <c r="BH1822" s="129">
        <f>IFERROR($BB1822/$BG1822,"..")</f>
        <v>13.91729023665634</v>
      </c>
      <c r="BI1822" s="117">
        <f>IFERROR(VLOOKUP($D1822,'WB Data'!$C$3:$M$578,7,FALSE)/100,"..")</f>
        <v>2.76046E-2</v>
      </c>
      <c r="BJ1822" s="117">
        <f>IFERROR($BI1822*$AW1822,"..")</f>
        <v>5317432530.3958025</v>
      </c>
      <c r="BK1822" s="846">
        <f>IFERROR($BB1822/$BJ1822,"..")</f>
        <v>1.0307431659301241</v>
      </c>
      <c r="BL1822" s="117">
        <f>IFERROR(VLOOKUP($D1822,'WB Data'!$C$3:$M$578,7,FALSE)/100,"..")</f>
        <v>2.76046E-2</v>
      </c>
      <c r="BM1822" s="117">
        <f>IFERROR($AW1822*$BL1822,"..")</f>
        <v>5317432530.3958025</v>
      </c>
      <c r="BN1822" s="846">
        <f>IFERROR($BB1822/$BM1822,"..")</f>
        <v>1.0307431659301241</v>
      </c>
      <c r="BO1822" s="801">
        <f t="shared" si="311"/>
        <v>38</v>
      </c>
      <c r="BP1822" s="117">
        <f>VLOOKUP($D1822,'WB Data'!$C$3:$M$578,9,FALSE)</f>
        <v>25.8</v>
      </c>
      <c r="BQ1822" s="117">
        <f>VLOOKUP($D1822,'WB Data'!$C$3:$M$578,10,FALSE)</f>
        <v>74.515536585365851</v>
      </c>
      <c r="BR1822" s="117">
        <f>VLOOKUP($D1822,'WB Data'!$C$3:$M$578,11,FALSE)</f>
        <v>13.6</v>
      </c>
      <c r="BS1822" s="129" t="str">
        <f>IFERROR(VLOOKUP($D1822,'WB Data 2'!$C$2:$K$545,9,FALSE),"..")</f>
        <v>..</v>
      </c>
      <c r="BT1822" s="129">
        <f>_xlfn.IFNA(VLOOKUP($C1822,RGI!$A$2:$C$43,2,FALSE),"..")</f>
        <v>76.8</v>
      </c>
      <c r="BU1822" s="129">
        <f>_xlfn.IFNA(VLOOKUP($C1822,RGI!$A$2:$C$43,3,FALSE),"..")</f>
        <v>72.816147461462435</v>
      </c>
      <c r="BV1822" s="129">
        <f>VLOOKUP($D1822,WGI!$C$2:$O$478,7,FALSE)</f>
        <v>6.8806180868862199E-2</v>
      </c>
      <c r="BW1822" s="129">
        <f>VLOOKUP($D1822,WGI!$C$2:$O$478,4,FALSE)</f>
        <v>-0.86195648593669605</v>
      </c>
      <c r="BX1822" s="129">
        <f>VLOOKUP($D1822,WGI!$C$2:$O$478,3,FALSE)</f>
        <v>-0.157626358241128</v>
      </c>
      <c r="BY1822" s="129">
        <f>VLOOKUP($D1822,WGI!$C$2:$O$478,5,FALSE)</f>
        <v>0.48941210864302698</v>
      </c>
      <c r="BZ1822" s="129">
        <f>VLOOKUP($D1822,WGI!$C$2:$O$478,2,FALSE)</f>
        <v>-0.394694258708917</v>
      </c>
      <c r="CB1822" s="129"/>
    </row>
    <row r="1823" spans="1:80" s="120" customFormat="1" ht="15" customHeight="1">
      <c r="A1823" s="407" t="s">
        <v>462</v>
      </c>
      <c r="B1823" s="408">
        <v>2012</v>
      </c>
      <c r="C1823" s="805" t="s">
        <v>449</v>
      </c>
      <c r="D1823" s="117" t="s">
        <v>3745</v>
      </c>
      <c r="E1823" s="409" t="s">
        <v>220</v>
      </c>
      <c r="F1823" s="410"/>
      <c r="G1823" s="621" t="s">
        <v>24</v>
      </c>
      <c r="H1823" s="117" t="str">
        <f t="shared" si="318"/>
        <v>yes</v>
      </c>
      <c r="I1823" s="117" t="str">
        <f t="shared" si="308"/>
        <v>no</v>
      </c>
      <c r="J1823" s="117" t="str">
        <f t="shared" si="309"/>
        <v>no</v>
      </c>
      <c r="K1823" s="410" t="s">
        <v>1332</v>
      </c>
      <c r="L1823" s="117" t="str">
        <f t="shared" si="319"/>
        <v>detailed</v>
      </c>
      <c r="M1823" s="117" t="str">
        <f t="shared" si="310"/>
        <v>detailed Mining</v>
      </c>
      <c r="N1823" s="411"/>
      <c r="O1823" s="411"/>
      <c r="P1823" s="411"/>
      <c r="Q1823" s="411"/>
      <c r="R1823" s="411"/>
      <c r="S1823" s="410"/>
      <c r="T1823" s="622">
        <f>21125.9944097315</f>
        <v>21125.994409731498</v>
      </c>
      <c r="U1823" s="410" t="s">
        <v>611</v>
      </c>
      <c r="V1823" s="410" t="s">
        <v>1333</v>
      </c>
      <c r="W1823" s="413">
        <f>N1825*T1823</f>
        <v>524157047.2998482</v>
      </c>
      <c r="X1823" s="410"/>
      <c r="Y1823" s="623"/>
      <c r="Z1823" s="623"/>
      <c r="AA1823" s="413"/>
      <c r="AB1823" s="413"/>
      <c r="AC1823" s="624"/>
      <c r="AD1823" s="624"/>
      <c r="AE1823" s="624"/>
      <c r="AF1823" s="625"/>
      <c r="AG1823" s="413"/>
      <c r="AH1823" s="417"/>
      <c r="AI1823" s="410"/>
      <c r="AJ1823" s="410"/>
      <c r="AK1823" s="413"/>
      <c r="AL1823" s="410"/>
      <c r="AM1823" s="410"/>
      <c r="AN1823" s="410"/>
      <c r="AO1823" s="410"/>
      <c r="AP1823" s="410"/>
      <c r="AQ1823" s="410"/>
      <c r="AR1823" s="410"/>
      <c r="AS1823" s="410"/>
      <c r="AT1823" s="410"/>
      <c r="AU1823" s="410"/>
      <c r="AV1823" s="419"/>
      <c r="AW1823" s="117">
        <f>VLOOKUP($D1823,'WB Data'!$C$3:$M$578,2,FALSE)</f>
        <v>192628494178.35443</v>
      </c>
      <c r="AX1823" s="117">
        <f>VLOOKUP($D1823,'WB Data'!$C$3:$M$578,3,FALSE)</f>
        <v>29987800</v>
      </c>
      <c r="AY1823" s="847">
        <f t="shared" si="312"/>
        <v>2.8453252798234702E-2</v>
      </c>
      <c r="AZ1823" s="117">
        <f>VLOOKUP($D1823,'WB Data'!$C$3:$M$578,4,FALSE)/100</f>
        <v>0.21510754766218843</v>
      </c>
      <c r="BA1823" s="117">
        <f t="shared" si="313"/>
        <v>41435842992.565964</v>
      </c>
      <c r="BB1823" s="129">
        <f>IFERROR(VLOOKUP($D1823,'EITI Revenues'!$C$2:$G$224,5,FALSE),"..")</f>
        <v>5480907241</v>
      </c>
      <c r="BC1823" s="846">
        <f t="shared" si="314"/>
        <v>0.13227454409418757</v>
      </c>
      <c r="BD1823" s="129">
        <f>VLOOKUP($D1823,'WB Data 2'!$C$2:$K$545,6,FALSE)</f>
        <v>29761875410.518784</v>
      </c>
      <c r="BE1823" s="129">
        <f>IFERROR(VLOOKUP($D1823,UNCTAD!$C$5:$V$529,4,FALSE),"..")</f>
        <v>51063297000</v>
      </c>
      <c r="BF1823" s="846">
        <f t="shared" si="315"/>
        <v>0.58284280802547439</v>
      </c>
      <c r="BG1823" s="117">
        <f>VLOOKUP($D1823,'WB Data'!$C$3:$M$578,5,FALSE)</f>
        <v>393820000</v>
      </c>
      <c r="BH1823" s="129">
        <f>IFERROR($BB1823/$BG1823,"..")</f>
        <v>13.91729023665634</v>
      </c>
      <c r="BI1823" s="117">
        <f>IFERROR(VLOOKUP($D1823,'WB Data'!$C$3:$M$578,7,FALSE)/100,"..")</f>
        <v>2.76046E-2</v>
      </c>
      <c r="BJ1823" s="117">
        <f>IFERROR($BI1823*$AW1823,"..")</f>
        <v>5317432530.3958025</v>
      </c>
      <c r="BK1823" s="846">
        <f>IFERROR($BB1823/$BJ1823,"..")</f>
        <v>1.0307431659301241</v>
      </c>
      <c r="BL1823" s="117">
        <f>IFERROR(VLOOKUP($D1823,'WB Data'!$C$3:$M$578,7,FALSE)/100,"..")</f>
        <v>2.76046E-2</v>
      </c>
      <c r="BM1823" s="117">
        <f>IFERROR($AW1823*$BL1823,"..")</f>
        <v>5317432530.3958025</v>
      </c>
      <c r="BN1823" s="846">
        <f>IFERROR($BB1823/$BM1823,"..")</f>
        <v>1.0307431659301241</v>
      </c>
      <c r="BO1823" s="801">
        <f t="shared" si="311"/>
        <v>38</v>
      </c>
      <c r="BP1823" s="117">
        <f>VLOOKUP($D1823,'WB Data'!$C$3:$M$578,9,FALSE)</f>
        <v>25.8</v>
      </c>
      <c r="BQ1823" s="117">
        <f>VLOOKUP($D1823,'WB Data'!$C$3:$M$578,10,FALSE)</f>
        <v>74.515536585365851</v>
      </c>
      <c r="BR1823" s="117">
        <f>VLOOKUP($D1823,'WB Data'!$C$3:$M$578,11,FALSE)</f>
        <v>13.6</v>
      </c>
      <c r="BS1823" s="129" t="str">
        <f>IFERROR(VLOOKUP($D1823,'WB Data 2'!$C$2:$K$545,9,FALSE),"..")</f>
        <v>..</v>
      </c>
      <c r="BT1823" s="129">
        <f>_xlfn.IFNA(VLOOKUP($C1823,RGI!$A$2:$C$43,2,FALSE),"..")</f>
        <v>76.8</v>
      </c>
      <c r="BU1823" s="129">
        <f>_xlfn.IFNA(VLOOKUP($C1823,RGI!$A$2:$C$43,3,FALSE),"..")</f>
        <v>72.816147461462435</v>
      </c>
      <c r="BV1823" s="129">
        <f>VLOOKUP($D1823,WGI!$C$2:$O$478,7,FALSE)</f>
        <v>6.8806180868862199E-2</v>
      </c>
      <c r="BW1823" s="129">
        <f>VLOOKUP($D1823,WGI!$C$2:$O$478,4,FALSE)</f>
        <v>-0.86195648593669605</v>
      </c>
      <c r="BX1823" s="129">
        <f>VLOOKUP($D1823,WGI!$C$2:$O$478,3,FALSE)</f>
        <v>-0.157626358241128</v>
      </c>
      <c r="BY1823" s="129">
        <f>VLOOKUP($D1823,WGI!$C$2:$O$478,5,FALSE)</f>
        <v>0.48941210864302698</v>
      </c>
      <c r="BZ1823" s="129">
        <f>VLOOKUP($D1823,WGI!$C$2:$O$478,2,FALSE)</f>
        <v>-0.394694258708917</v>
      </c>
      <c r="CB1823" s="129"/>
    </row>
    <row r="1824" spans="1:80" s="120" customFormat="1" ht="15" customHeight="1">
      <c r="A1824" s="407" t="s">
        <v>462</v>
      </c>
      <c r="B1824" s="408">
        <v>2012</v>
      </c>
      <c r="C1824" s="805" t="s">
        <v>449</v>
      </c>
      <c r="D1824" s="117" t="s">
        <v>3745</v>
      </c>
      <c r="E1824" s="409" t="s">
        <v>220</v>
      </c>
      <c r="F1824" s="410"/>
      <c r="G1824" s="621" t="s">
        <v>24</v>
      </c>
      <c r="H1824" s="117" t="str">
        <f t="shared" si="318"/>
        <v>yes</v>
      </c>
      <c r="I1824" s="117" t="str">
        <f t="shared" si="308"/>
        <v>no</v>
      </c>
      <c r="J1824" s="117" t="str">
        <f t="shared" si="309"/>
        <v>no</v>
      </c>
      <c r="K1824" s="410" t="s">
        <v>2054</v>
      </c>
      <c r="L1824" s="117" t="str">
        <f t="shared" si="319"/>
        <v>detailed</v>
      </c>
      <c r="M1824" s="117" t="str">
        <f t="shared" si="310"/>
        <v>detailed Mining</v>
      </c>
      <c r="N1824" s="411">
        <v>26105</v>
      </c>
      <c r="O1824" s="411"/>
      <c r="P1824" s="411"/>
      <c r="Q1824" s="411"/>
      <c r="R1824" s="411"/>
      <c r="S1824" s="410" t="s">
        <v>610</v>
      </c>
      <c r="T1824" s="412"/>
      <c r="U1824" s="410"/>
      <c r="V1824" s="410" t="s">
        <v>684</v>
      </c>
      <c r="W1824" s="413"/>
      <c r="X1824" s="410"/>
      <c r="Y1824" s="621"/>
      <c r="Z1824" s="621"/>
      <c r="AA1824" s="413"/>
      <c r="AB1824" s="413"/>
      <c r="AC1824" s="618"/>
      <c r="AD1824" s="618"/>
      <c r="AE1824" s="618"/>
      <c r="AF1824" s="619"/>
      <c r="AG1824" s="621"/>
      <c r="AH1824" s="417"/>
      <c r="AI1824" s="410"/>
      <c r="AJ1824" s="410"/>
      <c r="AK1824" s="413"/>
      <c r="AL1824" s="410"/>
      <c r="AM1824" s="410"/>
      <c r="AN1824" s="410"/>
      <c r="AO1824" s="410"/>
      <c r="AP1824" s="410"/>
      <c r="AQ1824" s="410"/>
      <c r="AR1824" s="410"/>
      <c r="AS1824" s="410"/>
      <c r="AT1824" s="410"/>
      <c r="AU1824" s="410"/>
      <c r="AV1824" s="419"/>
      <c r="AW1824" s="117">
        <f>VLOOKUP($D1824,'WB Data'!$C$3:$M$578,2,FALSE)</f>
        <v>192628494178.35443</v>
      </c>
      <c r="AX1824" s="117">
        <f>VLOOKUP($D1824,'WB Data'!$C$3:$M$578,3,FALSE)</f>
        <v>29987800</v>
      </c>
      <c r="AY1824" s="847">
        <f t="shared" si="312"/>
        <v>2.8453252798234702E-2</v>
      </c>
      <c r="AZ1824" s="117">
        <f>VLOOKUP($D1824,'WB Data'!$C$3:$M$578,4,FALSE)/100</f>
        <v>0.21510754766218843</v>
      </c>
      <c r="BA1824" s="117">
        <f t="shared" si="313"/>
        <v>41435842992.565964</v>
      </c>
      <c r="BB1824" s="129">
        <f>IFERROR(VLOOKUP($D1824,'EITI Revenues'!$C$2:$G$224,5,FALSE),"..")</f>
        <v>5480907241</v>
      </c>
      <c r="BC1824" s="846">
        <f t="shared" si="314"/>
        <v>0.13227454409418757</v>
      </c>
      <c r="BD1824" s="129">
        <f>VLOOKUP($D1824,'WB Data 2'!$C$2:$K$545,6,FALSE)</f>
        <v>29761875410.518784</v>
      </c>
      <c r="BE1824" s="129">
        <f>IFERROR(VLOOKUP($D1824,UNCTAD!$C$5:$V$529,4,FALSE),"..")</f>
        <v>51063297000</v>
      </c>
      <c r="BF1824" s="846">
        <f t="shared" si="315"/>
        <v>0.58284280802547439</v>
      </c>
      <c r="BG1824" s="117">
        <f>VLOOKUP($D1824,'WB Data'!$C$3:$M$578,5,FALSE)</f>
        <v>393820000</v>
      </c>
      <c r="BH1824" s="129">
        <f>IFERROR($BB1824/$BG1824,"..")</f>
        <v>13.91729023665634</v>
      </c>
      <c r="BI1824" s="117">
        <f>IFERROR(VLOOKUP($D1824,'WB Data'!$C$3:$M$578,7,FALSE)/100,"..")</f>
        <v>2.76046E-2</v>
      </c>
      <c r="BJ1824" s="117">
        <f>IFERROR($BI1824*$AW1824,"..")</f>
        <v>5317432530.3958025</v>
      </c>
      <c r="BK1824" s="846">
        <f>IFERROR($BB1824/$BJ1824,"..")</f>
        <v>1.0307431659301241</v>
      </c>
      <c r="BL1824" s="117">
        <f>IFERROR(VLOOKUP($D1824,'WB Data'!$C$3:$M$578,7,FALSE)/100,"..")</f>
        <v>2.76046E-2</v>
      </c>
      <c r="BM1824" s="117">
        <f>IFERROR($AW1824*$BL1824,"..")</f>
        <v>5317432530.3958025</v>
      </c>
      <c r="BN1824" s="846">
        <f>IFERROR($BB1824/$BM1824,"..")</f>
        <v>1.0307431659301241</v>
      </c>
      <c r="BO1824" s="801">
        <f t="shared" si="311"/>
        <v>38</v>
      </c>
      <c r="BP1824" s="117">
        <f>VLOOKUP($D1824,'WB Data'!$C$3:$M$578,9,FALSE)</f>
        <v>25.8</v>
      </c>
      <c r="BQ1824" s="117">
        <f>VLOOKUP($D1824,'WB Data'!$C$3:$M$578,10,FALSE)</f>
        <v>74.515536585365851</v>
      </c>
      <c r="BR1824" s="117">
        <f>VLOOKUP($D1824,'WB Data'!$C$3:$M$578,11,FALSE)</f>
        <v>13.6</v>
      </c>
      <c r="BS1824" s="129" t="str">
        <f>IFERROR(VLOOKUP($D1824,'WB Data 2'!$C$2:$K$545,9,FALSE),"..")</f>
        <v>..</v>
      </c>
      <c r="BT1824" s="129">
        <f>_xlfn.IFNA(VLOOKUP($C1824,RGI!$A$2:$C$43,2,FALSE),"..")</f>
        <v>76.8</v>
      </c>
      <c r="BU1824" s="129">
        <f>_xlfn.IFNA(VLOOKUP($C1824,RGI!$A$2:$C$43,3,FALSE),"..")</f>
        <v>72.816147461462435</v>
      </c>
      <c r="BV1824" s="129">
        <f>VLOOKUP($D1824,WGI!$C$2:$O$478,7,FALSE)</f>
        <v>6.8806180868862199E-2</v>
      </c>
      <c r="BW1824" s="129">
        <f>VLOOKUP($D1824,WGI!$C$2:$O$478,4,FALSE)</f>
        <v>-0.86195648593669605</v>
      </c>
      <c r="BX1824" s="129">
        <f>VLOOKUP($D1824,WGI!$C$2:$O$478,3,FALSE)</f>
        <v>-0.157626358241128</v>
      </c>
      <c r="BY1824" s="129">
        <f>VLOOKUP($D1824,WGI!$C$2:$O$478,5,FALSE)</f>
        <v>0.48941210864302698</v>
      </c>
      <c r="BZ1824" s="129">
        <f>VLOOKUP($D1824,WGI!$C$2:$O$478,2,FALSE)</f>
        <v>-0.394694258708917</v>
      </c>
      <c r="CB1824" s="129"/>
    </row>
    <row r="1825" spans="1:80" s="120" customFormat="1" ht="15" customHeight="1">
      <c r="A1825" s="407" t="s">
        <v>462</v>
      </c>
      <c r="B1825" s="408">
        <v>2012</v>
      </c>
      <c r="C1825" s="805" t="s">
        <v>449</v>
      </c>
      <c r="D1825" s="117" t="s">
        <v>3745</v>
      </c>
      <c r="E1825" s="409" t="s">
        <v>220</v>
      </c>
      <c r="F1825" s="410"/>
      <c r="G1825" s="621" t="s">
        <v>24</v>
      </c>
      <c r="H1825" s="117" t="str">
        <f t="shared" si="318"/>
        <v>yes</v>
      </c>
      <c r="I1825" s="117" t="str">
        <f t="shared" si="308"/>
        <v>no</v>
      </c>
      <c r="J1825" s="117" t="str">
        <f t="shared" si="309"/>
        <v>no</v>
      </c>
      <c r="K1825" s="410" t="s">
        <v>1336</v>
      </c>
      <c r="L1825" s="117" t="str">
        <f t="shared" si="319"/>
        <v>detailed</v>
      </c>
      <c r="M1825" s="117" t="str">
        <f t="shared" si="310"/>
        <v>detailed Mining</v>
      </c>
      <c r="N1825" s="411">
        <v>24811</v>
      </c>
      <c r="O1825" s="411"/>
      <c r="P1825" s="411"/>
      <c r="Q1825" s="411"/>
      <c r="R1825" s="411"/>
      <c r="S1825" s="410" t="s">
        <v>610</v>
      </c>
      <c r="T1825" s="412"/>
      <c r="U1825" s="410"/>
      <c r="V1825" s="410" t="s">
        <v>684</v>
      </c>
      <c r="W1825" s="413"/>
      <c r="X1825" s="410"/>
      <c r="Y1825" s="621"/>
      <c r="Z1825" s="621"/>
      <c r="AA1825" s="413"/>
      <c r="AB1825" s="413"/>
      <c r="AC1825" s="618"/>
      <c r="AD1825" s="618"/>
      <c r="AE1825" s="618"/>
      <c r="AF1825" s="619"/>
      <c r="AG1825" s="621"/>
      <c r="AH1825" s="417"/>
      <c r="AI1825" s="410"/>
      <c r="AJ1825" s="410"/>
      <c r="AK1825" s="413"/>
      <c r="AL1825" s="410"/>
      <c r="AM1825" s="410"/>
      <c r="AN1825" s="410"/>
      <c r="AO1825" s="410"/>
      <c r="AP1825" s="410"/>
      <c r="AQ1825" s="410"/>
      <c r="AR1825" s="410"/>
      <c r="AS1825" s="410"/>
      <c r="AT1825" s="410"/>
      <c r="AU1825" s="410"/>
      <c r="AV1825" s="419"/>
      <c r="AW1825" s="117">
        <f>VLOOKUP($D1825,'WB Data'!$C$3:$M$578,2,FALSE)</f>
        <v>192628494178.35443</v>
      </c>
      <c r="AX1825" s="117">
        <f>VLOOKUP($D1825,'WB Data'!$C$3:$M$578,3,FALSE)</f>
        <v>29987800</v>
      </c>
      <c r="AY1825" s="847">
        <f t="shared" si="312"/>
        <v>2.8453252798234702E-2</v>
      </c>
      <c r="AZ1825" s="117">
        <f>VLOOKUP($D1825,'WB Data'!$C$3:$M$578,4,FALSE)/100</f>
        <v>0.21510754766218843</v>
      </c>
      <c r="BA1825" s="117">
        <f t="shared" si="313"/>
        <v>41435842992.565964</v>
      </c>
      <c r="BB1825" s="129">
        <f>IFERROR(VLOOKUP($D1825,'EITI Revenues'!$C$2:$G$224,5,FALSE),"..")</f>
        <v>5480907241</v>
      </c>
      <c r="BC1825" s="846">
        <f t="shared" si="314"/>
        <v>0.13227454409418757</v>
      </c>
      <c r="BD1825" s="129">
        <f>VLOOKUP($D1825,'WB Data 2'!$C$2:$K$545,6,FALSE)</f>
        <v>29761875410.518784</v>
      </c>
      <c r="BE1825" s="129">
        <f>IFERROR(VLOOKUP($D1825,UNCTAD!$C$5:$V$529,4,FALSE),"..")</f>
        <v>51063297000</v>
      </c>
      <c r="BF1825" s="846">
        <f t="shared" si="315"/>
        <v>0.58284280802547439</v>
      </c>
      <c r="BG1825" s="117">
        <f>VLOOKUP($D1825,'WB Data'!$C$3:$M$578,5,FALSE)</f>
        <v>393820000</v>
      </c>
      <c r="BH1825" s="129">
        <f>IFERROR($BB1825/$BG1825,"..")</f>
        <v>13.91729023665634</v>
      </c>
      <c r="BI1825" s="117">
        <f>IFERROR(VLOOKUP($D1825,'WB Data'!$C$3:$M$578,7,FALSE)/100,"..")</f>
        <v>2.76046E-2</v>
      </c>
      <c r="BJ1825" s="117">
        <f>IFERROR($BI1825*$AW1825,"..")</f>
        <v>5317432530.3958025</v>
      </c>
      <c r="BK1825" s="846">
        <f>IFERROR($BB1825/$BJ1825,"..")</f>
        <v>1.0307431659301241</v>
      </c>
      <c r="BL1825" s="117">
        <f>IFERROR(VLOOKUP($D1825,'WB Data'!$C$3:$M$578,7,FALSE)/100,"..")</f>
        <v>2.76046E-2</v>
      </c>
      <c r="BM1825" s="117">
        <f>IFERROR($AW1825*$BL1825,"..")</f>
        <v>5317432530.3958025</v>
      </c>
      <c r="BN1825" s="846">
        <f>IFERROR($BB1825/$BM1825,"..")</f>
        <v>1.0307431659301241</v>
      </c>
      <c r="BO1825" s="801">
        <f t="shared" si="311"/>
        <v>38</v>
      </c>
      <c r="BP1825" s="117">
        <f>VLOOKUP($D1825,'WB Data'!$C$3:$M$578,9,FALSE)</f>
        <v>25.8</v>
      </c>
      <c r="BQ1825" s="117">
        <f>VLOOKUP($D1825,'WB Data'!$C$3:$M$578,10,FALSE)</f>
        <v>74.515536585365851</v>
      </c>
      <c r="BR1825" s="117">
        <f>VLOOKUP($D1825,'WB Data'!$C$3:$M$578,11,FALSE)</f>
        <v>13.6</v>
      </c>
      <c r="BS1825" s="129" t="str">
        <f>IFERROR(VLOOKUP($D1825,'WB Data 2'!$C$2:$K$545,9,FALSE),"..")</f>
        <v>..</v>
      </c>
      <c r="BT1825" s="129">
        <f>_xlfn.IFNA(VLOOKUP($C1825,RGI!$A$2:$C$43,2,FALSE),"..")</f>
        <v>76.8</v>
      </c>
      <c r="BU1825" s="129">
        <f>_xlfn.IFNA(VLOOKUP($C1825,RGI!$A$2:$C$43,3,FALSE),"..")</f>
        <v>72.816147461462435</v>
      </c>
      <c r="BV1825" s="129">
        <f>VLOOKUP($D1825,WGI!$C$2:$O$478,7,FALSE)</f>
        <v>6.8806180868862199E-2</v>
      </c>
      <c r="BW1825" s="129">
        <f>VLOOKUP($D1825,WGI!$C$2:$O$478,4,FALSE)</f>
        <v>-0.86195648593669605</v>
      </c>
      <c r="BX1825" s="129">
        <f>VLOOKUP($D1825,WGI!$C$2:$O$478,3,FALSE)</f>
        <v>-0.157626358241128</v>
      </c>
      <c r="BY1825" s="129">
        <f>VLOOKUP($D1825,WGI!$C$2:$O$478,5,FALSE)</f>
        <v>0.48941210864302698</v>
      </c>
      <c r="BZ1825" s="129">
        <f>VLOOKUP($D1825,WGI!$C$2:$O$478,2,FALSE)</f>
        <v>-0.394694258708917</v>
      </c>
      <c r="CB1825" s="129"/>
    </row>
    <row r="1826" spans="1:80" s="120" customFormat="1" ht="15" customHeight="1">
      <c r="A1826" s="407" t="s">
        <v>462</v>
      </c>
      <c r="B1826" s="408">
        <v>2012</v>
      </c>
      <c r="C1826" s="805" t="s">
        <v>449</v>
      </c>
      <c r="D1826" s="117" t="s">
        <v>3745</v>
      </c>
      <c r="E1826" s="409" t="s">
        <v>220</v>
      </c>
      <c r="F1826" s="410"/>
      <c r="G1826" s="621" t="s">
        <v>24</v>
      </c>
      <c r="H1826" s="117" t="str">
        <f t="shared" si="318"/>
        <v>yes</v>
      </c>
      <c r="I1826" s="117" t="str">
        <f t="shared" si="308"/>
        <v>no</v>
      </c>
      <c r="J1826" s="117" t="str">
        <f t="shared" si="309"/>
        <v>no</v>
      </c>
      <c r="K1826" s="410" t="s">
        <v>2105</v>
      </c>
      <c r="L1826" s="117" t="str">
        <f t="shared" si="319"/>
        <v>detailed</v>
      </c>
      <c r="M1826" s="117" t="str">
        <f t="shared" si="310"/>
        <v>detailed Mining</v>
      </c>
      <c r="N1826" s="411">
        <v>148515</v>
      </c>
      <c r="O1826" s="411"/>
      <c r="P1826" s="411"/>
      <c r="Q1826" s="411"/>
      <c r="R1826" s="411"/>
      <c r="S1826" s="410" t="s">
        <v>610</v>
      </c>
      <c r="T1826" s="412"/>
      <c r="U1826" s="410"/>
      <c r="V1826" s="410" t="s">
        <v>684</v>
      </c>
      <c r="W1826" s="413"/>
      <c r="X1826" s="410"/>
      <c r="Y1826" s="621"/>
      <c r="Z1826" s="621"/>
      <c r="AA1826" s="413"/>
      <c r="AB1826" s="413"/>
      <c r="AC1826" s="618"/>
      <c r="AD1826" s="618"/>
      <c r="AE1826" s="618"/>
      <c r="AF1826" s="619"/>
      <c r="AG1826" s="621"/>
      <c r="AH1826" s="417"/>
      <c r="AI1826" s="410"/>
      <c r="AJ1826" s="410"/>
      <c r="AK1826" s="413"/>
      <c r="AL1826" s="410"/>
      <c r="AM1826" s="410"/>
      <c r="AN1826" s="410"/>
      <c r="AO1826" s="410"/>
      <c r="AP1826" s="410"/>
      <c r="AQ1826" s="410"/>
      <c r="AR1826" s="410"/>
      <c r="AS1826" s="410"/>
      <c r="AT1826" s="410"/>
      <c r="AU1826" s="410"/>
      <c r="AV1826" s="419"/>
      <c r="AW1826" s="117">
        <f>VLOOKUP($D1826,'WB Data'!$C$3:$M$578,2,FALSE)</f>
        <v>192628494178.35443</v>
      </c>
      <c r="AX1826" s="117">
        <f>VLOOKUP($D1826,'WB Data'!$C$3:$M$578,3,FALSE)</f>
        <v>29987800</v>
      </c>
      <c r="AY1826" s="847">
        <f t="shared" si="312"/>
        <v>2.8453252798234702E-2</v>
      </c>
      <c r="AZ1826" s="117">
        <f>VLOOKUP($D1826,'WB Data'!$C$3:$M$578,4,FALSE)/100</f>
        <v>0.21510754766218843</v>
      </c>
      <c r="BA1826" s="117">
        <f t="shared" si="313"/>
        <v>41435842992.565964</v>
      </c>
      <c r="BB1826" s="129">
        <f>IFERROR(VLOOKUP($D1826,'EITI Revenues'!$C$2:$G$224,5,FALSE),"..")</f>
        <v>5480907241</v>
      </c>
      <c r="BC1826" s="846">
        <f t="shared" si="314"/>
        <v>0.13227454409418757</v>
      </c>
      <c r="BD1826" s="129">
        <f>VLOOKUP($D1826,'WB Data 2'!$C$2:$K$545,6,FALSE)</f>
        <v>29761875410.518784</v>
      </c>
      <c r="BE1826" s="129">
        <f>IFERROR(VLOOKUP($D1826,UNCTAD!$C$5:$V$529,4,FALSE),"..")</f>
        <v>51063297000</v>
      </c>
      <c r="BF1826" s="846">
        <f t="shared" si="315"/>
        <v>0.58284280802547439</v>
      </c>
      <c r="BG1826" s="117">
        <f>VLOOKUP($D1826,'WB Data'!$C$3:$M$578,5,FALSE)</f>
        <v>393820000</v>
      </c>
      <c r="BH1826" s="129">
        <f>IFERROR($BB1826/$BG1826,"..")</f>
        <v>13.91729023665634</v>
      </c>
      <c r="BI1826" s="117">
        <f>IFERROR(VLOOKUP($D1826,'WB Data'!$C$3:$M$578,7,FALSE)/100,"..")</f>
        <v>2.76046E-2</v>
      </c>
      <c r="BJ1826" s="117">
        <f>IFERROR($BI1826*$AW1826,"..")</f>
        <v>5317432530.3958025</v>
      </c>
      <c r="BK1826" s="846">
        <f>IFERROR($BB1826/$BJ1826,"..")</f>
        <v>1.0307431659301241</v>
      </c>
      <c r="BL1826" s="117">
        <f>IFERROR(VLOOKUP($D1826,'WB Data'!$C$3:$M$578,7,FALSE)/100,"..")</f>
        <v>2.76046E-2</v>
      </c>
      <c r="BM1826" s="117">
        <f>IFERROR($AW1826*$BL1826,"..")</f>
        <v>5317432530.3958025</v>
      </c>
      <c r="BN1826" s="846">
        <f>IFERROR($BB1826/$BM1826,"..")</f>
        <v>1.0307431659301241</v>
      </c>
      <c r="BO1826" s="801">
        <f t="shared" si="311"/>
        <v>38</v>
      </c>
      <c r="BP1826" s="117">
        <f>VLOOKUP($D1826,'WB Data'!$C$3:$M$578,9,FALSE)</f>
        <v>25.8</v>
      </c>
      <c r="BQ1826" s="117">
        <f>VLOOKUP($D1826,'WB Data'!$C$3:$M$578,10,FALSE)</f>
        <v>74.515536585365851</v>
      </c>
      <c r="BR1826" s="117">
        <f>VLOOKUP($D1826,'WB Data'!$C$3:$M$578,11,FALSE)</f>
        <v>13.6</v>
      </c>
      <c r="BS1826" s="129" t="str">
        <f>IFERROR(VLOOKUP($D1826,'WB Data 2'!$C$2:$K$545,9,FALSE),"..")</f>
        <v>..</v>
      </c>
      <c r="BT1826" s="129">
        <f>_xlfn.IFNA(VLOOKUP($C1826,RGI!$A$2:$C$43,2,FALSE),"..")</f>
        <v>76.8</v>
      </c>
      <c r="BU1826" s="129">
        <f>_xlfn.IFNA(VLOOKUP($C1826,RGI!$A$2:$C$43,3,FALSE),"..")</f>
        <v>72.816147461462435</v>
      </c>
      <c r="BV1826" s="129">
        <f>VLOOKUP($D1826,WGI!$C$2:$O$478,7,FALSE)</f>
        <v>6.8806180868862199E-2</v>
      </c>
      <c r="BW1826" s="129">
        <f>VLOOKUP($D1826,WGI!$C$2:$O$478,4,FALSE)</f>
        <v>-0.86195648593669605</v>
      </c>
      <c r="BX1826" s="129">
        <f>VLOOKUP($D1826,WGI!$C$2:$O$478,3,FALSE)</f>
        <v>-0.157626358241128</v>
      </c>
      <c r="BY1826" s="129">
        <f>VLOOKUP($D1826,WGI!$C$2:$O$478,5,FALSE)</f>
        <v>0.48941210864302698</v>
      </c>
      <c r="BZ1826" s="129">
        <f>VLOOKUP($D1826,WGI!$C$2:$O$478,2,FALSE)</f>
        <v>-0.394694258708917</v>
      </c>
      <c r="CB1826" s="129"/>
    </row>
    <row r="1827" spans="1:80" s="120" customFormat="1" ht="15" customHeight="1">
      <c r="A1827" s="407" t="s">
        <v>462</v>
      </c>
      <c r="B1827" s="408">
        <v>2012</v>
      </c>
      <c r="C1827" s="805" t="s">
        <v>449</v>
      </c>
      <c r="D1827" s="117" t="s">
        <v>3745</v>
      </c>
      <c r="E1827" s="409" t="s">
        <v>220</v>
      </c>
      <c r="F1827" s="410"/>
      <c r="G1827" s="621" t="s">
        <v>24</v>
      </c>
      <c r="H1827" s="117" t="str">
        <f t="shared" si="318"/>
        <v>yes</v>
      </c>
      <c r="I1827" s="117" t="str">
        <f t="shared" si="308"/>
        <v>no</v>
      </c>
      <c r="J1827" s="117" t="str">
        <f t="shared" si="309"/>
        <v>no</v>
      </c>
      <c r="K1827" s="410" t="s">
        <v>2106</v>
      </c>
      <c r="L1827" s="117" t="str">
        <f t="shared" si="319"/>
        <v>detailed</v>
      </c>
      <c r="M1827" s="117" t="str">
        <f t="shared" si="310"/>
        <v>detailed Mining</v>
      </c>
      <c r="N1827" s="411">
        <v>365</v>
      </c>
      <c r="O1827" s="411"/>
      <c r="P1827" s="411"/>
      <c r="Q1827" s="411"/>
      <c r="R1827" s="411"/>
      <c r="S1827" s="410" t="s">
        <v>610</v>
      </c>
      <c r="T1827" s="412">
        <v>255</v>
      </c>
      <c r="U1827" s="410" t="s">
        <v>611</v>
      </c>
      <c r="V1827" s="410" t="s">
        <v>1810</v>
      </c>
      <c r="W1827" s="413">
        <f>N1827*T1827</f>
        <v>93075</v>
      </c>
      <c r="X1827" s="410"/>
      <c r="Y1827" s="621"/>
      <c r="Z1827" s="621"/>
      <c r="AA1827" s="413"/>
      <c r="AB1827" s="413"/>
      <c r="AC1827" s="618"/>
      <c r="AD1827" s="618"/>
      <c r="AE1827" s="618"/>
      <c r="AF1827" s="619"/>
      <c r="AG1827" s="621"/>
      <c r="AH1827" s="417"/>
      <c r="AI1827" s="410"/>
      <c r="AJ1827" s="410"/>
      <c r="AK1827" s="413"/>
      <c r="AL1827" s="410"/>
      <c r="AM1827" s="410"/>
      <c r="AN1827" s="410"/>
      <c r="AO1827" s="410"/>
      <c r="AP1827" s="410"/>
      <c r="AQ1827" s="410"/>
      <c r="AR1827" s="410"/>
      <c r="AS1827" s="410"/>
      <c r="AT1827" s="410"/>
      <c r="AU1827" s="410"/>
      <c r="AV1827" s="419"/>
      <c r="AW1827" s="117">
        <f>VLOOKUP($D1827,'WB Data'!$C$3:$M$578,2,FALSE)</f>
        <v>192628494178.35443</v>
      </c>
      <c r="AX1827" s="117">
        <f>VLOOKUP($D1827,'WB Data'!$C$3:$M$578,3,FALSE)</f>
        <v>29987800</v>
      </c>
      <c r="AY1827" s="847">
        <f t="shared" si="312"/>
        <v>2.8453252798234702E-2</v>
      </c>
      <c r="AZ1827" s="117">
        <f>VLOOKUP($D1827,'WB Data'!$C$3:$M$578,4,FALSE)/100</f>
        <v>0.21510754766218843</v>
      </c>
      <c r="BA1827" s="117">
        <f t="shared" si="313"/>
        <v>41435842992.565964</v>
      </c>
      <c r="BB1827" s="129">
        <f>IFERROR(VLOOKUP($D1827,'EITI Revenues'!$C$2:$G$224,5,FALSE),"..")</f>
        <v>5480907241</v>
      </c>
      <c r="BC1827" s="846">
        <f t="shared" si="314"/>
        <v>0.13227454409418757</v>
      </c>
      <c r="BD1827" s="129">
        <f>VLOOKUP($D1827,'WB Data 2'!$C$2:$K$545,6,FALSE)</f>
        <v>29761875410.518784</v>
      </c>
      <c r="BE1827" s="129">
        <f>IFERROR(VLOOKUP($D1827,UNCTAD!$C$5:$V$529,4,FALSE),"..")</f>
        <v>51063297000</v>
      </c>
      <c r="BF1827" s="846">
        <f t="shared" si="315"/>
        <v>0.58284280802547439</v>
      </c>
      <c r="BG1827" s="117">
        <f>VLOOKUP($D1827,'WB Data'!$C$3:$M$578,5,FALSE)</f>
        <v>393820000</v>
      </c>
      <c r="BH1827" s="129">
        <f>IFERROR($BB1827/$BG1827,"..")</f>
        <v>13.91729023665634</v>
      </c>
      <c r="BI1827" s="117">
        <f>IFERROR(VLOOKUP($D1827,'WB Data'!$C$3:$M$578,7,FALSE)/100,"..")</f>
        <v>2.76046E-2</v>
      </c>
      <c r="BJ1827" s="117">
        <f>IFERROR($BI1827*$AW1827,"..")</f>
        <v>5317432530.3958025</v>
      </c>
      <c r="BK1827" s="846">
        <f>IFERROR($BB1827/$BJ1827,"..")</f>
        <v>1.0307431659301241</v>
      </c>
      <c r="BL1827" s="117">
        <f>IFERROR(VLOOKUP($D1827,'WB Data'!$C$3:$M$578,7,FALSE)/100,"..")</f>
        <v>2.76046E-2</v>
      </c>
      <c r="BM1827" s="117">
        <f>IFERROR($AW1827*$BL1827,"..")</f>
        <v>5317432530.3958025</v>
      </c>
      <c r="BN1827" s="846">
        <f>IFERROR($BB1827/$BM1827,"..")</f>
        <v>1.0307431659301241</v>
      </c>
      <c r="BO1827" s="801">
        <f t="shared" si="311"/>
        <v>38</v>
      </c>
      <c r="BP1827" s="117">
        <f>VLOOKUP($D1827,'WB Data'!$C$3:$M$578,9,FALSE)</f>
        <v>25.8</v>
      </c>
      <c r="BQ1827" s="117">
        <f>VLOOKUP($D1827,'WB Data'!$C$3:$M$578,10,FALSE)</f>
        <v>74.515536585365851</v>
      </c>
      <c r="BR1827" s="117">
        <f>VLOOKUP($D1827,'WB Data'!$C$3:$M$578,11,FALSE)</f>
        <v>13.6</v>
      </c>
      <c r="BS1827" s="129" t="str">
        <f>IFERROR(VLOOKUP($D1827,'WB Data 2'!$C$2:$K$545,9,FALSE),"..")</f>
        <v>..</v>
      </c>
      <c r="BT1827" s="129">
        <f>_xlfn.IFNA(VLOOKUP($C1827,RGI!$A$2:$C$43,2,FALSE),"..")</f>
        <v>76.8</v>
      </c>
      <c r="BU1827" s="129">
        <f>_xlfn.IFNA(VLOOKUP($C1827,RGI!$A$2:$C$43,3,FALSE),"..")</f>
        <v>72.816147461462435</v>
      </c>
      <c r="BV1827" s="129">
        <f>VLOOKUP($D1827,WGI!$C$2:$O$478,7,FALSE)</f>
        <v>6.8806180868862199E-2</v>
      </c>
      <c r="BW1827" s="129">
        <f>VLOOKUP($D1827,WGI!$C$2:$O$478,4,FALSE)</f>
        <v>-0.86195648593669605</v>
      </c>
      <c r="BX1827" s="129">
        <f>VLOOKUP($D1827,WGI!$C$2:$O$478,3,FALSE)</f>
        <v>-0.157626358241128</v>
      </c>
      <c r="BY1827" s="129">
        <f>VLOOKUP($D1827,WGI!$C$2:$O$478,5,FALSE)</f>
        <v>0.48941210864302698</v>
      </c>
      <c r="BZ1827" s="129">
        <f>VLOOKUP($D1827,WGI!$C$2:$O$478,2,FALSE)</f>
        <v>-0.394694258708917</v>
      </c>
      <c r="CB1827" s="129"/>
    </row>
    <row r="1828" spans="1:80" s="120" customFormat="1" ht="15" customHeight="1">
      <c r="A1828" s="407" t="s">
        <v>462</v>
      </c>
      <c r="B1828" s="408">
        <v>2012</v>
      </c>
      <c r="C1828" s="805" t="s">
        <v>449</v>
      </c>
      <c r="D1828" s="117" t="s">
        <v>3745</v>
      </c>
      <c r="E1828" s="409" t="s">
        <v>220</v>
      </c>
      <c r="F1828" s="410"/>
      <c r="G1828" s="621" t="s">
        <v>24</v>
      </c>
      <c r="H1828" s="117" t="str">
        <f t="shared" si="318"/>
        <v>yes</v>
      </c>
      <c r="I1828" s="117" t="str">
        <f t="shared" si="308"/>
        <v>no</v>
      </c>
      <c r="J1828" s="117" t="str">
        <f t="shared" si="309"/>
        <v>no</v>
      </c>
      <c r="K1828" s="410" t="s">
        <v>849</v>
      </c>
      <c r="L1828" s="117" t="str">
        <f t="shared" si="319"/>
        <v>detailed</v>
      </c>
      <c r="M1828" s="117" t="str">
        <f t="shared" si="310"/>
        <v>detailed Mining</v>
      </c>
      <c r="N1828" s="411"/>
      <c r="O1828" s="411"/>
      <c r="P1828" s="411"/>
      <c r="Q1828" s="411"/>
      <c r="R1828" s="411"/>
      <c r="S1828" s="410"/>
      <c r="T1828" s="622">
        <f>1950.41350825598</f>
        <v>1950.4135082559801</v>
      </c>
      <c r="U1828" s="410" t="s">
        <v>611</v>
      </c>
      <c r="V1828" s="410" t="s">
        <v>2055</v>
      </c>
      <c r="W1828" s="413">
        <f>N1830*T1828</f>
        <v>622728024.91596937</v>
      </c>
      <c r="X1828" s="410"/>
      <c r="Y1828" s="410"/>
      <c r="Z1828" s="410"/>
      <c r="AA1828" s="410"/>
      <c r="AB1828" s="410"/>
      <c r="AC1828" s="618"/>
      <c r="AD1828" s="618"/>
      <c r="AE1828" s="618"/>
      <c r="AF1828" s="619"/>
      <c r="AG1828" s="410"/>
      <c r="AH1828" s="417"/>
      <c r="AI1828" s="410"/>
      <c r="AJ1828" s="410"/>
      <c r="AK1828" s="413"/>
      <c r="AL1828" s="410"/>
      <c r="AM1828" s="410"/>
      <c r="AN1828" s="410"/>
      <c r="AO1828" s="410"/>
      <c r="AP1828" s="410"/>
      <c r="AQ1828" s="410"/>
      <c r="AR1828" s="410"/>
      <c r="AS1828" s="410"/>
      <c r="AT1828" s="410"/>
      <c r="AU1828" s="410"/>
      <c r="AV1828" s="419"/>
      <c r="AW1828" s="117">
        <f>VLOOKUP($D1828,'WB Data'!$C$3:$M$578,2,FALSE)</f>
        <v>192628494178.35443</v>
      </c>
      <c r="AX1828" s="117">
        <f>VLOOKUP($D1828,'WB Data'!$C$3:$M$578,3,FALSE)</f>
        <v>29987800</v>
      </c>
      <c r="AY1828" s="847">
        <f t="shared" si="312"/>
        <v>2.8453252798234702E-2</v>
      </c>
      <c r="AZ1828" s="117">
        <f>VLOOKUP($D1828,'WB Data'!$C$3:$M$578,4,FALSE)/100</f>
        <v>0.21510754766218843</v>
      </c>
      <c r="BA1828" s="117">
        <f t="shared" si="313"/>
        <v>41435842992.565964</v>
      </c>
      <c r="BB1828" s="129">
        <f>IFERROR(VLOOKUP($D1828,'EITI Revenues'!$C$2:$G$224,5,FALSE),"..")</f>
        <v>5480907241</v>
      </c>
      <c r="BC1828" s="846">
        <f t="shared" si="314"/>
        <v>0.13227454409418757</v>
      </c>
      <c r="BD1828" s="129">
        <f>VLOOKUP($D1828,'WB Data 2'!$C$2:$K$545,6,FALSE)</f>
        <v>29761875410.518784</v>
      </c>
      <c r="BE1828" s="129">
        <f>IFERROR(VLOOKUP($D1828,UNCTAD!$C$5:$V$529,4,FALSE),"..")</f>
        <v>51063297000</v>
      </c>
      <c r="BF1828" s="846">
        <f t="shared" si="315"/>
        <v>0.58284280802547439</v>
      </c>
      <c r="BG1828" s="117">
        <f>VLOOKUP($D1828,'WB Data'!$C$3:$M$578,5,FALSE)</f>
        <v>393820000</v>
      </c>
      <c r="BH1828" s="129">
        <f>IFERROR($BB1828/$BG1828,"..")</f>
        <v>13.91729023665634</v>
      </c>
      <c r="BI1828" s="117">
        <f>IFERROR(VLOOKUP($D1828,'WB Data'!$C$3:$M$578,7,FALSE)/100,"..")</f>
        <v>2.76046E-2</v>
      </c>
      <c r="BJ1828" s="117">
        <f>IFERROR($BI1828*$AW1828,"..")</f>
        <v>5317432530.3958025</v>
      </c>
      <c r="BK1828" s="846">
        <f>IFERROR($BB1828/$BJ1828,"..")</f>
        <v>1.0307431659301241</v>
      </c>
      <c r="BL1828" s="117">
        <f>IFERROR(VLOOKUP($D1828,'WB Data'!$C$3:$M$578,7,FALSE)/100,"..")</f>
        <v>2.76046E-2</v>
      </c>
      <c r="BM1828" s="117">
        <f>IFERROR($AW1828*$BL1828,"..")</f>
        <v>5317432530.3958025</v>
      </c>
      <c r="BN1828" s="846">
        <f>IFERROR($BB1828/$BM1828,"..")</f>
        <v>1.0307431659301241</v>
      </c>
      <c r="BO1828" s="801">
        <f t="shared" si="311"/>
        <v>38</v>
      </c>
      <c r="BP1828" s="117">
        <f>VLOOKUP($D1828,'WB Data'!$C$3:$M$578,9,FALSE)</f>
        <v>25.8</v>
      </c>
      <c r="BQ1828" s="117">
        <f>VLOOKUP($D1828,'WB Data'!$C$3:$M$578,10,FALSE)</f>
        <v>74.515536585365851</v>
      </c>
      <c r="BR1828" s="117">
        <f>VLOOKUP($D1828,'WB Data'!$C$3:$M$578,11,FALSE)</f>
        <v>13.6</v>
      </c>
      <c r="BS1828" s="129" t="str">
        <f>IFERROR(VLOOKUP($D1828,'WB Data 2'!$C$2:$K$545,9,FALSE),"..")</f>
        <v>..</v>
      </c>
      <c r="BT1828" s="129">
        <f>_xlfn.IFNA(VLOOKUP($C1828,RGI!$A$2:$C$43,2,FALSE),"..")</f>
        <v>76.8</v>
      </c>
      <c r="BU1828" s="129">
        <f>_xlfn.IFNA(VLOOKUP($C1828,RGI!$A$2:$C$43,3,FALSE),"..")</f>
        <v>72.816147461462435</v>
      </c>
      <c r="BV1828" s="129">
        <f>VLOOKUP($D1828,WGI!$C$2:$O$478,7,FALSE)</f>
        <v>6.8806180868862199E-2</v>
      </c>
      <c r="BW1828" s="129">
        <f>VLOOKUP($D1828,WGI!$C$2:$O$478,4,FALSE)</f>
        <v>-0.86195648593669605</v>
      </c>
      <c r="BX1828" s="129">
        <f>VLOOKUP($D1828,WGI!$C$2:$O$478,3,FALSE)</f>
        <v>-0.157626358241128</v>
      </c>
      <c r="BY1828" s="129">
        <f>VLOOKUP($D1828,WGI!$C$2:$O$478,5,FALSE)</f>
        <v>0.48941210864302698</v>
      </c>
      <c r="BZ1828" s="129">
        <f>VLOOKUP($D1828,WGI!$C$2:$O$478,2,FALSE)</f>
        <v>-0.394694258708917</v>
      </c>
      <c r="CB1828" s="129"/>
    </row>
    <row r="1829" spans="1:80" s="120" customFormat="1" ht="15" customHeight="1">
      <c r="A1829" s="407" t="s">
        <v>462</v>
      </c>
      <c r="B1829" s="408">
        <v>2012</v>
      </c>
      <c r="C1829" s="805" t="s">
        <v>449</v>
      </c>
      <c r="D1829" s="117" t="s">
        <v>3745</v>
      </c>
      <c r="E1829" s="409" t="s">
        <v>220</v>
      </c>
      <c r="F1829" s="410"/>
      <c r="G1829" s="621" t="s">
        <v>24</v>
      </c>
      <c r="H1829" s="117" t="str">
        <f t="shared" si="318"/>
        <v>yes</v>
      </c>
      <c r="I1829" s="117" t="str">
        <f t="shared" si="308"/>
        <v>no</v>
      </c>
      <c r="J1829" s="117" t="str">
        <f t="shared" si="309"/>
        <v>no</v>
      </c>
      <c r="K1829" s="410" t="s">
        <v>2058</v>
      </c>
      <c r="L1829" s="117" t="str">
        <f t="shared" si="319"/>
        <v>detailed</v>
      </c>
      <c r="M1829" s="117" t="str">
        <f t="shared" si="310"/>
        <v>detailed Mining</v>
      </c>
      <c r="N1829" s="411">
        <v>1280975</v>
      </c>
      <c r="O1829" s="411"/>
      <c r="P1829" s="411"/>
      <c r="Q1829" s="411"/>
      <c r="R1829" s="411"/>
      <c r="S1829" s="410" t="s">
        <v>610</v>
      </c>
      <c r="T1829" s="412"/>
      <c r="U1829" s="410"/>
      <c r="V1829" s="410" t="s">
        <v>684</v>
      </c>
      <c r="W1829" s="413"/>
      <c r="X1829" s="410"/>
      <c r="Y1829" s="621"/>
      <c r="Z1829" s="621"/>
      <c r="AA1829" s="413"/>
      <c r="AB1829" s="413"/>
      <c r="AC1829" s="618"/>
      <c r="AD1829" s="618"/>
      <c r="AE1829" s="618"/>
      <c r="AF1829" s="619"/>
      <c r="AG1829" s="621"/>
      <c r="AH1829" s="417"/>
      <c r="AI1829" s="410"/>
      <c r="AJ1829" s="410"/>
      <c r="AK1829" s="413"/>
      <c r="AL1829" s="410"/>
      <c r="AM1829" s="410"/>
      <c r="AN1829" s="410"/>
      <c r="AO1829" s="410"/>
      <c r="AP1829" s="410"/>
      <c r="AQ1829" s="410"/>
      <c r="AR1829" s="410"/>
      <c r="AS1829" s="410"/>
      <c r="AT1829" s="410"/>
      <c r="AU1829" s="410"/>
      <c r="AV1829" s="419"/>
      <c r="AW1829" s="117">
        <f>VLOOKUP($D1829,'WB Data'!$C$3:$M$578,2,FALSE)</f>
        <v>192628494178.35443</v>
      </c>
      <c r="AX1829" s="117">
        <f>VLOOKUP($D1829,'WB Data'!$C$3:$M$578,3,FALSE)</f>
        <v>29987800</v>
      </c>
      <c r="AY1829" s="847">
        <f t="shared" si="312"/>
        <v>2.8453252798234702E-2</v>
      </c>
      <c r="AZ1829" s="117">
        <f>VLOOKUP($D1829,'WB Data'!$C$3:$M$578,4,FALSE)/100</f>
        <v>0.21510754766218843</v>
      </c>
      <c r="BA1829" s="117">
        <f t="shared" si="313"/>
        <v>41435842992.565964</v>
      </c>
      <c r="BB1829" s="129">
        <f>IFERROR(VLOOKUP($D1829,'EITI Revenues'!$C$2:$G$224,5,FALSE),"..")</f>
        <v>5480907241</v>
      </c>
      <c r="BC1829" s="846">
        <f t="shared" si="314"/>
        <v>0.13227454409418757</v>
      </c>
      <c r="BD1829" s="129">
        <f>VLOOKUP($D1829,'WB Data 2'!$C$2:$K$545,6,FALSE)</f>
        <v>29761875410.518784</v>
      </c>
      <c r="BE1829" s="129">
        <f>IFERROR(VLOOKUP($D1829,UNCTAD!$C$5:$V$529,4,FALSE),"..")</f>
        <v>51063297000</v>
      </c>
      <c r="BF1829" s="846">
        <f t="shared" si="315"/>
        <v>0.58284280802547439</v>
      </c>
      <c r="BG1829" s="117">
        <f>VLOOKUP($D1829,'WB Data'!$C$3:$M$578,5,FALSE)</f>
        <v>393820000</v>
      </c>
      <c r="BH1829" s="129">
        <f>IFERROR($BB1829/$BG1829,"..")</f>
        <v>13.91729023665634</v>
      </c>
      <c r="BI1829" s="117">
        <f>IFERROR(VLOOKUP($D1829,'WB Data'!$C$3:$M$578,7,FALSE)/100,"..")</f>
        <v>2.76046E-2</v>
      </c>
      <c r="BJ1829" s="117">
        <f>IFERROR($BI1829*$AW1829,"..")</f>
        <v>5317432530.3958025</v>
      </c>
      <c r="BK1829" s="846">
        <f>IFERROR($BB1829/$BJ1829,"..")</f>
        <v>1.0307431659301241</v>
      </c>
      <c r="BL1829" s="117">
        <f>IFERROR(VLOOKUP($D1829,'WB Data'!$C$3:$M$578,7,FALSE)/100,"..")</f>
        <v>2.76046E-2</v>
      </c>
      <c r="BM1829" s="117">
        <f>IFERROR($AW1829*$BL1829,"..")</f>
        <v>5317432530.3958025</v>
      </c>
      <c r="BN1829" s="846">
        <f>IFERROR($BB1829/$BM1829,"..")</f>
        <v>1.0307431659301241</v>
      </c>
      <c r="BO1829" s="801">
        <f t="shared" si="311"/>
        <v>38</v>
      </c>
      <c r="BP1829" s="117">
        <f>VLOOKUP($D1829,'WB Data'!$C$3:$M$578,9,FALSE)</f>
        <v>25.8</v>
      </c>
      <c r="BQ1829" s="117">
        <f>VLOOKUP($D1829,'WB Data'!$C$3:$M$578,10,FALSE)</f>
        <v>74.515536585365851</v>
      </c>
      <c r="BR1829" s="117">
        <f>VLOOKUP($D1829,'WB Data'!$C$3:$M$578,11,FALSE)</f>
        <v>13.6</v>
      </c>
      <c r="BS1829" s="129" t="str">
        <f>IFERROR(VLOOKUP($D1829,'WB Data 2'!$C$2:$K$545,9,FALSE),"..")</f>
        <v>..</v>
      </c>
      <c r="BT1829" s="129">
        <f>_xlfn.IFNA(VLOOKUP($C1829,RGI!$A$2:$C$43,2,FALSE),"..")</f>
        <v>76.8</v>
      </c>
      <c r="BU1829" s="129">
        <f>_xlfn.IFNA(VLOOKUP($C1829,RGI!$A$2:$C$43,3,FALSE),"..")</f>
        <v>72.816147461462435</v>
      </c>
      <c r="BV1829" s="129">
        <f>VLOOKUP($D1829,WGI!$C$2:$O$478,7,FALSE)</f>
        <v>6.8806180868862199E-2</v>
      </c>
      <c r="BW1829" s="129">
        <f>VLOOKUP($D1829,WGI!$C$2:$O$478,4,FALSE)</f>
        <v>-0.86195648593669605</v>
      </c>
      <c r="BX1829" s="129">
        <f>VLOOKUP($D1829,WGI!$C$2:$O$478,3,FALSE)</f>
        <v>-0.157626358241128</v>
      </c>
      <c r="BY1829" s="129">
        <f>VLOOKUP($D1829,WGI!$C$2:$O$478,5,FALSE)</f>
        <v>0.48941210864302698</v>
      </c>
      <c r="BZ1829" s="129">
        <f>VLOOKUP($D1829,WGI!$C$2:$O$478,2,FALSE)</f>
        <v>-0.394694258708917</v>
      </c>
      <c r="CB1829" s="129"/>
    </row>
    <row r="1830" spans="1:80" s="173" customFormat="1" ht="15" customHeight="1" thickBot="1">
      <c r="A1830" s="437" t="s">
        <v>462</v>
      </c>
      <c r="B1830" s="438">
        <v>2012</v>
      </c>
      <c r="C1830" s="807" t="s">
        <v>449</v>
      </c>
      <c r="D1830" s="117" t="s">
        <v>3745</v>
      </c>
      <c r="E1830" s="439" t="s">
        <v>220</v>
      </c>
      <c r="F1830" s="440"/>
      <c r="G1830" s="621" t="s">
        <v>24</v>
      </c>
      <c r="H1830" s="117" t="str">
        <f t="shared" si="318"/>
        <v>yes</v>
      </c>
      <c r="I1830" s="117" t="str">
        <f t="shared" si="308"/>
        <v>no</v>
      </c>
      <c r="J1830" s="117" t="str">
        <f t="shared" si="309"/>
        <v>no</v>
      </c>
      <c r="K1830" s="440" t="s">
        <v>1336</v>
      </c>
      <c r="L1830" s="117" t="str">
        <f t="shared" si="319"/>
        <v>detailed</v>
      </c>
      <c r="M1830" s="117" t="str">
        <f t="shared" si="310"/>
        <v>detailed Mining</v>
      </c>
      <c r="N1830" s="441">
        <v>319280</v>
      </c>
      <c r="O1830" s="441"/>
      <c r="P1830" s="441"/>
      <c r="Q1830" s="441"/>
      <c r="R1830" s="441"/>
      <c r="S1830" s="440" t="s">
        <v>610</v>
      </c>
      <c r="T1830" s="442"/>
      <c r="U1830" s="440"/>
      <c r="V1830" s="440" t="s">
        <v>684</v>
      </c>
      <c r="W1830" s="443"/>
      <c r="X1830" s="440"/>
      <c r="Y1830" s="628"/>
      <c r="Z1830" s="628"/>
      <c r="AA1830" s="443"/>
      <c r="AB1830" s="443"/>
      <c r="AC1830" s="629"/>
      <c r="AD1830" s="629"/>
      <c r="AE1830" s="629"/>
      <c r="AF1830" s="630"/>
      <c r="AG1830" s="628"/>
      <c r="AH1830" s="447"/>
      <c r="AI1830" s="440"/>
      <c r="AJ1830" s="440"/>
      <c r="AK1830" s="443"/>
      <c r="AL1830" s="440"/>
      <c r="AM1830" s="440"/>
      <c r="AN1830" s="440"/>
      <c r="AO1830" s="440"/>
      <c r="AP1830" s="440"/>
      <c r="AQ1830" s="440"/>
      <c r="AR1830" s="440"/>
      <c r="AS1830" s="440"/>
      <c r="AT1830" s="440"/>
      <c r="AU1830" s="440"/>
      <c r="AV1830" s="449"/>
      <c r="AW1830" s="117">
        <f>VLOOKUP($D1830,'WB Data'!$C$3:$M$578,2,FALSE)</f>
        <v>192628494178.35443</v>
      </c>
      <c r="AX1830" s="117">
        <f>VLOOKUP($D1830,'WB Data'!$C$3:$M$578,3,FALSE)</f>
        <v>29987800</v>
      </c>
      <c r="AY1830" s="847">
        <f t="shared" si="312"/>
        <v>2.8453252798234702E-2</v>
      </c>
      <c r="AZ1830" s="117">
        <f>VLOOKUP($D1830,'WB Data'!$C$3:$M$578,4,FALSE)/100</f>
        <v>0.21510754766218843</v>
      </c>
      <c r="BA1830" s="117">
        <f t="shared" si="313"/>
        <v>41435842992.565964</v>
      </c>
      <c r="BB1830" s="129">
        <f>IFERROR(VLOOKUP($D1830,'EITI Revenues'!$C$2:$G$224,5,FALSE),"..")</f>
        <v>5480907241</v>
      </c>
      <c r="BC1830" s="846">
        <f t="shared" si="314"/>
        <v>0.13227454409418757</v>
      </c>
      <c r="BD1830" s="129">
        <f>VLOOKUP($D1830,'WB Data 2'!$C$2:$K$545,6,FALSE)</f>
        <v>29761875410.518784</v>
      </c>
      <c r="BE1830" s="129">
        <f>IFERROR(VLOOKUP($D1830,UNCTAD!$C$5:$V$529,4,FALSE),"..")</f>
        <v>51063297000</v>
      </c>
      <c r="BF1830" s="846">
        <f t="shared" si="315"/>
        <v>0.58284280802547439</v>
      </c>
      <c r="BG1830" s="117">
        <f>VLOOKUP($D1830,'WB Data'!$C$3:$M$578,5,FALSE)</f>
        <v>393820000</v>
      </c>
      <c r="BH1830" s="129">
        <f>IFERROR($BB1830/$BG1830,"..")</f>
        <v>13.91729023665634</v>
      </c>
      <c r="BI1830" s="117">
        <f>IFERROR(VLOOKUP($D1830,'WB Data'!$C$3:$M$578,7,FALSE)/100,"..")</f>
        <v>2.76046E-2</v>
      </c>
      <c r="BJ1830" s="117">
        <f>IFERROR($BI1830*$AW1830,"..")</f>
        <v>5317432530.3958025</v>
      </c>
      <c r="BK1830" s="846">
        <f>IFERROR($BB1830/$BJ1830,"..")</f>
        <v>1.0307431659301241</v>
      </c>
      <c r="BL1830" s="117">
        <f>IFERROR(VLOOKUP($D1830,'WB Data'!$C$3:$M$578,7,FALSE)/100,"..")</f>
        <v>2.76046E-2</v>
      </c>
      <c r="BM1830" s="117">
        <f>IFERROR($AW1830*$BL1830,"..")</f>
        <v>5317432530.3958025</v>
      </c>
      <c r="BN1830" s="846">
        <f>IFERROR($BB1830/$BM1830,"..")</f>
        <v>1.0307431659301241</v>
      </c>
      <c r="BO1830" s="801">
        <f t="shared" si="311"/>
        <v>38</v>
      </c>
      <c r="BP1830" s="117">
        <f>VLOOKUP($D1830,'WB Data'!$C$3:$M$578,9,FALSE)</f>
        <v>25.8</v>
      </c>
      <c r="BQ1830" s="117">
        <f>VLOOKUP($D1830,'WB Data'!$C$3:$M$578,10,FALSE)</f>
        <v>74.515536585365851</v>
      </c>
      <c r="BR1830" s="117">
        <f>VLOOKUP($D1830,'WB Data'!$C$3:$M$578,11,FALSE)</f>
        <v>13.6</v>
      </c>
      <c r="BS1830" s="129" t="str">
        <f>IFERROR(VLOOKUP($D1830,'WB Data 2'!$C$2:$K$545,9,FALSE),"..")</f>
        <v>..</v>
      </c>
      <c r="BT1830" s="129">
        <f>_xlfn.IFNA(VLOOKUP($C1830,RGI!$A$2:$C$43,2,FALSE),"..")</f>
        <v>76.8</v>
      </c>
      <c r="BU1830" s="129">
        <f>_xlfn.IFNA(VLOOKUP($C1830,RGI!$A$2:$C$43,3,FALSE),"..")</f>
        <v>72.816147461462435</v>
      </c>
      <c r="BV1830" s="129">
        <f>VLOOKUP($D1830,WGI!$C$2:$O$478,7,FALSE)</f>
        <v>6.8806180868862199E-2</v>
      </c>
      <c r="BW1830" s="129">
        <f>VLOOKUP($D1830,WGI!$C$2:$O$478,4,FALSE)</f>
        <v>-0.86195648593669605</v>
      </c>
      <c r="BX1830" s="129">
        <f>VLOOKUP($D1830,WGI!$C$2:$O$478,3,FALSE)</f>
        <v>-0.157626358241128</v>
      </c>
      <c r="BY1830" s="129">
        <f>VLOOKUP($D1830,WGI!$C$2:$O$478,5,FALSE)</f>
        <v>0.48941210864302698</v>
      </c>
      <c r="BZ1830" s="129">
        <f>VLOOKUP($D1830,WGI!$C$2:$O$478,2,FALSE)</f>
        <v>-0.394694258708917</v>
      </c>
      <c r="CB1830" s="129"/>
    </row>
    <row r="1831" spans="1:80" ht="15" customHeight="1">
      <c r="A1831" s="294" t="s">
        <v>464</v>
      </c>
      <c r="B1831" s="214">
        <v>2004</v>
      </c>
      <c r="C1831" s="809" t="s">
        <v>465</v>
      </c>
      <c r="D1831" s="117" t="s">
        <v>3455</v>
      </c>
      <c r="E1831" s="452" t="s">
        <v>86</v>
      </c>
      <c r="F1831" s="174"/>
      <c r="G1831" s="117" t="s">
        <v>103</v>
      </c>
      <c r="H1831" s="117" t="str">
        <f t="shared" si="318"/>
        <v>no</v>
      </c>
      <c r="I1831" s="117" t="str">
        <f t="shared" si="308"/>
        <v>no</v>
      </c>
      <c r="J1831" s="117" t="str">
        <f t="shared" si="309"/>
        <v>yes</v>
      </c>
      <c r="K1831" s="117" t="s">
        <v>103</v>
      </c>
      <c r="L1831" s="117" t="str">
        <f t="shared" si="319"/>
        <v>detailed</v>
      </c>
      <c r="M1831" s="117" t="str">
        <f t="shared" si="310"/>
        <v>detailed Oil</v>
      </c>
      <c r="N1831" s="179">
        <f>217000*365</f>
        <v>79205000</v>
      </c>
      <c r="O1831" s="179"/>
      <c r="P1831" s="179">
        <f>82051092.064</f>
        <v>82051092.063999996</v>
      </c>
      <c r="Q1831" s="179"/>
      <c r="R1831" s="179"/>
      <c r="S1831" s="117" t="s">
        <v>646</v>
      </c>
      <c r="T1831" s="119">
        <f>(30.59+32.85+39.67+29.34)/4</f>
        <v>33.112499999999997</v>
      </c>
      <c r="U1831" s="117" t="s">
        <v>673</v>
      </c>
      <c r="V1831" s="89" t="s">
        <v>1963</v>
      </c>
      <c r="W1831" s="89">
        <f>N1831*T1831</f>
        <v>2622675562.5</v>
      </c>
      <c r="X1831" s="117"/>
      <c r="Y1831" s="117"/>
      <c r="Z1831" s="631"/>
      <c r="AA1831" s="298">
        <v>802597372.72742176</v>
      </c>
      <c r="AB1831" s="89"/>
      <c r="AC1831" s="240"/>
      <c r="AD1831" s="240"/>
      <c r="AE1831" s="240"/>
      <c r="AF1831" s="632">
        <f>AA1831/W1831</f>
        <v>0.30602236288897505</v>
      </c>
      <c r="AG1831" s="117" t="s">
        <v>919</v>
      </c>
      <c r="AH1831" s="633">
        <v>528.28480930499995</v>
      </c>
      <c r="AI1831" s="117" t="s">
        <v>667</v>
      </c>
      <c r="AJ1831" s="117"/>
      <c r="AK1831" s="298">
        <f>635900000000/AH1831</f>
        <v>1203706767.2579422</v>
      </c>
      <c r="AL1831" s="117"/>
      <c r="AM1831" s="89"/>
      <c r="AN1831" s="117">
        <v>17</v>
      </c>
      <c r="AO1831" s="117"/>
      <c r="AP1831" s="117"/>
      <c r="AQ1831" s="117" t="s">
        <v>466</v>
      </c>
      <c r="AR1831" s="126">
        <v>41960</v>
      </c>
      <c r="AS1831" s="117" t="s">
        <v>2160</v>
      </c>
      <c r="AT1831" s="127" t="s">
        <v>467</v>
      </c>
      <c r="AU1831" s="117" t="s">
        <v>2161</v>
      </c>
      <c r="AV1831" s="128" t="s">
        <v>2162</v>
      </c>
      <c r="AW1831" s="117">
        <f>VLOOKUP($D1831,'WB Data'!$C$3:$M$578,2,FALSE)</f>
        <v>4648628839.490572</v>
      </c>
      <c r="AX1831" s="117">
        <f>VLOOKUP($D1831,'WB Data'!$C$3:$M$578,3,FALSE)</f>
        <v>3448868</v>
      </c>
      <c r="AY1831" s="847">
        <f t="shared" si="312"/>
        <v>0.1726524961316068</v>
      </c>
      <c r="AZ1831" s="117">
        <f>VLOOKUP($D1831,'WB Data'!$C$3:$M$578,4,FALSE)/100</f>
        <v>0.32744376131443931</v>
      </c>
      <c r="BA1831" s="117">
        <f t="shared" si="313"/>
        <v>1522164512.1575699</v>
      </c>
      <c r="BB1831" s="129">
        <f>IFERROR(VLOOKUP($D1831,'EITI Revenues'!$C$2:$G$224,5,FALSE),"..")</f>
        <v>802597372.72742176</v>
      </c>
      <c r="BC1831" s="846">
        <f t="shared" si="314"/>
        <v>0.52727373836208535</v>
      </c>
      <c r="BD1831" s="129" t="e">
        <f>VLOOKUP($D1831,'WB Data 2'!$C$2:$K$545,6,FALSE)</f>
        <v>#N/A</v>
      </c>
      <c r="BE1831" s="129">
        <f>IFERROR(VLOOKUP($D1831,UNCTAD!$C$5:$V$529,4,FALSE),"..")</f>
        <v>3629864000</v>
      </c>
      <c r="BF1831" s="846" t="str">
        <f t="shared" si="315"/>
        <v>..</v>
      </c>
      <c r="BG1831" s="117">
        <f>VLOOKUP($D1831,'WB Data'!$C$3:$M$578,5,FALSE)</f>
        <v>115480000</v>
      </c>
      <c r="BH1831" s="129">
        <f>IFERROR($BB1831/$BG1831,"..")</f>
        <v>6.9500984822256822</v>
      </c>
      <c r="BI1831" s="117">
        <f>IFERROR(VLOOKUP($D1831,'WB Data'!$C$3:$M$578,7,FALSE)/100,"..")</f>
        <v>2.2881300000000004E-2</v>
      </c>
      <c r="BJ1831" s="117">
        <f>IFERROR($BI1831*$AW1831,"..")</f>
        <v>106366671.06503564</v>
      </c>
      <c r="BK1831" s="846">
        <f>IFERROR($BB1831/$BJ1831,"..")</f>
        <v>7.545571979372097</v>
      </c>
      <c r="BL1831" s="117">
        <f>IFERROR(VLOOKUP($D1831,'WB Data'!$C$3:$M$578,7,FALSE)/100,"..")</f>
        <v>2.2881300000000004E-2</v>
      </c>
      <c r="BM1831" s="117">
        <f>IFERROR($AW1831*$BL1831,"..")</f>
        <v>106366671.06503564</v>
      </c>
      <c r="BN1831" s="846">
        <f>IFERROR($BB1831/$BM1831,"..")</f>
        <v>7.545571979372097</v>
      </c>
      <c r="BO1831" s="801" t="str">
        <f t="shared" si="311"/>
        <v>..</v>
      </c>
      <c r="BP1831" s="117" t="str">
        <f>VLOOKUP($D1831,'WB Data'!$C$3:$M$578,9,FALSE)</f>
        <v>..</v>
      </c>
      <c r="BQ1831" s="117">
        <f>VLOOKUP($D1831,'WB Data'!$C$3:$M$578,10,FALSE)</f>
        <v>53.499658536585379</v>
      </c>
      <c r="BR1831" s="117">
        <f>VLOOKUP($D1831,'WB Data'!$C$3:$M$578,11,FALSE)</f>
        <v>65.900000000000006</v>
      </c>
      <c r="BS1831" s="129" t="str">
        <f>IFERROR(VLOOKUP($D1831,'WB Data 2'!$C$2:$K$545,9,FALSE),"..")</f>
        <v>..</v>
      </c>
      <c r="BT1831" s="129" t="str">
        <f>_xlfn.IFNA(VLOOKUP($C1831,RGI!$A$2:$C$43,2,FALSE),"..")</f>
        <v>..</v>
      </c>
      <c r="BU1831" s="129" t="str">
        <f>_xlfn.IFNA(VLOOKUP($C1831,RGI!$A$2:$C$43,3,FALSE),"..")</f>
        <v>..</v>
      </c>
      <c r="BV1831" s="129">
        <f>VLOOKUP($D1831,WGI!$C$2:$O$478,7,FALSE)</f>
        <v>-0.94994868775176899</v>
      </c>
      <c r="BW1831" s="129">
        <f>VLOOKUP($D1831,WGI!$C$2:$O$478,4,FALSE)</f>
        <v>-1.1414830848664199</v>
      </c>
      <c r="BX1831" s="129">
        <f>VLOOKUP($D1831,WGI!$C$2:$O$478,3,FALSE)</f>
        <v>-1.1161517079080501</v>
      </c>
      <c r="BY1831" s="129">
        <f>VLOOKUP($D1831,WGI!$C$2:$O$478,5,FALSE)</f>
        <v>-0.97216363714726595</v>
      </c>
      <c r="BZ1831" s="129">
        <f>VLOOKUP($D1831,WGI!$C$2:$O$478,2,FALSE)</f>
        <v>-0.83536039397636896</v>
      </c>
    </row>
    <row r="1832" spans="1:80" s="158" customFormat="1" ht="15" customHeight="1">
      <c r="A1832" s="295" t="s">
        <v>468</v>
      </c>
      <c r="B1832" s="218">
        <v>2005</v>
      </c>
      <c r="C1832" s="810" t="s">
        <v>465</v>
      </c>
      <c r="D1832" s="117" t="s">
        <v>3489</v>
      </c>
      <c r="E1832" s="453" t="s">
        <v>86</v>
      </c>
      <c r="F1832" s="187"/>
      <c r="G1832" s="149" t="s">
        <v>103</v>
      </c>
      <c r="H1832" s="117" t="str">
        <f t="shared" si="318"/>
        <v>no</v>
      </c>
      <c r="I1832" s="117" t="str">
        <f t="shared" si="308"/>
        <v>no</v>
      </c>
      <c r="J1832" s="117" t="str">
        <f t="shared" si="309"/>
        <v>yes</v>
      </c>
      <c r="K1832" s="149" t="s">
        <v>103</v>
      </c>
      <c r="L1832" s="117" t="str">
        <f t="shared" si="319"/>
        <v>detailed</v>
      </c>
      <c r="M1832" s="117" t="str">
        <f t="shared" si="310"/>
        <v>detailed Oil</v>
      </c>
      <c r="N1832" s="216">
        <f>239000*365</f>
        <v>87235000</v>
      </c>
      <c r="O1832" s="216"/>
      <c r="P1832" s="216">
        <f>92556385.954</f>
        <v>92556385.953999996</v>
      </c>
      <c r="Q1832" s="216"/>
      <c r="R1832" s="216"/>
      <c r="S1832" s="149" t="s">
        <v>646</v>
      </c>
      <c r="T1832" s="151">
        <f>(45.42+48.83+57.61+51.45)/4</f>
        <v>50.827500000000001</v>
      </c>
      <c r="U1832" s="149" t="s">
        <v>673</v>
      </c>
      <c r="V1832" s="152" t="s">
        <v>1963</v>
      </c>
      <c r="W1832" s="152">
        <f>N1832*T1832</f>
        <v>4433936962.5</v>
      </c>
      <c r="X1832" s="149"/>
      <c r="Y1832" s="149"/>
      <c r="Z1832" s="283"/>
      <c r="AA1832" s="299">
        <v>1738493617.9513669</v>
      </c>
      <c r="AB1832" s="135"/>
      <c r="AC1832" s="599"/>
      <c r="AD1832" s="599"/>
      <c r="AE1832" s="599"/>
      <c r="AF1832" s="634">
        <f>AA1832/W1832</f>
        <v>0.39208803207052062</v>
      </c>
      <c r="AG1832" s="132" t="s">
        <v>919</v>
      </c>
      <c r="AH1832" s="635">
        <v>527.46814284000004</v>
      </c>
      <c r="AI1832" s="132" t="s">
        <v>667</v>
      </c>
      <c r="AJ1832" s="132"/>
      <c r="AK1832" s="299">
        <f>1140900000000/AH1832</f>
        <v>2162974229.7935815</v>
      </c>
      <c r="AL1832" s="132"/>
      <c r="AM1832" s="135"/>
      <c r="AN1832" s="132">
        <v>17</v>
      </c>
      <c r="AO1832" s="132"/>
      <c r="AP1832" s="132"/>
      <c r="AQ1832" s="132" t="s">
        <v>469</v>
      </c>
      <c r="AR1832" s="141">
        <v>41960</v>
      </c>
      <c r="AS1832" s="132" t="s">
        <v>2160</v>
      </c>
      <c r="AT1832" s="132" t="s">
        <v>470</v>
      </c>
      <c r="AU1832" s="132"/>
      <c r="AV1832" s="143" t="s">
        <v>2163</v>
      </c>
      <c r="AW1832" s="117">
        <f>VLOOKUP($D1832,'WB Data'!$C$3:$M$578,2,FALSE)</f>
        <v>6087002681.7409525</v>
      </c>
      <c r="AX1832" s="117">
        <f>VLOOKUP($D1832,'WB Data'!$C$3:$M$578,3,FALSE)</f>
        <v>3542867</v>
      </c>
      <c r="AY1832" s="847">
        <f t="shared" si="312"/>
        <v>0.28560749992213535</v>
      </c>
      <c r="AZ1832" s="117">
        <f>VLOOKUP($D1832,'WB Data'!$C$3:$M$578,4,FALSE)/100</f>
        <v>0.39937089236085588</v>
      </c>
      <c r="BA1832" s="117">
        <f t="shared" si="313"/>
        <v>2430971692.8098068</v>
      </c>
      <c r="BB1832" s="129">
        <f>IFERROR(VLOOKUP($D1832,'EITI Revenues'!$C$2:$G$224,5,FALSE),"..")</f>
        <v>1738493617.9513669</v>
      </c>
      <c r="BC1832" s="846">
        <f t="shared" si="314"/>
        <v>0.71514350541118465</v>
      </c>
      <c r="BD1832" s="129" t="e">
        <f>VLOOKUP($D1832,'WB Data 2'!$C$2:$K$545,6,FALSE)</f>
        <v>#N/A</v>
      </c>
      <c r="BE1832" s="129">
        <f>IFERROR(VLOOKUP($D1832,UNCTAD!$C$5:$V$529,4,FALSE),"..")</f>
        <v>4965797000</v>
      </c>
      <c r="BF1832" s="846" t="str">
        <f t="shared" si="315"/>
        <v>..</v>
      </c>
      <c r="BG1832" s="117">
        <f>VLOOKUP($D1832,'WB Data'!$C$3:$M$578,5,FALSE)</f>
        <v>1425480000</v>
      </c>
      <c r="BH1832" s="129">
        <f>IFERROR($BB1832/$BG1832,"..")</f>
        <v>1.2195847138868079</v>
      </c>
      <c r="BI1832" s="117">
        <f>IFERROR(VLOOKUP($D1832,'WB Data'!$C$3:$M$578,7,FALSE)/100,"..")</f>
        <v>1.8357699999999998E-2</v>
      </c>
      <c r="BJ1832" s="117">
        <f>IFERROR($BI1832*$AW1832,"..")</f>
        <v>111743369.13059586</v>
      </c>
      <c r="BK1832" s="846">
        <f>IFERROR($BB1832/$BJ1832,"..")</f>
        <v>15.557913024079021</v>
      </c>
      <c r="BL1832" s="117">
        <f>IFERROR(VLOOKUP($D1832,'WB Data'!$C$3:$M$578,7,FALSE)/100,"..")</f>
        <v>1.8357699999999998E-2</v>
      </c>
      <c r="BM1832" s="117">
        <f>IFERROR($AW1832*$BL1832,"..")</f>
        <v>111743369.13059586</v>
      </c>
      <c r="BN1832" s="846">
        <f>IFERROR($BB1832/$BM1832,"..")</f>
        <v>15.557913024079021</v>
      </c>
      <c r="BO1832" s="801" t="str">
        <f t="shared" si="311"/>
        <v>..</v>
      </c>
      <c r="BP1832" s="117">
        <f>VLOOKUP($D1832,'WB Data'!$C$3:$M$578,9,FALSE)</f>
        <v>50.7</v>
      </c>
      <c r="BQ1832" s="117">
        <f>VLOOKUP($D1832,'WB Data'!$C$3:$M$578,10,FALSE)</f>
        <v>54.033292682926835</v>
      </c>
      <c r="BR1832" s="117">
        <f>VLOOKUP($D1832,'WB Data'!$C$3:$M$578,11,FALSE)</f>
        <v>61.6</v>
      </c>
      <c r="BS1832" s="129" t="str">
        <f>IFERROR(VLOOKUP($D1832,'WB Data 2'!$C$2:$K$545,9,FALSE),"..")</f>
        <v>..</v>
      </c>
      <c r="BT1832" s="129" t="str">
        <f>_xlfn.IFNA(VLOOKUP($C1832,RGI!$A$2:$C$43,2,FALSE),"..")</f>
        <v>..</v>
      </c>
      <c r="BU1832" s="129" t="str">
        <f>_xlfn.IFNA(VLOOKUP($C1832,RGI!$A$2:$C$43,3,FALSE),"..")</f>
        <v>..</v>
      </c>
      <c r="BV1832" s="129">
        <f>VLOOKUP($D1832,WGI!$C$2:$O$478,7,FALSE)</f>
        <v>-1.0791082627300901</v>
      </c>
      <c r="BW1832" s="129">
        <f>VLOOKUP($D1832,WGI!$C$2:$O$478,4,FALSE)</f>
        <v>-1.1571969654124199</v>
      </c>
      <c r="BX1832" s="129">
        <f>VLOOKUP($D1832,WGI!$C$2:$O$478,3,FALSE)</f>
        <v>-1.28016227589329</v>
      </c>
      <c r="BY1832" s="129">
        <f>VLOOKUP($D1832,WGI!$C$2:$O$478,5,FALSE)</f>
        <v>-1.2958034689539499</v>
      </c>
      <c r="BZ1832" s="129">
        <f>VLOOKUP($D1832,WGI!$C$2:$O$478,2,FALSE)</f>
        <v>-1.0162846750191099</v>
      </c>
      <c r="CB1832" s="129"/>
    </row>
    <row r="1833" spans="1:80" ht="15" customHeight="1">
      <c r="A1833" s="294" t="s">
        <v>471</v>
      </c>
      <c r="B1833" s="214">
        <v>2006</v>
      </c>
      <c r="C1833" s="809" t="s">
        <v>465</v>
      </c>
      <c r="D1833" s="117" t="s">
        <v>3523</v>
      </c>
      <c r="E1833" s="452" t="s">
        <v>86</v>
      </c>
      <c r="F1833" s="174"/>
      <c r="G1833" s="117" t="s">
        <v>103</v>
      </c>
      <c r="H1833" s="117" t="str">
        <f t="shared" si="318"/>
        <v>no</v>
      </c>
      <c r="I1833" s="117" t="str">
        <f t="shared" si="308"/>
        <v>no</v>
      </c>
      <c r="J1833" s="117" t="str">
        <f t="shared" si="309"/>
        <v>yes</v>
      </c>
      <c r="K1833" s="117" t="s">
        <v>103</v>
      </c>
      <c r="L1833" s="117" t="str">
        <f t="shared" si="319"/>
        <v>detailed</v>
      </c>
      <c r="M1833" s="117" t="str">
        <f t="shared" si="310"/>
        <v>detailed Oil</v>
      </c>
      <c r="N1833" s="179">
        <f>271000*365</f>
        <v>98915000</v>
      </c>
      <c r="O1833" s="179"/>
      <c r="P1833" s="179">
        <f>98684504.871</f>
        <v>98684504.871000007</v>
      </c>
      <c r="Q1833" s="179"/>
      <c r="R1833" s="179"/>
      <c r="S1833" s="117" t="s">
        <v>646</v>
      </c>
      <c r="T1833" s="119">
        <f>(58+64.43+55.98)/3</f>
        <v>59.47</v>
      </c>
      <c r="U1833" s="117" t="s">
        <v>673</v>
      </c>
      <c r="V1833" s="89" t="s">
        <v>1963</v>
      </c>
      <c r="W1833" s="89">
        <f>N1833*T1833</f>
        <v>5882475050</v>
      </c>
      <c r="X1833" s="117"/>
      <c r="Y1833" s="117"/>
      <c r="Z1833" s="631"/>
      <c r="AA1833" s="298">
        <v>2581804427.3293929</v>
      </c>
      <c r="AB1833" s="89"/>
      <c r="AC1833" s="240"/>
      <c r="AD1833" s="240"/>
      <c r="AE1833" s="240"/>
      <c r="AF1833" s="632">
        <f>AA1833/W1833</f>
        <v>0.43889764178929969</v>
      </c>
      <c r="AG1833" s="117" t="s">
        <v>919</v>
      </c>
      <c r="AH1833" s="633">
        <v>522.89010961083295</v>
      </c>
      <c r="AI1833" s="117" t="s">
        <v>667</v>
      </c>
      <c r="AJ1833" s="117"/>
      <c r="AK1833" s="298">
        <f>1606700000000/AH1833</f>
        <v>3072729758.0667667</v>
      </c>
      <c r="AL1833" s="117"/>
      <c r="AM1833" s="89"/>
      <c r="AN1833" s="117">
        <v>17</v>
      </c>
      <c r="AO1833" s="117"/>
      <c r="AP1833" s="117"/>
      <c r="AQ1833" s="117" t="s">
        <v>469</v>
      </c>
      <c r="AR1833" s="126">
        <v>41960</v>
      </c>
      <c r="AS1833" s="117" t="s">
        <v>2160</v>
      </c>
      <c r="AT1833" s="117" t="s">
        <v>472</v>
      </c>
      <c r="AU1833" s="117"/>
      <c r="AV1833" s="128" t="s">
        <v>2163</v>
      </c>
      <c r="AW1833" s="117">
        <f>VLOOKUP($D1833,'WB Data'!$C$3:$M$578,2,FALSE)</f>
        <v>7731261168.830965</v>
      </c>
      <c r="AX1833" s="117">
        <f>VLOOKUP($D1833,'WB Data'!$C$3:$M$578,3,FALSE)</f>
        <v>3646653</v>
      </c>
      <c r="AY1833" s="847">
        <f t="shared" si="312"/>
        <v>0.33394350170682235</v>
      </c>
      <c r="AZ1833" s="117">
        <f>VLOOKUP($D1833,'WB Data'!$C$3:$M$578,4,FALSE)/100</f>
        <v>0.45661208133379511</v>
      </c>
      <c r="BA1833" s="117">
        <f t="shared" si="313"/>
        <v>3530187253.6350565</v>
      </c>
      <c r="BB1833" s="129">
        <f>IFERROR(VLOOKUP($D1833,'EITI Revenues'!$C$2:$G$224,5,FALSE),"..")</f>
        <v>2581804427.3293929</v>
      </c>
      <c r="BC1833" s="846">
        <f t="shared" si="314"/>
        <v>0.73135056070209659</v>
      </c>
      <c r="BD1833" s="129" t="e">
        <f>VLOOKUP($D1833,'WB Data 2'!$C$2:$K$545,6,FALSE)</f>
        <v>#N/A</v>
      </c>
      <c r="BE1833" s="129">
        <f>IFERROR(VLOOKUP($D1833,UNCTAD!$C$5:$V$529,4,FALSE),"..")</f>
        <v>6331731000</v>
      </c>
      <c r="BF1833" s="846" t="str">
        <f t="shared" si="315"/>
        <v>..</v>
      </c>
      <c r="BG1833" s="117">
        <f>VLOOKUP($D1833,'WB Data'!$C$3:$M$578,5,FALSE)</f>
        <v>258300000</v>
      </c>
      <c r="BH1833" s="129">
        <f>IFERROR($BB1833/$BG1833,"..")</f>
        <v>9.9953713795175876</v>
      </c>
      <c r="BI1833" s="117" t="str">
        <f>IFERROR(VLOOKUP($D1833,'WB Data'!$C$3:$M$578,7,FALSE)/100,"..")</f>
        <v>..</v>
      </c>
      <c r="BJ1833" s="117" t="str">
        <f>IFERROR($BI1833*$AW1833,"..")</f>
        <v>..</v>
      </c>
      <c r="BK1833" s="846" t="str">
        <f>IFERROR($BB1833/$BJ1833,"..")</f>
        <v>..</v>
      </c>
      <c r="BL1833" s="117" t="str">
        <f>IFERROR(VLOOKUP($D1833,'WB Data'!$C$3:$M$578,7,FALSE)/100,"..")</f>
        <v>..</v>
      </c>
      <c r="BM1833" s="117" t="str">
        <f>IFERROR($AW1833*$BL1833,"..")</f>
        <v>..</v>
      </c>
      <c r="BN1833" s="846" t="str">
        <f>IFERROR($BB1833/$BM1833,"..")</f>
        <v>..</v>
      </c>
      <c r="BO1833" s="801" t="str">
        <f t="shared" si="311"/>
        <v>..</v>
      </c>
      <c r="BP1833" s="117" t="str">
        <f>VLOOKUP($D1833,'WB Data'!$C$3:$M$578,9,FALSE)</f>
        <v>..</v>
      </c>
      <c r="BQ1833" s="117">
        <f>VLOOKUP($D1833,'WB Data'!$C$3:$M$578,10,FALSE)</f>
        <v>54.634268292682926</v>
      </c>
      <c r="BR1833" s="117">
        <f>VLOOKUP($D1833,'WB Data'!$C$3:$M$578,11,FALSE)</f>
        <v>57.2</v>
      </c>
      <c r="BS1833" s="129" t="str">
        <f>IFERROR(VLOOKUP($D1833,'WB Data 2'!$C$2:$K$545,9,FALSE),"..")</f>
        <v>..</v>
      </c>
      <c r="BT1833" s="129" t="str">
        <f>_xlfn.IFNA(VLOOKUP($C1833,RGI!$A$2:$C$43,2,FALSE),"..")</f>
        <v>..</v>
      </c>
      <c r="BU1833" s="129" t="str">
        <f>_xlfn.IFNA(VLOOKUP($C1833,RGI!$A$2:$C$43,3,FALSE),"..")</f>
        <v>..</v>
      </c>
      <c r="BV1833" s="129">
        <f>VLOOKUP($D1833,WGI!$C$2:$O$478,7,FALSE)</f>
        <v>-1.2250178714915001</v>
      </c>
      <c r="BW1833" s="129">
        <f>VLOOKUP($D1833,WGI!$C$2:$O$478,4,FALSE)</f>
        <v>-0.94224838686328005</v>
      </c>
      <c r="BX1833" s="129">
        <f>VLOOKUP($D1833,WGI!$C$2:$O$478,3,FALSE)</f>
        <v>-1.2898742480535099</v>
      </c>
      <c r="BY1833" s="129">
        <f>VLOOKUP($D1833,WGI!$C$2:$O$478,5,FALSE)</f>
        <v>-1.1998485021315199</v>
      </c>
      <c r="BZ1833" s="129">
        <f>VLOOKUP($D1833,WGI!$C$2:$O$478,2,FALSE)</f>
        <v>-1.0493397193926699</v>
      </c>
    </row>
    <row r="1834" spans="1:80" s="144" customFormat="1" ht="15" customHeight="1">
      <c r="A1834" s="318" t="s">
        <v>473</v>
      </c>
      <c r="B1834" s="386">
        <v>2007</v>
      </c>
      <c r="C1834" s="819" t="s">
        <v>465</v>
      </c>
      <c r="D1834" s="117" t="s">
        <v>3557</v>
      </c>
      <c r="E1834" s="587" t="s">
        <v>86</v>
      </c>
      <c r="F1834" s="319" t="s">
        <v>2164</v>
      </c>
      <c r="G1834" s="319" t="s">
        <v>55</v>
      </c>
      <c r="H1834" s="117" t="str">
        <f t="shared" si="318"/>
        <v>no</v>
      </c>
      <c r="I1834" s="117" t="str">
        <f t="shared" si="308"/>
        <v>yes</v>
      </c>
      <c r="J1834" s="117" t="str">
        <f t="shared" si="309"/>
        <v>yes</v>
      </c>
      <c r="K1834" s="319" t="s">
        <v>709</v>
      </c>
      <c r="L1834" s="117" t="str">
        <f t="shared" si="319"/>
        <v>Total</v>
      </c>
      <c r="M1834" s="117" t="str">
        <f t="shared" si="310"/>
        <v>Total Oil, Gas</v>
      </c>
      <c r="N1834" s="322"/>
      <c r="O1834" s="322"/>
      <c r="P1834" s="322"/>
      <c r="Q1834" s="322"/>
      <c r="R1834" s="322"/>
      <c r="S1834" s="319"/>
      <c r="T1834" s="323"/>
      <c r="U1834" s="319"/>
      <c r="V1834" s="319"/>
      <c r="W1834" s="324">
        <f>SUM(W1835:W1836)</f>
        <v>6828718147.0424004</v>
      </c>
      <c r="X1834" s="319" t="s">
        <v>918</v>
      </c>
      <c r="Y1834" s="319" t="s">
        <v>663</v>
      </c>
      <c r="Z1834" s="319"/>
      <c r="AA1834" s="183">
        <v>2553350325.8307009</v>
      </c>
      <c r="AB1834" s="183">
        <v>2443821662.9688482</v>
      </c>
      <c r="AC1834" s="326"/>
      <c r="AD1834" s="326"/>
      <c r="AE1834" s="326"/>
      <c r="AF1834" s="327">
        <f>AA1834/W1834</f>
        <v>0.37391356193791475</v>
      </c>
      <c r="AG1834" s="319"/>
      <c r="AH1834" s="328">
        <v>479.27</v>
      </c>
      <c r="AI1834" s="319" t="s">
        <v>667</v>
      </c>
      <c r="AJ1834" s="319"/>
      <c r="AK1834" s="324"/>
      <c r="AL1834" s="319"/>
      <c r="AM1834" s="319"/>
      <c r="AN1834" s="319"/>
      <c r="AO1834" s="319"/>
      <c r="AP1834" s="319">
        <v>25</v>
      </c>
      <c r="AQ1834" s="319" t="s">
        <v>439</v>
      </c>
      <c r="AR1834" s="329">
        <v>41922</v>
      </c>
      <c r="AS1834" s="319" t="s">
        <v>2160</v>
      </c>
      <c r="AT1834" s="319" t="s">
        <v>474</v>
      </c>
      <c r="AU1834" s="319"/>
      <c r="AV1834" s="330"/>
      <c r="AW1834" s="117">
        <f>VLOOKUP($D1834,'WB Data'!$C$3:$M$578,2,FALSE)</f>
        <v>8394688589.0541859</v>
      </c>
      <c r="AX1834" s="117">
        <f>VLOOKUP($D1834,'WB Data'!$C$3:$M$578,3,FALSE)</f>
        <v>3758858</v>
      </c>
      <c r="AY1834" s="847">
        <f t="shared" si="312"/>
        <v>0.30416260219110547</v>
      </c>
      <c r="AZ1834" s="117">
        <f>VLOOKUP($D1834,'WB Data'!$C$3:$M$578,4,FALSE)/100</f>
        <v>0.40604227164005524</v>
      </c>
      <c r="BA1834" s="117">
        <f t="shared" si="313"/>
        <v>3408598424.4104118</v>
      </c>
      <c r="BB1834" s="129">
        <f>IFERROR(VLOOKUP($D1834,'EITI Revenues'!$C$2:$G$224,5,FALSE),"..")</f>
        <v>2553350325.8307009</v>
      </c>
      <c r="BC1834" s="846">
        <f t="shared" si="314"/>
        <v>0.74909097755402387</v>
      </c>
      <c r="BD1834" s="129" t="e">
        <f>VLOOKUP($D1834,'WB Data 2'!$C$2:$K$545,6,FALSE)</f>
        <v>#N/A</v>
      </c>
      <c r="BE1834" s="129">
        <f>IFERROR(VLOOKUP($D1834,UNCTAD!$C$5:$V$529,4,FALSE),"..")</f>
        <v>6127486000</v>
      </c>
      <c r="BF1834" s="846" t="str">
        <f t="shared" si="315"/>
        <v>..</v>
      </c>
      <c r="BG1834" s="117">
        <f>VLOOKUP($D1834,'WB Data'!$C$3:$M$578,5,FALSE)</f>
        <v>118710000</v>
      </c>
      <c r="BH1834" s="129">
        <f>IFERROR($BB1834/$BG1834,"..")</f>
        <v>21.509142665577464</v>
      </c>
      <c r="BI1834" s="117" t="str">
        <f>IFERROR(VLOOKUP($D1834,'WB Data'!$C$3:$M$578,7,FALSE)/100,"..")</f>
        <v>..</v>
      </c>
      <c r="BJ1834" s="117" t="str">
        <f>IFERROR($BI1834*$AW1834,"..")</f>
        <v>..</v>
      </c>
      <c r="BK1834" s="846" t="str">
        <f>IFERROR($BB1834/$BJ1834,"..")</f>
        <v>..</v>
      </c>
      <c r="BL1834" s="117" t="str">
        <f>IFERROR(VLOOKUP($D1834,'WB Data'!$C$3:$M$578,7,FALSE)/100,"..")</f>
        <v>..</v>
      </c>
      <c r="BM1834" s="117" t="str">
        <f>IFERROR($AW1834*$BL1834,"..")</f>
        <v>..</v>
      </c>
      <c r="BN1834" s="846" t="str">
        <f>IFERROR($BB1834/$BM1834,"..")</f>
        <v>..</v>
      </c>
      <c r="BO1834" s="801" t="str">
        <f t="shared" si="311"/>
        <v>..</v>
      </c>
      <c r="BP1834" s="117" t="str">
        <f>VLOOKUP($D1834,'WB Data'!$C$3:$M$578,9,FALSE)</f>
        <v>..</v>
      </c>
      <c r="BQ1834" s="117">
        <f>VLOOKUP($D1834,'WB Data'!$C$3:$M$578,10,FALSE)</f>
        <v>55.276170731707325</v>
      </c>
      <c r="BR1834" s="117">
        <f>VLOOKUP($D1834,'WB Data'!$C$3:$M$578,11,FALSE)</f>
        <v>52.9</v>
      </c>
      <c r="BS1834" s="129" t="str">
        <f>IFERROR(VLOOKUP($D1834,'WB Data 2'!$C$2:$K$545,9,FALSE),"..")</f>
        <v>..</v>
      </c>
      <c r="BT1834" s="129" t="str">
        <f>_xlfn.IFNA(VLOOKUP($C1834,RGI!$A$2:$C$43,2,FALSE),"..")</f>
        <v>..</v>
      </c>
      <c r="BU1834" s="129" t="str">
        <f>_xlfn.IFNA(VLOOKUP($C1834,RGI!$A$2:$C$43,3,FALSE),"..")</f>
        <v>..</v>
      </c>
      <c r="BV1834" s="129">
        <f>VLOOKUP($D1834,WGI!$C$2:$O$478,7,FALSE)</f>
        <v>-1.24999083653568</v>
      </c>
      <c r="BW1834" s="129">
        <f>VLOOKUP($D1834,WGI!$C$2:$O$478,4,FALSE)</f>
        <v>-0.76149306371077097</v>
      </c>
      <c r="BX1834" s="129">
        <f>VLOOKUP($D1834,WGI!$C$2:$O$478,3,FALSE)</f>
        <v>-1.33500070960919</v>
      </c>
      <c r="BY1834" s="129">
        <f>VLOOKUP($D1834,WGI!$C$2:$O$478,5,FALSE)</f>
        <v>-1.18829710330002</v>
      </c>
      <c r="BZ1834" s="129">
        <f>VLOOKUP($D1834,WGI!$C$2:$O$478,2,FALSE)</f>
        <v>-1.0941625265623101</v>
      </c>
      <c r="CB1834" s="129"/>
    </row>
    <row r="1835" spans="1:80" s="120" customFormat="1" ht="15" customHeight="1">
      <c r="A1835" s="315" t="s">
        <v>473</v>
      </c>
      <c r="B1835" s="368">
        <v>2007</v>
      </c>
      <c r="C1835" s="817" t="s">
        <v>465</v>
      </c>
      <c r="D1835" s="117" t="s">
        <v>3557</v>
      </c>
      <c r="E1835" s="581" t="s">
        <v>86</v>
      </c>
      <c r="F1835" s="267"/>
      <c r="G1835" s="267" t="s">
        <v>561</v>
      </c>
      <c r="H1835" s="117" t="str">
        <f t="shared" si="318"/>
        <v>no</v>
      </c>
      <c r="I1835" s="117" t="str">
        <f t="shared" si="308"/>
        <v>yes</v>
      </c>
      <c r="J1835" s="117" t="str">
        <f t="shared" si="309"/>
        <v>no</v>
      </c>
      <c r="K1835" s="267" t="s">
        <v>561</v>
      </c>
      <c r="L1835" s="117" t="str">
        <f t="shared" si="319"/>
        <v>detailed</v>
      </c>
      <c r="M1835" s="117" t="str">
        <f t="shared" si="310"/>
        <v>detailed Gas</v>
      </c>
      <c r="N1835" s="269">
        <f>269000000000*0.0283168</f>
        <v>7617219200</v>
      </c>
      <c r="O1835" s="118">
        <f>N1835*0.0066</f>
        <v>50273646.719999999</v>
      </c>
      <c r="P1835" s="269"/>
      <c r="Q1835" s="269"/>
      <c r="R1835" s="269"/>
      <c r="S1835" s="267" t="s">
        <v>642</v>
      </c>
      <c r="T1835" s="270">
        <v>0.22764700000000004</v>
      </c>
      <c r="U1835" s="267" t="s">
        <v>643</v>
      </c>
      <c r="V1835" s="267" t="s">
        <v>880</v>
      </c>
      <c r="W1835" s="275">
        <f>N1835*T1835</f>
        <v>1734037099.2224004</v>
      </c>
      <c r="X1835" s="267"/>
      <c r="Y1835" s="267"/>
      <c r="Z1835" s="267"/>
      <c r="AA1835" s="271"/>
      <c r="AB1835" s="271"/>
      <c r="AC1835" s="272"/>
      <c r="AD1835" s="272"/>
      <c r="AE1835" s="272"/>
      <c r="AF1835" s="317"/>
      <c r="AG1835" s="267"/>
      <c r="AH1835" s="274"/>
      <c r="AI1835" s="267"/>
      <c r="AJ1835" s="267"/>
      <c r="AK1835" s="275"/>
      <c r="AL1835" s="267"/>
      <c r="AM1835" s="267"/>
      <c r="AN1835" s="267"/>
      <c r="AO1835" s="267"/>
      <c r="AP1835" s="267"/>
      <c r="AQ1835" s="267"/>
      <c r="AR1835" s="277"/>
      <c r="AS1835" s="267"/>
      <c r="AT1835" s="267"/>
      <c r="AU1835" s="267"/>
      <c r="AV1835" s="278"/>
      <c r="AW1835" s="117">
        <f>VLOOKUP($D1835,'WB Data'!$C$3:$M$578,2,FALSE)</f>
        <v>8394688589.0541859</v>
      </c>
      <c r="AX1835" s="117">
        <f>VLOOKUP($D1835,'WB Data'!$C$3:$M$578,3,FALSE)</f>
        <v>3758858</v>
      </c>
      <c r="AY1835" s="847">
        <f t="shared" si="312"/>
        <v>0.30416260219110547</v>
      </c>
      <c r="AZ1835" s="117">
        <f>VLOOKUP($D1835,'WB Data'!$C$3:$M$578,4,FALSE)/100</f>
        <v>0.40604227164005524</v>
      </c>
      <c r="BA1835" s="117">
        <f t="shared" si="313"/>
        <v>3408598424.4104118</v>
      </c>
      <c r="BB1835" s="129">
        <f>IFERROR(VLOOKUP($D1835,'EITI Revenues'!$C$2:$G$224,5,FALSE),"..")</f>
        <v>2553350325.8307009</v>
      </c>
      <c r="BC1835" s="846">
        <f t="shared" si="314"/>
        <v>0.74909097755402387</v>
      </c>
      <c r="BD1835" s="129" t="e">
        <f>VLOOKUP($D1835,'WB Data 2'!$C$2:$K$545,6,FALSE)</f>
        <v>#N/A</v>
      </c>
      <c r="BE1835" s="129">
        <f>IFERROR(VLOOKUP($D1835,UNCTAD!$C$5:$V$529,4,FALSE),"..")</f>
        <v>6127486000</v>
      </c>
      <c r="BF1835" s="846" t="str">
        <f t="shared" si="315"/>
        <v>..</v>
      </c>
      <c r="BG1835" s="117">
        <f>VLOOKUP($D1835,'WB Data'!$C$3:$M$578,5,FALSE)</f>
        <v>118710000</v>
      </c>
      <c r="BH1835" s="129">
        <f>IFERROR($BB1835/$BG1835,"..")</f>
        <v>21.509142665577464</v>
      </c>
      <c r="BI1835" s="117" t="str">
        <f>IFERROR(VLOOKUP($D1835,'WB Data'!$C$3:$M$578,7,FALSE)/100,"..")</f>
        <v>..</v>
      </c>
      <c r="BJ1835" s="117" t="str">
        <f>IFERROR($BI1835*$AW1835,"..")</f>
        <v>..</v>
      </c>
      <c r="BK1835" s="846" t="str">
        <f>IFERROR($BB1835/$BJ1835,"..")</f>
        <v>..</v>
      </c>
      <c r="BL1835" s="117" t="str">
        <f>IFERROR(VLOOKUP($D1835,'WB Data'!$C$3:$M$578,7,FALSE)/100,"..")</f>
        <v>..</v>
      </c>
      <c r="BM1835" s="117" t="str">
        <f>IFERROR($AW1835*$BL1835,"..")</f>
        <v>..</v>
      </c>
      <c r="BN1835" s="846" t="str">
        <f>IFERROR($BB1835/$BM1835,"..")</f>
        <v>..</v>
      </c>
      <c r="BO1835" s="801" t="str">
        <f t="shared" si="311"/>
        <v>..</v>
      </c>
      <c r="BP1835" s="117" t="str">
        <f>VLOOKUP($D1835,'WB Data'!$C$3:$M$578,9,FALSE)</f>
        <v>..</v>
      </c>
      <c r="BQ1835" s="117">
        <f>VLOOKUP($D1835,'WB Data'!$C$3:$M$578,10,FALSE)</f>
        <v>55.276170731707325</v>
      </c>
      <c r="BR1835" s="117">
        <f>VLOOKUP($D1835,'WB Data'!$C$3:$M$578,11,FALSE)</f>
        <v>52.9</v>
      </c>
      <c r="BS1835" s="129" t="str">
        <f>IFERROR(VLOOKUP($D1835,'WB Data 2'!$C$2:$K$545,9,FALSE),"..")</f>
        <v>..</v>
      </c>
      <c r="BT1835" s="129" t="str">
        <f>_xlfn.IFNA(VLOOKUP($C1835,RGI!$A$2:$C$43,2,FALSE),"..")</f>
        <v>..</v>
      </c>
      <c r="BU1835" s="129" t="str">
        <f>_xlfn.IFNA(VLOOKUP($C1835,RGI!$A$2:$C$43,3,FALSE),"..")</f>
        <v>..</v>
      </c>
      <c r="BV1835" s="129">
        <f>VLOOKUP($D1835,WGI!$C$2:$O$478,7,FALSE)</f>
        <v>-1.24999083653568</v>
      </c>
      <c r="BW1835" s="129">
        <f>VLOOKUP($D1835,WGI!$C$2:$O$478,4,FALSE)</f>
        <v>-0.76149306371077097</v>
      </c>
      <c r="BX1835" s="129">
        <f>VLOOKUP($D1835,WGI!$C$2:$O$478,3,FALSE)</f>
        <v>-1.33500070960919</v>
      </c>
      <c r="BY1835" s="129">
        <f>VLOOKUP($D1835,WGI!$C$2:$O$478,5,FALSE)</f>
        <v>-1.18829710330002</v>
      </c>
      <c r="BZ1835" s="129">
        <f>VLOOKUP($D1835,WGI!$C$2:$O$478,2,FALSE)</f>
        <v>-1.0941625265623101</v>
      </c>
      <c r="CB1835" s="129"/>
    </row>
    <row r="1836" spans="1:80" s="158" customFormat="1" ht="15" customHeight="1">
      <c r="A1836" s="331" t="s">
        <v>473</v>
      </c>
      <c r="B1836" s="370">
        <v>2007</v>
      </c>
      <c r="C1836" s="818" t="s">
        <v>465</v>
      </c>
      <c r="D1836" s="117" t="s">
        <v>3557</v>
      </c>
      <c r="E1836" s="583" t="s">
        <v>86</v>
      </c>
      <c r="F1836" s="253"/>
      <c r="G1836" s="253" t="s">
        <v>103</v>
      </c>
      <c r="H1836" s="117" t="str">
        <f t="shared" si="318"/>
        <v>no</v>
      </c>
      <c r="I1836" s="117" t="str">
        <f t="shared" si="308"/>
        <v>no</v>
      </c>
      <c r="J1836" s="117" t="str">
        <f t="shared" si="309"/>
        <v>yes</v>
      </c>
      <c r="K1836" s="253" t="s">
        <v>103</v>
      </c>
      <c r="L1836" s="117" t="str">
        <f t="shared" si="319"/>
        <v>detailed</v>
      </c>
      <c r="M1836" s="117" t="str">
        <f t="shared" si="310"/>
        <v>detailed Oil</v>
      </c>
      <c r="N1836" s="255">
        <v>80665000</v>
      </c>
      <c r="O1836" s="211">
        <f>O1835/N1836</f>
        <v>0.62323990231203119</v>
      </c>
      <c r="P1836" s="255"/>
      <c r="Q1836" s="255"/>
      <c r="R1836" s="255"/>
      <c r="S1836" s="253" t="s">
        <v>646</v>
      </c>
      <c r="T1836" s="256">
        <f>71.82*0.8794</f>
        <v>63.158507999999991</v>
      </c>
      <c r="U1836" s="253" t="s">
        <v>673</v>
      </c>
      <c r="V1836" s="253" t="s">
        <v>2165</v>
      </c>
      <c r="W1836" s="257">
        <f>N1836*T1836</f>
        <v>5094681047.8199997</v>
      </c>
      <c r="X1836" s="253"/>
      <c r="Y1836" s="253"/>
      <c r="Z1836" s="253"/>
      <c r="AA1836" s="258"/>
      <c r="AB1836" s="258"/>
      <c r="AC1836" s="259"/>
      <c r="AD1836" s="259"/>
      <c r="AE1836" s="259"/>
      <c r="AF1836" s="333"/>
      <c r="AG1836" s="253"/>
      <c r="AH1836" s="261"/>
      <c r="AI1836" s="253"/>
      <c r="AJ1836" s="253"/>
      <c r="AK1836" s="257"/>
      <c r="AL1836" s="253"/>
      <c r="AM1836" s="253"/>
      <c r="AN1836" s="253"/>
      <c r="AO1836" s="253"/>
      <c r="AP1836" s="253"/>
      <c r="AQ1836" s="253"/>
      <c r="AR1836" s="263"/>
      <c r="AS1836" s="253"/>
      <c r="AT1836" s="253"/>
      <c r="AU1836" s="253"/>
      <c r="AV1836" s="265"/>
      <c r="AW1836" s="117">
        <f>VLOOKUP($D1836,'WB Data'!$C$3:$M$578,2,FALSE)</f>
        <v>8394688589.0541859</v>
      </c>
      <c r="AX1836" s="117">
        <f>VLOOKUP($D1836,'WB Data'!$C$3:$M$578,3,FALSE)</f>
        <v>3758858</v>
      </c>
      <c r="AY1836" s="847">
        <f t="shared" si="312"/>
        <v>0.30416260219110547</v>
      </c>
      <c r="AZ1836" s="117">
        <f>VLOOKUP($D1836,'WB Data'!$C$3:$M$578,4,FALSE)/100</f>
        <v>0.40604227164005524</v>
      </c>
      <c r="BA1836" s="117">
        <f t="shared" si="313"/>
        <v>3408598424.4104118</v>
      </c>
      <c r="BB1836" s="129">
        <f>IFERROR(VLOOKUP($D1836,'EITI Revenues'!$C$2:$G$224,5,FALSE),"..")</f>
        <v>2553350325.8307009</v>
      </c>
      <c r="BC1836" s="846">
        <f t="shared" si="314"/>
        <v>0.74909097755402387</v>
      </c>
      <c r="BD1836" s="129" t="e">
        <f>VLOOKUP($D1836,'WB Data 2'!$C$2:$K$545,6,FALSE)</f>
        <v>#N/A</v>
      </c>
      <c r="BE1836" s="129">
        <f>IFERROR(VLOOKUP($D1836,UNCTAD!$C$5:$V$529,4,FALSE),"..")</f>
        <v>6127486000</v>
      </c>
      <c r="BF1836" s="846" t="str">
        <f t="shared" si="315"/>
        <v>..</v>
      </c>
      <c r="BG1836" s="117">
        <f>VLOOKUP($D1836,'WB Data'!$C$3:$M$578,5,FALSE)</f>
        <v>118710000</v>
      </c>
      <c r="BH1836" s="129">
        <f>IFERROR($BB1836/$BG1836,"..")</f>
        <v>21.509142665577464</v>
      </c>
      <c r="BI1836" s="117" t="str">
        <f>IFERROR(VLOOKUP($D1836,'WB Data'!$C$3:$M$578,7,FALSE)/100,"..")</f>
        <v>..</v>
      </c>
      <c r="BJ1836" s="117" t="str">
        <f>IFERROR($BI1836*$AW1836,"..")</f>
        <v>..</v>
      </c>
      <c r="BK1836" s="846" t="str">
        <f>IFERROR($BB1836/$BJ1836,"..")</f>
        <v>..</v>
      </c>
      <c r="BL1836" s="117" t="str">
        <f>IFERROR(VLOOKUP($D1836,'WB Data'!$C$3:$M$578,7,FALSE)/100,"..")</f>
        <v>..</v>
      </c>
      <c r="BM1836" s="117" t="str">
        <f>IFERROR($AW1836*$BL1836,"..")</f>
        <v>..</v>
      </c>
      <c r="BN1836" s="846" t="str">
        <f>IFERROR($BB1836/$BM1836,"..")</f>
        <v>..</v>
      </c>
      <c r="BO1836" s="801" t="str">
        <f t="shared" si="311"/>
        <v>..</v>
      </c>
      <c r="BP1836" s="117" t="str">
        <f>VLOOKUP($D1836,'WB Data'!$C$3:$M$578,9,FALSE)</f>
        <v>..</v>
      </c>
      <c r="BQ1836" s="117">
        <f>VLOOKUP($D1836,'WB Data'!$C$3:$M$578,10,FALSE)</f>
        <v>55.276170731707325</v>
      </c>
      <c r="BR1836" s="117">
        <f>VLOOKUP($D1836,'WB Data'!$C$3:$M$578,11,FALSE)</f>
        <v>52.9</v>
      </c>
      <c r="BS1836" s="129" t="str">
        <f>IFERROR(VLOOKUP($D1836,'WB Data 2'!$C$2:$K$545,9,FALSE),"..")</f>
        <v>..</v>
      </c>
      <c r="BT1836" s="129" t="str">
        <f>_xlfn.IFNA(VLOOKUP($C1836,RGI!$A$2:$C$43,2,FALSE),"..")</f>
        <v>..</v>
      </c>
      <c r="BU1836" s="129" t="str">
        <f>_xlfn.IFNA(VLOOKUP($C1836,RGI!$A$2:$C$43,3,FALSE),"..")</f>
        <v>..</v>
      </c>
      <c r="BV1836" s="129">
        <f>VLOOKUP($D1836,WGI!$C$2:$O$478,7,FALSE)</f>
        <v>-1.24999083653568</v>
      </c>
      <c r="BW1836" s="129">
        <f>VLOOKUP($D1836,WGI!$C$2:$O$478,4,FALSE)</f>
        <v>-0.76149306371077097</v>
      </c>
      <c r="BX1836" s="129">
        <f>VLOOKUP($D1836,WGI!$C$2:$O$478,3,FALSE)</f>
        <v>-1.33500070960919</v>
      </c>
      <c r="BY1836" s="129">
        <f>VLOOKUP($D1836,WGI!$C$2:$O$478,5,FALSE)</f>
        <v>-1.18829710330002</v>
      </c>
      <c r="BZ1836" s="129">
        <f>VLOOKUP($D1836,WGI!$C$2:$O$478,2,FALSE)</f>
        <v>-1.0941625265623101</v>
      </c>
      <c r="CB1836" s="129"/>
    </row>
    <row r="1837" spans="1:80" ht="15" customHeight="1">
      <c r="A1837" s="315" t="s">
        <v>475</v>
      </c>
      <c r="B1837" s="368">
        <v>2008</v>
      </c>
      <c r="C1837" s="817" t="s">
        <v>465</v>
      </c>
      <c r="D1837" s="117" t="s">
        <v>3591</v>
      </c>
      <c r="E1837" s="581" t="s">
        <v>86</v>
      </c>
      <c r="F1837" s="267" t="s">
        <v>2164</v>
      </c>
      <c r="G1837" s="267" t="s">
        <v>55</v>
      </c>
      <c r="H1837" s="117" t="str">
        <f t="shared" si="318"/>
        <v>no</v>
      </c>
      <c r="I1837" s="117" t="str">
        <f t="shared" si="308"/>
        <v>yes</v>
      </c>
      <c r="J1837" s="117" t="str">
        <f t="shared" si="309"/>
        <v>yes</v>
      </c>
      <c r="K1837" s="267" t="s">
        <v>709</v>
      </c>
      <c r="L1837" s="117" t="str">
        <f t="shared" si="319"/>
        <v>Total</v>
      </c>
      <c r="M1837" s="117" t="str">
        <f t="shared" si="310"/>
        <v>Total Oil, Gas</v>
      </c>
      <c r="N1837" s="269"/>
      <c r="O1837" s="269"/>
      <c r="P1837" s="269"/>
      <c r="Q1837" s="269"/>
      <c r="R1837" s="269"/>
      <c r="S1837" s="267"/>
      <c r="T1837" s="270"/>
      <c r="U1837" s="267"/>
      <c r="V1837" s="267"/>
      <c r="W1837" s="275">
        <f>SUM(W1838:W1839)</f>
        <v>9945008932.4211998</v>
      </c>
      <c r="X1837" s="267" t="s">
        <v>918</v>
      </c>
      <c r="Y1837" s="267" t="s">
        <v>663</v>
      </c>
      <c r="Z1837" s="267"/>
      <c r="AA1837" s="159">
        <v>4645910135.5534267</v>
      </c>
      <c r="AB1837" s="159">
        <v>4608048676.9085875</v>
      </c>
      <c r="AC1837" s="272"/>
      <c r="AD1837" s="272"/>
      <c r="AE1837" s="272"/>
      <c r="AF1837" s="317">
        <f>AA1837/W1837</f>
        <v>0.46715997613712945</v>
      </c>
      <c r="AG1837" s="267"/>
      <c r="AH1837" s="274">
        <v>447.81</v>
      </c>
      <c r="AI1837" s="267" t="s">
        <v>667</v>
      </c>
      <c r="AJ1837" s="267"/>
      <c r="AK1837" s="275"/>
      <c r="AL1837" s="267"/>
      <c r="AM1837" s="267"/>
      <c r="AN1837" s="267"/>
      <c r="AO1837" s="267"/>
      <c r="AP1837" s="267">
        <v>25</v>
      </c>
      <c r="AQ1837" s="267" t="s">
        <v>439</v>
      </c>
      <c r="AR1837" s="277">
        <v>41922</v>
      </c>
      <c r="AS1837" s="267" t="s">
        <v>2160</v>
      </c>
      <c r="AT1837" s="267" t="s">
        <v>476</v>
      </c>
      <c r="AU1837" s="267"/>
      <c r="AV1837" s="278"/>
      <c r="AW1837" s="117">
        <f>VLOOKUP($D1837,'WB Data'!$C$3:$M$578,2,FALSE)</f>
        <v>11859015180.940172</v>
      </c>
      <c r="AX1837" s="117">
        <f>VLOOKUP($D1837,'WB Data'!$C$3:$M$578,3,FALSE)</f>
        <v>3876475</v>
      </c>
      <c r="AY1837" s="847">
        <f t="shared" si="312"/>
        <v>0.39176188449613764</v>
      </c>
      <c r="AZ1837" s="117">
        <f>VLOOKUP($D1837,'WB Data'!$C$3:$M$578,4,FALSE)/100</f>
        <v>0.48224477144351213</v>
      </c>
      <c r="BA1837" s="117">
        <f t="shared" si="313"/>
        <v>5718948065.4776344</v>
      </c>
      <c r="BB1837" s="129">
        <f>IFERROR(VLOOKUP($D1837,'EITI Revenues'!$C$2:$G$224,5,FALSE),"..")</f>
        <v>4645910135.5534267</v>
      </c>
      <c r="BC1837" s="846">
        <f t="shared" si="314"/>
        <v>0.81237145054672044</v>
      </c>
      <c r="BD1837" s="129" t="e">
        <f>VLOOKUP($D1837,'WB Data 2'!$C$2:$K$545,6,FALSE)</f>
        <v>#N/A</v>
      </c>
      <c r="BE1837" s="129">
        <f>IFERROR(VLOOKUP($D1837,UNCTAD!$C$5:$V$529,4,FALSE),"..")</f>
        <v>8696195888.8299999</v>
      </c>
      <c r="BF1837" s="846" t="str">
        <f t="shared" si="315"/>
        <v>..</v>
      </c>
      <c r="BG1837" s="117">
        <f>VLOOKUP($D1837,'WB Data'!$C$3:$M$578,5,FALSE)</f>
        <v>485000000</v>
      </c>
      <c r="BH1837" s="129">
        <f>IFERROR($BB1837/$BG1837,"..")</f>
        <v>9.5791961557802612</v>
      </c>
      <c r="BI1837" s="117" t="str">
        <f>IFERROR(VLOOKUP($D1837,'WB Data'!$C$3:$M$578,7,FALSE)/100,"..")</f>
        <v>..</v>
      </c>
      <c r="BJ1837" s="117" t="str">
        <f>IFERROR($BI1837*$AW1837,"..")</f>
        <v>..</v>
      </c>
      <c r="BK1837" s="846" t="str">
        <f>IFERROR($BB1837/$BJ1837,"..")</f>
        <v>..</v>
      </c>
      <c r="BL1837" s="117" t="str">
        <f>IFERROR(VLOOKUP($D1837,'WB Data'!$C$3:$M$578,7,FALSE)/100,"..")</f>
        <v>..</v>
      </c>
      <c r="BM1837" s="117" t="str">
        <f>IFERROR($AW1837*$BL1837,"..")</f>
        <v>..</v>
      </c>
      <c r="BN1837" s="846" t="str">
        <f>IFERROR($BB1837/$BM1837,"..")</f>
        <v>..</v>
      </c>
      <c r="BO1837" s="801" t="str">
        <f t="shared" si="311"/>
        <v>..</v>
      </c>
      <c r="BP1837" s="117" t="str">
        <f>VLOOKUP($D1837,'WB Data'!$C$3:$M$578,9,FALSE)</f>
        <v>..</v>
      </c>
      <c r="BQ1837" s="117">
        <f>VLOOKUP($D1837,'WB Data'!$C$3:$M$578,10,FALSE)</f>
        <v>55.934048780487807</v>
      </c>
      <c r="BR1837" s="117">
        <f>VLOOKUP($D1837,'WB Data'!$C$3:$M$578,11,FALSE)</f>
        <v>48.8</v>
      </c>
      <c r="BS1837" s="129" t="str">
        <f>IFERROR(VLOOKUP($D1837,'WB Data 2'!$C$2:$K$545,9,FALSE),"..")</f>
        <v>..</v>
      </c>
      <c r="BT1837" s="129" t="str">
        <f>_xlfn.IFNA(VLOOKUP($C1837,RGI!$A$2:$C$43,2,FALSE),"..")</f>
        <v>..</v>
      </c>
      <c r="BU1837" s="129" t="str">
        <f>_xlfn.IFNA(VLOOKUP($C1837,RGI!$A$2:$C$43,3,FALSE),"..")</f>
        <v>..</v>
      </c>
      <c r="BV1837" s="129">
        <f>VLOOKUP($D1837,WGI!$C$2:$O$478,7,FALSE)</f>
        <v>-1.16456792286297</v>
      </c>
      <c r="BW1837" s="129">
        <f>VLOOKUP($D1837,WGI!$C$2:$O$478,4,FALSE)</f>
        <v>-0.70956226130734001</v>
      </c>
      <c r="BX1837" s="129">
        <f>VLOOKUP($D1837,WGI!$C$2:$O$478,3,FALSE)</f>
        <v>-1.2240844325490801</v>
      </c>
      <c r="BY1837" s="129">
        <f>VLOOKUP($D1837,WGI!$C$2:$O$478,5,FALSE)</f>
        <v>-1.26042955619816</v>
      </c>
      <c r="BZ1837" s="129">
        <f>VLOOKUP($D1837,WGI!$C$2:$O$478,2,FALSE)</f>
        <v>-1.1289766960638199</v>
      </c>
    </row>
    <row r="1838" spans="1:80" ht="15" customHeight="1">
      <c r="A1838" s="315" t="s">
        <v>475</v>
      </c>
      <c r="B1838" s="368">
        <v>2008</v>
      </c>
      <c r="C1838" s="817" t="s">
        <v>465</v>
      </c>
      <c r="D1838" s="117" t="s">
        <v>3591</v>
      </c>
      <c r="E1838" s="581" t="s">
        <v>86</v>
      </c>
      <c r="F1838" s="267"/>
      <c r="G1838" s="267" t="s">
        <v>561</v>
      </c>
      <c r="H1838" s="117" t="str">
        <f t="shared" si="318"/>
        <v>no</v>
      </c>
      <c r="I1838" s="117" t="str">
        <f t="shared" si="308"/>
        <v>yes</v>
      </c>
      <c r="J1838" s="117" t="str">
        <f t="shared" si="309"/>
        <v>no</v>
      </c>
      <c r="K1838" s="267" t="s">
        <v>561</v>
      </c>
      <c r="L1838" s="117" t="str">
        <f t="shared" si="319"/>
        <v>detailed</v>
      </c>
      <c r="M1838" s="117" t="str">
        <f t="shared" si="310"/>
        <v>detailed Gas</v>
      </c>
      <c r="N1838" s="269">
        <f>272000000000*0.0283168</f>
        <v>7702169600</v>
      </c>
      <c r="O1838" s="118">
        <f>N1838*0.0066</f>
        <v>50834319.359999999</v>
      </c>
      <c r="P1838" s="269"/>
      <c r="Q1838" s="269"/>
      <c r="R1838" s="269"/>
      <c r="S1838" s="267" t="s">
        <v>642</v>
      </c>
      <c r="T1838" s="270">
        <v>0.32879700000000006</v>
      </c>
      <c r="U1838" s="267" t="s">
        <v>643</v>
      </c>
      <c r="V1838" s="267" t="s">
        <v>880</v>
      </c>
      <c r="W1838" s="275">
        <f>N1838*T1838</f>
        <v>2532450257.9712005</v>
      </c>
      <c r="X1838" s="267"/>
      <c r="Y1838" s="267"/>
      <c r="Z1838" s="267"/>
      <c r="AA1838" s="271"/>
      <c r="AB1838" s="271"/>
      <c r="AC1838" s="272"/>
      <c r="AD1838" s="272"/>
      <c r="AE1838" s="272"/>
      <c r="AF1838" s="317"/>
      <c r="AG1838" s="267"/>
      <c r="AH1838" s="274"/>
      <c r="AI1838" s="267"/>
      <c r="AJ1838" s="267"/>
      <c r="AK1838" s="275"/>
      <c r="AL1838" s="267"/>
      <c r="AM1838" s="267"/>
      <c r="AN1838" s="267"/>
      <c r="AO1838" s="267"/>
      <c r="AP1838" s="267"/>
      <c r="AQ1838" s="267"/>
      <c r="AR1838" s="277"/>
      <c r="AS1838" s="267"/>
      <c r="AT1838" s="267"/>
      <c r="AU1838" s="267"/>
      <c r="AV1838" s="278"/>
      <c r="AW1838" s="117">
        <f>VLOOKUP($D1838,'WB Data'!$C$3:$M$578,2,FALSE)</f>
        <v>11859015180.940172</v>
      </c>
      <c r="AX1838" s="117">
        <f>VLOOKUP($D1838,'WB Data'!$C$3:$M$578,3,FALSE)</f>
        <v>3876475</v>
      </c>
      <c r="AY1838" s="847">
        <f t="shared" si="312"/>
        <v>0.39176188449613764</v>
      </c>
      <c r="AZ1838" s="117">
        <f>VLOOKUP($D1838,'WB Data'!$C$3:$M$578,4,FALSE)/100</f>
        <v>0.48224477144351213</v>
      </c>
      <c r="BA1838" s="117">
        <f t="shared" si="313"/>
        <v>5718948065.4776344</v>
      </c>
      <c r="BB1838" s="129">
        <f>IFERROR(VLOOKUP($D1838,'EITI Revenues'!$C$2:$G$224,5,FALSE),"..")</f>
        <v>4645910135.5534267</v>
      </c>
      <c r="BC1838" s="846">
        <f t="shared" si="314"/>
        <v>0.81237145054672044</v>
      </c>
      <c r="BD1838" s="129" t="e">
        <f>VLOOKUP($D1838,'WB Data 2'!$C$2:$K$545,6,FALSE)</f>
        <v>#N/A</v>
      </c>
      <c r="BE1838" s="129">
        <f>IFERROR(VLOOKUP($D1838,UNCTAD!$C$5:$V$529,4,FALSE),"..")</f>
        <v>8696195888.8299999</v>
      </c>
      <c r="BF1838" s="846" t="str">
        <f t="shared" si="315"/>
        <v>..</v>
      </c>
      <c r="BG1838" s="117">
        <f>VLOOKUP($D1838,'WB Data'!$C$3:$M$578,5,FALSE)</f>
        <v>485000000</v>
      </c>
      <c r="BH1838" s="129">
        <f>IFERROR($BB1838/$BG1838,"..")</f>
        <v>9.5791961557802612</v>
      </c>
      <c r="BI1838" s="117" t="str">
        <f>IFERROR(VLOOKUP($D1838,'WB Data'!$C$3:$M$578,7,FALSE)/100,"..")</f>
        <v>..</v>
      </c>
      <c r="BJ1838" s="117" t="str">
        <f>IFERROR($BI1838*$AW1838,"..")</f>
        <v>..</v>
      </c>
      <c r="BK1838" s="846" t="str">
        <f>IFERROR($BB1838/$BJ1838,"..")</f>
        <v>..</v>
      </c>
      <c r="BL1838" s="117" t="str">
        <f>IFERROR(VLOOKUP($D1838,'WB Data'!$C$3:$M$578,7,FALSE)/100,"..")</f>
        <v>..</v>
      </c>
      <c r="BM1838" s="117" t="str">
        <f>IFERROR($AW1838*$BL1838,"..")</f>
        <v>..</v>
      </c>
      <c r="BN1838" s="846" t="str">
        <f>IFERROR($BB1838/$BM1838,"..")</f>
        <v>..</v>
      </c>
      <c r="BO1838" s="801" t="str">
        <f t="shared" si="311"/>
        <v>..</v>
      </c>
      <c r="BP1838" s="117" t="str">
        <f>VLOOKUP($D1838,'WB Data'!$C$3:$M$578,9,FALSE)</f>
        <v>..</v>
      </c>
      <c r="BQ1838" s="117">
        <f>VLOOKUP($D1838,'WB Data'!$C$3:$M$578,10,FALSE)</f>
        <v>55.934048780487807</v>
      </c>
      <c r="BR1838" s="117">
        <f>VLOOKUP($D1838,'WB Data'!$C$3:$M$578,11,FALSE)</f>
        <v>48.8</v>
      </c>
      <c r="BS1838" s="129" t="str">
        <f>IFERROR(VLOOKUP($D1838,'WB Data 2'!$C$2:$K$545,9,FALSE),"..")</f>
        <v>..</v>
      </c>
      <c r="BT1838" s="129" t="str">
        <f>_xlfn.IFNA(VLOOKUP($C1838,RGI!$A$2:$C$43,2,FALSE),"..")</f>
        <v>..</v>
      </c>
      <c r="BU1838" s="129" t="str">
        <f>_xlfn.IFNA(VLOOKUP($C1838,RGI!$A$2:$C$43,3,FALSE),"..")</f>
        <v>..</v>
      </c>
      <c r="BV1838" s="129">
        <f>VLOOKUP($D1838,WGI!$C$2:$O$478,7,FALSE)</f>
        <v>-1.16456792286297</v>
      </c>
      <c r="BW1838" s="129">
        <f>VLOOKUP($D1838,WGI!$C$2:$O$478,4,FALSE)</f>
        <v>-0.70956226130734001</v>
      </c>
      <c r="BX1838" s="129">
        <f>VLOOKUP($D1838,WGI!$C$2:$O$478,3,FALSE)</f>
        <v>-1.2240844325490801</v>
      </c>
      <c r="BY1838" s="129">
        <f>VLOOKUP($D1838,WGI!$C$2:$O$478,5,FALSE)</f>
        <v>-1.26042955619816</v>
      </c>
      <c r="BZ1838" s="129">
        <f>VLOOKUP($D1838,WGI!$C$2:$O$478,2,FALSE)</f>
        <v>-1.1289766960638199</v>
      </c>
    </row>
    <row r="1839" spans="1:80" ht="15" customHeight="1">
      <c r="A1839" s="315" t="s">
        <v>475</v>
      </c>
      <c r="B1839" s="368">
        <v>2008</v>
      </c>
      <c r="C1839" s="817" t="s">
        <v>465</v>
      </c>
      <c r="D1839" s="117" t="s">
        <v>3591</v>
      </c>
      <c r="E1839" s="581" t="s">
        <v>86</v>
      </c>
      <c r="F1839" s="267"/>
      <c r="G1839" s="267" t="s">
        <v>103</v>
      </c>
      <c r="H1839" s="117" t="str">
        <f t="shared" si="318"/>
        <v>no</v>
      </c>
      <c r="I1839" s="117" t="str">
        <f t="shared" si="308"/>
        <v>no</v>
      </c>
      <c r="J1839" s="117" t="str">
        <f t="shared" si="309"/>
        <v>yes</v>
      </c>
      <c r="K1839" s="267" t="s">
        <v>103</v>
      </c>
      <c r="L1839" s="117" t="str">
        <f t="shared" si="319"/>
        <v>detailed</v>
      </c>
      <c r="M1839" s="117" t="str">
        <f t="shared" si="310"/>
        <v>detailed Oil</v>
      </c>
      <c r="N1839" s="269">
        <v>85775000</v>
      </c>
      <c r="O1839" s="211">
        <f>O1838/N1839</f>
        <v>0.59264726738560181</v>
      </c>
      <c r="P1839" s="269"/>
      <c r="Q1839" s="269"/>
      <c r="R1839" s="269"/>
      <c r="S1839" s="267" t="s">
        <v>646</v>
      </c>
      <c r="T1839" s="270">
        <f>98.27*0.8794</f>
        <v>86.418637999999987</v>
      </c>
      <c r="U1839" s="267" t="s">
        <v>673</v>
      </c>
      <c r="V1839" s="267" t="s">
        <v>2165</v>
      </c>
      <c r="W1839" s="275">
        <f>N1839*T1839</f>
        <v>7412558674.4499989</v>
      </c>
      <c r="X1839" s="267"/>
      <c r="Y1839" s="267"/>
      <c r="Z1839" s="267"/>
      <c r="AA1839" s="271"/>
      <c r="AB1839" s="271"/>
      <c r="AC1839" s="272"/>
      <c r="AD1839" s="272"/>
      <c r="AE1839" s="272"/>
      <c r="AF1839" s="317"/>
      <c r="AG1839" s="267"/>
      <c r="AH1839" s="274"/>
      <c r="AI1839" s="267"/>
      <c r="AJ1839" s="267"/>
      <c r="AK1839" s="275"/>
      <c r="AL1839" s="267"/>
      <c r="AM1839" s="267"/>
      <c r="AN1839" s="267"/>
      <c r="AO1839" s="267"/>
      <c r="AP1839" s="267"/>
      <c r="AQ1839" s="267"/>
      <c r="AR1839" s="277"/>
      <c r="AS1839" s="267"/>
      <c r="AT1839" s="267"/>
      <c r="AU1839" s="267"/>
      <c r="AV1839" s="278"/>
      <c r="AW1839" s="117">
        <f>VLOOKUP($D1839,'WB Data'!$C$3:$M$578,2,FALSE)</f>
        <v>11859015180.940172</v>
      </c>
      <c r="AX1839" s="117">
        <f>VLOOKUP($D1839,'WB Data'!$C$3:$M$578,3,FALSE)</f>
        <v>3876475</v>
      </c>
      <c r="AY1839" s="847">
        <f t="shared" si="312"/>
        <v>0.39176188449613764</v>
      </c>
      <c r="AZ1839" s="117">
        <f>VLOOKUP($D1839,'WB Data'!$C$3:$M$578,4,FALSE)/100</f>
        <v>0.48224477144351213</v>
      </c>
      <c r="BA1839" s="117">
        <f t="shared" si="313"/>
        <v>5718948065.4776344</v>
      </c>
      <c r="BB1839" s="129">
        <f>IFERROR(VLOOKUP($D1839,'EITI Revenues'!$C$2:$G$224,5,FALSE),"..")</f>
        <v>4645910135.5534267</v>
      </c>
      <c r="BC1839" s="846">
        <f t="shared" si="314"/>
        <v>0.81237145054672044</v>
      </c>
      <c r="BD1839" s="129" t="e">
        <f>VLOOKUP($D1839,'WB Data 2'!$C$2:$K$545,6,FALSE)</f>
        <v>#N/A</v>
      </c>
      <c r="BE1839" s="129">
        <f>IFERROR(VLOOKUP($D1839,UNCTAD!$C$5:$V$529,4,FALSE),"..")</f>
        <v>8696195888.8299999</v>
      </c>
      <c r="BF1839" s="846" t="str">
        <f t="shared" si="315"/>
        <v>..</v>
      </c>
      <c r="BG1839" s="117">
        <f>VLOOKUP($D1839,'WB Data'!$C$3:$M$578,5,FALSE)</f>
        <v>485000000</v>
      </c>
      <c r="BH1839" s="129">
        <f>IFERROR($BB1839/$BG1839,"..")</f>
        <v>9.5791961557802612</v>
      </c>
      <c r="BI1839" s="117" t="str">
        <f>IFERROR(VLOOKUP($D1839,'WB Data'!$C$3:$M$578,7,FALSE)/100,"..")</f>
        <v>..</v>
      </c>
      <c r="BJ1839" s="117" t="str">
        <f>IFERROR($BI1839*$AW1839,"..")</f>
        <v>..</v>
      </c>
      <c r="BK1839" s="846" t="str">
        <f>IFERROR($BB1839/$BJ1839,"..")</f>
        <v>..</v>
      </c>
      <c r="BL1839" s="117" t="str">
        <f>IFERROR(VLOOKUP($D1839,'WB Data'!$C$3:$M$578,7,FALSE)/100,"..")</f>
        <v>..</v>
      </c>
      <c r="BM1839" s="117" t="str">
        <f>IFERROR($AW1839*$BL1839,"..")</f>
        <v>..</v>
      </c>
      <c r="BN1839" s="846" t="str">
        <f>IFERROR($BB1839/$BM1839,"..")</f>
        <v>..</v>
      </c>
      <c r="BO1839" s="801" t="str">
        <f t="shared" si="311"/>
        <v>..</v>
      </c>
      <c r="BP1839" s="117" t="str">
        <f>VLOOKUP($D1839,'WB Data'!$C$3:$M$578,9,FALSE)</f>
        <v>..</v>
      </c>
      <c r="BQ1839" s="117">
        <f>VLOOKUP($D1839,'WB Data'!$C$3:$M$578,10,FALSE)</f>
        <v>55.934048780487807</v>
      </c>
      <c r="BR1839" s="117">
        <f>VLOOKUP($D1839,'WB Data'!$C$3:$M$578,11,FALSE)</f>
        <v>48.8</v>
      </c>
      <c r="BS1839" s="129" t="str">
        <f>IFERROR(VLOOKUP($D1839,'WB Data 2'!$C$2:$K$545,9,FALSE),"..")</f>
        <v>..</v>
      </c>
      <c r="BT1839" s="129" t="str">
        <f>_xlfn.IFNA(VLOOKUP($C1839,RGI!$A$2:$C$43,2,FALSE),"..")</f>
        <v>..</v>
      </c>
      <c r="BU1839" s="129" t="str">
        <f>_xlfn.IFNA(VLOOKUP($C1839,RGI!$A$2:$C$43,3,FALSE),"..")</f>
        <v>..</v>
      </c>
      <c r="BV1839" s="129">
        <f>VLOOKUP($D1839,WGI!$C$2:$O$478,7,FALSE)</f>
        <v>-1.16456792286297</v>
      </c>
      <c r="BW1839" s="129">
        <f>VLOOKUP($D1839,WGI!$C$2:$O$478,4,FALSE)</f>
        <v>-0.70956226130734001</v>
      </c>
      <c r="BX1839" s="129">
        <f>VLOOKUP($D1839,WGI!$C$2:$O$478,3,FALSE)</f>
        <v>-1.2240844325490801</v>
      </c>
      <c r="BY1839" s="129">
        <f>VLOOKUP($D1839,WGI!$C$2:$O$478,5,FALSE)</f>
        <v>-1.26042955619816</v>
      </c>
      <c r="BZ1839" s="129">
        <f>VLOOKUP($D1839,WGI!$C$2:$O$478,2,FALSE)</f>
        <v>-1.1289766960638199</v>
      </c>
    </row>
    <row r="1840" spans="1:80" s="144" customFormat="1" ht="15" customHeight="1">
      <c r="A1840" s="318" t="s">
        <v>477</v>
      </c>
      <c r="B1840" s="386">
        <v>2009</v>
      </c>
      <c r="C1840" s="819" t="s">
        <v>465</v>
      </c>
      <c r="D1840" s="117" t="s">
        <v>3625</v>
      </c>
      <c r="E1840" s="587" t="s">
        <v>86</v>
      </c>
      <c r="F1840" s="319" t="s">
        <v>2164</v>
      </c>
      <c r="G1840" s="319" t="s">
        <v>55</v>
      </c>
      <c r="H1840" s="117" t="str">
        <f t="shared" si="318"/>
        <v>no</v>
      </c>
      <c r="I1840" s="117" t="str">
        <f t="shared" si="308"/>
        <v>yes</v>
      </c>
      <c r="J1840" s="117" t="str">
        <f t="shared" si="309"/>
        <v>yes</v>
      </c>
      <c r="K1840" s="319" t="s">
        <v>709</v>
      </c>
      <c r="L1840" s="117" t="str">
        <f t="shared" si="319"/>
        <v>Total</v>
      </c>
      <c r="M1840" s="117" t="str">
        <f t="shared" si="310"/>
        <v>Total Oil, Gas</v>
      </c>
      <c r="N1840" s="322"/>
      <c r="O1840" s="322"/>
      <c r="P1840" s="322"/>
      <c r="Q1840" s="322"/>
      <c r="R1840" s="322"/>
      <c r="S1840" s="319"/>
      <c r="T1840" s="323"/>
      <c r="U1840" s="319"/>
      <c r="V1840" s="319"/>
      <c r="W1840" s="324">
        <f>SUM(W1841:W1842)</f>
        <v>6512047108.2436066</v>
      </c>
      <c r="X1840" s="319" t="s">
        <v>918</v>
      </c>
      <c r="Y1840" s="319" t="s">
        <v>663</v>
      </c>
      <c r="Z1840" s="319"/>
      <c r="AA1840" s="183">
        <v>2343960552.7359438</v>
      </c>
      <c r="AB1840" s="183">
        <v>2293891127.9047532</v>
      </c>
      <c r="AC1840" s="326"/>
      <c r="AD1840" s="326"/>
      <c r="AE1840" s="326"/>
      <c r="AF1840" s="327">
        <f>AA1840/W1840</f>
        <v>0.35994219847837433</v>
      </c>
      <c r="AG1840" s="319"/>
      <c r="AH1840" s="328">
        <v>472.19</v>
      </c>
      <c r="AI1840" s="319" t="s">
        <v>667</v>
      </c>
      <c r="AJ1840" s="319"/>
      <c r="AK1840" s="324"/>
      <c r="AL1840" s="319"/>
      <c r="AM1840" s="319"/>
      <c r="AN1840" s="319"/>
      <c r="AO1840" s="319"/>
      <c r="AP1840" s="319">
        <v>30</v>
      </c>
      <c r="AQ1840" s="319" t="s">
        <v>439</v>
      </c>
      <c r="AR1840" s="329">
        <v>41922</v>
      </c>
      <c r="AS1840" s="319" t="s">
        <v>2160</v>
      </c>
      <c r="AT1840" s="319" t="s">
        <v>478</v>
      </c>
      <c r="AU1840" s="319"/>
      <c r="AV1840" s="330"/>
      <c r="AW1840" s="117">
        <f>VLOOKUP($D1840,'WB Data'!$C$3:$M$578,2,FALSE)</f>
        <v>9593536719.0731144</v>
      </c>
      <c r="AX1840" s="117">
        <f>VLOOKUP($D1840,'WB Data'!$C$3:$M$578,3,FALSE)</f>
        <v>3995146</v>
      </c>
      <c r="AY1840" s="847">
        <f t="shared" si="312"/>
        <v>0.24432705282462369</v>
      </c>
      <c r="AZ1840" s="117" t="e">
        <f>VLOOKUP($D1840,'WB Data'!$C$3:$M$578,4,FALSE)/100</f>
        <v>#VALUE!</v>
      </c>
      <c r="BA1840" s="117" t="str">
        <f t="shared" si="313"/>
        <v>..</v>
      </c>
      <c r="BB1840" s="129">
        <f>IFERROR(VLOOKUP($D1840,'EITI Revenues'!$C$2:$G$224,5,FALSE),"..")</f>
        <v>2343960552.7359438</v>
      </c>
      <c r="BC1840" s="846" t="str">
        <f t="shared" si="314"/>
        <v>..</v>
      </c>
      <c r="BD1840" s="129" t="e">
        <f>VLOOKUP($D1840,'WB Data 2'!$C$2:$K$545,6,FALSE)</f>
        <v>#N/A</v>
      </c>
      <c r="BE1840" s="129">
        <f>IFERROR(VLOOKUP($D1840,UNCTAD!$C$5:$V$529,4,FALSE),"..")</f>
        <v>6450847759.1300001</v>
      </c>
      <c r="BF1840" s="846" t="str">
        <f t="shared" si="315"/>
        <v>..</v>
      </c>
      <c r="BG1840" s="117">
        <f>VLOOKUP($D1840,'WB Data'!$C$3:$M$578,5,FALSE)</f>
        <v>283280000</v>
      </c>
      <c r="BH1840" s="129">
        <f>IFERROR($BB1840/$BG1840,"..")</f>
        <v>8.2743594773225926</v>
      </c>
      <c r="BI1840" s="117" t="str">
        <f>IFERROR(VLOOKUP($D1840,'WB Data'!$C$3:$M$578,7,FALSE)/100,"..")</f>
        <v>..</v>
      </c>
      <c r="BJ1840" s="117" t="str">
        <f>IFERROR($BI1840*$AW1840,"..")</f>
        <v>..</v>
      </c>
      <c r="BK1840" s="846" t="str">
        <f>IFERROR($BB1840/$BJ1840,"..")</f>
        <v>..</v>
      </c>
      <c r="BL1840" s="117" t="str">
        <f>IFERROR(VLOOKUP($D1840,'WB Data'!$C$3:$M$578,7,FALSE)/100,"..")</f>
        <v>..</v>
      </c>
      <c r="BM1840" s="117" t="str">
        <f>IFERROR($AW1840*$BL1840,"..")</f>
        <v>..</v>
      </c>
      <c r="BN1840" s="846" t="str">
        <f>IFERROR($BB1840/$BM1840,"..")</f>
        <v>..</v>
      </c>
      <c r="BO1840" s="801" t="str">
        <f t="shared" si="311"/>
        <v>..</v>
      </c>
      <c r="BP1840" s="117" t="str">
        <f>VLOOKUP($D1840,'WB Data'!$C$3:$M$578,9,FALSE)</f>
        <v>..</v>
      </c>
      <c r="BQ1840" s="117">
        <f>VLOOKUP($D1840,'WB Data'!$C$3:$M$578,10,FALSE)</f>
        <v>56.584487804878052</v>
      </c>
      <c r="BR1840" s="117">
        <f>VLOOKUP($D1840,'WB Data'!$C$3:$M$578,11,FALSE)</f>
        <v>45.1</v>
      </c>
      <c r="BS1840" s="129" t="str">
        <f>IFERROR(VLOOKUP($D1840,'WB Data 2'!$C$2:$K$545,9,FALSE),"..")</f>
        <v>..</v>
      </c>
      <c r="BT1840" s="129" t="str">
        <f>_xlfn.IFNA(VLOOKUP($C1840,RGI!$A$2:$C$43,2,FALSE),"..")</f>
        <v>..</v>
      </c>
      <c r="BU1840" s="129" t="str">
        <f>_xlfn.IFNA(VLOOKUP($C1840,RGI!$A$2:$C$43,3,FALSE),"..")</f>
        <v>..</v>
      </c>
      <c r="BV1840" s="129">
        <f>VLOOKUP($D1840,WGI!$C$2:$O$478,7,FALSE)</f>
        <v>-1.09940352897635</v>
      </c>
      <c r="BW1840" s="129">
        <f>VLOOKUP($D1840,WGI!$C$2:$O$478,4,FALSE)</f>
        <v>-0.27744695734202801</v>
      </c>
      <c r="BX1840" s="129">
        <f>VLOOKUP($D1840,WGI!$C$2:$O$478,3,FALSE)</f>
        <v>-1.2350143943421401</v>
      </c>
      <c r="BY1840" s="129">
        <f>VLOOKUP($D1840,WGI!$C$2:$O$478,5,FALSE)</f>
        <v>-1.2816085019057899</v>
      </c>
      <c r="BZ1840" s="129">
        <f>VLOOKUP($D1840,WGI!$C$2:$O$478,2,FALSE)</f>
        <v>-1.175436427155</v>
      </c>
      <c r="CB1840" s="129"/>
    </row>
    <row r="1841" spans="1:80" s="120" customFormat="1" ht="15" customHeight="1">
      <c r="A1841" s="315" t="s">
        <v>477</v>
      </c>
      <c r="B1841" s="368">
        <v>2009</v>
      </c>
      <c r="C1841" s="817" t="s">
        <v>465</v>
      </c>
      <c r="D1841" s="117" t="s">
        <v>3625</v>
      </c>
      <c r="E1841" s="581" t="s">
        <v>86</v>
      </c>
      <c r="F1841" s="267"/>
      <c r="G1841" s="267" t="s">
        <v>561</v>
      </c>
      <c r="H1841" s="117" t="str">
        <f t="shared" si="318"/>
        <v>no</v>
      </c>
      <c r="I1841" s="117" t="str">
        <f t="shared" si="308"/>
        <v>yes</v>
      </c>
      <c r="J1841" s="117" t="str">
        <f t="shared" si="309"/>
        <v>no</v>
      </c>
      <c r="K1841" s="267" t="s">
        <v>561</v>
      </c>
      <c r="L1841" s="117" t="str">
        <f t="shared" si="319"/>
        <v>detailed</v>
      </c>
      <c r="M1841" s="117" t="str">
        <f t="shared" si="310"/>
        <v>detailed Gas</v>
      </c>
      <c r="N1841" s="269">
        <f>282000000000*0.0283168</f>
        <v>7985337600</v>
      </c>
      <c r="O1841" s="118">
        <f>N1841*0.0066</f>
        <v>52703228.159999996</v>
      </c>
      <c r="P1841" s="269"/>
      <c r="Q1841" s="269"/>
      <c r="R1841" s="269"/>
      <c r="S1841" s="267" t="s">
        <v>642</v>
      </c>
      <c r="T1841" s="270">
        <v>0.14422800000000002</v>
      </c>
      <c r="U1841" s="267" t="s">
        <v>643</v>
      </c>
      <c r="V1841" s="267" t="s">
        <v>880</v>
      </c>
      <c r="W1841" s="275">
        <f>N1841*T1841</f>
        <v>1151709271.3728001</v>
      </c>
      <c r="X1841" s="267"/>
      <c r="Y1841" s="267"/>
      <c r="Z1841" s="267"/>
      <c r="AA1841" s="271"/>
      <c r="AB1841" s="271"/>
      <c r="AC1841" s="272"/>
      <c r="AD1841" s="272"/>
      <c r="AE1841" s="272"/>
      <c r="AF1841" s="317"/>
      <c r="AG1841" s="267"/>
      <c r="AH1841" s="274"/>
      <c r="AI1841" s="267"/>
      <c r="AJ1841" s="267"/>
      <c r="AK1841" s="275"/>
      <c r="AL1841" s="267"/>
      <c r="AM1841" s="267"/>
      <c r="AN1841" s="267"/>
      <c r="AO1841" s="267"/>
      <c r="AP1841" s="267"/>
      <c r="AQ1841" s="267"/>
      <c r="AR1841" s="277"/>
      <c r="AS1841" s="267"/>
      <c r="AT1841" s="267"/>
      <c r="AU1841" s="267"/>
      <c r="AV1841" s="278"/>
      <c r="AW1841" s="117">
        <f>VLOOKUP($D1841,'WB Data'!$C$3:$M$578,2,FALSE)</f>
        <v>9593536719.0731144</v>
      </c>
      <c r="AX1841" s="117">
        <f>VLOOKUP($D1841,'WB Data'!$C$3:$M$578,3,FALSE)</f>
        <v>3995146</v>
      </c>
      <c r="AY1841" s="847">
        <f t="shared" si="312"/>
        <v>0.24432705282462369</v>
      </c>
      <c r="AZ1841" s="117" t="e">
        <f>VLOOKUP($D1841,'WB Data'!$C$3:$M$578,4,FALSE)/100</f>
        <v>#VALUE!</v>
      </c>
      <c r="BA1841" s="117" t="str">
        <f t="shared" si="313"/>
        <v>..</v>
      </c>
      <c r="BB1841" s="129">
        <f>IFERROR(VLOOKUP($D1841,'EITI Revenues'!$C$2:$G$224,5,FALSE),"..")</f>
        <v>2343960552.7359438</v>
      </c>
      <c r="BC1841" s="846" t="str">
        <f t="shared" si="314"/>
        <v>..</v>
      </c>
      <c r="BD1841" s="129" t="e">
        <f>VLOOKUP($D1841,'WB Data 2'!$C$2:$K$545,6,FALSE)</f>
        <v>#N/A</v>
      </c>
      <c r="BE1841" s="129">
        <f>IFERROR(VLOOKUP($D1841,UNCTAD!$C$5:$V$529,4,FALSE),"..")</f>
        <v>6450847759.1300001</v>
      </c>
      <c r="BF1841" s="846" t="str">
        <f t="shared" si="315"/>
        <v>..</v>
      </c>
      <c r="BG1841" s="117">
        <f>VLOOKUP($D1841,'WB Data'!$C$3:$M$578,5,FALSE)</f>
        <v>283280000</v>
      </c>
      <c r="BH1841" s="129">
        <f>IFERROR($BB1841/$BG1841,"..")</f>
        <v>8.2743594773225926</v>
      </c>
      <c r="BI1841" s="117" t="str">
        <f>IFERROR(VLOOKUP($D1841,'WB Data'!$C$3:$M$578,7,FALSE)/100,"..")</f>
        <v>..</v>
      </c>
      <c r="BJ1841" s="117" t="str">
        <f>IFERROR($BI1841*$AW1841,"..")</f>
        <v>..</v>
      </c>
      <c r="BK1841" s="846" t="str">
        <f>IFERROR($BB1841/$BJ1841,"..")</f>
        <v>..</v>
      </c>
      <c r="BL1841" s="117" t="str">
        <f>IFERROR(VLOOKUP($D1841,'WB Data'!$C$3:$M$578,7,FALSE)/100,"..")</f>
        <v>..</v>
      </c>
      <c r="BM1841" s="117" t="str">
        <f>IFERROR($AW1841*$BL1841,"..")</f>
        <v>..</v>
      </c>
      <c r="BN1841" s="846" t="str">
        <f>IFERROR($BB1841/$BM1841,"..")</f>
        <v>..</v>
      </c>
      <c r="BO1841" s="801" t="str">
        <f t="shared" si="311"/>
        <v>..</v>
      </c>
      <c r="BP1841" s="117" t="str">
        <f>VLOOKUP($D1841,'WB Data'!$C$3:$M$578,9,FALSE)</f>
        <v>..</v>
      </c>
      <c r="BQ1841" s="117">
        <f>VLOOKUP($D1841,'WB Data'!$C$3:$M$578,10,FALSE)</f>
        <v>56.584487804878052</v>
      </c>
      <c r="BR1841" s="117">
        <f>VLOOKUP($D1841,'WB Data'!$C$3:$M$578,11,FALSE)</f>
        <v>45.1</v>
      </c>
      <c r="BS1841" s="129" t="str">
        <f>IFERROR(VLOOKUP($D1841,'WB Data 2'!$C$2:$K$545,9,FALSE),"..")</f>
        <v>..</v>
      </c>
      <c r="BT1841" s="129" t="str">
        <f>_xlfn.IFNA(VLOOKUP($C1841,RGI!$A$2:$C$43,2,FALSE),"..")</f>
        <v>..</v>
      </c>
      <c r="BU1841" s="129" t="str">
        <f>_xlfn.IFNA(VLOOKUP($C1841,RGI!$A$2:$C$43,3,FALSE),"..")</f>
        <v>..</v>
      </c>
      <c r="BV1841" s="129">
        <f>VLOOKUP($D1841,WGI!$C$2:$O$478,7,FALSE)</f>
        <v>-1.09940352897635</v>
      </c>
      <c r="BW1841" s="129">
        <f>VLOOKUP($D1841,WGI!$C$2:$O$478,4,FALSE)</f>
        <v>-0.27744695734202801</v>
      </c>
      <c r="BX1841" s="129">
        <f>VLOOKUP($D1841,WGI!$C$2:$O$478,3,FALSE)</f>
        <v>-1.2350143943421401</v>
      </c>
      <c r="BY1841" s="129">
        <f>VLOOKUP($D1841,WGI!$C$2:$O$478,5,FALSE)</f>
        <v>-1.2816085019057899</v>
      </c>
      <c r="BZ1841" s="129">
        <f>VLOOKUP($D1841,WGI!$C$2:$O$478,2,FALSE)</f>
        <v>-1.175436427155</v>
      </c>
      <c r="CB1841" s="129"/>
    </row>
    <row r="1842" spans="1:80" s="158" customFormat="1" ht="15" customHeight="1">
      <c r="A1842" s="331" t="s">
        <v>477</v>
      </c>
      <c r="B1842" s="370">
        <v>2009</v>
      </c>
      <c r="C1842" s="818" t="s">
        <v>465</v>
      </c>
      <c r="D1842" s="117" t="s">
        <v>3625</v>
      </c>
      <c r="E1842" s="583" t="s">
        <v>86</v>
      </c>
      <c r="F1842" s="253"/>
      <c r="G1842" s="253" t="s">
        <v>103</v>
      </c>
      <c r="H1842" s="117" t="str">
        <f t="shared" si="318"/>
        <v>no</v>
      </c>
      <c r="I1842" s="117" t="str">
        <f t="shared" si="308"/>
        <v>no</v>
      </c>
      <c r="J1842" s="117" t="str">
        <f t="shared" si="309"/>
        <v>yes</v>
      </c>
      <c r="K1842" s="253" t="s">
        <v>103</v>
      </c>
      <c r="L1842" s="117" t="str">
        <f t="shared" si="319"/>
        <v>detailed</v>
      </c>
      <c r="M1842" s="117" t="str">
        <f t="shared" si="310"/>
        <v>detailed Oil</v>
      </c>
      <c r="N1842" s="255">
        <v>98185000</v>
      </c>
      <c r="O1842" s="211">
        <f>O1841/N1842</f>
        <v>0.53677474318887808</v>
      </c>
      <c r="P1842" s="255"/>
      <c r="Q1842" s="255"/>
      <c r="R1842" s="255"/>
      <c r="S1842" s="253" t="s">
        <v>646</v>
      </c>
      <c r="T1842" s="256">
        <f>62.0812648*0.8794</f>
        <v>54.594264265119996</v>
      </c>
      <c r="U1842" s="253" t="s">
        <v>673</v>
      </c>
      <c r="V1842" s="253" t="s">
        <v>2165</v>
      </c>
      <c r="W1842" s="257">
        <f>N1842*T1842</f>
        <v>5360337836.8708067</v>
      </c>
      <c r="X1842" s="253"/>
      <c r="Y1842" s="253"/>
      <c r="Z1842" s="253"/>
      <c r="AA1842" s="258"/>
      <c r="AB1842" s="258"/>
      <c r="AC1842" s="259"/>
      <c r="AD1842" s="259"/>
      <c r="AE1842" s="259"/>
      <c r="AF1842" s="333"/>
      <c r="AG1842" s="253"/>
      <c r="AH1842" s="261"/>
      <c r="AI1842" s="253"/>
      <c r="AJ1842" s="253"/>
      <c r="AK1842" s="257"/>
      <c r="AL1842" s="253"/>
      <c r="AM1842" s="253"/>
      <c r="AN1842" s="253"/>
      <c r="AO1842" s="253"/>
      <c r="AP1842" s="253"/>
      <c r="AQ1842" s="253"/>
      <c r="AR1842" s="263"/>
      <c r="AS1842" s="253"/>
      <c r="AT1842" s="253"/>
      <c r="AU1842" s="253"/>
      <c r="AV1842" s="265"/>
      <c r="AW1842" s="117">
        <f>VLOOKUP($D1842,'WB Data'!$C$3:$M$578,2,FALSE)</f>
        <v>9593536719.0731144</v>
      </c>
      <c r="AX1842" s="117">
        <f>VLOOKUP($D1842,'WB Data'!$C$3:$M$578,3,FALSE)</f>
        <v>3995146</v>
      </c>
      <c r="AY1842" s="847">
        <f t="shared" si="312"/>
        <v>0.24432705282462369</v>
      </c>
      <c r="AZ1842" s="117" t="e">
        <f>VLOOKUP($D1842,'WB Data'!$C$3:$M$578,4,FALSE)/100</f>
        <v>#VALUE!</v>
      </c>
      <c r="BA1842" s="117" t="str">
        <f t="shared" si="313"/>
        <v>..</v>
      </c>
      <c r="BB1842" s="129">
        <f>IFERROR(VLOOKUP($D1842,'EITI Revenues'!$C$2:$G$224,5,FALSE),"..")</f>
        <v>2343960552.7359438</v>
      </c>
      <c r="BC1842" s="846" t="str">
        <f t="shared" si="314"/>
        <v>..</v>
      </c>
      <c r="BD1842" s="129" t="e">
        <f>VLOOKUP($D1842,'WB Data 2'!$C$2:$K$545,6,FALSE)</f>
        <v>#N/A</v>
      </c>
      <c r="BE1842" s="129">
        <f>IFERROR(VLOOKUP($D1842,UNCTAD!$C$5:$V$529,4,FALSE),"..")</f>
        <v>6450847759.1300001</v>
      </c>
      <c r="BF1842" s="846" t="str">
        <f t="shared" si="315"/>
        <v>..</v>
      </c>
      <c r="BG1842" s="117">
        <f>VLOOKUP($D1842,'WB Data'!$C$3:$M$578,5,FALSE)</f>
        <v>283280000</v>
      </c>
      <c r="BH1842" s="129">
        <f>IFERROR($BB1842/$BG1842,"..")</f>
        <v>8.2743594773225926</v>
      </c>
      <c r="BI1842" s="117" t="str">
        <f>IFERROR(VLOOKUP($D1842,'WB Data'!$C$3:$M$578,7,FALSE)/100,"..")</f>
        <v>..</v>
      </c>
      <c r="BJ1842" s="117" t="str">
        <f>IFERROR($BI1842*$AW1842,"..")</f>
        <v>..</v>
      </c>
      <c r="BK1842" s="846" t="str">
        <f>IFERROR($BB1842/$BJ1842,"..")</f>
        <v>..</v>
      </c>
      <c r="BL1842" s="117" t="str">
        <f>IFERROR(VLOOKUP($D1842,'WB Data'!$C$3:$M$578,7,FALSE)/100,"..")</f>
        <v>..</v>
      </c>
      <c r="BM1842" s="117" t="str">
        <f>IFERROR($AW1842*$BL1842,"..")</f>
        <v>..</v>
      </c>
      <c r="BN1842" s="846" t="str">
        <f>IFERROR($BB1842/$BM1842,"..")</f>
        <v>..</v>
      </c>
      <c r="BO1842" s="801" t="str">
        <f t="shared" si="311"/>
        <v>..</v>
      </c>
      <c r="BP1842" s="117" t="str">
        <f>VLOOKUP($D1842,'WB Data'!$C$3:$M$578,9,FALSE)</f>
        <v>..</v>
      </c>
      <c r="BQ1842" s="117">
        <f>VLOOKUP($D1842,'WB Data'!$C$3:$M$578,10,FALSE)</f>
        <v>56.584487804878052</v>
      </c>
      <c r="BR1842" s="117">
        <f>VLOOKUP($D1842,'WB Data'!$C$3:$M$578,11,FALSE)</f>
        <v>45.1</v>
      </c>
      <c r="BS1842" s="129" t="str">
        <f>IFERROR(VLOOKUP($D1842,'WB Data 2'!$C$2:$K$545,9,FALSE),"..")</f>
        <v>..</v>
      </c>
      <c r="BT1842" s="129" t="str">
        <f>_xlfn.IFNA(VLOOKUP($C1842,RGI!$A$2:$C$43,2,FALSE),"..")</f>
        <v>..</v>
      </c>
      <c r="BU1842" s="129" t="str">
        <f>_xlfn.IFNA(VLOOKUP($C1842,RGI!$A$2:$C$43,3,FALSE),"..")</f>
        <v>..</v>
      </c>
      <c r="BV1842" s="129">
        <f>VLOOKUP($D1842,WGI!$C$2:$O$478,7,FALSE)</f>
        <v>-1.09940352897635</v>
      </c>
      <c r="BW1842" s="129">
        <f>VLOOKUP($D1842,WGI!$C$2:$O$478,4,FALSE)</f>
        <v>-0.27744695734202801</v>
      </c>
      <c r="BX1842" s="129">
        <f>VLOOKUP($D1842,WGI!$C$2:$O$478,3,FALSE)</f>
        <v>-1.2350143943421401</v>
      </c>
      <c r="BY1842" s="129">
        <f>VLOOKUP($D1842,WGI!$C$2:$O$478,5,FALSE)</f>
        <v>-1.2816085019057899</v>
      </c>
      <c r="BZ1842" s="129">
        <f>VLOOKUP($D1842,WGI!$C$2:$O$478,2,FALSE)</f>
        <v>-1.175436427155</v>
      </c>
      <c r="CB1842" s="129"/>
    </row>
    <row r="1843" spans="1:80" ht="15" customHeight="1">
      <c r="A1843" s="294" t="s">
        <v>479</v>
      </c>
      <c r="B1843" s="214">
        <v>2010</v>
      </c>
      <c r="C1843" s="809" t="s">
        <v>465</v>
      </c>
      <c r="D1843" s="117" t="s">
        <v>3659</v>
      </c>
      <c r="E1843" s="452" t="s">
        <v>86</v>
      </c>
      <c r="F1843" s="117" t="s">
        <v>2164</v>
      </c>
      <c r="G1843" s="117" t="s">
        <v>55</v>
      </c>
      <c r="H1843" s="117" t="str">
        <f t="shared" si="318"/>
        <v>no</v>
      </c>
      <c r="I1843" s="117" t="str">
        <f t="shared" si="308"/>
        <v>yes</v>
      </c>
      <c r="J1843" s="117" t="str">
        <f t="shared" si="309"/>
        <v>yes</v>
      </c>
      <c r="K1843" s="117" t="s">
        <v>709</v>
      </c>
      <c r="L1843" s="117" t="str">
        <f t="shared" si="319"/>
        <v>Total</v>
      </c>
      <c r="M1843" s="117" t="str">
        <f t="shared" si="310"/>
        <v>Total Oil, Gas</v>
      </c>
      <c r="N1843" s="179"/>
      <c r="O1843" s="179"/>
      <c r="P1843" s="179"/>
      <c r="Q1843" s="179"/>
      <c r="R1843" s="179"/>
      <c r="S1843" s="117"/>
      <c r="T1843" s="119"/>
      <c r="U1843" s="117"/>
      <c r="V1843" s="117"/>
      <c r="W1843" s="89">
        <f>SUM(W1844:W1845)</f>
        <v>6911955014.2825518</v>
      </c>
      <c r="X1843" s="117" t="s">
        <v>918</v>
      </c>
      <c r="Y1843" s="132" t="s">
        <v>663</v>
      </c>
      <c r="Z1843" s="117" t="s">
        <v>664</v>
      </c>
      <c r="AA1843" s="89">
        <v>3195780380.0319676</v>
      </c>
      <c r="AB1843" s="90">
        <v>3419011268.8920569</v>
      </c>
      <c r="AC1843" s="240"/>
      <c r="AD1843" s="240"/>
      <c r="AE1843" s="240"/>
      <c r="AF1843" s="241">
        <f>AA1843/W1843</f>
        <v>0.46235549470856674</v>
      </c>
      <c r="AG1843" s="117" t="s">
        <v>919</v>
      </c>
      <c r="AH1843" s="124">
        <v>486.11700000000002</v>
      </c>
      <c r="AI1843" s="117" t="s">
        <v>2166</v>
      </c>
      <c r="AJ1843" s="89" t="s">
        <v>2167</v>
      </c>
      <c r="AK1843" s="89">
        <f>1391390061000/AH1843</f>
        <v>2862253451.329618</v>
      </c>
      <c r="AL1843" s="117"/>
      <c r="AM1843" s="89"/>
      <c r="AN1843" s="117">
        <v>24</v>
      </c>
      <c r="AO1843" s="117" t="s">
        <v>2168</v>
      </c>
      <c r="AP1843" s="117">
        <v>16</v>
      </c>
      <c r="AQ1843" s="117" t="s">
        <v>455</v>
      </c>
      <c r="AR1843" s="126">
        <v>41960</v>
      </c>
      <c r="AS1843" s="117" t="s">
        <v>607</v>
      </c>
      <c r="AT1843" s="127" t="s">
        <v>480</v>
      </c>
      <c r="AU1843" s="117" t="s">
        <v>2169</v>
      </c>
      <c r="AV1843" s="128" t="s">
        <v>2170</v>
      </c>
      <c r="AW1843" s="117">
        <f>VLOOKUP($D1843,'WB Data'!$C$3:$M$578,2,FALSE)</f>
        <v>12007880067.439547</v>
      </c>
      <c r="AX1843" s="117">
        <f>VLOOKUP($D1843,'WB Data'!$C$3:$M$578,3,FALSE)</f>
        <v>4111715</v>
      </c>
      <c r="AY1843" s="847">
        <f t="shared" si="312"/>
        <v>0.2661402647331243</v>
      </c>
      <c r="AZ1843" s="117" t="e">
        <f>VLOOKUP($D1843,'WB Data'!$C$3:$M$578,4,FALSE)/100</f>
        <v>#VALUE!</v>
      </c>
      <c r="BA1843" s="117" t="str">
        <f t="shared" si="313"/>
        <v>..</v>
      </c>
      <c r="BB1843" s="129">
        <f>IFERROR(VLOOKUP($D1843,'EITI Revenues'!$C$2:$G$224,5,FALSE),"..")</f>
        <v>3195780380.0319676</v>
      </c>
      <c r="BC1843" s="846" t="str">
        <f t="shared" si="314"/>
        <v>..</v>
      </c>
      <c r="BD1843" s="129" t="e">
        <f>VLOOKUP($D1843,'WB Data 2'!$C$2:$K$545,6,FALSE)</f>
        <v>#N/A</v>
      </c>
      <c r="BE1843" s="129">
        <f>IFERROR(VLOOKUP($D1843,UNCTAD!$C$5:$V$529,4,FALSE),"..")</f>
        <v>9757166191.8400002</v>
      </c>
      <c r="BF1843" s="846" t="str">
        <f t="shared" si="315"/>
        <v>..</v>
      </c>
      <c r="BG1843" s="117">
        <f>VLOOKUP($D1843,'WB Data'!$C$3:$M$578,5,FALSE)</f>
        <v>1311500000</v>
      </c>
      <c r="BH1843" s="129">
        <f>IFERROR($BB1843/$BG1843,"..")</f>
        <v>2.43673685095842</v>
      </c>
      <c r="BI1843" s="117">
        <f>IFERROR(VLOOKUP($D1843,'WB Data'!$C$3:$M$578,7,FALSE)/100,"..")</f>
        <v>6.2207900000000003E-2</v>
      </c>
      <c r="BJ1843" s="117">
        <f>IFERROR($BI1843*$AW1843,"..")</f>
        <v>746985002.44727266</v>
      </c>
      <c r="BK1843" s="846">
        <f>IFERROR($BB1843/$BJ1843,"..")</f>
        <v>4.2782390135838746</v>
      </c>
      <c r="BL1843" s="117">
        <f>IFERROR(VLOOKUP($D1843,'WB Data'!$C$3:$M$578,7,FALSE)/100,"..")</f>
        <v>6.2207900000000003E-2</v>
      </c>
      <c r="BM1843" s="117">
        <f>IFERROR($AW1843*$BL1843,"..")</f>
        <v>746985002.44727266</v>
      </c>
      <c r="BN1843" s="846">
        <f>IFERROR($BB1843/$BM1843,"..")</f>
        <v>4.2782390135838746</v>
      </c>
      <c r="BO1843" s="801" t="str">
        <f t="shared" si="311"/>
        <v>..</v>
      </c>
      <c r="BP1843" s="117" t="str">
        <f>VLOOKUP($D1843,'WB Data'!$C$3:$M$578,9,FALSE)</f>
        <v>..</v>
      </c>
      <c r="BQ1843" s="117">
        <f>VLOOKUP($D1843,'WB Data'!$C$3:$M$578,10,FALSE)</f>
        <v>57.204024390243902</v>
      </c>
      <c r="BR1843" s="117">
        <f>VLOOKUP($D1843,'WB Data'!$C$3:$M$578,11,FALSE)</f>
        <v>42</v>
      </c>
      <c r="BS1843" s="129" t="str">
        <f>IFERROR(VLOOKUP($D1843,'WB Data 2'!$C$2:$K$545,9,FALSE),"..")</f>
        <v>..</v>
      </c>
      <c r="BT1843" s="129" t="str">
        <f>_xlfn.IFNA(VLOOKUP($C1843,RGI!$A$2:$C$43,2,FALSE),"..")</f>
        <v>..</v>
      </c>
      <c r="BU1843" s="129" t="str">
        <f>_xlfn.IFNA(VLOOKUP($C1843,RGI!$A$2:$C$43,3,FALSE),"..")</f>
        <v>..</v>
      </c>
      <c r="BV1843" s="129">
        <f>VLOOKUP($D1843,WGI!$C$2:$O$478,7,FALSE)</f>
        <v>-1.05759514323022</v>
      </c>
      <c r="BW1843" s="129">
        <f>VLOOKUP($D1843,WGI!$C$2:$O$478,4,FALSE)</f>
        <v>-0.33049749599117101</v>
      </c>
      <c r="BX1843" s="129">
        <f>VLOOKUP($D1843,WGI!$C$2:$O$478,3,FALSE)</f>
        <v>-1.2339884209024099</v>
      </c>
      <c r="BY1843" s="129">
        <f>VLOOKUP($D1843,WGI!$C$2:$O$478,5,FALSE)</f>
        <v>-1.2672029824801001</v>
      </c>
      <c r="BZ1843" s="129">
        <f>VLOOKUP($D1843,WGI!$C$2:$O$478,2,FALSE)</f>
        <v>-1.1149697397604399</v>
      </c>
    </row>
    <row r="1844" spans="1:80" ht="15" customHeight="1">
      <c r="A1844" s="294" t="s">
        <v>479</v>
      </c>
      <c r="B1844" s="214">
        <v>2010</v>
      </c>
      <c r="C1844" s="809" t="s">
        <v>465</v>
      </c>
      <c r="D1844" s="117" t="s">
        <v>3659</v>
      </c>
      <c r="E1844" s="452" t="s">
        <v>86</v>
      </c>
      <c r="F1844" s="117"/>
      <c r="G1844" s="117" t="s">
        <v>561</v>
      </c>
      <c r="H1844" s="117" t="str">
        <f t="shared" si="318"/>
        <v>no</v>
      </c>
      <c r="I1844" s="117" t="str">
        <f t="shared" si="308"/>
        <v>yes</v>
      </c>
      <c r="J1844" s="117" t="str">
        <f t="shared" si="309"/>
        <v>no</v>
      </c>
      <c r="K1844" s="117" t="s">
        <v>561</v>
      </c>
      <c r="L1844" s="117" t="str">
        <f t="shared" si="319"/>
        <v>detailed</v>
      </c>
      <c r="M1844" s="117" t="str">
        <f t="shared" si="310"/>
        <v>detailed Gas</v>
      </c>
      <c r="N1844" s="179">
        <f>298000000000*0.0283168</f>
        <v>8438406400</v>
      </c>
      <c r="O1844" s="118">
        <f>N1844*0.0066</f>
        <v>55693482.240000002</v>
      </c>
      <c r="P1844" s="179"/>
      <c r="Q1844" s="179"/>
      <c r="R1844" s="179"/>
      <c r="S1844" s="117" t="s">
        <v>642</v>
      </c>
      <c r="T1844" s="119">
        <v>0.1741077336927683</v>
      </c>
      <c r="U1844" s="117" t="s">
        <v>643</v>
      </c>
      <c r="V1844" s="117" t="s">
        <v>880</v>
      </c>
      <c r="W1844" s="89">
        <f>N1844*T1844</f>
        <v>1469191814.2825518</v>
      </c>
      <c r="X1844" s="117"/>
      <c r="Y1844" s="117"/>
      <c r="Z1844" s="117"/>
      <c r="AA1844" s="177"/>
      <c r="AB1844" s="177"/>
      <c r="AC1844" s="122"/>
      <c r="AD1844" s="122"/>
      <c r="AE1844" s="122"/>
      <c r="AF1844" s="123"/>
      <c r="AG1844" s="117"/>
      <c r="AH1844" s="124"/>
      <c r="AI1844" s="117"/>
      <c r="AJ1844" s="89"/>
      <c r="AK1844" s="89"/>
      <c r="AL1844" s="117"/>
      <c r="AM1844" s="89"/>
      <c r="AN1844" s="117"/>
      <c r="AO1844" s="117"/>
      <c r="AP1844" s="117"/>
      <c r="AQ1844" s="117"/>
      <c r="AR1844" s="126"/>
      <c r="AS1844" s="117"/>
      <c r="AT1844" s="117"/>
      <c r="AU1844" s="117"/>
      <c r="AV1844" s="128"/>
      <c r="AW1844" s="117">
        <f>VLOOKUP($D1844,'WB Data'!$C$3:$M$578,2,FALSE)</f>
        <v>12007880067.439547</v>
      </c>
      <c r="AX1844" s="117">
        <f>VLOOKUP($D1844,'WB Data'!$C$3:$M$578,3,FALSE)</f>
        <v>4111715</v>
      </c>
      <c r="AY1844" s="847">
        <f t="shared" si="312"/>
        <v>0.2661402647331243</v>
      </c>
      <c r="AZ1844" s="117" t="e">
        <f>VLOOKUP($D1844,'WB Data'!$C$3:$M$578,4,FALSE)/100</f>
        <v>#VALUE!</v>
      </c>
      <c r="BA1844" s="117" t="str">
        <f t="shared" si="313"/>
        <v>..</v>
      </c>
      <c r="BB1844" s="129">
        <f>IFERROR(VLOOKUP($D1844,'EITI Revenues'!$C$2:$G$224,5,FALSE),"..")</f>
        <v>3195780380.0319676</v>
      </c>
      <c r="BC1844" s="846" t="str">
        <f t="shared" si="314"/>
        <v>..</v>
      </c>
      <c r="BD1844" s="129" t="e">
        <f>VLOOKUP($D1844,'WB Data 2'!$C$2:$K$545,6,FALSE)</f>
        <v>#N/A</v>
      </c>
      <c r="BE1844" s="129">
        <f>IFERROR(VLOOKUP($D1844,UNCTAD!$C$5:$V$529,4,FALSE),"..")</f>
        <v>9757166191.8400002</v>
      </c>
      <c r="BF1844" s="846" t="str">
        <f t="shared" si="315"/>
        <v>..</v>
      </c>
      <c r="BG1844" s="117">
        <f>VLOOKUP($D1844,'WB Data'!$C$3:$M$578,5,FALSE)</f>
        <v>1311500000</v>
      </c>
      <c r="BH1844" s="129">
        <f>IFERROR($BB1844/$BG1844,"..")</f>
        <v>2.43673685095842</v>
      </c>
      <c r="BI1844" s="117">
        <f>IFERROR(VLOOKUP($D1844,'WB Data'!$C$3:$M$578,7,FALSE)/100,"..")</f>
        <v>6.2207900000000003E-2</v>
      </c>
      <c r="BJ1844" s="117">
        <f>IFERROR($BI1844*$AW1844,"..")</f>
        <v>746985002.44727266</v>
      </c>
      <c r="BK1844" s="846">
        <f>IFERROR($BB1844/$BJ1844,"..")</f>
        <v>4.2782390135838746</v>
      </c>
      <c r="BL1844" s="117">
        <f>IFERROR(VLOOKUP($D1844,'WB Data'!$C$3:$M$578,7,FALSE)/100,"..")</f>
        <v>6.2207900000000003E-2</v>
      </c>
      <c r="BM1844" s="117">
        <f>IFERROR($AW1844*$BL1844,"..")</f>
        <v>746985002.44727266</v>
      </c>
      <c r="BN1844" s="846">
        <f>IFERROR($BB1844/$BM1844,"..")</f>
        <v>4.2782390135838746</v>
      </c>
      <c r="BO1844" s="801" t="str">
        <f t="shared" si="311"/>
        <v>..</v>
      </c>
      <c r="BP1844" s="117" t="str">
        <f>VLOOKUP($D1844,'WB Data'!$C$3:$M$578,9,FALSE)</f>
        <v>..</v>
      </c>
      <c r="BQ1844" s="117">
        <f>VLOOKUP($D1844,'WB Data'!$C$3:$M$578,10,FALSE)</f>
        <v>57.204024390243902</v>
      </c>
      <c r="BR1844" s="117">
        <f>VLOOKUP($D1844,'WB Data'!$C$3:$M$578,11,FALSE)</f>
        <v>42</v>
      </c>
      <c r="BS1844" s="129" t="str">
        <f>IFERROR(VLOOKUP($D1844,'WB Data 2'!$C$2:$K$545,9,FALSE),"..")</f>
        <v>..</v>
      </c>
      <c r="BT1844" s="129" t="str">
        <f>_xlfn.IFNA(VLOOKUP($C1844,RGI!$A$2:$C$43,2,FALSE),"..")</f>
        <v>..</v>
      </c>
      <c r="BU1844" s="129" t="str">
        <f>_xlfn.IFNA(VLOOKUP($C1844,RGI!$A$2:$C$43,3,FALSE),"..")</f>
        <v>..</v>
      </c>
      <c r="BV1844" s="129">
        <f>VLOOKUP($D1844,WGI!$C$2:$O$478,7,FALSE)</f>
        <v>-1.05759514323022</v>
      </c>
      <c r="BW1844" s="129">
        <f>VLOOKUP($D1844,WGI!$C$2:$O$478,4,FALSE)</f>
        <v>-0.33049749599117101</v>
      </c>
      <c r="BX1844" s="129">
        <f>VLOOKUP($D1844,WGI!$C$2:$O$478,3,FALSE)</f>
        <v>-1.2339884209024099</v>
      </c>
      <c r="BY1844" s="129">
        <f>VLOOKUP($D1844,WGI!$C$2:$O$478,5,FALSE)</f>
        <v>-1.2672029824801001</v>
      </c>
      <c r="BZ1844" s="129">
        <f>VLOOKUP($D1844,WGI!$C$2:$O$478,2,FALSE)</f>
        <v>-1.1149697397604399</v>
      </c>
    </row>
    <row r="1845" spans="1:80" ht="15" customHeight="1">
      <c r="A1845" s="294" t="s">
        <v>479</v>
      </c>
      <c r="B1845" s="214">
        <v>2010</v>
      </c>
      <c r="C1845" s="809" t="s">
        <v>465</v>
      </c>
      <c r="D1845" s="117" t="s">
        <v>3659</v>
      </c>
      <c r="E1845" s="452" t="s">
        <v>86</v>
      </c>
      <c r="F1845" s="117"/>
      <c r="G1845" s="117" t="s">
        <v>103</v>
      </c>
      <c r="H1845" s="117" t="str">
        <f t="shared" si="318"/>
        <v>no</v>
      </c>
      <c r="I1845" s="117" t="str">
        <f t="shared" si="308"/>
        <v>no</v>
      </c>
      <c r="J1845" s="117" t="str">
        <f t="shared" si="309"/>
        <v>yes</v>
      </c>
      <c r="K1845" s="117" t="s">
        <v>103</v>
      </c>
      <c r="L1845" s="117" t="str">
        <f t="shared" si="319"/>
        <v>detailed</v>
      </c>
      <c r="M1845" s="117" t="str">
        <f t="shared" si="310"/>
        <v>detailed Oil</v>
      </c>
      <c r="N1845" s="179">
        <v>107310000</v>
      </c>
      <c r="O1845" s="211">
        <f>O1844/N1845</f>
        <v>0.5189962001677384</v>
      </c>
      <c r="P1845" s="179"/>
      <c r="Q1845" s="179"/>
      <c r="R1845" s="179"/>
      <c r="S1845" s="117" t="s">
        <v>646</v>
      </c>
      <c r="T1845" s="119">
        <v>50.72</v>
      </c>
      <c r="U1845" s="117" t="s">
        <v>673</v>
      </c>
      <c r="V1845" s="117" t="s">
        <v>2171</v>
      </c>
      <c r="W1845" s="89">
        <f>N1845*T1845</f>
        <v>5442763200</v>
      </c>
      <c r="X1845" s="117"/>
      <c r="Y1845" s="117"/>
      <c r="Z1845" s="117"/>
      <c r="AA1845" s="89"/>
      <c r="AB1845" s="89"/>
      <c r="AC1845" s="122"/>
      <c r="AD1845" s="122"/>
      <c r="AE1845" s="122"/>
      <c r="AF1845" s="123"/>
      <c r="AG1845" s="117"/>
      <c r="AH1845" s="124"/>
      <c r="AI1845" s="117"/>
      <c r="AJ1845" s="89" t="s">
        <v>2167</v>
      </c>
      <c r="AK1845" s="89">
        <f>1391390061000/AH1843</f>
        <v>2862253451.329618</v>
      </c>
      <c r="AL1845" s="117"/>
      <c r="AM1845" s="89"/>
      <c r="AN1845" s="117"/>
      <c r="AO1845" s="117"/>
      <c r="AP1845" s="117"/>
      <c r="AQ1845" s="117"/>
      <c r="AR1845" s="126"/>
      <c r="AS1845" s="117"/>
      <c r="AT1845" s="117"/>
      <c r="AU1845" s="117"/>
      <c r="AV1845" s="128"/>
      <c r="AW1845" s="117">
        <f>VLOOKUP($D1845,'WB Data'!$C$3:$M$578,2,FALSE)</f>
        <v>12007880067.439547</v>
      </c>
      <c r="AX1845" s="117">
        <f>VLOOKUP($D1845,'WB Data'!$C$3:$M$578,3,FALSE)</f>
        <v>4111715</v>
      </c>
      <c r="AY1845" s="847">
        <f t="shared" si="312"/>
        <v>0.2661402647331243</v>
      </c>
      <c r="AZ1845" s="117" t="e">
        <f>VLOOKUP($D1845,'WB Data'!$C$3:$M$578,4,FALSE)/100</f>
        <v>#VALUE!</v>
      </c>
      <c r="BA1845" s="117" t="str">
        <f t="shared" si="313"/>
        <v>..</v>
      </c>
      <c r="BB1845" s="129">
        <f>IFERROR(VLOOKUP($D1845,'EITI Revenues'!$C$2:$G$224,5,FALSE),"..")</f>
        <v>3195780380.0319676</v>
      </c>
      <c r="BC1845" s="846" t="str">
        <f t="shared" si="314"/>
        <v>..</v>
      </c>
      <c r="BD1845" s="129" t="e">
        <f>VLOOKUP($D1845,'WB Data 2'!$C$2:$K$545,6,FALSE)</f>
        <v>#N/A</v>
      </c>
      <c r="BE1845" s="129">
        <f>IFERROR(VLOOKUP($D1845,UNCTAD!$C$5:$V$529,4,FALSE),"..")</f>
        <v>9757166191.8400002</v>
      </c>
      <c r="BF1845" s="846" t="str">
        <f t="shared" si="315"/>
        <v>..</v>
      </c>
      <c r="BG1845" s="117">
        <f>VLOOKUP($D1845,'WB Data'!$C$3:$M$578,5,FALSE)</f>
        <v>1311500000</v>
      </c>
      <c r="BH1845" s="129">
        <f>IFERROR($BB1845/$BG1845,"..")</f>
        <v>2.43673685095842</v>
      </c>
      <c r="BI1845" s="117">
        <f>IFERROR(VLOOKUP($D1845,'WB Data'!$C$3:$M$578,7,FALSE)/100,"..")</f>
        <v>6.2207900000000003E-2</v>
      </c>
      <c r="BJ1845" s="117">
        <f>IFERROR($BI1845*$AW1845,"..")</f>
        <v>746985002.44727266</v>
      </c>
      <c r="BK1845" s="846">
        <f>IFERROR($BB1845/$BJ1845,"..")</f>
        <v>4.2782390135838746</v>
      </c>
      <c r="BL1845" s="117">
        <f>IFERROR(VLOOKUP($D1845,'WB Data'!$C$3:$M$578,7,FALSE)/100,"..")</f>
        <v>6.2207900000000003E-2</v>
      </c>
      <c r="BM1845" s="117">
        <f>IFERROR($AW1845*$BL1845,"..")</f>
        <v>746985002.44727266</v>
      </c>
      <c r="BN1845" s="846">
        <f>IFERROR($BB1845/$BM1845,"..")</f>
        <v>4.2782390135838746</v>
      </c>
      <c r="BO1845" s="801" t="str">
        <f t="shared" si="311"/>
        <v>..</v>
      </c>
      <c r="BP1845" s="117" t="str">
        <f>VLOOKUP($D1845,'WB Data'!$C$3:$M$578,9,FALSE)</f>
        <v>..</v>
      </c>
      <c r="BQ1845" s="117">
        <f>VLOOKUP($D1845,'WB Data'!$C$3:$M$578,10,FALSE)</f>
        <v>57.204024390243902</v>
      </c>
      <c r="BR1845" s="117">
        <f>VLOOKUP($D1845,'WB Data'!$C$3:$M$578,11,FALSE)</f>
        <v>42</v>
      </c>
      <c r="BS1845" s="129" t="str">
        <f>IFERROR(VLOOKUP($D1845,'WB Data 2'!$C$2:$K$545,9,FALSE),"..")</f>
        <v>..</v>
      </c>
      <c r="BT1845" s="129" t="str">
        <f>_xlfn.IFNA(VLOOKUP($C1845,RGI!$A$2:$C$43,2,FALSE),"..")</f>
        <v>..</v>
      </c>
      <c r="BU1845" s="129" t="str">
        <f>_xlfn.IFNA(VLOOKUP($C1845,RGI!$A$2:$C$43,3,FALSE),"..")</f>
        <v>..</v>
      </c>
      <c r="BV1845" s="129">
        <f>VLOOKUP($D1845,WGI!$C$2:$O$478,7,FALSE)</f>
        <v>-1.05759514323022</v>
      </c>
      <c r="BW1845" s="129">
        <f>VLOOKUP($D1845,WGI!$C$2:$O$478,4,FALSE)</f>
        <v>-0.33049749599117101</v>
      </c>
      <c r="BX1845" s="129">
        <f>VLOOKUP($D1845,WGI!$C$2:$O$478,3,FALSE)</f>
        <v>-1.2339884209024099</v>
      </c>
      <c r="BY1845" s="129">
        <f>VLOOKUP($D1845,WGI!$C$2:$O$478,5,FALSE)</f>
        <v>-1.2672029824801001</v>
      </c>
      <c r="BZ1845" s="129">
        <f>VLOOKUP($D1845,WGI!$C$2:$O$478,2,FALSE)</f>
        <v>-1.1149697397604399</v>
      </c>
    </row>
    <row r="1846" spans="1:80" s="144" customFormat="1" ht="15" customHeight="1">
      <c r="A1846" s="296" t="s">
        <v>481</v>
      </c>
      <c r="B1846" s="228">
        <v>2011</v>
      </c>
      <c r="C1846" s="808" t="s">
        <v>465</v>
      </c>
      <c r="D1846" s="117" t="s">
        <v>3693</v>
      </c>
      <c r="E1846" s="450" t="s">
        <v>86</v>
      </c>
      <c r="F1846" s="132" t="s">
        <v>2164</v>
      </c>
      <c r="G1846" s="132" t="s">
        <v>55</v>
      </c>
      <c r="H1846" s="117" t="str">
        <f t="shared" si="318"/>
        <v>no</v>
      </c>
      <c r="I1846" s="117" t="str">
        <f t="shared" si="308"/>
        <v>yes</v>
      </c>
      <c r="J1846" s="117" t="str">
        <f t="shared" si="309"/>
        <v>yes</v>
      </c>
      <c r="K1846" s="132" t="s">
        <v>709</v>
      </c>
      <c r="L1846" s="117" t="str">
        <f t="shared" si="319"/>
        <v>Total</v>
      </c>
      <c r="M1846" s="117" t="str">
        <f t="shared" si="310"/>
        <v>Total Oil, Gas</v>
      </c>
      <c r="N1846" s="238"/>
      <c r="O1846" s="238"/>
      <c r="P1846" s="238"/>
      <c r="Q1846" s="238"/>
      <c r="R1846" s="238"/>
      <c r="S1846" s="132"/>
      <c r="T1846" s="134"/>
      <c r="U1846" s="132"/>
      <c r="V1846" s="132"/>
      <c r="W1846" s="135">
        <f>SUM(W1847:W1848)</f>
        <v>12742985192.604099</v>
      </c>
      <c r="X1846" s="132" t="s">
        <v>918</v>
      </c>
      <c r="Y1846" s="132" t="s">
        <v>663</v>
      </c>
      <c r="Z1846" s="132" t="s">
        <v>664</v>
      </c>
      <c r="AA1846" s="135">
        <v>5529544307</v>
      </c>
      <c r="AB1846" s="454">
        <v>5551437090.9858561</v>
      </c>
      <c r="AC1846" s="599"/>
      <c r="AD1846" s="599"/>
      <c r="AE1846" s="599"/>
      <c r="AF1846" s="600">
        <f>AA1846/W1846</f>
        <v>0.43392848876645418</v>
      </c>
      <c r="AG1846" s="132" t="s">
        <v>919</v>
      </c>
      <c r="AH1846" s="140">
        <v>473.7</v>
      </c>
      <c r="AI1846" s="132" t="s">
        <v>2166</v>
      </c>
      <c r="AJ1846" s="135" t="s">
        <v>2172</v>
      </c>
      <c r="AK1846" s="132" t="s">
        <v>2173</v>
      </c>
      <c r="AL1846" s="132"/>
      <c r="AM1846" s="135"/>
      <c r="AN1846" s="132">
        <v>17</v>
      </c>
      <c r="AO1846" s="132" t="s">
        <v>2174</v>
      </c>
      <c r="AP1846" s="132">
        <v>17</v>
      </c>
      <c r="AQ1846" s="132" t="s">
        <v>323</v>
      </c>
      <c r="AR1846" s="141">
        <v>41960</v>
      </c>
      <c r="AS1846" s="132" t="s">
        <v>838</v>
      </c>
      <c r="AT1846" s="142" t="s">
        <v>482</v>
      </c>
      <c r="AU1846" s="636" t="s">
        <v>2175</v>
      </c>
      <c r="AV1846" s="143" t="s">
        <v>2176</v>
      </c>
      <c r="AW1846" s="117">
        <f>VLOOKUP($D1846,'WB Data'!$C$3:$M$578,2,FALSE)</f>
        <v>14425606793.365059</v>
      </c>
      <c r="AX1846" s="117">
        <f>VLOOKUP($D1846,'WB Data'!$C$3:$M$578,3,FALSE)</f>
        <v>4225359</v>
      </c>
      <c r="AY1846" s="847">
        <f t="shared" si="312"/>
        <v>0.38331450359116048</v>
      </c>
      <c r="AZ1846" s="117" t="e">
        <f>VLOOKUP($D1846,'WB Data'!$C$3:$M$578,4,FALSE)/100</f>
        <v>#VALUE!</v>
      </c>
      <c r="BA1846" s="117" t="str">
        <f t="shared" si="313"/>
        <v>..</v>
      </c>
      <c r="BB1846" s="129">
        <f>IFERROR(VLOOKUP($D1846,'EITI Revenues'!$C$2:$G$224,5,FALSE),"..")</f>
        <v>5529544307</v>
      </c>
      <c r="BC1846" s="846" t="str">
        <f t="shared" si="314"/>
        <v>..</v>
      </c>
      <c r="BD1846" s="129" t="e">
        <f>VLOOKUP($D1846,'WB Data 2'!$C$2:$K$545,6,FALSE)</f>
        <v>#N/A</v>
      </c>
      <c r="BE1846" s="129">
        <f>IFERROR(VLOOKUP($D1846,UNCTAD!$C$5:$V$529,4,FALSE),"..")</f>
        <v>12052998096.91</v>
      </c>
      <c r="BF1846" s="846" t="str">
        <f t="shared" si="315"/>
        <v>..</v>
      </c>
      <c r="BG1846" s="117">
        <f>VLOOKUP($D1846,'WB Data'!$C$3:$M$578,5,FALSE)</f>
        <v>259790000.00000003</v>
      </c>
      <c r="BH1846" s="129">
        <f>IFERROR($BB1846/$BG1846,"..")</f>
        <v>21.284669567727779</v>
      </c>
      <c r="BI1846" s="117" t="str">
        <f>IFERROR(VLOOKUP($D1846,'WB Data'!$C$3:$M$578,7,FALSE)/100,"..")</f>
        <v>..</v>
      </c>
      <c r="BJ1846" s="117" t="str">
        <f>IFERROR($BI1846*$AW1846,"..")</f>
        <v>..</v>
      </c>
      <c r="BK1846" s="846" t="str">
        <f>IFERROR($BB1846/$BJ1846,"..")</f>
        <v>..</v>
      </c>
      <c r="BL1846" s="117" t="str">
        <f>IFERROR(VLOOKUP($D1846,'WB Data'!$C$3:$M$578,7,FALSE)/100,"..")</f>
        <v>..</v>
      </c>
      <c r="BM1846" s="117" t="str">
        <f>IFERROR($AW1846*$BL1846,"..")</f>
        <v>..</v>
      </c>
      <c r="BN1846" s="846" t="str">
        <f>IFERROR($BB1846/$BM1846,"..")</f>
        <v>..</v>
      </c>
      <c r="BO1846" s="801" t="str">
        <f t="shared" si="311"/>
        <v>..</v>
      </c>
      <c r="BP1846" s="117">
        <f>VLOOKUP($D1846,'WB Data'!$C$3:$M$578,9,FALSE)</f>
        <v>46.5</v>
      </c>
      <c r="BQ1846" s="117">
        <f>VLOOKUP($D1846,'WB Data'!$C$3:$M$578,10,FALSE)</f>
        <v>57.775219512195129</v>
      </c>
      <c r="BR1846" s="117">
        <f>VLOOKUP($D1846,'WB Data'!$C$3:$M$578,11,FALSE)</f>
        <v>39.4</v>
      </c>
      <c r="BS1846" s="129" t="str">
        <f>IFERROR(VLOOKUP($D1846,'WB Data 2'!$C$2:$K$545,9,FALSE),"..")</f>
        <v>..</v>
      </c>
      <c r="BT1846" s="129" t="str">
        <f>_xlfn.IFNA(VLOOKUP($C1846,RGI!$A$2:$C$43,2,FALSE),"..")</f>
        <v>..</v>
      </c>
      <c r="BU1846" s="129" t="str">
        <f>_xlfn.IFNA(VLOOKUP($C1846,RGI!$A$2:$C$43,3,FALSE),"..")</f>
        <v>..</v>
      </c>
      <c r="BV1846" s="129">
        <f>VLOOKUP($D1846,WGI!$C$2:$O$478,7,FALSE)</f>
        <v>-1.1115959611163999</v>
      </c>
      <c r="BW1846" s="129">
        <f>VLOOKUP($D1846,WGI!$C$2:$O$478,4,FALSE)</f>
        <v>-0.36229556506272098</v>
      </c>
      <c r="BX1846" s="129">
        <f>VLOOKUP($D1846,WGI!$C$2:$O$478,3,FALSE)</f>
        <v>-1.1967315038065001</v>
      </c>
      <c r="BY1846" s="129">
        <f>VLOOKUP($D1846,WGI!$C$2:$O$478,5,FALSE)</f>
        <v>-1.25942308549802</v>
      </c>
      <c r="BZ1846" s="129">
        <f>VLOOKUP($D1846,WGI!$C$2:$O$478,2,FALSE)</f>
        <v>-1.0777492176586001</v>
      </c>
      <c r="CB1846" s="129"/>
    </row>
    <row r="1847" spans="1:80" s="120" customFormat="1" ht="15" customHeight="1">
      <c r="A1847" s="294" t="s">
        <v>481</v>
      </c>
      <c r="B1847" s="214">
        <v>2011</v>
      </c>
      <c r="C1847" s="809" t="s">
        <v>465</v>
      </c>
      <c r="D1847" s="117" t="s">
        <v>3693</v>
      </c>
      <c r="E1847" s="452" t="s">
        <v>86</v>
      </c>
      <c r="F1847" s="117"/>
      <c r="G1847" s="117" t="s">
        <v>561</v>
      </c>
      <c r="H1847" s="117" t="str">
        <f t="shared" si="318"/>
        <v>no</v>
      </c>
      <c r="I1847" s="117" t="str">
        <f t="shared" si="308"/>
        <v>yes</v>
      </c>
      <c r="J1847" s="117" t="str">
        <f t="shared" si="309"/>
        <v>no</v>
      </c>
      <c r="K1847" s="117" t="s">
        <v>561</v>
      </c>
      <c r="L1847" s="117" t="str">
        <f t="shared" si="319"/>
        <v>detailed</v>
      </c>
      <c r="M1847" s="117" t="str">
        <f t="shared" si="310"/>
        <v>detailed Gas</v>
      </c>
      <c r="N1847" s="179">
        <f>334000000000*0.0283168</f>
        <v>9457811200</v>
      </c>
      <c r="O1847" s="118">
        <f>N1847*0.0066</f>
        <v>62421553.920000002</v>
      </c>
      <c r="P1847" s="179"/>
      <c r="Q1847" s="179"/>
      <c r="R1847" s="179"/>
      <c r="S1847" s="117" t="s">
        <v>642</v>
      </c>
      <c r="T1847" s="119">
        <v>0.19666043794616025</v>
      </c>
      <c r="U1847" s="117" t="s">
        <v>643</v>
      </c>
      <c r="V1847" s="117" t="s">
        <v>880</v>
      </c>
      <c r="W1847" s="89">
        <f>N1847*T1847</f>
        <v>1859977292.6040995</v>
      </c>
      <c r="X1847" s="117"/>
      <c r="Y1847" s="117"/>
      <c r="Z1847" s="117"/>
      <c r="AA1847" s="177"/>
      <c r="AB1847" s="177"/>
      <c r="AC1847" s="122"/>
      <c r="AD1847" s="122"/>
      <c r="AE1847" s="122"/>
      <c r="AF1847" s="123"/>
      <c r="AG1847" s="117"/>
      <c r="AH1847" s="124"/>
      <c r="AI1847" s="117"/>
      <c r="AJ1847" s="89"/>
      <c r="AK1847" s="89"/>
      <c r="AL1847" s="117"/>
      <c r="AM1847" s="89"/>
      <c r="AN1847" s="117"/>
      <c r="AO1847" s="117"/>
      <c r="AP1847" s="117"/>
      <c r="AQ1847" s="117"/>
      <c r="AR1847" s="126"/>
      <c r="AS1847" s="117"/>
      <c r="AT1847" s="117"/>
      <c r="AU1847" s="117"/>
      <c r="AV1847" s="128"/>
      <c r="AW1847" s="117">
        <f>VLOOKUP($D1847,'WB Data'!$C$3:$M$578,2,FALSE)</f>
        <v>14425606793.365059</v>
      </c>
      <c r="AX1847" s="117">
        <f>VLOOKUP($D1847,'WB Data'!$C$3:$M$578,3,FALSE)</f>
        <v>4225359</v>
      </c>
      <c r="AY1847" s="847">
        <f t="shared" si="312"/>
        <v>0.38331450359116048</v>
      </c>
      <c r="AZ1847" s="117" t="e">
        <f>VLOOKUP($D1847,'WB Data'!$C$3:$M$578,4,FALSE)/100</f>
        <v>#VALUE!</v>
      </c>
      <c r="BA1847" s="117" t="str">
        <f t="shared" si="313"/>
        <v>..</v>
      </c>
      <c r="BB1847" s="129">
        <f>IFERROR(VLOOKUP($D1847,'EITI Revenues'!$C$2:$G$224,5,FALSE),"..")</f>
        <v>5529544307</v>
      </c>
      <c r="BC1847" s="846" t="str">
        <f t="shared" si="314"/>
        <v>..</v>
      </c>
      <c r="BD1847" s="129" t="e">
        <f>VLOOKUP($D1847,'WB Data 2'!$C$2:$K$545,6,FALSE)</f>
        <v>#N/A</v>
      </c>
      <c r="BE1847" s="129">
        <f>IFERROR(VLOOKUP($D1847,UNCTAD!$C$5:$V$529,4,FALSE),"..")</f>
        <v>12052998096.91</v>
      </c>
      <c r="BF1847" s="846" t="str">
        <f t="shared" si="315"/>
        <v>..</v>
      </c>
      <c r="BG1847" s="117">
        <f>VLOOKUP($D1847,'WB Data'!$C$3:$M$578,5,FALSE)</f>
        <v>259790000.00000003</v>
      </c>
      <c r="BH1847" s="129">
        <f>IFERROR($BB1847/$BG1847,"..")</f>
        <v>21.284669567727779</v>
      </c>
      <c r="BI1847" s="117" t="str">
        <f>IFERROR(VLOOKUP($D1847,'WB Data'!$C$3:$M$578,7,FALSE)/100,"..")</f>
        <v>..</v>
      </c>
      <c r="BJ1847" s="117" t="str">
        <f>IFERROR($BI1847*$AW1847,"..")</f>
        <v>..</v>
      </c>
      <c r="BK1847" s="846" t="str">
        <f>IFERROR($BB1847/$BJ1847,"..")</f>
        <v>..</v>
      </c>
      <c r="BL1847" s="117" t="str">
        <f>IFERROR(VLOOKUP($D1847,'WB Data'!$C$3:$M$578,7,FALSE)/100,"..")</f>
        <v>..</v>
      </c>
      <c r="BM1847" s="117" t="str">
        <f>IFERROR($AW1847*$BL1847,"..")</f>
        <v>..</v>
      </c>
      <c r="BN1847" s="846" t="str">
        <f>IFERROR($BB1847/$BM1847,"..")</f>
        <v>..</v>
      </c>
      <c r="BO1847" s="801" t="str">
        <f t="shared" si="311"/>
        <v>..</v>
      </c>
      <c r="BP1847" s="117">
        <f>VLOOKUP($D1847,'WB Data'!$C$3:$M$578,9,FALSE)</f>
        <v>46.5</v>
      </c>
      <c r="BQ1847" s="117">
        <f>VLOOKUP($D1847,'WB Data'!$C$3:$M$578,10,FALSE)</f>
        <v>57.775219512195129</v>
      </c>
      <c r="BR1847" s="117">
        <f>VLOOKUP($D1847,'WB Data'!$C$3:$M$578,11,FALSE)</f>
        <v>39.4</v>
      </c>
      <c r="BS1847" s="129" t="str">
        <f>IFERROR(VLOOKUP($D1847,'WB Data 2'!$C$2:$K$545,9,FALSE),"..")</f>
        <v>..</v>
      </c>
      <c r="BT1847" s="129" t="str">
        <f>_xlfn.IFNA(VLOOKUP($C1847,RGI!$A$2:$C$43,2,FALSE),"..")</f>
        <v>..</v>
      </c>
      <c r="BU1847" s="129" t="str">
        <f>_xlfn.IFNA(VLOOKUP($C1847,RGI!$A$2:$C$43,3,FALSE),"..")</f>
        <v>..</v>
      </c>
      <c r="BV1847" s="129">
        <f>VLOOKUP($D1847,WGI!$C$2:$O$478,7,FALSE)</f>
        <v>-1.1115959611163999</v>
      </c>
      <c r="BW1847" s="129">
        <f>VLOOKUP($D1847,WGI!$C$2:$O$478,4,FALSE)</f>
        <v>-0.36229556506272098</v>
      </c>
      <c r="BX1847" s="129">
        <f>VLOOKUP($D1847,WGI!$C$2:$O$478,3,FALSE)</f>
        <v>-1.1967315038065001</v>
      </c>
      <c r="BY1847" s="129">
        <f>VLOOKUP($D1847,WGI!$C$2:$O$478,5,FALSE)</f>
        <v>-1.25942308549802</v>
      </c>
      <c r="BZ1847" s="129">
        <f>VLOOKUP($D1847,WGI!$C$2:$O$478,2,FALSE)</f>
        <v>-1.0777492176586001</v>
      </c>
      <c r="CB1847" s="129"/>
    </row>
    <row r="1848" spans="1:80" s="120" customFormat="1" ht="15" customHeight="1">
      <c r="A1848" s="294" t="s">
        <v>481</v>
      </c>
      <c r="B1848" s="214">
        <v>2011</v>
      </c>
      <c r="C1848" s="809" t="s">
        <v>465</v>
      </c>
      <c r="D1848" s="117" t="s">
        <v>3693</v>
      </c>
      <c r="E1848" s="452" t="s">
        <v>86</v>
      </c>
      <c r="F1848" s="117"/>
      <c r="G1848" s="117" t="s">
        <v>103</v>
      </c>
      <c r="H1848" s="117" t="str">
        <f t="shared" si="318"/>
        <v>no</v>
      </c>
      <c r="I1848" s="117" t="str">
        <f t="shared" si="308"/>
        <v>no</v>
      </c>
      <c r="J1848" s="117" t="str">
        <f t="shared" si="309"/>
        <v>yes</v>
      </c>
      <c r="K1848" s="117" t="s">
        <v>103</v>
      </c>
      <c r="L1848" s="117" t="str">
        <f t="shared" si="319"/>
        <v>detailed</v>
      </c>
      <c r="M1848" s="117" t="str">
        <f t="shared" si="310"/>
        <v>detailed Oil</v>
      </c>
      <c r="N1848" s="179">
        <v>110230000</v>
      </c>
      <c r="O1848" s="211">
        <f>O1847/N1848</f>
        <v>0.56628462233511745</v>
      </c>
      <c r="P1848" s="179"/>
      <c r="Q1848" s="179"/>
      <c r="R1848" s="179"/>
      <c r="S1848" s="117" t="s">
        <v>646</v>
      </c>
      <c r="T1848" s="119">
        <v>98.73</v>
      </c>
      <c r="U1848" s="117" t="s">
        <v>673</v>
      </c>
      <c r="V1848" s="117" t="s">
        <v>2171</v>
      </c>
      <c r="W1848" s="89">
        <f>N1848*T1848</f>
        <v>10883007900</v>
      </c>
      <c r="X1848" s="117"/>
      <c r="Y1848" s="117"/>
      <c r="Z1848" s="117"/>
      <c r="AA1848" s="177"/>
      <c r="AB1848" s="177"/>
      <c r="AC1848" s="122"/>
      <c r="AD1848" s="122"/>
      <c r="AE1848" s="122"/>
      <c r="AF1848" s="123"/>
      <c r="AG1848" s="117"/>
      <c r="AH1848" s="124"/>
      <c r="AI1848" s="117"/>
      <c r="AJ1848" s="89" t="s">
        <v>2172</v>
      </c>
      <c r="AK1848" s="117" t="s">
        <v>2173</v>
      </c>
      <c r="AL1848" s="117"/>
      <c r="AM1848" s="89"/>
      <c r="AN1848" s="117"/>
      <c r="AO1848" s="117"/>
      <c r="AP1848" s="117"/>
      <c r="AQ1848" s="117"/>
      <c r="AR1848" s="126"/>
      <c r="AS1848" s="117"/>
      <c r="AT1848" s="117"/>
      <c r="AU1848" s="117"/>
      <c r="AV1848" s="128"/>
      <c r="AW1848" s="117">
        <f>VLOOKUP($D1848,'WB Data'!$C$3:$M$578,2,FALSE)</f>
        <v>14425606793.365059</v>
      </c>
      <c r="AX1848" s="117">
        <f>VLOOKUP($D1848,'WB Data'!$C$3:$M$578,3,FALSE)</f>
        <v>4225359</v>
      </c>
      <c r="AY1848" s="847">
        <f t="shared" si="312"/>
        <v>0.38331450359116048</v>
      </c>
      <c r="AZ1848" s="117" t="e">
        <f>VLOOKUP($D1848,'WB Data'!$C$3:$M$578,4,FALSE)/100</f>
        <v>#VALUE!</v>
      </c>
      <c r="BA1848" s="117" t="str">
        <f t="shared" si="313"/>
        <v>..</v>
      </c>
      <c r="BB1848" s="129">
        <f>IFERROR(VLOOKUP($D1848,'EITI Revenues'!$C$2:$G$224,5,FALSE),"..")</f>
        <v>5529544307</v>
      </c>
      <c r="BC1848" s="846" t="str">
        <f t="shared" si="314"/>
        <v>..</v>
      </c>
      <c r="BD1848" s="129" t="e">
        <f>VLOOKUP($D1848,'WB Data 2'!$C$2:$K$545,6,FALSE)</f>
        <v>#N/A</v>
      </c>
      <c r="BE1848" s="129">
        <f>IFERROR(VLOOKUP($D1848,UNCTAD!$C$5:$V$529,4,FALSE),"..")</f>
        <v>12052998096.91</v>
      </c>
      <c r="BF1848" s="846" t="str">
        <f t="shared" si="315"/>
        <v>..</v>
      </c>
      <c r="BG1848" s="117">
        <f>VLOOKUP($D1848,'WB Data'!$C$3:$M$578,5,FALSE)</f>
        <v>259790000.00000003</v>
      </c>
      <c r="BH1848" s="129">
        <f>IFERROR($BB1848/$BG1848,"..")</f>
        <v>21.284669567727779</v>
      </c>
      <c r="BI1848" s="117" t="str">
        <f>IFERROR(VLOOKUP($D1848,'WB Data'!$C$3:$M$578,7,FALSE)/100,"..")</f>
        <v>..</v>
      </c>
      <c r="BJ1848" s="117" t="str">
        <f>IFERROR($BI1848*$AW1848,"..")</f>
        <v>..</v>
      </c>
      <c r="BK1848" s="846" t="str">
        <f>IFERROR($BB1848/$BJ1848,"..")</f>
        <v>..</v>
      </c>
      <c r="BL1848" s="117" t="str">
        <f>IFERROR(VLOOKUP($D1848,'WB Data'!$C$3:$M$578,7,FALSE)/100,"..")</f>
        <v>..</v>
      </c>
      <c r="BM1848" s="117" t="str">
        <f>IFERROR($AW1848*$BL1848,"..")</f>
        <v>..</v>
      </c>
      <c r="BN1848" s="846" t="str">
        <f>IFERROR($BB1848/$BM1848,"..")</f>
        <v>..</v>
      </c>
      <c r="BO1848" s="801" t="str">
        <f t="shared" si="311"/>
        <v>..</v>
      </c>
      <c r="BP1848" s="117">
        <f>VLOOKUP($D1848,'WB Data'!$C$3:$M$578,9,FALSE)</f>
        <v>46.5</v>
      </c>
      <c r="BQ1848" s="117">
        <f>VLOOKUP($D1848,'WB Data'!$C$3:$M$578,10,FALSE)</f>
        <v>57.775219512195129</v>
      </c>
      <c r="BR1848" s="117">
        <f>VLOOKUP($D1848,'WB Data'!$C$3:$M$578,11,FALSE)</f>
        <v>39.4</v>
      </c>
      <c r="BS1848" s="129" t="str">
        <f>IFERROR(VLOOKUP($D1848,'WB Data 2'!$C$2:$K$545,9,FALSE),"..")</f>
        <v>..</v>
      </c>
      <c r="BT1848" s="129" t="str">
        <f>_xlfn.IFNA(VLOOKUP($C1848,RGI!$A$2:$C$43,2,FALSE),"..")</f>
        <v>..</v>
      </c>
      <c r="BU1848" s="129" t="str">
        <f>_xlfn.IFNA(VLOOKUP($C1848,RGI!$A$2:$C$43,3,FALSE),"..")</f>
        <v>..</v>
      </c>
      <c r="BV1848" s="129">
        <f>VLOOKUP($D1848,WGI!$C$2:$O$478,7,FALSE)</f>
        <v>-1.1115959611163999</v>
      </c>
      <c r="BW1848" s="129">
        <f>VLOOKUP($D1848,WGI!$C$2:$O$478,4,FALSE)</f>
        <v>-0.36229556506272098</v>
      </c>
      <c r="BX1848" s="129">
        <f>VLOOKUP($D1848,WGI!$C$2:$O$478,3,FALSE)</f>
        <v>-1.1967315038065001</v>
      </c>
      <c r="BY1848" s="129">
        <f>VLOOKUP($D1848,WGI!$C$2:$O$478,5,FALSE)</f>
        <v>-1.25942308549802</v>
      </c>
      <c r="BZ1848" s="129">
        <f>VLOOKUP($D1848,WGI!$C$2:$O$478,2,FALSE)</f>
        <v>-1.0777492176586001</v>
      </c>
      <c r="CB1848" s="129"/>
    </row>
    <row r="1849" spans="1:80" s="144" customFormat="1" ht="15" customHeight="1">
      <c r="A1849" s="296" t="s">
        <v>483</v>
      </c>
      <c r="B1849" s="228">
        <v>2012</v>
      </c>
      <c r="C1849" s="808" t="s">
        <v>465</v>
      </c>
      <c r="D1849" s="117" t="s">
        <v>3727</v>
      </c>
      <c r="E1849" s="450" t="s">
        <v>86</v>
      </c>
      <c r="F1849" s="132" t="s">
        <v>2164</v>
      </c>
      <c r="G1849" s="132" t="s">
        <v>35</v>
      </c>
      <c r="H1849" s="117" t="str">
        <f t="shared" si="318"/>
        <v>yes</v>
      </c>
      <c r="I1849" s="117" t="str">
        <f t="shared" si="308"/>
        <v>yes</v>
      </c>
      <c r="J1849" s="117" t="str">
        <f t="shared" si="309"/>
        <v>yes</v>
      </c>
      <c r="K1849" s="132" t="s">
        <v>709</v>
      </c>
      <c r="L1849" s="117" t="str">
        <f t="shared" si="319"/>
        <v>Total</v>
      </c>
      <c r="M1849" s="117" t="str">
        <f t="shared" si="310"/>
        <v>Total Oil, Gas, Mining</v>
      </c>
      <c r="N1849" s="238"/>
      <c r="O1849" s="238"/>
      <c r="P1849" s="238"/>
      <c r="Q1849" s="238"/>
      <c r="R1849" s="238"/>
      <c r="S1849" s="132"/>
      <c r="T1849" s="134"/>
      <c r="U1849" s="132"/>
      <c r="V1849" s="132"/>
      <c r="W1849" s="135">
        <f>W1850+W1853</f>
        <v>12526814546.70013</v>
      </c>
      <c r="X1849" s="132" t="s">
        <v>865</v>
      </c>
      <c r="Y1849" s="132" t="s">
        <v>663</v>
      </c>
      <c r="Z1849" s="132" t="s">
        <v>664</v>
      </c>
      <c r="AA1849" s="611">
        <v>3185676000</v>
      </c>
      <c r="AB1849" s="611">
        <v>3210830000</v>
      </c>
      <c r="AC1849" s="599"/>
      <c r="AD1849" s="599"/>
      <c r="AE1849" s="599"/>
      <c r="AF1849" s="600">
        <f>AA1849/W1849</f>
        <v>0.25430854652823009</v>
      </c>
      <c r="AG1849" s="132" t="s">
        <v>2177</v>
      </c>
      <c r="AH1849" s="182">
        <v>510.53</v>
      </c>
      <c r="AI1849" s="132" t="s">
        <v>2166</v>
      </c>
      <c r="AJ1849" s="135" t="s">
        <v>2178</v>
      </c>
      <c r="AK1849" s="135" t="s">
        <v>2179</v>
      </c>
      <c r="AL1849" s="132"/>
      <c r="AM1849" s="135"/>
      <c r="AN1849" s="132">
        <v>24</v>
      </c>
      <c r="AO1849" s="132" t="s">
        <v>2180</v>
      </c>
      <c r="AP1849" s="132">
        <v>21</v>
      </c>
      <c r="AQ1849" s="132" t="s">
        <v>95</v>
      </c>
      <c r="AR1849" s="141">
        <v>41961</v>
      </c>
      <c r="AS1849" s="132" t="s">
        <v>670</v>
      </c>
      <c r="AT1849" s="142" t="s">
        <v>484</v>
      </c>
      <c r="AU1849" s="132" t="s">
        <v>2181</v>
      </c>
      <c r="AV1849" s="143" t="s">
        <v>2182</v>
      </c>
      <c r="AW1849" s="117">
        <f>VLOOKUP($D1849,'WB Data'!$C$3:$M$578,2,FALSE)</f>
        <v>13677929161.714231</v>
      </c>
      <c r="AX1849" s="117">
        <f>VLOOKUP($D1849,'WB Data'!$C$3:$M$578,3,FALSE)</f>
        <v>4337051</v>
      </c>
      <c r="AY1849" s="847">
        <f t="shared" si="312"/>
        <v>0.23290630930572423</v>
      </c>
      <c r="AZ1849" s="117" t="e">
        <f>VLOOKUP($D1849,'WB Data'!$C$3:$M$578,4,FALSE)/100</f>
        <v>#VALUE!</v>
      </c>
      <c r="BA1849" s="117" t="str">
        <f t="shared" si="313"/>
        <v>..</v>
      </c>
      <c r="BB1849" s="129">
        <f>IFERROR(VLOOKUP($D1849,'EITI Revenues'!$C$2:$G$224,5,FALSE),"..")</f>
        <v>3185676000</v>
      </c>
      <c r="BC1849" s="846" t="str">
        <f t="shared" si="314"/>
        <v>..</v>
      </c>
      <c r="BD1849" s="129" t="e">
        <f>VLOOKUP($D1849,'WB Data 2'!$C$2:$K$545,6,FALSE)</f>
        <v>#N/A</v>
      </c>
      <c r="BE1849" s="129">
        <f>IFERROR(VLOOKUP($D1849,UNCTAD!$C$5:$V$529,4,FALSE),"..")</f>
        <v>11042902725.99</v>
      </c>
      <c r="BF1849" s="846" t="str">
        <f t="shared" si="315"/>
        <v>..</v>
      </c>
      <c r="BG1849" s="117">
        <f>VLOOKUP($D1849,'WB Data'!$C$3:$M$578,5,FALSE)</f>
        <v>138600000</v>
      </c>
      <c r="BH1849" s="129">
        <f>IFERROR($BB1849/$BG1849,"..")</f>
        <v>22.984675324675326</v>
      </c>
      <c r="BI1849" s="117" t="str">
        <f>IFERROR(VLOOKUP($D1849,'WB Data'!$C$3:$M$578,7,FALSE)/100,"..")</f>
        <v>..</v>
      </c>
      <c r="BJ1849" s="117" t="str">
        <f>IFERROR($BI1849*$AW1849,"..")</f>
        <v>..</v>
      </c>
      <c r="BK1849" s="846" t="str">
        <f>IFERROR($BB1849/$BJ1849,"..")</f>
        <v>..</v>
      </c>
      <c r="BL1849" s="117" t="str">
        <f>IFERROR(VLOOKUP($D1849,'WB Data'!$C$3:$M$578,7,FALSE)/100,"..")</f>
        <v>..</v>
      </c>
      <c r="BM1849" s="117" t="str">
        <f>IFERROR($AW1849*$BL1849,"..")</f>
        <v>..</v>
      </c>
      <c r="BN1849" s="846" t="str">
        <f>IFERROR($BB1849/$BM1849,"..")</f>
        <v>..</v>
      </c>
      <c r="BO1849" s="801" t="str">
        <f t="shared" si="311"/>
        <v>..</v>
      </c>
      <c r="BP1849" s="117" t="str">
        <f>VLOOKUP($D1849,'WB Data'!$C$3:$M$578,9,FALSE)</f>
        <v>..</v>
      </c>
      <c r="BQ1849" s="117">
        <f>VLOOKUP($D1849,'WB Data'!$C$3:$M$578,10,FALSE)</f>
        <v>58.296560975609758</v>
      </c>
      <c r="BR1849" s="117">
        <f>VLOOKUP($D1849,'WB Data'!$C$3:$M$578,11,FALSE)</f>
        <v>37.299999999999997</v>
      </c>
      <c r="BS1849" s="129" t="str">
        <f>IFERROR(VLOOKUP($D1849,'WB Data 2'!$C$2:$K$545,9,FALSE),"..")</f>
        <v>..</v>
      </c>
      <c r="BT1849" s="129" t="str">
        <f>_xlfn.IFNA(VLOOKUP($C1849,RGI!$A$2:$C$43,2,FALSE),"..")</f>
        <v>..</v>
      </c>
      <c r="BU1849" s="129" t="str">
        <f>_xlfn.IFNA(VLOOKUP($C1849,RGI!$A$2:$C$43,3,FALSE),"..")</f>
        <v>..</v>
      </c>
      <c r="BV1849" s="129">
        <f>VLOOKUP($D1849,WGI!$C$2:$O$478,7,FALSE)</f>
        <v>-1.1557730958198</v>
      </c>
      <c r="BW1849" s="129">
        <f>VLOOKUP($D1849,WGI!$C$2:$O$478,4,FALSE)</f>
        <v>-0.47834038681802699</v>
      </c>
      <c r="BX1849" s="129">
        <f>VLOOKUP($D1849,WGI!$C$2:$O$478,3,FALSE)</f>
        <v>-1.2017292175155401</v>
      </c>
      <c r="BY1849" s="129">
        <f>VLOOKUP($D1849,WGI!$C$2:$O$478,5,FALSE)</f>
        <v>-1.37830012516968</v>
      </c>
      <c r="BZ1849" s="129">
        <f>VLOOKUP($D1849,WGI!$C$2:$O$478,2,FALSE)</f>
        <v>-1.1913743032773401</v>
      </c>
      <c r="CB1849" s="129"/>
    </row>
    <row r="1850" spans="1:80" ht="15" customHeight="1">
      <c r="A1850" s="294" t="s">
        <v>483</v>
      </c>
      <c r="B1850" s="214">
        <v>2012</v>
      </c>
      <c r="C1850" s="809" t="s">
        <v>465</v>
      </c>
      <c r="D1850" s="117" t="s">
        <v>3727</v>
      </c>
      <c r="E1850" s="452" t="s">
        <v>86</v>
      </c>
      <c r="F1850" s="117"/>
      <c r="G1850" s="117" t="s">
        <v>55</v>
      </c>
      <c r="H1850" s="117" t="str">
        <f t="shared" si="318"/>
        <v>no</v>
      </c>
      <c r="I1850" s="117" t="str">
        <f t="shared" si="308"/>
        <v>yes</v>
      </c>
      <c r="J1850" s="117" t="str">
        <f t="shared" si="309"/>
        <v>yes</v>
      </c>
      <c r="K1850" s="117" t="s">
        <v>640</v>
      </c>
      <c r="L1850" s="117" t="str">
        <f t="shared" si="319"/>
        <v>Total</v>
      </c>
      <c r="M1850" s="117" t="str">
        <f t="shared" si="310"/>
        <v>Total Oil, Gas</v>
      </c>
      <c r="N1850" s="179"/>
      <c r="O1850" s="179"/>
      <c r="P1850" s="179"/>
      <c r="Q1850" s="179"/>
      <c r="R1850" s="179"/>
      <c r="S1850" s="117"/>
      <c r="T1850" s="119"/>
      <c r="U1850" s="117"/>
      <c r="V1850" s="117"/>
      <c r="W1850" s="89">
        <f>SUM(W1851:W1852)</f>
        <v>12501521631.413208</v>
      </c>
      <c r="X1850" s="117"/>
      <c r="Y1850" s="117"/>
      <c r="Z1850" s="117"/>
      <c r="AA1850" s="89">
        <v>3182873000</v>
      </c>
      <c r="AB1850" s="89">
        <v>3210427000</v>
      </c>
      <c r="AC1850" s="240"/>
      <c r="AD1850" s="240"/>
      <c r="AE1850" s="240"/>
      <c r="AF1850" s="241">
        <f>AA1850/W1850</f>
        <v>0.2545988475516639</v>
      </c>
      <c r="AG1850" s="117"/>
      <c r="AH1850" s="124"/>
      <c r="AI1850" s="117"/>
      <c r="AJ1850" s="89"/>
      <c r="AK1850" s="89"/>
      <c r="AL1850" s="117"/>
      <c r="AM1850" s="89"/>
      <c r="AN1850" s="117"/>
      <c r="AO1850" s="117"/>
      <c r="AP1850" s="117"/>
      <c r="AQ1850" s="117"/>
      <c r="AR1850" s="126"/>
      <c r="AS1850" s="117"/>
      <c r="AT1850" s="117"/>
      <c r="AU1850" s="117"/>
      <c r="AV1850" s="128"/>
      <c r="AW1850" s="117">
        <f>VLOOKUP($D1850,'WB Data'!$C$3:$M$578,2,FALSE)</f>
        <v>13677929161.714231</v>
      </c>
      <c r="AX1850" s="117">
        <f>VLOOKUP($D1850,'WB Data'!$C$3:$M$578,3,FALSE)</f>
        <v>4337051</v>
      </c>
      <c r="AY1850" s="847">
        <f t="shared" si="312"/>
        <v>0.23290630930572423</v>
      </c>
      <c r="AZ1850" s="117" t="e">
        <f>VLOOKUP($D1850,'WB Data'!$C$3:$M$578,4,FALSE)/100</f>
        <v>#VALUE!</v>
      </c>
      <c r="BA1850" s="117" t="str">
        <f t="shared" si="313"/>
        <v>..</v>
      </c>
      <c r="BB1850" s="129">
        <f>IFERROR(VLOOKUP($D1850,'EITI Revenues'!$C$2:$G$224,5,FALSE),"..")</f>
        <v>3185676000</v>
      </c>
      <c r="BC1850" s="846" t="str">
        <f t="shared" si="314"/>
        <v>..</v>
      </c>
      <c r="BD1850" s="129" t="e">
        <f>VLOOKUP($D1850,'WB Data 2'!$C$2:$K$545,6,FALSE)</f>
        <v>#N/A</v>
      </c>
      <c r="BE1850" s="129">
        <f>IFERROR(VLOOKUP($D1850,UNCTAD!$C$5:$V$529,4,FALSE),"..")</f>
        <v>11042902725.99</v>
      </c>
      <c r="BF1850" s="846" t="str">
        <f t="shared" si="315"/>
        <v>..</v>
      </c>
      <c r="BG1850" s="117">
        <f>VLOOKUP($D1850,'WB Data'!$C$3:$M$578,5,FALSE)</f>
        <v>138600000</v>
      </c>
      <c r="BH1850" s="129">
        <f>IFERROR($BB1850/$BG1850,"..")</f>
        <v>22.984675324675326</v>
      </c>
      <c r="BI1850" s="117" t="str">
        <f>IFERROR(VLOOKUP($D1850,'WB Data'!$C$3:$M$578,7,FALSE)/100,"..")</f>
        <v>..</v>
      </c>
      <c r="BJ1850" s="117" t="str">
        <f>IFERROR($BI1850*$AW1850,"..")</f>
        <v>..</v>
      </c>
      <c r="BK1850" s="846" t="str">
        <f>IFERROR($BB1850/$BJ1850,"..")</f>
        <v>..</v>
      </c>
      <c r="BL1850" s="117" t="str">
        <f>IFERROR(VLOOKUP($D1850,'WB Data'!$C$3:$M$578,7,FALSE)/100,"..")</f>
        <v>..</v>
      </c>
      <c r="BM1850" s="117" t="str">
        <f>IFERROR($AW1850*$BL1850,"..")</f>
        <v>..</v>
      </c>
      <c r="BN1850" s="846" t="str">
        <f>IFERROR($BB1850/$BM1850,"..")</f>
        <v>..</v>
      </c>
      <c r="BO1850" s="801" t="str">
        <f t="shared" si="311"/>
        <v>..</v>
      </c>
      <c r="BP1850" s="117" t="str">
        <f>VLOOKUP($D1850,'WB Data'!$C$3:$M$578,9,FALSE)</f>
        <v>..</v>
      </c>
      <c r="BQ1850" s="117">
        <f>VLOOKUP($D1850,'WB Data'!$C$3:$M$578,10,FALSE)</f>
        <v>58.296560975609758</v>
      </c>
      <c r="BR1850" s="117">
        <f>VLOOKUP($D1850,'WB Data'!$C$3:$M$578,11,FALSE)</f>
        <v>37.299999999999997</v>
      </c>
      <c r="BS1850" s="129" t="str">
        <f>IFERROR(VLOOKUP($D1850,'WB Data 2'!$C$2:$K$545,9,FALSE),"..")</f>
        <v>..</v>
      </c>
      <c r="BT1850" s="129" t="str">
        <f>_xlfn.IFNA(VLOOKUP($C1850,RGI!$A$2:$C$43,2,FALSE),"..")</f>
        <v>..</v>
      </c>
      <c r="BU1850" s="129" t="str">
        <f>_xlfn.IFNA(VLOOKUP($C1850,RGI!$A$2:$C$43,3,FALSE),"..")</f>
        <v>..</v>
      </c>
      <c r="BV1850" s="129">
        <f>VLOOKUP($D1850,WGI!$C$2:$O$478,7,FALSE)</f>
        <v>-1.1557730958198</v>
      </c>
      <c r="BW1850" s="129">
        <f>VLOOKUP($D1850,WGI!$C$2:$O$478,4,FALSE)</f>
        <v>-0.47834038681802699</v>
      </c>
      <c r="BX1850" s="129">
        <f>VLOOKUP($D1850,WGI!$C$2:$O$478,3,FALSE)</f>
        <v>-1.2017292175155401</v>
      </c>
      <c r="BY1850" s="129">
        <f>VLOOKUP($D1850,WGI!$C$2:$O$478,5,FALSE)</f>
        <v>-1.37830012516968</v>
      </c>
      <c r="BZ1850" s="129">
        <f>VLOOKUP($D1850,WGI!$C$2:$O$478,2,FALSE)</f>
        <v>-1.1913743032773401</v>
      </c>
    </row>
    <row r="1851" spans="1:80" ht="15" customHeight="1">
      <c r="A1851" s="294" t="s">
        <v>483</v>
      </c>
      <c r="B1851" s="214">
        <v>2012</v>
      </c>
      <c r="C1851" s="809" t="s">
        <v>465</v>
      </c>
      <c r="D1851" s="117" t="s">
        <v>3727</v>
      </c>
      <c r="E1851" s="452" t="s">
        <v>86</v>
      </c>
      <c r="F1851" s="117"/>
      <c r="G1851" s="117" t="s">
        <v>561</v>
      </c>
      <c r="H1851" s="117" t="str">
        <f t="shared" si="318"/>
        <v>no</v>
      </c>
      <c r="I1851" s="117" t="str">
        <f t="shared" ref="I1851:I1917" si="320">IF($G1851="Gas","yes",IF($G1851="Oil, Gas, Mining","yes",IF($G1851="Gas, Mining","yes",IF($G1851="Oil, Gas","yes",IF($G1851="Oil, Gas, Other","yes","no")))))</f>
        <v>yes</v>
      </c>
      <c r="J1851" s="117" t="str">
        <f t="shared" ref="J1851:J1917" si="321">IF($G1851="Oil","yes",IF($G1851="Oil, Gas, Mining","yes",IF($G1851="Oil, Mining","yes",IF($G1851="Oil, Gas","yes",IF($G1851="Oil, Gas, Other","yes","no")))))</f>
        <v>no</v>
      </c>
      <c r="K1851" s="117" t="s">
        <v>561</v>
      </c>
      <c r="L1851" s="117" t="str">
        <f t="shared" si="319"/>
        <v>detailed</v>
      </c>
      <c r="M1851" s="117" t="str">
        <f t="shared" ref="M1851:M1917" si="322">L1851&amp;" "&amp;G1851</f>
        <v>detailed Gas</v>
      </c>
      <c r="N1851" s="179">
        <f>335000000000*0.0283168</f>
        <v>9486128000</v>
      </c>
      <c r="O1851" s="118">
        <f>N1851*0.0066</f>
        <v>62608444.799999997</v>
      </c>
      <c r="P1851" s="179"/>
      <c r="Q1851" s="179"/>
      <c r="R1851" s="179"/>
      <c r="S1851" s="117" t="s">
        <v>642</v>
      </c>
      <c r="T1851" s="119">
        <v>0.17241089108361263</v>
      </c>
      <c r="U1851" s="117" t="s">
        <v>643</v>
      </c>
      <c r="V1851" s="117" t="s">
        <v>880</v>
      </c>
      <c r="W1851" s="89">
        <f>N1851*T1851</f>
        <v>1635511781.413208</v>
      </c>
      <c r="X1851" s="117"/>
      <c r="Y1851" s="117"/>
      <c r="Z1851" s="117"/>
      <c r="AA1851" s="177"/>
      <c r="AB1851" s="177"/>
      <c r="AC1851" s="122"/>
      <c r="AD1851" s="122"/>
      <c r="AE1851" s="122"/>
      <c r="AF1851" s="241"/>
      <c r="AG1851" s="117"/>
      <c r="AH1851" s="124"/>
      <c r="AI1851" s="117"/>
      <c r="AJ1851" s="89"/>
      <c r="AK1851" s="89"/>
      <c r="AL1851" s="117"/>
      <c r="AM1851" s="89"/>
      <c r="AN1851" s="117"/>
      <c r="AO1851" s="117"/>
      <c r="AP1851" s="117"/>
      <c r="AQ1851" s="117"/>
      <c r="AR1851" s="126"/>
      <c r="AS1851" s="117"/>
      <c r="AT1851" s="117"/>
      <c r="AU1851" s="117"/>
      <c r="AV1851" s="128"/>
      <c r="AW1851" s="117">
        <f>VLOOKUP($D1851,'WB Data'!$C$3:$M$578,2,FALSE)</f>
        <v>13677929161.714231</v>
      </c>
      <c r="AX1851" s="117">
        <f>VLOOKUP($D1851,'WB Data'!$C$3:$M$578,3,FALSE)</f>
        <v>4337051</v>
      </c>
      <c r="AY1851" s="847">
        <f t="shared" si="312"/>
        <v>0.23290630930572423</v>
      </c>
      <c r="AZ1851" s="117" t="e">
        <f>VLOOKUP($D1851,'WB Data'!$C$3:$M$578,4,FALSE)/100</f>
        <v>#VALUE!</v>
      </c>
      <c r="BA1851" s="117" t="str">
        <f t="shared" si="313"/>
        <v>..</v>
      </c>
      <c r="BB1851" s="129">
        <f>IFERROR(VLOOKUP($D1851,'EITI Revenues'!$C$2:$G$224,5,FALSE),"..")</f>
        <v>3185676000</v>
      </c>
      <c r="BC1851" s="846" t="str">
        <f t="shared" si="314"/>
        <v>..</v>
      </c>
      <c r="BD1851" s="129" t="e">
        <f>VLOOKUP($D1851,'WB Data 2'!$C$2:$K$545,6,FALSE)</f>
        <v>#N/A</v>
      </c>
      <c r="BE1851" s="129">
        <f>IFERROR(VLOOKUP($D1851,UNCTAD!$C$5:$V$529,4,FALSE),"..")</f>
        <v>11042902725.99</v>
      </c>
      <c r="BF1851" s="846" t="str">
        <f t="shared" si="315"/>
        <v>..</v>
      </c>
      <c r="BG1851" s="117">
        <f>VLOOKUP($D1851,'WB Data'!$C$3:$M$578,5,FALSE)</f>
        <v>138600000</v>
      </c>
      <c r="BH1851" s="129">
        <f>IFERROR($BB1851/$BG1851,"..")</f>
        <v>22.984675324675326</v>
      </c>
      <c r="BI1851" s="117" t="str">
        <f>IFERROR(VLOOKUP($D1851,'WB Data'!$C$3:$M$578,7,FALSE)/100,"..")</f>
        <v>..</v>
      </c>
      <c r="BJ1851" s="117" t="str">
        <f>IFERROR($BI1851*$AW1851,"..")</f>
        <v>..</v>
      </c>
      <c r="BK1851" s="846" t="str">
        <f>IFERROR($BB1851/$BJ1851,"..")</f>
        <v>..</v>
      </c>
      <c r="BL1851" s="117" t="str">
        <f>IFERROR(VLOOKUP($D1851,'WB Data'!$C$3:$M$578,7,FALSE)/100,"..")</f>
        <v>..</v>
      </c>
      <c r="BM1851" s="117" t="str">
        <f>IFERROR($AW1851*$BL1851,"..")</f>
        <v>..</v>
      </c>
      <c r="BN1851" s="846" t="str">
        <f>IFERROR($BB1851/$BM1851,"..")</f>
        <v>..</v>
      </c>
      <c r="BO1851" s="801" t="str">
        <f t="shared" si="311"/>
        <v>..</v>
      </c>
      <c r="BP1851" s="117" t="str">
        <f>VLOOKUP($D1851,'WB Data'!$C$3:$M$578,9,FALSE)</f>
        <v>..</v>
      </c>
      <c r="BQ1851" s="117">
        <f>VLOOKUP($D1851,'WB Data'!$C$3:$M$578,10,FALSE)</f>
        <v>58.296560975609758</v>
      </c>
      <c r="BR1851" s="117">
        <f>VLOOKUP($D1851,'WB Data'!$C$3:$M$578,11,FALSE)</f>
        <v>37.299999999999997</v>
      </c>
      <c r="BS1851" s="129" t="str">
        <f>IFERROR(VLOOKUP($D1851,'WB Data 2'!$C$2:$K$545,9,FALSE),"..")</f>
        <v>..</v>
      </c>
      <c r="BT1851" s="129" t="str">
        <f>_xlfn.IFNA(VLOOKUP($C1851,RGI!$A$2:$C$43,2,FALSE),"..")</f>
        <v>..</v>
      </c>
      <c r="BU1851" s="129" t="str">
        <f>_xlfn.IFNA(VLOOKUP($C1851,RGI!$A$2:$C$43,3,FALSE),"..")</f>
        <v>..</v>
      </c>
      <c r="BV1851" s="129">
        <f>VLOOKUP($D1851,WGI!$C$2:$O$478,7,FALSE)</f>
        <v>-1.1557730958198</v>
      </c>
      <c r="BW1851" s="129">
        <f>VLOOKUP($D1851,WGI!$C$2:$O$478,4,FALSE)</f>
        <v>-0.47834038681802699</v>
      </c>
      <c r="BX1851" s="129">
        <f>VLOOKUP($D1851,WGI!$C$2:$O$478,3,FALSE)</f>
        <v>-1.2017292175155401</v>
      </c>
      <c r="BY1851" s="129">
        <f>VLOOKUP($D1851,WGI!$C$2:$O$478,5,FALSE)</f>
        <v>-1.37830012516968</v>
      </c>
      <c r="BZ1851" s="129">
        <f>VLOOKUP($D1851,WGI!$C$2:$O$478,2,FALSE)</f>
        <v>-1.1913743032773401</v>
      </c>
    </row>
    <row r="1852" spans="1:80" ht="15" customHeight="1">
      <c r="A1852" s="294" t="s">
        <v>483</v>
      </c>
      <c r="B1852" s="214">
        <v>2012</v>
      </c>
      <c r="C1852" s="809" t="s">
        <v>465</v>
      </c>
      <c r="D1852" s="117" t="s">
        <v>3727</v>
      </c>
      <c r="E1852" s="452" t="s">
        <v>86</v>
      </c>
      <c r="F1852" s="117"/>
      <c r="G1852" s="117" t="s">
        <v>103</v>
      </c>
      <c r="H1852" s="117" t="str">
        <f t="shared" si="318"/>
        <v>no</v>
      </c>
      <c r="I1852" s="117" t="str">
        <f t="shared" si="320"/>
        <v>no</v>
      </c>
      <c r="J1852" s="117" t="str">
        <f t="shared" si="321"/>
        <v>yes</v>
      </c>
      <c r="K1852" s="117" t="s">
        <v>103</v>
      </c>
      <c r="L1852" s="117" t="str">
        <f t="shared" si="319"/>
        <v>detailed</v>
      </c>
      <c r="M1852" s="117" t="str">
        <f t="shared" si="322"/>
        <v>detailed Oil</v>
      </c>
      <c r="N1852" s="179">
        <v>105485000</v>
      </c>
      <c r="O1852" s="211">
        <f>O1851/N1852</f>
        <v>0.59352936246859744</v>
      </c>
      <c r="P1852" s="179"/>
      <c r="Q1852" s="179"/>
      <c r="R1852" s="179"/>
      <c r="S1852" s="117" t="s">
        <v>646</v>
      </c>
      <c r="T1852" s="119">
        <v>103.01</v>
      </c>
      <c r="U1852" s="117" t="s">
        <v>673</v>
      </c>
      <c r="V1852" s="117" t="s">
        <v>2171</v>
      </c>
      <c r="W1852" s="89">
        <f>N1852*T1852</f>
        <v>10866009850</v>
      </c>
      <c r="X1852" s="117"/>
      <c r="Y1852" s="117"/>
      <c r="Z1852" s="117"/>
      <c r="AA1852" s="177"/>
      <c r="AB1852" s="177"/>
      <c r="AC1852" s="122"/>
      <c r="AD1852" s="122"/>
      <c r="AE1852" s="122"/>
      <c r="AF1852" s="241"/>
      <c r="AG1852" s="117"/>
      <c r="AH1852" s="124"/>
      <c r="AI1852" s="117"/>
      <c r="AJ1852" s="89" t="s">
        <v>2178</v>
      </c>
      <c r="AK1852" s="89" t="s">
        <v>2179</v>
      </c>
      <c r="AL1852" s="117"/>
      <c r="AM1852" s="89"/>
      <c r="AN1852" s="117"/>
      <c r="AO1852" s="117"/>
      <c r="AP1852" s="117"/>
      <c r="AQ1852" s="117"/>
      <c r="AR1852" s="126"/>
      <c r="AS1852" s="117"/>
      <c r="AT1852" s="117"/>
      <c r="AU1852" s="117"/>
      <c r="AV1852" s="128" t="s">
        <v>2183</v>
      </c>
      <c r="AW1852" s="117">
        <f>VLOOKUP($D1852,'WB Data'!$C$3:$M$578,2,FALSE)</f>
        <v>13677929161.714231</v>
      </c>
      <c r="AX1852" s="117">
        <f>VLOOKUP($D1852,'WB Data'!$C$3:$M$578,3,FALSE)</f>
        <v>4337051</v>
      </c>
      <c r="AY1852" s="847">
        <f t="shared" si="312"/>
        <v>0.23290630930572423</v>
      </c>
      <c r="AZ1852" s="117" t="e">
        <f>VLOOKUP($D1852,'WB Data'!$C$3:$M$578,4,FALSE)/100</f>
        <v>#VALUE!</v>
      </c>
      <c r="BA1852" s="117" t="str">
        <f t="shared" si="313"/>
        <v>..</v>
      </c>
      <c r="BB1852" s="129">
        <f>IFERROR(VLOOKUP($D1852,'EITI Revenues'!$C$2:$G$224,5,FALSE),"..")</f>
        <v>3185676000</v>
      </c>
      <c r="BC1852" s="846" t="str">
        <f t="shared" si="314"/>
        <v>..</v>
      </c>
      <c r="BD1852" s="129" t="e">
        <f>VLOOKUP($D1852,'WB Data 2'!$C$2:$K$545,6,FALSE)</f>
        <v>#N/A</v>
      </c>
      <c r="BE1852" s="129">
        <f>IFERROR(VLOOKUP($D1852,UNCTAD!$C$5:$V$529,4,FALSE),"..")</f>
        <v>11042902725.99</v>
      </c>
      <c r="BF1852" s="846" t="str">
        <f t="shared" si="315"/>
        <v>..</v>
      </c>
      <c r="BG1852" s="117">
        <f>VLOOKUP($D1852,'WB Data'!$C$3:$M$578,5,FALSE)</f>
        <v>138600000</v>
      </c>
      <c r="BH1852" s="129">
        <f>IFERROR($BB1852/$BG1852,"..")</f>
        <v>22.984675324675326</v>
      </c>
      <c r="BI1852" s="117" t="str">
        <f>IFERROR(VLOOKUP($D1852,'WB Data'!$C$3:$M$578,7,FALSE)/100,"..")</f>
        <v>..</v>
      </c>
      <c r="BJ1852" s="117" t="str">
        <f>IFERROR($BI1852*$AW1852,"..")</f>
        <v>..</v>
      </c>
      <c r="BK1852" s="846" t="str">
        <f>IFERROR($BB1852/$BJ1852,"..")</f>
        <v>..</v>
      </c>
      <c r="BL1852" s="117" t="str">
        <f>IFERROR(VLOOKUP($D1852,'WB Data'!$C$3:$M$578,7,FALSE)/100,"..")</f>
        <v>..</v>
      </c>
      <c r="BM1852" s="117" t="str">
        <f>IFERROR($AW1852*$BL1852,"..")</f>
        <v>..</v>
      </c>
      <c r="BN1852" s="846" t="str">
        <f>IFERROR($BB1852/$BM1852,"..")</f>
        <v>..</v>
      </c>
      <c r="BO1852" s="801" t="str">
        <f t="shared" si="311"/>
        <v>..</v>
      </c>
      <c r="BP1852" s="117" t="str">
        <f>VLOOKUP($D1852,'WB Data'!$C$3:$M$578,9,FALSE)</f>
        <v>..</v>
      </c>
      <c r="BQ1852" s="117">
        <f>VLOOKUP($D1852,'WB Data'!$C$3:$M$578,10,FALSE)</f>
        <v>58.296560975609758</v>
      </c>
      <c r="BR1852" s="117">
        <f>VLOOKUP($D1852,'WB Data'!$C$3:$M$578,11,FALSE)</f>
        <v>37.299999999999997</v>
      </c>
      <c r="BS1852" s="129" t="str">
        <f>IFERROR(VLOOKUP($D1852,'WB Data 2'!$C$2:$K$545,9,FALSE),"..")</f>
        <v>..</v>
      </c>
      <c r="BT1852" s="129" t="str">
        <f>_xlfn.IFNA(VLOOKUP($C1852,RGI!$A$2:$C$43,2,FALSE),"..")</f>
        <v>..</v>
      </c>
      <c r="BU1852" s="129" t="str">
        <f>_xlfn.IFNA(VLOOKUP($C1852,RGI!$A$2:$C$43,3,FALSE),"..")</f>
        <v>..</v>
      </c>
      <c r="BV1852" s="129">
        <f>VLOOKUP($D1852,WGI!$C$2:$O$478,7,FALSE)</f>
        <v>-1.1557730958198</v>
      </c>
      <c r="BW1852" s="129">
        <f>VLOOKUP($D1852,WGI!$C$2:$O$478,4,FALSE)</f>
        <v>-0.47834038681802699</v>
      </c>
      <c r="BX1852" s="129">
        <f>VLOOKUP($D1852,WGI!$C$2:$O$478,3,FALSE)</f>
        <v>-1.2017292175155401</v>
      </c>
      <c r="BY1852" s="129">
        <f>VLOOKUP($D1852,WGI!$C$2:$O$478,5,FALSE)</f>
        <v>-1.37830012516968</v>
      </c>
      <c r="BZ1852" s="129">
        <f>VLOOKUP($D1852,WGI!$C$2:$O$478,2,FALSE)</f>
        <v>-1.1913743032773401</v>
      </c>
    </row>
    <row r="1853" spans="1:80" ht="15" customHeight="1">
      <c r="A1853" s="294" t="s">
        <v>483</v>
      </c>
      <c r="B1853" s="214">
        <v>2012</v>
      </c>
      <c r="C1853" s="809" t="s">
        <v>465</v>
      </c>
      <c r="D1853" s="117" t="s">
        <v>3727</v>
      </c>
      <c r="E1853" s="452" t="s">
        <v>86</v>
      </c>
      <c r="F1853" s="117"/>
      <c r="G1853" s="117" t="s">
        <v>24</v>
      </c>
      <c r="H1853" s="117" t="str">
        <f t="shared" si="318"/>
        <v>yes</v>
      </c>
      <c r="I1853" s="117" t="str">
        <f t="shared" si="320"/>
        <v>no</v>
      </c>
      <c r="J1853" s="117" t="str">
        <f t="shared" si="321"/>
        <v>no</v>
      </c>
      <c r="K1853" s="117" t="s">
        <v>600</v>
      </c>
      <c r="L1853" s="117" t="str">
        <f t="shared" si="319"/>
        <v>Total</v>
      </c>
      <c r="M1853" s="117" t="str">
        <f t="shared" si="322"/>
        <v>Total Mining</v>
      </c>
      <c r="N1853" s="179"/>
      <c r="O1853" s="179"/>
      <c r="P1853" s="179"/>
      <c r="Q1853" s="179"/>
      <c r="R1853" s="179"/>
      <c r="S1853" s="117"/>
      <c r="T1853" s="119"/>
      <c r="U1853" s="117"/>
      <c r="V1853" s="117"/>
      <c r="W1853" s="89">
        <f>SUM(W1854:W1856)</f>
        <v>25292915.286923066</v>
      </c>
      <c r="X1853" s="117"/>
      <c r="Y1853" s="117"/>
      <c r="Z1853" s="117"/>
      <c r="AA1853" s="89">
        <v>2803000</v>
      </c>
      <c r="AB1853" s="89">
        <v>403000</v>
      </c>
      <c r="AC1853" s="240"/>
      <c r="AD1853" s="240"/>
      <c r="AE1853" s="240"/>
      <c r="AF1853" s="241">
        <f>AA1853/W1853</f>
        <v>0.11082154699063916</v>
      </c>
      <c r="AG1853" s="117"/>
      <c r="AH1853" s="124"/>
      <c r="AI1853" s="117"/>
      <c r="AJ1853" s="89"/>
      <c r="AK1853" s="89"/>
      <c r="AL1853" s="117"/>
      <c r="AM1853" s="89"/>
      <c r="AN1853" s="117"/>
      <c r="AO1853" s="117"/>
      <c r="AP1853" s="117"/>
      <c r="AQ1853" s="117"/>
      <c r="AR1853" s="126"/>
      <c r="AS1853" s="117"/>
      <c r="AT1853" s="117"/>
      <c r="AU1853" s="117"/>
      <c r="AV1853" s="128"/>
      <c r="AW1853" s="117">
        <f>VLOOKUP($D1853,'WB Data'!$C$3:$M$578,2,FALSE)</f>
        <v>13677929161.714231</v>
      </c>
      <c r="AX1853" s="117">
        <f>VLOOKUP($D1853,'WB Data'!$C$3:$M$578,3,FALSE)</f>
        <v>4337051</v>
      </c>
      <c r="AY1853" s="847">
        <f t="shared" si="312"/>
        <v>0.23290630930572423</v>
      </c>
      <c r="AZ1853" s="117" t="e">
        <f>VLOOKUP($D1853,'WB Data'!$C$3:$M$578,4,FALSE)/100</f>
        <v>#VALUE!</v>
      </c>
      <c r="BA1853" s="117" t="str">
        <f t="shared" si="313"/>
        <v>..</v>
      </c>
      <c r="BB1853" s="129">
        <f>IFERROR(VLOOKUP($D1853,'EITI Revenues'!$C$2:$G$224,5,FALSE),"..")</f>
        <v>3185676000</v>
      </c>
      <c r="BC1853" s="846" t="str">
        <f t="shared" si="314"/>
        <v>..</v>
      </c>
      <c r="BD1853" s="129" t="e">
        <f>VLOOKUP($D1853,'WB Data 2'!$C$2:$K$545,6,FALSE)</f>
        <v>#N/A</v>
      </c>
      <c r="BE1853" s="129">
        <f>IFERROR(VLOOKUP($D1853,UNCTAD!$C$5:$V$529,4,FALSE),"..")</f>
        <v>11042902725.99</v>
      </c>
      <c r="BF1853" s="846" t="str">
        <f t="shared" si="315"/>
        <v>..</v>
      </c>
      <c r="BG1853" s="117">
        <f>VLOOKUP($D1853,'WB Data'!$C$3:$M$578,5,FALSE)</f>
        <v>138600000</v>
      </c>
      <c r="BH1853" s="129">
        <f>IFERROR($BB1853/$BG1853,"..")</f>
        <v>22.984675324675326</v>
      </c>
      <c r="BI1853" s="117" t="str">
        <f>IFERROR(VLOOKUP($D1853,'WB Data'!$C$3:$M$578,7,FALSE)/100,"..")</f>
        <v>..</v>
      </c>
      <c r="BJ1853" s="117" t="str">
        <f>IFERROR($BI1853*$AW1853,"..")</f>
        <v>..</v>
      </c>
      <c r="BK1853" s="846" t="str">
        <f>IFERROR($BB1853/$BJ1853,"..")</f>
        <v>..</v>
      </c>
      <c r="BL1853" s="117" t="str">
        <f>IFERROR(VLOOKUP($D1853,'WB Data'!$C$3:$M$578,7,FALSE)/100,"..")</f>
        <v>..</v>
      </c>
      <c r="BM1853" s="117" t="str">
        <f>IFERROR($AW1853*$BL1853,"..")</f>
        <v>..</v>
      </c>
      <c r="BN1853" s="846" t="str">
        <f>IFERROR($BB1853/$BM1853,"..")</f>
        <v>..</v>
      </c>
      <c r="BO1853" s="801" t="str">
        <f t="shared" si="311"/>
        <v>..</v>
      </c>
      <c r="BP1853" s="117" t="str">
        <f>VLOOKUP($D1853,'WB Data'!$C$3:$M$578,9,FALSE)</f>
        <v>..</v>
      </c>
      <c r="BQ1853" s="117">
        <f>VLOOKUP($D1853,'WB Data'!$C$3:$M$578,10,FALSE)</f>
        <v>58.296560975609758</v>
      </c>
      <c r="BR1853" s="117">
        <f>VLOOKUP($D1853,'WB Data'!$C$3:$M$578,11,FALSE)</f>
        <v>37.299999999999997</v>
      </c>
      <c r="BS1853" s="129" t="str">
        <f>IFERROR(VLOOKUP($D1853,'WB Data 2'!$C$2:$K$545,9,FALSE),"..")</f>
        <v>..</v>
      </c>
      <c r="BT1853" s="129" t="str">
        <f>_xlfn.IFNA(VLOOKUP($C1853,RGI!$A$2:$C$43,2,FALSE),"..")</f>
        <v>..</v>
      </c>
      <c r="BU1853" s="129" t="str">
        <f>_xlfn.IFNA(VLOOKUP($C1853,RGI!$A$2:$C$43,3,FALSE),"..")</f>
        <v>..</v>
      </c>
      <c r="BV1853" s="129">
        <f>VLOOKUP($D1853,WGI!$C$2:$O$478,7,FALSE)</f>
        <v>-1.1557730958198</v>
      </c>
      <c r="BW1853" s="129">
        <f>VLOOKUP($D1853,WGI!$C$2:$O$478,4,FALSE)</f>
        <v>-0.47834038681802699</v>
      </c>
      <c r="BX1853" s="129">
        <f>VLOOKUP($D1853,WGI!$C$2:$O$478,3,FALSE)</f>
        <v>-1.2017292175155401</v>
      </c>
      <c r="BY1853" s="129">
        <f>VLOOKUP($D1853,WGI!$C$2:$O$478,5,FALSE)</f>
        <v>-1.37830012516968</v>
      </c>
      <c r="BZ1853" s="129">
        <f>VLOOKUP($D1853,WGI!$C$2:$O$478,2,FALSE)</f>
        <v>-1.1913743032773401</v>
      </c>
    </row>
    <row r="1854" spans="1:80" ht="15" customHeight="1">
      <c r="A1854" s="294" t="s">
        <v>483</v>
      </c>
      <c r="B1854" s="214">
        <v>2012</v>
      </c>
      <c r="C1854" s="809" t="s">
        <v>465</v>
      </c>
      <c r="D1854" s="117" t="s">
        <v>3727</v>
      </c>
      <c r="E1854" s="452" t="s">
        <v>86</v>
      </c>
      <c r="F1854" s="117"/>
      <c r="G1854" s="117" t="s">
        <v>24</v>
      </c>
      <c r="H1854" s="117" t="str">
        <f t="shared" si="318"/>
        <v>yes</v>
      </c>
      <c r="I1854" s="117" t="str">
        <f t="shared" si="320"/>
        <v>no</v>
      </c>
      <c r="J1854" s="117" t="str">
        <f t="shared" si="321"/>
        <v>no</v>
      </c>
      <c r="K1854" s="117" t="s">
        <v>609</v>
      </c>
      <c r="L1854" s="117" t="str">
        <f t="shared" si="319"/>
        <v>detailed</v>
      </c>
      <c r="M1854" s="117" t="str">
        <f t="shared" si="322"/>
        <v>detailed Mining</v>
      </c>
      <c r="N1854" s="179">
        <v>150000</v>
      </c>
      <c r="O1854" s="179"/>
      <c r="P1854" s="179"/>
      <c r="Q1854" s="179"/>
      <c r="R1854" s="179"/>
      <c r="S1854" s="117" t="s">
        <v>610</v>
      </c>
      <c r="T1854" s="119">
        <v>89.5</v>
      </c>
      <c r="U1854" s="117" t="s">
        <v>611</v>
      </c>
      <c r="V1854" s="117" t="s">
        <v>1217</v>
      </c>
      <c r="W1854" s="89">
        <f>N1854*T1854</f>
        <v>13425000</v>
      </c>
      <c r="X1854" s="117"/>
      <c r="Y1854" s="117"/>
      <c r="Z1854" s="117"/>
      <c r="AA1854" s="89"/>
      <c r="AB1854" s="89"/>
      <c r="AC1854" s="240"/>
      <c r="AD1854" s="240"/>
      <c r="AE1854" s="240"/>
      <c r="AF1854" s="241"/>
      <c r="AG1854" s="117"/>
      <c r="AH1854" s="124"/>
      <c r="AI1854" s="117"/>
      <c r="AJ1854" s="89"/>
      <c r="AK1854" s="89"/>
      <c r="AL1854" s="117"/>
      <c r="AM1854" s="89"/>
      <c r="AN1854" s="117"/>
      <c r="AO1854" s="117"/>
      <c r="AP1854" s="117"/>
      <c r="AQ1854" s="117"/>
      <c r="AR1854" s="126"/>
      <c r="AS1854" s="117"/>
      <c r="AT1854" s="117"/>
      <c r="AU1854" s="117"/>
      <c r="AV1854" s="128"/>
      <c r="AW1854" s="117">
        <f>VLOOKUP($D1854,'WB Data'!$C$3:$M$578,2,FALSE)</f>
        <v>13677929161.714231</v>
      </c>
      <c r="AX1854" s="117">
        <f>VLOOKUP($D1854,'WB Data'!$C$3:$M$578,3,FALSE)</f>
        <v>4337051</v>
      </c>
      <c r="AY1854" s="847">
        <f t="shared" si="312"/>
        <v>0.23290630930572423</v>
      </c>
      <c r="AZ1854" s="117" t="e">
        <f>VLOOKUP($D1854,'WB Data'!$C$3:$M$578,4,FALSE)/100</f>
        <v>#VALUE!</v>
      </c>
      <c r="BA1854" s="117" t="str">
        <f t="shared" si="313"/>
        <v>..</v>
      </c>
      <c r="BB1854" s="129">
        <f>IFERROR(VLOOKUP($D1854,'EITI Revenues'!$C$2:$G$224,5,FALSE),"..")</f>
        <v>3185676000</v>
      </c>
      <c r="BC1854" s="846" t="str">
        <f t="shared" si="314"/>
        <v>..</v>
      </c>
      <c r="BD1854" s="129" t="e">
        <f>VLOOKUP($D1854,'WB Data 2'!$C$2:$K$545,6,FALSE)</f>
        <v>#N/A</v>
      </c>
      <c r="BE1854" s="129">
        <f>IFERROR(VLOOKUP($D1854,UNCTAD!$C$5:$V$529,4,FALSE),"..")</f>
        <v>11042902725.99</v>
      </c>
      <c r="BF1854" s="846" t="str">
        <f t="shared" si="315"/>
        <v>..</v>
      </c>
      <c r="BG1854" s="117">
        <f>VLOOKUP($D1854,'WB Data'!$C$3:$M$578,5,FALSE)</f>
        <v>138600000</v>
      </c>
      <c r="BH1854" s="129">
        <f>IFERROR($BB1854/$BG1854,"..")</f>
        <v>22.984675324675326</v>
      </c>
      <c r="BI1854" s="117" t="str">
        <f>IFERROR(VLOOKUP($D1854,'WB Data'!$C$3:$M$578,7,FALSE)/100,"..")</f>
        <v>..</v>
      </c>
      <c r="BJ1854" s="117" t="str">
        <f>IFERROR($BI1854*$AW1854,"..")</f>
        <v>..</v>
      </c>
      <c r="BK1854" s="846" t="str">
        <f>IFERROR($BB1854/$BJ1854,"..")</f>
        <v>..</v>
      </c>
      <c r="BL1854" s="117" t="str">
        <f>IFERROR(VLOOKUP($D1854,'WB Data'!$C$3:$M$578,7,FALSE)/100,"..")</f>
        <v>..</v>
      </c>
      <c r="BM1854" s="117" t="str">
        <f>IFERROR($AW1854*$BL1854,"..")</f>
        <v>..</v>
      </c>
      <c r="BN1854" s="846" t="str">
        <f>IFERROR($BB1854/$BM1854,"..")</f>
        <v>..</v>
      </c>
      <c r="BO1854" s="801" t="str">
        <f t="shared" si="311"/>
        <v>..</v>
      </c>
      <c r="BP1854" s="117" t="str">
        <f>VLOOKUP($D1854,'WB Data'!$C$3:$M$578,9,FALSE)</f>
        <v>..</v>
      </c>
      <c r="BQ1854" s="117">
        <f>VLOOKUP($D1854,'WB Data'!$C$3:$M$578,10,FALSE)</f>
        <v>58.296560975609758</v>
      </c>
      <c r="BR1854" s="117">
        <f>VLOOKUP($D1854,'WB Data'!$C$3:$M$578,11,FALSE)</f>
        <v>37.299999999999997</v>
      </c>
      <c r="BS1854" s="129" t="str">
        <f>IFERROR(VLOOKUP($D1854,'WB Data 2'!$C$2:$K$545,9,FALSE),"..")</f>
        <v>..</v>
      </c>
      <c r="BT1854" s="129" t="str">
        <f>_xlfn.IFNA(VLOOKUP($C1854,RGI!$A$2:$C$43,2,FALSE),"..")</f>
        <v>..</v>
      </c>
      <c r="BU1854" s="129" t="str">
        <f>_xlfn.IFNA(VLOOKUP($C1854,RGI!$A$2:$C$43,3,FALSE),"..")</f>
        <v>..</v>
      </c>
      <c r="BV1854" s="129">
        <f>VLOOKUP($D1854,WGI!$C$2:$O$478,7,FALSE)</f>
        <v>-1.1557730958198</v>
      </c>
      <c r="BW1854" s="129">
        <f>VLOOKUP($D1854,WGI!$C$2:$O$478,4,FALSE)</f>
        <v>-0.47834038681802699</v>
      </c>
      <c r="BX1854" s="129">
        <f>VLOOKUP($D1854,WGI!$C$2:$O$478,3,FALSE)</f>
        <v>-1.2017292175155401</v>
      </c>
      <c r="BY1854" s="129">
        <f>VLOOKUP($D1854,WGI!$C$2:$O$478,5,FALSE)</f>
        <v>-1.37830012516968</v>
      </c>
      <c r="BZ1854" s="129">
        <f>VLOOKUP($D1854,WGI!$C$2:$O$478,2,FALSE)</f>
        <v>-1.1913743032773401</v>
      </c>
    </row>
    <row r="1855" spans="1:80" ht="15" customHeight="1">
      <c r="A1855" s="294" t="s">
        <v>483</v>
      </c>
      <c r="B1855" s="214">
        <v>2012</v>
      </c>
      <c r="C1855" s="809" t="s">
        <v>465</v>
      </c>
      <c r="D1855" s="117" t="s">
        <v>3727</v>
      </c>
      <c r="E1855" s="452" t="s">
        <v>86</v>
      </c>
      <c r="F1855" s="117"/>
      <c r="G1855" s="117" t="s">
        <v>24</v>
      </c>
      <c r="H1855" s="117" t="str">
        <f t="shared" si="318"/>
        <v>yes</v>
      </c>
      <c r="I1855" s="117" t="str">
        <f t="shared" si="320"/>
        <v>no</v>
      </c>
      <c r="J1855" s="117" t="str">
        <f t="shared" si="321"/>
        <v>no</v>
      </c>
      <c r="K1855" s="117" t="s">
        <v>980</v>
      </c>
      <c r="L1855" s="117" t="str">
        <f t="shared" si="319"/>
        <v>detailed</v>
      </c>
      <c r="M1855" s="117" t="str">
        <f t="shared" si="322"/>
        <v>detailed Mining</v>
      </c>
      <c r="N1855" s="179">
        <v>51588</v>
      </c>
      <c r="O1855" s="179"/>
      <c r="P1855" s="179"/>
      <c r="Q1855" s="179"/>
      <c r="R1855" s="179"/>
      <c r="S1855" s="117" t="s">
        <v>981</v>
      </c>
      <c r="T1855" s="119">
        <v>73.98</v>
      </c>
      <c r="U1855" s="117" t="s">
        <v>982</v>
      </c>
      <c r="V1855" s="117" t="s">
        <v>2184</v>
      </c>
      <c r="W1855" s="89">
        <f>N1855*T1855</f>
        <v>3816480.24</v>
      </c>
      <c r="X1855" s="117"/>
      <c r="Y1855" s="117"/>
      <c r="Z1855" s="117"/>
      <c r="AA1855" s="89"/>
      <c r="AB1855" s="89"/>
      <c r="AC1855" s="240"/>
      <c r="AD1855" s="240"/>
      <c r="AE1855" s="240"/>
      <c r="AF1855" s="241"/>
      <c r="AG1855" s="117"/>
      <c r="AH1855" s="124"/>
      <c r="AI1855" s="117"/>
      <c r="AJ1855" s="89"/>
      <c r="AK1855" s="89"/>
      <c r="AL1855" s="117"/>
      <c r="AM1855" s="89"/>
      <c r="AN1855" s="117"/>
      <c r="AO1855" s="117"/>
      <c r="AP1855" s="117"/>
      <c r="AQ1855" s="117"/>
      <c r="AR1855" s="126"/>
      <c r="AS1855" s="117"/>
      <c r="AT1855" s="117"/>
      <c r="AU1855" s="117"/>
      <c r="AV1855" s="128"/>
      <c r="AW1855" s="117">
        <f>VLOOKUP($D1855,'WB Data'!$C$3:$M$578,2,FALSE)</f>
        <v>13677929161.714231</v>
      </c>
      <c r="AX1855" s="117">
        <f>VLOOKUP($D1855,'WB Data'!$C$3:$M$578,3,FALSE)</f>
        <v>4337051</v>
      </c>
      <c r="AY1855" s="847">
        <f t="shared" si="312"/>
        <v>0.23290630930572423</v>
      </c>
      <c r="AZ1855" s="117" t="e">
        <f>VLOOKUP($D1855,'WB Data'!$C$3:$M$578,4,FALSE)/100</f>
        <v>#VALUE!</v>
      </c>
      <c r="BA1855" s="117" t="str">
        <f t="shared" si="313"/>
        <v>..</v>
      </c>
      <c r="BB1855" s="129">
        <f>IFERROR(VLOOKUP($D1855,'EITI Revenues'!$C$2:$G$224,5,FALSE),"..")</f>
        <v>3185676000</v>
      </c>
      <c r="BC1855" s="846" t="str">
        <f t="shared" si="314"/>
        <v>..</v>
      </c>
      <c r="BD1855" s="129" t="e">
        <f>VLOOKUP($D1855,'WB Data 2'!$C$2:$K$545,6,FALSE)</f>
        <v>#N/A</v>
      </c>
      <c r="BE1855" s="129">
        <f>IFERROR(VLOOKUP($D1855,UNCTAD!$C$5:$V$529,4,FALSE),"..")</f>
        <v>11042902725.99</v>
      </c>
      <c r="BF1855" s="846" t="str">
        <f t="shared" si="315"/>
        <v>..</v>
      </c>
      <c r="BG1855" s="117">
        <f>VLOOKUP($D1855,'WB Data'!$C$3:$M$578,5,FALSE)</f>
        <v>138600000</v>
      </c>
      <c r="BH1855" s="129">
        <f>IFERROR($BB1855/$BG1855,"..")</f>
        <v>22.984675324675326</v>
      </c>
      <c r="BI1855" s="117" t="str">
        <f>IFERROR(VLOOKUP($D1855,'WB Data'!$C$3:$M$578,7,FALSE)/100,"..")</f>
        <v>..</v>
      </c>
      <c r="BJ1855" s="117" t="str">
        <f>IFERROR($BI1855*$AW1855,"..")</f>
        <v>..</v>
      </c>
      <c r="BK1855" s="846" t="str">
        <f>IFERROR($BB1855/$BJ1855,"..")</f>
        <v>..</v>
      </c>
      <c r="BL1855" s="117" t="str">
        <f>IFERROR(VLOOKUP($D1855,'WB Data'!$C$3:$M$578,7,FALSE)/100,"..")</f>
        <v>..</v>
      </c>
      <c r="BM1855" s="117" t="str">
        <f>IFERROR($AW1855*$BL1855,"..")</f>
        <v>..</v>
      </c>
      <c r="BN1855" s="846" t="str">
        <f>IFERROR($BB1855/$BM1855,"..")</f>
        <v>..</v>
      </c>
      <c r="BO1855" s="801" t="str">
        <f t="shared" si="311"/>
        <v>..</v>
      </c>
      <c r="BP1855" s="117" t="str">
        <f>VLOOKUP($D1855,'WB Data'!$C$3:$M$578,9,FALSE)</f>
        <v>..</v>
      </c>
      <c r="BQ1855" s="117">
        <f>VLOOKUP($D1855,'WB Data'!$C$3:$M$578,10,FALSE)</f>
        <v>58.296560975609758</v>
      </c>
      <c r="BR1855" s="117">
        <f>VLOOKUP($D1855,'WB Data'!$C$3:$M$578,11,FALSE)</f>
        <v>37.299999999999997</v>
      </c>
      <c r="BS1855" s="129" t="str">
        <f>IFERROR(VLOOKUP($D1855,'WB Data 2'!$C$2:$K$545,9,FALSE),"..")</f>
        <v>..</v>
      </c>
      <c r="BT1855" s="129" t="str">
        <f>_xlfn.IFNA(VLOOKUP($C1855,RGI!$A$2:$C$43,2,FALSE),"..")</f>
        <v>..</v>
      </c>
      <c r="BU1855" s="129" t="str">
        <f>_xlfn.IFNA(VLOOKUP($C1855,RGI!$A$2:$C$43,3,FALSE),"..")</f>
        <v>..</v>
      </c>
      <c r="BV1855" s="129">
        <f>VLOOKUP($D1855,WGI!$C$2:$O$478,7,FALSE)</f>
        <v>-1.1557730958198</v>
      </c>
      <c r="BW1855" s="129">
        <f>VLOOKUP($D1855,WGI!$C$2:$O$478,4,FALSE)</f>
        <v>-0.47834038681802699</v>
      </c>
      <c r="BX1855" s="129">
        <f>VLOOKUP($D1855,WGI!$C$2:$O$478,3,FALSE)</f>
        <v>-1.2017292175155401</v>
      </c>
      <c r="BY1855" s="129">
        <f>VLOOKUP($D1855,WGI!$C$2:$O$478,5,FALSE)</f>
        <v>-1.37830012516968</v>
      </c>
      <c r="BZ1855" s="129">
        <f>VLOOKUP($D1855,WGI!$C$2:$O$478,2,FALSE)</f>
        <v>-1.1913743032773401</v>
      </c>
    </row>
    <row r="1856" spans="1:80" s="158" customFormat="1" ht="15" customHeight="1">
      <c r="A1856" s="295" t="s">
        <v>483</v>
      </c>
      <c r="B1856" s="218">
        <v>2012</v>
      </c>
      <c r="C1856" s="810" t="s">
        <v>465</v>
      </c>
      <c r="D1856" s="117" t="s">
        <v>3727</v>
      </c>
      <c r="E1856" s="453" t="s">
        <v>86</v>
      </c>
      <c r="F1856" s="149"/>
      <c r="G1856" s="149" t="s">
        <v>24</v>
      </c>
      <c r="H1856" s="149" t="str">
        <f t="shared" si="318"/>
        <v>yes</v>
      </c>
      <c r="I1856" s="149" t="str">
        <f t="shared" si="320"/>
        <v>no</v>
      </c>
      <c r="J1856" s="149" t="str">
        <f t="shared" si="321"/>
        <v>no</v>
      </c>
      <c r="K1856" s="149" t="s">
        <v>784</v>
      </c>
      <c r="L1856" s="149" t="str">
        <f t="shared" si="319"/>
        <v>detailed</v>
      </c>
      <c r="M1856" s="149" t="str">
        <f t="shared" si="322"/>
        <v>detailed Mining</v>
      </c>
      <c r="N1856" s="216">
        <f>150*32.1507431265</f>
        <v>4822.6114689749993</v>
      </c>
      <c r="O1856" s="216"/>
      <c r="P1856" s="216"/>
      <c r="Q1856" s="216"/>
      <c r="R1856" s="216"/>
      <c r="S1856" s="149" t="s">
        <v>785</v>
      </c>
      <c r="T1856" s="151">
        <v>1669.51766666667</v>
      </c>
      <c r="U1856" s="149" t="s">
        <v>786</v>
      </c>
      <c r="V1856" s="149" t="s">
        <v>787</v>
      </c>
      <c r="W1856" s="152">
        <f>N1856*T1856</f>
        <v>8051435.0469230628</v>
      </c>
      <c r="X1856" s="149"/>
      <c r="Y1856" s="149"/>
      <c r="Z1856" s="149"/>
      <c r="AA1856" s="152"/>
      <c r="AB1856" s="152"/>
      <c r="AC1856" s="288"/>
      <c r="AD1856" s="288"/>
      <c r="AE1856" s="288"/>
      <c r="AF1856" s="285"/>
      <c r="AG1856" s="149"/>
      <c r="AH1856" s="156"/>
      <c r="AI1856" s="149"/>
      <c r="AJ1856" s="152"/>
      <c r="AK1856" s="152"/>
      <c r="AL1856" s="149"/>
      <c r="AM1856" s="152"/>
      <c r="AN1856" s="149"/>
      <c r="AO1856" s="149"/>
      <c r="AP1856" s="149"/>
      <c r="AQ1856" s="149"/>
      <c r="AR1856" s="220"/>
      <c r="AS1856" s="149"/>
      <c r="AT1856" s="149"/>
      <c r="AU1856" s="149"/>
      <c r="AV1856" s="157"/>
      <c r="AW1856" s="117">
        <f>VLOOKUP($D1856,'WB Data'!$C$3:$M$578,2,FALSE)</f>
        <v>13677929161.714231</v>
      </c>
      <c r="AX1856" s="117">
        <f>VLOOKUP($D1856,'WB Data'!$C$3:$M$578,3,FALSE)</f>
        <v>4337051</v>
      </c>
      <c r="AY1856" s="847">
        <f t="shared" si="312"/>
        <v>0.23290630930572423</v>
      </c>
      <c r="AZ1856" s="117" t="e">
        <f>VLOOKUP($D1856,'WB Data'!$C$3:$M$578,4,FALSE)/100</f>
        <v>#VALUE!</v>
      </c>
      <c r="BA1856" s="117" t="str">
        <f t="shared" si="313"/>
        <v>..</v>
      </c>
      <c r="BB1856" s="129">
        <f>IFERROR(VLOOKUP($D1856,'EITI Revenues'!$C$2:$G$224,5,FALSE),"..")</f>
        <v>3185676000</v>
      </c>
      <c r="BC1856" s="846" t="str">
        <f t="shared" si="314"/>
        <v>..</v>
      </c>
      <c r="BD1856" s="129" t="e">
        <f>VLOOKUP($D1856,'WB Data 2'!$C$2:$K$545,6,FALSE)</f>
        <v>#N/A</v>
      </c>
      <c r="BE1856" s="129">
        <f>IFERROR(VLOOKUP($D1856,UNCTAD!$C$5:$V$529,4,FALSE),"..")</f>
        <v>11042902725.99</v>
      </c>
      <c r="BF1856" s="846" t="str">
        <f t="shared" si="315"/>
        <v>..</v>
      </c>
      <c r="BG1856" s="117">
        <f>VLOOKUP($D1856,'WB Data'!$C$3:$M$578,5,FALSE)</f>
        <v>138600000</v>
      </c>
      <c r="BH1856" s="129">
        <f>IFERROR($BB1856/$BG1856,"..")</f>
        <v>22.984675324675326</v>
      </c>
      <c r="BI1856" s="117" t="str">
        <f>IFERROR(VLOOKUP($D1856,'WB Data'!$C$3:$M$578,7,FALSE)/100,"..")</f>
        <v>..</v>
      </c>
      <c r="BJ1856" s="117" t="str">
        <f>IFERROR($BI1856*$AW1856,"..")</f>
        <v>..</v>
      </c>
      <c r="BK1856" s="846" t="str">
        <f>IFERROR($BB1856/$BJ1856,"..")</f>
        <v>..</v>
      </c>
      <c r="BL1856" s="117" t="str">
        <f>IFERROR(VLOOKUP($D1856,'WB Data'!$C$3:$M$578,7,FALSE)/100,"..")</f>
        <v>..</v>
      </c>
      <c r="BM1856" s="117" t="str">
        <f>IFERROR($AW1856*$BL1856,"..")</f>
        <v>..</v>
      </c>
      <c r="BN1856" s="846" t="str">
        <f>IFERROR($BB1856/$BM1856,"..")</f>
        <v>..</v>
      </c>
      <c r="BO1856" s="801" t="str">
        <f t="shared" si="311"/>
        <v>..</v>
      </c>
      <c r="BP1856" s="117" t="str">
        <f>VLOOKUP($D1856,'WB Data'!$C$3:$M$578,9,FALSE)</f>
        <v>..</v>
      </c>
      <c r="BQ1856" s="117">
        <f>VLOOKUP($D1856,'WB Data'!$C$3:$M$578,10,FALSE)</f>
        <v>58.296560975609758</v>
      </c>
      <c r="BR1856" s="117">
        <f>VLOOKUP($D1856,'WB Data'!$C$3:$M$578,11,FALSE)</f>
        <v>37.299999999999997</v>
      </c>
      <c r="BS1856" s="129" t="str">
        <f>IFERROR(VLOOKUP($D1856,'WB Data 2'!$C$2:$K$545,9,FALSE),"..")</f>
        <v>..</v>
      </c>
      <c r="BT1856" s="129" t="str">
        <f>_xlfn.IFNA(VLOOKUP($C1856,RGI!$A$2:$C$43,2,FALSE),"..")</f>
        <v>..</v>
      </c>
      <c r="BU1856" s="129" t="str">
        <f>_xlfn.IFNA(VLOOKUP($C1856,RGI!$A$2:$C$43,3,FALSE),"..")</f>
        <v>..</v>
      </c>
      <c r="BV1856" s="129">
        <f>VLOOKUP($D1856,WGI!$C$2:$O$478,7,FALSE)</f>
        <v>-1.1557730958198</v>
      </c>
      <c r="BW1856" s="129">
        <f>VLOOKUP($D1856,WGI!$C$2:$O$478,4,FALSE)</f>
        <v>-0.47834038681802699</v>
      </c>
      <c r="BX1856" s="129">
        <f>VLOOKUP($D1856,WGI!$C$2:$O$478,3,FALSE)</f>
        <v>-1.2017292175155401</v>
      </c>
      <c r="BY1856" s="129">
        <f>VLOOKUP($D1856,WGI!$C$2:$O$478,5,FALSE)</f>
        <v>-1.37830012516968</v>
      </c>
      <c r="BZ1856" s="129">
        <f>VLOOKUP($D1856,WGI!$C$2:$O$478,2,FALSE)</f>
        <v>-1.1913743032773401</v>
      </c>
      <c r="CB1856" s="129"/>
    </row>
    <row r="1857" spans="1:80" ht="15" customHeight="1">
      <c r="A1857" s="289" t="s">
        <v>485</v>
      </c>
      <c r="B1857" s="146">
        <v>2013</v>
      </c>
      <c r="C1857" s="146" t="s">
        <v>465</v>
      </c>
      <c r="D1857" s="117" t="s">
        <v>3761</v>
      </c>
      <c r="E1857" s="146" t="s">
        <v>86</v>
      </c>
      <c r="F1857" s="146" t="s">
        <v>2164</v>
      </c>
      <c r="G1857" s="146" t="s">
        <v>55</v>
      </c>
      <c r="H1857" s="146"/>
      <c r="I1857" s="146"/>
      <c r="J1857" s="146"/>
      <c r="K1857" s="146" t="s">
        <v>2185</v>
      </c>
      <c r="L1857" s="146"/>
      <c r="M1857" s="146"/>
      <c r="N1857" s="754"/>
      <c r="O1857" s="754"/>
      <c r="P1857" s="754"/>
      <c r="Q1857" s="146"/>
      <c r="R1857" s="754"/>
      <c r="S1857" s="146"/>
      <c r="T1857" s="119"/>
      <c r="U1857" s="146"/>
      <c r="V1857" s="146" t="s">
        <v>725</v>
      </c>
      <c r="W1857" s="760">
        <v>9000000000</v>
      </c>
      <c r="X1857" s="303"/>
      <c r="Y1857" s="146" t="s">
        <v>663</v>
      </c>
      <c r="Z1857" s="146" t="s">
        <v>664</v>
      </c>
      <c r="AA1857" s="620">
        <v>3041615000</v>
      </c>
      <c r="AB1857" s="620">
        <v>3044743000</v>
      </c>
      <c r="AC1857" s="756"/>
      <c r="AD1857" s="760">
        <v>5153939000</v>
      </c>
      <c r="AE1857" s="756"/>
      <c r="AF1857" s="758"/>
      <c r="AG1857" s="146" t="s">
        <v>919</v>
      </c>
      <c r="AH1857" s="759">
        <v>493.887</v>
      </c>
      <c r="AI1857" s="146" t="s">
        <v>1203</v>
      </c>
      <c r="AJ1857" s="146"/>
      <c r="AK1857" s="760"/>
      <c r="AL1857" s="146"/>
      <c r="AM1857" s="146"/>
      <c r="AN1857" s="146">
        <v>96</v>
      </c>
      <c r="AO1857" s="146" t="s">
        <v>2186</v>
      </c>
      <c r="AP1857" s="146">
        <v>96</v>
      </c>
      <c r="AQ1857" s="239" t="s">
        <v>50</v>
      </c>
      <c r="AR1857" s="146"/>
      <c r="AS1857" s="146" t="s">
        <v>670</v>
      </c>
      <c r="AT1857" s="146" t="s">
        <v>486</v>
      </c>
      <c r="AU1857" s="146"/>
      <c r="AV1857" s="128" t="s">
        <v>2187</v>
      </c>
      <c r="AW1857" s="117">
        <f>VLOOKUP($D1857,'WB Data'!$C$3:$M$578,2,FALSE)</f>
        <v>14085852120.476074</v>
      </c>
      <c r="AX1857" s="117">
        <f>VLOOKUP($D1857,'WB Data'!$C$3:$M$578,3,FALSE)</f>
        <v>4447632</v>
      </c>
      <c r="AY1857" s="847">
        <f t="shared" si="312"/>
        <v>0.21593404317929182</v>
      </c>
      <c r="AZ1857" s="117" t="e">
        <f>VLOOKUP($D1857,'WB Data'!$C$3:$M$578,4,FALSE)/100</f>
        <v>#VALUE!</v>
      </c>
      <c r="BA1857" s="117" t="str">
        <f t="shared" si="313"/>
        <v>..</v>
      </c>
      <c r="BB1857" s="129">
        <f>IFERROR(VLOOKUP($D1857,'EITI Revenues'!$C$2:$G$224,5,FALSE),"..")</f>
        <v>3041615000</v>
      </c>
      <c r="BC1857" s="846" t="str">
        <f t="shared" si="314"/>
        <v>..</v>
      </c>
      <c r="BD1857" s="129" t="e">
        <f>VLOOKUP($D1857,'WB Data 2'!$C$2:$K$545,6,FALSE)</f>
        <v>#N/A</v>
      </c>
      <c r="BE1857" s="129" t="str">
        <f>IFERROR(VLOOKUP($D1857,UNCTAD!$C$5:$V$529,4,FALSE),"..")</f>
        <v>..</v>
      </c>
      <c r="BF1857" s="846" t="str">
        <f t="shared" si="315"/>
        <v>..</v>
      </c>
      <c r="BG1857" s="117" t="str">
        <f>VLOOKUP($D1857,'WB Data'!$C$3:$M$578,5,FALSE)</f>
        <v>..</v>
      </c>
      <c r="BH1857" s="129" t="str">
        <f>IFERROR($BB1857/$BG1857,"..")</f>
        <v>..</v>
      </c>
      <c r="BI1857" s="117" t="str">
        <f>IFERROR(VLOOKUP($D1857,'WB Data'!$C$3:$M$578,7,FALSE)/100,"..")</f>
        <v>..</v>
      </c>
      <c r="BJ1857" s="117" t="str">
        <f>IFERROR($BI1857*$AW1857,"..")</f>
        <v>..</v>
      </c>
      <c r="BK1857" s="846" t="str">
        <f>IFERROR($BB1857/$BJ1857,"..")</f>
        <v>..</v>
      </c>
      <c r="BL1857" s="117" t="str">
        <f>IFERROR(VLOOKUP($D1857,'WB Data'!$C$3:$M$578,7,FALSE)/100,"..")</f>
        <v>..</v>
      </c>
      <c r="BM1857" s="117" t="str">
        <f>IFERROR($AW1857*$BL1857,"..")</f>
        <v>..</v>
      </c>
      <c r="BN1857" s="846" t="str">
        <f>IFERROR($BB1857/$BM1857,"..")</f>
        <v>..</v>
      </c>
      <c r="BO1857" s="801" t="str">
        <f t="shared" si="311"/>
        <v>..</v>
      </c>
      <c r="BP1857" s="117" t="str">
        <f>VLOOKUP($D1857,'WB Data'!$C$3:$M$578,9,FALSE)</f>
        <v>..</v>
      </c>
      <c r="BQ1857" s="117" t="str">
        <f>VLOOKUP($D1857,'WB Data'!$C$3:$M$578,10,FALSE)</f>
        <v>..</v>
      </c>
      <c r="BR1857" s="117">
        <f>VLOOKUP($D1857,'WB Data'!$C$3:$M$578,11,FALSE)</f>
        <v>35.6</v>
      </c>
      <c r="BS1857" s="129" t="str">
        <f>IFERROR(VLOOKUP($D1857,'WB Data 2'!$C$2:$K$545,9,FALSE),"..")</f>
        <v>..</v>
      </c>
      <c r="BT1857" s="129" t="str">
        <f>_xlfn.IFNA(VLOOKUP($C1857,RGI!$A$2:$C$43,2,FALSE),"..")</f>
        <v>..</v>
      </c>
      <c r="BU1857" s="129" t="str">
        <f>_xlfn.IFNA(VLOOKUP($C1857,RGI!$A$2:$C$43,3,FALSE),"..")</f>
        <v>..</v>
      </c>
      <c r="BV1857" s="129">
        <f>VLOOKUP($D1857,WGI!$C$2:$O$478,7,FALSE)</f>
        <v>-1.1248090267181401</v>
      </c>
      <c r="BW1857" s="129">
        <f>VLOOKUP($D1857,WGI!$C$2:$O$478,4,FALSE)</f>
        <v>-0.466122686862946</v>
      </c>
      <c r="BX1857" s="129">
        <f>VLOOKUP($D1857,WGI!$C$2:$O$478,3,FALSE)</f>
        <v>-1.2225868701934799</v>
      </c>
      <c r="BY1857" s="129">
        <f>VLOOKUP($D1857,WGI!$C$2:$O$478,5,FALSE)</f>
        <v>-1.3572151660919201</v>
      </c>
      <c r="BZ1857" s="129">
        <f>VLOOKUP($D1857,WGI!$C$2:$O$478,2,FALSE)</f>
        <v>-1.1871302127838099</v>
      </c>
    </row>
    <row r="1858" spans="1:80" ht="15" customHeight="1">
      <c r="A1858" s="289" t="s">
        <v>485</v>
      </c>
      <c r="B1858" s="146">
        <v>2013</v>
      </c>
      <c r="C1858" s="146" t="s">
        <v>465</v>
      </c>
      <c r="D1858" s="117" t="s">
        <v>3761</v>
      </c>
      <c r="E1858" s="146" t="s">
        <v>86</v>
      </c>
      <c r="F1858" s="146"/>
      <c r="G1858" s="146" t="s">
        <v>103</v>
      </c>
      <c r="H1858" s="146"/>
      <c r="I1858" s="146"/>
      <c r="J1858" s="146"/>
      <c r="K1858" s="146" t="s">
        <v>103</v>
      </c>
      <c r="L1858" s="146"/>
      <c r="M1858" s="146"/>
      <c r="N1858" s="754"/>
      <c r="O1858" s="754"/>
      <c r="P1858" s="754"/>
      <c r="Q1858" s="760">
        <v>88384000</v>
      </c>
      <c r="R1858" s="754"/>
      <c r="S1858" s="146" t="s">
        <v>646</v>
      </c>
      <c r="T1858" s="119"/>
      <c r="U1858" s="146"/>
      <c r="V1858" s="146"/>
      <c r="W1858" s="146"/>
      <c r="X1858" s="146"/>
      <c r="Y1858" s="146"/>
      <c r="Z1858" s="146"/>
      <c r="AA1858" s="146"/>
      <c r="AB1858" s="146"/>
      <c r="AC1858" s="756"/>
      <c r="AD1858" s="760">
        <v>5149979000</v>
      </c>
      <c r="AE1858" s="756"/>
      <c r="AF1858" s="758"/>
      <c r="AG1858" s="146"/>
      <c r="AH1858" s="759"/>
      <c r="AI1858" s="146"/>
      <c r="AJ1858" s="146"/>
      <c r="AK1858" s="760"/>
      <c r="AL1858" s="146"/>
      <c r="AM1858" s="146"/>
      <c r="AN1858" s="146"/>
      <c r="AO1858" s="146"/>
      <c r="AP1858" s="146"/>
      <c r="AQ1858" s="146"/>
      <c r="AR1858" s="146"/>
      <c r="AS1858" s="146"/>
      <c r="AT1858" s="146"/>
      <c r="AU1858" s="146"/>
      <c r="AV1858" s="128"/>
      <c r="AW1858" s="117">
        <f>VLOOKUP($D1858,'WB Data'!$C$3:$M$578,2,FALSE)</f>
        <v>14085852120.476074</v>
      </c>
      <c r="AX1858" s="117">
        <f>VLOOKUP($D1858,'WB Data'!$C$3:$M$578,3,FALSE)</f>
        <v>4447632</v>
      </c>
      <c r="AY1858" s="847">
        <f t="shared" si="312"/>
        <v>0.21593404317929182</v>
      </c>
      <c r="AZ1858" s="117" t="e">
        <f>VLOOKUP($D1858,'WB Data'!$C$3:$M$578,4,FALSE)/100</f>
        <v>#VALUE!</v>
      </c>
      <c r="BA1858" s="117" t="str">
        <f t="shared" si="313"/>
        <v>..</v>
      </c>
      <c r="BB1858" s="129">
        <f>IFERROR(VLOOKUP($D1858,'EITI Revenues'!$C$2:$G$224,5,FALSE),"..")</f>
        <v>3041615000</v>
      </c>
      <c r="BC1858" s="846" t="str">
        <f t="shared" si="314"/>
        <v>..</v>
      </c>
      <c r="BD1858" s="129" t="e">
        <f>VLOOKUP($D1858,'WB Data 2'!$C$2:$K$545,6,FALSE)</f>
        <v>#N/A</v>
      </c>
      <c r="BE1858" s="129" t="str">
        <f>IFERROR(VLOOKUP($D1858,UNCTAD!$C$5:$V$529,4,FALSE),"..")</f>
        <v>..</v>
      </c>
      <c r="BF1858" s="846" t="str">
        <f t="shared" si="315"/>
        <v>..</v>
      </c>
      <c r="BG1858" s="117" t="str">
        <f>VLOOKUP($D1858,'WB Data'!$C$3:$M$578,5,FALSE)</f>
        <v>..</v>
      </c>
      <c r="BH1858" s="129" t="str">
        <f>IFERROR($BB1858/$BG1858,"..")</f>
        <v>..</v>
      </c>
      <c r="BI1858" s="117" t="str">
        <f>IFERROR(VLOOKUP($D1858,'WB Data'!$C$3:$M$578,7,FALSE)/100,"..")</f>
        <v>..</v>
      </c>
      <c r="BJ1858" s="117" t="str">
        <f>IFERROR($BI1858*$AW1858,"..")</f>
        <v>..</v>
      </c>
      <c r="BK1858" s="846" t="str">
        <f>IFERROR($BB1858/$BJ1858,"..")</f>
        <v>..</v>
      </c>
      <c r="BL1858" s="117" t="str">
        <f>IFERROR(VLOOKUP($D1858,'WB Data'!$C$3:$M$578,7,FALSE)/100,"..")</f>
        <v>..</v>
      </c>
      <c r="BM1858" s="117" t="str">
        <f>IFERROR($AW1858*$BL1858,"..")</f>
        <v>..</v>
      </c>
      <c r="BN1858" s="846" t="str">
        <f>IFERROR($BB1858/$BM1858,"..")</f>
        <v>..</v>
      </c>
      <c r="BO1858" s="801" t="str">
        <f t="shared" ref="BO1858:BO1921" si="323">_xlfn.IFNA(VLOOKUP($C1858,CPI_2013,2,FALSE),"..")</f>
        <v>..</v>
      </c>
      <c r="BP1858" s="117" t="str">
        <f>VLOOKUP($D1858,'WB Data'!$C$3:$M$578,9,FALSE)</f>
        <v>..</v>
      </c>
      <c r="BQ1858" s="117" t="str">
        <f>VLOOKUP($D1858,'WB Data'!$C$3:$M$578,10,FALSE)</f>
        <v>..</v>
      </c>
      <c r="BR1858" s="117">
        <f>VLOOKUP($D1858,'WB Data'!$C$3:$M$578,11,FALSE)</f>
        <v>35.6</v>
      </c>
      <c r="BS1858" s="129" t="str">
        <f>IFERROR(VLOOKUP($D1858,'WB Data 2'!$C$2:$K$545,9,FALSE),"..")</f>
        <v>..</v>
      </c>
      <c r="BT1858" s="129" t="str">
        <f>_xlfn.IFNA(VLOOKUP($C1858,RGI!$A$2:$C$43,2,FALSE),"..")</f>
        <v>..</v>
      </c>
      <c r="BU1858" s="129" t="str">
        <f>_xlfn.IFNA(VLOOKUP($C1858,RGI!$A$2:$C$43,3,FALSE),"..")</f>
        <v>..</v>
      </c>
      <c r="BV1858" s="129">
        <f>VLOOKUP($D1858,WGI!$C$2:$O$478,7,FALSE)</f>
        <v>-1.1248090267181401</v>
      </c>
      <c r="BW1858" s="129">
        <f>VLOOKUP($D1858,WGI!$C$2:$O$478,4,FALSE)</f>
        <v>-0.466122686862946</v>
      </c>
      <c r="BX1858" s="129">
        <f>VLOOKUP($D1858,WGI!$C$2:$O$478,3,FALSE)</f>
        <v>-1.2225868701934799</v>
      </c>
      <c r="BY1858" s="129">
        <f>VLOOKUP($D1858,WGI!$C$2:$O$478,5,FALSE)</f>
        <v>-1.3572151660919201</v>
      </c>
      <c r="BZ1858" s="129">
        <f>VLOOKUP($D1858,WGI!$C$2:$O$478,2,FALSE)</f>
        <v>-1.1871302127838099</v>
      </c>
    </row>
    <row r="1859" spans="1:80" ht="15" customHeight="1" thickBot="1">
      <c r="A1859" s="289" t="s">
        <v>485</v>
      </c>
      <c r="B1859" s="146">
        <v>2013</v>
      </c>
      <c r="C1859" s="146" t="s">
        <v>465</v>
      </c>
      <c r="D1859" s="117" t="s">
        <v>3761</v>
      </c>
      <c r="E1859" s="146" t="s">
        <v>86</v>
      </c>
      <c r="F1859" s="146"/>
      <c r="G1859" s="146" t="s">
        <v>561</v>
      </c>
      <c r="H1859" s="146"/>
      <c r="I1859" s="146"/>
      <c r="J1859" s="146"/>
      <c r="K1859" s="146" t="s">
        <v>561</v>
      </c>
      <c r="L1859" s="146"/>
      <c r="M1859" s="146"/>
      <c r="N1859" s="754"/>
      <c r="O1859" s="754"/>
      <c r="P1859" s="754"/>
      <c r="Q1859" s="760">
        <v>1500000</v>
      </c>
      <c r="R1859" s="754"/>
      <c r="S1859" s="146" t="s">
        <v>646</v>
      </c>
      <c r="T1859" s="119"/>
      <c r="U1859" s="146"/>
      <c r="V1859" s="146"/>
      <c r="W1859" s="146"/>
      <c r="X1859" s="146"/>
      <c r="Y1859" s="146"/>
      <c r="Z1859" s="146"/>
      <c r="AA1859" s="146"/>
      <c r="AB1859" s="146"/>
      <c r="AC1859" s="756"/>
      <c r="AD1859" s="760">
        <v>3960000</v>
      </c>
      <c r="AE1859" s="756"/>
      <c r="AF1859" s="758"/>
      <c r="AG1859" s="146"/>
      <c r="AH1859" s="759"/>
      <c r="AI1859" s="146"/>
      <c r="AJ1859" s="146"/>
      <c r="AK1859" s="760"/>
      <c r="AL1859" s="146"/>
      <c r="AM1859" s="146"/>
      <c r="AN1859" s="146"/>
      <c r="AO1859" s="146"/>
      <c r="AP1859" s="146"/>
      <c r="AQ1859" s="146"/>
      <c r="AR1859" s="146"/>
      <c r="AS1859" s="146"/>
      <c r="AT1859" s="146"/>
      <c r="AU1859" s="146"/>
      <c r="AV1859" s="128"/>
      <c r="AW1859" s="117">
        <f>VLOOKUP($D1859,'WB Data'!$C$3:$M$578,2,FALSE)</f>
        <v>14085852120.476074</v>
      </c>
      <c r="AX1859" s="117">
        <f>VLOOKUP($D1859,'WB Data'!$C$3:$M$578,3,FALSE)</f>
        <v>4447632</v>
      </c>
      <c r="AY1859" s="847">
        <f t="shared" ref="AY1859:AY1922" si="324">IFERROR($BB1859/$AW1859,"..")</f>
        <v>0.21593404317929182</v>
      </c>
      <c r="AZ1859" s="117" t="e">
        <f>VLOOKUP($D1859,'WB Data'!$C$3:$M$578,4,FALSE)/100</f>
        <v>#VALUE!</v>
      </c>
      <c r="BA1859" s="117" t="str">
        <f t="shared" ref="BA1859:BA1922" si="325">IFERROR($AW1859*$AZ1859,"..")</f>
        <v>..</v>
      </c>
      <c r="BB1859" s="129">
        <f>IFERROR(VLOOKUP($D1859,'EITI Revenues'!$C$2:$G$224,5,FALSE),"..")</f>
        <v>3041615000</v>
      </c>
      <c r="BC1859" s="846" t="str">
        <f t="shared" ref="BC1859:BC1922" si="326">IFERROR($BB1859/$BA1859,"..")</f>
        <v>..</v>
      </c>
      <c r="BD1859" s="129" t="e">
        <f>VLOOKUP($D1859,'WB Data 2'!$C$2:$K$545,6,FALSE)</f>
        <v>#N/A</v>
      </c>
      <c r="BE1859" s="129" t="str">
        <f>IFERROR(VLOOKUP($D1859,UNCTAD!$C$5:$V$529,4,FALSE),"..")</f>
        <v>..</v>
      </c>
      <c r="BF1859" s="846" t="str">
        <f t="shared" ref="BF1859:BF1922" si="327">IFERROR(($BD1859/$BE1859),"..")</f>
        <v>..</v>
      </c>
      <c r="BG1859" s="117" t="str">
        <f>VLOOKUP($D1859,'WB Data'!$C$3:$M$578,5,FALSE)</f>
        <v>..</v>
      </c>
      <c r="BH1859" s="129" t="str">
        <f>IFERROR($BB1859/$BG1859,"..")</f>
        <v>..</v>
      </c>
      <c r="BI1859" s="117" t="str">
        <f>IFERROR(VLOOKUP($D1859,'WB Data'!$C$3:$M$578,7,FALSE)/100,"..")</f>
        <v>..</v>
      </c>
      <c r="BJ1859" s="117" t="str">
        <f>IFERROR($BI1859*$AW1859,"..")</f>
        <v>..</v>
      </c>
      <c r="BK1859" s="846" t="str">
        <f>IFERROR($BB1859/$BJ1859,"..")</f>
        <v>..</v>
      </c>
      <c r="BL1859" s="117" t="str">
        <f>IFERROR(VLOOKUP($D1859,'WB Data'!$C$3:$M$578,7,FALSE)/100,"..")</f>
        <v>..</v>
      </c>
      <c r="BM1859" s="117" t="str">
        <f>IFERROR($AW1859*$BL1859,"..")</f>
        <v>..</v>
      </c>
      <c r="BN1859" s="846" t="str">
        <f>IFERROR($BB1859/$BM1859,"..")</f>
        <v>..</v>
      </c>
      <c r="BO1859" s="801" t="str">
        <f t="shared" si="323"/>
        <v>..</v>
      </c>
      <c r="BP1859" s="117" t="str">
        <f>VLOOKUP($D1859,'WB Data'!$C$3:$M$578,9,FALSE)</f>
        <v>..</v>
      </c>
      <c r="BQ1859" s="117" t="str">
        <f>VLOOKUP($D1859,'WB Data'!$C$3:$M$578,10,FALSE)</f>
        <v>..</v>
      </c>
      <c r="BR1859" s="117">
        <f>VLOOKUP($D1859,'WB Data'!$C$3:$M$578,11,FALSE)</f>
        <v>35.6</v>
      </c>
      <c r="BS1859" s="129" t="str">
        <f>IFERROR(VLOOKUP($D1859,'WB Data 2'!$C$2:$K$545,9,FALSE),"..")</f>
        <v>..</v>
      </c>
      <c r="BT1859" s="129" t="str">
        <f>_xlfn.IFNA(VLOOKUP($C1859,RGI!$A$2:$C$43,2,FALSE),"..")</f>
        <v>..</v>
      </c>
      <c r="BU1859" s="129" t="str">
        <f>_xlfn.IFNA(VLOOKUP($C1859,RGI!$A$2:$C$43,3,FALSE),"..")</f>
        <v>..</v>
      </c>
      <c r="BV1859" s="129">
        <f>VLOOKUP($D1859,WGI!$C$2:$O$478,7,FALSE)</f>
        <v>-1.1248090267181401</v>
      </c>
      <c r="BW1859" s="129">
        <f>VLOOKUP($D1859,WGI!$C$2:$O$478,4,FALSE)</f>
        <v>-0.466122686862946</v>
      </c>
      <c r="BX1859" s="129">
        <f>VLOOKUP($D1859,WGI!$C$2:$O$478,3,FALSE)</f>
        <v>-1.2225868701934799</v>
      </c>
      <c r="BY1859" s="129">
        <f>VLOOKUP($D1859,WGI!$C$2:$O$478,5,FALSE)</f>
        <v>-1.3572151660919201</v>
      </c>
      <c r="BZ1859" s="129">
        <f>VLOOKUP($D1859,WGI!$C$2:$O$478,2,FALSE)</f>
        <v>-1.1871302127838099</v>
      </c>
    </row>
    <row r="1860" spans="1:80" s="210" customFormat="1" ht="15" customHeight="1">
      <c r="A1860" s="336" t="s">
        <v>2188</v>
      </c>
      <c r="B1860" s="175">
        <v>2006</v>
      </c>
      <c r="C1860" s="175" t="s">
        <v>488</v>
      </c>
      <c r="D1860" s="117" t="s">
        <v>3542</v>
      </c>
      <c r="E1860" s="175" t="s">
        <v>86</v>
      </c>
      <c r="F1860" s="175" t="s">
        <v>2190</v>
      </c>
      <c r="G1860" s="175" t="s">
        <v>24</v>
      </c>
      <c r="H1860" s="117" t="str">
        <f t="shared" si="318"/>
        <v>yes</v>
      </c>
      <c r="I1860" s="117" t="str">
        <f t="shared" si="320"/>
        <v>no</v>
      </c>
      <c r="J1860" s="117" t="str">
        <f t="shared" si="321"/>
        <v>no</v>
      </c>
      <c r="K1860" s="175" t="s">
        <v>709</v>
      </c>
      <c r="L1860" s="117" t="str">
        <f t="shared" si="319"/>
        <v>Total</v>
      </c>
      <c r="M1860" s="117" t="str">
        <f t="shared" si="322"/>
        <v>Total Mining</v>
      </c>
      <c r="N1860" s="197"/>
      <c r="O1860" s="197"/>
      <c r="P1860" s="197"/>
      <c r="Q1860" s="197"/>
      <c r="R1860" s="197"/>
      <c r="S1860" s="175"/>
      <c r="T1860" s="198"/>
      <c r="U1860" s="175"/>
      <c r="V1860" s="175"/>
      <c r="W1860" s="199">
        <f>SUM(W1861:W1868)-SUM(W1866:W1868)</f>
        <v>192970526.33591437</v>
      </c>
      <c r="X1860" s="175" t="s">
        <v>633</v>
      </c>
      <c r="Y1860" s="175" t="s">
        <v>602</v>
      </c>
      <c r="Z1860" s="175" t="s">
        <v>603</v>
      </c>
      <c r="AA1860" s="637">
        <v>7255694.5761567</v>
      </c>
      <c r="AB1860" s="292">
        <v>7650039.54407294</v>
      </c>
      <c r="AC1860" s="338"/>
      <c r="AD1860" s="338"/>
      <c r="AE1860" s="338"/>
      <c r="AF1860" s="339">
        <f>AA1860/W1860</f>
        <v>3.7600014437056128E-2</v>
      </c>
      <c r="AG1860" s="175" t="s">
        <v>2191</v>
      </c>
      <c r="AH1860" s="204">
        <v>2961</v>
      </c>
      <c r="AI1860" s="175" t="s">
        <v>605</v>
      </c>
      <c r="AJ1860" s="175"/>
      <c r="AK1860" s="199"/>
      <c r="AL1860" s="175"/>
      <c r="AM1860" s="175"/>
      <c r="AN1860" s="175">
        <v>9</v>
      </c>
      <c r="AO1860" s="175" t="s">
        <v>2192</v>
      </c>
      <c r="AP1860" s="175">
        <v>9</v>
      </c>
      <c r="AQ1860" s="175" t="s">
        <v>489</v>
      </c>
      <c r="AR1860" s="206">
        <v>41897</v>
      </c>
      <c r="AS1860" s="175" t="s">
        <v>2193</v>
      </c>
      <c r="AT1860" s="175" t="s">
        <v>490</v>
      </c>
      <c r="AU1860" s="175">
        <v>23</v>
      </c>
      <c r="AV1860" s="209" t="s">
        <v>2194</v>
      </c>
      <c r="AW1860" s="117">
        <f>VLOOKUP($D1860,'WB Data'!$C$3:$M$578,2,FALSE)</f>
        <v>1887429109.5129781</v>
      </c>
      <c r="AX1860" s="117">
        <f>VLOOKUP($D1860,'WB Data'!$C$3:$M$578,3,FALSE)</f>
        <v>5280909</v>
      </c>
      <c r="AY1860" s="847">
        <f t="shared" si="324"/>
        <v>3.8442209774060972E-3</v>
      </c>
      <c r="AZ1860" s="117">
        <f>VLOOKUP($D1860,'WB Data'!$C$3:$M$578,4,FALSE)/100</f>
        <v>8.8623456082360275E-2</v>
      </c>
      <c r="BA1860" s="117">
        <f t="shared" si="325"/>
        <v>167270490.79549178</v>
      </c>
      <c r="BB1860" s="129">
        <f>IFERROR(VLOOKUP($D1860,'EITI Revenues'!$C$2:$G$224,5,FALSE),"..")</f>
        <v>7255694.5761567</v>
      </c>
      <c r="BC1860" s="846">
        <f t="shared" si="326"/>
        <v>4.3377014927442614E-2</v>
      </c>
      <c r="BD1860" s="129" t="str">
        <f>VLOOKUP($D1860,'WB Data 2'!$C$2:$K$545,6,FALSE)</f>
        <v>..</v>
      </c>
      <c r="BE1860" s="129">
        <f>IFERROR(VLOOKUP($D1860,UNCTAD!$C$5:$V$529,4,FALSE),"..")</f>
        <v>304390000</v>
      </c>
      <c r="BF1860" s="846" t="str">
        <f t="shared" si="327"/>
        <v>..</v>
      </c>
      <c r="BG1860" s="117">
        <f>VLOOKUP($D1860,'WB Data'!$C$3:$M$578,5,FALSE)</f>
        <v>380470000</v>
      </c>
      <c r="BH1860" s="129">
        <f>IFERROR($BB1860/$BG1860,"..")</f>
        <v>1.9070346088145451E-2</v>
      </c>
      <c r="BI1860" s="117" t="str">
        <f>IFERROR(VLOOKUP($D1860,'WB Data'!$C$3:$M$578,7,FALSE)/100,"..")</f>
        <v>..</v>
      </c>
      <c r="BJ1860" s="117" t="str">
        <f>IFERROR($BI1860*$AW1860,"..")</f>
        <v>..</v>
      </c>
      <c r="BK1860" s="846" t="str">
        <f>IFERROR($BB1860/$BJ1860,"..")</f>
        <v>..</v>
      </c>
      <c r="BL1860" s="117" t="str">
        <f>IFERROR(VLOOKUP($D1860,'WB Data'!$C$3:$M$578,7,FALSE)/100,"..")</f>
        <v>..</v>
      </c>
      <c r="BM1860" s="117" t="str">
        <f>IFERROR($AW1860*$BL1860,"..")</f>
        <v>..</v>
      </c>
      <c r="BN1860" s="846" t="str">
        <f>IFERROR($BB1860/$BM1860,"..")</f>
        <v>..</v>
      </c>
      <c r="BO1860" s="801">
        <f t="shared" si="323"/>
        <v>31</v>
      </c>
      <c r="BP1860" s="117" t="str">
        <f>VLOOKUP($D1860,'WB Data'!$C$3:$M$578,9,FALSE)</f>
        <v>..</v>
      </c>
      <c r="BQ1860" s="117">
        <f>VLOOKUP($D1860,'WB Data'!$C$3:$M$578,10,FALSE)</f>
        <v>42.882536585365855</v>
      </c>
      <c r="BR1860" s="117">
        <f>VLOOKUP($D1860,'WB Data'!$C$3:$M$578,11,FALSE)</f>
        <v>124.8</v>
      </c>
      <c r="BS1860" s="129" t="str">
        <f>IFERROR(VLOOKUP($D1860,'WB Data 2'!$C$2:$K$545,9,FALSE),"..")</f>
        <v>..</v>
      </c>
      <c r="BT1860" s="129">
        <f>_xlfn.IFNA(VLOOKUP($C1860,RGI!$A$2:$C$43,2,FALSE),"..")</f>
        <v>38.200000000000003</v>
      </c>
      <c r="BU1860" s="129">
        <f>_xlfn.IFNA(VLOOKUP($C1860,RGI!$A$2:$C$43,3,FALSE),"..")</f>
        <v>45.714033330666766</v>
      </c>
      <c r="BV1860" s="129">
        <f>VLOOKUP($D1860,WGI!$C$2:$O$478,7,FALSE)</f>
        <v>-0.384186283734269</v>
      </c>
      <c r="BW1860" s="129">
        <f>VLOOKUP($D1860,WGI!$C$2:$O$478,4,FALSE)</f>
        <v>-0.25657404298681802</v>
      </c>
      <c r="BX1860" s="129">
        <f>VLOOKUP($D1860,WGI!$C$2:$O$478,3,FALSE)</f>
        <v>-1.1642917328430999</v>
      </c>
      <c r="BY1860" s="129">
        <f>VLOOKUP($D1860,WGI!$C$2:$O$478,5,FALSE)</f>
        <v>-1.16081623685993</v>
      </c>
      <c r="BZ1860" s="129">
        <f>VLOOKUP($D1860,WGI!$C$2:$O$478,2,FALSE)</f>
        <v>-1.0502475518389001</v>
      </c>
      <c r="CB1860" s="129"/>
    </row>
    <row r="1861" spans="1:80" s="120" customFormat="1" ht="15" customHeight="1">
      <c r="A1861" s="280" t="s">
        <v>2188</v>
      </c>
      <c r="B1861" s="117">
        <v>2006</v>
      </c>
      <c r="C1861" s="117" t="s">
        <v>488</v>
      </c>
      <c r="D1861" s="117" t="s">
        <v>3542</v>
      </c>
      <c r="E1861" s="117" t="s">
        <v>86</v>
      </c>
      <c r="F1861" s="117"/>
      <c r="G1861" s="117" t="s">
        <v>24</v>
      </c>
      <c r="H1861" s="117" t="str">
        <f t="shared" si="318"/>
        <v>yes</v>
      </c>
      <c r="I1861" s="117" t="str">
        <f t="shared" si="320"/>
        <v>no</v>
      </c>
      <c r="J1861" s="117" t="str">
        <f t="shared" si="321"/>
        <v>no</v>
      </c>
      <c r="K1861" s="117" t="s">
        <v>1138</v>
      </c>
      <c r="L1861" s="117" t="str">
        <f t="shared" si="319"/>
        <v>detailed</v>
      </c>
      <c r="M1861" s="117" t="str">
        <f t="shared" si="322"/>
        <v>detailed Mining</v>
      </c>
      <c r="N1861" s="118">
        <v>1072000</v>
      </c>
      <c r="O1861" s="118"/>
      <c r="P1861" s="118"/>
      <c r="Q1861" s="118"/>
      <c r="R1861" s="118"/>
      <c r="S1861" s="117" t="s">
        <v>610</v>
      </c>
      <c r="T1861" s="119">
        <v>28.1</v>
      </c>
      <c r="U1861" s="117" t="s">
        <v>611</v>
      </c>
      <c r="V1861" s="117" t="s">
        <v>2195</v>
      </c>
      <c r="W1861" s="89">
        <f>N1861*T1861</f>
        <v>30123200</v>
      </c>
      <c r="X1861" s="117"/>
      <c r="Y1861" s="117"/>
      <c r="Z1861" s="117"/>
      <c r="AA1861" s="177">
        <f>711258+(177500229/2961)</f>
        <v>771204.04154002026</v>
      </c>
      <c r="AB1861" s="177">
        <f>731722+(177500229/2961)</f>
        <v>791668.04154002026</v>
      </c>
      <c r="AC1861" s="122"/>
      <c r="AD1861" s="122"/>
      <c r="AE1861" s="122"/>
      <c r="AF1861" s="123">
        <f>AA1861/W1861</f>
        <v>2.560166388497969E-2</v>
      </c>
      <c r="AG1861" s="117"/>
      <c r="AH1861" s="124"/>
      <c r="AI1861" s="117"/>
      <c r="AJ1861" s="117"/>
      <c r="AK1861" s="89"/>
      <c r="AL1861" s="117"/>
      <c r="AM1861" s="117"/>
      <c r="AN1861" s="117">
        <v>1</v>
      </c>
      <c r="AO1861" s="117" t="s">
        <v>2196</v>
      </c>
      <c r="AP1861" s="117">
        <v>1</v>
      </c>
      <c r="AQ1861" s="117"/>
      <c r="AR1861" s="117"/>
      <c r="AS1861" s="117"/>
      <c r="AT1861" s="117"/>
      <c r="AU1861" s="117">
        <v>23</v>
      </c>
      <c r="AV1861" s="128"/>
      <c r="AW1861" s="117">
        <f>VLOOKUP($D1861,'WB Data'!$C$3:$M$578,2,FALSE)</f>
        <v>1887429109.5129781</v>
      </c>
      <c r="AX1861" s="117">
        <f>VLOOKUP($D1861,'WB Data'!$C$3:$M$578,3,FALSE)</f>
        <v>5280909</v>
      </c>
      <c r="AY1861" s="847">
        <f t="shared" si="324"/>
        <v>3.8442209774060972E-3</v>
      </c>
      <c r="AZ1861" s="117">
        <f>VLOOKUP($D1861,'WB Data'!$C$3:$M$578,4,FALSE)/100</f>
        <v>8.8623456082360275E-2</v>
      </c>
      <c r="BA1861" s="117">
        <f t="shared" si="325"/>
        <v>167270490.79549178</v>
      </c>
      <c r="BB1861" s="129">
        <f>IFERROR(VLOOKUP($D1861,'EITI Revenues'!$C$2:$G$224,5,FALSE),"..")</f>
        <v>7255694.5761567</v>
      </c>
      <c r="BC1861" s="846">
        <f t="shared" si="326"/>
        <v>4.3377014927442614E-2</v>
      </c>
      <c r="BD1861" s="129" t="str">
        <f>VLOOKUP($D1861,'WB Data 2'!$C$2:$K$545,6,FALSE)</f>
        <v>..</v>
      </c>
      <c r="BE1861" s="129">
        <f>IFERROR(VLOOKUP($D1861,UNCTAD!$C$5:$V$529,4,FALSE),"..")</f>
        <v>304390000</v>
      </c>
      <c r="BF1861" s="846" t="str">
        <f t="shared" si="327"/>
        <v>..</v>
      </c>
      <c r="BG1861" s="117">
        <f>VLOOKUP($D1861,'WB Data'!$C$3:$M$578,5,FALSE)</f>
        <v>380470000</v>
      </c>
      <c r="BH1861" s="129">
        <f>IFERROR($BB1861/$BG1861,"..")</f>
        <v>1.9070346088145451E-2</v>
      </c>
      <c r="BI1861" s="117" t="str">
        <f>IFERROR(VLOOKUP($D1861,'WB Data'!$C$3:$M$578,7,FALSE)/100,"..")</f>
        <v>..</v>
      </c>
      <c r="BJ1861" s="117" t="str">
        <f>IFERROR($BI1861*$AW1861,"..")</f>
        <v>..</v>
      </c>
      <c r="BK1861" s="846" t="str">
        <f>IFERROR($BB1861/$BJ1861,"..")</f>
        <v>..</v>
      </c>
      <c r="BL1861" s="117" t="str">
        <f>IFERROR(VLOOKUP($D1861,'WB Data'!$C$3:$M$578,7,FALSE)/100,"..")</f>
        <v>..</v>
      </c>
      <c r="BM1861" s="117" t="str">
        <f>IFERROR($AW1861*$BL1861,"..")</f>
        <v>..</v>
      </c>
      <c r="BN1861" s="846" t="str">
        <f>IFERROR($BB1861/$BM1861,"..")</f>
        <v>..</v>
      </c>
      <c r="BO1861" s="801">
        <f t="shared" si="323"/>
        <v>31</v>
      </c>
      <c r="BP1861" s="117" t="str">
        <f>VLOOKUP($D1861,'WB Data'!$C$3:$M$578,9,FALSE)</f>
        <v>..</v>
      </c>
      <c r="BQ1861" s="117">
        <f>VLOOKUP($D1861,'WB Data'!$C$3:$M$578,10,FALSE)</f>
        <v>42.882536585365855</v>
      </c>
      <c r="BR1861" s="117">
        <f>VLOOKUP($D1861,'WB Data'!$C$3:$M$578,11,FALSE)</f>
        <v>124.8</v>
      </c>
      <c r="BS1861" s="129" t="str">
        <f>IFERROR(VLOOKUP($D1861,'WB Data 2'!$C$2:$K$545,9,FALSE),"..")</f>
        <v>..</v>
      </c>
      <c r="BT1861" s="129">
        <f>_xlfn.IFNA(VLOOKUP($C1861,RGI!$A$2:$C$43,2,FALSE),"..")</f>
        <v>38.200000000000003</v>
      </c>
      <c r="BU1861" s="129">
        <f>_xlfn.IFNA(VLOOKUP($C1861,RGI!$A$2:$C$43,3,FALSE),"..")</f>
        <v>45.714033330666766</v>
      </c>
      <c r="BV1861" s="129">
        <f>VLOOKUP($D1861,WGI!$C$2:$O$478,7,FALSE)</f>
        <v>-0.384186283734269</v>
      </c>
      <c r="BW1861" s="129">
        <f>VLOOKUP($D1861,WGI!$C$2:$O$478,4,FALSE)</f>
        <v>-0.25657404298681802</v>
      </c>
      <c r="BX1861" s="129">
        <f>VLOOKUP($D1861,WGI!$C$2:$O$478,3,FALSE)</f>
        <v>-1.1642917328430999</v>
      </c>
      <c r="BY1861" s="129">
        <f>VLOOKUP($D1861,WGI!$C$2:$O$478,5,FALSE)</f>
        <v>-1.16081623685993</v>
      </c>
      <c r="BZ1861" s="129">
        <f>VLOOKUP($D1861,WGI!$C$2:$O$478,2,FALSE)</f>
        <v>-1.0502475518389001</v>
      </c>
      <c r="CB1861" s="129"/>
    </row>
    <row r="1862" spans="1:80" s="120" customFormat="1" ht="15" customHeight="1">
      <c r="A1862" s="280" t="s">
        <v>2188</v>
      </c>
      <c r="B1862" s="117">
        <v>2006</v>
      </c>
      <c r="C1862" s="117" t="s">
        <v>488</v>
      </c>
      <c r="D1862" s="117" t="s">
        <v>3542</v>
      </c>
      <c r="E1862" s="117" t="s">
        <v>86</v>
      </c>
      <c r="F1862" s="117"/>
      <c r="G1862" s="117" t="s">
        <v>24</v>
      </c>
      <c r="H1862" s="117" t="str">
        <f t="shared" si="318"/>
        <v>yes</v>
      </c>
      <c r="I1862" s="117" t="str">
        <f t="shared" si="320"/>
        <v>no</v>
      </c>
      <c r="J1862" s="117" t="str">
        <f t="shared" si="321"/>
        <v>no</v>
      </c>
      <c r="K1862" s="117" t="s">
        <v>980</v>
      </c>
      <c r="L1862" s="117" t="str">
        <f t="shared" si="319"/>
        <v>detailed</v>
      </c>
      <c r="M1862" s="117" t="str">
        <f t="shared" si="322"/>
        <v>detailed Mining</v>
      </c>
      <c r="N1862" s="118">
        <v>603566</v>
      </c>
      <c r="O1862" s="118"/>
      <c r="P1862" s="118"/>
      <c r="Q1862" s="118"/>
      <c r="R1862" s="118"/>
      <c r="S1862" s="117" t="s">
        <v>981</v>
      </c>
      <c r="T1862" s="119">
        <v>207.61</v>
      </c>
      <c r="U1862" s="117" t="s">
        <v>982</v>
      </c>
      <c r="V1862" s="117" t="s">
        <v>983</v>
      </c>
      <c r="W1862" s="89">
        <f>N1862*T1862</f>
        <v>125306337.26000001</v>
      </c>
      <c r="X1862" s="89"/>
      <c r="Y1862" s="117"/>
      <c r="Z1862" s="117"/>
      <c r="AA1862" s="177">
        <f>1593421+734973+1270745+((2319547492+57050000)/2961)</f>
        <v>4401772.398176292</v>
      </c>
      <c r="AB1862" s="177">
        <f>1593421+734973+1496346+((6000000+7200000+2497683614)/2961)</f>
        <v>4672725.0097939884</v>
      </c>
      <c r="AC1862" s="122"/>
      <c r="AD1862" s="122"/>
      <c r="AE1862" s="122"/>
      <c r="AF1862" s="123">
        <f>AA1862/W1862</f>
        <v>3.5128090840633126E-2</v>
      </c>
      <c r="AG1862" s="117"/>
      <c r="AH1862" s="124"/>
      <c r="AI1862" s="117"/>
      <c r="AJ1862" s="117"/>
      <c r="AK1862" s="89"/>
      <c r="AL1862" s="117"/>
      <c r="AM1862" s="117"/>
      <c r="AN1862" s="117">
        <v>4</v>
      </c>
      <c r="AO1862" s="117" t="s">
        <v>2197</v>
      </c>
      <c r="AP1862" s="117">
        <v>4</v>
      </c>
      <c r="AQ1862" s="117"/>
      <c r="AR1862" s="117"/>
      <c r="AS1862" s="117"/>
      <c r="AT1862" s="117"/>
      <c r="AU1862" s="117">
        <v>23</v>
      </c>
      <c r="AV1862" s="128"/>
      <c r="AW1862" s="117">
        <f>VLOOKUP($D1862,'WB Data'!$C$3:$M$578,2,FALSE)</f>
        <v>1887429109.5129781</v>
      </c>
      <c r="AX1862" s="117">
        <f>VLOOKUP($D1862,'WB Data'!$C$3:$M$578,3,FALSE)</f>
        <v>5280909</v>
      </c>
      <c r="AY1862" s="847">
        <f t="shared" si="324"/>
        <v>3.8442209774060972E-3</v>
      </c>
      <c r="AZ1862" s="117">
        <f>VLOOKUP($D1862,'WB Data'!$C$3:$M$578,4,FALSE)/100</f>
        <v>8.8623456082360275E-2</v>
      </c>
      <c r="BA1862" s="117">
        <f t="shared" si="325"/>
        <v>167270490.79549178</v>
      </c>
      <c r="BB1862" s="129">
        <f>IFERROR(VLOOKUP($D1862,'EITI Revenues'!$C$2:$G$224,5,FALSE),"..")</f>
        <v>7255694.5761567</v>
      </c>
      <c r="BC1862" s="846">
        <f t="shared" si="326"/>
        <v>4.3377014927442614E-2</v>
      </c>
      <c r="BD1862" s="129" t="str">
        <f>VLOOKUP($D1862,'WB Data 2'!$C$2:$K$545,6,FALSE)</f>
        <v>..</v>
      </c>
      <c r="BE1862" s="129">
        <f>IFERROR(VLOOKUP($D1862,UNCTAD!$C$5:$V$529,4,FALSE),"..")</f>
        <v>304390000</v>
      </c>
      <c r="BF1862" s="846" t="str">
        <f t="shared" si="327"/>
        <v>..</v>
      </c>
      <c r="BG1862" s="117">
        <f>VLOOKUP($D1862,'WB Data'!$C$3:$M$578,5,FALSE)</f>
        <v>380470000</v>
      </c>
      <c r="BH1862" s="129">
        <f>IFERROR($BB1862/$BG1862,"..")</f>
        <v>1.9070346088145451E-2</v>
      </c>
      <c r="BI1862" s="117" t="str">
        <f>IFERROR(VLOOKUP($D1862,'WB Data'!$C$3:$M$578,7,FALSE)/100,"..")</f>
        <v>..</v>
      </c>
      <c r="BJ1862" s="117" t="str">
        <f>IFERROR($BI1862*$AW1862,"..")</f>
        <v>..</v>
      </c>
      <c r="BK1862" s="846" t="str">
        <f>IFERROR($BB1862/$BJ1862,"..")</f>
        <v>..</v>
      </c>
      <c r="BL1862" s="117" t="str">
        <f>IFERROR(VLOOKUP($D1862,'WB Data'!$C$3:$M$578,7,FALSE)/100,"..")</f>
        <v>..</v>
      </c>
      <c r="BM1862" s="117" t="str">
        <f>IFERROR($AW1862*$BL1862,"..")</f>
        <v>..</v>
      </c>
      <c r="BN1862" s="846" t="str">
        <f>IFERROR($BB1862/$BM1862,"..")</f>
        <v>..</v>
      </c>
      <c r="BO1862" s="801">
        <f t="shared" si="323"/>
        <v>31</v>
      </c>
      <c r="BP1862" s="117" t="str">
        <f>VLOOKUP($D1862,'WB Data'!$C$3:$M$578,9,FALSE)</f>
        <v>..</v>
      </c>
      <c r="BQ1862" s="117">
        <f>VLOOKUP($D1862,'WB Data'!$C$3:$M$578,10,FALSE)</f>
        <v>42.882536585365855</v>
      </c>
      <c r="BR1862" s="117">
        <f>VLOOKUP($D1862,'WB Data'!$C$3:$M$578,11,FALSE)</f>
        <v>124.8</v>
      </c>
      <c r="BS1862" s="129" t="str">
        <f>IFERROR(VLOOKUP($D1862,'WB Data 2'!$C$2:$K$545,9,FALSE),"..")</f>
        <v>..</v>
      </c>
      <c r="BT1862" s="129">
        <f>_xlfn.IFNA(VLOOKUP($C1862,RGI!$A$2:$C$43,2,FALSE),"..")</f>
        <v>38.200000000000003</v>
      </c>
      <c r="BU1862" s="129">
        <f>_xlfn.IFNA(VLOOKUP($C1862,RGI!$A$2:$C$43,3,FALSE),"..")</f>
        <v>45.714033330666766</v>
      </c>
      <c r="BV1862" s="129">
        <f>VLOOKUP($D1862,WGI!$C$2:$O$478,7,FALSE)</f>
        <v>-0.384186283734269</v>
      </c>
      <c r="BW1862" s="129">
        <f>VLOOKUP($D1862,WGI!$C$2:$O$478,4,FALSE)</f>
        <v>-0.25657404298681802</v>
      </c>
      <c r="BX1862" s="129">
        <f>VLOOKUP($D1862,WGI!$C$2:$O$478,3,FALSE)</f>
        <v>-1.1642917328430999</v>
      </c>
      <c r="BY1862" s="129">
        <f>VLOOKUP($D1862,WGI!$C$2:$O$478,5,FALSE)</f>
        <v>-1.16081623685993</v>
      </c>
      <c r="BZ1862" s="129">
        <f>VLOOKUP($D1862,WGI!$C$2:$O$478,2,FALSE)</f>
        <v>-1.0502475518389001</v>
      </c>
      <c r="CB1862" s="129"/>
    </row>
    <row r="1863" spans="1:80" s="120" customFormat="1" ht="15" customHeight="1">
      <c r="A1863" s="280" t="s">
        <v>2188</v>
      </c>
      <c r="B1863" s="117">
        <v>2006</v>
      </c>
      <c r="C1863" s="117" t="s">
        <v>488</v>
      </c>
      <c r="D1863" s="117" t="s">
        <v>3542</v>
      </c>
      <c r="E1863" s="117" t="s">
        <v>86</v>
      </c>
      <c r="F1863" s="117"/>
      <c r="G1863" s="117" t="s">
        <v>24</v>
      </c>
      <c r="H1863" s="117" t="str">
        <f t="shared" si="318"/>
        <v>yes</v>
      </c>
      <c r="I1863" s="117" t="str">
        <f t="shared" si="320"/>
        <v>no</v>
      </c>
      <c r="J1863" s="117" t="str">
        <f t="shared" si="321"/>
        <v>no</v>
      </c>
      <c r="K1863" s="117" t="s">
        <v>784</v>
      </c>
      <c r="L1863" s="117" t="str">
        <f t="shared" si="319"/>
        <v>detailed</v>
      </c>
      <c r="M1863" s="117" t="str">
        <f t="shared" si="322"/>
        <v>detailed Mining</v>
      </c>
      <c r="N1863" s="118">
        <f>71*32.1507431265</f>
        <v>2282.7027619814999</v>
      </c>
      <c r="O1863" s="118"/>
      <c r="P1863" s="118"/>
      <c r="Q1863" s="118"/>
      <c r="R1863" s="118"/>
      <c r="S1863" s="117" t="s">
        <v>785</v>
      </c>
      <c r="T1863" s="119">
        <v>604.33583333333002</v>
      </c>
      <c r="U1863" s="117" t="s">
        <v>786</v>
      </c>
      <c r="V1863" s="117" t="s">
        <v>984</v>
      </c>
      <c r="W1863" s="89">
        <f>N1863*T1863</f>
        <v>1379519.0759143839</v>
      </c>
      <c r="X1863" s="89"/>
      <c r="Y1863" s="117"/>
      <c r="Z1863" s="117"/>
      <c r="AA1863" s="177">
        <f>21200+(33679001/2961)</f>
        <v>32574.198243836541</v>
      </c>
      <c r="AB1863" s="177">
        <f>21200+(37263032/2961)</f>
        <v>33784.6106045255</v>
      </c>
      <c r="AC1863" s="122"/>
      <c r="AD1863" s="122"/>
      <c r="AE1863" s="122"/>
      <c r="AF1863" s="123">
        <f>AA1863/W1863</f>
        <v>2.3612720412905817E-2</v>
      </c>
      <c r="AG1863" s="117"/>
      <c r="AH1863" s="124"/>
      <c r="AI1863" s="117"/>
      <c r="AJ1863" s="117"/>
      <c r="AK1863" s="89"/>
      <c r="AL1863" s="117"/>
      <c r="AM1863" s="117"/>
      <c r="AN1863" s="117">
        <v>1</v>
      </c>
      <c r="AO1863" s="117" t="s">
        <v>2198</v>
      </c>
      <c r="AP1863" s="117">
        <v>1</v>
      </c>
      <c r="AQ1863" s="117"/>
      <c r="AR1863" s="117"/>
      <c r="AS1863" s="117"/>
      <c r="AT1863" s="117"/>
      <c r="AU1863" s="117">
        <v>23</v>
      </c>
      <c r="AV1863" s="128"/>
      <c r="AW1863" s="117">
        <f>VLOOKUP($D1863,'WB Data'!$C$3:$M$578,2,FALSE)</f>
        <v>1887429109.5129781</v>
      </c>
      <c r="AX1863" s="117">
        <f>VLOOKUP($D1863,'WB Data'!$C$3:$M$578,3,FALSE)</f>
        <v>5280909</v>
      </c>
      <c r="AY1863" s="847">
        <f t="shared" si="324"/>
        <v>3.8442209774060972E-3</v>
      </c>
      <c r="AZ1863" s="117">
        <f>VLOOKUP($D1863,'WB Data'!$C$3:$M$578,4,FALSE)/100</f>
        <v>8.8623456082360275E-2</v>
      </c>
      <c r="BA1863" s="117">
        <f t="shared" si="325"/>
        <v>167270490.79549178</v>
      </c>
      <c r="BB1863" s="129">
        <f>IFERROR(VLOOKUP($D1863,'EITI Revenues'!$C$2:$G$224,5,FALSE),"..")</f>
        <v>7255694.5761567</v>
      </c>
      <c r="BC1863" s="846">
        <f t="shared" si="326"/>
        <v>4.3377014927442614E-2</v>
      </c>
      <c r="BD1863" s="129" t="str">
        <f>VLOOKUP($D1863,'WB Data 2'!$C$2:$K$545,6,FALSE)</f>
        <v>..</v>
      </c>
      <c r="BE1863" s="129">
        <f>IFERROR(VLOOKUP($D1863,UNCTAD!$C$5:$V$529,4,FALSE),"..")</f>
        <v>304390000</v>
      </c>
      <c r="BF1863" s="846" t="str">
        <f t="shared" si="327"/>
        <v>..</v>
      </c>
      <c r="BG1863" s="117">
        <f>VLOOKUP($D1863,'WB Data'!$C$3:$M$578,5,FALSE)</f>
        <v>380470000</v>
      </c>
      <c r="BH1863" s="129">
        <f>IFERROR($BB1863/$BG1863,"..")</f>
        <v>1.9070346088145451E-2</v>
      </c>
      <c r="BI1863" s="117" t="str">
        <f>IFERROR(VLOOKUP($D1863,'WB Data'!$C$3:$M$578,7,FALSE)/100,"..")</f>
        <v>..</v>
      </c>
      <c r="BJ1863" s="117" t="str">
        <f>IFERROR($BI1863*$AW1863,"..")</f>
        <v>..</v>
      </c>
      <c r="BK1863" s="846" t="str">
        <f>IFERROR($BB1863/$BJ1863,"..")</f>
        <v>..</v>
      </c>
      <c r="BL1863" s="117" t="str">
        <f>IFERROR(VLOOKUP($D1863,'WB Data'!$C$3:$M$578,7,FALSE)/100,"..")</f>
        <v>..</v>
      </c>
      <c r="BM1863" s="117" t="str">
        <f>IFERROR($AW1863*$BL1863,"..")</f>
        <v>..</v>
      </c>
      <c r="BN1863" s="846" t="str">
        <f>IFERROR($BB1863/$BM1863,"..")</f>
        <v>..</v>
      </c>
      <c r="BO1863" s="801">
        <f t="shared" si="323"/>
        <v>31</v>
      </c>
      <c r="BP1863" s="117" t="str">
        <f>VLOOKUP($D1863,'WB Data'!$C$3:$M$578,9,FALSE)</f>
        <v>..</v>
      </c>
      <c r="BQ1863" s="117">
        <f>VLOOKUP($D1863,'WB Data'!$C$3:$M$578,10,FALSE)</f>
        <v>42.882536585365855</v>
      </c>
      <c r="BR1863" s="117">
        <f>VLOOKUP($D1863,'WB Data'!$C$3:$M$578,11,FALSE)</f>
        <v>124.8</v>
      </c>
      <c r="BS1863" s="129" t="str">
        <f>IFERROR(VLOOKUP($D1863,'WB Data 2'!$C$2:$K$545,9,FALSE),"..")</f>
        <v>..</v>
      </c>
      <c r="BT1863" s="129">
        <f>_xlfn.IFNA(VLOOKUP($C1863,RGI!$A$2:$C$43,2,FALSE),"..")</f>
        <v>38.200000000000003</v>
      </c>
      <c r="BU1863" s="129">
        <f>_xlfn.IFNA(VLOOKUP($C1863,RGI!$A$2:$C$43,3,FALSE),"..")</f>
        <v>45.714033330666766</v>
      </c>
      <c r="BV1863" s="129">
        <f>VLOOKUP($D1863,WGI!$C$2:$O$478,7,FALSE)</f>
        <v>-0.384186283734269</v>
      </c>
      <c r="BW1863" s="129">
        <f>VLOOKUP($D1863,WGI!$C$2:$O$478,4,FALSE)</f>
        <v>-0.25657404298681802</v>
      </c>
      <c r="BX1863" s="129">
        <f>VLOOKUP($D1863,WGI!$C$2:$O$478,3,FALSE)</f>
        <v>-1.1642917328430999</v>
      </c>
      <c r="BY1863" s="129">
        <f>VLOOKUP($D1863,WGI!$C$2:$O$478,5,FALSE)</f>
        <v>-1.16081623685993</v>
      </c>
      <c r="BZ1863" s="129">
        <f>VLOOKUP($D1863,WGI!$C$2:$O$478,2,FALSE)</f>
        <v>-1.0502475518389001</v>
      </c>
      <c r="CB1863" s="129"/>
    </row>
    <row r="1864" spans="1:80" s="120" customFormat="1" ht="15" customHeight="1">
      <c r="A1864" s="280" t="s">
        <v>2188</v>
      </c>
      <c r="B1864" s="117">
        <v>2006</v>
      </c>
      <c r="C1864" s="117" t="s">
        <v>488</v>
      </c>
      <c r="D1864" s="117" t="s">
        <v>3542</v>
      </c>
      <c r="E1864" s="117" t="s">
        <v>86</v>
      </c>
      <c r="F1864" s="117"/>
      <c r="G1864" s="117" t="s">
        <v>24</v>
      </c>
      <c r="H1864" s="117" t="str">
        <f t="shared" si="318"/>
        <v>yes</v>
      </c>
      <c r="I1864" s="117" t="str">
        <f t="shared" si="320"/>
        <v>no</v>
      </c>
      <c r="J1864" s="117" t="str">
        <f t="shared" si="321"/>
        <v>no</v>
      </c>
      <c r="K1864" s="117" t="s">
        <v>1228</v>
      </c>
      <c r="L1864" s="117" t="str">
        <f t="shared" si="319"/>
        <v>detailed</v>
      </c>
      <c r="M1864" s="117" t="str">
        <f t="shared" si="322"/>
        <v>detailed Mining</v>
      </c>
      <c r="N1864" s="118">
        <v>0</v>
      </c>
      <c r="O1864" s="118"/>
      <c r="P1864" s="118"/>
      <c r="Q1864" s="118"/>
      <c r="R1864" s="118"/>
      <c r="S1864" s="117" t="s">
        <v>610</v>
      </c>
      <c r="T1864" s="119"/>
      <c r="U1864" s="117"/>
      <c r="V1864" s="117" t="s">
        <v>2199</v>
      </c>
      <c r="W1864" s="89">
        <f>N1864*T1864</f>
        <v>0</v>
      </c>
      <c r="X1864" s="117"/>
      <c r="Y1864" s="117"/>
      <c r="Z1864" s="117"/>
      <c r="AA1864" s="177">
        <f>1032349+25000+(1054356992/2961)</f>
        <v>1413430.3887200269</v>
      </c>
      <c r="AB1864" s="177">
        <f>1032349+25000+(1402642787/2961)</f>
        <v>1531054.7706855792</v>
      </c>
      <c r="AC1864" s="122"/>
      <c r="AD1864" s="122"/>
      <c r="AE1864" s="122"/>
      <c r="AF1864" s="123"/>
      <c r="AG1864" s="117"/>
      <c r="AH1864" s="124"/>
      <c r="AI1864" s="117"/>
      <c r="AJ1864" s="117"/>
      <c r="AK1864" s="89"/>
      <c r="AL1864" s="117"/>
      <c r="AM1864" s="117"/>
      <c r="AN1864" s="117">
        <v>2</v>
      </c>
      <c r="AO1864" s="117" t="s">
        <v>2200</v>
      </c>
      <c r="AP1864" s="117">
        <v>2</v>
      </c>
      <c r="AQ1864" s="117"/>
      <c r="AR1864" s="117"/>
      <c r="AS1864" s="117"/>
      <c r="AT1864" s="117"/>
      <c r="AU1864" s="117">
        <v>23</v>
      </c>
      <c r="AV1864" s="128"/>
      <c r="AW1864" s="117">
        <f>VLOOKUP($D1864,'WB Data'!$C$3:$M$578,2,FALSE)</f>
        <v>1887429109.5129781</v>
      </c>
      <c r="AX1864" s="117">
        <f>VLOOKUP($D1864,'WB Data'!$C$3:$M$578,3,FALSE)</f>
        <v>5280909</v>
      </c>
      <c r="AY1864" s="847">
        <f t="shared" si="324"/>
        <v>3.8442209774060972E-3</v>
      </c>
      <c r="AZ1864" s="117">
        <f>VLOOKUP($D1864,'WB Data'!$C$3:$M$578,4,FALSE)/100</f>
        <v>8.8623456082360275E-2</v>
      </c>
      <c r="BA1864" s="117">
        <f t="shared" si="325"/>
        <v>167270490.79549178</v>
      </c>
      <c r="BB1864" s="129">
        <f>IFERROR(VLOOKUP($D1864,'EITI Revenues'!$C$2:$G$224,5,FALSE),"..")</f>
        <v>7255694.5761567</v>
      </c>
      <c r="BC1864" s="846">
        <f t="shared" si="326"/>
        <v>4.3377014927442614E-2</v>
      </c>
      <c r="BD1864" s="129" t="str">
        <f>VLOOKUP($D1864,'WB Data 2'!$C$2:$K$545,6,FALSE)</f>
        <v>..</v>
      </c>
      <c r="BE1864" s="129">
        <f>IFERROR(VLOOKUP($D1864,UNCTAD!$C$5:$V$529,4,FALSE),"..")</f>
        <v>304390000</v>
      </c>
      <c r="BF1864" s="846" t="str">
        <f t="shared" si="327"/>
        <v>..</v>
      </c>
      <c r="BG1864" s="117">
        <f>VLOOKUP($D1864,'WB Data'!$C$3:$M$578,5,FALSE)</f>
        <v>380470000</v>
      </c>
      <c r="BH1864" s="129">
        <f>IFERROR($BB1864/$BG1864,"..")</f>
        <v>1.9070346088145451E-2</v>
      </c>
      <c r="BI1864" s="117" t="str">
        <f>IFERROR(VLOOKUP($D1864,'WB Data'!$C$3:$M$578,7,FALSE)/100,"..")</f>
        <v>..</v>
      </c>
      <c r="BJ1864" s="117" t="str">
        <f>IFERROR($BI1864*$AW1864,"..")</f>
        <v>..</v>
      </c>
      <c r="BK1864" s="846" t="str">
        <f>IFERROR($BB1864/$BJ1864,"..")</f>
        <v>..</v>
      </c>
      <c r="BL1864" s="117" t="str">
        <f>IFERROR(VLOOKUP($D1864,'WB Data'!$C$3:$M$578,7,FALSE)/100,"..")</f>
        <v>..</v>
      </c>
      <c r="BM1864" s="117" t="str">
        <f>IFERROR($AW1864*$BL1864,"..")</f>
        <v>..</v>
      </c>
      <c r="BN1864" s="846" t="str">
        <f>IFERROR($BB1864/$BM1864,"..")</f>
        <v>..</v>
      </c>
      <c r="BO1864" s="801">
        <f t="shared" si="323"/>
        <v>31</v>
      </c>
      <c r="BP1864" s="117" t="str">
        <f>VLOOKUP($D1864,'WB Data'!$C$3:$M$578,9,FALSE)</f>
        <v>..</v>
      </c>
      <c r="BQ1864" s="117">
        <f>VLOOKUP($D1864,'WB Data'!$C$3:$M$578,10,FALSE)</f>
        <v>42.882536585365855</v>
      </c>
      <c r="BR1864" s="117">
        <f>VLOOKUP($D1864,'WB Data'!$C$3:$M$578,11,FALSE)</f>
        <v>124.8</v>
      </c>
      <c r="BS1864" s="129" t="str">
        <f>IFERROR(VLOOKUP($D1864,'WB Data 2'!$C$2:$K$545,9,FALSE),"..")</f>
        <v>..</v>
      </c>
      <c r="BT1864" s="129">
        <f>_xlfn.IFNA(VLOOKUP($C1864,RGI!$A$2:$C$43,2,FALSE),"..")</f>
        <v>38.200000000000003</v>
      </c>
      <c r="BU1864" s="129">
        <f>_xlfn.IFNA(VLOOKUP($C1864,RGI!$A$2:$C$43,3,FALSE),"..")</f>
        <v>45.714033330666766</v>
      </c>
      <c r="BV1864" s="129">
        <f>VLOOKUP($D1864,WGI!$C$2:$O$478,7,FALSE)</f>
        <v>-0.384186283734269</v>
      </c>
      <c r="BW1864" s="129">
        <f>VLOOKUP($D1864,WGI!$C$2:$O$478,4,FALSE)</f>
        <v>-0.25657404298681802</v>
      </c>
      <c r="BX1864" s="129">
        <f>VLOOKUP($D1864,WGI!$C$2:$O$478,3,FALSE)</f>
        <v>-1.1642917328430999</v>
      </c>
      <c r="BY1864" s="129">
        <f>VLOOKUP($D1864,WGI!$C$2:$O$478,5,FALSE)</f>
        <v>-1.16081623685993</v>
      </c>
      <c r="BZ1864" s="129">
        <f>VLOOKUP($D1864,WGI!$C$2:$O$478,2,FALSE)</f>
        <v>-1.0502475518389001</v>
      </c>
      <c r="CB1864" s="129"/>
    </row>
    <row r="1865" spans="1:80" s="120" customFormat="1" ht="15" customHeight="1">
      <c r="A1865" s="280" t="s">
        <v>2188</v>
      </c>
      <c r="B1865" s="117">
        <v>2006</v>
      </c>
      <c r="C1865" s="117" t="s">
        <v>488</v>
      </c>
      <c r="D1865" s="117" t="s">
        <v>3542</v>
      </c>
      <c r="E1865" s="117" t="s">
        <v>86</v>
      </c>
      <c r="F1865" s="117"/>
      <c r="G1865" s="117" t="s">
        <v>24</v>
      </c>
      <c r="H1865" s="117" t="str">
        <f t="shared" si="318"/>
        <v>yes</v>
      </c>
      <c r="I1865" s="117" t="str">
        <f t="shared" si="320"/>
        <v>no</v>
      </c>
      <c r="J1865" s="117" t="str">
        <f t="shared" si="321"/>
        <v>no</v>
      </c>
      <c r="K1865" s="117" t="s">
        <v>2201</v>
      </c>
      <c r="L1865" s="117" t="str">
        <f t="shared" si="319"/>
        <v>detailed</v>
      </c>
      <c r="M1865" s="117" t="str">
        <f t="shared" si="322"/>
        <v>detailed Mining</v>
      </c>
      <c r="N1865" s="118"/>
      <c r="O1865" s="118"/>
      <c r="P1865" s="118"/>
      <c r="Q1865" s="118"/>
      <c r="R1865" s="118"/>
      <c r="S1865" s="117"/>
      <c r="T1865" s="119"/>
      <c r="U1865" s="117"/>
      <c r="V1865" s="117"/>
      <c r="W1865" s="89">
        <f>SUM(W1866:W1868)</f>
        <v>36161470</v>
      </c>
      <c r="X1865" s="117"/>
      <c r="Y1865" s="117"/>
      <c r="Z1865" s="117"/>
      <c r="AA1865" s="177">
        <f>338631+(882619469/2961)</f>
        <v>636712.54981425195</v>
      </c>
      <c r="AB1865" s="177">
        <f>337721+(912242976/2961)</f>
        <v>645807.11144883488</v>
      </c>
      <c r="AC1865" s="122"/>
      <c r="AD1865" s="122"/>
      <c r="AE1865" s="122"/>
      <c r="AF1865" s="123">
        <f>AA1865/W1865</f>
        <v>1.7607485254726978E-2</v>
      </c>
      <c r="AG1865" s="117"/>
      <c r="AH1865" s="124"/>
      <c r="AI1865" s="117"/>
      <c r="AJ1865" s="117"/>
      <c r="AK1865" s="89"/>
      <c r="AL1865" s="117"/>
      <c r="AM1865" s="117"/>
      <c r="AN1865" s="117">
        <v>1</v>
      </c>
      <c r="AO1865" s="117" t="s">
        <v>2202</v>
      </c>
      <c r="AP1865" s="117">
        <v>1</v>
      </c>
      <c r="AQ1865" s="117"/>
      <c r="AR1865" s="117"/>
      <c r="AS1865" s="117"/>
      <c r="AT1865" s="117"/>
      <c r="AU1865" s="117">
        <v>23</v>
      </c>
      <c r="AV1865" s="128"/>
      <c r="AW1865" s="117">
        <f>VLOOKUP($D1865,'WB Data'!$C$3:$M$578,2,FALSE)</f>
        <v>1887429109.5129781</v>
      </c>
      <c r="AX1865" s="117">
        <f>VLOOKUP($D1865,'WB Data'!$C$3:$M$578,3,FALSE)</f>
        <v>5280909</v>
      </c>
      <c r="AY1865" s="847">
        <f t="shared" si="324"/>
        <v>3.8442209774060972E-3</v>
      </c>
      <c r="AZ1865" s="117">
        <f>VLOOKUP($D1865,'WB Data'!$C$3:$M$578,4,FALSE)/100</f>
        <v>8.8623456082360275E-2</v>
      </c>
      <c r="BA1865" s="117">
        <f t="shared" si="325"/>
        <v>167270490.79549178</v>
      </c>
      <c r="BB1865" s="129">
        <f>IFERROR(VLOOKUP($D1865,'EITI Revenues'!$C$2:$G$224,5,FALSE),"..")</f>
        <v>7255694.5761567</v>
      </c>
      <c r="BC1865" s="846">
        <f t="shared" si="326"/>
        <v>4.3377014927442614E-2</v>
      </c>
      <c r="BD1865" s="129" t="str">
        <f>VLOOKUP($D1865,'WB Data 2'!$C$2:$K$545,6,FALSE)</f>
        <v>..</v>
      </c>
      <c r="BE1865" s="129">
        <f>IFERROR(VLOOKUP($D1865,UNCTAD!$C$5:$V$529,4,FALSE),"..")</f>
        <v>304390000</v>
      </c>
      <c r="BF1865" s="846" t="str">
        <f t="shared" si="327"/>
        <v>..</v>
      </c>
      <c r="BG1865" s="117">
        <f>VLOOKUP($D1865,'WB Data'!$C$3:$M$578,5,FALSE)</f>
        <v>380470000</v>
      </c>
      <c r="BH1865" s="129">
        <f>IFERROR($BB1865/$BG1865,"..")</f>
        <v>1.9070346088145451E-2</v>
      </c>
      <c r="BI1865" s="117" t="str">
        <f>IFERROR(VLOOKUP($D1865,'WB Data'!$C$3:$M$578,7,FALSE)/100,"..")</f>
        <v>..</v>
      </c>
      <c r="BJ1865" s="117" t="str">
        <f>IFERROR($BI1865*$AW1865,"..")</f>
        <v>..</v>
      </c>
      <c r="BK1865" s="846" t="str">
        <f>IFERROR($BB1865/$BJ1865,"..")</f>
        <v>..</v>
      </c>
      <c r="BL1865" s="117" t="str">
        <f>IFERROR(VLOOKUP($D1865,'WB Data'!$C$3:$M$578,7,FALSE)/100,"..")</f>
        <v>..</v>
      </c>
      <c r="BM1865" s="117" t="str">
        <f>IFERROR($AW1865*$BL1865,"..")</f>
        <v>..</v>
      </c>
      <c r="BN1865" s="846" t="str">
        <f>IFERROR($BB1865/$BM1865,"..")</f>
        <v>..</v>
      </c>
      <c r="BO1865" s="801">
        <f t="shared" si="323"/>
        <v>31</v>
      </c>
      <c r="BP1865" s="117" t="str">
        <f>VLOOKUP($D1865,'WB Data'!$C$3:$M$578,9,FALSE)</f>
        <v>..</v>
      </c>
      <c r="BQ1865" s="117">
        <f>VLOOKUP($D1865,'WB Data'!$C$3:$M$578,10,FALSE)</f>
        <v>42.882536585365855</v>
      </c>
      <c r="BR1865" s="117">
        <f>VLOOKUP($D1865,'WB Data'!$C$3:$M$578,11,FALSE)</f>
        <v>124.8</v>
      </c>
      <c r="BS1865" s="129" t="str">
        <f>IFERROR(VLOOKUP($D1865,'WB Data 2'!$C$2:$K$545,9,FALSE),"..")</f>
        <v>..</v>
      </c>
      <c r="BT1865" s="129">
        <f>_xlfn.IFNA(VLOOKUP($C1865,RGI!$A$2:$C$43,2,FALSE),"..")</f>
        <v>38.200000000000003</v>
      </c>
      <c r="BU1865" s="129">
        <f>_xlfn.IFNA(VLOOKUP($C1865,RGI!$A$2:$C$43,3,FALSE),"..")</f>
        <v>45.714033330666766</v>
      </c>
      <c r="BV1865" s="129">
        <f>VLOOKUP($D1865,WGI!$C$2:$O$478,7,FALSE)</f>
        <v>-0.384186283734269</v>
      </c>
      <c r="BW1865" s="129">
        <f>VLOOKUP($D1865,WGI!$C$2:$O$478,4,FALSE)</f>
        <v>-0.25657404298681802</v>
      </c>
      <c r="BX1865" s="129">
        <f>VLOOKUP($D1865,WGI!$C$2:$O$478,3,FALSE)</f>
        <v>-1.1642917328430999</v>
      </c>
      <c r="BY1865" s="129">
        <f>VLOOKUP($D1865,WGI!$C$2:$O$478,5,FALSE)</f>
        <v>-1.16081623685993</v>
      </c>
      <c r="BZ1865" s="129">
        <f>VLOOKUP($D1865,WGI!$C$2:$O$478,2,FALSE)</f>
        <v>-1.0502475518389001</v>
      </c>
      <c r="CB1865" s="129"/>
    </row>
    <row r="1866" spans="1:80" s="120" customFormat="1" ht="15" customHeight="1">
      <c r="A1866" s="280" t="s">
        <v>2188</v>
      </c>
      <c r="B1866" s="117">
        <v>2006</v>
      </c>
      <c r="C1866" s="117" t="s">
        <v>488</v>
      </c>
      <c r="D1866" s="117" t="s">
        <v>3542</v>
      </c>
      <c r="E1866" s="117" t="s">
        <v>86</v>
      </c>
      <c r="F1866" s="117"/>
      <c r="G1866" s="117" t="s">
        <v>24</v>
      </c>
      <c r="H1866" s="117" t="str">
        <f t="shared" si="318"/>
        <v>yes</v>
      </c>
      <c r="I1866" s="117" t="str">
        <f t="shared" si="320"/>
        <v>no</v>
      </c>
      <c r="J1866" s="117" t="str">
        <f t="shared" si="321"/>
        <v>no</v>
      </c>
      <c r="K1866" s="117" t="s">
        <v>2203</v>
      </c>
      <c r="L1866" s="117" t="str">
        <f t="shared" si="319"/>
        <v>detailed</v>
      </c>
      <c r="M1866" s="117" t="str">
        <f t="shared" si="322"/>
        <v>detailed Mining</v>
      </c>
      <c r="N1866" s="118">
        <v>13819</v>
      </c>
      <c r="O1866" s="118"/>
      <c r="P1866" s="118"/>
      <c r="Q1866" s="118"/>
      <c r="R1866" s="118"/>
      <c r="S1866" s="117" t="s">
        <v>610</v>
      </c>
      <c r="T1866" s="119">
        <v>80</v>
      </c>
      <c r="U1866" s="117" t="s">
        <v>611</v>
      </c>
      <c r="V1866" s="117" t="s">
        <v>2204</v>
      </c>
      <c r="W1866" s="89">
        <f>N1866*T1866</f>
        <v>1105520</v>
      </c>
      <c r="X1866" s="117"/>
      <c r="Y1866" s="117"/>
      <c r="Z1866" s="117"/>
      <c r="AA1866" s="177"/>
      <c r="AB1866" s="177"/>
      <c r="AC1866" s="122"/>
      <c r="AD1866" s="122"/>
      <c r="AE1866" s="122"/>
      <c r="AF1866" s="123"/>
      <c r="AG1866" s="117"/>
      <c r="AH1866" s="124"/>
      <c r="AI1866" s="117"/>
      <c r="AJ1866" s="117"/>
      <c r="AK1866" s="89"/>
      <c r="AL1866" s="117"/>
      <c r="AM1866" s="117"/>
      <c r="AN1866" s="117"/>
      <c r="AO1866" s="117"/>
      <c r="AP1866" s="117"/>
      <c r="AQ1866" s="117"/>
      <c r="AR1866" s="117"/>
      <c r="AS1866" s="117"/>
      <c r="AT1866" s="117"/>
      <c r="AU1866" s="117"/>
      <c r="AV1866" s="128"/>
      <c r="AW1866" s="117">
        <f>VLOOKUP($D1866,'WB Data'!$C$3:$M$578,2,FALSE)</f>
        <v>1887429109.5129781</v>
      </c>
      <c r="AX1866" s="117">
        <f>VLOOKUP($D1866,'WB Data'!$C$3:$M$578,3,FALSE)</f>
        <v>5280909</v>
      </c>
      <c r="AY1866" s="847">
        <f t="shared" si="324"/>
        <v>3.8442209774060972E-3</v>
      </c>
      <c r="AZ1866" s="117">
        <f>VLOOKUP($D1866,'WB Data'!$C$3:$M$578,4,FALSE)/100</f>
        <v>8.8623456082360275E-2</v>
      </c>
      <c r="BA1866" s="117">
        <f t="shared" si="325"/>
        <v>167270490.79549178</v>
      </c>
      <c r="BB1866" s="129">
        <f>IFERROR(VLOOKUP($D1866,'EITI Revenues'!$C$2:$G$224,5,FALSE),"..")</f>
        <v>7255694.5761567</v>
      </c>
      <c r="BC1866" s="846">
        <f t="shared" si="326"/>
        <v>4.3377014927442614E-2</v>
      </c>
      <c r="BD1866" s="129" t="str">
        <f>VLOOKUP($D1866,'WB Data 2'!$C$2:$K$545,6,FALSE)</f>
        <v>..</v>
      </c>
      <c r="BE1866" s="129">
        <f>IFERROR(VLOOKUP($D1866,UNCTAD!$C$5:$V$529,4,FALSE),"..")</f>
        <v>304390000</v>
      </c>
      <c r="BF1866" s="846" t="str">
        <f t="shared" si="327"/>
        <v>..</v>
      </c>
      <c r="BG1866" s="117">
        <f>VLOOKUP($D1866,'WB Data'!$C$3:$M$578,5,FALSE)</f>
        <v>380470000</v>
      </c>
      <c r="BH1866" s="129">
        <f>IFERROR($BB1866/$BG1866,"..")</f>
        <v>1.9070346088145451E-2</v>
      </c>
      <c r="BI1866" s="117" t="str">
        <f>IFERROR(VLOOKUP($D1866,'WB Data'!$C$3:$M$578,7,FALSE)/100,"..")</f>
        <v>..</v>
      </c>
      <c r="BJ1866" s="117" t="str">
        <f>IFERROR($BI1866*$AW1866,"..")</f>
        <v>..</v>
      </c>
      <c r="BK1866" s="846" t="str">
        <f>IFERROR($BB1866/$BJ1866,"..")</f>
        <v>..</v>
      </c>
      <c r="BL1866" s="117" t="str">
        <f>IFERROR(VLOOKUP($D1866,'WB Data'!$C$3:$M$578,7,FALSE)/100,"..")</f>
        <v>..</v>
      </c>
      <c r="BM1866" s="117" t="str">
        <f>IFERROR($AW1866*$BL1866,"..")</f>
        <v>..</v>
      </c>
      <c r="BN1866" s="846" t="str">
        <f>IFERROR($BB1866/$BM1866,"..")</f>
        <v>..</v>
      </c>
      <c r="BO1866" s="801">
        <f t="shared" si="323"/>
        <v>31</v>
      </c>
      <c r="BP1866" s="117" t="str">
        <f>VLOOKUP($D1866,'WB Data'!$C$3:$M$578,9,FALSE)</f>
        <v>..</v>
      </c>
      <c r="BQ1866" s="117">
        <f>VLOOKUP($D1866,'WB Data'!$C$3:$M$578,10,FALSE)</f>
        <v>42.882536585365855</v>
      </c>
      <c r="BR1866" s="117">
        <f>VLOOKUP($D1866,'WB Data'!$C$3:$M$578,11,FALSE)</f>
        <v>124.8</v>
      </c>
      <c r="BS1866" s="129" t="str">
        <f>IFERROR(VLOOKUP($D1866,'WB Data 2'!$C$2:$K$545,9,FALSE),"..")</f>
        <v>..</v>
      </c>
      <c r="BT1866" s="129">
        <f>_xlfn.IFNA(VLOOKUP($C1866,RGI!$A$2:$C$43,2,FALSE),"..")</f>
        <v>38.200000000000003</v>
      </c>
      <c r="BU1866" s="129">
        <f>_xlfn.IFNA(VLOOKUP($C1866,RGI!$A$2:$C$43,3,FALSE),"..")</f>
        <v>45.714033330666766</v>
      </c>
      <c r="BV1866" s="129">
        <f>VLOOKUP($D1866,WGI!$C$2:$O$478,7,FALSE)</f>
        <v>-0.384186283734269</v>
      </c>
      <c r="BW1866" s="129">
        <f>VLOOKUP($D1866,WGI!$C$2:$O$478,4,FALSE)</f>
        <v>-0.25657404298681802</v>
      </c>
      <c r="BX1866" s="129">
        <f>VLOOKUP($D1866,WGI!$C$2:$O$478,3,FALSE)</f>
        <v>-1.1642917328430999</v>
      </c>
      <c r="BY1866" s="129">
        <f>VLOOKUP($D1866,WGI!$C$2:$O$478,5,FALSE)</f>
        <v>-1.16081623685993</v>
      </c>
      <c r="BZ1866" s="129">
        <f>VLOOKUP($D1866,WGI!$C$2:$O$478,2,FALSE)</f>
        <v>-1.0502475518389001</v>
      </c>
      <c r="CB1866" s="129"/>
    </row>
    <row r="1867" spans="1:80" s="120" customFormat="1" ht="15" customHeight="1">
      <c r="A1867" s="280" t="s">
        <v>2188</v>
      </c>
      <c r="B1867" s="117">
        <v>2006</v>
      </c>
      <c r="C1867" s="117" t="s">
        <v>488</v>
      </c>
      <c r="D1867" s="117" t="s">
        <v>3542</v>
      </c>
      <c r="E1867" s="117" t="s">
        <v>86</v>
      </c>
      <c r="F1867" s="117"/>
      <c r="G1867" s="117" t="s">
        <v>24</v>
      </c>
      <c r="H1867" s="117" t="str">
        <f t="shared" si="318"/>
        <v>yes</v>
      </c>
      <c r="I1867" s="117" t="str">
        <f t="shared" si="320"/>
        <v>no</v>
      </c>
      <c r="J1867" s="117" t="str">
        <f t="shared" si="321"/>
        <v>no</v>
      </c>
      <c r="K1867" s="117" t="s">
        <v>2205</v>
      </c>
      <c r="L1867" s="117" t="str">
        <f t="shared" si="319"/>
        <v>detailed</v>
      </c>
      <c r="M1867" s="117" t="str">
        <f t="shared" si="322"/>
        <v>detailed Mining</v>
      </c>
      <c r="N1867" s="118">
        <v>73802</v>
      </c>
      <c r="O1867" s="118"/>
      <c r="P1867" s="118"/>
      <c r="Q1867" s="118"/>
      <c r="R1867" s="118"/>
      <c r="S1867" s="117" t="s">
        <v>610</v>
      </c>
      <c r="T1867" s="119">
        <v>475</v>
      </c>
      <c r="U1867" s="117" t="s">
        <v>611</v>
      </c>
      <c r="V1867" s="117" t="s">
        <v>2206</v>
      </c>
      <c r="W1867" s="89">
        <f>N1867*T1867</f>
        <v>35055950</v>
      </c>
      <c r="X1867" s="117"/>
      <c r="Y1867" s="117"/>
      <c r="Z1867" s="117"/>
      <c r="AA1867" s="177"/>
      <c r="AB1867" s="177"/>
      <c r="AC1867" s="122"/>
      <c r="AD1867" s="122"/>
      <c r="AE1867" s="122"/>
      <c r="AF1867" s="123"/>
      <c r="AG1867" s="117"/>
      <c r="AH1867" s="124"/>
      <c r="AI1867" s="117"/>
      <c r="AJ1867" s="117"/>
      <c r="AK1867" s="89"/>
      <c r="AL1867" s="117"/>
      <c r="AM1867" s="117"/>
      <c r="AN1867" s="117"/>
      <c r="AO1867" s="117"/>
      <c r="AP1867" s="117"/>
      <c r="AQ1867" s="117"/>
      <c r="AR1867" s="117"/>
      <c r="AS1867" s="117"/>
      <c r="AT1867" s="117"/>
      <c r="AU1867" s="117"/>
      <c r="AV1867" s="128"/>
      <c r="AW1867" s="117">
        <f>VLOOKUP($D1867,'WB Data'!$C$3:$M$578,2,FALSE)</f>
        <v>1887429109.5129781</v>
      </c>
      <c r="AX1867" s="117">
        <f>VLOOKUP($D1867,'WB Data'!$C$3:$M$578,3,FALSE)</f>
        <v>5280909</v>
      </c>
      <c r="AY1867" s="847">
        <f t="shared" si="324"/>
        <v>3.8442209774060972E-3</v>
      </c>
      <c r="AZ1867" s="117">
        <f>VLOOKUP($D1867,'WB Data'!$C$3:$M$578,4,FALSE)/100</f>
        <v>8.8623456082360275E-2</v>
      </c>
      <c r="BA1867" s="117">
        <f t="shared" si="325"/>
        <v>167270490.79549178</v>
      </c>
      <c r="BB1867" s="129">
        <f>IFERROR(VLOOKUP($D1867,'EITI Revenues'!$C$2:$G$224,5,FALSE),"..")</f>
        <v>7255694.5761567</v>
      </c>
      <c r="BC1867" s="846">
        <f t="shared" si="326"/>
        <v>4.3377014927442614E-2</v>
      </c>
      <c r="BD1867" s="129" t="str">
        <f>VLOOKUP($D1867,'WB Data 2'!$C$2:$K$545,6,FALSE)</f>
        <v>..</v>
      </c>
      <c r="BE1867" s="129">
        <f>IFERROR(VLOOKUP($D1867,UNCTAD!$C$5:$V$529,4,FALSE),"..")</f>
        <v>304390000</v>
      </c>
      <c r="BF1867" s="846" t="str">
        <f t="shared" si="327"/>
        <v>..</v>
      </c>
      <c r="BG1867" s="117">
        <f>VLOOKUP($D1867,'WB Data'!$C$3:$M$578,5,FALSE)</f>
        <v>380470000</v>
      </c>
      <c r="BH1867" s="129">
        <f>IFERROR($BB1867/$BG1867,"..")</f>
        <v>1.9070346088145451E-2</v>
      </c>
      <c r="BI1867" s="117" t="str">
        <f>IFERROR(VLOOKUP($D1867,'WB Data'!$C$3:$M$578,7,FALSE)/100,"..")</f>
        <v>..</v>
      </c>
      <c r="BJ1867" s="117" t="str">
        <f>IFERROR($BI1867*$AW1867,"..")</f>
        <v>..</v>
      </c>
      <c r="BK1867" s="846" t="str">
        <f>IFERROR($BB1867/$BJ1867,"..")</f>
        <v>..</v>
      </c>
      <c r="BL1867" s="117" t="str">
        <f>IFERROR(VLOOKUP($D1867,'WB Data'!$C$3:$M$578,7,FALSE)/100,"..")</f>
        <v>..</v>
      </c>
      <c r="BM1867" s="117" t="str">
        <f>IFERROR($AW1867*$BL1867,"..")</f>
        <v>..</v>
      </c>
      <c r="BN1867" s="846" t="str">
        <f>IFERROR($BB1867/$BM1867,"..")</f>
        <v>..</v>
      </c>
      <c r="BO1867" s="801">
        <f t="shared" si="323"/>
        <v>31</v>
      </c>
      <c r="BP1867" s="117" t="str">
        <f>VLOOKUP($D1867,'WB Data'!$C$3:$M$578,9,FALSE)</f>
        <v>..</v>
      </c>
      <c r="BQ1867" s="117">
        <f>VLOOKUP($D1867,'WB Data'!$C$3:$M$578,10,FALSE)</f>
        <v>42.882536585365855</v>
      </c>
      <c r="BR1867" s="117">
        <f>VLOOKUP($D1867,'WB Data'!$C$3:$M$578,11,FALSE)</f>
        <v>124.8</v>
      </c>
      <c r="BS1867" s="129" t="str">
        <f>IFERROR(VLOOKUP($D1867,'WB Data 2'!$C$2:$K$545,9,FALSE),"..")</f>
        <v>..</v>
      </c>
      <c r="BT1867" s="129">
        <f>_xlfn.IFNA(VLOOKUP($C1867,RGI!$A$2:$C$43,2,FALSE),"..")</f>
        <v>38.200000000000003</v>
      </c>
      <c r="BU1867" s="129">
        <f>_xlfn.IFNA(VLOOKUP($C1867,RGI!$A$2:$C$43,3,FALSE),"..")</f>
        <v>45.714033330666766</v>
      </c>
      <c r="BV1867" s="129">
        <f>VLOOKUP($D1867,WGI!$C$2:$O$478,7,FALSE)</f>
        <v>-0.384186283734269</v>
      </c>
      <c r="BW1867" s="129">
        <f>VLOOKUP($D1867,WGI!$C$2:$O$478,4,FALSE)</f>
        <v>-0.25657404298681802</v>
      </c>
      <c r="BX1867" s="129">
        <f>VLOOKUP($D1867,WGI!$C$2:$O$478,3,FALSE)</f>
        <v>-1.1642917328430999</v>
      </c>
      <c r="BY1867" s="129">
        <f>VLOOKUP($D1867,WGI!$C$2:$O$478,5,FALSE)</f>
        <v>-1.16081623685993</v>
      </c>
      <c r="BZ1867" s="129">
        <f>VLOOKUP($D1867,WGI!$C$2:$O$478,2,FALSE)</f>
        <v>-1.0502475518389001</v>
      </c>
      <c r="CB1867" s="129"/>
    </row>
    <row r="1868" spans="1:80" s="158" customFormat="1" ht="15" customHeight="1">
      <c r="A1868" s="282" t="s">
        <v>2188</v>
      </c>
      <c r="B1868" s="149">
        <v>2006</v>
      </c>
      <c r="C1868" s="149" t="s">
        <v>488</v>
      </c>
      <c r="D1868" s="117" t="s">
        <v>3542</v>
      </c>
      <c r="E1868" s="149" t="s">
        <v>86</v>
      </c>
      <c r="F1868" s="149"/>
      <c r="G1868" s="149" t="s">
        <v>24</v>
      </c>
      <c r="H1868" s="117" t="str">
        <f t="shared" si="318"/>
        <v>yes</v>
      </c>
      <c r="I1868" s="117" t="str">
        <f t="shared" si="320"/>
        <v>no</v>
      </c>
      <c r="J1868" s="117" t="str">
        <f t="shared" si="321"/>
        <v>no</v>
      </c>
      <c r="K1868" s="149" t="s">
        <v>2207</v>
      </c>
      <c r="L1868" s="117" t="str">
        <f t="shared" si="319"/>
        <v>detailed</v>
      </c>
      <c r="M1868" s="117" t="str">
        <f t="shared" si="322"/>
        <v>detailed Mining</v>
      </c>
      <c r="N1868" s="150"/>
      <c r="O1868" s="150"/>
      <c r="P1868" s="150"/>
      <c r="Q1868" s="150"/>
      <c r="R1868" s="150"/>
      <c r="S1868" s="149"/>
      <c r="T1868" s="151"/>
      <c r="U1868" s="149"/>
      <c r="V1868" s="149"/>
      <c r="W1868" s="152"/>
      <c r="X1868" s="149"/>
      <c r="Y1868" s="149"/>
      <c r="Z1868" s="149"/>
      <c r="AA1868" s="284"/>
      <c r="AB1868" s="284"/>
      <c r="AC1868" s="154"/>
      <c r="AD1868" s="154"/>
      <c r="AE1868" s="154"/>
      <c r="AF1868" s="155"/>
      <c r="AG1868" s="149"/>
      <c r="AH1868" s="156"/>
      <c r="AI1868" s="149"/>
      <c r="AJ1868" s="149"/>
      <c r="AK1868" s="152"/>
      <c r="AL1868" s="149"/>
      <c r="AM1868" s="149"/>
      <c r="AN1868" s="149"/>
      <c r="AO1868" s="149"/>
      <c r="AP1868" s="149"/>
      <c r="AQ1868" s="149"/>
      <c r="AR1868" s="149"/>
      <c r="AS1868" s="149"/>
      <c r="AT1868" s="149"/>
      <c r="AU1868" s="149"/>
      <c r="AV1868" s="157" t="s">
        <v>2208</v>
      </c>
      <c r="AW1868" s="117">
        <f>VLOOKUP($D1868,'WB Data'!$C$3:$M$578,2,FALSE)</f>
        <v>1887429109.5129781</v>
      </c>
      <c r="AX1868" s="117">
        <f>VLOOKUP($D1868,'WB Data'!$C$3:$M$578,3,FALSE)</f>
        <v>5280909</v>
      </c>
      <c r="AY1868" s="847">
        <f t="shared" si="324"/>
        <v>3.8442209774060972E-3</v>
      </c>
      <c r="AZ1868" s="117">
        <f>VLOOKUP($D1868,'WB Data'!$C$3:$M$578,4,FALSE)/100</f>
        <v>8.8623456082360275E-2</v>
      </c>
      <c r="BA1868" s="117">
        <f t="shared" si="325"/>
        <v>167270490.79549178</v>
      </c>
      <c r="BB1868" s="129">
        <f>IFERROR(VLOOKUP($D1868,'EITI Revenues'!$C$2:$G$224,5,FALSE),"..")</f>
        <v>7255694.5761567</v>
      </c>
      <c r="BC1868" s="846">
        <f t="shared" si="326"/>
        <v>4.3377014927442614E-2</v>
      </c>
      <c r="BD1868" s="129" t="str">
        <f>VLOOKUP($D1868,'WB Data 2'!$C$2:$K$545,6,FALSE)</f>
        <v>..</v>
      </c>
      <c r="BE1868" s="129">
        <f>IFERROR(VLOOKUP($D1868,UNCTAD!$C$5:$V$529,4,FALSE),"..")</f>
        <v>304390000</v>
      </c>
      <c r="BF1868" s="846" t="str">
        <f t="shared" si="327"/>
        <v>..</v>
      </c>
      <c r="BG1868" s="117">
        <f>VLOOKUP($D1868,'WB Data'!$C$3:$M$578,5,FALSE)</f>
        <v>380470000</v>
      </c>
      <c r="BH1868" s="129">
        <f>IFERROR($BB1868/$BG1868,"..")</f>
        <v>1.9070346088145451E-2</v>
      </c>
      <c r="BI1868" s="117" t="str">
        <f>IFERROR(VLOOKUP($D1868,'WB Data'!$C$3:$M$578,7,FALSE)/100,"..")</f>
        <v>..</v>
      </c>
      <c r="BJ1868" s="117" t="str">
        <f>IFERROR($BI1868*$AW1868,"..")</f>
        <v>..</v>
      </c>
      <c r="BK1868" s="846" t="str">
        <f>IFERROR($BB1868/$BJ1868,"..")</f>
        <v>..</v>
      </c>
      <c r="BL1868" s="117" t="str">
        <f>IFERROR(VLOOKUP($D1868,'WB Data'!$C$3:$M$578,7,FALSE)/100,"..")</f>
        <v>..</v>
      </c>
      <c r="BM1868" s="117" t="str">
        <f>IFERROR($AW1868*$BL1868,"..")</f>
        <v>..</v>
      </c>
      <c r="BN1868" s="846" t="str">
        <f>IFERROR($BB1868/$BM1868,"..")</f>
        <v>..</v>
      </c>
      <c r="BO1868" s="801">
        <f t="shared" si="323"/>
        <v>31</v>
      </c>
      <c r="BP1868" s="117" t="str">
        <f>VLOOKUP($D1868,'WB Data'!$C$3:$M$578,9,FALSE)</f>
        <v>..</v>
      </c>
      <c r="BQ1868" s="117">
        <f>VLOOKUP($D1868,'WB Data'!$C$3:$M$578,10,FALSE)</f>
        <v>42.882536585365855</v>
      </c>
      <c r="BR1868" s="117">
        <f>VLOOKUP($D1868,'WB Data'!$C$3:$M$578,11,FALSE)</f>
        <v>124.8</v>
      </c>
      <c r="BS1868" s="129" t="str">
        <f>IFERROR(VLOOKUP($D1868,'WB Data 2'!$C$2:$K$545,9,FALSE),"..")</f>
        <v>..</v>
      </c>
      <c r="BT1868" s="129">
        <f>_xlfn.IFNA(VLOOKUP($C1868,RGI!$A$2:$C$43,2,FALSE),"..")</f>
        <v>38.200000000000003</v>
      </c>
      <c r="BU1868" s="129">
        <f>_xlfn.IFNA(VLOOKUP($C1868,RGI!$A$2:$C$43,3,FALSE),"..")</f>
        <v>45.714033330666766</v>
      </c>
      <c r="BV1868" s="129">
        <f>VLOOKUP($D1868,WGI!$C$2:$O$478,7,FALSE)</f>
        <v>-0.384186283734269</v>
      </c>
      <c r="BW1868" s="129">
        <f>VLOOKUP($D1868,WGI!$C$2:$O$478,4,FALSE)</f>
        <v>-0.25657404298681802</v>
      </c>
      <c r="BX1868" s="129">
        <f>VLOOKUP($D1868,WGI!$C$2:$O$478,3,FALSE)</f>
        <v>-1.1642917328430999</v>
      </c>
      <c r="BY1868" s="129">
        <f>VLOOKUP($D1868,WGI!$C$2:$O$478,5,FALSE)</f>
        <v>-1.16081623685993</v>
      </c>
      <c r="BZ1868" s="129">
        <f>VLOOKUP($D1868,WGI!$C$2:$O$478,2,FALSE)</f>
        <v>-1.0502475518389001</v>
      </c>
      <c r="CB1868" s="129"/>
    </row>
    <row r="1869" spans="1:80" ht="15" customHeight="1">
      <c r="A1869" s="280" t="s">
        <v>2209</v>
      </c>
      <c r="B1869" s="117">
        <v>2007</v>
      </c>
      <c r="C1869" s="117" t="s">
        <v>488</v>
      </c>
      <c r="D1869" s="117" t="s">
        <v>3576</v>
      </c>
      <c r="E1869" s="117" t="s">
        <v>86</v>
      </c>
      <c r="F1869" s="117" t="s">
        <v>2190</v>
      </c>
      <c r="G1869" s="117" t="s">
        <v>24</v>
      </c>
      <c r="H1869" s="117" t="str">
        <f t="shared" si="318"/>
        <v>yes</v>
      </c>
      <c r="I1869" s="117" t="str">
        <f t="shared" si="320"/>
        <v>no</v>
      </c>
      <c r="J1869" s="117" t="str">
        <f t="shared" si="321"/>
        <v>no</v>
      </c>
      <c r="K1869" s="117" t="s">
        <v>709</v>
      </c>
      <c r="L1869" s="117" t="str">
        <f t="shared" si="319"/>
        <v>Total</v>
      </c>
      <c r="M1869" s="117" t="str">
        <f t="shared" si="322"/>
        <v>Total Mining</v>
      </c>
      <c r="N1869" s="118"/>
      <c r="O1869" s="118"/>
      <c r="P1869" s="118"/>
      <c r="Q1869" s="118"/>
      <c r="R1869" s="118"/>
      <c r="S1869" s="117"/>
      <c r="T1869" s="119"/>
      <c r="U1869" s="117"/>
      <c r="V1869" s="117"/>
      <c r="W1869" s="89">
        <f>SUM(W1870:W1877)-SUM(W1875:W1877)</f>
        <v>233476345.83322155</v>
      </c>
      <c r="X1869" s="117" t="s">
        <v>633</v>
      </c>
      <c r="Y1869" s="117" t="s">
        <v>602</v>
      </c>
      <c r="Z1869" s="117" t="s">
        <v>603</v>
      </c>
      <c r="AA1869" s="177">
        <v>10201528.665884711</v>
      </c>
      <c r="AB1869" s="334">
        <v>10475495.659182299</v>
      </c>
      <c r="AC1869" s="122"/>
      <c r="AD1869" s="122"/>
      <c r="AE1869" s="122"/>
      <c r="AF1869" s="123">
        <f>AA1869/W1869</f>
        <v>4.3694056584095836E-2</v>
      </c>
      <c r="AG1869" s="117" t="s">
        <v>2191</v>
      </c>
      <c r="AH1869" s="124">
        <v>2984</v>
      </c>
      <c r="AI1869" s="117" t="s">
        <v>605</v>
      </c>
      <c r="AJ1869" s="117"/>
      <c r="AK1869" s="89"/>
      <c r="AL1869" s="117"/>
      <c r="AM1869" s="117"/>
      <c r="AN1869" s="117">
        <v>9</v>
      </c>
      <c r="AO1869" s="117" t="s">
        <v>2192</v>
      </c>
      <c r="AP1869" s="117">
        <v>9</v>
      </c>
      <c r="AQ1869" s="117" t="s">
        <v>489</v>
      </c>
      <c r="AR1869" s="126">
        <v>41897</v>
      </c>
      <c r="AS1869" s="117" t="s">
        <v>2193</v>
      </c>
      <c r="AT1869" s="117" t="s">
        <v>2210</v>
      </c>
      <c r="AU1869" s="117">
        <v>23</v>
      </c>
      <c r="AV1869" s="128" t="s">
        <v>2194</v>
      </c>
      <c r="AW1869" s="117">
        <f>VLOOKUP($D1869,'WB Data'!$C$3:$M$578,2,FALSE)</f>
        <v>2158653216.1733117</v>
      </c>
      <c r="AX1869" s="117">
        <f>VLOOKUP($D1869,'WB Data'!$C$3:$M$578,3,FALSE)</f>
        <v>5416015</v>
      </c>
      <c r="AY1869" s="847">
        <f t="shared" si="324"/>
        <v>4.7258765740840801E-3</v>
      </c>
      <c r="AZ1869" s="117">
        <f>VLOOKUP($D1869,'WB Data'!$C$3:$M$578,4,FALSE)/100</f>
        <v>8.3316198480411413E-2</v>
      </c>
      <c r="BA1869" s="117">
        <f t="shared" si="325"/>
        <v>179850779.80907407</v>
      </c>
      <c r="BB1869" s="129">
        <f>IFERROR(VLOOKUP($D1869,'EITI Revenues'!$C$2:$G$224,5,FALSE),"..")</f>
        <v>10201528.665884711</v>
      </c>
      <c r="BC1869" s="846">
        <f t="shared" si="326"/>
        <v>5.6722182003961542E-2</v>
      </c>
      <c r="BD1869" s="129" t="str">
        <f>VLOOKUP($D1869,'WB Data 2'!$C$2:$K$545,6,FALSE)</f>
        <v>..</v>
      </c>
      <c r="BE1869" s="129">
        <f>IFERROR(VLOOKUP($D1869,UNCTAD!$C$5:$V$529,4,FALSE),"..")</f>
        <v>334189000</v>
      </c>
      <c r="BF1869" s="846" t="str">
        <f t="shared" si="327"/>
        <v>..</v>
      </c>
      <c r="BG1869" s="117">
        <f>VLOOKUP($D1869,'WB Data'!$C$3:$M$578,5,FALSE)</f>
        <v>549780000</v>
      </c>
      <c r="BH1869" s="129">
        <f>IFERROR($BB1869/$BG1869,"..")</f>
        <v>1.8555656200452384E-2</v>
      </c>
      <c r="BI1869" s="117">
        <f>IFERROR(VLOOKUP($D1869,'WB Data'!$C$3:$M$578,7,FALSE)/100,"..")</f>
        <v>2.5591599999999999E-2</v>
      </c>
      <c r="BJ1869" s="117">
        <f>IFERROR($BI1869*$AW1869,"..")</f>
        <v>55243389.647020921</v>
      </c>
      <c r="BK1869" s="846">
        <f>IFERROR($BB1869/$BJ1869,"..")</f>
        <v>0.18466514692649463</v>
      </c>
      <c r="BL1869" s="117">
        <f>IFERROR(VLOOKUP($D1869,'WB Data'!$C$3:$M$578,7,FALSE)/100,"..")</f>
        <v>2.5591599999999999E-2</v>
      </c>
      <c r="BM1869" s="117">
        <f>IFERROR($AW1869*$BL1869,"..")</f>
        <v>55243389.647020921</v>
      </c>
      <c r="BN1869" s="846">
        <f>IFERROR($BB1869/$BM1869,"..")</f>
        <v>0.18466514692649463</v>
      </c>
      <c r="BO1869" s="801">
        <f t="shared" si="323"/>
        <v>31</v>
      </c>
      <c r="BP1869" s="117" t="str">
        <f>VLOOKUP($D1869,'WB Data'!$C$3:$M$578,9,FALSE)</f>
        <v>..</v>
      </c>
      <c r="BQ1869" s="117">
        <f>VLOOKUP($D1869,'WB Data'!$C$3:$M$578,10,FALSE)</f>
        <v>43.526487804878052</v>
      </c>
      <c r="BR1869" s="117">
        <f>VLOOKUP($D1869,'WB Data'!$C$3:$M$578,11,FALSE)</f>
        <v>122.2</v>
      </c>
      <c r="BS1869" s="129" t="str">
        <f>IFERROR(VLOOKUP($D1869,'WB Data 2'!$C$2:$K$545,9,FALSE),"..")</f>
        <v>..</v>
      </c>
      <c r="BT1869" s="129">
        <f>_xlfn.IFNA(VLOOKUP($C1869,RGI!$A$2:$C$43,2,FALSE),"..")</f>
        <v>38.200000000000003</v>
      </c>
      <c r="BU1869" s="129">
        <f>_xlfn.IFNA(VLOOKUP($C1869,RGI!$A$2:$C$43,3,FALSE),"..")</f>
        <v>45.714033330666766</v>
      </c>
      <c r="BV1869" s="129">
        <f>VLOOKUP($D1869,WGI!$C$2:$O$478,7,FALSE)</f>
        <v>-0.253095004679247</v>
      </c>
      <c r="BW1869" s="129">
        <f>VLOOKUP($D1869,WGI!$C$2:$O$478,4,FALSE)</f>
        <v>-2.1623866857450699E-2</v>
      </c>
      <c r="BX1869" s="129">
        <f>VLOOKUP($D1869,WGI!$C$2:$O$478,3,FALSE)</f>
        <v>-1.17297915843723</v>
      </c>
      <c r="BY1869" s="129">
        <f>VLOOKUP($D1869,WGI!$C$2:$O$478,5,FALSE)</f>
        <v>-1.06972063928095</v>
      </c>
      <c r="BZ1869" s="129">
        <f>VLOOKUP($D1869,WGI!$C$2:$O$478,2,FALSE)</f>
        <v>-0.89561071596991204</v>
      </c>
    </row>
    <row r="1870" spans="1:80" ht="15" customHeight="1">
      <c r="A1870" s="280" t="s">
        <v>2209</v>
      </c>
      <c r="B1870" s="117">
        <v>2007</v>
      </c>
      <c r="C1870" s="117" t="s">
        <v>488</v>
      </c>
      <c r="D1870" s="117" t="s">
        <v>3576</v>
      </c>
      <c r="E1870" s="117" t="s">
        <v>86</v>
      </c>
      <c r="F1870" s="117"/>
      <c r="G1870" s="117" t="s">
        <v>24</v>
      </c>
      <c r="H1870" s="117" t="str">
        <f t="shared" si="318"/>
        <v>yes</v>
      </c>
      <c r="I1870" s="117" t="str">
        <f t="shared" si="320"/>
        <v>no</v>
      </c>
      <c r="J1870" s="117" t="str">
        <f t="shared" si="321"/>
        <v>no</v>
      </c>
      <c r="K1870" s="117" t="s">
        <v>1138</v>
      </c>
      <c r="L1870" s="117" t="str">
        <f t="shared" si="319"/>
        <v>detailed</v>
      </c>
      <c r="M1870" s="117" t="str">
        <f t="shared" si="322"/>
        <v>detailed Mining</v>
      </c>
      <c r="N1870" s="118">
        <v>1169000</v>
      </c>
      <c r="O1870" s="118"/>
      <c r="P1870" s="118"/>
      <c r="Q1870" s="118"/>
      <c r="R1870" s="118"/>
      <c r="S1870" s="117" t="s">
        <v>610</v>
      </c>
      <c r="T1870" s="119">
        <v>31.2</v>
      </c>
      <c r="U1870" s="117" t="s">
        <v>611</v>
      </c>
      <c r="V1870" s="117" t="s">
        <v>2195</v>
      </c>
      <c r="W1870" s="89">
        <f>N1870*T1870</f>
        <v>36472800</v>
      </c>
      <c r="X1870" s="117"/>
      <c r="Y1870" s="117"/>
      <c r="Z1870" s="117"/>
      <c r="AA1870" s="177">
        <f>1805600+(593522720/2984)</f>
        <v>2004501.7158176943</v>
      </c>
      <c r="AB1870" s="177">
        <f>1817309+(621097799/2984)</f>
        <v>2025451.6940348526</v>
      </c>
      <c r="AC1870" s="122"/>
      <c r="AD1870" s="122"/>
      <c r="AE1870" s="122"/>
      <c r="AF1870" s="123">
        <f>AA1870/W1870</f>
        <v>5.4958810834860344E-2</v>
      </c>
      <c r="AG1870" s="117"/>
      <c r="AH1870" s="124"/>
      <c r="AI1870" s="117"/>
      <c r="AJ1870" s="117"/>
      <c r="AK1870" s="89"/>
      <c r="AL1870" s="117"/>
      <c r="AM1870" s="117"/>
      <c r="AN1870" s="117">
        <v>1</v>
      </c>
      <c r="AO1870" s="117" t="s">
        <v>2196</v>
      </c>
      <c r="AP1870" s="117">
        <v>1</v>
      </c>
      <c r="AQ1870" s="117"/>
      <c r="AR1870" s="117"/>
      <c r="AS1870" s="117"/>
      <c r="AT1870" s="117"/>
      <c r="AU1870" s="117">
        <v>23</v>
      </c>
      <c r="AV1870" s="128"/>
      <c r="AW1870" s="117">
        <f>VLOOKUP($D1870,'WB Data'!$C$3:$M$578,2,FALSE)</f>
        <v>2158653216.1733117</v>
      </c>
      <c r="AX1870" s="117">
        <f>VLOOKUP($D1870,'WB Data'!$C$3:$M$578,3,FALSE)</f>
        <v>5416015</v>
      </c>
      <c r="AY1870" s="847">
        <f t="shared" si="324"/>
        <v>4.7258765740840801E-3</v>
      </c>
      <c r="AZ1870" s="117">
        <f>VLOOKUP($D1870,'WB Data'!$C$3:$M$578,4,FALSE)/100</f>
        <v>8.3316198480411413E-2</v>
      </c>
      <c r="BA1870" s="117">
        <f t="shared" si="325"/>
        <v>179850779.80907407</v>
      </c>
      <c r="BB1870" s="129">
        <f>IFERROR(VLOOKUP($D1870,'EITI Revenues'!$C$2:$G$224,5,FALSE),"..")</f>
        <v>10201528.665884711</v>
      </c>
      <c r="BC1870" s="846">
        <f t="shared" si="326"/>
        <v>5.6722182003961542E-2</v>
      </c>
      <c r="BD1870" s="129" t="str">
        <f>VLOOKUP($D1870,'WB Data 2'!$C$2:$K$545,6,FALSE)</f>
        <v>..</v>
      </c>
      <c r="BE1870" s="129">
        <f>IFERROR(VLOOKUP($D1870,UNCTAD!$C$5:$V$529,4,FALSE),"..")</f>
        <v>334189000</v>
      </c>
      <c r="BF1870" s="846" t="str">
        <f t="shared" si="327"/>
        <v>..</v>
      </c>
      <c r="BG1870" s="117">
        <f>VLOOKUP($D1870,'WB Data'!$C$3:$M$578,5,FALSE)</f>
        <v>549780000</v>
      </c>
      <c r="BH1870" s="129">
        <f>IFERROR($BB1870/$BG1870,"..")</f>
        <v>1.8555656200452384E-2</v>
      </c>
      <c r="BI1870" s="117">
        <f>IFERROR(VLOOKUP($D1870,'WB Data'!$C$3:$M$578,7,FALSE)/100,"..")</f>
        <v>2.5591599999999999E-2</v>
      </c>
      <c r="BJ1870" s="117">
        <f>IFERROR($BI1870*$AW1870,"..")</f>
        <v>55243389.647020921</v>
      </c>
      <c r="BK1870" s="846">
        <f>IFERROR($BB1870/$BJ1870,"..")</f>
        <v>0.18466514692649463</v>
      </c>
      <c r="BL1870" s="117">
        <f>IFERROR(VLOOKUP($D1870,'WB Data'!$C$3:$M$578,7,FALSE)/100,"..")</f>
        <v>2.5591599999999999E-2</v>
      </c>
      <c r="BM1870" s="117">
        <f>IFERROR($AW1870*$BL1870,"..")</f>
        <v>55243389.647020921</v>
      </c>
      <c r="BN1870" s="846">
        <f>IFERROR($BB1870/$BM1870,"..")</f>
        <v>0.18466514692649463</v>
      </c>
      <c r="BO1870" s="801">
        <f t="shared" si="323"/>
        <v>31</v>
      </c>
      <c r="BP1870" s="117" t="str">
        <f>VLOOKUP($D1870,'WB Data'!$C$3:$M$578,9,FALSE)</f>
        <v>..</v>
      </c>
      <c r="BQ1870" s="117">
        <f>VLOOKUP($D1870,'WB Data'!$C$3:$M$578,10,FALSE)</f>
        <v>43.526487804878052</v>
      </c>
      <c r="BR1870" s="117">
        <f>VLOOKUP($D1870,'WB Data'!$C$3:$M$578,11,FALSE)</f>
        <v>122.2</v>
      </c>
      <c r="BS1870" s="129" t="str">
        <f>IFERROR(VLOOKUP($D1870,'WB Data 2'!$C$2:$K$545,9,FALSE),"..")</f>
        <v>..</v>
      </c>
      <c r="BT1870" s="129">
        <f>_xlfn.IFNA(VLOOKUP($C1870,RGI!$A$2:$C$43,2,FALSE),"..")</f>
        <v>38.200000000000003</v>
      </c>
      <c r="BU1870" s="129">
        <f>_xlfn.IFNA(VLOOKUP($C1870,RGI!$A$2:$C$43,3,FALSE),"..")</f>
        <v>45.714033330666766</v>
      </c>
      <c r="BV1870" s="129">
        <f>VLOOKUP($D1870,WGI!$C$2:$O$478,7,FALSE)</f>
        <v>-0.253095004679247</v>
      </c>
      <c r="BW1870" s="129">
        <f>VLOOKUP($D1870,WGI!$C$2:$O$478,4,FALSE)</f>
        <v>-2.1623866857450699E-2</v>
      </c>
      <c r="BX1870" s="129">
        <f>VLOOKUP($D1870,WGI!$C$2:$O$478,3,FALSE)</f>
        <v>-1.17297915843723</v>
      </c>
      <c r="BY1870" s="129">
        <f>VLOOKUP($D1870,WGI!$C$2:$O$478,5,FALSE)</f>
        <v>-1.06972063928095</v>
      </c>
      <c r="BZ1870" s="129">
        <f>VLOOKUP($D1870,WGI!$C$2:$O$478,2,FALSE)</f>
        <v>-0.89561071596991204</v>
      </c>
    </row>
    <row r="1871" spans="1:80" ht="15" customHeight="1">
      <c r="A1871" s="280" t="s">
        <v>2209</v>
      </c>
      <c r="B1871" s="117">
        <v>2007</v>
      </c>
      <c r="C1871" s="117" t="s">
        <v>488</v>
      </c>
      <c r="D1871" s="117" t="s">
        <v>3576</v>
      </c>
      <c r="E1871" s="117" t="s">
        <v>86</v>
      </c>
      <c r="F1871" s="117"/>
      <c r="G1871" s="117" t="s">
        <v>24</v>
      </c>
      <c r="H1871" s="117" t="str">
        <f t="shared" si="318"/>
        <v>yes</v>
      </c>
      <c r="I1871" s="117" t="str">
        <f t="shared" si="320"/>
        <v>no</v>
      </c>
      <c r="J1871" s="117" t="str">
        <f t="shared" si="321"/>
        <v>no</v>
      </c>
      <c r="K1871" s="117" t="s">
        <v>980</v>
      </c>
      <c r="L1871" s="117" t="str">
        <f t="shared" si="319"/>
        <v>detailed</v>
      </c>
      <c r="M1871" s="117" t="str">
        <f t="shared" si="322"/>
        <v>detailed Mining</v>
      </c>
      <c r="N1871" s="118">
        <v>603623</v>
      </c>
      <c r="O1871" s="118"/>
      <c r="P1871" s="118"/>
      <c r="Q1871" s="118"/>
      <c r="R1871" s="118"/>
      <c r="S1871" s="117" t="s">
        <v>981</v>
      </c>
      <c r="T1871" s="119">
        <v>234.53</v>
      </c>
      <c r="U1871" s="117" t="s">
        <v>982</v>
      </c>
      <c r="V1871" s="117" t="s">
        <v>2211</v>
      </c>
      <c r="W1871" s="89">
        <f>N1871*T1871</f>
        <v>141567702.19</v>
      </c>
      <c r="X1871" s="117"/>
      <c r="Y1871" s="117"/>
      <c r="Z1871" s="117"/>
      <c r="AA1871" s="177">
        <f>1716069+807376+1925759+((159005000+2615450496+102690000)/2984)</f>
        <v>5413394.8498659516</v>
      </c>
      <c r="AB1871" s="177">
        <f>1716068+807367+1949203+((6000000+7200000+2876814828)/2984)</f>
        <v>5441141.6286863275</v>
      </c>
      <c r="AC1871" s="122"/>
      <c r="AD1871" s="122"/>
      <c r="AE1871" s="122"/>
      <c r="AF1871" s="123">
        <f>AA1871/W1871</f>
        <v>3.823891160287788E-2</v>
      </c>
      <c r="AG1871" s="89"/>
      <c r="AH1871" s="124"/>
      <c r="AI1871" s="117"/>
      <c r="AJ1871" s="117"/>
      <c r="AK1871" s="89"/>
      <c r="AL1871" s="117"/>
      <c r="AM1871" s="117"/>
      <c r="AN1871" s="117">
        <v>4</v>
      </c>
      <c r="AO1871" s="117" t="s">
        <v>2197</v>
      </c>
      <c r="AP1871" s="117">
        <v>4</v>
      </c>
      <c r="AQ1871" s="117"/>
      <c r="AR1871" s="117"/>
      <c r="AS1871" s="117"/>
      <c r="AT1871" s="117"/>
      <c r="AU1871" s="117">
        <v>23</v>
      </c>
      <c r="AV1871" s="128"/>
      <c r="AW1871" s="117">
        <f>VLOOKUP($D1871,'WB Data'!$C$3:$M$578,2,FALSE)</f>
        <v>2158653216.1733117</v>
      </c>
      <c r="AX1871" s="117">
        <f>VLOOKUP($D1871,'WB Data'!$C$3:$M$578,3,FALSE)</f>
        <v>5416015</v>
      </c>
      <c r="AY1871" s="847">
        <f t="shared" si="324"/>
        <v>4.7258765740840801E-3</v>
      </c>
      <c r="AZ1871" s="117">
        <f>VLOOKUP($D1871,'WB Data'!$C$3:$M$578,4,FALSE)/100</f>
        <v>8.3316198480411413E-2</v>
      </c>
      <c r="BA1871" s="117">
        <f t="shared" si="325"/>
        <v>179850779.80907407</v>
      </c>
      <c r="BB1871" s="129">
        <f>IFERROR(VLOOKUP($D1871,'EITI Revenues'!$C$2:$G$224,5,FALSE),"..")</f>
        <v>10201528.665884711</v>
      </c>
      <c r="BC1871" s="846">
        <f t="shared" si="326"/>
        <v>5.6722182003961542E-2</v>
      </c>
      <c r="BD1871" s="129" t="str">
        <f>VLOOKUP($D1871,'WB Data 2'!$C$2:$K$545,6,FALSE)</f>
        <v>..</v>
      </c>
      <c r="BE1871" s="129">
        <f>IFERROR(VLOOKUP($D1871,UNCTAD!$C$5:$V$529,4,FALSE),"..")</f>
        <v>334189000</v>
      </c>
      <c r="BF1871" s="846" t="str">
        <f t="shared" si="327"/>
        <v>..</v>
      </c>
      <c r="BG1871" s="117">
        <f>VLOOKUP($D1871,'WB Data'!$C$3:$M$578,5,FALSE)</f>
        <v>549780000</v>
      </c>
      <c r="BH1871" s="129">
        <f>IFERROR($BB1871/$BG1871,"..")</f>
        <v>1.8555656200452384E-2</v>
      </c>
      <c r="BI1871" s="117">
        <f>IFERROR(VLOOKUP($D1871,'WB Data'!$C$3:$M$578,7,FALSE)/100,"..")</f>
        <v>2.5591599999999999E-2</v>
      </c>
      <c r="BJ1871" s="117">
        <f>IFERROR($BI1871*$AW1871,"..")</f>
        <v>55243389.647020921</v>
      </c>
      <c r="BK1871" s="846">
        <f>IFERROR($BB1871/$BJ1871,"..")</f>
        <v>0.18466514692649463</v>
      </c>
      <c r="BL1871" s="117">
        <f>IFERROR(VLOOKUP($D1871,'WB Data'!$C$3:$M$578,7,FALSE)/100,"..")</f>
        <v>2.5591599999999999E-2</v>
      </c>
      <c r="BM1871" s="117">
        <f>IFERROR($AW1871*$BL1871,"..")</f>
        <v>55243389.647020921</v>
      </c>
      <c r="BN1871" s="846">
        <f>IFERROR($BB1871/$BM1871,"..")</f>
        <v>0.18466514692649463</v>
      </c>
      <c r="BO1871" s="801">
        <f t="shared" si="323"/>
        <v>31</v>
      </c>
      <c r="BP1871" s="117" t="str">
        <f>VLOOKUP($D1871,'WB Data'!$C$3:$M$578,9,FALSE)</f>
        <v>..</v>
      </c>
      <c r="BQ1871" s="117">
        <f>VLOOKUP($D1871,'WB Data'!$C$3:$M$578,10,FALSE)</f>
        <v>43.526487804878052</v>
      </c>
      <c r="BR1871" s="117">
        <f>VLOOKUP($D1871,'WB Data'!$C$3:$M$578,11,FALSE)</f>
        <v>122.2</v>
      </c>
      <c r="BS1871" s="129" t="str">
        <f>IFERROR(VLOOKUP($D1871,'WB Data 2'!$C$2:$K$545,9,FALSE),"..")</f>
        <v>..</v>
      </c>
      <c r="BT1871" s="129">
        <f>_xlfn.IFNA(VLOOKUP($C1871,RGI!$A$2:$C$43,2,FALSE),"..")</f>
        <v>38.200000000000003</v>
      </c>
      <c r="BU1871" s="129">
        <f>_xlfn.IFNA(VLOOKUP($C1871,RGI!$A$2:$C$43,3,FALSE),"..")</f>
        <v>45.714033330666766</v>
      </c>
      <c r="BV1871" s="129">
        <f>VLOOKUP($D1871,WGI!$C$2:$O$478,7,FALSE)</f>
        <v>-0.253095004679247</v>
      </c>
      <c r="BW1871" s="129">
        <f>VLOOKUP($D1871,WGI!$C$2:$O$478,4,FALSE)</f>
        <v>-2.1623866857450699E-2</v>
      </c>
      <c r="BX1871" s="129">
        <f>VLOOKUP($D1871,WGI!$C$2:$O$478,3,FALSE)</f>
        <v>-1.17297915843723</v>
      </c>
      <c r="BY1871" s="129">
        <f>VLOOKUP($D1871,WGI!$C$2:$O$478,5,FALSE)</f>
        <v>-1.06972063928095</v>
      </c>
      <c r="BZ1871" s="129">
        <f>VLOOKUP($D1871,WGI!$C$2:$O$478,2,FALSE)</f>
        <v>-0.89561071596991204</v>
      </c>
    </row>
    <row r="1872" spans="1:80" ht="15" customHeight="1">
      <c r="A1872" s="280" t="s">
        <v>2209</v>
      </c>
      <c r="B1872" s="117">
        <v>2007</v>
      </c>
      <c r="C1872" s="117" t="s">
        <v>488</v>
      </c>
      <c r="D1872" s="117" t="s">
        <v>3576</v>
      </c>
      <c r="E1872" s="117" t="s">
        <v>86</v>
      </c>
      <c r="F1872" s="117"/>
      <c r="G1872" s="117" t="s">
        <v>24</v>
      </c>
      <c r="H1872" s="117" t="str">
        <f t="shared" si="318"/>
        <v>yes</v>
      </c>
      <c r="I1872" s="117" t="str">
        <f t="shared" si="320"/>
        <v>no</v>
      </c>
      <c r="J1872" s="117" t="str">
        <f t="shared" si="321"/>
        <v>no</v>
      </c>
      <c r="K1872" s="117" t="s">
        <v>784</v>
      </c>
      <c r="L1872" s="117" t="str">
        <f t="shared" si="319"/>
        <v>detailed</v>
      </c>
      <c r="M1872" s="117" t="str">
        <f t="shared" si="322"/>
        <v>detailed Mining</v>
      </c>
      <c r="N1872" s="118">
        <f>212*32.1507431265</f>
        <v>6815.9575428179996</v>
      </c>
      <c r="O1872" s="118"/>
      <c r="P1872" s="118"/>
      <c r="Q1872" s="118"/>
      <c r="R1872" s="118"/>
      <c r="S1872" s="117" t="s">
        <v>785</v>
      </c>
      <c r="T1872" s="119">
        <v>696.72024999999996</v>
      </c>
      <c r="U1872" s="117" t="s">
        <v>786</v>
      </c>
      <c r="V1872" s="117" t="s">
        <v>984</v>
      </c>
      <c r="W1872" s="89">
        <f>N1872*T1872</f>
        <v>4748815.6432215422</v>
      </c>
      <c r="X1872" s="117"/>
      <c r="Y1872" s="117"/>
      <c r="Z1872" s="117"/>
      <c r="AA1872" s="177">
        <f>31400+(50759174/2984)</f>
        <v>48410.447050938339</v>
      </c>
      <c r="AB1872" s="177">
        <f>31400+(171394111/2984)</f>
        <v>88837.704758713138</v>
      </c>
      <c r="AC1872" s="122"/>
      <c r="AD1872" s="122"/>
      <c r="AE1872" s="122"/>
      <c r="AF1872" s="123">
        <f>AA1872/W1872</f>
        <v>1.0194214871246769E-2</v>
      </c>
      <c r="AG1872" s="89"/>
      <c r="AH1872" s="124"/>
      <c r="AI1872" s="117"/>
      <c r="AJ1872" s="117"/>
      <c r="AK1872" s="89"/>
      <c r="AL1872" s="117"/>
      <c r="AM1872" s="117"/>
      <c r="AN1872" s="117">
        <v>1</v>
      </c>
      <c r="AO1872" s="117" t="s">
        <v>2198</v>
      </c>
      <c r="AP1872" s="117">
        <v>1</v>
      </c>
      <c r="AQ1872" s="117"/>
      <c r="AR1872" s="117"/>
      <c r="AS1872" s="117"/>
      <c r="AT1872" s="117"/>
      <c r="AU1872" s="117">
        <v>23</v>
      </c>
      <c r="AV1872" s="128"/>
      <c r="AW1872" s="117">
        <f>VLOOKUP($D1872,'WB Data'!$C$3:$M$578,2,FALSE)</f>
        <v>2158653216.1733117</v>
      </c>
      <c r="AX1872" s="117">
        <f>VLOOKUP($D1872,'WB Data'!$C$3:$M$578,3,FALSE)</f>
        <v>5416015</v>
      </c>
      <c r="AY1872" s="847">
        <f t="shared" si="324"/>
        <v>4.7258765740840801E-3</v>
      </c>
      <c r="AZ1872" s="117">
        <f>VLOOKUP($D1872,'WB Data'!$C$3:$M$578,4,FALSE)/100</f>
        <v>8.3316198480411413E-2</v>
      </c>
      <c r="BA1872" s="117">
        <f t="shared" si="325"/>
        <v>179850779.80907407</v>
      </c>
      <c r="BB1872" s="129">
        <f>IFERROR(VLOOKUP($D1872,'EITI Revenues'!$C$2:$G$224,5,FALSE),"..")</f>
        <v>10201528.665884711</v>
      </c>
      <c r="BC1872" s="846">
        <f t="shared" si="326"/>
        <v>5.6722182003961542E-2</v>
      </c>
      <c r="BD1872" s="129" t="str">
        <f>VLOOKUP($D1872,'WB Data 2'!$C$2:$K$545,6,FALSE)</f>
        <v>..</v>
      </c>
      <c r="BE1872" s="129">
        <f>IFERROR(VLOOKUP($D1872,UNCTAD!$C$5:$V$529,4,FALSE),"..")</f>
        <v>334189000</v>
      </c>
      <c r="BF1872" s="846" t="str">
        <f t="shared" si="327"/>
        <v>..</v>
      </c>
      <c r="BG1872" s="117">
        <f>VLOOKUP($D1872,'WB Data'!$C$3:$M$578,5,FALSE)</f>
        <v>549780000</v>
      </c>
      <c r="BH1872" s="129">
        <f>IFERROR($BB1872/$BG1872,"..")</f>
        <v>1.8555656200452384E-2</v>
      </c>
      <c r="BI1872" s="117">
        <f>IFERROR(VLOOKUP($D1872,'WB Data'!$C$3:$M$578,7,FALSE)/100,"..")</f>
        <v>2.5591599999999999E-2</v>
      </c>
      <c r="BJ1872" s="117">
        <f>IFERROR($BI1872*$AW1872,"..")</f>
        <v>55243389.647020921</v>
      </c>
      <c r="BK1872" s="846">
        <f>IFERROR($BB1872/$BJ1872,"..")</f>
        <v>0.18466514692649463</v>
      </c>
      <c r="BL1872" s="117">
        <f>IFERROR(VLOOKUP($D1872,'WB Data'!$C$3:$M$578,7,FALSE)/100,"..")</f>
        <v>2.5591599999999999E-2</v>
      </c>
      <c r="BM1872" s="117">
        <f>IFERROR($AW1872*$BL1872,"..")</f>
        <v>55243389.647020921</v>
      </c>
      <c r="BN1872" s="846">
        <f>IFERROR($BB1872/$BM1872,"..")</f>
        <v>0.18466514692649463</v>
      </c>
      <c r="BO1872" s="801">
        <f t="shared" si="323"/>
        <v>31</v>
      </c>
      <c r="BP1872" s="117" t="str">
        <f>VLOOKUP($D1872,'WB Data'!$C$3:$M$578,9,FALSE)</f>
        <v>..</v>
      </c>
      <c r="BQ1872" s="117">
        <f>VLOOKUP($D1872,'WB Data'!$C$3:$M$578,10,FALSE)</f>
        <v>43.526487804878052</v>
      </c>
      <c r="BR1872" s="117">
        <f>VLOOKUP($D1872,'WB Data'!$C$3:$M$578,11,FALSE)</f>
        <v>122.2</v>
      </c>
      <c r="BS1872" s="129" t="str">
        <f>IFERROR(VLOOKUP($D1872,'WB Data 2'!$C$2:$K$545,9,FALSE),"..")</f>
        <v>..</v>
      </c>
      <c r="BT1872" s="129">
        <f>_xlfn.IFNA(VLOOKUP($C1872,RGI!$A$2:$C$43,2,FALSE),"..")</f>
        <v>38.200000000000003</v>
      </c>
      <c r="BU1872" s="129">
        <f>_xlfn.IFNA(VLOOKUP($C1872,RGI!$A$2:$C$43,3,FALSE),"..")</f>
        <v>45.714033330666766</v>
      </c>
      <c r="BV1872" s="129">
        <f>VLOOKUP($D1872,WGI!$C$2:$O$478,7,FALSE)</f>
        <v>-0.253095004679247</v>
      </c>
      <c r="BW1872" s="129">
        <f>VLOOKUP($D1872,WGI!$C$2:$O$478,4,FALSE)</f>
        <v>-2.1623866857450699E-2</v>
      </c>
      <c r="BX1872" s="129">
        <f>VLOOKUP($D1872,WGI!$C$2:$O$478,3,FALSE)</f>
        <v>-1.17297915843723</v>
      </c>
      <c r="BY1872" s="129">
        <f>VLOOKUP($D1872,WGI!$C$2:$O$478,5,FALSE)</f>
        <v>-1.06972063928095</v>
      </c>
      <c r="BZ1872" s="129">
        <f>VLOOKUP($D1872,WGI!$C$2:$O$478,2,FALSE)</f>
        <v>-0.89561071596991204</v>
      </c>
    </row>
    <row r="1873" spans="1:80" ht="15" customHeight="1">
      <c r="A1873" s="280" t="s">
        <v>2209</v>
      </c>
      <c r="B1873" s="117">
        <v>2007</v>
      </c>
      <c r="C1873" s="117" t="s">
        <v>488</v>
      </c>
      <c r="D1873" s="117" t="s">
        <v>3576</v>
      </c>
      <c r="E1873" s="117" t="s">
        <v>86</v>
      </c>
      <c r="F1873" s="117"/>
      <c r="G1873" s="117" t="s">
        <v>24</v>
      </c>
      <c r="H1873" s="117" t="str">
        <f t="shared" si="318"/>
        <v>yes</v>
      </c>
      <c r="I1873" s="117" t="str">
        <f t="shared" si="320"/>
        <v>no</v>
      </c>
      <c r="J1873" s="117" t="str">
        <f t="shared" si="321"/>
        <v>no</v>
      </c>
      <c r="K1873" s="117" t="s">
        <v>1228</v>
      </c>
      <c r="L1873" s="117" t="str">
        <f t="shared" si="319"/>
        <v>detailed</v>
      </c>
      <c r="M1873" s="117" t="str">
        <f t="shared" si="322"/>
        <v>detailed Mining</v>
      </c>
      <c r="N1873" s="118">
        <v>0</v>
      </c>
      <c r="O1873" s="118"/>
      <c r="P1873" s="118"/>
      <c r="Q1873" s="118"/>
      <c r="R1873" s="118"/>
      <c r="S1873" s="117" t="s">
        <v>610</v>
      </c>
      <c r="T1873" s="119"/>
      <c r="U1873" s="117"/>
      <c r="V1873" s="117" t="s">
        <v>2199</v>
      </c>
      <c r="W1873" s="89">
        <f>N1873*T1873</f>
        <v>0</v>
      </c>
      <c r="X1873" s="117"/>
      <c r="Y1873" s="117"/>
      <c r="Z1873" s="117"/>
      <c r="AA1873" s="177">
        <f>1090395+125000+((2078180757+257805446)/2984)</f>
        <v>1998232.1993967828</v>
      </c>
      <c r="AB1873" s="177">
        <f>1291496+125000+((1813309350+353538001)/2984)</f>
        <v>2142651.2784852549</v>
      </c>
      <c r="AC1873" s="122"/>
      <c r="AD1873" s="122"/>
      <c r="AE1873" s="122"/>
      <c r="AF1873" s="123"/>
      <c r="AG1873" s="117"/>
      <c r="AH1873" s="124"/>
      <c r="AI1873" s="117"/>
      <c r="AJ1873" s="117"/>
      <c r="AK1873" s="89"/>
      <c r="AL1873" s="117"/>
      <c r="AM1873" s="117"/>
      <c r="AN1873" s="117">
        <v>2</v>
      </c>
      <c r="AO1873" s="117" t="s">
        <v>2200</v>
      </c>
      <c r="AP1873" s="117">
        <v>2</v>
      </c>
      <c r="AQ1873" s="117"/>
      <c r="AR1873" s="117"/>
      <c r="AS1873" s="117"/>
      <c r="AT1873" s="117"/>
      <c r="AU1873" s="117">
        <v>23</v>
      </c>
      <c r="AV1873" s="128"/>
      <c r="AW1873" s="117">
        <f>VLOOKUP($D1873,'WB Data'!$C$3:$M$578,2,FALSE)</f>
        <v>2158653216.1733117</v>
      </c>
      <c r="AX1873" s="117">
        <f>VLOOKUP($D1873,'WB Data'!$C$3:$M$578,3,FALSE)</f>
        <v>5416015</v>
      </c>
      <c r="AY1873" s="847">
        <f t="shared" si="324"/>
        <v>4.7258765740840801E-3</v>
      </c>
      <c r="AZ1873" s="117">
        <f>VLOOKUP($D1873,'WB Data'!$C$3:$M$578,4,FALSE)/100</f>
        <v>8.3316198480411413E-2</v>
      </c>
      <c r="BA1873" s="117">
        <f t="shared" si="325"/>
        <v>179850779.80907407</v>
      </c>
      <c r="BB1873" s="129">
        <f>IFERROR(VLOOKUP($D1873,'EITI Revenues'!$C$2:$G$224,5,FALSE),"..")</f>
        <v>10201528.665884711</v>
      </c>
      <c r="BC1873" s="846">
        <f t="shared" si="326"/>
        <v>5.6722182003961542E-2</v>
      </c>
      <c r="BD1873" s="129" t="str">
        <f>VLOOKUP($D1873,'WB Data 2'!$C$2:$K$545,6,FALSE)</f>
        <v>..</v>
      </c>
      <c r="BE1873" s="129">
        <f>IFERROR(VLOOKUP($D1873,UNCTAD!$C$5:$V$529,4,FALSE),"..")</f>
        <v>334189000</v>
      </c>
      <c r="BF1873" s="846" t="str">
        <f t="shared" si="327"/>
        <v>..</v>
      </c>
      <c r="BG1873" s="117">
        <f>VLOOKUP($D1873,'WB Data'!$C$3:$M$578,5,FALSE)</f>
        <v>549780000</v>
      </c>
      <c r="BH1873" s="129">
        <f>IFERROR($BB1873/$BG1873,"..")</f>
        <v>1.8555656200452384E-2</v>
      </c>
      <c r="BI1873" s="117">
        <f>IFERROR(VLOOKUP($D1873,'WB Data'!$C$3:$M$578,7,FALSE)/100,"..")</f>
        <v>2.5591599999999999E-2</v>
      </c>
      <c r="BJ1873" s="117">
        <f>IFERROR($BI1873*$AW1873,"..")</f>
        <v>55243389.647020921</v>
      </c>
      <c r="BK1873" s="846">
        <f>IFERROR($BB1873/$BJ1873,"..")</f>
        <v>0.18466514692649463</v>
      </c>
      <c r="BL1873" s="117">
        <f>IFERROR(VLOOKUP($D1873,'WB Data'!$C$3:$M$578,7,FALSE)/100,"..")</f>
        <v>2.5591599999999999E-2</v>
      </c>
      <c r="BM1873" s="117">
        <f>IFERROR($AW1873*$BL1873,"..")</f>
        <v>55243389.647020921</v>
      </c>
      <c r="BN1873" s="846">
        <f>IFERROR($BB1873/$BM1873,"..")</f>
        <v>0.18466514692649463</v>
      </c>
      <c r="BO1873" s="801">
        <f t="shared" si="323"/>
        <v>31</v>
      </c>
      <c r="BP1873" s="117" t="str">
        <f>VLOOKUP($D1873,'WB Data'!$C$3:$M$578,9,FALSE)</f>
        <v>..</v>
      </c>
      <c r="BQ1873" s="117">
        <f>VLOOKUP($D1873,'WB Data'!$C$3:$M$578,10,FALSE)</f>
        <v>43.526487804878052</v>
      </c>
      <c r="BR1873" s="117">
        <f>VLOOKUP($D1873,'WB Data'!$C$3:$M$578,11,FALSE)</f>
        <v>122.2</v>
      </c>
      <c r="BS1873" s="129" t="str">
        <f>IFERROR(VLOOKUP($D1873,'WB Data 2'!$C$2:$K$545,9,FALSE),"..")</f>
        <v>..</v>
      </c>
      <c r="BT1873" s="129">
        <f>_xlfn.IFNA(VLOOKUP($C1873,RGI!$A$2:$C$43,2,FALSE),"..")</f>
        <v>38.200000000000003</v>
      </c>
      <c r="BU1873" s="129">
        <f>_xlfn.IFNA(VLOOKUP($C1873,RGI!$A$2:$C$43,3,FALSE),"..")</f>
        <v>45.714033330666766</v>
      </c>
      <c r="BV1873" s="129">
        <f>VLOOKUP($D1873,WGI!$C$2:$O$478,7,FALSE)</f>
        <v>-0.253095004679247</v>
      </c>
      <c r="BW1873" s="129">
        <f>VLOOKUP($D1873,WGI!$C$2:$O$478,4,FALSE)</f>
        <v>-2.1623866857450699E-2</v>
      </c>
      <c r="BX1873" s="129">
        <f>VLOOKUP($D1873,WGI!$C$2:$O$478,3,FALSE)</f>
        <v>-1.17297915843723</v>
      </c>
      <c r="BY1873" s="129">
        <f>VLOOKUP($D1873,WGI!$C$2:$O$478,5,FALSE)</f>
        <v>-1.06972063928095</v>
      </c>
      <c r="BZ1873" s="129">
        <f>VLOOKUP($D1873,WGI!$C$2:$O$478,2,FALSE)</f>
        <v>-0.89561071596991204</v>
      </c>
    </row>
    <row r="1874" spans="1:80" ht="15" customHeight="1">
      <c r="A1874" s="280" t="s">
        <v>2209</v>
      </c>
      <c r="B1874" s="117">
        <v>2007</v>
      </c>
      <c r="C1874" s="117" t="s">
        <v>488</v>
      </c>
      <c r="D1874" s="117" t="s">
        <v>3576</v>
      </c>
      <c r="E1874" s="117" t="s">
        <v>86</v>
      </c>
      <c r="F1874" s="117"/>
      <c r="G1874" s="117" t="s">
        <v>24</v>
      </c>
      <c r="H1874" s="117" t="str">
        <f t="shared" si="318"/>
        <v>yes</v>
      </c>
      <c r="I1874" s="117" t="str">
        <f t="shared" si="320"/>
        <v>no</v>
      </c>
      <c r="J1874" s="117" t="str">
        <f t="shared" si="321"/>
        <v>no</v>
      </c>
      <c r="K1874" s="117" t="s">
        <v>2201</v>
      </c>
      <c r="L1874" s="117" t="str">
        <f t="shared" si="319"/>
        <v>detailed</v>
      </c>
      <c r="M1874" s="117" t="str">
        <f t="shared" si="322"/>
        <v>detailed Mining</v>
      </c>
      <c r="N1874" s="118"/>
      <c r="O1874" s="118"/>
      <c r="P1874" s="118"/>
      <c r="Q1874" s="118"/>
      <c r="R1874" s="118"/>
      <c r="S1874" s="117"/>
      <c r="T1874" s="119"/>
      <c r="U1874" s="117"/>
      <c r="V1874" s="117"/>
      <c r="W1874" s="89">
        <f>SUM(W1875:W1877)</f>
        <v>50687028</v>
      </c>
      <c r="X1874" s="117"/>
      <c r="Y1874" s="117"/>
      <c r="Z1874" s="117"/>
      <c r="AA1874" s="177">
        <f>418225+(951193131/2984)</f>
        <v>736989.45408847183</v>
      </c>
      <c r="AB1874" s="177">
        <f>417133+(1075082542/2984)</f>
        <v>777415.35321715823</v>
      </c>
      <c r="AC1874" s="122"/>
      <c r="AD1874" s="122"/>
      <c r="AE1874" s="122"/>
      <c r="AF1874" s="123">
        <f>AA1874/W1874</f>
        <v>1.4540001321215201E-2</v>
      </c>
      <c r="AG1874" s="117"/>
      <c r="AH1874" s="124"/>
      <c r="AI1874" s="117"/>
      <c r="AJ1874" s="117"/>
      <c r="AK1874" s="89"/>
      <c r="AL1874" s="117"/>
      <c r="AM1874" s="117"/>
      <c r="AN1874" s="117">
        <v>1</v>
      </c>
      <c r="AO1874" s="117" t="s">
        <v>2202</v>
      </c>
      <c r="AP1874" s="117">
        <v>1</v>
      </c>
      <c r="AQ1874" s="117"/>
      <c r="AR1874" s="117"/>
      <c r="AS1874" s="117"/>
      <c r="AT1874" s="117"/>
      <c r="AU1874" s="117">
        <v>23</v>
      </c>
      <c r="AV1874" s="128"/>
      <c r="AW1874" s="117">
        <f>VLOOKUP($D1874,'WB Data'!$C$3:$M$578,2,FALSE)</f>
        <v>2158653216.1733117</v>
      </c>
      <c r="AX1874" s="117">
        <f>VLOOKUP($D1874,'WB Data'!$C$3:$M$578,3,FALSE)</f>
        <v>5416015</v>
      </c>
      <c r="AY1874" s="847">
        <f t="shared" si="324"/>
        <v>4.7258765740840801E-3</v>
      </c>
      <c r="AZ1874" s="117">
        <f>VLOOKUP($D1874,'WB Data'!$C$3:$M$578,4,FALSE)/100</f>
        <v>8.3316198480411413E-2</v>
      </c>
      <c r="BA1874" s="117">
        <f t="shared" si="325"/>
        <v>179850779.80907407</v>
      </c>
      <c r="BB1874" s="129">
        <f>IFERROR(VLOOKUP($D1874,'EITI Revenues'!$C$2:$G$224,5,FALSE),"..")</f>
        <v>10201528.665884711</v>
      </c>
      <c r="BC1874" s="846">
        <f t="shared" si="326"/>
        <v>5.6722182003961542E-2</v>
      </c>
      <c r="BD1874" s="129" t="str">
        <f>VLOOKUP($D1874,'WB Data 2'!$C$2:$K$545,6,FALSE)</f>
        <v>..</v>
      </c>
      <c r="BE1874" s="129">
        <f>IFERROR(VLOOKUP($D1874,UNCTAD!$C$5:$V$529,4,FALSE),"..")</f>
        <v>334189000</v>
      </c>
      <c r="BF1874" s="846" t="str">
        <f t="shared" si="327"/>
        <v>..</v>
      </c>
      <c r="BG1874" s="117">
        <f>VLOOKUP($D1874,'WB Data'!$C$3:$M$578,5,FALSE)</f>
        <v>549780000</v>
      </c>
      <c r="BH1874" s="129">
        <f>IFERROR($BB1874/$BG1874,"..")</f>
        <v>1.8555656200452384E-2</v>
      </c>
      <c r="BI1874" s="117">
        <f>IFERROR(VLOOKUP($D1874,'WB Data'!$C$3:$M$578,7,FALSE)/100,"..")</f>
        <v>2.5591599999999999E-2</v>
      </c>
      <c r="BJ1874" s="117">
        <f>IFERROR($BI1874*$AW1874,"..")</f>
        <v>55243389.647020921</v>
      </c>
      <c r="BK1874" s="846">
        <f>IFERROR($BB1874/$BJ1874,"..")</f>
        <v>0.18466514692649463</v>
      </c>
      <c r="BL1874" s="117">
        <f>IFERROR(VLOOKUP($D1874,'WB Data'!$C$3:$M$578,7,FALSE)/100,"..")</f>
        <v>2.5591599999999999E-2</v>
      </c>
      <c r="BM1874" s="117">
        <f>IFERROR($AW1874*$BL1874,"..")</f>
        <v>55243389.647020921</v>
      </c>
      <c r="BN1874" s="846">
        <f>IFERROR($BB1874/$BM1874,"..")</f>
        <v>0.18466514692649463</v>
      </c>
      <c r="BO1874" s="801">
        <f t="shared" si="323"/>
        <v>31</v>
      </c>
      <c r="BP1874" s="117" t="str">
        <f>VLOOKUP($D1874,'WB Data'!$C$3:$M$578,9,FALSE)</f>
        <v>..</v>
      </c>
      <c r="BQ1874" s="117">
        <f>VLOOKUP($D1874,'WB Data'!$C$3:$M$578,10,FALSE)</f>
        <v>43.526487804878052</v>
      </c>
      <c r="BR1874" s="117">
        <f>VLOOKUP($D1874,'WB Data'!$C$3:$M$578,11,FALSE)</f>
        <v>122.2</v>
      </c>
      <c r="BS1874" s="129" t="str">
        <f>IFERROR(VLOOKUP($D1874,'WB Data 2'!$C$2:$K$545,9,FALSE),"..")</f>
        <v>..</v>
      </c>
      <c r="BT1874" s="129">
        <f>_xlfn.IFNA(VLOOKUP($C1874,RGI!$A$2:$C$43,2,FALSE),"..")</f>
        <v>38.200000000000003</v>
      </c>
      <c r="BU1874" s="129">
        <f>_xlfn.IFNA(VLOOKUP($C1874,RGI!$A$2:$C$43,3,FALSE),"..")</f>
        <v>45.714033330666766</v>
      </c>
      <c r="BV1874" s="129">
        <f>VLOOKUP($D1874,WGI!$C$2:$O$478,7,FALSE)</f>
        <v>-0.253095004679247</v>
      </c>
      <c r="BW1874" s="129">
        <f>VLOOKUP($D1874,WGI!$C$2:$O$478,4,FALSE)</f>
        <v>-2.1623866857450699E-2</v>
      </c>
      <c r="BX1874" s="129">
        <f>VLOOKUP($D1874,WGI!$C$2:$O$478,3,FALSE)</f>
        <v>-1.17297915843723</v>
      </c>
      <c r="BY1874" s="129">
        <f>VLOOKUP($D1874,WGI!$C$2:$O$478,5,FALSE)</f>
        <v>-1.06972063928095</v>
      </c>
      <c r="BZ1874" s="129">
        <f>VLOOKUP($D1874,WGI!$C$2:$O$478,2,FALSE)</f>
        <v>-0.89561071596991204</v>
      </c>
    </row>
    <row r="1875" spans="1:80" ht="15" customHeight="1">
      <c r="A1875" s="280" t="s">
        <v>2209</v>
      </c>
      <c r="B1875" s="117">
        <v>2007</v>
      </c>
      <c r="C1875" s="117" t="s">
        <v>488</v>
      </c>
      <c r="D1875" s="117" t="s">
        <v>3576</v>
      </c>
      <c r="E1875" s="117" t="s">
        <v>86</v>
      </c>
      <c r="F1875" s="117"/>
      <c r="G1875" s="117" t="s">
        <v>24</v>
      </c>
      <c r="H1875" s="117" t="str">
        <f t="shared" si="318"/>
        <v>yes</v>
      </c>
      <c r="I1875" s="117" t="str">
        <f t="shared" si="320"/>
        <v>no</v>
      </c>
      <c r="J1875" s="117" t="str">
        <f t="shared" si="321"/>
        <v>no</v>
      </c>
      <c r="K1875" s="117" t="s">
        <v>2203</v>
      </c>
      <c r="L1875" s="117" t="str">
        <f t="shared" si="319"/>
        <v>detailed</v>
      </c>
      <c r="M1875" s="117" t="str">
        <f t="shared" si="322"/>
        <v>detailed Mining</v>
      </c>
      <c r="N1875" s="118">
        <v>15570</v>
      </c>
      <c r="O1875" s="118"/>
      <c r="P1875" s="118"/>
      <c r="Q1875" s="118"/>
      <c r="R1875" s="118"/>
      <c r="S1875" s="117" t="s">
        <v>610</v>
      </c>
      <c r="T1875" s="119">
        <v>107</v>
      </c>
      <c r="U1875" s="117" t="s">
        <v>611</v>
      </c>
      <c r="V1875" s="117" t="s">
        <v>2204</v>
      </c>
      <c r="W1875" s="89">
        <f>N1875*T1875</f>
        <v>1665990</v>
      </c>
      <c r="X1875" s="117"/>
      <c r="Y1875" s="117"/>
      <c r="Z1875" s="117"/>
      <c r="AA1875" s="177"/>
      <c r="AB1875" s="177"/>
      <c r="AC1875" s="122"/>
      <c r="AD1875" s="122"/>
      <c r="AE1875" s="122"/>
      <c r="AF1875" s="123"/>
      <c r="AG1875" s="117"/>
      <c r="AH1875" s="124"/>
      <c r="AI1875" s="117"/>
      <c r="AJ1875" s="117"/>
      <c r="AK1875" s="89"/>
      <c r="AL1875" s="117"/>
      <c r="AM1875" s="117"/>
      <c r="AN1875" s="117"/>
      <c r="AO1875" s="117"/>
      <c r="AP1875" s="117"/>
      <c r="AQ1875" s="117"/>
      <c r="AR1875" s="117"/>
      <c r="AS1875" s="117"/>
      <c r="AT1875" s="117"/>
      <c r="AU1875" s="117"/>
      <c r="AV1875" s="128"/>
      <c r="AW1875" s="117">
        <f>VLOOKUP($D1875,'WB Data'!$C$3:$M$578,2,FALSE)</f>
        <v>2158653216.1733117</v>
      </c>
      <c r="AX1875" s="117">
        <f>VLOOKUP($D1875,'WB Data'!$C$3:$M$578,3,FALSE)</f>
        <v>5416015</v>
      </c>
      <c r="AY1875" s="847">
        <f t="shared" si="324"/>
        <v>4.7258765740840801E-3</v>
      </c>
      <c r="AZ1875" s="117">
        <f>VLOOKUP($D1875,'WB Data'!$C$3:$M$578,4,FALSE)/100</f>
        <v>8.3316198480411413E-2</v>
      </c>
      <c r="BA1875" s="117">
        <f t="shared" si="325"/>
        <v>179850779.80907407</v>
      </c>
      <c r="BB1875" s="129">
        <f>IFERROR(VLOOKUP($D1875,'EITI Revenues'!$C$2:$G$224,5,FALSE),"..")</f>
        <v>10201528.665884711</v>
      </c>
      <c r="BC1875" s="846">
        <f t="shared" si="326"/>
        <v>5.6722182003961542E-2</v>
      </c>
      <c r="BD1875" s="129" t="str">
        <f>VLOOKUP($D1875,'WB Data 2'!$C$2:$K$545,6,FALSE)</f>
        <v>..</v>
      </c>
      <c r="BE1875" s="129">
        <f>IFERROR(VLOOKUP($D1875,UNCTAD!$C$5:$V$529,4,FALSE),"..")</f>
        <v>334189000</v>
      </c>
      <c r="BF1875" s="846" t="str">
        <f t="shared" si="327"/>
        <v>..</v>
      </c>
      <c r="BG1875" s="117">
        <f>VLOOKUP($D1875,'WB Data'!$C$3:$M$578,5,FALSE)</f>
        <v>549780000</v>
      </c>
      <c r="BH1875" s="129">
        <f>IFERROR($BB1875/$BG1875,"..")</f>
        <v>1.8555656200452384E-2</v>
      </c>
      <c r="BI1875" s="117">
        <f>IFERROR(VLOOKUP($D1875,'WB Data'!$C$3:$M$578,7,FALSE)/100,"..")</f>
        <v>2.5591599999999999E-2</v>
      </c>
      <c r="BJ1875" s="117">
        <f>IFERROR($BI1875*$AW1875,"..")</f>
        <v>55243389.647020921</v>
      </c>
      <c r="BK1875" s="846">
        <f>IFERROR($BB1875/$BJ1875,"..")</f>
        <v>0.18466514692649463</v>
      </c>
      <c r="BL1875" s="117">
        <f>IFERROR(VLOOKUP($D1875,'WB Data'!$C$3:$M$578,7,FALSE)/100,"..")</f>
        <v>2.5591599999999999E-2</v>
      </c>
      <c r="BM1875" s="117">
        <f>IFERROR($AW1875*$BL1875,"..")</f>
        <v>55243389.647020921</v>
      </c>
      <c r="BN1875" s="846">
        <f>IFERROR($BB1875/$BM1875,"..")</f>
        <v>0.18466514692649463</v>
      </c>
      <c r="BO1875" s="801">
        <f t="shared" si="323"/>
        <v>31</v>
      </c>
      <c r="BP1875" s="117" t="str">
        <f>VLOOKUP($D1875,'WB Data'!$C$3:$M$578,9,FALSE)</f>
        <v>..</v>
      </c>
      <c r="BQ1875" s="117">
        <f>VLOOKUP($D1875,'WB Data'!$C$3:$M$578,10,FALSE)</f>
        <v>43.526487804878052</v>
      </c>
      <c r="BR1875" s="117">
        <f>VLOOKUP($D1875,'WB Data'!$C$3:$M$578,11,FALSE)</f>
        <v>122.2</v>
      </c>
      <c r="BS1875" s="129" t="str">
        <f>IFERROR(VLOOKUP($D1875,'WB Data 2'!$C$2:$K$545,9,FALSE),"..")</f>
        <v>..</v>
      </c>
      <c r="BT1875" s="129">
        <f>_xlfn.IFNA(VLOOKUP($C1875,RGI!$A$2:$C$43,2,FALSE),"..")</f>
        <v>38.200000000000003</v>
      </c>
      <c r="BU1875" s="129">
        <f>_xlfn.IFNA(VLOOKUP($C1875,RGI!$A$2:$C$43,3,FALSE),"..")</f>
        <v>45.714033330666766</v>
      </c>
      <c r="BV1875" s="129">
        <f>VLOOKUP($D1875,WGI!$C$2:$O$478,7,FALSE)</f>
        <v>-0.253095004679247</v>
      </c>
      <c r="BW1875" s="129">
        <f>VLOOKUP($D1875,WGI!$C$2:$O$478,4,FALSE)</f>
        <v>-2.1623866857450699E-2</v>
      </c>
      <c r="BX1875" s="129">
        <f>VLOOKUP($D1875,WGI!$C$2:$O$478,3,FALSE)</f>
        <v>-1.17297915843723</v>
      </c>
      <c r="BY1875" s="129">
        <f>VLOOKUP($D1875,WGI!$C$2:$O$478,5,FALSE)</f>
        <v>-1.06972063928095</v>
      </c>
      <c r="BZ1875" s="129">
        <f>VLOOKUP($D1875,WGI!$C$2:$O$478,2,FALSE)</f>
        <v>-0.89561071596991204</v>
      </c>
    </row>
    <row r="1876" spans="1:80" ht="15" customHeight="1">
      <c r="A1876" s="280" t="s">
        <v>2209</v>
      </c>
      <c r="B1876" s="117">
        <v>2007</v>
      </c>
      <c r="C1876" s="117" t="s">
        <v>488</v>
      </c>
      <c r="D1876" s="117" t="s">
        <v>3576</v>
      </c>
      <c r="E1876" s="117" t="s">
        <v>86</v>
      </c>
      <c r="F1876" s="117"/>
      <c r="G1876" s="117" t="s">
        <v>24</v>
      </c>
      <c r="H1876" s="117" t="str">
        <f t="shared" si="318"/>
        <v>yes</v>
      </c>
      <c r="I1876" s="117" t="str">
        <f t="shared" si="320"/>
        <v>no</v>
      </c>
      <c r="J1876" s="117" t="str">
        <f t="shared" si="321"/>
        <v>no</v>
      </c>
      <c r="K1876" s="117" t="s">
        <v>2205</v>
      </c>
      <c r="L1876" s="117" t="str">
        <f t="shared" si="319"/>
        <v>detailed</v>
      </c>
      <c r="M1876" s="117" t="str">
        <f t="shared" si="322"/>
        <v>detailed Mining</v>
      </c>
      <c r="N1876" s="118">
        <v>82527</v>
      </c>
      <c r="O1876" s="118"/>
      <c r="P1876" s="118"/>
      <c r="Q1876" s="118"/>
      <c r="R1876" s="118"/>
      <c r="S1876" s="117" t="s">
        <v>610</v>
      </c>
      <c r="T1876" s="119">
        <v>594</v>
      </c>
      <c r="U1876" s="117" t="s">
        <v>611</v>
      </c>
      <c r="V1876" s="117" t="s">
        <v>2206</v>
      </c>
      <c r="W1876" s="89">
        <f>N1876*T1876</f>
        <v>49021038</v>
      </c>
      <c r="X1876" s="117"/>
      <c r="Y1876" s="117"/>
      <c r="Z1876" s="117"/>
      <c r="AA1876" s="177"/>
      <c r="AB1876" s="177"/>
      <c r="AC1876" s="122"/>
      <c r="AD1876" s="122"/>
      <c r="AE1876" s="122"/>
      <c r="AF1876" s="123"/>
      <c r="AG1876" s="117"/>
      <c r="AH1876" s="124"/>
      <c r="AI1876" s="117"/>
      <c r="AJ1876" s="117"/>
      <c r="AK1876" s="89"/>
      <c r="AL1876" s="117"/>
      <c r="AM1876" s="117"/>
      <c r="AN1876" s="117"/>
      <c r="AO1876" s="117"/>
      <c r="AP1876" s="117"/>
      <c r="AQ1876" s="117"/>
      <c r="AR1876" s="117"/>
      <c r="AS1876" s="117"/>
      <c r="AT1876" s="117"/>
      <c r="AU1876" s="117"/>
      <c r="AV1876" s="128"/>
      <c r="AW1876" s="117">
        <f>VLOOKUP($D1876,'WB Data'!$C$3:$M$578,2,FALSE)</f>
        <v>2158653216.1733117</v>
      </c>
      <c r="AX1876" s="117">
        <f>VLOOKUP($D1876,'WB Data'!$C$3:$M$578,3,FALSE)</f>
        <v>5416015</v>
      </c>
      <c r="AY1876" s="847">
        <f t="shared" si="324"/>
        <v>4.7258765740840801E-3</v>
      </c>
      <c r="AZ1876" s="117">
        <f>VLOOKUP($D1876,'WB Data'!$C$3:$M$578,4,FALSE)/100</f>
        <v>8.3316198480411413E-2</v>
      </c>
      <c r="BA1876" s="117">
        <f t="shared" si="325"/>
        <v>179850779.80907407</v>
      </c>
      <c r="BB1876" s="129">
        <f>IFERROR(VLOOKUP($D1876,'EITI Revenues'!$C$2:$G$224,5,FALSE),"..")</f>
        <v>10201528.665884711</v>
      </c>
      <c r="BC1876" s="846">
        <f t="shared" si="326"/>
        <v>5.6722182003961542E-2</v>
      </c>
      <c r="BD1876" s="129" t="str">
        <f>VLOOKUP($D1876,'WB Data 2'!$C$2:$K$545,6,FALSE)</f>
        <v>..</v>
      </c>
      <c r="BE1876" s="129">
        <f>IFERROR(VLOOKUP($D1876,UNCTAD!$C$5:$V$529,4,FALSE),"..")</f>
        <v>334189000</v>
      </c>
      <c r="BF1876" s="846" t="str">
        <f t="shared" si="327"/>
        <v>..</v>
      </c>
      <c r="BG1876" s="117">
        <f>VLOOKUP($D1876,'WB Data'!$C$3:$M$578,5,FALSE)</f>
        <v>549780000</v>
      </c>
      <c r="BH1876" s="129">
        <f>IFERROR($BB1876/$BG1876,"..")</f>
        <v>1.8555656200452384E-2</v>
      </c>
      <c r="BI1876" s="117">
        <f>IFERROR(VLOOKUP($D1876,'WB Data'!$C$3:$M$578,7,FALSE)/100,"..")</f>
        <v>2.5591599999999999E-2</v>
      </c>
      <c r="BJ1876" s="117">
        <f>IFERROR($BI1876*$AW1876,"..")</f>
        <v>55243389.647020921</v>
      </c>
      <c r="BK1876" s="846">
        <f>IFERROR($BB1876/$BJ1876,"..")</f>
        <v>0.18466514692649463</v>
      </c>
      <c r="BL1876" s="117">
        <f>IFERROR(VLOOKUP($D1876,'WB Data'!$C$3:$M$578,7,FALSE)/100,"..")</f>
        <v>2.5591599999999999E-2</v>
      </c>
      <c r="BM1876" s="117">
        <f>IFERROR($AW1876*$BL1876,"..")</f>
        <v>55243389.647020921</v>
      </c>
      <c r="BN1876" s="846">
        <f>IFERROR($BB1876/$BM1876,"..")</f>
        <v>0.18466514692649463</v>
      </c>
      <c r="BO1876" s="801">
        <f t="shared" si="323"/>
        <v>31</v>
      </c>
      <c r="BP1876" s="117" t="str">
        <f>VLOOKUP($D1876,'WB Data'!$C$3:$M$578,9,FALSE)</f>
        <v>..</v>
      </c>
      <c r="BQ1876" s="117">
        <f>VLOOKUP($D1876,'WB Data'!$C$3:$M$578,10,FALSE)</f>
        <v>43.526487804878052</v>
      </c>
      <c r="BR1876" s="117">
        <f>VLOOKUP($D1876,'WB Data'!$C$3:$M$578,11,FALSE)</f>
        <v>122.2</v>
      </c>
      <c r="BS1876" s="129" t="str">
        <f>IFERROR(VLOOKUP($D1876,'WB Data 2'!$C$2:$K$545,9,FALSE),"..")</f>
        <v>..</v>
      </c>
      <c r="BT1876" s="129">
        <f>_xlfn.IFNA(VLOOKUP($C1876,RGI!$A$2:$C$43,2,FALSE),"..")</f>
        <v>38.200000000000003</v>
      </c>
      <c r="BU1876" s="129">
        <f>_xlfn.IFNA(VLOOKUP($C1876,RGI!$A$2:$C$43,3,FALSE),"..")</f>
        <v>45.714033330666766</v>
      </c>
      <c r="BV1876" s="129">
        <f>VLOOKUP($D1876,WGI!$C$2:$O$478,7,FALSE)</f>
        <v>-0.253095004679247</v>
      </c>
      <c r="BW1876" s="129">
        <f>VLOOKUP($D1876,WGI!$C$2:$O$478,4,FALSE)</f>
        <v>-2.1623866857450699E-2</v>
      </c>
      <c r="BX1876" s="129">
        <f>VLOOKUP($D1876,WGI!$C$2:$O$478,3,FALSE)</f>
        <v>-1.17297915843723</v>
      </c>
      <c r="BY1876" s="129">
        <f>VLOOKUP($D1876,WGI!$C$2:$O$478,5,FALSE)</f>
        <v>-1.06972063928095</v>
      </c>
      <c r="BZ1876" s="129">
        <f>VLOOKUP($D1876,WGI!$C$2:$O$478,2,FALSE)</f>
        <v>-0.89561071596991204</v>
      </c>
    </row>
    <row r="1877" spans="1:80" ht="15" customHeight="1">
      <c r="A1877" s="280" t="s">
        <v>2209</v>
      </c>
      <c r="B1877" s="117">
        <v>2007</v>
      </c>
      <c r="C1877" s="117" t="s">
        <v>488</v>
      </c>
      <c r="D1877" s="117" t="s">
        <v>3576</v>
      </c>
      <c r="E1877" s="117" t="s">
        <v>86</v>
      </c>
      <c r="F1877" s="117"/>
      <c r="G1877" s="117" t="s">
        <v>24</v>
      </c>
      <c r="H1877" s="117" t="str">
        <f t="shared" si="318"/>
        <v>yes</v>
      </c>
      <c r="I1877" s="117" t="str">
        <f t="shared" si="320"/>
        <v>no</v>
      </c>
      <c r="J1877" s="117" t="str">
        <f t="shared" si="321"/>
        <v>no</v>
      </c>
      <c r="K1877" s="117" t="s">
        <v>2207</v>
      </c>
      <c r="L1877" s="117" t="str">
        <f t="shared" si="319"/>
        <v>detailed</v>
      </c>
      <c r="M1877" s="117" t="str">
        <f t="shared" si="322"/>
        <v>detailed Mining</v>
      </c>
      <c r="N1877" s="118"/>
      <c r="O1877" s="118"/>
      <c r="P1877" s="118"/>
      <c r="Q1877" s="118"/>
      <c r="R1877" s="118"/>
      <c r="S1877" s="117"/>
      <c r="T1877" s="119"/>
      <c r="U1877" s="117"/>
      <c r="V1877" s="117"/>
      <c r="W1877" s="89"/>
      <c r="X1877" s="117"/>
      <c r="Y1877" s="117"/>
      <c r="Z1877" s="117"/>
      <c r="AA1877" s="177"/>
      <c r="AB1877" s="177"/>
      <c r="AC1877" s="122"/>
      <c r="AD1877" s="122"/>
      <c r="AE1877" s="122"/>
      <c r="AF1877" s="123"/>
      <c r="AG1877" s="117"/>
      <c r="AH1877" s="124"/>
      <c r="AI1877" s="117"/>
      <c r="AJ1877" s="117"/>
      <c r="AK1877" s="89"/>
      <c r="AL1877" s="117"/>
      <c r="AM1877" s="117"/>
      <c r="AN1877" s="117"/>
      <c r="AO1877" s="117"/>
      <c r="AP1877" s="117"/>
      <c r="AQ1877" s="117"/>
      <c r="AR1877" s="117"/>
      <c r="AS1877" s="117"/>
      <c r="AT1877" s="117"/>
      <c r="AU1877" s="117"/>
      <c r="AV1877" s="128" t="s">
        <v>2208</v>
      </c>
      <c r="AW1877" s="117">
        <f>VLOOKUP($D1877,'WB Data'!$C$3:$M$578,2,FALSE)</f>
        <v>2158653216.1733117</v>
      </c>
      <c r="AX1877" s="117">
        <f>VLOOKUP($D1877,'WB Data'!$C$3:$M$578,3,FALSE)</f>
        <v>5416015</v>
      </c>
      <c r="AY1877" s="847">
        <f t="shared" si="324"/>
        <v>4.7258765740840801E-3</v>
      </c>
      <c r="AZ1877" s="117">
        <f>VLOOKUP($D1877,'WB Data'!$C$3:$M$578,4,FALSE)/100</f>
        <v>8.3316198480411413E-2</v>
      </c>
      <c r="BA1877" s="117">
        <f t="shared" si="325"/>
        <v>179850779.80907407</v>
      </c>
      <c r="BB1877" s="129">
        <f>IFERROR(VLOOKUP($D1877,'EITI Revenues'!$C$2:$G$224,5,FALSE),"..")</f>
        <v>10201528.665884711</v>
      </c>
      <c r="BC1877" s="846">
        <f t="shared" si="326"/>
        <v>5.6722182003961542E-2</v>
      </c>
      <c r="BD1877" s="129" t="str">
        <f>VLOOKUP($D1877,'WB Data 2'!$C$2:$K$545,6,FALSE)</f>
        <v>..</v>
      </c>
      <c r="BE1877" s="129">
        <f>IFERROR(VLOOKUP($D1877,UNCTAD!$C$5:$V$529,4,FALSE),"..")</f>
        <v>334189000</v>
      </c>
      <c r="BF1877" s="846" t="str">
        <f t="shared" si="327"/>
        <v>..</v>
      </c>
      <c r="BG1877" s="117">
        <f>VLOOKUP($D1877,'WB Data'!$C$3:$M$578,5,FALSE)</f>
        <v>549780000</v>
      </c>
      <c r="BH1877" s="129">
        <f>IFERROR($BB1877/$BG1877,"..")</f>
        <v>1.8555656200452384E-2</v>
      </c>
      <c r="BI1877" s="117">
        <f>IFERROR(VLOOKUP($D1877,'WB Data'!$C$3:$M$578,7,FALSE)/100,"..")</f>
        <v>2.5591599999999999E-2</v>
      </c>
      <c r="BJ1877" s="117">
        <f>IFERROR($BI1877*$AW1877,"..")</f>
        <v>55243389.647020921</v>
      </c>
      <c r="BK1877" s="846">
        <f>IFERROR($BB1877/$BJ1877,"..")</f>
        <v>0.18466514692649463</v>
      </c>
      <c r="BL1877" s="117">
        <f>IFERROR(VLOOKUP($D1877,'WB Data'!$C$3:$M$578,7,FALSE)/100,"..")</f>
        <v>2.5591599999999999E-2</v>
      </c>
      <c r="BM1877" s="117">
        <f>IFERROR($AW1877*$BL1877,"..")</f>
        <v>55243389.647020921</v>
      </c>
      <c r="BN1877" s="846">
        <f>IFERROR($BB1877/$BM1877,"..")</f>
        <v>0.18466514692649463</v>
      </c>
      <c r="BO1877" s="801">
        <f t="shared" si="323"/>
        <v>31</v>
      </c>
      <c r="BP1877" s="117" t="str">
        <f>VLOOKUP($D1877,'WB Data'!$C$3:$M$578,9,FALSE)</f>
        <v>..</v>
      </c>
      <c r="BQ1877" s="117">
        <f>VLOOKUP($D1877,'WB Data'!$C$3:$M$578,10,FALSE)</f>
        <v>43.526487804878052</v>
      </c>
      <c r="BR1877" s="117">
        <f>VLOOKUP($D1877,'WB Data'!$C$3:$M$578,11,FALSE)</f>
        <v>122.2</v>
      </c>
      <c r="BS1877" s="129" t="str">
        <f>IFERROR(VLOOKUP($D1877,'WB Data 2'!$C$2:$K$545,9,FALSE),"..")</f>
        <v>..</v>
      </c>
      <c r="BT1877" s="129">
        <f>_xlfn.IFNA(VLOOKUP($C1877,RGI!$A$2:$C$43,2,FALSE),"..")</f>
        <v>38.200000000000003</v>
      </c>
      <c r="BU1877" s="129">
        <f>_xlfn.IFNA(VLOOKUP($C1877,RGI!$A$2:$C$43,3,FALSE),"..")</f>
        <v>45.714033330666766</v>
      </c>
      <c r="BV1877" s="129">
        <f>VLOOKUP($D1877,WGI!$C$2:$O$478,7,FALSE)</f>
        <v>-0.253095004679247</v>
      </c>
      <c r="BW1877" s="129">
        <f>VLOOKUP($D1877,WGI!$C$2:$O$478,4,FALSE)</f>
        <v>-2.1623866857450699E-2</v>
      </c>
      <c r="BX1877" s="129">
        <f>VLOOKUP($D1877,WGI!$C$2:$O$478,3,FALSE)</f>
        <v>-1.17297915843723</v>
      </c>
      <c r="BY1877" s="129">
        <f>VLOOKUP($D1877,WGI!$C$2:$O$478,5,FALSE)</f>
        <v>-1.06972063928095</v>
      </c>
      <c r="BZ1877" s="129">
        <f>VLOOKUP($D1877,WGI!$C$2:$O$478,2,FALSE)</f>
        <v>-0.89561071596991204</v>
      </c>
    </row>
    <row r="1878" spans="1:80" s="144" customFormat="1" ht="15" customHeight="1">
      <c r="A1878" s="279" t="s">
        <v>2212</v>
      </c>
      <c r="B1878" s="132">
        <v>2008</v>
      </c>
      <c r="C1878" s="132" t="s">
        <v>488</v>
      </c>
      <c r="D1878" s="117" t="s">
        <v>3610</v>
      </c>
      <c r="E1878" s="132" t="s">
        <v>86</v>
      </c>
      <c r="F1878" s="132" t="s">
        <v>2190</v>
      </c>
      <c r="G1878" s="132" t="s">
        <v>35</v>
      </c>
      <c r="H1878" s="117" t="str">
        <f t="shared" si="318"/>
        <v>yes</v>
      </c>
      <c r="I1878" s="117" t="str">
        <f t="shared" si="320"/>
        <v>yes</v>
      </c>
      <c r="J1878" s="117" t="str">
        <f t="shared" si="321"/>
        <v>yes</v>
      </c>
      <c r="K1878" s="132" t="s">
        <v>709</v>
      </c>
      <c r="L1878" s="117" t="str">
        <f t="shared" si="319"/>
        <v>Total</v>
      </c>
      <c r="M1878" s="117" t="str">
        <f t="shared" si="322"/>
        <v>Total Oil, Gas, Mining</v>
      </c>
      <c r="N1878" s="133"/>
      <c r="O1878" s="133"/>
      <c r="P1878" s="133"/>
      <c r="Q1878" s="133"/>
      <c r="R1878" s="133"/>
      <c r="S1878" s="132"/>
      <c r="T1878" s="134"/>
      <c r="U1878" s="132"/>
      <c r="V1878" s="132"/>
      <c r="W1878" s="135">
        <f>W1879+W1882</f>
        <v>172713489.90236521</v>
      </c>
      <c r="X1878" s="132" t="s">
        <v>633</v>
      </c>
      <c r="Y1878" s="132" t="s">
        <v>602</v>
      </c>
      <c r="Z1878" s="132" t="s">
        <v>603</v>
      </c>
      <c r="AA1878" s="325">
        <f>SUM(AA1879:AA1882)</f>
        <v>4427564.2110363245</v>
      </c>
      <c r="AB1878" s="160">
        <v>7476297.1408309368</v>
      </c>
      <c r="AC1878" s="138"/>
      <c r="AD1878" s="138"/>
      <c r="AE1878" s="138"/>
      <c r="AF1878" s="139">
        <f>AA1878/W1878</f>
        <v>2.5635312062417492E-2</v>
      </c>
      <c r="AG1878" s="132" t="s">
        <v>2191</v>
      </c>
      <c r="AH1878" s="140">
        <v>4359.0600000000004</v>
      </c>
      <c r="AI1878" s="132" t="s">
        <v>1151</v>
      </c>
      <c r="AJ1878" s="132"/>
      <c r="AK1878" s="135"/>
      <c r="AL1878" s="132"/>
      <c r="AM1878" s="132"/>
      <c r="AN1878" s="132">
        <v>12</v>
      </c>
      <c r="AO1878" s="132" t="s">
        <v>2213</v>
      </c>
      <c r="AP1878" s="132">
        <v>12</v>
      </c>
      <c r="AQ1878" s="389" t="s">
        <v>323</v>
      </c>
      <c r="AR1878" s="141">
        <v>41898</v>
      </c>
      <c r="AS1878" s="132" t="s">
        <v>1135</v>
      </c>
      <c r="AT1878" s="132" t="s">
        <v>493</v>
      </c>
      <c r="AU1878" s="132" t="s">
        <v>2214</v>
      </c>
      <c r="AV1878" s="143" t="s">
        <v>2215</v>
      </c>
      <c r="AW1878" s="117">
        <f>VLOOKUP($D1878,'WB Data'!$C$3:$M$578,2,FALSE)</f>
        <v>2505620416.4952998</v>
      </c>
      <c r="AX1878" s="117">
        <f>VLOOKUP($D1878,'WB Data'!$C$3:$M$578,3,FALSE)</f>
        <v>5532139</v>
      </c>
      <c r="AY1878" s="847">
        <f t="shared" si="324"/>
        <v>1.7670530547597132E-3</v>
      </c>
      <c r="AZ1878" s="117">
        <f>VLOOKUP($D1878,'WB Data'!$C$3:$M$578,4,FALSE)/100</f>
        <v>8.8547284359019901E-2</v>
      </c>
      <c r="BA1878" s="117">
        <f t="shared" si="325"/>
        <v>221865883.51517519</v>
      </c>
      <c r="BB1878" s="129">
        <f>IFERROR(VLOOKUP($D1878,'EITI Revenues'!$C$2:$G$224,5,FALSE),"..")</f>
        <v>4427564.2110363245</v>
      </c>
      <c r="BC1878" s="846">
        <f t="shared" si="326"/>
        <v>1.9956038940676012E-2</v>
      </c>
      <c r="BD1878" s="129" t="str">
        <f>VLOOKUP($D1878,'WB Data 2'!$C$2:$K$545,6,FALSE)</f>
        <v>..</v>
      </c>
      <c r="BE1878" s="129">
        <f>IFERROR(VLOOKUP($D1878,UNCTAD!$C$5:$V$529,4,FALSE),"..")</f>
        <v>334931000</v>
      </c>
      <c r="BF1878" s="846" t="str">
        <f t="shared" si="327"/>
        <v>..</v>
      </c>
      <c r="BG1878" s="117">
        <f>VLOOKUP($D1878,'WB Data'!$C$3:$M$578,5,FALSE)</f>
        <v>378210000</v>
      </c>
      <c r="BH1878" s="129">
        <f>IFERROR($BB1878/$BG1878,"..")</f>
        <v>1.1706629150568004E-2</v>
      </c>
      <c r="BI1878" s="117">
        <f>IFERROR(VLOOKUP($D1878,'WB Data'!$C$3:$M$578,7,FALSE)/100,"..")</f>
        <v>2.4142100000000003E-2</v>
      </c>
      <c r="BJ1878" s="117">
        <f>IFERROR($BI1878*$AW1878,"..")</f>
        <v>60490938.657071188</v>
      </c>
      <c r="BK1878" s="846">
        <f>IFERROR($BB1878/$BJ1878,"..")</f>
        <v>7.3193842075035431E-2</v>
      </c>
      <c r="BL1878" s="117">
        <f>IFERROR(VLOOKUP($D1878,'WB Data'!$C$3:$M$578,7,FALSE)/100,"..")</f>
        <v>2.4142100000000003E-2</v>
      </c>
      <c r="BM1878" s="117">
        <f>IFERROR($AW1878*$BL1878,"..")</f>
        <v>60490938.657071188</v>
      </c>
      <c r="BN1878" s="846">
        <f>IFERROR($BB1878/$BM1878,"..")</f>
        <v>7.3193842075035431E-2</v>
      </c>
      <c r="BO1878" s="801">
        <f t="shared" si="323"/>
        <v>31</v>
      </c>
      <c r="BP1878" s="117" t="str">
        <f>VLOOKUP($D1878,'WB Data'!$C$3:$M$578,9,FALSE)</f>
        <v>..</v>
      </c>
      <c r="BQ1878" s="117">
        <f>VLOOKUP($D1878,'WB Data'!$C$3:$M$578,10,FALSE)</f>
        <v>44.067463414634155</v>
      </c>
      <c r="BR1878" s="117">
        <f>VLOOKUP($D1878,'WB Data'!$C$3:$M$578,11,FALSE)</f>
        <v>119.6</v>
      </c>
      <c r="BS1878" s="129" t="str">
        <f>IFERROR(VLOOKUP($D1878,'WB Data 2'!$C$2:$K$545,9,FALSE),"..")</f>
        <v>..</v>
      </c>
      <c r="BT1878" s="129">
        <f>_xlfn.IFNA(VLOOKUP($C1878,RGI!$A$2:$C$43,2,FALSE),"..")</f>
        <v>38.200000000000003</v>
      </c>
      <c r="BU1878" s="129">
        <f>_xlfn.IFNA(VLOOKUP($C1878,RGI!$A$2:$C$43,3,FALSE),"..")</f>
        <v>45.714033330666766</v>
      </c>
      <c r="BV1878" s="129">
        <f>VLOOKUP($D1878,WGI!$C$2:$O$478,7,FALSE)</f>
        <v>-0.17373054822474901</v>
      </c>
      <c r="BW1878" s="129">
        <f>VLOOKUP($D1878,WGI!$C$2:$O$478,4,FALSE)</f>
        <v>-0.20801576080579801</v>
      </c>
      <c r="BX1878" s="129">
        <f>VLOOKUP($D1878,WGI!$C$2:$O$478,3,FALSE)</f>
        <v>-1.1616686772434499</v>
      </c>
      <c r="BY1878" s="129">
        <f>VLOOKUP($D1878,WGI!$C$2:$O$478,5,FALSE)</f>
        <v>-0.96684715899475004</v>
      </c>
      <c r="BZ1878" s="129">
        <f>VLOOKUP($D1878,WGI!$C$2:$O$478,2,FALSE)</f>
        <v>-0.96305171369739495</v>
      </c>
      <c r="CB1878" s="129"/>
    </row>
    <row r="1879" spans="1:80" s="120" customFormat="1" ht="15" customHeight="1">
      <c r="A1879" s="280" t="s">
        <v>2212</v>
      </c>
      <c r="B1879" s="117">
        <v>2008</v>
      </c>
      <c r="C1879" s="117" t="s">
        <v>488</v>
      </c>
      <c r="D1879" s="117" t="s">
        <v>3610</v>
      </c>
      <c r="E1879" s="117" t="s">
        <v>86</v>
      </c>
      <c r="F1879" s="117"/>
      <c r="G1879" s="117" t="s">
        <v>55</v>
      </c>
      <c r="H1879" s="117" t="str">
        <f t="shared" si="318"/>
        <v>no</v>
      </c>
      <c r="I1879" s="117" t="str">
        <f t="shared" si="320"/>
        <v>yes</v>
      </c>
      <c r="J1879" s="117" t="str">
        <f t="shared" si="321"/>
        <v>yes</v>
      </c>
      <c r="K1879" s="117" t="s">
        <v>640</v>
      </c>
      <c r="L1879" s="117" t="str">
        <f t="shared" si="319"/>
        <v>Total</v>
      </c>
      <c r="M1879" s="117" t="str">
        <f t="shared" si="322"/>
        <v>Total Oil, Gas</v>
      </c>
      <c r="N1879" s="118"/>
      <c r="O1879" s="118"/>
      <c r="P1879" s="118"/>
      <c r="Q1879" s="118"/>
      <c r="R1879" s="118"/>
      <c r="S1879" s="89"/>
      <c r="T1879" s="119"/>
      <c r="U1879" s="89"/>
      <c r="V1879" s="89"/>
      <c r="W1879" s="89">
        <f>SUM(W1880:W1881)</f>
        <v>0</v>
      </c>
      <c r="X1879" s="89"/>
      <c r="Y1879" s="89"/>
      <c r="Z1879" s="89"/>
      <c r="AA1879" s="177">
        <v>1072246</v>
      </c>
      <c r="AB1879" s="177">
        <v>726850</v>
      </c>
      <c r="AC1879" s="212" t="s">
        <v>2216</v>
      </c>
      <c r="AD1879" s="177">
        <f>AA1879*1</f>
        <v>1072246</v>
      </c>
      <c r="AE1879" s="212" t="s">
        <v>665</v>
      </c>
      <c r="AF1879" s="213" t="s">
        <v>603</v>
      </c>
      <c r="AG1879" s="89"/>
      <c r="AH1879" s="124"/>
      <c r="AI1879" s="117"/>
      <c r="AJ1879" s="117"/>
      <c r="AK1879" s="89"/>
      <c r="AL1879" s="117"/>
      <c r="AM1879" s="117"/>
      <c r="AN1879" s="117">
        <v>3</v>
      </c>
      <c r="AO1879" s="117" t="s">
        <v>2217</v>
      </c>
      <c r="AP1879" s="117">
        <v>3</v>
      </c>
      <c r="AQ1879" s="117"/>
      <c r="AR1879" s="126"/>
      <c r="AS1879" s="117"/>
      <c r="AT1879" s="117"/>
      <c r="AU1879" s="117" t="s">
        <v>2214</v>
      </c>
      <c r="AV1879" s="128"/>
      <c r="AW1879" s="117">
        <f>VLOOKUP($D1879,'WB Data'!$C$3:$M$578,2,FALSE)</f>
        <v>2505620416.4952998</v>
      </c>
      <c r="AX1879" s="117">
        <f>VLOOKUP($D1879,'WB Data'!$C$3:$M$578,3,FALSE)</f>
        <v>5532139</v>
      </c>
      <c r="AY1879" s="847">
        <f t="shared" si="324"/>
        <v>1.7670530547597132E-3</v>
      </c>
      <c r="AZ1879" s="117">
        <f>VLOOKUP($D1879,'WB Data'!$C$3:$M$578,4,FALSE)/100</f>
        <v>8.8547284359019901E-2</v>
      </c>
      <c r="BA1879" s="117">
        <f t="shared" si="325"/>
        <v>221865883.51517519</v>
      </c>
      <c r="BB1879" s="129">
        <f>IFERROR(VLOOKUP($D1879,'EITI Revenues'!$C$2:$G$224,5,FALSE),"..")</f>
        <v>4427564.2110363245</v>
      </c>
      <c r="BC1879" s="846">
        <f t="shared" si="326"/>
        <v>1.9956038940676012E-2</v>
      </c>
      <c r="BD1879" s="129" t="str">
        <f>VLOOKUP($D1879,'WB Data 2'!$C$2:$K$545,6,FALSE)</f>
        <v>..</v>
      </c>
      <c r="BE1879" s="129">
        <f>IFERROR(VLOOKUP($D1879,UNCTAD!$C$5:$V$529,4,FALSE),"..")</f>
        <v>334931000</v>
      </c>
      <c r="BF1879" s="846" t="str">
        <f t="shared" si="327"/>
        <v>..</v>
      </c>
      <c r="BG1879" s="117">
        <f>VLOOKUP($D1879,'WB Data'!$C$3:$M$578,5,FALSE)</f>
        <v>378210000</v>
      </c>
      <c r="BH1879" s="129">
        <f>IFERROR($BB1879/$BG1879,"..")</f>
        <v>1.1706629150568004E-2</v>
      </c>
      <c r="BI1879" s="117">
        <f>IFERROR(VLOOKUP($D1879,'WB Data'!$C$3:$M$578,7,FALSE)/100,"..")</f>
        <v>2.4142100000000003E-2</v>
      </c>
      <c r="BJ1879" s="117">
        <f>IFERROR($BI1879*$AW1879,"..")</f>
        <v>60490938.657071188</v>
      </c>
      <c r="BK1879" s="846">
        <f>IFERROR($BB1879/$BJ1879,"..")</f>
        <v>7.3193842075035431E-2</v>
      </c>
      <c r="BL1879" s="117">
        <f>IFERROR(VLOOKUP($D1879,'WB Data'!$C$3:$M$578,7,FALSE)/100,"..")</f>
        <v>2.4142100000000003E-2</v>
      </c>
      <c r="BM1879" s="117">
        <f>IFERROR($AW1879*$BL1879,"..")</f>
        <v>60490938.657071188</v>
      </c>
      <c r="BN1879" s="846">
        <f>IFERROR($BB1879/$BM1879,"..")</f>
        <v>7.3193842075035431E-2</v>
      </c>
      <c r="BO1879" s="801">
        <f t="shared" si="323"/>
        <v>31</v>
      </c>
      <c r="BP1879" s="117" t="str">
        <f>VLOOKUP($D1879,'WB Data'!$C$3:$M$578,9,FALSE)</f>
        <v>..</v>
      </c>
      <c r="BQ1879" s="117">
        <f>VLOOKUP($D1879,'WB Data'!$C$3:$M$578,10,FALSE)</f>
        <v>44.067463414634155</v>
      </c>
      <c r="BR1879" s="117">
        <f>VLOOKUP($D1879,'WB Data'!$C$3:$M$578,11,FALSE)</f>
        <v>119.6</v>
      </c>
      <c r="BS1879" s="129" t="str">
        <f>IFERROR(VLOOKUP($D1879,'WB Data 2'!$C$2:$K$545,9,FALSE),"..")</f>
        <v>..</v>
      </c>
      <c r="BT1879" s="129">
        <f>_xlfn.IFNA(VLOOKUP($C1879,RGI!$A$2:$C$43,2,FALSE),"..")</f>
        <v>38.200000000000003</v>
      </c>
      <c r="BU1879" s="129">
        <f>_xlfn.IFNA(VLOOKUP($C1879,RGI!$A$2:$C$43,3,FALSE),"..")</f>
        <v>45.714033330666766</v>
      </c>
      <c r="BV1879" s="129">
        <f>VLOOKUP($D1879,WGI!$C$2:$O$478,7,FALSE)</f>
        <v>-0.17373054822474901</v>
      </c>
      <c r="BW1879" s="129">
        <f>VLOOKUP($D1879,WGI!$C$2:$O$478,4,FALSE)</f>
        <v>-0.20801576080579801</v>
      </c>
      <c r="BX1879" s="129">
        <f>VLOOKUP($D1879,WGI!$C$2:$O$478,3,FALSE)</f>
        <v>-1.1616686772434499</v>
      </c>
      <c r="BY1879" s="129">
        <f>VLOOKUP($D1879,WGI!$C$2:$O$478,5,FALSE)</f>
        <v>-0.96684715899475004</v>
      </c>
      <c r="BZ1879" s="129">
        <f>VLOOKUP($D1879,WGI!$C$2:$O$478,2,FALSE)</f>
        <v>-0.96305171369739495</v>
      </c>
      <c r="CB1879" s="129"/>
    </row>
    <row r="1880" spans="1:80" s="120" customFormat="1" ht="15" customHeight="1">
      <c r="A1880" s="280" t="s">
        <v>2212</v>
      </c>
      <c r="B1880" s="117">
        <v>2008</v>
      </c>
      <c r="C1880" s="117" t="s">
        <v>488</v>
      </c>
      <c r="D1880" s="117" t="s">
        <v>3610</v>
      </c>
      <c r="E1880" s="117" t="s">
        <v>86</v>
      </c>
      <c r="F1880" s="117"/>
      <c r="G1880" s="117" t="s">
        <v>561</v>
      </c>
      <c r="H1880" s="117" t="str">
        <f t="shared" si="318"/>
        <v>no</v>
      </c>
      <c r="I1880" s="117" t="str">
        <f t="shared" si="320"/>
        <v>yes</v>
      </c>
      <c r="J1880" s="117" t="str">
        <f t="shared" si="321"/>
        <v>no</v>
      </c>
      <c r="K1880" s="117" t="s">
        <v>561</v>
      </c>
      <c r="L1880" s="117" t="str">
        <f t="shared" si="319"/>
        <v>detailed</v>
      </c>
      <c r="M1880" s="117" t="str">
        <f t="shared" si="322"/>
        <v>detailed Gas</v>
      </c>
      <c r="N1880" s="118">
        <v>0</v>
      </c>
      <c r="O1880" s="118"/>
      <c r="P1880" s="118"/>
      <c r="Q1880" s="118"/>
      <c r="R1880" s="118"/>
      <c r="S1880" s="117" t="s">
        <v>2218</v>
      </c>
      <c r="T1880" s="119"/>
      <c r="U1880" s="89"/>
      <c r="V1880" s="89" t="s">
        <v>2219</v>
      </c>
      <c r="W1880" s="89">
        <f>N1880*T1880</f>
        <v>0</v>
      </c>
      <c r="X1880" s="89"/>
      <c r="Y1880" s="89"/>
      <c r="Z1880" s="89"/>
      <c r="AA1880" s="177"/>
      <c r="AB1880" s="177"/>
      <c r="AC1880" s="122"/>
      <c r="AD1880" s="122"/>
      <c r="AE1880" s="122"/>
      <c r="AF1880" s="123"/>
      <c r="AG1880" s="89"/>
      <c r="AH1880" s="124"/>
      <c r="AI1880" s="117"/>
      <c r="AJ1880" s="117"/>
      <c r="AK1880" s="89"/>
      <c r="AL1880" s="117"/>
      <c r="AM1880" s="117"/>
      <c r="AN1880" s="117"/>
      <c r="AO1880" s="117"/>
      <c r="AP1880" s="117"/>
      <c r="AQ1880" s="117"/>
      <c r="AR1880" s="126"/>
      <c r="AS1880" s="117"/>
      <c r="AT1880" s="117"/>
      <c r="AU1880" s="117"/>
      <c r="AV1880" s="128"/>
      <c r="AW1880" s="117">
        <f>VLOOKUP($D1880,'WB Data'!$C$3:$M$578,2,FALSE)</f>
        <v>2505620416.4952998</v>
      </c>
      <c r="AX1880" s="117">
        <f>VLOOKUP($D1880,'WB Data'!$C$3:$M$578,3,FALSE)</f>
        <v>5532139</v>
      </c>
      <c r="AY1880" s="847">
        <f t="shared" si="324"/>
        <v>1.7670530547597132E-3</v>
      </c>
      <c r="AZ1880" s="117">
        <f>VLOOKUP($D1880,'WB Data'!$C$3:$M$578,4,FALSE)/100</f>
        <v>8.8547284359019901E-2</v>
      </c>
      <c r="BA1880" s="117">
        <f t="shared" si="325"/>
        <v>221865883.51517519</v>
      </c>
      <c r="BB1880" s="129">
        <f>IFERROR(VLOOKUP($D1880,'EITI Revenues'!$C$2:$G$224,5,FALSE),"..")</f>
        <v>4427564.2110363245</v>
      </c>
      <c r="BC1880" s="846">
        <f t="shared" si="326"/>
        <v>1.9956038940676012E-2</v>
      </c>
      <c r="BD1880" s="129" t="str">
        <f>VLOOKUP($D1880,'WB Data 2'!$C$2:$K$545,6,FALSE)</f>
        <v>..</v>
      </c>
      <c r="BE1880" s="129">
        <f>IFERROR(VLOOKUP($D1880,UNCTAD!$C$5:$V$529,4,FALSE),"..")</f>
        <v>334931000</v>
      </c>
      <c r="BF1880" s="846" t="str">
        <f t="shared" si="327"/>
        <v>..</v>
      </c>
      <c r="BG1880" s="117">
        <f>VLOOKUP($D1880,'WB Data'!$C$3:$M$578,5,FALSE)</f>
        <v>378210000</v>
      </c>
      <c r="BH1880" s="129">
        <f>IFERROR($BB1880/$BG1880,"..")</f>
        <v>1.1706629150568004E-2</v>
      </c>
      <c r="BI1880" s="117">
        <f>IFERROR(VLOOKUP($D1880,'WB Data'!$C$3:$M$578,7,FALSE)/100,"..")</f>
        <v>2.4142100000000003E-2</v>
      </c>
      <c r="BJ1880" s="117">
        <f>IFERROR($BI1880*$AW1880,"..")</f>
        <v>60490938.657071188</v>
      </c>
      <c r="BK1880" s="846">
        <f>IFERROR($BB1880/$BJ1880,"..")</f>
        <v>7.3193842075035431E-2</v>
      </c>
      <c r="BL1880" s="117">
        <f>IFERROR(VLOOKUP($D1880,'WB Data'!$C$3:$M$578,7,FALSE)/100,"..")</f>
        <v>2.4142100000000003E-2</v>
      </c>
      <c r="BM1880" s="117">
        <f>IFERROR($AW1880*$BL1880,"..")</f>
        <v>60490938.657071188</v>
      </c>
      <c r="BN1880" s="846">
        <f>IFERROR($BB1880/$BM1880,"..")</f>
        <v>7.3193842075035431E-2</v>
      </c>
      <c r="BO1880" s="801">
        <f t="shared" si="323"/>
        <v>31</v>
      </c>
      <c r="BP1880" s="117" t="str">
        <f>VLOOKUP($D1880,'WB Data'!$C$3:$M$578,9,FALSE)</f>
        <v>..</v>
      </c>
      <c r="BQ1880" s="117">
        <f>VLOOKUP($D1880,'WB Data'!$C$3:$M$578,10,FALSE)</f>
        <v>44.067463414634155</v>
      </c>
      <c r="BR1880" s="117">
        <f>VLOOKUP($D1880,'WB Data'!$C$3:$M$578,11,FALSE)</f>
        <v>119.6</v>
      </c>
      <c r="BS1880" s="129" t="str">
        <f>IFERROR(VLOOKUP($D1880,'WB Data 2'!$C$2:$K$545,9,FALSE),"..")</f>
        <v>..</v>
      </c>
      <c r="BT1880" s="129">
        <f>_xlfn.IFNA(VLOOKUP($C1880,RGI!$A$2:$C$43,2,FALSE),"..")</f>
        <v>38.200000000000003</v>
      </c>
      <c r="BU1880" s="129">
        <f>_xlfn.IFNA(VLOOKUP($C1880,RGI!$A$2:$C$43,3,FALSE),"..")</f>
        <v>45.714033330666766</v>
      </c>
      <c r="BV1880" s="129">
        <f>VLOOKUP($D1880,WGI!$C$2:$O$478,7,FALSE)</f>
        <v>-0.17373054822474901</v>
      </c>
      <c r="BW1880" s="129">
        <f>VLOOKUP($D1880,WGI!$C$2:$O$478,4,FALSE)</f>
        <v>-0.20801576080579801</v>
      </c>
      <c r="BX1880" s="129">
        <f>VLOOKUP($D1880,WGI!$C$2:$O$478,3,FALSE)</f>
        <v>-1.1616686772434499</v>
      </c>
      <c r="BY1880" s="129">
        <f>VLOOKUP($D1880,WGI!$C$2:$O$478,5,FALSE)</f>
        <v>-0.96684715899475004</v>
      </c>
      <c r="BZ1880" s="129">
        <f>VLOOKUP($D1880,WGI!$C$2:$O$478,2,FALSE)</f>
        <v>-0.96305171369739495</v>
      </c>
      <c r="CB1880" s="129"/>
    </row>
    <row r="1881" spans="1:80" s="120" customFormat="1" ht="15" customHeight="1">
      <c r="A1881" s="280" t="s">
        <v>2212</v>
      </c>
      <c r="B1881" s="117">
        <v>2008</v>
      </c>
      <c r="C1881" s="117" t="s">
        <v>488</v>
      </c>
      <c r="D1881" s="117" t="s">
        <v>3610</v>
      </c>
      <c r="E1881" s="117" t="s">
        <v>86</v>
      </c>
      <c r="F1881" s="117"/>
      <c r="G1881" s="117" t="s">
        <v>103</v>
      </c>
      <c r="H1881" s="117" t="str">
        <f t="shared" si="318"/>
        <v>no</v>
      </c>
      <c r="I1881" s="117" t="str">
        <f t="shared" si="320"/>
        <v>no</v>
      </c>
      <c r="J1881" s="117" t="str">
        <f t="shared" si="321"/>
        <v>yes</v>
      </c>
      <c r="K1881" s="117" t="s">
        <v>103</v>
      </c>
      <c r="L1881" s="117" t="str">
        <f t="shared" si="319"/>
        <v>detailed</v>
      </c>
      <c r="M1881" s="117" t="str">
        <f t="shared" si="322"/>
        <v>detailed Oil</v>
      </c>
      <c r="N1881" s="118">
        <v>0</v>
      </c>
      <c r="O1881" s="118"/>
      <c r="P1881" s="118"/>
      <c r="Q1881" s="118"/>
      <c r="R1881" s="118"/>
      <c r="S1881" s="117" t="s">
        <v>646</v>
      </c>
      <c r="T1881" s="119"/>
      <c r="U1881" s="89"/>
      <c r="V1881" s="89" t="s">
        <v>2219</v>
      </c>
      <c r="W1881" s="89">
        <f>N1881*T1881</f>
        <v>0</v>
      </c>
      <c r="X1881" s="89"/>
      <c r="Y1881" s="89"/>
      <c r="Z1881" s="89"/>
      <c r="AA1881" s="177"/>
      <c r="AB1881" s="177"/>
      <c r="AC1881" s="122"/>
      <c r="AD1881" s="122"/>
      <c r="AE1881" s="122"/>
      <c r="AF1881" s="123"/>
      <c r="AG1881" s="89"/>
      <c r="AH1881" s="124"/>
      <c r="AI1881" s="117"/>
      <c r="AJ1881" s="117"/>
      <c r="AK1881" s="89"/>
      <c r="AL1881" s="117"/>
      <c r="AM1881" s="117"/>
      <c r="AN1881" s="117"/>
      <c r="AO1881" s="117"/>
      <c r="AP1881" s="117"/>
      <c r="AQ1881" s="117"/>
      <c r="AR1881" s="126"/>
      <c r="AS1881" s="117"/>
      <c r="AT1881" s="117"/>
      <c r="AU1881" s="117"/>
      <c r="AV1881" s="128"/>
      <c r="AW1881" s="117">
        <f>VLOOKUP($D1881,'WB Data'!$C$3:$M$578,2,FALSE)</f>
        <v>2505620416.4952998</v>
      </c>
      <c r="AX1881" s="117">
        <f>VLOOKUP($D1881,'WB Data'!$C$3:$M$578,3,FALSE)</f>
        <v>5532139</v>
      </c>
      <c r="AY1881" s="847">
        <f t="shared" si="324"/>
        <v>1.7670530547597132E-3</v>
      </c>
      <c r="AZ1881" s="117">
        <f>VLOOKUP($D1881,'WB Data'!$C$3:$M$578,4,FALSE)/100</f>
        <v>8.8547284359019901E-2</v>
      </c>
      <c r="BA1881" s="117">
        <f t="shared" si="325"/>
        <v>221865883.51517519</v>
      </c>
      <c r="BB1881" s="129">
        <f>IFERROR(VLOOKUP($D1881,'EITI Revenues'!$C$2:$G$224,5,FALSE),"..")</f>
        <v>4427564.2110363245</v>
      </c>
      <c r="BC1881" s="846">
        <f t="shared" si="326"/>
        <v>1.9956038940676012E-2</v>
      </c>
      <c r="BD1881" s="129" t="str">
        <f>VLOOKUP($D1881,'WB Data 2'!$C$2:$K$545,6,FALSE)</f>
        <v>..</v>
      </c>
      <c r="BE1881" s="129">
        <f>IFERROR(VLOOKUP($D1881,UNCTAD!$C$5:$V$529,4,FALSE),"..")</f>
        <v>334931000</v>
      </c>
      <c r="BF1881" s="846" t="str">
        <f t="shared" si="327"/>
        <v>..</v>
      </c>
      <c r="BG1881" s="117">
        <f>VLOOKUP($D1881,'WB Data'!$C$3:$M$578,5,FALSE)</f>
        <v>378210000</v>
      </c>
      <c r="BH1881" s="129">
        <f>IFERROR($BB1881/$BG1881,"..")</f>
        <v>1.1706629150568004E-2</v>
      </c>
      <c r="BI1881" s="117">
        <f>IFERROR(VLOOKUP($D1881,'WB Data'!$C$3:$M$578,7,FALSE)/100,"..")</f>
        <v>2.4142100000000003E-2</v>
      </c>
      <c r="BJ1881" s="117">
        <f>IFERROR($BI1881*$AW1881,"..")</f>
        <v>60490938.657071188</v>
      </c>
      <c r="BK1881" s="846">
        <f>IFERROR($BB1881/$BJ1881,"..")</f>
        <v>7.3193842075035431E-2</v>
      </c>
      <c r="BL1881" s="117">
        <f>IFERROR(VLOOKUP($D1881,'WB Data'!$C$3:$M$578,7,FALSE)/100,"..")</f>
        <v>2.4142100000000003E-2</v>
      </c>
      <c r="BM1881" s="117">
        <f>IFERROR($AW1881*$BL1881,"..")</f>
        <v>60490938.657071188</v>
      </c>
      <c r="BN1881" s="846">
        <f>IFERROR($BB1881/$BM1881,"..")</f>
        <v>7.3193842075035431E-2</v>
      </c>
      <c r="BO1881" s="801">
        <f t="shared" si="323"/>
        <v>31</v>
      </c>
      <c r="BP1881" s="117" t="str">
        <f>VLOOKUP($D1881,'WB Data'!$C$3:$M$578,9,FALSE)</f>
        <v>..</v>
      </c>
      <c r="BQ1881" s="117">
        <f>VLOOKUP($D1881,'WB Data'!$C$3:$M$578,10,FALSE)</f>
        <v>44.067463414634155</v>
      </c>
      <c r="BR1881" s="117">
        <f>VLOOKUP($D1881,'WB Data'!$C$3:$M$578,11,FALSE)</f>
        <v>119.6</v>
      </c>
      <c r="BS1881" s="129" t="str">
        <f>IFERROR(VLOOKUP($D1881,'WB Data 2'!$C$2:$K$545,9,FALSE),"..")</f>
        <v>..</v>
      </c>
      <c r="BT1881" s="129">
        <f>_xlfn.IFNA(VLOOKUP($C1881,RGI!$A$2:$C$43,2,FALSE),"..")</f>
        <v>38.200000000000003</v>
      </c>
      <c r="BU1881" s="129">
        <f>_xlfn.IFNA(VLOOKUP($C1881,RGI!$A$2:$C$43,3,FALSE),"..")</f>
        <v>45.714033330666766</v>
      </c>
      <c r="BV1881" s="129">
        <f>VLOOKUP($D1881,WGI!$C$2:$O$478,7,FALSE)</f>
        <v>-0.17373054822474901</v>
      </c>
      <c r="BW1881" s="129">
        <f>VLOOKUP($D1881,WGI!$C$2:$O$478,4,FALSE)</f>
        <v>-0.20801576080579801</v>
      </c>
      <c r="BX1881" s="129">
        <f>VLOOKUP($D1881,WGI!$C$2:$O$478,3,FALSE)</f>
        <v>-1.1616686772434499</v>
      </c>
      <c r="BY1881" s="129">
        <f>VLOOKUP($D1881,WGI!$C$2:$O$478,5,FALSE)</f>
        <v>-0.96684715899475004</v>
      </c>
      <c r="BZ1881" s="129">
        <f>VLOOKUP($D1881,WGI!$C$2:$O$478,2,FALSE)</f>
        <v>-0.96305171369739495</v>
      </c>
      <c r="CB1881" s="129"/>
    </row>
    <row r="1882" spans="1:80" s="120" customFormat="1" ht="15" customHeight="1">
      <c r="A1882" s="280" t="s">
        <v>2212</v>
      </c>
      <c r="B1882" s="117">
        <v>2008</v>
      </c>
      <c r="C1882" s="117" t="s">
        <v>488</v>
      </c>
      <c r="D1882" s="117" t="s">
        <v>3610</v>
      </c>
      <c r="E1882" s="117" t="s">
        <v>86</v>
      </c>
      <c r="F1882" s="117"/>
      <c r="G1882" s="117" t="s">
        <v>24</v>
      </c>
      <c r="H1882" s="117" t="str">
        <f t="shared" si="318"/>
        <v>yes</v>
      </c>
      <c r="I1882" s="117" t="str">
        <f t="shared" si="320"/>
        <v>no</v>
      </c>
      <c r="J1882" s="117" t="str">
        <f t="shared" si="321"/>
        <v>no</v>
      </c>
      <c r="K1882" s="117" t="s">
        <v>600</v>
      </c>
      <c r="L1882" s="117" t="str">
        <f t="shared" si="319"/>
        <v>Total</v>
      </c>
      <c r="M1882" s="117" t="str">
        <f t="shared" si="322"/>
        <v>Total Mining</v>
      </c>
      <c r="N1882" s="118"/>
      <c r="O1882" s="118"/>
      <c r="P1882" s="118"/>
      <c r="Q1882" s="118"/>
      <c r="R1882" s="118"/>
      <c r="S1882" s="117"/>
      <c r="T1882" s="119"/>
      <c r="U1882" s="117"/>
      <c r="V1882" s="117"/>
      <c r="W1882" s="89">
        <f>SUM(W1883:W1890)-SUM(W1888:W1890)</f>
        <v>172713489.90236521</v>
      </c>
      <c r="X1882" s="117"/>
      <c r="Y1882" s="117"/>
      <c r="Z1882" s="117"/>
      <c r="AA1882" s="177">
        <f>SUM(AA1883:AA1887)</f>
        <v>3355318.2110363245</v>
      </c>
      <c r="AB1882" s="177">
        <v>6749447.1408309368</v>
      </c>
      <c r="AC1882" s="122"/>
      <c r="AD1882" s="122"/>
      <c r="AE1882" s="122"/>
      <c r="AF1882" s="123">
        <f>AA1882/W1882</f>
        <v>1.9427076674399222E-2</v>
      </c>
      <c r="AG1882" s="117"/>
      <c r="AH1882" s="124"/>
      <c r="AI1882" s="117"/>
      <c r="AJ1882" s="117"/>
      <c r="AK1882" s="89"/>
      <c r="AL1882" s="117"/>
      <c r="AM1882" s="117"/>
      <c r="AN1882" s="117">
        <v>9</v>
      </c>
      <c r="AO1882" s="117" t="s">
        <v>2220</v>
      </c>
      <c r="AP1882" s="117">
        <v>9</v>
      </c>
      <c r="AQ1882" s="117"/>
      <c r="AR1882" s="126"/>
      <c r="AS1882" s="117"/>
      <c r="AT1882" s="117"/>
      <c r="AU1882" s="117" t="s">
        <v>2214</v>
      </c>
      <c r="AV1882" s="128"/>
      <c r="AW1882" s="117">
        <f>VLOOKUP($D1882,'WB Data'!$C$3:$M$578,2,FALSE)</f>
        <v>2505620416.4952998</v>
      </c>
      <c r="AX1882" s="117">
        <f>VLOOKUP($D1882,'WB Data'!$C$3:$M$578,3,FALSE)</f>
        <v>5532139</v>
      </c>
      <c r="AY1882" s="847">
        <f t="shared" si="324"/>
        <v>1.7670530547597132E-3</v>
      </c>
      <c r="AZ1882" s="117">
        <f>VLOOKUP($D1882,'WB Data'!$C$3:$M$578,4,FALSE)/100</f>
        <v>8.8547284359019901E-2</v>
      </c>
      <c r="BA1882" s="117">
        <f t="shared" si="325"/>
        <v>221865883.51517519</v>
      </c>
      <c r="BB1882" s="129">
        <f>IFERROR(VLOOKUP($D1882,'EITI Revenues'!$C$2:$G$224,5,FALSE),"..")</f>
        <v>4427564.2110363245</v>
      </c>
      <c r="BC1882" s="846">
        <f t="shared" si="326"/>
        <v>1.9956038940676012E-2</v>
      </c>
      <c r="BD1882" s="129" t="str">
        <f>VLOOKUP($D1882,'WB Data 2'!$C$2:$K$545,6,FALSE)</f>
        <v>..</v>
      </c>
      <c r="BE1882" s="129">
        <f>IFERROR(VLOOKUP($D1882,UNCTAD!$C$5:$V$529,4,FALSE),"..")</f>
        <v>334931000</v>
      </c>
      <c r="BF1882" s="846" t="str">
        <f t="shared" si="327"/>
        <v>..</v>
      </c>
      <c r="BG1882" s="117">
        <f>VLOOKUP($D1882,'WB Data'!$C$3:$M$578,5,FALSE)</f>
        <v>378210000</v>
      </c>
      <c r="BH1882" s="129">
        <f>IFERROR($BB1882/$BG1882,"..")</f>
        <v>1.1706629150568004E-2</v>
      </c>
      <c r="BI1882" s="117">
        <f>IFERROR(VLOOKUP($D1882,'WB Data'!$C$3:$M$578,7,FALSE)/100,"..")</f>
        <v>2.4142100000000003E-2</v>
      </c>
      <c r="BJ1882" s="117">
        <f>IFERROR($BI1882*$AW1882,"..")</f>
        <v>60490938.657071188</v>
      </c>
      <c r="BK1882" s="846">
        <f>IFERROR($BB1882/$BJ1882,"..")</f>
        <v>7.3193842075035431E-2</v>
      </c>
      <c r="BL1882" s="117">
        <f>IFERROR(VLOOKUP($D1882,'WB Data'!$C$3:$M$578,7,FALSE)/100,"..")</f>
        <v>2.4142100000000003E-2</v>
      </c>
      <c r="BM1882" s="117">
        <f>IFERROR($AW1882*$BL1882,"..")</f>
        <v>60490938.657071188</v>
      </c>
      <c r="BN1882" s="846">
        <f>IFERROR($BB1882/$BM1882,"..")</f>
        <v>7.3193842075035431E-2</v>
      </c>
      <c r="BO1882" s="801">
        <f t="shared" si="323"/>
        <v>31</v>
      </c>
      <c r="BP1882" s="117" t="str">
        <f>VLOOKUP($D1882,'WB Data'!$C$3:$M$578,9,FALSE)</f>
        <v>..</v>
      </c>
      <c r="BQ1882" s="117">
        <f>VLOOKUP($D1882,'WB Data'!$C$3:$M$578,10,FALSE)</f>
        <v>44.067463414634155</v>
      </c>
      <c r="BR1882" s="117">
        <f>VLOOKUP($D1882,'WB Data'!$C$3:$M$578,11,FALSE)</f>
        <v>119.6</v>
      </c>
      <c r="BS1882" s="129" t="str">
        <f>IFERROR(VLOOKUP($D1882,'WB Data 2'!$C$2:$K$545,9,FALSE),"..")</f>
        <v>..</v>
      </c>
      <c r="BT1882" s="129">
        <f>_xlfn.IFNA(VLOOKUP($C1882,RGI!$A$2:$C$43,2,FALSE),"..")</f>
        <v>38.200000000000003</v>
      </c>
      <c r="BU1882" s="129">
        <f>_xlfn.IFNA(VLOOKUP($C1882,RGI!$A$2:$C$43,3,FALSE),"..")</f>
        <v>45.714033330666766</v>
      </c>
      <c r="BV1882" s="129">
        <f>VLOOKUP($D1882,WGI!$C$2:$O$478,7,FALSE)</f>
        <v>-0.17373054822474901</v>
      </c>
      <c r="BW1882" s="129">
        <f>VLOOKUP($D1882,WGI!$C$2:$O$478,4,FALSE)</f>
        <v>-0.20801576080579801</v>
      </c>
      <c r="BX1882" s="129">
        <f>VLOOKUP($D1882,WGI!$C$2:$O$478,3,FALSE)</f>
        <v>-1.1616686772434499</v>
      </c>
      <c r="BY1882" s="129">
        <f>VLOOKUP($D1882,WGI!$C$2:$O$478,5,FALSE)</f>
        <v>-0.96684715899475004</v>
      </c>
      <c r="BZ1882" s="129">
        <f>VLOOKUP($D1882,WGI!$C$2:$O$478,2,FALSE)</f>
        <v>-0.96305171369739495</v>
      </c>
      <c r="CB1882" s="129"/>
    </row>
    <row r="1883" spans="1:80" s="120" customFormat="1" ht="15" customHeight="1">
      <c r="A1883" s="280" t="s">
        <v>2212</v>
      </c>
      <c r="B1883" s="117">
        <v>2008</v>
      </c>
      <c r="C1883" s="117" t="s">
        <v>488</v>
      </c>
      <c r="D1883" s="117" t="s">
        <v>3610</v>
      </c>
      <c r="E1883" s="117" t="s">
        <v>86</v>
      </c>
      <c r="F1883" s="117"/>
      <c r="G1883" s="117" t="s">
        <v>24</v>
      </c>
      <c r="H1883" s="117" t="str">
        <f t="shared" si="318"/>
        <v>yes</v>
      </c>
      <c r="I1883" s="117" t="str">
        <f t="shared" si="320"/>
        <v>no</v>
      </c>
      <c r="J1883" s="117" t="str">
        <f t="shared" si="321"/>
        <v>no</v>
      </c>
      <c r="K1883" s="117" t="s">
        <v>1138</v>
      </c>
      <c r="L1883" s="117" t="str">
        <f t="shared" si="319"/>
        <v>detailed</v>
      </c>
      <c r="M1883" s="117" t="str">
        <f t="shared" si="322"/>
        <v>detailed Mining</v>
      </c>
      <c r="N1883" s="118">
        <v>954000</v>
      </c>
      <c r="O1883" s="118"/>
      <c r="P1883" s="118"/>
      <c r="Q1883" s="118"/>
      <c r="R1883" s="118"/>
      <c r="S1883" s="117" t="s">
        <v>610</v>
      </c>
      <c r="T1883" s="119">
        <v>26.43</v>
      </c>
      <c r="U1883" s="117" t="s">
        <v>611</v>
      </c>
      <c r="V1883" s="117" t="s">
        <v>2221</v>
      </c>
      <c r="W1883" s="89">
        <f>N1883*T1883</f>
        <v>25214220</v>
      </c>
      <c r="X1883" s="117"/>
      <c r="Y1883" s="89"/>
      <c r="Z1883" s="89"/>
      <c r="AA1883" s="177">
        <v>286131</v>
      </c>
      <c r="AB1883" s="177">
        <v>941518.16780682071</v>
      </c>
      <c r="AC1883" s="122"/>
      <c r="AD1883" s="122"/>
      <c r="AE1883" s="122"/>
      <c r="AF1883" s="123">
        <f>AA1883/W1883</f>
        <v>1.1348001246915431E-2</v>
      </c>
      <c r="AG1883" s="89"/>
      <c r="AH1883" s="124"/>
      <c r="AI1883" s="89"/>
      <c r="AJ1883" s="117"/>
      <c r="AK1883" s="89"/>
      <c r="AL1883" s="117"/>
      <c r="AM1883" s="117"/>
      <c r="AN1883" s="117">
        <v>1</v>
      </c>
      <c r="AO1883" s="117" t="s">
        <v>2222</v>
      </c>
      <c r="AP1883" s="117">
        <v>1</v>
      </c>
      <c r="AQ1883" s="117"/>
      <c r="AR1883" s="117"/>
      <c r="AS1883" s="117"/>
      <c r="AT1883" s="117"/>
      <c r="AU1883" s="117" t="s">
        <v>2214</v>
      </c>
      <c r="AV1883" s="128"/>
      <c r="AW1883" s="117">
        <f>VLOOKUP($D1883,'WB Data'!$C$3:$M$578,2,FALSE)</f>
        <v>2505620416.4952998</v>
      </c>
      <c r="AX1883" s="117">
        <f>VLOOKUP($D1883,'WB Data'!$C$3:$M$578,3,FALSE)</f>
        <v>5532139</v>
      </c>
      <c r="AY1883" s="847">
        <f t="shared" si="324"/>
        <v>1.7670530547597132E-3</v>
      </c>
      <c r="AZ1883" s="117">
        <f>VLOOKUP($D1883,'WB Data'!$C$3:$M$578,4,FALSE)/100</f>
        <v>8.8547284359019901E-2</v>
      </c>
      <c r="BA1883" s="117">
        <f t="shared" si="325"/>
        <v>221865883.51517519</v>
      </c>
      <c r="BB1883" s="129">
        <f>IFERROR(VLOOKUP($D1883,'EITI Revenues'!$C$2:$G$224,5,FALSE),"..")</f>
        <v>4427564.2110363245</v>
      </c>
      <c r="BC1883" s="846">
        <f t="shared" si="326"/>
        <v>1.9956038940676012E-2</v>
      </c>
      <c r="BD1883" s="129" t="str">
        <f>VLOOKUP($D1883,'WB Data 2'!$C$2:$K$545,6,FALSE)</f>
        <v>..</v>
      </c>
      <c r="BE1883" s="129">
        <f>IFERROR(VLOOKUP($D1883,UNCTAD!$C$5:$V$529,4,FALSE),"..")</f>
        <v>334931000</v>
      </c>
      <c r="BF1883" s="846" t="str">
        <f t="shared" si="327"/>
        <v>..</v>
      </c>
      <c r="BG1883" s="117">
        <f>VLOOKUP($D1883,'WB Data'!$C$3:$M$578,5,FALSE)</f>
        <v>378210000</v>
      </c>
      <c r="BH1883" s="129">
        <f>IFERROR($BB1883/$BG1883,"..")</f>
        <v>1.1706629150568004E-2</v>
      </c>
      <c r="BI1883" s="117">
        <f>IFERROR(VLOOKUP($D1883,'WB Data'!$C$3:$M$578,7,FALSE)/100,"..")</f>
        <v>2.4142100000000003E-2</v>
      </c>
      <c r="BJ1883" s="117">
        <f>IFERROR($BI1883*$AW1883,"..")</f>
        <v>60490938.657071188</v>
      </c>
      <c r="BK1883" s="846">
        <f>IFERROR($BB1883/$BJ1883,"..")</f>
        <v>7.3193842075035431E-2</v>
      </c>
      <c r="BL1883" s="117">
        <f>IFERROR(VLOOKUP($D1883,'WB Data'!$C$3:$M$578,7,FALSE)/100,"..")</f>
        <v>2.4142100000000003E-2</v>
      </c>
      <c r="BM1883" s="117">
        <f>IFERROR($AW1883*$BL1883,"..")</f>
        <v>60490938.657071188</v>
      </c>
      <c r="BN1883" s="846">
        <f>IFERROR($BB1883/$BM1883,"..")</f>
        <v>7.3193842075035431E-2</v>
      </c>
      <c r="BO1883" s="801">
        <f t="shared" si="323"/>
        <v>31</v>
      </c>
      <c r="BP1883" s="117" t="str">
        <f>VLOOKUP($D1883,'WB Data'!$C$3:$M$578,9,FALSE)</f>
        <v>..</v>
      </c>
      <c r="BQ1883" s="117">
        <f>VLOOKUP($D1883,'WB Data'!$C$3:$M$578,10,FALSE)</f>
        <v>44.067463414634155</v>
      </c>
      <c r="BR1883" s="117">
        <f>VLOOKUP($D1883,'WB Data'!$C$3:$M$578,11,FALSE)</f>
        <v>119.6</v>
      </c>
      <c r="BS1883" s="129" t="str">
        <f>IFERROR(VLOOKUP($D1883,'WB Data 2'!$C$2:$K$545,9,FALSE),"..")</f>
        <v>..</v>
      </c>
      <c r="BT1883" s="129">
        <f>_xlfn.IFNA(VLOOKUP($C1883,RGI!$A$2:$C$43,2,FALSE),"..")</f>
        <v>38.200000000000003</v>
      </c>
      <c r="BU1883" s="129">
        <f>_xlfn.IFNA(VLOOKUP($C1883,RGI!$A$2:$C$43,3,FALSE),"..")</f>
        <v>45.714033330666766</v>
      </c>
      <c r="BV1883" s="129">
        <f>VLOOKUP($D1883,WGI!$C$2:$O$478,7,FALSE)</f>
        <v>-0.17373054822474901</v>
      </c>
      <c r="BW1883" s="129">
        <f>VLOOKUP($D1883,WGI!$C$2:$O$478,4,FALSE)</f>
        <v>-0.20801576080579801</v>
      </c>
      <c r="BX1883" s="129">
        <f>VLOOKUP($D1883,WGI!$C$2:$O$478,3,FALSE)</f>
        <v>-1.1616686772434499</v>
      </c>
      <c r="BY1883" s="129">
        <f>VLOOKUP($D1883,WGI!$C$2:$O$478,5,FALSE)</f>
        <v>-0.96684715899475004</v>
      </c>
      <c r="BZ1883" s="129">
        <f>VLOOKUP($D1883,WGI!$C$2:$O$478,2,FALSE)</f>
        <v>-0.96305171369739495</v>
      </c>
      <c r="CB1883" s="129"/>
    </row>
    <row r="1884" spans="1:80" s="120" customFormat="1" ht="15" customHeight="1">
      <c r="A1884" s="280" t="s">
        <v>2212</v>
      </c>
      <c r="B1884" s="117">
        <v>2008</v>
      </c>
      <c r="C1884" s="117" t="s">
        <v>488</v>
      </c>
      <c r="D1884" s="117" t="s">
        <v>3610</v>
      </c>
      <c r="E1884" s="117" t="s">
        <v>86</v>
      </c>
      <c r="F1884" s="117"/>
      <c r="G1884" s="117" t="s">
        <v>24</v>
      </c>
      <c r="H1884" s="117" t="str">
        <f t="shared" ref="H1884:H1947" si="328">IF($G1884="Mining","yes",IF($G1884="Oil, Gas, Mining","yes",IF($G1884="Gas, Mining","yes",IF($G1884="Oil, Mining","yes",IF($G1884="Oil, Mining, Other","yes","no")))))</f>
        <v>yes</v>
      </c>
      <c r="I1884" s="117" t="str">
        <f t="shared" si="320"/>
        <v>no</v>
      </c>
      <c r="J1884" s="117" t="str">
        <f t="shared" si="321"/>
        <v>no</v>
      </c>
      <c r="K1884" s="117" t="s">
        <v>980</v>
      </c>
      <c r="L1884" s="117" t="str">
        <f t="shared" ref="L1884:L1947" si="329">IF(LEFT(K1884,5)="Total","Total","detailed")</f>
        <v>detailed</v>
      </c>
      <c r="M1884" s="117" t="str">
        <f t="shared" si="322"/>
        <v>detailed Mining</v>
      </c>
      <c r="N1884" s="118">
        <v>371261</v>
      </c>
      <c r="O1884" s="118"/>
      <c r="P1884" s="118"/>
      <c r="Q1884" s="118"/>
      <c r="R1884" s="118"/>
      <c r="S1884" s="117" t="s">
        <v>981</v>
      </c>
      <c r="T1884" s="119">
        <v>266.05</v>
      </c>
      <c r="U1884" s="117" t="s">
        <v>982</v>
      </c>
      <c r="V1884" s="117" t="s">
        <v>2223</v>
      </c>
      <c r="W1884" s="89">
        <f>N1884*T1884</f>
        <v>98773989.049999997</v>
      </c>
      <c r="X1884" s="89"/>
      <c r="Y1884" s="89"/>
      <c r="Z1884" s="89"/>
      <c r="AA1884" s="177">
        <v>2379770</v>
      </c>
      <c r="AB1884" s="177">
        <v>2726162.0803958885</v>
      </c>
      <c r="AC1884" s="122"/>
      <c r="AD1884" s="122"/>
      <c r="AE1884" s="122"/>
      <c r="AF1884" s="123">
        <f>AA1884/W1884</f>
        <v>2.4093083846146439E-2</v>
      </c>
      <c r="AG1884" s="89"/>
      <c r="AH1884" s="124"/>
      <c r="AI1884" s="89"/>
      <c r="AJ1884" s="117"/>
      <c r="AK1884" s="89"/>
      <c r="AL1884" s="117"/>
      <c r="AM1884" s="117"/>
      <c r="AN1884" s="117">
        <v>3</v>
      </c>
      <c r="AO1884" s="117" t="s">
        <v>2224</v>
      </c>
      <c r="AP1884" s="117">
        <v>3</v>
      </c>
      <c r="AQ1884" s="117"/>
      <c r="AR1884" s="117"/>
      <c r="AS1884" s="117"/>
      <c r="AT1884" s="117"/>
      <c r="AU1884" s="117" t="s">
        <v>2214</v>
      </c>
      <c r="AV1884" s="128"/>
      <c r="AW1884" s="117">
        <f>VLOOKUP($D1884,'WB Data'!$C$3:$M$578,2,FALSE)</f>
        <v>2505620416.4952998</v>
      </c>
      <c r="AX1884" s="117">
        <f>VLOOKUP($D1884,'WB Data'!$C$3:$M$578,3,FALSE)</f>
        <v>5532139</v>
      </c>
      <c r="AY1884" s="847">
        <f t="shared" si="324"/>
        <v>1.7670530547597132E-3</v>
      </c>
      <c r="AZ1884" s="117">
        <f>VLOOKUP($D1884,'WB Data'!$C$3:$M$578,4,FALSE)/100</f>
        <v>8.8547284359019901E-2</v>
      </c>
      <c r="BA1884" s="117">
        <f t="shared" si="325"/>
        <v>221865883.51517519</v>
      </c>
      <c r="BB1884" s="129">
        <f>IFERROR(VLOOKUP($D1884,'EITI Revenues'!$C$2:$G$224,5,FALSE),"..")</f>
        <v>4427564.2110363245</v>
      </c>
      <c r="BC1884" s="846">
        <f t="shared" si="326"/>
        <v>1.9956038940676012E-2</v>
      </c>
      <c r="BD1884" s="129" t="str">
        <f>VLOOKUP($D1884,'WB Data 2'!$C$2:$K$545,6,FALSE)</f>
        <v>..</v>
      </c>
      <c r="BE1884" s="129">
        <f>IFERROR(VLOOKUP($D1884,UNCTAD!$C$5:$V$529,4,FALSE),"..")</f>
        <v>334931000</v>
      </c>
      <c r="BF1884" s="846" t="str">
        <f t="shared" si="327"/>
        <v>..</v>
      </c>
      <c r="BG1884" s="117">
        <f>VLOOKUP($D1884,'WB Data'!$C$3:$M$578,5,FALSE)</f>
        <v>378210000</v>
      </c>
      <c r="BH1884" s="129">
        <f>IFERROR($BB1884/$BG1884,"..")</f>
        <v>1.1706629150568004E-2</v>
      </c>
      <c r="BI1884" s="117">
        <f>IFERROR(VLOOKUP($D1884,'WB Data'!$C$3:$M$578,7,FALSE)/100,"..")</f>
        <v>2.4142100000000003E-2</v>
      </c>
      <c r="BJ1884" s="117">
        <f>IFERROR($BI1884*$AW1884,"..")</f>
        <v>60490938.657071188</v>
      </c>
      <c r="BK1884" s="846">
        <f>IFERROR($BB1884/$BJ1884,"..")</f>
        <v>7.3193842075035431E-2</v>
      </c>
      <c r="BL1884" s="117">
        <f>IFERROR(VLOOKUP($D1884,'WB Data'!$C$3:$M$578,7,FALSE)/100,"..")</f>
        <v>2.4142100000000003E-2</v>
      </c>
      <c r="BM1884" s="117">
        <f>IFERROR($AW1884*$BL1884,"..")</f>
        <v>60490938.657071188</v>
      </c>
      <c r="BN1884" s="846">
        <f>IFERROR($BB1884/$BM1884,"..")</f>
        <v>7.3193842075035431E-2</v>
      </c>
      <c r="BO1884" s="801">
        <f t="shared" si="323"/>
        <v>31</v>
      </c>
      <c r="BP1884" s="117" t="str">
        <f>VLOOKUP($D1884,'WB Data'!$C$3:$M$578,9,FALSE)</f>
        <v>..</v>
      </c>
      <c r="BQ1884" s="117">
        <f>VLOOKUP($D1884,'WB Data'!$C$3:$M$578,10,FALSE)</f>
        <v>44.067463414634155</v>
      </c>
      <c r="BR1884" s="117">
        <f>VLOOKUP($D1884,'WB Data'!$C$3:$M$578,11,FALSE)</f>
        <v>119.6</v>
      </c>
      <c r="BS1884" s="129" t="str">
        <f>IFERROR(VLOOKUP($D1884,'WB Data 2'!$C$2:$K$545,9,FALSE),"..")</f>
        <v>..</v>
      </c>
      <c r="BT1884" s="129">
        <f>_xlfn.IFNA(VLOOKUP($C1884,RGI!$A$2:$C$43,2,FALSE),"..")</f>
        <v>38.200000000000003</v>
      </c>
      <c r="BU1884" s="129">
        <f>_xlfn.IFNA(VLOOKUP($C1884,RGI!$A$2:$C$43,3,FALSE),"..")</f>
        <v>45.714033330666766</v>
      </c>
      <c r="BV1884" s="129">
        <f>VLOOKUP($D1884,WGI!$C$2:$O$478,7,FALSE)</f>
        <v>-0.17373054822474901</v>
      </c>
      <c r="BW1884" s="129">
        <f>VLOOKUP($D1884,WGI!$C$2:$O$478,4,FALSE)</f>
        <v>-0.20801576080579801</v>
      </c>
      <c r="BX1884" s="129">
        <f>VLOOKUP($D1884,WGI!$C$2:$O$478,3,FALSE)</f>
        <v>-1.1616686772434499</v>
      </c>
      <c r="BY1884" s="129">
        <f>VLOOKUP($D1884,WGI!$C$2:$O$478,5,FALSE)</f>
        <v>-0.96684715899475004</v>
      </c>
      <c r="BZ1884" s="129">
        <f>VLOOKUP($D1884,WGI!$C$2:$O$478,2,FALSE)</f>
        <v>-0.96305171369739495</v>
      </c>
      <c r="CB1884" s="129"/>
    </row>
    <row r="1885" spans="1:80" s="120" customFormat="1" ht="15" customHeight="1">
      <c r="A1885" s="280" t="s">
        <v>2212</v>
      </c>
      <c r="B1885" s="117">
        <v>2008</v>
      </c>
      <c r="C1885" s="117" t="s">
        <v>488</v>
      </c>
      <c r="D1885" s="117" t="s">
        <v>3610</v>
      </c>
      <c r="E1885" s="117" t="s">
        <v>86</v>
      </c>
      <c r="F1885" s="117"/>
      <c r="G1885" s="117" t="s">
        <v>24</v>
      </c>
      <c r="H1885" s="117" t="str">
        <f t="shared" si="328"/>
        <v>yes</v>
      </c>
      <c r="I1885" s="117" t="str">
        <f t="shared" si="320"/>
        <v>no</v>
      </c>
      <c r="J1885" s="117" t="str">
        <f t="shared" si="321"/>
        <v>no</v>
      </c>
      <c r="K1885" s="117" t="s">
        <v>784</v>
      </c>
      <c r="L1885" s="117" t="str">
        <f t="shared" si="329"/>
        <v>detailed</v>
      </c>
      <c r="M1885" s="117" t="str">
        <f t="shared" si="322"/>
        <v>detailed Mining</v>
      </c>
      <c r="N1885" s="118">
        <f>191*32.1507431265</f>
        <v>6140.7919371614989</v>
      </c>
      <c r="O1885" s="118"/>
      <c r="P1885" s="118"/>
      <c r="Q1885" s="118"/>
      <c r="R1885" s="118"/>
      <c r="S1885" s="117" t="s">
        <v>785</v>
      </c>
      <c r="T1885" s="119">
        <v>871.70725000000004</v>
      </c>
      <c r="U1885" s="117" t="s">
        <v>786</v>
      </c>
      <c r="V1885" s="117" t="s">
        <v>787</v>
      </c>
      <c r="W1885" s="89">
        <f>N1885*T1885</f>
        <v>5352972.8523652237</v>
      </c>
      <c r="X1885" s="117"/>
      <c r="Y1885" s="89"/>
      <c r="Z1885" s="89"/>
      <c r="AA1885" s="177">
        <v>194863.68597816958</v>
      </c>
      <c r="AB1885" s="177">
        <v>279590</v>
      </c>
      <c r="AC1885" s="122"/>
      <c r="AD1885" s="122"/>
      <c r="AE1885" s="122"/>
      <c r="AF1885" s="123">
        <f>AA1885/W1885</f>
        <v>3.6402890758556454E-2</v>
      </c>
      <c r="AG1885" s="89"/>
      <c r="AH1885" s="124"/>
      <c r="AI1885" s="117"/>
      <c r="AJ1885" s="117"/>
      <c r="AK1885" s="89"/>
      <c r="AL1885" s="117"/>
      <c r="AM1885" s="117"/>
      <c r="AN1885" s="117">
        <v>2</v>
      </c>
      <c r="AO1885" s="117" t="s">
        <v>2225</v>
      </c>
      <c r="AP1885" s="117">
        <v>2</v>
      </c>
      <c r="AQ1885" s="117"/>
      <c r="AR1885" s="117"/>
      <c r="AS1885" s="117"/>
      <c r="AT1885" s="117"/>
      <c r="AU1885" s="117" t="s">
        <v>2214</v>
      </c>
      <c r="AV1885" s="128"/>
      <c r="AW1885" s="117">
        <f>VLOOKUP($D1885,'WB Data'!$C$3:$M$578,2,FALSE)</f>
        <v>2505620416.4952998</v>
      </c>
      <c r="AX1885" s="117">
        <f>VLOOKUP($D1885,'WB Data'!$C$3:$M$578,3,FALSE)</f>
        <v>5532139</v>
      </c>
      <c r="AY1885" s="847">
        <f t="shared" si="324"/>
        <v>1.7670530547597132E-3</v>
      </c>
      <c r="AZ1885" s="117">
        <f>VLOOKUP($D1885,'WB Data'!$C$3:$M$578,4,FALSE)/100</f>
        <v>8.8547284359019901E-2</v>
      </c>
      <c r="BA1885" s="117">
        <f t="shared" si="325"/>
        <v>221865883.51517519</v>
      </c>
      <c r="BB1885" s="129">
        <f>IFERROR(VLOOKUP($D1885,'EITI Revenues'!$C$2:$G$224,5,FALSE),"..")</f>
        <v>4427564.2110363245</v>
      </c>
      <c r="BC1885" s="846">
        <f t="shared" si="326"/>
        <v>1.9956038940676012E-2</v>
      </c>
      <c r="BD1885" s="129" t="str">
        <f>VLOOKUP($D1885,'WB Data 2'!$C$2:$K$545,6,FALSE)</f>
        <v>..</v>
      </c>
      <c r="BE1885" s="129">
        <f>IFERROR(VLOOKUP($D1885,UNCTAD!$C$5:$V$529,4,FALSE),"..")</f>
        <v>334931000</v>
      </c>
      <c r="BF1885" s="846" t="str">
        <f t="shared" si="327"/>
        <v>..</v>
      </c>
      <c r="BG1885" s="117">
        <f>VLOOKUP($D1885,'WB Data'!$C$3:$M$578,5,FALSE)</f>
        <v>378210000</v>
      </c>
      <c r="BH1885" s="129">
        <f>IFERROR($BB1885/$BG1885,"..")</f>
        <v>1.1706629150568004E-2</v>
      </c>
      <c r="BI1885" s="117">
        <f>IFERROR(VLOOKUP($D1885,'WB Data'!$C$3:$M$578,7,FALSE)/100,"..")</f>
        <v>2.4142100000000003E-2</v>
      </c>
      <c r="BJ1885" s="117">
        <f>IFERROR($BI1885*$AW1885,"..")</f>
        <v>60490938.657071188</v>
      </c>
      <c r="BK1885" s="846">
        <f>IFERROR($BB1885/$BJ1885,"..")</f>
        <v>7.3193842075035431E-2</v>
      </c>
      <c r="BL1885" s="117">
        <f>IFERROR(VLOOKUP($D1885,'WB Data'!$C$3:$M$578,7,FALSE)/100,"..")</f>
        <v>2.4142100000000003E-2</v>
      </c>
      <c r="BM1885" s="117">
        <f>IFERROR($AW1885*$BL1885,"..")</f>
        <v>60490938.657071188</v>
      </c>
      <c r="BN1885" s="846">
        <f>IFERROR($BB1885/$BM1885,"..")</f>
        <v>7.3193842075035431E-2</v>
      </c>
      <c r="BO1885" s="801">
        <f t="shared" si="323"/>
        <v>31</v>
      </c>
      <c r="BP1885" s="117" t="str">
        <f>VLOOKUP($D1885,'WB Data'!$C$3:$M$578,9,FALSE)</f>
        <v>..</v>
      </c>
      <c r="BQ1885" s="117">
        <f>VLOOKUP($D1885,'WB Data'!$C$3:$M$578,10,FALSE)</f>
        <v>44.067463414634155</v>
      </c>
      <c r="BR1885" s="117">
        <f>VLOOKUP($D1885,'WB Data'!$C$3:$M$578,11,FALSE)</f>
        <v>119.6</v>
      </c>
      <c r="BS1885" s="129" t="str">
        <f>IFERROR(VLOOKUP($D1885,'WB Data 2'!$C$2:$K$545,9,FALSE),"..")</f>
        <v>..</v>
      </c>
      <c r="BT1885" s="129">
        <f>_xlfn.IFNA(VLOOKUP($C1885,RGI!$A$2:$C$43,2,FALSE),"..")</f>
        <v>38.200000000000003</v>
      </c>
      <c r="BU1885" s="129">
        <f>_xlfn.IFNA(VLOOKUP($C1885,RGI!$A$2:$C$43,3,FALSE),"..")</f>
        <v>45.714033330666766</v>
      </c>
      <c r="BV1885" s="129">
        <f>VLOOKUP($D1885,WGI!$C$2:$O$478,7,FALSE)</f>
        <v>-0.17373054822474901</v>
      </c>
      <c r="BW1885" s="129">
        <f>VLOOKUP($D1885,WGI!$C$2:$O$478,4,FALSE)</f>
        <v>-0.20801576080579801</v>
      </c>
      <c r="BX1885" s="129">
        <f>VLOOKUP($D1885,WGI!$C$2:$O$478,3,FALSE)</f>
        <v>-1.1616686772434499</v>
      </c>
      <c r="BY1885" s="129">
        <f>VLOOKUP($D1885,WGI!$C$2:$O$478,5,FALSE)</f>
        <v>-0.96684715899475004</v>
      </c>
      <c r="BZ1885" s="129">
        <f>VLOOKUP($D1885,WGI!$C$2:$O$478,2,FALSE)</f>
        <v>-0.96305171369739495</v>
      </c>
      <c r="CB1885" s="129"/>
    </row>
    <row r="1886" spans="1:80" s="120" customFormat="1" ht="15" customHeight="1">
      <c r="A1886" s="280" t="s">
        <v>2212</v>
      </c>
      <c r="B1886" s="117">
        <v>2008</v>
      </c>
      <c r="C1886" s="117" t="s">
        <v>488</v>
      </c>
      <c r="D1886" s="117" t="s">
        <v>3610</v>
      </c>
      <c r="E1886" s="117" t="s">
        <v>86</v>
      </c>
      <c r="F1886" s="117"/>
      <c r="G1886" s="117" t="s">
        <v>24</v>
      </c>
      <c r="H1886" s="117" t="str">
        <f t="shared" si="328"/>
        <v>yes</v>
      </c>
      <c r="I1886" s="117" t="str">
        <f t="shared" si="320"/>
        <v>no</v>
      </c>
      <c r="J1886" s="117" t="str">
        <f t="shared" si="321"/>
        <v>no</v>
      </c>
      <c r="K1886" s="117" t="s">
        <v>1228</v>
      </c>
      <c r="L1886" s="117" t="str">
        <f t="shared" si="329"/>
        <v>detailed</v>
      </c>
      <c r="M1886" s="117" t="str">
        <f t="shared" si="322"/>
        <v>detailed Mining</v>
      </c>
      <c r="N1886" s="118">
        <v>0</v>
      </c>
      <c r="O1886" s="118"/>
      <c r="P1886" s="118"/>
      <c r="Q1886" s="118"/>
      <c r="R1886" s="118"/>
      <c r="S1886" s="117" t="s">
        <v>610</v>
      </c>
      <c r="T1886" s="119"/>
      <c r="U1886" s="117"/>
      <c r="V1886" s="117" t="s">
        <v>684</v>
      </c>
      <c r="W1886" s="89">
        <f>N1886*T1886</f>
        <v>0</v>
      </c>
      <c r="X1886" s="117"/>
      <c r="Y1886" s="89"/>
      <c r="Z1886" s="89"/>
      <c r="AA1886" s="177">
        <v>33754.525058154737</v>
      </c>
      <c r="AB1886" s="177">
        <v>2234995</v>
      </c>
      <c r="AC1886" s="122"/>
      <c r="AD1886" s="122"/>
      <c r="AE1886" s="122"/>
      <c r="AF1886" s="123"/>
      <c r="AG1886" s="89"/>
      <c r="AH1886" s="124"/>
      <c r="AI1886" s="89"/>
      <c r="AJ1886" s="117"/>
      <c r="AK1886" s="89"/>
      <c r="AM1886" s="117"/>
      <c r="AN1886" s="117">
        <v>2</v>
      </c>
      <c r="AO1886" s="117" t="s">
        <v>2226</v>
      </c>
      <c r="AP1886" s="117">
        <v>2</v>
      </c>
      <c r="AQ1886" s="117"/>
      <c r="AR1886" s="117"/>
      <c r="AS1886" s="117"/>
      <c r="AT1886" s="117"/>
      <c r="AU1886" s="117" t="s">
        <v>2214</v>
      </c>
      <c r="AV1886" s="128"/>
      <c r="AW1886" s="117">
        <f>VLOOKUP($D1886,'WB Data'!$C$3:$M$578,2,FALSE)</f>
        <v>2505620416.4952998</v>
      </c>
      <c r="AX1886" s="117">
        <f>VLOOKUP($D1886,'WB Data'!$C$3:$M$578,3,FALSE)</f>
        <v>5532139</v>
      </c>
      <c r="AY1886" s="847">
        <f t="shared" si="324"/>
        <v>1.7670530547597132E-3</v>
      </c>
      <c r="AZ1886" s="117">
        <f>VLOOKUP($D1886,'WB Data'!$C$3:$M$578,4,FALSE)/100</f>
        <v>8.8547284359019901E-2</v>
      </c>
      <c r="BA1886" s="117">
        <f t="shared" si="325"/>
        <v>221865883.51517519</v>
      </c>
      <c r="BB1886" s="129">
        <f>IFERROR(VLOOKUP($D1886,'EITI Revenues'!$C$2:$G$224,5,FALSE),"..")</f>
        <v>4427564.2110363245</v>
      </c>
      <c r="BC1886" s="846">
        <f t="shared" si="326"/>
        <v>1.9956038940676012E-2</v>
      </c>
      <c r="BD1886" s="129" t="str">
        <f>VLOOKUP($D1886,'WB Data 2'!$C$2:$K$545,6,FALSE)</f>
        <v>..</v>
      </c>
      <c r="BE1886" s="129">
        <f>IFERROR(VLOOKUP($D1886,UNCTAD!$C$5:$V$529,4,FALSE),"..")</f>
        <v>334931000</v>
      </c>
      <c r="BF1886" s="846" t="str">
        <f t="shared" si="327"/>
        <v>..</v>
      </c>
      <c r="BG1886" s="117">
        <f>VLOOKUP($D1886,'WB Data'!$C$3:$M$578,5,FALSE)</f>
        <v>378210000</v>
      </c>
      <c r="BH1886" s="129">
        <f>IFERROR($BB1886/$BG1886,"..")</f>
        <v>1.1706629150568004E-2</v>
      </c>
      <c r="BI1886" s="117">
        <f>IFERROR(VLOOKUP($D1886,'WB Data'!$C$3:$M$578,7,FALSE)/100,"..")</f>
        <v>2.4142100000000003E-2</v>
      </c>
      <c r="BJ1886" s="117">
        <f>IFERROR($BI1886*$AW1886,"..")</f>
        <v>60490938.657071188</v>
      </c>
      <c r="BK1886" s="846">
        <f>IFERROR($BB1886/$BJ1886,"..")</f>
        <v>7.3193842075035431E-2</v>
      </c>
      <c r="BL1886" s="117">
        <f>IFERROR(VLOOKUP($D1886,'WB Data'!$C$3:$M$578,7,FALSE)/100,"..")</f>
        <v>2.4142100000000003E-2</v>
      </c>
      <c r="BM1886" s="117">
        <f>IFERROR($AW1886*$BL1886,"..")</f>
        <v>60490938.657071188</v>
      </c>
      <c r="BN1886" s="846">
        <f>IFERROR($BB1886/$BM1886,"..")</f>
        <v>7.3193842075035431E-2</v>
      </c>
      <c r="BO1886" s="801">
        <f t="shared" si="323"/>
        <v>31</v>
      </c>
      <c r="BP1886" s="117" t="str">
        <f>VLOOKUP($D1886,'WB Data'!$C$3:$M$578,9,FALSE)</f>
        <v>..</v>
      </c>
      <c r="BQ1886" s="117">
        <f>VLOOKUP($D1886,'WB Data'!$C$3:$M$578,10,FALSE)</f>
        <v>44.067463414634155</v>
      </c>
      <c r="BR1886" s="117">
        <f>VLOOKUP($D1886,'WB Data'!$C$3:$M$578,11,FALSE)</f>
        <v>119.6</v>
      </c>
      <c r="BS1886" s="129" t="str">
        <f>IFERROR(VLOOKUP($D1886,'WB Data 2'!$C$2:$K$545,9,FALSE),"..")</f>
        <v>..</v>
      </c>
      <c r="BT1886" s="129">
        <f>_xlfn.IFNA(VLOOKUP($C1886,RGI!$A$2:$C$43,2,FALSE),"..")</f>
        <v>38.200000000000003</v>
      </c>
      <c r="BU1886" s="129">
        <f>_xlfn.IFNA(VLOOKUP($C1886,RGI!$A$2:$C$43,3,FALSE),"..")</f>
        <v>45.714033330666766</v>
      </c>
      <c r="BV1886" s="129">
        <f>VLOOKUP($D1886,WGI!$C$2:$O$478,7,FALSE)</f>
        <v>-0.17373054822474901</v>
      </c>
      <c r="BW1886" s="129">
        <f>VLOOKUP($D1886,WGI!$C$2:$O$478,4,FALSE)</f>
        <v>-0.20801576080579801</v>
      </c>
      <c r="BX1886" s="129">
        <f>VLOOKUP($D1886,WGI!$C$2:$O$478,3,FALSE)</f>
        <v>-1.1616686772434499</v>
      </c>
      <c r="BY1886" s="129">
        <f>VLOOKUP($D1886,WGI!$C$2:$O$478,5,FALSE)</f>
        <v>-0.96684715899475004</v>
      </c>
      <c r="BZ1886" s="129">
        <f>VLOOKUP($D1886,WGI!$C$2:$O$478,2,FALSE)</f>
        <v>-0.96305171369739495</v>
      </c>
      <c r="CB1886" s="129"/>
    </row>
    <row r="1887" spans="1:80" s="120" customFormat="1" ht="15" customHeight="1">
      <c r="A1887" s="280" t="s">
        <v>2212</v>
      </c>
      <c r="B1887" s="117">
        <v>2008</v>
      </c>
      <c r="C1887" s="117" t="s">
        <v>488</v>
      </c>
      <c r="D1887" s="117" t="s">
        <v>3610</v>
      </c>
      <c r="E1887" s="117" t="s">
        <v>86</v>
      </c>
      <c r="F1887" s="117"/>
      <c r="G1887" s="117" t="s">
        <v>24</v>
      </c>
      <c r="H1887" s="117" t="str">
        <f t="shared" si="328"/>
        <v>yes</v>
      </c>
      <c r="I1887" s="117" t="str">
        <f t="shared" si="320"/>
        <v>no</v>
      </c>
      <c r="J1887" s="117" t="str">
        <f t="shared" si="321"/>
        <v>no</v>
      </c>
      <c r="K1887" s="117" t="s">
        <v>2201</v>
      </c>
      <c r="L1887" s="117" t="str">
        <f t="shared" si="329"/>
        <v>detailed</v>
      </c>
      <c r="M1887" s="117" t="str">
        <f t="shared" si="322"/>
        <v>detailed Mining</v>
      </c>
      <c r="N1887" s="118"/>
      <c r="O1887" s="118"/>
      <c r="P1887" s="118"/>
      <c r="Q1887" s="118"/>
      <c r="R1887" s="118"/>
      <c r="S1887" s="117"/>
      <c r="T1887" s="119"/>
      <c r="U1887" s="117"/>
      <c r="V1887" s="117"/>
      <c r="W1887" s="89">
        <f>SUM(W1888:W1890)</f>
        <v>43372308</v>
      </c>
      <c r="X1887" s="117"/>
      <c r="Y1887" s="89"/>
      <c r="Z1887" s="89"/>
      <c r="AA1887" s="177">
        <v>460799</v>
      </c>
      <c r="AB1887" s="177">
        <v>567181.89262822713</v>
      </c>
      <c r="AC1887" s="122"/>
      <c r="AD1887" s="122"/>
      <c r="AE1887" s="122"/>
      <c r="AF1887" s="123">
        <f>AA1887/W1887</f>
        <v>1.0624267447330679E-2</v>
      </c>
      <c r="AG1887" s="89"/>
      <c r="AH1887" s="124"/>
      <c r="AI1887" s="117"/>
      <c r="AJ1887" s="117"/>
      <c r="AK1887" s="89"/>
      <c r="AL1887" s="117"/>
      <c r="AM1887" s="117"/>
      <c r="AN1887" s="117">
        <v>1</v>
      </c>
      <c r="AO1887" s="117" t="s">
        <v>2227</v>
      </c>
      <c r="AP1887" s="117">
        <v>1</v>
      </c>
      <c r="AQ1887" s="117"/>
      <c r="AR1887" s="117"/>
      <c r="AS1887" s="117"/>
      <c r="AT1887" s="117"/>
      <c r="AU1887" s="117" t="s">
        <v>2214</v>
      </c>
      <c r="AV1887" s="128"/>
      <c r="AW1887" s="117">
        <f>VLOOKUP($D1887,'WB Data'!$C$3:$M$578,2,FALSE)</f>
        <v>2505620416.4952998</v>
      </c>
      <c r="AX1887" s="117">
        <f>VLOOKUP($D1887,'WB Data'!$C$3:$M$578,3,FALSE)</f>
        <v>5532139</v>
      </c>
      <c r="AY1887" s="847">
        <f t="shared" si="324"/>
        <v>1.7670530547597132E-3</v>
      </c>
      <c r="AZ1887" s="117">
        <f>VLOOKUP($D1887,'WB Data'!$C$3:$M$578,4,FALSE)/100</f>
        <v>8.8547284359019901E-2</v>
      </c>
      <c r="BA1887" s="117">
        <f t="shared" si="325"/>
        <v>221865883.51517519</v>
      </c>
      <c r="BB1887" s="129">
        <f>IFERROR(VLOOKUP($D1887,'EITI Revenues'!$C$2:$G$224,5,FALSE),"..")</f>
        <v>4427564.2110363245</v>
      </c>
      <c r="BC1887" s="846">
        <f t="shared" si="326"/>
        <v>1.9956038940676012E-2</v>
      </c>
      <c r="BD1887" s="129" t="str">
        <f>VLOOKUP($D1887,'WB Data 2'!$C$2:$K$545,6,FALSE)</f>
        <v>..</v>
      </c>
      <c r="BE1887" s="129">
        <f>IFERROR(VLOOKUP($D1887,UNCTAD!$C$5:$V$529,4,FALSE),"..")</f>
        <v>334931000</v>
      </c>
      <c r="BF1887" s="846" t="str">
        <f t="shared" si="327"/>
        <v>..</v>
      </c>
      <c r="BG1887" s="117">
        <f>VLOOKUP($D1887,'WB Data'!$C$3:$M$578,5,FALSE)</f>
        <v>378210000</v>
      </c>
      <c r="BH1887" s="129">
        <f>IFERROR($BB1887/$BG1887,"..")</f>
        <v>1.1706629150568004E-2</v>
      </c>
      <c r="BI1887" s="117">
        <f>IFERROR(VLOOKUP($D1887,'WB Data'!$C$3:$M$578,7,FALSE)/100,"..")</f>
        <v>2.4142100000000003E-2</v>
      </c>
      <c r="BJ1887" s="117">
        <f>IFERROR($BI1887*$AW1887,"..")</f>
        <v>60490938.657071188</v>
      </c>
      <c r="BK1887" s="846">
        <f>IFERROR($BB1887/$BJ1887,"..")</f>
        <v>7.3193842075035431E-2</v>
      </c>
      <c r="BL1887" s="117">
        <f>IFERROR(VLOOKUP($D1887,'WB Data'!$C$3:$M$578,7,FALSE)/100,"..")</f>
        <v>2.4142100000000003E-2</v>
      </c>
      <c r="BM1887" s="117">
        <f>IFERROR($AW1887*$BL1887,"..")</f>
        <v>60490938.657071188</v>
      </c>
      <c r="BN1887" s="846">
        <f>IFERROR($BB1887/$BM1887,"..")</f>
        <v>7.3193842075035431E-2</v>
      </c>
      <c r="BO1887" s="801">
        <f t="shared" si="323"/>
        <v>31</v>
      </c>
      <c r="BP1887" s="117" t="str">
        <f>VLOOKUP($D1887,'WB Data'!$C$3:$M$578,9,FALSE)</f>
        <v>..</v>
      </c>
      <c r="BQ1887" s="117">
        <f>VLOOKUP($D1887,'WB Data'!$C$3:$M$578,10,FALSE)</f>
        <v>44.067463414634155</v>
      </c>
      <c r="BR1887" s="117">
        <f>VLOOKUP($D1887,'WB Data'!$C$3:$M$578,11,FALSE)</f>
        <v>119.6</v>
      </c>
      <c r="BS1887" s="129" t="str">
        <f>IFERROR(VLOOKUP($D1887,'WB Data 2'!$C$2:$K$545,9,FALSE),"..")</f>
        <v>..</v>
      </c>
      <c r="BT1887" s="129">
        <f>_xlfn.IFNA(VLOOKUP($C1887,RGI!$A$2:$C$43,2,FALSE),"..")</f>
        <v>38.200000000000003</v>
      </c>
      <c r="BU1887" s="129">
        <f>_xlfn.IFNA(VLOOKUP($C1887,RGI!$A$2:$C$43,3,FALSE),"..")</f>
        <v>45.714033330666766</v>
      </c>
      <c r="BV1887" s="129">
        <f>VLOOKUP($D1887,WGI!$C$2:$O$478,7,FALSE)</f>
        <v>-0.17373054822474901</v>
      </c>
      <c r="BW1887" s="129">
        <f>VLOOKUP($D1887,WGI!$C$2:$O$478,4,FALSE)</f>
        <v>-0.20801576080579801</v>
      </c>
      <c r="BX1887" s="129">
        <f>VLOOKUP($D1887,WGI!$C$2:$O$478,3,FALSE)</f>
        <v>-1.1616686772434499</v>
      </c>
      <c r="BY1887" s="129">
        <f>VLOOKUP($D1887,WGI!$C$2:$O$478,5,FALSE)</f>
        <v>-0.96684715899475004</v>
      </c>
      <c r="BZ1887" s="129">
        <f>VLOOKUP($D1887,WGI!$C$2:$O$478,2,FALSE)</f>
        <v>-0.96305171369739495</v>
      </c>
      <c r="CB1887" s="129"/>
    </row>
    <row r="1888" spans="1:80" s="120" customFormat="1" ht="15" customHeight="1">
      <c r="A1888" s="280" t="s">
        <v>2212</v>
      </c>
      <c r="B1888" s="117">
        <v>2008</v>
      </c>
      <c r="C1888" s="117" t="s">
        <v>488</v>
      </c>
      <c r="D1888" s="117" t="s">
        <v>3610</v>
      </c>
      <c r="E1888" s="117" t="s">
        <v>86</v>
      </c>
      <c r="F1888" s="117"/>
      <c r="G1888" s="117" t="s">
        <v>24</v>
      </c>
      <c r="H1888" s="117" t="str">
        <f t="shared" si="328"/>
        <v>yes</v>
      </c>
      <c r="I1888" s="117" t="str">
        <f t="shared" si="320"/>
        <v>no</v>
      </c>
      <c r="J1888" s="117" t="str">
        <f t="shared" si="321"/>
        <v>no</v>
      </c>
      <c r="K1888" s="117" t="s">
        <v>2203</v>
      </c>
      <c r="L1888" s="117" t="str">
        <f t="shared" si="329"/>
        <v>detailed</v>
      </c>
      <c r="M1888" s="117" t="str">
        <f t="shared" si="322"/>
        <v>detailed Mining</v>
      </c>
      <c r="N1888" s="118">
        <v>17528</v>
      </c>
      <c r="O1888" s="118"/>
      <c r="P1888" s="118"/>
      <c r="Q1888" s="118"/>
      <c r="R1888" s="118"/>
      <c r="S1888" s="117" t="s">
        <v>610</v>
      </c>
      <c r="T1888" s="119">
        <v>111</v>
      </c>
      <c r="U1888" s="117" t="s">
        <v>611</v>
      </c>
      <c r="V1888" s="117" t="s">
        <v>1671</v>
      </c>
      <c r="W1888" s="89">
        <f>N1888*T1888</f>
        <v>1945608</v>
      </c>
      <c r="X1888" s="117"/>
      <c r="Y1888" s="117"/>
      <c r="Z1888" s="117"/>
      <c r="AA1888" s="177"/>
      <c r="AB1888" s="177"/>
      <c r="AC1888" s="122"/>
      <c r="AD1888" s="122"/>
      <c r="AE1888" s="122"/>
      <c r="AF1888" s="123"/>
      <c r="AG1888" s="117"/>
      <c r="AH1888" s="124"/>
      <c r="AI1888" s="117"/>
      <c r="AJ1888" s="117"/>
      <c r="AK1888" s="89"/>
      <c r="AL1888" s="117"/>
      <c r="AM1888" s="117"/>
      <c r="AN1888" s="117"/>
      <c r="AO1888" s="117"/>
      <c r="AP1888" s="117"/>
      <c r="AQ1888" s="117"/>
      <c r="AR1888" s="117"/>
      <c r="AS1888" s="117"/>
      <c r="AT1888" s="117"/>
      <c r="AU1888" s="117"/>
      <c r="AV1888" s="128"/>
      <c r="AW1888" s="117">
        <f>VLOOKUP($D1888,'WB Data'!$C$3:$M$578,2,FALSE)</f>
        <v>2505620416.4952998</v>
      </c>
      <c r="AX1888" s="117">
        <f>VLOOKUP($D1888,'WB Data'!$C$3:$M$578,3,FALSE)</f>
        <v>5532139</v>
      </c>
      <c r="AY1888" s="847">
        <f t="shared" si="324"/>
        <v>1.7670530547597132E-3</v>
      </c>
      <c r="AZ1888" s="117">
        <f>VLOOKUP($D1888,'WB Data'!$C$3:$M$578,4,FALSE)/100</f>
        <v>8.8547284359019901E-2</v>
      </c>
      <c r="BA1888" s="117">
        <f t="shared" si="325"/>
        <v>221865883.51517519</v>
      </c>
      <c r="BB1888" s="129">
        <f>IFERROR(VLOOKUP($D1888,'EITI Revenues'!$C$2:$G$224,5,FALSE),"..")</f>
        <v>4427564.2110363245</v>
      </c>
      <c r="BC1888" s="846">
        <f t="shared" si="326"/>
        <v>1.9956038940676012E-2</v>
      </c>
      <c r="BD1888" s="129" t="str">
        <f>VLOOKUP($D1888,'WB Data 2'!$C$2:$K$545,6,FALSE)</f>
        <v>..</v>
      </c>
      <c r="BE1888" s="129">
        <f>IFERROR(VLOOKUP($D1888,UNCTAD!$C$5:$V$529,4,FALSE),"..")</f>
        <v>334931000</v>
      </c>
      <c r="BF1888" s="846" t="str">
        <f t="shared" si="327"/>
        <v>..</v>
      </c>
      <c r="BG1888" s="117">
        <f>VLOOKUP($D1888,'WB Data'!$C$3:$M$578,5,FALSE)</f>
        <v>378210000</v>
      </c>
      <c r="BH1888" s="129">
        <f>IFERROR($BB1888/$BG1888,"..")</f>
        <v>1.1706629150568004E-2</v>
      </c>
      <c r="BI1888" s="117">
        <f>IFERROR(VLOOKUP($D1888,'WB Data'!$C$3:$M$578,7,FALSE)/100,"..")</f>
        <v>2.4142100000000003E-2</v>
      </c>
      <c r="BJ1888" s="117">
        <f>IFERROR($BI1888*$AW1888,"..")</f>
        <v>60490938.657071188</v>
      </c>
      <c r="BK1888" s="846">
        <f>IFERROR($BB1888/$BJ1888,"..")</f>
        <v>7.3193842075035431E-2</v>
      </c>
      <c r="BL1888" s="117">
        <f>IFERROR(VLOOKUP($D1888,'WB Data'!$C$3:$M$578,7,FALSE)/100,"..")</f>
        <v>2.4142100000000003E-2</v>
      </c>
      <c r="BM1888" s="117">
        <f>IFERROR($AW1888*$BL1888,"..")</f>
        <v>60490938.657071188</v>
      </c>
      <c r="BN1888" s="846">
        <f>IFERROR($BB1888/$BM1888,"..")</f>
        <v>7.3193842075035431E-2</v>
      </c>
      <c r="BO1888" s="801">
        <f t="shared" si="323"/>
        <v>31</v>
      </c>
      <c r="BP1888" s="117" t="str">
        <f>VLOOKUP($D1888,'WB Data'!$C$3:$M$578,9,FALSE)</f>
        <v>..</v>
      </c>
      <c r="BQ1888" s="117">
        <f>VLOOKUP($D1888,'WB Data'!$C$3:$M$578,10,FALSE)</f>
        <v>44.067463414634155</v>
      </c>
      <c r="BR1888" s="117">
        <f>VLOOKUP($D1888,'WB Data'!$C$3:$M$578,11,FALSE)</f>
        <v>119.6</v>
      </c>
      <c r="BS1888" s="129" t="str">
        <f>IFERROR(VLOOKUP($D1888,'WB Data 2'!$C$2:$K$545,9,FALSE),"..")</f>
        <v>..</v>
      </c>
      <c r="BT1888" s="129">
        <f>_xlfn.IFNA(VLOOKUP($C1888,RGI!$A$2:$C$43,2,FALSE),"..")</f>
        <v>38.200000000000003</v>
      </c>
      <c r="BU1888" s="129">
        <f>_xlfn.IFNA(VLOOKUP($C1888,RGI!$A$2:$C$43,3,FALSE),"..")</f>
        <v>45.714033330666766</v>
      </c>
      <c r="BV1888" s="129">
        <f>VLOOKUP($D1888,WGI!$C$2:$O$478,7,FALSE)</f>
        <v>-0.17373054822474901</v>
      </c>
      <c r="BW1888" s="129">
        <f>VLOOKUP($D1888,WGI!$C$2:$O$478,4,FALSE)</f>
        <v>-0.20801576080579801</v>
      </c>
      <c r="BX1888" s="129">
        <f>VLOOKUP($D1888,WGI!$C$2:$O$478,3,FALSE)</f>
        <v>-1.1616686772434499</v>
      </c>
      <c r="BY1888" s="129">
        <f>VLOOKUP($D1888,WGI!$C$2:$O$478,5,FALSE)</f>
        <v>-0.96684715899475004</v>
      </c>
      <c r="BZ1888" s="129">
        <f>VLOOKUP($D1888,WGI!$C$2:$O$478,2,FALSE)</f>
        <v>-0.96305171369739495</v>
      </c>
      <c r="CB1888" s="129"/>
    </row>
    <row r="1889" spans="1:80" s="120" customFormat="1" ht="15" customHeight="1">
      <c r="A1889" s="280" t="s">
        <v>2212</v>
      </c>
      <c r="B1889" s="117">
        <v>2008</v>
      </c>
      <c r="C1889" s="117" t="s">
        <v>488</v>
      </c>
      <c r="D1889" s="117" t="s">
        <v>3610</v>
      </c>
      <c r="E1889" s="117" t="s">
        <v>86</v>
      </c>
      <c r="F1889" s="117"/>
      <c r="G1889" s="117" t="s">
        <v>24</v>
      </c>
      <c r="H1889" s="117" t="str">
        <f t="shared" si="328"/>
        <v>yes</v>
      </c>
      <c r="I1889" s="117" t="str">
        <f t="shared" si="320"/>
        <v>no</v>
      </c>
      <c r="J1889" s="117" t="str">
        <f t="shared" si="321"/>
        <v>no</v>
      </c>
      <c r="K1889" s="117" t="s">
        <v>2205</v>
      </c>
      <c r="L1889" s="117" t="str">
        <f t="shared" si="329"/>
        <v>detailed</v>
      </c>
      <c r="M1889" s="117" t="str">
        <f t="shared" si="322"/>
        <v>detailed Mining</v>
      </c>
      <c r="N1889" s="118">
        <v>78908</v>
      </c>
      <c r="O1889" s="118"/>
      <c r="P1889" s="118"/>
      <c r="Q1889" s="118"/>
      <c r="R1889" s="118"/>
      <c r="S1889" s="117" t="s">
        <v>610</v>
      </c>
      <c r="T1889" s="119">
        <v>525</v>
      </c>
      <c r="U1889" s="117" t="s">
        <v>611</v>
      </c>
      <c r="V1889" s="117" t="s">
        <v>1879</v>
      </c>
      <c r="W1889" s="89">
        <f>N1889*T1889</f>
        <v>41426700</v>
      </c>
      <c r="X1889" s="117"/>
      <c r="Y1889" s="117"/>
      <c r="Z1889" s="117"/>
      <c r="AA1889" s="177"/>
      <c r="AB1889" s="177"/>
      <c r="AC1889" s="122"/>
      <c r="AD1889" s="122"/>
      <c r="AE1889" s="122"/>
      <c r="AF1889" s="123"/>
      <c r="AG1889" s="117"/>
      <c r="AH1889" s="124"/>
      <c r="AI1889" s="117"/>
      <c r="AJ1889" s="117"/>
      <c r="AK1889" s="89"/>
      <c r="AL1889" s="117"/>
      <c r="AM1889" s="117"/>
      <c r="AN1889" s="117"/>
      <c r="AO1889" s="117"/>
      <c r="AP1889" s="117"/>
      <c r="AQ1889" s="117"/>
      <c r="AR1889" s="117"/>
      <c r="AS1889" s="117"/>
      <c r="AT1889" s="117"/>
      <c r="AU1889" s="117"/>
      <c r="AV1889" s="128"/>
      <c r="AW1889" s="117">
        <f>VLOOKUP($D1889,'WB Data'!$C$3:$M$578,2,FALSE)</f>
        <v>2505620416.4952998</v>
      </c>
      <c r="AX1889" s="117">
        <f>VLOOKUP($D1889,'WB Data'!$C$3:$M$578,3,FALSE)</f>
        <v>5532139</v>
      </c>
      <c r="AY1889" s="847">
        <f t="shared" si="324"/>
        <v>1.7670530547597132E-3</v>
      </c>
      <c r="AZ1889" s="117">
        <f>VLOOKUP($D1889,'WB Data'!$C$3:$M$578,4,FALSE)/100</f>
        <v>8.8547284359019901E-2</v>
      </c>
      <c r="BA1889" s="117">
        <f t="shared" si="325"/>
        <v>221865883.51517519</v>
      </c>
      <c r="BB1889" s="129">
        <f>IFERROR(VLOOKUP($D1889,'EITI Revenues'!$C$2:$G$224,5,FALSE),"..")</f>
        <v>4427564.2110363245</v>
      </c>
      <c r="BC1889" s="846">
        <f t="shared" si="326"/>
        <v>1.9956038940676012E-2</v>
      </c>
      <c r="BD1889" s="129" t="str">
        <f>VLOOKUP($D1889,'WB Data 2'!$C$2:$K$545,6,FALSE)</f>
        <v>..</v>
      </c>
      <c r="BE1889" s="129">
        <f>IFERROR(VLOOKUP($D1889,UNCTAD!$C$5:$V$529,4,FALSE),"..")</f>
        <v>334931000</v>
      </c>
      <c r="BF1889" s="846" t="str">
        <f t="shared" si="327"/>
        <v>..</v>
      </c>
      <c r="BG1889" s="117">
        <f>VLOOKUP($D1889,'WB Data'!$C$3:$M$578,5,FALSE)</f>
        <v>378210000</v>
      </c>
      <c r="BH1889" s="129">
        <f>IFERROR($BB1889/$BG1889,"..")</f>
        <v>1.1706629150568004E-2</v>
      </c>
      <c r="BI1889" s="117">
        <f>IFERROR(VLOOKUP($D1889,'WB Data'!$C$3:$M$578,7,FALSE)/100,"..")</f>
        <v>2.4142100000000003E-2</v>
      </c>
      <c r="BJ1889" s="117">
        <f>IFERROR($BI1889*$AW1889,"..")</f>
        <v>60490938.657071188</v>
      </c>
      <c r="BK1889" s="846">
        <f>IFERROR($BB1889/$BJ1889,"..")</f>
        <v>7.3193842075035431E-2</v>
      </c>
      <c r="BL1889" s="117">
        <f>IFERROR(VLOOKUP($D1889,'WB Data'!$C$3:$M$578,7,FALSE)/100,"..")</f>
        <v>2.4142100000000003E-2</v>
      </c>
      <c r="BM1889" s="117">
        <f>IFERROR($AW1889*$BL1889,"..")</f>
        <v>60490938.657071188</v>
      </c>
      <c r="BN1889" s="846">
        <f>IFERROR($BB1889/$BM1889,"..")</f>
        <v>7.3193842075035431E-2</v>
      </c>
      <c r="BO1889" s="801">
        <f t="shared" si="323"/>
        <v>31</v>
      </c>
      <c r="BP1889" s="117" t="str">
        <f>VLOOKUP($D1889,'WB Data'!$C$3:$M$578,9,FALSE)</f>
        <v>..</v>
      </c>
      <c r="BQ1889" s="117">
        <f>VLOOKUP($D1889,'WB Data'!$C$3:$M$578,10,FALSE)</f>
        <v>44.067463414634155</v>
      </c>
      <c r="BR1889" s="117">
        <f>VLOOKUP($D1889,'WB Data'!$C$3:$M$578,11,FALSE)</f>
        <v>119.6</v>
      </c>
      <c r="BS1889" s="129" t="str">
        <f>IFERROR(VLOOKUP($D1889,'WB Data 2'!$C$2:$K$545,9,FALSE),"..")</f>
        <v>..</v>
      </c>
      <c r="BT1889" s="129">
        <f>_xlfn.IFNA(VLOOKUP($C1889,RGI!$A$2:$C$43,2,FALSE),"..")</f>
        <v>38.200000000000003</v>
      </c>
      <c r="BU1889" s="129">
        <f>_xlfn.IFNA(VLOOKUP($C1889,RGI!$A$2:$C$43,3,FALSE),"..")</f>
        <v>45.714033330666766</v>
      </c>
      <c r="BV1889" s="129">
        <f>VLOOKUP($D1889,WGI!$C$2:$O$478,7,FALSE)</f>
        <v>-0.17373054822474901</v>
      </c>
      <c r="BW1889" s="129">
        <f>VLOOKUP($D1889,WGI!$C$2:$O$478,4,FALSE)</f>
        <v>-0.20801576080579801</v>
      </c>
      <c r="BX1889" s="129">
        <f>VLOOKUP($D1889,WGI!$C$2:$O$478,3,FALSE)</f>
        <v>-1.1616686772434499</v>
      </c>
      <c r="BY1889" s="129">
        <f>VLOOKUP($D1889,WGI!$C$2:$O$478,5,FALSE)</f>
        <v>-0.96684715899475004</v>
      </c>
      <c r="BZ1889" s="129">
        <f>VLOOKUP($D1889,WGI!$C$2:$O$478,2,FALSE)</f>
        <v>-0.96305171369739495</v>
      </c>
      <c r="CB1889" s="129"/>
    </row>
    <row r="1890" spans="1:80" s="158" customFormat="1" ht="15" customHeight="1">
      <c r="A1890" s="282" t="s">
        <v>2212</v>
      </c>
      <c r="B1890" s="149">
        <v>2008</v>
      </c>
      <c r="C1890" s="149" t="s">
        <v>488</v>
      </c>
      <c r="D1890" s="117" t="s">
        <v>3610</v>
      </c>
      <c r="E1890" s="149" t="s">
        <v>86</v>
      </c>
      <c r="F1890" s="149"/>
      <c r="G1890" s="117" t="s">
        <v>24</v>
      </c>
      <c r="H1890" s="117" t="str">
        <f t="shared" si="328"/>
        <v>yes</v>
      </c>
      <c r="I1890" s="117" t="str">
        <f t="shared" si="320"/>
        <v>no</v>
      </c>
      <c r="J1890" s="117" t="str">
        <f t="shared" si="321"/>
        <v>no</v>
      </c>
      <c r="K1890" s="149" t="s">
        <v>2207</v>
      </c>
      <c r="L1890" s="117" t="str">
        <f t="shared" si="329"/>
        <v>detailed</v>
      </c>
      <c r="M1890" s="117" t="str">
        <f t="shared" si="322"/>
        <v>detailed Mining</v>
      </c>
      <c r="N1890" s="150">
        <v>0</v>
      </c>
      <c r="O1890" s="150"/>
      <c r="P1890" s="150"/>
      <c r="Q1890" s="150"/>
      <c r="R1890" s="150"/>
      <c r="S1890" s="149" t="s">
        <v>610</v>
      </c>
      <c r="T1890" s="151"/>
      <c r="U1890" s="149"/>
      <c r="V1890" s="149" t="s">
        <v>684</v>
      </c>
      <c r="W1890" s="152"/>
      <c r="X1890" s="149"/>
      <c r="Y1890" s="149"/>
      <c r="Z1890" s="149"/>
      <c r="AA1890" s="284"/>
      <c r="AB1890" s="284"/>
      <c r="AC1890" s="154"/>
      <c r="AD1890" s="154"/>
      <c r="AE1890" s="154"/>
      <c r="AF1890" s="155"/>
      <c r="AG1890" s="149"/>
      <c r="AH1890" s="156"/>
      <c r="AI1890" s="149"/>
      <c r="AJ1890" s="149"/>
      <c r="AK1890" s="152"/>
      <c r="AL1890" s="149"/>
      <c r="AM1890" s="149"/>
      <c r="AN1890" s="149"/>
      <c r="AO1890" s="149"/>
      <c r="AP1890" s="149"/>
      <c r="AQ1890" s="149"/>
      <c r="AR1890" s="149"/>
      <c r="AS1890" s="149"/>
      <c r="AT1890" s="149"/>
      <c r="AU1890" s="149"/>
      <c r="AV1890" s="157"/>
      <c r="AW1890" s="117">
        <f>VLOOKUP($D1890,'WB Data'!$C$3:$M$578,2,FALSE)</f>
        <v>2505620416.4952998</v>
      </c>
      <c r="AX1890" s="117">
        <f>VLOOKUP($D1890,'WB Data'!$C$3:$M$578,3,FALSE)</f>
        <v>5532139</v>
      </c>
      <c r="AY1890" s="847">
        <f t="shared" si="324"/>
        <v>1.7670530547597132E-3</v>
      </c>
      <c r="AZ1890" s="117">
        <f>VLOOKUP($D1890,'WB Data'!$C$3:$M$578,4,FALSE)/100</f>
        <v>8.8547284359019901E-2</v>
      </c>
      <c r="BA1890" s="117">
        <f t="shared" si="325"/>
        <v>221865883.51517519</v>
      </c>
      <c r="BB1890" s="129">
        <f>IFERROR(VLOOKUP($D1890,'EITI Revenues'!$C$2:$G$224,5,FALSE),"..")</f>
        <v>4427564.2110363245</v>
      </c>
      <c r="BC1890" s="846">
        <f t="shared" si="326"/>
        <v>1.9956038940676012E-2</v>
      </c>
      <c r="BD1890" s="129" t="str">
        <f>VLOOKUP($D1890,'WB Data 2'!$C$2:$K$545,6,FALSE)</f>
        <v>..</v>
      </c>
      <c r="BE1890" s="129">
        <f>IFERROR(VLOOKUP($D1890,UNCTAD!$C$5:$V$529,4,FALSE),"..")</f>
        <v>334931000</v>
      </c>
      <c r="BF1890" s="846" t="str">
        <f t="shared" si="327"/>
        <v>..</v>
      </c>
      <c r="BG1890" s="117">
        <f>VLOOKUP($D1890,'WB Data'!$C$3:$M$578,5,FALSE)</f>
        <v>378210000</v>
      </c>
      <c r="BH1890" s="129">
        <f>IFERROR($BB1890/$BG1890,"..")</f>
        <v>1.1706629150568004E-2</v>
      </c>
      <c r="BI1890" s="117">
        <f>IFERROR(VLOOKUP($D1890,'WB Data'!$C$3:$M$578,7,FALSE)/100,"..")</f>
        <v>2.4142100000000003E-2</v>
      </c>
      <c r="BJ1890" s="117">
        <f>IFERROR($BI1890*$AW1890,"..")</f>
        <v>60490938.657071188</v>
      </c>
      <c r="BK1890" s="846">
        <f>IFERROR($BB1890/$BJ1890,"..")</f>
        <v>7.3193842075035431E-2</v>
      </c>
      <c r="BL1890" s="117">
        <f>IFERROR(VLOOKUP($D1890,'WB Data'!$C$3:$M$578,7,FALSE)/100,"..")</f>
        <v>2.4142100000000003E-2</v>
      </c>
      <c r="BM1890" s="117">
        <f>IFERROR($AW1890*$BL1890,"..")</f>
        <v>60490938.657071188</v>
      </c>
      <c r="BN1890" s="846">
        <f>IFERROR($BB1890/$BM1890,"..")</f>
        <v>7.3193842075035431E-2</v>
      </c>
      <c r="BO1890" s="801">
        <f t="shared" si="323"/>
        <v>31</v>
      </c>
      <c r="BP1890" s="117" t="str">
        <f>VLOOKUP($D1890,'WB Data'!$C$3:$M$578,9,FALSE)</f>
        <v>..</v>
      </c>
      <c r="BQ1890" s="117">
        <f>VLOOKUP($D1890,'WB Data'!$C$3:$M$578,10,FALSE)</f>
        <v>44.067463414634155</v>
      </c>
      <c r="BR1890" s="117">
        <f>VLOOKUP($D1890,'WB Data'!$C$3:$M$578,11,FALSE)</f>
        <v>119.6</v>
      </c>
      <c r="BS1890" s="129" t="str">
        <f>IFERROR(VLOOKUP($D1890,'WB Data 2'!$C$2:$K$545,9,FALSE),"..")</f>
        <v>..</v>
      </c>
      <c r="BT1890" s="129">
        <f>_xlfn.IFNA(VLOOKUP($C1890,RGI!$A$2:$C$43,2,FALSE),"..")</f>
        <v>38.200000000000003</v>
      </c>
      <c r="BU1890" s="129">
        <f>_xlfn.IFNA(VLOOKUP($C1890,RGI!$A$2:$C$43,3,FALSE),"..")</f>
        <v>45.714033330666766</v>
      </c>
      <c r="BV1890" s="129">
        <f>VLOOKUP($D1890,WGI!$C$2:$O$478,7,FALSE)</f>
        <v>-0.17373054822474901</v>
      </c>
      <c r="BW1890" s="129">
        <f>VLOOKUP($D1890,WGI!$C$2:$O$478,4,FALSE)</f>
        <v>-0.20801576080579801</v>
      </c>
      <c r="BX1890" s="129">
        <f>VLOOKUP($D1890,WGI!$C$2:$O$478,3,FALSE)</f>
        <v>-1.1616686772434499</v>
      </c>
      <c r="BY1890" s="129">
        <f>VLOOKUP($D1890,WGI!$C$2:$O$478,5,FALSE)</f>
        <v>-0.96684715899475004</v>
      </c>
      <c r="BZ1890" s="129">
        <f>VLOOKUP($D1890,WGI!$C$2:$O$478,2,FALSE)</f>
        <v>-0.96305171369739495</v>
      </c>
      <c r="CB1890" s="129"/>
    </row>
    <row r="1891" spans="1:80" ht="15" customHeight="1">
      <c r="A1891" s="280" t="s">
        <v>2228</v>
      </c>
      <c r="B1891" s="117">
        <v>2009</v>
      </c>
      <c r="C1891" s="117" t="s">
        <v>488</v>
      </c>
      <c r="D1891" s="117" t="s">
        <v>3644</v>
      </c>
      <c r="E1891" s="117" t="s">
        <v>86</v>
      </c>
      <c r="F1891" s="117" t="s">
        <v>2190</v>
      </c>
      <c r="G1891" s="132" t="s">
        <v>35</v>
      </c>
      <c r="H1891" s="117" t="str">
        <f t="shared" si="328"/>
        <v>yes</v>
      </c>
      <c r="I1891" s="117" t="str">
        <f t="shared" si="320"/>
        <v>yes</v>
      </c>
      <c r="J1891" s="117" t="str">
        <f t="shared" si="321"/>
        <v>yes</v>
      </c>
      <c r="K1891" s="117" t="s">
        <v>709</v>
      </c>
      <c r="L1891" s="117" t="str">
        <f t="shared" si="329"/>
        <v>Total</v>
      </c>
      <c r="M1891" s="117" t="str">
        <f t="shared" si="322"/>
        <v>Total Oil, Gas, Mining</v>
      </c>
      <c r="N1891" s="118"/>
      <c r="O1891" s="118"/>
      <c r="P1891" s="118"/>
      <c r="Q1891" s="118"/>
      <c r="R1891" s="118"/>
      <c r="S1891" s="117"/>
      <c r="T1891" s="119"/>
      <c r="U1891" s="117"/>
      <c r="V1891" s="117"/>
      <c r="W1891" s="89">
        <f>W1892+W1895</f>
        <v>145767005.57944161</v>
      </c>
      <c r="X1891" s="117" t="s">
        <v>633</v>
      </c>
      <c r="Y1891" s="117" t="s">
        <v>602</v>
      </c>
      <c r="Z1891" s="117" t="s">
        <v>603</v>
      </c>
      <c r="AA1891" s="177">
        <v>5875777.9977596682</v>
      </c>
      <c r="AB1891" s="177">
        <v>6091293.3647605022</v>
      </c>
      <c r="AC1891" s="122"/>
      <c r="AD1891" s="122"/>
      <c r="AE1891" s="122"/>
      <c r="AF1891" s="139">
        <f>AA1891/W1891</f>
        <v>4.030938259589497E-2</v>
      </c>
      <c r="AG1891" s="117" t="s">
        <v>2191</v>
      </c>
      <c r="AH1891" s="124">
        <v>4691.2700000000004</v>
      </c>
      <c r="AI1891" s="117" t="s">
        <v>1151</v>
      </c>
      <c r="AJ1891" s="117"/>
      <c r="AK1891" s="89"/>
      <c r="AL1891" s="117"/>
      <c r="AM1891" s="117"/>
      <c r="AN1891" s="117">
        <v>13</v>
      </c>
      <c r="AO1891" s="117" t="s">
        <v>2229</v>
      </c>
      <c r="AP1891" s="117">
        <v>12</v>
      </c>
      <c r="AQ1891" s="390" t="s">
        <v>323</v>
      </c>
      <c r="AR1891" s="126">
        <v>41898</v>
      </c>
      <c r="AS1891" s="117" t="s">
        <v>1135</v>
      </c>
      <c r="AT1891" s="117" t="s">
        <v>493</v>
      </c>
      <c r="AU1891" s="117" t="s">
        <v>2230</v>
      </c>
      <c r="AV1891" s="128" t="s">
        <v>2231</v>
      </c>
      <c r="AW1891" s="117">
        <f>VLOOKUP($D1891,'WB Data'!$C$3:$M$578,2,FALSE)</f>
        <v>2453972925.4943657</v>
      </c>
      <c r="AX1891" s="117">
        <f>VLOOKUP($D1891,'WB Data'!$C$3:$M$578,3,FALSE)</f>
        <v>5641182</v>
      </c>
      <c r="AY1891" s="847">
        <f t="shared" si="324"/>
        <v>2.3943939791332301E-3</v>
      </c>
      <c r="AZ1891" s="117">
        <f>VLOOKUP($D1891,'WB Data'!$C$3:$M$578,4,FALSE)/100</f>
        <v>9.0284846804034799E-2</v>
      </c>
      <c r="BA1891" s="117">
        <f t="shared" si="325"/>
        <v>221556569.63950792</v>
      </c>
      <c r="BB1891" s="129">
        <f>IFERROR(VLOOKUP($D1891,'EITI Revenues'!$C$2:$G$224,5,FALSE),"..")</f>
        <v>5875777.9977596682</v>
      </c>
      <c r="BC1891" s="846">
        <f t="shared" si="326"/>
        <v>2.6520441290998852E-2</v>
      </c>
      <c r="BD1891" s="129" t="str">
        <f>VLOOKUP($D1891,'WB Data 2'!$C$2:$K$545,6,FALSE)</f>
        <v>..</v>
      </c>
      <c r="BE1891" s="129">
        <f>IFERROR(VLOOKUP($D1891,UNCTAD!$C$5:$V$529,4,FALSE),"..")</f>
        <v>373932000</v>
      </c>
      <c r="BF1891" s="846" t="str">
        <f t="shared" si="327"/>
        <v>..</v>
      </c>
      <c r="BG1891" s="117">
        <f>VLOOKUP($D1891,'WB Data'!$C$3:$M$578,5,FALSE)</f>
        <v>448260000</v>
      </c>
      <c r="BH1891" s="129">
        <f>IFERROR($BB1891/$BG1891,"..")</f>
        <v>1.3107968584659948E-2</v>
      </c>
      <c r="BI1891" s="117">
        <f>IFERROR(VLOOKUP($D1891,'WB Data'!$C$3:$M$578,7,FALSE)/100,"..")</f>
        <v>2.7774299999999998E-2</v>
      </c>
      <c r="BJ1891" s="117">
        <f>IFERROR($BI1891*$AW1891,"..")</f>
        <v>68157380.22455816</v>
      </c>
      <c r="BK1891" s="846">
        <f>IFERROR($BB1891/$BJ1891,"..")</f>
        <v>8.6208976612668201E-2</v>
      </c>
      <c r="BL1891" s="117">
        <f>IFERROR(VLOOKUP($D1891,'WB Data'!$C$3:$M$578,7,FALSE)/100,"..")</f>
        <v>2.7774299999999998E-2</v>
      </c>
      <c r="BM1891" s="117">
        <f>IFERROR($AW1891*$BL1891,"..")</f>
        <v>68157380.22455816</v>
      </c>
      <c r="BN1891" s="846">
        <f>IFERROR($BB1891/$BM1891,"..")</f>
        <v>8.6208976612668201E-2</v>
      </c>
      <c r="BO1891" s="801">
        <f t="shared" si="323"/>
        <v>31</v>
      </c>
      <c r="BP1891" s="117" t="str">
        <f>VLOOKUP($D1891,'WB Data'!$C$3:$M$578,9,FALSE)</f>
        <v>..</v>
      </c>
      <c r="BQ1891" s="117">
        <f>VLOOKUP($D1891,'WB Data'!$C$3:$M$578,10,FALSE)</f>
        <v>44.501439024390251</v>
      </c>
      <c r="BR1891" s="117">
        <f>VLOOKUP($D1891,'WB Data'!$C$3:$M$578,11,FALSE)</f>
        <v>116.9</v>
      </c>
      <c r="BS1891" s="129" t="str">
        <f>IFERROR(VLOOKUP($D1891,'WB Data 2'!$C$2:$K$545,9,FALSE),"..")</f>
        <v>..</v>
      </c>
      <c r="BT1891" s="129">
        <f>_xlfn.IFNA(VLOOKUP($C1891,RGI!$A$2:$C$43,2,FALSE),"..")</f>
        <v>38.200000000000003</v>
      </c>
      <c r="BU1891" s="129">
        <f>_xlfn.IFNA(VLOOKUP($C1891,RGI!$A$2:$C$43,3,FALSE),"..")</f>
        <v>45.714033330666766</v>
      </c>
      <c r="BV1891" s="129">
        <f>VLOOKUP($D1891,WGI!$C$2:$O$478,7,FALSE)</f>
        <v>-0.26388929326647997</v>
      </c>
      <c r="BW1891" s="129">
        <f>VLOOKUP($D1891,WGI!$C$2:$O$478,4,FALSE)</f>
        <v>-0.29656773131597203</v>
      </c>
      <c r="BX1891" s="129">
        <f>VLOOKUP($D1891,WGI!$C$2:$O$478,3,FALSE)</f>
        <v>-1.2154466944479101</v>
      </c>
      <c r="BY1891" s="129">
        <f>VLOOKUP($D1891,WGI!$C$2:$O$478,5,FALSE)</f>
        <v>-0.77737053623886399</v>
      </c>
      <c r="BZ1891" s="129">
        <f>VLOOKUP($D1891,WGI!$C$2:$O$478,2,FALSE)</f>
        <v>-0.93853103018099204</v>
      </c>
    </row>
    <row r="1892" spans="1:80" ht="15" customHeight="1">
      <c r="A1892" s="280" t="s">
        <v>2228</v>
      </c>
      <c r="B1892" s="117">
        <v>2009</v>
      </c>
      <c r="C1892" s="117" t="s">
        <v>488</v>
      </c>
      <c r="D1892" s="117" t="s">
        <v>3644</v>
      </c>
      <c r="E1892" s="117" t="s">
        <v>86</v>
      </c>
      <c r="F1892" s="117"/>
      <c r="G1892" s="117" t="s">
        <v>55</v>
      </c>
      <c r="H1892" s="117" t="str">
        <f t="shared" si="328"/>
        <v>no</v>
      </c>
      <c r="I1892" s="117" t="str">
        <f t="shared" si="320"/>
        <v>yes</v>
      </c>
      <c r="J1892" s="117" t="str">
        <f t="shared" si="321"/>
        <v>yes</v>
      </c>
      <c r="K1892" s="117" t="s">
        <v>640</v>
      </c>
      <c r="L1892" s="117" t="str">
        <f t="shared" si="329"/>
        <v>Total</v>
      </c>
      <c r="M1892" s="117" t="str">
        <f t="shared" si="322"/>
        <v>Total Oil, Gas</v>
      </c>
      <c r="N1892" s="118"/>
      <c r="O1892" s="118"/>
      <c r="P1892" s="118"/>
      <c r="Q1892" s="118"/>
      <c r="R1892" s="118"/>
      <c r="S1892" s="89"/>
      <c r="T1892" s="119"/>
      <c r="U1892" s="89"/>
      <c r="V1892" s="89"/>
      <c r="W1892" s="89">
        <f>SUM(W1893:W1894)</f>
        <v>0</v>
      </c>
      <c r="X1892" s="89"/>
      <c r="Y1892" s="89"/>
      <c r="Z1892" s="89"/>
      <c r="AA1892" s="177">
        <v>1032767</v>
      </c>
      <c r="AB1892" s="177">
        <v>1032767</v>
      </c>
      <c r="AC1892" s="212" t="s">
        <v>2216</v>
      </c>
      <c r="AD1892" s="177">
        <f>AA1892*1</f>
        <v>1032767</v>
      </c>
      <c r="AE1892" s="212" t="s">
        <v>665</v>
      </c>
      <c r="AF1892" s="213" t="s">
        <v>603</v>
      </c>
      <c r="AG1892" s="89"/>
      <c r="AH1892" s="124"/>
      <c r="AI1892" s="89"/>
      <c r="AJ1892" s="117"/>
      <c r="AK1892" s="89"/>
      <c r="AL1892" s="117"/>
      <c r="AM1892" s="117"/>
      <c r="AN1892" s="117">
        <v>3</v>
      </c>
      <c r="AO1892" s="117" t="s">
        <v>2217</v>
      </c>
      <c r="AP1892" s="117">
        <v>3</v>
      </c>
      <c r="AQ1892" s="117"/>
      <c r="AR1892" s="126"/>
      <c r="AS1892" s="117"/>
      <c r="AT1892" s="117"/>
      <c r="AU1892" s="117" t="s">
        <v>2230</v>
      </c>
      <c r="AV1892" s="128"/>
      <c r="AW1892" s="117">
        <f>VLOOKUP($D1892,'WB Data'!$C$3:$M$578,2,FALSE)</f>
        <v>2453972925.4943657</v>
      </c>
      <c r="AX1892" s="117">
        <f>VLOOKUP($D1892,'WB Data'!$C$3:$M$578,3,FALSE)</f>
        <v>5641182</v>
      </c>
      <c r="AY1892" s="847">
        <f t="shared" si="324"/>
        <v>2.3943939791332301E-3</v>
      </c>
      <c r="AZ1892" s="117">
        <f>VLOOKUP($D1892,'WB Data'!$C$3:$M$578,4,FALSE)/100</f>
        <v>9.0284846804034799E-2</v>
      </c>
      <c r="BA1892" s="117">
        <f t="shared" si="325"/>
        <v>221556569.63950792</v>
      </c>
      <c r="BB1892" s="129">
        <f>IFERROR(VLOOKUP($D1892,'EITI Revenues'!$C$2:$G$224,5,FALSE),"..")</f>
        <v>5875777.9977596682</v>
      </c>
      <c r="BC1892" s="846">
        <f t="shared" si="326"/>
        <v>2.6520441290998852E-2</v>
      </c>
      <c r="BD1892" s="129" t="str">
        <f>VLOOKUP($D1892,'WB Data 2'!$C$2:$K$545,6,FALSE)</f>
        <v>..</v>
      </c>
      <c r="BE1892" s="129">
        <f>IFERROR(VLOOKUP($D1892,UNCTAD!$C$5:$V$529,4,FALSE),"..")</f>
        <v>373932000</v>
      </c>
      <c r="BF1892" s="846" t="str">
        <f t="shared" si="327"/>
        <v>..</v>
      </c>
      <c r="BG1892" s="117">
        <f>VLOOKUP($D1892,'WB Data'!$C$3:$M$578,5,FALSE)</f>
        <v>448260000</v>
      </c>
      <c r="BH1892" s="129">
        <f>IFERROR($BB1892/$BG1892,"..")</f>
        <v>1.3107968584659948E-2</v>
      </c>
      <c r="BI1892" s="117">
        <f>IFERROR(VLOOKUP($D1892,'WB Data'!$C$3:$M$578,7,FALSE)/100,"..")</f>
        <v>2.7774299999999998E-2</v>
      </c>
      <c r="BJ1892" s="117">
        <f>IFERROR($BI1892*$AW1892,"..")</f>
        <v>68157380.22455816</v>
      </c>
      <c r="BK1892" s="846">
        <f>IFERROR($BB1892/$BJ1892,"..")</f>
        <v>8.6208976612668201E-2</v>
      </c>
      <c r="BL1892" s="117">
        <f>IFERROR(VLOOKUP($D1892,'WB Data'!$C$3:$M$578,7,FALSE)/100,"..")</f>
        <v>2.7774299999999998E-2</v>
      </c>
      <c r="BM1892" s="117">
        <f>IFERROR($AW1892*$BL1892,"..")</f>
        <v>68157380.22455816</v>
      </c>
      <c r="BN1892" s="846">
        <f>IFERROR($BB1892/$BM1892,"..")</f>
        <v>8.6208976612668201E-2</v>
      </c>
      <c r="BO1892" s="801">
        <f t="shared" si="323"/>
        <v>31</v>
      </c>
      <c r="BP1892" s="117" t="str">
        <f>VLOOKUP($D1892,'WB Data'!$C$3:$M$578,9,FALSE)</f>
        <v>..</v>
      </c>
      <c r="BQ1892" s="117">
        <f>VLOOKUP($D1892,'WB Data'!$C$3:$M$578,10,FALSE)</f>
        <v>44.501439024390251</v>
      </c>
      <c r="BR1892" s="117">
        <f>VLOOKUP($D1892,'WB Data'!$C$3:$M$578,11,FALSE)</f>
        <v>116.9</v>
      </c>
      <c r="BS1892" s="129" t="str">
        <f>IFERROR(VLOOKUP($D1892,'WB Data 2'!$C$2:$K$545,9,FALSE),"..")</f>
        <v>..</v>
      </c>
      <c r="BT1892" s="129">
        <f>_xlfn.IFNA(VLOOKUP($C1892,RGI!$A$2:$C$43,2,FALSE),"..")</f>
        <v>38.200000000000003</v>
      </c>
      <c r="BU1892" s="129">
        <f>_xlfn.IFNA(VLOOKUP($C1892,RGI!$A$2:$C$43,3,FALSE),"..")</f>
        <v>45.714033330666766</v>
      </c>
      <c r="BV1892" s="129">
        <f>VLOOKUP($D1892,WGI!$C$2:$O$478,7,FALSE)</f>
        <v>-0.26388929326647997</v>
      </c>
      <c r="BW1892" s="129">
        <f>VLOOKUP($D1892,WGI!$C$2:$O$478,4,FALSE)</f>
        <v>-0.29656773131597203</v>
      </c>
      <c r="BX1892" s="129">
        <f>VLOOKUP($D1892,WGI!$C$2:$O$478,3,FALSE)</f>
        <v>-1.2154466944479101</v>
      </c>
      <c r="BY1892" s="129">
        <f>VLOOKUP($D1892,WGI!$C$2:$O$478,5,FALSE)</f>
        <v>-0.77737053623886399</v>
      </c>
      <c r="BZ1892" s="129">
        <f>VLOOKUP($D1892,WGI!$C$2:$O$478,2,FALSE)</f>
        <v>-0.93853103018099204</v>
      </c>
    </row>
    <row r="1893" spans="1:80" ht="15" customHeight="1">
      <c r="A1893" s="280" t="s">
        <v>2228</v>
      </c>
      <c r="B1893" s="117">
        <v>2009</v>
      </c>
      <c r="C1893" s="117" t="s">
        <v>488</v>
      </c>
      <c r="D1893" s="117" t="s">
        <v>3644</v>
      </c>
      <c r="E1893" s="117" t="s">
        <v>86</v>
      </c>
      <c r="F1893" s="117"/>
      <c r="G1893" s="117" t="s">
        <v>561</v>
      </c>
      <c r="H1893" s="117" t="str">
        <f t="shared" si="328"/>
        <v>no</v>
      </c>
      <c r="I1893" s="117" t="str">
        <f t="shared" si="320"/>
        <v>yes</v>
      </c>
      <c r="J1893" s="117" t="str">
        <f t="shared" si="321"/>
        <v>no</v>
      </c>
      <c r="K1893" s="117" t="s">
        <v>561</v>
      </c>
      <c r="L1893" s="117" t="str">
        <f t="shared" si="329"/>
        <v>detailed</v>
      </c>
      <c r="M1893" s="117" t="str">
        <f t="shared" si="322"/>
        <v>detailed Gas</v>
      </c>
      <c r="N1893" s="118">
        <v>0</v>
      </c>
      <c r="O1893" s="118"/>
      <c r="P1893" s="118"/>
      <c r="Q1893" s="118"/>
      <c r="R1893" s="118"/>
      <c r="S1893" s="117" t="s">
        <v>2218</v>
      </c>
      <c r="T1893" s="119"/>
      <c r="U1893" s="89"/>
      <c r="V1893" s="89" t="s">
        <v>2219</v>
      </c>
      <c r="W1893" s="89">
        <f>N1893*T1893</f>
        <v>0</v>
      </c>
      <c r="X1893" s="89"/>
      <c r="Y1893" s="89"/>
      <c r="Z1893" s="89"/>
      <c r="AA1893" s="177"/>
      <c r="AB1893" s="177"/>
      <c r="AC1893" s="122"/>
      <c r="AD1893" s="122"/>
      <c r="AE1893" s="122"/>
      <c r="AF1893" s="123"/>
      <c r="AG1893" s="89"/>
      <c r="AH1893" s="124"/>
      <c r="AI1893" s="117"/>
      <c r="AJ1893" s="117"/>
      <c r="AK1893" s="89"/>
      <c r="AL1893" s="117"/>
      <c r="AM1893" s="117"/>
      <c r="AN1893" s="117"/>
      <c r="AO1893" s="117"/>
      <c r="AP1893" s="117"/>
      <c r="AQ1893" s="117"/>
      <c r="AR1893" s="126"/>
      <c r="AS1893" s="117"/>
      <c r="AT1893" s="117"/>
      <c r="AU1893" s="117"/>
      <c r="AV1893" s="128"/>
      <c r="AW1893" s="117">
        <f>VLOOKUP($D1893,'WB Data'!$C$3:$M$578,2,FALSE)</f>
        <v>2453972925.4943657</v>
      </c>
      <c r="AX1893" s="117">
        <f>VLOOKUP($D1893,'WB Data'!$C$3:$M$578,3,FALSE)</f>
        <v>5641182</v>
      </c>
      <c r="AY1893" s="847">
        <f t="shared" si="324"/>
        <v>2.3943939791332301E-3</v>
      </c>
      <c r="AZ1893" s="117">
        <f>VLOOKUP($D1893,'WB Data'!$C$3:$M$578,4,FALSE)/100</f>
        <v>9.0284846804034799E-2</v>
      </c>
      <c r="BA1893" s="117">
        <f t="shared" si="325"/>
        <v>221556569.63950792</v>
      </c>
      <c r="BB1893" s="129">
        <f>IFERROR(VLOOKUP($D1893,'EITI Revenues'!$C$2:$G$224,5,FALSE),"..")</f>
        <v>5875777.9977596682</v>
      </c>
      <c r="BC1893" s="846">
        <f t="shared" si="326"/>
        <v>2.6520441290998852E-2</v>
      </c>
      <c r="BD1893" s="129" t="str">
        <f>VLOOKUP($D1893,'WB Data 2'!$C$2:$K$545,6,FALSE)</f>
        <v>..</v>
      </c>
      <c r="BE1893" s="129">
        <f>IFERROR(VLOOKUP($D1893,UNCTAD!$C$5:$V$529,4,FALSE),"..")</f>
        <v>373932000</v>
      </c>
      <c r="BF1893" s="846" t="str">
        <f t="shared" si="327"/>
        <v>..</v>
      </c>
      <c r="BG1893" s="117">
        <f>VLOOKUP($D1893,'WB Data'!$C$3:$M$578,5,FALSE)</f>
        <v>448260000</v>
      </c>
      <c r="BH1893" s="129">
        <f>IFERROR($BB1893/$BG1893,"..")</f>
        <v>1.3107968584659948E-2</v>
      </c>
      <c r="BI1893" s="117">
        <f>IFERROR(VLOOKUP($D1893,'WB Data'!$C$3:$M$578,7,FALSE)/100,"..")</f>
        <v>2.7774299999999998E-2</v>
      </c>
      <c r="BJ1893" s="117">
        <f>IFERROR($BI1893*$AW1893,"..")</f>
        <v>68157380.22455816</v>
      </c>
      <c r="BK1893" s="846">
        <f>IFERROR($BB1893/$BJ1893,"..")</f>
        <v>8.6208976612668201E-2</v>
      </c>
      <c r="BL1893" s="117">
        <f>IFERROR(VLOOKUP($D1893,'WB Data'!$C$3:$M$578,7,FALSE)/100,"..")</f>
        <v>2.7774299999999998E-2</v>
      </c>
      <c r="BM1893" s="117">
        <f>IFERROR($AW1893*$BL1893,"..")</f>
        <v>68157380.22455816</v>
      </c>
      <c r="BN1893" s="846">
        <f>IFERROR($BB1893/$BM1893,"..")</f>
        <v>8.6208976612668201E-2</v>
      </c>
      <c r="BO1893" s="801">
        <f t="shared" si="323"/>
        <v>31</v>
      </c>
      <c r="BP1893" s="117" t="str">
        <f>VLOOKUP($D1893,'WB Data'!$C$3:$M$578,9,FALSE)</f>
        <v>..</v>
      </c>
      <c r="BQ1893" s="117">
        <f>VLOOKUP($D1893,'WB Data'!$C$3:$M$578,10,FALSE)</f>
        <v>44.501439024390251</v>
      </c>
      <c r="BR1893" s="117">
        <f>VLOOKUP($D1893,'WB Data'!$C$3:$M$578,11,FALSE)</f>
        <v>116.9</v>
      </c>
      <c r="BS1893" s="129" t="str">
        <f>IFERROR(VLOOKUP($D1893,'WB Data 2'!$C$2:$K$545,9,FALSE),"..")</f>
        <v>..</v>
      </c>
      <c r="BT1893" s="129">
        <f>_xlfn.IFNA(VLOOKUP($C1893,RGI!$A$2:$C$43,2,FALSE),"..")</f>
        <v>38.200000000000003</v>
      </c>
      <c r="BU1893" s="129">
        <f>_xlfn.IFNA(VLOOKUP($C1893,RGI!$A$2:$C$43,3,FALSE),"..")</f>
        <v>45.714033330666766</v>
      </c>
      <c r="BV1893" s="129">
        <f>VLOOKUP($D1893,WGI!$C$2:$O$478,7,FALSE)</f>
        <v>-0.26388929326647997</v>
      </c>
      <c r="BW1893" s="129">
        <f>VLOOKUP($D1893,WGI!$C$2:$O$478,4,FALSE)</f>
        <v>-0.29656773131597203</v>
      </c>
      <c r="BX1893" s="129">
        <f>VLOOKUP($D1893,WGI!$C$2:$O$478,3,FALSE)</f>
        <v>-1.2154466944479101</v>
      </c>
      <c r="BY1893" s="129">
        <f>VLOOKUP($D1893,WGI!$C$2:$O$478,5,FALSE)</f>
        <v>-0.77737053623886399</v>
      </c>
      <c r="BZ1893" s="129">
        <f>VLOOKUP($D1893,WGI!$C$2:$O$478,2,FALSE)</f>
        <v>-0.93853103018099204</v>
      </c>
    </row>
    <row r="1894" spans="1:80" ht="15" customHeight="1">
      <c r="A1894" s="280" t="s">
        <v>2228</v>
      </c>
      <c r="B1894" s="117">
        <v>2009</v>
      </c>
      <c r="C1894" s="117" t="s">
        <v>488</v>
      </c>
      <c r="D1894" s="117" t="s">
        <v>3644</v>
      </c>
      <c r="E1894" s="117" t="s">
        <v>86</v>
      </c>
      <c r="F1894" s="117"/>
      <c r="G1894" s="117" t="s">
        <v>103</v>
      </c>
      <c r="H1894" s="117" t="str">
        <f t="shared" si="328"/>
        <v>no</v>
      </c>
      <c r="I1894" s="117" t="str">
        <f t="shared" si="320"/>
        <v>no</v>
      </c>
      <c r="J1894" s="117" t="str">
        <f t="shared" si="321"/>
        <v>yes</v>
      </c>
      <c r="K1894" s="117" t="s">
        <v>103</v>
      </c>
      <c r="L1894" s="117" t="str">
        <f t="shared" si="329"/>
        <v>detailed</v>
      </c>
      <c r="M1894" s="117" t="str">
        <f t="shared" si="322"/>
        <v>detailed Oil</v>
      </c>
      <c r="N1894" s="118">
        <v>0</v>
      </c>
      <c r="O1894" s="118"/>
      <c r="P1894" s="118"/>
      <c r="Q1894" s="118"/>
      <c r="R1894" s="118"/>
      <c r="S1894" s="117" t="s">
        <v>646</v>
      </c>
      <c r="T1894" s="119"/>
      <c r="U1894" s="89"/>
      <c r="V1894" s="89" t="s">
        <v>2219</v>
      </c>
      <c r="W1894" s="89">
        <f>N1894*T1894</f>
        <v>0</v>
      </c>
      <c r="X1894" s="89"/>
      <c r="Y1894" s="89"/>
      <c r="Z1894" s="89"/>
      <c r="AA1894" s="177"/>
      <c r="AB1894" s="177"/>
      <c r="AC1894" s="122"/>
      <c r="AD1894" s="122"/>
      <c r="AE1894" s="122"/>
      <c r="AF1894" s="123"/>
      <c r="AG1894" s="89"/>
      <c r="AH1894" s="124"/>
      <c r="AI1894" s="117"/>
      <c r="AJ1894" s="117"/>
      <c r="AK1894" s="89"/>
      <c r="AL1894" s="117"/>
      <c r="AM1894" s="117"/>
      <c r="AN1894" s="117"/>
      <c r="AO1894" s="117"/>
      <c r="AP1894" s="117"/>
      <c r="AQ1894" s="117"/>
      <c r="AR1894" s="126"/>
      <c r="AS1894" s="117"/>
      <c r="AT1894" s="117"/>
      <c r="AU1894" s="117"/>
      <c r="AV1894" s="128"/>
      <c r="AW1894" s="117">
        <f>VLOOKUP($D1894,'WB Data'!$C$3:$M$578,2,FALSE)</f>
        <v>2453972925.4943657</v>
      </c>
      <c r="AX1894" s="117">
        <f>VLOOKUP($D1894,'WB Data'!$C$3:$M$578,3,FALSE)</f>
        <v>5641182</v>
      </c>
      <c r="AY1894" s="847">
        <f t="shared" si="324"/>
        <v>2.3943939791332301E-3</v>
      </c>
      <c r="AZ1894" s="117">
        <f>VLOOKUP($D1894,'WB Data'!$C$3:$M$578,4,FALSE)/100</f>
        <v>9.0284846804034799E-2</v>
      </c>
      <c r="BA1894" s="117">
        <f t="shared" si="325"/>
        <v>221556569.63950792</v>
      </c>
      <c r="BB1894" s="129">
        <f>IFERROR(VLOOKUP($D1894,'EITI Revenues'!$C$2:$G$224,5,FALSE),"..")</f>
        <v>5875777.9977596682</v>
      </c>
      <c r="BC1894" s="846">
        <f t="shared" si="326"/>
        <v>2.6520441290998852E-2</v>
      </c>
      <c r="BD1894" s="129" t="str">
        <f>VLOOKUP($D1894,'WB Data 2'!$C$2:$K$545,6,FALSE)</f>
        <v>..</v>
      </c>
      <c r="BE1894" s="129">
        <f>IFERROR(VLOOKUP($D1894,UNCTAD!$C$5:$V$529,4,FALSE),"..")</f>
        <v>373932000</v>
      </c>
      <c r="BF1894" s="846" t="str">
        <f t="shared" si="327"/>
        <v>..</v>
      </c>
      <c r="BG1894" s="117">
        <f>VLOOKUP($D1894,'WB Data'!$C$3:$M$578,5,FALSE)</f>
        <v>448260000</v>
      </c>
      <c r="BH1894" s="129">
        <f>IFERROR($BB1894/$BG1894,"..")</f>
        <v>1.3107968584659948E-2</v>
      </c>
      <c r="BI1894" s="117">
        <f>IFERROR(VLOOKUP($D1894,'WB Data'!$C$3:$M$578,7,FALSE)/100,"..")</f>
        <v>2.7774299999999998E-2</v>
      </c>
      <c r="BJ1894" s="117">
        <f>IFERROR($BI1894*$AW1894,"..")</f>
        <v>68157380.22455816</v>
      </c>
      <c r="BK1894" s="846">
        <f>IFERROR($BB1894/$BJ1894,"..")</f>
        <v>8.6208976612668201E-2</v>
      </c>
      <c r="BL1894" s="117">
        <f>IFERROR(VLOOKUP($D1894,'WB Data'!$C$3:$M$578,7,FALSE)/100,"..")</f>
        <v>2.7774299999999998E-2</v>
      </c>
      <c r="BM1894" s="117">
        <f>IFERROR($AW1894*$BL1894,"..")</f>
        <v>68157380.22455816</v>
      </c>
      <c r="BN1894" s="846">
        <f>IFERROR($BB1894/$BM1894,"..")</f>
        <v>8.6208976612668201E-2</v>
      </c>
      <c r="BO1894" s="801">
        <f t="shared" si="323"/>
        <v>31</v>
      </c>
      <c r="BP1894" s="117" t="str">
        <f>VLOOKUP($D1894,'WB Data'!$C$3:$M$578,9,FALSE)</f>
        <v>..</v>
      </c>
      <c r="BQ1894" s="117">
        <f>VLOOKUP($D1894,'WB Data'!$C$3:$M$578,10,FALSE)</f>
        <v>44.501439024390251</v>
      </c>
      <c r="BR1894" s="117">
        <f>VLOOKUP($D1894,'WB Data'!$C$3:$M$578,11,FALSE)</f>
        <v>116.9</v>
      </c>
      <c r="BS1894" s="129" t="str">
        <f>IFERROR(VLOOKUP($D1894,'WB Data 2'!$C$2:$K$545,9,FALSE),"..")</f>
        <v>..</v>
      </c>
      <c r="BT1894" s="129">
        <f>_xlfn.IFNA(VLOOKUP($C1894,RGI!$A$2:$C$43,2,FALSE),"..")</f>
        <v>38.200000000000003</v>
      </c>
      <c r="BU1894" s="129">
        <f>_xlfn.IFNA(VLOOKUP($C1894,RGI!$A$2:$C$43,3,FALSE),"..")</f>
        <v>45.714033330666766</v>
      </c>
      <c r="BV1894" s="129">
        <f>VLOOKUP($D1894,WGI!$C$2:$O$478,7,FALSE)</f>
        <v>-0.26388929326647997</v>
      </c>
      <c r="BW1894" s="129">
        <f>VLOOKUP($D1894,WGI!$C$2:$O$478,4,FALSE)</f>
        <v>-0.29656773131597203</v>
      </c>
      <c r="BX1894" s="129">
        <f>VLOOKUP($D1894,WGI!$C$2:$O$478,3,FALSE)</f>
        <v>-1.2154466944479101</v>
      </c>
      <c r="BY1894" s="129">
        <f>VLOOKUP($D1894,WGI!$C$2:$O$478,5,FALSE)</f>
        <v>-0.77737053623886399</v>
      </c>
      <c r="BZ1894" s="129">
        <f>VLOOKUP($D1894,WGI!$C$2:$O$478,2,FALSE)</f>
        <v>-0.93853103018099204</v>
      </c>
    </row>
    <row r="1895" spans="1:80" ht="15" customHeight="1">
      <c r="A1895" s="280" t="s">
        <v>2228</v>
      </c>
      <c r="B1895" s="117">
        <v>2009</v>
      </c>
      <c r="C1895" s="117" t="s">
        <v>488</v>
      </c>
      <c r="D1895" s="117" t="s">
        <v>3644</v>
      </c>
      <c r="E1895" s="117" t="s">
        <v>86</v>
      </c>
      <c r="F1895" s="117"/>
      <c r="G1895" s="117" t="s">
        <v>24</v>
      </c>
      <c r="H1895" s="117" t="str">
        <f t="shared" si="328"/>
        <v>yes</v>
      </c>
      <c r="I1895" s="117" t="str">
        <f t="shared" si="320"/>
        <v>no</v>
      </c>
      <c r="J1895" s="117" t="str">
        <f t="shared" si="321"/>
        <v>no</v>
      </c>
      <c r="K1895" s="117" t="s">
        <v>600</v>
      </c>
      <c r="L1895" s="117" t="str">
        <f t="shared" si="329"/>
        <v>Total</v>
      </c>
      <c r="M1895" s="117" t="str">
        <f t="shared" si="322"/>
        <v>Total Mining</v>
      </c>
      <c r="N1895" s="118"/>
      <c r="O1895" s="118"/>
      <c r="P1895" s="118"/>
      <c r="Q1895" s="118"/>
      <c r="R1895" s="118"/>
      <c r="S1895" s="117"/>
      <c r="T1895" s="119"/>
      <c r="U1895" s="117"/>
      <c r="V1895" s="117"/>
      <c r="W1895" s="89">
        <f>SUM(W1896:W1903)-SUM(W1901:W1903)</f>
        <v>145767005.57944161</v>
      </c>
      <c r="X1895" s="117"/>
      <c r="Y1895" s="117"/>
      <c r="Z1895" s="117"/>
      <c r="AA1895" s="177">
        <v>4843010.9977596682</v>
      </c>
      <c r="AB1895" s="177">
        <v>5058526.3647605022</v>
      </c>
      <c r="AC1895" s="122"/>
      <c r="AD1895" s="122"/>
      <c r="AE1895" s="122"/>
      <c r="AF1895" s="123">
        <f>AA1895/W1895</f>
        <v>3.3224329322730541E-2</v>
      </c>
      <c r="AG1895" s="117"/>
      <c r="AH1895" s="124"/>
      <c r="AI1895" s="117"/>
      <c r="AJ1895" s="117"/>
      <c r="AK1895" s="89"/>
      <c r="AL1895" s="117"/>
      <c r="AM1895" s="117"/>
      <c r="AN1895" s="117">
        <v>10</v>
      </c>
      <c r="AO1895" s="117" t="s">
        <v>2232</v>
      </c>
      <c r="AP1895" s="117">
        <v>9</v>
      </c>
      <c r="AQ1895" s="117"/>
      <c r="AR1895" s="126"/>
      <c r="AS1895" s="117"/>
      <c r="AT1895" s="117"/>
      <c r="AU1895" s="117" t="s">
        <v>2230</v>
      </c>
      <c r="AV1895" s="128"/>
      <c r="AW1895" s="117">
        <f>VLOOKUP($D1895,'WB Data'!$C$3:$M$578,2,FALSE)</f>
        <v>2453972925.4943657</v>
      </c>
      <c r="AX1895" s="117">
        <f>VLOOKUP($D1895,'WB Data'!$C$3:$M$578,3,FALSE)</f>
        <v>5641182</v>
      </c>
      <c r="AY1895" s="847">
        <f t="shared" si="324"/>
        <v>2.3943939791332301E-3</v>
      </c>
      <c r="AZ1895" s="117">
        <f>VLOOKUP($D1895,'WB Data'!$C$3:$M$578,4,FALSE)/100</f>
        <v>9.0284846804034799E-2</v>
      </c>
      <c r="BA1895" s="117">
        <f t="shared" si="325"/>
        <v>221556569.63950792</v>
      </c>
      <c r="BB1895" s="129">
        <f>IFERROR(VLOOKUP($D1895,'EITI Revenues'!$C$2:$G$224,5,FALSE),"..")</f>
        <v>5875777.9977596682</v>
      </c>
      <c r="BC1895" s="846">
        <f t="shared" si="326"/>
        <v>2.6520441290998852E-2</v>
      </c>
      <c r="BD1895" s="129" t="str">
        <f>VLOOKUP($D1895,'WB Data 2'!$C$2:$K$545,6,FALSE)</f>
        <v>..</v>
      </c>
      <c r="BE1895" s="129">
        <f>IFERROR(VLOOKUP($D1895,UNCTAD!$C$5:$V$529,4,FALSE),"..")</f>
        <v>373932000</v>
      </c>
      <c r="BF1895" s="846" t="str">
        <f t="shared" si="327"/>
        <v>..</v>
      </c>
      <c r="BG1895" s="117">
        <f>VLOOKUP($D1895,'WB Data'!$C$3:$M$578,5,FALSE)</f>
        <v>448260000</v>
      </c>
      <c r="BH1895" s="129">
        <f>IFERROR($BB1895/$BG1895,"..")</f>
        <v>1.3107968584659948E-2</v>
      </c>
      <c r="BI1895" s="117">
        <f>IFERROR(VLOOKUP($D1895,'WB Data'!$C$3:$M$578,7,FALSE)/100,"..")</f>
        <v>2.7774299999999998E-2</v>
      </c>
      <c r="BJ1895" s="117">
        <f>IFERROR($BI1895*$AW1895,"..")</f>
        <v>68157380.22455816</v>
      </c>
      <c r="BK1895" s="846">
        <f>IFERROR($BB1895/$BJ1895,"..")</f>
        <v>8.6208976612668201E-2</v>
      </c>
      <c r="BL1895" s="117">
        <f>IFERROR(VLOOKUP($D1895,'WB Data'!$C$3:$M$578,7,FALSE)/100,"..")</f>
        <v>2.7774299999999998E-2</v>
      </c>
      <c r="BM1895" s="117">
        <f>IFERROR($AW1895*$BL1895,"..")</f>
        <v>68157380.22455816</v>
      </c>
      <c r="BN1895" s="846">
        <f>IFERROR($BB1895/$BM1895,"..")</f>
        <v>8.6208976612668201E-2</v>
      </c>
      <c r="BO1895" s="801">
        <f t="shared" si="323"/>
        <v>31</v>
      </c>
      <c r="BP1895" s="117" t="str">
        <f>VLOOKUP($D1895,'WB Data'!$C$3:$M$578,9,FALSE)</f>
        <v>..</v>
      </c>
      <c r="BQ1895" s="117">
        <f>VLOOKUP($D1895,'WB Data'!$C$3:$M$578,10,FALSE)</f>
        <v>44.501439024390251</v>
      </c>
      <c r="BR1895" s="117">
        <f>VLOOKUP($D1895,'WB Data'!$C$3:$M$578,11,FALSE)</f>
        <v>116.9</v>
      </c>
      <c r="BS1895" s="129" t="str">
        <f>IFERROR(VLOOKUP($D1895,'WB Data 2'!$C$2:$K$545,9,FALSE),"..")</f>
        <v>..</v>
      </c>
      <c r="BT1895" s="129">
        <f>_xlfn.IFNA(VLOOKUP($C1895,RGI!$A$2:$C$43,2,FALSE),"..")</f>
        <v>38.200000000000003</v>
      </c>
      <c r="BU1895" s="129">
        <f>_xlfn.IFNA(VLOOKUP($C1895,RGI!$A$2:$C$43,3,FALSE),"..")</f>
        <v>45.714033330666766</v>
      </c>
      <c r="BV1895" s="129">
        <f>VLOOKUP($D1895,WGI!$C$2:$O$478,7,FALSE)</f>
        <v>-0.26388929326647997</v>
      </c>
      <c r="BW1895" s="129">
        <f>VLOOKUP($D1895,WGI!$C$2:$O$478,4,FALSE)</f>
        <v>-0.29656773131597203</v>
      </c>
      <c r="BX1895" s="129">
        <f>VLOOKUP($D1895,WGI!$C$2:$O$478,3,FALSE)</f>
        <v>-1.2154466944479101</v>
      </c>
      <c r="BY1895" s="129">
        <f>VLOOKUP($D1895,WGI!$C$2:$O$478,5,FALSE)</f>
        <v>-0.77737053623886399</v>
      </c>
      <c r="BZ1895" s="129">
        <f>VLOOKUP($D1895,WGI!$C$2:$O$478,2,FALSE)</f>
        <v>-0.93853103018099204</v>
      </c>
    </row>
    <row r="1896" spans="1:80" ht="15" customHeight="1">
      <c r="A1896" s="280" t="s">
        <v>2228</v>
      </c>
      <c r="B1896" s="117">
        <v>2009</v>
      </c>
      <c r="C1896" s="117" t="s">
        <v>488</v>
      </c>
      <c r="D1896" s="117" t="s">
        <v>3644</v>
      </c>
      <c r="E1896" s="117" t="s">
        <v>86</v>
      </c>
      <c r="F1896" s="117"/>
      <c r="G1896" s="117" t="s">
        <v>24</v>
      </c>
      <c r="H1896" s="117" t="str">
        <f t="shared" si="328"/>
        <v>yes</v>
      </c>
      <c r="I1896" s="117" t="str">
        <f t="shared" si="320"/>
        <v>no</v>
      </c>
      <c r="J1896" s="117" t="str">
        <f t="shared" si="321"/>
        <v>no</v>
      </c>
      <c r="K1896" s="117" t="s">
        <v>1138</v>
      </c>
      <c r="L1896" s="117" t="str">
        <f t="shared" si="329"/>
        <v>detailed</v>
      </c>
      <c r="M1896" s="117" t="str">
        <f t="shared" si="322"/>
        <v>detailed Mining</v>
      </c>
      <c r="N1896" s="118">
        <v>757000</v>
      </c>
      <c r="O1896" s="118"/>
      <c r="P1896" s="118"/>
      <c r="Q1896" s="118"/>
      <c r="R1896" s="118"/>
      <c r="S1896" s="117" t="s">
        <v>610</v>
      </c>
      <c r="T1896" s="119">
        <v>29.8</v>
      </c>
      <c r="U1896" s="117" t="s">
        <v>611</v>
      </c>
      <c r="V1896" s="117" t="s">
        <v>1319</v>
      </c>
      <c r="W1896" s="89">
        <f>N1896*T1896</f>
        <v>22558600</v>
      </c>
      <c r="X1896" s="117"/>
      <c r="Y1896" s="89"/>
      <c r="Z1896" s="89"/>
      <c r="AA1896" s="177">
        <v>388273.5833878672</v>
      </c>
      <c r="AB1896" s="177">
        <v>781583.39067033026</v>
      </c>
      <c r="AC1896" s="122"/>
      <c r="AD1896" s="122"/>
      <c r="AE1896" s="122"/>
      <c r="AF1896" s="123">
        <f>AA1896/W1896</f>
        <v>1.7211776590208044E-2</v>
      </c>
      <c r="AG1896" s="89"/>
      <c r="AH1896" s="124"/>
      <c r="AI1896" s="117"/>
      <c r="AJ1896" s="89"/>
      <c r="AK1896" s="89"/>
      <c r="AL1896" s="117"/>
      <c r="AM1896" s="117"/>
      <c r="AN1896" s="117">
        <v>1</v>
      </c>
      <c r="AO1896" s="117" t="s">
        <v>2222</v>
      </c>
      <c r="AP1896" s="117">
        <v>1</v>
      </c>
      <c r="AQ1896" s="117"/>
      <c r="AR1896" s="117"/>
      <c r="AS1896" s="117"/>
      <c r="AT1896" s="117"/>
      <c r="AU1896" s="117" t="s">
        <v>2230</v>
      </c>
      <c r="AV1896" s="128"/>
      <c r="AW1896" s="117">
        <f>VLOOKUP($D1896,'WB Data'!$C$3:$M$578,2,FALSE)</f>
        <v>2453972925.4943657</v>
      </c>
      <c r="AX1896" s="117">
        <f>VLOOKUP($D1896,'WB Data'!$C$3:$M$578,3,FALSE)</f>
        <v>5641182</v>
      </c>
      <c r="AY1896" s="847">
        <f t="shared" si="324"/>
        <v>2.3943939791332301E-3</v>
      </c>
      <c r="AZ1896" s="117">
        <f>VLOOKUP($D1896,'WB Data'!$C$3:$M$578,4,FALSE)/100</f>
        <v>9.0284846804034799E-2</v>
      </c>
      <c r="BA1896" s="117">
        <f t="shared" si="325"/>
        <v>221556569.63950792</v>
      </c>
      <c r="BB1896" s="129">
        <f>IFERROR(VLOOKUP($D1896,'EITI Revenues'!$C$2:$G$224,5,FALSE),"..")</f>
        <v>5875777.9977596682</v>
      </c>
      <c r="BC1896" s="846">
        <f t="shared" si="326"/>
        <v>2.6520441290998852E-2</v>
      </c>
      <c r="BD1896" s="129" t="str">
        <f>VLOOKUP($D1896,'WB Data 2'!$C$2:$K$545,6,FALSE)</f>
        <v>..</v>
      </c>
      <c r="BE1896" s="129">
        <f>IFERROR(VLOOKUP($D1896,UNCTAD!$C$5:$V$529,4,FALSE),"..")</f>
        <v>373932000</v>
      </c>
      <c r="BF1896" s="846" t="str">
        <f t="shared" si="327"/>
        <v>..</v>
      </c>
      <c r="BG1896" s="117">
        <f>VLOOKUP($D1896,'WB Data'!$C$3:$M$578,5,FALSE)</f>
        <v>448260000</v>
      </c>
      <c r="BH1896" s="129">
        <f>IFERROR($BB1896/$BG1896,"..")</f>
        <v>1.3107968584659948E-2</v>
      </c>
      <c r="BI1896" s="117">
        <f>IFERROR(VLOOKUP($D1896,'WB Data'!$C$3:$M$578,7,FALSE)/100,"..")</f>
        <v>2.7774299999999998E-2</v>
      </c>
      <c r="BJ1896" s="117">
        <f>IFERROR($BI1896*$AW1896,"..")</f>
        <v>68157380.22455816</v>
      </c>
      <c r="BK1896" s="846">
        <f>IFERROR($BB1896/$BJ1896,"..")</f>
        <v>8.6208976612668201E-2</v>
      </c>
      <c r="BL1896" s="117">
        <f>IFERROR(VLOOKUP($D1896,'WB Data'!$C$3:$M$578,7,FALSE)/100,"..")</f>
        <v>2.7774299999999998E-2</v>
      </c>
      <c r="BM1896" s="117">
        <f>IFERROR($AW1896*$BL1896,"..")</f>
        <v>68157380.22455816</v>
      </c>
      <c r="BN1896" s="846">
        <f>IFERROR($BB1896/$BM1896,"..")</f>
        <v>8.6208976612668201E-2</v>
      </c>
      <c r="BO1896" s="801">
        <f t="shared" si="323"/>
        <v>31</v>
      </c>
      <c r="BP1896" s="117" t="str">
        <f>VLOOKUP($D1896,'WB Data'!$C$3:$M$578,9,FALSE)</f>
        <v>..</v>
      </c>
      <c r="BQ1896" s="117">
        <f>VLOOKUP($D1896,'WB Data'!$C$3:$M$578,10,FALSE)</f>
        <v>44.501439024390251</v>
      </c>
      <c r="BR1896" s="117">
        <f>VLOOKUP($D1896,'WB Data'!$C$3:$M$578,11,FALSE)</f>
        <v>116.9</v>
      </c>
      <c r="BS1896" s="129" t="str">
        <f>IFERROR(VLOOKUP($D1896,'WB Data 2'!$C$2:$K$545,9,FALSE),"..")</f>
        <v>..</v>
      </c>
      <c r="BT1896" s="129">
        <f>_xlfn.IFNA(VLOOKUP($C1896,RGI!$A$2:$C$43,2,FALSE),"..")</f>
        <v>38.200000000000003</v>
      </c>
      <c r="BU1896" s="129">
        <f>_xlfn.IFNA(VLOOKUP($C1896,RGI!$A$2:$C$43,3,FALSE),"..")</f>
        <v>45.714033330666766</v>
      </c>
      <c r="BV1896" s="129">
        <f>VLOOKUP($D1896,WGI!$C$2:$O$478,7,FALSE)</f>
        <v>-0.26388929326647997</v>
      </c>
      <c r="BW1896" s="129">
        <f>VLOOKUP($D1896,WGI!$C$2:$O$478,4,FALSE)</f>
        <v>-0.29656773131597203</v>
      </c>
      <c r="BX1896" s="129">
        <f>VLOOKUP($D1896,WGI!$C$2:$O$478,3,FALSE)</f>
        <v>-1.2154466944479101</v>
      </c>
      <c r="BY1896" s="129">
        <f>VLOOKUP($D1896,WGI!$C$2:$O$478,5,FALSE)</f>
        <v>-0.77737053623886399</v>
      </c>
      <c r="BZ1896" s="129">
        <f>VLOOKUP($D1896,WGI!$C$2:$O$478,2,FALSE)</f>
        <v>-0.93853103018099204</v>
      </c>
    </row>
    <row r="1897" spans="1:80" ht="15" customHeight="1">
      <c r="A1897" s="280" t="s">
        <v>2228</v>
      </c>
      <c r="B1897" s="117">
        <v>2009</v>
      </c>
      <c r="C1897" s="117" t="s">
        <v>488</v>
      </c>
      <c r="D1897" s="117" t="s">
        <v>3644</v>
      </c>
      <c r="E1897" s="117" t="s">
        <v>86</v>
      </c>
      <c r="F1897" s="117"/>
      <c r="G1897" s="117" t="s">
        <v>24</v>
      </c>
      <c r="H1897" s="117" t="str">
        <f t="shared" si="328"/>
        <v>yes</v>
      </c>
      <c r="I1897" s="117" t="str">
        <f t="shared" si="320"/>
        <v>no</v>
      </c>
      <c r="J1897" s="117" t="str">
        <f t="shared" si="321"/>
        <v>no</v>
      </c>
      <c r="K1897" s="117" t="s">
        <v>980</v>
      </c>
      <c r="L1897" s="117" t="str">
        <f t="shared" si="329"/>
        <v>detailed</v>
      </c>
      <c r="M1897" s="117" t="str">
        <f t="shared" si="322"/>
        <v>detailed Mining</v>
      </c>
      <c r="N1897" s="118">
        <v>400843</v>
      </c>
      <c r="O1897" s="118"/>
      <c r="P1897" s="118"/>
      <c r="Q1897" s="118"/>
      <c r="R1897" s="118"/>
      <c r="S1897" s="117" t="s">
        <v>981</v>
      </c>
      <c r="T1897" s="119">
        <v>195.65</v>
      </c>
      <c r="U1897" s="89" t="s">
        <v>982</v>
      </c>
      <c r="V1897" s="117" t="s">
        <v>2233</v>
      </c>
      <c r="W1897" s="89">
        <f>N1897*T1897</f>
        <v>78424932.950000003</v>
      </c>
      <c r="X1897" s="89"/>
      <c r="Y1897" s="89"/>
      <c r="Z1897" s="89"/>
      <c r="AA1897" s="177">
        <v>1832306.5898445409</v>
      </c>
      <c r="AB1897" s="177">
        <v>2057580.1560110589</v>
      </c>
      <c r="AC1897" s="122"/>
      <c r="AD1897" s="122"/>
      <c r="AE1897" s="122"/>
      <c r="AF1897" s="123">
        <f>AA1897/W1897</f>
        <v>2.3363827304930338E-2</v>
      </c>
      <c r="AG1897" s="89"/>
      <c r="AH1897" s="124"/>
      <c r="AI1897" s="117"/>
      <c r="AJ1897" s="89"/>
      <c r="AK1897" s="89"/>
      <c r="AL1897" s="117"/>
      <c r="AM1897" s="117"/>
      <c r="AN1897" s="117">
        <v>3</v>
      </c>
      <c r="AO1897" s="117" t="s">
        <v>2224</v>
      </c>
      <c r="AP1897" s="117">
        <v>3</v>
      </c>
      <c r="AQ1897" s="117"/>
      <c r="AR1897" s="117"/>
      <c r="AS1897" s="117"/>
      <c r="AT1897" s="117"/>
      <c r="AU1897" s="117" t="s">
        <v>2230</v>
      </c>
      <c r="AV1897" s="128"/>
      <c r="AW1897" s="117">
        <f>VLOOKUP($D1897,'WB Data'!$C$3:$M$578,2,FALSE)</f>
        <v>2453972925.4943657</v>
      </c>
      <c r="AX1897" s="117">
        <f>VLOOKUP($D1897,'WB Data'!$C$3:$M$578,3,FALSE)</f>
        <v>5641182</v>
      </c>
      <c r="AY1897" s="847">
        <f t="shared" si="324"/>
        <v>2.3943939791332301E-3</v>
      </c>
      <c r="AZ1897" s="117">
        <f>VLOOKUP($D1897,'WB Data'!$C$3:$M$578,4,FALSE)/100</f>
        <v>9.0284846804034799E-2</v>
      </c>
      <c r="BA1897" s="117">
        <f t="shared" si="325"/>
        <v>221556569.63950792</v>
      </c>
      <c r="BB1897" s="129">
        <f>IFERROR(VLOOKUP($D1897,'EITI Revenues'!$C$2:$G$224,5,FALSE),"..")</f>
        <v>5875777.9977596682</v>
      </c>
      <c r="BC1897" s="846">
        <f t="shared" si="326"/>
        <v>2.6520441290998852E-2</v>
      </c>
      <c r="BD1897" s="129" t="str">
        <f>VLOOKUP($D1897,'WB Data 2'!$C$2:$K$545,6,FALSE)</f>
        <v>..</v>
      </c>
      <c r="BE1897" s="129">
        <f>IFERROR(VLOOKUP($D1897,UNCTAD!$C$5:$V$529,4,FALSE),"..")</f>
        <v>373932000</v>
      </c>
      <c r="BF1897" s="846" t="str">
        <f t="shared" si="327"/>
        <v>..</v>
      </c>
      <c r="BG1897" s="117">
        <f>VLOOKUP($D1897,'WB Data'!$C$3:$M$578,5,FALSE)</f>
        <v>448260000</v>
      </c>
      <c r="BH1897" s="129">
        <f>IFERROR($BB1897/$BG1897,"..")</f>
        <v>1.3107968584659948E-2</v>
      </c>
      <c r="BI1897" s="117">
        <f>IFERROR(VLOOKUP($D1897,'WB Data'!$C$3:$M$578,7,FALSE)/100,"..")</f>
        <v>2.7774299999999998E-2</v>
      </c>
      <c r="BJ1897" s="117">
        <f>IFERROR($BI1897*$AW1897,"..")</f>
        <v>68157380.22455816</v>
      </c>
      <c r="BK1897" s="846">
        <f>IFERROR($BB1897/$BJ1897,"..")</f>
        <v>8.6208976612668201E-2</v>
      </c>
      <c r="BL1897" s="117">
        <f>IFERROR(VLOOKUP($D1897,'WB Data'!$C$3:$M$578,7,FALSE)/100,"..")</f>
        <v>2.7774299999999998E-2</v>
      </c>
      <c r="BM1897" s="117">
        <f>IFERROR($AW1897*$BL1897,"..")</f>
        <v>68157380.22455816</v>
      </c>
      <c r="BN1897" s="846">
        <f>IFERROR($BB1897/$BM1897,"..")</f>
        <v>8.6208976612668201E-2</v>
      </c>
      <c r="BO1897" s="801">
        <f t="shared" si="323"/>
        <v>31</v>
      </c>
      <c r="BP1897" s="117" t="str">
        <f>VLOOKUP($D1897,'WB Data'!$C$3:$M$578,9,FALSE)</f>
        <v>..</v>
      </c>
      <c r="BQ1897" s="117">
        <f>VLOOKUP($D1897,'WB Data'!$C$3:$M$578,10,FALSE)</f>
        <v>44.501439024390251</v>
      </c>
      <c r="BR1897" s="117">
        <f>VLOOKUP($D1897,'WB Data'!$C$3:$M$578,11,FALSE)</f>
        <v>116.9</v>
      </c>
      <c r="BS1897" s="129" t="str">
        <f>IFERROR(VLOOKUP($D1897,'WB Data 2'!$C$2:$K$545,9,FALSE),"..")</f>
        <v>..</v>
      </c>
      <c r="BT1897" s="129">
        <f>_xlfn.IFNA(VLOOKUP($C1897,RGI!$A$2:$C$43,2,FALSE),"..")</f>
        <v>38.200000000000003</v>
      </c>
      <c r="BU1897" s="129">
        <f>_xlfn.IFNA(VLOOKUP($C1897,RGI!$A$2:$C$43,3,FALSE),"..")</f>
        <v>45.714033330666766</v>
      </c>
      <c r="BV1897" s="129">
        <f>VLOOKUP($D1897,WGI!$C$2:$O$478,7,FALSE)</f>
        <v>-0.26388929326647997</v>
      </c>
      <c r="BW1897" s="129">
        <f>VLOOKUP($D1897,WGI!$C$2:$O$478,4,FALSE)</f>
        <v>-0.29656773131597203</v>
      </c>
      <c r="BX1897" s="129">
        <f>VLOOKUP($D1897,WGI!$C$2:$O$478,3,FALSE)</f>
        <v>-1.2154466944479101</v>
      </c>
      <c r="BY1897" s="129">
        <f>VLOOKUP($D1897,WGI!$C$2:$O$478,5,FALSE)</f>
        <v>-0.77737053623886399</v>
      </c>
      <c r="BZ1897" s="129">
        <f>VLOOKUP($D1897,WGI!$C$2:$O$478,2,FALSE)</f>
        <v>-0.93853103018099204</v>
      </c>
    </row>
    <row r="1898" spans="1:80" ht="15" customHeight="1">
      <c r="A1898" s="280" t="s">
        <v>2228</v>
      </c>
      <c r="B1898" s="117">
        <v>2009</v>
      </c>
      <c r="C1898" s="117" t="s">
        <v>488</v>
      </c>
      <c r="D1898" s="117" t="s">
        <v>3644</v>
      </c>
      <c r="E1898" s="117" t="s">
        <v>86</v>
      </c>
      <c r="F1898" s="117"/>
      <c r="G1898" s="117" t="s">
        <v>24</v>
      </c>
      <c r="H1898" s="117" t="str">
        <f t="shared" si="328"/>
        <v>yes</v>
      </c>
      <c r="I1898" s="117" t="str">
        <f t="shared" si="320"/>
        <v>no</v>
      </c>
      <c r="J1898" s="117" t="str">
        <f t="shared" si="321"/>
        <v>no</v>
      </c>
      <c r="K1898" s="117" t="s">
        <v>784</v>
      </c>
      <c r="L1898" s="117" t="str">
        <f t="shared" si="329"/>
        <v>detailed</v>
      </c>
      <c r="M1898" s="117" t="str">
        <f t="shared" si="322"/>
        <v>detailed Mining</v>
      </c>
      <c r="N1898" s="118">
        <f>157*32.1507431265</f>
        <v>5047.6666708604998</v>
      </c>
      <c r="O1898" s="118"/>
      <c r="P1898" s="118"/>
      <c r="Q1898" s="118"/>
      <c r="R1898" s="118"/>
      <c r="S1898" s="117" t="s">
        <v>785</v>
      </c>
      <c r="T1898" s="119">
        <v>972.96591666666995</v>
      </c>
      <c r="U1898" s="117" t="s">
        <v>786</v>
      </c>
      <c r="V1898" s="117" t="s">
        <v>787</v>
      </c>
      <c r="W1898" s="89">
        <f>N1898*T1898</f>
        <v>4911207.6294415845</v>
      </c>
      <c r="X1898" s="117"/>
      <c r="Y1898" s="89"/>
      <c r="Z1898" s="89"/>
      <c r="AA1898" s="177">
        <v>421054.85508188611</v>
      </c>
      <c r="AB1898" s="177">
        <v>276000</v>
      </c>
      <c r="AC1898" s="122"/>
      <c r="AD1898" s="122"/>
      <c r="AE1898" s="122"/>
      <c r="AF1898" s="123">
        <f>AA1898/W1898</f>
        <v>8.5733466562838229E-2</v>
      </c>
      <c r="AG1898" s="89"/>
      <c r="AH1898" s="124"/>
      <c r="AI1898" s="117"/>
      <c r="AJ1898" s="89"/>
      <c r="AK1898" s="89"/>
      <c r="AL1898" s="117"/>
      <c r="AM1898" s="117"/>
      <c r="AN1898" s="117">
        <v>3</v>
      </c>
      <c r="AO1898" s="117" t="s">
        <v>2234</v>
      </c>
      <c r="AP1898" s="117">
        <v>2</v>
      </c>
      <c r="AQ1898" s="117"/>
      <c r="AR1898" s="117"/>
      <c r="AS1898" s="117"/>
      <c r="AT1898" s="117"/>
      <c r="AU1898" s="117" t="s">
        <v>2230</v>
      </c>
      <c r="AV1898" s="128"/>
      <c r="AW1898" s="117">
        <f>VLOOKUP($D1898,'WB Data'!$C$3:$M$578,2,FALSE)</f>
        <v>2453972925.4943657</v>
      </c>
      <c r="AX1898" s="117">
        <f>VLOOKUP($D1898,'WB Data'!$C$3:$M$578,3,FALSE)</f>
        <v>5641182</v>
      </c>
      <c r="AY1898" s="847">
        <f t="shared" si="324"/>
        <v>2.3943939791332301E-3</v>
      </c>
      <c r="AZ1898" s="117">
        <f>VLOOKUP($D1898,'WB Data'!$C$3:$M$578,4,FALSE)/100</f>
        <v>9.0284846804034799E-2</v>
      </c>
      <c r="BA1898" s="117">
        <f t="shared" si="325"/>
        <v>221556569.63950792</v>
      </c>
      <c r="BB1898" s="129">
        <f>IFERROR(VLOOKUP($D1898,'EITI Revenues'!$C$2:$G$224,5,FALSE),"..")</f>
        <v>5875777.9977596682</v>
      </c>
      <c r="BC1898" s="846">
        <f t="shared" si="326"/>
        <v>2.6520441290998852E-2</v>
      </c>
      <c r="BD1898" s="129" t="str">
        <f>VLOOKUP($D1898,'WB Data 2'!$C$2:$K$545,6,FALSE)</f>
        <v>..</v>
      </c>
      <c r="BE1898" s="129">
        <f>IFERROR(VLOOKUP($D1898,UNCTAD!$C$5:$V$529,4,FALSE),"..")</f>
        <v>373932000</v>
      </c>
      <c r="BF1898" s="846" t="str">
        <f t="shared" si="327"/>
        <v>..</v>
      </c>
      <c r="BG1898" s="117">
        <f>VLOOKUP($D1898,'WB Data'!$C$3:$M$578,5,FALSE)</f>
        <v>448260000</v>
      </c>
      <c r="BH1898" s="129">
        <f>IFERROR($BB1898/$BG1898,"..")</f>
        <v>1.3107968584659948E-2</v>
      </c>
      <c r="BI1898" s="117">
        <f>IFERROR(VLOOKUP($D1898,'WB Data'!$C$3:$M$578,7,FALSE)/100,"..")</f>
        <v>2.7774299999999998E-2</v>
      </c>
      <c r="BJ1898" s="117">
        <f>IFERROR($BI1898*$AW1898,"..")</f>
        <v>68157380.22455816</v>
      </c>
      <c r="BK1898" s="846">
        <f>IFERROR($BB1898/$BJ1898,"..")</f>
        <v>8.6208976612668201E-2</v>
      </c>
      <c r="BL1898" s="117">
        <f>IFERROR(VLOOKUP($D1898,'WB Data'!$C$3:$M$578,7,FALSE)/100,"..")</f>
        <v>2.7774299999999998E-2</v>
      </c>
      <c r="BM1898" s="117">
        <f>IFERROR($AW1898*$BL1898,"..")</f>
        <v>68157380.22455816</v>
      </c>
      <c r="BN1898" s="846">
        <f>IFERROR($BB1898/$BM1898,"..")</f>
        <v>8.6208976612668201E-2</v>
      </c>
      <c r="BO1898" s="801">
        <f t="shared" si="323"/>
        <v>31</v>
      </c>
      <c r="BP1898" s="117" t="str">
        <f>VLOOKUP($D1898,'WB Data'!$C$3:$M$578,9,FALSE)</f>
        <v>..</v>
      </c>
      <c r="BQ1898" s="117">
        <f>VLOOKUP($D1898,'WB Data'!$C$3:$M$578,10,FALSE)</f>
        <v>44.501439024390251</v>
      </c>
      <c r="BR1898" s="117">
        <f>VLOOKUP($D1898,'WB Data'!$C$3:$M$578,11,FALSE)</f>
        <v>116.9</v>
      </c>
      <c r="BS1898" s="129" t="str">
        <f>IFERROR(VLOOKUP($D1898,'WB Data 2'!$C$2:$K$545,9,FALSE),"..")</f>
        <v>..</v>
      </c>
      <c r="BT1898" s="129">
        <f>_xlfn.IFNA(VLOOKUP($C1898,RGI!$A$2:$C$43,2,FALSE),"..")</f>
        <v>38.200000000000003</v>
      </c>
      <c r="BU1898" s="129">
        <f>_xlfn.IFNA(VLOOKUP($C1898,RGI!$A$2:$C$43,3,FALSE),"..")</f>
        <v>45.714033330666766</v>
      </c>
      <c r="BV1898" s="129">
        <f>VLOOKUP($D1898,WGI!$C$2:$O$478,7,FALSE)</f>
        <v>-0.26388929326647997</v>
      </c>
      <c r="BW1898" s="129">
        <f>VLOOKUP($D1898,WGI!$C$2:$O$478,4,FALSE)</f>
        <v>-0.29656773131597203</v>
      </c>
      <c r="BX1898" s="129">
        <f>VLOOKUP($D1898,WGI!$C$2:$O$478,3,FALSE)</f>
        <v>-1.2154466944479101</v>
      </c>
      <c r="BY1898" s="129">
        <f>VLOOKUP($D1898,WGI!$C$2:$O$478,5,FALSE)</f>
        <v>-0.77737053623886399</v>
      </c>
      <c r="BZ1898" s="129">
        <f>VLOOKUP($D1898,WGI!$C$2:$O$478,2,FALSE)</f>
        <v>-0.93853103018099204</v>
      </c>
    </row>
    <row r="1899" spans="1:80" ht="15" customHeight="1">
      <c r="A1899" s="280" t="s">
        <v>2228</v>
      </c>
      <c r="B1899" s="117">
        <v>2009</v>
      </c>
      <c r="C1899" s="117" t="s">
        <v>488</v>
      </c>
      <c r="D1899" s="117" t="s">
        <v>3644</v>
      </c>
      <c r="E1899" s="117" t="s">
        <v>86</v>
      </c>
      <c r="F1899" s="117"/>
      <c r="G1899" s="117" t="s">
        <v>24</v>
      </c>
      <c r="H1899" s="117" t="str">
        <f t="shared" si="328"/>
        <v>yes</v>
      </c>
      <c r="I1899" s="117" t="str">
        <f t="shared" si="320"/>
        <v>no</v>
      </c>
      <c r="J1899" s="117" t="str">
        <f t="shared" si="321"/>
        <v>no</v>
      </c>
      <c r="K1899" s="117" t="s">
        <v>1228</v>
      </c>
      <c r="L1899" s="117" t="str">
        <f t="shared" si="329"/>
        <v>detailed</v>
      </c>
      <c r="M1899" s="117" t="str">
        <f t="shared" si="322"/>
        <v>detailed Mining</v>
      </c>
      <c r="N1899" s="118">
        <v>0</v>
      </c>
      <c r="O1899" s="118"/>
      <c r="P1899" s="118"/>
      <c r="Q1899" s="118"/>
      <c r="R1899" s="118"/>
      <c r="S1899" s="117" t="s">
        <v>610</v>
      </c>
      <c r="T1899" s="119"/>
      <c r="U1899" s="117"/>
      <c r="V1899" s="117" t="s">
        <v>684</v>
      </c>
      <c r="W1899" s="89">
        <f>N1899*T1899</f>
        <v>0</v>
      </c>
      <c r="X1899" s="117"/>
      <c r="Y1899" s="89"/>
      <c r="Z1899" s="89"/>
      <c r="AA1899" s="177">
        <v>1447234.6452026849</v>
      </c>
      <c r="AB1899" s="177">
        <v>1186782</v>
      </c>
      <c r="AC1899" s="122"/>
      <c r="AD1899" s="122"/>
      <c r="AE1899" s="122"/>
      <c r="AF1899" s="123"/>
      <c r="AG1899" s="120"/>
      <c r="AH1899" s="124"/>
      <c r="AI1899" s="117"/>
      <c r="AJ1899" s="89"/>
      <c r="AK1899" s="89"/>
      <c r="AL1899" s="117"/>
      <c r="AM1899" s="117"/>
      <c r="AN1899" s="117">
        <v>2</v>
      </c>
      <c r="AO1899" s="117" t="s">
        <v>2226</v>
      </c>
      <c r="AP1899" s="117">
        <v>2</v>
      </c>
      <c r="AQ1899" s="117"/>
      <c r="AR1899" s="117"/>
      <c r="AS1899" s="117"/>
      <c r="AT1899" s="117"/>
      <c r="AU1899" s="117" t="s">
        <v>2230</v>
      </c>
      <c r="AV1899" s="128"/>
      <c r="AW1899" s="117">
        <f>VLOOKUP($D1899,'WB Data'!$C$3:$M$578,2,FALSE)</f>
        <v>2453972925.4943657</v>
      </c>
      <c r="AX1899" s="117">
        <f>VLOOKUP($D1899,'WB Data'!$C$3:$M$578,3,FALSE)</f>
        <v>5641182</v>
      </c>
      <c r="AY1899" s="847">
        <f t="shared" si="324"/>
        <v>2.3943939791332301E-3</v>
      </c>
      <c r="AZ1899" s="117">
        <f>VLOOKUP($D1899,'WB Data'!$C$3:$M$578,4,FALSE)/100</f>
        <v>9.0284846804034799E-2</v>
      </c>
      <c r="BA1899" s="117">
        <f t="shared" si="325"/>
        <v>221556569.63950792</v>
      </c>
      <c r="BB1899" s="129">
        <f>IFERROR(VLOOKUP($D1899,'EITI Revenues'!$C$2:$G$224,5,FALSE),"..")</f>
        <v>5875777.9977596682</v>
      </c>
      <c r="BC1899" s="846">
        <f t="shared" si="326"/>
        <v>2.6520441290998852E-2</v>
      </c>
      <c r="BD1899" s="129" t="str">
        <f>VLOOKUP($D1899,'WB Data 2'!$C$2:$K$545,6,FALSE)</f>
        <v>..</v>
      </c>
      <c r="BE1899" s="129">
        <f>IFERROR(VLOOKUP($D1899,UNCTAD!$C$5:$V$529,4,FALSE),"..")</f>
        <v>373932000</v>
      </c>
      <c r="BF1899" s="846" t="str">
        <f t="shared" si="327"/>
        <v>..</v>
      </c>
      <c r="BG1899" s="117">
        <f>VLOOKUP($D1899,'WB Data'!$C$3:$M$578,5,FALSE)</f>
        <v>448260000</v>
      </c>
      <c r="BH1899" s="129">
        <f>IFERROR($BB1899/$BG1899,"..")</f>
        <v>1.3107968584659948E-2</v>
      </c>
      <c r="BI1899" s="117">
        <f>IFERROR(VLOOKUP($D1899,'WB Data'!$C$3:$M$578,7,FALSE)/100,"..")</f>
        <v>2.7774299999999998E-2</v>
      </c>
      <c r="BJ1899" s="117">
        <f>IFERROR($BI1899*$AW1899,"..")</f>
        <v>68157380.22455816</v>
      </c>
      <c r="BK1899" s="846">
        <f>IFERROR($BB1899/$BJ1899,"..")</f>
        <v>8.6208976612668201E-2</v>
      </c>
      <c r="BL1899" s="117">
        <f>IFERROR(VLOOKUP($D1899,'WB Data'!$C$3:$M$578,7,FALSE)/100,"..")</f>
        <v>2.7774299999999998E-2</v>
      </c>
      <c r="BM1899" s="117">
        <f>IFERROR($AW1899*$BL1899,"..")</f>
        <v>68157380.22455816</v>
      </c>
      <c r="BN1899" s="846">
        <f>IFERROR($BB1899/$BM1899,"..")</f>
        <v>8.6208976612668201E-2</v>
      </c>
      <c r="BO1899" s="801">
        <f t="shared" si="323"/>
        <v>31</v>
      </c>
      <c r="BP1899" s="117" t="str">
        <f>VLOOKUP($D1899,'WB Data'!$C$3:$M$578,9,FALSE)</f>
        <v>..</v>
      </c>
      <c r="BQ1899" s="117">
        <f>VLOOKUP($D1899,'WB Data'!$C$3:$M$578,10,FALSE)</f>
        <v>44.501439024390251</v>
      </c>
      <c r="BR1899" s="117">
        <f>VLOOKUP($D1899,'WB Data'!$C$3:$M$578,11,FALSE)</f>
        <v>116.9</v>
      </c>
      <c r="BS1899" s="129" t="str">
        <f>IFERROR(VLOOKUP($D1899,'WB Data 2'!$C$2:$K$545,9,FALSE),"..")</f>
        <v>..</v>
      </c>
      <c r="BT1899" s="129">
        <f>_xlfn.IFNA(VLOOKUP($C1899,RGI!$A$2:$C$43,2,FALSE),"..")</f>
        <v>38.200000000000003</v>
      </c>
      <c r="BU1899" s="129">
        <f>_xlfn.IFNA(VLOOKUP($C1899,RGI!$A$2:$C$43,3,FALSE),"..")</f>
        <v>45.714033330666766</v>
      </c>
      <c r="BV1899" s="129">
        <f>VLOOKUP($D1899,WGI!$C$2:$O$478,7,FALSE)</f>
        <v>-0.26388929326647997</v>
      </c>
      <c r="BW1899" s="129">
        <f>VLOOKUP($D1899,WGI!$C$2:$O$478,4,FALSE)</f>
        <v>-0.29656773131597203</v>
      </c>
      <c r="BX1899" s="129">
        <f>VLOOKUP($D1899,WGI!$C$2:$O$478,3,FALSE)</f>
        <v>-1.2154466944479101</v>
      </c>
      <c r="BY1899" s="129">
        <f>VLOOKUP($D1899,WGI!$C$2:$O$478,5,FALSE)</f>
        <v>-0.77737053623886399</v>
      </c>
      <c r="BZ1899" s="129">
        <f>VLOOKUP($D1899,WGI!$C$2:$O$478,2,FALSE)</f>
        <v>-0.93853103018099204</v>
      </c>
    </row>
    <row r="1900" spans="1:80" ht="15" customHeight="1">
      <c r="A1900" s="280" t="s">
        <v>2228</v>
      </c>
      <c r="B1900" s="117">
        <v>2009</v>
      </c>
      <c r="C1900" s="117" t="s">
        <v>488</v>
      </c>
      <c r="D1900" s="117" t="s">
        <v>3644</v>
      </c>
      <c r="E1900" s="117" t="s">
        <v>86</v>
      </c>
      <c r="F1900" s="117"/>
      <c r="G1900" s="117" t="s">
        <v>24</v>
      </c>
      <c r="H1900" s="117" t="str">
        <f t="shared" si="328"/>
        <v>yes</v>
      </c>
      <c r="I1900" s="117" t="str">
        <f t="shared" si="320"/>
        <v>no</v>
      </c>
      <c r="J1900" s="117" t="str">
        <f t="shared" si="321"/>
        <v>no</v>
      </c>
      <c r="K1900" s="117" t="s">
        <v>2201</v>
      </c>
      <c r="L1900" s="117" t="str">
        <f t="shared" si="329"/>
        <v>detailed</v>
      </c>
      <c r="M1900" s="117" t="str">
        <f t="shared" si="322"/>
        <v>detailed Mining</v>
      </c>
      <c r="N1900" s="118"/>
      <c r="O1900" s="118"/>
      <c r="P1900" s="118"/>
      <c r="Q1900" s="118"/>
      <c r="R1900" s="118"/>
      <c r="S1900" s="117"/>
      <c r="T1900" s="119"/>
      <c r="U1900" s="117"/>
      <c r="V1900" s="117"/>
      <c r="W1900" s="89">
        <f>SUM(W1901:W1903)</f>
        <v>39872265</v>
      </c>
      <c r="X1900" s="117"/>
      <c r="Y1900" s="89"/>
      <c r="Z1900" s="89"/>
      <c r="AA1900" s="177">
        <v>754141.32424268906</v>
      </c>
      <c r="AB1900" s="177">
        <v>756580.8180791128</v>
      </c>
      <c r="AC1900" s="122"/>
      <c r="AD1900" s="122"/>
      <c r="AE1900" s="122"/>
      <c r="AF1900" s="123">
        <f>AA1900/W1900</f>
        <v>1.8913932384896845E-2</v>
      </c>
      <c r="AG1900" s="89"/>
      <c r="AH1900" s="124"/>
      <c r="AI1900" s="117"/>
      <c r="AJ1900" s="89"/>
      <c r="AK1900" s="89"/>
      <c r="AL1900" s="117"/>
      <c r="AM1900" s="117"/>
      <c r="AN1900" s="117">
        <v>1</v>
      </c>
      <c r="AO1900" s="117" t="s">
        <v>2227</v>
      </c>
      <c r="AP1900" s="117">
        <v>1</v>
      </c>
      <c r="AQ1900" s="117"/>
      <c r="AR1900" s="117"/>
      <c r="AS1900" s="117"/>
      <c r="AT1900" s="117"/>
      <c r="AU1900" s="117" t="s">
        <v>2230</v>
      </c>
      <c r="AV1900" s="128"/>
      <c r="AW1900" s="117">
        <f>VLOOKUP($D1900,'WB Data'!$C$3:$M$578,2,FALSE)</f>
        <v>2453972925.4943657</v>
      </c>
      <c r="AX1900" s="117">
        <f>VLOOKUP($D1900,'WB Data'!$C$3:$M$578,3,FALSE)</f>
        <v>5641182</v>
      </c>
      <c r="AY1900" s="847">
        <f t="shared" si="324"/>
        <v>2.3943939791332301E-3</v>
      </c>
      <c r="AZ1900" s="117">
        <f>VLOOKUP($D1900,'WB Data'!$C$3:$M$578,4,FALSE)/100</f>
        <v>9.0284846804034799E-2</v>
      </c>
      <c r="BA1900" s="117">
        <f t="shared" si="325"/>
        <v>221556569.63950792</v>
      </c>
      <c r="BB1900" s="129">
        <f>IFERROR(VLOOKUP($D1900,'EITI Revenues'!$C$2:$G$224,5,FALSE),"..")</f>
        <v>5875777.9977596682</v>
      </c>
      <c r="BC1900" s="846">
        <f t="shared" si="326"/>
        <v>2.6520441290998852E-2</v>
      </c>
      <c r="BD1900" s="129" t="str">
        <f>VLOOKUP($D1900,'WB Data 2'!$C$2:$K$545,6,FALSE)</f>
        <v>..</v>
      </c>
      <c r="BE1900" s="129">
        <f>IFERROR(VLOOKUP($D1900,UNCTAD!$C$5:$V$529,4,FALSE),"..")</f>
        <v>373932000</v>
      </c>
      <c r="BF1900" s="846" t="str">
        <f t="shared" si="327"/>
        <v>..</v>
      </c>
      <c r="BG1900" s="117">
        <f>VLOOKUP($D1900,'WB Data'!$C$3:$M$578,5,FALSE)</f>
        <v>448260000</v>
      </c>
      <c r="BH1900" s="129">
        <f>IFERROR($BB1900/$BG1900,"..")</f>
        <v>1.3107968584659948E-2</v>
      </c>
      <c r="BI1900" s="117">
        <f>IFERROR(VLOOKUP($D1900,'WB Data'!$C$3:$M$578,7,FALSE)/100,"..")</f>
        <v>2.7774299999999998E-2</v>
      </c>
      <c r="BJ1900" s="117">
        <f>IFERROR($BI1900*$AW1900,"..")</f>
        <v>68157380.22455816</v>
      </c>
      <c r="BK1900" s="846">
        <f>IFERROR($BB1900/$BJ1900,"..")</f>
        <v>8.6208976612668201E-2</v>
      </c>
      <c r="BL1900" s="117">
        <f>IFERROR(VLOOKUP($D1900,'WB Data'!$C$3:$M$578,7,FALSE)/100,"..")</f>
        <v>2.7774299999999998E-2</v>
      </c>
      <c r="BM1900" s="117">
        <f>IFERROR($AW1900*$BL1900,"..")</f>
        <v>68157380.22455816</v>
      </c>
      <c r="BN1900" s="846">
        <f>IFERROR($BB1900/$BM1900,"..")</f>
        <v>8.6208976612668201E-2</v>
      </c>
      <c r="BO1900" s="801">
        <f t="shared" si="323"/>
        <v>31</v>
      </c>
      <c r="BP1900" s="117" t="str">
        <f>VLOOKUP($D1900,'WB Data'!$C$3:$M$578,9,FALSE)</f>
        <v>..</v>
      </c>
      <c r="BQ1900" s="117">
        <f>VLOOKUP($D1900,'WB Data'!$C$3:$M$578,10,FALSE)</f>
        <v>44.501439024390251</v>
      </c>
      <c r="BR1900" s="117">
        <f>VLOOKUP($D1900,'WB Data'!$C$3:$M$578,11,FALSE)</f>
        <v>116.9</v>
      </c>
      <c r="BS1900" s="129" t="str">
        <f>IFERROR(VLOOKUP($D1900,'WB Data 2'!$C$2:$K$545,9,FALSE),"..")</f>
        <v>..</v>
      </c>
      <c r="BT1900" s="129">
        <f>_xlfn.IFNA(VLOOKUP($C1900,RGI!$A$2:$C$43,2,FALSE),"..")</f>
        <v>38.200000000000003</v>
      </c>
      <c r="BU1900" s="129">
        <f>_xlfn.IFNA(VLOOKUP($C1900,RGI!$A$2:$C$43,3,FALSE),"..")</f>
        <v>45.714033330666766</v>
      </c>
      <c r="BV1900" s="129">
        <f>VLOOKUP($D1900,WGI!$C$2:$O$478,7,FALSE)</f>
        <v>-0.26388929326647997</v>
      </c>
      <c r="BW1900" s="129">
        <f>VLOOKUP($D1900,WGI!$C$2:$O$478,4,FALSE)</f>
        <v>-0.29656773131597203</v>
      </c>
      <c r="BX1900" s="129">
        <f>VLOOKUP($D1900,WGI!$C$2:$O$478,3,FALSE)</f>
        <v>-1.2154466944479101</v>
      </c>
      <c r="BY1900" s="129">
        <f>VLOOKUP($D1900,WGI!$C$2:$O$478,5,FALSE)</f>
        <v>-0.77737053623886399</v>
      </c>
      <c r="BZ1900" s="129">
        <f>VLOOKUP($D1900,WGI!$C$2:$O$478,2,FALSE)</f>
        <v>-0.93853103018099204</v>
      </c>
    </row>
    <row r="1901" spans="1:80" ht="15" customHeight="1">
      <c r="A1901" s="280" t="s">
        <v>2228</v>
      </c>
      <c r="B1901" s="117">
        <v>2009</v>
      </c>
      <c r="C1901" s="117" t="s">
        <v>488</v>
      </c>
      <c r="D1901" s="117" t="s">
        <v>3644</v>
      </c>
      <c r="E1901" s="117" t="s">
        <v>86</v>
      </c>
      <c r="F1901" s="117"/>
      <c r="G1901" s="117" t="s">
        <v>24</v>
      </c>
      <c r="H1901" s="117" t="str">
        <f t="shared" si="328"/>
        <v>yes</v>
      </c>
      <c r="I1901" s="117" t="str">
        <f t="shared" si="320"/>
        <v>no</v>
      </c>
      <c r="J1901" s="117" t="str">
        <f t="shared" si="321"/>
        <v>no</v>
      </c>
      <c r="K1901" s="117" t="s">
        <v>2203</v>
      </c>
      <c r="L1901" s="117" t="str">
        <f t="shared" si="329"/>
        <v>detailed</v>
      </c>
      <c r="M1901" s="117" t="str">
        <f t="shared" si="322"/>
        <v>detailed Mining</v>
      </c>
      <c r="N1901" s="118">
        <v>15161</v>
      </c>
      <c r="O1901" s="118"/>
      <c r="P1901" s="118"/>
      <c r="Q1901" s="118"/>
      <c r="R1901" s="118"/>
      <c r="S1901" s="117" t="s">
        <v>610</v>
      </c>
      <c r="T1901" s="119">
        <v>73</v>
      </c>
      <c r="U1901" s="117" t="s">
        <v>611</v>
      </c>
      <c r="V1901" s="117" t="s">
        <v>1671</v>
      </c>
      <c r="W1901" s="89">
        <f>N1901*T1901</f>
        <v>1106753</v>
      </c>
      <c r="X1901" s="117"/>
      <c r="Y1901" s="117"/>
      <c r="Z1901" s="117"/>
      <c r="AA1901" s="177"/>
      <c r="AB1901" s="177"/>
      <c r="AC1901" s="122"/>
      <c r="AD1901" s="122"/>
      <c r="AE1901" s="122"/>
      <c r="AF1901" s="123"/>
      <c r="AG1901" s="117"/>
      <c r="AH1901" s="124"/>
      <c r="AI1901" s="117"/>
      <c r="AJ1901" s="117"/>
      <c r="AK1901" s="89"/>
      <c r="AL1901" s="117"/>
      <c r="AM1901" s="117"/>
      <c r="AN1901" s="117"/>
      <c r="AO1901" s="117"/>
      <c r="AP1901" s="117"/>
      <c r="AQ1901" s="117"/>
      <c r="AR1901" s="117"/>
      <c r="AS1901" s="117"/>
      <c r="AT1901" s="117"/>
      <c r="AU1901" s="117"/>
      <c r="AV1901" s="128"/>
      <c r="AW1901" s="117">
        <f>VLOOKUP($D1901,'WB Data'!$C$3:$M$578,2,FALSE)</f>
        <v>2453972925.4943657</v>
      </c>
      <c r="AX1901" s="117">
        <f>VLOOKUP($D1901,'WB Data'!$C$3:$M$578,3,FALSE)</f>
        <v>5641182</v>
      </c>
      <c r="AY1901" s="847">
        <f t="shared" si="324"/>
        <v>2.3943939791332301E-3</v>
      </c>
      <c r="AZ1901" s="117">
        <f>VLOOKUP($D1901,'WB Data'!$C$3:$M$578,4,FALSE)/100</f>
        <v>9.0284846804034799E-2</v>
      </c>
      <c r="BA1901" s="117">
        <f t="shared" si="325"/>
        <v>221556569.63950792</v>
      </c>
      <c r="BB1901" s="129">
        <f>IFERROR(VLOOKUP($D1901,'EITI Revenues'!$C$2:$G$224,5,FALSE),"..")</f>
        <v>5875777.9977596682</v>
      </c>
      <c r="BC1901" s="846">
        <f t="shared" si="326"/>
        <v>2.6520441290998852E-2</v>
      </c>
      <c r="BD1901" s="129" t="str">
        <f>VLOOKUP($D1901,'WB Data 2'!$C$2:$K$545,6,FALSE)</f>
        <v>..</v>
      </c>
      <c r="BE1901" s="129">
        <f>IFERROR(VLOOKUP($D1901,UNCTAD!$C$5:$V$529,4,FALSE),"..")</f>
        <v>373932000</v>
      </c>
      <c r="BF1901" s="846" t="str">
        <f t="shared" si="327"/>
        <v>..</v>
      </c>
      <c r="BG1901" s="117">
        <f>VLOOKUP($D1901,'WB Data'!$C$3:$M$578,5,FALSE)</f>
        <v>448260000</v>
      </c>
      <c r="BH1901" s="129">
        <f>IFERROR($BB1901/$BG1901,"..")</f>
        <v>1.3107968584659948E-2</v>
      </c>
      <c r="BI1901" s="117">
        <f>IFERROR(VLOOKUP($D1901,'WB Data'!$C$3:$M$578,7,FALSE)/100,"..")</f>
        <v>2.7774299999999998E-2</v>
      </c>
      <c r="BJ1901" s="117">
        <f>IFERROR($BI1901*$AW1901,"..")</f>
        <v>68157380.22455816</v>
      </c>
      <c r="BK1901" s="846">
        <f>IFERROR($BB1901/$BJ1901,"..")</f>
        <v>8.6208976612668201E-2</v>
      </c>
      <c r="BL1901" s="117">
        <f>IFERROR(VLOOKUP($D1901,'WB Data'!$C$3:$M$578,7,FALSE)/100,"..")</f>
        <v>2.7774299999999998E-2</v>
      </c>
      <c r="BM1901" s="117">
        <f>IFERROR($AW1901*$BL1901,"..")</f>
        <v>68157380.22455816</v>
      </c>
      <c r="BN1901" s="846">
        <f>IFERROR($BB1901/$BM1901,"..")</f>
        <v>8.6208976612668201E-2</v>
      </c>
      <c r="BO1901" s="801">
        <f t="shared" si="323"/>
        <v>31</v>
      </c>
      <c r="BP1901" s="117" t="str">
        <f>VLOOKUP($D1901,'WB Data'!$C$3:$M$578,9,FALSE)</f>
        <v>..</v>
      </c>
      <c r="BQ1901" s="117">
        <f>VLOOKUP($D1901,'WB Data'!$C$3:$M$578,10,FALSE)</f>
        <v>44.501439024390251</v>
      </c>
      <c r="BR1901" s="117">
        <f>VLOOKUP($D1901,'WB Data'!$C$3:$M$578,11,FALSE)</f>
        <v>116.9</v>
      </c>
      <c r="BS1901" s="129" t="str">
        <f>IFERROR(VLOOKUP($D1901,'WB Data 2'!$C$2:$K$545,9,FALSE),"..")</f>
        <v>..</v>
      </c>
      <c r="BT1901" s="129">
        <f>_xlfn.IFNA(VLOOKUP($C1901,RGI!$A$2:$C$43,2,FALSE),"..")</f>
        <v>38.200000000000003</v>
      </c>
      <c r="BU1901" s="129">
        <f>_xlfn.IFNA(VLOOKUP($C1901,RGI!$A$2:$C$43,3,FALSE),"..")</f>
        <v>45.714033330666766</v>
      </c>
      <c r="BV1901" s="129">
        <f>VLOOKUP($D1901,WGI!$C$2:$O$478,7,FALSE)</f>
        <v>-0.26388929326647997</v>
      </c>
      <c r="BW1901" s="129">
        <f>VLOOKUP($D1901,WGI!$C$2:$O$478,4,FALSE)</f>
        <v>-0.29656773131597203</v>
      </c>
      <c r="BX1901" s="129">
        <f>VLOOKUP($D1901,WGI!$C$2:$O$478,3,FALSE)</f>
        <v>-1.2154466944479101</v>
      </c>
      <c r="BY1901" s="129">
        <f>VLOOKUP($D1901,WGI!$C$2:$O$478,5,FALSE)</f>
        <v>-0.77737053623886399</v>
      </c>
      <c r="BZ1901" s="129">
        <f>VLOOKUP($D1901,WGI!$C$2:$O$478,2,FALSE)</f>
        <v>-0.93853103018099204</v>
      </c>
    </row>
    <row r="1902" spans="1:80" ht="15" customHeight="1">
      <c r="A1902" s="280" t="s">
        <v>2228</v>
      </c>
      <c r="B1902" s="117">
        <v>2009</v>
      </c>
      <c r="C1902" s="117" t="s">
        <v>488</v>
      </c>
      <c r="D1902" s="117" t="s">
        <v>3644</v>
      </c>
      <c r="E1902" s="117" t="s">
        <v>86</v>
      </c>
      <c r="F1902" s="117"/>
      <c r="G1902" s="117" t="s">
        <v>24</v>
      </c>
      <c r="H1902" s="117" t="str">
        <f t="shared" si="328"/>
        <v>yes</v>
      </c>
      <c r="I1902" s="117" t="str">
        <f t="shared" si="320"/>
        <v>no</v>
      </c>
      <c r="J1902" s="117" t="str">
        <f t="shared" si="321"/>
        <v>no</v>
      </c>
      <c r="K1902" s="117" t="s">
        <v>2205</v>
      </c>
      <c r="L1902" s="117" t="str">
        <f t="shared" si="329"/>
        <v>detailed</v>
      </c>
      <c r="M1902" s="117" t="str">
        <f t="shared" si="322"/>
        <v>detailed Mining</v>
      </c>
      <c r="N1902" s="118">
        <v>63864</v>
      </c>
      <c r="O1902" s="118"/>
      <c r="P1902" s="118"/>
      <c r="Q1902" s="118"/>
      <c r="R1902" s="118"/>
      <c r="S1902" s="117" t="s">
        <v>610</v>
      </c>
      <c r="T1902" s="119">
        <v>533</v>
      </c>
      <c r="U1902" s="117" t="s">
        <v>611</v>
      </c>
      <c r="V1902" s="117" t="s">
        <v>1879</v>
      </c>
      <c r="W1902" s="89">
        <f>N1902*T1902</f>
        <v>34039512</v>
      </c>
      <c r="X1902" s="117"/>
      <c r="Y1902" s="117"/>
      <c r="Z1902" s="117"/>
      <c r="AA1902" s="177"/>
      <c r="AB1902" s="177"/>
      <c r="AC1902" s="122"/>
      <c r="AD1902" s="122"/>
      <c r="AE1902" s="122"/>
      <c r="AF1902" s="123"/>
      <c r="AG1902" s="117"/>
      <c r="AH1902" s="124"/>
      <c r="AI1902" s="117"/>
      <c r="AJ1902" s="117"/>
      <c r="AK1902" s="89"/>
      <c r="AL1902" s="117"/>
      <c r="AM1902" s="117"/>
      <c r="AN1902" s="117"/>
      <c r="AO1902" s="117"/>
      <c r="AP1902" s="117"/>
      <c r="AQ1902" s="117"/>
      <c r="AR1902" s="117"/>
      <c r="AS1902" s="117"/>
      <c r="AT1902" s="117"/>
      <c r="AU1902" s="117"/>
      <c r="AV1902" s="128"/>
      <c r="AW1902" s="117">
        <f>VLOOKUP($D1902,'WB Data'!$C$3:$M$578,2,FALSE)</f>
        <v>2453972925.4943657</v>
      </c>
      <c r="AX1902" s="117">
        <f>VLOOKUP($D1902,'WB Data'!$C$3:$M$578,3,FALSE)</f>
        <v>5641182</v>
      </c>
      <c r="AY1902" s="847">
        <f t="shared" si="324"/>
        <v>2.3943939791332301E-3</v>
      </c>
      <c r="AZ1902" s="117">
        <f>VLOOKUP($D1902,'WB Data'!$C$3:$M$578,4,FALSE)/100</f>
        <v>9.0284846804034799E-2</v>
      </c>
      <c r="BA1902" s="117">
        <f t="shared" si="325"/>
        <v>221556569.63950792</v>
      </c>
      <c r="BB1902" s="129">
        <f>IFERROR(VLOOKUP($D1902,'EITI Revenues'!$C$2:$G$224,5,FALSE),"..")</f>
        <v>5875777.9977596682</v>
      </c>
      <c r="BC1902" s="846">
        <f t="shared" si="326"/>
        <v>2.6520441290998852E-2</v>
      </c>
      <c r="BD1902" s="129" t="str">
        <f>VLOOKUP($D1902,'WB Data 2'!$C$2:$K$545,6,FALSE)</f>
        <v>..</v>
      </c>
      <c r="BE1902" s="129">
        <f>IFERROR(VLOOKUP($D1902,UNCTAD!$C$5:$V$529,4,FALSE),"..")</f>
        <v>373932000</v>
      </c>
      <c r="BF1902" s="846" t="str">
        <f t="shared" si="327"/>
        <v>..</v>
      </c>
      <c r="BG1902" s="117">
        <f>VLOOKUP($D1902,'WB Data'!$C$3:$M$578,5,FALSE)</f>
        <v>448260000</v>
      </c>
      <c r="BH1902" s="129">
        <f>IFERROR($BB1902/$BG1902,"..")</f>
        <v>1.3107968584659948E-2</v>
      </c>
      <c r="BI1902" s="117">
        <f>IFERROR(VLOOKUP($D1902,'WB Data'!$C$3:$M$578,7,FALSE)/100,"..")</f>
        <v>2.7774299999999998E-2</v>
      </c>
      <c r="BJ1902" s="117">
        <f>IFERROR($BI1902*$AW1902,"..")</f>
        <v>68157380.22455816</v>
      </c>
      <c r="BK1902" s="846">
        <f>IFERROR($BB1902/$BJ1902,"..")</f>
        <v>8.6208976612668201E-2</v>
      </c>
      <c r="BL1902" s="117">
        <f>IFERROR(VLOOKUP($D1902,'WB Data'!$C$3:$M$578,7,FALSE)/100,"..")</f>
        <v>2.7774299999999998E-2</v>
      </c>
      <c r="BM1902" s="117">
        <f>IFERROR($AW1902*$BL1902,"..")</f>
        <v>68157380.22455816</v>
      </c>
      <c r="BN1902" s="846">
        <f>IFERROR($BB1902/$BM1902,"..")</f>
        <v>8.6208976612668201E-2</v>
      </c>
      <c r="BO1902" s="801">
        <f t="shared" si="323"/>
        <v>31</v>
      </c>
      <c r="BP1902" s="117" t="str">
        <f>VLOOKUP($D1902,'WB Data'!$C$3:$M$578,9,FALSE)</f>
        <v>..</v>
      </c>
      <c r="BQ1902" s="117">
        <f>VLOOKUP($D1902,'WB Data'!$C$3:$M$578,10,FALSE)</f>
        <v>44.501439024390251</v>
      </c>
      <c r="BR1902" s="117">
        <f>VLOOKUP($D1902,'WB Data'!$C$3:$M$578,11,FALSE)</f>
        <v>116.9</v>
      </c>
      <c r="BS1902" s="129" t="str">
        <f>IFERROR(VLOOKUP($D1902,'WB Data 2'!$C$2:$K$545,9,FALSE),"..")</f>
        <v>..</v>
      </c>
      <c r="BT1902" s="129">
        <f>_xlfn.IFNA(VLOOKUP($C1902,RGI!$A$2:$C$43,2,FALSE),"..")</f>
        <v>38.200000000000003</v>
      </c>
      <c r="BU1902" s="129">
        <f>_xlfn.IFNA(VLOOKUP($C1902,RGI!$A$2:$C$43,3,FALSE),"..")</f>
        <v>45.714033330666766</v>
      </c>
      <c r="BV1902" s="129">
        <f>VLOOKUP($D1902,WGI!$C$2:$O$478,7,FALSE)</f>
        <v>-0.26388929326647997</v>
      </c>
      <c r="BW1902" s="129">
        <f>VLOOKUP($D1902,WGI!$C$2:$O$478,4,FALSE)</f>
        <v>-0.29656773131597203</v>
      </c>
      <c r="BX1902" s="129">
        <f>VLOOKUP($D1902,WGI!$C$2:$O$478,3,FALSE)</f>
        <v>-1.2154466944479101</v>
      </c>
      <c r="BY1902" s="129">
        <f>VLOOKUP($D1902,WGI!$C$2:$O$478,5,FALSE)</f>
        <v>-0.77737053623886399</v>
      </c>
      <c r="BZ1902" s="129">
        <f>VLOOKUP($D1902,WGI!$C$2:$O$478,2,FALSE)</f>
        <v>-0.93853103018099204</v>
      </c>
    </row>
    <row r="1903" spans="1:80" ht="15" customHeight="1">
      <c r="A1903" s="280" t="s">
        <v>2228</v>
      </c>
      <c r="B1903" s="117">
        <v>2009</v>
      </c>
      <c r="C1903" s="117" t="s">
        <v>488</v>
      </c>
      <c r="D1903" s="117" t="s">
        <v>3644</v>
      </c>
      <c r="E1903" s="117" t="s">
        <v>86</v>
      </c>
      <c r="F1903" s="117"/>
      <c r="G1903" s="117" t="s">
        <v>24</v>
      </c>
      <c r="H1903" s="117" t="str">
        <f t="shared" si="328"/>
        <v>yes</v>
      </c>
      <c r="I1903" s="117" t="str">
        <f t="shared" si="320"/>
        <v>no</v>
      </c>
      <c r="J1903" s="117" t="str">
        <f t="shared" si="321"/>
        <v>no</v>
      </c>
      <c r="K1903" s="117" t="s">
        <v>2207</v>
      </c>
      <c r="L1903" s="117" t="str">
        <f t="shared" si="329"/>
        <v>detailed</v>
      </c>
      <c r="M1903" s="117" t="str">
        <f t="shared" si="322"/>
        <v>detailed Mining</v>
      </c>
      <c r="N1903" s="118">
        <v>5560</v>
      </c>
      <c r="O1903" s="118"/>
      <c r="P1903" s="118"/>
      <c r="Q1903" s="118"/>
      <c r="R1903" s="118"/>
      <c r="S1903" s="117" t="s">
        <v>610</v>
      </c>
      <c r="T1903" s="119">
        <v>850</v>
      </c>
      <c r="U1903" s="117" t="s">
        <v>611</v>
      </c>
      <c r="V1903" s="117" t="s">
        <v>1881</v>
      </c>
      <c r="W1903" s="89">
        <f>N1903*T1903</f>
        <v>4726000</v>
      </c>
      <c r="X1903" s="117"/>
      <c r="Y1903" s="117"/>
      <c r="Z1903" s="117"/>
      <c r="AA1903" s="177"/>
      <c r="AB1903" s="177"/>
      <c r="AC1903" s="122"/>
      <c r="AD1903" s="122"/>
      <c r="AE1903" s="122"/>
      <c r="AF1903" s="123"/>
      <c r="AG1903" s="117"/>
      <c r="AH1903" s="124"/>
      <c r="AI1903" s="117"/>
      <c r="AJ1903" s="117"/>
      <c r="AK1903" s="89"/>
      <c r="AL1903" s="117"/>
      <c r="AM1903" s="117"/>
      <c r="AN1903" s="117"/>
      <c r="AO1903" s="117"/>
      <c r="AP1903" s="117"/>
      <c r="AQ1903" s="117"/>
      <c r="AR1903" s="117"/>
      <c r="AS1903" s="117"/>
      <c r="AT1903" s="117"/>
      <c r="AU1903" s="117"/>
      <c r="AV1903" s="128"/>
      <c r="AW1903" s="117">
        <f>VLOOKUP($D1903,'WB Data'!$C$3:$M$578,2,FALSE)</f>
        <v>2453972925.4943657</v>
      </c>
      <c r="AX1903" s="117">
        <f>VLOOKUP($D1903,'WB Data'!$C$3:$M$578,3,FALSE)</f>
        <v>5641182</v>
      </c>
      <c r="AY1903" s="847">
        <f t="shared" si="324"/>
        <v>2.3943939791332301E-3</v>
      </c>
      <c r="AZ1903" s="117">
        <f>VLOOKUP($D1903,'WB Data'!$C$3:$M$578,4,FALSE)/100</f>
        <v>9.0284846804034799E-2</v>
      </c>
      <c r="BA1903" s="117">
        <f t="shared" si="325"/>
        <v>221556569.63950792</v>
      </c>
      <c r="BB1903" s="129">
        <f>IFERROR(VLOOKUP($D1903,'EITI Revenues'!$C$2:$G$224,5,FALSE),"..")</f>
        <v>5875777.9977596682</v>
      </c>
      <c r="BC1903" s="846">
        <f t="shared" si="326"/>
        <v>2.6520441290998852E-2</v>
      </c>
      <c r="BD1903" s="129" t="str">
        <f>VLOOKUP($D1903,'WB Data 2'!$C$2:$K$545,6,FALSE)</f>
        <v>..</v>
      </c>
      <c r="BE1903" s="129">
        <f>IFERROR(VLOOKUP($D1903,UNCTAD!$C$5:$V$529,4,FALSE),"..")</f>
        <v>373932000</v>
      </c>
      <c r="BF1903" s="846" t="str">
        <f t="shared" si="327"/>
        <v>..</v>
      </c>
      <c r="BG1903" s="117">
        <f>VLOOKUP($D1903,'WB Data'!$C$3:$M$578,5,FALSE)</f>
        <v>448260000</v>
      </c>
      <c r="BH1903" s="129">
        <f>IFERROR($BB1903/$BG1903,"..")</f>
        <v>1.3107968584659948E-2</v>
      </c>
      <c r="BI1903" s="117">
        <f>IFERROR(VLOOKUP($D1903,'WB Data'!$C$3:$M$578,7,FALSE)/100,"..")</f>
        <v>2.7774299999999998E-2</v>
      </c>
      <c r="BJ1903" s="117">
        <f>IFERROR($BI1903*$AW1903,"..")</f>
        <v>68157380.22455816</v>
      </c>
      <c r="BK1903" s="846">
        <f>IFERROR($BB1903/$BJ1903,"..")</f>
        <v>8.6208976612668201E-2</v>
      </c>
      <c r="BL1903" s="117">
        <f>IFERROR(VLOOKUP($D1903,'WB Data'!$C$3:$M$578,7,FALSE)/100,"..")</f>
        <v>2.7774299999999998E-2</v>
      </c>
      <c r="BM1903" s="117">
        <f>IFERROR($AW1903*$BL1903,"..")</f>
        <v>68157380.22455816</v>
      </c>
      <c r="BN1903" s="846">
        <f>IFERROR($BB1903/$BM1903,"..")</f>
        <v>8.6208976612668201E-2</v>
      </c>
      <c r="BO1903" s="801">
        <f t="shared" si="323"/>
        <v>31</v>
      </c>
      <c r="BP1903" s="117" t="str">
        <f>VLOOKUP($D1903,'WB Data'!$C$3:$M$578,9,FALSE)</f>
        <v>..</v>
      </c>
      <c r="BQ1903" s="117">
        <f>VLOOKUP($D1903,'WB Data'!$C$3:$M$578,10,FALSE)</f>
        <v>44.501439024390251</v>
      </c>
      <c r="BR1903" s="117">
        <f>VLOOKUP($D1903,'WB Data'!$C$3:$M$578,11,FALSE)</f>
        <v>116.9</v>
      </c>
      <c r="BS1903" s="129" t="str">
        <f>IFERROR(VLOOKUP($D1903,'WB Data 2'!$C$2:$K$545,9,FALSE),"..")</f>
        <v>..</v>
      </c>
      <c r="BT1903" s="129">
        <f>_xlfn.IFNA(VLOOKUP($C1903,RGI!$A$2:$C$43,2,FALSE),"..")</f>
        <v>38.200000000000003</v>
      </c>
      <c r="BU1903" s="129">
        <f>_xlfn.IFNA(VLOOKUP($C1903,RGI!$A$2:$C$43,3,FALSE),"..")</f>
        <v>45.714033330666766</v>
      </c>
      <c r="BV1903" s="129">
        <f>VLOOKUP($D1903,WGI!$C$2:$O$478,7,FALSE)</f>
        <v>-0.26388929326647997</v>
      </c>
      <c r="BW1903" s="129">
        <f>VLOOKUP($D1903,WGI!$C$2:$O$478,4,FALSE)</f>
        <v>-0.29656773131597203</v>
      </c>
      <c r="BX1903" s="129">
        <f>VLOOKUP($D1903,WGI!$C$2:$O$478,3,FALSE)</f>
        <v>-1.2154466944479101</v>
      </c>
      <c r="BY1903" s="129">
        <f>VLOOKUP($D1903,WGI!$C$2:$O$478,5,FALSE)</f>
        <v>-0.77737053623886399</v>
      </c>
      <c r="BZ1903" s="129">
        <f>VLOOKUP($D1903,WGI!$C$2:$O$478,2,FALSE)</f>
        <v>-0.93853103018099204</v>
      </c>
    </row>
    <row r="1904" spans="1:80" s="144" customFormat="1" ht="15" customHeight="1">
      <c r="A1904" s="279" t="s">
        <v>2235</v>
      </c>
      <c r="B1904" s="132">
        <v>2010</v>
      </c>
      <c r="C1904" s="132" t="s">
        <v>488</v>
      </c>
      <c r="D1904" s="117" t="s">
        <v>3678</v>
      </c>
      <c r="E1904" s="132" t="s">
        <v>86</v>
      </c>
      <c r="F1904" s="132" t="s">
        <v>2190</v>
      </c>
      <c r="G1904" s="132" t="s">
        <v>35</v>
      </c>
      <c r="H1904" s="117" t="str">
        <f t="shared" si="328"/>
        <v>yes</v>
      </c>
      <c r="I1904" s="117" t="str">
        <f t="shared" si="320"/>
        <v>yes</v>
      </c>
      <c r="J1904" s="117" t="str">
        <f t="shared" si="321"/>
        <v>yes</v>
      </c>
      <c r="K1904" s="132" t="s">
        <v>709</v>
      </c>
      <c r="L1904" s="117" t="str">
        <f t="shared" si="329"/>
        <v>Total</v>
      </c>
      <c r="M1904" s="117" t="str">
        <f t="shared" si="322"/>
        <v>Total Oil, Gas, Mining</v>
      </c>
      <c r="N1904" s="133"/>
      <c r="O1904" s="133"/>
      <c r="P1904" s="133"/>
      <c r="Q1904" s="133"/>
      <c r="R1904" s="133"/>
      <c r="S1904" s="132"/>
      <c r="T1904" s="134"/>
      <c r="U1904" s="132"/>
      <c r="V1904" s="132"/>
      <c r="W1904" s="135">
        <f>W1905+W1908</f>
        <v>193112882.46384859</v>
      </c>
      <c r="X1904" s="132" t="s">
        <v>633</v>
      </c>
      <c r="Y1904" s="132" t="s">
        <v>602</v>
      </c>
      <c r="Z1904" s="132" t="s">
        <v>603</v>
      </c>
      <c r="AA1904" s="160">
        <v>7586792.5651504043</v>
      </c>
      <c r="AB1904" s="160">
        <v>8273470.9751235368</v>
      </c>
      <c r="AC1904" s="138"/>
      <c r="AD1904" s="138"/>
      <c r="AE1904" s="138"/>
      <c r="AF1904" s="139">
        <f>AA1904/W1904</f>
        <v>3.9286827830197595E-2</v>
      </c>
      <c r="AG1904" s="132" t="s">
        <v>2191</v>
      </c>
      <c r="AH1904" s="140">
        <v>5322.3</v>
      </c>
      <c r="AI1904" s="132" t="s">
        <v>1151</v>
      </c>
      <c r="AJ1904" s="132"/>
      <c r="AK1904" s="135"/>
      <c r="AL1904" s="132"/>
      <c r="AM1904" s="132"/>
      <c r="AN1904" s="132">
        <v>14</v>
      </c>
      <c r="AO1904" s="132" t="s">
        <v>2236</v>
      </c>
      <c r="AP1904" s="132">
        <v>13</v>
      </c>
      <c r="AQ1904" s="389" t="s">
        <v>323</v>
      </c>
      <c r="AR1904" s="141">
        <v>41898</v>
      </c>
      <c r="AS1904" s="132" t="s">
        <v>1135</v>
      </c>
      <c r="AT1904" s="132" t="s">
        <v>493</v>
      </c>
      <c r="AU1904" s="132" t="s">
        <v>2237</v>
      </c>
      <c r="AV1904" s="143" t="s">
        <v>2238</v>
      </c>
      <c r="AW1904" s="117">
        <f>VLOOKUP($D1904,'WB Data'!$C$3:$M$578,2,FALSE)</f>
        <v>2578159495.5592995</v>
      </c>
      <c r="AX1904" s="117">
        <f>VLOOKUP($D1904,'WB Data'!$C$3:$M$578,3,FALSE)</f>
        <v>5751976</v>
      </c>
      <c r="AY1904" s="847">
        <f t="shared" si="324"/>
        <v>2.9427165302294629E-3</v>
      </c>
      <c r="AZ1904" s="117">
        <f>VLOOKUP($D1904,'WB Data'!$C$3:$M$578,4,FALSE)/100</f>
        <v>9.824607829312805E-2</v>
      </c>
      <c r="BA1904" s="117">
        <f t="shared" si="325"/>
        <v>253294059.65289044</v>
      </c>
      <c r="BB1904" s="129">
        <f>IFERROR(VLOOKUP($D1904,'EITI Revenues'!$C$2:$G$224,5,FALSE),"..")</f>
        <v>7586792.5651504043</v>
      </c>
      <c r="BC1904" s="846">
        <f t="shared" si="326"/>
        <v>2.9952508856888341E-2</v>
      </c>
      <c r="BD1904" s="129" t="str">
        <f>VLOOKUP($D1904,'WB Data 2'!$C$2:$K$545,6,FALSE)</f>
        <v>..</v>
      </c>
      <c r="BE1904" s="129">
        <f>IFERROR(VLOOKUP($D1904,UNCTAD!$C$5:$V$529,4,FALSE),"..")</f>
        <v>422910000</v>
      </c>
      <c r="BF1904" s="846" t="str">
        <f t="shared" si="327"/>
        <v>..</v>
      </c>
      <c r="BG1904" s="117">
        <f>VLOOKUP($D1904,'WB Data'!$C$3:$M$578,5,FALSE)</f>
        <v>466850000</v>
      </c>
      <c r="BH1904" s="129">
        <f>IFERROR($BB1904/$BG1904,"..")</f>
        <v>1.6251028307058806E-2</v>
      </c>
      <c r="BI1904" s="117">
        <f>IFERROR(VLOOKUP($D1904,'WB Data'!$C$3:$M$578,7,FALSE)/100,"..")</f>
        <v>2.59122E-2</v>
      </c>
      <c r="BJ1904" s="117">
        <f>IFERROR($BI1904*$AW1904,"..")</f>
        <v>66805784.480831683</v>
      </c>
      <c r="BK1904" s="846">
        <f>IFERROR($BB1904/$BJ1904,"..")</f>
        <v>0.11356490495710371</v>
      </c>
      <c r="BL1904" s="117">
        <f>IFERROR(VLOOKUP($D1904,'WB Data'!$C$3:$M$578,7,FALSE)/100,"..")</f>
        <v>2.59122E-2</v>
      </c>
      <c r="BM1904" s="117">
        <f>IFERROR($AW1904*$BL1904,"..")</f>
        <v>66805784.480831683</v>
      </c>
      <c r="BN1904" s="846">
        <f>IFERROR($BB1904/$BM1904,"..")</f>
        <v>0.11356490495710371</v>
      </c>
      <c r="BO1904" s="801">
        <f t="shared" si="323"/>
        <v>31</v>
      </c>
      <c r="BP1904" s="117" t="str">
        <f>VLOOKUP($D1904,'WB Data'!$C$3:$M$578,9,FALSE)</f>
        <v>..</v>
      </c>
      <c r="BQ1904" s="117">
        <f>VLOOKUP($D1904,'WB Data'!$C$3:$M$578,10,FALSE)</f>
        <v>44.838951219512197</v>
      </c>
      <c r="BR1904" s="117">
        <f>VLOOKUP($D1904,'WB Data'!$C$3:$M$578,11,FALSE)</f>
        <v>114.4</v>
      </c>
      <c r="BS1904" s="129" t="str">
        <f>IFERROR(VLOOKUP($D1904,'WB Data 2'!$C$2:$K$545,9,FALSE),"..")</f>
        <v>..</v>
      </c>
      <c r="BT1904" s="129">
        <f>_xlfn.IFNA(VLOOKUP($C1904,RGI!$A$2:$C$43,2,FALSE),"..")</f>
        <v>38.200000000000003</v>
      </c>
      <c r="BU1904" s="129">
        <f>_xlfn.IFNA(VLOOKUP($C1904,RGI!$A$2:$C$43,3,FALSE),"..")</f>
        <v>45.714033330666766</v>
      </c>
      <c r="BV1904" s="129">
        <f>VLOOKUP($D1904,WGI!$C$2:$O$478,7,FALSE)</f>
        <v>-0.18426051083702899</v>
      </c>
      <c r="BW1904" s="129">
        <f>VLOOKUP($D1904,WGI!$C$2:$O$478,4,FALSE)</f>
        <v>-0.24059077761397499</v>
      </c>
      <c r="BX1904" s="129">
        <f>VLOOKUP($D1904,WGI!$C$2:$O$478,3,FALSE)</f>
        <v>-1.2099461631278601</v>
      </c>
      <c r="BY1904" s="129">
        <f>VLOOKUP($D1904,WGI!$C$2:$O$478,5,FALSE)</f>
        <v>-0.72483633482770204</v>
      </c>
      <c r="BZ1904" s="129">
        <f>VLOOKUP($D1904,WGI!$C$2:$O$478,2,FALSE)</f>
        <v>-0.77319034381493701</v>
      </c>
      <c r="CB1904" s="129"/>
    </row>
    <row r="1905" spans="1:80" s="120" customFormat="1" ht="15" customHeight="1">
      <c r="A1905" s="280" t="s">
        <v>2235</v>
      </c>
      <c r="B1905" s="117">
        <v>2010</v>
      </c>
      <c r="C1905" s="117" t="s">
        <v>488</v>
      </c>
      <c r="D1905" s="117" t="s">
        <v>3678</v>
      </c>
      <c r="E1905" s="117" t="s">
        <v>86</v>
      </c>
      <c r="F1905" s="117"/>
      <c r="G1905" s="117" t="s">
        <v>55</v>
      </c>
      <c r="H1905" s="117" t="str">
        <f t="shared" si="328"/>
        <v>no</v>
      </c>
      <c r="I1905" s="117" t="str">
        <f t="shared" si="320"/>
        <v>yes</v>
      </c>
      <c r="J1905" s="117" t="str">
        <f t="shared" si="321"/>
        <v>yes</v>
      </c>
      <c r="K1905" s="117" t="s">
        <v>640</v>
      </c>
      <c r="L1905" s="117" t="str">
        <f t="shared" si="329"/>
        <v>Total</v>
      </c>
      <c r="M1905" s="117" t="str">
        <f t="shared" si="322"/>
        <v>Total Oil, Gas</v>
      </c>
      <c r="N1905" s="118"/>
      <c r="O1905" s="118"/>
      <c r="P1905" s="118"/>
      <c r="Q1905" s="118"/>
      <c r="R1905" s="118"/>
      <c r="S1905" s="117"/>
      <c r="T1905" s="119"/>
      <c r="U1905" s="117"/>
      <c r="V1905" s="117"/>
      <c r="W1905" s="89">
        <f>SUM(W1906:W1907)</f>
        <v>0</v>
      </c>
      <c r="X1905" s="89"/>
      <c r="Y1905" s="89"/>
      <c r="Z1905" s="89"/>
      <c r="AA1905" s="177">
        <v>1173808</v>
      </c>
      <c r="AB1905" s="177">
        <v>1173918</v>
      </c>
      <c r="AC1905" s="212" t="s">
        <v>2216</v>
      </c>
      <c r="AD1905" s="177">
        <f>AA1905*1</f>
        <v>1173808</v>
      </c>
      <c r="AE1905" s="212" t="s">
        <v>665</v>
      </c>
      <c r="AF1905" s="213" t="s">
        <v>603</v>
      </c>
      <c r="AG1905" s="89"/>
      <c r="AH1905" s="124"/>
      <c r="AI1905" s="117"/>
      <c r="AJ1905" s="117"/>
      <c r="AK1905" s="89"/>
      <c r="AL1905" s="117"/>
      <c r="AM1905" s="117"/>
      <c r="AN1905" s="117">
        <v>2</v>
      </c>
      <c r="AO1905" s="117" t="s">
        <v>2239</v>
      </c>
      <c r="AP1905" s="117">
        <v>2</v>
      </c>
      <c r="AQ1905" s="117"/>
      <c r="AR1905" s="126"/>
      <c r="AS1905" s="117"/>
      <c r="AT1905" s="117"/>
      <c r="AU1905" s="117" t="s">
        <v>2237</v>
      </c>
      <c r="AV1905" s="128"/>
      <c r="AW1905" s="117">
        <f>VLOOKUP($D1905,'WB Data'!$C$3:$M$578,2,FALSE)</f>
        <v>2578159495.5592995</v>
      </c>
      <c r="AX1905" s="117">
        <f>VLOOKUP($D1905,'WB Data'!$C$3:$M$578,3,FALSE)</f>
        <v>5751976</v>
      </c>
      <c r="AY1905" s="847">
        <f t="shared" si="324"/>
        <v>2.9427165302294629E-3</v>
      </c>
      <c r="AZ1905" s="117">
        <f>VLOOKUP($D1905,'WB Data'!$C$3:$M$578,4,FALSE)/100</f>
        <v>9.824607829312805E-2</v>
      </c>
      <c r="BA1905" s="117">
        <f t="shared" si="325"/>
        <v>253294059.65289044</v>
      </c>
      <c r="BB1905" s="129">
        <f>IFERROR(VLOOKUP($D1905,'EITI Revenues'!$C$2:$G$224,5,FALSE),"..")</f>
        <v>7586792.5651504043</v>
      </c>
      <c r="BC1905" s="846">
        <f t="shared" si="326"/>
        <v>2.9952508856888341E-2</v>
      </c>
      <c r="BD1905" s="129" t="str">
        <f>VLOOKUP($D1905,'WB Data 2'!$C$2:$K$545,6,FALSE)</f>
        <v>..</v>
      </c>
      <c r="BE1905" s="129">
        <f>IFERROR(VLOOKUP($D1905,UNCTAD!$C$5:$V$529,4,FALSE),"..")</f>
        <v>422910000</v>
      </c>
      <c r="BF1905" s="846" t="str">
        <f t="shared" si="327"/>
        <v>..</v>
      </c>
      <c r="BG1905" s="117">
        <f>VLOOKUP($D1905,'WB Data'!$C$3:$M$578,5,FALSE)</f>
        <v>466850000</v>
      </c>
      <c r="BH1905" s="129">
        <f>IFERROR($BB1905/$BG1905,"..")</f>
        <v>1.6251028307058806E-2</v>
      </c>
      <c r="BI1905" s="117">
        <f>IFERROR(VLOOKUP($D1905,'WB Data'!$C$3:$M$578,7,FALSE)/100,"..")</f>
        <v>2.59122E-2</v>
      </c>
      <c r="BJ1905" s="117">
        <f>IFERROR($BI1905*$AW1905,"..")</f>
        <v>66805784.480831683</v>
      </c>
      <c r="BK1905" s="846">
        <f>IFERROR($BB1905/$BJ1905,"..")</f>
        <v>0.11356490495710371</v>
      </c>
      <c r="BL1905" s="117">
        <f>IFERROR(VLOOKUP($D1905,'WB Data'!$C$3:$M$578,7,FALSE)/100,"..")</f>
        <v>2.59122E-2</v>
      </c>
      <c r="BM1905" s="117">
        <f>IFERROR($AW1905*$BL1905,"..")</f>
        <v>66805784.480831683</v>
      </c>
      <c r="BN1905" s="846">
        <f>IFERROR($BB1905/$BM1905,"..")</f>
        <v>0.11356490495710371</v>
      </c>
      <c r="BO1905" s="801">
        <f t="shared" si="323"/>
        <v>31</v>
      </c>
      <c r="BP1905" s="117" t="str">
        <f>VLOOKUP($D1905,'WB Data'!$C$3:$M$578,9,FALSE)</f>
        <v>..</v>
      </c>
      <c r="BQ1905" s="117">
        <f>VLOOKUP($D1905,'WB Data'!$C$3:$M$578,10,FALSE)</f>
        <v>44.838951219512197</v>
      </c>
      <c r="BR1905" s="117">
        <f>VLOOKUP($D1905,'WB Data'!$C$3:$M$578,11,FALSE)</f>
        <v>114.4</v>
      </c>
      <c r="BS1905" s="129" t="str">
        <f>IFERROR(VLOOKUP($D1905,'WB Data 2'!$C$2:$K$545,9,FALSE),"..")</f>
        <v>..</v>
      </c>
      <c r="BT1905" s="129">
        <f>_xlfn.IFNA(VLOOKUP($C1905,RGI!$A$2:$C$43,2,FALSE),"..")</f>
        <v>38.200000000000003</v>
      </c>
      <c r="BU1905" s="129">
        <f>_xlfn.IFNA(VLOOKUP($C1905,RGI!$A$2:$C$43,3,FALSE),"..")</f>
        <v>45.714033330666766</v>
      </c>
      <c r="BV1905" s="129">
        <f>VLOOKUP($D1905,WGI!$C$2:$O$478,7,FALSE)</f>
        <v>-0.18426051083702899</v>
      </c>
      <c r="BW1905" s="129">
        <f>VLOOKUP($D1905,WGI!$C$2:$O$478,4,FALSE)</f>
        <v>-0.24059077761397499</v>
      </c>
      <c r="BX1905" s="129">
        <f>VLOOKUP($D1905,WGI!$C$2:$O$478,3,FALSE)</f>
        <v>-1.2099461631278601</v>
      </c>
      <c r="BY1905" s="129">
        <f>VLOOKUP($D1905,WGI!$C$2:$O$478,5,FALSE)</f>
        <v>-0.72483633482770204</v>
      </c>
      <c r="BZ1905" s="129">
        <f>VLOOKUP($D1905,WGI!$C$2:$O$478,2,FALSE)</f>
        <v>-0.77319034381493701</v>
      </c>
      <c r="CB1905" s="129"/>
    </row>
    <row r="1906" spans="1:80" s="120" customFormat="1" ht="15" customHeight="1">
      <c r="A1906" s="280" t="s">
        <v>2235</v>
      </c>
      <c r="B1906" s="117">
        <v>2010</v>
      </c>
      <c r="C1906" s="117" t="s">
        <v>488</v>
      </c>
      <c r="D1906" s="117" t="s">
        <v>3678</v>
      </c>
      <c r="E1906" s="117" t="s">
        <v>86</v>
      </c>
      <c r="F1906" s="117"/>
      <c r="G1906" s="117" t="s">
        <v>103</v>
      </c>
      <c r="H1906" s="117" t="str">
        <f t="shared" si="328"/>
        <v>no</v>
      </c>
      <c r="I1906" s="117" t="str">
        <f t="shared" si="320"/>
        <v>no</v>
      </c>
      <c r="J1906" s="117" t="str">
        <f t="shared" si="321"/>
        <v>yes</v>
      </c>
      <c r="K1906" s="117" t="s">
        <v>561</v>
      </c>
      <c r="L1906" s="117" t="str">
        <f t="shared" si="329"/>
        <v>detailed</v>
      </c>
      <c r="M1906" s="117" t="str">
        <f t="shared" si="322"/>
        <v>detailed Oil</v>
      </c>
      <c r="N1906" s="118">
        <v>0</v>
      </c>
      <c r="O1906" s="118"/>
      <c r="P1906" s="118"/>
      <c r="Q1906" s="118"/>
      <c r="R1906" s="118"/>
      <c r="S1906" s="117" t="s">
        <v>2218</v>
      </c>
      <c r="T1906" s="119"/>
      <c r="U1906" s="89"/>
      <c r="V1906" s="89" t="s">
        <v>2219</v>
      </c>
      <c r="W1906" s="89">
        <f>N1906*T1906</f>
        <v>0</v>
      </c>
      <c r="X1906" s="89"/>
      <c r="Y1906" s="89"/>
      <c r="Z1906" s="89"/>
      <c r="AA1906" s="177"/>
      <c r="AB1906" s="177"/>
      <c r="AC1906" s="122"/>
      <c r="AD1906" s="122"/>
      <c r="AE1906" s="122"/>
      <c r="AF1906" s="123"/>
      <c r="AG1906" s="89"/>
      <c r="AH1906" s="124"/>
      <c r="AI1906" s="117"/>
      <c r="AJ1906" s="117"/>
      <c r="AK1906" s="89"/>
      <c r="AL1906" s="117"/>
      <c r="AM1906" s="117"/>
      <c r="AN1906" s="117"/>
      <c r="AO1906" s="117"/>
      <c r="AP1906" s="117"/>
      <c r="AQ1906" s="117"/>
      <c r="AR1906" s="126"/>
      <c r="AS1906" s="117"/>
      <c r="AT1906" s="117"/>
      <c r="AU1906" s="117"/>
      <c r="AV1906" s="128"/>
      <c r="AW1906" s="117">
        <f>VLOOKUP($D1906,'WB Data'!$C$3:$M$578,2,FALSE)</f>
        <v>2578159495.5592995</v>
      </c>
      <c r="AX1906" s="117">
        <f>VLOOKUP($D1906,'WB Data'!$C$3:$M$578,3,FALSE)</f>
        <v>5751976</v>
      </c>
      <c r="AY1906" s="847">
        <f t="shared" si="324"/>
        <v>2.9427165302294629E-3</v>
      </c>
      <c r="AZ1906" s="117">
        <f>VLOOKUP($D1906,'WB Data'!$C$3:$M$578,4,FALSE)/100</f>
        <v>9.824607829312805E-2</v>
      </c>
      <c r="BA1906" s="117">
        <f t="shared" si="325"/>
        <v>253294059.65289044</v>
      </c>
      <c r="BB1906" s="129">
        <f>IFERROR(VLOOKUP($D1906,'EITI Revenues'!$C$2:$G$224,5,FALSE),"..")</f>
        <v>7586792.5651504043</v>
      </c>
      <c r="BC1906" s="846">
        <f t="shared" si="326"/>
        <v>2.9952508856888341E-2</v>
      </c>
      <c r="BD1906" s="129" t="str">
        <f>VLOOKUP($D1906,'WB Data 2'!$C$2:$K$545,6,FALSE)</f>
        <v>..</v>
      </c>
      <c r="BE1906" s="129">
        <f>IFERROR(VLOOKUP($D1906,UNCTAD!$C$5:$V$529,4,FALSE),"..")</f>
        <v>422910000</v>
      </c>
      <c r="BF1906" s="846" t="str">
        <f t="shared" si="327"/>
        <v>..</v>
      </c>
      <c r="BG1906" s="117">
        <f>VLOOKUP($D1906,'WB Data'!$C$3:$M$578,5,FALSE)</f>
        <v>466850000</v>
      </c>
      <c r="BH1906" s="129">
        <f>IFERROR($BB1906/$BG1906,"..")</f>
        <v>1.6251028307058806E-2</v>
      </c>
      <c r="BI1906" s="117">
        <f>IFERROR(VLOOKUP($D1906,'WB Data'!$C$3:$M$578,7,FALSE)/100,"..")</f>
        <v>2.59122E-2</v>
      </c>
      <c r="BJ1906" s="117">
        <f>IFERROR($BI1906*$AW1906,"..")</f>
        <v>66805784.480831683</v>
      </c>
      <c r="BK1906" s="846">
        <f>IFERROR($BB1906/$BJ1906,"..")</f>
        <v>0.11356490495710371</v>
      </c>
      <c r="BL1906" s="117">
        <f>IFERROR(VLOOKUP($D1906,'WB Data'!$C$3:$M$578,7,FALSE)/100,"..")</f>
        <v>2.59122E-2</v>
      </c>
      <c r="BM1906" s="117">
        <f>IFERROR($AW1906*$BL1906,"..")</f>
        <v>66805784.480831683</v>
      </c>
      <c r="BN1906" s="846">
        <f>IFERROR($BB1906/$BM1906,"..")</f>
        <v>0.11356490495710371</v>
      </c>
      <c r="BO1906" s="801">
        <f t="shared" si="323"/>
        <v>31</v>
      </c>
      <c r="BP1906" s="117" t="str">
        <f>VLOOKUP($D1906,'WB Data'!$C$3:$M$578,9,FALSE)</f>
        <v>..</v>
      </c>
      <c r="BQ1906" s="117">
        <f>VLOOKUP($D1906,'WB Data'!$C$3:$M$578,10,FALSE)</f>
        <v>44.838951219512197</v>
      </c>
      <c r="BR1906" s="117">
        <f>VLOOKUP($D1906,'WB Data'!$C$3:$M$578,11,FALSE)</f>
        <v>114.4</v>
      </c>
      <c r="BS1906" s="129" t="str">
        <f>IFERROR(VLOOKUP($D1906,'WB Data 2'!$C$2:$K$545,9,FALSE),"..")</f>
        <v>..</v>
      </c>
      <c r="BT1906" s="129">
        <f>_xlfn.IFNA(VLOOKUP($C1906,RGI!$A$2:$C$43,2,FALSE),"..")</f>
        <v>38.200000000000003</v>
      </c>
      <c r="BU1906" s="129">
        <f>_xlfn.IFNA(VLOOKUP($C1906,RGI!$A$2:$C$43,3,FALSE),"..")</f>
        <v>45.714033330666766</v>
      </c>
      <c r="BV1906" s="129">
        <f>VLOOKUP($D1906,WGI!$C$2:$O$478,7,FALSE)</f>
        <v>-0.18426051083702899</v>
      </c>
      <c r="BW1906" s="129">
        <f>VLOOKUP($D1906,WGI!$C$2:$O$478,4,FALSE)</f>
        <v>-0.24059077761397499</v>
      </c>
      <c r="BX1906" s="129">
        <f>VLOOKUP($D1906,WGI!$C$2:$O$478,3,FALSE)</f>
        <v>-1.2099461631278601</v>
      </c>
      <c r="BY1906" s="129">
        <f>VLOOKUP($D1906,WGI!$C$2:$O$478,5,FALSE)</f>
        <v>-0.72483633482770204</v>
      </c>
      <c r="BZ1906" s="129">
        <f>VLOOKUP($D1906,WGI!$C$2:$O$478,2,FALSE)</f>
        <v>-0.77319034381493701</v>
      </c>
      <c r="CB1906" s="129"/>
    </row>
    <row r="1907" spans="1:80" s="120" customFormat="1" ht="15" customHeight="1">
      <c r="A1907" s="280" t="s">
        <v>2235</v>
      </c>
      <c r="B1907" s="117">
        <v>2010</v>
      </c>
      <c r="C1907" s="117" t="s">
        <v>488</v>
      </c>
      <c r="D1907" s="117" t="s">
        <v>3678</v>
      </c>
      <c r="E1907" s="117" t="s">
        <v>86</v>
      </c>
      <c r="F1907" s="117"/>
      <c r="G1907" s="117" t="s">
        <v>561</v>
      </c>
      <c r="H1907" s="117" t="str">
        <f t="shared" si="328"/>
        <v>no</v>
      </c>
      <c r="I1907" s="117" t="str">
        <f t="shared" si="320"/>
        <v>yes</v>
      </c>
      <c r="J1907" s="117" t="str">
        <f t="shared" si="321"/>
        <v>no</v>
      </c>
      <c r="K1907" s="117" t="s">
        <v>103</v>
      </c>
      <c r="L1907" s="117" t="str">
        <f t="shared" si="329"/>
        <v>detailed</v>
      </c>
      <c r="M1907" s="117" t="str">
        <f t="shared" si="322"/>
        <v>detailed Gas</v>
      </c>
      <c r="N1907" s="118">
        <v>0</v>
      </c>
      <c r="O1907" s="118"/>
      <c r="P1907" s="118"/>
      <c r="Q1907" s="118"/>
      <c r="R1907" s="118"/>
      <c r="S1907" s="117" t="s">
        <v>646</v>
      </c>
      <c r="T1907" s="119"/>
      <c r="U1907" s="89"/>
      <c r="V1907" s="89" t="s">
        <v>2219</v>
      </c>
      <c r="W1907" s="89">
        <f>N1907*T1907</f>
        <v>0</v>
      </c>
      <c r="X1907" s="89"/>
      <c r="Y1907" s="89"/>
      <c r="Z1907" s="89"/>
      <c r="AA1907" s="177"/>
      <c r="AB1907" s="177"/>
      <c r="AC1907" s="122"/>
      <c r="AD1907" s="122"/>
      <c r="AE1907" s="122"/>
      <c r="AF1907" s="123"/>
      <c r="AG1907" s="89"/>
      <c r="AH1907" s="124"/>
      <c r="AI1907" s="117"/>
      <c r="AJ1907" s="117"/>
      <c r="AK1907" s="89"/>
      <c r="AL1907" s="117"/>
      <c r="AM1907" s="117"/>
      <c r="AN1907" s="117"/>
      <c r="AO1907" s="117"/>
      <c r="AP1907" s="117"/>
      <c r="AQ1907" s="117"/>
      <c r="AR1907" s="126"/>
      <c r="AS1907" s="117"/>
      <c r="AT1907" s="117"/>
      <c r="AU1907" s="117"/>
      <c r="AV1907" s="128"/>
      <c r="AW1907" s="117">
        <f>VLOOKUP($D1907,'WB Data'!$C$3:$M$578,2,FALSE)</f>
        <v>2578159495.5592995</v>
      </c>
      <c r="AX1907" s="117">
        <f>VLOOKUP($D1907,'WB Data'!$C$3:$M$578,3,FALSE)</f>
        <v>5751976</v>
      </c>
      <c r="AY1907" s="847">
        <f t="shared" si="324"/>
        <v>2.9427165302294629E-3</v>
      </c>
      <c r="AZ1907" s="117">
        <f>VLOOKUP($D1907,'WB Data'!$C$3:$M$578,4,FALSE)/100</f>
        <v>9.824607829312805E-2</v>
      </c>
      <c r="BA1907" s="117">
        <f t="shared" si="325"/>
        <v>253294059.65289044</v>
      </c>
      <c r="BB1907" s="129">
        <f>IFERROR(VLOOKUP($D1907,'EITI Revenues'!$C$2:$G$224,5,FALSE),"..")</f>
        <v>7586792.5651504043</v>
      </c>
      <c r="BC1907" s="846">
        <f t="shared" si="326"/>
        <v>2.9952508856888341E-2</v>
      </c>
      <c r="BD1907" s="129" t="str">
        <f>VLOOKUP($D1907,'WB Data 2'!$C$2:$K$545,6,FALSE)</f>
        <v>..</v>
      </c>
      <c r="BE1907" s="129">
        <f>IFERROR(VLOOKUP($D1907,UNCTAD!$C$5:$V$529,4,FALSE),"..")</f>
        <v>422910000</v>
      </c>
      <c r="BF1907" s="846" t="str">
        <f t="shared" si="327"/>
        <v>..</v>
      </c>
      <c r="BG1907" s="117">
        <f>VLOOKUP($D1907,'WB Data'!$C$3:$M$578,5,FALSE)</f>
        <v>466850000</v>
      </c>
      <c r="BH1907" s="129">
        <f>IFERROR($BB1907/$BG1907,"..")</f>
        <v>1.6251028307058806E-2</v>
      </c>
      <c r="BI1907" s="117">
        <f>IFERROR(VLOOKUP($D1907,'WB Data'!$C$3:$M$578,7,FALSE)/100,"..")</f>
        <v>2.59122E-2</v>
      </c>
      <c r="BJ1907" s="117">
        <f>IFERROR($BI1907*$AW1907,"..")</f>
        <v>66805784.480831683</v>
      </c>
      <c r="BK1907" s="846">
        <f>IFERROR($BB1907/$BJ1907,"..")</f>
        <v>0.11356490495710371</v>
      </c>
      <c r="BL1907" s="117">
        <f>IFERROR(VLOOKUP($D1907,'WB Data'!$C$3:$M$578,7,FALSE)/100,"..")</f>
        <v>2.59122E-2</v>
      </c>
      <c r="BM1907" s="117">
        <f>IFERROR($AW1907*$BL1907,"..")</f>
        <v>66805784.480831683</v>
      </c>
      <c r="BN1907" s="846">
        <f>IFERROR($BB1907/$BM1907,"..")</f>
        <v>0.11356490495710371</v>
      </c>
      <c r="BO1907" s="801">
        <f t="shared" si="323"/>
        <v>31</v>
      </c>
      <c r="BP1907" s="117" t="str">
        <f>VLOOKUP($D1907,'WB Data'!$C$3:$M$578,9,FALSE)</f>
        <v>..</v>
      </c>
      <c r="BQ1907" s="117">
        <f>VLOOKUP($D1907,'WB Data'!$C$3:$M$578,10,FALSE)</f>
        <v>44.838951219512197</v>
      </c>
      <c r="BR1907" s="117">
        <f>VLOOKUP($D1907,'WB Data'!$C$3:$M$578,11,FALSE)</f>
        <v>114.4</v>
      </c>
      <c r="BS1907" s="129" t="str">
        <f>IFERROR(VLOOKUP($D1907,'WB Data 2'!$C$2:$K$545,9,FALSE),"..")</f>
        <v>..</v>
      </c>
      <c r="BT1907" s="129">
        <f>_xlfn.IFNA(VLOOKUP($C1907,RGI!$A$2:$C$43,2,FALSE),"..")</f>
        <v>38.200000000000003</v>
      </c>
      <c r="BU1907" s="129">
        <f>_xlfn.IFNA(VLOOKUP($C1907,RGI!$A$2:$C$43,3,FALSE),"..")</f>
        <v>45.714033330666766</v>
      </c>
      <c r="BV1907" s="129">
        <f>VLOOKUP($D1907,WGI!$C$2:$O$478,7,FALSE)</f>
        <v>-0.18426051083702899</v>
      </c>
      <c r="BW1907" s="129">
        <f>VLOOKUP($D1907,WGI!$C$2:$O$478,4,FALSE)</f>
        <v>-0.24059077761397499</v>
      </c>
      <c r="BX1907" s="129">
        <f>VLOOKUP($D1907,WGI!$C$2:$O$478,3,FALSE)</f>
        <v>-1.2099461631278601</v>
      </c>
      <c r="BY1907" s="129">
        <f>VLOOKUP($D1907,WGI!$C$2:$O$478,5,FALSE)</f>
        <v>-0.72483633482770204</v>
      </c>
      <c r="BZ1907" s="129">
        <f>VLOOKUP($D1907,WGI!$C$2:$O$478,2,FALSE)</f>
        <v>-0.77319034381493701</v>
      </c>
      <c r="CB1907" s="129"/>
    </row>
    <row r="1908" spans="1:80" s="120" customFormat="1" ht="15" customHeight="1">
      <c r="A1908" s="280" t="s">
        <v>2235</v>
      </c>
      <c r="B1908" s="117">
        <v>2010</v>
      </c>
      <c r="C1908" s="117" t="s">
        <v>488</v>
      </c>
      <c r="D1908" s="117" t="s">
        <v>3678</v>
      </c>
      <c r="E1908" s="117" t="s">
        <v>86</v>
      </c>
      <c r="F1908" s="117"/>
      <c r="G1908" s="117" t="s">
        <v>24</v>
      </c>
      <c r="H1908" s="117" t="str">
        <f t="shared" si="328"/>
        <v>yes</v>
      </c>
      <c r="I1908" s="117" t="str">
        <f t="shared" si="320"/>
        <v>no</v>
      </c>
      <c r="J1908" s="117" t="str">
        <f t="shared" si="321"/>
        <v>no</v>
      </c>
      <c r="K1908" s="117" t="s">
        <v>600</v>
      </c>
      <c r="L1908" s="117" t="str">
        <f t="shared" si="329"/>
        <v>Total</v>
      </c>
      <c r="M1908" s="117" t="str">
        <f t="shared" si="322"/>
        <v>Total Mining</v>
      </c>
      <c r="N1908" s="118"/>
      <c r="O1908" s="118"/>
      <c r="P1908" s="118"/>
      <c r="Q1908" s="118"/>
      <c r="R1908" s="118"/>
      <c r="S1908" s="117"/>
      <c r="T1908" s="119"/>
      <c r="U1908" s="117"/>
      <c r="V1908" s="117"/>
      <c r="W1908" s="89">
        <f>SUM(W1909:W1916)-SUM(W1914:W1916)</f>
        <v>193112882.46384859</v>
      </c>
      <c r="X1908" s="117"/>
      <c r="Y1908" s="117"/>
      <c r="Z1908" s="117"/>
      <c r="AA1908" s="177">
        <v>6412984.5651504043</v>
      </c>
      <c r="AB1908" s="177">
        <v>7099552.9751235368</v>
      </c>
      <c r="AC1908" s="122"/>
      <c r="AD1908" s="122"/>
      <c r="AE1908" s="122"/>
      <c r="AF1908" s="123">
        <f>AA1908/W1908</f>
        <v>3.3208476220383372E-2</v>
      </c>
      <c r="AG1908" s="117"/>
      <c r="AH1908" s="124"/>
      <c r="AI1908" s="117"/>
      <c r="AJ1908" s="117"/>
      <c r="AK1908" s="89"/>
      <c r="AL1908" s="117"/>
      <c r="AM1908" s="117"/>
      <c r="AN1908" s="117">
        <v>12</v>
      </c>
      <c r="AO1908" s="117" t="s">
        <v>2240</v>
      </c>
      <c r="AP1908" s="117">
        <v>11</v>
      </c>
      <c r="AQ1908" s="117"/>
      <c r="AR1908" s="126"/>
      <c r="AS1908" s="117"/>
      <c r="AT1908" s="117"/>
      <c r="AU1908" s="117" t="s">
        <v>2237</v>
      </c>
      <c r="AV1908" s="128"/>
      <c r="AW1908" s="117">
        <f>VLOOKUP($D1908,'WB Data'!$C$3:$M$578,2,FALSE)</f>
        <v>2578159495.5592995</v>
      </c>
      <c r="AX1908" s="117">
        <f>VLOOKUP($D1908,'WB Data'!$C$3:$M$578,3,FALSE)</f>
        <v>5751976</v>
      </c>
      <c r="AY1908" s="847">
        <f t="shared" si="324"/>
        <v>2.9427165302294629E-3</v>
      </c>
      <c r="AZ1908" s="117">
        <f>VLOOKUP($D1908,'WB Data'!$C$3:$M$578,4,FALSE)/100</f>
        <v>9.824607829312805E-2</v>
      </c>
      <c r="BA1908" s="117">
        <f t="shared" si="325"/>
        <v>253294059.65289044</v>
      </c>
      <c r="BB1908" s="129">
        <f>IFERROR(VLOOKUP($D1908,'EITI Revenues'!$C$2:$G$224,5,FALSE),"..")</f>
        <v>7586792.5651504043</v>
      </c>
      <c r="BC1908" s="846">
        <f t="shared" si="326"/>
        <v>2.9952508856888341E-2</v>
      </c>
      <c r="BD1908" s="129" t="str">
        <f>VLOOKUP($D1908,'WB Data 2'!$C$2:$K$545,6,FALSE)</f>
        <v>..</v>
      </c>
      <c r="BE1908" s="129">
        <f>IFERROR(VLOOKUP($D1908,UNCTAD!$C$5:$V$529,4,FALSE),"..")</f>
        <v>422910000</v>
      </c>
      <c r="BF1908" s="846" t="str">
        <f t="shared" si="327"/>
        <v>..</v>
      </c>
      <c r="BG1908" s="117">
        <f>VLOOKUP($D1908,'WB Data'!$C$3:$M$578,5,FALSE)</f>
        <v>466850000</v>
      </c>
      <c r="BH1908" s="129">
        <f>IFERROR($BB1908/$BG1908,"..")</f>
        <v>1.6251028307058806E-2</v>
      </c>
      <c r="BI1908" s="117">
        <f>IFERROR(VLOOKUP($D1908,'WB Data'!$C$3:$M$578,7,FALSE)/100,"..")</f>
        <v>2.59122E-2</v>
      </c>
      <c r="BJ1908" s="117">
        <f>IFERROR($BI1908*$AW1908,"..")</f>
        <v>66805784.480831683</v>
      </c>
      <c r="BK1908" s="846">
        <f>IFERROR($BB1908/$BJ1908,"..")</f>
        <v>0.11356490495710371</v>
      </c>
      <c r="BL1908" s="117">
        <f>IFERROR(VLOOKUP($D1908,'WB Data'!$C$3:$M$578,7,FALSE)/100,"..")</f>
        <v>2.59122E-2</v>
      </c>
      <c r="BM1908" s="117">
        <f>IFERROR($AW1908*$BL1908,"..")</f>
        <v>66805784.480831683</v>
      </c>
      <c r="BN1908" s="846">
        <f>IFERROR($BB1908/$BM1908,"..")</f>
        <v>0.11356490495710371</v>
      </c>
      <c r="BO1908" s="801">
        <f t="shared" si="323"/>
        <v>31</v>
      </c>
      <c r="BP1908" s="117" t="str">
        <f>VLOOKUP($D1908,'WB Data'!$C$3:$M$578,9,FALSE)</f>
        <v>..</v>
      </c>
      <c r="BQ1908" s="117">
        <f>VLOOKUP($D1908,'WB Data'!$C$3:$M$578,10,FALSE)</f>
        <v>44.838951219512197</v>
      </c>
      <c r="BR1908" s="117">
        <f>VLOOKUP($D1908,'WB Data'!$C$3:$M$578,11,FALSE)</f>
        <v>114.4</v>
      </c>
      <c r="BS1908" s="129" t="str">
        <f>IFERROR(VLOOKUP($D1908,'WB Data 2'!$C$2:$K$545,9,FALSE),"..")</f>
        <v>..</v>
      </c>
      <c r="BT1908" s="129">
        <f>_xlfn.IFNA(VLOOKUP($C1908,RGI!$A$2:$C$43,2,FALSE),"..")</f>
        <v>38.200000000000003</v>
      </c>
      <c r="BU1908" s="129">
        <f>_xlfn.IFNA(VLOOKUP($C1908,RGI!$A$2:$C$43,3,FALSE),"..")</f>
        <v>45.714033330666766</v>
      </c>
      <c r="BV1908" s="129">
        <f>VLOOKUP($D1908,WGI!$C$2:$O$478,7,FALSE)</f>
        <v>-0.18426051083702899</v>
      </c>
      <c r="BW1908" s="129">
        <f>VLOOKUP($D1908,WGI!$C$2:$O$478,4,FALSE)</f>
        <v>-0.24059077761397499</v>
      </c>
      <c r="BX1908" s="129">
        <f>VLOOKUP($D1908,WGI!$C$2:$O$478,3,FALSE)</f>
        <v>-1.2099461631278601</v>
      </c>
      <c r="BY1908" s="129">
        <f>VLOOKUP($D1908,WGI!$C$2:$O$478,5,FALSE)</f>
        <v>-0.72483633482770204</v>
      </c>
      <c r="BZ1908" s="129">
        <f>VLOOKUP($D1908,WGI!$C$2:$O$478,2,FALSE)</f>
        <v>-0.77319034381493701</v>
      </c>
      <c r="CB1908" s="129"/>
    </row>
    <row r="1909" spans="1:80" s="120" customFormat="1" ht="15" customHeight="1">
      <c r="A1909" s="280" t="s">
        <v>2235</v>
      </c>
      <c r="B1909" s="117">
        <v>2010</v>
      </c>
      <c r="C1909" s="117" t="s">
        <v>488</v>
      </c>
      <c r="D1909" s="117" t="s">
        <v>3678</v>
      </c>
      <c r="E1909" s="117" t="s">
        <v>86</v>
      </c>
      <c r="F1909" s="117"/>
      <c r="G1909" s="117" t="s">
        <v>24</v>
      </c>
      <c r="H1909" s="117" t="str">
        <f t="shared" si="328"/>
        <v>yes</v>
      </c>
      <c r="I1909" s="117" t="str">
        <f t="shared" si="320"/>
        <v>no</v>
      </c>
      <c r="J1909" s="117" t="str">
        <f t="shared" si="321"/>
        <v>no</v>
      </c>
      <c r="K1909" s="117" t="s">
        <v>1138</v>
      </c>
      <c r="L1909" s="117" t="str">
        <f t="shared" si="329"/>
        <v>detailed</v>
      </c>
      <c r="M1909" s="117" t="str">
        <f t="shared" si="322"/>
        <v>detailed Mining</v>
      </c>
      <c r="N1909" s="118">
        <v>1090000</v>
      </c>
      <c r="O1909" s="118"/>
      <c r="P1909" s="118"/>
      <c r="Q1909" s="118"/>
      <c r="R1909" s="118"/>
      <c r="S1909" s="117" t="s">
        <v>610</v>
      </c>
      <c r="T1909" s="119">
        <v>29.41</v>
      </c>
      <c r="U1909" s="117" t="s">
        <v>611</v>
      </c>
      <c r="V1909" s="117" t="s">
        <v>1319</v>
      </c>
      <c r="W1909" s="89">
        <f>N1909*T1909</f>
        <v>32056900</v>
      </c>
      <c r="X1909" s="117"/>
      <c r="Y1909" s="89"/>
      <c r="Z1909" s="89"/>
      <c r="AA1909" s="177">
        <v>600110.54487721471</v>
      </c>
      <c r="AB1909" s="177">
        <v>1077880.9682655996</v>
      </c>
      <c r="AC1909" s="122"/>
      <c r="AD1909" s="122"/>
      <c r="AE1909" s="122"/>
      <c r="AF1909" s="123">
        <f>AA1909/W1909</f>
        <v>1.872016772916953E-2</v>
      </c>
      <c r="AG1909" s="89"/>
      <c r="AH1909" s="124"/>
      <c r="AI1909" s="117"/>
      <c r="AJ1909" s="89"/>
      <c r="AK1909" s="89"/>
      <c r="AL1909" s="117"/>
      <c r="AM1909" s="117"/>
      <c r="AN1909" s="117">
        <v>1</v>
      </c>
      <c r="AO1909" s="117" t="s">
        <v>2222</v>
      </c>
      <c r="AP1909" s="117">
        <v>1</v>
      </c>
      <c r="AQ1909" s="117"/>
      <c r="AR1909" s="117"/>
      <c r="AS1909" s="117"/>
      <c r="AT1909" s="117"/>
      <c r="AU1909" s="117" t="s">
        <v>2237</v>
      </c>
      <c r="AV1909" s="128"/>
      <c r="AW1909" s="117">
        <f>VLOOKUP($D1909,'WB Data'!$C$3:$M$578,2,FALSE)</f>
        <v>2578159495.5592995</v>
      </c>
      <c r="AX1909" s="117">
        <f>VLOOKUP($D1909,'WB Data'!$C$3:$M$578,3,FALSE)</f>
        <v>5751976</v>
      </c>
      <c r="AY1909" s="847">
        <f t="shared" si="324"/>
        <v>2.9427165302294629E-3</v>
      </c>
      <c r="AZ1909" s="117">
        <f>VLOOKUP($D1909,'WB Data'!$C$3:$M$578,4,FALSE)/100</f>
        <v>9.824607829312805E-2</v>
      </c>
      <c r="BA1909" s="117">
        <f t="shared" si="325"/>
        <v>253294059.65289044</v>
      </c>
      <c r="BB1909" s="129">
        <f>IFERROR(VLOOKUP($D1909,'EITI Revenues'!$C$2:$G$224,5,FALSE),"..")</f>
        <v>7586792.5651504043</v>
      </c>
      <c r="BC1909" s="846">
        <f t="shared" si="326"/>
        <v>2.9952508856888341E-2</v>
      </c>
      <c r="BD1909" s="129" t="str">
        <f>VLOOKUP($D1909,'WB Data 2'!$C$2:$K$545,6,FALSE)</f>
        <v>..</v>
      </c>
      <c r="BE1909" s="129">
        <f>IFERROR(VLOOKUP($D1909,UNCTAD!$C$5:$V$529,4,FALSE),"..")</f>
        <v>422910000</v>
      </c>
      <c r="BF1909" s="846" t="str">
        <f t="shared" si="327"/>
        <v>..</v>
      </c>
      <c r="BG1909" s="117">
        <f>VLOOKUP($D1909,'WB Data'!$C$3:$M$578,5,FALSE)</f>
        <v>466850000</v>
      </c>
      <c r="BH1909" s="129">
        <f>IFERROR($BB1909/$BG1909,"..")</f>
        <v>1.6251028307058806E-2</v>
      </c>
      <c r="BI1909" s="117">
        <f>IFERROR(VLOOKUP($D1909,'WB Data'!$C$3:$M$578,7,FALSE)/100,"..")</f>
        <v>2.59122E-2</v>
      </c>
      <c r="BJ1909" s="117">
        <f>IFERROR($BI1909*$AW1909,"..")</f>
        <v>66805784.480831683</v>
      </c>
      <c r="BK1909" s="846">
        <f>IFERROR($BB1909/$BJ1909,"..")</f>
        <v>0.11356490495710371</v>
      </c>
      <c r="BL1909" s="117">
        <f>IFERROR(VLOOKUP($D1909,'WB Data'!$C$3:$M$578,7,FALSE)/100,"..")</f>
        <v>2.59122E-2</v>
      </c>
      <c r="BM1909" s="117">
        <f>IFERROR($AW1909*$BL1909,"..")</f>
        <v>66805784.480831683</v>
      </c>
      <c r="BN1909" s="846">
        <f>IFERROR($BB1909/$BM1909,"..")</f>
        <v>0.11356490495710371</v>
      </c>
      <c r="BO1909" s="801">
        <f t="shared" si="323"/>
        <v>31</v>
      </c>
      <c r="BP1909" s="117" t="str">
        <f>VLOOKUP($D1909,'WB Data'!$C$3:$M$578,9,FALSE)</f>
        <v>..</v>
      </c>
      <c r="BQ1909" s="117">
        <f>VLOOKUP($D1909,'WB Data'!$C$3:$M$578,10,FALSE)</f>
        <v>44.838951219512197</v>
      </c>
      <c r="BR1909" s="117">
        <f>VLOOKUP($D1909,'WB Data'!$C$3:$M$578,11,FALSE)</f>
        <v>114.4</v>
      </c>
      <c r="BS1909" s="129" t="str">
        <f>IFERROR(VLOOKUP($D1909,'WB Data 2'!$C$2:$K$545,9,FALSE),"..")</f>
        <v>..</v>
      </c>
      <c r="BT1909" s="129">
        <f>_xlfn.IFNA(VLOOKUP($C1909,RGI!$A$2:$C$43,2,FALSE),"..")</f>
        <v>38.200000000000003</v>
      </c>
      <c r="BU1909" s="129">
        <f>_xlfn.IFNA(VLOOKUP($C1909,RGI!$A$2:$C$43,3,FALSE),"..")</f>
        <v>45.714033330666766</v>
      </c>
      <c r="BV1909" s="129">
        <f>VLOOKUP($D1909,WGI!$C$2:$O$478,7,FALSE)</f>
        <v>-0.18426051083702899</v>
      </c>
      <c r="BW1909" s="129">
        <f>VLOOKUP($D1909,WGI!$C$2:$O$478,4,FALSE)</f>
        <v>-0.24059077761397499</v>
      </c>
      <c r="BX1909" s="129">
        <f>VLOOKUP($D1909,WGI!$C$2:$O$478,3,FALSE)</f>
        <v>-1.2099461631278601</v>
      </c>
      <c r="BY1909" s="129">
        <f>VLOOKUP($D1909,WGI!$C$2:$O$478,5,FALSE)</f>
        <v>-0.72483633482770204</v>
      </c>
      <c r="BZ1909" s="129">
        <f>VLOOKUP($D1909,WGI!$C$2:$O$478,2,FALSE)</f>
        <v>-0.77319034381493701</v>
      </c>
      <c r="CB1909" s="129"/>
    </row>
    <row r="1910" spans="1:80" s="120" customFormat="1" ht="15" customHeight="1">
      <c r="A1910" s="280" t="s">
        <v>2235</v>
      </c>
      <c r="B1910" s="117">
        <v>2010</v>
      </c>
      <c r="C1910" s="117" t="s">
        <v>488</v>
      </c>
      <c r="D1910" s="117" t="s">
        <v>3678</v>
      </c>
      <c r="E1910" s="117" t="s">
        <v>86</v>
      </c>
      <c r="F1910" s="117"/>
      <c r="G1910" s="117" t="s">
        <v>24</v>
      </c>
      <c r="H1910" s="117" t="str">
        <f t="shared" si="328"/>
        <v>yes</v>
      </c>
      <c r="I1910" s="117" t="str">
        <f t="shared" si="320"/>
        <v>no</v>
      </c>
      <c r="J1910" s="117" t="str">
        <f t="shared" si="321"/>
        <v>no</v>
      </c>
      <c r="K1910" s="117" t="s">
        <v>980</v>
      </c>
      <c r="L1910" s="117" t="str">
        <f t="shared" si="329"/>
        <v>detailed</v>
      </c>
      <c r="M1910" s="117" t="str">
        <f t="shared" si="322"/>
        <v>detailed Mining</v>
      </c>
      <c r="N1910" s="118">
        <v>437516</v>
      </c>
      <c r="O1910" s="118"/>
      <c r="P1910" s="118"/>
      <c r="Q1910" s="118"/>
      <c r="R1910" s="118"/>
      <c r="S1910" s="117" t="s">
        <v>981</v>
      </c>
      <c r="T1910" s="119">
        <v>242.42</v>
      </c>
      <c r="U1910" s="89" t="s">
        <v>982</v>
      </c>
      <c r="V1910" s="117" t="s">
        <v>2241</v>
      </c>
      <c r="W1910" s="89">
        <f>N1910*T1910</f>
        <v>106062628.72</v>
      </c>
      <c r="X1910" s="89"/>
      <c r="Y1910" s="89"/>
      <c r="Z1910" s="89"/>
      <c r="AA1910" s="177">
        <v>3267098.9551509684</v>
      </c>
      <c r="AB1910" s="177">
        <v>3395978.2792401779</v>
      </c>
      <c r="AC1910" s="122"/>
      <c r="AD1910" s="122"/>
      <c r="AE1910" s="122"/>
      <c r="AF1910" s="123">
        <f>AA1910/W1910</f>
        <v>3.0803488416037143E-2</v>
      </c>
      <c r="AG1910" s="89"/>
      <c r="AH1910" s="124"/>
      <c r="AI1910" s="117"/>
      <c r="AJ1910" s="89"/>
      <c r="AK1910" s="89"/>
      <c r="AL1910" s="117"/>
      <c r="AM1910" s="117"/>
      <c r="AN1910" s="117">
        <v>3</v>
      </c>
      <c r="AO1910" s="117" t="s">
        <v>2224</v>
      </c>
      <c r="AP1910" s="117">
        <v>3</v>
      </c>
      <c r="AQ1910" s="117"/>
      <c r="AR1910" s="117"/>
      <c r="AS1910" s="117"/>
      <c r="AT1910" s="117"/>
      <c r="AU1910" s="117" t="s">
        <v>2237</v>
      </c>
      <c r="AV1910" s="128"/>
      <c r="AW1910" s="117">
        <f>VLOOKUP($D1910,'WB Data'!$C$3:$M$578,2,FALSE)</f>
        <v>2578159495.5592995</v>
      </c>
      <c r="AX1910" s="117">
        <f>VLOOKUP($D1910,'WB Data'!$C$3:$M$578,3,FALSE)</f>
        <v>5751976</v>
      </c>
      <c r="AY1910" s="847">
        <f t="shared" si="324"/>
        <v>2.9427165302294629E-3</v>
      </c>
      <c r="AZ1910" s="117">
        <f>VLOOKUP($D1910,'WB Data'!$C$3:$M$578,4,FALSE)/100</f>
        <v>9.824607829312805E-2</v>
      </c>
      <c r="BA1910" s="117">
        <f t="shared" si="325"/>
        <v>253294059.65289044</v>
      </c>
      <c r="BB1910" s="129">
        <f>IFERROR(VLOOKUP($D1910,'EITI Revenues'!$C$2:$G$224,5,FALSE),"..")</f>
        <v>7586792.5651504043</v>
      </c>
      <c r="BC1910" s="846">
        <f t="shared" si="326"/>
        <v>2.9952508856888341E-2</v>
      </c>
      <c r="BD1910" s="129" t="str">
        <f>VLOOKUP($D1910,'WB Data 2'!$C$2:$K$545,6,FALSE)</f>
        <v>..</v>
      </c>
      <c r="BE1910" s="129">
        <f>IFERROR(VLOOKUP($D1910,UNCTAD!$C$5:$V$529,4,FALSE),"..")</f>
        <v>422910000</v>
      </c>
      <c r="BF1910" s="846" t="str">
        <f t="shared" si="327"/>
        <v>..</v>
      </c>
      <c r="BG1910" s="117">
        <f>VLOOKUP($D1910,'WB Data'!$C$3:$M$578,5,FALSE)</f>
        <v>466850000</v>
      </c>
      <c r="BH1910" s="129">
        <f>IFERROR($BB1910/$BG1910,"..")</f>
        <v>1.6251028307058806E-2</v>
      </c>
      <c r="BI1910" s="117">
        <f>IFERROR(VLOOKUP($D1910,'WB Data'!$C$3:$M$578,7,FALSE)/100,"..")</f>
        <v>2.59122E-2</v>
      </c>
      <c r="BJ1910" s="117">
        <f>IFERROR($BI1910*$AW1910,"..")</f>
        <v>66805784.480831683</v>
      </c>
      <c r="BK1910" s="846">
        <f>IFERROR($BB1910/$BJ1910,"..")</f>
        <v>0.11356490495710371</v>
      </c>
      <c r="BL1910" s="117">
        <f>IFERROR(VLOOKUP($D1910,'WB Data'!$C$3:$M$578,7,FALSE)/100,"..")</f>
        <v>2.59122E-2</v>
      </c>
      <c r="BM1910" s="117">
        <f>IFERROR($AW1910*$BL1910,"..")</f>
        <v>66805784.480831683</v>
      </c>
      <c r="BN1910" s="846">
        <f>IFERROR($BB1910/$BM1910,"..")</f>
        <v>0.11356490495710371</v>
      </c>
      <c r="BO1910" s="801">
        <f t="shared" si="323"/>
        <v>31</v>
      </c>
      <c r="BP1910" s="117" t="str">
        <f>VLOOKUP($D1910,'WB Data'!$C$3:$M$578,9,FALSE)</f>
        <v>..</v>
      </c>
      <c r="BQ1910" s="117">
        <f>VLOOKUP($D1910,'WB Data'!$C$3:$M$578,10,FALSE)</f>
        <v>44.838951219512197</v>
      </c>
      <c r="BR1910" s="117">
        <f>VLOOKUP($D1910,'WB Data'!$C$3:$M$578,11,FALSE)</f>
        <v>114.4</v>
      </c>
      <c r="BS1910" s="129" t="str">
        <f>IFERROR(VLOOKUP($D1910,'WB Data 2'!$C$2:$K$545,9,FALSE),"..")</f>
        <v>..</v>
      </c>
      <c r="BT1910" s="129">
        <f>_xlfn.IFNA(VLOOKUP($C1910,RGI!$A$2:$C$43,2,FALSE),"..")</f>
        <v>38.200000000000003</v>
      </c>
      <c r="BU1910" s="129">
        <f>_xlfn.IFNA(VLOOKUP($C1910,RGI!$A$2:$C$43,3,FALSE),"..")</f>
        <v>45.714033330666766</v>
      </c>
      <c r="BV1910" s="129">
        <f>VLOOKUP($D1910,WGI!$C$2:$O$478,7,FALSE)</f>
        <v>-0.18426051083702899</v>
      </c>
      <c r="BW1910" s="129">
        <f>VLOOKUP($D1910,WGI!$C$2:$O$478,4,FALSE)</f>
        <v>-0.24059077761397499</v>
      </c>
      <c r="BX1910" s="129">
        <f>VLOOKUP($D1910,WGI!$C$2:$O$478,3,FALSE)</f>
        <v>-1.2099461631278601</v>
      </c>
      <c r="BY1910" s="129">
        <f>VLOOKUP($D1910,WGI!$C$2:$O$478,5,FALSE)</f>
        <v>-0.72483633482770204</v>
      </c>
      <c r="BZ1910" s="129">
        <f>VLOOKUP($D1910,WGI!$C$2:$O$478,2,FALSE)</f>
        <v>-0.77319034381493701</v>
      </c>
      <c r="CB1910" s="129"/>
    </row>
    <row r="1911" spans="1:80" s="120" customFormat="1" ht="15" customHeight="1">
      <c r="A1911" s="280" t="s">
        <v>2235</v>
      </c>
      <c r="B1911" s="117">
        <v>2010</v>
      </c>
      <c r="C1911" s="117" t="s">
        <v>488</v>
      </c>
      <c r="D1911" s="117" t="s">
        <v>3678</v>
      </c>
      <c r="E1911" s="117" t="s">
        <v>86</v>
      </c>
      <c r="F1911" s="117"/>
      <c r="G1911" s="117" t="s">
        <v>24</v>
      </c>
      <c r="H1911" s="117" t="str">
        <f t="shared" si="328"/>
        <v>yes</v>
      </c>
      <c r="I1911" s="117" t="str">
        <f t="shared" si="320"/>
        <v>no</v>
      </c>
      <c r="J1911" s="117" t="str">
        <f t="shared" si="321"/>
        <v>no</v>
      </c>
      <c r="K1911" s="117" t="s">
        <v>784</v>
      </c>
      <c r="L1911" s="117" t="str">
        <f t="shared" si="329"/>
        <v>detailed</v>
      </c>
      <c r="M1911" s="117" t="str">
        <f t="shared" si="322"/>
        <v>detailed Mining</v>
      </c>
      <c r="N1911" s="118">
        <f>270*32.1507431265</f>
        <v>8680.7006441549984</v>
      </c>
      <c r="O1911" s="118"/>
      <c r="P1911" s="118"/>
      <c r="Q1911" s="118"/>
      <c r="R1911" s="118"/>
      <c r="S1911" s="117" t="s">
        <v>785</v>
      </c>
      <c r="T1911" s="119">
        <v>1224.66425</v>
      </c>
      <c r="U1911" s="117" t="s">
        <v>786</v>
      </c>
      <c r="V1911" s="117" t="s">
        <v>787</v>
      </c>
      <c r="W1911" s="89">
        <f>N1911*T1911</f>
        <v>10630943.743848598</v>
      </c>
      <c r="X1911" s="89"/>
      <c r="Y1911" s="89"/>
      <c r="Z1911" s="89"/>
      <c r="AA1911" s="177">
        <v>515372.17293275462</v>
      </c>
      <c r="AB1911" s="177">
        <v>367230.47291584464</v>
      </c>
      <c r="AC1911" s="122"/>
      <c r="AD1911" s="122"/>
      <c r="AE1911" s="122"/>
      <c r="AF1911" s="123">
        <f>AA1911/W1911</f>
        <v>4.8478496862610652E-2</v>
      </c>
      <c r="AG1911" s="89"/>
      <c r="AH1911" s="124"/>
      <c r="AI1911" s="117"/>
      <c r="AJ1911" s="89"/>
      <c r="AK1911" s="89"/>
      <c r="AL1911" s="117"/>
      <c r="AM1911" s="117"/>
      <c r="AN1911" s="117">
        <v>3</v>
      </c>
      <c r="AO1911" s="117" t="s">
        <v>2234</v>
      </c>
      <c r="AP1911" s="117">
        <v>2</v>
      </c>
      <c r="AQ1911" s="117"/>
      <c r="AR1911" s="117"/>
      <c r="AS1911" s="117"/>
      <c r="AT1911" s="117"/>
      <c r="AU1911" s="117" t="s">
        <v>2237</v>
      </c>
      <c r="AV1911" s="128"/>
      <c r="AW1911" s="117">
        <f>VLOOKUP($D1911,'WB Data'!$C$3:$M$578,2,FALSE)</f>
        <v>2578159495.5592995</v>
      </c>
      <c r="AX1911" s="117">
        <f>VLOOKUP($D1911,'WB Data'!$C$3:$M$578,3,FALSE)</f>
        <v>5751976</v>
      </c>
      <c r="AY1911" s="847">
        <f t="shared" si="324"/>
        <v>2.9427165302294629E-3</v>
      </c>
      <c r="AZ1911" s="117">
        <f>VLOOKUP($D1911,'WB Data'!$C$3:$M$578,4,FALSE)/100</f>
        <v>9.824607829312805E-2</v>
      </c>
      <c r="BA1911" s="117">
        <f t="shared" si="325"/>
        <v>253294059.65289044</v>
      </c>
      <c r="BB1911" s="129">
        <f>IFERROR(VLOOKUP($D1911,'EITI Revenues'!$C$2:$G$224,5,FALSE),"..")</f>
        <v>7586792.5651504043</v>
      </c>
      <c r="BC1911" s="846">
        <f t="shared" si="326"/>
        <v>2.9952508856888341E-2</v>
      </c>
      <c r="BD1911" s="129" t="str">
        <f>VLOOKUP($D1911,'WB Data 2'!$C$2:$K$545,6,FALSE)</f>
        <v>..</v>
      </c>
      <c r="BE1911" s="129">
        <f>IFERROR(VLOOKUP($D1911,UNCTAD!$C$5:$V$529,4,FALSE),"..")</f>
        <v>422910000</v>
      </c>
      <c r="BF1911" s="846" t="str">
        <f t="shared" si="327"/>
        <v>..</v>
      </c>
      <c r="BG1911" s="117">
        <f>VLOOKUP($D1911,'WB Data'!$C$3:$M$578,5,FALSE)</f>
        <v>466850000</v>
      </c>
      <c r="BH1911" s="129">
        <f>IFERROR($BB1911/$BG1911,"..")</f>
        <v>1.6251028307058806E-2</v>
      </c>
      <c r="BI1911" s="117">
        <f>IFERROR(VLOOKUP($D1911,'WB Data'!$C$3:$M$578,7,FALSE)/100,"..")</f>
        <v>2.59122E-2</v>
      </c>
      <c r="BJ1911" s="117">
        <f>IFERROR($BI1911*$AW1911,"..")</f>
        <v>66805784.480831683</v>
      </c>
      <c r="BK1911" s="846">
        <f>IFERROR($BB1911/$BJ1911,"..")</f>
        <v>0.11356490495710371</v>
      </c>
      <c r="BL1911" s="117">
        <f>IFERROR(VLOOKUP($D1911,'WB Data'!$C$3:$M$578,7,FALSE)/100,"..")</f>
        <v>2.59122E-2</v>
      </c>
      <c r="BM1911" s="117">
        <f>IFERROR($AW1911*$BL1911,"..")</f>
        <v>66805784.480831683</v>
      </c>
      <c r="BN1911" s="846">
        <f>IFERROR($BB1911/$BM1911,"..")</f>
        <v>0.11356490495710371</v>
      </c>
      <c r="BO1911" s="801">
        <f t="shared" si="323"/>
        <v>31</v>
      </c>
      <c r="BP1911" s="117" t="str">
        <f>VLOOKUP($D1911,'WB Data'!$C$3:$M$578,9,FALSE)</f>
        <v>..</v>
      </c>
      <c r="BQ1911" s="117">
        <f>VLOOKUP($D1911,'WB Data'!$C$3:$M$578,10,FALSE)</f>
        <v>44.838951219512197</v>
      </c>
      <c r="BR1911" s="117">
        <f>VLOOKUP($D1911,'WB Data'!$C$3:$M$578,11,FALSE)</f>
        <v>114.4</v>
      </c>
      <c r="BS1911" s="129" t="str">
        <f>IFERROR(VLOOKUP($D1911,'WB Data 2'!$C$2:$K$545,9,FALSE),"..")</f>
        <v>..</v>
      </c>
      <c r="BT1911" s="129">
        <f>_xlfn.IFNA(VLOOKUP($C1911,RGI!$A$2:$C$43,2,FALSE),"..")</f>
        <v>38.200000000000003</v>
      </c>
      <c r="BU1911" s="129">
        <f>_xlfn.IFNA(VLOOKUP($C1911,RGI!$A$2:$C$43,3,FALSE),"..")</f>
        <v>45.714033330666766</v>
      </c>
      <c r="BV1911" s="129">
        <f>VLOOKUP($D1911,WGI!$C$2:$O$478,7,FALSE)</f>
        <v>-0.18426051083702899</v>
      </c>
      <c r="BW1911" s="129">
        <f>VLOOKUP($D1911,WGI!$C$2:$O$478,4,FALSE)</f>
        <v>-0.24059077761397499</v>
      </c>
      <c r="BX1911" s="129">
        <f>VLOOKUP($D1911,WGI!$C$2:$O$478,3,FALSE)</f>
        <v>-1.2099461631278601</v>
      </c>
      <c r="BY1911" s="129">
        <f>VLOOKUP($D1911,WGI!$C$2:$O$478,5,FALSE)</f>
        <v>-0.72483633482770204</v>
      </c>
      <c r="BZ1911" s="129">
        <f>VLOOKUP($D1911,WGI!$C$2:$O$478,2,FALSE)</f>
        <v>-0.77319034381493701</v>
      </c>
      <c r="CB1911" s="129"/>
    </row>
    <row r="1912" spans="1:80" s="120" customFormat="1" ht="15" customHeight="1">
      <c r="A1912" s="280" t="s">
        <v>2235</v>
      </c>
      <c r="B1912" s="117">
        <v>2010</v>
      </c>
      <c r="C1912" s="117" t="s">
        <v>488</v>
      </c>
      <c r="D1912" s="117" t="s">
        <v>3678</v>
      </c>
      <c r="E1912" s="117" t="s">
        <v>86</v>
      </c>
      <c r="F1912" s="117"/>
      <c r="G1912" s="117" t="s">
        <v>24</v>
      </c>
      <c r="H1912" s="117" t="str">
        <f t="shared" si="328"/>
        <v>yes</v>
      </c>
      <c r="I1912" s="117" t="str">
        <f t="shared" si="320"/>
        <v>no</v>
      </c>
      <c r="J1912" s="117" t="str">
        <f t="shared" si="321"/>
        <v>no</v>
      </c>
      <c r="K1912" s="117" t="s">
        <v>1228</v>
      </c>
      <c r="L1912" s="117" t="str">
        <f t="shared" si="329"/>
        <v>detailed</v>
      </c>
      <c r="M1912" s="117" t="str">
        <f t="shared" si="322"/>
        <v>detailed Mining</v>
      </c>
      <c r="N1912" s="118">
        <v>0</v>
      </c>
      <c r="O1912" s="118"/>
      <c r="P1912" s="118"/>
      <c r="Q1912" s="118"/>
      <c r="R1912" s="118"/>
      <c r="S1912" s="117" t="s">
        <v>610</v>
      </c>
      <c r="T1912" s="119"/>
      <c r="U1912" s="89"/>
      <c r="V1912" s="117" t="s">
        <v>684</v>
      </c>
      <c r="W1912" s="89">
        <f>N1912*T1912</f>
        <v>0</v>
      </c>
      <c r="X1912" s="89"/>
      <c r="Y1912" s="89"/>
      <c r="Z1912" s="89"/>
      <c r="AA1912" s="177">
        <v>1187517.525975612</v>
      </c>
      <c r="AB1912" s="177">
        <v>1199830</v>
      </c>
      <c r="AC1912" s="122"/>
      <c r="AD1912" s="122"/>
      <c r="AE1912" s="122"/>
      <c r="AF1912" s="123"/>
      <c r="AG1912" s="89"/>
      <c r="AH1912" s="124"/>
      <c r="AI1912" s="117"/>
      <c r="AJ1912" s="89"/>
      <c r="AK1912" s="89"/>
      <c r="AL1912" s="117"/>
      <c r="AM1912" s="117"/>
      <c r="AN1912" s="117">
        <v>3</v>
      </c>
      <c r="AO1912" s="117" t="s">
        <v>2242</v>
      </c>
      <c r="AP1912" s="117">
        <v>3</v>
      </c>
      <c r="AQ1912" s="117"/>
      <c r="AR1912" s="117"/>
      <c r="AS1912" s="117"/>
      <c r="AT1912" s="117"/>
      <c r="AU1912" s="117" t="s">
        <v>2237</v>
      </c>
      <c r="AV1912" s="128"/>
      <c r="AW1912" s="117">
        <f>VLOOKUP($D1912,'WB Data'!$C$3:$M$578,2,FALSE)</f>
        <v>2578159495.5592995</v>
      </c>
      <c r="AX1912" s="117">
        <f>VLOOKUP($D1912,'WB Data'!$C$3:$M$578,3,FALSE)</f>
        <v>5751976</v>
      </c>
      <c r="AY1912" s="847">
        <f t="shared" si="324"/>
        <v>2.9427165302294629E-3</v>
      </c>
      <c r="AZ1912" s="117">
        <f>VLOOKUP($D1912,'WB Data'!$C$3:$M$578,4,FALSE)/100</f>
        <v>9.824607829312805E-2</v>
      </c>
      <c r="BA1912" s="117">
        <f t="shared" si="325"/>
        <v>253294059.65289044</v>
      </c>
      <c r="BB1912" s="129">
        <f>IFERROR(VLOOKUP($D1912,'EITI Revenues'!$C$2:$G$224,5,FALSE),"..")</f>
        <v>7586792.5651504043</v>
      </c>
      <c r="BC1912" s="846">
        <f t="shared" si="326"/>
        <v>2.9952508856888341E-2</v>
      </c>
      <c r="BD1912" s="129" t="str">
        <f>VLOOKUP($D1912,'WB Data 2'!$C$2:$K$545,6,FALSE)</f>
        <v>..</v>
      </c>
      <c r="BE1912" s="129">
        <f>IFERROR(VLOOKUP($D1912,UNCTAD!$C$5:$V$529,4,FALSE),"..")</f>
        <v>422910000</v>
      </c>
      <c r="BF1912" s="846" t="str">
        <f t="shared" si="327"/>
        <v>..</v>
      </c>
      <c r="BG1912" s="117">
        <f>VLOOKUP($D1912,'WB Data'!$C$3:$M$578,5,FALSE)</f>
        <v>466850000</v>
      </c>
      <c r="BH1912" s="129">
        <f>IFERROR($BB1912/$BG1912,"..")</f>
        <v>1.6251028307058806E-2</v>
      </c>
      <c r="BI1912" s="117">
        <f>IFERROR(VLOOKUP($D1912,'WB Data'!$C$3:$M$578,7,FALSE)/100,"..")</f>
        <v>2.59122E-2</v>
      </c>
      <c r="BJ1912" s="117">
        <f>IFERROR($BI1912*$AW1912,"..")</f>
        <v>66805784.480831683</v>
      </c>
      <c r="BK1912" s="846">
        <f>IFERROR($BB1912/$BJ1912,"..")</f>
        <v>0.11356490495710371</v>
      </c>
      <c r="BL1912" s="117">
        <f>IFERROR(VLOOKUP($D1912,'WB Data'!$C$3:$M$578,7,FALSE)/100,"..")</f>
        <v>2.59122E-2</v>
      </c>
      <c r="BM1912" s="117">
        <f>IFERROR($AW1912*$BL1912,"..")</f>
        <v>66805784.480831683</v>
      </c>
      <c r="BN1912" s="846">
        <f>IFERROR($BB1912/$BM1912,"..")</f>
        <v>0.11356490495710371</v>
      </c>
      <c r="BO1912" s="801">
        <f t="shared" si="323"/>
        <v>31</v>
      </c>
      <c r="BP1912" s="117" t="str">
        <f>VLOOKUP($D1912,'WB Data'!$C$3:$M$578,9,FALSE)</f>
        <v>..</v>
      </c>
      <c r="BQ1912" s="117">
        <f>VLOOKUP($D1912,'WB Data'!$C$3:$M$578,10,FALSE)</f>
        <v>44.838951219512197</v>
      </c>
      <c r="BR1912" s="117">
        <f>VLOOKUP($D1912,'WB Data'!$C$3:$M$578,11,FALSE)</f>
        <v>114.4</v>
      </c>
      <c r="BS1912" s="129" t="str">
        <f>IFERROR(VLOOKUP($D1912,'WB Data 2'!$C$2:$K$545,9,FALSE),"..")</f>
        <v>..</v>
      </c>
      <c r="BT1912" s="129">
        <f>_xlfn.IFNA(VLOOKUP($C1912,RGI!$A$2:$C$43,2,FALSE),"..")</f>
        <v>38.200000000000003</v>
      </c>
      <c r="BU1912" s="129">
        <f>_xlfn.IFNA(VLOOKUP($C1912,RGI!$A$2:$C$43,3,FALSE),"..")</f>
        <v>45.714033330666766</v>
      </c>
      <c r="BV1912" s="129">
        <f>VLOOKUP($D1912,WGI!$C$2:$O$478,7,FALSE)</f>
        <v>-0.18426051083702899</v>
      </c>
      <c r="BW1912" s="129">
        <f>VLOOKUP($D1912,WGI!$C$2:$O$478,4,FALSE)</f>
        <v>-0.24059077761397499</v>
      </c>
      <c r="BX1912" s="129">
        <f>VLOOKUP($D1912,WGI!$C$2:$O$478,3,FALSE)</f>
        <v>-1.2099461631278601</v>
      </c>
      <c r="BY1912" s="129">
        <f>VLOOKUP($D1912,WGI!$C$2:$O$478,5,FALSE)</f>
        <v>-0.72483633482770204</v>
      </c>
      <c r="BZ1912" s="129">
        <f>VLOOKUP($D1912,WGI!$C$2:$O$478,2,FALSE)</f>
        <v>-0.77319034381493701</v>
      </c>
      <c r="CB1912" s="129"/>
    </row>
    <row r="1913" spans="1:80" s="120" customFormat="1" ht="15" customHeight="1">
      <c r="A1913" s="280" t="s">
        <v>2235</v>
      </c>
      <c r="B1913" s="117">
        <v>2010</v>
      </c>
      <c r="C1913" s="117" t="s">
        <v>488</v>
      </c>
      <c r="D1913" s="117" t="s">
        <v>3678</v>
      </c>
      <c r="E1913" s="117" t="s">
        <v>86</v>
      </c>
      <c r="F1913" s="117"/>
      <c r="G1913" s="117" t="s">
        <v>24</v>
      </c>
      <c r="H1913" s="117" t="str">
        <f t="shared" si="328"/>
        <v>yes</v>
      </c>
      <c r="I1913" s="117" t="str">
        <f t="shared" si="320"/>
        <v>no</v>
      </c>
      <c r="J1913" s="117" t="str">
        <f t="shared" si="321"/>
        <v>no</v>
      </c>
      <c r="K1913" s="117" t="s">
        <v>2201</v>
      </c>
      <c r="L1913" s="117" t="str">
        <f t="shared" si="329"/>
        <v>detailed</v>
      </c>
      <c r="M1913" s="117" t="str">
        <f t="shared" si="322"/>
        <v>detailed Mining</v>
      </c>
      <c r="N1913" s="118"/>
      <c r="O1913" s="118"/>
      <c r="P1913" s="118"/>
      <c r="Q1913" s="118"/>
      <c r="R1913" s="118"/>
      <c r="S1913" s="117"/>
      <c r="T1913" s="119"/>
      <c r="U1913" s="117"/>
      <c r="V1913" s="117"/>
      <c r="W1913" s="89">
        <f>SUM(W1914:W1916)</f>
        <v>44362410</v>
      </c>
      <c r="X1913" s="117"/>
      <c r="Y1913" s="89"/>
      <c r="Z1913" s="89"/>
      <c r="AA1913" s="179">
        <v>842885.36621385464</v>
      </c>
      <c r="AB1913" s="177">
        <v>1058633.2547019145</v>
      </c>
      <c r="AC1913" s="122"/>
      <c r="AD1913" s="122"/>
      <c r="AE1913" s="122"/>
      <c r="AF1913" s="123">
        <f>AA1913/W1913</f>
        <v>1.8999990447179371E-2</v>
      </c>
      <c r="AG1913" s="89"/>
      <c r="AH1913" s="124"/>
      <c r="AI1913" s="117"/>
      <c r="AJ1913" s="89"/>
      <c r="AK1913" s="89"/>
      <c r="AL1913" s="117"/>
      <c r="AM1913" s="117"/>
      <c r="AN1913" s="117">
        <v>2</v>
      </c>
      <c r="AO1913" s="117" t="s">
        <v>2243</v>
      </c>
      <c r="AP1913" s="117">
        <v>2</v>
      </c>
      <c r="AQ1913" s="117"/>
      <c r="AR1913" s="117"/>
      <c r="AS1913" s="117"/>
      <c r="AT1913" s="117"/>
      <c r="AU1913" s="117" t="s">
        <v>2237</v>
      </c>
      <c r="AV1913" s="128"/>
      <c r="AW1913" s="117">
        <f>VLOOKUP($D1913,'WB Data'!$C$3:$M$578,2,FALSE)</f>
        <v>2578159495.5592995</v>
      </c>
      <c r="AX1913" s="117">
        <f>VLOOKUP($D1913,'WB Data'!$C$3:$M$578,3,FALSE)</f>
        <v>5751976</v>
      </c>
      <c r="AY1913" s="847">
        <f t="shared" si="324"/>
        <v>2.9427165302294629E-3</v>
      </c>
      <c r="AZ1913" s="117">
        <f>VLOOKUP($D1913,'WB Data'!$C$3:$M$578,4,FALSE)/100</f>
        <v>9.824607829312805E-2</v>
      </c>
      <c r="BA1913" s="117">
        <f t="shared" si="325"/>
        <v>253294059.65289044</v>
      </c>
      <c r="BB1913" s="129">
        <f>IFERROR(VLOOKUP($D1913,'EITI Revenues'!$C$2:$G$224,5,FALSE),"..")</f>
        <v>7586792.5651504043</v>
      </c>
      <c r="BC1913" s="846">
        <f t="shared" si="326"/>
        <v>2.9952508856888341E-2</v>
      </c>
      <c r="BD1913" s="129" t="str">
        <f>VLOOKUP($D1913,'WB Data 2'!$C$2:$K$545,6,FALSE)</f>
        <v>..</v>
      </c>
      <c r="BE1913" s="129">
        <f>IFERROR(VLOOKUP($D1913,UNCTAD!$C$5:$V$529,4,FALSE),"..")</f>
        <v>422910000</v>
      </c>
      <c r="BF1913" s="846" t="str">
        <f t="shared" si="327"/>
        <v>..</v>
      </c>
      <c r="BG1913" s="117">
        <f>VLOOKUP($D1913,'WB Data'!$C$3:$M$578,5,FALSE)</f>
        <v>466850000</v>
      </c>
      <c r="BH1913" s="129">
        <f>IFERROR($BB1913/$BG1913,"..")</f>
        <v>1.6251028307058806E-2</v>
      </c>
      <c r="BI1913" s="117">
        <f>IFERROR(VLOOKUP($D1913,'WB Data'!$C$3:$M$578,7,FALSE)/100,"..")</f>
        <v>2.59122E-2</v>
      </c>
      <c r="BJ1913" s="117">
        <f>IFERROR($BI1913*$AW1913,"..")</f>
        <v>66805784.480831683</v>
      </c>
      <c r="BK1913" s="846">
        <f>IFERROR($BB1913/$BJ1913,"..")</f>
        <v>0.11356490495710371</v>
      </c>
      <c r="BL1913" s="117">
        <f>IFERROR(VLOOKUP($D1913,'WB Data'!$C$3:$M$578,7,FALSE)/100,"..")</f>
        <v>2.59122E-2</v>
      </c>
      <c r="BM1913" s="117">
        <f>IFERROR($AW1913*$BL1913,"..")</f>
        <v>66805784.480831683</v>
      </c>
      <c r="BN1913" s="846">
        <f>IFERROR($BB1913/$BM1913,"..")</f>
        <v>0.11356490495710371</v>
      </c>
      <c r="BO1913" s="801">
        <f t="shared" si="323"/>
        <v>31</v>
      </c>
      <c r="BP1913" s="117" t="str">
        <f>VLOOKUP($D1913,'WB Data'!$C$3:$M$578,9,FALSE)</f>
        <v>..</v>
      </c>
      <c r="BQ1913" s="117">
        <f>VLOOKUP($D1913,'WB Data'!$C$3:$M$578,10,FALSE)</f>
        <v>44.838951219512197</v>
      </c>
      <c r="BR1913" s="117">
        <f>VLOOKUP($D1913,'WB Data'!$C$3:$M$578,11,FALSE)</f>
        <v>114.4</v>
      </c>
      <c r="BS1913" s="129" t="str">
        <f>IFERROR(VLOOKUP($D1913,'WB Data 2'!$C$2:$K$545,9,FALSE),"..")</f>
        <v>..</v>
      </c>
      <c r="BT1913" s="129">
        <f>_xlfn.IFNA(VLOOKUP($C1913,RGI!$A$2:$C$43,2,FALSE),"..")</f>
        <v>38.200000000000003</v>
      </c>
      <c r="BU1913" s="129">
        <f>_xlfn.IFNA(VLOOKUP($C1913,RGI!$A$2:$C$43,3,FALSE),"..")</f>
        <v>45.714033330666766</v>
      </c>
      <c r="BV1913" s="129">
        <f>VLOOKUP($D1913,WGI!$C$2:$O$478,7,FALSE)</f>
        <v>-0.18426051083702899</v>
      </c>
      <c r="BW1913" s="129">
        <f>VLOOKUP($D1913,WGI!$C$2:$O$478,4,FALSE)</f>
        <v>-0.24059077761397499</v>
      </c>
      <c r="BX1913" s="129">
        <f>VLOOKUP($D1913,WGI!$C$2:$O$478,3,FALSE)</f>
        <v>-1.2099461631278601</v>
      </c>
      <c r="BY1913" s="129">
        <f>VLOOKUP($D1913,WGI!$C$2:$O$478,5,FALSE)</f>
        <v>-0.72483633482770204</v>
      </c>
      <c r="BZ1913" s="129">
        <f>VLOOKUP($D1913,WGI!$C$2:$O$478,2,FALSE)</f>
        <v>-0.77319034381493701</v>
      </c>
      <c r="CB1913" s="129"/>
    </row>
    <row r="1914" spans="1:80" s="120" customFormat="1" ht="15" customHeight="1">
      <c r="A1914" s="280" t="s">
        <v>2235</v>
      </c>
      <c r="B1914" s="117">
        <v>2010</v>
      </c>
      <c r="C1914" s="117" t="s">
        <v>488</v>
      </c>
      <c r="D1914" s="117" t="s">
        <v>3678</v>
      </c>
      <c r="E1914" s="117" t="s">
        <v>86</v>
      </c>
      <c r="F1914" s="117"/>
      <c r="G1914" s="117" t="s">
        <v>24</v>
      </c>
      <c r="H1914" s="117" t="str">
        <f t="shared" si="328"/>
        <v>yes</v>
      </c>
      <c r="I1914" s="117" t="str">
        <f t="shared" si="320"/>
        <v>no</v>
      </c>
      <c r="J1914" s="117" t="str">
        <f t="shared" si="321"/>
        <v>no</v>
      </c>
      <c r="K1914" s="117" t="s">
        <v>2203</v>
      </c>
      <c r="L1914" s="117" t="str">
        <f t="shared" si="329"/>
        <v>detailed</v>
      </c>
      <c r="M1914" s="117" t="str">
        <f t="shared" si="322"/>
        <v>detailed Mining</v>
      </c>
      <c r="N1914" s="118">
        <v>18206</v>
      </c>
      <c r="O1914" s="118"/>
      <c r="P1914" s="118"/>
      <c r="Q1914" s="118"/>
      <c r="R1914" s="118"/>
      <c r="S1914" s="117" t="s">
        <v>610</v>
      </c>
      <c r="T1914" s="119">
        <v>75</v>
      </c>
      <c r="U1914" s="117" t="s">
        <v>611</v>
      </c>
      <c r="V1914" s="117" t="s">
        <v>1671</v>
      </c>
      <c r="W1914" s="89">
        <f>N1914*T1914</f>
        <v>1365450</v>
      </c>
      <c r="X1914" s="117"/>
      <c r="Y1914" s="117"/>
      <c r="Z1914" s="117"/>
      <c r="AA1914" s="177"/>
      <c r="AB1914" s="177"/>
      <c r="AC1914" s="122"/>
      <c r="AD1914" s="122"/>
      <c r="AE1914" s="122"/>
      <c r="AF1914" s="123"/>
      <c r="AG1914" s="117"/>
      <c r="AH1914" s="124"/>
      <c r="AI1914" s="117"/>
      <c r="AJ1914" s="117"/>
      <c r="AK1914" s="89"/>
      <c r="AL1914" s="117"/>
      <c r="AM1914" s="117"/>
      <c r="AN1914" s="117"/>
      <c r="AO1914" s="117"/>
      <c r="AP1914" s="117"/>
      <c r="AQ1914" s="117"/>
      <c r="AR1914" s="117"/>
      <c r="AS1914" s="117"/>
      <c r="AT1914" s="117"/>
      <c r="AU1914" s="117"/>
      <c r="AV1914" s="128"/>
      <c r="AW1914" s="117">
        <f>VLOOKUP($D1914,'WB Data'!$C$3:$M$578,2,FALSE)</f>
        <v>2578159495.5592995</v>
      </c>
      <c r="AX1914" s="117">
        <f>VLOOKUP($D1914,'WB Data'!$C$3:$M$578,3,FALSE)</f>
        <v>5751976</v>
      </c>
      <c r="AY1914" s="847">
        <f t="shared" si="324"/>
        <v>2.9427165302294629E-3</v>
      </c>
      <c r="AZ1914" s="117">
        <f>VLOOKUP($D1914,'WB Data'!$C$3:$M$578,4,FALSE)/100</f>
        <v>9.824607829312805E-2</v>
      </c>
      <c r="BA1914" s="117">
        <f t="shared" si="325"/>
        <v>253294059.65289044</v>
      </c>
      <c r="BB1914" s="129">
        <f>IFERROR(VLOOKUP($D1914,'EITI Revenues'!$C$2:$G$224,5,FALSE),"..")</f>
        <v>7586792.5651504043</v>
      </c>
      <c r="BC1914" s="846">
        <f t="shared" si="326"/>
        <v>2.9952508856888341E-2</v>
      </c>
      <c r="BD1914" s="129" t="str">
        <f>VLOOKUP($D1914,'WB Data 2'!$C$2:$K$545,6,FALSE)</f>
        <v>..</v>
      </c>
      <c r="BE1914" s="129">
        <f>IFERROR(VLOOKUP($D1914,UNCTAD!$C$5:$V$529,4,FALSE),"..")</f>
        <v>422910000</v>
      </c>
      <c r="BF1914" s="846" t="str">
        <f t="shared" si="327"/>
        <v>..</v>
      </c>
      <c r="BG1914" s="117">
        <f>VLOOKUP($D1914,'WB Data'!$C$3:$M$578,5,FALSE)</f>
        <v>466850000</v>
      </c>
      <c r="BH1914" s="129">
        <f>IFERROR($BB1914/$BG1914,"..")</f>
        <v>1.6251028307058806E-2</v>
      </c>
      <c r="BI1914" s="117">
        <f>IFERROR(VLOOKUP($D1914,'WB Data'!$C$3:$M$578,7,FALSE)/100,"..")</f>
        <v>2.59122E-2</v>
      </c>
      <c r="BJ1914" s="117">
        <f>IFERROR($BI1914*$AW1914,"..")</f>
        <v>66805784.480831683</v>
      </c>
      <c r="BK1914" s="846">
        <f>IFERROR($BB1914/$BJ1914,"..")</f>
        <v>0.11356490495710371</v>
      </c>
      <c r="BL1914" s="117">
        <f>IFERROR(VLOOKUP($D1914,'WB Data'!$C$3:$M$578,7,FALSE)/100,"..")</f>
        <v>2.59122E-2</v>
      </c>
      <c r="BM1914" s="117">
        <f>IFERROR($AW1914*$BL1914,"..")</f>
        <v>66805784.480831683</v>
      </c>
      <c r="BN1914" s="846">
        <f>IFERROR($BB1914/$BM1914,"..")</f>
        <v>0.11356490495710371</v>
      </c>
      <c r="BO1914" s="801">
        <f t="shared" si="323"/>
        <v>31</v>
      </c>
      <c r="BP1914" s="117" t="str">
        <f>VLOOKUP($D1914,'WB Data'!$C$3:$M$578,9,FALSE)</f>
        <v>..</v>
      </c>
      <c r="BQ1914" s="117">
        <f>VLOOKUP($D1914,'WB Data'!$C$3:$M$578,10,FALSE)</f>
        <v>44.838951219512197</v>
      </c>
      <c r="BR1914" s="117">
        <f>VLOOKUP($D1914,'WB Data'!$C$3:$M$578,11,FALSE)</f>
        <v>114.4</v>
      </c>
      <c r="BS1914" s="129" t="str">
        <f>IFERROR(VLOOKUP($D1914,'WB Data 2'!$C$2:$K$545,9,FALSE),"..")</f>
        <v>..</v>
      </c>
      <c r="BT1914" s="129">
        <f>_xlfn.IFNA(VLOOKUP($C1914,RGI!$A$2:$C$43,2,FALSE),"..")</f>
        <v>38.200000000000003</v>
      </c>
      <c r="BU1914" s="129">
        <f>_xlfn.IFNA(VLOOKUP($C1914,RGI!$A$2:$C$43,3,FALSE),"..")</f>
        <v>45.714033330666766</v>
      </c>
      <c r="BV1914" s="129">
        <f>VLOOKUP($D1914,WGI!$C$2:$O$478,7,FALSE)</f>
        <v>-0.18426051083702899</v>
      </c>
      <c r="BW1914" s="129">
        <f>VLOOKUP($D1914,WGI!$C$2:$O$478,4,FALSE)</f>
        <v>-0.24059077761397499</v>
      </c>
      <c r="BX1914" s="129">
        <f>VLOOKUP($D1914,WGI!$C$2:$O$478,3,FALSE)</f>
        <v>-1.2099461631278601</v>
      </c>
      <c r="BY1914" s="129">
        <f>VLOOKUP($D1914,WGI!$C$2:$O$478,5,FALSE)</f>
        <v>-0.72483633482770204</v>
      </c>
      <c r="BZ1914" s="129">
        <f>VLOOKUP($D1914,WGI!$C$2:$O$478,2,FALSE)</f>
        <v>-0.77319034381493701</v>
      </c>
      <c r="CB1914" s="129"/>
    </row>
    <row r="1915" spans="1:80" s="120" customFormat="1" ht="15" customHeight="1">
      <c r="A1915" s="280" t="s">
        <v>2235</v>
      </c>
      <c r="B1915" s="117">
        <v>2010</v>
      </c>
      <c r="C1915" s="117" t="s">
        <v>488</v>
      </c>
      <c r="D1915" s="117" t="s">
        <v>3678</v>
      </c>
      <c r="E1915" s="117" t="s">
        <v>86</v>
      </c>
      <c r="F1915" s="117"/>
      <c r="G1915" s="117" t="s">
        <v>24</v>
      </c>
      <c r="H1915" s="117" t="str">
        <f t="shared" si="328"/>
        <v>yes</v>
      </c>
      <c r="I1915" s="117" t="str">
        <f t="shared" si="320"/>
        <v>no</v>
      </c>
      <c r="J1915" s="117" t="str">
        <f t="shared" si="321"/>
        <v>no</v>
      </c>
      <c r="K1915" s="117" t="s">
        <v>2205</v>
      </c>
      <c r="L1915" s="117" t="str">
        <f t="shared" si="329"/>
        <v>detailed</v>
      </c>
      <c r="M1915" s="117" t="str">
        <f t="shared" si="322"/>
        <v>detailed Mining</v>
      </c>
      <c r="N1915" s="118">
        <v>68198</v>
      </c>
      <c r="O1915" s="118"/>
      <c r="P1915" s="118"/>
      <c r="Q1915" s="118"/>
      <c r="R1915" s="118"/>
      <c r="S1915" s="117" t="s">
        <v>610</v>
      </c>
      <c r="T1915" s="119">
        <v>540</v>
      </c>
      <c r="U1915" s="117" t="s">
        <v>611</v>
      </c>
      <c r="V1915" s="117" t="s">
        <v>1879</v>
      </c>
      <c r="W1915" s="89">
        <f>N1915*T1915</f>
        <v>36826920</v>
      </c>
      <c r="X1915" s="117"/>
      <c r="Y1915" s="117"/>
      <c r="Z1915" s="117"/>
      <c r="AA1915" s="177"/>
      <c r="AB1915" s="177"/>
      <c r="AC1915" s="122"/>
      <c r="AD1915" s="122"/>
      <c r="AE1915" s="122"/>
      <c r="AF1915" s="123"/>
      <c r="AG1915" s="117"/>
      <c r="AH1915" s="124"/>
      <c r="AI1915" s="117"/>
      <c r="AJ1915" s="117"/>
      <c r="AK1915" s="89"/>
      <c r="AL1915" s="117"/>
      <c r="AM1915" s="117"/>
      <c r="AN1915" s="117"/>
      <c r="AO1915" s="117"/>
      <c r="AP1915" s="117"/>
      <c r="AQ1915" s="117"/>
      <c r="AR1915" s="117"/>
      <c r="AS1915" s="117"/>
      <c r="AT1915" s="117"/>
      <c r="AU1915" s="117"/>
      <c r="AV1915" s="128"/>
      <c r="AW1915" s="117">
        <f>VLOOKUP($D1915,'WB Data'!$C$3:$M$578,2,FALSE)</f>
        <v>2578159495.5592995</v>
      </c>
      <c r="AX1915" s="117">
        <f>VLOOKUP($D1915,'WB Data'!$C$3:$M$578,3,FALSE)</f>
        <v>5751976</v>
      </c>
      <c r="AY1915" s="847">
        <f t="shared" si="324"/>
        <v>2.9427165302294629E-3</v>
      </c>
      <c r="AZ1915" s="117">
        <f>VLOOKUP($D1915,'WB Data'!$C$3:$M$578,4,FALSE)/100</f>
        <v>9.824607829312805E-2</v>
      </c>
      <c r="BA1915" s="117">
        <f t="shared" si="325"/>
        <v>253294059.65289044</v>
      </c>
      <c r="BB1915" s="129">
        <f>IFERROR(VLOOKUP($D1915,'EITI Revenues'!$C$2:$G$224,5,FALSE),"..")</f>
        <v>7586792.5651504043</v>
      </c>
      <c r="BC1915" s="846">
        <f t="shared" si="326"/>
        <v>2.9952508856888341E-2</v>
      </c>
      <c r="BD1915" s="129" t="str">
        <f>VLOOKUP($D1915,'WB Data 2'!$C$2:$K$545,6,FALSE)</f>
        <v>..</v>
      </c>
      <c r="BE1915" s="129">
        <f>IFERROR(VLOOKUP($D1915,UNCTAD!$C$5:$V$529,4,FALSE),"..")</f>
        <v>422910000</v>
      </c>
      <c r="BF1915" s="846" t="str">
        <f t="shared" si="327"/>
        <v>..</v>
      </c>
      <c r="BG1915" s="117">
        <f>VLOOKUP($D1915,'WB Data'!$C$3:$M$578,5,FALSE)</f>
        <v>466850000</v>
      </c>
      <c r="BH1915" s="129">
        <f>IFERROR($BB1915/$BG1915,"..")</f>
        <v>1.6251028307058806E-2</v>
      </c>
      <c r="BI1915" s="117">
        <f>IFERROR(VLOOKUP($D1915,'WB Data'!$C$3:$M$578,7,FALSE)/100,"..")</f>
        <v>2.59122E-2</v>
      </c>
      <c r="BJ1915" s="117">
        <f>IFERROR($BI1915*$AW1915,"..")</f>
        <v>66805784.480831683</v>
      </c>
      <c r="BK1915" s="846">
        <f>IFERROR($BB1915/$BJ1915,"..")</f>
        <v>0.11356490495710371</v>
      </c>
      <c r="BL1915" s="117">
        <f>IFERROR(VLOOKUP($D1915,'WB Data'!$C$3:$M$578,7,FALSE)/100,"..")</f>
        <v>2.59122E-2</v>
      </c>
      <c r="BM1915" s="117">
        <f>IFERROR($AW1915*$BL1915,"..")</f>
        <v>66805784.480831683</v>
      </c>
      <c r="BN1915" s="846">
        <f>IFERROR($BB1915/$BM1915,"..")</f>
        <v>0.11356490495710371</v>
      </c>
      <c r="BO1915" s="801">
        <f t="shared" si="323"/>
        <v>31</v>
      </c>
      <c r="BP1915" s="117" t="str">
        <f>VLOOKUP($D1915,'WB Data'!$C$3:$M$578,9,FALSE)</f>
        <v>..</v>
      </c>
      <c r="BQ1915" s="117">
        <f>VLOOKUP($D1915,'WB Data'!$C$3:$M$578,10,FALSE)</f>
        <v>44.838951219512197</v>
      </c>
      <c r="BR1915" s="117">
        <f>VLOOKUP($D1915,'WB Data'!$C$3:$M$578,11,FALSE)</f>
        <v>114.4</v>
      </c>
      <c r="BS1915" s="129" t="str">
        <f>IFERROR(VLOOKUP($D1915,'WB Data 2'!$C$2:$K$545,9,FALSE),"..")</f>
        <v>..</v>
      </c>
      <c r="BT1915" s="129">
        <f>_xlfn.IFNA(VLOOKUP($C1915,RGI!$A$2:$C$43,2,FALSE),"..")</f>
        <v>38.200000000000003</v>
      </c>
      <c r="BU1915" s="129">
        <f>_xlfn.IFNA(VLOOKUP($C1915,RGI!$A$2:$C$43,3,FALSE),"..")</f>
        <v>45.714033330666766</v>
      </c>
      <c r="BV1915" s="129">
        <f>VLOOKUP($D1915,WGI!$C$2:$O$478,7,FALSE)</f>
        <v>-0.18426051083702899</v>
      </c>
      <c r="BW1915" s="129">
        <f>VLOOKUP($D1915,WGI!$C$2:$O$478,4,FALSE)</f>
        <v>-0.24059077761397499</v>
      </c>
      <c r="BX1915" s="129">
        <f>VLOOKUP($D1915,WGI!$C$2:$O$478,3,FALSE)</f>
        <v>-1.2099461631278601</v>
      </c>
      <c r="BY1915" s="129">
        <f>VLOOKUP($D1915,WGI!$C$2:$O$478,5,FALSE)</f>
        <v>-0.72483633482770204</v>
      </c>
      <c r="BZ1915" s="129">
        <f>VLOOKUP($D1915,WGI!$C$2:$O$478,2,FALSE)</f>
        <v>-0.77319034381493701</v>
      </c>
      <c r="CB1915" s="129"/>
    </row>
    <row r="1916" spans="1:80" s="158" customFormat="1" ht="15" customHeight="1">
      <c r="A1916" s="282" t="s">
        <v>2235</v>
      </c>
      <c r="B1916" s="149">
        <v>2010</v>
      </c>
      <c r="C1916" s="149" t="s">
        <v>488</v>
      </c>
      <c r="D1916" s="117" t="s">
        <v>3678</v>
      </c>
      <c r="E1916" s="149" t="s">
        <v>86</v>
      </c>
      <c r="F1916" s="149"/>
      <c r="G1916" s="117" t="s">
        <v>24</v>
      </c>
      <c r="H1916" s="117" t="str">
        <f t="shared" si="328"/>
        <v>yes</v>
      </c>
      <c r="I1916" s="117" t="str">
        <f t="shared" si="320"/>
        <v>no</v>
      </c>
      <c r="J1916" s="117" t="str">
        <f t="shared" si="321"/>
        <v>no</v>
      </c>
      <c r="K1916" s="149" t="s">
        <v>2207</v>
      </c>
      <c r="L1916" s="117" t="str">
        <f t="shared" si="329"/>
        <v>detailed</v>
      </c>
      <c r="M1916" s="117" t="str">
        <f t="shared" si="322"/>
        <v>detailed Mining</v>
      </c>
      <c r="N1916" s="150">
        <v>7092</v>
      </c>
      <c r="O1916" s="150"/>
      <c r="P1916" s="150"/>
      <c r="Q1916" s="150"/>
      <c r="R1916" s="150"/>
      <c r="S1916" s="149" t="s">
        <v>610</v>
      </c>
      <c r="T1916" s="151">
        <v>870</v>
      </c>
      <c r="U1916" s="149" t="s">
        <v>611</v>
      </c>
      <c r="V1916" s="149" t="s">
        <v>1881</v>
      </c>
      <c r="W1916" s="152">
        <f>N1916*T1916</f>
        <v>6170040</v>
      </c>
      <c r="X1916" s="149"/>
      <c r="Y1916" s="149"/>
      <c r="Z1916" s="149"/>
      <c r="AA1916" s="284"/>
      <c r="AB1916" s="284"/>
      <c r="AC1916" s="154"/>
      <c r="AD1916" s="154"/>
      <c r="AE1916" s="154"/>
      <c r="AF1916" s="155"/>
      <c r="AG1916" s="149"/>
      <c r="AH1916" s="156"/>
      <c r="AI1916" s="149"/>
      <c r="AJ1916" s="149"/>
      <c r="AK1916" s="152"/>
      <c r="AL1916" s="149"/>
      <c r="AM1916" s="149"/>
      <c r="AN1916" s="149"/>
      <c r="AO1916" s="149"/>
      <c r="AP1916" s="149"/>
      <c r="AQ1916" s="149"/>
      <c r="AR1916" s="149"/>
      <c r="AS1916" s="149"/>
      <c r="AT1916" s="149"/>
      <c r="AU1916" s="149"/>
      <c r="AV1916" s="157"/>
      <c r="AW1916" s="117">
        <f>VLOOKUP($D1916,'WB Data'!$C$3:$M$578,2,FALSE)</f>
        <v>2578159495.5592995</v>
      </c>
      <c r="AX1916" s="117">
        <f>VLOOKUP($D1916,'WB Data'!$C$3:$M$578,3,FALSE)</f>
        <v>5751976</v>
      </c>
      <c r="AY1916" s="847">
        <f t="shared" si="324"/>
        <v>2.9427165302294629E-3</v>
      </c>
      <c r="AZ1916" s="117">
        <f>VLOOKUP($D1916,'WB Data'!$C$3:$M$578,4,FALSE)/100</f>
        <v>9.824607829312805E-2</v>
      </c>
      <c r="BA1916" s="117">
        <f t="shared" si="325"/>
        <v>253294059.65289044</v>
      </c>
      <c r="BB1916" s="129">
        <f>IFERROR(VLOOKUP($D1916,'EITI Revenues'!$C$2:$G$224,5,FALSE),"..")</f>
        <v>7586792.5651504043</v>
      </c>
      <c r="BC1916" s="846">
        <f t="shared" si="326"/>
        <v>2.9952508856888341E-2</v>
      </c>
      <c r="BD1916" s="129" t="str">
        <f>VLOOKUP($D1916,'WB Data 2'!$C$2:$K$545,6,FALSE)</f>
        <v>..</v>
      </c>
      <c r="BE1916" s="129">
        <f>IFERROR(VLOOKUP($D1916,UNCTAD!$C$5:$V$529,4,FALSE),"..")</f>
        <v>422910000</v>
      </c>
      <c r="BF1916" s="846" t="str">
        <f t="shared" si="327"/>
        <v>..</v>
      </c>
      <c r="BG1916" s="117">
        <f>VLOOKUP($D1916,'WB Data'!$C$3:$M$578,5,FALSE)</f>
        <v>466850000</v>
      </c>
      <c r="BH1916" s="129">
        <f>IFERROR($BB1916/$BG1916,"..")</f>
        <v>1.6251028307058806E-2</v>
      </c>
      <c r="BI1916" s="117">
        <f>IFERROR(VLOOKUP($D1916,'WB Data'!$C$3:$M$578,7,FALSE)/100,"..")</f>
        <v>2.59122E-2</v>
      </c>
      <c r="BJ1916" s="117">
        <f>IFERROR($BI1916*$AW1916,"..")</f>
        <v>66805784.480831683</v>
      </c>
      <c r="BK1916" s="846">
        <f>IFERROR($BB1916/$BJ1916,"..")</f>
        <v>0.11356490495710371</v>
      </c>
      <c r="BL1916" s="117">
        <f>IFERROR(VLOOKUP($D1916,'WB Data'!$C$3:$M$578,7,FALSE)/100,"..")</f>
        <v>2.59122E-2</v>
      </c>
      <c r="BM1916" s="117">
        <f>IFERROR($AW1916*$BL1916,"..")</f>
        <v>66805784.480831683</v>
      </c>
      <c r="BN1916" s="846">
        <f>IFERROR($BB1916/$BM1916,"..")</f>
        <v>0.11356490495710371</v>
      </c>
      <c r="BO1916" s="801">
        <f t="shared" si="323"/>
        <v>31</v>
      </c>
      <c r="BP1916" s="117" t="str">
        <f>VLOOKUP($D1916,'WB Data'!$C$3:$M$578,9,FALSE)</f>
        <v>..</v>
      </c>
      <c r="BQ1916" s="117">
        <f>VLOOKUP($D1916,'WB Data'!$C$3:$M$578,10,FALSE)</f>
        <v>44.838951219512197</v>
      </c>
      <c r="BR1916" s="117">
        <f>VLOOKUP($D1916,'WB Data'!$C$3:$M$578,11,FALSE)</f>
        <v>114.4</v>
      </c>
      <c r="BS1916" s="129" t="str">
        <f>IFERROR(VLOOKUP($D1916,'WB Data 2'!$C$2:$K$545,9,FALSE),"..")</f>
        <v>..</v>
      </c>
      <c r="BT1916" s="129">
        <f>_xlfn.IFNA(VLOOKUP($C1916,RGI!$A$2:$C$43,2,FALSE),"..")</f>
        <v>38.200000000000003</v>
      </c>
      <c r="BU1916" s="129">
        <f>_xlfn.IFNA(VLOOKUP($C1916,RGI!$A$2:$C$43,3,FALSE),"..")</f>
        <v>45.714033330666766</v>
      </c>
      <c r="BV1916" s="129">
        <f>VLOOKUP($D1916,WGI!$C$2:$O$478,7,FALSE)</f>
        <v>-0.18426051083702899</v>
      </c>
      <c r="BW1916" s="129">
        <f>VLOOKUP($D1916,WGI!$C$2:$O$478,4,FALSE)</f>
        <v>-0.24059077761397499</v>
      </c>
      <c r="BX1916" s="129">
        <f>VLOOKUP($D1916,WGI!$C$2:$O$478,3,FALSE)</f>
        <v>-1.2099461631278601</v>
      </c>
      <c r="BY1916" s="129">
        <f>VLOOKUP($D1916,WGI!$C$2:$O$478,5,FALSE)</f>
        <v>-0.72483633482770204</v>
      </c>
      <c r="BZ1916" s="129">
        <f>VLOOKUP($D1916,WGI!$C$2:$O$478,2,FALSE)</f>
        <v>-0.77319034381493701</v>
      </c>
      <c r="CB1916" s="129"/>
    </row>
    <row r="1917" spans="1:80" ht="15" customHeight="1">
      <c r="A1917" s="280" t="s">
        <v>2244</v>
      </c>
      <c r="B1917" s="117">
        <v>2011</v>
      </c>
      <c r="C1917" s="117" t="s">
        <v>488</v>
      </c>
      <c r="D1917" s="117" t="s">
        <v>3712</v>
      </c>
      <c r="E1917" s="117" t="s">
        <v>86</v>
      </c>
      <c r="F1917" s="117" t="s">
        <v>2190</v>
      </c>
      <c r="G1917" s="132" t="s">
        <v>35</v>
      </c>
      <c r="H1917" s="117" t="str">
        <f t="shared" si="328"/>
        <v>yes</v>
      </c>
      <c r="I1917" s="117" t="str">
        <f t="shared" si="320"/>
        <v>yes</v>
      </c>
      <c r="J1917" s="117" t="str">
        <f t="shared" si="321"/>
        <v>yes</v>
      </c>
      <c r="K1917" s="117" t="s">
        <v>709</v>
      </c>
      <c r="L1917" s="117" t="str">
        <f t="shared" si="329"/>
        <v>Total</v>
      </c>
      <c r="M1917" s="117" t="str">
        <f t="shared" si="322"/>
        <v>Total Oil, Gas, Mining</v>
      </c>
      <c r="N1917" s="118"/>
      <c r="O1917" s="118"/>
      <c r="P1917" s="118"/>
      <c r="Q1917" s="118"/>
      <c r="R1917" s="118"/>
      <c r="S1917" s="117"/>
      <c r="T1917" s="119"/>
      <c r="U1917" s="117"/>
      <c r="V1917" s="117"/>
      <c r="W1917" s="89">
        <f>W1918+W1921</f>
        <v>509572462.55053759</v>
      </c>
      <c r="X1917" s="117" t="s">
        <v>601</v>
      </c>
      <c r="Y1917" s="117" t="s">
        <v>602</v>
      </c>
      <c r="Z1917" s="117" t="s">
        <v>603</v>
      </c>
      <c r="AA1917" s="177">
        <v>27621406</v>
      </c>
      <c r="AB1917" s="177">
        <v>26293141</v>
      </c>
      <c r="AC1917" s="122"/>
      <c r="AD1917" s="122"/>
      <c r="AE1917" s="122"/>
      <c r="AF1917" s="139">
        <f>AA1917/W1917</f>
        <v>5.420506018270288E-2</v>
      </c>
      <c r="AG1917" s="117" t="s">
        <v>864</v>
      </c>
      <c r="AH1917" s="124"/>
      <c r="AI1917" s="117" t="s">
        <v>605</v>
      </c>
      <c r="AJ1917" s="117"/>
      <c r="AK1917" s="89"/>
      <c r="AL1917" s="117"/>
      <c r="AM1917" s="117"/>
      <c r="AN1917" s="117">
        <v>25</v>
      </c>
      <c r="AO1917" s="117" t="s">
        <v>2245</v>
      </c>
      <c r="AP1917" s="117">
        <v>19</v>
      </c>
      <c r="AQ1917" s="390" t="s">
        <v>95</v>
      </c>
      <c r="AR1917" s="126">
        <v>41898</v>
      </c>
      <c r="AS1917" s="117" t="s">
        <v>607</v>
      </c>
      <c r="AT1917" s="117" t="s">
        <v>497</v>
      </c>
      <c r="AU1917" s="117" t="s">
        <v>1160</v>
      </c>
      <c r="AV1917" s="128" t="s">
        <v>2246</v>
      </c>
      <c r="AW1917" s="117">
        <f>VLOOKUP($D1917,'WB Data'!$C$3:$M$578,2,FALSE)</f>
        <v>2925391429.7983232</v>
      </c>
      <c r="AX1917" s="117">
        <f>VLOOKUP($D1917,'WB Data'!$C$3:$M$578,3,FALSE)</f>
        <v>5865491</v>
      </c>
      <c r="AY1917" s="847">
        <f t="shared" si="324"/>
        <v>9.4419521841233468E-3</v>
      </c>
      <c r="AZ1917" s="117">
        <f>VLOOKUP($D1917,'WB Data'!$C$3:$M$578,4,FALSE)/100</f>
        <v>0.1149178394884847</v>
      </c>
      <c r="BA1917" s="117">
        <f t="shared" si="325"/>
        <v>336179662.77055246</v>
      </c>
      <c r="BB1917" s="129">
        <f>IFERROR(VLOOKUP($D1917,'EITI Revenues'!$C$2:$G$224,5,FALSE),"..")</f>
        <v>27621406</v>
      </c>
      <c r="BC1917" s="846">
        <f t="shared" si="326"/>
        <v>8.2162632243616751E-2</v>
      </c>
      <c r="BD1917" s="129" t="str">
        <f>VLOOKUP($D1917,'WB Data 2'!$C$2:$K$545,6,FALSE)</f>
        <v>..</v>
      </c>
      <c r="BE1917" s="129">
        <f>IFERROR(VLOOKUP($D1917,UNCTAD!$C$5:$V$529,4,FALSE),"..")</f>
        <v>545726000</v>
      </c>
      <c r="BF1917" s="846" t="str">
        <f t="shared" si="327"/>
        <v>..</v>
      </c>
      <c r="BG1917" s="117">
        <f>VLOOKUP($D1917,'WB Data'!$C$3:$M$578,5,FALSE)</f>
        <v>425300000</v>
      </c>
      <c r="BH1917" s="129">
        <f>IFERROR($BB1917/$BG1917,"..")</f>
        <v>6.49456995062309E-2</v>
      </c>
      <c r="BI1917" s="117">
        <f>IFERROR(VLOOKUP($D1917,'WB Data'!$C$3:$M$578,7,FALSE)/100,"..")</f>
        <v>2.67236E-2</v>
      </c>
      <c r="BJ1917" s="117">
        <f>IFERROR($BI1917*$AW1917,"..")</f>
        <v>78176990.413358465</v>
      </c>
      <c r="BK1917" s="846">
        <f>IFERROR($BB1917/$BJ1917,"..")</f>
        <v>0.35331887111479549</v>
      </c>
      <c r="BL1917" s="117">
        <f>IFERROR(VLOOKUP($D1917,'WB Data'!$C$3:$M$578,7,FALSE)/100,"..")</f>
        <v>2.67236E-2</v>
      </c>
      <c r="BM1917" s="117">
        <f>IFERROR($AW1917*$BL1917,"..")</f>
        <v>78176990.413358465</v>
      </c>
      <c r="BN1917" s="846">
        <f>IFERROR($BB1917/$BM1917,"..")</f>
        <v>0.35331887111479549</v>
      </c>
      <c r="BO1917" s="801">
        <f t="shared" si="323"/>
        <v>31</v>
      </c>
      <c r="BP1917" s="117">
        <f>VLOOKUP($D1917,'WB Data'!$C$3:$M$578,9,FALSE)</f>
        <v>52.9</v>
      </c>
      <c r="BQ1917" s="117">
        <f>VLOOKUP($D1917,'WB Data'!$C$3:$M$578,10,FALSE)</f>
        <v>45.102585365853663</v>
      </c>
      <c r="BR1917" s="117">
        <f>VLOOKUP($D1917,'WB Data'!$C$3:$M$578,11,FALSE)</f>
        <v>112</v>
      </c>
      <c r="BS1917" s="129" t="str">
        <f>IFERROR(VLOOKUP($D1917,'WB Data 2'!$C$2:$K$545,9,FALSE),"..")</f>
        <v>..</v>
      </c>
      <c r="BT1917" s="129">
        <f>_xlfn.IFNA(VLOOKUP($C1917,RGI!$A$2:$C$43,2,FALSE),"..")</f>
        <v>38.200000000000003</v>
      </c>
      <c r="BU1917" s="129">
        <f>_xlfn.IFNA(VLOOKUP($C1917,RGI!$A$2:$C$43,3,FALSE),"..")</f>
        <v>45.714033330666766</v>
      </c>
      <c r="BV1917" s="129">
        <f>VLOOKUP($D1917,WGI!$C$2:$O$478,7,FALSE)</f>
        <v>-0.24013659840957499</v>
      </c>
      <c r="BW1917" s="129">
        <f>VLOOKUP($D1917,WGI!$C$2:$O$478,4,FALSE)</f>
        <v>-0.17063506320649199</v>
      </c>
      <c r="BX1917" s="129">
        <f>VLOOKUP($D1917,WGI!$C$2:$O$478,3,FALSE)</f>
        <v>-1.18918654562767</v>
      </c>
      <c r="BY1917" s="129">
        <f>VLOOKUP($D1917,WGI!$C$2:$O$478,5,FALSE)</f>
        <v>-0.70221252140498902</v>
      </c>
      <c r="BZ1917" s="129">
        <f>VLOOKUP($D1917,WGI!$C$2:$O$478,2,FALSE)</f>
        <v>-0.81445926646891498</v>
      </c>
    </row>
    <row r="1918" spans="1:80" ht="15" customHeight="1">
      <c r="A1918" s="280" t="s">
        <v>2244</v>
      </c>
      <c r="B1918" s="117">
        <v>2011</v>
      </c>
      <c r="C1918" s="117" t="s">
        <v>488</v>
      </c>
      <c r="D1918" s="117" t="s">
        <v>3712</v>
      </c>
      <c r="E1918" s="117" t="s">
        <v>86</v>
      </c>
      <c r="F1918" s="117"/>
      <c r="G1918" s="89" t="s">
        <v>55</v>
      </c>
      <c r="H1918" s="117" t="str">
        <f t="shared" si="328"/>
        <v>no</v>
      </c>
      <c r="I1918" s="117" t="str">
        <f t="shared" ref="I1918:I1981" si="330">IF($G1918="Gas","yes",IF($G1918="Oil, Gas, Mining","yes",IF($G1918="Gas, Mining","yes",IF($G1918="Oil, Gas","yes",IF($G1918="Oil, Gas, Other","yes","no")))))</f>
        <v>yes</v>
      </c>
      <c r="J1918" s="117" t="str">
        <f t="shared" ref="J1918:J1981" si="331">IF($G1918="Oil","yes",IF($G1918="Oil, Gas, Mining","yes",IF($G1918="Oil, Mining","yes",IF($G1918="Oil, Gas","yes",IF($G1918="Oil, Gas, Other","yes","no")))))</f>
        <v>yes</v>
      </c>
      <c r="K1918" s="117" t="s">
        <v>640</v>
      </c>
      <c r="L1918" s="117" t="str">
        <f t="shared" si="329"/>
        <v>Total</v>
      </c>
      <c r="M1918" s="117" t="str">
        <f t="shared" ref="M1918:M1981" si="332">L1918&amp;" "&amp;G1918</f>
        <v>Total Oil, Gas</v>
      </c>
      <c r="N1918" s="118"/>
      <c r="O1918" s="118"/>
      <c r="P1918" s="118"/>
      <c r="Q1918" s="118"/>
      <c r="R1918" s="118"/>
      <c r="S1918" s="117"/>
      <c r="T1918" s="119"/>
      <c r="U1918" s="117"/>
      <c r="V1918" s="117"/>
      <c r="W1918" s="89">
        <f>SUM(W1919:W1920)</f>
        <v>0</v>
      </c>
      <c r="X1918" s="89"/>
      <c r="Y1918" s="89"/>
      <c r="Z1918" s="89"/>
      <c r="AA1918" s="177">
        <v>15376455</v>
      </c>
      <c r="AB1918" s="177">
        <v>15194339</v>
      </c>
      <c r="AC1918" s="212" t="s">
        <v>2216</v>
      </c>
      <c r="AD1918" s="177">
        <f>AA1918*1</f>
        <v>15376455</v>
      </c>
      <c r="AE1918" s="212" t="s">
        <v>665</v>
      </c>
      <c r="AF1918" s="213" t="s">
        <v>603</v>
      </c>
      <c r="AG1918" s="89"/>
      <c r="AH1918" s="124"/>
      <c r="AI1918" s="117"/>
      <c r="AJ1918" s="117"/>
      <c r="AK1918" s="89"/>
      <c r="AL1918" s="117"/>
      <c r="AM1918" s="117"/>
      <c r="AN1918" s="117">
        <v>4</v>
      </c>
      <c r="AO1918" s="117" t="s">
        <v>2247</v>
      </c>
      <c r="AP1918" s="117">
        <v>4</v>
      </c>
      <c r="AQ1918" s="117"/>
      <c r="AR1918" s="126"/>
      <c r="AS1918" s="117"/>
      <c r="AT1918" s="117"/>
      <c r="AU1918" s="117" t="s">
        <v>1160</v>
      </c>
      <c r="AV1918" s="128"/>
      <c r="AW1918" s="117">
        <f>VLOOKUP($D1918,'WB Data'!$C$3:$M$578,2,FALSE)</f>
        <v>2925391429.7983232</v>
      </c>
      <c r="AX1918" s="117">
        <f>VLOOKUP($D1918,'WB Data'!$C$3:$M$578,3,FALSE)</f>
        <v>5865491</v>
      </c>
      <c r="AY1918" s="847">
        <f t="shared" si="324"/>
        <v>9.4419521841233468E-3</v>
      </c>
      <c r="AZ1918" s="117">
        <f>VLOOKUP($D1918,'WB Data'!$C$3:$M$578,4,FALSE)/100</f>
        <v>0.1149178394884847</v>
      </c>
      <c r="BA1918" s="117">
        <f t="shared" si="325"/>
        <v>336179662.77055246</v>
      </c>
      <c r="BB1918" s="129">
        <f>IFERROR(VLOOKUP($D1918,'EITI Revenues'!$C$2:$G$224,5,FALSE),"..")</f>
        <v>27621406</v>
      </c>
      <c r="BC1918" s="846">
        <f t="shared" si="326"/>
        <v>8.2162632243616751E-2</v>
      </c>
      <c r="BD1918" s="129" t="str">
        <f>VLOOKUP($D1918,'WB Data 2'!$C$2:$K$545,6,FALSE)</f>
        <v>..</v>
      </c>
      <c r="BE1918" s="129">
        <f>IFERROR(VLOOKUP($D1918,UNCTAD!$C$5:$V$529,4,FALSE),"..")</f>
        <v>545726000</v>
      </c>
      <c r="BF1918" s="846" t="str">
        <f t="shared" si="327"/>
        <v>..</v>
      </c>
      <c r="BG1918" s="117">
        <f>VLOOKUP($D1918,'WB Data'!$C$3:$M$578,5,FALSE)</f>
        <v>425300000</v>
      </c>
      <c r="BH1918" s="129">
        <f>IFERROR($BB1918/$BG1918,"..")</f>
        <v>6.49456995062309E-2</v>
      </c>
      <c r="BI1918" s="117">
        <f>IFERROR(VLOOKUP($D1918,'WB Data'!$C$3:$M$578,7,FALSE)/100,"..")</f>
        <v>2.67236E-2</v>
      </c>
      <c r="BJ1918" s="117">
        <f>IFERROR($BI1918*$AW1918,"..")</f>
        <v>78176990.413358465</v>
      </c>
      <c r="BK1918" s="846">
        <f>IFERROR($BB1918/$BJ1918,"..")</f>
        <v>0.35331887111479549</v>
      </c>
      <c r="BL1918" s="117">
        <f>IFERROR(VLOOKUP($D1918,'WB Data'!$C$3:$M$578,7,FALSE)/100,"..")</f>
        <v>2.67236E-2</v>
      </c>
      <c r="BM1918" s="117">
        <f>IFERROR($AW1918*$BL1918,"..")</f>
        <v>78176990.413358465</v>
      </c>
      <c r="BN1918" s="846">
        <f>IFERROR($BB1918/$BM1918,"..")</f>
        <v>0.35331887111479549</v>
      </c>
      <c r="BO1918" s="801">
        <f t="shared" si="323"/>
        <v>31</v>
      </c>
      <c r="BP1918" s="117">
        <f>VLOOKUP($D1918,'WB Data'!$C$3:$M$578,9,FALSE)</f>
        <v>52.9</v>
      </c>
      <c r="BQ1918" s="117">
        <f>VLOOKUP($D1918,'WB Data'!$C$3:$M$578,10,FALSE)</f>
        <v>45.102585365853663</v>
      </c>
      <c r="BR1918" s="117">
        <f>VLOOKUP($D1918,'WB Data'!$C$3:$M$578,11,FALSE)</f>
        <v>112</v>
      </c>
      <c r="BS1918" s="129" t="str">
        <f>IFERROR(VLOOKUP($D1918,'WB Data 2'!$C$2:$K$545,9,FALSE),"..")</f>
        <v>..</v>
      </c>
      <c r="BT1918" s="129">
        <f>_xlfn.IFNA(VLOOKUP($C1918,RGI!$A$2:$C$43,2,FALSE),"..")</f>
        <v>38.200000000000003</v>
      </c>
      <c r="BU1918" s="129">
        <f>_xlfn.IFNA(VLOOKUP($C1918,RGI!$A$2:$C$43,3,FALSE),"..")</f>
        <v>45.714033330666766</v>
      </c>
      <c r="BV1918" s="129">
        <f>VLOOKUP($D1918,WGI!$C$2:$O$478,7,FALSE)</f>
        <v>-0.24013659840957499</v>
      </c>
      <c r="BW1918" s="129">
        <f>VLOOKUP($D1918,WGI!$C$2:$O$478,4,FALSE)</f>
        <v>-0.17063506320649199</v>
      </c>
      <c r="BX1918" s="129">
        <f>VLOOKUP($D1918,WGI!$C$2:$O$478,3,FALSE)</f>
        <v>-1.18918654562767</v>
      </c>
      <c r="BY1918" s="129">
        <f>VLOOKUP($D1918,WGI!$C$2:$O$478,5,FALSE)</f>
        <v>-0.70221252140498902</v>
      </c>
      <c r="BZ1918" s="129">
        <f>VLOOKUP($D1918,WGI!$C$2:$O$478,2,FALSE)</f>
        <v>-0.81445926646891498</v>
      </c>
    </row>
    <row r="1919" spans="1:80" ht="15" customHeight="1">
      <c r="A1919" s="280" t="s">
        <v>2244</v>
      </c>
      <c r="B1919" s="117">
        <v>2011</v>
      </c>
      <c r="C1919" s="117" t="s">
        <v>488</v>
      </c>
      <c r="D1919" s="117" t="s">
        <v>3712</v>
      </c>
      <c r="E1919" s="117" t="s">
        <v>86</v>
      </c>
      <c r="F1919" s="117"/>
      <c r="G1919" s="117" t="s">
        <v>561</v>
      </c>
      <c r="H1919" s="117" t="str">
        <f t="shared" si="328"/>
        <v>no</v>
      </c>
      <c r="I1919" s="117" t="str">
        <f t="shared" si="330"/>
        <v>yes</v>
      </c>
      <c r="J1919" s="117" t="str">
        <f t="shared" si="331"/>
        <v>no</v>
      </c>
      <c r="K1919" s="117" t="s">
        <v>561</v>
      </c>
      <c r="L1919" s="117" t="str">
        <f t="shared" si="329"/>
        <v>detailed</v>
      </c>
      <c r="M1919" s="117" t="str">
        <f t="shared" si="332"/>
        <v>detailed Gas</v>
      </c>
      <c r="N1919" s="118">
        <v>0</v>
      </c>
      <c r="O1919" s="118"/>
      <c r="P1919" s="118"/>
      <c r="Q1919" s="118"/>
      <c r="R1919" s="118"/>
      <c r="S1919" s="117" t="s">
        <v>2218</v>
      </c>
      <c r="T1919" s="119"/>
      <c r="U1919" s="89"/>
      <c r="V1919" s="89" t="s">
        <v>2219</v>
      </c>
      <c r="W1919" s="89">
        <f>N1919*T1919</f>
        <v>0</v>
      </c>
      <c r="X1919" s="89"/>
      <c r="Y1919" s="89"/>
      <c r="Z1919" s="89"/>
      <c r="AA1919" s="177"/>
      <c r="AB1919" s="177"/>
      <c r="AC1919" s="122"/>
      <c r="AD1919" s="122"/>
      <c r="AE1919" s="122"/>
      <c r="AF1919" s="123"/>
      <c r="AG1919" s="89"/>
      <c r="AH1919" s="124"/>
      <c r="AI1919" s="117"/>
      <c r="AJ1919" s="117"/>
      <c r="AK1919" s="89"/>
      <c r="AL1919" s="117"/>
      <c r="AM1919" s="117"/>
      <c r="AN1919" s="117"/>
      <c r="AO1919" s="117"/>
      <c r="AP1919" s="117"/>
      <c r="AQ1919" s="117"/>
      <c r="AR1919" s="126"/>
      <c r="AS1919" s="117"/>
      <c r="AT1919" s="117"/>
      <c r="AU1919" s="117"/>
      <c r="AV1919" s="128"/>
      <c r="AW1919" s="117">
        <f>VLOOKUP($D1919,'WB Data'!$C$3:$M$578,2,FALSE)</f>
        <v>2925391429.7983232</v>
      </c>
      <c r="AX1919" s="117">
        <f>VLOOKUP($D1919,'WB Data'!$C$3:$M$578,3,FALSE)</f>
        <v>5865491</v>
      </c>
      <c r="AY1919" s="847">
        <f t="shared" si="324"/>
        <v>9.4419521841233468E-3</v>
      </c>
      <c r="AZ1919" s="117">
        <f>VLOOKUP($D1919,'WB Data'!$C$3:$M$578,4,FALSE)/100</f>
        <v>0.1149178394884847</v>
      </c>
      <c r="BA1919" s="117">
        <f t="shared" si="325"/>
        <v>336179662.77055246</v>
      </c>
      <c r="BB1919" s="129">
        <f>IFERROR(VLOOKUP($D1919,'EITI Revenues'!$C$2:$G$224,5,FALSE),"..")</f>
        <v>27621406</v>
      </c>
      <c r="BC1919" s="846">
        <f t="shared" si="326"/>
        <v>8.2162632243616751E-2</v>
      </c>
      <c r="BD1919" s="129" t="str">
        <f>VLOOKUP($D1919,'WB Data 2'!$C$2:$K$545,6,FALSE)</f>
        <v>..</v>
      </c>
      <c r="BE1919" s="129">
        <f>IFERROR(VLOOKUP($D1919,UNCTAD!$C$5:$V$529,4,FALSE),"..")</f>
        <v>545726000</v>
      </c>
      <c r="BF1919" s="846" t="str">
        <f t="shared" si="327"/>
        <v>..</v>
      </c>
      <c r="BG1919" s="117">
        <f>VLOOKUP($D1919,'WB Data'!$C$3:$M$578,5,FALSE)</f>
        <v>425300000</v>
      </c>
      <c r="BH1919" s="129">
        <f>IFERROR($BB1919/$BG1919,"..")</f>
        <v>6.49456995062309E-2</v>
      </c>
      <c r="BI1919" s="117">
        <f>IFERROR(VLOOKUP($D1919,'WB Data'!$C$3:$M$578,7,FALSE)/100,"..")</f>
        <v>2.67236E-2</v>
      </c>
      <c r="BJ1919" s="117">
        <f>IFERROR($BI1919*$AW1919,"..")</f>
        <v>78176990.413358465</v>
      </c>
      <c r="BK1919" s="846">
        <f>IFERROR($BB1919/$BJ1919,"..")</f>
        <v>0.35331887111479549</v>
      </c>
      <c r="BL1919" s="117">
        <f>IFERROR(VLOOKUP($D1919,'WB Data'!$C$3:$M$578,7,FALSE)/100,"..")</f>
        <v>2.67236E-2</v>
      </c>
      <c r="BM1919" s="117">
        <f>IFERROR($AW1919*$BL1919,"..")</f>
        <v>78176990.413358465</v>
      </c>
      <c r="BN1919" s="846">
        <f>IFERROR($BB1919/$BM1919,"..")</f>
        <v>0.35331887111479549</v>
      </c>
      <c r="BO1919" s="801">
        <f t="shared" si="323"/>
        <v>31</v>
      </c>
      <c r="BP1919" s="117">
        <f>VLOOKUP($D1919,'WB Data'!$C$3:$M$578,9,FALSE)</f>
        <v>52.9</v>
      </c>
      <c r="BQ1919" s="117">
        <f>VLOOKUP($D1919,'WB Data'!$C$3:$M$578,10,FALSE)</f>
        <v>45.102585365853663</v>
      </c>
      <c r="BR1919" s="117">
        <f>VLOOKUP($D1919,'WB Data'!$C$3:$M$578,11,FALSE)</f>
        <v>112</v>
      </c>
      <c r="BS1919" s="129" t="str">
        <f>IFERROR(VLOOKUP($D1919,'WB Data 2'!$C$2:$K$545,9,FALSE),"..")</f>
        <v>..</v>
      </c>
      <c r="BT1919" s="129">
        <f>_xlfn.IFNA(VLOOKUP($C1919,RGI!$A$2:$C$43,2,FALSE),"..")</f>
        <v>38.200000000000003</v>
      </c>
      <c r="BU1919" s="129">
        <f>_xlfn.IFNA(VLOOKUP($C1919,RGI!$A$2:$C$43,3,FALSE),"..")</f>
        <v>45.714033330666766</v>
      </c>
      <c r="BV1919" s="129">
        <f>VLOOKUP($D1919,WGI!$C$2:$O$478,7,FALSE)</f>
        <v>-0.24013659840957499</v>
      </c>
      <c r="BW1919" s="129">
        <f>VLOOKUP($D1919,WGI!$C$2:$O$478,4,FALSE)</f>
        <v>-0.17063506320649199</v>
      </c>
      <c r="BX1919" s="129">
        <f>VLOOKUP($D1919,WGI!$C$2:$O$478,3,FALSE)</f>
        <v>-1.18918654562767</v>
      </c>
      <c r="BY1919" s="129">
        <f>VLOOKUP($D1919,WGI!$C$2:$O$478,5,FALSE)</f>
        <v>-0.70221252140498902</v>
      </c>
      <c r="BZ1919" s="129">
        <f>VLOOKUP($D1919,WGI!$C$2:$O$478,2,FALSE)</f>
        <v>-0.81445926646891498</v>
      </c>
    </row>
    <row r="1920" spans="1:80" ht="15" customHeight="1">
      <c r="A1920" s="280" t="s">
        <v>2244</v>
      </c>
      <c r="B1920" s="117">
        <v>2011</v>
      </c>
      <c r="C1920" s="117" t="s">
        <v>488</v>
      </c>
      <c r="D1920" s="117" t="s">
        <v>3712</v>
      </c>
      <c r="E1920" s="117" t="s">
        <v>86</v>
      </c>
      <c r="F1920" s="117"/>
      <c r="G1920" s="117" t="s">
        <v>103</v>
      </c>
      <c r="H1920" s="117" t="str">
        <f t="shared" si="328"/>
        <v>no</v>
      </c>
      <c r="I1920" s="117" t="str">
        <f t="shared" si="330"/>
        <v>no</v>
      </c>
      <c r="J1920" s="117" t="str">
        <f t="shared" si="331"/>
        <v>yes</v>
      </c>
      <c r="K1920" s="117" t="s">
        <v>103</v>
      </c>
      <c r="L1920" s="117" t="str">
        <f t="shared" si="329"/>
        <v>detailed</v>
      </c>
      <c r="M1920" s="117" t="str">
        <f t="shared" si="332"/>
        <v>detailed Oil</v>
      </c>
      <c r="N1920" s="118">
        <v>0</v>
      </c>
      <c r="O1920" s="118"/>
      <c r="P1920" s="118"/>
      <c r="Q1920" s="118"/>
      <c r="R1920" s="118"/>
      <c r="S1920" s="117" t="s">
        <v>646</v>
      </c>
      <c r="T1920" s="119"/>
      <c r="U1920" s="89"/>
      <c r="V1920" s="89" t="s">
        <v>2219</v>
      </c>
      <c r="W1920" s="89">
        <f>N1920*T1920</f>
        <v>0</v>
      </c>
      <c r="X1920" s="89"/>
      <c r="Y1920" s="89"/>
      <c r="Z1920" s="89"/>
      <c r="AA1920" s="177"/>
      <c r="AB1920" s="177"/>
      <c r="AC1920" s="122"/>
      <c r="AD1920" s="122"/>
      <c r="AE1920" s="122"/>
      <c r="AF1920" s="123"/>
      <c r="AG1920" s="89"/>
      <c r="AH1920" s="124"/>
      <c r="AI1920" s="117"/>
      <c r="AJ1920" s="117"/>
      <c r="AK1920" s="89"/>
      <c r="AL1920" s="117"/>
      <c r="AM1920" s="117"/>
      <c r="AN1920" s="117"/>
      <c r="AO1920" s="117"/>
      <c r="AP1920" s="117"/>
      <c r="AQ1920" s="117"/>
      <c r="AR1920" s="126"/>
      <c r="AS1920" s="117"/>
      <c r="AT1920" s="117"/>
      <c r="AU1920" s="117"/>
      <c r="AV1920" s="128"/>
      <c r="AW1920" s="117">
        <f>VLOOKUP($D1920,'WB Data'!$C$3:$M$578,2,FALSE)</f>
        <v>2925391429.7983232</v>
      </c>
      <c r="AX1920" s="117">
        <f>VLOOKUP($D1920,'WB Data'!$C$3:$M$578,3,FALSE)</f>
        <v>5865491</v>
      </c>
      <c r="AY1920" s="847">
        <f t="shared" si="324"/>
        <v>9.4419521841233468E-3</v>
      </c>
      <c r="AZ1920" s="117">
        <f>VLOOKUP($D1920,'WB Data'!$C$3:$M$578,4,FALSE)/100</f>
        <v>0.1149178394884847</v>
      </c>
      <c r="BA1920" s="117">
        <f t="shared" si="325"/>
        <v>336179662.77055246</v>
      </c>
      <c r="BB1920" s="129">
        <f>IFERROR(VLOOKUP($D1920,'EITI Revenues'!$C$2:$G$224,5,FALSE),"..")</f>
        <v>27621406</v>
      </c>
      <c r="BC1920" s="846">
        <f t="shared" si="326"/>
        <v>8.2162632243616751E-2</v>
      </c>
      <c r="BD1920" s="129" t="str">
        <f>VLOOKUP($D1920,'WB Data 2'!$C$2:$K$545,6,FALSE)</f>
        <v>..</v>
      </c>
      <c r="BE1920" s="129">
        <f>IFERROR(VLOOKUP($D1920,UNCTAD!$C$5:$V$529,4,FALSE),"..")</f>
        <v>545726000</v>
      </c>
      <c r="BF1920" s="846" t="str">
        <f t="shared" si="327"/>
        <v>..</v>
      </c>
      <c r="BG1920" s="117">
        <f>VLOOKUP($D1920,'WB Data'!$C$3:$M$578,5,FALSE)</f>
        <v>425300000</v>
      </c>
      <c r="BH1920" s="129">
        <f>IFERROR($BB1920/$BG1920,"..")</f>
        <v>6.49456995062309E-2</v>
      </c>
      <c r="BI1920" s="117">
        <f>IFERROR(VLOOKUP($D1920,'WB Data'!$C$3:$M$578,7,FALSE)/100,"..")</f>
        <v>2.67236E-2</v>
      </c>
      <c r="BJ1920" s="117">
        <f>IFERROR($BI1920*$AW1920,"..")</f>
        <v>78176990.413358465</v>
      </c>
      <c r="BK1920" s="846">
        <f>IFERROR($BB1920/$BJ1920,"..")</f>
        <v>0.35331887111479549</v>
      </c>
      <c r="BL1920" s="117">
        <f>IFERROR(VLOOKUP($D1920,'WB Data'!$C$3:$M$578,7,FALSE)/100,"..")</f>
        <v>2.67236E-2</v>
      </c>
      <c r="BM1920" s="117">
        <f>IFERROR($AW1920*$BL1920,"..")</f>
        <v>78176990.413358465</v>
      </c>
      <c r="BN1920" s="846">
        <f>IFERROR($BB1920/$BM1920,"..")</f>
        <v>0.35331887111479549</v>
      </c>
      <c r="BO1920" s="801">
        <f t="shared" si="323"/>
        <v>31</v>
      </c>
      <c r="BP1920" s="117">
        <f>VLOOKUP($D1920,'WB Data'!$C$3:$M$578,9,FALSE)</f>
        <v>52.9</v>
      </c>
      <c r="BQ1920" s="117">
        <f>VLOOKUP($D1920,'WB Data'!$C$3:$M$578,10,FALSE)</f>
        <v>45.102585365853663</v>
      </c>
      <c r="BR1920" s="117">
        <f>VLOOKUP($D1920,'WB Data'!$C$3:$M$578,11,FALSE)</f>
        <v>112</v>
      </c>
      <c r="BS1920" s="129" t="str">
        <f>IFERROR(VLOOKUP($D1920,'WB Data 2'!$C$2:$K$545,9,FALSE),"..")</f>
        <v>..</v>
      </c>
      <c r="BT1920" s="129">
        <f>_xlfn.IFNA(VLOOKUP($C1920,RGI!$A$2:$C$43,2,FALSE),"..")</f>
        <v>38.200000000000003</v>
      </c>
      <c r="BU1920" s="129">
        <f>_xlfn.IFNA(VLOOKUP($C1920,RGI!$A$2:$C$43,3,FALSE),"..")</f>
        <v>45.714033330666766</v>
      </c>
      <c r="BV1920" s="129">
        <f>VLOOKUP($D1920,WGI!$C$2:$O$478,7,FALSE)</f>
        <v>-0.24013659840957499</v>
      </c>
      <c r="BW1920" s="129">
        <f>VLOOKUP($D1920,WGI!$C$2:$O$478,4,FALSE)</f>
        <v>-0.17063506320649199</v>
      </c>
      <c r="BX1920" s="129">
        <f>VLOOKUP($D1920,WGI!$C$2:$O$478,3,FALSE)</f>
        <v>-1.18918654562767</v>
      </c>
      <c r="BY1920" s="129">
        <f>VLOOKUP($D1920,WGI!$C$2:$O$478,5,FALSE)</f>
        <v>-0.70221252140498902</v>
      </c>
      <c r="BZ1920" s="129">
        <f>VLOOKUP($D1920,WGI!$C$2:$O$478,2,FALSE)</f>
        <v>-0.81445926646891498</v>
      </c>
    </row>
    <row r="1921" spans="1:80" ht="15" customHeight="1">
      <c r="A1921" s="280" t="s">
        <v>2244</v>
      </c>
      <c r="B1921" s="117">
        <v>2011</v>
      </c>
      <c r="C1921" s="117" t="s">
        <v>488</v>
      </c>
      <c r="D1921" s="117" t="s">
        <v>3712</v>
      </c>
      <c r="E1921" s="117" t="s">
        <v>86</v>
      </c>
      <c r="F1921" s="89"/>
      <c r="G1921" s="89" t="s">
        <v>24</v>
      </c>
      <c r="H1921" s="117" t="str">
        <f t="shared" si="328"/>
        <v>yes</v>
      </c>
      <c r="I1921" s="117" t="str">
        <f t="shared" si="330"/>
        <v>no</v>
      </c>
      <c r="J1921" s="117" t="str">
        <f t="shared" si="331"/>
        <v>no</v>
      </c>
      <c r="K1921" s="117" t="s">
        <v>600</v>
      </c>
      <c r="L1921" s="117" t="str">
        <f t="shared" si="329"/>
        <v>Total</v>
      </c>
      <c r="M1921" s="117" t="str">
        <f t="shared" si="332"/>
        <v>Total Mining</v>
      </c>
      <c r="N1921" s="118"/>
      <c r="O1921" s="118"/>
      <c r="P1921" s="118"/>
      <c r="Q1921" s="118"/>
      <c r="R1921" s="118"/>
      <c r="S1921" s="117"/>
      <c r="T1921" s="119"/>
      <c r="U1921" s="117"/>
      <c r="V1921" s="117"/>
      <c r="W1921" s="89">
        <f>SUM(W1922:W1929)-SUM(W1927:W1929)</f>
        <v>509572462.55053759</v>
      </c>
      <c r="X1921" s="117"/>
      <c r="Y1921" s="117"/>
      <c r="Z1921" s="117"/>
      <c r="AA1921" s="177">
        <v>12244951</v>
      </c>
      <c r="AB1921" s="177">
        <v>11098802</v>
      </c>
      <c r="AC1921" s="122"/>
      <c r="AD1921" s="122"/>
      <c r="AE1921" s="122"/>
      <c r="AF1921" s="123">
        <f t="shared" ref="AF1921:AF1926" si="333">AA1921/W1921</f>
        <v>2.4029852277948769E-2</v>
      </c>
      <c r="AG1921" s="117"/>
      <c r="AH1921" s="124"/>
      <c r="AI1921" s="117"/>
      <c r="AJ1921" s="117"/>
      <c r="AK1921" s="89"/>
      <c r="AL1921" s="117"/>
      <c r="AM1921" s="117"/>
      <c r="AN1921" s="117">
        <v>21</v>
      </c>
      <c r="AO1921" s="117" t="s">
        <v>2248</v>
      </c>
      <c r="AP1921" s="117">
        <v>15</v>
      </c>
      <c r="AQ1921" s="117"/>
      <c r="AR1921" s="126"/>
      <c r="AS1921" s="117"/>
      <c r="AT1921" s="117"/>
      <c r="AU1921" s="117" t="s">
        <v>1160</v>
      </c>
      <c r="AV1921" s="128"/>
      <c r="AW1921" s="117">
        <f>VLOOKUP($D1921,'WB Data'!$C$3:$M$578,2,FALSE)</f>
        <v>2925391429.7983232</v>
      </c>
      <c r="AX1921" s="117">
        <f>VLOOKUP($D1921,'WB Data'!$C$3:$M$578,3,FALSE)</f>
        <v>5865491</v>
      </c>
      <c r="AY1921" s="847">
        <f t="shared" si="324"/>
        <v>9.4419521841233468E-3</v>
      </c>
      <c r="AZ1921" s="117">
        <f>VLOOKUP($D1921,'WB Data'!$C$3:$M$578,4,FALSE)/100</f>
        <v>0.1149178394884847</v>
      </c>
      <c r="BA1921" s="117">
        <f t="shared" si="325"/>
        <v>336179662.77055246</v>
      </c>
      <c r="BB1921" s="129">
        <f>IFERROR(VLOOKUP($D1921,'EITI Revenues'!$C$2:$G$224,5,FALSE),"..")</f>
        <v>27621406</v>
      </c>
      <c r="BC1921" s="846">
        <f t="shared" si="326"/>
        <v>8.2162632243616751E-2</v>
      </c>
      <c r="BD1921" s="129" t="str">
        <f>VLOOKUP($D1921,'WB Data 2'!$C$2:$K$545,6,FALSE)</f>
        <v>..</v>
      </c>
      <c r="BE1921" s="129">
        <f>IFERROR(VLOOKUP($D1921,UNCTAD!$C$5:$V$529,4,FALSE),"..")</f>
        <v>545726000</v>
      </c>
      <c r="BF1921" s="846" t="str">
        <f t="shared" si="327"/>
        <v>..</v>
      </c>
      <c r="BG1921" s="117">
        <f>VLOOKUP($D1921,'WB Data'!$C$3:$M$578,5,FALSE)</f>
        <v>425300000</v>
      </c>
      <c r="BH1921" s="129">
        <f>IFERROR($BB1921/$BG1921,"..")</f>
        <v>6.49456995062309E-2</v>
      </c>
      <c r="BI1921" s="117">
        <f>IFERROR(VLOOKUP($D1921,'WB Data'!$C$3:$M$578,7,FALSE)/100,"..")</f>
        <v>2.67236E-2</v>
      </c>
      <c r="BJ1921" s="117">
        <f>IFERROR($BI1921*$AW1921,"..")</f>
        <v>78176990.413358465</v>
      </c>
      <c r="BK1921" s="846">
        <f>IFERROR($BB1921/$BJ1921,"..")</f>
        <v>0.35331887111479549</v>
      </c>
      <c r="BL1921" s="117">
        <f>IFERROR(VLOOKUP($D1921,'WB Data'!$C$3:$M$578,7,FALSE)/100,"..")</f>
        <v>2.67236E-2</v>
      </c>
      <c r="BM1921" s="117">
        <f>IFERROR($AW1921*$BL1921,"..")</f>
        <v>78176990.413358465</v>
      </c>
      <c r="BN1921" s="846">
        <f>IFERROR($BB1921/$BM1921,"..")</f>
        <v>0.35331887111479549</v>
      </c>
      <c r="BO1921" s="801">
        <f t="shared" si="323"/>
        <v>31</v>
      </c>
      <c r="BP1921" s="117">
        <f>VLOOKUP($D1921,'WB Data'!$C$3:$M$578,9,FALSE)</f>
        <v>52.9</v>
      </c>
      <c r="BQ1921" s="117">
        <f>VLOOKUP($D1921,'WB Data'!$C$3:$M$578,10,FALSE)</f>
        <v>45.102585365853663</v>
      </c>
      <c r="BR1921" s="117">
        <f>VLOOKUP($D1921,'WB Data'!$C$3:$M$578,11,FALSE)</f>
        <v>112</v>
      </c>
      <c r="BS1921" s="129" t="str">
        <f>IFERROR(VLOOKUP($D1921,'WB Data 2'!$C$2:$K$545,9,FALSE),"..")</f>
        <v>..</v>
      </c>
      <c r="BT1921" s="129">
        <f>_xlfn.IFNA(VLOOKUP($C1921,RGI!$A$2:$C$43,2,FALSE),"..")</f>
        <v>38.200000000000003</v>
      </c>
      <c r="BU1921" s="129">
        <f>_xlfn.IFNA(VLOOKUP($C1921,RGI!$A$2:$C$43,3,FALSE),"..")</f>
        <v>45.714033330666766</v>
      </c>
      <c r="BV1921" s="129">
        <f>VLOOKUP($D1921,WGI!$C$2:$O$478,7,FALSE)</f>
        <v>-0.24013659840957499</v>
      </c>
      <c r="BW1921" s="129">
        <f>VLOOKUP($D1921,WGI!$C$2:$O$478,4,FALSE)</f>
        <v>-0.17063506320649199</v>
      </c>
      <c r="BX1921" s="129">
        <f>VLOOKUP($D1921,WGI!$C$2:$O$478,3,FALSE)</f>
        <v>-1.18918654562767</v>
      </c>
      <c r="BY1921" s="129">
        <f>VLOOKUP($D1921,WGI!$C$2:$O$478,5,FALSE)</f>
        <v>-0.70221252140498902</v>
      </c>
      <c r="BZ1921" s="129">
        <f>VLOOKUP($D1921,WGI!$C$2:$O$478,2,FALSE)</f>
        <v>-0.81445926646891498</v>
      </c>
    </row>
    <row r="1922" spans="1:80" ht="15" customHeight="1">
      <c r="A1922" s="280" t="s">
        <v>2244</v>
      </c>
      <c r="B1922" s="117">
        <v>2011</v>
      </c>
      <c r="C1922" s="117" t="s">
        <v>488</v>
      </c>
      <c r="D1922" s="117" t="s">
        <v>3712</v>
      </c>
      <c r="E1922" s="117" t="s">
        <v>86</v>
      </c>
      <c r="F1922" s="89"/>
      <c r="G1922" s="89" t="s">
        <v>24</v>
      </c>
      <c r="H1922" s="117" t="str">
        <f t="shared" si="328"/>
        <v>yes</v>
      </c>
      <c r="I1922" s="117" t="str">
        <f t="shared" si="330"/>
        <v>no</v>
      </c>
      <c r="J1922" s="117" t="str">
        <f t="shared" si="331"/>
        <v>no</v>
      </c>
      <c r="K1922" s="117" t="s">
        <v>1138</v>
      </c>
      <c r="L1922" s="117" t="str">
        <f t="shared" si="329"/>
        <v>detailed</v>
      </c>
      <c r="M1922" s="117" t="str">
        <f t="shared" si="332"/>
        <v>detailed Mining</v>
      </c>
      <c r="N1922" s="118">
        <v>1300000</v>
      </c>
      <c r="O1922" s="118"/>
      <c r="P1922" s="118"/>
      <c r="Q1922" s="118"/>
      <c r="R1922" s="118"/>
      <c r="S1922" s="117" t="s">
        <v>610</v>
      </c>
      <c r="T1922" s="119">
        <v>30.49</v>
      </c>
      <c r="U1922" s="117" t="s">
        <v>611</v>
      </c>
      <c r="V1922" s="117" t="s">
        <v>1361</v>
      </c>
      <c r="W1922" s="89">
        <f>N1922*T1922</f>
        <v>39637000</v>
      </c>
      <c r="X1922" s="117"/>
      <c r="Y1922" s="89"/>
      <c r="Z1922" s="89"/>
      <c r="AA1922" s="177">
        <v>1286069</v>
      </c>
      <c r="AB1922" s="177">
        <v>1286077</v>
      </c>
      <c r="AC1922" s="122"/>
      <c r="AD1922" s="122"/>
      <c r="AE1922" s="122"/>
      <c r="AF1922" s="123">
        <f t="shared" si="333"/>
        <v>3.2446174029316044E-2</v>
      </c>
      <c r="AG1922" s="89"/>
      <c r="AH1922" s="124"/>
      <c r="AI1922" s="117"/>
      <c r="AJ1922" s="89"/>
      <c r="AK1922" s="89"/>
      <c r="AL1922" s="117"/>
      <c r="AM1922" s="117"/>
      <c r="AN1922" s="117">
        <v>1</v>
      </c>
      <c r="AO1922" s="117" t="s">
        <v>2222</v>
      </c>
      <c r="AP1922" s="117">
        <v>1</v>
      </c>
      <c r="AQ1922" s="117"/>
      <c r="AR1922" s="117"/>
      <c r="AS1922" s="117"/>
      <c r="AT1922" s="117"/>
      <c r="AU1922" s="117" t="s">
        <v>1160</v>
      </c>
      <c r="AV1922" s="128"/>
      <c r="AW1922" s="117">
        <f>VLOOKUP($D1922,'WB Data'!$C$3:$M$578,2,FALSE)</f>
        <v>2925391429.7983232</v>
      </c>
      <c r="AX1922" s="117">
        <f>VLOOKUP($D1922,'WB Data'!$C$3:$M$578,3,FALSE)</f>
        <v>5865491</v>
      </c>
      <c r="AY1922" s="847">
        <f t="shared" si="324"/>
        <v>9.4419521841233468E-3</v>
      </c>
      <c r="AZ1922" s="117">
        <f>VLOOKUP($D1922,'WB Data'!$C$3:$M$578,4,FALSE)/100</f>
        <v>0.1149178394884847</v>
      </c>
      <c r="BA1922" s="117">
        <f t="shared" si="325"/>
        <v>336179662.77055246</v>
      </c>
      <c r="BB1922" s="129">
        <f>IFERROR(VLOOKUP($D1922,'EITI Revenues'!$C$2:$G$224,5,FALSE),"..")</f>
        <v>27621406</v>
      </c>
      <c r="BC1922" s="846">
        <f t="shared" si="326"/>
        <v>8.2162632243616751E-2</v>
      </c>
      <c r="BD1922" s="129" t="str">
        <f>VLOOKUP($D1922,'WB Data 2'!$C$2:$K$545,6,FALSE)</f>
        <v>..</v>
      </c>
      <c r="BE1922" s="129">
        <f>IFERROR(VLOOKUP($D1922,UNCTAD!$C$5:$V$529,4,FALSE),"..")</f>
        <v>545726000</v>
      </c>
      <c r="BF1922" s="846" t="str">
        <f t="shared" si="327"/>
        <v>..</v>
      </c>
      <c r="BG1922" s="117">
        <f>VLOOKUP($D1922,'WB Data'!$C$3:$M$578,5,FALSE)</f>
        <v>425300000</v>
      </c>
      <c r="BH1922" s="129">
        <f>IFERROR($BB1922/$BG1922,"..")</f>
        <v>6.49456995062309E-2</v>
      </c>
      <c r="BI1922" s="117">
        <f>IFERROR(VLOOKUP($D1922,'WB Data'!$C$3:$M$578,7,FALSE)/100,"..")</f>
        <v>2.67236E-2</v>
      </c>
      <c r="BJ1922" s="117">
        <f>IFERROR($BI1922*$AW1922,"..")</f>
        <v>78176990.413358465</v>
      </c>
      <c r="BK1922" s="846">
        <f>IFERROR($BB1922/$BJ1922,"..")</f>
        <v>0.35331887111479549</v>
      </c>
      <c r="BL1922" s="117">
        <f>IFERROR(VLOOKUP($D1922,'WB Data'!$C$3:$M$578,7,FALSE)/100,"..")</f>
        <v>2.67236E-2</v>
      </c>
      <c r="BM1922" s="117">
        <f>IFERROR($AW1922*$BL1922,"..")</f>
        <v>78176990.413358465</v>
      </c>
      <c r="BN1922" s="846">
        <f>IFERROR($BB1922/$BM1922,"..")</f>
        <v>0.35331887111479549</v>
      </c>
      <c r="BO1922" s="801">
        <f t="shared" ref="BO1922:BO1985" si="334">_xlfn.IFNA(VLOOKUP($C1922,CPI_2013,2,FALSE),"..")</f>
        <v>31</v>
      </c>
      <c r="BP1922" s="117">
        <f>VLOOKUP($D1922,'WB Data'!$C$3:$M$578,9,FALSE)</f>
        <v>52.9</v>
      </c>
      <c r="BQ1922" s="117">
        <f>VLOOKUP($D1922,'WB Data'!$C$3:$M$578,10,FALSE)</f>
        <v>45.102585365853663</v>
      </c>
      <c r="BR1922" s="117">
        <f>VLOOKUP($D1922,'WB Data'!$C$3:$M$578,11,FALSE)</f>
        <v>112</v>
      </c>
      <c r="BS1922" s="129" t="str">
        <f>IFERROR(VLOOKUP($D1922,'WB Data 2'!$C$2:$K$545,9,FALSE),"..")</f>
        <v>..</v>
      </c>
      <c r="BT1922" s="129">
        <f>_xlfn.IFNA(VLOOKUP($C1922,RGI!$A$2:$C$43,2,FALSE),"..")</f>
        <v>38.200000000000003</v>
      </c>
      <c r="BU1922" s="129">
        <f>_xlfn.IFNA(VLOOKUP($C1922,RGI!$A$2:$C$43,3,FALSE),"..")</f>
        <v>45.714033330666766</v>
      </c>
      <c r="BV1922" s="129">
        <f>VLOOKUP($D1922,WGI!$C$2:$O$478,7,FALSE)</f>
        <v>-0.24013659840957499</v>
      </c>
      <c r="BW1922" s="129">
        <f>VLOOKUP($D1922,WGI!$C$2:$O$478,4,FALSE)</f>
        <v>-0.17063506320649199</v>
      </c>
      <c r="BX1922" s="129">
        <f>VLOOKUP($D1922,WGI!$C$2:$O$478,3,FALSE)</f>
        <v>-1.18918654562767</v>
      </c>
      <c r="BY1922" s="129">
        <f>VLOOKUP($D1922,WGI!$C$2:$O$478,5,FALSE)</f>
        <v>-0.70221252140498902</v>
      </c>
      <c r="BZ1922" s="129">
        <f>VLOOKUP($D1922,WGI!$C$2:$O$478,2,FALSE)</f>
        <v>-0.81445926646891498</v>
      </c>
    </row>
    <row r="1923" spans="1:80" ht="15" customHeight="1">
      <c r="A1923" s="280" t="s">
        <v>2244</v>
      </c>
      <c r="B1923" s="117">
        <v>2011</v>
      </c>
      <c r="C1923" s="117" t="s">
        <v>488</v>
      </c>
      <c r="D1923" s="117" t="s">
        <v>3712</v>
      </c>
      <c r="E1923" s="117" t="s">
        <v>86</v>
      </c>
      <c r="F1923" s="89"/>
      <c r="G1923" s="89" t="s">
        <v>24</v>
      </c>
      <c r="H1923" s="117" t="str">
        <f t="shared" si="328"/>
        <v>yes</v>
      </c>
      <c r="I1923" s="117" t="str">
        <f t="shared" si="330"/>
        <v>no</v>
      </c>
      <c r="J1923" s="117" t="str">
        <f t="shared" si="331"/>
        <v>no</v>
      </c>
      <c r="K1923" s="117" t="s">
        <v>1207</v>
      </c>
      <c r="L1923" s="117" t="str">
        <f t="shared" si="329"/>
        <v>detailed</v>
      </c>
      <c r="M1923" s="117" t="str">
        <f t="shared" si="332"/>
        <v>detailed Mining</v>
      </c>
      <c r="N1923" s="118">
        <v>357161</v>
      </c>
      <c r="O1923" s="118"/>
      <c r="P1923" s="118"/>
      <c r="Q1923" s="118"/>
      <c r="R1923" s="118"/>
      <c r="S1923" s="117" t="s">
        <v>981</v>
      </c>
      <c r="T1923" s="119">
        <v>347.6</v>
      </c>
      <c r="U1923" s="89" t="s">
        <v>982</v>
      </c>
      <c r="V1923" s="117" t="s">
        <v>2249</v>
      </c>
      <c r="W1923" s="89">
        <f>N1923*T1923</f>
        <v>124149163.60000001</v>
      </c>
      <c r="X1923" s="89"/>
      <c r="Y1923" s="89"/>
      <c r="Z1923" s="89"/>
      <c r="AA1923" s="177">
        <v>5845518</v>
      </c>
      <c r="AB1923" s="177">
        <v>4699007</v>
      </c>
      <c r="AC1923" s="122"/>
      <c r="AD1923" s="122"/>
      <c r="AE1923" s="122"/>
      <c r="AF1923" s="123">
        <f t="shared" si="333"/>
        <v>4.7084634567767639E-2</v>
      </c>
      <c r="AG1923" s="89"/>
      <c r="AH1923" s="124"/>
      <c r="AI1923" s="89"/>
      <c r="AJ1923" s="89"/>
      <c r="AK1923" s="89"/>
      <c r="AL1923" s="117"/>
      <c r="AM1923" s="117"/>
      <c r="AN1923" s="117">
        <v>11</v>
      </c>
      <c r="AO1923" s="233" t="s">
        <v>2250</v>
      </c>
      <c r="AP1923" s="117">
        <v>5</v>
      </c>
      <c r="AQ1923" s="117"/>
      <c r="AR1923" s="117"/>
      <c r="AS1923" s="117"/>
      <c r="AT1923" s="117"/>
      <c r="AU1923" s="117" t="s">
        <v>1160</v>
      </c>
      <c r="AV1923" s="128"/>
      <c r="AW1923" s="117">
        <f>VLOOKUP($D1923,'WB Data'!$C$3:$M$578,2,FALSE)</f>
        <v>2925391429.7983232</v>
      </c>
      <c r="AX1923" s="117">
        <f>VLOOKUP($D1923,'WB Data'!$C$3:$M$578,3,FALSE)</f>
        <v>5865491</v>
      </c>
      <c r="AY1923" s="847">
        <f t="shared" ref="AY1923:AY1986" si="335">IFERROR($BB1923/$AW1923,"..")</f>
        <v>9.4419521841233468E-3</v>
      </c>
      <c r="AZ1923" s="117">
        <f>VLOOKUP($D1923,'WB Data'!$C$3:$M$578,4,FALSE)/100</f>
        <v>0.1149178394884847</v>
      </c>
      <c r="BA1923" s="117">
        <f t="shared" ref="BA1923:BA1986" si="336">IFERROR($AW1923*$AZ1923,"..")</f>
        <v>336179662.77055246</v>
      </c>
      <c r="BB1923" s="129">
        <f>IFERROR(VLOOKUP($D1923,'EITI Revenues'!$C$2:$G$224,5,FALSE),"..")</f>
        <v>27621406</v>
      </c>
      <c r="BC1923" s="846">
        <f t="shared" ref="BC1923:BC1986" si="337">IFERROR($BB1923/$BA1923,"..")</f>
        <v>8.2162632243616751E-2</v>
      </c>
      <c r="BD1923" s="129" t="str">
        <f>VLOOKUP($D1923,'WB Data 2'!$C$2:$K$545,6,FALSE)</f>
        <v>..</v>
      </c>
      <c r="BE1923" s="129">
        <f>IFERROR(VLOOKUP($D1923,UNCTAD!$C$5:$V$529,4,FALSE),"..")</f>
        <v>545726000</v>
      </c>
      <c r="BF1923" s="846" t="str">
        <f t="shared" ref="BF1923:BF1986" si="338">IFERROR(($BD1923/$BE1923),"..")</f>
        <v>..</v>
      </c>
      <c r="BG1923" s="117">
        <f>VLOOKUP($D1923,'WB Data'!$C$3:$M$578,5,FALSE)</f>
        <v>425300000</v>
      </c>
      <c r="BH1923" s="129">
        <f>IFERROR($BB1923/$BG1923,"..")</f>
        <v>6.49456995062309E-2</v>
      </c>
      <c r="BI1923" s="117">
        <f>IFERROR(VLOOKUP($D1923,'WB Data'!$C$3:$M$578,7,FALSE)/100,"..")</f>
        <v>2.67236E-2</v>
      </c>
      <c r="BJ1923" s="117">
        <f>IFERROR($BI1923*$AW1923,"..")</f>
        <v>78176990.413358465</v>
      </c>
      <c r="BK1923" s="846">
        <f>IFERROR($BB1923/$BJ1923,"..")</f>
        <v>0.35331887111479549</v>
      </c>
      <c r="BL1923" s="117">
        <f>IFERROR(VLOOKUP($D1923,'WB Data'!$C$3:$M$578,7,FALSE)/100,"..")</f>
        <v>2.67236E-2</v>
      </c>
      <c r="BM1923" s="117">
        <f>IFERROR($AW1923*$BL1923,"..")</f>
        <v>78176990.413358465</v>
      </c>
      <c r="BN1923" s="846">
        <f>IFERROR($BB1923/$BM1923,"..")</f>
        <v>0.35331887111479549</v>
      </c>
      <c r="BO1923" s="801">
        <f t="shared" si="334"/>
        <v>31</v>
      </c>
      <c r="BP1923" s="117">
        <f>VLOOKUP($D1923,'WB Data'!$C$3:$M$578,9,FALSE)</f>
        <v>52.9</v>
      </c>
      <c r="BQ1923" s="117">
        <f>VLOOKUP($D1923,'WB Data'!$C$3:$M$578,10,FALSE)</f>
        <v>45.102585365853663</v>
      </c>
      <c r="BR1923" s="117">
        <f>VLOOKUP($D1923,'WB Data'!$C$3:$M$578,11,FALSE)</f>
        <v>112</v>
      </c>
      <c r="BS1923" s="129" t="str">
        <f>IFERROR(VLOOKUP($D1923,'WB Data 2'!$C$2:$K$545,9,FALSE),"..")</f>
        <v>..</v>
      </c>
      <c r="BT1923" s="129">
        <f>_xlfn.IFNA(VLOOKUP($C1923,RGI!$A$2:$C$43,2,FALSE),"..")</f>
        <v>38.200000000000003</v>
      </c>
      <c r="BU1923" s="129">
        <f>_xlfn.IFNA(VLOOKUP($C1923,RGI!$A$2:$C$43,3,FALSE),"..")</f>
        <v>45.714033330666766</v>
      </c>
      <c r="BV1923" s="129">
        <f>VLOOKUP($D1923,WGI!$C$2:$O$478,7,FALSE)</f>
        <v>-0.24013659840957499</v>
      </c>
      <c r="BW1923" s="129">
        <f>VLOOKUP($D1923,WGI!$C$2:$O$478,4,FALSE)</f>
        <v>-0.17063506320649199</v>
      </c>
      <c r="BX1923" s="129">
        <f>VLOOKUP($D1923,WGI!$C$2:$O$478,3,FALSE)</f>
        <v>-1.18918654562767</v>
      </c>
      <c r="BY1923" s="129">
        <f>VLOOKUP($D1923,WGI!$C$2:$O$478,5,FALSE)</f>
        <v>-0.70221252140498902</v>
      </c>
      <c r="BZ1923" s="129">
        <f>VLOOKUP($D1923,WGI!$C$2:$O$478,2,FALSE)</f>
        <v>-0.81445926646891498</v>
      </c>
    </row>
    <row r="1924" spans="1:80" ht="15" customHeight="1">
      <c r="A1924" s="280" t="s">
        <v>2244</v>
      </c>
      <c r="B1924" s="117">
        <v>2011</v>
      </c>
      <c r="C1924" s="117" t="s">
        <v>488</v>
      </c>
      <c r="D1924" s="117" t="s">
        <v>3712</v>
      </c>
      <c r="E1924" s="117" t="s">
        <v>86</v>
      </c>
      <c r="F1924" s="117"/>
      <c r="G1924" s="89" t="s">
        <v>24</v>
      </c>
      <c r="H1924" s="117" t="str">
        <f t="shared" si="328"/>
        <v>yes</v>
      </c>
      <c r="I1924" s="117" t="str">
        <f t="shared" si="330"/>
        <v>no</v>
      </c>
      <c r="J1924" s="117" t="str">
        <f t="shared" si="331"/>
        <v>no</v>
      </c>
      <c r="K1924" s="117" t="s">
        <v>784</v>
      </c>
      <c r="L1924" s="117" t="str">
        <f t="shared" si="329"/>
        <v>detailed</v>
      </c>
      <c r="M1924" s="117" t="str">
        <f t="shared" si="332"/>
        <v>detailed Mining</v>
      </c>
      <c r="N1924" s="118">
        <f>164*32.1507431265</f>
        <v>5272.7218727459995</v>
      </c>
      <c r="O1924" s="118"/>
      <c r="P1924" s="118"/>
      <c r="Q1924" s="118"/>
      <c r="R1924" s="118"/>
      <c r="S1924" s="117" t="s">
        <v>785</v>
      </c>
      <c r="T1924" s="119">
        <v>1569.2108333333299</v>
      </c>
      <c r="U1924" s="117" t="s">
        <v>786</v>
      </c>
      <c r="V1924" s="117" t="s">
        <v>787</v>
      </c>
      <c r="W1924" s="89">
        <f>N1924*T1924</f>
        <v>8274012.2838666253</v>
      </c>
      <c r="X1924" s="89"/>
      <c r="Y1924" s="89"/>
      <c r="Z1924" s="89"/>
      <c r="AA1924" s="177">
        <v>412938</v>
      </c>
      <c r="AB1924" s="177">
        <v>412938</v>
      </c>
      <c r="AC1924" s="122"/>
      <c r="AD1924" s="122"/>
      <c r="AE1924" s="122"/>
      <c r="AF1924" s="123">
        <f t="shared" si="333"/>
        <v>4.9907830183571485E-2</v>
      </c>
      <c r="AG1924" s="89"/>
      <c r="AH1924" s="124"/>
      <c r="AI1924" s="117"/>
      <c r="AJ1924" s="89"/>
      <c r="AK1924" s="89"/>
      <c r="AL1924" s="117"/>
      <c r="AM1924" s="117"/>
      <c r="AN1924" s="117">
        <v>2</v>
      </c>
      <c r="AO1924" s="117" t="s">
        <v>2251</v>
      </c>
      <c r="AP1924" s="117">
        <v>2</v>
      </c>
      <c r="AQ1924" s="117"/>
      <c r="AR1924" s="117"/>
      <c r="AS1924" s="117"/>
      <c r="AT1924" s="117"/>
      <c r="AU1924" s="117" t="s">
        <v>1160</v>
      </c>
      <c r="AV1924" s="128"/>
      <c r="AW1924" s="117">
        <f>VLOOKUP($D1924,'WB Data'!$C$3:$M$578,2,FALSE)</f>
        <v>2925391429.7983232</v>
      </c>
      <c r="AX1924" s="117">
        <f>VLOOKUP($D1924,'WB Data'!$C$3:$M$578,3,FALSE)</f>
        <v>5865491</v>
      </c>
      <c r="AY1924" s="847">
        <f t="shared" si="335"/>
        <v>9.4419521841233468E-3</v>
      </c>
      <c r="AZ1924" s="117">
        <f>VLOOKUP($D1924,'WB Data'!$C$3:$M$578,4,FALSE)/100</f>
        <v>0.1149178394884847</v>
      </c>
      <c r="BA1924" s="117">
        <f t="shared" si="336"/>
        <v>336179662.77055246</v>
      </c>
      <c r="BB1924" s="129">
        <f>IFERROR(VLOOKUP($D1924,'EITI Revenues'!$C$2:$G$224,5,FALSE),"..")</f>
        <v>27621406</v>
      </c>
      <c r="BC1924" s="846">
        <f t="shared" si="337"/>
        <v>8.2162632243616751E-2</v>
      </c>
      <c r="BD1924" s="129" t="str">
        <f>VLOOKUP($D1924,'WB Data 2'!$C$2:$K$545,6,FALSE)</f>
        <v>..</v>
      </c>
      <c r="BE1924" s="129">
        <f>IFERROR(VLOOKUP($D1924,UNCTAD!$C$5:$V$529,4,FALSE),"..")</f>
        <v>545726000</v>
      </c>
      <c r="BF1924" s="846" t="str">
        <f t="shared" si="338"/>
        <v>..</v>
      </c>
      <c r="BG1924" s="117">
        <f>VLOOKUP($D1924,'WB Data'!$C$3:$M$578,5,FALSE)</f>
        <v>425300000</v>
      </c>
      <c r="BH1924" s="129">
        <f>IFERROR($BB1924/$BG1924,"..")</f>
        <v>6.49456995062309E-2</v>
      </c>
      <c r="BI1924" s="117">
        <f>IFERROR(VLOOKUP($D1924,'WB Data'!$C$3:$M$578,7,FALSE)/100,"..")</f>
        <v>2.67236E-2</v>
      </c>
      <c r="BJ1924" s="117">
        <f>IFERROR($BI1924*$AW1924,"..")</f>
        <v>78176990.413358465</v>
      </c>
      <c r="BK1924" s="846">
        <f>IFERROR($BB1924/$BJ1924,"..")</f>
        <v>0.35331887111479549</v>
      </c>
      <c r="BL1924" s="117">
        <f>IFERROR(VLOOKUP($D1924,'WB Data'!$C$3:$M$578,7,FALSE)/100,"..")</f>
        <v>2.67236E-2</v>
      </c>
      <c r="BM1924" s="117">
        <f>IFERROR($AW1924*$BL1924,"..")</f>
        <v>78176990.413358465</v>
      </c>
      <c r="BN1924" s="846">
        <f>IFERROR($BB1924/$BM1924,"..")</f>
        <v>0.35331887111479549</v>
      </c>
      <c r="BO1924" s="801">
        <f t="shared" si="334"/>
        <v>31</v>
      </c>
      <c r="BP1924" s="117">
        <f>VLOOKUP($D1924,'WB Data'!$C$3:$M$578,9,FALSE)</f>
        <v>52.9</v>
      </c>
      <c r="BQ1924" s="117">
        <f>VLOOKUP($D1924,'WB Data'!$C$3:$M$578,10,FALSE)</f>
        <v>45.102585365853663</v>
      </c>
      <c r="BR1924" s="117">
        <f>VLOOKUP($D1924,'WB Data'!$C$3:$M$578,11,FALSE)</f>
        <v>112</v>
      </c>
      <c r="BS1924" s="129" t="str">
        <f>IFERROR(VLOOKUP($D1924,'WB Data 2'!$C$2:$K$545,9,FALSE),"..")</f>
        <v>..</v>
      </c>
      <c r="BT1924" s="129">
        <f>_xlfn.IFNA(VLOOKUP($C1924,RGI!$A$2:$C$43,2,FALSE),"..")</f>
        <v>38.200000000000003</v>
      </c>
      <c r="BU1924" s="129">
        <f>_xlfn.IFNA(VLOOKUP($C1924,RGI!$A$2:$C$43,3,FALSE),"..")</f>
        <v>45.714033330666766</v>
      </c>
      <c r="BV1924" s="129">
        <f>VLOOKUP($D1924,WGI!$C$2:$O$478,7,FALSE)</f>
        <v>-0.24013659840957499</v>
      </c>
      <c r="BW1924" s="129">
        <f>VLOOKUP($D1924,WGI!$C$2:$O$478,4,FALSE)</f>
        <v>-0.17063506320649199</v>
      </c>
      <c r="BX1924" s="129">
        <f>VLOOKUP($D1924,WGI!$C$2:$O$478,3,FALSE)</f>
        <v>-1.18918654562767</v>
      </c>
      <c r="BY1924" s="129">
        <f>VLOOKUP($D1924,WGI!$C$2:$O$478,5,FALSE)</f>
        <v>-0.70221252140498902</v>
      </c>
      <c r="BZ1924" s="129">
        <f>VLOOKUP($D1924,WGI!$C$2:$O$478,2,FALSE)</f>
        <v>-0.81445926646891498</v>
      </c>
    </row>
    <row r="1925" spans="1:80" ht="15" customHeight="1">
      <c r="A1925" s="280" t="s">
        <v>2244</v>
      </c>
      <c r="B1925" s="117">
        <v>2011</v>
      </c>
      <c r="C1925" s="117" t="s">
        <v>488</v>
      </c>
      <c r="D1925" s="117" t="s">
        <v>3712</v>
      </c>
      <c r="E1925" s="117" t="s">
        <v>86</v>
      </c>
      <c r="F1925" s="117"/>
      <c r="G1925" s="89" t="s">
        <v>24</v>
      </c>
      <c r="H1925" s="117" t="str">
        <f t="shared" si="328"/>
        <v>yes</v>
      </c>
      <c r="I1925" s="117" t="str">
        <f t="shared" si="330"/>
        <v>no</v>
      </c>
      <c r="J1925" s="117" t="str">
        <f t="shared" si="331"/>
        <v>no</v>
      </c>
      <c r="K1925" s="117" t="s">
        <v>1291</v>
      </c>
      <c r="L1925" s="117" t="str">
        <f t="shared" si="329"/>
        <v>detailed</v>
      </c>
      <c r="M1925" s="117" t="str">
        <f t="shared" si="332"/>
        <v>detailed Mining</v>
      </c>
      <c r="N1925" s="118">
        <v>1300000</v>
      </c>
      <c r="O1925" s="118"/>
      <c r="P1925" s="118"/>
      <c r="Q1925" s="118"/>
      <c r="R1925" s="118"/>
      <c r="S1925" s="117" t="s">
        <v>610</v>
      </c>
      <c r="T1925" s="119">
        <v>167.75416666666999</v>
      </c>
      <c r="U1925" s="89" t="s">
        <v>611</v>
      </c>
      <c r="V1925" s="117" t="s">
        <v>1983</v>
      </c>
      <c r="W1925" s="89">
        <f>N1925*T1925</f>
        <v>218080416.66667098</v>
      </c>
      <c r="X1925" s="89"/>
      <c r="Y1925" s="89"/>
      <c r="Z1925" s="89"/>
      <c r="AA1925" s="177">
        <v>3529379</v>
      </c>
      <c r="AB1925" s="177">
        <v>3529621</v>
      </c>
      <c r="AC1925" s="122"/>
      <c r="AD1925" s="122"/>
      <c r="AE1925" s="122"/>
      <c r="AF1925" s="123">
        <f t="shared" si="333"/>
        <v>1.6183841969609515E-2</v>
      </c>
      <c r="AG1925" s="89"/>
      <c r="AH1925" s="124"/>
      <c r="AI1925" s="89"/>
      <c r="AJ1925" s="89"/>
      <c r="AK1925" s="89"/>
      <c r="AL1925" s="117"/>
      <c r="AM1925" s="117"/>
      <c r="AN1925" s="117">
        <v>5</v>
      </c>
      <c r="AO1925" s="117" t="s">
        <v>2252</v>
      </c>
      <c r="AP1925" s="117">
        <v>5</v>
      </c>
      <c r="AQ1925" s="117"/>
      <c r="AR1925" s="117"/>
      <c r="AS1925" s="117"/>
      <c r="AT1925" s="117"/>
      <c r="AU1925" s="117" t="s">
        <v>1160</v>
      </c>
      <c r="AV1925" s="128"/>
      <c r="AW1925" s="117">
        <f>VLOOKUP($D1925,'WB Data'!$C$3:$M$578,2,FALSE)</f>
        <v>2925391429.7983232</v>
      </c>
      <c r="AX1925" s="117">
        <f>VLOOKUP($D1925,'WB Data'!$C$3:$M$578,3,FALSE)</f>
        <v>5865491</v>
      </c>
      <c r="AY1925" s="847">
        <f t="shared" si="335"/>
        <v>9.4419521841233468E-3</v>
      </c>
      <c r="AZ1925" s="117">
        <f>VLOOKUP($D1925,'WB Data'!$C$3:$M$578,4,FALSE)/100</f>
        <v>0.1149178394884847</v>
      </c>
      <c r="BA1925" s="117">
        <f t="shared" si="336"/>
        <v>336179662.77055246</v>
      </c>
      <c r="BB1925" s="129">
        <f>IFERROR(VLOOKUP($D1925,'EITI Revenues'!$C$2:$G$224,5,FALSE),"..")</f>
        <v>27621406</v>
      </c>
      <c r="BC1925" s="846">
        <f t="shared" si="337"/>
        <v>8.2162632243616751E-2</v>
      </c>
      <c r="BD1925" s="129" t="str">
        <f>VLOOKUP($D1925,'WB Data 2'!$C$2:$K$545,6,FALSE)</f>
        <v>..</v>
      </c>
      <c r="BE1925" s="129">
        <f>IFERROR(VLOOKUP($D1925,UNCTAD!$C$5:$V$529,4,FALSE),"..")</f>
        <v>545726000</v>
      </c>
      <c r="BF1925" s="846" t="str">
        <f t="shared" si="338"/>
        <v>..</v>
      </c>
      <c r="BG1925" s="117">
        <f>VLOOKUP($D1925,'WB Data'!$C$3:$M$578,5,FALSE)</f>
        <v>425300000</v>
      </c>
      <c r="BH1925" s="129">
        <f>IFERROR($BB1925/$BG1925,"..")</f>
        <v>6.49456995062309E-2</v>
      </c>
      <c r="BI1925" s="117">
        <f>IFERROR(VLOOKUP($D1925,'WB Data'!$C$3:$M$578,7,FALSE)/100,"..")</f>
        <v>2.67236E-2</v>
      </c>
      <c r="BJ1925" s="117">
        <f>IFERROR($BI1925*$AW1925,"..")</f>
        <v>78176990.413358465</v>
      </c>
      <c r="BK1925" s="846">
        <f>IFERROR($BB1925/$BJ1925,"..")</f>
        <v>0.35331887111479549</v>
      </c>
      <c r="BL1925" s="117">
        <f>IFERROR(VLOOKUP($D1925,'WB Data'!$C$3:$M$578,7,FALSE)/100,"..")</f>
        <v>2.67236E-2</v>
      </c>
      <c r="BM1925" s="117">
        <f>IFERROR($AW1925*$BL1925,"..")</f>
        <v>78176990.413358465</v>
      </c>
      <c r="BN1925" s="846">
        <f>IFERROR($BB1925/$BM1925,"..")</f>
        <v>0.35331887111479549</v>
      </c>
      <c r="BO1925" s="801">
        <f t="shared" si="334"/>
        <v>31</v>
      </c>
      <c r="BP1925" s="117">
        <f>VLOOKUP($D1925,'WB Data'!$C$3:$M$578,9,FALSE)</f>
        <v>52.9</v>
      </c>
      <c r="BQ1925" s="117">
        <f>VLOOKUP($D1925,'WB Data'!$C$3:$M$578,10,FALSE)</f>
        <v>45.102585365853663</v>
      </c>
      <c r="BR1925" s="117">
        <f>VLOOKUP($D1925,'WB Data'!$C$3:$M$578,11,FALSE)</f>
        <v>112</v>
      </c>
      <c r="BS1925" s="129" t="str">
        <f>IFERROR(VLOOKUP($D1925,'WB Data 2'!$C$2:$K$545,9,FALSE),"..")</f>
        <v>..</v>
      </c>
      <c r="BT1925" s="129">
        <f>_xlfn.IFNA(VLOOKUP($C1925,RGI!$A$2:$C$43,2,FALSE),"..")</f>
        <v>38.200000000000003</v>
      </c>
      <c r="BU1925" s="129">
        <f>_xlfn.IFNA(VLOOKUP($C1925,RGI!$A$2:$C$43,3,FALSE),"..")</f>
        <v>45.714033330666766</v>
      </c>
      <c r="BV1925" s="129">
        <f>VLOOKUP($D1925,WGI!$C$2:$O$478,7,FALSE)</f>
        <v>-0.24013659840957499</v>
      </c>
      <c r="BW1925" s="129">
        <f>VLOOKUP($D1925,WGI!$C$2:$O$478,4,FALSE)</f>
        <v>-0.17063506320649199</v>
      </c>
      <c r="BX1925" s="129">
        <f>VLOOKUP($D1925,WGI!$C$2:$O$478,3,FALSE)</f>
        <v>-1.18918654562767</v>
      </c>
      <c r="BY1925" s="129">
        <f>VLOOKUP($D1925,WGI!$C$2:$O$478,5,FALSE)</f>
        <v>-0.70221252140498902</v>
      </c>
      <c r="BZ1925" s="129">
        <f>VLOOKUP($D1925,WGI!$C$2:$O$478,2,FALSE)</f>
        <v>-0.81445926646891498</v>
      </c>
    </row>
    <row r="1926" spans="1:80" ht="15" customHeight="1">
      <c r="A1926" s="280" t="s">
        <v>2244</v>
      </c>
      <c r="B1926" s="117">
        <v>2011</v>
      </c>
      <c r="C1926" s="117" t="s">
        <v>488</v>
      </c>
      <c r="D1926" s="117" t="s">
        <v>3712</v>
      </c>
      <c r="E1926" s="117" t="s">
        <v>86</v>
      </c>
      <c r="F1926" s="117"/>
      <c r="G1926" s="89" t="s">
        <v>24</v>
      </c>
      <c r="H1926" s="117" t="str">
        <f t="shared" si="328"/>
        <v>yes</v>
      </c>
      <c r="I1926" s="117" t="str">
        <f t="shared" si="330"/>
        <v>no</v>
      </c>
      <c r="J1926" s="117" t="str">
        <f t="shared" si="331"/>
        <v>no</v>
      </c>
      <c r="K1926" s="117" t="s">
        <v>2201</v>
      </c>
      <c r="L1926" s="117" t="str">
        <f t="shared" si="329"/>
        <v>detailed</v>
      </c>
      <c r="M1926" s="117" t="str">
        <f t="shared" si="332"/>
        <v>detailed Mining</v>
      </c>
      <c r="N1926" s="118"/>
      <c r="O1926" s="118"/>
      <c r="P1926" s="118"/>
      <c r="Q1926" s="118"/>
      <c r="R1926" s="118"/>
      <c r="S1926" s="117"/>
      <c r="T1926" s="119"/>
      <c r="U1926" s="117"/>
      <c r="V1926" s="117"/>
      <c r="W1926" s="89">
        <f>SUM(W1927:W1929)</f>
        <v>119431870</v>
      </c>
      <c r="X1926" s="117"/>
      <c r="Y1926" s="89"/>
      <c r="Z1926" s="89"/>
      <c r="AA1926" s="177">
        <v>1171161</v>
      </c>
      <c r="AB1926" s="177">
        <v>1171047</v>
      </c>
      <c r="AC1926" s="122"/>
      <c r="AD1926" s="122"/>
      <c r="AE1926" s="122"/>
      <c r="AF1926" s="123">
        <f t="shared" si="333"/>
        <v>9.8061011688086279E-3</v>
      </c>
      <c r="AG1926" s="89"/>
      <c r="AH1926" s="124"/>
      <c r="AI1926" s="117"/>
      <c r="AJ1926" s="89"/>
      <c r="AK1926" s="89"/>
      <c r="AL1926" s="117"/>
      <c r="AM1926" s="117"/>
      <c r="AN1926" s="117">
        <v>2</v>
      </c>
      <c r="AO1926" s="117" t="s">
        <v>2243</v>
      </c>
      <c r="AP1926" s="117">
        <v>2</v>
      </c>
      <c r="AQ1926" s="117"/>
      <c r="AR1926" s="117"/>
      <c r="AS1926" s="117"/>
      <c r="AT1926" s="117"/>
      <c r="AU1926" s="117" t="s">
        <v>1160</v>
      </c>
      <c r="AV1926" s="128"/>
      <c r="AW1926" s="117">
        <f>VLOOKUP($D1926,'WB Data'!$C$3:$M$578,2,FALSE)</f>
        <v>2925391429.7983232</v>
      </c>
      <c r="AX1926" s="117">
        <f>VLOOKUP($D1926,'WB Data'!$C$3:$M$578,3,FALSE)</f>
        <v>5865491</v>
      </c>
      <c r="AY1926" s="847">
        <f t="shared" si="335"/>
        <v>9.4419521841233468E-3</v>
      </c>
      <c r="AZ1926" s="117">
        <f>VLOOKUP($D1926,'WB Data'!$C$3:$M$578,4,FALSE)/100</f>
        <v>0.1149178394884847</v>
      </c>
      <c r="BA1926" s="117">
        <f t="shared" si="336"/>
        <v>336179662.77055246</v>
      </c>
      <c r="BB1926" s="129">
        <f>IFERROR(VLOOKUP($D1926,'EITI Revenues'!$C$2:$G$224,5,FALSE),"..")</f>
        <v>27621406</v>
      </c>
      <c r="BC1926" s="846">
        <f t="shared" si="337"/>
        <v>8.2162632243616751E-2</v>
      </c>
      <c r="BD1926" s="129" t="str">
        <f>VLOOKUP($D1926,'WB Data 2'!$C$2:$K$545,6,FALSE)</f>
        <v>..</v>
      </c>
      <c r="BE1926" s="129">
        <f>IFERROR(VLOOKUP($D1926,UNCTAD!$C$5:$V$529,4,FALSE),"..")</f>
        <v>545726000</v>
      </c>
      <c r="BF1926" s="846" t="str">
        <f t="shared" si="338"/>
        <v>..</v>
      </c>
      <c r="BG1926" s="117">
        <f>VLOOKUP($D1926,'WB Data'!$C$3:$M$578,5,FALSE)</f>
        <v>425300000</v>
      </c>
      <c r="BH1926" s="129">
        <f>IFERROR($BB1926/$BG1926,"..")</f>
        <v>6.49456995062309E-2</v>
      </c>
      <c r="BI1926" s="117">
        <f>IFERROR(VLOOKUP($D1926,'WB Data'!$C$3:$M$578,7,FALSE)/100,"..")</f>
        <v>2.67236E-2</v>
      </c>
      <c r="BJ1926" s="117">
        <f>IFERROR($BI1926*$AW1926,"..")</f>
        <v>78176990.413358465</v>
      </c>
      <c r="BK1926" s="846">
        <f>IFERROR($BB1926/$BJ1926,"..")</f>
        <v>0.35331887111479549</v>
      </c>
      <c r="BL1926" s="117">
        <f>IFERROR(VLOOKUP($D1926,'WB Data'!$C$3:$M$578,7,FALSE)/100,"..")</f>
        <v>2.67236E-2</v>
      </c>
      <c r="BM1926" s="117">
        <f>IFERROR($AW1926*$BL1926,"..")</f>
        <v>78176990.413358465</v>
      </c>
      <c r="BN1926" s="846">
        <f>IFERROR($BB1926/$BM1926,"..")</f>
        <v>0.35331887111479549</v>
      </c>
      <c r="BO1926" s="801">
        <f t="shared" si="334"/>
        <v>31</v>
      </c>
      <c r="BP1926" s="117">
        <f>VLOOKUP($D1926,'WB Data'!$C$3:$M$578,9,FALSE)</f>
        <v>52.9</v>
      </c>
      <c r="BQ1926" s="117">
        <f>VLOOKUP($D1926,'WB Data'!$C$3:$M$578,10,FALSE)</f>
        <v>45.102585365853663</v>
      </c>
      <c r="BR1926" s="117">
        <f>VLOOKUP($D1926,'WB Data'!$C$3:$M$578,11,FALSE)</f>
        <v>112</v>
      </c>
      <c r="BS1926" s="129" t="str">
        <f>IFERROR(VLOOKUP($D1926,'WB Data 2'!$C$2:$K$545,9,FALSE),"..")</f>
        <v>..</v>
      </c>
      <c r="BT1926" s="129">
        <f>_xlfn.IFNA(VLOOKUP($C1926,RGI!$A$2:$C$43,2,FALSE),"..")</f>
        <v>38.200000000000003</v>
      </c>
      <c r="BU1926" s="129">
        <f>_xlfn.IFNA(VLOOKUP($C1926,RGI!$A$2:$C$43,3,FALSE),"..")</f>
        <v>45.714033330666766</v>
      </c>
      <c r="BV1926" s="129">
        <f>VLOOKUP($D1926,WGI!$C$2:$O$478,7,FALSE)</f>
        <v>-0.24013659840957499</v>
      </c>
      <c r="BW1926" s="129">
        <f>VLOOKUP($D1926,WGI!$C$2:$O$478,4,FALSE)</f>
        <v>-0.17063506320649199</v>
      </c>
      <c r="BX1926" s="129">
        <f>VLOOKUP($D1926,WGI!$C$2:$O$478,3,FALSE)</f>
        <v>-1.18918654562767</v>
      </c>
      <c r="BY1926" s="129">
        <f>VLOOKUP($D1926,WGI!$C$2:$O$478,5,FALSE)</f>
        <v>-0.70221252140498902</v>
      </c>
      <c r="BZ1926" s="129">
        <f>VLOOKUP($D1926,WGI!$C$2:$O$478,2,FALSE)</f>
        <v>-0.81445926646891498</v>
      </c>
    </row>
    <row r="1927" spans="1:80" ht="15" customHeight="1">
      <c r="A1927" s="280" t="s">
        <v>2244</v>
      </c>
      <c r="B1927" s="117">
        <v>2011</v>
      </c>
      <c r="C1927" s="117" t="s">
        <v>488</v>
      </c>
      <c r="D1927" s="117" t="s">
        <v>3712</v>
      </c>
      <c r="E1927" s="117" t="s">
        <v>86</v>
      </c>
      <c r="F1927" s="117"/>
      <c r="G1927" s="89" t="s">
        <v>24</v>
      </c>
      <c r="H1927" s="117" t="str">
        <f t="shared" si="328"/>
        <v>yes</v>
      </c>
      <c r="I1927" s="117" t="str">
        <f t="shared" si="330"/>
        <v>no</v>
      </c>
      <c r="J1927" s="117" t="str">
        <f t="shared" si="331"/>
        <v>no</v>
      </c>
      <c r="K1927" s="117" t="s">
        <v>2203</v>
      </c>
      <c r="L1927" s="117" t="str">
        <f t="shared" si="329"/>
        <v>detailed</v>
      </c>
      <c r="M1927" s="117" t="str">
        <f t="shared" si="332"/>
        <v>detailed Mining</v>
      </c>
      <c r="N1927" s="118">
        <v>15946</v>
      </c>
      <c r="O1927" s="118"/>
      <c r="P1927" s="118"/>
      <c r="Q1927" s="118"/>
      <c r="R1927" s="118"/>
      <c r="S1927" s="117" t="s">
        <v>610</v>
      </c>
      <c r="T1927" s="119">
        <v>195</v>
      </c>
      <c r="U1927" s="117" t="s">
        <v>611</v>
      </c>
      <c r="V1927" s="117" t="s">
        <v>1671</v>
      </c>
      <c r="W1927" s="89">
        <f>N1927*T1927</f>
        <v>3109470</v>
      </c>
      <c r="X1927" s="117"/>
      <c r="Y1927" s="117"/>
      <c r="Z1927" s="117"/>
      <c r="AA1927" s="177"/>
      <c r="AB1927" s="177"/>
      <c r="AC1927" s="122"/>
      <c r="AD1927" s="122"/>
      <c r="AE1927" s="122"/>
      <c r="AF1927" s="123"/>
      <c r="AG1927" s="117"/>
      <c r="AH1927" s="124"/>
      <c r="AI1927" s="117"/>
      <c r="AJ1927" s="117"/>
      <c r="AK1927" s="89"/>
      <c r="AL1927" s="117"/>
      <c r="AM1927" s="117"/>
      <c r="AN1927" s="117"/>
      <c r="AO1927" s="117"/>
      <c r="AP1927" s="117"/>
      <c r="AQ1927" s="117"/>
      <c r="AR1927" s="117"/>
      <c r="AS1927" s="117"/>
      <c r="AT1927" s="117"/>
      <c r="AU1927" s="117"/>
      <c r="AV1927" s="128"/>
      <c r="AW1927" s="117">
        <f>VLOOKUP($D1927,'WB Data'!$C$3:$M$578,2,FALSE)</f>
        <v>2925391429.7983232</v>
      </c>
      <c r="AX1927" s="117">
        <f>VLOOKUP($D1927,'WB Data'!$C$3:$M$578,3,FALSE)</f>
        <v>5865491</v>
      </c>
      <c r="AY1927" s="847">
        <f t="shared" si="335"/>
        <v>9.4419521841233468E-3</v>
      </c>
      <c r="AZ1927" s="117">
        <f>VLOOKUP($D1927,'WB Data'!$C$3:$M$578,4,FALSE)/100</f>
        <v>0.1149178394884847</v>
      </c>
      <c r="BA1927" s="117">
        <f t="shared" si="336"/>
        <v>336179662.77055246</v>
      </c>
      <c r="BB1927" s="129">
        <f>IFERROR(VLOOKUP($D1927,'EITI Revenues'!$C$2:$G$224,5,FALSE),"..")</f>
        <v>27621406</v>
      </c>
      <c r="BC1927" s="846">
        <f t="shared" si="337"/>
        <v>8.2162632243616751E-2</v>
      </c>
      <c r="BD1927" s="129" t="str">
        <f>VLOOKUP($D1927,'WB Data 2'!$C$2:$K$545,6,FALSE)</f>
        <v>..</v>
      </c>
      <c r="BE1927" s="129">
        <f>IFERROR(VLOOKUP($D1927,UNCTAD!$C$5:$V$529,4,FALSE),"..")</f>
        <v>545726000</v>
      </c>
      <c r="BF1927" s="846" t="str">
        <f t="shared" si="338"/>
        <v>..</v>
      </c>
      <c r="BG1927" s="117">
        <f>VLOOKUP($D1927,'WB Data'!$C$3:$M$578,5,FALSE)</f>
        <v>425300000</v>
      </c>
      <c r="BH1927" s="129">
        <f>IFERROR($BB1927/$BG1927,"..")</f>
        <v>6.49456995062309E-2</v>
      </c>
      <c r="BI1927" s="117">
        <f>IFERROR(VLOOKUP($D1927,'WB Data'!$C$3:$M$578,7,FALSE)/100,"..")</f>
        <v>2.67236E-2</v>
      </c>
      <c r="BJ1927" s="117">
        <f>IFERROR($BI1927*$AW1927,"..")</f>
        <v>78176990.413358465</v>
      </c>
      <c r="BK1927" s="846">
        <f>IFERROR($BB1927/$BJ1927,"..")</f>
        <v>0.35331887111479549</v>
      </c>
      <c r="BL1927" s="117">
        <f>IFERROR(VLOOKUP($D1927,'WB Data'!$C$3:$M$578,7,FALSE)/100,"..")</f>
        <v>2.67236E-2</v>
      </c>
      <c r="BM1927" s="117">
        <f>IFERROR($AW1927*$BL1927,"..")</f>
        <v>78176990.413358465</v>
      </c>
      <c r="BN1927" s="846">
        <f>IFERROR($BB1927/$BM1927,"..")</f>
        <v>0.35331887111479549</v>
      </c>
      <c r="BO1927" s="801">
        <f t="shared" si="334"/>
        <v>31</v>
      </c>
      <c r="BP1927" s="117">
        <f>VLOOKUP($D1927,'WB Data'!$C$3:$M$578,9,FALSE)</f>
        <v>52.9</v>
      </c>
      <c r="BQ1927" s="117">
        <f>VLOOKUP($D1927,'WB Data'!$C$3:$M$578,10,FALSE)</f>
        <v>45.102585365853663</v>
      </c>
      <c r="BR1927" s="117">
        <f>VLOOKUP($D1927,'WB Data'!$C$3:$M$578,11,FALSE)</f>
        <v>112</v>
      </c>
      <c r="BS1927" s="129" t="str">
        <f>IFERROR(VLOOKUP($D1927,'WB Data 2'!$C$2:$K$545,9,FALSE),"..")</f>
        <v>..</v>
      </c>
      <c r="BT1927" s="129">
        <f>_xlfn.IFNA(VLOOKUP($C1927,RGI!$A$2:$C$43,2,FALSE),"..")</f>
        <v>38.200000000000003</v>
      </c>
      <c r="BU1927" s="129">
        <f>_xlfn.IFNA(VLOOKUP($C1927,RGI!$A$2:$C$43,3,FALSE),"..")</f>
        <v>45.714033330666766</v>
      </c>
      <c r="BV1927" s="129">
        <f>VLOOKUP($D1927,WGI!$C$2:$O$478,7,FALSE)</f>
        <v>-0.24013659840957499</v>
      </c>
      <c r="BW1927" s="129">
        <f>VLOOKUP($D1927,WGI!$C$2:$O$478,4,FALSE)</f>
        <v>-0.17063506320649199</v>
      </c>
      <c r="BX1927" s="129">
        <f>VLOOKUP($D1927,WGI!$C$2:$O$478,3,FALSE)</f>
        <v>-1.18918654562767</v>
      </c>
      <c r="BY1927" s="129">
        <f>VLOOKUP($D1927,WGI!$C$2:$O$478,5,FALSE)</f>
        <v>-0.70221252140498902</v>
      </c>
      <c r="BZ1927" s="129">
        <f>VLOOKUP($D1927,WGI!$C$2:$O$478,2,FALSE)</f>
        <v>-0.81445926646891498</v>
      </c>
    </row>
    <row r="1928" spans="1:80" ht="15" customHeight="1">
      <c r="A1928" s="280" t="s">
        <v>2244</v>
      </c>
      <c r="B1928" s="117">
        <v>2011</v>
      </c>
      <c r="C1928" s="117" t="s">
        <v>488</v>
      </c>
      <c r="D1928" s="117" t="s">
        <v>3712</v>
      </c>
      <c r="E1928" s="117" t="s">
        <v>86</v>
      </c>
      <c r="F1928" s="117"/>
      <c r="G1928" s="89" t="s">
        <v>24</v>
      </c>
      <c r="H1928" s="117" t="str">
        <f t="shared" si="328"/>
        <v>yes</v>
      </c>
      <c r="I1928" s="117" t="str">
        <f t="shared" si="330"/>
        <v>no</v>
      </c>
      <c r="J1928" s="117" t="str">
        <f t="shared" si="331"/>
        <v>no</v>
      </c>
      <c r="K1928" s="117" t="s">
        <v>2205</v>
      </c>
      <c r="L1928" s="117" t="str">
        <f t="shared" si="329"/>
        <v>detailed</v>
      </c>
      <c r="M1928" s="117" t="str">
        <f t="shared" si="332"/>
        <v>detailed Mining</v>
      </c>
      <c r="N1928" s="118">
        <v>67916</v>
      </c>
      <c r="O1928" s="118"/>
      <c r="P1928" s="118"/>
      <c r="Q1928" s="118"/>
      <c r="R1928" s="118"/>
      <c r="S1928" s="117" t="s">
        <v>610</v>
      </c>
      <c r="T1928" s="119">
        <v>1400</v>
      </c>
      <c r="U1928" s="117" t="s">
        <v>611</v>
      </c>
      <c r="V1928" s="117" t="s">
        <v>1879</v>
      </c>
      <c r="W1928" s="89">
        <f>N1928*T1928</f>
        <v>95082400</v>
      </c>
      <c r="X1928" s="117"/>
      <c r="Y1928" s="117"/>
      <c r="Z1928" s="117"/>
      <c r="AA1928" s="177"/>
      <c r="AB1928" s="177"/>
      <c r="AC1928" s="122"/>
      <c r="AD1928" s="122"/>
      <c r="AE1928" s="122"/>
      <c r="AF1928" s="123"/>
      <c r="AG1928" s="117"/>
      <c r="AH1928" s="124"/>
      <c r="AI1928" s="117"/>
      <c r="AJ1928" s="117"/>
      <c r="AK1928" s="89"/>
      <c r="AL1928" s="117"/>
      <c r="AM1928" s="117"/>
      <c r="AN1928" s="117"/>
      <c r="AO1928" s="117"/>
      <c r="AP1928" s="117"/>
      <c r="AQ1928" s="117"/>
      <c r="AR1928" s="117"/>
      <c r="AS1928" s="117"/>
      <c r="AT1928" s="117"/>
      <c r="AU1928" s="117"/>
      <c r="AV1928" s="128"/>
      <c r="AW1928" s="117">
        <f>VLOOKUP($D1928,'WB Data'!$C$3:$M$578,2,FALSE)</f>
        <v>2925391429.7983232</v>
      </c>
      <c r="AX1928" s="117">
        <f>VLOOKUP($D1928,'WB Data'!$C$3:$M$578,3,FALSE)</f>
        <v>5865491</v>
      </c>
      <c r="AY1928" s="847">
        <f t="shared" si="335"/>
        <v>9.4419521841233468E-3</v>
      </c>
      <c r="AZ1928" s="117">
        <f>VLOOKUP($D1928,'WB Data'!$C$3:$M$578,4,FALSE)/100</f>
        <v>0.1149178394884847</v>
      </c>
      <c r="BA1928" s="117">
        <f t="shared" si="336"/>
        <v>336179662.77055246</v>
      </c>
      <c r="BB1928" s="129">
        <f>IFERROR(VLOOKUP($D1928,'EITI Revenues'!$C$2:$G$224,5,FALSE),"..")</f>
        <v>27621406</v>
      </c>
      <c r="BC1928" s="846">
        <f t="shared" si="337"/>
        <v>8.2162632243616751E-2</v>
      </c>
      <c r="BD1928" s="129" t="str">
        <f>VLOOKUP($D1928,'WB Data 2'!$C$2:$K$545,6,FALSE)</f>
        <v>..</v>
      </c>
      <c r="BE1928" s="129">
        <f>IFERROR(VLOOKUP($D1928,UNCTAD!$C$5:$V$529,4,FALSE),"..")</f>
        <v>545726000</v>
      </c>
      <c r="BF1928" s="846" t="str">
        <f t="shared" si="338"/>
        <v>..</v>
      </c>
      <c r="BG1928" s="117">
        <f>VLOOKUP($D1928,'WB Data'!$C$3:$M$578,5,FALSE)</f>
        <v>425300000</v>
      </c>
      <c r="BH1928" s="129">
        <f>IFERROR($BB1928/$BG1928,"..")</f>
        <v>6.49456995062309E-2</v>
      </c>
      <c r="BI1928" s="117">
        <f>IFERROR(VLOOKUP($D1928,'WB Data'!$C$3:$M$578,7,FALSE)/100,"..")</f>
        <v>2.67236E-2</v>
      </c>
      <c r="BJ1928" s="117">
        <f>IFERROR($BI1928*$AW1928,"..")</f>
        <v>78176990.413358465</v>
      </c>
      <c r="BK1928" s="846">
        <f>IFERROR($BB1928/$BJ1928,"..")</f>
        <v>0.35331887111479549</v>
      </c>
      <c r="BL1928" s="117">
        <f>IFERROR(VLOOKUP($D1928,'WB Data'!$C$3:$M$578,7,FALSE)/100,"..")</f>
        <v>2.67236E-2</v>
      </c>
      <c r="BM1928" s="117">
        <f>IFERROR($AW1928*$BL1928,"..")</f>
        <v>78176990.413358465</v>
      </c>
      <c r="BN1928" s="846">
        <f>IFERROR($BB1928/$BM1928,"..")</f>
        <v>0.35331887111479549</v>
      </c>
      <c r="BO1928" s="801">
        <f t="shared" si="334"/>
        <v>31</v>
      </c>
      <c r="BP1928" s="117">
        <f>VLOOKUP($D1928,'WB Data'!$C$3:$M$578,9,FALSE)</f>
        <v>52.9</v>
      </c>
      <c r="BQ1928" s="117">
        <f>VLOOKUP($D1928,'WB Data'!$C$3:$M$578,10,FALSE)</f>
        <v>45.102585365853663</v>
      </c>
      <c r="BR1928" s="117">
        <f>VLOOKUP($D1928,'WB Data'!$C$3:$M$578,11,FALSE)</f>
        <v>112</v>
      </c>
      <c r="BS1928" s="129" t="str">
        <f>IFERROR(VLOOKUP($D1928,'WB Data 2'!$C$2:$K$545,9,FALSE),"..")</f>
        <v>..</v>
      </c>
      <c r="BT1928" s="129">
        <f>_xlfn.IFNA(VLOOKUP($C1928,RGI!$A$2:$C$43,2,FALSE),"..")</f>
        <v>38.200000000000003</v>
      </c>
      <c r="BU1928" s="129">
        <f>_xlfn.IFNA(VLOOKUP($C1928,RGI!$A$2:$C$43,3,FALSE),"..")</f>
        <v>45.714033330666766</v>
      </c>
      <c r="BV1928" s="129">
        <f>VLOOKUP($D1928,WGI!$C$2:$O$478,7,FALSE)</f>
        <v>-0.24013659840957499</v>
      </c>
      <c r="BW1928" s="129">
        <f>VLOOKUP($D1928,WGI!$C$2:$O$478,4,FALSE)</f>
        <v>-0.17063506320649199</v>
      </c>
      <c r="BX1928" s="129">
        <f>VLOOKUP($D1928,WGI!$C$2:$O$478,3,FALSE)</f>
        <v>-1.18918654562767</v>
      </c>
      <c r="BY1928" s="129">
        <f>VLOOKUP($D1928,WGI!$C$2:$O$478,5,FALSE)</f>
        <v>-0.70221252140498902</v>
      </c>
      <c r="BZ1928" s="129">
        <f>VLOOKUP($D1928,WGI!$C$2:$O$478,2,FALSE)</f>
        <v>-0.81445926646891498</v>
      </c>
    </row>
    <row r="1929" spans="1:80" ht="15" customHeight="1" thickBot="1">
      <c r="A1929" s="280" t="s">
        <v>2244</v>
      </c>
      <c r="B1929" s="117">
        <v>2011</v>
      </c>
      <c r="C1929" s="117" t="s">
        <v>488</v>
      </c>
      <c r="D1929" s="117" t="s">
        <v>3712</v>
      </c>
      <c r="E1929" s="117" t="s">
        <v>86</v>
      </c>
      <c r="F1929" s="117"/>
      <c r="G1929" s="89" t="s">
        <v>24</v>
      </c>
      <c r="H1929" s="117" t="str">
        <f t="shared" si="328"/>
        <v>yes</v>
      </c>
      <c r="I1929" s="117" t="str">
        <f t="shared" si="330"/>
        <v>no</v>
      </c>
      <c r="J1929" s="117" t="str">
        <f t="shared" si="331"/>
        <v>no</v>
      </c>
      <c r="K1929" s="117" t="s">
        <v>2207</v>
      </c>
      <c r="L1929" s="117" t="str">
        <f t="shared" si="329"/>
        <v>detailed</v>
      </c>
      <c r="M1929" s="117" t="str">
        <f t="shared" si="332"/>
        <v>detailed Mining</v>
      </c>
      <c r="N1929" s="118">
        <v>8496</v>
      </c>
      <c r="O1929" s="118"/>
      <c r="P1929" s="118"/>
      <c r="Q1929" s="118"/>
      <c r="R1929" s="118"/>
      <c r="S1929" s="117" t="s">
        <v>610</v>
      </c>
      <c r="T1929" s="119">
        <v>2500</v>
      </c>
      <c r="U1929" s="117" t="s">
        <v>611</v>
      </c>
      <c r="V1929" s="117" t="s">
        <v>1881</v>
      </c>
      <c r="W1929" s="89">
        <f>N1929*T1929</f>
        <v>21240000</v>
      </c>
      <c r="X1929" s="117"/>
      <c r="Y1929" s="117"/>
      <c r="Z1929" s="117"/>
      <c r="AA1929" s="177"/>
      <c r="AB1929" s="177"/>
      <c r="AC1929" s="122"/>
      <c r="AD1929" s="122"/>
      <c r="AE1929" s="122"/>
      <c r="AF1929" s="123"/>
      <c r="AG1929" s="117"/>
      <c r="AH1929" s="124"/>
      <c r="AI1929" s="117"/>
      <c r="AJ1929" s="117"/>
      <c r="AK1929" s="89"/>
      <c r="AL1929" s="117"/>
      <c r="AM1929" s="117"/>
      <c r="AN1929" s="117"/>
      <c r="AO1929" s="117"/>
      <c r="AP1929" s="117"/>
      <c r="AQ1929" s="117"/>
      <c r="AR1929" s="117"/>
      <c r="AS1929" s="117"/>
      <c r="AT1929" s="117"/>
      <c r="AU1929" s="117"/>
      <c r="AV1929" s="128"/>
      <c r="AW1929" s="117">
        <f>VLOOKUP($D1929,'WB Data'!$C$3:$M$578,2,FALSE)</f>
        <v>2925391429.7983232</v>
      </c>
      <c r="AX1929" s="117">
        <f>VLOOKUP($D1929,'WB Data'!$C$3:$M$578,3,FALSE)</f>
        <v>5865491</v>
      </c>
      <c r="AY1929" s="847">
        <f t="shared" si="335"/>
        <v>9.4419521841233468E-3</v>
      </c>
      <c r="AZ1929" s="117">
        <f>VLOOKUP($D1929,'WB Data'!$C$3:$M$578,4,FALSE)/100</f>
        <v>0.1149178394884847</v>
      </c>
      <c r="BA1929" s="117">
        <f t="shared" si="336"/>
        <v>336179662.77055246</v>
      </c>
      <c r="BB1929" s="129">
        <f>IFERROR(VLOOKUP($D1929,'EITI Revenues'!$C$2:$G$224,5,FALSE),"..")</f>
        <v>27621406</v>
      </c>
      <c r="BC1929" s="846">
        <f t="shared" si="337"/>
        <v>8.2162632243616751E-2</v>
      </c>
      <c r="BD1929" s="129" t="str">
        <f>VLOOKUP($D1929,'WB Data 2'!$C$2:$K$545,6,FALSE)</f>
        <v>..</v>
      </c>
      <c r="BE1929" s="129">
        <f>IFERROR(VLOOKUP($D1929,UNCTAD!$C$5:$V$529,4,FALSE),"..")</f>
        <v>545726000</v>
      </c>
      <c r="BF1929" s="846" t="str">
        <f t="shared" si="338"/>
        <v>..</v>
      </c>
      <c r="BG1929" s="117">
        <f>VLOOKUP($D1929,'WB Data'!$C$3:$M$578,5,FALSE)</f>
        <v>425300000</v>
      </c>
      <c r="BH1929" s="129">
        <f>IFERROR($BB1929/$BG1929,"..")</f>
        <v>6.49456995062309E-2</v>
      </c>
      <c r="BI1929" s="117">
        <f>IFERROR(VLOOKUP($D1929,'WB Data'!$C$3:$M$578,7,FALSE)/100,"..")</f>
        <v>2.67236E-2</v>
      </c>
      <c r="BJ1929" s="117">
        <f>IFERROR($BI1929*$AW1929,"..")</f>
        <v>78176990.413358465</v>
      </c>
      <c r="BK1929" s="846">
        <f>IFERROR($BB1929/$BJ1929,"..")</f>
        <v>0.35331887111479549</v>
      </c>
      <c r="BL1929" s="117">
        <f>IFERROR(VLOOKUP($D1929,'WB Data'!$C$3:$M$578,7,FALSE)/100,"..")</f>
        <v>2.67236E-2</v>
      </c>
      <c r="BM1929" s="117">
        <f>IFERROR($AW1929*$BL1929,"..")</f>
        <v>78176990.413358465</v>
      </c>
      <c r="BN1929" s="846">
        <f>IFERROR($BB1929/$BM1929,"..")</f>
        <v>0.35331887111479549</v>
      </c>
      <c r="BO1929" s="801">
        <f t="shared" si="334"/>
        <v>31</v>
      </c>
      <c r="BP1929" s="117">
        <f>VLOOKUP($D1929,'WB Data'!$C$3:$M$578,9,FALSE)</f>
        <v>52.9</v>
      </c>
      <c r="BQ1929" s="117">
        <f>VLOOKUP($D1929,'WB Data'!$C$3:$M$578,10,FALSE)</f>
        <v>45.102585365853663</v>
      </c>
      <c r="BR1929" s="117">
        <f>VLOOKUP($D1929,'WB Data'!$C$3:$M$578,11,FALSE)</f>
        <v>112</v>
      </c>
      <c r="BS1929" s="129" t="str">
        <f>IFERROR(VLOOKUP($D1929,'WB Data 2'!$C$2:$K$545,9,FALSE),"..")</f>
        <v>..</v>
      </c>
      <c r="BT1929" s="129">
        <f>_xlfn.IFNA(VLOOKUP($C1929,RGI!$A$2:$C$43,2,FALSE),"..")</f>
        <v>38.200000000000003</v>
      </c>
      <c r="BU1929" s="129">
        <f>_xlfn.IFNA(VLOOKUP($C1929,RGI!$A$2:$C$43,3,FALSE),"..")</f>
        <v>45.714033330666766</v>
      </c>
      <c r="BV1929" s="129">
        <f>VLOOKUP($D1929,WGI!$C$2:$O$478,7,FALSE)</f>
        <v>-0.24013659840957499</v>
      </c>
      <c r="BW1929" s="129">
        <f>VLOOKUP($D1929,WGI!$C$2:$O$478,4,FALSE)</f>
        <v>-0.17063506320649199</v>
      </c>
      <c r="BX1929" s="129">
        <f>VLOOKUP($D1929,WGI!$C$2:$O$478,3,FALSE)</f>
        <v>-1.18918654562767</v>
      </c>
      <c r="BY1929" s="129">
        <f>VLOOKUP($D1929,WGI!$C$2:$O$478,5,FALSE)</f>
        <v>-0.70221252140498902</v>
      </c>
      <c r="BZ1929" s="129">
        <f>VLOOKUP($D1929,WGI!$C$2:$O$478,2,FALSE)</f>
        <v>-0.81445926646891498</v>
      </c>
    </row>
    <row r="1930" spans="1:80" s="210" customFormat="1" ht="15" customHeight="1">
      <c r="A1930" s="336" t="s">
        <v>498</v>
      </c>
      <c r="B1930" s="175">
        <v>2009</v>
      </c>
      <c r="C1930" s="175" t="s">
        <v>499</v>
      </c>
      <c r="D1930" s="117" t="s">
        <v>3645</v>
      </c>
      <c r="E1930" s="175" t="s">
        <v>86</v>
      </c>
      <c r="F1930" s="175" t="s">
        <v>2254</v>
      </c>
      <c r="G1930" s="175" t="s">
        <v>386</v>
      </c>
      <c r="H1930" s="117" t="str">
        <f t="shared" si="328"/>
        <v>yes</v>
      </c>
      <c r="I1930" s="117" t="str">
        <f t="shared" si="330"/>
        <v>yes</v>
      </c>
      <c r="J1930" s="117" t="str">
        <f t="shared" si="331"/>
        <v>no</v>
      </c>
      <c r="K1930" s="175" t="s">
        <v>709</v>
      </c>
      <c r="L1930" s="117" t="str">
        <f t="shared" si="329"/>
        <v>Total</v>
      </c>
      <c r="M1930" s="117" t="str">
        <f t="shared" si="332"/>
        <v>Total Gas, Mining</v>
      </c>
      <c r="N1930" s="197"/>
      <c r="O1930" s="197"/>
      <c r="P1930" s="197"/>
      <c r="Q1930" s="197"/>
      <c r="R1930" s="197"/>
      <c r="S1930" s="175"/>
      <c r="T1930" s="198"/>
      <c r="U1930" s="175"/>
      <c r="V1930" s="175"/>
      <c r="W1930" s="199">
        <f>W1931+W1932</f>
        <v>1437074058.2265177</v>
      </c>
      <c r="X1930" s="175" t="s">
        <v>1179</v>
      </c>
      <c r="Y1930" s="175" t="s">
        <v>602</v>
      </c>
      <c r="Z1930" s="175"/>
      <c r="AA1930" s="637">
        <v>102252340</v>
      </c>
      <c r="AB1930" s="637">
        <v>138928383</v>
      </c>
      <c r="AC1930" s="338"/>
      <c r="AD1930" s="338"/>
      <c r="AE1930" s="338"/>
      <c r="AF1930" s="339">
        <f t="shared" ref="AF1930:AF1935" si="339">AA1930/W1930</f>
        <v>7.1153145806687829E-2</v>
      </c>
      <c r="AG1930" s="175" t="s">
        <v>2255</v>
      </c>
      <c r="AH1930" s="204">
        <v>1248</v>
      </c>
      <c r="AI1930" s="175" t="s">
        <v>1151</v>
      </c>
      <c r="AJ1930" s="175"/>
      <c r="AK1930" s="199"/>
      <c r="AL1930" s="175"/>
      <c r="AM1930" s="175"/>
      <c r="AN1930" s="175">
        <v>11</v>
      </c>
      <c r="AO1930" s="175" t="s">
        <v>2256</v>
      </c>
      <c r="AP1930" s="175">
        <v>11</v>
      </c>
      <c r="AQ1930" s="175" t="s">
        <v>309</v>
      </c>
      <c r="AR1930" s="206">
        <v>41899</v>
      </c>
      <c r="AS1930" s="175" t="s">
        <v>2257</v>
      </c>
      <c r="AT1930" s="175" t="s">
        <v>500</v>
      </c>
      <c r="AU1930" s="175" t="s">
        <v>2258</v>
      </c>
      <c r="AV1930" s="209" t="s">
        <v>2259</v>
      </c>
      <c r="AW1930" s="117">
        <f>VLOOKUP($D1930,'WB Data'!$C$3:$M$578,2,FALSE)</f>
        <v>21368165683.254303</v>
      </c>
      <c r="AX1930" s="117">
        <f>VLOOKUP($D1930,'WB Data'!$C$3:$M$578,3,FALSE)</f>
        <v>43639752</v>
      </c>
      <c r="AY1930" s="847">
        <f t="shared" si="335"/>
        <v>4.7852652172260439E-3</v>
      </c>
      <c r="AZ1930" s="117">
        <f>VLOOKUP($D1930,'WB Data'!$C$3:$M$578,4,FALSE)/100</f>
        <v>0.16465020179836906</v>
      </c>
      <c r="BA1930" s="117">
        <f t="shared" si="336"/>
        <v>3518272791.8088055</v>
      </c>
      <c r="BB1930" s="129">
        <f>IFERROR(VLOOKUP($D1930,'EITI Revenues'!$C$2:$G$224,5,FALSE),"..")</f>
        <v>102252340</v>
      </c>
      <c r="BC1930" s="846">
        <f t="shared" si="337"/>
        <v>2.9063221089070324E-2</v>
      </c>
      <c r="BD1930" s="129">
        <f>VLOOKUP($D1930,'WB Data 2'!$C$2:$K$545,6,FALSE)</f>
        <v>762673241.62230206</v>
      </c>
      <c r="BE1930" s="129">
        <f>IFERROR(VLOOKUP($D1930,UNCTAD!$C$5:$V$529,4,FALSE),"..")</f>
        <v>5152730000</v>
      </c>
      <c r="BF1930" s="846">
        <f t="shared" si="338"/>
        <v>0.14801343008896295</v>
      </c>
      <c r="BG1930" s="117">
        <f>VLOOKUP($D1930,'WB Data'!$C$3:$M$578,5,FALSE)</f>
        <v>2933150000</v>
      </c>
      <c r="BH1930" s="129">
        <f>IFERROR($BB1930/$BG1930,"..")</f>
        <v>3.4860931080919831E-2</v>
      </c>
      <c r="BI1930" s="117">
        <f>IFERROR(VLOOKUP($D1930,'WB Data'!$C$3:$M$578,7,FALSE)/100,"..")</f>
        <v>5.3462900000000001E-2</v>
      </c>
      <c r="BJ1930" s="117">
        <f>IFERROR($BI1930*$AW1930,"..")</f>
        <v>1142404105.1072564</v>
      </c>
      <c r="BK1930" s="846">
        <f>IFERROR($BB1930/$BJ1930,"..")</f>
        <v>8.9506278507638828E-2</v>
      </c>
      <c r="BL1930" s="117">
        <f>IFERROR(VLOOKUP($D1930,'WB Data'!$C$3:$M$578,7,FALSE)/100,"..")</f>
        <v>5.3462900000000001E-2</v>
      </c>
      <c r="BM1930" s="117">
        <f>IFERROR($AW1930*$BL1930,"..")</f>
        <v>1142404105.1072564</v>
      </c>
      <c r="BN1930" s="846">
        <f>IFERROR($BB1930/$BM1930,"..")</f>
        <v>8.9506278507638828E-2</v>
      </c>
      <c r="BO1930" s="801">
        <f t="shared" si="334"/>
        <v>31</v>
      </c>
      <c r="BP1930" s="117" t="str">
        <f>VLOOKUP($D1930,'WB Data'!$C$3:$M$578,9,FALSE)</f>
        <v>..</v>
      </c>
      <c r="BQ1930" s="117">
        <f>VLOOKUP($D1930,'WB Data'!$C$3:$M$578,10,FALSE)</f>
        <v>58.1759512195122</v>
      </c>
      <c r="BR1930" s="117">
        <f>VLOOKUP($D1930,'WB Data'!$C$3:$M$578,11,FALSE)</f>
        <v>44.1</v>
      </c>
      <c r="BS1930" s="129" t="str">
        <f>IFERROR(VLOOKUP($D1930,'WB Data 2'!$C$2:$K$545,9,FALSE),"..")</f>
        <v>..</v>
      </c>
      <c r="BT1930" s="129">
        <f>_xlfn.IFNA(VLOOKUP($C1930,RGI!$A$2:$C$43,2,FALSE),"..")</f>
        <v>27.8</v>
      </c>
      <c r="BU1930" s="129">
        <f>_xlfn.IFNA(VLOOKUP($C1930,RGI!$A$2:$C$43,3,FALSE),"..")</f>
        <v>49.764112779291708</v>
      </c>
      <c r="BV1930" s="129">
        <f>VLOOKUP($D1930,WGI!$C$2:$O$478,7,FALSE)</f>
        <v>-0.158080618442376</v>
      </c>
      <c r="BW1930" s="129">
        <f>VLOOKUP($D1930,WGI!$C$2:$O$478,4,FALSE)</f>
        <v>6.9291708133980195E-2</v>
      </c>
      <c r="BX1930" s="129">
        <f>VLOOKUP($D1930,WGI!$C$2:$O$478,3,FALSE)</f>
        <v>-0.593270511956416</v>
      </c>
      <c r="BY1930" s="129">
        <f>VLOOKUP($D1930,WGI!$C$2:$O$478,5,FALSE)</f>
        <v>-0.42146087151551997</v>
      </c>
      <c r="BZ1930" s="129">
        <f>VLOOKUP($D1930,WGI!$C$2:$O$478,2,FALSE)</f>
        <v>-0.44252210670392</v>
      </c>
      <c r="CB1930" s="129"/>
    </row>
    <row r="1931" spans="1:80" s="120" customFormat="1" ht="15" customHeight="1">
      <c r="A1931" s="280" t="s">
        <v>498</v>
      </c>
      <c r="B1931" s="117">
        <v>2009</v>
      </c>
      <c r="C1931" s="117" t="s">
        <v>499</v>
      </c>
      <c r="D1931" s="117" t="s">
        <v>3645</v>
      </c>
      <c r="E1931" s="117" t="s">
        <v>86</v>
      </c>
      <c r="F1931" s="117"/>
      <c r="G1931" s="120" t="s">
        <v>561</v>
      </c>
      <c r="H1931" s="117" t="str">
        <f t="shared" si="328"/>
        <v>no</v>
      </c>
      <c r="I1931" s="117" t="str">
        <f t="shared" si="330"/>
        <v>yes</v>
      </c>
      <c r="J1931" s="117" t="str">
        <f t="shared" si="331"/>
        <v>no</v>
      </c>
      <c r="K1931" s="117" t="s">
        <v>561</v>
      </c>
      <c r="L1931" s="117" t="str">
        <f t="shared" si="329"/>
        <v>detailed</v>
      </c>
      <c r="M1931" s="117" t="str">
        <f t="shared" si="332"/>
        <v>detailed Gas</v>
      </c>
      <c r="N1931" s="118">
        <f>(((20000000000/365)*184)+((23000000000/365)*181))*0.0283168</f>
        <v>608462088.76712334</v>
      </c>
      <c r="O1931" s="118"/>
      <c r="P1931" s="118"/>
      <c r="Q1931" s="118"/>
      <c r="R1931" s="118"/>
      <c r="S1931" s="117" t="s">
        <v>642</v>
      </c>
      <c r="T1931" s="119">
        <f>((0.328797/365)*184)+(0.144228/365)*181</f>
        <v>0.23727100273972601</v>
      </c>
      <c r="U1931" s="117" t="s">
        <v>643</v>
      </c>
      <c r="V1931" s="117" t="s">
        <v>644</v>
      </c>
      <c r="W1931" s="89">
        <f>N1931*T1931</f>
        <v>144370409.93088353</v>
      </c>
      <c r="X1931" s="117"/>
      <c r="Y1931" s="117"/>
      <c r="Z1931" s="117"/>
      <c r="AA1931" s="177">
        <v>10567107</v>
      </c>
      <c r="AB1931" s="177">
        <v>14889559</v>
      </c>
      <c r="AC1931" s="122"/>
      <c r="AD1931" s="122"/>
      <c r="AE1931" s="122"/>
      <c r="AF1931" s="123">
        <f t="shared" si="339"/>
        <v>7.3194410163820542E-2</v>
      </c>
      <c r="AG1931" s="177"/>
      <c r="AH1931" s="189"/>
      <c r="AI1931" s="117"/>
      <c r="AJ1931" s="117"/>
      <c r="AK1931" s="89"/>
      <c r="AL1931" s="117"/>
      <c r="AM1931" s="117"/>
      <c r="AN1931" s="117">
        <v>3</v>
      </c>
      <c r="AO1931" s="120" t="s">
        <v>2260</v>
      </c>
      <c r="AP1931" s="117">
        <v>3</v>
      </c>
      <c r="AQ1931" s="117"/>
      <c r="AR1931" s="126"/>
      <c r="AS1931" s="117"/>
      <c r="AT1931" s="117"/>
      <c r="AU1931" s="117" t="s">
        <v>2261</v>
      </c>
      <c r="AV1931" s="128"/>
      <c r="AW1931" s="117">
        <f>VLOOKUP($D1931,'WB Data'!$C$3:$M$578,2,FALSE)</f>
        <v>21368165683.254303</v>
      </c>
      <c r="AX1931" s="117">
        <f>VLOOKUP($D1931,'WB Data'!$C$3:$M$578,3,FALSE)</f>
        <v>43639752</v>
      </c>
      <c r="AY1931" s="847">
        <f t="shared" si="335"/>
        <v>4.7852652172260439E-3</v>
      </c>
      <c r="AZ1931" s="117">
        <f>VLOOKUP($D1931,'WB Data'!$C$3:$M$578,4,FALSE)/100</f>
        <v>0.16465020179836906</v>
      </c>
      <c r="BA1931" s="117">
        <f t="shared" si="336"/>
        <v>3518272791.8088055</v>
      </c>
      <c r="BB1931" s="129">
        <f>IFERROR(VLOOKUP($D1931,'EITI Revenues'!$C$2:$G$224,5,FALSE),"..")</f>
        <v>102252340</v>
      </c>
      <c r="BC1931" s="846">
        <f t="shared" si="337"/>
        <v>2.9063221089070324E-2</v>
      </c>
      <c r="BD1931" s="129">
        <f>VLOOKUP($D1931,'WB Data 2'!$C$2:$K$545,6,FALSE)</f>
        <v>762673241.62230206</v>
      </c>
      <c r="BE1931" s="129">
        <f>IFERROR(VLOOKUP($D1931,UNCTAD!$C$5:$V$529,4,FALSE),"..")</f>
        <v>5152730000</v>
      </c>
      <c r="BF1931" s="846">
        <f t="shared" si="338"/>
        <v>0.14801343008896295</v>
      </c>
      <c r="BG1931" s="117">
        <f>VLOOKUP($D1931,'WB Data'!$C$3:$M$578,5,FALSE)</f>
        <v>2933150000</v>
      </c>
      <c r="BH1931" s="129">
        <f>IFERROR($BB1931/$BG1931,"..")</f>
        <v>3.4860931080919831E-2</v>
      </c>
      <c r="BI1931" s="117">
        <f>IFERROR(VLOOKUP($D1931,'WB Data'!$C$3:$M$578,7,FALSE)/100,"..")</f>
        <v>5.3462900000000001E-2</v>
      </c>
      <c r="BJ1931" s="117">
        <f>IFERROR($BI1931*$AW1931,"..")</f>
        <v>1142404105.1072564</v>
      </c>
      <c r="BK1931" s="846">
        <f>IFERROR($BB1931/$BJ1931,"..")</f>
        <v>8.9506278507638828E-2</v>
      </c>
      <c r="BL1931" s="117">
        <f>IFERROR(VLOOKUP($D1931,'WB Data'!$C$3:$M$578,7,FALSE)/100,"..")</f>
        <v>5.3462900000000001E-2</v>
      </c>
      <c r="BM1931" s="117">
        <f>IFERROR($AW1931*$BL1931,"..")</f>
        <v>1142404105.1072564</v>
      </c>
      <c r="BN1931" s="846">
        <f>IFERROR($BB1931/$BM1931,"..")</f>
        <v>8.9506278507638828E-2</v>
      </c>
      <c r="BO1931" s="801">
        <f t="shared" si="334"/>
        <v>31</v>
      </c>
      <c r="BP1931" s="117" t="str">
        <f>VLOOKUP($D1931,'WB Data'!$C$3:$M$578,9,FALSE)</f>
        <v>..</v>
      </c>
      <c r="BQ1931" s="117">
        <f>VLOOKUP($D1931,'WB Data'!$C$3:$M$578,10,FALSE)</f>
        <v>58.1759512195122</v>
      </c>
      <c r="BR1931" s="117">
        <f>VLOOKUP($D1931,'WB Data'!$C$3:$M$578,11,FALSE)</f>
        <v>44.1</v>
      </c>
      <c r="BS1931" s="129" t="str">
        <f>IFERROR(VLOOKUP($D1931,'WB Data 2'!$C$2:$K$545,9,FALSE),"..")</f>
        <v>..</v>
      </c>
      <c r="BT1931" s="129">
        <f>_xlfn.IFNA(VLOOKUP($C1931,RGI!$A$2:$C$43,2,FALSE),"..")</f>
        <v>27.8</v>
      </c>
      <c r="BU1931" s="129">
        <f>_xlfn.IFNA(VLOOKUP($C1931,RGI!$A$2:$C$43,3,FALSE),"..")</f>
        <v>49.764112779291708</v>
      </c>
      <c r="BV1931" s="129">
        <f>VLOOKUP($D1931,WGI!$C$2:$O$478,7,FALSE)</f>
        <v>-0.158080618442376</v>
      </c>
      <c r="BW1931" s="129">
        <f>VLOOKUP($D1931,WGI!$C$2:$O$478,4,FALSE)</f>
        <v>6.9291708133980195E-2</v>
      </c>
      <c r="BX1931" s="129">
        <f>VLOOKUP($D1931,WGI!$C$2:$O$478,3,FALSE)</f>
        <v>-0.593270511956416</v>
      </c>
      <c r="BY1931" s="129">
        <f>VLOOKUP($D1931,WGI!$C$2:$O$478,5,FALSE)</f>
        <v>-0.42146087151551997</v>
      </c>
      <c r="BZ1931" s="129">
        <f>VLOOKUP($D1931,WGI!$C$2:$O$478,2,FALSE)</f>
        <v>-0.44252210670392</v>
      </c>
      <c r="CB1931" s="129"/>
    </row>
    <row r="1932" spans="1:80" s="120" customFormat="1" ht="15" customHeight="1">
      <c r="A1932" s="280" t="s">
        <v>498</v>
      </c>
      <c r="B1932" s="117">
        <v>2009</v>
      </c>
      <c r="C1932" s="117" t="s">
        <v>499</v>
      </c>
      <c r="D1932" s="117" t="s">
        <v>3645</v>
      </c>
      <c r="E1932" s="117" t="s">
        <v>86</v>
      </c>
      <c r="F1932" s="117"/>
      <c r="G1932" s="120" t="s">
        <v>24</v>
      </c>
      <c r="H1932" s="117" t="str">
        <f t="shared" si="328"/>
        <v>yes</v>
      </c>
      <c r="I1932" s="117" t="str">
        <f t="shared" si="330"/>
        <v>no</v>
      </c>
      <c r="J1932" s="117" t="str">
        <f t="shared" si="331"/>
        <v>no</v>
      </c>
      <c r="K1932" s="117" t="s">
        <v>600</v>
      </c>
      <c r="L1932" s="117" t="str">
        <f t="shared" si="329"/>
        <v>Total</v>
      </c>
      <c r="M1932" s="117" t="str">
        <f t="shared" si="332"/>
        <v>Total Mining</v>
      </c>
      <c r="N1932" s="118"/>
      <c r="O1932" s="118"/>
      <c r="P1932" s="118"/>
      <c r="Q1932" s="118"/>
      <c r="R1932" s="118"/>
      <c r="S1932" s="117"/>
      <c r="T1932" s="119"/>
      <c r="U1932" s="117"/>
      <c r="V1932" s="117"/>
      <c r="W1932" s="89">
        <f>SUM(W1933:W1935)</f>
        <v>1292703648.2956343</v>
      </c>
      <c r="X1932" s="117"/>
      <c r="Y1932" s="117"/>
      <c r="Z1932" s="117"/>
      <c r="AA1932" s="177">
        <v>91685617</v>
      </c>
      <c r="AB1932" s="177">
        <v>115158295</v>
      </c>
      <c r="AC1932" s="122"/>
      <c r="AD1932" s="122"/>
      <c r="AE1932" s="122"/>
      <c r="AF1932" s="123">
        <f t="shared" si="339"/>
        <v>7.0925472455255267E-2</v>
      </c>
      <c r="AG1932" s="177"/>
      <c r="AH1932" s="189"/>
      <c r="AI1932" s="117"/>
      <c r="AJ1932" s="117"/>
      <c r="AK1932" s="89"/>
      <c r="AL1932" s="117"/>
      <c r="AM1932" s="117"/>
      <c r="AN1932" s="117">
        <v>8</v>
      </c>
      <c r="AO1932" s="120" t="s">
        <v>2262</v>
      </c>
      <c r="AP1932" s="117">
        <v>8</v>
      </c>
      <c r="AQ1932" s="117"/>
      <c r="AR1932" s="126"/>
      <c r="AS1932" s="117"/>
      <c r="AT1932" s="117"/>
      <c r="AU1932" s="117" t="s">
        <v>2263</v>
      </c>
      <c r="AV1932" s="128"/>
      <c r="AW1932" s="117">
        <f>VLOOKUP($D1932,'WB Data'!$C$3:$M$578,2,FALSE)</f>
        <v>21368165683.254303</v>
      </c>
      <c r="AX1932" s="117">
        <f>VLOOKUP($D1932,'WB Data'!$C$3:$M$578,3,FALSE)</f>
        <v>43639752</v>
      </c>
      <c r="AY1932" s="847">
        <f t="shared" si="335"/>
        <v>4.7852652172260439E-3</v>
      </c>
      <c r="AZ1932" s="117">
        <f>VLOOKUP($D1932,'WB Data'!$C$3:$M$578,4,FALSE)/100</f>
        <v>0.16465020179836906</v>
      </c>
      <c r="BA1932" s="117">
        <f t="shared" si="336"/>
        <v>3518272791.8088055</v>
      </c>
      <c r="BB1932" s="129">
        <f>IFERROR(VLOOKUP($D1932,'EITI Revenues'!$C$2:$G$224,5,FALSE),"..")</f>
        <v>102252340</v>
      </c>
      <c r="BC1932" s="846">
        <f t="shared" si="337"/>
        <v>2.9063221089070324E-2</v>
      </c>
      <c r="BD1932" s="129">
        <f>VLOOKUP($D1932,'WB Data 2'!$C$2:$K$545,6,FALSE)</f>
        <v>762673241.62230206</v>
      </c>
      <c r="BE1932" s="129">
        <f>IFERROR(VLOOKUP($D1932,UNCTAD!$C$5:$V$529,4,FALSE),"..")</f>
        <v>5152730000</v>
      </c>
      <c r="BF1932" s="846">
        <f t="shared" si="338"/>
        <v>0.14801343008896295</v>
      </c>
      <c r="BG1932" s="117">
        <f>VLOOKUP($D1932,'WB Data'!$C$3:$M$578,5,FALSE)</f>
        <v>2933150000</v>
      </c>
      <c r="BH1932" s="129">
        <f>IFERROR($BB1932/$BG1932,"..")</f>
        <v>3.4860931080919831E-2</v>
      </c>
      <c r="BI1932" s="117">
        <f>IFERROR(VLOOKUP($D1932,'WB Data'!$C$3:$M$578,7,FALSE)/100,"..")</f>
        <v>5.3462900000000001E-2</v>
      </c>
      <c r="BJ1932" s="117">
        <f>IFERROR($BI1932*$AW1932,"..")</f>
        <v>1142404105.1072564</v>
      </c>
      <c r="BK1932" s="846">
        <f>IFERROR($BB1932/$BJ1932,"..")</f>
        <v>8.9506278507638828E-2</v>
      </c>
      <c r="BL1932" s="117">
        <f>IFERROR(VLOOKUP($D1932,'WB Data'!$C$3:$M$578,7,FALSE)/100,"..")</f>
        <v>5.3462900000000001E-2</v>
      </c>
      <c r="BM1932" s="117">
        <f>IFERROR($AW1932*$BL1932,"..")</f>
        <v>1142404105.1072564</v>
      </c>
      <c r="BN1932" s="846">
        <f>IFERROR($BB1932/$BM1932,"..")</f>
        <v>8.9506278507638828E-2</v>
      </c>
      <c r="BO1932" s="801">
        <f t="shared" si="334"/>
        <v>31</v>
      </c>
      <c r="BP1932" s="117" t="str">
        <f>VLOOKUP($D1932,'WB Data'!$C$3:$M$578,9,FALSE)</f>
        <v>..</v>
      </c>
      <c r="BQ1932" s="117">
        <f>VLOOKUP($D1932,'WB Data'!$C$3:$M$578,10,FALSE)</f>
        <v>58.1759512195122</v>
      </c>
      <c r="BR1932" s="117">
        <f>VLOOKUP($D1932,'WB Data'!$C$3:$M$578,11,FALSE)</f>
        <v>44.1</v>
      </c>
      <c r="BS1932" s="129" t="str">
        <f>IFERROR(VLOOKUP($D1932,'WB Data 2'!$C$2:$K$545,9,FALSE),"..")</f>
        <v>..</v>
      </c>
      <c r="BT1932" s="129">
        <f>_xlfn.IFNA(VLOOKUP($C1932,RGI!$A$2:$C$43,2,FALSE),"..")</f>
        <v>27.8</v>
      </c>
      <c r="BU1932" s="129">
        <f>_xlfn.IFNA(VLOOKUP($C1932,RGI!$A$2:$C$43,3,FALSE),"..")</f>
        <v>49.764112779291708</v>
      </c>
      <c r="BV1932" s="129">
        <f>VLOOKUP($D1932,WGI!$C$2:$O$478,7,FALSE)</f>
        <v>-0.158080618442376</v>
      </c>
      <c r="BW1932" s="129">
        <f>VLOOKUP($D1932,WGI!$C$2:$O$478,4,FALSE)</f>
        <v>6.9291708133980195E-2</v>
      </c>
      <c r="BX1932" s="129">
        <f>VLOOKUP($D1932,WGI!$C$2:$O$478,3,FALSE)</f>
        <v>-0.593270511956416</v>
      </c>
      <c r="BY1932" s="129">
        <f>VLOOKUP($D1932,WGI!$C$2:$O$478,5,FALSE)</f>
        <v>-0.42146087151551997</v>
      </c>
      <c r="BZ1932" s="129">
        <f>VLOOKUP($D1932,WGI!$C$2:$O$478,2,FALSE)</f>
        <v>-0.44252210670392</v>
      </c>
      <c r="CB1932" s="129"/>
    </row>
    <row r="1933" spans="1:80" s="120" customFormat="1" ht="15" customHeight="1">
      <c r="A1933" s="280" t="s">
        <v>498</v>
      </c>
      <c r="B1933" s="117">
        <v>2009</v>
      </c>
      <c r="C1933" s="117" t="s">
        <v>499</v>
      </c>
      <c r="D1933" s="117" t="s">
        <v>3645</v>
      </c>
      <c r="E1933" s="117" t="s">
        <v>86</v>
      </c>
      <c r="F1933" s="117"/>
      <c r="G1933" s="120" t="s">
        <v>24</v>
      </c>
      <c r="H1933" s="117" t="str">
        <f t="shared" si="328"/>
        <v>yes</v>
      </c>
      <c r="I1933" s="117" t="str">
        <f t="shared" si="330"/>
        <v>no</v>
      </c>
      <c r="J1933" s="117" t="str">
        <f t="shared" si="331"/>
        <v>no</v>
      </c>
      <c r="K1933" s="117" t="s">
        <v>980</v>
      </c>
      <c r="L1933" s="117" t="str">
        <f t="shared" si="329"/>
        <v>detailed</v>
      </c>
      <c r="M1933" s="117" t="str">
        <f t="shared" si="332"/>
        <v>detailed Mining</v>
      </c>
      <c r="N1933" s="118">
        <f>((237676/365)*184)+(181874/365)*181</f>
        <v>210004.32328767123</v>
      </c>
      <c r="O1933" s="118"/>
      <c r="P1933" s="118"/>
      <c r="Q1933" s="118"/>
      <c r="R1933" s="118"/>
      <c r="S1933" s="117" t="s">
        <v>981</v>
      </c>
      <c r="T1933" s="638">
        <f>((101.33/365)*184)+(136.26/365)*181</f>
        <v>118.65145205479453</v>
      </c>
      <c r="U1933" s="117" t="s">
        <v>982</v>
      </c>
      <c r="V1933" s="117" t="s">
        <v>2264</v>
      </c>
      <c r="W1933" s="89">
        <f>N1933*T1933</f>
        <v>24917317.895866692</v>
      </c>
      <c r="X1933" s="117"/>
      <c r="Y1933" s="117"/>
      <c r="Z1933" s="117"/>
      <c r="AA1933" s="177">
        <v>6131329</v>
      </c>
      <c r="AB1933" s="177">
        <v>6696569</v>
      </c>
      <c r="AC1933" s="122"/>
      <c r="AD1933" s="122"/>
      <c r="AE1933" s="122"/>
      <c r="AF1933" s="123">
        <f t="shared" si="339"/>
        <v>0.24606697340475278</v>
      </c>
      <c r="AG1933" s="177"/>
      <c r="AH1933" s="189"/>
      <c r="AI1933" s="117"/>
      <c r="AJ1933" s="117"/>
      <c r="AK1933" s="89"/>
      <c r="AL1933" s="117"/>
      <c r="AM1933" s="117"/>
      <c r="AN1933" s="117">
        <v>2</v>
      </c>
      <c r="AO1933" s="117" t="s">
        <v>2265</v>
      </c>
      <c r="AP1933" s="117">
        <v>2</v>
      </c>
      <c r="AQ1933" s="117"/>
      <c r="AR1933" s="126"/>
      <c r="AS1933" s="117"/>
      <c r="AT1933" s="117"/>
      <c r="AU1933" s="117" t="s">
        <v>2266</v>
      </c>
      <c r="AV1933" s="128"/>
      <c r="AW1933" s="117">
        <f>VLOOKUP($D1933,'WB Data'!$C$3:$M$578,2,FALSE)</f>
        <v>21368165683.254303</v>
      </c>
      <c r="AX1933" s="117">
        <f>VLOOKUP($D1933,'WB Data'!$C$3:$M$578,3,FALSE)</f>
        <v>43639752</v>
      </c>
      <c r="AY1933" s="847">
        <f t="shared" si="335"/>
        <v>4.7852652172260439E-3</v>
      </c>
      <c r="AZ1933" s="117">
        <f>VLOOKUP($D1933,'WB Data'!$C$3:$M$578,4,FALSE)/100</f>
        <v>0.16465020179836906</v>
      </c>
      <c r="BA1933" s="117">
        <f t="shared" si="336"/>
        <v>3518272791.8088055</v>
      </c>
      <c r="BB1933" s="129">
        <f>IFERROR(VLOOKUP($D1933,'EITI Revenues'!$C$2:$G$224,5,FALSE),"..")</f>
        <v>102252340</v>
      </c>
      <c r="BC1933" s="846">
        <f t="shared" si="337"/>
        <v>2.9063221089070324E-2</v>
      </c>
      <c r="BD1933" s="129">
        <f>VLOOKUP($D1933,'WB Data 2'!$C$2:$K$545,6,FALSE)</f>
        <v>762673241.62230206</v>
      </c>
      <c r="BE1933" s="129">
        <f>IFERROR(VLOOKUP($D1933,UNCTAD!$C$5:$V$529,4,FALSE),"..")</f>
        <v>5152730000</v>
      </c>
      <c r="BF1933" s="846">
        <f t="shared" si="338"/>
        <v>0.14801343008896295</v>
      </c>
      <c r="BG1933" s="117">
        <f>VLOOKUP($D1933,'WB Data'!$C$3:$M$578,5,FALSE)</f>
        <v>2933150000</v>
      </c>
      <c r="BH1933" s="129">
        <f>IFERROR($BB1933/$BG1933,"..")</f>
        <v>3.4860931080919831E-2</v>
      </c>
      <c r="BI1933" s="117">
        <f>IFERROR(VLOOKUP($D1933,'WB Data'!$C$3:$M$578,7,FALSE)/100,"..")</f>
        <v>5.3462900000000001E-2</v>
      </c>
      <c r="BJ1933" s="117">
        <f>IFERROR($BI1933*$AW1933,"..")</f>
        <v>1142404105.1072564</v>
      </c>
      <c r="BK1933" s="846">
        <f>IFERROR($BB1933/$BJ1933,"..")</f>
        <v>8.9506278507638828E-2</v>
      </c>
      <c r="BL1933" s="117">
        <f>IFERROR(VLOOKUP($D1933,'WB Data'!$C$3:$M$578,7,FALSE)/100,"..")</f>
        <v>5.3462900000000001E-2</v>
      </c>
      <c r="BM1933" s="117">
        <f>IFERROR($AW1933*$BL1933,"..")</f>
        <v>1142404105.1072564</v>
      </c>
      <c r="BN1933" s="846">
        <f>IFERROR($BB1933/$BM1933,"..")</f>
        <v>8.9506278507638828E-2</v>
      </c>
      <c r="BO1933" s="801">
        <f t="shared" si="334"/>
        <v>31</v>
      </c>
      <c r="BP1933" s="117" t="str">
        <f>VLOOKUP($D1933,'WB Data'!$C$3:$M$578,9,FALSE)</f>
        <v>..</v>
      </c>
      <c r="BQ1933" s="117">
        <f>VLOOKUP($D1933,'WB Data'!$C$3:$M$578,10,FALSE)</f>
        <v>58.1759512195122</v>
      </c>
      <c r="BR1933" s="117">
        <f>VLOOKUP($D1933,'WB Data'!$C$3:$M$578,11,FALSE)</f>
        <v>44.1</v>
      </c>
      <c r="BS1933" s="129" t="str">
        <f>IFERROR(VLOOKUP($D1933,'WB Data 2'!$C$2:$K$545,9,FALSE),"..")</f>
        <v>..</v>
      </c>
      <c r="BT1933" s="129">
        <f>_xlfn.IFNA(VLOOKUP($C1933,RGI!$A$2:$C$43,2,FALSE),"..")</f>
        <v>27.8</v>
      </c>
      <c r="BU1933" s="129">
        <f>_xlfn.IFNA(VLOOKUP($C1933,RGI!$A$2:$C$43,3,FALSE),"..")</f>
        <v>49.764112779291708</v>
      </c>
      <c r="BV1933" s="129">
        <f>VLOOKUP($D1933,WGI!$C$2:$O$478,7,FALSE)</f>
        <v>-0.158080618442376</v>
      </c>
      <c r="BW1933" s="129">
        <f>VLOOKUP($D1933,WGI!$C$2:$O$478,4,FALSE)</f>
        <v>6.9291708133980195E-2</v>
      </c>
      <c r="BX1933" s="129">
        <f>VLOOKUP($D1933,WGI!$C$2:$O$478,3,FALSE)</f>
        <v>-0.593270511956416</v>
      </c>
      <c r="BY1933" s="129">
        <f>VLOOKUP($D1933,WGI!$C$2:$O$478,5,FALSE)</f>
        <v>-0.42146087151551997</v>
      </c>
      <c r="BZ1933" s="129">
        <f>VLOOKUP($D1933,WGI!$C$2:$O$478,2,FALSE)</f>
        <v>-0.44252210670392</v>
      </c>
      <c r="CB1933" s="129"/>
    </row>
    <row r="1934" spans="1:80" s="120" customFormat="1" ht="15" customHeight="1">
      <c r="A1934" s="280" t="s">
        <v>498</v>
      </c>
      <c r="B1934" s="117">
        <v>2009</v>
      </c>
      <c r="C1934" s="117" t="s">
        <v>499</v>
      </c>
      <c r="D1934" s="117" t="s">
        <v>3645</v>
      </c>
      <c r="E1934" s="117" t="s">
        <v>86</v>
      </c>
      <c r="F1934" s="117"/>
      <c r="G1934" s="120" t="s">
        <v>24</v>
      </c>
      <c r="H1934" s="117" t="str">
        <f t="shared" si="328"/>
        <v>yes</v>
      </c>
      <c r="I1934" s="117" t="str">
        <f t="shared" si="330"/>
        <v>no</v>
      </c>
      <c r="J1934" s="117" t="str">
        <f t="shared" si="331"/>
        <v>no</v>
      </c>
      <c r="K1934" s="117" t="s">
        <v>784</v>
      </c>
      <c r="L1934" s="117" t="str">
        <f t="shared" si="329"/>
        <v>detailed</v>
      </c>
      <c r="M1934" s="117" t="str">
        <f t="shared" si="332"/>
        <v>detailed Mining</v>
      </c>
      <c r="N1934" s="118">
        <f>(((36434/365)*184)+((39112/365)*181))*32.1507431265</f>
        <v>1214076.1857744374</v>
      </c>
      <c r="O1934" s="118"/>
      <c r="P1934" s="118"/>
      <c r="Q1934" s="118"/>
      <c r="R1934" s="118"/>
      <c r="S1934" s="117" t="s">
        <v>785</v>
      </c>
      <c r="T1934" s="119">
        <f>(((871.71/365)*184)+((972.97/365)*181))*1.0953</f>
        <v>1009.783207158904</v>
      </c>
      <c r="U1934" s="117" t="s">
        <v>786</v>
      </c>
      <c r="V1934" s="117" t="s">
        <v>2267</v>
      </c>
      <c r="W1934" s="89">
        <f>N1934*T1934</f>
        <v>1225953744.6065607</v>
      </c>
      <c r="X1934" s="117"/>
      <c r="Y1934" s="117"/>
      <c r="Z1934" s="117"/>
      <c r="AA1934" s="177">
        <v>83605841</v>
      </c>
      <c r="AB1934" s="177">
        <v>105572207</v>
      </c>
      <c r="AC1934" s="122"/>
      <c r="AD1934" s="122"/>
      <c r="AE1934" s="122"/>
      <c r="AF1934" s="123">
        <f t="shared" si="339"/>
        <v>6.8196570521370861E-2</v>
      </c>
      <c r="AG1934" s="177"/>
      <c r="AH1934" s="189"/>
      <c r="AI1934" s="117"/>
      <c r="AJ1934" s="117"/>
      <c r="AK1934" s="89"/>
      <c r="AL1934" s="117"/>
      <c r="AM1934" s="117"/>
      <c r="AN1934" s="117">
        <v>5</v>
      </c>
      <c r="AO1934" s="117" t="s">
        <v>2268</v>
      </c>
      <c r="AP1934" s="117">
        <v>5</v>
      </c>
      <c r="AQ1934" s="117"/>
      <c r="AR1934" s="126"/>
      <c r="AS1934" s="117"/>
      <c r="AT1934" s="117"/>
      <c r="AU1934" s="117" t="s">
        <v>2269</v>
      </c>
      <c r="AV1934" s="128"/>
      <c r="AW1934" s="117">
        <f>VLOOKUP($D1934,'WB Data'!$C$3:$M$578,2,FALSE)</f>
        <v>21368165683.254303</v>
      </c>
      <c r="AX1934" s="117">
        <f>VLOOKUP($D1934,'WB Data'!$C$3:$M$578,3,FALSE)</f>
        <v>43639752</v>
      </c>
      <c r="AY1934" s="847">
        <f t="shared" si="335"/>
        <v>4.7852652172260439E-3</v>
      </c>
      <c r="AZ1934" s="117">
        <f>VLOOKUP($D1934,'WB Data'!$C$3:$M$578,4,FALSE)/100</f>
        <v>0.16465020179836906</v>
      </c>
      <c r="BA1934" s="117">
        <f t="shared" si="336"/>
        <v>3518272791.8088055</v>
      </c>
      <c r="BB1934" s="129">
        <f>IFERROR(VLOOKUP($D1934,'EITI Revenues'!$C$2:$G$224,5,FALSE),"..")</f>
        <v>102252340</v>
      </c>
      <c r="BC1934" s="846">
        <f t="shared" si="337"/>
        <v>2.9063221089070324E-2</v>
      </c>
      <c r="BD1934" s="129">
        <f>VLOOKUP($D1934,'WB Data 2'!$C$2:$K$545,6,FALSE)</f>
        <v>762673241.62230206</v>
      </c>
      <c r="BE1934" s="129">
        <f>IFERROR(VLOOKUP($D1934,UNCTAD!$C$5:$V$529,4,FALSE),"..")</f>
        <v>5152730000</v>
      </c>
      <c r="BF1934" s="846">
        <f t="shared" si="338"/>
        <v>0.14801343008896295</v>
      </c>
      <c r="BG1934" s="117">
        <f>VLOOKUP($D1934,'WB Data'!$C$3:$M$578,5,FALSE)</f>
        <v>2933150000</v>
      </c>
      <c r="BH1934" s="129">
        <f>IFERROR($BB1934/$BG1934,"..")</f>
        <v>3.4860931080919831E-2</v>
      </c>
      <c r="BI1934" s="117">
        <f>IFERROR(VLOOKUP($D1934,'WB Data'!$C$3:$M$578,7,FALSE)/100,"..")</f>
        <v>5.3462900000000001E-2</v>
      </c>
      <c r="BJ1934" s="117">
        <f>IFERROR($BI1934*$AW1934,"..")</f>
        <v>1142404105.1072564</v>
      </c>
      <c r="BK1934" s="846">
        <f>IFERROR($BB1934/$BJ1934,"..")</f>
        <v>8.9506278507638828E-2</v>
      </c>
      <c r="BL1934" s="117">
        <f>IFERROR(VLOOKUP($D1934,'WB Data'!$C$3:$M$578,7,FALSE)/100,"..")</f>
        <v>5.3462900000000001E-2</v>
      </c>
      <c r="BM1934" s="117">
        <f>IFERROR($AW1934*$BL1934,"..")</f>
        <v>1142404105.1072564</v>
      </c>
      <c r="BN1934" s="846">
        <f>IFERROR($BB1934/$BM1934,"..")</f>
        <v>8.9506278507638828E-2</v>
      </c>
      <c r="BO1934" s="801">
        <f t="shared" si="334"/>
        <v>31</v>
      </c>
      <c r="BP1934" s="117" t="str">
        <f>VLOOKUP($D1934,'WB Data'!$C$3:$M$578,9,FALSE)</f>
        <v>..</v>
      </c>
      <c r="BQ1934" s="117">
        <f>VLOOKUP($D1934,'WB Data'!$C$3:$M$578,10,FALSE)</f>
        <v>58.1759512195122</v>
      </c>
      <c r="BR1934" s="117">
        <f>VLOOKUP($D1934,'WB Data'!$C$3:$M$578,11,FALSE)</f>
        <v>44.1</v>
      </c>
      <c r="BS1934" s="129" t="str">
        <f>IFERROR(VLOOKUP($D1934,'WB Data 2'!$C$2:$K$545,9,FALSE),"..")</f>
        <v>..</v>
      </c>
      <c r="BT1934" s="129">
        <f>_xlfn.IFNA(VLOOKUP($C1934,RGI!$A$2:$C$43,2,FALSE),"..")</f>
        <v>27.8</v>
      </c>
      <c r="BU1934" s="129">
        <f>_xlfn.IFNA(VLOOKUP($C1934,RGI!$A$2:$C$43,3,FALSE),"..")</f>
        <v>49.764112779291708</v>
      </c>
      <c r="BV1934" s="129">
        <f>VLOOKUP($D1934,WGI!$C$2:$O$478,7,FALSE)</f>
        <v>-0.158080618442376</v>
      </c>
      <c r="BW1934" s="129">
        <f>VLOOKUP($D1934,WGI!$C$2:$O$478,4,FALSE)</f>
        <v>6.9291708133980195E-2</v>
      </c>
      <c r="BX1934" s="129">
        <f>VLOOKUP($D1934,WGI!$C$2:$O$478,3,FALSE)</f>
        <v>-0.593270511956416</v>
      </c>
      <c r="BY1934" s="129">
        <f>VLOOKUP($D1934,WGI!$C$2:$O$478,5,FALSE)</f>
        <v>-0.42146087151551997</v>
      </c>
      <c r="BZ1934" s="129">
        <f>VLOOKUP($D1934,WGI!$C$2:$O$478,2,FALSE)</f>
        <v>-0.44252210670392</v>
      </c>
      <c r="CB1934" s="129"/>
    </row>
    <row r="1935" spans="1:80" s="158" customFormat="1" ht="15" customHeight="1">
      <c r="A1935" s="282" t="s">
        <v>498</v>
      </c>
      <c r="B1935" s="149">
        <v>2009</v>
      </c>
      <c r="C1935" s="149" t="s">
        <v>499</v>
      </c>
      <c r="D1935" s="117" t="s">
        <v>3645</v>
      </c>
      <c r="E1935" s="149" t="s">
        <v>86</v>
      </c>
      <c r="F1935" s="149"/>
      <c r="G1935" s="158" t="s">
        <v>24</v>
      </c>
      <c r="H1935" s="149" t="str">
        <f t="shared" si="328"/>
        <v>yes</v>
      </c>
      <c r="I1935" s="149" t="str">
        <f t="shared" si="330"/>
        <v>no</v>
      </c>
      <c r="J1935" s="149" t="str">
        <f t="shared" si="331"/>
        <v>no</v>
      </c>
      <c r="K1935" s="149" t="s">
        <v>2270</v>
      </c>
      <c r="L1935" s="149" t="str">
        <f t="shared" si="329"/>
        <v>detailed</v>
      </c>
      <c r="M1935" s="149" t="str">
        <f t="shared" si="332"/>
        <v>detailed Mining</v>
      </c>
      <c r="N1935" s="150">
        <f>((670/365)*184)+(768/365)*181</f>
        <v>718.59726027397255</v>
      </c>
      <c r="O1935" s="150"/>
      <c r="P1935" s="150"/>
      <c r="Q1935" s="150"/>
      <c r="R1935" s="150"/>
      <c r="S1935" s="149" t="s">
        <v>967</v>
      </c>
      <c r="T1935" s="151">
        <f>((((387.5/365)*184)+((337.5/365)*181))/0.0002)*0.0321</f>
        <v>58214.229452054788</v>
      </c>
      <c r="U1935" s="149" t="s">
        <v>1874</v>
      </c>
      <c r="V1935" s="591" t="s">
        <v>2271</v>
      </c>
      <c r="W1935" s="152">
        <f>N1935*T1935</f>
        <v>41832585.793206975</v>
      </c>
      <c r="X1935" s="149"/>
      <c r="Y1935" s="149"/>
      <c r="Z1935" s="149"/>
      <c r="AA1935" s="284">
        <v>1948447</v>
      </c>
      <c r="AB1935" s="284">
        <v>2889519</v>
      </c>
      <c r="AC1935" s="154"/>
      <c r="AD1935" s="154"/>
      <c r="AE1935" s="154"/>
      <c r="AF1935" s="155">
        <f t="shared" si="339"/>
        <v>4.6577254622314081E-2</v>
      </c>
      <c r="AG1935" s="284"/>
      <c r="AH1935" s="639"/>
      <c r="AI1935" s="149"/>
      <c r="AJ1935" s="149"/>
      <c r="AK1935" s="152"/>
      <c r="AL1935" s="149"/>
      <c r="AM1935" s="149"/>
      <c r="AN1935" s="149">
        <v>1</v>
      </c>
      <c r="AO1935" s="149" t="s">
        <v>2272</v>
      </c>
      <c r="AP1935" s="149">
        <v>1</v>
      </c>
      <c r="AQ1935" s="149"/>
      <c r="AR1935" s="220"/>
      <c r="AS1935" s="149"/>
      <c r="AT1935" s="149"/>
      <c r="AU1935" s="149" t="s">
        <v>2273</v>
      </c>
      <c r="AV1935" s="157"/>
      <c r="AW1935" s="117">
        <f>VLOOKUP($D1935,'WB Data'!$C$3:$M$578,2,FALSE)</f>
        <v>21368165683.254303</v>
      </c>
      <c r="AX1935" s="117">
        <f>VLOOKUP($D1935,'WB Data'!$C$3:$M$578,3,FALSE)</f>
        <v>43639752</v>
      </c>
      <c r="AY1935" s="847">
        <f t="shared" si="335"/>
        <v>4.7852652172260439E-3</v>
      </c>
      <c r="AZ1935" s="117">
        <f>VLOOKUP($D1935,'WB Data'!$C$3:$M$578,4,FALSE)/100</f>
        <v>0.16465020179836906</v>
      </c>
      <c r="BA1935" s="117">
        <f t="shared" si="336"/>
        <v>3518272791.8088055</v>
      </c>
      <c r="BB1935" s="129">
        <f>IFERROR(VLOOKUP($D1935,'EITI Revenues'!$C$2:$G$224,5,FALSE),"..")</f>
        <v>102252340</v>
      </c>
      <c r="BC1935" s="846">
        <f t="shared" si="337"/>
        <v>2.9063221089070324E-2</v>
      </c>
      <c r="BD1935" s="129">
        <f>VLOOKUP($D1935,'WB Data 2'!$C$2:$K$545,6,FALSE)</f>
        <v>762673241.62230206</v>
      </c>
      <c r="BE1935" s="129">
        <f>IFERROR(VLOOKUP($D1935,UNCTAD!$C$5:$V$529,4,FALSE),"..")</f>
        <v>5152730000</v>
      </c>
      <c r="BF1935" s="846">
        <f t="shared" si="338"/>
        <v>0.14801343008896295</v>
      </c>
      <c r="BG1935" s="117">
        <f>VLOOKUP($D1935,'WB Data'!$C$3:$M$578,5,FALSE)</f>
        <v>2933150000</v>
      </c>
      <c r="BH1935" s="129">
        <f>IFERROR($BB1935/$BG1935,"..")</f>
        <v>3.4860931080919831E-2</v>
      </c>
      <c r="BI1935" s="117">
        <f>IFERROR(VLOOKUP($D1935,'WB Data'!$C$3:$M$578,7,FALSE)/100,"..")</f>
        <v>5.3462900000000001E-2</v>
      </c>
      <c r="BJ1935" s="117">
        <f>IFERROR($BI1935*$AW1935,"..")</f>
        <v>1142404105.1072564</v>
      </c>
      <c r="BK1935" s="846">
        <f>IFERROR($BB1935/$BJ1935,"..")</f>
        <v>8.9506278507638828E-2</v>
      </c>
      <c r="BL1935" s="117">
        <f>IFERROR(VLOOKUP($D1935,'WB Data'!$C$3:$M$578,7,FALSE)/100,"..")</f>
        <v>5.3462900000000001E-2</v>
      </c>
      <c r="BM1935" s="117">
        <f>IFERROR($AW1935*$BL1935,"..")</f>
        <v>1142404105.1072564</v>
      </c>
      <c r="BN1935" s="846">
        <f>IFERROR($BB1935/$BM1935,"..")</f>
        <v>8.9506278507638828E-2</v>
      </c>
      <c r="BO1935" s="801">
        <f t="shared" si="334"/>
        <v>31</v>
      </c>
      <c r="BP1935" s="117" t="str">
        <f>VLOOKUP($D1935,'WB Data'!$C$3:$M$578,9,FALSE)</f>
        <v>..</v>
      </c>
      <c r="BQ1935" s="117">
        <f>VLOOKUP($D1935,'WB Data'!$C$3:$M$578,10,FALSE)</f>
        <v>58.1759512195122</v>
      </c>
      <c r="BR1935" s="117">
        <f>VLOOKUP($D1935,'WB Data'!$C$3:$M$578,11,FALSE)</f>
        <v>44.1</v>
      </c>
      <c r="BS1935" s="129" t="str">
        <f>IFERROR(VLOOKUP($D1935,'WB Data 2'!$C$2:$K$545,9,FALSE),"..")</f>
        <v>..</v>
      </c>
      <c r="BT1935" s="129">
        <f>_xlfn.IFNA(VLOOKUP($C1935,RGI!$A$2:$C$43,2,FALSE),"..")</f>
        <v>27.8</v>
      </c>
      <c r="BU1935" s="129">
        <f>_xlfn.IFNA(VLOOKUP($C1935,RGI!$A$2:$C$43,3,FALSE),"..")</f>
        <v>49.764112779291708</v>
      </c>
      <c r="BV1935" s="129">
        <f>VLOOKUP($D1935,WGI!$C$2:$O$478,7,FALSE)</f>
        <v>-0.158080618442376</v>
      </c>
      <c r="BW1935" s="129">
        <f>VLOOKUP($D1935,WGI!$C$2:$O$478,4,FALSE)</f>
        <v>6.9291708133980195E-2</v>
      </c>
      <c r="BX1935" s="129">
        <f>VLOOKUP($D1935,WGI!$C$2:$O$478,3,FALSE)</f>
        <v>-0.593270511956416</v>
      </c>
      <c r="BY1935" s="129">
        <f>VLOOKUP($D1935,WGI!$C$2:$O$478,5,FALSE)</f>
        <v>-0.42146087151551997</v>
      </c>
      <c r="BZ1935" s="129">
        <f>VLOOKUP($D1935,WGI!$C$2:$O$478,2,FALSE)</f>
        <v>-0.44252210670392</v>
      </c>
      <c r="CB1935" s="129"/>
    </row>
    <row r="1936" spans="1:80" ht="15" customHeight="1">
      <c r="A1936" s="280" t="s">
        <v>501</v>
      </c>
      <c r="B1936" s="117">
        <v>2010</v>
      </c>
      <c r="C1936" s="117" t="s">
        <v>499</v>
      </c>
      <c r="D1936" s="117" t="s">
        <v>3679</v>
      </c>
      <c r="E1936" s="117" t="s">
        <v>86</v>
      </c>
      <c r="F1936" s="117" t="s">
        <v>2254</v>
      </c>
      <c r="G1936" s="117" t="s">
        <v>386</v>
      </c>
      <c r="H1936" s="117" t="str">
        <f t="shared" si="328"/>
        <v>yes</v>
      </c>
      <c r="I1936" s="117" t="str">
        <f t="shared" si="330"/>
        <v>yes</v>
      </c>
      <c r="J1936" s="117" t="str">
        <f t="shared" si="331"/>
        <v>no</v>
      </c>
      <c r="K1936" s="117" t="s">
        <v>709</v>
      </c>
      <c r="L1936" s="117" t="str">
        <f t="shared" si="329"/>
        <v>Total</v>
      </c>
      <c r="M1936" s="117" t="str">
        <f t="shared" si="332"/>
        <v>Total Gas, Mining</v>
      </c>
      <c r="N1936" s="118"/>
      <c r="O1936" s="118"/>
      <c r="P1936" s="118"/>
      <c r="Q1936" s="118"/>
      <c r="R1936" s="118"/>
      <c r="S1936" s="117"/>
      <c r="T1936" s="119"/>
      <c r="U1936" s="117"/>
      <c r="V1936" s="117"/>
      <c r="W1936" s="89">
        <f>W1937+W1938</f>
        <v>1731467246.7526865</v>
      </c>
      <c r="X1936" s="117" t="s">
        <v>1179</v>
      </c>
      <c r="Y1936" s="117" t="s">
        <v>602</v>
      </c>
      <c r="Z1936" s="117" t="s">
        <v>603</v>
      </c>
      <c r="AA1936" s="177">
        <v>305762430.10000002</v>
      </c>
      <c r="AB1936" s="177">
        <v>309407926.30000001</v>
      </c>
      <c r="AC1936" s="212" t="s">
        <v>2274</v>
      </c>
      <c r="AD1936" s="177">
        <f>AA1936/92.4*100</f>
        <v>330911720.88744587</v>
      </c>
      <c r="AE1936" s="212" t="s">
        <v>665</v>
      </c>
      <c r="AF1936" s="213">
        <f>AD1936/W1936</f>
        <v>0.19111636186480604</v>
      </c>
      <c r="AG1936" s="117" t="s">
        <v>2255</v>
      </c>
      <c r="AH1936" s="124">
        <v>1372.15</v>
      </c>
      <c r="AI1936" s="117" t="s">
        <v>1151</v>
      </c>
      <c r="AJ1936" s="117"/>
      <c r="AK1936" s="89"/>
      <c r="AL1936" s="117"/>
      <c r="AM1936" s="117"/>
      <c r="AN1936" s="117">
        <v>24</v>
      </c>
      <c r="AO1936" s="117" t="s">
        <v>2275</v>
      </c>
      <c r="AP1936" s="117">
        <v>22</v>
      </c>
      <c r="AQ1936" s="390" t="s">
        <v>159</v>
      </c>
      <c r="AR1936" s="126">
        <v>41899</v>
      </c>
      <c r="AS1936" s="117" t="s">
        <v>2276</v>
      </c>
      <c r="AT1936" s="117" t="s">
        <v>502</v>
      </c>
      <c r="AU1936" s="120" t="s">
        <v>2277</v>
      </c>
      <c r="AV1936" s="128" t="s">
        <v>2278</v>
      </c>
      <c r="AW1936" s="117">
        <f>VLOOKUP($D1936,'WB Data'!$C$3:$M$578,2,FALSE)</f>
        <v>22915004589.311516</v>
      </c>
      <c r="AX1936" s="117">
        <f>VLOOKUP($D1936,'WB Data'!$C$3:$M$578,3,FALSE)</f>
        <v>44973330</v>
      </c>
      <c r="AY1936" s="847">
        <f t="shared" si="335"/>
        <v>1.334332833791445E-2</v>
      </c>
      <c r="AZ1936" s="117">
        <f>VLOOKUP($D1936,'WB Data'!$C$3:$M$578,4,FALSE)/100</f>
        <v>0.17249346130305837</v>
      </c>
      <c r="BA1936" s="117">
        <f t="shared" si="336"/>
        <v>3952688457.3858109</v>
      </c>
      <c r="BB1936" s="129">
        <f>IFERROR(VLOOKUP($D1936,'EITI Revenues'!$C$2:$G$224,5,FALSE),"..")</f>
        <v>305762430.10000002</v>
      </c>
      <c r="BC1936" s="846">
        <f t="shared" si="337"/>
        <v>7.735556024625885E-2</v>
      </c>
      <c r="BD1936" s="129">
        <f>VLOOKUP($D1936,'WB Data 2'!$C$2:$K$545,6,FALSE)</f>
        <v>1469036470.4110487</v>
      </c>
      <c r="BE1936" s="129">
        <f>IFERROR(VLOOKUP($D1936,UNCTAD!$C$5:$V$529,4,FALSE),"..")</f>
        <v>6370027000</v>
      </c>
      <c r="BF1936" s="846">
        <f t="shared" si="338"/>
        <v>0.23061699273975583</v>
      </c>
      <c r="BG1936" s="117">
        <f>VLOOKUP($D1936,'WB Data'!$C$3:$M$578,5,FALSE)</f>
        <v>2958180000</v>
      </c>
      <c r="BH1936" s="129">
        <f>IFERROR($BB1936/$BG1936,"..")</f>
        <v>0.10336167173735203</v>
      </c>
      <c r="BI1936" s="117">
        <f>IFERROR(VLOOKUP($D1936,'WB Data'!$C$3:$M$578,7,FALSE)/100,"..")</f>
        <v>6.1811999999999999E-2</v>
      </c>
      <c r="BJ1936" s="117">
        <f>IFERROR($BI1936*$AW1936,"..")</f>
        <v>1416422263.6745234</v>
      </c>
      <c r="BK1936" s="846">
        <f>IFERROR($BB1936/$BJ1936,"..")</f>
        <v>0.21586954536197583</v>
      </c>
      <c r="BL1936" s="117">
        <f>IFERROR(VLOOKUP($D1936,'WB Data'!$C$3:$M$578,7,FALSE)/100,"..")</f>
        <v>6.1811999999999999E-2</v>
      </c>
      <c r="BM1936" s="117">
        <f>IFERROR($AW1936*$BL1936,"..")</f>
        <v>1416422263.6745234</v>
      </c>
      <c r="BN1936" s="846">
        <f>IFERROR($BB1936/$BM1936,"..")</f>
        <v>0.21586954536197583</v>
      </c>
      <c r="BO1936" s="801">
        <f t="shared" si="334"/>
        <v>31</v>
      </c>
      <c r="BP1936" s="117" t="str">
        <f>VLOOKUP($D1936,'WB Data'!$C$3:$M$578,9,FALSE)</f>
        <v>..</v>
      </c>
      <c r="BQ1936" s="117">
        <f>VLOOKUP($D1936,'WB Data'!$C$3:$M$578,10,FALSE)</f>
        <v>59.181707317073176</v>
      </c>
      <c r="BR1936" s="117">
        <f>VLOOKUP($D1936,'WB Data'!$C$3:$M$578,11,FALSE)</f>
        <v>41.4</v>
      </c>
      <c r="BS1936" s="129" t="str">
        <f>IFERROR(VLOOKUP($D1936,'WB Data 2'!$C$2:$K$545,9,FALSE),"..")</f>
        <v>..</v>
      </c>
      <c r="BT1936" s="129">
        <f>_xlfn.IFNA(VLOOKUP($C1936,RGI!$A$2:$C$43,2,FALSE),"..")</f>
        <v>27.8</v>
      </c>
      <c r="BU1936" s="129">
        <f>_xlfn.IFNA(VLOOKUP($C1936,RGI!$A$2:$C$43,3,FALSE),"..")</f>
        <v>49.764112779291708</v>
      </c>
      <c r="BV1936" s="129">
        <f>VLOOKUP($D1936,WGI!$C$2:$O$478,7,FALSE)</f>
        <v>-0.13151836042925999</v>
      </c>
      <c r="BW1936" s="129">
        <f>VLOOKUP($D1936,WGI!$C$2:$O$478,4,FALSE)</f>
        <v>-2.1697929680339199E-2</v>
      </c>
      <c r="BX1936" s="129">
        <f>VLOOKUP($D1936,WGI!$C$2:$O$478,3,FALSE)</f>
        <v>-0.57781563906899402</v>
      </c>
      <c r="BY1936" s="129">
        <f>VLOOKUP($D1936,WGI!$C$2:$O$478,5,FALSE)</f>
        <v>-0.40900807079562401</v>
      </c>
      <c r="BZ1936" s="129">
        <f>VLOOKUP($D1936,WGI!$C$2:$O$478,2,FALSE)</f>
        <v>-0.53900717651020602</v>
      </c>
    </row>
    <row r="1937" spans="1:80" ht="15" customHeight="1">
      <c r="A1937" s="280" t="s">
        <v>501</v>
      </c>
      <c r="B1937" s="117">
        <v>2010</v>
      </c>
      <c r="C1937" s="117" t="s">
        <v>499</v>
      </c>
      <c r="D1937" s="117" t="s">
        <v>3679</v>
      </c>
      <c r="E1937" s="117" t="s">
        <v>86</v>
      </c>
      <c r="F1937" s="117"/>
      <c r="G1937" s="120" t="s">
        <v>561</v>
      </c>
      <c r="H1937" s="117" t="str">
        <f t="shared" si="328"/>
        <v>no</v>
      </c>
      <c r="I1937" s="117" t="str">
        <f t="shared" si="330"/>
        <v>yes</v>
      </c>
      <c r="J1937" s="117" t="str">
        <f t="shared" si="331"/>
        <v>no</v>
      </c>
      <c r="K1937" s="117" t="s">
        <v>561</v>
      </c>
      <c r="L1937" s="117" t="str">
        <f t="shared" si="329"/>
        <v>detailed</v>
      </c>
      <c r="M1937" s="117" t="str">
        <f t="shared" si="332"/>
        <v>detailed Gas</v>
      </c>
      <c r="N1937" s="118">
        <f>(((23000000000/365)*184)+((28000000000/365)*181))*0.0283168</f>
        <v>721496547.94520533</v>
      </c>
      <c r="O1937" s="118"/>
      <c r="P1937" s="118"/>
      <c r="Q1937" s="118"/>
      <c r="R1937" s="118"/>
      <c r="S1937" s="117" t="s">
        <v>642</v>
      </c>
      <c r="T1937" s="119">
        <f>((0.144228/365)*184)+(0.174108/365)*181</f>
        <v>0.15904520547945206</v>
      </c>
      <c r="U1937" s="117" t="s">
        <v>643</v>
      </c>
      <c r="V1937" s="117" t="s">
        <v>644</v>
      </c>
      <c r="W1937" s="89">
        <f>N1937*T1937</f>
        <v>114750566.72066051</v>
      </c>
      <c r="X1937" s="117"/>
      <c r="Y1937" s="117"/>
      <c r="Z1937" s="117"/>
      <c r="AA1937" s="177">
        <v>60253511.736775927</v>
      </c>
      <c r="AB1937" s="89">
        <v>60421683.815934844</v>
      </c>
      <c r="AC1937" s="240"/>
      <c r="AD1937" s="240"/>
      <c r="AE1937" s="240"/>
      <c r="AF1937" s="241">
        <f>AA1937/W1937</f>
        <v>0.5250824763545805</v>
      </c>
      <c r="AG1937" s="117"/>
      <c r="AH1937" s="189"/>
      <c r="AI1937" s="117"/>
      <c r="AJ1937" s="117"/>
      <c r="AK1937" s="89"/>
      <c r="AL1937" s="117"/>
      <c r="AM1937" s="117"/>
      <c r="AN1937" s="117">
        <v>9</v>
      </c>
      <c r="AO1937" s="120" t="s">
        <v>2279</v>
      </c>
      <c r="AP1937" s="117">
        <v>9</v>
      </c>
      <c r="AQ1937" s="117"/>
      <c r="AR1937" s="126"/>
      <c r="AS1937" s="117"/>
      <c r="AT1937" s="117"/>
      <c r="AU1937" s="120" t="s">
        <v>2277</v>
      </c>
      <c r="AV1937" s="128"/>
      <c r="AW1937" s="117">
        <f>VLOOKUP($D1937,'WB Data'!$C$3:$M$578,2,FALSE)</f>
        <v>22915004589.311516</v>
      </c>
      <c r="AX1937" s="117">
        <f>VLOOKUP($D1937,'WB Data'!$C$3:$M$578,3,FALSE)</f>
        <v>44973330</v>
      </c>
      <c r="AY1937" s="847">
        <f t="shared" si="335"/>
        <v>1.334332833791445E-2</v>
      </c>
      <c r="AZ1937" s="117">
        <f>VLOOKUP($D1937,'WB Data'!$C$3:$M$578,4,FALSE)/100</f>
        <v>0.17249346130305837</v>
      </c>
      <c r="BA1937" s="117">
        <f t="shared" si="336"/>
        <v>3952688457.3858109</v>
      </c>
      <c r="BB1937" s="129">
        <f>IFERROR(VLOOKUP($D1937,'EITI Revenues'!$C$2:$G$224,5,FALSE),"..")</f>
        <v>305762430.10000002</v>
      </c>
      <c r="BC1937" s="846">
        <f t="shared" si="337"/>
        <v>7.735556024625885E-2</v>
      </c>
      <c r="BD1937" s="129">
        <f>VLOOKUP($D1937,'WB Data 2'!$C$2:$K$545,6,FALSE)</f>
        <v>1469036470.4110487</v>
      </c>
      <c r="BE1937" s="129">
        <f>IFERROR(VLOOKUP($D1937,UNCTAD!$C$5:$V$529,4,FALSE),"..")</f>
        <v>6370027000</v>
      </c>
      <c r="BF1937" s="846">
        <f t="shared" si="338"/>
        <v>0.23061699273975583</v>
      </c>
      <c r="BG1937" s="117">
        <f>VLOOKUP($D1937,'WB Data'!$C$3:$M$578,5,FALSE)</f>
        <v>2958180000</v>
      </c>
      <c r="BH1937" s="129">
        <f>IFERROR($BB1937/$BG1937,"..")</f>
        <v>0.10336167173735203</v>
      </c>
      <c r="BI1937" s="117">
        <f>IFERROR(VLOOKUP($D1937,'WB Data'!$C$3:$M$578,7,FALSE)/100,"..")</f>
        <v>6.1811999999999999E-2</v>
      </c>
      <c r="BJ1937" s="117">
        <f>IFERROR($BI1937*$AW1937,"..")</f>
        <v>1416422263.6745234</v>
      </c>
      <c r="BK1937" s="846">
        <f>IFERROR($BB1937/$BJ1937,"..")</f>
        <v>0.21586954536197583</v>
      </c>
      <c r="BL1937" s="117">
        <f>IFERROR(VLOOKUP($D1937,'WB Data'!$C$3:$M$578,7,FALSE)/100,"..")</f>
        <v>6.1811999999999999E-2</v>
      </c>
      <c r="BM1937" s="117">
        <f>IFERROR($AW1937*$BL1937,"..")</f>
        <v>1416422263.6745234</v>
      </c>
      <c r="BN1937" s="846">
        <f>IFERROR($BB1937/$BM1937,"..")</f>
        <v>0.21586954536197583</v>
      </c>
      <c r="BO1937" s="801">
        <f t="shared" si="334"/>
        <v>31</v>
      </c>
      <c r="BP1937" s="117" t="str">
        <f>VLOOKUP($D1937,'WB Data'!$C$3:$M$578,9,FALSE)</f>
        <v>..</v>
      </c>
      <c r="BQ1937" s="117">
        <f>VLOOKUP($D1937,'WB Data'!$C$3:$M$578,10,FALSE)</f>
        <v>59.181707317073176</v>
      </c>
      <c r="BR1937" s="117">
        <f>VLOOKUP($D1937,'WB Data'!$C$3:$M$578,11,FALSE)</f>
        <v>41.4</v>
      </c>
      <c r="BS1937" s="129" t="str">
        <f>IFERROR(VLOOKUP($D1937,'WB Data 2'!$C$2:$K$545,9,FALSE),"..")</f>
        <v>..</v>
      </c>
      <c r="BT1937" s="129">
        <f>_xlfn.IFNA(VLOOKUP($C1937,RGI!$A$2:$C$43,2,FALSE),"..")</f>
        <v>27.8</v>
      </c>
      <c r="BU1937" s="129">
        <f>_xlfn.IFNA(VLOOKUP($C1937,RGI!$A$2:$C$43,3,FALSE),"..")</f>
        <v>49.764112779291708</v>
      </c>
      <c r="BV1937" s="129">
        <f>VLOOKUP($D1937,WGI!$C$2:$O$478,7,FALSE)</f>
        <v>-0.13151836042925999</v>
      </c>
      <c r="BW1937" s="129">
        <f>VLOOKUP($D1937,WGI!$C$2:$O$478,4,FALSE)</f>
        <v>-2.1697929680339199E-2</v>
      </c>
      <c r="BX1937" s="129">
        <f>VLOOKUP($D1937,WGI!$C$2:$O$478,3,FALSE)</f>
        <v>-0.57781563906899402</v>
      </c>
      <c r="BY1937" s="129">
        <f>VLOOKUP($D1937,WGI!$C$2:$O$478,5,FALSE)</f>
        <v>-0.40900807079562401</v>
      </c>
      <c r="BZ1937" s="129">
        <f>VLOOKUP($D1937,WGI!$C$2:$O$478,2,FALSE)</f>
        <v>-0.53900717651020602</v>
      </c>
    </row>
    <row r="1938" spans="1:80" ht="15" customHeight="1">
      <c r="A1938" s="280" t="s">
        <v>501</v>
      </c>
      <c r="B1938" s="117">
        <v>2010</v>
      </c>
      <c r="C1938" s="117" t="s">
        <v>499</v>
      </c>
      <c r="D1938" s="117" t="s">
        <v>3679</v>
      </c>
      <c r="E1938" s="117" t="s">
        <v>86</v>
      </c>
      <c r="F1938" s="117"/>
      <c r="G1938" s="120" t="s">
        <v>24</v>
      </c>
      <c r="H1938" s="117" t="str">
        <f t="shared" si="328"/>
        <v>yes</v>
      </c>
      <c r="I1938" s="117" t="str">
        <f t="shared" si="330"/>
        <v>no</v>
      </c>
      <c r="J1938" s="117" t="str">
        <f t="shared" si="331"/>
        <v>no</v>
      </c>
      <c r="K1938" s="117" t="s">
        <v>600</v>
      </c>
      <c r="L1938" s="117" t="str">
        <f t="shared" si="329"/>
        <v>Total</v>
      </c>
      <c r="M1938" s="117" t="str">
        <f t="shared" si="332"/>
        <v>Total Mining</v>
      </c>
      <c r="N1938" s="118"/>
      <c r="O1938" s="118"/>
      <c r="P1938" s="118"/>
      <c r="Q1938" s="118"/>
      <c r="R1938" s="118"/>
      <c r="S1938" s="117"/>
      <c r="T1938" s="119"/>
      <c r="U1938" s="117"/>
      <c r="V1938" s="117"/>
      <c r="W1938" s="89">
        <f>SUM(W1939:W1945)</f>
        <v>1616716680.0320261</v>
      </c>
      <c r="X1938" s="117"/>
      <c r="Y1938" s="117"/>
      <c r="Z1938" s="117"/>
      <c r="AA1938" s="177">
        <v>245508918.34572005</v>
      </c>
      <c r="AB1938" s="89">
        <v>248986240.68433204</v>
      </c>
      <c r="AC1938" s="240"/>
      <c r="AD1938" s="240"/>
      <c r="AE1938" s="240"/>
      <c r="AF1938" s="241">
        <f>AA1938/W1938</f>
        <v>0.15185648875773131</v>
      </c>
      <c r="AG1938" s="117"/>
      <c r="AH1938" s="189"/>
      <c r="AI1938" s="117"/>
      <c r="AJ1938" s="117"/>
      <c r="AK1938" s="89"/>
      <c r="AL1938" s="117"/>
      <c r="AM1938" s="117"/>
      <c r="AN1938" s="117">
        <v>15</v>
      </c>
      <c r="AO1938" s="120" t="s">
        <v>2280</v>
      </c>
      <c r="AP1938" s="117">
        <v>13</v>
      </c>
      <c r="AQ1938" s="117"/>
      <c r="AR1938" s="126"/>
      <c r="AS1938" s="117"/>
      <c r="AT1938" s="117"/>
      <c r="AU1938" s="120" t="s">
        <v>2277</v>
      </c>
      <c r="AV1938" s="128"/>
      <c r="AW1938" s="117">
        <f>VLOOKUP($D1938,'WB Data'!$C$3:$M$578,2,FALSE)</f>
        <v>22915004589.311516</v>
      </c>
      <c r="AX1938" s="117">
        <f>VLOOKUP($D1938,'WB Data'!$C$3:$M$578,3,FALSE)</f>
        <v>44973330</v>
      </c>
      <c r="AY1938" s="847">
        <f t="shared" si="335"/>
        <v>1.334332833791445E-2</v>
      </c>
      <c r="AZ1938" s="117">
        <f>VLOOKUP($D1938,'WB Data'!$C$3:$M$578,4,FALSE)/100</f>
        <v>0.17249346130305837</v>
      </c>
      <c r="BA1938" s="117">
        <f t="shared" si="336"/>
        <v>3952688457.3858109</v>
      </c>
      <c r="BB1938" s="129">
        <f>IFERROR(VLOOKUP($D1938,'EITI Revenues'!$C$2:$G$224,5,FALSE),"..")</f>
        <v>305762430.10000002</v>
      </c>
      <c r="BC1938" s="846">
        <f t="shared" si="337"/>
        <v>7.735556024625885E-2</v>
      </c>
      <c r="BD1938" s="129">
        <f>VLOOKUP($D1938,'WB Data 2'!$C$2:$K$545,6,FALSE)</f>
        <v>1469036470.4110487</v>
      </c>
      <c r="BE1938" s="129">
        <f>IFERROR(VLOOKUP($D1938,UNCTAD!$C$5:$V$529,4,FALSE),"..")</f>
        <v>6370027000</v>
      </c>
      <c r="BF1938" s="846">
        <f t="shared" si="338"/>
        <v>0.23061699273975583</v>
      </c>
      <c r="BG1938" s="117">
        <f>VLOOKUP($D1938,'WB Data'!$C$3:$M$578,5,FALSE)</f>
        <v>2958180000</v>
      </c>
      <c r="BH1938" s="129">
        <f>IFERROR($BB1938/$BG1938,"..")</f>
        <v>0.10336167173735203</v>
      </c>
      <c r="BI1938" s="117">
        <f>IFERROR(VLOOKUP($D1938,'WB Data'!$C$3:$M$578,7,FALSE)/100,"..")</f>
        <v>6.1811999999999999E-2</v>
      </c>
      <c r="BJ1938" s="117">
        <f>IFERROR($BI1938*$AW1938,"..")</f>
        <v>1416422263.6745234</v>
      </c>
      <c r="BK1938" s="846">
        <f>IFERROR($BB1938/$BJ1938,"..")</f>
        <v>0.21586954536197583</v>
      </c>
      <c r="BL1938" s="117">
        <f>IFERROR(VLOOKUP($D1938,'WB Data'!$C$3:$M$578,7,FALSE)/100,"..")</f>
        <v>6.1811999999999999E-2</v>
      </c>
      <c r="BM1938" s="117">
        <f>IFERROR($AW1938*$BL1938,"..")</f>
        <v>1416422263.6745234</v>
      </c>
      <c r="BN1938" s="846">
        <f>IFERROR($BB1938/$BM1938,"..")</f>
        <v>0.21586954536197583</v>
      </c>
      <c r="BO1938" s="801">
        <f t="shared" si="334"/>
        <v>31</v>
      </c>
      <c r="BP1938" s="117" t="str">
        <f>VLOOKUP($D1938,'WB Data'!$C$3:$M$578,9,FALSE)</f>
        <v>..</v>
      </c>
      <c r="BQ1938" s="117">
        <f>VLOOKUP($D1938,'WB Data'!$C$3:$M$578,10,FALSE)</f>
        <v>59.181707317073176</v>
      </c>
      <c r="BR1938" s="117">
        <f>VLOOKUP($D1938,'WB Data'!$C$3:$M$578,11,FALSE)</f>
        <v>41.4</v>
      </c>
      <c r="BS1938" s="129" t="str">
        <f>IFERROR(VLOOKUP($D1938,'WB Data 2'!$C$2:$K$545,9,FALSE),"..")</f>
        <v>..</v>
      </c>
      <c r="BT1938" s="129">
        <f>_xlfn.IFNA(VLOOKUP($C1938,RGI!$A$2:$C$43,2,FALSE),"..")</f>
        <v>27.8</v>
      </c>
      <c r="BU1938" s="129">
        <f>_xlfn.IFNA(VLOOKUP($C1938,RGI!$A$2:$C$43,3,FALSE),"..")</f>
        <v>49.764112779291708</v>
      </c>
      <c r="BV1938" s="129">
        <f>VLOOKUP($D1938,WGI!$C$2:$O$478,7,FALSE)</f>
        <v>-0.13151836042925999</v>
      </c>
      <c r="BW1938" s="129">
        <f>VLOOKUP($D1938,WGI!$C$2:$O$478,4,FALSE)</f>
        <v>-2.1697929680339199E-2</v>
      </c>
      <c r="BX1938" s="129">
        <f>VLOOKUP($D1938,WGI!$C$2:$O$478,3,FALSE)</f>
        <v>-0.57781563906899402</v>
      </c>
      <c r="BY1938" s="129">
        <f>VLOOKUP($D1938,WGI!$C$2:$O$478,5,FALSE)</f>
        <v>-0.40900807079562401</v>
      </c>
      <c r="BZ1938" s="129">
        <f>VLOOKUP($D1938,WGI!$C$2:$O$478,2,FALSE)</f>
        <v>-0.53900717651020602</v>
      </c>
    </row>
    <row r="1939" spans="1:80" ht="15" customHeight="1">
      <c r="A1939" s="280" t="s">
        <v>501</v>
      </c>
      <c r="B1939" s="117">
        <v>2010</v>
      </c>
      <c r="C1939" s="117" t="s">
        <v>499</v>
      </c>
      <c r="D1939" s="117" t="s">
        <v>3679</v>
      </c>
      <c r="E1939" s="117" t="s">
        <v>86</v>
      </c>
      <c r="F1939" s="117"/>
      <c r="G1939" s="120" t="s">
        <v>24</v>
      </c>
      <c r="H1939" s="117" t="str">
        <f t="shared" si="328"/>
        <v>yes</v>
      </c>
      <c r="I1939" s="117" t="str">
        <f t="shared" si="330"/>
        <v>no</v>
      </c>
      <c r="J1939" s="117" t="str">
        <f t="shared" si="331"/>
        <v>no</v>
      </c>
      <c r="K1939" s="117" t="s">
        <v>616</v>
      </c>
      <c r="L1939" s="117" t="str">
        <f t="shared" si="329"/>
        <v>detailed</v>
      </c>
      <c r="M1939" s="117" t="str">
        <f t="shared" si="332"/>
        <v>detailed Mining</v>
      </c>
      <c r="N1939" s="118">
        <f>((0/365)*184)+(179/365)*181</f>
        <v>88.764383561643839</v>
      </c>
      <c r="O1939" s="118"/>
      <c r="P1939" s="118"/>
      <c r="Q1939" s="118"/>
      <c r="R1939" s="118"/>
      <c r="S1939" s="117" t="s">
        <v>610</v>
      </c>
      <c r="T1939" s="119">
        <f>((72.51/365)*184)+(89.85/365)*181</f>
        <v>81.108739726027409</v>
      </c>
      <c r="U1939" s="117" t="s">
        <v>611</v>
      </c>
      <c r="V1939" s="117" t="s">
        <v>2281</v>
      </c>
      <c r="W1939" s="89">
        <f t="shared" ref="W1939:W1944" si="340">N1939*T1939</f>
        <v>7199.5672832426362</v>
      </c>
      <c r="X1939" s="117"/>
      <c r="Y1939" s="117"/>
      <c r="Z1939" s="117"/>
      <c r="AA1939" s="177"/>
      <c r="AB1939" s="89"/>
      <c r="AC1939" s="240"/>
      <c r="AD1939" s="240"/>
      <c r="AE1939" s="240"/>
      <c r="AF1939" s="241"/>
      <c r="AG1939" s="117"/>
      <c r="AH1939" s="189"/>
      <c r="AI1939" s="117"/>
      <c r="AJ1939" s="117"/>
      <c r="AK1939" s="89"/>
      <c r="AL1939" s="117"/>
      <c r="AM1939" s="117"/>
      <c r="AN1939" s="117"/>
      <c r="AO1939" s="120"/>
      <c r="AP1939" s="117"/>
      <c r="AQ1939" s="117"/>
      <c r="AR1939" s="126"/>
      <c r="AS1939" s="117"/>
      <c r="AT1939" s="117"/>
      <c r="AU1939" s="120"/>
      <c r="AV1939" s="128"/>
      <c r="AW1939" s="117">
        <f>VLOOKUP($D1939,'WB Data'!$C$3:$M$578,2,FALSE)</f>
        <v>22915004589.311516</v>
      </c>
      <c r="AX1939" s="117">
        <f>VLOOKUP($D1939,'WB Data'!$C$3:$M$578,3,FALSE)</f>
        <v>44973330</v>
      </c>
      <c r="AY1939" s="847">
        <f t="shared" si="335"/>
        <v>1.334332833791445E-2</v>
      </c>
      <c r="AZ1939" s="117">
        <f>VLOOKUP($D1939,'WB Data'!$C$3:$M$578,4,FALSE)/100</f>
        <v>0.17249346130305837</v>
      </c>
      <c r="BA1939" s="117">
        <f t="shared" si="336"/>
        <v>3952688457.3858109</v>
      </c>
      <c r="BB1939" s="129">
        <f>IFERROR(VLOOKUP($D1939,'EITI Revenues'!$C$2:$G$224,5,FALSE),"..")</f>
        <v>305762430.10000002</v>
      </c>
      <c r="BC1939" s="846">
        <f t="shared" si="337"/>
        <v>7.735556024625885E-2</v>
      </c>
      <c r="BD1939" s="129">
        <f>VLOOKUP($D1939,'WB Data 2'!$C$2:$K$545,6,FALSE)</f>
        <v>1469036470.4110487</v>
      </c>
      <c r="BE1939" s="129">
        <f>IFERROR(VLOOKUP($D1939,UNCTAD!$C$5:$V$529,4,FALSE),"..")</f>
        <v>6370027000</v>
      </c>
      <c r="BF1939" s="846">
        <f t="shared" si="338"/>
        <v>0.23061699273975583</v>
      </c>
      <c r="BG1939" s="117">
        <f>VLOOKUP($D1939,'WB Data'!$C$3:$M$578,5,FALSE)</f>
        <v>2958180000</v>
      </c>
      <c r="BH1939" s="129">
        <f>IFERROR($BB1939/$BG1939,"..")</f>
        <v>0.10336167173735203</v>
      </c>
      <c r="BI1939" s="117">
        <f>IFERROR(VLOOKUP($D1939,'WB Data'!$C$3:$M$578,7,FALSE)/100,"..")</f>
        <v>6.1811999999999999E-2</v>
      </c>
      <c r="BJ1939" s="117">
        <f>IFERROR($BI1939*$AW1939,"..")</f>
        <v>1416422263.6745234</v>
      </c>
      <c r="BK1939" s="846">
        <f>IFERROR($BB1939/$BJ1939,"..")</f>
        <v>0.21586954536197583</v>
      </c>
      <c r="BL1939" s="117">
        <f>IFERROR(VLOOKUP($D1939,'WB Data'!$C$3:$M$578,7,FALSE)/100,"..")</f>
        <v>6.1811999999999999E-2</v>
      </c>
      <c r="BM1939" s="117">
        <f>IFERROR($AW1939*$BL1939,"..")</f>
        <v>1416422263.6745234</v>
      </c>
      <c r="BN1939" s="846">
        <f>IFERROR($BB1939/$BM1939,"..")</f>
        <v>0.21586954536197583</v>
      </c>
      <c r="BO1939" s="801">
        <f t="shared" si="334"/>
        <v>31</v>
      </c>
      <c r="BP1939" s="117" t="str">
        <f>VLOOKUP($D1939,'WB Data'!$C$3:$M$578,9,FALSE)</f>
        <v>..</v>
      </c>
      <c r="BQ1939" s="117">
        <f>VLOOKUP($D1939,'WB Data'!$C$3:$M$578,10,FALSE)</f>
        <v>59.181707317073176</v>
      </c>
      <c r="BR1939" s="117">
        <f>VLOOKUP($D1939,'WB Data'!$C$3:$M$578,11,FALSE)</f>
        <v>41.4</v>
      </c>
      <c r="BS1939" s="129" t="str">
        <f>IFERROR(VLOOKUP($D1939,'WB Data 2'!$C$2:$K$545,9,FALSE),"..")</f>
        <v>..</v>
      </c>
      <c r="BT1939" s="129">
        <f>_xlfn.IFNA(VLOOKUP($C1939,RGI!$A$2:$C$43,2,FALSE),"..")</f>
        <v>27.8</v>
      </c>
      <c r="BU1939" s="129">
        <f>_xlfn.IFNA(VLOOKUP($C1939,RGI!$A$2:$C$43,3,FALSE),"..")</f>
        <v>49.764112779291708</v>
      </c>
      <c r="BV1939" s="129">
        <f>VLOOKUP($D1939,WGI!$C$2:$O$478,7,FALSE)</f>
        <v>-0.13151836042925999</v>
      </c>
      <c r="BW1939" s="129">
        <f>VLOOKUP($D1939,WGI!$C$2:$O$478,4,FALSE)</f>
        <v>-2.1697929680339199E-2</v>
      </c>
      <c r="BX1939" s="129">
        <f>VLOOKUP($D1939,WGI!$C$2:$O$478,3,FALSE)</f>
        <v>-0.57781563906899402</v>
      </c>
      <c r="BY1939" s="129">
        <f>VLOOKUP($D1939,WGI!$C$2:$O$478,5,FALSE)</f>
        <v>-0.40900807079562401</v>
      </c>
      <c r="BZ1939" s="129">
        <f>VLOOKUP($D1939,WGI!$C$2:$O$478,2,FALSE)</f>
        <v>-0.53900717651020602</v>
      </c>
    </row>
    <row r="1940" spans="1:80" ht="15" customHeight="1">
      <c r="A1940" s="280" t="s">
        <v>501</v>
      </c>
      <c r="B1940" s="117">
        <v>2010</v>
      </c>
      <c r="C1940" s="117" t="s">
        <v>499</v>
      </c>
      <c r="D1940" s="117" t="s">
        <v>3679</v>
      </c>
      <c r="E1940" s="117" t="s">
        <v>86</v>
      </c>
      <c r="F1940" s="117"/>
      <c r="G1940" s="120" t="s">
        <v>24</v>
      </c>
      <c r="H1940" s="117" t="str">
        <f t="shared" si="328"/>
        <v>yes</v>
      </c>
      <c r="I1940" s="117" t="str">
        <f t="shared" si="330"/>
        <v>no</v>
      </c>
      <c r="J1940" s="117" t="str">
        <f t="shared" si="331"/>
        <v>no</v>
      </c>
      <c r="K1940" s="117" t="s">
        <v>980</v>
      </c>
      <c r="L1940" s="117" t="str">
        <f t="shared" si="329"/>
        <v>detailed</v>
      </c>
      <c r="M1940" s="117" t="str">
        <f t="shared" si="332"/>
        <v>detailed Mining</v>
      </c>
      <c r="N1940" s="118">
        <f>((181874/365)*184)+(80498/365)*181</f>
        <v>131602.61369863013</v>
      </c>
      <c r="O1940" s="118"/>
      <c r="P1940" s="118"/>
      <c r="Q1940" s="118"/>
      <c r="R1940" s="118"/>
      <c r="S1940" s="117" t="s">
        <v>981</v>
      </c>
      <c r="T1940" s="638">
        <f>((136.26/365)*184)+(185/365)*181</f>
        <v>160.42969863013698</v>
      </c>
      <c r="U1940" s="117" t="s">
        <v>982</v>
      </c>
      <c r="V1940" s="117" t="s">
        <v>2282</v>
      </c>
      <c r="W1940" s="89">
        <f t="shared" si="340"/>
        <v>21112967.654609568</v>
      </c>
      <c r="X1940" s="117"/>
      <c r="Y1940" s="117"/>
      <c r="Z1940" s="117"/>
      <c r="AA1940" s="177">
        <v>3504749.2471331009</v>
      </c>
      <c r="AB1940" s="89">
        <v>3341654.408236878</v>
      </c>
      <c r="AC1940" s="240"/>
      <c r="AD1940" s="240"/>
      <c r="AE1940" s="240"/>
      <c r="AF1940" s="241">
        <f>AA1940/W1940</f>
        <v>0.1659998397415208</v>
      </c>
      <c r="AG1940" s="117"/>
      <c r="AH1940" s="189"/>
      <c r="AI1940" s="117"/>
      <c r="AJ1940" s="117"/>
      <c r="AK1940" s="89"/>
      <c r="AL1940" s="117"/>
      <c r="AM1940" s="117"/>
      <c r="AN1940" s="117">
        <v>1</v>
      </c>
      <c r="AO1940" s="117" t="s">
        <v>2283</v>
      </c>
      <c r="AP1940" s="117">
        <v>1</v>
      </c>
      <c r="AQ1940" s="117"/>
      <c r="AR1940" s="126"/>
      <c r="AS1940" s="117"/>
      <c r="AT1940" s="117"/>
      <c r="AU1940" s="120" t="s">
        <v>2277</v>
      </c>
      <c r="AV1940" s="128"/>
      <c r="AW1940" s="117">
        <f>VLOOKUP($D1940,'WB Data'!$C$3:$M$578,2,FALSE)</f>
        <v>22915004589.311516</v>
      </c>
      <c r="AX1940" s="117">
        <f>VLOOKUP($D1940,'WB Data'!$C$3:$M$578,3,FALSE)</f>
        <v>44973330</v>
      </c>
      <c r="AY1940" s="847">
        <f t="shared" si="335"/>
        <v>1.334332833791445E-2</v>
      </c>
      <c r="AZ1940" s="117">
        <f>VLOOKUP($D1940,'WB Data'!$C$3:$M$578,4,FALSE)/100</f>
        <v>0.17249346130305837</v>
      </c>
      <c r="BA1940" s="117">
        <f t="shared" si="336"/>
        <v>3952688457.3858109</v>
      </c>
      <c r="BB1940" s="129">
        <f>IFERROR(VLOOKUP($D1940,'EITI Revenues'!$C$2:$G$224,5,FALSE),"..")</f>
        <v>305762430.10000002</v>
      </c>
      <c r="BC1940" s="846">
        <f t="shared" si="337"/>
        <v>7.735556024625885E-2</v>
      </c>
      <c r="BD1940" s="129">
        <f>VLOOKUP($D1940,'WB Data 2'!$C$2:$K$545,6,FALSE)</f>
        <v>1469036470.4110487</v>
      </c>
      <c r="BE1940" s="129">
        <f>IFERROR(VLOOKUP($D1940,UNCTAD!$C$5:$V$529,4,FALSE),"..")</f>
        <v>6370027000</v>
      </c>
      <c r="BF1940" s="846">
        <f t="shared" si="338"/>
        <v>0.23061699273975583</v>
      </c>
      <c r="BG1940" s="117">
        <f>VLOOKUP($D1940,'WB Data'!$C$3:$M$578,5,FALSE)</f>
        <v>2958180000</v>
      </c>
      <c r="BH1940" s="129">
        <f>IFERROR($BB1940/$BG1940,"..")</f>
        <v>0.10336167173735203</v>
      </c>
      <c r="BI1940" s="117">
        <f>IFERROR(VLOOKUP($D1940,'WB Data'!$C$3:$M$578,7,FALSE)/100,"..")</f>
        <v>6.1811999999999999E-2</v>
      </c>
      <c r="BJ1940" s="117">
        <f>IFERROR($BI1940*$AW1940,"..")</f>
        <v>1416422263.6745234</v>
      </c>
      <c r="BK1940" s="846">
        <f>IFERROR($BB1940/$BJ1940,"..")</f>
        <v>0.21586954536197583</v>
      </c>
      <c r="BL1940" s="117">
        <f>IFERROR(VLOOKUP($D1940,'WB Data'!$C$3:$M$578,7,FALSE)/100,"..")</f>
        <v>6.1811999999999999E-2</v>
      </c>
      <c r="BM1940" s="117">
        <f>IFERROR($AW1940*$BL1940,"..")</f>
        <v>1416422263.6745234</v>
      </c>
      <c r="BN1940" s="846">
        <f>IFERROR($BB1940/$BM1940,"..")</f>
        <v>0.21586954536197583</v>
      </c>
      <c r="BO1940" s="801">
        <f t="shared" si="334"/>
        <v>31</v>
      </c>
      <c r="BP1940" s="117" t="str">
        <f>VLOOKUP($D1940,'WB Data'!$C$3:$M$578,9,FALSE)</f>
        <v>..</v>
      </c>
      <c r="BQ1940" s="117">
        <f>VLOOKUP($D1940,'WB Data'!$C$3:$M$578,10,FALSE)</f>
        <v>59.181707317073176</v>
      </c>
      <c r="BR1940" s="117">
        <f>VLOOKUP($D1940,'WB Data'!$C$3:$M$578,11,FALSE)</f>
        <v>41.4</v>
      </c>
      <c r="BS1940" s="129" t="str">
        <f>IFERROR(VLOOKUP($D1940,'WB Data 2'!$C$2:$K$545,9,FALSE),"..")</f>
        <v>..</v>
      </c>
      <c r="BT1940" s="129">
        <f>_xlfn.IFNA(VLOOKUP($C1940,RGI!$A$2:$C$43,2,FALSE),"..")</f>
        <v>27.8</v>
      </c>
      <c r="BU1940" s="129">
        <f>_xlfn.IFNA(VLOOKUP($C1940,RGI!$A$2:$C$43,3,FALSE),"..")</f>
        <v>49.764112779291708</v>
      </c>
      <c r="BV1940" s="129">
        <f>VLOOKUP($D1940,WGI!$C$2:$O$478,7,FALSE)</f>
        <v>-0.13151836042925999</v>
      </c>
      <c r="BW1940" s="129">
        <f>VLOOKUP($D1940,WGI!$C$2:$O$478,4,FALSE)</f>
        <v>-2.1697929680339199E-2</v>
      </c>
      <c r="BX1940" s="129">
        <f>VLOOKUP($D1940,WGI!$C$2:$O$478,3,FALSE)</f>
        <v>-0.57781563906899402</v>
      </c>
      <c r="BY1940" s="129">
        <f>VLOOKUP($D1940,WGI!$C$2:$O$478,5,FALSE)</f>
        <v>-0.40900807079562401</v>
      </c>
      <c r="BZ1940" s="129">
        <f>VLOOKUP($D1940,WGI!$C$2:$O$478,2,FALSE)</f>
        <v>-0.53900717651020602</v>
      </c>
    </row>
    <row r="1941" spans="1:80" ht="15" customHeight="1">
      <c r="A1941" s="280" t="s">
        <v>501</v>
      </c>
      <c r="B1941" s="117">
        <v>2010</v>
      </c>
      <c r="C1941" s="117" t="s">
        <v>499</v>
      </c>
      <c r="D1941" s="117" t="s">
        <v>3679</v>
      </c>
      <c r="E1941" s="117" t="s">
        <v>86</v>
      </c>
      <c r="F1941" s="117"/>
      <c r="G1941" s="120" t="s">
        <v>24</v>
      </c>
      <c r="H1941" s="117" t="str">
        <f t="shared" si="328"/>
        <v>yes</v>
      </c>
      <c r="I1941" s="117" t="str">
        <f t="shared" si="330"/>
        <v>no</v>
      </c>
      <c r="J1941" s="117" t="str">
        <f t="shared" si="331"/>
        <v>no</v>
      </c>
      <c r="K1941" s="117" t="s">
        <v>784</v>
      </c>
      <c r="L1941" s="117" t="str">
        <f t="shared" si="329"/>
        <v>detailed</v>
      </c>
      <c r="M1941" s="117" t="str">
        <f t="shared" si="332"/>
        <v>detailed Mining</v>
      </c>
      <c r="N1941" s="118">
        <f>(((39112/365)*184)+((39448/365)*181))*32.1507431265</f>
        <v>1262836.7955581371</v>
      </c>
      <c r="O1941" s="118"/>
      <c r="P1941" s="118"/>
      <c r="Q1941" s="118"/>
      <c r="R1941" s="118"/>
      <c r="S1941" s="117" t="s">
        <v>785</v>
      </c>
      <c r="T1941" s="119">
        <f>(((972.97/365)*184)+((1224.66/365)*181))*1.0953</f>
        <v>1202.3991541972603</v>
      </c>
      <c r="U1941" s="117" t="s">
        <v>786</v>
      </c>
      <c r="V1941" s="117" t="s">
        <v>2267</v>
      </c>
      <c r="W1941" s="89">
        <f t="shared" si="340"/>
        <v>1518433894.8682826</v>
      </c>
      <c r="X1941" s="117"/>
      <c r="Y1941" s="117"/>
      <c r="Z1941" s="117"/>
      <c r="AA1941" s="177">
        <v>194098293.0180403</v>
      </c>
      <c r="AB1941" s="89">
        <v>217618121.77843034</v>
      </c>
      <c r="AC1941" s="240"/>
      <c r="AD1941" s="240"/>
      <c r="AE1941" s="240"/>
      <c r="AF1941" s="241">
        <f>AA1941/W1941</f>
        <v>0.12782795067603353</v>
      </c>
      <c r="AG1941" s="117"/>
      <c r="AH1941" s="189"/>
      <c r="AI1941" s="117"/>
      <c r="AJ1941" s="117"/>
      <c r="AK1941" s="89"/>
      <c r="AL1941" s="117"/>
      <c r="AM1941" s="117"/>
      <c r="AN1941" s="117">
        <v>6</v>
      </c>
      <c r="AO1941" s="117" t="s">
        <v>2284</v>
      </c>
      <c r="AP1941" s="117">
        <v>6</v>
      </c>
      <c r="AQ1941" s="117"/>
      <c r="AR1941" s="126"/>
      <c r="AS1941" s="117"/>
      <c r="AT1941" s="117"/>
      <c r="AU1941" s="120" t="s">
        <v>2277</v>
      </c>
      <c r="AV1941" s="128"/>
      <c r="AW1941" s="117">
        <f>VLOOKUP($D1941,'WB Data'!$C$3:$M$578,2,FALSE)</f>
        <v>22915004589.311516</v>
      </c>
      <c r="AX1941" s="117">
        <f>VLOOKUP($D1941,'WB Data'!$C$3:$M$578,3,FALSE)</f>
        <v>44973330</v>
      </c>
      <c r="AY1941" s="847">
        <f t="shared" si="335"/>
        <v>1.334332833791445E-2</v>
      </c>
      <c r="AZ1941" s="117">
        <f>VLOOKUP($D1941,'WB Data'!$C$3:$M$578,4,FALSE)/100</f>
        <v>0.17249346130305837</v>
      </c>
      <c r="BA1941" s="117">
        <f t="shared" si="336"/>
        <v>3952688457.3858109</v>
      </c>
      <c r="BB1941" s="129">
        <f>IFERROR(VLOOKUP($D1941,'EITI Revenues'!$C$2:$G$224,5,FALSE),"..")</f>
        <v>305762430.10000002</v>
      </c>
      <c r="BC1941" s="846">
        <f t="shared" si="337"/>
        <v>7.735556024625885E-2</v>
      </c>
      <c r="BD1941" s="129">
        <f>VLOOKUP($D1941,'WB Data 2'!$C$2:$K$545,6,FALSE)</f>
        <v>1469036470.4110487</v>
      </c>
      <c r="BE1941" s="129">
        <f>IFERROR(VLOOKUP($D1941,UNCTAD!$C$5:$V$529,4,FALSE),"..")</f>
        <v>6370027000</v>
      </c>
      <c r="BF1941" s="846">
        <f t="shared" si="338"/>
        <v>0.23061699273975583</v>
      </c>
      <c r="BG1941" s="117">
        <f>VLOOKUP($D1941,'WB Data'!$C$3:$M$578,5,FALSE)</f>
        <v>2958180000</v>
      </c>
      <c r="BH1941" s="129">
        <f>IFERROR($BB1941/$BG1941,"..")</f>
        <v>0.10336167173735203</v>
      </c>
      <c r="BI1941" s="117">
        <f>IFERROR(VLOOKUP($D1941,'WB Data'!$C$3:$M$578,7,FALSE)/100,"..")</f>
        <v>6.1811999999999999E-2</v>
      </c>
      <c r="BJ1941" s="117">
        <f>IFERROR($BI1941*$AW1941,"..")</f>
        <v>1416422263.6745234</v>
      </c>
      <c r="BK1941" s="846">
        <f>IFERROR($BB1941/$BJ1941,"..")</f>
        <v>0.21586954536197583</v>
      </c>
      <c r="BL1941" s="117">
        <f>IFERROR(VLOOKUP($D1941,'WB Data'!$C$3:$M$578,7,FALSE)/100,"..")</f>
        <v>6.1811999999999999E-2</v>
      </c>
      <c r="BM1941" s="117">
        <f>IFERROR($AW1941*$BL1941,"..")</f>
        <v>1416422263.6745234</v>
      </c>
      <c r="BN1941" s="846">
        <f>IFERROR($BB1941/$BM1941,"..")</f>
        <v>0.21586954536197583</v>
      </c>
      <c r="BO1941" s="801">
        <f t="shared" si="334"/>
        <v>31</v>
      </c>
      <c r="BP1941" s="117" t="str">
        <f>VLOOKUP($D1941,'WB Data'!$C$3:$M$578,9,FALSE)</f>
        <v>..</v>
      </c>
      <c r="BQ1941" s="117">
        <f>VLOOKUP($D1941,'WB Data'!$C$3:$M$578,10,FALSE)</f>
        <v>59.181707317073176</v>
      </c>
      <c r="BR1941" s="117">
        <f>VLOOKUP($D1941,'WB Data'!$C$3:$M$578,11,FALSE)</f>
        <v>41.4</v>
      </c>
      <c r="BS1941" s="129" t="str">
        <f>IFERROR(VLOOKUP($D1941,'WB Data 2'!$C$2:$K$545,9,FALSE),"..")</f>
        <v>..</v>
      </c>
      <c r="BT1941" s="129">
        <f>_xlfn.IFNA(VLOOKUP($C1941,RGI!$A$2:$C$43,2,FALSE),"..")</f>
        <v>27.8</v>
      </c>
      <c r="BU1941" s="129">
        <f>_xlfn.IFNA(VLOOKUP($C1941,RGI!$A$2:$C$43,3,FALSE),"..")</f>
        <v>49.764112779291708</v>
      </c>
      <c r="BV1941" s="129">
        <f>VLOOKUP($D1941,WGI!$C$2:$O$478,7,FALSE)</f>
        <v>-0.13151836042925999</v>
      </c>
      <c r="BW1941" s="129">
        <f>VLOOKUP($D1941,WGI!$C$2:$O$478,4,FALSE)</f>
        <v>-2.1697929680339199E-2</v>
      </c>
      <c r="BX1941" s="129">
        <f>VLOOKUP($D1941,WGI!$C$2:$O$478,3,FALSE)</f>
        <v>-0.57781563906899402</v>
      </c>
      <c r="BY1941" s="129">
        <f>VLOOKUP($D1941,WGI!$C$2:$O$478,5,FALSE)</f>
        <v>-0.40900807079562401</v>
      </c>
      <c r="BZ1941" s="129">
        <f>VLOOKUP($D1941,WGI!$C$2:$O$478,2,FALSE)</f>
        <v>-0.53900717651020602</v>
      </c>
    </row>
    <row r="1942" spans="1:80" ht="15" customHeight="1">
      <c r="A1942" s="280" t="s">
        <v>501</v>
      </c>
      <c r="B1942" s="117">
        <v>2010</v>
      </c>
      <c r="C1942" s="117" t="s">
        <v>499</v>
      </c>
      <c r="D1942" s="117" t="s">
        <v>3679</v>
      </c>
      <c r="E1942" s="117" t="s">
        <v>86</v>
      </c>
      <c r="F1942" s="117"/>
      <c r="G1942" s="120" t="s">
        <v>24</v>
      </c>
      <c r="H1942" s="117" t="str">
        <f t="shared" si="328"/>
        <v>yes</v>
      </c>
      <c r="I1942" s="117" t="str">
        <f t="shared" si="330"/>
        <v>no</v>
      </c>
      <c r="J1942" s="117" t="str">
        <f t="shared" si="331"/>
        <v>no</v>
      </c>
      <c r="K1942" s="117" t="s">
        <v>703</v>
      </c>
      <c r="L1942" s="117" t="str">
        <f t="shared" si="329"/>
        <v>detailed</v>
      </c>
      <c r="M1942" s="117" t="str">
        <f t="shared" si="332"/>
        <v>detailed Mining</v>
      </c>
      <c r="N1942" s="118">
        <f>((1284100/365)*184)+(1436600/365)*181</f>
        <v>1359723.2876712328</v>
      </c>
      <c r="O1942" s="118"/>
      <c r="P1942" s="118"/>
      <c r="Q1942" s="118"/>
      <c r="R1942" s="118"/>
      <c r="S1942" s="117" t="s">
        <v>610</v>
      </c>
      <c r="T1942" s="119">
        <f>(((8.87/365)*184)+((9.03/365)*181))*0.0148</f>
        <v>0.1324502684931507</v>
      </c>
      <c r="U1942" s="117" t="s">
        <v>611</v>
      </c>
      <c r="V1942" s="117" t="s">
        <v>2285</v>
      </c>
      <c r="W1942" s="89">
        <f t="shared" si="340"/>
        <v>180095.71452844437</v>
      </c>
      <c r="X1942" s="117"/>
      <c r="Y1942" s="117"/>
      <c r="Z1942" s="117"/>
      <c r="AA1942" s="177">
        <v>44011271.543548338</v>
      </c>
      <c r="AB1942" s="89">
        <v>24076677.025007721</v>
      </c>
      <c r="AC1942" s="240"/>
      <c r="AD1942" s="240"/>
      <c r="AE1942" s="240"/>
      <c r="AF1942" s="241">
        <f>AA1942/W1942</f>
        <v>244.37711723894012</v>
      </c>
      <c r="AG1942" s="117"/>
      <c r="AH1942" s="189"/>
      <c r="AI1942" s="117"/>
      <c r="AJ1942" s="117"/>
      <c r="AK1942" s="89"/>
      <c r="AL1942" s="117"/>
      <c r="AM1942" s="117"/>
      <c r="AN1942" s="117">
        <v>3</v>
      </c>
      <c r="AO1942" s="117" t="s">
        <v>2286</v>
      </c>
      <c r="AP1942" s="117">
        <v>2</v>
      </c>
      <c r="AQ1942" s="117"/>
      <c r="AR1942" s="126"/>
      <c r="AS1942" s="117"/>
      <c r="AT1942" s="117"/>
      <c r="AU1942" s="120" t="s">
        <v>2277</v>
      </c>
      <c r="AV1942" s="128"/>
      <c r="AW1942" s="117">
        <f>VLOOKUP($D1942,'WB Data'!$C$3:$M$578,2,FALSE)</f>
        <v>22915004589.311516</v>
      </c>
      <c r="AX1942" s="117">
        <f>VLOOKUP($D1942,'WB Data'!$C$3:$M$578,3,FALSE)</f>
        <v>44973330</v>
      </c>
      <c r="AY1942" s="847">
        <f t="shared" si="335"/>
        <v>1.334332833791445E-2</v>
      </c>
      <c r="AZ1942" s="117">
        <f>VLOOKUP($D1942,'WB Data'!$C$3:$M$578,4,FALSE)/100</f>
        <v>0.17249346130305837</v>
      </c>
      <c r="BA1942" s="117">
        <f t="shared" si="336"/>
        <v>3952688457.3858109</v>
      </c>
      <c r="BB1942" s="129">
        <f>IFERROR(VLOOKUP($D1942,'EITI Revenues'!$C$2:$G$224,5,FALSE),"..")</f>
        <v>305762430.10000002</v>
      </c>
      <c r="BC1942" s="846">
        <f t="shared" si="337"/>
        <v>7.735556024625885E-2</v>
      </c>
      <c r="BD1942" s="129">
        <f>VLOOKUP($D1942,'WB Data 2'!$C$2:$K$545,6,FALSE)</f>
        <v>1469036470.4110487</v>
      </c>
      <c r="BE1942" s="129">
        <f>IFERROR(VLOOKUP($D1942,UNCTAD!$C$5:$V$529,4,FALSE),"..")</f>
        <v>6370027000</v>
      </c>
      <c r="BF1942" s="846">
        <f t="shared" si="338"/>
        <v>0.23061699273975583</v>
      </c>
      <c r="BG1942" s="117">
        <f>VLOOKUP($D1942,'WB Data'!$C$3:$M$578,5,FALSE)</f>
        <v>2958180000</v>
      </c>
      <c r="BH1942" s="129">
        <f>IFERROR($BB1942/$BG1942,"..")</f>
        <v>0.10336167173735203</v>
      </c>
      <c r="BI1942" s="117">
        <f>IFERROR(VLOOKUP($D1942,'WB Data'!$C$3:$M$578,7,FALSE)/100,"..")</f>
        <v>6.1811999999999999E-2</v>
      </c>
      <c r="BJ1942" s="117">
        <f>IFERROR($BI1942*$AW1942,"..")</f>
        <v>1416422263.6745234</v>
      </c>
      <c r="BK1942" s="846">
        <f>IFERROR($BB1942/$BJ1942,"..")</f>
        <v>0.21586954536197583</v>
      </c>
      <c r="BL1942" s="117">
        <f>IFERROR(VLOOKUP($D1942,'WB Data'!$C$3:$M$578,7,FALSE)/100,"..")</f>
        <v>6.1811999999999999E-2</v>
      </c>
      <c r="BM1942" s="117">
        <f>IFERROR($AW1942*$BL1942,"..")</f>
        <v>1416422263.6745234</v>
      </c>
      <c r="BN1942" s="846">
        <f>IFERROR($BB1942/$BM1942,"..")</f>
        <v>0.21586954536197583</v>
      </c>
      <c r="BO1942" s="801">
        <f t="shared" si="334"/>
        <v>31</v>
      </c>
      <c r="BP1942" s="117" t="str">
        <f>VLOOKUP($D1942,'WB Data'!$C$3:$M$578,9,FALSE)</f>
        <v>..</v>
      </c>
      <c r="BQ1942" s="117">
        <f>VLOOKUP($D1942,'WB Data'!$C$3:$M$578,10,FALSE)</f>
        <v>59.181707317073176</v>
      </c>
      <c r="BR1942" s="117">
        <f>VLOOKUP($D1942,'WB Data'!$C$3:$M$578,11,FALSE)</f>
        <v>41.4</v>
      </c>
      <c r="BS1942" s="129" t="str">
        <f>IFERROR(VLOOKUP($D1942,'WB Data 2'!$C$2:$K$545,9,FALSE),"..")</f>
        <v>..</v>
      </c>
      <c r="BT1942" s="129">
        <f>_xlfn.IFNA(VLOOKUP($C1942,RGI!$A$2:$C$43,2,FALSE),"..")</f>
        <v>27.8</v>
      </c>
      <c r="BU1942" s="129">
        <f>_xlfn.IFNA(VLOOKUP($C1942,RGI!$A$2:$C$43,3,FALSE),"..")</f>
        <v>49.764112779291708</v>
      </c>
      <c r="BV1942" s="129">
        <f>VLOOKUP($D1942,WGI!$C$2:$O$478,7,FALSE)</f>
        <v>-0.13151836042925999</v>
      </c>
      <c r="BW1942" s="129">
        <f>VLOOKUP($D1942,WGI!$C$2:$O$478,4,FALSE)</f>
        <v>-2.1697929680339199E-2</v>
      </c>
      <c r="BX1942" s="129">
        <f>VLOOKUP($D1942,WGI!$C$2:$O$478,3,FALSE)</f>
        <v>-0.57781563906899402</v>
      </c>
      <c r="BY1942" s="129">
        <f>VLOOKUP($D1942,WGI!$C$2:$O$478,5,FALSE)</f>
        <v>-0.40900807079562401</v>
      </c>
      <c r="BZ1942" s="129">
        <f>VLOOKUP($D1942,WGI!$C$2:$O$478,2,FALSE)</f>
        <v>-0.53900717651020602</v>
      </c>
    </row>
    <row r="1943" spans="1:80" ht="15" customHeight="1">
      <c r="A1943" s="280" t="s">
        <v>501</v>
      </c>
      <c r="B1943" s="117">
        <v>2010</v>
      </c>
      <c r="C1943" s="117" t="s">
        <v>499</v>
      </c>
      <c r="D1943" s="117" t="s">
        <v>3679</v>
      </c>
      <c r="E1943" s="117" t="s">
        <v>86</v>
      </c>
      <c r="F1943" s="117"/>
      <c r="G1943" s="120" t="s">
        <v>24</v>
      </c>
      <c r="H1943" s="117" t="str">
        <f t="shared" si="328"/>
        <v>yes</v>
      </c>
      <c r="I1943" s="117" t="str">
        <f t="shared" si="330"/>
        <v>no</v>
      </c>
      <c r="J1943" s="117" t="str">
        <f t="shared" si="331"/>
        <v>no</v>
      </c>
      <c r="K1943" s="117" t="s">
        <v>1147</v>
      </c>
      <c r="L1943" s="117" t="str">
        <f t="shared" si="329"/>
        <v>detailed</v>
      </c>
      <c r="M1943" s="117" t="str">
        <f t="shared" si="332"/>
        <v>detailed Mining</v>
      </c>
      <c r="N1943" s="118">
        <f>((28444/365)*184)+(34455/365)*181</f>
        <v>31424.797260273976</v>
      </c>
      <c r="O1943" s="118"/>
      <c r="P1943" s="118"/>
      <c r="Q1943" s="118"/>
      <c r="R1943" s="118"/>
      <c r="S1943" s="117" t="s">
        <v>610</v>
      </c>
      <c r="T1943" s="119">
        <f>((73.67/365)*184)+((70.16/365)*181)</f>
        <v>71.929424657534241</v>
      </c>
      <c r="U1943" s="117" t="s">
        <v>611</v>
      </c>
      <c r="V1943" s="117" t="s">
        <v>2287</v>
      </c>
      <c r="W1943" s="89">
        <f t="shared" si="340"/>
        <v>2260367.5869111652</v>
      </c>
      <c r="X1943" s="117"/>
      <c r="Y1943" s="117"/>
      <c r="Z1943" s="117"/>
      <c r="AA1943" s="177">
        <v>155004.72014196639</v>
      </c>
      <c r="AB1943" s="89">
        <v>444033.25775649009</v>
      </c>
      <c r="AC1943" s="240"/>
      <c r="AD1943" s="240"/>
      <c r="AE1943" s="240"/>
      <c r="AF1943" s="241">
        <f>AA1943/W1943</f>
        <v>6.8575005693557678E-2</v>
      </c>
      <c r="AG1943" s="117"/>
      <c r="AH1943" s="189"/>
      <c r="AI1943" s="117"/>
      <c r="AJ1943" s="117"/>
      <c r="AK1943" s="89"/>
      <c r="AL1943" s="117"/>
      <c r="AM1943" s="117"/>
      <c r="AN1943" s="117">
        <v>1</v>
      </c>
      <c r="AO1943" s="117" t="s">
        <v>2288</v>
      </c>
      <c r="AP1943" s="117">
        <v>1</v>
      </c>
      <c r="AQ1943" s="117"/>
      <c r="AR1943" s="126"/>
      <c r="AS1943" s="117"/>
      <c r="AT1943" s="117"/>
      <c r="AU1943" s="120" t="s">
        <v>2277</v>
      </c>
      <c r="AV1943" s="128"/>
      <c r="AW1943" s="117">
        <f>VLOOKUP($D1943,'WB Data'!$C$3:$M$578,2,FALSE)</f>
        <v>22915004589.311516</v>
      </c>
      <c r="AX1943" s="117">
        <f>VLOOKUP($D1943,'WB Data'!$C$3:$M$578,3,FALSE)</f>
        <v>44973330</v>
      </c>
      <c r="AY1943" s="847">
        <f t="shared" si="335"/>
        <v>1.334332833791445E-2</v>
      </c>
      <c r="AZ1943" s="117">
        <f>VLOOKUP($D1943,'WB Data'!$C$3:$M$578,4,FALSE)/100</f>
        <v>0.17249346130305837</v>
      </c>
      <c r="BA1943" s="117">
        <f t="shared" si="336"/>
        <v>3952688457.3858109</v>
      </c>
      <c r="BB1943" s="129">
        <f>IFERROR(VLOOKUP($D1943,'EITI Revenues'!$C$2:$G$224,5,FALSE),"..")</f>
        <v>305762430.10000002</v>
      </c>
      <c r="BC1943" s="846">
        <f t="shared" si="337"/>
        <v>7.735556024625885E-2</v>
      </c>
      <c r="BD1943" s="129">
        <f>VLOOKUP($D1943,'WB Data 2'!$C$2:$K$545,6,FALSE)</f>
        <v>1469036470.4110487</v>
      </c>
      <c r="BE1943" s="129">
        <f>IFERROR(VLOOKUP($D1943,UNCTAD!$C$5:$V$529,4,FALSE),"..")</f>
        <v>6370027000</v>
      </c>
      <c r="BF1943" s="846">
        <f t="shared" si="338"/>
        <v>0.23061699273975583</v>
      </c>
      <c r="BG1943" s="117">
        <f>VLOOKUP($D1943,'WB Data'!$C$3:$M$578,5,FALSE)</f>
        <v>2958180000</v>
      </c>
      <c r="BH1943" s="129">
        <f>IFERROR($BB1943/$BG1943,"..")</f>
        <v>0.10336167173735203</v>
      </c>
      <c r="BI1943" s="117">
        <f>IFERROR(VLOOKUP($D1943,'WB Data'!$C$3:$M$578,7,FALSE)/100,"..")</f>
        <v>6.1811999999999999E-2</v>
      </c>
      <c r="BJ1943" s="117">
        <f>IFERROR($BI1943*$AW1943,"..")</f>
        <v>1416422263.6745234</v>
      </c>
      <c r="BK1943" s="846">
        <f>IFERROR($BB1943/$BJ1943,"..")</f>
        <v>0.21586954536197583</v>
      </c>
      <c r="BL1943" s="117">
        <f>IFERROR(VLOOKUP($D1943,'WB Data'!$C$3:$M$578,7,FALSE)/100,"..")</f>
        <v>6.1811999999999999E-2</v>
      </c>
      <c r="BM1943" s="117">
        <f>IFERROR($AW1943*$BL1943,"..")</f>
        <v>1416422263.6745234</v>
      </c>
      <c r="BN1943" s="846">
        <f>IFERROR($BB1943/$BM1943,"..")</f>
        <v>0.21586954536197583</v>
      </c>
      <c r="BO1943" s="801">
        <f t="shared" si="334"/>
        <v>31</v>
      </c>
      <c r="BP1943" s="117" t="str">
        <f>VLOOKUP($D1943,'WB Data'!$C$3:$M$578,9,FALSE)</f>
        <v>..</v>
      </c>
      <c r="BQ1943" s="117">
        <f>VLOOKUP($D1943,'WB Data'!$C$3:$M$578,10,FALSE)</f>
        <v>59.181707317073176</v>
      </c>
      <c r="BR1943" s="117">
        <f>VLOOKUP($D1943,'WB Data'!$C$3:$M$578,11,FALSE)</f>
        <v>41.4</v>
      </c>
      <c r="BS1943" s="129" t="str">
        <f>IFERROR(VLOOKUP($D1943,'WB Data 2'!$C$2:$K$545,9,FALSE),"..")</f>
        <v>..</v>
      </c>
      <c r="BT1943" s="129">
        <f>_xlfn.IFNA(VLOOKUP($C1943,RGI!$A$2:$C$43,2,FALSE),"..")</f>
        <v>27.8</v>
      </c>
      <c r="BU1943" s="129">
        <f>_xlfn.IFNA(VLOOKUP($C1943,RGI!$A$2:$C$43,3,FALSE),"..")</f>
        <v>49.764112779291708</v>
      </c>
      <c r="BV1943" s="129">
        <f>VLOOKUP($D1943,WGI!$C$2:$O$478,7,FALSE)</f>
        <v>-0.13151836042925999</v>
      </c>
      <c r="BW1943" s="129">
        <f>VLOOKUP($D1943,WGI!$C$2:$O$478,4,FALSE)</f>
        <v>-2.1697929680339199E-2</v>
      </c>
      <c r="BX1943" s="129">
        <f>VLOOKUP($D1943,WGI!$C$2:$O$478,3,FALSE)</f>
        <v>-0.57781563906899402</v>
      </c>
      <c r="BY1943" s="129">
        <f>VLOOKUP($D1943,WGI!$C$2:$O$478,5,FALSE)</f>
        <v>-0.40900807079562401</v>
      </c>
      <c r="BZ1943" s="129">
        <f>VLOOKUP($D1943,WGI!$C$2:$O$478,2,FALSE)</f>
        <v>-0.53900717651020602</v>
      </c>
    </row>
    <row r="1944" spans="1:80" ht="15" customHeight="1">
      <c r="A1944" s="280" t="s">
        <v>501</v>
      </c>
      <c r="B1944" s="117">
        <v>2010</v>
      </c>
      <c r="C1944" s="117" t="s">
        <v>499</v>
      </c>
      <c r="D1944" s="117" t="s">
        <v>3679</v>
      </c>
      <c r="E1944" s="117" t="s">
        <v>86</v>
      </c>
      <c r="F1944" s="117"/>
      <c r="G1944" s="120" t="s">
        <v>24</v>
      </c>
      <c r="H1944" s="117" t="str">
        <f t="shared" si="328"/>
        <v>yes</v>
      </c>
      <c r="I1944" s="117" t="str">
        <f t="shared" si="330"/>
        <v>no</v>
      </c>
      <c r="J1944" s="117" t="str">
        <f t="shared" si="331"/>
        <v>no</v>
      </c>
      <c r="K1944" s="117" t="s">
        <v>2270</v>
      </c>
      <c r="L1944" s="117" t="str">
        <f t="shared" si="329"/>
        <v>detailed</v>
      </c>
      <c r="M1944" s="117" t="str">
        <f t="shared" si="332"/>
        <v>detailed Mining</v>
      </c>
      <c r="N1944" s="118">
        <f>((768/365)*184)+(2001/365)*181</f>
        <v>1379.4328767123286</v>
      </c>
      <c r="O1944" s="118"/>
      <c r="P1944" s="118"/>
      <c r="Q1944" s="118"/>
      <c r="R1944" s="118"/>
      <c r="S1944" s="117" t="s">
        <v>967</v>
      </c>
      <c r="T1944" s="119">
        <f>((((337.5/365)*184)+((337.5/365)*181))/0.0002)*0.0321</f>
        <v>54168.749999999993</v>
      </c>
      <c r="U1944" s="117" t="s">
        <v>1874</v>
      </c>
      <c r="V1944" s="401" t="s">
        <v>2289</v>
      </c>
      <c r="W1944" s="89">
        <f t="shared" si="340"/>
        <v>74722154.640410945</v>
      </c>
      <c r="X1944" s="117"/>
      <c r="Y1944" s="117"/>
      <c r="Z1944" s="117"/>
      <c r="AA1944" s="177">
        <v>2369639.6191304452</v>
      </c>
      <c r="AB1944" s="89">
        <v>2331830.2572042816</v>
      </c>
      <c r="AC1944" s="240"/>
      <c r="AD1944" s="240"/>
      <c r="AE1944" s="240"/>
      <c r="AF1944" s="241">
        <f>AA1944/W1944</f>
        <v>3.1712677860187208E-2</v>
      </c>
      <c r="AG1944" s="117"/>
      <c r="AH1944" s="189"/>
      <c r="AI1944" s="117"/>
      <c r="AJ1944" s="117"/>
      <c r="AK1944" s="89"/>
      <c r="AL1944" s="117"/>
      <c r="AM1944" s="117"/>
      <c r="AN1944" s="117">
        <v>1</v>
      </c>
      <c r="AO1944" s="117" t="s">
        <v>2290</v>
      </c>
      <c r="AP1944" s="117">
        <v>1</v>
      </c>
      <c r="AQ1944" s="117"/>
      <c r="AR1944" s="126"/>
      <c r="AS1944" s="117"/>
      <c r="AT1944" s="117"/>
      <c r="AU1944" s="120" t="s">
        <v>2277</v>
      </c>
      <c r="AV1944" s="128"/>
      <c r="AW1944" s="117">
        <f>VLOOKUP($D1944,'WB Data'!$C$3:$M$578,2,FALSE)</f>
        <v>22915004589.311516</v>
      </c>
      <c r="AX1944" s="117">
        <f>VLOOKUP($D1944,'WB Data'!$C$3:$M$578,3,FALSE)</f>
        <v>44973330</v>
      </c>
      <c r="AY1944" s="847">
        <f t="shared" si="335"/>
        <v>1.334332833791445E-2</v>
      </c>
      <c r="AZ1944" s="117">
        <f>VLOOKUP($D1944,'WB Data'!$C$3:$M$578,4,FALSE)/100</f>
        <v>0.17249346130305837</v>
      </c>
      <c r="BA1944" s="117">
        <f t="shared" si="336"/>
        <v>3952688457.3858109</v>
      </c>
      <c r="BB1944" s="129">
        <f>IFERROR(VLOOKUP($D1944,'EITI Revenues'!$C$2:$G$224,5,FALSE),"..")</f>
        <v>305762430.10000002</v>
      </c>
      <c r="BC1944" s="846">
        <f t="shared" si="337"/>
        <v>7.735556024625885E-2</v>
      </c>
      <c r="BD1944" s="129">
        <f>VLOOKUP($D1944,'WB Data 2'!$C$2:$K$545,6,FALSE)</f>
        <v>1469036470.4110487</v>
      </c>
      <c r="BE1944" s="129">
        <f>IFERROR(VLOOKUP($D1944,UNCTAD!$C$5:$V$529,4,FALSE),"..")</f>
        <v>6370027000</v>
      </c>
      <c r="BF1944" s="846">
        <f t="shared" si="338"/>
        <v>0.23061699273975583</v>
      </c>
      <c r="BG1944" s="117">
        <f>VLOOKUP($D1944,'WB Data'!$C$3:$M$578,5,FALSE)</f>
        <v>2958180000</v>
      </c>
      <c r="BH1944" s="129">
        <f>IFERROR($BB1944/$BG1944,"..")</f>
        <v>0.10336167173735203</v>
      </c>
      <c r="BI1944" s="117">
        <f>IFERROR(VLOOKUP($D1944,'WB Data'!$C$3:$M$578,7,FALSE)/100,"..")</f>
        <v>6.1811999999999999E-2</v>
      </c>
      <c r="BJ1944" s="117">
        <f>IFERROR($BI1944*$AW1944,"..")</f>
        <v>1416422263.6745234</v>
      </c>
      <c r="BK1944" s="846">
        <f>IFERROR($BB1944/$BJ1944,"..")</f>
        <v>0.21586954536197583</v>
      </c>
      <c r="BL1944" s="117">
        <f>IFERROR(VLOOKUP($D1944,'WB Data'!$C$3:$M$578,7,FALSE)/100,"..")</f>
        <v>6.1811999999999999E-2</v>
      </c>
      <c r="BM1944" s="117">
        <f>IFERROR($AW1944*$BL1944,"..")</f>
        <v>1416422263.6745234</v>
      </c>
      <c r="BN1944" s="846">
        <f>IFERROR($BB1944/$BM1944,"..")</f>
        <v>0.21586954536197583</v>
      </c>
      <c r="BO1944" s="801">
        <f t="shared" si="334"/>
        <v>31</v>
      </c>
      <c r="BP1944" s="117" t="str">
        <f>VLOOKUP($D1944,'WB Data'!$C$3:$M$578,9,FALSE)</f>
        <v>..</v>
      </c>
      <c r="BQ1944" s="117">
        <f>VLOOKUP($D1944,'WB Data'!$C$3:$M$578,10,FALSE)</f>
        <v>59.181707317073176</v>
      </c>
      <c r="BR1944" s="117">
        <f>VLOOKUP($D1944,'WB Data'!$C$3:$M$578,11,FALSE)</f>
        <v>41.4</v>
      </c>
      <c r="BS1944" s="129" t="str">
        <f>IFERROR(VLOOKUP($D1944,'WB Data 2'!$C$2:$K$545,9,FALSE),"..")</f>
        <v>..</v>
      </c>
      <c r="BT1944" s="129">
        <f>_xlfn.IFNA(VLOOKUP($C1944,RGI!$A$2:$C$43,2,FALSE),"..")</f>
        <v>27.8</v>
      </c>
      <c r="BU1944" s="129">
        <f>_xlfn.IFNA(VLOOKUP($C1944,RGI!$A$2:$C$43,3,FALSE),"..")</f>
        <v>49.764112779291708</v>
      </c>
      <c r="BV1944" s="129">
        <f>VLOOKUP($D1944,WGI!$C$2:$O$478,7,FALSE)</f>
        <v>-0.13151836042925999</v>
      </c>
      <c r="BW1944" s="129">
        <f>VLOOKUP($D1944,WGI!$C$2:$O$478,4,FALSE)</f>
        <v>-2.1697929680339199E-2</v>
      </c>
      <c r="BX1944" s="129">
        <f>VLOOKUP($D1944,WGI!$C$2:$O$478,3,FALSE)</f>
        <v>-0.57781563906899402</v>
      </c>
      <c r="BY1944" s="129">
        <f>VLOOKUP($D1944,WGI!$C$2:$O$478,5,FALSE)</f>
        <v>-0.40900807079562401</v>
      </c>
      <c r="BZ1944" s="129">
        <f>VLOOKUP($D1944,WGI!$C$2:$O$478,2,FALSE)</f>
        <v>-0.53900717651020602</v>
      </c>
    </row>
    <row r="1945" spans="1:80" ht="15" customHeight="1">
      <c r="A1945" s="280" t="s">
        <v>501</v>
      </c>
      <c r="B1945" s="117">
        <v>2010</v>
      </c>
      <c r="C1945" s="117" t="s">
        <v>499</v>
      </c>
      <c r="D1945" s="117" t="s">
        <v>3679</v>
      </c>
      <c r="E1945" s="117" t="s">
        <v>86</v>
      </c>
      <c r="F1945" s="117"/>
      <c r="G1945" s="120" t="s">
        <v>24</v>
      </c>
      <c r="H1945" s="117" t="str">
        <f t="shared" si="328"/>
        <v>yes</v>
      </c>
      <c r="I1945" s="117" t="str">
        <f t="shared" si="330"/>
        <v>no</v>
      </c>
      <c r="J1945" s="117" t="str">
        <f t="shared" si="331"/>
        <v>no</v>
      </c>
      <c r="K1945" s="117" t="s">
        <v>2291</v>
      </c>
      <c r="L1945" s="117" t="str">
        <f t="shared" si="329"/>
        <v>detailed</v>
      </c>
      <c r="M1945" s="117" t="str">
        <f t="shared" si="332"/>
        <v>detailed Mining</v>
      </c>
      <c r="N1945" s="118"/>
      <c r="O1945" s="118"/>
      <c r="P1945" s="118"/>
      <c r="Q1945" s="118"/>
      <c r="R1945" s="118"/>
      <c r="S1945" s="117"/>
      <c r="T1945" s="119"/>
      <c r="U1945" s="117"/>
      <c r="V1945" s="117"/>
      <c r="W1945" s="89"/>
      <c r="X1945" s="117"/>
      <c r="Y1945" s="117"/>
      <c r="Z1945" s="117"/>
      <c r="AA1945" s="177">
        <v>1369960.1977258837</v>
      </c>
      <c r="AB1945" s="89">
        <v>1173923.9576963184</v>
      </c>
      <c r="AC1945" s="240"/>
      <c r="AD1945" s="240"/>
      <c r="AE1945" s="240"/>
      <c r="AF1945" s="241"/>
      <c r="AG1945" s="117"/>
      <c r="AH1945" s="189"/>
      <c r="AI1945" s="117"/>
      <c r="AJ1945" s="117"/>
      <c r="AK1945" s="89"/>
      <c r="AL1945" s="117"/>
      <c r="AM1945" s="117"/>
      <c r="AN1945" s="117">
        <v>3</v>
      </c>
      <c r="AO1945" s="117" t="s">
        <v>2292</v>
      </c>
      <c r="AP1945" s="117">
        <v>2</v>
      </c>
      <c r="AQ1945" s="117"/>
      <c r="AR1945" s="126"/>
      <c r="AS1945" s="117"/>
      <c r="AT1945" s="117"/>
      <c r="AU1945" s="120" t="s">
        <v>2277</v>
      </c>
      <c r="AV1945" s="128"/>
      <c r="AW1945" s="117">
        <f>VLOOKUP($D1945,'WB Data'!$C$3:$M$578,2,FALSE)</f>
        <v>22915004589.311516</v>
      </c>
      <c r="AX1945" s="117">
        <f>VLOOKUP($D1945,'WB Data'!$C$3:$M$578,3,FALSE)</f>
        <v>44973330</v>
      </c>
      <c r="AY1945" s="847">
        <f t="shared" si="335"/>
        <v>1.334332833791445E-2</v>
      </c>
      <c r="AZ1945" s="117">
        <f>VLOOKUP($D1945,'WB Data'!$C$3:$M$578,4,FALSE)/100</f>
        <v>0.17249346130305837</v>
      </c>
      <c r="BA1945" s="117">
        <f t="shared" si="336"/>
        <v>3952688457.3858109</v>
      </c>
      <c r="BB1945" s="129">
        <f>IFERROR(VLOOKUP($D1945,'EITI Revenues'!$C$2:$G$224,5,FALSE),"..")</f>
        <v>305762430.10000002</v>
      </c>
      <c r="BC1945" s="846">
        <f t="shared" si="337"/>
        <v>7.735556024625885E-2</v>
      </c>
      <c r="BD1945" s="129">
        <f>VLOOKUP($D1945,'WB Data 2'!$C$2:$K$545,6,FALSE)</f>
        <v>1469036470.4110487</v>
      </c>
      <c r="BE1945" s="129">
        <f>IFERROR(VLOOKUP($D1945,UNCTAD!$C$5:$V$529,4,FALSE),"..")</f>
        <v>6370027000</v>
      </c>
      <c r="BF1945" s="846">
        <f t="shared" si="338"/>
        <v>0.23061699273975583</v>
      </c>
      <c r="BG1945" s="117">
        <f>VLOOKUP($D1945,'WB Data'!$C$3:$M$578,5,FALSE)</f>
        <v>2958180000</v>
      </c>
      <c r="BH1945" s="129">
        <f>IFERROR($BB1945/$BG1945,"..")</f>
        <v>0.10336167173735203</v>
      </c>
      <c r="BI1945" s="117">
        <f>IFERROR(VLOOKUP($D1945,'WB Data'!$C$3:$M$578,7,FALSE)/100,"..")</f>
        <v>6.1811999999999999E-2</v>
      </c>
      <c r="BJ1945" s="117">
        <f>IFERROR($BI1945*$AW1945,"..")</f>
        <v>1416422263.6745234</v>
      </c>
      <c r="BK1945" s="846">
        <f>IFERROR($BB1945/$BJ1945,"..")</f>
        <v>0.21586954536197583</v>
      </c>
      <c r="BL1945" s="117">
        <f>IFERROR(VLOOKUP($D1945,'WB Data'!$C$3:$M$578,7,FALSE)/100,"..")</f>
        <v>6.1811999999999999E-2</v>
      </c>
      <c r="BM1945" s="117">
        <f>IFERROR($AW1945*$BL1945,"..")</f>
        <v>1416422263.6745234</v>
      </c>
      <c r="BN1945" s="846">
        <f>IFERROR($BB1945/$BM1945,"..")</f>
        <v>0.21586954536197583</v>
      </c>
      <c r="BO1945" s="801">
        <f t="shared" si="334"/>
        <v>31</v>
      </c>
      <c r="BP1945" s="117" t="str">
        <f>VLOOKUP($D1945,'WB Data'!$C$3:$M$578,9,FALSE)</f>
        <v>..</v>
      </c>
      <c r="BQ1945" s="117">
        <f>VLOOKUP($D1945,'WB Data'!$C$3:$M$578,10,FALSE)</f>
        <v>59.181707317073176</v>
      </c>
      <c r="BR1945" s="117">
        <f>VLOOKUP($D1945,'WB Data'!$C$3:$M$578,11,FALSE)</f>
        <v>41.4</v>
      </c>
      <c r="BS1945" s="129" t="str">
        <f>IFERROR(VLOOKUP($D1945,'WB Data 2'!$C$2:$K$545,9,FALSE),"..")</f>
        <v>..</v>
      </c>
      <c r="BT1945" s="129">
        <f>_xlfn.IFNA(VLOOKUP($C1945,RGI!$A$2:$C$43,2,FALSE),"..")</f>
        <v>27.8</v>
      </c>
      <c r="BU1945" s="129">
        <f>_xlfn.IFNA(VLOOKUP($C1945,RGI!$A$2:$C$43,3,FALSE),"..")</f>
        <v>49.764112779291708</v>
      </c>
      <c r="BV1945" s="129">
        <f>VLOOKUP($D1945,WGI!$C$2:$O$478,7,FALSE)</f>
        <v>-0.13151836042925999</v>
      </c>
      <c r="BW1945" s="129">
        <f>VLOOKUP($D1945,WGI!$C$2:$O$478,4,FALSE)</f>
        <v>-2.1697929680339199E-2</v>
      </c>
      <c r="BX1945" s="129">
        <f>VLOOKUP($D1945,WGI!$C$2:$O$478,3,FALSE)</f>
        <v>-0.57781563906899402</v>
      </c>
      <c r="BY1945" s="129">
        <f>VLOOKUP($D1945,WGI!$C$2:$O$478,5,FALSE)</f>
        <v>-0.40900807079562401</v>
      </c>
      <c r="BZ1945" s="129">
        <f>VLOOKUP($D1945,WGI!$C$2:$O$478,2,FALSE)</f>
        <v>-0.53900717651020602</v>
      </c>
    </row>
    <row r="1946" spans="1:80" s="144" customFormat="1" ht="15" customHeight="1">
      <c r="A1946" s="279" t="s">
        <v>503</v>
      </c>
      <c r="B1946" s="132">
        <v>2011</v>
      </c>
      <c r="C1946" s="132" t="s">
        <v>499</v>
      </c>
      <c r="D1946" s="117" t="s">
        <v>3713</v>
      </c>
      <c r="E1946" s="132" t="s">
        <v>86</v>
      </c>
      <c r="F1946" s="132" t="s">
        <v>2254</v>
      </c>
      <c r="G1946" s="132" t="s">
        <v>386</v>
      </c>
      <c r="H1946" s="117" t="str">
        <f t="shared" si="328"/>
        <v>yes</v>
      </c>
      <c r="I1946" s="117" t="str">
        <f t="shared" si="330"/>
        <v>yes</v>
      </c>
      <c r="J1946" s="117" t="str">
        <f t="shared" si="331"/>
        <v>no</v>
      </c>
      <c r="K1946" s="132" t="s">
        <v>709</v>
      </c>
      <c r="L1946" s="117" t="str">
        <f t="shared" si="329"/>
        <v>Total</v>
      </c>
      <c r="M1946" s="117" t="str">
        <f t="shared" si="332"/>
        <v>Total Gas, Mining</v>
      </c>
      <c r="N1946" s="133"/>
      <c r="O1946" s="133"/>
      <c r="P1946" s="133"/>
      <c r="Q1946" s="133"/>
      <c r="R1946" s="133"/>
      <c r="S1946" s="132"/>
      <c r="T1946" s="134"/>
      <c r="U1946" s="132"/>
      <c r="V1946" s="132"/>
      <c r="W1946" s="135">
        <f>W1947+W1948</f>
        <v>2253652278.7831125</v>
      </c>
      <c r="X1946" s="132" t="s">
        <v>1179</v>
      </c>
      <c r="Y1946" s="132" t="s">
        <v>602</v>
      </c>
      <c r="Z1946" s="132" t="s">
        <v>603</v>
      </c>
      <c r="AA1946" s="160">
        <v>329804745</v>
      </c>
      <c r="AB1946" s="160">
        <v>337100430</v>
      </c>
      <c r="AC1946" s="226" t="s">
        <v>2293</v>
      </c>
      <c r="AD1946" s="160">
        <f>AA1946/99.3*100</f>
        <v>332129652.56797582</v>
      </c>
      <c r="AE1946" s="226" t="s">
        <v>665</v>
      </c>
      <c r="AF1946" s="224">
        <f>AD1946/W1946</f>
        <v>0.14737395635289102</v>
      </c>
      <c r="AG1946" s="132" t="s">
        <v>2255</v>
      </c>
      <c r="AH1946" s="140">
        <v>1507.7</v>
      </c>
      <c r="AI1946" s="132" t="s">
        <v>1151</v>
      </c>
      <c r="AJ1946" s="132"/>
      <c r="AK1946" s="135"/>
      <c r="AL1946" s="132"/>
      <c r="AM1946" s="132"/>
      <c r="AN1946" s="132">
        <v>30</v>
      </c>
      <c r="AO1946" s="132" t="s">
        <v>2294</v>
      </c>
      <c r="AP1946" s="132">
        <v>29</v>
      </c>
      <c r="AQ1946" s="389" t="s">
        <v>82</v>
      </c>
      <c r="AR1946" s="141">
        <v>41900</v>
      </c>
      <c r="AS1946" s="132" t="s">
        <v>2276</v>
      </c>
      <c r="AT1946" s="132" t="s">
        <v>504</v>
      </c>
      <c r="AU1946" s="144" t="s">
        <v>2295</v>
      </c>
      <c r="AV1946" s="143" t="s">
        <v>2296</v>
      </c>
      <c r="AW1946" s="117">
        <f>VLOOKUP($D1946,'WB Data'!$C$3:$M$578,2,FALSE)</f>
        <v>23874165023.892677</v>
      </c>
      <c r="AX1946" s="117">
        <f>VLOOKUP($D1946,'WB Data'!$C$3:$M$578,3,FALSE)</f>
        <v>46354607</v>
      </c>
      <c r="AY1946" s="847">
        <f t="shared" si="335"/>
        <v>1.3814294433750438E-2</v>
      </c>
      <c r="AZ1946" s="117">
        <f>VLOOKUP($D1946,'WB Data'!$C$3:$M$578,4,FALSE)/100</f>
        <v>0.18719239271817237</v>
      </c>
      <c r="BA1946" s="117">
        <f t="shared" si="336"/>
        <v>4469062074.970973</v>
      </c>
      <c r="BB1946" s="129">
        <f>IFERROR(VLOOKUP($D1946,'EITI Revenues'!$C$2:$G$224,5,FALSE),"..")</f>
        <v>329804745</v>
      </c>
      <c r="BC1946" s="846">
        <f t="shared" si="337"/>
        <v>7.3797306787720576E-2</v>
      </c>
      <c r="BD1946" s="129">
        <f>VLOOKUP($D1946,'WB Data 2'!$C$2:$K$545,6,FALSE)</f>
        <v>1734388900.4186442</v>
      </c>
      <c r="BE1946" s="129">
        <f>IFERROR(VLOOKUP($D1946,UNCTAD!$C$5:$V$529,4,FALSE),"..")</f>
        <v>7398236000</v>
      </c>
      <c r="BF1946" s="846">
        <f t="shared" si="338"/>
        <v>0.23443276213662881</v>
      </c>
      <c r="BG1946" s="117">
        <f>VLOOKUP($D1946,'WB Data'!$C$3:$M$578,5,FALSE)</f>
        <v>2445770000</v>
      </c>
      <c r="BH1946" s="129">
        <f>IFERROR($BB1946/$BG1946,"..")</f>
        <v>0.13484699910457648</v>
      </c>
      <c r="BI1946" s="117" t="str">
        <f>IFERROR(VLOOKUP($D1946,'WB Data'!$C$3:$M$578,7,FALSE)/100,"..")</f>
        <v>..</v>
      </c>
      <c r="BJ1946" s="117" t="str">
        <f>IFERROR($BI1946*$AW1946,"..")</f>
        <v>..</v>
      </c>
      <c r="BK1946" s="846" t="str">
        <f>IFERROR($BB1946/$BJ1946,"..")</f>
        <v>..</v>
      </c>
      <c r="BL1946" s="117" t="str">
        <f>IFERROR(VLOOKUP($D1946,'WB Data'!$C$3:$M$578,7,FALSE)/100,"..")</f>
        <v>..</v>
      </c>
      <c r="BM1946" s="117" t="str">
        <f>IFERROR($AW1946*$BL1946,"..")</f>
        <v>..</v>
      </c>
      <c r="BN1946" s="846" t="str">
        <f>IFERROR($BB1946/$BM1946,"..")</f>
        <v>..</v>
      </c>
      <c r="BO1946" s="801">
        <f t="shared" si="334"/>
        <v>31</v>
      </c>
      <c r="BP1946" s="117" t="str">
        <f>VLOOKUP($D1946,'WB Data'!$C$3:$M$578,9,FALSE)</f>
        <v>..</v>
      </c>
      <c r="BQ1946" s="117">
        <f>VLOOKUP($D1946,'WB Data'!$C$3:$M$578,10,FALSE)</f>
        <v>60.074658536585375</v>
      </c>
      <c r="BR1946" s="117">
        <f>VLOOKUP($D1946,'WB Data'!$C$3:$M$578,11,FALSE)</f>
        <v>39.200000000000003</v>
      </c>
      <c r="BS1946" s="129" t="str">
        <f>IFERROR(VLOOKUP($D1946,'WB Data 2'!$C$2:$K$545,9,FALSE),"..")</f>
        <v>..</v>
      </c>
      <c r="BT1946" s="129">
        <f>_xlfn.IFNA(VLOOKUP($C1946,RGI!$A$2:$C$43,2,FALSE),"..")</f>
        <v>27.8</v>
      </c>
      <c r="BU1946" s="129">
        <f>_xlfn.IFNA(VLOOKUP($C1946,RGI!$A$2:$C$43,3,FALSE),"..")</f>
        <v>49.764112779291708</v>
      </c>
      <c r="BV1946" s="129">
        <f>VLOOKUP($D1946,WGI!$C$2:$O$478,7,FALSE)</f>
        <v>-0.171205232800549</v>
      </c>
      <c r="BW1946" s="129">
        <f>VLOOKUP($D1946,WGI!$C$2:$O$478,4,FALSE)</f>
        <v>-4.4534858090529698E-2</v>
      </c>
      <c r="BX1946" s="129">
        <f>VLOOKUP($D1946,WGI!$C$2:$O$478,3,FALSE)</f>
        <v>-0.62902810457442004</v>
      </c>
      <c r="BY1946" s="129">
        <f>VLOOKUP($D1946,WGI!$C$2:$O$478,5,FALSE)</f>
        <v>-0.40353636246337099</v>
      </c>
      <c r="BZ1946" s="129">
        <f>VLOOKUP($D1946,WGI!$C$2:$O$478,2,FALSE)</f>
        <v>-0.675948611776366</v>
      </c>
      <c r="CB1946" s="129"/>
    </row>
    <row r="1947" spans="1:80" s="120" customFormat="1" ht="15" customHeight="1">
      <c r="A1947" s="280" t="s">
        <v>503</v>
      </c>
      <c r="B1947" s="117">
        <v>2011</v>
      </c>
      <c r="C1947" s="117" t="s">
        <v>499</v>
      </c>
      <c r="D1947" s="117" t="s">
        <v>3713</v>
      </c>
      <c r="E1947" s="117" t="s">
        <v>86</v>
      </c>
      <c r="F1947" s="117"/>
      <c r="G1947" s="120" t="s">
        <v>561</v>
      </c>
      <c r="H1947" s="117" t="str">
        <f t="shared" si="328"/>
        <v>no</v>
      </c>
      <c r="I1947" s="117" t="str">
        <f t="shared" si="330"/>
        <v>yes</v>
      </c>
      <c r="J1947" s="117" t="str">
        <f t="shared" si="331"/>
        <v>no</v>
      </c>
      <c r="K1947" s="117" t="s">
        <v>561</v>
      </c>
      <c r="L1947" s="117" t="str">
        <f t="shared" si="329"/>
        <v>detailed</v>
      </c>
      <c r="M1947" s="117" t="str">
        <f t="shared" si="332"/>
        <v>detailed Gas</v>
      </c>
      <c r="N1947" s="118">
        <f>(((28000000000/365)*184)+((30000000000/365)*181))*0.0283168</f>
        <v>820954459.17808223</v>
      </c>
      <c r="O1947" s="118"/>
      <c r="P1947" s="118"/>
      <c r="Q1947" s="118"/>
      <c r="R1947" s="118"/>
      <c r="S1947" s="117" t="s">
        <v>642</v>
      </c>
      <c r="T1947" s="119">
        <f>((0.174108/365)*184)+(0.19666/365)*181</f>
        <v>0.18529132054794523</v>
      </c>
      <c r="U1947" s="117" t="s">
        <v>643</v>
      </c>
      <c r="V1947" s="117" t="s">
        <v>644</v>
      </c>
      <c r="W1947" s="89">
        <f>N1947*T1947</f>
        <v>152115735.85083106</v>
      </c>
      <c r="X1947" s="117"/>
      <c r="Y1947" s="117"/>
      <c r="Z1947" s="117"/>
      <c r="AA1947" s="177">
        <v>73086077.200000003</v>
      </c>
      <c r="AB1947" s="89">
        <v>71562388.00999999</v>
      </c>
      <c r="AC1947" s="240"/>
      <c r="AD1947" s="240"/>
      <c r="AE1947" s="240"/>
      <c r="AF1947" s="241">
        <f t="shared" ref="AF1947:AF1952" si="341">AA1947/W1947</f>
        <v>0.48046362061890985</v>
      </c>
      <c r="AG1947" s="177"/>
      <c r="AH1947" s="189"/>
      <c r="AI1947" s="117"/>
      <c r="AJ1947" s="117"/>
      <c r="AK1947" s="89"/>
      <c r="AL1947" s="117"/>
      <c r="AM1947" s="117"/>
      <c r="AN1947" s="117">
        <v>12</v>
      </c>
      <c r="AO1947" s="120" t="s">
        <v>2297</v>
      </c>
      <c r="AP1947" s="117">
        <v>11</v>
      </c>
      <c r="AQ1947" s="117"/>
      <c r="AR1947" s="126"/>
      <c r="AS1947" s="117"/>
      <c r="AT1947" s="117"/>
      <c r="AU1947" s="120" t="s">
        <v>2295</v>
      </c>
      <c r="AV1947" s="128" t="s">
        <v>2298</v>
      </c>
      <c r="AW1947" s="117">
        <f>VLOOKUP($D1947,'WB Data'!$C$3:$M$578,2,FALSE)</f>
        <v>23874165023.892677</v>
      </c>
      <c r="AX1947" s="117">
        <f>VLOOKUP($D1947,'WB Data'!$C$3:$M$578,3,FALSE)</f>
        <v>46354607</v>
      </c>
      <c r="AY1947" s="847">
        <f t="shared" si="335"/>
        <v>1.3814294433750438E-2</v>
      </c>
      <c r="AZ1947" s="117">
        <f>VLOOKUP($D1947,'WB Data'!$C$3:$M$578,4,FALSE)/100</f>
        <v>0.18719239271817237</v>
      </c>
      <c r="BA1947" s="117">
        <f t="shared" si="336"/>
        <v>4469062074.970973</v>
      </c>
      <c r="BB1947" s="129">
        <f>IFERROR(VLOOKUP($D1947,'EITI Revenues'!$C$2:$G$224,5,FALSE),"..")</f>
        <v>329804745</v>
      </c>
      <c r="BC1947" s="846">
        <f t="shared" si="337"/>
        <v>7.3797306787720576E-2</v>
      </c>
      <c r="BD1947" s="129">
        <f>VLOOKUP($D1947,'WB Data 2'!$C$2:$K$545,6,FALSE)</f>
        <v>1734388900.4186442</v>
      </c>
      <c r="BE1947" s="129">
        <f>IFERROR(VLOOKUP($D1947,UNCTAD!$C$5:$V$529,4,FALSE),"..")</f>
        <v>7398236000</v>
      </c>
      <c r="BF1947" s="846">
        <f t="shared" si="338"/>
        <v>0.23443276213662881</v>
      </c>
      <c r="BG1947" s="117">
        <f>VLOOKUP($D1947,'WB Data'!$C$3:$M$578,5,FALSE)</f>
        <v>2445770000</v>
      </c>
      <c r="BH1947" s="129">
        <f>IFERROR($BB1947/$BG1947,"..")</f>
        <v>0.13484699910457648</v>
      </c>
      <c r="BI1947" s="117" t="str">
        <f>IFERROR(VLOOKUP($D1947,'WB Data'!$C$3:$M$578,7,FALSE)/100,"..")</f>
        <v>..</v>
      </c>
      <c r="BJ1947" s="117" t="str">
        <f>IFERROR($BI1947*$AW1947,"..")</f>
        <v>..</v>
      </c>
      <c r="BK1947" s="846" t="str">
        <f>IFERROR($BB1947/$BJ1947,"..")</f>
        <v>..</v>
      </c>
      <c r="BL1947" s="117" t="str">
        <f>IFERROR(VLOOKUP($D1947,'WB Data'!$C$3:$M$578,7,FALSE)/100,"..")</f>
        <v>..</v>
      </c>
      <c r="BM1947" s="117" t="str">
        <f>IFERROR($AW1947*$BL1947,"..")</f>
        <v>..</v>
      </c>
      <c r="BN1947" s="846" t="str">
        <f>IFERROR($BB1947/$BM1947,"..")</f>
        <v>..</v>
      </c>
      <c r="BO1947" s="801">
        <f t="shared" si="334"/>
        <v>31</v>
      </c>
      <c r="BP1947" s="117" t="str">
        <f>VLOOKUP($D1947,'WB Data'!$C$3:$M$578,9,FALSE)</f>
        <v>..</v>
      </c>
      <c r="BQ1947" s="117">
        <f>VLOOKUP($D1947,'WB Data'!$C$3:$M$578,10,FALSE)</f>
        <v>60.074658536585375</v>
      </c>
      <c r="BR1947" s="117">
        <f>VLOOKUP($D1947,'WB Data'!$C$3:$M$578,11,FALSE)</f>
        <v>39.200000000000003</v>
      </c>
      <c r="BS1947" s="129" t="str">
        <f>IFERROR(VLOOKUP($D1947,'WB Data 2'!$C$2:$K$545,9,FALSE),"..")</f>
        <v>..</v>
      </c>
      <c r="BT1947" s="129">
        <f>_xlfn.IFNA(VLOOKUP($C1947,RGI!$A$2:$C$43,2,FALSE),"..")</f>
        <v>27.8</v>
      </c>
      <c r="BU1947" s="129">
        <f>_xlfn.IFNA(VLOOKUP($C1947,RGI!$A$2:$C$43,3,FALSE),"..")</f>
        <v>49.764112779291708</v>
      </c>
      <c r="BV1947" s="129">
        <f>VLOOKUP($D1947,WGI!$C$2:$O$478,7,FALSE)</f>
        <v>-0.171205232800549</v>
      </c>
      <c r="BW1947" s="129">
        <f>VLOOKUP($D1947,WGI!$C$2:$O$478,4,FALSE)</f>
        <v>-4.4534858090529698E-2</v>
      </c>
      <c r="BX1947" s="129">
        <f>VLOOKUP($D1947,WGI!$C$2:$O$478,3,FALSE)</f>
        <v>-0.62902810457442004</v>
      </c>
      <c r="BY1947" s="129">
        <f>VLOOKUP($D1947,WGI!$C$2:$O$478,5,FALSE)</f>
        <v>-0.40353636246337099</v>
      </c>
      <c r="BZ1947" s="129">
        <f>VLOOKUP($D1947,WGI!$C$2:$O$478,2,FALSE)</f>
        <v>-0.675948611776366</v>
      </c>
      <c r="CB1947" s="129"/>
    </row>
    <row r="1948" spans="1:80" s="120" customFormat="1" ht="15" customHeight="1">
      <c r="A1948" s="280" t="s">
        <v>503</v>
      </c>
      <c r="B1948" s="117">
        <v>2011</v>
      </c>
      <c r="C1948" s="117" t="s">
        <v>499</v>
      </c>
      <c r="D1948" s="117" t="s">
        <v>3713</v>
      </c>
      <c r="E1948" s="117" t="s">
        <v>86</v>
      </c>
      <c r="F1948" s="117"/>
      <c r="G1948" s="120" t="s">
        <v>24</v>
      </c>
      <c r="H1948" s="117" t="str">
        <f t="shared" ref="H1948:H2011" si="342">IF($G1948="Mining","yes",IF($G1948="Oil, Gas, Mining","yes",IF($G1948="Gas, Mining","yes",IF($G1948="Oil, Mining","yes",IF($G1948="Oil, Mining, Other","yes","no")))))</f>
        <v>yes</v>
      </c>
      <c r="I1948" s="117" t="str">
        <f t="shared" si="330"/>
        <v>no</v>
      </c>
      <c r="J1948" s="117" t="str">
        <f t="shared" si="331"/>
        <v>no</v>
      </c>
      <c r="K1948" s="117" t="s">
        <v>600</v>
      </c>
      <c r="L1948" s="117" t="str">
        <f t="shared" ref="L1948:L2011" si="343">IF(LEFT(K1948,5)="Total","Total","detailed")</f>
        <v>Total</v>
      </c>
      <c r="M1948" s="117" t="str">
        <f t="shared" si="332"/>
        <v>Total Mining</v>
      </c>
      <c r="N1948" s="118"/>
      <c r="O1948" s="118"/>
      <c r="P1948" s="118"/>
      <c r="Q1948" s="118"/>
      <c r="R1948" s="118"/>
      <c r="S1948" s="117"/>
      <c r="T1948" s="119"/>
      <c r="U1948" s="117"/>
      <c r="V1948" s="117"/>
      <c r="W1948" s="89">
        <f>SUM(W1949:W1954)</f>
        <v>2101536542.9322813</v>
      </c>
      <c r="X1948" s="117"/>
      <c r="Y1948" s="117"/>
      <c r="Z1948" s="117"/>
      <c r="AA1948" s="177">
        <v>256718668.419</v>
      </c>
      <c r="AB1948" s="89">
        <v>265538041.09299999</v>
      </c>
      <c r="AC1948" s="240"/>
      <c r="AD1948" s="240"/>
      <c r="AE1948" s="240"/>
      <c r="AF1948" s="241">
        <f t="shared" si="341"/>
        <v>0.12215760381725246</v>
      </c>
      <c r="AG1948" s="177"/>
      <c r="AH1948" s="189"/>
      <c r="AI1948" s="117"/>
      <c r="AJ1948" s="117"/>
      <c r="AK1948" s="89"/>
      <c r="AL1948" s="117"/>
      <c r="AM1948" s="117"/>
      <c r="AN1948" s="117">
        <v>18</v>
      </c>
      <c r="AO1948" s="120" t="s">
        <v>2299</v>
      </c>
      <c r="AP1948" s="117">
        <v>18</v>
      </c>
      <c r="AQ1948" s="117"/>
      <c r="AR1948" s="126"/>
      <c r="AS1948" s="117"/>
      <c r="AT1948" s="117"/>
      <c r="AV1948" s="128"/>
      <c r="AW1948" s="117">
        <f>VLOOKUP($D1948,'WB Data'!$C$3:$M$578,2,FALSE)</f>
        <v>23874165023.892677</v>
      </c>
      <c r="AX1948" s="117">
        <f>VLOOKUP($D1948,'WB Data'!$C$3:$M$578,3,FALSE)</f>
        <v>46354607</v>
      </c>
      <c r="AY1948" s="847">
        <f t="shared" si="335"/>
        <v>1.3814294433750438E-2</v>
      </c>
      <c r="AZ1948" s="117">
        <f>VLOOKUP($D1948,'WB Data'!$C$3:$M$578,4,FALSE)/100</f>
        <v>0.18719239271817237</v>
      </c>
      <c r="BA1948" s="117">
        <f t="shared" si="336"/>
        <v>4469062074.970973</v>
      </c>
      <c r="BB1948" s="129">
        <f>IFERROR(VLOOKUP($D1948,'EITI Revenues'!$C$2:$G$224,5,FALSE),"..")</f>
        <v>329804745</v>
      </c>
      <c r="BC1948" s="846">
        <f t="shared" si="337"/>
        <v>7.3797306787720576E-2</v>
      </c>
      <c r="BD1948" s="129">
        <f>VLOOKUP($D1948,'WB Data 2'!$C$2:$K$545,6,FALSE)</f>
        <v>1734388900.4186442</v>
      </c>
      <c r="BE1948" s="129">
        <f>IFERROR(VLOOKUP($D1948,UNCTAD!$C$5:$V$529,4,FALSE),"..")</f>
        <v>7398236000</v>
      </c>
      <c r="BF1948" s="846">
        <f t="shared" si="338"/>
        <v>0.23443276213662881</v>
      </c>
      <c r="BG1948" s="117">
        <f>VLOOKUP($D1948,'WB Data'!$C$3:$M$578,5,FALSE)</f>
        <v>2445770000</v>
      </c>
      <c r="BH1948" s="129">
        <f>IFERROR($BB1948/$BG1948,"..")</f>
        <v>0.13484699910457648</v>
      </c>
      <c r="BI1948" s="117" t="str">
        <f>IFERROR(VLOOKUP($D1948,'WB Data'!$C$3:$M$578,7,FALSE)/100,"..")</f>
        <v>..</v>
      </c>
      <c r="BJ1948" s="117" t="str">
        <f>IFERROR($BI1948*$AW1948,"..")</f>
        <v>..</v>
      </c>
      <c r="BK1948" s="846" t="str">
        <f>IFERROR($BB1948/$BJ1948,"..")</f>
        <v>..</v>
      </c>
      <c r="BL1948" s="117" t="str">
        <f>IFERROR(VLOOKUP($D1948,'WB Data'!$C$3:$M$578,7,FALSE)/100,"..")</f>
        <v>..</v>
      </c>
      <c r="BM1948" s="117" t="str">
        <f>IFERROR($AW1948*$BL1948,"..")</f>
        <v>..</v>
      </c>
      <c r="BN1948" s="846" t="str">
        <f>IFERROR($BB1948/$BM1948,"..")</f>
        <v>..</v>
      </c>
      <c r="BO1948" s="801">
        <f t="shared" si="334"/>
        <v>31</v>
      </c>
      <c r="BP1948" s="117" t="str">
        <f>VLOOKUP($D1948,'WB Data'!$C$3:$M$578,9,FALSE)</f>
        <v>..</v>
      </c>
      <c r="BQ1948" s="117">
        <f>VLOOKUP($D1948,'WB Data'!$C$3:$M$578,10,FALSE)</f>
        <v>60.074658536585375</v>
      </c>
      <c r="BR1948" s="117">
        <f>VLOOKUP($D1948,'WB Data'!$C$3:$M$578,11,FALSE)</f>
        <v>39.200000000000003</v>
      </c>
      <c r="BS1948" s="129" t="str">
        <f>IFERROR(VLOOKUP($D1948,'WB Data 2'!$C$2:$K$545,9,FALSE),"..")</f>
        <v>..</v>
      </c>
      <c r="BT1948" s="129">
        <f>_xlfn.IFNA(VLOOKUP($C1948,RGI!$A$2:$C$43,2,FALSE),"..")</f>
        <v>27.8</v>
      </c>
      <c r="BU1948" s="129">
        <f>_xlfn.IFNA(VLOOKUP($C1948,RGI!$A$2:$C$43,3,FALSE),"..")</f>
        <v>49.764112779291708</v>
      </c>
      <c r="BV1948" s="129">
        <f>VLOOKUP($D1948,WGI!$C$2:$O$478,7,FALSE)</f>
        <v>-0.171205232800549</v>
      </c>
      <c r="BW1948" s="129">
        <f>VLOOKUP($D1948,WGI!$C$2:$O$478,4,FALSE)</f>
        <v>-4.4534858090529698E-2</v>
      </c>
      <c r="BX1948" s="129">
        <f>VLOOKUP($D1948,WGI!$C$2:$O$478,3,FALSE)</f>
        <v>-0.62902810457442004</v>
      </c>
      <c r="BY1948" s="129">
        <f>VLOOKUP($D1948,WGI!$C$2:$O$478,5,FALSE)</f>
        <v>-0.40353636246337099</v>
      </c>
      <c r="BZ1948" s="129">
        <f>VLOOKUP($D1948,WGI!$C$2:$O$478,2,FALSE)</f>
        <v>-0.675948611776366</v>
      </c>
      <c r="CB1948" s="129"/>
    </row>
    <row r="1949" spans="1:80" s="120" customFormat="1" ht="15" customHeight="1">
      <c r="A1949" s="280" t="s">
        <v>503</v>
      </c>
      <c r="B1949" s="117">
        <v>2011</v>
      </c>
      <c r="C1949" s="117" t="s">
        <v>499</v>
      </c>
      <c r="D1949" s="117" t="s">
        <v>3713</v>
      </c>
      <c r="E1949" s="117" t="s">
        <v>86</v>
      </c>
      <c r="F1949" s="117"/>
      <c r="G1949" s="120" t="s">
        <v>24</v>
      </c>
      <c r="H1949" s="117" t="str">
        <f t="shared" si="342"/>
        <v>yes</v>
      </c>
      <c r="I1949" s="117" t="str">
        <f t="shared" si="330"/>
        <v>no</v>
      </c>
      <c r="J1949" s="117" t="str">
        <f t="shared" si="331"/>
        <v>no</v>
      </c>
      <c r="K1949" s="117" t="s">
        <v>980</v>
      </c>
      <c r="L1949" s="117" t="str">
        <f t="shared" si="343"/>
        <v>detailed</v>
      </c>
      <c r="M1949" s="117" t="str">
        <f t="shared" si="332"/>
        <v>detailed Mining</v>
      </c>
      <c r="N1949" s="118">
        <f>((80498/365)*184)+(28378/365)*181</f>
        <v>54652.191780821922</v>
      </c>
      <c r="O1949" s="118"/>
      <c r="P1949" s="118">
        <v>29879</v>
      </c>
      <c r="Q1949" s="118"/>
      <c r="R1949" s="118"/>
      <c r="S1949" s="117" t="s">
        <v>981</v>
      </c>
      <c r="T1949" s="119">
        <v>301.99626049754397</v>
      </c>
      <c r="U1949" s="117" t="s">
        <v>2300</v>
      </c>
      <c r="V1949" s="117" t="s">
        <v>2301</v>
      </c>
      <c r="W1949" s="89">
        <f>N1949*T1949</f>
        <v>16504757.545802828</v>
      </c>
      <c r="X1949" s="117"/>
      <c r="Y1949" s="117"/>
      <c r="Z1949" s="117"/>
      <c r="AA1949" s="177">
        <v>5227716.7209999999</v>
      </c>
      <c r="AB1949" s="89">
        <v>4225205.9950000001</v>
      </c>
      <c r="AC1949" s="240"/>
      <c r="AD1949" s="240"/>
      <c r="AE1949" s="240"/>
      <c r="AF1949" s="241">
        <f t="shared" si="341"/>
        <v>0.31673998884821014</v>
      </c>
      <c r="AG1949" s="177"/>
      <c r="AH1949" s="189"/>
      <c r="AI1949" s="117"/>
      <c r="AJ1949" s="117"/>
      <c r="AK1949" s="89"/>
      <c r="AL1949" s="117"/>
      <c r="AM1949" s="117"/>
      <c r="AN1949" s="117">
        <v>1</v>
      </c>
      <c r="AO1949" s="117" t="s">
        <v>2283</v>
      </c>
      <c r="AP1949" s="117">
        <v>1</v>
      </c>
      <c r="AQ1949" s="117"/>
      <c r="AR1949" s="126"/>
      <c r="AS1949" s="117"/>
      <c r="AT1949" s="117"/>
      <c r="AU1949" s="120" t="s">
        <v>2302</v>
      </c>
      <c r="AV1949" s="128"/>
      <c r="AW1949" s="117">
        <f>VLOOKUP($D1949,'WB Data'!$C$3:$M$578,2,FALSE)</f>
        <v>23874165023.892677</v>
      </c>
      <c r="AX1949" s="117">
        <f>VLOOKUP($D1949,'WB Data'!$C$3:$M$578,3,FALSE)</f>
        <v>46354607</v>
      </c>
      <c r="AY1949" s="847">
        <f t="shared" si="335"/>
        <v>1.3814294433750438E-2</v>
      </c>
      <c r="AZ1949" s="117">
        <f>VLOOKUP($D1949,'WB Data'!$C$3:$M$578,4,FALSE)/100</f>
        <v>0.18719239271817237</v>
      </c>
      <c r="BA1949" s="117">
        <f t="shared" si="336"/>
        <v>4469062074.970973</v>
      </c>
      <c r="BB1949" s="129">
        <f>IFERROR(VLOOKUP($D1949,'EITI Revenues'!$C$2:$G$224,5,FALSE),"..")</f>
        <v>329804745</v>
      </c>
      <c r="BC1949" s="846">
        <f t="shared" si="337"/>
        <v>7.3797306787720576E-2</v>
      </c>
      <c r="BD1949" s="129">
        <f>VLOOKUP($D1949,'WB Data 2'!$C$2:$K$545,6,FALSE)</f>
        <v>1734388900.4186442</v>
      </c>
      <c r="BE1949" s="129">
        <f>IFERROR(VLOOKUP($D1949,UNCTAD!$C$5:$V$529,4,FALSE),"..")</f>
        <v>7398236000</v>
      </c>
      <c r="BF1949" s="846">
        <f t="shared" si="338"/>
        <v>0.23443276213662881</v>
      </c>
      <c r="BG1949" s="117">
        <f>VLOOKUP($D1949,'WB Data'!$C$3:$M$578,5,FALSE)</f>
        <v>2445770000</v>
      </c>
      <c r="BH1949" s="129">
        <f>IFERROR($BB1949/$BG1949,"..")</f>
        <v>0.13484699910457648</v>
      </c>
      <c r="BI1949" s="117" t="str">
        <f>IFERROR(VLOOKUP($D1949,'WB Data'!$C$3:$M$578,7,FALSE)/100,"..")</f>
        <v>..</v>
      </c>
      <c r="BJ1949" s="117" t="str">
        <f>IFERROR($BI1949*$AW1949,"..")</f>
        <v>..</v>
      </c>
      <c r="BK1949" s="846" t="str">
        <f>IFERROR($BB1949/$BJ1949,"..")</f>
        <v>..</v>
      </c>
      <c r="BL1949" s="117" t="str">
        <f>IFERROR(VLOOKUP($D1949,'WB Data'!$C$3:$M$578,7,FALSE)/100,"..")</f>
        <v>..</v>
      </c>
      <c r="BM1949" s="117" t="str">
        <f>IFERROR($AW1949*$BL1949,"..")</f>
        <v>..</v>
      </c>
      <c r="BN1949" s="846" t="str">
        <f>IFERROR($BB1949/$BM1949,"..")</f>
        <v>..</v>
      </c>
      <c r="BO1949" s="801">
        <f t="shared" si="334"/>
        <v>31</v>
      </c>
      <c r="BP1949" s="117" t="str">
        <f>VLOOKUP($D1949,'WB Data'!$C$3:$M$578,9,FALSE)</f>
        <v>..</v>
      </c>
      <c r="BQ1949" s="117">
        <f>VLOOKUP($D1949,'WB Data'!$C$3:$M$578,10,FALSE)</f>
        <v>60.074658536585375</v>
      </c>
      <c r="BR1949" s="117">
        <f>VLOOKUP($D1949,'WB Data'!$C$3:$M$578,11,FALSE)</f>
        <v>39.200000000000003</v>
      </c>
      <c r="BS1949" s="129" t="str">
        <f>IFERROR(VLOOKUP($D1949,'WB Data 2'!$C$2:$K$545,9,FALSE),"..")</f>
        <v>..</v>
      </c>
      <c r="BT1949" s="129">
        <f>_xlfn.IFNA(VLOOKUP($C1949,RGI!$A$2:$C$43,2,FALSE),"..")</f>
        <v>27.8</v>
      </c>
      <c r="BU1949" s="129">
        <f>_xlfn.IFNA(VLOOKUP($C1949,RGI!$A$2:$C$43,3,FALSE),"..")</f>
        <v>49.764112779291708</v>
      </c>
      <c r="BV1949" s="129">
        <f>VLOOKUP($D1949,WGI!$C$2:$O$478,7,FALSE)</f>
        <v>-0.171205232800549</v>
      </c>
      <c r="BW1949" s="129">
        <f>VLOOKUP($D1949,WGI!$C$2:$O$478,4,FALSE)</f>
        <v>-4.4534858090529698E-2</v>
      </c>
      <c r="BX1949" s="129">
        <f>VLOOKUP($D1949,WGI!$C$2:$O$478,3,FALSE)</f>
        <v>-0.62902810457442004</v>
      </c>
      <c r="BY1949" s="129">
        <f>VLOOKUP($D1949,WGI!$C$2:$O$478,5,FALSE)</f>
        <v>-0.40353636246337099</v>
      </c>
      <c r="BZ1949" s="129">
        <f>VLOOKUP($D1949,WGI!$C$2:$O$478,2,FALSE)</f>
        <v>-0.675948611776366</v>
      </c>
      <c r="CB1949" s="129"/>
    </row>
    <row r="1950" spans="1:80" s="120" customFormat="1" ht="15" customHeight="1">
      <c r="A1950" s="280" t="s">
        <v>503</v>
      </c>
      <c r="B1950" s="117">
        <v>2011</v>
      </c>
      <c r="C1950" s="117" t="s">
        <v>499</v>
      </c>
      <c r="D1950" s="117" t="s">
        <v>3713</v>
      </c>
      <c r="E1950" s="117" t="s">
        <v>86</v>
      </c>
      <c r="F1950" s="117"/>
      <c r="G1950" s="120" t="s">
        <v>24</v>
      </c>
      <c r="H1950" s="117" t="str">
        <f t="shared" si="342"/>
        <v>yes</v>
      </c>
      <c r="I1950" s="117" t="str">
        <f t="shared" si="330"/>
        <v>no</v>
      </c>
      <c r="J1950" s="117" t="str">
        <f t="shared" si="331"/>
        <v>no</v>
      </c>
      <c r="K1950" s="117" t="s">
        <v>784</v>
      </c>
      <c r="L1950" s="117" t="str">
        <f t="shared" si="343"/>
        <v>detailed</v>
      </c>
      <c r="M1950" s="117" t="str">
        <f t="shared" si="332"/>
        <v>detailed Mining</v>
      </c>
      <c r="N1950" s="118">
        <f>(((39448/365)*184)+((42300/365)*181))*32.1507431265</f>
        <v>1313752.6502262729</v>
      </c>
      <c r="O1950" s="118"/>
      <c r="P1950" s="185">
        <v>1293058</v>
      </c>
      <c r="Q1950" s="185"/>
      <c r="R1950" s="185"/>
      <c r="S1950" s="117" t="s">
        <v>785</v>
      </c>
      <c r="T1950" s="119">
        <f>1393.11256776142/0.911458333</f>
        <v>1528.4435034743601</v>
      </c>
      <c r="U1950" s="117" t="s">
        <v>786</v>
      </c>
      <c r="V1950" s="117" t="s">
        <v>2301</v>
      </c>
      <c r="W1950" s="89">
        <f>N1950*T1950</f>
        <v>2007996703.4105701</v>
      </c>
      <c r="X1950" s="119"/>
      <c r="Y1950" s="117"/>
      <c r="Z1950" s="117"/>
      <c r="AA1950" s="177">
        <v>169530430.09999999</v>
      </c>
      <c r="AB1950" s="89">
        <v>179357734.40000001</v>
      </c>
      <c r="AC1950" s="240"/>
      <c r="AD1950" s="240"/>
      <c r="AE1950" s="240"/>
      <c r="AF1950" s="241">
        <f t="shared" si="341"/>
        <v>8.4427643637090433E-2</v>
      </c>
      <c r="AG1950" s="177"/>
      <c r="AH1950" s="189"/>
      <c r="AI1950" s="117"/>
      <c r="AJ1950" s="117"/>
      <c r="AK1950" s="89"/>
      <c r="AL1950" s="117"/>
      <c r="AM1950" s="117"/>
      <c r="AN1950" s="117"/>
      <c r="AO1950" s="117"/>
      <c r="AP1950" s="117"/>
      <c r="AQ1950" s="117"/>
      <c r="AR1950" s="126"/>
      <c r="AS1950" s="117"/>
      <c r="AT1950" s="117"/>
      <c r="AU1950" s="117">
        <v>21</v>
      </c>
      <c r="AV1950" s="128"/>
      <c r="AW1950" s="117">
        <f>VLOOKUP($D1950,'WB Data'!$C$3:$M$578,2,FALSE)</f>
        <v>23874165023.892677</v>
      </c>
      <c r="AX1950" s="117">
        <f>VLOOKUP($D1950,'WB Data'!$C$3:$M$578,3,FALSE)</f>
        <v>46354607</v>
      </c>
      <c r="AY1950" s="847">
        <f t="shared" si="335"/>
        <v>1.3814294433750438E-2</v>
      </c>
      <c r="AZ1950" s="117">
        <f>VLOOKUP($D1950,'WB Data'!$C$3:$M$578,4,FALSE)/100</f>
        <v>0.18719239271817237</v>
      </c>
      <c r="BA1950" s="117">
        <f t="shared" si="336"/>
        <v>4469062074.970973</v>
      </c>
      <c r="BB1950" s="129">
        <f>IFERROR(VLOOKUP($D1950,'EITI Revenues'!$C$2:$G$224,5,FALSE),"..")</f>
        <v>329804745</v>
      </c>
      <c r="BC1950" s="846">
        <f t="shared" si="337"/>
        <v>7.3797306787720576E-2</v>
      </c>
      <c r="BD1950" s="129">
        <f>VLOOKUP($D1950,'WB Data 2'!$C$2:$K$545,6,FALSE)</f>
        <v>1734388900.4186442</v>
      </c>
      <c r="BE1950" s="129">
        <f>IFERROR(VLOOKUP($D1950,UNCTAD!$C$5:$V$529,4,FALSE),"..")</f>
        <v>7398236000</v>
      </c>
      <c r="BF1950" s="846">
        <f t="shared" si="338"/>
        <v>0.23443276213662881</v>
      </c>
      <c r="BG1950" s="117">
        <f>VLOOKUP($D1950,'WB Data'!$C$3:$M$578,5,FALSE)</f>
        <v>2445770000</v>
      </c>
      <c r="BH1950" s="129">
        <f>IFERROR($BB1950/$BG1950,"..")</f>
        <v>0.13484699910457648</v>
      </c>
      <c r="BI1950" s="117" t="str">
        <f>IFERROR(VLOOKUP($D1950,'WB Data'!$C$3:$M$578,7,FALSE)/100,"..")</f>
        <v>..</v>
      </c>
      <c r="BJ1950" s="117" t="str">
        <f>IFERROR($BI1950*$AW1950,"..")</f>
        <v>..</v>
      </c>
      <c r="BK1950" s="846" t="str">
        <f>IFERROR($BB1950/$BJ1950,"..")</f>
        <v>..</v>
      </c>
      <c r="BL1950" s="117" t="str">
        <f>IFERROR(VLOOKUP($D1950,'WB Data'!$C$3:$M$578,7,FALSE)/100,"..")</f>
        <v>..</v>
      </c>
      <c r="BM1950" s="117" t="str">
        <f>IFERROR($AW1950*$BL1950,"..")</f>
        <v>..</v>
      </c>
      <c r="BN1950" s="846" t="str">
        <f>IFERROR($BB1950/$BM1950,"..")</f>
        <v>..</v>
      </c>
      <c r="BO1950" s="801">
        <f t="shared" si="334"/>
        <v>31</v>
      </c>
      <c r="BP1950" s="117" t="str">
        <f>VLOOKUP($D1950,'WB Data'!$C$3:$M$578,9,FALSE)</f>
        <v>..</v>
      </c>
      <c r="BQ1950" s="117">
        <f>VLOOKUP($D1950,'WB Data'!$C$3:$M$578,10,FALSE)</f>
        <v>60.074658536585375</v>
      </c>
      <c r="BR1950" s="117">
        <f>VLOOKUP($D1950,'WB Data'!$C$3:$M$578,11,FALSE)</f>
        <v>39.200000000000003</v>
      </c>
      <c r="BS1950" s="129" t="str">
        <f>IFERROR(VLOOKUP($D1950,'WB Data 2'!$C$2:$K$545,9,FALSE),"..")</f>
        <v>..</v>
      </c>
      <c r="BT1950" s="129">
        <f>_xlfn.IFNA(VLOOKUP($C1950,RGI!$A$2:$C$43,2,FALSE),"..")</f>
        <v>27.8</v>
      </c>
      <c r="BU1950" s="129">
        <f>_xlfn.IFNA(VLOOKUP($C1950,RGI!$A$2:$C$43,3,FALSE),"..")</f>
        <v>49.764112779291708</v>
      </c>
      <c r="BV1950" s="129">
        <f>VLOOKUP($D1950,WGI!$C$2:$O$478,7,FALSE)</f>
        <v>-0.171205232800549</v>
      </c>
      <c r="BW1950" s="129">
        <f>VLOOKUP($D1950,WGI!$C$2:$O$478,4,FALSE)</f>
        <v>-4.4534858090529698E-2</v>
      </c>
      <c r="BX1950" s="129">
        <f>VLOOKUP($D1950,WGI!$C$2:$O$478,3,FALSE)</f>
        <v>-0.62902810457442004</v>
      </c>
      <c r="BY1950" s="129">
        <f>VLOOKUP($D1950,WGI!$C$2:$O$478,5,FALSE)</f>
        <v>-0.40353636246337099</v>
      </c>
      <c r="BZ1950" s="129">
        <f>VLOOKUP($D1950,WGI!$C$2:$O$478,2,FALSE)</f>
        <v>-0.675948611776366</v>
      </c>
      <c r="CB1950" s="129"/>
    </row>
    <row r="1951" spans="1:80" s="120" customFormat="1" ht="15" customHeight="1">
      <c r="A1951" s="280" t="s">
        <v>503</v>
      </c>
      <c r="B1951" s="117">
        <v>2011</v>
      </c>
      <c r="C1951" s="117" t="s">
        <v>499</v>
      </c>
      <c r="D1951" s="117" t="s">
        <v>3713</v>
      </c>
      <c r="E1951" s="117" t="s">
        <v>86</v>
      </c>
      <c r="F1951" s="117"/>
      <c r="G1951" s="120" t="s">
        <v>24</v>
      </c>
      <c r="H1951" s="117" t="str">
        <f t="shared" si="342"/>
        <v>yes</v>
      </c>
      <c r="I1951" s="117" t="str">
        <f t="shared" si="330"/>
        <v>no</v>
      </c>
      <c r="J1951" s="117" t="str">
        <f t="shared" si="331"/>
        <v>no</v>
      </c>
      <c r="K1951" s="117" t="s">
        <v>703</v>
      </c>
      <c r="L1951" s="117" t="str">
        <f t="shared" si="343"/>
        <v>detailed</v>
      </c>
      <c r="M1951" s="117" t="str">
        <f t="shared" si="332"/>
        <v>detailed Mining</v>
      </c>
      <c r="N1951" s="118">
        <f>((1436600/365)*184)+(1972100/365)*181</f>
        <v>1702149.3150684931</v>
      </c>
      <c r="O1951" s="118"/>
      <c r="P1951" s="118">
        <v>1267369</v>
      </c>
      <c r="Q1951" s="118"/>
      <c r="R1951" s="118"/>
      <c r="S1951" s="117" t="s">
        <v>610</v>
      </c>
      <c r="T1951" s="119">
        <v>0.13289745316450108</v>
      </c>
      <c r="U1951" s="117" t="s">
        <v>611</v>
      </c>
      <c r="V1951" s="117" t="s">
        <v>2301</v>
      </c>
      <c r="W1951" s="89">
        <f>N1951*T1951</f>
        <v>226211.30887830266</v>
      </c>
      <c r="X1951" s="119"/>
      <c r="Y1951" s="117"/>
      <c r="Z1951" s="117"/>
      <c r="AA1951" s="177">
        <v>73175062.082000002</v>
      </c>
      <c r="AB1951" s="89">
        <v>72820703.819999993</v>
      </c>
      <c r="AC1951" s="240"/>
      <c r="AD1951" s="240"/>
      <c r="AE1951" s="240"/>
      <c r="AF1951" s="241">
        <f t="shared" si="341"/>
        <v>323.48100740342198</v>
      </c>
      <c r="AG1951" s="177"/>
      <c r="AH1951" s="189"/>
      <c r="AJ1951" s="117"/>
      <c r="AK1951" s="89"/>
      <c r="AL1951" s="117"/>
      <c r="AM1951" s="117"/>
      <c r="AN1951" s="117">
        <v>3</v>
      </c>
      <c r="AO1951" s="117" t="s">
        <v>2286</v>
      </c>
      <c r="AP1951" s="117">
        <v>2</v>
      </c>
      <c r="AQ1951" s="117"/>
      <c r="AR1951" s="126"/>
      <c r="AS1951" s="117"/>
      <c r="AT1951" s="117"/>
      <c r="AU1951" s="120" t="s">
        <v>2302</v>
      </c>
      <c r="AV1951" s="128"/>
      <c r="AW1951" s="117">
        <f>VLOOKUP($D1951,'WB Data'!$C$3:$M$578,2,FALSE)</f>
        <v>23874165023.892677</v>
      </c>
      <c r="AX1951" s="117">
        <f>VLOOKUP($D1951,'WB Data'!$C$3:$M$578,3,FALSE)</f>
        <v>46354607</v>
      </c>
      <c r="AY1951" s="847">
        <f t="shared" si="335"/>
        <v>1.3814294433750438E-2</v>
      </c>
      <c r="AZ1951" s="117">
        <f>VLOOKUP($D1951,'WB Data'!$C$3:$M$578,4,FALSE)/100</f>
        <v>0.18719239271817237</v>
      </c>
      <c r="BA1951" s="117">
        <f t="shared" si="336"/>
        <v>4469062074.970973</v>
      </c>
      <c r="BB1951" s="129">
        <f>IFERROR(VLOOKUP($D1951,'EITI Revenues'!$C$2:$G$224,5,FALSE),"..")</f>
        <v>329804745</v>
      </c>
      <c r="BC1951" s="846">
        <f t="shared" si="337"/>
        <v>7.3797306787720576E-2</v>
      </c>
      <c r="BD1951" s="129">
        <f>VLOOKUP($D1951,'WB Data 2'!$C$2:$K$545,6,FALSE)</f>
        <v>1734388900.4186442</v>
      </c>
      <c r="BE1951" s="129">
        <f>IFERROR(VLOOKUP($D1951,UNCTAD!$C$5:$V$529,4,FALSE),"..")</f>
        <v>7398236000</v>
      </c>
      <c r="BF1951" s="846">
        <f t="shared" si="338"/>
        <v>0.23443276213662881</v>
      </c>
      <c r="BG1951" s="117">
        <f>VLOOKUP($D1951,'WB Data'!$C$3:$M$578,5,FALSE)</f>
        <v>2445770000</v>
      </c>
      <c r="BH1951" s="129">
        <f>IFERROR($BB1951/$BG1951,"..")</f>
        <v>0.13484699910457648</v>
      </c>
      <c r="BI1951" s="117" t="str">
        <f>IFERROR(VLOOKUP($D1951,'WB Data'!$C$3:$M$578,7,FALSE)/100,"..")</f>
        <v>..</v>
      </c>
      <c r="BJ1951" s="117" t="str">
        <f>IFERROR($BI1951*$AW1951,"..")</f>
        <v>..</v>
      </c>
      <c r="BK1951" s="846" t="str">
        <f>IFERROR($BB1951/$BJ1951,"..")</f>
        <v>..</v>
      </c>
      <c r="BL1951" s="117" t="str">
        <f>IFERROR(VLOOKUP($D1951,'WB Data'!$C$3:$M$578,7,FALSE)/100,"..")</f>
        <v>..</v>
      </c>
      <c r="BM1951" s="117" t="str">
        <f>IFERROR($AW1951*$BL1951,"..")</f>
        <v>..</v>
      </c>
      <c r="BN1951" s="846" t="str">
        <f>IFERROR($BB1951/$BM1951,"..")</f>
        <v>..</v>
      </c>
      <c r="BO1951" s="801">
        <f t="shared" si="334"/>
        <v>31</v>
      </c>
      <c r="BP1951" s="117" t="str">
        <f>VLOOKUP($D1951,'WB Data'!$C$3:$M$578,9,FALSE)</f>
        <v>..</v>
      </c>
      <c r="BQ1951" s="117">
        <f>VLOOKUP($D1951,'WB Data'!$C$3:$M$578,10,FALSE)</f>
        <v>60.074658536585375</v>
      </c>
      <c r="BR1951" s="117">
        <f>VLOOKUP($D1951,'WB Data'!$C$3:$M$578,11,FALSE)</f>
        <v>39.200000000000003</v>
      </c>
      <c r="BS1951" s="129" t="str">
        <f>IFERROR(VLOOKUP($D1951,'WB Data 2'!$C$2:$K$545,9,FALSE),"..")</f>
        <v>..</v>
      </c>
      <c r="BT1951" s="129">
        <f>_xlfn.IFNA(VLOOKUP($C1951,RGI!$A$2:$C$43,2,FALSE),"..")</f>
        <v>27.8</v>
      </c>
      <c r="BU1951" s="129">
        <f>_xlfn.IFNA(VLOOKUP($C1951,RGI!$A$2:$C$43,3,FALSE),"..")</f>
        <v>49.764112779291708</v>
      </c>
      <c r="BV1951" s="129">
        <f>VLOOKUP($D1951,WGI!$C$2:$O$478,7,FALSE)</f>
        <v>-0.171205232800549</v>
      </c>
      <c r="BW1951" s="129">
        <f>VLOOKUP($D1951,WGI!$C$2:$O$478,4,FALSE)</f>
        <v>-4.4534858090529698E-2</v>
      </c>
      <c r="BX1951" s="129">
        <f>VLOOKUP($D1951,WGI!$C$2:$O$478,3,FALSE)</f>
        <v>-0.62902810457442004</v>
      </c>
      <c r="BY1951" s="129">
        <f>VLOOKUP($D1951,WGI!$C$2:$O$478,5,FALSE)</f>
        <v>-0.40353636246337099</v>
      </c>
      <c r="BZ1951" s="129">
        <f>VLOOKUP($D1951,WGI!$C$2:$O$478,2,FALSE)</f>
        <v>-0.675948611776366</v>
      </c>
      <c r="CB1951" s="129"/>
    </row>
    <row r="1952" spans="1:80" s="120" customFormat="1" ht="15" customHeight="1">
      <c r="A1952" s="280" t="s">
        <v>503</v>
      </c>
      <c r="B1952" s="117">
        <v>2011</v>
      </c>
      <c r="C1952" s="117" t="s">
        <v>499</v>
      </c>
      <c r="D1952" s="117" t="s">
        <v>3713</v>
      </c>
      <c r="E1952" s="117" t="s">
        <v>86</v>
      </c>
      <c r="F1952" s="117"/>
      <c r="G1952" s="120" t="s">
        <v>24</v>
      </c>
      <c r="H1952" s="117" t="str">
        <f t="shared" si="342"/>
        <v>yes</v>
      </c>
      <c r="I1952" s="117" t="str">
        <f t="shared" si="330"/>
        <v>no</v>
      </c>
      <c r="J1952" s="117" t="str">
        <f t="shared" si="331"/>
        <v>no</v>
      </c>
      <c r="K1952" s="117" t="s">
        <v>2270</v>
      </c>
      <c r="L1952" s="117" t="str">
        <f t="shared" si="343"/>
        <v>detailed</v>
      </c>
      <c r="M1952" s="117" t="str">
        <f t="shared" si="332"/>
        <v>detailed Mining</v>
      </c>
      <c r="N1952" s="118">
        <f>((2001/365)*184)+(823/365)*181</f>
        <v>1416.841095890411</v>
      </c>
      <c r="O1952" s="118"/>
      <c r="P1952" s="118">
        <f>2406158*0.0002</f>
        <v>481.23160000000001</v>
      </c>
      <c r="Q1952" s="118"/>
      <c r="R1952" s="118"/>
      <c r="S1952" s="117" t="s">
        <v>967</v>
      </c>
      <c r="T1952" s="119">
        <f>10.8422702997275/0.0002</f>
        <v>54211.351498637501</v>
      </c>
      <c r="U1952" s="117" t="s">
        <v>1874</v>
      </c>
      <c r="V1952" s="117" t="s">
        <v>2301</v>
      </c>
      <c r="W1952" s="89">
        <f>N1952*T1952</f>
        <v>76808870.667029828</v>
      </c>
      <c r="X1952" s="119"/>
      <c r="Y1952" s="117"/>
      <c r="Z1952" s="117"/>
      <c r="AA1952" s="177">
        <v>2900644.7749999999</v>
      </c>
      <c r="AB1952" s="89">
        <v>3068262.0874000001</v>
      </c>
      <c r="AC1952" s="240"/>
      <c r="AD1952" s="240"/>
      <c r="AE1952" s="240"/>
      <c r="AF1952" s="241">
        <f t="shared" si="341"/>
        <v>3.7764450249170245E-2</v>
      </c>
      <c r="AG1952" s="177"/>
      <c r="AH1952" s="189"/>
      <c r="AI1952" s="117"/>
      <c r="AJ1952" s="117"/>
      <c r="AK1952" s="89"/>
      <c r="AL1952" s="117"/>
      <c r="AM1952" s="117"/>
      <c r="AN1952" s="117">
        <v>2</v>
      </c>
      <c r="AO1952" s="117" t="s">
        <v>2303</v>
      </c>
      <c r="AP1952" s="117">
        <v>2</v>
      </c>
      <c r="AQ1952" s="117"/>
      <c r="AR1952" s="126"/>
      <c r="AS1952" s="117"/>
      <c r="AT1952" s="117"/>
      <c r="AU1952" s="120" t="s">
        <v>2302</v>
      </c>
      <c r="AV1952" s="128"/>
      <c r="AW1952" s="117">
        <f>VLOOKUP($D1952,'WB Data'!$C$3:$M$578,2,FALSE)</f>
        <v>23874165023.892677</v>
      </c>
      <c r="AX1952" s="117">
        <f>VLOOKUP($D1952,'WB Data'!$C$3:$M$578,3,FALSE)</f>
        <v>46354607</v>
      </c>
      <c r="AY1952" s="847">
        <f t="shared" si="335"/>
        <v>1.3814294433750438E-2</v>
      </c>
      <c r="AZ1952" s="117">
        <f>VLOOKUP($D1952,'WB Data'!$C$3:$M$578,4,FALSE)/100</f>
        <v>0.18719239271817237</v>
      </c>
      <c r="BA1952" s="117">
        <f t="shared" si="336"/>
        <v>4469062074.970973</v>
      </c>
      <c r="BB1952" s="129">
        <f>IFERROR(VLOOKUP($D1952,'EITI Revenues'!$C$2:$G$224,5,FALSE),"..")</f>
        <v>329804745</v>
      </c>
      <c r="BC1952" s="846">
        <f t="shared" si="337"/>
        <v>7.3797306787720576E-2</v>
      </c>
      <c r="BD1952" s="129">
        <f>VLOOKUP($D1952,'WB Data 2'!$C$2:$K$545,6,FALSE)</f>
        <v>1734388900.4186442</v>
      </c>
      <c r="BE1952" s="129">
        <f>IFERROR(VLOOKUP($D1952,UNCTAD!$C$5:$V$529,4,FALSE),"..")</f>
        <v>7398236000</v>
      </c>
      <c r="BF1952" s="846">
        <f t="shared" si="338"/>
        <v>0.23443276213662881</v>
      </c>
      <c r="BG1952" s="117">
        <f>VLOOKUP($D1952,'WB Data'!$C$3:$M$578,5,FALSE)</f>
        <v>2445770000</v>
      </c>
      <c r="BH1952" s="129">
        <f>IFERROR($BB1952/$BG1952,"..")</f>
        <v>0.13484699910457648</v>
      </c>
      <c r="BI1952" s="117" t="str">
        <f>IFERROR(VLOOKUP($D1952,'WB Data'!$C$3:$M$578,7,FALSE)/100,"..")</f>
        <v>..</v>
      </c>
      <c r="BJ1952" s="117" t="str">
        <f>IFERROR($BI1952*$AW1952,"..")</f>
        <v>..</v>
      </c>
      <c r="BK1952" s="846" t="str">
        <f>IFERROR($BB1952/$BJ1952,"..")</f>
        <v>..</v>
      </c>
      <c r="BL1952" s="117" t="str">
        <f>IFERROR(VLOOKUP($D1952,'WB Data'!$C$3:$M$578,7,FALSE)/100,"..")</f>
        <v>..</v>
      </c>
      <c r="BM1952" s="117" t="str">
        <f>IFERROR($AW1952*$BL1952,"..")</f>
        <v>..</v>
      </c>
      <c r="BN1952" s="846" t="str">
        <f>IFERROR($BB1952/$BM1952,"..")</f>
        <v>..</v>
      </c>
      <c r="BO1952" s="801">
        <f t="shared" si="334"/>
        <v>31</v>
      </c>
      <c r="BP1952" s="117" t="str">
        <f>VLOOKUP($D1952,'WB Data'!$C$3:$M$578,9,FALSE)</f>
        <v>..</v>
      </c>
      <c r="BQ1952" s="117">
        <f>VLOOKUP($D1952,'WB Data'!$C$3:$M$578,10,FALSE)</f>
        <v>60.074658536585375</v>
      </c>
      <c r="BR1952" s="117">
        <f>VLOOKUP($D1952,'WB Data'!$C$3:$M$578,11,FALSE)</f>
        <v>39.200000000000003</v>
      </c>
      <c r="BS1952" s="129" t="str">
        <f>IFERROR(VLOOKUP($D1952,'WB Data 2'!$C$2:$K$545,9,FALSE),"..")</f>
        <v>..</v>
      </c>
      <c r="BT1952" s="129">
        <f>_xlfn.IFNA(VLOOKUP($C1952,RGI!$A$2:$C$43,2,FALSE),"..")</f>
        <v>27.8</v>
      </c>
      <c r="BU1952" s="129">
        <f>_xlfn.IFNA(VLOOKUP($C1952,RGI!$A$2:$C$43,3,FALSE),"..")</f>
        <v>49.764112779291708</v>
      </c>
      <c r="BV1952" s="129">
        <f>VLOOKUP($D1952,WGI!$C$2:$O$478,7,FALSE)</f>
        <v>-0.171205232800549</v>
      </c>
      <c r="BW1952" s="129">
        <f>VLOOKUP($D1952,WGI!$C$2:$O$478,4,FALSE)</f>
        <v>-4.4534858090529698E-2</v>
      </c>
      <c r="BX1952" s="129">
        <f>VLOOKUP($D1952,WGI!$C$2:$O$478,3,FALSE)</f>
        <v>-0.62902810457442004</v>
      </c>
      <c r="BY1952" s="129">
        <f>VLOOKUP($D1952,WGI!$C$2:$O$478,5,FALSE)</f>
        <v>-0.40353636246337099</v>
      </c>
      <c r="BZ1952" s="129">
        <f>VLOOKUP($D1952,WGI!$C$2:$O$478,2,FALSE)</f>
        <v>-0.675948611776366</v>
      </c>
      <c r="CB1952" s="129"/>
    </row>
    <row r="1953" spans="1:80" s="120" customFormat="1" ht="15" customHeight="1">
      <c r="A1953" s="280" t="s">
        <v>503</v>
      </c>
      <c r="B1953" s="117">
        <v>2011</v>
      </c>
      <c r="C1953" s="117" t="s">
        <v>499</v>
      </c>
      <c r="D1953" s="117" t="s">
        <v>3713</v>
      </c>
      <c r="E1953" s="117" t="s">
        <v>86</v>
      </c>
      <c r="F1953" s="117"/>
      <c r="G1953" s="120" t="s">
        <v>24</v>
      </c>
      <c r="H1953" s="117" t="str">
        <f t="shared" si="342"/>
        <v>yes</v>
      </c>
      <c r="I1953" s="117" t="str">
        <f t="shared" si="330"/>
        <v>no</v>
      </c>
      <c r="J1953" s="117" t="str">
        <f t="shared" si="331"/>
        <v>no</v>
      </c>
      <c r="K1953" s="120" t="s">
        <v>1466</v>
      </c>
      <c r="L1953" s="117" t="str">
        <f t="shared" si="343"/>
        <v>detailed</v>
      </c>
      <c r="M1953" s="117" t="str">
        <f t="shared" si="332"/>
        <v>detailed Mining</v>
      </c>
      <c r="N1953" s="118">
        <v>0</v>
      </c>
      <c r="O1953" s="118"/>
      <c r="P1953" s="118"/>
      <c r="Q1953" s="118"/>
      <c r="R1953" s="118"/>
      <c r="S1953" s="117" t="s">
        <v>610</v>
      </c>
      <c r="T1953" s="119"/>
      <c r="U1953" s="117"/>
      <c r="V1953" s="117" t="s">
        <v>620</v>
      </c>
      <c r="W1953" s="89">
        <f>N1953*T1953</f>
        <v>0</v>
      </c>
      <c r="X1953" s="117"/>
      <c r="Y1953" s="117"/>
      <c r="Z1953" s="117"/>
      <c r="AA1953" s="177">
        <v>4420994.0180000002</v>
      </c>
      <c r="AB1953" s="89">
        <v>4564733.0190000003</v>
      </c>
      <c r="AC1953" s="240"/>
      <c r="AD1953" s="240"/>
      <c r="AE1953" s="240"/>
      <c r="AF1953" s="241"/>
      <c r="AG1953" s="177"/>
      <c r="AH1953" s="189"/>
      <c r="AJ1953" s="117"/>
      <c r="AK1953" s="89"/>
      <c r="AL1953" s="117"/>
      <c r="AM1953" s="117"/>
      <c r="AN1953" s="117">
        <v>1</v>
      </c>
      <c r="AO1953" s="120" t="s">
        <v>2304</v>
      </c>
      <c r="AP1953" s="117">
        <v>1</v>
      </c>
      <c r="AQ1953" s="117"/>
      <c r="AR1953" s="126"/>
      <c r="AS1953" s="117"/>
      <c r="AT1953" s="117"/>
      <c r="AU1953" s="120" t="s">
        <v>2302</v>
      </c>
      <c r="AV1953" s="128"/>
      <c r="AW1953" s="117">
        <f>VLOOKUP($D1953,'WB Data'!$C$3:$M$578,2,FALSE)</f>
        <v>23874165023.892677</v>
      </c>
      <c r="AX1953" s="117">
        <f>VLOOKUP($D1953,'WB Data'!$C$3:$M$578,3,FALSE)</f>
        <v>46354607</v>
      </c>
      <c r="AY1953" s="847">
        <f t="shared" si="335"/>
        <v>1.3814294433750438E-2</v>
      </c>
      <c r="AZ1953" s="117">
        <f>VLOOKUP($D1953,'WB Data'!$C$3:$M$578,4,FALSE)/100</f>
        <v>0.18719239271817237</v>
      </c>
      <c r="BA1953" s="117">
        <f t="shared" si="336"/>
        <v>4469062074.970973</v>
      </c>
      <c r="BB1953" s="129">
        <f>IFERROR(VLOOKUP($D1953,'EITI Revenues'!$C$2:$G$224,5,FALSE),"..")</f>
        <v>329804745</v>
      </c>
      <c r="BC1953" s="846">
        <f t="shared" si="337"/>
        <v>7.3797306787720576E-2</v>
      </c>
      <c r="BD1953" s="129">
        <f>VLOOKUP($D1953,'WB Data 2'!$C$2:$K$545,6,FALSE)</f>
        <v>1734388900.4186442</v>
      </c>
      <c r="BE1953" s="129">
        <f>IFERROR(VLOOKUP($D1953,UNCTAD!$C$5:$V$529,4,FALSE),"..")</f>
        <v>7398236000</v>
      </c>
      <c r="BF1953" s="846">
        <f t="shared" si="338"/>
        <v>0.23443276213662881</v>
      </c>
      <c r="BG1953" s="117">
        <f>VLOOKUP($D1953,'WB Data'!$C$3:$M$578,5,FALSE)</f>
        <v>2445770000</v>
      </c>
      <c r="BH1953" s="129">
        <f>IFERROR($BB1953/$BG1953,"..")</f>
        <v>0.13484699910457648</v>
      </c>
      <c r="BI1953" s="117" t="str">
        <f>IFERROR(VLOOKUP($D1953,'WB Data'!$C$3:$M$578,7,FALSE)/100,"..")</f>
        <v>..</v>
      </c>
      <c r="BJ1953" s="117" t="str">
        <f>IFERROR($BI1953*$AW1953,"..")</f>
        <v>..</v>
      </c>
      <c r="BK1953" s="846" t="str">
        <f>IFERROR($BB1953/$BJ1953,"..")</f>
        <v>..</v>
      </c>
      <c r="BL1953" s="117" t="str">
        <f>IFERROR(VLOOKUP($D1953,'WB Data'!$C$3:$M$578,7,FALSE)/100,"..")</f>
        <v>..</v>
      </c>
      <c r="BM1953" s="117" t="str">
        <f>IFERROR($AW1953*$BL1953,"..")</f>
        <v>..</v>
      </c>
      <c r="BN1953" s="846" t="str">
        <f>IFERROR($BB1953/$BM1953,"..")</f>
        <v>..</v>
      </c>
      <c r="BO1953" s="801">
        <f t="shared" si="334"/>
        <v>31</v>
      </c>
      <c r="BP1953" s="117" t="str">
        <f>VLOOKUP($D1953,'WB Data'!$C$3:$M$578,9,FALSE)</f>
        <v>..</v>
      </c>
      <c r="BQ1953" s="117">
        <f>VLOOKUP($D1953,'WB Data'!$C$3:$M$578,10,FALSE)</f>
        <v>60.074658536585375</v>
      </c>
      <c r="BR1953" s="117">
        <f>VLOOKUP($D1953,'WB Data'!$C$3:$M$578,11,FALSE)</f>
        <v>39.200000000000003</v>
      </c>
      <c r="BS1953" s="129" t="str">
        <f>IFERROR(VLOOKUP($D1953,'WB Data 2'!$C$2:$K$545,9,FALSE),"..")</f>
        <v>..</v>
      </c>
      <c r="BT1953" s="129">
        <f>_xlfn.IFNA(VLOOKUP($C1953,RGI!$A$2:$C$43,2,FALSE),"..")</f>
        <v>27.8</v>
      </c>
      <c r="BU1953" s="129">
        <f>_xlfn.IFNA(VLOOKUP($C1953,RGI!$A$2:$C$43,3,FALSE),"..")</f>
        <v>49.764112779291708</v>
      </c>
      <c r="BV1953" s="129">
        <f>VLOOKUP($D1953,WGI!$C$2:$O$478,7,FALSE)</f>
        <v>-0.171205232800549</v>
      </c>
      <c r="BW1953" s="129">
        <f>VLOOKUP($D1953,WGI!$C$2:$O$478,4,FALSE)</f>
        <v>-4.4534858090529698E-2</v>
      </c>
      <c r="BX1953" s="129">
        <f>VLOOKUP($D1953,WGI!$C$2:$O$478,3,FALSE)</f>
        <v>-0.62902810457442004</v>
      </c>
      <c r="BY1953" s="129">
        <f>VLOOKUP($D1953,WGI!$C$2:$O$478,5,FALSE)</f>
        <v>-0.40353636246337099</v>
      </c>
      <c r="BZ1953" s="129">
        <f>VLOOKUP($D1953,WGI!$C$2:$O$478,2,FALSE)</f>
        <v>-0.675948611776366</v>
      </c>
      <c r="CB1953" s="129"/>
    </row>
    <row r="1954" spans="1:80" s="158" customFormat="1" ht="15" customHeight="1">
      <c r="A1954" s="282" t="s">
        <v>503</v>
      </c>
      <c r="B1954" s="149">
        <v>2011</v>
      </c>
      <c r="C1954" s="149" t="s">
        <v>499</v>
      </c>
      <c r="D1954" s="117" t="s">
        <v>3713</v>
      </c>
      <c r="E1954" s="149" t="s">
        <v>86</v>
      </c>
      <c r="F1954" s="149"/>
      <c r="G1954" s="120" t="s">
        <v>24</v>
      </c>
      <c r="H1954" s="117" t="str">
        <f t="shared" si="342"/>
        <v>yes</v>
      </c>
      <c r="I1954" s="117" t="str">
        <f t="shared" si="330"/>
        <v>no</v>
      </c>
      <c r="J1954" s="117" t="str">
        <f t="shared" si="331"/>
        <v>no</v>
      </c>
      <c r="K1954" s="149" t="s">
        <v>2291</v>
      </c>
      <c r="L1954" s="117" t="str">
        <f t="shared" si="343"/>
        <v>detailed</v>
      </c>
      <c r="M1954" s="117" t="str">
        <f t="shared" si="332"/>
        <v>detailed Mining</v>
      </c>
      <c r="N1954" s="150"/>
      <c r="O1954" s="150"/>
      <c r="P1954" s="150"/>
      <c r="Q1954" s="150"/>
      <c r="R1954" s="150"/>
      <c r="S1954" s="149"/>
      <c r="T1954" s="151"/>
      <c r="U1954" s="149"/>
      <c r="V1954" s="149"/>
      <c r="W1954" s="152"/>
      <c r="X1954" s="149"/>
      <c r="Y1954" s="149"/>
      <c r="Z1954" s="149"/>
      <c r="AA1954" s="284">
        <v>1463821.085</v>
      </c>
      <c r="AB1954" s="152">
        <v>1501402.085</v>
      </c>
      <c r="AC1954" s="288"/>
      <c r="AD1954" s="288"/>
      <c r="AE1954" s="288"/>
      <c r="AF1954" s="285"/>
      <c r="AG1954" s="284"/>
      <c r="AH1954" s="639"/>
      <c r="AI1954" s="149"/>
      <c r="AJ1954" s="149"/>
      <c r="AK1954" s="152"/>
      <c r="AL1954" s="149"/>
      <c r="AM1954" s="149"/>
      <c r="AN1954" s="149">
        <v>3</v>
      </c>
      <c r="AO1954" s="149" t="s">
        <v>2305</v>
      </c>
      <c r="AP1954" s="149">
        <v>3</v>
      </c>
      <c r="AQ1954" s="149"/>
      <c r="AR1954" s="220"/>
      <c r="AS1954" s="149"/>
      <c r="AT1954" s="149"/>
      <c r="AV1954" s="157"/>
      <c r="AW1954" s="117">
        <f>VLOOKUP($D1954,'WB Data'!$C$3:$M$578,2,FALSE)</f>
        <v>23874165023.892677</v>
      </c>
      <c r="AX1954" s="117">
        <f>VLOOKUP($D1954,'WB Data'!$C$3:$M$578,3,FALSE)</f>
        <v>46354607</v>
      </c>
      <c r="AY1954" s="847">
        <f t="shared" si="335"/>
        <v>1.3814294433750438E-2</v>
      </c>
      <c r="AZ1954" s="117">
        <f>VLOOKUP($D1954,'WB Data'!$C$3:$M$578,4,FALSE)/100</f>
        <v>0.18719239271817237</v>
      </c>
      <c r="BA1954" s="117">
        <f t="shared" si="336"/>
        <v>4469062074.970973</v>
      </c>
      <c r="BB1954" s="129">
        <f>IFERROR(VLOOKUP($D1954,'EITI Revenues'!$C$2:$G$224,5,FALSE),"..")</f>
        <v>329804745</v>
      </c>
      <c r="BC1954" s="846">
        <f t="shared" si="337"/>
        <v>7.3797306787720576E-2</v>
      </c>
      <c r="BD1954" s="129">
        <f>VLOOKUP($D1954,'WB Data 2'!$C$2:$K$545,6,FALSE)</f>
        <v>1734388900.4186442</v>
      </c>
      <c r="BE1954" s="129">
        <f>IFERROR(VLOOKUP($D1954,UNCTAD!$C$5:$V$529,4,FALSE),"..")</f>
        <v>7398236000</v>
      </c>
      <c r="BF1954" s="846">
        <f t="shared" si="338"/>
        <v>0.23443276213662881</v>
      </c>
      <c r="BG1954" s="117">
        <f>VLOOKUP($D1954,'WB Data'!$C$3:$M$578,5,FALSE)</f>
        <v>2445770000</v>
      </c>
      <c r="BH1954" s="129">
        <f>IFERROR($BB1954/$BG1954,"..")</f>
        <v>0.13484699910457648</v>
      </c>
      <c r="BI1954" s="117" t="str">
        <f>IFERROR(VLOOKUP($D1954,'WB Data'!$C$3:$M$578,7,FALSE)/100,"..")</f>
        <v>..</v>
      </c>
      <c r="BJ1954" s="117" t="str">
        <f>IFERROR($BI1954*$AW1954,"..")</f>
        <v>..</v>
      </c>
      <c r="BK1954" s="846" t="str">
        <f>IFERROR($BB1954/$BJ1954,"..")</f>
        <v>..</v>
      </c>
      <c r="BL1954" s="117" t="str">
        <f>IFERROR(VLOOKUP($D1954,'WB Data'!$C$3:$M$578,7,FALSE)/100,"..")</f>
        <v>..</v>
      </c>
      <c r="BM1954" s="117" t="str">
        <f>IFERROR($AW1954*$BL1954,"..")</f>
        <v>..</v>
      </c>
      <c r="BN1954" s="846" t="str">
        <f>IFERROR($BB1954/$BM1954,"..")</f>
        <v>..</v>
      </c>
      <c r="BO1954" s="801">
        <f t="shared" si="334"/>
        <v>31</v>
      </c>
      <c r="BP1954" s="117" t="str">
        <f>VLOOKUP($D1954,'WB Data'!$C$3:$M$578,9,FALSE)</f>
        <v>..</v>
      </c>
      <c r="BQ1954" s="117">
        <f>VLOOKUP($D1954,'WB Data'!$C$3:$M$578,10,FALSE)</f>
        <v>60.074658536585375</v>
      </c>
      <c r="BR1954" s="117">
        <f>VLOOKUP($D1954,'WB Data'!$C$3:$M$578,11,FALSE)</f>
        <v>39.200000000000003</v>
      </c>
      <c r="BS1954" s="129" t="str">
        <f>IFERROR(VLOOKUP($D1954,'WB Data 2'!$C$2:$K$545,9,FALSE),"..")</f>
        <v>..</v>
      </c>
      <c r="BT1954" s="129">
        <f>_xlfn.IFNA(VLOOKUP($C1954,RGI!$A$2:$C$43,2,FALSE),"..")</f>
        <v>27.8</v>
      </c>
      <c r="BU1954" s="129">
        <f>_xlfn.IFNA(VLOOKUP($C1954,RGI!$A$2:$C$43,3,FALSE),"..")</f>
        <v>49.764112779291708</v>
      </c>
      <c r="BV1954" s="129">
        <f>VLOOKUP($D1954,WGI!$C$2:$O$478,7,FALSE)</f>
        <v>-0.171205232800549</v>
      </c>
      <c r="BW1954" s="129">
        <f>VLOOKUP($D1954,WGI!$C$2:$O$478,4,FALSE)</f>
        <v>-4.4534858090529698E-2</v>
      </c>
      <c r="BX1954" s="129">
        <f>VLOOKUP($D1954,WGI!$C$2:$O$478,3,FALSE)</f>
        <v>-0.62902810457442004</v>
      </c>
      <c r="BY1954" s="129">
        <f>VLOOKUP($D1954,WGI!$C$2:$O$478,5,FALSE)</f>
        <v>-0.40353636246337099</v>
      </c>
      <c r="BZ1954" s="129">
        <f>VLOOKUP($D1954,WGI!$C$2:$O$478,2,FALSE)</f>
        <v>-0.675948611776366</v>
      </c>
      <c r="CB1954" s="129"/>
    </row>
    <row r="1955" spans="1:80" ht="15" customHeight="1">
      <c r="A1955" s="280" t="s">
        <v>505</v>
      </c>
      <c r="B1955" s="117">
        <v>2012</v>
      </c>
      <c r="C1955" s="117" t="s">
        <v>499</v>
      </c>
      <c r="D1955" s="117" t="s">
        <v>3747</v>
      </c>
      <c r="E1955" s="117" t="s">
        <v>86</v>
      </c>
      <c r="F1955" s="117" t="s">
        <v>2254</v>
      </c>
      <c r="G1955" s="132" t="s">
        <v>35</v>
      </c>
      <c r="H1955" s="117" t="str">
        <f t="shared" si="342"/>
        <v>yes</v>
      </c>
      <c r="I1955" s="117" t="str">
        <f t="shared" si="330"/>
        <v>yes</v>
      </c>
      <c r="J1955" s="117" t="str">
        <f t="shared" si="331"/>
        <v>yes</v>
      </c>
      <c r="K1955" s="117" t="s">
        <v>709</v>
      </c>
      <c r="L1955" s="117" t="str">
        <f t="shared" si="343"/>
        <v>Total</v>
      </c>
      <c r="M1955" s="117" t="str">
        <f t="shared" si="332"/>
        <v>Total Oil, Gas, Mining</v>
      </c>
      <c r="N1955" s="118"/>
      <c r="O1955" s="118"/>
      <c r="P1955" s="118"/>
      <c r="Q1955" s="118"/>
      <c r="R1955" s="118"/>
      <c r="S1955" s="117"/>
      <c r="T1955" s="119"/>
      <c r="U1955" s="117"/>
      <c r="V1955" s="117"/>
      <c r="W1955" s="89">
        <f>W1956+W1959</f>
        <v>4329620597.5478354</v>
      </c>
      <c r="X1955" s="117" t="s">
        <v>1179</v>
      </c>
      <c r="Y1955" s="117" t="s">
        <v>602</v>
      </c>
      <c r="Z1955" s="117" t="s">
        <v>603</v>
      </c>
      <c r="AA1955" s="177">
        <v>468277747.69958961</v>
      </c>
      <c r="AB1955" s="177">
        <v>469605653.31086099</v>
      </c>
      <c r="AC1955" s="212" t="s">
        <v>2306</v>
      </c>
      <c r="AD1955" s="177">
        <f>AA1955/99.79*100</f>
        <v>469263200.42047256</v>
      </c>
      <c r="AE1955" s="212" t="s">
        <v>665</v>
      </c>
      <c r="AF1955" s="213">
        <f>AD1955/W1955</f>
        <v>0.10838436991136102</v>
      </c>
      <c r="AG1955" s="117" t="s">
        <v>2255</v>
      </c>
      <c r="AH1955" s="124">
        <v>1617.99</v>
      </c>
      <c r="AI1955" s="117" t="s">
        <v>605</v>
      </c>
      <c r="AJ1955" s="117"/>
      <c r="AK1955" s="89"/>
      <c r="AL1955" s="117"/>
      <c r="AM1955" s="117"/>
      <c r="AN1955" s="117">
        <v>46</v>
      </c>
      <c r="AO1955" s="117" t="s">
        <v>2307</v>
      </c>
      <c r="AP1955" s="117">
        <v>44</v>
      </c>
      <c r="AQ1955" s="390" t="s">
        <v>47</v>
      </c>
      <c r="AR1955" s="126">
        <v>41900</v>
      </c>
      <c r="AS1955" s="117" t="s">
        <v>607</v>
      </c>
      <c r="AT1955" s="117" t="s">
        <v>506</v>
      </c>
      <c r="AU1955" s="120" t="s">
        <v>2308</v>
      </c>
      <c r="AV1955" s="128" t="s">
        <v>2309</v>
      </c>
      <c r="AW1955" s="117">
        <f>VLOOKUP($D1955,'WB Data'!$C$3:$M$578,2,FALSE)</f>
        <v>28248632095.687702</v>
      </c>
      <c r="AX1955" s="117">
        <f>VLOOKUP($D1955,'WB Data'!$C$3:$M$578,3,FALSE)</f>
        <v>47783107</v>
      </c>
      <c r="AY1955" s="847">
        <f t="shared" si="335"/>
        <v>1.6577006140098181E-2</v>
      </c>
      <c r="AZ1955" s="117">
        <f>VLOOKUP($D1955,'WB Data'!$C$3:$M$578,4,FALSE)/100</f>
        <v>0.17321821852641847</v>
      </c>
      <c r="BA1955" s="117">
        <f t="shared" si="336"/>
        <v>4893177727.4232311</v>
      </c>
      <c r="BB1955" s="129">
        <f>IFERROR(VLOOKUP($D1955,'EITI Revenues'!$C$2:$G$224,5,FALSE),"..")</f>
        <v>468277747.69958961</v>
      </c>
      <c r="BC1955" s="846">
        <f t="shared" si="337"/>
        <v>9.5700130627829602E-2</v>
      </c>
      <c r="BD1955" s="129">
        <f>VLOOKUP($D1955,'WB Data 2'!$C$2:$K$545,6,FALSE)</f>
        <v>1466303333.4991405</v>
      </c>
      <c r="BE1955" s="129">
        <f>IFERROR(VLOOKUP($D1955,UNCTAD!$C$5:$V$529,4,FALSE),"..")</f>
        <v>8544395000</v>
      </c>
      <c r="BF1955" s="846">
        <f t="shared" si="338"/>
        <v>0.17160996577278326</v>
      </c>
      <c r="BG1955" s="117">
        <f>VLOOKUP($D1955,'WB Data'!$C$3:$M$578,5,FALSE)</f>
        <v>2831890000</v>
      </c>
      <c r="BH1955" s="129">
        <f>IFERROR($BB1955/$BG1955,"..")</f>
        <v>0.16535873487303165</v>
      </c>
      <c r="BI1955" s="117" t="str">
        <f>IFERROR(VLOOKUP($D1955,'WB Data'!$C$3:$M$578,7,FALSE)/100,"..")</f>
        <v>..</v>
      </c>
      <c r="BJ1955" s="117" t="str">
        <f>IFERROR($BI1955*$AW1955,"..")</f>
        <v>..</v>
      </c>
      <c r="BK1955" s="846" t="str">
        <f>IFERROR($BB1955/$BJ1955,"..")</f>
        <v>..</v>
      </c>
      <c r="BL1955" s="117" t="str">
        <f>IFERROR(VLOOKUP($D1955,'WB Data'!$C$3:$M$578,7,FALSE)/100,"..")</f>
        <v>..</v>
      </c>
      <c r="BM1955" s="117" t="str">
        <f>IFERROR($AW1955*$BL1955,"..")</f>
        <v>..</v>
      </c>
      <c r="BN1955" s="846" t="str">
        <f>IFERROR($BB1955/$BM1955,"..")</f>
        <v>..</v>
      </c>
      <c r="BO1955" s="801">
        <f t="shared" si="334"/>
        <v>31</v>
      </c>
      <c r="BP1955" s="117">
        <f>VLOOKUP($D1955,'WB Data'!$C$3:$M$578,9,FALSE)</f>
        <v>28.2</v>
      </c>
      <c r="BQ1955" s="117">
        <f>VLOOKUP($D1955,'WB Data'!$C$3:$M$578,10,FALSE)</f>
        <v>60.84643902439025</v>
      </c>
      <c r="BR1955" s="117">
        <f>VLOOKUP($D1955,'WB Data'!$C$3:$M$578,11,FALSE)</f>
        <v>37.700000000000003</v>
      </c>
      <c r="BS1955" s="129" t="str">
        <f>IFERROR(VLOOKUP($D1955,'WB Data 2'!$C$2:$K$545,9,FALSE),"..")</f>
        <v>..</v>
      </c>
      <c r="BT1955" s="129">
        <f>_xlfn.IFNA(VLOOKUP($C1955,RGI!$A$2:$C$43,2,FALSE),"..")</f>
        <v>27.8</v>
      </c>
      <c r="BU1955" s="129">
        <f>_xlfn.IFNA(VLOOKUP($C1955,RGI!$A$2:$C$43,3,FALSE),"..")</f>
        <v>49.764112779291708</v>
      </c>
      <c r="BV1955" s="129">
        <f>VLOOKUP($D1955,WGI!$C$2:$O$478,7,FALSE)</f>
        <v>-0.22291643302056699</v>
      </c>
      <c r="BW1955" s="129">
        <f>VLOOKUP($D1955,WGI!$C$2:$O$478,4,FALSE)</f>
        <v>2.69374400343513E-2</v>
      </c>
      <c r="BX1955" s="129">
        <f>VLOOKUP($D1955,WGI!$C$2:$O$478,3,FALSE)</f>
        <v>-0.69087113955483004</v>
      </c>
      <c r="BY1955" s="129">
        <f>VLOOKUP($D1955,WGI!$C$2:$O$478,5,FALSE)</f>
        <v>-0.39860635659708998</v>
      </c>
      <c r="BZ1955" s="129">
        <f>VLOOKUP($D1955,WGI!$C$2:$O$478,2,FALSE)</f>
        <v>-0.85063478049108399</v>
      </c>
    </row>
    <row r="1956" spans="1:80" ht="15" customHeight="1">
      <c r="A1956" s="280" t="s">
        <v>505</v>
      </c>
      <c r="B1956" s="117">
        <v>2012</v>
      </c>
      <c r="C1956" s="117" t="s">
        <v>499</v>
      </c>
      <c r="D1956" s="117" t="s">
        <v>3747</v>
      </c>
      <c r="E1956" s="117" t="s">
        <v>86</v>
      </c>
      <c r="F1956" s="117"/>
      <c r="G1956" s="120" t="s">
        <v>55</v>
      </c>
      <c r="H1956" s="117" t="str">
        <f t="shared" si="342"/>
        <v>no</v>
      </c>
      <c r="I1956" s="117" t="str">
        <f t="shared" si="330"/>
        <v>yes</v>
      </c>
      <c r="J1956" s="117" t="str">
        <f t="shared" si="331"/>
        <v>yes</v>
      </c>
      <c r="K1956" s="117" t="s">
        <v>640</v>
      </c>
      <c r="L1956" s="117" t="str">
        <f t="shared" si="343"/>
        <v>Total</v>
      </c>
      <c r="M1956" s="117" t="str">
        <f t="shared" si="332"/>
        <v>Total Oil, Gas</v>
      </c>
      <c r="N1956" s="118"/>
      <c r="O1956" s="118"/>
      <c r="P1956" s="118"/>
      <c r="Q1956" s="118"/>
      <c r="R1956" s="118"/>
      <c r="S1956" s="120"/>
      <c r="T1956" s="119"/>
      <c r="U1956" s="120"/>
      <c r="V1956" s="120"/>
      <c r="W1956" s="89">
        <f>SUM(W1957:W1958)</f>
        <v>164626258.23755881</v>
      </c>
      <c r="X1956" s="117"/>
      <c r="Y1956" s="117"/>
      <c r="Z1956" s="117"/>
      <c r="AA1956" s="177">
        <v>89598040.779347211</v>
      </c>
      <c r="AB1956" s="177">
        <v>88601056.249303147</v>
      </c>
      <c r="AC1956" s="122"/>
      <c r="AD1956" s="122"/>
      <c r="AE1956" s="122"/>
      <c r="AF1956" s="123">
        <f>AA1956/W1956</f>
        <v>0.54425121325454373</v>
      </c>
      <c r="AG1956" s="177"/>
      <c r="AH1956" s="189"/>
      <c r="AI1956" s="117"/>
      <c r="AJ1956" s="117"/>
      <c r="AK1956" s="89"/>
      <c r="AL1956" s="117"/>
      <c r="AM1956" s="117"/>
      <c r="AN1956" s="117">
        <v>20</v>
      </c>
      <c r="AO1956" s="120" t="s">
        <v>2310</v>
      </c>
      <c r="AP1956" s="117">
        <v>20</v>
      </c>
      <c r="AQ1956" s="117"/>
      <c r="AR1956" s="126"/>
      <c r="AS1956" s="117"/>
      <c r="AT1956" s="117"/>
      <c r="AU1956" s="120" t="s">
        <v>2308</v>
      </c>
      <c r="AV1956" s="128"/>
      <c r="AW1956" s="117">
        <f>VLOOKUP($D1956,'WB Data'!$C$3:$M$578,2,FALSE)</f>
        <v>28248632095.687702</v>
      </c>
      <c r="AX1956" s="117">
        <f>VLOOKUP($D1956,'WB Data'!$C$3:$M$578,3,FALSE)</f>
        <v>47783107</v>
      </c>
      <c r="AY1956" s="847">
        <f t="shared" si="335"/>
        <v>1.6577006140098181E-2</v>
      </c>
      <c r="AZ1956" s="117">
        <f>VLOOKUP($D1956,'WB Data'!$C$3:$M$578,4,FALSE)/100</f>
        <v>0.17321821852641847</v>
      </c>
      <c r="BA1956" s="117">
        <f t="shared" si="336"/>
        <v>4893177727.4232311</v>
      </c>
      <c r="BB1956" s="129">
        <f>IFERROR(VLOOKUP($D1956,'EITI Revenues'!$C$2:$G$224,5,FALSE),"..")</f>
        <v>468277747.69958961</v>
      </c>
      <c r="BC1956" s="846">
        <f t="shared" si="337"/>
        <v>9.5700130627829602E-2</v>
      </c>
      <c r="BD1956" s="129">
        <f>VLOOKUP($D1956,'WB Data 2'!$C$2:$K$545,6,FALSE)</f>
        <v>1466303333.4991405</v>
      </c>
      <c r="BE1956" s="129">
        <f>IFERROR(VLOOKUP($D1956,UNCTAD!$C$5:$V$529,4,FALSE),"..")</f>
        <v>8544395000</v>
      </c>
      <c r="BF1956" s="846">
        <f t="shared" si="338"/>
        <v>0.17160996577278326</v>
      </c>
      <c r="BG1956" s="117">
        <f>VLOOKUP($D1956,'WB Data'!$C$3:$M$578,5,FALSE)</f>
        <v>2831890000</v>
      </c>
      <c r="BH1956" s="129">
        <f>IFERROR($BB1956/$BG1956,"..")</f>
        <v>0.16535873487303165</v>
      </c>
      <c r="BI1956" s="117" t="str">
        <f>IFERROR(VLOOKUP($D1956,'WB Data'!$C$3:$M$578,7,FALSE)/100,"..")</f>
        <v>..</v>
      </c>
      <c r="BJ1956" s="117" t="str">
        <f>IFERROR($BI1956*$AW1956,"..")</f>
        <v>..</v>
      </c>
      <c r="BK1956" s="846" t="str">
        <f>IFERROR($BB1956/$BJ1956,"..")</f>
        <v>..</v>
      </c>
      <c r="BL1956" s="117" t="str">
        <f>IFERROR(VLOOKUP($D1956,'WB Data'!$C$3:$M$578,7,FALSE)/100,"..")</f>
        <v>..</v>
      </c>
      <c r="BM1956" s="117" t="str">
        <f>IFERROR($AW1956*$BL1956,"..")</f>
        <v>..</v>
      </c>
      <c r="BN1956" s="846" t="str">
        <f>IFERROR($BB1956/$BM1956,"..")</f>
        <v>..</v>
      </c>
      <c r="BO1956" s="801">
        <f t="shared" si="334"/>
        <v>31</v>
      </c>
      <c r="BP1956" s="117">
        <f>VLOOKUP($D1956,'WB Data'!$C$3:$M$578,9,FALSE)</f>
        <v>28.2</v>
      </c>
      <c r="BQ1956" s="117">
        <f>VLOOKUP($D1956,'WB Data'!$C$3:$M$578,10,FALSE)</f>
        <v>60.84643902439025</v>
      </c>
      <c r="BR1956" s="117">
        <f>VLOOKUP($D1956,'WB Data'!$C$3:$M$578,11,FALSE)</f>
        <v>37.700000000000003</v>
      </c>
      <c r="BS1956" s="129" t="str">
        <f>IFERROR(VLOOKUP($D1956,'WB Data 2'!$C$2:$K$545,9,FALSE),"..")</f>
        <v>..</v>
      </c>
      <c r="BT1956" s="129">
        <f>_xlfn.IFNA(VLOOKUP($C1956,RGI!$A$2:$C$43,2,FALSE),"..")</f>
        <v>27.8</v>
      </c>
      <c r="BU1956" s="129">
        <f>_xlfn.IFNA(VLOOKUP($C1956,RGI!$A$2:$C$43,3,FALSE),"..")</f>
        <v>49.764112779291708</v>
      </c>
      <c r="BV1956" s="129">
        <f>VLOOKUP($D1956,WGI!$C$2:$O$478,7,FALSE)</f>
        <v>-0.22291643302056699</v>
      </c>
      <c r="BW1956" s="129">
        <f>VLOOKUP($D1956,WGI!$C$2:$O$478,4,FALSE)</f>
        <v>2.69374400343513E-2</v>
      </c>
      <c r="BX1956" s="129">
        <f>VLOOKUP($D1956,WGI!$C$2:$O$478,3,FALSE)</f>
        <v>-0.69087113955483004</v>
      </c>
      <c r="BY1956" s="129">
        <f>VLOOKUP($D1956,WGI!$C$2:$O$478,5,FALSE)</f>
        <v>-0.39860635659708998</v>
      </c>
      <c r="BZ1956" s="129">
        <f>VLOOKUP($D1956,WGI!$C$2:$O$478,2,FALSE)</f>
        <v>-0.85063478049108399</v>
      </c>
    </row>
    <row r="1957" spans="1:80" ht="15" customHeight="1">
      <c r="A1957" s="280" t="s">
        <v>505</v>
      </c>
      <c r="B1957" s="117">
        <v>2012</v>
      </c>
      <c r="C1957" s="117" t="s">
        <v>499</v>
      </c>
      <c r="D1957" s="117" t="s">
        <v>3747</v>
      </c>
      <c r="E1957" s="117" t="s">
        <v>86</v>
      </c>
      <c r="F1957" s="117"/>
      <c r="G1957" s="120" t="s">
        <v>561</v>
      </c>
      <c r="H1957" s="117" t="str">
        <f t="shared" si="342"/>
        <v>no</v>
      </c>
      <c r="I1957" s="117" t="str">
        <f t="shared" si="330"/>
        <v>yes</v>
      </c>
      <c r="J1957" s="117" t="str">
        <f t="shared" si="331"/>
        <v>no</v>
      </c>
      <c r="K1957" s="117" t="s">
        <v>561</v>
      </c>
      <c r="L1957" s="117" t="str">
        <f t="shared" si="343"/>
        <v>detailed</v>
      </c>
      <c r="M1957" s="117" t="str">
        <f t="shared" si="332"/>
        <v>detailed Gas</v>
      </c>
      <c r="N1957" s="118">
        <f>(((30000000000/365)*184)+((33000000000/365)*181))*0.0283168</f>
        <v>891630088.76712322</v>
      </c>
      <c r="O1957" s="118"/>
      <c r="P1957" s="118"/>
      <c r="Q1957" s="118"/>
      <c r="R1957" s="118"/>
      <c r="S1957" s="117" t="s">
        <v>642</v>
      </c>
      <c r="T1957" s="119">
        <f>((0.19666/365)*184)+(0.172411/365)*181</f>
        <v>0.18463515342465753</v>
      </c>
      <c r="U1957" s="117" t="s">
        <v>643</v>
      </c>
      <c r="V1957" s="117" t="s">
        <v>644</v>
      </c>
      <c r="W1957" s="89">
        <f>N1957*T1957</f>
        <v>164626258.23755881</v>
      </c>
      <c r="X1957" s="117"/>
      <c r="Y1957" s="117"/>
      <c r="Z1957" s="117"/>
      <c r="AA1957" s="177"/>
      <c r="AB1957" s="177"/>
      <c r="AC1957" s="122"/>
      <c r="AD1957" s="122"/>
      <c r="AE1957" s="122"/>
      <c r="AF1957" s="123"/>
      <c r="AG1957" s="177"/>
      <c r="AH1957" s="189"/>
      <c r="AI1957" s="117"/>
      <c r="AJ1957" s="117"/>
      <c r="AK1957" s="89"/>
      <c r="AL1957" s="117"/>
      <c r="AM1957" s="117"/>
      <c r="AN1957" s="117"/>
      <c r="AO1957" s="120"/>
      <c r="AP1957" s="117"/>
      <c r="AQ1957" s="117"/>
      <c r="AR1957" s="126"/>
      <c r="AS1957" s="117"/>
      <c r="AT1957" s="117"/>
      <c r="AU1957" s="117"/>
      <c r="AV1957" s="128"/>
      <c r="AW1957" s="117">
        <f>VLOOKUP($D1957,'WB Data'!$C$3:$M$578,2,FALSE)</f>
        <v>28248632095.687702</v>
      </c>
      <c r="AX1957" s="117">
        <f>VLOOKUP($D1957,'WB Data'!$C$3:$M$578,3,FALSE)</f>
        <v>47783107</v>
      </c>
      <c r="AY1957" s="847">
        <f t="shared" si="335"/>
        <v>1.6577006140098181E-2</v>
      </c>
      <c r="AZ1957" s="117">
        <f>VLOOKUP($D1957,'WB Data'!$C$3:$M$578,4,FALSE)/100</f>
        <v>0.17321821852641847</v>
      </c>
      <c r="BA1957" s="117">
        <f t="shared" si="336"/>
        <v>4893177727.4232311</v>
      </c>
      <c r="BB1957" s="129">
        <f>IFERROR(VLOOKUP($D1957,'EITI Revenues'!$C$2:$G$224,5,FALSE),"..")</f>
        <v>468277747.69958961</v>
      </c>
      <c r="BC1957" s="846">
        <f t="shared" si="337"/>
        <v>9.5700130627829602E-2</v>
      </c>
      <c r="BD1957" s="129">
        <f>VLOOKUP($D1957,'WB Data 2'!$C$2:$K$545,6,FALSE)</f>
        <v>1466303333.4991405</v>
      </c>
      <c r="BE1957" s="129">
        <f>IFERROR(VLOOKUP($D1957,UNCTAD!$C$5:$V$529,4,FALSE),"..")</f>
        <v>8544395000</v>
      </c>
      <c r="BF1957" s="846">
        <f t="shared" si="338"/>
        <v>0.17160996577278326</v>
      </c>
      <c r="BG1957" s="117">
        <f>VLOOKUP($D1957,'WB Data'!$C$3:$M$578,5,FALSE)</f>
        <v>2831890000</v>
      </c>
      <c r="BH1957" s="129">
        <f>IFERROR($BB1957/$BG1957,"..")</f>
        <v>0.16535873487303165</v>
      </c>
      <c r="BI1957" s="117" t="str">
        <f>IFERROR(VLOOKUP($D1957,'WB Data'!$C$3:$M$578,7,FALSE)/100,"..")</f>
        <v>..</v>
      </c>
      <c r="BJ1957" s="117" t="str">
        <f>IFERROR($BI1957*$AW1957,"..")</f>
        <v>..</v>
      </c>
      <c r="BK1957" s="846" t="str">
        <f>IFERROR($BB1957/$BJ1957,"..")</f>
        <v>..</v>
      </c>
      <c r="BL1957" s="117" t="str">
        <f>IFERROR(VLOOKUP($D1957,'WB Data'!$C$3:$M$578,7,FALSE)/100,"..")</f>
        <v>..</v>
      </c>
      <c r="BM1957" s="117" t="str">
        <f>IFERROR($AW1957*$BL1957,"..")</f>
        <v>..</v>
      </c>
      <c r="BN1957" s="846" t="str">
        <f>IFERROR($BB1957/$BM1957,"..")</f>
        <v>..</v>
      </c>
      <c r="BO1957" s="801">
        <f t="shared" si="334"/>
        <v>31</v>
      </c>
      <c r="BP1957" s="117">
        <f>VLOOKUP($D1957,'WB Data'!$C$3:$M$578,9,FALSE)</f>
        <v>28.2</v>
      </c>
      <c r="BQ1957" s="117">
        <f>VLOOKUP($D1957,'WB Data'!$C$3:$M$578,10,FALSE)</f>
        <v>60.84643902439025</v>
      </c>
      <c r="BR1957" s="117">
        <f>VLOOKUP($D1957,'WB Data'!$C$3:$M$578,11,FALSE)</f>
        <v>37.700000000000003</v>
      </c>
      <c r="BS1957" s="129" t="str">
        <f>IFERROR(VLOOKUP($D1957,'WB Data 2'!$C$2:$K$545,9,FALSE),"..")</f>
        <v>..</v>
      </c>
      <c r="BT1957" s="129">
        <f>_xlfn.IFNA(VLOOKUP($C1957,RGI!$A$2:$C$43,2,FALSE),"..")</f>
        <v>27.8</v>
      </c>
      <c r="BU1957" s="129">
        <f>_xlfn.IFNA(VLOOKUP($C1957,RGI!$A$2:$C$43,3,FALSE),"..")</f>
        <v>49.764112779291708</v>
      </c>
      <c r="BV1957" s="129">
        <f>VLOOKUP($D1957,WGI!$C$2:$O$478,7,FALSE)</f>
        <v>-0.22291643302056699</v>
      </c>
      <c r="BW1957" s="129">
        <f>VLOOKUP($D1957,WGI!$C$2:$O$478,4,FALSE)</f>
        <v>2.69374400343513E-2</v>
      </c>
      <c r="BX1957" s="129">
        <f>VLOOKUP($D1957,WGI!$C$2:$O$478,3,FALSE)</f>
        <v>-0.69087113955483004</v>
      </c>
      <c r="BY1957" s="129">
        <f>VLOOKUP($D1957,WGI!$C$2:$O$478,5,FALSE)</f>
        <v>-0.39860635659708998</v>
      </c>
      <c r="BZ1957" s="129">
        <f>VLOOKUP($D1957,WGI!$C$2:$O$478,2,FALSE)</f>
        <v>-0.85063478049108399</v>
      </c>
    </row>
    <row r="1958" spans="1:80" ht="15" customHeight="1">
      <c r="A1958" s="280" t="s">
        <v>505</v>
      </c>
      <c r="B1958" s="117">
        <v>2012</v>
      </c>
      <c r="C1958" s="117" t="s">
        <v>499</v>
      </c>
      <c r="D1958" s="117" t="s">
        <v>3747</v>
      </c>
      <c r="E1958" s="117" t="s">
        <v>86</v>
      </c>
      <c r="F1958" s="117"/>
      <c r="G1958" s="120" t="s">
        <v>103</v>
      </c>
      <c r="H1958" s="117" t="str">
        <f t="shared" si="342"/>
        <v>no</v>
      </c>
      <c r="I1958" s="117" t="str">
        <f t="shared" si="330"/>
        <v>no</v>
      </c>
      <c r="J1958" s="117" t="str">
        <f t="shared" si="331"/>
        <v>yes</v>
      </c>
      <c r="K1958" s="117" t="s">
        <v>103</v>
      </c>
      <c r="L1958" s="117" t="str">
        <f t="shared" si="343"/>
        <v>detailed</v>
      </c>
      <c r="M1958" s="117" t="str">
        <f t="shared" si="332"/>
        <v>detailed Oil</v>
      </c>
      <c r="N1958" s="118">
        <v>0</v>
      </c>
      <c r="O1958" s="118"/>
      <c r="P1958" s="118"/>
      <c r="Q1958" s="118"/>
      <c r="R1958" s="118"/>
      <c r="S1958" s="117" t="s">
        <v>646</v>
      </c>
      <c r="T1958" s="119"/>
      <c r="U1958" s="117"/>
      <c r="V1958" s="117" t="s">
        <v>647</v>
      </c>
      <c r="W1958" s="89">
        <f>N1958*T1958</f>
        <v>0</v>
      </c>
      <c r="X1958" s="117"/>
      <c r="Y1958" s="117"/>
      <c r="Z1958" s="117"/>
      <c r="AA1958" s="177"/>
      <c r="AB1958" s="177"/>
      <c r="AC1958" s="122"/>
      <c r="AD1958" s="122"/>
      <c r="AE1958" s="122"/>
      <c r="AF1958" s="123"/>
      <c r="AG1958" s="177"/>
      <c r="AH1958" s="189"/>
      <c r="AI1958" s="117"/>
      <c r="AJ1958" s="117"/>
      <c r="AK1958" s="89"/>
      <c r="AL1958" s="117"/>
      <c r="AM1958" s="117"/>
      <c r="AN1958" s="117"/>
      <c r="AO1958" s="120"/>
      <c r="AP1958" s="117"/>
      <c r="AQ1958" s="117"/>
      <c r="AR1958" s="126"/>
      <c r="AS1958" s="117"/>
      <c r="AT1958" s="117"/>
      <c r="AU1958" s="120"/>
      <c r="AV1958" s="128"/>
      <c r="AW1958" s="117">
        <f>VLOOKUP($D1958,'WB Data'!$C$3:$M$578,2,FALSE)</f>
        <v>28248632095.687702</v>
      </c>
      <c r="AX1958" s="117">
        <f>VLOOKUP($D1958,'WB Data'!$C$3:$M$578,3,FALSE)</f>
        <v>47783107</v>
      </c>
      <c r="AY1958" s="847">
        <f t="shared" si="335"/>
        <v>1.6577006140098181E-2</v>
      </c>
      <c r="AZ1958" s="117">
        <f>VLOOKUP($D1958,'WB Data'!$C$3:$M$578,4,FALSE)/100</f>
        <v>0.17321821852641847</v>
      </c>
      <c r="BA1958" s="117">
        <f t="shared" si="336"/>
        <v>4893177727.4232311</v>
      </c>
      <c r="BB1958" s="129">
        <f>IFERROR(VLOOKUP($D1958,'EITI Revenues'!$C$2:$G$224,5,FALSE),"..")</f>
        <v>468277747.69958961</v>
      </c>
      <c r="BC1958" s="846">
        <f t="shared" si="337"/>
        <v>9.5700130627829602E-2</v>
      </c>
      <c r="BD1958" s="129">
        <f>VLOOKUP($D1958,'WB Data 2'!$C$2:$K$545,6,FALSE)</f>
        <v>1466303333.4991405</v>
      </c>
      <c r="BE1958" s="129">
        <f>IFERROR(VLOOKUP($D1958,UNCTAD!$C$5:$V$529,4,FALSE),"..")</f>
        <v>8544395000</v>
      </c>
      <c r="BF1958" s="846">
        <f t="shared" si="338"/>
        <v>0.17160996577278326</v>
      </c>
      <c r="BG1958" s="117">
        <f>VLOOKUP($D1958,'WB Data'!$C$3:$M$578,5,FALSE)</f>
        <v>2831890000</v>
      </c>
      <c r="BH1958" s="129">
        <f>IFERROR($BB1958/$BG1958,"..")</f>
        <v>0.16535873487303165</v>
      </c>
      <c r="BI1958" s="117" t="str">
        <f>IFERROR(VLOOKUP($D1958,'WB Data'!$C$3:$M$578,7,FALSE)/100,"..")</f>
        <v>..</v>
      </c>
      <c r="BJ1958" s="117" t="str">
        <f>IFERROR($BI1958*$AW1958,"..")</f>
        <v>..</v>
      </c>
      <c r="BK1958" s="846" t="str">
        <f>IFERROR($BB1958/$BJ1958,"..")</f>
        <v>..</v>
      </c>
      <c r="BL1958" s="117" t="str">
        <f>IFERROR(VLOOKUP($D1958,'WB Data'!$C$3:$M$578,7,FALSE)/100,"..")</f>
        <v>..</v>
      </c>
      <c r="BM1958" s="117" t="str">
        <f>IFERROR($AW1958*$BL1958,"..")</f>
        <v>..</v>
      </c>
      <c r="BN1958" s="846" t="str">
        <f>IFERROR($BB1958/$BM1958,"..")</f>
        <v>..</v>
      </c>
      <c r="BO1958" s="801">
        <f t="shared" si="334"/>
        <v>31</v>
      </c>
      <c r="BP1958" s="117">
        <f>VLOOKUP($D1958,'WB Data'!$C$3:$M$578,9,FALSE)</f>
        <v>28.2</v>
      </c>
      <c r="BQ1958" s="117">
        <f>VLOOKUP($D1958,'WB Data'!$C$3:$M$578,10,FALSE)</f>
        <v>60.84643902439025</v>
      </c>
      <c r="BR1958" s="117">
        <f>VLOOKUP($D1958,'WB Data'!$C$3:$M$578,11,FALSE)</f>
        <v>37.700000000000003</v>
      </c>
      <c r="BS1958" s="129" t="str">
        <f>IFERROR(VLOOKUP($D1958,'WB Data 2'!$C$2:$K$545,9,FALSE),"..")</f>
        <v>..</v>
      </c>
      <c r="BT1958" s="129">
        <f>_xlfn.IFNA(VLOOKUP($C1958,RGI!$A$2:$C$43,2,FALSE),"..")</f>
        <v>27.8</v>
      </c>
      <c r="BU1958" s="129">
        <f>_xlfn.IFNA(VLOOKUP($C1958,RGI!$A$2:$C$43,3,FALSE),"..")</f>
        <v>49.764112779291708</v>
      </c>
      <c r="BV1958" s="129">
        <f>VLOOKUP($D1958,WGI!$C$2:$O$478,7,FALSE)</f>
        <v>-0.22291643302056699</v>
      </c>
      <c r="BW1958" s="129">
        <f>VLOOKUP($D1958,WGI!$C$2:$O$478,4,FALSE)</f>
        <v>2.69374400343513E-2</v>
      </c>
      <c r="BX1958" s="129">
        <f>VLOOKUP($D1958,WGI!$C$2:$O$478,3,FALSE)</f>
        <v>-0.69087113955483004</v>
      </c>
      <c r="BY1958" s="129">
        <f>VLOOKUP($D1958,WGI!$C$2:$O$478,5,FALSE)</f>
        <v>-0.39860635659708998</v>
      </c>
      <c r="BZ1958" s="129">
        <f>VLOOKUP($D1958,WGI!$C$2:$O$478,2,FALSE)</f>
        <v>-0.85063478049108399</v>
      </c>
    </row>
    <row r="1959" spans="1:80" ht="15" customHeight="1">
      <c r="A1959" s="280" t="s">
        <v>505</v>
      </c>
      <c r="B1959" s="117">
        <v>2012</v>
      </c>
      <c r="C1959" s="117" t="s">
        <v>499</v>
      </c>
      <c r="D1959" s="117" t="s">
        <v>3747</v>
      </c>
      <c r="E1959" s="117" t="s">
        <v>86</v>
      </c>
      <c r="F1959" s="117"/>
      <c r="G1959" s="120" t="s">
        <v>24</v>
      </c>
      <c r="H1959" s="117" t="str">
        <f t="shared" si="342"/>
        <v>yes</v>
      </c>
      <c r="I1959" s="117" t="str">
        <f t="shared" si="330"/>
        <v>no</v>
      </c>
      <c r="J1959" s="117" t="str">
        <f t="shared" si="331"/>
        <v>no</v>
      </c>
      <c r="K1959" s="117" t="s">
        <v>600</v>
      </c>
      <c r="L1959" s="117" t="str">
        <f t="shared" si="343"/>
        <v>Total</v>
      </c>
      <c r="M1959" s="117" t="str">
        <f t="shared" si="332"/>
        <v>Total Mining</v>
      </c>
      <c r="N1959" s="118"/>
      <c r="O1959" s="118"/>
      <c r="P1959" s="118"/>
      <c r="Q1959" s="118"/>
      <c r="R1959" s="118"/>
      <c r="S1959" s="117"/>
      <c r="T1959" s="119"/>
      <c r="U1959" s="117"/>
      <c r="V1959" s="117"/>
      <c r="W1959" s="89">
        <f>SUM(W1960:W1966)</f>
        <v>4164994339.310277</v>
      </c>
      <c r="X1959" s="117"/>
      <c r="Y1959" s="117"/>
      <c r="Z1959" s="117"/>
      <c r="AA1959" s="177">
        <v>378679706.30280972</v>
      </c>
      <c r="AB1959" s="177">
        <v>381004596.44412512</v>
      </c>
      <c r="AC1959" s="122"/>
      <c r="AD1959" s="122"/>
      <c r="AE1959" s="122"/>
      <c r="AF1959" s="123">
        <f>AA1959/W1959</f>
        <v>9.0919620881290103E-2</v>
      </c>
      <c r="AG1959" s="177"/>
      <c r="AH1959" s="189"/>
      <c r="AI1959" s="117"/>
      <c r="AJ1959" s="117"/>
      <c r="AK1959" s="89"/>
      <c r="AL1959" s="117"/>
      <c r="AM1959" s="117"/>
      <c r="AN1959" s="117">
        <v>26</v>
      </c>
      <c r="AO1959" s="120" t="s">
        <v>2311</v>
      </c>
      <c r="AP1959" s="117">
        <v>24</v>
      </c>
      <c r="AQ1959" s="117"/>
      <c r="AR1959" s="126"/>
      <c r="AS1959" s="117"/>
      <c r="AT1959" s="117"/>
      <c r="AU1959" s="120"/>
      <c r="AV1959" s="128"/>
      <c r="AW1959" s="117">
        <f>VLOOKUP($D1959,'WB Data'!$C$3:$M$578,2,FALSE)</f>
        <v>28248632095.687702</v>
      </c>
      <c r="AX1959" s="117">
        <f>VLOOKUP($D1959,'WB Data'!$C$3:$M$578,3,FALSE)</f>
        <v>47783107</v>
      </c>
      <c r="AY1959" s="847">
        <f t="shared" si="335"/>
        <v>1.6577006140098181E-2</v>
      </c>
      <c r="AZ1959" s="117">
        <f>VLOOKUP($D1959,'WB Data'!$C$3:$M$578,4,FALSE)/100</f>
        <v>0.17321821852641847</v>
      </c>
      <c r="BA1959" s="117">
        <f t="shared" si="336"/>
        <v>4893177727.4232311</v>
      </c>
      <c r="BB1959" s="129">
        <f>IFERROR(VLOOKUP($D1959,'EITI Revenues'!$C$2:$G$224,5,FALSE),"..")</f>
        <v>468277747.69958961</v>
      </c>
      <c r="BC1959" s="846">
        <f t="shared" si="337"/>
        <v>9.5700130627829602E-2</v>
      </c>
      <c r="BD1959" s="129">
        <f>VLOOKUP($D1959,'WB Data 2'!$C$2:$K$545,6,FALSE)</f>
        <v>1466303333.4991405</v>
      </c>
      <c r="BE1959" s="129">
        <f>IFERROR(VLOOKUP($D1959,UNCTAD!$C$5:$V$529,4,FALSE),"..")</f>
        <v>8544395000</v>
      </c>
      <c r="BF1959" s="846">
        <f t="shared" si="338"/>
        <v>0.17160996577278326</v>
      </c>
      <c r="BG1959" s="117">
        <f>VLOOKUP($D1959,'WB Data'!$C$3:$M$578,5,FALSE)</f>
        <v>2831890000</v>
      </c>
      <c r="BH1959" s="129">
        <f>IFERROR($BB1959/$BG1959,"..")</f>
        <v>0.16535873487303165</v>
      </c>
      <c r="BI1959" s="117" t="str">
        <f>IFERROR(VLOOKUP($D1959,'WB Data'!$C$3:$M$578,7,FALSE)/100,"..")</f>
        <v>..</v>
      </c>
      <c r="BJ1959" s="117" t="str">
        <f>IFERROR($BI1959*$AW1959,"..")</f>
        <v>..</v>
      </c>
      <c r="BK1959" s="846" t="str">
        <f>IFERROR($BB1959/$BJ1959,"..")</f>
        <v>..</v>
      </c>
      <c r="BL1959" s="117" t="str">
        <f>IFERROR(VLOOKUP($D1959,'WB Data'!$C$3:$M$578,7,FALSE)/100,"..")</f>
        <v>..</v>
      </c>
      <c r="BM1959" s="117" t="str">
        <f>IFERROR($AW1959*$BL1959,"..")</f>
        <v>..</v>
      </c>
      <c r="BN1959" s="846" t="str">
        <f>IFERROR($BB1959/$BM1959,"..")</f>
        <v>..</v>
      </c>
      <c r="BO1959" s="801">
        <f t="shared" si="334"/>
        <v>31</v>
      </c>
      <c r="BP1959" s="117">
        <f>VLOOKUP($D1959,'WB Data'!$C$3:$M$578,9,FALSE)</f>
        <v>28.2</v>
      </c>
      <c r="BQ1959" s="117">
        <f>VLOOKUP($D1959,'WB Data'!$C$3:$M$578,10,FALSE)</f>
        <v>60.84643902439025</v>
      </c>
      <c r="BR1959" s="117">
        <f>VLOOKUP($D1959,'WB Data'!$C$3:$M$578,11,FALSE)</f>
        <v>37.700000000000003</v>
      </c>
      <c r="BS1959" s="129" t="str">
        <f>IFERROR(VLOOKUP($D1959,'WB Data 2'!$C$2:$K$545,9,FALSE),"..")</f>
        <v>..</v>
      </c>
      <c r="BT1959" s="129">
        <f>_xlfn.IFNA(VLOOKUP($C1959,RGI!$A$2:$C$43,2,FALSE),"..")</f>
        <v>27.8</v>
      </c>
      <c r="BU1959" s="129">
        <f>_xlfn.IFNA(VLOOKUP($C1959,RGI!$A$2:$C$43,3,FALSE),"..")</f>
        <v>49.764112779291708</v>
      </c>
      <c r="BV1959" s="129">
        <f>VLOOKUP($D1959,WGI!$C$2:$O$478,7,FALSE)</f>
        <v>-0.22291643302056699</v>
      </c>
      <c r="BW1959" s="129">
        <f>VLOOKUP($D1959,WGI!$C$2:$O$478,4,FALSE)</f>
        <v>2.69374400343513E-2</v>
      </c>
      <c r="BX1959" s="129">
        <f>VLOOKUP($D1959,WGI!$C$2:$O$478,3,FALSE)</f>
        <v>-0.69087113955483004</v>
      </c>
      <c r="BY1959" s="129">
        <f>VLOOKUP($D1959,WGI!$C$2:$O$478,5,FALSE)</f>
        <v>-0.39860635659708998</v>
      </c>
      <c r="BZ1959" s="129">
        <f>VLOOKUP($D1959,WGI!$C$2:$O$478,2,FALSE)</f>
        <v>-0.85063478049108399</v>
      </c>
    </row>
    <row r="1960" spans="1:80" ht="15" customHeight="1">
      <c r="A1960" s="280" t="s">
        <v>505</v>
      </c>
      <c r="B1960" s="117">
        <v>2012</v>
      </c>
      <c r="C1960" s="117" t="s">
        <v>499</v>
      </c>
      <c r="D1960" s="117" t="s">
        <v>3747</v>
      </c>
      <c r="E1960" s="117" t="s">
        <v>86</v>
      </c>
      <c r="F1960" s="117"/>
      <c r="G1960" s="120" t="s">
        <v>24</v>
      </c>
      <c r="H1960" s="117" t="str">
        <f t="shared" si="342"/>
        <v>yes</v>
      </c>
      <c r="I1960" s="117" t="str">
        <f t="shared" si="330"/>
        <v>no</v>
      </c>
      <c r="J1960" s="117" t="str">
        <f t="shared" si="331"/>
        <v>no</v>
      </c>
      <c r="K1960" s="117" t="s">
        <v>616</v>
      </c>
      <c r="L1960" s="117" t="str">
        <f t="shared" si="343"/>
        <v>detailed</v>
      </c>
      <c r="M1960" s="117" t="str">
        <f t="shared" si="332"/>
        <v>detailed Mining</v>
      </c>
      <c r="N1960" s="118">
        <f>((80710/365)*184)+(78672/365)*181</f>
        <v>79699.375342465748</v>
      </c>
      <c r="O1960" s="118"/>
      <c r="P1960" s="118">
        <v>81000</v>
      </c>
      <c r="Q1960" s="118"/>
      <c r="R1960" s="118"/>
      <c r="S1960" s="117" t="s">
        <v>610</v>
      </c>
      <c r="T1960" s="119">
        <f>((111.55/365)*184)+(90.02/365)*181</f>
        <v>100.8734794520548</v>
      </c>
      <c r="U1960" s="117" t="s">
        <v>611</v>
      </c>
      <c r="V1960" s="117" t="s">
        <v>2281</v>
      </c>
      <c r="W1960" s="89">
        <f t="shared" ref="W1960:W1970" si="344">N1960*T1960</f>
        <v>8039553.3009498212</v>
      </c>
      <c r="X1960" s="117"/>
      <c r="Y1960" s="117"/>
      <c r="Z1960" s="117"/>
      <c r="AA1960" s="177"/>
      <c r="AB1960" s="89"/>
      <c r="AC1960" s="240"/>
      <c r="AD1960" s="240"/>
      <c r="AE1960" s="240"/>
      <c r="AF1960" s="241"/>
      <c r="AG1960" s="117"/>
      <c r="AH1960" s="189"/>
      <c r="AI1960" s="117"/>
      <c r="AJ1960" s="117"/>
      <c r="AK1960" s="89"/>
      <c r="AL1960" s="117"/>
      <c r="AM1960" s="117"/>
      <c r="AN1960" s="117"/>
      <c r="AO1960" s="120"/>
      <c r="AP1960" s="117"/>
      <c r="AQ1960" s="117"/>
      <c r="AR1960" s="126"/>
      <c r="AS1960" s="117"/>
      <c r="AT1960" s="117"/>
      <c r="AU1960" s="120"/>
      <c r="AV1960" s="128"/>
      <c r="AW1960" s="117">
        <f>VLOOKUP($D1960,'WB Data'!$C$3:$M$578,2,FALSE)</f>
        <v>28248632095.687702</v>
      </c>
      <c r="AX1960" s="117">
        <f>VLOOKUP($D1960,'WB Data'!$C$3:$M$578,3,FALSE)</f>
        <v>47783107</v>
      </c>
      <c r="AY1960" s="847">
        <f t="shared" si="335"/>
        <v>1.6577006140098181E-2</v>
      </c>
      <c r="AZ1960" s="117">
        <f>VLOOKUP($D1960,'WB Data'!$C$3:$M$578,4,FALSE)/100</f>
        <v>0.17321821852641847</v>
      </c>
      <c r="BA1960" s="117">
        <f t="shared" si="336"/>
        <v>4893177727.4232311</v>
      </c>
      <c r="BB1960" s="129">
        <f>IFERROR(VLOOKUP($D1960,'EITI Revenues'!$C$2:$G$224,5,FALSE),"..")</f>
        <v>468277747.69958961</v>
      </c>
      <c r="BC1960" s="846">
        <f t="shared" si="337"/>
        <v>9.5700130627829602E-2</v>
      </c>
      <c r="BD1960" s="129">
        <f>VLOOKUP($D1960,'WB Data 2'!$C$2:$K$545,6,FALSE)</f>
        <v>1466303333.4991405</v>
      </c>
      <c r="BE1960" s="129">
        <f>IFERROR(VLOOKUP($D1960,UNCTAD!$C$5:$V$529,4,FALSE),"..")</f>
        <v>8544395000</v>
      </c>
      <c r="BF1960" s="846">
        <f t="shared" si="338"/>
        <v>0.17160996577278326</v>
      </c>
      <c r="BG1960" s="117">
        <f>VLOOKUP($D1960,'WB Data'!$C$3:$M$578,5,FALSE)</f>
        <v>2831890000</v>
      </c>
      <c r="BH1960" s="129">
        <f>IFERROR($BB1960/$BG1960,"..")</f>
        <v>0.16535873487303165</v>
      </c>
      <c r="BI1960" s="117" t="str">
        <f>IFERROR(VLOOKUP($D1960,'WB Data'!$C$3:$M$578,7,FALSE)/100,"..")</f>
        <v>..</v>
      </c>
      <c r="BJ1960" s="117" t="str">
        <f>IFERROR($BI1960*$AW1960,"..")</f>
        <v>..</v>
      </c>
      <c r="BK1960" s="846" t="str">
        <f>IFERROR($BB1960/$BJ1960,"..")</f>
        <v>..</v>
      </c>
      <c r="BL1960" s="117" t="str">
        <f>IFERROR(VLOOKUP($D1960,'WB Data'!$C$3:$M$578,7,FALSE)/100,"..")</f>
        <v>..</v>
      </c>
      <c r="BM1960" s="117" t="str">
        <f>IFERROR($AW1960*$BL1960,"..")</f>
        <v>..</v>
      </c>
      <c r="BN1960" s="846" t="str">
        <f>IFERROR($BB1960/$BM1960,"..")</f>
        <v>..</v>
      </c>
      <c r="BO1960" s="801">
        <f t="shared" si="334"/>
        <v>31</v>
      </c>
      <c r="BP1960" s="117">
        <f>VLOOKUP($D1960,'WB Data'!$C$3:$M$578,9,FALSE)</f>
        <v>28.2</v>
      </c>
      <c r="BQ1960" s="117">
        <f>VLOOKUP($D1960,'WB Data'!$C$3:$M$578,10,FALSE)</f>
        <v>60.84643902439025</v>
      </c>
      <c r="BR1960" s="117">
        <f>VLOOKUP($D1960,'WB Data'!$C$3:$M$578,11,FALSE)</f>
        <v>37.700000000000003</v>
      </c>
      <c r="BS1960" s="129" t="str">
        <f>IFERROR(VLOOKUP($D1960,'WB Data 2'!$C$2:$K$545,9,FALSE),"..")</f>
        <v>..</v>
      </c>
      <c r="BT1960" s="129">
        <f>_xlfn.IFNA(VLOOKUP($C1960,RGI!$A$2:$C$43,2,FALSE),"..")</f>
        <v>27.8</v>
      </c>
      <c r="BU1960" s="129">
        <f>_xlfn.IFNA(VLOOKUP($C1960,RGI!$A$2:$C$43,3,FALSE),"..")</f>
        <v>49.764112779291708</v>
      </c>
      <c r="BV1960" s="129">
        <f>VLOOKUP($D1960,WGI!$C$2:$O$478,7,FALSE)</f>
        <v>-0.22291643302056699</v>
      </c>
      <c r="BW1960" s="129">
        <f>VLOOKUP($D1960,WGI!$C$2:$O$478,4,FALSE)</f>
        <v>2.69374400343513E-2</v>
      </c>
      <c r="BX1960" s="129">
        <f>VLOOKUP($D1960,WGI!$C$2:$O$478,3,FALSE)</f>
        <v>-0.69087113955483004</v>
      </c>
      <c r="BY1960" s="129">
        <f>VLOOKUP($D1960,WGI!$C$2:$O$478,5,FALSE)</f>
        <v>-0.39860635659708998</v>
      </c>
      <c r="BZ1960" s="129">
        <f>VLOOKUP($D1960,WGI!$C$2:$O$478,2,FALSE)</f>
        <v>-0.85063478049108399</v>
      </c>
    </row>
    <row r="1961" spans="1:80" ht="15" customHeight="1">
      <c r="A1961" s="280" t="s">
        <v>505</v>
      </c>
      <c r="B1961" s="117">
        <v>2012</v>
      </c>
      <c r="C1961" s="117" t="s">
        <v>499</v>
      </c>
      <c r="D1961" s="117" t="s">
        <v>3747</v>
      </c>
      <c r="E1961" s="117" t="s">
        <v>86</v>
      </c>
      <c r="F1961" s="117"/>
      <c r="G1961" s="120" t="s">
        <v>24</v>
      </c>
      <c r="H1961" s="117" t="str">
        <f t="shared" si="342"/>
        <v>yes</v>
      </c>
      <c r="I1961" s="117" t="str">
        <f t="shared" si="330"/>
        <v>no</v>
      </c>
      <c r="J1961" s="117" t="str">
        <f t="shared" si="331"/>
        <v>no</v>
      </c>
      <c r="K1961" s="117" t="s">
        <v>2312</v>
      </c>
      <c r="L1961" s="117" t="str">
        <f t="shared" si="343"/>
        <v>detailed</v>
      </c>
      <c r="M1961" s="117" t="str">
        <f t="shared" si="332"/>
        <v>detailed Mining</v>
      </c>
      <c r="N1961" s="118">
        <f>((6748/365)*184)+(5840/365)*181</f>
        <v>6297.7315068493153</v>
      </c>
      <c r="O1961" s="118"/>
      <c r="P1961" s="118">
        <v>3000</v>
      </c>
      <c r="Q1961" s="118"/>
      <c r="R1961" s="118"/>
      <c r="S1961" s="117" t="s">
        <v>610</v>
      </c>
      <c r="T1961" s="638">
        <f>((8828.19/365)*184)+((7962.35/365)*181)</f>
        <v>8398.8282465753437</v>
      </c>
      <c r="U1961" s="117" t="s">
        <v>611</v>
      </c>
      <c r="V1961" s="117" t="s">
        <v>2313</v>
      </c>
      <c r="W1961" s="89">
        <f t="shared" si="344"/>
        <v>52893565.269073531</v>
      </c>
      <c r="X1961" s="117"/>
      <c r="Y1961" s="117"/>
      <c r="Z1961" s="117"/>
      <c r="AA1961" s="177"/>
      <c r="AB1961" s="89"/>
      <c r="AC1961" s="240"/>
      <c r="AD1961" s="240"/>
      <c r="AE1961" s="240"/>
      <c r="AF1961" s="241"/>
      <c r="AG1961" s="117"/>
      <c r="AH1961" s="189"/>
      <c r="AI1961" s="117"/>
      <c r="AJ1961" s="117"/>
      <c r="AK1961" s="89"/>
      <c r="AL1961" s="117"/>
      <c r="AM1961" s="117"/>
      <c r="AN1961" s="117"/>
      <c r="AO1961" s="120"/>
      <c r="AP1961" s="117"/>
      <c r="AQ1961" s="117"/>
      <c r="AR1961" s="126"/>
      <c r="AS1961" s="117"/>
      <c r="AT1961" s="117"/>
      <c r="AU1961" s="120"/>
      <c r="AV1961" s="128" t="s">
        <v>2314</v>
      </c>
      <c r="AW1961" s="117">
        <f>VLOOKUP($D1961,'WB Data'!$C$3:$M$578,2,FALSE)</f>
        <v>28248632095.687702</v>
      </c>
      <c r="AX1961" s="117">
        <f>VLOOKUP($D1961,'WB Data'!$C$3:$M$578,3,FALSE)</f>
        <v>47783107</v>
      </c>
      <c r="AY1961" s="847">
        <f t="shared" si="335"/>
        <v>1.6577006140098181E-2</v>
      </c>
      <c r="AZ1961" s="117">
        <f>VLOOKUP($D1961,'WB Data'!$C$3:$M$578,4,FALSE)/100</f>
        <v>0.17321821852641847</v>
      </c>
      <c r="BA1961" s="117">
        <f t="shared" si="336"/>
        <v>4893177727.4232311</v>
      </c>
      <c r="BB1961" s="129">
        <f>IFERROR(VLOOKUP($D1961,'EITI Revenues'!$C$2:$G$224,5,FALSE),"..")</f>
        <v>468277747.69958961</v>
      </c>
      <c r="BC1961" s="846">
        <f t="shared" si="337"/>
        <v>9.5700130627829602E-2</v>
      </c>
      <c r="BD1961" s="129">
        <f>VLOOKUP($D1961,'WB Data 2'!$C$2:$K$545,6,FALSE)</f>
        <v>1466303333.4991405</v>
      </c>
      <c r="BE1961" s="129">
        <f>IFERROR(VLOOKUP($D1961,UNCTAD!$C$5:$V$529,4,FALSE),"..")</f>
        <v>8544395000</v>
      </c>
      <c r="BF1961" s="846">
        <f t="shared" si="338"/>
        <v>0.17160996577278326</v>
      </c>
      <c r="BG1961" s="117">
        <f>VLOOKUP($D1961,'WB Data'!$C$3:$M$578,5,FALSE)</f>
        <v>2831890000</v>
      </c>
      <c r="BH1961" s="129">
        <f>IFERROR($BB1961/$BG1961,"..")</f>
        <v>0.16535873487303165</v>
      </c>
      <c r="BI1961" s="117" t="str">
        <f>IFERROR(VLOOKUP($D1961,'WB Data'!$C$3:$M$578,7,FALSE)/100,"..")</f>
        <v>..</v>
      </c>
      <c r="BJ1961" s="117" t="str">
        <f>IFERROR($BI1961*$AW1961,"..")</f>
        <v>..</v>
      </c>
      <c r="BK1961" s="846" t="str">
        <f>IFERROR($BB1961/$BJ1961,"..")</f>
        <v>..</v>
      </c>
      <c r="BL1961" s="117" t="str">
        <f>IFERROR(VLOOKUP($D1961,'WB Data'!$C$3:$M$578,7,FALSE)/100,"..")</f>
        <v>..</v>
      </c>
      <c r="BM1961" s="117" t="str">
        <f>IFERROR($AW1961*$BL1961,"..")</f>
        <v>..</v>
      </c>
      <c r="BN1961" s="846" t="str">
        <f>IFERROR($BB1961/$BM1961,"..")</f>
        <v>..</v>
      </c>
      <c r="BO1961" s="801">
        <f t="shared" si="334"/>
        <v>31</v>
      </c>
      <c r="BP1961" s="117">
        <f>VLOOKUP($D1961,'WB Data'!$C$3:$M$578,9,FALSE)</f>
        <v>28.2</v>
      </c>
      <c r="BQ1961" s="117">
        <f>VLOOKUP($D1961,'WB Data'!$C$3:$M$578,10,FALSE)</f>
        <v>60.84643902439025</v>
      </c>
      <c r="BR1961" s="117">
        <f>VLOOKUP($D1961,'WB Data'!$C$3:$M$578,11,FALSE)</f>
        <v>37.700000000000003</v>
      </c>
      <c r="BS1961" s="129" t="str">
        <f>IFERROR(VLOOKUP($D1961,'WB Data 2'!$C$2:$K$545,9,FALSE),"..")</f>
        <v>..</v>
      </c>
      <c r="BT1961" s="129">
        <f>_xlfn.IFNA(VLOOKUP($C1961,RGI!$A$2:$C$43,2,FALSE),"..")</f>
        <v>27.8</v>
      </c>
      <c r="BU1961" s="129">
        <f>_xlfn.IFNA(VLOOKUP($C1961,RGI!$A$2:$C$43,3,FALSE),"..")</f>
        <v>49.764112779291708</v>
      </c>
      <c r="BV1961" s="129">
        <f>VLOOKUP($D1961,WGI!$C$2:$O$478,7,FALSE)</f>
        <v>-0.22291643302056699</v>
      </c>
      <c r="BW1961" s="129">
        <f>VLOOKUP($D1961,WGI!$C$2:$O$478,4,FALSE)</f>
        <v>2.69374400343513E-2</v>
      </c>
      <c r="BX1961" s="129">
        <f>VLOOKUP($D1961,WGI!$C$2:$O$478,3,FALSE)</f>
        <v>-0.69087113955483004</v>
      </c>
      <c r="BY1961" s="129">
        <f>VLOOKUP($D1961,WGI!$C$2:$O$478,5,FALSE)</f>
        <v>-0.39860635659708998</v>
      </c>
      <c r="BZ1961" s="129">
        <f>VLOOKUP($D1961,WGI!$C$2:$O$478,2,FALSE)</f>
        <v>-0.85063478049108399</v>
      </c>
    </row>
    <row r="1962" spans="1:80" ht="15" customHeight="1">
      <c r="A1962" s="280" t="s">
        <v>505</v>
      </c>
      <c r="B1962" s="117">
        <v>2012</v>
      </c>
      <c r="C1962" s="117" t="s">
        <v>499</v>
      </c>
      <c r="D1962" s="117" t="s">
        <v>3747</v>
      </c>
      <c r="E1962" s="117" t="s">
        <v>86</v>
      </c>
      <c r="F1962" s="117"/>
      <c r="G1962" s="120" t="s">
        <v>24</v>
      </c>
      <c r="H1962" s="117" t="str">
        <f t="shared" si="342"/>
        <v>yes</v>
      </c>
      <c r="I1962" s="117" t="str">
        <f t="shared" si="330"/>
        <v>no</v>
      </c>
      <c r="J1962" s="117" t="str">
        <f t="shared" si="331"/>
        <v>no</v>
      </c>
      <c r="K1962" s="117" t="s">
        <v>980</v>
      </c>
      <c r="L1962" s="117" t="str">
        <f t="shared" si="343"/>
        <v>detailed</v>
      </c>
      <c r="M1962" s="117" t="str">
        <f t="shared" si="332"/>
        <v>detailed Mining</v>
      </c>
      <c r="N1962" s="118">
        <f>((28378/365)*184)+(127174/365)*181</f>
        <v>77369.989041095891</v>
      </c>
      <c r="O1962" s="118"/>
      <c r="P1962" s="118">
        <v>158003</v>
      </c>
      <c r="Q1962" s="118"/>
      <c r="R1962" s="118"/>
      <c r="S1962" s="117" t="s">
        <v>981</v>
      </c>
      <c r="T1962" s="638">
        <f>((277.2/365)*184)+(265.99/365)*181</f>
        <v>271.64106849315067</v>
      </c>
      <c r="U1962" s="117" t="s">
        <v>982</v>
      </c>
      <c r="V1962" s="117" t="s">
        <v>2315</v>
      </c>
      <c r="W1962" s="89">
        <f t="shared" si="344"/>
        <v>21016866.492426645</v>
      </c>
      <c r="X1962" s="117"/>
      <c r="Y1962" s="117"/>
      <c r="Z1962" s="117"/>
      <c r="AA1962" s="117"/>
      <c r="AB1962" s="117"/>
      <c r="AC1962" s="240"/>
      <c r="AD1962" s="240"/>
      <c r="AE1962" s="240"/>
      <c r="AF1962" s="241"/>
      <c r="AG1962" s="177"/>
      <c r="AH1962" s="189"/>
      <c r="AI1962" s="117"/>
      <c r="AJ1962" s="117"/>
      <c r="AK1962" s="89"/>
      <c r="AL1962" s="117"/>
      <c r="AM1962" s="117"/>
      <c r="AN1962" s="117"/>
      <c r="AO1962" s="117"/>
      <c r="AP1962" s="117"/>
      <c r="AQ1962" s="117"/>
      <c r="AR1962" s="126"/>
      <c r="AS1962" s="117"/>
      <c r="AT1962" s="117"/>
      <c r="AU1962" s="120"/>
      <c r="AV1962" s="128"/>
      <c r="AW1962" s="117">
        <f>VLOOKUP($D1962,'WB Data'!$C$3:$M$578,2,FALSE)</f>
        <v>28248632095.687702</v>
      </c>
      <c r="AX1962" s="117">
        <f>VLOOKUP($D1962,'WB Data'!$C$3:$M$578,3,FALSE)</f>
        <v>47783107</v>
      </c>
      <c r="AY1962" s="847">
        <f t="shared" si="335"/>
        <v>1.6577006140098181E-2</v>
      </c>
      <c r="AZ1962" s="117">
        <f>VLOOKUP($D1962,'WB Data'!$C$3:$M$578,4,FALSE)/100</f>
        <v>0.17321821852641847</v>
      </c>
      <c r="BA1962" s="117">
        <f t="shared" si="336"/>
        <v>4893177727.4232311</v>
      </c>
      <c r="BB1962" s="129">
        <f>IFERROR(VLOOKUP($D1962,'EITI Revenues'!$C$2:$G$224,5,FALSE),"..")</f>
        <v>468277747.69958961</v>
      </c>
      <c r="BC1962" s="846">
        <f t="shared" si="337"/>
        <v>9.5700130627829602E-2</v>
      </c>
      <c r="BD1962" s="129">
        <f>VLOOKUP($D1962,'WB Data 2'!$C$2:$K$545,6,FALSE)</f>
        <v>1466303333.4991405</v>
      </c>
      <c r="BE1962" s="129">
        <f>IFERROR(VLOOKUP($D1962,UNCTAD!$C$5:$V$529,4,FALSE),"..")</f>
        <v>8544395000</v>
      </c>
      <c r="BF1962" s="846">
        <f t="shared" si="338"/>
        <v>0.17160996577278326</v>
      </c>
      <c r="BG1962" s="117">
        <f>VLOOKUP($D1962,'WB Data'!$C$3:$M$578,5,FALSE)</f>
        <v>2831890000</v>
      </c>
      <c r="BH1962" s="129">
        <f>IFERROR($BB1962/$BG1962,"..")</f>
        <v>0.16535873487303165</v>
      </c>
      <c r="BI1962" s="117" t="str">
        <f>IFERROR(VLOOKUP($D1962,'WB Data'!$C$3:$M$578,7,FALSE)/100,"..")</f>
        <v>..</v>
      </c>
      <c r="BJ1962" s="117" t="str">
        <f>IFERROR($BI1962*$AW1962,"..")</f>
        <v>..</v>
      </c>
      <c r="BK1962" s="846" t="str">
        <f>IFERROR($BB1962/$BJ1962,"..")</f>
        <v>..</v>
      </c>
      <c r="BL1962" s="117" t="str">
        <f>IFERROR(VLOOKUP($D1962,'WB Data'!$C$3:$M$578,7,FALSE)/100,"..")</f>
        <v>..</v>
      </c>
      <c r="BM1962" s="117" t="str">
        <f>IFERROR($AW1962*$BL1962,"..")</f>
        <v>..</v>
      </c>
      <c r="BN1962" s="846" t="str">
        <f>IFERROR($BB1962/$BM1962,"..")</f>
        <v>..</v>
      </c>
      <c r="BO1962" s="801">
        <f t="shared" si="334"/>
        <v>31</v>
      </c>
      <c r="BP1962" s="117">
        <f>VLOOKUP($D1962,'WB Data'!$C$3:$M$578,9,FALSE)</f>
        <v>28.2</v>
      </c>
      <c r="BQ1962" s="117">
        <f>VLOOKUP($D1962,'WB Data'!$C$3:$M$578,10,FALSE)</f>
        <v>60.84643902439025</v>
      </c>
      <c r="BR1962" s="117">
        <f>VLOOKUP($D1962,'WB Data'!$C$3:$M$578,11,FALSE)</f>
        <v>37.700000000000003</v>
      </c>
      <c r="BS1962" s="129" t="str">
        <f>IFERROR(VLOOKUP($D1962,'WB Data 2'!$C$2:$K$545,9,FALSE),"..")</f>
        <v>..</v>
      </c>
      <c r="BT1962" s="129">
        <f>_xlfn.IFNA(VLOOKUP($C1962,RGI!$A$2:$C$43,2,FALSE),"..")</f>
        <v>27.8</v>
      </c>
      <c r="BU1962" s="129">
        <f>_xlfn.IFNA(VLOOKUP($C1962,RGI!$A$2:$C$43,3,FALSE),"..")</f>
        <v>49.764112779291708</v>
      </c>
      <c r="BV1962" s="129">
        <f>VLOOKUP($D1962,WGI!$C$2:$O$478,7,FALSE)</f>
        <v>-0.22291643302056699</v>
      </c>
      <c r="BW1962" s="129">
        <f>VLOOKUP($D1962,WGI!$C$2:$O$478,4,FALSE)</f>
        <v>2.69374400343513E-2</v>
      </c>
      <c r="BX1962" s="129">
        <f>VLOOKUP($D1962,WGI!$C$2:$O$478,3,FALSE)</f>
        <v>-0.69087113955483004</v>
      </c>
      <c r="BY1962" s="129">
        <f>VLOOKUP($D1962,WGI!$C$2:$O$478,5,FALSE)</f>
        <v>-0.39860635659708998</v>
      </c>
      <c r="BZ1962" s="129">
        <f>VLOOKUP($D1962,WGI!$C$2:$O$478,2,FALSE)</f>
        <v>-0.85063478049108399</v>
      </c>
    </row>
    <row r="1963" spans="1:80" ht="15" customHeight="1">
      <c r="A1963" s="280" t="s">
        <v>505</v>
      </c>
      <c r="B1963" s="117">
        <v>2012</v>
      </c>
      <c r="C1963" s="117" t="s">
        <v>499</v>
      </c>
      <c r="D1963" s="117" t="s">
        <v>3747</v>
      </c>
      <c r="E1963" s="117" t="s">
        <v>86</v>
      </c>
      <c r="F1963" s="117"/>
      <c r="G1963" s="120" t="s">
        <v>24</v>
      </c>
      <c r="H1963" s="117" t="str">
        <f t="shared" si="342"/>
        <v>yes</v>
      </c>
      <c r="I1963" s="117" t="str">
        <f t="shared" si="330"/>
        <v>no</v>
      </c>
      <c r="J1963" s="117" t="str">
        <f t="shared" si="331"/>
        <v>no</v>
      </c>
      <c r="K1963" s="117" t="s">
        <v>2316</v>
      </c>
      <c r="L1963" s="117" t="str">
        <f t="shared" si="343"/>
        <v>detailed</v>
      </c>
      <c r="M1963" s="117" t="str">
        <f t="shared" si="332"/>
        <v>detailed Mining</v>
      </c>
      <c r="N1963" s="118">
        <f>((10000/365)*184)+(10000/365)*181</f>
        <v>10000</v>
      </c>
      <c r="O1963" s="118"/>
      <c r="P1963" s="118"/>
      <c r="Q1963" s="118"/>
      <c r="R1963" s="118"/>
      <c r="S1963" s="117" t="s">
        <v>967</v>
      </c>
      <c r="T1963" s="119">
        <f>(((33.5/365)*184)+((33.5/365)*181))/0.0002</f>
        <v>167500</v>
      </c>
      <c r="U1963" s="117" t="s">
        <v>1874</v>
      </c>
      <c r="V1963" s="401" t="s">
        <v>2317</v>
      </c>
      <c r="W1963" s="89">
        <f t="shared" si="344"/>
        <v>1675000000</v>
      </c>
      <c r="X1963" s="117"/>
      <c r="Y1963" s="117"/>
      <c r="Z1963" s="117"/>
      <c r="AA1963" s="117"/>
      <c r="AB1963" s="117"/>
      <c r="AC1963" s="240"/>
      <c r="AD1963" s="240"/>
      <c r="AE1963" s="240"/>
      <c r="AF1963" s="241"/>
      <c r="AG1963" s="177"/>
      <c r="AH1963" s="189"/>
      <c r="AI1963" s="117"/>
      <c r="AJ1963" s="117"/>
      <c r="AK1963" s="89"/>
      <c r="AL1963" s="117"/>
      <c r="AM1963" s="117"/>
      <c r="AN1963" s="117"/>
      <c r="AO1963" s="117"/>
      <c r="AP1963" s="117"/>
      <c r="AQ1963" s="117"/>
      <c r="AR1963" s="126"/>
      <c r="AS1963" s="117"/>
      <c r="AT1963" s="117"/>
      <c r="AU1963" s="120"/>
      <c r="AV1963" s="128"/>
      <c r="AW1963" s="117">
        <f>VLOOKUP($D1963,'WB Data'!$C$3:$M$578,2,FALSE)</f>
        <v>28248632095.687702</v>
      </c>
      <c r="AX1963" s="117">
        <f>VLOOKUP($D1963,'WB Data'!$C$3:$M$578,3,FALSE)</f>
        <v>47783107</v>
      </c>
      <c r="AY1963" s="847">
        <f t="shared" si="335"/>
        <v>1.6577006140098181E-2</v>
      </c>
      <c r="AZ1963" s="117">
        <f>VLOOKUP($D1963,'WB Data'!$C$3:$M$578,4,FALSE)/100</f>
        <v>0.17321821852641847</v>
      </c>
      <c r="BA1963" s="117">
        <f t="shared" si="336"/>
        <v>4893177727.4232311</v>
      </c>
      <c r="BB1963" s="129">
        <f>IFERROR(VLOOKUP($D1963,'EITI Revenues'!$C$2:$G$224,5,FALSE),"..")</f>
        <v>468277747.69958961</v>
      </c>
      <c r="BC1963" s="846">
        <f t="shared" si="337"/>
        <v>9.5700130627829602E-2</v>
      </c>
      <c r="BD1963" s="129">
        <f>VLOOKUP($D1963,'WB Data 2'!$C$2:$K$545,6,FALSE)</f>
        <v>1466303333.4991405</v>
      </c>
      <c r="BE1963" s="129">
        <f>IFERROR(VLOOKUP($D1963,UNCTAD!$C$5:$V$529,4,FALSE),"..")</f>
        <v>8544395000</v>
      </c>
      <c r="BF1963" s="846">
        <f t="shared" si="338"/>
        <v>0.17160996577278326</v>
      </c>
      <c r="BG1963" s="117">
        <f>VLOOKUP($D1963,'WB Data'!$C$3:$M$578,5,FALSE)</f>
        <v>2831890000</v>
      </c>
      <c r="BH1963" s="129">
        <f>IFERROR($BB1963/$BG1963,"..")</f>
        <v>0.16535873487303165</v>
      </c>
      <c r="BI1963" s="117" t="str">
        <f>IFERROR(VLOOKUP($D1963,'WB Data'!$C$3:$M$578,7,FALSE)/100,"..")</f>
        <v>..</v>
      </c>
      <c r="BJ1963" s="117" t="str">
        <f>IFERROR($BI1963*$AW1963,"..")</f>
        <v>..</v>
      </c>
      <c r="BK1963" s="846" t="str">
        <f>IFERROR($BB1963/$BJ1963,"..")</f>
        <v>..</v>
      </c>
      <c r="BL1963" s="117" t="str">
        <f>IFERROR(VLOOKUP($D1963,'WB Data'!$C$3:$M$578,7,FALSE)/100,"..")</f>
        <v>..</v>
      </c>
      <c r="BM1963" s="117" t="str">
        <f>IFERROR($AW1963*$BL1963,"..")</f>
        <v>..</v>
      </c>
      <c r="BN1963" s="846" t="str">
        <f>IFERROR($BB1963/$BM1963,"..")</f>
        <v>..</v>
      </c>
      <c r="BO1963" s="801">
        <f t="shared" si="334"/>
        <v>31</v>
      </c>
      <c r="BP1963" s="117">
        <f>VLOOKUP($D1963,'WB Data'!$C$3:$M$578,9,FALSE)</f>
        <v>28.2</v>
      </c>
      <c r="BQ1963" s="117">
        <f>VLOOKUP($D1963,'WB Data'!$C$3:$M$578,10,FALSE)</f>
        <v>60.84643902439025</v>
      </c>
      <c r="BR1963" s="117">
        <f>VLOOKUP($D1963,'WB Data'!$C$3:$M$578,11,FALSE)</f>
        <v>37.700000000000003</v>
      </c>
      <c r="BS1963" s="129" t="str">
        <f>IFERROR(VLOOKUP($D1963,'WB Data 2'!$C$2:$K$545,9,FALSE),"..")</f>
        <v>..</v>
      </c>
      <c r="BT1963" s="129">
        <f>_xlfn.IFNA(VLOOKUP($C1963,RGI!$A$2:$C$43,2,FALSE),"..")</f>
        <v>27.8</v>
      </c>
      <c r="BU1963" s="129">
        <f>_xlfn.IFNA(VLOOKUP($C1963,RGI!$A$2:$C$43,3,FALSE),"..")</f>
        <v>49.764112779291708</v>
      </c>
      <c r="BV1963" s="129">
        <f>VLOOKUP($D1963,WGI!$C$2:$O$478,7,FALSE)</f>
        <v>-0.22291643302056699</v>
      </c>
      <c r="BW1963" s="129">
        <f>VLOOKUP($D1963,WGI!$C$2:$O$478,4,FALSE)</f>
        <v>2.69374400343513E-2</v>
      </c>
      <c r="BX1963" s="129">
        <f>VLOOKUP($D1963,WGI!$C$2:$O$478,3,FALSE)</f>
        <v>-0.69087113955483004</v>
      </c>
      <c r="BY1963" s="129">
        <f>VLOOKUP($D1963,WGI!$C$2:$O$478,5,FALSE)</f>
        <v>-0.39860635659708998</v>
      </c>
      <c r="BZ1963" s="129">
        <f>VLOOKUP($D1963,WGI!$C$2:$O$478,2,FALSE)</f>
        <v>-0.85063478049108399</v>
      </c>
    </row>
    <row r="1964" spans="1:80" ht="15" customHeight="1">
      <c r="A1964" s="280" t="s">
        <v>505</v>
      </c>
      <c r="B1964" s="117">
        <v>2012</v>
      </c>
      <c r="C1964" s="117" t="s">
        <v>499</v>
      </c>
      <c r="D1964" s="117" t="s">
        <v>3747</v>
      </c>
      <c r="E1964" s="117" t="s">
        <v>86</v>
      </c>
      <c r="F1964" s="117"/>
      <c r="G1964" s="120" t="s">
        <v>24</v>
      </c>
      <c r="H1964" s="117" t="str">
        <f t="shared" si="342"/>
        <v>yes</v>
      </c>
      <c r="I1964" s="117" t="str">
        <f t="shared" si="330"/>
        <v>no</v>
      </c>
      <c r="J1964" s="117" t="str">
        <f t="shared" si="331"/>
        <v>no</v>
      </c>
      <c r="K1964" s="117" t="s">
        <v>784</v>
      </c>
      <c r="L1964" s="117" t="str">
        <f t="shared" si="343"/>
        <v>detailed</v>
      </c>
      <c r="M1964" s="117" t="str">
        <f t="shared" si="332"/>
        <v>detailed Mining</v>
      </c>
      <c r="N1964" s="118">
        <f>(((42300/365)*184)+((40650/365)*181))*32.1507431265</f>
        <v>1333670.0796352534</v>
      </c>
      <c r="O1964" s="118"/>
      <c r="P1964" s="118">
        <v>1250000</v>
      </c>
      <c r="Q1964" s="118"/>
      <c r="R1964" s="118"/>
      <c r="S1964" s="117" t="s">
        <v>785</v>
      </c>
      <c r="T1964" s="119">
        <f>(((1569.21/365)*184)+((1669.52/365)*181))*1.0953</f>
        <v>1773.238965830137</v>
      </c>
      <c r="U1964" s="117" t="s">
        <v>786</v>
      </c>
      <c r="V1964" s="117" t="s">
        <v>2267</v>
      </c>
      <c r="W1964" s="89">
        <f t="shared" si="344"/>
        <v>2364915752.7710133</v>
      </c>
      <c r="X1964" s="117"/>
      <c r="Y1964" s="117"/>
      <c r="Z1964" s="117"/>
      <c r="AA1964" s="117"/>
      <c r="AB1964" s="117"/>
      <c r="AC1964" s="240"/>
      <c r="AD1964" s="240"/>
      <c r="AE1964" s="240"/>
      <c r="AF1964" s="241"/>
      <c r="AG1964" s="177"/>
      <c r="AH1964" s="189"/>
      <c r="AI1964" s="117"/>
      <c r="AJ1964" s="117"/>
      <c r="AK1964" s="89"/>
      <c r="AL1964" s="117"/>
      <c r="AM1964" s="117"/>
      <c r="AN1964" s="117"/>
      <c r="AO1964" s="117"/>
      <c r="AP1964" s="117"/>
      <c r="AQ1964" s="117"/>
      <c r="AR1964" s="126"/>
      <c r="AS1964" s="117"/>
      <c r="AT1964" s="117"/>
      <c r="AU1964" s="120" t="s">
        <v>2318</v>
      </c>
      <c r="AV1964" s="128"/>
      <c r="AW1964" s="117">
        <f>VLOOKUP($D1964,'WB Data'!$C$3:$M$578,2,FALSE)</f>
        <v>28248632095.687702</v>
      </c>
      <c r="AX1964" s="117">
        <f>VLOOKUP($D1964,'WB Data'!$C$3:$M$578,3,FALSE)</f>
        <v>47783107</v>
      </c>
      <c r="AY1964" s="847">
        <f t="shared" si="335"/>
        <v>1.6577006140098181E-2</v>
      </c>
      <c r="AZ1964" s="117">
        <f>VLOOKUP($D1964,'WB Data'!$C$3:$M$578,4,FALSE)/100</f>
        <v>0.17321821852641847</v>
      </c>
      <c r="BA1964" s="117">
        <f t="shared" si="336"/>
        <v>4893177727.4232311</v>
      </c>
      <c r="BB1964" s="129">
        <f>IFERROR(VLOOKUP($D1964,'EITI Revenues'!$C$2:$G$224,5,FALSE),"..")</f>
        <v>468277747.69958961</v>
      </c>
      <c r="BC1964" s="846">
        <f t="shared" si="337"/>
        <v>9.5700130627829602E-2</v>
      </c>
      <c r="BD1964" s="129">
        <f>VLOOKUP($D1964,'WB Data 2'!$C$2:$K$545,6,FALSE)</f>
        <v>1466303333.4991405</v>
      </c>
      <c r="BE1964" s="129">
        <f>IFERROR(VLOOKUP($D1964,UNCTAD!$C$5:$V$529,4,FALSE),"..")</f>
        <v>8544395000</v>
      </c>
      <c r="BF1964" s="846">
        <f t="shared" si="338"/>
        <v>0.17160996577278326</v>
      </c>
      <c r="BG1964" s="117">
        <f>VLOOKUP($D1964,'WB Data'!$C$3:$M$578,5,FALSE)</f>
        <v>2831890000</v>
      </c>
      <c r="BH1964" s="129">
        <f>IFERROR($BB1964/$BG1964,"..")</f>
        <v>0.16535873487303165</v>
      </c>
      <c r="BI1964" s="117" t="str">
        <f>IFERROR(VLOOKUP($D1964,'WB Data'!$C$3:$M$578,7,FALSE)/100,"..")</f>
        <v>..</v>
      </c>
      <c r="BJ1964" s="117" t="str">
        <f>IFERROR($BI1964*$AW1964,"..")</f>
        <v>..</v>
      </c>
      <c r="BK1964" s="846" t="str">
        <f>IFERROR($BB1964/$BJ1964,"..")</f>
        <v>..</v>
      </c>
      <c r="BL1964" s="117" t="str">
        <f>IFERROR(VLOOKUP($D1964,'WB Data'!$C$3:$M$578,7,FALSE)/100,"..")</f>
        <v>..</v>
      </c>
      <c r="BM1964" s="117" t="str">
        <f>IFERROR($AW1964*$BL1964,"..")</f>
        <v>..</v>
      </c>
      <c r="BN1964" s="846" t="str">
        <f>IFERROR($BB1964/$BM1964,"..")</f>
        <v>..</v>
      </c>
      <c r="BO1964" s="801">
        <f t="shared" si="334"/>
        <v>31</v>
      </c>
      <c r="BP1964" s="117">
        <f>VLOOKUP($D1964,'WB Data'!$C$3:$M$578,9,FALSE)</f>
        <v>28.2</v>
      </c>
      <c r="BQ1964" s="117">
        <f>VLOOKUP($D1964,'WB Data'!$C$3:$M$578,10,FALSE)</f>
        <v>60.84643902439025</v>
      </c>
      <c r="BR1964" s="117">
        <f>VLOOKUP($D1964,'WB Data'!$C$3:$M$578,11,FALSE)</f>
        <v>37.700000000000003</v>
      </c>
      <c r="BS1964" s="129" t="str">
        <f>IFERROR(VLOOKUP($D1964,'WB Data 2'!$C$2:$K$545,9,FALSE),"..")</f>
        <v>..</v>
      </c>
      <c r="BT1964" s="129">
        <f>_xlfn.IFNA(VLOOKUP($C1964,RGI!$A$2:$C$43,2,FALSE),"..")</f>
        <v>27.8</v>
      </c>
      <c r="BU1964" s="129">
        <f>_xlfn.IFNA(VLOOKUP($C1964,RGI!$A$2:$C$43,3,FALSE),"..")</f>
        <v>49.764112779291708</v>
      </c>
      <c r="BV1964" s="129">
        <f>VLOOKUP($D1964,WGI!$C$2:$O$478,7,FALSE)</f>
        <v>-0.22291643302056699</v>
      </c>
      <c r="BW1964" s="129">
        <f>VLOOKUP($D1964,WGI!$C$2:$O$478,4,FALSE)</f>
        <v>2.69374400343513E-2</v>
      </c>
      <c r="BX1964" s="129">
        <f>VLOOKUP($D1964,WGI!$C$2:$O$478,3,FALSE)</f>
        <v>-0.69087113955483004</v>
      </c>
      <c r="BY1964" s="129">
        <f>VLOOKUP($D1964,WGI!$C$2:$O$478,5,FALSE)</f>
        <v>-0.39860635659708998</v>
      </c>
      <c r="BZ1964" s="129">
        <f>VLOOKUP($D1964,WGI!$C$2:$O$478,2,FALSE)</f>
        <v>-0.85063478049108399</v>
      </c>
    </row>
    <row r="1965" spans="1:80" ht="15" customHeight="1">
      <c r="A1965" s="280" t="s">
        <v>505</v>
      </c>
      <c r="B1965" s="117">
        <v>2012</v>
      </c>
      <c r="C1965" s="117" t="s">
        <v>499</v>
      </c>
      <c r="D1965" s="117" t="s">
        <v>3747</v>
      </c>
      <c r="E1965" s="117" t="s">
        <v>86</v>
      </c>
      <c r="F1965" s="117"/>
      <c r="G1965" s="120" t="s">
        <v>24</v>
      </c>
      <c r="H1965" s="117" t="str">
        <f t="shared" si="342"/>
        <v>yes</v>
      </c>
      <c r="I1965" s="117" t="str">
        <f t="shared" si="330"/>
        <v>no</v>
      </c>
      <c r="J1965" s="117" t="str">
        <f t="shared" si="331"/>
        <v>no</v>
      </c>
      <c r="K1965" s="117" t="s">
        <v>703</v>
      </c>
      <c r="L1965" s="117" t="str">
        <f t="shared" si="343"/>
        <v>detailed</v>
      </c>
      <c r="M1965" s="117" t="str">
        <f t="shared" si="332"/>
        <v>detailed Mining</v>
      </c>
      <c r="N1965" s="118">
        <f>((1972100/365)*184)+(2000000/365)*181</f>
        <v>1985935.3424657532</v>
      </c>
      <c r="O1965" s="118"/>
      <c r="P1965" s="118"/>
      <c r="Q1965" s="118"/>
      <c r="R1965" s="118"/>
      <c r="S1965" s="117" t="s">
        <v>610</v>
      </c>
      <c r="T1965" s="119">
        <f>(((9.06/365)*184)+((9.1/365)*181))*0.0148</f>
        <v>0.13438156712328767</v>
      </c>
      <c r="U1965" s="117" t="s">
        <v>611</v>
      </c>
      <c r="V1965" s="117" t="s">
        <v>2319</v>
      </c>
      <c r="W1965" s="89">
        <f t="shared" si="344"/>
        <v>266873.10352607089</v>
      </c>
      <c r="X1965" s="117"/>
      <c r="Y1965" s="117"/>
      <c r="Z1965" s="117"/>
      <c r="AA1965" s="117"/>
      <c r="AB1965" s="117"/>
      <c r="AC1965" s="240"/>
      <c r="AD1965" s="240"/>
      <c r="AE1965" s="240"/>
      <c r="AF1965" s="241"/>
      <c r="AG1965" s="177"/>
      <c r="AH1965" s="189"/>
      <c r="AI1965" s="120"/>
      <c r="AJ1965" s="117"/>
      <c r="AK1965" s="89"/>
      <c r="AL1965" s="117"/>
      <c r="AM1965" s="117"/>
      <c r="AN1965" s="117"/>
      <c r="AO1965" s="117"/>
      <c r="AP1965" s="117"/>
      <c r="AQ1965" s="117"/>
      <c r="AR1965" s="126"/>
      <c r="AS1965" s="117"/>
      <c r="AT1965" s="117"/>
      <c r="AU1965" s="120"/>
      <c r="AV1965" s="128"/>
      <c r="AW1965" s="117">
        <f>VLOOKUP($D1965,'WB Data'!$C$3:$M$578,2,FALSE)</f>
        <v>28248632095.687702</v>
      </c>
      <c r="AX1965" s="117">
        <f>VLOOKUP($D1965,'WB Data'!$C$3:$M$578,3,FALSE)</f>
        <v>47783107</v>
      </c>
      <c r="AY1965" s="847">
        <f t="shared" si="335"/>
        <v>1.6577006140098181E-2</v>
      </c>
      <c r="AZ1965" s="117">
        <f>VLOOKUP($D1965,'WB Data'!$C$3:$M$578,4,FALSE)/100</f>
        <v>0.17321821852641847</v>
      </c>
      <c r="BA1965" s="117">
        <f t="shared" si="336"/>
        <v>4893177727.4232311</v>
      </c>
      <c r="BB1965" s="129">
        <f>IFERROR(VLOOKUP($D1965,'EITI Revenues'!$C$2:$G$224,5,FALSE),"..")</f>
        <v>468277747.69958961</v>
      </c>
      <c r="BC1965" s="846">
        <f t="shared" si="337"/>
        <v>9.5700130627829602E-2</v>
      </c>
      <c r="BD1965" s="129">
        <f>VLOOKUP($D1965,'WB Data 2'!$C$2:$K$545,6,FALSE)</f>
        <v>1466303333.4991405</v>
      </c>
      <c r="BE1965" s="129">
        <f>IFERROR(VLOOKUP($D1965,UNCTAD!$C$5:$V$529,4,FALSE),"..")</f>
        <v>8544395000</v>
      </c>
      <c r="BF1965" s="846">
        <f t="shared" si="338"/>
        <v>0.17160996577278326</v>
      </c>
      <c r="BG1965" s="117">
        <f>VLOOKUP($D1965,'WB Data'!$C$3:$M$578,5,FALSE)</f>
        <v>2831890000</v>
      </c>
      <c r="BH1965" s="129">
        <f>IFERROR($BB1965/$BG1965,"..")</f>
        <v>0.16535873487303165</v>
      </c>
      <c r="BI1965" s="117" t="str">
        <f>IFERROR(VLOOKUP($D1965,'WB Data'!$C$3:$M$578,7,FALSE)/100,"..")</f>
        <v>..</v>
      </c>
      <c r="BJ1965" s="117" t="str">
        <f>IFERROR($BI1965*$AW1965,"..")</f>
        <v>..</v>
      </c>
      <c r="BK1965" s="846" t="str">
        <f>IFERROR($BB1965/$BJ1965,"..")</f>
        <v>..</v>
      </c>
      <c r="BL1965" s="117" t="str">
        <f>IFERROR(VLOOKUP($D1965,'WB Data'!$C$3:$M$578,7,FALSE)/100,"..")</f>
        <v>..</v>
      </c>
      <c r="BM1965" s="117" t="str">
        <f>IFERROR($AW1965*$BL1965,"..")</f>
        <v>..</v>
      </c>
      <c r="BN1965" s="846" t="str">
        <f>IFERROR($BB1965/$BM1965,"..")</f>
        <v>..</v>
      </c>
      <c r="BO1965" s="801">
        <f t="shared" si="334"/>
        <v>31</v>
      </c>
      <c r="BP1965" s="117">
        <f>VLOOKUP($D1965,'WB Data'!$C$3:$M$578,9,FALSE)</f>
        <v>28.2</v>
      </c>
      <c r="BQ1965" s="117">
        <f>VLOOKUP($D1965,'WB Data'!$C$3:$M$578,10,FALSE)</f>
        <v>60.84643902439025</v>
      </c>
      <c r="BR1965" s="117">
        <f>VLOOKUP($D1965,'WB Data'!$C$3:$M$578,11,FALSE)</f>
        <v>37.700000000000003</v>
      </c>
      <c r="BS1965" s="129" t="str">
        <f>IFERROR(VLOOKUP($D1965,'WB Data 2'!$C$2:$K$545,9,FALSE),"..")</f>
        <v>..</v>
      </c>
      <c r="BT1965" s="129">
        <f>_xlfn.IFNA(VLOOKUP($C1965,RGI!$A$2:$C$43,2,FALSE),"..")</f>
        <v>27.8</v>
      </c>
      <c r="BU1965" s="129">
        <f>_xlfn.IFNA(VLOOKUP($C1965,RGI!$A$2:$C$43,3,FALSE),"..")</f>
        <v>49.764112779291708</v>
      </c>
      <c r="BV1965" s="129">
        <f>VLOOKUP($D1965,WGI!$C$2:$O$478,7,FALSE)</f>
        <v>-0.22291643302056699</v>
      </c>
      <c r="BW1965" s="129">
        <f>VLOOKUP($D1965,WGI!$C$2:$O$478,4,FALSE)</f>
        <v>2.69374400343513E-2</v>
      </c>
      <c r="BX1965" s="129">
        <f>VLOOKUP($D1965,WGI!$C$2:$O$478,3,FALSE)</f>
        <v>-0.69087113955483004</v>
      </c>
      <c r="BY1965" s="129">
        <f>VLOOKUP($D1965,WGI!$C$2:$O$478,5,FALSE)</f>
        <v>-0.39860635659708998</v>
      </c>
      <c r="BZ1965" s="129">
        <f>VLOOKUP($D1965,WGI!$C$2:$O$478,2,FALSE)</f>
        <v>-0.85063478049108399</v>
      </c>
    </row>
    <row r="1966" spans="1:80" s="173" customFormat="1" ht="15" customHeight="1" thickBot="1">
      <c r="A1966" s="341" t="s">
        <v>505</v>
      </c>
      <c r="B1966" s="164">
        <v>2012</v>
      </c>
      <c r="C1966" s="164" t="s">
        <v>499</v>
      </c>
      <c r="D1966" s="117" t="s">
        <v>3747</v>
      </c>
      <c r="E1966" s="164" t="s">
        <v>86</v>
      </c>
      <c r="F1966" s="164"/>
      <c r="G1966" s="173" t="s">
        <v>24</v>
      </c>
      <c r="H1966" s="164" t="str">
        <f t="shared" si="342"/>
        <v>yes</v>
      </c>
      <c r="I1966" s="164" t="str">
        <f t="shared" si="330"/>
        <v>no</v>
      </c>
      <c r="J1966" s="164" t="str">
        <f t="shared" si="331"/>
        <v>no</v>
      </c>
      <c r="K1966" s="164" t="s">
        <v>2270</v>
      </c>
      <c r="L1966" s="164" t="str">
        <f t="shared" si="343"/>
        <v>detailed</v>
      </c>
      <c r="M1966" s="164" t="str">
        <f t="shared" si="332"/>
        <v>detailed Mining</v>
      </c>
      <c r="N1966" s="165">
        <f>((823/365)*184)+(759/365)*181</f>
        <v>791.26301369863017</v>
      </c>
      <c r="O1966" s="165"/>
      <c r="P1966" s="165"/>
      <c r="Q1966" s="165"/>
      <c r="R1966" s="165"/>
      <c r="S1966" s="164" t="s">
        <v>967</v>
      </c>
      <c r="T1966" s="166">
        <f>((((337.5/365)*184)+((337.5/365)*181))/0.0002)*0.0321</f>
        <v>54168.749999999993</v>
      </c>
      <c r="U1966" s="164" t="s">
        <v>1874</v>
      </c>
      <c r="V1966" s="539" t="s">
        <v>2320</v>
      </c>
      <c r="W1966" s="167">
        <f t="shared" si="344"/>
        <v>42861728.37328767</v>
      </c>
      <c r="X1966" s="164"/>
      <c r="Y1966" s="164"/>
      <c r="Z1966" s="164"/>
      <c r="AA1966" s="342"/>
      <c r="AB1966" s="167"/>
      <c r="AC1966" s="459"/>
      <c r="AD1966" s="459"/>
      <c r="AE1966" s="459"/>
      <c r="AF1966" s="460"/>
      <c r="AG1966" s="342"/>
      <c r="AH1966" s="640"/>
      <c r="AI1966" s="164"/>
      <c r="AJ1966" s="164"/>
      <c r="AK1966" s="167"/>
      <c r="AL1966" s="164"/>
      <c r="AM1966" s="164"/>
      <c r="AN1966" s="164"/>
      <c r="AO1966" s="164"/>
      <c r="AP1966" s="164"/>
      <c r="AQ1966" s="164"/>
      <c r="AR1966" s="249"/>
      <c r="AS1966" s="164"/>
      <c r="AT1966" s="164"/>
      <c r="AV1966" s="172"/>
      <c r="AW1966" s="117">
        <f>VLOOKUP($D1966,'WB Data'!$C$3:$M$578,2,FALSE)</f>
        <v>28248632095.687702</v>
      </c>
      <c r="AX1966" s="117">
        <f>VLOOKUP($D1966,'WB Data'!$C$3:$M$578,3,FALSE)</f>
        <v>47783107</v>
      </c>
      <c r="AY1966" s="847">
        <f t="shared" si="335"/>
        <v>1.6577006140098181E-2</v>
      </c>
      <c r="AZ1966" s="117">
        <f>VLOOKUP($D1966,'WB Data'!$C$3:$M$578,4,FALSE)/100</f>
        <v>0.17321821852641847</v>
      </c>
      <c r="BA1966" s="117">
        <f t="shared" si="336"/>
        <v>4893177727.4232311</v>
      </c>
      <c r="BB1966" s="129">
        <f>IFERROR(VLOOKUP($D1966,'EITI Revenues'!$C$2:$G$224,5,FALSE),"..")</f>
        <v>468277747.69958961</v>
      </c>
      <c r="BC1966" s="846">
        <f t="shared" si="337"/>
        <v>9.5700130627829602E-2</v>
      </c>
      <c r="BD1966" s="129">
        <f>VLOOKUP($D1966,'WB Data 2'!$C$2:$K$545,6,FALSE)</f>
        <v>1466303333.4991405</v>
      </c>
      <c r="BE1966" s="129">
        <f>IFERROR(VLOOKUP($D1966,UNCTAD!$C$5:$V$529,4,FALSE),"..")</f>
        <v>8544395000</v>
      </c>
      <c r="BF1966" s="846">
        <f t="shared" si="338"/>
        <v>0.17160996577278326</v>
      </c>
      <c r="BG1966" s="117">
        <f>VLOOKUP($D1966,'WB Data'!$C$3:$M$578,5,FALSE)</f>
        <v>2831890000</v>
      </c>
      <c r="BH1966" s="129">
        <f>IFERROR($BB1966/$BG1966,"..")</f>
        <v>0.16535873487303165</v>
      </c>
      <c r="BI1966" s="117" t="str">
        <f>IFERROR(VLOOKUP($D1966,'WB Data'!$C$3:$M$578,7,FALSE)/100,"..")</f>
        <v>..</v>
      </c>
      <c r="BJ1966" s="117" t="str">
        <f>IFERROR($BI1966*$AW1966,"..")</f>
        <v>..</v>
      </c>
      <c r="BK1966" s="846" t="str">
        <f>IFERROR($BB1966/$BJ1966,"..")</f>
        <v>..</v>
      </c>
      <c r="BL1966" s="117" t="str">
        <f>IFERROR(VLOOKUP($D1966,'WB Data'!$C$3:$M$578,7,FALSE)/100,"..")</f>
        <v>..</v>
      </c>
      <c r="BM1966" s="117" t="str">
        <f>IFERROR($AW1966*$BL1966,"..")</f>
        <v>..</v>
      </c>
      <c r="BN1966" s="846" t="str">
        <f>IFERROR($BB1966/$BM1966,"..")</f>
        <v>..</v>
      </c>
      <c r="BO1966" s="801">
        <f t="shared" si="334"/>
        <v>31</v>
      </c>
      <c r="BP1966" s="117">
        <f>VLOOKUP($D1966,'WB Data'!$C$3:$M$578,9,FALSE)</f>
        <v>28.2</v>
      </c>
      <c r="BQ1966" s="117">
        <f>VLOOKUP($D1966,'WB Data'!$C$3:$M$578,10,FALSE)</f>
        <v>60.84643902439025</v>
      </c>
      <c r="BR1966" s="117">
        <f>VLOOKUP($D1966,'WB Data'!$C$3:$M$578,11,FALSE)</f>
        <v>37.700000000000003</v>
      </c>
      <c r="BS1966" s="129" t="str">
        <f>IFERROR(VLOOKUP($D1966,'WB Data 2'!$C$2:$K$545,9,FALSE),"..")</f>
        <v>..</v>
      </c>
      <c r="BT1966" s="129">
        <f>_xlfn.IFNA(VLOOKUP($C1966,RGI!$A$2:$C$43,2,FALSE),"..")</f>
        <v>27.8</v>
      </c>
      <c r="BU1966" s="129">
        <f>_xlfn.IFNA(VLOOKUP($C1966,RGI!$A$2:$C$43,3,FALSE),"..")</f>
        <v>49.764112779291708</v>
      </c>
      <c r="BV1966" s="129">
        <f>VLOOKUP($D1966,WGI!$C$2:$O$478,7,FALSE)</f>
        <v>-0.22291643302056699</v>
      </c>
      <c r="BW1966" s="129">
        <f>VLOOKUP($D1966,WGI!$C$2:$O$478,4,FALSE)</f>
        <v>2.69374400343513E-2</v>
      </c>
      <c r="BX1966" s="129">
        <f>VLOOKUP($D1966,WGI!$C$2:$O$478,3,FALSE)</f>
        <v>-0.69087113955483004</v>
      </c>
      <c r="BY1966" s="129">
        <f>VLOOKUP($D1966,WGI!$C$2:$O$478,5,FALSE)</f>
        <v>-0.39860635659708998</v>
      </c>
      <c r="BZ1966" s="129">
        <f>VLOOKUP($D1966,WGI!$C$2:$O$478,2,FALSE)</f>
        <v>-0.85063478049108399</v>
      </c>
      <c r="CB1966" s="129"/>
    </row>
    <row r="1967" spans="1:80" s="158" customFormat="1" ht="15" customHeight="1">
      <c r="A1967" s="282" t="s">
        <v>507</v>
      </c>
      <c r="B1967" s="149">
        <v>2008</v>
      </c>
      <c r="C1967" s="149" t="s">
        <v>3090</v>
      </c>
      <c r="D1967" s="117" t="s">
        <v>3613</v>
      </c>
      <c r="E1967" s="149" t="s">
        <v>244</v>
      </c>
      <c r="F1967" s="149" t="s">
        <v>2322</v>
      </c>
      <c r="G1967" s="149" t="s">
        <v>103</v>
      </c>
      <c r="H1967" s="117" t="str">
        <f t="shared" si="342"/>
        <v>no</v>
      </c>
      <c r="I1967" s="117" t="str">
        <f t="shared" si="330"/>
        <v>no</v>
      </c>
      <c r="J1967" s="117" t="str">
        <f t="shared" si="331"/>
        <v>yes</v>
      </c>
      <c r="K1967" s="149" t="s">
        <v>103</v>
      </c>
      <c r="L1967" s="117" t="str">
        <f t="shared" si="343"/>
        <v>detailed</v>
      </c>
      <c r="M1967" s="117" t="str">
        <f t="shared" si="332"/>
        <v>detailed Oil</v>
      </c>
      <c r="N1967" s="150">
        <v>36500000</v>
      </c>
      <c r="O1967" s="150"/>
      <c r="P1967" s="150"/>
      <c r="Q1967" s="150"/>
      <c r="R1967" s="150"/>
      <c r="S1967" s="149" t="s">
        <v>646</v>
      </c>
      <c r="T1967" s="151">
        <v>98.27</v>
      </c>
      <c r="U1967" s="149" t="s">
        <v>673</v>
      </c>
      <c r="V1967" s="149" t="s">
        <v>1030</v>
      </c>
      <c r="W1967" s="152">
        <f t="shared" si="344"/>
        <v>3586855000</v>
      </c>
      <c r="X1967" s="149" t="s">
        <v>1211</v>
      </c>
      <c r="Y1967" s="149" t="s">
        <v>602</v>
      </c>
      <c r="Z1967" s="149" t="s">
        <v>603</v>
      </c>
      <c r="AA1967" s="284">
        <v>2509572538</v>
      </c>
      <c r="AB1967" s="284">
        <v>2509572538</v>
      </c>
      <c r="AC1967" s="154"/>
      <c r="AD1967" s="154"/>
      <c r="AE1967" s="154"/>
      <c r="AF1967" s="155">
        <f>AA1967/W1967</f>
        <v>0.69965820698076731</v>
      </c>
      <c r="AG1967" s="149" t="s">
        <v>864</v>
      </c>
      <c r="AH1967" s="156" t="s">
        <v>865</v>
      </c>
      <c r="AI1967" s="149" t="s">
        <v>1308</v>
      </c>
      <c r="AJ1967" s="149"/>
      <c r="AK1967" s="152"/>
      <c r="AL1967" s="149"/>
      <c r="AM1967" s="149"/>
      <c r="AN1967" s="149">
        <v>18</v>
      </c>
      <c r="AO1967" s="149" t="s">
        <v>2323</v>
      </c>
      <c r="AP1967" s="149">
        <v>18</v>
      </c>
      <c r="AQ1967" s="149" t="s">
        <v>368</v>
      </c>
      <c r="AR1967" s="220">
        <v>41906</v>
      </c>
      <c r="AS1967" s="149" t="s">
        <v>712</v>
      </c>
      <c r="AT1967" s="149" t="s">
        <v>509</v>
      </c>
      <c r="AU1967" s="149">
        <v>5</v>
      </c>
      <c r="AV1967" s="157" t="s">
        <v>2324</v>
      </c>
      <c r="AW1967" s="117">
        <f>VLOOKUP($D1967,'WB Data'!$C$3:$M$578,2,FALSE)</f>
        <v>694000000</v>
      </c>
      <c r="AX1967" s="117">
        <f>VLOOKUP($D1967,'WB Data'!$C$3:$M$578,3,FALSE)</f>
        <v>1032182</v>
      </c>
      <c r="AY1967" s="847" t="str">
        <f t="shared" si="335"/>
        <v>..</v>
      </c>
      <c r="AZ1967" s="117" t="e">
        <f>VLOOKUP($D1967,'WB Data'!$C$3:$M$578,4,FALSE)/100</f>
        <v>#VALUE!</v>
      </c>
      <c r="BA1967" s="117" t="str">
        <f t="shared" si="336"/>
        <v>..</v>
      </c>
      <c r="BB1967" s="129" t="str">
        <f>IFERROR(VLOOKUP($D1967,'EITI Revenues'!$C$2:$G$224,5,FALSE),"..")</f>
        <v>..</v>
      </c>
      <c r="BC1967" s="846" t="str">
        <f t="shared" si="337"/>
        <v>..</v>
      </c>
      <c r="BD1967" s="129" t="str">
        <f>VLOOKUP($D1967,'WB Data 2'!$C$2:$K$545,6,FALSE)</f>
        <v>..</v>
      </c>
      <c r="BE1967" s="129">
        <f>IFERROR(VLOOKUP($D1967,UNCTAD!$C$5:$V$529,4,FALSE),"..")</f>
        <v>58144000</v>
      </c>
      <c r="BF1967" s="846" t="str">
        <f t="shared" si="338"/>
        <v>..</v>
      </c>
      <c r="BG1967" s="117">
        <f>VLOOKUP($D1967,'WB Data'!$C$3:$M$578,5,FALSE)</f>
        <v>277540000</v>
      </c>
      <c r="BH1967" s="129" t="str">
        <f>IFERROR($BB1967/$BG1967,"..")</f>
        <v>..</v>
      </c>
      <c r="BI1967" s="117">
        <f>IFERROR(VLOOKUP($D1967,'WB Data'!$C$3:$M$578,7,FALSE)/100,"..")</f>
        <v>8.1043500000000004E-2</v>
      </c>
      <c r="BJ1967" s="117">
        <f>IFERROR($BI1967*$AW1967,"..")</f>
        <v>56244189</v>
      </c>
      <c r="BK1967" s="846" t="str">
        <f>IFERROR($BB1967/$BJ1967,"..")</f>
        <v>..</v>
      </c>
      <c r="BL1967" s="117">
        <f>IFERROR(VLOOKUP($D1967,'WB Data'!$C$3:$M$578,7,FALSE)/100,"..")</f>
        <v>8.1043500000000004E-2</v>
      </c>
      <c r="BM1967" s="117">
        <f>IFERROR($AW1967*$BL1967,"..")</f>
        <v>56244189</v>
      </c>
      <c r="BN1967" s="846" t="str">
        <f>IFERROR($BB1967/$BM1967,"..")</f>
        <v>..</v>
      </c>
      <c r="BO1967" s="801">
        <f t="shared" si="334"/>
        <v>28</v>
      </c>
      <c r="BP1967" s="117" t="str">
        <f>VLOOKUP($D1967,'WB Data'!$C$3:$M$578,9,FALSE)</f>
        <v>..</v>
      </c>
      <c r="BQ1967" s="117">
        <f>VLOOKUP($D1967,'WB Data'!$C$3:$M$578,10,FALSE)</f>
        <v>64.827926829268293</v>
      </c>
      <c r="BR1967" s="117">
        <f>VLOOKUP($D1967,'WB Data'!$C$3:$M$578,11,FALSE)</f>
        <v>56</v>
      </c>
      <c r="BS1967" s="129">
        <f>IFERROR(VLOOKUP($D1967,'WB Data 2'!$C$2:$K$545,9,FALSE),"..")</f>
        <v>71.280410000000003</v>
      </c>
      <c r="BT1967" s="129">
        <f>_xlfn.IFNA(VLOOKUP($C1967,RGI!$A$2:$C$43,2,FALSE),"..")</f>
        <v>70.5</v>
      </c>
      <c r="BU1967" s="129">
        <f>_xlfn.IFNA(VLOOKUP($C1967,RGI!$A$2:$C$43,3,FALSE),"..")</f>
        <v>67.748854430370386</v>
      </c>
      <c r="BV1967" s="129">
        <f>VLOOKUP($D1967,WGI!$C$2:$O$478,7,FALSE)</f>
        <v>0.202049060323093</v>
      </c>
      <c r="BW1967" s="129">
        <f>VLOOKUP($D1967,WGI!$C$2:$O$478,4,FALSE)</f>
        <v>-0.81962103099710104</v>
      </c>
      <c r="BX1967" s="129">
        <f>VLOOKUP($D1967,WGI!$C$2:$O$478,3,FALSE)</f>
        <v>-1.1454017891627799</v>
      </c>
      <c r="BY1967" s="129">
        <f>VLOOKUP($D1967,WGI!$C$2:$O$478,5,FALSE)</f>
        <v>-1.3741245334180201</v>
      </c>
      <c r="BZ1967" s="129">
        <f>VLOOKUP($D1967,WGI!$C$2:$O$478,2,FALSE)</f>
        <v>-0.90276833689715996</v>
      </c>
      <c r="CB1967" s="129"/>
    </row>
    <row r="1968" spans="1:80" s="480" customFormat="1" ht="15" customHeight="1">
      <c r="A1968" s="470" t="s">
        <v>510</v>
      </c>
      <c r="B1968" s="471">
        <v>2009</v>
      </c>
      <c r="C1968" s="471" t="s">
        <v>3090</v>
      </c>
      <c r="D1968" s="117" t="s">
        <v>3647</v>
      </c>
      <c r="E1968" s="471" t="s">
        <v>244</v>
      </c>
      <c r="F1968" s="471" t="s">
        <v>2322</v>
      </c>
      <c r="G1968" s="471" t="s">
        <v>103</v>
      </c>
      <c r="H1968" s="117" t="str">
        <f t="shared" si="342"/>
        <v>no</v>
      </c>
      <c r="I1968" s="117" t="str">
        <f t="shared" si="330"/>
        <v>no</v>
      </c>
      <c r="J1968" s="117" t="str">
        <f t="shared" si="331"/>
        <v>yes</v>
      </c>
      <c r="K1968" s="149" t="s">
        <v>103</v>
      </c>
      <c r="L1968" s="117" t="str">
        <f t="shared" si="343"/>
        <v>detailed</v>
      </c>
      <c r="M1968" s="117" t="str">
        <f t="shared" si="332"/>
        <v>detailed Oil</v>
      </c>
      <c r="N1968" s="473">
        <v>35149500</v>
      </c>
      <c r="O1968" s="473"/>
      <c r="P1968" s="473"/>
      <c r="Q1968" s="473"/>
      <c r="R1968" s="473"/>
      <c r="S1968" s="471" t="s">
        <v>646</v>
      </c>
      <c r="T1968" s="474">
        <v>62.0812648</v>
      </c>
      <c r="U1968" s="471" t="s">
        <v>673</v>
      </c>
      <c r="V1968" s="471" t="s">
        <v>1030</v>
      </c>
      <c r="W1968" s="475">
        <f t="shared" si="344"/>
        <v>2182125417.0875998</v>
      </c>
      <c r="X1968" s="471" t="s">
        <v>918</v>
      </c>
      <c r="Y1968" s="471" t="s">
        <v>602</v>
      </c>
      <c r="Z1968" s="471" t="s">
        <v>603</v>
      </c>
      <c r="AA1968" s="468">
        <v>1763889996</v>
      </c>
      <c r="AB1968" s="468">
        <v>1763889996</v>
      </c>
      <c r="AC1968" s="467"/>
      <c r="AD1968" s="467"/>
      <c r="AE1968" s="467"/>
      <c r="AF1968" s="469">
        <f>AA1968/W1968</f>
        <v>0.80833575475886132</v>
      </c>
      <c r="AG1968" s="471" t="s">
        <v>864</v>
      </c>
      <c r="AH1968" s="477" t="s">
        <v>865</v>
      </c>
      <c r="AI1968" s="471" t="s">
        <v>1308</v>
      </c>
      <c r="AJ1968" s="471"/>
      <c r="AK1968" s="475"/>
      <c r="AL1968" s="471"/>
      <c r="AM1968" s="471"/>
      <c r="AN1968" s="471">
        <v>18</v>
      </c>
      <c r="AO1968" s="471" t="s">
        <v>2323</v>
      </c>
      <c r="AP1968" s="471">
        <v>18</v>
      </c>
      <c r="AQ1968" s="641" t="s">
        <v>511</v>
      </c>
      <c r="AR1968" s="478">
        <v>41906</v>
      </c>
      <c r="AS1968" s="471" t="s">
        <v>712</v>
      </c>
      <c r="AT1968" s="471" t="s">
        <v>512</v>
      </c>
      <c r="AU1968" s="471">
        <v>18</v>
      </c>
      <c r="AV1968" s="479" t="s">
        <v>2325</v>
      </c>
      <c r="AW1968" s="117">
        <f>VLOOKUP($D1968,'WB Data'!$C$3:$M$578,2,FALSE)</f>
        <v>818000000</v>
      </c>
      <c r="AX1968" s="117">
        <f>VLOOKUP($D1968,'WB Data'!$C$3:$M$578,3,FALSE)</f>
        <v>1049156</v>
      </c>
      <c r="AY1968" s="847" t="str">
        <f t="shared" si="335"/>
        <v>..</v>
      </c>
      <c r="AZ1968" s="117" t="e">
        <f>VLOOKUP($D1968,'WB Data'!$C$3:$M$578,4,FALSE)/100</f>
        <v>#VALUE!</v>
      </c>
      <c r="BA1968" s="117" t="str">
        <f t="shared" si="336"/>
        <v>..</v>
      </c>
      <c r="BB1968" s="129" t="str">
        <f>IFERROR(VLOOKUP($D1968,'EITI Revenues'!$C$2:$G$224,5,FALSE),"..")</f>
        <v>..</v>
      </c>
      <c r="BC1968" s="846" t="str">
        <f t="shared" si="337"/>
        <v>..</v>
      </c>
      <c r="BD1968" s="129" t="str">
        <f>VLOOKUP($D1968,'WB Data 2'!$C$2:$K$545,6,FALSE)</f>
        <v>..</v>
      </c>
      <c r="BE1968" s="129">
        <f>IFERROR(VLOOKUP($D1968,UNCTAD!$C$5:$V$529,4,FALSE),"..")</f>
        <v>66191999.999999993</v>
      </c>
      <c r="BF1968" s="846" t="str">
        <f t="shared" si="338"/>
        <v>..</v>
      </c>
      <c r="BG1968" s="117">
        <f>VLOOKUP($D1968,'WB Data'!$C$3:$M$578,5,FALSE)</f>
        <v>216440000</v>
      </c>
      <c r="BH1968" s="129" t="str">
        <f>IFERROR($BB1968/$BG1968,"..")</f>
        <v>..</v>
      </c>
      <c r="BI1968" s="117">
        <f>IFERROR(VLOOKUP($D1968,'WB Data'!$C$3:$M$578,7,FALSE)/100,"..")</f>
        <v>0.11345470000000001</v>
      </c>
      <c r="BJ1968" s="117">
        <f>IFERROR($BI1968*$AW1968,"..")</f>
        <v>92805944.600000009</v>
      </c>
      <c r="BK1968" s="846" t="str">
        <f>IFERROR($BB1968/$BJ1968,"..")</f>
        <v>..</v>
      </c>
      <c r="BL1968" s="117">
        <f>IFERROR(VLOOKUP($D1968,'WB Data'!$C$3:$M$578,7,FALSE)/100,"..")</f>
        <v>0.11345470000000001</v>
      </c>
      <c r="BM1968" s="117">
        <f>IFERROR($AW1968*$BL1968,"..")</f>
        <v>92805944.600000009</v>
      </c>
      <c r="BN1968" s="846" t="str">
        <f>IFERROR($BB1968/$BM1968,"..")</f>
        <v>..</v>
      </c>
      <c r="BO1968" s="801">
        <f t="shared" si="334"/>
        <v>28</v>
      </c>
      <c r="BP1968" s="117" t="str">
        <f>VLOOKUP($D1968,'WB Data'!$C$3:$M$578,9,FALSE)</f>
        <v>..</v>
      </c>
      <c r="BQ1968" s="117">
        <f>VLOOKUP($D1968,'WB Data'!$C$3:$M$578,10,FALSE)</f>
        <v>65.388000000000005</v>
      </c>
      <c r="BR1968" s="117">
        <f>VLOOKUP($D1968,'WB Data'!$C$3:$M$578,11,FALSE)</f>
        <v>53.6</v>
      </c>
      <c r="BS1968" s="129">
        <f>IFERROR(VLOOKUP($D1968,'WB Data 2'!$C$2:$K$545,9,FALSE),"..")</f>
        <v>78.178349999999995</v>
      </c>
      <c r="BT1968" s="129">
        <f>_xlfn.IFNA(VLOOKUP($C1968,RGI!$A$2:$C$43,2,FALSE),"..")</f>
        <v>70.5</v>
      </c>
      <c r="BU1968" s="129">
        <f>_xlfn.IFNA(VLOOKUP($C1968,RGI!$A$2:$C$43,3,FALSE),"..")</f>
        <v>67.748854430370386</v>
      </c>
      <c r="BV1968" s="129">
        <f>VLOOKUP($D1968,WGI!$C$2:$O$478,7,FALSE)</f>
        <v>7.0016417036487796E-2</v>
      </c>
      <c r="BW1968" s="129">
        <f>VLOOKUP($D1968,WGI!$C$2:$O$478,4,FALSE)</f>
        <v>-0.58178349595816803</v>
      </c>
      <c r="BX1968" s="129">
        <f>VLOOKUP($D1968,WGI!$C$2:$O$478,3,FALSE)</f>
        <v>-1.15531675732587</v>
      </c>
      <c r="BY1968" s="129">
        <f>VLOOKUP($D1968,WGI!$C$2:$O$478,5,FALSE)</f>
        <v>-1.1468569740605701</v>
      </c>
      <c r="BZ1968" s="129">
        <f>VLOOKUP($D1968,WGI!$C$2:$O$478,2,FALSE)</f>
        <v>-0.995834037162874</v>
      </c>
      <c r="CB1968" s="129"/>
    </row>
    <row r="1969" spans="1:80" s="158" customFormat="1" ht="15" customHeight="1">
      <c r="A1969" s="282" t="s">
        <v>513</v>
      </c>
      <c r="B1969" s="149">
        <v>2010</v>
      </c>
      <c r="C1969" s="149" t="s">
        <v>3090</v>
      </c>
      <c r="D1969" s="117" t="s">
        <v>3681</v>
      </c>
      <c r="E1969" s="149" t="s">
        <v>244</v>
      </c>
      <c r="F1969" s="149" t="s">
        <v>2322</v>
      </c>
      <c r="G1969" s="149" t="s">
        <v>103</v>
      </c>
      <c r="H1969" s="117" t="str">
        <f t="shared" si="342"/>
        <v>no</v>
      </c>
      <c r="I1969" s="117" t="str">
        <f t="shared" si="330"/>
        <v>no</v>
      </c>
      <c r="J1969" s="117" t="str">
        <f t="shared" si="331"/>
        <v>yes</v>
      </c>
      <c r="K1969" s="149" t="s">
        <v>103</v>
      </c>
      <c r="L1969" s="117" t="str">
        <f t="shared" si="343"/>
        <v>detailed</v>
      </c>
      <c r="M1969" s="117" t="str">
        <f t="shared" si="332"/>
        <v>detailed Oil</v>
      </c>
      <c r="N1969" s="150">
        <v>31937500</v>
      </c>
      <c r="O1969" s="150"/>
      <c r="P1969" s="150"/>
      <c r="Q1969" s="150"/>
      <c r="R1969" s="150"/>
      <c r="S1969" s="149" t="s">
        <v>646</v>
      </c>
      <c r="T1969" s="151">
        <v>79.510000000000005</v>
      </c>
      <c r="U1969" s="149" t="s">
        <v>673</v>
      </c>
      <c r="V1969" s="149" t="s">
        <v>1030</v>
      </c>
      <c r="W1969" s="152">
        <f t="shared" si="344"/>
        <v>2539350625</v>
      </c>
      <c r="X1969" s="149" t="s">
        <v>2326</v>
      </c>
      <c r="Y1969" s="149" t="s">
        <v>602</v>
      </c>
      <c r="Z1969" s="149" t="s">
        <v>603</v>
      </c>
      <c r="AA1969" s="284">
        <v>2149721568</v>
      </c>
      <c r="AB1969" s="284">
        <v>2149721568</v>
      </c>
      <c r="AC1969" s="154"/>
      <c r="AD1969" s="154"/>
      <c r="AE1969" s="154"/>
      <c r="AF1969" s="155">
        <f>AA1969/W1969</f>
        <v>0.84656350597507579</v>
      </c>
      <c r="AG1969" s="149" t="s">
        <v>864</v>
      </c>
      <c r="AH1969" s="156" t="s">
        <v>865</v>
      </c>
      <c r="AI1969" s="149" t="s">
        <v>1308</v>
      </c>
      <c r="AJ1969" s="149"/>
      <c r="AK1969" s="152"/>
      <c r="AL1969" s="149"/>
      <c r="AM1969" s="149"/>
      <c r="AN1969" s="149">
        <v>20</v>
      </c>
      <c r="AO1969" s="149" t="s">
        <v>2327</v>
      </c>
      <c r="AP1969" s="149">
        <v>19</v>
      </c>
      <c r="AQ1969" s="222" t="s">
        <v>378</v>
      </c>
      <c r="AR1969" s="220">
        <v>41906</v>
      </c>
      <c r="AS1969" s="149" t="s">
        <v>607</v>
      </c>
      <c r="AT1969" s="149" t="s">
        <v>2328</v>
      </c>
      <c r="AU1969" s="149">
        <v>6</v>
      </c>
      <c r="AV1969" s="157" t="s">
        <v>2329</v>
      </c>
      <c r="AW1969" s="117">
        <f>VLOOKUP($D1969,'WB Data'!$C$3:$M$578,2,FALSE)</f>
        <v>934000000</v>
      </c>
      <c r="AX1969" s="117">
        <f>VLOOKUP($D1969,'WB Data'!$C$3:$M$578,3,FALSE)</f>
        <v>1066409</v>
      </c>
      <c r="AY1969" s="847" t="str">
        <f t="shared" si="335"/>
        <v>..</v>
      </c>
      <c r="AZ1969" s="117" t="e">
        <f>VLOOKUP($D1969,'WB Data'!$C$3:$M$578,4,FALSE)/100</f>
        <v>#VALUE!</v>
      </c>
      <c r="BA1969" s="117" t="str">
        <f t="shared" si="336"/>
        <v>..</v>
      </c>
      <c r="BB1969" s="129" t="str">
        <f>IFERROR(VLOOKUP($D1969,'EITI Revenues'!$C$2:$G$224,5,FALSE),"..")</f>
        <v>..</v>
      </c>
      <c r="BC1969" s="846" t="str">
        <f t="shared" si="337"/>
        <v>..</v>
      </c>
      <c r="BD1969" s="129" t="str">
        <f>VLOOKUP($D1969,'WB Data 2'!$C$2:$K$545,6,FALSE)</f>
        <v>..</v>
      </c>
      <c r="BE1969" s="129">
        <f>IFERROR(VLOOKUP($D1969,UNCTAD!$C$5:$V$529,4,FALSE),"..")</f>
        <v>103420000</v>
      </c>
      <c r="BF1969" s="846" t="str">
        <f t="shared" si="338"/>
        <v>..</v>
      </c>
      <c r="BG1969" s="117">
        <f>VLOOKUP($D1969,'WB Data'!$C$3:$M$578,5,FALSE)</f>
        <v>291500000</v>
      </c>
      <c r="BH1969" s="129" t="str">
        <f>IFERROR($BB1969/$BG1969,"..")</f>
        <v>..</v>
      </c>
      <c r="BI1969" s="117">
        <f>IFERROR(VLOOKUP($D1969,'WB Data'!$C$3:$M$578,7,FALSE)/100,"..")</f>
        <v>0.10483779999999999</v>
      </c>
      <c r="BJ1969" s="117">
        <f>IFERROR($BI1969*$AW1969,"..")</f>
        <v>97918505.199999988</v>
      </c>
      <c r="BK1969" s="846" t="str">
        <f>IFERROR($BB1969/$BJ1969,"..")</f>
        <v>..</v>
      </c>
      <c r="BL1969" s="117">
        <f>IFERROR(VLOOKUP($D1969,'WB Data'!$C$3:$M$578,7,FALSE)/100,"..")</f>
        <v>0.10483779999999999</v>
      </c>
      <c r="BM1969" s="117">
        <f>IFERROR($AW1969*$BL1969,"..")</f>
        <v>97918505.199999988</v>
      </c>
      <c r="BN1969" s="846" t="str">
        <f>IFERROR($BB1969/$BM1969,"..")</f>
        <v>..</v>
      </c>
      <c r="BO1969" s="801">
        <f t="shared" si="334"/>
        <v>28</v>
      </c>
      <c r="BP1969" s="117" t="str">
        <f>VLOOKUP($D1969,'WB Data'!$C$3:$M$578,9,FALSE)</f>
        <v>..</v>
      </c>
      <c r="BQ1969" s="117">
        <f>VLOOKUP($D1969,'WB Data'!$C$3:$M$578,10,FALSE)</f>
        <v>65.944463414634157</v>
      </c>
      <c r="BR1969" s="117">
        <f>VLOOKUP($D1969,'WB Data'!$C$3:$M$578,11,FALSE)</f>
        <v>51.5</v>
      </c>
      <c r="BS1969" s="129">
        <f>IFERROR(VLOOKUP($D1969,'WB Data 2'!$C$2:$K$545,9,FALSE),"..")</f>
        <v>85.597999999999999</v>
      </c>
      <c r="BT1969" s="129">
        <f>_xlfn.IFNA(VLOOKUP($C1969,RGI!$A$2:$C$43,2,FALSE),"..")</f>
        <v>70.5</v>
      </c>
      <c r="BU1969" s="129">
        <f>_xlfn.IFNA(VLOOKUP($C1969,RGI!$A$2:$C$43,3,FALSE),"..")</f>
        <v>67.748854430370386</v>
      </c>
      <c r="BV1969" s="129">
        <f>VLOOKUP($D1969,WGI!$C$2:$O$478,7,FALSE)</f>
        <v>2.4915623763594699E-2</v>
      </c>
      <c r="BW1969" s="129">
        <f>VLOOKUP($D1969,WGI!$C$2:$O$478,4,FALSE)</f>
        <v>-0.48951359365101299</v>
      </c>
      <c r="BX1969" s="129">
        <f>VLOOKUP($D1969,WGI!$C$2:$O$478,3,FALSE)</f>
        <v>-1.213397194825</v>
      </c>
      <c r="BY1969" s="129">
        <f>VLOOKUP($D1969,WGI!$C$2:$O$478,5,FALSE)</f>
        <v>-1.1012089761575901</v>
      </c>
      <c r="BZ1969" s="129">
        <f>VLOOKUP($D1969,WGI!$C$2:$O$478,2,FALSE)</f>
        <v>-0.96848582831864505</v>
      </c>
      <c r="CB1969" s="129"/>
    </row>
    <row r="1970" spans="1:80" ht="15" customHeight="1" thickBot="1">
      <c r="A1970" s="280" t="s">
        <v>514</v>
      </c>
      <c r="B1970" s="117">
        <v>2011</v>
      </c>
      <c r="C1970" s="117" t="s">
        <v>3090</v>
      </c>
      <c r="D1970" s="117" t="s">
        <v>3715</v>
      </c>
      <c r="E1970" s="117" t="s">
        <v>244</v>
      </c>
      <c r="F1970" s="117" t="s">
        <v>2322</v>
      </c>
      <c r="G1970" s="117" t="s">
        <v>103</v>
      </c>
      <c r="H1970" s="117" t="str">
        <f t="shared" si="342"/>
        <v>no</v>
      </c>
      <c r="I1970" s="117" t="str">
        <f t="shared" si="330"/>
        <v>no</v>
      </c>
      <c r="J1970" s="117" t="str">
        <f t="shared" si="331"/>
        <v>yes</v>
      </c>
      <c r="K1970" s="149" t="s">
        <v>103</v>
      </c>
      <c r="L1970" s="117" t="str">
        <f t="shared" si="343"/>
        <v>detailed</v>
      </c>
      <c r="M1970" s="117" t="str">
        <f t="shared" si="332"/>
        <v>detailed Oil</v>
      </c>
      <c r="N1970" s="118">
        <v>30550500</v>
      </c>
      <c r="O1970" s="118"/>
      <c r="P1970" s="118"/>
      <c r="Q1970" s="118"/>
      <c r="R1970" s="118"/>
      <c r="S1970" s="117" t="s">
        <v>646</v>
      </c>
      <c r="T1970" s="119">
        <v>106.53</v>
      </c>
      <c r="U1970" s="117" t="s">
        <v>673</v>
      </c>
      <c r="V1970" s="117" t="s">
        <v>1030</v>
      </c>
      <c r="W1970" s="89">
        <f t="shared" si="344"/>
        <v>3254544765</v>
      </c>
      <c r="X1970" s="117" t="s">
        <v>2326</v>
      </c>
      <c r="Y1970" s="117" t="s">
        <v>602</v>
      </c>
      <c r="Z1970" s="117" t="s">
        <v>603</v>
      </c>
      <c r="AA1970" s="177">
        <v>3453285817</v>
      </c>
      <c r="AB1970" s="177">
        <v>3453285817</v>
      </c>
      <c r="AC1970" s="122"/>
      <c r="AD1970" s="122"/>
      <c r="AE1970" s="122"/>
      <c r="AF1970" s="123">
        <f>AA1970/W1970</f>
        <v>1.0610656993067968</v>
      </c>
      <c r="AG1970" s="117" t="s">
        <v>864</v>
      </c>
      <c r="AH1970" s="124" t="s">
        <v>865</v>
      </c>
      <c r="AI1970" s="117" t="s">
        <v>1308</v>
      </c>
      <c r="AJ1970" s="117"/>
      <c r="AK1970" s="89"/>
      <c r="AL1970" s="117"/>
      <c r="AM1970" s="117"/>
      <c r="AN1970" s="117">
        <v>20</v>
      </c>
      <c r="AO1970" s="117" t="s">
        <v>2327</v>
      </c>
      <c r="AP1970" s="117">
        <v>20</v>
      </c>
      <c r="AQ1970" s="215" t="s">
        <v>44</v>
      </c>
      <c r="AR1970" s="126">
        <v>41906</v>
      </c>
      <c r="AS1970" s="117" t="s">
        <v>607</v>
      </c>
      <c r="AT1970" s="117" t="s">
        <v>2328</v>
      </c>
      <c r="AU1970" s="117">
        <v>6</v>
      </c>
      <c r="AV1970" s="128" t="s">
        <v>2330</v>
      </c>
      <c r="AW1970" s="117">
        <f>VLOOKUP($D1970,'WB Data'!$C$3:$M$578,2,FALSE)</f>
        <v>1123000000</v>
      </c>
      <c r="AX1970" s="117">
        <f>VLOOKUP($D1970,'WB Data'!$C$3:$M$578,3,FALSE)</f>
        <v>1120392</v>
      </c>
      <c r="AY1970" s="847" t="str">
        <f t="shared" si="335"/>
        <v>..</v>
      </c>
      <c r="AZ1970" s="117" t="e">
        <f>VLOOKUP($D1970,'WB Data'!$C$3:$M$578,4,FALSE)/100</f>
        <v>#VALUE!</v>
      </c>
      <c r="BA1970" s="117" t="str">
        <f t="shared" si="336"/>
        <v>..</v>
      </c>
      <c r="BB1970" s="129" t="str">
        <f>IFERROR(VLOOKUP($D1970,'EITI Revenues'!$C$2:$G$224,5,FALSE),"..")</f>
        <v>..</v>
      </c>
      <c r="BC1970" s="846" t="str">
        <f t="shared" si="337"/>
        <v>..</v>
      </c>
      <c r="BD1970" s="129" t="str">
        <f>VLOOKUP($D1970,'WB Data 2'!$C$2:$K$545,6,FALSE)</f>
        <v>..</v>
      </c>
      <c r="BE1970" s="129">
        <f>IFERROR(VLOOKUP($D1970,UNCTAD!$C$5:$V$529,4,FALSE),"..")</f>
        <v>104522000</v>
      </c>
      <c r="BF1970" s="846" t="str">
        <f t="shared" si="338"/>
        <v>..</v>
      </c>
      <c r="BG1970" s="117">
        <f>VLOOKUP($D1970,'WB Data'!$C$3:$M$578,5,FALSE)</f>
        <v>279260000</v>
      </c>
      <c r="BH1970" s="129" t="str">
        <f>IFERROR($BB1970/$BG1970,"..")</f>
        <v>..</v>
      </c>
      <c r="BI1970" s="117">
        <f>IFERROR(VLOOKUP($D1970,'WB Data'!$C$3:$M$578,7,FALSE)/100,"..")</f>
        <v>9.4186800000000001E-2</v>
      </c>
      <c r="BJ1970" s="117">
        <f>IFERROR($BI1970*$AW1970,"..")</f>
        <v>105771776.40000001</v>
      </c>
      <c r="BK1970" s="846" t="str">
        <f>IFERROR($BB1970/$BJ1970,"..")</f>
        <v>..</v>
      </c>
      <c r="BL1970" s="117">
        <f>IFERROR(VLOOKUP($D1970,'WB Data'!$C$3:$M$578,7,FALSE)/100,"..")</f>
        <v>9.4186800000000001E-2</v>
      </c>
      <c r="BM1970" s="117">
        <f>IFERROR($AW1970*$BL1970,"..")</f>
        <v>105771776.40000001</v>
      </c>
      <c r="BN1970" s="846" t="str">
        <f>IFERROR($BB1970/$BM1970,"..")</f>
        <v>..</v>
      </c>
      <c r="BO1970" s="801">
        <f t="shared" si="334"/>
        <v>28</v>
      </c>
      <c r="BP1970" s="117" t="str">
        <f>VLOOKUP($D1970,'WB Data'!$C$3:$M$578,9,FALSE)</f>
        <v>..</v>
      </c>
      <c r="BQ1970" s="117">
        <f>VLOOKUP($D1970,'WB Data'!$C$3:$M$578,10,FALSE)</f>
        <v>66.491804878048782</v>
      </c>
      <c r="BR1970" s="117">
        <f>VLOOKUP($D1970,'WB Data'!$C$3:$M$578,11,FALSE)</f>
        <v>49.6</v>
      </c>
      <c r="BS1970" s="129">
        <f>IFERROR(VLOOKUP($D1970,'WB Data 2'!$C$2:$K$545,9,FALSE),"..")</f>
        <v>91.673900000000003</v>
      </c>
      <c r="BT1970" s="129">
        <f>_xlfn.IFNA(VLOOKUP($C1970,RGI!$A$2:$C$43,2,FALSE),"..")</f>
        <v>70.5</v>
      </c>
      <c r="BU1970" s="129">
        <f>_xlfn.IFNA(VLOOKUP($C1970,RGI!$A$2:$C$43,3,FALSE),"..")</f>
        <v>67.748854430370386</v>
      </c>
      <c r="BV1970" s="129">
        <f>VLOOKUP($D1970,WGI!$C$2:$O$478,7,FALSE)</f>
        <v>8.8224864861915706E-2</v>
      </c>
      <c r="BW1970" s="129">
        <f>VLOOKUP($D1970,WGI!$C$2:$O$478,4,FALSE)</f>
        <v>-0.47489143923763699</v>
      </c>
      <c r="BX1970" s="129">
        <f>VLOOKUP($D1970,WGI!$C$2:$O$478,3,FALSE)</f>
        <v>-1.13138405505291</v>
      </c>
      <c r="BY1970" s="129">
        <f>VLOOKUP($D1970,WGI!$C$2:$O$478,5,FALSE)</f>
        <v>-1.0366936204744399</v>
      </c>
      <c r="BZ1970" s="129">
        <f>VLOOKUP($D1970,WGI!$C$2:$O$478,2,FALSE)</f>
        <v>-1.0460110790269701</v>
      </c>
    </row>
    <row r="1971" spans="1:80" s="210" customFormat="1" ht="15" customHeight="1">
      <c r="A1971" s="290" t="s">
        <v>516</v>
      </c>
      <c r="B1971" s="205">
        <v>2010</v>
      </c>
      <c r="C1971" s="821" t="s">
        <v>517</v>
      </c>
      <c r="D1971" s="117" t="s">
        <v>3680</v>
      </c>
      <c r="E1971" s="497" t="s">
        <v>86</v>
      </c>
      <c r="F1971" s="175" t="s">
        <v>2331</v>
      </c>
      <c r="G1971" s="175" t="s">
        <v>519</v>
      </c>
      <c r="H1971" s="117" t="str">
        <f t="shared" si="342"/>
        <v>yes</v>
      </c>
      <c r="I1971" s="117" t="str">
        <f t="shared" si="330"/>
        <v>no</v>
      </c>
      <c r="J1971" s="117" t="str">
        <f t="shared" si="331"/>
        <v>no</v>
      </c>
      <c r="K1971" s="175" t="s">
        <v>709</v>
      </c>
      <c r="L1971" s="117" t="str">
        <f t="shared" si="343"/>
        <v>Total</v>
      </c>
      <c r="M1971" s="117" t="str">
        <f t="shared" si="332"/>
        <v>Total Oil, Mining, Other</v>
      </c>
      <c r="N1971" s="337"/>
      <c r="O1971" s="337"/>
      <c r="P1971" s="337"/>
      <c r="Q1971" s="337"/>
      <c r="R1971" s="337"/>
      <c r="S1971" s="175"/>
      <c r="T1971" s="198"/>
      <c r="U1971" s="175"/>
      <c r="V1971" s="175"/>
      <c r="W1971" s="199">
        <f>W1972+W1973+W1981</f>
        <v>719912729.64555907</v>
      </c>
      <c r="X1971" s="175" t="s">
        <v>1111</v>
      </c>
      <c r="Y1971" s="175" t="s">
        <v>602</v>
      </c>
      <c r="Z1971" s="175"/>
      <c r="AA1971" s="292">
        <v>60128720.446464643</v>
      </c>
      <c r="AB1971" s="291">
        <v>65899109.789898992</v>
      </c>
      <c r="AC1971" s="338"/>
      <c r="AD1971" s="338"/>
      <c r="AE1971" s="338"/>
      <c r="AF1971" s="339">
        <f>AA1971/W1971</f>
        <v>8.3522235363261796E-2</v>
      </c>
      <c r="AG1971" s="175" t="s">
        <v>836</v>
      </c>
      <c r="AH1971" s="204">
        <v>495</v>
      </c>
      <c r="AI1971" s="175" t="s">
        <v>722</v>
      </c>
      <c r="AJ1971" s="175"/>
      <c r="AK1971" s="199"/>
      <c r="AL1971" s="175"/>
      <c r="AM1971" s="175"/>
      <c r="AN1971" s="175">
        <v>17</v>
      </c>
      <c r="AO1971" s="175" t="s">
        <v>2332</v>
      </c>
      <c r="AP1971" s="175">
        <v>22</v>
      </c>
      <c r="AQ1971" s="175" t="s">
        <v>518</v>
      </c>
      <c r="AR1971" s="206">
        <v>41961</v>
      </c>
      <c r="AS1971" s="175" t="s">
        <v>607</v>
      </c>
      <c r="AT1971" s="207" t="s">
        <v>520</v>
      </c>
      <c r="AU1971" s="175" t="s">
        <v>2333</v>
      </c>
      <c r="AV1971" s="209" t="s">
        <v>2334</v>
      </c>
      <c r="AW1971" s="117">
        <f>VLOOKUP($D1971,'WB Data'!$C$3:$M$578,2,FALSE)</f>
        <v>3172945506.3569741</v>
      </c>
      <c r="AX1971" s="117">
        <f>VLOOKUP($D1971,'WB Data'!$C$3:$M$578,3,FALSE)</f>
        <v>6306014</v>
      </c>
      <c r="AY1971" s="847">
        <f t="shared" si="335"/>
        <v>1.8950442207720609E-2</v>
      </c>
      <c r="AZ1971" s="117">
        <f>VLOOKUP($D1971,'WB Data'!$C$3:$M$578,4,FALSE)/100</f>
        <v>0.17443958814676802</v>
      </c>
      <c r="BA1971" s="117">
        <f t="shared" si="336"/>
        <v>553487307.34104884</v>
      </c>
      <c r="BB1971" s="129">
        <f>IFERROR(VLOOKUP($D1971,'EITI Revenues'!$C$2:$G$224,5,FALSE),"..")</f>
        <v>60128720.446464643</v>
      </c>
      <c r="BC1971" s="846">
        <f t="shared" si="337"/>
        <v>0.10863613248029627</v>
      </c>
      <c r="BD1971" s="129">
        <f>VLOOKUP($D1971,'WB Data 2'!$C$2:$K$545,6,FALSE)</f>
        <v>106006296.18588103</v>
      </c>
      <c r="BE1971" s="129">
        <f>IFERROR(VLOOKUP($D1971,UNCTAD!$C$5:$V$529,4,FALSE),"..")</f>
        <v>1296380000</v>
      </c>
      <c r="BF1971" s="846">
        <f t="shared" si="338"/>
        <v>8.1771005558463589E-2</v>
      </c>
      <c r="BG1971" s="117">
        <f>VLOOKUP($D1971,'WB Data'!$C$3:$M$578,5,FALSE)</f>
        <v>404040000</v>
      </c>
      <c r="BH1971" s="129">
        <f>IFERROR($BB1971/$BG1971,"..")</f>
        <v>0.14881873192373191</v>
      </c>
      <c r="BI1971" s="117">
        <f>IFERROR(VLOOKUP($D1971,'WB Data'!$C$3:$M$578,7,FALSE)/100,"..")</f>
        <v>4.4231999999999994E-2</v>
      </c>
      <c r="BJ1971" s="117">
        <f>IFERROR($BI1971*$AW1971,"..")</f>
        <v>140345725.63718167</v>
      </c>
      <c r="BK1971" s="846">
        <f>IFERROR($BB1971/$BJ1971,"..")</f>
        <v>0.42843285873848369</v>
      </c>
      <c r="BL1971" s="117">
        <f>IFERROR(VLOOKUP($D1971,'WB Data'!$C$3:$M$578,7,FALSE)/100,"..")</f>
        <v>4.4231999999999994E-2</v>
      </c>
      <c r="BM1971" s="117">
        <f>IFERROR($AW1971*$BL1971,"..")</f>
        <v>140345725.63718167</v>
      </c>
      <c r="BN1971" s="846">
        <f>IFERROR($BB1971/$BM1971,"..")</f>
        <v>0.42843285873848369</v>
      </c>
      <c r="BO1971" s="801">
        <f t="shared" si="334"/>
        <v>29</v>
      </c>
      <c r="BP1971" s="117" t="str">
        <f>VLOOKUP($D1971,'WB Data'!$C$3:$M$578,9,FALSE)</f>
        <v>..</v>
      </c>
      <c r="BQ1971" s="117">
        <f>VLOOKUP($D1971,'WB Data'!$C$3:$M$578,10,FALSE)</f>
        <v>55.468878048780489</v>
      </c>
      <c r="BR1971" s="117">
        <f>VLOOKUP($D1971,'WB Data'!$C$3:$M$578,11,FALSE)</f>
        <v>60.5</v>
      </c>
      <c r="BS1971" s="129" t="str">
        <f>IFERROR(VLOOKUP($D1971,'WB Data 2'!$C$2:$K$545,9,FALSE),"..")</f>
        <v>..</v>
      </c>
      <c r="BT1971" s="129" t="str">
        <f>_xlfn.IFNA(VLOOKUP($C1971,RGI!$A$2:$C$43,2,FALSE),"..")</f>
        <v>..</v>
      </c>
      <c r="BU1971" s="129" t="str">
        <f>_xlfn.IFNA(VLOOKUP($C1971,RGI!$A$2:$C$43,3,FALSE),"..")</f>
        <v>..</v>
      </c>
      <c r="BV1971" s="129">
        <f>VLOOKUP($D1971,WGI!$C$2:$O$478,7,FALSE)</f>
        <v>-0.99907283724429796</v>
      </c>
      <c r="BW1971" s="129">
        <f>VLOOKUP($D1971,WGI!$C$2:$O$478,4,FALSE)</f>
        <v>-0.20278963276866399</v>
      </c>
      <c r="BX1971" s="129">
        <f>VLOOKUP($D1971,WGI!$C$2:$O$478,3,FALSE)</f>
        <v>-1.3844715678442701</v>
      </c>
      <c r="BY1971" s="129">
        <f>VLOOKUP($D1971,WGI!$C$2:$O$478,5,FALSE)</f>
        <v>-0.874241676894012</v>
      </c>
      <c r="BZ1971" s="129">
        <f>VLOOKUP($D1971,WGI!$C$2:$O$478,2,FALSE)</f>
        <v>-0.96451530468247704</v>
      </c>
      <c r="CB1971" s="129"/>
    </row>
    <row r="1972" spans="1:80" s="120" customFormat="1" ht="15" customHeight="1">
      <c r="A1972" s="294" t="s">
        <v>516</v>
      </c>
      <c r="B1972" s="214">
        <v>2010</v>
      </c>
      <c r="C1972" s="809" t="s">
        <v>517</v>
      </c>
      <c r="D1972" s="117" t="s">
        <v>3680</v>
      </c>
      <c r="E1972" s="452" t="s">
        <v>86</v>
      </c>
      <c r="F1972" s="117"/>
      <c r="G1972" s="117" t="s">
        <v>103</v>
      </c>
      <c r="H1972" s="117" t="str">
        <f t="shared" si="342"/>
        <v>no</v>
      </c>
      <c r="I1972" s="117" t="str">
        <f t="shared" si="330"/>
        <v>no</v>
      </c>
      <c r="J1972" s="117" t="str">
        <f t="shared" si="331"/>
        <v>yes</v>
      </c>
      <c r="K1972" s="117" t="s">
        <v>103</v>
      </c>
      <c r="L1972" s="117" t="str">
        <f t="shared" si="343"/>
        <v>detailed</v>
      </c>
      <c r="M1972" s="117" t="str">
        <f t="shared" si="332"/>
        <v>detailed Oil</v>
      </c>
      <c r="N1972" s="179">
        <v>0</v>
      </c>
      <c r="O1972" s="179"/>
      <c r="P1972" s="179"/>
      <c r="Q1972" s="179"/>
      <c r="R1972" s="179"/>
      <c r="S1972" s="117" t="s">
        <v>646</v>
      </c>
      <c r="T1972" s="119"/>
      <c r="U1972" s="117"/>
      <c r="V1972" s="117" t="s">
        <v>2219</v>
      </c>
      <c r="W1972" s="89">
        <f>N1972*T1972</f>
        <v>0</v>
      </c>
      <c r="X1972" s="117"/>
      <c r="Y1972" s="117"/>
      <c r="Z1972" s="117"/>
      <c r="AA1972" s="177">
        <v>13123840</v>
      </c>
      <c r="AB1972" s="177">
        <v>13123840</v>
      </c>
      <c r="AC1972" s="122"/>
      <c r="AD1972" s="122"/>
      <c r="AE1972" s="122"/>
      <c r="AF1972" s="123"/>
      <c r="AG1972" s="117"/>
      <c r="AH1972" s="124"/>
      <c r="AI1972" s="117"/>
      <c r="AJ1972" s="117"/>
      <c r="AK1972" s="89"/>
      <c r="AL1972" s="117"/>
      <c r="AM1972" s="117"/>
      <c r="AN1972" s="117"/>
      <c r="AO1972" s="117"/>
      <c r="AP1972" s="117"/>
      <c r="AQ1972" s="117"/>
      <c r="AR1972" s="126"/>
      <c r="AS1972" s="117"/>
      <c r="AT1972" s="117"/>
      <c r="AU1972" s="117"/>
      <c r="AV1972" s="128"/>
      <c r="AW1972" s="117">
        <f>VLOOKUP($D1972,'WB Data'!$C$3:$M$578,2,FALSE)</f>
        <v>3172945506.3569741</v>
      </c>
      <c r="AX1972" s="117">
        <f>VLOOKUP($D1972,'WB Data'!$C$3:$M$578,3,FALSE)</f>
        <v>6306014</v>
      </c>
      <c r="AY1972" s="847">
        <f t="shared" si="335"/>
        <v>1.8950442207720609E-2</v>
      </c>
      <c r="AZ1972" s="117">
        <f>VLOOKUP($D1972,'WB Data'!$C$3:$M$578,4,FALSE)/100</f>
        <v>0.17443958814676802</v>
      </c>
      <c r="BA1972" s="117">
        <f t="shared" si="336"/>
        <v>553487307.34104884</v>
      </c>
      <c r="BB1972" s="129">
        <f>IFERROR(VLOOKUP($D1972,'EITI Revenues'!$C$2:$G$224,5,FALSE),"..")</f>
        <v>60128720.446464643</v>
      </c>
      <c r="BC1972" s="846">
        <f t="shared" si="337"/>
        <v>0.10863613248029627</v>
      </c>
      <c r="BD1972" s="129">
        <f>VLOOKUP($D1972,'WB Data 2'!$C$2:$K$545,6,FALSE)</f>
        <v>106006296.18588103</v>
      </c>
      <c r="BE1972" s="129">
        <f>IFERROR(VLOOKUP($D1972,UNCTAD!$C$5:$V$529,4,FALSE),"..")</f>
        <v>1296380000</v>
      </c>
      <c r="BF1972" s="846">
        <f t="shared" si="338"/>
        <v>8.1771005558463589E-2</v>
      </c>
      <c r="BG1972" s="117">
        <f>VLOOKUP($D1972,'WB Data'!$C$3:$M$578,5,FALSE)</f>
        <v>404040000</v>
      </c>
      <c r="BH1972" s="129">
        <f>IFERROR($BB1972/$BG1972,"..")</f>
        <v>0.14881873192373191</v>
      </c>
      <c r="BI1972" s="117">
        <f>IFERROR(VLOOKUP($D1972,'WB Data'!$C$3:$M$578,7,FALSE)/100,"..")</f>
        <v>4.4231999999999994E-2</v>
      </c>
      <c r="BJ1972" s="117">
        <f>IFERROR($BI1972*$AW1972,"..")</f>
        <v>140345725.63718167</v>
      </c>
      <c r="BK1972" s="846">
        <f>IFERROR($BB1972/$BJ1972,"..")</f>
        <v>0.42843285873848369</v>
      </c>
      <c r="BL1972" s="117">
        <f>IFERROR(VLOOKUP($D1972,'WB Data'!$C$3:$M$578,7,FALSE)/100,"..")</f>
        <v>4.4231999999999994E-2</v>
      </c>
      <c r="BM1972" s="117">
        <f>IFERROR($AW1972*$BL1972,"..")</f>
        <v>140345725.63718167</v>
      </c>
      <c r="BN1972" s="846">
        <f>IFERROR($BB1972/$BM1972,"..")</f>
        <v>0.42843285873848369</v>
      </c>
      <c r="BO1972" s="801">
        <f t="shared" si="334"/>
        <v>29</v>
      </c>
      <c r="BP1972" s="117" t="str">
        <f>VLOOKUP($D1972,'WB Data'!$C$3:$M$578,9,FALSE)</f>
        <v>..</v>
      </c>
      <c r="BQ1972" s="117">
        <f>VLOOKUP($D1972,'WB Data'!$C$3:$M$578,10,FALSE)</f>
        <v>55.468878048780489</v>
      </c>
      <c r="BR1972" s="117">
        <f>VLOOKUP($D1972,'WB Data'!$C$3:$M$578,11,FALSE)</f>
        <v>60.5</v>
      </c>
      <c r="BS1972" s="129" t="str">
        <f>IFERROR(VLOOKUP($D1972,'WB Data 2'!$C$2:$K$545,9,FALSE),"..")</f>
        <v>..</v>
      </c>
      <c r="BT1972" s="129" t="str">
        <f>_xlfn.IFNA(VLOOKUP($C1972,RGI!$A$2:$C$43,2,FALSE),"..")</f>
        <v>..</v>
      </c>
      <c r="BU1972" s="129" t="str">
        <f>_xlfn.IFNA(VLOOKUP($C1972,RGI!$A$2:$C$43,3,FALSE),"..")</f>
        <v>..</v>
      </c>
      <c r="BV1972" s="129">
        <f>VLOOKUP($D1972,WGI!$C$2:$O$478,7,FALSE)</f>
        <v>-0.99907283724429796</v>
      </c>
      <c r="BW1972" s="129">
        <f>VLOOKUP($D1972,WGI!$C$2:$O$478,4,FALSE)</f>
        <v>-0.20278963276866399</v>
      </c>
      <c r="BX1972" s="129">
        <f>VLOOKUP($D1972,WGI!$C$2:$O$478,3,FALSE)</f>
        <v>-1.3844715678442701</v>
      </c>
      <c r="BY1972" s="129">
        <f>VLOOKUP($D1972,WGI!$C$2:$O$478,5,FALSE)</f>
        <v>-0.874241676894012</v>
      </c>
      <c r="BZ1972" s="129">
        <f>VLOOKUP($D1972,WGI!$C$2:$O$478,2,FALSE)</f>
        <v>-0.96451530468247704</v>
      </c>
      <c r="CB1972" s="129"/>
    </row>
    <row r="1973" spans="1:80" s="120" customFormat="1" ht="15" customHeight="1">
      <c r="A1973" s="294" t="s">
        <v>516</v>
      </c>
      <c r="B1973" s="214">
        <v>2010</v>
      </c>
      <c r="C1973" s="809" t="s">
        <v>517</v>
      </c>
      <c r="D1973" s="117" t="s">
        <v>3680</v>
      </c>
      <c r="E1973" s="452" t="s">
        <v>86</v>
      </c>
      <c r="F1973" s="117"/>
      <c r="G1973" s="117" t="s">
        <v>24</v>
      </c>
      <c r="H1973" s="117" t="str">
        <f t="shared" si="342"/>
        <v>yes</v>
      </c>
      <c r="I1973" s="117" t="str">
        <f t="shared" si="330"/>
        <v>no</v>
      </c>
      <c r="J1973" s="117" t="str">
        <f t="shared" si="331"/>
        <v>no</v>
      </c>
      <c r="K1973" s="117" t="s">
        <v>600</v>
      </c>
      <c r="L1973" s="117" t="str">
        <f t="shared" si="343"/>
        <v>Total</v>
      </c>
      <c r="M1973" s="117" t="str">
        <f t="shared" si="332"/>
        <v>Total Mining</v>
      </c>
      <c r="N1973" s="179"/>
      <c r="O1973" s="179"/>
      <c r="P1973" s="179"/>
      <c r="Q1973" s="179"/>
      <c r="R1973" s="179"/>
      <c r="S1973" s="117"/>
      <c r="T1973" s="119"/>
      <c r="U1973" s="117"/>
      <c r="V1973" s="117"/>
      <c r="W1973" s="89">
        <f>SUM(W1974:W1980)</f>
        <v>719912729.64555907</v>
      </c>
      <c r="X1973" s="117"/>
      <c r="Y1973" s="117"/>
      <c r="Z1973" s="117"/>
      <c r="AA1973" s="177">
        <v>23559566.686868686</v>
      </c>
      <c r="AB1973" s="177">
        <v>25687657.911111113</v>
      </c>
      <c r="AC1973" s="122"/>
      <c r="AD1973" s="122"/>
      <c r="AE1973" s="122"/>
      <c r="AF1973" s="123">
        <f>AA1973/W1973</f>
        <v>3.2725587028399922E-2</v>
      </c>
      <c r="AG1973" s="117"/>
      <c r="AH1973" s="124"/>
      <c r="AI1973" s="117"/>
      <c r="AJ1973" s="117"/>
      <c r="AK1973" s="89"/>
      <c r="AL1973" s="117"/>
      <c r="AM1973" s="117"/>
      <c r="AN1973" s="117"/>
      <c r="AO1973" s="117"/>
      <c r="AP1973" s="117"/>
      <c r="AQ1973" s="117"/>
      <c r="AR1973" s="126"/>
      <c r="AS1973" s="117"/>
      <c r="AT1973" s="117"/>
      <c r="AU1973" s="117"/>
      <c r="AV1973" s="128" t="s">
        <v>2335</v>
      </c>
      <c r="AW1973" s="117">
        <f>VLOOKUP($D1973,'WB Data'!$C$3:$M$578,2,FALSE)</f>
        <v>3172945506.3569741</v>
      </c>
      <c r="AX1973" s="117">
        <f>VLOOKUP($D1973,'WB Data'!$C$3:$M$578,3,FALSE)</f>
        <v>6306014</v>
      </c>
      <c r="AY1973" s="847">
        <f t="shared" si="335"/>
        <v>1.8950442207720609E-2</v>
      </c>
      <c r="AZ1973" s="117">
        <f>VLOOKUP($D1973,'WB Data'!$C$3:$M$578,4,FALSE)/100</f>
        <v>0.17443958814676802</v>
      </c>
      <c r="BA1973" s="117">
        <f t="shared" si="336"/>
        <v>553487307.34104884</v>
      </c>
      <c r="BB1973" s="129">
        <f>IFERROR(VLOOKUP($D1973,'EITI Revenues'!$C$2:$G$224,5,FALSE),"..")</f>
        <v>60128720.446464643</v>
      </c>
      <c r="BC1973" s="846">
        <f t="shared" si="337"/>
        <v>0.10863613248029627</v>
      </c>
      <c r="BD1973" s="129">
        <f>VLOOKUP($D1973,'WB Data 2'!$C$2:$K$545,6,FALSE)</f>
        <v>106006296.18588103</v>
      </c>
      <c r="BE1973" s="129">
        <f>IFERROR(VLOOKUP($D1973,UNCTAD!$C$5:$V$529,4,FALSE),"..")</f>
        <v>1296380000</v>
      </c>
      <c r="BF1973" s="846">
        <f t="shared" si="338"/>
        <v>8.1771005558463589E-2</v>
      </c>
      <c r="BG1973" s="117">
        <f>VLOOKUP($D1973,'WB Data'!$C$3:$M$578,5,FALSE)</f>
        <v>404040000</v>
      </c>
      <c r="BH1973" s="129">
        <f>IFERROR($BB1973/$BG1973,"..")</f>
        <v>0.14881873192373191</v>
      </c>
      <c r="BI1973" s="117">
        <f>IFERROR(VLOOKUP($D1973,'WB Data'!$C$3:$M$578,7,FALSE)/100,"..")</f>
        <v>4.4231999999999994E-2</v>
      </c>
      <c r="BJ1973" s="117">
        <f>IFERROR($BI1973*$AW1973,"..")</f>
        <v>140345725.63718167</v>
      </c>
      <c r="BK1973" s="846">
        <f>IFERROR($BB1973/$BJ1973,"..")</f>
        <v>0.42843285873848369</v>
      </c>
      <c r="BL1973" s="117">
        <f>IFERROR(VLOOKUP($D1973,'WB Data'!$C$3:$M$578,7,FALSE)/100,"..")</f>
        <v>4.4231999999999994E-2</v>
      </c>
      <c r="BM1973" s="117">
        <f>IFERROR($AW1973*$BL1973,"..")</f>
        <v>140345725.63718167</v>
      </c>
      <c r="BN1973" s="846">
        <f>IFERROR($BB1973/$BM1973,"..")</f>
        <v>0.42843285873848369</v>
      </c>
      <c r="BO1973" s="801">
        <f t="shared" si="334"/>
        <v>29</v>
      </c>
      <c r="BP1973" s="117" t="str">
        <f>VLOOKUP($D1973,'WB Data'!$C$3:$M$578,9,FALSE)</f>
        <v>..</v>
      </c>
      <c r="BQ1973" s="117">
        <f>VLOOKUP($D1973,'WB Data'!$C$3:$M$578,10,FALSE)</f>
        <v>55.468878048780489</v>
      </c>
      <c r="BR1973" s="117">
        <f>VLOOKUP($D1973,'WB Data'!$C$3:$M$578,11,FALSE)</f>
        <v>60.5</v>
      </c>
      <c r="BS1973" s="129" t="str">
        <f>IFERROR(VLOOKUP($D1973,'WB Data 2'!$C$2:$K$545,9,FALSE),"..")</f>
        <v>..</v>
      </c>
      <c r="BT1973" s="129" t="str">
        <f>_xlfn.IFNA(VLOOKUP($C1973,RGI!$A$2:$C$43,2,FALSE),"..")</f>
        <v>..</v>
      </c>
      <c r="BU1973" s="129" t="str">
        <f>_xlfn.IFNA(VLOOKUP($C1973,RGI!$A$2:$C$43,3,FALSE),"..")</f>
        <v>..</v>
      </c>
      <c r="BV1973" s="129">
        <f>VLOOKUP($D1973,WGI!$C$2:$O$478,7,FALSE)</f>
        <v>-0.99907283724429796</v>
      </c>
      <c r="BW1973" s="129">
        <f>VLOOKUP($D1973,WGI!$C$2:$O$478,4,FALSE)</f>
        <v>-0.20278963276866399</v>
      </c>
      <c r="BX1973" s="129">
        <f>VLOOKUP($D1973,WGI!$C$2:$O$478,3,FALSE)</f>
        <v>-1.3844715678442701</v>
      </c>
      <c r="BY1973" s="129">
        <f>VLOOKUP($D1973,WGI!$C$2:$O$478,5,FALSE)</f>
        <v>-0.874241676894012</v>
      </c>
      <c r="BZ1973" s="129">
        <f>VLOOKUP($D1973,WGI!$C$2:$O$478,2,FALSE)</f>
        <v>-0.96451530468247704</v>
      </c>
      <c r="CB1973" s="129"/>
    </row>
    <row r="1974" spans="1:80" s="120" customFormat="1" ht="15" customHeight="1">
      <c r="A1974" s="294" t="s">
        <v>516</v>
      </c>
      <c r="B1974" s="214">
        <v>2010</v>
      </c>
      <c r="C1974" s="809" t="s">
        <v>517</v>
      </c>
      <c r="D1974" s="117" t="s">
        <v>3680</v>
      </c>
      <c r="E1974" s="452" t="s">
        <v>86</v>
      </c>
      <c r="F1974" s="117"/>
      <c r="G1974" s="117" t="s">
        <v>24</v>
      </c>
      <c r="H1974" s="117" t="str">
        <f t="shared" si="342"/>
        <v>yes</v>
      </c>
      <c r="I1974" s="117" t="str">
        <f t="shared" si="330"/>
        <v>no</v>
      </c>
      <c r="J1974" s="117" t="str">
        <f t="shared" si="331"/>
        <v>no</v>
      </c>
      <c r="K1974" s="117" t="s">
        <v>609</v>
      </c>
      <c r="L1974" s="117" t="str">
        <f t="shared" si="343"/>
        <v>detailed</v>
      </c>
      <c r="M1974" s="117" t="str">
        <f t="shared" si="332"/>
        <v>detailed Mining</v>
      </c>
      <c r="N1974" s="179">
        <v>2245153</v>
      </c>
      <c r="O1974" s="179"/>
      <c r="P1974" s="179"/>
      <c r="Q1974" s="179"/>
      <c r="R1974" s="179"/>
      <c r="S1974" s="117" t="s">
        <v>610</v>
      </c>
      <c r="T1974" s="119">
        <v>92</v>
      </c>
      <c r="U1974" s="117" t="s">
        <v>611</v>
      </c>
      <c r="V1974" s="117" t="s">
        <v>1217</v>
      </c>
      <c r="W1974" s="89">
        <f t="shared" ref="W1974:W1981" si="345">N1974*T1974</f>
        <v>206554076</v>
      </c>
      <c r="X1974" s="117"/>
      <c r="Y1974" s="117"/>
      <c r="Z1974" s="117"/>
      <c r="AA1974" s="177"/>
      <c r="AB1974" s="177"/>
      <c r="AC1974" s="122"/>
      <c r="AD1974" s="122"/>
      <c r="AE1974" s="122"/>
      <c r="AF1974" s="123"/>
      <c r="AG1974" s="117"/>
      <c r="AH1974" s="124"/>
      <c r="AI1974" s="117"/>
      <c r="AJ1974" s="117"/>
      <c r="AK1974" s="89"/>
      <c r="AL1974" s="117"/>
      <c r="AM1974" s="117"/>
      <c r="AN1974" s="117"/>
      <c r="AO1974" s="117"/>
      <c r="AP1974" s="117"/>
      <c r="AQ1974" s="117"/>
      <c r="AR1974" s="126"/>
      <c r="AS1974" s="117"/>
      <c r="AT1974" s="117"/>
      <c r="AU1974" s="117"/>
      <c r="AV1974" s="128"/>
      <c r="AW1974" s="117">
        <f>VLOOKUP($D1974,'WB Data'!$C$3:$M$578,2,FALSE)</f>
        <v>3172945506.3569741</v>
      </c>
      <c r="AX1974" s="117">
        <f>VLOOKUP($D1974,'WB Data'!$C$3:$M$578,3,FALSE)</f>
        <v>6306014</v>
      </c>
      <c r="AY1974" s="847">
        <f t="shared" si="335"/>
        <v>1.8950442207720609E-2</v>
      </c>
      <c r="AZ1974" s="117">
        <f>VLOOKUP($D1974,'WB Data'!$C$3:$M$578,4,FALSE)/100</f>
        <v>0.17443958814676802</v>
      </c>
      <c r="BA1974" s="117">
        <f t="shared" si="336"/>
        <v>553487307.34104884</v>
      </c>
      <c r="BB1974" s="129">
        <f>IFERROR(VLOOKUP($D1974,'EITI Revenues'!$C$2:$G$224,5,FALSE),"..")</f>
        <v>60128720.446464643</v>
      </c>
      <c r="BC1974" s="846">
        <f t="shared" si="337"/>
        <v>0.10863613248029627</v>
      </c>
      <c r="BD1974" s="129">
        <f>VLOOKUP($D1974,'WB Data 2'!$C$2:$K$545,6,FALSE)</f>
        <v>106006296.18588103</v>
      </c>
      <c r="BE1974" s="129">
        <f>IFERROR(VLOOKUP($D1974,UNCTAD!$C$5:$V$529,4,FALSE),"..")</f>
        <v>1296380000</v>
      </c>
      <c r="BF1974" s="846">
        <f t="shared" si="338"/>
        <v>8.1771005558463589E-2</v>
      </c>
      <c r="BG1974" s="117">
        <f>VLOOKUP($D1974,'WB Data'!$C$3:$M$578,5,FALSE)</f>
        <v>404040000</v>
      </c>
      <c r="BH1974" s="129">
        <f>IFERROR($BB1974/$BG1974,"..")</f>
        <v>0.14881873192373191</v>
      </c>
      <c r="BI1974" s="117">
        <f>IFERROR(VLOOKUP($D1974,'WB Data'!$C$3:$M$578,7,FALSE)/100,"..")</f>
        <v>4.4231999999999994E-2</v>
      </c>
      <c r="BJ1974" s="117">
        <f>IFERROR($BI1974*$AW1974,"..")</f>
        <v>140345725.63718167</v>
      </c>
      <c r="BK1974" s="846">
        <f>IFERROR($BB1974/$BJ1974,"..")</f>
        <v>0.42843285873848369</v>
      </c>
      <c r="BL1974" s="117">
        <f>IFERROR(VLOOKUP($D1974,'WB Data'!$C$3:$M$578,7,FALSE)/100,"..")</f>
        <v>4.4231999999999994E-2</v>
      </c>
      <c r="BM1974" s="117">
        <f>IFERROR($AW1974*$BL1974,"..")</f>
        <v>140345725.63718167</v>
      </c>
      <c r="BN1974" s="846">
        <f>IFERROR($BB1974/$BM1974,"..")</f>
        <v>0.42843285873848369</v>
      </c>
      <c r="BO1974" s="801">
        <f t="shared" si="334"/>
        <v>29</v>
      </c>
      <c r="BP1974" s="117" t="str">
        <f>VLOOKUP($D1974,'WB Data'!$C$3:$M$578,9,FALSE)</f>
        <v>..</v>
      </c>
      <c r="BQ1974" s="117">
        <f>VLOOKUP($D1974,'WB Data'!$C$3:$M$578,10,FALSE)</f>
        <v>55.468878048780489</v>
      </c>
      <c r="BR1974" s="117">
        <f>VLOOKUP($D1974,'WB Data'!$C$3:$M$578,11,FALSE)</f>
        <v>60.5</v>
      </c>
      <c r="BS1974" s="129" t="str">
        <f>IFERROR(VLOOKUP($D1974,'WB Data 2'!$C$2:$K$545,9,FALSE),"..")</f>
        <v>..</v>
      </c>
      <c r="BT1974" s="129" t="str">
        <f>_xlfn.IFNA(VLOOKUP($C1974,RGI!$A$2:$C$43,2,FALSE),"..")</f>
        <v>..</v>
      </c>
      <c r="BU1974" s="129" t="str">
        <f>_xlfn.IFNA(VLOOKUP($C1974,RGI!$A$2:$C$43,3,FALSE),"..")</f>
        <v>..</v>
      </c>
      <c r="BV1974" s="129">
        <f>VLOOKUP($D1974,WGI!$C$2:$O$478,7,FALSE)</f>
        <v>-0.99907283724429796</v>
      </c>
      <c r="BW1974" s="129">
        <f>VLOOKUP($D1974,WGI!$C$2:$O$478,4,FALSE)</f>
        <v>-0.20278963276866399</v>
      </c>
      <c r="BX1974" s="129">
        <f>VLOOKUP($D1974,WGI!$C$2:$O$478,3,FALSE)</f>
        <v>-1.3844715678442701</v>
      </c>
      <c r="BY1974" s="129">
        <f>VLOOKUP($D1974,WGI!$C$2:$O$478,5,FALSE)</f>
        <v>-0.874241676894012</v>
      </c>
      <c r="BZ1974" s="129">
        <f>VLOOKUP($D1974,WGI!$C$2:$O$478,2,FALSE)</f>
        <v>-0.96451530468247704</v>
      </c>
      <c r="CB1974" s="129"/>
    </row>
    <row r="1975" spans="1:80" s="120" customFormat="1" ht="15" customHeight="1">
      <c r="A1975" s="294" t="s">
        <v>516</v>
      </c>
      <c r="B1975" s="214">
        <v>2010</v>
      </c>
      <c r="C1975" s="809" t="s">
        <v>517</v>
      </c>
      <c r="D1975" s="117" t="s">
        <v>3680</v>
      </c>
      <c r="E1975" s="452" t="s">
        <v>86</v>
      </c>
      <c r="F1975" s="117"/>
      <c r="G1975" s="117" t="s">
        <v>24</v>
      </c>
      <c r="H1975" s="117" t="str">
        <f t="shared" si="342"/>
        <v>yes</v>
      </c>
      <c r="I1975" s="117" t="str">
        <f t="shared" si="330"/>
        <v>no</v>
      </c>
      <c r="J1975" s="117" t="str">
        <f t="shared" si="331"/>
        <v>no</v>
      </c>
      <c r="K1975" s="117" t="s">
        <v>980</v>
      </c>
      <c r="L1975" s="117" t="str">
        <f t="shared" si="343"/>
        <v>detailed</v>
      </c>
      <c r="M1975" s="117" t="str">
        <f t="shared" si="332"/>
        <v>detailed Mining</v>
      </c>
      <c r="N1975" s="179">
        <v>96</v>
      </c>
      <c r="O1975" s="179"/>
      <c r="P1975" s="179"/>
      <c r="Q1975" s="179"/>
      <c r="R1975" s="179"/>
      <c r="S1975" s="117" t="s">
        <v>981</v>
      </c>
      <c r="T1975" s="119">
        <v>110.05</v>
      </c>
      <c r="U1975" s="117" t="s">
        <v>982</v>
      </c>
      <c r="V1975" s="117" t="s">
        <v>2336</v>
      </c>
      <c r="W1975" s="89">
        <f t="shared" si="345"/>
        <v>10564.8</v>
      </c>
      <c r="X1975" s="117"/>
      <c r="Y1975" s="117"/>
      <c r="Z1975" s="117"/>
      <c r="AA1975" s="177"/>
      <c r="AB1975" s="177"/>
      <c r="AC1975" s="122"/>
      <c r="AD1975" s="122"/>
      <c r="AE1975" s="122"/>
      <c r="AF1975" s="123"/>
      <c r="AG1975" s="117"/>
      <c r="AH1975" s="124"/>
      <c r="AI1975" s="117"/>
      <c r="AJ1975" s="117"/>
      <c r="AK1975" s="89"/>
      <c r="AL1975" s="117"/>
      <c r="AM1975" s="117"/>
      <c r="AN1975" s="117"/>
      <c r="AO1975" s="117"/>
      <c r="AP1975" s="117"/>
      <c r="AQ1975" s="117"/>
      <c r="AR1975" s="126"/>
      <c r="AS1975" s="117"/>
      <c r="AT1975" s="117"/>
      <c r="AU1975" s="117"/>
      <c r="AV1975" s="128"/>
      <c r="AW1975" s="117">
        <f>VLOOKUP($D1975,'WB Data'!$C$3:$M$578,2,FALSE)</f>
        <v>3172945506.3569741</v>
      </c>
      <c r="AX1975" s="117">
        <f>VLOOKUP($D1975,'WB Data'!$C$3:$M$578,3,FALSE)</f>
        <v>6306014</v>
      </c>
      <c r="AY1975" s="847">
        <f t="shared" si="335"/>
        <v>1.8950442207720609E-2</v>
      </c>
      <c r="AZ1975" s="117">
        <f>VLOOKUP($D1975,'WB Data'!$C$3:$M$578,4,FALSE)/100</f>
        <v>0.17443958814676802</v>
      </c>
      <c r="BA1975" s="117">
        <f t="shared" si="336"/>
        <v>553487307.34104884</v>
      </c>
      <c r="BB1975" s="129">
        <f>IFERROR(VLOOKUP($D1975,'EITI Revenues'!$C$2:$G$224,5,FALSE),"..")</f>
        <v>60128720.446464643</v>
      </c>
      <c r="BC1975" s="846">
        <f t="shared" si="337"/>
        <v>0.10863613248029627</v>
      </c>
      <c r="BD1975" s="129">
        <f>VLOOKUP($D1975,'WB Data 2'!$C$2:$K$545,6,FALSE)</f>
        <v>106006296.18588103</v>
      </c>
      <c r="BE1975" s="129">
        <f>IFERROR(VLOOKUP($D1975,UNCTAD!$C$5:$V$529,4,FALSE),"..")</f>
        <v>1296380000</v>
      </c>
      <c r="BF1975" s="846">
        <f t="shared" si="338"/>
        <v>8.1771005558463589E-2</v>
      </c>
      <c r="BG1975" s="117">
        <f>VLOOKUP($D1975,'WB Data'!$C$3:$M$578,5,FALSE)</f>
        <v>404040000</v>
      </c>
      <c r="BH1975" s="129">
        <f>IFERROR($BB1975/$BG1975,"..")</f>
        <v>0.14881873192373191</v>
      </c>
      <c r="BI1975" s="117">
        <f>IFERROR(VLOOKUP($D1975,'WB Data'!$C$3:$M$578,7,FALSE)/100,"..")</f>
        <v>4.4231999999999994E-2</v>
      </c>
      <c r="BJ1975" s="117">
        <f>IFERROR($BI1975*$AW1975,"..")</f>
        <v>140345725.63718167</v>
      </c>
      <c r="BK1975" s="846">
        <f>IFERROR($BB1975/$BJ1975,"..")</f>
        <v>0.42843285873848369</v>
      </c>
      <c r="BL1975" s="117">
        <f>IFERROR(VLOOKUP($D1975,'WB Data'!$C$3:$M$578,7,FALSE)/100,"..")</f>
        <v>4.4231999999999994E-2</v>
      </c>
      <c r="BM1975" s="117">
        <f>IFERROR($AW1975*$BL1975,"..")</f>
        <v>140345725.63718167</v>
      </c>
      <c r="BN1975" s="846">
        <f>IFERROR($BB1975/$BM1975,"..")</f>
        <v>0.42843285873848369</v>
      </c>
      <c r="BO1975" s="801">
        <f t="shared" si="334"/>
        <v>29</v>
      </c>
      <c r="BP1975" s="117" t="str">
        <f>VLOOKUP($D1975,'WB Data'!$C$3:$M$578,9,FALSE)</f>
        <v>..</v>
      </c>
      <c r="BQ1975" s="117">
        <f>VLOOKUP($D1975,'WB Data'!$C$3:$M$578,10,FALSE)</f>
        <v>55.468878048780489</v>
      </c>
      <c r="BR1975" s="117">
        <f>VLOOKUP($D1975,'WB Data'!$C$3:$M$578,11,FALSE)</f>
        <v>60.5</v>
      </c>
      <c r="BS1975" s="129" t="str">
        <f>IFERROR(VLOOKUP($D1975,'WB Data 2'!$C$2:$K$545,9,FALSE),"..")</f>
        <v>..</v>
      </c>
      <c r="BT1975" s="129" t="str">
        <f>_xlfn.IFNA(VLOOKUP($C1975,RGI!$A$2:$C$43,2,FALSE),"..")</f>
        <v>..</v>
      </c>
      <c r="BU1975" s="129" t="str">
        <f>_xlfn.IFNA(VLOOKUP($C1975,RGI!$A$2:$C$43,3,FALSE),"..")</f>
        <v>..</v>
      </c>
      <c r="BV1975" s="129">
        <f>VLOOKUP($D1975,WGI!$C$2:$O$478,7,FALSE)</f>
        <v>-0.99907283724429796</v>
      </c>
      <c r="BW1975" s="129">
        <f>VLOOKUP($D1975,WGI!$C$2:$O$478,4,FALSE)</f>
        <v>-0.20278963276866399</v>
      </c>
      <c r="BX1975" s="129">
        <f>VLOOKUP($D1975,WGI!$C$2:$O$478,3,FALSE)</f>
        <v>-1.3844715678442701</v>
      </c>
      <c r="BY1975" s="129">
        <f>VLOOKUP($D1975,WGI!$C$2:$O$478,5,FALSE)</f>
        <v>-0.874241676894012</v>
      </c>
      <c r="BZ1975" s="129">
        <f>VLOOKUP($D1975,WGI!$C$2:$O$478,2,FALSE)</f>
        <v>-0.96451530468247704</v>
      </c>
      <c r="CB1975" s="129"/>
    </row>
    <row r="1976" spans="1:80" s="120" customFormat="1" ht="15" customHeight="1">
      <c r="A1976" s="294" t="s">
        <v>516</v>
      </c>
      <c r="B1976" s="214">
        <v>2010</v>
      </c>
      <c r="C1976" s="809" t="s">
        <v>517</v>
      </c>
      <c r="D1976" s="117" t="s">
        <v>3680</v>
      </c>
      <c r="E1976" s="452" t="s">
        <v>86</v>
      </c>
      <c r="F1976" s="117"/>
      <c r="G1976" s="117" t="s">
        <v>24</v>
      </c>
      <c r="H1976" s="117" t="str">
        <f t="shared" si="342"/>
        <v>yes</v>
      </c>
      <c r="I1976" s="117" t="str">
        <f t="shared" si="330"/>
        <v>no</v>
      </c>
      <c r="J1976" s="117" t="str">
        <f t="shared" si="331"/>
        <v>no</v>
      </c>
      <c r="K1976" s="117" t="s">
        <v>784</v>
      </c>
      <c r="L1976" s="117" t="str">
        <f t="shared" si="343"/>
        <v>detailed</v>
      </c>
      <c r="M1976" s="117" t="str">
        <f t="shared" si="332"/>
        <v>detailed Mining</v>
      </c>
      <c r="N1976" s="179">
        <f>10452*32.1507431265</f>
        <v>336039.56715817796</v>
      </c>
      <c r="O1976" s="179"/>
      <c r="P1976" s="179"/>
      <c r="Q1976" s="179"/>
      <c r="R1976" s="179"/>
      <c r="S1976" s="117" t="s">
        <v>785</v>
      </c>
      <c r="T1976" s="119">
        <v>1224.66425</v>
      </c>
      <c r="U1976" s="117" t="s">
        <v>786</v>
      </c>
      <c r="V1976" s="117" t="s">
        <v>787</v>
      </c>
      <c r="W1976" s="89">
        <f t="shared" si="345"/>
        <v>411535644.48409468</v>
      </c>
      <c r="X1976" s="117"/>
      <c r="Y1976" s="117"/>
      <c r="Z1976" s="117"/>
      <c r="AA1976" s="177"/>
      <c r="AB1976" s="177"/>
      <c r="AC1976" s="122"/>
      <c r="AD1976" s="122"/>
      <c r="AE1976" s="122"/>
      <c r="AF1976" s="123"/>
      <c r="AG1976" s="117"/>
      <c r="AH1976" s="124"/>
      <c r="AI1976" s="117"/>
      <c r="AJ1976" s="117"/>
      <c r="AK1976" s="89"/>
      <c r="AL1976" s="117"/>
      <c r="AM1976" s="117"/>
      <c r="AN1976" s="117"/>
      <c r="AO1976" s="117"/>
      <c r="AP1976" s="117"/>
      <c r="AQ1976" s="117"/>
      <c r="AR1976" s="126"/>
      <c r="AS1976" s="117"/>
      <c r="AT1976" s="117"/>
      <c r="AU1976" s="117"/>
      <c r="AV1976" s="128"/>
      <c r="AW1976" s="117">
        <f>VLOOKUP($D1976,'WB Data'!$C$3:$M$578,2,FALSE)</f>
        <v>3172945506.3569741</v>
      </c>
      <c r="AX1976" s="117">
        <f>VLOOKUP($D1976,'WB Data'!$C$3:$M$578,3,FALSE)</f>
        <v>6306014</v>
      </c>
      <c r="AY1976" s="847">
        <f t="shared" si="335"/>
        <v>1.8950442207720609E-2</v>
      </c>
      <c r="AZ1976" s="117">
        <f>VLOOKUP($D1976,'WB Data'!$C$3:$M$578,4,FALSE)/100</f>
        <v>0.17443958814676802</v>
      </c>
      <c r="BA1976" s="117">
        <f t="shared" si="336"/>
        <v>553487307.34104884</v>
      </c>
      <c r="BB1976" s="129">
        <f>IFERROR(VLOOKUP($D1976,'EITI Revenues'!$C$2:$G$224,5,FALSE),"..")</f>
        <v>60128720.446464643</v>
      </c>
      <c r="BC1976" s="846">
        <f t="shared" si="337"/>
        <v>0.10863613248029627</v>
      </c>
      <c r="BD1976" s="129">
        <f>VLOOKUP($D1976,'WB Data 2'!$C$2:$K$545,6,FALSE)</f>
        <v>106006296.18588103</v>
      </c>
      <c r="BE1976" s="129">
        <f>IFERROR(VLOOKUP($D1976,UNCTAD!$C$5:$V$529,4,FALSE),"..")</f>
        <v>1296380000</v>
      </c>
      <c r="BF1976" s="846">
        <f t="shared" si="338"/>
        <v>8.1771005558463589E-2</v>
      </c>
      <c r="BG1976" s="117">
        <f>VLOOKUP($D1976,'WB Data'!$C$3:$M$578,5,FALSE)</f>
        <v>404040000</v>
      </c>
      <c r="BH1976" s="129">
        <f>IFERROR($BB1976/$BG1976,"..")</f>
        <v>0.14881873192373191</v>
      </c>
      <c r="BI1976" s="117">
        <f>IFERROR(VLOOKUP($D1976,'WB Data'!$C$3:$M$578,7,FALSE)/100,"..")</f>
        <v>4.4231999999999994E-2</v>
      </c>
      <c r="BJ1976" s="117">
        <f>IFERROR($BI1976*$AW1976,"..")</f>
        <v>140345725.63718167</v>
      </c>
      <c r="BK1976" s="846">
        <f>IFERROR($BB1976/$BJ1976,"..")</f>
        <v>0.42843285873848369</v>
      </c>
      <c r="BL1976" s="117">
        <f>IFERROR(VLOOKUP($D1976,'WB Data'!$C$3:$M$578,7,FALSE)/100,"..")</f>
        <v>4.4231999999999994E-2</v>
      </c>
      <c r="BM1976" s="117">
        <f>IFERROR($AW1976*$BL1976,"..")</f>
        <v>140345725.63718167</v>
      </c>
      <c r="BN1976" s="846">
        <f>IFERROR($BB1976/$BM1976,"..")</f>
        <v>0.42843285873848369</v>
      </c>
      <c r="BO1976" s="801">
        <f t="shared" si="334"/>
        <v>29</v>
      </c>
      <c r="BP1976" s="117" t="str">
        <f>VLOOKUP($D1976,'WB Data'!$C$3:$M$578,9,FALSE)</f>
        <v>..</v>
      </c>
      <c r="BQ1976" s="117">
        <f>VLOOKUP($D1976,'WB Data'!$C$3:$M$578,10,FALSE)</f>
        <v>55.468878048780489</v>
      </c>
      <c r="BR1976" s="117">
        <f>VLOOKUP($D1976,'WB Data'!$C$3:$M$578,11,FALSE)</f>
        <v>60.5</v>
      </c>
      <c r="BS1976" s="129" t="str">
        <f>IFERROR(VLOOKUP($D1976,'WB Data 2'!$C$2:$K$545,9,FALSE),"..")</f>
        <v>..</v>
      </c>
      <c r="BT1976" s="129" t="str">
        <f>_xlfn.IFNA(VLOOKUP($C1976,RGI!$A$2:$C$43,2,FALSE),"..")</f>
        <v>..</v>
      </c>
      <c r="BU1976" s="129" t="str">
        <f>_xlfn.IFNA(VLOOKUP($C1976,RGI!$A$2:$C$43,3,FALSE),"..")</f>
        <v>..</v>
      </c>
      <c r="BV1976" s="129">
        <f>VLOOKUP($D1976,WGI!$C$2:$O$478,7,FALSE)</f>
        <v>-0.99907283724429796</v>
      </c>
      <c r="BW1976" s="129">
        <f>VLOOKUP($D1976,WGI!$C$2:$O$478,4,FALSE)</f>
        <v>-0.20278963276866399</v>
      </c>
      <c r="BX1976" s="129">
        <f>VLOOKUP($D1976,WGI!$C$2:$O$478,3,FALSE)</f>
        <v>-1.3844715678442701</v>
      </c>
      <c r="BY1976" s="129">
        <f>VLOOKUP($D1976,WGI!$C$2:$O$478,5,FALSE)</f>
        <v>-0.874241676894012</v>
      </c>
      <c r="BZ1976" s="129">
        <f>VLOOKUP($D1976,WGI!$C$2:$O$478,2,FALSE)</f>
        <v>-0.96451530468247704</v>
      </c>
      <c r="CB1976" s="129"/>
    </row>
    <row r="1977" spans="1:80" s="120" customFormat="1" ht="15" customHeight="1">
      <c r="A1977" s="294" t="s">
        <v>516</v>
      </c>
      <c r="B1977" s="214">
        <v>2010</v>
      </c>
      <c r="C1977" s="809" t="s">
        <v>517</v>
      </c>
      <c r="D1977" s="117" t="s">
        <v>3680</v>
      </c>
      <c r="E1977" s="452" t="s">
        <v>86</v>
      </c>
      <c r="F1977" s="117"/>
      <c r="G1977" s="117" t="s">
        <v>24</v>
      </c>
      <c r="H1977" s="117" t="str">
        <f t="shared" si="342"/>
        <v>yes</v>
      </c>
      <c r="I1977" s="117" t="str">
        <f t="shared" si="330"/>
        <v>no</v>
      </c>
      <c r="J1977" s="117" t="str">
        <f t="shared" si="331"/>
        <v>no</v>
      </c>
      <c r="K1977" s="117" t="s">
        <v>2337</v>
      </c>
      <c r="L1977" s="117" t="str">
        <f t="shared" si="343"/>
        <v>detailed</v>
      </c>
      <c r="M1977" s="117" t="str">
        <f t="shared" si="332"/>
        <v>detailed Mining</v>
      </c>
      <c r="N1977" s="179">
        <f>120994*1.52</f>
        <v>183910.88</v>
      </c>
      <c r="O1977" s="179"/>
      <c r="P1977" s="179">
        <f>120994*1.52</f>
        <v>183910.88</v>
      </c>
      <c r="Q1977" s="179"/>
      <c r="R1977" s="179"/>
      <c r="S1977" s="117" t="s">
        <v>610</v>
      </c>
      <c r="T1977" s="119">
        <v>7.31</v>
      </c>
      <c r="U1977" s="117" t="s">
        <v>611</v>
      </c>
      <c r="V1977" s="117" t="s">
        <v>2338</v>
      </c>
      <c r="W1977" s="89">
        <f t="shared" si="345"/>
        <v>1344388.5327999999</v>
      </c>
      <c r="X1977" s="117"/>
      <c r="Y1977" s="117"/>
      <c r="Z1977" s="117"/>
      <c r="AA1977" s="177"/>
      <c r="AB1977" s="177"/>
      <c r="AC1977" s="122"/>
      <c r="AD1977" s="122"/>
      <c r="AE1977" s="122"/>
      <c r="AF1977" s="123"/>
      <c r="AG1977" s="117"/>
      <c r="AH1977" s="124"/>
      <c r="AI1977" s="117"/>
      <c r="AJ1977" s="117"/>
      <c r="AK1977" s="89"/>
      <c r="AL1977" s="117"/>
      <c r="AM1977" s="117"/>
      <c r="AN1977" s="117"/>
      <c r="AO1977" s="117"/>
      <c r="AP1977" s="117"/>
      <c r="AQ1977" s="117"/>
      <c r="AR1977" s="126"/>
      <c r="AS1977" s="117"/>
      <c r="AT1977" s="117"/>
      <c r="AU1977" s="117"/>
      <c r="AV1977" s="128" t="s">
        <v>2339</v>
      </c>
      <c r="AW1977" s="117">
        <f>VLOOKUP($D1977,'WB Data'!$C$3:$M$578,2,FALSE)</f>
        <v>3172945506.3569741</v>
      </c>
      <c r="AX1977" s="117">
        <f>VLOOKUP($D1977,'WB Data'!$C$3:$M$578,3,FALSE)</f>
        <v>6306014</v>
      </c>
      <c r="AY1977" s="847">
        <f t="shared" si="335"/>
        <v>1.8950442207720609E-2</v>
      </c>
      <c r="AZ1977" s="117">
        <f>VLOOKUP($D1977,'WB Data'!$C$3:$M$578,4,FALSE)/100</f>
        <v>0.17443958814676802</v>
      </c>
      <c r="BA1977" s="117">
        <f t="shared" si="336"/>
        <v>553487307.34104884</v>
      </c>
      <c r="BB1977" s="129">
        <f>IFERROR(VLOOKUP($D1977,'EITI Revenues'!$C$2:$G$224,5,FALSE),"..")</f>
        <v>60128720.446464643</v>
      </c>
      <c r="BC1977" s="846">
        <f t="shared" si="337"/>
        <v>0.10863613248029627</v>
      </c>
      <c r="BD1977" s="129">
        <f>VLOOKUP($D1977,'WB Data 2'!$C$2:$K$545,6,FALSE)</f>
        <v>106006296.18588103</v>
      </c>
      <c r="BE1977" s="129">
        <f>IFERROR(VLOOKUP($D1977,UNCTAD!$C$5:$V$529,4,FALSE),"..")</f>
        <v>1296380000</v>
      </c>
      <c r="BF1977" s="846">
        <f t="shared" si="338"/>
        <v>8.1771005558463589E-2</v>
      </c>
      <c r="BG1977" s="117">
        <f>VLOOKUP($D1977,'WB Data'!$C$3:$M$578,5,FALSE)</f>
        <v>404040000</v>
      </c>
      <c r="BH1977" s="129">
        <f>IFERROR($BB1977/$BG1977,"..")</f>
        <v>0.14881873192373191</v>
      </c>
      <c r="BI1977" s="117">
        <f>IFERROR(VLOOKUP($D1977,'WB Data'!$C$3:$M$578,7,FALSE)/100,"..")</f>
        <v>4.4231999999999994E-2</v>
      </c>
      <c r="BJ1977" s="117">
        <f>IFERROR($BI1977*$AW1977,"..")</f>
        <v>140345725.63718167</v>
      </c>
      <c r="BK1977" s="846">
        <f>IFERROR($BB1977/$BJ1977,"..")</f>
        <v>0.42843285873848369</v>
      </c>
      <c r="BL1977" s="117">
        <f>IFERROR(VLOOKUP($D1977,'WB Data'!$C$3:$M$578,7,FALSE)/100,"..")</f>
        <v>4.4231999999999994E-2</v>
      </c>
      <c r="BM1977" s="117">
        <f>IFERROR($AW1977*$BL1977,"..")</f>
        <v>140345725.63718167</v>
      </c>
      <c r="BN1977" s="846">
        <f>IFERROR($BB1977/$BM1977,"..")</f>
        <v>0.42843285873848369</v>
      </c>
      <c r="BO1977" s="801">
        <f t="shared" si="334"/>
        <v>29</v>
      </c>
      <c r="BP1977" s="117" t="str">
        <f>VLOOKUP($D1977,'WB Data'!$C$3:$M$578,9,FALSE)</f>
        <v>..</v>
      </c>
      <c r="BQ1977" s="117">
        <f>VLOOKUP($D1977,'WB Data'!$C$3:$M$578,10,FALSE)</f>
        <v>55.468878048780489</v>
      </c>
      <c r="BR1977" s="117">
        <f>VLOOKUP($D1977,'WB Data'!$C$3:$M$578,11,FALSE)</f>
        <v>60.5</v>
      </c>
      <c r="BS1977" s="129" t="str">
        <f>IFERROR(VLOOKUP($D1977,'WB Data 2'!$C$2:$K$545,9,FALSE),"..")</f>
        <v>..</v>
      </c>
      <c r="BT1977" s="129" t="str">
        <f>_xlfn.IFNA(VLOOKUP($C1977,RGI!$A$2:$C$43,2,FALSE),"..")</f>
        <v>..</v>
      </c>
      <c r="BU1977" s="129" t="str">
        <f>_xlfn.IFNA(VLOOKUP($C1977,RGI!$A$2:$C$43,3,FALSE),"..")</f>
        <v>..</v>
      </c>
      <c r="BV1977" s="129">
        <f>VLOOKUP($D1977,WGI!$C$2:$O$478,7,FALSE)</f>
        <v>-0.99907283724429796</v>
      </c>
      <c r="BW1977" s="129">
        <f>VLOOKUP($D1977,WGI!$C$2:$O$478,4,FALSE)</f>
        <v>-0.20278963276866399</v>
      </c>
      <c r="BX1977" s="129">
        <f>VLOOKUP($D1977,WGI!$C$2:$O$478,3,FALSE)</f>
        <v>-1.3844715678442701</v>
      </c>
      <c r="BY1977" s="129">
        <f>VLOOKUP($D1977,WGI!$C$2:$O$478,5,FALSE)</f>
        <v>-0.874241676894012</v>
      </c>
      <c r="BZ1977" s="129">
        <f>VLOOKUP($D1977,WGI!$C$2:$O$478,2,FALSE)</f>
        <v>-0.96451530468247704</v>
      </c>
      <c r="CB1977" s="129"/>
    </row>
    <row r="1978" spans="1:80" s="120" customFormat="1" ht="15" customHeight="1">
      <c r="A1978" s="294" t="s">
        <v>516</v>
      </c>
      <c r="B1978" s="214">
        <v>2010</v>
      </c>
      <c r="C1978" s="809" t="s">
        <v>517</v>
      </c>
      <c r="D1978" s="117" t="s">
        <v>3680</v>
      </c>
      <c r="E1978" s="452" t="s">
        <v>86</v>
      </c>
      <c r="F1978" s="117"/>
      <c r="G1978" s="117" t="s">
        <v>24</v>
      </c>
      <c r="H1978" s="117" t="str">
        <f t="shared" si="342"/>
        <v>yes</v>
      </c>
      <c r="I1978" s="117" t="str">
        <f t="shared" si="330"/>
        <v>no</v>
      </c>
      <c r="J1978" s="117" t="str">
        <f t="shared" si="331"/>
        <v>no</v>
      </c>
      <c r="K1978" s="117" t="s">
        <v>703</v>
      </c>
      <c r="L1978" s="117" t="str">
        <f t="shared" si="343"/>
        <v>detailed</v>
      </c>
      <c r="M1978" s="117" t="str">
        <f t="shared" si="332"/>
        <v>detailed Mining</v>
      </c>
      <c r="N1978" s="179">
        <v>1656041</v>
      </c>
      <c r="O1978" s="179"/>
      <c r="P1978" s="179"/>
      <c r="Q1978" s="179"/>
      <c r="R1978" s="179"/>
      <c r="S1978" s="117" t="s">
        <v>610</v>
      </c>
      <c r="T1978" s="119">
        <v>9.0299999999999994</v>
      </c>
      <c r="U1978" s="117" t="s">
        <v>611</v>
      </c>
      <c r="V1978" s="117" t="s">
        <v>704</v>
      </c>
      <c r="W1978" s="89">
        <f t="shared" si="345"/>
        <v>14954050.229999999</v>
      </c>
      <c r="X1978" s="117"/>
      <c r="Y1978" s="117"/>
      <c r="Z1978" s="117"/>
      <c r="AA1978" s="177"/>
      <c r="AB1978" s="177"/>
      <c r="AC1978" s="122"/>
      <c r="AD1978" s="122"/>
      <c r="AE1978" s="122"/>
      <c r="AF1978" s="123"/>
      <c r="AG1978" s="117"/>
      <c r="AH1978" s="124"/>
      <c r="AI1978" s="117"/>
      <c r="AJ1978" s="117"/>
      <c r="AK1978" s="89"/>
      <c r="AL1978" s="117"/>
      <c r="AM1978" s="117"/>
      <c r="AN1978" s="117"/>
      <c r="AO1978" s="117"/>
      <c r="AP1978" s="117"/>
      <c r="AQ1978" s="117"/>
      <c r="AR1978" s="126"/>
      <c r="AS1978" s="117"/>
      <c r="AT1978" s="117"/>
      <c r="AU1978" s="117"/>
      <c r="AV1978" s="128"/>
      <c r="AW1978" s="117">
        <f>VLOOKUP($D1978,'WB Data'!$C$3:$M$578,2,FALSE)</f>
        <v>3172945506.3569741</v>
      </c>
      <c r="AX1978" s="117">
        <f>VLOOKUP($D1978,'WB Data'!$C$3:$M$578,3,FALSE)</f>
        <v>6306014</v>
      </c>
      <c r="AY1978" s="847">
        <f t="shared" si="335"/>
        <v>1.8950442207720609E-2</v>
      </c>
      <c r="AZ1978" s="117">
        <f>VLOOKUP($D1978,'WB Data'!$C$3:$M$578,4,FALSE)/100</f>
        <v>0.17443958814676802</v>
      </c>
      <c r="BA1978" s="117">
        <f t="shared" si="336"/>
        <v>553487307.34104884</v>
      </c>
      <c r="BB1978" s="129">
        <f>IFERROR(VLOOKUP($D1978,'EITI Revenues'!$C$2:$G$224,5,FALSE),"..")</f>
        <v>60128720.446464643</v>
      </c>
      <c r="BC1978" s="846">
        <f t="shared" si="337"/>
        <v>0.10863613248029627</v>
      </c>
      <c r="BD1978" s="129">
        <f>VLOOKUP($D1978,'WB Data 2'!$C$2:$K$545,6,FALSE)</f>
        <v>106006296.18588103</v>
      </c>
      <c r="BE1978" s="129">
        <f>IFERROR(VLOOKUP($D1978,UNCTAD!$C$5:$V$529,4,FALSE),"..")</f>
        <v>1296380000</v>
      </c>
      <c r="BF1978" s="846">
        <f t="shared" si="338"/>
        <v>8.1771005558463589E-2</v>
      </c>
      <c r="BG1978" s="117">
        <f>VLOOKUP($D1978,'WB Data'!$C$3:$M$578,5,FALSE)</f>
        <v>404040000</v>
      </c>
      <c r="BH1978" s="129">
        <f>IFERROR($BB1978/$BG1978,"..")</f>
        <v>0.14881873192373191</v>
      </c>
      <c r="BI1978" s="117">
        <f>IFERROR(VLOOKUP($D1978,'WB Data'!$C$3:$M$578,7,FALSE)/100,"..")</f>
        <v>4.4231999999999994E-2</v>
      </c>
      <c r="BJ1978" s="117">
        <f>IFERROR($BI1978*$AW1978,"..")</f>
        <v>140345725.63718167</v>
      </c>
      <c r="BK1978" s="846">
        <f>IFERROR($BB1978/$BJ1978,"..")</f>
        <v>0.42843285873848369</v>
      </c>
      <c r="BL1978" s="117">
        <f>IFERROR(VLOOKUP($D1978,'WB Data'!$C$3:$M$578,7,FALSE)/100,"..")</f>
        <v>4.4231999999999994E-2</v>
      </c>
      <c r="BM1978" s="117">
        <f>IFERROR($AW1978*$BL1978,"..")</f>
        <v>140345725.63718167</v>
      </c>
      <c r="BN1978" s="846">
        <f>IFERROR($BB1978/$BM1978,"..")</f>
        <v>0.42843285873848369</v>
      </c>
      <c r="BO1978" s="801">
        <f t="shared" si="334"/>
        <v>29</v>
      </c>
      <c r="BP1978" s="117" t="str">
        <f>VLOOKUP($D1978,'WB Data'!$C$3:$M$578,9,FALSE)</f>
        <v>..</v>
      </c>
      <c r="BQ1978" s="117">
        <f>VLOOKUP($D1978,'WB Data'!$C$3:$M$578,10,FALSE)</f>
        <v>55.468878048780489</v>
      </c>
      <c r="BR1978" s="117">
        <f>VLOOKUP($D1978,'WB Data'!$C$3:$M$578,11,FALSE)</f>
        <v>60.5</v>
      </c>
      <c r="BS1978" s="129" t="str">
        <f>IFERROR(VLOOKUP($D1978,'WB Data 2'!$C$2:$K$545,9,FALSE),"..")</f>
        <v>..</v>
      </c>
      <c r="BT1978" s="129" t="str">
        <f>_xlfn.IFNA(VLOOKUP($C1978,RGI!$A$2:$C$43,2,FALSE),"..")</f>
        <v>..</v>
      </c>
      <c r="BU1978" s="129" t="str">
        <f>_xlfn.IFNA(VLOOKUP($C1978,RGI!$A$2:$C$43,3,FALSE),"..")</f>
        <v>..</v>
      </c>
      <c r="BV1978" s="129">
        <f>VLOOKUP($D1978,WGI!$C$2:$O$478,7,FALSE)</f>
        <v>-0.99907283724429796</v>
      </c>
      <c r="BW1978" s="129">
        <f>VLOOKUP($D1978,WGI!$C$2:$O$478,4,FALSE)</f>
        <v>-0.20278963276866399</v>
      </c>
      <c r="BX1978" s="129">
        <f>VLOOKUP($D1978,WGI!$C$2:$O$478,3,FALSE)</f>
        <v>-1.3844715678442701</v>
      </c>
      <c r="BY1978" s="129">
        <f>VLOOKUP($D1978,WGI!$C$2:$O$478,5,FALSE)</f>
        <v>-0.874241676894012</v>
      </c>
      <c r="BZ1978" s="129">
        <f>VLOOKUP($D1978,WGI!$C$2:$O$478,2,FALSE)</f>
        <v>-0.96451530468247704</v>
      </c>
      <c r="CB1978" s="129"/>
    </row>
    <row r="1979" spans="1:80" s="120" customFormat="1" ht="15" customHeight="1">
      <c r="A1979" s="294" t="s">
        <v>516</v>
      </c>
      <c r="B1979" s="214">
        <v>2010</v>
      </c>
      <c r="C1979" s="809" t="s">
        <v>517</v>
      </c>
      <c r="D1979" s="117" t="s">
        <v>3680</v>
      </c>
      <c r="E1979" s="452" t="s">
        <v>86</v>
      </c>
      <c r="F1979" s="117"/>
      <c r="G1979" s="117" t="s">
        <v>24</v>
      </c>
      <c r="H1979" s="117" t="str">
        <f t="shared" si="342"/>
        <v>yes</v>
      </c>
      <c r="I1979" s="117" t="str">
        <f t="shared" si="330"/>
        <v>no</v>
      </c>
      <c r="J1979" s="117" t="str">
        <f t="shared" si="331"/>
        <v>no</v>
      </c>
      <c r="K1979" s="117" t="s">
        <v>2340</v>
      </c>
      <c r="L1979" s="117" t="str">
        <f t="shared" si="343"/>
        <v>detailed</v>
      </c>
      <c r="M1979" s="117" t="str">
        <f t="shared" si="332"/>
        <v>detailed Mining</v>
      </c>
      <c r="N1979" s="179">
        <v>695000</v>
      </c>
      <c r="O1979" s="179"/>
      <c r="P1979" s="179"/>
      <c r="Q1979" s="179"/>
      <c r="R1979" s="179"/>
      <c r="S1979" s="117" t="s">
        <v>610</v>
      </c>
      <c r="T1979" s="119">
        <v>123.02083333333</v>
      </c>
      <c r="U1979" s="117" t="s">
        <v>611</v>
      </c>
      <c r="V1979" s="117" t="s">
        <v>2153</v>
      </c>
      <c r="W1979" s="89">
        <f t="shared" si="345"/>
        <v>85499479.166664347</v>
      </c>
      <c r="X1979" s="117"/>
      <c r="Y1979" s="117"/>
      <c r="Z1979" s="117"/>
      <c r="AA1979" s="177"/>
      <c r="AB1979" s="177"/>
      <c r="AC1979" s="122"/>
      <c r="AD1979" s="122"/>
      <c r="AE1979" s="122"/>
      <c r="AF1979" s="123"/>
      <c r="AG1979" s="117"/>
      <c r="AH1979" s="124"/>
      <c r="AI1979" s="117"/>
      <c r="AJ1979" s="117"/>
      <c r="AK1979" s="89"/>
      <c r="AL1979" s="117"/>
      <c r="AM1979" s="117"/>
      <c r="AN1979" s="117"/>
      <c r="AO1979" s="117"/>
      <c r="AP1979" s="117"/>
      <c r="AQ1979" s="117"/>
      <c r="AR1979" s="126"/>
      <c r="AS1979" s="117"/>
      <c r="AT1979" s="117"/>
      <c r="AU1979" s="117"/>
      <c r="AV1979" s="128"/>
      <c r="AW1979" s="117">
        <f>VLOOKUP($D1979,'WB Data'!$C$3:$M$578,2,FALSE)</f>
        <v>3172945506.3569741</v>
      </c>
      <c r="AX1979" s="117">
        <f>VLOOKUP($D1979,'WB Data'!$C$3:$M$578,3,FALSE)</f>
        <v>6306014</v>
      </c>
      <c r="AY1979" s="847">
        <f t="shared" si="335"/>
        <v>1.8950442207720609E-2</v>
      </c>
      <c r="AZ1979" s="117">
        <f>VLOOKUP($D1979,'WB Data'!$C$3:$M$578,4,FALSE)/100</f>
        <v>0.17443958814676802</v>
      </c>
      <c r="BA1979" s="117">
        <f t="shared" si="336"/>
        <v>553487307.34104884</v>
      </c>
      <c r="BB1979" s="129">
        <f>IFERROR(VLOOKUP($D1979,'EITI Revenues'!$C$2:$G$224,5,FALSE),"..")</f>
        <v>60128720.446464643</v>
      </c>
      <c r="BC1979" s="846">
        <f t="shared" si="337"/>
        <v>0.10863613248029627</v>
      </c>
      <c r="BD1979" s="129">
        <f>VLOOKUP($D1979,'WB Data 2'!$C$2:$K$545,6,FALSE)</f>
        <v>106006296.18588103</v>
      </c>
      <c r="BE1979" s="129">
        <f>IFERROR(VLOOKUP($D1979,UNCTAD!$C$5:$V$529,4,FALSE),"..")</f>
        <v>1296380000</v>
      </c>
      <c r="BF1979" s="846">
        <f t="shared" si="338"/>
        <v>8.1771005558463589E-2</v>
      </c>
      <c r="BG1979" s="117">
        <f>VLOOKUP($D1979,'WB Data'!$C$3:$M$578,5,FALSE)</f>
        <v>404040000</v>
      </c>
      <c r="BH1979" s="129">
        <f>IFERROR($BB1979/$BG1979,"..")</f>
        <v>0.14881873192373191</v>
      </c>
      <c r="BI1979" s="117">
        <f>IFERROR(VLOOKUP($D1979,'WB Data'!$C$3:$M$578,7,FALSE)/100,"..")</f>
        <v>4.4231999999999994E-2</v>
      </c>
      <c r="BJ1979" s="117">
        <f>IFERROR($BI1979*$AW1979,"..")</f>
        <v>140345725.63718167</v>
      </c>
      <c r="BK1979" s="846">
        <f>IFERROR($BB1979/$BJ1979,"..")</f>
        <v>0.42843285873848369</v>
      </c>
      <c r="BL1979" s="117">
        <f>IFERROR(VLOOKUP($D1979,'WB Data'!$C$3:$M$578,7,FALSE)/100,"..")</f>
        <v>4.4231999999999994E-2</v>
      </c>
      <c r="BM1979" s="117">
        <f>IFERROR($AW1979*$BL1979,"..")</f>
        <v>140345725.63718167</v>
      </c>
      <c r="BN1979" s="846">
        <f>IFERROR($BB1979/$BM1979,"..")</f>
        <v>0.42843285873848369</v>
      </c>
      <c r="BO1979" s="801">
        <f t="shared" si="334"/>
        <v>29</v>
      </c>
      <c r="BP1979" s="117" t="str">
        <f>VLOOKUP($D1979,'WB Data'!$C$3:$M$578,9,FALSE)</f>
        <v>..</v>
      </c>
      <c r="BQ1979" s="117">
        <f>VLOOKUP($D1979,'WB Data'!$C$3:$M$578,10,FALSE)</f>
        <v>55.468878048780489</v>
      </c>
      <c r="BR1979" s="117">
        <f>VLOOKUP($D1979,'WB Data'!$C$3:$M$578,11,FALSE)</f>
        <v>60.5</v>
      </c>
      <c r="BS1979" s="129" t="str">
        <f>IFERROR(VLOOKUP($D1979,'WB Data 2'!$C$2:$K$545,9,FALSE),"..")</f>
        <v>..</v>
      </c>
      <c r="BT1979" s="129" t="str">
        <f>_xlfn.IFNA(VLOOKUP($C1979,RGI!$A$2:$C$43,2,FALSE),"..")</f>
        <v>..</v>
      </c>
      <c r="BU1979" s="129" t="str">
        <f>_xlfn.IFNA(VLOOKUP($C1979,RGI!$A$2:$C$43,3,FALSE),"..")</f>
        <v>..</v>
      </c>
      <c r="BV1979" s="129">
        <f>VLOOKUP($D1979,WGI!$C$2:$O$478,7,FALSE)</f>
        <v>-0.99907283724429796</v>
      </c>
      <c r="BW1979" s="129">
        <f>VLOOKUP($D1979,WGI!$C$2:$O$478,4,FALSE)</f>
        <v>-0.20278963276866399</v>
      </c>
      <c r="BX1979" s="129">
        <f>VLOOKUP($D1979,WGI!$C$2:$O$478,3,FALSE)</f>
        <v>-1.3844715678442701</v>
      </c>
      <c r="BY1979" s="129">
        <f>VLOOKUP($D1979,WGI!$C$2:$O$478,5,FALSE)</f>
        <v>-0.874241676894012</v>
      </c>
      <c r="BZ1979" s="129">
        <f>VLOOKUP($D1979,WGI!$C$2:$O$478,2,FALSE)</f>
        <v>-0.96451530468247704</v>
      </c>
      <c r="CB1979" s="129"/>
    </row>
    <row r="1980" spans="1:80" s="120" customFormat="1" ht="15" customHeight="1">
      <c r="A1980" s="294" t="s">
        <v>516</v>
      </c>
      <c r="B1980" s="214">
        <v>2010</v>
      </c>
      <c r="C1980" s="809" t="s">
        <v>517</v>
      </c>
      <c r="D1980" s="117" t="s">
        <v>3680</v>
      </c>
      <c r="E1980" s="452" t="s">
        <v>86</v>
      </c>
      <c r="F1980" s="117"/>
      <c r="G1980" s="117" t="s">
        <v>24</v>
      </c>
      <c r="H1980" s="117" t="str">
        <f t="shared" si="342"/>
        <v>yes</v>
      </c>
      <c r="I1980" s="117" t="str">
        <f t="shared" si="330"/>
        <v>no</v>
      </c>
      <c r="J1980" s="117" t="str">
        <f t="shared" si="331"/>
        <v>no</v>
      </c>
      <c r="K1980" s="117" t="s">
        <v>970</v>
      </c>
      <c r="L1980" s="117" t="str">
        <f t="shared" si="343"/>
        <v>detailed</v>
      </c>
      <c r="M1980" s="117" t="str">
        <f t="shared" si="332"/>
        <v>detailed Mining</v>
      </c>
      <c r="N1980" s="179">
        <f>1380*1.44</f>
        <v>1987.1999999999998</v>
      </c>
      <c r="O1980" s="179"/>
      <c r="P1980" s="179">
        <f>1380*1.44</f>
        <v>1987.1999999999998</v>
      </c>
      <c r="Q1980" s="179"/>
      <c r="R1980" s="179"/>
      <c r="S1980" s="117" t="s">
        <v>610</v>
      </c>
      <c r="T1980" s="119">
        <v>7.31</v>
      </c>
      <c r="U1980" s="117" t="s">
        <v>611</v>
      </c>
      <c r="V1980" s="117" t="s">
        <v>2338</v>
      </c>
      <c r="W1980" s="89">
        <f t="shared" si="345"/>
        <v>14526.431999999997</v>
      </c>
      <c r="X1980" s="117"/>
      <c r="Y1980" s="117"/>
      <c r="Z1980" s="117"/>
      <c r="AA1980" s="177"/>
      <c r="AB1980" s="177"/>
      <c r="AC1980" s="122"/>
      <c r="AD1980" s="122"/>
      <c r="AE1980" s="122"/>
      <c r="AF1980" s="123"/>
      <c r="AG1980" s="117"/>
      <c r="AH1980" s="124"/>
      <c r="AI1980" s="117"/>
      <c r="AJ1980" s="117"/>
      <c r="AK1980" s="89"/>
      <c r="AL1980" s="117"/>
      <c r="AM1980" s="117"/>
      <c r="AN1980" s="117"/>
      <c r="AO1980" s="117"/>
      <c r="AP1980" s="117"/>
      <c r="AQ1980" s="117"/>
      <c r="AR1980" s="126"/>
      <c r="AS1980" s="117"/>
      <c r="AT1980" s="117"/>
      <c r="AU1980" s="117"/>
      <c r="AV1980" s="128" t="s">
        <v>2339</v>
      </c>
      <c r="AW1980" s="117">
        <f>VLOOKUP($D1980,'WB Data'!$C$3:$M$578,2,FALSE)</f>
        <v>3172945506.3569741</v>
      </c>
      <c r="AX1980" s="117">
        <f>VLOOKUP($D1980,'WB Data'!$C$3:$M$578,3,FALSE)</f>
        <v>6306014</v>
      </c>
      <c r="AY1980" s="847">
        <f t="shared" si="335"/>
        <v>1.8950442207720609E-2</v>
      </c>
      <c r="AZ1980" s="117">
        <f>VLOOKUP($D1980,'WB Data'!$C$3:$M$578,4,FALSE)/100</f>
        <v>0.17443958814676802</v>
      </c>
      <c r="BA1980" s="117">
        <f t="shared" si="336"/>
        <v>553487307.34104884</v>
      </c>
      <c r="BB1980" s="129">
        <f>IFERROR(VLOOKUP($D1980,'EITI Revenues'!$C$2:$G$224,5,FALSE),"..")</f>
        <v>60128720.446464643</v>
      </c>
      <c r="BC1980" s="846">
        <f t="shared" si="337"/>
        <v>0.10863613248029627</v>
      </c>
      <c r="BD1980" s="129">
        <f>VLOOKUP($D1980,'WB Data 2'!$C$2:$K$545,6,FALSE)</f>
        <v>106006296.18588103</v>
      </c>
      <c r="BE1980" s="129">
        <f>IFERROR(VLOOKUP($D1980,UNCTAD!$C$5:$V$529,4,FALSE),"..")</f>
        <v>1296380000</v>
      </c>
      <c r="BF1980" s="846">
        <f t="shared" si="338"/>
        <v>8.1771005558463589E-2</v>
      </c>
      <c r="BG1980" s="117">
        <f>VLOOKUP($D1980,'WB Data'!$C$3:$M$578,5,FALSE)</f>
        <v>404040000</v>
      </c>
      <c r="BH1980" s="129">
        <f>IFERROR($BB1980/$BG1980,"..")</f>
        <v>0.14881873192373191</v>
      </c>
      <c r="BI1980" s="117">
        <f>IFERROR(VLOOKUP($D1980,'WB Data'!$C$3:$M$578,7,FALSE)/100,"..")</f>
        <v>4.4231999999999994E-2</v>
      </c>
      <c r="BJ1980" s="117">
        <f>IFERROR($BI1980*$AW1980,"..")</f>
        <v>140345725.63718167</v>
      </c>
      <c r="BK1980" s="846">
        <f>IFERROR($BB1980/$BJ1980,"..")</f>
        <v>0.42843285873848369</v>
      </c>
      <c r="BL1980" s="117">
        <f>IFERROR(VLOOKUP($D1980,'WB Data'!$C$3:$M$578,7,FALSE)/100,"..")</f>
        <v>4.4231999999999994E-2</v>
      </c>
      <c r="BM1980" s="117">
        <f>IFERROR($AW1980*$BL1980,"..")</f>
        <v>140345725.63718167</v>
      </c>
      <c r="BN1980" s="846">
        <f>IFERROR($BB1980/$BM1980,"..")</f>
        <v>0.42843285873848369</v>
      </c>
      <c r="BO1980" s="801">
        <f t="shared" si="334"/>
        <v>29</v>
      </c>
      <c r="BP1980" s="117" t="str">
        <f>VLOOKUP($D1980,'WB Data'!$C$3:$M$578,9,FALSE)</f>
        <v>..</v>
      </c>
      <c r="BQ1980" s="117">
        <f>VLOOKUP($D1980,'WB Data'!$C$3:$M$578,10,FALSE)</f>
        <v>55.468878048780489</v>
      </c>
      <c r="BR1980" s="117">
        <f>VLOOKUP($D1980,'WB Data'!$C$3:$M$578,11,FALSE)</f>
        <v>60.5</v>
      </c>
      <c r="BS1980" s="129" t="str">
        <f>IFERROR(VLOOKUP($D1980,'WB Data 2'!$C$2:$K$545,9,FALSE),"..")</f>
        <v>..</v>
      </c>
      <c r="BT1980" s="129" t="str">
        <f>_xlfn.IFNA(VLOOKUP($C1980,RGI!$A$2:$C$43,2,FALSE),"..")</f>
        <v>..</v>
      </c>
      <c r="BU1980" s="129" t="str">
        <f>_xlfn.IFNA(VLOOKUP($C1980,RGI!$A$2:$C$43,3,FALSE),"..")</f>
        <v>..</v>
      </c>
      <c r="BV1980" s="129">
        <f>VLOOKUP($D1980,WGI!$C$2:$O$478,7,FALSE)</f>
        <v>-0.99907283724429796</v>
      </c>
      <c r="BW1980" s="129">
        <f>VLOOKUP($D1980,WGI!$C$2:$O$478,4,FALSE)</f>
        <v>-0.20278963276866399</v>
      </c>
      <c r="BX1980" s="129">
        <f>VLOOKUP($D1980,WGI!$C$2:$O$478,3,FALSE)</f>
        <v>-1.3844715678442701</v>
      </c>
      <c r="BY1980" s="129">
        <f>VLOOKUP($D1980,WGI!$C$2:$O$478,5,FALSE)</f>
        <v>-0.874241676894012</v>
      </c>
      <c r="BZ1980" s="129">
        <f>VLOOKUP($D1980,WGI!$C$2:$O$478,2,FALSE)</f>
        <v>-0.96451530468247704</v>
      </c>
      <c r="CB1980" s="129"/>
    </row>
    <row r="1981" spans="1:80" s="158" customFormat="1" ht="15" customHeight="1">
      <c r="A1981" s="295" t="s">
        <v>516</v>
      </c>
      <c r="B1981" s="218">
        <v>2010</v>
      </c>
      <c r="C1981" s="810" t="s">
        <v>517</v>
      </c>
      <c r="D1981" s="117" t="s">
        <v>3680</v>
      </c>
      <c r="E1981" s="453" t="s">
        <v>86</v>
      </c>
      <c r="F1981" s="149"/>
      <c r="G1981" s="149" t="s">
        <v>1603</v>
      </c>
      <c r="H1981" s="117" t="str">
        <f t="shared" si="342"/>
        <v>no</v>
      </c>
      <c r="I1981" s="117" t="str">
        <f t="shared" si="330"/>
        <v>no</v>
      </c>
      <c r="J1981" s="117" t="str">
        <f t="shared" si="331"/>
        <v>no</v>
      </c>
      <c r="K1981" s="149" t="s">
        <v>2341</v>
      </c>
      <c r="L1981" s="117" t="str">
        <f t="shared" si="343"/>
        <v>detailed</v>
      </c>
      <c r="M1981" s="117" t="str">
        <f t="shared" si="332"/>
        <v>detailed Other</v>
      </c>
      <c r="N1981" s="216"/>
      <c r="O1981" s="216"/>
      <c r="P1981" s="216">
        <v>20528065</v>
      </c>
      <c r="Q1981" s="216"/>
      <c r="R1981" s="216"/>
      <c r="S1981" s="149" t="s">
        <v>642</v>
      </c>
      <c r="T1981" s="151"/>
      <c r="U1981" s="149"/>
      <c r="V1981" s="149"/>
      <c r="W1981" s="152">
        <f t="shared" si="345"/>
        <v>0</v>
      </c>
      <c r="X1981" s="149"/>
      <c r="Y1981" s="149"/>
      <c r="Z1981" s="149"/>
      <c r="AA1981" s="284"/>
      <c r="AB1981" s="284"/>
      <c r="AC1981" s="154"/>
      <c r="AD1981" s="154"/>
      <c r="AE1981" s="154"/>
      <c r="AF1981" s="155"/>
      <c r="AG1981" s="149"/>
      <c r="AH1981" s="156"/>
      <c r="AI1981" s="149"/>
      <c r="AJ1981" s="149"/>
      <c r="AK1981" s="152"/>
      <c r="AL1981" s="149"/>
      <c r="AM1981" s="149"/>
      <c r="AN1981" s="149"/>
      <c r="AO1981" s="149"/>
      <c r="AP1981" s="149"/>
      <c r="AQ1981" s="149"/>
      <c r="AR1981" s="220"/>
      <c r="AS1981" s="149"/>
      <c r="AT1981" s="149"/>
      <c r="AU1981" s="149"/>
      <c r="AV1981" s="157"/>
      <c r="AW1981" s="117">
        <f>VLOOKUP($D1981,'WB Data'!$C$3:$M$578,2,FALSE)</f>
        <v>3172945506.3569741</v>
      </c>
      <c r="AX1981" s="117">
        <f>VLOOKUP($D1981,'WB Data'!$C$3:$M$578,3,FALSE)</f>
        <v>6306014</v>
      </c>
      <c r="AY1981" s="847">
        <f t="shared" si="335"/>
        <v>1.8950442207720609E-2</v>
      </c>
      <c r="AZ1981" s="117">
        <f>VLOOKUP($D1981,'WB Data'!$C$3:$M$578,4,FALSE)/100</f>
        <v>0.17443958814676802</v>
      </c>
      <c r="BA1981" s="117">
        <f t="shared" si="336"/>
        <v>553487307.34104884</v>
      </c>
      <c r="BB1981" s="129">
        <f>IFERROR(VLOOKUP($D1981,'EITI Revenues'!$C$2:$G$224,5,FALSE),"..")</f>
        <v>60128720.446464643</v>
      </c>
      <c r="BC1981" s="846">
        <f t="shared" si="337"/>
        <v>0.10863613248029627</v>
      </c>
      <c r="BD1981" s="129">
        <f>VLOOKUP($D1981,'WB Data 2'!$C$2:$K$545,6,FALSE)</f>
        <v>106006296.18588103</v>
      </c>
      <c r="BE1981" s="129">
        <f>IFERROR(VLOOKUP($D1981,UNCTAD!$C$5:$V$529,4,FALSE),"..")</f>
        <v>1296380000</v>
      </c>
      <c r="BF1981" s="846">
        <f t="shared" si="338"/>
        <v>8.1771005558463589E-2</v>
      </c>
      <c r="BG1981" s="117">
        <f>VLOOKUP($D1981,'WB Data'!$C$3:$M$578,5,FALSE)</f>
        <v>404040000</v>
      </c>
      <c r="BH1981" s="129">
        <f>IFERROR($BB1981/$BG1981,"..")</f>
        <v>0.14881873192373191</v>
      </c>
      <c r="BI1981" s="117">
        <f>IFERROR(VLOOKUP($D1981,'WB Data'!$C$3:$M$578,7,FALSE)/100,"..")</f>
        <v>4.4231999999999994E-2</v>
      </c>
      <c r="BJ1981" s="117">
        <f>IFERROR($BI1981*$AW1981,"..")</f>
        <v>140345725.63718167</v>
      </c>
      <c r="BK1981" s="846">
        <f>IFERROR($BB1981/$BJ1981,"..")</f>
        <v>0.42843285873848369</v>
      </c>
      <c r="BL1981" s="117">
        <f>IFERROR(VLOOKUP($D1981,'WB Data'!$C$3:$M$578,7,FALSE)/100,"..")</f>
        <v>4.4231999999999994E-2</v>
      </c>
      <c r="BM1981" s="117">
        <f>IFERROR($AW1981*$BL1981,"..")</f>
        <v>140345725.63718167</v>
      </c>
      <c r="BN1981" s="846">
        <f>IFERROR($BB1981/$BM1981,"..")</f>
        <v>0.42843285873848369</v>
      </c>
      <c r="BO1981" s="801">
        <f t="shared" si="334"/>
        <v>29</v>
      </c>
      <c r="BP1981" s="117" t="str">
        <f>VLOOKUP($D1981,'WB Data'!$C$3:$M$578,9,FALSE)</f>
        <v>..</v>
      </c>
      <c r="BQ1981" s="117">
        <f>VLOOKUP($D1981,'WB Data'!$C$3:$M$578,10,FALSE)</f>
        <v>55.468878048780489</v>
      </c>
      <c r="BR1981" s="117">
        <f>VLOOKUP($D1981,'WB Data'!$C$3:$M$578,11,FALSE)</f>
        <v>60.5</v>
      </c>
      <c r="BS1981" s="129" t="str">
        <f>IFERROR(VLOOKUP($D1981,'WB Data 2'!$C$2:$K$545,9,FALSE),"..")</f>
        <v>..</v>
      </c>
      <c r="BT1981" s="129" t="str">
        <f>_xlfn.IFNA(VLOOKUP($C1981,RGI!$A$2:$C$43,2,FALSE),"..")</f>
        <v>..</v>
      </c>
      <c r="BU1981" s="129" t="str">
        <f>_xlfn.IFNA(VLOOKUP($C1981,RGI!$A$2:$C$43,3,FALSE),"..")</f>
        <v>..</v>
      </c>
      <c r="BV1981" s="129">
        <f>VLOOKUP($D1981,WGI!$C$2:$O$478,7,FALSE)</f>
        <v>-0.99907283724429796</v>
      </c>
      <c r="BW1981" s="129">
        <f>VLOOKUP($D1981,WGI!$C$2:$O$478,4,FALSE)</f>
        <v>-0.20278963276866399</v>
      </c>
      <c r="BX1981" s="129">
        <f>VLOOKUP($D1981,WGI!$C$2:$O$478,3,FALSE)</f>
        <v>-1.3844715678442701</v>
      </c>
      <c r="BY1981" s="129">
        <f>VLOOKUP($D1981,WGI!$C$2:$O$478,5,FALSE)</f>
        <v>-0.874241676894012</v>
      </c>
      <c r="BZ1981" s="129">
        <f>VLOOKUP($D1981,WGI!$C$2:$O$478,2,FALSE)</f>
        <v>-0.96451530468247704</v>
      </c>
      <c r="CB1981" s="129"/>
    </row>
    <row r="1982" spans="1:80" ht="15" customHeight="1">
      <c r="A1982" s="294" t="s">
        <v>521</v>
      </c>
      <c r="B1982" s="214">
        <v>2011</v>
      </c>
      <c r="C1982" s="809" t="s">
        <v>517</v>
      </c>
      <c r="D1982" s="117" t="s">
        <v>3714</v>
      </c>
      <c r="E1982" s="452" t="s">
        <v>86</v>
      </c>
      <c r="F1982" s="117" t="s">
        <v>2331</v>
      </c>
      <c r="G1982" s="117" t="s">
        <v>519</v>
      </c>
      <c r="H1982" s="117" t="str">
        <f t="shared" si="342"/>
        <v>yes</v>
      </c>
      <c r="I1982" s="117" t="str">
        <f t="shared" ref="I1982:I2051" si="346">IF($G1982="Gas","yes",IF($G1982="Oil, Gas, Mining","yes",IF($G1982="Gas, Mining","yes",IF($G1982="Oil, Gas","yes",IF($G1982="Oil, Gas, Other","yes","no")))))</f>
        <v>no</v>
      </c>
      <c r="J1982" s="117" t="str">
        <f t="shared" ref="J1982:J2051" si="347">IF($G1982="Oil","yes",IF($G1982="Oil, Gas, Mining","yes",IF($G1982="Oil, Mining","yes",IF($G1982="Oil, Gas","yes",IF($G1982="Oil, Gas, Other","yes","no")))))</f>
        <v>no</v>
      </c>
      <c r="K1982" s="117" t="s">
        <v>709</v>
      </c>
      <c r="L1982" s="117" t="str">
        <f t="shared" si="343"/>
        <v>Total</v>
      </c>
      <c r="M1982" s="117" t="str">
        <f t="shared" ref="M1982:M2051" si="348">L1982&amp;" "&amp;G1982</f>
        <v>Total Oil, Mining, Other</v>
      </c>
      <c r="N1982" s="179"/>
      <c r="O1982" s="179"/>
      <c r="P1982" s="179"/>
      <c r="Q1982" s="179"/>
      <c r="R1982" s="179"/>
      <c r="S1982" s="117"/>
      <c r="T1982" s="119"/>
      <c r="U1982" s="117"/>
      <c r="V1982" s="117"/>
      <c r="W1982" s="89">
        <f>W1983+W1984+W1992</f>
        <v>1228553530.9457467</v>
      </c>
      <c r="X1982" s="117" t="s">
        <v>998</v>
      </c>
      <c r="Y1982" s="117" t="s">
        <v>602</v>
      </c>
      <c r="Z1982" s="117"/>
      <c r="AA1982" s="286">
        <v>31315792.572000001</v>
      </c>
      <c r="AB1982" s="286">
        <v>31297366.316</v>
      </c>
      <c r="AC1982" s="122"/>
      <c r="AD1982" s="122"/>
      <c r="AE1982" s="122"/>
      <c r="AF1982" s="123">
        <f>AA1982/W1982</f>
        <v>2.5489969938788867E-2</v>
      </c>
      <c r="AG1982" s="117" t="s">
        <v>836</v>
      </c>
      <c r="AH1982" s="124">
        <v>500</v>
      </c>
      <c r="AI1982" s="117" t="s">
        <v>722</v>
      </c>
      <c r="AJ1982" s="117"/>
      <c r="AK1982" s="89"/>
      <c r="AL1982" s="117"/>
      <c r="AM1982" s="117"/>
      <c r="AN1982" s="117">
        <v>25</v>
      </c>
      <c r="AO1982" s="117" t="s">
        <v>2342</v>
      </c>
      <c r="AP1982" s="117">
        <v>25</v>
      </c>
      <c r="AQ1982" s="117" t="s">
        <v>212</v>
      </c>
      <c r="AR1982" s="126">
        <v>41961</v>
      </c>
      <c r="AS1982" s="117" t="s">
        <v>607</v>
      </c>
      <c r="AT1982" s="127" t="s">
        <v>522</v>
      </c>
      <c r="AU1982" s="117" t="s">
        <v>2343</v>
      </c>
      <c r="AV1982" s="128" t="s">
        <v>2344</v>
      </c>
      <c r="AW1982" s="117">
        <f>VLOOKUP($D1982,'WB Data'!$C$3:$M$578,2,FALSE)</f>
        <v>3756023047.7909942</v>
      </c>
      <c r="AX1982" s="117">
        <f>VLOOKUP($D1982,'WB Data'!$C$3:$M$578,3,FALSE)</f>
        <v>6472304</v>
      </c>
      <c r="AY1982" s="847">
        <f t="shared" si="335"/>
        <v>8.3374867974831939E-3</v>
      </c>
      <c r="AZ1982" s="117">
        <f>VLOOKUP($D1982,'WB Data'!$C$3:$M$578,4,FALSE)/100</f>
        <v>0.17865082320547976</v>
      </c>
      <c r="BA1982" s="117">
        <f t="shared" si="336"/>
        <v>671016609.46661615</v>
      </c>
      <c r="BB1982" s="129">
        <f>IFERROR(VLOOKUP($D1982,'EITI Revenues'!$C$2:$G$224,5,FALSE),"..")</f>
        <v>31315792.572000001</v>
      </c>
      <c r="BC1982" s="846">
        <f t="shared" si="337"/>
        <v>4.6669176485650013E-2</v>
      </c>
      <c r="BD1982" s="129">
        <f>VLOOKUP($D1982,'WB Data 2'!$C$2:$K$545,6,FALSE)</f>
        <v>108937614.38207489</v>
      </c>
      <c r="BE1982" s="129">
        <f>IFERROR(VLOOKUP($D1982,UNCTAD!$C$5:$V$529,4,FALSE),"..")</f>
        <v>2191499853</v>
      </c>
      <c r="BF1982" s="846">
        <f t="shared" si="338"/>
        <v>4.9709158881734543E-2</v>
      </c>
      <c r="BG1982" s="117">
        <f>VLOOKUP($D1982,'WB Data'!$C$3:$M$578,5,FALSE)</f>
        <v>542730000</v>
      </c>
      <c r="BH1982" s="129">
        <f>IFERROR($BB1982/$BG1982,"..")</f>
        <v>5.7700500381405118E-2</v>
      </c>
      <c r="BI1982" s="117">
        <f>IFERROR(VLOOKUP($D1982,'WB Data'!$C$3:$M$578,7,FALSE)/100,"..")</f>
        <v>4.5216300000000001E-2</v>
      </c>
      <c r="BJ1982" s="117">
        <f>IFERROR($BI1982*$AW1982,"..")</f>
        <v>169833464.93583193</v>
      </c>
      <c r="BK1982" s="846">
        <f>IFERROR($BB1982/$BJ1982,"..")</f>
        <v>0.18439117746218053</v>
      </c>
      <c r="BL1982" s="117">
        <f>IFERROR(VLOOKUP($D1982,'WB Data'!$C$3:$M$578,7,FALSE)/100,"..")</f>
        <v>4.5216300000000001E-2</v>
      </c>
      <c r="BM1982" s="117">
        <f>IFERROR($AW1982*$BL1982,"..")</f>
        <v>169833464.93583193</v>
      </c>
      <c r="BN1982" s="846">
        <f>IFERROR($BB1982/$BM1982,"..")</f>
        <v>0.18439117746218053</v>
      </c>
      <c r="BO1982" s="801">
        <f t="shared" si="334"/>
        <v>29</v>
      </c>
      <c r="BP1982" s="117">
        <f>VLOOKUP($D1982,'WB Data'!$C$3:$M$578,9,FALSE)</f>
        <v>58.7</v>
      </c>
      <c r="BQ1982" s="117">
        <f>VLOOKUP($D1982,'WB Data'!$C$3:$M$578,10,FALSE)</f>
        <v>55.807658536585372</v>
      </c>
      <c r="BR1982" s="117">
        <f>VLOOKUP($D1982,'WB Data'!$C$3:$M$578,11,FALSE)</f>
        <v>59</v>
      </c>
      <c r="BS1982" s="129" t="str">
        <f>IFERROR(VLOOKUP($D1982,'WB Data 2'!$C$2:$K$545,9,FALSE),"..")</f>
        <v>..</v>
      </c>
      <c r="BT1982" s="129" t="str">
        <f>_xlfn.IFNA(VLOOKUP($C1982,RGI!$A$2:$C$43,2,FALSE),"..")</f>
        <v>..</v>
      </c>
      <c r="BU1982" s="129" t="str">
        <f>_xlfn.IFNA(VLOOKUP($C1982,RGI!$A$2:$C$43,3,FALSE),"..")</f>
        <v>..</v>
      </c>
      <c r="BV1982" s="129">
        <f>VLOOKUP($D1982,WGI!$C$2:$O$478,7,FALSE)</f>
        <v>-0.92203205644345998</v>
      </c>
      <c r="BW1982" s="129">
        <f>VLOOKUP($D1982,WGI!$C$2:$O$478,4,FALSE)</f>
        <v>-0.18110286192476599</v>
      </c>
      <c r="BX1982" s="129">
        <f>VLOOKUP($D1982,WGI!$C$2:$O$478,3,FALSE)</f>
        <v>-1.3621682253898799</v>
      </c>
      <c r="BY1982" s="129">
        <f>VLOOKUP($D1982,WGI!$C$2:$O$478,5,FALSE)</f>
        <v>-0.99553748560149802</v>
      </c>
      <c r="BZ1982" s="129">
        <f>VLOOKUP($D1982,WGI!$C$2:$O$478,2,FALSE)</f>
        <v>-0.97452272002412099</v>
      </c>
    </row>
    <row r="1983" spans="1:80" ht="15" customHeight="1">
      <c r="A1983" s="294" t="s">
        <v>521</v>
      </c>
      <c r="B1983" s="214">
        <v>2011</v>
      </c>
      <c r="C1983" s="809" t="s">
        <v>517</v>
      </c>
      <c r="D1983" s="117" t="s">
        <v>3714</v>
      </c>
      <c r="E1983" s="452" t="s">
        <v>86</v>
      </c>
      <c r="F1983" s="117"/>
      <c r="G1983" s="117" t="s">
        <v>103</v>
      </c>
      <c r="H1983" s="117" t="str">
        <f t="shared" si="342"/>
        <v>no</v>
      </c>
      <c r="I1983" s="117" t="str">
        <f t="shared" si="346"/>
        <v>no</v>
      </c>
      <c r="J1983" s="117" t="str">
        <f t="shared" si="347"/>
        <v>yes</v>
      </c>
      <c r="K1983" s="117" t="s">
        <v>103</v>
      </c>
      <c r="L1983" s="117" t="str">
        <f t="shared" si="343"/>
        <v>detailed</v>
      </c>
      <c r="M1983" s="117" t="str">
        <f t="shared" si="348"/>
        <v>detailed Oil</v>
      </c>
      <c r="N1983" s="179">
        <v>0</v>
      </c>
      <c r="O1983" s="179"/>
      <c r="P1983" s="179"/>
      <c r="Q1983" s="179"/>
      <c r="R1983" s="179"/>
      <c r="S1983" s="117" t="s">
        <v>646</v>
      </c>
      <c r="T1983" s="119"/>
      <c r="U1983" s="117"/>
      <c r="V1983" s="117" t="s">
        <v>2219</v>
      </c>
      <c r="W1983" s="89">
        <f>N1983*T1983</f>
        <v>0</v>
      </c>
      <c r="X1983" s="117"/>
      <c r="Y1983" s="117"/>
      <c r="Z1983" s="117"/>
      <c r="AA1983" s="177"/>
      <c r="AB1983" s="177"/>
      <c r="AC1983" s="122"/>
      <c r="AD1983" s="122"/>
      <c r="AE1983" s="122"/>
      <c r="AF1983" s="123"/>
      <c r="AG1983" s="117"/>
      <c r="AH1983" s="124"/>
      <c r="AI1983" s="117"/>
      <c r="AJ1983" s="117"/>
      <c r="AK1983" s="89"/>
      <c r="AL1983" s="117"/>
      <c r="AM1983" s="117"/>
      <c r="AN1983" s="117"/>
      <c r="AO1983" s="117"/>
      <c r="AP1983" s="117"/>
      <c r="AQ1983" s="117"/>
      <c r="AR1983" s="126"/>
      <c r="AS1983" s="117"/>
      <c r="AT1983" s="117"/>
      <c r="AU1983" s="117"/>
      <c r="AV1983" s="128"/>
      <c r="AW1983" s="117">
        <f>VLOOKUP($D1983,'WB Data'!$C$3:$M$578,2,FALSE)</f>
        <v>3756023047.7909942</v>
      </c>
      <c r="AX1983" s="117">
        <f>VLOOKUP($D1983,'WB Data'!$C$3:$M$578,3,FALSE)</f>
        <v>6472304</v>
      </c>
      <c r="AY1983" s="847">
        <f t="shared" si="335"/>
        <v>8.3374867974831939E-3</v>
      </c>
      <c r="AZ1983" s="117">
        <f>VLOOKUP($D1983,'WB Data'!$C$3:$M$578,4,FALSE)/100</f>
        <v>0.17865082320547976</v>
      </c>
      <c r="BA1983" s="117">
        <f t="shared" si="336"/>
        <v>671016609.46661615</v>
      </c>
      <c r="BB1983" s="129">
        <f>IFERROR(VLOOKUP($D1983,'EITI Revenues'!$C$2:$G$224,5,FALSE),"..")</f>
        <v>31315792.572000001</v>
      </c>
      <c r="BC1983" s="846">
        <f t="shared" si="337"/>
        <v>4.6669176485650013E-2</v>
      </c>
      <c r="BD1983" s="129">
        <f>VLOOKUP($D1983,'WB Data 2'!$C$2:$K$545,6,FALSE)</f>
        <v>108937614.38207489</v>
      </c>
      <c r="BE1983" s="129">
        <f>IFERROR(VLOOKUP($D1983,UNCTAD!$C$5:$V$529,4,FALSE),"..")</f>
        <v>2191499853</v>
      </c>
      <c r="BF1983" s="846">
        <f t="shared" si="338"/>
        <v>4.9709158881734543E-2</v>
      </c>
      <c r="BG1983" s="117">
        <f>VLOOKUP($D1983,'WB Data'!$C$3:$M$578,5,FALSE)</f>
        <v>542730000</v>
      </c>
      <c r="BH1983" s="129">
        <f>IFERROR($BB1983/$BG1983,"..")</f>
        <v>5.7700500381405118E-2</v>
      </c>
      <c r="BI1983" s="117">
        <f>IFERROR(VLOOKUP($D1983,'WB Data'!$C$3:$M$578,7,FALSE)/100,"..")</f>
        <v>4.5216300000000001E-2</v>
      </c>
      <c r="BJ1983" s="117">
        <f>IFERROR($BI1983*$AW1983,"..")</f>
        <v>169833464.93583193</v>
      </c>
      <c r="BK1983" s="846">
        <f>IFERROR($BB1983/$BJ1983,"..")</f>
        <v>0.18439117746218053</v>
      </c>
      <c r="BL1983" s="117">
        <f>IFERROR(VLOOKUP($D1983,'WB Data'!$C$3:$M$578,7,FALSE)/100,"..")</f>
        <v>4.5216300000000001E-2</v>
      </c>
      <c r="BM1983" s="117">
        <f>IFERROR($AW1983*$BL1983,"..")</f>
        <v>169833464.93583193</v>
      </c>
      <c r="BN1983" s="846">
        <f>IFERROR($BB1983/$BM1983,"..")</f>
        <v>0.18439117746218053</v>
      </c>
      <c r="BO1983" s="801">
        <f t="shared" si="334"/>
        <v>29</v>
      </c>
      <c r="BP1983" s="117">
        <f>VLOOKUP($D1983,'WB Data'!$C$3:$M$578,9,FALSE)</f>
        <v>58.7</v>
      </c>
      <c r="BQ1983" s="117">
        <f>VLOOKUP($D1983,'WB Data'!$C$3:$M$578,10,FALSE)</f>
        <v>55.807658536585372</v>
      </c>
      <c r="BR1983" s="117">
        <f>VLOOKUP($D1983,'WB Data'!$C$3:$M$578,11,FALSE)</f>
        <v>59</v>
      </c>
      <c r="BS1983" s="129" t="str">
        <f>IFERROR(VLOOKUP($D1983,'WB Data 2'!$C$2:$K$545,9,FALSE),"..")</f>
        <v>..</v>
      </c>
      <c r="BT1983" s="129" t="str">
        <f>_xlfn.IFNA(VLOOKUP($C1983,RGI!$A$2:$C$43,2,FALSE),"..")</f>
        <v>..</v>
      </c>
      <c r="BU1983" s="129" t="str">
        <f>_xlfn.IFNA(VLOOKUP($C1983,RGI!$A$2:$C$43,3,FALSE),"..")</f>
        <v>..</v>
      </c>
      <c r="BV1983" s="129">
        <f>VLOOKUP($D1983,WGI!$C$2:$O$478,7,FALSE)</f>
        <v>-0.92203205644345998</v>
      </c>
      <c r="BW1983" s="129">
        <f>VLOOKUP($D1983,WGI!$C$2:$O$478,4,FALSE)</f>
        <v>-0.18110286192476599</v>
      </c>
      <c r="BX1983" s="129">
        <f>VLOOKUP($D1983,WGI!$C$2:$O$478,3,FALSE)</f>
        <v>-1.3621682253898799</v>
      </c>
      <c r="BY1983" s="129">
        <f>VLOOKUP($D1983,WGI!$C$2:$O$478,5,FALSE)</f>
        <v>-0.99553748560149802</v>
      </c>
      <c r="BZ1983" s="129">
        <f>VLOOKUP($D1983,WGI!$C$2:$O$478,2,FALSE)</f>
        <v>-0.97452272002412099</v>
      </c>
    </row>
    <row r="1984" spans="1:80" ht="15" customHeight="1">
      <c r="A1984" s="294" t="s">
        <v>521</v>
      </c>
      <c r="B1984" s="214">
        <v>2011</v>
      </c>
      <c r="C1984" s="809" t="s">
        <v>517</v>
      </c>
      <c r="D1984" s="117" t="s">
        <v>3714</v>
      </c>
      <c r="E1984" s="452" t="s">
        <v>86</v>
      </c>
      <c r="F1984" s="117"/>
      <c r="G1984" s="117" t="s">
        <v>24</v>
      </c>
      <c r="H1984" s="117" t="str">
        <f t="shared" si="342"/>
        <v>yes</v>
      </c>
      <c r="I1984" s="117" t="str">
        <f t="shared" si="346"/>
        <v>no</v>
      </c>
      <c r="J1984" s="117" t="str">
        <f t="shared" si="347"/>
        <v>no</v>
      </c>
      <c r="K1984" s="117" t="s">
        <v>600</v>
      </c>
      <c r="L1984" s="117" t="str">
        <f t="shared" si="343"/>
        <v>Total</v>
      </c>
      <c r="M1984" s="117" t="str">
        <f t="shared" si="348"/>
        <v>Total Mining</v>
      </c>
      <c r="N1984" s="179"/>
      <c r="O1984" s="179"/>
      <c r="P1984" s="179"/>
      <c r="Q1984" s="179"/>
      <c r="R1984" s="179"/>
      <c r="S1984" s="117"/>
      <c r="T1984" s="119"/>
      <c r="U1984" s="117"/>
      <c r="V1984" s="117"/>
      <c r="W1984" s="89">
        <f>SUM(W1985:W1991)</f>
        <v>1228553530.9457467</v>
      </c>
      <c r="X1984" s="117"/>
      <c r="Y1984" s="117"/>
      <c r="Z1984" s="117"/>
      <c r="AA1984" s="177"/>
      <c r="AB1984" s="177"/>
      <c r="AC1984" s="122"/>
      <c r="AD1984" s="122"/>
      <c r="AE1984" s="122"/>
      <c r="AF1984" s="123"/>
      <c r="AG1984" s="117"/>
      <c r="AH1984" s="124"/>
      <c r="AI1984" s="117"/>
      <c r="AJ1984" s="117"/>
      <c r="AK1984" s="89"/>
      <c r="AL1984" s="117"/>
      <c r="AM1984" s="117"/>
      <c r="AN1984" s="117"/>
      <c r="AO1984" s="117"/>
      <c r="AP1984" s="117"/>
      <c r="AQ1984" s="117"/>
      <c r="AR1984" s="126"/>
      <c r="AS1984" s="117"/>
      <c r="AT1984" s="117"/>
      <c r="AU1984" s="117"/>
      <c r="AV1984" s="128"/>
      <c r="AW1984" s="117">
        <f>VLOOKUP($D1984,'WB Data'!$C$3:$M$578,2,FALSE)</f>
        <v>3756023047.7909942</v>
      </c>
      <c r="AX1984" s="117">
        <f>VLOOKUP($D1984,'WB Data'!$C$3:$M$578,3,FALSE)</f>
        <v>6472304</v>
      </c>
      <c r="AY1984" s="847">
        <f t="shared" si="335"/>
        <v>8.3374867974831939E-3</v>
      </c>
      <c r="AZ1984" s="117">
        <f>VLOOKUP($D1984,'WB Data'!$C$3:$M$578,4,FALSE)/100</f>
        <v>0.17865082320547976</v>
      </c>
      <c r="BA1984" s="117">
        <f t="shared" si="336"/>
        <v>671016609.46661615</v>
      </c>
      <c r="BB1984" s="129">
        <f>IFERROR(VLOOKUP($D1984,'EITI Revenues'!$C$2:$G$224,5,FALSE),"..")</f>
        <v>31315792.572000001</v>
      </c>
      <c r="BC1984" s="846">
        <f t="shared" si="337"/>
        <v>4.6669176485650013E-2</v>
      </c>
      <c r="BD1984" s="129">
        <f>VLOOKUP($D1984,'WB Data 2'!$C$2:$K$545,6,FALSE)</f>
        <v>108937614.38207489</v>
      </c>
      <c r="BE1984" s="129">
        <f>IFERROR(VLOOKUP($D1984,UNCTAD!$C$5:$V$529,4,FALSE),"..")</f>
        <v>2191499853</v>
      </c>
      <c r="BF1984" s="846">
        <f t="shared" si="338"/>
        <v>4.9709158881734543E-2</v>
      </c>
      <c r="BG1984" s="117">
        <f>VLOOKUP($D1984,'WB Data'!$C$3:$M$578,5,FALSE)</f>
        <v>542730000</v>
      </c>
      <c r="BH1984" s="129">
        <f>IFERROR($BB1984/$BG1984,"..")</f>
        <v>5.7700500381405118E-2</v>
      </c>
      <c r="BI1984" s="117">
        <f>IFERROR(VLOOKUP($D1984,'WB Data'!$C$3:$M$578,7,FALSE)/100,"..")</f>
        <v>4.5216300000000001E-2</v>
      </c>
      <c r="BJ1984" s="117">
        <f>IFERROR($BI1984*$AW1984,"..")</f>
        <v>169833464.93583193</v>
      </c>
      <c r="BK1984" s="846">
        <f>IFERROR($BB1984/$BJ1984,"..")</f>
        <v>0.18439117746218053</v>
      </c>
      <c r="BL1984" s="117">
        <f>IFERROR(VLOOKUP($D1984,'WB Data'!$C$3:$M$578,7,FALSE)/100,"..")</f>
        <v>4.5216300000000001E-2</v>
      </c>
      <c r="BM1984" s="117">
        <f>IFERROR($AW1984*$BL1984,"..")</f>
        <v>169833464.93583193</v>
      </c>
      <c r="BN1984" s="846">
        <f>IFERROR($BB1984/$BM1984,"..")</f>
        <v>0.18439117746218053</v>
      </c>
      <c r="BO1984" s="801">
        <f t="shared" si="334"/>
        <v>29</v>
      </c>
      <c r="BP1984" s="117">
        <f>VLOOKUP($D1984,'WB Data'!$C$3:$M$578,9,FALSE)</f>
        <v>58.7</v>
      </c>
      <c r="BQ1984" s="117">
        <f>VLOOKUP($D1984,'WB Data'!$C$3:$M$578,10,FALSE)</f>
        <v>55.807658536585372</v>
      </c>
      <c r="BR1984" s="117">
        <f>VLOOKUP($D1984,'WB Data'!$C$3:$M$578,11,FALSE)</f>
        <v>59</v>
      </c>
      <c r="BS1984" s="129" t="str">
        <f>IFERROR(VLOOKUP($D1984,'WB Data 2'!$C$2:$K$545,9,FALSE),"..")</f>
        <v>..</v>
      </c>
      <c r="BT1984" s="129" t="str">
        <f>_xlfn.IFNA(VLOOKUP($C1984,RGI!$A$2:$C$43,2,FALSE),"..")</f>
        <v>..</v>
      </c>
      <c r="BU1984" s="129" t="str">
        <f>_xlfn.IFNA(VLOOKUP($C1984,RGI!$A$2:$C$43,3,FALSE),"..")</f>
        <v>..</v>
      </c>
      <c r="BV1984" s="129">
        <f>VLOOKUP($D1984,WGI!$C$2:$O$478,7,FALSE)</f>
        <v>-0.92203205644345998</v>
      </c>
      <c r="BW1984" s="129">
        <f>VLOOKUP($D1984,WGI!$C$2:$O$478,4,FALSE)</f>
        <v>-0.18110286192476599</v>
      </c>
      <c r="BX1984" s="129">
        <f>VLOOKUP($D1984,WGI!$C$2:$O$478,3,FALSE)</f>
        <v>-1.3621682253898799</v>
      </c>
      <c r="BY1984" s="129">
        <f>VLOOKUP($D1984,WGI!$C$2:$O$478,5,FALSE)</f>
        <v>-0.99553748560149802</v>
      </c>
      <c r="BZ1984" s="129">
        <f>VLOOKUP($D1984,WGI!$C$2:$O$478,2,FALSE)</f>
        <v>-0.97452272002412099</v>
      </c>
    </row>
    <row r="1985" spans="1:80" ht="15" customHeight="1">
      <c r="A1985" s="294" t="s">
        <v>521</v>
      </c>
      <c r="B1985" s="214">
        <v>2011</v>
      </c>
      <c r="C1985" s="809" t="s">
        <v>517</v>
      </c>
      <c r="D1985" s="117" t="s">
        <v>3714</v>
      </c>
      <c r="E1985" s="452" t="s">
        <v>86</v>
      </c>
      <c r="F1985" s="117"/>
      <c r="G1985" s="117" t="s">
        <v>24</v>
      </c>
      <c r="H1985" s="117" t="str">
        <f t="shared" si="342"/>
        <v>yes</v>
      </c>
      <c r="I1985" s="117" t="str">
        <f t="shared" si="346"/>
        <v>no</v>
      </c>
      <c r="J1985" s="117" t="str">
        <f t="shared" si="347"/>
        <v>no</v>
      </c>
      <c r="K1985" s="117" t="s">
        <v>2345</v>
      </c>
      <c r="L1985" s="117" t="str">
        <f t="shared" si="343"/>
        <v>detailed</v>
      </c>
      <c r="M1985" s="117" t="str">
        <f t="shared" si="348"/>
        <v>detailed Mining</v>
      </c>
      <c r="N1985" s="179">
        <v>2360606</v>
      </c>
      <c r="O1985" s="179"/>
      <c r="P1985" s="179"/>
      <c r="Q1985" s="179"/>
      <c r="R1985" s="179"/>
      <c r="S1985" s="117" t="s">
        <v>610</v>
      </c>
      <c r="T1985" s="119">
        <v>89.5</v>
      </c>
      <c r="U1985" s="117" t="s">
        <v>611</v>
      </c>
      <c r="V1985" s="117" t="s">
        <v>1217</v>
      </c>
      <c r="W1985" s="89">
        <f t="shared" ref="W1985:W1992" si="349">N1985*T1985</f>
        <v>211274237</v>
      </c>
      <c r="X1985" s="117"/>
      <c r="Y1985" s="117"/>
      <c r="Z1985" s="117"/>
      <c r="AA1985" s="177"/>
      <c r="AB1985" s="177"/>
      <c r="AC1985" s="122"/>
      <c r="AD1985" s="122"/>
      <c r="AE1985" s="122"/>
      <c r="AF1985" s="123"/>
      <c r="AG1985" s="117"/>
      <c r="AH1985" s="124"/>
      <c r="AI1985" s="117"/>
      <c r="AJ1985" s="117"/>
      <c r="AK1985" s="89"/>
      <c r="AL1985" s="117"/>
      <c r="AM1985" s="117"/>
      <c r="AN1985" s="117"/>
      <c r="AO1985" s="117"/>
      <c r="AP1985" s="117"/>
      <c r="AQ1985" s="117"/>
      <c r="AR1985" s="126"/>
      <c r="AS1985" s="117"/>
      <c r="AT1985" s="117"/>
      <c r="AU1985" s="117"/>
      <c r="AV1985" s="128"/>
      <c r="AW1985" s="117">
        <f>VLOOKUP($D1985,'WB Data'!$C$3:$M$578,2,FALSE)</f>
        <v>3756023047.7909942</v>
      </c>
      <c r="AX1985" s="117">
        <f>VLOOKUP($D1985,'WB Data'!$C$3:$M$578,3,FALSE)</f>
        <v>6472304</v>
      </c>
      <c r="AY1985" s="847">
        <f t="shared" si="335"/>
        <v>8.3374867974831939E-3</v>
      </c>
      <c r="AZ1985" s="117">
        <f>VLOOKUP($D1985,'WB Data'!$C$3:$M$578,4,FALSE)/100</f>
        <v>0.17865082320547976</v>
      </c>
      <c r="BA1985" s="117">
        <f t="shared" si="336"/>
        <v>671016609.46661615</v>
      </c>
      <c r="BB1985" s="129">
        <f>IFERROR(VLOOKUP($D1985,'EITI Revenues'!$C$2:$G$224,5,FALSE),"..")</f>
        <v>31315792.572000001</v>
      </c>
      <c r="BC1985" s="846">
        <f t="shared" si="337"/>
        <v>4.6669176485650013E-2</v>
      </c>
      <c r="BD1985" s="129">
        <f>VLOOKUP($D1985,'WB Data 2'!$C$2:$K$545,6,FALSE)</f>
        <v>108937614.38207489</v>
      </c>
      <c r="BE1985" s="129">
        <f>IFERROR(VLOOKUP($D1985,UNCTAD!$C$5:$V$529,4,FALSE),"..")</f>
        <v>2191499853</v>
      </c>
      <c r="BF1985" s="846">
        <f t="shared" si="338"/>
        <v>4.9709158881734543E-2</v>
      </c>
      <c r="BG1985" s="117">
        <f>VLOOKUP($D1985,'WB Data'!$C$3:$M$578,5,FALSE)</f>
        <v>542730000</v>
      </c>
      <c r="BH1985" s="129">
        <f>IFERROR($BB1985/$BG1985,"..")</f>
        <v>5.7700500381405118E-2</v>
      </c>
      <c r="BI1985" s="117">
        <f>IFERROR(VLOOKUP($D1985,'WB Data'!$C$3:$M$578,7,FALSE)/100,"..")</f>
        <v>4.5216300000000001E-2</v>
      </c>
      <c r="BJ1985" s="117">
        <f>IFERROR($BI1985*$AW1985,"..")</f>
        <v>169833464.93583193</v>
      </c>
      <c r="BK1985" s="846">
        <f>IFERROR($BB1985/$BJ1985,"..")</f>
        <v>0.18439117746218053</v>
      </c>
      <c r="BL1985" s="117">
        <f>IFERROR(VLOOKUP($D1985,'WB Data'!$C$3:$M$578,7,FALSE)/100,"..")</f>
        <v>4.5216300000000001E-2</v>
      </c>
      <c r="BM1985" s="117">
        <f>IFERROR($AW1985*$BL1985,"..")</f>
        <v>169833464.93583193</v>
      </c>
      <c r="BN1985" s="846">
        <f>IFERROR($BB1985/$BM1985,"..")</f>
        <v>0.18439117746218053</v>
      </c>
      <c r="BO1985" s="801">
        <f t="shared" si="334"/>
        <v>29</v>
      </c>
      <c r="BP1985" s="117">
        <f>VLOOKUP($D1985,'WB Data'!$C$3:$M$578,9,FALSE)</f>
        <v>58.7</v>
      </c>
      <c r="BQ1985" s="117">
        <f>VLOOKUP($D1985,'WB Data'!$C$3:$M$578,10,FALSE)</f>
        <v>55.807658536585372</v>
      </c>
      <c r="BR1985" s="117">
        <f>VLOOKUP($D1985,'WB Data'!$C$3:$M$578,11,FALSE)</f>
        <v>59</v>
      </c>
      <c r="BS1985" s="129" t="str">
        <f>IFERROR(VLOOKUP($D1985,'WB Data 2'!$C$2:$K$545,9,FALSE),"..")</f>
        <v>..</v>
      </c>
      <c r="BT1985" s="129" t="str">
        <f>_xlfn.IFNA(VLOOKUP($C1985,RGI!$A$2:$C$43,2,FALSE),"..")</f>
        <v>..</v>
      </c>
      <c r="BU1985" s="129" t="str">
        <f>_xlfn.IFNA(VLOOKUP($C1985,RGI!$A$2:$C$43,3,FALSE),"..")</f>
        <v>..</v>
      </c>
      <c r="BV1985" s="129">
        <f>VLOOKUP($D1985,WGI!$C$2:$O$478,7,FALSE)</f>
        <v>-0.92203205644345998</v>
      </c>
      <c r="BW1985" s="129">
        <f>VLOOKUP($D1985,WGI!$C$2:$O$478,4,FALSE)</f>
        <v>-0.18110286192476599</v>
      </c>
      <c r="BX1985" s="129">
        <f>VLOOKUP($D1985,WGI!$C$2:$O$478,3,FALSE)</f>
        <v>-1.3621682253898799</v>
      </c>
      <c r="BY1985" s="129">
        <f>VLOOKUP($D1985,WGI!$C$2:$O$478,5,FALSE)</f>
        <v>-0.99553748560149802</v>
      </c>
      <c r="BZ1985" s="129">
        <f>VLOOKUP($D1985,WGI!$C$2:$O$478,2,FALSE)</f>
        <v>-0.97452272002412099</v>
      </c>
    </row>
    <row r="1986" spans="1:80" ht="15" customHeight="1">
      <c r="A1986" s="294" t="s">
        <v>521</v>
      </c>
      <c r="B1986" s="214">
        <v>2011</v>
      </c>
      <c r="C1986" s="809" t="s">
        <v>517</v>
      </c>
      <c r="D1986" s="117" t="s">
        <v>3714</v>
      </c>
      <c r="E1986" s="452" t="s">
        <v>86</v>
      </c>
      <c r="F1986" s="117"/>
      <c r="G1986" s="117" t="s">
        <v>24</v>
      </c>
      <c r="H1986" s="117" t="str">
        <f t="shared" si="342"/>
        <v>yes</v>
      </c>
      <c r="I1986" s="117" t="str">
        <f t="shared" si="346"/>
        <v>no</v>
      </c>
      <c r="J1986" s="117" t="str">
        <f t="shared" si="347"/>
        <v>no</v>
      </c>
      <c r="K1986" s="117" t="s">
        <v>980</v>
      </c>
      <c r="L1986" s="117" t="str">
        <f t="shared" si="343"/>
        <v>detailed</v>
      </c>
      <c r="M1986" s="117" t="str">
        <f t="shared" si="348"/>
        <v>detailed Mining</v>
      </c>
      <c r="N1986" s="179">
        <v>71</v>
      </c>
      <c r="O1986" s="179"/>
      <c r="P1986" s="179"/>
      <c r="Q1986" s="179"/>
      <c r="R1986" s="179"/>
      <c r="S1986" s="117" t="s">
        <v>981</v>
      </c>
      <c r="T1986" s="119">
        <v>210.9</v>
      </c>
      <c r="U1986" s="117" t="s">
        <v>982</v>
      </c>
      <c r="V1986" s="117" t="s">
        <v>2346</v>
      </c>
      <c r="W1986" s="89">
        <f t="shared" si="349"/>
        <v>14973.9</v>
      </c>
      <c r="X1986" s="117"/>
      <c r="Y1986" s="117"/>
      <c r="Z1986" s="117"/>
      <c r="AA1986" s="177"/>
      <c r="AB1986" s="177"/>
      <c r="AC1986" s="122"/>
      <c r="AD1986" s="122"/>
      <c r="AE1986" s="122"/>
      <c r="AF1986" s="123"/>
      <c r="AG1986" s="117"/>
      <c r="AH1986" s="124"/>
      <c r="AI1986" s="117"/>
      <c r="AJ1986" s="117"/>
      <c r="AK1986" s="89"/>
      <c r="AL1986" s="117"/>
      <c r="AM1986" s="117"/>
      <c r="AN1986" s="117"/>
      <c r="AO1986" s="117"/>
      <c r="AP1986" s="117"/>
      <c r="AQ1986" s="117"/>
      <c r="AR1986" s="126"/>
      <c r="AS1986" s="117"/>
      <c r="AT1986" s="117"/>
      <c r="AU1986" s="117"/>
      <c r="AV1986" s="128"/>
      <c r="AW1986" s="117">
        <f>VLOOKUP($D1986,'WB Data'!$C$3:$M$578,2,FALSE)</f>
        <v>3756023047.7909942</v>
      </c>
      <c r="AX1986" s="117">
        <f>VLOOKUP($D1986,'WB Data'!$C$3:$M$578,3,FALSE)</f>
        <v>6472304</v>
      </c>
      <c r="AY1986" s="847">
        <f t="shared" si="335"/>
        <v>8.3374867974831939E-3</v>
      </c>
      <c r="AZ1986" s="117">
        <f>VLOOKUP($D1986,'WB Data'!$C$3:$M$578,4,FALSE)/100</f>
        <v>0.17865082320547976</v>
      </c>
      <c r="BA1986" s="117">
        <f t="shared" si="336"/>
        <v>671016609.46661615</v>
      </c>
      <c r="BB1986" s="129">
        <f>IFERROR(VLOOKUP($D1986,'EITI Revenues'!$C$2:$G$224,5,FALSE),"..")</f>
        <v>31315792.572000001</v>
      </c>
      <c r="BC1986" s="846">
        <f t="shared" si="337"/>
        <v>4.6669176485650013E-2</v>
      </c>
      <c r="BD1986" s="129">
        <f>VLOOKUP($D1986,'WB Data 2'!$C$2:$K$545,6,FALSE)</f>
        <v>108937614.38207489</v>
      </c>
      <c r="BE1986" s="129">
        <f>IFERROR(VLOOKUP($D1986,UNCTAD!$C$5:$V$529,4,FALSE),"..")</f>
        <v>2191499853</v>
      </c>
      <c r="BF1986" s="846">
        <f t="shared" si="338"/>
        <v>4.9709158881734543E-2</v>
      </c>
      <c r="BG1986" s="117">
        <f>VLOOKUP($D1986,'WB Data'!$C$3:$M$578,5,FALSE)</f>
        <v>542730000</v>
      </c>
      <c r="BH1986" s="129">
        <f>IFERROR($BB1986/$BG1986,"..")</f>
        <v>5.7700500381405118E-2</v>
      </c>
      <c r="BI1986" s="117">
        <f>IFERROR(VLOOKUP($D1986,'WB Data'!$C$3:$M$578,7,FALSE)/100,"..")</f>
        <v>4.5216300000000001E-2</v>
      </c>
      <c r="BJ1986" s="117">
        <f>IFERROR($BI1986*$AW1986,"..")</f>
        <v>169833464.93583193</v>
      </c>
      <c r="BK1986" s="846">
        <f>IFERROR($BB1986/$BJ1986,"..")</f>
        <v>0.18439117746218053</v>
      </c>
      <c r="BL1986" s="117">
        <f>IFERROR(VLOOKUP($D1986,'WB Data'!$C$3:$M$578,7,FALSE)/100,"..")</f>
        <v>4.5216300000000001E-2</v>
      </c>
      <c r="BM1986" s="117">
        <f>IFERROR($AW1986*$BL1986,"..")</f>
        <v>169833464.93583193</v>
      </c>
      <c r="BN1986" s="846">
        <f>IFERROR($BB1986/$BM1986,"..")</f>
        <v>0.18439117746218053</v>
      </c>
      <c r="BO1986" s="801">
        <f t="shared" ref="BO1986:BO2049" si="350">_xlfn.IFNA(VLOOKUP($C1986,CPI_2013,2,FALSE),"..")</f>
        <v>29</v>
      </c>
      <c r="BP1986" s="117">
        <f>VLOOKUP($D1986,'WB Data'!$C$3:$M$578,9,FALSE)</f>
        <v>58.7</v>
      </c>
      <c r="BQ1986" s="117">
        <f>VLOOKUP($D1986,'WB Data'!$C$3:$M$578,10,FALSE)</f>
        <v>55.807658536585372</v>
      </c>
      <c r="BR1986" s="117">
        <f>VLOOKUP($D1986,'WB Data'!$C$3:$M$578,11,FALSE)</f>
        <v>59</v>
      </c>
      <c r="BS1986" s="129" t="str">
        <f>IFERROR(VLOOKUP($D1986,'WB Data 2'!$C$2:$K$545,9,FALSE),"..")</f>
        <v>..</v>
      </c>
      <c r="BT1986" s="129" t="str">
        <f>_xlfn.IFNA(VLOOKUP($C1986,RGI!$A$2:$C$43,2,FALSE),"..")</f>
        <v>..</v>
      </c>
      <c r="BU1986" s="129" t="str">
        <f>_xlfn.IFNA(VLOOKUP($C1986,RGI!$A$2:$C$43,3,FALSE),"..")</f>
        <v>..</v>
      </c>
      <c r="BV1986" s="129">
        <f>VLOOKUP($D1986,WGI!$C$2:$O$478,7,FALSE)</f>
        <v>-0.92203205644345998</v>
      </c>
      <c r="BW1986" s="129">
        <f>VLOOKUP($D1986,WGI!$C$2:$O$478,4,FALSE)</f>
        <v>-0.18110286192476599</v>
      </c>
      <c r="BX1986" s="129">
        <f>VLOOKUP($D1986,WGI!$C$2:$O$478,3,FALSE)</f>
        <v>-1.3621682253898799</v>
      </c>
      <c r="BY1986" s="129">
        <f>VLOOKUP($D1986,WGI!$C$2:$O$478,5,FALSE)</f>
        <v>-0.99553748560149802</v>
      </c>
      <c r="BZ1986" s="129">
        <f>VLOOKUP($D1986,WGI!$C$2:$O$478,2,FALSE)</f>
        <v>-0.97452272002412099</v>
      </c>
    </row>
    <row r="1987" spans="1:80" ht="15" customHeight="1">
      <c r="A1987" s="294" t="s">
        <v>521</v>
      </c>
      <c r="B1987" s="214">
        <v>2011</v>
      </c>
      <c r="C1987" s="809" t="s">
        <v>517</v>
      </c>
      <c r="D1987" s="117" t="s">
        <v>3714</v>
      </c>
      <c r="E1987" s="452" t="s">
        <v>86</v>
      </c>
      <c r="F1987" s="117"/>
      <c r="G1987" s="117" t="s">
        <v>24</v>
      </c>
      <c r="H1987" s="117" t="str">
        <f t="shared" si="342"/>
        <v>yes</v>
      </c>
      <c r="I1987" s="117" t="str">
        <f t="shared" si="346"/>
        <v>no</v>
      </c>
      <c r="J1987" s="117" t="str">
        <f t="shared" si="347"/>
        <v>no</v>
      </c>
      <c r="K1987" s="117" t="s">
        <v>784</v>
      </c>
      <c r="L1987" s="117" t="str">
        <f t="shared" si="343"/>
        <v>detailed</v>
      </c>
      <c r="M1987" s="117" t="str">
        <f t="shared" si="348"/>
        <v>detailed Mining</v>
      </c>
      <c r="N1987" s="179">
        <f>16469*32.1507431265</f>
        <v>529490.58855032839</v>
      </c>
      <c r="O1987" s="179"/>
      <c r="P1987" s="179"/>
      <c r="Q1987" s="179"/>
      <c r="R1987" s="179"/>
      <c r="S1987" s="117" t="s">
        <v>785</v>
      </c>
      <c r="T1987" s="119">
        <v>1569.2108333333299</v>
      </c>
      <c r="U1987" s="117" t="s">
        <v>786</v>
      </c>
      <c r="V1987" s="117" t="s">
        <v>787</v>
      </c>
      <c r="W1987" s="89">
        <f t="shared" si="349"/>
        <v>830882367.7012161</v>
      </c>
      <c r="X1987" s="117"/>
      <c r="Y1987" s="117"/>
      <c r="Z1987" s="117"/>
      <c r="AA1987" s="177"/>
      <c r="AB1987" s="177"/>
      <c r="AC1987" s="122"/>
      <c r="AD1987" s="122"/>
      <c r="AE1987" s="122"/>
      <c r="AF1987" s="123"/>
      <c r="AG1987" s="117"/>
      <c r="AH1987" s="124"/>
      <c r="AI1987" s="117"/>
      <c r="AJ1987" s="117"/>
      <c r="AK1987" s="89"/>
      <c r="AL1987" s="117"/>
      <c r="AM1987" s="117"/>
      <c r="AN1987" s="117"/>
      <c r="AO1987" s="117"/>
      <c r="AP1987" s="117"/>
      <c r="AQ1987" s="117"/>
      <c r="AR1987" s="126"/>
      <c r="AS1987" s="117"/>
      <c r="AT1987" s="117"/>
      <c r="AU1987" s="117"/>
      <c r="AV1987" s="128"/>
      <c r="AW1987" s="117">
        <f>VLOOKUP($D1987,'WB Data'!$C$3:$M$578,2,FALSE)</f>
        <v>3756023047.7909942</v>
      </c>
      <c r="AX1987" s="117">
        <f>VLOOKUP($D1987,'WB Data'!$C$3:$M$578,3,FALSE)</f>
        <v>6472304</v>
      </c>
      <c r="AY1987" s="847">
        <f t="shared" ref="AY1987:AY2050" si="351">IFERROR($BB1987/$AW1987,"..")</f>
        <v>8.3374867974831939E-3</v>
      </c>
      <c r="AZ1987" s="117">
        <f>VLOOKUP($D1987,'WB Data'!$C$3:$M$578,4,FALSE)/100</f>
        <v>0.17865082320547976</v>
      </c>
      <c r="BA1987" s="117">
        <f t="shared" ref="BA1987:BA2050" si="352">IFERROR($AW1987*$AZ1987,"..")</f>
        <v>671016609.46661615</v>
      </c>
      <c r="BB1987" s="129">
        <f>IFERROR(VLOOKUP($D1987,'EITI Revenues'!$C$2:$G$224,5,FALSE),"..")</f>
        <v>31315792.572000001</v>
      </c>
      <c r="BC1987" s="846">
        <f t="shared" ref="BC1987:BC2050" si="353">IFERROR($BB1987/$BA1987,"..")</f>
        <v>4.6669176485650013E-2</v>
      </c>
      <c r="BD1987" s="129">
        <f>VLOOKUP($D1987,'WB Data 2'!$C$2:$K$545,6,FALSE)</f>
        <v>108937614.38207489</v>
      </c>
      <c r="BE1987" s="129">
        <f>IFERROR(VLOOKUP($D1987,UNCTAD!$C$5:$V$529,4,FALSE),"..")</f>
        <v>2191499853</v>
      </c>
      <c r="BF1987" s="846">
        <f t="shared" ref="BF1987:BF2050" si="354">IFERROR(($BD1987/$BE1987),"..")</f>
        <v>4.9709158881734543E-2</v>
      </c>
      <c r="BG1987" s="117">
        <f>VLOOKUP($D1987,'WB Data'!$C$3:$M$578,5,FALSE)</f>
        <v>542730000</v>
      </c>
      <c r="BH1987" s="129">
        <f>IFERROR($BB1987/$BG1987,"..")</f>
        <v>5.7700500381405118E-2</v>
      </c>
      <c r="BI1987" s="117">
        <f>IFERROR(VLOOKUP($D1987,'WB Data'!$C$3:$M$578,7,FALSE)/100,"..")</f>
        <v>4.5216300000000001E-2</v>
      </c>
      <c r="BJ1987" s="117">
        <f>IFERROR($BI1987*$AW1987,"..")</f>
        <v>169833464.93583193</v>
      </c>
      <c r="BK1987" s="846">
        <f>IFERROR($BB1987/$BJ1987,"..")</f>
        <v>0.18439117746218053</v>
      </c>
      <c r="BL1987" s="117">
        <f>IFERROR(VLOOKUP($D1987,'WB Data'!$C$3:$M$578,7,FALSE)/100,"..")</f>
        <v>4.5216300000000001E-2</v>
      </c>
      <c r="BM1987" s="117">
        <f>IFERROR($AW1987*$BL1987,"..")</f>
        <v>169833464.93583193</v>
      </c>
      <c r="BN1987" s="846">
        <f>IFERROR($BB1987/$BM1987,"..")</f>
        <v>0.18439117746218053</v>
      </c>
      <c r="BO1987" s="801">
        <f t="shared" si="350"/>
        <v>29</v>
      </c>
      <c r="BP1987" s="117">
        <f>VLOOKUP($D1987,'WB Data'!$C$3:$M$578,9,FALSE)</f>
        <v>58.7</v>
      </c>
      <c r="BQ1987" s="117">
        <f>VLOOKUP($D1987,'WB Data'!$C$3:$M$578,10,FALSE)</f>
        <v>55.807658536585372</v>
      </c>
      <c r="BR1987" s="117">
        <f>VLOOKUP($D1987,'WB Data'!$C$3:$M$578,11,FALSE)</f>
        <v>59</v>
      </c>
      <c r="BS1987" s="129" t="str">
        <f>IFERROR(VLOOKUP($D1987,'WB Data 2'!$C$2:$K$545,9,FALSE),"..")</f>
        <v>..</v>
      </c>
      <c r="BT1987" s="129" t="str">
        <f>_xlfn.IFNA(VLOOKUP($C1987,RGI!$A$2:$C$43,2,FALSE),"..")</f>
        <v>..</v>
      </c>
      <c r="BU1987" s="129" t="str">
        <f>_xlfn.IFNA(VLOOKUP($C1987,RGI!$A$2:$C$43,3,FALSE),"..")</f>
        <v>..</v>
      </c>
      <c r="BV1987" s="129">
        <f>VLOOKUP($D1987,WGI!$C$2:$O$478,7,FALSE)</f>
        <v>-0.92203205644345998</v>
      </c>
      <c r="BW1987" s="129">
        <f>VLOOKUP($D1987,WGI!$C$2:$O$478,4,FALSE)</f>
        <v>-0.18110286192476599</v>
      </c>
      <c r="BX1987" s="129">
        <f>VLOOKUP($D1987,WGI!$C$2:$O$478,3,FALSE)</f>
        <v>-1.3621682253898799</v>
      </c>
      <c r="BY1987" s="129">
        <f>VLOOKUP($D1987,WGI!$C$2:$O$478,5,FALSE)</f>
        <v>-0.99553748560149802</v>
      </c>
      <c r="BZ1987" s="129">
        <f>VLOOKUP($D1987,WGI!$C$2:$O$478,2,FALSE)</f>
        <v>-0.97452272002412099</v>
      </c>
    </row>
    <row r="1988" spans="1:80" s="158" customFormat="1" ht="15" customHeight="1">
      <c r="A1988" s="295" t="s">
        <v>516</v>
      </c>
      <c r="B1988" s="218">
        <v>2010</v>
      </c>
      <c r="C1988" s="810" t="s">
        <v>517</v>
      </c>
      <c r="D1988" s="117" t="s">
        <v>3680</v>
      </c>
      <c r="E1988" s="453" t="s">
        <v>86</v>
      </c>
      <c r="F1988" s="149"/>
      <c r="G1988" s="149" t="s">
        <v>24</v>
      </c>
      <c r="H1988" s="117" t="str">
        <f t="shared" si="342"/>
        <v>yes</v>
      </c>
      <c r="I1988" s="117" t="str">
        <f t="shared" si="346"/>
        <v>no</v>
      </c>
      <c r="J1988" s="117" t="str">
        <f t="shared" si="347"/>
        <v>no</v>
      </c>
      <c r="K1988" s="149" t="s">
        <v>2337</v>
      </c>
      <c r="L1988" s="117" t="str">
        <f t="shared" si="343"/>
        <v>detailed</v>
      </c>
      <c r="M1988" s="117" t="str">
        <f t="shared" si="348"/>
        <v>detailed Mining</v>
      </c>
      <c r="N1988" s="216">
        <f>173469*1.52</f>
        <v>263672.88</v>
      </c>
      <c r="O1988" s="216"/>
      <c r="P1988" s="216">
        <f>173469*1.52</f>
        <v>263672.88</v>
      </c>
      <c r="Q1988" s="216"/>
      <c r="R1988" s="216"/>
      <c r="S1988" s="149" t="s">
        <v>610</v>
      </c>
      <c r="T1988" s="151">
        <v>7.49</v>
      </c>
      <c r="U1988" s="149" t="s">
        <v>611</v>
      </c>
      <c r="V1988" s="149" t="s">
        <v>2347</v>
      </c>
      <c r="W1988" s="152">
        <f t="shared" si="349"/>
        <v>1974909.8712000002</v>
      </c>
      <c r="X1988" s="149"/>
      <c r="Y1988" s="149"/>
      <c r="Z1988" s="149"/>
      <c r="AA1988" s="284"/>
      <c r="AB1988" s="284"/>
      <c r="AC1988" s="154"/>
      <c r="AD1988" s="154"/>
      <c r="AE1988" s="154"/>
      <c r="AF1988" s="155"/>
      <c r="AG1988" s="149"/>
      <c r="AH1988" s="156"/>
      <c r="AI1988" s="149"/>
      <c r="AJ1988" s="149"/>
      <c r="AK1988" s="152"/>
      <c r="AL1988" s="149"/>
      <c r="AM1988" s="149"/>
      <c r="AN1988" s="149"/>
      <c r="AO1988" s="149"/>
      <c r="AP1988" s="149"/>
      <c r="AQ1988" s="149"/>
      <c r="AR1988" s="220"/>
      <c r="AS1988" s="149"/>
      <c r="AT1988" s="149"/>
      <c r="AU1988" s="149"/>
      <c r="AV1988" s="157" t="s">
        <v>2339</v>
      </c>
      <c r="AW1988" s="117">
        <f>VLOOKUP($D1988,'WB Data'!$C$3:$M$578,2,FALSE)</f>
        <v>3172945506.3569741</v>
      </c>
      <c r="AX1988" s="117">
        <f>VLOOKUP($D1988,'WB Data'!$C$3:$M$578,3,FALSE)</f>
        <v>6306014</v>
      </c>
      <c r="AY1988" s="847">
        <f t="shared" si="351"/>
        <v>1.8950442207720609E-2</v>
      </c>
      <c r="AZ1988" s="117">
        <f>VLOOKUP($D1988,'WB Data'!$C$3:$M$578,4,FALSE)/100</f>
        <v>0.17443958814676802</v>
      </c>
      <c r="BA1988" s="117">
        <f t="shared" si="352"/>
        <v>553487307.34104884</v>
      </c>
      <c r="BB1988" s="129">
        <f>IFERROR(VLOOKUP($D1988,'EITI Revenues'!$C$2:$G$224,5,FALSE),"..")</f>
        <v>60128720.446464643</v>
      </c>
      <c r="BC1988" s="846">
        <f t="shared" si="353"/>
        <v>0.10863613248029627</v>
      </c>
      <c r="BD1988" s="129">
        <f>VLOOKUP($D1988,'WB Data 2'!$C$2:$K$545,6,FALSE)</f>
        <v>106006296.18588103</v>
      </c>
      <c r="BE1988" s="129">
        <f>IFERROR(VLOOKUP($D1988,UNCTAD!$C$5:$V$529,4,FALSE),"..")</f>
        <v>1296380000</v>
      </c>
      <c r="BF1988" s="846">
        <f t="shared" si="354"/>
        <v>8.1771005558463589E-2</v>
      </c>
      <c r="BG1988" s="117">
        <f>VLOOKUP($D1988,'WB Data'!$C$3:$M$578,5,FALSE)</f>
        <v>404040000</v>
      </c>
      <c r="BH1988" s="129">
        <f>IFERROR($BB1988/$BG1988,"..")</f>
        <v>0.14881873192373191</v>
      </c>
      <c r="BI1988" s="117">
        <f>IFERROR(VLOOKUP($D1988,'WB Data'!$C$3:$M$578,7,FALSE)/100,"..")</f>
        <v>4.4231999999999994E-2</v>
      </c>
      <c r="BJ1988" s="117">
        <f>IFERROR($BI1988*$AW1988,"..")</f>
        <v>140345725.63718167</v>
      </c>
      <c r="BK1988" s="846">
        <f>IFERROR($BB1988/$BJ1988,"..")</f>
        <v>0.42843285873848369</v>
      </c>
      <c r="BL1988" s="117">
        <f>IFERROR(VLOOKUP($D1988,'WB Data'!$C$3:$M$578,7,FALSE)/100,"..")</f>
        <v>4.4231999999999994E-2</v>
      </c>
      <c r="BM1988" s="117">
        <f>IFERROR($AW1988*$BL1988,"..")</f>
        <v>140345725.63718167</v>
      </c>
      <c r="BN1988" s="846">
        <f>IFERROR($BB1988/$BM1988,"..")</f>
        <v>0.42843285873848369</v>
      </c>
      <c r="BO1988" s="801">
        <f t="shared" si="350"/>
        <v>29</v>
      </c>
      <c r="BP1988" s="117" t="str">
        <f>VLOOKUP($D1988,'WB Data'!$C$3:$M$578,9,FALSE)</f>
        <v>..</v>
      </c>
      <c r="BQ1988" s="117">
        <f>VLOOKUP($D1988,'WB Data'!$C$3:$M$578,10,FALSE)</f>
        <v>55.468878048780489</v>
      </c>
      <c r="BR1988" s="117">
        <f>VLOOKUP($D1988,'WB Data'!$C$3:$M$578,11,FALSE)</f>
        <v>60.5</v>
      </c>
      <c r="BS1988" s="129" t="str">
        <f>IFERROR(VLOOKUP($D1988,'WB Data 2'!$C$2:$K$545,9,FALSE),"..")</f>
        <v>..</v>
      </c>
      <c r="BT1988" s="129" t="str">
        <f>_xlfn.IFNA(VLOOKUP($C1988,RGI!$A$2:$C$43,2,FALSE),"..")</f>
        <v>..</v>
      </c>
      <c r="BU1988" s="129" t="str">
        <f>_xlfn.IFNA(VLOOKUP($C1988,RGI!$A$2:$C$43,3,FALSE),"..")</f>
        <v>..</v>
      </c>
      <c r="BV1988" s="129">
        <f>VLOOKUP($D1988,WGI!$C$2:$O$478,7,FALSE)</f>
        <v>-0.99907283724429796</v>
      </c>
      <c r="BW1988" s="129">
        <f>VLOOKUP($D1988,WGI!$C$2:$O$478,4,FALSE)</f>
        <v>-0.20278963276866399</v>
      </c>
      <c r="BX1988" s="129">
        <f>VLOOKUP($D1988,WGI!$C$2:$O$478,3,FALSE)</f>
        <v>-1.3844715678442701</v>
      </c>
      <c r="BY1988" s="129">
        <f>VLOOKUP($D1988,WGI!$C$2:$O$478,5,FALSE)</f>
        <v>-0.874241676894012</v>
      </c>
      <c r="BZ1988" s="129">
        <f>VLOOKUP($D1988,WGI!$C$2:$O$478,2,FALSE)</f>
        <v>-0.96451530468247704</v>
      </c>
      <c r="CB1988" s="129"/>
    </row>
    <row r="1989" spans="1:80" ht="15" customHeight="1">
      <c r="A1989" s="294" t="s">
        <v>521</v>
      </c>
      <c r="B1989" s="214">
        <v>2011</v>
      </c>
      <c r="C1989" s="809" t="s">
        <v>517</v>
      </c>
      <c r="D1989" s="117" t="s">
        <v>3714</v>
      </c>
      <c r="E1989" s="452" t="s">
        <v>86</v>
      </c>
      <c r="F1989" s="117"/>
      <c r="G1989" s="117" t="s">
        <v>24</v>
      </c>
      <c r="H1989" s="117" t="str">
        <f t="shared" si="342"/>
        <v>yes</v>
      </c>
      <c r="I1989" s="117" t="str">
        <f t="shared" si="346"/>
        <v>no</v>
      </c>
      <c r="J1989" s="117" t="str">
        <f t="shared" si="347"/>
        <v>no</v>
      </c>
      <c r="K1989" s="117" t="s">
        <v>1228</v>
      </c>
      <c r="L1989" s="117" t="str">
        <f t="shared" si="343"/>
        <v>detailed</v>
      </c>
      <c r="M1989" s="117" t="str">
        <f t="shared" si="348"/>
        <v>detailed Mining</v>
      </c>
      <c r="N1989" s="179">
        <v>40912</v>
      </c>
      <c r="O1989" s="179"/>
      <c r="P1989" s="179"/>
      <c r="Q1989" s="179"/>
      <c r="R1989" s="179"/>
      <c r="S1989" s="117" t="s">
        <v>610</v>
      </c>
      <c r="T1989" s="119">
        <v>167.75416666666999</v>
      </c>
      <c r="U1989" s="117" t="s">
        <v>611</v>
      </c>
      <c r="V1989" s="117"/>
      <c r="W1989" s="89">
        <f t="shared" si="349"/>
        <v>6863158.4666668028</v>
      </c>
      <c r="X1989" s="117"/>
      <c r="Y1989" s="117"/>
      <c r="Z1989" s="117"/>
      <c r="AA1989" s="177"/>
      <c r="AB1989" s="177"/>
      <c r="AC1989" s="122"/>
      <c r="AD1989" s="122"/>
      <c r="AE1989" s="122"/>
      <c r="AF1989" s="123"/>
      <c r="AG1989" s="117"/>
      <c r="AH1989" s="124"/>
      <c r="AI1989" s="117"/>
      <c r="AJ1989" s="117"/>
      <c r="AK1989" s="89"/>
      <c r="AL1989" s="117"/>
      <c r="AM1989" s="117"/>
      <c r="AN1989" s="117"/>
      <c r="AO1989" s="117"/>
      <c r="AP1989" s="117"/>
      <c r="AQ1989" s="117"/>
      <c r="AR1989" s="126"/>
      <c r="AS1989" s="117"/>
      <c r="AT1989" s="117"/>
      <c r="AU1989" s="117"/>
      <c r="AV1989" s="128"/>
      <c r="AW1989" s="117">
        <f>VLOOKUP($D1989,'WB Data'!$C$3:$M$578,2,FALSE)</f>
        <v>3756023047.7909942</v>
      </c>
      <c r="AX1989" s="117">
        <f>VLOOKUP($D1989,'WB Data'!$C$3:$M$578,3,FALSE)</f>
        <v>6472304</v>
      </c>
      <c r="AY1989" s="847">
        <f t="shared" si="351"/>
        <v>8.3374867974831939E-3</v>
      </c>
      <c r="AZ1989" s="117">
        <f>VLOOKUP($D1989,'WB Data'!$C$3:$M$578,4,FALSE)/100</f>
        <v>0.17865082320547976</v>
      </c>
      <c r="BA1989" s="117">
        <f t="shared" si="352"/>
        <v>671016609.46661615</v>
      </c>
      <c r="BB1989" s="129">
        <f>IFERROR(VLOOKUP($D1989,'EITI Revenues'!$C$2:$G$224,5,FALSE),"..")</f>
        <v>31315792.572000001</v>
      </c>
      <c r="BC1989" s="846">
        <f t="shared" si="353"/>
        <v>4.6669176485650013E-2</v>
      </c>
      <c r="BD1989" s="129">
        <f>VLOOKUP($D1989,'WB Data 2'!$C$2:$K$545,6,FALSE)</f>
        <v>108937614.38207489</v>
      </c>
      <c r="BE1989" s="129">
        <f>IFERROR(VLOOKUP($D1989,UNCTAD!$C$5:$V$529,4,FALSE),"..")</f>
        <v>2191499853</v>
      </c>
      <c r="BF1989" s="846">
        <f t="shared" si="354"/>
        <v>4.9709158881734543E-2</v>
      </c>
      <c r="BG1989" s="117">
        <f>VLOOKUP($D1989,'WB Data'!$C$3:$M$578,5,FALSE)</f>
        <v>542730000</v>
      </c>
      <c r="BH1989" s="129">
        <f>IFERROR($BB1989/$BG1989,"..")</f>
        <v>5.7700500381405118E-2</v>
      </c>
      <c r="BI1989" s="117">
        <f>IFERROR(VLOOKUP($D1989,'WB Data'!$C$3:$M$578,7,FALSE)/100,"..")</f>
        <v>4.5216300000000001E-2</v>
      </c>
      <c r="BJ1989" s="117">
        <f>IFERROR($BI1989*$AW1989,"..")</f>
        <v>169833464.93583193</v>
      </c>
      <c r="BK1989" s="846">
        <f>IFERROR($BB1989/$BJ1989,"..")</f>
        <v>0.18439117746218053</v>
      </c>
      <c r="BL1989" s="117">
        <f>IFERROR(VLOOKUP($D1989,'WB Data'!$C$3:$M$578,7,FALSE)/100,"..")</f>
        <v>4.5216300000000001E-2</v>
      </c>
      <c r="BM1989" s="117">
        <f>IFERROR($AW1989*$BL1989,"..")</f>
        <v>169833464.93583193</v>
      </c>
      <c r="BN1989" s="846">
        <f>IFERROR($BB1989/$BM1989,"..")</f>
        <v>0.18439117746218053</v>
      </c>
      <c r="BO1989" s="801">
        <f t="shared" si="350"/>
        <v>29</v>
      </c>
      <c r="BP1989" s="117">
        <f>VLOOKUP($D1989,'WB Data'!$C$3:$M$578,9,FALSE)</f>
        <v>58.7</v>
      </c>
      <c r="BQ1989" s="117">
        <f>VLOOKUP($D1989,'WB Data'!$C$3:$M$578,10,FALSE)</f>
        <v>55.807658536585372</v>
      </c>
      <c r="BR1989" s="117">
        <f>VLOOKUP($D1989,'WB Data'!$C$3:$M$578,11,FALSE)</f>
        <v>59</v>
      </c>
      <c r="BS1989" s="129" t="str">
        <f>IFERROR(VLOOKUP($D1989,'WB Data 2'!$C$2:$K$545,9,FALSE),"..")</f>
        <v>..</v>
      </c>
      <c r="BT1989" s="129" t="str">
        <f>_xlfn.IFNA(VLOOKUP($C1989,RGI!$A$2:$C$43,2,FALSE),"..")</f>
        <v>..</v>
      </c>
      <c r="BU1989" s="129" t="str">
        <f>_xlfn.IFNA(VLOOKUP($C1989,RGI!$A$2:$C$43,3,FALSE),"..")</f>
        <v>..</v>
      </c>
      <c r="BV1989" s="129">
        <f>VLOOKUP($D1989,WGI!$C$2:$O$478,7,FALSE)</f>
        <v>-0.92203205644345998</v>
      </c>
      <c r="BW1989" s="129">
        <f>VLOOKUP($D1989,WGI!$C$2:$O$478,4,FALSE)</f>
        <v>-0.18110286192476599</v>
      </c>
      <c r="BX1989" s="129">
        <f>VLOOKUP($D1989,WGI!$C$2:$O$478,3,FALSE)</f>
        <v>-1.3621682253898799</v>
      </c>
      <c r="BY1989" s="129">
        <f>VLOOKUP($D1989,WGI!$C$2:$O$478,5,FALSE)</f>
        <v>-0.99553748560149802</v>
      </c>
      <c r="BZ1989" s="129">
        <f>VLOOKUP($D1989,WGI!$C$2:$O$478,2,FALSE)</f>
        <v>-0.97452272002412099</v>
      </c>
    </row>
    <row r="1990" spans="1:80" ht="15" customHeight="1">
      <c r="A1990" s="294" t="s">
        <v>521</v>
      </c>
      <c r="B1990" s="214">
        <v>2011</v>
      </c>
      <c r="C1990" s="809" t="s">
        <v>517</v>
      </c>
      <c r="D1990" s="117" t="s">
        <v>3714</v>
      </c>
      <c r="E1990" s="452" t="s">
        <v>86</v>
      </c>
      <c r="F1990" s="117"/>
      <c r="G1990" s="117" t="s">
        <v>24</v>
      </c>
      <c r="H1990" s="117" t="str">
        <f t="shared" si="342"/>
        <v>yes</v>
      </c>
      <c r="I1990" s="117" t="str">
        <f t="shared" si="346"/>
        <v>no</v>
      </c>
      <c r="J1990" s="117" t="str">
        <f t="shared" si="347"/>
        <v>no</v>
      </c>
      <c r="K1990" s="117" t="s">
        <v>703</v>
      </c>
      <c r="L1990" s="117" t="str">
        <f t="shared" si="343"/>
        <v>detailed</v>
      </c>
      <c r="M1990" s="117" t="str">
        <f t="shared" si="348"/>
        <v>detailed Mining</v>
      </c>
      <c r="N1990" s="179">
        <v>1923189</v>
      </c>
      <c r="O1990" s="179"/>
      <c r="P1990" s="179"/>
      <c r="Q1990" s="179"/>
      <c r="R1990" s="179"/>
      <c r="S1990" s="117" t="s">
        <v>610</v>
      </c>
      <c r="T1990" s="119">
        <v>9.06</v>
      </c>
      <c r="U1990" s="117" t="s">
        <v>611</v>
      </c>
      <c r="V1990" s="117" t="s">
        <v>1917</v>
      </c>
      <c r="W1990" s="89">
        <f t="shared" si="349"/>
        <v>17424092.34</v>
      </c>
      <c r="X1990" s="117"/>
      <c r="Y1990" s="117"/>
      <c r="Z1990" s="117"/>
      <c r="AA1990" s="177"/>
      <c r="AB1990" s="177"/>
      <c r="AC1990" s="122"/>
      <c r="AD1990" s="122"/>
      <c r="AE1990" s="122"/>
      <c r="AF1990" s="123"/>
      <c r="AG1990" s="117"/>
      <c r="AH1990" s="124"/>
      <c r="AI1990" s="117"/>
      <c r="AJ1990" s="117"/>
      <c r="AK1990" s="89"/>
      <c r="AL1990" s="117"/>
      <c r="AM1990" s="117"/>
      <c r="AN1990" s="117"/>
      <c r="AO1990" s="117"/>
      <c r="AP1990" s="117"/>
      <c r="AQ1990" s="117"/>
      <c r="AR1990" s="126"/>
      <c r="AS1990" s="117"/>
      <c r="AT1990" s="117"/>
      <c r="AU1990" s="117"/>
      <c r="AV1990" s="128"/>
      <c r="AW1990" s="117">
        <f>VLOOKUP($D1990,'WB Data'!$C$3:$M$578,2,FALSE)</f>
        <v>3756023047.7909942</v>
      </c>
      <c r="AX1990" s="117">
        <f>VLOOKUP($D1990,'WB Data'!$C$3:$M$578,3,FALSE)</f>
        <v>6472304</v>
      </c>
      <c r="AY1990" s="847">
        <f t="shared" si="351"/>
        <v>8.3374867974831939E-3</v>
      </c>
      <c r="AZ1990" s="117">
        <f>VLOOKUP($D1990,'WB Data'!$C$3:$M$578,4,FALSE)/100</f>
        <v>0.17865082320547976</v>
      </c>
      <c r="BA1990" s="117">
        <f t="shared" si="352"/>
        <v>671016609.46661615</v>
      </c>
      <c r="BB1990" s="129">
        <f>IFERROR(VLOOKUP($D1990,'EITI Revenues'!$C$2:$G$224,5,FALSE),"..")</f>
        <v>31315792.572000001</v>
      </c>
      <c r="BC1990" s="846">
        <f t="shared" si="353"/>
        <v>4.6669176485650013E-2</v>
      </c>
      <c r="BD1990" s="129">
        <f>VLOOKUP($D1990,'WB Data 2'!$C$2:$K$545,6,FALSE)</f>
        <v>108937614.38207489</v>
      </c>
      <c r="BE1990" s="129">
        <f>IFERROR(VLOOKUP($D1990,UNCTAD!$C$5:$V$529,4,FALSE),"..")</f>
        <v>2191499853</v>
      </c>
      <c r="BF1990" s="846">
        <f t="shared" si="354"/>
        <v>4.9709158881734543E-2</v>
      </c>
      <c r="BG1990" s="117">
        <f>VLOOKUP($D1990,'WB Data'!$C$3:$M$578,5,FALSE)</f>
        <v>542730000</v>
      </c>
      <c r="BH1990" s="129">
        <f>IFERROR($BB1990/$BG1990,"..")</f>
        <v>5.7700500381405118E-2</v>
      </c>
      <c r="BI1990" s="117">
        <f>IFERROR(VLOOKUP($D1990,'WB Data'!$C$3:$M$578,7,FALSE)/100,"..")</f>
        <v>4.5216300000000001E-2</v>
      </c>
      <c r="BJ1990" s="117">
        <f>IFERROR($BI1990*$AW1990,"..")</f>
        <v>169833464.93583193</v>
      </c>
      <c r="BK1990" s="846">
        <f>IFERROR($BB1990/$BJ1990,"..")</f>
        <v>0.18439117746218053</v>
      </c>
      <c r="BL1990" s="117">
        <f>IFERROR(VLOOKUP($D1990,'WB Data'!$C$3:$M$578,7,FALSE)/100,"..")</f>
        <v>4.5216300000000001E-2</v>
      </c>
      <c r="BM1990" s="117">
        <f>IFERROR($AW1990*$BL1990,"..")</f>
        <v>169833464.93583193</v>
      </c>
      <c r="BN1990" s="846">
        <f>IFERROR($BB1990/$BM1990,"..")</f>
        <v>0.18439117746218053</v>
      </c>
      <c r="BO1990" s="801">
        <f t="shared" si="350"/>
        <v>29</v>
      </c>
      <c r="BP1990" s="117">
        <f>VLOOKUP($D1990,'WB Data'!$C$3:$M$578,9,FALSE)</f>
        <v>58.7</v>
      </c>
      <c r="BQ1990" s="117">
        <f>VLOOKUP($D1990,'WB Data'!$C$3:$M$578,10,FALSE)</f>
        <v>55.807658536585372</v>
      </c>
      <c r="BR1990" s="117">
        <f>VLOOKUP($D1990,'WB Data'!$C$3:$M$578,11,FALSE)</f>
        <v>59</v>
      </c>
      <c r="BS1990" s="129" t="str">
        <f>IFERROR(VLOOKUP($D1990,'WB Data 2'!$C$2:$K$545,9,FALSE),"..")</f>
        <v>..</v>
      </c>
      <c r="BT1990" s="129" t="str">
        <f>_xlfn.IFNA(VLOOKUP($C1990,RGI!$A$2:$C$43,2,FALSE),"..")</f>
        <v>..</v>
      </c>
      <c r="BU1990" s="129" t="str">
        <f>_xlfn.IFNA(VLOOKUP($C1990,RGI!$A$2:$C$43,3,FALSE),"..")</f>
        <v>..</v>
      </c>
      <c r="BV1990" s="129">
        <f>VLOOKUP($D1990,WGI!$C$2:$O$478,7,FALSE)</f>
        <v>-0.92203205644345998</v>
      </c>
      <c r="BW1990" s="129">
        <f>VLOOKUP($D1990,WGI!$C$2:$O$478,4,FALSE)</f>
        <v>-0.18110286192476599</v>
      </c>
      <c r="BX1990" s="129">
        <f>VLOOKUP($D1990,WGI!$C$2:$O$478,3,FALSE)</f>
        <v>-1.3621682253898799</v>
      </c>
      <c r="BY1990" s="129">
        <f>VLOOKUP($D1990,WGI!$C$2:$O$478,5,FALSE)</f>
        <v>-0.99553748560149802</v>
      </c>
      <c r="BZ1990" s="129">
        <f>VLOOKUP($D1990,WGI!$C$2:$O$478,2,FALSE)</f>
        <v>-0.97452272002412099</v>
      </c>
    </row>
    <row r="1991" spans="1:80" ht="15" customHeight="1">
      <c r="A1991" s="294" t="s">
        <v>521</v>
      </c>
      <c r="B1991" s="214">
        <v>2011</v>
      </c>
      <c r="C1991" s="809" t="s">
        <v>517</v>
      </c>
      <c r="D1991" s="117" t="s">
        <v>3714</v>
      </c>
      <c r="E1991" s="452" t="s">
        <v>86</v>
      </c>
      <c r="F1991" s="117"/>
      <c r="G1991" s="117" t="s">
        <v>24</v>
      </c>
      <c r="H1991" s="117" t="str">
        <f t="shared" si="342"/>
        <v>yes</v>
      </c>
      <c r="I1991" s="117" t="str">
        <f t="shared" si="346"/>
        <v>no</v>
      </c>
      <c r="J1991" s="117" t="str">
        <f t="shared" si="347"/>
        <v>no</v>
      </c>
      <c r="K1991" s="117" t="s">
        <v>2340</v>
      </c>
      <c r="L1991" s="117" t="str">
        <f t="shared" si="343"/>
        <v>detailed</v>
      </c>
      <c r="M1991" s="117" t="str">
        <f t="shared" si="348"/>
        <v>detailed Mining</v>
      </c>
      <c r="N1991" s="179">
        <v>866000</v>
      </c>
      <c r="O1991" s="179"/>
      <c r="P1991" s="179"/>
      <c r="Q1991" s="179"/>
      <c r="R1991" s="179"/>
      <c r="S1991" s="117" t="s">
        <v>610</v>
      </c>
      <c r="T1991" s="119">
        <v>184.89583333332999</v>
      </c>
      <c r="U1991" s="117" t="s">
        <v>611</v>
      </c>
      <c r="V1991" s="117" t="s">
        <v>2153</v>
      </c>
      <c r="W1991" s="89">
        <f t="shared" si="349"/>
        <v>160119791.66666377</v>
      </c>
      <c r="X1991" s="117"/>
      <c r="Y1991" s="117"/>
      <c r="Z1991" s="117"/>
      <c r="AA1991" s="177"/>
      <c r="AB1991" s="177"/>
      <c r="AC1991" s="122"/>
      <c r="AD1991" s="122"/>
      <c r="AE1991" s="122"/>
      <c r="AF1991" s="123"/>
      <c r="AG1991" s="117"/>
      <c r="AH1991" s="124"/>
      <c r="AI1991" s="117"/>
      <c r="AJ1991" s="117"/>
      <c r="AK1991" s="89"/>
      <c r="AL1991" s="117"/>
      <c r="AM1991" s="117"/>
      <c r="AN1991" s="117"/>
      <c r="AO1991" s="117"/>
      <c r="AP1991" s="117"/>
      <c r="AQ1991" s="117"/>
      <c r="AR1991" s="126"/>
      <c r="AS1991" s="117"/>
      <c r="AT1991" s="117"/>
      <c r="AU1991" s="117"/>
      <c r="AV1991" s="128"/>
      <c r="AW1991" s="117">
        <f>VLOOKUP($D1991,'WB Data'!$C$3:$M$578,2,FALSE)</f>
        <v>3756023047.7909942</v>
      </c>
      <c r="AX1991" s="117">
        <f>VLOOKUP($D1991,'WB Data'!$C$3:$M$578,3,FALSE)</f>
        <v>6472304</v>
      </c>
      <c r="AY1991" s="847">
        <f t="shared" si="351"/>
        <v>8.3374867974831939E-3</v>
      </c>
      <c r="AZ1991" s="117">
        <f>VLOOKUP($D1991,'WB Data'!$C$3:$M$578,4,FALSE)/100</f>
        <v>0.17865082320547976</v>
      </c>
      <c r="BA1991" s="117">
        <f t="shared" si="352"/>
        <v>671016609.46661615</v>
      </c>
      <c r="BB1991" s="129">
        <f>IFERROR(VLOOKUP($D1991,'EITI Revenues'!$C$2:$G$224,5,FALSE),"..")</f>
        <v>31315792.572000001</v>
      </c>
      <c r="BC1991" s="846">
        <f t="shared" si="353"/>
        <v>4.6669176485650013E-2</v>
      </c>
      <c r="BD1991" s="129">
        <f>VLOOKUP($D1991,'WB Data 2'!$C$2:$K$545,6,FALSE)</f>
        <v>108937614.38207489</v>
      </c>
      <c r="BE1991" s="129">
        <f>IFERROR(VLOOKUP($D1991,UNCTAD!$C$5:$V$529,4,FALSE),"..")</f>
        <v>2191499853</v>
      </c>
      <c r="BF1991" s="846">
        <f t="shared" si="354"/>
        <v>4.9709158881734543E-2</v>
      </c>
      <c r="BG1991" s="117">
        <f>VLOOKUP($D1991,'WB Data'!$C$3:$M$578,5,FALSE)</f>
        <v>542730000</v>
      </c>
      <c r="BH1991" s="129">
        <f>IFERROR($BB1991/$BG1991,"..")</f>
        <v>5.7700500381405118E-2</v>
      </c>
      <c r="BI1991" s="117">
        <f>IFERROR(VLOOKUP($D1991,'WB Data'!$C$3:$M$578,7,FALSE)/100,"..")</f>
        <v>4.5216300000000001E-2</v>
      </c>
      <c r="BJ1991" s="117">
        <f>IFERROR($BI1991*$AW1991,"..")</f>
        <v>169833464.93583193</v>
      </c>
      <c r="BK1991" s="846">
        <f>IFERROR($BB1991/$BJ1991,"..")</f>
        <v>0.18439117746218053</v>
      </c>
      <c r="BL1991" s="117">
        <f>IFERROR(VLOOKUP($D1991,'WB Data'!$C$3:$M$578,7,FALSE)/100,"..")</f>
        <v>4.5216300000000001E-2</v>
      </c>
      <c r="BM1991" s="117">
        <f>IFERROR($AW1991*$BL1991,"..")</f>
        <v>169833464.93583193</v>
      </c>
      <c r="BN1991" s="846">
        <f>IFERROR($BB1991/$BM1991,"..")</f>
        <v>0.18439117746218053</v>
      </c>
      <c r="BO1991" s="801">
        <f t="shared" si="350"/>
        <v>29</v>
      </c>
      <c r="BP1991" s="117">
        <f>VLOOKUP($D1991,'WB Data'!$C$3:$M$578,9,FALSE)</f>
        <v>58.7</v>
      </c>
      <c r="BQ1991" s="117">
        <f>VLOOKUP($D1991,'WB Data'!$C$3:$M$578,10,FALSE)</f>
        <v>55.807658536585372</v>
      </c>
      <c r="BR1991" s="117">
        <f>VLOOKUP($D1991,'WB Data'!$C$3:$M$578,11,FALSE)</f>
        <v>59</v>
      </c>
      <c r="BS1991" s="129" t="str">
        <f>IFERROR(VLOOKUP($D1991,'WB Data 2'!$C$2:$K$545,9,FALSE),"..")</f>
        <v>..</v>
      </c>
      <c r="BT1991" s="129" t="str">
        <f>_xlfn.IFNA(VLOOKUP($C1991,RGI!$A$2:$C$43,2,FALSE),"..")</f>
        <v>..</v>
      </c>
      <c r="BU1991" s="129" t="str">
        <f>_xlfn.IFNA(VLOOKUP($C1991,RGI!$A$2:$C$43,3,FALSE),"..")</f>
        <v>..</v>
      </c>
      <c r="BV1991" s="129">
        <f>VLOOKUP($D1991,WGI!$C$2:$O$478,7,FALSE)</f>
        <v>-0.92203205644345998</v>
      </c>
      <c r="BW1991" s="129">
        <f>VLOOKUP($D1991,WGI!$C$2:$O$478,4,FALSE)</f>
        <v>-0.18110286192476599</v>
      </c>
      <c r="BX1991" s="129">
        <f>VLOOKUP($D1991,WGI!$C$2:$O$478,3,FALSE)</f>
        <v>-1.3621682253898799</v>
      </c>
      <c r="BY1991" s="129">
        <f>VLOOKUP($D1991,WGI!$C$2:$O$478,5,FALSE)</f>
        <v>-0.99553748560149802</v>
      </c>
      <c r="BZ1991" s="129">
        <f>VLOOKUP($D1991,WGI!$C$2:$O$478,2,FALSE)</f>
        <v>-0.97452272002412099</v>
      </c>
    </row>
    <row r="1992" spans="1:80" s="158" customFormat="1" ht="15" customHeight="1">
      <c r="A1992" s="295" t="s">
        <v>521</v>
      </c>
      <c r="B1992" s="218">
        <v>2011</v>
      </c>
      <c r="C1992" s="810" t="s">
        <v>517</v>
      </c>
      <c r="D1992" s="117" t="s">
        <v>3714</v>
      </c>
      <c r="E1992" s="453" t="s">
        <v>86</v>
      </c>
      <c r="F1992" s="149"/>
      <c r="G1992" s="149" t="s">
        <v>1603</v>
      </c>
      <c r="H1992" s="149" t="str">
        <f t="shared" si="342"/>
        <v>no</v>
      </c>
      <c r="I1992" s="149" t="str">
        <f t="shared" si="346"/>
        <v>no</v>
      </c>
      <c r="J1992" s="149" t="str">
        <f t="shared" si="347"/>
        <v>no</v>
      </c>
      <c r="K1992" s="149" t="s">
        <v>2341</v>
      </c>
      <c r="L1992" s="149" t="str">
        <f t="shared" si="343"/>
        <v>detailed</v>
      </c>
      <c r="M1992" s="149" t="str">
        <f t="shared" si="348"/>
        <v>detailed Other</v>
      </c>
      <c r="N1992" s="216"/>
      <c r="O1992" s="216"/>
      <c r="P1992" s="216">
        <v>21463689</v>
      </c>
      <c r="Q1992" s="216"/>
      <c r="R1992" s="216"/>
      <c r="S1992" s="149" t="s">
        <v>642</v>
      </c>
      <c r="T1992" s="151"/>
      <c r="U1992" s="149"/>
      <c r="V1992" s="149"/>
      <c r="W1992" s="152">
        <f t="shared" si="349"/>
        <v>0</v>
      </c>
      <c r="X1992" s="149"/>
      <c r="Y1992" s="149"/>
      <c r="Z1992" s="149"/>
      <c r="AA1992" s="284"/>
      <c r="AB1992" s="284"/>
      <c r="AC1992" s="154"/>
      <c r="AD1992" s="154"/>
      <c r="AE1992" s="154"/>
      <c r="AF1992" s="155"/>
      <c r="AG1992" s="149"/>
      <c r="AH1992" s="156"/>
      <c r="AI1992" s="149"/>
      <c r="AJ1992" s="149"/>
      <c r="AK1992" s="152"/>
      <c r="AL1992" s="149"/>
      <c r="AM1992" s="149"/>
      <c r="AN1992" s="149"/>
      <c r="AO1992" s="149"/>
      <c r="AP1992" s="149"/>
      <c r="AQ1992" s="149"/>
      <c r="AR1992" s="220"/>
      <c r="AS1992" s="149"/>
      <c r="AT1992" s="149"/>
      <c r="AU1992" s="149"/>
      <c r="AV1992" s="157"/>
      <c r="AW1992" s="117">
        <f>VLOOKUP($D1992,'WB Data'!$C$3:$M$578,2,FALSE)</f>
        <v>3756023047.7909942</v>
      </c>
      <c r="AX1992" s="117">
        <f>VLOOKUP($D1992,'WB Data'!$C$3:$M$578,3,FALSE)</f>
        <v>6472304</v>
      </c>
      <c r="AY1992" s="847">
        <f t="shared" si="351"/>
        <v>8.3374867974831939E-3</v>
      </c>
      <c r="AZ1992" s="117">
        <f>VLOOKUP($D1992,'WB Data'!$C$3:$M$578,4,FALSE)/100</f>
        <v>0.17865082320547976</v>
      </c>
      <c r="BA1992" s="117">
        <f t="shared" si="352"/>
        <v>671016609.46661615</v>
      </c>
      <c r="BB1992" s="129">
        <f>IFERROR(VLOOKUP($D1992,'EITI Revenues'!$C$2:$G$224,5,FALSE),"..")</f>
        <v>31315792.572000001</v>
      </c>
      <c r="BC1992" s="846">
        <f t="shared" si="353"/>
        <v>4.6669176485650013E-2</v>
      </c>
      <c r="BD1992" s="129">
        <f>VLOOKUP($D1992,'WB Data 2'!$C$2:$K$545,6,FALSE)</f>
        <v>108937614.38207489</v>
      </c>
      <c r="BE1992" s="129">
        <f>IFERROR(VLOOKUP($D1992,UNCTAD!$C$5:$V$529,4,FALSE),"..")</f>
        <v>2191499853</v>
      </c>
      <c r="BF1992" s="846">
        <f t="shared" si="354"/>
        <v>4.9709158881734543E-2</v>
      </c>
      <c r="BG1992" s="117">
        <f>VLOOKUP($D1992,'WB Data'!$C$3:$M$578,5,FALSE)</f>
        <v>542730000</v>
      </c>
      <c r="BH1992" s="129">
        <f>IFERROR($BB1992/$BG1992,"..")</f>
        <v>5.7700500381405118E-2</v>
      </c>
      <c r="BI1992" s="117">
        <f>IFERROR(VLOOKUP($D1992,'WB Data'!$C$3:$M$578,7,FALSE)/100,"..")</f>
        <v>4.5216300000000001E-2</v>
      </c>
      <c r="BJ1992" s="117">
        <f>IFERROR($BI1992*$AW1992,"..")</f>
        <v>169833464.93583193</v>
      </c>
      <c r="BK1992" s="846">
        <f>IFERROR($BB1992/$BJ1992,"..")</f>
        <v>0.18439117746218053</v>
      </c>
      <c r="BL1992" s="117">
        <f>IFERROR(VLOOKUP($D1992,'WB Data'!$C$3:$M$578,7,FALSE)/100,"..")</f>
        <v>4.5216300000000001E-2</v>
      </c>
      <c r="BM1992" s="117">
        <f>IFERROR($AW1992*$BL1992,"..")</f>
        <v>169833464.93583193</v>
      </c>
      <c r="BN1992" s="846">
        <f>IFERROR($BB1992/$BM1992,"..")</f>
        <v>0.18439117746218053</v>
      </c>
      <c r="BO1992" s="801">
        <f t="shared" si="350"/>
        <v>29</v>
      </c>
      <c r="BP1992" s="117">
        <f>VLOOKUP($D1992,'WB Data'!$C$3:$M$578,9,FALSE)</f>
        <v>58.7</v>
      </c>
      <c r="BQ1992" s="117">
        <f>VLOOKUP($D1992,'WB Data'!$C$3:$M$578,10,FALSE)</f>
        <v>55.807658536585372</v>
      </c>
      <c r="BR1992" s="117">
        <f>VLOOKUP($D1992,'WB Data'!$C$3:$M$578,11,FALSE)</f>
        <v>59</v>
      </c>
      <c r="BS1992" s="129" t="str">
        <f>IFERROR(VLOOKUP($D1992,'WB Data 2'!$C$2:$K$545,9,FALSE),"..")</f>
        <v>..</v>
      </c>
      <c r="BT1992" s="129" t="str">
        <f>_xlfn.IFNA(VLOOKUP($C1992,RGI!$A$2:$C$43,2,FALSE),"..")</f>
        <v>..</v>
      </c>
      <c r="BU1992" s="129" t="str">
        <f>_xlfn.IFNA(VLOOKUP($C1992,RGI!$A$2:$C$43,3,FALSE),"..")</f>
        <v>..</v>
      </c>
      <c r="BV1992" s="129">
        <f>VLOOKUP($D1992,WGI!$C$2:$O$478,7,FALSE)</f>
        <v>-0.92203205644345998</v>
      </c>
      <c r="BW1992" s="129">
        <f>VLOOKUP($D1992,WGI!$C$2:$O$478,4,FALSE)</f>
        <v>-0.18110286192476599</v>
      </c>
      <c r="BX1992" s="129">
        <f>VLOOKUP($D1992,WGI!$C$2:$O$478,3,FALSE)</f>
        <v>-1.3621682253898799</v>
      </c>
      <c r="BY1992" s="129">
        <f>VLOOKUP($D1992,WGI!$C$2:$O$478,5,FALSE)</f>
        <v>-0.99553748560149802</v>
      </c>
      <c r="BZ1992" s="129">
        <f>VLOOKUP($D1992,WGI!$C$2:$O$478,2,FALSE)</f>
        <v>-0.97452272002412099</v>
      </c>
      <c r="CB1992" s="129"/>
    </row>
    <row r="1993" spans="1:80" ht="15" customHeight="1">
      <c r="A1993" s="289" t="s">
        <v>523</v>
      </c>
      <c r="B1993" s="146">
        <v>2012</v>
      </c>
      <c r="C1993" s="146" t="s">
        <v>517</v>
      </c>
      <c r="D1993" s="117" t="s">
        <v>3748</v>
      </c>
      <c r="E1993" s="146" t="s">
        <v>86</v>
      </c>
      <c r="F1993" s="146" t="s">
        <v>2331</v>
      </c>
      <c r="G1993" s="146" t="s">
        <v>24</v>
      </c>
      <c r="H1993" s="146"/>
      <c r="I1993" s="146"/>
      <c r="J1993" s="146"/>
      <c r="K1993" s="146" t="s">
        <v>709</v>
      </c>
      <c r="L1993" s="146"/>
      <c r="M1993" s="146"/>
      <c r="N1993" s="754"/>
      <c r="O1993" s="754"/>
      <c r="P1993" s="754"/>
      <c r="Q1993" s="146"/>
      <c r="R1993" s="754"/>
      <c r="S1993" s="146"/>
      <c r="T1993" s="119"/>
      <c r="U1993" s="146"/>
      <c r="V1993" s="146" t="s">
        <v>725</v>
      </c>
      <c r="W1993" s="760">
        <v>960500000</v>
      </c>
      <c r="X1993" s="146" t="s">
        <v>1111</v>
      </c>
      <c r="Y1993" s="146" t="s">
        <v>602</v>
      </c>
      <c r="Z1993" s="146" t="s">
        <v>664</v>
      </c>
      <c r="AA1993" s="537">
        <v>31681601.940000001</v>
      </c>
      <c r="AB1993" s="620">
        <v>35222626.909999996</v>
      </c>
      <c r="AC1993" s="762">
        <v>0.99</v>
      </c>
      <c r="AD1993" s="760">
        <v>31929509.41</v>
      </c>
      <c r="AE1993" s="756"/>
      <c r="AF1993" s="758">
        <v>0.33239999999999997</v>
      </c>
      <c r="AG1993" s="117" t="s">
        <v>836</v>
      </c>
      <c r="AH1993" s="793">
        <v>497.16</v>
      </c>
      <c r="AI1993" s="146" t="s">
        <v>722</v>
      </c>
      <c r="AJ1993" s="146"/>
      <c r="AK1993" s="760"/>
      <c r="AL1993" s="146"/>
      <c r="AM1993" s="146"/>
      <c r="AN1993" s="146">
        <v>37</v>
      </c>
      <c r="AO1993" s="146" t="s">
        <v>2348</v>
      </c>
      <c r="AP1993" s="146">
        <v>27</v>
      </c>
      <c r="AQ1993" s="239" t="s">
        <v>50</v>
      </c>
      <c r="AR1993" s="146"/>
      <c r="AS1993" s="146" t="s">
        <v>607</v>
      </c>
      <c r="AT1993" s="146" t="s">
        <v>524</v>
      </c>
      <c r="AU1993" s="146"/>
      <c r="AV1993" s="128" t="s">
        <v>2349</v>
      </c>
      <c r="AW1993" s="117">
        <f>VLOOKUP($D1993,'WB Data'!$C$3:$M$578,2,FALSE)</f>
        <v>3915754216.2066875</v>
      </c>
      <c r="AX1993" s="117">
        <f>VLOOKUP($D1993,'WB Data'!$C$3:$M$578,3,FALSE)</f>
        <v>6642928</v>
      </c>
      <c r="AY1993" s="847">
        <f t="shared" si="351"/>
        <v>8.0908045272287173E-3</v>
      </c>
      <c r="AZ1993" s="117">
        <f>VLOOKUP($D1993,'WB Data'!$C$3:$M$578,4,FALSE)/100</f>
        <v>0.18586970065516156</v>
      </c>
      <c r="BA1993" s="117">
        <f t="shared" si="352"/>
        <v>727820064.0055238</v>
      </c>
      <c r="BB1993" s="129">
        <f>IFERROR(VLOOKUP($D1993,'EITI Revenues'!$C$2:$G$224,5,FALSE),"..")</f>
        <v>31681601.940000001</v>
      </c>
      <c r="BC1993" s="846">
        <f t="shared" si="353"/>
        <v>4.3529442930773002E-2</v>
      </c>
      <c r="BD1993" s="129">
        <f>VLOOKUP($D1993,'WB Data 2'!$C$2:$K$545,6,FALSE)</f>
        <v>202715694.91939259</v>
      </c>
      <c r="BE1993" s="129" t="str">
        <f>IFERROR(VLOOKUP($D1993,UNCTAD!$C$5:$V$529,4,FALSE),"..")</f>
        <v>..</v>
      </c>
      <c r="BF1993" s="846" t="str">
        <f t="shared" si="354"/>
        <v>..</v>
      </c>
      <c r="BG1993" s="117">
        <f>VLOOKUP($D1993,'WB Data'!$C$3:$M$578,5,FALSE)</f>
        <v>241460000</v>
      </c>
      <c r="BH1993" s="129">
        <f>IFERROR($BB1993/$BG1993,"..")</f>
        <v>0.13120848977056243</v>
      </c>
      <c r="BI1993" s="117" t="str">
        <f>IFERROR(VLOOKUP($D1993,'WB Data'!$C$3:$M$578,7,FALSE)/100,"..")</f>
        <v>..</v>
      </c>
      <c r="BJ1993" s="117" t="str">
        <f>IFERROR($BI1993*$AW1993,"..")</f>
        <v>..</v>
      </c>
      <c r="BK1993" s="846" t="str">
        <f>IFERROR($BB1993/$BJ1993,"..")</f>
        <v>..</v>
      </c>
      <c r="BL1993" s="117" t="str">
        <f>IFERROR(VLOOKUP($D1993,'WB Data'!$C$3:$M$578,7,FALSE)/100,"..")</f>
        <v>..</v>
      </c>
      <c r="BM1993" s="117" t="str">
        <f>IFERROR($AW1993*$BL1993,"..")</f>
        <v>..</v>
      </c>
      <c r="BN1993" s="846" t="str">
        <f>IFERROR($BB1993/$BM1993,"..")</f>
        <v>..</v>
      </c>
      <c r="BO1993" s="801">
        <f t="shared" si="350"/>
        <v>29</v>
      </c>
      <c r="BP1993" s="117" t="str">
        <f>VLOOKUP($D1993,'WB Data'!$C$3:$M$578,9,FALSE)</f>
        <v>..</v>
      </c>
      <c r="BQ1993" s="117">
        <f>VLOOKUP($D1993,'WB Data'!$C$3:$M$578,10,FALSE)</f>
        <v>56.150341463414641</v>
      </c>
      <c r="BR1993" s="117">
        <f>VLOOKUP($D1993,'WB Data'!$C$3:$M$578,11,FALSE)</f>
        <v>57.4</v>
      </c>
      <c r="BS1993" s="129" t="str">
        <f>IFERROR(VLOOKUP($D1993,'WB Data 2'!$C$2:$K$545,9,FALSE),"..")</f>
        <v>..</v>
      </c>
      <c r="BT1993" s="129" t="str">
        <f>_xlfn.IFNA(VLOOKUP($C1993,RGI!$A$2:$C$43,2,FALSE),"..")</f>
        <v>..</v>
      </c>
      <c r="BU1993" s="129" t="str">
        <f>_xlfn.IFNA(VLOOKUP($C1993,RGI!$A$2:$C$43,3,FALSE),"..")</f>
        <v>..</v>
      </c>
      <c r="BV1993" s="129">
        <f>VLOOKUP($D1993,WGI!$C$2:$O$478,7,FALSE)</f>
        <v>-1.0185350449031301</v>
      </c>
      <c r="BW1993" s="129">
        <f>VLOOKUP($D1993,WGI!$C$2:$O$478,4,FALSE)</f>
        <v>-0.41876197102124602</v>
      </c>
      <c r="BX1993" s="129">
        <f>VLOOKUP($D1993,WGI!$C$2:$O$478,3,FALSE)</f>
        <v>-1.32492192869334</v>
      </c>
      <c r="BY1993" s="129">
        <f>VLOOKUP($D1993,WGI!$C$2:$O$478,5,FALSE)</f>
        <v>-0.85622926481115202</v>
      </c>
      <c r="BZ1993" s="129">
        <f>VLOOKUP($D1993,WGI!$C$2:$O$478,2,FALSE)</f>
        <v>-0.99293010037185903</v>
      </c>
    </row>
    <row r="1994" spans="1:80" ht="15" customHeight="1">
      <c r="A1994" s="289" t="s">
        <v>523</v>
      </c>
      <c r="B1994" s="146">
        <v>2012</v>
      </c>
      <c r="C1994" s="146" t="s">
        <v>517</v>
      </c>
      <c r="D1994" s="117" t="s">
        <v>3748</v>
      </c>
      <c r="E1994" s="146" t="s">
        <v>86</v>
      </c>
      <c r="F1994" s="146"/>
      <c r="G1994" s="146" t="s">
        <v>24</v>
      </c>
      <c r="H1994" s="146"/>
      <c r="I1994" s="146"/>
      <c r="J1994" s="146"/>
      <c r="K1994" s="146" t="s">
        <v>2350</v>
      </c>
      <c r="L1994" s="146"/>
      <c r="M1994" s="146"/>
      <c r="N1994" s="754"/>
      <c r="O1994" s="754"/>
      <c r="P1994" s="754"/>
      <c r="Q1994" s="760">
        <v>1100000</v>
      </c>
      <c r="R1994" s="760">
        <v>1110416</v>
      </c>
      <c r="S1994" s="146" t="s">
        <v>610</v>
      </c>
      <c r="T1994" s="119"/>
      <c r="U1994" s="146"/>
      <c r="V1994" s="146"/>
      <c r="W1994" s="146"/>
      <c r="X1994" s="146"/>
      <c r="Y1994" s="146"/>
      <c r="Z1994" s="146"/>
      <c r="AA1994" s="146"/>
      <c r="AB1994" s="146"/>
      <c r="AC1994" s="756"/>
      <c r="AD1994" s="756"/>
      <c r="AE1994" s="756"/>
      <c r="AF1994" s="758"/>
      <c r="AG1994" s="146"/>
      <c r="AH1994" s="759"/>
      <c r="AI1994" s="146"/>
      <c r="AJ1994" s="146"/>
      <c r="AK1994" s="760"/>
      <c r="AL1994" s="146"/>
      <c r="AM1994" s="146"/>
      <c r="AN1994" s="146"/>
      <c r="AO1994" s="146"/>
      <c r="AP1994" s="146"/>
      <c r="AQ1994" s="146"/>
      <c r="AR1994" s="146"/>
      <c r="AS1994" s="146"/>
      <c r="AT1994" s="146"/>
      <c r="AU1994" s="146"/>
      <c r="AV1994" s="128"/>
      <c r="AW1994" s="117">
        <f>VLOOKUP($D1994,'WB Data'!$C$3:$M$578,2,FALSE)</f>
        <v>3915754216.2066875</v>
      </c>
      <c r="AX1994" s="117">
        <f>VLOOKUP($D1994,'WB Data'!$C$3:$M$578,3,FALSE)</f>
        <v>6642928</v>
      </c>
      <c r="AY1994" s="847">
        <f t="shared" si="351"/>
        <v>8.0908045272287173E-3</v>
      </c>
      <c r="AZ1994" s="117">
        <f>VLOOKUP($D1994,'WB Data'!$C$3:$M$578,4,FALSE)/100</f>
        <v>0.18586970065516156</v>
      </c>
      <c r="BA1994" s="117">
        <f t="shared" si="352"/>
        <v>727820064.0055238</v>
      </c>
      <c r="BB1994" s="129">
        <f>IFERROR(VLOOKUP($D1994,'EITI Revenues'!$C$2:$G$224,5,FALSE),"..")</f>
        <v>31681601.940000001</v>
      </c>
      <c r="BC1994" s="846">
        <f t="shared" si="353"/>
        <v>4.3529442930773002E-2</v>
      </c>
      <c r="BD1994" s="129">
        <f>VLOOKUP($D1994,'WB Data 2'!$C$2:$K$545,6,FALSE)</f>
        <v>202715694.91939259</v>
      </c>
      <c r="BE1994" s="129" t="str">
        <f>IFERROR(VLOOKUP($D1994,UNCTAD!$C$5:$V$529,4,FALSE),"..")</f>
        <v>..</v>
      </c>
      <c r="BF1994" s="846" t="str">
        <f t="shared" si="354"/>
        <v>..</v>
      </c>
      <c r="BG1994" s="117">
        <f>VLOOKUP($D1994,'WB Data'!$C$3:$M$578,5,FALSE)</f>
        <v>241460000</v>
      </c>
      <c r="BH1994" s="129">
        <f>IFERROR($BB1994/$BG1994,"..")</f>
        <v>0.13120848977056243</v>
      </c>
      <c r="BI1994" s="117" t="str">
        <f>IFERROR(VLOOKUP($D1994,'WB Data'!$C$3:$M$578,7,FALSE)/100,"..")</f>
        <v>..</v>
      </c>
      <c r="BJ1994" s="117" t="str">
        <f>IFERROR($BI1994*$AW1994,"..")</f>
        <v>..</v>
      </c>
      <c r="BK1994" s="846" t="str">
        <f>IFERROR($BB1994/$BJ1994,"..")</f>
        <v>..</v>
      </c>
      <c r="BL1994" s="117" t="str">
        <f>IFERROR(VLOOKUP($D1994,'WB Data'!$C$3:$M$578,7,FALSE)/100,"..")</f>
        <v>..</v>
      </c>
      <c r="BM1994" s="117" t="str">
        <f>IFERROR($AW1994*$BL1994,"..")</f>
        <v>..</v>
      </c>
      <c r="BN1994" s="846" t="str">
        <f>IFERROR($BB1994/$BM1994,"..")</f>
        <v>..</v>
      </c>
      <c r="BO1994" s="801">
        <f t="shared" si="350"/>
        <v>29</v>
      </c>
      <c r="BP1994" s="117" t="str">
        <f>VLOOKUP($D1994,'WB Data'!$C$3:$M$578,9,FALSE)</f>
        <v>..</v>
      </c>
      <c r="BQ1994" s="117">
        <f>VLOOKUP($D1994,'WB Data'!$C$3:$M$578,10,FALSE)</f>
        <v>56.150341463414641</v>
      </c>
      <c r="BR1994" s="117">
        <f>VLOOKUP($D1994,'WB Data'!$C$3:$M$578,11,FALSE)</f>
        <v>57.4</v>
      </c>
      <c r="BS1994" s="129" t="str">
        <f>IFERROR(VLOOKUP($D1994,'WB Data 2'!$C$2:$K$545,9,FALSE),"..")</f>
        <v>..</v>
      </c>
      <c r="BT1994" s="129" t="str">
        <f>_xlfn.IFNA(VLOOKUP($C1994,RGI!$A$2:$C$43,2,FALSE),"..")</f>
        <v>..</v>
      </c>
      <c r="BU1994" s="129" t="str">
        <f>_xlfn.IFNA(VLOOKUP($C1994,RGI!$A$2:$C$43,3,FALSE),"..")</f>
        <v>..</v>
      </c>
      <c r="BV1994" s="129">
        <f>VLOOKUP($D1994,WGI!$C$2:$O$478,7,FALSE)</f>
        <v>-1.0185350449031301</v>
      </c>
      <c r="BW1994" s="129">
        <f>VLOOKUP($D1994,WGI!$C$2:$O$478,4,FALSE)</f>
        <v>-0.41876197102124602</v>
      </c>
      <c r="BX1994" s="129">
        <f>VLOOKUP($D1994,WGI!$C$2:$O$478,3,FALSE)</f>
        <v>-1.32492192869334</v>
      </c>
      <c r="BY1994" s="129">
        <f>VLOOKUP($D1994,WGI!$C$2:$O$478,5,FALSE)</f>
        <v>-0.85622926481115202</v>
      </c>
      <c r="BZ1994" s="129">
        <f>VLOOKUP($D1994,WGI!$C$2:$O$478,2,FALSE)</f>
        <v>-0.99293010037185903</v>
      </c>
    </row>
    <row r="1995" spans="1:80" ht="15" customHeight="1">
      <c r="A1995" s="289" t="s">
        <v>523</v>
      </c>
      <c r="B1995" s="146">
        <v>2012</v>
      </c>
      <c r="C1995" s="146" t="s">
        <v>517</v>
      </c>
      <c r="D1995" s="117" t="s">
        <v>3748</v>
      </c>
      <c r="E1995" s="146" t="s">
        <v>86</v>
      </c>
      <c r="F1995" s="146"/>
      <c r="G1995" s="146" t="s">
        <v>24</v>
      </c>
      <c r="H1995" s="146"/>
      <c r="I1995" s="146"/>
      <c r="J1995" s="146"/>
      <c r="K1995" s="146" t="s">
        <v>703</v>
      </c>
      <c r="L1995" s="146"/>
      <c r="M1995" s="146"/>
      <c r="N1995" s="754"/>
      <c r="O1995" s="754"/>
      <c r="P1995" s="754"/>
      <c r="Q1995" s="760">
        <v>1923189</v>
      </c>
      <c r="R1995" s="760">
        <v>2371219</v>
      </c>
      <c r="S1995" s="146" t="s">
        <v>610</v>
      </c>
      <c r="T1995" s="119"/>
      <c r="U1995" s="146"/>
      <c r="V1995" s="146"/>
      <c r="W1995" s="146"/>
      <c r="X1995" s="146"/>
      <c r="Y1995" s="146"/>
      <c r="Z1995" s="146"/>
      <c r="AA1995" s="146"/>
      <c r="AB1995" s="146"/>
      <c r="AC1995" s="756"/>
      <c r="AD1995" s="756"/>
      <c r="AE1995" s="756"/>
      <c r="AF1995" s="758"/>
      <c r="AG1995" s="146"/>
      <c r="AH1995" s="759"/>
      <c r="AI1995" s="146"/>
      <c r="AJ1995" s="146"/>
      <c r="AK1995" s="760"/>
      <c r="AL1995" s="146"/>
      <c r="AM1995" s="146"/>
      <c r="AN1995" s="146"/>
      <c r="AO1995" s="146"/>
      <c r="AP1995" s="146"/>
      <c r="AQ1995" s="146"/>
      <c r="AR1995" s="146"/>
      <c r="AS1995" s="146"/>
      <c r="AT1995" s="146"/>
      <c r="AU1995" s="146"/>
      <c r="AV1995" s="128"/>
      <c r="AW1995" s="117">
        <f>VLOOKUP($D1995,'WB Data'!$C$3:$M$578,2,FALSE)</f>
        <v>3915754216.2066875</v>
      </c>
      <c r="AX1995" s="117">
        <f>VLOOKUP($D1995,'WB Data'!$C$3:$M$578,3,FALSE)</f>
        <v>6642928</v>
      </c>
      <c r="AY1995" s="847">
        <f t="shared" si="351"/>
        <v>8.0908045272287173E-3</v>
      </c>
      <c r="AZ1995" s="117">
        <f>VLOOKUP($D1995,'WB Data'!$C$3:$M$578,4,FALSE)/100</f>
        <v>0.18586970065516156</v>
      </c>
      <c r="BA1995" s="117">
        <f t="shared" si="352"/>
        <v>727820064.0055238</v>
      </c>
      <c r="BB1995" s="129">
        <f>IFERROR(VLOOKUP($D1995,'EITI Revenues'!$C$2:$G$224,5,FALSE),"..")</f>
        <v>31681601.940000001</v>
      </c>
      <c r="BC1995" s="846">
        <f t="shared" si="353"/>
        <v>4.3529442930773002E-2</v>
      </c>
      <c r="BD1995" s="129">
        <f>VLOOKUP($D1995,'WB Data 2'!$C$2:$K$545,6,FALSE)</f>
        <v>202715694.91939259</v>
      </c>
      <c r="BE1995" s="129" t="str">
        <f>IFERROR(VLOOKUP($D1995,UNCTAD!$C$5:$V$529,4,FALSE),"..")</f>
        <v>..</v>
      </c>
      <c r="BF1995" s="846" t="str">
        <f t="shared" si="354"/>
        <v>..</v>
      </c>
      <c r="BG1995" s="117">
        <f>VLOOKUP($D1995,'WB Data'!$C$3:$M$578,5,FALSE)</f>
        <v>241460000</v>
      </c>
      <c r="BH1995" s="129">
        <f>IFERROR($BB1995/$BG1995,"..")</f>
        <v>0.13120848977056243</v>
      </c>
      <c r="BI1995" s="117" t="str">
        <f>IFERROR(VLOOKUP($D1995,'WB Data'!$C$3:$M$578,7,FALSE)/100,"..")</f>
        <v>..</v>
      </c>
      <c r="BJ1995" s="117" t="str">
        <f>IFERROR($BI1995*$AW1995,"..")</f>
        <v>..</v>
      </c>
      <c r="BK1995" s="846" t="str">
        <f>IFERROR($BB1995/$BJ1995,"..")</f>
        <v>..</v>
      </c>
      <c r="BL1995" s="117" t="str">
        <f>IFERROR(VLOOKUP($D1995,'WB Data'!$C$3:$M$578,7,FALSE)/100,"..")</f>
        <v>..</v>
      </c>
      <c r="BM1995" s="117" t="str">
        <f>IFERROR($AW1995*$BL1995,"..")</f>
        <v>..</v>
      </c>
      <c r="BN1995" s="846" t="str">
        <f>IFERROR($BB1995/$BM1995,"..")</f>
        <v>..</v>
      </c>
      <c r="BO1995" s="801">
        <f t="shared" si="350"/>
        <v>29</v>
      </c>
      <c r="BP1995" s="117" t="str">
        <f>VLOOKUP($D1995,'WB Data'!$C$3:$M$578,9,FALSE)</f>
        <v>..</v>
      </c>
      <c r="BQ1995" s="117">
        <f>VLOOKUP($D1995,'WB Data'!$C$3:$M$578,10,FALSE)</f>
        <v>56.150341463414641</v>
      </c>
      <c r="BR1995" s="117">
        <f>VLOOKUP($D1995,'WB Data'!$C$3:$M$578,11,FALSE)</f>
        <v>57.4</v>
      </c>
      <c r="BS1995" s="129" t="str">
        <f>IFERROR(VLOOKUP($D1995,'WB Data 2'!$C$2:$K$545,9,FALSE),"..")</f>
        <v>..</v>
      </c>
      <c r="BT1995" s="129" t="str">
        <f>_xlfn.IFNA(VLOOKUP($C1995,RGI!$A$2:$C$43,2,FALSE),"..")</f>
        <v>..</v>
      </c>
      <c r="BU1995" s="129" t="str">
        <f>_xlfn.IFNA(VLOOKUP($C1995,RGI!$A$2:$C$43,3,FALSE),"..")</f>
        <v>..</v>
      </c>
      <c r="BV1995" s="129">
        <f>VLOOKUP($D1995,WGI!$C$2:$O$478,7,FALSE)</f>
        <v>-1.0185350449031301</v>
      </c>
      <c r="BW1995" s="129">
        <f>VLOOKUP($D1995,WGI!$C$2:$O$478,4,FALSE)</f>
        <v>-0.41876197102124602</v>
      </c>
      <c r="BX1995" s="129">
        <f>VLOOKUP($D1995,WGI!$C$2:$O$478,3,FALSE)</f>
        <v>-1.32492192869334</v>
      </c>
      <c r="BY1995" s="129">
        <f>VLOOKUP($D1995,WGI!$C$2:$O$478,5,FALSE)</f>
        <v>-0.85622926481115202</v>
      </c>
      <c r="BZ1995" s="129">
        <f>VLOOKUP($D1995,WGI!$C$2:$O$478,2,FALSE)</f>
        <v>-0.99293010037185903</v>
      </c>
    </row>
    <row r="1996" spans="1:80" ht="15" customHeight="1">
      <c r="A1996" s="289" t="s">
        <v>523</v>
      </c>
      <c r="B1996" s="146">
        <v>2012</v>
      </c>
      <c r="C1996" s="146" t="s">
        <v>517</v>
      </c>
      <c r="D1996" s="117" t="s">
        <v>3748</v>
      </c>
      <c r="E1996" s="146" t="s">
        <v>86</v>
      </c>
      <c r="F1996" s="146"/>
      <c r="G1996" s="146" t="s">
        <v>24</v>
      </c>
      <c r="H1996" s="146"/>
      <c r="I1996" s="146"/>
      <c r="J1996" s="146"/>
      <c r="K1996" s="146" t="s">
        <v>1742</v>
      </c>
      <c r="L1996" s="146"/>
      <c r="M1996" s="146"/>
      <c r="N1996" s="754"/>
      <c r="O1996" s="754"/>
      <c r="P1996" s="754"/>
      <c r="Q1996" s="760">
        <v>52706</v>
      </c>
      <c r="R1996" s="760">
        <v>177318</v>
      </c>
      <c r="S1996" s="146" t="s">
        <v>610</v>
      </c>
      <c r="T1996" s="119"/>
      <c r="U1996" s="146"/>
      <c r="V1996" s="146"/>
      <c r="W1996" s="146"/>
      <c r="X1996" s="146"/>
      <c r="Y1996" s="146"/>
      <c r="Z1996" s="146"/>
      <c r="AA1996" s="146"/>
      <c r="AB1996" s="146"/>
      <c r="AC1996" s="756"/>
      <c r="AD1996" s="756"/>
      <c r="AE1996" s="756"/>
      <c r="AF1996" s="758"/>
      <c r="AG1996" s="146"/>
      <c r="AH1996" s="759"/>
      <c r="AI1996" s="146"/>
      <c r="AJ1996" s="146"/>
      <c r="AK1996" s="760"/>
      <c r="AL1996" s="146"/>
      <c r="AM1996" s="146"/>
      <c r="AN1996" s="146"/>
      <c r="AO1996" s="146"/>
      <c r="AP1996" s="146"/>
      <c r="AQ1996" s="146"/>
      <c r="AR1996" s="146"/>
      <c r="AS1996" s="146"/>
      <c r="AT1996" s="146"/>
      <c r="AU1996" s="146"/>
      <c r="AV1996" s="128"/>
      <c r="AW1996" s="117">
        <f>VLOOKUP($D1996,'WB Data'!$C$3:$M$578,2,FALSE)</f>
        <v>3915754216.2066875</v>
      </c>
      <c r="AX1996" s="117">
        <f>VLOOKUP($D1996,'WB Data'!$C$3:$M$578,3,FALSE)</f>
        <v>6642928</v>
      </c>
      <c r="AY1996" s="847">
        <f t="shared" si="351"/>
        <v>8.0908045272287173E-3</v>
      </c>
      <c r="AZ1996" s="117">
        <f>VLOOKUP($D1996,'WB Data'!$C$3:$M$578,4,FALSE)/100</f>
        <v>0.18586970065516156</v>
      </c>
      <c r="BA1996" s="117">
        <f t="shared" si="352"/>
        <v>727820064.0055238</v>
      </c>
      <c r="BB1996" s="129">
        <f>IFERROR(VLOOKUP($D1996,'EITI Revenues'!$C$2:$G$224,5,FALSE),"..")</f>
        <v>31681601.940000001</v>
      </c>
      <c r="BC1996" s="846">
        <f t="shared" si="353"/>
        <v>4.3529442930773002E-2</v>
      </c>
      <c r="BD1996" s="129">
        <f>VLOOKUP($D1996,'WB Data 2'!$C$2:$K$545,6,FALSE)</f>
        <v>202715694.91939259</v>
      </c>
      <c r="BE1996" s="129" t="str">
        <f>IFERROR(VLOOKUP($D1996,UNCTAD!$C$5:$V$529,4,FALSE),"..")</f>
        <v>..</v>
      </c>
      <c r="BF1996" s="846" t="str">
        <f t="shared" si="354"/>
        <v>..</v>
      </c>
      <c r="BG1996" s="117">
        <f>VLOOKUP($D1996,'WB Data'!$C$3:$M$578,5,FALSE)</f>
        <v>241460000</v>
      </c>
      <c r="BH1996" s="129">
        <f>IFERROR($BB1996/$BG1996,"..")</f>
        <v>0.13120848977056243</v>
      </c>
      <c r="BI1996" s="117" t="str">
        <f>IFERROR(VLOOKUP($D1996,'WB Data'!$C$3:$M$578,7,FALSE)/100,"..")</f>
        <v>..</v>
      </c>
      <c r="BJ1996" s="117" t="str">
        <f>IFERROR($BI1996*$AW1996,"..")</f>
        <v>..</v>
      </c>
      <c r="BK1996" s="846" t="str">
        <f>IFERROR($BB1996/$BJ1996,"..")</f>
        <v>..</v>
      </c>
      <c r="BL1996" s="117" t="str">
        <f>IFERROR(VLOOKUP($D1996,'WB Data'!$C$3:$M$578,7,FALSE)/100,"..")</f>
        <v>..</v>
      </c>
      <c r="BM1996" s="117" t="str">
        <f>IFERROR($AW1996*$BL1996,"..")</f>
        <v>..</v>
      </c>
      <c r="BN1996" s="846" t="str">
        <f>IFERROR($BB1996/$BM1996,"..")</f>
        <v>..</v>
      </c>
      <c r="BO1996" s="801">
        <f t="shared" si="350"/>
        <v>29</v>
      </c>
      <c r="BP1996" s="117" t="str">
        <f>VLOOKUP($D1996,'WB Data'!$C$3:$M$578,9,FALSE)</f>
        <v>..</v>
      </c>
      <c r="BQ1996" s="117">
        <f>VLOOKUP($D1996,'WB Data'!$C$3:$M$578,10,FALSE)</f>
        <v>56.150341463414641</v>
      </c>
      <c r="BR1996" s="117">
        <f>VLOOKUP($D1996,'WB Data'!$C$3:$M$578,11,FALSE)</f>
        <v>57.4</v>
      </c>
      <c r="BS1996" s="129" t="str">
        <f>IFERROR(VLOOKUP($D1996,'WB Data 2'!$C$2:$K$545,9,FALSE),"..")</f>
        <v>..</v>
      </c>
      <c r="BT1996" s="129" t="str">
        <f>_xlfn.IFNA(VLOOKUP($C1996,RGI!$A$2:$C$43,2,FALSE),"..")</f>
        <v>..</v>
      </c>
      <c r="BU1996" s="129" t="str">
        <f>_xlfn.IFNA(VLOOKUP($C1996,RGI!$A$2:$C$43,3,FALSE),"..")</f>
        <v>..</v>
      </c>
      <c r="BV1996" s="129">
        <f>VLOOKUP($D1996,WGI!$C$2:$O$478,7,FALSE)</f>
        <v>-1.0185350449031301</v>
      </c>
      <c r="BW1996" s="129">
        <f>VLOOKUP($D1996,WGI!$C$2:$O$478,4,FALSE)</f>
        <v>-0.41876197102124602</v>
      </c>
      <c r="BX1996" s="129">
        <f>VLOOKUP($D1996,WGI!$C$2:$O$478,3,FALSE)</f>
        <v>-1.32492192869334</v>
      </c>
      <c r="BY1996" s="129">
        <f>VLOOKUP($D1996,WGI!$C$2:$O$478,5,FALSE)</f>
        <v>-0.85622926481115202</v>
      </c>
      <c r="BZ1996" s="129">
        <f>VLOOKUP($D1996,WGI!$C$2:$O$478,2,FALSE)</f>
        <v>-0.99293010037185903</v>
      </c>
    </row>
    <row r="1997" spans="1:80" ht="15" customHeight="1">
      <c r="A1997" s="289" t="s">
        <v>523</v>
      </c>
      <c r="B1997" s="146">
        <v>2012</v>
      </c>
      <c r="C1997" s="146" t="s">
        <v>517</v>
      </c>
      <c r="D1997" s="117" t="s">
        <v>3748</v>
      </c>
      <c r="E1997" s="146" t="s">
        <v>86</v>
      </c>
      <c r="F1997" s="146"/>
      <c r="G1997" s="146" t="s">
        <v>24</v>
      </c>
      <c r="H1997" s="146"/>
      <c r="I1997" s="146"/>
      <c r="J1997" s="146"/>
      <c r="K1997" s="146" t="s">
        <v>2351</v>
      </c>
      <c r="L1997" s="146"/>
      <c r="M1997" s="146"/>
      <c r="N1997" s="754"/>
      <c r="O1997" s="754"/>
      <c r="P1997" s="754"/>
      <c r="Q1997" s="760">
        <v>127900</v>
      </c>
      <c r="R1997" s="754">
        <v>134282</v>
      </c>
      <c r="S1997" s="117" t="s">
        <v>642</v>
      </c>
      <c r="T1997" s="119"/>
      <c r="U1997" s="146"/>
      <c r="V1997" s="146"/>
      <c r="W1997" s="146"/>
      <c r="X1997" s="146"/>
      <c r="Y1997" s="146"/>
      <c r="Z1997" s="146"/>
      <c r="AA1997" s="146"/>
      <c r="AB1997" s="146"/>
      <c r="AC1997" s="756"/>
      <c r="AD1997" s="756"/>
      <c r="AE1997" s="756"/>
      <c r="AF1997" s="758"/>
      <c r="AG1997" s="146"/>
      <c r="AH1997" s="759"/>
      <c r="AI1997" s="146"/>
      <c r="AJ1997" s="146"/>
      <c r="AK1997" s="760"/>
      <c r="AL1997" s="146"/>
      <c r="AM1997" s="146"/>
      <c r="AN1997" s="146"/>
      <c r="AO1997" s="146"/>
      <c r="AP1997" s="146"/>
      <c r="AQ1997" s="146"/>
      <c r="AR1997" s="146"/>
      <c r="AS1997" s="146"/>
      <c r="AT1997" s="146"/>
      <c r="AU1997" s="146"/>
      <c r="AV1997" s="128"/>
      <c r="AW1997" s="117">
        <f>VLOOKUP($D1997,'WB Data'!$C$3:$M$578,2,FALSE)</f>
        <v>3915754216.2066875</v>
      </c>
      <c r="AX1997" s="117">
        <f>VLOOKUP($D1997,'WB Data'!$C$3:$M$578,3,FALSE)</f>
        <v>6642928</v>
      </c>
      <c r="AY1997" s="847">
        <f t="shared" si="351"/>
        <v>8.0908045272287173E-3</v>
      </c>
      <c r="AZ1997" s="117">
        <f>VLOOKUP($D1997,'WB Data'!$C$3:$M$578,4,FALSE)/100</f>
        <v>0.18586970065516156</v>
      </c>
      <c r="BA1997" s="117">
        <f t="shared" si="352"/>
        <v>727820064.0055238</v>
      </c>
      <c r="BB1997" s="129">
        <f>IFERROR(VLOOKUP($D1997,'EITI Revenues'!$C$2:$G$224,5,FALSE),"..")</f>
        <v>31681601.940000001</v>
      </c>
      <c r="BC1997" s="846">
        <f t="shared" si="353"/>
        <v>4.3529442930773002E-2</v>
      </c>
      <c r="BD1997" s="129">
        <f>VLOOKUP($D1997,'WB Data 2'!$C$2:$K$545,6,FALSE)</f>
        <v>202715694.91939259</v>
      </c>
      <c r="BE1997" s="129" t="str">
        <f>IFERROR(VLOOKUP($D1997,UNCTAD!$C$5:$V$529,4,FALSE),"..")</f>
        <v>..</v>
      </c>
      <c r="BF1997" s="846" t="str">
        <f t="shared" si="354"/>
        <v>..</v>
      </c>
      <c r="BG1997" s="117">
        <f>VLOOKUP($D1997,'WB Data'!$C$3:$M$578,5,FALSE)</f>
        <v>241460000</v>
      </c>
      <c r="BH1997" s="129">
        <f>IFERROR($BB1997/$BG1997,"..")</f>
        <v>0.13120848977056243</v>
      </c>
      <c r="BI1997" s="117" t="str">
        <f>IFERROR(VLOOKUP($D1997,'WB Data'!$C$3:$M$578,7,FALSE)/100,"..")</f>
        <v>..</v>
      </c>
      <c r="BJ1997" s="117" t="str">
        <f>IFERROR($BI1997*$AW1997,"..")</f>
        <v>..</v>
      </c>
      <c r="BK1997" s="846" t="str">
        <f>IFERROR($BB1997/$BJ1997,"..")</f>
        <v>..</v>
      </c>
      <c r="BL1997" s="117" t="str">
        <f>IFERROR(VLOOKUP($D1997,'WB Data'!$C$3:$M$578,7,FALSE)/100,"..")</f>
        <v>..</v>
      </c>
      <c r="BM1997" s="117" t="str">
        <f>IFERROR($AW1997*$BL1997,"..")</f>
        <v>..</v>
      </c>
      <c r="BN1997" s="846" t="str">
        <f>IFERROR($BB1997/$BM1997,"..")</f>
        <v>..</v>
      </c>
      <c r="BO1997" s="801">
        <f t="shared" si="350"/>
        <v>29</v>
      </c>
      <c r="BP1997" s="117" t="str">
        <f>VLOOKUP($D1997,'WB Data'!$C$3:$M$578,9,FALSE)</f>
        <v>..</v>
      </c>
      <c r="BQ1997" s="117">
        <f>VLOOKUP($D1997,'WB Data'!$C$3:$M$578,10,FALSE)</f>
        <v>56.150341463414641</v>
      </c>
      <c r="BR1997" s="117">
        <f>VLOOKUP($D1997,'WB Data'!$C$3:$M$578,11,FALSE)</f>
        <v>57.4</v>
      </c>
      <c r="BS1997" s="129" t="str">
        <f>IFERROR(VLOOKUP($D1997,'WB Data 2'!$C$2:$K$545,9,FALSE),"..")</f>
        <v>..</v>
      </c>
      <c r="BT1997" s="129" t="str">
        <f>_xlfn.IFNA(VLOOKUP($C1997,RGI!$A$2:$C$43,2,FALSE),"..")</f>
        <v>..</v>
      </c>
      <c r="BU1997" s="129" t="str">
        <f>_xlfn.IFNA(VLOOKUP($C1997,RGI!$A$2:$C$43,3,FALSE),"..")</f>
        <v>..</v>
      </c>
      <c r="BV1997" s="129">
        <f>VLOOKUP($D1997,WGI!$C$2:$O$478,7,FALSE)</f>
        <v>-1.0185350449031301</v>
      </c>
      <c r="BW1997" s="129">
        <f>VLOOKUP($D1997,WGI!$C$2:$O$478,4,FALSE)</f>
        <v>-0.41876197102124602</v>
      </c>
      <c r="BX1997" s="129">
        <f>VLOOKUP($D1997,WGI!$C$2:$O$478,3,FALSE)</f>
        <v>-1.32492192869334</v>
      </c>
      <c r="BY1997" s="129">
        <f>VLOOKUP($D1997,WGI!$C$2:$O$478,5,FALSE)</f>
        <v>-0.85622926481115202</v>
      </c>
      <c r="BZ1997" s="129">
        <f>VLOOKUP($D1997,WGI!$C$2:$O$478,2,FALSE)</f>
        <v>-0.99293010037185903</v>
      </c>
    </row>
    <row r="1998" spans="1:80" ht="15" customHeight="1" thickBot="1">
      <c r="A1998" s="289" t="s">
        <v>523</v>
      </c>
      <c r="B1998" s="146">
        <v>2012</v>
      </c>
      <c r="C1998" s="146" t="s">
        <v>517</v>
      </c>
      <c r="D1998" s="117" t="s">
        <v>3748</v>
      </c>
      <c r="E1998" s="146" t="s">
        <v>86</v>
      </c>
      <c r="F1998" s="146"/>
      <c r="G1998" s="146" t="s">
        <v>24</v>
      </c>
      <c r="H1998" s="146"/>
      <c r="I1998" s="146"/>
      <c r="J1998" s="146"/>
      <c r="K1998" s="146" t="s">
        <v>1603</v>
      </c>
      <c r="L1998" s="146"/>
      <c r="M1998" s="146"/>
      <c r="N1998" s="754"/>
      <c r="O1998" s="754"/>
      <c r="P1998" s="754"/>
      <c r="Q1998" s="146"/>
      <c r="R1998" s="754">
        <v>184655</v>
      </c>
      <c r="S1998" s="146"/>
      <c r="T1998" s="119"/>
      <c r="U1998" s="146"/>
      <c r="V1998" s="146"/>
      <c r="W1998" s="146"/>
      <c r="X1998" s="146"/>
      <c r="Y1998" s="146"/>
      <c r="Z1998" s="146"/>
      <c r="AA1998" s="146"/>
      <c r="AB1998" s="146"/>
      <c r="AC1998" s="756"/>
      <c r="AD1998" s="756"/>
      <c r="AE1998" s="756"/>
      <c r="AF1998" s="758"/>
      <c r="AG1998" s="146"/>
      <c r="AH1998" s="759"/>
      <c r="AI1998" s="146"/>
      <c r="AJ1998" s="146"/>
      <c r="AK1998" s="760"/>
      <c r="AL1998" s="146"/>
      <c r="AM1998" s="146"/>
      <c r="AN1998" s="146"/>
      <c r="AO1998" s="146"/>
      <c r="AP1998" s="146"/>
      <c r="AQ1998" s="146"/>
      <c r="AR1998" s="146"/>
      <c r="AS1998" s="146"/>
      <c r="AT1998" s="146"/>
      <c r="AU1998" s="146"/>
      <c r="AV1998" s="128"/>
      <c r="AW1998" s="117">
        <f>VLOOKUP($D1998,'WB Data'!$C$3:$M$578,2,FALSE)</f>
        <v>3915754216.2066875</v>
      </c>
      <c r="AX1998" s="117">
        <f>VLOOKUP($D1998,'WB Data'!$C$3:$M$578,3,FALSE)</f>
        <v>6642928</v>
      </c>
      <c r="AY1998" s="847">
        <f t="shared" si="351"/>
        <v>8.0908045272287173E-3</v>
      </c>
      <c r="AZ1998" s="117">
        <f>VLOOKUP($D1998,'WB Data'!$C$3:$M$578,4,FALSE)/100</f>
        <v>0.18586970065516156</v>
      </c>
      <c r="BA1998" s="117">
        <f t="shared" si="352"/>
        <v>727820064.0055238</v>
      </c>
      <c r="BB1998" s="129">
        <f>IFERROR(VLOOKUP($D1998,'EITI Revenues'!$C$2:$G$224,5,FALSE),"..")</f>
        <v>31681601.940000001</v>
      </c>
      <c r="BC1998" s="846">
        <f t="shared" si="353"/>
        <v>4.3529442930773002E-2</v>
      </c>
      <c r="BD1998" s="129">
        <f>VLOOKUP($D1998,'WB Data 2'!$C$2:$K$545,6,FALSE)</f>
        <v>202715694.91939259</v>
      </c>
      <c r="BE1998" s="129" t="str">
        <f>IFERROR(VLOOKUP($D1998,UNCTAD!$C$5:$V$529,4,FALSE),"..")</f>
        <v>..</v>
      </c>
      <c r="BF1998" s="846" t="str">
        <f t="shared" si="354"/>
        <v>..</v>
      </c>
      <c r="BG1998" s="117">
        <f>VLOOKUP($D1998,'WB Data'!$C$3:$M$578,5,FALSE)</f>
        <v>241460000</v>
      </c>
      <c r="BH1998" s="129">
        <f>IFERROR($BB1998/$BG1998,"..")</f>
        <v>0.13120848977056243</v>
      </c>
      <c r="BI1998" s="117" t="str">
        <f>IFERROR(VLOOKUP($D1998,'WB Data'!$C$3:$M$578,7,FALSE)/100,"..")</f>
        <v>..</v>
      </c>
      <c r="BJ1998" s="117" t="str">
        <f>IFERROR($BI1998*$AW1998,"..")</f>
        <v>..</v>
      </c>
      <c r="BK1998" s="846" t="str">
        <f>IFERROR($BB1998/$BJ1998,"..")</f>
        <v>..</v>
      </c>
      <c r="BL1998" s="117" t="str">
        <f>IFERROR(VLOOKUP($D1998,'WB Data'!$C$3:$M$578,7,FALSE)/100,"..")</f>
        <v>..</v>
      </c>
      <c r="BM1998" s="117" t="str">
        <f>IFERROR($AW1998*$BL1998,"..")</f>
        <v>..</v>
      </c>
      <c r="BN1998" s="846" t="str">
        <f>IFERROR($BB1998/$BM1998,"..")</f>
        <v>..</v>
      </c>
      <c r="BO1998" s="801">
        <f t="shared" si="350"/>
        <v>29</v>
      </c>
      <c r="BP1998" s="117" t="str">
        <f>VLOOKUP($D1998,'WB Data'!$C$3:$M$578,9,FALSE)</f>
        <v>..</v>
      </c>
      <c r="BQ1998" s="117">
        <f>VLOOKUP($D1998,'WB Data'!$C$3:$M$578,10,FALSE)</f>
        <v>56.150341463414641</v>
      </c>
      <c r="BR1998" s="117">
        <f>VLOOKUP($D1998,'WB Data'!$C$3:$M$578,11,FALSE)</f>
        <v>57.4</v>
      </c>
      <c r="BS1998" s="129" t="str">
        <f>IFERROR(VLOOKUP($D1998,'WB Data 2'!$C$2:$K$545,9,FALSE),"..")</f>
        <v>..</v>
      </c>
      <c r="BT1998" s="129" t="str">
        <f>_xlfn.IFNA(VLOOKUP($C1998,RGI!$A$2:$C$43,2,FALSE),"..")</f>
        <v>..</v>
      </c>
      <c r="BU1998" s="129" t="str">
        <f>_xlfn.IFNA(VLOOKUP($C1998,RGI!$A$2:$C$43,3,FALSE),"..")</f>
        <v>..</v>
      </c>
      <c r="BV1998" s="129">
        <f>VLOOKUP($D1998,WGI!$C$2:$O$478,7,FALSE)</f>
        <v>-1.0185350449031301</v>
      </c>
      <c r="BW1998" s="129">
        <f>VLOOKUP($D1998,WGI!$C$2:$O$478,4,FALSE)</f>
        <v>-0.41876197102124602</v>
      </c>
      <c r="BX1998" s="129">
        <f>VLOOKUP($D1998,WGI!$C$2:$O$478,3,FALSE)</f>
        <v>-1.32492192869334</v>
      </c>
      <c r="BY1998" s="129">
        <f>VLOOKUP($D1998,WGI!$C$2:$O$478,5,FALSE)</f>
        <v>-0.85622926481115202</v>
      </c>
      <c r="BZ1998" s="129">
        <f>VLOOKUP($D1998,WGI!$C$2:$O$478,2,FALSE)</f>
        <v>-0.99293010037185903</v>
      </c>
    </row>
    <row r="1999" spans="1:80" s="210" customFormat="1" ht="15" customHeight="1">
      <c r="A1999" s="336" t="s">
        <v>525</v>
      </c>
      <c r="B1999" s="175">
        <v>2011</v>
      </c>
      <c r="C1999" s="175" t="s">
        <v>3091</v>
      </c>
      <c r="D1999" s="117" t="s">
        <v>3716</v>
      </c>
      <c r="E1999" s="175" t="s">
        <v>220</v>
      </c>
      <c r="F1999" s="175" t="s">
        <v>2353</v>
      </c>
      <c r="G1999" s="175" t="s">
        <v>55</v>
      </c>
      <c r="H1999" s="117" t="str">
        <f t="shared" si="342"/>
        <v>no</v>
      </c>
      <c r="I1999" s="117" t="str">
        <f t="shared" si="346"/>
        <v>yes</v>
      </c>
      <c r="J1999" s="117" t="str">
        <f t="shared" si="347"/>
        <v>yes</v>
      </c>
      <c r="K1999" s="175" t="s">
        <v>709</v>
      </c>
      <c r="L1999" s="117" t="str">
        <f t="shared" si="343"/>
        <v>Total</v>
      </c>
      <c r="M1999" s="117" t="str">
        <f t="shared" si="348"/>
        <v>Total Oil, Gas</v>
      </c>
      <c r="N1999" s="197"/>
      <c r="O1999" s="197"/>
      <c r="P1999" s="197"/>
      <c r="Q1999" s="197"/>
      <c r="R1999" s="197"/>
      <c r="S1999" s="175"/>
      <c r="T1999" s="198"/>
      <c r="U1999" s="175"/>
      <c r="V1999" s="175"/>
      <c r="W1999" s="199">
        <f>SUM(W2000:W2001)</f>
        <v>13699973216.692986</v>
      </c>
      <c r="X1999" s="175" t="s">
        <v>1835</v>
      </c>
      <c r="Y1999" s="175" t="s">
        <v>602</v>
      </c>
      <c r="Z1999" s="175" t="s">
        <v>603</v>
      </c>
      <c r="AA1999" s="292">
        <v>3593984496</v>
      </c>
      <c r="AB1999" s="292">
        <v>3605333333</v>
      </c>
      <c r="AC1999" s="338"/>
      <c r="AD1999" s="338"/>
      <c r="AE1999" s="338"/>
      <c r="AF1999" s="339">
        <f>AA1999/W1999</f>
        <v>0.26233514760604371</v>
      </c>
      <c r="AG1999" s="175" t="s">
        <v>2354</v>
      </c>
      <c r="AH1999" s="204">
        <v>6.45</v>
      </c>
      <c r="AI1999" s="175" t="s">
        <v>1308</v>
      </c>
      <c r="AJ1999" s="175"/>
      <c r="AK1999" s="199"/>
      <c r="AL1999" s="175"/>
      <c r="AM1999" s="175"/>
      <c r="AN1999" s="175">
        <v>56</v>
      </c>
      <c r="AO1999" s="175" t="s">
        <v>2355</v>
      </c>
      <c r="AP1999" s="175">
        <v>46</v>
      </c>
      <c r="AQ1999" s="175" t="s">
        <v>326</v>
      </c>
      <c r="AR1999" s="206">
        <v>41908</v>
      </c>
      <c r="AS1999" s="175" t="s">
        <v>2356</v>
      </c>
      <c r="AT1999" s="175" t="s">
        <v>527</v>
      </c>
      <c r="AU1999" s="175">
        <v>7</v>
      </c>
      <c r="AV1999" s="209" t="s">
        <v>2357</v>
      </c>
      <c r="AW1999" s="117">
        <f>VLOOKUP($D1999,'WB Data'!$C$3:$M$578,2,FALSE)</f>
        <v>23676348287.27895</v>
      </c>
      <c r="AX1999" s="117">
        <f>VLOOKUP($D1999,'WB Data'!$C$3:$M$578,3,FALSE)</f>
        <v>1333082</v>
      </c>
      <c r="AY1999" s="847" t="str">
        <f t="shared" si="351"/>
        <v>..</v>
      </c>
      <c r="AZ1999" s="117" t="e">
        <f>VLOOKUP($D1999,'WB Data'!$C$3:$M$578,4,FALSE)/100</f>
        <v>#VALUE!</v>
      </c>
      <c r="BA1999" s="117" t="str">
        <f t="shared" si="352"/>
        <v>..</v>
      </c>
      <c r="BB1999" s="129" t="str">
        <f>IFERROR(VLOOKUP($D1999,'EITI Revenues'!$C$2:$G$224,5,FALSE),"..")</f>
        <v>..</v>
      </c>
      <c r="BC1999" s="846" t="str">
        <f t="shared" si="353"/>
        <v>..</v>
      </c>
      <c r="BD1999" s="129" t="str">
        <f>VLOOKUP($D1999,'WB Data 2'!$C$2:$K$545,6,FALSE)</f>
        <v>..</v>
      </c>
      <c r="BE1999" s="129">
        <f>IFERROR(VLOOKUP($D1999,UNCTAD!$C$5:$V$529,4,FALSE),"..")</f>
        <v>20756130000</v>
      </c>
      <c r="BF1999" s="846" t="str">
        <f t="shared" si="354"/>
        <v>..</v>
      </c>
      <c r="BG1999" s="117" t="str">
        <f>VLOOKUP($D1999,'WB Data'!$C$3:$M$578,5,FALSE)</f>
        <v>..</v>
      </c>
      <c r="BH1999" s="129" t="str">
        <f>IFERROR($BB1999/$BG1999,"..")</f>
        <v>..</v>
      </c>
      <c r="BI1999" s="117" t="str">
        <f>IFERROR(VLOOKUP($D1999,'WB Data'!$C$3:$M$578,7,FALSE)/100,"..")</f>
        <v>..</v>
      </c>
      <c r="BJ1999" s="117" t="str">
        <f>IFERROR($BI1999*$AW1999,"..")</f>
        <v>..</v>
      </c>
      <c r="BK1999" s="846" t="str">
        <f>IFERROR($BB1999/$BJ1999,"..")</f>
        <v>..</v>
      </c>
      <c r="BL1999" s="117" t="str">
        <f>IFERROR(VLOOKUP($D1999,'WB Data'!$C$3:$M$578,7,FALSE)/100,"..")</f>
        <v>..</v>
      </c>
      <c r="BM1999" s="117" t="str">
        <f>IFERROR($AW1999*$BL1999,"..")</f>
        <v>..</v>
      </c>
      <c r="BN1999" s="846" t="str">
        <f>IFERROR($BB1999/$BM1999,"..")</f>
        <v>..</v>
      </c>
      <c r="BO1999" s="801">
        <f t="shared" si="350"/>
        <v>38</v>
      </c>
      <c r="BP1999" s="117" t="str">
        <f>VLOOKUP($D1999,'WB Data'!$C$3:$M$578,9,FALSE)</f>
        <v>..</v>
      </c>
      <c r="BQ1999" s="117">
        <f>VLOOKUP($D1999,'WB Data'!$C$3:$M$578,10,FALSE)</f>
        <v>69.708560975609771</v>
      </c>
      <c r="BR1999" s="117">
        <f>VLOOKUP($D1999,'WB Data'!$C$3:$M$578,11,FALSE)</f>
        <v>20.2</v>
      </c>
      <c r="BS1999" s="129" t="str">
        <f>IFERROR(VLOOKUP($D1999,'WB Data 2'!$C$2:$K$545,9,FALSE),"..")</f>
        <v>..</v>
      </c>
      <c r="BT1999" s="129">
        <f>_xlfn.IFNA(VLOOKUP($C1999,RGI!$A$2:$C$43,2,FALSE),"..")</f>
        <v>61.9</v>
      </c>
      <c r="BU1999" s="129">
        <f>_xlfn.IFNA(VLOOKUP($C1999,RGI!$A$2:$C$43,3,FALSE),"..")</f>
        <v>73.801508489070173</v>
      </c>
      <c r="BV1999" s="129">
        <f>VLOOKUP($D1999,WGI!$C$2:$O$478,7,FALSE)</f>
        <v>0.475132491607689</v>
      </c>
      <c r="BW1999" s="129">
        <f>VLOOKUP($D1999,WGI!$C$2:$O$478,4,FALSE)</f>
        <v>0.149892618739455</v>
      </c>
      <c r="BX1999" s="129">
        <f>VLOOKUP($D1999,WGI!$C$2:$O$478,3,FALSE)</f>
        <v>0.316550861431385</v>
      </c>
      <c r="BY1999" s="129">
        <f>VLOOKUP($D1999,WGI!$C$2:$O$478,5,FALSE)</f>
        <v>0.40364414730460202</v>
      </c>
      <c r="BZ1999" s="129">
        <f>VLOOKUP($D1999,WGI!$C$2:$O$478,2,FALSE)</f>
        <v>-0.28142374093611999</v>
      </c>
      <c r="CB1999" s="129"/>
    </row>
    <row r="2000" spans="1:80" s="120" customFormat="1" ht="15" customHeight="1">
      <c r="A2000" s="280" t="s">
        <v>525</v>
      </c>
      <c r="B2000" s="117">
        <v>2011</v>
      </c>
      <c r="C2000" s="117" t="s">
        <v>3091</v>
      </c>
      <c r="D2000" s="117" t="s">
        <v>3716</v>
      </c>
      <c r="E2000" s="117" t="s">
        <v>220</v>
      </c>
      <c r="F2000" s="117"/>
      <c r="G2000" s="120" t="s">
        <v>561</v>
      </c>
      <c r="H2000" s="117" t="str">
        <f t="shared" si="342"/>
        <v>no</v>
      </c>
      <c r="I2000" s="117" t="str">
        <f t="shared" si="346"/>
        <v>yes</v>
      </c>
      <c r="J2000" s="117" t="str">
        <f t="shared" si="347"/>
        <v>no</v>
      </c>
      <c r="K2000" s="117" t="s">
        <v>561</v>
      </c>
      <c r="L2000" s="117" t="str">
        <f t="shared" si="343"/>
        <v>detailed</v>
      </c>
      <c r="M2000" s="117" t="str">
        <f t="shared" si="348"/>
        <v>detailed Gas</v>
      </c>
      <c r="N2000" s="118">
        <f>((44800000000/365)*92)+((42900000000/365)*273)</f>
        <v>43378904109.589043</v>
      </c>
      <c r="O2000" s="118"/>
      <c r="P2000" s="118"/>
      <c r="Q2000" s="118"/>
      <c r="R2000" s="118"/>
      <c r="S2000" s="117" t="s">
        <v>642</v>
      </c>
      <c r="T2000" s="119">
        <v>0.19666043794616025</v>
      </c>
      <c r="U2000" s="117" t="s">
        <v>643</v>
      </c>
      <c r="V2000" s="117" t="s">
        <v>2358</v>
      </c>
      <c r="W2000" s="89">
        <f t="shared" ref="W2000:W2006" si="355">N2000*T2000</f>
        <v>8530914279.8162718</v>
      </c>
      <c r="X2000" s="117"/>
      <c r="Y2000" s="117"/>
      <c r="Z2000" s="117"/>
      <c r="AA2000" s="89"/>
      <c r="AB2000" s="89"/>
      <c r="AC2000" s="240"/>
      <c r="AD2000" s="240"/>
      <c r="AE2000" s="240"/>
      <c r="AF2000" s="241"/>
      <c r="AG2000" s="117"/>
      <c r="AH2000" s="124"/>
      <c r="AI2000" s="117"/>
      <c r="AJ2000" s="117"/>
      <c r="AK2000" s="89"/>
      <c r="AL2000" s="117"/>
      <c r="AM2000" s="117"/>
      <c r="AN2000" s="117"/>
      <c r="AO2000" s="117"/>
      <c r="AP2000" s="117"/>
      <c r="AQ2000" s="117"/>
      <c r="AR2000" s="117"/>
      <c r="AS2000" s="117"/>
      <c r="AT2000" s="117"/>
      <c r="AU2000" s="117"/>
      <c r="AV2000" s="128"/>
      <c r="AW2000" s="117">
        <f>VLOOKUP($D2000,'WB Data'!$C$3:$M$578,2,FALSE)</f>
        <v>23676348287.27895</v>
      </c>
      <c r="AX2000" s="117">
        <f>VLOOKUP($D2000,'WB Data'!$C$3:$M$578,3,FALSE)</f>
        <v>1333082</v>
      </c>
      <c r="AY2000" s="847" t="str">
        <f t="shared" si="351"/>
        <v>..</v>
      </c>
      <c r="AZ2000" s="117" t="e">
        <f>VLOOKUP($D2000,'WB Data'!$C$3:$M$578,4,FALSE)/100</f>
        <v>#VALUE!</v>
      </c>
      <c r="BA2000" s="117" t="str">
        <f t="shared" si="352"/>
        <v>..</v>
      </c>
      <c r="BB2000" s="129" t="str">
        <f>IFERROR(VLOOKUP($D2000,'EITI Revenues'!$C$2:$G$224,5,FALSE),"..")</f>
        <v>..</v>
      </c>
      <c r="BC2000" s="846" t="str">
        <f t="shared" si="353"/>
        <v>..</v>
      </c>
      <c r="BD2000" s="129" t="str">
        <f>VLOOKUP($D2000,'WB Data 2'!$C$2:$K$545,6,FALSE)</f>
        <v>..</v>
      </c>
      <c r="BE2000" s="129">
        <f>IFERROR(VLOOKUP($D2000,UNCTAD!$C$5:$V$529,4,FALSE),"..")</f>
        <v>20756130000</v>
      </c>
      <c r="BF2000" s="846" t="str">
        <f t="shared" si="354"/>
        <v>..</v>
      </c>
      <c r="BG2000" s="117" t="str">
        <f>VLOOKUP($D2000,'WB Data'!$C$3:$M$578,5,FALSE)</f>
        <v>..</v>
      </c>
      <c r="BH2000" s="129" t="str">
        <f>IFERROR($BB2000/$BG2000,"..")</f>
        <v>..</v>
      </c>
      <c r="BI2000" s="117" t="str">
        <f>IFERROR(VLOOKUP($D2000,'WB Data'!$C$3:$M$578,7,FALSE)/100,"..")</f>
        <v>..</v>
      </c>
      <c r="BJ2000" s="117" t="str">
        <f>IFERROR($BI2000*$AW2000,"..")</f>
        <v>..</v>
      </c>
      <c r="BK2000" s="846" t="str">
        <f>IFERROR($BB2000/$BJ2000,"..")</f>
        <v>..</v>
      </c>
      <c r="BL2000" s="117" t="str">
        <f>IFERROR(VLOOKUP($D2000,'WB Data'!$C$3:$M$578,7,FALSE)/100,"..")</f>
        <v>..</v>
      </c>
      <c r="BM2000" s="117" t="str">
        <f>IFERROR($AW2000*$BL2000,"..")</f>
        <v>..</v>
      </c>
      <c r="BN2000" s="846" t="str">
        <f>IFERROR($BB2000/$BM2000,"..")</f>
        <v>..</v>
      </c>
      <c r="BO2000" s="801">
        <f t="shared" si="350"/>
        <v>38</v>
      </c>
      <c r="BP2000" s="117" t="str">
        <f>VLOOKUP($D2000,'WB Data'!$C$3:$M$578,9,FALSE)</f>
        <v>..</v>
      </c>
      <c r="BQ2000" s="117">
        <f>VLOOKUP($D2000,'WB Data'!$C$3:$M$578,10,FALSE)</f>
        <v>69.708560975609771</v>
      </c>
      <c r="BR2000" s="117">
        <f>VLOOKUP($D2000,'WB Data'!$C$3:$M$578,11,FALSE)</f>
        <v>20.2</v>
      </c>
      <c r="BS2000" s="129" t="str">
        <f>IFERROR(VLOOKUP($D2000,'WB Data 2'!$C$2:$K$545,9,FALSE),"..")</f>
        <v>..</v>
      </c>
      <c r="BT2000" s="129">
        <f>_xlfn.IFNA(VLOOKUP($C2000,RGI!$A$2:$C$43,2,FALSE),"..")</f>
        <v>61.9</v>
      </c>
      <c r="BU2000" s="129">
        <f>_xlfn.IFNA(VLOOKUP($C2000,RGI!$A$2:$C$43,3,FALSE),"..")</f>
        <v>73.801508489070173</v>
      </c>
      <c r="BV2000" s="129">
        <f>VLOOKUP($D2000,WGI!$C$2:$O$478,7,FALSE)</f>
        <v>0.475132491607689</v>
      </c>
      <c r="BW2000" s="129">
        <f>VLOOKUP($D2000,WGI!$C$2:$O$478,4,FALSE)</f>
        <v>0.149892618739455</v>
      </c>
      <c r="BX2000" s="129">
        <f>VLOOKUP($D2000,WGI!$C$2:$O$478,3,FALSE)</f>
        <v>0.316550861431385</v>
      </c>
      <c r="BY2000" s="129">
        <f>VLOOKUP($D2000,WGI!$C$2:$O$478,5,FALSE)</f>
        <v>0.40364414730460202</v>
      </c>
      <c r="BZ2000" s="129">
        <f>VLOOKUP($D2000,WGI!$C$2:$O$478,2,FALSE)</f>
        <v>-0.28142374093611999</v>
      </c>
      <c r="CB2000" s="129"/>
    </row>
    <row r="2001" spans="1:80" s="173" customFormat="1" ht="15" customHeight="1" thickBot="1">
      <c r="A2001" s="341" t="s">
        <v>525</v>
      </c>
      <c r="B2001" s="164">
        <v>2011</v>
      </c>
      <c r="C2001" s="164" t="s">
        <v>3091</v>
      </c>
      <c r="D2001" s="117" t="s">
        <v>3716</v>
      </c>
      <c r="E2001" s="164" t="s">
        <v>220</v>
      </c>
      <c r="F2001" s="164"/>
      <c r="G2001" s="173" t="s">
        <v>103</v>
      </c>
      <c r="H2001" s="117" t="str">
        <f t="shared" si="342"/>
        <v>no</v>
      </c>
      <c r="I2001" s="117" t="str">
        <f t="shared" si="346"/>
        <v>no</v>
      </c>
      <c r="J2001" s="117" t="str">
        <f t="shared" si="347"/>
        <v>yes</v>
      </c>
      <c r="K2001" s="164" t="s">
        <v>103</v>
      </c>
      <c r="L2001" s="117" t="str">
        <f t="shared" si="343"/>
        <v>detailed</v>
      </c>
      <c r="M2001" s="117" t="str">
        <f t="shared" si="348"/>
        <v>detailed Oil</v>
      </c>
      <c r="N2001" s="165">
        <f>(148000*92)+(140000*273)</f>
        <v>51836000</v>
      </c>
      <c r="O2001" s="165"/>
      <c r="P2001" s="165"/>
      <c r="Q2001" s="165"/>
      <c r="R2001" s="165"/>
      <c r="S2001" s="164" t="s">
        <v>646</v>
      </c>
      <c r="T2001" s="166">
        <f>((79.51/365)*92)+((106.53/365)*273)</f>
        <v>99.719479452054799</v>
      </c>
      <c r="U2001" s="164" t="s">
        <v>673</v>
      </c>
      <c r="V2001" s="164" t="s">
        <v>2359</v>
      </c>
      <c r="W2001" s="167">
        <f t="shared" si="355"/>
        <v>5169058936.8767128</v>
      </c>
      <c r="X2001" s="164"/>
      <c r="Y2001" s="164"/>
      <c r="Z2001" s="164"/>
      <c r="AA2001" s="167"/>
      <c r="AB2001" s="167"/>
      <c r="AC2001" s="459"/>
      <c r="AD2001" s="459"/>
      <c r="AE2001" s="459"/>
      <c r="AF2001" s="460"/>
      <c r="AG2001" s="164"/>
      <c r="AH2001" s="171"/>
      <c r="AI2001" s="164"/>
      <c r="AJ2001" s="164"/>
      <c r="AK2001" s="167"/>
      <c r="AL2001" s="164"/>
      <c r="AM2001" s="164"/>
      <c r="AN2001" s="164"/>
      <c r="AO2001" s="164"/>
      <c r="AP2001" s="164"/>
      <c r="AQ2001" s="164"/>
      <c r="AR2001" s="164"/>
      <c r="AS2001" s="164"/>
      <c r="AT2001" s="164"/>
      <c r="AU2001" s="164"/>
      <c r="AV2001" s="172"/>
      <c r="AW2001" s="117">
        <f>VLOOKUP($D2001,'WB Data'!$C$3:$M$578,2,FALSE)</f>
        <v>23676348287.27895</v>
      </c>
      <c r="AX2001" s="117">
        <f>VLOOKUP($D2001,'WB Data'!$C$3:$M$578,3,FALSE)</f>
        <v>1333082</v>
      </c>
      <c r="AY2001" s="847" t="str">
        <f t="shared" si="351"/>
        <v>..</v>
      </c>
      <c r="AZ2001" s="117" t="e">
        <f>VLOOKUP($D2001,'WB Data'!$C$3:$M$578,4,FALSE)/100</f>
        <v>#VALUE!</v>
      </c>
      <c r="BA2001" s="117" t="str">
        <f t="shared" si="352"/>
        <v>..</v>
      </c>
      <c r="BB2001" s="129" t="str">
        <f>IFERROR(VLOOKUP($D2001,'EITI Revenues'!$C$2:$G$224,5,FALSE),"..")</f>
        <v>..</v>
      </c>
      <c r="BC2001" s="846" t="str">
        <f t="shared" si="353"/>
        <v>..</v>
      </c>
      <c r="BD2001" s="129" t="str">
        <f>VLOOKUP($D2001,'WB Data 2'!$C$2:$K$545,6,FALSE)</f>
        <v>..</v>
      </c>
      <c r="BE2001" s="129">
        <f>IFERROR(VLOOKUP($D2001,UNCTAD!$C$5:$V$529,4,FALSE),"..")</f>
        <v>20756130000</v>
      </c>
      <c r="BF2001" s="846" t="str">
        <f t="shared" si="354"/>
        <v>..</v>
      </c>
      <c r="BG2001" s="117" t="str">
        <f>VLOOKUP($D2001,'WB Data'!$C$3:$M$578,5,FALSE)</f>
        <v>..</v>
      </c>
      <c r="BH2001" s="129" t="str">
        <f>IFERROR($BB2001/$BG2001,"..")</f>
        <v>..</v>
      </c>
      <c r="BI2001" s="117" t="str">
        <f>IFERROR(VLOOKUP($D2001,'WB Data'!$C$3:$M$578,7,FALSE)/100,"..")</f>
        <v>..</v>
      </c>
      <c r="BJ2001" s="117" t="str">
        <f>IFERROR($BI2001*$AW2001,"..")</f>
        <v>..</v>
      </c>
      <c r="BK2001" s="846" t="str">
        <f>IFERROR($BB2001/$BJ2001,"..")</f>
        <v>..</v>
      </c>
      <c r="BL2001" s="117" t="str">
        <f>IFERROR(VLOOKUP($D2001,'WB Data'!$C$3:$M$578,7,FALSE)/100,"..")</f>
        <v>..</v>
      </c>
      <c r="BM2001" s="117" t="str">
        <f>IFERROR($AW2001*$BL2001,"..")</f>
        <v>..</v>
      </c>
      <c r="BN2001" s="846" t="str">
        <f>IFERROR($BB2001/$BM2001,"..")</f>
        <v>..</v>
      </c>
      <c r="BO2001" s="801">
        <f t="shared" si="350"/>
        <v>38</v>
      </c>
      <c r="BP2001" s="117" t="str">
        <f>VLOOKUP($D2001,'WB Data'!$C$3:$M$578,9,FALSE)</f>
        <v>..</v>
      </c>
      <c r="BQ2001" s="117">
        <f>VLOOKUP($D2001,'WB Data'!$C$3:$M$578,10,FALSE)</f>
        <v>69.708560975609771</v>
      </c>
      <c r="BR2001" s="117">
        <f>VLOOKUP($D2001,'WB Data'!$C$3:$M$578,11,FALSE)</f>
        <v>20.2</v>
      </c>
      <c r="BS2001" s="129" t="str">
        <f>IFERROR(VLOOKUP($D2001,'WB Data 2'!$C$2:$K$545,9,FALSE),"..")</f>
        <v>..</v>
      </c>
      <c r="BT2001" s="129">
        <f>_xlfn.IFNA(VLOOKUP($C2001,RGI!$A$2:$C$43,2,FALSE),"..")</f>
        <v>61.9</v>
      </c>
      <c r="BU2001" s="129">
        <f>_xlfn.IFNA(VLOOKUP($C2001,RGI!$A$2:$C$43,3,FALSE),"..")</f>
        <v>73.801508489070173</v>
      </c>
      <c r="BV2001" s="129">
        <f>VLOOKUP($D2001,WGI!$C$2:$O$478,7,FALSE)</f>
        <v>0.475132491607689</v>
      </c>
      <c r="BW2001" s="129">
        <f>VLOOKUP($D2001,WGI!$C$2:$O$478,4,FALSE)</f>
        <v>0.149892618739455</v>
      </c>
      <c r="BX2001" s="129">
        <f>VLOOKUP($D2001,WGI!$C$2:$O$478,3,FALSE)</f>
        <v>0.316550861431385</v>
      </c>
      <c r="BY2001" s="129">
        <f>VLOOKUP($D2001,WGI!$C$2:$O$478,5,FALSE)</f>
        <v>0.40364414730460202</v>
      </c>
      <c r="BZ2001" s="129">
        <f>VLOOKUP($D2001,WGI!$C$2:$O$478,2,FALSE)</f>
        <v>-0.28142374093611999</v>
      </c>
      <c r="CB2001" s="129"/>
    </row>
    <row r="2002" spans="1:80" s="385" customFormat="1" ht="15" customHeight="1">
      <c r="A2002" s="642" t="s">
        <v>528</v>
      </c>
      <c r="B2002" s="542">
        <v>2005</v>
      </c>
      <c r="C2002" s="542" t="s">
        <v>529</v>
      </c>
      <c r="D2002" s="117" t="s">
        <v>3804</v>
      </c>
      <c r="E2002" s="542" t="s">
        <v>252</v>
      </c>
      <c r="F2002" s="542" t="s">
        <v>2361</v>
      </c>
      <c r="G2002" s="542" t="s">
        <v>103</v>
      </c>
      <c r="H2002" s="117" t="str">
        <f t="shared" si="342"/>
        <v>no</v>
      </c>
      <c r="I2002" s="117" t="str">
        <f t="shared" si="346"/>
        <v>no</v>
      </c>
      <c r="J2002" s="117" t="str">
        <f t="shared" si="347"/>
        <v>yes</v>
      </c>
      <c r="K2002" s="542" t="s">
        <v>103</v>
      </c>
      <c r="L2002" s="117" t="str">
        <f t="shared" si="343"/>
        <v>detailed</v>
      </c>
      <c r="M2002" s="117" t="str">
        <f t="shared" si="348"/>
        <v>detailed Oil</v>
      </c>
      <c r="N2002" s="643">
        <v>153665000</v>
      </c>
      <c r="O2002" s="643"/>
      <c r="P2002" s="643"/>
      <c r="Q2002" s="643"/>
      <c r="R2002" s="643"/>
      <c r="S2002" s="542" t="s">
        <v>646</v>
      </c>
      <c r="T2002" s="644">
        <v>51.448448141042135</v>
      </c>
      <c r="U2002" s="542" t="s">
        <v>673</v>
      </c>
      <c r="V2002" s="542" t="s">
        <v>2362</v>
      </c>
      <c r="W2002" s="645">
        <f t="shared" si="355"/>
        <v>7905825783.5932398</v>
      </c>
      <c r="X2002" s="542" t="s">
        <v>2363</v>
      </c>
      <c r="Y2002" s="542" t="s">
        <v>663</v>
      </c>
      <c r="Z2002" s="542" t="s">
        <v>664</v>
      </c>
      <c r="AA2002" s="646">
        <v>4668154975</v>
      </c>
      <c r="AB2002" s="646">
        <v>4668248606</v>
      </c>
      <c r="AC2002" s="647"/>
      <c r="AD2002" s="647"/>
      <c r="AE2002" s="647"/>
      <c r="AF2002" s="648">
        <f t="shared" ref="AF2002:AF2014" si="356">AA2002/W2002</f>
        <v>0.59047025608478543</v>
      </c>
      <c r="AG2002" s="542" t="s">
        <v>864</v>
      </c>
      <c r="AH2002" s="649" t="s">
        <v>865</v>
      </c>
      <c r="AI2002" s="542" t="s">
        <v>667</v>
      </c>
      <c r="AJ2002" s="542" t="s">
        <v>2364</v>
      </c>
      <c r="AK2002" s="645">
        <v>4614963973</v>
      </c>
      <c r="AL2002" s="542"/>
      <c r="AM2002" s="542"/>
      <c r="AN2002" s="542">
        <v>12</v>
      </c>
      <c r="AO2002" s="542" t="s">
        <v>2365</v>
      </c>
      <c r="AP2002" s="542">
        <v>12</v>
      </c>
      <c r="AQ2002" s="542" t="s">
        <v>530</v>
      </c>
      <c r="AR2002" s="650">
        <v>41914</v>
      </c>
      <c r="AS2002" s="542" t="s">
        <v>1029</v>
      </c>
      <c r="AT2002" s="542" t="s">
        <v>531</v>
      </c>
      <c r="AU2002" s="542">
        <v>19</v>
      </c>
      <c r="AV2002" s="651" t="s">
        <v>2366</v>
      </c>
      <c r="AW2002" s="117" t="e">
        <f>VLOOKUP($D2002,'WB Data'!$C$3:$M$578,2,FALSE)</f>
        <v>#N/A</v>
      </c>
      <c r="AX2002" s="117" t="e">
        <f>VLOOKUP($D2002,'WB Data'!$C$3:$M$578,3,FALSE)</f>
        <v>#N/A</v>
      </c>
      <c r="AY2002" s="847" t="str">
        <f t="shared" si="351"/>
        <v>..</v>
      </c>
      <c r="AZ2002" s="117" t="e">
        <f>VLOOKUP($D2002,'WB Data'!$C$3:$M$578,4,FALSE)/100</f>
        <v>#N/A</v>
      </c>
      <c r="BA2002" s="117" t="str">
        <f t="shared" si="352"/>
        <v>..</v>
      </c>
      <c r="BB2002" s="129">
        <f>IFERROR(VLOOKUP($D2002,'EITI Revenues'!$C$2:$G$224,5,FALSE),"..")</f>
        <v>4668154975</v>
      </c>
      <c r="BC2002" s="846" t="str">
        <f t="shared" si="353"/>
        <v>..</v>
      </c>
      <c r="BD2002" s="129" t="e">
        <f>VLOOKUP($D2002,'WB Data 2'!$C$2:$K$545,6,FALSE)</f>
        <v>#N/A</v>
      </c>
      <c r="BE2002" s="129">
        <f>IFERROR(VLOOKUP($D2002,UNCTAD!$C$5:$V$529,4,FALSE),"..")</f>
        <v>6785262000</v>
      </c>
      <c r="BF2002" s="846" t="str">
        <f t="shared" si="354"/>
        <v>..</v>
      </c>
      <c r="BG2002" s="117" t="e">
        <f>VLOOKUP($D2002,'WB Data'!$C$3:$M$578,5,FALSE)</f>
        <v>#N/A</v>
      </c>
      <c r="BH2002" s="129" t="str">
        <f>IFERROR($BB2002/$BG2002,"..")</f>
        <v>..</v>
      </c>
      <c r="BI2002" s="117" t="str">
        <f>IFERROR(VLOOKUP($D2002,'WB Data'!$C$3:$M$578,7,FALSE)/100,"..")</f>
        <v>..</v>
      </c>
      <c r="BJ2002" s="117" t="str">
        <f>IFERROR($BI2002*$AW2002,"..")</f>
        <v>..</v>
      </c>
      <c r="BK2002" s="846" t="str">
        <f>IFERROR($BB2002/$BJ2002,"..")</f>
        <v>..</v>
      </c>
      <c r="BL2002" s="117" t="str">
        <f>IFERROR(VLOOKUP($D2002,'WB Data'!$C$3:$M$578,7,FALSE)/100,"..")</f>
        <v>..</v>
      </c>
      <c r="BM2002" s="117" t="str">
        <f>IFERROR($AW2002*$BL2002,"..")</f>
        <v>..</v>
      </c>
      <c r="BN2002" s="846" t="str">
        <f>IFERROR($BB2002/$BM2002,"..")</f>
        <v>..</v>
      </c>
      <c r="BO2002" s="801">
        <f t="shared" si="350"/>
        <v>19</v>
      </c>
      <c r="BP2002" s="117" t="e">
        <f>VLOOKUP($D2002,'WB Data'!$C$3:$M$578,9,FALSE)</f>
        <v>#N/A</v>
      </c>
      <c r="BQ2002" s="117" t="e">
        <f>VLOOKUP($D2002,'WB Data'!$C$3:$M$578,10,FALSE)</f>
        <v>#N/A</v>
      </c>
      <c r="BR2002" s="117" t="e">
        <f>VLOOKUP($D2002,'WB Data'!$C$3:$M$578,11,FALSE)</f>
        <v>#N/A</v>
      </c>
      <c r="BS2002" s="129" t="str">
        <f>IFERROR(VLOOKUP($D2002,'WB Data 2'!$C$2:$K$545,9,FALSE),"..")</f>
        <v>..</v>
      </c>
      <c r="BT2002" s="129">
        <f>_xlfn.IFNA(VLOOKUP($C2002,RGI!$A$2:$C$43,2,FALSE),"..")</f>
        <v>60.5</v>
      </c>
      <c r="BU2002" s="129">
        <f>_xlfn.IFNA(VLOOKUP($C2002,RGI!$A$2:$C$43,3,FALSE),"..")</f>
        <v>43.154597212929545</v>
      </c>
      <c r="BV2002" s="129" t="e">
        <f>VLOOKUP($D2002,WGI!$C$2:$O$478,7,FALSE)</f>
        <v>#N/A</v>
      </c>
      <c r="BW2002" s="129" t="e">
        <f>VLOOKUP($D2002,WGI!$C$2:$O$478,4,FALSE)</f>
        <v>#N/A</v>
      </c>
      <c r="BX2002" s="129" t="e">
        <f>VLOOKUP($D2002,WGI!$C$2:$O$478,3,FALSE)</f>
        <v>#N/A</v>
      </c>
      <c r="BY2002" s="129" t="e">
        <f>VLOOKUP($D2002,WGI!$C$2:$O$478,5,FALSE)</f>
        <v>#N/A</v>
      </c>
      <c r="BZ2002" s="129" t="e">
        <f>VLOOKUP($D2002,WGI!$C$2:$O$478,2,FALSE)</f>
        <v>#N/A</v>
      </c>
      <c r="CB2002" s="129"/>
    </row>
    <row r="2003" spans="1:80" s="158" customFormat="1" ht="15" customHeight="1">
      <c r="A2003" s="282" t="s">
        <v>532</v>
      </c>
      <c r="B2003" s="149">
        <v>2006</v>
      </c>
      <c r="C2003" s="149" t="s">
        <v>529</v>
      </c>
      <c r="D2003" s="117" t="s">
        <v>3805</v>
      </c>
      <c r="E2003" s="149" t="s">
        <v>252</v>
      </c>
      <c r="F2003" s="149" t="s">
        <v>2361</v>
      </c>
      <c r="G2003" s="149" t="s">
        <v>103</v>
      </c>
      <c r="H2003" s="117" t="str">
        <f t="shared" si="342"/>
        <v>no</v>
      </c>
      <c r="I2003" s="117" t="str">
        <f t="shared" si="346"/>
        <v>no</v>
      </c>
      <c r="J2003" s="117" t="str">
        <f t="shared" si="347"/>
        <v>yes</v>
      </c>
      <c r="K2003" s="471" t="s">
        <v>103</v>
      </c>
      <c r="L2003" s="117" t="str">
        <f t="shared" si="343"/>
        <v>detailed</v>
      </c>
      <c r="M2003" s="117" t="str">
        <f t="shared" si="348"/>
        <v>detailed Oil</v>
      </c>
      <c r="N2003" s="150">
        <v>141255000</v>
      </c>
      <c r="O2003" s="150"/>
      <c r="P2003" s="150"/>
      <c r="Q2003" s="150"/>
      <c r="R2003" s="150"/>
      <c r="S2003" s="149" t="s">
        <v>646</v>
      </c>
      <c r="T2003" s="151">
        <v>56.158702915231345</v>
      </c>
      <c r="U2003" s="149" t="s">
        <v>673</v>
      </c>
      <c r="V2003" s="149" t="s">
        <v>2362</v>
      </c>
      <c r="W2003" s="152">
        <f t="shared" si="355"/>
        <v>7932697580.2910032</v>
      </c>
      <c r="X2003" s="149" t="s">
        <v>2363</v>
      </c>
      <c r="Y2003" s="149" t="s">
        <v>663</v>
      </c>
      <c r="Z2003" s="149" t="s">
        <v>664</v>
      </c>
      <c r="AA2003" s="284">
        <v>5122351269</v>
      </c>
      <c r="AB2003" s="284">
        <v>5121921597</v>
      </c>
      <c r="AC2003" s="154"/>
      <c r="AD2003" s="154"/>
      <c r="AE2003" s="154"/>
      <c r="AF2003" s="155">
        <f t="shared" si="356"/>
        <v>0.64572627623251599</v>
      </c>
      <c r="AG2003" s="149" t="s">
        <v>864</v>
      </c>
      <c r="AH2003" s="156" t="s">
        <v>865</v>
      </c>
      <c r="AI2003" s="149" t="s">
        <v>667</v>
      </c>
      <c r="AJ2003" s="149" t="s">
        <v>2367</v>
      </c>
      <c r="AK2003" s="152">
        <v>5022000432</v>
      </c>
      <c r="AL2003" s="149"/>
      <c r="AM2003" s="149"/>
      <c r="AN2003" s="149">
        <v>12</v>
      </c>
      <c r="AO2003" s="149" t="s">
        <v>2365</v>
      </c>
      <c r="AP2003" s="149">
        <v>12</v>
      </c>
      <c r="AQ2003" s="149" t="s">
        <v>530</v>
      </c>
      <c r="AR2003" s="220">
        <v>41914</v>
      </c>
      <c r="AS2003" s="149" t="s">
        <v>1029</v>
      </c>
      <c r="AT2003" s="149" t="s">
        <v>531</v>
      </c>
      <c r="AU2003" s="149">
        <v>20</v>
      </c>
      <c r="AV2003" s="157" t="s">
        <v>2366</v>
      </c>
      <c r="AW2003" s="117" t="e">
        <f>VLOOKUP($D2003,'WB Data'!$C$3:$M$578,2,FALSE)</f>
        <v>#N/A</v>
      </c>
      <c r="AX2003" s="117" t="e">
        <f>VLOOKUP($D2003,'WB Data'!$C$3:$M$578,3,FALSE)</f>
        <v>#N/A</v>
      </c>
      <c r="AY2003" s="847" t="str">
        <f t="shared" si="351"/>
        <v>..</v>
      </c>
      <c r="AZ2003" s="117" t="e">
        <f>VLOOKUP($D2003,'WB Data'!$C$3:$M$578,4,FALSE)/100</f>
        <v>#N/A</v>
      </c>
      <c r="BA2003" s="117" t="str">
        <f t="shared" si="352"/>
        <v>..</v>
      </c>
      <c r="BB2003" s="129">
        <f>IFERROR(VLOOKUP($D2003,'EITI Revenues'!$C$2:$G$224,5,FALSE),"..")</f>
        <v>5122351269</v>
      </c>
      <c r="BC2003" s="846" t="str">
        <f t="shared" si="353"/>
        <v>..</v>
      </c>
      <c r="BD2003" s="129" t="e">
        <f>VLOOKUP($D2003,'WB Data 2'!$C$2:$K$545,6,FALSE)</f>
        <v>#N/A</v>
      </c>
      <c r="BE2003" s="129" t="str">
        <f>IFERROR(VLOOKUP($D2003,UNCTAD!$C$5:$V$529,4,FALSE),"..")</f>
        <v>..</v>
      </c>
      <c r="BF2003" s="846" t="str">
        <f t="shared" si="354"/>
        <v>..</v>
      </c>
      <c r="BG2003" s="117" t="e">
        <f>VLOOKUP($D2003,'WB Data'!$C$3:$M$578,5,FALSE)</f>
        <v>#N/A</v>
      </c>
      <c r="BH2003" s="129" t="str">
        <f>IFERROR($BB2003/$BG2003,"..")</f>
        <v>..</v>
      </c>
      <c r="BI2003" s="117" t="str">
        <f>IFERROR(VLOOKUP($D2003,'WB Data'!$C$3:$M$578,7,FALSE)/100,"..")</f>
        <v>..</v>
      </c>
      <c r="BJ2003" s="117" t="str">
        <f>IFERROR($BI2003*$AW2003,"..")</f>
        <v>..</v>
      </c>
      <c r="BK2003" s="846" t="str">
        <f>IFERROR($BB2003/$BJ2003,"..")</f>
        <v>..</v>
      </c>
      <c r="BL2003" s="117" t="str">
        <f>IFERROR(VLOOKUP($D2003,'WB Data'!$C$3:$M$578,7,FALSE)/100,"..")</f>
        <v>..</v>
      </c>
      <c r="BM2003" s="117" t="str">
        <f>IFERROR($AW2003*$BL2003,"..")</f>
        <v>..</v>
      </c>
      <c r="BN2003" s="846" t="str">
        <f>IFERROR($BB2003/$BM2003,"..")</f>
        <v>..</v>
      </c>
      <c r="BO2003" s="801">
        <f t="shared" si="350"/>
        <v>19</v>
      </c>
      <c r="BP2003" s="117" t="e">
        <f>VLOOKUP($D2003,'WB Data'!$C$3:$M$578,9,FALSE)</f>
        <v>#N/A</v>
      </c>
      <c r="BQ2003" s="117" t="e">
        <f>VLOOKUP($D2003,'WB Data'!$C$3:$M$578,10,FALSE)</f>
        <v>#N/A</v>
      </c>
      <c r="BR2003" s="117" t="e">
        <f>VLOOKUP($D2003,'WB Data'!$C$3:$M$578,11,FALSE)</f>
        <v>#N/A</v>
      </c>
      <c r="BS2003" s="129" t="str">
        <f>IFERROR(VLOOKUP($D2003,'WB Data 2'!$C$2:$K$545,9,FALSE),"..")</f>
        <v>..</v>
      </c>
      <c r="BT2003" s="129">
        <f>_xlfn.IFNA(VLOOKUP($C2003,RGI!$A$2:$C$43,2,FALSE),"..")</f>
        <v>60.5</v>
      </c>
      <c r="BU2003" s="129">
        <f>_xlfn.IFNA(VLOOKUP($C2003,RGI!$A$2:$C$43,3,FALSE),"..")</f>
        <v>43.154597212929545</v>
      </c>
      <c r="BV2003" s="129" t="e">
        <f>VLOOKUP($D2003,WGI!$C$2:$O$478,7,FALSE)</f>
        <v>#N/A</v>
      </c>
      <c r="BW2003" s="129" t="e">
        <f>VLOOKUP($D2003,WGI!$C$2:$O$478,4,FALSE)</f>
        <v>#N/A</v>
      </c>
      <c r="BX2003" s="129" t="e">
        <f>VLOOKUP($D2003,WGI!$C$2:$O$478,3,FALSE)</f>
        <v>#N/A</v>
      </c>
      <c r="BY2003" s="129" t="e">
        <f>VLOOKUP($D2003,WGI!$C$2:$O$478,5,FALSE)</f>
        <v>#N/A</v>
      </c>
      <c r="BZ2003" s="129" t="e">
        <f>VLOOKUP($D2003,WGI!$C$2:$O$478,2,FALSE)</f>
        <v>#N/A</v>
      </c>
      <c r="CB2003" s="129"/>
    </row>
    <row r="2004" spans="1:80" ht="15" customHeight="1">
      <c r="A2004" s="280" t="s">
        <v>533</v>
      </c>
      <c r="B2004" s="117">
        <v>2007</v>
      </c>
      <c r="C2004" s="117" t="s">
        <v>529</v>
      </c>
      <c r="D2004" s="117" t="s">
        <v>3806</v>
      </c>
      <c r="E2004" s="117" t="s">
        <v>252</v>
      </c>
      <c r="F2004" s="117" t="s">
        <v>2361</v>
      </c>
      <c r="G2004" s="117" t="s">
        <v>103</v>
      </c>
      <c r="H2004" s="117" t="str">
        <f t="shared" si="342"/>
        <v>no</v>
      </c>
      <c r="I2004" s="117" t="str">
        <f t="shared" si="346"/>
        <v>no</v>
      </c>
      <c r="J2004" s="117" t="str">
        <f t="shared" si="347"/>
        <v>yes</v>
      </c>
      <c r="K2004" s="471" t="s">
        <v>103</v>
      </c>
      <c r="L2004" s="117" t="str">
        <f t="shared" si="343"/>
        <v>detailed</v>
      </c>
      <c r="M2004" s="117" t="str">
        <f t="shared" si="348"/>
        <v>detailed Oil</v>
      </c>
      <c r="N2004" s="118">
        <v>124465000</v>
      </c>
      <c r="O2004" s="118"/>
      <c r="P2004" s="118"/>
      <c r="Q2004" s="118"/>
      <c r="R2004" s="118"/>
      <c r="S2004" s="117" t="s">
        <v>646</v>
      </c>
      <c r="T2004" s="119">
        <v>71.930690371762495</v>
      </c>
      <c r="U2004" s="117" t="s">
        <v>673</v>
      </c>
      <c r="V2004" s="117" t="s">
        <v>2362</v>
      </c>
      <c r="W2004" s="89">
        <f t="shared" si="355"/>
        <v>8952853377.121418</v>
      </c>
      <c r="X2004" s="117" t="s">
        <v>2363</v>
      </c>
      <c r="Y2004" s="117" t="s">
        <v>663</v>
      </c>
      <c r="Z2004" s="117" t="s">
        <v>664</v>
      </c>
      <c r="AA2004" s="177">
        <v>5331162225</v>
      </c>
      <c r="AB2004" s="177">
        <v>5331078375</v>
      </c>
      <c r="AC2004" s="122"/>
      <c r="AD2004" s="122"/>
      <c r="AE2004" s="122"/>
      <c r="AF2004" s="123">
        <f t="shared" si="356"/>
        <v>0.59547073993454713</v>
      </c>
      <c r="AG2004" s="117" t="s">
        <v>864</v>
      </c>
      <c r="AH2004" s="124" t="s">
        <v>865</v>
      </c>
      <c r="AI2004" s="117" t="s">
        <v>667</v>
      </c>
      <c r="AJ2004" s="117" t="s">
        <v>2368</v>
      </c>
      <c r="AK2004" s="89">
        <v>5247509519</v>
      </c>
      <c r="AL2004" s="117"/>
      <c r="AM2004" s="117"/>
      <c r="AN2004" s="117">
        <v>12</v>
      </c>
      <c r="AO2004" s="117" t="s">
        <v>2365</v>
      </c>
      <c r="AP2004" s="117">
        <v>12</v>
      </c>
      <c r="AQ2004" s="117" t="s">
        <v>530</v>
      </c>
      <c r="AR2004" s="126">
        <v>41914</v>
      </c>
      <c r="AS2004" s="117" t="s">
        <v>1029</v>
      </c>
      <c r="AT2004" s="117" t="s">
        <v>531</v>
      </c>
      <c r="AU2004" s="117">
        <v>21</v>
      </c>
      <c r="AV2004" s="128" t="s">
        <v>2366</v>
      </c>
      <c r="AW2004" s="117" t="e">
        <f>VLOOKUP($D2004,'WB Data'!$C$3:$M$578,2,FALSE)</f>
        <v>#N/A</v>
      </c>
      <c r="AX2004" s="117" t="e">
        <f>VLOOKUP($D2004,'WB Data'!$C$3:$M$578,3,FALSE)</f>
        <v>#N/A</v>
      </c>
      <c r="AY2004" s="847" t="str">
        <f t="shared" si="351"/>
        <v>..</v>
      </c>
      <c r="AZ2004" s="117" t="e">
        <f>VLOOKUP($D2004,'WB Data'!$C$3:$M$578,4,FALSE)/100</f>
        <v>#N/A</v>
      </c>
      <c r="BA2004" s="117" t="str">
        <f t="shared" si="352"/>
        <v>..</v>
      </c>
      <c r="BB2004" s="129">
        <f>IFERROR(VLOOKUP($D2004,'EITI Revenues'!$C$2:$G$224,5,FALSE),"..")</f>
        <v>5331162225</v>
      </c>
      <c r="BC2004" s="846" t="str">
        <f t="shared" si="353"/>
        <v>..</v>
      </c>
      <c r="BD2004" s="129" t="e">
        <f>VLOOKUP($D2004,'WB Data 2'!$C$2:$K$545,6,FALSE)</f>
        <v>#N/A</v>
      </c>
      <c r="BE2004" s="129">
        <f>IFERROR(VLOOKUP($D2004,UNCTAD!$C$5:$V$529,4,FALSE),"..")</f>
        <v>7773282000</v>
      </c>
      <c r="BF2004" s="846" t="str">
        <f t="shared" si="354"/>
        <v>..</v>
      </c>
      <c r="BG2004" s="117" t="e">
        <f>VLOOKUP($D2004,'WB Data'!$C$3:$M$578,5,FALSE)</f>
        <v>#N/A</v>
      </c>
      <c r="BH2004" s="129" t="str">
        <f>IFERROR($BB2004/$BG2004,"..")</f>
        <v>..</v>
      </c>
      <c r="BI2004" s="117" t="str">
        <f>IFERROR(VLOOKUP($D2004,'WB Data'!$C$3:$M$578,7,FALSE)/100,"..")</f>
        <v>..</v>
      </c>
      <c r="BJ2004" s="117" t="str">
        <f>IFERROR($BI2004*$AW2004,"..")</f>
        <v>..</v>
      </c>
      <c r="BK2004" s="846" t="str">
        <f>IFERROR($BB2004/$BJ2004,"..")</f>
        <v>..</v>
      </c>
      <c r="BL2004" s="117" t="str">
        <f>IFERROR(VLOOKUP($D2004,'WB Data'!$C$3:$M$578,7,FALSE)/100,"..")</f>
        <v>..</v>
      </c>
      <c r="BM2004" s="117" t="str">
        <f>IFERROR($AW2004*$BL2004,"..")</f>
        <v>..</v>
      </c>
      <c r="BN2004" s="846" t="str">
        <f>IFERROR($BB2004/$BM2004,"..")</f>
        <v>..</v>
      </c>
      <c r="BO2004" s="801">
        <f t="shared" si="350"/>
        <v>19</v>
      </c>
      <c r="BP2004" s="117" t="e">
        <f>VLOOKUP($D2004,'WB Data'!$C$3:$M$578,9,FALSE)</f>
        <v>#N/A</v>
      </c>
      <c r="BQ2004" s="117" t="e">
        <f>VLOOKUP($D2004,'WB Data'!$C$3:$M$578,10,FALSE)</f>
        <v>#N/A</v>
      </c>
      <c r="BR2004" s="117" t="e">
        <f>VLOOKUP($D2004,'WB Data'!$C$3:$M$578,11,FALSE)</f>
        <v>#N/A</v>
      </c>
      <c r="BS2004" s="129" t="str">
        <f>IFERROR(VLOOKUP($D2004,'WB Data 2'!$C$2:$K$545,9,FALSE),"..")</f>
        <v>..</v>
      </c>
      <c r="BT2004" s="129">
        <f>_xlfn.IFNA(VLOOKUP($C2004,RGI!$A$2:$C$43,2,FALSE),"..")</f>
        <v>60.5</v>
      </c>
      <c r="BU2004" s="129">
        <f>_xlfn.IFNA(VLOOKUP($C2004,RGI!$A$2:$C$43,3,FALSE),"..")</f>
        <v>43.154597212929545</v>
      </c>
      <c r="BV2004" s="129" t="e">
        <f>VLOOKUP($D2004,WGI!$C$2:$O$478,7,FALSE)</f>
        <v>#N/A</v>
      </c>
      <c r="BW2004" s="129" t="e">
        <f>VLOOKUP($D2004,WGI!$C$2:$O$478,4,FALSE)</f>
        <v>#N/A</v>
      </c>
      <c r="BX2004" s="129" t="e">
        <f>VLOOKUP($D2004,WGI!$C$2:$O$478,3,FALSE)</f>
        <v>#N/A</v>
      </c>
      <c r="BY2004" s="129" t="e">
        <f>VLOOKUP($D2004,WGI!$C$2:$O$478,5,FALSE)</f>
        <v>#N/A</v>
      </c>
      <c r="BZ2004" s="129" t="e">
        <f>VLOOKUP($D2004,WGI!$C$2:$O$478,2,FALSE)</f>
        <v>#N/A</v>
      </c>
    </row>
    <row r="2005" spans="1:80" s="480" customFormat="1" ht="15" customHeight="1">
      <c r="A2005" s="470" t="s">
        <v>534</v>
      </c>
      <c r="B2005" s="471">
        <v>2008</v>
      </c>
      <c r="C2005" s="471" t="s">
        <v>529</v>
      </c>
      <c r="D2005" s="117" t="s">
        <v>3807</v>
      </c>
      <c r="E2005" s="471" t="s">
        <v>252</v>
      </c>
      <c r="F2005" s="471" t="s">
        <v>2361</v>
      </c>
      <c r="G2005" s="471" t="s">
        <v>103</v>
      </c>
      <c r="H2005" s="117" t="str">
        <f t="shared" si="342"/>
        <v>no</v>
      </c>
      <c r="I2005" s="117" t="str">
        <f t="shared" si="346"/>
        <v>no</v>
      </c>
      <c r="J2005" s="117" t="str">
        <f t="shared" si="347"/>
        <v>yes</v>
      </c>
      <c r="K2005" s="471" t="s">
        <v>103</v>
      </c>
      <c r="L2005" s="117" t="str">
        <f t="shared" si="343"/>
        <v>detailed</v>
      </c>
      <c r="M2005" s="117" t="str">
        <f t="shared" si="348"/>
        <v>detailed Oil</v>
      </c>
      <c r="N2005" s="473">
        <v>114975000</v>
      </c>
      <c r="O2005" s="473"/>
      <c r="P2005" s="473"/>
      <c r="Q2005" s="473"/>
      <c r="R2005" s="473"/>
      <c r="S2005" s="471" t="s">
        <v>646</v>
      </c>
      <c r="T2005" s="474">
        <v>100.68876875401018</v>
      </c>
      <c r="U2005" s="471" t="s">
        <v>673</v>
      </c>
      <c r="V2005" s="471" t="s">
        <v>2362</v>
      </c>
      <c r="W2005" s="475">
        <f t="shared" si="355"/>
        <v>11576691187.492321</v>
      </c>
      <c r="X2005" s="471" t="s">
        <v>2363</v>
      </c>
      <c r="Y2005" s="471" t="s">
        <v>2369</v>
      </c>
      <c r="Z2005" s="471" t="s">
        <v>664</v>
      </c>
      <c r="AA2005" s="568">
        <v>7591231594</v>
      </c>
      <c r="AB2005" s="468">
        <v>214794365</v>
      </c>
      <c r="AC2005" s="652" t="s">
        <v>2370</v>
      </c>
      <c r="AD2005" s="652"/>
      <c r="AE2005" s="652"/>
      <c r="AF2005" s="558">
        <f t="shared" si="356"/>
        <v>0.65573413603722208</v>
      </c>
      <c r="AG2005" s="471" t="s">
        <v>864</v>
      </c>
      <c r="AH2005" s="477" t="s">
        <v>865</v>
      </c>
      <c r="AI2005" s="471" t="s">
        <v>667</v>
      </c>
      <c r="AJ2005" s="471" t="s">
        <v>2371</v>
      </c>
      <c r="AK2005" s="475">
        <v>7375553000</v>
      </c>
      <c r="AL2005" s="471"/>
      <c r="AM2005" s="471"/>
      <c r="AN2005" s="471">
        <v>12</v>
      </c>
      <c r="AO2005" s="471" t="s">
        <v>2365</v>
      </c>
      <c r="AP2005" s="471">
        <v>12</v>
      </c>
      <c r="AQ2005" s="641" t="s">
        <v>82</v>
      </c>
      <c r="AR2005" s="478">
        <v>41914</v>
      </c>
      <c r="AS2005" s="471" t="s">
        <v>1029</v>
      </c>
      <c r="AT2005" s="471" t="s">
        <v>535</v>
      </c>
      <c r="AU2005" s="471" t="s">
        <v>2372</v>
      </c>
      <c r="AV2005" s="479" t="s">
        <v>2373</v>
      </c>
      <c r="AW2005" s="117" t="e">
        <f>VLOOKUP($D2005,'WB Data'!$C$3:$M$578,2,FALSE)</f>
        <v>#N/A</v>
      </c>
      <c r="AX2005" s="117" t="e">
        <f>VLOOKUP($D2005,'WB Data'!$C$3:$M$578,3,FALSE)</f>
        <v>#N/A</v>
      </c>
      <c r="AY2005" s="847" t="str">
        <f t="shared" si="351"/>
        <v>..</v>
      </c>
      <c r="AZ2005" s="117" t="e">
        <f>VLOOKUP($D2005,'WB Data'!$C$3:$M$578,4,FALSE)/100</f>
        <v>#N/A</v>
      </c>
      <c r="BA2005" s="117" t="str">
        <f t="shared" si="352"/>
        <v>..</v>
      </c>
      <c r="BB2005" s="129">
        <f>IFERROR(VLOOKUP($D2005,'EITI Revenues'!$C$2:$G$224,5,FALSE),"..")</f>
        <v>7591231594</v>
      </c>
      <c r="BC2005" s="846" t="str">
        <f t="shared" si="353"/>
        <v>..</v>
      </c>
      <c r="BD2005" s="129" t="e">
        <f>VLOOKUP($D2005,'WB Data 2'!$C$2:$K$545,6,FALSE)</f>
        <v>#N/A</v>
      </c>
      <c r="BE2005" s="129">
        <f>IFERROR(VLOOKUP($D2005,UNCTAD!$C$5:$V$529,4,FALSE),"..")</f>
        <v>10182250000</v>
      </c>
      <c r="BF2005" s="846" t="str">
        <f t="shared" si="354"/>
        <v>..</v>
      </c>
      <c r="BG2005" s="117" t="e">
        <f>VLOOKUP($D2005,'WB Data'!$C$3:$M$578,5,FALSE)</f>
        <v>#N/A</v>
      </c>
      <c r="BH2005" s="129" t="str">
        <f>IFERROR($BB2005/$BG2005,"..")</f>
        <v>..</v>
      </c>
      <c r="BI2005" s="117" t="str">
        <f>IFERROR(VLOOKUP($D2005,'WB Data'!$C$3:$M$578,7,FALSE)/100,"..")</f>
        <v>..</v>
      </c>
      <c r="BJ2005" s="117" t="str">
        <f>IFERROR($BI2005*$AW2005,"..")</f>
        <v>..</v>
      </c>
      <c r="BK2005" s="846" t="str">
        <f>IFERROR($BB2005/$BJ2005,"..")</f>
        <v>..</v>
      </c>
      <c r="BL2005" s="117" t="str">
        <f>IFERROR(VLOOKUP($D2005,'WB Data'!$C$3:$M$578,7,FALSE)/100,"..")</f>
        <v>..</v>
      </c>
      <c r="BM2005" s="117" t="str">
        <f>IFERROR($AW2005*$BL2005,"..")</f>
        <v>..</v>
      </c>
      <c r="BN2005" s="846" t="str">
        <f>IFERROR($BB2005/$BM2005,"..")</f>
        <v>..</v>
      </c>
      <c r="BO2005" s="801">
        <f t="shared" si="350"/>
        <v>19</v>
      </c>
      <c r="BP2005" s="117" t="e">
        <f>VLOOKUP($D2005,'WB Data'!$C$3:$M$578,9,FALSE)</f>
        <v>#N/A</v>
      </c>
      <c r="BQ2005" s="117" t="e">
        <f>VLOOKUP($D2005,'WB Data'!$C$3:$M$578,10,FALSE)</f>
        <v>#N/A</v>
      </c>
      <c r="BR2005" s="117" t="e">
        <f>VLOOKUP($D2005,'WB Data'!$C$3:$M$578,11,FALSE)</f>
        <v>#N/A</v>
      </c>
      <c r="BS2005" s="129" t="str">
        <f>IFERROR(VLOOKUP($D2005,'WB Data 2'!$C$2:$K$545,9,FALSE),"..")</f>
        <v>..</v>
      </c>
      <c r="BT2005" s="129">
        <f>_xlfn.IFNA(VLOOKUP($C2005,RGI!$A$2:$C$43,2,FALSE),"..")</f>
        <v>60.5</v>
      </c>
      <c r="BU2005" s="129">
        <f>_xlfn.IFNA(VLOOKUP($C2005,RGI!$A$2:$C$43,3,FALSE),"..")</f>
        <v>43.154597212929545</v>
      </c>
      <c r="BV2005" s="129" t="e">
        <f>VLOOKUP($D2005,WGI!$C$2:$O$478,7,FALSE)</f>
        <v>#N/A</v>
      </c>
      <c r="BW2005" s="129" t="e">
        <f>VLOOKUP($D2005,WGI!$C$2:$O$478,4,FALSE)</f>
        <v>#N/A</v>
      </c>
      <c r="BX2005" s="129" t="e">
        <f>VLOOKUP($D2005,WGI!$C$2:$O$478,3,FALSE)</f>
        <v>#N/A</v>
      </c>
      <c r="BY2005" s="129" t="e">
        <f>VLOOKUP($D2005,WGI!$C$2:$O$478,5,FALSE)</f>
        <v>#N/A</v>
      </c>
      <c r="BZ2005" s="129" t="e">
        <f>VLOOKUP($D2005,WGI!$C$2:$O$478,2,FALSE)</f>
        <v>#N/A</v>
      </c>
      <c r="CB2005" s="129"/>
    </row>
    <row r="2006" spans="1:80" ht="15" customHeight="1">
      <c r="A2006" s="280" t="s">
        <v>536</v>
      </c>
      <c r="B2006" s="117">
        <v>2009</v>
      </c>
      <c r="C2006" s="117" t="s">
        <v>529</v>
      </c>
      <c r="D2006" s="117" t="s">
        <v>3808</v>
      </c>
      <c r="E2006" s="117" t="s">
        <v>252</v>
      </c>
      <c r="F2006" s="117" t="s">
        <v>2361</v>
      </c>
      <c r="G2006" s="117" t="s">
        <v>103</v>
      </c>
      <c r="H2006" s="117" t="str">
        <f t="shared" si="342"/>
        <v>no</v>
      </c>
      <c r="I2006" s="117" t="str">
        <f t="shared" si="346"/>
        <v>no</v>
      </c>
      <c r="J2006" s="117" t="str">
        <f t="shared" si="347"/>
        <v>yes</v>
      </c>
      <c r="K2006" s="149" t="s">
        <v>103</v>
      </c>
      <c r="L2006" s="117" t="str">
        <f t="shared" si="343"/>
        <v>detailed</v>
      </c>
      <c r="M2006" s="117" t="str">
        <f t="shared" si="348"/>
        <v>detailed Oil</v>
      </c>
      <c r="N2006" s="118">
        <v>111690000</v>
      </c>
      <c r="O2006" s="118"/>
      <c r="P2006" s="118"/>
      <c r="Q2006" s="118"/>
      <c r="R2006" s="118"/>
      <c r="S2006" s="117" t="s">
        <v>646</v>
      </c>
      <c r="T2006" s="119">
        <v>58.807703233352825</v>
      </c>
      <c r="U2006" s="117" t="s">
        <v>673</v>
      </c>
      <c r="V2006" s="117" t="s">
        <v>2362</v>
      </c>
      <c r="W2006" s="89">
        <f t="shared" si="355"/>
        <v>6568232374.1331768</v>
      </c>
      <c r="X2006" s="117" t="s">
        <v>2363</v>
      </c>
      <c r="Y2006" s="117" t="s">
        <v>2369</v>
      </c>
      <c r="Z2006" s="117" t="s">
        <v>664</v>
      </c>
      <c r="AA2006" s="159">
        <v>3625997931</v>
      </c>
      <c r="AB2006" s="177">
        <v>114590378</v>
      </c>
      <c r="AC2006" s="212" t="s">
        <v>2370</v>
      </c>
      <c r="AD2006" s="212"/>
      <c r="AE2006" s="212"/>
      <c r="AF2006" s="213">
        <f t="shared" si="356"/>
        <v>0.55205079912820998</v>
      </c>
      <c r="AG2006" s="117" t="s">
        <v>864</v>
      </c>
      <c r="AH2006" s="124" t="s">
        <v>865</v>
      </c>
      <c r="AI2006" s="117" t="s">
        <v>667</v>
      </c>
      <c r="AJ2006" s="117" t="s">
        <v>2374</v>
      </c>
      <c r="AK2006" s="89">
        <v>3519347000</v>
      </c>
      <c r="AL2006" s="117"/>
      <c r="AM2006" s="117"/>
      <c r="AN2006" s="117">
        <v>12</v>
      </c>
      <c r="AO2006" s="117" t="s">
        <v>2365</v>
      </c>
      <c r="AP2006" s="117">
        <v>12</v>
      </c>
      <c r="AQ2006" s="215" t="s">
        <v>82</v>
      </c>
      <c r="AR2006" s="126">
        <v>41914</v>
      </c>
      <c r="AS2006" s="117" t="s">
        <v>1029</v>
      </c>
      <c r="AT2006" s="117" t="s">
        <v>535</v>
      </c>
      <c r="AU2006" s="117" t="s">
        <v>2375</v>
      </c>
      <c r="AV2006" s="128" t="s">
        <v>2376</v>
      </c>
      <c r="AW2006" s="117" t="e">
        <f>VLOOKUP($D2006,'WB Data'!$C$3:$M$578,2,FALSE)</f>
        <v>#N/A</v>
      </c>
      <c r="AX2006" s="117" t="e">
        <f>VLOOKUP($D2006,'WB Data'!$C$3:$M$578,3,FALSE)</f>
        <v>#N/A</v>
      </c>
      <c r="AY2006" s="847" t="str">
        <f t="shared" si="351"/>
        <v>..</v>
      </c>
      <c r="AZ2006" s="117" t="e">
        <f>VLOOKUP($D2006,'WB Data'!$C$3:$M$578,4,FALSE)/100</f>
        <v>#N/A</v>
      </c>
      <c r="BA2006" s="117" t="str">
        <f t="shared" si="352"/>
        <v>..</v>
      </c>
      <c r="BB2006" s="129">
        <f>IFERROR(VLOOKUP($D2006,'EITI Revenues'!$C$2:$G$224,5,FALSE),"..")</f>
        <v>3625997931</v>
      </c>
      <c r="BC2006" s="846" t="str">
        <f t="shared" si="353"/>
        <v>..</v>
      </c>
      <c r="BD2006" s="129" t="e">
        <f>VLOOKUP($D2006,'WB Data 2'!$C$2:$K$545,6,FALSE)</f>
        <v>#N/A</v>
      </c>
      <c r="BE2006" s="129">
        <f>IFERROR(VLOOKUP($D2006,UNCTAD!$C$5:$V$529,4,FALSE),"..")</f>
        <v>7092200000</v>
      </c>
      <c r="BF2006" s="846" t="str">
        <f t="shared" si="354"/>
        <v>..</v>
      </c>
      <c r="BG2006" s="117" t="e">
        <f>VLOOKUP($D2006,'WB Data'!$C$3:$M$578,5,FALSE)</f>
        <v>#N/A</v>
      </c>
      <c r="BH2006" s="129" t="str">
        <f>IFERROR($BB2006/$BG2006,"..")</f>
        <v>..</v>
      </c>
      <c r="BI2006" s="117" t="str">
        <f>IFERROR(VLOOKUP($D2006,'WB Data'!$C$3:$M$578,7,FALSE)/100,"..")</f>
        <v>..</v>
      </c>
      <c r="BJ2006" s="117" t="str">
        <f>IFERROR($BI2006*$AW2006,"..")</f>
        <v>..</v>
      </c>
      <c r="BK2006" s="846" t="str">
        <f>IFERROR($BB2006/$BJ2006,"..")</f>
        <v>..</v>
      </c>
      <c r="BL2006" s="117" t="str">
        <f>IFERROR(VLOOKUP($D2006,'WB Data'!$C$3:$M$578,7,FALSE)/100,"..")</f>
        <v>..</v>
      </c>
      <c r="BM2006" s="117" t="str">
        <f>IFERROR($AW2006*$BL2006,"..")</f>
        <v>..</v>
      </c>
      <c r="BN2006" s="846" t="str">
        <f>IFERROR($BB2006/$BM2006,"..")</f>
        <v>..</v>
      </c>
      <c r="BO2006" s="801">
        <f t="shared" si="350"/>
        <v>19</v>
      </c>
      <c r="BP2006" s="117" t="e">
        <f>VLOOKUP($D2006,'WB Data'!$C$3:$M$578,9,FALSE)</f>
        <v>#N/A</v>
      </c>
      <c r="BQ2006" s="117" t="e">
        <f>VLOOKUP($D2006,'WB Data'!$C$3:$M$578,10,FALSE)</f>
        <v>#N/A</v>
      </c>
      <c r="BR2006" s="117" t="e">
        <f>VLOOKUP($D2006,'WB Data'!$C$3:$M$578,11,FALSE)</f>
        <v>#N/A</v>
      </c>
      <c r="BS2006" s="129" t="str">
        <f>IFERROR(VLOOKUP($D2006,'WB Data 2'!$C$2:$K$545,9,FALSE),"..")</f>
        <v>..</v>
      </c>
      <c r="BT2006" s="129">
        <f>_xlfn.IFNA(VLOOKUP($C2006,RGI!$A$2:$C$43,2,FALSE),"..")</f>
        <v>60.5</v>
      </c>
      <c r="BU2006" s="129">
        <f>_xlfn.IFNA(VLOOKUP($C2006,RGI!$A$2:$C$43,3,FALSE),"..")</f>
        <v>43.154597212929545</v>
      </c>
      <c r="BV2006" s="129" t="e">
        <f>VLOOKUP($D2006,WGI!$C$2:$O$478,7,FALSE)</f>
        <v>#N/A</v>
      </c>
      <c r="BW2006" s="129" t="e">
        <f>VLOOKUP($D2006,WGI!$C$2:$O$478,4,FALSE)</f>
        <v>#N/A</v>
      </c>
      <c r="BX2006" s="129" t="e">
        <f>VLOOKUP($D2006,WGI!$C$2:$O$478,3,FALSE)</f>
        <v>#N/A</v>
      </c>
      <c r="BY2006" s="129" t="e">
        <f>VLOOKUP($D2006,WGI!$C$2:$O$478,5,FALSE)</f>
        <v>#N/A</v>
      </c>
      <c r="BZ2006" s="129" t="e">
        <f>VLOOKUP($D2006,WGI!$C$2:$O$478,2,FALSE)</f>
        <v>#N/A</v>
      </c>
    </row>
    <row r="2007" spans="1:80" s="144" customFormat="1" ht="15" customHeight="1">
      <c r="A2007" s="279" t="s">
        <v>537</v>
      </c>
      <c r="B2007" s="132">
        <v>2010</v>
      </c>
      <c r="C2007" s="132" t="s">
        <v>529</v>
      </c>
      <c r="D2007" s="117" t="s">
        <v>3809</v>
      </c>
      <c r="E2007" s="132" t="s">
        <v>252</v>
      </c>
      <c r="F2007" s="132" t="s">
        <v>2361</v>
      </c>
      <c r="G2007" s="132" t="s">
        <v>55</v>
      </c>
      <c r="H2007" s="117" t="str">
        <f t="shared" si="342"/>
        <v>no</v>
      </c>
      <c r="I2007" s="117" t="str">
        <f t="shared" si="346"/>
        <v>yes</v>
      </c>
      <c r="J2007" s="117" t="str">
        <f t="shared" si="347"/>
        <v>yes</v>
      </c>
      <c r="K2007" s="132" t="s">
        <v>709</v>
      </c>
      <c r="L2007" s="117" t="str">
        <f t="shared" si="343"/>
        <v>Total</v>
      </c>
      <c r="M2007" s="117" t="str">
        <f t="shared" si="348"/>
        <v>Total Oil, Gas</v>
      </c>
      <c r="N2007" s="133"/>
      <c r="O2007" s="133"/>
      <c r="P2007" s="133"/>
      <c r="Q2007" s="133"/>
      <c r="R2007" s="133"/>
      <c r="S2007" s="132"/>
      <c r="T2007" s="134"/>
      <c r="U2007" s="132"/>
      <c r="V2007" s="132"/>
      <c r="W2007" s="135">
        <f>SUM(W2008:W2009)</f>
        <v>9404103439.4122658</v>
      </c>
      <c r="X2007" s="132" t="s">
        <v>2363</v>
      </c>
      <c r="Y2007" s="132" t="s">
        <v>2369</v>
      </c>
      <c r="Z2007" s="132" t="s">
        <v>664</v>
      </c>
      <c r="AA2007" s="160">
        <v>5081696110</v>
      </c>
      <c r="AB2007" s="160">
        <v>245902656</v>
      </c>
      <c r="AC2007" s="226" t="s">
        <v>2370</v>
      </c>
      <c r="AD2007" s="226"/>
      <c r="AE2007" s="226"/>
      <c r="AF2007" s="224">
        <f t="shared" si="356"/>
        <v>0.54037007809833215</v>
      </c>
      <c r="AG2007" s="132" t="s">
        <v>864</v>
      </c>
      <c r="AH2007" s="140" t="s">
        <v>865</v>
      </c>
      <c r="AI2007" s="132" t="s">
        <v>2377</v>
      </c>
      <c r="AJ2007" s="132" t="s">
        <v>2378</v>
      </c>
      <c r="AK2007" s="135">
        <v>4834974000</v>
      </c>
      <c r="AL2007" s="132"/>
      <c r="AM2007" s="132"/>
      <c r="AN2007" s="132">
        <v>13</v>
      </c>
      <c r="AO2007" s="132" t="s">
        <v>2379</v>
      </c>
      <c r="AP2007" s="132">
        <v>13</v>
      </c>
      <c r="AQ2007" s="229" t="s">
        <v>82</v>
      </c>
      <c r="AR2007" s="141">
        <v>41914</v>
      </c>
      <c r="AS2007" s="132" t="s">
        <v>1029</v>
      </c>
      <c r="AT2007" s="132" t="s">
        <v>535</v>
      </c>
      <c r="AU2007" s="132" t="s">
        <v>2380</v>
      </c>
      <c r="AV2007" s="143" t="s">
        <v>2381</v>
      </c>
      <c r="AW2007" s="117" t="e">
        <f>VLOOKUP($D2007,'WB Data'!$C$3:$M$578,2,FALSE)</f>
        <v>#N/A</v>
      </c>
      <c r="AX2007" s="117" t="e">
        <f>VLOOKUP($D2007,'WB Data'!$C$3:$M$578,3,FALSE)</f>
        <v>#N/A</v>
      </c>
      <c r="AY2007" s="847" t="str">
        <f t="shared" si="351"/>
        <v>..</v>
      </c>
      <c r="AZ2007" s="117" t="e">
        <f>VLOOKUP($D2007,'WB Data'!$C$3:$M$578,4,FALSE)/100</f>
        <v>#N/A</v>
      </c>
      <c r="BA2007" s="117" t="str">
        <f t="shared" si="352"/>
        <v>..</v>
      </c>
      <c r="BB2007" s="129">
        <f>IFERROR(VLOOKUP($D2007,'EITI Revenues'!$C$2:$G$224,5,FALSE),"..")</f>
        <v>5081696110</v>
      </c>
      <c r="BC2007" s="846" t="str">
        <f t="shared" si="353"/>
        <v>..</v>
      </c>
      <c r="BD2007" s="129" t="e">
        <f>VLOOKUP($D2007,'WB Data 2'!$C$2:$K$545,6,FALSE)</f>
        <v>#N/A</v>
      </c>
      <c r="BE2007" s="129">
        <f>IFERROR(VLOOKUP($D2007,UNCTAD!$C$5:$V$529,4,FALSE),"..")</f>
        <v>9261470000</v>
      </c>
      <c r="BF2007" s="846" t="str">
        <f t="shared" si="354"/>
        <v>..</v>
      </c>
      <c r="BG2007" s="117" t="e">
        <f>VLOOKUP($D2007,'WB Data'!$C$3:$M$578,5,FALSE)</f>
        <v>#N/A</v>
      </c>
      <c r="BH2007" s="129" t="str">
        <f>IFERROR($BB2007/$BG2007,"..")</f>
        <v>..</v>
      </c>
      <c r="BI2007" s="117" t="str">
        <f>IFERROR(VLOOKUP($D2007,'WB Data'!$C$3:$M$578,7,FALSE)/100,"..")</f>
        <v>..</v>
      </c>
      <c r="BJ2007" s="117" t="str">
        <f>IFERROR($BI2007*$AW2007,"..")</f>
        <v>..</v>
      </c>
      <c r="BK2007" s="846" t="str">
        <f>IFERROR($BB2007/$BJ2007,"..")</f>
        <v>..</v>
      </c>
      <c r="BL2007" s="117" t="str">
        <f>IFERROR(VLOOKUP($D2007,'WB Data'!$C$3:$M$578,7,FALSE)/100,"..")</f>
        <v>..</v>
      </c>
      <c r="BM2007" s="117" t="str">
        <f>IFERROR($AW2007*$BL2007,"..")</f>
        <v>..</v>
      </c>
      <c r="BN2007" s="846" t="str">
        <f>IFERROR($BB2007/$BM2007,"..")</f>
        <v>..</v>
      </c>
      <c r="BO2007" s="801">
        <f t="shared" si="350"/>
        <v>19</v>
      </c>
      <c r="BP2007" s="117" t="e">
        <f>VLOOKUP($D2007,'WB Data'!$C$3:$M$578,9,FALSE)</f>
        <v>#N/A</v>
      </c>
      <c r="BQ2007" s="117" t="e">
        <f>VLOOKUP($D2007,'WB Data'!$C$3:$M$578,10,FALSE)</f>
        <v>#N/A</v>
      </c>
      <c r="BR2007" s="117" t="e">
        <f>VLOOKUP($D2007,'WB Data'!$C$3:$M$578,11,FALSE)</f>
        <v>#N/A</v>
      </c>
      <c r="BS2007" s="129" t="str">
        <f>IFERROR(VLOOKUP($D2007,'WB Data 2'!$C$2:$K$545,9,FALSE),"..")</f>
        <v>..</v>
      </c>
      <c r="BT2007" s="129">
        <f>_xlfn.IFNA(VLOOKUP($C2007,RGI!$A$2:$C$43,2,FALSE),"..")</f>
        <v>60.5</v>
      </c>
      <c r="BU2007" s="129">
        <f>_xlfn.IFNA(VLOOKUP($C2007,RGI!$A$2:$C$43,3,FALSE),"..")</f>
        <v>43.154597212929545</v>
      </c>
      <c r="BV2007" s="129" t="e">
        <f>VLOOKUP($D2007,WGI!$C$2:$O$478,7,FALSE)</f>
        <v>#N/A</v>
      </c>
      <c r="BW2007" s="129" t="e">
        <f>VLOOKUP($D2007,WGI!$C$2:$O$478,4,FALSE)</f>
        <v>#N/A</v>
      </c>
      <c r="BX2007" s="129" t="e">
        <f>VLOOKUP($D2007,WGI!$C$2:$O$478,3,FALSE)</f>
        <v>#N/A</v>
      </c>
      <c r="BY2007" s="129" t="e">
        <f>VLOOKUP($D2007,WGI!$C$2:$O$478,5,FALSE)</f>
        <v>#N/A</v>
      </c>
      <c r="BZ2007" s="129" t="e">
        <f>VLOOKUP($D2007,WGI!$C$2:$O$478,2,FALSE)</f>
        <v>#N/A</v>
      </c>
      <c r="CB2007" s="129"/>
    </row>
    <row r="2008" spans="1:80" s="120" customFormat="1" ht="15" customHeight="1">
      <c r="A2008" s="280" t="s">
        <v>537</v>
      </c>
      <c r="B2008" s="117">
        <v>2010</v>
      </c>
      <c r="C2008" s="117" t="s">
        <v>529</v>
      </c>
      <c r="D2008" s="117" t="s">
        <v>3809</v>
      </c>
      <c r="E2008" s="117" t="s">
        <v>252</v>
      </c>
      <c r="F2008" s="117"/>
      <c r="G2008" s="117" t="s">
        <v>561</v>
      </c>
      <c r="H2008" s="117" t="str">
        <f t="shared" si="342"/>
        <v>no</v>
      </c>
      <c r="I2008" s="117" t="str">
        <f t="shared" si="346"/>
        <v>yes</v>
      </c>
      <c r="J2008" s="117" t="str">
        <f t="shared" si="347"/>
        <v>no</v>
      </c>
      <c r="K2008" s="117" t="s">
        <v>561</v>
      </c>
      <c r="L2008" s="117" t="str">
        <f t="shared" si="343"/>
        <v>detailed</v>
      </c>
      <c r="M2008" s="117" t="str">
        <f t="shared" si="348"/>
        <v>detailed Gas</v>
      </c>
      <c r="N2008" s="118">
        <v>6200000000</v>
      </c>
      <c r="O2008" s="118"/>
      <c r="P2008" s="118"/>
      <c r="Q2008" s="118"/>
      <c r="R2008" s="118"/>
      <c r="S2008" s="117" t="s">
        <v>642</v>
      </c>
      <c r="T2008" s="119">
        <v>0.1741077336927683</v>
      </c>
      <c r="U2008" s="117" t="s">
        <v>643</v>
      </c>
      <c r="V2008" s="117" t="s">
        <v>2382</v>
      </c>
      <c r="W2008" s="89">
        <f>N2008*T2008</f>
        <v>1079467948.8951635</v>
      </c>
      <c r="X2008" s="117"/>
      <c r="Y2008" s="117"/>
      <c r="Z2008" s="117"/>
      <c r="AA2008" s="177">
        <v>112270000</v>
      </c>
      <c r="AB2008" s="177">
        <v>112270000</v>
      </c>
      <c r="AC2008" s="122"/>
      <c r="AD2008" s="122"/>
      <c r="AE2008" s="122"/>
      <c r="AF2008" s="123">
        <f t="shared" si="356"/>
        <v>0.10400494068852016</v>
      </c>
      <c r="AG2008" s="177"/>
      <c r="AH2008" s="189"/>
      <c r="AI2008" s="117"/>
      <c r="AL2008" s="117"/>
      <c r="AM2008" s="117"/>
      <c r="AN2008" s="117">
        <v>1</v>
      </c>
      <c r="AO2008" s="117" t="s">
        <v>2383</v>
      </c>
      <c r="AP2008" s="117">
        <v>1</v>
      </c>
      <c r="AQ2008" s="215"/>
      <c r="AR2008" s="126"/>
      <c r="AS2008" s="117"/>
      <c r="AT2008" s="117"/>
      <c r="AU2008" s="117">
        <v>28</v>
      </c>
      <c r="AV2008" s="128"/>
      <c r="AW2008" s="117" t="e">
        <f>VLOOKUP($D2008,'WB Data'!$C$3:$M$578,2,FALSE)</f>
        <v>#N/A</v>
      </c>
      <c r="AX2008" s="117" t="e">
        <f>VLOOKUP($D2008,'WB Data'!$C$3:$M$578,3,FALSE)</f>
        <v>#N/A</v>
      </c>
      <c r="AY2008" s="847" t="str">
        <f t="shared" si="351"/>
        <v>..</v>
      </c>
      <c r="AZ2008" s="117" t="e">
        <f>VLOOKUP($D2008,'WB Data'!$C$3:$M$578,4,FALSE)/100</f>
        <v>#N/A</v>
      </c>
      <c r="BA2008" s="117" t="str">
        <f t="shared" si="352"/>
        <v>..</v>
      </c>
      <c r="BB2008" s="129">
        <f>IFERROR(VLOOKUP($D2008,'EITI Revenues'!$C$2:$G$224,5,FALSE),"..")</f>
        <v>5081696110</v>
      </c>
      <c r="BC2008" s="846" t="str">
        <f t="shared" si="353"/>
        <v>..</v>
      </c>
      <c r="BD2008" s="129" t="e">
        <f>VLOOKUP($D2008,'WB Data 2'!$C$2:$K$545,6,FALSE)</f>
        <v>#N/A</v>
      </c>
      <c r="BE2008" s="129">
        <f>IFERROR(VLOOKUP($D2008,UNCTAD!$C$5:$V$529,4,FALSE),"..")</f>
        <v>9261470000</v>
      </c>
      <c r="BF2008" s="846" t="str">
        <f t="shared" si="354"/>
        <v>..</v>
      </c>
      <c r="BG2008" s="117" t="e">
        <f>VLOOKUP($D2008,'WB Data'!$C$3:$M$578,5,FALSE)</f>
        <v>#N/A</v>
      </c>
      <c r="BH2008" s="129" t="str">
        <f>IFERROR($BB2008/$BG2008,"..")</f>
        <v>..</v>
      </c>
      <c r="BI2008" s="117" t="str">
        <f>IFERROR(VLOOKUP($D2008,'WB Data'!$C$3:$M$578,7,FALSE)/100,"..")</f>
        <v>..</v>
      </c>
      <c r="BJ2008" s="117" t="str">
        <f>IFERROR($BI2008*$AW2008,"..")</f>
        <v>..</v>
      </c>
      <c r="BK2008" s="846" t="str">
        <f>IFERROR($BB2008/$BJ2008,"..")</f>
        <v>..</v>
      </c>
      <c r="BL2008" s="117" t="str">
        <f>IFERROR(VLOOKUP($D2008,'WB Data'!$C$3:$M$578,7,FALSE)/100,"..")</f>
        <v>..</v>
      </c>
      <c r="BM2008" s="117" t="str">
        <f>IFERROR($AW2008*$BL2008,"..")</f>
        <v>..</v>
      </c>
      <c r="BN2008" s="846" t="str">
        <f>IFERROR($BB2008/$BM2008,"..")</f>
        <v>..</v>
      </c>
      <c r="BO2008" s="801">
        <f t="shared" si="350"/>
        <v>19</v>
      </c>
      <c r="BP2008" s="117" t="e">
        <f>VLOOKUP($D2008,'WB Data'!$C$3:$M$578,9,FALSE)</f>
        <v>#N/A</v>
      </c>
      <c r="BQ2008" s="117" t="e">
        <f>VLOOKUP($D2008,'WB Data'!$C$3:$M$578,10,FALSE)</f>
        <v>#N/A</v>
      </c>
      <c r="BR2008" s="117" t="e">
        <f>VLOOKUP($D2008,'WB Data'!$C$3:$M$578,11,FALSE)</f>
        <v>#N/A</v>
      </c>
      <c r="BS2008" s="129" t="str">
        <f>IFERROR(VLOOKUP($D2008,'WB Data 2'!$C$2:$K$545,9,FALSE),"..")</f>
        <v>..</v>
      </c>
      <c r="BT2008" s="129">
        <f>_xlfn.IFNA(VLOOKUP($C2008,RGI!$A$2:$C$43,2,FALSE),"..")</f>
        <v>60.5</v>
      </c>
      <c r="BU2008" s="129">
        <f>_xlfn.IFNA(VLOOKUP($C2008,RGI!$A$2:$C$43,3,FALSE),"..")</f>
        <v>43.154597212929545</v>
      </c>
      <c r="BV2008" s="129" t="e">
        <f>VLOOKUP($D2008,WGI!$C$2:$O$478,7,FALSE)</f>
        <v>#N/A</v>
      </c>
      <c r="BW2008" s="129" t="e">
        <f>VLOOKUP($D2008,WGI!$C$2:$O$478,4,FALSE)</f>
        <v>#N/A</v>
      </c>
      <c r="BX2008" s="129" t="e">
        <f>VLOOKUP($D2008,WGI!$C$2:$O$478,3,FALSE)</f>
        <v>#N/A</v>
      </c>
      <c r="BY2008" s="129" t="e">
        <f>VLOOKUP($D2008,WGI!$C$2:$O$478,5,FALSE)</f>
        <v>#N/A</v>
      </c>
      <c r="BZ2008" s="129" t="e">
        <f>VLOOKUP($D2008,WGI!$C$2:$O$478,2,FALSE)</f>
        <v>#N/A</v>
      </c>
      <c r="CB2008" s="129"/>
    </row>
    <row r="2009" spans="1:80" s="158" customFormat="1" ht="15" customHeight="1">
      <c r="A2009" s="282" t="s">
        <v>537</v>
      </c>
      <c r="B2009" s="149">
        <v>2010</v>
      </c>
      <c r="C2009" s="149" t="s">
        <v>529</v>
      </c>
      <c r="D2009" s="117" t="s">
        <v>3809</v>
      </c>
      <c r="E2009" s="149" t="s">
        <v>252</v>
      </c>
      <c r="F2009" s="149"/>
      <c r="G2009" s="149" t="s">
        <v>103</v>
      </c>
      <c r="H2009" s="117" t="str">
        <f t="shared" si="342"/>
        <v>no</v>
      </c>
      <c r="I2009" s="117" t="str">
        <f t="shared" si="346"/>
        <v>no</v>
      </c>
      <c r="J2009" s="117" t="str">
        <f t="shared" si="347"/>
        <v>yes</v>
      </c>
      <c r="K2009" s="149" t="s">
        <v>103</v>
      </c>
      <c r="L2009" s="117" t="str">
        <f t="shared" si="343"/>
        <v>detailed</v>
      </c>
      <c r="M2009" s="117" t="str">
        <f t="shared" si="348"/>
        <v>detailed Oil</v>
      </c>
      <c r="N2009" s="150">
        <v>106215000</v>
      </c>
      <c r="O2009" s="150"/>
      <c r="P2009" s="150"/>
      <c r="Q2009" s="150"/>
      <c r="R2009" s="150"/>
      <c r="S2009" s="149" t="s">
        <v>646</v>
      </c>
      <c r="T2009" s="151">
        <v>78.375328254174093</v>
      </c>
      <c r="U2009" s="149" t="s">
        <v>673</v>
      </c>
      <c r="V2009" s="149" t="s">
        <v>2362</v>
      </c>
      <c r="W2009" s="152">
        <f>N2009*T2009</f>
        <v>8324635490.5171013</v>
      </c>
      <c r="X2009" s="149"/>
      <c r="Y2009" s="149"/>
      <c r="Z2009" s="149"/>
      <c r="AA2009" s="284">
        <v>4969426110</v>
      </c>
      <c r="AB2009" s="284">
        <v>133632656</v>
      </c>
      <c r="AC2009" s="154"/>
      <c r="AD2009" s="154"/>
      <c r="AE2009" s="154"/>
      <c r="AF2009" s="123">
        <f t="shared" si="356"/>
        <v>0.59695419885481549</v>
      </c>
      <c r="AG2009" s="149"/>
      <c r="AH2009" s="156"/>
      <c r="AI2009" s="149"/>
      <c r="AJ2009" s="235" t="s">
        <v>2378</v>
      </c>
      <c r="AK2009" s="653">
        <v>4834974000</v>
      </c>
      <c r="AL2009" s="149"/>
      <c r="AM2009" s="149"/>
      <c r="AN2009" s="149">
        <v>12</v>
      </c>
      <c r="AO2009" s="149" t="s">
        <v>2365</v>
      </c>
      <c r="AP2009" s="149">
        <v>12</v>
      </c>
      <c r="AQ2009" s="222"/>
      <c r="AR2009" s="220"/>
      <c r="AS2009" s="149"/>
      <c r="AT2009" s="149"/>
      <c r="AU2009" s="149" t="s">
        <v>2384</v>
      </c>
      <c r="AV2009" s="157"/>
      <c r="AW2009" s="117" t="e">
        <f>VLOOKUP($D2009,'WB Data'!$C$3:$M$578,2,FALSE)</f>
        <v>#N/A</v>
      </c>
      <c r="AX2009" s="117" t="e">
        <f>VLOOKUP($D2009,'WB Data'!$C$3:$M$578,3,FALSE)</f>
        <v>#N/A</v>
      </c>
      <c r="AY2009" s="847" t="str">
        <f t="shared" si="351"/>
        <v>..</v>
      </c>
      <c r="AZ2009" s="117" t="e">
        <f>VLOOKUP($D2009,'WB Data'!$C$3:$M$578,4,FALSE)/100</f>
        <v>#N/A</v>
      </c>
      <c r="BA2009" s="117" t="str">
        <f t="shared" si="352"/>
        <v>..</v>
      </c>
      <c r="BB2009" s="129">
        <f>IFERROR(VLOOKUP($D2009,'EITI Revenues'!$C$2:$G$224,5,FALSE),"..")</f>
        <v>5081696110</v>
      </c>
      <c r="BC2009" s="846" t="str">
        <f t="shared" si="353"/>
        <v>..</v>
      </c>
      <c r="BD2009" s="129" t="e">
        <f>VLOOKUP($D2009,'WB Data 2'!$C$2:$K$545,6,FALSE)</f>
        <v>#N/A</v>
      </c>
      <c r="BE2009" s="129">
        <f>IFERROR(VLOOKUP($D2009,UNCTAD!$C$5:$V$529,4,FALSE),"..")</f>
        <v>9261470000</v>
      </c>
      <c r="BF2009" s="846" t="str">
        <f t="shared" si="354"/>
        <v>..</v>
      </c>
      <c r="BG2009" s="117" t="e">
        <f>VLOOKUP($D2009,'WB Data'!$C$3:$M$578,5,FALSE)</f>
        <v>#N/A</v>
      </c>
      <c r="BH2009" s="129" t="str">
        <f>IFERROR($BB2009/$BG2009,"..")</f>
        <v>..</v>
      </c>
      <c r="BI2009" s="117" t="str">
        <f>IFERROR(VLOOKUP($D2009,'WB Data'!$C$3:$M$578,7,FALSE)/100,"..")</f>
        <v>..</v>
      </c>
      <c r="BJ2009" s="117" t="str">
        <f>IFERROR($BI2009*$AW2009,"..")</f>
        <v>..</v>
      </c>
      <c r="BK2009" s="846" t="str">
        <f>IFERROR($BB2009/$BJ2009,"..")</f>
        <v>..</v>
      </c>
      <c r="BL2009" s="117" t="str">
        <f>IFERROR(VLOOKUP($D2009,'WB Data'!$C$3:$M$578,7,FALSE)/100,"..")</f>
        <v>..</v>
      </c>
      <c r="BM2009" s="117" t="str">
        <f>IFERROR($AW2009*$BL2009,"..")</f>
        <v>..</v>
      </c>
      <c r="BN2009" s="846" t="str">
        <f>IFERROR($BB2009/$BM2009,"..")</f>
        <v>..</v>
      </c>
      <c r="BO2009" s="801">
        <f t="shared" si="350"/>
        <v>19</v>
      </c>
      <c r="BP2009" s="117" t="e">
        <f>VLOOKUP($D2009,'WB Data'!$C$3:$M$578,9,FALSE)</f>
        <v>#N/A</v>
      </c>
      <c r="BQ2009" s="117" t="e">
        <f>VLOOKUP($D2009,'WB Data'!$C$3:$M$578,10,FALSE)</f>
        <v>#N/A</v>
      </c>
      <c r="BR2009" s="117" t="e">
        <f>VLOOKUP($D2009,'WB Data'!$C$3:$M$578,11,FALSE)</f>
        <v>#N/A</v>
      </c>
      <c r="BS2009" s="129" t="str">
        <f>IFERROR(VLOOKUP($D2009,'WB Data 2'!$C$2:$K$545,9,FALSE),"..")</f>
        <v>..</v>
      </c>
      <c r="BT2009" s="129">
        <f>_xlfn.IFNA(VLOOKUP($C2009,RGI!$A$2:$C$43,2,FALSE),"..")</f>
        <v>60.5</v>
      </c>
      <c r="BU2009" s="129">
        <f>_xlfn.IFNA(VLOOKUP($C2009,RGI!$A$2:$C$43,3,FALSE),"..")</f>
        <v>43.154597212929545</v>
      </c>
      <c r="BV2009" s="129" t="e">
        <f>VLOOKUP($D2009,WGI!$C$2:$O$478,7,FALSE)</f>
        <v>#N/A</v>
      </c>
      <c r="BW2009" s="129" t="e">
        <f>VLOOKUP($D2009,WGI!$C$2:$O$478,4,FALSE)</f>
        <v>#N/A</v>
      </c>
      <c r="BX2009" s="129" t="e">
        <f>VLOOKUP($D2009,WGI!$C$2:$O$478,3,FALSE)</f>
        <v>#N/A</v>
      </c>
      <c r="BY2009" s="129" t="e">
        <f>VLOOKUP($D2009,WGI!$C$2:$O$478,5,FALSE)</f>
        <v>#N/A</v>
      </c>
      <c r="BZ2009" s="129" t="e">
        <f>VLOOKUP($D2009,WGI!$C$2:$O$478,2,FALSE)</f>
        <v>#N/A</v>
      </c>
      <c r="CB2009" s="129"/>
    </row>
    <row r="2010" spans="1:80" ht="15" customHeight="1">
      <c r="A2010" s="280" t="s">
        <v>538</v>
      </c>
      <c r="B2010" s="117">
        <v>2011</v>
      </c>
      <c r="C2010" s="117" t="s">
        <v>529</v>
      </c>
      <c r="D2010" s="117" t="s">
        <v>3810</v>
      </c>
      <c r="E2010" s="117" t="s">
        <v>252</v>
      </c>
      <c r="F2010" s="117" t="s">
        <v>2361</v>
      </c>
      <c r="G2010" s="117" t="s">
        <v>55</v>
      </c>
      <c r="H2010" s="117" t="str">
        <f t="shared" si="342"/>
        <v>no</v>
      </c>
      <c r="I2010" s="117" t="str">
        <f t="shared" si="346"/>
        <v>yes</v>
      </c>
      <c r="J2010" s="117" t="str">
        <f t="shared" si="347"/>
        <v>yes</v>
      </c>
      <c r="K2010" s="117" t="s">
        <v>709</v>
      </c>
      <c r="L2010" s="117" t="str">
        <f t="shared" si="343"/>
        <v>Total</v>
      </c>
      <c r="M2010" s="117" t="str">
        <f t="shared" si="348"/>
        <v>Total Oil, Gas</v>
      </c>
      <c r="N2010" s="118"/>
      <c r="O2010" s="118"/>
      <c r="P2010" s="118"/>
      <c r="Q2010" s="118"/>
      <c r="R2010" s="118"/>
      <c r="S2010" s="117"/>
      <c r="T2010" s="119"/>
      <c r="U2010" s="117"/>
      <c r="V2010" s="117"/>
      <c r="W2010" s="89">
        <f>SUM(W2011:W2012)</f>
        <v>11012010677.542271</v>
      </c>
      <c r="X2010" s="117" t="s">
        <v>2363</v>
      </c>
      <c r="Y2010" s="117" t="s">
        <v>2369</v>
      </c>
      <c r="Z2010" s="117" t="s">
        <v>664</v>
      </c>
      <c r="AA2010" s="177">
        <v>5539756725</v>
      </c>
      <c r="AB2010" s="334">
        <v>372118093</v>
      </c>
      <c r="AC2010" s="122"/>
      <c r="AD2010" s="122"/>
      <c r="AE2010" s="122"/>
      <c r="AF2010" s="139">
        <f t="shared" si="356"/>
        <v>0.5030649612697613</v>
      </c>
      <c r="AG2010" s="117" t="s">
        <v>864</v>
      </c>
      <c r="AH2010" s="124" t="s">
        <v>865</v>
      </c>
      <c r="AI2010" s="117" t="s">
        <v>2377</v>
      </c>
      <c r="AJ2010" s="233" t="s">
        <v>2385</v>
      </c>
      <c r="AK2010" s="89">
        <v>5170903000</v>
      </c>
      <c r="AL2010" s="117"/>
      <c r="AM2010" s="117"/>
      <c r="AN2010" s="117">
        <v>40</v>
      </c>
      <c r="AO2010" s="117" t="s">
        <v>2386</v>
      </c>
      <c r="AP2010" s="117">
        <v>36</v>
      </c>
      <c r="AQ2010" s="117" t="s">
        <v>298</v>
      </c>
      <c r="AR2010" s="126">
        <v>41914</v>
      </c>
      <c r="AS2010" s="117" t="s">
        <v>1029</v>
      </c>
      <c r="AT2010" s="117" t="s">
        <v>539</v>
      </c>
      <c r="AU2010" s="117" t="s">
        <v>2387</v>
      </c>
      <c r="AV2010" s="128" t="s">
        <v>2388</v>
      </c>
      <c r="AW2010" s="117" t="e">
        <f>VLOOKUP($D2010,'WB Data'!$C$3:$M$578,2,FALSE)</f>
        <v>#N/A</v>
      </c>
      <c r="AX2010" s="117" t="e">
        <f>VLOOKUP($D2010,'WB Data'!$C$3:$M$578,3,FALSE)</f>
        <v>#N/A</v>
      </c>
      <c r="AY2010" s="847" t="str">
        <f t="shared" si="351"/>
        <v>..</v>
      </c>
      <c r="AZ2010" s="117" t="e">
        <f>VLOOKUP($D2010,'WB Data'!$C$3:$M$578,4,FALSE)/100</f>
        <v>#N/A</v>
      </c>
      <c r="BA2010" s="117" t="str">
        <f t="shared" si="352"/>
        <v>..</v>
      </c>
      <c r="BB2010" s="129">
        <f>IFERROR(VLOOKUP($D2010,'EITI Revenues'!$C$2:$G$224,5,FALSE),"..")</f>
        <v>5539756725</v>
      </c>
      <c r="BC2010" s="846" t="str">
        <f t="shared" si="353"/>
        <v>..</v>
      </c>
      <c r="BD2010" s="129" t="e">
        <f>VLOOKUP($D2010,'WB Data 2'!$C$2:$K$545,6,FALSE)</f>
        <v>#N/A</v>
      </c>
      <c r="BE2010" s="129">
        <f>IFERROR(VLOOKUP($D2010,UNCTAD!$C$5:$V$529,4,FALSE),"..")</f>
        <v>9910020000</v>
      </c>
      <c r="BF2010" s="846" t="str">
        <f t="shared" si="354"/>
        <v>..</v>
      </c>
      <c r="BG2010" s="117" t="e">
        <f>VLOOKUP($D2010,'WB Data'!$C$3:$M$578,5,FALSE)</f>
        <v>#N/A</v>
      </c>
      <c r="BH2010" s="129" t="str">
        <f>IFERROR($BB2010/$BG2010,"..")</f>
        <v>..</v>
      </c>
      <c r="BI2010" s="117" t="str">
        <f>IFERROR(VLOOKUP($D2010,'WB Data'!$C$3:$M$578,7,FALSE)/100,"..")</f>
        <v>..</v>
      </c>
      <c r="BJ2010" s="117" t="str">
        <f>IFERROR($BI2010*$AW2010,"..")</f>
        <v>..</v>
      </c>
      <c r="BK2010" s="846" t="str">
        <f>IFERROR($BB2010/$BJ2010,"..")</f>
        <v>..</v>
      </c>
      <c r="BL2010" s="117" t="str">
        <f>IFERROR(VLOOKUP($D2010,'WB Data'!$C$3:$M$578,7,FALSE)/100,"..")</f>
        <v>..</v>
      </c>
      <c r="BM2010" s="117" t="str">
        <f>IFERROR($AW2010*$BL2010,"..")</f>
        <v>..</v>
      </c>
      <c r="BN2010" s="846" t="str">
        <f>IFERROR($BB2010/$BM2010,"..")</f>
        <v>..</v>
      </c>
      <c r="BO2010" s="801">
        <f t="shared" si="350"/>
        <v>19</v>
      </c>
      <c r="BP2010" s="117" t="e">
        <f>VLOOKUP($D2010,'WB Data'!$C$3:$M$578,9,FALSE)</f>
        <v>#N/A</v>
      </c>
      <c r="BQ2010" s="117" t="e">
        <f>VLOOKUP($D2010,'WB Data'!$C$3:$M$578,10,FALSE)</f>
        <v>#N/A</v>
      </c>
      <c r="BR2010" s="117" t="e">
        <f>VLOOKUP($D2010,'WB Data'!$C$3:$M$578,11,FALSE)</f>
        <v>#N/A</v>
      </c>
      <c r="BS2010" s="129" t="str">
        <f>IFERROR(VLOOKUP($D2010,'WB Data 2'!$C$2:$K$545,9,FALSE),"..")</f>
        <v>..</v>
      </c>
      <c r="BT2010" s="129">
        <f>_xlfn.IFNA(VLOOKUP($C2010,RGI!$A$2:$C$43,2,FALSE),"..")</f>
        <v>60.5</v>
      </c>
      <c r="BU2010" s="129">
        <f>_xlfn.IFNA(VLOOKUP($C2010,RGI!$A$2:$C$43,3,FALSE),"..")</f>
        <v>43.154597212929545</v>
      </c>
      <c r="BV2010" s="129" t="e">
        <f>VLOOKUP($D2010,WGI!$C$2:$O$478,7,FALSE)</f>
        <v>#N/A</v>
      </c>
      <c r="BW2010" s="129" t="e">
        <f>VLOOKUP($D2010,WGI!$C$2:$O$478,4,FALSE)</f>
        <v>#N/A</v>
      </c>
      <c r="BX2010" s="129" t="e">
        <f>VLOOKUP($D2010,WGI!$C$2:$O$478,3,FALSE)</f>
        <v>#N/A</v>
      </c>
      <c r="BY2010" s="129" t="e">
        <f>VLOOKUP($D2010,WGI!$C$2:$O$478,5,FALSE)</f>
        <v>#N/A</v>
      </c>
      <c r="BZ2010" s="129" t="e">
        <f>VLOOKUP($D2010,WGI!$C$2:$O$478,2,FALSE)</f>
        <v>#N/A</v>
      </c>
    </row>
    <row r="2011" spans="1:80" ht="15" customHeight="1">
      <c r="A2011" s="280" t="s">
        <v>538</v>
      </c>
      <c r="B2011" s="117">
        <v>2011</v>
      </c>
      <c r="C2011" s="117" t="s">
        <v>529</v>
      </c>
      <c r="D2011" s="117" t="s">
        <v>3810</v>
      </c>
      <c r="E2011" s="117" t="s">
        <v>252</v>
      </c>
      <c r="F2011" s="117"/>
      <c r="G2011" s="117" t="s">
        <v>561</v>
      </c>
      <c r="H2011" s="117" t="str">
        <f t="shared" si="342"/>
        <v>no</v>
      </c>
      <c r="I2011" s="117" t="str">
        <f t="shared" si="346"/>
        <v>yes</v>
      </c>
      <c r="J2011" s="117" t="str">
        <f t="shared" si="347"/>
        <v>no</v>
      </c>
      <c r="K2011" s="117" t="s">
        <v>561</v>
      </c>
      <c r="L2011" s="117" t="str">
        <f t="shared" si="343"/>
        <v>detailed</v>
      </c>
      <c r="M2011" s="117" t="str">
        <f t="shared" si="348"/>
        <v>detailed Gas</v>
      </c>
      <c r="N2011" s="118">
        <v>9400000000</v>
      </c>
      <c r="O2011" s="118"/>
      <c r="P2011" s="118"/>
      <c r="Q2011" s="118"/>
      <c r="R2011" s="118"/>
      <c r="S2011" s="117" t="s">
        <v>642</v>
      </c>
      <c r="T2011" s="119">
        <v>0.19666043794616025</v>
      </c>
      <c r="U2011" s="117" t="s">
        <v>643</v>
      </c>
      <c r="V2011" s="117" t="s">
        <v>2382</v>
      </c>
      <c r="W2011" s="89">
        <f>N2011*T2011</f>
        <v>1848608116.6939063</v>
      </c>
      <c r="X2011" s="117"/>
      <c r="Y2011" s="117"/>
      <c r="Z2011" s="117"/>
      <c r="AA2011" s="177">
        <v>201261000</v>
      </c>
      <c r="AB2011" s="177">
        <v>201001000</v>
      </c>
      <c r="AC2011" s="122"/>
      <c r="AD2011" s="122"/>
      <c r="AE2011" s="122"/>
      <c r="AF2011" s="123">
        <f t="shared" si="356"/>
        <v>0.1088716414163213</v>
      </c>
      <c r="AG2011" s="177"/>
      <c r="AH2011" s="189"/>
      <c r="AI2011" s="117"/>
      <c r="AJ2011" s="120"/>
      <c r="AK2011" s="120"/>
      <c r="AL2011" s="117"/>
      <c r="AM2011" s="117"/>
      <c r="AN2011" s="117">
        <v>1</v>
      </c>
      <c r="AO2011" s="117" t="s">
        <v>2389</v>
      </c>
      <c r="AP2011" s="117">
        <v>1</v>
      </c>
      <c r="AQ2011" s="215"/>
      <c r="AR2011" s="126"/>
      <c r="AS2011" s="117"/>
      <c r="AT2011" s="117"/>
      <c r="AU2011" s="117">
        <v>40</v>
      </c>
      <c r="AV2011" s="128"/>
      <c r="AW2011" s="117" t="e">
        <f>VLOOKUP($D2011,'WB Data'!$C$3:$M$578,2,FALSE)</f>
        <v>#N/A</v>
      </c>
      <c r="AX2011" s="117" t="e">
        <f>VLOOKUP($D2011,'WB Data'!$C$3:$M$578,3,FALSE)</f>
        <v>#N/A</v>
      </c>
      <c r="AY2011" s="847" t="str">
        <f t="shared" si="351"/>
        <v>..</v>
      </c>
      <c r="AZ2011" s="117" t="e">
        <f>VLOOKUP($D2011,'WB Data'!$C$3:$M$578,4,FALSE)/100</f>
        <v>#N/A</v>
      </c>
      <c r="BA2011" s="117" t="str">
        <f t="shared" si="352"/>
        <v>..</v>
      </c>
      <c r="BB2011" s="129">
        <f>IFERROR(VLOOKUP($D2011,'EITI Revenues'!$C$2:$G$224,5,FALSE),"..")</f>
        <v>5539756725</v>
      </c>
      <c r="BC2011" s="846" t="str">
        <f t="shared" si="353"/>
        <v>..</v>
      </c>
      <c r="BD2011" s="129" t="e">
        <f>VLOOKUP($D2011,'WB Data 2'!$C$2:$K$545,6,FALSE)</f>
        <v>#N/A</v>
      </c>
      <c r="BE2011" s="129">
        <f>IFERROR(VLOOKUP($D2011,UNCTAD!$C$5:$V$529,4,FALSE),"..")</f>
        <v>9910020000</v>
      </c>
      <c r="BF2011" s="846" t="str">
        <f t="shared" si="354"/>
        <v>..</v>
      </c>
      <c r="BG2011" s="117" t="e">
        <f>VLOOKUP($D2011,'WB Data'!$C$3:$M$578,5,FALSE)</f>
        <v>#N/A</v>
      </c>
      <c r="BH2011" s="129" t="str">
        <f>IFERROR($BB2011/$BG2011,"..")</f>
        <v>..</v>
      </c>
      <c r="BI2011" s="117" t="str">
        <f>IFERROR(VLOOKUP($D2011,'WB Data'!$C$3:$M$578,7,FALSE)/100,"..")</f>
        <v>..</v>
      </c>
      <c r="BJ2011" s="117" t="str">
        <f>IFERROR($BI2011*$AW2011,"..")</f>
        <v>..</v>
      </c>
      <c r="BK2011" s="846" t="str">
        <f>IFERROR($BB2011/$BJ2011,"..")</f>
        <v>..</v>
      </c>
      <c r="BL2011" s="117" t="str">
        <f>IFERROR(VLOOKUP($D2011,'WB Data'!$C$3:$M$578,7,FALSE)/100,"..")</f>
        <v>..</v>
      </c>
      <c r="BM2011" s="117" t="str">
        <f>IFERROR($AW2011*$BL2011,"..")</f>
        <v>..</v>
      </c>
      <c r="BN2011" s="846" t="str">
        <f>IFERROR($BB2011/$BM2011,"..")</f>
        <v>..</v>
      </c>
      <c r="BO2011" s="801">
        <f t="shared" si="350"/>
        <v>19</v>
      </c>
      <c r="BP2011" s="117" t="e">
        <f>VLOOKUP($D2011,'WB Data'!$C$3:$M$578,9,FALSE)</f>
        <v>#N/A</v>
      </c>
      <c r="BQ2011" s="117" t="e">
        <f>VLOOKUP($D2011,'WB Data'!$C$3:$M$578,10,FALSE)</f>
        <v>#N/A</v>
      </c>
      <c r="BR2011" s="117" t="e">
        <f>VLOOKUP($D2011,'WB Data'!$C$3:$M$578,11,FALSE)</f>
        <v>#N/A</v>
      </c>
      <c r="BS2011" s="129" t="str">
        <f>IFERROR(VLOOKUP($D2011,'WB Data 2'!$C$2:$K$545,9,FALSE),"..")</f>
        <v>..</v>
      </c>
      <c r="BT2011" s="129">
        <f>_xlfn.IFNA(VLOOKUP($C2011,RGI!$A$2:$C$43,2,FALSE),"..")</f>
        <v>60.5</v>
      </c>
      <c r="BU2011" s="129">
        <f>_xlfn.IFNA(VLOOKUP($C2011,RGI!$A$2:$C$43,3,FALSE),"..")</f>
        <v>43.154597212929545</v>
      </c>
      <c r="BV2011" s="129" t="e">
        <f>VLOOKUP($D2011,WGI!$C$2:$O$478,7,FALSE)</f>
        <v>#N/A</v>
      </c>
      <c r="BW2011" s="129" t="e">
        <f>VLOOKUP($D2011,WGI!$C$2:$O$478,4,FALSE)</f>
        <v>#N/A</v>
      </c>
      <c r="BX2011" s="129" t="e">
        <f>VLOOKUP($D2011,WGI!$C$2:$O$478,3,FALSE)</f>
        <v>#N/A</v>
      </c>
      <c r="BY2011" s="129" t="e">
        <f>VLOOKUP($D2011,WGI!$C$2:$O$478,5,FALSE)</f>
        <v>#N/A</v>
      </c>
      <c r="BZ2011" s="129" t="e">
        <f>VLOOKUP($D2011,WGI!$C$2:$O$478,2,FALSE)</f>
        <v>#N/A</v>
      </c>
    </row>
    <row r="2012" spans="1:80" ht="15" customHeight="1" thickBot="1">
      <c r="A2012" s="280" t="s">
        <v>538</v>
      </c>
      <c r="B2012" s="117">
        <v>2011</v>
      </c>
      <c r="C2012" s="117" t="s">
        <v>529</v>
      </c>
      <c r="D2012" s="117" t="s">
        <v>3810</v>
      </c>
      <c r="E2012" s="117" t="s">
        <v>252</v>
      </c>
      <c r="F2012" s="117"/>
      <c r="G2012" s="117" t="s">
        <v>103</v>
      </c>
      <c r="H2012" s="117" t="str">
        <f t="shared" ref="H2012:H2075" si="357">IF($G2012="Mining","yes",IF($G2012="Oil, Gas, Mining","yes",IF($G2012="Gas, Mining","yes",IF($G2012="Oil, Mining","yes",IF($G2012="Oil, Mining, Other","yes","no")))))</f>
        <v>no</v>
      </c>
      <c r="I2012" s="117" t="str">
        <f t="shared" si="346"/>
        <v>no</v>
      </c>
      <c r="J2012" s="117" t="str">
        <f t="shared" si="347"/>
        <v>yes</v>
      </c>
      <c r="K2012" s="117" t="s">
        <v>103</v>
      </c>
      <c r="L2012" s="117" t="str">
        <f t="shared" ref="L2012:L2075" si="358">IF(LEFT(K2012,5)="Total","Total","detailed")</f>
        <v>detailed</v>
      </c>
      <c r="M2012" s="117" t="str">
        <f t="shared" si="348"/>
        <v>detailed Oil</v>
      </c>
      <c r="N2012" s="118">
        <v>83220000</v>
      </c>
      <c r="O2012" s="118"/>
      <c r="P2012" s="118"/>
      <c r="Q2012" s="118"/>
      <c r="R2012" s="118"/>
      <c r="S2012" s="117" t="s">
        <v>646</v>
      </c>
      <c r="T2012" s="119">
        <v>110.11058112050425</v>
      </c>
      <c r="U2012" s="117" t="s">
        <v>673</v>
      </c>
      <c r="V2012" s="117" t="s">
        <v>2362</v>
      </c>
      <c r="W2012" s="89">
        <f>N2012*T2012</f>
        <v>9163402560.8483639</v>
      </c>
      <c r="X2012" s="117"/>
      <c r="Y2012" s="117"/>
      <c r="Z2012" s="117"/>
      <c r="AA2012" s="177">
        <f>167592725+5170903000</f>
        <v>5338495725</v>
      </c>
      <c r="AB2012" s="177">
        <f>171117093</f>
        <v>171117093</v>
      </c>
      <c r="AC2012" s="122"/>
      <c r="AD2012" s="122"/>
      <c r="AE2012" s="122"/>
      <c r="AF2012" s="123">
        <f t="shared" si="356"/>
        <v>0.58258880252727352</v>
      </c>
      <c r="AG2012" s="117"/>
      <c r="AH2012" s="124"/>
      <c r="AI2012" s="117"/>
      <c r="AJ2012" s="233" t="s">
        <v>2385</v>
      </c>
      <c r="AK2012" s="89">
        <v>5170903000</v>
      </c>
      <c r="AL2012" s="117"/>
      <c r="AM2012" s="117"/>
      <c r="AN2012" s="117">
        <v>39</v>
      </c>
      <c r="AO2012" s="117" t="s">
        <v>2390</v>
      </c>
      <c r="AP2012" s="117">
        <v>35</v>
      </c>
      <c r="AQ2012" s="215"/>
      <c r="AR2012" s="126"/>
      <c r="AS2012" s="117"/>
      <c r="AT2012" s="117"/>
      <c r="AU2012" s="117" t="s">
        <v>2391</v>
      </c>
      <c r="AV2012" s="128"/>
      <c r="AW2012" s="117" t="e">
        <f>VLOOKUP($D2012,'WB Data'!$C$3:$M$578,2,FALSE)</f>
        <v>#N/A</v>
      </c>
      <c r="AX2012" s="117" t="e">
        <f>VLOOKUP($D2012,'WB Data'!$C$3:$M$578,3,FALSE)</f>
        <v>#N/A</v>
      </c>
      <c r="AY2012" s="847" t="str">
        <f t="shared" si="351"/>
        <v>..</v>
      </c>
      <c r="AZ2012" s="117" t="e">
        <f>VLOOKUP($D2012,'WB Data'!$C$3:$M$578,4,FALSE)/100</f>
        <v>#N/A</v>
      </c>
      <c r="BA2012" s="117" t="str">
        <f t="shared" si="352"/>
        <v>..</v>
      </c>
      <c r="BB2012" s="129">
        <f>IFERROR(VLOOKUP($D2012,'EITI Revenues'!$C$2:$G$224,5,FALSE),"..")</f>
        <v>5539756725</v>
      </c>
      <c r="BC2012" s="846" t="str">
        <f t="shared" si="353"/>
        <v>..</v>
      </c>
      <c r="BD2012" s="129" t="e">
        <f>VLOOKUP($D2012,'WB Data 2'!$C$2:$K$545,6,FALSE)</f>
        <v>#N/A</v>
      </c>
      <c r="BE2012" s="129">
        <f>IFERROR(VLOOKUP($D2012,UNCTAD!$C$5:$V$529,4,FALSE),"..")</f>
        <v>9910020000</v>
      </c>
      <c r="BF2012" s="846" t="str">
        <f t="shared" si="354"/>
        <v>..</v>
      </c>
      <c r="BG2012" s="117" t="e">
        <f>VLOOKUP($D2012,'WB Data'!$C$3:$M$578,5,FALSE)</f>
        <v>#N/A</v>
      </c>
      <c r="BH2012" s="129" t="str">
        <f>IFERROR($BB2012/$BG2012,"..")</f>
        <v>..</v>
      </c>
      <c r="BI2012" s="117" t="str">
        <f>IFERROR(VLOOKUP($D2012,'WB Data'!$C$3:$M$578,7,FALSE)/100,"..")</f>
        <v>..</v>
      </c>
      <c r="BJ2012" s="117" t="str">
        <f>IFERROR($BI2012*$AW2012,"..")</f>
        <v>..</v>
      </c>
      <c r="BK2012" s="846" t="str">
        <f>IFERROR($BB2012/$BJ2012,"..")</f>
        <v>..</v>
      </c>
      <c r="BL2012" s="117" t="str">
        <f>IFERROR(VLOOKUP($D2012,'WB Data'!$C$3:$M$578,7,FALSE)/100,"..")</f>
        <v>..</v>
      </c>
      <c r="BM2012" s="117" t="str">
        <f>IFERROR($AW2012*$BL2012,"..")</f>
        <v>..</v>
      </c>
      <c r="BN2012" s="846" t="str">
        <f>IFERROR($BB2012/$BM2012,"..")</f>
        <v>..</v>
      </c>
      <c r="BO2012" s="801">
        <f t="shared" si="350"/>
        <v>19</v>
      </c>
      <c r="BP2012" s="117" t="e">
        <f>VLOOKUP($D2012,'WB Data'!$C$3:$M$578,9,FALSE)</f>
        <v>#N/A</v>
      </c>
      <c r="BQ2012" s="117" t="e">
        <f>VLOOKUP($D2012,'WB Data'!$C$3:$M$578,10,FALSE)</f>
        <v>#N/A</v>
      </c>
      <c r="BR2012" s="117" t="e">
        <f>VLOOKUP($D2012,'WB Data'!$C$3:$M$578,11,FALSE)</f>
        <v>#N/A</v>
      </c>
      <c r="BS2012" s="129" t="str">
        <f>IFERROR(VLOOKUP($D2012,'WB Data 2'!$C$2:$K$545,9,FALSE),"..")</f>
        <v>..</v>
      </c>
      <c r="BT2012" s="129">
        <f>_xlfn.IFNA(VLOOKUP($C2012,RGI!$A$2:$C$43,2,FALSE),"..")</f>
        <v>60.5</v>
      </c>
      <c r="BU2012" s="129">
        <f>_xlfn.IFNA(VLOOKUP($C2012,RGI!$A$2:$C$43,3,FALSE),"..")</f>
        <v>43.154597212929545</v>
      </c>
      <c r="BV2012" s="129" t="e">
        <f>VLOOKUP($D2012,WGI!$C$2:$O$478,7,FALSE)</f>
        <v>#N/A</v>
      </c>
      <c r="BW2012" s="129" t="e">
        <f>VLOOKUP($D2012,WGI!$C$2:$O$478,4,FALSE)</f>
        <v>#N/A</v>
      </c>
      <c r="BX2012" s="129" t="e">
        <f>VLOOKUP($D2012,WGI!$C$2:$O$478,3,FALSE)</f>
        <v>#N/A</v>
      </c>
      <c r="BY2012" s="129" t="e">
        <f>VLOOKUP($D2012,WGI!$C$2:$O$478,5,FALSE)</f>
        <v>#N/A</v>
      </c>
      <c r="BZ2012" s="129" t="e">
        <f>VLOOKUP($D2012,WGI!$C$2:$O$478,2,FALSE)</f>
        <v>#N/A</v>
      </c>
    </row>
    <row r="2013" spans="1:80" s="210" customFormat="1" ht="15" customHeight="1">
      <c r="A2013" s="336" t="s">
        <v>540</v>
      </c>
      <c r="B2013" s="175">
        <v>2008</v>
      </c>
      <c r="C2013" s="175" t="s">
        <v>541</v>
      </c>
      <c r="D2013" s="117" t="s">
        <v>3616</v>
      </c>
      <c r="E2013" s="175" t="s">
        <v>86</v>
      </c>
      <c r="F2013" s="175" t="s">
        <v>2393</v>
      </c>
      <c r="G2013" s="175" t="s">
        <v>24</v>
      </c>
      <c r="H2013" s="117" t="str">
        <f t="shared" si="357"/>
        <v>yes</v>
      </c>
      <c r="I2013" s="117" t="str">
        <f t="shared" si="346"/>
        <v>no</v>
      </c>
      <c r="J2013" s="117" t="str">
        <f t="shared" si="347"/>
        <v>no</v>
      </c>
      <c r="K2013" s="175" t="s">
        <v>709</v>
      </c>
      <c r="L2013" s="117" t="str">
        <f t="shared" si="358"/>
        <v>Total</v>
      </c>
      <c r="M2013" s="117" t="str">
        <f t="shared" si="348"/>
        <v>Total Mining</v>
      </c>
      <c r="N2013" s="197"/>
      <c r="O2013" s="197"/>
      <c r="P2013" s="197"/>
      <c r="Q2013" s="197"/>
      <c r="R2013" s="197"/>
      <c r="S2013" s="175"/>
      <c r="T2013" s="198"/>
      <c r="U2013" s="175"/>
      <c r="V2013" s="175"/>
      <c r="W2013" s="654">
        <f>SUM(W2014:W2030)-SUM(W2023:W2026)</f>
        <v>134197936263.53198</v>
      </c>
      <c r="X2013" s="175" t="s">
        <v>998</v>
      </c>
      <c r="Y2013" s="175" t="s">
        <v>602</v>
      </c>
      <c r="Z2013" s="175" t="s">
        <v>603</v>
      </c>
      <c r="AA2013" s="655">
        <v>470370875</v>
      </c>
      <c r="AB2013" s="655">
        <v>473725116</v>
      </c>
      <c r="AC2013" s="656"/>
      <c r="AD2013" s="656"/>
      <c r="AE2013" s="656"/>
      <c r="AF2013" s="657">
        <f t="shared" si="356"/>
        <v>3.5050529694905775E-3</v>
      </c>
      <c r="AG2013" s="175" t="s">
        <v>2394</v>
      </c>
      <c r="AH2013" s="204">
        <v>3667</v>
      </c>
      <c r="AI2013" s="175" t="s">
        <v>605</v>
      </c>
      <c r="AJ2013" s="175"/>
      <c r="AK2013" s="199"/>
      <c r="AL2013" s="175"/>
      <c r="AM2013" s="175"/>
      <c r="AN2013" s="175">
        <v>16</v>
      </c>
      <c r="AO2013" s="175" t="s">
        <v>2395</v>
      </c>
      <c r="AP2013" s="175">
        <v>14</v>
      </c>
      <c r="AQ2013" s="175" t="s">
        <v>309</v>
      </c>
      <c r="AR2013" s="206">
        <v>41906</v>
      </c>
      <c r="AS2013" s="175" t="s">
        <v>2396</v>
      </c>
      <c r="AT2013" s="175" t="s">
        <v>542</v>
      </c>
      <c r="AU2013" s="175">
        <v>31</v>
      </c>
      <c r="AV2013" s="209" t="s">
        <v>2397</v>
      </c>
      <c r="AW2013" s="117">
        <f>VLOOKUP($D2013,'WB Data'!$C$3:$M$578,2,FALSE)</f>
        <v>17911046608.557137</v>
      </c>
      <c r="AX2013" s="117">
        <f>VLOOKUP($D2013,'WB Data'!$C$3:$M$578,3,FALSE)</f>
        <v>12456527</v>
      </c>
      <c r="AY2013" s="847">
        <f t="shared" si="351"/>
        <v>2.6261495784131162E-2</v>
      </c>
      <c r="AZ2013" s="117">
        <f>VLOOKUP($D2013,'WB Data'!$C$3:$M$578,4,FALSE)/100</f>
        <v>0.15013902187505693</v>
      </c>
      <c r="BA2013" s="117">
        <f t="shared" si="352"/>
        <v>2689147018.5673242</v>
      </c>
      <c r="BB2013" s="129">
        <f>IFERROR(VLOOKUP($D2013,'EITI Revenues'!$C$2:$G$224,5,FALSE),"..")</f>
        <v>470370875</v>
      </c>
      <c r="BC2013" s="846">
        <f t="shared" si="353"/>
        <v>0.17491452559205775</v>
      </c>
      <c r="BD2013" s="129">
        <f>VLOOKUP($D2013,'WB Data 2'!$C$2:$K$545,6,FALSE)</f>
        <v>4388709668.9664974</v>
      </c>
      <c r="BE2013" s="129">
        <f>IFERROR(VLOOKUP($D2013,UNCTAD!$C$5:$V$529,4,FALSE),"..")</f>
        <v>5261210000</v>
      </c>
      <c r="BF2013" s="846">
        <f t="shared" si="354"/>
        <v>0.8341635610375745</v>
      </c>
      <c r="BG2013" s="117">
        <f>VLOOKUP($D2013,'WB Data'!$C$3:$M$578,5,FALSE)</f>
        <v>1116240000</v>
      </c>
      <c r="BH2013" s="129">
        <f>IFERROR($BB2013/$BG2013,"..")</f>
        <v>0.42138865745717768</v>
      </c>
      <c r="BI2013" s="117">
        <f>IFERROR(VLOOKUP($D2013,'WB Data'!$C$3:$M$578,7,FALSE)/100,"..")</f>
        <v>1.34536E-2</v>
      </c>
      <c r="BJ2013" s="117">
        <f>IFERROR($BI2013*$AW2013,"..")</f>
        <v>240968056.65288427</v>
      </c>
      <c r="BK2013" s="846">
        <f>IFERROR($BB2013/$BJ2013,"..")</f>
        <v>1.9520050978274339</v>
      </c>
      <c r="BL2013" s="117">
        <f>IFERROR(VLOOKUP($D2013,'WB Data'!$C$3:$M$578,7,FALSE)/100,"..")</f>
        <v>1.34536E-2</v>
      </c>
      <c r="BM2013" s="117">
        <f>IFERROR($AW2013*$BL2013,"..")</f>
        <v>240968056.65288427</v>
      </c>
      <c r="BN2013" s="846">
        <f>IFERROR($BB2013/$BM2013,"..")</f>
        <v>1.9520050978274339</v>
      </c>
      <c r="BO2013" s="801">
        <f t="shared" si="350"/>
        <v>38</v>
      </c>
      <c r="BP2013" s="117" t="str">
        <f>VLOOKUP($D2013,'WB Data'!$C$3:$M$578,9,FALSE)</f>
        <v>..</v>
      </c>
      <c r="BQ2013" s="117">
        <f>VLOOKUP($D2013,'WB Data'!$C$3:$M$578,10,FALSE)</f>
        <v>51.62214634146342</v>
      </c>
      <c r="BR2013" s="117">
        <f>VLOOKUP($D2013,'WB Data'!$C$3:$M$578,11,FALSE)</f>
        <v>67.3</v>
      </c>
      <c r="BS2013" s="129">
        <f>IFERROR(VLOOKUP($D2013,'WB Data 2'!$C$2:$K$545,9,FALSE),"..")</f>
        <v>96.953670000000002</v>
      </c>
      <c r="BT2013" s="129">
        <f>_xlfn.IFNA(VLOOKUP($C2013,RGI!$A$2:$C$43,2,FALSE),"..")</f>
        <v>41.2</v>
      </c>
      <c r="BU2013" s="129">
        <f>_xlfn.IFNA(VLOOKUP($C2013,RGI!$A$2:$C$43,3,FALSE),"..")</f>
        <v>60.803011070373614</v>
      </c>
      <c r="BV2013" s="129">
        <f>VLOOKUP($D2013,WGI!$C$2:$O$478,7,FALSE)</f>
        <v>-0.18089655683316799</v>
      </c>
      <c r="BW2013" s="129">
        <f>VLOOKUP($D2013,WGI!$C$2:$O$478,4,FALSE)</f>
        <v>0.46318787542491702</v>
      </c>
      <c r="BX2013" s="129">
        <f>VLOOKUP($D2013,WGI!$C$2:$O$478,3,FALSE)</f>
        <v>-0.72927626481342001</v>
      </c>
      <c r="BY2013" s="129">
        <f>VLOOKUP($D2013,WGI!$C$2:$O$478,5,FALSE)</f>
        <v>-0.45386416304737698</v>
      </c>
      <c r="BZ2013" s="129">
        <f>VLOOKUP($D2013,WGI!$C$2:$O$478,2,FALSE)</f>
        <v>-0.47433898284147402</v>
      </c>
      <c r="CB2013" s="129"/>
    </row>
    <row r="2014" spans="1:80" s="120" customFormat="1" ht="15" customHeight="1">
      <c r="A2014" s="280" t="s">
        <v>540</v>
      </c>
      <c r="B2014" s="117">
        <v>2008</v>
      </c>
      <c r="C2014" s="117" t="s">
        <v>541</v>
      </c>
      <c r="D2014" s="117" t="s">
        <v>3616</v>
      </c>
      <c r="E2014" s="117" t="s">
        <v>86</v>
      </c>
      <c r="F2014" s="117"/>
      <c r="G2014" s="117" t="s">
        <v>24</v>
      </c>
      <c r="H2014" s="117" t="str">
        <f t="shared" si="357"/>
        <v>yes</v>
      </c>
      <c r="I2014" s="117" t="str">
        <f t="shared" si="346"/>
        <v>no</v>
      </c>
      <c r="J2014" s="117" t="str">
        <f t="shared" si="347"/>
        <v>no</v>
      </c>
      <c r="K2014" s="117" t="s">
        <v>616</v>
      </c>
      <c r="L2014" s="117" t="str">
        <f t="shared" si="358"/>
        <v>detailed</v>
      </c>
      <c r="M2014" s="117" t="str">
        <f t="shared" si="348"/>
        <v>detailed Mining</v>
      </c>
      <c r="N2014" s="118">
        <v>220000</v>
      </c>
      <c r="O2014" s="118"/>
      <c r="P2014" s="118"/>
      <c r="Q2014" s="118"/>
      <c r="R2014" s="118"/>
      <c r="S2014" s="117" t="s">
        <v>610</v>
      </c>
      <c r="T2014" s="119">
        <v>138.17277433644946</v>
      </c>
      <c r="U2014" s="117" t="s">
        <v>611</v>
      </c>
      <c r="V2014" s="117" t="s">
        <v>1108</v>
      </c>
      <c r="W2014" s="89">
        <f>N2014*T2014</f>
        <v>30398010.354018882</v>
      </c>
      <c r="X2014" s="117"/>
      <c r="Y2014" s="117"/>
      <c r="Z2014" s="117"/>
      <c r="AA2014" s="89">
        <f>3113969528/AH2013</f>
        <v>849187.21788928274</v>
      </c>
      <c r="AB2014" s="89">
        <f>199765140/AH2013</f>
        <v>54476.449413689661</v>
      </c>
      <c r="AC2014" s="240"/>
      <c r="AD2014" s="240"/>
      <c r="AE2014" s="240"/>
      <c r="AF2014" s="241">
        <f t="shared" si="356"/>
        <v>2.7935618417111723E-2</v>
      </c>
      <c r="AG2014" s="117"/>
      <c r="AH2014" s="124"/>
      <c r="AI2014" s="117"/>
      <c r="AJ2014" s="117"/>
      <c r="AK2014" s="89"/>
      <c r="AL2014" s="117"/>
      <c r="AM2014" s="117"/>
      <c r="AN2014" s="117">
        <v>1</v>
      </c>
      <c r="AO2014" s="117" t="s">
        <v>2398</v>
      </c>
      <c r="AP2014" s="117">
        <v>1</v>
      </c>
      <c r="AQ2014" s="117"/>
      <c r="AR2014" s="126"/>
      <c r="AS2014" s="117"/>
      <c r="AT2014" s="117"/>
      <c r="AU2014" s="117" t="s">
        <v>2399</v>
      </c>
      <c r="AV2014" s="128"/>
      <c r="AW2014" s="117">
        <f>VLOOKUP($D2014,'WB Data'!$C$3:$M$578,2,FALSE)</f>
        <v>17911046608.557137</v>
      </c>
      <c r="AX2014" s="117">
        <f>VLOOKUP($D2014,'WB Data'!$C$3:$M$578,3,FALSE)</f>
        <v>12456527</v>
      </c>
      <c r="AY2014" s="847">
        <f t="shared" si="351"/>
        <v>2.6261495784131162E-2</v>
      </c>
      <c r="AZ2014" s="117">
        <f>VLOOKUP($D2014,'WB Data'!$C$3:$M$578,4,FALSE)/100</f>
        <v>0.15013902187505693</v>
      </c>
      <c r="BA2014" s="117">
        <f t="shared" si="352"/>
        <v>2689147018.5673242</v>
      </c>
      <c r="BB2014" s="129">
        <f>IFERROR(VLOOKUP($D2014,'EITI Revenues'!$C$2:$G$224,5,FALSE),"..")</f>
        <v>470370875</v>
      </c>
      <c r="BC2014" s="846">
        <f t="shared" si="353"/>
        <v>0.17491452559205775</v>
      </c>
      <c r="BD2014" s="129">
        <f>VLOOKUP($D2014,'WB Data 2'!$C$2:$K$545,6,FALSE)</f>
        <v>4388709668.9664974</v>
      </c>
      <c r="BE2014" s="129">
        <f>IFERROR(VLOOKUP($D2014,UNCTAD!$C$5:$V$529,4,FALSE),"..")</f>
        <v>5261210000</v>
      </c>
      <c r="BF2014" s="846">
        <f t="shared" si="354"/>
        <v>0.8341635610375745</v>
      </c>
      <c r="BG2014" s="117">
        <f>VLOOKUP($D2014,'WB Data'!$C$3:$M$578,5,FALSE)</f>
        <v>1116240000</v>
      </c>
      <c r="BH2014" s="129">
        <f>IFERROR($BB2014/$BG2014,"..")</f>
        <v>0.42138865745717768</v>
      </c>
      <c r="BI2014" s="117">
        <f>IFERROR(VLOOKUP($D2014,'WB Data'!$C$3:$M$578,7,FALSE)/100,"..")</f>
        <v>1.34536E-2</v>
      </c>
      <c r="BJ2014" s="117">
        <f>IFERROR($BI2014*$AW2014,"..")</f>
        <v>240968056.65288427</v>
      </c>
      <c r="BK2014" s="846">
        <f>IFERROR($BB2014/$BJ2014,"..")</f>
        <v>1.9520050978274339</v>
      </c>
      <c r="BL2014" s="117">
        <f>IFERROR(VLOOKUP($D2014,'WB Data'!$C$3:$M$578,7,FALSE)/100,"..")</f>
        <v>1.34536E-2</v>
      </c>
      <c r="BM2014" s="117">
        <f>IFERROR($AW2014*$BL2014,"..")</f>
        <v>240968056.65288427</v>
      </c>
      <c r="BN2014" s="846">
        <f>IFERROR($BB2014/$BM2014,"..")</f>
        <v>1.9520050978274339</v>
      </c>
      <c r="BO2014" s="801">
        <f t="shared" si="350"/>
        <v>38</v>
      </c>
      <c r="BP2014" s="117" t="str">
        <f>VLOOKUP($D2014,'WB Data'!$C$3:$M$578,9,FALSE)</f>
        <v>..</v>
      </c>
      <c r="BQ2014" s="117">
        <f>VLOOKUP($D2014,'WB Data'!$C$3:$M$578,10,FALSE)</f>
        <v>51.62214634146342</v>
      </c>
      <c r="BR2014" s="117">
        <f>VLOOKUP($D2014,'WB Data'!$C$3:$M$578,11,FALSE)</f>
        <v>67.3</v>
      </c>
      <c r="BS2014" s="129">
        <f>IFERROR(VLOOKUP($D2014,'WB Data 2'!$C$2:$K$545,9,FALSE),"..")</f>
        <v>96.953670000000002</v>
      </c>
      <c r="BT2014" s="129">
        <f>_xlfn.IFNA(VLOOKUP($C2014,RGI!$A$2:$C$43,2,FALSE),"..")</f>
        <v>41.2</v>
      </c>
      <c r="BU2014" s="129">
        <f>_xlfn.IFNA(VLOOKUP($C2014,RGI!$A$2:$C$43,3,FALSE),"..")</f>
        <v>60.803011070373614</v>
      </c>
      <c r="BV2014" s="129">
        <f>VLOOKUP($D2014,WGI!$C$2:$O$478,7,FALSE)</f>
        <v>-0.18089655683316799</v>
      </c>
      <c r="BW2014" s="129">
        <f>VLOOKUP($D2014,WGI!$C$2:$O$478,4,FALSE)</f>
        <v>0.46318787542491702</v>
      </c>
      <c r="BX2014" s="129">
        <f>VLOOKUP($D2014,WGI!$C$2:$O$478,3,FALSE)</f>
        <v>-0.72927626481342001</v>
      </c>
      <c r="BY2014" s="129">
        <f>VLOOKUP($D2014,WGI!$C$2:$O$478,5,FALSE)</f>
        <v>-0.45386416304737698</v>
      </c>
      <c r="BZ2014" s="129">
        <f>VLOOKUP($D2014,WGI!$C$2:$O$478,2,FALSE)</f>
        <v>-0.47433898284147402</v>
      </c>
      <c r="CB2014" s="129"/>
    </row>
    <row r="2015" spans="1:80" s="120" customFormat="1" ht="15" customHeight="1">
      <c r="A2015" s="280" t="s">
        <v>540</v>
      </c>
      <c r="B2015" s="117">
        <v>2008</v>
      </c>
      <c r="C2015" s="117" t="s">
        <v>541</v>
      </c>
      <c r="D2015" s="117" t="s">
        <v>3616</v>
      </c>
      <c r="E2015" s="117" t="s">
        <v>86</v>
      </c>
      <c r="F2015" s="117"/>
      <c r="G2015" s="117" t="s">
        <v>24</v>
      </c>
      <c r="H2015" s="117" t="str">
        <f t="shared" si="357"/>
        <v>yes</v>
      </c>
      <c r="I2015" s="117" t="str">
        <f t="shared" si="346"/>
        <v>no</v>
      </c>
      <c r="J2015" s="117" t="str">
        <f t="shared" si="347"/>
        <v>no</v>
      </c>
      <c r="K2015" s="117" t="s">
        <v>1061</v>
      </c>
      <c r="L2015" s="117" t="str">
        <f t="shared" si="358"/>
        <v>detailed</v>
      </c>
      <c r="M2015" s="117" t="str">
        <f t="shared" si="348"/>
        <v>detailed Mining</v>
      </c>
      <c r="N2015" s="118"/>
      <c r="O2015" s="118"/>
      <c r="P2015" s="118"/>
      <c r="Q2015" s="118"/>
      <c r="R2015" s="118"/>
      <c r="S2015" s="492"/>
      <c r="T2015" s="119">
        <f>(39.01/0.000453592)*0.7924</f>
        <v>68148.300675496925</v>
      </c>
      <c r="U2015" s="117" t="s">
        <v>611</v>
      </c>
      <c r="V2015" s="117" t="s">
        <v>2400</v>
      </c>
      <c r="W2015" s="89">
        <f>N2016*T2015</f>
        <v>477038104.72847849</v>
      </c>
      <c r="X2015" s="117"/>
      <c r="Y2015" s="117"/>
      <c r="Z2015" s="117"/>
      <c r="AA2015" s="117"/>
      <c r="AB2015" s="117"/>
      <c r="AC2015" s="240"/>
      <c r="AD2015" s="240"/>
      <c r="AE2015" s="240"/>
      <c r="AF2015" s="241"/>
      <c r="AG2015" s="117"/>
      <c r="AH2015" s="124"/>
      <c r="AI2015" s="117"/>
      <c r="AJ2015" s="117"/>
      <c r="AK2015" s="89"/>
      <c r="AL2015" s="117"/>
      <c r="AM2015" s="117"/>
      <c r="AN2015" s="117">
        <v>2</v>
      </c>
      <c r="AO2015" s="117" t="s">
        <v>2401</v>
      </c>
      <c r="AP2015" s="117">
        <v>2</v>
      </c>
      <c r="AQ2015" s="117"/>
      <c r="AR2015" s="126"/>
      <c r="AS2015" s="117"/>
      <c r="AT2015" s="117"/>
      <c r="AU2015" s="117"/>
      <c r="AV2015" s="128"/>
      <c r="AW2015" s="117">
        <f>VLOOKUP($D2015,'WB Data'!$C$3:$M$578,2,FALSE)</f>
        <v>17911046608.557137</v>
      </c>
      <c r="AX2015" s="117">
        <f>VLOOKUP($D2015,'WB Data'!$C$3:$M$578,3,FALSE)</f>
        <v>12456527</v>
      </c>
      <c r="AY2015" s="847">
        <f t="shared" si="351"/>
        <v>2.6261495784131162E-2</v>
      </c>
      <c r="AZ2015" s="117">
        <f>VLOOKUP($D2015,'WB Data'!$C$3:$M$578,4,FALSE)/100</f>
        <v>0.15013902187505693</v>
      </c>
      <c r="BA2015" s="117">
        <f t="shared" si="352"/>
        <v>2689147018.5673242</v>
      </c>
      <c r="BB2015" s="129">
        <f>IFERROR(VLOOKUP($D2015,'EITI Revenues'!$C$2:$G$224,5,FALSE),"..")</f>
        <v>470370875</v>
      </c>
      <c r="BC2015" s="846">
        <f t="shared" si="353"/>
        <v>0.17491452559205775</v>
      </c>
      <c r="BD2015" s="129">
        <f>VLOOKUP($D2015,'WB Data 2'!$C$2:$K$545,6,FALSE)</f>
        <v>4388709668.9664974</v>
      </c>
      <c r="BE2015" s="129">
        <f>IFERROR(VLOOKUP($D2015,UNCTAD!$C$5:$V$529,4,FALSE),"..")</f>
        <v>5261210000</v>
      </c>
      <c r="BF2015" s="846">
        <f t="shared" si="354"/>
        <v>0.8341635610375745</v>
      </c>
      <c r="BG2015" s="117">
        <f>VLOOKUP($D2015,'WB Data'!$C$3:$M$578,5,FALSE)</f>
        <v>1116240000</v>
      </c>
      <c r="BH2015" s="129">
        <f>IFERROR($BB2015/$BG2015,"..")</f>
        <v>0.42138865745717768</v>
      </c>
      <c r="BI2015" s="117">
        <f>IFERROR(VLOOKUP($D2015,'WB Data'!$C$3:$M$578,7,FALSE)/100,"..")</f>
        <v>1.34536E-2</v>
      </c>
      <c r="BJ2015" s="117">
        <f>IFERROR($BI2015*$AW2015,"..")</f>
        <v>240968056.65288427</v>
      </c>
      <c r="BK2015" s="846">
        <f>IFERROR($BB2015/$BJ2015,"..")</f>
        <v>1.9520050978274339</v>
      </c>
      <c r="BL2015" s="117">
        <f>IFERROR(VLOOKUP($D2015,'WB Data'!$C$3:$M$578,7,FALSE)/100,"..")</f>
        <v>1.34536E-2</v>
      </c>
      <c r="BM2015" s="117">
        <f>IFERROR($AW2015*$BL2015,"..")</f>
        <v>240968056.65288427</v>
      </c>
      <c r="BN2015" s="846">
        <f>IFERROR($BB2015/$BM2015,"..")</f>
        <v>1.9520050978274339</v>
      </c>
      <c r="BO2015" s="801">
        <f t="shared" si="350"/>
        <v>38</v>
      </c>
      <c r="BP2015" s="117" t="str">
        <f>VLOOKUP($D2015,'WB Data'!$C$3:$M$578,9,FALSE)</f>
        <v>..</v>
      </c>
      <c r="BQ2015" s="117">
        <f>VLOOKUP($D2015,'WB Data'!$C$3:$M$578,10,FALSE)</f>
        <v>51.62214634146342</v>
      </c>
      <c r="BR2015" s="117">
        <f>VLOOKUP($D2015,'WB Data'!$C$3:$M$578,11,FALSE)</f>
        <v>67.3</v>
      </c>
      <c r="BS2015" s="129">
        <f>IFERROR(VLOOKUP($D2015,'WB Data 2'!$C$2:$K$545,9,FALSE),"..")</f>
        <v>96.953670000000002</v>
      </c>
      <c r="BT2015" s="129">
        <f>_xlfn.IFNA(VLOOKUP($C2015,RGI!$A$2:$C$43,2,FALSE),"..")</f>
        <v>41.2</v>
      </c>
      <c r="BU2015" s="129">
        <f>_xlfn.IFNA(VLOOKUP($C2015,RGI!$A$2:$C$43,3,FALSE),"..")</f>
        <v>60.803011070373614</v>
      </c>
      <c r="BV2015" s="129">
        <f>VLOOKUP($D2015,WGI!$C$2:$O$478,7,FALSE)</f>
        <v>-0.18089655683316799</v>
      </c>
      <c r="BW2015" s="129">
        <f>VLOOKUP($D2015,WGI!$C$2:$O$478,4,FALSE)</f>
        <v>0.46318787542491702</v>
      </c>
      <c r="BX2015" s="129">
        <f>VLOOKUP($D2015,WGI!$C$2:$O$478,3,FALSE)</f>
        <v>-0.72927626481342001</v>
      </c>
      <c r="BY2015" s="129">
        <f>VLOOKUP($D2015,WGI!$C$2:$O$478,5,FALSE)</f>
        <v>-0.45386416304737698</v>
      </c>
      <c r="BZ2015" s="129">
        <f>VLOOKUP($D2015,WGI!$C$2:$O$478,2,FALSE)</f>
        <v>-0.47433898284147402</v>
      </c>
      <c r="CB2015" s="129"/>
    </row>
    <row r="2016" spans="1:80" s="120" customFormat="1" ht="15" customHeight="1">
      <c r="A2016" s="280" t="s">
        <v>540</v>
      </c>
      <c r="B2016" s="117">
        <v>2008</v>
      </c>
      <c r="C2016" s="117" t="s">
        <v>541</v>
      </c>
      <c r="D2016" s="117" t="s">
        <v>3616</v>
      </c>
      <c r="E2016" s="117" t="s">
        <v>86</v>
      </c>
      <c r="F2016" s="117"/>
      <c r="G2016" s="117" t="s">
        <v>24</v>
      </c>
      <c r="H2016" s="117" t="str">
        <f t="shared" si="357"/>
        <v>yes</v>
      </c>
      <c r="I2016" s="117" t="str">
        <f t="shared" si="346"/>
        <v>no</v>
      </c>
      <c r="J2016" s="117" t="str">
        <f t="shared" si="347"/>
        <v>no</v>
      </c>
      <c r="K2016" s="117" t="s">
        <v>2402</v>
      </c>
      <c r="L2016" s="117" t="str">
        <f t="shared" si="358"/>
        <v>detailed</v>
      </c>
      <c r="M2016" s="117" t="str">
        <f t="shared" si="348"/>
        <v>detailed Mining</v>
      </c>
      <c r="N2016" s="118">
        <v>7000</v>
      </c>
      <c r="O2016" s="118"/>
      <c r="P2016" s="118"/>
      <c r="Q2016" s="118"/>
      <c r="R2016" s="118"/>
      <c r="S2016" s="492" t="s">
        <v>610</v>
      </c>
      <c r="T2016" s="119"/>
      <c r="U2016" s="492"/>
      <c r="V2016" s="117" t="s">
        <v>684</v>
      </c>
      <c r="W2016" s="89"/>
      <c r="X2016" s="117"/>
      <c r="Y2016" s="117"/>
      <c r="Z2016" s="117"/>
      <c r="AA2016" s="117"/>
      <c r="AB2016" s="117"/>
      <c r="AC2016" s="240"/>
      <c r="AD2016" s="240"/>
      <c r="AE2016" s="240"/>
      <c r="AF2016" s="241"/>
      <c r="AG2016" s="117"/>
      <c r="AH2016" s="124"/>
      <c r="AI2016" s="117"/>
      <c r="AJ2016" s="117"/>
      <c r="AK2016" s="89"/>
      <c r="AL2016" s="117"/>
      <c r="AM2016" s="117"/>
      <c r="AN2016" s="117"/>
      <c r="AO2016" s="117"/>
      <c r="AP2016" s="117"/>
      <c r="AQ2016" s="117"/>
      <c r="AR2016" s="126"/>
      <c r="AS2016" s="117"/>
      <c r="AT2016" s="117"/>
      <c r="AU2016" s="117"/>
      <c r="AV2016" s="128"/>
      <c r="AW2016" s="117">
        <f>VLOOKUP($D2016,'WB Data'!$C$3:$M$578,2,FALSE)</f>
        <v>17911046608.557137</v>
      </c>
      <c r="AX2016" s="117">
        <f>VLOOKUP($D2016,'WB Data'!$C$3:$M$578,3,FALSE)</f>
        <v>12456527</v>
      </c>
      <c r="AY2016" s="847">
        <f t="shared" si="351"/>
        <v>2.6261495784131162E-2</v>
      </c>
      <c r="AZ2016" s="117">
        <f>VLOOKUP($D2016,'WB Data'!$C$3:$M$578,4,FALSE)/100</f>
        <v>0.15013902187505693</v>
      </c>
      <c r="BA2016" s="117">
        <f t="shared" si="352"/>
        <v>2689147018.5673242</v>
      </c>
      <c r="BB2016" s="129">
        <f>IFERROR(VLOOKUP($D2016,'EITI Revenues'!$C$2:$G$224,5,FALSE),"..")</f>
        <v>470370875</v>
      </c>
      <c r="BC2016" s="846">
        <f t="shared" si="353"/>
        <v>0.17491452559205775</v>
      </c>
      <c r="BD2016" s="129">
        <f>VLOOKUP($D2016,'WB Data 2'!$C$2:$K$545,6,FALSE)</f>
        <v>4388709668.9664974</v>
      </c>
      <c r="BE2016" s="129">
        <f>IFERROR(VLOOKUP($D2016,UNCTAD!$C$5:$V$529,4,FALSE),"..")</f>
        <v>5261210000</v>
      </c>
      <c r="BF2016" s="846">
        <f t="shared" si="354"/>
        <v>0.8341635610375745</v>
      </c>
      <c r="BG2016" s="117">
        <f>VLOOKUP($D2016,'WB Data'!$C$3:$M$578,5,FALSE)</f>
        <v>1116240000</v>
      </c>
      <c r="BH2016" s="129">
        <f>IFERROR($BB2016/$BG2016,"..")</f>
        <v>0.42138865745717768</v>
      </c>
      <c r="BI2016" s="117">
        <f>IFERROR(VLOOKUP($D2016,'WB Data'!$C$3:$M$578,7,FALSE)/100,"..")</f>
        <v>1.34536E-2</v>
      </c>
      <c r="BJ2016" s="117">
        <f>IFERROR($BI2016*$AW2016,"..")</f>
        <v>240968056.65288427</v>
      </c>
      <c r="BK2016" s="846">
        <f>IFERROR($BB2016/$BJ2016,"..")</f>
        <v>1.9520050978274339</v>
      </c>
      <c r="BL2016" s="117">
        <f>IFERROR(VLOOKUP($D2016,'WB Data'!$C$3:$M$578,7,FALSE)/100,"..")</f>
        <v>1.34536E-2</v>
      </c>
      <c r="BM2016" s="117">
        <f>IFERROR($AW2016*$BL2016,"..")</f>
        <v>240968056.65288427</v>
      </c>
      <c r="BN2016" s="846">
        <f>IFERROR($BB2016/$BM2016,"..")</f>
        <v>1.9520050978274339</v>
      </c>
      <c r="BO2016" s="801">
        <f t="shared" si="350"/>
        <v>38</v>
      </c>
      <c r="BP2016" s="117" t="str">
        <f>VLOOKUP($D2016,'WB Data'!$C$3:$M$578,9,FALSE)</f>
        <v>..</v>
      </c>
      <c r="BQ2016" s="117">
        <f>VLOOKUP($D2016,'WB Data'!$C$3:$M$578,10,FALSE)</f>
        <v>51.62214634146342</v>
      </c>
      <c r="BR2016" s="117">
        <f>VLOOKUP($D2016,'WB Data'!$C$3:$M$578,11,FALSE)</f>
        <v>67.3</v>
      </c>
      <c r="BS2016" s="129">
        <f>IFERROR(VLOOKUP($D2016,'WB Data 2'!$C$2:$K$545,9,FALSE),"..")</f>
        <v>96.953670000000002</v>
      </c>
      <c r="BT2016" s="129">
        <f>_xlfn.IFNA(VLOOKUP($C2016,RGI!$A$2:$C$43,2,FALSE),"..")</f>
        <v>41.2</v>
      </c>
      <c r="BU2016" s="129">
        <f>_xlfn.IFNA(VLOOKUP($C2016,RGI!$A$2:$C$43,3,FALSE),"..")</f>
        <v>60.803011070373614</v>
      </c>
      <c r="BV2016" s="129">
        <f>VLOOKUP($D2016,WGI!$C$2:$O$478,7,FALSE)</f>
        <v>-0.18089655683316799</v>
      </c>
      <c r="BW2016" s="129">
        <f>VLOOKUP($D2016,WGI!$C$2:$O$478,4,FALSE)</f>
        <v>0.46318787542491702</v>
      </c>
      <c r="BX2016" s="129">
        <f>VLOOKUP($D2016,WGI!$C$2:$O$478,3,FALSE)</f>
        <v>-0.72927626481342001</v>
      </c>
      <c r="BY2016" s="129">
        <f>VLOOKUP($D2016,WGI!$C$2:$O$478,5,FALSE)</f>
        <v>-0.45386416304737698</v>
      </c>
      <c r="BZ2016" s="129">
        <f>VLOOKUP($D2016,WGI!$C$2:$O$478,2,FALSE)</f>
        <v>-0.47433898284147402</v>
      </c>
      <c r="CB2016" s="129"/>
    </row>
    <row r="2017" spans="1:80" s="120" customFormat="1" ht="15" customHeight="1">
      <c r="A2017" s="280" t="s">
        <v>540</v>
      </c>
      <c r="B2017" s="117">
        <v>2008</v>
      </c>
      <c r="C2017" s="117" t="s">
        <v>541</v>
      </c>
      <c r="D2017" s="117" t="s">
        <v>3616</v>
      </c>
      <c r="E2017" s="117" t="s">
        <v>86</v>
      </c>
      <c r="F2017" s="117"/>
      <c r="G2017" s="117" t="s">
        <v>24</v>
      </c>
      <c r="H2017" s="117" t="str">
        <f t="shared" si="357"/>
        <v>yes</v>
      </c>
      <c r="I2017" s="117" t="str">
        <f t="shared" si="346"/>
        <v>no</v>
      </c>
      <c r="J2017" s="117" t="str">
        <f t="shared" si="347"/>
        <v>no</v>
      </c>
      <c r="K2017" s="117" t="s">
        <v>1336</v>
      </c>
      <c r="L2017" s="117" t="str">
        <f t="shared" si="358"/>
        <v>detailed</v>
      </c>
      <c r="M2017" s="117" t="str">
        <f t="shared" si="348"/>
        <v>detailed Mining</v>
      </c>
      <c r="N2017" s="118">
        <v>4049</v>
      </c>
      <c r="O2017" s="118"/>
      <c r="P2017" s="118"/>
      <c r="Q2017" s="118"/>
      <c r="R2017" s="118"/>
      <c r="S2017" s="492" t="s">
        <v>610</v>
      </c>
      <c r="T2017" s="119"/>
      <c r="U2017" s="492"/>
      <c r="V2017" s="117" t="s">
        <v>684</v>
      </c>
      <c r="W2017" s="89"/>
      <c r="X2017" s="117"/>
      <c r="Y2017" s="117"/>
      <c r="Z2017" s="117"/>
      <c r="AA2017" s="117"/>
      <c r="AB2017" s="117"/>
      <c r="AC2017" s="240"/>
      <c r="AD2017" s="240"/>
      <c r="AE2017" s="240"/>
      <c r="AF2017" s="241"/>
      <c r="AG2017" s="117"/>
      <c r="AH2017" s="124"/>
      <c r="AI2017" s="117"/>
      <c r="AJ2017" s="117"/>
      <c r="AK2017" s="89"/>
      <c r="AL2017" s="117"/>
      <c r="AM2017" s="117"/>
      <c r="AN2017" s="117"/>
      <c r="AO2017" s="117"/>
      <c r="AP2017" s="117"/>
      <c r="AQ2017" s="117"/>
      <c r="AR2017" s="126"/>
      <c r="AS2017" s="117"/>
      <c r="AT2017" s="117"/>
      <c r="AU2017" s="117"/>
      <c r="AV2017" s="128"/>
      <c r="AW2017" s="117">
        <f>VLOOKUP($D2017,'WB Data'!$C$3:$M$578,2,FALSE)</f>
        <v>17911046608.557137</v>
      </c>
      <c r="AX2017" s="117">
        <f>VLOOKUP($D2017,'WB Data'!$C$3:$M$578,3,FALSE)</f>
        <v>12456527</v>
      </c>
      <c r="AY2017" s="847">
        <f t="shared" si="351"/>
        <v>2.6261495784131162E-2</v>
      </c>
      <c r="AZ2017" s="117">
        <f>VLOOKUP($D2017,'WB Data'!$C$3:$M$578,4,FALSE)/100</f>
        <v>0.15013902187505693</v>
      </c>
      <c r="BA2017" s="117">
        <f t="shared" si="352"/>
        <v>2689147018.5673242</v>
      </c>
      <c r="BB2017" s="129">
        <f>IFERROR(VLOOKUP($D2017,'EITI Revenues'!$C$2:$G$224,5,FALSE),"..")</f>
        <v>470370875</v>
      </c>
      <c r="BC2017" s="846">
        <f t="shared" si="353"/>
        <v>0.17491452559205775</v>
      </c>
      <c r="BD2017" s="129">
        <f>VLOOKUP($D2017,'WB Data 2'!$C$2:$K$545,6,FALSE)</f>
        <v>4388709668.9664974</v>
      </c>
      <c r="BE2017" s="129">
        <f>IFERROR(VLOOKUP($D2017,UNCTAD!$C$5:$V$529,4,FALSE),"..")</f>
        <v>5261210000</v>
      </c>
      <c r="BF2017" s="846">
        <f t="shared" si="354"/>
        <v>0.8341635610375745</v>
      </c>
      <c r="BG2017" s="117">
        <f>VLOOKUP($D2017,'WB Data'!$C$3:$M$578,5,FALSE)</f>
        <v>1116240000</v>
      </c>
      <c r="BH2017" s="129">
        <f>IFERROR($BB2017/$BG2017,"..")</f>
        <v>0.42138865745717768</v>
      </c>
      <c r="BI2017" s="117">
        <f>IFERROR(VLOOKUP($D2017,'WB Data'!$C$3:$M$578,7,FALSE)/100,"..")</f>
        <v>1.34536E-2</v>
      </c>
      <c r="BJ2017" s="117">
        <f>IFERROR($BI2017*$AW2017,"..")</f>
        <v>240968056.65288427</v>
      </c>
      <c r="BK2017" s="846">
        <f>IFERROR($BB2017/$BJ2017,"..")</f>
        <v>1.9520050978274339</v>
      </c>
      <c r="BL2017" s="117">
        <f>IFERROR(VLOOKUP($D2017,'WB Data'!$C$3:$M$578,7,FALSE)/100,"..")</f>
        <v>1.34536E-2</v>
      </c>
      <c r="BM2017" s="117">
        <f>IFERROR($AW2017*$BL2017,"..")</f>
        <v>240968056.65288427</v>
      </c>
      <c r="BN2017" s="846">
        <f>IFERROR($BB2017/$BM2017,"..")</f>
        <v>1.9520050978274339</v>
      </c>
      <c r="BO2017" s="801">
        <f t="shared" si="350"/>
        <v>38</v>
      </c>
      <c r="BP2017" s="117" t="str">
        <f>VLOOKUP($D2017,'WB Data'!$C$3:$M$578,9,FALSE)</f>
        <v>..</v>
      </c>
      <c r="BQ2017" s="117">
        <f>VLOOKUP($D2017,'WB Data'!$C$3:$M$578,10,FALSE)</f>
        <v>51.62214634146342</v>
      </c>
      <c r="BR2017" s="117">
        <f>VLOOKUP($D2017,'WB Data'!$C$3:$M$578,11,FALSE)</f>
        <v>67.3</v>
      </c>
      <c r="BS2017" s="129">
        <f>IFERROR(VLOOKUP($D2017,'WB Data 2'!$C$2:$K$545,9,FALSE),"..")</f>
        <v>96.953670000000002</v>
      </c>
      <c r="BT2017" s="129">
        <f>_xlfn.IFNA(VLOOKUP($C2017,RGI!$A$2:$C$43,2,FALSE),"..")</f>
        <v>41.2</v>
      </c>
      <c r="BU2017" s="129">
        <f>_xlfn.IFNA(VLOOKUP($C2017,RGI!$A$2:$C$43,3,FALSE),"..")</f>
        <v>60.803011070373614</v>
      </c>
      <c r="BV2017" s="129">
        <f>VLOOKUP($D2017,WGI!$C$2:$O$478,7,FALSE)</f>
        <v>-0.18089655683316799</v>
      </c>
      <c r="BW2017" s="129">
        <f>VLOOKUP($D2017,WGI!$C$2:$O$478,4,FALSE)</f>
        <v>0.46318787542491702</v>
      </c>
      <c r="BX2017" s="129">
        <f>VLOOKUP($D2017,WGI!$C$2:$O$478,3,FALSE)</f>
        <v>-0.72927626481342001</v>
      </c>
      <c r="BY2017" s="129">
        <f>VLOOKUP($D2017,WGI!$C$2:$O$478,5,FALSE)</f>
        <v>-0.45386416304737698</v>
      </c>
      <c r="BZ2017" s="129">
        <f>VLOOKUP($D2017,WGI!$C$2:$O$478,2,FALSE)</f>
        <v>-0.47433898284147402</v>
      </c>
      <c r="CB2017" s="129"/>
    </row>
    <row r="2018" spans="1:80" s="120" customFormat="1" ht="15" customHeight="1">
      <c r="A2018" s="280" t="s">
        <v>540</v>
      </c>
      <c r="B2018" s="117">
        <v>2008</v>
      </c>
      <c r="C2018" s="117" t="s">
        <v>541</v>
      </c>
      <c r="D2018" s="117" t="s">
        <v>3616</v>
      </c>
      <c r="E2018" s="117" t="s">
        <v>86</v>
      </c>
      <c r="F2018" s="117"/>
      <c r="G2018" s="117" t="s">
        <v>24</v>
      </c>
      <c r="H2018" s="117" t="str">
        <f t="shared" si="357"/>
        <v>yes</v>
      </c>
      <c r="I2018" s="117" t="str">
        <f t="shared" si="346"/>
        <v>no</v>
      </c>
      <c r="J2018" s="117" t="str">
        <f t="shared" si="347"/>
        <v>no</v>
      </c>
      <c r="K2018" s="117" t="s">
        <v>619</v>
      </c>
      <c r="L2018" s="117" t="str">
        <f t="shared" si="358"/>
        <v>detailed</v>
      </c>
      <c r="M2018" s="117" t="str">
        <f t="shared" si="348"/>
        <v>detailed Mining</v>
      </c>
      <c r="N2018" s="118"/>
      <c r="O2018" s="118"/>
      <c r="P2018" s="118"/>
      <c r="Q2018" s="118"/>
      <c r="R2018" s="118"/>
      <c r="S2018" s="492"/>
      <c r="T2018" s="186">
        <v>6955.8798333333298</v>
      </c>
      <c r="U2018" s="117" t="s">
        <v>611</v>
      </c>
      <c r="V2018" s="117" t="s">
        <v>681</v>
      </c>
      <c r="W2018" s="89">
        <f>SUM(N2020:N2021)*T2018</f>
        <v>4500454252.1666641</v>
      </c>
      <c r="X2018" s="117"/>
      <c r="Y2018" s="117"/>
      <c r="Z2018" s="117"/>
      <c r="AA2018" s="117"/>
      <c r="AB2018" s="117"/>
      <c r="AC2018" s="240"/>
      <c r="AD2018" s="240"/>
      <c r="AE2018" s="240"/>
      <c r="AF2018" s="241"/>
      <c r="AG2018" s="117"/>
      <c r="AH2018" s="124"/>
      <c r="AI2018" s="117"/>
      <c r="AJ2018" s="117"/>
      <c r="AK2018" s="89"/>
      <c r="AL2018" s="117"/>
      <c r="AM2018" s="117"/>
      <c r="AN2018" s="117">
        <v>9</v>
      </c>
      <c r="AO2018" s="117" t="s">
        <v>2403</v>
      </c>
      <c r="AP2018" s="117">
        <v>8</v>
      </c>
      <c r="AQ2018" s="117"/>
      <c r="AR2018" s="126"/>
      <c r="AS2018" s="117"/>
      <c r="AT2018" s="117"/>
      <c r="AU2018" s="117"/>
      <c r="AV2018" s="128"/>
      <c r="AW2018" s="117">
        <f>VLOOKUP($D2018,'WB Data'!$C$3:$M$578,2,FALSE)</f>
        <v>17911046608.557137</v>
      </c>
      <c r="AX2018" s="117">
        <f>VLOOKUP($D2018,'WB Data'!$C$3:$M$578,3,FALSE)</f>
        <v>12456527</v>
      </c>
      <c r="AY2018" s="847">
        <f t="shared" si="351"/>
        <v>2.6261495784131162E-2</v>
      </c>
      <c r="AZ2018" s="117">
        <f>VLOOKUP($D2018,'WB Data'!$C$3:$M$578,4,FALSE)/100</f>
        <v>0.15013902187505693</v>
      </c>
      <c r="BA2018" s="117">
        <f t="shared" si="352"/>
        <v>2689147018.5673242</v>
      </c>
      <c r="BB2018" s="129">
        <f>IFERROR(VLOOKUP($D2018,'EITI Revenues'!$C$2:$G$224,5,FALSE),"..")</f>
        <v>470370875</v>
      </c>
      <c r="BC2018" s="846">
        <f t="shared" si="353"/>
        <v>0.17491452559205775</v>
      </c>
      <c r="BD2018" s="129">
        <f>VLOOKUP($D2018,'WB Data 2'!$C$2:$K$545,6,FALSE)</f>
        <v>4388709668.9664974</v>
      </c>
      <c r="BE2018" s="129">
        <f>IFERROR(VLOOKUP($D2018,UNCTAD!$C$5:$V$529,4,FALSE),"..")</f>
        <v>5261210000</v>
      </c>
      <c r="BF2018" s="846">
        <f t="shared" si="354"/>
        <v>0.8341635610375745</v>
      </c>
      <c r="BG2018" s="117">
        <f>VLOOKUP($D2018,'WB Data'!$C$3:$M$578,5,FALSE)</f>
        <v>1116240000</v>
      </c>
      <c r="BH2018" s="129">
        <f>IFERROR($BB2018/$BG2018,"..")</f>
        <v>0.42138865745717768</v>
      </c>
      <c r="BI2018" s="117">
        <f>IFERROR(VLOOKUP($D2018,'WB Data'!$C$3:$M$578,7,FALSE)/100,"..")</f>
        <v>1.34536E-2</v>
      </c>
      <c r="BJ2018" s="117">
        <f>IFERROR($BI2018*$AW2018,"..")</f>
        <v>240968056.65288427</v>
      </c>
      <c r="BK2018" s="846">
        <f>IFERROR($BB2018/$BJ2018,"..")</f>
        <v>1.9520050978274339</v>
      </c>
      <c r="BL2018" s="117">
        <f>IFERROR(VLOOKUP($D2018,'WB Data'!$C$3:$M$578,7,FALSE)/100,"..")</f>
        <v>1.34536E-2</v>
      </c>
      <c r="BM2018" s="117">
        <f>IFERROR($AW2018*$BL2018,"..")</f>
        <v>240968056.65288427</v>
      </c>
      <c r="BN2018" s="846">
        <f>IFERROR($BB2018/$BM2018,"..")</f>
        <v>1.9520050978274339</v>
      </c>
      <c r="BO2018" s="801">
        <f t="shared" si="350"/>
        <v>38</v>
      </c>
      <c r="BP2018" s="117" t="str">
        <f>VLOOKUP($D2018,'WB Data'!$C$3:$M$578,9,FALSE)</f>
        <v>..</v>
      </c>
      <c r="BQ2018" s="117">
        <f>VLOOKUP($D2018,'WB Data'!$C$3:$M$578,10,FALSE)</f>
        <v>51.62214634146342</v>
      </c>
      <c r="BR2018" s="117">
        <f>VLOOKUP($D2018,'WB Data'!$C$3:$M$578,11,FALSE)</f>
        <v>67.3</v>
      </c>
      <c r="BS2018" s="129">
        <f>IFERROR(VLOOKUP($D2018,'WB Data 2'!$C$2:$K$545,9,FALSE),"..")</f>
        <v>96.953670000000002</v>
      </c>
      <c r="BT2018" s="129">
        <f>_xlfn.IFNA(VLOOKUP($C2018,RGI!$A$2:$C$43,2,FALSE),"..")</f>
        <v>41.2</v>
      </c>
      <c r="BU2018" s="129">
        <f>_xlfn.IFNA(VLOOKUP($C2018,RGI!$A$2:$C$43,3,FALSE),"..")</f>
        <v>60.803011070373614</v>
      </c>
      <c r="BV2018" s="129">
        <f>VLOOKUP($D2018,WGI!$C$2:$O$478,7,FALSE)</f>
        <v>-0.18089655683316799</v>
      </c>
      <c r="BW2018" s="129">
        <f>VLOOKUP($D2018,WGI!$C$2:$O$478,4,FALSE)</f>
        <v>0.46318787542491702</v>
      </c>
      <c r="BX2018" s="129">
        <f>VLOOKUP($D2018,WGI!$C$2:$O$478,3,FALSE)</f>
        <v>-0.72927626481342001</v>
      </c>
      <c r="BY2018" s="129">
        <f>VLOOKUP($D2018,WGI!$C$2:$O$478,5,FALSE)</f>
        <v>-0.45386416304737698</v>
      </c>
      <c r="BZ2018" s="129">
        <f>VLOOKUP($D2018,WGI!$C$2:$O$478,2,FALSE)</f>
        <v>-0.47433898284147402</v>
      </c>
      <c r="CB2018" s="129"/>
    </row>
    <row r="2019" spans="1:80" s="120" customFormat="1" ht="15" customHeight="1">
      <c r="A2019" s="280" t="s">
        <v>540</v>
      </c>
      <c r="B2019" s="117">
        <v>2008</v>
      </c>
      <c r="C2019" s="117" t="s">
        <v>541</v>
      </c>
      <c r="D2019" s="117" t="s">
        <v>3616</v>
      </c>
      <c r="E2019" s="117" t="s">
        <v>86</v>
      </c>
      <c r="F2019" s="117"/>
      <c r="G2019" s="117" t="s">
        <v>24</v>
      </c>
      <c r="H2019" s="117" t="str">
        <f t="shared" si="357"/>
        <v>yes</v>
      </c>
      <c r="I2019" s="117" t="str">
        <f t="shared" si="346"/>
        <v>no</v>
      </c>
      <c r="J2019" s="117" t="str">
        <f t="shared" si="347"/>
        <v>no</v>
      </c>
      <c r="K2019" s="117" t="s">
        <v>1324</v>
      </c>
      <c r="L2019" s="117" t="str">
        <f t="shared" si="358"/>
        <v>detailed</v>
      </c>
      <c r="M2019" s="117" t="str">
        <f t="shared" si="348"/>
        <v>detailed Mining</v>
      </c>
      <c r="N2019" s="118">
        <v>534000</v>
      </c>
      <c r="O2019" s="118"/>
      <c r="P2019" s="118"/>
      <c r="Q2019" s="118"/>
      <c r="R2019" s="118"/>
      <c r="S2019" s="492" t="s">
        <v>610</v>
      </c>
      <c r="T2019" s="119"/>
      <c r="U2019" s="492"/>
      <c r="V2019" s="117" t="s">
        <v>684</v>
      </c>
      <c r="W2019" s="89"/>
      <c r="X2019" s="117"/>
      <c r="Y2019" s="117"/>
      <c r="Z2019" s="117"/>
      <c r="AA2019" s="117"/>
      <c r="AB2019" s="117"/>
      <c r="AC2019" s="240"/>
      <c r="AD2019" s="240"/>
      <c r="AE2019" s="240"/>
      <c r="AF2019" s="241"/>
      <c r="AG2019" s="117"/>
      <c r="AH2019" s="124"/>
      <c r="AI2019" s="117"/>
      <c r="AJ2019" s="117"/>
      <c r="AK2019" s="89"/>
      <c r="AL2019" s="117"/>
      <c r="AM2019" s="117"/>
      <c r="AN2019" s="117"/>
      <c r="AO2019" s="117"/>
      <c r="AP2019" s="117"/>
      <c r="AQ2019" s="117"/>
      <c r="AR2019" s="126"/>
      <c r="AS2019" s="117"/>
      <c r="AT2019" s="117"/>
      <c r="AU2019" s="117"/>
      <c r="AV2019" s="128"/>
      <c r="AW2019" s="117">
        <f>VLOOKUP($D2019,'WB Data'!$C$3:$M$578,2,FALSE)</f>
        <v>17911046608.557137</v>
      </c>
      <c r="AX2019" s="117">
        <f>VLOOKUP($D2019,'WB Data'!$C$3:$M$578,3,FALSE)</f>
        <v>12456527</v>
      </c>
      <c r="AY2019" s="847">
        <f t="shared" si="351"/>
        <v>2.6261495784131162E-2</v>
      </c>
      <c r="AZ2019" s="117">
        <f>VLOOKUP($D2019,'WB Data'!$C$3:$M$578,4,FALSE)/100</f>
        <v>0.15013902187505693</v>
      </c>
      <c r="BA2019" s="117">
        <f t="shared" si="352"/>
        <v>2689147018.5673242</v>
      </c>
      <c r="BB2019" s="129">
        <f>IFERROR(VLOOKUP($D2019,'EITI Revenues'!$C$2:$G$224,5,FALSE),"..")</f>
        <v>470370875</v>
      </c>
      <c r="BC2019" s="846">
        <f t="shared" si="353"/>
        <v>0.17491452559205775</v>
      </c>
      <c r="BD2019" s="129">
        <f>VLOOKUP($D2019,'WB Data 2'!$C$2:$K$545,6,FALSE)</f>
        <v>4388709668.9664974</v>
      </c>
      <c r="BE2019" s="129">
        <f>IFERROR(VLOOKUP($D2019,UNCTAD!$C$5:$V$529,4,FALSE),"..")</f>
        <v>5261210000</v>
      </c>
      <c r="BF2019" s="846">
        <f t="shared" si="354"/>
        <v>0.8341635610375745</v>
      </c>
      <c r="BG2019" s="117">
        <f>VLOOKUP($D2019,'WB Data'!$C$3:$M$578,5,FALSE)</f>
        <v>1116240000</v>
      </c>
      <c r="BH2019" s="129">
        <f>IFERROR($BB2019/$BG2019,"..")</f>
        <v>0.42138865745717768</v>
      </c>
      <c r="BI2019" s="117">
        <f>IFERROR(VLOOKUP($D2019,'WB Data'!$C$3:$M$578,7,FALSE)/100,"..")</f>
        <v>1.34536E-2</v>
      </c>
      <c r="BJ2019" s="117">
        <f>IFERROR($BI2019*$AW2019,"..")</f>
        <v>240968056.65288427</v>
      </c>
      <c r="BK2019" s="846">
        <f>IFERROR($BB2019/$BJ2019,"..")</f>
        <v>1.9520050978274339</v>
      </c>
      <c r="BL2019" s="117">
        <f>IFERROR(VLOOKUP($D2019,'WB Data'!$C$3:$M$578,7,FALSE)/100,"..")</f>
        <v>1.34536E-2</v>
      </c>
      <c r="BM2019" s="117">
        <f>IFERROR($AW2019*$BL2019,"..")</f>
        <v>240968056.65288427</v>
      </c>
      <c r="BN2019" s="846">
        <f>IFERROR($BB2019/$BM2019,"..")</f>
        <v>1.9520050978274339</v>
      </c>
      <c r="BO2019" s="801">
        <f t="shared" si="350"/>
        <v>38</v>
      </c>
      <c r="BP2019" s="117" t="str">
        <f>VLOOKUP($D2019,'WB Data'!$C$3:$M$578,9,FALSE)</f>
        <v>..</v>
      </c>
      <c r="BQ2019" s="117">
        <f>VLOOKUP($D2019,'WB Data'!$C$3:$M$578,10,FALSE)</f>
        <v>51.62214634146342</v>
      </c>
      <c r="BR2019" s="117">
        <f>VLOOKUP($D2019,'WB Data'!$C$3:$M$578,11,FALSE)</f>
        <v>67.3</v>
      </c>
      <c r="BS2019" s="129">
        <f>IFERROR(VLOOKUP($D2019,'WB Data 2'!$C$2:$K$545,9,FALSE),"..")</f>
        <v>96.953670000000002</v>
      </c>
      <c r="BT2019" s="129">
        <f>_xlfn.IFNA(VLOOKUP($C2019,RGI!$A$2:$C$43,2,FALSE),"..")</f>
        <v>41.2</v>
      </c>
      <c r="BU2019" s="129">
        <f>_xlfn.IFNA(VLOOKUP($C2019,RGI!$A$2:$C$43,3,FALSE),"..")</f>
        <v>60.803011070373614</v>
      </c>
      <c r="BV2019" s="129">
        <f>VLOOKUP($D2019,WGI!$C$2:$O$478,7,FALSE)</f>
        <v>-0.18089655683316799</v>
      </c>
      <c r="BW2019" s="129">
        <f>VLOOKUP($D2019,WGI!$C$2:$O$478,4,FALSE)</f>
        <v>0.46318787542491702</v>
      </c>
      <c r="BX2019" s="129">
        <f>VLOOKUP($D2019,WGI!$C$2:$O$478,3,FALSE)</f>
        <v>-0.72927626481342001</v>
      </c>
      <c r="BY2019" s="129">
        <f>VLOOKUP($D2019,WGI!$C$2:$O$478,5,FALSE)</f>
        <v>-0.45386416304737698</v>
      </c>
      <c r="BZ2019" s="129">
        <f>VLOOKUP($D2019,WGI!$C$2:$O$478,2,FALSE)</f>
        <v>-0.47433898284147402</v>
      </c>
      <c r="CB2019" s="129"/>
    </row>
    <row r="2020" spans="1:80" s="120" customFormat="1" ht="15" customHeight="1">
      <c r="A2020" s="280" t="s">
        <v>540</v>
      </c>
      <c r="B2020" s="117">
        <v>2008</v>
      </c>
      <c r="C2020" s="117" t="s">
        <v>541</v>
      </c>
      <c r="D2020" s="117" t="s">
        <v>3616</v>
      </c>
      <c r="E2020" s="117" t="s">
        <v>86</v>
      </c>
      <c r="F2020" s="117"/>
      <c r="G2020" s="117" t="s">
        <v>24</v>
      </c>
      <c r="H2020" s="117" t="str">
        <f t="shared" si="357"/>
        <v>yes</v>
      </c>
      <c r="I2020" s="117" t="str">
        <f t="shared" si="346"/>
        <v>no</v>
      </c>
      <c r="J2020" s="117" t="str">
        <f t="shared" si="347"/>
        <v>no</v>
      </c>
      <c r="K2020" s="117" t="s">
        <v>1325</v>
      </c>
      <c r="L2020" s="117" t="str">
        <f t="shared" si="358"/>
        <v>detailed</v>
      </c>
      <c r="M2020" s="117" t="str">
        <f t="shared" si="348"/>
        <v>detailed Mining</v>
      </c>
      <c r="N2020" s="118">
        <v>232000</v>
      </c>
      <c r="O2020" s="118"/>
      <c r="P2020" s="118"/>
      <c r="Q2020" s="118"/>
      <c r="R2020" s="118"/>
      <c r="S2020" s="492" t="s">
        <v>610</v>
      </c>
      <c r="T2020" s="119"/>
      <c r="U2020" s="492"/>
      <c r="V2020" s="117" t="s">
        <v>684</v>
      </c>
      <c r="W2020" s="89"/>
      <c r="X2020" s="117"/>
      <c r="Y2020" s="117"/>
      <c r="Z2020" s="117"/>
      <c r="AA2020" s="117"/>
      <c r="AB2020" s="117"/>
      <c r="AC2020" s="240"/>
      <c r="AD2020" s="240"/>
      <c r="AE2020" s="240"/>
      <c r="AF2020" s="241"/>
      <c r="AG2020" s="117"/>
      <c r="AH2020" s="124"/>
      <c r="AI2020" s="117"/>
      <c r="AJ2020" s="117"/>
      <c r="AK2020" s="89"/>
      <c r="AL2020" s="117"/>
      <c r="AM2020" s="117"/>
      <c r="AN2020" s="117"/>
      <c r="AO2020" s="117"/>
      <c r="AP2020" s="117"/>
      <c r="AQ2020" s="117"/>
      <c r="AR2020" s="126"/>
      <c r="AS2020" s="117"/>
      <c r="AT2020" s="117"/>
      <c r="AU2020" s="117"/>
      <c r="AV2020" s="128"/>
      <c r="AW2020" s="117">
        <f>VLOOKUP($D2020,'WB Data'!$C$3:$M$578,2,FALSE)</f>
        <v>17911046608.557137</v>
      </c>
      <c r="AX2020" s="117">
        <f>VLOOKUP($D2020,'WB Data'!$C$3:$M$578,3,FALSE)</f>
        <v>12456527</v>
      </c>
      <c r="AY2020" s="847">
        <f t="shared" si="351"/>
        <v>2.6261495784131162E-2</v>
      </c>
      <c r="AZ2020" s="117">
        <f>VLOOKUP($D2020,'WB Data'!$C$3:$M$578,4,FALSE)/100</f>
        <v>0.15013902187505693</v>
      </c>
      <c r="BA2020" s="117">
        <f t="shared" si="352"/>
        <v>2689147018.5673242</v>
      </c>
      <c r="BB2020" s="129">
        <f>IFERROR(VLOOKUP($D2020,'EITI Revenues'!$C$2:$G$224,5,FALSE),"..")</f>
        <v>470370875</v>
      </c>
      <c r="BC2020" s="846">
        <f t="shared" si="353"/>
        <v>0.17491452559205775</v>
      </c>
      <c r="BD2020" s="129">
        <f>VLOOKUP($D2020,'WB Data 2'!$C$2:$K$545,6,FALSE)</f>
        <v>4388709668.9664974</v>
      </c>
      <c r="BE2020" s="129">
        <f>IFERROR(VLOOKUP($D2020,UNCTAD!$C$5:$V$529,4,FALSE),"..")</f>
        <v>5261210000</v>
      </c>
      <c r="BF2020" s="846">
        <f t="shared" si="354"/>
        <v>0.8341635610375745</v>
      </c>
      <c r="BG2020" s="117">
        <f>VLOOKUP($D2020,'WB Data'!$C$3:$M$578,5,FALSE)</f>
        <v>1116240000</v>
      </c>
      <c r="BH2020" s="129">
        <f>IFERROR($BB2020/$BG2020,"..")</f>
        <v>0.42138865745717768</v>
      </c>
      <c r="BI2020" s="117">
        <f>IFERROR(VLOOKUP($D2020,'WB Data'!$C$3:$M$578,7,FALSE)/100,"..")</f>
        <v>1.34536E-2</v>
      </c>
      <c r="BJ2020" s="117">
        <f>IFERROR($BI2020*$AW2020,"..")</f>
        <v>240968056.65288427</v>
      </c>
      <c r="BK2020" s="846">
        <f>IFERROR($BB2020/$BJ2020,"..")</f>
        <v>1.9520050978274339</v>
      </c>
      <c r="BL2020" s="117">
        <f>IFERROR(VLOOKUP($D2020,'WB Data'!$C$3:$M$578,7,FALSE)/100,"..")</f>
        <v>1.34536E-2</v>
      </c>
      <c r="BM2020" s="117">
        <f>IFERROR($AW2020*$BL2020,"..")</f>
        <v>240968056.65288427</v>
      </c>
      <c r="BN2020" s="846">
        <f>IFERROR($BB2020/$BM2020,"..")</f>
        <v>1.9520050978274339</v>
      </c>
      <c r="BO2020" s="801">
        <f t="shared" si="350"/>
        <v>38</v>
      </c>
      <c r="BP2020" s="117" t="str">
        <f>VLOOKUP($D2020,'WB Data'!$C$3:$M$578,9,FALSE)</f>
        <v>..</v>
      </c>
      <c r="BQ2020" s="117">
        <f>VLOOKUP($D2020,'WB Data'!$C$3:$M$578,10,FALSE)</f>
        <v>51.62214634146342</v>
      </c>
      <c r="BR2020" s="117">
        <f>VLOOKUP($D2020,'WB Data'!$C$3:$M$578,11,FALSE)</f>
        <v>67.3</v>
      </c>
      <c r="BS2020" s="129">
        <f>IFERROR(VLOOKUP($D2020,'WB Data 2'!$C$2:$K$545,9,FALSE),"..")</f>
        <v>96.953670000000002</v>
      </c>
      <c r="BT2020" s="129">
        <f>_xlfn.IFNA(VLOOKUP($C2020,RGI!$A$2:$C$43,2,FALSE),"..")</f>
        <v>41.2</v>
      </c>
      <c r="BU2020" s="129">
        <f>_xlfn.IFNA(VLOOKUP($C2020,RGI!$A$2:$C$43,3,FALSE),"..")</f>
        <v>60.803011070373614</v>
      </c>
      <c r="BV2020" s="129">
        <f>VLOOKUP($D2020,WGI!$C$2:$O$478,7,FALSE)</f>
        <v>-0.18089655683316799</v>
      </c>
      <c r="BW2020" s="129">
        <f>VLOOKUP($D2020,WGI!$C$2:$O$478,4,FALSE)</f>
        <v>0.46318787542491702</v>
      </c>
      <c r="BX2020" s="129">
        <f>VLOOKUP($D2020,WGI!$C$2:$O$478,3,FALSE)</f>
        <v>-0.72927626481342001</v>
      </c>
      <c r="BY2020" s="129">
        <f>VLOOKUP($D2020,WGI!$C$2:$O$478,5,FALSE)</f>
        <v>-0.45386416304737698</v>
      </c>
      <c r="BZ2020" s="129">
        <f>VLOOKUP($D2020,WGI!$C$2:$O$478,2,FALSE)</f>
        <v>-0.47433898284147402</v>
      </c>
      <c r="CB2020" s="129"/>
    </row>
    <row r="2021" spans="1:80" s="120" customFormat="1" ht="15" customHeight="1">
      <c r="A2021" s="280" t="s">
        <v>540</v>
      </c>
      <c r="B2021" s="117">
        <v>2008</v>
      </c>
      <c r="C2021" s="117" t="s">
        <v>541</v>
      </c>
      <c r="D2021" s="117" t="s">
        <v>3616</v>
      </c>
      <c r="E2021" s="117" t="s">
        <v>86</v>
      </c>
      <c r="F2021" s="117"/>
      <c r="G2021" s="117" t="s">
        <v>24</v>
      </c>
      <c r="H2021" s="117" t="str">
        <f t="shared" si="357"/>
        <v>yes</v>
      </c>
      <c r="I2021" s="117" t="str">
        <f t="shared" si="346"/>
        <v>no</v>
      </c>
      <c r="J2021" s="117" t="str">
        <f t="shared" si="347"/>
        <v>no</v>
      </c>
      <c r="K2021" s="117" t="s">
        <v>1326</v>
      </c>
      <c r="L2021" s="117" t="str">
        <f t="shared" si="358"/>
        <v>detailed</v>
      </c>
      <c r="M2021" s="117" t="str">
        <f t="shared" si="348"/>
        <v>detailed Mining</v>
      </c>
      <c r="N2021" s="118">
        <v>415000</v>
      </c>
      <c r="O2021" s="118"/>
      <c r="P2021" s="118"/>
      <c r="Q2021" s="118"/>
      <c r="R2021" s="118"/>
      <c r="S2021" s="492" t="s">
        <v>610</v>
      </c>
      <c r="T2021" s="119"/>
      <c r="U2021" s="492"/>
      <c r="V2021" s="117" t="s">
        <v>684</v>
      </c>
      <c r="W2021" s="89"/>
      <c r="X2021" s="117"/>
      <c r="Y2021" s="117"/>
      <c r="Z2021" s="117"/>
      <c r="AA2021" s="117"/>
      <c r="AB2021" s="117"/>
      <c r="AC2021" s="240"/>
      <c r="AD2021" s="240"/>
      <c r="AE2021" s="240"/>
      <c r="AF2021" s="241"/>
      <c r="AG2021" s="117"/>
      <c r="AH2021" s="124"/>
      <c r="AI2021" s="117"/>
      <c r="AJ2021" s="117"/>
      <c r="AK2021" s="89"/>
      <c r="AL2021" s="117"/>
      <c r="AM2021" s="117"/>
      <c r="AN2021" s="117"/>
      <c r="AO2021" s="117"/>
      <c r="AP2021" s="117"/>
      <c r="AQ2021" s="117"/>
      <c r="AR2021" s="126"/>
      <c r="AS2021" s="117"/>
      <c r="AT2021" s="117"/>
      <c r="AU2021" s="117"/>
      <c r="AV2021" s="128"/>
      <c r="AW2021" s="117">
        <f>VLOOKUP($D2021,'WB Data'!$C$3:$M$578,2,FALSE)</f>
        <v>17911046608.557137</v>
      </c>
      <c r="AX2021" s="117">
        <f>VLOOKUP($D2021,'WB Data'!$C$3:$M$578,3,FALSE)</f>
        <v>12456527</v>
      </c>
      <c r="AY2021" s="847">
        <f t="shared" si="351"/>
        <v>2.6261495784131162E-2</v>
      </c>
      <c r="AZ2021" s="117">
        <f>VLOOKUP($D2021,'WB Data'!$C$3:$M$578,4,FALSE)/100</f>
        <v>0.15013902187505693</v>
      </c>
      <c r="BA2021" s="117">
        <f t="shared" si="352"/>
        <v>2689147018.5673242</v>
      </c>
      <c r="BB2021" s="129">
        <f>IFERROR(VLOOKUP($D2021,'EITI Revenues'!$C$2:$G$224,5,FALSE),"..")</f>
        <v>470370875</v>
      </c>
      <c r="BC2021" s="846">
        <f t="shared" si="353"/>
        <v>0.17491452559205775</v>
      </c>
      <c r="BD2021" s="129">
        <f>VLOOKUP($D2021,'WB Data 2'!$C$2:$K$545,6,FALSE)</f>
        <v>4388709668.9664974</v>
      </c>
      <c r="BE2021" s="129">
        <f>IFERROR(VLOOKUP($D2021,UNCTAD!$C$5:$V$529,4,FALSE),"..")</f>
        <v>5261210000</v>
      </c>
      <c r="BF2021" s="846">
        <f t="shared" si="354"/>
        <v>0.8341635610375745</v>
      </c>
      <c r="BG2021" s="117">
        <f>VLOOKUP($D2021,'WB Data'!$C$3:$M$578,5,FALSE)</f>
        <v>1116240000</v>
      </c>
      <c r="BH2021" s="129">
        <f>IFERROR($BB2021/$BG2021,"..")</f>
        <v>0.42138865745717768</v>
      </c>
      <c r="BI2021" s="117">
        <f>IFERROR(VLOOKUP($D2021,'WB Data'!$C$3:$M$578,7,FALSE)/100,"..")</f>
        <v>1.34536E-2</v>
      </c>
      <c r="BJ2021" s="117">
        <f>IFERROR($BI2021*$AW2021,"..")</f>
        <v>240968056.65288427</v>
      </c>
      <c r="BK2021" s="846">
        <f>IFERROR($BB2021/$BJ2021,"..")</f>
        <v>1.9520050978274339</v>
      </c>
      <c r="BL2021" s="117">
        <f>IFERROR(VLOOKUP($D2021,'WB Data'!$C$3:$M$578,7,FALSE)/100,"..")</f>
        <v>1.34536E-2</v>
      </c>
      <c r="BM2021" s="117">
        <f>IFERROR($AW2021*$BL2021,"..")</f>
        <v>240968056.65288427</v>
      </c>
      <c r="BN2021" s="846">
        <f>IFERROR($BB2021/$BM2021,"..")</f>
        <v>1.9520050978274339</v>
      </c>
      <c r="BO2021" s="801">
        <f t="shared" si="350"/>
        <v>38</v>
      </c>
      <c r="BP2021" s="117" t="str">
        <f>VLOOKUP($D2021,'WB Data'!$C$3:$M$578,9,FALSE)</f>
        <v>..</v>
      </c>
      <c r="BQ2021" s="117">
        <f>VLOOKUP($D2021,'WB Data'!$C$3:$M$578,10,FALSE)</f>
        <v>51.62214634146342</v>
      </c>
      <c r="BR2021" s="117">
        <f>VLOOKUP($D2021,'WB Data'!$C$3:$M$578,11,FALSE)</f>
        <v>67.3</v>
      </c>
      <c r="BS2021" s="129">
        <f>IFERROR(VLOOKUP($D2021,'WB Data 2'!$C$2:$K$545,9,FALSE),"..")</f>
        <v>96.953670000000002</v>
      </c>
      <c r="BT2021" s="129">
        <f>_xlfn.IFNA(VLOOKUP($C2021,RGI!$A$2:$C$43,2,FALSE),"..")</f>
        <v>41.2</v>
      </c>
      <c r="BU2021" s="129">
        <f>_xlfn.IFNA(VLOOKUP($C2021,RGI!$A$2:$C$43,3,FALSE),"..")</f>
        <v>60.803011070373614</v>
      </c>
      <c r="BV2021" s="129">
        <f>VLOOKUP($D2021,WGI!$C$2:$O$478,7,FALSE)</f>
        <v>-0.18089655683316799</v>
      </c>
      <c r="BW2021" s="129">
        <f>VLOOKUP($D2021,WGI!$C$2:$O$478,4,FALSE)</f>
        <v>0.46318787542491702</v>
      </c>
      <c r="BX2021" s="129">
        <f>VLOOKUP($D2021,WGI!$C$2:$O$478,3,FALSE)</f>
        <v>-0.72927626481342001</v>
      </c>
      <c r="BY2021" s="129">
        <f>VLOOKUP($D2021,WGI!$C$2:$O$478,5,FALSE)</f>
        <v>-0.45386416304737698</v>
      </c>
      <c r="BZ2021" s="129">
        <f>VLOOKUP($D2021,WGI!$C$2:$O$478,2,FALSE)</f>
        <v>-0.47433898284147402</v>
      </c>
      <c r="CB2021" s="129"/>
    </row>
    <row r="2022" spans="1:80" s="120" customFormat="1" ht="15" customHeight="1">
      <c r="A2022" s="280" t="s">
        <v>540</v>
      </c>
      <c r="B2022" s="117">
        <v>2008</v>
      </c>
      <c r="C2022" s="117" t="s">
        <v>541</v>
      </c>
      <c r="D2022" s="117" t="s">
        <v>3616</v>
      </c>
      <c r="E2022" s="117" t="s">
        <v>86</v>
      </c>
      <c r="F2022" s="117"/>
      <c r="G2022" s="117" t="s">
        <v>24</v>
      </c>
      <c r="H2022" s="117" t="str">
        <f t="shared" si="357"/>
        <v>yes</v>
      </c>
      <c r="I2022" s="117" t="str">
        <f t="shared" si="346"/>
        <v>no</v>
      </c>
      <c r="J2022" s="117" t="str">
        <f t="shared" si="347"/>
        <v>no</v>
      </c>
      <c r="K2022" s="117" t="s">
        <v>2404</v>
      </c>
      <c r="L2022" s="117" t="str">
        <f t="shared" si="358"/>
        <v>detailed</v>
      </c>
      <c r="M2022" s="117" t="str">
        <f t="shared" si="348"/>
        <v>detailed Mining</v>
      </c>
      <c r="N2022" s="118"/>
      <c r="O2022" s="118"/>
      <c r="P2022" s="118"/>
      <c r="Q2022" s="118"/>
      <c r="R2022" s="118"/>
      <c r="S2022" s="89"/>
      <c r="T2022" s="119"/>
      <c r="U2022" s="89"/>
      <c r="V2022" s="117"/>
      <c r="W2022" s="298">
        <f>SUM(W2023:W2026)</f>
        <v>129106250000</v>
      </c>
      <c r="X2022" s="117"/>
      <c r="Y2022" s="117"/>
      <c r="Z2022" s="117"/>
      <c r="AA2022" s="89">
        <v>441075.23834196891</v>
      </c>
      <c r="AB2022" s="89">
        <v>638865.33242432505</v>
      </c>
      <c r="AC2022" s="240"/>
      <c r="AD2022" s="240"/>
      <c r="AE2022" s="240"/>
      <c r="AF2022" s="632">
        <f>AA2022/W2022</f>
        <v>3.416374020173066E-6</v>
      </c>
      <c r="AG2022" s="117"/>
      <c r="AH2022" s="124"/>
      <c r="AI2022" s="89"/>
      <c r="AJ2022" s="117"/>
      <c r="AK2022" s="89"/>
      <c r="AL2022" s="117"/>
      <c r="AM2022" s="117"/>
      <c r="AN2022" s="117">
        <v>2</v>
      </c>
      <c r="AO2022" s="117" t="s">
        <v>2405</v>
      </c>
      <c r="AP2022" s="117">
        <v>1</v>
      </c>
      <c r="AQ2022" s="117"/>
      <c r="AR2022" s="126"/>
      <c r="AS2022" s="117"/>
      <c r="AT2022" s="117"/>
      <c r="AU2022" s="117" t="s">
        <v>2399</v>
      </c>
      <c r="AV2022" s="128"/>
      <c r="AW2022" s="117">
        <f>VLOOKUP($D2022,'WB Data'!$C$3:$M$578,2,FALSE)</f>
        <v>17911046608.557137</v>
      </c>
      <c r="AX2022" s="117">
        <f>VLOOKUP($D2022,'WB Data'!$C$3:$M$578,3,FALSE)</f>
        <v>12456527</v>
      </c>
      <c r="AY2022" s="847">
        <f t="shared" si="351"/>
        <v>2.6261495784131162E-2</v>
      </c>
      <c r="AZ2022" s="117">
        <f>VLOOKUP($D2022,'WB Data'!$C$3:$M$578,4,FALSE)/100</f>
        <v>0.15013902187505693</v>
      </c>
      <c r="BA2022" s="117">
        <f t="shared" si="352"/>
        <v>2689147018.5673242</v>
      </c>
      <c r="BB2022" s="129">
        <f>IFERROR(VLOOKUP($D2022,'EITI Revenues'!$C$2:$G$224,5,FALSE),"..")</f>
        <v>470370875</v>
      </c>
      <c r="BC2022" s="846">
        <f t="shared" si="353"/>
        <v>0.17491452559205775</v>
      </c>
      <c r="BD2022" s="129">
        <f>VLOOKUP($D2022,'WB Data 2'!$C$2:$K$545,6,FALSE)</f>
        <v>4388709668.9664974</v>
      </c>
      <c r="BE2022" s="129">
        <f>IFERROR(VLOOKUP($D2022,UNCTAD!$C$5:$V$529,4,FALSE),"..")</f>
        <v>5261210000</v>
      </c>
      <c r="BF2022" s="846">
        <f t="shared" si="354"/>
        <v>0.8341635610375745</v>
      </c>
      <c r="BG2022" s="117">
        <f>VLOOKUP($D2022,'WB Data'!$C$3:$M$578,5,FALSE)</f>
        <v>1116240000</v>
      </c>
      <c r="BH2022" s="129">
        <f>IFERROR($BB2022/$BG2022,"..")</f>
        <v>0.42138865745717768</v>
      </c>
      <c r="BI2022" s="117">
        <f>IFERROR(VLOOKUP($D2022,'WB Data'!$C$3:$M$578,7,FALSE)/100,"..")</f>
        <v>1.34536E-2</v>
      </c>
      <c r="BJ2022" s="117">
        <f>IFERROR($BI2022*$AW2022,"..")</f>
        <v>240968056.65288427</v>
      </c>
      <c r="BK2022" s="846">
        <f>IFERROR($BB2022/$BJ2022,"..")</f>
        <v>1.9520050978274339</v>
      </c>
      <c r="BL2022" s="117">
        <f>IFERROR(VLOOKUP($D2022,'WB Data'!$C$3:$M$578,7,FALSE)/100,"..")</f>
        <v>1.34536E-2</v>
      </c>
      <c r="BM2022" s="117">
        <f>IFERROR($AW2022*$BL2022,"..")</f>
        <v>240968056.65288427</v>
      </c>
      <c r="BN2022" s="846">
        <f>IFERROR($BB2022/$BM2022,"..")</f>
        <v>1.9520050978274339</v>
      </c>
      <c r="BO2022" s="801">
        <f t="shared" si="350"/>
        <v>38</v>
      </c>
      <c r="BP2022" s="117" t="str">
        <f>VLOOKUP($D2022,'WB Data'!$C$3:$M$578,9,FALSE)</f>
        <v>..</v>
      </c>
      <c r="BQ2022" s="117">
        <f>VLOOKUP($D2022,'WB Data'!$C$3:$M$578,10,FALSE)</f>
        <v>51.62214634146342</v>
      </c>
      <c r="BR2022" s="117">
        <f>VLOOKUP($D2022,'WB Data'!$C$3:$M$578,11,FALSE)</f>
        <v>67.3</v>
      </c>
      <c r="BS2022" s="129">
        <f>IFERROR(VLOOKUP($D2022,'WB Data 2'!$C$2:$K$545,9,FALSE),"..")</f>
        <v>96.953670000000002</v>
      </c>
      <c r="BT2022" s="129">
        <f>_xlfn.IFNA(VLOOKUP($C2022,RGI!$A$2:$C$43,2,FALSE),"..")</f>
        <v>41.2</v>
      </c>
      <c r="BU2022" s="129">
        <f>_xlfn.IFNA(VLOOKUP($C2022,RGI!$A$2:$C$43,3,FALSE),"..")</f>
        <v>60.803011070373614</v>
      </c>
      <c r="BV2022" s="129">
        <f>VLOOKUP($D2022,WGI!$C$2:$O$478,7,FALSE)</f>
        <v>-0.18089655683316799</v>
      </c>
      <c r="BW2022" s="129">
        <f>VLOOKUP($D2022,WGI!$C$2:$O$478,4,FALSE)</f>
        <v>0.46318787542491702</v>
      </c>
      <c r="BX2022" s="129">
        <f>VLOOKUP($D2022,WGI!$C$2:$O$478,3,FALSE)</f>
        <v>-0.72927626481342001</v>
      </c>
      <c r="BY2022" s="129">
        <f>VLOOKUP($D2022,WGI!$C$2:$O$478,5,FALSE)</f>
        <v>-0.45386416304737698</v>
      </c>
      <c r="BZ2022" s="129">
        <f>VLOOKUP($D2022,WGI!$C$2:$O$478,2,FALSE)</f>
        <v>-0.47433898284147402</v>
      </c>
      <c r="CB2022" s="129"/>
    </row>
    <row r="2023" spans="1:80" s="120" customFormat="1" ht="15" customHeight="1">
      <c r="A2023" s="280" t="s">
        <v>540</v>
      </c>
      <c r="B2023" s="117">
        <v>2008</v>
      </c>
      <c r="C2023" s="117" t="s">
        <v>541</v>
      </c>
      <c r="D2023" s="117" t="s">
        <v>3616</v>
      </c>
      <c r="E2023" s="117" t="s">
        <v>86</v>
      </c>
      <c r="F2023" s="117"/>
      <c r="G2023" s="117" t="s">
        <v>24</v>
      </c>
      <c r="H2023" s="117" t="str">
        <f t="shared" si="357"/>
        <v>yes</v>
      </c>
      <c r="I2023" s="117" t="str">
        <f t="shared" si="346"/>
        <v>no</v>
      </c>
      <c r="J2023" s="117" t="str">
        <f t="shared" si="347"/>
        <v>no</v>
      </c>
      <c r="K2023" s="117" t="s">
        <v>2406</v>
      </c>
      <c r="L2023" s="117" t="str">
        <f t="shared" si="358"/>
        <v>detailed</v>
      </c>
      <c r="M2023" s="117" t="str">
        <f t="shared" si="348"/>
        <v>detailed Mining</v>
      </c>
      <c r="N2023" s="118">
        <v>900000</v>
      </c>
      <c r="O2023" s="118"/>
      <c r="P2023" s="118"/>
      <c r="Q2023" s="118"/>
      <c r="R2023" s="118"/>
      <c r="S2023" s="89" t="s">
        <v>967</v>
      </c>
      <c r="T2023" s="617">
        <f>16/0.0002</f>
        <v>80000</v>
      </c>
      <c r="U2023" s="117" t="s">
        <v>1874</v>
      </c>
      <c r="V2023" s="401" t="s">
        <v>2407</v>
      </c>
      <c r="W2023" s="298">
        <f>N2023*T2023</f>
        <v>72000000000</v>
      </c>
      <c r="X2023" s="117"/>
      <c r="Y2023" s="117"/>
      <c r="Z2023" s="117"/>
      <c r="AA2023" s="89"/>
      <c r="AB2023" s="89"/>
      <c r="AC2023" s="240"/>
      <c r="AD2023" s="240"/>
      <c r="AE2023" s="240"/>
      <c r="AF2023" s="241"/>
      <c r="AG2023" s="117"/>
      <c r="AH2023" s="124"/>
      <c r="AI2023" s="89"/>
      <c r="AJ2023" s="117"/>
      <c r="AK2023" s="89"/>
      <c r="AL2023" s="117"/>
      <c r="AM2023" s="117"/>
      <c r="AN2023" s="117"/>
      <c r="AO2023" s="117"/>
      <c r="AP2023" s="117"/>
      <c r="AQ2023" s="117"/>
      <c r="AR2023" s="126"/>
      <c r="AS2023" s="117"/>
      <c r="AT2023" s="117"/>
      <c r="AU2023" s="117"/>
      <c r="AV2023" s="128"/>
      <c r="AW2023" s="117">
        <f>VLOOKUP($D2023,'WB Data'!$C$3:$M$578,2,FALSE)</f>
        <v>17911046608.557137</v>
      </c>
      <c r="AX2023" s="117">
        <f>VLOOKUP($D2023,'WB Data'!$C$3:$M$578,3,FALSE)</f>
        <v>12456527</v>
      </c>
      <c r="AY2023" s="847">
        <f t="shared" si="351"/>
        <v>2.6261495784131162E-2</v>
      </c>
      <c r="AZ2023" s="117">
        <f>VLOOKUP($D2023,'WB Data'!$C$3:$M$578,4,FALSE)/100</f>
        <v>0.15013902187505693</v>
      </c>
      <c r="BA2023" s="117">
        <f t="shared" si="352"/>
        <v>2689147018.5673242</v>
      </c>
      <c r="BB2023" s="129">
        <f>IFERROR(VLOOKUP($D2023,'EITI Revenues'!$C$2:$G$224,5,FALSE),"..")</f>
        <v>470370875</v>
      </c>
      <c r="BC2023" s="846">
        <f t="shared" si="353"/>
        <v>0.17491452559205775</v>
      </c>
      <c r="BD2023" s="129">
        <f>VLOOKUP($D2023,'WB Data 2'!$C$2:$K$545,6,FALSE)</f>
        <v>4388709668.9664974</v>
      </c>
      <c r="BE2023" s="129">
        <f>IFERROR(VLOOKUP($D2023,UNCTAD!$C$5:$V$529,4,FALSE),"..")</f>
        <v>5261210000</v>
      </c>
      <c r="BF2023" s="846">
        <f t="shared" si="354"/>
        <v>0.8341635610375745</v>
      </c>
      <c r="BG2023" s="117">
        <f>VLOOKUP($D2023,'WB Data'!$C$3:$M$578,5,FALSE)</f>
        <v>1116240000</v>
      </c>
      <c r="BH2023" s="129">
        <f>IFERROR($BB2023/$BG2023,"..")</f>
        <v>0.42138865745717768</v>
      </c>
      <c r="BI2023" s="117">
        <f>IFERROR(VLOOKUP($D2023,'WB Data'!$C$3:$M$578,7,FALSE)/100,"..")</f>
        <v>1.34536E-2</v>
      </c>
      <c r="BJ2023" s="117">
        <f>IFERROR($BI2023*$AW2023,"..")</f>
        <v>240968056.65288427</v>
      </c>
      <c r="BK2023" s="846">
        <f>IFERROR($BB2023/$BJ2023,"..")</f>
        <v>1.9520050978274339</v>
      </c>
      <c r="BL2023" s="117">
        <f>IFERROR(VLOOKUP($D2023,'WB Data'!$C$3:$M$578,7,FALSE)/100,"..")</f>
        <v>1.34536E-2</v>
      </c>
      <c r="BM2023" s="117">
        <f>IFERROR($AW2023*$BL2023,"..")</f>
        <v>240968056.65288427</v>
      </c>
      <c r="BN2023" s="846">
        <f>IFERROR($BB2023/$BM2023,"..")</f>
        <v>1.9520050978274339</v>
      </c>
      <c r="BO2023" s="801">
        <f t="shared" si="350"/>
        <v>38</v>
      </c>
      <c r="BP2023" s="117" t="str">
        <f>VLOOKUP($D2023,'WB Data'!$C$3:$M$578,9,FALSE)</f>
        <v>..</v>
      </c>
      <c r="BQ2023" s="117">
        <f>VLOOKUP($D2023,'WB Data'!$C$3:$M$578,10,FALSE)</f>
        <v>51.62214634146342</v>
      </c>
      <c r="BR2023" s="117">
        <f>VLOOKUP($D2023,'WB Data'!$C$3:$M$578,11,FALSE)</f>
        <v>67.3</v>
      </c>
      <c r="BS2023" s="129">
        <f>IFERROR(VLOOKUP($D2023,'WB Data 2'!$C$2:$K$545,9,FALSE),"..")</f>
        <v>96.953670000000002</v>
      </c>
      <c r="BT2023" s="129">
        <f>_xlfn.IFNA(VLOOKUP($C2023,RGI!$A$2:$C$43,2,FALSE),"..")</f>
        <v>41.2</v>
      </c>
      <c r="BU2023" s="129">
        <f>_xlfn.IFNA(VLOOKUP($C2023,RGI!$A$2:$C$43,3,FALSE),"..")</f>
        <v>60.803011070373614</v>
      </c>
      <c r="BV2023" s="129">
        <f>VLOOKUP($D2023,WGI!$C$2:$O$478,7,FALSE)</f>
        <v>-0.18089655683316799</v>
      </c>
      <c r="BW2023" s="129">
        <f>VLOOKUP($D2023,WGI!$C$2:$O$478,4,FALSE)</f>
        <v>0.46318787542491702</v>
      </c>
      <c r="BX2023" s="129">
        <f>VLOOKUP($D2023,WGI!$C$2:$O$478,3,FALSE)</f>
        <v>-0.72927626481342001</v>
      </c>
      <c r="BY2023" s="129">
        <f>VLOOKUP($D2023,WGI!$C$2:$O$478,5,FALSE)</f>
        <v>-0.45386416304737698</v>
      </c>
      <c r="BZ2023" s="129">
        <f>VLOOKUP($D2023,WGI!$C$2:$O$478,2,FALSE)</f>
        <v>-0.47433898284147402</v>
      </c>
      <c r="CB2023" s="129"/>
    </row>
    <row r="2024" spans="1:80" s="120" customFormat="1" ht="15" customHeight="1">
      <c r="A2024" s="280" t="s">
        <v>540</v>
      </c>
      <c r="B2024" s="117">
        <v>2008</v>
      </c>
      <c r="C2024" s="117" t="s">
        <v>541</v>
      </c>
      <c r="D2024" s="117" t="s">
        <v>3616</v>
      </c>
      <c r="E2024" s="117" t="s">
        <v>86</v>
      </c>
      <c r="F2024" s="117"/>
      <c r="G2024" s="117" t="s">
        <v>24</v>
      </c>
      <c r="H2024" s="117" t="str">
        <f t="shared" si="357"/>
        <v>yes</v>
      </c>
      <c r="I2024" s="117" t="str">
        <f t="shared" si="346"/>
        <v>no</v>
      </c>
      <c r="J2024" s="117" t="str">
        <f t="shared" si="347"/>
        <v>no</v>
      </c>
      <c r="K2024" s="117" t="s">
        <v>2408</v>
      </c>
      <c r="L2024" s="117" t="str">
        <f t="shared" si="358"/>
        <v>detailed</v>
      </c>
      <c r="M2024" s="117" t="str">
        <f t="shared" si="348"/>
        <v>detailed Mining</v>
      </c>
      <c r="N2024" s="118">
        <v>12000000</v>
      </c>
      <c r="O2024" s="118"/>
      <c r="P2024" s="118"/>
      <c r="Q2024" s="118"/>
      <c r="R2024" s="118"/>
      <c r="S2024" s="89" t="s">
        <v>981</v>
      </c>
      <c r="T2024" s="119"/>
      <c r="U2024" s="89"/>
      <c r="V2024" s="117" t="s">
        <v>684</v>
      </c>
      <c r="W2024" s="89"/>
      <c r="X2024" s="117"/>
      <c r="Y2024" s="117"/>
      <c r="Z2024" s="117"/>
      <c r="AA2024" s="89"/>
      <c r="AB2024" s="89"/>
      <c r="AC2024" s="240"/>
      <c r="AD2024" s="240"/>
      <c r="AE2024" s="240"/>
      <c r="AF2024" s="241"/>
      <c r="AG2024" s="117"/>
      <c r="AH2024" s="124"/>
      <c r="AI2024" s="89"/>
      <c r="AJ2024" s="117"/>
      <c r="AK2024" s="89"/>
      <c r="AL2024" s="117"/>
      <c r="AM2024" s="117"/>
      <c r="AN2024" s="117"/>
      <c r="AO2024" s="117"/>
      <c r="AP2024" s="117"/>
      <c r="AQ2024" s="117"/>
      <c r="AR2024" s="126"/>
      <c r="AS2024" s="117"/>
      <c r="AT2024" s="117"/>
      <c r="AU2024" s="117"/>
      <c r="AV2024" s="128"/>
      <c r="AW2024" s="117">
        <f>VLOOKUP($D2024,'WB Data'!$C$3:$M$578,2,FALSE)</f>
        <v>17911046608.557137</v>
      </c>
      <c r="AX2024" s="117">
        <f>VLOOKUP($D2024,'WB Data'!$C$3:$M$578,3,FALSE)</f>
        <v>12456527</v>
      </c>
      <c r="AY2024" s="847">
        <f t="shared" si="351"/>
        <v>2.6261495784131162E-2</v>
      </c>
      <c r="AZ2024" s="117">
        <f>VLOOKUP($D2024,'WB Data'!$C$3:$M$578,4,FALSE)/100</f>
        <v>0.15013902187505693</v>
      </c>
      <c r="BA2024" s="117">
        <f t="shared" si="352"/>
        <v>2689147018.5673242</v>
      </c>
      <c r="BB2024" s="129">
        <f>IFERROR(VLOOKUP($D2024,'EITI Revenues'!$C$2:$G$224,5,FALSE),"..")</f>
        <v>470370875</v>
      </c>
      <c r="BC2024" s="846">
        <f t="shared" si="353"/>
        <v>0.17491452559205775</v>
      </c>
      <c r="BD2024" s="129">
        <f>VLOOKUP($D2024,'WB Data 2'!$C$2:$K$545,6,FALSE)</f>
        <v>4388709668.9664974</v>
      </c>
      <c r="BE2024" s="129">
        <f>IFERROR(VLOOKUP($D2024,UNCTAD!$C$5:$V$529,4,FALSE),"..")</f>
        <v>5261210000</v>
      </c>
      <c r="BF2024" s="846">
        <f t="shared" si="354"/>
        <v>0.8341635610375745</v>
      </c>
      <c r="BG2024" s="117">
        <f>VLOOKUP($D2024,'WB Data'!$C$3:$M$578,5,FALSE)</f>
        <v>1116240000</v>
      </c>
      <c r="BH2024" s="129">
        <f>IFERROR($BB2024/$BG2024,"..")</f>
        <v>0.42138865745717768</v>
      </c>
      <c r="BI2024" s="117">
        <f>IFERROR(VLOOKUP($D2024,'WB Data'!$C$3:$M$578,7,FALSE)/100,"..")</f>
        <v>1.34536E-2</v>
      </c>
      <c r="BJ2024" s="117">
        <f>IFERROR($BI2024*$AW2024,"..")</f>
        <v>240968056.65288427</v>
      </c>
      <c r="BK2024" s="846">
        <f>IFERROR($BB2024/$BJ2024,"..")</f>
        <v>1.9520050978274339</v>
      </c>
      <c r="BL2024" s="117">
        <f>IFERROR(VLOOKUP($D2024,'WB Data'!$C$3:$M$578,7,FALSE)/100,"..")</f>
        <v>1.34536E-2</v>
      </c>
      <c r="BM2024" s="117">
        <f>IFERROR($AW2024*$BL2024,"..")</f>
        <v>240968056.65288427</v>
      </c>
      <c r="BN2024" s="846">
        <f>IFERROR($BB2024/$BM2024,"..")</f>
        <v>1.9520050978274339</v>
      </c>
      <c r="BO2024" s="801">
        <f t="shared" si="350"/>
        <v>38</v>
      </c>
      <c r="BP2024" s="117" t="str">
        <f>VLOOKUP($D2024,'WB Data'!$C$3:$M$578,9,FALSE)</f>
        <v>..</v>
      </c>
      <c r="BQ2024" s="117">
        <f>VLOOKUP($D2024,'WB Data'!$C$3:$M$578,10,FALSE)</f>
        <v>51.62214634146342</v>
      </c>
      <c r="BR2024" s="117">
        <f>VLOOKUP($D2024,'WB Data'!$C$3:$M$578,11,FALSE)</f>
        <v>67.3</v>
      </c>
      <c r="BS2024" s="129">
        <f>IFERROR(VLOOKUP($D2024,'WB Data 2'!$C$2:$K$545,9,FALSE),"..")</f>
        <v>96.953670000000002</v>
      </c>
      <c r="BT2024" s="129">
        <f>_xlfn.IFNA(VLOOKUP($C2024,RGI!$A$2:$C$43,2,FALSE),"..")</f>
        <v>41.2</v>
      </c>
      <c r="BU2024" s="129">
        <f>_xlfn.IFNA(VLOOKUP($C2024,RGI!$A$2:$C$43,3,FALSE),"..")</f>
        <v>60.803011070373614</v>
      </c>
      <c r="BV2024" s="129">
        <f>VLOOKUP($D2024,WGI!$C$2:$O$478,7,FALSE)</f>
        <v>-0.18089655683316799</v>
      </c>
      <c r="BW2024" s="129">
        <f>VLOOKUP($D2024,WGI!$C$2:$O$478,4,FALSE)</f>
        <v>0.46318787542491702</v>
      </c>
      <c r="BX2024" s="129">
        <f>VLOOKUP($D2024,WGI!$C$2:$O$478,3,FALSE)</f>
        <v>-0.72927626481342001</v>
      </c>
      <c r="BY2024" s="129">
        <f>VLOOKUP($D2024,WGI!$C$2:$O$478,5,FALSE)</f>
        <v>-0.45386416304737698</v>
      </c>
      <c r="BZ2024" s="129">
        <f>VLOOKUP($D2024,WGI!$C$2:$O$478,2,FALSE)</f>
        <v>-0.47433898284147402</v>
      </c>
      <c r="CB2024" s="129"/>
    </row>
    <row r="2025" spans="1:80" s="120" customFormat="1" ht="15" customHeight="1">
      <c r="A2025" s="280" t="s">
        <v>540</v>
      </c>
      <c r="B2025" s="117">
        <v>2008</v>
      </c>
      <c r="C2025" s="117" t="s">
        <v>541</v>
      </c>
      <c r="D2025" s="117" t="s">
        <v>3616</v>
      </c>
      <c r="E2025" s="117" t="s">
        <v>86</v>
      </c>
      <c r="F2025" s="117"/>
      <c r="G2025" s="117" t="s">
        <v>24</v>
      </c>
      <c r="H2025" s="117" t="str">
        <f t="shared" si="357"/>
        <v>yes</v>
      </c>
      <c r="I2025" s="117" t="str">
        <f t="shared" si="346"/>
        <v>no</v>
      </c>
      <c r="J2025" s="117" t="str">
        <f t="shared" si="347"/>
        <v>no</v>
      </c>
      <c r="K2025" s="117" t="s">
        <v>2409</v>
      </c>
      <c r="L2025" s="117" t="str">
        <f t="shared" si="358"/>
        <v>detailed</v>
      </c>
      <c r="M2025" s="117" t="str">
        <f t="shared" si="348"/>
        <v>detailed Mining</v>
      </c>
      <c r="N2025" s="118">
        <v>16000000</v>
      </c>
      <c r="O2025" s="118"/>
      <c r="P2025" s="118"/>
      <c r="Q2025" s="118"/>
      <c r="R2025" s="118"/>
      <c r="S2025" s="89" t="s">
        <v>981</v>
      </c>
      <c r="T2025" s="617">
        <v>3200</v>
      </c>
      <c r="U2025" s="117" t="s">
        <v>982</v>
      </c>
      <c r="V2025" s="401" t="s">
        <v>2410</v>
      </c>
      <c r="W2025" s="298">
        <f t="shared" ref="W2025:W2030" si="359">N2025*T2025</f>
        <v>51200000000</v>
      </c>
      <c r="X2025" s="117"/>
      <c r="Y2025" s="117"/>
      <c r="Z2025" s="117"/>
      <c r="AA2025" s="89"/>
      <c r="AB2025" s="89"/>
      <c r="AC2025" s="240"/>
      <c r="AD2025" s="240"/>
      <c r="AE2025" s="240"/>
      <c r="AF2025" s="241"/>
      <c r="AG2025" s="117"/>
      <c r="AH2025" s="124"/>
      <c r="AI2025" s="89"/>
      <c r="AJ2025" s="117"/>
      <c r="AK2025" s="89"/>
      <c r="AL2025" s="117"/>
      <c r="AM2025" s="117"/>
      <c r="AN2025" s="117"/>
      <c r="AO2025" s="117"/>
      <c r="AP2025" s="117"/>
      <c r="AQ2025" s="117"/>
      <c r="AR2025" s="126"/>
      <c r="AS2025" s="117"/>
      <c r="AT2025" s="117"/>
      <c r="AU2025" s="117"/>
      <c r="AV2025" s="128"/>
      <c r="AW2025" s="117">
        <f>VLOOKUP($D2025,'WB Data'!$C$3:$M$578,2,FALSE)</f>
        <v>17911046608.557137</v>
      </c>
      <c r="AX2025" s="117">
        <f>VLOOKUP($D2025,'WB Data'!$C$3:$M$578,3,FALSE)</f>
        <v>12456527</v>
      </c>
      <c r="AY2025" s="847">
        <f t="shared" si="351"/>
        <v>2.6261495784131162E-2</v>
      </c>
      <c r="AZ2025" s="117">
        <f>VLOOKUP($D2025,'WB Data'!$C$3:$M$578,4,FALSE)/100</f>
        <v>0.15013902187505693</v>
      </c>
      <c r="BA2025" s="117">
        <f t="shared" si="352"/>
        <v>2689147018.5673242</v>
      </c>
      <c r="BB2025" s="129">
        <f>IFERROR(VLOOKUP($D2025,'EITI Revenues'!$C$2:$G$224,5,FALSE),"..")</f>
        <v>470370875</v>
      </c>
      <c r="BC2025" s="846">
        <f t="shared" si="353"/>
        <v>0.17491452559205775</v>
      </c>
      <c r="BD2025" s="129">
        <f>VLOOKUP($D2025,'WB Data 2'!$C$2:$K$545,6,FALSE)</f>
        <v>4388709668.9664974</v>
      </c>
      <c r="BE2025" s="129">
        <f>IFERROR(VLOOKUP($D2025,UNCTAD!$C$5:$V$529,4,FALSE),"..")</f>
        <v>5261210000</v>
      </c>
      <c r="BF2025" s="846">
        <f t="shared" si="354"/>
        <v>0.8341635610375745</v>
      </c>
      <c r="BG2025" s="117">
        <f>VLOOKUP($D2025,'WB Data'!$C$3:$M$578,5,FALSE)</f>
        <v>1116240000</v>
      </c>
      <c r="BH2025" s="129">
        <f>IFERROR($BB2025/$BG2025,"..")</f>
        <v>0.42138865745717768</v>
      </c>
      <c r="BI2025" s="117">
        <f>IFERROR(VLOOKUP($D2025,'WB Data'!$C$3:$M$578,7,FALSE)/100,"..")</f>
        <v>1.34536E-2</v>
      </c>
      <c r="BJ2025" s="117">
        <f>IFERROR($BI2025*$AW2025,"..")</f>
        <v>240968056.65288427</v>
      </c>
      <c r="BK2025" s="846">
        <f>IFERROR($BB2025/$BJ2025,"..")</f>
        <v>1.9520050978274339</v>
      </c>
      <c r="BL2025" s="117">
        <f>IFERROR(VLOOKUP($D2025,'WB Data'!$C$3:$M$578,7,FALSE)/100,"..")</f>
        <v>1.34536E-2</v>
      </c>
      <c r="BM2025" s="117">
        <f>IFERROR($AW2025*$BL2025,"..")</f>
        <v>240968056.65288427</v>
      </c>
      <c r="BN2025" s="846">
        <f>IFERROR($BB2025/$BM2025,"..")</f>
        <v>1.9520050978274339</v>
      </c>
      <c r="BO2025" s="801">
        <f t="shared" si="350"/>
        <v>38</v>
      </c>
      <c r="BP2025" s="117" t="str">
        <f>VLOOKUP($D2025,'WB Data'!$C$3:$M$578,9,FALSE)</f>
        <v>..</v>
      </c>
      <c r="BQ2025" s="117">
        <f>VLOOKUP($D2025,'WB Data'!$C$3:$M$578,10,FALSE)</f>
        <v>51.62214634146342</v>
      </c>
      <c r="BR2025" s="117">
        <f>VLOOKUP($D2025,'WB Data'!$C$3:$M$578,11,FALSE)</f>
        <v>67.3</v>
      </c>
      <c r="BS2025" s="129">
        <f>IFERROR(VLOOKUP($D2025,'WB Data 2'!$C$2:$K$545,9,FALSE),"..")</f>
        <v>96.953670000000002</v>
      </c>
      <c r="BT2025" s="129">
        <f>_xlfn.IFNA(VLOOKUP($C2025,RGI!$A$2:$C$43,2,FALSE),"..")</f>
        <v>41.2</v>
      </c>
      <c r="BU2025" s="129">
        <f>_xlfn.IFNA(VLOOKUP($C2025,RGI!$A$2:$C$43,3,FALSE),"..")</f>
        <v>60.803011070373614</v>
      </c>
      <c r="BV2025" s="129">
        <f>VLOOKUP($D2025,WGI!$C$2:$O$478,7,FALSE)</f>
        <v>-0.18089655683316799</v>
      </c>
      <c r="BW2025" s="129">
        <f>VLOOKUP($D2025,WGI!$C$2:$O$478,4,FALSE)</f>
        <v>0.46318787542491702</v>
      </c>
      <c r="BX2025" s="129">
        <f>VLOOKUP($D2025,WGI!$C$2:$O$478,3,FALSE)</f>
        <v>-0.72927626481342001</v>
      </c>
      <c r="BY2025" s="129">
        <f>VLOOKUP($D2025,WGI!$C$2:$O$478,5,FALSE)</f>
        <v>-0.45386416304737698</v>
      </c>
      <c r="BZ2025" s="129">
        <f>VLOOKUP($D2025,WGI!$C$2:$O$478,2,FALSE)</f>
        <v>-0.47433898284147402</v>
      </c>
      <c r="CB2025" s="129"/>
    </row>
    <row r="2026" spans="1:80" s="120" customFormat="1" ht="15" customHeight="1">
      <c r="A2026" s="280" t="s">
        <v>540</v>
      </c>
      <c r="B2026" s="117">
        <v>2008</v>
      </c>
      <c r="C2026" s="117" t="s">
        <v>541</v>
      </c>
      <c r="D2026" s="117" t="s">
        <v>3616</v>
      </c>
      <c r="E2026" s="117" t="s">
        <v>86</v>
      </c>
      <c r="F2026" s="117"/>
      <c r="G2026" s="117" t="s">
        <v>24</v>
      </c>
      <c r="H2026" s="117" t="str">
        <f t="shared" si="357"/>
        <v>yes</v>
      </c>
      <c r="I2026" s="117" t="str">
        <f t="shared" si="346"/>
        <v>no</v>
      </c>
      <c r="J2026" s="117" t="str">
        <f t="shared" si="347"/>
        <v>no</v>
      </c>
      <c r="K2026" s="117" t="s">
        <v>2411</v>
      </c>
      <c r="L2026" s="117" t="str">
        <f t="shared" si="358"/>
        <v>detailed</v>
      </c>
      <c r="M2026" s="117" t="str">
        <f t="shared" si="348"/>
        <v>detailed Mining</v>
      </c>
      <c r="N2026" s="118">
        <v>15000</v>
      </c>
      <c r="O2026" s="118"/>
      <c r="P2026" s="118"/>
      <c r="Q2026" s="118"/>
      <c r="R2026" s="118"/>
      <c r="S2026" s="89" t="s">
        <v>967</v>
      </c>
      <c r="T2026" s="617">
        <f>78.75/0.0002</f>
        <v>393750</v>
      </c>
      <c r="U2026" s="117" t="s">
        <v>1874</v>
      </c>
      <c r="V2026" s="401" t="s">
        <v>2412</v>
      </c>
      <c r="W2026" s="298">
        <f t="shared" si="359"/>
        <v>5906250000</v>
      </c>
      <c r="X2026" s="117"/>
      <c r="Y2026" s="117"/>
      <c r="Z2026" s="117"/>
      <c r="AA2026" s="89"/>
      <c r="AB2026" s="89"/>
      <c r="AC2026" s="240"/>
      <c r="AD2026" s="240"/>
      <c r="AE2026" s="240"/>
      <c r="AF2026" s="241"/>
      <c r="AG2026" s="117"/>
      <c r="AH2026" s="124"/>
      <c r="AI2026" s="89"/>
      <c r="AJ2026" s="117"/>
      <c r="AK2026" s="89"/>
      <c r="AL2026" s="117"/>
      <c r="AM2026" s="117"/>
      <c r="AN2026" s="117"/>
      <c r="AO2026" s="117"/>
      <c r="AP2026" s="117"/>
      <c r="AQ2026" s="117"/>
      <c r="AR2026" s="126"/>
      <c r="AS2026" s="117"/>
      <c r="AT2026" s="117"/>
      <c r="AU2026" s="117"/>
      <c r="AV2026" s="128"/>
      <c r="AW2026" s="117">
        <f>VLOOKUP($D2026,'WB Data'!$C$3:$M$578,2,FALSE)</f>
        <v>17911046608.557137</v>
      </c>
      <c r="AX2026" s="117">
        <f>VLOOKUP($D2026,'WB Data'!$C$3:$M$578,3,FALSE)</f>
        <v>12456527</v>
      </c>
      <c r="AY2026" s="847">
        <f t="shared" si="351"/>
        <v>2.6261495784131162E-2</v>
      </c>
      <c r="AZ2026" s="117">
        <f>VLOOKUP($D2026,'WB Data'!$C$3:$M$578,4,FALSE)/100</f>
        <v>0.15013902187505693</v>
      </c>
      <c r="BA2026" s="117">
        <f t="shared" si="352"/>
        <v>2689147018.5673242</v>
      </c>
      <c r="BB2026" s="129">
        <f>IFERROR(VLOOKUP($D2026,'EITI Revenues'!$C$2:$G$224,5,FALSE),"..")</f>
        <v>470370875</v>
      </c>
      <c r="BC2026" s="846">
        <f t="shared" si="353"/>
        <v>0.17491452559205775</v>
      </c>
      <c r="BD2026" s="129">
        <f>VLOOKUP($D2026,'WB Data 2'!$C$2:$K$545,6,FALSE)</f>
        <v>4388709668.9664974</v>
      </c>
      <c r="BE2026" s="129">
        <f>IFERROR(VLOOKUP($D2026,UNCTAD!$C$5:$V$529,4,FALSE),"..")</f>
        <v>5261210000</v>
      </c>
      <c r="BF2026" s="846">
        <f t="shared" si="354"/>
        <v>0.8341635610375745</v>
      </c>
      <c r="BG2026" s="117">
        <f>VLOOKUP($D2026,'WB Data'!$C$3:$M$578,5,FALSE)</f>
        <v>1116240000</v>
      </c>
      <c r="BH2026" s="129">
        <f>IFERROR($BB2026/$BG2026,"..")</f>
        <v>0.42138865745717768</v>
      </c>
      <c r="BI2026" s="117">
        <f>IFERROR(VLOOKUP($D2026,'WB Data'!$C$3:$M$578,7,FALSE)/100,"..")</f>
        <v>1.34536E-2</v>
      </c>
      <c r="BJ2026" s="117">
        <f>IFERROR($BI2026*$AW2026,"..")</f>
        <v>240968056.65288427</v>
      </c>
      <c r="BK2026" s="846">
        <f>IFERROR($BB2026/$BJ2026,"..")</f>
        <v>1.9520050978274339</v>
      </c>
      <c r="BL2026" s="117">
        <f>IFERROR(VLOOKUP($D2026,'WB Data'!$C$3:$M$578,7,FALSE)/100,"..")</f>
        <v>1.34536E-2</v>
      </c>
      <c r="BM2026" s="117">
        <f>IFERROR($AW2026*$BL2026,"..")</f>
        <v>240968056.65288427</v>
      </c>
      <c r="BN2026" s="846">
        <f>IFERROR($BB2026/$BM2026,"..")</f>
        <v>1.9520050978274339</v>
      </c>
      <c r="BO2026" s="801">
        <f t="shared" si="350"/>
        <v>38</v>
      </c>
      <c r="BP2026" s="117" t="str">
        <f>VLOOKUP($D2026,'WB Data'!$C$3:$M$578,9,FALSE)</f>
        <v>..</v>
      </c>
      <c r="BQ2026" s="117">
        <f>VLOOKUP($D2026,'WB Data'!$C$3:$M$578,10,FALSE)</f>
        <v>51.62214634146342</v>
      </c>
      <c r="BR2026" s="117">
        <f>VLOOKUP($D2026,'WB Data'!$C$3:$M$578,11,FALSE)</f>
        <v>67.3</v>
      </c>
      <c r="BS2026" s="129">
        <f>IFERROR(VLOOKUP($D2026,'WB Data 2'!$C$2:$K$545,9,FALSE),"..")</f>
        <v>96.953670000000002</v>
      </c>
      <c r="BT2026" s="129">
        <f>_xlfn.IFNA(VLOOKUP($C2026,RGI!$A$2:$C$43,2,FALSE),"..")</f>
        <v>41.2</v>
      </c>
      <c r="BU2026" s="129">
        <f>_xlfn.IFNA(VLOOKUP($C2026,RGI!$A$2:$C$43,3,FALSE),"..")</f>
        <v>60.803011070373614</v>
      </c>
      <c r="BV2026" s="129">
        <f>VLOOKUP($D2026,WGI!$C$2:$O$478,7,FALSE)</f>
        <v>-0.18089655683316799</v>
      </c>
      <c r="BW2026" s="129">
        <f>VLOOKUP($D2026,WGI!$C$2:$O$478,4,FALSE)</f>
        <v>0.46318787542491702</v>
      </c>
      <c r="BX2026" s="129">
        <f>VLOOKUP($D2026,WGI!$C$2:$O$478,3,FALSE)</f>
        <v>-0.72927626481342001</v>
      </c>
      <c r="BY2026" s="129">
        <f>VLOOKUP($D2026,WGI!$C$2:$O$478,5,FALSE)</f>
        <v>-0.45386416304737698</v>
      </c>
      <c r="BZ2026" s="129">
        <f>VLOOKUP($D2026,WGI!$C$2:$O$478,2,FALSE)</f>
        <v>-0.47433898284147402</v>
      </c>
      <c r="CB2026" s="129"/>
    </row>
    <row r="2027" spans="1:80" s="120" customFormat="1" ht="15" customHeight="1">
      <c r="A2027" s="280" t="s">
        <v>540</v>
      </c>
      <c r="B2027" s="117">
        <v>2008</v>
      </c>
      <c r="C2027" s="117" t="s">
        <v>541</v>
      </c>
      <c r="D2027" s="117" t="s">
        <v>3616</v>
      </c>
      <c r="E2027" s="117" t="s">
        <v>86</v>
      </c>
      <c r="F2027" s="117"/>
      <c r="G2027" s="117" t="s">
        <v>24</v>
      </c>
      <c r="H2027" s="117" t="str">
        <f t="shared" si="357"/>
        <v>yes</v>
      </c>
      <c r="I2027" s="117" t="str">
        <f t="shared" si="346"/>
        <v>no</v>
      </c>
      <c r="J2027" s="117" t="str">
        <f t="shared" si="347"/>
        <v>no</v>
      </c>
      <c r="K2027" s="117" t="s">
        <v>784</v>
      </c>
      <c r="L2027" s="117" t="str">
        <f t="shared" si="358"/>
        <v>detailed</v>
      </c>
      <c r="M2027" s="117" t="str">
        <f t="shared" si="348"/>
        <v>detailed Mining</v>
      </c>
      <c r="N2027" s="118">
        <f>1930*32.1507431265</f>
        <v>62050.934234144996</v>
      </c>
      <c r="O2027" s="118"/>
      <c r="P2027" s="118"/>
      <c r="Q2027" s="118"/>
      <c r="R2027" s="118"/>
      <c r="S2027" s="117" t="s">
        <v>785</v>
      </c>
      <c r="T2027" s="119">
        <v>871.70725000000004</v>
      </c>
      <c r="U2027" s="117" t="s">
        <v>786</v>
      </c>
      <c r="V2027" s="117" t="s">
        <v>787</v>
      </c>
      <c r="W2027" s="89">
        <f t="shared" si="359"/>
        <v>54090249.241177395</v>
      </c>
      <c r="X2027" s="117"/>
      <c r="Y2027" s="117"/>
      <c r="Z2027" s="117"/>
      <c r="AA2027" s="89"/>
      <c r="AB2027" s="89"/>
      <c r="AC2027" s="240"/>
      <c r="AD2027" s="240"/>
      <c r="AE2027" s="240"/>
      <c r="AF2027" s="241"/>
      <c r="AG2027" s="117"/>
      <c r="AH2027" s="124"/>
      <c r="AI2027" s="117"/>
      <c r="AJ2027" s="117"/>
      <c r="AK2027" s="89"/>
      <c r="AL2027" s="117"/>
      <c r="AM2027" s="117"/>
      <c r="AN2027" s="117">
        <v>1</v>
      </c>
      <c r="AO2027" s="117" t="s">
        <v>2413</v>
      </c>
      <c r="AP2027" s="117">
        <v>1</v>
      </c>
      <c r="AQ2027" s="117"/>
      <c r="AR2027" s="126"/>
      <c r="AS2027" s="117"/>
      <c r="AT2027" s="117"/>
      <c r="AU2027" s="117"/>
      <c r="AV2027" s="128"/>
      <c r="AW2027" s="117">
        <f>VLOOKUP($D2027,'WB Data'!$C$3:$M$578,2,FALSE)</f>
        <v>17911046608.557137</v>
      </c>
      <c r="AX2027" s="117">
        <f>VLOOKUP($D2027,'WB Data'!$C$3:$M$578,3,FALSE)</f>
        <v>12456527</v>
      </c>
      <c r="AY2027" s="847">
        <f t="shared" si="351"/>
        <v>2.6261495784131162E-2</v>
      </c>
      <c r="AZ2027" s="117">
        <f>VLOOKUP($D2027,'WB Data'!$C$3:$M$578,4,FALSE)/100</f>
        <v>0.15013902187505693</v>
      </c>
      <c r="BA2027" s="117">
        <f t="shared" si="352"/>
        <v>2689147018.5673242</v>
      </c>
      <c r="BB2027" s="129">
        <f>IFERROR(VLOOKUP($D2027,'EITI Revenues'!$C$2:$G$224,5,FALSE),"..")</f>
        <v>470370875</v>
      </c>
      <c r="BC2027" s="846">
        <f t="shared" si="353"/>
        <v>0.17491452559205775</v>
      </c>
      <c r="BD2027" s="129">
        <f>VLOOKUP($D2027,'WB Data 2'!$C$2:$K$545,6,FALSE)</f>
        <v>4388709668.9664974</v>
      </c>
      <c r="BE2027" s="129">
        <f>IFERROR(VLOOKUP($D2027,UNCTAD!$C$5:$V$529,4,FALSE),"..")</f>
        <v>5261210000</v>
      </c>
      <c r="BF2027" s="846">
        <f t="shared" si="354"/>
        <v>0.8341635610375745</v>
      </c>
      <c r="BG2027" s="117">
        <f>VLOOKUP($D2027,'WB Data'!$C$3:$M$578,5,FALSE)</f>
        <v>1116240000</v>
      </c>
      <c r="BH2027" s="129">
        <f>IFERROR($BB2027/$BG2027,"..")</f>
        <v>0.42138865745717768</v>
      </c>
      <c r="BI2027" s="117">
        <f>IFERROR(VLOOKUP($D2027,'WB Data'!$C$3:$M$578,7,FALSE)/100,"..")</f>
        <v>1.34536E-2</v>
      </c>
      <c r="BJ2027" s="117">
        <f>IFERROR($BI2027*$AW2027,"..")</f>
        <v>240968056.65288427</v>
      </c>
      <c r="BK2027" s="846">
        <f>IFERROR($BB2027/$BJ2027,"..")</f>
        <v>1.9520050978274339</v>
      </c>
      <c r="BL2027" s="117">
        <f>IFERROR(VLOOKUP($D2027,'WB Data'!$C$3:$M$578,7,FALSE)/100,"..")</f>
        <v>1.34536E-2</v>
      </c>
      <c r="BM2027" s="117">
        <f>IFERROR($AW2027*$BL2027,"..")</f>
        <v>240968056.65288427</v>
      </c>
      <c r="BN2027" s="846">
        <f>IFERROR($BB2027/$BM2027,"..")</f>
        <v>1.9520050978274339</v>
      </c>
      <c r="BO2027" s="801">
        <f t="shared" si="350"/>
        <v>38</v>
      </c>
      <c r="BP2027" s="117" t="str">
        <f>VLOOKUP($D2027,'WB Data'!$C$3:$M$578,9,FALSE)</f>
        <v>..</v>
      </c>
      <c r="BQ2027" s="117">
        <f>VLOOKUP($D2027,'WB Data'!$C$3:$M$578,10,FALSE)</f>
        <v>51.62214634146342</v>
      </c>
      <c r="BR2027" s="117">
        <f>VLOOKUP($D2027,'WB Data'!$C$3:$M$578,11,FALSE)</f>
        <v>67.3</v>
      </c>
      <c r="BS2027" s="129">
        <f>IFERROR(VLOOKUP($D2027,'WB Data 2'!$C$2:$K$545,9,FALSE),"..")</f>
        <v>96.953670000000002</v>
      </c>
      <c r="BT2027" s="129">
        <f>_xlfn.IFNA(VLOOKUP($C2027,RGI!$A$2:$C$43,2,FALSE),"..")</f>
        <v>41.2</v>
      </c>
      <c r="BU2027" s="129">
        <f>_xlfn.IFNA(VLOOKUP($C2027,RGI!$A$2:$C$43,3,FALSE),"..")</f>
        <v>60.803011070373614</v>
      </c>
      <c r="BV2027" s="129">
        <f>VLOOKUP($D2027,WGI!$C$2:$O$478,7,FALSE)</f>
        <v>-0.18089655683316799</v>
      </c>
      <c r="BW2027" s="129">
        <f>VLOOKUP($D2027,WGI!$C$2:$O$478,4,FALSE)</f>
        <v>0.46318787542491702</v>
      </c>
      <c r="BX2027" s="129">
        <f>VLOOKUP($D2027,WGI!$C$2:$O$478,3,FALSE)</f>
        <v>-0.72927626481342001</v>
      </c>
      <c r="BY2027" s="129">
        <f>VLOOKUP($D2027,WGI!$C$2:$O$478,5,FALSE)</f>
        <v>-0.45386416304737698</v>
      </c>
      <c r="BZ2027" s="129">
        <f>VLOOKUP($D2027,WGI!$C$2:$O$478,2,FALSE)</f>
        <v>-0.47433898284147402</v>
      </c>
      <c r="CB2027" s="129"/>
    </row>
    <row r="2028" spans="1:80" s="120" customFormat="1" ht="15" customHeight="1">
      <c r="A2028" s="280" t="s">
        <v>540</v>
      </c>
      <c r="B2028" s="117">
        <v>2008</v>
      </c>
      <c r="C2028" s="117" t="s">
        <v>541</v>
      </c>
      <c r="D2028" s="117" t="s">
        <v>3616</v>
      </c>
      <c r="E2028" s="117" t="s">
        <v>86</v>
      </c>
      <c r="F2028" s="117"/>
      <c r="G2028" s="117" t="s">
        <v>24</v>
      </c>
      <c r="H2028" s="117" t="str">
        <f t="shared" si="357"/>
        <v>yes</v>
      </c>
      <c r="I2028" s="117" t="str">
        <f t="shared" si="346"/>
        <v>no</v>
      </c>
      <c r="J2028" s="117" t="str">
        <f t="shared" si="347"/>
        <v>no</v>
      </c>
      <c r="K2028" s="117" t="s">
        <v>2414</v>
      </c>
      <c r="L2028" s="117" t="str">
        <f t="shared" si="358"/>
        <v>detailed</v>
      </c>
      <c r="M2028" s="117" t="str">
        <f t="shared" si="348"/>
        <v>detailed Mining</v>
      </c>
      <c r="N2028" s="118">
        <v>1000</v>
      </c>
      <c r="O2028" s="118"/>
      <c r="P2028" s="118"/>
      <c r="Q2028" s="118"/>
      <c r="R2028" s="118"/>
      <c r="S2028" s="117" t="s">
        <v>610</v>
      </c>
      <c r="T2028" s="186">
        <v>2090.6634166666699</v>
      </c>
      <c r="U2028" s="117" t="s">
        <v>611</v>
      </c>
      <c r="V2028" s="117" t="s">
        <v>2415</v>
      </c>
      <c r="W2028" s="89">
        <f t="shared" si="359"/>
        <v>2090663.41666667</v>
      </c>
      <c r="X2028" s="117"/>
      <c r="Y2028" s="117"/>
      <c r="Z2028" s="117"/>
      <c r="AA2028" s="89"/>
      <c r="AB2028" s="89"/>
      <c r="AC2028" s="240"/>
      <c r="AD2028" s="240"/>
      <c r="AE2028" s="240"/>
      <c r="AF2028" s="241"/>
      <c r="AG2028" s="117"/>
      <c r="AH2028" s="124"/>
      <c r="AI2028" s="117"/>
      <c r="AJ2028" s="117"/>
      <c r="AK2028" s="89"/>
      <c r="AL2028" s="117"/>
      <c r="AM2028" s="117"/>
      <c r="AN2028" s="117"/>
      <c r="AO2028" s="117"/>
      <c r="AP2028" s="117"/>
      <c r="AQ2028" s="117"/>
      <c r="AR2028" s="126"/>
      <c r="AS2028" s="117"/>
      <c r="AT2028" s="117"/>
      <c r="AU2028" s="117"/>
      <c r="AV2028" s="128"/>
      <c r="AW2028" s="117">
        <f>VLOOKUP($D2028,'WB Data'!$C$3:$M$578,2,FALSE)</f>
        <v>17911046608.557137</v>
      </c>
      <c r="AX2028" s="117">
        <f>VLOOKUP($D2028,'WB Data'!$C$3:$M$578,3,FALSE)</f>
        <v>12456527</v>
      </c>
      <c r="AY2028" s="847">
        <f t="shared" si="351"/>
        <v>2.6261495784131162E-2</v>
      </c>
      <c r="AZ2028" s="117">
        <f>VLOOKUP($D2028,'WB Data'!$C$3:$M$578,4,FALSE)/100</f>
        <v>0.15013902187505693</v>
      </c>
      <c r="BA2028" s="117">
        <f t="shared" si="352"/>
        <v>2689147018.5673242</v>
      </c>
      <c r="BB2028" s="129">
        <f>IFERROR(VLOOKUP($D2028,'EITI Revenues'!$C$2:$G$224,5,FALSE),"..")</f>
        <v>470370875</v>
      </c>
      <c r="BC2028" s="846">
        <f t="shared" si="353"/>
        <v>0.17491452559205775</v>
      </c>
      <c r="BD2028" s="129">
        <f>VLOOKUP($D2028,'WB Data 2'!$C$2:$K$545,6,FALSE)</f>
        <v>4388709668.9664974</v>
      </c>
      <c r="BE2028" s="129">
        <f>IFERROR(VLOOKUP($D2028,UNCTAD!$C$5:$V$529,4,FALSE),"..")</f>
        <v>5261210000</v>
      </c>
      <c r="BF2028" s="846">
        <f t="shared" si="354"/>
        <v>0.8341635610375745</v>
      </c>
      <c r="BG2028" s="117">
        <f>VLOOKUP($D2028,'WB Data'!$C$3:$M$578,5,FALSE)</f>
        <v>1116240000</v>
      </c>
      <c r="BH2028" s="129">
        <f>IFERROR($BB2028/$BG2028,"..")</f>
        <v>0.42138865745717768</v>
      </c>
      <c r="BI2028" s="117">
        <f>IFERROR(VLOOKUP($D2028,'WB Data'!$C$3:$M$578,7,FALSE)/100,"..")</f>
        <v>1.34536E-2</v>
      </c>
      <c r="BJ2028" s="117">
        <f>IFERROR($BI2028*$AW2028,"..")</f>
        <v>240968056.65288427</v>
      </c>
      <c r="BK2028" s="846">
        <f>IFERROR($BB2028/$BJ2028,"..")</f>
        <v>1.9520050978274339</v>
      </c>
      <c r="BL2028" s="117">
        <f>IFERROR(VLOOKUP($D2028,'WB Data'!$C$3:$M$578,7,FALSE)/100,"..")</f>
        <v>1.34536E-2</v>
      </c>
      <c r="BM2028" s="117">
        <f>IFERROR($AW2028*$BL2028,"..")</f>
        <v>240968056.65288427</v>
      </c>
      <c r="BN2028" s="846">
        <f>IFERROR($BB2028/$BM2028,"..")</f>
        <v>1.9520050978274339</v>
      </c>
      <c r="BO2028" s="801">
        <f t="shared" si="350"/>
        <v>38</v>
      </c>
      <c r="BP2028" s="117" t="str">
        <f>VLOOKUP($D2028,'WB Data'!$C$3:$M$578,9,FALSE)</f>
        <v>..</v>
      </c>
      <c r="BQ2028" s="117">
        <f>VLOOKUP($D2028,'WB Data'!$C$3:$M$578,10,FALSE)</f>
        <v>51.62214634146342</v>
      </c>
      <c r="BR2028" s="117">
        <f>VLOOKUP($D2028,'WB Data'!$C$3:$M$578,11,FALSE)</f>
        <v>67.3</v>
      </c>
      <c r="BS2028" s="129">
        <f>IFERROR(VLOOKUP($D2028,'WB Data 2'!$C$2:$K$545,9,FALSE),"..")</f>
        <v>96.953670000000002</v>
      </c>
      <c r="BT2028" s="129">
        <f>_xlfn.IFNA(VLOOKUP($C2028,RGI!$A$2:$C$43,2,FALSE),"..")</f>
        <v>41.2</v>
      </c>
      <c r="BU2028" s="129">
        <f>_xlfn.IFNA(VLOOKUP($C2028,RGI!$A$2:$C$43,3,FALSE),"..")</f>
        <v>60.803011070373614</v>
      </c>
      <c r="BV2028" s="129">
        <f>VLOOKUP($D2028,WGI!$C$2:$O$478,7,FALSE)</f>
        <v>-0.18089655683316799</v>
      </c>
      <c r="BW2028" s="129">
        <f>VLOOKUP($D2028,WGI!$C$2:$O$478,4,FALSE)</f>
        <v>0.46318787542491702</v>
      </c>
      <c r="BX2028" s="129">
        <f>VLOOKUP($D2028,WGI!$C$2:$O$478,3,FALSE)</f>
        <v>-0.72927626481342001</v>
      </c>
      <c r="BY2028" s="129">
        <f>VLOOKUP($D2028,WGI!$C$2:$O$478,5,FALSE)</f>
        <v>-0.45386416304737698</v>
      </c>
      <c r="BZ2028" s="129">
        <f>VLOOKUP($D2028,WGI!$C$2:$O$478,2,FALSE)</f>
        <v>-0.47433898284147402</v>
      </c>
      <c r="CB2028" s="129"/>
    </row>
    <row r="2029" spans="1:80" s="120" customFormat="1" ht="15" customHeight="1">
      <c r="A2029" s="280" t="s">
        <v>540</v>
      </c>
      <c r="B2029" s="117">
        <v>2008</v>
      </c>
      <c r="C2029" s="117" t="s">
        <v>541</v>
      </c>
      <c r="D2029" s="117" t="s">
        <v>3616</v>
      </c>
      <c r="E2029" s="117" t="s">
        <v>86</v>
      </c>
      <c r="F2029" s="117"/>
      <c r="G2029" s="117" t="s">
        <v>24</v>
      </c>
      <c r="H2029" s="117" t="str">
        <f t="shared" si="357"/>
        <v>yes</v>
      </c>
      <c r="I2029" s="117" t="str">
        <f t="shared" si="346"/>
        <v>no</v>
      </c>
      <c r="J2029" s="117" t="str">
        <f t="shared" si="347"/>
        <v>no</v>
      </c>
      <c r="K2029" s="117" t="s">
        <v>703</v>
      </c>
      <c r="L2029" s="117" t="str">
        <f t="shared" si="358"/>
        <v>detailed</v>
      </c>
      <c r="M2029" s="117" t="str">
        <f t="shared" si="348"/>
        <v>detailed Mining</v>
      </c>
      <c r="N2029" s="118">
        <v>1370000</v>
      </c>
      <c r="O2029" s="118"/>
      <c r="P2029" s="118"/>
      <c r="Q2029" s="118"/>
      <c r="R2029" s="118"/>
      <c r="S2029" s="117" t="s">
        <v>610</v>
      </c>
      <c r="T2029" s="119">
        <v>8.6</v>
      </c>
      <c r="U2029" s="117" t="s">
        <v>611</v>
      </c>
      <c r="V2029" s="117" t="s">
        <v>1890</v>
      </c>
      <c r="W2029" s="89">
        <f t="shared" si="359"/>
        <v>11782000</v>
      </c>
      <c r="X2029" s="89"/>
      <c r="Y2029" s="89"/>
      <c r="Z2029" s="89"/>
      <c r="AA2029" s="89">
        <v>24129103.693755113</v>
      </c>
      <c r="AB2029" s="89">
        <v>16234503.299700027</v>
      </c>
      <c r="AC2029" s="240"/>
      <c r="AD2029" s="240"/>
      <c r="AE2029" s="240"/>
      <c r="AF2029" s="241">
        <f>AA2029/W2029</f>
        <v>2.0479633079065618</v>
      </c>
      <c r="AG2029" s="89"/>
      <c r="AH2029" s="124"/>
      <c r="AI2029" s="117"/>
      <c r="AJ2029" s="117"/>
      <c r="AK2029" s="89"/>
      <c r="AL2029" s="117"/>
      <c r="AM2029" s="117"/>
      <c r="AN2029" s="117">
        <v>2</v>
      </c>
      <c r="AO2029" s="117" t="s">
        <v>2416</v>
      </c>
      <c r="AP2029" s="117">
        <v>2</v>
      </c>
      <c r="AQ2029" s="117"/>
      <c r="AR2029" s="126"/>
      <c r="AS2029" s="117"/>
      <c r="AT2029" s="117"/>
      <c r="AU2029" s="117" t="s">
        <v>2399</v>
      </c>
      <c r="AV2029" s="128"/>
      <c r="AW2029" s="117">
        <f>VLOOKUP($D2029,'WB Data'!$C$3:$M$578,2,FALSE)</f>
        <v>17911046608.557137</v>
      </c>
      <c r="AX2029" s="117">
        <f>VLOOKUP($D2029,'WB Data'!$C$3:$M$578,3,FALSE)</f>
        <v>12456527</v>
      </c>
      <c r="AY2029" s="847">
        <f t="shared" si="351"/>
        <v>2.6261495784131162E-2</v>
      </c>
      <c r="AZ2029" s="117">
        <f>VLOOKUP($D2029,'WB Data'!$C$3:$M$578,4,FALSE)/100</f>
        <v>0.15013902187505693</v>
      </c>
      <c r="BA2029" s="117">
        <f t="shared" si="352"/>
        <v>2689147018.5673242</v>
      </c>
      <c r="BB2029" s="129">
        <f>IFERROR(VLOOKUP($D2029,'EITI Revenues'!$C$2:$G$224,5,FALSE),"..")</f>
        <v>470370875</v>
      </c>
      <c r="BC2029" s="846">
        <f t="shared" si="353"/>
        <v>0.17491452559205775</v>
      </c>
      <c r="BD2029" s="129">
        <f>VLOOKUP($D2029,'WB Data 2'!$C$2:$K$545,6,FALSE)</f>
        <v>4388709668.9664974</v>
      </c>
      <c r="BE2029" s="129">
        <f>IFERROR(VLOOKUP($D2029,UNCTAD!$C$5:$V$529,4,FALSE),"..")</f>
        <v>5261210000</v>
      </c>
      <c r="BF2029" s="846">
        <f t="shared" si="354"/>
        <v>0.8341635610375745</v>
      </c>
      <c r="BG2029" s="117">
        <f>VLOOKUP($D2029,'WB Data'!$C$3:$M$578,5,FALSE)</f>
        <v>1116240000</v>
      </c>
      <c r="BH2029" s="129">
        <f>IFERROR($BB2029/$BG2029,"..")</f>
        <v>0.42138865745717768</v>
      </c>
      <c r="BI2029" s="117">
        <f>IFERROR(VLOOKUP($D2029,'WB Data'!$C$3:$M$578,7,FALSE)/100,"..")</f>
        <v>1.34536E-2</v>
      </c>
      <c r="BJ2029" s="117">
        <f>IFERROR($BI2029*$AW2029,"..")</f>
        <v>240968056.65288427</v>
      </c>
      <c r="BK2029" s="846">
        <f>IFERROR($BB2029/$BJ2029,"..")</f>
        <v>1.9520050978274339</v>
      </c>
      <c r="BL2029" s="117">
        <f>IFERROR(VLOOKUP($D2029,'WB Data'!$C$3:$M$578,7,FALSE)/100,"..")</f>
        <v>1.34536E-2</v>
      </c>
      <c r="BM2029" s="117">
        <f>IFERROR($AW2029*$BL2029,"..")</f>
        <v>240968056.65288427</v>
      </c>
      <c r="BN2029" s="846">
        <f>IFERROR($BB2029/$BM2029,"..")</f>
        <v>1.9520050978274339</v>
      </c>
      <c r="BO2029" s="801">
        <f t="shared" si="350"/>
        <v>38</v>
      </c>
      <c r="BP2029" s="117" t="str">
        <f>VLOOKUP($D2029,'WB Data'!$C$3:$M$578,9,FALSE)</f>
        <v>..</v>
      </c>
      <c r="BQ2029" s="117">
        <f>VLOOKUP($D2029,'WB Data'!$C$3:$M$578,10,FALSE)</f>
        <v>51.62214634146342</v>
      </c>
      <c r="BR2029" s="117">
        <f>VLOOKUP($D2029,'WB Data'!$C$3:$M$578,11,FALSE)</f>
        <v>67.3</v>
      </c>
      <c r="BS2029" s="129">
        <f>IFERROR(VLOOKUP($D2029,'WB Data 2'!$C$2:$K$545,9,FALSE),"..")</f>
        <v>96.953670000000002</v>
      </c>
      <c r="BT2029" s="129">
        <f>_xlfn.IFNA(VLOOKUP($C2029,RGI!$A$2:$C$43,2,FALSE),"..")</f>
        <v>41.2</v>
      </c>
      <c r="BU2029" s="129">
        <f>_xlfn.IFNA(VLOOKUP($C2029,RGI!$A$2:$C$43,3,FALSE),"..")</f>
        <v>60.803011070373614</v>
      </c>
      <c r="BV2029" s="129">
        <f>VLOOKUP($D2029,WGI!$C$2:$O$478,7,FALSE)</f>
        <v>-0.18089655683316799</v>
      </c>
      <c r="BW2029" s="129">
        <f>VLOOKUP($D2029,WGI!$C$2:$O$478,4,FALSE)</f>
        <v>0.46318787542491702</v>
      </c>
      <c r="BX2029" s="129">
        <f>VLOOKUP($D2029,WGI!$C$2:$O$478,3,FALSE)</f>
        <v>-0.72927626481342001</v>
      </c>
      <c r="BY2029" s="129">
        <f>VLOOKUP($D2029,WGI!$C$2:$O$478,5,FALSE)</f>
        <v>-0.45386416304737698</v>
      </c>
      <c r="BZ2029" s="129">
        <f>VLOOKUP($D2029,WGI!$C$2:$O$478,2,FALSE)</f>
        <v>-0.47433898284147402</v>
      </c>
      <c r="CB2029" s="129"/>
    </row>
    <row r="2030" spans="1:80" s="158" customFormat="1" ht="15" customHeight="1">
      <c r="A2030" s="282" t="s">
        <v>540</v>
      </c>
      <c r="B2030" s="149">
        <v>2008</v>
      </c>
      <c r="C2030" s="149" t="s">
        <v>541</v>
      </c>
      <c r="D2030" s="117" t="s">
        <v>3616</v>
      </c>
      <c r="E2030" s="149" t="s">
        <v>86</v>
      </c>
      <c r="F2030" s="149"/>
      <c r="G2030" s="149" t="s">
        <v>24</v>
      </c>
      <c r="H2030" s="149" t="str">
        <f t="shared" si="357"/>
        <v>yes</v>
      </c>
      <c r="I2030" s="149" t="str">
        <f t="shared" si="346"/>
        <v>no</v>
      </c>
      <c r="J2030" s="149" t="str">
        <f t="shared" si="347"/>
        <v>no</v>
      </c>
      <c r="K2030" s="149" t="s">
        <v>2417</v>
      </c>
      <c r="L2030" s="149" t="str">
        <f t="shared" si="358"/>
        <v>detailed</v>
      </c>
      <c r="M2030" s="149" t="str">
        <f t="shared" si="348"/>
        <v>detailed Mining</v>
      </c>
      <c r="N2030" s="150">
        <v>750</v>
      </c>
      <c r="O2030" s="150"/>
      <c r="P2030" s="150"/>
      <c r="Q2030" s="150"/>
      <c r="R2030" s="150"/>
      <c r="S2030" s="149" t="s">
        <v>610</v>
      </c>
      <c r="T2030" s="352">
        <v>21110.644833333299</v>
      </c>
      <c r="U2030" s="149" t="s">
        <v>611</v>
      </c>
      <c r="V2030" s="149" t="s">
        <v>1680</v>
      </c>
      <c r="W2030" s="152">
        <f t="shared" si="359"/>
        <v>15832983.624999974</v>
      </c>
      <c r="X2030" s="149"/>
      <c r="Y2030" s="152"/>
      <c r="Z2030" s="152"/>
      <c r="AA2030" s="152">
        <v>5158934.1210799022</v>
      </c>
      <c r="AB2030" s="152">
        <v>13211680.946004909</v>
      </c>
      <c r="AC2030" s="288"/>
      <c r="AD2030" s="288"/>
      <c r="AE2030" s="288"/>
      <c r="AF2030" s="285">
        <f>AA2030/W2030</f>
        <v>0.32583461483115822</v>
      </c>
      <c r="AG2030" s="152"/>
      <c r="AH2030" s="156"/>
      <c r="AI2030" s="149"/>
      <c r="AJ2030" s="149"/>
      <c r="AK2030" s="152"/>
      <c r="AL2030" s="149"/>
      <c r="AM2030" s="149"/>
      <c r="AN2030" s="149">
        <v>1</v>
      </c>
      <c r="AO2030" s="149" t="s">
        <v>2418</v>
      </c>
      <c r="AP2030" s="149">
        <v>1</v>
      </c>
      <c r="AQ2030" s="149"/>
      <c r="AR2030" s="220"/>
      <c r="AS2030" s="149"/>
      <c r="AT2030" s="149"/>
      <c r="AU2030" s="149" t="s">
        <v>2399</v>
      </c>
      <c r="AV2030" s="157"/>
      <c r="AW2030" s="117">
        <f>VLOOKUP($D2030,'WB Data'!$C$3:$M$578,2,FALSE)</f>
        <v>17911046608.557137</v>
      </c>
      <c r="AX2030" s="117">
        <f>VLOOKUP($D2030,'WB Data'!$C$3:$M$578,3,FALSE)</f>
        <v>12456527</v>
      </c>
      <c r="AY2030" s="847">
        <f t="shared" si="351"/>
        <v>2.6261495784131162E-2</v>
      </c>
      <c r="AZ2030" s="117">
        <f>VLOOKUP($D2030,'WB Data'!$C$3:$M$578,4,FALSE)/100</f>
        <v>0.15013902187505693</v>
      </c>
      <c r="BA2030" s="117">
        <f t="shared" si="352"/>
        <v>2689147018.5673242</v>
      </c>
      <c r="BB2030" s="129">
        <f>IFERROR(VLOOKUP($D2030,'EITI Revenues'!$C$2:$G$224,5,FALSE),"..")</f>
        <v>470370875</v>
      </c>
      <c r="BC2030" s="846">
        <f t="shared" si="353"/>
        <v>0.17491452559205775</v>
      </c>
      <c r="BD2030" s="129">
        <f>VLOOKUP($D2030,'WB Data 2'!$C$2:$K$545,6,FALSE)</f>
        <v>4388709668.9664974</v>
      </c>
      <c r="BE2030" s="129">
        <f>IFERROR(VLOOKUP($D2030,UNCTAD!$C$5:$V$529,4,FALSE),"..")</f>
        <v>5261210000</v>
      </c>
      <c r="BF2030" s="846">
        <f t="shared" si="354"/>
        <v>0.8341635610375745</v>
      </c>
      <c r="BG2030" s="117">
        <f>VLOOKUP($D2030,'WB Data'!$C$3:$M$578,5,FALSE)</f>
        <v>1116240000</v>
      </c>
      <c r="BH2030" s="129">
        <f>IFERROR($BB2030/$BG2030,"..")</f>
        <v>0.42138865745717768</v>
      </c>
      <c r="BI2030" s="117">
        <f>IFERROR(VLOOKUP($D2030,'WB Data'!$C$3:$M$578,7,FALSE)/100,"..")</f>
        <v>1.34536E-2</v>
      </c>
      <c r="BJ2030" s="117">
        <f>IFERROR($BI2030*$AW2030,"..")</f>
        <v>240968056.65288427</v>
      </c>
      <c r="BK2030" s="846">
        <f>IFERROR($BB2030/$BJ2030,"..")</f>
        <v>1.9520050978274339</v>
      </c>
      <c r="BL2030" s="117">
        <f>IFERROR(VLOOKUP($D2030,'WB Data'!$C$3:$M$578,7,FALSE)/100,"..")</f>
        <v>1.34536E-2</v>
      </c>
      <c r="BM2030" s="117">
        <f>IFERROR($AW2030*$BL2030,"..")</f>
        <v>240968056.65288427</v>
      </c>
      <c r="BN2030" s="846">
        <f>IFERROR($BB2030/$BM2030,"..")</f>
        <v>1.9520050978274339</v>
      </c>
      <c r="BO2030" s="801">
        <f t="shared" si="350"/>
        <v>38</v>
      </c>
      <c r="BP2030" s="117" t="str">
        <f>VLOOKUP($D2030,'WB Data'!$C$3:$M$578,9,FALSE)</f>
        <v>..</v>
      </c>
      <c r="BQ2030" s="117">
        <f>VLOOKUP($D2030,'WB Data'!$C$3:$M$578,10,FALSE)</f>
        <v>51.62214634146342</v>
      </c>
      <c r="BR2030" s="117">
        <f>VLOOKUP($D2030,'WB Data'!$C$3:$M$578,11,FALSE)</f>
        <v>67.3</v>
      </c>
      <c r="BS2030" s="129">
        <f>IFERROR(VLOOKUP($D2030,'WB Data 2'!$C$2:$K$545,9,FALSE),"..")</f>
        <v>96.953670000000002</v>
      </c>
      <c r="BT2030" s="129">
        <f>_xlfn.IFNA(VLOOKUP($C2030,RGI!$A$2:$C$43,2,FALSE),"..")</f>
        <v>41.2</v>
      </c>
      <c r="BU2030" s="129">
        <f>_xlfn.IFNA(VLOOKUP($C2030,RGI!$A$2:$C$43,3,FALSE),"..")</f>
        <v>60.803011070373614</v>
      </c>
      <c r="BV2030" s="129">
        <f>VLOOKUP($D2030,WGI!$C$2:$O$478,7,FALSE)</f>
        <v>-0.18089655683316799</v>
      </c>
      <c r="BW2030" s="129">
        <f>VLOOKUP($D2030,WGI!$C$2:$O$478,4,FALSE)</f>
        <v>0.46318787542491702</v>
      </c>
      <c r="BX2030" s="129">
        <f>VLOOKUP($D2030,WGI!$C$2:$O$478,3,FALSE)</f>
        <v>-0.72927626481342001</v>
      </c>
      <c r="BY2030" s="129">
        <f>VLOOKUP($D2030,WGI!$C$2:$O$478,5,FALSE)</f>
        <v>-0.45386416304737698</v>
      </c>
      <c r="BZ2030" s="129">
        <f>VLOOKUP($D2030,WGI!$C$2:$O$478,2,FALSE)</f>
        <v>-0.47433898284147402</v>
      </c>
      <c r="CB2030" s="129"/>
    </row>
    <row r="2031" spans="1:80" ht="15" customHeight="1">
      <c r="A2031" s="280" t="s">
        <v>543</v>
      </c>
      <c r="B2031" s="117">
        <v>2009</v>
      </c>
      <c r="C2031" s="117" t="s">
        <v>541</v>
      </c>
      <c r="D2031" s="117" t="s">
        <v>3650</v>
      </c>
      <c r="E2031" s="117" t="s">
        <v>86</v>
      </c>
      <c r="F2031" s="117" t="s">
        <v>2393</v>
      </c>
      <c r="G2031" s="117" t="s">
        <v>24</v>
      </c>
      <c r="H2031" s="117" t="str">
        <f t="shared" si="357"/>
        <v>yes</v>
      </c>
      <c r="I2031" s="117" t="str">
        <f t="shared" si="346"/>
        <v>no</v>
      </c>
      <c r="J2031" s="117" t="str">
        <f t="shared" si="347"/>
        <v>no</v>
      </c>
      <c r="K2031" s="117" t="s">
        <v>709</v>
      </c>
      <c r="L2031" s="117" t="str">
        <f t="shared" si="358"/>
        <v>Total</v>
      </c>
      <c r="M2031" s="117" t="str">
        <f t="shared" si="348"/>
        <v>Total Mining</v>
      </c>
      <c r="N2031" s="118"/>
      <c r="O2031" s="118"/>
      <c r="P2031" s="118"/>
      <c r="Q2031" s="118"/>
      <c r="R2031" s="118"/>
      <c r="S2031" s="117"/>
      <c r="T2031" s="119"/>
      <c r="U2031" s="117"/>
      <c r="V2031" s="117"/>
      <c r="W2031" s="298">
        <f>SUM(W2032:W2048)</f>
        <v>161854056644.77145</v>
      </c>
      <c r="X2031" s="117" t="s">
        <v>633</v>
      </c>
      <c r="Y2031" s="117" t="s">
        <v>602</v>
      </c>
      <c r="Z2031" s="117" t="s">
        <v>603</v>
      </c>
      <c r="AA2031" s="658">
        <v>533783358</v>
      </c>
      <c r="AB2031" s="659">
        <v>574901639</v>
      </c>
      <c r="AC2031" s="660" t="s">
        <v>2419</v>
      </c>
      <c r="AD2031" s="658">
        <f>AA2031/99.8*100</f>
        <v>534853064.1282565</v>
      </c>
      <c r="AE2031" s="658" t="s">
        <v>665</v>
      </c>
      <c r="AF2031" s="661">
        <f>AD2031/W2031</f>
        <v>3.3045391336846324E-3</v>
      </c>
      <c r="AG2031" s="117" t="s">
        <v>2394</v>
      </c>
      <c r="AH2031" s="124">
        <v>4819</v>
      </c>
      <c r="AI2031" s="117" t="s">
        <v>605</v>
      </c>
      <c r="AJ2031" s="117"/>
      <c r="AK2031" s="89"/>
      <c r="AL2031" s="117"/>
      <c r="AM2031" s="117"/>
      <c r="AN2031" s="117">
        <v>28</v>
      </c>
      <c r="AO2031" s="117" t="s">
        <v>2420</v>
      </c>
      <c r="AP2031" s="117">
        <v>28</v>
      </c>
      <c r="AQ2031" s="215" t="s">
        <v>518</v>
      </c>
      <c r="AR2031" s="126">
        <v>41906</v>
      </c>
      <c r="AS2031" s="117" t="s">
        <v>607</v>
      </c>
      <c r="AT2031" s="117" t="s">
        <v>544</v>
      </c>
      <c r="AU2031" s="117" t="s">
        <v>2421</v>
      </c>
      <c r="AV2031" s="128" t="s">
        <v>2422</v>
      </c>
      <c r="AW2031" s="117">
        <f>VLOOKUP($D2031,'WB Data'!$C$3:$M$578,2,FALSE)</f>
        <v>15328314220.185898</v>
      </c>
      <c r="AX2031" s="117">
        <f>VLOOKUP($D2031,'WB Data'!$C$3:$M$578,3,FALSE)</f>
        <v>12825031</v>
      </c>
      <c r="AY2031" s="847">
        <f t="shared" si="351"/>
        <v>3.4823356980577765E-2</v>
      </c>
      <c r="AZ2031" s="117">
        <f>VLOOKUP($D2031,'WB Data'!$C$3:$M$578,4,FALSE)/100</f>
        <v>0.13054265273784174</v>
      </c>
      <c r="BA2031" s="117">
        <f t="shared" si="352"/>
        <v>2000998800.3022492</v>
      </c>
      <c r="BB2031" s="129">
        <f>IFERROR(VLOOKUP($D2031,'EITI Revenues'!$C$2:$G$224,5,FALSE),"..")</f>
        <v>533783358</v>
      </c>
      <c r="BC2031" s="846">
        <f t="shared" si="353"/>
        <v>0.26675845978486967</v>
      </c>
      <c r="BD2031" s="129">
        <f>VLOOKUP($D2031,'WB Data 2'!$C$2:$K$545,6,FALSE)</f>
        <v>3536606856.5786214</v>
      </c>
      <c r="BE2031" s="129">
        <f>IFERROR(VLOOKUP($D2031,UNCTAD!$C$5:$V$529,4,FALSE),"..")</f>
        <v>4559940000</v>
      </c>
      <c r="BF2031" s="846">
        <f t="shared" si="354"/>
        <v>0.77558188409904982</v>
      </c>
      <c r="BG2031" s="117">
        <f>VLOOKUP($D2031,'WB Data'!$C$3:$M$578,5,FALSE)</f>
        <v>1267060000</v>
      </c>
      <c r="BH2031" s="129">
        <f>IFERROR($BB2031/$BG2031,"..")</f>
        <v>0.42127709658579704</v>
      </c>
      <c r="BI2031" s="117" t="str">
        <f>IFERROR(VLOOKUP($D2031,'WB Data'!$C$3:$M$578,7,FALSE)/100,"..")</f>
        <v>..</v>
      </c>
      <c r="BJ2031" s="117" t="str">
        <f>IFERROR($BI2031*$AW2031,"..")</f>
        <v>..</v>
      </c>
      <c r="BK2031" s="846" t="str">
        <f>IFERROR($BB2031/$BJ2031,"..")</f>
        <v>..</v>
      </c>
      <c r="BL2031" s="117" t="str">
        <f>IFERROR(VLOOKUP($D2031,'WB Data'!$C$3:$M$578,7,FALSE)/100,"..")</f>
        <v>..</v>
      </c>
      <c r="BM2031" s="117" t="str">
        <f>IFERROR($AW2031*$BL2031,"..")</f>
        <v>..</v>
      </c>
      <c r="BN2031" s="846" t="str">
        <f>IFERROR($BB2031/$BM2031,"..")</f>
        <v>..</v>
      </c>
      <c r="BO2031" s="801">
        <f t="shared" si="350"/>
        <v>38</v>
      </c>
      <c r="BP2031" s="117" t="str">
        <f>VLOOKUP($D2031,'WB Data'!$C$3:$M$578,9,FALSE)</f>
        <v>..</v>
      </c>
      <c r="BQ2031" s="117">
        <f>VLOOKUP($D2031,'WB Data'!$C$3:$M$578,10,FALSE)</f>
        <v>53.11336585365855</v>
      </c>
      <c r="BR2031" s="117">
        <f>VLOOKUP($D2031,'WB Data'!$C$3:$M$578,11,FALSE)</f>
        <v>64.8</v>
      </c>
      <c r="BS2031" s="129">
        <f>IFERROR(VLOOKUP($D2031,'WB Data 2'!$C$2:$K$545,9,FALSE),"..")</f>
        <v>92.220600000000005</v>
      </c>
      <c r="BT2031" s="129">
        <f>_xlfn.IFNA(VLOOKUP($C2031,RGI!$A$2:$C$43,2,FALSE),"..")</f>
        <v>41.2</v>
      </c>
      <c r="BU2031" s="129">
        <f>_xlfn.IFNA(VLOOKUP($C2031,RGI!$A$2:$C$43,3,FALSE),"..")</f>
        <v>60.803011070373614</v>
      </c>
      <c r="BV2031" s="129">
        <f>VLOOKUP($D2031,WGI!$C$2:$O$478,7,FALSE)</f>
        <v>-0.319576629576935</v>
      </c>
      <c r="BW2031" s="129">
        <f>VLOOKUP($D2031,WGI!$C$2:$O$478,4,FALSE)</f>
        <v>0.53465903763662503</v>
      </c>
      <c r="BX2031" s="129">
        <f>VLOOKUP($D2031,WGI!$C$2:$O$478,3,FALSE)</f>
        <v>-0.79114014249250797</v>
      </c>
      <c r="BY2031" s="129">
        <f>VLOOKUP($D2031,WGI!$C$2:$O$478,5,FALSE)</f>
        <v>-0.50244949982849896</v>
      </c>
      <c r="BZ2031" s="129">
        <f>VLOOKUP($D2031,WGI!$C$2:$O$478,2,FALSE)</f>
        <v>-0.51320912303131205</v>
      </c>
    </row>
    <row r="2032" spans="1:80" ht="15" customHeight="1">
      <c r="A2032" s="280" t="s">
        <v>543</v>
      </c>
      <c r="B2032" s="117">
        <v>2009</v>
      </c>
      <c r="C2032" s="117" t="s">
        <v>541</v>
      </c>
      <c r="D2032" s="117" t="s">
        <v>3650</v>
      </c>
      <c r="E2032" s="117" t="s">
        <v>86</v>
      </c>
      <c r="F2032" s="117"/>
      <c r="G2032" s="117" t="s">
        <v>24</v>
      </c>
      <c r="H2032" s="117" t="str">
        <f t="shared" si="357"/>
        <v>yes</v>
      </c>
      <c r="I2032" s="117" t="str">
        <f t="shared" si="346"/>
        <v>no</v>
      </c>
      <c r="J2032" s="117" t="str">
        <f t="shared" si="347"/>
        <v>no</v>
      </c>
      <c r="K2032" s="117" t="s">
        <v>2423</v>
      </c>
      <c r="L2032" s="117" t="str">
        <f t="shared" si="358"/>
        <v>detailed</v>
      </c>
      <c r="M2032" s="117" t="str">
        <f t="shared" si="348"/>
        <v>detailed Mining</v>
      </c>
      <c r="N2032" s="118">
        <v>1400000</v>
      </c>
      <c r="O2032" s="118"/>
      <c r="P2032" s="118">
        <v>1172000</v>
      </c>
      <c r="Q2032" s="118"/>
      <c r="R2032" s="118"/>
      <c r="S2032" s="89" t="s">
        <v>967</v>
      </c>
      <c r="T2032" s="617">
        <f>17.5/0.0002</f>
        <v>87500</v>
      </c>
      <c r="U2032" s="117" t="s">
        <v>1874</v>
      </c>
      <c r="V2032" s="401" t="s">
        <v>2424</v>
      </c>
      <c r="W2032" s="298">
        <f>N2032*T2032</f>
        <v>122500000000</v>
      </c>
      <c r="X2032" s="117"/>
      <c r="Y2032" s="117"/>
      <c r="Z2032" s="117"/>
      <c r="AA2032" s="658"/>
      <c r="AB2032" s="658"/>
      <c r="AC2032" s="660"/>
      <c r="AD2032" s="660"/>
      <c r="AE2032" s="660"/>
      <c r="AF2032" s="662"/>
      <c r="AG2032" s="117"/>
      <c r="AH2032" s="124"/>
      <c r="AI2032" s="117"/>
      <c r="AJ2032" s="117"/>
      <c r="AK2032" s="89"/>
      <c r="AL2032" s="117"/>
      <c r="AM2032" s="117"/>
      <c r="AN2032" s="117"/>
      <c r="AO2032" s="117"/>
      <c r="AP2032" s="117"/>
      <c r="AQ2032" s="215"/>
      <c r="AR2032" s="126"/>
      <c r="AS2032" s="117"/>
      <c r="AT2032" s="117"/>
      <c r="AU2032" s="117"/>
      <c r="AV2032" s="128" t="s">
        <v>2425</v>
      </c>
      <c r="AW2032" s="117">
        <f>VLOOKUP($D2032,'WB Data'!$C$3:$M$578,2,FALSE)</f>
        <v>15328314220.185898</v>
      </c>
      <c r="AX2032" s="117">
        <f>VLOOKUP($D2032,'WB Data'!$C$3:$M$578,3,FALSE)</f>
        <v>12825031</v>
      </c>
      <c r="AY2032" s="847">
        <f t="shared" si="351"/>
        <v>3.4823356980577765E-2</v>
      </c>
      <c r="AZ2032" s="117">
        <f>VLOOKUP($D2032,'WB Data'!$C$3:$M$578,4,FALSE)/100</f>
        <v>0.13054265273784174</v>
      </c>
      <c r="BA2032" s="117">
        <f t="shared" si="352"/>
        <v>2000998800.3022492</v>
      </c>
      <c r="BB2032" s="129">
        <f>IFERROR(VLOOKUP($D2032,'EITI Revenues'!$C$2:$G$224,5,FALSE),"..")</f>
        <v>533783358</v>
      </c>
      <c r="BC2032" s="846">
        <f t="shared" si="353"/>
        <v>0.26675845978486967</v>
      </c>
      <c r="BD2032" s="129">
        <f>VLOOKUP($D2032,'WB Data 2'!$C$2:$K$545,6,FALSE)</f>
        <v>3536606856.5786214</v>
      </c>
      <c r="BE2032" s="129">
        <f>IFERROR(VLOOKUP($D2032,UNCTAD!$C$5:$V$529,4,FALSE),"..")</f>
        <v>4559940000</v>
      </c>
      <c r="BF2032" s="846">
        <f t="shared" si="354"/>
        <v>0.77558188409904982</v>
      </c>
      <c r="BG2032" s="117">
        <f>VLOOKUP($D2032,'WB Data'!$C$3:$M$578,5,FALSE)</f>
        <v>1267060000</v>
      </c>
      <c r="BH2032" s="129">
        <f>IFERROR($BB2032/$BG2032,"..")</f>
        <v>0.42127709658579704</v>
      </c>
      <c r="BI2032" s="117" t="str">
        <f>IFERROR(VLOOKUP($D2032,'WB Data'!$C$3:$M$578,7,FALSE)/100,"..")</f>
        <v>..</v>
      </c>
      <c r="BJ2032" s="117" t="str">
        <f>IFERROR($BI2032*$AW2032,"..")</f>
        <v>..</v>
      </c>
      <c r="BK2032" s="846" t="str">
        <f>IFERROR($BB2032/$BJ2032,"..")</f>
        <v>..</v>
      </c>
      <c r="BL2032" s="117" t="str">
        <f>IFERROR(VLOOKUP($D2032,'WB Data'!$C$3:$M$578,7,FALSE)/100,"..")</f>
        <v>..</v>
      </c>
      <c r="BM2032" s="117" t="str">
        <f>IFERROR($AW2032*$BL2032,"..")</f>
        <v>..</v>
      </c>
      <c r="BN2032" s="846" t="str">
        <f>IFERROR($BB2032/$BM2032,"..")</f>
        <v>..</v>
      </c>
      <c r="BO2032" s="801">
        <f t="shared" si="350"/>
        <v>38</v>
      </c>
      <c r="BP2032" s="117" t="str">
        <f>VLOOKUP($D2032,'WB Data'!$C$3:$M$578,9,FALSE)</f>
        <v>..</v>
      </c>
      <c r="BQ2032" s="117">
        <f>VLOOKUP($D2032,'WB Data'!$C$3:$M$578,10,FALSE)</f>
        <v>53.11336585365855</v>
      </c>
      <c r="BR2032" s="117">
        <f>VLOOKUP($D2032,'WB Data'!$C$3:$M$578,11,FALSE)</f>
        <v>64.8</v>
      </c>
      <c r="BS2032" s="129">
        <f>IFERROR(VLOOKUP($D2032,'WB Data 2'!$C$2:$K$545,9,FALSE),"..")</f>
        <v>92.220600000000005</v>
      </c>
      <c r="BT2032" s="129">
        <f>_xlfn.IFNA(VLOOKUP($C2032,RGI!$A$2:$C$43,2,FALSE),"..")</f>
        <v>41.2</v>
      </c>
      <c r="BU2032" s="129">
        <f>_xlfn.IFNA(VLOOKUP($C2032,RGI!$A$2:$C$43,3,FALSE),"..")</f>
        <v>60.803011070373614</v>
      </c>
      <c r="BV2032" s="129">
        <f>VLOOKUP($D2032,WGI!$C$2:$O$478,7,FALSE)</f>
        <v>-0.319576629576935</v>
      </c>
      <c r="BW2032" s="129">
        <f>VLOOKUP($D2032,WGI!$C$2:$O$478,4,FALSE)</f>
        <v>0.53465903763662503</v>
      </c>
      <c r="BX2032" s="129">
        <f>VLOOKUP($D2032,WGI!$C$2:$O$478,3,FALSE)</f>
        <v>-0.79114014249250797</v>
      </c>
      <c r="BY2032" s="129">
        <f>VLOOKUP($D2032,WGI!$C$2:$O$478,5,FALSE)</f>
        <v>-0.50244949982849896</v>
      </c>
      <c r="BZ2032" s="129">
        <f>VLOOKUP($D2032,WGI!$C$2:$O$478,2,FALSE)</f>
        <v>-0.51320912303131205</v>
      </c>
    </row>
    <row r="2033" spans="1:78" ht="15" customHeight="1">
      <c r="A2033" s="280" t="s">
        <v>543</v>
      </c>
      <c r="B2033" s="117">
        <v>2009</v>
      </c>
      <c r="C2033" s="117" t="s">
        <v>541</v>
      </c>
      <c r="D2033" s="117" t="s">
        <v>3650</v>
      </c>
      <c r="E2033" s="117" t="s">
        <v>86</v>
      </c>
      <c r="F2033" s="117"/>
      <c r="G2033" s="117" t="s">
        <v>24</v>
      </c>
      <c r="H2033" s="117" t="str">
        <f t="shared" si="357"/>
        <v>yes</v>
      </c>
      <c r="I2033" s="117" t="str">
        <f t="shared" si="346"/>
        <v>no</v>
      </c>
      <c r="J2033" s="117" t="str">
        <f t="shared" si="347"/>
        <v>no</v>
      </c>
      <c r="K2033" s="117" t="s">
        <v>2426</v>
      </c>
      <c r="L2033" s="117" t="str">
        <f t="shared" si="358"/>
        <v>detailed</v>
      </c>
      <c r="M2033" s="117" t="str">
        <f t="shared" si="348"/>
        <v>detailed Mining</v>
      </c>
      <c r="N2033" s="118">
        <v>6000000</v>
      </c>
      <c r="O2033" s="118"/>
      <c r="P2033" s="118">
        <v>17903122</v>
      </c>
      <c r="Q2033" s="118"/>
      <c r="R2033" s="118"/>
      <c r="S2033" s="89" t="s">
        <v>981</v>
      </c>
      <c r="T2033" s="119"/>
      <c r="U2033" s="117"/>
      <c r="V2033" s="117" t="s">
        <v>684</v>
      </c>
      <c r="W2033" s="89"/>
      <c r="X2033" s="117"/>
      <c r="Y2033" s="117"/>
      <c r="Z2033" s="117"/>
      <c r="AA2033" s="658"/>
      <c r="AB2033" s="658"/>
      <c r="AC2033" s="660"/>
      <c r="AD2033" s="660"/>
      <c r="AE2033" s="660"/>
      <c r="AF2033" s="662"/>
      <c r="AG2033" s="117"/>
      <c r="AH2033" s="124"/>
      <c r="AI2033" s="117"/>
      <c r="AJ2033" s="117"/>
      <c r="AK2033" s="89"/>
      <c r="AL2033" s="117"/>
      <c r="AM2033" s="117"/>
      <c r="AN2033" s="117"/>
      <c r="AO2033" s="117"/>
      <c r="AP2033" s="117"/>
      <c r="AQ2033" s="215"/>
      <c r="AR2033" s="126"/>
      <c r="AS2033" s="117"/>
      <c r="AT2033" s="117"/>
      <c r="AU2033" s="117"/>
      <c r="AV2033" s="128"/>
      <c r="AW2033" s="117">
        <f>VLOOKUP($D2033,'WB Data'!$C$3:$M$578,2,FALSE)</f>
        <v>15328314220.185898</v>
      </c>
      <c r="AX2033" s="117">
        <f>VLOOKUP($D2033,'WB Data'!$C$3:$M$578,3,FALSE)</f>
        <v>12825031</v>
      </c>
      <c r="AY2033" s="847">
        <f t="shared" si="351"/>
        <v>3.4823356980577765E-2</v>
      </c>
      <c r="AZ2033" s="117">
        <f>VLOOKUP($D2033,'WB Data'!$C$3:$M$578,4,FALSE)/100</f>
        <v>0.13054265273784174</v>
      </c>
      <c r="BA2033" s="117">
        <f t="shared" si="352"/>
        <v>2000998800.3022492</v>
      </c>
      <c r="BB2033" s="129">
        <f>IFERROR(VLOOKUP($D2033,'EITI Revenues'!$C$2:$G$224,5,FALSE),"..")</f>
        <v>533783358</v>
      </c>
      <c r="BC2033" s="846">
        <f t="shared" si="353"/>
        <v>0.26675845978486967</v>
      </c>
      <c r="BD2033" s="129">
        <f>VLOOKUP($D2033,'WB Data 2'!$C$2:$K$545,6,FALSE)</f>
        <v>3536606856.5786214</v>
      </c>
      <c r="BE2033" s="129">
        <f>IFERROR(VLOOKUP($D2033,UNCTAD!$C$5:$V$529,4,FALSE),"..")</f>
        <v>4559940000</v>
      </c>
      <c r="BF2033" s="846">
        <f t="shared" si="354"/>
        <v>0.77558188409904982</v>
      </c>
      <c r="BG2033" s="117">
        <f>VLOOKUP($D2033,'WB Data'!$C$3:$M$578,5,FALSE)</f>
        <v>1267060000</v>
      </c>
      <c r="BH2033" s="129">
        <f>IFERROR($BB2033/$BG2033,"..")</f>
        <v>0.42127709658579704</v>
      </c>
      <c r="BI2033" s="117" t="str">
        <f>IFERROR(VLOOKUP($D2033,'WB Data'!$C$3:$M$578,7,FALSE)/100,"..")</f>
        <v>..</v>
      </c>
      <c r="BJ2033" s="117" t="str">
        <f>IFERROR($BI2033*$AW2033,"..")</f>
        <v>..</v>
      </c>
      <c r="BK2033" s="846" t="str">
        <f>IFERROR($BB2033/$BJ2033,"..")</f>
        <v>..</v>
      </c>
      <c r="BL2033" s="117" t="str">
        <f>IFERROR(VLOOKUP($D2033,'WB Data'!$C$3:$M$578,7,FALSE)/100,"..")</f>
        <v>..</v>
      </c>
      <c r="BM2033" s="117" t="str">
        <f>IFERROR($AW2033*$BL2033,"..")</f>
        <v>..</v>
      </c>
      <c r="BN2033" s="846" t="str">
        <f>IFERROR($BB2033/$BM2033,"..")</f>
        <v>..</v>
      </c>
      <c r="BO2033" s="801">
        <f t="shared" si="350"/>
        <v>38</v>
      </c>
      <c r="BP2033" s="117" t="str">
        <f>VLOOKUP($D2033,'WB Data'!$C$3:$M$578,9,FALSE)</f>
        <v>..</v>
      </c>
      <c r="BQ2033" s="117">
        <f>VLOOKUP($D2033,'WB Data'!$C$3:$M$578,10,FALSE)</f>
        <v>53.11336585365855</v>
      </c>
      <c r="BR2033" s="117">
        <f>VLOOKUP($D2033,'WB Data'!$C$3:$M$578,11,FALSE)</f>
        <v>64.8</v>
      </c>
      <c r="BS2033" s="129">
        <f>IFERROR(VLOOKUP($D2033,'WB Data 2'!$C$2:$K$545,9,FALSE),"..")</f>
        <v>92.220600000000005</v>
      </c>
      <c r="BT2033" s="129">
        <f>_xlfn.IFNA(VLOOKUP($C2033,RGI!$A$2:$C$43,2,FALSE),"..")</f>
        <v>41.2</v>
      </c>
      <c r="BU2033" s="129">
        <f>_xlfn.IFNA(VLOOKUP($C2033,RGI!$A$2:$C$43,3,FALSE),"..")</f>
        <v>60.803011070373614</v>
      </c>
      <c r="BV2033" s="129">
        <f>VLOOKUP($D2033,WGI!$C$2:$O$478,7,FALSE)</f>
        <v>-0.319576629576935</v>
      </c>
      <c r="BW2033" s="129">
        <f>VLOOKUP($D2033,WGI!$C$2:$O$478,4,FALSE)</f>
        <v>0.53465903763662503</v>
      </c>
      <c r="BX2033" s="129">
        <f>VLOOKUP($D2033,WGI!$C$2:$O$478,3,FALSE)</f>
        <v>-0.79114014249250797</v>
      </c>
      <c r="BY2033" s="129">
        <f>VLOOKUP($D2033,WGI!$C$2:$O$478,5,FALSE)</f>
        <v>-0.50244949982849896</v>
      </c>
      <c r="BZ2033" s="129">
        <f>VLOOKUP($D2033,WGI!$C$2:$O$478,2,FALSE)</f>
        <v>-0.51320912303131205</v>
      </c>
    </row>
    <row r="2034" spans="1:78" ht="15" customHeight="1">
      <c r="A2034" s="280" t="s">
        <v>543</v>
      </c>
      <c r="B2034" s="117">
        <v>2009</v>
      </c>
      <c r="C2034" s="117" t="s">
        <v>541</v>
      </c>
      <c r="D2034" s="117" t="s">
        <v>3650</v>
      </c>
      <c r="E2034" s="117" t="s">
        <v>86</v>
      </c>
      <c r="F2034" s="117"/>
      <c r="G2034" s="117" t="s">
        <v>24</v>
      </c>
      <c r="H2034" s="117" t="str">
        <f t="shared" si="357"/>
        <v>yes</v>
      </c>
      <c r="I2034" s="117" t="str">
        <f t="shared" si="346"/>
        <v>no</v>
      </c>
      <c r="J2034" s="117" t="str">
        <f t="shared" si="347"/>
        <v>no</v>
      </c>
      <c r="K2034" s="117" t="s">
        <v>616</v>
      </c>
      <c r="L2034" s="117" t="str">
        <f t="shared" si="358"/>
        <v>detailed</v>
      </c>
      <c r="M2034" s="117" t="str">
        <f t="shared" si="348"/>
        <v>detailed Mining</v>
      </c>
      <c r="N2034" s="118">
        <v>200000</v>
      </c>
      <c r="O2034" s="118"/>
      <c r="P2034" s="118">
        <v>85327</v>
      </c>
      <c r="Q2034" s="118"/>
      <c r="R2034" s="118"/>
      <c r="S2034" s="117" t="s">
        <v>610</v>
      </c>
      <c r="T2034" s="119">
        <v>72.516709165814987</v>
      </c>
      <c r="U2034" s="117" t="s">
        <v>611</v>
      </c>
      <c r="V2034" s="117" t="s">
        <v>1108</v>
      </c>
      <c r="W2034" s="89">
        <f>N2034*T2034</f>
        <v>14503341.833162997</v>
      </c>
      <c r="X2034" s="117"/>
      <c r="Y2034" s="117"/>
      <c r="Z2034" s="117"/>
      <c r="AA2034" s="89"/>
      <c r="AB2034" s="89"/>
      <c r="AC2034" s="240"/>
      <c r="AD2034" s="240"/>
      <c r="AE2034" s="240"/>
      <c r="AF2034" s="241"/>
      <c r="AG2034" s="117"/>
      <c r="AH2034" s="124"/>
      <c r="AI2034" s="117"/>
      <c r="AJ2034" s="117"/>
      <c r="AK2034" s="89"/>
      <c r="AL2034" s="117"/>
      <c r="AM2034" s="117"/>
      <c r="AN2034" s="117"/>
      <c r="AO2034" s="117"/>
      <c r="AP2034" s="117"/>
      <c r="AQ2034" s="117"/>
      <c r="AR2034" s="126"/>
      <c r="AS2034" s="117"/>
      <c r="AT2034" s="117"/>
      <c r="AU2034" s="117"/>
      <c r="AV2034" s="128"/>
      <c r="AW2034" s="117">
        <f>VLOOKUP($D2034,'WB Data'!$C$3:$M$578,2,FALSE)</f>
        <v>15328314220.185898</v>
      </c>
      <c r="AX2034" s="117">
        <f>VLOOKUP($D2034,'WB Data'!$C$3:$M$578,3,FALSE)</f>
        <v>12825031</v>
      </c>
      <c r="AY2034" s="847">
        <f t="shared" si="351"/>
        <v>3.4823356980577765E-2</v>
      </c>
      <c r="AZ2034" s="117">
        <f>VLOOKUP($D2034,'WB Data'!$C$3:$M$578,4,FALSE)/100</f>
        <v>0.13054265273784174</v>
      </c>
      <c r="BA2034" s="117">
        <f t="shared" si="352"/>
        <v>2000998800.3022492</v>
      </c>
      <c r="BB2034" s="129">
        <f>IFERROR(VLOOKUP($D2034,'EITI Revenues'!$C$2:$G$224,5,FALSE),"..")</f>
        <v>533783358</v>
      </c>
      <c r="BC2034" s="846">
        <f t="shared" si="353"/>
        <v>0.26675845978486967</v>
      </c>
      <c r="BD2034" s="129">
        <f>VLOOKUP($D2034,'WB Data 2'!$C$2:$K$545,6,FALSE)</f>
        <v>3536606856.5786214</v>
      </c>
      <c r="BE2034" s="129">
        <f>IFERROR(VLOOKUP($D2034,UNCTAD!$C$5:$V$529,4,FALSE),"..")</f>
        <v>4559940000</v>
      </c>
      <c r="BF2034" s="846">
        <f t="shared" si="354"/>
        <v>0.77558188409904982</v>
      </c>
      <c r="BG2034" s="117">
        <f>VLOOKUP($D2034,'WB Data'!$C$3:$M$578,5,FALSE)</f>
        <v>1267060000</v>
      </c>
      <c r="BH2034" s="129">
        <f>IFERROR($BB2034/$BG2034,"..")</f>
        <v>0.42127709658579704</v>
      </c>
      <c r="BI2034" s="117" t="str">
        <f>IFERROR(VLOOKUP($D2034,'WB Data'!$C$3:$M$578,7,FALSE)/100,"..")</f>
        <v>..</v>
      </c>
      <c r="BJ2034" s="117" t="str">
        <f>IFERROR($BI2034*$AW2034,"..")</f>
        <v>..</v>
      </c>
      <c r="BK2034" s="846" t="str">
        <f>IFERROR($BB2034/$BJ2034,"..")</f>
        <v>..</v>
      </c>
      <c r="BL2034" s="117" t="str">
        <f>IFERROR(VLOOKUP($D2034,'WB Data'!$C$3:$M$578,7,FALSE)/100,"..")</f>
        <v>..</v>
      </c>
      <c r="BM2034" s="117" t="str">
        <f>IFERROR($AW2034*$BL2034,"..")</f>
        <v>..</v>
      </c>
      <c r="BN2034" s="846" t="str">
        <f>IFERROR($BB2034/$BM2034,"..")</f>
        <v>..</v>
      </c>
      <c r="BO2034" s="801">
        <f t="shared" si="350"/>
        <v>38</v>
      </c>
      <c r="BP2034" s="117" t="str">
        <f>VLOOKUP($D2034,'WB Data'!$C$3:$M$578,9,FALSE)</f>
        <v>..</v>
      </c>
      <c r="BQ2034" s="117">
        <f>VLOOKUP($D2034,'WB Data'!$C$3:$M$578,10,FALSE)</f>
        <v>53.11336585365855</v>
      </c>
      <c r="BR2034" s="117">
        <f>VLOOKUP($D2034,'WB Data'!$C$3:$M$578,11,FALSE)</f>
        <v>64.8</v>
      </c>
      <c r="BS2034" s="129">
        <f>IFERROR(VLOOKUP($D2034,'WB Data 2'!$C$2:$K$545,9,FALSE),"..")</f>
        <v>92.220600000000005</v>
      </c>
      <c r="BT2034" s="129">
        <f>_xlfn.IFNA(VLOOKUP($C2034,RGI!$A$2:$C$43,2,FALSE),"..")</f>
        <v>41.2</v>
      </c>
      <c r="BU2034" s="129">
        <f>_xlfn.IFNA(VLOOKUP($C2034,RGI!$A$2:$C$43,3,FALSE),"..")</f>
        <v>60.803011070373614</v>
      </c>
      <c r="BV2034" s="129">
        <f>VLOOKUP($D2034,WGI!$C$2:$O$478,7,FALSE)</f>
        <v>-0.319576629576935</v>
      </c>
      <c r="BW2034" s="129">
        <f>VLOOKUP($D2034,WGI!$C$2:$O$478,4,FALSE)</f>
        <v>0.53465903763662503</v>
      </c>
      <c r="BX2034" s="129">
        <f>VLOOKUP($D2034,WGI!$C$2:$O$478,3,FALSE)</f>
        <v>-0.79114014249250797</v>
      </c>
      <c r="BY2034" s="129">
        <f>VLOOKUP($D2034,WGI!$C$2:$O$478,5,FALSE)</f>
        <v>-0.50244949982849896</v>
      </c>
      <c r="BZ2034" s="129">
        <f>VLOOKUP($D2034,WGI!$C$2:$O$478,2,FALSE)</f>
        <v>-0.51320912303131205</v>
      </c>
    </row>
    <row r="2035" spans="1:78" ht="15" customHeight="1">
      <c r="A2035" s="280" t="s">
        <v>543</v>
      </c>
      <c r="B2035" s="117">
        <v>2009</v>
      </c>
      <c r="C2035" s="117" t="s">
        <v>541</v>
      </c>
      <c r="D2035" s="117" t="s">
        <v>3650</v>
      </c>
      <c r="E2035" s="117" t="s">
        <v>86</v>
      </c>
      <c r="F2035" s="117"/>
      <c r="G2035" s="117" t="s">
        <v>24</v>
      </c>
      <c r="H2035" s="117" t="str">
        <f t="shared" si="357"/>
        <v>yes</v>
      </c>
      <c r="I2035" s="117" t="str">
        <f t="shared" si="346"/>
        <v>no</v>
      </c>
      <c r="J2035" s="117" t="str">
        <f t="shared" si="347"/>
        <v>no</v>
      </c>
      <c r="K2035" s="117" t="s">
        <v>1061</v>
      </c>
      <c r="L2035" s="117" t="str">
        <f t="shared" si="358"/>
        <v>detailed</v>
      </c>
      <c r="M2035" s="117" t="str">
        <f t="shared" si="348"/>
        <v>detailed Mining</v>
      </c>
      <c r="N2035" s="118"/>
      <c r="O2035" s="118"/>
      <c r="P2035" s="118">
        <v>1566</v>
      </c>
      <c r="Q2035" s="118"/>
      <c r="R2035" s="118"/>
      <c r="S2035" s="117"/>
      <c r="T2035" s="119">
        <f>(17.86/0.000453592)*0.7924</f>
        <v>31200.426815287748</v>
      </c>
      <c r="U2035" s="117" t="s">
        <v>611</v>
      </c>
      <c r="V2035" s="117" t="s">
        <v>2400</v>
      </c>
      <c r="W2035" s="89">
        <f>N2036*T2035</f>
        <v>152882091.39490998</v>
      </c>
      <c r="X2035" s="117"/>
      <c r="Y2035" s="117"/>
      <c r="Z2035" s="117"/>
      <c r="AA2035" s="117"/>
      <c r="AB2035" s="117"/>
      <c r="AC2035" s="240"/>
      <c r="AD2035" s="240"/>
      <c r="AE2035" s="240"/>
      <c r="AF2035" s="241"/>
      <c r="AG2035" s="117"/>
      <c r="AH2035" s="124"/>
      <c r="AI2035" s="117"/>
      <c r="AJ2035" s="117"/>
      <c r="AK2035" s="89"/>
      <c r="AL2035" s="117"/>
      <c r="AM2035" s="117"/>
      <c r="AN2035" s="117"/>
      <c r="AO2035" s="117"/>
      <c r="AP2035" s="117"/>
      <c r="AQ2035" s="117"/>
      <c r="AR2035" s="126"/>
      <c r="AS2035" s="117"/>
      <c r="AT2035" s="117"/>
      <c r="AU2035" s="117"/>
      <c r="AV2035" s="128"/>
      <c r="AW2035" s="117">
        <f>VLOOKUP($D2035,'WB Data'!$C$3:$M$578,2,FALSE)</f>
        <v>15328314220.185898</v>
      </c>
      <c r="AX2035" s="117">
        <f>VLOOKUP($D2035,'WB Data'!$C$3:$M$578,3,FALSE)</f>
        <v>12825031</v>
      </c>
      <c r="AY2035" s="847">
        <f t="shared" si="351"/>
        <v>3.4823356980577765E-2</v>
      </c>
      <c r="AZ2035" s="117">
        <f>VLOOKUP($D2035,'WB Data'!$C$3:$M$578,4,FALSE)/100</f>
        <v>0.13054265273784174</v>
      </c>
      <c r="BA2035" s="117">
        <f t="shared" si="352"/>
        <v>2000998800.3022492</v>
      </c>
      <c r="BB2035" s="129">
        <f>IFERROR(VLOOKUP($D2035,'EITI Revenues'!$C$2:$G$224,5,FALSE),"..")</f>
        <v>533783358</v>
      </c>
      <c r="BC2035" s="846">
        <f t="shared" si="353"/>
        <v>0.26675845978486967</v>
      </c>
      <c r="BD2035" s="129">
        <f>VLOOKUP($D2035,'WB Data 2'!$C$2:$K$545,6,FALSE)</f>
        <v>3536606856.5786214</v>
      </c>
      <c r="BE2035" s="129">
        <f>IFERROR(VLOOKUP($D2035,UNCTAD!$C$5:$V$529,4,FALSE),"..")</f>
        <v>4559940000</v>
      </c>
      <c r="BF2035" s="846">
        <f t="shared" si="354"/>
        <v>0.77558188409904982</v>
      </c>
      <c r="BG2035" s="117">
        <f>VLOOKUP($D2035,'WB Data'!$C$3:$M$578,5,FALSE)</f>
        <v>1267060000</v>
      </c>
      <c r="BH2035" s="129">
        <f>IFERROR($BB2035/$BG2035,"..")</f>
        <v>0.42127709658579704</v>
      </c>
      <c r="BI2035" s="117" t="str">
        <f>IFERROR(VLOOKUP($D2035,'WB Data'!$C$3:$M$578,7,FALSE)/100,"..")</f>
        <v>..</v>
      </c>
      <c r="BJ2035" s="117" t="str">
        <f>IFERROR($BI2035*$AW2035,"..")</f>
        <v>..</v>
      </c>
      <c r="BK2035" s="846" t="str">
        <f>IFERROR($BB2035/$BJ2035,"..")</f>
        <v>..</v>
      </c>
      <c r="BL2035" s="117" t="str">
        <f>IFERROR(VLOOKUP($D2035,'WB Data'!$C$3:$M$578,7,FALSE)/100,"..")</f>
        <v>..</v>
      </c>
      <c r="BM2035" s="117" t="str">
        <f>IFERROR($AW2035*$BL2035,"..")</f>
        <v>..</v>
      </c>
      <c r="BN2035" s="846" t="str">
        <f>IFERROR($BB2035/$BM2035,"..")</f>
        <v>..</v>
      </c>
      <c r="BO2035" s="801">
        <f t="shared" si="350"/>
        <v>38</v>
      </c>
      <c r="BP2035" s="117" t="str">
        <f>VLOOKUP($D2035,'WB Data'!$C$3:$M$578,9,FALSE)</f>
        <v>..</v>
      </c>
      <c r="BQ2035" s="117">
        <f>VLOOKUP($D2035,'WB Data'!$C$3:$M$578,10,FALSE)</f>
        <v>53.11336585365855</v>
      </c>
      <c r="BR2035" s="117">
        <f>VLOOKUP($D2035,'WB Data'!$C$3:$M$578,11,FALSE)</f>
        <v>64.8</v>
      </c>
      <c r="BS2035" s="129">
        <f>IFERROR(VLOOKUP($D2035,'WB Data 2'!$C$2:$K$545,9,FALSE),"..")</f>
        <v>92.220600000000005</v>
      </c>
      <c r="BT2035" s="129">
        <f>_xlfn.IFNA(VLOOKUP($C2035,RGI!$A$2:$C$43,2,FALSE),"..")</f>
        <v>41.2</v>
      </c>
      <c r="BU2035" s="129">
        <f>_xlfn.IFNA(VLOOKUP($C2035,RGI!$A$2:$C$43,3,FALSE),"..")</f>
        <v>60.803011070373614</v>
      </c>
      <c r="BV2035" s="129">
        <f>VLOOKUP($D2035,WGI!$C$2:$O$478,7,FALSE)</f>
        <v>-0.319576629576935</v>
      </c>
      <c r="BW2035" s="129">
        <f>VLOOKUP($D2035,WGI!$C$2:$O$478,4,FALSE)</f>
        <v>0.53465903763662503</v>
      </c>
      <c r="BX2035" s="129">
        <f>VLOOKUP($D2035,WGI!$C$2:$O$478,3,FALSE)</f>
        <v>-0.79114014249250797</v>
      </c>
      <c r="BY2035" s="129">
        <f>VLOOKUP($D2035,WGI!$C$2:$O$478,5,FALSE)</f>
        <v>-0.50244949982849896</v>
      </c>
      <c r="BZ2035" s="129">
        <f>VLOOKUP($D2035,WGI!$C$2:$O$478,2,FALSE)</f>
        <v>-0.51320912303131205</v>
      </c>
    </row>
    <row r="2036" spans="1:78" ht="15" customHeight="1">
      <c r="A2036" s="280" t="s">
        <v>543</v>
      </c>
      <c r="B2036" s="117">
        <v>2009</v>
      </c>
      <c r="C2036" s="117" t="s">
        <v>541</v>
      </c>
      <c r="D2036" s="117" t="s">
        <v>3650</v>
      </c>
      <c r="E2036" s="117" t="s">
        <v>86</v>
      </c>
      <c r="F2036" s="117"/>
      <c r="G2036" s="117" t="s">
        <v>24</v>
      </c>
      <c r="H2036" s="117" t="str">
        <f t="shared" si="357"/>
        <v>yes</v>
      </c>
      <c r="I2036" s="117" t="str">
        <f t="shared" si="346"/>
        <v>no</v>
      </c>
      <c r="J2036" s="117" t="str">
        <f t="shared" si="347"/>
        <v>no</v>
      </c>
      <c r="K2036" s="117" t="s">
        <v>2402</v>
      </c>
      <c r="L2036" s="117" t="str">
        <f t="shared" si="358"/>
        <v>detailed</v>
      </c>
      <c r="M2036" s="117" t="str">
        <f t="shared" si="348"/>
        <v>detailed Mining</v>
      </c>
      <c r="N2036" s="118">
        <v>4900</v>
      </c>
      <c r="O2036" s="118"/>
      <c r="P2036" s="118"/>
      <c r="Q2036" s="118"/>
      <c r="R2036" s="118"/>
      <c r="S2036" s="492" t="s">
        <v>610</v>
      </c>
      <c r="T2036" s="119"/>
      <c r="U2036" s="492"/>
      <c r="V2036" s="117" t="s">
        <v>684</v>
      </c>
      <c r="W2036" s="89"/>
      <c r="X2036" s="117"/>
      <c r="Y2036" s="117"/>
      <c r="Z2036" s="117"/>
      <c r="AA2036" s="117"/>
      <c r="AB2036" s="117"/>
      <c r="AC2036" s="240"/>
      <c r="AD2036" s="240"/>
      <c r="AE2036" s="240"/>
      <c r="AF2036" s="241"/>
      <c r="AG2036" s="117"/>
      <c r="AH2036" s="124"/>
      <c r="AI2036" s="117"/>
      <c r="AJ2036" s="117"/>
      <c r="AK2036" s="89"/>
      <c r="AL2036" s="117"/>
      <c r="AM2036" s="117"/>
      <c r="AN2036" s="117"/>
      <c r="AO2036" s="117"/>
      <c r="AP2036" s="117"/>
      <c r="AQ2036" s="117"/>
      <c r="AR2036" s="126"/>
      <c r="AS2036" s="117"/>
      <c r="AT2036" s="117"/>
      <c r="AU2036" s="117"/>
      <c r="AV2036" s="128"/>
      <c r="AW2036" s="117">
        <f>VLOOKUP($D2036,'WB Data'!$C$3:$M$578,2,FALSE)</f>
        <v>15328314220.185898</v>
      </c>
      <c r="AX2036" s="117">
        <f>VLOOKUP($D2036,'WB Data'!$C$3:$M$578,3,FALSE)</f>
        <v>12825031</v>
      </c>
      <c r="AY2036" s="847">
        <f t="shared" si="351"/>
        <v>3.4823356980577765E-2</v>
      </c>
      <c r="AZ2036" s="117">
        <f>VLOOKUP($D2036,'WB Data'!$C$3:$M$578,4,FALSE)/100</f>
        <v>0.13054265273784174</v>
      </c>
      <c r="BA2036" s="117">
        <f t="shared" si="352"/>
        <v>2000998800.3022492</v>
      </c>
      <c r="BB2036" s="129">
        <f>IFERROR(VLOOKUP($D2036,'EITI Revenues'!$C$2:$G$224,5,FALSE),"..")</f>
        <v>533783358</v>
      </c>
      <c r="BC2036" s="846">
        <f t="shared" si="353"/>
        <v>0.26675845978486967</v>
      </c>
      <c r="BD2036" s="129">
        <f>VLOOKUP($D2036,'WB Data 2'!$C$2:$K$545,6,FALSE)</f>
        <v>3536606856.5786214</v>
      </c>
      <c r="BE2036" s="129">
        <f>IFERROR(VLOOKUP($D2036,UNCTAD!$C$5:$V$529,4,FALSE),"..")</f>
        <v>4559940000</v>
      </c>
      <c r="BF2036" s="846">
        <f t="shared" si="354"/>
        <v>0.77558188409904982</v>
      </c>
      <c r="BG2036" s="117">
        <f>VLOOKUP($D2036,'WB Data'!$C$3:$M$578,5,FALSE)</f>
        <v>1267060000</v>
      </c>
      <c r="BH2036" s="129">
        <f>IFERROR($BB2036/$BG2036,"..")</f>
        <v>0.42127709658579704</v>
      </c>
      <c r="BI2036" s="117" t="str">
        <f>IFERROR(VLOOKUP($D2036,'WB Data'!$C$3:$M$578,7,FALSE)/100,"..")</f>
        <v>..</v>
      </c>
      <c r="BJ2036" s="117" t="str">
        <f>IFERROR($BI2036*$AW2036,"..")</f>
        <v>..</v>
      </c>
      <c r="BK2036" s="846" t="str">
        <f>IFERROR($BB2036/$BJ2036,"..")</f>
        <v>..</v>
      </c>
      <c r="BL2036" s="117" t="str">
        <f>IFERROR(VLOOKUP($D2036,'WB Data'!$C$3:$M$578,7,FALSE)/100,"..")</f>
        <v>..</v>
      </c>
      <c r="BM2036" s="117" t="str">
        <f>IFERROR($AW2036*$BL2036,"..")</f>
        <v>..</v>
      </c>
      <c r="BN2036" s="846" t="str">
        <f>IFERROR($BB2036/$BM2036,"..")</f>
        <v>..</v>
      </c>
      <c r="BO2036" s="801">
        <f t="shared" si="350"/>
        <v>38</v>
      </c>
      <c r="BP2036" s="117" t="str">
        <f>VLOOKUP($D2036,'WB Data'!$C$3:$M$578,9,FALSE)</f>
        <v>..</v>
      </c>
      <c r="BQ2036" s="117">
        <f>VLOOKUP($D2036,'WB Data'!$C$3:$M$578,10,FALSE)</f>
        <v>53.11336585365855</v>
      </c>
      <c r="BR2036" s="117">
        <f>VLOOKUP($D2036,'WB Data'!$C$3:$M$578,11,FALSE)</f>
        <v>64.8</v>
      </c>
      <c r="BS2036" s="129">
        <f>IFERROR(VLOOKUP($D2036,'WB Data 2'!$C$2:$K$545,9,FALSE),"..")</f>
        <v>92.220600000000005</v>
      </c>
      <c r="BT2036" s="129">
        <f>_xlfn.IFNA(VLOOKUP($C2036,RGI!$A$2:$C$43,2,FALSE),"..")</f>
        <v>41.2</v>
      </c>
      <c r="BU2036" s="129">
        <f>_xlfn.IFNA(VLOOKUP($C2036,RGI!$A$2:$C$43,3,FALSE),"..")</f>
        <v>60.803011070373614</v>
      </c>
      <c r="BV2036" s="129">
        <f>VLOOKUP($D2036,WGI!$C$2:$O$478,7,FALSE)</f>
        <v>-0.319576629576935</v>
      </c>
      <c r="BW2036" s="129">
        <f>VLOOKUP($D2036,WGI!$C$2:$O$478,4,FALSE)</f>
        <v>0.53465903763662503</v>
      </c>
      <c r="BX2036" s="129">
        <f>VLOOKUP($D2036,WGI!$C$2:$O$478,3,FALSE)</f>
        <v>-0.79114014249250797</v>
      </c>
      <c r="BY2036" s="129">
        <f>VLOOKUP($D2036,WGI!$C$2:$O$478,5,FALSE)</f>
        <v>-0.50244949982849896</v>
      </c>
      <c r="BZ2036" s="129">
        <f>VLOOKUP($D2036,WGI!$C$2:$O$478,2,FALSE)</f>
        <v>-0.51320912303131205</v>
      </c>
    </row>
    <row r="2037" spans="1:78" ht="15" customHeight="1">
      <c r="A2037" s="280" t="s">
        <v>543</v>
      </c>
      <c r="B2037" s="117">
        <v>2009</v>
      </c>
      <c r="C2037" s="117" t="s">
        <v>541</v>
      </c>
      <c r="D2037" s="117" t="s">
        <v>3650</v>
      </c>
      <c r="E2037" s="117" t="s">
        <v>86</v>
      </c>
      <c r="F2037" s="117"/>
      <c r="G2037" s="117" t="s">
        <v>24</v>
      </c>
      <c r="H2037" s="117" t="str">
        <f t="shared" si="357"/>
        <v>yes</v>
      </c>
      <c r="I2037" s="117" t="str">
        <f t="shared" si="346"/>
        <v>no</v>
      </c>
      <c r="J2037" s="117" t="str">
        <f t="shared" si="347"/>
        <v>no</v>
      </c>
      <c r="K2037" s="117" t="s">
        <v>1336</v>
      </c>
      <c r="L2037" s="117" t="str">
        <f t="shared" si="358"/>
        <v>detailed</v>
      </c>
      <c r="M2037" s="117" t="str">
        <f t="shared" si="348"/>
        <v>detailed Mining</v>
      </c>
      <c r="N2037" s="118">
        <v>1506</v>
      </c>
      <c r="O2037" s="118"/>
      <c r="P2037" s="118"/>
      <c r="Q2037" s="118"/>
      <c r="R2037" s="118"/>
      <c r="S2037" s="492" t="s">
        <v>610</v>
      </c>
      <c r="T2037" s="119"/>
      <c r="U2037" s="492"/>
      <c r="V2037" s="117" t="s">
        <v>684</v>
      </c>
      <c r="W2037" s="89"/>
      <c r="X2037" s="117"/>
      <c r="Y2037" s="117"/>
      <c r="Z2037" s="117"/>
      <c r="AA2037" s="117"/>
      <c r="AB2037" s="117"/>
      <c r="AC2037" s="240"/>
      <c r="AD2037" s="240"/>
      <c r="AE2037" s="240"/>
      <c r="AF2037" s="241"/>
      <c r="AG2037" s="117"/>
      <c r="AH2037" s="124"/>
      <c r="AI2037" s="117"/>
      <c r="AJ2037" s="117"/>
      <c r="AK2037" s="89"/>
      <c r="AL2037" s="117"/>
      <c r="AM2037" s="117"/>
      <c r="AN2037" s="117"/>
      <c r="AO2037" s="117"/>
      <c r="AP2037" s="117"/>
      <c r="AQ2037" s="117"/>
      <c r="AR2037" s="126"/>
      <c r="AS2037" s="117"/>
      <c r="AT2037" s="117"/>
      <c r="AU2037" s="117"/>
      <c r="AV2037" s="128"/>
      <c r="AW2037" s="117">
        <f>VLOOKUP($D2037,'WB Data'!$C$3:$M$578,2,FALSE)</f>
        <v>15328314220.185898</v>
      </c>
      <c r="AX2037" s="117">
        <f>VLOOKUP($D2037,'WB Data'!$C$3:$M$578,3,FALSE)</f>
        <v>12825031</v>
      </c>
      <c r="AY2037" s="847">
        <f t="shared" si="351"/>
        <v>3.4823356980577765E-2</v>
      </c>
      <c r="AZ2037" s="117">
        <f>VLOOKUP($D2037,'WB Data'!$C$3:$M$578,4,FALSE)/100</f>
        <v>0.13054265273784174</v>
      </c>
      <c r="BA2037" s="117">
        <f t="shared" si="352"/>
        <v>2000998800.3022492</v>
      </c>
      <c r="BB2037" s="129">
        <f>IFERROR(VLOOKUP($D2037,'EITI Revenues'!$C$2:$G$224,5,FALSE),"..")</f>
        <v>533783358</v>
      </c>
      <c r="BC2037" s="846">
        <f t="shared" si="353"/>
        <v>0.26675845978486967</v>
      </c>
      <c r="BD2037" s="129">
        <f>VLOOKUP($D2037,'WB Data 2'!$C$2:$K$545,6,FALSE)</f>
        <v>3536606856.5786214</v>
      </c>
      <c r="BE2037" s="129">
        <f>IFERROR(VLOOKUP($D2037,UNCTAD!$C$5:$V$529,4,FALSE),"..")</f>
        <v>4559940000</v>
      </c>
      <c r="BF2037" s="846">
        <f t="shared" si="354"/>
        <v>0.77558188409904982</v>
      </c>
      <c r="BG2037" s="117">
        <f>VLOOKUP($D2037,'WB Data'!$C$3:$M$578,5,FALSE)</f>
        <v>1267060000</v>
      </c>
      <c r="BH2037" s="129">
        <f>IFERROR($BB2037/$BG2037,"..")</f>
        <v>0.42127709658579704</v>
      </c>
      <c r="BI2037" s="117" t="str">
        <f>IFERROR(VLOOKUP($D2037,'WB Data'!$C$3:$M$578,7,FALSE)/100,"..")</f>
        <v>..</v>
      </c>
      <c r="BJ2037" s="117" t="str">
        <f>IFERROR($BI2037*$AW2037,"..")</f>
        <v>..</v>
      </c>
      <c r="BK2037" s="846" t="str">
        <f>IFERROR($BB2037/$BJ2037,"..")</f>
        <v>..</v>
      </c>
      <c r="BL2037" s="117" t="str">
        <f>IFERROR(VLOOKUP($D2037,'WB Data'!$C$3:$M$578,7,FALSE)/100,"..")</f>
        <v>..</v>
      </c>
      <c r="BM2037" s="117" t="str">
        <f>IFERROR($AW2037*$BL2037,"..")</f>
        <v>..</v>
      </c>
      <c r="BN2037" s="846" t="str">
        <f>IFERROR($BB2037/$BM2037,"..")</f>
        <v>..</v>
      </c>
      <c r="BO2037" s="801">
        <f t="shared" si="350"/>
        <v>38</v>
      </c>
      <c r="BP2037" s="117" t="str">
        <f>VLOOKUP($D2037,'WB Data'!$C$3:$M$578,9,FALSE)</f>
        <v>..</v>
      </c>
      <c r="BQ2037" s="117">
        <f>VLOOKUP($D2037,'WB Data'!$C$3:$M$578,10,FALSE)</f>
        <v>53.11336585365855</v>
      </c>
      <c r="BR2037" s="117">
        <f>VLOOKUP($D2037,'WB Data'!$C$3:$M$578,11,FALSE)</f>
        <v>64.8</v>
      </c>
      <c r="BS2037" s="129">
        <f>IFERROR(VLOOKUP($D2037,'WB Data 2'!$C$2:$K$545,9,FALSE),"..")</f>
        <v>92.220600000000005</v>
      </c>
      <c r="BT2037" s="129">
        <f>_xlfn.IFNA(VLOOKUP($C2037,RGI!$A$2:$C$43,2,FALSE),"..")</f>
        <v>41.2</v>
      </c>
      <c r="BU2037" s="129">
        <f>_xlfn.IFNA(VLOOKUP($C2037,RGI!$A$2:$C$43,3,FALSE),"..")</f>
        <v>60.803011070373614</v>
      </c>
      <c r="BV2037" s="129">
        <f>VLOOKUP($D2037,WGI!$C$2:$O$478,7,FALSE)</f>
        <v>-0.319576629576935</v>
      </c>
      <c r="BW2037" s="129">
        <f>VLOOKUP($D2037,WGI!$C$2:$O$478,4,FALSE)</f>
        <v>0.53465903763662503</v>
      </c>
      <c r="BX2037" s="129">
        <f>VLOOKUP($D2037,WGI!$C$2:$O$478,3,FALSE)</f>
        <v>-0.79114014249250797</v>
      </c>
      <c r="BY2037" s="129">
        <f>VLOOKUP($D2037,WGI!$C$2:$O$478,5,FALSE)</f>
        <v>-0.50244949982849896</v>
      </c>
      <c r="BZ2037" s="129">
        <f>VLOOKUP($D2037,WGI!$C$2:$O$478,2,FALSE)</f>
        <v>-0.51320912303131205</v>
      </c>
    </row>
    <row r="2038" spans="1:78" ht="15" customHeight="1">
      <c r="A2038" s="280" t="s">
        <v>543</v>
      </c>
      <c r="B2038" s="117">
        <v>2009</v>
      </c>
      <c r="C2038" s="117" t="s">
        <v>541</v>
      </c>
      <c r="D2038" s="117" t="s">
        <v>3650</v>
      </c>
      <c r="E2038" s="117" t="s">
        <v>86</v>
      </c>
      <c r="F2038" s="117"/>
      <c r="G2038" s="117" t="s">
        <v>24</v>
      </c>
      <c r="H2038" s="117" t="str">
        <f t="shared" si="357"/>
        <v>yes</v>
      </c>
      <c r="I2038" s="117" t="str">
        <f t="shared" si="346"/>
        <v>no</v>
      </c>
      <c r="J2038" s="117" t="str">
        <f t="shared" si="347"/>
        <v>no</v>
      </c>
      <c r="K2038" s="117" t="s">
        <v>619</v>
      </c>
      <c r="L2038" s="117" t="str">
        <f t="shared" si="358"/>
        <v>detailed</v>
      </c>
      <c r="M2038" s="117" t="str">
        <f t="shared" si="348"/>
        <v>detailed Mining</v>
      </c>
      <c r="N2038" s="118"/>
      <c r="O2038" s="118"/>
      <c r="P2038" s="118">
        <v>655987</v>
      </c>
      <c r="Q2038" s="118"/>
      <c r="R2038" s="118"/>
      <c r="S2038" s="492"/>
      <c r="T2038" s="186">
        <v>5149.7385833333301</v>
      </c>
      <c r="U2038" s="117" t="s">
        <v>611</v>
      </c>
      <c r="V2038" s="117" t="s">
        <v>681</v>
      </c>
      <c r="W2038" s="89">
        <f>SUM(N2040:N2041)*T2038</f>
        <v>3852004460.3333311</v>
      </c>
      <c r="X2038" s="117"/>
      <c r="Y2038" s="117"/>
      <c r="Z2038" s="117"/>
      <c r="AA2038" s="117"/>
      <c r="AB2038" s="117"/>
      <c r="AC2038" s="240"/>
      <c r="AD2038" s="240"/>
      <c r="AE2038" s="240"/>
      <c r="AF2038" s="241"/>
      <c r="AG2038" s="117"/>
      <c r="AH2038" s="124"/>
      <c r="AI2038" s="117"/>
      <c r="AJ2038" s="117"/>
      <c r="AK2038" s="89"/>
      <c r="AL2038" s="117"/>
      <c r="AM2038" s="117"/>
      <c r="AN2038" s="117"/>
      <c r="AO2038" s="117"/>
      <c r="AP2038" s="117"/>
      <c r="AQ2038" s="117"/>
      <c r="AR2038" s="126"/>
      <c r="AS2038" s="117"/>
      <c r="AT2038" s="117"/>
      <c r="AU2038" s="117"/>
      <c r="AV2038" s="128"/>
      <c r="AW2038" s="117">
        <f>VLOOKUP($D2038,'WB Data'!$C$3:$M$578,2,FALSE)</f>
        <v>15328314220.185898</v>
      </c>
      <c r="AX2038" s="117">
        <f>VLOOKUP($D2038,'WB Data'!$C$3:$M$578,3,FALSE)</f>
        <v>12825031</v>
      </c>
      <c r="AY2038" s="847">
        <f t="shared" si="351"/>
        <v>3.4823356980577765E-2</v>
      </c>
      <c r="AZ2038" s="117">
        <f>VLOOKUP($D2038,'WB Data'!$C$3:$M$578,4,FALSE)/100</f>
        <v>0.13054265273784174</v>
      </c>
      <c r="BA2038" s="117">
        <f t="shared" si="352"/>
        <v>2000998800.3022492</v>
      </c>
      <c r="BB2038" s="129">
        <f>IFERROR(VLOOKUP($D2038,'EITI Revenues'!$C$2:$G$224,5,FALSE),"..")</f>
        <v>533783358</v>
      </c>
      <c r="BC2038" s="846">
        <f t="shared" si="353"/>
        <v>0.26675845978486967</v>
      </c>
      <c r="BD2038" s="129">
        <f>VLOOKUP($D2038,'WB Data 2'!$C$2:$K$545,6,FALSE)</f>
        <v>3536606856.5786214</v>
      </c>
      <c r="BE2038" s="129">
        <f>IFERROR(VLOOKUP($D2038,UNCTAD!$C$5:$V$529,4,FALSE),"..")</f>
        <v>4559940000</v>
      </c>
      <c r="BF2038" s="846">
        <f t="shared" si="354"/>
        <v>0.77558188409904982</v>
      </c>
      <c r="BG2038" s="117">
        <f>VLOOKUP($D2038,'WB Data'!$C$3:$M$578,5,FALSE)</f>
        <v>1267060000</v>
      </c>
      <c r="BH2038" s="129">
        <f>IFERROR($BB2038/$BG2038,"..")</f>
        <v>0.42127709658579704</v>
      </c>
      <c r="BI2038" s="117" t="str">
        <f>IFERROR(VLOOKUP($D2038,'WB Data'!$C$3:$M$578,7,FALSE)/100,"..")</f>
        <v>..</v>
      </c>
      <c r="BJ2038" s="117" t="str">
        <f>IFERROR($BI2038*$AW2038,"..")</f>
        <v>..</v>
      </c>
      <c r="BK2038" s="846" t="str">
        <f>IFERROR($BB2038/$BJ2038,"..")</f>
        <v>..</v>
      </c>
      <c r="BL2038" s="117" t="str">
        <f>IFERROR(VLOOKUP($D2038,'WB Data'!$C$3:$M$578,7,FALSE)/100,"..")</f>
        <v>..</v>
      </c>
      <c r="BM2038" s="117" t="str">
        <f>IFERROR($AW2038*$BL2038,"..")</f>
        <v>..</v>
      </c>
      <c r="BN2038" s="846" t="str">
        <f>IFERROR($BB2038/$BM2038,"..")</f>
        <v>..</v>
      </c>
      <c r="BO2038" s="801">
        <f t="shared" si="350"/>
        <v>38</v>
      </c>
      <c r="BP2038" s="117" t="str">
        <f>VLOOKUP($D2038,'WB Data'!$C$3:$M$578,9,FALSE)</f>
        <v>..</v>
      </c>
      <c r="BQ2038" s="117">
        <f>VLOOKUP($D2038,'WB Data'!$C$3:$M$578,10,FALSE)</f>
        <v>53.11336585365855</v>
      </c>
      <c r="BR2038" s="117">
        <f>VLOOKUP($D2038,'WB Data'!$C$3:$M$578,11,FALSE)</f>
        <v>64.8</v>
      </c>
      <c r="BS2038" s="129">
        <f>IFERROR(VLOOKUP($D2038,'WB Data 2'!$C$2:$K$545,9,FALSE),"..")</f>
        <v>92.220600000000005</v>
      </c>
      <c r="BT2038" s="129">
        <f>_xlfn.IFNA(VLOOKUP($C2038,RGI!$A$2:$C$43,2,FALSE),"..")</f>
        <v>41.2</v>
      </c>
      <c r="BU2038" s="129">
        <f>_xlfn.IFNA(VLOOKUP($C2038,RGI!$A$2:$C$43,3,FALSE),"..")</f>
        <v>60.803011070373614</v>
      </c>
      <c r="BV2038" s="129">
        <f>VLOOKUP($D2038,WGI!$C$2:$O$478,7,FALSE)</f>
        <v>-0.319576629576935</v>
      </c>
      <c r="BW2038" s="129">
        <f>VLOOKUP($D2038,WGI!$C$2:$O$478,4,FALSE)</f>
        <v>0.53465903763662503</v>
      </c>
      <c r="BX2038" s="129">
        <f>VLOOKUP($D2038,WGI!$C$2:$O$478,3,FALSE)</f>
        <v>-0.79114014249250797</v>
      </c>
      <c r="BY2038" s="129">
        <f>VLOOKUP($D2038,WGI!$C$2:$O$478,5,FALSE)</f>
        <v>-0.50244949982849896</v>
      </c>
      <c r="BZ2038" s="129">
        <f>VLOOKUP($D2038,WGI!$C$2:$O$478,2,FALSE)</f>
        <v>-0.51320912303131205</v>
      </c>
    </row>
    <row r="2039" spans="1:78" ht="15" customHeight="1">
      <c r="A2039" s="280" t="s">
        <v>543</v>
      </c>
      <c r="B2039" s="117">
        <v>2009</v>
      </c>
      <c r="C2039" s="117" t="s">
        <v>541</v>
      </c>
      <c r="D2039" s="117" t="s">
        <v>3650</v>
      </c>
      <c r="E2039" s="117" t="s">
        <v>86</v>
      </c>
      <c r="F2039" s="117"/>
      <c r="G2039" s="117" t="s">
        <v>24</v>
      </c>
      <c r="H2039" s="117" t="str">
        <f t="shared" si="357"/>
        <v>yes</v>
      </c>
      <c r="I2039" s="117" t="str">
        <f t="shared" si="346"/>
        <v>no</v>
      </c>
      <c r="J2039" s="117" t="str">
        <f t="shared" si="347"/>
        <v>no</v>
      </c>
      <c r="K2039" s="117" t="s">
        <v>1324</v>
      </c>
      <c r="L2039" s="117" t="str">
        <f t="shared" si="358"/>
        <v>detailed</v>
      </c>
      <c r="M2039" s="117" t="str">
        <f t="shared" si="348"/>
        <v>detailed Mining</v>
      </c>
      <c r="N2039" s="118">
        <v>698000</v>
      </c>
      <c r="O2039" s="118"/>
      <c r="P2039" s="118"/>
      <c r="Q2039" s="118"/>
      <c r="R2039" s="118"/>
      <c r="S2039" s="492" t="s">
        <v>610</v>
      </c>
      <c r="T2039" s="119"/>
      <c r="U2039" s="492"/>
      <c r="V2039" s="117" t="s">
        <v>684</v>
      </c>
      <c r="W2039" s="89"/>
      <c r="X2039" s="117"/>
      <c r="Y2039" s="117"/>
      <c r="Z2039" s="117"/>
      <c r="AA2039" s="117"/>
      <c r="AB2039" s="117"/>
      <c r="AC2039" s="240"/>
      <c r="AD2039" s="240"/>
      <c r="AE2039" s="240"/>
      <c r="AF2039" s="241"/>
      <c r="AG2039" s="117"/>
      <c r="AH2039" s="124"/>
      <c r="AI2039" s="117"/>
      <c r="AJ2039" s="117"/>
      <c r="AK2039" s="89"/>
      <c r="AL2039" s="117"/>
      <c r="AM2039" s="117"/>
      <c r="AN2039" s="117"/>
      <c r="AO2039" s="117"/>
      <c r="AP2039" s="117"/>
      <c r="AQ2039" s="117"/>
      <c r="AR2039" s="126"/>
      <c r="AS2039" s="117"/>
      <c r="AT2039" s="117"/>
      <c r="AU2039" s="117"/>
      <c r="AV2039" s="128"/>
      <c r="AW2039" s="117">
        <f>VLOOKUP($D2039,'WB Data'!$C$3:$M$578,2,FALSE)</f>
        <v>15328314220.185898</v>
      </c>
      <c r="AX2039" s="117">
        <f>VLOOKUP($D2039,'WB Data'!$C$3:$M$578,3,FALSE)</f>
        <v>12825031</v>
      </c>
      <c r="AY2039" s="847">
        <f t="shared" si="351"/>
        <v>3.4823356980577765E-2</v>
      </c>
      <c r="AZ2039" s="117">
        <f>VLOOKUP($D2039,'WB Data'!$C$3:$M$578,4,FALSE)/100</f>
        <v>0.13054265273784174</v>
      </c>
      <c r="BA2039" s="117">
        <f t="shared" si="352"/>
        <v>2000998800.3022492</v>
      </c>
      <c r="BB2039" s="129">
        <f>IFERROR(VLOOKUP($D2039,'EITI Revenues'!$C$2:$G$224,5,FALSE),"..")</f>
        <v>533783358</v>
      </c>
      <c r="BC2039" s="846">
        <f t="shared" si="353"/>
        <v>0.26675845978486967</v>
      </c>
      <c r="BD2039" s="129">
        <f>VLOOKUP($D2039,'WB Data 2'!$C$2:$K$545,6,FALSE)</f>
        <v>3536606856.5786214</v>
      </c>
      <c r="BE2039" s="129">
        <f>IFERROR(VLOOKUP($D2039,UNCTAD!$C$5:$V$529,4,FALSE),"..")</f>
        <v>4559940000</v>
      </c>
      <c r="BF2039" s="846">
        <f t="shared" si="354"/>
        <v>0.77558188409904982</v>
      </c>
      <c r="BG2039" s="117">
        <f>VLOOKUP($D2039,'WB Data'!$C$3:$M$578,5,FALSE)</f>
        <v>1267060000</v>
      </c>
      <c r="BH2039" s="129">
        <f>IFERROR($BB2039/$BG2039,"..")</f>
        <v>0.42127709658579704</v>
      </c>
      <c r="BI2039" s="117" t="str">
        <f>IFERROR(VLOOKUP($D2039,'WB Data'!$C$3:$M$578,7,FALSE)/100,"..")</f>
        <v>..</v>
      </c>
      <c r="BJ2039" s="117" t="str">
        <f>IFERROR($BI2039*$AW2039,"..")</f>
        <v>..</v>
      </c>
      <c r="BK2039" s="846" t="str">
        <f>IFERROR($BB2039/$BJ2039,"..")</f>
        <v>..</v>
      </c>
      <c r="BL2039" s="117" t="str">
        <f>IFERROR(VLOOKUP($D2039,'WB Data'!$C$3:$M$578,7,FALSE)/100,"..")</f>
        <v>..</v>
      </c>
      <c r="BM2039" s="117" t="str">
        <f>IFERROR($AW2039*$BL2039,"..")</f>
        <v>..</v>
      </c>
      <c r="BN2039" s="846" t="str">
        <f>IFERROR($BB2039/$BM2039,"..")</f>
        <v>..</v>
      </c>
      <c r="BO2039" s="801">
        <f t="shared" si="350"/>
        <v>38</v>
      </c>
      <c r="BP2039" s="117" t="str">
        <f>VLOOKUP($D2039,'WB Data'!$C$3:$M$578,9,FALSE)</f>
        <v>..</v>
      </c>
      <c r="BQ2039" s="117">
        <f>VLOOKUP($D2039,'WB Data'!$C$3:$M$578,10,FALSE)</f>
        <v>53.11336585365855</v>
      </c>
      <c r="BR2039" s="117">
        <f>VLOOKUP($D2039,'WB Data'!$C$3:$M$578,11,FALSE)</f>
        <v>64.8</v>
      </c>
      <c r="BS2039" s="129">
        <f>IFERROR(VLOOKUP($D2039,'WB Data 2'!$C$2:$K$545,9,FALSE),"..")</f>
        <v>92.220600000000005</v>
      </c>
      <c r="BT2039" s="129">
        <f>_xlfn.IFNA(VLOOKUP($C2039,RGI!$A$2:$C$43,2,FALSE),"..")</f>
        <v>41.2</v>
      </c>
      <c r="BU2039" s="129">
        <f>_xlfn.IFNA(VLOOKUP($C2039,RGI!$A$2:$C$43,3,FALSE),"..")</f>
        <v>60.803011070373614</v>
      </c>
      <c r="BV2039" s="129">
        <f>VLOOKUP($D2039,WGI!$C$2:$O$478,7,FALSE)</f>
        <v>-0.319576629576935</v>
      </c>
      <c r="BW2039" s="129">
        <f>VLOOKUP($D2039,WGI!$C$2:$O$478,4,FALSE)</f>
        <v>0.53465903763662503</v>
      </c>
      <c r="BX2039" s="129">
        <f>VLOOKUP($D2039,WGI!$C$2:$O$478,3,FALSE)</f>
        <v>-0.79114014249250797</v>
      </c>
      <c r="BY2039" s="129">
        <f>VLOOKUP($D2039,WGI!$C$2:$O$478,5,FALSE)</f>
        <v>-0.50244949982849896</v>
      </c>
      <c r="BZ2039" s="129">
        <f>VLOOKUP($D2039,WGI!$C$2:$O$478,2,FALSE)</f>
        <v>-0.51320912303131205</v>
      </c>
    </row>
    <row r="2040" spans="1:78" ht="15" customHeight="1">
      <c r="A2040" s="280" t="s">
        <v>543</v>
      </c>
      <c r="B2040" s="117">
        <v>2009</v>
      </c>
      <c r="C2040" s="117" t="s">
        <v>541</v>
      </c>
      <c r="D2040" s="117" t="s">
        <v>3650</v>
      </c>
      <c r="E2040" s="117" t="s">
        <v>86</v>
      </c>
      <c r="F2040" s="117"/>
      <c r="G2040" s="117" t="s">
        <v>24</v>
      </c>
      <c r="H2040" s="117" t="str">
        <f t="shared" si="357"/>
        <v>yes</v>
      </c>
      <c r="I2040" s="117" t="str">
        <f t="shared" si="346"/>
        <v>no</v>
      </c>
      <c r="J2040" s="117" t="str">
        <f t="shared" si="347"/>
        <v>no</v>
      </c>
      <c r="K2040" s="117" t="s">
        <v>1325</v>
      </c>
      <c r="L2040" s="117" t="str">
        <f t="shared" si="358"/>
        <v>detailed</v>
      </c>
      <c r="M2040" s="117" t="str">
        <f t="shared" si="348"/>
        <v>detailed Mining</v>
      </c>
      <c r="N2040" s="118">
        <v>334000</v>
      </c>
      <c r="O2040" s="118"/>
      <c r="P2040" s="118"/>
      <c r="Q2040" s="118"/>
      <c r="R2040" s="118"/>
      <c r="S2040" s="492" t="s">
        <v>610</v>
      </c>
      <c r="T2040" s="119"/>
      <c r="U2040" s="492"/>
      <c r="V2040" s="117" t="s">
        <v>684</v>
      </c>
      <c r="W2040" s="89"/>
      <c r="X2040" s="117"/>
      <c r="Y2040" s="117"/>
      <c r="Z2040" s="117"/>
      <c r="AA2040" s="117"/>
      <c r="AB2040" s="117"/>
      <c r="AC2040" s="240"/>
      <c r="AD2040" s="240"/>
      <c r="AE2040" s="240"/>
      <c r="AF2040" s="241"/>
      <c r="AG2040" s="117"/>
      <c r="AH2040" s="124"/>
      <c r="AI2040" s="117"/>
      <c r="AJ2040" s="117"/>
      <c r="AK2040" s="89"/>
      <c r="AL2040" s="117"/>
      <c r="AM2040" s="117"/>
      <c r="AN2040" s="117"/>
      <c r="AO2040" s="117"/>
      <c r="AP2040" s="117"/>
      <c r="AQ2040" s="117"/>
      <c r="AR2040" s="126"/>
      <c r="AS2040" s="117"/>
      <c r="AT2040" s="117"/>
      <c r="AU2040" s="117"/>
      <c r="AV2040" s="128"/>
      <c r="AW2040" s="117">
        <f>VLOOKUP($D2040,'WB Data'!$C$3:$M$578,2,FALSE)</f>
        <v>15328314220.185898</v>
      </c>
      <c r="AX2040" s="117">
        <f>VLOOKUP($D2040,'WB Data'!$C$3:$M$578,3,FALSE)</f>
        <v>12825031</v>
      </c>
      <c r="AY2040" s="847">
        <f t="shared" si="351"/>
        <v>3.4823356980577765E-2</v>
      </c>
      <c r="AZ2040" s="117">
        <f>VLOOKUP($D2040,'WB Data'!$C$3:$M$578,4,FALSE)/100</f>
        <v>0.13054265273784174</v>
      </c>
      <c r="BA2040" s="117">
        <f t="shared" si="352"/>
        <v>2000998800.3022492</v>
      </c>
      <c r="BB2040" s="129">
        <f>IFERROR(VLOOKUP($D2040,'EITI Revenues'!$C$2:$G$224,5,FALSE),"..")</f>
        <v>533783358</v>
      </c>
      <c r="BC2040" s="846">
        <f t="shared" si="353"/>
        <v>0.26675845978486967</v>
      </c>
      <c r="BD2040" s="129">
        <f>VLOOKUP($D2040,'WB Data 2'!$C$2:$K$545,6,FALSE)</f>
        <v>3536606856.5786214</v>
      </c>
      <c r="BE2040" s="129">
        <f>IFERROR(VLOOKUP($D2040,UNCTAD!$C$5:$V$529,4,FALSE),"..")</f>
        <v>4559940000</v>
      </c>
      <c r="BF2040" s="846">
        <f t="shared" si="354"/>
        <v>0.77558188409904982</v>
      </c>
      <c r="BG2040" s="117">
        <f>VLOOKUP($D2040,'WB Data'!$C$3:$M$578,5,FALSE)</f>
        <v>1267060000</v>
      </c>
      <c r="BH2040" s="129">
        <f>IFERROR($BB2040/$BG2040,"..")</f>
        <v>0.42127709658579704</v>
      </c>
      <c r="BI2040" s="117" t="str">
        <f>IFERROR(VLOOKUP($D2040,'WB Data'!$C$3:$M$578,7,FALSE)/100,"..")</f>
        <v>..</v>
      </c>
      <c r="BJ2040" s="117" t="str">
        <f>IFERROR($BI2040*$AW2040,"..")</f>
        <v>..</v>
      </c>
      <c r="BK2040" s="846" t="str">
        <f>IFERROR($BB2040/$BJ2040,"..")</f>
        <v>..</v>
      </c>
      <c r="BL2040" s="117" t="str">
        <f>IFERROR(VLOOKUP($D2040,'WB Data'!$C$3:$M$578,7,FALSE)/100,"..")</f>
        <v>..</v>
      </c>
      <c r="BM2040" s="117" t="str">
        <f>IFERROR($AW2040*$BL2040,"..")</f>
        <v>..</v>
      </c>
      <c r="BN2040" s="846" t="str">
        <f>IFERROR($BB2040/$BM2040,"..")</f>
        <v>..</v>
      </c>
      <c r="BO2040" s="801">
        <f t="shared" si="350"/>
        <v>38</v>
      </c>
      <c r="BP2040" s="117" t="str">
        <f>VLOOKUP($D2040,'WB Data'!$C$3:$M$578,9,FALSE)</f>
        <v>..</v>
      </c>
      <c r="BQ2040" s="117">
        <f>VLOOKUP($D2040,'WB Data'!$C$3:$M$578,10,FALSE)</f>
        <v>53.11336585365855</v>
      </c>
      <c r="BR2040" s="117">
        <f>VLOOKUP($D2040,'WB Data'!$C$3:$M$578,11,FALSE)</f>
        <v>64.8</v>
      </c>
      <c r="BS2040" s="129">
        <f>IFERROR(VLOOKUP($D2040,'WB Data 2'!$C$2:$K$545,9,FALSE),"..")</f>
        <v>92.220600000000005</v>
      </c>
      <c r="BT2040" s="129">
        <f>_xlfn.IFNA(VLOOKUP($C2040,RGI!$A$2:$C$43,2,FALSE),"..")</f>
        <v>41.2</v>
      </c>
      <c r="BU2040" s="129">
        <f>_xlfn.IFNA(VLOOKUP($C2040,RGI!$A$2:$C$43,3,FALSE),"..")</f>
        <v>60.803011070373614</v>
      </c>
      <c r="BV2040" s="129">
        <f>VLOOKUP($D2040,WGI!$C$2:$O$478,7,FALSE)</f>
        <v>-0.319576629576935</v>
      </c>
      <c r="BW2040" s="129">
        <f>VLOOKUP($D2040,WGI!$C$2:$O$478,4,FALSE)</f>
        <v>0.53465903763662503</v>
      </c>
      <c r="BX2040" s="129">
        <f>VLOOKUP($D2040,WGI!$C$2:$O$478,3,FALSE)</f>
        <v>-0.79114014249250797</v>
      </c>
      <c r="BY2040" s="129">
        <f>VLOOKUP($D2040,WGI!$C$2:$O$478,5,FALSE)</f>
        <v>-0.50244949982849896</v>
      </c>
      <c r="BZ2040" s="129">
        <f>VLOOKUP($D2040,WGI!$C$2:$O$478,2,FALSE)</f>
        <v>-0.51320912303131205</v>
      </c>
    </row>
    <row r="2041" spans="1:78" ht="15" customHeight="1">
      <c r="A2041" s="280" t="s">
        <v>543</v>
      </c>
      <c r="B2041" s="117">
        <v>2009</v>
      </c>
      <c r="C2041" s="117" t="s">
        <v>541</v>
      </c>
      <c r="D2041" s="117" t="s">
        <v>3650</v>
      </c>
      <c r="E2041" s="117" t="s">
        <v>86</v>
      </c>
      <c r="F2041" s="117"/>
      <c r="G2041" s="117" t="s">
        <v>24</v>
      </c>
      <c r="H2041" s="117" t="str">
        <f t="shared" si="357"/>
        <v>yes</v>
      </c>
      <c r="I2041" s="117" t="str">
        <f t="shared" si="346"/>
        <v>no</v>
      </c>
      <c r="J2041" s="117" t="str">
        <f t="shared" si="347"/>
        <v>no</v>
      </c>
      <c r="K2041" s="117" t="s">
        <v>1326</v>
      </c>
      <c r="L2041" s="117" t="str">
        <f t="shared" si="358"/>
        <v>detailed</v>
      </c>
      <c r="M2041" s="117" t="str">
        <f t="shared" si="348"/>
        <v>detailed Mining</v>
      </c>
      <c r="N2041" s="118">
        <v>414000</v>
      </c>
      <c r="O2041" s="118"/>
      <c r="P2041" s="118"/>
      <c r="Q2041" s="118"/>
      <c r="R2041" s="118"/>
      <c r="S2041" s="492" t="s">
        <v>610</v>
      </c>
      <c r="T2041" s="119"/>
      <c r="U2041" s="492"/>
      <c r="V2041" s="117" t="s">
        <v>684</v>
      </c>
      <c r="W2041" s="89"/>
      <c r="X2041" s="117"/>
      <c r="Y2041" s="117"/>
      <c r="Z2041" s="117"/>
      <c r="AA2041" s="117"/>
      <c r="AB2041" s="117"/>
      <c r="AC2041" s="240"/>
      <c r="AD2041" s="240"/>
      <c r="AE2041" s="240"/>
      <c r="AF2041" s="241"/>
      <c r="AG2041" s="117"/>
      <c r="AH2041" s="124"/>
      <c r="AI2041" s="117"/>
      <c r="AJ2041" s="117"/>
      <c r="AK2041" s="89"/>
      <c r="AL2041" s="117"/>
      <c r="AM2041" s="117"/>
      <c r="AN2041" s="117"/>
      <c r="AO2041" s="117"/>
      <c r="AP2041" s="117"/>
      <c r="AQ2041" s="117"/>
      <c r="AR2041" s="126"/>
      <c r="AS2041" s="117"/>
      <c r="AT2041" s="117"/>
      <c r="AU2041" s="117"/>
      <c r="AV2041" s="128"/>
      <c r="AW2041" s="117">
        <f>VLOOKUP($D2041,'WB Data'!$C$3:$M$578,2,FALSE)</f>
        <v>15328314220.185898</v>
      </c>
      <c r="AX2041" s="117">
        <f>VLOOKUP($D2041,'WB Data'!$C$3:$M$578,3,FALSE)</f>
        <v>12825031</v>
      </c>
      <c r="AY2041" s="847">
        <f t="shared" si="351"/>
        <v>3.4823356980577765E-2</v>
      </c>
      <c r="AZ2041" s="117">
        <f>VLOOKUP($D2041,'WB Data'!$C$3:$M$578,4,FALSE)/100</f>
        <v>0.13054265273784174</v>
      </c>
      <c r="BA2041" s="117">
        <f t="shared" si="352"/>
        <v>2000998800.3022492</v>
      </c>
      <c r="BB2041" s="129">
        <f>IFERROR(VLOOKUP($D2041,'EITI Revenues'!$C$2:$G$224,5,FALSE),"..")</f>
        <v>533783358</v>
      </c>
      <c r="BC2041" s="846">
        <f t="shared" si="353"/>
        <v>0.26675845978486967</v>
      </c>
      <c r="BD2041" s="129">
        <f>VLOOKUP($D2041,'WB Data 2'!$C$2:$K$545,6,FALSE)</f>
        <v>3536606856.5786214</v>
      </c>
      <c r="BE2041" s="129">
        <f>IFERROR(VLOOKUP($D2041,UNCTAD!$C$5:$V$529,4,FALSE),"..")</f>
        <v>4559940000</v>
      </c>
      <c r="BF2041" s="846">
        <f t="shared" si="354"/>
        <v>0.77558188409904982</v>
      </c>
      <c r="BG2041" s="117">
        <f>VLOOKUP($D2041,'WB Data'!$C$3:$M$578,5,FALSE)</f>
        <v>1267060000</v>
      </c>
      <c r="BH2041" s="129">
        <f>IFERROR($BB2041/$BG2041,"..")</f>
        <v>0.42127709658579704</v>
      </c>
      <c r="BI2041" s="117" t="str">
        <f>IFERROR(VLOOKUP($D2041,'WB Data'!$C$3:$M$578,7,FALSE)/100,"..")</f>
        <v>..</v>
      </c>
      <c r="BJ2041" s="117" t="str">
        <f>IFERROR($BI2041*$AW2041,"..")</f>
        <v>..</v>
      </c>
      <c r="BK2041" s="846" t="str">
        <f>IFERROR($BB2041/$BJ2041,"..")</f>
        <v>..</v>
      </c>
      <c r="BL2041" s="117" t="str">
        <f>IFERROR(VLOOKUP($D2041,'WB Data'!$C$3:$M$578,7,FALSE)/100,"..")</f>
        <v>..</v>
      </c>
      <c r="BM2041" s="117" t="str">
        <f>IFERROR($AW2041*$BL2041,"..")</f>
        <v>..</v>
      </c>
      <c r="BN2041" s="846" t="str">
        <f>IFERROR($BB2041/$BM2041,"..")</f>
        <v>..</v>
      </c>
      <c r="BO2041" s="801">
        <f t="shared" si="350"/>
        <v>38</v>
      </c>
      <c r="BP2041" s="117" t="str">
        <f>VLOOKUP($D2041,'WB Data'!$C$3:$M$578,9,FALSE)</f>
        <v>..</v>
      </c>
      <c r="BQ2041" s="117">
        <f>VLOOKUP($D2041,'WB Data'!$C$3:$M$578,10,FALSE)</f>
        <v>53.11336585365855</v>
      </c>
      <c r="BR2041" s="117">
        <f>VLOOKUP($D2041,'WB Data'!$C$3:$M$578,11,FALSE)</f>
        <v>64.8</v>
      </c>
      <c r="BS2041" s="129">
        <f>IFERROR(VLOOKUP($D2041,'WB Data 2'!$C$2:$K$545,9,FALSE),"..")</f>
        <v>92.220600000000005</v>
      </c>
      <c r="BT2041" s="129">
        <f>_xlfn.IFNA(VLOOKUP($C2041,RGI!$A$2:$C$43,2,FALSE),"..")</f>
        <v>41.2</v>
      </c>
      <c r="BU2041" s="129">
        <f>_xlfn.IFNA(VLOOKUP($C2041,RGI!$A$2:$C$43,3,FALSE),"..")</f>
        <v>60.803011070373614</v>
      </c>
      <c r="BV2041" s="129">
        <f>VLOOKUP($D2041,WGI!$C$2:$O$478,7,FALSE)</f>
        <v>-0.319576629576935</v>
      </c>
      <c r="BW2041" s="129">
        <f>VLOOKUP($D2041,WGI!$C$2:$O$478,4,FALSE)</f>
        <v>0.53465903763662503</v>
      </c>
      <c r="BX2041" s="129">
        <f>VLOOKUP($D2041,WGI!$C$2:$O$478,3,FALSE)</f>
        <v>-0.79114014249250797</v>
      </c>
      <c r="BY2041" s="129">
        <f>VLOOKUP($D2041,WGI!$C$2:$O$478,5,FALSE)</f>
        <v>-0.50244949982849896</v>
      </c>
      <c r="BZ2041" s="129">
        <f>VLOOKUP($D2041,WGI!$C$2:$O$478,2,FALSE)</f>
        <v>-0.51320912303131205</v>
      </c>
    </row>
    <row r="2042" spans="1:78" ht="15" customHeight="1">
      <c r="A2042" s="280" t="s">
        <v>543</v>
      </c>
      <c r="B2042" s="117">
        <v>2009</v>
      </c>
      <c r="C2042" s="117" t="s">
        <v>541</v>
      </c>
      <c r="D2042" s="117" t="s">
        <v>3650</v>
      </c>
      <c r="E2042" s="117" t="s">
        <v>86</v>
      </c>
      <c r="F2042" s="117"/>
      <c r="G2042" s="117" t="s">
        <v>24</v>
      </c>
      <c r="H2042" s="117" t="str">
        <f t="shared" si="357"/>
        <v>yes</v>
      </c>
      <c r="I2042" s="117" t="str">
        <f t="shared" si="346"/>
        <v>no</v>
      </c>
      <c r="J2042" s="117" t="str">
        <f t="shared" si="347"/>
        <v>no</v>
      </c>
      <c r="K2042" s="117" t="s">
        <v>2427</v>
      </c>
      <c r="L2042" s="117" t="str">
        <f t="shared" si="358"/>
        <v>detailed</v>
      </c>
      <c r="M2042" s="117" t="str">
        <f t="shared" si="348"/>
        <v>detailed Mining</v>
      </c>
      <c r="N2042" s="118">
        <v>11000000</v>
      </c>
      <c r="O2042" s="118"/>
      <c r="P2042" s="118">
        <v>196385185</v>
      </c>
      <c r="Q2042" s="118"/>
      <c r="R2042" s="118"/>
      <c r="S2042" s="89" t="s">
        <v>981</v>
      </c>
      <c r="T2042" s="617">
        <v>3200</v>
      </c>
      <c r="U2042" s="117" t="s">
        <v>982</v>
      </c>
      <c r="V2042" s="401" t="s">
        <v>2428</v>
      </c>
      <c r="W2042" s="298">
        <f>N2042*T2042</f>
        <v>35200000000</v>
      </c>
      <c r="X2042" s="117"/>
      <c r="Y2042" s="117"/>
      <c r="Z2042" s="117"/>
      <c r="AA2042" s="89"/>
      <c r="AB2042" s="89"/>
      <c r="AC2042" s="240"/>
      <c r="AD2042" s="240"/>
      <c r="AE2042" s="240"/>
      <c r="AF2042" s="241"/>
      <c r="AG2042" s="117"/>
      <c r="AH2042" s="124"/>
      <c r="AI2042" s="89"/>
      <c r="AJ2042" s="117"/>
      <c r="AK2042" s="89"/>
      <c r="AL2042" s="117"/>
      <c r="AM2042" s="117"/>
      <c r="AN2042" s="117"/>
      <c r="AO2042" s="117"/>
      <c r="AP2042" s="117"/>
      <c r="AQ2042" s="117"/>
      <c r="AR2042" s="126"/>
      <c r="AS2042" s="117"/>
      <c r="AT2042" s="117"/>
      <c r="AU2042" s="117"/>
      <c r="AV2042" s="128"/>
      <c r="AW2042" s="117">
        <f>VLOOKUP($D2042,'WB Data'!$C$3:$M$578,2,FALSE)</f>
        <v>15328314220.185898</v>
      </c>
      <c r="AX2042" s="117">
        <f>VLOOKUP($D2042,'WB Data'!$C$3:$M$578,3,FALSE)</f>
        <v>12825031</v>
      </c>
      <c r="AY2042" s="847">
        <f t="shared" si="351"/>
        <v>3.4823356980577765E-2</v>
      </c>
      <c r="AZ2042" s="117">
        <f>VLOOKUP($D2042,'WB Data'!$C$3:$M$578,4,FALSE)/100</f>
        <v>0.13054265273784174</v>
      </c>
      <c r="BA2042" s="117">
        <f t="shared" si="352"/>
        <v>2000998800.3022492</v>
      </c>
      <c r="BB2042" s="129">
        <f>IFERROR(VLOOKUP($D2042,'EITI Revenues'!$C$2:$G$224,5,FALSE),"..")</f>
        <v>533783358</v>
      </c>
      <c r="BC2042" s="846">
        <f t="shared" si="353"/>
        <v>0.26675845978486967</v>
      </c>
      <c r="BD2042" s="129">
        <f>VLOOKUP($D2042,'WB Data 2'!$C$2:$K$545,6,FALSE)</f>
        <v>3536606856.5786214</v>
      </c>
      <c r="BE2042" s="129">
        <f>IFERROR(VLOOKUP($D2042,UNCTAD!$C$5:$V$529,4,FALSE),"..")</f>
        <v>4559940000</v>
      </c>
      <c r="BF2042" s="846">
        <f t="shared" si="354"/>
        <v>0.77558188409904982</v>
      </c>
      <c r="BG2042" s="117">
        <f>VLOOKUP($D2042,'WB Data'!$C$3:$M$578,5,FALSE)</f>
        <v>1267060000</v>
      </c>
      <c r="BH2042" s="129">
        <f>IFERROR($BB2042/$BG2042,"..")</f>
        <v>0.42127709658579704</v>
      </c>
      <c r="BI2042" s="117" t="str">
        <f>IFERROR(VLOOKUP($D2042,'WB Data'!$C$3:$M$578,7,FALSE)/100,"..")</f>
        <v>..</v>
      </c>
      <c r="BJ2042" s="117" t="str">
        <f>IFERROR($BI2042*$AW2042,"..")</f>
        <v>..</v>
      </c>
      <c r="BK2042" s="846" t="str">
        <f>IFERROR($BB2042/$BJ2042,"..")</f>
        <v>..</v>
      </c>
      <c r="BL2042" s="117" t="str">
        <f>IFERROR(VLOOKUP($D2042,'WB Data'!$C$3:$M$578,7,FALSE)/100,"..")</f>
        <v>..</v>
      </c>
      <c r="BM2042" s="117" t="str">
        <f>IFERROR($AW2042*$BL2042,"..")</f>
        <v>..</v>
      </c>
      <c r="BN2042" s="846" t="str">
        <f>IFERROR($BB2042/$BM2042,"..")</f>
        <v>..</v>
      </c>
      <c r="BO2042" s="801">
        <f t="shared" si="350"/>
        <v>38</v>
      </c>
      <c r="BP2042" s="117" t="str">
        <f>VLOOKUP($D2042,'WB Data'!$C$3:$M$578,9,FALSE)</f>
        <v>..</v>
      </c>
      <c r="BQ2042" s="117">
        <f>VLOOKUP($D2042,'WB Data'!$C$3:$M$578,10,FALSE)</f>
        <v>53.11336585365855</v>
      </c>
      <c r="BR2042" s="117">
        <f>VLOOKUP($D2042,'WB Data'!$C$3:$M$578,11,FALSE)</f>
        <v>64.8</v>
      </c>
      <c r="BS2042" s="129">
        <f>IFERROR(VLOOKUP($D2042,'WB Data 2'!$C$2:$K$545,9,FALSE),"..")</f>
        <v>92.220600000000005</v>
      </c>
      <c r="BT2042" s="129">
        <f>_xlfn.IFNA(VLOOKUP($C2042,RGI!$A$2:$C$43,2,FALSE),"..")</f>
        <v>41.2</v>
      </c>
      <c r="BU2042" s="129">
        <f>_xlfn.IFNA(VLOOKUP($C2042,RGI!$A$2:$C$43,3,FALSE),"..")</f>
        <v>60.803011070373614</v>
      </c>
      <c r="BV2042" s="129">
        <f>VLOOKUP($D2042,WGI!$C$2:$O$478,7,FALSE)</f>
        <v>-0.319576629576935</v>
      </c>
      <c r="BW2042" s="129">
        <f>VLOOKUP($D2042,WGI!$C$2:$O$478,4,FALSE)</f>
        <v>0.53465903763662503</v>
      </c>
      <c r="BX2042" s="129">
        <f>VLOOKUP($D2042,WGI!$C$2:$O$478,3,FALSE)</f>
        <v>-0.79114014249250797</v>
      </c>
      <c r="BY2042" s="129">
        <f>VLOOKUP($D2042,WGI!$C$2:$O$478,5,FALSE)</f>
        <v>-0.50244949982849896</v>
      </c>
      <c r="BZ2042" s="129">
        <f>VLOOKUP($D2042,WGI!$C$2:$O$478,2,FALSE)</f>
        <v>-0.51320912303131205</v>
      </c>
    </row>
    <row r="2043" spans="1:78" ht="15" customHeight="1">
      <c r="A2043" s="280" t="s">
        <v>543</v>
      </c>
      <c r="B2043" s="117">
        <v>2009</v>
      </c>
      <c r="C2043" s="117" t="s">
        <v>541</v>
      </c>
      <c r="D2043" s="117" t="s">
        <v>3650</v>
      </c>
      <c r="E2043" s="117" t="s">
        <v>86</v>
      </c>
      <c r="F2043" s="117"/>
      <c r="G2043" s="117" t="s">
        <v>24</v>
      </c>
      <c r="H2043" s="117" t="str">
        <f t="shared" si="357"/>
        <v>yes</v>
      </c>
      <c r="I2043" s="117" t="str">
        <f t="shared" si="346"/>
        <v>no</v>
      </c>
      <c r="J2043" s="117" t="str">
        <f t="shared" si="347"/>
        <v>no</v>
      </c>
      <c r="K2043" s="117" t="s">
        <v>784</v>
      </c>
      <c r="L2043" s="117" t="str">
        <f t="shared" si="358"/>
        <v>detailed</v>
      </c>
      <c r="M2043" s="117" t="str">
        <f t="shared" si="348"/>
        <v>detailed Mining</v>
      </c>
      <c r="N2043" s="118">
        <f>3300*32.1507431265</f>
        <v>106097.45231744999</v>
      </c>
      <c r="O2043" s="118"/>
      <c r="P2043" s="118">
        <v>99936</v>
      </c>
      <c r="Q2043" s="118"/>
      <c r="R2043" s="118"/>
      <c r="S2043" s="117" t="s">
        <v>785</v>
      </c>
      <c r="T2043" s="119">
        <v>972.96591666666995</v>
      </c>
      <c r="U2043" s="117" t="s">
        <v>786</v>
      </c>
      <c r="V2043" s="117" t="s">
        <v>787</v>
      </c>
      <c r="W2043" s="89">
        <f>N2043*T2043</f>
        <v>103229204.95004603</v>
      </c>
      <c r="X2043" s="117"/>
      <c r="Y2043" s="117"/>
      <c r="Z2043" s="117"/>
      <c r="AA2043" s="89"/>
      <c r="AB2043" s="89"/>
      <c r="AC2043" s="240"/>
      <c r="AD2043" s="240"/>
      <c r="AE2043" s="240"/>
      <c r="AF2043" s="241"/>
      <c r="AG2043" s="117"/>
      <c r="AH2043" s="124"/>
      <c r="AI2043" s="117"/>
      <c r="AJ2043" s="117"/>
      <c r="AK2043" s="89"/>
      <c r="AL2043" s="117"/>
      <c r="AM2043" s="117"/>
      <c r="AN2043" s="117"/>
      <c r="AO2043" s="117"/>
      <c r="AP2043" s="117"/>
      <c r="AQ2043" s="117"/>
      <c r="AR2043" s="126"/>
      <c r="AS2043" s="117"/>
      <c r="AT2043" s="117"/>
      <c r="AU2043" s="117"/>
      <c r="AV2043" s="128"/>
      <c r="AW2043" s="117">
        <f>VLOOKUP($D2043,'WB Data'!$C$3:$M$578,2,FALSE)</f>
        <v>15328314220.185898</v>
      </c>
      <c r="AX2043" s="117">
        <f>VLOOKUP($D2043,'WB Data'!$C$3:$M$578,3,FALSE)</f>
        <v>12825031</v>
      </c>
      <c r="AY2043" s="847">
        <f t="shared" si="351"/>
        <v>3.4823356980577765E-2</v>
      </c>
      <c r="AZ2043" s="117">
        <f>VLOOKUP($D2043,'WB Data'!$C$3:$M$578,4,FALSE)/100</f>
        <v>0.13054265273784174</v>
      </c>
      <c r="BA2043" s="117">
        <f t="shared" si="352"/>
        <v>2000998800.3022492</v>
      </c>
      <c r="BB2043" s="129">
        <f>IFERROR(VLOOKUP($D2043,'EITI Revenues'!$C$2:$G$224,5,FALSE),"..")</f>
        <v>533783358</v>
      </c>
      <c r="BC2043" s="846">
        <f t="shared" si="353"/>
        <v>0.26675845978486967</v>
      </c>
      <c r="BD2043" s="129">
        <f>VLOOKUP($D2043,'WB Data 2'!$C$2:$K$545,6,FALSE)</f>
        <v>3536606856.5786214</v>
      </c>
      <c r="BE2043" s="129">
        <f>IFERROR(VLOOKUP($D2043,UNCTAD!$C$5:$V$529,4,FALSE),"..")</f>
        <v>4559940000</v>
      </c>
      <c r="BF2043" s="846">
        <f t="shared" si="354"/>
        <v>0.77558188409904982</v>
      </c>
      <c r="BG2043" s="117">
        <f>VLOOKUP($D2043,'WB Data'!$C$3:$M$578,5,FALSE)</f>
        <v>1267060000</v>
      </c>
      <c r="BH2043" s="129">
        <f>IFERROR($BB2043/$BG2043,"..")</f>
        <v>0.42127709658579704</v>
      </c>
      <c r="BI2043" s="117" t="str">
        <f>IFERROR(VLOOKUP($D2043,'WB Data'!$C$3:$M$578,7,FALSE)/100,"..")</f>
        <v>..</v>
      </c>
      <c r="BJ2043" s="117" t="str">
        <f>IFERROR($BI2043*$AW2043,"..")</f>
        <v>..</v>
      </c>
      <c r="BK2043" s="846" t="str">
        <f>IFERROR($BB2043/$BJ2043,"..")</f>
        <v>..</v>
      </c>
      <c r="BL2043" s="117" t="str">
        <f>IFERROR(VLOOKUP($D2043,'WB Data'!$C$3:$M$578,7,FALSE)/100,"..")</f>
        <v>..</v>
      </c>
      <c r="BM2043" s="117" t="str">
        <f>IFERROR($AW2043*$BL2043,"..")</f>
        <v>..</v>
      </c>
      <c r="BN2043" s="846" t="str">
        <f>IFERROR($BB2043/$BM2043,"..")</f>
        <v>..</v>
      </c>
      <c r="BO2043" s="801">
        <f t="shared" si="350"/>
        <v>38</v>
      </c>
      <c r="BP2043" s="117" t="str">
        <f>VLOOKUP($D2043,'WB Data'!$C$3:$M$578,9,FALSE)</f>
        <v>..</v>
      </c>
      <c r="BQ2043" s="117">
        <f>VLOOKUP($D2043,'WB Data'!$C$3:$M$578,10,FALSE)</f>
        <v>53.11336585365855</v>
      </c>
      <c r="BR2043" s="117">
        <f>VLOOKUP($D2043,'WB Data'!$C$3:$M$578,11,FALSE)</f>
        <v>64.8</v>
      </c>
      <c r="BS2043" s="129">
        <f>IFERROR(VLOOKUP($D2043,'WB Data 2'!$C$2:$K$545,9,FALSE),"..")</f>
        <v>92.220600000000005</v>
      </c>
      <c r="BT2043" s="129">
        <f>_xlfn.IFNA(VLOOKUP($C2043,RGI!$A$2:$C$43,2,FALSE),"..")</f>
        <v>41.2</v>
      </c>
      <c r="BU2043" s="129">
        <f>_xlfn.IFNA(VLOOKUP($C2043,RGI!$A$2:$C$43,3,FALSE),"..")</f>
        <v>60.803011070373614</v>
      </c>
      <c r="BV2043" s="129">
        <f>VLOOKUP($D2043,WGI!$C$2:$O$478,7,FALSE)</f>
        <v>-0.319576629576935</v>
      </c>
      <c r="BW2043" s="129">
        <f>VLOOKUP($D2043,WGI!$C$2:$O$478,4,FALSE)</f>
        <v>0.53465903763662503</v>
      </c>
      <c r="BX2043" s="129">
        <f>VLOOKUP($D2043,WGI!$C$2:$O$478,3,FALSE)</f>
        <v>-0.79114014249250797</v>
      </c>
      <c r="BY2043" s="129">
        <f>VLOOKUP($D2043,WGI!$C$2:$O$478,5,FALSE)</f>
        <v>-0.50244949982849896</v>
      </c>
      <c r="BZ2043" s="129">
        <f>VLOOKUP($D2043,WGI!$C$2:$O$478,2,FALSE)</f>
        <v>-0.51320912303131205</v>
      </c>
    </row>
    <row r="2044" spans="1:78" ht="15" customHeight="1">
      <c r="A2044" s="280" t="s">
        <v>543</v>
      </c>
      <c r="B2044" s="117">
        <v>2009</v>
      </c>
      <c r="C2044" s="117" t="s">
        <v>541</v>
      </c>
      <c r="D2044" s="117" t="s">
        <v>3650</v>
      </c>
      <c r="E2044" s="117" t="s">
        <v>86</v>
      </c>
      <c r="F2044" s="117"/>
      <c r="G2044" s="117" t="s">
        <v>24</v>
      </c>
      <c r="H2044" s="117" t="str">
        <f t="shared" si="357"/>
        <v>yes</v>
      </c>
      <c r="I2044" s="117" t="str">
        <f t="shared" si="346"/>
        <v>no</v>
      </c>
      <c r="J2044" s="117" t="str">
        <f t="shared" si="347"/>
        <v>no</v>
      </c>
      <c r="K2044" s="117" t="s">
        <v>703</v>
      </c>
      <c r="L2044" s="117" t="str">
        <f t="shared" si="358"/>
        <v>detailed</v>
      </c>
      <c r="M2044" s="117" t="str">
        <f t="shared" si="348"/>
        <v>detailed Mining</v>
      </c>
      <c r="N2044" s="118">
        <v>3070000</v>
      </c>
      <c r="O2044" s="118"/>
      <c r="P2044" s="118">
        <v>938947</v>
      </c>
      <c r="Q2044" s="118"/>
      <c r="R2044" s="118"/>
      <c r="S2044" s="117" t="s">
        <v>610</v>
      </c>
      <c r="T2044" s="119">
        <v>8.8699999999999992</v>
      </c>
      <c r="U2044" s="117" t="s">
        <v>611</v>
      </c>
      <c r="V2044" s="117" t="s">
        <v>1890</v>
      </c>
      <c r="W2044" s="89">
        <f>N2044*T2044</f>
        <v>27230899.999999996</v>
      </c>
      <c r="X2044" s="89"/>
      <c r="Y2044" s="89"/>
      <c r="Z2044" s="89"/>
      <c r="AA2044" s="89"/>
      <c r="AB2044" s="89"/>
      <c r="AC2044" s="240"/>
      <c r="AD2044" s="240"/>
      <c r="AE2044" s="240"/>
      <c r="AF2044" s="241"/>
      <c r="AG2044" s="89"/>
      <c r="AH2044" s="124"/>
      <c r="AI2044" s="117"/>
      <c r="AJ2044" s="117"/>
      <c r="AK2044" s="89"/>
      <c r="AL2044" s="117"/>
      <c r="AM2044" s="117"/>
      <c r="AN2044" s="117"/>
      <c r="AO2044" s="117"/>
      <c r="AP2044" s="117"/>
      <c r="AQ2044" s="117"/>
      <c r="AR2044" s="126"/>
      <c r="AS2044" s="117"/>
      <c r="AT2044" s="117"/>
      <c r="AU2044" s="117"/>
      <c r="AV2044" s="128"/>
      <c r="AW2044" s="117">
        <f>VLOOKUP($D2044,'WB Data'!$C$3:$M$578,2,FALSE)</f>
        <v>15328314220.185898</v>
      </c>
      <c r="AX2044" s="117">
        <f>VLOOKUP($D2044,'WB Data'!$C$3:$M$578,3,FALSE)</f>
        <v>12825031</v>
      </c>
      <c r="AY2044" s="847">
        <f t="shared" si="351"/>
        <v>3.4823356980577765E-2</v>
      </c>
      <c r="AZ2044" s="117">
        <f>VLOOKUP($D2044,'WB Data'!$C$3:$M$578,4,FALSE)/100</f>
        <v>0.13054265273784174</v>
      </c>
      <c r="BA2044" s="117">
        <f t="shared" si="352"/>
        <v>2000998800.3022492</v>
      </c>
      <c r="BB2044" s="129">
        <f>IFERROR(VLOOKUP($D2044,'EITI Revenues'!$C$2:$G$224,5,FALSE),"..")</f>
        <v>533783358</v>
      </c>
      <c r="BC2044" s="846">
        <f t="shared" si="353"/>
        <v>0.26675845978486967</v>
      </c>
      <c r="BD2044" s="129">
        <f>VLOOKUP($D2044,'WB Data 2'!$C$2:$K$545,6,FALSE)</f>
        <v>3536606856.5786214</v>
      </c>
      <c r="BE2044" s="129">
        <f>IFERROR(VLOOKUP($D2044,UNCTAD!$C$5:$V$529,4,FALSE),"..")</f>
        <v>4559940000</v>
      </c>
      <c r="BF2044" s="846">
        <f t="shared" si="354"/>
        <v>0.77558188409904982</v>
      </c>
      <c r="BG2044" s="117">
        <f>VLOOKUP($D2044,'WB Data'!$C$3:$M$578,5,FALSE)</f>
        <v>1267060000</v>
      </c>
      <c r="BH2044" s="129">
        <f>IFERROR($BB2044/$BG2044,"..")</f>
        <v>0.42127709658579704</v>
      </c>
      <c r="BI2044" s="117" t="str">
        <f>IFERROR(VLOOKUP($D2044,'WB Data'!$C$3:$M$578,7,FALSE)/100,"..")</f>
        <v>..</v>
      </c>
      <c r="BJ2044" s="117" t="str">
        <f>IFERROR($BI2044*$AW2044,"..")</f>
        <v>..</v>
      </c>
      <c r="BK2044" s="846" t="str">
        <f>IFERROR($BB2044/$BJ2044,"..")</f>
        <v>..</v>
      </c>
      <c r="BL2044" s="117" t="str">
        <f>IFERROR(VLOOKUP($D2044,'WB Data'!$C$3:$M$578,7,FALSE)/100,"..")</f>
        <v>..</v>
      </c>
      <c r="BM2044" s="117" t="str">
        <f>IFERROR($AW2044*$BL2044,"..")</f>
        <v>..</v>
      </c>
      <c r="BN2044" s="846" t="str">
        <f>IFERROR($BB2044/$BM2044,"..")</f>
        <v>..</v>
      </c>
      <c r="BO2044" s="801">
        <f t="shared" si="350"/>
        <v>38</v>
      </c>
      <c r="BP2044" s="117" t="str">
        <f>VLOOKUP($D2044,'WB Data'!$C$3:$M$578,9,FALSE)</f>
        <v>..</v>
      </c>
      <c r="BQ2044" s="117">
        <f>VLOOKUP($D2044,'WB Data'!$C$3:$M$578,10,FALSE)</f>
        <v>53.11336585365855</v>
      </c>
      <c r="BR2044" s="117">
        <f>VLOOKUP($D2044,'WB Data'!$C$3:$M$578,11,FALSE)</f>
        <v>64.8</v>
      </c>
      <c r="BS2044" s="129">
        <f>IFERROR(VLOOKUP($D2044,'WB Data 2'!$C$2:$K$545,9,FALSE),"..")</f>
        <v>92.220600000000005</v>
      </c>
      <c r="BT2044" s="129">
        <f>_xlfn.IFNA(VLOOKUP($C2044,RGI!$A$2:$C$43,2,FALSE),"..")</f>
        <v>41.2</v>
      </c>
      <c r="BU2044" s="129">
        <f>_xlfn.IFNA(VLOOKUP($C2044,RGI!$A$2:$C$43,3,FALSE),"..")</f>
        <v>60.803011070373614</v>
      </c>
      <c r="BV2044" s="129">
        <f>VLOOKUP($D2044,WGI!$C$2:$O$478,7,FALSE)</f>
        <v>-0.319576629576935</v>
      </c>
      <c r="BW2044" s="129">
        <f>VLOOKUP($D2044,WGI!$C$2:$O$478,4,FALSE)</f>
        <v>0.53465903763662503</v>
      </c>
      <c r="BX2044" s="129">
        <f>VLOOKUP($D2044,WGI!$C$2:$O$478,3,FALSE)</f>
        <v>-0.79114014249250797</v>
      </c>
      <c r="BY2044" s="129">
        <f>VLOOKUP($D2044,WGI!$C$2:$O$478,5,FALSE)</f>
        <v>-0.50244949982849896</v>
      </c>
      <c r="BZ2044" s="129">
        <f>VLOOKUP($D2044,WGI!$C$2:$O$478,2,FALSE)</f>
        <v>-0.51320912303131205</v>
      </c>
    </row>
    <row r="2045" spans="1:78" ht="15" customHeight="1">
      <c r="A2045" s="280" t="s">
        <v>543</v>
      </c>
      <c r="B2045" s="117">
        <v>2009</v>
      </c>
      <c r="C2045" s="117" t="s">
        <v>541</v>
      </c>
      <c r="D2045" s="117" t="s">
        <v>3650</v>
      </c>
      <c r="E2045" s="117" t="s">
        <v>86</v>
      </c>
      <c r="F2045" s="117"/>
      <c r="G2045" s="117" t="s">
        <v>24</v>
      </c>
      <c r="H2045" s="117" t="str">
        <f t="shared" si="357"/>
        <v>yes</v>
      </c>
      <c r="I2045" s="117" t="str">
        <f t="shared" si="346"/>
        <v>no</v>
      </c>
      <c r="J2045" s="117" t="str">
        <f t="shared" si="347"/>
        <v>no</v>
      </c>
      <c r="K2045" s="117" t="s">
        <v>2429</v>
      </c>
      <c r="L2045" s="117" t="str">
        <f t="shared" si="358"/>
        <v>detailed</v>
      </c>
      <c r="M2045" s="117" t="str">
        <f t="shared" si="348"/>
        <v>detailed Mining</v>
      </c>
      <c r="N2045" s="118"/>
      <c r="O2045" s="118"/>
      <c r="P2045" s="118">
        <v>16611</v>
      </c>
      <c r="Q2045" s="118"/>
      <c r="R2045" s="118"/>
      <c r="S2045" s="117"/>
      <c r="T2045" s="119">
        <v>7.95</v>
      </c>
      <c r="U2045" s="117" t="s">
        <v>611</v>
      </c>
      <c r="V2045" s="117" t="s">
        <v>844</v>
      </c>
      <c r="W2045" s="89">
        <f>N2047*T2045</f>
        <v>103350</v>
      </c>
      <c r="X2045" s="89"/>
      <c r="Y2045" s="89"/>
      <c r="Z2045" s="89"/>
      <c r="AA2045" s="89"/>
      <c r="AB2045" s="89"/>
      <c r="AC2045" s="240"/>
      <c r="AD2045" s="240"/>
      <c r="AE2045" s="240"/>
      <c r="AF2045" s="241"/>
      <c r="AG2045" s="89"/>
      <c r="AH2045" s="124"/>
      <c r="AI2045" s="117"/>
      <c r="AJ2045" s="117"/>
      <c r="AK2045" s="89"/>
      <c r="AL2045" s="117"/>
      <c r="AM2045" s="117"/>
      <c r="AN2045" s="117"/>
      <c r="AO2045" s="117"/>
      <c r="AP2045" s="117"/>
      <c r="AQ2045" s="117"/>
      <c r="AR2045" s="126"/>
      <c r="AS2045" s="117"/>
      <c r="AT2045" s="117"/>
      <c r="AU2045" s="117"/>
      <c r="AV2045" s="128"/>
      <c r="AW2045" s="117">
        <f>VLOOKUP($D2045,'WB Data'!$C$3:$M$578,2,FALSE)</f>
        <v>15328314220.185898</v>
      </c>
      <c r="AX2045" s="117">
        <f>VLOOKUP($D2045,'WB Data'!$C$3:$M$578,3,FALSE)</f>
        <v>12825031</v>
      </c>
      <c r="AY2045" s="847">
        <f t="shared" si="351"/>
        <v>3.4823356980577765E-2</v>
      </c>
      <c r="AZ2045" s="117">
        <f>VLOOKUP($D2045,'WB Data'!$C$3:$M$578,4,FALSE)/100</f>
        <v>0.13054265273784174</v>
      </c>
      <c r="BA2045" s="117">
        <f t="shared" si="352"/>
        <v>2000998800.3022492</v>
      </c>
      <c r="BB2045" s="129">
        <f>IFERROR(VLOOKUP($D2045,'EITI Revenues'!$C$2:$G$224,5,FALSE),"..")</f>
        <v>533783358</v>
      </c>
      <c r="BC2045" s="846">
        <f t="shared" si="353"/>
        <v>0.26675845978486967</v>
      </c>
      <c r="BD2045" s="129">
        <f>VLOOKUP($D2045,'WB Data 2'!$C$2:$K$545,6,FALSE)</f>
        <v>3536606856.5786214</v>
      </c>
      <c r="BE2045" s="129">
        <f>IFERROR(VLOOKUP($D2045,UNCTAD!$C$5:$V$529,4,FALSE),"..")</f>
        <v>4559940000</v>
      </c>
      <c r="BF2045" s="846">
        <f t="shared" si="354"/>
        <v>0.77558188409904982</v>
      </c>
      <c r="BG2045" s="117">
        <f>VLOOKUP($D2045,'WB Data'!$C$3:$M$578,5,FALSE)</f>
        <v>1267060000</v>
      </c>
      <c r="BH2045" s="129">
        <f>IFERROR($BB2045/$BG2045,"..")</f>
        <v>0.42127709658579704</v>
      </c>
      <c r="BI2045" s="117" t="str">
        <f>IFERROR(VLOOKUP($D2045,'WB Data'!$C$3:$M$578,7,FALSE)/100,"..")</f>
        <v>..</v>
      </c>
      <c r="BJ2045" s="117" t="str">
        <f>IFERROR($BI2045*$AW2045,"..")</f>
        <v>..</v>
      </c>
      <c r="BK2045" s="846" t="str">
        <f>IFERROR($BB2045/$BJ2045,"..")</f>
        <v>..</v>
      </c>
      <c r="BL2045" s="117" t="str">
        <f>IFERROR(VLOOKUP($D2045,'WB Data'!$C$3:$M$578,7,FALSE)/100,"..")</f>
        <v>..</v>
      </c>
      <c r="BM2045" s="117" t="str">
        <f>IFERROR($AW2045*$BL2045,"..")</f>
        <v>..</v>
      </c>
      <c r="BN2045" s="846" t="str">
        <f>IFERROR($BB2045/$BM2045,"..")</f>
        <v>..</v>
      </c>
      <c r="BO2045" s="801">
        <f t="shared" si="350"/>
        <v>38</v>
      </c>
      <c r="BP2045" s="117" t="str">
        <f>VLOOKUP($D2045,'WB Data'!$C$3:$M$578,9,FALSE)</f>
        <v>..</v>
      </c>
      <c r="BQ2045" s="117">
        <f>VLOOKUP($D2045,'WB Data'!$C$3:$M$578,10,FALSE)</f>
        <v>53.11336585365855</v>
      </c>
      <c r="BR2045" s="117">
        <f>VLOOKUP($D2045,'WB Data'!$C$3:$M$578,11,FALSE)</f>
        <v>64.8</v>
      </c>
      <c r="BS2045" s="129">
        <f>IFERROR(VLOOKUP($D2045,'WB Data 2'!$C$2:$K$545,9,FALSE),"..")</f>
        <v>92.220600000000005</v>
      </c>
      <c r="BT2045" s="129">
        <f>_xlfn.IFNA(VLOOKUP($C2045,RGI!$A$2:$C$43,2,FALSE),"..")</f>
        <v>41.2</v>
      </c>
      <c r="BU2045" s="129">
        <f>_xlfn.IFNA(VLOOKUP($C2045,RGI!$A$2:$C$43,3,FALSE),"..")</f>
        <v>60.803011070373614</v>
      </c>
      <c r="BV2045" s="129">
        <f>VLOOKUP($D2045,WGI!$C$2:$O$478,7,FALSE)</f>
        <v>-0.319576629576935</v>
      </c>
      <c r="BW2045" s="129">
        <f>VLOOKUP($D2045,WGI!$C$2:$O$478,4,FALSE)</f>
        <v>0.53465903763662503</v>
      </c>
      <c r="BX2045" s="129">
        <f>VLOOKUP($D2045,WGI!$C$2:$O$478,3,FALSE)</f>
        <v>-0.79114014249250797</v>
      </c>
      <c r="BY2045" s="129">
        <f>VLOOKUP($D2045,WGI!$C$2:$O$478,5,FALSE)</f>
        <v>-0.50244949982849896</v>
      </c>
      <c r="BZ2045" s="129">
        <f>VLOOKUP($D2045,WGI!$C$2:$O$478,2,FALSE)</f>
        <v>-0.51320912303131205</v>
      </c>
    </row>
    <row r="2046" spans="1:78" ht="15" customHeight="1">
      <c r="A2046" s="280" t="s">
        <v>543</v>
      </c>
      <c r="B2046" s="117">
        <v>2009</v>
      </c>
      <c r="C2046" s="117" t="s">
        <v>541</v>
      </c>
      <c r="D2046" s="117" t="s">
        <v>3650</v>
      </c>
      <c r="E2046" s="117" t="s">
        <v>86</v>
      </c>
      <c r="F2046" s="117"/>
      <c r="G2046" s="117" t="s">
        <v>24</v>
      </c>
      <c r="H2046" s="117" t="str">
        <f t="shared" si="357"/>
        <v>yes</v>
      </c>
      <c r="I2046" s="117" t="str">
        <f t="shared" si="346"/>
        <v>no</v>
      </c>
      <c r="J2046" s="117" t="str">
        <f t="shared" si="347"/>
        <v>no</v>
      </c>
      <c r="K2046" s="117" t="s">
        <v>1066</v>
      </c>
      <c r="L2046" s="117" t="str">
        <f t="shared" si="358"/>
        <v>detailed</v>
      </c>
      <c r="M2046" s="117" t="str">
        <f t="shared" si="348"/>
        <v>detailed Mining</v>
      </c>
      <c r="N2046" s="118">
        <v>40000</v>
      </c>
      <c r="O2046" s="118"/>
      <c r="P2046" s="118"/>
      <c r="Q2046" s="118"/>
      <c r="R2046" s="118"/>
      <c r="S2046" s="117" t="s">
        <v>610</v>
      </c>
      <c r="T2046" s="119"/>
      <c r="U2046" s="117"/>
      <c r="V2046" s="117" t="s">
        <v>684</v>
      </c>
      <c r="W2046" s="89"/>
      <c r="X2046" s="89"/>
      <c r="Y2046" s="89"/>
      <c r="Z2046" s="89"/>
      <c r="AA2046" s="89"/>
      <c r="AB2046" s="89"/>
      <c r="AC2046" s="240"/>
      <c r="AD2046" s="240"/>
      <c r="AE2046" s="240"/>
      <c r="AF2046" s="241"/>
      <c r="AG2046" s="89"/>
      <c r="AH2046" s="124"/>
      <c r="AI2046" s="117"/>
      <c r="AJ2046" s="117"/>
      <c r="AK2046" s="89"/>
      <c r="AL2046" s="117"/>
      <c r="AM2046" s="117"/>
      <c r="AN2046" s="117"/>
      <c r="AO2046" s="117"/>
      <c r="AP2046" s="117"/>
      <c r="AQ2046" s="117"/>
      <c r="AR2046" s="126"/>
      <c r="AS2046" s="117"/>
      <c r="AT2046" s="117"/>
      <c r="AU2046" s="117"/>
      <c r="AV2046" s="128"/>
      <c r="AW2046" s="117">
        <f>VLOOKUP($D2046,'WB Data'!$C$3:$M$578,2,FALSE)</f>
        <v>15328314220.185898</v>
      </c>
      <c r="AX2046" s="117">
        <f>VLOOKUP($D2046,'WB Data'!$C$3:$M$578,3,FALSE)</f>
        <v>12825031</v>
      </c>
      <c r="AY2046" s="847">
        <f t="shared" si="351"/>
        <v>3.4823356980577765E-2</v>
      </c>
      <c r="AZ2046" s="117">
        <f>VLOOKUP($D2046,'WB Data'!$C$3:$M$578,4,FALSE)/100</f>
        <v>0.13054265273784174</v>
      </c>
      <c r="BA2046" s="117">
        <f t="shared" si="352"/>
        <v>2000998800.3022492</v>
      </c>
      <c r="BB2046" s="129">
        <f>IFERROR(VLOOKUP($D2046,'EITI Revenues'!$C$2:$G$224,5,FALSE),"..")</f>
        <v>533783358</v>
      </c>
      <c r="BC2046" s="846">
        <f t="shared" si="353"/>
        <v>0.26675845978486967</v>
      </c>
      <c r="BD2046" s="129">
        <f>VLOOKUP($D2046,'WB Data 2'!$C$2:$K$545,6,FALSE)</f>
        <v>3536606856.5786214</v>
      </c>
      <c r="BE2046" s="129">
        <f>IFERROR(VLOOKUP($D2046,UNCTAD!$C$5:$V$529,4,FALSE),"..")</f>
        <v>4559940000</v>
      </c>
      <c r="BF2046" s="846">
        <f t="shared" si="354"/>
        <v>0.77558188409904982</v>
      </c>
      <c r="BG2046" s="117">
        <f>VLOOKUP($D2046,'WB Data'!$C$3:$M$578,5,FALSE)</f>
        <v>1267060000</v>
      </c>
      <c r="BH2046" s="129">
        <f>IFERROR($BB2046/$BG2046,"..")</f>
        <v>0.42127709658579704</v>
      </c>
      <c r="BI2046" s="117" t="str">
        <f>IFERROR(VLOOKUP($D2046,'WB Data'!$C$3:$M$578,7,FALSE)/100,"..")</f>
        <v>..</v>
      </c>
      <c r="BJ2046" s="117" t="str">
        <f>IFERROR($BI2046*$AW2046,"..")</f>
        <v>..</v>
      </c>
      <c r="BK2046" s="846" t="str">
        <f>IFERROR($BB2046/$BJ2046,"..")</f>
        <v>..</v>
      </c>
      <c r="BL2046" s="117" t="str">
        <f>IFERROR(VLOOKUP($D2046,'WB Data'!$C$3:$M$578,7,FALSE)/100,"..")</f>
        <v>..</v>
      </c>
      <c r="BM2046" s="117" t="str">
        <f>IFERROR($AW2046*$BL2046,"..")</f>
        <v>..</v>
      </c>
      <c r="BN2046" s="846" t="str">
        <f>IFERROR($BB2046/$BM2046,"..")</f>
        <v>..</v>
      </c>
      <c r="BO2046" s="801">
        <f t="shared" si="350"/>
        <v>38</v>
      </c>
      <c r="BP2046" s="117" t="str">
        <f>VLOOKUP($D2046,'WB Data'!$C$3:$M$578,9,FALSE)</f>
        <v>..</v>
      </c>
      <c r="BQ2046" s="117">
        <f>VLOOKUP($D2046,'WB Data'!$C$3:$M$578,10,FALSE)</f>
        <v>53.11336585365855</v>
      </c>
      <c r="BR2046" s="117">
        <f>VLOOKUP($D2046,'WB Data'!$C$3:$M$578,11,FALSE)</f>
        <v>64.8</v>
      </c>
      <c r="BS2046" s="129">
        <f>IFERROR(VLOOKUP($D2046,'WB Data 2'!$C$2:$K$545,9,FALSE),"..")</f>
        <v>92.220600000000005</v>
      </c>
      <c r="BT2046" s="129">
        <f>_xlfn.IFNA(VLOOKUP($C2046,RGI!$A$2:$C$43,2,FALSE),"..")</f>
        <v>41.2</v>
      </c>
      <c r="BU2046" s="129">
        <f>_xlfn.IFNA(VLOOKUP($C2046,RGI!$A$2:$C$43,3,FALSE),"..")</f>
        <v>60.803011070373614</v>
      </c>
      <c r="BV2046" s="129">
        <f>VLOOKUP($D2046,WGI!$C$2:$O$478,7,FALSE)</f>
        <v>-0.319576629576935</v>
      </c>
      <c r="BW2046" s="129">
        <f>VLOOKUP($D2046,WGI!$C$2:$O$478,4,FALSE)</f>
        <v>0.53465903763662503</v>
      </c>
      <c r="BX2046" s="129">
        <f>VLOOKUP($D2046,WGI!$C$2:$O$478,3,FALSE)</f>
        <v>-0.79114014249250797</v>
      </c>
      <c r="BY2046" s="129">
        <f>VLOOKUP($D2046,WGI!$C$2:$O$478,5,FALSE)</f>
        <v>-0.50244949982849896</v>
      </c>
      <c r="BZ2046" s="129">
        <f>VLOOKUP($D2046,WGI!$C$2:$O$478,2,FALSE)</f>
        <v>-0.51320912303131205</v>
      </c>
    </row>
    <row r="2047" spans="1:78" ht="15" customHeight="1">
      <c r="A2047" s="280" t="s">
        <v>543</v>
      </c>
      <c r="B2047" s="117">
        <v>2009</v>
      </c>
      <c r="C2047" s="117" t="s">
        <v>541</v>
      </c>
      <c r="D2047" s="117" t="s">
        <v>3650</v>
      </c>
      <c r="E2047" s="117" t="s">
        <v>86</v>
      </c>
      <c r="F2047" s="117"/>
      <c r="G2047" s="117" t="s">
        <v>24</v>
      </c>
      <c r="H2047" s="117" t="str">
        <f t="shared" si="357"/>
        <v>yes</v>
      </c>
      <c r="I2047" s="117" t="str">
        <f t="shared" si="346"/>
        <v>no</v>
      </c>
      <c r="J2047" s="117" t="str">
        <f t="shared" si="347"/>
        <v>no</v>
      </c>
      <c r="K2047" s="117" t="s">
        <v>1432</v>
      </c>
      <c r="L2047" s="117" t="str">
        <f t="shared" si="358"/>
        <v>detailed</v>
      </c>
      <c r="M2047" s="117" t="str">
        <f t="shared" si="348"/>
        <v>detailed Mining</v>
      </c>
      <c r="N2047" s="118">
        <v>13000</v>
      </c>
      <c r="O2047" s="118"/>
      <c r="P2047" s="118"/>
      <c r="Q2047" s="118"/>
      <c r="R2047" s="118"/>
      <c r="S2047" s="117" t="s">
        <v>610</v>
      </c>
      <c r="T2047" s="119"/>
      <c r="U2047" s="117"/>
      <c r="V2047" s="117" t="s">
        <v>684</v>
      </c>
      <c r="W2047" s="89"/>
      <c r="X2047" s="89"/>
      <c r="Y2047" s="89"/>
      <c r="Z2047" s="89"/>
      <c r="AA2047" s="89"/>
      <c r="AB2047" s="89"/>
      <c r="AC2047" s="240"/>
      <c r="AD2047" s="240"/>
      <c r="AE2047" s="240"/>
      <c r="AF2047" s="241"/>
      <c r="AG2047" s="89"/>
      <c r="AH2047" s="124"/>
      <c r="AI2047" s="117"/>
      <c r="AJ2047" s="117"/>
      <c r="AK2047" s="89"/>
      <c r="AL2047" s="117"/>
      <c r="AM2047" s="117"/>
      <c r="AN2047" s="117"/>
      <c r="AO2047" s="117"/>
      <c r="AP2047" s="117"/>
      <c r="AQ2047" s="117"/>
      <c r="AR2047" s="126"/>
      <c r="AS2047" s="117"/>
      <c r="AT2047" s="117"/>
      <c r="AU2047" s="117"/>
      <c r="AV2047" s="128"/>
      <c r="AW2047" s="117">
        <f>VLOOKUP($D2047,'WB Data'!$C$3:$M$578,2,FALSE)</f>
        <v>15328314220.185898</v>
      </c>
      <c r="AX2047" s="117">
        <f>VLOOKUP($D2047,'WB Data'!$C$3:$M$578,3,FALSE)</f>
        <v>12825031</v>
      </c>
      <c r="AY2047" s="847">
        <f t="shared" si="351"/>
        <v>3.4823356980577765E-2</v>
      </c>
      <c r="AZ2047" s="117">
        <f>VLOOKUP($D2047,'WB Data'!$C$3:$M$578,4,FALSE)/100</f>
        <v>0.13054265273784174</v>
      </c>
      <c r="BA2047" s="117">
        <f t="shared" si="352"/>
        <v>2000998800.3022492</v>
      </c>
      <c r="BB2047" s="129">
        <f>IFERROR(VLOOKUP($D2047,'EITI Revenues'!$C$2:$G$224,5,FALSE),"..")</f>
        <v>533783358</v>
      </c>
      <c r="BC2047" s="846">
        <f t="shared" si="353"/>
        <v>0.26675845978486967</v>
      </c>
      <c r="BD2047" s="129">
        <f>VLOOKUP($D2047,'WB Data 2'!$C$2:$K$545,6,FALSE)</f>
        <v>3536606856.5786214</v>
      </c>
      <c r="BE2047" s="129">
        <f>IFERROR(VLOOKUP($D2047,UNCTAD!$C$5:$V$529,4,FALSE),"..")</f>
        <v>4559940000</v>
      </c>
      <c r="BF2047" s="846">
        <f t="shared" si="354"/>
        <v>0.77558188409904982</v>
      </c>
      <c r="BG2047" s="117">
        <f>VLOOKUP($D2047,'WB Data'!$C$3:$M$578,5,FALSE)</f>
        <v>1267060000</v>
      </c>
      <c r="BH2047" s="129">
        <f>IFERROR($BB2047/$BG2047,"..")</f>
        <v>0.42127709658579704</v>
      </c>
      <c r="BI2047" s="117" t="str">
        <f>IFERROR(VLOOKUP($D2047,'WB Data'!$C$3:$M$578,7,FALSE)/100,"..")</f>
        <v>..</v>
      </c>
      <c r="BJ2047" s="117" t="str">
        <f>IFERROR($BI2047*$AW2047,"..")</f>
        <v>..</v>
      </c>
      <c r="BK2047" s="846" t="str">
        <f>IFERROR($BB2047/$BJ2047,"..")</f>
        <v>..</v>
      </c>
      <c r="BL2047" s="117" t="str">
        <f>IFERROR(VLOOKUP($D2047,'WB Data'!$C$3:$M$578,7,FALSE)/100,"..")</f>
        <v>..</v>
      </c>
      <c r="BM2047" s="117" t="str">
        <f>IFERROR($AW2047*$BL2047,"..")</f>
        <v>..</v>
      </c>
      <c r="BN2047" s="846" t="str">
        <f>IFERROR($BB2047/$BM2047,"..")</f>
        <v>..</v>
      </c>
      <c r="BO2047" s="801">
        <f t="shared" si="350"/>
        <v>38</v>
      </c>
      <c r="BP2047" s="117" t="str">
        <f>VLOOKUP($D2047,'WB Data'!$C$3:$M$578,9,FALSE)</f>
        <v>..</v>
      </c>
      <c r="BQ2047" s="117">
        <f>VLOOKUP($D2047,'WB Data'!$C$3:$M$578,10,FALSE)</f>
        <v>53.11336585365855</v>
      </c>
      <c r="BR2047" s="117">
        <f>VLOOKUP($D2047,'WB Data'!$C$3:$M$578,11,FALSE)</f>
        <v>64.8</v>
      </c>
      <c r="BS2047" s="129">
        <f>IFERROR(VLOOKUP($D2047,'WB Data 2'!$C$2:$K$545,9,FALSE),"..")</f>
        <v>92.220600000000005</v>
      </c>
      <c r="BT2047" s="129">
        <f>_xlfn.IFNA(VLOOKUP($C2047,RGI!$A$2:$C$43,2,FALSE),"..")</f>
        <v>41.2</v>
      </c>
      <c r="BU2047" s="129">
        <f>_xlfn.IFNA(VLOOKUP($C2047,RGI!$A$2:$C$43,3,FALSE),"..")</f>
        <v>60.803011070373614</v>
      </c>
      <c r="BV2047" s="129">
        <f>VLOOKUP($D2047,WGI!$C$2:$O$478,7,FALSE)</f>
        <v>-0.319576629576935</v>
      </c>
      <c r="BW2047" s="129">
        <f>VLOOKUP($D2047,WGI!$C$2:$O$478,4,FALSE)</f>
        <v>0.53465903763662503</v>
      </c>
      <c r="BX2047" s="129">
        <f>VLOOKUP($D2047,WGI!$C$2:$O$478,3,FALSE)</f>
        <v>-0.79114014249250797</v>
      </c>
      <c r="BY2047" s="129">
        <f>VLOOKUP($D2047,WGI!$C$2:$O$478,5,FALSE)</f>
        <v>-0.50244949982849896</v>
      </c>
      <c r="BZ2047" s="129">
        <f>VLOOKUP($D2047,WGI!$C$2:$O$478,2,FALSE)</f>
        <v>-0.51320912303131205</v>
      </c>
    </row>
    <row r="2048" spans="1:78" ht="15" customHeight="1">
      <c r="A2048" s="280" t="s">
        <v>543</v>
      </c>
      <c r="B2048" s="117">
        <v>2009</v>
      </c>
      <c r="C2048" s="117" t="s">
        <v>541</v>
      </c>
      <c r="D2048" s="117" t="s">
        <v>3650</v>
      </c>
      <c r="E2048" s="117" t="s">
        <v>86</v>
      </c>
      <c r="F2048" s="117"/>
      <c r="G2048" s="117" t="s">
        <v>24</v>
      </c>
      <c r="H2048" s="117" t="str">
        <f t="shared" si="357"/>
        <v>yes</v>
      </c>
      <c r="I2048" s="117" t="str">
        <f t="shared" si="346"/>
        <v>no</v>
      </c>
      <c r="J2048" s="117" t="str">
        <f t="shared" si="347"/>
        <v>no</v>
      </c>
      <c r="K2048" s="117" t="s">
        <v>2417</v>
      </c>
      <c r="L2048" s="117" t="str">
        <f t="shared" si="358"/>
        <v>detailed</v>
      </c>
      <c r="M2048" s="117" t="str">
        <f t="shared" si="348"/>
        <v>detailed Mining</v>
      </c>
      <c r="N2048" s="118">
        <v>280</v>
      </c>
      <c r="O2048" s="118"/>
      <c r="P2048" s="118">
        <v>116</v>
      </c>
      <c r="Q2048" s="118"/>
      <c r="R2048" s="118"/>
      <c r="S2048" s="117" t="s">
        <v>610</v>
      </c>
      <c r="T2048" s="186">
        <v>14654.629499999999</v>
      </c>
      <c r="U2048" s="117" t="s">
        <v>611</v>
      </c>
      <c r="V2048" s="117" t="s">
        <v>1680</v>
      </c>
      <c r="W2048" s="89">
        <f>N2048*T2048</f>
        <v>4103296.26</v>
      </c>
      <c r="X2048" s="117"/>
      <c r="Y2048" s="89"/>
      <c r="Z2048" s="89"/>
      <c r="AA2048" s="89"/>
      <c r="AB2048" s="89"/>
      <c r="AC2048" s="240"/>
      <c r="AD2048" s="240"/>
      <c r="AE2048" s="240"/>
      <c r="AF2048" s="241"/>
      <c r="AG2048" s="89"/>
      <c r="AH2048" s="124"/>
      <c r="AI2048" s="117"/>
      <c r="AJ2048" s="117"/>
      <c r="AK2048" s="89"/>
      <c r="AL2048" s="117"/>
      <c r="AM2048" s="117"/>
      <c r="AN2048" s="117"/>
      <c r="AO2048" s="117"/>
      <c r="AP2048" s="117"/>
      <c r="AQ2048" s="117"/>
      <c r="AR2048" s="126"/>
      <c r="AS2048" s="117"/>
      <c r="AT2048" s="117"/>
      <c r="AU2048" s="117"/>
      <c r="AV2048" s="128"/>
      <c r="AW2048" s="117">
        <f>VLOOKUP($D2048,'WB Data'!$C$3:$M$578,2,FALSE)</f>
        <v>15328314220.185898</v>
      </c>
      <c r="AX2048" s="117">
        <f>VLOOKUP($D2048,'WB Data'!$C$3:$M$578,3,FALSE)</f>
        <v>12825031</v>
      </c>
      <c r="AY2048" s="847">
        <f t="shared" si="351"/>
        <v>3.4823356980577765E-2</v>
      </c>
      <c r="AZ2048" s="117">
        <f>VLOOKUP($D2048,'WB Data'!$C$3:$M$578,4,FALSE)/100</f>
        <v>0.13054265273784174</v>
      </c>
      <c r="BA2048" s="117">
        <f t="shared" si="352"/>
        <v>2000998800.3022492</v>
      </c>
      <c r="BB2048" s="129">
        <f>IFERROR(VLOOKUP($D2048,'EITI Revenues'!$C$2:$G$224,5,FALSE),"..")</f>
        <v>533783358</v>
      </c>
      <c r="BC2048" s="846">
        <f t="shared" si="353"/>
        <v>0.26675845978486967</v>
      </c>
      <c r="BD2048" s="129">
        <f>VLOOKUP($D2048,'WB Data 2'!$C$2:$K$545,6,FALSE)</f>
        <v>3536606856.5786214</v>
      </c>
      <c r="BE2048" s="129">
        <f>IFERROR(VLOOKUP($D2048,UNCTAD!$C$5:$V$529,4,FALSE),"..")</f>
        <v>4559940000</v>
      </c>
      <c r="BF2048" s="846">
        <f t="shared" si="354"/>
        <v>0.77558188409904982</v>
      </c>
      <c r="BG2048" s="117">
        <f>VLOOKUP($D2048,'WB Data'!$C$3:$M$578,5,FALSE)</f>
        <v>1267060000</v>
      </c>
      <c r="BH2048" s="129">
        <f>IFERROR($BB2048/$BG2048,"..")</f>
        <v>0.42127709658579704</v>
      </c>
      <c r="BI2048" s="117" t="str">
        <f>IFERROR(VLOOKUP($D2048,'WB Data'!$C$3:$M$578,7,FALSE)/100,"..")</f>
        <v>..</v>
      </c>
      <c r="BJ2048" s="117" t="str">
        <f>IFERROR($BI2048*$AW2048,"..")</f>
        <v>..</v>
      </c>
      <c r="BK2048" s="846" t="str">
        <f>IFERROR($BB2048/$BJ2048,"..")</f>
        <v>..</v>
      </c>
      <c r="BL2048" s="117" t="str">
        <f>IFERROR(VLOOKUP($D2048,'WB Data'!$C$3:$M$578,7,FALSE)/100,"..")</f>
        <v>..</v>
      </c>
      <c r="BM2048" s="117" t="str">
        <f>IFERROR($AW2048*$BL2048,"..")</f>
        <v>..</v>
      </c>
      <c r="BN2048" s="846" t="str">
        <f>IFERROR($BB2048/$BM2048,"..")</f>
        <v>..</v>
      </c>
      <c r="BO2048" s="801">
        <f t="shared" si="350"/>
        <v>38</v>
      </c>
      <c r="BP2048" s="117" t="str">
        <f>VLOOKUP($D2048,'WB Data'!$C$3:$M$578,9,FALSE)</f>
        <v>..</v>
      </c>
      <c r="BQ2048" s="117">
        <f>VLOOKUP($D2048,'WB Data'!$C$3:$M$578,10,FALSE)</f>
        <v>53.11336585365855</v>
      </c>
      <c r="BR2048" s="117">
        <f>VLOOKUP($D2048,'WB Data'!$C$3:$M$578,11,FALSE)</f>
        <v>64.8</v>
      </c>
      <c r="BS2048" s="129">
        <f>IFERROR(VLOOKUP($D2048,'WB Data 2'!$C$2:$K$545,9,FALSE),"..")</f>
        <v>92.220600000000005</v>
      </c>
      <c r="BT2048" s="129">
        <f>_xlfn.IFNA(VLOOKUP($C2048,RGI!$A$2:$C$43,2,FALSE),"..")</f>
        <v>41.2</v>
      </c>
      <c r="BU2048" s="129">
        <f>_xlfn.IFNA(VLOOKUP($C2048,RGI!$A$2:$C$43,3,FALSE),"..")</f>
        <v>60.803011070373614</v>
      </c>
      <c r="BV2048" s="129">
        <f>VLOOKUP($D2048,WGI!$C$2:$O$478,7,FALSE)</f>
        <v>-0.319576629576935</v>
      </c>
      <c r="BW2048" s="129">
        <f>VLOOKUP($D2048,WGI!$C$2:$O$478,4,FALSE)</f>
        <v>0.53465903763662503</v>
      </c>
      <c r="BX2048" s="129">
        <f>VLOOKUP($D2048,WGI!$C$2:$O$478,3,FALSE)</f>
        <v>-0.79114014249250797</v>
      </c>
      <c r="BY2048" s="129">
        <f>VLOOKUP($D2048,WGI!$C$2:$O$478,5,FALSE)</f>
        <v>-0.50244949982849896</v>
      </c>
      <c r="BZ2048" s="129">
        <f>VLOOKUP($D2048,WGI!$C$2:$O$478,2,FALSE)</f>
        <v>-0.51320912303131205</v>
      </c>
    </row>
    <row r="2049" spans="1:80" s="144" customFormat="1" ht="15" customHeight="1">
      <c r="A2049" s="279" t="s">
        <v>545</v>
      </c>
      <c r="B2049" s="132">
        <v>2010</v>
      </c>
      <c r="C2049" s="132" t="s">
        <v>541</v>
      </c>
      <c r="D2049" s="117" t="s">
        <v>3684</v>
      </c>
      <c r="E2049" s="132" t="s">
        <v>86</v>
      </c>
      <c r="F2049" s="132" t="s">
        <v>2393</v>
      </c>
      <c r="G2049" s="132" t="s">
        <v>24</v>
      </c>
      <c r="H2049" s="117" t="str">
        <f t="shared" si="357"/>
        <v>yes</v>
      </c>
      <c r="I2049" s="117" t="str">
        <f t="shared" si="346"/>
        <v>no</v>
      </c>
      <c r="J2049" s="117" t="str">
        <f t="shared" si="347"/>
        <v>no</v>
      </c>
      <c r="K2049" s="132" t="s">
        <v>709</v>
      </c>
      <c r="L2049" s="117" t="str">
        <f t="shared" si="358"/>
        <v>Total</v>
      </c>
      <c r="M2049" s="117" t="str">
        <f t="shared" si="348"/>
        <v>Total Mining</v>
      </c>
      <c r="N2049" s="133"/>
      <c r="O2049" s="133"/>
      <c r="P2049" s="133"/>
      <c r="Q2049" s="133"/>
      <c r="R2049" s="133"/>
      <c r="S2049" s="132"/>
      <c r="T2049" s="134"/>
      <c r="U2049" s="132"/>
      <c r="V2049" s="132"/>
      <c r="W2049" s="299">
        <f>SUM(W2050:W2069)</f>
        <v>157220004123.46591</v>
      </c>
      <c r="X2049" s="132" t="s">
        <v>633</v>
      </c>
      <c r="Y2049" s="132" t="s">
        <v>602</v>
      </c>
      <c r="Z2049" s="132" t="s">
        <v>603</v>
      </c>
      <c r="AA2049" s="663">
        <v>757063737</v>
      </c>
      <c r="AB2049" s="663">
        <v>758825945</v>
      </c>
      <c r="AC2049" s="664"/>
      <c r="AD2049" s="664"/>
      <c r="AE2049" s="664"/>
      <c r="AF2049" s="665">
        <f>AA2049/W2049</f>
        <v>4.8153143184341404E-3</v>
      </c>
      <c r="AG2049" s="132" t="s">
        <v>2394</v>
      </c>
      <c r="AH2049" s="140">
        <v>5000</v>
      </c>
      <c r="AI2049" s="132" t="s">
        <v>605</v>
      </c>
      <c r="AJ2049" s="132"/>
      <c r="AK2049" s="135"/>
      <c r="AL2049" s="132"/>
      <c r="AM2049" s="132"/>
      <c r="AN2049" s="132">
        <v>22</v>
      </c>
      <c r="AO2049" s="132" t="s">
        <v>2430</v>
      </c>
      <c r="AP2049" s="132">
        <v>20</v>
      </c>
      <c r="AQ2049" s="229" t="s">
        <v>212</v>
      </c>
      <c r="AR2049" s="141">
        <v>41907</v>
      </c>
      <c r="AS2049" s="132" t="s">
        <v>2431</v>
      </c>
      <c r="AT2049" s="132" t="s">
        <v>546</v>
      </c>
      <c r="AU2049" s="132">
        <v>9</v>
      </c>
      <c r="AV2049" s="143" t="s">
        <v>2432</v>
      </c>
      <c r="AW2049" s="117">
        <f>VLOOKUP($D2049,'WB Data'!$C$3:$M$578,2,FALSE)</f>
        <v>20265396325.594734</v>
      </c>
      <c r="AX2049" s="117">
        <f>VLOOKUP($D2049,'WB Data'!$C$3:$M$578,3,FALSE)</f>
        <v>13216985</v>
      </c>
      <c r="AY2049" s="847">
        <f t="shared" si="351"/>
        <v>3.7357460216252754E-2</v>
      </c>
      <c r="AZ2049" s="117">
        <f>VLOOKUP($D2049,'WB Data'!$C$3:$M$578,4,FALSE)/100</f>
        <v>0.13919701448081323</v>
      </c>
      <c r="BA2049" s="117">
        <f t="shared" si="352"/>
        <v>2820882665.7932296</v>
      </c>
      <c r="BB2049" s="129">
        <f>IFERROR(VLOOKUP($D2049,'EITI Revenues'!$C$2:$G$224,5,FALSE),"..")</f>
        <v>757063737</v>
      </c>
      <c r="BC2049" s="846">
        <f t="shared" si="353"/>
        <v>0.26837831512113403</v>
      </c>
      <c r="BD2049" s="129">
        <f>VLOOKUP($D2049,'WB Data 2'!$C$2:$K$545,6,FALSE)</f>
        <v>6227075029.4000902</v>
      </c>
      <c r="BE2049" s="129">
        <f>IFERROR(VLOOKUP($D2049,UNCTAD!$C$5:$V$529,4,FALSE),"..")</f>
        <v>7724500000</v>
      </c>
      <c r="BF2049" s="846">
        <f t="shared" si="354"/>
        <v>0.80614603267526574</v>
      </c>
      <c r="BG2049" s="117">
        <f>VLOOKUP($D2049,'WB Data'!$C$3:$M$578,5,FALSE)</f>
        <v>914370000</v>
      </c>
      <c r="BH2049" s="129">
        <f>IFERROR($BB2049/$BG2049,"..")</f>
        <v>0.82796213458446799</v>
      </c>
      <c r="BI2049" s="117" t="str">
        <f>IFERROR(VLOOKUP($D2049,'WB Data'!$C$3:$M$578,7,FALSE)/100,"..")</f>
        <v>..</v>
      </c>
      <c r="BJ2049" s="117" t="str">
        <f>IFERROR($BI2049*$AW2049,"..")</f>
        <v>..</v>
      </c>
      <c r="BK2049" s="846" t="str">
        <f>IFERROR($BB2049/$BJ2049,"..")</f>
        <v>..</v>
      </c>
      <c r="BL2049" s="117" t="str">
        <f>IFERROR(VLOOKUP($D2049,'WB Data'!$C$3:$M$578,7,FALSE)/100,"..")</f>
        <v>..</v>
      </c>
      <c r="BM2049" s="117" t="str">
        <f>IFERROR($AW2049*$BL2049,"..")</f>
        <v>..</v>
      </c>
      <c r="BN2049" s="846" t="str">
        <f>IFERROR($BB2049/$BM2049,"..")</f>
        <v>..</v>
      </c>
      <c r="BO2049" s="801">
        <f t="shared" si="350"/>
        <v>38</v>
      </c>
      <c r="BP2049" s="117">
        <f>VLOOKUP($D2049,'WB Data'!$C$3:$M$578,9,FALSE)</f>
        <v>60.5</v>
      </c>
      <c r="BQ2049" s="117">
        <f>VLOOKUP($D2049,'WB Data'!$C$3:$M$578,10,FALSE)</f>
        <v>54.527560975609767</v>
      </c>
      <c r="BR2049" s="117">
        <f>VLOOKUP($D2049,'WB Data'!$C$3:$M$578,11,FALSE)</f>
        <v>63.5</v>
      </c>
      <c r="BS2049" s="129">
        <f>IFERROR(VLOOKUP($D2049,'WB Data 2'!$C$2:$K$545,9,FALSE),"..")</f>
        <v>89.567220000000006</v>
      </c>
      <c r="BT2049" s="129">
        <f>_xlfn.IFNA(VLOOKUP($C2049,RGI!$A$2:$C$43,2,FALSE),"..")</f>
        <v>41.2</v>
      </c>
      <c r="BU2049" s="129">
        <f>_xlfn.IFNA(VLOOKUP($C2049,RGI!$A$2:$C$43,3,FALSE),"..")</f>
        <v>60.803011070373614</v>
      </c>
      <c r="BV2049" s="129">
        <f>VLOOKUP($D2049,WGI!$C$2:$O$478,7,FALSE)</f>
        <v>-0.25570042695842599</v>
      </c>
      <c r="BW2049" s="129">
        <f>VLOOKUP($D2049,WGI!$C$2:$O$478,4,FALSE)</f>
        <v>0.46161488492609998</v>
      </c>
      <c r="BX2049" s="129">
        <f>VLOOKUP($D2049,WGI!$C$2:$O$478,3,FALSE)</f>
        <v>-0.83001481515334596</v>
      </c>
      <c r="BY2049" s="129">
        <f>VLOOKUP($D2049,WGI!$C$2:$O$478,5,FALSE)</f>
        <v>-0.478631304027406</v>
      </c>
      <c r="BZ2049" s="129">
        <f>VLOOKUP($D2049,WGI!$C$2:$O$478,2,FALSE)</f>
        <v>-0.56542897489310295</v>
      </c>
      <c r="CB2049" s="129"/>
    </row>
    <row r="2050" spans="1:80" s="120" customFormat="1" ht="15" customHeight="1">
      <c r="A2050" s="280" t="s">
        <v>545</v>
      </c>
      <c r="B2050" s="117">
        <v>2010</v>
      </c>
      <c r="C2050" s="117" t="s">
        <v>541</v>
      </c>
      <c r="D2050" s="117" t="s">
        <v>3684</v>
      </c>
      <c r="E2050" s="117" t="s">
        <v>86</v>
      </c>
      <c r="F2050" s="117"/>
      <c r="G2050" s="117" t="s">
        <v>24</v>
      </c>
      <c r="H2050" s="117" t="str">
        <f t="shared" si="357"/>
        <v>yes</v>
      </c>
      <c r="I2050" s="117" t="str">
        <f t="shared" si="346"/>
        <v>no</v>
      </c>
      <c r="J2050" s="117" t="str">
        <f t="shared" si="347"/>
        <v>no</v>
      </c>
      <c r="K2050" s="117" t="s">
        <v>2423</v>
      </c>
      <c r="L2050" s="117" t="str">
        <f t="shared" si="358"/>
        <v>detailed</v>
      </c>
      <c r="M2050" s="117" t="str">
        <f t="shared" si="348"/>
        <v>detailed Mining</v>
      </c>
      <c r="N2050" s="118">
        <v>1300000</v>
      </c>
      <c r="O2050" s="118"/>
      <c r="P2050" s="118"/>
      <c r="Q2050" s="118"/>
      <c r="R2050" s="118"/>
      <c r="S2050" s="117" t="s">
        <v>967</v>
      </c>
      <c r="T2050" s="298">
        <f>17.5/0.0002</f>
        <v>87500</v>
      </c>
      <c r="U2050" s="117" t="s">
        <v>1874</v>
      </c>
      <c r="V2050" s="401" t="s">
        <v>2433</v>
      </c>
      <c r="W2050" s="298">
        <f>N2050*T2050</f>
        <v>113750000000</v>
      </c>
      <c r="X2050" s="117"/>
      <c r="Y2050" s="117"/>
      <c r="Z2050" s="117"/>
      <c r="AA2050" s="658"/>
      <c r="AB2050" s="658"/>
      <c r="AC2050" s="660"/>
      <c r="AD2050" s="660"/>
      <c r="AE2050" s="660"/>
      <c r="AF2050" s="662"/>
      <c r="AG2050" s="117"/>
      <c r="AH2050" s="124"/>
      <c r="AI2050" s="117"/>
      <c r="AJ2050" s="117"/>
      <c r="AK2050" s="89"/>
      <c r="AL2050" s="117"/>
      <c r="AM2050" s="117"/>
      <c r="AN2050" s="117"/>
      <c r="AO2050" s="117"/>
      <c r="AP2050" s="117"/>
      <c r="AQ2050" s="215"/>
      <c r="AR2050" s="126"/>
      <c r="AS2050" s="117"/>
      <c r="AT2050" s="117"/>
      <c r="AU2050" s="117">
        <v>36</v>
      </c>
      <c r="AV2050" s="128"/>
      <c r="AW2050" s="117">
        <f>VLOOKUP($D2050,'WB Data'!$C$3:$M$578,2,FALSE)</f>
        <v>20265396325.594734</v>
      </c>
      <c r="AX2050" s="117">
        <f>VLOOKUP($D2050,'WB Data'!$C$3:$M$578,3,FALSE)</f>
        <v>13216985</v>
      </c>
      <c r="AY2050" s="847">
        <f t="shared" si="351"/>
        <v>3.7357460216252754E-2</v>
      </c>
      <c r="AZ2050" s="117">
        <f>VLOOKUP($D2050,'WB Data'!$C$3:$M$578,4,FALSE)/100</f>
        <v>0.13919701448081323</v>
      </c>
      <c r="BA2050" s="117">
        <f t="shared" si="352"/>
        <v>2820882665.7932296</v>
      </c>
      <c r="BB2050" s="129">
        <f>IFERROR(VLOOKUP($D2050,'EITI Revenues'!$C$2:$G$224,5,FALSE),"..")</f>
        <v>757063737</v>
      </c>
      <c r="BC2050" s="846">
        <f t="shared" si="353"/>
        <v>0.26837831512113403</v>
      </c>
      <c r="BD2050" s="129">
        <f>VLOOKUP($D2050,'WB Data 2'!$C$2:$K$545,6,FALSE)</f>
        <v>6227075029.4000902</v>
      </c>
      <c r="BE2050" s="129">
        <f>IFERROR(VLOOKUP($D2050,UNCTAD!$C$5:$V$529,4,FALSE),"..")</f>
        <v>7724500000</v>
      </c>
      <c r="BF2050" s="846">
        <f t="shared" si="354"/>
        <v>0.80614603267526574</v>
      </c>
      <c r="BG2050" s="117">
        <f>VLOOKUP($D2050,'WB Data'!$C$3:$M$578,5,FALSE)</f>
        <v>914370000</v>
      </c>
      <c r="BH2050" s="129">
        <f>IFERROR($BB2050/$BG2050,"..")</f>
        <v>0.82796213458446799</v>
      </c>
      <c r="BI2050" s="117" t="str">
        <f>IFERROR(VLOOKUP($D2050,'WB Data'!$C$3:$M$578,7,FALSE)/100,"..")</f>
        <v>..</v>
      </c>
      <c r="BJ2050" s="117" t="str">
        <f>IFERROR($BI2050*$AW2050,"..")</f>
        <v>..</v>
      </c>
      <c r="BK2050" s="846" t="str">
        <f>IFERROR($BB2050/$BJ2050,"..")</f>
        <v>..</v>
      </c>
      <c r="BL2050" s="117" t="str">
        <f>IFERROR(VLOOKUP($D2050,'WB Data'!$C$3:$M$578,7,FALSE)/100,"..")</f>
        <v>..</v>
      </c>
      <c r="BM2050" s="117" t="str">
        <f>IFERROR($AW2050*$BL2050,"..")</f>
        <v>..</v>
      </c>
      <c r="BN2050" s="846" t="str">
        <f>IFERROR($BB2050/$BM2050,"..")</f>
        <v>..</v>
      </c>
      <c r="BO2050" s="801">
        <f t="shared" ref="BO2050:BO2113" si="360">_xlfn.IFNA(VLOOKUP($C2050,CPI_2013,2,FALSE),"..")</f>
        <v>38</v>
      </c>
      <c r="BP2050" s="117">
        <f>VLOOKUP($D2050,'WB Data'!$C$3:$M$578,9,FALSE)</f>
        <v>60.5</v>
      </c>
      <c r="BQ2050" s="117">
        <f>VLOOKUP($D2050,'WB Data'!$C$3:$M$578,10,FALSE)</f>
        <v>54.527560975609767</v>
      </c>
      <c r="BR2050" s="117">
        <f>VLOOKUP($D2050,'WB Data'!$C$3:$M$578,11,FALSE)</f>
        <v>63.5</v>
      </c>
      <c r="BS2050" s="129">
        <f>IFERROR(VLOOKUP($D2050,'WB Data 2'!$C$2:$K$545,9,FALSE),"..")</f>
        <v>89.567220000000006</v>
      </c>
      <c r="BT2050" s="129">
        <f>_xlfn.IFNA(VLOOKUP($C2050,RGI!$A$2:$C$43,2,FALSE),"..")</f>
        <v>41.2</v>
      </c>
      <c r="BU2050" s="129">
        <f>_xlfn.IFNA(VLOOKUP($C2050,RGI!$A$2:$C$43,3,FALSE),"..")</f>
        <v>60.803011070373614</v>
      </c>
      <c r="BV2050" s="129">
        <f>VLOOKUP($D2050,WGI!$C$2:$O$478,7,FALSE)</f>
        <v>-0.25570042695842599</v>
      </c>
      <c r="BW2050" s="129">
        <f>VLOOKUP($D2050,WGI!$C$2:$O$478,4,FALSE)</f>
        <v>0.46161488492609998</v>
      </c>
      <c r="BX2050" s="129">
        <f>VLOOKUP($D2050,WGI!$C$2:$O$478,3,FALSE)</f>
        <v>-0.83001481515334596</v>
      </c>
      <c r="BY2050" s="129">
        <f>VLOOKUP($D2050,WGI!$C$2:$O$478,5,FALSE)</f>
        <v>-0.478631304027406</v>
      </c>
      <c r="BZ2050" s="129">
        <f>VLOOKUP($D2050,WGI!$C$2:$O$478,2,FALSE)</f>
        <v>-0.56542897489310295</v>
      </c>
      <c r="CB2050" s="129"/>
    </row>
    <row r="2051" spans="1:80" s="120" customFormat="1" ht="15" customHeight="1">
      <c r="A2051" s="280" t="s">
        <v>545</v>
      </c>
      <c r="B2051" s="117">
        <v>2010</v>
      </c>
      <c r="C2051" s="117" t="s">
        <v>541</v>
      </c>
      <c r="D2051" s="117" t="s">
        <v>3684</v>
      </c>
      <c r="E2051" s="117" t="s">
        <v>86</v>
      </c>
      <c r="F2051" s="117"/>
      <c r="G2051" s="117" t="s">
        <v>24</v>
      </c>
      <c r="H2051" s="117" t="str">
        <f t="shared" si="357"/>
        <v>yes</v>
      </c>
      <c r="I2051" s="117" t="str">
        <f t="shared" si="346"/>
        <v>no</v>
      </c>
      <c r="J2051" s="117" t="str">
        <f t="shared" si="347"/>
        <v>no</v>
      </c>
      <c r="K2051" s="117" t="s">
        <v>2426</v>
      </c>
      <c r="L2051" s="117" t="str">
        <f t="shared" si="358"/>
        <v>detailed</v>
      </c>
      <c r="M2051" s="117" t="str">
        <f t="shared" si="348"/>
        <v>detailed Mining</v>
      </c>
      <c r="N2051" s="118">
        <v>13000000</v>
      </c>
      <c r="O2051" s="118"/>
      <c r="P2051" s="118"/>
      <c r="Q2051" s="118"/>
      <c r="R2051" s="118"/>
      <c r="S2051" s="117" t="s">
        <v>981</v>
      </c>
      <c r="T2051" s="119"/>
      <c r="U2051" s="117"/>
      <c r="V2051" s="117" t="s">
        <v>684</v>
      </c>
      <c r="W2051" s="89"/>
      <c r="X2051" s="117"/>
      <c r="Y2051" s="117"/>
      <c r="Z2051" s="117"/>
      <c r="AA2051" s="658"/>
      <c r="AB2051" s="658"/>
      <c r="AC2051" s="660"/>
      <c r="AD2051" s="660"/>
      <c r="AE2051" s="660"/>
      <c r="AF2051" s="662"/>
      <c r="AG2051" s="117"/>
      <c r="AH2051" s="124"/>
      <c r="AI2051" s="117"/>
      <c r="AJ2051" s="117"/>
      <c r="AK2051" s="89"/>
      <c r="AL2051" s="117"/>
      <c r="AM2051" s="117"/>
      <c r="AN2051" s="117"/>
      <c r="AO2051" s="117"/>
      <c r="AP2051" s="117"/>
      <c r="AQ2051" s="215"/>
      <c r="AR2051" s="126"/>
      <c r="AS2051" s="117"/>
      <c r="AT2051" s="117"/>
      <c r="AU2051" s="117"/>
      <c r="AV2051" s="128"/>
      <c r="AW2051" s="117">
        <f>VLOOKUP($D2051,'WB Data'!$C$3:$M$578,2,FALSE)</f>
        <v>20265396325.594734</v>
      </c>
      <c r="AX2051" s="117">
        <f>VLOOKUP($D2051,'WB Data'!$C$3:$M$578,3,FALSE)</f>
        <v>13216985</v>
      </c>
      <c r="AY2051" s="847">
        <f t="shared" ref="AY2051:AY2114" si="361">IFERROR($BB2051/$AW2051,"..")</f>
        <v>3.7357460216252754E-2</v>
      </c>
      <c r="AZ2051" s="117">
        <f>VLOOKUP($D2051,'WB Data'!$C$3:$M$578,4,FALSE)/100</f>
        <v>0.13919701448081323</v>
      </c>
      <c r="BA2051" s="117">
        <f t="shared" ref="BA2051:BA2114" si="362">IFERROR($AW2051*$AZ2051,"..")</f>
        <v>2820882665.7932296</v>
      </c>
      <c r="BB2051" s="129">
        <f>IFERROR(VLOOKUP($D2051,'EITI Revenues'!$C$2:$G$224,5,FALSE),"..")</f>
        <v>757063737</v>
      </c>
      <c r="BC2051" s="846">
        <f t="shared" ref="BC2051:BC2114" si="363">IFERROR($BB2051/$BA2051,"..")</f>
        <v>0.26837831512113403</v>
      </c>
      <c r="BD2051" s="129">
        <f>VLOOKUP($D2051,'WB Data 2'!$C$2:$K$545,6,FALSE)</f>
        <v>6227075029.4000902</v>
      </c>
      <c r="BE2051" s="129">
        <f>IFERROR(VLOOKUP($D2051,UNCTAD!$C$5:$V$529,4,FALSE),"..")</f>
        <v>7724500000</v>
      </c>
      <c r="BF2051" s="846">
        <f t="shared" ref="BF2051:BF2114" si="364">IFERROR(($BD2051/$BE2051),"..")</f>
        <v>0.80614603267526574</v>
      </c>
      <c r="BG2051" s="117">
        <f>VLOOKUP($D2051,'WB Data'!$C$3:$M$578,5,FALSE)</f>
        <v>914370000</v>
      </c>
      <c r="BH2051" s="129">
        <f>IFERROR($BB2051/$BG2051,"..")</f>
        <v>0.82796213458446799</v>
      </c>
      <c r="BI2051" s="117" t="str">
        <f>IFERROR(VLOOKUP($D2051,'WB Data'!$C$3:$M$578,7,FALSE)/100,"..")</f>
        <v>..</v>
      </c>
      <c r="BJ2051" s="117" t="str">
        <f>IFERROR($BI2051*$AW2051,"..")</f>
        <v>..</v>
      </c>
      <c r="BK2051" s="846" t="str">
        <f>IFERROR($BB2051/$BJ2051,"..")</f>
        <v>..</v>
      </c>
      <c r="BL2051" s="117" t="str">
        <f>IFERROR(VLOOKUP($D2051,'WB Data'!$C$3:$M$578,7,FALSE)/100,"..")</f>
        <v>..</v>
      </c>
      <c r="BM2051" s="117" t="str">
        <f>IFERROR($AW2051*$BL2051,"..")</f>
        <v>..</v>
      </c>
      <c r="BN2051" s="846" t="str">
        <f>IFERROR($BB2051/$BM2051,"..")</f>
        <v>..</v>
      </c>
      <c r="BO2051" s="801">
        <f t="shared" si="360"/>
        <v>38</v>
      </c>
      <c r="BP2051" s="117">
        <f>VLOOKUP($D2051,'WB Data'!$C$3:$M$578,9,FALSE)</f>
        <v>60.5</v>
      </c>
      <c r="BQ2051" s="117">
        <f>VLOOKUP($D2051,'WB Data'!$C$3:$M$578,10,FALSE)</f>
        <v>54.527560975609767</v>
      </c>
      <c r="BR2051" s="117">
        <f>VLOOKUP($D2051,'WB Data'!$C$3:$M$578,11,FALSE)</f>
        <v>63.5</v>
      </c>
      <c r="BS2051" s="129">
        <f>IFERROR(VLOOKUP($D2051,'WB Data 2'!$C$2:$K$545,9,FALSE),"..")</f>
        <v>89.567220000000006</v>
      </c>
      <c r="BT2051" s="129">
        <f>_xlfn.IFNA(VLOOKUP($C2051,RGI!$A$2:$C$43,2,FALSE),"..")</f>
        <v>41.2</v>
      </c>
      <c r="BU2051" s="129">
        <f>_xlfn.IFNA(VLOOKUP($C2051,RGI!$A$2:$C$43,3,FALSE),"..")</f>
        <v>60.803011070373614</v>
      </c>
      <c r="BV2051" s="129">
        <f>VLOOKUP($D2051,WGI!$C$2:$O$478,7,FALSE)</f>
        <v>-0.25570042695842599</v>
      </c>
      <c r="BW2051" s="129">
        <f>VLOOKUP($D2051,WGI!$C$2:$O$478,4,FALSE)</f>
        <v>0.46161488492609998</v>
      </c>
      <c r="BX2051" s="129">
        <f>VLOOKUP($D2051,WGI!$C$2:$O$478,3,FALSE)</f>
        <v>-0.83001481515334596</v>
      </c>
      <c r="BY2051" s="129">
        <f>VLOOKUP($D2051,WGI!$C$2:$O$478,5,FALSE)</f>
        <v>-0.478631304027406</v>
      </c>
      <c r="BZ2051" s="129">
        <f>VLOOKUP($D2051,WGI!$C$2:$O$478,2,FALSE)</f>
        <v>-0.56542897489310295</v>
      </c>
      <c r="CB2051" s="129"/>
    </row>
    <row r="2052" spans="1:80" s="120" customFormat="1" ht="15" customHeight="1">
      <c r="A2052" s="280" t="s">
        <v>545</v>
      </c>
      <c r="B2052" s="117">
        <v>2010</v>
      </c>
      <c r="C2052" s="117" t="s">
        <v>541</v>
      </c>
      <c r="D2052" s="117" t="s">
        <v>3684</v>
      </c>
      <c r="E2052" s="117" t="s">
        <v>86</v>
      </c>
      <c r="F2052" s="117"/>
      <c r="G2052" s="117" t="s">
        <v>24</v>
      </c>
      <c r="H2052" s="117" t="str">
        <f t="shared" si="357"/>
        <v>yes</v>
      </c>
      <c r="I2052" s="117" t="str">
        <f t="shared" ref="I2052:I2090" si="365">IF($G2052="Gas","yes",IF($G2052="Oil, Gas, Mining","yes",IF($G2052="Gas, Mining","yes",IF($G2052="Oil, Gas","yes",IF($G2052="Oil, Gas, Other","yes","no")))))</f>
        <v>no</v>
      </c>
      <c r="J2052" s="117" t="str">
        <f t="shared" ref="J2052:J2090" si="366">IF($G2052="Oil","yes",IF($G2052="Oil, Gas, Mining","yes",IF($G2052="Oil, Mining","yes",IF($G2052="Oil, Gas","yes",IF($G2052="Oil, Gas, Other","yes","no")))))</f>
        <v>no</v>
      </c>
      <c r="K2052" s="117" t="s">
        <v>609</v>
      </c>
      <c r="L2052" s="117" t="str">
        <f t="shared" si="358"/>
        <v>detailed</v>
      </c>
      <c r="M2052" s="117" t="str">
        <f t="shared" ref="M2052:M2090" si="367">L2052&amp;" "&amp;G2052</f>
        <v>detailed Mining</v>
      </c>
      <c r="N2052" s="118">
        <v>1126728</v>
      </c>
      <c r="O2052" s="118"/>
      <c r="P2052" s="118"/>
      <c r="Q2052" s="118"/>
      <c r="R2052" s="118"/>
      <c r="S2052" s="117" t="s">
        <v>610</v>
      </c>
      <c r="T2052" s="119">
        <v>92</v>
      </c>
      <c r="U2052" s="117" t="s">
        <v>611</v>
      </c>
      <c r="V2052" s="117" t="s">
        <v>1217</v>
      </c>
      <c r="W2052" s="89">
        <f>N2052*T2052</f>
        <v>103658976</v>
      </c>
      <c r="X2052" s="117"/>
      <c r="Y2052" s="117"/>
      <c r="Z2052" s="117"/>
      <c r="AA2052" s="658"/>
      <c r="AB2052" s="658"/>
      <c r="AC2052" s="660"/>
      <c r="AD2052" s="660"/>
      <c r="AE2052" s="660"/>
      <c r="AF2052" s="662"/>
      <c r="AG2052" s="117"/>
      <c r="AH2052" s="124"/>
      <c r="AI2052" s="117"/>
      <c r="AJ2052" s="117"/>
      <c r="AK2052" s="89"/>
      <c r="AL2052" s="117"/>
      <c r="AM2052" s="117"/>
      <c r="AN2052" s="117"/>
      <c r="AO2052" s="117"/>
      <c r="AP2052" s="117"/>
      <c r="AQ2052" s="215"/>
      <c r="AR2052" s="126"/>
      <c r="AS2052" s="117"/>
      <c r="AT2052" s="117"/>
      <c r="AU2052" s="117"/>
      <c r="AV2052" s="128"/>
      <c r="AW2052" s="117">
        <f>VLOOKUP($D2052,'WB Data'!$C$3:$M$578,2,FALSE)</f>
        <v>20265396325.594734</v>
      </c>
      <c r="AX2052" s="117">
        <f>VLOOKUP($D2052,'WB Data'!$C$3:$M$578,3,FALSE)</f>
        <v>13216985</v>
      </c>
      <c r="AY2052" s="847">
        <f t="shared" si="361"/>
        <v>3.7357460216252754E-2</v>
      </c>
      <c r="AZ2052" s="117">
        <f>VLOOKUP($D2052,'WB Data'!$C$3:$M$578,4,FALSE)/100</f>
        <v>0.13919701448081323</v>
      </c>
      <c r="BA2052" s="117">
        <f t="shared" si="362"/>
        <v>2820882665.7932296</v>
      </c>
      <c r="BB2052" s="129">
        <f>IFERROR(VLOOKUP($D2052,'EITI Revenues'!$C$2:$G$224,5,FALSE),"..")</f>
        <v>757063737</v>
      </c>
      <c r="BC2052" s="846">
        <f t="shared" si="363"/>
        <v>0.26837831512113403</v>
      </c>
      <c r="BD2052" s="129">
        <f>VLOOKUP($D2052,'WB Data 2'!$C$2:$K$545,6,FALSE)</f>
        <v>6227075029.4000902</v>
      </c>
      <c r="BE2052" s="129">
        <f>IFERROR(VLOOKUP($D2052,UNCTAD!$C$5:$V$529,4,FALSE),"..")</f>
        <v>7724500000</v>
      </c>
      <c r="BF2052" s="846">
        <f t="shared" si="364"/>
        <v>0.80614603267526574</v>
      </c>
      <c r="BG2052" s="117">
        <f>VLOOKUP($D2052,'WB Data'!$C$3:$M$578,5,FALSE)</f>
        <v>914370000</v>
      </c>
      <c r="BH2052" s="129">
        <f>IFERROR($BB2052/$BG2052,"..")</f>
        <v>0.82796213458446799</v>
      </c>
      <c r="BI2052" s="117" t="str">
        <f>IFERROR(VLOOKUP($D2052,'WB Data'!$C$3:$M$578,7,FALSE)/100,"..")</f>
        <v>..</v>
      </c>
      <c r="BJ2052" s="117" t="str">
        <f>IFERROR($BI2052*$AW2052,"..")</f>
        <v>..</v>
      </c>
      <c r="BK2052" s="846" t="str">
        <f>IFERROR($BB2052/$BJ2052,"..")</f>
        <v>..</v>
      </c>
      <c r="BL2052" s="117" t="str">
        <f>IFERROR(VLOOKUP($D2052,'WB Data'!$C$3:$M$578,7,FALSE)/100,"..")</f>
        <v>..</v>
      </c>
      <c r="BM2052" s="117" t="str">
        <f>IFERROR($AW2052*$BL2052,"..")</f>
        <v>..</v>
      </c>
      <c r="BN2052" s="846" t="str">
        <f>IFERROR($BB2052/$BM2052,"..")</f>
        <v>..</v>
      </c>
      <c r="BO2052" s="801">
        <f t="shared" si="360"/>
        <v>38</v>
      </c>
      <c r="BP2052" s="117">
        <f>VLOOKUP($D2052,'WB Data'!$C$3:$M$578,9,FALSE)</f>
        <v>60.5</v>
      </c>
      <c r="BQ2052" s="117">
        <f>VLOOKUP($D2052,'WB Data'!$C$3:$M$578,10,FALSE)</f>
        <v>54.527560975609767</v>
      </c>
      <c r="BR2052" s="117">
        <f>VLOOKUP($D2052,'WB Data'!$C$3:$M$578,11,FALSE)</f>
        <v>63.5</v>
      </c>
      <c r="BS2052" s="129">
        <f>IFERROR(VLOOKUP($D2052,'WB Data 2'!$C$2:$K$545,9,FALSE),"..")</f>
        <v>89.567220000000006</v>
      </c>
      <c r="BT2052" s="129">
        <f>_xlfn.IFNA(VLOOKUP($C2052,RGI!$A$2:$C$43,2,FALSE),"..")</f>
        <v>41.2</v>
      </c>
      <c r="BU2052" s="129">
        <f>_xlfn.IFNA(VLOOKUP($C2052,RGI!$A$2:$C$43,3,FALSE),"..")</f>
        <v>60.803011070373614</v>
      </c>
      <c r="BV2052" s="129">
        <f>VLOOKUP($D2052,WGI!$C$2:$O$478,7,FALSE)</f>
        <v>-0.25570042695842599</v>
      </c>
      <c r="BW2052" s="129">
        <f>VLOOKUP($D2052,WGI!$C$2:$O$478,4,FALSE)</f>
        <v>0.46161488492609998</v>
      </c>
      <c r="BX2052" s="129">
        <f>VLOOKUP($D2052,WGI!$C$2:$O$478,3,FALSE)</f>
        <v>-0.83001481515334596</v>
      </c>
      <c r="BY2052" s="129">
        <f>VLOOKUP($D2052,WGI!$C$2:$O$478,5,FALSE)</f>
        <v>-0.478631304027406</v>
      </c>
      <c r="BZ2052" s="129">
        <f>VLOOKUP($D2052,WGI!$C$2:$O$478,2,FALSE)</f>
        <v>-0.56542897489310295</v>
      </c>
      <c r="CB2052" s="129"/>
    </row>
    <row r="2053" spans="1:80" s="120" customFormat="1" ht="15" customHeight="1">
      <c r="A2053" s="280" t="s">
        <v>545</v>
      </c>
      <c r="B2053" s="117">
        <v>2010</v>
      </c>
      <c r="C2053" s="117" t="s">
        <v>541</v>
      </c>
      <c r="D2053" s="117" t="s">
        <v>3684</v>
      </c>
      <c r="E2053" s="117" t="s">
        <v>86</v>
      </c>
      <c r="F2053" s="117"/>
      <c r="G2053" s="117" t="s">
        <v>24</v>
      </c>
      <c r="H2053" s="117" t="str">
        <f t="shared" si="357"/>
        <v>yes</v>
      </c>
      <c r="I2053" s="117" t="str">
        <f t="shared" si="365"/>
        <v>no</v>
      </c>
      <c r="J2053" s="117" t="str">
        <f t="shared" si="366"/>
        <v>no</v>
      </c>
      <c r="K2053" s="117" t="s">
        <v>616</v>
      </c>
      <c r="L2053" s="117" t="str">
        <f t="shared" si="358"/>
        <v>detailed</v>
      </c>
      <c r="M2053" s="117" t="str">
        <f t="shared" si="367"/>
        <v>detailed Mining</v>
      </c>
      <c r="N2053" s="118">
        <v>200000</v>
      </c>
      <c r="O2053" s="118"/>
      <c r="P2053" s="118"/>
      <c r="Q2053" s="118"/>
      <c r="R2053" s="118"/>
      <c r="S2053" s="117" t="s">
        <v>610</v>
      </c>
      <c r="T2053" s="119">
        <v>89.852021850427363</v>
      </c>
      <c r="U2053" s="117" t="s">
        <v>611</v>
      </c>
      <c r="V2053" s="117" t="s">
        <v>1108</v>
      </c>
      <c r="W2053" s="89">
        <f>N2053*T2053</f>
        <v>17970404.370085474</v>
      </c>
      <c r="X2053" s="117"/>
      <c r="Y2053" s="117"/>
      <c r="Z2053" s="117"/>
      <c r="AA2053" s="89"/>
      <c r="AB2053" s="89"/>
      <c r="AC2053" s="240"/>
      <c r="AD2053" s="240"/>
      <c r="AE2053" s="240"/>
      <c r="AF2053" s="241"/>
      <c r="AG2053" s="117"/>
      <c r="AH2053" s="124"/>
      <c r="AI2053" s="117"/>
      <c r="AJ2053" s="117"/>
      <c r="AK2053" s="89"/>
      <c r="AL2053" s="117"/>
      <c r="AM2053" s="117"/>
      <c r="AN2053" s="117"/>
      <c r="AO2053" s="117"/>
      <c r="AP2053" s="117"/>
      <c r="AQ2053" s="117"/>
      <c r="AR2053" s="126"/>
      <c r="AS2053" s="117"/>
      <c r="AT2053" s="117"/>
      <c r="AU2053" s="117">
        <v>36</v>
      </c>
      <c r="AV2053" s="128"/>
      <c r="AW2053" s="117">
        <f>VLOOKUP($D2053,'WB Data'!$C$3:$M$578,2,FALSE)</f>
        <v>20265396325.594734</v>
      </c>
      <c r="AX2053" s="117">
        <f>VLOOKUP($D2053,'WB Data'!$C$3:$M$578,3,FALSE)</f>
        <v>13216985</v>
      </c>
      <c r="AY2053" s="847">
        <f t="shared" si="361"/>
        <v>3.7357460216252754E-2</v>
      </c>
      <c r="AZ2053" s="117">
        <f>VLOOKUP($D2053,'WB Data'!$C$3:$M$578,4,FALSE)/100</f>
        <v>0.13919701448081323</v>
      </c>
      <c r="BA2053" s="117">
        <f t="shared" si="362"/>
        <v>2820882665.7932296</v>
      </c>
      <c r="BB2053" s="129">
        <f>IFERROR(VLOOKUP($D2053,'EITI Revenues'!$C$2:$G$224,5,FALSE),"..")</f>
        <v>757063737</v>
      </c>
      <c r="BC2053" s="846">
        <f t="shared" si="363"/>
        <v>0.26837831512113403</v>
      </c>
      <c r="BD2053" s="129">
        <f>VLOOKUP($D2053,'WB Data 2'!$C$2:$K$545,6,FALSE)</f>
        <v>6227075029.4000902</v>
      </c>
      <c r="BE2053" s="129">
        <f>IFERROR(VLOOKUP($D2053,UNCTAD!$C$5:$V$529,4,FALSE),"..")</f>
        <v>7724500000</v>
      </c>
      <c r="BF2053" s="846">
        <f t="shared" si="364"/>
        <v>0.80614603267526574</v>
      </c>
      <c r="BG2053" s="117">
        <f>VLOOKUP($D2053,'WB Data'!$C$3:$M$578,5,FALSE)</f>
        <v>914370000</v>
      </c>
      <c r="BH2053" s="129">
        <f>IFERROR($BB2053/$BG2053,"..")</f>
        <v>0.82796213458446799</v>
      </c>
      <c r="BI2053" s="117" t="str">
        <f>IFERROR(VLOOKUP($D2053,'WB Data'!$C$3:$M$578,7,FALSE)/100,"..")</f>
        <v>..</v>
      </c>
      <c r="BJ2053" s="117" t="str">
        <f>IFERROR($BI2053*$AW2053,"..")</f>
        <v>..</v>
      </c>
      <c r="BK2053" s="846" t="str">
        <f>IFERROR($BB2053/$BJ2053,"..")</f>
        <v>..</v>
      </c>
      <c r="BL2053" s="117" t="str">
        <f>IFERROR(VLOOKUP($D2053,'WB Data'!$C$3:$M$578,7,FALSE)/100,"..")</f>
        <v>..</v>
      </c>
      <c r="BM2053" s="117" t="str">
        <f>IFERROR($AW2053*$BL2053,"..")</f>
        <v>..</v>
      </c>
      <c r="BN2053" s="846" t="str">
        <f>IFERROR($BB2053/$BM2053,"..")</f>
        <v>..</v>
      </c>
      <c r="BO2053" s="801">
        <f t="shared" si="360"/>
        <v>38</v>
      </c>
      <c r="BP2053" s="117">
        <f>VLOOKUP($D2053,'WB Data'!$C$3:$M$578,9,FALSE)</f>
        <v>60.5</v>
      </c>
      <c r="BQ2053" s="117">
        <f>VLOOKUP($D2053,'WB Data'!$C$3:$M$578,10,FALSE)</f>
        <v>54.527560975609767</v>
      </c>
      <c r="BR2053" s="117">
        <f>VLOOKUP($D2053,'WB Data'!$C$3:$M$578,11,FALSE)</f>
        <v>63.5</v>
      </c>
      <c r="BS2053" s="129">
        <f>IFERROR(VLOOKUP($D2053,'WB Data 2'!$C$2:$K$545,9,FALSE),"..")</f>
        <v>89.567220000000006</v>
      </c>
      <c r="BT2053" s="129">
        <f>_xlfn.IFNA(VLOOKUP($C2053,RGI!$A$2:$C$43,2,FALSE),"..")</f>
        <v>41.2</v>
      </c>
      <c r="BU2053" s="129">
        <f>_xlfn.IFNA(VLOOKUP($C2053,RGI!$A$2:$C$43,3,FALSE),"..")</f>
        <v>60.803011070373614</v>
      </c>
      <c r="BV2053" s="129">
        <f>VLOOKUP($D2053,WGI!$C$2:$O$478,7,FALSE)</f>
        <v>-0.25570042695842599</v>
      </c>
      <c r="BW2053" s="129">
        <f>VLOOKUP($D2053,WGI!$C$2:$O$478,4,FALSE)</f>
        <v>0.46161488492609998</v>
      </c>
      <c r="BX2053" s="129">
        <f>VLOOKUP($D2053,WGI!$C$2:$O$478,3,FALSE)</f>
        <v>-0.83001481515334596</v>
      </c>
      <c r="BY2053" s="129">
        <f>VLOOKUP($D2053,WGI!$C$2:$O$478,5,FALSE)</f>
        <v>-0.478631304027406</v>
      </c>
      <c r="BZ2053" s="129">
        <f>VLOOKUP($D2053,WGI!$C$2:$O$478,2,FALSE)</f>
        <v>-0.56542897489310295</v>
      </c>
      <c r="CB2053" s="129"/>
    </row>
    <row r="2054" spans="1:80" s="120" customFormat="1" ht="15" customHeight="1">
      <c r="A2054" s="280" t="s">
        <v>545</v>
      </c>
      <c r="B2054" s="117">
        <v>2010</v>
      </c>
      <c r="C2054" s="117" t="s">
        <v>541</v>
      </c>
      <c r="D2054" s="117" t="s">
        <v>3684</v>
      </c>
      <c r="E2054" s="117" t="s">
        <v>86</v>
      </c>
      <c r="F2054" s="117"/>
      <c r="G2054" s="117" t="s">
        <v>24</v>
      </c>
      <c r="H2054" s="117" t="str">
        <f t="shared" si="357"/>
        <v>yes</v>
      </c>
      <c r="I2054" s="117" t="str">
        <f t="shared" si="365"/>
        <v>no</v>
      </c>
      <c r="J2054" s="117" t="str">
        <f t="shared" si="366"/>
        <v>no</v>
      </c>
      <c r="K2054" s="117" t="s">
        <v>1061</v>
      </c>
      <c r="L2054" s="117" t="str">
        <f t="shared" si="358"/>
        <v>detailed</v>
      </c>
      <c r="M2054" s="117" t="str">
        <f t="shared" si="367"/>
        <v>detailed Mining</v>
      </c>
      <c r="N2054" s="118"/>
      <c r="O2054" s="118"/>
      <c r="P2054" s="118"/>
      <c r="Q2054" s="118"/>
      <c r="R2054" s="118"/>
      <c r="S2054" s="117"/>
      <c r="T2054" s="119">
        <v>35160.39</v>
      </c>
      <c r="U2054" s="117" t="s">
        <v>611</v>
      </c>
      <c r="V2054" s="117" t="s">
        <v>2434</v>
      </c>
      <c r="W2054" s="89">
        <f>N2055*T2054</f>
        <v>217994418</v>
      </c>
      <c r="X2054" s="117"/>
      <c r="Y2054" s="117"/>
      <c r="Z2054" s="117"/>
      <c r="AA2054" s="117"/>
      <c r="AB2054" s="117"/>
      <c r="AC2054" s="240"/>
      <c r="AD2054" s="240"/>
      <c r="AE2054" s="240"/>
      <c r="AF2054" s="241"/>
      <c r="AG2054" s="117"/>
      <c r="AH2054" s="124"/>
      <c r="AI2054" s="117"/>
      <c r="AJ2054" s="117"/>
      <c r="AK2054" s="89"/>
      <c r="AL2054" s="117"/>
      <c r="AM2054" s="117"/>
      <c r="AN2054" s="117"/>
      <c r="AO2054" s="117"/>
      <c r="AP2054" s="117"/>
      <c r="AQ2054" s="117"/>
      <c r="AR2054" s="126"/>
      <c r="AS2054" s="117"/>
      <c r="AT2054" s="117"/>
      <c r="AU2054" s="117">
        <v>36</v>
      </c>
      <c r="AV2054" s="128"/>
      <c r="AW2054" s="117">
        <f>VLOOKUP($D2054,'WB Data'!$C$3:$M$578,2,FALSE)</f>
        <v>20265396325.594734</v>
      </c>
      <c r="AX2054" s="117">
        <f>VLOOKUP($D2054,'WB Data'!$C$3:$M$578,3,FALSE)</f>
        <v>13216985</v>
      </c>
      <c r="AY2054" s="847">
        <f t="shared" si="361"/>
        <v>3.7357460216252754E-2</v>
      </c>
      <c r="AZ2054" s="117">
        <f>VLOOKUP($D2054,'WB Data'!$C$3:$M$578,4,FALSE)/100</f>
        <v>0.13919701448081323</v>
      </c>
      <c r="BA2054" s="117">
        <f t="shared" si="362"/>
        <v>2820882665.7932296</v>
      </c>
      <c r="BB2054" s="129">
        <f>IFERROR(VLOOKUP($D2054,'EITI Revenues'!$C$2:$G$224,5,FALSE),"..")</f>
        <v>757063737</v>
      </c>
      <c r="BC2054" s="846">
        <f t="shared" si="363"/>
        <v>0.26837831512113403</v>
      </c>
      <c r="BD2054" s="129">
        <f>VLOOKUP($D2054,'WB Data 2'!$C$2:$K$545,6,FALSE)</f>
        <v>6227075029.4000902</v>
      </c>
      <c r="BE2054" s="129">
        <f>IFERROR(VLOOKUP($D2054,UNCTAD!$C$5:$V$529,4,FALSE),"..")</f>
        <v>7724500000</v>
      </c>
      <c r="BF2054" s="846">
        <f t="shared" si="364"/>
        <v>0.80614603267526574</v>
      </c>
      <c r="BG2054" s="117">
        <f>VLOOKUP($D2054,'WB Data'!$C$3:$M$578,5,FALSE)</f>
        <v>914370000</v>
      </c>
      <c r="BH2054" s="129">
        <f>IFERROR($BB2054/$BG2054,"..")</f>
        <v>0.82796213458446799</v>
      </c>
      <c r="BI2054" s="117" t="str">
        <f>IFERROR(VLOOKUP($D2054,'WB Data'!$C$3:$M$578,7,FALSE)/100,"..")</f>
        <v>..</v>
      </c>
      <c r="BJ2054" s="117" t="str">
        <f>IFERROR($BI2054*$AW2054,"..")</f>
        <v>..</v>
      </c>
      <c r="BK2054" s="846" t="str">
        <f>IFERROR($BB2054/$BJ2054,"..")</f>
        <v>..</v>
      </c>
      <c r="BL2054" s="117" t="str">
        <f>IFERROR(VLOOKUP($D2054,'WB Data'!$C$3:$M$578,7,FALSE)/100,"..")</f>
        <v>..</v>
      </c>
      <c r="BM2054" s="117" t="str">
        <f>IFERROR($AW2054*$BL2054,"..")</f>
        <v>..</v>
      </c>
      <c r="BN2054" s="846" t="str">
        <f>IFERROR($BB2054/$BM2054,"..")</f>
        <v>..</v>
      </c>
      <c r="BO2054" s="801">
        <f t="shared" si="360"/>
        <v>38</v>
      </c>
      <c r="BP2054" s="117">
        <f>VLOOKUP($D2054,'WB Data'!$C$3:$M$578,9,FALSE)</f>
        <v>60.5</v>
      </c>
      <c r="BQ2054" s="117">
        <f>VLOOKUP($D2054,'WB Data'!$C$3:$M$578,10,FALSE)</f>
        <v>54.527560975609767</v>
      </c>
      <c r="BR2054" s="117">
        <f>VLOOKUP($D2054,'WB Data'!$C$3:$M$578,11,FALSE)</f>
        <v>63.5</v>
      </c>
      <c r="BS2054" s="129">
        <f>IFERROR(VLOOKUP($D2054,'WB Data 2'!$C$2:$K$545,9,FALSE),"..")</f>
        <v>89.567220000000006</v>
      </c>
      <c r="BT2054" s="129">
        <f>_xlfn.IFNA(VLOOKUP($C2054,RGI!$A$2:$C$43,2,FALSE),"..")</f>
        <v>41.2</v>
      </c>
      <c r="BU2054" s="129">
        <f>_xlfn.IFNA(VLOOKUP($C2054,RGI!$A$2:$C$43,3,FALSE),"..")</f>
        <v>60.803011070373614</v>
      </c>
      <c r="BV2054" s="129">
        <f>VLOOKUP($D2054,WGI!$C$2:$O$478,7,FALSE)</f>
        <v>-0.25570042695842599</v>
      </c>
      <c r="BW2054" s="129">
        <f>VLOOKUP($D2054,WGI!$C$2:$O$478,4,FALSE)</f>
        <v>0.46161488492609998</v>
      </c>
      <c r="BX2054" s="129">
        <f>VLOOKUP($D2054,WGI!$C$2:$O$478,3,FALSE)</f>
        <v>-0.83001481515334596</v>
      </c>
      <c r="BY2054" s="129">
        <f>VLOOKUP($D2054,WGI!$C$2:$O$478,5,FALSE)</f>
        <v>-0.478631304027406</v>
      </c>
      <c r="BZ2054" s="129">
        <f>VLOOKUP($D2054,WGI!$C$2:$O$478,2,FALSE)</f>
        <v>-0.56542897489310295</v>
      </c>
      <c r="CB2054" s="129"/>
    </row>
    <row r="2055" spans="1:80" s="120" customFormat="1" ht="15" customHeight="1">
      <c r="A2055" s="280" t="s">
        <v>545</v>
      </c>
      <c r="B2055" s="117">
        <v>2010</v>
      </c>
      <c r="C2055" s="117" t="s">
        <v>541</v>
      </c>
      <c r="D2055" s="117" t="s">
        <v>3684</v>
      </c>
      <c r="E2055" s="117" t="s">
        <v>86</v>
      </c>
      <c r="F2055" s="117"/>
      <c r="G2055" s="117" t="s">
        <v>24</v>
      </c>
      <c r="H2055" s="117" t="str">
        <f t="shared" si="357"/>
        <v>yes</v>
      </c>
      <c r="I2055" s="117" t="str">
        <f t="shared" si="365"/>
        <v>no</v>
      </c>
      <c r="J2055" s="117" t="str">
        <f t="shared" si="366"/>
        <v>no</v>
      </c>
      <c r="K2055" s="117" t="s">
        <v>2402</v>
      </c>
      <c r="L2055" s="117" t="str">
        <f t="shared" si="358"/>
        <v>detailed</v>
      </c>
      <c r="M2055" s="117" t="str">
        <f t="shared" si="367"/>
        <v>detailed Mining</v>
      </c>
      <c r="N2055" s="118">
        <v>6200</v>
      </c>
      <c r="O2055" s="118"/>
      <c r="P2055" s="118"/>
      <c r="Q2055" s="118"/>
      <c r="R2055" s="118"/>
      <c r="S2055" s="492" t="s">
        <v>610</v>
      </c>
      <c r="T2055" s="119"/>
      <c r="U2055" s="492"/>
      <c r="V2055" s="117" t="s">
        <v>684</v>
      </c>
      <c r="W2055" s="89"/>
      <c r="X2055" s="117"/>
      <c r="Y2055" s="117"/>
      <c r="Z2055" s="117"/>
      <c r="AA2055" s="117"/>
      <c r="AB2055" s="117"/>
      <c r="AC2055" s="240"/>
      <c r="AD2055" s="240"/>
      <c r="AE2055" s="240"/>
      <c r="AF2055" s="241"/>
      <c r="AG2055" s="117"/>
      <c r="AH2055" s="124"/>
      <c r="AI2055" s="117"/>
      <c r="AJ2055" s="117"/>
      <c r="AK2055" s="89"/>
      <c r="AL2055" s="117"/>
      <c r="AM2055" s="117"/>
      <c r="AN2055" s="117"/>
      <c r="AO2055" s="117"/>
      <c r="AP2055" s="117"/>
      <c r="AQ2055" s="117"/>
      <c r="AR2055" s="126"/>
      <c r="AS2055" s="117"/>
      <c r="AT2055" s="117"/>
      <c r="AU2055" s="117"/>
      <c r="AV2055" s="128"/>
      <c r="AW2055" s="117">
        <f>VLOOKUP($D2055,'WB Data'!$C$3:$M$578,2,FALSE)</f>
        <v>20265396325.594734</v>
      </c>
      <c r="AX2055" s="117">
        <f>VLOOKUP($D2055,'WB Data'!$C$3:$M$578,3,FALSE)</f>
        <v>13216985</v>
      </c>
      <c r="AY2055" s="847">
        <f t="shared" si="361"/>
        <v>3.7357460216252754E-2</v>
      </c>
      <c r="AZ2055" s="117">
        <f>VLOOKUP($D2055,'WB Data'!$C$3:$M$578,4,FALSE)/100</f>
        <v>0.13919701448081323</v>
      </c>
      <c r="BA2055" s="117">
        <f t="shared" si="362"/>
        <v>2820882665.7932296</v>
      </c>
      <c r="BB2055" s="129">
        <f>IFERROR(VLOOKUP($D2055,'EITI Revenues'!$C$2:$G$224,5,FALSE),"..")</f>
        <v>757063737</v>
      </c>
      <c r="BC2055" s="846">
        <f t="shared" si="363"/>
        <v>0.26837831512113403</v>
      </c>
      <c r="BD2055" s="129">
        <f>VLOOKUP($D2055,'WB Data 2'!$C$2:$K$545,6,FALSE)</f>
        <v>6227075029.4000902</v>
      </c>
      <c r="BE2055" s="129">
        <f>IFERROR(VLOOKUP($D2055,UNCTAD!$C$5:$V$529,4,FALSE),"..")</f>
        <v>7724500000</v>
      </c>
      <c r="BF2055" s="846">
        <f t="shared" si="364"/>
        <v>0.80614603267526574</v>
      </c>
      <c r="BG2055" s="117">
        <f>VLOOKUP($D2055,'WB Data'!$C$3:$M$578,5,FALSE)</f>
        <v>914370000</v>
      </c>
      <c r="BH2055" s="129">
        <f>IFERROR($BB2055/$BG2055,"..")</f>
        <v>0.82796213458446799</v>
      </c>
      <c r="BI2055" s="117" t="str">
        <f>IFERROR(VLOOKUP($D2055,'WB Data'!$C$3:$M$578,7,FALSE)/100,"..")</f>
        <v>..</v>
      </c>
      <c r="BJ2055" s="117" t="str">
        <f>IFERROR($BI2055*$AW2055,"..")</f>
        <v>..</v>
      </c>
      <c r="BK2055" s="846" t="str">
        <f>IFERROR($BB2055/$BJ2055,"..")</f>
        <v>..</v>
      </c>
      <c r="BL2055" s="117" t="str">
        <f>IFERROR(VLOOKUP($D2055,'WB Data'!$C$3:$M$578,7,FALSE)/100,"..")</f>
        <v>..</v>
      </c>
      <c r="BM2055" s="117" t="str">
        <f>IFERROR($AW2055*$BL2055,"..")</f>
        <v>..</v>
      </c>
      <c r="BN2055" s="846" t="str">
        <f>IFERROR($BB2055/$BM2055,"..")</f>
        <v>..</v>
      </c>
      <c r="BO2055" s="801">
        <f t="shared" si="360"/>
        <v>38</v>
      </c>
      <c r="BP2055" s="117">
        <f>VLOOKUP($D2055,'WB Data'!$C$3:$M$578,9,FALSE)</f>
        <v>60.5</v>
      </c>
      <c r="BQ2055" s="117">
        <f>VLOOKUP($D2055,'WB Data'!$C$3:$M$578,10,FALSE)</f>
        <v>54.527560975609767</v>
      </c>
      <c r="BR2055" s="117">
        <f>VLOOKUP($D2055,'WB Data'!$C$3:$M$578,11,FALSE)</f>
        <v>63.5</v>
      </c>
      <c r="BS2055" s="129">
        <f>IFERROR(VLOOKUP($D2055,'WB Data 2'!$C$2:$K$545,9,FALSE),"..")</f>
        <v>89.567220000000006</v>
      </c>
      <c r="BT2055" s="129">
        <f>_xlfn.IFNA(VLOOKUP($C2055,RGI!$A$2:$C$43,2,FALSE),"..")</f>
        <v>41.2</v>
      </c>
      <c r="BU2055" s="129">
        <f>_xlfn.IFNA(VLOOKUP($C2055,RGI!$A$2:$C$43,3,FALSE),"..")</f>
        <v>60.803011070373614</v>
      </c>
      <c r="BV2055" s="129">
        <f>VLOOKUP($D2055,WGI!$C$2:$O$478,7,FALSE)</f>
        <v>-0.25570042695842599</v>
      </c>
      <c r="BW2055" s="129">
        <f>VLOOKUP($D2055,WGI!$C$2:$O$478,4,FALSE)</f>
        <v>0.46161488492609998</v>
      </c>
      <c r="BX2055" s="129">
        <f>VLOOKUP($D2055,WGI!$C$2:$O$478,3,FALSE)</f>
        <v>-0.83001481515334596</v>
      </c>
      <c r="BY2055" s="129">
        <f>VLOOKUP($D2055,WGI!$C$2:$O$478,5,FALSE)</f>
        <v>-0.478631304027406</v>
      </c>
      <c r="BZ2055" s="129">
        <f>VLOOKUP($D2055,WGI!$C$2:$O$478,2,FALSE)</f>
        <v>-0.56542897489310295</v>
      </c>
      <c r="CB2055" s="129"/>
    </row>
    <row r="2056" spans="1:80" s="120" customFormat="1" ht="15" customHeight="1">
      <c r="A2056" s="280" t="s">
        <v>545</v>
      </c>
      <c r="B2056" s="117">
        <v>2010</v>
      </c>
      <c r="C2056" s="117" t="s">
        <v>541</v>
      </c>
      <c r="D2056" s="117" t="s">
        <v>3684</v>
      </c>
      <c r="E2056" s="117" t="s">
        <v>86</v>
      </c>
      <c r="F2056" s="117"/>
      <c r="G2056" s="117" t="s">
        <v>24</v>
      </c>
      <c r="H2056" s="117" t="str">
        <f t="shared" si="357"/>
        <v>yes</v>
      </c>
      <c r="I2056" s="117" t="str">
        <f t="shared" si="365"/>
        <v>no</v>
      </c>
      <c r="J2056" s="117" t="str">
        <f t="shared" si="366"/>
        <v>no</v>
      </c>
      <c r="K2056" s="117" t="s">
        <v>1336</v>
      </c>
      <c r="L2056" s="117" t="str">
        <f t="shared" si="358"/>
        <v>detailed</v>
      </c>
      <c r="M2056" s="117" t="str">
        <f t="shared" si="367"/>
        <v>detailed Mining</v>
      </c>
      <c r="N2056" s="118">
        <v>5026</v>
      </c>
      <c r="O2056" s="118"/>
      <c r="P2056" s="118"/>
      <c r="Q2056" s="118"/>
      <c r="R2056" s="118"/>
      <c r="S2056" s="492" t="s">
        <v>610</v>
      </c>
      <c r="T2056" s="119"/>
      <c r="U2056" s="492"/>
      <c r="V2056" s="117" t="s">
        <v>684</v>
      </c>
      <c r="W2056" s="89"/>
      <c r="X2056" s="117"/>
      <c r="Y2056" s="117"/>
      <c r="Z2056" s="117"/>
      <c r="AA2056" s="117"/>
      <c r="AB2056" s="117"/>
      <c r="AC2056" s="240"/>
      <c r="AD2056" s="240"/>
      <c r="AE2056" s="240"/>
      <c r="AF2056" s="241"/>
      <c r="AG2056" s="117"/>
      <c r="AH2056" s="124"/>
      <c r="AI2056" s="117"/>
      <c r="AJ2056" s="117"/>
      <c r="AK2056" s="89"/>
      <c r="AL2056" s="117"/>
      <c r="AM2056" s="117"/>
      <c r="AN2056" s="117"/>
      <c r="AO2056" s="117"/>
      <c r="AP2056" s="117"/>
      <c r="AQ2056" s="117"/>
      <c r="AR2056" s="126"/>
      <c r="AS2056" s="117"/>
      <c r="AT2056" s="117"/>
      <c r="AU2056" s="117"/>
      <c r="AV2056" s="128"/>
      <c r="AW2056" s="117">
        <f>VLOOKUP($D2056,'WB Data'!$C$3:$M$578,2,FALSE)</f>
        <v>20265396325.594734</v>
      </c>
      <c r="AX2056" s="117">
        <f>VLOOKUP($D2056,'WB Data'!$C$3:$M$578,3,FALSE)</f>
        <v>13216985</v>
      </c>
      <c r="AY2056" s="847">
        <f t="shared" si="361"/>
        <v>3.7357460216252754E-2</v>
      </c>
      <c r="AZ2056" s="117">
        <f>VLOOKUP($D2056,'WB Data'!$C$3:$M$578,4,FALSE)/100</f>
        <v>0.13919701448081323</v>
      </c>
      <c r="BA2056" s="117">
        <f t="shared" si="362"/>
        <v>2820882665.7932296</v>
      </c>
      <c r="BB2056" s="129">
        <f>IFERROR(VLOOKUP($D2056,'EITI Revenues'!$C$2:$G$224,5,FALSE),"..")</f>
        <v>757063737</v>
      </c>
      <c r="BC2056" s="846">
        <f t="shared" si="363"/>
        <v>0.26837831512113403</v>
      </c>
      <c r="BD2056" s="129">
        <f>VLOOKUP($D2056,'WB Data 2'!$C$2:$K$545,6,FALSE)</f>
        <v>6227075029.4000902</v>
      </c>
      <c r="BE2056" s="129">
        <f>IFERROR(VLOOKUP($D2056,UNCTAD!$C$5:$V$529,4,FALSE),"..")</f>
        <v>7724500000</v>
      </c>
      <c r="BF2056" s="846">
        <f t="shared" si="364"/>
        <v>0.80614603267526574</v>
      </c>
      <c r="BG2056" s="117">
        <f>VLOOKUP($D2056,'WB Data'!$C$3:$M$578,5,FALSE)</f>
        <v>914370000</v>
      </c>
      <c r="BH2056" s="129">
        <f>IFERROR($BB2056/$BG2056,"..")</f>
        <v>0.82796213458446799</v>
      </c>
      <c r="BI2056" s="117" t="str">
        <f>IFERROR(VLOOKUP($D2056,'WB Data'!$C$3:$M$578,7,FALSE)/100,"..")</f>
        <v>..</v>
      </c>
      <c r="BJ2056" s="117" t="str">
        <f>IFERROR($BI2056*$AW2056,"..")</f>
        <v>..</v>
      </c>
      <c r="BK2056" s="846" t="str">
        <f>IFERROR($BB2056/$BJ2056,"..")</f>
        <v>..</v>
      </c>
      <c r="BL2056" s="117" t="str">
        <f>IFERROR(VLOOKUP($D2056,'WB Data'!$C$3:$M$578,7,FALSE)/100,"..")</f>
        <v>..</v>
      </c>
      <c r="BM2056" s="117" t="str">
        <f>IFERROR($AW2056*$BL2056,"..")</f>
        <v>..</v>
      </c>
      <c r="BN2056" s="846" t="str">
        <f>IFERROR($BB2056/$BM2056,"..")</f>
        <v>..</v>
      </c>
      <c r="BO2056" s="801">
        <f t="shared" si="360"/>
        <v>38</v>
      </c>
      <c r="BP2056" s="117">
        <f>VLOOKUP($D2056,'WB Data'!$C$3:$M$578,9,FALSE)</f>
        <v>60.5</v>
      </c>
      <c r="BQ2056" s="117">
        <f>VLOOKUP($D2056,'WB Data'!$C$3:$M$578,10,FALSE)</f>
        <v>54.527560975609767</v>
      </c>
      <c r="BR2056" s="117">
        <f>VLOOKUP($D2056,'WB Data'!$C$3:$M$578,11,FALSE)</f>
        <v>63.5</v>
      </c>
      <c r="BS2056" s="129">
        <f>IFERROR(VLOOKUP($D2056,'WB Data 2'!$C$2:$K$545,9,FALSE),"..")</f>
        <v>89.567220000000006</v>
      </c>
      <c r="BT2056" s="129">
        <f>_xlfn.IFNA(VLOOKUP($C2056,RGI!$A$2:$C$43,2,FALSE),"..")</f>
        <v>41.2</v>
      </c>
      <c r="BU2056" s="129">
        <f>_xlfn.IFNA(VLOOKUP($C2056,RGI!$A$2:$C$43,3,FALSE),"..")</f>
        <v>60.803011070373614</v>
      </c>
      <c r="BV2056" s="129">
        <f>VLOOKUP($D2056,WGI!$C$2:$O$478,7,FALSE)</f>
        <v>-0.25570042695842599</v>
      </c>
      <c r="BW2056" s="129">
        <f>VLOOKUP($D2056,WGI!$C$2:$O$478,4,FALSE)</f>
        <v>0.46161488492609998</v>
      </c>
      <c r="BX2056" s="129">
        <f>VLOOKUP($D2056,WGI!$C$2:$O$478,3,FALSE)</f>
        <v>-0.83001481515334596</v>
      </c>
      <c r="BY2056" s="129">
        <f>VLOOKUP($D2056,WGI!$C$2:$O$478,5,FALSE)</f>
        <v>-0.478631304027406</v>
      </c>
      <c r="BZ2056" s="129">
        <f>VLOOKUP($D2056,WGI!$C$2:$O$478,2,FALSE)</f>
        <v>-0.56542897489310295</v>
      </c>
      <c r="CB2056" s="129"/>
    </row>
    <row r="2057" spans="1:80" s="120" customFormat="1" ht="15" customHeight="1">
      <c r="A2057" s="280" t="s">
        <v>545</v>
      </c>
      <c r="B2057" s="117">
        <v>2010</v>
      </c>
      <c r="C2057" s="117" t="s">
        <v>541</v>
      </c>
      <c r="D2057" s="117" t="s">
        <v>3684</v>
      </c>
      <c r="E2057" s="117" t="s">
        <v>86</v>
      </c>
      <c r="F2057" s="117"/>
      <c r="G2057" s="117" t="s">
        <v>24</v>
      </c>
      <c r="H2057" s="117" t="str">
        <f t="shared" si="357"/>
        <v>yes</v>
      </c>
      <c r="I2057" s="117" t="str">
        <f t="shared" si="365"/>
        <v>no</v>
      </c>
      <c r="J2057" s="117" t="str">
        <f t="shared" si="366"/>
        <v>no</v>
      </c>
      <c r="K2057" s="117" t="s">
        <v>619</v>
      </c>
      <c r="L2057" s="117" t="str">
        <f t="shared" si="358"/>
        <v>detailed</v>
      </c>
      <c r="M2057" s="117" t="str">
        <f t="shared" si="367"/>
        <v>detailed Mining</v>
      </c>
      <c r="N2057" s="118"/>
      <c r="O2057" s="118"/>
      <c r="P2057" s="118"/>
      <c r="Q2057" s="118"/>
      <c r="R2057" s="118"/>
      <c r="S2057" s="492"/>
      <c r="T2057" s="186">
        <v>7534.7795833333303</v>
      </c>
      <c r="U2057" s="117" t="s">
        <v>611</v>
      </c>
      <c r="V2057" s="117" t="s">
        <v>681</v>
      </c>
      <c r="W2057" s="89">
        <f>SUM(N2059:N2060)*T2057</f>
        <v>7685475174.9999971</v>
      </c>
      <c r="X2057" s="117"/>
      <c r="Y2057" s="117"/>
      <c r="Z2057" s="117"/>
      <c r="AA2057" s="117"/>
      <c r="AB2057" s="117"/>
      <c r="AC2057" s="240"/>
      <c r="AD2057" s="240"/>
      <c r="AE2057" s="240"/>
      <c r="AF2057" s="241"/>
      <c r="AG2057" s="117"/>
      <c r="AH2057" s="124"/>
      <c r="AI2057" s="117"/>
      <c r="AJ2057" s="117"/>
      <c r="AK2057" s="89"/>
      <c r="AL2057" s="117"/>
      <c r="AM2057" s="117"/>
      <c r="AN2057" s="117"/>
      <c r="AO2057" s="117"/>
      <c r="AP2057" s="117"/>
      <c r="AQ2057" s="117"/>
      <c r="AR2057" s="126"/>
      <c r="AS2057" s="117"/>
      <c r="AT2057" s="117"/>
      <c r="AU2057" s="117">
        <v>36</v>
      </c>
      <c r="AV2057" s="128"/>
      <c r="AW2057" s="117">
        <f>VLOOKUP($D2057,'WB Data'!$C$3:$M$578,2,FALSE)</f>
        <v>20265396325.594734</v>
      </c>
      <c r="AX2057" s="117">
        <f>VLOOKUP($D2057,'WB Data'!$C$3:$M$578,3,FALSE)</f>
        <v>13216985</v>
      </c>
      <c r="AY2057" s="847">
        <f t="shared" si="361"/>
        <v>3.7357460216252754E-2</v>
      </c>
      <c r="AZ2057" s="117">
        <f>VLOOKUP($D2057,'WB Data'!$C$3:$M$578,4,FALSE)/100</f>
        <v>0.13919701448081323</v>
      </c>
      <c r="BA2057" s="117">
        <f t="shared" si="362"/>
        <v>2820882665.7932296</v>
      </c>
      <c r="BB2057" s="129">
        <f>IFERROR(VLOOKUP($D2057,'EITI Revenues'!$C$2:$G$224,5,FALSE),"..")</f>
        <v>757063737</v>
      </c>
      <c r="BC2057" s="846">
        <f t="shared" si="363"/>
        <v>0.26837831512113403</v>
      </c>
      <c r="BD2057" s="129">
        <f>VLOOKUP($D2057,'WB Data 2'!$C$2:$K$545,6,FALSE)</f>
        <v>6227075029.4000902</v>
      </c>
      <c r="BE2057" s="129">
        <f>IFERROR(VLOOKUP($D2057,UNCTAD!$C$5:$V$529,4,FALSE),"..")</f>
        <v>7724500000</v>
      </c>
      <c r="BF2057" s="846">
        <f t="shared" si="364"/>
        <v>0.80614603267526574</v>
      </c>
      <c r="BG2057" s="117">
        <f>VLOOKUP($D2057,'WB Data'!$C$3:$M$578,5,FALSE)</f>
        <v>914370000</v>
      </c>
      <c r="BH2057" s="129">
        <f>IFERROR($BB2057/$BG2057,"..")</f>
        <v>0.82796213458446799</v>
      </c>
      <c r="BI2057" s="117" t="str">
        <f>IFERROR(VLOOKUP($D2057,'WB Data'!$C$3:$M$578,7,FALSE)/100,"..")</f>
        <v>..</v>
      </c>
      <c r="BJ2057" s="117" t="str">
        <f>IFERROR($BI2057*$AW2057,"..")</f>
        <v>..</v>
      </c>
      <c r="BK2057" s="846" t="str">
        <f>IFERROR($BB2057/$BJ2057,"..")</f>
        <v>..</v>
      </c>
      <c r="BL2057" s="117" t="str">
        <f>IFERROR(VLOOKUP($D2057,'WB Data'!$C$3:$M$578,7,FALSE)/100,"..")</f>
        <v>..</v>
      </c>
      <c r="BM2057" s="117" t="str">
        <f>IFERROR($AW2057*$BL2057,"..")</f>
        <v>..</v>
      </c>
      <c r="BN2057" s="846" t="str">
        <f>IFERROR($BB2057/$BM2057,"..")</f>
        <v>..</v>
      </c>
      <c r="BO2057" s="801">
        <f t="shared" si="360"/>
        <v>38</v>
      </c>
      <c r="BP2057" s="117">
        <f>VLOOKUP($D2057,'WB Data'!$C$3:$M$578,9,FALSE)</f>
        <v>60.5</v>
      </c>
      <c r="BQ2057" s="117">
        <f>VLOOKUP($D2057,'WB Data'!$C$3:$M$578,10,FALSE)</f>
        <v>54.527560975609767</v>
      </c>
      <c r="BR2057" s="117">
        <f>VLOOKUP($D2057,'WB Data'!$C$3:$M$578,11,FALSE)</f>
        <v>63.5</v>
      </c>
      <c r="BS2057" s="129">
        <f>IFERROR(VLOOKUP($D2057,'WB Data 2'!$C$2:$K$545,9,FALSE),"..")</f>
        <v>89.567220000000006</v>
      </c>
      <c r="BT2057" s="129">
        <f>_xlfn.IFNA(VLOOKUP($C2057,RGI!$A$2:$C$43,2,FALSE),"..")</f>
        <v>41.2</v>
      </c>
      <c r="BU2057" s="129">
        <f>_xlfn.IFNA(VLOOKUP($C2057,RGI!$A$2:$C$43,3,FALSE),"..")</f>
        <v>60.803011070373614</v>
      </c>
      <c r="BV2057" s="129">
        <f>VLOOKUP($D2057,WGI!$C$2:$O$478,7,FALSE)</f>
        <v>-0.25570042695842599</v>
      </c>
      <c r="BW2057" s="129">
        <f>VLOOKUP($D2057,WGI!$C$2:$O$478,4,FALSE)</f>
        <v>0.46161488492609998</v>
      </c>
      <c r="BX2057" s="129">
        <f>VLOOKUP($D2057,WGI!$C$2:$O$478,3,FALSE)</f>
        <v>-0.83001481515334596</v>
      </c>
      <c r="BY2057" s="129">
        <f>VLOOKUP($D2057,WGI!$C$2:$O$478,5,FALSE)</f>
        <v>-0.478631304027406</v>
      </c>
      <c r="BZ2057" s="129">
        <f>VLOOKUP($D2057,WGI!$C$2:$O$478,2,FALSE)</f>
        <v>-0.56542897489310295</v>
      </c>
      <c r="CB2057" s="129"/>
    </row>
    <row r="2058" spans="1:80" s="120" customFormat="1" ht="15" customHeight="1">
      <c r="A2058" s="280" t="s">
        <v>545</v>
      </c>
      <c r="B2058" s="117">
        <v>2010</v>
      </c>
      <c r="C2058" s="117" t="s">
        <v>541</v>
      </c>
      <c r="D2058" s="117" t="s">
        <v>3684</v>
      </c>
      <c r="E2058" s="117" t="s">
        <v>86</v>
      </c>
      <c r="F2058" s="117"/>
      <c r="G2058" s="117" t="s">
        <v>24</v>
      </c>
      <c r="H2058" s="117" t="str">
        <f t="shared" si="357"/>
        <v>yes</v>
      </c>
      <c r="I2058" s="117" t="str">
        <f t="shared" si="365"/>
        <v>no</v>
      </c>
      <c r="J2058" s="117" t="str">
        <f t="shared" si="366"/>
        <v>no</v>
      </c>
      <c r="K2058" s="117" t="s">
        <v>1324</v>
      </c>
      <c r="L2058" s="117" t="str">
        <f t="shared" si="358"/>
        <v>detailed</v>
      </c>
      <c r="M2058" s="117" t="str">
        <f t="shared" si="367"/>
        <v>detailed Mining</v>
      </c>
      <c r="N2058" s="118">
        <v>686000</v>
      </c>
      <c r="O2058" s="118"/>
      <c r="P2058" s="118"/>
      <c r="Q2058" s="118"/>
      <c r="R2058" s="118"/>
      <c r="S2058" s="492" t="s">
        <v>610</v>
      </c>
      <c r="T2058" s="119"/>
      <c r="U2058" s="492"/>
      <c r="V2058" s="117" t="s">
        <v>684</v>
      </c>
      <c r="W2058" s="89"/>
      <c r="X2058" s="117"/>
      <c r="Y2058" s="117"/>
      <c r="Z2058" s="117"/>
      <c r="AA2058" s="117"/>
      <c r="AB2058" s="117"/>
      <c r="AC2058" s="240"/>
      <c r="AD2058" s="240"/>
      <c r="AE2058" s="240"/>
      <c r="AF2058" s="241"/>
      <c r="AG2058" s="117"/>
      <c r="AH2058" s="124"/>
      <c r="AI2058" s="117"/>
      <c r="AJ2058" s="117"/>
      <c r="AK2058" s="89"/>
      <c r="AL2058" s="117"/>
      <c r="AM2058" s="117"/>
      <c r="AN2058" s="117"/>
      <c r="AO2058" s="117"/>
      <c r="AP2058" s="117"/>
      <c r="AQ2058" s="117"/>
      <c r="AR2058" s="126"/>
      <c r="AS2058" s="117"/>
      <c r="AT2058" s="117"/>
      <c r="AU2058" s="117"/>
      <c r="AV2058" s="128"/>
      <c r="AW2058" s="117">
        <f>VLOOKUP($D2058,'WB Data'!$C$3:$M$578,2,FALSE)</f>
        <v>20265396325.594734</v>
      </c>
      <c r="AX2058" s="117">
        <f>VLOOKUP($D2058,'WB Data'!$C$3:$M$578,3,FALSE)</f>
        <v>13216985</v>
      </c>
      <c r="AY2058" s="847">
        <f t="shared" si="361"/>
        <v>3.7357460216252754E-2</v>
      </c>
      <c r="AZ2058" s="117">
        <f>VLOOKUP($D2058,'WB Data'!$C$3:$M$578,4,FALSE)/100</f>
        <v>0.13919701448081323</v>
      </c>
      <c r="BA2058" s="117">
        <f t="shared" si="362"/>
        <v>2820882665.7932296</v>
      </c>
      <c r="BB2058" s="129">
        <f>IFERROR(VLOOKUP($D2058,'EITI Revenues'!$C$2:$G$224,5,FALSE),"..")</f>
        <v>757063737</v>
      </c>
      <c r="BC2058" s="846">
        <f t="shared" si="363"/>
        <v>0.26837831512113403</v>
      </c>
      <c r="BD2058" s="129">
        <f>VLOOKUP($D2058,'WB Data 2'!$C$2:$K$545,6,FALSE)</f>
        <v>6227075029.4000902</v>
      </c>
      <c r="BE2058" s="129">
        <f>IFERROR(VLOOKUP($D2058,UNCTAD!$C$5:$V$529,4,FALSE),"..")</f>
        <v>7724500000</v>
      </c>
      <c r="BF2058" s="846">
        <f t="shared" si="364"/>
        <v>0.80614603267526574</v>
      </c>
      <c r="BG2058" s="117">
        <f>VLOOKUP($D2058,'WB Data'!$C$3:$M$578,5,FALSE)</f>
        <v>914370000</v>
      </c>
      <c r="BH2058" s="129">
        <f>IFERROR($BB2058/$BG2058,"..")</f>
        <v>0.82796213458446799</v>
      </c>
      <c r="BI2058" s="117" t="str">
        <f>IFERROR(VLOOKUP($D2058,'WB Data'!$C$3:$M$578,7,FALSE)/100,"..")</f>
        <v>..</v>
      </c>
      <c r="BJ2058" s="117" t="str">
        <f>IFERROR($BI2058*$AW2058,"..")</f>
        <v>..</v>
      </c>
      <c r="BK2058" s="846" t="str">
        <f>IFERROR($BB2058/$BJ2058,"..")</f>
        <v>..</v>
      </c>
      <c r="BL2058" s="117" t="str">
        <f>IFERROR(VLOOKUP($D2058,'WB Data'!$C$3:$M$578,7,FALSE)/100,"..")</f>
        <v>..</v>
      </c>
      <c r="BM2058" s="117" t="str">
        <f>IFERROR($AW2058*$BL2058,"..")</f>
        <v>..</v>
      </c>
      <c r="BN2058" s="846" t="str">
        <f>IFERROR($BB2058/$BM2058,"..")</f>
        <v>..</v>
      </c>
      <c r="BO2058" s="801">
        <f t="shared" si="360"/>
        <v>38</v>
      </c>
      <c r="BP2058" s="117">
        <f>VLOOKUP($D2058,'WB Data'!$C$3:$M$578,9,FALSE)</f>
        <v>60.5</v>
      </c>
      <c r="BQ2058" s="117">
        <f>VLOOKUP($D2058,'WB Data'!$C$3:$M$578,10,FALSE)</f>
        <v>54.527560975609767</v>
      </c>
      <c r="BR2058" s="117">
        <f>VLOOKUP($D2058,'WB Data'!$C$3:$M$578,11,FALSE)</f>
        <v>63.5</v>
      </c>
      <c r="BS2058" s="129">
        <f>IFERROR(VLOOKUP($D2058,'WB Data 2'!$C$2:$K$545,9,FALSE),"..")</f>
        <v>89.567220000000006</v>
      </c>
      <c r="BT2058" s="129">
        <f>_xlfn.IFNA(VLOOKUP($C2058,RGI!$A$2:$C$43,2,FALSE),"..")</f>
        <v>41.2</v>
      </c>
      <c r="BU2058" s="129">
        <f>_xlfn.IFNA(VLOOKUP($C2058,RGI!$A$2:$C$43,3,FALSE),"..")</f>
        <v>60.803011070373614</v>
      </c>
      <c r="BV2058" s="129">
        <f>VLOOKUP($D2058,WGI!$C$2:$O$478,7,FALSE)</f>
        <v>-0.25570042695842599</v>
      </c>
      <c r="BW2058" s="129">
        <f>VLOOKUP($D2058,WGI!$C$2:$O$478,4,FALSE)</f>
        <v>0.46161488492609998</v>
      </c>
      <c r="BX2058" s="129">
        <f>VLOOKUP($D2058,WGI!$C$2:$O$478,3,FALSE)</f>
        <v>-0.83001481515334596</v>
      </c>
      <c r="BY2058" s="129">
        <f>VLOOKUP($D2058,WGI!$C$2:$O$478,5,FALSE)</f>
        <v>-0.478631304027406</v>
      </c>
      <c r="BZ2058" s="129">
        <f>VLOOKUP($D2058,WGI!$C$2:$O$478,2,FALSE)</f>
        <v>-0.56542897489310295</v>
      </c>
      <c r="CB2058" s="129"/>
    </row>
    <row r="2059" spans="1:80" s="120" customFormat="1" ht="15" customHeight="1">
      <c r="A2059" s="280" t="s">
        <v>545</v>
      </c>
      <c r="B2059" s="117">
        <v>2010</v>
      </c>
      <c r="C2059" s="117" t="s">
        <v>541</v>
      </c>
      <c r="D2059" s="117" t="s">
        <v>3684</v>
      </c>
      <c r="E2059" s="117" t="s">
        <v>86</v>
      </c>
      <c r="F2059" s="117"/>
      <c r="G2059" s="117" t="s">
        <v>24</v>
      </c>
      <c r="H2059" s="117" t="str">
        <f t="shared" si="357"/>
        <v>yes</v>
      </c>
      <c r="I2059" s="117" t="str">
        <f t="shared" si="365"/>
        <v>no</v>
      </c>
      <c r="J2059" s="117" t="str">
        <f t="shared" si="366"/>
        <v>no</v>
      </c>
      <c r="K2059" s="117" t="s">
        <v>1325</v>
      </c>
      <c r="L2059" s="117" t="str">
        <f t="shared" si="358"/>
        <v>detailed</v>
      </c>
      <c r="M2059" s="117" t="str">
        <f t="shared" si="367"/>
        <v>detailed Mining</v>
      </c>
      <c r="N2059" s="118">
        <v>490000</v>
      </c>
      <c r="O2059" s="118"/>
      <c r="P2059" s="118"/>
      <c r="Q2059" s="118"/>
      <c r="R2059" s="118"/>
      <c r="S2059" s="492" t="s">
        <v>610</v>
      </c>
      <c r="T2059" s="119"/>
      <c r="U2059" s="492"/>
      <c r="V2059" s="117" t="s">
        <v>684</v>
      </c>
      <c r="W2059" s="89"/>
      <c r="X2059" s="117"/>
      <c r="Y2059" s="117"/>
      <c r="Z2059" s="117"/>
      <c r="AA2059" s="117"/>
      <c r="AB2059" s="117"/>
      <c r="AC2059" s="240"/>
      <c r="AD2059" s="240"/>
      <c r="AE2059" s="240"/>
      <c r="AF2059" s="241"/>
      <c r="AG2059" s="117"/>
      <c r="AH2059" s="124"/>
      <c r="AI2059" s="117"/>
      <c r="AJ2059" s="117"/>
      <c r="AK2059" s="89"/>
      <c r="AL2059" s="117"/>
      <c r="AM2059" s="117"/>
      <c r="AN2059" s="117"/>
      <c r="AO2059" s="117"/>
      <c r="AP2059" s="117"/>
      <c r="AQ2059" s="117"/>
      <c r="AR2059" s="126"/>
      <c r="AS2059" s="117"/>
      <c r="AT2059" s="117"/>
      <c r="AU2059" s="117"/>
      <c r="AV2059" s="128"/>
      <c r="AW2059" s="117">
        <f>VLOOKUP($D2059,'WB Data'!$C$3:$M$578,2,FALSE)</f>
        <v>20265396325.594734</v>
      </c>
      <c r="AX2059" s="117">
        <f>VLOOKUP($D2059,'WB Data'!$C$3:$M$578,3,FALSE)</f>
        <v>13216985</v>
      </c>
      <c r="AY2059" s="847">
        <f t="shared" si="361"/>
        <v>3.7357460216252754E-2</v>
      </c>
      <c r="AZ2059" s="117">
        <f>VLOOKUP($D2059,'WB Data'!$C$3:$M$578,4,FALSE)/100</f>
        <v>0.13919701448081323</v>
      </c>
      <c r="BA2059" s="117">
        <f t="shared" si="362"/>
        <v>2820882665.7932296</v>
      </c>
      <c r="BB2059" s="129">
        <f>IFERROR(VLOOKUP($D2059,'EITI Revenues'!$C$2:$G$224,5,FALSE),"..")</f>
        <v>757063737</v>
      </c>
      <c r="BC2059" s="846">
        <f t="shared" si="363"/>
        <v>0.26837831512113403</v>
      </c>
      <c r="BD2059" s="129">
        <f>VLOOKUP($D2059,'WB Data 2'!$C$2:$K$545,6,FALSE)</f>
        <v>6227075029.4000902</v>
      </c>
      <c r="BE2059" s="129">
        <f>IFERROR(VLOOKUP($D2059,UNCTAD!$C$5:$V$529,4,FALSE),"..")</f>
        <v>7724500000</v>
      </c>
      <c r="BF2059" s="846">
        <f t="shared" si="364"/>
        <v>0.80614603267526574</v>
      </c>
      <c r="BG2059" s="117">
        <f>VLOOKUP($D2059,'WB Data'!$C$3:$M$578,5,FALSE)</f>
        <v>914370000</v>
      </c>
      <c r="BH2059" s="129">
        <f>IFERROR($BB2059/$BG2059,"..")</f>
        <v>0.82796213458446799</v>
      </c>
      <c r="BI2059" s="117" t="str">
        <f>IFERROR(VLOOKUP($D2059,'WB Data'!$C$3:$M$578,7,FALSE)/100,"..")</f>
        <v>..</v>
      </c>
      <c r="BJ2059" s="117" t="str">
        <f>IFERROR($BI2059*$AW2059,"..")</f>
        <v>..</v>
      </c>
      <c r="BK2059" s="846" t="str">
        <f>IFERROR($BB2059/$BJ2059,"..")</f>
        <v>..</v>
      </c>
      <c r="BL2059" s="117" t="str">
        <f>IFERROR(VLOOKUP($D2059,'WB Data'!$C$3:$M$578,7,FALSE)/100,"..")</f>
        <v>..</v>
      </c>
      <c r="BM2059" s="117" t="str">
        <f>IFERROR($AW2059*$BL2059,"..")</f>
        <v>..</v>
      </c>
      <c r="BN2059" s="846" t="str">
        <f>IFERROR($BB2059/$BM2059,"..")</f>
        <v>..</v>
      </c>
      <c r="BO2059" s="801">
        <f t="shared" si="360"/>
        <v>38</v>
      </c>
      <c r="BP2059" s="117">
        <f>VLOOKUP($D2059,'WB Data'!$C$3:$M$578,9,FALSE)</f>
        <v>60.5</v>
      </c>
      <c r="BQ2059" s="117">
        <f>VLOOKUP($D2059,'WB Data'!$C$3:$M$578,10,FALSE)</f>
        <v>54.527560975609767</v>
      </c>
      <c r="BR2059" s="117">
        <f>VLOOKUP($D2059,'WB Data'!$C$3:$M$578,11,FALSE)</f>
        <v>63.5</v>
      </c>
      <c r="BS2059" s="129">
        <f>IFERROR(VLOOKUP($D2059,'WB Data 2'!$C$2:$K$545,9,FALSE),"..")</f>
        <v>89.567220000000006</v>
      </c>
      <c r="BT2059" s="129">
        <f>_xlfn.IFNA(VLOOKUP($C2059,RGI!$A$2:$C$43,2,FALSE),"..")</f>
        <v>41.2</v>
      </c>
      <c r="BU2059" s="129">
        <f>_xlfn.IFNA(VLOOKUP($C2059,RGI!$A$2:$C$43,3,FALSE),"..")</f>
        <v>60.803011070373614</v>
      </c>
      <c r="BV2059" s="129">
        <f>VLOOKUP($D2059,WGI!$C$2:$O$478,7,FALSE)</f>
        <v>-0.25570042695842599</v>
      </c>
      <c r="BW2059" s="129">
        <f>VLOOKUP($D2059,WGI!$C$2:$O$478,4,FALSE)</f>
        <v>0.46161488492609998</v>
      </c>
      <c r="BX2059" s="129">
        <f>VLOOKUP($D2059,WGI!$C$2:$O$478,3,FALSE)</f>
        <v>-0.83001481515334596</v>
      </c>
      <c r="BY2059" s="129">
        <f>VLOOKUP($D2059,WGI!$C$2:$O$478,5,FALSE)</f>
        <v>-0.478631304027406</v>
      </c>
      <c r="BZ2059" s="129">
        <f>VLOOKUP($D2059,WGI!$C$2:$O$478,2,FALSE)</f>
        <v>-0.56542897489310295</v>
      </c>
      <c r="CB2059" s="129"/>
    </row>
    <row r="2060" spans="1:80" s="120" customFormat="1" ht="15" customHeight="1">
      <c r="A2060" s="280" t="s">
        <v>545</v>
      </c>
      <c r="B2060" s="117">
        <v>2010</v>
      </c>
      <c r="C2060" s="117" t="s">
        <v>541</v>
      </c>
      <c r="D2060" s="117" t="s">
        <v>3684</v>
      </c>
      <c r="E2060" s="117" t="s">
        <v>86</v>
      </c>
      <c r="F2060" s="117"/>
      <c r="G2060" s="117" t="s">
        <v>24</v>
      </c>
      <c r="H2060" s="117" t="str">
        <f t="shared" si="357"/>
        <v>yes</v>
      </c>
      <c r="I2060" s="117" t="str">
        <f t="shared" si="365"/>
        <v>no</v>
      </c>
      <c r="J2060" s="117" t="str">
        <f t="shared" si="366"/>
        <v>no</v>
      </c>
      <c r="K2060" s="117" t="s">
        <v>1326</v>
      </c>
      <c r="L2060" s="117" t="str">
        <f t="shared" si="358"/>
        <v>detailed</v>
      </c>
      <c r="M2060" s="117" t="str">
        <f t="shared" si="367"/>
        <v>detailed Mining</v>
      </c>
      <c r="N2060" s="118">
        <v>530000</v>
      </c>
      <c r="O2060" s="118"/>
      <c r="P2060" s="118"/>
      <c r="Q2060" s="118"/>
      <c r="R2060" s="118"/>
      <c r="S2060" s="492" t="s">
        <v>610</v>
      </c>
      <c r="T2060" s="119"/>
      <c r="U2060" s="492"/>
      <c r="V2060" s="117" t="s">
        <v>684</v>
      </c>
      <c r="W2060" s="89"/>
      <c r="X2060" s="117"/>
      <c r="Y2060" s="117"/>
      <c r="Z2060" s="117"/>
      <c r="AA2060" s="117"/>
      <c r="AB2060" s="117"/>
      <c r="AC2060" s="240"/>
      <c r="AD2060" s="240"/>
      <c r="AE2060" s="240"/>
      <c r="AF2060" s="241"/>
      <c r="AG2060" s="117"/>
      <c r="AH2060" s="124"/>
      <c r="AI2060" s="117"/>
      <c r="AJ2060" s="117"/>
      <c r="AK2060" s="89"/>
      <c r="AL2060" s="117"/>
      <c r="AM2060" s="117"/>
      <c r="AN2060" s="117"/>
      <c r="AO2060" s="117"/>
      <c r="AP2060" s="117"/>
      <c r="AQ2060" s="117"/>
      <c r="AR2060" s="126"/>
      <c r="AS2060" s="117"/>
      <c r="AT2060" s="117"/>
      <c r="AU2060" s="117"/>
      <c r="AV2060" s="128"/>
      <c r="AW2060" s="117">
        <f>VLOOKUP($D2060,'WB Data'!$C$3:$M$578,2,FALSE)</f>
        <v>20265396325.594734</v>
      </c>
      <c r="AX2060" s="117">
        <f>VLOOKUP($D2060,'WB Data'!$C$3:$M$578,3,FALSE)</f>
        <v>13216985</v>
      </c>
      <c r="AY2060" s="847">
        <f t="shared" si="361"/>
        <v>3.7357460216252754E-2</v>
      </c>
      <c r="AZ2060" s="117">
        <f>VLOOKUP($D2060,'WB Data'!$C$3:$M$578,4,FALSE)/100</f>
        <v>0.13919701448081323</v>
      </c>
      <c r="BA2060" s="117">
        <f t="shared" si="362"/>
        <v>2820882665.7932296</v>
      </c>
      <c r="BB2060" s="129">
        <f>IFERROR(VLOOKUP($D2060,'EITI Revenues'!$C$2:$G$224,5,FALSE),"..")</f>
        <v>757063737</v>
      </c>
      <c r="BC2060" s="846">
        <f t="shared" si="363"/>
        <v>0.26837831512113403</v>
      </c>
      <c r="BD2060" s="129">
        <f>VLOOKUP($D2060,'WB Data 2'!$C$2:$K$545,6,FALSE)</f>
        <v>6227075029.4000902</v>
      </c>
      <c r="BE2060" s="129">
        <f>IFERROR(VLOOKUP($D2060,UNCTAD!$C$5:$V$529,4,FALSE),"..")</f>
        <v>7724500000</v>
      </c>
      <c r="BF2060" s="846">
        <f t="shared" si="364"/>
        <v>0.80614603267526574</v>
      </c>
      <c r="BG2060" s="117">
        <f>VLOOKUP($D2060,'WB Data'!$C$3:$M$578,5,FALSE)</f>
        <v>914370000</v>
      </c>
      <c r="BH2060" s="129">
        <f>IFERROR($BB2060/$BG2060,"..")</f>
        <v>0.82796213458446799</v>
      </c>
      <c r="BI2060" s="117" t="str">
        <f>IFERROR(VLOOKUP($D2060,'WB Data'!$C$3:$M$578,7,FALSE)/100,"..")</f>
        <v>..</v>
      </c>
      <c r="BJ2060" s="117" t="str">
        <f>IFERROR($BI2060*$AW2060,"..")</f>
        <v>..</v>
      </c>
      <c r="BK2060" s="846" t="str">
        <f>IFERROR($BB2060/$BJ2060,"..")</f>
        <v>..</v>
      </c>
      <c r="BL2060" s="117" t="str">
        <f>IFERROR(VLOOKUP($D2060,'WB Data'!$C$3:$M$578,7,FALSE)/100,"..")</f>
        <v>..</v>
      </c>
      <c r="BM2060" s="117" t="str">
        <f>IFERROR($AW2060*$BL2060,"..")</f>
        <v>..</v>
      </c>
      <c r="BN2060" s="846" t="str">
        <f>IFERROR($BB2060/$BM2060,"..")</f>
        <v>..</v>
      </c>
      <c r="BO2060" s="801">
        <f t="shared" si="360"/>
        <v>38</v>
      </c>
      <c r="BP2060" s="117">
        <f>VLOOKUP($D2060,'WB Data'!$C$3:$M$578,9,FALSE)</f>
        <v>60.5</v>
      </c>
      <c r="BQ2060" s="117">
        <f>VLOOKUP($D2060,'WB Data'!$C$3:$M$578,10,FALSE)</f>
        <v>54.527560975609767</v>
      </c>
      <c r="BR2060" s="117">
        <f>VLOOKUP($D2060,'WB Data'!$C$3:$M$578,11,FALSE)</f>
        <v>63.5</v>
      </c>
      <c r="BS2060" s="129">
        <f>IFERROR(VLOOKUP($D2060,'WB Data 2'!$C$2:$K$545,9,FALSE),"..")</f>
        <v>89.567220000000006</v>
      </c>
      <c r="BT2060" s="129">
        <f>_xlfn.IFNA(VLOOKUP($C2060,RGI!$A$2:$C$43,2,FALSE),"..")</f>
        <v>41.2</v>
      </c>
      <c r="BU2060" s="129">
        <f>_xlfn.IFNA(VLOOKUP($C2060,RGI!$A$2:$C$43,3,FALSE),"..")</f>
        <v>60.803011070373614</v>
      </c>
      <c r="BV2060" s="129">
        <f>VLOOKUP($D2060,WGI!$C$2:$O$478,7,FALSE)</f>
        <v>-0.25570042695842599</v>
      </c>
      <c r="BW2060" s="129">
        <f>VLOOKUP($D2060,WGI!$C$2:$O$478,4,FALSE)</f>
        <v>0.46161488492609998</v>
      </c>
      <c r="BX2060" s="129">
        <f>VLOOKUP($D2060,WGI!$C$2:$O$478,3,FALSE)</f>
        <v>-0.83001481515334596</v>
      </c>
      <c r="BY2060" s="129">
        <f>VLOOKUP($D2060,WGI!$C$2:$O$478,5,FALSE)</f>
        <v>-0.478631304027406</v>
      </c>
      <c r="BZ2060" s="129">
        <f>VLOOKUP($D2060,WGI!$C$2:$O$478,2,FALSE)</f>
        <v>-0.56542897489310295</v>
      </c>
      <c r="CB2060" s="129"/>
    </row>
    <row r="2061" spans="1:80" s="120" customFormat="1" ht="15" customHeight="1">
      <c r="A2061" s="280" t="s">
        <v>545</v>
      </c>
      <c r="B2061" s="117">
        <v>2010</v>
      </c>
      <c r="C2061" s="117" t="s">
        <v>541</v>
      </c>
      <c r="D2061" s="117" t="s">
        <v>3684</v>
      </c>
      <c r="E2061" s="117" t="s">
        <v>86</v>
      </c>
      <c r="F2061" s="117"/>
      <c r="G2061" s="117" t="s">
        <v>24</v>
      </c>
      <c r="H2061" s="117" t="str">
        <f t="shared" si="357"/>
        <v>yes</v>
      </c>
      <c r="I2061" s="117" t="str">
        <f t="shared" si="365"/>
        <v>no</v>
      </c>
      <c r="J2061" s="117" t="str">
        <f t="shared" si="366"/>
        <v>no</v>
      </c>
      <c r="K2061" s="117" t="s">
        <v>2427</v>
      </c>
      <c r="L2061" s="117" t="str">
        <f t="shared" si="358"/>
        <v>detailed</v>
      </c>
      <c r="M2061" s="117" t="str">
        <f t="shared" si="367"/>
        <v>detailed Mining</v>
      </c>
      <c r="N2061" s="118">
        <v>11000000</v>
      </c>
      <c r="O2061" s="118"/>
      <c r="P2061" s="118"/>
      <c r="Q2061" s="118"/>
      <c r="R2061" s="118"/>
      <c r="S2061" s="89" t="s">
        <v>981</v>
      </c>
      <c r="T2061" s="298">
        <v>3200</v>
      </c>
      <c r="U2061" s="117" t="s">
        <v>982</v>
      </c>
      <c r="V2061" s="401" t="s">
        <v>2435</v>
      </c>
      <c r="W2061" s="298">
        <f>N2061*T2061</f>
        <v>35200000000</v>
      </c>
      <c r="X2061" s="117"/>
      <c r="Y2061" s="117"/>
      <c r="Z2061" s="117"/>
      <c r="AA2061" s="89"/>
      <c r="AB2061" s="89"/>
      <c r="AC2061" s="240"/>
      <c r="AD2061" s="240"/>
      <c r="AE2061" s="240"/>
      <c r="AF2061" s="241"/>
      <c r="AG2061" s="117"/>
      <c r="AH2061" s="124"/>
      <c r="AI2061" s="89"/>
      <c r="AJ2061" s="117"/>
      <c r="AK2061" s="89"/>
      <c r="AL2061" s="117"/>
      <c r="AM2061" s="117"/>
      <c r="AN2061" s="117"/>
      <c r="AO2061" s="117"/>
      <c r="AP2061" s="117"/>
      <c r="AQ2061" s="117"/>
      <c r="AR2061" s="126"/>
      <c r="AS2061" s="117"/>
      <c r="AT2061" s="117"/>
      <c r="AU2061" s="117">
        <v>36</v>
      </c>
      <c r="AV2061" s="128"/>
      <c r="AW2061" s="117">
        <f>VLOOKUP($D2061,'WB Data'!$C$3:$M$578,2,FALSE)</f>
        <v>20265396325.594734</v>
      </c>
      <c r="AX2061" s="117">
        <f>VLOOKUP($D2061,'WB Data'!$C$3:$M$578,3,FALSE)</f>
        <v>13216985</v>
      </c>
      <c r="AY2061" s="847">
        <f t="shared" si="361"/>
        <v>3.7357460216252754E-2</v>
      </c>
      <c r="AZ2061" s="117">
        <f>VLOOKUP($D2061,'WB Data'!$C$3:$M$578,4,FALSE)/100</f>
        <v>0.13919701448081323</v>
      </c>
      <c r="BA2061" s="117">
        <f t="shared" si="362"/>
        <v>2820882665.7932296</v>
      </c>
      <c r="BB2061" s="129">
        <f>IFERROR(VLOOKUP($D2061,'EITI Revenues'!$C$2:$G$224,5,FALSE),"..")</f>
        <v>757063737</v>
      </c>
      <c r="BC2061" s="846">
        <f t="shared" si="363"/>
        <v>0.26837831512113403</v>
      </c>
      <c r="BD2061" s="129">
        <f>VLOOKUP($D2061,'WB Data 2'!$C$2:$K$545,6,FALSE)</f>
        <v>6227075029.4000902</v>
      </c>
      <c r="BE2061" s="129">
        <f>IFERROR(VLOOKUP($D2061,UNCTAD!$C$5:$V$529,4,FALSE),"..")</f>
        <v>7724500000</v>
      </c>
      <c r="BF2061" s="846">
        <f t="shared" si="364"/>
        <v>0.80614603267526574</v>
      </c>
      <c r="BG2061" s="117">
        <f>VLOOKUP($D2061,'WB Data'!$C$3:$M$578,5,FALSE)</f>
        <v>914370000</v>
      </c>
      <c r="BH2061" s="129">
        <f>IFERROR($BB2061/$BG2061,"..")</f>
        <v>0.82796213458446799</v>
      </c>
      <c r="BI2061" s="117" t="str">
        <f>IFERROR(VLOOKUP($D2061,'WB Data'!$C$3:$M$578,7,FALSE)/100,"..")</f>
        <v>..</v>
      </c>
      <c r="BJ2061" s="117" t="str">
        <f>IFERROR($BI2061*$AW2061,"..")</f>
        <v>..</v>
      </c>
      <c r="BK2061" s="846" t="str">
        <f>IFERROR($BB2061/$BJ2061,"..")</f>
        <v>..</v>
      </c>
      <c r="BL2061" s="117" t="str">
        <f>IFERROR(VLOOKUP($D2061,'WB Data'!$C$3:$M$578,7,FALSE)/100,"..")</f>
        <v>..</v>
      </c>
      <c r="BM2061" s="117" t="str">
        <f>IFERROR($AW2061*$BL2061,"..")</f>
        <v>..</v>
      </c>
      <c r="BN2061" s="846" t="str">
        <f>IFERROR($BB2061/$BM2061,"..")</f>
        <v>..</v>
      </c>
      <c r="BO2061" s="801">
        <f t="shared" si="360"/>
        <v>38</v>
      </c>
      <c r="BP2061" s="117">
        <f>VLOOKUP($D2061,'WB Data'!$C$3:$M$578,9,FALSE)</f>
        <v>60.5</v>
      </c>
      <c r="BQ2061" s="117">
        <f>VLOOKUP($D2061,'WB Data'!$C$3:$M$578,10,FALSE)</f>
        <v>54.527560975609767</v>
      </c>
      <c r="BR2061" s="117">
        <f>VLOOKUP($D2061,'WB Data'!$C$3:$M$578,11,FALSE)</f>
        <v>63.5</v>
      </c>
      <c r="BS2061" s="129">
        <f>IFERROR(VLOOKUP($D2061,'WB Data 2'!$C$2:$K$545,9,FALSE),"..")</f>
        <v>89.567220000000006</v>
      </c>
      <c r="BT2061" s="129">
        <f>_xlfn.IFNA(VLOOKUP($C2061,RGI!$A$2:$C$43,2,FALSE),"..")</f>
        <v>41.2</v>
      </c>
      <c r="BU2061" s="129">
        <f>_xlfn.IFNA(VLOOKUP($C2061,RGI!$A$2:$C$43,3,FALSE),"..")</f>
        <v>60.803011070373614</v>
      </c>
      <c r="BV2061" s="129">
        <f>VLOOKUP($D2061,WGI!$C$2:$O$478,7,FALSE)</f>
        <v>-0.25570042695842599</v>
      </c>
      <c r="BW2061" s="129">
        <f>VLOOKUP($D2061,WGI!$C$2:$O$478,4,FALSE)</f>
        <v>0.46161488492609998</v>
      </c>
      <c r="BX2061" s="129">
        <f>VLOOKUP($D2061,WGI!$C$2:$O$478,3,FALSE)</f>
        <v>-0.83001481515334596</v>
      </c>
      <c r="BY2061" s="129">
        <f>VLOOKUP($D2061,WGI!$C$2:$O$478,5,FALSE)</f>
        <v>-0.478631304027406</v>
      </c>
      <c r="BZ2061" s="129">
        <f>VLOOKUP($D2061,WGI!$C$2:$O$478,2,FALSE)</f>
        <v>-0.56542897489310295</v>
      </c>
      <c r="CB2061" s="129"/>
    </row>
    <row r="2062" spans="1:80" s="120" customFormat="1" ht="15" customHeight="1">
      <c r="A2062" s="280" t="s">
        <v>545</v>
      </c>
      <c r="B2062" s="117">
        <v>2010</v>
      </c>
      <c r="C2062" s="117" t="s">
        <v>541</v>
      </c>
      <c r="D2062" s="117" t="s">
        <v>3684</v>
      </c>
      <c r="E2062" s="117" t="s">
        <v>86</v>
      </c>
      <c r="F2062" s="117"/>
      <c r="G2062" s="117" t="s">
        <v>24</v>
      </c>
      <c r="H2062" s="117" t="str">
        <f t="shared" si="357"/>
        <v>yes</v>
      </c>
      <c r="I2062" s="117" t="str">
        <f t="shared" si="365"/>
        <v>no</v>
      </c>
      <c r="J2062" s="117" t="str">
        <f t="shared" si="366"/>
        <v>no</v>
      </c>
      <c r="K2062" s="117" t="s">
        <v>784</v>
      </c>
      <c r="L2062" s="117" t="str">
        <f t="shared" si="358"/>
        <v>detailed</v>
      </c>
      <c r="M2062" s="117" t="str">
        <f t="shared" si="367"/>
        <v>detailed Mining</v>
      </c>
      <c r="N2062" s="118">
        <f>3600*32.1507431265</f>
        <v>115742.67525539998</v>
      </c>
      <c r="O2062" s="118"/>
      <c r="P2062" s="118"/>
      <c r="Q2062" s="118"/>
      <c r="R2062" s="118"/>
      <c r="S2062" s="117" t="s">
        <v>785</v>
      </c>
      <c r="T2062" s="119">
        <v>1224.66425</v>
      </c>
      <c r="U2062" s="117" t="s">
        <v>786</v>
      </c>
      <c r="V2062" s="117" t="s">
        <v>787</v>
      </c>
      <c r="W2062" s="89">
        <f>N2062*T2062</f>
        <v>141745916.58464798</v>
      </c>
      <c r="X2062" s="117"/>
      <c r="Y2062" s="117"/>
      <c r="Z2062" s="117"/>
      <c r="AA2062" s="89"/>
      <c r="AB2062" s="89"/>
      <c r="AC2062" s="240"/>
      <c r="AD2062" s="240"/>
      <c r="AE2062" s="240"/>
      <c r="AF2062" s="241"/>
      <c r="AG2062" s="117"/>
      <c r="AH2062" s="124"/>
      <c r="AI2062" s="117"/>
      <c r="AJ2062" s="117"/>
      <c r="AK2062" s="89"/>
      <c r="AL2062" s="117"/>
      <c r="AM2062" s="117"/>
      <c r="AN2062" s="117"/>
      <c r="AO2062" s="117"/>
      <c r="AP2062" s="117"/>
      <c r="AQ2062" s="117"/>
      <c r="AR2062" s="126"/>
      <c r="AS2062" s="117"/>
      <c r="AT2062" s="117"/>
      <c r="AU2062" s="117">
        <v>36</v>
      </c>
      <c r="AV2062" s="128"/>
      <c r="AW2062" s="117">
        <f>VLOOKUP($D2062,'WB Data'!$C$3:$M$578,2,FALSE)</f>
        <v>20265396325.594734</v>
      </c>
      <c r="AX2062" s="117">
        <f>VLOOKUP($D2062,'WB Data'!$C$3:$M$578,3,FALSE)</f>
        <v>13216985</v>
      </c>
      <c r="AY2062" s="847">
        <f t="shared" si="361"/>
        <v>3.7357460216252754E-2</v>
      </c>
      <c r="AZ2062" s="117">
        <f>VLOOKUP($D2062,'WB Data'!$C$3:$M$578,4,FALSE)/100</f>
        <v>0.13919701448081323</v>
      </c>
      <c r="BA2062" s="117">
        <f t="shared" si="362"/>
        <v>2820882665.7932296</v>
      </c>
      <c r="BB2062" s="129">
        <f>IFERROR(VLOOKUP($D2062,'EITI Revenues'!$C$2:$G$224,5,FALSE),"..")</f>
        <v>757063737</v>
      </c>
      <c r="BC2062" s="846">
        <f t="shared" si="363"/>
        <v>0.26837831512113403</v>
      </c>
      <c r="BD2062" s="129">
        <f>VLOOKUP($D2062,'WB Data 2'!$C$2:$K$545,6,FALSE)</f>
        <v>6227075029.4000902</v>
      </c>
      <c r="BE2062" s="129">
        <f>IFERROR(VLOOKUP($D2062,UNCTAD!$C$5:$V$529,4,FALSE),"..")</f>
        <v>7724500000</v>
      </c>
      <c r="BF2062" s="846">
        <f t="shared" si="364"/>
        <v>0.80614603267526574</v>
      </c>
      <c r="BG2062" s="117">
        <f>VLOOKUP($D2062,'WB Data'!$C$3:$M$578,5,FALSE)</f>
        <v>914370000</v>
      </c>
      <c r="BH2062" s="129">
        <f>IFERROR($BB2062/$BG2062,"..")</f>
        <v>0.82796213458446799</v>
      </c>
      <c r="BI2062" s="117" t="str">
        <f>IFERROR(VLOOKUP($D2062,'WB Data'!$C$3:$M$578,7,FALSE)/100,"..")</f>
        <v>..</v>
      </c>
      <c r="BJ2062" s="117" t="str">
        <f>IFERROR($BI2062*$AW2062,"..")</f>
        <v>..</v>
      </c>
      <c r="BK2062" s="846" t="str">
        <f>IFERROR($BB2062/$BJ2062,"..")</f>
        <v>..</v>
      </c>
      <c r="BL2062" s="117" t="str">
        <f>IFERROR(VLOOKUP($D2062,'WB Data'!$C$3:$M$578,7,FALSE)/100,"..")</f>
        <v>..</v>
      </c>
      <c r="BM2062" s="117" t="str">
        <f>IFERROR($AW2062*$BL2062,"..")</f>
        <v>..</v>
      </c>
      <c r="BN2062" s="846" t="str">
        <f>IFERROR($BB2062/$BM2062,"..")</f>
        <v>..</v>
      </c>
      <c r="BO2062" s="801">
        <f t="shared" si="360"/>
        <v>38</v>
      </c>
      <c r="BP2062" s="117">
        <f>VLOOKUP($D2062,'WB Data'!$C$3:$M$578,9,FALSE)</f>
        <v>60.5</v>
      </c>
      <c r="BQ2062" s="117">
        <f>VLOOKUP($D2062,'WB Data'!$C$3:$M$578,10,FALSE)</f>
        <v>54.527560975609767</v>
      </c>
      <c r="BR2062" s="117">
        <f>VLOOKUP($D2062,'WB Data'!$C$3:$M$578,11,FALSE)</f>
        <v>63.5</v>
      </c>
      <c r="BS2062" s="129">
        <f>IFERROR(VLOOKUP($D2062,'WB Data 2'!$C$2:$K$545,9,FALSE),"..")</f>
        <v>89.567220000000006</v>
      </c>
      <c r="BT2062" s="129">
        <f>_xlfn.IFNA(VLOOKUP($C2062,RGI!$A$2:$C$43,2,FALSE),"..")</f>
        <v>41.2</v>
      </c>
      <c r="BU2062" s="129">
        <f>_xlfn.IFNA(VLOOKUP($C2062,RGI!$A$2:$C$43,3,FALSE),"..")</f>
        <v>60.803011070373614</v>
      </c>
      <c r="BV2062" s="129">
        <f>VLOOKUP($D2062,WGI!$C$2:$O$478,7,FALSE)</f>
        <v>-0.25570042695842599</v>
      </c>
      <c r="BW2062" s="129">
        <f>VLOOKUP($D2062,WGI!$C$2:$O$478,4,FALSE)</f>
        <v>0.46161488492609998</v>
      </c>
      <c r="BX2062" s="129">
        <f>VLOOKUP($D2062,WGI!$C$2:$O$478,3,FALSE)</f>
        <v>-0.83001481515334596</v>
      </c>
      <c r="BY2062" s="129">
        <f>VLOOKUP($D2062,WGI!$C$2:$O$478,5,FALSE)</f>
        <v>-0.478631304027406</v>
      </c>
      <c r="BZ2062" s="129">
        <f>VLOOKUP($D2062,WGI!$C$2:$O$478,2,FALSE)</f>
        <v>-0.56542897489310295</v>
      </c>
      <c r="CB2062" s="129"/>
    </row>
    <row r="2063" spans="1:80" s="120" customFormat="1" ht="15" customHeight="1">
      <c r="A2063" s="280" t="s">
        <v>545</v>
      </c>
      <c r="B2063" s="117">
        <v>2010</v>
      </c>
      <c r="C2063" s="117" t="s">
        <v>541</v>
      </c>
      <c r="D2063" s="117" t="s">
        <v>3684</v>
      </c>
      <c r="E2063" s="117" t="s">
        <v>86</v>
      </c>
      <c r="F2063" s="117"/>
      <c r="G2063" s="117" t="s">
        <v>24</v>
      </c>
      <c r="H2063" s="117" t="str">
        <f t="shared" si="357"/>
        <v>yes</v>
      </c>
      <c r="I2063" s="117" t="str">
        <f t="shared" si="365"/>
        <v>no</v>
      </c>
      <c r="J2063" s="117" t="str">
        <f t="shared" si="366"/>
        <v>no</v>
      </c>
      <c r="K2063" s="117" t="s">
        <v>2098</v>
      </c>
      <c r="L2063" s="117" t="str">
        <f t="shared" si="358"/>
        <v>detailed</v>
      </c>
      <c r="M2063" s="117" t="str">
        <f t="shared" si="367"/>
        <v>detailed Mining</v>
      </c>
      <c r="N2063" s="118">
        <v>140000</v>
      </c>
      <c r="O2063" s="118"/>
      <c r="P2063" s="118"/>
      <c r="Q2063" s="118"/>
      <c r="R2063" s="118"/>
      <c r="S2063" s="117" t="s">
        <v>610</v>
      </c>
      <c r="T2063" s="119">
        <v>114.2</v>
      </c>
      <c r="U2063" s="117" t="s">
        <v>611</v>
      </c>
      <c r="V2063" s="117" t="s">
        <v>1543</v>
      </c>
      <c r="W2063" s="89">
        <f>N2063*T2063</f>
        <v>15988000</v>
      </c>
      <c r="X2063" s="117"/>
      <c r="Y2063" s="117"/>
      <c r="Z2063" s="117"/>
      <c r="AA2063" s="89"/>
      <c r="AB2063" s="89"/>
      <c r="AC2063" s="240"/>
      <c r="AD2063" s="240"/>
      <c r="AE2063" s="240"/>
      <c r="AF2063" s="241"/>
      <c r="AG2063" s="117"/>
      <c r="AH2063" s="124"/>
      <c r="AI2063" s="117"/>
      <c r="AJ2063" s="117"/>
      <c r="AK2063" s="89"/>
      <c r="AL2063" s="117"/>
      <c r="AM2063" s="117"/>
      <c r="AN2063" s="117"/>
      <c r="AO2063" s="117"/>
      <c r="AP2063" s="117"/>
      <c r="AQ2063" s="117"/>
      <c r="AR2063" s="126"/>
      <c r="AS2063" s="117"/>
      <c r="AT2063" s="117"/>
      <c r="AU2063" s="117"/>
      <c r="AV2063" s="128"/>
      <c r="AW2063" s="117">
        <f>VLOOKUP($D2063,'WB Data'!$C$3:$M$578,2,FALSE)</f>
        <v>20265396325.594734</v>
      </c>
      <c r="AX2063" s="117">
        <f>VLOOKUP($D2063,'WB Data'!$C$3:$M$578,3,FALSE)</f>
        <v>13216985</v>
      </c>
      <c r="AY2063" s="847">
        <f t="shared" si="361"/>
        <v>3.7357460216252754E-2</v>
      </c>
      <c r="AZ2063" s="117">
        <f>VLOOKUP($D2063,'WB Data'!$C$3:$M$578,4,FALSE)/100</f>
        <v>0.13919701448081323</v>
      </c>
      <c r="BA2063" s="117">
        <f t="shared" si="362"/>
        <v>2820882665.7932296</v>
      </c>
      <c r="BB2063" s="129">
        <f>IFERROR(VLOOKUP($D2063,'EITI Revenues'!$C$2:$G$224,5,FALSE),"..")</f>
        <v>757063737</v>
      </c>
      <c r="BC2063" s="846">
        <f t="shared" si="363"/>
        <v>0.26837831512113403</v>
      </c>
      <c r="BD2063" s="129">
        <f>VLOOKUP($D2063,'WB Data 2'!$C$2:$K$545,6,FALSE)</f>
        <v>6227075029.4000902</v>
      </c>
      <c r="BE2063" s="129">
        <f>IFERROR(VLOOKUP($D2063,UNCTAD!$C$5:$V$529,4,FALSE),"..")</f>
        <v>7724500000</v>
      </c>
      <c r="BF2063" s="846">
        <f t="shared" si="364"/>
        <v>0.80614603267526574</v>
      </c>
      <c r="BG2063" s="117">
        <f>VLOOKUP($D2063,'WB Data'!$C$3:$M$578,5,FALSE)</f>
        <v>914370000</v>
      </c>
      <c r="BH2063" s="129">
        <f>IFERROR($BB2063/$BG2063,"..")</f>
        <v>0.82796213458446799</v>
      </c>
      <c r="BI2063" s="117" t="str">
        <f>IFERROR(VLOOKUP($D2063,'WB Data'!$C$3:$M$578,7,FALSE)/100,"..")</f>
        <v>..</v>
      </c>
      <c r="BJ2063" s="117" t="str">
        <f>IFERROR($BI2063*$AW2063,"..")</f>
        <v>..</v>
      </c>
      <c r="BK2063" s="846" t="str">
        <f>IFERROR($BB2063/$BJ2063,"..")</f>
        <v>..</v>
      </c>
      <c r="BL2063" s="117" t="str">
        <f>IFERROR(VLOOKUP($D2063,'WB Data'!$C$3:$M$578,7,FALSE)/100,"..")</f>
        <v>..</v>
      </c>
      <c r="BM2063" s="117" t="str">
        <f>IFERROR($AW2063*$BL2063,"..")</f>
        <v>..</v>
      </c>
      <c r="BN2063" s="846" t="str">
        <f>IFERROR($BB2063/$BM2063,"..")</f>
        <v>..</v>
      </c>
      <c r="BO2063" s="801">
        <f t="shared" si="360"/>
        <v>38</v>
      </c>
      <c r="BP2063" s="117">
        <f>VLOOKUP($D2063,'WB Data'!$C$3:$M$578,9,FALSE)</f>
        <v>60.5</v>
      </c>
      <c r="BQ2063" s="117">
        <f>VLOOKUP($D2063,'WB Data'!$C$3:$M$578,10,FALSE)</f>
        <v>54.527560975609767</v>
      </c>
      <c r="BR2063" s="117">
        <f>VLOOKUP($D2063,'WB Data'!$C$3:$M$578,11,FALSE)</f>
        <v>63.5</v>
      </c>
      <c r="BS2063" s="129">
        <f>IFERROR(VLOOKUP($D2063,'WB Data 2'!$C$2:$K$545,9,FALSE),"..")</f>
        <v>89.567220000000006</v>
      </c>
      <c r="BT2063" s="129">
        <f>_xlfn.IFNA(VLOOKUP($C2063,RGI!$A$2:$C$43,2,FALSE),"..")</f>
        <v>41.2</v>
      </c>
      <c r="BU2063" s="129">
        <f>_xlfn.IFNA(VLOOKUP($C2063,RGI!$A$2:$C$43,3,FALSE),"..")</f>
        <v>60.803011070373614</v>
      </c>
      <c r="BV2063" s="129">
        <f>VLOOKUP($D2063,WGI!$C$2:$O$478,7,FALSE)</f>
        <v>-0.25570042695842599</v>
      </c>
      <c r="BW2063" s="129">
        <f>VLOOKUP($D2063,WGI!$C$2:$O$478,4,FALSE)</f>
        <v>0.46161488492609998</v>
      </c>
      <c r="BX2063" s="129">
        <f>VLOOKUP($D2063,WGI!$C$2:$O$478,3,FALSE)</f>
        <v>-0.83001481515334596</v>
      </c>
      <c r="BY2063" s="129">
        <f>VLOOKUP($D2063,WGI!$C$2:$O$478,5,FALSE)</f>
        <v>-0.478631304027406</v>
      </c>
      <c r="BZ2063" s="129">
        <f>VLOOKUP($D2063,WGI!$C$2:$O$478,2,FALSE)</f>
        <v>-0.56542897489310295</v>
      </c>
      <c r="CB2063" s="129"/>
    </row>
    <row r="2064" spans="1:80" s="120" customFormat="1" ht="15" customHeight="1">
      <c r="A2064" s="280" t="s">
        <v>545</v>
      </c>
      <c r="B2064" s="117">
        <v>2010</v>
      </c>
      <c r="C2064" s="117" t="s">
        <v>541</v>
      </c>
      <c r="D2064" s="117" t="s">
        <v>3684</v>
      </c>
      <c r="E2064" s="117" t="s">
        <v>86</v>
      </c>
      <c r="F2064" s="117"/>
      <c r="G2064" s="117" t="s">
        <v>24</v>
      </c>
      <c r="H2064" s="117" t="str">
        <f t="shared" si="357"/>
        <v>yes</v>
      </c>
      <c r="I2064" s="117" t="str">
        <f t="shared" si="365"/>
        <v>no</v>
      </c>
      <c r="J2064" s="117" t="str">
        <f t="shared" si="366"/>
        <v>no</v>
      </c>
      <c r="K2064" s="117" t="s">
        <v>703</v>
      </c>
      <c r="L2064" s="117" t="str">
        <f t="shared" si="358"/>
        <v>detailed</v>
      </c>
      <c r="M2064" s="117" t="str">
        <f t="shared" si="367"/>
        <v>detailed Mining</v>
      </c>
      <c r="N2064" s="118">
        <v>3150000</v>
      </c>
      <c r="O2064" s="118"/>
      <c r="P2064" s="118"/>
      <c r="Q2064" s="118"/>
      <c r="R2064" s="118"/>
      <c r="S2064" s="117" t="s">
        <v>610</v>
      </c>
      <c r="T2064" s="119">
        <v>9.0299999999999994</v>
      </c>
      <c r="U2064" s="117" t="s">
        <v>611</v>
      </c>
      <c r="V2064" s="117" t="s">
        <v>704</v>
      </c>
      <c r="W2064" s="89">
        <f>N2064*T2064</f>
        <v>28444499.999999996</v>
      </c>
      <c r="X2064" s="89"/>
      <c r="Y2064" s="89"/>
      <c r="Z2064" s="89"/>
      <c r="AA2064" s="89"/>
      <c r="AB2064" s="89"/>
      <c r="AC2064" s="240"/>
      <c r="AD2064" s="240"/>
      <c r="AE2064" s="240"/>
      <c r="AF2064" s="241"/>
      <c r="AG2064" s="89"/>
      <c r="AH2064" s="124"/>
      <c r="AI2064" s="117"/>
      <c r="AJ2064" s="117"/>
      <c r="AK2064" s="89"/>
      <c r="AL2064" s="117"/>
      <c r="AM2064" s="117"/>
      <c r="AN2064" s="117"/>
      <c r="AO2064" s="117"/>
      <c r="AP2064" s="117"/>
      <c r="AQ2064" s="117"/>
      <c r="AR2064" s="126"/>
      <c r="AS2064" s="117"/>
      <c r="AT2064" s="117"/>
      <c r="AU2064" s="117">
        <v>36</v>
      </c>
      <c r="AV2064" s="128"/>
      <c r="AW2064" s="117">
        <f>VLOOKUP($D2064,'WB Data'!$C$3:$M$578,2,FALSE)</f>
        <v>20265396325.594734</v>
      </c>
      <c r="AX2064" s="117">
        <f>VLOOKUP($D2064,'WB Data'!$C$3:$M$578,3,FALSE)</f>
        <v>13216985</v>
      </c>
      <c r="AY2064" s="847">
        <f t="shared" si="361"/>
        <v>3.7357460216252754E-2</v>
      </c>
      <c r="AZ2064" s="117">
        <f>VLOOKUP($D2064,'WB Data'!$C$3:$M$578,4,FALSE)/100</f>
        <v>0.13919701448081323</v>
      </c>
      <c r="BA2064" s="117">
        <f t="shared" si="362"/>
        <v>2820882665.7932296</v>
      </c>
      <c r="BB2064" s="129">
        <f>IFERROR(VLOOKUP($D2064,'EITI Revenues'!$C$2:$G$224,5,FALSE),"..")</f>
        <v>757063737</v>
      </c>
      <c r="BC2064" s="846">
        <f t="shared" si="363"/>
        <v>0.26837831512113403</v>
      </c>
      <c r="BD2064" s="129">
        <f>VLOOKUP($D2064,'WB Data 2'!$C$2:$K$545,6,FALSE)</f>
        <v>6227075029.4000902</v>
      </c>
      <c r="BE2064" s="129">
        <f>IFERROR(VLOOKUP($D2064,UNCTAD!$C$5:$V$529,4,FALSE),"..")</f>
        <v>7724500000</v>
      </c>
      <c r="BF2064" s="846">
        <f t="shared" si="364"/>
        <v>0.80614603267526574</v>
      </c>
      <c r="BG2064" s="117">
        <f>VLOOKUP($D2064,'WB Data'!$C$3:$M$578,5,FALSE)</f>
        <v>914370000</v>
      </c>
      <c r="BH2064" s="129">
        <f>IFERROR($BB2064/$BG2064,"..")</f>
        <v>0.82796213458446799</v>
      </c>
      <c r="BI2064" s="117" t="str">
        <f>IFERROR(VLOOKUP($D2064,'WB Data'!$C$3:$M$578,7,FALSE)/100,"..")</f>
        <v>..</v>
      </c>
      <c r="BJ2064" s="117" t="str">
        <f>IFERROR($BI2064*$AW2064,"..")</f>
        <v>..</v>
      </c>
      <c r="BK2064" s="846" t="str">
        <f>IFERROR($BB2064/$BJ2064,"..")</f>
        <v>..</v>
      </c>
      <c r="BL2064" s="117" t="str">
        <f>IFERROR(VLOOKUP($D2064,'WB Data'!$C$3:$M$578,7,FALSE)/100,"..")</f>
        <v>..</v>
      </c>
      <c r="BM2064" s="117" t="str">
        <f>IFERROR($AW2064*$BL2064,"..")</f>
        <v>..</v>
      </c>
      <c r="BN2064" s="846" t="str">
        <f>IFERROR($BB2064/$BM2064,"..")</f>
        <v>..</v>
      </c>
      <c r="BO2064" s="801">
        <f t="shared" si="360"/>
        <v>38</v>
      </c>
      <c r="BP2064" s="117">
        <f>VLOOKUP($D2064,'WB Data'!$C$3:$M$578,9,FALSE)</f>
        <v>60.5</v>
      </c>
      <c r="BQ2064" s="117">
        <f>VLOOKUP($D2064,'WB Data'!$C$3:$M$578,10,FALSE)</f>
        <v>54.527560975609767</v>
      </c>
      <c r="BR2064" s="117">
        <f>VLOOKUP($D2064,'WB Data'!$C$3:$M$578,11,FALSE)</f>
        <v>63.5</v>
      </c>
      <c r="BS2064" s="129">
        <f>IFERROR(VLOOKUP($D2064,'WB Data 2'!$C$2:$K$545,9,FALSE),"..")</f>
        <v>89.567220000000006</v>
      </c>
      <c r="BT2064" s="129">
        <f>_xlfn.IFNA(VLOOKUP($C2064,RGI!$A$2:$C$43,2,FALSE),"..")</f>
        <v>41.2</v>
      </c>
      <c r="BU2064" s="129">
        <f>_xlfn.IFNA(VLOOKUP($C2064,RGI!$A$2:$C$43,3,FALSE),"..")</f>
        <v>60.803011070373614</v>
      </c>
      <c r="BV2064" s="129">
        <f>VLOOKUP($D2064,WGI!$C$2:$O$478,7,FALSE)</f>
        <v>-0.25570042695842599</v>
      </c>
      <c r="BW2064" s="129">
        <f>VLOOKUP($D2064,WGI!$C$2:$O$478,4,FALSE)</f>
        <v>0.46161488492609998</v>
      </c>
      <c r="BX2064" s="129">
        <f>VLOOKUP($D2064,WGI!$C$2:$O$478,3,FALSE)</f>
        <v>-0.83001481515334596</v>
      </c>
      <c r="BY2064" s="129">
        <f>VLOOKUP($D2064,WGI!$C$2:$O$478,5,FALSE)</f>
        <v>-0.478631304027406</v>
      </c>
      <c r="BZ2064" s="129">
        <f>VLOOKUP($D2064,WGI!$C$2:$O$478,2,FALSE)</f>
        <v>-0.56542897489310295</v>
      </c>
      <c r="CB2064" s="129"/>
    </row>
    <row r="2065" spans="1:80" s="120" customFormat="1" ht="15" customHeight="1">
      <c r="A2065" s="280" t="s">
        <v>545</v>
      </c>
      <c r="B2065" s="117">
        <v>2010</v>
      </c>
      <c r="C2065" s="117" t="s">
        <v>541</v>
      </c>
      <c r="D2065" s="117" t="s">
        <v>3684</v>
      </c>
      <c r="E2065" s="117" t="s">
        <v>86</v>
      </c>
      <c r="F2065" s="117"/>
      <c r="G2065" s="117" t="s">
        <v>24</v>
      </c>
      <c r="H2065" s="117" t="str">
        <f t="shared" si="357"/>
        <v>yes</v>
      </c>
      <c r="I2065" s="117" t="str">
        <f t="shared" si="365"/>
        <v>no</v>
      </c>
      <c r="J2065" s="117" t="str">
        <f t="shared" si="366"/>
        <v>no</v>
      </c>
      <c r="K2065" s="117" t="s">
        <v>2436</v>
      </c>
      <c r="L2065" s="117" t="str">
        <f t="shared" si="358"/>
        <v>detailed</v>
      </c>
      <c r="M2065" s="117" t="str">
        <f t="shared" si="367"/>
        <v>detailed Mining</v>
      </c>
      <c r="N2065" s="118"/>
      <c r="O2065" s="118"/>
      <c r="P2065" s="118"/>
      <c r="Q2065" s="118"/>
      <c r="R2065" s="118"/>
      <c r="S2065" s="117"/>
      <c r="T2065" s="119">
        <v>9.64</v>
      </c>
      <c r="U2065" s="117" t="s">
        <v>611</v>
      </c>
      <c r="V2065" s="117" t="s">
        <v>844</v>
      </c>
      <c r="W2065" s="89">
        <f>N2067*T2065</f>
        <v>385600</v>
      </c>
      <c r="X2065" s="89"/>
      <c r="Y2065" s="89"/>
      <c r="Z2065" s="89"/>
      <c r="AA2065" s="89"/>
      <c r="AB2065" s="89"/>
      <c r="AC2065" s="240"/>
      <c r="AD2065" s="240"/>
      <c r="AE2065" s="240"/>
      <c r="AF2065" s="241"/>
      <c r="AG2065" s="89"/>
      <c r="AH2065" s="124"/>
      <c r="AI2065" s="117"/>
      <c r="AJ2065" s="117"/>
      <c r="AK2065" s="89"/>
      <c r="AL2065" s="117"/>
      <c r="AM2065" s="117"/>
      <c r="AN2065" s="117"/>
      <c r="AO2065" s="117"/>
      <c r="AP2065" s="117"/>
      <c r="AQ2065" s="117"/>
      <c r="AR2065" s="126"/>
      <c r="AS2065" s="117"/>
      <c r="AT2065" s="117"/>
      <c r="AU2065" s="117">
        <v>36</v>
      </c>
      <c r="AV2065" s="128"/>
      <c r="AW2065" s="117">
        <f>VLOOKUP($D2065,'WB Data'!$C$3:$M$578,2,FALSE)</f>
        <v>20265396325.594734</v>
      </c>
      <c r="AX2065" s="117">
        <f>VLOOKUP($D2065,'WB Data'!$C$3:$M$578,3,FALSE)</f>
        <v>13216985</v>
      </c>
      <c r="AY2065" s="847">
        <f t="shared" si="361"/>
        <v>3.7357460216252754E-2</v>
      </c>
      <c r="AZ2065" s="117">
        <f>VLOOKUP($D2065,'WB Data'!$C$3:$M$578,4,FALSE)/100</f>
        <v>0.13919701448081323</v>
      </c>
      <c r="BA2065" s="117">
        <f t="shared" si="362"/>
        <v>2820882665.7932296</v>
      </c>
      <c r="BB2065" s="129">
        <f>IFERROR(VLOOKUP($D2065,'EITI Revenues'!$C$2:$G$224,5,FALSE),"..")</f>
        <v>757063737</v>
      </c>
      <c r="BC2065" s="846">
        <f t="shared" si="363"/>
        <v>0.26837831512113403</v>
      </c>
      <c r="BD2065" s="129">
        <f>VLOOKUP($D2065,'WB Data 2'!$C$2:$K$545,6,FALSE)</f>
        <v>6227075029.4000902</v>
      </c>
      <c r="BE2065" s="129">
        <f>IFERROR(VLOOKUP($D2065,UNCTAD!$C$5:$V$529,4,FALSE),"..")</f>
        <v>7724500000</v>
      </c>
      <c r="BF2065" s="846">
        <f t="shared" si="364"/>
        <v>0.80614603267526574</v>
      </c>
      <c r="BG2065" s="117">
        <f>VLOOKUP($D2065,'WB Data'!$C$3:$M$578,5,FALSE)</f>
        <v>914370000</v>
      </c>
      <c r="BH2065" s="129">
        <f>IFERROR($BB2065/$BG2065,"..")</f>
        <v>0.82796213458446799</v>
      </c>
      <c r="BI2065" s="117" t="str">
        <f>IFERROR(VLOOKUP($D2065,'WB Data'!$C$3:$M$578,7,FALSE)/100,"..")</f>
        <v>..</v>
      </c>
      <c r="BJ2065" s="117" t="str">
        <f>IFERROR($BI2065*$AW2065,"..")</f>
        <v>..</v>
      </c>
      <c r="BK2065" s="846" t="str">
        <f>IFERROR($BB2065/$BJ2065,"..")</f>
        <v>..</v>
      </c>
      <c r="BL2065" s="117" t="str">
        <f>IFERROR(VLOOKUP($D2065,'WB Data'!$C$3:$M$578,7,FALSE)/100,"..")</f>
        <v>..</v>
      </c>
      <c r="BM2065" s="117" t="str">
        <f>IFERROR($AW2065*$BL2065,"..")</f>
        <v>..</v>
      </c>
      <c r="BN2065" s="846" t="str">
        <f>IFERROR($BB2065/$BM2065,"..")</f>
        <v>..</v>
      </c>
      <c r="BO2065" s="801">
        <f t="shared" si="360"/>
        <v>38</v>
      </c>
      <c r="BP2065" s="117">
        <f>VLOOKUP($D2065,'WB Data'!$C$3:$M$578,9,FALSE)</f>
        <v>60.5</v>
      </c>
      <c r="BQ2065" s="117">
        <f>VLOOKUP($D2065,'WB Data'!$C$3:$M$578,10,FALSE)</f>
        <v>54.527560975609767</v>
      </c>
      <c r="BR2065" s="117">
        <f>VLOOKUP($D2065,'WB Data'!$C$3:$M$578,11,FALSE)</f>
        <v>63.5</v>
      </c>
      <c r="BS2065" s="129">
        <f>IFERROR(VLOOKUP($D2065,'WB Data 2'!$C$2:$K$545,9,FALSE),"..")</f>
        <v>89.567220000000006</v>
      </c>
      <c r="BT2065" s="129">
        <f>_xlfn.IFNA(VLOOKUP($C2065,RGI!$A$2:$C$43,2,FALSE),"..")</f>
        <v>41.2</v>
      </c>
      <c r="BU2065" s="129">
        <f>_xlfn.IFNA(VLOOKUP($C2065,RGI!$A$2:$C$43,3,FALSE),"..")</f>
        <v>60.803011070373614</v>
      </c>
      <c r="BV2065" s="129">
        <f>VLOOKUP($D2065,WGI!$C$2:$O$478,7,FALSE)</f>
        <v>-0.25570042695842599</v>
      </c>
      <c r="BW2065" s="129">
        <f>VLOOKUP($D2065,WGI!$C$2:$O$478,4,FALSE)</f>
        <v>0.46161488492609998</v>
      </c>
      <c r="BX2065" s="129">
        <f>VLOOKUP($D2065,WGI!$C$2:$O$478,3,FALSE)</f>
        <v>-0.83001481515334596</v>
      </c>
      <c r="BY2065" s="129">
        <f>VLOOKUP($D2065,WGI!$C$2:$O$478,5,FALSE)</f>
        <v>-0.478631304027406</v>
      </c>
      <c r="BZ2065" s="129">
        <f>VLOOKUP($D2065,WGI!$C$2:$O$478,2,FALSE)</f>
        <v>-0.56542897489310295</v>
      </c>
      <c r="CB2065" s="129"/>
    </row>
    <row r="2066" spans="1:80" s="120" customFormat="1" ht="15" customHeight="1">
      <c r="A2066" s="280" t="s">
        <v>545</v>
      </c>
      <c r="B2066" s="117">
        <v>2010</v>
      </c>
      <c r="C2066" s="117" t="s">
        <v>541</v>
      </c>
      <c r="D2066" s="117" t="s">
        <v>3684</v>
      </c>
      <c r="E2066" s="117" t="s">
        <v>86</v>
      </c>
      <c r="F2066" s="117"/>
      <c r="G2066" s="117" t="s">
        <v>24</v>
      </c>
      <c r="H2066" s="117" t="str">
        <f t="shared" si="357"/>
        <v>yes</v>
      </c>
      <c r="I2066" s="117" t="str">
        <f t="shared" si="365"/>
        <v>no</v>
      </c>
      <c r="J2066" s="117" t="str">
        <f t="shared" si="366"/>
        <v>no</v>
      </c>
      <c r="K2066" s="117" t="s">
        <v>1066</v>
      </c>
      <c r="L2066" s="117" t="str">
        <f t="shared" si="358"/>
        <v>detailed</v>
      </c>
      <c r="M2066" s="117" t="str">
        <f t="shared" si="367"/>
        <v>detailed Mining</v>
      </c>
      <c r="N2066" s="118">
        <v>120000</v>
      </c>
      <c r="O2066" s="118"/>
      <c r="P2066" s="118"/>
      <c r="Q2066" s="118"/>
      <c r="R2066" s="118"/>
      <c r="S2066" s="117" t="s">
        <v>610</v>
      </c>
      <c r="T2066" s="119"/>
      <c r="U2066" s="117"/>
      <c r="V2066" s="117" t="s">
        <v>684</v>
      </c>
      <c r="W2066" s="89"/>
      <c r="X2066" s="89"/>
      <c r="Y2066" s="89"/>
      <c r="Z2066" s="89"/>
      <c r="AA2066" s="89"/>
      <c r="AB2066" s="89"/>
      <c r="AC2066" s="240"/>
      <c r="AD2066" s="240"/>
      <c r="AE2066" s="240"/>
      <c r="AF2066" s="241"/>
      <c r="AG2066" s="89"/>
      <c r="AH2066" s="124"/>
      <c r="AI2066" s="117"/>
      <c r="AJ2066" s="117"/>
      <c r="AK2066" s="89"/>
      <c r="AL2066" s="117"/>
      <c r="AM2066" s="117"/>
      <c r="AN2066" s="117"/>
      <c r="AO2066" s="117"/>
      <c r="AP2066" s="117"/>
      <c r="AQ2066" s="117"/>
      <c r="AR2066" s="126"/>
      <c r="AS2066" s="117"/>
      <c r="AT2066" s="117"/>
      <c r="AU2066" s="117"/>
      <c r="AV2066" s="128"/>
      <c r="AW2066" s="117">
        <f>VLOOKUP($D2066,'WB Data'!$C$3:$M$578,2,FALSE)</f>
        <v>20265396325.594734</v>
      </c>
      <c r="AX2066" s="117">
        <f>VLOOKUP($D2066,'WB Data'!$C$3:$M$578,3,FALSE)</f>
        <v>13216985</v>
      </c>
      <c r="AY2066" s="847">
        <f t="shared" si="361"/>
        <v>3.7357460216252754E-2</v>
      </c>
      <c r="AZ2066" s="117">
        <f>VLOOKUP($D2066,'WB Data'!$C$3:$M$578,4,FALSE)/100</f>
        <v>0.13919701448081323</v>
      </c>
      <c r="BA2066" s="117">
        <f t="shared" si="362"/>
        <v>2820882665.7932296</v>
      </c>
      <c r="BB2066" s="129">
        <f>IFERROR(VLOOKUP($D2066,'EITI Revenues'!$C$2:$G$224,5,FALSE),"..")</f>
        <v>757063737</v>
      </c>
      <c r="BC2066" s="846">
        <f t="shared" si="363"/>
        <v>0.26837831512113403</v>
      </c>
      <c r="BD2066" s="129">
        <f>VLOOKUP($D2066,'WB Data 2'!$C$2:$K$545,6,FALSE)</f>
        <v>6227075029.4000902</v>
      </c>
      <c r="BE2066" s="129">
        <f>IFERROR(VLOOKUP($D2066,UNCTAD!$C$5:$V$529,4,FALSE),"..")</f>
        <v>7724500000</v>
      </c>
      <c r="BF2066" s="846">
        <f t="shared" si="364"/>
        <v>0.80614603267526574</v>
      </c>
      <c r="BG2066" s="117">
        <f>VLOOKUP($D2066,'WB Data'!$C$3:$M$578,5,FALSE)</f>
        <v>914370000</v>
      </c>
      <c r="BH2066" s="129">
        <f>IFERROR($BB2066/$BG2066,"..")</f>
        <v>0.82796213458446799</v>
      </c>
      <c r="BI2066" s="117" t="str">
        <f>IFERROR(VLOOKUP($D2066,'WB Data'!$C$3:$M$578,7,FALSE)/100,"..")</f>
        <v>..</v>
      </c>
      <c r="BJ2066" s="117" t="str">
        <f>IFERROR($BI2066*$AW2066,"..")</f>
        <v>..</v>
      </c>
      <c r="BK2066" s="846" t="str">
        <f>IFERROR($BB2066/$BJ2066,"..")</f>
        <v>..</v>
      </c>
      <c r="BL2066" s="117" t="str">
        <f>IFERROR(VLOOKUP($D2066,'WB Data'!$C$3:$M$578,7,FALSE)/100,"..")</f>
        <v>..</v>
      </c>
      <c r="BM2066" s="117" t="str">
        <f>IFERROR($AW2066*$BL2066,"..")</f>
        <v>..</v>
      </c>
      <c r="BN2066" s="846" t="str">
        <f>IFERROR($BB2066/$BM2066,"..")</f>
        <v>..</v>
      </c>
      <c r="BO2066" s="801">
        <f t="shared" si="360"/>
        <v>38</v>
      </c>
      <c r="BP2066" s="117">
        <f>VLOOKUP($D2066,'WB Data'!$C$3:$M$578,9,FALSE)</f>
        <v>60.5</v>
      </c>
      <c r="BQ2066" s="117">
        <f>VLOOKUP($D2066,'WB Data'!$C$3:$M$578,10,FALSE)</f>
        <v>54.527560975609767</v>
      </c>
      <c r="BR2066" s="117">
        <f>VLOOKUP($D2066,'WB Data'!$C$3:$M$578,11,FALSE)</f>
        <v>63.5</v>
      </c>
      <c r="BS2066" s="129">
        <f>IFERROR(VLOOKUP($D2066,'WB Data 2'!$C$2:$K$545,9,FALSE),"..")</f>
        <v>89.567220000000006</v>
      </c>
      <c r="BT2066" s="129">
        <f>_xlfn.IFNA(VLOOKUP($C2066,RGI!$A$2:$C$43,2,FALSE),"..")</f>
        <v>41.2</v>
      </c>
      <c r="BU2066" s="129">
        <f>_xlfn.IFNA(VLOOKUP($C2066,RGI!$A$2:$C$43,3,FALSE),"..")</f>
        <v>60.803011070373614</v>
      </c>
      <c r="BV2066" s="129">
        <f>VLOOKUP($D2066,WGI!$C$2:$O$478,7,FALSE)</f>
        <v>-0.25570042695842599</v>
      </c>
      <c r="BW2066" s="129">
        <f>VLOOKUP($D2066,WGI!$C$2:$O$478,4,FALSE)</f>
        <v>0.46161488492609998</v>
      </c>
      <c r="BX2066" s="129">
        <f>VLOOKUP($D2066,WGI!$C$2:$O$478,3,FALSE)</f>
        <v>-0.83001481515334596</v>
      </c>
      <c r="BY2066" s="129">
        <f>VLOOKUP($D2066,WGI!$C$2:$O$478,5,FALSE)</f>
        <v>-0.478631304027406</v>
      </c>
      <c r="BZ2066" s="129">
        <f>VLOOKUP($D2066,WGI!$C$2:$O$478,2,FALSE)</f>
        <v>-0.56542897489310295</v>
      </c>
      <c r="CB2066" s="129"/>
    </row>
    <row r="2067" spans="1:80" s="120" customFormat="1" ht="15" customHeight="1">
      <c r="A2067" s="280" t="s">
        <v>545</v>
      </c>
      <c r="B2067" s="117">
        <v>2010</v>
      </c>
      <c r="C2067" s="117" t="s">
        <v>541</v>
      </c>
      <c r="D2067" s="117" t="s">
        <v>3684</v>
      </c>
      <c r="E2067" s="117" t="s">
        <v>86</v>
      </c>
      <c r="F2067" s="117"/>
      <c r="G2067" s="117" t="s">
        <v>24</v>
      </c>
      <c r="H2067" s="117" t="str">
        <f t="shared" si="357"/>
        <v>yes</v>
      </c>
      <c r="I2067" s="117" t="str">
        <f t="shared" si="365"/>
        <v>no</v>
      </c>
      <c r="J2067" s="117" t="str">
        <f t="shared" si="366"/>
        <v>no</v>
      </c>
      <c r="K2067" s="117" t="s">
        <v>1432</v>
      </c>
      <c r="L2067" s="117" t="str">
        <f t="shared" si="358"/>
        <v>detailed</v>
      </c>
      <c r="M2067" s="117" t="str">
        <f t="shared" si="367"/>
        <v>detailed Mining</v>
      </c>
      <c r="N2067" s="118">
        <v>40000</v>
      </c>
      <c r="O2067" s="118"/>
      <c r="P2067" s="118"/>
      <c r="Q2067" s="118"/>
      <c r="R2067" s="118"/>
      <c r="S2067" s="117" t="s">
        <v>610</v>
      </c>
      <c r="T2067" s="119"/>
      <c r="U2067" s="117"/>
      <c r="V2067" s="117" t="s">
        <v>684</v>
      </c>
      <c r="W2067" s="89"/>
      <c r="X2067" s="89"/>
      <c r="Y2067" s="89"/>
      <c r="Z2067" s="89"/>
      <c r="AA2067" s="89"/>
      <c r="AB2067" s="89"/>
      <c r="AC2067" s="240"/>
      <c r="AD2067" s="240"/>
      <c r="AE2067" s="240"/>
      <c r="AF2067" s="241"/>
      <c r="AG2067" s="89"/>
      <c r="AH2067" s="124"/>
      <c r="AI2067" s="117"/>
      <c r="AJ2067" s="117"/>
      <c r="AK2067" s="89"/>
      <c r="AL2067" s="117"/>
      <c r="AM2067" s="117"/>
      <c r="AN2067" s="117"/>
      <c r="AO2067" s="117"/>
      <c r="AP2067" s="117"/>
      <c r="AQ2067" s="117"/>
      <c r="AR2067" s="126"/>
      <c r="AS2067" s="117"/>
      <c r="AT2067" s="117"/>
      <c r="AU2067" s="117"/>
      <c r="AV2067" s="128"/>
      <c r="AW2067" s="117">
        <f>VLOOKUP($D2067,'WB Data'!$C$3:$M$578,2,FALSE)</f>
        <v>20265396325.594734</v>
      </c>
      <c r="AX2067" s="117">
        <f>VLOOKUP($D2067,'WB Data'!$C$3:$M$578,3,FALSE)</f>
        <v>13216985</v>
      </c>
      <c r="AY2067" s="847">
        <f t="shared" si="361"/>
        <v>3.7357460216252754E-2</v>
      </c>
      <c r="AZ2067" s="117">
        <f>VLOOKUP($D2067,'WB Data'!$C$3:$M$578,4,FALSE)/100</f>
        <v>0.13919701448081323</v>
      </c>
      <c r="BA2067" s="117">
        <f t="shared" si="362"/>
        <v>2820882665.7932296</v>
      </c>
      <c r="BB2067" s="129">
        <f>IFERROR(VLOOKUP($D2067,'EITI Revenues'!$C$2:$G$224,5,FALSE),"..")</f>
        <v>757063737</v>
      </c>
      <c r="BC2067" s="846">
        <f t="shared" si="363"/>
        <v>0.26837831512113403</v>
      </c>
      <c r="BD2067" s="129">
        <f>VLOOKUP($D2067,'WB Data 2'!$C$2:$K$545,6,FALSE)</f>
        <v>6227075029.4000902</v>
      </c>
      <c r="BE2067" s="129">
        <f>IFERROR(VLOOKUP($D2067,UNCTAD!$C$5:$V$529,4,FALSE),"..")</f>
        <v>7724500000</v>
      </c>
      <c r="BF2067" s="846">
        <f t="shared" si="364"/>
        <v>0.80614603267526574</v>
      </c>
      <c r="BG2067" s="117">
        <f>VLOOKUP($D2067,'WB Data'!$C$3:$M$578,5,FALSE)</f>
        <v>914370000</v>
      </c>
      <c r="BH2067" s="129">
        <f>IFERROR($BB2067/$BG2067,"..")</f>
        <v>0.82796213458446799</v>
      </c>
      <c r="BI2067" s="117" t="str">
        <f>IFERROR(VLOOKUP($D2067,'WB Data'!$C$3:$M$578,7,FALSE)/100,"..")</f>
        <v>..</v>
      </c>
      <c r="BJ2067" s="117" t="str">
        <f>IFERROR($BI2067*$AW2067,"..")</f>
        <v>..</v>
      </c>
      <c r="BK2067" s="846" t="str">
        <f>IFERROR($BB2067/$BJ2067,"..")</f>
        <v>..</v>
      </c>
      <c r="BL2067" s="117" t="str">
        <f>IFERROR(VLOOKUP($D2067,'WB Data'!$C$3:$M$578,7,FALSE)/100,"..")</f>
        <v>..</v>
      </c>
      <c r="BM2067" s="117" t="str">
        <f>IFERROR($AW2067*$BL2067,"..")</f>
        <v>..</v>
      </c>
      <c r="BN2067" s="846" t="str">
        <f>IFERROR($BB2067/$BM2067,"..")</f>
        <v>..</v>
      </c>
      <c r="BO2067" s="801">
        <f t="shared" si="360"/>
        <v>38</v>
      </c>
      <c r="BP2067" s="117">
        <f>VLOOKUP($D2067,'WB Data'!$C$3:$M$578,9,FALSE)</f>
        <v>60.5</v>
      </c>
      <c r="BQ2067" s="117">
        <f>VLOOKUP($D2067,'WB Data'!$C$3:$M$578,10,FALSE)</f>
        <v>54.527560975609767</v>
      </c>
      <c r="BR2067" s="117">
        <f>VLOOKUP($D2067,'WB Data'!$C$3:$M$578,11,FALSE)</f>
        <v>63.5</v>
      </c>
      <c r="BS2067" s="129">
        <f>IFERROR(VLOOKUP($D2067,'WB Data 2'!$C$2:$K$545,9,FALSE),"..")</f>
        <v>89.567220000000006</v>
      </c>
      <c r="BT2067" s="129">
        <f>_xlfn.IFNA(VLOOKUP($C2067,RGI!$A$2:$C$43,2,FALSE),"..")</f>
        <v>41.2</v>
      </c>
      <c r="BU2067" s="129">
        <f>_xlfn.IFNA(VLOOKUP($C2067,RGI!$A$2:$C$43,3,FALSE),"..")</f>
        <v>60.803011070373614</v>
      </c>
      <c r="BV2067" s="129">
        <f>VLOOKUP($D2067,WGI!$C$2:$O$478,7,FALSE)</f>
        <v>-0.25570042695842599</v>
      </c>
      <c r="BW2067" s="129">
        <f>VLOOKUP($D2067,WGI!$C$2:$O$478,4,FALSE)</f>
        <v>0.46161488492609998</v>
      </c>
      <c r="BX2067" s="129">
        <f>VLOOKUP($D2067,WGI!$C$2:$O$478,3,FALSE)</f>
        <v>-0.83001481515334596</v>
      </c>
      <c r="BY2067" s="129">
        <f>VLOOKUP($D2067,WGI!$C$2:$O$478,5,FALSE)</f>
        <v>-0.478631304027406</v>
      </c>
      <c r="BZ2067" s="129">
        <f>VLOOKUP($D2067,WGI!$C$2:$O$478,2,FALSE)</f>
        <v>-0.56542897489310295</v>
      </c>
      <c r="CB2067" s="129"/>
    </row>
    <row r="2068" spans="1:80" s="120" customFormat="1" ht="15" customHeight="1">
      <c r="A2068" s="280" t="s">
        <v>545</v>
      </c>
      <c r="B2068" s="117">
        <v>2010</v>
      </c>
      <c r="C2068" s="117" t="s">
        <v>541</v>
      </c>
      <c r="D2068" s="117" t="s">
        <v>3684</v>
      </c>
      <c r="E2068" s="117" t="s">
        <v>86</v>
      </c>
      <c r="F2068" s="117"/>
      <c r="G2068" s="117" t="s">
        <v>24</v>
      </c>
      <c r="H2068" s="117" t="str">
        <f t="shared" si="357"/>
        <v>yes</v>
      </c>
      <c r="I2068" s="117" t="str">
        <f t="shared" si="365"/>
        <v>no</v>
      </c>
      <c r="J2068" s="117" t="str">
        <f t="shared" si="366"/>
        <v>no</v>
      </c>
      <c r="K2068" s="117" t="s">
        <v>2417</v>
      </c>
      <c r="L2068" s="117" t="str">
        <f t="shared" si="358"/>
        <v>detailed</v>
      </c>
      <c r="M2068" s="117" t="str">
        <f t="shared" si="367"/>
        <v>detailed Mining</v>
      </c>
      <c r="N2068" s="118">
        <v>2482</v>
      </c>
      <c r="O2068" s="118"/>
      <c r="P2068" s="118"/>
      <c r="Q2068" s="118"/>
      <c r="R2068" s="118"/>
      <c r="S2068" s="117" t="s">
        <v>610</v>
      </c>
      <c r="T2068" s="186">
        <v>21808.852416666701</v>
      </c>
      <c r="U2068" s="117" t="s">
        <v>611</v>
      </c>
      <c r="V2068" s="117" t="s">
        <v>1680</v>
      </c>
      <c r="W2068" s="89">
        <f>N2068*T2068</f>
        <v>54129571.69816675</v>
      </c>
      <c r="X2068" s="117"/>
      <c r="Y2068" s="89"/>
      <c r="Z2068" s="89"/>
      <c r="AA2068" s="89">
        <v>1753873.2</v>
      </c>
      <c r="AB2068" s="89">
        <v>3901248</v>
      </c>
      <c r="AC2068" s="240"/>
      <c r="AD2068" s="240"/>
      <c r="AE2068" s="240"/>
      <c r="AF2068" s="241">
        <f>AA2068/W2068</f>
        <v>3.2401386986392867E-2</v>
      </c>
      <c r="AG2068" s="89"/>
      <c r="AH2068" s="124"/>
      <c r="AI2068" s="117"/>
      <c r="AJ2068" s="117"/>
      <c r="AK2068" s="89"/>
      <c r="AL2068" s="117"/>
      <c r="AM2068" s="117"/>
      <c r="AN2068" s="117"/>
      <c r="AO2068" s="117"/>
      <c r="AP2068" s="117"/>
      <c r="AQ2068" s="117"/>
      <c r="AR2068" s="126"/>
      <c r="AS2068" s="117"/>
      <c r="AT2068" s="117"/>
      <c r="AU2068" s="117">
        <v>36</v>
      </c>
      <c r="AV2068" s="128"/>
      <c r="AW2068" s="117">
        <f>VLOOKUP($D2068,'WB Data'!$C$3:$M$578,2,FALSE)</f>
        <v>20265396325.594734</v>
      </c>
      <c r="AX2068" s="117">
        <f>VLOOKUP($D2068,'WB Data'!$C$3:$M$578,3,FALSE)</f>
        <v>13216985</v>
      </c>
      <c r="AY2068" s="847">
        <f t="shared" si="361"/>
        <v>3.7357460216252754E-2</v>
      </c>
      <c r="AZ2068" s="117">
        <f>VLOOKUP($D2068,'WB Data'!$C$3:$M$578,4,FALSE)/100</f>
        <v>0.13919701448081323</v>
      </c>
      <c r="BA2068" s="117">
        <f t="shared" si="362"/>
        <v>2820882665.7932296</v>
      </c>
      <c r="BB2068" s="129">
        <f>IFERROR(VLOOKUP($D2068,'EITI Revenues'!$C$2:$G$224,5,FALSE),"..")</f>
        <v>757063737</v>
      </c>
      <c r="BC2068" s="846">
        <f t="shared" si="363"/>
        <v>0.26837831512113403</v>
      </c>
      <c r="BD2068" s="129">
        <f>VLOOKUP($D2068,'WB Data 2'!$C$2:$K$545,6,FALSE)</f>
        <v>6227075029.4000902</v>
      </c>
      <c r="BE2068" s="129">
        <f>IFERROR(VLOOKUP($D2068,UNCTAD!$C$5:$V$529,4,FALSE),"..")</f>
        <v>7724500000</v>
      </c>
      <c r="BF2068" s="846">
        <f t="shared" si="364"/>
        <v>0.80614603267526574</v>
      </c>
      <c r="BG2068" s="117">
        <f>VLOOKUP($D2068,'WB Data'!$C$3:$M$578,5,FALSE)</f>
        <v>914370000</v>
      </c>
      <c r="BH2068" s="129">
        <f>IFERROR($BB2068/$BG2068,"..")</f>
        <v>0.82796213458446799</v>
      </c>
      <c r="BI2068" s="117" t="str">
        <f>IFERROR(VLOOKUP($D2068,'WB Data'!$C$3:$M$578,7,FALSE)/100,"..")</f>
        <v>..</v>
      </c>
      <c r="BJ2068" s="117" t="str">
        <f>IFERROR($BI2068*$AW2068,"..")</f>
        <v>..</v>
      </c>
      <c r="BK2068" s="846" t="str">
        <f>IFERROR($BB2068/$BJ2068,"..")</f>
        <v>..</v>
      </c>
      <c r="BL2068" s="117" t="str">
        <f>IFERROR(VLOOKUP($D2068,'WB Data'!$C$3:$M$578,7,FALSE)/100,"..")</f>
        <v>..</v>
      </c>
      <c r="BM2068" s="117" t="str">
        <f>IFERROR($AW2068*$BL2068,"..")</f>
        <v>..</v>
      </c>
      <c r="BN2068" s="846" t="str">
        <f>IFERROR($BB2068/$BM2068,"..")</f>
        <v>..</v>
      </c>
      <c r="BO2068" s="801">
        <f t="shared" si="360"/>
        <v>38</v>
      </c>
      <c r="BP2068" s="117">
        <f>VLOOKUP($D2068,'WB Data'!$C$3:$M$578,9,FALSE)</f>
        <v>60.5</v>
      </c>
      <c r="BQ2068" s="117">
        <f>VLOOKUP($D2068,'WB Data'!$C$3:$M$578,10,FALSE)</f>
        <v>54.527560975609767</v>
      </c>
      <c r="BR2068" s="117">
        <f>VLOOKUP($D2068,'WB Data'!$C$3:$M$578,11,FALSE)</f>
        <v>63.5</v>
      </c>
      <c r="BS2068" s="129">
        <f>IFERROR(VLOOKUP($D2068,'WB Data 2'!$C$2:$K$545,9,FALSE),"..")</f>
        <v>89.567220000000006</v>
      </c>
      <c r="BT2068" s="129">
        <f>_xlfn.IFNA(VLOOKUP($C2068,RGI!$A$2:$C$43,2,FALSE),"..")</f>
        <v>41.2</v>
      </c>
      <c r="BU2068" s="129">
        <f>_xlfn.IFNA(VLOOKUP($C2068,RGI!$A$2:$C$43,3,FALSE),"..")</f>
        <v>60.803011070373614</v>
      </c>
      <c r="BV2068" s="129">
        <f>VLOOKUP($D2068,WGI!$C$2:$O$478,7,FALSE)</f>
        <v>-0.25570042695842599</v>
      </c>
      <c r="BW2068" s="129">
        <f>VLOOKUP($D2068,WGI!$C$2:$O$478,4,FALSE)</f>
        <v>0.46161488492609998</v>
      </c>
      <c r="BX2068" s="129">
        <f>VLOOKUP($D2068,WGI!$C$2:$O$478,3,FALSE)</f>
        <v>-0.83001481515334596</v>
      </c>
      <c r="BY2068" s="129">
        <f>VLOOKUP($D2068,WGI!$C$2:$O$478,5,FALSE)</f>
        <v>-0.478631304027406</v>
      </c>
      <c r="BZ2068" s="129">
        <f>VLOOKUP($D2068,WGI!$C$2:$O$478,2,FALSE)</f>
        <v>-0.56542897489310295</v>
      </c>
      <c r="CB2068" s="129"/>
    </row>
    <row r="2069" spans="1:80" s="158" customFormat="1" ht="15" customHeight="1">
      <c r="A2069" s="282" t="s">
        <v>545</v>
      </c>
      <c r="B2069" s="149">
        <v>2010</v>
      </c>
      <c r="C2069" s="149" t="s">
        <v>541</v>
      </c>
      <c r="D2069" s="117" t="s">
        <v>3684</v>
      </c>
      <c r="E2069" s="149" t="s">
        <v>86</v>
      </c>
      <c r="F2069" s="149"/>
      <c r="G2069" s="149" t="s">
        <v>24</v>
      </c>
      <c r="H2069" s="149" t="str">
        <f t="shared" si="357"/>
        <v>yes</v>
      </c>
      <c r="I2069" s="149" t="str">
        <f t="shared" si="365"/>
        <v>no</v>
      </c>
      <c r="J2069" s="149" t="str">
        <f t="shared" si="366"/>
        <v>no</v>
      </c>
      <c r="K2069" s="149" t="s">
        <v>789</v>
      </c>
      <c r="L2069" s="149" t="str">
        <f t="shared" si="358"/>
        <v>detailed</v>
      </c>
      <c r="M2069" s="149" t="str">
        <f t="shared" si="367"/>
        <v>detailed Mining</v>
      </c>
      <c r="N2069" s="150">
        <f>6500*32.1507431265</f>
        <v>208979.83032224997</v>
      </c>
      <c r="O2069" s="150"/>
      <c r="P2069" s="150"/>
      <c r="Q2069" s="150"/>
      <c r="R2069" s="150"/>
      <c r="S2069" s="149" t="s">
        <v>785</v>
      </c>
      <c r="T2069" s="151">
        <f>20.15295833333/1</f>
        <v>20.152958333330002</v>
      </c>
      <c r="U2069" s="149" t="s">
        <v>786</v>
      </c>
      <c r="V2069" s="149" t="s">
        <v>798</v>
      </c>
      <c r="W2069" s="152">
        <f>N2069*T2069</f>
        <v>4211561.8129906775</v>
      </c>
      <c r="X2069" s="149"/>
      <c r="Y2069" s="152"/>
      <c r="Z2069" s="152"/>
      <c r="AA2069" s="152"/>
      <c r="AB2069" s="152"/>
      <c r="AC2069" s="288"/>
      <c r="AD2069" s="288"/>
      <c r="AE2069" s="288"/>
      <c r="AF2069" s="285"/>
      <c r="AG2069" s="152"/>
      <c r="AH2069" s="156"/>
      <c r="AI2069" s="149"/>
      <c r="AJ2069" s="149"/>
      <c r="AK2069" s="152"/>
      <c r="AL2069" s="149"/>
      <c r="AM2069" s="149"/>
      <c r="AN2069" s="149"/>
      <c r="AO2069" s="149"/>
      <c r="AP2069" s="149"/>
      <c r="AQ2069" s="149"/>
      <c r="AR2069" s="220"/>
      <c r="AS2069" s="149"/>
      <c r="AT2069" s="149"/>
      <c r="AU2069" s="149"/>
      <c r="AV2069" s="157"/>
      <c r="AW2069" s="117">
        <f>VLOOKUP($D2069,'WB Data'!$C$3:$M$578,2,FALSE)</f>
        <v>20265396325.594734</v>
      </c>
      <c r="AX2069" s="117">
        <f>VLOOKUP($D2069,'WB Data'!$C$3:$M$578,3,FALSE)</f>
        <v>13216985</v>
      </c>
      <c r="AY2069" s="847">
        <f t="shared" si="361"/>
        <v>3.7357460216252754E-2</v>
      </c>
      <c r="AZ2069" s="117">
        <f>VLOOKUP($D2069,'WB Data'!$C$3:$M$578,4,FALSE)/100</f>
        <v>0.13919701448081323</v>
      </c>
      <c r="BA2069" s="117">
        <f t="shared" si="362"/>
        <v>2820882665.7932296</v>
      </c>
      <c r="BB2069" s="129">
        <f>IFERROR(VLOOKUP($D2069,'EITI Revenues'!$C$2:$G$224,5,FALSE),"..")</f>
        <v>757063737</v>
      </c>
      <c r="BC2069" s="846">
        <f t="shared" si="363"/>
        <v>0.26837831512113403</v>
      </c>
      <c r="BD2069" s="129">
        <f>VLOOKUP($D2069,'WB Data 2'!$C$2:$K$545,6,FALSE)</f>
        <v>6227075029.4000902</v>
      </c>
      <c r="BE2069" s="129">
        <f>IFERROR(VLOOKUP($D2069,UNCTAD!$C$5:$V$529,4,FALSE),"..")</f>
        <v>7724500000</v>
      </c>
      <c r="BF2069" s="846">
        <f t="shared" si="364"/>
        <v>0.80614603267526574</v>
      </c>
      <c r="BG2069" s="117">
        <f>VLOOKUP($D2069,'WB Data'!$C$3:$M$578,5,FALSE)</f>
        <v>914370000</v>
      </c>
      <c r="BH2069" s="129">
        <f>IFERROR($BB2069/$BG2069,"..")</f>
        <v>0.82796213458446799</v>
      </c>
      <c r="BI2069" s="117" t="str">
        <f>IFERROR(VLOOKUP($D2069,'WB Data'!$C$3:$M$578,7,FALSE)/100,"..")</f>
        <v>..</v>
      </c>
      <c r="BJ2069" s="117" t="str">
        <f>IFERROR($BI2069*$AW2069,"..")</f>
        <v>..</v>
      </c>
      <c r="BK2069" s="846" t="str">
        <f>IFERROR($BB2069/$BJ2069,"..")</f>
        <v>..</v>
      </c>
      <c r="BL2069" s="117" t="str">
        <f>IFERROR(VLOOKUP($D2069,'WB Data'!$C$3:$M$578,7,FALSE)/100,"..")</f>
        <v>..</v>
      </c>
      <c r="BM2069" s="117" t="str">
        <f>IFERROR($AW2069*$BL2069,"..")</f>
        <v>..</v>
      </c>
      <c r="BN2069" s="846" t="str">
        <f>IFERROR($BB2069/$BM2069,"..")</f>
        <v>..</v>
      </c>
      <c r="BO2069" s="801">
        <f t="shared" si="360"/>
        <v>38</v>
      </c>
      <c r="BP2069" s="117">
        <f>VLOOKUP($D2069,'WB Data'!$C$3:$M$578,9,FALSE)</f>
        <v>60.5</v>
      </c>
      <c r="BQ2069" s="117">
        <f>VLOOKUP($D2069,'WB Data'!$C$3:$M$578,10,FALSE)</f>
        <v>54.527560975609767</v>
      </c>
      <c r="BR2069" s="117">
        <f>VLOOKUP($D2069,'WB Data'!$C$3:$M$578,11,FALSE)</f>
        <v>63.5</v>
      </c>
      <c r="BS2069" s="129">
        <f>IFERROR(VLOOKUP($D2069,'WB Data 2'!$C$2:$K$545,9,FALSE),"..")</f>
        <v>89.567220000000006</v>
      </c>
      <c r="BT2069" s="129">
        <f>_xlfn.IFNA(VLOOKUP($C2069,RGI!$A$2:$C$43,2,FALSE),"..")</f>
        <v>41.2</v>
      </c>
      <c r="BU2069" s="129">
        <f>_xlfn.IFNA(VLOOKUP($C2069,RGI!$A$2:$C$43,3,FALSE),"..")</f>
        <v>60.803011070373614</v>
      </c>
      <c r="BV2069" s="129">
        <f>VLOOKUP($D2069,WGI!$C$2:$O$478,7,FALSE)</f>
        <v>-0.25570042695842599</v>
      </c>
      <c r="BW2069" s="129">
        <f>VLOOKUP($D2069,WGI!$C$2:$O$478,4,FALSE)</f>
        <v>0.46161488492609998</v>
      </c>
      <c r="BX2069" s="129">
        <f>VLOOKUP($D2069,WGI!$C$2:$O$478,3,FALSE)</f>
        <v>-0.83001481515334596</v>
      </c>
      <c r="BY2069" s="129">
        <f>VLOOKUP($D2069,WGI!$C$2:$O$478,5,FALSE)</f>
        <v>-0.478631304027406</v>
      </c>
      <c r="BZ2069" s="129">
        <f>VLOOKUP($D2069,WGI!$C$2:$O$478,2,FALSE)</f>
        <v>-0.56542897489310295</v>
      </c>
      <c r="CB2069" s="129"/>
    </row>
    <row r="2070" spans="1:80" ht="15" customHeight="1">
      <c r="A2070" s="280" t="s">
        <v>547</v>
      </c>
      <c r="B2070" s="117">
        <v>2011</v>
      </c>
      <c r="C2070" s="117" t="s">
        <v>541</v>
      </c>
      <c r="D2070" s="117" t="s">
        <v>3718</v>
      </c>
      <c r="E2070" s="117" t="s">
        <v>86</v>
      </c>
      <c r="F2070" s="117" t="s">
        <v>2393</v>
      </c>
      <c r="G2070" s="117" t="s">
        <v>24</v>
      </c>
      <c r="H2070" s="117" t="str">
        <f t="shared" si="357"/>
        <v>yes</v>
      </c>
      <c r="I2070" s="117" t="str">
        <f t="shared" si="365"/>
        <v>no</v>
      </c>
      <c r="J2070" s="117" t="str">
        <f t="shared" si="366"/>
        <v>no</v>
      </c>
      <c r="K2070" s="117" t="s">
        <v>709</v>
      </c>
      <c r="L2070" s="117" t="str">
        <f t="shared" si="358"/>
        <v>Total</v>
      </c>
      <c r="M2070" s="117" t="str">
        <f t="shared" si="367"/>
        <v>Total Mining</v>
      </c>
      <c r="N2070" s="118"/>
      <c r="O2070" s="118"/>
      <c r="P2070" s="118"/>
      <c r="Q2070" s="118"/>
      <c r="R2070" s="118"/>
      <c r="S2070" s="117"/>
      <c r="T2070" s="119"/>
      <c r="U2070" s="117"/>
      <c r="V2070" s="117"/>
      <c r="W2070" s="298">
        <f>SUM(W2071:W2090)</f>
        <v>146061644279.72226</v>
      </c>
      <c r="X2070" s="117" t="s">
        <v>998</v>
      </c>
      <c r="Y2070" s="117" t="s">
        <v>663</v>
      </c>
      <c r="Z2070" s="117" t="s">
        <v>664</v>
      </c>
      <c r="AA2070" s="666">
        <v>1588841770</v>
      </c>
      <c r="AB2070" s="666">
        <v>1600810082</v>
      </c>
      <c r="AC2070" s="660"/>
      <c r="AD2070" s="660"/>
      <c r="AE2070" s="660"/>
      <c r="AF2070" s="661">
        <f>AA2070/W2070</f>
        <v>1.0877885004205577E-2</v>
      </c>
      <c r="AG2070" s="117" t="s">
        <v>2394</v>
      </c>
      <c r="AH2070" s="124">
        <v>4.8600000000000003</v>
      </c>
      <c r="AI2070" s="117" t="s">
        <v>605</v>
      </c>
      <c r="AJ2070" s="117" t="s">
        <v>943</v>
      </c>
      <c r="AK2070" s="89">
        <v>15165226</v>
      </c>
      <c r="AL2070" s="117"/>
      <c r="AM2070" s="117"/>
      <c r="AN2070" s="117">
        <v>26</v>
      </c>
      <c r="AO2070" s="117" t="s">
        <v>2437</v>
      </c>
      <c r="AP2070" s="117">
        <v>25</v>
      </c>
      <c r="AQ2070" s="215" t="s">
        <v>460</v>
      </c>
      <c r="AR2070" s="126">
        <v>41907</v>
      </c>
      <c r="AS2070" s="117" t="s">
        <v>607</v>
      </c>
      <c r="AT2070" s="117" t="s">
        <v>548</v>
      </c>
      <c r="AU2070" s="117">
        <v>7</v>
      </c>
      <c r="AV2070" s="128" t="s">
        <v>2438</v>
      </c>
      <c r="AW2070" s="117">
        <f>VLOOKUP($D2070,'WB Data'!$C$3:$M$578,2,FALSE)</f>
        <v>23731894786.497993</v>
      </c>
      <c r="AX2070" s="117">
        <f>VLOOKUP($D2070,'WB Data'!$C$3:$M$578,3,FALSE)</f>
        <v>13633796</v>
      </c>
      <c r="AY2070" s="847">
        <f t="shared" si="361"/>
        <v>6.6949638210260162E-2</v>
      </c>
      <c r="AZ2070" s="117">
        <f>VLOOKUP($D2070,'WB Data'!$C$3:$M$578,4,FALSE)/100</f>
        <v>0.17286030665418683</v>
      </c>
      <c r="BA2070" s="117">
        <f t="shared" si="362"/>
        <v>4102302610.2789412</v>
      </c>
      <c r="BB2070" s="129">
        <f>IFERROR(VLOOKUP($D2070,'EITI Revenues'!$C$2:$G$224,5,FALSE),"..")</f>
        <v>1588841770</v>
      </c>
      <c r="BC2070" s="846">
        <f t="shared" si="363"/>
        <v>0.38730486776351314</v>
      </c>
      <c r="BD2070" s="129">
        <f>VLOOKUP($D2070,'WB Data 2'!$C$2:$K$545,6,FALSE)</f>
        <v>7303051805.9508448</v>
      </c>
      <c r="BE2070" s="129">
        <f>IFERROR(VLOOKUP($D2070,UNCTAD!$C$5:$V$529,4,FALSE),"..")</f>
        <v>9034981000</v>
      </c>
      <c r="BF2070" s="846">
        <f t="shared" si="364"/>
        <v>0.80830848520332743</v>
      </c>
      <c r="BG2070" s="117">
        <f>VLOOKUP($D2070,'WB Data'!$C$3:$M$578,5,FALSE)</f>
        <v>1035060000</v>
      </c>
      <c r="BH2070" s="129">
        <f>IFERROR($BB2070/$BG2070,"..")</f>
        <v>1.5350238343670899</v>
      </c>
      <c r="BI2070" s="117" t="str">
        <f>IFERROR(VLOOKUP($D2070,'WB Data'!$C$3:$M$578,7,FALSE)/100,"..")</f>
        <v>..</v>
      </c>
      <c r="BJ2070" s="117" t="str">
        <f>IFERROR($BI2070*$AW2070,"..")</f>
        <v>..</v>
      </c>
      <c r="BK2070" s="846" t="str">
        <f>IFERROR($BB2070/$BJ2070,"..")</f>
        <v>..</v>
      </c>
      <c r="BL2070" s="117" t="str">
        <f>IFERROR(VLOOKUP($D2070,'WB Data'!$C$3:$M$578,7,FALSE)/100,"..")</f>
        <v>..</v>
      </c>
      <c r="BM2070" s="117" t="str">
        <f>IFERROR($AW2070*$BL2070,"..")</f>
        <v>..</v>
      </c>
      <c r="BN2070" s="846" t="str">
        <f>IFERROR($BB2070/$BM2070,"..")</f>
        <v>..</v>
      </c>
      <c r="BO2070" s="801">
        <f t="shared" si="360"/>
        <v>38</v>
      </c>
      <c r="BP2070" s="117" t="str">
        <f>VLOOKUP($D2070,'WB Data'!$C$3:$M$578,9,FALSE)</f>
        <v>..</v>
      </c>
      <c r="BQ2070" s="117">
        <f>VLOOKUP($D2070,'WB Data'!$C$3:$M$578,10,FALSE)</f>
        <v>55.833146341463419</v>
      </c>
      <c r="BR2070" s="117">
        <f>VLOOKUP($D2070,'WB Data'!$C$3:$M$578,11,FALSE)</f>
        <v>59.3</v>
      </c>
      <c r="BS2070" s="129">
        <f>IFERROR(VLOOKUP($D2070,'WB Data 2'!$C$2:$K$545,9,FALSE),"..")</f>
        <v>93.626670000000004</v>
      </c>
      <c r="BT2070" s="129">
        <f>_xlfn.IFNA(VLOOKUP($C2070,RGI!$A$2:$C$43,2,FALSE),"..")</f>
        <v>41.2</v>
      </c>
      <c r="BU2070" s="129">
        <f>_xlfn.IFNA(VLOOKUP($C2070,RGI!$A$2:$C$43,3,FALSE),"..")</f>
        <v>60.803011070373614</v>
      </c>
      <c r="BV2070" s="129">
        <f>VLOOKUP($D2070,WGI!$C$2:$O$478,7,FALSE)</f>
        <v>-0.19122445119574899</v>
      </c>
      <c r="BW2070" s="129">
        <f>VLOOKUP($D2070,WGI!$C$2:$O$478,4,FALSE)</f>
        <v>0.47312848392783102</v>
      </c>
      <c r="BX2070" s="129">
        <f>VLOOKUP($D2070,WGI!$C$2:$O$478,3,FALSE)</f>
        <v>-0.63896441900571799</v>
      </c>
      <c r="BY2070" s="129">
        <f>VLOOKUP($D2070,WGI!$C$2:$O$478,5,FALSE)</f>
        <v>-0.42115388453417202</v>
      </c>
      <c r="BZ2070" s="129">
        <f>VLOOKUP($D2070,WGI!$C$2:$O$478,2,FALSE)</f>
        <v>-0.47027036788454601</v>
      </c>
    </row>
    <row r="2071" spans="1:80" ht="15" customHeight="1">
      <c r="A2071" s="280" t="s">
        <v>547</v>
      </c>
      <c r="B2071" s="117">
        <v>2011</v>
      </c>
      <c r="C2071" s="117" t="s">
        <v>541</v>
      </c>
      <c r="D2071" s="117" t="s">
        <v>3718</v>
      </c>
      <c r="E2071" s="117" t="s">
        <v>86</v>
      </c>
      <c r="F2071" s="117"/>
      <c r="G2071" s="117" t="s">
        <v>24</v>
      </c>
      <c r="H2071" s="117" t="str">
        <f t="shared" si="357"/>
        <v>yes</v>
      </c>
      <c r="I2071" s="117" t="str">
        <f t="shared" si="365"/>
        <v>no</v>
      </c>
      <c r="J2071" s="117" t="str">
        <f t="shared" si="366"/>
        <v>no</v>
      </c>
      <c r="K2071" s="117" t="s">
        <v>2423</v>
      </c>
      <c r="L2071" s="117" t="str">
        <f t="shared" si="358"/>
        <v>detailed</v>
      </c>
      <c r="M2071" s="117" t="str">
        <f t="shared" si="367"/>
        <v>detailed Mining</v>
      </c>
      <c r="N2071" s="118">
        <v>1000000</v>
      </c>
      <c r="O2071" s="118"/>
      <c r="P2071" s="118"/>
      <c r="Q2071" s="118"/>
      <c r="R2071" s="118"/>
      <c r="S2071" s="117" t="s">
        <v>967</v>
      </c>
      <c r="T2071" s="298">
        <f>17.5/0.0002</f>
        <v>87500</v>
      </c>
      <c r="U2071" s="117" t="s">
        <v>1874</v>
      </c>
      <c r="V2071" s="401" t="s">
        <v>2439</v>
      </c>
      <c r="W2071" s="298">
        <f>N2071*T2071</f>
        <v>87500000000</v>
      </c>
      <c r="X2071" s="117"/>
      <c r="Y2071" s="117"/>
      <c r="Z2071" s="117"/>
      <c r="AA2071" s="658"/>
      <c r="AB2071" s="658"/>
      <c r="AC2071" s="660"/>
      <c r="AD2071" s="660"/>
      <c r="AE2071" s="660"/>
      <c r="AF2071" s="662"/>
      <c r="AG2071" s="117"/>
      <c r="AH2071" s="124"/>
      <c r="AI2071" s="117"/>
      <c r="AJ2071" s="117"/>
      <c r="AK2071" s="89"/>
      <c r="AL2071" s="117"/>
      <c r="AM2071" s="117"/>
      <c r="AN2071" s="117"/>
      <c r="AO2071" s="117"/>
      <c r="AP2071" s="117"/>
      <c r="AQ2071" s="215"/>
      <c r="AR2071" s="126"/>
      <c r="AS2071" s="117"/>
      <c r="AT2071" s="117"/>
      <c r="AU2071" s="117"/>
      <c r="AV2071" s="128"/>
      <c r="AW2071" s="117">
        <f>VLOOKUP($D2071,'WB Data'!$C$3:$M$578,2,FALSE)</f>
        <v>23731894786.497993</v>
      </c>
      <c r="AX2071" s="117">
        <f>VLOOKUP($D2071,'WB Data'!$C$3:$M$578,3,FALSE)</f>
        <v>13633796</v>
      </c>
      <c r="AY2071" s="847">
        <f t="shared" si="361"/>
        <v>6.6949638210260162E-2</v>
      </c>
      <c r="AZ2071" s="117">
        <f>VLOOKUP($D2071,'WB Data'!$C$3:$M$578,4,FALSE)/100</f>
        <v>0.17286030665418683</v>
      </c>
      <c r="BA2071" s="117">
        <f t="shared" si="362"/>
        <v>4102302610.2789412</v>
      </c>
      <c r="BB2071" s="129">
        <f>IFERROR(VLOOKUP($D2071,'EITI Revenues'!$C$2:$G$224,5,FALSE),"..")</f>
        <v>1588841770</v>
      </c>
      <c r="BC2071" s="846">
        <f t="shared" si="363"/>
        <v>0.38730486776351314</v>
      </c>
      <c r="BD2071" s="129">
        <f>VLOOKUP($D2071,'WB Data 2'!$C$2:$K$545,6,FALSE)</f>
        <v>7303051805.9508448</v>
      </c>
      <c r="BE2071" s="129">
        <f>IFERROR(VLOOKUP($D2071,UNCTAD!$C$5:$V$529,4,FALSE),"..")</f>
        <v>9034981000</v>
      </c>
      <c r="BF2071" s="846">
        <f t="shared" si="364"/>
        <v>0.80830848520332743</v>
      </c>
      <c r="BG2071" s="117">
        <f>VLOOKUP($D2071,'WB Data'!$C$3:$M$578,5,FALSE)</f>
        <v>1035060000</v>
      </c>
      <c r="BH2071" s="129">
        <f>IFERROR($BB2071/$BG2071,"..")</f>
        <v>1.5350238343670899</v>
      </c>
      <c r="BI2071" s="117" t="str">
        <f>IFERROR(VLOOKUP($D2071,'WB Data'!$C$3:$M$578,7,FALSE)/100,"..")</f>
        <v>..</v>
      </c>
      <c r="BJ2071" s="117" t="str">
        <f>IFERROR($BI2071*$AW2071,"..")</f>
        <v>..</v>
      </c>
      <c r="BK2071" s="846" t="str">
        <f>IFERROR($BB2071/$BJ2071,"..")</f>
        <v>..</v>
      </c>
      <c r="BL2071" s="117" t="str">
        <f>IFERROR(VLOOKUP($D2071,'WB Data'!$C$3:$M$578,7,FALSE)/100,"..")</f>
        <v>..</v>
      </c>
      <c r="BM2071" s="117" t="str">
        <f>IFERROR($AW2071*$BL2071,"..")</f>
        <v>..</v>
      </c>
      <c r="BN2071" s="846" t="str">
        <f>IFERROR($BB2071/$BM2071,"..")</f>
        <v>..</v>
      </c>
      <c r="BO2071" s="801">
        <f t="shared" si="360"/>
        <v>38</v>
      </c>
      <c r="BP2071" s="117" t="str">
        <f>VLOOKUP($D2071,'WB Data'!$C$3:$M$578,9,FALSE)</f>
        <v>..</v>
      </c>
      <c r="BQ2071" s="117">
        <f>VLOOKUP($D2071,'WB Data'!$C$3:$M$578,10,FALSE)</f>
        <v>55.833146341463419</v>
      </c>
      <c r="BR2071" s="117">
        <f>VLOOKUP($D2071,'WB Data'!$C$3:$M$578,11,FALSE)</f>
        <v>59.3</v>
      </c>
      <c r="BS2071" s="129">
        <f>IFERROR(VLOOKUP($D2071,'WB Data 2'!$C$2:$K$545,9,FALSE),"..")</f>
        <v>93.626670000000004</v>
      </c>
      <c r="BT2071" s="129">
        <f>_xlfn.IFNA(VLOOKUP($C2071,RGI!$A$2:$C$43,2,FALSE),"..")</f>
        <v>41.2</v>
      </c>
      <c r="BU2071" s="129">
        <f>_xlfn.IFNA(VLOOKUP($C2071,RGI!$A$2:$C$43,3,FALSE),"..")</f>
        <v>60.803011070373614</v>
      </c>
      <c r="BV2071" s="129">
        <f>VLOOKUP($D2071,WGI!$C$2:$O$478,7,FALSE)</f>
        <v>-0.19122445119574899</v>
      </c>
      <c r="BW2071" s="129">
        <f>VLOOKUP($D2071,WGI!$C$2:$O$478,4,FALSE)</f>
        <v>0.47312848392783102</v>
      </c>
      <c r="BX2071" s="129">
        <f>VLOOKUP($D2071,WGI!$C$2:$O$478,3,FALSE)</f>
        <v>-0.63896441900571799</v>
      </c>
      <c r="BY2071" s="129">
        <f>VLOOKUP($D2071,WGI!$C$2:$O$478,5,FALSE)</f>
        <v>-0.42115388453417202</v>
      </c>
      <c r="BZ2071" s="129">
        <f>VLOOKUP($D2071,WGI!$C$2:$O$478,2,FALSE)</f>
        <v>-0.47027036788454601</v>
      </c>
    </row>
    <row r="2072" spans="1:80" ht="15" customHeight="1">
      <c r="A2072" s="280" t="s">
        <v>547</v>
      </c>
      <c r="B2072" s="117">
        <v>2011</v>
      </c>
      <c r="C2072" s="117" t="s">
        <v>541</v>
      </c>
      <c r="D2072" s="117" t="s">
        <v>3718</v>
      </c>
      <c r="E2072" s="117" t="s">
        <v>86</v>
      </c>
      <c r="F2072" s="117"/>
      <c r="G2072" s="117" t="s">
        <v>24</v>
      </c>
      <c r="H2072" s="117" t="str">
        <f t="shared" si="357"/>
        <v>yes</v>
      </c>
      <c r="I2072" s="117" t="str">
        <f t="shared" si="365"/>
        <v>no</v>
      </c>
      <c r="J2072" s="117" t="str">
        <f t="shared" si="366"/>
        <v>no</v>
      </c>
      <c r="K2072" s="117" t="s">
        <v>2426</v>
      </c>
      <c r="L2072" s="117" t="str">
        <f t="shared" si="358"/>
        <v>detailed</v>
      </c>
      <c r="M2072" s="117" t="str">
        <f t="shared" si="367"/>
        <v>detailed Mining</v>
      </c>
      <c r="N2072" s="118">
        <v>7000000</v>
      </c>
      <c r="O2072" s="118"/>
      <c r="P2072" s="118"/>
      <c r="Q2072" s="118"/>
      <c r="R2072" s="118"/>
      <c r="S2072" s="117" t="s">
        <v>981</v>
      </c>
      <c r="T2072" s="119"/>
      <c r="U2072" s="117"/>
      <c r="V2072" s="117" t="s">
        <v>684</v>
      </c>
      <c r="W2072" s="89"/>
      <c r="X2072" s="117"/>
      <c r="Y2072" s="117"/>
      <c r="Z2072" s="117"/>
      <c r="AA2072" s="658"/>
      <c r="AB2072" s="658"/>
      <c r="AC2072" s="660"/>
      <c r="AD2072" s="660"/>
      <c r="AE2072" s="660"/>
      <c r="AF2072" s="662"/>
      <c r="AG2072" s="117"/>
      <c r="AH2072" s="124"/>
      <c r="AI2072" s="117"/>
      <c r="AJ2072" s="117"/>
      <c r="AK2072" s="89"/>
      <c r="AL2072" s="117"/>
      <c r="AM2072" s="117"/>
      <c r="AN2072" s="117"/>
      <c r="AO2072" s="117"/>
      <c r="AP2072" s="117"/>
      <c r="AQ2072" s="215"/>
      <c r="AR2072" s="126"/>
      <c r="AS2072" s="117"/>
      <c r="AT2072" s="117"/>
      <c r="AU2072" s="117"/>
      <c r="AV2072" s="128"/>
      <c r="AW2072" s="117">
        <f>VLOOKUP($D2072,'WB Data'!$C$3:$M$578,2,FALSE)</f>
        <v>23731894786.497993</v>
      </c>
      <c r="AX2072" s="117">
        <f>VLOOKUP($D2072,'WB Data'!$C$3:$M$578,3,FALSE)</f>
        <v>13633796</v>
      </c>
      <c r="AY2072" s="847">
        <f t="shared" si="361"/>
        <v>6.6949638210260162E-2</v>
      </c>
      <c r="AZ2072" s="117">
        <f>VLOOKUP($D2072,'WB Data'!$C$3:$M$578,4,FALSE)/100</f>
        <v>0.17286030665418683</v>
      </c>
      <c r="BA2072" s="117">
        <f t="shared" si="362"/>
        <v>4102302610.2789412</v>
      </c>
      <c r="BB2072" s="129">
        <f>IFERROR(VLOOKUP($D2072,'EITI Revenues'!$C$2:$G$224,5,FALSE),"..")</f>
        <v>1588841770</v>
      </c>
      <c r="BC2072" s="846">
        <f t="shared" si="363"/>
        <v>0.38730486776351314</v>
      </c>
      <c r="BD2072" s="129">
        <f>VLOOKUP($D2072,'WB Data 2'!$C$2:$K$545,6,FALSE)</f>
        <v>7303051805.9508448</v>
      </c>
      <c r="BE2072" s="129">
        <f>IFERROR(VLOOKUP($D2072,UNCTAD!$C$5:$V$529,4,FALSE),"..")</f>
        <v>9034981000</v>
      </c>
      <c r="BF2072" s="846">
        <f t="shared" si="364"/>
        <v>0.80830848520332743</v>
      </c>
      <c r="BG2072" s="117">
        <f>VLOOKUP($D2072,'WB Data'!$C$3:$M$578,5,FALSE)</f>
        <v>1035060000</v>
      </c>
      <c r="BH2072" s="129">
        <f>IFERROR($BB2072/$BG2072,"..")</f>
        <v>1.5350238343670899</v>
      </c>
      <c r="BI2072" s="117" t="str">
        <f>IFERROR(VLOOKUP($D2072,'WB Data'!$C$3:$M$578,7,FALSE)/100,"..")</f>
        <v>..</v>
      </c>
      <c r="BJ2072" s="117" t="str">
        <f>IFERROR($BI2072*$AW2072,"..")</f>
        <v>..</v>
      </c>
      <c r="BK2072" s="846" t="str">
        <f>IFERROR($BB2072/$BJ2072,"..")</f>
        <v>..</v>
      </c>
      <c r="BL2072" s="117" t="str">
        <f>IFERROR(VLOOKUP($D2072,'WB Data'!$C$3:$M$578,7,FALSE)/100,"..")</f>
        <v>..</v>
      </c>
      <c r="BM2072" s="117" t="str">
        <f>IFERROR($AW2072*$BL2072,"..")</f>
        <v>..</v>
      </c>
      <c r="BN2072" s="846" t="str">
        <f>IFERROR($BB2072/$BM2072,"..")</f>
        <v>..</v>
      </c>
      <c r="BO2072" s="801">
        <f t="shared" si="360"/>
        <v>38</v>
      </c>
      <c r="BP2072" s="117" t="str">
        <f>VLOOKUP($D2072,'WB Data'!$C$3:$M$578,9,FALSE)</f>
        <v>..</v>
      </c>
      <c r="BQ2072" s="117">
        <f>VLOOKUP($D2072,'WB Data'!$C$3:$M$578,10,FALSE)</f>
        <v>55.833146341463419</v>
      </c>
      <c r="BR2072" s="117">
        <f>VLOOKUP($D2072,'WB Data'!$C$3:$M$578,11,FALSE)</f>
        <v>59.3</v>
      </c>
      <c r="BS2072" s="129">
        <f>IFERROR(VLOOKUP($D2072,'WB Data 2'!$C$2:$K$545,9,FALSE),"..")</f>
        <v>93.626670000000004</v>
      </c>
      <c r="BT2072" s="129">
        <f>_xlfn.IFNA(VLOOKUP($C2072,RGI!$A$2:$C$43,2,FALSE),"..")</f>
        <v>41.2</v>
      </c>
      <c r="BU2072" s="129">
        <f>_xlfn.IFNA(VLOOKUP($C2072,RGI!$A$2:$C$43,3,FALSE),"..")</f>
        <v>60.803011070373614</v>
      </c>
      <c r="BV2072" s="129">
        <f>VLOOKUP($D2072,WGI!$C$2:$O$478,7,FALSE)</f>
        <v>-0.19122445119574899</v>
      </c>
      <c r="BW2072" s="129">
        <f>VLOOKUP($D2072,WGI!$C$2:$O$478,4,FALSE)</f>
        <v>0.47312848392783102</v>
      </c>
      <c r="BX2072" s="129">
        <f>VLOOKUP($D2072,WGI!$C$2:$O$478,3,FALSE)</f>
        <v>-0.63896441900571799</v>
      </c>
      <c r="BY2072" s="129">
        <f>VLOOKUP($D2072,WGI!$C$2:$O$478,5,FALSE)</f>
        <v>-0.42115388453417202</v>
      </c>
      <c r="BZ2072" s="129">
        <f>VLOOKUP($D2072,WGI!$C$2:$O$478,2,FALSE)</f>
        <v>-0.47027036788454601</v>
      </c>
    </row>
    <row r="2073" spans="1:80" ht="15" customHeight="1">
      <c r="A2073" s="280" t="s">
        <v>547</v>
      </c>
      <c r="B2073" s="117">
        <v>2011</v>
      </c>
      <c r="C2073" s="117" t="s">
        <v>541</v>
      </c>
      <c r="D2073" s="117" t="s">
        <v>3718</v>
      </c>
      <c r="E2073" s="117" t="s">
        <v>86</v>
      </c>
      <c r="F2073" s="117"/>
      <c r="G2073" s="117" t="s">
        <v>24</v>
      </c>
      <c r="H2073" s="117" t="str">
        <f t="shared" si="357"/>
        <v>yes</v>
      </c>
      <c r="I2073" s="117" t="str">
        <f t="shared" si="365"/>
        <v>no</v>
      </c>
      <c r="J2073" s="117" t="str">
        <f t="shared" si="366"/>
        <v>no</v>
      </c>
      <c r="K2073" s="117" t="s">
        <v>728</v>
      </c>
      <c r="L2073" s="117" t="str">
        <f t="shared" si="358"/>
        <v>detailed</v>
      </c>
      <c r="M2073" s="117" t="str">
        <f t="shared" si="367"/>
        <v>detailed Mining</v>
      </c>
      <c r="N2073" s="118">
        <v>34300</v>
      </c>
      <c r="O2073" s="118"/>
      <c r="P2073" s="118"/>
      <c r="Q2073" s="118"/>
      <c r="R2073" s="118"/>
      <c r="S2073" s="117" t="s">
        <v>610</v>
      </c>
      <c r="T2073" s="119">
        <v>12</v>
      </c>
      <c r="U2073" s="117" t="s">
        <v>611</v>
      </c>
      <c r="V2073" s="117" t="s">
        <v>1223</v>
      </c>
      <c r="W2073" s="89">
        <f>N2073*T2073</f>
        <v>411600</v>
      </c>
      <c r="X2073" s="117"/>
      <c r="Y2073" s="117"/>
      <c r="Z2073" s="117"/>
      <c r="AA2073" s="658"/>
      <c r="AB2073" s="658"/>
      <c r="AC2073" s="660"/>
      <c r="AD2073" s="660"/>
      <c r="AE2073" s="660"/>
      <c r="AF2073" s="662"/>
      <c r="AG2073" s="117"/>
      <c r="AH2073" s="124"/>
      <c r="AI2073" s="117"/>
      <c r="AJ2073" s="117"/>
      <c r="AK2073" s="89"/>
      <c r="AL2073" s="117"/>
      <c r="AM2073" s="117"/>
      <c r="AN2073" s="117"/>
      <c r="AO2073" s="117"/>
      <c r="AP2073" s="117"/>
      <c r="AQ2073" s="215"/>
      <c r="AR2073" s="126"/>
      <c r="AS2073" s="117"/>
      <c r="AT2073" s="117"/>
      <c r="AU2073" s="117"/>
      <c r="AV2073" s="128"/>
      <c r="AW2073" s="117">
        <f>VLOOKUP($D2073,'WB Data'!$C$3:$M$578,2,FALSE)</f>
        <v>23731894786.497993</v>
      </c>
      <c r="AX2073" s="117">
        <f>VLOOKUP($D2073,'WB Data'!$C$3:$M$578,3,FALSE)</f>
        <v>13633796</v>
      </c>
      <c r="AY2073" s="847">
        <f t="shared" si="361"/>
        <v>6.6949638210260162E-2</v>
      </c>
      <c r="AZ2073" s="117">
        <f>VLOOKUP($D2073,'WB Data'!$C$3:$M$578,4,FALSE)/100</f>
        <v>0.17286030665418683</v>
      </c>
      <c r="BA2073" s="117">
        <f t="shared" si="362"/>
        <v>4102302610.2789412</v>
      </c>
      <c r="BB2073" s="129">
        <f>IFERROR(VLOOKUP($D2073,'EITI Revenues'!$C$2:$G$224,5,FALSE),"..")</f>
        <v>1588841770</v>
      </c>
      <c r="BC2073" s="846">
        <f t="shared" si="363"/>
        <v>0.38730486776351314</v>
      </c>
      <c r="BD2073" s="129">
        <f>VLOOKUP($D2073,'WB Data 2'!$C$2:$K$545,6,FALSE)</f>
        <v>7303051805.9508448</v>
      </c>
      <c r="BE2073" s="129">
        <f>IFERROR(VLOOKUP($D2073,UNCTAD!$C$5:$V$529,4,FALSE),"..")</f>
        <v>9034981000</v>
      </c>
      <c r="BF2073" s="846">
        <f t="shared" si="364"/>
        <v>0.80830848520332743</v>
      </c>
      <c r="BG2073" s="117">
        <f>VLOOKUP($D2073,'WB Data'!$C$3:$M$578,5,FALSE)</f>
        <v>1035060000</v>
      </c>
      <c r="BH2073" s="129">
        <f>IFERROR($BB2073/$BG2073,"..")</f>
        <v>1.5350238343670899</v>
      </c>
      <c r="BI2073" s="117" t="str">
        <f>IFERROR(VLOOKUP($D2073,'WB Data'!$C$3:$M$578,7,FALSE)/100,"..")</f>
        <v>..</v>
      </c>
      <c r="BJ2073" s="117" t="str">
        <f>IFERROR($BI2073*$AW2073,"..")</f>
        <v>..</v>
      </c>
      <c r="BK2073" s="846" t="str">
        <f>IFERROR($BB2073/$BJ2073,"..")</f>
        <v>..</v>
      </c>
      <c r="BL2073" s="117" t="str">
        <f>IFERROR(VLOOKUP($D2073,'WB Data'!$C$3:$M$578,7,FALSE)/100,"..")</f>
        <v>..</v>
      </c>
      <c r="BM2073" s="117" t="str">
        <f>IFERROR($AW2073*$BL2073,"..")</f>
        <v>..</v>
      </c>
      <c r="BN2073" s="846" t="str">
        <f>IFERROR($BB2073/$BM2073,"..")</f>
        <v>..</v>
      </c>
      <c r="BO2073" s="801">
        <f t="shared" si="360"/>
        <v>38</v>
      </c>
      <c r="BP2073" s="117" t="str">
        <f>VLOOKUP($D2073,'WB Data'!$C$3:$M$578,9,FALSE)</f>
        <v>..</v>
      </c>
      <c r="BQ2073" s="117">
        <f>VLOOKUP($D2073,'WB Data'!$C$3:$M$578,10,FALSE)</f>
        <v>55.833146341463419</v>
      </c>
      <c r="BR2073" s="117">
        <f>VLOOKUP($D2073,'WB Data'!$C$3:$M$578,11,FALSE)</f>
        <v>59.3</v>
      </c>
      <c r="BS2073" s="129">
        <f>IFERROR(VLOOKUP($D2073,'WB Data 2'!$C$2:$K$545,9,FALSE),"..")</f>
        <v>93.626670000000004</v>
      </c>
      <c r="BT2073" s="129">
        <f>_xlfn.IFNA(VLOOKUP($C2073,RGI!$A$2:$C$43,2,FALSE),"..")</f>
        <v>41.2</v>
      </c>
      <c r="BU2073" s="129">
        <f>_xlfn.IFNA(VLOOKUP($C2073,RGI!$A$2:$C$43,3,FALSE),"..")</f>
        <v>60.803011070373614</v>
      </c>
      <c r="BV2073" s="129">
        <f>VLOOKUP($D2073,WGI!$C$2:$O$478,7,FALSE)</f>
        <v>-0.19122445119574899</v>
      </c>
      <c r="BW2073" s="129">
        <f>VLOOKUP($D2073,WGI!$C$2:$O$478,4,FALSE)</f>
        <v>0.47312848392783102</v>
      </c>
      <c r="BX2073" s="129">
        <f>VLOOKUP($D2073,WGI!$C$2:$O$478,3,FALSE)</f>
        <v>-0.63896441900571799</v>
      </c>
      <c r="BY2073" s="129">
        <f>VLOOKUP($D2073,WGI!$C$2:$O$478,5,FALSE)</f>
        <v>-0.42115388453417202</v>
      </c>
      <c r="BZ2073" s="129">
        <f>VLOOKUP($D2073,WGI!$C$2:$O$478,2,FALSE)</f>
        <v>-0.47027036788454601</v>
      </c>
    </row>
    <row r="2074" spans="1:80" ht="15" customHeight="1">
      <c r="A2074" s="280" t="s">
        <v>547</v>
      </c>
      <c r="B2074" s="117">
        <v>2011</v>
      </c>
      <c r="C2074" s="117" t="s">
        <v>541</v>
      </c>
      <c r="D2074" s="117" t="s">
        <v>3718</v>
      </c>
      <c r="E2074" s="117" t="s">
        <v>86</v>
      </c>
      <c r="F2074" s="117"/>
      <c r="G2074" s="117" t="s">
        <v>24</v>
      </c>
      <c r="H2074" s="117" t="str">
        <f t="shared" si="357"/>
        <v>yes</v>
      </c>
      <c r="I2074" s="117" t="str">
        <f t="shared" si="365"/>
        <v>no</v>
      </c>
      <c r="J2074" s="117" t="str">
        <f t="shared" si="366"/>
        <v>no</v>
      </c>
      <c r="K2074" s="117" t="s">
        <v>616</v>
      </c>
      <c r="L2074" s="117" t="str">
        <f t="shared" si="358"/>
        <v>detailed</v>
      </c>
      <c r="M2074" s="117" t="str">
        <f t="shared" si="367"/>
        <v>detailed Mining</v>
      </c>
      <c r="N2074" s="118">
        <v>220000</v>
      </c>
      <c r="O2074" s="118"/>
      <c r="P2074" s="118"/>
      <c r="Q2074" s="118"/>
      <c r="R2074" s="118"/>
      <c r="S2074" s="117" t="s">
        <v>610</v>
      </c>
      <c r="T2074" s="119">
        <v>111.54662184722224</v>
      </c>
      <c r="U2074" s="117" t="s">
        <v>611</v>
      </c>
      <c r="V2074" s="117" t="s">
        <v>1108</v>
      </c>
      <c r="W2074" s="89">
        <f>N2074*T2074</f>
        <v>24540256.806388892</v>
      </c>
      <c r="X2074" s="117"/>
      <c r="Y2074" s="117"/>
      <c r="Z2074" s="117"/>
      <c r="AA2074" s="658"/>
      <c r="AB2074" s="658"/>
      <c r="AC2074" s="660"/>
      <c r="AD2074" s="660"/>
      <c r="AE2074" s="660"/>
      <c r="AF2074" s="662"/>
      <c r="AG2074" s="117"/>
      <c r="AH2074" s="124"/>
      <c r="AI2074" s="117"/>
      <c r="AJ2074" s="117"/>
      <c r="AK2074" s="89"/>
      <c r="AL2074" s="117"/>
      <c r="AM2074" s="117"/>
      <c r="AN2074" s="117"/>
      <c r="AO2074" s="117"/>
      <c r="AP2074" s="117"/>
      <c r="AQ2074" s="215"/>
      <c r="AR2074" s="126"/>
      <c r="AS2074" s="117"/>
      <c r="AT2074" s="117"/>
      <c r="AU2074" s="117"/>
      <c r="AV2074" s="128"/>
      <c r="AW2074" s="117">
        <f>VLOOKUP($D2074,'WB Data'!$C$3:$M$578,2,FALSE)</f>
        <v>23731894786.497993</v>
      </c>
      <c r="AX2074" s="117">
        <f>VLOOKUP($D2074,'WB Data'!$C$3:$M$578,3,FALSE)</f>
        <v>13633796</v>
      </c>
      <c r="AY2074" s="847">
        <f t="shared" si="361"/>
        <v>6.6949638210260162E-2</v>
      </c>
      <c r="AZ2074" s="117">
        <f>VLOOKUP($D2074,'WB Data'!$C$3:$M$578,4,FALSE)/100</f>
        <v>0.17286030665418683</v>
      </c>
      <c r="BA2074" s="117">
        <f t="shared" si="362"/>
        <v>4102302610.2789412</v>
      </c>
      <c r="BB2074" s="129">
        <f>IFERROR(VLOOKUP($D2074,'EITI Revenues'!$C$2:$G$224,5,FALSE),"..")</f>
        <v>1588841770</v>
      </c>
      <c r="BC2074" s="846">
        <f t="shared" si="363"/>
        <v>0.38730486776351314</v>
      </c>
      <c r="BD2074" s="129">
        <f>VLOOKUP($D2074,'WB Data 2'!$C$2:$K$545,6,FALSE)</f>
        <v>7303051805.9508448</v>
      </c>
      <c r="BE2074" s="129">
        <f>IFERROR(VLOOKUP($D2074,UNCTAD!$C$5:$V$529,4,FALSE),"..")</f>
        <v>9034981000</v>
      </c>
      <c r="BF2074" s="846">
        <f t="shared" si="364"/>
        <v>0.80830848520332743</v>
      </c>
      <c r="BG2074" s="117">
        <f>VLOOKUP($D2074,'WB Data'!$C$3:$M$578,5,FALSE)</f>
        <v>1035060000</v>
      </c>
      <c r="BH2074" s="129">
        <f>IFERROR($BB2074/$BG2074,"..")</f>
        <v>1.5350238343670899</v>
      </c>
      <c r="BI2074" s="117" t="str">
        <f>IFERROR(VLOOKUP($D2074,'WB Data'!$C$3:$M$578,7,FALSE)/100,"..")</f>
        <v>..</v>
      </c>
      <c r="BJ2074" s="117" t="str">
        <f>IFERROR($BI2074*$AW2074,"..")</f>
        <v>..</v>
      </c>
      <c r="BK2074" s="846" t="str">
        <f>IFERROR($BB2074/$BJ2074,"..")</f>
        <v>..</v>
      </c>
      <c r="BL2074" s="117" t="str">
        <f>IFERROR(VLOOKUP($D2074,'WB Data'!$C$3:$M$578,7,FALSE)/100,"..")</f>
        <v>..</v>
      </c>
      <c r="BM2074" s="117" t="str">
        <f>IFERROR($AW2074*$BL2074,"..")</f>
        <v>..</v>
      </c>
      <c r="BN2074" s="846" t="str">
        <f>IFERROR($BB2074/$BM2074,"..")</f>
        <v>..</v>
      </c>
      <c r="BO2074" s="801">
        <f t="shared" si="360"/>
        <v>38</v>
      </c>
      <c r="BP2074" s="117" t="str">
        <f>VLOOKUP($D2074,'WB Data'!$C$3:$M$578,9,FALSE)</f>
        <v>..</v>
      </c>
      <c r="BQ2074" s="117">
        <f>VLOOKUP($D2074,'WB Data'!$C$3:$M$578,10,FALSE)</f>
        <v>55.833146341463419</v>
      </c>
      <c r="BR2074" s="117">
        <f>VLOOKUP($D2074,'WB Data'!$C$3:$M$578,11,FALSE)</f>
        <v>59.3</v>
      </c>
      <c r="BS2074" s="129">
        <f>IFERROR(VLOOKUP($D2074,'WB Data 2'!$C$2:$K$545,9,FALSE),"..")</f>
        <v>93.626670000000004</v>
      </c>
      <c r="BT2074" s="129">
        <f>_xlfn.IFNA(VLOOKUP($C2074,RGI!$A$2:$C$43,2,FALSE),"..")</f>
        <v>41.2</v>
      </c>
      <c r="BU2074" s="129">
        <f>_xlfn.IFNA(VLOOKUP($C2074,RGI!$A$2:$C$43,3,FALSE),"..")</f>
        <v>60.803011070373614</v>
      </c>
      <c r="BV2074" s="129">
        <f>VLOOKUP($D2074,WGI!$C$2:$O$478,7,FALSE)</f>
        <v>-0.19122445119574899</v>
      </c>
      <c r="BW2074" s="129">
        <f>VLOOKUP($D2074,WGI!$C$2:$O$478,4,FALSE)</f>
        <v>0.47312848392783102</v>
      </c>
      <c r="BX2074" s="129">
        <f>VLOOKUP($D2074,WGI!$C$2:$O$478,3,FALSE)</f>
        <v>-0.63896441900571799</v>
      </c>
      <c r="BY2074" s="129">
        <f>VLOOKUP($D2074,WGI!$C$2:$O$478,5,FALSE)</f>
        <v>-0.42115388453417202</v>
      </c>
      <c r="BZ2074" s="129">
        <f>VLOOKUP($D2074,WGI!$C$2:$O$478,2,FALSE)</f>
        <v>-0.47027036788454601</v>
      </c>
    </row>
    <row r="2075" spans="1:80" ht="15" customHeight="1">
      <c r="A2075" s="280" t="s">
        <v>547</v>
      </c>
      <c r="B2075" s="117">
        <v>2011</v>
      </c>
      <c r="C2075" s="117" t="s">
        <v>541</v>
      </c>
      <c r="D2075" s="117" t="s">
        <v>3718</v>
      </c>
      <c r="E2075" s="117" t="s">
        <v>86</v>
      </c>
      <c r="F2075" s="117"/>
      <c r="G2075" s="117" t="s">
        <v>24</v>
      </c>
      <c r="H2075" s="117" t="str">
        <f t="shared" si="357"/>
        <v>yes</v>
      </c>
      <c r="I2075" s="117" t="str">
        <f t="shared" si="365"/>
        <v>no</v>
      </c>
      <c r="J2075" s="117" t="str">
        <f t="shared" si="366"/>
        <v>no</v>
      </c>
      <c r="K2075" s="117" t="s">
        <v>1061</v>
      </c>
      <c r="L2075" s="117" t="str">
        <f t="shared" si="358"/>
        <v>detailed</v>
      </c>
      <c r="M2075" s="117" t="str">
        <f t="shared" si="367"/>
        <v>detailed Mining</v>
      </c>
      <c r="N2075" s="118"/>
      <c r="O2075" s="118"/>
      <c r="P2075" s="118"/>
      <c r="Q2075" s="118"/>
      <c r="R2075" s="118"/>
      <c r="S2075" s="117"/>
      <c r="T2075" s="119">
        <v>32693.17</v>
      </c>
      <c r="U2075" s="117" t="s">
        <v>611</v>
      </c>
      <c r="V2075" s="117" t="s">
        <v>2440</v>
      </c>
      <c r="W2075" s="89">
        <f>N2076*T2075</f>
        <v>176543118</v>
      </c>
      <c r="X2075" s="117"/>
      <c r="Y2075" s="117"/>
      <c r="Z2075" s="117"/>
      <c r="AA2075" s="117"/>
      <c r="AB2075" s="117"/>
      <c r="AC2075" s="240"/>
      <c r="AD2075" s="240"/>
      <c r="AE2075" s="240"/>
      <c r="AF2075" s="241"/>
      <c r="AG2075" s="117"/>
      <c r="AH2075" s="124"/>
      <c r="AI2075" s="117"/>
      <c r="AJ2075" s="117"/>
      <c r="AK2075" s="89"/>
      <c r="AL2075" s="117"/>
      <c r="AM2075" s="117"/>
      <c r="AN2075" s="117"/>
      <c r="AO2075" s="117"/>
      <c r="AP2075" s="117"/>
      <c r="AQ2075" s="117"/>
      <c r="AR2075" s="126"/>
      <c r="AS2075" s="117"/>
      <c r="AT2075" s="117"/>
      <c r="AU2075" s="117" t="s">
        <v>2441</v>
      </c>
      <c r="AV2075" s="128"/>
      <c r="AW2075" s="117">
        <f>VLOOKUP($D2075,'WB Data'!$C$3:$M$578,2,FALSE)</f>
        <v>23731894786.497993</v>
      </c>
      <c r="AX2075" s="117">
        <f>VLOOKUP($D2075,'WB Data'!$C$3:$M$578,3,FALSE)</f>
        <v>13633796</v>
      </c>
      <c r="AY2075" s="847">
        <f t="shared" si="361"/>
        <v>6.6949638210260162E-2</v>
      </c>
      <c r="AZ2075" s="117">
        <f>VLOOKUP($D2075,'WB Data'!$C$3:$M$578,4,FALSE)/100</f>
        <v>0.17286030665418683</v>
      </c>
      <c r="BA2075" s="117">
        <f t="shared" si="362"/>
        <v>4102302610.2789412</v>
      </c>
      <c r="BB2075" s="129">
        <f>IFERROR(VLOOKUP($D2075,'EITI Revenues'!$C$2:$G$224,5,FALSE),"..")</f>
        <v>1588841770</v>
      </c>
      <c r="BC2075" s="846">
        <f t="shared" si="363"/>
        <v>0.38730486776351314</v>
      </c>
      <c r="BD2075" s="129">
        <f>VLOOKUP($D2075,'WB Data 2'!$C$2:$K$545,6,FALSE)</f>
        <v>7303051805.9508448</v>
      </c>
      <c r="BE2075" s="129">
        <f>IFERROR(VLOOKUP($D2075,UNCTAD!$C$5:$V$529,4,FALSE),"..")</f>
        <v>9034981000</v>
      </c>
      <c r="BF2075" s="846">
        <f t="shared" si="364"/>
        <v>0.80830848520332743</v>
      </c>
      <c r="BG2075" s="117">
        <f>VLOOKUP($D2075,'WB Data'!$C$3:$M$578,5,FALSE)</f>
        <v>1035060000</v>
      </c>
      <c r="BH2075" s="129">
        <f>IFERROR($BB2075/$BG2075,"..")</f>
        <v>1.5350238343670899</v>
      </c>
      <c r="BI2075" s="117" t="str">
        <f>IFERROR(VLOOKUP($D2075,'WB Data'!$C$3:$M$578,7,FALSE)/100,"..")</f>
        <v>..</v>
      </c>
      <c r="BJ2075" s="117" t="str">
        <f>IFERROR($BI2075*$AW2075,"..")</f>
        <v>..</v>
      </c>
      <c r="BK2075" s="846" t="str">
        <f>IFERROR($BB2075/$BJ2075,"..")</f>
        <v>..</v>
      </c>
      <c r="BL2075" s="117" t="str">
        <f>IFERROR(VLOOKUP($D2075,'WB Data'!$C$3:$M$578,7,FALSE)/100,"..")</f>
        <v>..</v>
      </c>
      <c r="BM2075" s="117" t="str">
        <f>IFERROR($AW2075*$BL2075,"..")</f>
        <v>..</v>
      </c>
      <c r="BN2075" s="846" t="str">
        <f>IFERROR($BB2075/$BM2075,"..")</f>
        <v>..</v>
      </c>
      <c r="BO2075" s="801">
        <f t="shared" si="360"/>
        <v>38</v>
      </c>
      <c r="BP2075" s="117" t="str">
        <f>VLOOKUP($D2075,'WB Data'!$C$3:$M$578,9,FALSE)</f>
        <v>..</v>
      </c>
      <c r="BQ2075" s="117">
        <f>VLOOKUP($D2075,'WB Data'!$C$3:$M$578,10,FALSE)</f>
        <v>55.833146341463419</v>
      </c>
      <c r="BR2075" s="117">
        <f>VLOOKUP($D2075,'WB Data'!$C$3:$M$578,11,FALSE)</f>
        <v>59.3</v>
      </c>
      <c r="BS2075" s="129">
        <f>IFERROR(VLOOKUP($D2075,'WB Data 2'!$C$2:$K$545,9,FALSE),"..")</f>
        <v>93.626670000000004</v>
      </c>
      <c r="BT2075" s="129">
        <f>_xlfn.IFNA(VLOOKUP($C2075,RGI!$A$2:$C$43,2,FALSE),"..")</f>
        <v>41.2</v>
      </c>
      <c r="BU2075" s="129">
        <f>_xlfn.IFNA(VLOOKUP($C2075,RGI!$A$2:$C$43,3,FALSE),"..")</f>
        <v>60.803011070373614</v>
      </c>
      <c r="BV2075" s="129">
        <f>VLOOKUP($D2075,WGI!$C$2:$O$478,7,FALSE)</f>
        <v>-0.19122445119574899</v>
      </c>
      <c r="BW2075" s="129">
        <f>VLOOKUP($D2075,WGI!$C$2:$O$478,4,FALSE)</f>
        <v>0.47312848392783102</v>
      </c>
      <c r="BX2075" s="129">
        <f>VLOOKUP($D2075,WGI!$C$2:$O$478,3,FALSE)</f>
        <v>-0.63896441900571799</v>
      </c>
      <c r="BY2075" s="129">
        <f>VLOOKUP($D2075,WGI!$C$2:$O$478,5,FALSE)</f>
        <v>-0.42115388453417202</v>
      </c>
      <c r="BZ2075" s="129">
        <f>VLOOKUP($D2075,WGI!$C$2:$O$478,2,FALSE)</f>
        <v>-0.47027036788454601</v>
      </c>
    </row>
    <row r="2076" spans="1:80" ht="15" customHeight="1">
      <c r="A2076" s="280" t="s">
        <v>547</v>
      </c>
      <c r="B2076" s="117">
        <v>2011</v>
      </c>
      <c r="C2076" s="117" t="s">
        <v>541</v>
      </c>
      <c r="D2076" s="117" t="s">
        <v>3718</v>
      </c>
      <c r="E2076" s="117" t="s">
        <v>86</v>
      </c>
      <c r="F2076" s="117"/>
      <c r="G2076" s="117" t="s">
        <v>24</v>
      </c>
      <c r="H2076" s="117" t="str">
        <f t="shared" ref="H2076:H2090" si="368">IF($G2076="Mining","yes",IF($G2076="Oil, Gas, Mining","yes",IF($G2076="Gas, Mining","yes",IF($G2076="Oil, Mining","yes",IF($G2076="Oil, Mining, Other","yes","no")))))</f>
        <v>yes</v>
      </c>
      <c r="I2076" s="117" t="str">
        <f t="shared" si="365"/>
        <v>no</v>
      </c>
      <c r="J2076" s="117" t="str">
        <f t="shared" si="366"/>
        <v>no</v>
      </c>
      <c r="K2076" s="117" t="s">
        <v>2402</v>
      </c>
      <c r="L2076" s="117" t="str">
        <f t="shared" ref="L2076:L2090" si="369">IF(LEFT(K2076,5)="Total","Total","detailed")</f>
        <v>detailed</v>
      </c>
      <c r="M2076" s="117" t="str">
        <f t="shared" si="367"/>
        <v>detailed Mining</v>
      </c>
      <c r="N2076" s="118">
        <v>5400</v>
      </c>
      <c r="O2076" s="118"/>
      <c r="P2076" s="118"/>
      <c r="Q2076" s="118"/>
      <c r="R2076" s="118"/>
      <c r="S2076" s="492"/>
      <c r="T2076" s="119"/>
      <c r="U2076" s="492"/>
      <c r="V2076" s="117" t="s">
        <v>684</v>
      </c>
      <c r="W2076" s="89"/>
      <c r="X2076" s="117"/>
      <c r="Y2076" s="117"/>
      <c r="Z2076" s="117"/>
      <c r="AA2076" s="117"/>
      <c r="AB2076" s="117"/>
      <c r="AC2076" s="240"/>
      <c r="AD2076" s="240"/>
      <c r="AE2076" s="240"/>
      <c r="AF2076" s="241"/>
      <c r="AG2076" s="117"/>
      <c r="AH2076" s="124"/>
      <c r="AI2076" s="117"/>
      <c r="AJ2076" s="117"/>
      <c r="AK2076" s="89"/>
      <c r="AL2076" s="117"/>
      <c r="AM2076" s="117"/>
      <c r="AN2076" s="117"/>
      <c r="AO2076" s="117"/>
      <c r="AP2076" s="117"/>
      <c r="AQ2076" s="117"/>
      <c r="AR2076" s="126"/>
      <c r="AS2076" s="117"/>
      <c r="AT2076" s="117"/>
      <c r="AU2076" s="117"/>
      <c r="AV2076" s="128"/>
      <c r="AW2076" s="117">
        <f>VLOOKUP($D2076,'WB Data'!$C$3:$M$578,2,FALSE)</f>
        <v>23731894786.497993</v>
      </c>
      <c r="AX2076" s="117">
        <f>VLOOKUP($D2076,'WB Data'!$C$3:$M$578,3,FALSE)</f>
        <v>13633796</v>
      </c>
      <c r="AY2076" s="847">
        <f t="shared" si="361"/>
        <v>6.6949638210260162E-2</v>
      </c>
      <c r="AZ2076" s="117">
        <f>VLOOKUP($D2076,'WB Data'!$C$3:$M$578,4,FALSE)/100</f>
        <v>0.17286030665418683</v>
      </c>
      <c r="BA2076" s="117">
        <f t="shared" si="362"/>
        <v>4102302610.2789412</v>
      </c>
      <c r="BB2076" s="129">
        <f>IFERROR(VLOOKUP($D2076,'EITI Revenues'!$C$2:$G$224,5,FALSE),"..")</f>
        <v>1588841770</v>
      </c>
      <c r="BC2076" s="846">
        <f t="shared" si="363"/>
        <v>0.38730486776351314</v>
      </c>
      <c r="BD2076" s="129">
        <f>VLOOKUP($D2076,'WB Data 2'!$C$2:$K$545,6,FALSE)</f>
        <v>7303051805.9508448</v>
      </c>
      <c r="BE2076" s="129">
        <f>IFERROR(VLOOKUP($D2076,UNCTAD!$C$5:$V$529,4,FALSE),"..")</f>
        <v>9034981000</v>
      </c>
      <c r="BF2076" s="846">
        <f t="shared" si="364"/>
        <v>0.80830848520332743</v>
      </c>
      <c r="BG2076" s="117">
        <f>VLOOKUP($D2076,'WB Data'!$C$3:$M$578,5,FALSE)</f>
        <v>1035060000</v>
      </c>
      <c r="BH2076" s="129">
        <f>IFERROR($BB2076/$BG2076,"..")</f>
        <v>1.5350238343670899</v>
      </c>
      <c r="BI2076" s="117" t="str">
        <f>IFERROR(VLOOKUP($D2076,'WB Data'!$C$3:$M$578,7,FALSE)/100,"..")</f>
        <v>..</v>
      </c>
      <c r="BJ2076" s="117" t="str">
        <f>IFERROR($BI2076*$AW2076,"..")</f>
        <v>..</v>
      </c>
      <c r="BK2076" s="846" t="str">
        <f>IFERROR($BB2076/$BJ2076,"..")</f>
        <v>..</v>
      </c>
      <c r="BL2076" s="117" t="str">
        <f>IFERROR(VLOOKUP($D2076,'WB Data'!$C$3:$M$578,7,FALSE)/100,"..")</f>
        <v>..</v>
      </c>
      <c r="BM2076" s="117" t="str">
        <f>IFERROR($AW2076*$BL2076,"..")</f>
        <v>..</v>
      </c>
      <c r="BN2076" s="846" t="str">
        <f>IFERROR($BB2076/$BM2076,"..")</f>
        <v>..</v>
      </c>
      <c r="BO2076" s="801">
        <f t="shared" si="360"/>
        <v>38</v>
      </c>
      <c r="BP2076" s="117" t="str">
        <f>VLOOKUP($D2076,'WB Data'!$C$3:$M$578,9,FALSE)</f>
        <v>..</v>
      </c>
      <c r="BQ2076" s="117">
        <f>VLOOKUP($D2076,'WB Data'!$C$3:$M$578,10,FALSE)</f>
        <v>55.833146341463419</v>
      </c>
      <c r="BR2076" s="117">
        <f>VLOOKUP($D2076,'WB Data'!$C$3:$M$578,11,FALSE)</f>
        <v>59.3</v>
      </c>
      <c r="BS2076" s="129">
        <f>IFERROR(VLOOKUP($D2076,'WB Data 2'!$C$2:$K$545,9,FALSE),"..")</f>
        <v>93.626670000000004</v>
      </c>
      <c r="BT2076" s="129">
        <f>_xlfn.IFNA(VLOOKUP($C2076,RGI!$A$2:$C$43,2,FALSE),"..")</f>
        <v>41.2</v>
      </c>
      <c r="BU2076" s="129">
        <f>_xlfn.IFNA(VLOOKUP($C2076,RGI!$A$2:$C$43,3,FALSE),"..")</f>
        <v>60.803011070373614</v>
      </c>
      <c r="BV2076" s="129">
        <f>VLOOKUP($D2076,WGI!$C$2:$O$478,7,FALSE)</f>
        <v>-0.19122445119574899</v>
      </c>
      <c r="BW2076" s="129">
        <f>VLOOKUP($D2076,WGI!$C$2:$O$478,4,FALSE)</f>
        <v>0.47312848392783102</v>
      </c>
      <c r="BX2076" s="129">
        <f>VLOOKUP($D2076,WGI!$C$2:$O$478,3,FALSE)</f>
        <v>-0.63896441900571799</v>
      </c>
      <c r="BY2076" s="129">
        <f>VLOOKUP($D2076,WGI!$C$2:$O$478,5,FALSE)</f>
        <v>-0.42115388453417202</v>
      </c>
      <c r="BZ2076" s="129">
        <f>VLOOKUP($D2076,WGI!$C$2:$O$478,2,FALSE)</f>
        <v>-0.47027036788454601</v>
      </c>
    </row>
    <row r="2077" spans="1:80" ht="15" customHeight="1">
      <c r="A2077" s="280" t="s">
        <v>547</v>
      </c>
      <c r="B2077" s="117">
        <v>2011</v>
      </c>
      <c r="C2077" s="117" t="s">
        <v>541</v>
      </c>
      <c r="D2077" s="117" t="s">
        <v>3718</v>
      </c>
      <c r="E2077" s="117" t="s">
        <v>86</v>
      </c>
      <c r="F2077" s="117"/>
      <c r="G2077" s="117" t="s">
        <v>24</v>
      </c>
      <c r="H2077" s="117" t="str">
        <f t="shared" si="368"/>
        <v>yes</v>
      </c>
      <c r="I2077" s="117" t="str">
        <f t="shared" si="365"/>
        <v>no</v>
      </c>
      <c r="J2077" s="117" t="str">
        <f t="shared" si="366"/>
        <v>no</v>
      </c>
      <c r="K2077" s="117" t="s">
        <v>1336</v>
      </c>
      <c r="L2077" s="117" t="str">
        <f t="shared" si="369"/>
        <v>detailed</v>
      </c>
      <c r="M2077" s="117" t="str">
        <f t="shared" si="367"/>
        <v>detailed Mining</v>
      </c>
      <c r="N2077" s="118">
        <v>5746</v>
      </c>
      <c r="O2077" s="118"/>
      <c r="P2077" s="118"/>
      <c r="Q2077" s="118"/>
      <c r="R2077" s="118"/>
      <c r="S2077" s="492"/>
      <c r="T2077" s="119"/>
      <c r="U2077" s="492"/>
      <c r="V2077" s="117" t="s">
        <v>684</v>
      </c>
      <c r="W2077" s="89"/>
      <c r="X2077" s="117"/>
      <c r="Y2077" s="117"/>
      <c r="Z2077" s="117"/>
      <c r="AA2077" s="117"/>
      <c r="AB2077" s="117"/>
      <c r="AC2077" s="240"/>
      <c r="AD2077" s="240"/>
      <c r="AE2077" s="240"/>
      <c r="AF2077" s="241"/>
      <c r="AG2077" s="117"/>
      <c r="AH2077" s="124"/>
      <c r="AI2077" s="117"/>
      <c r="AJ2077" s="117"/>
      <c r="AK2077" s="89"/>
      <c r="AL2077" s="117"/>
      <c r="AM2077" s="117"/>
      <c r="AN2077" s="117"/>
      <c r="AO2077" s="117"/>
      <c r="AP2077" s="117"/>
      <c r="AQ2077" s="117"/>
      <c r="AR2077" s="126"/>
      <c r="AS2077" s="117"/>
      <c r="AT2077" s="117"/>
      <c r="AU2077" s="117"/>
      <c r="AV2077" s="128"/>
      <c r="AW2077" s="117">
        <f>VLOOKUP($D2077,'WB Data'!$C$3:$M$578,2,FALSE)</f>
        <v>23731894786.497993</v>
      </c>
      <c r="AX2077" s="117">
        <f>VLOOKUP($D2077,'WB Data'!$C$3:$M$578,3,FALSE)</f>
        <v>13633796</v>
      </c>
      <c r="AY2077" s="847">
        <f t="shared" si="361"/>
        <v>6.6949638210260162E-2</v>
      </c>
      <c r="AZ2077" s="117">
        <f>VLOOKUP($D2077,'WB Data'!$C$3:$M$578,4,FALSE)/100</f>
        <v>0.17286030665418683</v>
      </c>
      <c r="BA2077" s="117">
        <f t="shared" si="362"/>
        <v>4102302610.2789412</v>
      </c>
      <c r="BB2077" s="129">
        <f>IFERROR(VLOOKUP($D2077,'EITI Revenues'!$C$2:$G$224,5,FALSE),"..")</f>
        <v>1588841770</v>
      </c>
      <c r="BC2077" s="846">
        <f t="shared" si="363"/>
        <v>0.38730486776351314</v>
      </c>
      <c r="BD2077" s="129">
        <f>VLOOKUP($D2077,'WB Data 2'!$C$2:$K$545,6,FALSE)</f>
        <v>7303051805.9508448</v>
      </c>
      <c r="BE2077" s="129">
        <f>IFERROR(VLOOKUP($D2077,UNCTAD!$C$5:$V$529,4,FALSE),"..")</f>
        <v>9034981000</v>
      </c>
      <c r="BF2077" s="846">
        <f t="shared" si="364"/>
        <v>0.80830848520332743</v>
      </c>
      <c r="BG2077" s="117">
        <f>VLOOKUP($D2077,'WB Data'!$C$3:$M$578,5,FALSE)</f>
        <v>1035060000</v>
      </c>
      <c r="BH2077" s="129">
        <f>IFERROR($BB2077/$BG2077,"..")</f>
        <v>1.5350238343670899</v>
      </c>
      <c r="BI2077" s="117" t="str">
        <f>IFERROR(VLOOKUP($D2077,'WB Data'!$C$3:$M$578,7,FALSE)/100,"..")</f>
        <v>..</v>
      </c>
      <c r="BJ2077" s="117" t="str">
        <f>IFERROR($BI2077*$AW2077,"..")</f>
        <v>..</v>
      </c>
      <c r="BK2077" s="846" t="str">
        <f>IFERROR($BB2077/$BJ2077,"..")</f>
        <v>..</v>
      </c>
      <c r="BL2077" s="117" t="str">
        <f>IFERROR(VLOOKUP($D2077,'WB Data'!$C$3:$M$578,7,FALSE)/100,"..")</f>
        <v>..</v>
      </c>
      <c r="BM2077" s="117" t="str">
        <f>IFERROR($AW2077*$BL2077,"..")</f>
        <v>..</v>
      </c>
      <c r="BN2077" s="846" t="str">
        <f>IFERROR($BB2077/$BM2077,"..")</f>
        <v>..</v>
      </c>
      <c r="BO2077" s="801">
        <f t="shared" si="360"/>
        <v>38</v>
      </c>
      <c r="BP2077" s="117" t="str">
        <f>VLOOKUP($D2077,'WB Data'!$C$3:$M$578,9,FALSE)</f>
        <v>..</v>
      </c>
      <c r="BQ2077" s="117">
        <f>VLOOKUP($D2077,'WB Data'!$C$3:$M$578,10,FALSE)</f>
        <v>55.833146341463419</v>
      </c>
      <c r="BR2077" s="117">
        <f>VLOOKUP($D2077,'WB Data'!$C$3:$M$578,11,FALSE)</f>
        <v>59.3</v>
      </c>
      <c r="BS2077" s="129">
        <f>IFERROR(VLOOKUP($D2077,'WB Data 2'!$C$2:$K$545,9,FALSE),"..")</f>
        <v>93.626670000000004</v>
      </c>
      <c r="BT2077" s="129">
        <f>_xlfn.IFNA(VLOOKUP($C2077,RGI!$A$2:$C$43,2,FALSE),"..")</f>
        <v>41.2</v>
      </c>
      <c r="BU2077" s="129">
        <f>_xlfn.IFNA(VLOOKUP($C2077,RGI!$A$2:$C$43,3,FALSE),"..")</f>
        <v>60.803011070373614</v>
      </c>
      <c r="BV2077" s="129">
        <f>VLOOKUP($D2077,WGI!$C$2:$O$478,7,FALSE)</f>
        <v>-0.19122445119574899</v>
      </c>
      <c r="BW2077" s="129">
        <f>VLOOKUP($D2077,WGI!$C$2:$O$478,4,FALSE)</f>
        <v>0.47312848392783102</v>
      </c>
      <c r="BX2077" s="129">
        <f>VLOOKUP($D2077,WGI!$C$2:$O$478,3,FALSE)</f>
        <v>-0.63896441900571799</v>
      </c>
      <c r="BY2077" s="129">
        <f>VLOOKUP($D2077,WGI!$C$2:$O$478,5,FALSE)</f>
        <v>-0.42115388453417202</v>
      </c>
      <c r="BZ2077" s="129">
        <f>VLOOKUP($D2077,WGI!$C$2:$O$478,2,FALSE)</f>
        <v>-0.47027036788454601</v>
      </c>
    </row>
    <row r="2078" spans="1:80" ht="15" customHeight="1">
      <c r="A2078" s="280" t="s">
        <v>547</v>
      </c>
      <c r="B2078" s="117">
        <v>2011</v>
      </c>
      <c r="C2078" s="117" t="s">
        <v>541</v>
      </c>
      <c r="D2078" s="117" t="s">
        <v>3718</v>
      </c>
      <c r="E2078" s="117" t="s">
        <v>86</v>
      </c>
      <c r="F2078" s="117"/>
      <c r="G2078" s="117" t="s">
        <v>24</v>
      </c>
      <c r="H2078" s="117" t="str">
        <f t="shared" si="368"/>
        <v>yes</v>
      </c>
      <c r="I2078" s="117" t="str">
        <f t="shared" si="365"/>
        <v>no</v>
      </c>
      <c r="J2078" s="117" t="str">
        <f t="shared" si="366"/>
        <v>no</v>
      </c>
      <c r="K2078" s="117" t="s">
        <v>619</v>
      </c>
      <c r="L2078" s="117" t="str">
        <f t="shared" si="369"/>
        <v>detailed</v>
      </c>
      <c r="M2078" s="117" t="str">
        <f t="shared" si="367"/>
        <v>detailed Mining</v>
      </c>
      <c r="N2078" s="118"/>
      <c r="O2078" s="118"/>
      <c r="P2078" s="118"/>
      <c r="Q2078" s="118"/>
      <c r="R2078" s="118"/>
      <c r="S2078" s="492"/>
      <c r="T2078" s="186">
        <v>8828.1875</v>
      </c>
      <c r="U2078" s="117" t="s">
        <v>611</v>
      </c>
      <c r="V2078" s="117" t="s">
        <v>681</v>
      </c>
      <c r="W2078" s="89">
        <f>SUM(N2080:N2081)*T2078</f>
        <v>9066548562.5</v>
      </c>
      <c r="X2078" s="117"/>
      <c r="Y2078" s="117"/>
      <c r="Z2078" s="117"/>
      <c r="AA2078" s="117"/>
      <c r="AB2078" s="117"/>
      <c r="AC2078" s="240"/>
      <c r="AD2078" s="240"/>
      <c r="AE2078" s="240"/>
      <c r="AF2078" s="241"/>
      <c r="AG2078" s="117"/>
      <c r="AH2078" s="124"/>
      <c r="AI2078" s="117"/>
      <c r="AJ2078" s="117"/>
      <c r="AK2078" s="89"/>
      <c r="AL2078" s="117"/>
      <c r="AM2078" s="117"/>
      <c r="AN2078" s="117"/>
      <c r="AO2078" s="117"/>
      <c r="AP2078" s="117"/>
      <c r="AQ2078" s="117"/>
      <c r="AR2078" s="126"/>
      <c r="AS2078" s="117"/>
      <c r="AT2078" s="117"/>
      <c r="AU2078" s="117">
        <v>11</v>
      </c>
      <c r="AV2078" s="128"/>
      <c r="AW2078" s="117">
        <f>VLOOKUP($D2078,'WB Data'!$C$3:$M$578,2,FALSE)</f>
        <v>23731894786.497993</v>
      </c>
      <c r="AX2078" s="117">
        <f>VLOOKUP($D2078,'WB Data'!$C$3:$M$578,3,FALSE)</f>
        <v>13633796</v>
      </c>
      <c r="AY2078" s="847">
        <f t="shared" si="361"/>
        <v>6.6949638210260162E-2</v>
      </c>
      <c r="AZ2078" s="117">
        <f>VLOOKUP($D2078,'WB Data'!$C$3:$M$578,4,FALSE)/100</f>
        <v>0.17286030665418683</v>
      </c>
      <c r="BA2078" s="117">
        <f t="shared" si="362"/>
        <v>4102302610.2789412</v>
      </c>
      <c r="BB2078" s="129">
        <f>IFERROR(VLOOKUP($D2078,'EITI Revenues'!$C$2:$G$224,5,FALSE),"..")</f>
        <v>1588841770</v>
      </c>
      <c r="BC2078" s="846">
        <f t="shared" si="363"/>
        <v>0.38730486776351314</v>
      </c>
      <c r="BD2078" s="129">
        <f>VLOOKUP($D2078,'WB Data 2'!$C$2:$K$545,6,FALSE)</f>
        <v>7303051805.9508448</v>
      </c>
      <c r="BE2078" s="129">
        <f>IFERROR(VLOOKUP($D2078,UNCTAD!$C$5:$V$529,4,FALSE),"..")</f>
        <v>9034981000</v>
      </c>
      <c r="BF2078" s="846">
        <f t="shared" si="364"/>
        <v>0.80830848520332743</v>
      </c>
      <c r="BG2078" s="117">
        <f>VLOOKUP($D2078,'WB Data'!$C$3:$M$578,5,FALSE)</f>
        <v>1035060000</v>
      </c>
      <c r="BH2078" s="129">
        <f>IFERROR($BB2078/$BG2078,"..")</f>
        <v>1.5350238343670899</v>
      </c>
      <c r="BI2078" s="117" t="str">
        <f>IFERROR(VLOOKUP($D2078,'WB Data'!$C$3:$M$578,7,FALSE)/100,"..")</f>
        <v>..</v>
      </c>
      <c r="BJ2078" s="117" t="str">
        <f>IFERROR($BI2078*$AW2078,"..")</f>
        <v>..</v>
      </c>
      <c r="BK2078" s="846" t="str">
        <f>IFERROR($BB2078/$BJ2078,"..")</f>
        <v>..</v>
      </c>
      <c r="BL2078" s="117" t="str">
        <f>IFERROR(VLOOKUP($D2078,'WB Data'!$C$3:$M$578,7,FALSE)/100,"..")</f>
        <v>..</v>
      </c>
      <c r="BM2078" s="117" t="str">
        <f>IFERROR($AW2078*$BL2078,"..")</f>
        <v>..</v>
      </c>
      <c r="BN2078" s="846" t="str">
        <f>IFERROR($BB2078/$BM2078,"..")</f>
        <v>..</v>
      </c>
      <c r="BO2078" s="801">
        <f t="shared" si="360"/>
        <v>38</v>
      </c>
      <c r="BP2078" s="117" t="str">
        <f>VLOOKUP($D2078,'WB Data'!$C$3:$M$578,9,FALSE)</f>
        <v>..</v>
      </c>
      <c r="BQ2078" s="117">
        <f>VLOOKUP($D2078,'WB Data'!$C$3:$M$578,10,FALSE)</f>
        <v>55.833146341463419</v>
      </c>
      <c r="BR2078" s="117">
        <f>VLOOKUP($D2078,'WB Data'!$C$3:$M$578,11,FALSE)</f>
        <v>59.3</v>
      </c>
      <c r="BS2078" s="129">
        <f>IFERROR(VLOOKUP($D2078,'WB Data 2'!$C$2:$K$545,9,FALSE),"..")</f>
        <v>93.626670000000004</v>
      </c>
      <c r="BT2078" s="129">
        <f>_xlfn.IFNA(VLOOKUP($C2078,RGI!$A$2:$C$43,2,FALSE),"..")</f>
        <v>41.2</v>
      </c>
      <c r="BU2078" s="129">
        <f>_xlfn.IFNA(VLOOKUP($C2078,RGI!$A$2:$C$43,3,FALSE),"..")</f>
        <v>60.803011070373614</v>
      </c>
      <c r="BV2078" s="129">
        <f>VLOOKUP($D2078,WGI!$C$2:$O$478,7,FALSE)</f>
        <v>-0.19122445119574899</v>
      </c>
      <c r="BW2078" s="129">
        <f>VLOOKUP($D2078,WGI!$C$2:$O$478,4,FALSE)</f>
        <v>0.47312848392783102</v>
      </c>
      <c r="BX2078" s="129">
        <f>VLOOKUP($D2078,WGI!$C$2:$O$478,3,FALSE)</f>
        <v>-0.63896441900571799</v>
      </c>
      <c r="BY2078" s="129">
        <f>VLOOKUP($D2078,WGI!$C$2:$O$478,5,FALSE)</f>
        <v>-0.42115388453417202</v>
      </c>
      <c r="BZ2078" s="129">
        <f>VLOOKUP($D2078,WGI!$C$2:$O$478,2,FALSE)</f>
        <v>-0.47027036788454601</v>
      </c>
    </row>
    <row r="2079" spans="1:80" ht="15" customHeight="1">
      <c r="A2079" s="280" t="s">
        <v>547</v>
      </c>
      <c r="B2079" s="117">
        <v>2011</v>
      </c>
      <c r="C2079" s="117" t="s">
        <v>541</v>
      </c>
      <c r="D2079" s="117" t="s">
        <v>3718</v>
      </c>
      <c r="E2079" s="117" t="s">
        <v>86</v>
      </c>
      <c r="F2079" s="117"/>
      <c r="G2079" s="117" t="s">
        <v>24</v>
      </c>
      <c r="H2079" s="117" t="str">
        <f t="shared" si="368"/>
        <v>yes</v>
      </c>
      <c r="I2079" s="117" t="str">
        <f t="shared" si="365"/>
        <v>no</v>
      </c>
      <c r="J2079" s="117" t="str">
        <f t="shared" si="366"/>
        <v>no</v>
      </c>
      <c r="K2079" s="117" t="s">
        <v>1324</v>
      </c>
      <c r="L2079" s="117" t="str">
        <f t="shared" si="369"/>
        <v>detailed</v>
      </c>
      <c r="M2079" s="117" t="str">
        <f t="shared" si="367"/>
        <v>detailed Mining</v>
      </c>
      <c r="N2079" s="118">
        <v>668000</v>
      </c>
      <c r="O2079" s="118"/>
      <c r="P2079" s="118"/>
      <c r="Q2079" s="118"/>
      <c r="R2079" s="118"/>
      <c r="S2079" s="492"/>
      <c r="T2079" s="119"/>
      <c r="U2079" s="492"/>
      <c r="V2079" s="117" t="s">
        <v>684</v>
      </c>
      <c r="W2079" s="89"/>
      <c r="X2079" s="117"/>
      <c r="Y2079" s="117"/>
      <c r="Z2079" s="117"/>
      <c r="AA2079" s="117"/>
      <c r="AB2079" s="117"/>
      <c r="AC2079" s="240"/>
      <c r="AD2079" s="240"/>
      <c r="AE2079" s="240"/>
      <c r="AF2079" s="241"/>
      <c r="AG2079" s="117"/>
      <c r="AH2079" s="124"/>
      <c r="AI2079" s="117"/>
      <c r="AJ2079" s="117"/>
      <c r="AK2079" s="89"/>
      <c r="AL2079" s="117"/>
      <c r="AM2079" s="117"/>
      <c r="AN2079" s="117"/>
      <c r="AO2079" s="117"/>
      <c r="AP2079" s="117"/>
      <c r="AQ2079" s="117"/>
      <c r="AR2079" s="126"/>
      <c r="AS2079" s="117"/>
      <c r="AT2079" s="117"/>
      <c r="AU2079" s="117"/>
      <c r="AV2079" s="128"/>
      <c r="AW2079" s="117">
        <f>VLOOKUP($D2079,'WB Data'!$C$3:$M$578,2,FALSE)</f>
        <v>23731894786.497993</v>
      </c>
      <c r="AX2079" s="117">
        <f>VLOOKUP($D2079,'WB Data'!$C$3:$M$578,3,FALSE)</f>
        <v>13633796</v>
      </c>
      <c r="AY2079" s="847">
        <f t="shared" si="361"/>
        <v>6.6949638210260162E-2</v>
      </c>
      <c r="AZ2079" s="117">
        <f>VLOOKUP($D2079,'WB Data'!$C$3:$M$578,4,FALSE)/100</f>
        <v>0.17286030665418683</v>
      </c>
      <c r="BA2079" s="117">
        <f t="shared" si="362"/>
        <v>4102302610.2789412</v>
      </c>
      <c r="BB2079" s="129">
        <f>IFERROR(VLOOKUP($D2079,'EITI Revenues'!$C$2:$G$224,5,FALSE),"..")</f>
        <v>1588841770</v>
      </c>
      <c r="BC2079" s="846">
        <f t="shared" si="363"/>
        <v>0.38730486776351314</v>
      </c>
      <c r="BD2079" s="129">
        <f>VLOOKUP($D2079,'WB Data 2'!$C$2:$K$545,6,FALSE)</f>
        <v>7303051805.9508448</v>
      </c>
      <c r="BE2079" s="129">
        <f>IFERROR(VLOOKUP($D2079,UNCTAD!$C$5:$V$529,4,FALSE),"..")</f>
        <v>9034981000</v>
      </c>
      <c r="BF2079" s="846">
        <f t="shared" si="364"/>
        <v>0.80830848520332743</v>
      </c>
      <c r="BG2079" s="117">
        <f>VLOOKUP($D2079,'WB Data'!$C$3:$M$578,5,FALSE)</f>
        <v>1035060000</v>
      </c>
      <c r="BH2079" s="129">
        <f>IFERROR($BB2079/$BG2079,"..")</f>
        <v>1.5350238343670899</v>
      </c>
      <c r="BI2079" s="117" t="str">
        <f>IFERROR(VLOOKUP($D2079,'WB Data'!$C$3:$M$578,7,FALSE)/100,"..")</f>
        <v>..</v>
      </c>
      <c r="BJ2079" s="117" t="str">
        <f>IFERROR($BI2079*$AW2079,"..")</f>
        <v>..</v>
      </c>
      <c r="BK2079" s="846" t="str">
        <f>IFERROR($BB2079/$BJ2079,"..")</f>
        <v>..</v>
      </c>
      <c r="BL2079" s="117" t="str">
        <f>IFERROR(VLOOKUP($D2079,'WB Data'!$C$3:$M$578,7,FALSE)/100,"..")</f>
        <v>..</v>
      </c>
      <c r="BM2079" s="117" t="str">
        <f>IFERROR($AW2079*$BL2079,"..")</f>
        <v>..</v>
      </c>
      <c r="BN2079" s="846" t="str">
        <f>IFERROR($BB2079/$BM2079,"..")</f>
        <v>..</v>
      </c>
      <c r="BO2079" s="801">
        <f t="shared" si="360"/>
        <v>38</v>
      </c>
      <c r="BP2079" s="117" t="str">
        <f>VLOOKUP($D2079,'WB Data'!$C$3:$M$578,9,FALSE)</f>
        <v>..</v>
      </c>
      <c r="BQ2079" s="117">
        <f>VLOOKUP($D2079,'WB Data'!$C$3:$M$578,10,FALSE)</f>
        <v>55.833146341463419</v>
      </c>
      <c r="BR2079" s="117">
        <f>VLOOKUP($D2079,'WB Data'!$C$3:$M$578,11,FALSE)</f>
        <v>59.3</v>
      </c>
      <c r="BS2079" s="129">
        <f>IFERROR(VLOOKUP($D2079,'WB Data 2'!$C$2:$K$545,9,FALSE),"..")</f>
        <v>93.626670000000004</v>
      </c>
      <c r="BT2079" s="129">
        <f>_xlfn.IFNA(VLOOKUP($C2079,RGI!$A$2:$C$43,2,FALSE),"..")</f>
        <v>41.2</v>
      </c>
      <c r="BU2079" s="129">
        <f>_xlfn.IFNA(VLOOKUP($C2079,RGI!$A$2:$C$43,3,FALSE),"..")</f>
        <v>60.803011070373614</v>
      </c>
      <c r="BV2079" s="129">
        <f>VLOOKUP($D2079,WGI!$C$2:$O$478,7,FALSE)</f>
        <v>-0.19122445119574899</v>
      </c>
      <c r="BW2079" s="129">
        <f>VLOOKUP($D2079,WGI!$C$2:$O$478,4,FALSE)</f>
        <v>0.47312848392783102</v>
      </c>
      <c r="BX2079" s="129">
        <f>VLOOKUP($D2079,WGI!$C$2:$O$478,3,FALSE)</f>
        <v>-0.63896441900571799</v>
      </c>
      <c r="BY2079" s="129">
        <f>VLOOKUP($D2079,WGI!$C$2:$O$478,5,FALSE)</f>
        <v>-0.42115388453417202</v>
      </c>
      <c r="BZ2079" s="129">
        <f>VLOOKUP($D2079,WGI!$C$2:$O$478,2,FALSE)</f>
        <v>-0.47027036788454601</v>
      </c>
    </row>
    <row r="2080" spans="1:80" ht="15" customHeight="1">
      <c r="A2080" s="280" t="s">
        <v>547</v>
      </c>
      <c r="B2080" s="117">
        <v>2011</v>
      </c>
      <c r="C2080" s="117" t="s">
        <v>541</v>
      </c>
      <c r="D2080" s="117" t="s">
        <v>3718</v>
      </c>
      <c r="E2080" s="117" t="s">
        <v>86</v>
      </c>
      <c r="F2080" s="117"/>
      <c r="G2080" s="117" t="s">
        <v>24</v>
      </c>
      <c r="H2080" s="117" t="str">
        <f t="shared" si="368"/>
        <v>yes</v>
      </c>
      <c r="I2080" s="117" t="str">
        <f t="shared" si="365"/>
        <v>no</v>
      </c>
      <c r="J2080" s="117" t="str">
        <f t="shared" si="366"/>
        <v>no</v>
      </c>
      <c r="K2080" s="117" t="s">
        <v>1325</v>
      </c>
      <c r="L2080" s="117" t="str">
        <f t="shared" si="369"/>
        <v>detailed</v>
      </c>
      <c r="M2080" s="117" t="str">
        <f t="shared" si="367"/>
        <v>detailed Mining</v>
      </c>
      <c r="N2080" s="118">
        <v>511000</v>
      </c>
      <c r="O2080" s="118"/>
      <c r="P2080" s="118"/>
      <c r="Q2080" s="118"/>
      <c r="R2080" s="118"/>
      <c r="S2080" s="492"/>
      <c r="T2080" s="119"/>
      <c r="U2080" s="492"/>
      <c r="V2080" s="117" t="s">
        <v>684</v>
      </c>
      <c r="W2080" s="89"/>
      <c r="X2080" s="117"/>
      <c r="Y2080" s="117"/>
      <c r="Z2080" s="117"/>
      <c r="AA2080" s="117"/>
      <c r="AB2080" s="117"/>
      <c r="AC2080" s="240"/>
      <c r="AD2080" s="240"/>
      <c r="AE2080" s="240"/>
      <c r="AF2080" s="241"/>
      <c r="AG2080" s="117"/>
      <c r="AH2080" s="124"/>
      <c r="AI2080" s="117"/>
      <c r="AJ2080" s="117"/>
      <c r="AK2080" s="89"/>
      <c r="AL2080" s="117"/>
      <c r="AM2080" s="117"/>
      <c r="AN2080" s="117"/>
      <c r="AO2080" s="117"/>
      <c r="AP2080" s="117"/>
      <c r="AQ2080" s="117"/>
      <c r="AR2080" s="126"/>
      <c r="AS2080" s="117"/>
      <c r="AT2080" s="117"/>
      <c r="AU2080" s="117"/>
      <c r="AV2080" s="128"/>
      <c r="AW2080" s="117">
        <f>VLOOKUP($D2080,'WB Data'!$C$3:$M$578,2,FALSE)</f>
        <v>23731894786.497993</v>
      </c>
      <c r="AX2080" s="117">
        <f>VLOOKUP($D2080,'WB Data'!$C$3:$M$578,3,FALSE)</f>
        <v>13633796</v>
      </c>
      <c r="AY2080" s="847">
        <f t="shared" si="361"/>
        <v>6.6949638210260162E-2</v>
      </c>
      <c r="AZ2080" s="117">
        <f>VLOOKUP($D2080,'WB Data'!$C$3:$M$578,4,FALSE)/100</f>
        <v>0.17286030665418683</v>
      </c>
      <c r="BA2080" s="117">
        <f t="shared" si="362"/>
        <v>4102302610.2789412</v>
      </c>
      <c r="BB2080" s="129">
        <f>IFERROR(VLOOKUP($D2080,'EITI Revenues'!$C$2:$G$224,5,FALSE),"..")</f>
        <v>1588841770</v>
      </c>
      <c r="BC2080" s="846">
        <f t="shared" si="363"/>
        <v>0.38730486776351314</v>
      </c>
      <c r="BD2080" s="129">
        <f>VLOOKUP($D2080,'WB Data 2'!$C$2:$K$545,6,FALSE)</f>
        <v>7303051805.9508448</v>
      </c>
      <c r="BE2080" s="129">
        <f>IFERROR(VLOOKUP($D2080,UNCTAD!$C$5:$V$529,4,FALSE),"..")</f>
        <v>9034981000</v>
      </c>
      <c r="BF2080" s="846">
        <f t="shared" si="364"/>
        <v>0.80830848520332743</v>
      </c>
      <c r="BG2080" s="117">
        <f>VLOOKUP($D2080,'WB Data'!$C$3:$M$578,5,FALSE)</f>
        <v>1035060000</v>
      </c>
      <c r="BH2080" s="129">
        <f>IFERROR($BB2080/$BG2080,"..")</f>
        <v>1.5350238343670899</v>
      </c>
      <c r="BI2080" s="117" t="str">
        <f>IFERROR(VLOOKUP($D2080,'WB Data'!$C$3:$M$578,7,FALSE)/100,"..")</f>
        <v>..</v>
      </c>
      <c r="BJ2080" s="117" t="str">
        <f>IFERROR($BI2080*$AW2080,"..")</f>
        <v>..</v>
      </c>
      <c r="BK2080" s="846" t="str">
        <f>IFERROR($BB2080/$BJ2080,"..")</f>
        <v>..</v>
      </c>
      <c r="BL2080" s="117" t="str">
        <f>IFERROR(VLOOKUP($D2080,'WB Data'!$C$3:$M$578,7,FALSE)/100,"..")</f>
        <v>..</v>
      </c>
      <c r="BM2080" s="117" t="str">
        <f>IFERROR($AW2080*$BL2080,"..")</f>
        <v>..</v>
      </c>
      <c r="BN2080" s="846" t="str">
        <f>IFERROR($BB2080/$BM2080,"..")</f>
        <v>..</v>
      </c>
      <c r="BO2080" s="801">
        <f t="shared" si="360"/>
        <v>38</v>
      </c>
      <c r="BP2080" s="117" t="str">
        <f>VLOOKUP($D2080,'WB Data'!$C$3:$M$578,9,FALSE)</f>
        <v>..</v>
      </c>
      <c r="BQ2080" s="117">
        <f>VLOOKUP($D2080,'WB Data'!$C$3:$M$578,10,FALSE)</f>
        <v>55.833146341463419</v>
      </c>
      <c r="BR2080" s="117">
        <f>VLOOKUP($D2080,'WB Data'!$C$3:$M$578,11,FALSE)</f>
        <v>59.3</v>
      </c>
      <c r="BS2080" s="129">
        <f>IFERROR(VLOOKUP($D2080,'WB Data 2'!$C$2:$K$545,9,FALSE),"..")</f>
        <v>93.626670000000004</v>
      </c>
      <c r="BT2080" s="129">
        <f>_xlfn.IFNA(VLOOKUP($C2080,RGI!$A$2:$C$43,2,FALSE),"..")</f>
        <v>41.2</v>
      </c>
      <c r="BU2080" s="129">
        <f>_xlfn.IFNA(VLOOKUP($C2080,RGI!$A$2:$C$43,3,FALSE),"..")</f>
        <v>60.803011070373614</v>
      </c>
      <c r="BV2080" s="129">
        <f>VLOOKUP($D2080,WGI!$C$2:$O$478,7,FALSE)</f>
        <v>-0.19122445119574899</v>
      </c>
      <c r="BW2080" s="129">
        <f>VLOOKUP($D2080,WGI!$C$2:$O$478,4,FALSE)</f>
        <v>0.47312848392783102</v>
      </c>
      <c r="BX2080" s="129">
        <f>VLOOKUP($D2080,WGI!$C$2:$O$478,3,FALSE)</f>
        <v>-0.63896441900571799</v>
      </c>
      <c r="BY2080" s="129">
        <f>VLOOKUP($D2080,WGI!$C$2:$O$478,5,FALSE)</f>
        <v>-0.42115388453417202</v>
      </c>
      <c r="BZ2080" s="129">
        <f>VLOOKUP($D2080,WGI!$C$2:$O$478,2,FALSE)</f>
        <v>-0.47027036788454601</v>
      </c>
    </row>
    <row r="2081" spans="1:80" ht="15" customHeight="1">
      <c r="A2081" s="280" t="s">
        <v>547</v>
      </c>
      <c r="B2081" s="117">
        <v>2011</v>
      </c>
      <c r="C2081" s="117" t="s">
        <v>541</v>
      </c>
      <c r="D2081" s="117" t="s">
        <v>3718</v>
      </c>
      <c r="E2081" s="117" t="s">
        <v>86</v>
      </c>
      <c r="F2081" s="117"/>
      <c r="G2081" s="117" t="s">
        <v>24</v>
      </c>
      <c r="H2081" s="117" t="str">
        <f t="shared" si="368"/>
        <v>yes</v>
      </c>
      <c r="I2081" s="117" t="str">
        <f t="shared" si="365"/>
        <v>no</v>
      </c>
      <c r="J2081" s="117" t="str">
        <f t="shared" si="366"/>
        <v>no</v>
      </c>
      <c r="K2081" s="117" t="s">
        <v>1326</v>
      </c>
      <c r="L2081" s="117" t="str">
        <f t="shared" si="369"/>
        <v>detailed</v>
      </c>
      <c r="M2081" s="117" t="str">
        <f t="shared" si="367"/>
        <v>detailed Mining</v>
      </c>
      <c r="N2081" s="118">
        <v>516000</v>
      </c>
      <c r="O2081" s="118"/>
      <c r="P2081" s="118"/>
      <c r="Q2081" s="118"/>
      <c r="R2081" s="118"/>
      <c r="S2081" s="492"/>
      <c r="T2081" s="119"/>
      <c r="U2081" s="492"/>
      <c r="V2081" s="117" t="s">
        <v>684</v>
      </c>
      <c r="W2081" s="89"/>
      <c r="X2081" s="117"/>
      <c r="Y2081" s="117"/>
      <c r="Z2081" s="117"/>
      <c r="AA2081" s="117"/>
      <c r="AB2081" s="117"/>
      <c r="AC2081" s="240"/>
      <c r="AD2081" s="240"/>
      <c r="AE2081" s="240"/>
      <c r="AF2081" s="241"/>
      <c r="AG2081" s="117"/>
      <c r="AH2081" s="124"/>
      <c r="AI2081" s="117"/>
      <c r="AJ2081" s="117"/>
      <c r="AK2081" s="89"/>
      <c r="AL2081" s="117"/>
      <c r="AM2081" s="117"/>
      <c r="AN2081" s="117"/>
      <c r="AO2081" s="117"/>
      <c r="AP2081" s="117"/>
      <c r="AQ2081" s="117"/>
      <c r="AR2081" s="126"/>
      <c r="AS2081" s="117"/>
      <c r="AT2081" s="117"/>
      <c r="AU2081" s="117"/>
      <c r="AV2081" s="128"/>
      <c r="AW2081" s="117">
        <f>VLOOKUP($D2081,'WB Data'!$C$3:$M$578,2,FALSE)</f>
        <v>23731894786.497993</v>
      </c>
      <c r="AX2081" s="117">
        <f>VLOOKUP($D2081,'WB Data'!$C$3:$M$578,3,FALSE)</f>
        <v>13633796</v>
      </c>
      <c r="AY2081" s="847">
        <f t="shared" si="361"/>
        <v>6.6949638210260162E-2</v>
      </c>
      <c r="AZ2081" s="117">
        <f>VLOOKUP($D2081,'WB Data'!$C$3:$M$578,4,FALSE)/100</f>
        <v>0.17286030665418683</v>
      </c>
      <c r="BA2081" s="117">
        <f t="shared" si="362"/>
        <v>4102302610.2789412</v>
      </c>
      <c r="BB2081" s="129">
        <f>IFERROR(VLOOKUP($D2081,'EITI Revenues'!$C$2:$G$224,5,FALSE),"..")</f>
        <v>1588841770</v>
      </c>
      <c r="BC2081" s="846">
        <f t="shared" si="363"/>
        <v>0.38730486776351314</v>
      </c>
      <c r="BD2081" s="129">
        <f>VLOOKUP($D2081,'WB Data 2'!$C$2:$K$545,6,FALSE)</f>
        <v>7303051805.9508448</v>
      </c>
      <c r="BE2081" s="129">
        <f>IFERROR(VLOOKUP($D2081,UNCTAD!$C$5:$V$529,4,FALSE),"..")</f>
        <v>9034981000</v>
      </c>
      <c r="BF2081" s="846">
        <f t="shared" si="364"/>
        <v>0.80830848520332743</v>
      </c>
      <c r="BG2081" s="117">
        <f>VLOOKUP($D2081,'WB Data'!$C$3:$M$578,5,FALSE)</f>
        <v>1035060000</v>
      </c>
      <c r="BH2081" s="129">
        <f>IFERROR($BB2081/$BG2081,"..")</f>
        <v>1.5350238343670899</v>
      </c>
      <c r="BI2081" s="117" t="str">
        <f>IFERROR(VLOOKUP($D2081,'WB Data'!$C$3:$M$578,7,FALSE)/100,"..")</f>
        <v>..</v>
      </c>
      <c r="BJ2081" s="117" t="str">
        <f>IFERROR($BI2081*$AW2081,"..")</f>
        <v>..</v>
      </c>
      <c r="BK2081" s="846" t="str">
        <f>IFERROR($BB2081/$BJ2081,"..")</f>
        <v>..</v>
      </c>
      <c r="BL2081" s="117" t="str">
        <f>IFERROR(VLOOKUP($D2081,'WB Data'!$C$3:$M$578,7,FALSE)/100,"..")</f>
        <v>..</v>
      </c>
      <c r="BM2081" s="117" t="str">
        <f>IFERROR($AW2081*$BL2081,"..")</f>
        <v>..</v>
      </c>
      <c r="BN2081" s="846" t="str">
        <f>IFERROR($BB2081/$BM2081,"..")</f>
        <v>..</v>
      </c>
      <c r="BO2081" s="801">
        <f t="shared" si="360"/>
        <v>38</v>
      </c>
      <c r="BP2081" s="117" t="str">
        <f>VLOOKUP($D2081,'WB Data'!$C$3:$M$578,9,FALSE)</f>
        <v>..</v>
      </c>
      <c r="BQ2081" s="117">
        <f>VLOOKUP($D2081,'WB Data'!$C$3:$M$578,10,FALSE)</f>
        <v>55.833146341463419</v>
      </c>
      <c r="BR2081" s="117">
        <f>VLOOKUP($D2081,'WB Data'!$C$3:$M$578,11,FALSE)</f>
        <v>59.3</v>
      </c>
      <c r="BS2081" s="129">
        <f>IFERROR(VLOOKUP($D2081,'WB Data 2'!$C$2:$K$545,9,FALSE),"..")</f>
        <v>93.626670000000004</v>
      </c>
      <c r="BT2081" s="129">
        <f>_xlfn.IFNA(VLOOKUP($C2081,RGI!$A$2:$C$43,2,FALSE),"..")</f>
        <v>41.2</v>
      </c>
      <c r="BU2081" s="129">
        <f>_xlfn.IFNA(VLOOKUP($C2081,RGI!$A$2:$C$43,3,FALSE),"..")</f>
        <v>60.803011070373614</v>
      </c>
      <c r="BV2081" s="129">
        <f>VLOOKUP($D2081,WGI!$C$2:$O$478,7,FALSE)</f>
        <v>-0.19122445119574899</v>
      </c>
      <c r="BW2081" s="129">
        <f>VLOOKUP($D2081,WGI!$C$2:$O$478,4,FALSE)</f>
        <v>0.47312848392783102</v>
      </c>
      <c r="BX2081" s="129">
        <f>VLOOKUP($D2081,WGI!$C$2:$O$478,3,FALSE)</f>
        <v>-0.63896441900571799</v>
      </c>
      <c r="BY2081" s="129">
        <f>VLOOKUP($D2081,WGI!$C$2:$O$478,5,FALSE)</f>
        <v>-0.42115388453417202</v>
      </c>
      <c r="BZ2081" s="129">
        <f>VLOOKUP($D2081,WGI!$C$2:$O$478,2,FALSE)</f>
        <v>-0.47027036788454601</v>
      </c>
    </row>
    <row r="2082" spans="1:80" ht="15" customHeight="1">
      <c r="A2082" s="280" t="s">
        <v>547</v>
      </c>
      <c r="B2082" s="117">
        <v>2011</v>
      </c>
      <c r="C2082" s="117" t="s">
        <v>541</v>
      </c>
      <c r="D2082" s="117" t="s">
        <v>3718</v>
      </c>
      <c r="E2082" s="117" t="s">
        <v>86</v>
      </c>
      <c r="F2082" s="117"/>
      <c r="G2082" s="117" t="s">
        <v>24</v>
      </c>
      <c r="H2082" s="117" t="str">
        <f t="shared" si="368"/>
        <v>yes</v>
      </c>
      <c r="I2082" s="117" t="str">
        <f t="shared" si="365"/>
        <v>no</v>
      </c>
      <c r="J2082" s="117" t="str">
        <f t="shared" si="366"/>
        <v>no</v>
      </c>
      <c r="K2082" s="117" t="s">
        <v>2427</v>
      </c>
      <c r="L2082" s="117" t="str">
        <f t="shared" si="369"/>
        <v>detailed</v>
      </c>
      <c r="M2082" s="117" t="str">
        <f t="shared" si="367"/>
        <v>detailed Mining</v>
      </c>
      <c r="N2082" s="118">
        <v>14000000</v>
      </c>
      <c r="O2082" s="118"/>
      <c r="P2082" s="118"/>
      <c r="Q2082" s="118"/>
      <c r="R2082" s="118"/>
      <c r="S2082" s="89" t="s">
        <v>981</v>
      </c>
      <c r="T2082" s="298">
        <v>3500</v>
      </c>
      <c r="U2082" s="117" t="s">
        <v>982</v>
      </c>
      <c r="V2082" s="401" t="s">
        <v>2442</v>
      </c>
      <c r="W2082" s="298">
        <f>N2082*T2082</f>
        <v>49000000000</v>
      </c>
      <c r="X2082" s="117"/>
      <c r="Y2082" s="117"/>
      <c r="Z2082" s="117"/>
      <c r="AA2082" s="89"/>
      <c r="AB2082" s="89"/>
      <c r="AC2082" s="240"/>
      <c r="AD2082" s="240"/>
      <c r="AE2082" s="240"/>
      <c r="AF2082" s="241"/>
      <c r="AG2082" s="117"/>
      <c r="AH2082" s="124"/>
      <c r="AI2082" s="89"/>
      <c r="AJ2082" s="117"/>
      <c r="AK2082" s="89"/>
      <c r="AL2082" s="117"/>
      <c r="AM2082" s="117"/>
      <c r="AN2082" s="117"/>
      <c r="AO2082" s="117"/>
      <c r="AP2082" s="117"/>
      <c r="AQ2082" s="117"/>
      <c r="AR2082" s="126"/>
      <c r="AS2082" s="117"/>
      <c r="AT2082" s="117"/>
      <c r="AU2082" s="117"/>
      <c r="AV2082" s="128"/>
      <c r="AW2082" s="117">
        <f>VLOOKUP($D2082,'WB Data'!$C$3:$M$578,2,FALSE)</f>
        <v>23731894786.497993</v>
      </c>
      <c r="AX2082" s="117">
        <f>VLOOKUP($D2082,'WB Data'!$C$3:$M$578,3,FALSE)</f>
        <v>13633796</v>
      </c>
      <c r="AY2082" s="847">
        <f t="shared" si="361"/>
        <v>6.6949638210260162E-2</v>
      </c>
      <c r="AZ2082" s="117">
        <f>VLOOKUP($D2082,'WB Data'!$C$3:$M$578,4,FALSE)/100</f>
        <v>0.17286030665418683</v>
      </c>
      <c r="BA2082" s="117">
        <f t="shared" si="362"/>
        <v>4102302610.2789412</v>
      </c>
      <c r="BB2082" s="129">
        <f>IFERROR(VLOOKUP($D2082,'EITI Revenues'!$C$2:$G$224,5,FALSE),"..")</f>
        <v>1588841770</v>
      </c>
      <c r="BC2082" s="846">
        <f t="shared" si="363"/>
        <v>0.38730486776351314</v>
      </c>
      <c r="BD2082" s="129">
        <f>VLOOKUP($D2082,'WB Data 2'!$C$2:$K$545,6,FALSE)</f>
        <v>7303051805.9508448</v>
      </c>
      <c r="BE2082" s="129">
        <f>IFERROR(VLOOKUP($D2082,UNCTAD!$C$5:$V$529,4,FALSE),"..")</f>
        <v>9034981000</v>
      </c>
      <c r="BF2082" s="846">
        <f t="shared" si="364"/>
        <v>0.80830848520332743</v>
      </c>
      <c r="BG2082" s="117">
        <f>VLOOKUP($D2082,'WB Data'!$C$3:$M$578,5,FALSE)</f>
        <v>1035060000</v>
      </c>
      <c r="BH2082" s="129">
        <f>IFERROR($BB2082/$BG2082,"..")</f>
        <v>1.5350238343670899</v>
      </c>
      <c r="BI2082" s="117" t="str">
        <f>IFERROR(VLOOKUP($D2082,'WB Data'!$C$3:$M$578,7,FALSE)/100,"..")</f>
        <v>..</v>
      </c>
      <c r="BJ2082" s="117" t="str">
        <f>IFERROR($BI2082*$AW2082,"..")</f>
        <v>..</v>
      </c>
      <c r="BK2082" s="846" t="str">
        <f>IFERROR($BB2082/$BJ2082,"..")</f>
        <v>..</v>
      </c>
      <c r="BL2082" s="117" t="str">
        <f>IFERROR(VLOOKUP($D2082,'WB Data'!$C$3:$M$578,7,FALSE)/100,"..")</f>
        <v>..</v>
      </c>
      <c r="BM2082" s="117" t="str">
        <f>IFERROR($AW2082*$BL2082,"..")</f>
        <v>..</v>
      </c>
      <c r="BN2082" s="846" t="str">
        <f>IFERROR($BB2082/$BM2082,"..")</f>
        <v>..</v>
      </c>
      <c r="BO2082" s="801">
        <f t="shared" si="360"/>
        <v>38</v>
      </c>
      <c r="BP2082" s="117" t="str">
        <f>VLOOKUP($D2082,'WB Data'!$C$3:$M$578,9,FALSE)</f>
        <v>..</v>
      </c>
      <c r="BQ2082" s="117">
        <f>VLOOKUP($D2082,'WB Data'!$C$3:$M$578,10,FALSE)</f>
        <v>55.833146341463419</v>
      </c>
      <c r="BR2082" s="117">
        <f>VLOOKUP($D2082,'WB Data'!$C$3:$M$578,11,FALSE)</f>
        <v>59.3</v>
      </c>
      <c r="BS2082" s="129">
        <f>IFERROR(VLOOKUP($D2082,'WB Data 2'!$C$2:$K$545,9,FALSE),"..")</f>
        <v>93.626670000000004</v>
      </c>
      <c r="BT2082" s="129">
        <f>_xlfn.IFNA(VLOOKUP($C2082,RGI!$A$2:$C$43,2,FALSE),"..")</f>
        <v>41.2</v>
      </c>
      <c r="BU2082" s="129">
        <f>_xlfn.IFNA(VLOOKUP($C2082,RGI!$A$2:$C$43,3,FALSE),"..")</f>
        <v>60.803011070373614</v>
      </c>
      <c r="BV2082" s="129">
        <f>VLOOKUP($D2082,WGI!$C$2:$O$478,7,FALSE)</f>
        <v>-0.19122445119574899</v>
      </c>
      <c r="BW2082" s="129">
        <f>VLOOKUP($D2082,WGI!$C$2:$O$478,4,FALSE)</f>
        <v>0.47312848392783102</v>
      </c>
      <c r="BX2082" s="129">
        <f>VLOOKUP($D2082,WGI!$C$2:$O$478,3,FALSE)</f>
        <v>-0.63896441900571799</v>
      </c>
      <c r="BY2082" s="129">
        <f>VLOOKUP($D2082,WGI!$C$2:$O$478,5,FALSE)</f>
        <v>-0.42115388453417202</v>
      </c>
      <c r="BZ2082" s="129">
        <f>VLOOKUP($D2082,WGI!$C$2:$O$478,2,FALSE)</f>
        <v>-0.47027036788454601</v>
      </c>
    </row>
    <row r="2083" spans="1:80" ht="15" customHeight="1">
      <c r="A2083" s="280" t="s">
        <v>547</v>
      </c>
      <c r="B2083" s="117">
        <v>2011</v>
      </c>
      <c r="C2083" s="117" t="s">
        <v>541</v>
      </c>
      <c r="D2083" s="117" t="s">
        <v>3718</v>
      </c>
      <c r="E2083" s="117" t="s">
        <v>86</v>
      </c>
      <c r="F2083" s="117"/>
      <c r="G2083" s="117" t="s">
        <v>24</v>
      </c>
      <c r="H2083" s="117" t="str">
        <f t="shared" si="368"/>
        <v>yes</v>
      </c>
      <c r="I2083" s="117" t="str">
        <f t="shared" si="365"/>
        <v>no</v>
      </c>
      <c r="J2083" s="117" t="str">
        <f t="shared" si="366"/>
        <v>no</v>
      </c>
      <c r="K2083" s="117" t="s">
        <v>784</v>
      </c>
      <c r="L2083" s="117" t="str">
        <f t="shared" si="369"/>
        <v>detailed</v>
      </c>
      <c r="M2083" s="117" t="str">
        <f t="shared" si="367"/>
        <v>detailed Mining</v>
      </c>
      <c r="N2083" s="118">
        <f>3800*32.1507431265</f>
        <v>122172.82388069999</v>
      </c>
      <c r="O2083" s="118"/>
      <c r="P2083" s="118"/>
      <c r="Q2083" s="118"/>
      <c r="R2083" s="118"/>
      <c r="S2083" s="117" t="s">
        <v>785</v>
      </c>
      <c r="T2083" s="119">
        <v>1569.2108333333299</v>
      </c>
      <c r="U2083" s="117" t="s">
        <v>786</v>
      </c>
      <c r="V2083" s="117" t="s">
        <v>787</v>
      </c>
      <c r="W2083" s="89">
        <f>N2083*T2083</f>
        <v>191714918.77251938</v>
      </c>
      <c r="X2083" s="117"/>
      <c r="Y2083" s="117"/>
      <c r="Z2083" s="117"/>
      <c r="AA2083" s="89"/>
      <c r="AB2083" s="89"/>
      <c r="AC2083" s="240"/>
      <c r="AD2083" s="240"/>
      <c r="AE2083" s="240"/>
      <c r="AF2083" s="241"/>
      <c r="AG2083" s="117"/>
      <c r="AH2083" s="124"/>
      <c r="AI2083" s="117"/>
      <c r="AJ2083" s="117"/>
      <c r="AK2083" s="89"/>
      <c r="AL2083" s="117"/>
      <c r="AM2083" s="117"/>
      <c r="AN2083" s="117"/>
      <c r="AO2083" s="117"/>
      <c r="AP2083" s="117"/>
      <c r="AQ2083" s="117"/>
      <c r="AR2083" s="126"/>
      <c r="AS2083" s="117"/>
      <c r="AT2083" s="117"/>
      <c r="AU2083" s="117">
        <v>27</v>
      </c>
      <c r="AV2083" s="128"/>
      <c r="AW2083" s="117">
        <f>VLOOKUP($D2083,'WB Data'!$C$3:$M$578,2,FALSE)</f>
        <v>23731894786.497993</v>
      </c>
      <c r="AX2083" s="117">
        <f>VLOOKUP($D2083,'WB Data'!$C$3:$M$578,3,FALSE)</f>
        <v>13633796</v>
      </c>
      <c r="AY2083" s="847">
        <f t="shared" si="361"/>
        <v>6.6949638210260162E-2</v>
      </c>
      <c r="AZ2083" s="117">
        <f>VLOOKUP($D2083,'WB Data'!$C$3:$M$578,4,FALSE)/100</f>
        <v>0.17286030665418683</v>
      </c>
      <c r="BA2083" s="117">
        <f t="shared" si="362"/>
        <v>4102302610.2789412</v>
      </c>
      <c r="BB2083" s="129">
        <f>IFERROR(VLOOKUP($D2083,'EITI Revenues'!$C$2:$G$224,5,FALSE),"..")</f>
        <v>1588841770</v>
      </c>
      <c r="BC2083" s="846">
        <f t="shared" si="363"/>
        <v>0.38730486776351314</v>
      </c>
      <c r="BD2083" s="129">
        <f>VLOOKUP($D2083,'WB Data 2'!$C$2:$K$545,6,FALSE)</f>
        <v>7303051805.9508448</v>
      </c>
      <c r="BE2083" s="129">
        <f>IFERROR(VLOOKUP($D2083,UNCTAD!$C$5:$V$529,4,FALSE),"..")</f>
        <v>9034981000</v>
      </c>
      <c r="BF2083" s="846">
        <f t="shared" si="364"/>
        <v>0.80830848520332743</v>
      </c>
      <c r="BG2083" s="117">
        <f>VLOOKUP($D2083,'WB Data'!$C$3:$M$578,5,FALSE)</f>
        <v>1035060000</v>
      </c>
      <c r="BH2083" s="129">
        <f>IFERROR($BB2083/$BG2083,"..")</f>
        <v>1.5350238343670899</v>
      </c>
      <c r="BI2083" s="117" t="str">
        <f>IFERROR(VLOOKUP($D2083,'WB Data'!$C$3:$M$578,7,FALSE)/100,"..")</f>
        <v>..</v>
      </c>
      <c r="BJ2083" s="117" t="str">
        <f>IFERROR($BI2083*$AW2083,"..")</f>
        <v>..</v>
      </c>
      <c r="BK2083" s="846" t="str">
        <f>IFERROR($BB2083/$BJ2083,"..")</f>
        <v>..</v>
      </c>
      <c r="BL2083" s="117" t="str">
        <f>IFERROR(VLOOKUP($D2083,'WB Data'!$C$3:$M$578,7,FALSE)/100,"..")</f>
        <v>..</v>
      </c>
      <c r="BM2083" s="117" t="str">
        <f>IFERROR($AW2083*$BL2083,"..")</f>
        <v>..</v>
      </c>
      <c r="BN2083" s="846" t="str">
        <f>IFERROR($BB2083/$BM2083,"..")</f>
        <v>..</v>
      </c>
      <c r="BO2083" s="801">
        <f t="shared" si="360"/>
        <v>38</v>
      </c>
      <c r="BP2083" s="117" t="str">
        <f>VLOOKUP($D2083,'WB Data'!$C$3:$M$578,9,FALSE)</f>
        <v>..</v>
      </c>
      <c r="BQ2083" s="117">
        <f>VLOOKUP($D2083,'WB Data'!$C$3:$M$578,10,FALSE)</f>
        <v>55.833146341463419</v>
      </c>
      <c r="BR2083" s="117">
        <f>VLOOKUP($D2083,'WB Data'!$C$3:$M$578,11,FALSE)</f>
        <v>59.3</v>
      </c>
      <c r="BS2083" s="129">
        <f>IFERROR(VLOOKUP($D2083,'WB Data 2'!$C$2:$K$545,9,FALSE),"..")</f>
        <v>93.626670000000004</v>
      </c>
      <c r="BT2083" s="129">
        <f>_xlfn.IFNA(VLOOKUP($C2083,RGI!$A$2:$C$43,2,FALSE),"..")</f>
        <v>41.2</v>
      </c>
      <c r="BU2083" s="129">
        <f>_xlfn.IFNA(VLOOKUP($C2083,RGI!$A$2:$C$43,3,FALSE),"..")</f>
        <v>60.803011070373614</v>
      </c>
      <c r="BV2083" s="129">
        <f>VLOOKUP($D2083,WGI!$C$2:$O$478,7,FALSE)</f>
        <v>-0.19122445119574899</v>
      </c>
      <c r="BW2083" s="129">
        <f>VLOOKUP($D2083,WGI!$C$2:$O$478,4,FALSE)</f>
        <v>0.47312848392783102</v>
      </c>
      <c r="BX2083" s="129">
        <f>VLOOKUP($D2083,WGI!$C$2:$O$478,3,FALSE)</f>
        <v>-0.63896441900571799</v>
      </c>
      <c r="BY2083" s="129">
        <f>VLOOKUP($D2083,WGI!$C$2:$O$478,5,FALSE)</f>
        <v>-0.42115388453417202</v>
      </c>
      <c r="BZ2083" s="129">
        <f>VLOOKUP($D2083,WGI!$C$2:$O$478,2,FALSE)</f>
        <v>-0.47027036788454601</v>
      </c>
    </row>
    <row r="2084" spans="1:80" ht="15" customHeight="1">
      <c r="A2084" s="280" t="s">
        <v>547</v>
      </c>
      <c r="B2084" s="117">
        <v>2011</v>
      </c>
      <c r="C2084" s="117" t="s">
        <v>541</v>
      </c>
      <c r="D2084" s="117" t="s">
        <v>3718</v>
      </c>
      <c r="E2084" s="117" t="s">
        <v>86</v>
      </c>
      <c r="F2084" s="117"/>
      <c r="G2084" s="117" t="s">
        <v>24</v>
      </c>
      <c r="H2084" s="117" t="str">
        <f t="shared" si="368"/>
        <v>yes</v>
      </c>
      <c r="I2084" s="117" t="str">
        <f t="shared" si="365"/>
        <v>no</v>
      </c>
      <c r="J2084" s="117" t="str">
        <f t="shared" si="366"/>
        <v>no</v>
      </c>
      <c r="K2084" s="117" t="s">
        <v>2414</v>
      </c>
      <c r="L2084" s="117" t="str">
        <f t="shared" si="369"/>
        <v>detailed</v>
      </c>
      <c r="M2084" s="117" t="str">
        <f t="shared" si="367"/>
        <v>detailed Mining</v>
      </c>
      <c r="N2084" s="118">
        <v>1000</v>
      </c>
      <c r="O2084" s="118"/>
      <c r="P2084" s="118"/>
      <c r="Q2084" s="118"/>
      <c r="R2084" s="118"/>
      <c r="S2084" s="117" t="s">
        <v>610</v>
      </c>
      <c r="T2084" s="186">
        <v>2400.8120833333301</v>
      </c>
      <c r="U2084" s="117" t="s">
        <v>611</v>
      </c>
      <c r="V2084" s="117" t="s">
        <v>2415</v>
      </c>
      <c r="W2084" s="89">
        <f>N2084*T2084</f>
        <v>2400812.0833333302</v>
      </c>
      <c r="X2084" s="117"/>
      <c r="Y2084" s="117"/>
      <c r="Z2084" s="117"/>
      <c r="AA2084" s="89"/>
      <c r="AB2084" s="89"/>
      <c r="AC2084" s="240"/>
      <c r="AD2084" s="240"/>
      <c r="AE2084" s="240"/>
      <c r="AF2084" s="241"/>
      <c r="AG2084" s="117"/>
      <c r="AH2084" s="124"/>
      <c r="AI2084" s="117"/>
      <c r="AJ2084" s="117"/>
      <c r="AK2084" s="89"/>
      <c r="AL2084" s="117"/>
      <c r="AM2084" s="117"/>
      <c r="AN2084" s="117"/>
      <c r="AO2084" s="117"/>
      <c r="AP2084" s="117"/>
      <c r="AQ2084" s="117"/>
      <c r="AR2084" s="126"/>
      <c r="AS2084" s="117"/>
      <c r="AT2084" s="117"/>
      <c r="AU2084" s="117"/>
      <c r="AV2084" s="128"/>
      <c r="AW2084" s="117">
        <f>VLOOKUP($D2084,'WB Data'!$C$3:$M$578,2,FALSE)</f>
        <v>23731894786.497993</v>
      </c>
      <c r="AX2084" s="117">
        <f>VLOOKUP($D2084,'WB Data'!$C$3:$M$578,3,FALSE)</f>
        <v>13633796</v>
      </c>
      <c r="AY2084" s="847">
        <f t="shared" si="361"/>
        <v>6.6949638210260162E-2</v>
      </c>
      <c r="AZ2084" s="117">
        <f>VLOOKUP($D2084,'WB Data'!$C$3:$M$578,4,FALSE)/100</f>
        <v>0.17286030665418683</v>
      </c>
      <c r="BA2084" s="117">
        <f t="shared" si="362"/>
        <v>4102302610.2789412</v>
      </c>
      <c r="BB2084" s="129">
        <f>IFERROR(VLOOKUP($D2084,'EITI Revenues'!$C$2:$G$224,5,FALSE),"..")</f>
        <v>1588841770</v>
      </c>
      <c r="BC2084" s="846">
        <f t="shared" si="363"/>
        <v>0.38730486776351314</v>
      </c>
      <c r="BD2084" s="129">
        <f>VLOOKUP($D2084,'WB Data 2'!$C$2:$K$545,6,FALSE)</f>
        <v>7303051805.9508448</v>
      </c>
      <c r="BE2084" s="129">
        <f>IFERROR(VLOOKUP($D2084,UNCTAD!$C$5:$V$529,4,FALSE),"..")</f>
        <v>9034981000</v>
      </c>
      <c r="BF2084" s="846">
        <f t="shared" si="364"/>
        <v>0.80830848520332743</v>
      </c>
      <c r="BG2084" s="117">
        <f>VLOOKUP($D2084,'WB Data'!$C$3:$M$578,5,FALSE)</f>
        <v>1035060000</v>
      </c>
      <c r="BH2084" s="129">
        <f>IFERROR($BB2084/$BG2084,"..")</f>
        <v>1.5350238343670899</v>
      </c>
      <c r="BI2084" s="117" t="str">
        <f>IFERROR(VLOOKUP($D2084,'WB Data'!$C$3:$M$578,7,FALSE)/100,"..")</f>
        <v>..</v>
      </c>
      <c r="BJ2084" s="117" t="str">
        <f>IFERROR($BI2084*$AW2084,"..")</f>
        <v>..</v>
      </c>
      <c r="BK2084" s="846" t="str">
        <f>IFERROR($BB2084/$BJ2084,"..")</f>
        <v>..</v>
      </c>
      <c r="BL2084" s="117" t="str">
        <f>IFERROR(VLOOKUP($D2084,'WB Data'!$C$3:$M$578,7,FALSE)/100,"..")</f>
        <v>..</v>
      </c>
      <c r="BM2084" s="117" t="str">
        <f>IFERROR($AW2084*$BL2084,"..")</f>
        <v>..</v>
      </c>
      <c r="BN2084" s="846" t="str">
        <f>IFERROR($BB2084/$BM2084,"..")</f>
        <v>..</v>
      </c>
      <c r="BO2084" s="801">
        <f t="shared" si="360"/>
        <v>38</v>
      </c>
      <c r="BP2084" s="117" t="str">
        <f>VLOOKUP($D2084,'WB Data'!$C$3:$M$578,9,FALSE)</f>
        <v>..</v>
      </c>
      <c r="BQ2084" s="117">
        <f>VLOOKUP($D2084,'WB Data'!$C$3:$M$578,10,FALSE)</f>
        <v>55.833146341463419</v>
      </c>
      <c r="BR2084" s="117">
        <f>VLOOKUP($D2084,'WB Data'!$C$3:$M$578,11,FALSE)</f>
        <v>59.3</v>
      </c>
      <c r="BS2084" s="129">
        <f>IFERROR(VLOOKUP($D2084,'WB Data 2'!$C$2:$K$545,9,FALSE),"..")</f>
        <v>93.626670000000004</v>
      </c>
      <c r="BT2084" s="129">
        <f>_xlfn.IFNA(VLOOKUP($C2084,RGI!$A$2:$C$43,2,FALSE),"..")</f>
        <v>41.2</v>
      </c>
      <c r="BU2084" s="129">
        <f>_xlfn.IFNA(VLOOKUP($C2084,RGI!$A$2:$C$43,3,FALSE),"..")</f>
        <v>60.803011070373614</v>
      </c>
      <c r="BV2084" s="129">
        <f>VLOOKUP($D2084,WGI!$C$2:$O$478,7,FALSE)</f>
        <v>-0.19122445119574899</v>
      </c>
      <c r="BW2084" s="129">
        <f>VLOOKUP($D2084,WGI!$C$2:$O$478,4,FALSE)</f>
        <v>0.47312848392783102</v>
      </c>
      <c r="BX2084" s="129">
        <f>VLOOKUP($D2084,WGI!$C$2:$O$478,3,FALSE)</f>
        <v>-0.63896441900571799</v>
      </c>
      <c r="BY2084" s="129">
        <f>VLOOKUP($D2084,WGI!$C$2:$O$478,5,FALSE)</f>
        <v>-0.42115388453417202</v>
      </c>
      <c r="BZ2084" s="129">
        <f>VLOOKUP($D2084,WGI!$C$2:$O$478,2,FALSE)</f>
        <v>-0.47027036788454601</v>
      </c>
    </row>
    <row r="2085" spans="1:80" ht="15" customHeight="1">
      <c r="A2085" s="280" t="s">
        <v>547</v>
      </c>
      <c r="B2085" s="117">
        <v>2011</v>
      </c>
      <c r="C2085" s="117" t="s">
        <v>541</v>
      </c>
      <c r="D2085" s="117" t="s">
        <v>3718</v>
      </c>
      <c r="E2085" s="117" t="s">
        <v>86</v>
      </c>
      <c r="F2085" s="117"/>
      <c r="G2085" s="117" t="s">
        <v>24</v>
      </c>
      <c r="H2085" s="117" t="str">
        <f t="shared" si="368"/>
        <v>yes</v>
      </c>
      <c r="I2085" s="117" t="str">
        <f t="shared" si="365"/>
        <v>no</v>
      </c>
      <c r="J2085" s="117" t="str">
        <f t="shared" si="366"/>
        <v>no</v>
      </c>
      <c r="K2085" s="117" t="s">
        <v>703</v>
      </c>
      <c r="L2085" s="117" t="str">
        <f t="shared" si="369"/>
        <v>detailed</v>
      </c>
      <c r="M2085" s="117" t="str">
        <f t="shared" si="367"/>
        <v>detailed Mining</v>
      </c>
      <c r="N2085" s="118">
        <v>3760000</v>
      </c>
      <c r="O2085" s="118"/>
      <c r="P2085" s="118"/>
      <c r="Q2085" s="118"/>
      <c r="R2085" s="118"/>
      <c r="S2085" s="117" t="s">
        <v>610</v>
      </c>
      <c r="T2085" s="119">
        <v>9.06</v>
      </c>
      <c r="U2085" s="117" t="s">
        <v>611</v>
      </c>
      <c r="V2085" s="117" t="s">
        <v>1917</v>
      </c>
      <c r="W2085" s="89">
        <f>N2085*T2085</f>
        <v>34065600</v>
      </c>
      <c r="X2085" s="89"/>
      <c r="Y2085" s="89"/>
      <c r="Z2085" s="89"/>
      <c r="AA2085" s="89"/>
      <c r="AB2085" s="89"/>
      <c r="AC2085" s="240"/>
      <c r="AD2085" s="240"/>
      <c r="AE2085" s="240"/>
      <c r="AF2085" s="241"/>
      <c r="AG2085" s="89"/>
      <c r="AH2085" s="124"/>
      <c r="AI2085" s="117"/>
      <c r="AJ2085" s="117"/>
      <c r="AK2085" s="89"/>
      <c r="AL2085" s="117"/>
      <c r="AM2085" s="117"/>
      <c r="AN2085" s="117"/>
      <c r="AO2085" s="117"/>
      <c r="AP2085" s="117"/>
      <c r="AQ2085" s="117"/>
      <c r="AR2085" s="126"/>
      <c r="AS2085" s="117"/>
      <c r="AT2085" s="117"/>
      <c r="AU2085" s="117"/>
      <c r="AV2085" s="128"/>
      <c r="AW2085" s="117">
        <f>VLOOKUP($D2085,'WB Data'!$C$3:$M$578,2,FALSE)</f>
        <v>23731894786.497993</v>
      </c>
      <c r="AX2085" s="117">
        <f>VLOOKUP($D2085,'WB Data'!$C$3:$M$578,3,FALSE)</f>
        <v>13633796</v>
      </c>
      <c r="AY2085" s="847">
        <f t="shared" si="361"/>
        <v>6.6949638210260162E-2</v>
      </c>
      <c r="AZ2085" s="117">
        <f>VLOOKUP($D2085,'WB Data'!$C$3:$M$578,4,FALSE)/100</f>
        <v>0.17286030665418683</v>
      </c>
      <c r="BA2085" s="117">
        <f t="shared" si="362"/>
        <v>4102302610.2789412</v>
      </c>
      <c r="BB2085" s="129">
        <f>IFERROR(VLOOKUP($D2085,'EITI Revenues'!$C$2:$G$224,5,FALSE),"..")</f>
        <v>1588841770</v>
      </c>
      <c r="BC2085" s="846">
        <f t="shared" si="363"/>
        <v>0.38730486776351314</v>
      </c>
      <c r="BD2085" s="129">
        <f>VLOOKUP($D2085,'WB Data 2'!$C$2:$K$545,6,FALSE)</f>
        <v>7303051805.9508448</v>
      </c>
      <c r="BE2085" s="129">
        <f>IFERROR(VLOOKUP($D2085,UNCTAD!$C$5:$V$529,4,FALSE),"..")</f>
        <v>9034981000</v>
      </c>
      <c r="BF2085" s="846">
        <f t="shared" si="364"/>
        <v>0.80830848520332743</v>
      </c>
      <c r="BG2085" s="117">
        <f>VLOOKUP($D2085,'WB Data'!$C$3:$M$578,5,FALSE)</f>
        <v>1035060000</v>
      </c>
      <c r="BH2085" s="129">
        <f>IFERROR($BB2085/$BG2085,"..")</f>
        <v>1.5350238343670899</v>
      </c>
      <c r="BI2085" s="117" t="str">
        <f>IFERROR(VLOOKUP($D2085,'WB Data'!$C$3:$M$578,7,FALSE)/100,"..")</f>
        <v>..</v>
      </c>
      <c r="BJ2085" s="117" t="str">
        <f>IFERROR($BI2085*$AW2085,"..")</f>
        <v>..</v>
      </c>
      <c r="BK2085" s="846" t="str">
        <f>IFERROR($BB2085/$BJ2085,"..")</f>
        <v>..</v>
      </c>
      <c r="BL2085" s="117" t="str">
        <f>IFERROR(VLOOKUP($D2085,'WB Data'!$C$3:$M$578,7,FALSE)/100,"..")</f>
        <v>..</v>
      </c>
      <c r="BM2085" s="117" t="str">
        <f>IFERROR($AW2085*$BL2085,"..")</f>
        <v>..</v>
      </c>
      <c r="BN2085" s="846" t="str">
        <f>IFERROR($BB2085/$BM2085,"..")</f>
        <v>..</v>
      </c>
      <c r="BO2085" s="801">
        <f t="shared" si="360"/>
        <v>38</v>
      </c>
      <c r="BP2085" s="117" t="str">
        <f>VLOOKUP($D2085,'WB Data'!$C$3:$M$578,9,FALSE)</f>
        <v>..</v>
      </c>
      <c r="BQ2085" s="117">
        <f>VLOOKUP($D2085,'WB Data'!$C$3:$M$578,10,FALSE)</f>
        <v>55.833146341463419</v>
      </c>
      <c r="BR2085" s="117">
        <f>VLOOKUP($D2085,'WB Data'!$C$3:$M$578,11,FALSE)</f>
        <v>59.3</v>
      </c>
      <c r="BS2085" s="129">
        <f>IFERROR(VLOOKUP($D2085,'WB Data 2'!$C$2:$K$545,9,FALSE),"..")</f>
        <v>93.626670000000004</v>
      </c>
      <c r="BT2085" s="129">
        <f>_xlfn.IFNA(VLOOKUP($C2085,RGI!$A$2:$C$43,2,FALSE),"..")</f>
        <v>41.2</v>
      </c>
      <c r="BU2085" s="129">
        <f>_xlfn.IFNA(VLOOKUP($C2085,RGI!$A$2:$C$43,3,FALSE),"..")</f>
        <v>60.803011070373614</v>
      </c>
      <c r="BV2085" s="129">
        <f>VLOOKUP($D2085,WGI!$C$2:$O$478,7,FALSE)</f>
        <v>-0.19122445119574899</v>
      </c>
      <c r="BW2085" s="129">
        <f>VLOOKUP($D2085,WGI!$C$2:$O$478,4,FALSE)</f>
        <v>0.47312848392783102</v>
      </c>
      <c r="BX2085" s="129">
        <f>VLOOKUP($D2085,WGI!$C$2:$O$478,3,FALSE)</f>
        <v>-0.63896441900571799</v>
      </c>
      <c r="BY2085" s="129">
        <f>VLOOKUP($D2085,WGI!$C$2:$O$478,5,FALSE)</f>
        <v>-0.42115388453417202</v>
      </c>
      <c r="BZ2085" s="129">
        <f>VLOOKUP($D2085,WGI!$C$2:$O$478,2,FALSE)</f>
        <v>-0.47027036788454601</v>
      </c>
    </row>
    <row r="2086" spans="1:80" ht="15" customHeight="1">
      <c r="A2086" s="280" t="s">
        <v>547</v>
      </c>
      <c r="B2086" s="117">
        <v>2011</v>
      </c>
      <c r="C2086" s="117" t="s">
        <v>541</v>
      </c>
      <c r="D2086" s="117" t="s">
        <v>3718</v>
      </c>
      <c r="E2086" s="117" t="s">
        <v>86</v>
      </c>
      <c r="F2086" s="117"/>
      <c r="G2086" s="117" t="s">
        <v>24</v>
      </c>
      <c r="H2086" s="117" t="str">
        <f t="shared" si="368"/>
        <v>yes</v>
      </c>
      <c r="I2086" s="117" t="str">
        <f t="shared" si="365"/>
        <v>no</v>
      </c>
      <c r="J2086" s="117" t="str">
        <f t="shared" si="366"/>
        <v>no</v>
      </c>
      <c r="K2086" s="117" t="s">
        <v>2436</v>
      </c>
      <c r="L2086" s="117" t="str">
        <f t="shared" si="369"/>
        <v>detailed</v>
      </c>
      <c r="M2086" s="117" t="str">
        <f t="shared" si="367"/>
        <v>detailed Mining</v>
      </c>
      <c r="N2086" s="118"/>
      <c r="O2086" s="118"/>
      <c r="P2086" s="118"/>
      <c r="Q2086" s="118"/>
      <c r="R2086" s="118"/>
      <c r="S2086" s="117"/>
      <c r="T2086" s="119">
        <v>7.88</v>
      </c>
      <c r="U2086" s="117" t="s">
        <v>611</v>
      </c>
      <c r="V2086" s="117" t="s">
        <v>844</v>
      </c>
      <c r="W2086" s="89">
        <f>N2088*T2086</f>
        <v>315200</v>
      </c>
      <c r="X2086" s="89"/>
      <c r="Y2086" s="89"/>
      <c r="Z2086" s="89"/>
      <c r="AA2086" s="89"/>
      <c r="AB2086" s="89"/>
      <c r="AC2086" s="240"/>
      <c r="AD2086" s="240"/>
      <c r="AE2086" s="240"/>
      <c r="AF2086" s="241"/>
      <c r="AG2086" s="89"/>
      <c r="AH2086" s="124"/>
      <c r="AI2086" s="117"/>
      <c r="AJ2086" s="117"/>
      <c r="AK2086" s="89"/>
      <c r="AL2086" s="117"/>
      <c r="AM2086" s="117"/>
      <c r="AN2086" s="117"/>
      <c r="AO2086" s="117"/>
      <c r="AP2086" s="117"/>
      <c r="AQ2086" s="117"/>
      <c r="AR2086" s="126"/>
      <c r="AS2086" s="117"/>
      <c r="AT2086" s="117"/>
      <c r="AU2086" s="117"/>
      <c r="AV2086" s="128"/>
      <c r="AW2086" s="117">
        <f>VLOOKUP($D2086,'WB Data'!$C$3:$M$578,2,FALSE)</f>
        <v>23731894786.497993</v>
      </c>
      <c r="AX2086" s="117">
        <f>VLOOKUP($D2086,'WB Data'!$C$3:$M$578,3,FALSE)</f>
        <v>13633796</v>
      </c>
      <c r="AY2086" s="847">
        <f t="shared" si="361"/>
        <v>6.6949638210260162E-2</v>
      </c>
      <c r="AZ2086" s="117">
        <f>VLOOKUP($D2086,'WB Data'!$C$3:$M$578,4,FALSE)/100</f>
        <v>0.17286030665418683</v>
      </c>
      <c r="BA2086" s="117">
        <f t="shared" si="362"/>
        <v>4102302610.2789412</v>
      </c>
      <c r="BB2086" s="129">
        <f>IFERROR(VLOOKUP($D2086,'EITI Revenues'!$C$2:$G$224,5,FALSE),"..")</f>
        <v>1588841770</v>
      </c>
      <c r="BC2086" s="846">
        <f t="shared" si="363"/>
        <v>0.38730486776351314</v>
      </c>
      <c r="BD2086" s="129">
        <f>VLOOKUP($D2086,'WB Data 2'!$C$2:$K$545,6,FALSE)</f>
        <v>7303051805.9508448</v>
      </c>
      <c r="BE2086" s="129">
        <f>IFERROR(VLOOKUP($D2086,UNCTAD!$C$5:$V$529,4,FALSE),"..")</f>
        <v>9034981000</v>
      </c>
      <c r="BF2086" s="846">
        <f t="shared" si="364"/>
        <v>0.80830848520332743</v>
      </c>
      <c r="BG2086" s="117">
        <f>VLOOKUP($D2086,'WB Data'!$C$3:$M$578,5,FALSE)</f>
        <v>1035060000</v>
      </c>
      <c r="BH2086" s="129">
        <f>IFERROR($BB2086/$BG2086,"..")</f>
        <v>1.5350238343670899</v>
      </c>
      <c r="BI2086" s="117" t="str">
        <f>IFERROR(VLOOKUP($D2086,'WB Data'!$C$3:$M$578,7,FALSE)/100,"..")</f>
        <v>..</v>
      </c>
      <c r="BJ2086" s="117" t="str">
        <f>IFERROR($BI2086*$AW2086,"..")</f>
        <v>..</v>
      </c>
      <c r="BK2086" s="846" t="str">
        <f>IFERROR($BB2086/$BJ2086,"..")</f>
        <v>..</v>
      </c>
      <c r="BL2086" s="117" t="str">
        <f>IFERROR(VLOOKUP($D2086,'WB Data'!$C$3:$M$578,7,FALSE)/100,"..")</f>
        <v>..</v>
      </c>
      <c r="BM2086" s="117" t="str">
        <f>IFERROR($AW2086*$BL2086,"..")</f>
        <v>..</v>
      </c>
      <c r="BN2086" s="846" t="str">
        <f>IFERROR($BB2086/$BM2086,"..")</f>
        <v>..</v>
      </c>
      <c r="BO2086" s="801">
        <f t="shared" si="360"/>
        <v>38</v>
      </c>
      <c r="BP2086" s="117" t="str">
        <f>VLOOKUP($D2086,'WB Data'!$C$3:$M$578,9,FALSE)</f>
        <v>..</v>
      </c>
      <c r="BQ2086" s="117">
        <f>VLOOKUP($D2086,'WB Data'!$C$3:$M$578,10,FALSE)</f>
        <v>55.833146341463419</v>
      </c>
      <c r="BR2086" s="117">
        <f>VLOOKUP($D2086,'WB Data'!$C$3:$M$578,11,FALSE)</f>
        <v>59.3</v>
      </c>
      <c r="BS2086" s="129">
        <f>IFERROR(VLOOKUP($D2086,'WB Data 2'!$C$2:$K$545,9,FALSE),"..")</f>
        <v>93.626670000000004</v>
      </c>
      <c r="BT2086" s="129">
        <f>_xlfn.IFNA(VLOOKUP($C2086,RGI!$A$2:$C$43,2,FALSE),"..")</f>
        <v>41.2</v>
      </c>
      <c r="BU2086" s="129">
        <f>_xlfn.IFNA(VLOOKUP($C2086,RGI!$A$2:$C$43,3,FALSE),"..")</f>
        <v>60.803011070373614</v>
      </c>
      <c r="BV2086" s="129">
        <f>VLOOKUP($D2086,WGI!$C$2:$O$478,7,FALSE)</f>
        <v>-0.19122445119574899</v>
      </c>
      <c r="BW2086" s="129">
        <f>VLOOKUP($D2086,WGI!$C$2:$O$478,4,FALSE)</f>
        <v>0.47312848392783102</v>
      </c>
      <c r="BX2086" s="129">
        <f>VLOOKUP($D2086,WGI!$C$2:$O$478,3,FALSE)</f>
        <v>-0.63896441900571799</v>
      </c>
      <c r="BY2086" s="129">
        <f>VLOOKUP($D2086,WGI!$C$2:$O$478,5,FALSE)</f>
        <v>-0.42115388453417202</v>
      </c>
      <c r="BZ2086" s="129">
        <f>VLOOKUP($D2086,WGI!$C$2:$O$478,2,FALSE)</f>
        <v>-0.47027036788454601</v>
      </c>
    </row>
    <row r="2087" spans="1:80" ht="15" customHeight="1">
      <c r="A2087" s="280" t="s">
        <v>547</v>
      </c>
      <c r="B2087" s="117">
        <v>2011</v>
      </c>
      <c r="C2087" s="117" t="s">
        <v>541</v>
      </c>
      <c r="D2087" s="117" t="s">
        <v>3718</v>
      </c>
      <c r="E2087" s="117" t="s">
        <v>86</v>
      </c>
      <c r="F2087" s="117"/>
      <c r="G2087" s="117" t="s">
        <v>24</v>
      </c>
      <c r="H2087" s="117" t="str">
        <f t="shared" si="368"/>
        <v>yes</v>
      </c>
      <c r="I2087" s="117" t="str">
        <f t="shared" si="365"/>
        <v>no</v>
      </c>
      <c r="J2087" s="117" t="str">
        <f t="shared" si="366"/>
        <v>no</v>
      </c>
      <c r="K2087" s="117" t="s">
        <v>1066</v>
      </c>
      <c r="L2087" s="117" t="str">
        <f t="shared" si="369"/>
        <v>detailed</v>
      </c>
      <c r="M2087" s="117" t="str">
        <f t="shared" si="367"/>
        <v>detailed Mining</v>
      </c>
      <c r="N2087" s="118">
        <v>120000</v>
      </c>
      <c r="O2087" s="118"/>
      <c r="P2087" s="118"/>
      <c r="Q2087" s="118"/>
      <c r="R2087" s="118"/>
      <c r="S2087" s="117" t="s">
        <v>610</v>
      </c>
      <c r="T2087" s="119"/>
      <c r="U2087" s="117"/>
      <c r="V2087" s="117" t="s">
        <v>684</v>
      </c>
      <c r="W2087" s="89"/>
      <c r="X2087" s="89"/>
      <c r="Y2087" s="89"/>
      <c r="Z2087" s="89"/>
      <c r="AA2087" s="89"/>
      <c r="AB2087" s="89"/>
      <c r="AC2087" s="240"/>
      <c r="AD2087" s="240"/>
      <c r="AE2087" s="240"/>
      <c r="AF2087" s="241"/>
      <c r="AG2087" s="89"/>
      <c r="AH2087" s="124"/>
      <c r="AI2087" s="117"/>
      <c r="AJ2087" s="117"/>
      <c r="AK2087" s="89"/>
      <c r="AL2087" s="117"/>
      <c r="AM2087" s="117"/>
      <c r="AN2087" s="117"/>
      <c r="AO2087" s="117"/>
      <c r="AP2087" s="117"/>
      <c r="AQ2087" s="117"/>
      <c r="AR2087" s="126"/>
      <c r="AS2087" s="117"/>
      <c r="AT2087" s="117"/>
      <c r="AU2087" s="117"/>
      <c r="AV2087" s="128"/>
      <c r="AW2087" s="117">
        <f>VLOOKUP($D2087,'WB Data'!$C$3:$M$578,2,FALSE)</f>
        <v>23731894786.497993</v>
      </c>
      <c r="AX2087" s="117">
        <f>VLOOKUP($D2087,'WB Data'!$C$3:$M$578,3,FALSE)</f>
        <v>13633796</v>
      </c>
      <c r="AY2087" s="847">
        <f t="shared" si="361"/>
        <v>6.6949638210260162E-2</v>
      </c>
      <c r="AZ2087" s="117">
        <f>VLOOKUP($D2087,'WB Data'!$C$3:$M$578,4,FALSE)/100</f>
        <v>0.17286030665418683</v>
      </c>
      <c r="BA2087" s="117">
        <f t="shared" si="362"/>
        <v>4102302610.2789412</v>
      </c>
      <c r="BB2087" s="129">
        <f>IFERROR(VLOOKUP($D2087,'EITI Revenues'!$C$2:$G$224,5,FALSE),"..")</f>
        <v>1588841770</v>
      </c>
      <c r="BC2087" s="846">
        <f t="shared" si="363"/>
        <v>0.38730486776351314</v>
      </c>
      <c r="BD2087" s="129">
        <f>VLOOKUP($D2087,'WB Data 2'!$C$2:$K$545,6,FALSE)</f>
        <v>7303051805.9508448</v>
      </c>
      <c r="BE2087" s="129">
        <f>IFERROR(VLOOKUP($D2087,UNCTAD!$C$5:$V$529,4,FALSE),"..")</f>
        <v>9034981000</v>
      </c>
      <c r="BF2087" s="846">
        <f t="shared" si="364"/>
        <v>0.80830848520332743</v>
      </c>
      <c r="BG2087" s="117">
        <f>VLOOKUP($D2087,'WB Data'!$C$3:$M$578,5,FALSE)</f>
        <v>1035060000</v>
      </c>
      <c r="BH2087" s="129">
        <f>IFERROR($BB2087/$BG2087,"..")</f>
        <v>1.5350238343670899</v>
      </c>
      <c r="BI2087" s="117" t="str">
        <f>IFERROR(VLOOKUP($D2087,'WB Data'!$C$3:$M$578,7,FALSE)/100,"..")</f>
        <v>..</v>
      </c>
      <c r="BJ2087" s="117" t="str">
        <f>IFERROR($BI2087*$AW2087,"..")</f>
        <v>..</v>
      </c>
      <c r="BK2087" s="846" t="str">
        <f>IFERROR($BB2087/$BJ2087,"..")</f>
        <v>..</v>
      </c>
      <c r="BL2087" s="117" t="str">
        <f>IFERROR(VLOOKUP($D2087,'WB Data'!$C$3:$M$578,7,FALSE)/100,"..")</f>
        <v>..</v>
      </c>
      <c r="BM2087" s="117" t="str">
        <f>IFERROR($AW2087*$BL2087,"..")</f>
        <v>..</v>
      </c>
      <c r="BN2087" s="846" t="str">
        <f>IFERROR($BB2087/$BM2087,"..")</f>
        <v>..</v>
      </c>
      <c r="BO2087" s="801">
        <f t="shared" si="360"/>
        <v>38</v>
      </c>
      <c r="BP2087" s="117" t="str">
        <f>VLOOKUP($D2087,'WB Data'!$C$3:$M$578,9,FALSE)</f>
        <v>..</v>
      </c>
      <c r="BQ2087" s="117">
        <f>VLOOKUP($D2087,'WB Data'!$C$3:$M$578,10,FALSE)</f>
        <v>55.833146341463419</v>
      </c>
      <c r="BR2087" s="117">
        <f>VLOOKUP($D2087,'WB Data'!$C$3:$M$578,11,FALSE)</f>
        <v>59.3</v>
      </c>
      <c r="BS2087" s="129">
        <f>IFERROR(VLOOKUP($D2087,'WB Data 2'!$C$2:$K$545,9,FALSE),"..")</f>
        <v>93.626670000000004</v>
      </c>
      <c r="BT2087" s="129">
        <f>_xlfn.IFNA(VLOOKUP($C2087,RGI!$A$2:$C$43,2,FALSE),"..")</f>
        <v>41.2</v>
      </c>
      <c r="BU2087" s="129">
        <f>_xlfn.IFNA(VLOOKUP($C2087,RGI!$A$2:$C$43,3,FALSE),"..")</f>
        <v>60.803011070373614</v>
      </c>
      <c r="BV2087" s="129">
        <f>VLOOKUP($D2087,WGI!$C$2:$O$478,7,FALSE)</f>
        <v>-0.19122445119574899</v>
      </c>
      <c r="BW2087" s="129">
        <f>VLOOKUP($D2087,WGI!$C$2:$O$478,4,FALSE)</f>
        <v>0.47312848392783102</v>
      </c>
      <c r="BX2087" s="129">
        <f>VLOOKUP($D2087,WGI!$C$2:$O$478,3,FALSE)</f>
        <v>-0.63896441900571799</v>
      </c>
      <c r="BY2087" s="129">
        <f>VLOOKUP($D2087,WGI!$C$2:$O$478,5,FALSE)</f>
        <v>-0.42115388453417202</v>
      </c>
      <c r="BZ2087" s="129">
        <f>VLOOKUP($D2087,WGI!$C$2:$O$478,2,FALSE)</f>
        <v>-0.47027036788454601</v>
      </c>
    </row>
    <row r="2088" spans="1:80" ht="15" customHeight="1">
      <c r="A2088" s="280" t="s">
        <v>547</v>
      </c>
      <c r="B2088" s="117">
        <v>2011</v>
      </c>
      <c r="C2088" s="117" t="s">
        <v>541</v>
      </c>
      <c r="D2088" s="117" t="s">
        <v>3718</v>
      </c>
      <c r="E2088" s="117" t="s">
        <v>86</v>
      </c>
      <c r="F2088" s="117"/>
      <c r="G2088" s="117" t="s">
        <v>24</v>
      </c>
      <c r="H2088" s="117" t="str">
        <f t="shared" si="368"/>
        <v>yes</v>
      </c>
      <c r="I2088" s="117" t="str">
        <f t="shared" si="365"/>
        <v>no</v>
      </c>
      <c r="J2088" s="117" t="str">
        <f t="shared" si="366"/>
        <v>no</v>
      </c>
      <c r="K2088" s="117" t="s">
        <v>1432</v>
      </c>
      <c r="L2088" s="117" t="str">
        <f t="shared" si="369"/>
        <v>detailed</v>
      </c>
      <c r="M2088" s="117" t="str">
        <f t="shared" si="367"/>
        <v>detailed Mining</v>
      </c>
      <c r="N2088" s="118">
        <v>40000</v>
      </c>
      <c r="O2088" s="118"/>
      <c r="P2088" s="118"/>
      <c r="Q2088" s="118"/>
      <c r="R2088" s="118"/>
      <c r="S2088" s="117" t="s">
        <v>610</v>
      </c>
      <c r="T2088" s="119"/>
      <c r="U2088" s="117"/>
      <c r="V2088" s="117" t="s">
        <v>684</v>
      </c>
      <c r="W2088" s="89"/>
      <c r="X2088" s="89"/>
      <c r="Y2088" s="89"/>
      <c r="Z2088" s="89"/>
      <c r="AA2088" s="89"/>
      <c r="AB2088" s="89"/>
      <c r="AC2088" s="240"/>
      <c r="AD2088" s="240"/>
      <c r="AE2088" s="240"/>
      <c r="AF2088" s="241"/>
      <c r="AG2088" s="89"/>
      <c r="AH2088" s="124"/>
      <c r="AI2088" s="117"/>
      <c r="AJ2088" s="117"/>
      <c r="AK2088" s="89"/>
      <c r="AL2088" s="117"/>
      <c r="AM2088" s="117"/>
      <c r="AN2088" s="117"/>
      <c r="AO2088" s="117"/>
      <c r="AP2088" s="117"/>
      <c r="AQ2088" s="117"/>
      <c r="AR2088" s="126"/>
      <c r="AS2088" s="117"/>
      <c r="AT2088" s="117"/>
      <c r="AU2088" s="117"/>
      <c r="AV2088" s="128"/>
      <c r="AW2088" s="117">
        <f>VLOOKUP($D2088,'WB Data'!$C$3:$M$578,2,FALSE)</f>
        <v>23731894786.497993</v>
      </c>
      <c r="AX2088" s="117">
        <f>VLOOKUP($D2088,'WB Data'!$C$3:$M$578,3,FALSE)</f>
        <v>13633796</v>
      </c>
      <c r="AY2088" s="847">
        <f t="shared" si="361"/>
        <v>6.6949638210260162E-2</v>
      </c>
      <c r="AZ2088" s="117">
        <f>VLOOKUP($D2088,'WB Data'!$C$3:$M$578,4,FALSE)/100</f>
        <v>0.17286030665418683</v>
      </c>
      <c r="BA2088" s="117">
        <f t="shared" si="362"/>
        <v>4102302610.2789412</v>
      </c>
      <c r="BB2088" s="129">
        <f>IFERROR(VLOOKUP($D2088,'EITI Revenues'!$C$2:$G$224,5,FALSE),"..")</f>
        <v>1588841770</v>
      </c>
      <c r="BC2088" s="846">
        <f t="shared" si="363"/>
        <v>0.38730486776351314</v>
      </c>
      <c r="BD2088" s="129">
        <f>VLOOKUP($D2088,'WB Data 2'!$C$2:$K$545,6,FALSE)</f>
        <v>7303051805.9508448</v>
      </c>
      <c r="BE2088" s="129">
        <f>IFERROR(VLOOKUP($D2088,UNCTAD!$C$5:$V$529,4,FALSE),"..")</f>
        <v>9034981000</v>
      </c>
      <c r="BF2088" s="846">
        <f t="shared" si="364"/>
        <v>0.80830848520332743</v>
      </c>
      <c r="BG2088" s="117">
        <f>VLOOKUP($D2088,'WB Data'!$C$3:$M$578,5,FALSE)</f>
        <v>1035060000</v>
      </c>
      <c r="BH2088" s="129">
        <f>IFERROR($BB2088/$BG2088,"..")</f>
        <v>1.5350238343670899</v>
      </c>
      <c r="BI2088" s="117" t="str">
        <f>IFERROR(VLOOKUP($D2088,'WB Data'!$C$3:$M$578,7,FALSE)/100,"..")</f>
        <v>..</v>
      </c>
      <c r="BJ2088" s="117" t="str">
        <f>IFERROR($BI2088*$AW2088,"..")</f>
        <v>..</v>
      </c>
      <c r="BK2088" s="846" t="str">
        <f>IFERROR($BB2088/$BJ2088,"..")</f>
        <v>..</v>
      </c>
      <c r="BL2088" s="117" t="str">
        <f>IFERROR(VLOOKUP($D2088,'WB Data'!$C$3:$M$578,7,FALSE)/100,"..")</f>
        <v>..</v>
      </c>
      <c r="BM2088" s="117" t="str">
        <f>IFERROR($AW2088*$BL2088,"..")</f>
        <v>..</v>
      </c>
      <c r="BN2088" s="846" t="str">
        <f>IFERROR($BB2088/$BM2088,"..")</f>
        <v>..</v>
      </c>
      <c r="BO2088" s="801">
        <f t="shared" si="360"/>
        <v>38</v>
      </c>
      <c r="BP2088" s="117" t="str">
        <f>VLOOKUP($D2088,'WB Data'!$C$3:$M$578,9,FALSE)</f>
        <v>..</v>
      </c>
      <c r="BQ2088" s="117">
        <f>VLOOKUP($D2088,'WB Data'!$C$3:$M$578,10,FALSE)</f>
        <v>55.833146341463419</v>
      </c>
      <c r="BR2088" s="117">
        <f>VLOOKUP($D2088,'WB Data'!$C$3:$M$578,11,FALSE)</f>
        <v>59.3</v>
      </c>
      <c r="BS2088" s="129">
        <f>IFERROR(VLOOKUP($D2088,'WB Data 2'!$C$2:$K$545,9,FALSE),"..")</f>
        <v>93.626670000000004</v>
      </c>
      <c r="BT2088" s="129">
        <f>_xlfn.IFNA(VLOOKUP($C2088,RGI!$A$2:$C$43,2,FALSE),"..")</f>
        <v>41.2</v>
      </c>
      <c r="BU2088" s="129">
        <f>_xlfn.IFNA(VLOOKUP($C2088,RGI!$A$2:$C$43,3,FALSE),"..")</f>
        <v>60.803011070373614</v>
      </c>
      <c r="BV2088" s="129">
        <f>VLOOKUP($D2088,WGI!$C$2:$O$478,7,FALSE)</f>
        <v>-0.19122445119574899</v>
      </c>
      <c r="BW2088" s="129">
        <f>VLOOKUP($D2088,WGI!$C$2:$O$478,4,FALSE)</f>
        <v>0.47312848392783102</v>
      </c>
      <c r="BX2088" s="129">
        <f>VLOOKUP($D2088,WGI!$C$2:$O$478,3,FALSE)</f>
        <v>-0.63896441900571799</v>
      </c>
      <c r="BY2088" s="129">
        <f>VLOOKUP($D2088,WGI!$C$2:$O$478,5,FALSE)</f>
        <v>-0.42115388453417202</v>
      </c>
      <c r="BZ2088" s="129">
        <f>VLOOKUP($D2088,WGI!$C$2:$O$478,2,FALSE)</f>
        <v>-0.47027036788454601</v>
      </c>
    </row>
    <row r="2089" spans="1:80" ht="15" customHeight="1">
      <c r="A2089" s="280" t="s">
        <v>547</v>
      </c>
      <c r="B2089" s="117">
        <v>2011</v>
      </c>
      <c r="C2089" s="117" t="s">
        <v>541</v>
      </c>
      <c r="D2089" s="117" t="s">
        <v>3718</v>
      </c>
      <c r="E2089" s="117" t="s">
        <v>86</v>
      </c>
      <c r="F2089" s="117"/>
      <c r="G2089" s="117" t="s">
        <v>24</v>
      </c>
      <c r="H2089" s="117" t="str">
        <f t="shared" si="368"/>
        <v>yes</v>
      </c>
      <c r="I2089" s="117" t="str">
        <f t="shared" si="365"/>
        <v>no</v>
      </c>
      <c r="J2089" s="117" t="str">
        <f t="shared" si="366"/>
        <v>no</v>
      </c>
      <c r="K2089" s="117" t="s">
        <v>2417</v>
      </c>
      <c r="L2089" s="117" t="str">
        <f t="shared" si="369"/>
        <v>detailed</v>
      </c>
      <c r="M2089" s="117" t="str">
        <f t="shared" si="367"/>
        <v>detailed Mining</v>
      </c>
      <c r="N2089" s="118">
        <v>2724</v>
      </c>
      <c r="O2089" s="118"/>
      <c r="P2089" s="118"/>
      <c r="Q2089" s="118"/>
      <c r="R2089" s="118"/>
      <c r="S2089" s="117" t="s">
        <v>610</v>
      </c>
      <c r="T2089" s="186">
        <v>22910.356666666699</v>
      </c>
      <c r="U2089" s="117" t="s">
        <v>611</v>
      </c>
      <c r="V2089" s="117" t="s">
        <v>1680</v>
      </c>
      <c r="W2089" s="89">
        <f>N2089*T2089</f>
        <v>62407811.560000092</v>
      </c>
      <c r="X2089" s="117"/>
      <c r="Y2089" s="89"/>
      <c r="Z2089" s="89"/>
      <c r="AA2089" s="89"/>
      <c r="AB2089" s="89"/>
      <c r="AC2089" s="240"/>
      <c r="AD2089" s="240"/>
      <c r="AE2089" s="240"/>
      <c r="AF2089" s="241"/>
      <c r="AG2089" s="89"/>
      <c r="AH2089" s="124"/>
      <c r="AI2089" s="117"/>
      <c r="AJ2089" s="117"/>
      <c r="AK2089" s="89"/>
      <c r="AL2089" s="117"/>
      <c r="AM2089" s="117"/>
      <c r="AN2089" s="117"/>
      <c r="AO2089" s="117"/>
      <c r="AP2089" s="117"/>
      <c r="AQ2089" s="117"/>
      <c r="AR2089" s="126"/>
      <c r="AS2089" s="117"/>
      <c r="AT2089" s="117"/>
      <c r="AU2089" s="117">
        <v>27</v>
      </c>
      <c r="AV2089" s="128"/>
      <c r="AW2089" s="117">
        <f>VLOOKUP($D2089,'WB Data'!$C$3:$M$578,2,FALSE)</f>
        <v>23731894786.497993</v>
      </c>
      <c r="AX2089" s="117">
        <f>VLOOKUP($D2089,'WB Data'!$C$3:$M$578,3,FALSE)</f>
        <v>13633796</v>
      </c>
      <c r="AY2089" s="847">
        <f t="shared" si="361"/>
        <v>6.6949638210260162E-2</v>
      </c>
      <c r="AZ2089" s="117">
        <f>VLOOKUP($D2089,'WB Data'!$C$3:$M$578,4,FALSE)/100</f>
        <v>0.17286030665418683</v>
      </c>
      <c r="BA2089" s="117">
        <f t="shared" si="362"/>
        <v>4102302610.2789412</v>
      </c>
      <c r="BB2089" s="129">
        <f>IFERROR(VLOOKUP($D2089,'EITI Revenues'!$C$2:$G$224,5,FALSE),"..")</f>
        <v>1588841770</v>
      </c>
      <c r="BC2089" s="846">
        <f t="shared" si="363"/>
        <v>0.38730486776351314</v>
      </c>
      <c r="BD2089" s="129">
        <f>VLOOKUP($D2089,'WB Data 2'!$C$2:$K$545,6,FALSE)</f>
        <v>7303051805.9508448</v>
      </c>
      <c r="BE2089" s="129">
        <f>IFERROR(VLOOKUP($D2089,UNCTAD!$C$5:$V$529,4,FALSE),"..")</f>
        <v>9034981000</v>
      </c>
      <c r="BF2089" s="846">
        <f t="shared" si="364"/>
        <v>0.80830848520332743</v>
      </c>
      <c r="BG2089" s="117">
        <f>VLOOKUP($D2089,'WB Data'!$C$3:$M$578,5,FALSE)</f>
        <v>1035060000</v>
      </c>
      <c r="BH2089" s="129">
        <f>IFERROR($BB2089/$BG2089,"..")</f>
        <v>1.5350238343670899</v>
      </c>
      <c r="BI2089" s="117" t="str">
        <f>IFERROR(VLOOKUP($D2089,'WB Data'!$C$3:$M$578,7,FALSE)/100,"..")</f>
        <v>..</v>
      </c>
      <c r="BJ2089" s="117" t="str">
        <f>IFERROR($BI2089*$AW2089,"..")</f>
        <v>..</v>
      </c>
      <c r="BK2089" s="846" t="str">
        <f>IFERROR($BB2089/$BJ2089,"..")</f>
        <v>..</v>
      </c>
      <c r="BL2089" s="117" t="str">
        <f>IFERROR(VLOOKUP($D2089,'WB Data'!$C$3:$M$578,7,FALSE)/100,"..")</f>
        <v>..</v>
      </c>
      <c r="BM2089" s="117" t="str">
        <f>IFERROR($AW2089*$BL2089,"..")</f>
        <v>..</v>
      </c>
      <c r="BN2089" s="846" t="str">
        <f>IFERROR($BB2089/$BM2089,"..")</f>
        <v>..</v>
      </c>
      <c r="BO2089" s="801">
        <f t="shared" si="360"/>
        <v>38</v>
      </c>
      <c r="BP2089" s="117" t="str">
        <f>VLOOKUP($D2089,'WB Data'!$C$3:$M$578,9,FALSE)</f>
        <v>..</v>
      </c>
      <c r="BQ2089" s="117">
        <f>VLOOKUP($D2089,'WB Data'!$C$3:$M$578,10,FALSE)</f>
        <v>55.833146341463419</v>
      </c>
      <c r="BR2089" s="117">
        <f>VLOOKUP($D2089,'WB Data'!$C$3:$M$578,11,FALSE)</f>
        <v>59.3</v>
      </c>
      <c r="BS2089" s="129">
        <f>IFERROR(VLOOKUP($D2089,'WB Data 2'!$C$2:$K$545,9,FALSE),"..")</f>
        <v>93.626670000000004</v>
      </c>
      <c r="BT2089" s="129">
        <f>_xlfn.IFNA(VLOOKUP($C2089,RGI!$A$2:$C$43,2,FALSE),"..")</f>
        <v>41.2</v>
      </c>
      <c r="BU2089" s="129">
        <f>_xlfn.IFNA(VLOOKUP($C2089,RGI!$A$2:$C$43,3,FALSE),"..")</f>
        <v>60.803011070373614</v>
      </c>
      <c r="BV2089" s="129">
        <f>VLOOKUP($D2089,WGI!$C$2:$O$478,7,FALSE)</f>
        <v>-0.19122445119574899</v>
      </c>
      <c r="BW2089" s="129">
        <f>VLOOKUP($D2089,WGI!$C$2:$O$478,4,FALSE)</f>
        <v>0.47312848392783102</v>
      </c>
      <c r="BX2089" s="129">
        <f>VLOOKUP($D2089,WGI!$C$2:$O$478,3,FALSE)</f>
        <v>-0.63896441900571799</v>
      </c>
      <c r="BY2089" s="129">
        <f>VLOOKUP($D2089,WGI!$C$2:$O$478,5,FALSE)</f>
        <v>-0.42115388453417202</v>
      </c>
      <c r="BZ2089" s="129">
        <f>VLOOKUP($D2089,WGI!$C$2:$O$478,2,FALSE)</f>
        <v>-0.47027036788454601</v>
      </c>
    </row>
    <row r="2090" spans="1:80" s="158" customFormat="1" ht="15" customHeight="1">
      <c r="A2090" s="282" t="s">
        <v>547</v>
      </c>
      <c r="B2090" s="149">
        <v>2011</v>
      </c>
      <c r="C2090" s="117" t="s">
        <v>541</v>
      </c>
      <c r="D2090" s="117" t="s">
        <v>3718</v>
      </c>
      <c r="E2090" s="149" t="s">
        <v>86</v>
      </c>
      <c r="F2090" s="149"/>
      <c r="G2090" s="149" t="s">
        <v>24</v>
      </c>
      <c r="H2090" s="149" t="str">
        <f t="shared" si="368"/>
        <v>yes</v>
      </c>
      <c r="I2090" s="149" t="str">
        <f t="shared" si="365"/>
        <v>no</v>
      </c>
      <c r="J2090" s="149" t="str">
        <f t="shared" si="366"/>
        <v>no</v>
      </c>
      <c r="K2090" s="149" t="s">
        <v>2443</v>
      </c>
      <c r="L2090" s="149" t="str">
        <f t="shared" si="369"/>
        <v>detailed</v>
      </c>
      <c r="M2090" s="149" t="str">
        <f t="shared" si="367"/>
        <v>detailed Mining</v>
      </c>
      <c r="N2090" s="150">
        <v>360000</v>
      </c>
      <c r="O2090" s="150"/>
      <c r="P2090" s="150"/>
      <c r="Q2090" s="150"/>
      <c r="R2090" s="150"/>
      <c r="S2090" s="149" t="s">
        <v>610</v>
      </c>
      <c r="T2090" s="151">
        <v>7.49</v>
      </c>
      <c r="U2090" s="149" t="s">
        <v>611</v>
      </c>
      <c r="V2090" s="149" t="s">
        <v>1253</v>
      </c>
      <c r="W2090" s="152">
        <f>N2090*T2090</f>
        <v>2696400</v>
      </c>
      <c r="X2090" s="149"/>
      <c r="Y2090" s="152"/>
      <c r="Z2090" s="152"/>
      <c r="AA2090" s="152"/>
      <c r="AB2090" s="152"/>
      <c r="AC2090" s="288"/>
      <c r="AD2090" s="288"/>
      <c r="AE2090" s="288"/>
      <c r="AF2090" s="285"/>
      <c r="AG2090" s="152"/>
      <c r="AH2090" s="156"/>
      <c r="AI2090" s="149"/>
      <c r="AJ2090" s="149"/>
      <c r="AK2090" s="152"/>
      <c r="AL2090" s="149"/>
      <c r="AM2090" s="149"/>
      <c r="AN2090" s="149"/>
      <c r="AO2090" s="149"/>
      <c r="AP2090" s="149"/>
      <c r="AQ2090" s="149"/>
      <c r="AR2090" s="220"/>
      <c r="AS2090" s="149"/>
      <c r="AT2090" s="149"/>
      <c r="AU2090" s="149"/>
      <c r="AV2090" s="157"/>
      <c r="AW2090" s="117">
        <f>VLOOKUP($D2090,'WB Data'!$C$3:$M$578,2,FALSE)</f>
        <v>23731894786.497993</v>
      </c>
      <c r="AX2090" s="117">
        <f>VLOOKUP($D2090,'WB Data'!$C$3:$M$578,3,FALSE)</f>
        <v>13633796</v>
      </c>
      <c r="AY2090" s="847">
        <f t="shared" si="361"/>
        <v>6.6949638210260162E-2</v>
      </c>
      <c r="AZ2090" s="117">
        <f>VLOOKUP($D2090,'WB Data'!$C$3:$M$578,4,FALSE)/100</f>
        <v>0.17286030665418683</v>
      </c>
      <c r="BA2090" s="117">
        <f t="shared" si="362"/>
        <v>4102302610.2789412</v>
      </c>
      <c r="BB2090" s="129">
        <f>IFERROR(VLOOKUP($D2090,'EITI Revenues'!$C$2:$G$224,5,FALSE),"..")</f>
        <v>1588841770</v>
      </c>
      <c r="BC2090" s="846">
        <f t="shared" si="363"/>
        <v>0.38730486776351314</v>
      </c>
      <c r="BD2090" s="129">
        <f>VLOOKUP($D2090,'WB Data 2'!$C$2:$K$545,6,FALSE)</f>
        <v>7303051805.9508448</v>
      </c>
      <c r="BE2090" s="129">
        <f>IFERROR(VLOOKUP($D2090,UNCTAD!$C$5:$V$529,4,FALSE),"..")</f>
        <v>9034981000</v>
      </c>
      <c r="BF2090" s="846">
        <f t="shared" si="364"/>
        <v>0.80830848520332743</v>
      </c>
      <c r="BG2090" s="117">
        <f>VLOOKUP($D2090,'WB Data'!$C$3:$M$578,5,FALSE)</f>
        <v>1035060000</v>
      </c>
      <c r="BH2090" s="129">
        <f>IFERROR($BB2090/$BG2090,"..")</f>
        <v>1.5350238343670899</v>
      </c>
      <c r="BI2090" s="117" t="str">
        <f>IFERROR(VLOOKUP($D2090,'WB Data'!$C$3:$M$578,7,FALSE)/100,"..")</f>
        <v>..</v>
      </c>
      <c r="BJ2090" s="117" t="str">
        <f>IFERROR($BI2090*$AW2090,"..")</f>
        <v>..</v>
      </c>
      <c r="BK2090" s="846" t="str">
        <f>IFERROR($BB2090/$BJ2090,"..")</f>
        <v>..</v>
      </c>
      <c r="BL2090" s="117" t="str">
        <f>IFERROR(VLOOKUP($D2090,'WB Data'!$C$3:$M$578,7,FALSE)/100,"..")</f>
        <v>..</v>
      </c>
      <c r="BM2090" s="117" t="str">
        <f>IFERROR($AW2090*$BL2090,"..")</f>
        <v>..</v>
      </c>
      <c r="BN2090" s="846" t="str">
        <f>IFERROR($BB2090/$BM2090,"..")</f>
        <v>..</v>
      </c>
      <c r="BO2090" s="801">
        <f t="shared" si="360"/>
        <v>38</v>
      </c>
      <c r="BP2090" s="117" t="str">
        <f>VLOOKUP($D2090,'WB Data'!$C$3:$M$578,9,FALSE)</f>
        <v>..</v>
      </c>
      <c r="BQ2090" s="117">
        <f>VLOOKUP($D2090,'WB Data'!$C$3:$M$578,10,FALSE)</f>
        <v>55.833146341463419</v>
      </c>
      <c r="BR2090" s="117">
        <f>VLOOKUP($D2090,'WB Data'!$C$3:$M$578,11,FALSE)</f>
        <v>59.3</v>
      </c>
      <c r="BS2090" s="129">
        <f>IFERROR(VLOOKUP($D2090,'WB Data 2'!$C$2:$K$545,9,FALSE),"..")</f>
        <v>93.626670000000004</v>
      </c>
      <c r="BT2090" s="129">
        <f>_xlfn.IFNA(VLOOKUP($C2090,RGI!$A$2:$C$43,2,FALSE),"..")</f>
        <v>41.2</v>
      </c>
      <c r="BU2090" s="129">
        <f>_xlfn.IFNA(VLOOKUP($C2090,RGI!$A$2:$C$43,3,FALSE),"..")</f>
        <v>60.803011070373614</v>
      </c>
      <c r="BV2090" s="129">
        <f>VLOOKUP($D2090,WGI!$C$2:$O$478,7,FALSE)</f>
        <v>-0.19122445119574899</v>
      </c>
      <c r="BW2090" s="129">
        <f>VLOOKUP($D2090,WGI!$C$2:$O$478,4,FALSE)</f>
        <v>0.47312848392783102</v>
      </c>
      <c r="BX2090" s="129">
        <f>VLOOKUP($D2090,WGI!$C$2:$O$478,3,FALSE)</f>
        <v>-0.63896441900571799</v>
      </c>
      <c r="BY2090" s="129">
        <f>VLOOKUP($D2090,WGI!$C$2:$O$478,5,FALSE)</f>
        <v>-0.42115388453417202</v>
      </c>
      <c r="BZ2090" s="129">
        <f>VLOOKUP($D2090,WGI!$C$2:$O$478,2,FALSE)</f>
        <v>-0.47027036788454601</v>
      </c>
      <c r="CB2090" s="129"/>
    </row>
    <row r="2091" spans="1:80" ht="15" customHeight="1">
      <c r="A2091" s="289" t="s">
        <v>549</v>
      </c>
      <c r="B2091" s="146">
        <v>2012</v>
      </c>
      <c r="C2091" s="117" t="s">
        <v>541</v>
      </c>
      <c r="D2091" s="117" t="s">
        <v>3752</v>
      </c>
      <c r="E2091" s="146" t="s">
        <v>86</v>
      </c>
      <c r="F2091" s="146" t="s">
        <v>2393</v>
      </c>
      <c r="G2091" s="146" t="s">
        <v>41</v>
      </c>
      <c r="H2091" s="146"/>
      <c r="I2091" s="146"/>
      <c r="J2091" s="146"/>
      <c r="K2091" s="146" t="s">
        <v>709</v>
      </c>
      <c r="L2091" s="146"/>
      <c r="M2091" s="146"/>
      <c r="N2091" s="146"/>
      <c r="O2091" s="754"/>
      <c r="P2091" s="754"/>
      <c r="Q2091" s="754"/>
      <c r="R2091" s="754"/>
      <c r="S2091" s="754"/>
      <c r="T2091" s="146"/>
      <c r="U2091" s="119"/>
      <c r="V2091" s="146" t="s">
        <v>725</v>
      </c>
      <c r="W2091" s="303"/>
      <c r="X2091" s="146" t="s">
        <v>2000</v>
      </c>
      <c r="Y2091" s="146" t="s">
        <v>602</v>
      </c>
      <c r="Z2091" s="146" t="s">
        <v>664</v>
      </c>
      <c r="AA2091" s="757">
        <v>1537626771.04</v>
      </c>
      <c r="AB2091" s="794">
        <v>1519219439.75</v>
      </c>
      <c r="AC2091" s="762">
        <f>AB2091/AD2091</f>
        <v>0.95983636276129736</v>
      </c>
      <c r="AD2091" s="757">
        <v>1582790044.9400001</v>
      </c>
      <c r="AE2091" s="757" t="s">
        <v>2444</v>
      </c>
      <c r="AF2091" s="757"/>
      <c r="AG2091" s="146" t="s">
        <v>2394</v>
      </c>
      <c r="AH2091" s="759">
        <v>5.0659999999999998</v>
      </c>
      <c r="AI2091" s="146" t="s">
        <v>1203</v>
      </c>
      <c r="AJ2091" s="120"/>
      <c r="AK2091" s="120"/>
      <c r="AL2091" s="146"/>
      <c r="AM2091" s="760"/>
      <c r="AN2091" s="146">
        <v>29</v>
      </c>
      <c r="AO2091" s="146" t="s">
        <v>2445</v>
      </c>
      <c r="AP2091" s="120">
        <v>29</v>
      </c>
      <c r="AQ2091" s="239" t="s">
        <v>44</v>
      </c>
      <c r="AR2091" s="239" t="s">
        <v>2446</v>
      </c>
      <c r="AS2091" s="146" t="s">
        <v>607</v>
      </c>
      <c r="AT2091" s="795" t="s">
        <v>551</v>
      </c>
      <c r="AU2091" s="120"/>
      <c r="AV2091" s="128" t="s">
        <v>2447</v>
      </c>
      <c r="AW2091" s="117">
        <f>VLOOKUP($D2091,'WB Data'!$C$3:$M$578,2,FALSE)</f>
        <v>24939543374.136166</v>
      </c>
      <c r="AX2091" s="117">
        <f>VLOOKUP($D2091,'WB Data'!$C$3:$M$578,3,FALSE)</f>
        <v>14075099</v>
      </c>
      <c r="AY2091" s="847">
        <f t="shared" si="361"/>
        <v>6.1654166957788532E-2</v>
      </c>
      <c r="AZ2091" s="117" t="e">
        <f>VLOOKUP($D2091,'WB Data'!$C$3:$M$578,4,FALSE)/100</f>
        <v>#VALUE!</v>
      </c>
      <c r="BA2091" s="117" t="str">
        <f t="shared" si="362"/>
        <v>..</v>
      </c>
      <c r="BB2091" s="129">
        <f>IFERROR(VLOOKUP($D2091,'EITI Revenues'!$C$2:$G$224,5,FALSE),"..")</f>
        <v>1537626771.04</v>
      </c>
      <c r="BC2091" s="846" t="str">
        <f t="shared" si="363"/>
        <v>..</v>
      </c>
      <c r="BD2091" s="129">
        <f>VLOOKUP($D2091,'WB Data 2'!$C$2:$K$545,6,FALSE)</f>
        <v>7001604558.3300638</v>
      </c>
      <c r="BE2091" s="129">
        <f>IFERROR(VLOOKUP($D2091,UNCTAD!$C$5:$V$529,4,FALSE),"..")</f>
        <v>9880941000</v>
      </c>
      <c r="BF2091" s="846">
        <f t="shared" si="364"/>
        <v>0.70859694014265073</v>
      </c>
      <c r="BG2091" s="117">
        <f>VLOOKUP($D2091,'WB Data'!$C$3:$M$578,5,FALSE)</f>
        <v>957720000</v>
      </c>
      <c r="BH2091" s="129">
        <f>IFERROR($BB2091/$BG2091,"..")</f>
        <v>1.6055076337969343</v>
      </c>
      <c r="BI2091" s="117" t="str">
        <f>IFERROR(VLOOKUP($D2091,'WB Data'!$C$3:$M$578,7,FALSE)/100,"..")</f>
        <v>..</v>
      </c>
      <c r="BJ2091" s="117" t="str">
        <f>IFERROR($BI2091*$AW2091,"..")</f>
        <v>..</v>
      </c>
      <c r="BK2091" s="846" t="str">
        <f>IFERROR($BB2091/$BJ2091,"..")</f>
        <v>..</v>
      </c>
      <c r="BL2091" s="117" t="str">
        <f>IFERROR(VLOOKUP($D2091,'WB Data'!$C$3:$M$578,7,FALSE)/100,"..")</f>
        <v>..</v>
      </c>
      <c r="BM2091" s="117" t="str">
        <f>IFERROR($AW2091*$BL2091,"..")</f>
        <v>..</v>
      </c>
      <c r="BN2091" s="846" t="str">
        <f>IFERROR($BB2091/$BM2091,"..")</f>
        <v>..</v>
      </c>
      <c r="BO2091" s="801">
        <f t="shared" si="360"/>
        <v>38</v>
      </c>
      <c r="BP2091" s="117" t="str">
        <f>VLOOKUP($D2091,'WB Data'!$C$3:$M$578,9,FALSE)</f>
        <v>..</v>
      </c>
      <c r="BQ2091" s="117">
        <f>VLOOKUP($D2091,'WB Data'!$C$3:$M$578,10,FALSE)</f>
        <v>57.022585365853665</v>
      </c>
      <c r="BR2091" s="117">
        <f>VLOOKUP($D2091,'WB Data'!$C$3:$M$578,11,FALSE)</f>
        <v>57.1</v>
      </c>
      <c r="BS2091" s="129">
        <f>IFERROR(VLOOKUP($D2091,'WB Data 2'!$C$2:$K$545,9,FALSE),"..")</f>
        <v>97.876090000000005</v>
      </c>
      <c r="BT2091" s="129">
        <f>_xlfn.IFNA(VLOOKUP($C2091,RGI!$A$2:$C$43,2,FALSE),"..")</f>
        <v>41.2</v>
      </c>
      <c r="BU2091" s="129">
        <f>_xlfn.IFNA(VLOOKUP($C2091,RGI!$A$2:$C$43,3,FALSE),"..")</f>
        <v>60.803011070373614</v>
      </c>
      <c r="BV2091" s="129">
        <f>VLOOKUP($D2091,WGI!$C$2:$O$478,7,FALSE)</f>
        <v>-0.15558153117561299</v>
      </c>
      <c r="BW2091" s="129">
        <f>VLOOKUP($D2091,WGI!$C$2:$O$478,4,FALSE)</f>
        <v>0.61397274031289295</v>
      </c>
      <c r="BX2091" s="129">
        <f>VLOOKUP($D2091,WGI!$C$2:$O$478,3,FALSE)</f>
        <v>-0.50167064815564</v>
      </c>
      <c r="BY2091" s="129">
        <f>VLOOKUP($D2091,WGI!$C$2:$O$478,5,FALSE)</f>
        <v>-0.42878042603682198</v>
      </c>
      <c r="BZ2091" s="129">
        <f>VLOOKUP($D2091,WGI!$C$2:$O$478,2,FALSE)</f>
        <v>-0.36075468296103302</v>
      </c>
    </row>
    <row r="2092" spans="1:80" ht="15" customHeight="1">
      <c r="A2092" s="289" t="s">
        <v>549</v>
      </c>
      <c r="B2092" s="146">
        <v>2012</v>
      </c>
      <c r="C2092" s="117" t="s">
        <v>541</v>
      </c>
      <c r="D2092" s="117" t="s">
        <v>3752</v>
      </c>
      <c r="E2092" s="146" t="s">
        <v>86</v>
      </c>
      <c r="F2092" s="146"/>
      <c r="G2092" s="146" t="s">
        <v>24</v>
      </c>
      <c r="H2092" s="146"/>
      <c r="I2092" s="146"/>
      <c r="J2092" s="146"/>
      <c r="K2092" s="146" t="s">
        <v>600</v>
      </c>
      <c r="L2092" s="146"/>
      <c r="M2092" s="146"/>
      <c r="N2092" s="146"/>
      <c r="O2092" s="754"/>
      <c r="P2092" s="754"/>
      <c r="Q2092" s="754"/>
      <c r="R2092" s="754"/>
      <c r="S2092" s="754"/>
      <c r="T2092" s="146"/>
      <c r="U2092" s="119"/>
      <c r="V2092" s="146"/>
      <c r="W2092" s="146"/>
      <c r="X2092" s="117"/>
      <c r="Y2092" s="760"/>
      <c r="Z2092" s="146"/>
      <c r="AA2092" s="146"/>
      <c r="AB2092" s="146"/>
      <c r="AC2092" s="796"/>
      <c r="AD2092" s="89"/>
      <c r="AE2092" s="762"/>
      <c r="AF2092" s="796"/>
      <c r="AG2092" s="756"/>
      <c r="AH2092" s="758"/>
      <c r="AI2092" s="146"/>
      <c r="AJ2092" s="759"/>
      <c r="AK2092" s="146"/>
      <c r="AL2092" s="146"/>
      <c r="AM2092" s="760"/>
      <c r="AN2092" s="146"/>
      <c r="AO2092" s="146"/>
      <c r="AP2092" s="146"/>
      <c r="AQ2092" s="146"/>
      <c r="AR2092" s="146"/>
      <c r="AS2092" s="239"/>
      <c r="AT2092" s="146"/>
      <c r="AU2092" s="146"/>
      <c r="AV2092" s="782"/>
      <c r="AW2092" s="117">
        <f>VLOOKUP($D2092,'WB Data'!$C$3:$M$578,2,FALSE)</f>
        <v>24939543374.136166</v>
      </c>
      <c r="AX2092" s="117">
        <f>VLOOKUP($D2092,'WB Data'!$C$3:$M$578,3,FALSE)</f>
        <v>14075099</v>
      </c>
      <c r="AY2092" s="847">
        <f t="shared" si="361"/>
        <v>6.1654166957788532E-2</v>
      </c>
      <c r="AZ2092" s="117" t="e">
        <f>VLOOKUP($D2092,'WB Data'!$C$3:$M$578,4,FALSE)/100</f>
        <v>#VALUE!</v>
      </c>
      <c r="BA2092" s="117" t="str">
        <f t="shared" si="362"/>
        <v>..</v>
      </c>
      <c r="BB2092" s="129">
        <f>IFERROR(VLOOKUP($D2092,'EITI Revenues'!$C$2:$G$224,5,FALSE),"..")</f>
        <v>1537626771.04</v>
      </c>
      <c r="BC2092" s="846" t="str">
        <f t="shared" si="363"/>
        <v>..</v>
      </c>
      <c r="BD2092" s="129">
        <f>VLOOKUP($D2092,'WB Data 2'!$C$2:$K$545,6,FALSE)</f>
        <v>7001604558.3300638</v>
      </c>
      <c r="BE2092" s="129">
        <f>IFERROR(VLOOKUP($D2092,UNCTAD!$C$5:$V$529,4,FALSE),"..")</f>
        <v>9880941000</v>
      </c>
      <c r="BF2092" s="846">
        <f t="shared" si="364"/>
        <v>0.70859694014265073</v>
      </c>
      <c r="BG2092" s="117">
        <f>VLOOKUP($D2092,'WB Data'!$C$3:$M$578,5,FALSE)</f>
        <v>957720000</v>
      </c>
      <c r="BH2092" s="129">
        <f>IFERROR($BB2092/$BG2092,"..")</f>
        <v>1.6055076337969343</v>
      </c>
      <c r="BI2092" s="117" t="str">
        <f>IFERROR(VLOOKUP($D2092,'WB Data'!$C$3:$M$578,7,FALSE)/100,"..")</f>
        <v>..</v>
      </c>
      <c r="BJ2092" s="117" t="str">
        <f>IFERROR($BI2092*$AW2092,"..")</f>
        <v>..</v>
      </c>
      <c r="BK2092" s="846" t="str">
        <f>IFERROR($BB2092/$BJ2092,"..")</f>
        <v>..</v>
      </c>
      <c r="BL2092" s="117" t="str">
        <f>IFERROR(VLOOKUP($D2092,'WB Data'!$C$3:$M$578,7,FALSE)/100,"..")</f>
        <v>..</v>
      </c>
      <c r="BM2092" s="117" t="str">
        <f>IFERROR($AW2092*$BL2092,"..")</f>
        <v>..</v>
      </c>
      <c r="BN2092" s="846" t="str">
        <f>IFERROR($BB2092/$BM2092,"..")</f>
        <v>..</v>
      </c>
      <c r="BO2092" s="801">
        <f t="shared" si="360"/>
        <v>38</v>
      </c>
      <c r="BP2092" s="117" t="str">
        <f>VLOOKUP($D2092,'WB Data'!$C$3:$M$578,9,FALSE)</f>
        <v>..</v>
      </c>
      <c r="BQ2092" s="117">
        <f>VLOOKUP($D2092,'WB Data'!$C$3:$M$578,10,FALSE)</f>
        <v>57.022585365853665</v>
      </c>
      <c r="BR2092" s="117">
        <f>VLOOKUP($D2092,'WB Data'!$C$3:$M$578,11,FALSE)</f>
        <v>57.1</v>
      </c>
      <c r="BS2092" s="129">
        <f>IFERROR(VLOOKUP($D2092,'WB Data 2'!$C$2:$K$545,9,FALSE),"..")</f>
        <v>97.876090000000005</v>
      </c>
      <c r="BT2092" s="129">
        <f>_xlfn.IFNA(VLOOKUP($C2092,RGI!$A$2:$C$43,2,FALSE),"..")</f>
        <v>41.2</v>
      </c>
      <c r="BU2092" s="129">
        <f>_xlfn.IFNA(VLOOKUP($C2092,RGI!$A$2:$C$43,3,FALSE),"..")</f>
        <v>60.803011070373614</v>
      </c>
      <c r="BV2092" s="129">
        <f>VLOOKUP($D2092,WGI!$C$2:$O$478,7,FALSE)</f>
        <v>-0.15558153117561299</v>
      </c>
      <c r="BW2092" s="129">
        <f>VLOOKUP($D2092,WGI!$C$2:$O$478,4,FALSE)</f>
        <v>0.61397274031289295</v>
      </c>
      <c r="BX2092" s="129">
        <f>VLOOKUP($D2092,WGI!$C$2:$O$478,3,FALSE)</f>
        <v>-0.50167064815564</v>
      </c>
      <c r="BY2092" s="129">
        <f>VLOOKUP($D2092,WGI!$C$2:$O$478,5,FALSE)</f>
        <v>-0.42878042603682198</v>
      </c>
      <c r="BZ2092" s="129">
        <f>VLOOKUP($D2092,WGI!$C$2:$O$478,2,FALSE)</f>
        <v>-0.36075468296103302</v>
      </c>
    </row>
    <row r="2093" spans="1:80" ht="15" customHeight="1">
      <c r="A2093" s="289" t="s">
        <v>549</v>
      </c>
      <c r="B2093" s="146">
        <v>2012</v>
      </c>
      <c r="C2093" s="117" t="s">
        <v>541</v>
      </c>
      <c r="D2093" s="117" t="s">
        <v>3752</v>
      </c>
      <c r="E2093" s="146" t="s">
        <v>86</v>
      </c>
      <c r="F2093" s="146"/>
      <c r="G2093" s="146" t="s">
        <v>24</v>
      </c>
      <c r="H2093" s="146"/>
      <c r="I2093" s="146"/>
      <c r="J2093" s="146"/>
      <c r="K2093" s="146" t="s">
        <v>619</v>
      </c>
      <c r="L2093" s="146"/>
      <c r="M2093" s="146"/>
      <c r="N2093" s="146"/>
      <c r="O2093" s="754">
        <v>681906</v>
      </c>
      <c r="P2093" s="754"/>
      <c r="Q2093" s="754"/>
      <c r="R2093" s="754">
        <v>681906</v>
      </c>
      <c r="S2093" s="146" t="s">
        <v>610</v>
      </c>
      <c r="T2093" s="146"/>
      <c r="U2093" s="119"/>
      <c r="V2093" s="146"/>
      <c r="W2093" s="146"/>
      <c r="X2093" s="117"/>
      <c r="Y2093" s="760"/>
      <c r="Z2093" s="146"/>
      <c r="AA2093" s="146"/>
      <c r="AB2093" s="146"/>
      <c r="AC2093" s="796"/>
      <c r="AD2093" s="89"/>
      <c r="AE2093" s="762"/>
      <c r="AF2093" s="796"/>
      <c r="AG2093" s="756"/>
      <c r="AH2093" s="758"/>
      <c r="AI2093" s="146"/>
      <c r="AJ2093" s="759"/>
      <c r="AK2093" s="146"/>
      <c r="AL2093" s="146"/>
      <c r="AM2093" s="760"/>
      <c r="AN2093" s="146"/>
      <c r="AO2093" s="146"/>
      <c r="AP2093" s="146"/>
      <c r="AQ2093" s="146"/>
      <c r="AR2093" s="146"/>
      <c r="AS2093" s="239"/>
      <c r="AT2093" s="146"/>
      <c r="AU2093" s="146"/>
      <c r="AV2093" s="782"/>
      <c r="AW2093" s="117">
        <f>VLOOKUP($D2093,'WB Data'!$C$3:$M$578,2,FALSE)</f>
        <v>24939543374.136166</v>
      </c>
      <c r="AX2093" s="117">
        <f>VLOOKUP($D2093,'WB Data'!$C$3:$M$578,3,FALSE)</f>
        <v>14075099</v>
      </c>
      <c r="AY2093" s="847">
        <f t="shared" si="361"/>
        <v>6.1654166957788532E-2</v>
      </c>
      <c r="AZ2093" s="117" t="e">
        <f>VLOOKUP($D2093,'WB Data'!$C$3:$M$578,4,FALSE)/100</f>
        <v>#VALUE!</v>
      </c>
      <c r="BA2093" s="117" t="str">
        <f t="shared" si="362"/>
        <v>..</v>
      </c>
      <c r="BB2093" s="129">
        <f>IFERROR(VLOOKUP($D2093,'EITI Revenues'!$C$2:$G$224,5,FALSE),"..")</f>
        <v>1537626771.04</v>
      </c>
      <c r="BC2093" s="846" t="str">
        <f t="shared" si="363"/>
        <v>..</v>
      </c>
      <c r="BD2093" s="129">
        <f>VLOOKUP($D2093,'WB Data 2'!$C$2:$K$545,6,FALSE)</f>
        <v>7001604558.3300638</v>
      </c>
      <c r="BE2093" s="129">
        <f>IFERROR(VLOOKUP($D2093,UNCTAD!$C$5:$V$529,4,FALSE),"..")</f>
        <v>9880941000</v>
      </c>
      <c r="BF2093" s="846">
        <f t="shared" si="364"/>
        <v>0.70859694014265073</v>
      </c>
      <c r="BG2093" s="117">
        <f>VLOOKUP($D2093,'WB Data'!$C$3:$M$578,5,FALSE)</f>
        <v>957720000</v>
      </c>
      <c r="BH2093" s="129">
        <f>IFERROR($BB2093/$BG2093,"..")</f>
        <v>1.6055076337969343</v>
      </c>
      <c r="BI2093" s="117" t="str">
        <f>IFERROR(VLOOKUP($D2093,'WB Data'!$C$3:$M$578,7,FALSE)/100,"..")</f>
        <v>..</v>
      </c>
      <c r="BJ2093" s="117" t="str">
        <f>IFERROR($BI2093*$AW2093,"..")</f>
        <v>..</v>
      </c>
      <c r="BK2093" s="846" t="str">
        <f>IFERROR($BB2093/$BJ2093,"..")</f>
        <v>..</v>
      </c>
      <c r="BL2093" s="117" t="str">
        <f>IFERROR(VLOOKUP($D2093,'WB Data'!$C$3:$M$578,7,FALSE)/100,"..")</f>
        <v>..</v>
      </c>
      <c r="BM2093" s="117" t="str">
        <f>IFERROR($AW2093*$BL2093,"..")</f>
        <v>..</v>
      </c>
      <c r="BN2093" s="846" t="str">
        <f>IFERROR($BB2093/$BM2093,"..")</f>
        <v>..</v>
      </c>
      <c r="BO2093" s="801">
        <f t="shared" si="360"/>
        <v>38</v>
      </c>
      <c r="BP2093" s="117" t="str">
        <f>VLOOKUP($D2093,'WB Data'!$C$3:$M$578,9,FALSE)</f>
        <v>..</v>
      </c>
      <c r="BQ2093" s="117">
        <f>VLOOKUP($D2093,'WB Data'!$C$3:$M$578,10,FALSE)</f>
        <v>57.022585365853665</v>
      </c>
      <c r="BR2093" s="117">
        <f>VLOOKUP($D2093,'WB Data'!$C$3:$M$578,11,FALSE)</f>
        <v>57.1</v>
      </c>
      <c r="BS2093" s="129">
        <f>IFERROR(VLOOKUP($D2093,'WB Data 2'!$C$2:$K$545,9,FALSE),"..")</f>
        <v>97.876090000000005</v>
      </c>
      <c r="BT2093" s="129">
        <f>_xlfn.IFNA(VLOOKUP($C2093,RGI!$A$2:$C$43,2,FALSE),"..")</f>
        <v>41.2</v>
      </c>
      <c r="BU2093" s="129">
        <f>_xlfn.IFNA(VLOOKUP($C2093,RGI!$A$2:$C$43,3,FALSE),"..")</f>
        <v>60.803011070373614</v>
      </c>
      <c r="BV2093" s="129">
        <f>VLOOKUP($D2093,WGI!$C$2:$O$478,7,FALSE)</f>
        <v>-0.15558153117561299</v>
      </c>
      <c r="BW2093" s="129">
        <f>VLOOKUP($D2093,WGI!$C$2:$O$478,4,FALSE)</f>
        <v>0.61397274031289295</v>
      </c>
      <c r="BX2093" s="129">
        <f>VLOOKUP($D2093,WGI!$C$2:$O$478,3,FALSE)</f>
        <v>-0.50167064815564</v>
      </c>
      <c r="BY2093" s="129">
        <f>VLOOKUP($D2093,WGI!$C$2:$O$478,5,FALSE)</f>
        <v>-0.42878042603682198</v>
      </c>
      <c r="BZ2093" s="129">
        <f>VLOOKUP($D2093,WGI!$C$2:$O$478,2,FALSE)</f>
        <v>-0.36075468296103302</v>
      </c>
    </row>
    <row r="2094" spans="1:80" ht="15" customHeight="1">
      <c r="A2094" s="289" t="s">
        <v>549</v>
      </c>
      <c r="B2094" s="146">
        <v>2012</v>
      </c>
      <c r="C2094" s="117" t="s">
        <v>541</v>
      </c>
      <c r="D2094" s="117" t="s">
        <v>3752</v>
      </c>
      <c r="E2094" s="146" t="s">
        <v>86</v>
      </c>
      <c r="F2094" s="146"/>
      <c r="G2094" s="146" t="s">
        <v>24</v>
      </c>
      <c r="H2094" s="146"/>
      <c r="I2094" s="146"/>
      <c r="J2094" s="146"/>
      <c r="K2094" s="146" t="s">
        <v>1061</v>
      </c>
      <c r="L2094" s="146"/>
      <c r="M2094" s="146"/>
      <c r="N2094" s="146"/>
      <c r="O2094" s="754">
        <v>1508</v>
      </c>
      <c r="P2094" s="754"/>
      <c r="Q2094" s="754"/>
      <c r="R2094" s="754">
        <v>1508</v>
      </c>
      <c r="S2094" s="146" t="s">
        <v>610</v>
      </c>
      <c r="T2094" s="146"/>
      <c r="U2094" s="119"/>
      <c r="V2094" s="146"/>
      <c r="W2094" s="146"/>
      <c r="X2094" s="117"/>
      <c r="Y2094" s="760"/>
      <c r="Z2094" s="146"/>
      <c r="AA2094" s="146"/>
      <c r="AB2094" s="146"/>
      <c r="AC2094" s="146"/>
      <c r="AD2094" s="146"/>
      <c r="AE2094" s="756"/>
      <c r="AF2094" s="756"/>
      <c r="AG2094" s="756"/>
      <c r="AH2094" s="758"/>
      <c r="AI2094" s="146"/>
      <c r="AJ2094" s="759"/>
      <c r="AK2094" s="146"/>
      <c r="AL2094" s="146"/>
      <c r="AM2094" s="760"/>
      <c r="AN2094" s="146"/>
      <c r="AO2094" s="146"/>
      <c r="AP2094" s="146"/>
      <c r="AQ2094" s="146"/>
      <c r="AR2094" s="146"/>
      <c r="AS2094" s="146"/>
      <c r="AT2094" s="146"/>
      <c r="AU2094" s="146"/>
      <c r="AV2094" s="782"/>
      <c r="AW2094" s="117">
        <f>VLOOKUP($D2094,'WB Data'!$C$3:$M$578,2,FALSE)</f>
        <v>24939543374.136166</v>
      </c>
      <c r="AX2094" s="117">
        <f>VLOOKUP($D2094,'WB Data'!$C$3:$M$578,3,FALSE)</f>
        <v>14075099</v>
      </c>
      <c r="AY2094" s="847">
        <f t="shared" si="361"/>
        <v>6.1654166957788532E-2</v>
      </c>
      <c r="AZ2094" s="117" t="e">
        <f>VLOOKUP($D2094,'WB Data'!$C$3:$M$578,4,FALSE)/100</f>
        <v>#VALUE!</v>
      </c>
      <c r="BA2094" s="117" t="str">
        <f t="shared" si="362"/>
        <v>..</v>
      </c>
      <c r="BB2094" s="129">
        <f>IFERROR(VLOOKUP($D2094,'EITI Revenues'!$C$2:$G$224,5,FALSE),"..")</f>
        <v>1537626771.04</v>
      </c>
      <c r="BC2094" s="846" t="str">
        <f t="shared" si="363"/>
        <v>..</v>
      </c>
      <c r="BD2094" s="129">
        <f>VLOOKUP($D2094,'WB Data 2'!$C$2:$K$545,6,FALSE)</f>
        <v>7001604558.3300638</v>
      </c>
      <c r="BE2094" s="129">
        <f>IFERROR(VLOOKUP($D2094,UNCTAD!$C$5:$V$529,4,FALSE),"..")</f>
        <v>9880941000</v>
      </c>
      <c r="BF2094" s="846">
        <f t="shared" si="364"/>
        <v>0.70859694014265073</v>
      </c>
      <c r="BG2094" s="117">
        <f>VLOOKUP($D2094,'WB Data'!$C$3:$M$578,5,FALSE)</f>
        <v>957720000</v>
      </c>
      <c r="BH2094" s="129">
        <f>IFERROR($BB2094/$BG2094,"..")</f>
        <v>1.6055076337969343</v>
      </c>
      <c r="BI2094" s="117" t="str">
        <f>IFERROR(VLOOKUP($D2094,'WB Data'!$C$3:$M$578,7,FALSE)/100,"..")</f>
        <v>..</v>
      </c>
      <c r="BJ2094" s="117" t="str">
        <f>IFERROR($BI2094*$AW2094,"..")</f>
        <v>..</v>
      </c>
      <c r="BK2094" s="846" t="str">
        <f>IFERROR($BB2094/$BJ2094,"..")</f>
        <v>..</v>
      </c>
      <c r="BL2094" s="117" t="str">
        <f>IFERROR(VLOOKUP($D2094,'WB Data'!$C$3:$M$578,7,FALSE)/100,"..")</f>
        <v>..</v>
      </c>
      <c r="BM2094" s="117" t="str">
        <f>IFERROR($AW2094*$BL2094,"..")</f>
        <v>..</v>
      </c>
      <c r="BN2094" s="846" t="str">
        <f>IFERROR($BB2094/$BM2094,"..")</f>
        <v>..</v>
      </c>
      <c r="BO2094" s="801">
        <f t="shared" si="360"/>
        <v>38</v>
      </c>
      <c r="BP2094" s="117" t="str">
        <f>VLOOKUP($D2094,'WB Data'!$C$3:$M$578,9,FALSE)</f>
        <v>..</v>
      </c>
      <c r="BQ2094" s="117">
        <f>VLOOKUP($D2094,'WB Data'!$C$3:$M$578,10,FALSE)</f>
        <v>57.022585365853665</v>
      </c>
      <c r="BR2094" s="117">
        <f>VLOOKUP($D2094,'WB Data'!$C$3:$M$578,11,FALSE)</f>
        <v>57.1</v>
      </c>
      <c r="BS2094" s="129">
        <f>IFERROR(VLOOKUP($D2094,'WB Data 2'!$C$2:$K$545,9,FALSE),"..")</f>
        <v>97.876090000000005</v>
      </c>
      <c r="BT2094" s="129">
        <f>_xlfn.IFNA(VLOOKUP($C2094,RGI!$A$2:$C$43,2,FALSE),"..")</f>
        <v>41.2</v>
      </c>
      <c r="BU2094" s="129">
        <f>_xlfn.IFNA(VLOOKUP($C2094,RGI!$A$2:$C$43,3,FALSE),"..")</f>
        <v>60.803011070373614</v>
      </c>
      <c r="BV2094" s="129">
        <f>VLOOKUP($D2094,WGI!$C$2:$O$478,7,FALSE)</f>
        <v>-0.15558153117561299</v>
      </c>
      <c r="BW2094" s="129">
        <f>VLOOKUP($D2094,WGI!$C$2:$O$478,4,FALSE)</f>
        <v>0.61397274031289295</v>
      </c>
      <c r="BX2094" s="129">
        <f>VLOOKUP($D2094,WGI!$C$2:$O$478,3,FALSE)</f>
        <v>-0.50167064815564</v>
      </c>
      <c r="BY2094" s="129">
        <f>VLOOKUP($D2094,WGI!$C$2:$O$478,5,FALSE)</f>
        <v>-0.42878042603682198</v>
      </c>
      <c r="BZ2094" s="129">
        <f>VLOOKUP($D2094,WGI!$C$2:$O$478,2,FALSE)</f>
        <v>-0.36075468296103302</v>
      </c>
    </row>
    <row r="2095" spans="1:80" ht="15" customHeight="1">
      <c r="A2095" s="289" t="s">
        <v>549</v>
      </c>
      <c r="B2095" s="146">
        <v>2012</v>
      </c>
      <c r="C2095" s="117" t="s">
        <v>541</v>
      </c>
      <c r="D2095" s="117" t="s">
        <v>3752</v>
      </c>
      <c r="E2095" s="146" t="s">
        <v>86</v>
      </c>
      <c r="F2095" s="146"/>
      <c r="G2095" s="146" t="s">
        <v>24</v>
      </c>
      <c r="H2095" s="146"/>
      <c r="I2095" s="146"/>
      <c r="J2095" s="146"/>
      <c r="K2095" s="146" t="s">
        <v>784</v>
      </c>
      <c r="L2095" s="146"/>
      <c r="M2095" s="146"/>
      <c r="N2095" s="146"/>
      <c r="O2095" s="754">
        <v>136056</v>
      </c>
      <c r="P2095" s="754"/>
      <c r="Q2095" s="754"/>
      <c r="R2095" s="754">
        <v>136056</v>
      </c>
      <c r="S2095" s="146" t="s">
        <v>2448</v>
      </c>
      <c r="T2095" s="146"/>
      <c r="U2095" s="119"/>
      <c r="V2095" s="146"/>
      <c r="W2095" s="146"/>
      <c r="X2095" s="146"/>
      <c r="Y2095" s="760"/>
      <c r="Z2095" s="146"/>
      <c r="AA2095" s="146"/>
      <c r="AB2095" s="146"/>
      <c r="AC2095" s="146"/>
      <c r="AD2095" s="146"/>
      <c r="AE2095" s="756"/>
      <c r="AF2095" s="756"/>
      <c r="AG2095" s="756"/>
      <c r="AH2095" s="758"/>
      <c r="AI2095" s="146"/>
      <c r="AJ2095" s="759"/>
      <c r="AK2095" s="146"/>
      <c r="AL2095" s="146"/>
      <c r="AM2095" s="760"/>
      <c r="AN2095" s="146"/>
      <c r="AO2095" s="146"/>
      <c r="AP2095" s="146"/>
      <c r="AQ2095" s="146"/>
      <c r="AR2095" s="146"/>
      <c r="AS2095" s="146"/>
      <c r="AT2095" s="146"/>
      <c r="AU2095" s="146"/>
      <c r="AV2095" s="782"/>
      <c r="AW2095" s="117">
        <f>VLOOKUP($D2095,'WB Data'!$C$3:$M$578,2,FALSE)</f>
        <v>24939543374.136166</v>
      </c>
      <c r="AX2095" s="117">
        <f>VLOOKUP($D2095,'WB Data'!$C$3:$M$578,3,FALSE)</f>
        <v>14075099</v>
      </c>
      <c r="AY2095" s="847">
        <f t="shared" si="361"/>
        <v>6.1654166957788532E-2</v>
      </c>
      <c r="AZ2095" s="117" t="e">
        <f>VLOOKUP($D2095,'WB Data'!$C$3:$M$578,4,FALSE)/100</f>
        <v>#VALUE!</v>
      </c>
      <c r="BA2095" s="117" t="str">
        <f t="shared" si="362"/>
        <v>..</v>
      </c>
      <c r="BB2095" s="129">
        <f>IFERROR(VLOOKUP($D2095,'EITI Revenues'!$C$2:$G$224,5,FALSE),"..")</f>
        <v>1537626771.04</v>
      </c>
      <c r="BC2095" s="846" t="str">
        <f t="shared" si="363"/>
        <v>..</v>
      </c>
      <c r="BD2095" s="129">
        <f>VLOOKUP($D2095,'WB Data 2'!$C$2:$K$545,6,FALSE)</f>
        <v>7001604558.3300638</v>
      </c>
      <c r="BE2095" s="129">
        <f>IFERROR(VLOOKUP($D2095,UNCTAD!$C$5:$V$529,4,FALSE),"..")</f>
        <v>9880941000</v>
      </c>
      <c r="BF2095" s="846">
        <f t="shared" si="364"/>
        <v>0.70859694014265073</v>
      </c>
      <c r="BG2095" s="117">
        <f>VLOOKUP($D2095,'WB Data'!$C$3:$M$578,5,FALSE)</f>
        <v>957720000</v>
      </c>
      <c r="BH2095" s="129">
        <f>IFERROR($BB2095/$BG2095,"..")</f>
        <v>1.6055076337969343</v>
      </c>
      <c r="BI2095" s="117" t="str">
        <f>IFERROR(VLOOKUP($D2095,'WB Data'!$C$3:$M$578,7,FALSE)/100,"..")</f>
        <v>..</v>
      </c>
      <c r="BJ2095" s="117" t="str">
        <f>IFERROR($BI2095*$AW2095,"..")</f>
        <v>..</v>
      </c>
      <c r="BK2095" s="846" t="str">
        <f>IFERROR($BB2095/$BJ2095,"..")</f>
        <v>..</v>
      </c>
      <c r="BL2095" s="117" t="str">
        <f>IFERROR(VLOOKUP($D2095,'WB Data'!$C$3:$M$578,7,FALSE)/100,"..")</f>
        <v>..</v>
      </c>
      <c r="BM2095" s="117" t="str">
        <f>IFERROR($AW2095*$BL2095,"..")</f>
        <v>..</v>
      </c>
      <c r="BN2095" s="846" t="str">
        <f>IFERROR($BB2095/$BM2095,"..")</f>
        <v>..</v>
      </c>
      <c r="BO2095" s="801">
        <f t="shared" si="360"/>
        <v>38</v>
      </c>
      <c r="BP2095" s="117" t="str">
        <f>VLOOKUP($D2095,'WB Data'!$C$3:$M$578,9,FALSE)</f>
        <v>..</v>
      </c>
      <c r="BQ2095" s="117">
        <f>VLOOKUP($D2095,'WB Data'!$C$3:$M$578,10,FALSE)</f>
        <v>57.022585365853665</v>
      </c>
      <c r="BR2095" s="117">
        <f>VLOOKUP($D2095,'WB Data'!$C$3:$M$578,11,FALSE)</f>
        <v>57.1</v>
      </c>
      <c r="BS2095" s="129">
        <f>IFERROR(VLOOKUP($D2095,'WB Data 2'!$C$2:$K$545,9,FALSE),"..")</f>
        <v>97.876090000000005</v>
      </c>
      <c r="BT2095" s="129">
        <f>_xlfn.IFNA(VLOOKUP($C2095,RGI!$A$2:$C$43,2,FALSE),"..")</f>
        <v>41.2</v>
      </c>
      <c r="BU2095" s="129">
        <f>_xlfn.IFNA(VLOOKUP($C2095,RGI!$A$2:$C$43,3,FALSE),"..")</f>
        <v>60.803011070373614</v>
      </c>
      <c r="BV2095" s="129">
        <f>VLOOKUP($D2095,WGI!$C$2:$O$478,7,FALSE)</f>
        <v>-0.15558153117561299</v>
      </c>
      <c r="BW2095" s="129">
        <f>VLOOKUP($D2095,WGI!$C$2:$O$478,4,FALSE)</f>
        <v>0.61397274031289295</v>
      </c>
      <c r="BX2095" s="129">
        <f>VLOOKUP($D2095,WGI!$C$2:$O$478,3,FALSE)</f>
        <v>-0.50167064815564</v>
      </c>
      <c r="BY2095" s="129">
        <f>VLOOKUP($D2095,WGI!$C$2:$O$478,5,FALSE)</f>
        <v>-0.42878042603682198</v>
      </c>
      <c r="BZ2095" s="129">
        <f>VLOOKUP($D2095,WGI!$C$2:$O$478,2,FALSE)</f>
        <v>-0.36075468296103302</v>
      </c>
    </row>
    <row r="2096" spans="1:80" ht="15" customHeight="1">
      <c r="A2096" s="289" t="s">
        <v>549</v>
      </c>
      <c r="B2096" s="146">
        <v>2012</v>
      </c>
      <c r="C2096" s="117" t="s">
        <v>541</v>
      </c>
      <c r="D2096" s="117" t="s">
        <v>3752</v>
      </c>
      <c r="E2096" s="146" t="s">
        <v>86</v>
      </c>
      <c r="F2096" s="146"/>
      <c r="G2096" s="146" t="s">
        <v>24</v>
      </c>
      <c r="H2096" s="146"/>
      <c r="I2096" s="146"/>
      <c r="J2096" s="146"/>
      <c r="K2096" s="146" t="s">
        <v>2449</v>
      </c>
      <c r="L2096" s="146"/>
      <c r="M2096" s="146"/>
      <c r="N2096" s="146"/>
      <c r="O2096" s="754">
        <v>16304</v>
      </c>
      <c r="P2096" s="754"/>
      <c r="Q2096" s="754"/>
      <c r="R2096" s="754">
        <v>16304</v>
      </c>
      <c r="S2096" s="146" t="s">
        <v>610</v>
      </c>
      <c r="T2096" s="146"/>
      <c r="U2096" s="119"/>
      <c r="V2096" s="146"/>
      <c r="W2096" s="146"/>
      <c r="X2096" s="146"/>
      <c r="Y2096" s="760"/>
      <c r="Z2096" s="146"/>
      <c r="AA2096" s="146"/>
      <c r="AB2096" s="146"/>
      <c r="AC2096" s="146"/>
      <c r="AD2096" s="146"/>
      <c r="AE2096" s="756"/>
      <c r="AF2096" s="756"/>
      <c r="AG2096" s="756"/>
      <c r="AH2096" s="758"/>
      <c r="AI2096" s="146"/>
      <c r="AJ2096" s="759"/>
      <c r="AK2096" s="146"/>
      <c r="AL2096" s="146"/>
      <c r="AM2096" s="760"/>
      <c r="AN2096" s="146"/>
      <c r="AO2096" s="146"/>
      <c r="AP2096" s="146"/>
      <c r="AQ2096" s="146"/>
      <c r="AR2096" s="146"/>
      <c r="AS2096" s="146"/>
      <c r="AT2096" s="146"/>
      <c r="AU2096" s="146"/>
      <c r="AV2096" s="782"/>
      <c r="AW2096" s="117">
        <f>VLOOKUP($D2096,'WB Data'!$C$3:$M$578,2,FALSE)</f>
        <v>24939543374.136166</v>
      </c>
      <c r="AX2096" s="117">
        <f>VLOOKUP($D2096,'WB Data'!$C$3:$M$578,3,FALSE)</f>
        <v>14075099</v>
      </c>
      <c r="AY2096" s="847">
        <f t="shared" si="361"/>
        <v>6.1654166957788532E-2</v>
      </c>
      <c r="AZ2096" s="117" t="e">
        <f>VLOOKUP($D2096,'WB Data'!$C$3:$M$578,4,FALSE)/100</f>
        <v>#VALUE!</v>
      </c>
      <c r="BA2096" s="117" t="str">
        <f t="shared" si="362"/>
        <v>..</v>
      </c>
      <c r="BB2096" s="129">
        <f>IFERROR(VLOOKUP($D2096,'EITI Revenues'!$C$2:$G$224,5,FALSE),"..")</f>
        <v>1537626771.04</v>
      </c>
      <c r="BC2096" s="846" t="str">
        <f t="shared" si="363"/>
        <v>..</v>
      </c>
      <c r="BD2096" s="129">
        <f>VLOOKUP($D2096,'WB Data 2'!$C$2:$K$545,6,FALSE)</f>
        <v>7001604558.3300638</v>
      </c>
      <c r="BE2096" s="129">
        <f>IFERROR(VLOOKUP($D2096,UNCTAD!$C$5:$V$529,4,FALSE),"..")</f>
        <v>9880941000</v>
      </c>
      <c r="BF2096" s="846">
        <f t="shared" si="364"/>
        <v>0.70859694014265073</v>
      </c>
      <c r="BG2096" s="117">
        <f>VLOOKUP($D2096,'WB Data'!$C$3:$M$578,5,FALSE)</f>
        <v>957720000</v>
      </c>
      <c r="BH2096" s="129">
        <f>IFERROR($BB2096/$BG2096,"..")</f>
        <v>1.6055076337969343</v>
      </c>
      <c r="BI2096" s="117" t="str">
        <f>IFERROR(VLOOKUP($D2096,'WB Data'!$C$3:$M$578,7,FALSE)/100,"..")</f>
        <v>..</v>
      </c>
      <c r="BJ2096" s="117" t="str">
        <f>IFERROR($BI2096*$AW2096,"..")</f>
        <v>..</v>
      </c>
      <c r="BK2096" s="846" t="str">
        <f>IFERROR($BB2096/$BJ2096,"..")</f>
        <v>..</v>
      </c>
      <c r="BL2096" s="117" t="str">
        <f>IFERROR(VLOOKUP($D2096,'WB Data'!$C$3:$M$578,7,FALSE)/100,"..")</f>
        <v>..</v>
      </c>
      <c r="BM2096" s="117" t="str">
        <f>IFERROR($AW2096*$BL2096,"..")</f>
        <v>..</v>
      </c>
      <c r="BN2096" s="846" t="str">
        <f>IFERROR($BB2096/$BM2096,"..")</f>
        <v>..</v>
      </c>
      <c r="BO2096" s="801">
        <f t="shared" si="360"/>
        <v>38</v>
      </c>
      <c r="BP2096" s="117" t="str">
        <f>VLOOKUP($D2096,'WB Data'!$C$3:$M$578,9,FALSE)</f>
        <v>..</v>
      </c>
      <c r="BQ2096" s="117">
        <f>VLOOKUP($D2096,'WB Data'!$C$3:$M$578,10,FALSE)</f>
        <v>57.022585365853665</v>
      </c>
      <c r="BR2096" s="117">
        <f>VLOOKUP($D2096,'WB Data'!$C$3:$M$578,11,FALSE)</f>
        <v>57.1</v>
      </c>
      <c r="BS2096" s="129">
        <f>IFERROR(VLOOKUP($D2096,'WB Data 2'!$C$2:$K$545,9,FALSE),"..")</f>
        <v>97.876090000000005</v>
      </c>
      <c r="BT2096" s="129">
        <f>_xlfn.IFNA(VLOOKUP($C2096,RGI!$A$2:$C$43,2,FALSE),"..")</f>
        <v>41.2</v>
      </c>
      <c r="BU2096" s="129">
        <f>_xlfn.IFNA(VLOOKUP($C2096,RGI!$A$2:$C$43,3,FALSE),"..")</f>
        <v>60.803011070373614</v>
      </c>
      <c r="BV2096" s="129">
        <f>VLOOKUP($D2096,WGI!$C$2:$O$478,7,FALSE)</f>
        <v>-0.15558153117561299</v>
      </c>
      <c r="BW2096" s="129">
        <f>VLOOKUP($D2096,WGI!$C$2:$O$478,4,FALSE)</f>
        <v>0.61397274031289295</v>
      </c>
      <c r="BX2096" s="129">
        <f>VLOOKUP($D2096,WGI!$C$2:$O$478,3,FALSE)</f>
        <v>-0.50167064815564</v>
      </c>
      <c r="BY2096" s="129">
        <f>VLOOKUP($D2096,WGI!$C$2:$O$478,5,FALSE)</f>
        <v>-0.42878042603682198</v>
      </c>
      <c r="BZ2096" s="129">
        <f>VLOOKUP($D2096,WGI!$C$2:$O$478,2,FALSE)</f>
        <v>-0.36075468296103302</v>
      </c>
    </row>
    <row r="2097" spans="1:80" ht="15" customHeight="1">
      <c r="A2097" s="289" t="s">
        <v>549</v>
      </c>
      <c r="B2097" s="146">
        <v>2012</v>
      </c>
      <c r="C2097" s="117" t="s">
        <v>541</v>
      </c>
      <c r="D2097" s="117" t="s">
        <v>3752</v>
      </c>
      <c r="E2097" s="146" t="s">
        <v>86</v>
      </c>
      <c r="F2097" s="146"/>
      <c r="G2097" s="146" t="s">
        <v>24</v>
      </c>
      <c r="H2097" s="146"/>
      <c r="I2097" s="146"/>
      <c r="J2097" s="146"/>
      <c r="K2097" s="146" t="s">
        <v>703</v>
      </c>
      <c r="L2097" s="146"/>
      <c r="M2097" s="146"/>
      <c r="N2097" s="146"/>
      <c r="O2097" s="754">
        <v>980373</v>
      </c>
      <c r="P2097" s="754"/>
      <c r="Q2097" s="754"/>
      <c r="R2097" s="754">
        <v>980373</v>
      </c>
      <c r="S2097" s="146" t="s">
        <v>610</v>
      </c>
      <c r="T2097" s="146"/>
      <c r="U2097" s="119"/>
      <c r="V2097" s="146"/>
      <c r="W2097" s="146"/>
      <c r="X2097" s="146"/>
      <c r="Y2097" s="760"/>
      <c r="Z2097" s="146"/>
      <c r="AA2097" s="146"/>
      <c r="AB2097" s="146"/>
      <c r="AC2097" s="146"/>
      <c r="AD2097" s="146"/>
      <c r="AE2097" s="756"/>
      <c r="AF2097" s="756"/>
      <c r="AG2097" s="756"/>
      <c r="AH2097" s="758"/>
      <c r="AI2097" s="146"/>
      <c r="AJ2097" s="759"/>
      <c r="AK2097" s="146"/>
      <c r="AL2097" s="146"/>
      <c r="AM2097" s="760"/>
      <c r="AN2097" s="146"/>
      <c r="AO2097" s="146"/>
      <c r="AP2097" s="146"/>
      <c r="AQ2097" s="146"/>
      <c r="AR2097" s="146"/>
      <c r="AS2097" s="146"/>
      <c r="AT2097" s="146"/>
      <c r="AU2097" s="146"/>
      <c r="AV2097" s="782"/>
      <c r="AW2097" s="117">
        <f>VLOOKUP($D2097,'WB Data'!$C$3:$M$578,2,FALSE)</f>
        <v>24939543374.136166</v>
      </c>
      <c r="AX2097" s="117">
        <f>VLOOKUP($D2097,'WB Data'!$C$3:$M$578,3,FALSE)</f>
        <v>14075099</v>
      </c>
      <c r="AY2097" s="847">
        <f t="shared" si="361"/>
        <v>6.1654166957788532E-2</v>
      </c>
      <c r="AZ2097" s="117" t="e">
        <f>VLOOKUP($D2097,'WB Data'!$C$3:$M$578,4,FALSE)/100</f>
        <v>#VALUE!</v>
      </c>
      <c r="BA2097" s="117" t="str">
        <f t="shared" si="362"/>
        <v>..</v>
      </c>
      <c r="BB2097" s="129">
        <f>IFERROR(VLOOKUP($D2097,'EITI Revenues'!$C$2:$G$224,5,FALSE),"..")</f>
        <v>1537626771.04</v>
      </c>
      <c r="BC2097" s="846" t="str">
        <f t="shared" si="363"/>
        <v>..</v>
      </c>
      <c r="BD2097" s="129">
        <f>VLOOKUP($D2097,'WB Data 2'!$C$2:$K$545,6,FALSE)</f>
        <v>7001604558.3300638</v>
      </c>
      <c r="BE2097" s="129">
        <f>IFERROR(VLOOKUP($D2097,UNCTAD!$C$5:$V$529,4,FALSE),"..")</f>
        <v>9880941000</v>
      </c>
      <c r="BF2097" s="846">
        <f t="shared" si="364"/>
        <v>0.70859694014265073</v>
      </c>
      <c r="BG2097" s="117">
        <f>VLOOKUP($D2097,'WB Data'!$C$3:$M$578,5,FALSE)</f>
        <v>957720000</v>
      </c>
      <c r="BH2097" s="129">
        <f>IFERROR($BB2097/$BG2097,"..")</f>
        <v>1.6055076337969343</v>
      </c>
      <c r="BI2097" s="117" t="str">
        <f>IFERROR(VLOOKUP($D2097,'WB Data'!$C$3:$M$578,7,FALSE)/100,"..")</f>
        <v>..</v>
      </c>
      <c r="BJ2097" s="117" t="str">
        <f>IFERROR($BI2097*$AW2097,"..")</f>
        <v>..</v>
      </c>
      <c r="BK2097" s="846" t="str">
        <f>IFERROR($BB2097/$BJ2097,"..")</f>
        <v>..</v>
      </c>
      <c r="BL2097" s="117" t="str">
        <f>IFERROR(VLOOKUP($D2097,'WB Data'!$C$3:$M$578,7,FALSE)/100,"..")</f>
        <v>..</v>
      </c>
      <c r="BM2097" s="117" t="str">
        <f>IFERROR($AW2097*$BL2097,"..")</f>
        <v>..</v>
      </c>
      <c r="BN2097" s="846" t="str">
        <f>IFERROR($BB2097/$BM2097,"..")</f>
        <v>..</v>
      </c>
      <c r="BO2097" s="801">
        <f t="shared" si="360"/>
        <v>38</v>
      </c>
      <c r="BP2097" s="117" t="str">
        <f>VLOOKUP($D2097,'WB Data'!$C$3:$M$578,9,FALSE)</f>
        <v>..</v>
      </c>
      <c r="BQ2097" s="117">
        <f>VLOOKUP($D2097,'WB Data'!$C$3:$M$578,10,FALSE)</f>
        <v>57.022585365853665</v>
      </c>
      <c r="BR2097" s="117">
        <f>VLOOKUP($D2097,'WB Data'!$C$3:$M$578,11,FALSE)</f>
        <v>57.1</v>
      </c>
      <c r="BS2097" s="129">
        <f>IFERROR(VLOOKUP($D2097,'WB Data 2'!$C$2:$K$545,9,FALSE),"..")</f>
        <v>97.876090000000005</v>
      </c>
      <c r="BT2097" s="129">
        <f>_xlfn.IFNA(VLOOKUP($C2097,RGI!$A$2:$C$43,2,FALSE),"..")</f>
        <v>41.2</v>
      </c>
      <c r="BU2097" s="129">
        <f>_xlfn.IFNA(VLOOKUP($C2097,RGI!$A$2:$C$43,3,FALSE),"..")</f>
        <v>60.803011070373614</v>
      </c>
      <c r="BV2097" s="129">
        <f>VLOOKUP($D2097,WGI!$C$2:$O$478,7,FALSE)</f>
        <v>-0.15558153117561299</v>
      </c>
      <c r="BW2097" s="129">
        <f>VLOOKUP($D2097,WGI!$C$2:$O$478,4,FALSE)</f>
        <v>0.61397274031289295</v>
      </c>
      <c r="BX2097" s="129">
        <f>VLOOKUP($D2097,WGI!$C$2:$O$478,3,FALSE)</f>
        <v>-0.50167064815564</v>
      </c>
      <c r="BY2097" s="129">
        <f>VLOOKUP($D2097,WGI!$C$2:$O$478,5,FALSE)</f>
        <v>-0.42878042603682198</v>
      </c>
      <c r="BZ2097" s="129">
        <f>VLOOKUP($D2097,WGI!$C$2:$O$478,2,FALSE)</f>
        <v>-0.36075468296103302</v>
      </c>
    </row>
    <row r="2098" spans="1:80" ht="15" customHeight="1">
      <c r="A2098" s="289" t="s">
        <v>549</v>
      </c>
      <c r="B2098" s="146">
        <v>2012</v>
      </c>
      <c r="C2098" s="117" t="s">
        <v>541</v>
      </c>
      <c r="D2098" s="117" t="s">
        <v>3752</v>
      </c>
      <c r="E2098" s="146" t="s">
        <v>86</v>
      </c>
      <c r="F2098" s="146"/>
      <c r="G2098" s="146" t="s">
        <v>24</v>
      </c>
      <c r="H2098" s="146"/>
      <c r="I2098" s="146"/>
      <c r="J2098" s="146"/>
      <c r="K2098" s="146" t="s">
        <v>2450</v>
      </c>
      <c r="L2098" s="146"/>
      <c r="M2098" s="146"/>
      <c r="N2098" s="146"/>
      <c r="O2098" s="754">
        <v>45496</v>
      </c>
      <c r="P2098" s="754"/>
      <c r="Q2098" s="754"/>
      <c r="R2098" s="754">
        <v>45496</v>
      </c>
      <c r="S2098" s="146" t="s">
        <v>610</v>
      </c>
      <c r="T2098" s="146"/>
      <c r="U2098" s="119"/>
      <c r="V2098" s="146"/>
      <c r="W2098" s="146"/>
      <c r="X2098" s="146"/>
      <c r="Y2098" s="760"/>
      <c r="Z2098" s="146"/>
      <c r="AA2098" s="146"/>
      <c r="AB2098" s="146"/>
      <c r="AC2098" s="146"/>
      <c r="AD2098" s="146"/>
      <c r="AE2098" s="756"/>
      <c r="AF2098" s="756"/>
      <c r="AG2098" s="756"/>
      <c r="AH2098" s="758"/>
      <c r="AI2098" s="146"/>
      <c r="AJ2098" s="759"/>
      <c r="AK2098" s="146"/>
      <c r="AL2098" s="146"/>
      <c r="AM2098" s="760"/>
      <c r="AN2098" s="146"/>
      <c r="AO2098" s="146"/>
      <c r="AP2098" s="146"/>
      <c r="AQ2098" s="146"/>
      <c r="AR2098" s="146"/>
      <c r="AS2098" s="146"/>
      <c r="AT2098" s="146"/>
      <c r="AU2098" s="146"/>
      <c r="AV2098" s="782"/>
      <c r="AW2098" s="117">
        <f>VLOOKUP($D2098,'WB Data'!$C$3:$M$578,2,FALSE)</f>
        <v>24939543374.136166</v>
      </c>
      <c r="AX2098" s="117">
        <f>VLOOKUP($D2098,'WB Data'!$C$3:$M$578,3,FALSE)</f>
        <v>14075099</v>
      </c>
      <c r="AY2098" s="847">
        <f t="shared" si="361"/>
        <v>6.1654166957788532E-2</v>
      </c>
      <c r="AZ2098" s="117" t="e">
        <f>VLOOKUP($D2098,'WB Data'!$C$3:$M$578,4,FALSE)/100</f>
        <v>#VALUE!</v>
      </c>
      <c r="BA2098" s="117" t="str">
        <f t="shared" si="362"/>
        <v>..</v>
      </c>
      <c r="BB2098" s="129">
        <f>IFERROR(VLOOKUP($D2098,'EITI Revenues'!$C$2:$G$224,5,FALSE),"..")</f>
        <v>1537626771.04</v>
      </c>
      <c r="BC2098" s="846" t="str">
        <f t="shared" si="363"/>
        <v>..</v>
      </c>
      <c r="BD2098" s="129">
        <f>VLOOKUP($D2098,'WB Data 2'!$C$2:$K$545,6,FALSE)</f>
        <v>7001604558.3300638</v>
      </c>
      <c r="BE2098" s="129">
        <f>IFERROR(VLOOKUP($D2098,UNCTAD!$C$5:$V$529,4,FALSE),"..")</f>
        <v>9880941000</v>
      </c>
      <c r="BF2098" s="846">
        <f t="shared" si="364"/>
        <v>0.70859694014265073</v>
      </c>
      <c r="BG2098" s="117">
        <f>VLOOKUP($D2098,'WB Data'!$C$3:$M$578,5,FALSE)</f>
        <v>957720000</v>
      </c>
      <c r="BH2098" s="129">
        <f>IFERROR($BB2098/$BG2098,"..")</f>
        <v>1.6055076337969343</v>
      </c>
      <c r="BI2098" s="117" t="str">
        <f>IFERROR(VLOOKUP($D2098,'WB Data'!$C$3:$M$578,7,FALSE)/100,"..")</f>
        <v>..</v>
      </c>
      <c r="BJ2098" s="117" t="str">
        <f>IFERROR($BI2098*$AW2098,"..")</f>
        <v>..</v>
      </c>
      <c r="BK2098" s="846" t="str">
        <f>IFERROR($BB2098/$BJ2098,"..")</f>
        <v>..</v>
      </c>
      <c r="BL2098" s="117" t="str">
        <f>IFERROR(VLOOKUP($D2098,'WB Data'!$C$3:$M$578,7,FALSE)/100,"..")</f>
        <v>..</v>
      </c>
      <c r="BM2098" s="117" t="str">
        <f>IFERROR($AW2098*$BL2098,"..")</f>
        <v>..</v>
      </c>
      <c r="BN2098" s="846" t="str">
        <f>IFERROR($BB2098/$BM2098,"..")</f>
        <v>..</v>
      </c>
      <c r="BO2098" s="801">
        <f t="shared" si="360"/>
        <v>38</v>
      </c>
      <c r="BP2098" s="117" t="str">
        <f>VLOOKUP($D2098,'WB Data'!$C$3:$M$578,9,FALSE)</f>
        <v>..</v>
      </c>
      <c r="BQ2098" s="117">
        <f>VLOOKUP($D2098,'WB Data'!$C$3:$M$578,10,FALSE)</f>
        <v>57.022585365853665</v>
      </c>
      <c r="BR2098" s="117">
        <f>VLOOKUP($D2098,'WB Data'!$C$3:$M$578,11,FALSE)</f>
        <v>57.1</v>
      </c>
      <c r="BS2098" s="129">
        <f>IFERROR(VLOOKUP($D2098,'WB Data 2'!$C$2:$K$545,9,FALSE),"..")</f>
        <v>97.876090000000005</v>
      </c>
      <c r="BT2098" s="129">
        <f>_xlfn.IFNA(VLOOKUP($C2098,RGI!$A$2:$C$43,2,FALSE),"..")</f>
        <v>41.2</v>
      </c>
      <c r="BU2098" s="129">
        <f>_xlfn.IFNA(VLOOKUP($C2098,RGI!$A$2:$C$43,3,FALSE),"..")</f>
        <v>60.803011070373614</v>
      </c>
      <c r="BV2098" s="129">
        <f>VLOOKUP($D2098,WGI!$C$2:$O$478,7,FALSE)</f>
        <v>-0.15558153117561299</v>
      </c>
      <c r="BW2098" s="129">
        <f>VLOOKUP($D2098,WGI!$C$2:$O$478,4,FALSE)</f>
        <v>0.61397274031289295</v>
      </c>
      <c r="BX2098" s="129">
        <f>VLOOKUP($D2098,WGI!$C$2:$O$478,3,FALSE)</f>
        <v>-0.50167064815564</v>
      </c>
      <c r="BY2098" s="129">
        <f>VLOOKUP($D2098,WGI!$C$2:$O$478,5,FALSE)</f>
        <v>-0.42878042603682198</v>
      </c>
      <c r="BZ2098" s="129">
        <f>VLOOKUP($D2098,WGI!$C$2:$O$478,2,FALSE)</f>
        <v>-0.36075468296103302</v>
      </c>
    </row>
    <row r="2099" spans="1:80" ht="15" customHeight="1">
      <c r="A2099" s="289" t="s">
        <v>549</v>
      </c>
      <c r="B2099" s="146">
        <v>2012</v>
      </c>
      <c r="C2099" s="117" t="s">
        <v>541</v>
      </c>
      <c r="D2099" s="117" t="s">
        <v>3752</v>
      </c>
      <c r="E2099" s="146" t="s">
        <v>86</v>
      </c>
      <c r="F2099" s="146"/>
      <c r="G2099" s="146" t="s">
        <v>24</v>
      </c>
      <c r="H2099" s="146"/>
      <c r="I2099" s="146"/>
      <c r="J2099" s="146"/>
      <c r="K2099" s="146" t="s">
        <v>2451</v>
      </c>
      <c r="L2099" s="146"/>
      <c r="M2099" s="146"/>
      <c r="N2099" s="146"/>
      <c r="O2099" s="754">
        <v>87354</v>
      </c>
      <c r="P2099" s="754"/>
      <c r="Q2099" s="754"/>
      <c r="R2099" s="754">
        <v>87354</v>
      </c>
      <c r="S2099" s="146" t="s">
        <v>610</v>
      </c>
      <c r="T2099" s="146"/>
      <c r="U2099" s="119"/>
      <c r="V2099" s="146"/>
      <c r="W2099" s="146"/>
      <c r="X2099" s="146"/>
      <c r="Y2099" s="760"/>
      <c r="Z2099" s="146"/>
      <c r="AA2099" s="146"/>
      <c r="AB2099" s="146"/>
      <c r="AC2099" s="146"/>
      <c r="AD2099" s="146"/>
      <c r="AE2099" s="756"/>
      <c r="AF2099" s="756"/>
      <c r="AG2099" s="756"/>
      <c r="AH2099" s="758"/>
      <c r="AI2099" s="146"/>
      <c r="AJ2099" s="759"/>
      <c r="AK2099" s="146"/>
      <c r="AL2099" s="146"/>
      <c r="AM2099" s="760"/>
      <c r="AN2099" s="146"/>
      <c r="AO2099" s="146"/>
      <c r="AP2099" s="146"/>
      <c r="AQ2099" s="146"/>
      <c r="AR2099" s="146"/>
      <c r="AS2099" s="146"/>
      <c r="AT2099" s="146"/>
      <c r="AU2099" s="146"/>
      <c r="AV2099" s="782"/>
      <c r="AW2099" s="117">
        <f>VLOOKUP($D2099,'WB Data'!$C$3:$M$578,2,FALSE)</f>
        <v>24939543374.136166</v>
      </c>
      <c r="AX2099" s="117">
        <f>VLOOKUP($D2099,'WB Data'!$C$3:$M$578,3,FALSE)</f>
        <v>14075099</v>
      </c>
      <c r="AY2099" s="847">
        <f t="shared" si="361"/>
        <v>6.1654166957788532E-2</v>
      </c>
      <c r="AZ2099" s="117" t="e">
        <f>VLOOKUP($D2099,'WB Data'!$C$3:$M$578,4,FALSE)/100</f>
        <v>#VALUE!</v>
      </c>
      <c r="BA2099" s="117" t="str">
        <f t="shared" si="362"/>
        <v>..</v>
      </c>
      <c r="BB2099" s="129">
        <f>IFERROR(VLOOKUP($D2099,'EITI Revenues'!$C$2:$G$224,5,FALSE),"..")</f>
        <v>1537626771.04</v>
      </c>
      <c r="BC2099" s="846" t="str">
        <f t="shared" si="363"/>
        <v>..</v>
      </c>
      <c r="BD2099" s="129">
        <f>VLOOKUP($D2099,'WB Data 2'!$C$2:$K$545,6,FALSE)</f>
        <v>7001604558.3300638</v>
      </c>
      <c r="BE2099" s="129">
        <f>IFERROR(VLOOKUP($D2099,UNCTAD!$C$5:$V$529,4,FALSE),"..")</f>
        <v>9880941000</v>
      </c>
      <c r="BF2099" s="846">
        <f t="shared" si="364"/>
        <v>0.70859694014265073</v>
      </c>
      <c r="BG2099" s="117">
        <f>VLOOKUP($D2099,'WB Data'!$C$3:$M$578,5,FALSE)</f>
        <v>957720000</v>
      </c>
      <c r="BH2099" s="129">
        <f>IFERROR($BB2099/$BG2099,"..")</f>
        <v>1.6055076337969343</v>
      </c>
      <c r="BI2099" s="117" t="str">
        <f>IFERROR(VLOOKUP($D2099,'WB Data'!$C$3:$M$578,7,FALSE)/100,"..")</f>
        <v>..</v>
      </c>
      <c r="BJ2099" s="117" t="str">
        <f>IFERROR($BI2099*$AW2099,"..")</f>
        <v>..</v>
      </c>
      <c r="BK2099" s="846" t="str">
        <f>IFERROR($BB2099/$BJ2099,"..")</f>
        <v>..</v>
      </c>
      <c r="BL2099" s="117" t="str">
        <f>IFERROR(VLOOKUP($D2099,'WB Data'!$C$3:$M$578,7,FALSE)/100,"..")</f>
        <v>..</v>
      </c>
      <c r="BM2099" s="117" t="str">
        <f>IFERROR($AW2099*$BL2099,"..")</f>
        <v>..</v>
      </c>
      <c r="BN2099" s="846" t="str">
        <f>IFERROR($BB2099/$BM2099,"..")</f>
        <v>..</v>
      </c>
      <c r="BO2099" s="801">
        <f t="shared" si="360"/>
        <v>38</v>
      </c>
      <c r="BP2099" s="117" t="str">
        <f>VLOOKUP($D2099,'WB Data'!$C$3:$M$578,9,FALSE)</f>
        <v>..</v>
      </c>
      <c r="BQ2099" s="117">
        <f>VLOOKUP($D2099,'WB Data'!$C$3:$M$578,10,FALSE)</f>
        <v>57.022585365853665</v>
      </c>
      <c r="BR2099" s="117">
        <f>VLOOKUP($D2099,'WB Data'!$C$3:$M$578,11,FALSE)</f>
        <v>57.1</v>
      </c>
      <c r="BS2099" s="129">
        <f>IFERROR(VLOOKUP($D2099,'WB Data 2'!$C$2:$K$545,9,FALSE),"..")</f>
        <v>97.876090000000005</v>
      </c>
      <c r="BT2099" s="129">
        <f>_xlfn.IFNA(VLOOKUP($C2099,RGI!$A$2:$C$43,2,FALSE),"..")</f>
        <v>41.2</v>
      </c>
      <c r="BU2099" s="129">
        <f>_xlfn.IFNA(VLOOKUP($C2099,RGI!$A$2:$C$43,3,FALSE),"..")</f>
        <v>60.803011070373614</v>
      </c>
      <c r="BV2099" s="129">
        <f>VLOOKUP($D2099,WGI!$C$2:$O$478,7,FALSE)</f>
        <v>-0.15558153117561299</v>
      </c>
      <c r="BW2099" s="129">
        <f>VLOOKUP($D2099,WGI!$C$2:$O$478,4,FALSE)</f>
        <v>0.61397274031289295</v>
      </c>
      <c r="BX2099" s="129">
        <f>VLOOKUP($D2099,WGI!$C$2:$O$478,3,FALSE)</f>
        <v>-0.50167064815564</v>
      </c>
      <c r="BY2099" s="129">
        <f>VLOOKUP($D2099,WGI!$C$2:$O$478,5,FALSE)</f>
        <v>-0.42878042603682198</v>
      </c>
      <c r="BZ2099" s="129">
        <f>VLOOKUP($D2099,WGI!$C$2:$O$478,2,FALSE)</f>
        <v>-0.36075468296103302</v>
      </c>
    </row>
    <row r="2100" spans="1:80" ht="15" customHeight="1">
      <c r="A2100" s="289" t="s">
        <v>549</v>
      </c>
      <c r="B2100" s="146">
        <v>2012</v>
      </c>
      <c r="C2100" s="117" t="s">
        <v>541</v>
      </c>
      <c r="D2100" s="117" t="s">
        <v>3752</v>
      </c>
      <c r="E2100" s="146" t="s">
        <v>86</v>
      </c>
      <c r="F2100" s="146"/>
      <c r="G2100" s="146" t="s">
        <v>24</v>
      </c>
      <c r="H2100" s="146"/>
      <c r="I2100" s="146"/>
      <c r="J2100" s="146"/>
      <c r="K2100" s="146" t="s">
        <v>2427</v>
      </c>
      <c r="L2100" s="146"/>
      <c r="M2100" s="146"/>
      <c r="N2100" s="146"/>
      <c r="O2100" s="754">
        <v>1474</v>
      </c>
      <c r="P2100" s="754"/>
      <c r="Q2100" s="754"/>
      <c r="R2100" s="754">
        <v>1474</v>
      </c>
      <c r="S2100" s="146" t="s">
        <v>967</v>
      </c>
      <c r="T2100" s="146"/>
      <c r="U2100" s="119"/>
      <c r="V2100" s="146"/>
      <c r="W2100" s="146"/>
      <c r="X2100" s="146"/>
      <c r="Y2100" s="760"/>
      <c r="Z2100" s="146"/>
      <c r="AA2100" s="146"/>
      <c r="AB2100" s="146"/>
      <c r="AC2100" s="146"/>
      <c r="AD2100" s="146"/>
      <c r="AE2100" s="756"/>
      <c r="AF2100" s="756"/>
      <c r="AG2100" s="756"/>
      <c r="AH2100" s="758"/>
      <c r="AI2100" s="146"/>
      <c r="AJ2100" s="759"/>
      <c r="AK2100" s="146"/>
      <c r="AL2100" s="146"/>
      <c r="AM2100" s="760"/>
      <c r="AN2100" s="146"/>
      <c r="AO2100" s="146"/>
      <c r="AP2100" s="146"/>
      <c r="AQ2100" s="146"/>
      <c r="AR2100" s="146"/>
      <c r="AS2100" s="146"/>
      <c r="AT2100" s="146"/>
      <c r="AU2100" s="146"/>
      <c r="AV2100" s="782"/>
      <c r="AW2100" s="117">
        <f>VLOOKUP($D2100,'WB Data'!$C$3:$M$578,2,FALSE)</f>
        <v>24939543374.136166</v>
      </c>
      <c r="AX2100" s="117">
        <f>VLOOKUP($D2100,'WB Data'!$C$3:$M$578,3,FALSE)</f>
        <v>14075099</v>
      </c>
      <c r="AY2100" s="847">
        <f t="shared" si="361"/>
        <v>6.1654166957788532E-2</v>
      </c>
      <c r="AZ2100" s="117" t="e">
        <f>VLOOKUP($D2100,'WB Data'!$C$3:$M$578,4,FALSE)/100</f>
        <v>#VALUE!</v>
      </c>
      <c r="BA2100" s="117" t="str">
        <f t="shared" si="362"/>
        <v>..</v>
      </c>
      <c r="BB2100" s="129">
        <f>IFERROR(VLOOKUP($D2100,'EITI Revenues'!$C$2:$G$224,5,FALSE),"..")</f>
        <v>1537626771.04</v>
      </c>
      <c r="BC2100" s="846" t="str">
        <f t="shared" si="363"/>
        <v>..</v>
      </c>
      <c r="BD2100" s="129">
        <f>VLOOKUP($D2100,'WB Data 2'!$C$2:$K$545,6,FALSE)</f>
        <v>7001604558.3300638</v>
      </c>
      <c r="BE2100" s="129">
        <f>IFERROR(VLOOKUP($D2100,UNCTAD!$C$5:$V$529,4,FALSE),"..")</f>
        <v>9880941000</v>
      </c>
      <c r="BF2100" s="846">
        <f t="shared" si="364"/>
        <v>0.70859694014265073</v>
      </c>
      <c r="BG2100" s="117">
        <f>VLOOKUP($D2100,'WB Data'!$C$3:$M$578,5,FALSE)</f>
        <v>957720000</v>
      </c>
      <c r="BH2100" s="129">
        <f>IFERROR($BB2100/$BG2100,"..")</f>
        <v>1.6055076337969343</v>
      </c>
      <c r="BI2100" s="117" t="str">
        <f>IFERROR(VLOOKUP($D2100,'WB Data'!$C$3:$M$578,7,FALSE)/100,"..")</f>
        <v>..</v>
      </c>
      <c r="BJ2100" s="117" t="str">
        <f>IFERROR($BI2100*$AW2100,"..")</f>
        <v>..</v>
      </c>
      <c r="BK2100" s="846" t="str">
        <f>IFERROR($BB2100/$BJ2100,"..")</f>
        <v>..</v>
      </c>
      <c r="BL2100" s="117" t="str">
        <f>IFERROR(VLOOKUP($D2100,'WB Data'!$C$3:$M$578,7,FALSE)/100,"..")</f>
        <v>..</v>
      </c>
      <c r="BM2100" s="117" t="str">
        <f>IFERROR($AW2100*$BL2100,"..")</f>
        <v>..</v>
      </c>
      <c r="BN2100" s="846" t="str">
        <f>IFERROR($BB2100/$BM2100,"..")</f>
        <v>..</v>
      </c>
      <c r="BO2100" s="801">
        <f t="shared" si="360"/>
        <v>38</v>
      </c>
      <c r="BP2100" s="117" t="str">
        <f>VLOOKUP($D2100,'WB Data'!$C$3:$M$578,9,FALSE)</f>
        <v>..</v>
      </c>
      <c r="BQ2100" s="117">
        <f>VLOOKUP($D2100,'WB Data'!$C$3:$M$578,10,FALSE)</f>
        <v>57.022585365853665</v>
      </c>
      <c r="BR2100" s="117">
        <f>VLOOKUP($D2100,'WB Data'!$C$3:$M$578,11,FALSE)</f>
        <v>57.1</v>
      </c>
      <c r="BS2100" s="129">
        <f>IFERROR(VLOOKUP($D2100,'WB Data 2'!$C$2:$K$545,9,FALSE),"..")</f>
        <v>97.876090000000005</v>
      </c>
      <c r="BT2100" s="129">
        <f>_xlfn.IFNA(VLOOKUP($C2100,RGI!$A$2:$C$43,2,FALSE),"..")</f>
        <v>41.2</v>
      </c>
      <c r="BU2100" s="129">
        <f>_xlfn.IFNA(VLOOKUP($C2100,RGI!$A$2:$C$43,3,FALSE),"..")</f>
        <v>60.803011070373614</v>
      </c>
      <c r="BV2100" s="129">
        <f>VLOOKUP($D2100,WGI!$C$2:$O$478,7,FALSE)</f>
        <v>-0.15558153117561299</v>
      </c>
      <c r="BW2100" s="129">
        <f>VLOOKUP($D2100,WGI!$C$2:$O$478,4,FALSE)</f>
        <v>0.61397274031289295</v>
      </c>
      <c r="BX2100" s="129">
        <f>VLOOKUP($D2100,WGI!$C$2:$O$478,3,FALSE)</f>
        <v>-0.50167064815564</v>
      </c>
      <c r="BY2100" s="129">
        <f>VLOOKUP($D2100,WGI!$C$2:$O$478,5,FALSE)</f>
        <v>-0.42878042603682198</v>
      </c>
      <c r="BZ2100" s="129">
        <f>VLOOKUP($D2100,WGI!$C$2:$O$478,2,FALSE)</f>
        <v>-0.36075468296103302</v>
      </c>
    </row>
    <row r="2101" spans="1:80" ht="15" customHeight="1">
      <c r="A2101" s="289" t="s">
        <v>549</v>
      </c>
      <c r="B2101" s="146">
        <v>2012</v>
      </c>
      <c r="C2101" s="117" t="s">
        <v>541</v>
      </c>
      <c r="D2101" s="117" t="s">
        <v>3752</v>
      </c>
      <c r="E2101" s="146" t="s">
        <v>86</v>
      </c>
      <c r="F2101" s="146"/>
      <c r="G2101" s="146" t="s">
        <v>24</v>
      </c>
      <c r="H2101" s="146"/>
      <c r="I2101" s="146"/>
      <c r="J2101" s="146"/>
      <c r="K2101" s="146" t="s">
        <v>2452</v>
      </c>
      <c r="L2101" s="146"/>
      <c r="M2101" s="146"/>
      <c r="N2101" s="146"/>
      <c r="O2101" s="754">
        <v>45</v>
      </c>
      <c r="P2101" s="754"/>
      <c r="Q2101" s="754"/>
      <c r="R2101" s="754">
        <v>45</v>
      </c>
      <c r="S2101" s="146" t="s">
        <v>967</v>
      </c>
      <c r="T2101" s="146"/>
      <c r="U2101" s="119"/>
      <c r="V2101" s="146"/>
      <c r="W2101" s="146"/>
      <c r="X2101" s="146"/>
      <c r="Y2101" s="760"/>
      <c r="Z2101" s="146"/>
      <c r="AA2101" s="146"/>
      <c r="AB2101" s="146"/>
      <c r="AC2101" s="146"/>
      <c r="AD2101" s="146"/>
      <c r="AE2101" s="756"/>
      <c r="AF2101" s="756"/>
      <c r="AG2101" s="756"/>
      <c r="AH2101" s="758"/>
      <c r="AI2101" s="146"/>
      <c r="AJ2101" s="759"/>
      <c r="AK2101" s="146"/>
      <c r="AL2101" s="146"/>
      <c r="AM2101" s="760"/>
      <c r="AN2101" s="146"/>
      <c r="AO2101" s="146"/>
      <c r="AP2101" s="146"/>
      <c r="AQ2101" s="146"/>
      <c r="AR2101" s="146"/>
      <c r="AS2101" s="146"/>
      <c r="AT2101" s="146"/>
      <c r="AU2101" s="146"/>
      <c r="AV2101" s="782"/>
      <c r="AW2101" s="117">
        <f>VLOOKUP($D2101,'WB Data'!$C$3:$M$578,2,FALSE)</f>
        <v>24939543374.136166</v>
      </c>
      <c r="AX2101" s="117">
        <f>VLOOKUP($D2101,'WB Data'!$C$3:$M$578,3,FALSE)</f>
        <v>14075099</v>
      </c>
      <c r="AY2101" s="847">
        <f t="shared" si="361"/>
        <v>6.1654166957788532E-2</v>
      </c>
      <c r="AZ2101" s="117" t="e">
        <f>VLOOKUP($D2101,'WB Data'!$C$3:$M$578,4,FALSE)/100</f>
        <v>#VALUE!</v>
      </c>
      <c r="BA2101" s="117" t="str">
        <f t="shared" si="362"/>
        <v>..</v>
      </c>
      <c r="BB2101" s="129">
        <f>IFERROR(VLOOKUP($D2101,'EITI Revenues'!$C$2:$G$224,5,FALSE),"..")</f>
        <v>1537626771.04</v>
      </c>
      <c r="BC2101" s="846" t="str">
        <f t="shared" si="363"/>
        <v>..</v>
      </c>
      <c r="BD2101" s="129">
        <f>VLOOKUP($D2101,'WB Data 2'!$C$2:$K$545,6,FALSE)</f>
        <v>7001604558.3300638</v>
      </c>
      <c r="BE2101" s="129">
        <f>IFERROR(VLOOKUP($D2101,UNCTAD!$C$5:$V$529,4,FALSE),"..")</f>
        <v>9880941000</v>
      </c>
      <c r="BF2101" s="846">
        <f t="shared" si="364"/>
        <v>0.70859694014265073</v>
      </c>
      <c r="BG2101" s="117">
        <f>VLOOKUP($D2101,'WB Data'!$C$3:$M$578,5,FALSE)</f>
        <v>957720000</v>
      </c>
      <c r="BH2101" s="129">
        <f>IFERROR($BB2101/$BG2101,"..")</f>
        <v>1.6055076337969343</v>
      </c>
      <c r="BI2101" s="117" t="str">
        <f>IFERROR(VLOOKUP($D2101,'WB Data'!$C$3:$M$578,7,FALSE)/100,"..")</f>
        <v>..</v>
      </c>
      <c r="BJ2101" s="117" t="str">
        <f>IFERROR($BI2101*$AW2101,"..")</f>
        <v>..</v>
      </c>
      <c r="BK2101" s="846" t="str">
        <f>IFERROR($BB2101/$BJ2101,"..")</f>
        <v>..</v>
      </c>
      <c r="BL2101" s="117" t="str">
        <f>IFERROR(VLOOKUP($D2101,'WB Data'!$C$3:$M$578,7,FALSE)/100,"..")</f>
        <v>..</v>
      </c>
      <c r="BM2101" s="117" t="str">
        <f>IFERROR($AW2101*$BL2101,"..")</f>
        <v>..</v>
      </c>
      <c r="BN2101" s="846" t="str">
        <f>IFERROR($BB2101/$BM2101,"..")</f>
        <v>..</v>
      </c>
      <c r="BO2101" s="801">
        <f t="shared" si="360"/>
        <v>38</v>
      </c>
      <c r="BP2101" s="117" t="str">
        <f>VLOOKUP($D2101,'WB Data'!$C$3:$M$578,9,FALSE)</f>
        <v>..</v>
      </c>
      <c r="BQ2101" s="117">
        <f>VLOOKUP($D2101,'WB Data'!$C$3:$M$578,10,FALSE)</f>
        <v>57.022585365853665</v>
      </c>
      <c r="BR2101" s="117">
        <f>VLOOKUP($D2101,'WB Data'!$C$3:$M$578,11,FALSE)</f>
        <v>57.1</v>
      </c>
      <c r="BS2101" s="129">
        <f>IFERROR(VLOOKUP($D2101,'WB Data 2'!$C$2:$K$545,9,FALSE),"..")</f>
        <v>97.876090000000005</v>
      </c>
      <c r="BT2101" s="129">
        <f>_xlfn.IFNA(VLOOKUP($C2101,RGI!$A$2:$C$43,2,FALSE),"..")</f>
        <v>41.2</v>
      </c>
      <c r="BU2101" s="129">
        <f>_xlfn.IFNA(VLOOKUP($C2101,RGI!$A$2:$C$43,3,FALSE),"..")</f>
        <v>60.803011070373614</v>
      </c>
      <c r="BV2101" s="129">
        <f>VLOOKUP($D2101,WGI!$C$2:$O$478,7,FALSE)</f>
        <v>-0.15558153117561299</v>
      </c>
      <c r="BW2101" s="129">
        <f>VLOOKUP($D2101,WGI!$C$2:$O$478,4,FALSE)</f>
        <v>0.61397274031289295</v>
      </c>
      <c r="BX2101" s="129">
        <f>VLOOKUP($D2101,WGI!$C$2:$O$478,3,FALSE)</f>
        <v>-0.50167064815564</v>
      </c>
      <c r="BY2101" s="129">
        <f>VLOOKUP($D2101,WGI!$C$2:$O$478,5,FALSE)</f>
        <v>-0.42878042603682198</v>
      </c>
      <c r="BZ2101" s="129">
        <f>VLOOKUP($D2101,WGI!$C$2:$O$478,2,FALSE)</f>
        <v>-0.36075468296103302</v>
      </c>
    </row>
    <row r="2102" spans="1:80" ht="15" customHeight="1">
      <c r="A2102" s="289" t="s">
        <v>549</v>
      </c>
      <c r="B2102" s="146">
        <v>2012</v>
      </c>
      <c r="C2102" s="117" t="s">
        <v>541</v>
      </c>
      <c r="D2102" s="117" t="s">
        <v>3752</v>
      </c>
      <c r="E2102" s="146" t="s">
        <v>86</v>
      </c>
      <c r="F2102" s="146"/>
      <c r="G2102" s="146" t="s">
        <v>24</v>
      </c>
      <c r="H2102" s="146"/>
      <c r="I2102" s="146"/>
      <c r="J2102" s="146"/>
      <c r="K2102" s="146" t="s">
        <v>2453</v>
      </c>
      <c r="L2102" s="146"/>
      <c r="M2102" s="146"/>
      <c r="N2102" s="146"/>
      <c r="O2102" s="754">
        <v>39</v>
      </c>
      <c r="P2102" s="754"/>
      <c r="Q2102" s="754"/>
      <c r="R2102" s="754">
        <v>39</v>
      </c>
      <c r="S2102" s="146" t="s">
        <v>967</v>
      </c>
      <c r="T2102" s="146"/>
      <c r="U2102" s="119"/>
      <c r="V2102" s="146"/>
      <c r="W2102" s="146"/>
      <c r="X2102" s="146"/>
      <c r="Y2102" s="760"/>
      <c r="Z2102" s="146"/>
      <c r="AA2102" s="146"/>
      <c r="AB2102" s="146"/>
      <c r="AC2102" s="146"/>
      <c r="AD2102" s="146"/>
      <c r="AE2102" s="756"/>
      <c r="AF2102" s="756"/>
      <c r="AG2102" s="756"/>
      <c r="AH2102" s="758"/>
      <c r="AI2102" s="146"/>
      <c r="AJ2102" s="759"/>
      <c r="AK2102" s="146"/>
      <c r="AL2102" s="146"/>
      <c r="AM2102" s="760"/>
      <c r="AN2102" s="146"/>
      <c r="AO2102" s="146"/>
      <c r="AP2102" s="146"/>
      <c r="AQ2102" s="146"/>
      <c r="AR2102" s="146"/>
      <c r="AS2102" s="146"/>
      <c r="AT2102" s="146"/>
      <c r="AU2102" s="146"/>
      <c r="AV2102" s="782"/>
      <c r="AW2102" s="117">
        <f>VLOOKUP($D2102,'WB Data'!$C$3:$M$578,2,FALSE)</f>
        <v>24939543374.136166</v>
      </c>
      <c r="AX2102" s="117">
        <f>VLOOKUP($D2102,'WB Data'!$C$3:$M$578,3,FALSE)</f>
        <v>14075099</v>
      </c>
      <c r="AY2102" s="847">
        <f t="shared" si="361"/>
        <v>6.1654166957788532E-2</v>
      </c>
      <c r="AZ2102" s="117" t="e">
        <f>VLOOKUP($D2102,'WB Data'!$C$3:$M$578,4,FALSE)/100</f>
        <v>#VALUE!</v>
      </c>
      <c r="BA2102" s="117" t="str">
        <f t="shared" si="362"/>
        <v>..</v>
      </c>
      <c r="BB2102" s="129">
        <f>IFERROR(VLOOKUP($D2102,'EITI Revenues'!$C$2:$G$224,5,FALSE),"..")</f>
        <v>1537626771.04</v>
      </c>
      <c r="BC2102" s="846" t="str">
        <f t="shared" si="363"/>
        <v>..</v>
      </c>
      <c r="BD2102" s="129">
        <f>VLOOKUP($D2102,'WB Data 2'!$C$2:$K$545,6,FALSE)</f>
        <v>7001604558.3300638</v>
      </c>
      <c r="BE2102" s="129">
        <f>IFERROR(VLOOKUP($D2102,UNCTAD!$C$5:$V$529,4,FALSE),"..")</f>
        <v>9880941000</v>
      </c>
      <c r="BF2102" s="846">
        <f t="shared" si="364"/>
        <v>0.70859694014265073</v>
      </c>
      <c r="BG2102" s="117">
        <f>VLOOKUP($D2102,'WB Data'!$C$3:$M$578,5,FALSE)</f>
        <v>957720000</v>
      </c>
      <c r="BH2102" s="129">
        <f>IFERROR($BB2102/$BG2102,"..")</f>
        <v>1.6055076337969343</v>
      </c>
      <c r="BI2102" s="117" t="str">
        <f>IFERROR(VLOOKUP($D2102,'WB Data'!$C$3:$M$578,7,FALSE)/100,"..")</f>
        <v>..</v>
      </c>
      <c r="BJ2102" s="117" t="str">
        <f>IFERROR($BI2102*$AW2102,"..")</f>
        <v>..</v>
      </c>
      <c r="BK2102" s="846" t="str">
        <f>IFERROR($BB2102/$BJ2102,"..")</f>
        <v>..</v>
      </c>
      <c r="BL2102" s="117" t="str">
        <f>IFERROR(VLOOKUP($D2102,'WB Data'!$C$3:$M$578,7,FALSE)/100,"..")</f>
        <v>..</v>
      </c>
      <c r="BM2102" s="117" t="str">
        <f>IFERROR($AW2102*$BL2102,"..")</f>
        <v>..</v>
      </c>
      <c r="BN2102" s="846" t="str">
        <f>IFERROR($BB2102/$BM2102,"..")</f>
        <v>..</v>
      </c>
      <c r="BO2102" s="801">
        <f t="shared" si="360"/>
        <v>38</v>
      </c>
      <c r="BP2102" s="117" t="str">
        <f>VLOOKUP($D2102,'WB Data'!$C$3:$M$578,9,FALSE)</f>
        <v>..</v>
      </c>
      <c r="BQ2102" s="117">
        <f>VLOOKUP($D2102,'WB Data'!$C$3:$M$578,10,FALSE)</f>
        <v>57.022585365853665</v>
      </c>
      <c r="BR2102" s="117">
        <f>VLOOKUP($D2102,'WB Data'!$C$3:$M$578,11,FALSE)</f>
        <v>57.1</v>
      </c>
      <c r="BS2102" s="129">
        <f>IFERROR(VLOOKUP($D2102,'WB Data 2'!$C$2:$K$545,9,FALSE),"..")</f>
        <v>97.876090000000005</v>
      </c>
      <c r="BT2102" s="129">
        <f>_xlfn.IFNA(VLOOKUP($C2102,RGI!$A$2:$C$43,2,FALSE),"..")</f>
        <v>41.2</v>
      </c>
      <c r="BU2102" s="129">
        <f>_xlfn.IFNA(VLOOKUP($C2102,RGI!$A$2:$C$43,3,FALSE),"..")</f>
        <v>60.803011070373614</v>
      </c>
      <c r="BV2102" s="129">
        <f>VLOOKUP($D2102,WGI!$C$2:$O$478,7,FALSE)</f>
        <v>-0.15558153117561299</v>
      </c>
      <c r="BW2102" s="129">
        <f>VLOOKUP($D2102,WGI!$C$2:$O$478,4,FALSE)</f>
        <v>0.61397274031289295</v>
      </c>
      <c r="BX2102" s="129">
        <f>VLOOKUP($D2102,WGI!$C$2:$O$478,3,FALSE)</f>
        <v>-0.50167064815564</v>
      </c>
      <c r="BY2102" s="129">
        <f>VLOOKUP($D2102,WGI!$C$2:$O$478,5,FALSE)</f>
        <v>-0.42878042603682198</v>
      </c>
      <c r="BZ2102" s="129">
        <f>VLOOKUP($D2102,WGI!$C$2:$O$478,2,FALSE)</f>
        <v>-0.36075468296103302</v>
      </c>
    </row>
    <row r="2103" spans="1:80" ht="15" customHeight="1">
      <c r="A2103" s="289" t="s">
        <v>549</v>
      </c>
      <c r="B2103" s="146">
        <v>2012</v>
      </c>
      <c r="C2103" s="117" t="s">
        <v>541</v>
      </c>
      <c r="D2103" s="117" t="s">
        <v>3752</v>
      </c>
      <c r="E2103" s="146" t="s">
        <v>86</v>
      </c>
      <c r="F2103" s="146"/>
      <c r="G2103" s="146" t="s">
        <v>24</v>
      </c>
      <c r="H2103" s="146"/>
      <c r="I2103" s="146"/>
      <c r="J2103" s="146"/>
      <c r="K2103" s="146" t="s">
        <v>2426</v>
      </c>
      <c r="L2103" s="146"/>
      <c r="M2103" s="146"/>
      <c r="N2103" s="146"/>
      <c r="O2103" s="754">
        <v>48981</v>
      </c>
      <c r="P2103" s="754"/>
      <c r="Q2103" s="754"/>
      <c r="R2103" s="754">
        <v>48981</v>
      </c>
      <c r="S2103" s="146" t="s">
        <v>967</v>
      </c>
      <c r="T2103" s="146"/>
      <c r="U2103" s="119"/>
      <c r="V2103" s="146"/>
      <c r="W2103" s="146"/>
      <c r="X2103" s="146"/>
      <c r="Y2103" s="760"/>
      <c r="Z2103" s="146"/>
      <c r="AA2103" s="146"/>
      <c r="AB2103" s="146"/>
      <c r="AC2103" s="146"/>
      <c r="AD2103" s="146"/>
      <c r="AE2103" s="756"/>
      <c r="AF2103" s="756"/>
      <c r="AG2103" s="756"/>
      <c r="AH2103" s="758"/>
      <c r="AI2103" s="146"/>
      <c r="AJ2103" s="759"/>
      <c r="AK2103" s="146"/>
      <c r="AL2103" s="146"/>
      <c r="AM2103" s="760"/>
      <c r="AN2103" s="146"/>
      <c r="AO2103" s="146"/>
      <c r="AP2103" s="146"/>
      <c r="AQ2103" s="146"/>
      <c r="AR2103" s="146"/>
      <c r="AS2103" s="146"/>
      <c r="AT2103" s="146"/>
      <c r="AU2103" s="146"/>
      <c r="AV2103" s="782"/>
      <c r="AW2103" s="117">
        <f>VLOOKUP($D2103,'WB Data'!$C$3:$M$578,2,FALSE)</f>
        <v>24939543374.136166</v>
      </c>
      <c r="AX2103" s="117">
        <f>VLOOKUP($D2103,'WB Data'!$C$3:$M$578,3,FALSE)</f>
        <v>14075099</v>
      </c>
      <c r="AY2103" s="847">
        <f t="shared" si="361"/>
        <v>6.1654166957788532E-2</v>
      </c>
      <c r="AZ2103" s="117" t="e">
        <f>VLOOKUP($D2103,'WB Data'!$C$3:$M$578,4,FALSE)/100</f>
        <v>#VALUE!</v>
      </c>
      <c r="BA2103" s="117" t="str">
        <f t="shared" si="362"/>
        <v>..</v>
      </c>
      <c r="BB2103" s="129">
        <f>IFERROR(VLOOKUP($D2103,'EITI Revenues'!$C$2:$G$224,5,FALSE),"..")</f>
        <v>1537626771.04</v>
      </c>
      <c r="BC2103" s="846" t="str">
        <f t="shared" si="363"/>
        <v>..</v>
      </c>
      <c r="BD2103" s="129">
        <f>VLOOKUP($D2103,'WB Data 2'!$C$2:$K$545,6,FALSE)</f>
        <v>7001604558.3300638</v>
      </c>
      <c r="BE2103" s="129">
        <f>IFERROR(VLOOKUP($D2103,UNCTAD!$C$5:$V$529,4,FALSE),"..")</f>
        <v>9880941000</v>
      </c>
      <c r="BF2103" s="846">
        <f t="shared" si="364"/>
        <v>0.70859694014265073</v>
      </c>
      <c r="BG2103" s="117">
        <f>VLOOKUP($D2103,'WB Data'!$C$3:$M$578,5,FALSE)</f>
        <v>957720000</v>
      </c>
      <c r="BH2103" s="129">
        <f>IFERROR($BB2103/$BG2103,"..")</f>
        <v>1.6055076337969343</v>
      </c>
      <c r="BI2103" s="117" t="str">
        <f>IFERROR(VLOOKUP($D2103,'WB Data'!$C$3:$M$578,7,FALSE)/100,"..")</f>
        <v>..</v>
      </c>
      <c r="BJ2103" s="117" t="str">
        <f>IFERROR($BI2103*$AW2103,"..")</f>
        <v>..</v>
      </c>
      <c r="BK2103" s="846" t="str">
        <f>IFERROR($BB2103/$BJ2103,"..")</f>
        <v>..</v>
      </c>
      <c r="BL2103" s="117" t="str">
        <f>IFERROR(VLOOKUP($D2103,'WB Data'!$C$3:$M$578,7,FALSE)/100,"..")</f>
        <v>..</v>
      </c>
      <c r="BM2103" s="117" t="str">
        <f>IFERROR($AW2103*$BL2103,"..")</f>
        <v>..</v>
      </c>
      <c r="BN2103" s="846" t="str">
        <f>IFERROR($BB2103/$BM2103,"..")</f>
        <v>..</v>
      </c>
      <c r="BO2103" s="801">
        <f t="shared" si="360"/>
        <v>38</v>
      </c>
      <c r="BP2103" s="117" t="str">
        <f>VLOOKUP($D2103,'WB Data'!$C$3:$M$578,9,FALSE)</f>
        <v>..</v>
      </c>
      <c r="BQ2103" s="117">
        <f>VLOOKUP($D2103,'WB Data'!$C$3:$M$578,10,FALSE)</f>
        <v>57.022585365853665</v>
      </c>
      <c r="BR2103" s="117">
        <f>VLOOKUP($D2103,'WB Data'!$C$3:$M$578,11,FALSE)</f>
        <v>57.1</v>
      </c>
      <c r="BS2103" s="129">
        <f>IFERROR(VLOOKUP($D2103,'WB Data 2'!$C$2:$K$545,9,FALSE),"..")</f>
        <v>97.876090000000005</v>
      </c>
      <c r="BT2103" s="129">
        <f>_xlfn.IFNA(VLOOKUP($C2103,RGI!$A$2:$C$43,2,FALSE),"..")</f>
        <v>41.2</v>
      </c>
      <c r="BU2103" s="129">
        <f>_xlfn.IFNA(VLOOKUP($C2103,RGI!$A$2:$C$43,3,FALSE),"..")</f>
        <v>60.803011070373614</v>
      </c>
      <c r="BV2103" s="129">
        <f>VLOOKUP($D2103,WGI!$C$2:$O$478,7,FALSE)</f>
        <v>-0.15558153117561299</v>
      </c>
      <c r="BW2103" s="129">
        <f>VLOOKUP($D2103,WGI!$C$2:$O$478,4,FALSE)</f>
        <v>0.61397274031289295</v>
      </c>
      <c r="BX2103" s="129">
        <f>VLOOKUP($D2103,WGI!$C$2:$O$478,3,FALSE)</f>
        <v>-0.50167064815564</v>
      </c>
      <c r="BY2103" s="129">
        <f>VLOOKUP($D2103,WGI!$C$2:$O$478,5,FALSE)</f>
        <v>-0.42878042603682198</v>
      </c>
      <c r="BZ2103" s="129">
        <f>VLOOKUP($D2103,WGI!$C$2:$O$478,2,FALSE)</f>
        <v>-0.36075468296103302</v>
      </c>
    </row>
    <row r="2104" spans="1:80" ht="15" customHeight="1">
      <c r="A2104" s="289" t="s">
        <v>549</v>
      </c>
      <c r="B2104" s="146">
        <v>2012</v>
      </c>
      <c r="C2104" s="117" t="s">
        <v>541</v>
      </c>
      <c r="D2104" s="117" t="s">
        <v>3752</v>
      </c>
      <c r="E2104" s="146" t="s">
        <v>86</v>
      </c>
      <c r="F2104" s="146"/>
      <c r="G2104" s="146" t="s">
        <v>24</v>
      </c>
      <c r="H2104" s="146"/>
      <c r="I2104" s="146"/>
      <c r="J2104" s="146"/>
      <c r="K2104" s="146" t="s">
        <v>2454</v>
      </c>
      <c r="L2104" s="146"/>
      <c r="M2104" s="146"/>
      <c r="N2104" s="146"/>
      <c r="O2104" s="754">
        <v>2325</v>
      </c>
      <c r="P2104" s="754"/>
      <c r="Q2104" s="754"/>
      <c r="R2104" s="754">
        <v>2325</v>
      </c>
      <c r="S2104" s="146" t="s">
        <v>967</v>
      </c>
      <c r="T2104" s="146"/>
      <c r="U2104" s="119"/>
      <c r="V2104" s="146"/>
      <c r="W2104" s="146"/>
      <c r="X2104" s="146"/>
      <c r="Y2104" s="760"/>
      <c r="Z2104" s="146"/>
      <c r="AA2104" s="146"/>
      <c r="AB2104" s="146"/>
      <c r="AC2104" s="146"/>
      <c r="AD2104" s="146"/>
      <c r="AE2104" s="756"/>
      <c r="AF2104" s="756"/>
      <c r="AG2104" s="756"/>
      <c r="AH2104" s="758"/>
      <c r="AI2104" s="146"/>
      <c r="AJ2104" s="759"/>
      <c r="AK2104" s="146"/>
      <c r="AL2104" s="146"/>
      <c r="AM2104" s="760"/>
      <c r="AN2104" s="146"/>
      <c r="AO2104" s="146"/>
      <c r="AP2104" s="146"/>
      <c r="AQ2104" s="146"/>
      <c r="AR2104" s="146"/>
      <c r="AS2104" s="146"/>
      <c r="AT2104" s="146"/>
      <c r="AU2104" s="146"/>
      <c r="AV2104" s="782"/>
      <c r="AW2104" s="117">
        <f>VLOOKUP($D2104,'WB Data'!$C$3:$M$578,2,FALSE)</f>
        <v>24939543374.136166</v>
      </c>
      <c r="AX2104" s="117">
        <f>VLOOKUP($D2104,'WB Data'!$C$3:$M$578,3,FALSE)</f>
        <v>14075099</v>
      </c>
      <c r="AY2104" s="847">
        <f t="shared" si="361"/>
        <v>6.1654166957788532E-2</v>
      </c>
      <c r="AZ2104" s="117" t="e">
        <f>VLOOKUP($D2104,'WB Data'!$C$3:$M$578,4,FALSE)/100</f>
        <v>#VALUE!</v>
      </c>
      <c r="BA2104" s="117" t="str">
        <f t="shared" si="362"/>
        <v>..</v>
      </c>
      <c r="BB2104" s="129">
        <f>IFERROR(VLOOKUP($D2104,'EITI Revenues'!$C$2:$G$224,5,FALSE),"..")</f>
        <v>1537626771.04</v>
      </c>
      <c r="BC2104" s="846" t="str">
        <f t="shared" si="363"/>
        <v>..</v>
      </c>
      <c r="BD2104" s="129">
        <f>VLOOKUP($D2104,'WB Data 2'!$C$2:$K$545,6,FALSE)</f>
        <v>7001604558.3300638</v>
      </c>
      <c r="BE2104" s="129">
        <f>IFERROR(VLOOKUP($D2104,UNCTAD!$C$5:$V$529,4,FALSE),"..")</f>
        <v>9880941000</v>
      </c>
      <c r="BF2104" s="846">
        <f t="shared" si="364"/>
        <v>0.70859694014265073</v>
      </c>
      <c r="BG2104" s="117">
        <f>VLOOKUP($D2104,'WB Data'!$C$3:$M$578,5,FALSE)</f>
        <v>957720000</v>
      </c>
      <c r="BH2104" s="129">
        <f>IFERROR($BB2104/$BG2104,"..")</f>
        <v>1.6055076337969343</v>
      </c>
      <c r="BI2104" s="117" t="str">
        <f>IFERROR(VLOOKUP($D2104,'WB Data'!$C$3:$M$578,7,FALSE)/100,"..")</f>
        <v>..</v>
      </c>
      <c r="BJ2104" s="117" t="str">
        <f>IFERROR($BI2104*$AW2104,"..")</f>
        <v>..</v>
      </c>
      <c r="BK2104" s="846" t="str">
        <f>IFERROR($BB2104/$BJ2104,"..")</f>
        <v>..</v>
      </c>
      <c r="BL2104" s="117" t="str">
        <f>IFERROR(VLOOKUP($D2104,'WB Data'!$C$3:$M$578,7,FALSE)/100,"..")</f>
        <v>..</v>
      </c>
      <c r="BM2104" s="117" t="str">
        <f>IFERROR($AW2104*$BL2104,"..")</f>
        <v>..</v>
      </c>
      <c r="BN2104" s="846" t="str">
        <f>IFERROR($BB2104/$BM2104,"..")</f>
        <v>..</v>
      </c>
      <c r="BO2104" s="801">
        <f t="shared" si="360"/>
        <v>38</v>
      </c>
      <c r="BP2104" s="117" t="str">
        <f>VLOOKUP($D2104,'WB Data'!$C$3:$M$578,9,FALSE)</f>
        <v>..</v>
      </c>
      <c r="BQ2104" s="117">
        <f>VLOOKUP($D2104,'WB Data'!$C$3:$M$578,10,FALSE)</f>
        <v>57.022585365853665</v>
      </c>
      <c r="BR2104" s="117">
        <f>VLOOKUP($D2104,'WB Data'!$C$3:$M$578,11,FALSE)</f>
        <v>57.1</v>
      </c>
      <c r="BS2104" s="129">
        <f>IFERROR(VLOOKUP($D2104,'WB Data 2'!$C$2:$K$545,9,FALSE),"..")</f>
        <v>97.876090000000005</v>
      </c>
      <c r="BT2104" s="129">
        <f>_xlfn.IFNA(VLOOKUP($C2104,RGI!$A$2:$C$43,2,FALSE),"..")</f>
        <v>41.2</v>
      </c>
      <c r="BU2104" s="129">
        <f>_xlfn.IFNA(VLOOKUP($C2104,RGI!$A$2:$C$43,3,FALSE),"..")</f>
        <v>60.803011070373614</v>
      </c>
      <c r="BV2104" s="129">
        <f>VLOOKUP($D2104,WGI!$C$2:$O$478,7,FALSE)</f>
        <v>-0.15558153117561299</v>
      </c>
      <c r="BW2104" s="129">
        <f>VLOOKUP($D2104,WGI!$C$2:$O$478,4,FALSE)</f>
        <v>0.61397274031289295</v>
      </c>
      <c r="BX2104" s="129">
        <f>VLOOKUP($D2104,WGI!$C$2:$O$478,3,FALSE)</f>
        <v>-0.50167064815564</v>
      </c>
      <c r="BY2104" s="129">
        <f>VLOOKUP($D2104,WGI!$C$2:$O$478,5,FALSE)</f>
        <v>-0.42878042603682198</v>
      </c>
      <c r="BZ2104" s="129">
        <f>VLOOKUP($D2104,WGI!$C$2:$O$478,2,FALSE)</f>
        <v>-0.36075468296103302</v>
      </c>
    </row>
    <row r="2105" spans="1:80" ht="15" customHeight="1">
      <c r="A2105" s="289" t="s">
        <v>549</v>
      </c>
      <c r="B2105" s="146">
        <v>2012</v>
      </c>
      <c r="C2105" s="117" t="s">
        <v>541</v>
      </c>
      <c r="D2105" s="117" t="s">
        <v>3752</v>
      </c>
      <c r="E2105" s="146" t="s">
        <v>86</v>
      </c>
      <c r="F2105" s="146"/>
      <c r="G2105" s="146" t="s">
        <v>24</v>
      </c>
      <c r="H2105" s="146"/>
      <c r="I2105" s="146"/>
      <c r="J2105" s="146"/>
      <c r="K2105" s="146" t="s">
        <v>2455</v>
      </c>
      <c r="L2105" s="146"/>
      <c r="M2105" s="146"/>
      <c r="N2105" s="146"/>
      <c r="O2105" s="754">
        <v>1513</v>
      </c>
      <c r="P2105" s="754"/>
      <c r="Q2105" s="754"/>
      <c r="R2105" s="754">
        <v>1513</v>
      </c>
      <c r="S2105" s="146" t="s">
        <v>967</v>
      </c>
      <c r="T2105" s="146"/>
      <c r="U2105" s="119"/>
      <c r="V2105" s="146"/>
      <c r="W2105" s="146"/>
      <c r="X2105" s="146"/>
      <c r="Y2105" s="760"/>
      <c r="Z2105" s="146"/>
      <c r="AA2105" s="146"/>
      <c r="AB2105" s="146"/>
      <c r="AC2105" s="146"/>
      <c r="AD2105" s="146"/>
      <c r="AE2105" s="756"/>
      <c r="AF2105" s="756"/>
      <c r="AG2105" s="756"/>
      <c r="AH2105" s="758"/>
      <c r="AI2105" s="146"/>
      <c r="AJ2105" s="759"/>
      <c r="AK2105" s="146"/>
      <c r="AL2105" s="146"/>
      <c r="AM2105" s="760"/>
      <c r="AN2105" s="146"/>
      <c r="AO2105" s="146"/>
      <c r="AP2105" s="146"/>
      <c r="AQ2105" s="146"/>
      <c r="AR2105" s="146"/>
      <c r="AS2105" s="146"/>
      <c r="AT2105" s="146"/>
      <c r="AU2105" s="146"/>
      <c r="AV2105" s="782"/>
      <c r="AW2105" s="117">
        <f>VLOOKUP($D2105,'WB Data'!$C$3:$M$578,2,FALSE)</f>
        <v>24939543374.136166</v>
      </c>
      <c r="AX2105" s="117">
        <f>VLOOKUP($D2105,'WB Data'!$C$3:$M$578,3,FALSE)</f>
        <v>14075099</v>
      </c>
      <c r="AY2105" s="847">
        <f t="shared" si="361"/>
        <v>6.1654166957788532E-2</v>
      </c>
      <c r="AZ2105" s="117" t="e">
        <f>VLOOKUP($D2105,'WB Data'!$C$3:$M$578,4,FALSE)/100</f>
        <v>#VALUE!</v>
      </c>
      <c r="BA2105" s="117" t="str">
        <f t="shared" si="362"/>
        <v>..</v>
      </c>
      <c r="BB2105" s="129">
        <f>IFERROR(VLOOKUP($D2105,'EITI Revenues'!$C$2:$G$224,5,FALSE),"..")</f>
        <v>1537626771.04</v>
      </c>
      <c r="BC2105" s="846" t="str">
        <f t="shared" si="363"/>
        <v>..</v>
      </c>
      <c r="BD2105" s="129">
        <f>VLOOKUP($D2105,'WB Data 2'!$C$2:$K$545,6,FALSE)</f>
        <v>7001604558.3300638</v>
      </c>
      <c r="BE2105" s="129">
        <f>IFERROR(VLOOKUP($D2105,UNCTAD!$C$5:$V$529,4,FALSE),"..")</f>
        <v>9880941000</v>
      </c>
      <c r="BF2105" s="846">
        <f t="shared" si="364"/>
        <v>0.70859694014265073</v>
      </c>
      <c r="BG2105" s="117">
        <f>VLOOKUP($D2105,'WB Data'!$C$3:$M$578,5,FALSE)</f>
        <v>957720000</v>
      </c>
      <c r="BH2105" s="129">
        <f>IFERROR($BB2105/$BG2105,"..")</f>
        <v>1.6055076337969343</v>
      </c>
      <c r="BI2105" s="117" t="str">
        <f>IFERROR(VLOOKUP($D2105,'WB Data'!$C$3:$M$578,7,FALSE)/100,"..")</f>
        <v>..</v>
      </c>
      <c r="BJ2105" s="117" t="str">
        <f>IFERROR($BI2105*$AW2105,"..")</f>
        <v>..</v>
      </c>
      <c r="BK2105" s="846" t="str">
        <f>IFERROR($BB2105/$BJ2105,"..")</f>
        <v>..</v>
      </c>
      <c r="BL2105" s="117" t="str">
        <f>IFERROR(VLOOKUP($D2105,'WB Data'!$C$3:$M$578,7,FALSE)/100,"..")</f>
        <v>..</v>
      </c>
      <c r="BM2105" s="117" t="str">
        <f>IFERROR($AW2105*$BL2105,"..")</f>
        <v>..</v>
      </c>
      <c r="BN2105" s="846" t="str">
        <f>IFERROR($BB2105/$BM2105,"..")</f>
        <v>..</v>
      </c>
      <c r="BO2105" s="801">
        <f t="shared" si="360"/>
        <v>38</v>
      </c>
      <c r="BP2105" s="117" t="str">
        <f>VLOOKUP($D2105,'WB Data'!$C$3:$M$578,9,FALSE)</f>
        <v>..</v>
      </c>
      <c r="BQ2105" s="117">
        <f>VLOOKUP($D2105,'WB Data'!$C$3:$M$578,10,FALSE)</f>
        <v>57.022585365853665</v>
      </c>
      <c r="BR2105" s="117">
        <f>VLOOKUP($D2105,'WB Data'!$C$3:$M$578,11,FALSE)</f>
        <v>57.1</v>
      </c>
      <c r="BS2105" s="129">
        <f>IFERROR(VLOOKUP($D2105,'WB Data 2'!$C$2:$K$545,9,FALSE),"..")</f>
        <v>97.876090000000005</v>
      </c>
      <c r="BT2105" s="129">
        <f>_xlfn.IFNA(VLOOKUP($C2105,RGI!$A$2:$C$43,2,FALSE),"..")</f>
        <v>41.2</v>
      </c>
      <c r="BU2105" s="129">
        <f>_xlfn.IFNA(VLOOKUP($C2105,RGI!$A$2:$C$43,3,FALSE),"..")</f>
        <v>60.803011070373614</v>
      </c>
      <c r="BV2105" s="129">
        <f>VLOOKUP($D2105,WGI!$C$2:$O$478,7,FALSE)</f>
        <v>-0.15558153117561299</v>
      </c>
      <c r="BW2105" s="129">
        <f>VLOOKUP($D2105,WGI!$C$2:$O$478,4,FALSE)</f>
        <v>0.61397274031289295</v>
      </c>
      <c r="BX2105" s="129">
        <f>VLOOKUP($D2105,WGI!$C$2:$O$478,3,FALSE)</f>
        <v>-0.50167064815564</v>
      </c>
      <c r="BY2105" s="129">
        <f>VLOOKUP($D2105,WGI!$C$2:$O$478,5,FALSE)</f>
        <v>-0.42878042603682198</v>
      </c>
      <c r="BZ2105" s="129">
        <f>VLOOKUP($D2105,WGI!$C$2:$O$478,2,FALSE)</f>
        <v>-0.36075468296103302</v>
      </c>
    </row>
    <row r="2106" spans="1:80" ht="15" customHeight="1">
      <c r="A2106" s="289" t="s">
        <v>549</v>
      </c>
      <c r="B2106" s="146">
        <v>2012</v>
      </c>
      <c r="C2106" s="117" t="s">
        <v>541</v>
      </c>
      <c r="D2106" s="117" t="s">
        <v>3752</v>
      </c>
      <c r="E2106" s="146" t="s">
        <v>86</v>
      </c>
      <c r="F2106" s="146"/>
      <c r="G2106" s="146" t="s">
        <v>24</v>
      </c>
      <c r="H2106" s="146"/>
      <c r="I2106" s="146"/>
      <c r="J2106" s="146"/>
      <c r="K2106" s="146" t="s">
        <v>2456</v>
      </c>
      <c r="L2106" s="146"/>
      <c r="M2106" s="146"/>
      <c r="N2106" s="146"/>
      <c r="O2106" s="754">
        <v>26</v>
      </c>
      <c r="P2106" s="754"/>
      <c r="Q2106" s="754"/>
      <c r="R2106" s="754">
        <v>26</v>
      </c>
      <c r="S2106" s="146" t="s">
        <v>967</v>
      </c>
      <c r="T2106" s="146"/>
      <c r="U2106" s="119"/>
      <c r="V2106" s="146"/>
      <c r="W2106" s="146"/>
      <c r="X2106" s="146"/>
      <c r="Y2106" s="760"/>
      <c r="Z2106" s="146"/>
      <c r="AA2106" s="146"/>
      <c r="AB2106" s="146"/>
      <c r="AC2106" s="146"/>
      <c r="AD2106" s="146"/>
      <c r="AE2106" s="756"/>
      <c r="AF2106" s="756"/>
      <c r="AG2106" s="756"/>
      <c r="AH2106" s="758"/>
      <c r="AI2106" s="146"/>
      <c r="AJ2106" s="759"/>
      <c r="AK2106" s="146"/>
      <c r="AL2106" s="146"/>
      <c r="AM2106" s="760"/>
      <c r="AN2106" s="146"/>
      <c r="AO2106" s="146"/>
      <c r="AP2106" s="146"/>
      <c r="AQ2106" s="146"/>
      <c r="AR2106" s="146"/>
      <c r="AS2106" s="146"/>
      <c r="AT2106" s="146"/>
      <c r="AU2106" s="146"/>
      <c r="AV2106" s="782"/>
      <c r="AW2106" s="117">
        <f>VLOOKUP($D2106,'WB Data'!$C$3:$M$578,2,FALSE)</f>
        <v>24939543374.136166</v>
      </c>
      <c r="AX2106" s="117">
        <f>VLOOKUP($D2106,'WB Data'!$C$3:$M$578,3,FALSE)</f>
        <v>14075099</v>
      </c>
      <c r="AY2106" s="847">
        <f t="shared" si="361"/>
        <v>6.1654166957788532E-2</v>
      </c>
      <c r="AZ2106" s="117" t="e">
        <f>VLOOKUP($D2106,'WB Data'!$C$3:$M$578,4,FALSE)/100</f>
        <v>#VALUE!</v>
      </c>
      <c r="BA2106" s="117" t="str">
        <f t="shared" si="362"/>
        <v>..</v>
      </c>
      <c r="BB2106" s="129">
        <f>IFERROR(VLOOKUP($D2106,'EITI Revenues'!$C$2:$G$224,5,FALSE),"..")</f>
        <v>1537626771.04</v>
      </c>
      <c r="BC2106" s="846" t="str">
        <f t="shared" si="363"/>
        <v>..</v>
      </c>
      <c r="BD2106" s="129">
        <f>VLOOKUP($D2106,'WB Data 2'!$C$2:$K$545,6,FALSE)</f>
        <v>7001604558.3300638</v>
      </c>
      <c r="BE2106" s="129">
        <f>IFERROR(VLOOKUP($D2106,UNCTAD!$C$5:$V$529,4,FALSE),"..")</f>
        <v>9880941000</v>
      </c>
      <c r="BF2106" s="846">
        <f t="shared" si="364"/>
        <v>0.70859694014265073</v>
      </c>
      <c r="BG2106" s="117">
        <f>VLOOKUP($D2106,'WB Data'!$C$3:$M$578,5,FALSE)</f>
        <v>957720000</v>
      </c>
      <c r="BH2106" s="129">
        <f>IFERROR($BB2106/$BG2106,"..")</f>
        <v>1.6055076337969343</v>
      </c>
      <c r="BI2106" s="117" t="str">
        <f>IFERROR(VLOOKUP($D2106,'WB Data'!$C$3:$M$578,7,FALSE)/100,"..")</f>
        <v>..</v>
      </c>
      <c r="BJ2106" s="117" t="str">
        <f>IFERROR($BI2106*$AW2106,"..")</f>
        <v>..</v>
      </c>
      <c r="BK2106" s="846" t="str">
        <f>IFERROR($BB2106/$BJ2106,"..")</f>
        <v>..</v>
      </c>
      <c r="BL2106" s="117" t="str">
        <f>IFERROR(VLOOKUP($D2106,'WB Data'!$C$3:$M$578,7,FALSE)/100,"..")</f>
        <v>..</v>
      </c>
      <c r="BM2106" s="117" t="str">
        <f>IFERROR($AW2106*$BL2106,"..")</f>
        <v>..</v>
      </c>
      <c r="BN2106" s="846" t="str">
        <f>IFERROR($BB2106/$BM2106,"..")</f>
        <v>..</v>
      </c>
      <c r="BO2106" s="801">
        <f t="shared" si="360"/>
        <v>38</v>
      </c>
      <c r="BP2106" s="117" t="str">
        <f>VLOOKUP($D2106,'WB Data'!$C$3:$M$578,9,FALSE)</f>
        <v>..</v>
      </c>
      <c r="BQ2106" s="117">
        <f>VLOOKUP($D2106,'WB Data'!$C$3:$M$578,10,FALSE)</f>
        <v>57.022585365853665</v>
      </c>
      <c r="BR2106" s="117">
        <f>VLOOKUP($D2106,'WB Data'!$C$3:$M$578,11,FALSE)</f>
        <v>57.1</v>
      </c>
      <c r="BS2106" s="129">
        <f>IFERROR(VLOOKUP($D2106,'WB Data 2'!$C$2:$K$545,9,FALSE),"..")</f>
        <v>97.876090000000005</v>
      </c>
      <c r="BT2106" s="129">
        <f>_xlfn.IFNA(VLOOKUP($C2106,RGI!$A$2:$C$43,2,FALSE),"..")</f>
        <v>41.2</v>
      </c>
      <c r="BU2106" s="129">
        <f>_xlfn.IFNA(VLOOKUP($C2106,RGI!$A$2:$C$43,3,FALSE),"..")</f>
        <v>60.803011070373614</v>
      </c>
      <c r="BV2106" s="129">
        <f>VLOOKUP($D2106,WGI!$C$2:$O$478,7,FALSE)</f>
        <v>-0.15558153117561299</v>
      </c>
      <c r="BW2106" s="129">
        <f>VLOOKUP($D2106,WGI!$C$2:$O$478,4,FALSE)</f>
        <v>0.61397274031289295</v>
      </c>
      <c r="BX2106" s="129">
        <f>VLOOKUP($D2106,WGI!$C$2:$O$478,3,FALSE)</f>
        <v>-0.50167064815564</v>
      </c>
      <c r="BY2106" s="129">
        <f>VLOOKUP($D2106,WGI!$C$2:$O$478,5,FALSE)</f>
        <v>-0.42878042603682198</v>
      </c>
      <c r="BZ2106" s="129">
        <f>VLOOKUP($D2106,WGI!$C$2:$O$478,2,FALSE)</f>
        <v>-0.36075468296103302</v>
      </c>
    </row>
    <row r="2107" spans="1:80" ht="15" customHeight="1">
      <c r="A2107" s="289" t="s">
        <v>549</v>
      </c>
      <c r="B2107" s="146">
        <v>2012</v>
      </c>
      <c r="C2107" s="117" t="s">
        <v>541</v>
      </c>
      <c r="D2107" s="117" t="s">
        <v>3752</v>
      </c>
      <c r="E2107" s="146" t="s">
        <v>86</v>
      </c>
      <c r="F2107" s="146"/>
      <c r="G2107" s="146" t="s">
        <v>24</v>
      </c>
      <c r="H2107" s="146"/>
      <c r="I2107" s="146"/>
      <c r="J2107" s="146"/>
      <c r="K2107" s="146" t="s">
        <v>2457</v>
      </c>
      <c r="L2107" s="146"/>
      <c r="M2107" s="146"/>
      <c r="N2107" s="146"/>
      <c r="O2107" s="754">
        <v>825</v>
      </c>
      <c r="P2107" s="754"/>
      <c r="Q2107" s="754"/>
      <c r="R2107" s="754">
        <v>825</v>
      </c>
      <c r="S2107" s="146" t="s">
        <v>967</v>
      </c>
      <c r="T2107" s="146"/>
      <c r="U2107" s="119"/>
      <c r="V2107" s="146"/>
      <c r="W2107" s="146"/>
      <c r="X2107" s="146"/>
      <c r="Y2107" s="760"/>
      <c r="Z2107" s="146"/>
      <c r="AA2107" s="146"/>
      <c r="AB2107" s="146"/>
      <c r="AC2107" s="146"/>
      <c r="AD2107" s="146"/>
      <c r="AE2107" s="756"/>
      <c r="AF2107" s="756"/>
      <c r="AG2107" s="756"/>
      <c r="AH2107" s="758"/>
      <c r="AI2107" s="146"/>
      <c r="AJ2107" s="759"/>
      <c r="AK2107" s="146"/>
      <c r="AL2107" s="146"/>
      <c r="AM2107" s="760"/>
      <c r="AN2107" s="146"/>
      <c r="AO2107" s="146"/>
      <c r="AP2107" s="146"/>
      <c r="AQ2107" s="146"/>
      <c r="AR2107" s="146"/>
      <c r="AS2107" s="146"/>
      <c r="AT2107" s="146"/>
      <c r="AU2107" s="146"/>
      <c r="AV2107" s="782"/>
      <c r="AW2107" s="117">
        <f>VLOOKUP($D2107,'WB Data'!$C$3:$M$578,2,FALSE)</f>
        <v>24939543374.136166</v>
      </c>
      <c r="AX2107" s="117">
        <f>VLOOKUP($D2107,'WB Data'!$C$3:$M$578,3,FALSE)</f>
        <v>14075099</v>
      </c>
      <c r="AY2107" s="847">
        <f t="shared" si="361"/>
        <v>6.1654166957788532E-2</v>
      </c>
      <c r="AZ2107" s="117" t="e">
        <f>VLOOKUP($D2107,'WB Data'!$C$3:$M$578,4,FALSE)/100</f>
        <v>#VALUE!</v>
      </c>
      <c r="BA2107" s="117" t="str">
        <f t="shared" si="362"/>
        <v>..</v>
      </c>
      <c r="BB2107" s="129">
        <f>IFERROR(VLOOKUP($D2107,'EITI Revenues'!$C$2:$G$224,5,FALSE),"..")</f>
        <v>1537626771.04</v>
      </c>
      <c r="BC2107" s="846" t="str">
        <f t="shared" si="363"/>
        <v>..</v>
      </c>
      <c r="BD2107" s="129">
        <f>VLOOKUP($D2107,'WB Data 2'!$C$2:$K$545,6,FALSE)</f>
        <v>7001604558.3300638</v>
      </c>
      <c r="BE2107" s="129">
        <f>IFERROR(VLOOKUP($D2107,UNCTAD!$C$5:$V$529,4,FALSE),"..")</f>
        <v>9880941000</v>
      </c>
      <c r="BF2107" s="846">
        <f t="shared" si="364"/>
        <v>0.70859694014265073</v>
      </c>
      <c r="BG2107" s="117">
        <f>VLOOKUP($D2107,'WB Data'!$C$3:$M$578,5,FALSE)</f>
        <v>957720000</v>
      </c>
      <c r="BH2107" s="129">
        <f>IFERROR($BB2107/$BG2107,"..")</f>
        <v>1.6055076337969343</v>
      </c>
      <c r="BI2107" s="117" t="str">
        <f>IFERROR(VLOOKUP($D2107,'WB Data'!$C$3:$M$578,7,FALSE)/100,"..")</f>
        <v>..</v>
      </c>
      <c r="BJ2107" s="117" t="str">
        <f>IFERROR($BI2107*$AW2107,"..")</f>
        <v>..</v>
      </c>
      <c r="BK2107" s="846" t="str">
        <f>IFERROR($BB2107/$BJ2107,"..")</f>
        <v>..</v>
      </c>
      <c r="BL2107" s="117" t="str">
        <f>IFERROR(VLOOKUP($D2107,'WB Data'!$C$3:$M$578,7,FALSE)/100,"..")</f>
        <v>..</v>
      </c>
      <c r="BM2107" s="117" t="str">
        <f>IFERROR($AW2107*$BL2107,"..")</f>
        <v>..</v>
      </c>
      <c r="BN2107" s="846" t="str">
        <f>IFERROR($BB2107/$BM2107,"..")</f>
        <v>..</v>
      </c>
      <c r="BO2107" s="801">
        <f t="shared" si="360"/>
        <v>38</v>
      </c>
      <c r="BP2107" s="117" t="str">
        <f>VLOOKUP($D2107,'WB Data'!$C$3:$M$578,9,FALSE)</f>
        <v>..</v>
      </c>
      <c r="BQ2107" s="117">
        <f>VLOOKUP($D2107,'WB Data'!$C$3:$M$578,10,FALSE)</f>
        <v>57.022585365853665</v>
      </c>
      <c r="BR2107" s="117">
        <f>VLOOKUP($D2107,'WB Data'!$C$3:$M$578,11,FALSE)</f>
        <v>57.1</v>
      </c>
      <c r="BS2107" s="129">
        <f>IFERROR(VLOOKUP($D2107,'WB Data 2'!$C$2:$K$545,9,FALSE),"..")</f>
        <v>97.876090000000005</v>
      </c>
      <c r="BT2107" s="129">
        <f>_xlfn.IFNA(VLOOKUP($C2107,RGI!$A$2:$C$43,2,FALSE),"..")</f>
        <v>41.2</v>
      </c>
      <c r="BU2107" s="129">
        <f>_xlfn.IFNA(VLOOKUP($C2107,RGI!$A$2:$C$43,3,FALSE),"..")</f>
        <v>60.803011070373614</v>
      </c>
      <c r="BV2107" s="129">
        <f>VLOOKUP($D2107,WGI!$C$2:$O$478,7,FALSE)</f>
        <v>-0.15558153117561299</v>
      </c>
      <c r="BW2107" s="129">
        <f>VLOOKUP($D2107,WGI!$C$2:$O$478,4,FALSE)</f>
        <v>0.61397274031289295</v>
      </c>
      <c r="BX2107" s="129">
        <f>VLOOKUP($D2107,WGI!$C$2:$O$478,3,FALSE)</f>
        <v>-0.50167064815564</v>
      </c>
      <c r="BY2107" s="129">
        <f>VLOOKUP($D2107,WGI!$C$2:$O$478,5,FALSE)</f>
        <v>-0.42878042603682198</v>
      </c>
      <c r="BZ2107" s="129">
        <f>VLOOKUP($D2107,WGI!$C$2:$O$478,2,FALSE)</f>
        <v>-0.36075468296103302</v>
      </c>
    </row>
    <row r="2108" spans="1:80" ht="15" customHeight="1">
      <c r="A2108" s="289" t="s">
        <v>549</v>
      </c>
      <c r="B2108" s="146">
        <v>2012</v>
      </c>
      <c r="C2108" s="117" t="s">
        <v>541</v>
      </c>
      <c r="D2108" s="117" t="s">
        <v>3752</v>
      </c>
      <c r="E2108" s="146" t="s">
        <v>86</v>
      </c>
      <c r="F2108" s="146"/>
      <c r="G2108" s="146" t="s">
        <v>24</v>
      </c>
      <c r="H2108" s="146"/>
      <c r="I2108" s="146"/>
      <c r="J2108" s="146"/>
      <c r="K2108" s="146" t="s">
        <v>2458</v>
      </c>
      <c r="L2108" s="146"/>
      <c r="M2108" s="146"/>
      <c r="N2108" s="146"/>
      <c r="O2108" s="754">
        <v>26126</v>
      </c>
      <c r="P2108" s="754"/>
      <c r="Q2108" s="754"/>
      <c r="R2108" s="754">
        <v>26126</v>
      </c>
      <c r="S2108" s="146" t="s">
        <v>610</v>
      </c>
      <c r="T2108" s="146"/>
      <c r="U2108" s="119"/>
      <c r="V2108" s="146"/>
      <c r="W2108" s="146"/>
      <c r="X2108" s="146"/>
      <c r="Y2108" s="760"/>
      <c r="Z2108" s="146"/>
      <c r="AA2108" s="146"/>
      <c r="AB2108" s="146"/>
      <c r="AC2108" s="146"/>
      <c r="AD2108" s="146"/>
      <c r="AE2108" s="756"/>
      <c r="AF2108" s="756"/>
      <c r="AG2108" s="756"/>
      <c r="AH2108" s="758"/>
      <c r="AI2108" s="146"/>
      <c r="AJ2108" s="759"/>
      <c r="AK2108" s="146"/>
      <c r="AL2108" s="146"/>
      <c r="AM2108" s="760"/>
      <c r="AN2108" s="146"/>
      <c r="AO2108" s="146"/>
      <c r="AP2108" s="146"/>
      <c r="AQ2108" s="146"/>
      <c r="AR2108" s="146"/>
      <c r="AS2108" s="146"/>
      <c r="AT2108" s="146"/>
      <c r="AU2108" s="146"/>
      <c r="AV2108" s="782"/>
      <c r="AW2108" s="117">
        <f>VLOOKUP($D2108,'WB Data'!$C$3:$M$578,2,FALSE)</f>
        <v>24939543374.136166</v>
      </c>
      <c r="AX2108" s="117">
        <f>VLOOKUP($D2108,'WB Data'!$C$3:$M$578,3,FALSE)</f>
        <v>14075099</v>
      </c>
      <c r="AY2108" s="847">
        <f t="shared" si="361"/>
        <v>6.1654166957788532E-2</v>
      </c>
      <c r="AZ2108" s="117" t="e">
        <f>VLOOKUP($D2108,'WB Data'!$C$3:$M$578,4,FALSE)/100</f>
        <v>#VALUE!</v>
      </c>
      <c r="BA2108" s="117" t="str">
        <f t="shared" si="362"/>
        <v>..</v>
      </c>
      <c r="BB2108" s="129">
        <f>IFERROR(VLOOKUP($D2108,'EITI Revenues'!$C$2:$G$224,5,FALSE),"..")</f>
        <v>1537626771.04</v>
      </c>
      <c r="BC2108" s="846" t="str">
        <f t="shared" si="363"/>
        <v>..</v>
      </c>
      <c r="BD2108" s="129">
        <f>VLOOKUP($D2108,'WB Data 2'!$C$2:$K$545,6,FALSE)</f>
        <v>7001604558.3300638</v>
      </c>
      <c r="BE2108" s="129">
        <f>IFERROR(VLOOKUP($D2108,UNCTAD!$C$5:$V$529,4,FALSE),"..")</f>
        <v>9880941000</v>
      </c>
      <c r="BF2108" s="846">
        <f t="shared" si="364"/>
        <v>0.70859694014265073</v>
      </c>
      <c r="BG2108" s="117">
        <f>VLOOKUP($D2108,'WB Data'!$C$3:$M$578,5,FALSE)</f>
        <v>957720000</v>
      </c>
      <c r="BH2108" s="129">
        <f>IFERROR($BB2108/$BG2108,"..")</f>
        <v>1.6055076337969343</v>
      </c>
      <c r="BI2108" s="117" t="str">
        <f>IFERROR(VLOOKUP($D2108,'WB Data'!$C$3:$M$578,7,FALSE)/100,"..")</f>
        <v>..</v>
      </c>
      <c r="BJ2108" s="117" t="str">
        <f>IFERROR($BI2108*$AW2108,"..")</f>
        <v>..</v>
      </c>
      <c r="BK2108" s="846" t="str">
        <f>IFERROR($BB2108/$BJ2108,"..")</f>
        <v>..</v>
      </c>
      <c r="BL2108" s="117" t="str">
        <f>IFERROR(VLOOKUP($D2108,'WB Data'!$C$3:$M$578,7,FALSE)/100,"..")</f>
        <v>..</v>
      </c>
      <c r="BM2108" s="117" t="str">
        <f>IFERROR($AW2108*$BL2108,"..")</f>
        <v>..</v>
      </c>
      <c r="BN2108" s="846" t="str">
        <f>IFERROR($BB2108/$BM2108,"..")</f>
        <v>..</v>
      </c>
      <c r="BO2108" s="801">
        <f t="shared" si="360"/>
        <v>38</v>
      </c>
      <c r="BP2108" s="117" t="str">
        <f>VLOOKUP($D2108,'WB Data'!$C$3:$M$578,9,FALSE)</f>
        <v>..</v>
      </c>
      <c r="BQ2108" s="117">
        <f>VLOOKUP($D2108,'WB Data'!$C$3:$M$578,10,FALSE)</f>
        <v>57.022585365853665</v>
      </c>
      <c r="BR2108" s="117">
        <f>VLOOKUP($D2108,'WB Data'!$C$3:$M$578,11,FALSE)</f>
        <v>57.1</v>
      </c>
      <c r="BS2108" s="129">
        <f>IFERROR(VLOOKUP($D2108,'WB Data 2'!$C$2:$K$545,9,FALSE),"..")</f>
        <v>97.876090000000005</v>
      </c>
      <c r="BT2108" s="129">
        <f>_xlfn.IFNA(VLOOKUP($C2108,RGI!$A$2:$C$43,2,FALSE),"..")</f>
        <v>41.2</v>
      </c>
      <c r="BU2108" s="129">
        <f>_xlfn.IFNA(VLOOKUP($C2108,RGI!$A$2:$C$43,3,FALSE),"..")</f>
        <v>60.803011070373614</v>
      </c>
      <c r="BV2108" s="129">
        <f>VLOOKUP($D2108,WGI!$C$2:$O$478,7,FALSE)</f>
        <v>-0.15558153117561299</v>
      </c>
      <c r="BW2108" s="129">
        <f>VLOOKUP($D2108,WGI!$C$2:$O$478,4,FALSE)</f>
        <v>0.61397274031289295</v>
      </c>
      <c r="BX2108" s="129">
        <f>VLOOKUP($D2108,WGI!$C$2:$O$478,3,FALSE)</f>
        <v>-0.50167064815564</v>
      </c>
      <c r="BY2108" s="129">
        <f>VLOOKUP($D2108,WGI!$C$2:$O$478,5,FALSE)</f>
        <v>-0.42878042603682198</v>
      </c>
      <c r="BZ2108" s="129">
        <f>VLOOKUP($D2108,WGI!$C$2:$O$478,2,FALSE)</f>
        <v>-0.36075468296103302</v>
      </c>
    </row>
    <row r="2109" spans="1:80" ht="15" customHeight="1">
      <c r="A2109" s="289" t="s">
        <v>549</v>
      </c>
      <c r="B2109" s="146">
        <v>2012</v>
      </c>
      <c r="C2109" s="117" t="s">
        <v>541</v>
      </c>
      <c r="D2109" s="117" t="s">
        <v>3752</v>
      </c>
      <c r="E2109" s="146" t="s">
        <v>86</v>
      </c>
      <c r="F2109" s="146"/>
      <c r="G2109" s="146" t="s">
        <v>24</v>
      </c>
      <c r="H2109" s="146"/>
      <c r="I2109" s="146"/>
      <c r="J2109" s="146"/>
      <c r="K2109" s="146" t="s">
        <v>2459</v>
      </c>
      <c r="L2109" s="146"/>
      <c r="M2109" s="146"/>
      <c r="N2109" s="146"/>
      <c r="O2109" s="754">
        <v>149895</v>
      </c>
      <c r="P2109" s="754"/>
      <c r="Q2109" s="754"/>
      <c r="R2109" s="754">
        <v>149895</v>
      </c>
      <c r="S2109" s="146" t="s">
        <v>610</v>
      </c>
      <c r="T2109" s="146"/>
      <c r="U2109" s="119"/>
      <c r="V2109" s="146"/>
      <c r="W2109" s="146"/>
      <c r="X2109" s="146"/>
      <c r="Y2109" s="760"/>
      <c r="Z2109" s="146"/>
      <c r="AA2109" s="146"/>
      <c r="AB2109" s="146"/>
      <c r="AC2109" s="146"/>
      <c r="AD2109" s="146"/>
      <c r="AE2109" s="756"/>
      <c r="AF2109" s="756"/>
      <c r="AG2109" s="756"/>
      <c r="AH2109" s="758"/>
      <c r="AI2109" s="146"/>
      <c r="AJ2109" s="759"/>
      <c r="AK2109" s="146"/>
      <c r="AL2109" s="146"/>
      <c r="AM2109" s="760"/>
      <c r="AN2109" s="146"/>
      <c r="AO2109" s="146"/>
      <c r="AP2109" s="146"/>
      <c r="AQ2109" s="146"/>
      <c r="AR2109" s="146"/>
      <c r="AS2109" s="146"/>
      <c r="AT2109" s="146"/>
      <c r="AU2109" s="146"/>
      <c r="AV2109" s="782"/>
      <c r="AW2109" s="117">
        <f>VLOOKUP($D2109,'WB Data'!$C$3:$M$578,2,FALSE)</f>
        <v>24939543374.136166</v>
      </c>
      <c r="AX2109" s="117">
        <f>VLOOKUP($D2109,'WB Data'!$C$3:$M$578,3,FALSE)</f>
        <v>14075099</v>
      </c>
      <c r="AY2109" s="847">
        <f t="shared" si="361"/>
        <v>6.1654166957788532E-2</v>
      </c>
      <c r="AZ2109" s="117" t="e">
        <f>VLOOKUP($D2109,'WB Data'!$C$3:$M$578,4,FALSE)/100</f>
        <v>#VALUE!</v>
      </c>
      <c r="BA2109" s="117" t="str">
        <f t="shared" si="362"/>
        <v>..</v>
      </c>
      <c r="BB2109" s="129">
        <f>IFERROR(VLOOKUP($D2109,'EITI Revenues'!$C$2:$G$224,5,FALSE),"..")</f>
        <v>1537626771.04</v>
      </c>
      <c r="BC2109" s="846" t="str">
        <f t="shared" si="363"/>
        <v>..</v>
      </c>
      <c r="BD2109" s="129">
        <f>VLOOKUP($D2109,'WB Data 2'!$C$2:$K$545,6,FALSE)</f>
        <v>7001604558.3300638</v>
      </c>
      <c r="BE2109" s="129">
        <f>IFERROR(VLOOKUP($D2109,UNCTAD!$C$5:$V$529,4,FALSE),"..")</f>
        <v>9880941000</v>
      </c>
      <c r="BF2109" s="846">
        <f t="shared" si="364"/>
        <v>0.70859694014265073</v>
      </c>
      <c r="BG2109" s="117">
        <f>VLOOKUP($D2109,'WB Data'!$C$3:$M$578,5,FALSE)</f>
        <v>957720000</v>
      </c>
      <c r="BH2109" s="129">
        <f>IFERROR($BB2109/$BG2109,"..")</f>
        <v>1.6055076337969343</v>
      </c>
      <c r="BI2109" s="117" t="str">
        <f>IFERROR(VLOOKUP($D2109,'WB Data'!$C$3:$M$578,7,FALSE)/100,"..")</f>
        <v>..</v>
      </c>
      <c r="BJ2109" s="117" t="str">
        <f>IFERROR($BI2109*$AW2109,"..")</f>
        <v>..</v>
      </c>
      <c r="BK2109" s="846" t="str">
        <f>IFERROR($BB2109/$BJ2109,"..")</f>
        <v>..</v>
      </c>
      <c r="BL2109" s="117" t="str">
        <f>IFERROR(VLOOKUP($D2109,'WB Data'!$C$3:$M$578,7,FALSE)/100,"..")</f>
        <v>..</v>
      </c>
      <c r="BM2109" s="117" t="str">
        <f>IFERROR($AW2109*$BL2109,"..")</f>
        <v>..</v>
      </c>
      <c r="BN2109" s="846" t="str">
        <f>IFERROR($BB2109/$BM2109,"..")</f>
        <v>..</v>
      </c>
      <c r="BO2109" s="801">
        <f t="shared" si="360"/>
        <v>38</v>
      </c>
      <c r="BP2109" s="117" t="str">
        <f>VLOOKUP($D2109,'WB Data'!$C$3:$M$578,9,FALSE)</f>
        <v>..</v>
      </c>
      <c r="BQ2109" s="117">
        <f>VLOOKUP($D2109,'WB Data'!$C$3:$M$578,10,FALSE)</f>
        <v>57.022585365853665</v>
      </c>
      <c r="BR2109" s="117">
        <f>VLOOKUP($D2109,'WB Data'!$C$3:$M$578,11,FALSE)</f>
        <v>57.1</v>
      </c>
      <c r="BS2109" s="129">
        <f>IFERROR(VLOOKUP($D2109,'WB Data 2'!$C$2:$K$545,9,FALSE),"..")</f>
        <v>97.876090000000005</v>
      </c>
      <c r="BT2109" s="129">
        <f>_xlfn.IFNA(VLOOKUP($C2109,RGI!$A$2:$C$43,2,FALSE),"..")</f>
        <v>41.2</v>
      </c>
      <c r="BU2109" s="129">
        <f>_xlfn.IFNA(VLOOKUP($C2109,RGI!$A$2:$C$43,3,FALSE),"..")</f>
        <v>60.803011070373614</v>
      </c>
      <c r="BV2109" s="129">
        <f>VLOOKUP($D2109,WGI!$C$2:$O$478,7,FALSE)</f>
        <v>-0.15558153117561299</v>
      </c>
      <c r="BW2109" s="129">
        <f>VLOOKUP($D2109,WGI!$C$2:$O$478,4,FALSE)</f>
        <v>0.61397274031289295</v>
      </c>
      <c r="BX2109" s="129">
        <f>VLOOKUP($D2109,WGI!$C$2:$O$478,3,FALSE)</f>
        <v>-0.50167064815564</v>
      </c>
      <c r="BY2109" s="129">
        <f>VLOOKUP($D2109,WGI!$C$2:$O$478,5,FALSE)</f>
        <v>-0.42878042603682198</v>
      </c>
      <c r="BZ2109" s="129">
        <f>VLOOKUP($D2109,WGI!$C$2:$O$478,2,FALSE)</f>
        <v>-0.36075468296103302</v>
      </c>
    </row>
    <row r="2110" spans="1:80" ht="15" customHeight="1">
      <c r="A2110" s="289" t="s">
        <v>549</v>
      </c>
      <c r="B2110" s="146">
        <v>2012</v>
      </c>
      <c r="C2110" s="117" t="s">
        <v>541</v>
      </c>
      <c r="D2110" s="117" t="s">
        <v>3752</v>
      </c>
      <c r="E2110" s="146" t="s">
        <v>86</v>
      </c>
      <c r="F2110" s="146"/>
      <c r="G2110" s="146" t="s">
        <v>24</v>
      </c>
      <c r="H2110" s="146"/>
      <c r="I2110" s="146"/>
      <c r="J2110" s="146"/>
      <c r="K2110" s="146" t="s">
        <v>616</v>
      </c>
      <c r="L2110" s="146"/>
      <c r="M2110" s="146"/>
      <c r="N2110" s="146"/>
      <c r="O2110" s="754">
        <v>90493</v>
      </c>
      <c r="P2110" s="754"/>
      <c r="Q2110" s="754"/>
      <c r="R2110" s="754">
        <v>90493</v>
      </c>
      <c r="S2110" s="146" t="s">
        <v>610</v>
      </c>
      <c r="T2110" s="146"/>
      <c r="U2110" s="119"/>
      <c r="V2110" s="146"/>
      <c r="W2110" s="146"/>
      <c r="X2110" s="146"/>
      <c r="Y2110" s="760"/>
      <c r="Z2110" s="146"/>
      <c r="AA2110" s="146"/>
      <c r="AB2110" s="146"/>
      <c r="AC2110" s="146"/>
      <c r="AD2110" s="146"/>
      <c r="AE2110" s="756"/>
      <c r="AF2110" s="756"/>
      <c r="AG2110" s="756"/>
      <c r="AH2110" s="758"/>
      <c r="AI2110" s="146"/>
      <c r="AJ2110" s="759"/>
      <c r="AK2110" s="146"/>
      <c r="AL2110" s="146"/>
      <c r="AM2110" s="760"/>
      <c r="AN2110" s="146"/>
      <c r="AO2110" s="146"/>
      <c r="AP2110" s="146"/>
      <c r="AQ2110" s="146"/>
      <c r="AR2110" s="146"/>
      <c r="AS2110" s="146"/>
      <c r="AT2110" s="146"/>
      <c r="AU2110" s="146"/>
      <c r="AV2110" s="782"/>
      <c r="AW2110" s="117">
        <f>VLOOKUP($D2110,'WB Data'!$C$3:$M$578,2,FALSE)</f>
        <v>24939543374.136166</v>
      </c>
      <c r="AX2110" s="117">
        <f>VLOOKUP($D2110,'WB Data'!$C$3:$M$578,3,FALSE)</f>
        <v>14075099</v>
      </c>
      <c r="AY2110" s="847">
        <f t="shared" si="361"/>
        <v>6.1654166957788532E-2</v>
      </c>
      <c r="AZ2110" s="117" t="e">
        <f>VLOOKUP($D2110,'WB Data'!$C$3:$M$578,4,FALSE)/100</f>
        <v>#VALUE!</v>
      </c>
      <c r="BA2110" s="117" t="str">
        <f t="shared" si="362"/>
        <v>..</v>
      </c>
      <c r="BB2110" s="129">
        <f>IFERROR(VLOOKUP($D2110,'EITI Revenues'!$C$2:$G$224,5,FALSE),"..")</f>
        <v>1537626771.04</v>
      </c>
      <c r="BC2110" s="846" t="str">
        <f t="shared" si="363"/>
        <v>..</v>
      </c>
      <c r="BD2110" s="129">
        <f>VLOOKUP($D2110,'WB Data 2'!$C$2:$K$545,6,FALSE)</f>
        <v>7001604558.3300638</v>
      </c>
      <c r="BE2110" s="129">
        <f>IFERROR(VLOOKUP($D2110,UNCTAD!$C$5:$V$529,4,FALSE),"..")</f>
        <v>9880941000</v>
      </c>
      <c r="BF2110" s="846">
        <f t="shared" si="364"/>
        <v>0.70859694014265073</v>
      </c>
      <c r="BG2110" s="117">
        <f>VLOOKUP($D2110,'WB Data'!$C$3:$M$578,5,FALSE)</f>
        <v>957720000</v>
      </c>
      <c r="BH2110" s="129">
        <f>IFERROR($BB2110/$BG2110,"..")</f>
        <v>1.6055076337969343</v>
      </c>
      <c r="BI2110" s="117" t="str">
        <f>IFERROR(VLOOKUP($D2110,'WB Data'!$C$3:$M$578,7,FALSE)/100,"..")</f>
        <v>..</v>
      </c>
      <c r="BJ2110" s="117" t="str">
        <f>IFERROR($BI2110*$AW2110,"..")</f>
        <v>..</v>
      </c>
      <c r="BK2110" s="846" t="str">
        <f>IFERROR($BB2110/$BJ2110,"..")</f>
        <v>..</v>
      </c>
      <c r="BL2110" s="117" t="str">
        <f>IFERROR(VLOOKUP($D2110,'WB Data'!$C$3:$M$578,7,FALSE)/100,"..")</f>
        <v>..</v>
      </c>
      <c r="BM2110" s="117" t="str">
        <f>IFERROR($AW2110*$BL2110,"..")</f>
        <v>..</v>
      </c>
      <c r="BN2110" s="846" t="str">
        <f>IFERROR($BB2110/$BM2110,"..")</f>
        <v>..</v>
      </c>
      <c r="BO2110" s="801">
        <f t="shared" si="360"/>
        <v>38</v>
      </c>
      <c r="BP2110" s="117" t="str">
        <f>VLOOKUP($D2110,'WB Data'!$C$3:$M$578,9,FALSE)</f>
        <v>..</v>
      </c>
      <c r="BQ2110" s="117">
        <f>VLOOKUP($D2110,'WB Data'!$C$3:$M$578,10,FALSE)</f>
        <v>57.022585365853665</v>
      </c>
      <c r="BR2110" s="117">
        <f>VLOOKUP($D2110,'WB Data'!$C$3:$M$578,11,FALSE)</f>
        <v>57.1</v>
      </c>
      <c r="BS2110" s="129">
        <f>IFERROR(VLOOKUP($D2110,'WB Data 2'!$C$2:$K$545,9,FALSE),"..")</f>
        <v>97.876090000000005</v>
      </c>
      <c r="BT2110" s="129">
        <f>_xlfn.IFNA(VLOOKUP($C2110,RGI!$A$2:$C$43,2,FALSE),"..")</f>
        <v>41.2</v>
      </c>
      <c r="BU2110" s="129">
        <f>_xlfn.IFNA(VLOOKUP($C2110,RGI!$A$2:$C$43,3,FALSE),"..")</f>
        <v>60.803011070373614</v>
      </c>
      <c r="BV2110" s="129">
        <f>VLOOKUP($D2110,WGI!$C$2:$O$478,7,FALSE)</f>
        <v>-0.15558153117561299</v>
      </c>
      <c r="BW2110" s="129">
        <f>VLOOKUP($D2110,WGI!$C$2:$O$478,4,FALSE)</f>
        <v>0.61397274031289295</v>
      </c>
      <c r="BX2110" s="129">
        <f>VLOOKUP($D2110,WGI!$C$2:$O$478,3,FALSE)</f>
        <v>-0.50167064815564</v>
      </c>
      <c r="BY2110" s="129">
        <f>VLOOKUP($D2110,WGI!$C$2:$O$478,5,FALSE)</f>
        <v>-0.42878042603682198</v>
      </c>
      <c r="BZ2110" s="129">
        <f>VLOOKUP($D2110,WGI!$C$2:$O$478,2,FALSE)</f>
        <v>-0.36075468296103302</v>
      </c>
    </row>
    <row r="2111" spans="1:80" s="158" customFormat="1" ht="15" customHeight="1">
      <c r="A2111" s="769" t="s">
        <v>549</v>
      </c>
      <c r="B2111" s="392">
        <v>2012</v>
      </c>
      <c r="C2111" s="117" t="s">
        <v>541</v>
      </c>
      <c r="D2111" s="117" t="s">
        <v>3752</v>
      </c>
      <c r="E2111" s="392" t="s">
        <v>86</v>
      </c>
      <c r="F2111" s="392"/>
      <c r="G2111" s="392" t="s">
        <v>24</v>
      </c>
      <c r="H2111" s="392"/>
      <c r="I2111" s="392"/>
      <c r="J2111" s="392"/>
      <c r="K2111" s="392" t="s">
        <v>843</v>
      </c>
      <c r="L2111" s="392"/>
      <c r="M2111" s="392"/>
      <c r="N2111" s="392"/>
      <c r="O2111" s="395">
        <v>50567</v>
      </c>
      <c r="P2111" s="395"/>
      <c r="Q2111" s="395"/>
      <c r="R2111" s="395">
        <v>50567</v>
      </c>
      <c r="S2111" s="392" t="s">
        <v>610</v>
      </c>
      <c r="T2111" s="392"/>
      <c r="U2111" s="151"/>
      <c r="V2111" s="392"/>
      <c r="W2111" s="392"/>
      <c r="X2111" s="392"/>
      <c r="Y2111" s="396"/>
      <c r="Z2111" s="392"/>
      <c r="AA2111" s="392"/>
      <c r="AB2111" s="392"/>
      <c r="AC2111" s="392"/>
      <c r="AD2111" s="392"/>
      <c r="AE2111" s="398"/>
      <c r="AF2111" s="398"/>
      <c r="AG2111" s="398"/>
      <c r="AH2111" s="399"/>
      <c r="AI2111" s="392"/>
      <c r="AJ2111" s="400"/>
      <c r="AK2111" s="392"/>
      <c r="AL2111" s="392"/>
      <c r="AM2111" s="396"/>
      <c r="AN2111" s="392"/>
      <c r="AO2111" s="392"/>
      <c r="AP2111" s="392"/>
      <c r="AQ2111" s="392"/>
      <c r="AR2111" s="392"/>
      <c r="AS2111" s="392"/>
      <c r="AT2111" s="392"/>
      <c r="AU2111" s="392"/>
      <c r="AV2111" s="785"/>
      <c r="AW2111" s="117">
        <f>VLOOKUP($D2111,'WB Data'!$C$3:$M$578,2,FALSE)</f>
        <v>24939543374.136166</v>
      </c>
      <c r="AX2111" s="117">
        <f>VLOOKUP($D2111,'WB Data'!$C$3:$M$578,3,FALSE)</f>
        <v>14075099</v>
      </c>
      <c r="AY2111" s="847">
        <f t="shared" si="361"/>
        <v>6.1654166957788532E-2</v>
      </c>
      <c r="AZ2111" s="117" t="e">
        <f>VLOOKUP($D2111,'WB Data'!$C$3:$M$578,4,FALSE)/100</f>
        <v>#VALUE!</v>
      </c>
      <c r="BA2111" s="117" t="str">
        <f t="shared" si="362"/>
        <v>..</v>
      </c>
      <c r="BB2111" s="129">
        <f>IFERROR(VLOOKUP($D2111,'EITI Revenues'!$C$2:$G$224,5,FALSE),"..")</f>
        <v>1537626771.04</v>
      </c>
      <c r="BC2111" s="846" t="str">
        <f t="shared" si="363"/>
        <v>..</v>
      </c>
      <c r="BD2111" s="129">
        <f>VLOOKUP($D2111,'WB Data 2'!$C$2:$K$545,6,FALSE)</f>
        <v>7001604558.3300638</v>
      </c>
      <c r="BE2111" s="129">
        <f>IFERROR(VLOOKUP($D2111,UNCTAD!$C$5:$V$529,4,FALSE),"..")</f>
        <v>9880941000</v>
      </c>
      <c r="BF2111" s="846">
        <f t="shared" si="364"/>
        <v>0.70859694014265073</v>
      </c>
      <c r="BG2111" s="117">
        <f>VLOOKUP($D2111,'WB Data'!$C$3:$M$578,5,FALSE)</f>
        <v>957720000</v>
      </c>
      <c r="BH2111" s="129">
        <f>IFERROR($BB2111/$BG2111,"..")</f>
        <v>1.6055076337969343</v>
      </c>
      <c r="BI2111" s="117" t="str">
        <f>IFERROR(VLOOKUP($D2111,'WB Data'!$C$3:$M$578,7,FALSE)/100,"..")</f>
        <v>..</v>
      </c>
      <c r="BJ2111" s="117" t="str">
        <f>IFERROR($BI2111*$AW2111,"..")</f>
        <v>..</v>
      </c>
      <c r="BK2111" s="846" t="str">
        <f>IFERROR($BB2111/$BJ2111,"..")</f>
        <v>..</v>
      </c>
      <c r="BL2111" s="117" t="str">
        <f>IFERROR(VLOOKUP($D2111,'WB Data'!$C$3:$M$578,7,FALSE)/100,"..")</f>
        <v>..</v>
      </c>
      <c r="BM2111" s="117" t="str">
        <f>IFERROR($AW2111*$BL2111,"..")</f>
        <v>..</v>
      </c>
      <c r="BN2111" s="846" t="str">
        <f>IFERROR($BB2111/$BM2111,"..")</f>
        <v>..</v>
      </c>
      <c r="BO2111" s="801">
        <f t="shared" si="360"/>
        <v>38</v>
      </c>
      <c r="BP2111" s="117" t="str">
        <f>VLOOKUP($D2111,'WB Data'!$C$3:$M$578,9,FALSE)</f>
        <v>..</v>
      </c>
      <c r="BQ2111" s="117">
        <f>VLOOKUP($D2111,'WB Data'!$C$3:$M$578,10,FALSE)</f>
        <v>57.022585365853665</v>
      </c>
      <c r="BR2111" s="117">
        <f>VLOOKUP($D2111,'WB Data'!$C$3:$M$578,11,FALSE)</f>
        <v>57.1</v>
      </c>
      <c r="BS2111" s="129">
        <f>IFERROR(VLOOKUP($D2111,'WB Data 2'!$C$2:$K$545,9,FALSE),"..")</f>
        <v>97.876090000000005</v>
      </c>
      <c r="BT2111" s="129">
        <f>_xlfn.IFNA(VLOOKUP($C2111,RGI!$A$2:$C$43,2,FALSE),"..")</f>
        <v>41.2</v>
      </c>
      <c r="BU2111" s="129">
        <f>_xlfn.IFNA(VLOOKUP($C2111,RGI!$A$2:$C$43,3,FALSE),"..")</f>
        <v>60.803011070373614</v>
      </c>
      <c r="BV2111" s="129">
        <f>VLOOKUP($D2111,WGI!$C$2:$O$478,7,FALSE)</f>
        <v>-0.15558153117561299</v>
      </c>
      <c r="BW2111" s="129">
        <f>VLOOKUP($D2111,WGI!$C$2:$O$478,4,FALSE)</f>
        <v>0.61397274031289295</v>
      </c>
      <c r="BX2111" s="129">
        <f>VLOOKUP($D2111,WGI!$C$2:$O$478,3,FALSE)</f>
        <v>-0.50167064815564</v>
      </c>
      <c r="BY2111" s="129">
        <f>VLOOKUP($D2111,WGI!$C$2:$O$478,5,FALSE)</f>
        <v>-0.42878042603682198</v>
      </c>
      <c r="BZ2111" s="129">
        <f>VLOOKUP($D2111,WGI!$C$2:$O$478,2,FALSE)</f>
        <v>-0.36075468296103302</v>
      </c>
      <c r="CB2111" s="129"/>
    </row>
    <row r="2112" spans="1:80" ht="15" customHeight="1">
      <c r="A2112" s="289" t="s">
        <v>552</v>
      </c>
      <c r="B2112" s="146">
        <v>2013</v>
      </c>
      <c r="C2112" s="117" t="s">
        <v>541</v>
      </c>
      <c r="D2112" s="117" t="s">
        <v>3786</v>
      </c>
      <c r="E2112" s="146" t="s">
        <v>86</v>
      </c>
      <c r="F2112" s="146" t="s">
        <v>2393</v>
      </c>
      <c r="G2112" s="146" t="s">
        <v>41</v>
      </c>
      <c r="H2112" s="146"/>
      <c r="I2112" s="146"/>
      <c r="J2112" s="146"/>
      <c r="K2112" s="146" t="s">
        <v>709</v>
      </c>
      <c r="L2112" s="146"/>
      <c r="M2112" s="146"/>
      <c r="N2112" s="754"/>
      <c r="O2112" s="754"/>
      <c r="P2112" s="754"/>
      <c r="Q2112" s="146"/>
      <c r="R2112" s="754"/>
      <c r="S2112" s="146"/>
      <c r="T2112" s="119"/>
      <c r="U2112" s="146"/>
      <c r="V2112" s="146" t="s">
        <v>725</v>
      </c>
      <c r="W2112" s="303"/>
      <c r="X2112" s="146" t="s">
        <v>998</v>
      </c>
      <c r="Y2112" s="146" t="s">
        <v>602</v>
      </c>
      <c r="Z2112" s="146" t="s">
        <v>664</v>
      </c>
      <c r="AA2112" s="797">
        <v>1498550077.77</v>
      </c>
      <c r="AB2112" s="620">
        <v>1428239205.4400001</v>
      </c>
      <c r="AC2112" s="762">
        <v>1</v>
      </c>
      <c r="AD2112" s="797">
        <v>1498550077.77</v>
      </c>
      <c r="AE2112" s="756"/>
      <c r="AF2112" s="758"/>
      <c r="AG2112" s="146" t="s">
        <v>2394</v>
      </c>
      <c r="AH2112" s="759">
        <v>5.3489000000000004</v>
      </c>
      <c r="AI2112" s="146" t="s">
        <v>722</v>
      </c>
      <c r="AJ2112" s="146"/>
      <c r="AK2112" s="760"/>
      <c r="AL2112" s="146"/>
      <c r="AM2112" s="146"/>
      <c r="AN2112" s="146">
        <v>30</v>
      </c>
      <c r="AO2112" s="146" t="s">
        <v>2460</v>
      </c>
      <c r="AP2112" s="146">
        <v>29</v>
      </c>
      <c r="AQ2112" s="239" t="s">
        <v>50</v>
      </c>
      <c r="AR2112" s="146"/>
      <c r="AS2112" s="146" t="s">
        <v>607</v>
      </c>
      <c r="AT2112" s="146" t="s">
        <v>553</v>
      </c>
      <c r="AU2112" s="146"/>
      <c r="AV2112" s="128" t="s">
        <v>2461</v>
      </c>
      <c r="AW2112" s="117">
        <f>VLOOKUP($D2112,'WB Data'!$C$3:$M$578,2,FALSE)</f>
        <v>26820870558.94062</v>
      </c>
      <c r="AX2112" s="117">
        <f>VLOOKUP($D2112,'WB Data'!$C$3:$M$578,3,FALSE)</f>
        <v>14538640</v>
      </c>
      <c r="AY2112" s="847">
        <f t="shared" si="361"/>
        <v>5.5872536817059608E-2</v>
      </c>
      <c r="AZ2112" s="117" t="e">
        <f>VLOOKUP($D2112,'WB Data'!$C$3:$M$578,4,FALSE)/100</f>
        <v>#VALUE!</v>
      </c>
      <c r="BA2112" s="117" t="str">
        <f t="shared" si="362"/>
        <v>..</v>
      </c>
      <c r="BB2112" s="129">
        <f>IFERROR(VLOOKUP($D2112,'EITI Revenues'!$C$2:$G$224,5,FALSE),"..")</f>
        <v>1498550077.77</v>
      </c>
      <c r="BC2112" s="846" t="str">
        <f t="shared" si="363"/>
        <v>..</v>
      </c>
      <c r="BD2112" s="129">
        <f>VLOOKUP($D2112,'WB Data 2'!$C$2:$K$545,6,FALSE)</f>
        <v>7566407807.0788269</v>
      </c>
      <c r="BE2112" s="129" t="str">
        <f>IFERROR(VLOOKUP($D2112,UNCTAD!$C$5:$V$529,4,FALSE),"..")</f>
        <v>..</v>
      </c>
      <c r="BF2112" s="846" t="str">
        <f t="shared" si="364"/>
        <v>..</v>
      </c>
      <c r="BG2112" s="117" t="str">
        <f>VLOOKUP($D2112,'WB Data'!$C$3:$M$578,5,FALSE)</f>
        <v>..</v>
      </c>
      <c r="BH2112" s="129" t="str">
        <f>IFERROR($BB2112/$BG2112,"..")</f>
        <v>..</v>
      </c>
      <c r="BI2112" s="117" t="str">
        <f>IFERROR(VLOOKUP($D2112,'WB Data'!$C$3:$M$578,7,FALSE)/100,"..")</f>
        <v>..</v>
      </c>
      <c r="BJ2112" s="117" t="str">
        <f>IFERROR($BI2112*$AW2112,"..")</f>
        <v>..</v>
      </c>
      <c r="BK2112" s="846" t="str">
        <f>IFERROR($BB2112/$BJ2112,"..")</f>
        <v>..</v>
      </c>
      <c r="BL2112" s="117" t="str">
        <f>IFERROR(VLOOKUP($D2112,'WB Data'!$C$3:$M$578,7,FALSE)/100,"..")</f>
        <v>..</v>
      </c>
      <c r="BM2112" s="117" t="str">
        <f>IFERROR($AW2112*$BL2112,"..")</f>
        <v>..</v>
      </c>
      <c r="BN2112" s="846" t="str">
        <f>IFERROR($BB2112/$BM2112,"..")</f>
        <v>..</v>
      </c>
      <c r="BO2112" s="801">
        <f t="shared" si="360"/>
        <v>38</v>
      </c>
      <c r="BP2112" s="117" t="str">
        <f>VLOOKUP($D2112,'WB Data'!$C$3:$M$578,9,FALSE)</f>
        <v>..</v>
      </c>
      <c r="BQ2112" s="117" t="str">
        <f>VLOOKUP($D2112,'WB Data'!$C$3:$M$578,10,FALSE)</f>
        <v>..</v>
      </c>
      <c r="BR2112" s="117">
        <f>VLOOKUP($D2112,'WB Data'!$C$3:$M$578,11,FALSE)</f>
        <v>55.8</v>
      </c>
      <c r="BS2112" s="129" t="str">
        <f>IFERROR(VLOOKUP($D2112,'WB Data 2'!$C$2:$K$545,9,FALSE),"..")</f>
        <v>..</v>
      </c>
      <c r="BT2112" s="129">
        <f>_xlfn.IFNA(VLOOKUP($C2112,RGI!$A$2:$C$43,2,FALSE),"..")</f>
        <v>41.2</v>
      </c>
      <c r="BU2112" s="129">
        <f>_xlfn.IFNA(VLOOKUP($C2112,RGI!$A$2:$C$43,3,FALSE),"..")</f>
        <v>60.803011070373614</v>
      </c>
      <c r="BV2112" s="129">
        <f>VLOOKUP($D2112,WGI!$C$2:$O$478,7,FALSE)</f>
        <v>-0.111896798014641</v>
      </c>
      <c r="BW2112" s="129">
        <f>VLOOKUP($D2112,WGI!$C$2:$O$478,4,FALSE)</f>
        <v>0.389405786991119</v>
      </c>
      <c r="BX2112" s="129">
        <f>VLOOKUP($D2112,WGI!$C$2:$O$478,3,FALSE)</f>
        <v>-0.47539421916008001</v>
      </c>
      <c r="BY2112" s="129">
        <f>VLOOKUP($D2112,WGI!$C$2:$O$478,5,FALSE)</f>
        <v>-0.46777227520942699</v>
      </c>
      <c r="BZ2112" s="129">
        <f>VLOOKUP($D2112,WGI!$C$2:$O$478,2,FALSE)</f>
        <v>-0.38686278462410001</v>
      </c>
    </row>
    <row r="2113" spans="1:78" ht="15" customHeight="1">
      <c r="A2113" s="289" t="s">
        <v>552</v>
      </c>
      <c r="B2113" s="146">
        <v>2013</v>
      </c>
      <c r="C2113" s="117" t="s">
        <v>541</v>
      </c>
      <c r="D2113" s="117" t="s">
        <v>3786</v>
      </c>
      <c r="E2113" s="146" t="s">
        <v>86</v>
      </c>
      <c r="F2113" s="146"/>
      <c r="G2113" s="146" t="s">
        <v>24</v>
      </c>
      <c r="H2113" s="146"/>
      <c r="I2113" s="146"/>
      <c r="J2113" s="146"/>
      <c r="K2113" s="146" t="s">
        <v>600</v>
      </c>
      <c r="L2113" s="146"/>
      <c r="M2113" s="146"/>
      <c r="N2113" s="754"/>
      <c r="O2113" s="754"/>
      <c r="P2113" s="754"/>
      <c r="Q2113" s="146"/>
      <c r="R2113" s="754"/>
      <c r="S2113" s="146"/>
      <c r="T2113" s="119"/>
      <c r="U2113" s="146"/>
      <c r="V2113" s="146"/>
      <c r="W2113" s="146"/>
      <c r="X2113" s="146"/>
      <c r="Y2113" s="146"/>
      <c r="Z2113" s="146"/>
      <c r="AA2113" s="146"/>
      <c r="AB2113" s="146"/>
      <c r="AC2113" s="756"/>
      <c r="AD2113" s="756"/>
      <c r="AE2113" s="756"/>
      <c r="AF2113" s="758"/>
      <c r="AG2113" s="146"/>
      <c r="AH2113" s="759"/>
      <c r="AI2113" s="146"/>
      <c r="AJ2113" s="146"/>
      <c r="AK2113" s="760"/>
      <c r="AL2113" s="146"/>
      <c r="AM2113" s="146"/>
      <c r="AN2113" s="146"/>
      <c r="AO2113" s="146"/>
      <c r="AP2113" s="146"/>
      <c r="AQ2113" s="146"/>
      <c r="AR2113" s="146"/>
      <c r="AS2113" s="146"/>
      <c r="AT2113" s="146"/>
      <c r="AU2113" s="146"/>
      <c r="AV2113" s="128"/>
      <c r="AW2113" s="117">
        <f>VLOOKUP($D2113,'WB Data'!$C$3:$M$578,2,FALSE)</f>
        <v>26820870558.94062</v>
      </c>
      <c r="AX2113" s="117">
        <f>VLOOKUP($D2113,'WB Data'!$C$3:$M$578,3,FALSE)</f>
        <v>14538640</v>
      </c>
      <c r="AY2113" s="847">
        <f t="shared" si="361"/>
        <v>5.5872536817059608E-2</v>
      </c>
      <c r="AZ2113" s="117" t="e">
        <f>VLOOKUP($D2113,'WB Data'!$C$3:$M$578,4,FALSE)/100</f>
        <v>#VALUE!</v>
      </c>
      <c r="BA2113" s="117" t="str">
        <f t="shared" si="362"/>
        <v>..</v>
      </c>
      <c r="BB2113" s="129">
        <f>IFERROR(VLOOKUP($D2113,'EITI Revenues'!$C$2:$G$224,5,FALSE),"..")</f>
        <v>1498550077.77</v>
      </c>
      <c r="BC2113" s="846" t="str">
        <f t="shared" si="363"/>
        <v>..</v>
      </c>
      <c r="BD2113" s="129">
        <f>VLOOKUP($D2113,'WB Data 2'!$C$2:$K$545,6,FALSE)</f>
        <v>7566407807.0788269</v>
      </c>
      <c r="BE2113" s="129" t="str">
        <f>IFERROR(VLOOKUP($D2113,UNCTAD!$C$5:$V$529,4,FALSE),"..")</f>
        <v>..</v>
      </c>
      <c r="BF2113" s="846" t="str">
        <f t="shared" si="364"/>
        <v>..</v>
      </c>
      <c r="BG2113" s="117" t="str">
        <f>VLOOKUP($D2113,'WB Data'!$C$3:$M$578,5,FALSE)</f>
        <v>..</v>
      </c>
      <c r="BH2113" s="129" t="str">
        <f>IFERROR($BB2113/$BG2113,"..")</f>
        <v>..</v>
      </c>
      <c r="BI2113" s="117" t="str">
        <f>IFERROR(VLOOKUP($D2113,'WB Data'!$C$3:$M$578,7,FALSE)/100,"..")</f>
        <v>..</v>
      </c>
      <c r="BJ2113" s="117" t="str">
        <f>IFERROR($BI2113*$AW2113,"..")</f>
        <v>..</v>
      </c>
      <c r="BK2113" s="846" t="str">
        <f>IFERROR($BB2113/$BJ2113,"..")</f>
        <v>..</v>
      </c>
      <c r="BL2113" s="117" t="str">
        <f>IFERROR(VLOOKUP($D2113,'WB Data'!$C$3:$M$578,7,FALSE)/100,"..")</f>
        <v>..</v>
      </c>
      <c r="BM2113" s="117" t="str">
        <f>IFERROR($AW2113*$BL2113,"..")</f>
        <v>..</v>
      </c>
      <c r="BN2113" s="846" t="str">
        <f>IFERROR($BB2113/$BM2113,"..")</f>
        <v>..</v>
      </c>
      <c r="BO2113" s="801">
        <f t="shared" si="360"/>
        <v>38</v>
      </c>
      <c r="BP2113" s="117" t="str">
        <f>VLOOKUP($D2113,'WB Data'!$C$3:$M$578,9,FALSE)</f>
        <v>..</v>
      </c>
      <c r="BQ2113" s="117" t="str">
        <f>VLOOKUP($D2113,'WB Data'!$C$3:$M$578,10,FALSE)</f>
        <v>..</v>
      </c>
      <c r="BR2113" s="117">
        <f>VLOOKUP($D2113,'WB Data'!$C$3:$M$578,11,FALSE)</f>
        <v>55.8</v>
      </c>
      <c r="BS2113" s="129" t="str">
        <f>IFERROR(VLOOKUP($D2113,'WB Data 2'!$C$2:$K$545,9,FALSE),"..")</f>
        <v>..</v>
      </c>
      <c r="BT2113" s="129">
        <f>_xlfn.IFNA(VLOOKUP($C2113,RGI!$A$2:$C$43,2,FALSE),"..")</f>
        <v>41.2</v>
      </c>
      <c r="BU2113" s="129">
        <f>_xlfn.IFNA(VLOOKUP($C2113,RGI!$A$2:$C$43,3,FALSE),"..")</f>
        <v>60.803011070373614</v>
      </c>
      <c r="BV2113" s="129">
        <f>VLOOKUP($D2113,WGI!$C$2:$O$478,7,FALSE)</f>
        <v>-0.111896798014641</v>
      </c>
      <c r="BW2113" s="129">
        <f>VLOOKUP($D2113,WGI!$C$2:$O$478,4,FALSE)</f>
        <v>0.389405786991119</v>
      </c>
      <c r="BX2113" s="129">
        <f>VLOOKUP($D2113,WGI!$C$2:$O$478,3,FALSE)</f>
        <v>-0.47539421916008001</v>
      </c>
      <c r="BY2113" s="129">
        <f>VLOOKUP($D2113,WGI!$C$2:$O$478,5,FALSE)</f>
        <v>-0.46777227520942699</v>
      </c>
      <c r="BZ2113" s="129">
        <f>VLOOKUP($D2113,WGI!$C$2:$O$478,2,FALSE)</f>
        <v>-0.38686278462410001</v>
      </c>
    </row>
    <row r="2114" spans="1:78" ht="15" customHeight="1">
      <c r="A2114" s="289" t="s">
        <v>552</v>
      </c>
      <c r="B2114" s="146">
        <v>2013</v>
      </c>
      <c r="C2114" s="117" t="s">
        <v>541</v>
      </c>
      <c r="D2114" s="117" t="s">
        <v>3786</v>
      </c>
      <c r="E2114" s="146" t="s">
        <v>86</v>
      </c>
      <c r="F2114" s="146"/>
      <c r="G2114" s="146" t="s">
        <v>24</v>
      </c>
      <c r="H2114" s="146"/>
      <c r="I2114" s="146"/>
      <c r="J2114" s="146"/>
      <c r="K2114" s="146" t="s">
        <v>619</v>
      </c>
      <c r="L2114" s="146"/>
      <c r="M2114" s="146"/>
      <c r="N2114" s="754"/>
      <c r="O2114" s="754"/>
      <c r="P2114" s="754"/>
      <c r="Q2114" s="146"/>
      <c r="R2114" s="754">
        <v>739291</v>
      </c>
      <c r="S2114" s="146" t="s">
        <v>610</v>
      </c>
      <c r="T2114" s="119"/>
      <c r="U2114" s="146"/>
      <c r="V2114" s="146"/>
      <c r="W2114" s="146"/>
      <c r="X2114" s="146"/>
      <c r="Y2114" s="146"/>
      <c r="Z2114" s="146"/>
      <c r="AA2114" s="146"/>
      <c r="AB2114" s="146"/>
      <c r="AC2114" s="756"/>
      <c r="AD2114" s="756"/>
      <c r="AE2114" s="756"/>
      <c r="AF2114" s="758"/>
      <c r="AG2114" s="146"/>
      <c r="AH2114" s="759"/>
      <c r="AI2114" s="146"/>
      <c r="AJ2114" s="146"/>
      <c r="AK2114" s="760"/>
      <c r="AL2114" s="146"/>
      <c r="AM2114" s="146"/>
      <c r="AN2114" s="146"/>
      <c r="AO2114" s="146"/>
      <c r="AP2114" s="146"/>
      <c r="AQ2114" s="146"/>
      <c r="AR2114" s="146"/>
      <c r="AS2114" s="146"/>
      <c r="AT2114" s="146"/>
      <c r="AU2114" s="146"/>
      <c r="AV2114" s="128"/>
      <c r="AW2114" s="117">
        <f>VLOOKUP($D2114,'WB Data'!$C$3:$M$578,2,FALSE)</f>
        <v>26820870558.94062</v>
      </c>
      <c r="AX2114" s="117">
        <f>VLOOKUP($D2114,'WB Data'!$C$3:$M$578,3,FALSE)</f>
        <v>14538640</v>
      </c>
      <c r="AY2114" s="847">
        <f t="shared" si="361"/>
        <v>5.5872536817059608E-2</v>
      </c>
      <c r="AZ2114" s="117" t="e">
        <f>VLOOKUP($D2114,'WB Data'!$C$3:$M$578,4,FALSE)/100</f>
        <v>#VALUE!</v>
      </c>
      <c r="BA2114" s="117" t="str">
        <f t="shared" si="362"/>
        <v>..</v>
      </c>
      <c r="BB2114" s="129">
        <f>IFERROR(VLOOKUP($D2114,'EITI Revenues'!$C$2:$G$224,5,FALSE),"..")</f>
        <v>1498550077.77</v>
      </c>
      <c r="BC2114" s="846" t="str">
        <f t="shared" si="363"/>
        <v>..</v>
      </c>
      <c r="BD2114" s="129">
        <f>VLOOKUP($D2114,'WB Data 2'!$C$2:$K$545,6,FALSE)</f>
        <v>7566407807.0788269</v>
      </c>
      <c r="BE2114" s="129" t="str">
        <f>IFERROR(VLOOKUP($D2114,UNCTAD!$C$5:$V$529,4,FALSE),"..")</f>
        <v>..</v>
      </c>
      <c r="BF2114" s="846" t="str">
        <f t="shared" si="364"/>
        <v>..</v>
      </c>
      <c r="BG2114" s="117" t="str">
        <f>VLOOKUP($D2114,'WB Data'!$C$3:$M$578,5,FALSE)</f>
        <v>..</v>
      </c>
      <c r="BH2114" s="129" t="str">
        <f>IFERROR($BB2114/$BG2114,"..")</f>
        <v>..</v>
      </c>
      <c r="BI2114" s="117" t="str">
        <f>IFERROR(VLOOKUP($D2114,'WB Data'!$C$3:$M$578,7,FALSE)/100,"..")</f>
        <v>..</v>
      </c>
      <c r="BJ2114" s="117" t="str">
        <f>IFERROR($BI2114*$AW2114,"..")</f>
        <v>..</v>
      </c>
      <c r="BK2114" s="846" t="str">
        <f>IFERROR($BB2114/$BJ2114,"..")</f>
        <v>..</v>
      </c>
      <c r="BL2114" s="117" t="str">
        <f>IFERROR(VLOOKUP($D2114,'WB Data'!$C$3:$M$578,7,FALSE)/100,"..")</f>
        <v>..</v>
      </c>
      <c r="BM2114" s="117" t="str">
        <f>IFERROR($AW2114*$BL2114,"..")</f>
        <v>..</v>
      </c>
      <c r="BN2114" s="846" t="str">
        <f>IFERROR($BB2114/$BM2114,"..")</f>
        <v>..</v>
      </c>
      <c r="BO2114" s="801">
        <f t="shared" ref="BO2114:BO2132" si="370">_xlfn.IFNA(VLOOKUP($C2114,CPI_2013,2,FALSE),"..")</f>
        <v>38</v>
      </c>
      <c r="BP2114" s="117" t="str">
        <f>VLOOKUP($D2114,'WB Data'!$C$3:$M$578,9,FALSE)</f>
        <v>..</v>
      </c>
      <c r="BQ2114" s="117" t="str">
        <f>VLOOKUP($D2114,'WB Data'!$C$3:$M$578,10,FALSE)</f>
        <v>..</v>
      </c>
      <c r="BR2114" s="117">
        <f>VLOOKUP($D2114,'WB Data'!$C$3:$M$578,11,FALSE)</f>
        <v>55.8</v>
      </c>
      <c r="BS2114" s="129" t="str">
        <f>IFERROR(VLOOKUP($D2114,'WB Data 2'!$C$2:$K$545,9,FALSE),"..")</f>
        <v>..</v>
      </c>
      <c r="BT2114" s="129">
        <f>_xlfn.IFNA(VLOOKUP($C2114,RGI!$A$2:$C$43,2,FALSE),"..")</f>
        <v>41.2</v>
      </c>
      <c r="BU2114" s="129">
        <f>_xlfn.IFNA(VLOOKUP($C2114,RGI!$A$2:$C$43,3,FALSE),"..")</f>
        <v>60.803011070373614</v>
      </c>
      <c r="BV2114" s="129">
        <f>VLOOKUP($D2114,WGI!$C$2:$O$478,7,FALSE)</f>
        <v>-0.111896798014641</v>
      </c>
      <c r="BW2114" s="129">
        <f>VLOOKUP($D2114,WGI!$C$2:$O$478,4,FALSE)</f>
        <v>0.389405786991119</v>
      </c>
      <c r="BX2114" s="129">
        <f>VLOOKUP($D2114,WGI!$C$2:$O$478,3,FALSE)</f>
        <v>-0.47539421916008001</v>
      </c>
      <c r="BY2114" s="129">
        <f>VLOOKUP($D2114,WGI!$C$2:$O$478,5,FALSE)</f>
        <v>-0.46777227520942699</v>
      </c>
      <c r="BZ2114" s="129">
        <f>VLOOKUP($D2114,WGI!$C$2:$O$478,2,FALSE)</f>
        <v>-0.38686278462410001</v>
      </c>
    </row>
    <row r="2115" spans="1:78" ht="15" customHeight="1">
      <c r="A2115" s="289" t="s">
        <v>552</v>
      </c>
      <c r="B2115" s="146">
        <v>2013</v>
      </c>
      <c r="C2115" s="117" t="s">
        <v>541</v>
      </c>
      <c r="D2115" s="117" t="s">
        <v>3786</v>
      </c>
      <c r="E2115" s="146" t="s">
        <v>86</v>
      </c>
      <c r="F2115" s="146"/>
      <c r="G2115" s="146" t="s">
        <v>24</v>
      </c>
      <c r="H2115" s="146"/>
      <c r="I2115" s="146"/>
      <c r="J2115" s="146"/>
      <c r="K2115" s="146" t="s">
        <v>1061</v>
      </c>
      <c r="L2115" s="146"/>
      <c r="M2115" s="146"/>
      <c r="N2115" s="754"/>
      <c r="O2115" s="754"/>
      <c r="P2115" s="754"/>
      <c r="Q2115" s="146"/>
      <c r="R2115" s="754">
        <v>1957</v>
      </c>
      <c r="S2115" s="146" t="s">
        <v>610</v>
      </c>
      <c r="T2115" s="119"/>
      <c r="U2115" s="146"/>
      <c r="V2115" s="146"/>
      <c r="W2115" s="146"/>
      <c r="X2115" s="146"/>
      <c r="Y2115" s="146"/>
      <c r="Z2115" s="146"/>
      <c r="AA2115" s="146"/>
      <c r="AB2115" s="146"/>
      <c r="AC2115" s="756"/>
      <c r="AD2115" s="756"/>
      <c r="AE2115" s="756"/>
      <c r="AF2115" s="758"/>
      <c r="AG2115" s="146"/>
      <c r="AH2115" s="759"/>
      <c r="AI2115" s="146"/>
      <c r="AJ2115" s="146"/>
      <c r="AK2115" s="760"/>
      <c r="AL2115" s="146"/>
      <c r="AM2115" s="146"/>
      <c r="AN2115" s="146"/>
      <c r="AO2115" s="146"/>
      <c r="AP2115" s="146"/>
      <c r="AQ2115" s="146"/>
      <c r="AR2115" s="146"/>
      <c r="AS2115" s="146"/>
      <c r="AT2115" s="146"/>
      <c r="AU2115" s="146"/>
      <c r="AV2115" s="128"/>
      <c r="AW2115" s="117">
        <f>VLOOKUP($D2115,'WB Data'!$C$3:$M$578,2,FALSE)</f>
        <v>26820870558.94062</v>
      </c>
      <c r="AX2115" s="117">
        <f>VLOOKUP($D2115,'WB Data'!$C$3:$M$578,3,FALSE)</f>
        <v>14538640</v>
      </c>
      <c r="AY2115" s="847">
        <f t="shared" ref="AY2115:AY2132" si="371">IFERROR($BB2115/$AW2115,"..")</f>
        <v>5.5872536817059608E-2</v>
      </c>
      <c r="AZ2115" s="117" t="e">
        <f>VLOOKUP($D2115,'WB Data'!$C$3:$M$578,4,FALSE)/100</f>
        <v>#VALUE!</v>
      </c>
      <c r="BA2115" s="117" t="str">
        <f t="shared" ref="BA2115:BA2132" si="372">IFERROR($AW2115*$AZ2115,"..")</f>
        <v>..</v>
      </c>
      <c r="BB2115" s="129">
        <f>IFERROR(VLOOKUP($D2115,'EITI Revenues'!$C$2:$G$224,5,FALSE),"..")</f>
        <v>1498550077.77</v>
      </c>
      <c r="BC2115" s="846" t="str">
        <f t="shared" ref="BC2115:BC2132" si="373">IFERROR($BB2115/$BA2115,"..")</f>
        <v>..</v>
      </c>
      <c r="BD2115" s="129">
        <f>VLOOKUP($D2115,'WB Data 2'!$C$2:$K$545,6,FALSE)</f>
        <v>7566407807.0788269</v>
      </c>
      <c r="BE2115" s="129" t="str">
        <f>IFERROR(VLOOKUP($D2115,UNCTAD!$C$5:$V$529,4,FALSE),"..")</f>
        <v>..</v>
      </c>
      <c r="BF2115" s="846" t="str">
        <f t="shared" ref="BF2115:BF2132" si="374">IFERROR(($BD2115/$BE2115),"..")</f>
        <v>..</v>
      </c>
      <c r="BG2115" s="117" t="str">
        <f>VLOOKUP($D2115,'WB Data'!$C$3:$M$578,5,FALSE)</f>
        <v>..</v>
      </c>
      <c r="BH2115" s="129" t="str">
        <f>IFERROR($BB2115/$BG2115,"..")</f>
        <v>..</v>
      </c>
      <c r="BI2115" s="117" t="str">
        <f>IFERROR(VLOOKUP($D2115,'WB Data'!$C$3:$M$578,7,FALSE)/100,"..")</f>
        <v>..</v>
      </c>
      <c r="BJ2115" s="117" t="str">
        <f>IFERROR($BI2115*$AW2115,"..")</f>
        <v>..</v>
      </c>
      <c r="BK2115" s="846" t="str">
        <f>IFERROR($BB2115/$BJ2115,"..")</f>
        <v>..</v>
      </c>
      <c r="BL2115" s="117" t="str">
        <f>IFERROR(VLOOKUP($D2115,'WB Data'!$C$3:$M$578,7,FALSE)/100,"..")</f>
        <v>..</v>
      </c>
      <c r="BM2115" s="117" t="str">
        <f>IFERROR($AW2115*$BL2115,"..")</f>
        <v>..</v>
      </c>
      <c r="BN2115" s="846" t="str">
        <f>IFERROR($BB2115/$BM2115,"..")</f>
        <v>..</v>
      </c>
      <c r="BO2115" s="801">
        <f t="shared" si="370"/>
        <v>38</v>
      </c>
      <c r="BP2115" s="117" t="str">
        <f>VLOOKUP($D2115,'WB Data'!$C$3:$M$578,9,FALSE)</f>
        <v>..</v>
      </c>
      <c r="BQ2115" s="117" t="str">
        <f>VLOOKUP($D2115,'WB Data'!$C$3:$M$578,10,FALSE)</f>
        <v>..</v>
      </c>
      <c r="BR2115" s="117">
        <f>VLOOKUP($D2115,'WB Data'!$C$3:$M$578,11,FALSE)</f>
        <v>55.8</v>
      </c>
      <c r="BS2115" s="129" t="str">
        <f>IFERROR(VLOOKUP($D2115,'WB Data 2'!$C$2:$K$545,9,FALSE),"..")</f>
        <v>..</v>
      </c>
      <c r="BT2115" s="129">
        <f>_xlfn.IFNA(VLOOKUP($C2115,RGI!$A$2:$C$43,2,FALSE),"..")</f>
        <v>41.2</v>
      </c>
      <c r="BU2115" s="129">
        <f>_xlfn.IFNA(VLOOKUP($C2115,RGI!$A$2:$C$43,3,FALSE),"..")</f>
        <v>60.803011070373614</v>
      </c>
      <c r="BV2115" s="129">
        <f>VLOOKUP($D2115,WGI!$C$2:$O$478,7,FALSE)</f>
        <v>-0.111896798014641</v>
      </c>
      <c r="BW2115" s="129">
        <f>VLOOKUP($D2115,WGI!$C$2:$O$478,4,FALSE)</f>
        <v>0.389405786991119</v>
      </c>
      <c r="BX2115" s="129">
        <f>VLOOKUP($D2115,WGI!$C$2:$O$478,3,FALSE)</f>
        <v>-0.47539421916008001</v>
      </c>
      <c r="BY2115" s="129">
        <f>VLOOKUP($D2115,WGI!$C$2:$O$478,5,FALSE)</f>
        <v>-0.46777227520942699</v>
      </c>
      <c r="BZ2115" s="129">
        <f>VLOOKUP($D2115,WGI!$C$2:$O$478,2,FALSE)</f>
        <v>-0.38686278462410001</v>
      </c>
    </row>
    <row r="2116" spans="1:78" ht="15" customHeight="1">
      <c r="A2116" s="289" t="s">
        <v>552</v>
      </c>
      <c r="B2116" s="146">
        <v>2013</v>
      </c>
      <c r="C2116" s="117" t="s">
        <v>541</v>
      </c>
      <c r="D2116" s="117" t="s">
        <v>3786</v>
      </c>
      <c r="E2116" s="146" t="s">
        <v>86</v>
      </c>
      <c r="F2116" s="146"/>
      <c r="G2116" s="146" t="s">
        <v>24</v>
      </c>
      <c r="H2116" s="146"/>
      <c r="I2116" s="146"/>
      <c r="J2116" s="146"/>
      <c r="K2116" s="146" t="s">
        <v>784</v>
      </c>
      <c r="L2116" s="146"/>
      <c r="M2116" s="146"/>
      <c r="N2116" s="754"/>
      <c r="O2116" s="754"/>
      <c r="P2116" s="754"/>
      <c r="Q2116" s="146"/>
      <c r="R2116" s="754">
        <v>167395</v>
      </c>
      <c r="S2116" s="146" t="s">
        <v>1206</v>
      </c>
      <c r="T2116" s="119"/>
      <c r="U2116" s="146"/>
      <c r="V2116" s="146"/>
      <c r="W2116" s="146"/>
      <c r="X2116" s="146"/>
      <c r="Y2116" s="146"/>
      <c r="Z2116" s="146"/>
      <c r="AA2116" s="146"/>
      <c r="AB2116" s="146"/>
      <c r="AC2116" s="756"/>
      <c r="AD2116" s="756"/>
      <c r="AE2116" s="756"/>
      <c r="AF2116" s="758"/>
      <c r="AG2116" s="146"/>
      <c r="AH2116" s="759"/>
      <c r="AI2116" s="146"/>
      <c r="AJ2116" s="146"/>
      <c r="AK2116" s="760"/>
      <c r="AL2116" s="146"/>
      <c r="AM2116" s="146"/>
      <c r="AN2116" s="146"/>
      <c r="AO2116" s="146"/>
      <c r="AP2116" s="146"/>
      <c r="AQ2116" s="146"/>
      <c r="AR2116" s="146"/>
      <c r="AS2116" s="146"/>
      <c r="AT2116" s="146"/>
      <c r="AU2116" s="146"/>
      <c r="AV2116" s="128"/>
      <c r="AW2116" s="117">
        <f>VLOOKUP($D2116,'WB Data'!$C$3:$M$578,2,FALSE)</f>
        <v>26820870558.94062</v>
      </c>
      <c r="AX2116" s="117">
        <f>VLOOKUP($D2116,'WB Data'!$C$3:$M$578,3,FALSE)</f>
        <v>14538640</v>
      </c>
      <c r="AY2116" s="847">
        <f t="shared" si="371"/>
        <v>5.5872536817059608E-2</v>
      </c>
      <c r="AZ2116" s="117" t="e">
        <f>VLOOKUP($D2116,'WB Data'!$C$3:$M$578,4,FALSE)/100</f>
        <v>#VALUE!</v>
      </c>
      <c r="BA2116" s="117" t="str">
        <f t="shared" si="372"/>
        <v>..</v>
      </c>
      <c r="BB2116" s="129">
        <f>IFERROR(VLOOKUP($D2116,'EITI Revenues'!$C$2:$G$224,5,FALSE),"..")</f>
        <v>1498550077.77</v>
      </c>
      <c r="BC2116" s="846" t="str">
        <f t="shared" si="373"/>
        <v>..</v>
      </c>
      <c r="BD2116" s="129">
        <f>VLOOKUP($D2116,'WB Data 2'!$C$2:$K$545,6,FALSE)</f>
        <v>7566407807.0788269</v>
      </c>
      <c r="BE2116" s="129" t="str">
        <f>IFERROR(VLOOKUP($D2116,UNCTAD!$C$5:$V$529,4,FALSE),"..")</f>
        <v>..</v>
      </c>
      <c r="BF2116" s="846" t="str">
        <f t="shared" si="374"/>
        <v>..</v>
      </c>
      <c r="BG2116" s="117" t="str">
        <f>VLOOKUP($D2116,'WB Data'!$C$3:$M$578,5,FALSE)</f>
        <v>..</v>
      </c>
      <c r="BH2116" s="129" t="str">
        <f>IFERROR($BB2116/$BG2116,"..")</f>
        <v>..</v>
      </c>
      <c r="BI2116" s="117" t="str">
        <f>IFERROR(VLOOKUP($D2116,'WB Data'!$C$3:$M$578,7,FALSE)/100,"..")</f>
        <v>..</v>
      </c>
      <c r="BJ2116" s="117" t="str">
        <f>IFERROR($BI2116*$AW2116,"..")</f>
        <v>..</v>
      </c>
      <c r="BK2116" s="846" t="str">
        <f>IFERROR($BB2116/$BJ2116,"..")</f>
        <v>..</v>
      </c>
      <c r="BL2116" s="117" t="str">
        <f>IFERROR(VLOOKUP($D2116,'WB Data'!$C$3:$M$578,7,FALSE)/100,"..")</f>
        <v>..</v>
      </c>
      <c r="BM2116" s="117" t="str">
        <f>IFERROR($AW2116*$BL2116,"..")</f>
        <v>..</v>
      </c>
      <c r="BN2116" s="846" t="str">
        <f>IFERROR($BB2116/$BM2116,"..")</f>
        <v>..</v>
      </c>
      <c r="BO2116" s="801">
        <f t="shared" si="370"/>
        <v>38</v>
      </c>
      <c r="BP2116" s="117" t="str">
        <f>VLOOKUP($D2116,'WB Data'!$C$3:$M$578,9,FALSE)</f>
        <v>..</v>
      </c>
      <c r="BQ2116" s="117" t="str">
        <f>VLOOKUP($D2116,'WB Data'!$C$3:$M$578,10,FALSE)</f>
        <v>..</v>
      </c>
      <c r="BR2116" s="117">
        <f>VLOOKUP($D2116,'WB Data'!$C$3:$M$578,11,FALSE)</f>
        <v>55.8</v>
      </c>
      <c r="BS2116" s="129" t="str">
        <f>IFERROR(VLOOKUP($D2116,'WB Data 2'!$C$2:$K$545,9,FALSE),"..")</f>
        <v>..</v>
      </c>
      <c r="BT2116" s="129">
        <f>_xlfn.IFNA(VLOOKUP($C2116,RGI!$A$2:$C$43,2,FALSE),"..")</f>
        <v>41.2</v>
      </c>
      <c r="BU2116" s="129">
        <f>_xlfn.IFNA(VLOOKUP($C2116,RGI!$A$2:$C$43,3,FALSE),"..")</f>
        <v>60.803011070373614</v>
      </c>
      <c r="BV2116" s="129">
        <f>VLOOKUP($D2116,WGI!$C$2:$O$478,7,FALSE)</f>
        <v>-0.111896798014641</v>
      </c>
      <c r="BW2116" s="129">
        <f>VLOOKUP($D2116,WGI!$C$2:$O$478,4,FALSE)</f>
        <v>0.389405786991119</v>
      </c>
      <c r="BX2116" s="129">
        <f>VLOOKUP($D2116,WGI!$C$2:$O$478,3,FALSE)</f>
        <v>-0.47539421916008001</v>
      </c>
      <c r="BY2116" s="129">
        <f>VLOOKUP($D2116,WGI!$C$2:$O$478,5,FALSE)</f>
        <v>-0.46777227520942699</v>
      </c>
      <c r="BZ2116" s="129">
        <f>VLOOKUP($D2116,WGI!$C$2:$O$478,2,FALSE)</f>
        <v>-0.38686278462410001</v>
      </c>
    </row>
    <row r="2117" spans="1:78" ht="15" customHeight="1">
      <c r="A2117" s="289" t="s">
        <v>552</v>
      </c>
      <c r="B2117" s="146">
        <v>2013</v>
      </c>
      <c r="C2117" s="117" t="s">
        <v>541</v>
      </c>
      <c r="D2117" s="117" t="s">
        <v>3786</v>
      </c>
      <c r="E2117" s="146" t="s">
        <v>86</v>
      </c>
      <c r="F2117" s="146"/>
      <c r="G2117" s="146" t="s">
        <v>24</v>
      </c>
      <c r="H2117" s="146"/>
      <c r="I2117" s="146"/>
      <c r="J2117" s="146"/>
      <c r="K2117" s="146" t="s">
        <v>2449</v>
      </c>
      <c r="L2117" s="146"/>
      <c r="M2117" s="146"/>
      <c r="N2117" s="754"/>
      <c r="O2117" s="754"/>
      <c r="P2117" s="754"/>
      <c r="Q2117" s="146"/>
      <c r="R2117" s="754">
        <v>7310</v>
      </c>
      <c r="S2117" s="146" t="s">
        <v>610</v>
      </c>
      <c r="T2117" s="119"/>
      <c r="U2117" s="146"/>
      <c r="V2117" s="146"/>
      <c r="W2117" s="146"/>
      <c r="X2117" s="146"/>
      <c r="Y2117" s="146"/>
      <c r="Z2117" s="146"/>
      <c r="AA2117" s="146"/>
      <c r="AB2117" s="146"/>
      <c r="AC2117" s="756"/>
      <c r="AD2117" s="756"/>
      <c r="AE2117" s="756"/>
      <c r="AF2117" s="758"/>
      <c r="AG2117" s="146"/>
      <c r="AH2117" s="759"/>
      <c r="AI2117" s="146"/>
      <c r="AJ2117" s="146"/>
      <c r="AK2117" s="760"/>
      <c r="AL2117" s="146"/>
      <c r="AM2117" s="146"/>
      <c r="AN2117" s="146"/>
      <c r="AO2117" s="146"/>
      <c r="AP2117" s="146"/>
      <c r="AQ2117" s="146"/>
      <c r="AR2117" s="146"/>
      <c r="AS2117" s="146"/>
      <c r="AT2117" s="146"/>
      <c r="AU2117" s="146"/>
      <c r="AV2117" s="128"/>
      <c r="AW2117" s="117">
        <f>VLOOKUP($D2117,'WB Data'!$C$3:$M$578,2,FALSE)</f>
        <v>26820870558.94062</v>
      </c>
      <c r="AX2117" s="117">
        <f>VLOOKUP($D2117,'WB Data'!$C$3:$M$578,3,FALSE)</f>
        <v>14538640</v>
      </c>
      <c r="AY2117" s="847">
        <f t="shared" si="371"/>
        <v>5.5872536817059608E-2</v>
      </c>
      <c r="AZ2117" s="117" t="e">
        <f>VLOOKUP($D2117,'WB Data'!$C$3:$M$578,4,FALSE)/100</f>
        <v>#VALUE!</v>
      </c>
      <c r="BA2117" s="117" t="str">
        <f t="shared" si="372"/>
        <v>..</v>
      </c>
      <c r="BB2117" s="129">
        <f>IFERROR(VLOOKUP($D2117,'EITI Revenues'!$C$2:$G$224,5,FALSE),"..")</f>
        <v>1498550077.77</v>
      </c>
      <c r="BC2117" s="846" t="str">
        <f t="shared" si="373"/>
        <v>..</v>
      </c>
      <c r="BD2117" s="129">
        <f>VLOOKUP($D2117,'WB Data 2'!$C$2:$K$545,6,FALSE)</f>
        <v>7566407807.0788269</v>
      </c>
      <c r="BE2117" s="129" t="str">
        <f>IFERROR(VLOOKUP($D2117,UNCTAD!$C$5:$V$529,4,FALSE),"..")</f>
        <v>..</v>
      </c>
      <c r="BF2117" s="846" t="str">
        <f t="shared" si="374"/>
        <v>..</v>
      </c>
      <c r="BG2117" s="117" t="str">
        <f>VLOOKUP($D2117,'WB Data'!$C$3:$M$578,5,FALSE)</f>
        <v>..</v>
      </c>
      <c r="BH2117" s="129" t="str">
        <f>IFERROR($BB2117/$BG2117,"..")</f>
        <v>..</v>
      </c>
      <c r="BI2117" s="117" t="str">
        <f>IFERROR(VLOOKUP($D2117,'WB Data'!$C$3:$M$578,7,FALSE)/100,"..")</f>
        <v>..</v>
      </c>
      <c r="BJ2117" s="117" t="str">
        <f>IFERROR($BI2117*$AW2117,"..")</f>
        <v>..</v>
      </c>
      <c r="BK2117" s="846" t="str">
        <f>IFERROR($BB2117/$BJ2117,"..")</f>
        <v>..</v>
      </c>
      <c r="BL2117" s="117" t="str">
        <f>IFERROR(VLOOKUP($D2117,'WB Data'!$C$3:$M$578,7,FALSE)/100,"..")</f>
        <v>..</v>
      </c>
      <c r="BM2117" s="117" t="str">
        <f>IFERROR($AW2117*$BL2117,"..")</f>
        <v>..</v>
      </c>
      <c r="BN2117" s="846" t="str">
        <f>IFERROR($BB2117/$BM2117,"..")</f>
        <v>..</v>
      </c>
      <c r="BO2117" s="801">
        <f t="shared" si="370"/>
        <v>38</v>
      </c>
      <c r="BP2117" s="117" t="str">
        <f>VLOOKUP($D2117,'WB Data'!$C$3:$M$578,9,FALSE)</f>
        <v>..</v>
      </c>
      <c r="BQ2117" s="117" t="str">
        <f>VLOOKUP($D2117,'WB Data'!$C$3:$M$578,10,FALSE)</f>
        <v>..</v>
      </c>
      <c r="BR2117" s="117">
        <f>VLOOKUP($D2117,'WB Data'!$C$3:$M$578,11,FALSE)</f>
        <v>55.8</v>
      </c>
      <c r="BS2117" s="129" t="str">
        <f>IFERROR(VLOOKUP($D2117,'WB Data 2'!$C$2:$K$545,9,FALSE),"..")</f>
        <v>..</v>
      </c>
      <c r="BT2117" s="129">
        <f>_xlfn.IFNA(VLOOKUP($C2117,RGI!$A$2:$C$43,2,FALSE),"..")</f>
        <v>41.2</v>
      </c>
      <c r="BU2117" s="129">
        <f>_xlfn.IFNA(VLOOKUP($C2117,RGI!$A$2:$C$43,3,FALSE),"..")</f>
        <v>60.803011070373614</v>
      </c>
      <c r="BV2117" s="129">
        <f>VLOOKUP($D2117,WGI!$C$2:$O$478,7,FALSE)</f>
        <v>-0.111896798014641</v>
      </c>
      <c r="BW2117" s="129">
        <f>VLOOKUP($D2117,WGI!$C$2:$O$478,4,FALSE)</f>
        <v>0.389405786991119</v>
      </c>
      <c r="BX2117" s="129">
        <f>VLOOKUP($D2117,WGI!$C$2:$O$478,3,FALSE)</f>
        <v>-0.47539421916008001</v>
      </c>
      <c r="BY2117" s="129">
        <f>VLOOKUP($D2117,WGI!$C$2:$O$478,5,FALSE)</f>
        <v>-0.46777227520942699</v>
      </c>
      <c r="BZ2117" s="129">
        <f>VLOOKUP($D2117,WGI!$C$2:$O$478,2,FALSE)</f>
        <v>-0.38686278462410001</v>
      </c>
    </row>
    <row r="2118" spans="1:78" ht="15" customHeight="1">
      <c r="A2118" s="289" t="s">
        <v>552</v>
      </c>
      <c r="B2118" s="146">
        <v>2013</v>
      </c>
      <c r="C2118" s="117" t="s">
        <v>541</v>
      </c>
      <c r="D2118" s="117" t="s">
        <v>3786</v>
      </c>
      <c r="E2118" s="146" t="s">
        <v>86</v>
      </c>
      <c r="F2118" s="146"/>
      <c r="G2118" s="146" t="s">
        <v>24</v>
      </c>
      <c r="H2118" s="146"/>
      <c r="I2118" s="146"/>
      <c r="J2118" s="146"/>
      <c r="K2118" s="146" t="s">
        <v>703</v>
      </c>
      <c r="L2118" s="146"/>
      <c r="M2118" s="146"/>
      <c r="N2118" s="754"/>
      <c r="O2118" s="754"/>
      <c r="P2118" s="754"/>
      <c r="Q2118" s="146"/>
      <c r="R2118" s="754">
        <v>2080237</v>
      </c>
      <c r="S2118" s="146" t="s">
        <v>610</v>
      </c>
      <c r="T2118" s="119"/>
      <c r="U2118" s="146"/>
      <c r="V2118" s="146"/>
      <c r="W2118" s="146"/>
      <c r="X2118" s="146"/>
      <c r="Y2118" s="146"/>
      <c r="Z2118" s="146"/>
      <c r="AA2118" s="146"/>
      <c r="AB2118" s="146"/>
      <c r="AC2118" s="756"/>
      <c r="AD2118" s="756"/>
      <c r="AE2118" s="756"/>
      <c r="AF2118" s="758"/>
      <c r="AG2118" s="146"/>
      <c r="AH2118" s="759"/>
      <c r="AI2118" s="146"/>
      <c r="AJ2118" s="146"/>
      <c r="AK2118" s="760"/>
      <c r="AL2118" s="146"/>
      <c r="AM2118" s="146"/>
      <c r="AN2118" s="146"/>
      <c r="AO2118" s="146"/>
      <c r="AP2118" s="146"/>
      <c r="AQ2118" s="146"/>
      <c r="AR2118" s="146"/>
      <c r="AS2118" s="146"/>
      <c r="AT2118" s="146"/>
      <c r="AU2118" s="146"/>
      <c r="AV2118" s="128"/>
      <c r="AW2118" s="117">
        <f>VLOOKUP($D2118,'WB Data'!$C$3:$M$578,2,FALSE)</f>
        <v>26820870558.94062</v>
      </c>
      <c r="AX2118" s="117">
        <f>VLOOKUP($D2118,'WB Data'!$C$3:$M$578,3,FALSE)</f>
        <v>14538640</v>
      </c>
      <c r="AY2118" s="847">
        <f t="shared" si="371"/>
        <v>5.5872536817059608E-2</v>
      </c>
      <c r="AZ2118" s="117" t="e">
        <f>VLOOKUP($D2118,'WB Data'!$C$3:$M$578,4,FALSE)/100</f>
        <v>#VALUE!</v>
      </c>
      <c r="BA2118" s="117" t="str">
        <f t="shared" si="372"/>
        <v>..</v>
      </c>
      <c r="BB2118" s="129">
        <f>IFERROR(VLOOKUP($D2118,'EITI Revenues'!$C$2:$G$224,5,FALSE),"..")</f>
        <v>1498550077.77</v>
      </c>
      <c r="BC2118" s="846" t="str">
        <f t="shared" si="373"/>
        <v>..</v>
      </c>
      <c r="BD2118" s="129">
        <f>VLOOKUP($D2118,'WB Data 2'!$C$2:$K$545,6,FALSE)</f>
        <v>7566407807.0788269</v>
      </c>
      <c r="BE2118" s="129" t="str">
        <f>IFERROR(VLOOKUP($D2118,UNCTAD!$C$5:$V$529,4,FALSE),"..")</f>
        <v>..</v>
      </c>
      <c r="BF2118" s="846" t="str">
        <f t="shared" si="374"/>
        <v>..</v>
      </c>
      <c r="BG2118" s="117" t="str">
        <f>VLOOKUP($D2118,'WB Data'!$C$3:$M$578,5,FALSE)</f>
        <v>..</v>
      </c>
      <c r="BH2118" s="129" t="str">
        <f>IFERROR($BB2118/$BG2118,"..")</f>
        <v>..</v>
      </c>
      <c r="BI2118" s="117" t="str">
        <f>IFERROR(VLOOKUP($D2118,'WB Data'!$C$3:$M$578,7,FALSE)/100,"..")</f>
        <v>..</v>
      </c>
      <c r="BJ2118" s="117" t="str">
        <f>IFERROR($BI2118*$AW2118,"..")</f>
        <v>..</v>
      </c>
      <c r="BK2118" s="846" t="str">
        <f>IFERROR($BB2118/$BJ2118,"..")</f>
        <v>..</v>
      </c>
      <c r="BL2118" s="117" t="str">
        <f>IFERROR(VLOOKUP($D2118,'WB Data'!$C$3:$M$578,7,FALSE)/100,"..")</f>
        <v>..</v>
      </c>
      <c r="BM2118" s="117" t="str">
        <f>IFERROR($AW2118*$BL2118,"..")</f>
        <v>..</v>
      </c>
      <c r="BN2118" s="846" t="str">
        <f>IFERROR($BB2118/$BM2118,"..")</f>
        <v>..</v>
      </c>
      <c r="BO2118" s="801">
        <f t="shared" si="370"/>
        <v>38</v>
      </c>
      <c r="BP2118" s="117" t="str">
        <f>VLOOKUP($D2118,'WB Data'!$C$3:$M$578,9,FALSE)</f>
        <v>..</v>
      </c>
      <c r="BQ2118" s="117" t="str">
        <f>VLOOKUP($D2118,'WB Data'!$C$3:$M$578,10,FALSE)</f>
        <v>..</v>
      </c>
      <c r="BR2118" s="117">
        <f>VLOOKUP($D2118,'WB Data'!$C$3:$M$578,11,FALSE)</f>
        <v>55.8</v>
      </c>
      <c r="BS2118" s="129" t="str">
        <f>IFERROR(VLOOKUP($D2118,'WB Data 2'!$C$2:$K$545,9,FALSE),"..")</f>
        <v>..</v>
      </c>
      <c r="BT2118" s="129">
        <f>_xlfn.IFNA(VLOOKUP($C2118,RGI!$A$2:$C$43,2,FALSE),"..")</f>
        <v>41.2</v>
      </c>
      <c r="BU2118" s="129">
        <f>_xlfn.IFNA(VLOOKUP($C2118,RGI!$A$2:$C$43,3,FALSE),"..")</f>
        <v>60.803011070373614</v>
      </c>
      <c r="BV2118" s="129">
        <f>VLOOKUP($D2118,WGI!$C$2:$O$478,7,FALSE)</f>
        <v>-0.111896798014641</v>
      </c>
      <c r="BW2118" s="129">
        <f>VLOOKUP($D2118,WGI!$C$2:$O$478,4,FALSE)</f>
        <v>0.389405786991119</v>
      </c>
      <c r="BX2118" s="129">
        <f>VLOOKUP($D2118,WGI!$C$2:$O$478,3,FALSE)</f>
        <v>-0.47539421916008001</v>
      </c>
      <c r="BY2118" s="129">
        <f>VLOOKUP($D2118,WGI!$C$2:$O$478,5,FALSE)</f>
        <v>-0.46777227520942699</v>
      </c>
      <c r="BZ2118" s="129">
        <f>VLOOKUP($D2118,WGI!$C$2:$O$478,2,FALSE)</f>
        <v>-0.38686278462410001</v>
      </c>
    </row>
    <row r="2119" spans="1:78" ht="15" customHeight="1">
      <c r="A2119" s="289" t="s">
        <v>552</v>
      </c>
      <c r="B2119" s="146">
        <v>2013</v>
      </c>
      <c r="C2119" s="117" t="s">
        <v>541</v>
      </c>
      <c r="D2119" s="117" t="s">
        <v>3786</v>
      </c>
      <c r="E2119" s="146" t="s">
        <v>86</v>
      </c>
      <c r="F2119" s="146"/>
      <c r="G2119" s="146" t="s">
        <v>24</v>
      </c>
      <c r="H2119" s="146"/>
      <c r="I2119" s="146"/>
      <c r="J2119" s="146"/>
      <c r="K2119" s="146" t="s">
        <v>2462</v>
      </c>
      <c r="L2119" s="146"/>
      <c r="M2119" s="146"/>
      <c r="N2119" s="754"/>
      <c r="O2119" s="754"/>
      <c r="P2119" s="754"/>
      <c r="Q2119" s="146"/>
      <c r="R2119" s="754">
        <v>163020</v>
      </c>
      <c r="S2119" s="146" t="s">
        <v>610</v>
      </c>
      <c r="T2119" s="119"/>
      <c r="U2119" s="146"/>
      <c r="V2119" s="146"/>
      <c r="W2119" s="146"/>
      <c r="X2119" s="146"/>
      <c r="Y2119" s="146"/>
      <c r="Z2119" s="146"/>
      <c r="AA2119" s="146"/>
      <c r="AB2119" s="146"/>
      <c r="AC2119" s="756"/>
      <c r="AD2119" s="756"/>
      <c r="AE2119" s="756"/>
      <c r="AF2119" s="758"/>
      <c r="AG2119" s="146"/>
      <c r="AH2119" s="759"/>
      <c r="AI2119" s="146"/>
      <c r="AJ2119" s="146"/>
      <c r="AK2119" s="760"/>
      <c r="AL2119" s="146"/>
      <c r="AM2119" s="146"/>
      <c r="AN2119" s="146"/>
      <c r="AO2119" s="146"/>
      <c r="AP2119" s="146"/>
      <c r="AQ2119" s="146"/>
      <c r="AR2119" s="146"/>
      <c r="AS2119" s="146"/>
      <c r="AT2119" s="146"/>
      <c r="AU2119" s="146"/>
      <c r="AV2119" s="128"/>
      <c r="AW2119" s="117">
        <f>VLOOKUP($D2119,'WB Data'!$C$3:$M$578,2,FALSE)</f>
        <v>26820870558.94062</v>
      </c>
      <c r="AX2119" s="117">
        <f>VLOOKUP($D2119,'WB Data'!$C$3:$M$578,3,FALSE)</f>
        <v>14538640</v>
      </c>
      <c r="AY2119" s="847">
        <f t="shared" si="371"/>
        <v>5.5872536817059608E-2</v>
      </c>
      <c r="AZ2119" s="117" t="e">
        <f>VLOOKUP($D2119,'WB Data'!$C$3:$M$578,4,FALSE)/100</f>
        <v>#VALUE!</v>
      </c>
      <c r="BA2119" s="117" t="str">
        <f t="shared" si="372"/>
        <v>..</v>
      </c>
      <c r="BB2119" s="129">
        <f>IFERROR(VLOOKUP($D2119,'EITI Revenues'!$C$2:$G$224,5,FALSE),"..")</f>
        <v>1498550077.77</v>
      </c>
      <c r="BC2119" s="846" t="str">
        <f t="shared" si="373"/>
        <v>..</v>
      </c>
      <c r="BD2119" s="129">
        <f>VLOOKUP($D2119,'WB Data 2'!$C$2:$K$545,6,FALSE)</f>
        <v>7566407807.0788269</v>
      </c>
      <c r="BE2119" s="129" t="str">
        <f>IFERROR(VLOOKUP($D2119,UNCTAD!$C$5:$V$529,4,FALSE),"..")</f>
        <v>..</v>
      </c>
      <c r="BF2119" s="846" t="str">
        <f t="shared" si="374"/>
        <v>..</v>
      </c>
      <c r="BG2119" s="117" t="str">
        <f>VLOOKUP($D2119,'WB Data'!$C$3:$M$578,5,FALSE)</f>
        <v>..</v>
      </c>
      <c r="BH2119" s="129" t="str">
        <f>IFERROR($BB2119/$BG2119,"..")</f>
        <v>..</v>
      </c>
      <c r="BI2119" s="117" t="str">
        <f>IFERROR(VLOOKUP($D2119,'WB Data'!$C$3:$M$578,7,FALSE)/100,"..")</f>
        <v>..</v>
      </c>
      <c r="BJ2119" s="117" t="str">
        <f>IFERROR($BI2119*$AW2119,"..")</f>
        <v>..</v>
      </c>
      <c r="BK2119" s="846" t="str">
        <f>IFERROR($BB2119/$BJ2119,"..")</f>
        <v>..</v>
      </c>
      <c r="BL2119" s="117" t="str">
        <f>IFERROR(VLOOKUP($D2119,'WB Data'!$C$3:$M$578,7,FALSE)/100,"..")</f>
        <v>..</v>
      </c>
      <c r="BM2119" s="117" t="str">
        <f>IFERROR($AW2119*$BL2119,"..")</f>
        <v>..</v>
      </c>
      <c r="BN2119" s="846" t="str">
        <f>IFERROR($BB2119/$BM2119,"..")</f>
        <v>..</v>
      </c>
      <c r="BO2119" s="801">
        <f t="shared" si="370"/>
        <v>38</v>
      </c>
      <c r="BP2119" s="117" t="str">
        <f>VLOOKUP($D2119,'WB Data'!$C$3:$M$578,9,FALSE)</f>
        <v>..</v>
      </c>
      <c r="BQ2119" s="117" t="str">
        <f>VLOOKUP($D2119,'WB Data'!$C$3:$M$578,10,FALSE)</f>
        <v>..</v>
      </c>
      <c r="BR2119" s="117">
        <f>VLOOKUP($D2119,'WB Data'!$C$3:$M$578,11,FALSE)</f>
        <v>55.8</v>
      </c>
      <c r="BS2119" s="129" t="str">
        <f>IFERROR(VLOOKUP($D2119,'WB Data 2'!$C$2:$K$545,9,FALSE),"..")</f>
        <v>..</v>
      </c>
      <c r="BT2119" s="129">
        <f>_xlfn.IFNA(VLOOKUP($C2119,RGI!$A$2:$C$43,2,FALSE),"..")</f>
        <v>41.2</v>
      </c>
      <c r="BU2119" s="129">
        <f>_xlfn.IFNA(VLOOKUP($C2119,RGI!$A$2:$C$43,3,FALSE),"..")</f>
        <v>60.803011070373614</v>
      </c>
      <c r="BV2119" s="129">
        <f>VLOOKUP($D2119,WGI!$C$2:$O$478,7,FALSE)</f>
        <v>-0.111896798014641</v>
      </c>
      <c r="BW2119" s="129">
        <f>VLOOKUP($D2119,WGI!$C$2:$O$478,4,FALSE)</f>
        <v>0.389405786991119</v>
      </c>
      <c r="BX2119" s="129">
        <f>VLOOKUP($D2119,WGI!$C$2:$O$478,3,FALSE)</f>
        <v>-0.47539421916008001</v>
      </c>
      <c r="BY2119" s="129">
        <f>VLOOKUP($D2119,WGI!$C$2:$O$478,5,FALSE)</f>
        <v>-0.46777227520942699</v>
      </c>
      <c r="BZ2119" s="129">
        <f>VLOOKUP($D2119,WGI!$C$2:$O$478,2,FALSE)</f>
        <v>-0.38686278462410001</v>
      </c>
    </row>
    <row r="2120" spans="1:78" ht="15" customHeight="1">
      <c r="A2120" s="289" t="s">
        <v>552</v>
      </c>
      <c r="B2120" s="146">
        <v>2013</v>
      </c>
      <c r="C2120" s="117" t="s">
        <v>541</v>
      </c>
      <c r="D2120" s="117" t="s">
        <v>3786</v>
      </c>
      <c r="E2120" s="146" t="s">
        <v>86</v>
      </c>
      <c r="F2120" s="146"/>
      <c r="G2120" s="146" t="s">
        <v>24</v>
      </c>
      <c r="H2120" s="146"/>
      <c r="I2120" s="146"/>
      <c r="J2120" s="146"/>
      <c r="K2120" s="146" t="s">
        <v>2427</v>
      </c>
      <c r="L2120" s="146"/>
      <c r="M2120" s="146"/>
      <c r="N2120" s="754"/>
      <c r="O2120" s="754"/>
      <c r="P2120" s="754"/>
      <c r="Q2120" s="146"/>
      <c r="R2120" s="754">
        <v>1587</v>
      </c>
      <c r="S2120" s="146" t="s">
        <v>967</v>
      </c>
      <c r="T2120" s="119"/>
      <c r="U2120" s="146"/>
      <c r="V2120" s="146"/>
      <c r="W2120" s="146"/>
      <c r="X2120" s="146"/>
      <c r="Y2120" s="146"/>
      <c r="Z2120" s="146"/>
      <c r="AA2120" s="146"/>
      <c r="AB2120" s="146"/>
      <c r="AC2120" s="756"/>
      <c r="AD2120" s="756"/>
      <c r="AE2120" s="756"/>
      <c r="AF2120" s="758"/>
      <c r="AG2120" s="146"/>
      <c r="AH2120" s="759"/>
      <c r="AI2120" s="146"/>
      <c r="AJ2120" s="146"/>
      <c r="AK2120" s="760"/>
      <c r="AL2120" s="146"/>
      <c r="AM2120" s="146"/>
      <c r="AN2120" s="146"/>
      <c r="AO2120" s="146"/>
      <c r="AP2120" s="146"/>
      <c r="AQ2120" s="146"/>
      <c r="AR2120" s="146"/>
      <c r="AS2120" s="146"/>
      <c r="AT2120" s="146"/>
      <c r="AU2120" s="146"/>
      <c r="AV2120" s="128"/>
      <c r="AW2120" s="117">
        <f>VLOOKUP($D2120,'WB Data'!$C$3:$M$578,2,FALSE)</f>
        <v>26820870558.94062</v>
      </c>
      <c r="AX2120" s="117">
        <f>VLOOKUP($D2120,'WB Data'!$C$3:$M$578,3,FALSE)</f>
        <v>14538640</v>
      </c>
      <c r="AY2120" s="847">
        <f t="shared" si="371"/>
        <v>5.5872536817059608E-2</v>
      </c>
      <c r="AZ2120" s="117" t="e">
        <f>VLOOKUP($D2120,'WB Data'!$C$3:$M$578,4,FALSE)/100</f>
        <v>#VALUE!</v>
      </c>
      <c r="BA2120" s="117" t="str">
        <f t="shared" si="372"/>
        <v>..</v>
      </c>
      <c r="BB2120" s="129">
        <f>IFERROR(VLOOKUP($D2120,'EITI Revenues'!$C$2:$G$224,5,FALSE),"..")</f>
        <v>1498550077.77</v>
      </c>
      <c r="BC2120" s="846" t="str">
        <f t="shared" si="373"/>
        <v>..</v>
      </c>
      <c r="BD2120" s="129">
        <f>VLOOKUP($D2120,'WB Data 2'!$C$2:$K$545,6,FALSE)</f>
        <v>7566407807.0788269</v>
      </c>
      <c r="BE2120" s="129" t="str">
        <f>IFERROR(VLOOKUP($D2120,UNCTAD!$C$5:$V$529,4,FALSE),"..")</f>
        <v>..</v>
      </c>
      <c r="BF2120" s="846" t="str">
        <f t="shared" si="374"/>
        <v>..</v>
      </c>
      <c r="BG2120" s="117" t="str">
        <f>VLOOKUP($D2120,'WB Data'!$C$3:$M$578,5,FALSE)</f>
        <v>..</v>
      </c>
      <c r="BH2120" s="129" t="str">
        <f>IFERROR($BB2120/$BG2120,"..")</f>
        <v>..</v>
      </c>
      <c r="BI2120" s="117" t="str">
        <f>IFERROR(VLOOKUP($D2120,'WB Data'!$C$3:$M$578,7,FALSE)/100,"..")</f>
        <v>..</v>
      </c>
      <c r="BJ2120" s="117" t="str">
        <f>IFERROR($BI2120*$AW2120,"..")</f>
        <v>..</v>
      </c>
      <c r="BK2120" s="846" t="str">
        <f>IFERROR($BB2120/$BJ2120,"..")</f>
        <v>..</v>
      </c>
      <c r="BL2120" s="117" t="str">
        <f>IFERROR(VLOOKUP($D2120,'WB Data'!$C$3:$M$578,7,FALSE)/100,"..")</f>
        <v>..</v>
      </c>
      <c r="BM2120" s="117" t="str">
        <f>IFERROR($AW2120*$BL2120,"..")</f>
        <v>..</v>
      </c>
      <c r="BN2120" s="846" t="str">
        <f>IFERROR($BB2120/$BM2120,"..")</f>
        <v>..</v>
      </c>
      <c r="BO2120" s="801">
        <f t="shared" si="370"/>
        <v>38</v>
      </c>
      <c r="BP2120" s="117" t="str">
        <f>VLOOKUP($D2120,'WB Data'!$C$3:$M$578,9,FALSE)</f>
        <v>..</v>
      </c>
      <c r="BQ2120" s="117" t="str">
        <f>VLOOKUP($D2120,'WB Data'!$C$3:$M$578,10,FALSE)</f>
        <v>..</v>
      </c>
      <c r="BR2120" s="117">
        <f>VLOOKUP($D2120,'WB Data'!$C$3:$M$578,11,FALSE)</f>
        <v>55.8</v>
      </c>
      <c r="BS2120" s="129" t="str">
        <f>IFERROR(VLOOKUP($D2120,'WB Data 2'!$C$2:$K$545,9,FALSE),"..")</f>
        <v>..</v>
      </c>
      <c r="BT2120" s="129">
        <f>_xlfn.IFNA(VLOOKUP($C2120,RGI!$A$2:$C$43,2,FALSE),"..")</f>
        <v>41.2</v>
      </c>
      <c r="BU2120" s="129">
        <f>_xlfn.IFNA(VLOOKUP($C2120,RGI!$A$2:$C$43,3,FALSE),"..")</f>
        <v>60.803011070373614</v>
      </c>
      <c r="BV2120" s="129">
        <f>VLOOKUP($D2120,WGI!$C$2:$O$478,7,FALSE)</f>
        <v>-0.111896798014641</v>
      </c>
      <c r="BW2120" s="129">
        <f>VLOOKUP($D2120,WGI!$C$2:$O$478,4,FALSE)</f>
        <v>0.389405786991119</v>
      </c>
      <c r="BX2120" s="129">
        <f>VLOOKUP($D2120,WGI!$C$2:$O$478,3,FALSE)</f>
        <v>-0.47539421916008001</v>
      </c>
      <c r="BY2120" s="129">
        <f>VLOOKUP($D2120,WGI!$C$2:$O$478,5,FALSE)</f>
        <v>-0.46777227520942699</v>
      </c>
      <c r="BZ2120" s="129">
        <f>VLOOKUP($D2120,WGI!$C$2:$O$478,2,FALSE)</f>
        <v>-0.38686278462410001</v>
      </c>
    </row>
    <row r="2121" spans="1:78" ht="15" customHeight="1">
      <c r="A2121" s="289" t="s">
        <v>552</v>
      </c>
      <c r="B2121" s="146">
        <v>2013</v>
      </c>
      <c r="C2121" s="117" t="s">
        <v>541</v>
      </c>
      <c r="D2121" s="117" t="s">
        <v>3786</v>
      </c>
      <c r="E2121" s="146" t="s">
        <v>86</v>
      </c>
      <c r="F2121" s="146"/>
      <c r="G2121" s="146" t="s">
        <v>24</v>
      </c>
      <c r="H2121" s="146"/>
      <c r="I2121" s="146"/>
      <c r="J2121" s="146"/>
      <c r="K2121" s="146" t="s">
        <v>2452</v>
      </c>
      <c r="L2121" s="146"/>
      <c r="M2121" s="146"/>
      <c r="N2121" s="754"/>
      <c r="O2121" s="754"/>
      <c r="P2121" s="754"/>
      <c r="Q2121" s="146"/>
      <c r="R2121" s="754">
        <v>27</v>
      </c>
      <c r="S2121" s="146" t="s">
        <v>967</v>
      </c>
      <c r="T2121" s="119"/>
      <c r="U2121" s="146"/>
      <c r="V2121" s="146"/>
      <c r="W2121" s="146"/>
      <c r="X2121" s="146"/>
      <c r="Y2121" s="146"/>
      <c r="Z2121" s="146"/>
      <c r="AA2121" s="146"/>
      <c r="AB2121" s="146"/>
      <c r="AC2121" s="756"/>
      <c r="AD2121" s="756"/>
      <c r="AE2121" s="756"/>
      <c r="AF2121" s="758"/>
      <c r="AG2121" s="146"/>
      <c r="AH2121" s="759"/>
      <c r="AI2121" s="146"/>
      <c r="AJ2121" s="146"/>
      <c r="AK2121" s="760"/>
      <c r="AL2121" s="146"/>
      <c r="AM2121" s="146"/>
      <c r="AN2121" s="146"/>
      <c r="AO2121" s="146"/>
      <c r="AP2121" s="146"/>
      <c r="AQ2121" s="146"/>
      <c r="AR2121" s="146"/>
      <c r="AS2121" s="146"/>
      <c r="AT2121" s="146"/>
      <c r="AU2121" s="146"/>
      <c r="AV2121" s="128"/>
      <c r="AW2121" s="117">
        <f>VLOOKUP($D2121,'WB Data'!$C$3:$M$578,2,FALSE)</f>
        <v>26820870558.94062</v>
      </c>
      <c r="AX2121" s="117">
        <f>VLOOKUP($D2121,'WB Data'!$C$3:$M$578,3,FALSE)</f>
        <v>14538640</v>
      </c>
      <c r="AY2121" s="847">
        <f t="shared" si="371"/>
        <v>5.5872536817059608E-2</v>
      </c>
      <c r="AZ2121" s="117" t="e">
        <f>VLOOKUP($D2121,'WB Data'!$C$3:$M$578,4,FALSE)/100</f>
        <v>#VALUE!</v>
      </c>
      <c r="BA2121" s="117" t="str">
        <f t="shared" si="372"/>
        <v>..</v>
      </c>
      <c r="BB2121" s="129">
        <f>IFERROR(VLOOKUP($D2121,'EITI Revenues'!$C$2:$G$224,5,FALSE),"..")</f>
        <v>1498550077.77</v>
      </c>
      <c r="BC2121" s="846" t="str">
        <f t="shared" si="373"/>
        <v>..</v>
      </c>
      <c r="BD2121" s="129">
        <f>VLOOKUP($D2121,'WB Data 2'!$C$2:$K$545,6,FALSE)</f>
        <v>7566407807.0788269</v>
      </c>
      <c r="BE2121" s="129" t="str">
        <f>IFERROR(VLOOKUP($D2121,UNCTAD!$C$5:$V$529,4,FALSE),"..")</f>
        <v>..</v>
      </c>
      <c r="BF2121" s="846" t="str">
        <f t="shared" si="374"/>
        <v>..</v>
      </c>
      <c r="BG2121" s="117" t="str">
        <f>VLOOKUP($D2121,'WB Data'!$C$3:$M$578,5,FALSE)</f>
        <v>..</v>
      </c>
      <c r="BH2121" s="129" t="str">
        <f>IFERROR($BB2121/$BG2121,"..")</f>
        <v>..</v>
      </c>
      <c r="BI2121" s="117" t="str">
        <f>IFERROR(VLOOKUP($D2121,'WB Data'!$C$3:$M$578,7,FALSE)/100,"..")</f>
        <v>..</v>
      </c>
      <c r="BJ2121" s="117" t="str">
        <f>IFERROR($BI2121*$AW2121,"..")</f>
        <v>..</v>
      </c>
      <c r="BK2121" s="846" t="str">
        <f>IFERROR($BB2121/$BJ2121,"..")</f>
        <v>..</v>
      </c>
      <c r="BL2121" s="117" t="str">
        <f>IFERROR(VLOOKUP($D2121,'WB Data'!$C$3:$M$578,7,FALSE)/100,"..")</f>
        <v>..</v>
      </c>
      <c r="BM2121" s="117" t="str">
        <f>IFERROR($AW2121*$BL2121,"..")</f>
        <v>..</v>
      </c>
      <c r="BN2121" s="846" t="str">
        <f>IFERROR($BB2121/$BM2121,"..")</f>
        <v>..</v>
      </c>
      <c r="BO2121" s="801">
        <f t="shared" si="370"/>
        <v>38</v>
      </c>
      <c r="BP2121" s="117" t="str">
        <f>VLOOKUP($D2121,'WB Data'!$C$3:$M$578,9,FALSE)</f>
        <v>..</v>
      </c>
      <c r="BQ2121" s="117" t="str">
        <f>VLOOKUP($D2121,'WB Data'!$C$3:$M$578,10,FALSE)</f>
        <v>..</v>
      </c>
      <c r="BR2121" s="117">
        <f>VLOOKUP($D2121,'WB Data'!$C$3:$M$578,11,FALSE)</f>
        <v>55.8</v>
      </c>
      <c r="BS2121" s="129" t="str">
        <f>IFERROR(VLOOKUP($D2121,'WB Data 2'!$C$2:$K$545,9,FALSE),"..")</f>
        <v>..</v>
      </c>
      <c r="BT2121" s="129">
        <f>_xlfn.IFNA(VLOOKUP($C2121,RGI!$A$2:$C$43,2,FALSE),"..")</f>
        <v>41.2</v>
      </c>
      <c r="BU2121" s="129">
        <f>_xlfn.IFNA(VLOOKUP($C2121,RGI!$A$2:$C$43,3,FALSE),"..")</f>
        <v>60.803011070373614</v>
      </c>
      <c r="BV2121" s="129">
        <f>VLOOKUP($D2121,WGI!$C$2:$O$478,7,FALSE)</f>
        <v>-0.111896798014641</v>
      </c>
      <c r="BW2121" s="129">
        <f>VLOOKUP($D2121,WGI!$C$2:$O$478,4,FALSE)</f>
        <v>0.389405786991119</v>
      </c>
      <c r="BX2121" s="129">
        <f>VLOOKUP($D2121,WGI!$C$2:$O$478,3,FALSE)</f>
        <v>-0.47539421916008001</v>
      </c>
      <c r="BY2121" s="129">
        <f>VLOOKUP($D2121,WGI!$C$2:$O$478,5,FALSE)</f>
        <v>-0.46777227520942699</v>
      </c>
      <c r="BZ2121" s="129">
        <f>VLOOKUP($D2121,WGI!$C$2:$O$478,2,FALSE)</f>
        <v>-0.38686278462410001</v>
      </c>
    </row>
    <row r="2122" spans="1:78" ht="15" customHeight="1">
      <c r="A2122" s="289" t="s">
        <v>552</v>
      </c>
      <c r="B2122" s="146">
        <v>2013</v>
      </c>
      <c r="C2122" s="117" t="s">
        <v>541</v>
      </c>
      <c r="D2122" s="117" t="s">
        <v>3786</v>
      </c>
      <c r="E2122" s="146" t="s">
        <v>86</v>
      </c>
      <c r="F2122" s="146"/>
      <c r="G2122" s="146" t="s">
        <v>24</v>
      </c>
      <c r="H2122" s="146"/>
      <c r="I2122" s="146"/>
      <c r="J2122" s="146"/>
      <c r="K2122" s="146" t="s">
        <v>2463</v>
      </c>
      <c r="L2122" s="146"/>
      <c r="M2122" s="146"/>
      <c r="N2122" s="754"/>
      <c r="O2122" s="754"/>
      <c r="P2122" s="754"/>
      <c r="Q2122" s="146"/>
      <c r="R2122" s="754">
        <v>86</v>
      </c>
      <c r="S2122" s="146" t="s">
        <v>967</v>
      </c>
      <c r="T2122" s="119"/>
      <c r="U2122" s="146"/>
      <c r="V2122" s="146"/>
      <c r="W2122" s="146"/>
      <c r="X2122" s="146"/>
      <c r="Y2122" s="146"/>
      <c r="Z2122" s="146"/>
      <c r="AA2122" s="146"/>
      <c r="AB2122" s="146"/>
      <c r="AC2122" s="756"/>
      <c r="AD2122" s="756"/>
      <c r="AE2122" s="756"/>
      <c r="AF2122" s="758"/>
      <c r="AG2122" s="146"/>
      <c r="AH2122" s="759"/>
      <c r="AI2122" s="146"/>
      <c r="AJ2122" s="146"/>
      <c r="AK2122" s="760"/>
      <c r="AL2122" s="146"/>
      <c r="AM2122" s="146"/>
      <c r="AN2122" s="146"/>
      <c r="AO2122" s="146"/>
      <c r="AP2122" s="146"/>
      <c r="AQ2122" s="146"/>
      <c r="AR2122" s="146"/>
      <c r="AS2122" s="146"/>
      <c r="AT2122" s="146"/>
      <c r="AU2122" s="146"/>
      <c r="AV2122" s="128"/>
      <c r="AW2122" s="117">
        <f>VLOOKUP($D2122,'WB Data'!$C$3:$M$578,2,FALSE)</f>
        <v>26820870558.94062</v>
      </c>
      <c r="AX2122" s="117">
        <f>VLOOKUP($D2122,'WB Data'!$C$3:$M$578,3,FALSE)</f>
        <v>14538640</v>
      </c>
      <c r="AY2122" s="847">
        <f t="shared" si="371"/>
        <v>5.5872536817059608E-2</v>
      </c>
      <c r="AZ2122" s="117" t="e">
        <f>VLOOKUP($D2122,'WB Data'!$C$3:$M$578,4,FALSE)/100</f>
        <v>#VALUE!</v>
      </c>
      <c r="BA2122" s="117" t="str">
        <f t="shared" si="372"/>
        <v>..</v>
      </c>
      <c r="BB2122" s="129">
        <f>IFERROR(VLOOKUP($D2122,'EITI Revenues'!$C$2:$G$224,5,FALSE),"..")</f>
        <v>1498550077.77</v>
      </c>
      <c r="BC2122" s="846" t="str">
        <f t="shared" si="373"/>
        <v>..</v>
      </c>
      <c r="BD2122" s="129">
        <f>VLOOKUP($D2122,'WB Data 2'!$C$2:$K$545,6,FALSE)</f>
        <v>7566407807.0788269</v>
      </c>
      <c r="BE2122" s="129" t="str">
        <f>IFERROR(VLOOKUP($D2122,UNCTAD!$C$5:$V$529,4,FALSE),"..")</f>
        <v>..</v>
      </c>
      <c r="BF2122" s="846" t="str">
        <f t="shared" si="374"/>
        <v>..</v>
      </c>
      <c r="BG2122" s="117" t="str">
        <f>VLOOKUP($D2122,'WB Data'!$C$3:$M$578,5,FALSE)</f>
        <v>..</v>
      </c>
      <c r="BH2122" s="129" t="str">
        <f>IFERROR($BB2122/$BG2122,"..")</f>
        <v>..</v>
      </c>
      <c r="BI2122" s="117" t="str">
        <f>IFERROR(VLOOKUP($D2122,'WB Data'!$C$3:$M$578,7,FALSE)/100,"..")</f>
        <v>..</v>
      </c>
      <c r="BJ2122" s="117" t="str">
        <f>IFERROR($BI2122*$AW2122,"..")</f>
        <v>..</v>
      </c>
      <c r="BK2122" s="846" t="str">
        <f>IFERROR($BB2122/$BJ2122,"..")</f>
        <v>..</v>
      </c>
      <c r="BL2122" s="117" t="str">
        <f>IFERROR(VLOOKUP($D2122,'WB Data'!$C$3:$M$578,7,FALSE)/100,"..")</f>
        <v>..</v>
      </c>
      <c r="BM2122" s="117" t="str">
        <f>IFERROR($AW2122*$BL2122,"..")</f>
        <v>..</v>
      </c>
      <c r="BN2122" s="846" t="str">
        <f>IFERROR($BB2122/$BM2122,"..")</f>
        <v>..</v>
      </c>
      <c r="BO2122" s="801">
        <f t="shared" si="370"/>
        <v>38</v>
      </c>
      <c r="BP2122" s="117" t="str">
        <f>VLOOKUP($D2122,'WB Data'!$C$3:$M$578,9,FALSE)</f>
        <v>..</v>
      </c>
      <c r="BQ2122" s="117" t="str">
        <f>VLOOKUP($D2122,'WB Data'!$C$3:$M$578,10,FALSE)</f>
        <v>..</v>
      </c>
      <c r="BR2122" s="117">
        <f>VLOOKUP($D2122,'WB Data'!$C$3:$M$578,11,FALSE)</f>
        <v>55.8</v>
      </c>
      <c r="BS2122" s="129" t="str">
        <f>IFERROR(VLOOKUP($D2122,'WB Data 2'!$C$2:$K$545,9,FALSE),"..")</f>
        <v>..</v>
      </c>
      <c r="BT2122" s="129">
        <f>_xlfn.IFNA(VLOOKUP($C2122,RGI!$A$2:$C$43,2,FALSE),"..")</f>
        <v>41.2</v>
      </c>
      <c r="BU2122" s="129">
        <f>_xlfn.IFNA(VLOOKUP($C2122,RGI!$A$2:$C$43,3,FALSE),"..")</f>
        <v>60.803011070373614</v>
      </c>
      <c r="BV2122" s="129">
        <f>VLOOKUP($D2122,WGI!$C$2:$O$478,7,FALSE)</f>
        <v>-0.111896798014641</v>
      </c>
      <c r="BW2122" s="129">
        <f>VLOOKUP($D2122,WGI!$C$2:$O$478,4,FALSE)</f>
        <v>0.389405786991119</v>
      </c>
      <c r="BX2122" s="129">
        <f>VLOOKUP($D2122,WGI!$C$2:$O$478,3,FALSE)</f>
        <v>-0.47539421916008001</v>
      </c>
      <c r="BY2122" s="129">
        <f>VLOOKUP($D2122,WGI!$C$2:$O$478,5,FALSE)</f>
        <v>-0.46777227520942699</v>
      </c>
      <c r="BZ2122" s="129">
        <f>VLOOKUP($D2122,WGI!$C$2:$O$478,2,FALSE)</f>
        <v>-0.38686278462410001</v>
      </c>
    </row>
    <row r="2123" spans="1:78" ht="15" customHeight="1">
      <c r="A2123" s="289" t="s">
        <v>552</v>
      </c>
      <c r="B2123" s="146">
        <v>2013</v>
      </c>
      <c r="C2123" s="117" t="s">
        <v>541</v>
      </c>
      <c r="D2123" s="117" t="s">
        <v>3786</v>
      </c>
      <c r="E2123" s="146" t="s">
        <v>86</v>
      </c>
      <c r="F2123" s="146"/>
      <c r="G2123" s="146" t="s">
        <v>24</v>
      </c>
      <c r="H2123" s="146"/>
      <c r="I2123" s="146"/>
      <c r="J2123" s="146"/>
      <c r="K2123" s="146" t="s">
        <v>2426</v>
      </c>
      <c r="L2123" s="146"/>
      <c r="M2123" s="146"/>
      <c r="N2123" s="754"/>
      <c r="O2123" s="754"/>
      <c r="P2123" s="754"/>
      <c r="Q2123" s="146"/>
      <c r="R2123" s="754">
        <v>41259</v>
      </c>
      <c r="S2123" s="146" t="s">
        <v>967</v>
      </c>
      <c r="T2123" s="119"/>
      <c r="U2123" s="146"/>
      <c r="V2123" s="146"/>
      <c r="W2123" s="146"/>
      <c r="X2123" s="146"/>
      <c r="Y2123" s="146"/>
      <c r="Z2123" s="146"/>
      <c r="AA2123" s="146"/>
      <c r="AB2123" s="146"/>
      <c r="AC2123" s="756"/>
      <c r="AD2123" s="756"/>
      <c r="AE2123" s="756"/>
      <c r="AF2123" s="758"/>
      <c r="AG2123" s="146"/>
      <c r="AH2123" s="759"/>
      <c r="AI2123" s="146"/>
      <c r="AJ2123" s="146"/>
      <c r="AK2123" s="760"/>
      <c r="AL2123" s="146"/>
      <c r="AM2123" s="146"/>
      <c r="AN2123" s="146"/>
      <c r="AO2123" s="146"/>
      <c r="AP2123" s="146"/>
      <c r="AQ2123" s="146"/>
      <c r="AR2123" s="146"/>
      <c r="AS2123" s="146"/>
      <c r="AT2123" s="146"/>
      <c r="AU2123" s="146"/>
      <c r="AV2123" s="128"/>
      <c r="AW2123" s="117">
        <f>VLOOKUP($D2123,'WB Data'!$C$3:$M$578,2,FALSE)</f>
        <v>26820870558.94062</v>
      </c>
      <c r="AX2123" s="117">
        <f>VLOOKUP($D2123,'WB Data'!$C$3:$M$578,3,FALSE)</f>
        <v>14538640</v>
      </c>
      <c r="AY2123" s="847">
        <f t="shared" si="371"/>
        <v>5.5872536817059608E-2</v>
      </c>
      <c r="AZ2123" s="117" t="e">
        <f>VLOOKUP($D2123,'WB Data'!$C$3:$M$578,4,FALSE)/100</f>
        <v>#VALUE!</v>
      </c>
      <c r="BA2123" s="117" t="str">
        <f t="shared" si="372"/>
        <v>..</v>
      </c>
      <c r="BB2123" s="129">
        <f>IFERROR(VLOOKUP($D2123,'EITI Revenues'!$C$2:$G$224,5,FALSE),"..")</f>
        <v>1498550077.77</v>
      </c>
      <c r="BC2123" s="846" t="str">
        <f t="shared" si="373"/>
        <v>..</v>
      </c>
      <c r="BD2123" s="129">
        <f>VLOOKUP($D2123,'WB Data 2'!$C$2:$K$545,6,FALSE)</f>
        <v>7566407807.0788269</v>
      </c>
      <c r="BE2123" s="129" t="str">
        <f>IFERROR(VLOOKUP($D2123,UNCTAD!$C$5:$V$529,4,FALSE),"..")</f>
        <v>..</v>
      </c>
      <c r="BF2123" s="846" t="str">
        <f t="shared" si="374"/>
        <v>..</v>
      </c>
      <c r="BG2123" s="117" t="str">
        <f>VLOOKUP($D2123,'WB Data'!$C$3:$M$578,5,FALSE)</f>
        <v>..</v>
      </c>
      <c r="BH2123" s="129" t="str">
        <f>IFERROR($BB2123/$BG2123,"..")</f>
        <v>..</v>
      </c>
      <c r="BI2123" s="117" t="str">
        <f>IFERROR(VLOOKUP($D2123,'WB Data'!$C$3:$M$578,7,FALSE)/100,"..")</f>
        <v>..</v>
      </c>
      <c r="BJ2123" s="117" t="str">
        <f>IFERROR($BI2123*$AW2123,"..")</f>
        <v>..</v>
      </c>
      <c r="BK2123" s="846" t="str">
        <f>IFERROR($BB2123/$BJ2123,"..")</f>
        <v>..</v>
      </c>
      <c r="BL2123" s="117" t="str">
        <f>IFERROR(VLOOKUP($D2123,'WB Data'!$C$3:$M$578,7,FALSE)/100,"..")</f>
        <v>..</v>
      </c>
      <c r="BM2123" s="117" t="str">
        <f>IFERROR($AW2123*$BL2123,"..")</f>
        <v>..</v>
      </c>
      <c r="BN2123" s="846" t="str">
        <f>IFERROR($BB2123/$BM2123,"..")</f>
        <v>..</v>
      </c>
      <c r="BO2123" s="801">
        <f t="shared" si="370"/>
        <v>38</v>
      </c>
      <c r="BP2123" s="117" t="str">
        <f>VLOOKUP($D2123,'WB Data'!$C$3:$M$578,9,FALSE)</f>
        <v>..</v>
      </c>
      <c r="BQ2123" s="117" t="str">
        <f>VLOOKUP($D2123,'WB Data'!$C$3:$M$578,10,FALSE)</f>
        <v>..</v>
      </c>
      <c r="BR2123" s="117">
        <f>VLOOKUP($D2123,'WB Data'!$C$3:$M$578,11,FALSE)</f>
        <v>55.8</v>
      </c>
      <c r="BS2123" s="129" t="str">
        <f>IFERROR(VLOOKUP($D2123,'WB Data 2'!$C$2:$K$545,9,FALSE),"..")</f>
        <v>..</v>
      </c>
      <c r="BT2123" s="129">
        <f>_xlfn.IFNA(VLOOKUP($C2123,RGI!$A$2:$C$43,2,FALSE),"..")</f>
        <v>41.2</v>
      </c>
      <c r="BU2123" s="129">
        <f>_xlfn.IFNA(VLOOKUP($C2123,RGI!$A$2:$C$43,3,FALSE),"..")</f>
        <v>60.803011070373614</v>
      </c>
      <c r="BV2123" s="129">
        <f>VLOOKUP($D2123,WGI!$C$2:$O$478,7,FALSE)</f>
        <v>-0.111896798014641</v>
      </c>
      <c r="BW2123" s="129">
        <f>VLOOKUP($D2123,WGI!$C$2:$O$478,4,FALSE)</f>
        <v>0.389405786991119</v>
      </c>
      <c r="BX2123" s="129">
        <f>VLOOKUP($D2123,WGI!$C$2:$O$478,3,FALSE)</f>
        <v>-0.47539421916008001</v>
      </c>
      <c r="BY2123" s="129">
        <f>VLOOKUP($D2123,WGI!$C$2:$O$478,5,FALSE)</f>
        <v>-0.46777227520942699</v>
      </c>
      <c r="BZ2123" s="129">
        <f>VLOOKUP($D2123,WGI!$C$2:$O$478,2,FALSE)</f>
        <v>-0.38686278462410001</v>
      </c>
    </row>
    <row r="2124" spans="1:78" ht="15" customHeight="1">
      <c r="A2124" s="289" t="s">
        <v>552</v>
      </c>
      <c r="B2124" s="146">
        <v>2013</v>
      </c>
      <c r="C2124" s="117" t="s">
        <v>541</v>
      </c>
      <c r="D2124" s="117" t="s">
        <v>3786</v>
      </c>
      <c r="E2124" s="146" t="s">
        <v>86</v>
      </c>
      <c r="F2124" s="146"/>
      <c r="G2124" s="146" t="s">
        <v>24</v>
      </c>
      <c r="H2124" s="146"/>
      <c r="I2124" s="146"/>
      <c r="J2124" s="146"/>
      <c r="K2124" s="146" t="s">
        <v>2464</v>
      </c>
      <c r="L2124" s="146"/>
      <c r="M2124" s="146"/>
      <c r="N2124" s="754"/>
      <c r="O2124" s="754"/>
      <c r="P2124" s="754"/>
      <c r="Q2124" s="146"/>
      <c r="R2124" s="754">
        <v>2141</v>
      </c>
      <c r="S2124" s="146" t="s">
        <v>967</v>
      </c>
      <c r="T2124" s="119"/>
      <c r="U2124" s="146"/>
      <c r="V2124" s="146"/>
      <c r="W2124" s="146"/>
      <c r="X2124" s="146"/>
      <c r="Y2124" s="146"/>
      <c r="Z2124" s="146"/>
      <c r="AA2124" s="146"/>
      <c r="AB2124" s="146"/>
      <c r="AC2124" s="756"/>
      <c r="AD2124" s="756"/>
      <c r="AE2124" s="756"/>
      <c r="AF2124" s="758"/>
      <c r="AG2124" s="146"/>
      <c r="AH2124" s="759"/>
      <c r="AI2124" s="146"/>
      <c r="AJ2124" s="146"/>
      <c r="AK2124" s="760"/>
      <c r="AL2124" s="146"/>
      <c r="AM2124" s="146"/>
      <c r="AN2124" s="146"/>
      <c r="AO2124" s="146"/>
      <c r="AP2124" s="146"/>
      <c r="AQ2124" s="146"/>
      <c r="AR2124" s="146"/>
      <c r="AS2124" s="146"/>
      <c r="AT2124" s="146"/>
      <c r="AU2124" s="146"/>
      <c r="AV2124" s="128"/>
      <c r="AW2124" s="117">
        <f>VLOOKUP($D2124,'WB Data'!$C$3:$M$578,2,FALSE)</f>
        <v>26820870558.94062</v>
      </c>
      <c r="AX2124" s="117">
        <f>VLOOKUP($D2124,'WB Data'!$C$3:$M$578,3,FALSE)</f>
        <v>14538640</v>
      </c>
      <c r="AY2124" s="847">
        <f t="shared" si="371"/>
        <v>5.5872536817059608E-2</v>
      </c>
      <c r="AZ2124" s="117" t="e">
        <f>VLOOKUP($D2124,'WB Data'!$C$3:$M$578,4,FALSE)/100</f>
        <v>#VALUE!</v>
      </c>
      <c r="BA2124" s="117" t="str">
        <f t="shared" si="372"/>
        <v>..</v>
      </c>
      <c r="BB2124" s="129">
        <f>IFERROR(VLOOKUP($D2124,'EITI Revenues'!$C$2:$G$224,5,FALSE),"..")</f>
        <v>1498550077.77</v>
      </c>
      <c r="BC2124" s="846" t="str">
        <f t="shared" si="373"/>
        <v>..</v>
      </c>
      <c r="BD2124" s="129">
        <f>VLOOKUP($D2124,'WB Data 2'!$C$2:$K$545,6,FALSE)</f>
        <v>7566407807.0788269</v>
      </c>
      <c r="BE2124" s="129" t="str">
        <f>IFERROR(VLOOKUP($D2124,UNCTAD!$C$5:$V$529,4,FALSE),"..")</f>
        <v>..</v>
      </c>
      <c r="BF2124" s="846" t="str">
        <f t="shared" si="374"/>
        <v>..</v>
      </c>
      <c r="BG2124" s="117" t="str">
        <f>VLOOKUP($D2124,'WB Data'!$C$3:$M$578,5,FALSE)</f>
        <v>..</v>
      </c>
      <c r="BH2124" s="129" t="str">
        <f>IFERROR($BB2124/$BG2124,"..")</f>
        <v>..</v>
      </c>
      <c r="BI2124" s="117" t="str">
        <f>IFERROR(VLOOKUP($D2124,'WB Data'!$C$3:$M$578,7,FALSE)/100,"..")</f>
        <v>..</v>
      </c>
      <c r="BJ2124" s="117" t="str">
        <f>IFERROR($BI2124*$AW2124,"..")</f>
        <v>..</v>
      </c>
      <c r="BK2124" s="846" t="str">
        <f>IFERROR($BB2124/$BJ2124,"..")</f>
        <v>..</v>
      </c>
      <c r="BL2124" s="117" t="str">
        <f>IFERROR(VLOOKUP($D2124,'WB Data'!$C$3:$M$578,7,FALSE)/100,"..")</f>
        <v>..</v>
      </c>
      <c r="BM2124" s="117" t="str">
        <f>IFERROR($AW2124*$BL2124,"..")</f>
        <v>..</v>
      </c>
      <c r="BN2124" s="846" t="str">
        <f>IFERROR($BB2124/$BM2124,"..")</f>
        <v>..</v>
      </c>
      <c r="BO2124" s="801">
        <f t="shared" si="370"/>
        <v>38</v>
      </c>
      <c r="BP2124" s="117" t="str">
        <f>VLOOKUP($D2124,'WB Data'!$C$3:$M$578,9,FALSE)</f>
        <v>..</v>
      </c>
      <c r="BQ2124" s="117" t="str">
        <f>VLOOKUP($D2124,'WB Data'!$C$3:$M$578,10,FALSE)</f>
        <v>..</v>
      </c>
      <c r="BR2124" s="117">
        <f>VLOOKUP($D2124,'WB Data'!$C$3:$M$578,11,FALSE)</f>
        <v>55.8</v>
      </c>
      <c r="BS2124" s="129" t="str">
        <f>IFERROR(VLOOKUP($D2124,'WB Data 2'!$C$2:$K$545,9,FALSE),"..")</f>
        <v>..</v>
      </c>
      <c r="BT2124" s="129">
        <f>_xlfn.IFNA(VLOOKUP($C2124,RGI!$A$2:$C$43,2,FALSE),"..")</f>
        <v>41.2</v>
      </c>
      <c r="BU2124" s="129">
        <f>_xlfn.IFNA(VLOOKUP($C2124,RGI!$A$2:$C$43,3,FALSE),"..")</f>
        <v>60.803011070373614</v>
      </c>
      <c r="BV2124" s="129">
        <f>VLOOKUP($D2124,WGI!$C$2:$O$478,7,FALSE)</f>
        <v>-0.111896798014641</v>
      </c>
      <c r="BW2124" s="129">
        <f>VLOOKUP($D2124,WGI!$C$2:$O$478,4,FALSE)</f>
        <v>0.389405786991119</v>
      </c>
      <c r="BX2124" s="129">
        <f>VLOOKUP($D2124,WGI!$C$2:$O$478,3,FALSE)</f>
        <v>-0.47539421916008001</v>
      </c>
      <c r="BY2124" s="129">
        <f>VLOOKUP($D2124,WGI!$C$2:$O$478,5,FALSE)</f>
        <v>-0.46777227520942699</v>
      </c>
      <c r="BZ2124" s="129">
        <f>VLOOKUP($D2124,WGI!$C$2:$O$478,2,FALSE)</f>
        <v>-0.38686278462410001</v>
      </c>
    </row>
    <row r="2125" spans="1:78" ht="15" customHeight="1">
      <c r="A2125" s="289" t="s">
        <v>552</v>
      </c>
      <c r="B2125" s="146">
        <v>2013</v>
      </c>
      <c r="C2125" s="117" t="s">
        <v>541</v>
      </c>
      <c r="D2125" s="117" t="s">
        <v>3786</v>
      </c>
      <c r="E2125" s="146" t="s">
        <v>86</v>
      </c>
      <c r="F2125" s="146"/>
      <c r="G2125" s="146" t="s">
        <v>24</v>
      </c>
      <c r="H2125" s="146"/>
      <c r="I2125" s="146"/>
      <c r="J2125" s="146"/>
      <c r="K2125" s="146" t="s">
        <v>2465</v>
      </c>
      <c r="L2125" s="146"/>
      <c r="M2125" s="146"/>
      <c r="N2125" s="754"/>
      <c r="O2125" s="754"/>
      <c r="P2125" s="754"/>
      <c r="Q2125" s="146"/>
      <c r="R2125" s="754">
        <v>1399</v>
      </c>
      <c r="S2125" s="146" t="s">
        <v>967</v>
      </c>
      <c r="T2125" s="119"/>
      <c r="U2125" s="146"/>
      <c r="V2125" s="146"/>
      <c r="W2125" s="146"/>
      <c r="X2125" s="146"/>
      <c r="Y2125" s="146"/>
      <c r="Z2125" s="146"/>
      <c r="AA2125" s="146"/>
      <c r="AB2125" s="146"/>
      <c r="AC2125" s="756"/>
      <c r="AD2125" s="756"/>
      <c r="AE2125" s="756"/>
      <c r="AF2125" s="758"/>
      <c r="AG2125" s="146"/>
      <c r="AH2125" s="759"/>
      <c r="AI2125" s="146"/>
      <c r="AJ2125" s="146"/>
      <c r="AK2125" s="760"/>
      <c r="AL2125" s="146"/>
      <c r="AM2125" s="146"/>
      <c r="AN2125" s="146"/>
      <c r="AO2125" s="146"/>
      <c r="AP2125" s="146"/>
      <c r="AQ2125" s="146"/>
      <c r="AR2125" s="146"/>
      <c r="AS2125" s="146"/>
      <c r="AT2125" s="146"/>
      <c r="AU2125" s="146"/>
      <c r="AV2125" s="128"/>
      <c r="AW2125" s="117">
        <f>VLOOKUP($D2125,'WB Data'!$C$3:$M$578,2,FALSE)</f>
        <v>26820870558.94062</v>
      </c>
      <c r="AX2125" s="117">
        <f>VLOOKUP($D2125,'WB Data'!$C$3:$M$578,3,FALSE)</f>
        <v>14538640</v>
      </c>
      <c r="AY2125" s="847">
        <f t="shared" si="371"/>
        <v>5.5872536817059608E-2</v>
      </c>
      <c r="AZ2125" s="117" t="e">
        <f>VLOOKUP($D2125,'WB Data'!$C$3:$M$578,4,FALSE)/100</f>
        <v>#VALUE!</v>
      </c>
      <c r="BA2125" s="117" t="str">
        <f t="shared" si="372"/>
        <v>..</v>
      </c>
      <c r="BB2125" s="129">
        <f>IFERROR(VLOOKUP($D2125,'EITI Revenues'!$C$2:$G$224,5,FALSE),"..")</f>
        <v>1498550077.77</v>
      </c>
      <c r="BC2125" s="846" t="str">
        <f t="shared" si="373"/>
        <v>..</v>
      </c>
      <c r="BD2125" s="129">
        <f>VLOOKUP($D2125,'WB Data 2'!$C$2:$K$545,6,FALSE)</f>
        <v>7566407807.0788269</v>
      </c>
      <c r="BE2125" s="129" t="str">
        <f>IFERROR(VLOOKUP($D2125,UNCTAD!$C$5:$V$529,4,FALSE),"..")</f>
        <v>..</v>
      </c>
      <c r="BF2125" s="846" t="str">
        <f t="shared" si="374"/>
        <v>..</v>
      </c>
      <c r="BG2125" s="117" t="str">
        <f>VLOOKUP($D2125,'WB Data'!$C$3:$M$578,5,FALSE)</f>
        <v>..</v>
      </c>
      <c r="BH2125" s="129" t="str">
        <f>IFERROR($BB2125/$BG2125,"..")</f>
        <v>..</v>
      </c>
      <c r="BI2125" s="117" t="str">
        <f>IFERROR(VLOOKUP($D2125,'WB Data'!$C$3:$M$578,7,FALSE)/100,"..")</f>
        <v>..</v>
      </c>
      <c r="BJ2125" s="117" t="str">
        <f>IFERROR($BI2125*$AW2125,"..")</f>
        <v>..</v>
      </c>
      <c r="BK2125" s="846" t="str">
        <f>IFERROR($BB2125/$BJ2125,"..")</f>
        <v>..</v>
      </c>
      <c r="BL2125" s="117" t="str">
        <f>IFERROR(VLOOKUP($D2125,'WB Data'!$C$3:$M$578,7,FALSE)/100,"..")</f>
        <v>..</v>
      </c>
      <c r="BM2125" s="117" t="str">
        <f>IFERROR($AW2125*$BL2125,"..")</f>
        <v>..</v>
      </c>
      <c r="BN2125" s="846" t="str">
        <f>IFERROR($BB2125/$BM2125,"..")</f>
        <v>..</v>
      </c>
      <c r="BO2125" s="801">
        <f t="shared" si="370"/>
        <v>38</v>
      </c>
      <c r="BP2125" s="117" t="str">
        <f>VLOOKUP($D2125,'WB Data'!$C$3:$M$578,9,FALSE)</f>
        <v>..</v>
      </c>
      <c r="BQ2125" s="117" t="str">
        <f>VLOOKUP($D2125,'WB Data'!$C$3:$M$578,10,FALSE)</f>
        <v>..</v>
      </c>
      <c r="BR2125" s="117">
        <f>VLOOKUP($D2125,'WB Data'!$C$3:$M$578,11,FALSE)</f>
        <v>55.8</v>
      </c>
      <c r="BS2125" s="129" t="str">
        <f>IFERROR(VLOOKUP($D2125,'WB Data 2'!$C$2:$K$545,9,FALSE),"..")</f>
        <v>..</v>
      </c>
      <c r="BT2125" s="129">
        <f>_xlfn.IFNA(VLOOKUP($C2125,RGI!$A$2:$C$43,2,FALSE),"..")</f>
        <v>41.2</v>
      </c>
      <c r="BU2125" s="129">
        <f>_xlfn.IFNA(VLOOKUP($C2125,RGI!$A$2:$C$43,3,FALSE),"..")</f>
        <v>60.803011070373614</v>
      </c>
      <c r="BV2125" s="129">
        <f>VLOOKUP($D2125,WGI!$C$2:$O$478,7,FALSE)</f>
        <v>-0.111896798014641</v>
      </c>
      <c r="BW2125" s="129">
        <f>VLOOKUP($D2125,WGI!$C$2:$O$478,4,FALSE)</f>
        <v>0.389405786991119</v>
      </c>
      <c r="BX2125" s="129">
        <f>VLOOKUP($D2125,WGI!$C$2:$O$478,3,FALSE)</f>
        <v>-0.47539421916008001</v>
      </c>
      <c r="BY2125" s="129">
        <f>VLOOKUP($D2125,WGI!$C$2:$O$478,5,FALSE)</f>
        <v>-0.46777227520942699</v>
      </c>
      <c r="BZ2125" s="129">
        <f>VLOOKUP($D2125,WGI!$C$2:$O$478,2,FALSE)</f>
        <v>-0.38686278462410001</v>
      </c>
    </row>
    <row r="2126" spans="1:78" ht="15" customHeight="1">
      <c r="A2126" s="289" t="s">
        <v>552</v>
      </c>
      <c r="B2126" s="146">
        <v>2013</v>
      </c>
      <c r="C2126" s="117" t="s">
        <v>541</v>
      </c>
      <c r="D2126" s="117" t="s">
        <v>3786</v>
      </c>
      <c r="E2126" s="146" t="s">
        <v>86</v>
      </c>
      <c r="F2126" s="146"/>
      <c r="G2126" s="146" t="s">
        <v>24</v>
      </c>
      <c r="H2126" s="146"/>
      <c r="I2126" s="146"/>
      <c r="J2126" s="146"/>
      <c r="K2126" s="146" t="s">
        <v>843</v>
      </c>
      <c r="L2126" s="146"/>
      <c r="M2126" s="146"/>
      <c r="N2126" s="754"/>
      <c r="O2126" s="754"/>
      <c r="P2126" s="754"/>
      <c r="Q2126" s="146"/>
      <c r="R2126" s="754">
        <v>45326</v>
      </c>
      <c r="S2126" s="146" t="s">
        <v>610</v>
      </c>
      <c r="T2126" s="119"/>
      <c r="U2126" s="146"/>
      <c r="V2126" s="146"/>
      <c r="W2126" s="146"/>
      <c r="X2126" s="146"/>
      <c r="Y2126" s="146"/>
      <c r="Z2126" s="146"/>
      <c r="AA2126" s="146"/>
      <c r="AB2126" s="146"/>
      <c r="AC2126" s="756"/>
      <c r="AD2126" s="756"/>
      <c r="AE2126" s="756"/>
      <c r="AF2126" s="758"/>
      <c r="AG2126" s="146"/>
      <c r="AH2126" s="759"/>
      <c r="AI2126" s="146"/>
      <c r="AJ2126" s="146"/>
      <c r="AK2126" s="760"/>
      <c r="AL2126" s="146"/>
      <c r="AM2126" s="146"/>
      <c r="AN2126" s="146"/>
      <c r="AO2126" s="146"/>
      <c r="AP2126" s="146"/>
      <c r="AQ2126" s="146"/>
      <c r="AR2126" s="146"/>
      <c r="AS2126" s="146"/>
      <c r="AT2126" s="146"/>
      <c r="AU2126" s="146"/>
      <c r="AV2126" s="128"/>
      <c r="AW2126" s="117">
        <f>VLOOKUP($D2126,'WB Data'!$C$3:$M$578,2,FALSE)</f>
        <v>26820870558.94062</v>
      </c>
      <c r="AX2126" s="117">
        <f>VLOOKUP($D2126,'WB Data'!$C$3:$M$578,3,FALSE)</f>
        <v>14538640</v>
      </c>
      <c r="AY2126" s="847">
        <f t="shared" si="371"/>
        <v>5.5872536817059608E-2</v>
      </c>
      <c r="AZ2126" s="117" t="e">
        <f>VLOOKUP($D2126,'WB Data'!$C$3:$M$578,4,FALSE)/100</f>
        <v>#VALUE!</v>
      </c>
      <c r="BA2126" s="117" t="str">
        <f t="shared" si="372"/>
        <v>..</v>
      </c>
      <c r="BB2126" s="129">
        <f>IFERROR(VLOOKUP($D2126,'EITI Revenues'!$C$2:$G$224,5,FALSE),"..")</f>
        <v>1498550077.77</v>
      </c>
      <c r="BC2126" s="846" t="str">
        <f t="shared" si="373"/>
        <v>..</v>
      </c>
      <c r="BD2126" s="129">
        <f>VLOOKUP($D2126,'WB Data 2'!$C$2:$K$545,6,FALSE)</f>
        <v>7566407807.0788269</v>
      </c>
      <c r="BE2126" s="129" t="str">
        <f>IFERROR(VLOOKUP($D2126,UNCTAD!$C$5:$V$529,4,FALSE),"..")</f>
        <v>..</v>
      </c>
      <c r="BF2126" s="846" t="str">
        <f t="shared" si="374"/>
        <v>..</v>
      </c>
      <c r="BG2126" s="117" t="str">
        <f>VLOOKUP($D2126,'WB Data'!$C$3:$M$578,5,FALSE)</f>
        <v>..</v>
      </c>
      <c r="BH2126" s="129" t="str">
        <f>IFERROR($BB2126/$BG2126,"..")</f>
        <v>..</v>
      </c>
      <c r="BI2126" s="117" t="str">
        <f>IFERROR(VLOOKUP($D2126,'WB Data'!$C$3:$M$578,7,FALSE)/100,"..")</f>
        <v>..</v>
      </c>
      <c r="BJ2126" s="117" t="str">
        <f>IFERROR($BI2126*$AW2126,"..")</f>
        <v>..</v>
      </c>
      <c r="BK2126" s="846" t="str">
        <f>IFERROR($BB2126/$BJ2126,"..")</f>
        <v>..</v>
      </c>
      <c r="BL2126" s="117" t="str">
        <f>IFERROR(VLOOKUP($D2126,'WB Data'!$C$3:$M$578,7,FALSE)/100,"..")</f>
        <v>..</v>
      </c>
      <c r="BM2126" s="117" t="str">
        <f>IFERROR($AW2126*$BL2126,"..")</f>
        <v>..</v>
      </c>
      <c r="BN2126" s="846" t="str">
        <f>IFERROR($BB2126/$BM2126,"..")</f>
        <v>..</v>
      </c>
      <c r="BO2126" s="801">
        <f t="shared" si="370"/>
        <v>38</v>
      </c>
      <c r="BP2126" s="117" t="str">
        <f>VLOOKUP($D2126,'WB Data'!$C$3:$M$578,9,FALSE)</f>
        <v>..</v>
      </c>
      <c r="BQ2126" s="117" t="str">
        <f>VLOOKUP($D2126,'WB Data'!$C$3:$M$578,10,FALSE)</f>
        <v>..</v>
      </c>
      <c r="BR2126" s="117">
        <f>VLOOKUP($D2126,'WB Data'!$C$3:$M$578,11,FALSE)</f>
        <v>55.8</v>
      </c>
      <c r="BS2126" s="129" t="str">
        <f>IFERROR(VLOOKUP($D2126,'WB Data 2'!$C$2:$K$545,9,FALSE),"..")</f>
        <v>..</v>
      </c>
      <c r="BT2126" s="129">
        <f>_xlfn.IFNA(VLOOKUP($C2126,RGI!$A$2:$C$43,2,FALSE),"..")</f>
        <v>41.2</v>
      </c>
      <c r="BU2126" s="129">
        <f>_xlfn.IFNA(VLOOKUP($C2126,RGI!$A$2:$C$43,3,FALSE),"..")</f>
        <v>60.803011070373614</v>
      </c>
      <c r="BV2126" s="129">
        <f>VLOOKUP($D2126,WGI!$C$2:$O$478,7,FALSE)</f>
        <v>-0.111896798014641</v>
      </c>
      <c r="BW2126" s="129">
        <f>VLOOKUP($D2126,WGI!$C$2:$O$478,4,FALSE)</f>
        <v>0.389405786991119</v>
      </c>
      <c r="BX2126" s="129">
        <f>VLOOKUP($D2126,WGI!$C$2:$O$478,3,FALSE)</f>
        <v>-0.47539421916008001</v>
      </c>
      <c r="BY2126" s="129">
        <f>VLOOKUP($D2126,WGI!$C$2:$O$478,5,FALSE)</f>
        <v>-0.46777227520942699</v>
      </c>
      <c r="BZ2126" s="129">
        <f>VLOOKUP($D2126,WGI!$C$2:$O$478,2,FALSE)</f>
        <v>-0.38686278462410001</v>
      </c>
    </row>
    <row r="2127" spans="1:78" ht="15" customHeight="1">
      <c r="A2127" s="289" t="s">
        <v>552</v>
      </c>
      <c r="B2127" s="146">
        <v>2013</v>
      </c>
      <c r="C2127" s="117" t="s">
        <v>541</v>
      </c>
      <c r="D2127" s="117" t="s">
        <v>3786</v>
      </c>
      <c r="E2127" s="146" t="s">
        <v>86</v>
      </c>
      <c r="F2127" s="146"/>
      <c r="G2127" s="146" t="s">
        <v>24</v>
      </c>
      <c r="H2127" s="146"/>
      <c r="I2127" s="146"/>
      <c r="J2127" s="146"/>
      <c r="K2127" s="146" t="s">
        <v>2456</v>
      </c>
      <c r="L2127" s="146"/>
      <c r="M2127" s="146"/>
      <c r="N2127" s="754"/>
      <c r="O2127" s="754"/>
      <c r="P2127" s="754"/>
      <c r="Q2127" s="146"/>
      <c r="R2127" s="754">
        <v>17</v>
      </c>
      <c r="S2127" s="146" t="s">
        <v>967</v>
      </c>
      <c r="T2127" s="119"/>
      <c r="U2127" s="146"/>
      <c r="V2127" s="146"/>
      <c r="W2127" s="146"/>
      <c r="X2127" s="146"/>
      <c r="Y2127" s="146"/>
      <c r="Z2127" s="146"/>
      <c r="AA2127" s="146"/>
      <c r="AB2127" s="146"/>
      <c r="AC2127" s="756"/>
      <c r="AD2127" s="756"/>
      <c r="AE2127" s="756"/>
      <c r="AF2127" s="758"/>
      <c r="AG2127" s="146"/>
      <c r="AH2127" s="759"/>
      <c r="AI2127" s="146"/>
      <c r="AJ2127" s="146"/>
      <c r="AK2127" s="760"/>
      <c r="AL2127" s="146"/>
      <c r="AM2127" s="146"/>
      <c r="AN2127" s="146"/>
      <c r="AO2127" s="146"/>
      <c r="AP2127" s="146"/>
      <c r="AQ2127" s="146"/>
      <c r="AR2127" s="146"/>
      <c r="AS2127" s="146"/>
      <c r="AT2127" s="146"/>
      <c r="AU2127" s="146"/>
      <c r="AV2127" s="128"/>
      <c r="AW2127" s="117">
        <f>VLOOKUP($D2127,'WB Data'!$C$3:$M$578,2,FALSE)</f>
        <v>26820870558.94062</v>
      </c>
      <c r="AX2127" s="117">
        <f>VLOOKUP($D2127,'WB Data'!$C$3:$M$578,3,FALSE)</f>
        <v>14538640</v>
      </c>
      <c r="AY2127" s="847">
        <f t="shared" si="371"/>
        <v>5.5872536817059608E-2</v>
      </c>
      <c r="AZ2127" s="117" t="e">
        <f>VLOOKUP($D2127,'WB Data'!$C$3:$M$578,4,FALSE)/100</f>
        <v>#VALUE!</v>
      </c>
      <c r="BA2127" s="117" t="str">
        <f t="shared" si="372"/>
        <v>..</v>
      </c>
      <c r="BB2127" s="129">
        <f>IFERROR(VLOOKUP($D2127,'EITI Revenues'!$C$2:$G$224,5,FALSE),"..")</f>
        <v>1498550077.77</v>
      </c>
      <c r="BC2127" s="846" t="str">
        <f t="shared" si="373"/>
        <v>..</v>
      </c>
      <c r="BD2127" s="129">
        <f>VLOOKUP($D2127,'WB Data 2'!$C$2:$K$545,6,FALSE)</f>
        <v>7566407807.0788269</v>
      </c>
      <c r="BE2127" s="129" t="str">
        <f>IFERROR(VLOOKUP($D2127,UNCTAD!$C$5:$V$529,4,FALSE),"..")</f>
        <v>..</v>
      </c>
      <c r="BF2127" s="846" t="str">
        <f t="shared" si="374"/>
        <v>..</v>
      </c>
      <c r="BG2127" s="117" t="str">
        <f>VLOOKUP($D2127,'WB Data'!$C$3:$M$578,5,FALSE)</f>
        <v>..</v>
      </c>
      <c r="BH2127" s="129" t="str">
        <f>IFERROR($BB2127/$BG2127,"..")</f>
        <v>..</v>
      </c>
      <c r="BI2127" s="117" t="str">
        <f>IFERROR(VLOOKUP($D2127,'WB Data'!$C$3:$M$578,7,FALSE)/100,"..")</f>
        <v>..</v>
      </c>
      <c r="BJ2127" s="117" t="str">
        <f>IFERROR($BI2127*$AW2127,"..")</f>
        <v>..</v>
      </c>
      <c r="BK2127" s="846" t="str">
        <f>IFERROR($BB2127/$BJ2127,"..")</f>
        <v>..</v>
      </c>
      <c r="BL2127" s="117" t="str">
        <f>IFERROR(VLOOKUP($D2127,'WB Data'!$C$3:$M$578,7,FALSE)/100,"..")</f>
        <v>..</v>
      </c>
      <c r="BM2127" s="117" t="str">
        <f>IFERROR($AW2127*$BL2127,"..")</f>
        <v>..</v>
      </c>
      <c r="BN2127" s="846" t="str">
        <f>IFERROR($BB2127/$BM2127,"..")</f>
        <v>..</v>
      </c>
      <c r="BO2127" s="801">
        <f t="shared" si="370"/>
        <v>38</v>
      </c>
      <c r="BP2127" s="117" t="str">
        <f>VLOOKUP($D2127,'WB Data'!$C$3:$M$578,9,FALSE)</f>
        <v>..</v>
      </c>
      <c r="BQ2127" s="117" t="str">
        <f>VLOOKUP($D2127,'WB Data'!$C$3:$M$578,10,FALSE)</f>
        <v>..</v>
      </c>
      <c r="BR2127" s="117">
        <f>VLOOKUP($D2127,'WB Data'!$C$3:$M$578,11,FALSE)</f>
        <v>55.8</v>
      </c>
      <c r="BS2127" s="129" t="str">
        <f>IFERROR(VLOOKUP($D2127,'WB Data 2'!$C$2:$K$545,9,FALSE),"..")</f>
        <v>..</v>
      </c>
      <c r="BT2127" s="129">
        <f>_xlfn.IFNA(VLOOKUP($C2127,RGI!$A$2:$C$43,2,FALSE),"..")</f>
        <v>41.2</v>
      </c>
      <c r="BU2127" s="129">
        <f>_xlfn.IFNA(VLOOKUP($C2127,RGI!$A$2:$C$43,3,FALSE),"..")</f>
        <v>60.803011070373614</v>
      </c>
      <c r="BV2127" s="129">
        <f>VLOOKUP($D2127,WGI!$C$2:$O$478,7,FALSE)</f>
        <v>-0.111896798014641</v>
      </c>
      <c r="BW2127" s="129">
        <f>VLOOKUP($D2127,WGI!$C$2:$O$478,4,FALSE)</f>
        <v>0.389405786991119</v>
      </c>
      <c r="BX2127" s="129">
        <f>VLOOKUP($D2127,WGI!$C$2:$O$478,3,FALSE)</f>
        <v>-0.47539421916008001</v>
      </c>
      <c r="BY2127" s="129">
        <f>VLOOKUP($D2127,WGI!$C$2:$O$478,5,FALSE)</f>
        <v>-0.46777227520942699</v>
      </c>
      <c r="BZ2127" s="129">
        <f>VLOOKUP($D2127,WGI!$C$2:$O$478,2,FALSE)</f>
        <v>-0.38686278462410001</v>
      </c>
    </row>
    <row r="2128" spans="1:78" ht="15" customHeight="1">
      <c r="A2128" s="289" t="s">
        <v>552</v>
      </c>
      <c r="B2128" s="146">
        <v>2013</v>
      </c>
      <c r="C2128" s="117" t="s">
        <v>541</v>
      </c>
      <c r="D2128" s="117" t="s">
        <v>3786</v>
      </c>
      <c r="E2128" s="146" t="s">
        <v>86</v>
      </c>
      <c r="F2128" s="146"/>
      <c r="G2128" s="146" t="s">
        <v>24</v>
      </c>
      <c r="H2128" s="146"/>
      <c r="I2128" s="146"/>
      <c r="J2128" s="146"/>
      <c r="K2128" s="146" t="s">
        <v>2457</v>
      </c>
      <c r="L2128" s="146"/>
      <c r="M2128" s="146"/>
      <c r="N2128" s="754"/>
      <c r="O2128" s="754"/>
      <c r="P2128" s="754"/>
      <c r="Q2128" s="146"/>
      <c r="R2128" s="754">
        <v>1259</v>
      </c>
      <c r="S2128" s="146" t="s">
        <v>967</v>
      </c>
      <c r="T2128" s="119"/>
      <c r="U2128" s="146"/>
      <c r="V2128" s="146"/>
      <c r="W2128" s="146"/>
      <c r="X2128" s="146"/>
      <c r="Y2128" s="146"/>
      <c r="Z2128" s="146"/>
      <c r="AA2128" s="146"/>
      <c r="AB2128" s="146"/>
      <c r="AC2128" s="756"/>
      <c r="AD2128" s="756"/>
      <c r="AE2128" s="756"/>
      <c r="AF2128" s="758"/>
      <c r="AG2128" s="146"/>
      <c r="AH2128" s="759"/>
      <c r="AI2128" s="146"/>
      <c r="AJ2128" s="146"/>
      <c r="AK2128" s="760"/>
      <c r="AL2128" s="146"/>
      <c r="AM2128" s="146"/>
      <c r="AN2128" s="146"/>
      <c r="AO2128" s="146"/>
      <c r="AP2128" s="146"/>
      <c r="AQ2128" s="146"/>
      <c r="AR2128" s="146"/>
      <c r="AS2128" s="146"/>
      <c r="AT2128" s="146"/>
      <c r="AU2128" s="146"/>
      <c r="AV2128" s="128"/>
      <c r="AW2128" s="117">
        <f>VLOOKUP($D2128,'WB Data'!$C$3:$M$578,2,FALSE)</f>
        <v>26820870558.94062</v>
      </c>
      <c r="AX2128" s="117">
        <f>VLOOKUP($D2128,'WB Data'!$C$3:$M$578,3,FALSE)</f>
        <v>14538640</v>
      </c>
      <c r="AY2128" s="847">
        <f t="shared" si="371"/>
        <v>5.5872536817059608E-2</v>
      </c>
      <c r="AZ2128" s="117" t="e">
        <f>VLOOKUP($D2128,'WB Data'!$C$3:$M$578,4,FALSE)/100</f>
        <v>#VALUE!</v>
      </c>
      <c r="BA2128" s="117" t="str">
        <f t="shared" si="372"/>
        <v>..</v>
      </c>
      <c r="BB2128" s="129">
        <f>IFERROR(VLOOKUP($D2128,'EITI Revenues'!$C$2:$G$224,5,FALSE),"..")</f>
        <v>1498550077.77</v>
      </c>
      <c r="BC2128" s="846" t="str">
        <f t="shared" si="373"/>
        <v>..</v>
      </c>
      <c r="BD2128" s="129">
        <f>VLOOKUP($D2128,'WB Data 2'!$C$2:$K$545,6,FALSE)</f>
        <v>7566407807.0788269</v>
      </c>
      <c r="BE2128" s="129" t="str">
        <f>IFERROR(VLOOKUP($D2128,UNCTAD!$C$5:$V$529,4,FALSE),"..")</f>
        <v>..</v>
      </c>
      <c r="BF2128" s="846" t="str">
        <f t="shared" si="374"/>
        <v>..</v>
      </c>
      <c r="BG2128" s="117" t="str">
        <f>VLOOKUP($D2128,'WB Data'!$C$3:$M$578,5,FALSE)</f>
        <v>..</v>
      </c>
      <c r="BH2128" s="129" t="str">
        <f>IFERROR($BB2128/$BG2128,"..")</f>
        <v>..</v>
      </c>
      <c r="BI2128" s="117" t="str">
        <f>IFERROR(VLOOKUP($D2128,'WB Data'!$C$3:$M$578,7,FALSE)/100,"..")</f>
        <v>..</v>
      </c>
      <c r="BJ2128" s="117" t="str">
        <f>IFERROR($BI2128*$AW2128,"..")</f>
        <v>..</v>
      </c>
      <c r="BK2128" s="846" t="str">
        <f>IFERROR($BB2128/$BJ2128,"..")</f>
        <v>..</v>
      </c>
      <c r="BL2128" s="117" t="str">
        <f>IFERROR(VLOOKUP($D2128,'WB Data'!$C$3:$M$578,7,FALSE)/100,"..")</f>
        <v>..</v>
      </c>
      <c r="BM2128" s="117" t="str">
        <f>IFERROR($AW2128*$BL2128,"..")</f>
        <v>..</v>
      </c>
      <c r="BN2128" s="846" t="str">
        <f>IFERROR($BB2128/$BM2128,"..")</f>
        <v>..</v>
      </c>
      <c r="BO2128" s="801">
        <f t="shared" si="370"/>
        <v>38</v>
      </c>
      <c r="BP2128" s="117" t="str">
        <f>VLOOKUP($D2128,'WB Data'!$C$3:$M$578,9,FALSE)</f>
        <v>..</v>
      </c>
      <c r="BQ2128" s="117" t="str">
        <f>VLOOKUP($D2128,'WB Data'!$C$3:$M$578,10,FALSE)</f>
        <v>..</v>
      </c>
      <c r="BR2128" s="117">
        <f>VLOOKUP($D2128,'WB Data'!$C$3:$M$578,11,FALSE)</f>
        <v>55.8</v>
      </c>
      <c r="BS2128" s="129" t="str">
        <f>IFERROR(VLOOKUP($D2128,'WB Data 2'!$C$2:$K$545,9,FALSE),"..")</f>
        <v>..</v>
      </c>
      <c r="BT2128" s="129">
        <f>_xlfn.IFNA(VLOOKUP($C2128,RGI!$A$2:$C$43,2,FALSE),"..")</f>
        <v>41.2</v>
      </c>
      <c r="BU2128" s="129">
        <f>_xlfn.IFNA(VLOOKUP($C2128,RGI!$A$2:$C$43,3,FALSE),"..")</f>
        <v>60.803011070373614</v>
      </c>
      <c r="BV2128" s="129">
        <f>VLOOKUP($D2128,WGI!$C$2:$O$478,7,FALSE)</f>
        <v>-0.111896798014641</v>
      </c>
      <c r="BW2128" s="129">
        <f>VLOOKUP($D2128,WGI!$C$2:$O$478,4,FALSE)</f>
        <v>0.389405786991119</v>
      </c>
      <c r="BX2128" s="129">
        <f>VLOOKUP($D2128,WGI!$C$2:$O$478,3,FALSE)</f>
        <v>-0.47539421916008001</v>
      </c>
      <c r="BY2128" s="129">
        <f>VLOOKUP($D2128,WGI!$C$2:$O$478,5,FALSE)</f>
        <v>-0.46777227520942699</v>
      </c>
      <c r="BZ2128" s="129">
        <f>VLOOKUP($D2128,WGI!$C$2:$O$478,2,FALSE)</f>
        <v>-0.38686278462410001</v>
      </c>
    </row>
    <row r="2129" spans="1:80" ht="15" customHeight="1">
      <c r="A2129" s="289" t="s">
        <v>552</v>
      </c>
      <c r="B2129" s="146">
        <v>2013</v>
      </c>
      <c r="C2129" s="117" t="s">
        <v>541</v>
      </c>
      <c r="D2129" s="117" t="s">
        <v>3786</v>
      </c>
      <c r="E2129" s="146" t="s">
        <v>86</v>
      </c>
      <c r="F2129" s="146"/>
      <c r="G2129" s="146" t="s">
        <v>24</v>
      </c>
      <c r="H2129" s="146"/>
      <c r="I2129" s="146"/>
      <c r="J2129" s="146"/>
      <c r="K2129" s="146" t="s">
        <v>2458</v>
      </c>
      <c r="L2129" s="146"/>
      <c r="M2129" s="146"/>
      <c r="N2129" s="754"/>
      <c r="O2129" s="754"/>
      <c r="P2129" s="754"/>
      <c r="Q2129" s="146"/>
      <c r="R2129" s="754">
        <v>18793</v>
      </c>
      <c r="S2129" s="146" t="s">
        <v>610</v>
      </c>
      <c r="T2129" s="119"/>
      <c r="U2129" s="146"/>
      <c r="V2129" s="146"/>
      <c r="W2129" s="146"/>
      <c r="X2129" s="146"/>
      <c r="Y2129" s="146"/>
      <c r="Z2129" s="146"/>
      <c r="AA2129" s="146"/>
      <c r="AB2129" s="146"/>
      <c r="AC2129" s="756"/>
      <c r="AD2129" s="756"/>
      <c r="AE2129" s="756"/>
      <c r="AF2129" s="758"/>
      <c r="AG2129" s="146"/>
      <c r="AH2129" s="759"/>
      <c r="AI2129" s="146"/>
      <c r="AJ2129" s="146"/>
      <c r="AK2129" s="760"/>
      <c r="AL2129" s="146"/>
      <c r="AM2129" s="146"/>
      <c r="AN2129" s="146"/>
      <c r="AO2129" s="146"/>
      <c r="AP2129" s="146"/>
      <c r="AQ2129" s="146"/>
      <c r="AR2129" s="146"/>
      <c r="AS2129" s="146"/>
      <c r="AT2129" s="146"/>
      <c r="AU2129" s="146"/>
      <c r="AV2129" s="128"/>
      <c r="AW2129" s="117">
        <f>VLOOKUP($D2129,'WB Data'!$C$3:$M$578,2,FALSE)</f>
        <v>26820870558.94062</v>
      </c>
      <c r="AX2129" s="117">
        <f>VLOOKUP($D2129,'WB Data'!$C$3:$M$578,3,FALSE)</f>
        <v>14538640</v>
      </c>
      <c r="AY2129" s="847">
        <f t="shared" si="371"/>
        <v>5.5872536817059608E-2</v>
      </c>
      <c r="AZ2129" s="117" t="e">
        <f>VLOOKUP($D2129,'WB Data'!$C$3:$M$578,4,FALSE)/100</f>
        <v>#VALUE!</v>
      </c>
      <c r="BA2129" s="117" t="str">
        <f t="shared" si="372"/>
        <v>..</v>
      </c>
      <c r="BB2129" s="129">
        <f>IFERROR(VLOOKUP($D2129,'EITI Revenues'!$C$2:$G$224,5,FALSE),"..")</f>
        <v>1498550077.77</v>
      </c>
      <c r="BC2129" s="846" t="str">
        <f t="shared" si="373"/>
        <v>..</v>
      </c>
      <c r="BD2129" s="129">
        <f>VLOOKUP($D2129,'WB Data 2'!$C$2:$K$545,6,FALSE)</f>
        <v>7566407807.0788269</v>
      </c>
      <c r="BE2129" s="129" t="str">
        <f>IFERROR(VLOOKUP($D2129,UNCTAD!$C$5:$V$529,4,FALSE),"..")</f>
        <v>..</v>
      </c>
      <c r="BF2129" s="846" t="str">
        <f t="shared" si="374"/>
        <v>..</v>
      </c>
      <c r="BG2129" s="117" t="str">
        <f>VLOOKUP($D2129,'WB Data'!$C$3:$M$578,5,FALSE)</f>
        <v>..</v>
      </c>
      <c r="BH2129" s="129" t="str">
        <f>IFERROR($BB2129/$BG2129,"..")</f>
        <v>..</v>
      </c>
      <c r="BI2129" s="117" t="str">
        <f>IFERROR(VLOOKUP($D2129,'WB Data'!$C$3:$M$578,7,FALSE)/100,"..")</f>
        <v>..</v>
      </c>
      <c r="BJ2129" s="117" t="str">
        <f>IFERROR($BI2129*$AW2129,"..")</f>
        <v>..</v>
      </c>
      <c r="BK2129" s="846" t="str">
        <f>IFERROR($BB2129/$BJ2129,"..")</f>
        <v>..</v>
      </c>
      <c r="BL2129" s="117" t="str">
        <f>IFERROR(VLOOKUP($D2129,'WB Data'!$C$3:$M$578,7,FALSE)/100,"..")</f>
        <v>..</v>
      </c>
      <c r="BM2129" s="117" t="str">
        <f>IFERROR($AW2129*$BL2129,"..")</f>
        <v>..</v>
      </c>
      <c r="BN2129" s="846" t="str">
        <f>IFERROR($BB2129/$BM2129,"..")</f>
        <v>..</v>
      </c>
      <c r="BO2129" s="801">
        <f t="shared" si="370"/>
        <v>38</v>
      </c>
      <c r="BP2129" s="117" t="str">
        <f>VLOOKUP($D2129,'WB Data'!$C$3:$M$578,9,FALSE)</f>
        <v>..</v>
      </c>
      <c r="BQ2129" s="117" t="str">
        <f>VLOOKUP($D2129,'WB Data'!$C$3:$M$578,10,FALSE)</f>
        <v>..</v>
      </c>
      <c r="BR2129" s="117">
        <f>VLOOKUP($D2129,'WB Data'!$C$3:$M$578,11,FALSE)</f>
        <v>55.8</v>
      </c>
      <c r="BS2129" s="129" t="str">
        <f>IFERROR(VLOOKUP($D2129,'WB Data 2'!$C$2:$K$545,9,FALSE),"..")</f>
        <v>..</v>
      </c>
      <c r="BT2129" s="129">
        <f>_xlfn.IFNA(VLOOKUP($C2129,RGI!$A$2:$C$43,2,FALSE),"..")</f>
        <v>41.2</v>
      </c>
      <c r="BU2129" s="129">
        <f>_xlfn.IFNA(VLOOKUP($C2129,RGI!$A$2:$C$43,3,FALSE),"..")</f>
        <v>60.803011070373614</v>
      </c>
      <c r="BV2129" s="129">
        <f>VLOOKUP($D2129,WGI!$C$2:$O$478,7,FALSE)</f>
        <v>-0.111896798014641</v>
      </c>
      <c r="BW2129" s="129">
        <f>VLOOKUP($D2129,WGI!$C$2:$O$478,4,FALSE)</f>
        <v>0.389405786991119</v>
      </c>
      <c r="BX2129" s="129">
        <f>VLOOKUP($D2129,WGI!$C$2:$O$478,3,FALSE)</f>
        <v>-0.47539421916008001</v>
      </c>
      <c r="BY2129" s="129">
        <f>VLOOKUP($D2129,WGI!$C$2:$O$478,5,FALSE)</f>
        <v>-0.46777227520942699</v>
      </c>
      <c r="BZ2129" s="129">
        <f>VLOOKUP($D2129,WGI!$C$2:$O$478,2,FALSE)</f>
        <v>-0.38686278462410001</v>
      </c>
    </row>
    <row r="2130" spans="1:80" ht="15" customHeight="1">
      <c r="A2130" s="289" t="s">
        <v>552</v>
      </c>
      <c r="B2130" s="146">
        <v>2013</v>
      </c>
      <c r="C2130" s="117" t="s">
        <v>541</v>
      </c>
      <c r="D2130" s="117" t="s">
        <v>3786</v>
      </c>
      <c r="E2130" s="146" t="s">
        <v>86</v>
      </c>
      <c r="F2130" s="146"/>
      <c r="G2130" s="146" t="s">
        <v>24</v>
      </c>
      <c r="H2130" s="146"/>
      <c r="I2130" s="146"/>
      <c r="J2130" s="146"/>
      <c r="K2130" s="146" t="s">
        <v>2459</v>
      </c>
      <c r="L2130" s="146"/>
      <c r="M2130" s="146"/>
      <c r="N2130" s="754"/>
      <c r="O2130" s="754"/>
      <c r="P2130" s="754"/>
      <c r="Q2130" s="146"/>
      <c r="R2130" s="754">
        <v>127281</v>
      </c>
      <c r="S2130" s="146" t="s">
        <v>610</v>
      </c>
      <c r="T2130" s="119"/>
      <c r="U2130" s="146"/>
      <c r="V2130" s="146"/>
      <c r="W2130" s="146"/>
      <c r="X2130" s="146"/>
      <c r="Y2130" s="146"/>
      <c r="Z2130" s="146"/>
      <c r="AA2130" s="146"/>
      <c r="AB2130" s="146"/>
      <c r="AC2130" s="756"/>
      <c r="AD2130" s="756"/>
      <c r="AE2130" s="756"/>
      <c r="AF2130" s="758"/>
      <c r="AG2130" s="146"/>
      <c r="AH2130" s="759"/>
      <c r="AI2130" s="146"/>
      <c r="AJ2130" s="146"/>
      <c r="AK2130" s="760"/>
      <c r="AL2130" s="146"/>
      <c r="AM2130" s="146"/>
      <c r="AN2130" s="146"/>
      <c r="AO2130" s="146"/>
      <c r="AP2130" s="146"/>
      <c r="AQ2130" s="146"/>
      <c r="AR2130" s="146"/>
      <c r="AS2130" s="146"/>
      <c r="AT2130" s="146"/>
      <c r="AU2130" s="146"/>
      <c r="AV2130" s="128"/>
      <c r="AW2130" s="117">
        <f>VLOOKUP($D2130,'WB Data'!$C$3:$M$578,2,FALSE)</f>
        <v>26820870558.94062</v>
      </c>
      <c r="AX2130" s="117">
        <f>VLOOKUP($D2130,'WB Data'!$C$3:$M$578,3,FALSE)</f>
        <v>14538640</v>
      </c>
      <c r="AY2130" s="847">
        <f t="shared" si="371"/>
        <v>5.5872536817059608E-2</v>
      </c>
      <c r="AZ2130" s="117" t="e">
        <f>VLOOKUP($D2130,'WB Data'!$C$3:$M$578,4,FALSE)/100</f>
        <v>#VALUE!</v>
      </c>
      <c r="BA2130" s="117" t="str">
        <f t="shared" si="372"/>
        <v>..</v>
      </c>
      <c r="BB2130" s="129">
        <f>IFERROR(VLOOKUP($D2130,'EITI Revenues'!$C$2:$G$224,5,FALSE),"..")</f>
        <v>1498550077.77</v>
      </c>
      <c r="BC2130" s="846" t="str">
        <f t="shared" si="373"/>
        <v>..</v>
      </c>
      <c r="BD2130" s="129">
        <f>VLOOKUP($D2130,'WB Data 2'!$C$2:$K$545,6,FALSE)</f>
        <v>7566407807.0788269</v>
      </c>
      <c r="BE2130" s="129" t="str">
        <f>IFERROR(VLOOKUP($D2130,UNCTAD!$C$5:$V$529,4,FALSE),"..")</f>
        <v>..</v>
      </c>
      <c r="BF2130" s="846" t="str">
        <f t="shared" si="374"/>
        <v>..</v>
      </c>
      <c r="BG2130" s="117" t="str">
        <f>VLOOKUP($D2130,'WB Data'!$C$3:$M$578,5,FALSE)</f>
        <v>..</v>
      </c>
      <c r="BH2130" s="129" t="str">
        <f>IFERROR($BB2130/$BG2130,"..")</f>
        <v>..</v>
      </c>
      <c r="BI2130" s="117" t="str">
        <f>IFERROR(VLOOKUP($D2130,'WB Data'!$C$3:$M$578,7,FALSE)/100,"..")</f>
        <v>..</v>
      </c>
      <c r="BJ2130" s="117" t="str">
        <f>IFERROR($BI2130*$AW2130,"..")</f>
        <v>..</v>
      </c>
      <c r="BK2130" s="846" t="str">
        <f>IFERROR($BB2130/$BJ2130,"..")</f>
        <v>..</v>
      </c>
      <c r="BL2130" s="117" t="str">
        <f>IFERROR(VLOOKUP($D2130,'WB Data'!$C$3:$M$578,7,FALSE)/100,"..")</f>
        <v>..</v>
      </c>
      <c r="BM2130" s="117" t="str">
        <f>IFERROR($AW2130*$BL2130,"..")</f>
        <v>..</v>
      </c>
      <c r="BN2130" s="846" t="str">
        <f>IFERROR($BB2130/$BM2130,"..")</f>
        <v>..</v>
      </c>
      <c r="BO2130" s="801">
        <f t="shared" si="370"/>
        <v>38</v>
      </c>
      <c r="BP2130" s="117" t="str">
        <f>VLOOKUP($D2130,'WB Data'!$C$3:$M$578,9,FALSE)</f>
        <v>..</v>
      </c>
      <c r="BQ2130" s="117" t="str">
        <f>VLOOKUP($D2130,'WB Data'!$C$3:$M$578,10,FALSE)</f>
        <v>..</v>
      </c>
      <c r="BR2130" s="117">
        <f>VLOOKUP($D2130,'WB Data'!$C$3:$M$578,11,FALSE)</f>
        <v>55.8</v>
      </c>
      <c r="BS2130" s="129" t="str">
        <f>IFERROR(VLOOKUP($D2130,'WB Data 2'!$C$2:$K$545,9,FALSE),"..")</f>
        <v>..</v>
      </c>
      <c r="BT2130" s="129">
        <f>_xlfn.IFNA(VLOOKUP($C2130,RGI!$A$2:$C$43,2,FALSE),"..")</f>
        <v>41.2</v>
      </c>
      <c r="BU2130" s="129">
        <f>_xlfn.IFNA(VLOOKUP($C2130,RGI!$A$2:$C$43,3,FALSE),"..")</f>
        <v>60.803011070373614</v>
      </c>
      <c r="BV2130" s="129">
        <f>VLOOKUP($D2130,WGI!$C$2:$O$478,7,FALSE)</f>
        <v>-0.111896798014641</v>
      </c>
      <c r="BW2130" s="129">
        <f>VLOOKUP($D2130,WGI!$C$2:$O$478,4,FALSE)</f>
        <v>0.389405786991119</v>
      </c>
      <c r="BX2130" s="129">
        <f>VLOOKUP($D2130,WGI!$C$2:$O$478,3,FALSE)</f>
        <v>-0.47539421916008001</v>
      </c>
      <c r="BY2130" s="129">
        <f>VLOOKUP($D2130,WGI!$C$2:$O$478,5,FALSE)</f>
        <v>-0.46777227520942699</v>
      </c>
      <c r="BZ2130" s="129">
        <f>VLOOKUP($D2130,WGI!$C$2:$O$478,2,FALSE)</f>
        <v>-0.38686278462410001</v>
      </c>
    </row>
    <row r="2131" spans="1:80" ht="15" customHeight="1">
      <c r="A2131" s="289" t="s">
        <v>552</v>
      </c>
      <c r="B2131" s="146">
        <v>2013</v>
      </c>
      <c r="C2131" s="117" t="s">
        <v>541</v>
      </c>
      <c r="D2131" s="117" t="s">
        <v>3786</v>
      </c>
      <c r="E2131" s="146" t="s">
        <v>86</v>
      </c>
      <c r="F2131" s="146"/>
      <c r="G2131" s="146" t="s">
        <v>24</v>
      </c>
      <c r="H2131" s="146"/>
      <c r="I2131" s="146"/>
      <c r="J2131" s="146"/>
      <c r="K2131" s="146" t="s">
        <v>616</v>
      </c>
      <c r="L2131" s="146"/>
      <c r="M2131" s="146"/>
      <c r="N2131" s="754"/>
      <c r="O2131" s="754"/>
      <c r="P2131" s="754"/>
      <c r="Q2131" s="146"/>
      <c r="R2131" s="754">
        <v>415233</v>
      </c>
      <c r="S2131" s="146" t="s">
        <v>610</v>
      </c>
      <c r="T2131" s="119"/>
      <c r="U2131" s="146"/>
      <c r="V2131" s="146"/>
      <c r="W2131" s="146"/>
      <c r="X2131" s="146"/>
      <c r="Y2131" s="146"/>
      <c r="Z2131" s="146"/>
      <c r="AA2131" s="146"/>
      <c r="AB2131" s="146"/>
      <c r="AC2131" s="756"/>
      <c r="AD2131" s="756"/>
      <c r="AE2131" s="756"/>
      <c r="AF2131" s="758"/>
      <c r="AG2131" s="146"/>
      <c r="AH2131" s="759"/>
      <c r="AI2131" s="146"/>
      <c r="AJ2131" s="146"/>
      <c r="AK2131" s="760"/>
      <c r="AL2131" s="146"/>
      <c r="AM2131" s="146"/>
      <c r="AN2131" s="146"/>
      <c r="AO2131" s="146"/>
      <c r="AP2131" s="146"/>
      <c r="AQ2131" s="146"/>
      <c r="AR2131" s="146"/>
      <c r="AS2131" s="146"/>
      <c r="AT2131" s="146"/>
      <c r="AU2131" s="146"/>
      <c r="AV2131" s="128"/>
      <c r="AW2131" s="117">
        <f>VLOOKUP($D2131,'WB Data'!$C$3:$M$578,2,FALSE)</f>
        <v>26820870558.94062</v>
      </c>
      <c r="AX2131" s="117">
        <f>VLOOKUP($D2131,'WB Data'!$C$3:$M$578,3,FALSE)</f>
        <v>14538640</v>
      </c>
      <c r="AY2131" s="847">
        <f t="shared" si="371"/>
        <v>5.5872536817059608E-2</v>
      </c>
      <c r="AZ2131" s="117" t="e">
        <f>VLOOKUP($D2131,'WB Data'!$C$3:$M$578,4,FALSE)/100</f>
        <v>#VALUE!</v>
      </c>
      <c r="BA2131" s="117" t="str">
        <f t="shared" si="372"/>
        <v>..</v>
      </c>
      <c r="BB2131" s="129">
        <f>IFERROR(VLOOKUP($D2131,'EITI Revenues'!$C$2:$G$224,5,FALSE),"..")</f>
        <v>1498550077.77</v>
      </c>
      <c r="BC2131" s="846" t="str">
        <f t="shared" si="373"/>
        <v>..</v>
      </c>
      <c r="BD2131" s="129">
        <f>VLOOKUP($D2131,'WB Data 2'!$C$2:$K$545,6,FALSE)</f>
        <v>7566407807.0788269</v>
      </c>
      <c r="BE2131" s="129" t="str">
        <f>IFERROR(VLOOKUP($D2131,UNCTAD!$C$5:$V$529,4,FALSE),"..")</f>
        <v>..</v>
      </c>
      <c r="BF2131" s="846" t="str">
        <f t="shared" si="374"/>
        <v>..</v>
      </c>
      <c r="BG2131" s="117" t="str">
        <f>VLOOKUP($D2131,'WB Data'!$C$3:$M$578,5,FALSE)</f>
        <v>..</v>
      </c>
      <c r="BH2131" s="129" t="str">
        <f>IFERROR($BB2131/$BG2131,"..")</f>
        <v>..</v>
      </c>
      <c r="BI2131" s="117" t="str">
        <f>IFERROR(VLOOKUP($D2131,'WB Data'!$C$3:$M$578,7,FALSE)/100,"..")</f>
        <v>..</v>
      </c>
      <c r="BJ2131" s="117" t="str">
        <f>IFERROR($BI2131*$AW2131,"..")</f>
        <v>..</v>
      </c>
      <c r="BK2131" s="846" t="str">
        <f>IFERROR($BB2131/$BJ2131,"..")</f>
        <v>..</v>
      </c>
      <c r="BL2131" s="117" t="str">
        <f>IFERROR(VLOOKUP($D2131,'WB Data'!$C$3:$M$578,7,FALSE)/100,"..")</f>
        <v>..</v>
      </c>
      <c r="BM2131" s="117" t="str">
        <f>IFERROR($AW2131*$BL2131,"..")</f>
        <v>..</v>
      </c>
      <c r="BN2131" s="846" t="str">
        <f>IFERROR($BB2131/$BM2131,"..")</f>
        <v>..</v>
      </c>
      <c r="BO2131" s="801">
        <f t="shared" si="370"/>
        <v>38</v>
      </c>
      <c r="BP2131" s="117" t="str">
        <f>VLOOKUP($D2131,'WB Data'!$C$3:$M$578,9,FALSE)</f>
        <v>..</v>
      </c>
      <c r="BQ2131" s="117" t="str">
        <f>VLOOKUP($D2131,'WB Data'!$C$3:$M$578,10,FALSE)</f>
        <v>..</v>
      </c>
      <c r="BR2131" s="117">
        <f>VLOOKUP($D2131,'WB Data'!$C$3:$M$578,11,FALSE)</f>
        <v>55.8</v>
      </c>
      <c r="BS2131" s="129" t="str">
        <f>IFERROR(VLOOKUP($D2131,'WB Data 2'!$C$2:$K$545,9,FALSE),"..")</f>
        <v>..</v>
      </c>
      <c r="BT2131" s="129">
        <f>_xlfn.IFNA(VLOOKUP($C2131,RGI!$A$2:$C$43,2,FALSE),"..")</f>
        <v>41.2</v>
      </c>
      <c r="BU2131" s="129">
        <f>_xlfn.IFNA(VLOOKUP($C2131,RGI!$A$2:$C$43,3,FALSE),"..")</f>
        <v>60.803011070373614</v>
      </c>
      <c r="BV2131" s="129">
        <f>VLOOKUP($D2131,WGI!$C$2:$O$478,7,FALSE)</f>
        <v>-0.111896798014641</v>
      </c>
      <c r="BW2131" s="129">
        <f>VLOOKUP($D2131,WGI!$C$2:$O$478,4,FALSE)</f>
        <v>0.389405786991119</v>
      </c>
      <c r="BX2131" s="129">
        <f>VLOOKUP($D2131,WGI!$C$2:$O$478,3,FALSE)</f>
        <v>-0.47539421916008001</v>
      </c>
      <c r="BY2131" s="129">
        <f>VLOOKUP($D2131,WGI!$C$2:$O$478,5,FALSE)</f>
        <v>-0.46777227520942699</v>
      </c>
      <c r="BZ2131" s="129">
        <f>VLOOKUP($D2131,WGI!$C$2:$O$478,2,FALSE)</f>
        <v>-0.38686278462410001</v>
      </c>
    </row>
    <row r="2132" spans="1:80" ht="15" customHeight="1" thickBot="1">
      <c r="A2132" s="764" t="s">
        <v>552</v>
      </c>
      <c r="B2132" s="307">
        <v>2013</v>
      </c>
      <c r="C2132" s="164" t="s">
        <v>541</v>
      </c>
      <c r="D2132" s="117" t="s">
        <v>3786</v>
      </c>
      <c r="E2132" s="307" t="s">
        <v>86</v>
      </c>
      <c r="F2132" s="307"/>
      <c r="G2132" s="307" t="s">
        <v>24</v>
      </c>
      <c r="H2132" s="307"/>
      <c r="I2132" s="307"/>
      <c r="J2132" s="307"/>
      <c r="K2132" s="307" t="s">
        <v>2466</v>
      </c>
      <c r="L2132" s="307"/>
      <c r="M2132" s="307"/>
      <c r="N2132" s="309"/>
      <c r="O2132" s="309"/>
      <c r="P2132" s="309"/>
      <c r="Q2132" s="307"/>
      <c r="R2132" s="309">
        <v>642262</v>
      </c>
      <c r="S2132" s="307" t="s">
        <v>610</v>
      </c>
      <c r="T2132" s="166"/>
      <c r="U2132" s="307"/>
      <c r="V2132" s="307"/>
      <c r="W2132" s="307"/>
      <c r="X2132" s="307"/>
      <c r="Y2132" s="307"/>
      <c r="Z2132" s="307"/>
      <c r="AA2132" s="307"/>
      <c r="AB2132" s="307"/>
      <c r="AC2132" s="311"/>
      <c r="AD2132" s="311"/>
      <c r="AE2132" s="311"/>
      <c r="AF2132" s="312"/>
      <c r="AG2132" s="307"/>
      <c r="AH2132" s="313"/>
      <c r="AI2132" s="307"/>
      <c r="AJ2132" s="307"/>
      <c r="AK2132" s="314"/>
      <c r="AL2132" s="307"/>
      <c r="AM2132" s="307"/>
      <c r="AN2132" s="307"/>
      <c r="AO2132" s="307"/>
      <c r="AP2132" s="307"/>
      <c r="AQ2132" s="307"/>
      <c r="AR2132" s="307"/>
      <c r="AS2132" s="307"/>
      <c r="AT2132" s="307"/>
      <c r="AU2132" s="307"/>
      <c r="AV2132" s="172"/>
      <c r="AW2132" s="117">
        <f>VLOOKUP($D2132,'WB Data'!$C$3:$M$578,2,FALSE)</f>
        <v>26820870558.94062</v>
      </c>
      <c r="AX2132" s="117">
        <f>VLOOKUP($D2132,'WB Data'!$C$3:$M$578,3,FALSE)</f>
        <v>14538640</v>
      </c>
      <c r="AY2132" s="847">
        <f t="shared" si="371"/>
        <v>5.5872536817059608E-2</v>
      </c>
      <c r="AZ2132" s="117" t="e">
        <f>VLOOKUP($D2132,'WB Data'!$C$3:$M$578,4,FALSE)/100</f>
        <v>#VALUE!</v>
      </c>
      <c r="BA2132" s="117" t="str">
        <f t="shared" si="372"/>
        <v>..</v>
      </c>
      <c r="BB2132" s="129">
        <f>IFERROR(VLOOKUP($D2132,'EITI Revenues'!$C$2:$G$224,5,FALSE),"..")</f>
        <v>1498550077.77</v>
      </c>
      <c r="BC2132" s="846" t="str">
        <f t="shared" si="373"/>
        <v>..</v>
      </c>
      <c r="BD2132" s="129">
        <f>VLOOKUP($D2132,'WB Data 2'!$C$2:$K$545,6,FALSE)</f>
        <v>7566407807.0788269</v>
      </c>
      <c r="BE2132" s="129" t="str">
        <f>IFERROR(VLOOKUP($D2132,UNCTAD!$C$5:$V$529,4,FALSE),"..")</f>
        <v>..</v>
      </c>
      <c r="BF2132" s="846" t="str">
        <f t="shared" si="374"/>
        <v>..</v>
      </c>
      <c r="BG2132" s="117" t="str">
        <f>VLOOKUP($D2132,'WB Data'!$C$3:$M$578,5,FALSE)</f>
        <v>..</v>
      </c>
      <c r="BH2132" s="129" t="str">
        <f>IFERROR($BB2132/$BG2132,"..")</f>
        <v>..</v>
      </c>
      <c r="BI2132" s="117" t="str">
        <f>IFERROR(VLOOKUP($D2132,'WB Data'!$C$3:$M$578,7,FALSE)/100,"..")</f>
        <v>..</v>
      </c>
      <c r="BJ2132" s="117" t="str">
        <f>IFERROR($BI2132*$AW2132,"..")</f>
        <v>..</v>
      </c>
      <c r="BK2132" s="846" t="str">
        <f>IFERROR($BB2132/$BJ2132,"..")</f>
        <v>..</v>
      </c>
      <c r="BL2132" s="117" t="str">
        <f>IFERROR(VLOOKUP($D2132,'WB Data'!$C$3:$M$578,7,FALSE)/100,"..")</f>
        <v>..</v>
      </c>
      <c r="BM2132" s="117" t="str">
        <f>IFERROR($AW2132*$BL2132,"..")</f>
        <v>..</v>
      </c>
      <c r="BN2132" s="846" t="str">
        <f>IFERROR($BB2132/$BM2132,"..")</f>
        <v>..</v>
      </c>
      <c r="BO2132" s="801">
        <f t="shared" si="370"/>
        <v>38</v>
      </c>
      <c r="BP2132" s="117" t="str">
        <f>VLOOKUP($D2132,'WB Data'!$C$3:$M$578,9,FALSE)</f>
        <v>..</v>
      </c>
      <c r="BQ2132" s="117" t="str">
        <f>VLOOKUP($D2132,'WB Data'!$C$3:$M$578,10,FALSE)</f>
        <v>..</v>
      </c>
      <c r="BR2132" s="117">
        <f>VLOOKUP($D2132,'WB Data'!$C$3:$M$578,11,FALSE)</f>
        <v>55.8</v>
      </c>
      <c r="BS2132" s="129" t="str">
        <f>IFERROR(VLOOKUP($D2132,'WB Data 2'!$C$2:$K$545,9,FALSE),"..")</f>
        <v>..</v>
      </c>
      <c r="BT2132" s="129">
        <f>_xlfn.IFNA(VLOOKUP($C2132,RGI!$A$2:$C$43,2,FALSE),"..")</f>
        <v>41.2</v>
      </c>
      <c r="BU2132" s="129">
        <f>_xlfn.IFNA(VLOOKUP($C2132,RGI!$A$2:$C$43,3,FALSE),"..")</f>
        <v>60.803011070373614</v>
      </c>
      <c r="BV2132" s="129">
        <f>VLOOKUP($D2132,WGI!$C$2:$O$478,7,FALSE)</f>
        <v>-0.111896798014641</v>
      </c>
      <c r="BW2132" s="129">
        <f>VLOOKUP($D2132,WGI!$C$2:$O$478,4,FALSE)</f>
        <v>0.389405786991119</v>
      </c>
      <c r="BX2132" s="129">
        <f>VLOOKUP($D2132,WGI!$C$2:$O$478,3,FALSE)</f>
        <v>-0.47539421916008001</v>
      </c>
      <c r="BY2132" s="129">
        <f>VLOOKUP($D2132,WGI!$C$2:$O$478,5,FALSE)</f>
        <v>-0.46777227520942699</v>
      </c>
      <c r="BZ2132" s="129">
        <f>VLOOKUP($D2132,WGI!$C$2:$O$478,2,FALSE)</f>
        <v>-0.38686278462410001</v>
      </c>
    </row>
    <row r="2133" spans="1:80" s="676" customFormat="1" ht="15" customHeight="1">
      <c r="A2133" s="667"/>
      <c r="B2133" s="667"/>
      <c r="C2133" s="822"/>
      <c r="D2133" s="822"/>
      <c r="E2133" s="667"/>
      <c r="F2133" s="667"/>
      <c r="G2133" s="667"/>
      <c r="H2133" s="667"/>
      <c r="I2133" s="667"/>
      <c r="J2133" s="667"/>
      <c r="K2133" s="667"/>
      <c r="L2133" s="667"/>
      <c r="M2133" s="667"/>
      <c r="N2133" s="668"/>
      <c r="O2133" s="668"/>
      <c r="P2133" s="668"/>
      <c r="Q2133" s="668"/>
      <c r="R2133" s="668"/>
      <c r="S2133" s="667"/>
      <c r="T2133" s="669"/>
      <c r="U2133" s="667"/>
      <c r="V2133" s="670"/>
      <c r="W2133" s="671"/>
      <c r="X2133" s="667"/>
      <c r="Y2133" s="667"/>
      <c r="Z2133" s="667"/>
      <c r="AA2133" s="667"/>
      <c r="AB2133" s="667"/>
      <c r="AC2133" s="672"/>
      <c r="AD2133" s="672"/>
      <c r="AE2133" s="672"/>
      <c r="AF2133" s="673"/>
      <c r="AG2133" s="667"/>
      <c r="AH2133" s="674"/>
      <c r="AI2133" s="667"/>
      <c r="AJ2133" s="667"/>
      <c r="AK2133" s="675"/>
      <c r="AL2133" s="667"/>
      <c r="AM2133" s="667"/>
      <c r="AN2133" s="667"/>
      <c r="AO2133" s="667"/>
      <c r="AP2133" s="667"/>
      <c r="AQ2133" s="667"/>
      <c r="AR2133" s="667"/>
      <c r="AS2133" s="667"/>
      <c r="AT2133" s="667"/>
      <c r="AU2133" s="667"/>
      <c r="AV2133" s="667"/>
      <c r="AW2133" s="667"/>
      <c r="AX2133" s="667"/>
      <c r="AZ2133" s="667"/>
      <c r="BA2133" s="667"/>
      <c r="CB2133" s="129"/>
    </row>
    <row r="2134" spans="1:80" ht="15" customHeight="1">
      <c r="V2134" s="19"/>
      <c r="W2134" s="76"/>
    </row>
  </sheetData>
  <conditionalFormatting sqref="K445">
    <cfRule type="cellIs" dxfId="13" priority="8" stopIfTrue="1" operator="equal">
      <formula>1</formula>
    </cfRule>
  </conditionalFormatting>
  <conditionalFormatting sqref="K446">
    <cfRule type="cellIs" dxfId="12" priority="7" stopIfTrue="1" operator="equal">
      <formula>1</formula>
    </cfRule>
  </conditionalFormatting>
  <conditionalFormatting sqref="K447">
    <cfRule type="cellIs" dxfId="11" priority="6" stopIfTrue="1" operator="equal">
      <formula>1</formula>
    </cfRule>
  </conditionalFormatting>
  <conditionalFormatting sqref="K448:K450">
    <cfRule type="cellIs" dxfId="10" priority="5" stopIfTrue="1" operator="equal">
      <formula>1</formula>
    </cfRule>
  </conditionalFormatting>
  <conditionalFormatting sqref="K455">
    <cfRule type="cellIs" dxfId="9" priority="4" stopIfTrue="1" operator="equal">
      <formula>1</formula>
    </cfRule>
  </conditionalFormatting>
  <conditionalFormatting sqref="K456">
    <cfRule type="cellIs" dxfId="8" priority="3" stopIfTrue="1" operator="equal">
      <formula>1</formula>
    </cfRule>
  </conditionalFormatting>
  <conditionalFormatting sqref="K457:K459">
    <cfRule type="cellIs" dxfId="7" priority="2" stopIfTrue="1" operator="equal">
      <formula>1</formula>
    </cfRule>
  </conditionalFormatting>
  <conditionalFormatting sqref="K454">
    <cfRule type="cellIs" dxfId="6" priority="1" stopIfTrue="1" operator="equal">
      <formula>1</formula>
    </cfRule>
  </conditionalFormatting>
  <conditionalFormatting sqref="G1957:G1958">
    <cfRule type="duplicateValues" dxfId="5" priority="9"/>
  </conditionalFormatting>
  <conditionalFormatting sqref="K1936 G1936:G1937">
    <cfRule type="duplicateValues" dxfId="4" priority="10"/>
  </conditionalFormatting>
  <conditionalFormatting sqref="K1946 G1946:G1947">
    <cfRule type="duplicateValues" dxfId="3" priority="11"/>
  </conditionalFormatting>
  <conditionalFormatting sqref="K1955:K1956 G1955:G1956">
    <cfRule type="duplicateValues" dxfId="2" priority="12"/>
  </conditionalFormatting>
  <hyperlinks>
    <hyperlink ref="AT2" r:id="rId1"/>
    <hyperlink ref="AT460" r:id="rId2"/>
    <hyperlink ref="AT10" r:id="rId3"/>
    <hyperlink ref="AT18" r:id="rId4"/>
    <hyperlink ref="AT125" r:id="rId5"/>
    <hyperlink ref="AT79" r:id="rId6"/>
    <hyperlink ref="AT1432" r:id="rId7"/>
    <hyperlink ref="AT665" r:id="rId8" display="http://eiti.org/files/EITI-2010-2011-oil-final.pdf; "/>
    <hyperlink ref="AT685" r:id="rId9" display="http://eiti.org/files/EITI-2010-2011-oil-final.pdf; "/>
    <hyperlink ref="AT1358" r:id="rId10"/>
    <hyperlink ref="AT1361" r:id="rId11"/>
    <hyperlink ref="AT1364" r:id="rId12"/>
    <hyperlink ref="AT1367" r:id="rId13"/>
    <hyperlink ref="AT268" r:id="rId14"/>
    <hyperlink ref="AT277" r:id="rId15"/>
    <hyperlink ref="AT286" r:id="rId16"/>
    <hyperlink ref="AT295" r:id="rId17"/>
    <hyperlink ref="AT331" r:id="rId18"/>
    <hyperlink ref="AT379" r:id="rId19"/>
    <hyperlink ref="AT618" r:id="rId20"/>
    <hyperlink ref="AT622" r:id="rId21"/>
    <hyperlink ref="AT626" r:id="rId22"/>
    <hyperlink ref="AT630" r:id="rId23"/>
    <hyperlink ref="AT640" r:id="rId24"/>
    <hyperlink ref="AT1106" r:id="rId25"/>
    <hyperlink ref="AT1321" r:id="rId26"/>
    <hyperlink ref="AT1326" r:id="rId27"/>
    <hyperlink ref="AT1971" r:id="rId28"/>
    <hyperlink ref="AT1982" r:id="rId29"/>
    <hyperlink ref="AT1843" r:id="rId30"/>
    <hyperlink ref="AT1846" r:id="rId31"/>
    <hyperlink ref="AT1849" r:id="rId32"/>
    <hyperlink ref="AT1112" r:id="rId33" display="http://eiti.org/files/Niger-2010-EITI-Report.pdf"/>
    <hyperlink ref="AT1119" r:id="rId34" display="http://eiti.org/files/4eme_rapport_itie_niger_2011_0.pdf"/>
    <hyperlink ref="AT1066" r:id="rId35"/>
    <hyperlink ref="AT1058" r:id="rId36"/>
    <hyperlink ref="AT1831" r:id="rId37"/>
    <hyperlink ref="AT1079" r:id="rId38"/>
    <hyperlink ref="AT1080" r:id="rId39"/>
    <hyperlink ref="AT1081" r:id="rId40"/>
    <hyperlink ref="AT1429" r:id="rId41"/>
  </hyperlinks>
  <pageMargins left="0.75" right="0.75" top="1" bottom="1" header="0.5" footer="0.5"/>
  <pageSetup orientation="portrait" r:id="rId42"/>
  <legacyDrawing r:id="rId4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24"/>
  <sheetViews>
    <sheetView workbookViewId="0">
      <selection activeCell="G2" sqref="G2"/>
    </sheetView>
  </sheetViews>
  <sheetFormatPr defaultRowHeight="15"/>
  <cols>
    <col min="6" max="6" width="9.140625" customWidth="1"/>
    <col min="7" max="7" width="14.140625" customWidth="1"/>
  </cols>
  <sheetData>
    <row r="1" spans="1:7" ht="45">
      <c r="A1" s="4" t="s">
        <v>3</v>
      </c>
      <c r="B1" s="4" t="s">
        <v>4</v>
      </c>
      <c r="C1" s="4"/>
      <c r="D1" s="4" t="s">
        <v>5</v>
      </c>
      <c r="E1" s="5" t="s">
        <v>6</v>
      </c>
      <c r="F1" s="4" t="s">
        <v>7</v>
      </c>
      <c r="G1" s="4" t="s">
        <v>8</v>
      </c>
    </row>
    <row r="2" spans="1:7" ht="30">
      <c r="A2" s="9">
        <v>2008</v>
      </c>
      <c r="B2" s="9" t="s">
        <v>21</v>
      </c>
      <c r="C2" s="9" t="str">
        <f>$A2&amp;"_"&amp;$B2</f>
        <v>2008_Afghanistan</v>
      </c>
      <c r="D2" s="9" t="s">
        <v>22</v>
      </c>
      <c r="E2" s="10" t="s">
        <v>23</v>
      </c>
      <c r="F2" s="9" t="s">
        <v>24</v>
      </c>
      <c r="G2" s="11">
        <v>89690970</v>
      </c>
    </row>
    <row r="3" spans="1:7" ht="30">
      <c r="A3" s="9">
        <v>2009</v>
      </c>
      <c r="B3" s="9" t="s">
        <v>21</v>
      </c>
      <c r="C3" s="9" t="str">
        <f t="shared" ref="C3:C66" si="0">$A3&amp;"_"&amp;$B3</f>
        <v>2009_Afghanistan</v>
      </c>
      <c r="D3" s="9" t="s">
        <v>22</v>
      </c>
      <c r="E3" s="10" t="s">
        <v>23</v>
      </c>
      <c r="F3" s="9" t="s">
        <v>24</v>
      </c>
      <c r="G3" s="11">
        <v>7788994</v>
      </c>
    </row>
    <row r="4" spans="1:7" ht="30">
      <c r="A4" s="9">
        <v>2010</v>
      </c>
      <c r="B4" s="9" t="s">
        <v>21</v>
      </c>
      <c r="C4" s="9" t="str">
        <f t="shared" si="0"/>
        <v>2010_Afghanistan</v>
      </c>
      <c r="D4" s="9" t="s">
        <v>22</v>
      </c>
      <c r="E4" s="10" t="s">
        <v>31</v>
      </c>
      <c r="F4" s="9" t="s">
        <v>24</v>
      </c>
      <c r="G4" s="18">
        <v>23383829.469999999</v>
      </c>
    </row>
    <row r="5" spans="1:7" ht="30">
      <c r="A5" s="9">
        <v>2011</v>
      </c>
      <c r="B5" s="9" t="s">
        <v>21</v>
      </c>
      <c r="C5" s="9" t="str">
        <f t="shared" si="0"/>
        <v>2011_Afghanistan</v>
      </c>
      <c r="D5" s="9" t="s">
        <v>22</v>
      </c>
      <c r="E5" s="10" t="s">
        <v>34</v>
      </c>
      <c r="F5" s="19" t="s">
        <v>35</v>
      </c>
      <c r="G5" s="20">
        <v>101776402</v>
      </c>
    </row>
    <row r="6" spans="1:7" ht="30">
      <c r="A6" s="12">
        <v>2009</v>
      </c>
      <c r="B6" s="22" t="s">
        <v>38</v>
      </c>
      <c r="C6" s="9" t="str">
        <f t="shared" si="0"/>
        <v>2009_Albania</v>
      </c>
      <c r="D6" s="22" t="s">
        <v>39</v>
      </c>
      <c r="E6" s="10" t="s">
        <v>40</v>
      </c>
      <c r="F6" s="22" t="s">
        <v>41</v>
      </c>
      <c r="G6" s="20">
        <v>33298711.201804318</v>
      </c>
    </row>
    <row r="7" spans="1:7" ht="30">
      <c r="A7" s="12">
        <v>2010</v>
      </c>
      <c r="B7" s="22" t="s">
        <v>38</v>
      </c>
      <c r="C7" s="9" t="str">
        <f t="shared" si="0"/>
        <v>2010_Albania</v>
      </c>
      <c r="D7" s="22" t="s">
        <v>39</v>
      </c>
      <c r="E7" s="10" t="s">
        <v>44</v>
      </c>
      <c r="F7" s="22" t="s">
        <v>35</v>
      </c>
      <c r="G7" s="18">
        <v>62819643</v>
      </c>
    </row>
    <row r="8" spans="1:7" ht="30">
      <c r="A8" s="12">
        <v>2011</v>
      </c>
      <c r="B8" s="22" t="s">
        <v>38</v>
      </c>
      <c r="C8" s="9" t="str">
        <f t="shared" si="0"/>
        <v>2011_Albania</v>
      </c>
      <c r="D8" s="22" t="s">
        <v>39</v>
      </c>
      <c r="E8" s="10" t="s">
        <v>47</v>
      </c>
      <c r="F8" s="22" t="s">
        <v>35</v>
      </c>
      <c r="G8" s="18">
        <v>87672150.568453237</v>
      </c>
    </row>
    <row r="9" spans="1:7" ht="60">
      <c r="A9" s="27">
        <v>2012</v>
      </c>
      <c r="B9" s="27" t="s">
        <v>38</v>
      </c>
      <c r="C9" s="9" t="str">
        <f t="shared" si="0"/>
        <v>2012_Albania</v>
      </c>
      <c r="D9" s="27" t="s">
        <v>39</v>
      </c>
      <c r="E9" s="10" t="s">
        <v>50</v>
      </c>
      <c r="F9" s="27" t="s">
        <v>41</v>
      </c>
      <c r="G9" s="28">
        <v>92136623.819999993</v>
      </c>
    </row>
    <row r="10" spans="1:7" ht="30">
      <c r="A10" s="12">
        <v>2003</v>
      </c>
      <c r="B10" s="19" t="s">
        <v>53</v>
      </c>
      <c r="C10" s="9" t="str">
        <f t="shared" si="0"/>
        <v>2003_Azerbaijan</v>
      </c>
      <c r="D10" s="22" t="s">
        <v>39</v>
      </c>
      <c r="E10" s="10" t="s">
        <v>54</v>
      </c>
      <c r="F10" s="22" t="s">
        <v>55</v>
      </c>
      <c r="G10" s="31">
        <v>622338949.75102043</v>
      </c>
    </row>
    <row r="11" spans="1:7" ht="30">
      <c r="A11" s="12">
        <v>2004</v>
      </c>
      <c r="B11" s="19" t="s">
        <v>53</v>
      </c>
      <c r="C11" s="9" t="str">
        <f t="shared" si="0"/>
        <v>2004_Azerbaijan</v>
      </c>
      <c r="D11" s="823" t="s">
        <v>39</v>
      </c>
      <c r="E11" s="10" t="s">
        <v>58</v>
      </c>
      <c r="F11" s="22" t="s">
        <v>55</v>
      </c>
      <c r="G11" s="31">
        <v>1099837402.0408163</v>
      </c>
    </row>
    <row r="12" spans="1:7" ht="30">
      <c r="A12" s="12">
        <v>2005</v>
      </c>
      <c r="B12" s="19" t="s">
        <v>53</v>
      </c>
      <c r="C12" s="9" t="str">
        <f t="shared" si="0"/>
        <v>2005_Azerbaijan</v>
      </c>
      <c r="D12" s="22" t="s">
        <v>39</v>
      </c>
      <c r="E12" s="10" t="s">
        <v>61</v>
      </c>
      <c r="F12" s="22" t="s">
        <v>55</v>
      </c>
      <c r="G12" s="32">
        <v>1475500561.5275025</v>
      </c>
    </row>
    <row r="13" spans="1:7" ht="30">
      <c r="A13" s="12">
        <v>2006</v>
      </c>
      <c r="B13" s="19" t="s">
        <v>53</v>
      </c>
      <c r="C13" s="9" t="str">
        <f t="shared" si="0"/>
        <v>2006_Azerbaijan</v>
      </c>
      <c r="D13" s="22" t="s">
        <v>39</v>
      </c>
      <c r="E13" s="10" t="s">
        <v>64</v>
      </c>
      <c r="F13" s="22" t="s">
        <v>55</v>
      </c>
      <c r="G13" s="31">
        <v>3510790699.9586</v>
      </c>
    </row>
    <row r="14" spans="1:7" ht="30">
      <c r="A14" s="12">
        <v>2007</v>
      </c>
      <c r="B14" s="19" t="s">
        <v>53</v>
      </c>
      <c r="C14" s="9" t="str">
        <f t="shared" si="0"/>
        <v>2007_Azerbaijan</v>
      </c>
      <c r="D14" s="22" t="s">
        <v>39</v>
      </c>
      <c r="E14" s="10" t="s">
        <v>67</v>
      </c>
      <c r="F14" s="22" t="s">
        <v>55</v>
      </c>
      <c r="G14" s="31">
        <v>5563486877.5584002</v>
      </c>
    </row>
    <row r="15" spans="1:7" ht="30">
      <c r="A15" s="12">
        <v>2008</v>
      </c>
      <c r="B15" s="19" t="s">
        <v>53</v>
      </c>
      <c r="C15" s="9" t="str">
        <f t="shared" si="0"/>
        <v>2008_Azerbaijan</v>
      </c>
      <c r="D15" s="22" t="s">
        <v>39</v>
      </c>
      <c r="E15" s="10" t="s">
        <v>70</v>
      </c>
      <c r="F15" s="22" t="s">
        <v>55</v>
      </c>
      <c r="G15" s="31">
        <v>19134087707.225998</v>
      </c>
    </row>
    <row r="16" spans="1:7" ht="30">
      <c r="A16" s="12">
        <v>2009</v>
      </c>
      <c r="B16" s="19" t="s">
        <v>53</v>
      </c>
      <c r="C16" s="9" t="str">
        <f t="shared" si="0"/>
        <v>2009_Azerbaijan</v>
      </c>
      <c r="D16" s="22" t="s">
        <v>39</v>
      </c>
      <c r="E16" s="10" t="s">
        <v>73</v>
      </c>
      <c r="F16" s="19" t="s">
        <v>35</v>
      </c>
      <c r="G16" s="31">
        <v>14160319906.428267</v>
      </c>
    </row>
    <row r="17" spans="1:7" ht="30">
      <c r="A17" s="12">
        <v>2010</v>
      </c>
      <c r="B17" s="19" t="s">
        <v>53</v>
      </c>
      <c r="C17" s="9" t="str">
        <f t="shared" si="0"/>
        <v>2010_Azerbaijan</v>
      </c>
      <c r="D17" s="22" t="s">
        <v>39</v>
      </c>
      <c r="E17" s="10" t="s">
        <v>76</v>
      </c>
      <c r="F17" s="19" t="s">
        <v>35</v>
      </c>
      <c r="G17" s="31">
        <v>19732689646.414902</v>
      </c>
    </row>
    <row r="18" spans="1:7" ht="30">
      <c r="A18" s="12">
        <v>2011</v>
      </c>
      <c r="B18" s="19" t="s">
        <v>53</v>
      </c>
      <c r="C18" s="9" t="str">
        <f t="shared" si="0"/>
        <v>2011_Azerbaijan</v>
      </c>
      <c r="D18" s="22" t="s">
        <v>39</v>
      </c>
      <c r="E18" s="10" t="s">
        <v>79</v>
      </c>
      <c r="F18" s="19" t="s">
        <v>35</v>
      </c>
      <c r="G18" s="18">
        <v>23901723059.816406</v>
      </c>
    </row>
    <row r="19" spans="1:7" ht="30">
      <c r="A19" s="12">
        <v>2012</v>
      </c>
      <c r="B19" s="19" t="s">
        <v>53</v>
      </c>
      <c r="C19" s="9" t="str">
        <f t="shared" si="0"/>
        <v>2012_Azerbaijan</v>
      </c>
      <c r="D19" s="22" t="s">
        <v>39</v>
      </c>
      <c r="E19" s="10" t="s">
        <v>82</v>
      </c>
      <c r="F19" s="19" t="s">
        <v>35</v>
      </c>
      <c r="G19" s="18">
        <v>21826952015.575878</v>
      </c>
    </row>
    <row r="20" spans="1:7" ht="30">
      <c r="A20" s="34">
        <v>2008</v>
      </c>
      <c r="B20" s="35" t="s">
        <v>85</v>
      </c>
      <c r="C20" s="9" t="str">
        <f t="shared" si="0"/>
        <v xml:space="preserve">2008_Burkina Faso </v>
      </c>
      <c r="D20" s="36" t="s">
        <v>86</v>
      </c>
      <c r="E20" s="37" t="s">
        <v>87</v>
      </c>
      <c r="F20" s="35" t="s">
        <v>24</v>
      </c>
      <c r="G20" s="38">
        <v>3746160.96432199</v>
      </c>
    </row>
    <row r="21" spans="1:7" ht="30">
      <c r="A21" s="34">
        <v>2009</v>
      </c>
      <c r="B21" s="35" t="s">
        <v>85</v>
      </c>
      <c r="C21" s="9" t="str">
        <f t="shared" si="0"/>
        <v xml:space="preserve">2009_Burkina Faso </v>
      </c>
      <c r="D21" s="36" t="s">
        <v>86</v>
      </c>
      <c r="E21" s="37" t="s">
        <v>87</v>
      </c>
      <c r="F21" s="35" t="s">
        <v>24</v>
      </c>
      <c r="G21" s="38">
        <v>22698094.711444009</v>
      </c>
    </row>
    <row r="22" spans="1:7" ht="30">
      <c r="A22" s="12">
        <v>2010</v>
      </c>
      <c r="B22" s="19" t="s">
        <v>85</v>
      </c>
      <c r="C22" s="9" t="str">
        <f t="shared" si="0"/>
        <v xml:space="preserve">2010_Burkina Faso </v>
      </c>
      <c r="D22" s="22" t="s">
        <v>86</v>
      </c>
      <c r="E22" s="43" t="s">
        <v>92</v>
      </c>
      <c r="F22" s="19" t="s">
        <v>24</v>
      </c>
      <c r="G22" s="20">
        <v>47170416</v>
      </c>
    </row>
    <row r="23" spans="1:7" ht="30">
      <c r="A23" s="12">
        <v>2011</v>
      </c>
      <c r="B23" s="19" t="s">
        <v>85</v>
      </c>
      <c r="C23" s="9" t="str">
        <f t="shared" si="0"/>
        <v xml:space="preserve">2011_Burkina Faso </v>
      </c>
      <c r="D23" s="22" t="s">
        <v>86</v>
      </c>
      <c r="E23" s="43" t="s">
        <v>95</v>
      </c>
      <c r="F23" s="19" t="s">
        <v>24</v>
      </c>
      <c r="G23" s="44">
        <v>236414921.89335009</v>
      </c>
    </row>
    <row r="24" spans="1:7" ht="30">
      <c r="A24" s="46">
        <v>2012</v>
      </c>
      <c r="B24" s="45" t="s">
        <v>98</v>
      </c>
      <c r="C24" s="9" t="str">
        <f t="shared" si="0"/>
        <v>2012_Burkina Faso</v>
      </c>
      <c r="D24" s="45" t="s">
        <v>86</v>
      </c>
      <c r="E24" s="10" t="s">
        <v>50</v>
      </c>
      <c r="F24" s="45" t="s">
        <v>24</v>
      </c>
      <c r="G24" s="47">
        <v>366304044.26999998</v>
      </c>
    </row>
    <row r="25" spans="1:7" ht="30">
      <c r="A25" s="12">
        <v>2001</v>
      </c>
      <c r="B25" s="19" t="s">
        <v>101</v>
      </c>
      <c r="C25" s="9" t="str">
        <f t="shared" si="0"/>
        <v>2001_Cameroon</v>
      </c>
      <c r="D25" s="22" t="s">
        <v>86</v>
      </c>
      <c r="E25" s="43" t="s">
        <v>102</v>
      </c>
      <c r="F25" s="19" t="s">
        <v>103</v>
      </c>
      <c r="G25" s="44">
        <v>731900794.85081637</v>
      </c>
    </row>
    <row r="26" spans="1:7" ht="30">
      <c r="A26" s="12">
        <v>2002</v>
      </c>
      <c r="B26" s="19" t="s">
        <v>101</v>
      </c>
      <c r="C26" s="9" t="str">
        <f t="shared" si="0"/>
        <v>2002_Cameroon</v>
      </c>
      <c r="D26" s="22" t="s">
        <v>86</v>
      </c>
      <c r="E26" s="43" t="s">
        <v>102</v>
      </c>
      <c r="F26" s="19" t="s">
        <v>103</v>
      </c>
      <c r="G26" s="44">
        <v>338323283.56164378</v>
      </c>
    </row>
    <row r="27" spans="1:7" ht="30">
      <c r="A27" s="12">
        <v>2003</v>
      </c>
      <c r="B27" s="19" t="s">
        <v>101</v>
      </c>
      <c r="C27" s="9" t="str">
        <f t="shared" si="0"/>
        <v>2003_Cameroon</v>
      </c>
      <c r="D27" s="22" t="s">
        <v>86</v>
      </c>
      <c r="E27" s="43" t="s">
        <v>102</v>
      </c>
      <c r="F27" s="19" t="s">
        <v>103</v>
      </c>
      <c r="G27" s="44">
        <v>753768010</v>
      </c>
    </row>
    <row r="28" spans="1:7" ht="30">
      <c r="A28" s="12">
        <v>2004</v>
      </c>
      <c r="B28" s="19" t="s">
        <v>101</v>
      </c>
      <c r="C28" s="9" t="str">
        <f t="shared" si="0"/>
        <v>2004_Cameroon</v>
      </c>
      <c r="D28" s="22" t="s">
        <v>86</v>
      </c>
      <c r="E28" s="43" t="s">
        <v>102</v>
      </c>
      <c r="F28" s="19" t="s">
        <v>103</v>
      </c>
      <c r="G28" s="44">
        <v>954798250</v>
      </c>
    </row>
    <row r="29" spans="1:7" ht="30">
      <c r="A29" s="12">
        <v>2005</v>
      </c>
      <c r="B29" s="19" t="s">
        <v>101</v>
      </c>
      <c r="C29" s="9" t="str">
        <f t="shared" si="0"/>
        <v>2005_Cameroon</v>
      </c>
      <c r="D29" s="22" t="s">
        <v>86</v>
      </c>
      <c r="E29" s="43" t="s">
        <v>109</v>
      </c>
      <c r="F29" s="19" t="s">
        <v>103</v>
      </c>
      <c r="G29" s="44">
        <v>1188024922.5</v>
      </c>
    </row>
    <row r="30" spans="1:7" ht="30">
      <c r="A30" s="12">
        <v>2006</v>
      </c>
      <c r="B30" s="19" t="s">
        <v>101</v>
      </c>
      <c r="C30" s="9" t="str">
        <f t="shared" si="0"/>
        <v>2006_Cameroon</v>
      </c>
      <c r="D30" s="22" t="s">
        <v>86</v>
      </c>
      <c r="E30" s="43" t="s">
        <v>112</v>
      </c>
      <c r="F30" s="19" t="s">
        <v>41</v>
      </c>
      <c r="G30" s="44">
        <v>1599006845.6187501</v>
      </c>
    </row>
    <row r="31" spans="1:7" ht="30">
      <c r="A31" s="12">
        <v>2007</v>
      </c>
      <c r="B31" s="19" t="s">
        <v>101</v>
      </c>
      <c r="C31" s="9" t="str">
        <f t="shared" si="0"/>
        <v>2007_Cameroon</v>
      </c>
      <c r="D31" s="22" t="s">
        <v>86</v>
      </c>
      <c r="E31" s="43" t="s">
        <v>112</v>
      </c>
      <c r="F31" s="19" t="s">
        <v>41</v>
      </c>
      <c r="G31" s="44">
        <v>1803241787.7304473</v>
      </c>
    </row>
    <row r="32" spans="1:7" ht="30">
      <c r="A32" s="12">
        <v>2008</v>
      </c>
      <c r="B32" s="19" t="s">
        <v>101</v>
      </c>
      <c r="C32" s="9" t="str">
        <f t="shared" si="0"/>
        <v>2008_Cameroon</v>
      </c>
      <c r="D32" s="22" t="s">
        <v>86</v>
      </c>
      <c r="E32" s="43" t="s">
        <v>112</v>
      </c>
      <c r="F32" s="19" t="s">
        <v>41</v>
      </c>
      <c r="G32" s="44">
        <v>2362223467.224865</v>
      </c>
    </row>
    <row r="33" spans="1:7" ht="30">
      <c r="A33" s="12">
        <v>2009</v>
      </c>
      <c r="B33" s="19" t="s">
        <v>101</v>
      </c>
      <c r="C33" s="9" t="str">
        <f t="shared" si="0"/>
        <v>2009_Cameroon</v>
      </c>
      <c r="D33" s="22" t="s">
        <v>86</v>
      </c>
      <c r="E33" s="43" t="s">
        <v>117</v>
      </c>
      <c r="F33" s="19" t="s">
        <v>41</v>
      </c>
      <c r="G33" s="44">
        <v>3501213151.7658243</v>
      </c>
    </row>
    <row r="34" spans="1:7" ht="30">
      <c r="A34" s="12">
        <v>2010</v>
      </c>
      <c r="B34" s="19" t="s">
        <v>101</v>
      </c>
      <c r="C34" s="9" t="str">
        <f t="shared" si="0"/>
        <v>2010_Cameroon</v>
      </c>
      <c r="D34" s="22" t="s">
        <v>86</v>
      </c>
      <c r="E34" s="43" t="s">
        <v>117</v>
      </c>
      <c r="F34" s="19" t="s">
        <v>41</v>
      </c>
      <c r="G34" s="44">
        <v>3676246858.7772026</v>
      </c>
    </row>
    <row r="35" spans="1:7" ht="30">
      <c r="A35" s="12">
        <v>2011</v>
      </c>
      <c r="B35" s="19" t="s">
        <v>101</v>
      </c>
      <c r="C35" s="9" t="str">
        <f t="shared" si="0"/>
        <v>2011_Cameroon</v>
      </c>
      <c r="D35" s="22" t="s">
        <v>86</v>
      </c>
      <c r="E35" s="43" t="s">
        <v>122</v>
      </c>
      <c r="F35" s="19" t="s">
        <v>35</v>
      </c>
      <c r="G35" s="48">
        <v>1566015122</v>
      </c>
    </row>
    <row r="36" spans="1:7" ht="30">
      <c r="A36" s="27">
        <v>2012</v>
      </c>
      <c r="B36" s="27" t="s">
        <v>101</v>
      </c>
      <c r="C36" s="9" t="str">
        <f t="shared" si="0"/>
        <v>2012_Cameroon</v>
      </c>
      <c r="D36" s="27" t="s">
        <v>86</v>
      </c>
      <c r="E36" s="10" t="s">
        <v>50</v>
      </c>
      <c r="F36" s="27" t="s">
        <v>35</v>
      </c>
      <c r="G36" s="50">
        <v>1529320794.4000001</v>
      </c>
    </row>
    <row r="37" spans="1:7" ht="45">
      <c r="A37" s="34">
        <v>2006</v>
      </c>
      <c r="B37" s="35" t="s">
        <v>127</v>
      </c>
      <c r="C37" s="9" t="str">
        <f t="shared" si="0"/>
        <v>2006_Central African Republic</v>
      </c>
      <c r="D37" s="36" t="s">
        <v>86</v>
      </c>
      <c r="E37" s="37" t="s">
        <v>128</v>
      </c>
      <c r="F37" s="35" t="s">
        <v>24</v>
      </c>
      <c r="G37" s="51">
        <v>10973706.76241657</v>
      </c>
    </row>
    <row r="38" spans="1:7" ht="45">
      <c r="A38" s="34">
        <v>2007</v>
      </c>
      <c r="B38" s="35" t="s">
        <v>127</v>
      </c>
      <c r="C38" s="9" t="str">
        <f t="shared" si="0"/>
        <v>2007_Central African Republic</v>
      </c>
      <c r="D38" s="36" t="s">
        <v>86</v>
      </c>
      <c r="E38" s="37" t="s">
        <v>131</v>
      </c>
      <c r="F38" s="35" t="s">
        <v>24</v>
      </c>
      <c r="G38" s="18">
        <v>3520131.5240083509</v>
      </c>
    </row>
    <row r="39" spans="1:7" ht="45">
      <c r="A39" s="34">
        <v>2008</v>
      </c>
      <c r="B39" s="35" t="s">
        <v>127</v>
      </c>
      <c r="C39" s="9" t="str">
        <f t="shared" si="0"/>
        <v>2008_Central African Republic</v>
      </c>
      <c r="D39" s="36" t="s">
        <v>86</v>
      </c>
      <c r="E39" s="37" t="s">
        <v>131</v>
      </c>
      <c r="F39" s="35" t="s">
        <v>24</v>
      </c>
      <c r="G39" s="38">
        <v>4042178.5714285714</v>
      </c>
    </row>
    <row r="40" spans="1:7" ht="45">
      <c r="A40" s="34">
        <v>2009</v>
      </c>
      <c r="B40" s="35" t="s">
        <v>127</v>
      </c>
      <c r="C40" s="9" t="str">
        <f t="shared" si="0"/>
        <v>2009_Central African Republic</v>
      </c>
      <c r="D40" s="36" t="s">
        <v>86</v>
      </c>
      <c r="E40" s="37" t="s">
        <v>131</v>
      </c>
      <c r="F40" s="35" t="s">
        <v>24</v>
      </c>
      <c r="G40" s="38">
        <v>6056423.7288135597</v>
      </c>
    </row>
    <row r="41" spans="1:7" ht="45">
      <c r="A41" s="12">
        <v>2010</v>
      </c>
      <c r="B41" s="19" t="s">
        <v>127</v>
      </c>
      <c r="C41" s="9" t="str">
        <f t="shared" si="0"/>
        <v>2010_Central African Republic</v>
      </c>
      <c r="D41" s="22" t="s">
        <v>86</v>
      </c>
      <c r="E41" s="43" t="s">
        <v>44</v>
      </c>
      <c r="F41" s="19" t="s">
        <v>24</v>
      </c>
      <c r="G41" s="44">
        <v>20633575</v>
      </c>
    </row>
    <row r="42" spans="1:7" ht="30">
      <c r="A42" s="12">
        <v>2007</v>
      </c>
      <c r="B42" s="19" t="s">
        <v>138</v>
      </c>
      <c r="C42" s="9" t="str">
        <f t="shared" si="0"/>
        <v>2007_Chad</v>
      </c>
      <c r="D42" s="22" t="s">
        <v>86</v>
      </c>
      <c r="E42" s="43" t="s">
        <v>31</v>
      </c>
      <c r="F42" s="19" t="s">
        <v>35</v>
      </c>
      <c r="G42" s="20">
        <v>1183293262</v>
      </c>
    </row>
    <row r="43" spans="1:7" ht="30">
      <c r="A43" s="12">
        <v>2008</v>
      </c>
      <c r="B43" s="19" t="s">
        <v>138</v>
      </c>
      <c r="C43" s="9" t="str">
        <f t="shared" si="0"/>
        <v>2008_Chad</v>
      </c>
      <c r="D43" s="22" t="s">
        <v>86</v>
      </c>
      <c r="E43" s="43" t="s">
        <v>31</v>
      </c>
      <c r="F43" s="19" t="s">
        <v>35</v>
      </c>
      <c r="G43" s="53">
        <v>1908801646</v>
      </c>
    </row>
    <row r="44" spans="1:7" ht="30">
      <c r="A44" s="12">
        <v>2009</v>
      </c>
      <c r="B44" s="19" t="s">
        <v>138</v>
      </c>
      <c r="C44" s="9" t="str">
        <f t="shared" si="0"/>
        <v>2009_Chad</v>
      </c>
      <c r="D44" s="22" t="s">
        <v>86</v>
      </c>
      <c r="E44" s="43" t="s">
        <v>31</v>
      </c>
      <c r="F44" s="19" t="s">
        <v>35</v>
      </c>
      <c r="G44" s="20">
        <v>614882373</v>
      </c>
    </row>
    <row r="45" spans="1:7" ht="30">
      <c r="A45" s="12">
        <v>2010</v>
      </c>
      <c r="B45" s="19" t="s">
        <v>138</v>
      </c>
      <c r="C45" s="9" t="str">
        <f t="shared" si="0"/>
        <v>2010_Chad</v>
      </c>
      <c r="D45" s="22" t="s">
        <v>86</v>
      </c>
      <c r="E45" s="43" t="s">
        <v>145</v>
      </c>
      <c r="F45" s="19" t="s">
        <v>35</v>
      </c>
      <c r="G45" s="20">
        <v>1347744000</v>
      </c>
    </row>
    <row r="46" spans="1:7" ht="30">
      <c r="A46" s="12">
        <v>2011</v>
      </c>
      <c r="B46" s="19" t="s">
        <v>138</v>
      </c>
      <c r="C46" s="9" t="str">
        <f t="shared" si="0"/>
        <v>2011_Chad</v>
      </c>
      <c r="D46" s="22" t="s">
        <v>86</v>
      </c>
      <c r="E46" s="43" t="s">
        <v>145</v>
      </c>
      <c r="F46" s="19" t="s">
        <v>35</v>
      </c>
      <c r="G46" s="18">
        <v>2146562000</v>
      </c>
    </row>
    <row r="47" spans="1:7" ht="30">
      <c r="A47" s="12">
        <v>2012</v>
      </c>
      <c r="B47" s="19" t="s">
        <v>138</v>
      </c>
      <c r="C47" s="9" t="str">
        <f t="shared" si="0"/>
        <v>2012_Chad</v>
      </c>
      <c r="D47" s="22" t="s">
        <v>86</v>
      </c>
      <c r="E47" s="43" t="s">
        <v>150</v>
      </c>
      <c r="F47" s="19" t="s">
        <v>35</v>
      </c>
      <c r="G47" s="38">
        <v>2109663000</v>
      </c>
    </row>
    <row r="48" spans="1:7" ht="30">
      <c r="A48" s="34">
        <v>2006</v>
      </c>
      <c r="B48" s="35" t="s">
        <v>153</v>
      </c>
      <c r="C48" s="9" t="str">
        <f t="shared" si="0"/>
        <v>2006_Cote d'Ivoire</v>
      </c>
      <c r="D48" s="36" t="s">
        <v>86</v>
      </c>
      <c r="E48" s="35" t="s">
        <v>154</v>
      </c>
      <c r="F48" s="35" t="s">
        <v>55</v>
      </c>
      <c r="G48" s="38">
        <v>84482680</v>
      </c>
    </row>
    <row r="49" spans="1:7" ht="30">
      <c r="A49" s="34">
        <v>2007</v>
      </c>
      <c r="B49" s="35" t="s">
        <v>153</v>
      </c>
      <c r="C49" s="9" t="str">
        <f t="shared" si="0"/>
        <v>2007_Cote d'Ivoire</v>
      </c>
      <c r="D49" s="36" t="s">
        <v>86</v>
      </c>
      <c r="E49" s="35" t="s">
        <v>154</v>
      </c>
      <c r="F49" s="35" t="s">
        <v>55</v>
      </c>
      <c r="G49" s="38">
        <v>121454480.00000001</v>
      </c>
    </row>
    <row r="50" spans="1:7" ht="30">
      <c r="A50" s="12">
        <v>2008</v>
      </c>
      <c r="B50" s="19" t="s">
        <v>153</v>
      </c>
      <c r="C50" s="9" t="str">
        <f t="shared" si="0"/>
        <v>2008_Cote d'Ivoire</v>
      </c>
      <c r="D50" s="22" t="s">
        <v>86</v>
      </c>
      <c r="E50" s="19" t="s">
        <v>159</v>
      </c>
      <c r="F50" s="19" t="s">
        <v>35</v>
      </c>
      <c r="G50" s="20">
        <v>594748911</v>
      </c>
    </row>
    <row r="51" spans="1:7" ht="30">
      <c r="A51" s="12">
        <v>2009</v>
      </c>
      <c r="B51" s="19" t="s">
        <v>153</v>
      </c>
      <c r="C51" s="9" t="str">
        <f t="shared" si="0"/>
        <v>2009_Cote d'Ivoire</v>
      </c>
      <c r="D51" s="22" t="s">
        <v>86</v>
      </c>
      <c r="E51" s="19" t="s">
        <v>159</v>
      </c>
      <c r="F51" s="19" t="s">
        <v>35</v>
      </c>
      <c r="G51" s="18">
        <v>284861428.97265005</v>
      </c>
    </row>
    <row r="52" spans="1:7" ht="30">
      <c r="A52" s="12">
        <v>2010</v>
      </c>
      <c r="B52" s="19" t="s">
        <v>153</v>
      </c>
      <c r="C52" s="9" t="str">
        <f t="shared" si="0"/>
        <v>2010_Cote d'Ivoire</v>
      </c>
      <c r="D52" s="22" t="s">
        <v>86</v>
      </c>
      <c r="E52" s="19" t="s">
        <v>159</v>
      </c>
      <c r="F52" s="19" t="s">
        <v>35</v>
      </c>
      <c r="G52" s="44">
        <v>245231916.38661528</v>
      </c>
    </row>
    <row r="53" spans="1:7" ht="30">
      <c r="A53" s="12">
        <v>2011</v>
      </c>
      <c r="B53" s="19" t="s">
        <v>153</v>
      </c>
      <c r="C53" s="9" t="str">
        <f t="shared" si="0"/>
        <v>2011_Cote d'Ivoire</v>
      </c>
      <c r="D53" s="22" t="s">
        <v>86</v>
      </c>
      <c r="E53" s="19" t="s">
        <v>145</v>
      </c>
      <c r="F53" s="19" t="s">
        <v>35</v>
      </c>
      <c r="G53" s="55">
        <v>389368836.09803921</v>
      </c>
    </row>
    <row r="54" spans="1:7" ht="30">
      <c r="A54" s="27">
        <v>2012</v>
      </c>
      <c r="B54" s="21" t="s">
        <v>168</v>
      </c>
      <c r="C54" s="9" t="str">
        <f t="shared" si="0"/>
        <v>2012_Coted'Ivoire</v>
      </c>
      <c r="D54" s="27" t="s">
        <v>86</v>
      </c>
      <c r="E54" s="10" t="s">
        <v>50</v>
      </c>
      <c r="F54" s="27" t="s">
        <v>35</v>
      </c>
      <c r="G54" s="56">
        <v>615027475</v>
      </c>
    </row>
    <row r="55" spans="1:7" ht="60">
      <c r="A55" s="34">
        <v>2007</v>
      </c>
      <c r="B55" s="35" t="s">
        <v>171</v>
      </c>
      <c r="C55" s="9" t="str">
        <f t="shared" si="0"/>
        <v>2007_Democratic Republic of Congo</v>
      </c>
      <c r="D55" s="36" t="s">
        <v>86</v>
      </c>
      <c r="E55" s="35" t="s">
        <v>172</v>
      </c>
      <c r="F55" s="35" t="s">
        <v>35</v>
      </c>
      <c r="G55" s="38">
        <v>416300000</v>
      </c>
    </row>
    <row r="56" spans="1:7" ht="60">
      <c r="A56" s="12">
        <v>2008</v>
      </c>
      <c r="B56" s="19" t="s">
        <v>171</v>
      </c>
      <c r="C56" s="9" t="str">
        <f t="shared" si="0"/>
        <v>2008_Democratic Republic of Congo</v>
      </c>
      <c r="D56" s="22" t="s">
        <v>86</v>
      </c>
      <c r="E56" s="19" t="s">
        <v>175</v>
      </c>
      <c r="F56" s="19" t="s">
        <v>35</v>
      </c>
      <c r="G56" s="44">
        <v>516117440.10301042</v>
      </c>
    </row>
    <row r="57" spans="1:7" ht="60">
      <c r="A57" s="12">
        <v>2009</v>
      </c>
      <c r="B57" s="19" t="s">
        <v>171</v>
      </c>
      <c r="C57" s="9" t="str">
        <f t="shared" si="0"/>
        <v>2009_Democratic Republic of Congo</v>
      </c>
      <c r="D57" s="22" t="s">
        <v>86</v>
      </c>
      <c r="E57" s="19" t="s">
        <v>175</v>
      </c>
      <c r="F57" s="19" t="s">
        <v>35</v>
      </c>
      <c r="G57" s="44">
        <v>253718209.59147424</v>
      </c>
    </row>
    <row r="58" spans="1:7" ht="60">
      <c r="A58" s="12">
        <v>2010</v>
      </c>
      <c r="B58" s="19" t="s">
        <v>171</v>
      </c>
      <c r="C58" s="9" t="str">
        <f t="shared" si="0"/>
        <v>2010_Democratic Republic of Congo</v>
      </c>
      <c r="D58" s="22" t="s">
        <v>86</v>
      </c>
      <c r="E58" s="19" t="s">
        <v>180</v>
      </c>
      <c r="F58" s="19" t="s">
        <v>35</v>
      </c>
      <c r="G58" s="20">
        <v>875938726</v>
      </c>
    </row>
    <row r="59" spans="1:7" ht="60">
      <c r="A59" s="12">
        <v>2011</v>
      </c>
      <c r="B59" s="19" t="s">
        <v>171</v>
      </c>
      <c r="C59" s="9" t="str">
        <f t="shared" si="0"/>
        <v>2011_Democratic Republic of Congo</v>
      </c>
      <c r="D59" s="22" t="s">
        <v>86</v>
      </c>
      <c r="E59" s="43" t="s">
        <v>95</v>
      </c>
      <c r="F59" s="19" t="s">
        <v>35</v>
      </c>
      <c r="G59" s="18">
        <v>1413126313</v>
      </c>
    </row>
    <row r="60" spans="1:7" ht="30">
      <c r="A60" s="49">
        <v>2012</v>
      </c>
      <c r="B60" s="59" t="s">
        <v>185</v>
      </c>
      <c r="C60" s="9" t="str">
        <f t="shared" si="0"/>
        <v>2012_Congo</v>
      </c>
      <c r="D60" s="27" t="s">
        <v>86</v>
      </c>
      <c r="E60" s="10" t="s">
        <v>50</v>
      </c>
      <c r="F60" s="27" t="s">
        <v>41</v>
      </c>
      <c r="G60" s="60">
        <v>1505213145</v>
      </c>
    </row>
    <row r="61" spans="1:7" ht="45">
      <c r="A61" s="34">
        <v>2007</v>
      </c>
      <c r="B61" s="35" t="s">
        <v>188</v>
      </c>
      <c r="C61" s="9" t="str">
        <f t="shared" si="0"/>
        <v>2007_Equatorial Guinea</v>
      </c>
      <c r="D61" s="36" t="s">
        <v>86</v>
      </c>
      <c r="E61" s="37"/>
      <c r="F61" s="35" t="s">
        <v>55</v>
      </c>
      <c r="G61" s="62">
        <v>6148771541.7605944</v>
      </c>
    </row>
    <row r="62" spans="1:7" ht="45">
      <c r="A62" s="34">
        <v>2008</v>
      </c>
      <c r="B62" s="35" t="s">
        <v>188</v>
      </c>
      <c r="C62" s="9" t="str">
        <f t="shared" si="0"/>
        <v>2008_Equatorial Guinea</v>
      </c>
      <c r="D62" s="36" t="s">
        <v>86</v>
      </c>
      <c r="E62" s="37"/>
      <c r="F62" s="35" t="s">
        <v>55</v>
      </c>
      <c r="G62" s="62">
        <v>9119117112.0564747</v>
      </c>
    </row>
    <row r="63" spans="1:7">
      <c r="A63" s="34">
        <v>2004</v>
      </c>
      <c r="B63" s="35" t="s">
        <v>191</v>
      </c>
      <c r="C63" s="9" t="str">
        <f t="shared" si="0"/>
        <v>2004_Gabon</v>
      </c>
      <c r="D63" s="36" t="s">
        <v>86</v>
      </c>
      <c r="E63" s="35"/>
      <c r="F63" s="35" t="s">
        <v>103</v>
      </c>
      <c r="G63" s="51">
        <v>775990000</v>
      </c>
    </row>
    <row r="64" spans="1:7" ht="30">
      <c r="A64" s="34">
        <v>2005</v>
      </c>
      <c r="B64" s="35" t="s">
        <v>191</v>
      </c>
      <c r="C64" s="9" t="str">
        <f t="shared" si="0"/>
        <v>2005_Gabon</v>
      </c>
      <c r="D64" s="36" t="s">
        <v>86</v>
      </c>
      <c r="E64" s="35"/>
      <c r="F64" s="35" t="s">
        <v>41</v>
      </c>
      <c r="G64" s="51">
        <v>1716414357.4144487</v>
      </c>
    </row>
    <row r="65" spans="1:7" ht="30">
      <c r="A65" s="34">
        <v>2006</v>
      </c>
      <c r="B65" s="35" t="s">
        <v>191</v>
      </c>
      <c r="C65" s="9" t="str">
        <f t="shared" si="0"/>
        <v>2006_Gabon</v>
      </c>
      <c r="D65" s="36" t="s">
        <v>86</v>
      </c>
      <c r="E65" s="35"/>
      <c r="F65" s="35" t="s">
        <v>41</v>
      </c>
      <c r="G65" s="51">
        <v>1944187567.1747403</v>
      </c>
    </row>
    <row r="66" spans="1:7">
      <c r="A66" s="22">
        <v>2004</v>
      </c>
      <c r="B66" s="21" t="s">
        <v>195</v>
      </c>
      <c r="C66" s="9" t="str">
        <f t="shared" si="0"/>
        <v>2004_Ghana</v>
      </c>
      <c r="D66" s="21" t="s">
        <v>86</v>
      </c>
      <c r="E66" s="63" t="s">
        <v>196</v>
      </c>
      <c r="F66" s="21" t="s">
        <v>24</v>
      </c>
      <c r="G66" s="20">
        <v>27021531.670000002</v>
      </c>
    </row>
    <row r="67" spans="1:7">
      <c r="A67" s="22">
        <v>2005</v>
      </c>
      <c r="B67" s="21" t="s">
        <v>195</v>
      </c>
      <c r="C67" s="9" t="str">
        <f t="shared" ref="C67:C130" si="1">$A67&amp;"_"&amp;$B67</f>
        <v>2005_Ghana</v>
      </c>
      <c r="D67" s="21" t="s">
        <v>86</v>
      </c>
      <c r="E67" s="63" t="s">
        <v>199</v>
      </c>
      <c r="F67" s="21" t="s">
        <v>24</v>
      </c>
      <c r="G67" s="20">
        <v>44654643</v>
      </c>
    </row>
    <row r="68" spans="1:7">
      <c r="A68" s="22">
        <v>2006</v>
      </c>
      <c r="B68" s="21" t="s">
        <v>195</v>
      </c>
      <c r="C68" s="9" t="str">
        <f t="shared" si="1"/>
        <v>2006_Ghana</v>
      </c>
      <c r="D68" s="21" t="s">
        <v>86</v>
      </c>
      <c r="E68" s="63" t="s">
        <v>202</v>
      </c>
      <c r="F68" s="21" t="s">
        <v>24</v>
      </c>
      <c r="G68" s="18">
        <v>66220560</v>
      </c>
    </row>
    <row r="69" spans="1:7">
      <c r="A69" s="22">
        <v>2007</v>
      </c>
      <c r="B69" s="21" t="s">
        <v>195</v>
      </c>
      <c r="C69" s="9" t="str">
        <f t="shared" si="1"/>
        <v>2007_Ghana</v>
      </c>
      <c r="D69" s="21" t="s">
        <v>86</v>
      </c>
      <c r="E69" s="63" t="s">
        <v>202</v>
      </c>
      <c r="F69" s="21" t="s">
        <v>24</v>
      </c>
      <c r="G69" s="38">
        <v>61767543</v>
      </c>
    </row>
    <row r="70" spans="1:7">
      <c r="A70" s="22">
        <v>2008</v>
      </c>
      <c r="B70" s="21" t="s">
        <v>195</v>
      </c>
      <c r="C70" s="9" t="str">
        <f t="shared" si="1"/>
        <v>2008_Ghana</v>
      </c>
      <c r="D70" s="21" t="s">
        <v>86</v>
      </c>
      <c r="E70" s="63" t="s">
        <v>202</v>
      </c>
      <c r="F70" s="21" t="s">
        <v>24</v>
      </c>
      <c r="G70" s="38">
        <v>91193482</v>
      </c>
    </row>
    <row r="71" spans="1:7">
      <c r="A71" s="22">
        <v>2009</v>
      </c>
      <c r="B71" s="21" t="s">
        <v>195</v>
      </c>
      <c r="C71" s="9" t="str">
        <f t="shared" si="1"/>
        <v>2009_Ghana</v>
      </c>
      <c r="D71" s="21" t="s">
        <v>86</v>
      </c>
      <c r="E71" s="63" t="s">
        <v>209</v>
      </c>
      <c r="F71" s="21" t="s">
        <v>24</v>
      </c>
      <c r="G71" s="38">
        <v>111972313.33333333</v>
      </c>
    </row>
    <row r="72" spans="1:7" ht="30">
      <c r="A72" s="22">
        <v>2010</v>
      </c>
      <c r="B72" s="21" t="s">
        <v>195</v>
      </c>
      <c r="C72" s="9" t="str">
        <f t="shared" si="1"/>
        <v>2010_Ghana</v>
      </c>
      <c r="D72" s="21" t="s">
        <v>86</v>
      </c>
      <c r="E72" s="63" t="s">
        <v>212</v>
      </c>
      <c r="F72" s="19" t="s">
        <v>35</v>
      </c>
      <c r="G72" s="18">
        <v>212460480</v>
      </c>
    </row>
    <row r="73" spans="1:7" ht="30">
      <c r="A73" s="22">
        <v>2011</v>
      </c>
      <c r="B73" s="21" t="s">
        <v>195</v>
      </c>
      <c r="C73" s="9" t="str">
        <f t="shared" si="1"/>
        <v>2011_Ghana</v>
      </c>
      <c r="D73" s="21" t="s">
        <v>86</v>
      </c>
      <c r="E73" s="63" t="s">
        <v>212</v>
      </c>
      <c r="F73" s="19" t="s">
        <v>35</v>
      </c>
      <c r="G73" s="18">
        <v>942698326.41000009</v>
      </c>
    </row>
    <row r="74" spans="1:7" ht="30">
      <c r="A74" s="27">
        <v>2012</v>
      </c>
      <c r="B74" s="27" t="s">
        <v>195</v>
      </c>
      <c r="C74" s="9" t="str">
        <f t="shared" si="1"/>
        <v>2012_Ghana</v>
      </c>
      <c r="D74" s="27" t="s">
        <v>86</v>
      </c>
      <c r="E74" s="10" t="s">
        <v>50</v>
      </c>
      <c r="F74" s="27" t="s">
        <v>41</v>
      </c>
      <c r="G74" s="47">
        <v>1112429755.6600001</v>
      </c>
    </row>
    <row r="75" spans="1:7" ht="30">
      <c r="A75" s="66">
        <v>2013</v>
      </c>
      <c r="B75" s="26" t="s">
        <v>195</v>
      </c>
      <c r="C75" s="9" t="str">
        <f t="shared" si="1"/>
        <v>2013_Ghana</v>
      </c>
      <c r="D75" s="67" t="s">
        <v>86</v>
      </c>
      <c r="E75" s="10" t="s">
        <v>50</v>
      </c>
      <c r="F75" t="s">
        <v>41</v>
      </c>
      <c r="G75" s="68">
        <v>1269116732.9300001</v>
      </c>
    </row>
    <row r="76" spans="1:7" ht="30">
      <c r="A76" s="70">
        <v>2010</v>
      </c>
      <c r="B76" s="71" t="s">
        <v>219</v>
      </c>
      <c r="C76" s="9" t="str">
        <f t="shared" si="1"/>
        <v>2010_Guatemala</v>
      </c>
      <c r="D76" s="69" t="s">
        <v>220</v>
      </c>
      <c r="E76" s="72" t="s">
        <v>117</v>
      </c>
      <c r="F76" s="72" t="s">
        <v>35</v>
      </c>
      <c r="G76" s="73">
        <v>155800631</v>
      </c>
    </row>
    <row r="77" spans="1:7" ht="30">
      <c r="A77" s="70">
        <v>2011</v>
      </c>
      <c r="B77" s="71" t="s">
        <v>219</v>
      </c>
      <c r="C77" s="9" t="str">
        <f t="shared" si="1"/>
        <v>2011_Guatemala</v>
      </c>
      <c r="D77" s="69" t="s">
        <v>220</v>
      </c>
      <c r="E77" s="72" t="s">
        <v>145</v>
      </c>
      <c r="F77" s="72" t="s">
        <v>35</v>
      </c>
      <c r="G77" s="73">
        <v>224641623</v>
      </c>
    </row>
    <row r="78" spans="1:7">
      <c r="A78" s="12">
        <v>2005</v>
      </c>
      <c r="B78" s="22" t="s">
        <v>225</v>
      </c>
      <c r="C78" s="9" t="str">
        <f t="shared" si="1"/>
        <v xml:space="preserve">2005_Guinea </v>
      </c>
      <c r="D78" s="21" t="s">
        <v>86</v>
      </c>
      <c r="E78" s="63" t="s">
        <v>64</v>
      </c>
      <c r="F78" s="22" t="s">
        <v>24</v>
      </c>
      <c r="G78" s="18">
        <v>138153403</v>
      </c>
    </row>
    <row r="79" spans="1:7" ht="30">
      <c r="A79" s="12">
        <v>2006</v>
      </c>
      <c r="B79" s="22" t="s">
        <v>225</v>
      </c>
      <c r="C79" s="9" t="str">
        <f t="shared" si="1"/>
        <v xml:space="preserve">2006_Guinea </v>
      </c>
      <c r="D79" s="21" t="s">
        <v>86</v>
      </c>
      <c r="E79" s="19" t="s">
        <v>228</v>
      </c>
      <c r="F79" s="22" t="s">
        <v>24</v>
      </c>
      <c r="G79" s="20">
        <v>129435000</v>
      </c>
    </row>
    <row r="80" spans="1:7" ht="30">
      <c r="A80" s="12">
        <v>2007</v>
      </c>
      <c r="B80" s="22" t="s">
        <v>225</v>
      </c>
      <c r="C80" s="9" t="str">
        <f t="shared" si="1"/>
        <v xml:space="preserve">2007_Guinea </v>
      </c>
      <c r="D80" s="21" t="s">
        <v>86</v>
      </c>
      <c r="E80" s="19" t="s">
        <v>23</v>
      </c>
      <c r="F80" s="22" t="s">
        <v>24</v>
      </c>
      <c r="G80" s="76">
        <v>171775146.47727105</v>
      </c>
    </row>
    <row r="81" spans="1:7" ht="30">
      <c r="A81" s="12">
        <v>2008</v>
      </c>
      <c r="B81" s="22" t="s">
        <v>225</v>
      </c>
      <c r="C81" s="9" t="str">
        <f t="shared" si="1"/>
        <v xml:space="preserve">2008_Guinea </v>
      </c>
      <c r="D81" s="21" t="s">
        <v>86</v>
      </c>
      <c r="E81" s="19" t="s">
        <v>23</v>
      </c>
      <c r="F81" s="22" t="s">
        <v>24</v>
      </c>
      <c r="G81" s="76">
        <v>211216758.63145587</v>
      </c>
    </row>
    <row r="82" spans="1:7" ht="30">
      <c r="A82" s="12">
        <v>2009</v>
      </c>
      <c r="B82" s="22" t="s">
        <v>225</v>
      </c>
      <c r="C82" s="9" t="str">
        <f t="shared" si="1"/>
        <v xml:space="preserve">2009_Guinea </v>
      </c>
      <c r="D82" s="21" t="s">
        <v>86</v>
      </c>
      <c r="E82" s="19" t="s">
        <v>23</v>
      </c>
      <c r="F82" s="22" t="s">
        <v>24</v>
      </c>
      <c r="G82" s="20">
        <v>204355820.14115614</v>
      </c>
    </row>
    <row r="83" spans="1:7" ht="30">
      <c r="A83" s="12">
        <v>2010</v>
      </c>
      <c r="B83" s="22" t="s">
        <v>225</v>
      </c>
      <c r="C83" s="9" t="str">
        <f t="shared" si="1"/>
        <v xml:space="preserve">2010_Guinea </v>
      </c>
      <c r="D83" s="21" t="s">
        <v>86</v>
      </c>
      <c r="E83" s="19" t="s">
        <v>23</v>
      </c>
      <c r="F83" s="22" t="s">
        <v>24</v>
      </c>
      <c r="G83" s="20">
        <v>218560221.14787036</v>
      </c>
    </row>
    <row r="84" spans="1:7" ht="30">
      <c r="A84" s="12">
        <v>2011</v>
      </c>
      <c r="B84" s="22" t="s">
        <v>225</v>
      </c>
      <c r="C84" s="9" t="str">
        <f t="shared" si="1"/>
        <v xml:space="preserve">2011_Guinea </v>
      </c>
      <c r="D84" s="21" t="s">
        <v>86</v>
      </c>
      <c r="E84" s="19" t="s">
        <v>95</v>
      </c>
      <c r="F84" s="22" t="s">
        <v>24</v>
      </c>
      <c r="G84" s="77">
        <v>975948622.49588823</v>
      </c>
    </row>
    <row r="85" spans="1:7" ht="30">
      <c r="A85" s="12">
        <v>2012</v>
      </c>
      <c r="B85" s="22" t="s">
        <v>225</v>
      </c>
      <c r="C85" s="9" t="str">
        <f t="shared" si="1"/>
        <v xml:space="preserve">2012_Guinea </v>
      </c>
      <c r="D85" s="21" t="s">
        <v>86</v>
      </c>
      <c r="E85" s="19" t="s">
        <v>95</v>
      </c>
      <c r="F85" s="22" t="s">
        <v>24</v>
      </c>
      <c r="G85" s="48">
        <v>371466405.82975137</v>
      </c>
    </row>
    <row r="86" spans="1:7" ht="30">
      <c r="A86" s="12">
        <v>2009</v>
      </c>
      <c r="B86" s="22" t="s">
        <v>243</v>
      </c>
      <c r="C86" s="9" t="str">
        <f t="shared" si="1"/>
        <v>2009_Indonesia</v>
      </c>
      <c r="D86" s="21" t="s">
        <v>244</v>
      </c>
      <c r="E86" s="63" t="s">
        <v>145</v>
      </c>
      <c r="F86" s="19" t="s">
        <v>35</v>
      </c>
      <c r="G86" s="44">
        <v>24925055610</v>
      </c>
    </row>
    <row r="87" spans="1:7" ht="30">
      <c r="A87" s="12">
        <v>2010</v>
      </c>
      <c r="B87" s="22" t="s">
        <v>243</v>
      </c>
      <c r="C87" s="9" t="str">
        <f t="shared" si="1"/>
        <v>2010_Indonesia</v>
      </c>
      <c r="D87" s="21" t="s">
        <v>244</v>
      </c>
      <c r="E87" s="63" t="s">
        <v>247</v>
      </c>
      <c r="F87" s="19" t="s">
        <v>35</v>
      </c>
      <c r="G87" s="38">
        <v>32949795856</v>
      </c>
    </row>
    <row r="88" spans="1:7" ht="30">
      <c r="A88" s="12">
        <v>2011</v>
      </c>
      <c r="B88" s="22" t="s">
        <v>243</v>
      </c>
      <c r="C88" s="9" t="str">
        <f t="shared" si="1"/>
        <v>2011_Indonesia</v>
      </c>
      <c r="D88" s="21" t="s">
        <v>244</v>
      </c>
      <c r="E88" s="63" t="s">
        <v>247</v>
      </c>
      <c r="F88" s="19" t="s">
        <v>35</v>
      </c>
      <c r="G88" s="38">
        <v>44779611925</v>
      </c>
    </row>
    <row r="89" spans="1:7">
      <c r="A89" s="12">
        <v>2009</v>
      </c>
      <c r="B89" s="22" t="s">
        <v>251</v>
      </c>
      <c r="C89" s="9" t="str">
        <f t="shared" si="1"/>
        <v>2009_Iraq</v>
      </c>
      <c r="D89" s="21" t="s">
        <v>252</v>
      </c>
      <c r="E89" s="63" t="s">
        <v>253</v>
      </c>
      <c r="F89" s="22" t="s">
        <v>103</v>
      </c>
      <c r="G89" s="18">
        <v>41249682456.5</v>
      </c>
    </row>
    <row r="90" spans="1:7">
      <c r="A90" s="12">
        <v>2010</v>
      </c>
      <c r="B90" s="22" t="s">
        <v>251</v>
      </c>
      <c r="C90" s="9" t="str">
        <f t="shared" si="1"/>
        <v>2010_Iraq</v>
      </c>
      <c r="D90" s="21" t="s">
        <v>252</v>
      </c>
      <c r="E90" s="63" t="s">
        <v>44</v>
      </c>
      <c r="F90" s="22" t="s">
        <v>103</v>
      </c>
      <c r="G90" s="44">
        <v>53852645106.349998</v>
      </c>
    </row>
    <row r="91" spans="1:7">
      <c r="A91" s="12">
        <v>2011</v>
      </c>
      <c r="B91" s="22" t="s">
        <v>251</v>
      </c>
      <c r="C91" s="9" t="str">
        <f t="shared" si="1"/>
        <v>2011_Iraq</v>
      </c>
      <c r="D91" s="21" t="s">
        <v>252</v>
      </c>
      <c r="E91" s="63" t="s">
        <v>95</v>
      </c>
      <c r="F91" s="22" t="s">
        <v>103</v>
      </c>
      <c r="G91" s="38">
        <v>82986002828</v>
      </c>
    </row>
    <row r="92" spans="1:7" ht="30">
      <c r="A92" s="46">
        <v>2012</v>
      </c>
      <c r="B92" s="45" t="s">
        <v>251</v>
      </c>
      <c r="C92" s="9" t="str">
        <f t="shared" si="1"/>
        <v>2012_Iraq</v>
      </c>
      <c r="D92" s="45" t="s">
        <v>252</v>
      </c>
      <c r="E92" s="10" t="s">
        <v>50</v>
      </c>
      <c r="F92" s="45" t="s">
        <v>103</v>
      </c>
      <c r="G92" s="60">
        <v>94032633453</v>
      </c>
    </row>
    <row r="93" spans="1:7">
      <c r="A93" s="12">
        <v>2005</v>
      </c>
      <c r="B93" s="22" t="s">
        <v>262</v>
      </c>
      <c r="C93" s="9" t="str">
        <f t="shared" si="1"/>
        <v>2005_Kazakhastan</v>
      </c>
      <c r="D93" s="21" t="s">
        <v>39</v>
      </c>
      <c r="E93" s="63" t="s">
        <v>263</v>
      </c>
      <c r="F93" s="22" t="s">
        <v>103</v>
      </c>
      <c r="G93" s="38">
        <v>2622996991</v>
      </c>
    </row>
    <row r="94" spans="1:7">
      <c r="A94" s="12">
        <v>2006</v>
      </c>
      <c r="B94" s="22" t="s">
        <v>262</v>
      </c>
      <c r="C94" s="9" t="str">
        <f t="shared" si="1"/>
        <v>2006_Kazakhastan</v>
      </c>
      <c r="D94" s="21" t="s">
        <v>39</v>
      </c>
      <c r="E94" s="63" t="s">
        <v>267</v>
      </c>
      <c r="F94" s="22" t="s">
        <v>55</v>
      </c>
      <c r="G94" s="38">
        <v>10237431640</v>
      </c>
    </row>
    <row r="95" spans="1:7">
      <c r="A95" s="12">
        <v>2007</v>
      </c>
      <c r="B95" s="22" t="s">
        <v>262</v>
      </c>
      <c r="C95" s="9" t="str">
        <f t="shared" si="1"/>
        <v>2007_Kazakhastan</v>
      </c>
      <c r="D95" s="21" t="s">
        <v>39</v>
      </c>
      <c r="E95" s="63" t="s">
        <v>73</v>
      </c>
      <c r="F95" s="22" t="s">
        <v>55</v>
      </c>
      <c r="G95" s="80">
        <v>12635329400</v>
      </c>
    </row>
    <row r="96" spans="1:7">
      <c r="A96" s="12">
        <v>2008</v>
      </c>
      <c r="B96" s="22" t="s">
        <v>262</v>
      </c>
      <c r="C96" s="9" t="str">
        <f t="shared" si="1"/>
        <v>2008_Kazakhastan</v>
      </c>
      <c r="D96" s="21" t="s">
        <v>39</v>
      </c>
      <c r="E96" s="63" t="s">
        <v>73</v>
      </c>
      <c r="F96" s="22" t="s">
        <v>55</v>
      </c>
      <c r="G96" s="80">
        <v>21000131830</v>
      </c>
    </row>
    <row r="97" spans="1:7">
      <c r="A97" s="12">
        <v>2009</v>
      </c>
      <c r="B97" s="22" t="s">
        <v>262</v>
      </c>
      <c r="C97" s="9" t="str">
        <f t="shared" si="1"/>
        <v>2009_Kazakhastan</v>
      </c>
      <c r="D97" s="21" t="s">
        <v>39</v>
      </c>
      <c r="E97" s="63" t="s">
        <v>76</v>
      </c>
      <c r="F97" s="22" t="s">
        <v>35</v>
      </c>
      <c r="G97" s="18">
        <v>12722411270</v>
      </c>
    </row>
    <row r="98" spans="1:7">
      <c r="A98" s="12">
        <v>2010</v>
      </c>
      <c r="B98" s="22" t="s">
        <v>262</v>
      </c>
      <c r="C98" s="9" t="str">
        <f t="shared" si="1"/>
        <v>2010_Kazakhastan</v>
      </c>
      <c r="D98" s="21" t="s">
        <v>39</v>
      </c>
      <c r="E98" s="63" t="s">
        <v>44</v>
      </c>
      <c r="F98" s="22" t="s">
        <v>35</v>
      </c>
      <c r="G98" s="38">
        <v>20754211560</v>
      </c>
    </row>
    <row r="99" spans="1:7">
      <c r="A99" s="12">
        <v>2011</v>
      </c>
      <c r="B99" s="22" t="s">
        <v>262</v>
      </c>
      <c r="C99" s="9" t="str">
        <f t="shared" si="1"/>
        <v>2011_Kazakhastan</v>
      </c>
      <c r="D99" s="21" t="s">
        <v>39</v>
      </c>
      <c r="E99" s="63" t="s">
        <v>44</v>
      </c>
      <c r="F99" s="22" t="s">
        <v>35</v>
      </c>
      <c r="G99" s="80">
        <v>28779202170</v>
      </c>
    </row>
    <row r="100" spans="1:7" ht="60">
      <c r="A100" s="27">
        <v>2012</v>
      </c>
      <c r="B100" s="27" t="s">
        <v>280</v>
      </c>
      <c r="C100" s="9" t="str">
        <f t="shared" si="1"/>
        <v>2012_Kazakhstan</v>
      </c>
      <c r="D100" s="27" t="s">
        <v>39</v>
      </c>
      <c r="E100" s="10" t="s">
        <v>50</v>
      </c>
      <c r="F100" s="27" t="s">
        <v>35</v>
      </c>
      <c r="G100" s="60">
        <v>30672394366</v>
      </c>
    </row>
    <row r="101" spans="1:7" ht="60">
      <c r="A101" s="27">
        <v>2013</v>
      </c>
      <c r="B101" s="27" t="s">
        <v>280</v>
      </c>
      <c r="C101" s="9" t="str">
        <f t="shared" si="1"/>
        <v>2013_Kazakhstan</v>
      </c>
      <c r="D101" s="27" t="s">
        <v>39</v>
      </c>
      <c r="E101" s="10" t="s">
        <v>50</v>
      </c>
      <c r="F101" s="27" t="s">
        <v>35</v>
      </c>
      <c r="G101" s="82">
        <v>30773721236</v>
      </c>
    </row>
    <row r="102" spans="1:7">
      <c r="A102" s="12">
        <v>2004</v>
      </c>
      <c r="B102" s="22" t="s">
        <v>285</v>
      </c>
      <c r="C102" s="9" t="str">
        <f t="shared" si="1"/>
        <v>2004_Kyrgyz Republic</v>
      </c>
      <c r="D102" s="21" t="s">
        <v>39</v>
      </c>
      <c r="E102" s="63" t="s">
        <v>172</v>
      </c>
      <c r="F102" s="22" t="s">
        <v>24</v>
      </c>
      <c r="G102" s="38">
        <v>30473246</v>
      </c>
    </row>
    <row r="103" spans="1:7">
      <c r="A103" s="12">
        <v>2005</v>
      </c>
      <c r="B103" s="22" t="s">
        <v>285</v>
      </c>
      <c r="C103" s="9" t="str">
        <f t="shared" si="1"/>
        <v>2005_Kyrgyz Republic</v>
      </c>
      <c r="D103" s="21" t="s">
        <v>39</v>
      </c>
      <c r="E103" s="63" t="s">
        <v>172</v>
      </c>
      <c r="F103" s="22" t="s">
        <v>24</v>
      </c>
      <c r="G103" s="38">
        <v>29106335</v>
      </c>
    </row>
    <row r="104" spans="1:7">
      <c r="A104" s="12">
        <v>2006</v>
      </c>
      <c r="B104" s="22" t="s">
        <v>285</v>
      </c>
      <c r="C104" s="9" t="str">
        <f t="shared" si="1"/>
        <v>2006_Kyrgyz Republic</v>
      </c>
      <c r="D104" s="21" t="s">
        <v>39</v>
      </c>
      <c r="E104" s="63" t="s">
        <v>172</v>
      </c>
      <c r="F104" s="22" t="s">
        <v>24</v>
      </c>
      <c r="G104" s="38">
        <v>26120301</v>
      </c>
    </row>
    <row r="105" spans="1:7">
      <c r="A105" s="12">
        <v>2007</v>
      </c>
      <c r="B105" s="22" t="s">
        <v>285</v>
      </c>
      <c r="C105" s="9" t="str">
        <f t="shared" si="1"/>
        <v>2007_Kyrgyz Republic</v>
      </c>
      <c r="D105" s="21" t="s">
        <v>39</v>
      </c>
      <c r="E105" s="63" t="s">
        <v>172</v>
      </c>
      <c r="F105" s="22" t="s">
        <v>24</v>
      </c>
      <c r="G105" s="38">
        <v>28210188</v>
      </c>
    </row>
    <row r="106" spans="1:7">
      <c r="A106" s="12">
        <v>2008</v>
      </c>
      <c r="B106" s="22" t="s">
        <v>285</v>
      </c>
      <c r="C106" s="9" t="str">
        <f t="shared" si="1"/>
        <v>2008_Kyrgyz Republic</v>
      </c>
      <c r="D106" s="21" t="s">
        <v>39</v>
      </c>
      <c r="E106" s="63" t="s">
        <v>172</v>
      </c>
      <c r="F106" s="22" t="s">
        <v>35</v>
      </c>
      <c r="G106" s="18">
        <v>72855334</v>
      </c>
    </row>
    <row r="107" spans="1:7">
      <c r="A107" s="12">
        <v>2009</v>
      </c>
      <c r="B107" s="22" t="s">
        <v>285</v>
      </c>
      <c r="C107" s="9" t="str">
        <f t="shared" si="1"/>
        <v>2009_Kyrgyz Republic</v>
      </c>
      <c r="D107" s="21" t="s">
        <v>39</v>
      </c>
      <c r="E107" s="63" t="s">
        <v>292</v>
      </c>
      <c r="F107" s="22" t="s">
        <v>35</v>
      </c>
      <c r="G107" s="18">
        <v>96148291</v>
      </c>
    </row>
    <row r="108" spans="1:7">
      <c r="A108" s="12">
        <v>2010</v>
      </c>
      <c r="B108" s="22" t="s">
        <v>285</v>
      </c>
      <c r="C108" s="9" t="str">
        <f t="shared" si="1"/>
        <v>2010_Kyrgyz Republic</v>
      </c>
      <c r="D108" s="21" t="s">
        <v>39</v>
      </c>
      <c r="E108" s="63" t="s">
        <v>44</v>
      </c>
      <c r="F108" s="22" t="s">
        <v>35</v>
      </c>
      <c r="G108" s="38">
        <v>143976791</v>
      </c>
    </row>
    <row r="109" spans="1:7">
      <c r="A109" s="12">
        <v>2011</v>
      </c>
      <c r="B109" s="22" t="s">
        <v>285</v>
      </c>
      <c r="C109" s="9" t="str">
        <f t="shared" si="1"/>
        <v>2011_Kyrgyz Republic</v>
      </c>
      <c r="D109" s="21" t="s">
        <v>39</v>
      </c>
      <c r="E109" s="63" t="s">
        <v>44</v>
      </c>
      <c r="F109" s="22" t="s">
        <v>35</v>
      </c>
      <c r="G109" s="38">
        <v>246173059</v>
      </c>
    </row>
    <row r="110" spans="1:7">
      <c r="A110" s="12">
        <v>2012</v>
      </c>
      <c r="B110" s="22" t="s">
        <v>285</v>
      </c>
      <c r="C110" s="9" t="str">
        <f t="shared" si="1"/>
        <v>2012_Kyrgyz Republic</v>
      </c>
      <c r="D110" s="21" t="s">
        <v>39</v>
      </c>
      <c r="E110" s="63" t="s">
        <v>298</v>
      </c>
      <c r="F110" s="22" t="s">
        <v>35</v>
      </c>
      <c r="G110" s="18">
        <v>217306922</v>
      </c>
    </row>
    <row r="111" spans="1:7">
      <c r="A111" s="12">
        <v>2008</v>
      </c>
      <c r="B111" s="22" t="s">
        <v>301</v>
      </c>
      <c r="C111" s="9" t="str">
        <f t="shared" si="1"/>
        <v>2008_Liberia</v>
      </c>
      <c r="D111" s="21" t="s">
        <v>86</v>
      </c>
      <c r="E111" s="63" t="s">
        <v>302</v>
      </c>
      <c r="F111" s="22" t="s">
        <v>303</v>
      </c>
      <c r="G111" s="53">
        <v>29450878.977873351</v>
      </c>
    </row>
    <row r="112" spans="1:7">
      <c r="A112" s="12">
        <v>2009</v>
      </c>
      <c r="B112" s="22" t="s">
        <v>301</v>
      </c>
      <c r="C112" s="9" t="str">
        <f t="shared" si="1"/>
        <v>2009_Liberia</v>
      </c>
      <c r="D112" s="21" t="s">
        <v>86</v>
      </c>
      <c r="E112" s="63" t="s">
        <v>154</v>
      </c>
      <c r="F112" s="22" t="s">
        <v>306</v>
      </c>
      <c r="G112" s="53">
        <v>35425230</v>
      </c>
    </row>
    <row r="113" spans="1:7">
      <c r="A113" s="12">
        <v>2010</v>
      </c>
      <c r="B113" s="22" t="s">
        <v>301</v>
      </c>
      <c r="C113" s="9" t="str">
        <f t="shared" si="1"/>
        <v>2010_Liberia</v>
      </c>
      <c r="D113" s="21" t="s">
        <v>86</v>
      </c>
      <c r="E113" s="63" t="s">
        <v>309</v>
      </c>
      <c r="F113" s="22" t="s">
        <v>306</v>
      </c>
      <c r="G113" s="53">
        <v>71896113</v>
      </c>
    </row>
    <row r="114" spans="1:7">
      <c r="A114" s="12">
        <v>2011</v>
      </c>
      <c r="B114" s="22" t="s">
        <v>301</v>
      </c>
      <c r="C114" s="9" t="str">
        <f t="shared" si="1"/>
        <v>2011_Liberia</v>
      </c>
      <c r="D114" s="21" t="s">
        <v>86</v>
      </c>
      <c r="E114" s="63" t="s">
        <v>145</v>
      </c>
      <c r="F114" s="22" t="s">
        <v>306</v>
      </c>
      <c r="G114" s="53">
        <v>102802566.91</v>
      </c>
    </row>
    <row r="115" spans="1:7">
      <c r="A115" s="12">
        <v>2012</v>
      </c>
      <c r="B115" s="22" t="s">
        <v>301</v>
      </c>
      <c r="C115" s="9" t="str">
        <f t="shared" si="1"/>
        <v>2012_Liberia</v>
      </c>
      <c r="D115" s="21" t="s">
        <v>86</v>
      </c>
      <c r="E115" s="63" t="s">
        <v>47</v>
      </c>
      <c r="F115" s="22" t="s">
        <v>306</v>
      </c>
      <c r="G115" s="53">
        <v>110146657</v>
      </c>
    </row>
    <row r="116" spans="1:7">
      <c r="A116" s="70">
        <v>2007</v>
      </c>
      <c r="B116" s="71" t="s">
        <v>316</v>
      </c>
      <c r="C116" s="9" t="str">
        <f t="shared" si="1"/>
        <v>2007_Madagascar</v>
      </c>
      <c r="D116" s="69" t="s">
        <v>86</v>
      </c>
      <c r="E116" s="72" t="s">
        <v>76</v>
      </c>
      <c r="F116" s="71" t="s">
        <v>24</v>
      </c>
      <c r="G116" s="73">
        <v>48300000</v>
      </c>
    </row>
    <row r="117" spans="1:7">
      <c r="A117" s="70">
        <v>2008</v>
      </c>
      <c r="B117" s="71" t="s">
        <v>316</v>
      </c>
      <c r="C117" s="9" t="str">
        <f t="shared" si="1"/>
        <v>2008_Madagascar</v>
      </c>
      <c r="D117" s="69" t="s">
        <v>86</v>
      </c>
      <c r="E117" s="72" t="s">
        <v>76</v>
      </c>
      <c r="F117" s="71" t="s">
        <v>24</v>
      </c>
      <c r="G117" s="73">
        <v>55300000</v>
      </c>
    </row>
    <row r="118" spans="1:7">
      <c r="A118" s="70">
        <v>2009</v>
      </c>
      <c r="B118" s="71" t="s">
        <v>316</v>
      </c>
      <c r="C118" s="9" t="str">
        <f t="shared" si="1"/>
        <v>2009_Madagascar</v>
      </c>
      <c r="D118" s="69" t="s">
        <v>86</v>
      </c>
      <c r="E118" s="72" t="s">
        <v>76</v>
      </c>
      <c r="F118" s="71" t="s">
        <v>24</v>
      </c>
      <c r="G118" s="73">
        <v>20900000</v>
      </c>
    </row>
    <row r="119" spans="1:7" ht="30">
      <c r="A119" s="12">
        <v>2010</v>
      </c>
      <c r="B119" s="22" t="s">
        <v>316</v>
      </c>
      <c r="C119" s="9" t="str">
        <f t="shared" si="1"/>
        <v>2010_Madagascar</v>
      </c>
      <c r="D119" s="21" t="s">
        <v>86</v>
      </c>
      <c r="E119" s="19" t="s">
        <v>323</v>
      </c>
      <c r="F119" s="22" t="s">
        <v>35</v>
      </c>
      <c r="G119" s="38">
        <v>160705175.41774061</v>
      </c>
    </row>
    <row r="120" spans="1:7" ht="30">
      <c r="A120" s="12">
        <v>2011</v>
      </c>
      <c r="B120" s="22" t="s">
        <v>316</v>
      </c>
      <c r="C120" s="9" t="str">
        <f t="shared" si="1"/>
        <v>2011_Madagascar</v>
      </c>
      <c r="D120" s="21" t="s">
        <v>86</v>
      </c>
      <c r="E120" s="19" t="s">
        <v>326</v>
      </c>
      <c r="F120" s="22" t="s">
        <v>35</v>
      </c>
      <c r="G120" s="44">
        <v>87349503.051701158</v>
      </c>
    </row>
    <row r="121" spans="1:7" ht="30">
      <c r="A121" s="34">
        <v>2006</v>
      </c>
      <c r="B121" s="36" t="s">
        <v>329</v>
      </c>
      <c r="C121" s="9" t="str">
        <f t="shared" si="1"/>
        <v>2006_Mali</v>
      </c>
      <c r="D121" s="33" t="s">
        <v>86</v>
      </c>
      <c r="E121" s="35" t="s">
        <v>172</v>
      </c>
      <c r="F121" s="35" t="s">
        <v>24</v>
      </c>
      <c r="G121" s="62">
        <v>221333358.83264166</v>
      </c>
    </row>
    <row r="122" spans="1:7">
      <c r="A122" s="34">
        <v>2007</v>
      </c>
      <c r="B122" s="36" t="s">
        <v>329</v>
      </c>
      <c r="C122" s="9" t="str">
        <f t="shared" si="1"/>
        <v>2007_Mali</v>
      </c>
      <c r="D122" s="33" t="s">
        <v>86</v>
      </c>
      <c r="E122" s="35" t="s">
        <v>76</v>
      </c>
      <c r="F122" s="35" t="s">
        <v>24</v>
      </c>
      <c r="G122" s="84">
        <v>283774774.17844975</v>
      </c>
    </row>
    <row r="123" spans="1:7">
      <c r="A123" s="34">
        <v>2008</v>
      </c>
      <c r="B123" s="36" t="s">
        <v>329</v>
      </c>
      <c r="C123" s="9" t="str">
        <f t="shared" si="1"/>
        <v>2008_Mali</v>
      </c>
      <c r="D123" s="33" t="s">
        <v>86</v>
      </c>
      <c r="E123" s="35" t="s">
        <v>76</v>
      </c>
      <c r="F123" s="35" t="s">
        <v>24</v>
      </c>
      <c r="G123" s="84">
        <v>281237313.39930284</v>
      </c>
    </row>
    <row r="124" spans="1:7" ht="30">
      <c r="A124" s="12">
        <v>2009</v>
      </c>
      <c r="B124" s="22" t="s">
        <v>329</v>
      </c>
      <c r="C124" s="9" t="str">
        <f t="shared" si="1"/>
        <v>2009_Mali</v>
      </c>
      <c r="D124" s="21" t="s">
        <v>86</v>
      </c>
      <c r="E124" s="19" t="s">
        <v>253</v>
      </c>
      <c r="F124" s="19" t="s">
        <v>336</v>
      </c>
      <c r="G124" s="38">
        <v>380403587.30837423</v>
      </c>
    </row>
    <row r="125" spans="1:7" ht="30">
      <c r="A125" s="12">
        <v>2010</v>
      </c>
      <c r="B125" s="22" t="s">
        <v>329</v>
      </c>
      <c r="C125" s="9" t="str">
        <f t="shared" si="1"/>
        <v>2010_Mali</v>
      </c>
      <c r="D125" s="21" t="s">
        <v>86</v>
      </c>
      <c r="E125" s="19" t="s">
        <v>44</v>
      </c>
      <c r="F125" s="19" t="s">
        <v>24</v>
      </c>
      <c r="G125" s="18">
        <v>346547621.39714646</v>
      </c>
    </row>
    <row r="126" spans="1:7" ht="30">
      <c r="A126" s="12">
        <v>2011</v>
      </c>
      <c r="B126" s="22" t="s">
        <v>329</v>
      </c>
      <c r="C126" s="9" t="str">
        <f t="shared" si="1"/>
        <v>2011_Mali</v>
      </c>
      <c r="D126" s="21" t="s">
        <v>86</v>
      </c>
      <c r="E126" s="19" t="s">
        <v>95</v>
      </c>
      <c r="F126" s="19" t="s">
        <v>24</v>
      </c>
      <c r="G126" s="18">
        <v>425193486.59834021</v>
      </c>
    </row>
    <row r="127" spans="1:7" ht="30">
      <c r="A127" s="27">
        <v>2012</v>
      </c>
      <c r="B127" s="27" t="s">
        <v>329</v>
      </c>
      <c r="C127" s="9" t="str">
        <f t="shared" si="1"/>
        <v>2012_Mali</v>
      </c>
      <c r="D127" s="27" t="s">
        <v>86</v>
      </c>
      <c r="E127" s="10" t="s">
        <v>50</v>
      </c>
      <c r="F127" s="27" t="s">
        <v>24</v>
      </c>
      <c r="G127" s="60">
        <v>481528351</v>
      </c>
    </row>
    <row r="128" spans="1:7" ht="30">
      <c r="A128" s="34">
        <v>2005</v>
      </c>
      <c r="B128" s="36" t="s">
        <v>345</v>
      </c>
      <c r="C128" s="9" t="str">
        <f t="shared" si="1"/>
        <v>2005_Mauritania</v>
      </c>
      <c r="D128" s="33" t="s">
        <v>86</v>
      </c>
      <c r="E128" s="35" t="s">
        <v>109</v>
      </c>
      <c r="F128" s="35" t="s">
        <v>35</v>
      </c>
      <c r="G128" s="84">
        <v>29636377.094866872</v>
      </c>
    </row>
    <row r="129" spans="1:7" ht="30">
      <c r="A129" s="34">
        <v>2006</v>
      </c>
      <c r="B129" s="36" t="s">
        <v>345</v>
      </c>
      <c r="C129" s="9" t="str">
        <f t="shared" si="1"/>
        <v>2006_Mauritania</v>
      </c>
      <c r="D129" s="33" t="s">
        <v>86</v>
      </c>
      <c r="E129" s="35" t="s">
        <v>348</v>
      </c>
      <c r="F129" s="35" t="s">
        <v>35</v>
      </c>
      <c r="G129" s="62">
        <v>280165029.78406549</v>
      </c>
    </row>
    <row r="130" spans="1:7" ht="30">
      <c r="A130" s="34">
        <v>2007</v>
      </c>
      <c r="B130" s="36" t="s">
        <v>345</v>
      </c>
      <c r="C130" s="9" t="str">
        <f t="shared" si="1"/>
        <v>2007_Mauritania</v>
      </c>
      <c r="D130" s="33" t="s">
        <v>86</v>
      </c>
      <c r="E130" s="35" t="s">
        <v>351</v>
      </c>
      <c r="F130" s="35" t="s">
        <v>41</v>
      </c>
      <c r="G130" s="84">
        <v>175753291.2240898</v>
      </c>
    </row>
    <row r="131" spans="1:7" ht="30">
      <c r="A131" s="34">
        <v>2008</v>
      </c>
      <c r="B131" s="36" t="s">
        <v>345</v>
      </c>
      <c r="C131" s="9" t="str">
        <f t="shared" ref="C131:C194" si="2">$A131&amp;"_"&amp;$B131</f>
        <v>2008_Mauritania</v>
      </c>
      <c r="D131" s="33" t="s">
        <v>86</v>
      </c>
      <c r="E131" s="35" t="s">
        <v>351</v>
      </c>
      <c r="F131" s="35" t="s">
        <v>41</v>
      </c>
      <c r="G131" s="84">
        <v>231365651.58618</v>
      </c>
    </row>
    <row r="132" spans="1:7" ht="30">
      <c r="A132" s="12">
        <v>2009</v>
      </c>
      <c r="B132" s="22" t="s">
        <v>345</v>
      </c>
      <c r="C132" s="9" t="str">
        <f t="shared" si="2"/>
        <v>2009_Mauritania</v>
      </c>
      <c r="D132" s="21" t="s">
        <v>86</v>
      </c>
      <c r="E132" s="19" t="s">
        <v>355</v>
      </c>
      <c r="F132" s="19" t="s">
        <v>41</v>
      </c>
      <c r="G132" s="18">
        <v>191165715.06295663</v>
      </c>
    </row>
    <row r="133" spans="1:7" ht="30">
      <c r="A133" s="12">
        <v>2010</v>
      </c>
      <c r="B133" s="22" t="s">
        <v>345</v>
      </c>
      <c r="C133" s="9" t="str">
        <f t="shared" si="2"/>
        <v>2010_Mauritania</v>
      </c>
      <c r="D133" s="21" t="s">
        <v>86</v>
      </c>
      <c r="E133" s="19" t="s">
        <v>82</v>
      </c>
      <c r="F133" s="19" t="s">
        <v>35</v>
      </c>
      <c r="G133" s="38">
        <v>270018612.99116182</v>
      </c>
    </row>
    <row r="134" spans="1:7" ht="30">
      <c r="A134" s="12">
        <v>2011</v>
      </c>
      <c r="B134" s="22" t="s">
        <v>345</v>
      </c>
      <c r="C134" s="9" t="str">
        <f t="shared" si="2"/>
        <v>2011_Mauritania</v>
      </c>
      <c r="D134" s="21" t="s">
        <v>86</v>
      </c>
      <c r="E134" s="19" t="s">
        <v>82</v>
      </c>
      <c r="F134" s="19" t="s">
        <v>35</v>
      </c>
      <c r="G134" s="38">
        <v>448018316.76552463</v>
      </c>
    </row>
    <row r="135" spans="1:7" ht="30">
      <c r="A135" s="27">
        <v>2012</v>
      </c>
      <c r="B135" s="27" t="s">
        <v>345</v>
      </c>
      <c r="C135" s="9" t="str">
        <f t="shared" si="2"/>
        <v>2012_Mauritania</v>
      </c>
      <c r="D135" s="27" t="s">
        <v>86</v>
      </c>
      <c r="E135" s="10" t="s">
        <v>50</v>
      </c>
      <c r="F135" s="27" t="s">
        <v>41</v>
      </c>
      <c r="G135" s="56">
        <v>472169395.82999998</v>
      </c>
    </row>
    <row r="136" spans="1:7" ht="30">
      <c r="A136" s="12">
        <v>2006</v>
      </c>
      <c r="B136" s="22" t="s">
        <v>364</v>
      </c>
      <c r="C136" s="9" t="str">
        <f t="shared" si="2"/>
        <v>2006_Mongolia</v>
      </c>
      <c r="D136" s="21" t="s">
        <v>244</v>
      </c>
      <c r="E136" s="63" t="s">
        <v>365</v>
      </c>
      <c r="F136" s="19" t="s">
        <v>41</v>
      </c>
      <c r="G136" s="56">
        <v>411987301.60000002</v>
      </c>
    </row>
    <row r="137" spans="1:7" ht="30">
      <c r="A137" s="12">
        <v>2007</v>
      </c>
      <c r="B137" s="22" t="s">
        <v>364</v>
      </c>
      <c r="C137" s="9" t="str">
        <f t="shared" si="2"/>
        <v>2007_Mongolia</v>
      </c>
      <c r="D137" s="21" t="s">
        <v>244</v>
      </c>
      <c r="E137" s="63" t="s">
        <v>368</v>
      </c>
      <c r="F137" s="19" t="s">
        <v>41</v>
      </c>
      <c r="G137" s="50">
        <v>640532901</v>
      </c>
    </row>
    <row r="138" spans="1:7" ht="30">
      <c r="A138" s="12">
        <v>2008</v>
      </c>
      <c r="B138" s="22" t="s">
        <v>364</v>
      </c>
      <c r="C138" s="9" t="str">
        <f t="shared" si="2"/>
        <v>2008_Mongolia</v>
      </c>
      <c r="D138" s="21" t="s">
        <v>244</v>
      </c>
      <c r="E138" s="63" t="s">
        <v>371</v>
      </c>
      <c r="F138" s="19" t="s">
        <v>41</v>
      </c>
      <c r="G138" s="50">
        <v>587942636</v>
      </c>
    </row>
    <row r="139" spans="1:7" ht="30">
      <c r="A139" s="12">
        <v>2009</v>
      </c>
      <c r="B139" s="22" t="s">
        <v>364</v>
      </c>
      <c r="C139" s="9" t="str">
        <f t="shared" si="2"/>
        <v>2009_Mongolia</v>
      </c>
      <c r="D139" s="21" t="s">
        <v>244</v>
      </c>
      <c r="E139" s="63" t="s">
        <v>76</v>
      </c>
      <c r="F139" s="19" t="s">
        <v>41</v>
      </c>
      <c r="G139" s="50">
        <v>512525992.42710215</v>
      </c>
    </row>
    <row r="140" spans="1:7" ht="30">
      <c r="A140" s="12">
        <v>2010</v>
      </c>
      <c r="B140" s="22" t="s">
        <v>364</v>
      </c>
      <c r="C140" s="9" t="str">
        <f t="shared" si="2"/>
        <v>2010_Mongolia</v>
      </c>
      <c r="D140" s="21" t="s">
        <v>244</v>
      </c>
      <c r="E140" s="63" t="s">
        <v>159</v>
      </c>
      <c r="F140" s="19" t="s">
        <v>41</v>
      </c>
      <c r="G140" s="76">
        <v>943183886</v>
      </c>
    </row>
    <row r="141" spans="1:7" ht="30">
      <c r="A141" s="12">
        <v>2011</v>
      </c>
      <c r="B141" s="22" t="s">
        <v>364</v>
      </c>
      <c r="C141" s="9" t="str">
        <f t="shared" si="2"/>
        <v>2011_Mongolia</v>
      </c>
      <c r="D141" s="21" t="s">
        <v>244</v>
      </c>
      <c r="E141" s="63" t="s">
        <v>378</v>
      </c>
      <c r="F141" s="19" t="s">
        <v>41</v>
      </c>
      <c r="G141" s="50">
        <v>1716796513</v>
      </c>
    </row>
    <row r="142" spans="1:7" ht="30">
      <c r="A142" s="12">
        <v>2012</v>
      </c>
      <c r="B142" s="22" t="s">
        <v>364</v>
      </c>
      <c r="C142" s="9" t="str">
        <f t="shared" si="2"/>
        <v>2012_Mongolia</v>
      </c>
      <c r="D142" s="21" t="s">
        <v>244</v>
      </c>
      <c r="E142" s="63" t="s">
        <v>180</v>
      </c>
      <c r="F142" s="19" t="s">
        <v>41</v>
      </c>
      <c r="G142" s="76">
        <v>1180619495</v>
      </c>
    </row>
    <row r="143" spans="1:7" ht="30">
      <c r="A143" s="66">
        <v>2013</v>
      </c>
      <c r="B143" s="67" t="s">
        <v>364</v>
      </c>
      <c r="C143" s="9" t="str">
        <f t="shared" si="2"/>
        <v>2013_Mongolia</v>
      </c>
      <c r="D143" s="67" t="s">
        <v>244</v>
      </c>
      <c r="E143" s="10" t="s">
        <v>50</v>
      </c>
      <c r="F143" s="67" t="s">
        <v>41</v>
      </c>
      <c r="G143" s="56">
        <v>1054895582.33</v>
      </c>
    </row>
    <row r="144" spans="1:7" ht="30">
      <c r="A144" s="12">
        <v>2008</v>
      </c>
      <c r="B144" s="22" t="s">
        <v>385</v>
      </c>
      <c r="C144" s="9" t="str">
        <f t="shared" si="2"/>
        <v>2008_Mozambique</v>
      </c>
      <c r="D144" s="21" t="s">
        <v>86</v>
      </c>
      <c r="E144" s="63" t="s">
        <v>309</v>
      </c>
      <c r="F144" s="19" t="s">
        <v>386</v>
      </c>
      <c r="G144" s="77">
        <v>25571802.530971412</v>
      </c>
    </row>
    <row r="145" spans="1:7" ht="30">
      <c r="A145" s="12">
        <v>2009</v>
      </c>
      <c r="B145" s="22" t="s">
        <v>385</v>
      </c>
      <c r="C145" s="9" t="str">
        <f t="shared" si="2"/>
        <v>2009_Mozambique</v>
      </c>
      <c r="D145" s="21" t="s">
        <v>86</v>
      </c>
      <c r="E145" s="63" t="s">
        <v>228</v>
      </c>
      <c r="F145" s="19" t="s">
        <v>35</v>
      </c>
      <c r="G145" s="77">
        <v>51049678.183363676</v>
      </c>
    </row>
    <row r="146" spans="1:7" ht="30">
      <c r="A146" s="12">
        <v>2011</v>
      </c>
      <c r="B146" s="22" t="s">
        <v>385</v>
      </c>
      <c r="C146" s="9" t="str">
        <f t="shared" si="2"/>
        <v>2011_Mozambique</v>
      </c>
      <c r="D146" s="21" t="s">
        <v>86</v>
      </c>
      <c r="E146" s="63" t="s">
        <v>150</v>
      </c>
      <c r="F146" s="19" t="s">
        <v>35</v>
      </c>
      <c r="G146" s="77">
        <v>115116240.28</v>
      </c>
    </row>
    <row r="147" spans="1:7" ht="30">
      <c r="A147" s="12">
        <v>2010</v>
      </c>
      <c r="B147" s="22" t="s">
        <v>385</v>
      </c>
      <c r="C147" s="9" t="str">
        <f t="shared" si="2"/>
        <v>2010_Mozambique</v>
      </c>
      <c r="D147" s="21" t="s">
        <v>86</v>
      </c>
      <c r="E147" s="63" t="s">
        <v>44</v>
      </c>
      <c r="F147" s="19" t="s">
        <v>35</v>
      </c>
      <c r="G147" s="77">
        <v>71555872.336879551</v>
      </c>
    </row>
    <row r="148" spans="1:7" ht="30">
      <c r="A148" s="34">
        <v>2005</v>
      </c>
      <c r="B148" s="36" t="s">
        <v>394</v>
      </c>
      <c r="C148" s="9" t="str">
        <f t="shared" si="2"/>
        <v>2005_Niger</v>
      </c>
      <c r="D148" s="33" t="s">
        <v>86</v>
      </c>
      <c r="E148" s="35" t="s">
        <v>395</v>
      </c>
      <c r="F148" s="35" t="s">
        <v>41</v>
      </c>
      <c r="G148" s="50">
        <v>14928853.70728069</v>
      </c>
    </row>
    <row r="149" spans="1:7" ht="30">
      <c r="A149" s="34">
        <v>2006</v>
      </c>
      <c r="B149" s="36" t="s">
        <v>394</v>
      </c>
      <c r="C149" s="9" t="str">
        <f t="shared" si="2"/>
        <v>2006_Niger</v>
      </c>
      <c r="D149" s="33" t="s">
        <v>86</v>
      </c>
      <c r="E149" s="35" t="s">
        <v>395</v>
      </c>
      <c r="F149" s="35" t="s">
        <v>41</v>
      </c>
      <c r="G149" s="56">
        <v>25063833.699167486</v>
      </c>
    </row>
    <row r="150" spans="1:7" ht="30">
      <c r="A150" s="34">
        <v>2007</v>
      </c>
      <c r="B150" s="36" t="s">
        <v>394</v>
      </c>
      <c r="C150" s="9" t="str">
        <f t="shared" si="2"/>
        <v>2007_Niger</v>
      </c>
      <c r="D150" s="33" t="s">
        <v>86</v>
      </c>
      <c r="E150" s="35" t="s">
        <v>400</v>
      </c>
      <c r="F150" s="35" t="s">
        <v>35</v>
      </c>
      <c r="G150" s="50">
        <v>147175593.54643524</v>
      </c>
    </row>
    <row r="151" spans="1:7" ht="30">
      <c r="A151" s="34">
        <v>2008</v>
      </c>
      <c r="B151" s="36" t="s">
        <v>394</v>
      </c>
      <c r="C151" s="9" t="str">
        <f t="shared" si="2"/>
        <v>2008_Niger</v>
      </c>
      <c r="D151" s="33" t="s">
        <v>86</v>
      </c>
      <c r="E151" s="35" t="s">
        <v>400</v>
      </c>
      <c r="F151" s="35" t="s">
        <v>35</v>
      </c>
      <c r="G151" s="50">
        <v>418740295.82386595</v>
      </c>
    </row>
    <row r="152" spans="1:7" ht="30">
      <c r="A152" s="34">
        <v>2009</v>
      </c>
      <c r="B152" s="36" t="s">
        <v>394</v>
      </c>
      <c r="C152" s="9" t="str">
        <f t="shared" si="2"/>
        <v>2009_Niger</v>
      </c>
      <c r="D152" s="33" t="s">
        <v>86</v>
      </c>
      <c r="E152" s="35" t="s">
        <v>400</v>
      </c>
      <c r="F152" s="35" t="s">
        <v>35</v>
      </c>
      <c r="G152" s="85">
        <v>143129702.9482843</v>
      </c>
    </row>
    <row r="153" spans="1:7" ht="30">
      <c r="A153" s="12">
        <v>2010</v>
      </c>
      <c r="B153" s="22" t="s">
        <v>394</v>
      </c>
      <c r="C153" s="9" t="str">
        <f t="shared" si="2"/>
        <v>2010_Niger</v>
      </c>
      <c r="D153" s="21" t="s">
        <v>86</v>
      </c>
      <c r="E153" s="19" t="s">
        <v>79</v>
      </c>
      <c r="F153" s="19" t="s">
        <v>35</v>
      </c>
      <c r="G153" s="86">
        <v>109503726.04387245</v>
      </c>
    </row>
    <row r="154" spans="1:7" ht="30">
      <c r="A154" s="12">
        <v>2011</v>
      </c>
      <c r="B154" s="22" t="s">
        <v>394</v>
      </c>
      <c r="C154" s="9" t="str">
        <f t="shared" si="2"/>
        <v>2011_Niger</v>
      </c>
      <c r="D154" s="21" t="s">
        <v>86</v>
      </c>
      <c r="E154" s="19" t="s">
        <v>95</v>
      </c>
      <c r="F154" s="19" t="s">
        <v>35</v>
      </c>
      <c r="G154" s="77">
        <v>119279040.34148772</v>
      </c>
    </row>
    <row r="155" spans="1:7" ht="30">
      <c r="A155" s="27">
        <v>2012</v>
      </c>
      <c r="B155" s="27" t="s">
        <v>394</v>
      </c>
      <c r="C155" s="9" t="str">
        <f t="shared" si="2"/>
        <v>2012_Niger</v>
      </c>
      <c r="D155" s="27" t="s">
        <v>86</v>
      </c>
      <c r="E155" s="10" t="s">
        <v>50</v>
      </c>
      <c r="F155" s="27" t="s">
        <v>41</v>
      </c>
      <c r="G155" s="50">
        <v>344759167</v>
      </c>
    </row>
    <row r="156" spans="1:7">
      <c r="A156" s="12">
        <v>1999</v>
      </c>
      <c r="B156" s="22" t="s">
        <v>413</v>
      </c>
      <c r="C156" s="9" t="str">
        <f t="shared" si="2"/>
        <v>1999_Nigeria</v>
      </c>
      <c r="D156" s="21" t="s">
        <v>86</v>
      </c>
      <c r="E156" s="63" t="s">
        <v>102</v>
      </c>
      <c r="F156" s="19" t="s">
        <v>55</v>
      </c>
      <c r="G156" s="76">
        <v>8073000000</v>
      </c>
    </row>
    <row r="157" spans="1:7">
      <c r="A157" s="12">
        <v>2000</v>
      </c>
      <c r="B157" s="22" t="s">
        <v>413</v>
      </c>
      <c r="C157" s="9" t="str">
        <f t="shared" si="2"/>
        <v>2000_Nigeria</v>
      </c>
      <c r="D157" s="21" t="s">
        <v>86</v>
      </c>
      <c r="E157" s="63" t="s">
        <v>102</v>
      </c>
      <c r="F157" s="19" t="s">
        <v>55</v>
      </c>
      <c r="G157" s="50">
        <v>15807000000</v>
      </c>
    </row>
    <row r="158" spans="1:7">
      <c r="A158" s="12">
        <v>2001</v>
      </c>
      <c r="B158" s="22" t="s">
        <v>413</v>
      </c>
      <c r="C158" s="9" t="str">
        <f t="shared" si="2"/>
        <v>2001_Nigeria</v>
      </c>
      <c r="D158" s="21" t="s">
        <v>86</v>
      </c>
      <c r="E158" s="63" t="s">
        <v>102</v>
      </c>
      <c r="F158" s="19" t="s">
        <v>55</v>
      </c>
      <c r="G158" s="50">
        <v>15909000000</v>
      </c>
    </row>
    <row r="159" spans="1:7">
      <c r="A159" s="12">
        <v>2002</v>
      </c>
      <c r="B159" s="22" t="s">
        <v>413</v>
      </c>
      <c r="C159" s="9" t="str">
        <f t="shared" si="2"/>
        <v>2002_Nigeria</v>
      </c>
      <c r="D159" s="21" t="s">
        <v>86</v>
      </c>
      <c r="E159" s="63" t="s">
        <v>102</v>
      </c>
      <c r="F159" s="19" t="s">
        <v>55</v>
      </c>
      <c r="G159" s="50">
        <v>11875000000</v>
      </c>
    </row>
    <row r="160" spans="1:7">
      <c r="A160" s="12">
        <v>2003</v>
      </c>
      <c r="B160" s="22" t="s">
        <v>413</v>
      </c>
      <c r="C160" s="9" t="str">
        <f t="shared" si="2"/>
        <v>2003_Nigeria</v>
      </c>
      <c r="D160" s="21" t="s">
        <v>86</v>
      </c>
      <c r="E160" s="63" t="s">
        <v>102</v>
      </c>
      <c r="F160" s="19" t="s">
        <v>55</v>
      </c>
      <c r="G160" s="50">
        <v>17091000000</v>
      </c>
    </row>
    <row r="161" spans="1:7">
      <c r="A161" s="12">
        <v>2004</v>
      </c>
      <c r="B161" s="22" t="s">
        <v>413</v>
      </c>
      <c r="C161" s="9" t="str">
        <f t="shared" si="2"/>
        <v>2004_Nigeria</v>
      </c>
      <c r="D161" s="21" t="s">
        <v>86</v>
      </c>
      <c r="E161" s="63" t="s">
        <v>102</v>
      </c>
      <c r="F161" s="19" t="s">
        <v>55</v>
      </c>
      <c r="G161" s="50">
        <v>26596000000</v>
      </c>
    </row>
    <row r="162" spans="1:7">
      <c r="A162" s="12">
        <v>2005</v>
      </c>
      <c r="B162" s="22" t="s">
        <v>413</v>
      </c>
      <c r="C162" s="9" t="str">
        <f t="shared" si="2"/>
        <v>2005_Nigeria</v>
      </c>
      <c r="D162" s="21" t="s">
        <v>86</v>
      </c>
      <c r="E162" s="63" t="s">
        <v>421</v>
      </c>
      <c r="F162" s="19" t="s">
        <v>55</v>
      </c>
      <c r="G162" s="56">
        <v>37761759990.706177</v>
      </c>
    </row>
    <row r="163" spans="1:7">
      <c r="A163" s="12">
        <v>2006</v>
      </c>
      <c r="B163" s="22" t="s">
        <v>413</v>
      </c>
      <c r="C163" s="9" t="str">
        <f t="shared" si="2"/>
        <v>2006_Nigeria</v>
      </c>
      <c r="D163" s="21" t="s">
        <v>86</v>
      </c>
      <c r="E163" s="63" t="s">
        <v>309</v>
      </c>
      <c r="F163" s="19" t="s">
        <v>55</v>
      </c>
      <c r="G163" s="50">
        <v>45464400000</v>
      </c>
    </row>
    <row r="164" spans="1:7">
      <c r="A164" s="12">
        <v>2007</v>
      </c>
      <c r="B164" s="22" t="s">
        <v>413</v>
      </c>
      <c r="C164" s="9" t="str">
        <f t="shared" si="2"/>
        <v>2007_Nigeria</v>
      </c>
      <c r="D164" s="21" t="s">
        <v>86</v>
      </c>
      <c r="E164" s="63" t="s">
        <v>309</v>
      </c>
      <c r="F164" s="19" t="s">
        <v>55</v>
      </c>
      <c r="G164" s="50">
        <v>43678500000</v>
      </c>
    </row>
    <row r="165" spans="1:7">
      <c r="A165" s="12">
        <v>2008</v>
      </c>
      <c r="B165" s="22" t="s">
        <v>413</v>
      </c>
      <c r="C165" s="9" t="str">
        <f t="shared" si="2"/>
        <v>2008_Nigeria</v>
      </c>
      <c r="D165" s="21" t="s">
        <v>86</v>
      </c>
      <c r="E165" s="63" t="s">
        <v>309</v>
      </c>
      <c r="F165" s="19" t="s">
        <v>55</v>
      </c>
      <c r="G165" s="50">
        <v>59398200000</v>
      </c>
    </row>
    <row r="166" spans="1:7">
      <c r="A166" s="12">
        <v>2009</v>
      </c>
      <c r="B166" s="22" t="s">
        <v>413</v>
      </c>
      <c r="C166" s="9" t="str">
        <f t="shared" si="2"/>
        <v>2009_Nigeria</v>
      </c>
      <c r="D166" s="21" t="s">
        <v>86</v>
      </c>
      <c r="E166" s="63" t="s">
        <v>180</v>
      </c>
      <c r="F166" s="19" t="s">
        <v>55</v>
      </c>
      <c r="G166" s="76">
        <v>30129486000</v>
      </c>
    </row>
    <row r="167" spans="1:7">
      <c r="A167" s="12">
        <v>2010</v>
      </c>
      <c r="B167" s="22" t="s">
        <v>413</v>
      </c>
      <c r="C167" s="9" t="str">
        <f t="shared" si="2"/>
        <v>2010_Nigeria</v>
      </c>
      <c r="D167" s="21" t="s">
        <v>86</v>
      </c>
      <c r="E167" s="63" t="s">
        <v>180</v>
      </c>
      <c r="F167" s="19" t="s">
        <v>55</v>
      </c>
      <c r="G167" s="76">
        <v>44944995000</v>
      </c>
    </row>
    <row r="168" spans="1:7" ht="30">
      <c r="A168" s="12">
        <v>2011</v>
      </c>
      <c r="B168" s="22" t="s">
        <v>413</v>
      </c>
      <c r="C168" s="9" t="str">
        <f t="shared" si="2"/>
        <v>2011_Nigeria</v>
      </c>
      <c r="D168" s="21" t="s">
        <v>86</v>
      </c>
      <c r="E168" s="63" t="s">
        <v>431</v>
      </c>
      <c r="F168" s="19" t="s">
        <v>35</v>
      </c>
      <c r="G168" s="76">
        <v>68613385930</v>
      </c>
    </row>
    <row r="169" spans="1:7" ht="30">
      <c r="A169" s="27">
        <v>2012</v>
      </c>
      <c r="B169" s="27" t="s">
        <v>413</v>
      </c>
      <c r="C169" s="9" t="str">
        <f t="shared" si="2"/>
        <v>2012_Nigeria</v>
      </c>
      <c r="D169" s="27" t="s">
        <v>86</v>
      </c>
      <c r="E169" s="10" t="s">
        <v>50</v>
      </c>
      <c r="F169" s="27" t="s">
        <v>24</v>
      </c>
      <c r="G169" s="60">
        <v>177501338.81</v>
      </c>
    </row>
    <row r="170" spans="1:7" ht="30">
      <c r="A170" s="12">
        <v>2008</v>
      </c>
      <c r="B170" s="22" t="s">
        <v>436</v>
      </c>
      <c r="C170" s="9" t="str">
        <f t="shared" si="2"/>
        <v>2008_Norway</v>
      </c>
      <c r="D170" s="21" t="s">
        <v>39</v>
      </c>
      <c r="E170" s="19" t="s">
        <v>172</v>
      </c>
      <c r="F170" s="22" t="s">
        <v>55</v>
      </c>
      <c r="G170" s="76">
        <v>71008812.234042555</v>
      </c>
    </row>
    <row r="171" spans="1:7">
      <c r="A171" s="12">
        <v>2009</v>
      </c>
      <c r="B171" s="22" t="s">
        <v>436</v>
      </c>
      <c r="C171" s="9" t="str">
        <f t="shared" si="2"/>
        <v>2009_Norway</v>
      </c>
      <c r="D171" s="21" t="s">
        <v>39</v>
      </c>
      <c r="E171" s="63" t="s">
        <v>439</v>
      </c>
      <c r="F171" s="22" t="s">
        <v>55</v>
      </c>
      <c r="G171" s="76">
        <v>42349871974.522293</v>
      </c>
    </row>
    <row r="172" spans="1:7" ht="30">
      <c r="A172" s="70">
        <v>2010</v>
      </c>
      <c r="B172" s="71" t="s">
        <v>436</v>
      </c>
      <c r="C172" s="9" t="str">
        <f t="shared" si="2"/>
        <v>2010_Norway</v>
      </c>
      <c r="D172" s="69" t="s">
        <v>39</v>
      </c>
      <c r="E172" s="72" t="s">
        <v>442</v>
      </c>
      <c r="F172" s="72" t="s">
        <v>55</v>
      </c>
      <c r="G172" s="87">
        <v>44013892000</v>
      </c>
    </row>
    <row r="173" spans="1:7">
      <c r="A173" s="12">
        <v>2011</v>
      </c>
      <c r="B173" s="22" t="s">
        <v>436</v>
      </c>
      <c r="C173" s="9" t="str">
        <f t="shared" si="2"/>
        <v>2011_Norway</v>
      </c>
      <c r="D173" s="21" t="s">
        <v>39</v>
      </c>
      <c r="E173" s="63" t="s">
        <v>439</v>
      </c>
      <c r="F173" s="22" t="s">
        <v>55</v>
      </c>
      <c r="G173" s="76">
        <v>60421715740</v>
      </c>
    </row>
    <row r="174" spans="1:7">
      <c r="A174" s="12">
        <v>2012</v>
      </c>
      <c r="B174" s="22" t="s">
        <v>436</v>
      </c>
      <c r="C174" s="9" t="str">
        <f t="shared" si="2"/>
        <v>2012_Norway</v>
      </c>
      <c r="D174" s="21" t="s">
        <v>39</v>
      </c>
      <c r="E174" s="63" t="s">
        <v>439</v>
      </c>
      <c r="F174" s="22" t="s">
        <v>55</v>
      </c>
      <c r="G174" s="50">
        <v>65229640210</v>
      </c>
    </row>
    <row r="175" spans="1:7" ht="30">
      <c r="A175" s="12">
        <v>2004</v>
      </c>
      <c r="B175" s="22" t="s">
        <v>449</v>
      </c>
      <c r="C175" s="9" t="str">
        <f t="shared" si="2"/>
        <v>2004_Peru</v>
      </c>
      <c r="D175" s="21" t="s">
        <v>220</v>
      </c>
      <c r="E175" s="63" t="s">
        <v>368</v>
      </c>
      <c r="F175" s="19" t="s">
        <v>35</v>
      </c>
      <c r="G175" s="76">
        <v>884263514.49853373</v>
      </c>
    </row>
    <row r="176" spans="1:7" ht="30">
      <c r="A176" s="12">
        <v>2005</v>
      </c>
      <c r="B176" s="22" t="s">
        <v>449</v>
      </c>
      <c r="C176" s="9" t="str">
        <f t="shared" si="2"/>
        <v>2005_Peru</v>
      </c>
      <c r="D176" s="21" t="s">
        <v>220</v>
      </c>
      <c r="E176" s="63" t="s">
        <v>368</v>
      </c>
      <c r="F176" s="19" t="s">
        <v>35</v>
      </c>
      <c r="G176" s="76">
        <v>1756747244.267477</v>
      </c>
    </row>
    <row r="177" spans="1:7" ht="30">
      <c r="A177" s="12">
        <v>2006</v>
      </c>
      <c r="B177" s="22" t="s">
        <v>449</v>
      </c>
      <c r="C177" s="9" t="str">
        <f t="shared" si="2"/>
        <v>2006_Peru</v>
      </c>
      <c r="D177" s="21" t="s">
        <v>220</v>
      </c>
      <c r="E177" s="63" t="s">
        <v>368</v>
      </c>
      <c r="F177" s="19" t="s">
        <v>35</v>
      </c>
      <c r="G177" s="20">
        <v>2926435259.9327216</v>
      </c>
    </row>
    <row r="178" spans="1:7" ht="30">
      <c r="A178" s="12">
        <v>2007</v>
      </c>
      <c r="B178" s="22" t="s">
        <v>449</v>
      </c>
      <c r="C178" s="9" t="str">
        <f t="shared" si="2"/>
        <v>2007_Peru</v>
      </c>
      <c r="D178" s="21" t="s">
        <v>220</v>
      </c>
      <c r="E178" s="63" t="s">
        <v>368</v>
      </c>
      <c r="F178" s="19" t="s">
        <v>35</v>
      </c>
      <c r="G178" s="76">
        <v>3125388072.7948718</v>
      </c>
    </row>
    <row r="179" spans="1:7" ht="30">
      <c r="A179" s="12">
        <v>2008</v>
      </c>
      <c r="B179" s="22" t="s">
        <v>449</v>
      </c>
      <c r="C179" s="9" t="str">
        <f t="shared" si="2"/>
        <v>2008_Peru</v>
      </c>
      <c r="D179" s="21" t="s">
        <v>220</v>
      </c>
      <c r="E179" s="63" t="s">
        <v>455</v>
      </c>
      <c r="F179" s="19" t="s">
        <v>35</v>
      </c>
      <c r="G179" s="56">
        <v>3573697357.7190704</v>
      </c>
    </row>
    <row r="180" spans="1:7" ht="30">
      <c r="A180" s="12">
        <v>2009</v>
      </c>
      <c r="B180" s="22" t="s">
        <v>449</v>
      </c>
      <c r="C180" s="9" t="str">
        <f t="shared" si="2"/>
        <v>2009_Peru</v>
      </c>
      <c r="D180" s="21" t="s">
        <v>220</v>
      </c>
      <c r="E180" s="63" t="s">
        <v>44</v>
      </c>
      <c r="F180" s="19" t="s">
        <v>35</v>
      </c>
      <c r="G180" s="56">
        <v>2965369766.4701195</v>
      </c>
    </row>
    <row r="181" spans="1:7" ht="30">
      <c r="A181" s="12">
        <v>2010</v>
      </c>
      <c r="B181" s="22" t="s">
        <v>449</v>
      </c>
      <c r="C181" s="9" t="str">
        <f t="shared" si="2"/>
        <v>2010_Peru</v>
      </c>
      <c r="D181" s="21" t="s">
        <v>220</v>
      </c>
      <c r="E181" s="63" t="s">
        <v>95</v>
      </c>
      <c r="F181" s="19" t="s">
        <v>35</v>
      </c>
      <c r="G181" s="56">
        <v>4358147652.2724705</v>
      </c>
    </row>
    <row r="182" spans="1:7" ht="30">
      <c r="A182" s="70">
        <v>2011</v>
      </c>
      <c r="B182" s="71" t="s">
        <v>449</v>
      </c>
      <c r="C182" s="9" t="str">
        <f t="shared" si="2"/>
        <v>2011_Peru</v>
      </c>
      <c r="D182" s="69" t="s">
        <v>220</v>
      </c>
      <c r="E182" s="72" t="s">
        <v>460</v>
      </c>
      <c r="F182" s="72" t="s">
        <v>35</v>
      </c>
      <c r="G182" s="73">
        <v>5884323617</v>
      </c>
    </row>
    <row r="183" spans="1:7" ht="30">
      <c r="A183" s="70">
        <v>2012</v>
      </c>
      <c r="B183" s="71" t="s">
        <v>449</v>
      </c>
      <c r="C183" s="9" t="str">
        <f t="shared" si="2"/>
        <v>2012_Peru</v>
      </c>
      <c r="D183" s="69" t="s">
        <v>220</v>
      </c>
      <c r="E183" s="72" t="s">
        <v>460</v>
      </c>
      <c r="F183" s="72" t="s">
        <v>35</v>
      </c>
      <c r="G183" s="73">
        <v>5480907241</v>
      </c>
    </row>
    <row r="184" spans="1:7" ht="30">
      <c r="A184" s="12">
        <v>2004</v>
      </c>
      <c r="B184" s="22" t="s">
        <v>465</v>
      </c>
      <c r="C184" s="9" t="str">
        <f t="shared" si="2"/>
        <v>2004_Republic of the Congo</v>
      </c>
      <c r="D184" s="21" t="s">
        <v>86</v>
      </c>
      <c r="E184" s="19" t="s">
        <v>466</v>
      </c>
      <c r="F184" s="19" t="s">
        <v>55</v>
      </c>
      <c r="G184" s="88">
        <v>802597372.72742176</v>
      </c>
    </row>
    <row r="185" spans="1:7" ht="30">
      <c r="A185" s="12">
        <v>2005</v>
      </c>
      <c r="B185" s="22" t="s">
        <v>465</v>
      </c>
      <c r="C185" s="9" t="str">
        <f t="shared" si="2"/>
        <v>2005_Republic of the Congo</v>
      </c>
      <c r="D185" s="21" t="s">
        <v>86</v>
      </c>
      <c r="E185" s="19" t="s">
        <v>469</v>
      </c>
      <c r="F185" s="19" t="s">
        <v>55</v>
      </c>
      <c r="G185" s="88">
        <v>1738493617.9513669</v>
      </c>
    </row>
    <row r="186" spans="1:7" ht="30">
      <c r="A186" s="12">
        <v>2006</v>
      </c>
      <c r="B186" s="22" t="s">
        <v>465</v>
      </c>
      <c r="C186" s="9" t="str">
        <f t="shared" si="2"/>
        <v>2006_Republic of the Congo</v>
      </c>
      <c r="D186" s="21" t="s">
        <v>86</v>
      </c>
      <c r="E186" s="19" t="s">
        <v>469</v>
      </c>
      <c r="F186" s="19" t="s">
        <v>55</v>
      </c>
      <c r="G186" s="88">
        <v>2581804427.3293929</v>
      </c>
    </row>
    <row r="187" spans="1:7" ht="30">
      <c r="A187" s="34">
        <v>2007</v>
      </c>
      <c r="B187" s="36" t="s">
        <v>465</v>
      </c>
      <c r="C187" s="9" t="str">
        <f t="shared" si="2"/>
        <v>2007_Republic of the Congo</v>
      </c>
      <c r="D187" s="33" t="s">
        <v>86</v>
      </c>
      <c r="E187" s="35" t="s">
        <v>439</v>
      </c>
      <c r="F187" s="35" t="s">
        <v>55</v>
      </c>
      <c r="G187" s="18">
        <v>2553350325.8307009</v>
      </c>
    </row>
    <row r="188" spans="1:7" ht="30">
      <c r="A188" s="34">
        <v>2008</v>
      </c>
      <c r="B188" s="36" t="s">
        <v>465</v>
      </c>
      <c r="C188" s="9" t="str">
        <f t="shared" si="2"/>
        <v>2008_Republic of the Congo</v>
      </c>
      <c r="D188" s="33" t="s">
        <v>86</v>
      </c>
      <c r="E188" s="35" t="s">
        <v>439</v>
      </c>
      <c r="F188" s="35" t="s">
        <v>55</v>
      </c>
      <c r="G188" s="18">
        <v>4645910135.5534267</v>
      </c>
    </row>
    <row r="189" spans="1:7" ht="30">
      <c r="A189" s="34">
        <v>2009</v>
      </c>
      <c r="B189" s="36" t="s">
        <v>465</v>
      </c>
      <c r="C189" s="9" t="str">
        <f t="shared" si="2"/>
        <v>2009_Republic of the Congo</v>
      </c>
      <c r="D189" s="33" t="s">
        <v>86</v>
      </c>
      <c r="E189" s="35" t="s">
        <v>439</v>
      </c>
      <c r="F189" s="35" t="s">
        <v>55</v>
      </c>
      <c r="G189" s="18">
        <v>2343960552.7359438</v>
      </c>
    </row>
    <row r="190" spans="1:7" ht="30">
      <c r="A190" s="12">
        <v>2010</v>
      </c>
      <c r="B190" s="22" t="s">
        <v>465</v>
      </c>
      <c r="C190" s="9" t="str">
        <f t="shared" si="2"/>
        <v>2010_Republic of the Congo</v>
      </c>
      <c r="D190" s="21" t="s">
        <v>86</v>
      </c>
      <c r="E190" s="19" t="s">
        <v>455</v>
      </c>
      <c r="F190" s="19" t="s">
        <v>55</v>
      </c>
      <c r="G190" s="76">
        <v>3195780380.0319676</v>
      </c>
    </row>
    <row r="191" spans="1:7" ht="30">
      <c r="A191" s="12">
        <v>2011</v>
      </c>
      <c r="B191" s="22" t="s">
        <v>465</v>
      </c>
      <c r="C191" s="9" t="str">
        <f t="shared" si="2"/>
        <v>2011_Republic of the Congo</v>
      </c>
      <c r="D191" s="21" t="s">
        <v>86</v>
      </c>
      <c r="E191" s="19" t="s">
        <v>323</v>
      </c>
      <c r="F191" s="19" t="s">
        <v>55</v>
      </c>
      <c r="G191" s="89">
        <v>5529544307</v>
      </c>
    </row>
    <row r="192" spans="1:7" ht="30">
      <c r="A192" s="12">
        <v>2012</v>
      </c>
      <c r="B192" s="22" t="s">
        <v>465</v>
      </c>
      <c r="C192" s="9" t="str">
        <f t="shared" si="2"/>
        <v>2012_Republic of the Congo</v>
      </c>
      <c r="D192" s="21" t="s">
        <v>86</v>
      </c>
      <c r="E192" s="19" t="s">
        <v>95</v>
      </c>
      <c r="F192" s="19" t="s">
        <v>35</v>
      </c>
      <c r="G192" s="56">
        <v>3185676000</v>
      </c>
    </row>
    <row r="193" spans="1:7" ht="45">
      <c r="A193" s="27">
        <v>2013</v>
      </c>
      <c r="B193" s="27" t="s">
        <v>465</v>
      </c>
      <c r="C193" s="9" t="str">
        <f t="shared" si="2"/>
        <v>2013_Republic of the Congo</v>
      </c>
      <c r="D193" s="27" t="s">
        <v>86</v>
      </c>
      <c r="E193" s="10" t="s">
        <v>50</v>
      </c>
      <c r="F193" s="27" t="s">
        <v>55</v>
      </c>
      <c r="G193" s="56">
        <v>3041615000</v>
      </c>
    </row>
    <row r="194" spans="1:7">
      <c r="A194" s="12">
        <v>2006</v>
      </c>
      <c r="B194" s="22" t="s">
        <v>488</v>
      </c>
      <c r="C194" s="9" t="str">
        <f t="shared" si="2"/>
        <v>2006_Sierra Leone</v>
      </c>
      <c r="D194" s="21" t="s">
        <v>86</v>
      </c>
      <c r="E194" s="63" t="s">
        <v>489</v>
      </c>
      <c r="F194" s="22" t="s">
        <v>24</v>
      </c>
      <c r="G194" s="18">
        <v>7255694.5761567</v>
      </c>
    </row>
    <row r="195" spans="1:7">
      <c r="A195" s="12">
        <v>2007</v>
      </c>
      <c r="B195" s="22" t="s">
        <v>488</v>
      </c>
      <c r="C195" s="9" t="str">
        <f t="shared" ref="C195:C224" si="3">$A195&amp;"_"&amp;$B195</f>
        <v>2007_Sierra Leone</v>
      </c>
      <c r="D195" s="21" t="s">
        <v>86</v>
      </c>
      <c r="E195" s="63" t="s">
        <v>489</v>
      </c>
      <c r="F195" s="22" t="s">
        <v>24</v>
      </c>
      <c r="G195" s="20">
        <v>10201528.665884711</v>
      </c>
    </row>
    <row r="196" spans="1:7" ht="30">
      <c r="A196" s="12">
        <v>2008</v>
      </c>
      <c r="B196" s="22" t="s">
        <v>488</v>
      </c>
      <c r="C196" s="9" t="str">
        <f t="shared" si="3"/>
        <v>2008_Sierra Leone</v>
      </c>
      <c r="D196" s="21" t="s">
        <v>86</v>
      </c>
      <c r="E196" s="63" t="s">
        <v>323</v>
      </c>
      <c r="F196" s="19" t="s">
        <v>35</v>
      </c>
      <c r="G196" s="38">
        <v>4427564.2110363245</v>
      </c>
    </row>
    <row r="197" spans="1:7" ht="30">
      <c r="A197" s="12">
        <v>2009</v>
      </c>
      <c r="B197" s="22" t="s">
        <v>488</v>
      </c>
      <c r="C197" s="9" t="str">
        <f t="shared" si="3"/>
        <v>2009_Sierra Leone</v>
      </c>
      <c r="D197" s="21" t="s">
        <v>86</v>
      </c>
      <c r="E197" s="63" t="s">
        <v>323</v>
      </c>
      <c r="F197" s="19" t="s">
        <v>35</v>
      </c>
      <c r="G197" s="20">
        <v>5875777.9977596682</v>
      </c>
    </row>
    <row r="198" spans="1:7" ht="30">
      <c r="A198" s="12">
        <v>2010</v>
      </c>
      <c r="B198" s="22" t="s">
        <v>488</v>
      </c>
      <c r="C198" s="9" t="str">
        <f t="shared" si="3"/>
        <v>2010_Sierra Leone</v>
      </c>
      <c r="D198" s="21" t="s">
        <v>86</v>
      </c>
      <c r="E198" s="63" t="s">
        <v>323</v>
      </c>
      <c r="F198" s="19" t="s">
        <v>35</v>
      </c>
      <c r="G198" s="20">
        <v>7586792.5651504043</v>
      </c>
    </row>
    <row r="199" spans="1:7" ht="30">
      <c r="A199" s="12">
        <v>2011</v>
      </c>
      <c r="B199" s="22" t="s">
        <v>488</v>
      </c>
      <c r="C199" s="9" t="str">
        <f t="shared" si="3"/>
        <v>2011_Sierra Leone</v>
      </c>
      <c r="D199" s="21" t="s">
        <v>86</v>
      </c>
      <c r="E199" s="63" t="s">
        <v>95</v>
      </c>
      <c r="F199" s="19" t="s">
        <v>35</v>
      </c>
      <c r="G199" s="20">
        <v>27621406</v>
      </c>
    </row>
    <row r="200" spans="1:7" ht="30">
      <c r="A200" s="12">
        <v>2009</v>
      </c>
      <c r="B200" s="22" t="s">
        <v>499</v>
      </c>
      <c r="C200" s="9" t="str">
        <f t="shared" si="3"/>
        <v>2009_Tanzania</v>
      </c>
      <c r="D200" s="21" t="s">
        <v>86</v>
      </c>
      <c r="E200" s="63" t="s">
        <v>309</v>
      </c>
      <c r="F200" s="19" t="s">
        <v>386</v>
      </c>
      <c r="G200" s="18">
        <v>102252340</v>
      </c>
    </row>
    <row r="201" spans="1:7" ht="30">
      <c r="A201" s="12">
        <v>2010</v>
      </c>
      <c r="B201" s="22" t="s">
        <v>499</v>
      </c>
      <c r="C201" s="9" t="str">
        <f t="shared" si="3"/>
        <v>2010_Tanzania</v>
      </c>
      <c r="D201" s="21" t="s">
        <v>86</v>
      </c>
      <c r="E201" s="63" t="s">
        <v>159</v>
      </c>
      <c r="F201" s="19" t="s">
        <v>386</v>
      </c>
      <c r="G201" s="20">
        <v>305762430.10000002</v>
      </c>
    </row>
    <row r="202" spans="1:7" ht="30">
      <c r="A202" s="12">
        <v>2011</v>
      </c>
      <c r="B202" s="22" t="s">
        <v>499</v>
      </c>
      <c r="C202" s="9" t="str">
        <f t="shared" si="3"/>
        <v>2011_Tanzania</v>
      </c>
      <c r="D202" s="21" t="s">
        <v>86</v>
      </c>
      <c r="E202" s="63" t="s">
        <v>82</v>
      </c>
      <c r="F202" s="19" t="s">
        <v>386</v>
      </c>
      <c r="G202" s="20">
        <v>329804745</v>
      </c>
    </row>
    <row r="203" spans="1:7" ht="30">
      <c r="A203" s="12">
        <v>2012</v>
      </c>
      <c r="B203" s="22" t="s">
        <v>499</v>
      </c>
      <c r="C203" s="9" t="str">
        <f t="shared" si="3"/>
        <v>2012_Tanzania</v>
      </c>
      <c r="D203" s="21" t="s">
        <v>86</v>
      </c>
      <c r="E203" s="63" t="s">
        <v>47</v>
      </c>
      <c r="F203" s="19" t="s">
        <v>35</v>
      </c>
      <c r="G203" s="20">
        <v>468277747.69958961</v>
      </c>
    </row>
    <row r="204" spans="1:7">
      <c r="A204" s="12">
        <v>2008</v>
      </c>
      <c r="B204" s="22" t="s">
        <v>508</v>
      </c>
      <c r="C204" s="9" t="str">
        <f t="shared" si="3"/>
        <v>2008_Timor Leste</v>
      </c>
      <c r="D204" s="21" t="s">
        <v>244</v>
      </c>
      <c r="E204" s="63" t="s">
        <v>368</v>
      </c>
      <c r="F204" s="19" t="s">
        <v>55</v>
      </c>
      <c r="G204" s="20">
        <v>2509572538</v>
      </c>
    </row>
    <row r="205" spans="1:7">
      <c r="A205" s="12">
        <v>2009</v>
      </c>
      <c r="B205" s="22" t="s">
        <v>508</v>
      </c>
      <c r="C205" s="9" t="str">
        <f t="shared" si="3"/>
        <v>2009_Timor Leste</v>
      </c>
      <c r="D205" s="21" t="s">
        <v>244</v>
      </c>
      <c r="E205" s="63" t="s">
        <v>511</v>
      </c>
      <c r="F205" s="19" t="s">
        <v>55</v>
      </c>
      <c r="G205" s="20">
        <v>1763889996</v>
      </c>
    </row>
    <row r="206" spans="1:7">
      <c r="A206" s="12">
        <v>2010</v>
      </c>
      <c r="B206" s="22" t="s">
        <v>508</v>
      </c>
      <c r="C206" s="9" t="str">
        <f t="shared" si="3"/>
        <v>2010_Timor Leste</v>
      </c>
      <c r="D206" s="21" t="s">
        <v>244</v>
      </c>
      <c r="E206" s="63" t="s">
        <v>378</v>
      </c>
      <c r="F206" s="19" t="s">
        <v>55</v>
      </c>
      <c r="G206" s="20">
        <v>2149721568</v>
      </c>
    </row>
    <row r="207" spans="1:7">
      <c r="A207" s="12">
        <v>2011</v>
      </c>
      <c r="B207" s="22" t="s">
        <v>508</v>
      </c>
      <c r="C207" s="9" t="str">
        <f t="shared" si="3"/>
        <v>2011_Timor Leste</v>
      </c>
      <c r="D207" s="21" t="s">
        <v>244</v>
      </c>
      <c r="E207" s="63" t="s">
        <v>44</v>
      </c>
      <c r="F207" s="19" t="s">
        <v>55</v>
      </c>
      <c r="G207" s="20">
        <v>3453285817</v>
      </c>
    </row>
    <row r="208" spans="1:7" ht="45">
      <c r="A208" s="12">
        <v>2010</v>
      </c>
      <c r="B208" s="22" t="s">
        <v>517</v>
      </c>
      <c r="C208" s="9" t="str">
        <f t="shared" si="3"/>
        <v>2010_Togo</v>
      </c>
      <c r="D208" s="21" t="s">
        <v>86</v>
      </c>
      <c r="E208" s="19" t="s">
        <v>518</v>
      </c>
      <c r="F208" s="19" t="s">
        <v>519</v>
      </c>
      <c r="G208" s="20">
        <v>60128720.446464643</v>
      </c>
    </row>
    <row r="209" spans="1:7" ht="45">
      <c r="A209" s="12">
        <v>2011</v>
      </c>
      <c r="B209" s="22" t="s">
        <v>517</v>
      </c>
      <c r="C209" s="9" t="str">
        <f t="shared" si="3"/>
        <v>2011_Togo</v>
      </c>
      <c r="D209" s="21" t="s">
        <v>86</v>
      </c>
      <c r="E209" s="19" t="s">
        <v>212</v>
      </c>
      <c r="F209" s="19" t="s">
        <v>519</v>
      </c>
      <c r="G209" s="44">
        <v>31315792.572000001</v>
      </c>
    </row>
    <row r="210" spans="1:7" ht="30">
      <c r="A210" s="27">
        <v>2012</v>
      </c>
      <c r="B210" s="27" t="s">
        <v>517</v>
      </c>
      <c r="C210" s="9" t="str">
        <f t="shared" si="3"/>
        <v>2012_Togo</v>
      </c>
      <c r="D210" s="27" t="s">
        <v>86</v>
      </c>
      <c r="E210" s="10" t="s">
        <v>50</v>
      </c>
      <c r="F210" s="27" t="s">
        <v>24</v>
      </c>
      <c r="G210" s="82">
        <v>31681601.940000001</v>
      </c>
    </row>
    <row r="211" spans="1:7">
      <c r="A211" s="12">
        <v>2011</v>
      </c>
      <c r="B211" s="22" t="s">
        <v>526</v>
      </c>
      <c r="C211" s="9" t="str">
        <f t="shared" si="3"/>
        <v>2011_Trinidad &amp; Tobago</v>
      </c>
      <c r="D211" s="21" t="s">
        <v>220</v>
      </c>
      <c r="E211" s="63" t="s">
        <v>326</v>
      </c>
      <c r="F211" s="19" t="s">
        <v>55</v>
      </c>
      <c r="G211" s="20">
        <v>3593984496</v>
      </c>
    </row>
    <row r="212" spans="1:7">
      <c r="A212" s="12">
        <v>2005</v>
      </c>
      <c r="B212" s="22" t="s">
        <v>529</v>
      </c>
      <c r="C212" s="9" t="str">
        <f t="shared" si="3"/>
        <v>2005_Yemen</v>
      </c>
      <c r="D212" s="21" t="s">
        <v>252</v>
      </c>
      <c r="E212" s="63" t="s">
        <v>530</v>
      </c>
      <c r="F212" s="19" t="s">
        <v>55</v>
      </c>
      <c r="G212" s="20">
        <v>4668154975</v>
      </c>
    </row>
    <row r="213" spans="1:7">
      <c r="A213" s="12">
        <v>2006</v>
      </c>
      <c r="B213" s="22" t="s">
        <v>529</v>
      </c>
      <c r="C213" s="9" t="str">
        <f t="shared" si="3"/>
        <v>2006_Yemen</v>
      </c>
      <c r="D213" s="21" t="s">
        <v>252</v>
      </c>
      <c r="E213" s="63" t="s">
        <v>530</v>
      </c>
      <c r="F213" s="19" t="s">
        <v>55</v>
      </c>
      <c r="G213" s="20">
        <v>5122351269</v>
      </c>
    </row>
    <row r="214" spans="1:7">
      <c r="A214" s="12">
        <v>2007</v>
      </c>
      <c r="B214" s="22" t="s">
        <v>529</v>
      </c>
      <c r="C214" s="9" t="str">
        <f t="shared" si="3"/>
        <v>2007_Yemen</v>
      </c>
      <c r="D214" s="21" t="s">
        <v>252</v>
      </c>
      <c r="E214" s="63" t="s">
        <v>530</v>
      </c>
      <c r="F214" s="19" t="s">
        <v>55</v>
      </c>
      <c r="G214" s="20">
        <v>5331162225</v>
      </c>
    </row>
    <row r="215" spans="1:7">
      <c r="A215" s="12">
        <v>2008</v>
      </c>
      <c r="B215" s="22" t="s">
        <v>529</v>
      </c>
      <c r="C215" s="9" t="str">
        <f t="shared" si="3"/>
        <v>2008_Yemen</v>
      </c>
      <c r="D215" s="21" t="s">
        <v>252</v>
      </c>
      <c r="E215" s="63" t="s">
        <v>82</v>
      </c>
      <c r="F215" s="19" t="s">
        <v>55</v>
      </c>
      <c r="G215" s="18">
        <v>7591231594</v>
      </c>
    </row>
    <row r="216" spans="1:7">
      <c r="A216" s="12">
        <v>2009</v>
      </c>
      <c r="B216" s="22" t="s">
        <v>529</v>
      </c>
      <c r="C216" s="9" t="str">
        <f t="shared" si="3"/>
        <v>2009_Yemen</v>
      </c>
      <c r="D216" s="21" t="s">
        <v>252</v>
      </c>
      <c r="E216" s="63" t="s">
        <v>82</v>
      </c>
      <c r="F216" s="19" t="s">
        <v>55</v>
      </c>
      <c r="G216" s="18">
        <v>3625997931</v>
      </c>
    </row>
    <row r="217" spans="1:7">
      <c r="A217" s="12">
        <v>2010</v>
      </c>
      <c r="B217" s="22" t="s">
        <v>529</v>
      </c>
      <c r="C217" s="9" t="str">
        <f t="shared" si="3"/>
        <v>2010_Yemen</v>
      </c>
      <c r="D217" s="21" t="s">
        <v>252</v>
      </c>
      <c r="E217" s="63" t="s">
        <v>82</v>
      </c>
      <c r="F217" s="19" t="s">
        <v>55</v>
      </c>
      <c r="G217" s="20">
        <v>5081696110</v>
      </c>
    </row>
    <row r="218" spans="1:7">
      <c r="A218" s="12">
        <v>2011</v>
      </c>
      <c r="B218" s="22" t="s">
        <v>529</v>
      </c>
      <c r="C218" s="9" t="str">
        <f t="shared" si="3"/>
        <v>2011_Yemen</v>
      </c>
      <c r="D218" s="21" t="s">
        <v>252</v>
      </c>
      <c r="E218" s="63" t="s">
        <v>298</v>
      </c>
      <c r="F218" s="19" t="s">
        <v>55</v>
      </c>
      <c r="G218" s="20">
        <v>5539756725</v>
      </c>
    </row>
    <row r="219" spans="1:7">
      <c r="A219" s="93">
        <v>2008</v>
      </c>
      <c r="B219" s="93" t="s">
        <v>541</v>
      </c>
      <c r="C219" s="9" t="str">
        <f t="shared" si="3"/>
        <v>2008_Zambia</v>
      </c>
      <c r="D219" s="92" t="s">
        <v>86</v>
      </c>
      <c r="E219" s="94" t="s">
        <v>309</v>
      </c>
      <c r="F219" s="95" t="s">
        <v>24</v>
      </c>
      <c r="G219" s="96">
        <v>470370875</v>
      </c>
    </row>
    <row r="220" spans="1:7">
      <c r="A220" s="93">
        <v>2009</v>
      </c>
      <c r="B220" s="93" t="s">
        <v>541</v>
      </c>
      <c r="C220" s="9" t="str">
        <f t="shared" si="3"/>
        <v>2009_Zambia</v>
      </c>
      <c r="D220" s="92" t="s">
        <v>86</v>
      </c>
      <c r="E220" s="94" t="s">
        <v>518</v>
      </c>
      <c r="F220" s="95" t="s">
        <v>24</v>
      </c>
      <c r="G220" s="97">
        <v>533783358</v>
      </c>
    </row>
    <row r="221" spans="1:7">
      <c r="A221" s="93">
        <v>2010</v>
      </c>
      <c r="B221" s="93" t="s">
        <v>541</v>
      </c>
      <c r="C221" s="9" t="str">
        <f t="shared" si="3"/>
        <v>2010_Zambia</v>
      </c>
      <c r="D221" s="92" t="s">
        <v>86</v>
      </c>
      <c r="E221" s="94" t="s">
        <v>212</v>
      </c>
      <c r="F221" s="95" t="s">
        <v>24</v>
      </c>
      <c r="G221" s="98">
        <v>757063737</v>
      </c>
    </row>
    <row r="222" spans="1:7">
      <c r="A222" s="93">
        <v>2011</v>
      </c>
      <c r="B222" s="93" t="s">
        <v>541</v>
      </c>
      <c r="C222" s="9" t="str">
        <f t="shared" si="3"/>
        <v>2011_Zambia</v>
      </c>
      <c r="D222" s="92" t="s">
        <v>86</v>
      </c>
      <c r="E222" s="94" t="s">
        <v>460</v>
      </c>
      <c r="F222" s="19" t="s">
        <v>24</v>
      </c>
      <c r="G222" s="96">
        <v>1588841770</v>
      </c>
    </row>
    <row r="223" spans="1:7" ht="30">
      <c r="A223" s="27">
        <v>2012</v>
      </c>
      <c r="B223" s="27" t="s">
        <v>541</v>
      </c>
      <c r="C223" s="9" t="str">
        <f t="shared" si="3"/>
        <v>2012_Zambia</v>
      </c>
      <c r="D223" s="27" t="s">
        <v>86</v>
      </c>
      <c r="E223" s="10" t="s">
        <v>550</v>
      </c>
      <c r="F223" s="27" t="s">
        <v>41</v>
      </c>
      <c r="G223" s="47">
        <v>1537626771.04</v>
      </c>
    </row>
    <row r="224" spans="1:7" ht="30">
      <c r="A224" s="27">
        <v>2013</v>
      </c>
      <c r="B224" s="27" t="s">
        <v>541</v>
      </c>
      <c r="C224" s="9" t="str">
        <f t="shared" si="3"/>
        <v>2013_Zambia</v>
      </c>
      <c r="D224" s="27" t="s">
        <v>86</v>
      </c>
      <c r="E224" s="10" t="s">
        <v>50</v>
      </c>
      <c r="F224" s="27" t="s">
        <v>41</v>
      </c>
      <c r="G224" s="101">
        <v>1498550077.77</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3"/>
  <sheetViews>
    <sheetView workbookViewId="0">
      <selection activeCell="C17" sqref="C17"/>
    </sheetView>
  </sheetViews>
  <sheetFormatPr defaultRowHeight="15"/>
  <cols>
    <col min="1" max="1" width="11.28515625" style="824" customWidth="1"/>
    <col min="2" max="2" width="22.7109375" style="824" bestFit="1" customWidth="1"/>
    <col min="3" max="3" width="27.85546875" style="824" bestFit="1" customWidth="1"/>
    <col min="4" max="4" width="34.7109375" style="824" bestFit="1" customWidth="1"/>
    <col min="5" max="5" width="29.7109375" style="824" bestFit="1" customWidth="1"/>
    <col min="6" max="6" width="33.7109375" style="824" customWidth="1"/>
    <col min="7" max="7" width="17.140625" style="824" customWidth="1"/>
    <col min="8" max="8" width="14.5703125" style="824" customWidth="1"/>
    <col min="9" max="9" width="27.42578125" style="824" customWidth="1"/>
    <col min="10" max="10" width="17.85546875" style="824" customWidth="1"/>
    <col min="11" max="11" width="17.42578125" style="824" customWidth="1"/>
    <col min="12" max="12" width="21.140625" style="824" customWidth="1"/>
    <col min="13" max="13" width="13.140625" style="824" customWidth="1"/>
    <col min="14" max="16384" width="9.140625" style="824"/>
  </cols>
  <sheetData>
    <row r="1" spans="1:13">
      <c r="D1" s="824">
        <v>2</v>
      </c>
      <c r="E1" s="824">
        <v>3</v>
      </c>
      <c r="F1" s="824">
        <v>4</v>
      </c>
      <c r="G1" s="824">
        <v>5</v>
      </c>
      <c r="H1" s="824">
        <v>6</v>
      </c>
      <c r="I1" s="824">
        <v>7</v>
      </c>
      <c r="J1" s="824">
        <v>8</v>
      </c>
      <c r="K1" s="824">
        <v>9</v>
      </c>
      <c r="L1" s="824">
        <v>10</v>
      </c>
      <c r="M1" s="824">
        <v>11</v>
      </c>
    </row>
    <row r="2" spans="1:13">
      <c r="A2" s="824" t="s">
        <v>3095</v>
      </c>
      <c r="B2" s="824" t="s">
        <v>559</v>
      </c>
      <c r="C2" s="824" t="s">
        <v>3096</v>
      </c>
      <c r="D2" s="824" t="s">
        <v>3097</v>
      </c>
      <c r="E2" s="824" t="s">
        <v>3098</v>
      </c>
      <c r="F2" s="824" t="s">
        <v>3099</v>
      </c>
      <c r="G2" s="824" t="s">
        <v>3100</v>
      </c>
      <c r="H2" s="824" t="s">
        <v>3101</v>
      </c>
      <c r="I2" s="824" t="s">
        <v>3102</v>
      </c>
      <c r="J2" s="824" t="s">
        <v>3103</v>
      </c>
      <c r="K2" s="824" t="s">
        <v>3104</v>
      </c>
      <c r="L2" s="824" t="s">
        <v>3105</v>
      </c>
      <c r="M2" s="824" t="s">
        <v>3106</v>
      </c>
    </row>
    <row r="3" spans="1:13">
      <c r="A3" s="824">
        <v>1999</v>
      </c>
      <c r="B3" s="824" t="s">
        <v>21</v>
      </c>
      <c r="C3" s="824" t="str">
        <f>$A3&amp;"_"&amp;$B3</f>
        <v>1999_Afghanistan</v>
      </c>
      <c r="D3" s="824" t="s">
        <v>3088</v>
      </c>
      <c r="E3" s="824">
        <v>19987071</v>
      </c>
      <c r="F3" s="824" t="s">
        <v>3088</v>
      </c>
      <c r="G3" s="824">
        <v>142860000</v>
      </c>
      <c r="H3" s="824">
        <v>142860000</v>
      </c>
      <c r="I3" s="824" t="s">
        <v>3088</v>
      </c>
      <c r="J3" s="824" t="s">
        <v>3088</v>
      </c>
      <c r="K3" s="824" t="s">
        <v>3088</v>
      </c>
      <c r="L3" s="824">
        <v>54.432878048780495</v>
      </c>
      <c r="M3" s="824">
        <v>96.2</v>
      </c>
    </row>
    <row r="4" spans="1:13">
      <c r="A4" s="824">
        <v>1999</v>
      </c>
      <c r="B4" s="824" t="s">
        <v>38</v>
      </c>
      <c r="C4" s="824" t="str">
        <f t="shared" ref="C4:C67" si="0">$A4&amp;"_"&amp;$B4</f>
        <v>1999_Albania</v>
      </c>
      <c r="D4" s="824">
        <v>3434402453.294714</v>
      </c>
      <c r="E4" s="824">
        <v>3108778</v>
      </c>
      <c r="F4" s="824" t="s">
        <v>3088</v>
      </c>
      <c r="G4" s="824">
        <v>488150000</v>
      </c>
      <c r="H4" s="824">
        <v>488150000</v>
      </c>
      <c r="I4" s="824">
        <v>3.3603800000000001</v>
      </c>
      <c r="J4" s="824">
        <v>2.5246123830076899</v>
      </c>
      <c r="K4" s="824" t="s">
        <v>3088</v>
      </c>
      <c r="L4" s="824">
        <v>73.793390243902451</v>
      </c>
      <c r="M4" s="824">
        <v>24.3</v>
      </c>
    </row>
    <row r="5" spans="1:13">
      <c r="A5" s="824">
        <v>1999</v>
      </c>
      <c r="B5" s="824" t="s">
        <v>53</v>
      </c>
      <c r="C5" s="824" t="str">
        <f t="shared" si="0"/>
        <v>1999_Azerbaijan</v>
      </c>
      <c r="D5" s="824">
        <v>4581222442.4578314</v>
      </c>
      <c r="E5" s="824">
        <v>7982750</v>
      </c>
      <c r="F5" s="824">
        <v>17.572989181686218</v>
      </c>
      <c r="G5" s="824">
        <v>169420000</v>
      </c>
      <c r="H5" s="824">
        <v>169420000</v>
      </c>
      <c r="I5" s="824">
        <v>4.2121700000000004</v>
      </c>
      <c r="J5" s="824">
        <v>0.98543046357615904</v>
      </c>
      <c r="K5" s="824" t="s">
        <v>3088</v>
      </c>
      <c r="L5" s="824">
        <v>66.355487804878052</v>
      </c>
      <c r="M5" s="824">
        <v>64.5</v>
      </c>
    </row>
    <row r="6" spans="1:13">
      <c r="A6" s="824">
        <v>1999</v>
      </c>
      <c r="B6" s="824" t="s">
        <v>98</v>
      </c>
      <c r="C6" s="824" t="str">
        <f t="shared" si="0"/>
        <v>1999_Burkina Faso</v>
      </c>
      <c r="D6" s="824">
        <v>3014665572.208353</v>
      </c>
      <c r="E6" s="824">
        <v>11281942</v>
      </c>
      <c r="F6" s="824" t="s">
        <v>3088</v>
      </c>
      <c r="G6" s="824">
        <v>398600000</v>
      </c>
      <c r="H6" s="824">
        <v>398600000</v>
      </c>
      <c r="I6" s="824" t="s">
        <v>3088</v>
      </c>
      <c r="J6" s="824">
        <v>2.1681725781364198</v>
      </c>
      <c r="K6" s="824" t="s">
        <v>3088</v>
      </c>
      <c r="L6" s="824">
        <v>50.154560975609762</v>
      </c>
      <c r="M6" s="824">
        <v>97.3</v>
      </c>
    </row>
    <row r="7" spans="1:13">
      <c r="A7" s="824">
        <v>1999</v>
      </c>
      <c r="B7" s="824" t="s">
        <v>101</v>
      </c>
      <c r="C7" s="824" t="str">
        <f t="shared" si="0"/>
        <v>1999_Cameroon</v>
      </c>
      <c r="D7" s="824">
        <v>10486451906.6665</v>
      </c>
      <c r="E7" s="824">
        <v>15513653</v>
      </c>
      <c r="F7" s="824">
        <v>14.05793522299861</v>
      </c>
      <c r="G7" s="824">
        <v>434290000</v>
      </c>
      <c r="H7" s="824">
        <v>434290000</v>
      </c>
      <c r="I7" s="824" t="s">
        <v>3088</v>
      </c>
      <c r="J7" s="824">
        <v>0.83373448173324904</v>
      </c>
      <c r="K7" s="824" t="s">
        <v>3088</v>
      </c>
      <c r="L7" s="824">
        <v>52.173853658536594</v>
      </c>
      <c r="M7" s="824">
        <v>94.2</v>
      </c>
    </row>
    <row r="8" spans="1:13">
      <c r="A8" s="824">
        <v>1999</v>
      </c>
      <c r="B8" s="824" t="s">
        <v>138</v>
      </c>
      <c r="C8" s="824" t="str">
        <f t="shared" si="0"/>
        <v>1999_Chad</v>
      </c>
      <c r="D8" s="824">
        <v>1534673503.5517304</v>
      </c>
      <c r="E8" s="824">
        <v>8002899</v>
      </c>
      <c r="F8" s="824" t="s">
        <v>3088</v>
      </c>
      <c r="G8" s="824">
        <v>187850000</v>
      </c>
      <c r="H8" s="824">
        <v>187850000</v>
      </c>
      <c r="I8" s="824">
        <v>3.2278600000000002</v>
      </c>
      <c r="J8" s="824">
        <v>1.9898355381521899</v>
      </c>
      <c r="K8" s="824" t="s">
        <v>3088</v>
      </c>
      <c r="L8" s="824">
        <v>46.617731707317077</v>
      </c>
      <c r="M8" s="824">
        <v>107</v>
      </c>
    </row>
    <row r="9" spans="1:13">
      <c r="A9" s="824">
        <v>1999</v>
      </c>
      <c r="B9" s="824" t="s">
        <v>127</v>
      </c>
      <c r="C9" s="824" t="str">
        <f t="shared" si="0"/>
        <v>1999_Central African Republic</v>
      </c>
      <c r="D9" s="824">
        <v>999477458.73047352</v>
      </c>
      <c r="E9" s="824">
        <v>3569523</v>
      </c>
      <c r="F9" s="824" t="s">
        <v>3088</v>
      </c>
      <c r="G9" s="824">
        <v>118090000</v>
      </c>
      <c r="H9" s="824">
        <v>118090000</v>
      </c>
      <c r="I9" s="824">
        <v>1.6900200000000001</v>
      </c>
      <c r="J9" s="824">
        <v>1.8277220492770001</v>
      </c>
      <c r="K9" s="824" t="s">
        <v>3088</v>
      </c>
      <c r="L9" s="824">
        <v>43.670878048780502</v>
      </c>
      <c r="M9" s="824">
        <v>113.6</v>
      </c>
    </row>
    <row r="10" spans="1:13">
      <c r="A10" s="824">
        <v>1999</v>
      </c>
      <c r="B10" s="824" t="s">
        <v>171</v>
      </c>
      <c r="C10" s="824" t="str">
        <f t="shared" si="0"/>
        <v>1999_Democratic Republic of Congo</v>
      </c>
      <c r="D10" s="824">
        <v>4711259427.272727</v>
      </c>
      <c r="E10" s="824">
        <v>45889100</v>
      </c>
      <c r="F10" s="824">
        <v>5.0092762592064819</v>
      </c>
      <c r="G10" s="824">
        <v>133970000</v>
      </c>
      <c r="H10" s="824">
        <v>133970000</v>
      </c>
      <c r="I10" s="824" t="s">
        <v>3088</v>
      </c>
      <c r="J10" s="824">
        <v>0.247696718321195</v>
      </c>
      <c r="K10" s="824" t="s">
        <v>3088</v>
      </c>
      <c r="L10" s="824">
        <v>46.113243902439031</v>
      </c>
      <c r="M10" s="824">
        <v>114.7</v>
      </c>
    </row>
    <row r="11" spans="1:13">
      <c r="A11" s="824">
        <v>1999</v>
      </c>
      <c r="B11" s="824" t="s">
        <v>465</v>
      </c>
      <c r="C11" s="824" t="str">
        <f t="shared" si="0"/>
        <v>1999_Republic of the Congo</v>
      </c>
      <c r="D11" s="824">
        <v>2353909441.7005911</v>
      </c>
      <c r="E11" s="824">
        <v>3044444</v>
      </c>
      <c r="F11" s="824" t="s">
        <v>3088</v>
      </c>
      <c r="G11" s="824">
        <v>140350000</v>
      </c>
      <c r="H11" s="824">
        <v>140350000</v>
      </c>
      <c r="I11" s="824" t="s">
        <v>3088</v>
      </c>
      <c r="J11" s="824">
        <v>1.7527648845711701</v>
      </c>
      <c r="K11" s="824" t="s">
        <v>3088</v>
      </c>
      <c r="L11" s="824">
        <v>52.271219512195131</v>
      </c>
      <c r="M11" s="824">
        <v>76.3</v>
      </c>
    </row>
    <row r="12" spans="1:13">
      <c r="A12" s="824">
        <v>1999</v>
      </c>
      <c r="B12" s="824" t="s">
        <v>153</v>
      </c>
      <c r="C12" s="824" t="str">
        <f t="shared" si="0"/>
        <v>1999_Cote d'Ivoire</v>
      </c>
      <c r="D12" s="824">
        <v>12556457526.935257</v>
      </c>
      <c r="E12" s="824">
        <v>15802248</v>
      </c>
      <c r="F12" s="824" t="s">
        <v>3088</v>
      </c>
      <c r="G12" s="824">
        <v>447360000</v>
      </c>
      <c r="H12" s="824">
        <v>447360000</v>
      </c>
      <c r="I12" s="824">
        <v>4.0357000000000003</v>
      </c>
      <c r="J12" s="824">
        <v>1.77389475446152</v>
      </c>
      <c r="K12" s="824" t="s">
        <v>3088</v>
      </c>
      <c r="L12" s="824">
        <v>46.835560975609759</v>
      </c>
      <c r="M12" s="824">
        <v>101</v>
      </c>
    </row>
    <row r="13" spans="1:13">
      <c r="A13" s="824">
        <v>1999</v>
      </c>
      <c r="B13" s="824" t="s">
        <v>188</v>
      </c>
      <c r="C13" s="824" t="str">
        <f t="shared" si="0"/>
        <v>1999_Equatorial Guinea</v>
      </c>
      <c r="D13" s="824">
        <v>621117853.41329598</v>
      </c>
      <c r="E13" s="824">
        <v>502169</v>
      </c>
      <c r="F13" s="824" t="s">
        <v>3088</v>
      </c>
      <c r="G13" s="824">
        <v>20140000</v>
      </c>
      <c r="H13" s="824">
        <v>20140000</v>
      </c>
      <c r="I13" s="824" t="s">
        <v>3088</v>
      </c>
      <c r="J13" s="824">
        <v>1.36917989250512</v>
      </c>
      <c r="K13" s="824" t="s">
        <v>3088</v>
      </c>
      <c r="L13" s="824">
        <v>47.737536585365859</v>
      </c>
      <c r="M13" s="824">
        <v>101.3</v>
      </c>
    </row>
    <row r="14" spans="1:13">
      <c r="A14" s="824">
        <v>1999</v>
      </c>
      <c r="B14" s="824" t="s">
        <v>191</v>
      </c>
      <c r="C14" s="824" t="str">
        <f t="shared" si="0"/>
        <v>1999_Gabon</v>
      </c>
      <c r="D14" s="824">
        <v>4662991794.0539551</v>
      </c>
      <c r="E14" s="824">
        <v>1195919</v>
      </c>
      <c r="F14" s="824" t="s">
        <v>3088</v>
      </c>
      <c r="G14" s="824">
        <v>47610000</v>
      </c>
      <c r="H14" s="824">
        <v>47610000</v>
      </c>
      <c r="I14" s="824">
        <v>3.0812300000000001</v>
      </c>
      <c r="J14" s="824">
        <v>1.2091887596736299</v>
      </c>
      <c r="K14" s="824" t="s">
        <v>3088</v>
      </c>
      <c r="L14" s="824">
        <v>59.968121951219523</v>
      </c>
      <c r="M14" s="824">
        <v>56</v>
      </c>
    </row>
    <row r="15" spans="1:13">
      <c r="A15" s="824">
        <v>1999</v>
      </c>
      <c r="B15" s="824" t="s">
        <v>195</v>
      </c>
      <c r="C15" s="824" t="str">
        <f t="shared" si="0"/>
        <v>1999_Ghana</v>
      </c>
      <c r="D15" s="824">
        <v>7718110780.9481468</v>
      </c>
      <c r="E15" s="824">
        <v>18384302</v>
      </c>
      <c r="F15" s="824" t="s">
        <v>3088</v>
      </c>
      <c r="G15" s="824">
        <v>607780000</v>
      </c>
      <c r="H15" s="824">
        <v>607780000</v>
      </c>
      <c r="I15" s="824">
        <v>4.1103699999999996</v>
      </c>
      <c r="J15" s="824">
        <v>2.5912119335464898</v>
      </c>
      <c r="K15" s="824" t="s">
        <v>3088</v>
      </c>
      <c r="L15" s="824">
        <v>56.953707317073174</v>
      </c>
      <c r="M15" s="824">
        <v>67</v>
      </c>
    </row>
    <row r="16" spans="1:13">
      <c r="A16" s="824">
        <v>1999</v>
      </c>
      <c r="B16" s="824" t="s">
        <v>3089</v>
      </c>
      <c r="C16" s="824" t="str">
        <f t="shared" si="0"/>
        <v>1999_Guinea</v>
      </c>
      <c r="D16" s="824">
        <v>3461282189.6964331</v>
      </c>
      <c r="E16" s="824">
        <v>8600911</v>
      </c>
      <c r="F16" s="824">
        <v>11.971626516321862</v>
      </c>
      <c r="G16" s="824">
        <v>237640000</v>
      </c>
      <c r="H16" s="824">
        <v>237640000</v>
      </c>
      <c r="I16" s="824">
        <v>2.3614199999999999</v>
      </c>
      <c r="J16" s="824">
        <v>1.0340789951800899</v>
      </c>
      <c r="K16" s="824" t="s">
        <v>3088</v>
      </c>
      <c r="L16" s="824">
        <v>51.335634146341476</v>
      </c>
      <c r="M16" s="824">
        <v>106.9</v>
      </c>
    </row>
    <row r="17" spans="1:13">
      <c r="A17" s="824">
        <v>1999</v>
      </c>
      <c r="B17" s="824" t="s">
        <v>219</v>
      </c>
      <c r="C17" s="824" t="str">
        <f t="shared" si="0"/>
        <v>1999_Guatemala</v>
      </c>
      <c r="D17" s="824">
        <v>18317089473.090385</v>
      </c>
      <c r="E17" s="824">
        <v>10941913</v>
      </c>
      <c r="F17" s="824">
        <v>10.323847152464129</v>
      </c>
      <c r="G17" s="824">
        <v>293140000</v>
      </c>
      <c r="H17" s="824">
        <v>293140000</v>
      </c>
      <c r="I17" s="824" t="s">
        <v>3088</v>
      </c>
      <c r="J17" s="824">
        <v>2.4579602898933999</v>
      </c>
      <c r="K17" s="824" t="s">
        <v>3088</v>
      </c>
      <c r="L17" s="824">
        <v>67.21519512195124</v>
      </c>
      <c r="M17" s="824">
        <v>41.5</v>
      </c>
    </row>
    <row r="18" spans="1:13">
      <c r="A18" s="824">
        <v>1999</v>
      </c>
      <c r="B18" s="824" t="s">
        <v>243</v>
      </c>
      <c r="C18" s="824" t="str">
        <f t="shared" si="0"/>
        <v>1999_Indonesia</v>
      </c>
      <c r="D18" s="824">
        <v>140001352527.22189</v>
      </c>
      <c r="E18" s="824">
        <v>205946831</v>
      </c>
      <c r="F18" s="824">
        <v>16.709986166020951</v>
      </c>
      <c r="G18" s="824">
        <v>2122659999.9999998</v>
      </c>
      <c r="H18" s="824">
        <v>2122659999.9999998</v>
      </c>
      <c r="I18" s="824" t="s">
        <v>3088</v>
      </c>
      <c r="J18" s="824">
        <v>0.78934694634796998</v>
      </c>
      <c r="K18" s="824">
        <v>23.4</v>
      </c>
      <c r="L18" s="824">
        <v>66.910243902439035</v>
      </c>
      <c r="M18" s="824">
        <v>42.8</v>
      </c>
    </row>
    <row r="19" spans="1:13">
      <c r="A19" s="824">
        <v>1999</v>
      </c>
      <c r="B19" s="824" t="s">
        <v>251</v>
      </c>
      <c r="C19" s="824" t="str">
        <f t="shared" si="0"/>
        <v>1999_Iraq</v>
      </c>
      <c r="D19" s="824" t="s">
        <v>3088</v>
      </c>
      <c r="E19" s="824">
        <v>23091408</v>
      </c>
      <c r="F19" s="824" t="s">
        <v>3088</v>
      </c>
      <c r="G19" s="824">
        <v>76790000</v>
      </c>
      <c r="H19" s="824">
        <v>76790000</v>
      </c>
      <c r="I19" s="824" t="s">
        <v>3088</v>
      </c>
      <c r="J19" s="824">
        <v>6.6088466549712302E-2</v>
      </c>
      <c r="K19" s="824" t="s">
        <v>3088</v>
      </c>
      <c r="L19" s="824">
        <v>70.93470731707319</v>
      </c>
      <c r="M19" s="824">
        <v>36.299999999999997</v>
      </c>
    </row>
    <row r="20" spans="1:13">
      <c r="A20" s="824">
        <v>1999</v>
      </c>
      <c r="B20" s="824" t="s">
        <v>280</v>
      </c>
      <c r="C20" s="824" t="str">
        <f t="shared" si="0"/>
        <v>1999_Kazakhstan</v>
      </c>
      <c r="D20" s="824">
        <v>16870817134.77667</v>
      </c>
      <c r="E20" s="824">
        <v>14928426</v>
      </c>
      <c r="F20" s="824">
        <v>8.5652240517188485</v>
      </c>
      <c r="G20" s="824">
        <v>174980000</v>
      </c>
      <c r="H20" s="824">
        <v>174980000</v>
      </c>
      <c r="I20" s="824">
        <v>3.8925700000000001</v>
      </c>
      <c r="J20" s="824">
        <v>2.2961076264495701</v>
      </c>
      <c r="K20" s="824" t="s">
        <v>3088</v>
      </c>
      <c r="L20" s="824">
        <v>65.519512195121962</v>
      </c>
      <c r="M20" s="824">
        <v>39.4</v>
      </c>
    </row>
    <row r="21" spans="1:13">
      <c r="A21" s="824">
        <v>1999</v>
      </c>
      <c r="B21" s="824" t="s">
        <v>285</v>
      </c>
      <c r="C21" s="824" t="str">
        <f t="shared" si="0"/>
        <v>1999_Kyrgyz Republic</v>
      </c>
      <c r="D21" s="824">
        <v>1249062025.1380541</v>
      </c>
      <c r="E21" s="824">
        <v>4840400</v>
      </c>
      <c r="F21" s="824">
        <v>15.848548891770747</v>
      </c>
      <c r="G21" s="824">
        <v>283130000</v>
      </c>
      <c r="H21" s="824">
        <v>283130000</v>
      </c>
      <c r="I21" s="824">
        <v>4.0852199999999996</v>
      </c>
      <c r="J21" s="824">
        <v>2.2515479269243399</v>
      </c>
      <c r="K21" s="824" t="s">
        <v>3088</v>
      </c>
      <c r="L21" s="824">
        <v>67.002439024390256</v>
      </c>
      <c r="M21" s="824">
        <v>43.8</v>
      </c>
    </row>
    <row r="22" spans="1:13">
      <c r="A22" s="824">
        <v>1999</v>
      </c>
      <c r="B22" s="824" t="s">
        <v>301</v>
      </c>
      <c r="C22" s="824" t="str">
        <f t="shared" si="0"/>
        <v>1999_Liberia</v>
      </c>
      <c r="D22" s="824">
        <v>441800019.37831867</v>
      </c>
      <c r="E22" s="824">
        <v>2741755</v>
      </c>
      <c r="F22" s="824" t="s">
        <v>3088</v>
      </c>
      <c r="G22" s="824">
        <v>93950000</v>
      </c>
      <c r="H22" s="824">
        <v>93950000</v>
      </c>
      <c r="I22" s="824" t="s">
        <v>3088</v>
      </c>
      <c r="J22" s="824">
        <v>1.5730205061825799</v>
      </c>
      <c r="K22" s="824" t="s">
        <v>3088</v>
      </c>
      <c r="L22" s="824">
        <v>52.301170731707323</v>
      </c>
      <c r="M22" s="824">
        <v>126.4</v>
      </c>
    </row>
    <row r="23" spans="1:13">
      <c r="A23" s="824">
        <v>1999</v>
      </c>
      <c r="B23" s="824" t="s">
        <v>316</v>
      </c>
      <c r="C23" s="824" t="str">
        <f t="shared" si="0"/>
        <v>1999_Madagascar</v>
      </c>
      <c r="D23" s="824">
        <v>3717515282.5331903</v>
      </c>
      <c r="E23" s="824">
        <v>15262817</v>
      </c>
      <c r="F23" s="824" t="s">
        <v>3088</v>
      </c>
      <c r="G23" s="824">
        <v>358100000</v>
      </c>
      <c r="H23" s="824">
        <v>358100000</v>
      </c>
      <c r="I23" s="824">
        <v>2.76755</v>
      </c>
      <c r="J23" s="824">
        <v>1.95464923238496</v>
      </c>
      <c r="K23" s="824" t="s">
        <v>3088</v>
      </c>
      <c r="L23" s="824">
        <v>57.77173170731708</v>
      </c>
      <c r="M23" s="824">
        <v>74</v>
      </c>
    </row>
    <row r="24" spans="1:13">
      <c r="A24" s="824">
        <v>1999</v>
      </c>
      <c r="B24" s="824" t="s">
        <v>329</v>
      </c>
      <c r="C24" s="824" t="str">
        <f t="shared" si="0"/>
        <v>1999_Mali</v>
      </c>
      <c r="D24" s="824">
        <v>2570429654.9005041</v>
      </c>
      <c r="E24" s="824">
        <v>9977308</v>
      </c>
      <c r="F24" s="824" t="s">
        <v>3088</v>
      </c>
      <c r="G24" s="824">
        <v>354270000</v>
      </c>
      <c r="H24" s="824">
        <v>354270000</v>
      </c>
      <c r="I24" s="824">
        <v>2.9863900000000001</v>
      </c>
      <c r="J24" s="824">
        <v>1.8194883120847301</v>
      </c>
      <c r="K24" s="824" t="s">
        <v>3088</v>
      </c>
      <c r="L24" s="824">
        <v>48.645048780487812</v>
      </c>
      <c r="M24" s="824">
        <v>119</v>
      </c>
    </row>
    <row r="25" spans="1:13">
      <c r="A25" s="824">
        <v>1999</v>
      </c>
      <c r="B25" s="824" t="s">
        <v>345</v>
      </c>
      <c r="C25" s="824" t="str">
        <f t="shared" si="0"/>
        <v>1999_Mauritania</v>
      </c>
      <c r="D25" s="824">
        <v>1194629230.9821777</v>
      </c>
      <c r="E25" s="824">
        <v>2627739</v>
      </c>
      <c r="F25" s="824" t="s">
        <v>3088</v>
      </c>
      <c r="G25" s="824">
        <v>222450000</v>
      </c>
      <c r="H25" s="824">
        <v>222450000</v>
      </c>
      <c r="I25" s="824">
        <v>2.43289</v>
      </c>
      <c r="J25" s="824">
        <v>4.0314972990843101</v>
      </c>
      <c r="K25" s="824" t="s">
        <v>3088</v>
      </c>
      <c r="L25" s="824">
        <v>59.58085365853659</v>
      </c>
      <c r="M25" s="824">
        <v>76.099999999999994</v>
      </c>
    </row>
    <row r="26" spans="1:13">
      <c r="A26" s="824">
        <v>1999</v>
      </c>
      <c r="B26" s="824" t="s">
        <v>364</v>
      </c>
      <c r="C26" s="824" t="str">
        <f t="shared" si="0"/>
        <v>1999_Mongolia</v>
      </c>
      <c r="D26" s="824">
        <v>1057408608.4357866</v>
      </c>
      <c r="E26" s="824">
        <v>2376197</v>
      </c>
      <c r="F26" s="824">
        <v>18.191131780056974</v>
      </c>
      <c r="G26" s="824">
        <v>222260000</v>
      </c>
      <c r="H26" s="824">
        <v>222260000</v>
      </c>
      <c r="I26" s="824">
        <v>5.1456600000000003</v>
      </c>
      <c r="J26" s="824">
        <v>3.4173999483821098</v>
      </c>
      <c r="K26" s="824" t="s">
        <v>3088</v>
      </c>
      <c r="L26" s="824">
        <v>62.480121951219516</v>
      </c>
      <c r="M26" s="824">
        <v>52</v>
      </c>
    </row>
    <row r="27" spans="1:13">
      <c r="A27" s="824">
        <v>1999</v>
      </c>
      <c r="B27" s="824" t="s">
        <v>385</v>
      </c>
      <c r="C27" s="824" t="str">
        <f t="shared" si="0"/>
        <v>1999_Mozambique</v>
      </c>
      <c r="D27" s="824">
        <v>4536278939.2447462</v>
      </c>
      <c r="E27" s="824">
        <v>17798102</v>
      </c>
      <c r="F27" s="824" t="s">
        <v>3088</v>
      </c>
      <c r="G27" s="824">
        <v>818520000</v>
      </c>
      <c r="H27" s="824">
        <v>818520000</v>
      </c>
      <c r="I27" s="824">
        <v>3.6599599999999999</v>
      </c>
      <c r="J27" s="824">
        <v>3.56609747018631</v>
      </c>
      <c r="K27" s="824" t="s">
        <v>3088</v>
      </c>
      <c r="L27" s="824">
        <v>47.258292682926836</v>
      </c>
      <c r="M27" s="824">
        <v>119.4</v>
      </c>
    </row>
    <row r="28" spans="1:13">
      <c r="A28" s="824">
        <v>1999</v>
      </c>
      <c r="B28" s="824" t="s">
        <v>394</v>
      </c>
      <c r="C28" s="824" t="str">
        <f t="shared" si="0"/>
        <v>1999_Niger</v>
      </c>
      <c r="D28" s="824">
        <v>2018193598.2538702</v>
      </c>
      <c r="E28" s="824">
        <v>10596258</v>
      </c>
      <c r="F28" s="824" t="s">
        <v>3088</v>
      </c>
      <c r="G28" s="824">
        <v>187070000</v>
      </c>
      <c r="H28" s="824">
        <v>187070000</v>
      </c>
      <c r="I28" s="824">
        <v>3.2286299999999999</v>
      </c>
      <c r="J28" s="824">
        <v>1.6102766748277799</v>
      </c>
      <c r="K28" s="824" t="s">
        <v>3088</v>
      </c>
      <c r="L28" s="824">
        <v>49.99721951219513</v>
      </c>
      <c r="M28" s="824">
        <v>104.2</v>
      </c>
    </row>
    <row r="29" spans="1:13">
      <c r="A29" s="824">
        <v>1999</v>
      </c>
      <c r="B29" s="824" t="s">
        <v>413</v>
      </c>
      <c r="C29" s="824" t="str">
        <f t="shared" si="0"/>
        <v>1999_Nigeria</v>
      </c>
      <c r="D29" s="824">
        <v>35870792987.943222</v>
      </c>
      <c r="E29" s="824">
        <v>119831888</v>
      </c>
      <c r="F29" s="824" t="s">
        <v>3088</v>
      </c>
      <c r="G29" s="824">
        <v>151800000</v>
      </c>
      <c r="H29" s="824">
        <v>151800000</v>
      </c>
      <c r="I29" s="824" t="s">
        <v>3088</v>
      </c>
      <c r="J29" s="824">
        <v>1.6315964685548801</v>
      </c>
      <c r="K29" s="824" t="s">
        <v>3088</v>
      </c>
      <c r="L29" s="824">
        <v>46.442682926829278</v>
      </c>
      <c r="M29" s="824">
        <v>115.3</v>
      </c>
    </row>
    <row r="30" spans="1:13">
      <c r="A30" s="824">
        <v>1999</v>
      </c>
      <c r="B30" s="824" t="s">
        <v>436</v>
      </c>
      <c r="C30" s="824" t="str">
        <f t="shared" si="0"/>
        <v>1999_Norway</v>
      </c>
      <c r="D30" s="824">
        <v>159045286696.07138</v>
      </c>
      <c r="E30" s="824">
        <v>4461913</v>
      </c>
      <c r="F30" s="824" t="s">
        <v>3088</v>
      </c>
      <c r="G30" s="824" t="s">
        <v>3088</v>
      </c>
      <c r="H30" s="824" t="s">
        <v>3088</v>
      </c>
      <c r="I30" s="824">
        <v>7.1083600000000002</v>
      </c>
      <c r="J30" s="824">
        <v>8.2951784306359304</v>
      </c>
      <c r="K30" s="824" t="s">
        <v>3088</v>
      </c>
      <c r="L30" s="824">
        <v>78.282926829268291</v>
      </c>
      <c r="M30" s="824">
        <v>4</v>
      </c>
    </row>
    <row r="31" spans="1:13">
      <c r="A31" s="824">
        <v>1999</v>
      </c>
      <c r="B31" s="824" t="s">
        <v>449</v>
      </c>
      <c r="C31" s="824" t="str">
        <f t="shared" si="0"/>
        <v>1999_Peru</v>
      </c>
      <c r="D31" s="824">
        <v>49308109291.756302</v>
      </c>
      <c r="E31" s="824">
        <v>25611482</v>
      </c>
      <c r="F31" s="824">
        <v>18.005396525740718</v>
      </c>
      <c r="G31" s="824">
        <v>444710000</v>
      </c>
      <c r="H31" s="824">
        <v>444710000</v>
      </c>
      <c r="I31" s="824">
        <v>3.3513199999999999</v>
      </c>
      <c r="J31" s="824">
        <v>2.7506867886354902</v>
      </c>
      <c r="K31" s="824" t="s">
        <v>3088</v>
      </c>
      <c r="L31" s="824">
        <v>70.030097560975619</v>
      </c>
      <c r="M31" s="824">
        <v>32.700000000000003</v>
      </c>
    </row>
    <row r="32" spans="1:13">
      <c r="A32" s="824">
        <v>1999</v>
      </c>
      <c r="B32" s="824" t="s">
        <v>488</v>
      </c>
      <c r="C32" s="824" t="str">
        <f t="shared" si="0"/>
        <v>1999_Sierra Leone</v>
      </c>
      <c r="D32" s="824">
        <v>669384768.87263048</v>
      </c>
      <c r="E32" s="824">
        <v>4030443</v>
      </c>
      <c r="F32" s="824">
        <v>7.1058979846054999</v>
      </c>
      <c r="G32" s="824">
        <v>73630000</v>
      </c>
      <c r="H32" s="824">
        <v>73630000</v>
      </c>
      <c r="I32" s="824" t="s">
        <v>3088</v>
      </c>
      <c r="J32" s="824">
        <v>2.9731327782188299</v>
      </c>
      <c r="K32" s="824" t="s">
        <v>3088</v>
      </c>
      <c r="L32" s="824">
        <v>37.453073170731706</v>
      </c>
      <c r="M32" s="824">
        <v>143.9</v>
      </c>
    </row>
    <row r="33" spans="1:13">
      <c r="A33" s="824">
        <v>1999</v>
      </c>
      <c r="B33" s="824" t="s">
        <v>499</v>
      </c>
      <c r="C33" s="824" t="str">
        <f t="shared" si="0"/>
        <v>1999_Tanzania</v>
      </c>
      <c r="D33" s="824">
        <v>9697847589.1683483</v>
      </c>
      <c r="E33" s="824">
        <v>33183093</v>
      </c>
      <c r="F33" s="824" t="s">
        <v>3088</v>
      </c>
      <c r="G33" s="824">
        <v>991860000</v>
      </c>
      <c r="H33" s="824">
        <v>991860000</v>
      </c>
      <c r="I33" s="824" t="s">
        <v>3088</v>
      </c>
      <c r="J33" s="824">
        <v>1.5162418121808601</v>
      </c>
      <c r="K33" s="824" t="s">
        <v>3088</v>
      </c>
      <c r="L33" s="824">
        <v>49.589195121951228</v>
      </c>
      <c r="M33" s="824">
        <v>85</v>
      </c>
    </row>
    <row r="34" spans="1:13">
      <c r="A34" s="824">
        <v>1999</v>
      </c>
      <c r="B34" s="824" t="s">
        <v>3090</v>
      </c>
      <c r="C34" s="824" t="str">
        <f t="shared" si="0"/>
        <v>1999_Timor-Leste</v>
      </c>
      <c r="D34" s="824" t="s">
        <v>3088</v>
      </c>
      <c r="E34" s="824">
        <v>848230</v>
      </c>
      <c r="F34" s="824" t="s">
        <v>3088</v>
      </c>
      <c r="G34" s="824">
        <v>152820000</v>
      </c>
      <c r="H34" s="824">
        <v>152820000</v>
      </c>
      <c r="I34" s="824" t="s">
        <v>3088</v>
      </c>
      <c r="J34" s="824" t="s">
        <v>3088</v>
      </c>
      <c r="K34" s="824" t="s">
        <v>3088</v>
      </c>
      <c r="L34" s="824">
        <v>58.50321951219513</v>
      </c>
      <c r="M34" s="824">
        <v>87.8</v>
      </c>
    </row>
    <row r="35" spans="1:13">
      <c r="A35" s="824">
        <v>1999</v>
      </c>
      <c r="B35" s="824" t="s">
        <v>517</v>
      </c>
      <c r="C35" s="824" t="str">
        <f t="shared" si="0"/>
        <v>1999_Togo</v>
      </c>
      <c r="D35" s="824">
        <v>1576094484.7089443</v>
      </c>
      <c r="E35" s="824">
        <v>4740974</v>
      </c>
      <c r="F35" s="824" t="s">
        <v>3088</v>
      </c>
      <c r="G35" s="824">
        <v>71420000</v>
      </c>
      <c r="H35" s="824">
        <v>71420000</v>
      </c>
      <c r="I35" s="824">
        <v>4.1857199999999999</v>
      </c>
      <c r="J35" s="824">
        <v>1.47739469079048</v>
      </c>
      <c r="K35" s="824" t="s">
        <v>3088</v>
      </c>
      <c r="L35" s="824">
        <v>53.594170731707322</v>
      </c>
      <c r="M35" s="824">
        <v>78.5</v>
      </c>
    </row>
    <row r="36" spans="1:13">
      <c r="A36" s="824">
        <v>1999</v>
      </c>
      <c r="B36" s="824" t="s">
        <v>3091</v>
      </c>
      <c r="C36" s="824" t="str">
        <f t="shared" si="0"/>
        <v>1999_Trinidad and Tobago</v>
      </c>
      <c r="D36" s="824">
        <v>6808976096.217165</v>
      </c>
      <c r="E36" s="824">
        <v>1264781</v>
      </c>
      <c r="F36" s="824" t="s">
        <v>3088</v>
      </c>
      <c r="G36" s="824">
        <v>26200000</v>
      </c>
      <c r="H36" s="824">
        <v>26200000</v>
      </c>
      <c r="I36" s="824">
        <v>2.7561200000000001</v>
      </c>
      <c r="J36" s="824">
        <v>1.89019991192741</v>
      </c>
      <c r="K36" s="824" t="s">
        <v>3088</v>
      </c>
      <c r="L36" s="824">
        <v>68.551560975609775</v>
      </c>
      <c r="M36" s="824">
        <v>25.4</v>
      </c>
    </row>
    <row r="37" spans="1:13">
      <c r="A37" s="824">
        <v>1999</v>
      </c>
      <c r="B37" s="824" t="s">
        <v>3092</v>
      </c>
      <c r="C37" s="824" t="str">
        <f t="shared" si="0"/>
        <v>1999_Yemen, Rep.</v>
      </c>
      <c r="D37" s="824">
        <v>7641101221.438755</v>
      </c>
      <c r="E37" s="824">
        <v>17035531</v>
      </c>
      <c r="F37" s="824">
        <v>23.368270304750908</v>
      </c>
      <c r="G37" s="824">
        <v>459140000</v>
      </c>
      <c r="H37" s="824">
        <v>459140000</v>
      </c>
      <c r="I37" s="824" t="s">
        <v>3088</v>
      </c>
      <c r="J37" s="824">
        <v>2.1273911552588598</v>
      </c>
      <c r="K37" s="824" t="s">
        <v>3088</v>
      </c>
      <c r="L37" s="824">
        <v>60.227560975609762</v>
      </c>
      <c r="M37" s="824">
        <v>71.8</v>
      </c>
    </row>
    <row r="38" spans="1:13">
      <c r="A38" s="824">
        <v>1999</v>
      </c>
      <c r="B38" s="824" t="s">
        <v>541</v>
      </c>
      <c r="C38" s="824" t="str">
        <f t="shared" si="0"/>
        <v>1999_Zambia</v>
      </c>
      <c r="D38" s="824">
        <v>3404284652.9358487</v>
      </c>
      <c r="E38" s="824">
        <v>9839179</v>
      </c>
      <c r="F38" s="824">
        <v>17.592724371507856</v>
      </c>
      <c r="G38" s="824">
        <v>623030000</v>
      </c>
      <c r="H38" s="824">
        <v>623030000</v>
      </c>
      <c r="I38" s="824">
        <v>1.9296599999999999</v>
      </c>
      <c r="J38" s="824">
        <v>2.8643665919143801</v>
      </c>
      <c r="K38" s="824" t="s">
        <v>3088</v>
      </c>
      <c r="L38" s="824">
        <v>41.264536585365853</v>
      </c>
      <c r="M38" s="824">
        <v>102.7</v>
      </c>
    </row>
    <row r="39" spans="1:13">
      <c r="A39" s="824">
        <v>2000</v>
      </c>
      <c r="B39" s="824" t="s">
        <v>21</v>
      </c>
      <c r="C39" s="824" t="str">
        <f t="shared" si="0"/>
        <v>2000_Afghanistan</v>
      </c>
      <c r="D39" s="824" t="s">
        <v>3088</v>
      </c>
      <c r="E39" s="824">
        <v>20595360</v>
      </c>
      <c r="F39" s="824" t="s">
        <v>3088</v>
      </c>
      <c r="G39" s="824">
        <v>136010000</v>
      </c>
      <c r="H39" s="824">
        <v>136010000</v>
      </c>
      <c r="I39" s="824" t="s">
        <v>3088</v>
      </c>
      <c r="J39" s="824" t="s">
        <v>3088</v>
      </c>
      <c r="K39" s="824" t="s">
        <v>3088</v>
      </c>
      <c r="L39" s="824">
        <v>54.848560975609757</v>
      </c>
      <c r="M39" s="824">
        <v>94.5</v>
      </c>
    </row>
    <row r="40" spans="1:13">
      <c r="A40" s="824">
        <v>2000</v>
      </c>
      <c r="B40" s="824" t="s">
        <v>38</v>
      </c>
      <c r="C40" s="824" t="str">
        <f t="shared" si="0"/>
        <v>2000_Albania</v>
      </c>
      <c r="D40" s="824">
        <v>3686649386.8396196</v>
      </c>
      <c r="E40" s="824">
        <v>3089027</v>
      </c>
      <c r="F40" s="824" t="s">
        <v>3088</v>
      </c>
      <c r="G40" s="824">
        <v>317850000</v>
      </c>
      <c r="H40" s="824">
        <v>317850000</v>
      </c>
      <c r="I40" s="824">
        <v>3.2382300000000002</v>
      </c>
      <c r="J40" s="824">
        <v>2.2923735010524902</v>
      </c>
      <c r="K40" s="824" t="s">
        <v>3088</v>
      </c>
      <c r="L40" s="824">
        <v>74.272073170731701</v>
      </c>
      <c r="M40" s="824">
        <v>23.2</v>
      </c>
    </row>
    <row r="41" spans="1:13">
      <c r="A41" s="824">
        <v>2000</v>
      </c>
      <c r="B41" s="824" t="s">
        <v>53</v>
      </c>
      <c r="C41" s="824" t="str">
        <f t="shared" si="0"/>
        <v>2000_Azerbaijan</v>
      </c>
      <c r="D41" s="824">
        <v>5272617196.0451736</v>
      </c>
      <c r="E41" s="824">
        <v>8048600</v>
      </c>
      <c r="F41" s="824" t="s">
        <v>3088</v>
      </c>
      <c r="G41" s="824">
        <v>139120000</v>
      </c>
      <c r="H41" s="824">
        <v>139120000</v>
      </c>
      <c r="I41" s="824">
        <v>3.85399</v>
      </c>
      <c r="J41" s="824">
        <v>0.86689275116574804</v>
      </c>
      <c r="K41" s="824" t="s">
        <v>3088</v>
      </c>
      <c r="L41" s="824">
        <v>66.758243902439034</v>
      </c>
      <c r="M41" s="824">
        <v>60.7</v>
      </c>
    </row>
    <row r="42" spans="1:13">
      <c r="A42" s="824">
        <v>2000</v>
      </c>
      <c r="B42" s="824" t="s">
        <v>98</v>
      </c>
      <c r="C42" s="824" t="str">
        <f t="shared" si="0"/>
        <v>2000_Burkina Faso</v>
      </c>
      <c r="D42" s="824">
        <v>2610959139.409627</v>
      </c>
      <c r="E42" s="824">
        <v>11607944</v>
      </c>
      <c r="F42" s="824" t="s">
        <v>3088</v>
      </c>
      <c r="G42" s="824">
        <v>179780000</v>
      </c>
      <c r="H42" s="824">
        <v>179780000</v>
      </c>
      <c r="I42" s="824" t="s">
        <v>3088</v>
      </c>
      <c r="J42" s="824">
        <v>2.0341025453672499</v>
      </c>
      <c r="K42" s="824" t="s">
        <v>3088</v>
      </c>
      <c r="L42" s="824">
        <v>50.482756097560987</v>
      </c>
      <c r="M42" s="824">
        <v>96.2</v>
      </c>
    </row>
    <row r="43" spans="1:13">
      <c r="A43" s="824">
        <v>2000</v>
      </c>
      <c r="B43" s="824" t="s">
        <v>101</v>
      </c>
      <c r="C43" s="824" t="str">
        <f t="shared" si="0"/>
        <v>2000_Cameroon</v>
      </c>
      <c r="D43" s="824">
        <v>9287367568.7944279</v>
      </c>
      <c r="E43" s="824">
        <v>15927713</v>
      </c>
      <c r="F43" s="824" t="s">
        <v>3088</v>
      </c>
      <c r="G43" s="824">
        <v>376730000</v>
      </c>
      <c r="H43" s="824">
        <v>376730000</v>
      </c>
      <c r="I43" s="824">
        <v>1.93258</v>
      </c>
      <c r="J43" s="824">
        <v>0.93262853246375399</v>
      </c>
      <c r="K43" s="824" t="s">
        <v>3088</v>
      </c>
      <c r="L43" s="824">
        <v>51.935878048780488</v>
      </c>
      <c r="M43" s="824">
        <v>92.5</v>
      </c>
    </row>
    <row r="44" spans="1:13">
      <c r="A44" s="824">
        <v>2000</v>
      </c>
      <c r="B44" s="824" t="s">
        <v>138</v>
      </c>
      <c r="C44" s="824" t="str">
        <f t="shared" si="0"/>
        <v>2000_Chad</v>
      </c>
      <c r="D44" s="824">
        <v>1385058211.5089853</v>
      </c>
      <c r="E44" s="824">
        <v>8301151</v>
      </c>
      <c r="F44" s="824" t="s">
        <v>3088</v>
      </c>
      <c r="G44" s="824">
        <v>131289999.99999999</v>
      </c>
      <c r="H44" s="824">
        <v>131289999.99999999</v>
      </c>
      <c r="I44" s="824">
        <v>2.6467100000000001</v>
      </c>
      <c r="J44" s="824">
        <v>2.66748035248902</v>
      </c>
      <c r="K44" s="824" t="s">
        <v>3088</v>
      </c>
      <c r="L44" s="824">
        <v>46.687170731707319</v>
      </c>
      <c r="M44" s="824">
        <v>105.9</v>
      </c>
    </row>
    <row r="45" spans="1:13">
      <c r="A45" s="824">
        <v>2000</v>
      </c>
      <c r="B45" s="824" t="s">
        <v>127</v>
      </c>
      <c r="C45" s="824" t="str">
        <f t="shared" si="0"/>
        <v>2000_Central African Republic</v>
      </c>
      <c r="D45" s="824">
        <v>914500331.98372293</v>
      </c>
      <c r="E45" s="824">
        <v>3638316</v>
      </c>
      <c r="F45" s="824" t="s">
        <v>3088</v>
      </c>
      <c r="G45" s="824">
        <v>75280000</v>
      </c>
      <c r="H45" s="824">
        <v>75280000</v>
      </c>
      <c r="I45" s="824">
        <v>1.6126499999999999</v>
      </c>
      <c r="J45" s="824">
        <v>2.1504080943747801</v>
      </c>
      <c r="K45" s="824" t="s">
        <v>3088</v>
      </c>
      <c r="L45" s="824">
        <v>43.692317073170742</v>
      </c>
      <c r="M45" s="824">
        <v>113.3</v>
      </c>
    </row>
    <row r="46" spans="1:13">
      <c r="A46" s="824">
        <v>2000</v>
      </c>
      <c r="B46" s="824" t="s">
        <v>171</v>
      </c>
      <c r="C46" s="824" t="str">
        <f t="shared" si="0"/>
        <v>2000_Democratic Republic of Congo</v>
      </c>
      <c r="D46" s="824">
        <v>19088046305.7971</v>
      </c>
      <c r="E46" s="824">
        <v>46949244</v>
      </c>
      <c r="F46" s="824">
        <v>0.84222397029941609</v>
      </c>
      <c r="G46" s="824">
        <v>177120000</v>
      </c>
      <c r="H46" s="824">
        <v>177120000</v>
      </c>
      <c r="I46" s="824" t="s">
        <v>3088</v>
      </c>
      <c r="J46" s="824">
        <v>0.19819880932825501</v>
      </c>
      <c r="K46" s="824" t="s">
        <v>3088</v>
      </c>
      <c r="L46" s="824">
        <v>46.355731707317076</v>
      </c>
      <c r="M46" s="824">
        <v>114.6</v>
      </c>
    </row>
    <row r="47" spans="1:13">
      <c r="A47" s="824">
        <v>2000</v>
      </c>
      <c r="B47" s="824" t="s">
        <v>465</v>
      </c>
      <c r="C47" s="824" t="str">
        <f t="shared" si="0"/>
        <v>2000_Republic of the Congo</v>
      </c>
      <c r="D47" s="824">
        <v>3219910666.0298014</v>
      </c>
      <c r="E47" s="824">
        <v>3126204</v>
      </c>
      <c r="F47" s="824" t="s">
        <v>3088</v>
      </c>
      <c r="G47" s="824">
        <v>32040000</v>
      </c>
      <c r="H47" s="824">
        <v>32040000</v>
      </c>
      <c r="I47" s="824" t="s">
        <v>3088</v>
      </c>
      <c r="J47" s="824">
        <v>1.22259206442399</v>
      </c>
      <c r="K47" s="824" t="s">
        <v>3088</v>
      </c>
      <c r="L47" s="824">
        <v>52.301926829268304</v>
      </c>
      <c r="M47" s="824">
        <v>76.5</v>
      </c>
    </row>
    <row r="48" spans="1:13">
      <c r="A48" s="824">
        <v>2000</v>
      </c>
      <c r="B48" s="824" t="s">
        <v>153</v>
      </c>
      <c r="C48" s="824" t="str">
        <f t="shared" si="0"/>
        <v>2000_Cote d'Ivoire</v>
      </c>
      <c r="D48" s="824">
        <v>10417060604.904352</v>
      </c>
      <c r="E48" s="824">
        <v>16131332</v>
      </c>
      <c r="F48" s="824" t="s">
        <v>3088</v>
      </c>
      <c r="G48" s="824">
        <v>350570000</v>
      </c>
      <c r="H48" s="824">
        <v>350570000</v>
      </c>
      <c r="I48" s="824">
        <v>3.8103199999999999</v>
      </c>
      <c r="J48" s="824">
        <v>1.83952270412407</v>
      </c>
      <c r="K48" s="824" t="s">
        <v>3088</v>
      </c>
      <c r="L48" s="824">
        <v>46.453902439024397</v>
      </c>
      <c r="M48" s="824">
        <v>99.6</v>
      </c>
    </row>
    <row r="49" spans="1:13">
      <c r="A49" s="824">
        <v>2000</v>
      </c>
      <c r="B49" s="824" t="s">
        <v>188</v>
      </c>
      <c r="C49" s="824" t="str">
        <f t="shared" si="0"/>
        <v>2000_Equatorial Guinea</v>
      </c>
      <c r="D49" s="824">
        <v>1045998534.0036055</v>
      </c>
      <c r="E49" s="824">
        <v>518179</v>
      </c>
      <c r="F49" s="824" t="s">
        <v>3088</v>
      </c>
      <c r="G49" s="824">
        <v>21270000</v>
      </c>
      <c r="H49" s="824">
        <v>21270000</v>
      </c>
      <c r="I49" s="824">
        <v>0.67737999999999998</v>
      </c>
      <c r="J49" s="824">
        <v>1.8231637631306601</v>
      </c>
      <c r="K49" s="824" t="s">
        <v>3088</v>
      </c>
      <c r="L49" s="824">
        <v>47.763707317073177</v>
      </c>
      <c r="M49" s="824">
        <v>98.8</v>
      </c>
    </row>
    <row r="50" spans="1:13">
      <c r="A50" s="824">
        <v>2000</v>
      </c>
      <c r="B50" s="824" t="s">
        <v>191</v>
      </c>
      <c r="C50" s="824" t="str">
        <f t="shared" si="0"/>
        <v>2000_Gabon</v>
      </c>
      <c r="D50" s="824">
        <v>5067865502.7998819</v>
      </c>
      <c r="E50" s="824">
        <v>1225527</v>
      </c>
      <c r="F50" s="824" t="s">
        <v>3088</v>
      </c>
      <c r="G50" s="824">
        <v>11660000</v>
      </c>
      <c r="H50" s="824">
        <v>11660000</v>
      </c>
      <c r="I50" s="824">
        <v>3.8270900000000001</v>
      </c>
      <c r="J50" s="824">
        <v>1.15100537081287</v>
      </c>
      <c r="K50" s="824" t="s">
        <v>3088</v>
      </c>
      <c r="L50" s="824">
        <v>59.688024390243918</v>
      </c>
      <c r="M50" s="824">
        <v>55.5</v>
      </c>
    </row>
    <row r="51" spans="1:13">
      <c r="A51" s="824">
        <v>2000</v>
      </c>
      <c r="B51" s="824" t="s">
        <v>195</v>
      </c>
      <c r="C51" s="824" t="str">
        <f t="shared" si="0"/>
        <v>2000_Ghana</v>
      </c>
      <c r="D51" s="824">
        <v>4982849054.0291042</v>
      </c>
      <c r="E51" s="824">
        <v>18825034</v>
      </c>
      <c r="F51" s="824" t="s">
        <v>3088</v>
      </c>
      <c r="G51" s="824">
        <v>598170000</v>
      </c>
      <c r="H51" s="824">
        <v>598170000</v>
      </c>
      <c r="I51" s="824" t="s">
        <v>3088</v>
      </c>
      <c r="J51" s="824">
        <v>2.3750494698462399</v>
      </c>
      <c r="K51" s="824" t="s">
        <v>3088</v>
      </c>
      <c r="L51" s="824">
        <v>56.987585365853661</v>
      </c>
      <c r="M51" s="824">
        <v>65.2</v>
      </c>
    </row>
    <row r="52" spans="1:13">
      <c r="A52" s="824">
        <v>2000</v>
      </c>
      <c r="B52" s="824" t="s">
        <v>3089</v>
      </c>
      <c r="C52" s="824" t="str">
        <f t="shared" si="0"/>
        <v>2000_Guinea</v>
      </c>
      <c r="D52" s="824">
        <v>2995360969.1742721</v>
      </c>
      <c r="E52" s="824">
        <v>8746128</v>
      </c>
      <c r="F52" s="824" t="s">
        <v>3088</v>
      </c>
      <c r="G52" s="824">
        <v>152930000</v>
      </c>
      <c r="H52" s="824">
        <v>152930000</v>
      </c>
      <c r="I52" s="824">
        <v>2.5933999999999999</v>
      </c>
      <c r="J52" s="824">
        <v>1.0959394529233</v>
      </c>
      <c r="K52" s="824" t="s">
        <v>3088</v>
      </c>
      <c r="L52" s="824">
        <v>51.249926829268304</v>
      </c>
      <c r="M52" s="824">
        <v>103.1</v>
      </c>
    </row>
    <row r="53" spans="1:13">
      <c r="A53" s="824">
        <v>2000</v>
      </c>
      <c r="B53" s="824" t="s">
        <v>219</v>
      </c>
      <c r="C53" s="824" t="str">
        <f t="shared" si="0"/>
        <v>2000_Guatemala</v>
      </c>
      <c r="D53" s="824">
        <v>19290566570.048309</v>
      </c>
      <c r="E53" s="824">
        <v>11204183</v>
      </c>
      <c r="F53" s="824">
        <v>10.154456411635286</v>
      </c>
      <c r="G53" s="824">
        <v>263130000</v>
      </c>
      <c r="H53" s="824">
        <v>263130000</v>
      </c>
      <c r="I53" s="824" t="s">
        <v>3088</v>
      </c>
      <c r="J53" s="824">
        <v>2.2487859083758499</v>
      </c>
      <c r="K53" s="824">
        <v>56</v>
      </c>
      <c r="L53" s="824">
        <v>67.741219512195116</v>
      </c>
      <c r="M53" s="824">
        <v>40</v>
      </c>
    </row>
    <row r="54" spans="1:13">
      <c r="A54" s="824">
        <v>2000</v>
      </c>
      <c r="B54" s="824" t="s">
        <v>243</v>
      </c>
      <c r="C54" s="824" t="str">
        <f t="shared" si="0"/>
        <v>2000_Indonesia</v>
      </c>
      <c r="D54" s="824">
        <v>165021012261.50867</v>
      </c>
      <c r="E54" s="824">
        <v>208938698</v>
      </c>
      <c r="F54" s="824" t="s">
        <v>3088</v>
      </c>
      <c r="G54" s="824">
        <v>1653000000</v>
      </c>
      <c r="H54" s="824">
        <v>1653000000</v>
      </c>
      <c r="I54" s="824" t="s">
        <v>3088</v>
      </c>
      <c r="J54" s="824">
        <v>0.70736781254753001</v>
      </c>
      <c r="K54" s="824" t="s">
        <v>3088</v>
      </c>
      <c r="L54" s="824">
        <v>67.251219512195135</v>
      </c>
      <c r="M54" s="824">
        <v>41</v>
      </c>
    </row>
    <row r="55" spans="1:13">
      <c r="A55" s="824">
        <v>2000</v>
      </c>
      <c r="B55" s="824" t="s">
        <v>251</v>
      </c>
      <c r="C55" s="824" t="str">
        <f t="shared" si="0"/>
        <v>2000_Iraq</v>
      </c>
      <c r="D55" s="824" t="s">
        <v>3088</v>
      </c>
      <c r="E55" s="824">
        <v>23801156</v>
      </c>
      <c r="F55" s="824" t="s">
        <v>3088</v>
      </c>
      <c r="G55" s="824">
        <v>101830000</v>
      </c>
      <c r="H55" s="824">
        <v>101830000</v>
      </c>
      <c r="I55" s="824" t="s">
        <v>3088</v>
      </c>
      <c r="J55" s="824">
        <v>3.85702379232713E-2</v>
      </c>
      <c r="K55" s="824" t="s">
        <v>3088</v>
      </c>
      <c r="L55" s="824">
        <v>70.829926829268288</v>
      </c>
      <c r="M55" s="824">
        <v>35.700000000000003</v>
      </c>
    </row>
    <row r="56" spans="1:13">
      <c r="A56" s="824">
        <v>2000</v>
      </c>
      <c r="B56" s="824" t="s">
        <v>280</v>
      </c>
      <c r="C56" s="824" t="str">
        <f t="shared" si="0"/>
        <v>2000_Kazakhstan</v>
      </c>
      <c r="D56" s="824">
        <v>18291990619.137001</v>
      </c>
      <c r="E56" s="824">
        <v>14883626</v>
      </c>
      <c r="F56" s="824">
        <v>11.325659401878902</v>
      </c>
      <c r="G56" s="824">
        <v>189190000</v>
      </c>
      <c r="H56" s="824">
        <v>189190000</v>
      </c>
      <c r="I56" s="824">
        <v>3.2566199999999998</v>
      </c>
      <c r="J56" s="824">
        <v>2.1193106509399202</v>
      </c>
      <c r="K56" s="824" t="s">
        <v>3088</v>
      </c>
      <c r="L56" s="824">
        <v>65.51707317073172</v>
      </c>
      <c r="M56" s="824">
        <v>37.5</v>
      </c>
    </row>
    <row r="57" spans="1:13">
      <c r="A57" s="824">
        <v>2000</v>
      </c>
      <c r="B57" s="824" t="s">
        <v>285</v>
      </c>
      <c r="C57" s="824" t="str">
        <f t="shared" si="0"/>
        <v>2000_Kyrgyz Republic</v>
      </c>
      <c r="D57" s="824">
        <v>1369691955.022125</v>
      </c>
      <c r="E57" s="824">
        <v>4898400</v>
      </c>
      <c r="F57" s="824">
        <v>14.162781764041062</v>
      </c>
      <c r="G57" s="824">
        <v>214710000</v>
      </c>
      <c r="H57" s="824">
        <v>214710000</v>
      </c>
      <c r="I57" s="824">
        <v>3.5083700000000002</v>
      </c>
      <c r="J57" s="824">
        <v>2.07090180238073</v>
      </c>
      <c r="K57" s="824" t="s">
        <v>3088</v>
      </c>
      <c r="L57" s="824">
        <v>68.558536585365871</v>
      </c>
      <c r="M57" s="824">
        <v>42</v>
      </c>
    </row>
    <row r="58" spans="1:13">
      <c r="A58" s="824">
        <v>2000</v>
      </c>
      <c r="B58" s="824" t="s">
        <v>301</v>
      </c>
      <c r="C58" s="824" t="str">
        <f t="shared" si="0"/>
        <v>2000_Liberia</v>
      </c>
      <c r="D58" s="824">
        <v>529064646.66383004</v>
      </c>
      <c r="E58" s="824">
        <v>2891968</v>
      </c>
      <c r="F58" s="824" t="s">
        <v>3088</v>
      </c>
      <c r="G58" s="824">
        <v>67420000</v>
      </c>
      <c r="H58" s="824">
        <v>67420000</v>
      </c>
      <c r="I58" s="824" t="s">
        <v>3088</v>
      </c>
      <c r="J58" s="824">
        <v>1.44875622525348</v>
      </c>
      <c r="K58" s="824" t="s">
        <v>3088</v>
      </c>
      <c r="L58" s="824">
        <v>52.409121951219525</v>
      </c>
      <c r="M58" s="824">
        <v>118.9</v>
      </c>
    </row>
    <row r="59" spans="1:13">
      <c r="A59" s="824">
        <v>2000</v>
      </c>
      <c r="B59" s="824" t="s">
        <v>316</v>
      </c>
      <c r="C59" s="824" t="str">
        <f t="shared" si="0"/>
        <v>2000_Madagascar</v>
      </c>
      <c r="D59" s="824">
        <v>3877673634.5885382</v>
      </c>
      <c r="E59" s="824">
        <v>15744811</v>
      </c>
      <c r="F59" s="824">
        <v>11.690383407840887</v>
      </c>
      <c r="G59" s="824">
        <v>320200000</v>
      </c>
      <c r="H59" s="824">
        <v>320200000</v>
      </c>
      <c r="I59" s="824">
        <v>2.9113500000000001</v>
      </c>
      <c r="J59" s="824">
        <v>2.4697357527796999</v>
      </c>
      <c r="K59" s="824" t="s">
        <v>3088</v>
      </c>
      <c r="L59" s="824">
        <v>58.472804878048784</v>
      </c>
      <c r="M59" s="824">
        <v>70.5</v>
      </c>
    </row>
    <row r="60" spans="1:13">
      <c r="A60" s="824">
        <v>2000</v>
      </c>
      <c r="B60" s="824" t="s">
        <v>329</v>
      </c>
      <c r="C60" s="824" t="str">
        <f t="shared" si="0"/>
        <v>2000_Mali</v>
      </c>
      <c r="D60" s="824">
        <v>2422482317.567193</v>
      </c>
      <c r="E60" s="824">
        <v>10260577</v>
      </c>
      <c r="F60" s="824">
        <v>13.44357808628191</v>
      </c>
      <c r="G60" s="824">
        <v>288000000</v>
      </c>
      <c r="H60" s="824">
        <v>288000000</v>
      </c>
      <c r="I60" s="824">
        <v>3.62371</v>
      </c>
      <c r="J60" s="824">
        <v>2.0699103725335899</v>
      </c>
      <c r="K60" s="824" t="s">
        <v>3088</v>
      </c>
      <c r="L60" s="824">
        <v>49.055487804878055</v>
      </c>
      <c r="M60" s="824">
        <v>116.2</v>
      </c>
    </row>
    <row r="61" spans="1:13">
      <c r="A61" s="824">
        <v>2000</v>
      </c>
      <c r="B61" s="824" t="s">
        <v>345</v>
      </c>
      <c r="C61" s="824" t="str">
        <f t="shared" si="0"/>
        <v>2000_Mauritania</v>
      </c>
      <c r="D61" s="824">
        <v>1081207677.5266371</v>
      </c>
      <c r="E61" s="824">
        <v>2708095</v>
      </c>
      <c r="F61" s="824" t="s">
        <v>3088</v>
      </c>
      <c r="G61" s="824">
        <v>223460000</v>
      </c>
      <c r="H61" s="824">
        <v>223460000</v>
      </c>
      <c r="I61" s="824" t="s">
        <v>3088</v>
      </c>
      <c r="J61" s="824">
        <v>3.9706814249232001</v>
      </c>
      <c r="K61" s="824">
        <v>51</v>
      </c>
      <c r="L61" s="824">
        <v>59.672926829268306</v>
      </c>
      <c r="M61" s="824">
        <v>76</v>
      </c>
    </row>
    <row r="62" spans="1:13">
      <c r="A62" s="824">
        <v>2000</v>
      </c>
      <c r="B62" s="824" t="s">
        <v>364</v>
      </c>
      <c r="C62" s="824" t="str">
        <f t="shared" si="0"/>
        <v>2000_Mongolia</v>
      </c>
      <c r="D62" s="824">
        <v>1136896162.1421814</v>
      </c>
      <c r="E62" s="824">
        <v>2397473</v>
      </c>
      <c r="F62" s="824">
        <v>24.356934913472202</v>
      </c>
      <c r="G62" s="824">
        <v>216960000</v>
      </c>
      <c r="H62" s="824">
        <v>216960000</v>
      </c>
      <c r="I62" s="824">
        <v>5.55037</v>
      </c>
      <c r="J62" s="824">
        <v>3.8282862783381399</v>
      </c>
      <c r="K62" s="824" t="s">
        <v>3088</v>
      </c>
      <c r="L62" s="824">
        <v>62.92370731707318</v>
      </c>
      <c r="M62" s="824">
        <v>49.4</v>
      </c>
    </row>
    <row r="63" spans="1:13">
      <c r="A63" s="824">
        <v>2000</v>
      </c>
      <c r="B63" s="824" t="s">
        <v>385</v>
      </c>
      <c r="C63" s="824" t="str">
        <f t="shared" si="0"/>
        <v>2000_Mozambique</v>
      </c>
      <c r="D63" s="824">
        <v>4310090791.1802855</v>
      </c>
      <c r="E63" s="824">
        <v>18275618</v>
      </c>
      <c r="F63" s="824" t="s">
        <v>3088</v>
      </c>
      <c r="G63" s="824">
        <v>906220000</v>
      </c>
      <c r="H63" s="824">
        <v>906220000</v>
      </c>
      <c r="I63" s="824" t="s">
        <v>3088</v>
      </c>
      <c r="J63" s="824">
        <v>4.31188307459895</v>
      </c>
      <c r="K63" s="824" t="s">
        <v>3088</v>
      </c>
      <c r="L63" s="824">
        <v>47.42541463414635</v>
      </c>
      <c r="M63" s="824">
        <v>113.8</v>
      </c>
    </row>
    <row r="64" spans="1:13">
      <c r="A64" s="824">
        <v>2000</v>
      </c>
      <c r="B64" s="824" t="s">
        <v>394</v>
      </c>
      <c r="C64" s="824" t="str">
        <f t="shared" si="0"/>
        <v>2000_Niger</v>
      </c>
      <c r="D64" s="824">
        <v>1798374532.9485528</v>
      </c>
      <c r="E64" s="824">
        <v>10989815</v>
      </c>
      <c r="F64" s="824" t="s">
        <v>3088</v>
      </c>
      <c r="G64" s="824">
        <v>209090000</v>
      </c>
      <c r="H64" s="824">
        <v>209090000</v>
      </c>
      <c r="I64" s="824">
        <v>3.18947</v>
      </c>
      <c r="J64" s="824">
        <v>1.5200923351417801</v>
      </c>
      <c r="K64" s="824" t="s">
        <v>3088</v>
      </c>
      <c r="L64" s="824">
        <v>50.705902439024399</v>
      </c>
      <c r="M64" s="824">
        <v>101</v>
      </c>
    </row>
    <row r="65" spans="1:13">
      <c r="A65" s="824">
        <v>2000</v>
      </c>
      <c r="B65" s="824" t="s">
        <v>413</v>
      </c>
      <c r="C65" s="824" t="str">
        <f t="shared" si="0"/>
        <v>2000_Nigeria</v>
      </c>
      <c r="D65" s="824">
        <v>46385996027.42794</v>
      </c>
      <c r="E65" s="824">
        <v>122876727</v>
      </c>
      <c r="F65" s="824" t="s">
        <v>3088</v>
      </c>
      <c r="G65" s="824">
        <v>173700000</v>
      </c>
      <c r="H65" s="824">
        <v>173700000</v>
      </c>
      <c r="I65" s="824" t="s">
        <v>3088</v>
      </c>
      <c r="J65" s="824">
        <v>1.5398614167954801</v>
      </c>
      <c r="K65" s="824" t="s">
        <v>3088</v>
      </c>
      <c r="L65" s="824">
        <v>46.624000000000009</v>
      </c>
      <c r="M65" s="824">
        <v>112.5</v>
      </c>
    </row>
    <row r="66" spans="1:13">
      <c r="A66" s="824">
        <v>2000</v>
      </c>
      <c r="B66" s="824" t="s">
        <v>436</v>
      </c>
      <c r="C66" s="824" t="str">
        <f t="shared" si="0"/>
        <v>2000_Norway</v>
      </c>
      <c r="D66" s="824">
        <v>168288531891.20407</v>
      </c>
      <c r="E66" s="824">
        <v>4490967</v>
      </c>
      <c r="F66" s="824">
        <v>48.396143236554188</v>
      </c>
      <c r="G66" s="824" t="s">
        <v>3088</v>
      </c>
      <c r="H66" s="824" t="s">
        <v>3088</v>
      </c>
      <c r="I66" s="824">
        <v>6.5809600000000001</v>
      </c>
      <c r="J66" s="824">
        <v>7.6304209575477904</v>
      </c>
      <c r="K66" s="824" t="s">
        <v>3088</v>
      </c>
      <c r="L66" s="824">
        <v>78.634146341463421</v>
      </c>
      <c r="M66" s="824">
        <v>3.9</v>
      </c>
    </row>
    <row r="67" spans="1:13">
      <c r="A67" s="824">
        <v>2000</v>
      </c>
      <c r="B67" s="824" t="s">
        <v>449</v>
      </c>
      <c r="C67" s="824" t="str">
        <f t="shared" si="0"/>
        <v>2000_Peru</v>
      </c>
      <c r="D67" s="824">
        <v>50936239280.857689</v>
      </c>
      <c r="E67" s="824">
        <v>26000080</v>
      </c>
      <c r="F67" s="824">
        <v>18.215908441369969</v>
      </c>
      <c r="G67" s="824">
        <v>396840000</v>
      </c>
      <c r="H67" s="824">
        <v>396840000</v>
      </c>
      <c r="I67" s="824" t="s">
        <v>3088</v>
      </c>
      <c r="J67" s="824">
        <v>2.75534910328409</v>
      </c>
      <c r="K67" s="824" t="s">
        <v>3088</v>
      </c>
      <c r="L67" s="824">
        <v>70.505439024390242</v>
      </c>
      <c r="M67" s="824">
        <v>30.4</v>
      </c>
    </row>
    <row r="68" spans="1:13">
      <c r="A68" s="824">
        <v>2000</v>
      </c>
      <c r="B68" s="824" t="s">
        <v>488</v>
      </c>
      <c r="C68" s="824" t="str">
        <f t="shared" ref="C68:C131" si="1">$A68&amp;"_"&amp;$B68</f>
        <v>2000_Sierra Leone</v>
      </c>
      <c r="D68" s="824">
        <v>635874002.19874775</v>
      </c>
      <c r="E68" s="824">
        <v>4139757</v>
      </c>
      <c r="F68" s="824">
        <v>11.439005868481228</v>
      </c>
      <c r="G68" s="824">
        <v>180640000</v>
      </c>
      <c r="H68" s="824">
        <v>180640000</v>
      </c>
      <c r="I68" s="824">
        <v>4.94937</v>
      </c>
      <c r="J68" s="824">
        <v>3.9565715154166798</v>
      </c>
      <c r="K68" s="824" t="s">
        <v>3088</v>
      </c>
      <c r="L68" s="824">
        <v>38.111609756097565</v>
      </c>
      <c r="M68" s="824">
        <v>141.30000000000001</v>
      </c>
    </row>
    <row r="69" spans="1:13">
      <c r="A69" s="824">
        <v>2000</v>
      </c>
      <c r="B69" s="824" t="s">
        <v>499</v>
      </c>
      <c r="C69" s="824" t="str">
        <f t="shared" si="1"/>
        <v>2000_Tanzania</v>
      </c>
      <c r="D69" s="824">
        <v>10185786170.732687</v>
      </c>
      <c r="E69" s="824">
        <v>34020512</v>
      </c>
      <c r="F69" s="824" t="s">
        <v>3088</v>
      </c>
      <c r="G69" s="824">
        <v>1063920000.0000001</v>
      </c>
      <c r="H69" s="824">
        <v>1063920000.0000001</v>
      </c>
      <c r="I69" s="824" t="s">
        <v>3088</v>
      </c>
      <c r="J69" s="824">
        <v>1.46439812791695</v>
      </c>
      <c r="K69" s="824" t="s">
        <v>3088</v>
      </c>
      <c r="L69" s="824">
        <v>49.971512195121953</v>
      </c>
      <c r="M69" s="824">
        <v>80.400000000000006</v>
      </c>
    </row>
    <row r="70" spans="1:13">
      <c r="A70" s="824">
        <v>2000</v>
      </c>
      <c r="B70" s="824" t="s">
        <v>3090</v>
      </c>
      <c r="C70" s="824" t="str">
        <f t="shared" si="1"/>
        <v>2000_Timor-Leste</v>
      </c>
      <c r="D70" s="824">
        <v>368000000</v>
      </c>
      <c r="E70" s="824">
        <v>853585</v>
      </c>
      <c r="F70" s="824" t="s">
        <v>3088</v>
      </c>
      <c r="G70" s="824">
        <v>231270000</v>
      </c>
      <c r="H70" s="824">
        <v>231270000</v>
      </c>
      <c r="I70" s="824" t="s">
        <v>3088</v>
      </c>
      <c r="J70" s="824">
        <v>3.490075028463</v>
      </c>
      <c r="K70" s="824" t="s">
        <v>3088</v>
      </c>
      <c r="L70" s="824">
        <v>59.481414634146354</v>
      </c>
      <c r="M70" s="824">
        <v>83.8</v>
      </c>
    </row>
    <row r="71" spans="1:13">
      <c r="A71" s="824">
        <v>2000</v>
      </c>
      <c r="B71" s="824" t="s">
        <v>517</v>
      </c>
      <c r="C71" s="824" t="str">
        <f t="shared" si="1"/>
        <v>2000_Togo</v>
      </c>
      <c r="D71" s="824">
        <v>1294250279.6812894</v>
      </c>
      <c r="E71" s="824">
        <v>4864753</v>
      </c>
      <c r="F71" s="824" t="s">
        <v>3088</v>
      </c>
      <c r="G71" s="824">
        <v>69550000</v>
      </c>
      <c r="H71" s="824">
        <v>69550000</v>
      </c>
      <c r="I71" s="824">
        <v>4.5084200000000001</v>
      </c>
      <c r="J71" s="824">
        <v>1.5097724663251599</v>
      </c>
      <c r="K71" s="824" t="s">
        <v>3088</v>
      </c>
      <c r="L71" s="824">
        <v>53.545341463414644</v>
      </c>
      <c r="M71" s="824">
        <v>76.7</v>
      </c>
    </row>
    <row r="72" spans="1:13">
      <c r="A72" s="824">
        <v>2000</v>
      </c>
      <c r="B72" s="824" t="s">
        <v>3091</v>
      </c>
      <c r="C72" s="824" t="str">
        <f t="shared" si="1"/>
        <v>2000_Trinidad and Tobago</v>
      </c>
      <c r="D72" s="824">
        <v>8154315701.9988565</v>
      </c>
      <c r="E72" s="824">
        <v>1267980</v>
      </c>
      <c r="F72" s="824" t="s">
        <v>3088</v>
      </c>
      <c r="G72" s="824">
        <v>-1530000</v>
      </c>
      <c r="H72" s="824">
        <v>-1530000</v>
      </c>
      <c r="I72" s="824">
        <v>2.7556500000000002</v>
      </c>
      <c r="J72" s="824">
        <v>1.8356818516158999</v>
      </c>
      <c r="K72" s="824" t="s">
        <v>3088</v>
      </c>
      <c r="L72" s="824">
        <v>68.597951219512197</v>
      </c>
      <c r="M72" s="824">
        <v>25.3</v>
      </c>
    </row>
    <row r="73" spans="1:13">
      <c r="A73" s="824">
        <v>2000</v>
      </c>
      <c r="B73" s="824" t="s">
        <v>3092</v>
      </c>
      <c r="C73" s="824" t="str">
        <f t="shared" si="1"/>
        <v>2000_Yemen, Rep.</v>
      </c>
      <c r="D73" s="824">
        <v>9636342274.8240776</v>
      </c>
      <c r="E73" s="824">
        <v>17522537</v>
      </c>
      <c r="F73" s="824" t="s">
        <v>3088</v>
      </c>
      <c r="G73" s="824">
        <v>311280000</v>
      </c>
      <c r="H73" s="824">
        <v>311280000</v>
      </c>
      <c r="I73" s="824">
        <v>9.6616300000000006</v>
      </c>
      <c r="J73" s="824">
        <v>2.2352856280505198</v>
      </c>
      <c r="K73" s="824" t="s">
        <v>3088</v>
      </c>
      <c r="L73" s="824">
        <v>60.457853658536592</v>
      </c>
      <c r="M73" s="824">
        <v>69.2</v>
      </c>
    </row>
    <row r="74" spans="1:13">
      <c r="A74" s="824">
        <v>2000</v>
      </c>
      <c r="B74" s="824" t="s">
        <v>541</v>
      </c>
      <c r="C74" s="824" t="str">
        <f t="shared" si="1"/>
        <v>2000_Zambia</v>
      </c>
      <c r="D74" s="824">
        <v>3600631918.5065751</v>
      </c>
      <c r="E74" s="824">
        <v>10100981</v>
      </c>
      <c r="F74" s="824" t="s">
        <v>3088</v>
      </c>
      <c r="G74" s="824">
        <v>794650000</v>
      </c>
      <c r="H74" s="824">
        <v>794650000</v>
      </c>
      <c r="I74" s="824">
        <v>1.97895</v>
      </c>
      <c r="J74" s="824">
        <v>2.8933260600244401</v>
      </c>
      <c r="K74" s="824" t="s">
        <v>3088</v>
      </c>
      <c r="L74" s="824">
        <v>41.78312195121952</v>
      </c>
      <c r="M74" s="824">
        <v>99.5</v>
      </c>
    </row>
    <row r="75" spans="1:13">
      <c r="A75" s="824">
        <v>2001</v>
      </c>
      <c r="B75" s="824" t="s">
        <v>21</v>
      </c>
      <c r="C75" s="824" t="str">
        <f t="shared" si="1"/>
        <v>2001_Afghanistan</v>
      </c>
      <c r="D75" s="824">
        <v>2461666314.7836623</v>
      </c>
      <c r="E75" s="824">
        <v>21347782</v>
      </c>
      <c r="F75" s="824" t="s">
        <v>3088</v>
      </c>
      <c r="G75" s="824">
        <v>410360000</v>
      </c>
      <c r="H75" s="824">
        <v>410360000</v>
      </c>
      <c r="I75" s="824" t="s">
        <v>3088</v>
      </c>
      <c r="J75" s="824" t="s">
        <v>3088</v>
      </c>
      <c r="K75" s="824" t="s">
        <v>3088</v>
      </c>
      <c r="L75" s="824">
        <v>55.256219512195123</v>
      </c>
      <c r="M75" s="824">
        <v>92.7</v>
      </c>
    </row>
    <row r="76" spans="1:13">
      <c r="A76" s="824">
        <v>2001</v>
      </c>
      <c r="B76" s="824" t="s">
        <v>38</v>
      </c>
      <c r="C76" s="824" t="str">
        <f t="shared" si="1"/>
        <v>2001_Albania</v>
      </c>
      <c r="D76" s="824">
        <v>4091020249.1994991</v>
      </c>
      <c r="E76" s="824">
        <v>3064111</v>
      </c>
      <c r="F76" s="824" t="s">
        <v>3088</v>
      </c>
      <c r="G76" s="824">
        <v>268530000</v>
      </c>
      <c r="H76" s="824">
        <v>268530000</v>
      </c>
      <c r="I76" s="824">
        <v>3.31589</v>
      </c>
      <c r="J76" s="824">
        <v>2.30930450785866</v>
      </c>
      <c r="K76" s="824" t="s">
        <v>3088</v>
      </c>
      <c r="L76" s="824">
        <v>74.734219512195125</v>
      </c>
      <c r="M76" s="824">
        <v>22.1</v>
      </c>
    </row>
    <row r="77" spans="1:13">
      <c r="A77" s="824">
        <v>2001</v>
      </c>
      <c r="B77" s="824" t="s">
        <v>53</v>
      </c>
      <c r="C77" s="824" t="str">
        <f t="shared" si="1"/>
        <v>2001_Azerbaijan</v>
      </c>
      <c r="D77" s="824">
        <v>5707618246.5684757</v>
      </c>
      <c r="E77" s="824">
        <v>8111200</v>
      </c>
      <c r="F77" s="824" t="s">
        <v>3088</v>
      </c>
      <c r="G77" s="824">
        <v>229760000</v>
      </c>
      <c r="H77" s="824">
        <v>229760000</v>
      </c>
      <c r="I77" s="824">
        <v>3.5034200000000002</v>
      </c>
      <c r="J77" s="824">
        <v>0.84650112866817195</v>
      </c>
      <c r="K77" s="824">
        <v>49.6</v>
      </c>
      <c r="L77" s="824">
        <v>67.150292682926832</v>
      </c>
      <c r="M77" s="824">
        <v>56.9</v>
      </c>
    </row>
    <row r="78" spans="1:13">
      <c r="A78" s="824">
        <v>2001</v>
      </c>
      <c r="B78" s="824" t="s">
        <v>98</v>
      </c>
      <c r="C78" s="824" t="str">
        <f t="shared" si="1"/>
        <v>2001_Burkina Faso</v>
      </c>
      <c r="D78" s="824">
        <v>2812845486.4419565</v>
      </c>
      <c r="E78" s="824">
        <v>11946080</v>
      </c>
      <c r="F78" s="824" t="s">
        <v>3088</v>
      </c>
      <c r="G78" s="824">
        <v>405940000</v>
      </c>
      <c r="H78" s="824">
        <v>405940000</v>
      </c>
      <c r="I78" s="824" t="s">
        <v>3088</v>
      </c>
      <c r="J78" s="824">
        <v>1.84608079934964</v>
      </c>
      <c r="K78" s="824" t="s">
        <v>3088</v>
      </c>
      <c r="L78" s="824">
        <v>50.858073170731714</v>
      </c>
      <c r="M78" s="824">
        <v>95</v>
      </c>
    </row>
    <row r="79" spans="1:13">
      <c r="A79" s="824">
        <v>2001</v>
      </c>
      <c r="B79" s="824" t="s">
        <v>101</v>
      </c>
      <c r="C79" s="824" t="str">
        <f t="shared" si="1"/>
        <v>2001_Cameroon</v>
      </c>
      <c r="D79" s="824">
        <v>9633109256.7360611</v>
      </c>
      <c r="E79" s="824">
        <v>16350440</v>
      </c>
      <c r="F79" s="824" t="s">
        <v>3088</v>
      </c>
      <c r="G79" s="824">
        <v>457760000</v>
      </c>
      <c r="H79" s="824">
        <v>457760000</v>
      </c>
      <c r="I79" s="824">
        <v>2.60995</v>
      </c>
      <c r="J79" s="824">
        <v>1.1291992821427399</v>
      </c>
      <c r="K79" s="824">
        <v>40.200000000000003</v>
      </c>
      <c r="L79" s="824">
        <v>51.75719512195122</v>
      </c>
      <c r="M79" s="824">
        <v>89.8</v>
      </c>
    </row>
    <row r="80" spans="1:13">
      <c r="A80" s="824">
        <v>2001</v>
      </c>
      <c r="B80" s="824" t="s">
        <v>138</v>
      </c>
      <c r="C80" s="824" t="str">
        <f t="shared" si="1"/>
        <v>2001_Chad</v>
      </c>
      <c r="D80" s="824">
        <v>1709347776.842432</v>
      </c>
      <c r="E80" s="824">
        <v>8620917</v>
      </c>
      <c r="F80" s="824" t="s">
        <v>3088</v>
      </c>
      <c r="G80" s="824">
        <v>188560000</v>
      </c>
      <c r="H80" s="824">
        <v>188560000</v>
      </c>
      <c r="I80" s="824">
        <v>2.4261400000000002</v>
      </c>
      <c r="J80" s="824">
        <v>2.3964781088889202</v>
      </c>
      <c r="K80" s="824" t="s">
        <v>3088</v>
      </c>
      <c r="L80" s="824">
        <v>46.787024390243907</v>
      </c>
      <c r="M80" s="824">
        <v>104.8</v>
      </c>
    </row>
    <row r="81" spans="1:13">
      <c r="A81" s="824">
        <v>2001</v>
      </c>
      <c r="B81" s="824" t="s">
        <v>127</v>
      </c>
      <c r="C81" s="824" t="str">
        <f t="shared" si="1"/>
        <v>2001_Central African Republic</v>
      </c>
      <c r="D81" s="824">
        <v>931833293.75345039</v>
      </c>
      <c r="E81" s="824">
        <v>3704045</v>
      </c>
      <c r="F81" s="824" t="s">
        <v>3088</v>
      </c>
      <c r="G81" s="824">
        <v>76390000</v>
      </c>
      <c r="H81" s="824">
        <v>76390000</v>
      </c>
      <c r="I81" s="824" t="s">
        <v>3088</v>
      </c>
      <c r="J81" s="824">
        <v>1.89963543359373</v>
      </c>
      <c r="K81" s="824" t="s">
        <v>3088</v>
      </c>
      <c r="L81" s="824">
        <v>43.787390243902443</v>
      </c>
      <c r="M81" s="824">
        <v>113</v>
      </c>
    </row>
    <row r="82" spans="1:13">
      <c r="A82" s="824">
        <v>2001</v>
      </c>
      <c r="B82" s="824" t="s">
        <v>171</v>
      </c>
      <c r="C82" s="824" t="str">
        <f t="shared" si="1"/>
        <v>2001_Democratic Republic of Congo</v>
      </c>
      <c r="D82" s="824">
        <v>7438044091.333333</v>
      </c>
      <c r="E82" s="824">
        <v>48167045</v>
      </c>
      <c r="F82" s="824">
        <v>2.9866323808455881</v>
      </c>
      <c r="G82" s="824">
        <v>245370000</v>
      </c>
      <c r="H82" s="824">
        <v>245370000</v>
      </c>
      <c r="I82" s="824" t="s">
        <v>3088</v>
      </c>
      <c r="J82" s="824">
        <v>0.22857590961354701</v>
      </c>
      <c r="K82" s="824" t="s">
        <v>3088</v>
      </c>
      <c r="L82" s="824">
        <v>46.678048780487806</v>
      </c>
      <c r="M82" s="824">
        <v>114.2</v>
      </c>
    </row>
    <row r="83" spans="1:13">
      <c r="A83" s="824">
        <v>2001</v>
      </c>
      <c r="B83" s="824" t="s">
        <v>465</v>
      </c>
      <c r="C83" s="824" t="str">
        <f t="shared" si="1"/>
        <v>2001_Republic of the Congo</v>
      </c>
      <c r="D83" s="824">
        <v>2794259756.1309309</v>
      </c>
      <c r="E83" s="824">
        <v>3205636</v>
      </c>
      <c r="F83" s="824">
        <v>32.269353155006591</v>
      </c>
      <c r="G83" s="824">
        <v>73780000</v>
      </c>
      <c r="H83" s="824">
        <v>73780000</v>
      </c>
      <c r="I83" s="824" t="s">
        <v>3088</v>
      </c>
      <c r="J83" s="824">
        <v>1.33453248939706</v>
      </c>
      <c r="K83" s="824" t="s">
        <v>3088</v>
      </c>
      <c r="L83" s="824">
        <v>52.441243902439034</v>
      </c>
      <c r="M83" s="824">
        <v>75.400000000000006</v>
      </c>
    </row>
    <row r="84" spans="1:13">
      <c r="A84" s="824">
        <v>2001</v>
      </c>
      <c r="B84" s="824" t="s">
        <v>153</v>
      </c>
      <c r="C84" s="824" t="str">
        <f t="shared" si="1"/>
        <v>2001_Cote d'Ivoire</v>
      </c>
      <c r="D84" s="824">
        <v>10545285036.79525</v>
      </c>
      <c r="E84" s="824">
        <v>16420173</v>
      </c>
      <c r="F84" s="824" t="s">
        <v>3088</v>
      </c>
      <c r="G84" s="824">
        <v>185910000</v>
      </c>
      <c r="H84" s="824">
        <v>185910000</v>
      </c>
      <c r="I84" s="824">
        <v>3.8938700000000002</v>
      </c>
      <c r="J84" s="824">
        <v>1.36945463702889</v>
      </c>
      <c r="K84" s="824" t="s">
        <v>3088</v>
      </c>
      <c r="L84" s="824">
        <v>46.273121951219515</v>
      </c>
      <c r="M84" s="824">
        <v>97.7</v>
      </c>
    </row>
    <row r="85" spans="1:13">
      <c r="A85" s="824">
        <v>2001</v>
      </c>
      <c r="B85" s="824" t="s">
        <v>188</v>
      </c>
      <c r="C85" s="824" t="str">
        <f t="shared" si="1"/>
        <v>2001_Equatorial Guinea</v>
      </c>
      <c r="D85" s="824">
        <v>1461139007.9371645</v>
      </c>
      <c r="E85" s="824">
        <v>534592</v>
      </c>
      <c r="F85" s="824" t="s">
        <v>3088</v>
      </c>
      <c r="G85" s="824">
        <v>13240000</v>
      </c>
      <c r="H85" s="824">
        <v>13240000</v>
      </c>
      <c r="I85" s="824">
        <v>0.58021999999999996</v>
      </c>
      <c r="J85" s="824">
        <v>1.1239962015388201</v>
      </c>
      <c r="K85" s="824" t="s">
        <v>3088</v>
      </c>
      <c r="L85" s="824">
        <v>47.837731707317083</v>
      </c>
      <c r="M85" s="824">
        <v>96.4</v>
      </c>
    </row>
    <row r="86" spans="1:13">
      <c r="A86" s="824">
        <v>2001</v>
      </c>
      <c r="B86" s="824" t="s">
        <v>191</v>
      </c>
      <c r="C86" s="824" t="str">
        <f t="shared" si="1"/>
        <v>2001_Gabon</v>
      </c>
      <c r="D86" s="824">
        <v>4712849279.6492348</v>
      </c>
      <c r="E86" s="824">
        <v>1255299</v>
      </c>
      <c r="F86" s="824" t="s">
        <v>3088</v>
      </c>
      <c r="G86" s="824">
        <v>8530000</v>
      </c>
      <c r="H86" s="824">
        <v>8530000</v>
      </c>
      <c r="I86" s="824" t="s">
        <v>3088</v>
      </c>
      <c r="J86" s="824">
        <v>1.3640931214006999</v>
      </c>
      <c r="K86" s="824" t="s">
        <v>3088</v>
      </c>
      <c r="L86" s="824">
        <v>59.496317073170736</v>
      </c>
      <c r="M86" s="824">
        <v>54.7</v>
      </c>
    </row>
    <row r="87" spans="1:13">
      <c r="A87" s="824">
        <v>2001</v>
      </c>
      <c r="B87" s="824" t="s">
        <v>195</v>
      </c>
      <c r="C87" s="824" t="str">
        <f t="shared" si="1"/>
        <v>2001_Ghana</v>
      </c>
      <c r="D87" s="824">
        <v>5314871683.5223007</v>
      </c>
      <c r="E87" s="824">
        <v>19293392</v>
      </c>
      <c r="F87" s="824">
        <v>18.1061131001006</v>
      </c>
      <c r="G87" s="824">
        <v>640620000</v>
      </c>
      <c r="H87" s="824">
        <v>640620000</v>
      </c>
      <c r="I87" s="824">
        <v>5.3544400000000003</v>
      </c>
      <c r="J87" s="824">
        <v>3.16648490124952</v>
      </c>
      <c r="K87" s="824" t="s">
        <v>3088</v>
      </c>
      <c r="L87" s="824">
        <v>57.147609756097566</v>
      </c>
      <c r="M87" s="824">
        <v>63.4</v>
      </c>
    </row>
    <row r="88" spans="1:13">
      <c r="A88" s="824">
        <v>2001</v>
      </c>
      <c r="B88" s="824" t="s">
        <v>3089</v>
      </c>
      <c r="C88" s="824" t="str">
        <f t="shared" si="1"/>
        <v>2001_Guinea</v>
      </c>
      <c r="D88" s="824">
        <v>2833442750.4189086</v>
      </c>
      <c r="E88" s="824">
        <v>8895353</v>
      </c>
      <c r="F88" s="824" t="s">
        <v>3088</v>
      </c>
      <c r="G88" s="824">
        <v>288850000</v>
      </c>
      <c r="H88" s="824">
        <v>288850000</v>
      </c>
      <c r="I88" s="824">
        <v>2.0819100000000001</v>
      </c>
      <c r="J88" s="824">
        <v>1.28971746367109</v>
      </c>
      <c r="K88" s="824" t="s">
        <v>3088</v>
      </c>
      <c r="L88" s="824">
        <v>51.276292682926837</v>
      </c>
      <c r="M88" s="824">
        <v>99.2</v>
      </c>
    </row>
    <row r="89" spans="1:13">
      <c r="A89" s="824">
        <v>2001</v>
      </c>
      <c r="B89" s="824" t="s">
        <v>219</v>
      </c>
      <c r="C89" s="824" t="str">
        <f t="shared" si="1"/>
        <v>2001_Guatemala</v>
      </c>
      <c r="D89" s="824">
        <v>18702820735.017349</v>
      </c>
      <c r="E89" s="824">
        <v>11478984</v>
      </c>
      <c r="F89" s="824">
        <v>11.991987905656501</v>
      </c>
      <c r="G89" s="824">
        <v>234300000</v>
      </c>
      <c r="H89" s="824">
        <v>234300000</v>
      </c>
      <c r="I89" s="824" t="s">
        <v>3088</v>
      </c>
      <c r="J89" s="824">
        <v>2.4086630770089101</v>
      </c>
      <c r="K89" s="824" t="s">
        <v>3088</v>
      </c>
      <c r="L89" s="824">
        <v>68.220487804878061</v>
      </c>
      <c r="M89" s="824">
        <v>38.6</v>
      </c>
    </row>
    <row r="90" spans="1:13">
      <c r="A90" s="824">
        <v>2001</v>
      </c>
      <c r="B90" s="824" t="s">
        <v>243</v>
      </c>
      <c r="C90" s="824" t="str">
        <f t="shared" si="1"/>
        <v>2001_Indonesia</v>
      </c>
      <c r="D90" s="824">
        <v>160446947638.31348</v>
      </c>
      <c r="E90" s="824">
        <v>211970371</v>
      </c>
      <c r="F90" s="824">
        <v>18.25672377578627</v>
      </c>
      <c r="G90" s="824">
        <v>1464810000</v>
      </c>
      <c r="H90" s="824">
        <v>1464810000</v>
      </c>
      <c r="I90" s="824">
        <v>2.4600300000000002</v>
      </c>
      <c r="J90" s="824">
        <v>0.96397556236415505</v>
      </c>
      <c r="K90" s="824" t="s">
        <v>3088</v>
      </c>
      <c r="L90" s="824">
        <v>67.58573170731708</v>
      </c>
      <c r="M90" s="824">
        <v>39.4</v>
      </c>
    </row>
    <row r="91" spans="1:13">
      <c r="A91" s="824">
        <v>2001</v>
      </c>
      <c r="B91" s="824" t="s">
        <v>251</v>
      </c>
      <c r="C91" s="824" t="str">
        <f t="shared" si="1"/>
        <v>2001_Iraq</v>
      </c>
      <c r="D91" s="824" t="s">
        <v>3088</v>
      </c>
      <c r="E91" s="824">
        <v>24516842</v>
      </c>
      <c r="F91" s="824" t="s">
        <v>3088</v>
      </c>
      <c r="G91" s="824">
        <v>122700000</v>
      </c>
      <c r="H91" s="824">
        <v>122700000</v>
      </c>
      <c r="I91" s="824" t="s">
        <v>3088</v>
      </c>
      <c r="J91" s="824">
        <v>5.19842600468697E-2</v>
      </c>
      <c r="K91" s="824" t="s">
        <v>3088</v>
      </c>
      <c r="L91" s="824">
        <v>70.667414634146354</v>
      </c>
      <c r="M91" s="824">
        <v>35.200000000000003</v>
      </c>
    </row>
    <row r="92" spans="1:13">
      <c r="A92" s="824">
        <v>2001</v>
      </c>
      <c r="B92" s="824" t="s">
        <v>280</v>
      </c>
      <c r="C92" s="824" t="str">
        <f t="shared" si="1"/>
        <v>2001_Kazakhstan</v>
      </c>
      <c r="D92" s="824">
        <v>22152689129.55827</v>
      </c>
      <c r="E92" s="824">
        <v>14858335</v>
      </c>
      <c r="F92" s="824">
        <v>11.443403331939434</v>
      </c>
      <c r="G92" s="824">
        <v>157000000</v>
      </c>
      <c r="H92" s="824">
        <v>157000000</v>
      </c>
      <c r="I92" s="824" t="s">
        <v>3088</v>
      </c>
      <c r="J92" s="824">
        <v>1.9657951641439</v>
      </c>
      <c r="K92" s="824">
        <v>46.7</v>
      </c>
      <c r="L92" s="824">
        <v>65.768292682926827</v>
      </c>
      <c r="M92" s="824">
        <v>35.700000000000003</v>
      </c>
    </row>
    <row r="93" spans="1:13">
      <c r="A93" s="824">
        <v>2001</v>
      </c>
      <c r="B93" s="824" t="s">
        <v>285</v>
      </c>
      <c r="C93" s="824" t="str">
        <f t="shared" si="1"/>
        <v>2001_Kyrgyz Republic</v>
      </c>
      <c r="D93" s="824">
        <v>1525113501.1103437</v>
      </c>
      <c r="E93" s="824">
        <v>4945100</v>
      </c>
      <c r="F93" s="824">
        <v>16.052477352798263</v>
      </c>
      <c r="G93" s="824">
        <v>187940000</v>
      </c>
      <c r="H93" s="824">
        <v>187940000</v>
      </c>
      <c r="I93" s="824">
        <v>3.85419</v>
      </c>
      <c r="J93" s="824">
        <v>1.9689238390428101</v>
      </c>
      <c r="K93" s="824" t="s">
        <v>3088</v>
      </c>
      <c r="L93" s="824">
        <v>68.707317073170728</v>
      </c>
      <c r="M93" s="824">
        <v>40.299999999999997</v>
      </c>
    </row>
    <row r="94" spans="1:13">
      <c r="A94" s="824">
        <v>2001</v>
      </c>
      <c r="B94" s="824" t="s">
        <v>301</v>
      </c>
      <c r="C94" s="824" t="str">
        <f t="shared" si="1"/>
        <v>2001_Liberia</v>
      </c>
      <c r="D94" s="824">
        <v>514999999.99999899</v>
      </c>
      <c r="E94" s="824">
        <v>2998770</v>
      </c>
      <c r="F94" s="824" t="s">
        <v>3088</v>
      </c>
      <c r="G94" s="824">
        <v>38480000</v>
      </c>
      <c r="H94" s="824">
        <v>38480000</v>
      </c>
      <c r="I94" s="824" t="s">
        <v>3088</v>
      </c>
      <c r="J94" s="824">
        <v>1.64715131328552</v>
      </c>
      <c r="K94" s="824" t="s">
        <v>3088</v>
      </c>
      <c r="L94" s="824">
        <v>52.533463414634156</v>
      </c>
      <c r="M94" s="824">
        <v>111.5</v>
      </c>
    </row>
    <row r="95" spans="1:13">
      <c r="A95" s="824">
        <v>2001</v>
      </c>
      <c r="B95" s="824" t="s">
        <v>316</v>
      </c>
      <c r="C95" s="824" t="str">
        <f t="shared" si="1"/>
        <v>2001_Madagascar</v>
      </c>
      <c r="D95" s="824">
        <v>4529575232.9850903</v>
      </c>
      <c r="E95" s="824">
        <v>16235767</v>
      </c>
      <c r="F95" s="824">
        <v>10.149756660505552</v>
      </c>
      <c r="G95" s="824">
        <v>370250000</v>
      </c>
      <c r="H95" s="824">
        <v>370250000</v>
      </c>
      <c r="I95" s="824">
        <v>3.2503299999999999</v>
      </c>
      <c r="J95" s="824">
        <v>2.65303718079885</v>
      </c>
      <c r="K95" s="824">
        <v>70.8</v>
      </c>
      <c r="L95" s="824">
        <v>59.113609756097567</v>
      </c>
      <c r="M95" s="824">
        <v>67</v>
      </c>
    </row>
    <row r="96" spans="1:13">
      <c r="A96" s="824">
        <v>2001</v>
      </c>
      <c r="B96" s="824" t="s">
        <v>329</v>
      </c>
      <c r="C96" s="824" t="str">
        <f t="shared" si="1"/>
        <v>2001_Mali</v>
      </c>
      <c r="D96" s="824">
        <v>2629739067.4674587</v>
      </c>
      <c r="E96" s="824">
        <v>10562768</v>
      </c>
      <c r="F96" s="824">
        <v>14.556005031903304</v>
      </c>
      <c r="G96" s="824">
        <v>351810000</v>
      </c>
      <c r="H96" s="824">
        <v>351810000</v>
      </c>
      <c r="I96" s="824">
        <v>3.5031400000000001</v>
      </c>
      <c r="J96" s="824">
        <v>2.87238370778898</v>
      </c>
      <c r="K96" s="824">
        <v>55.6</v>
      </c>
      <c r="L96" s="824">
        <v>49.524292682926834</v>
      </c>
      <c r="M96" s="824">
        <v>112.8</v>
      </c>
    </row>
    <row r="97" spans="1:13">
      <c r="A97" s="824">
        <v>2001</v>
      </c>
      <c r="B97" s="824" t="s">
        <v>345</v>
      </c>
      <c r="C97" s="824" t="str">
        <f t="shared" si="1"/>
        <v>2001_Mauritania</v>
      </c>
      <c r="D97" s="824">
        <v>1121564037.897094</v>
      </c>
      <c r="E97" s="824">
        <v>2791403</v>
      </c>
      <c r="F97" s="824" t="s">
        <v>3088</v>
      </c>
      <c r="G97" s="824">
        <v>282840000</v>
      </c>
      <c r="H97" s="824">
        <v>282840000</v>
      </c>
      <c r="I97" s="824">
        <v>2.8395000000000001</v>
      </c>
      <c r="J97" s="824">
        <v>2.8648614610865799</v>
      </c>
      <c r="K97" s="824" t="s">
        <v>3088</v>
      </c>
      <c r="L97" s="824">
        <v>59.770097560975614</v>
      </c>
      <c r="M97" s="824">
        <v>75.900000000000006</v>
      </c>
    </row>
    <row r="98" spans="1:13">
      <c r="A98" s="824">
        <v>2001</v>
      </c>
      <c r="B98" s="824" t="s">
        <v>364</v>
      </c>
      <c r="C98" s="824" t="str">
        <f t="shared" si="1"/>
        <v>2001_Mongolia</v>
      </c>
      <c r="D98" s="824">
        <v>1267997923.0326948</v>
      </c>
      <c r="E98" s="824">
        <v>2419669</v>
      </c>
      <c r="F98" s="824">
        <v>25.421837164555043</v>
      </c>
      <c r="G98" s="824">
        <v>213610000</v>
      </c>
      <c r="H98" s="824">
        <v>213610000</v>
      </c>
      <c r="I98" s="824" t="s">
        <v>3088</v>
      </c>
      <c r="J98" s="824">
        <v>3.8998528364367502</v>
      </c>
      <c r="K98" s="824" t="s">
        <v>3088</v>
      </c>
      <c r="L98" s="824">
        <v>63.402609756097561</v>
      </c>
      <c r="M98" s="824">
        <v>46.7</v>
      </c>
    </row>
    <row r="99" spans="1:13">
      <c r="A99" s="824">
        <v>2001</v>
      </c>
      <c r="B99" s="824" t="s">
        <v>385</v>
      </c>
      <c r="C99" s="824" t="str">
        <f t="shared" si="1"/>
        <v>2001_Mozambique</v>
      </c>
      <c r="D99" s="824">
        <v>4075049537.3820992</v>
      </c>
      <c r="E99" s="824">
        <v>18785719</v>
      </c>
      <c r="F99" s="824" t="s">
        <v>3088</v>
      </c>
      <c r="G99" s="824">
        <v>960720000</v>
      </c>
      <c r="H99" s="824">
        <v>960720000</v>
      </c>
      <c r="I99" s="824" t="s">
        <v>3088</v>
      </c>
      <c r="J99" s="824">
        <v>3.9675960900919902</v>
      </c>
      <c r="K99" s="824" t="s">
        <v>3088</v>
      </c>
      <c r="L99" s="824">
        <v>47.52629268292683</v>
      </c>
      <c r="M99" s="824">
        <v>108.5</v>
      </c>
    </row>
    <row r="100" spans="1:13">
      <c r="A100" s="824">
        <v>2001</v>
      </c>
      <c r="B100" s="824" t="s">
        <v>394</v>
      </c>
      <c r="C100" s="824" t="str">
        <f t="shared" si="1"/>
        <v>2001_Niger</v>
      </c>
      <c r="D100" s="824">
        <v>1945327545.8881547</v>
      </c>
      <c r="E100" s="824">
        <v>11396434</v>
      </c>
      <c r="F100" s="824" t="s">
        <v>3088</v>
      </c>
      <c r="G100" s="824">
        <v>259050000</v>
      </c>
      <c r="H100" s="824">
        <v>259050000</v>
      </c>
      <c r="I100" s="824">
        <v>2.8672499999999999</v>
      </c>
      <c r="J100" s="824">
        <v>1.83510420164233</v>
      </c>
      <c r="K100" s="824" t="s">
        <v>3088</v>
      </c>
      <c r="L100" s="824">
        <v>51.407292682926837</v>
      </c>
      <c r="M100" s="824">
        <v>97.7</v>
      </c>
    </row>
    <row r="101" spans="1:13">
      <c r="A101" s="824">
        <v>2001</v>
      </c>
      <c r="B101" s="824" t="s">
        <v>413</v>
      </c>
      <c r="C101" s="824" t="str">
        <f t="shared" si="1"/>
        <v>2001_Nigeria</v>
      </c>
      <c r="D101" s="824">
        <v>44138014092.262741</v>
      </c>
      <c r="E101" s="824">
        <v>126004992</v>
      </c>
      <c r="F101" s="824" t="s">
        <v>3088</v>
      </c>
      <c r="G101" s="824">
        <v>176170000</v>
      </c>
      <c r="H101" s="824">
        <v>176170000</v>
      </c>
      <c r="I101" s="824" t="s">
        <v>3088</v>
      </c>
      <c r="J101" s="824">
        <v>1.5048700492951701</v>
      </c>
      <c r="K101" s="824" t="s">
        <v>3088</v>
      </c>
      <c r="L101" s="824">
        <v>46.881170731707321</v>
      </c>
      <c r="M101" s="824">
        <v>109.5</v>
      </c>
    </row>
    <row r="102" spans="1:13">
      <c r="A102" s="824">
        <v>2001</v>
      </c>
      <c r="B102" s="824" t="s">
        <v>436</v>
      </c>
      <c r="C102" s="824" t="str">
        <f t="shared" si="1"/>
        <v>2001_Norway</v>
      </c>
      <c r="D102" s="824">
        <v>170922851073.76804</v>
      </c>
      <c r="E102" s="824">
        <v>4513751</v>
      </c>
      <c r="F102" s="824">
        <v>47.378629658524019</v>
      </c>
      <c r="G102" s="824" t="s">
        <v>3088</v>
      </c>
      <c r="H102" s="824" t="s">
        <v>3088</v>
      </c>
      <c r="I102" s="824">
        <v>6.9524999999999997</v>
      </c>
      <c r="J102" s="824">
        <v>8.1488749660840405</v>
      </c>
      <c r="K102" s="824" t="s">
        <v>3088</v>
      </c>
      <c r="L102" s="824">
        <v>78.785365853658533</v>
      </c>
      <c r="M102" s="824">
        <v>3.8</v>
      </c>
    </row>
    <row r="103" spans="1:13">
      <c r="A103" s="824">
        <v>2001</v>
      </c>
      <c r="B103" s="824" t="s">
        <v>449</v>
      </c>
      <c r="C103" s="824" t="str">
        <f t="shared" si="1"/>
        <v>2001_Peru</v>
      </c>
      <c r="D103" s="824">
        <v>51592179795.660049</v>
      </c>
      <c r="E103" s="824">
        <v>26372358</v>
      </c>
      <c r="F103" s="824">
        <v>17.377090039850351</v>
      </c>
      <c r="G103" s="824">
        <v>450640000</v>
      </c>
      <c r="H103" s="824">
        <v>450640000</v>
      </c>
      <c r="I103" s="824">
        <v>2.9298000000000002</v>
      </c>
      <c r="J103" s="824">
        <v>2.7106189607490698</v>
      </c>
      <c r="K103" s="824">
        <v>54.8</v>
      </c>
      <c r="L103" s="824">
        <v>70.952390243902457</v>
      </c>
      <c r="M103" s="824">
        <v>28.4</v>
      </c>
    </row>
    <row r="104" spans="1:13">
      <c r="A104" s="824">
        <v>2001</v>
      </c>
      <c r="B104" s="824" t="s">
        <v>488</v>
      </c>
      <c r="C104" s="824" t="str">
        <f t="shared" si="1"/>
        <v>2001_Sierra Leone</v>
      </c>
      <c r="D104" s="824">
        <v>1079478387.8357625</v>
      </c>
      <c r="E104" s="824">
        <v>4295667</v>
      </c>
      <c r="F104" s="824">
        <v>9.6860530241053677</v>
      </c>
      <c r="G104" s="824">
        <v>334820000</v>
      </c>
      <c r="H104" s="824">
        <v>334820000</v>
      </c>
      <c r="I104" s="824">
        <v>3.46767</v>
      </c>
      <c r="J104" s="824">
        <v>3.1276012823327002</v>
      </c>
      <c r="K104" s="824" t="s">
        <v>3088</v>
      </c>
      <c r="L104" s="824">
        <v>38.846463414634158</v>
      </c>
      <c r="M104" s="824">
        <v>138.5</v>
      </c>
    </row>
    <row r="105" spans="1:13">
      <c r="A105" s="824">
        <v>2001</v>
      </c>
      <c r="B105" s="824" t="s">
        <v>499</v>
      </c>
      <c r="C105" s="824" t="str">
        <f t="shared" si="1"/>
        <v>2001_Tanzania</v>
      </c>
      <c r="D105" s="824">
        <v>10383560997.78072</v>
      </c>
      <c r="E105" s="824">
        <v>34895398</v>
      </c>
      <c r="F105" s="824" t="s">
        <v>3088</v>
      </c>
      <c r="G105" s="824">
        <v>1274230000</v>
      </c>
      <c r="H105" s="824">
        <v>1274230000</v>
      </c>
      <c r="I105" s="824" t="s">
        <v>3088</v>
      </c>
      <c r="J105" s="824">
        <v>1.60492861757294</v>
      </c>
      <c r="K105" s="824" t="s">
        <v>3088</v>
      </c>
      <c r="L105" s="824">
        <v>50.496780487804891</v>
      </c>
      <c r="M105" s="824">
        <v>75.5</v>
      </c>
    </row>
    <row r="106" spans="1:13">
      <c r="A106" s="824">
        <v>2001</v>
      </c>
      <c r="B106" s="824" t="s">
        <v>3090</v>
      </c>
      <c r="C106" s="824" t="str">
        <f t="shared" si="1"/>
        <v>2001_Timor-Leste</v>
      </c>
      <c r="D106" s="824">
        <v>452000000</v>
      </c>
      <c r="E106" s="824">
        <v>871353</v>
      </c>
      <c r="F106" s="824" t="s">
        <v>3088</v>
      </c>
      <c r="G106" s="824">
        <v>194170000</v>
      </c>
      <c r="H106" s="824">
        <v>194170000</v>
      </c>
      <c r="I106" s="824" t="s">
        <v>3088</v>
      </c>
      <c r="J106" s="824">
        <v>3.6901920771727399</v>
      </c>
      <c r="K106" s="824">
        <v>36.299999999999997</v>
      </c>
      <c r="L106" s="824">
        <v>60.346195121951226</v>
      </c>
      <c r="M106" s="824">
        <v>79.900000000000006</v>
      </c>
    </row>
    <row r="107" spans="1:13">
      <c r="A107" s="824">
        <v>2001</v>
      </c>
      <c r="B107" s="824" t="s">
        <v>517</v>
      </c>
      <c r="C107" s="824" t="str">
        <f t="shared" si="1"/>
        <v>2001_Togo</v>
      </c>
      <c r="D107" s="824">
        <v>1332328986.2827737</v>
      </c>
      <c r="E107" s="824">
        <v>4992225</v>
      </c>
      <c r="F107" s="824" t="s">
        <v>3088</v>
      </c>
      <c r="G107" s="824">
        <v>46080000</v>
      </c>
      <c r="H107" s="824">
        <v>46080000</v>
      </c>
      <c r="I107" s="824">
        <v>4.1877899999999997</v>
      </c>
      <c r="J107" s="824">
        <v>1.23213727540242</v>
      </c>
      <c r="K107" s="824" t="s">
        <v>3088</v>
      </c>
      <c r="L107" s="824">
        <v>53.588195121951223</v>
      </c>
      <c r="M107" s="824">
        <v>75</v>
      </c>
    </row>
    <row r="108" spans="1:13">
      <c r="A108" s="824">
        <v>2001</v>
      </c>
      <c r="B108" s="824" t="s">
        <v>3091</v>
      </c>
      <c r="C108" s="824" t="str">
        <f t="shared" si="1"/>
        <v>2001_Trinidad and Tobago</v>
      </c>
      <c r="D108" s="824">
        <v>8824873155.6258354</v>
      </c>
      <c r="E108" s="824">
        <v>1272347</v>
      </c>
      <c r="F108" s="824">
        <v>27.138265536147994</v>
      </c>
      <c r="G108" s="824">
        <v>-1730000</v>
      </c>
      <c r="H108" s="824">
        <v>-1730000</v>
      </c>
      <c r="I108" s="824">
        <v>3.0652900000000001</v>
      </c>
      <c r="J108" s="824">
        <v>2.2269811951889902</v>
      </c>
      <c r="K108" s="824" t="s">
        <v>3088</v>
      </c>
      <c r="L108" s="824">
        <v>68.654000000000011</v>
      </c>
      <c r="M108" s="824">
        <v>25.2</v>
      </c>
    </row>
    <row r="109" spans="1:13">
      <c r="A109" s="824">
        <v>2001</v>
      </c>
      <c r="B109" s="824" t="s">
        <v>3092</v>
      </c>
      <c r="C109" s="824" t="str">
        <f t="shared" si="1"/>
        <v>2001_Yemen, Rep.</v>
      </c>
      <c r="D109" s="824">
        <v>9854042164.6746349</v>
      </c>
      <c r="E109" s="824">
        <v>18029989</v>
      </c>
      <c r="F109" s="824" t="s">
        <v>3088</v>
      </c>
      <c r="G109" s="824">
        <v>370390000</v>
      </c>
      <c r="H109" s="824">
        <v>370390000</v>
      </c>
      <c r="I109" s="824">
        <v>9.2447099999999995</v>
      </c>
      <c r="J109" s="824">
        <v>2.2941806533203701</v>
      </c>
      <c r="K109" s="824" t="s">
        <v>3088</v>
      </c>
      <c r="L109" s="824">
        <v>60.683682926829277</v>
      </c>
      <c r="M109" s="824">
        <v>66.5</v>
      </c>
    </row>
    <row r="110" spans="1:13">
      <c r="A110" s="824">
        <v>2001</v>
      </c>
      <c r="B110" s="824" t="s">
        <v>541</v>
      </c>
      <c r="C110" s="824" t="str">
        <f t="shared" si="1"/>
        <v>2001_Zambia</v>
      </c>
      <c r="D110" s="824">
        <v>4094441301.2142286</v>
      </c>
      <c r="E110" s="824">
        <v>10362137</v>
      </c>
      <c r="F110" s="824">
        <v>17.455856592240981</v>
      </c>
      <c r="G110" s="824">
        <v>570840000</v>
      </c>
      <c r="H110" s="824">
        <v>570840000</v>
      </c>
      <c r="I110" s="824" t="s">
        <v>3088</v>
      </c>
      <c r="J110" s="824">
        <v>3.4455875594745602</v>
      </c>
      <c r="K110" s="824" t="s">
        <v>3088</v>
      </c>
      <c r="L110" s="824">
        <v>42.506560975609766</v>
      </c>
      <c r="M110" s="824">
        <v>95.4</v>
      </c>
    </row>
    <row r="111" spans="1:13">
      <c r="A111" s="824">
        <v>2002</v>
      </c>
      <c r="B111" s="824" t="s">
        <v>21</v>
      </c>
      <c r="C111" s="824" t="str">
        <f t="shared" si="1"/>
        <v>2002_Afghanistan</v>
      </c>
      <c r="D111" s="824">
        <v>4128818042.2550769</v>
      </c>
      <c r="E111" s="824">
        <v>22202806</v>
      </c>
      <c r="F111" s="824" t="s">
        <v>3088</v>
      </c>
      <c r="G111" s="824">
        <v>1309770000</v>
      </c>
      <c r="H111" s="824">
        <v>1309770000</v>
      </c>
      <c r="I111" s="824" t="s">
        <v>3088</v>
      </c>
      <c r="J111" s="824">
        <v>0.60137520061357297</v>
      </c>
      <c r="K111" s="824" t="s">
        <v>3088</v>
      </c>
      <c r="L111" s="824">
        <v>55.671878048780499</v>
      </c>
      <c r="M111" s="824">
        <v>90.6</v>
      </c>
    </row>
    <row r="112" spans="1:13">
      <c r="A112" s="824">
        <v>2002</v>
      </c>
      <c r="B112" s="824" t="s">
        <v>38</v>
      </c>
      <c r="C112" s="824" t="str">
        <f t="shared" si="1"/>
        <v>2002_Albania</v>
      </c>
      <c r="D112" s="824">
        <v>4449373455.2814274</v>
      </c>
      <c r="E112" s="824">
        <v>3051427</v>
      </c>
      <c r="F112" s="824">
        <v>19.331293857135197</v>
      </c>
      <c r="G112" s="824">
        <v>307420000</v>
      </c>
      <c r="H112" s="824">
        <v>307420000</v>
      </c>
      <c r="I112" s="824">
        <v>3.0468099999999998</v>
      </c>
      <c r="J112" s="824">
        <v>2.26359799713993</v>
      </c>
      <c r="K112" s="824">
        <v>25.4</v>
      </c>
      <c r="L112" s="824">
        <v>75.157951219512199</v>
      </c>
      <c r="M112" s="824">
        <v>21</v>
      </c>
    </row>
    <row r="113" spans="1:13">
      <c r="A113" s="824">
        <v>2002</v>
      </c>
      <c r="B113" s="824" t="s">
        <v>53</v>
      </c>
      <c r="C113" s="824" t="str">
        <f t="shared" si="1"/>
        <v>2002_Azerbaijan</v>
      </c>
      <c r="D113" s="824">
        <v>6236024951.2042265</v>
      </c>
      <c r="E113" s="824">
        <v>8171950</v>
      </c>
      <c r="F113" s="824" t="s">
        <v>3088</v>
      </c>
      <c r="G113" s="824">
        <v>349310000</v>
      </c>
      <c r="H113" s="824">
        <v>349310000</v>
      </c>
      <c r="I113" s="824">
        <v>3.15449</v>
      </c>
      <c r="J113" s="824">
        <v>0.79181788188716595</v>
      </c>
      <c r="K113" s="824" t="s">
        <v>3088</v>
      </c>
      <c r="L113" s="824">
        <v>67.561073170731717</v>
      </c>
      <c r="M113" s="824">
        <v>53.2</v>
      </c>
    </row>
    <row r="114" spans="1:13">
      <c r="A114" s="824">
        <v>2002</v>
      </c>
      <c r="B114" s="824" t="s">
        <v>98</v>
      </c>
      <c r="C114" s="824" t="str">
        <f t="shared" si="1"/>
        <v>2002_Burkina Faso</v>
      </c>
      <c r="D114" s="824">
        <v>3205592273.1869321</v>
      </c>
      <c r="E114" s="824">
        <v>12296399</v>
      </c>
      <c r="F114" s="824">
        <v>11.69537470554009</v>
      </c>
      <c r="G114" s="824">
        <v>439760000</v>
      </c>
      <c r="H114" s="824">
        <v>439760000</v>
      </c>
      <c r="I114" s="824" t="s">
        <v>3088</v>
      </c>
      <c r="J114" s="824">
        <v>2.1997076231576398</v>
      </c>
      <c r="K114" s="824" t="s">
        <v>3088</v>
      </c>
      <c r="L114" s="824">
        <v>51.272756097560979</v>
      </c>
      <c r="M114" s="824">
        <v>93.5</v>
      </c>
    </row>
    <row r="115" spans="1:13">
      <c r="A115" s="824">
        <v>2002</v>
      </c>
      <c r="B115" s="824" t="s">
        <v>101</v>
      </c>
      <c r="C115" s="824" t="str">
        <f t="shared" si="1"/>
        <v>2002_Cameroon</v>
      </c>
      <c r="D115" s="824">
        <v>10879778327.819414</v>
      </c>
      <c r="E115" s="824">
        <v>16782044</v>
      </c>
      <c r="F115" s="824" t="s">
        <v>3088</v>
      </c>
      <c r="G115" s="824">
        <v>605850000</v>
      </c>
      <c r="H115" s="824">
        <v>605850000</v>
      </c>
      <c r="I115" s="824" t="s">
        <v>3088</v>
      </c>
      <c r="J115" s="824">
        <v>1.2903827201819</v>
      </c>
      <c r="K115" s="824" t="s">
        <v>3088</v>
      </c>
      <c r="L115" s="824">
        <v>51.655268292682933</v>
      </c>
      <c r="M115" s="824">
        <v>86.7</v>
      </c>
    </row>
    <row r="116" spans="1:13">
      <c r="A116" s="824">
        <v>2002</v>
      </c>
      <c r="B116" s="824" t="s">
        <v>138</v>
      </c>
      <c r="C116" s="824" t="str">
        <f t="shared" si="1"/>
        <v>2002_Chad</v>
      </c>
      <c r="D116" s="824">
        <v>1987622268.8151252</v>
      </c>
      <c r="E116" s="824">
        <v>8959964</v>
      </c>
      <c r="F116" s="824" t="s">
        <v>3088</v>
      </c>
      <c r="G116" s="824">
        <v>229540000</v>
      </c>
      <c r="H116" s="824">
        <v>229540000</v>
      </c>
      <c r="I116" s="824" t="s">
        <v>3088</v>
      </c>
      <c r="J116" s="824">
        <v>2.4819551976345302</v>
      </c>
      <c r="K116" s="824" t="s">
        <v>3088</v>
      </c>
      <c r="L116" s="824">
        <v>46.929707317073181</v>
      </c>
      <c r="M116" s="824">
        <v>103.7</v>
      </c>
    </row>
    <row r="117" spans="1:13">
      <c r="A117" s="824">
        <v>2002</v>
      </c>
      <c r="B117" s="824" t="s">
        <v>127</v>
      </c>
      <c r="C117" s="824" t="str">
        <f t="shared" si="1"/>
        <v>2002_Central African Republic</v>
      </c>
      <c r="D117" s="824">
        <v>991387865.04493213</v>
      </c>
      <c r="E117" s="824">
        <v>3767248</v>
      </c>
      <c r="F117" s="824" t="s">
        <v>3088</v>
      </c>
      <c r="G117" s="824">
        <v>60240000</v>
      </c>
      <c r="H117" s="824">
        <v>60240000</v>
      </c>
      <c r="I117" s="824">
        <v>1.5195700000000001</v>
      </c>
      <c r="J117" s="824">
        <v>2.1029690479398999</v>
      </c>
      <c r="K117" s="824" t="s">
        <v>3088</v>
      </c>
      <c r="L117" s="824">
        <v>43.96358536585366</v>
      </c>
      <c r="M117" s="824">
        <v>112.7</v>
      </c>
    </row>
    <row r="118" spans="1:13">
      <c r="A118" s="824">
        <v>2002</v>
      </c>
      <c r="B118" s="824" t="s">
        <v>171</v>
      </c>
      <c r="C118" s="824" t="str">
        <f t="shared" si="1"/>
        <v>2002_Democratic Republic of Congo</v>
      </c>
      <c r="D118" s="824">
        <v>8728038480.2851639</v>
      </c>
      <c r="E118" s="824">
        <v>49516960</v>
      </c>
      <c r="F118" s="824">
        <v>4.8855935443450775</v>
      </c>
      <c r="G118" s="824">
        <v>1174980000</v>
      </c>
      <c r="H118" s="824">
        <v>1174980000</v>
      </c>
      <c r="I118" s="824" t="s">
        <v>3088</v>
      </c>
      <c r="J118" s="824">
        <v>0.25199675687025302</v>
      </c>
      <c r="K118" s="824" t="s">
        <v>3088</v>
      </c>
      <c r="L118" s="824">
        <v>47.019146341463419</v>
      </c>
      <c r="M118" s="824">
        <v>112.9</v>
      </c>
    </row>
    <row r="119" spans="1:13">
      <c r="A119" s="824">
        <v>2002</v>
      </c>
      <c r="B119" s="824" t="s">
        <v>465</v>
      </c>
      <c r="C119" s="824" t="str">
        <f t="shared" si="1"/>
        <v>2002_Republic of the Congo</v>
      </c>
      <c r="D119" s="824">
        <v>3019993723.1258554</v>
      </c>
      <c r="E119" s="824">
        <v>3283719</v>
      </c>
      <c r="F119" s="824">
        <v>31.910795856525247</v>
      </c>
      <c r="G119" s="824">
        <v>57660000</v>
      </c>
      <c r="H119" s="824">
        <v>57660000</v>
      </c>
      <c r="I119" s="824">
        <v>3.2083200000000001</v>
      </c>
      <c r="J119" s="824">
        <v>1.28795915417074</v>
      </c>
      <c r="K119" s="824" t="s">
        <v>3088</v>
      </c>
      <c r="L119" s="824">
        <v>52.692170731707321</v>
      </c>
      <c r="M119" s="824">
        <v>73.2</v>
      </c>
    </row>
    <row r="120" spans="1:13">
      <c r="A120" s="824">
        <v>2002</v>
      </c>
      <c r="B120" s="824" t="s">
        <v>153</v>
      </c>
      <c r="C120" s="824" t="str">
        <f t="shared" si="1"/>
        <v>2002_Cote d'Ivoire</v>
      </c>
      <c r="D120" s="824">
        <v>11486664265.354841</v>
      </c>
      <c r="E120" s="824">
        <v>16674987</v>
      </c>
      <c r="F120" s="824" t="s">
        <v>3088</v>
      </c>
      <c r="G120" s="824">
        <v>1067720000</v>
      </c>
      <c r="H120" s="824">
        <v>1067720000</v>
      </c>
      <c r="I120" s="824">
        <v>4.3966599999999998</v>
      </c>
      <c r="J120" s="824">
        <v>1.5140932924674699</v>
      </c>
      <c r="K120" s="824">
        <v>40.200000000000003</v>
      </c>
      <c r="L120" s="824">
        <v>46.283585365853661</v>
      </c>
      <c r="M120" s="824">
        <v>95.7</v>
      </c>
    </row>
    <row r="121" spans="1:13">
      <c r="A121" s="824">
        <v>2002</v>
      </c>
      <c r="B121" s="824" t="s">
        <v>188</v>
      </c>
      <c r="C121" s="824" t="str">
        <f t="shared" si="1"/>
        <v>2002_Equatorial Guinea</v>
      </c>
      <c r="D121" s="824">
        <v>1806742732.910897</v>
      </c>
      <c r="E121" s="824">
        <v>551399</v>
      </c>
      <c r="F121" s="824" t="s">
        <v>3088</v>
      </c>
      <c r="G121" s="824">
        <v>20150000</v>
      </c>
      <c r="H121" s="824">
        <v>20150000</v>
      </c>
      <c r="I121" s="824">
        <v>0.60299999999999998</v>
      </c>
      <c r="J121" s="824">
        <v>0.93563997435920099</v>
      </c>
      <c r="K121" s="824" t="s">
        <v>3088</v>
      </c>
      <c r="L121" s="824">
        <v>47.976512195121963</v>
      </c>
      <c r="M121" s="824">
        <v>94.1</v>
      </c>
    </row>
    <row r="122" spans="1:13">
      <c r="A122" s="824">
        <v>2002</v>
      </c>
      <c r="B122" s="824" t="s">
        <v>191</v>
      </c>
      <c r="C122" s="824" t="str">
        <f t="shared" si="1"/>
        <v>2002_Gabon</v>
      </c>
      <c r="D122" s="824">
        <v>4931503836.3476601</v>
      </c>
      <c r="E122" s="824">
        <v>1285318</v>
      </c>
      <c r="F122" s="824" t="s">
        <v>3088</v>
      </c>
      <c r="G122" s="824">
        <v>71660000</v>
      </c>
      <c r="H122" s="824">
        <v>71660000</v>
      </c>
      <c r="I122" s="824" t="s">
        <v>3088</v>
      </c>
      <c r="J122" s="824">
        <v>1.2954952487620699</v>
      </c>
      <c r="K122" s="824" t="s">
        <v>3088</v>
      </c>
      <c r="L122" s="824">
        <v>59.422926829268299</v>
      </c>
      <c r="M122" s="824">
        <v>53.7</v>
      </c>
    </row>
    <row r="123" spans="1:13">
      <c r="A123" s="824">
        <v>2002</v>
      </c>
      <c r="B123" s="824" t="s">
        <v>195</v>
      </c>
      <c r="C123" s="824" t="str">
        <f t="shared" si="1"/>
        <v>2002_Ghana</v>
      </c>
      <c r="D123" s="824">
        <v>6166197191.7669439</v>
      </c>
      <c r="E123" s="824">
        <v>19786307</v>
      </c>
      <c r="F123" s="824">
        <v>18.009606647292376</v>
      </c>
      <c r="G123" s="824">
        <v>686200000</v>
      </c>
      <c r="H123" s="824">
        <v>686200000</v>
      </c>
      <c r="I123" s="824" t="s">
        <v>3088</v>
      </c>
      <c r="J123" s="824">
        <v>2.3607629650853399</v>
      </c>
      <c r="K123" s="824" t="s">
        <v>3088</v>
      </c>
      <c r="L123" s="824">
        <v>57.421926829268301</v>
      </c>
      <c r="M123" s="824">
        <v>61.6</v>
      </c>
    </row>
    <row r="124" spans="1:13">
      <c r="A124" s="824">
        <v>2002</v>
      </c>
      <c r="B124" s="824" t="s">
        <v>3089</v>
      </c>
      <c r="C124" s="824" t="str">
        <f t="shared" si="1"/>
        <v>2002_Guinea</v>
      </c>
      <c r="D124" s="824">
        <v>2949637039.0635552</v>
      </c>
      <c r="E124" s="824">
        <v>9045748</v>
      </c>
      <c r="F124" s="824" t="s">
        <v>3088</v>
      </c>
      <c r="G124" s="824">
        <v>253860000</v>
      </c>
      <c r="H124" s="824">
        <v>253860000</v>
      </c>
      <c r="I124" s="824">
        <v>2.5938699999999999</v>
      </c>
      <c r="J124" s="824">
        <v>1.3310503763538599</v>
      </c>
      <c r="K124" s="824">
        <v>49.1</v>
      </c>
      <c r="L124" s="824">
        <v>51.440634146341466</v>
      </c>
      <c r="M124" s="824">
        <v>95.4</v>
      </c>
    </row>
    <row r="125" spans="1:13">
      <c r="A125" s="824">
        <v>2002</v>
      </c>
      <c r="B125" s="824" t="s">
        <v>219</v>
      </c>
      <c r="C125" s="824" t="str">
        <f t="shared" si="1"/>
        <v>2002_Guatemala</v>
      </c>
      <c r="D125" s="824">
        <v>20776536919.959343</v>
      </c>
      <c r="E125" s="824">
        <v>11765738</v>
      </c>
      <c r="F125" s="824">
        <v>12.492228017535266</v>
      </c>
      <c r="G125" s="824">
        <v>249550000</v>
      </c>
      <c r="H125" s="824">
        <v>249550000</v>
      </c>
      <c r="I125" s="824" t="s">
        <v>3088</v>
      </c>
      <c r="J125" s="824">
        <v>2.2119689760674599</v>
      </c>
      <c r="K125" s="824" t="s">
        <v>3088</v>
      </c>
      <c r="L125" s="824">
        <v>68.645853658536581</v>
      </c>
      <c r="M125" s="824">
        <v>37.200000000000003</v>
      </c>
    </row>
    <row r="126" spans="1:13">
      <c r="A126" s="824">
        <v>2002</v>
      </c>
      <c r="B126" s="824" t="s">
        <v>243</v>
      </c>
      <c r="C126" s="824" t="str">
        <f t="shared" si="1"/>
        <v>2002_Indonesia</v>
      </c>
      <c r="D126" s="824">
        <v>195660611033.84912</v>
      </c>
      <c r="E126" s="824">
        <v>215038285</v>
      </c>
      <c r="F126" s="824">
        <v>16.385582183310504</v>
      </c>
      <c r="G126" s="824">
        <v>1304650000</v>
      </c>
      <c r="H126" s="824">
        <v>1304650000</v>
      </c>
      <c r="I126" s="824">
        <v>2.6456900000000001</v>
      </c>
      <c r="J126" s="824">
        <v>0.85194404164508097</v>
      </c>
      <c r="K126" s="824">
        <v>18.2</v>
      </c>
      <c r="L126" s="824">
        <v>67.914268292682934</v>
      </c>
      <c r="M126" s="824">
        <v>37.799999999999997</v>
      </c>
    </row>
    <row r="127" spans="1:13">
      <c r="A127" s="824">
        <v>2002</v>
      </c>
      <c r="B127" s="824" t="s">
        <v>251</v>
      </c>
      <c r="C127" s="824" t="str">
        <f t="shared" si="1"/>
        <v>2002_Iraq</v>
      </c>
      <c r="D127" s="824" t="s">
        <v>3088</v>
      </c>
      <c r="E127" s="824">
        <v>25238267</v>
      </c>
      <c r="F127" s="824" t="s">
        <v>3088</v>
      </c>
      <c r="G127" s="824">
        <v>113380000</v>
      </c>
      <c r="H127" s="824">
        <v>113380000</v>
      </c>
      <c r="I127" s="824" t="s">
        <v>3088</v>
      </c>
      <c r="J127" s="824">
        <v>3.4455054433522897E-2</v>
      </c>
      <c r="K127" s="824" t="s">
        <v>3088</v>
      </c>
      <c r="L127" s="824">
        <v>70.431048780487799</v>
      </c>
      <c r="M127" s="824">
        <v>34.6</v>
      </c>
    </row>
    <row r="128" spans="1:13">
      <c r="A128" s="824">
        <v>2002</v>
      </c>
      <c r="B128" s="824" t="s">
        <v>280</v>
      </c>
      <c r="C128" s="824" t="str">
        <f t="shared" si="1"/>
        <v>2002_Kazakhstan</v>
      </c>
      <c r="D128" s="824">
        <v>24636598581.020412</v>
      </c>
      <c r="E128" s="824">
        <v>14858948</v>
      </c>
      <c r="F128" s="824">
        <v>13.234335757069534</v>
      </c>
      <c r="G128" s="824">
        <v>187420000</v>
      </c>
      <c r="H128" s="824">
        <v>187420000</v>
      </c>
      <c r="I128" s="824">
        <v>3.0297000000000001</v>
      </c>
      <c r="J128" s="824">
        <v>1.93312090188299</v>
      </c>
      <c r="K128" s="824">
        <v>44.5</v>
      </c>
      <c r="L128" s="824">
        <v>65.968292682926844</v>
      </c>
      <c r="M128" s="824">
        <v>33.9</v>
      </c>
    </row>
    <row r="129" spans="1:13">
      <c r="A129" s="824">
        <v>2002</v>
      </c>
      <c r="B129" s="824" t="s">
        <v>285</v>
      </c>
      <c r="C129" s="824" t="str">
        <f t="shared" si="1"/>
        <v>2002_Kyrgyz Republic</v>
      </c>
      <c r="D129" s="824">
        <v>1605640633.4218886</v>
      </c>
      <c r="E129" s="824">
        <v>4990700</v>
      </c>
      <c r="F129" s="824" t="s">
        <v>3088</v>
      </c>
      <c r="G129" s="824">
        <v>185610000</v>
      </c>
      <c r="H129" s="824">
        <v>185610000</v>
      </c>
      <c r="I129" s="824">
        <v>4.4454700000000003</v>
      </c>
      <c r="J129" s="824">
        <v>2.1492165005904398</v>
      </c>
      <c r="K129" s="824" t="s">
        <v>3088</v>
      </c>
      <c r="L129" s="824">
        <v>68.107317073170734</v>
      </c>
      <c r="M129" s="824">
        <v>38.6</v>
      </c>
    </row>
    <row r="130" spans="1:13">
      <c r="A130" s="824">
        <v>2002</v>
      </c>
      <c r="B130" s="824" t="s">
        <v>301</v>
      </c>
      <c r="C130" s="824" t="str">
        <f t="shared" si="1"/>
        <v>2002_Liberia</v>
      </c>
      <c r="D130" s="824">
        <v>536000000.00000083</v>
      </c>
      <c r="E130" s="824">
        <v>3070673</v>
      </c>
      <c r="F130" s="824" t="s">
        <v>3088</v>
      </c>
      <c r="G130" s="824">
        <v>55160000</v>
      </c>
      <c r="H130" s="824">
        <v>55160000</v>
      </c>
      <c r="I130" s="824" t="s">
        <v>3088</v>
      </c>
      <c r="J130" s="824">
        <v>1.0908137814546199</v>
      </c>
      <c r="K130" s="824" t="s">
        <v>3088</v>
      </c>
      <c r="L130" s="824">
        <v>52.810804878048785</v>
      </c>
      <c r="M130" s="824">
        <v>104.1</v>
      </c>
    </row>
    <row r="131" spans="1:13">
      <c r="A131" s="824">
        <v>2002</v>
      </c>
      <c r="B131" s="824" t="s">
        <v>316</v>
      </c>
      <c r="C131" s="824" t="str">
        <f t="shared" si="1"/>
        <v>2002_Madagascar</v>
      </c>
      <c r="D131" s="824">
        <v>4397254714.8833675</v>
      </c>
      <c r="E131" s="824">
        <v>16736029</v>
      </c>
      <c r="F131" s="824">
        <v>7.9988416159457554</v>
      </c>
      <c r="G131" s="824">
        <v>373960000</v>
      </c>
      <c r="H131" s="824">
        <v>373960000</v>
      </c>
      <c r="I131" s="824">
        <v>2.7162099999999998</v>
      </c>
      <c r="J131" s="824">
        <v>2.5837884609937798</v>
      </c>
      <c r="K131" s="824" t="s">
        <v>3088</v>
      </c>
      <c r="L131" s="824">
        <v>59.699170731707319</v>
      </c>
      <c r="M131" s="824">
        <v>63.7</v>
      </c>
    </row>
    <row r="132" spans="1:13">
      <c r="A132" s="824">
        <v>2002</v>
      </c>
      <c r="B132" s="824" t="s">
        <v>329</v>
      </c>
      <c r="C132" s="824" t="str">
        <f t="shared" ref="C132:C195" si="2">$A132&amp;"_"&amp;$B132</f>
        <v>2002_Mali</v>
      </c>
      <c r="D132" s="824">
        <v>3342824259.8249321</v>
      </c>
      <c r="E132" s="824">
        <v>10882662</v>
      </c>
      <c r="F132" s="824">
        <v>14.225242429760215</v>
      </c>
      <c r="G132" s="824">
        <v>424970000</v>
      </c>
      <c r="H132" s="824">
        <v>424970000</v>
      </c>
      <c r="I132" s="824">
        <v>3.3700999999999999</v>
      </c>
      <c r="J132" s="824">
        <v>2.5254184194039202</v>
      </c>
      <c r="K132" s="824" t="s">
        <v>3088</v>
      </c>
      <c r="L132" s="824">
        <v>50.023902439024397</v>
      </c>
      <c r="M132" s="824">
        <v>109</v>
      </c>
    </row>
    <row r="133" spans="1:13">
      <c r="A133" s="824">
        <v>2002</v>
      </c>
      <c r="B133" s="824" t="s">
        <v>345</v>
      </c>
      <c r="C133" s="824" t="str">
        <f t="shared" si="2"/>
        <v>2002_Mauritania</v>
      </c>
      <c r="D133" s="824">
        <v>1149655880.9534585</v>
      </c>
      <c r="E133" s="824">
        <v>2877431</v>
      </c>
      <c r="F133" s="824" t="s">
        <v>3088</v>
      </c>
      <c r="G133" s="824">
        <v>363690000</v>
      </c>
      <c r="H133" s="824">
        <v>363690000</v>
      </c>
      <c r="I133" s="824">
        <v>3.05538</v>
      </c>
      <c r="J133" s="824">
        <v>3.9748831052117199</v>
      </c>
      <c r="K133" s="824" t="s">
        <v>3088</v>
      </c>
      <c r="L133" s="824">
        <v>59.874390243902447</v>
      </c>
      <c r="M133" s="824">
        <v>75.8</v>
      </c>
    </row>
    <row r="134" spans="1:13">
      <c r="A134" s="824">
        <v>2002</v>
      </c>
      <c r="B134" s="824" t="s">
        <v>364</v>
      </c>
      <c r="C134" s="824" t="str">
        <f t="shared" si="2"/>
        <v>2002_Mongolia</v>
      </c>
      <c r="D134" s="824">
        <v>1396555772.0379355</v>
      </c>
      <c r="E134" s="824">
        <v>2443231</v>
      </c>
      <c r="F134" s="824">
        <v>24.759042151198575</v>
      </c>
      <c r="G134" s="824">
        <v>207800000</v>
      </c>
      <c r="H134" s="824">
        <v>207800000</v>
      </c>
      <c r="I134" s="824">
        <v>7.2107799999999997</v>
      </c>
      <c r="J134" s="824">
        <v>3.7843818230165698</v>
      </c>
      <c r="K134" s="824" t="s">
        <v>3088</v>
      </c>
      <c r="L134" s="824">
        <v>63.895951219512206</v>
      </c>
      <c r="M134" s="824">
        <v>44.1</v>
      </c>
    </row>
    <row r="135" spans="1:13">
      <c r="A135" s="824">
        <v>2002</v>
      </c>
      <c r="B135" s="824" t="s">
        <v>385</v>
      </c>
      <c r="C135" s="824" t="str">
        <f t="shared" si="2"/>
        <v>2002_Mozambique</v>
      </c>
      <c r="D135" s="824">
        <v>4201332885.2841554</v>
      </c>
      <c r="E135" s="824">
        <v>19319894</v>
      </c>
      <c r="F135" s="824" t="s">
        <v>3088</v>
      </c>
      <c r="G135" s="824">
        <v>2219270000</v>
      </c>
      <c r="H135" s="824">
        <v>2219270000</v>
      </c>
      <c r="I135" s="824" t="s">
        <v>3088</v>
      </c>
      <c r="J135" s="824">
        <v>4.4888620302974998</v>
      </c>
      <c r="K135" s="824" t="s">
        <v>3088</v>
      </c>
      <c r="L135" s="824">
        <v>47.59285365853659</v>
      </c>
      <c r="M135" s="824">
        <v>103.6</v>
      </c>
    </row>
    <row r="136" spans="1:13">
      <c r="A136" s="824">
        <v>2002</v>
      </c>
      <c r="B136" s="824" t="s">
        <v>394</v>
      </c>
      <c r="C136" s="824" t="str">
        <f t="shared" si="2"/>
        <v>2002_Niger</v>
      </c>
      <c r="D136" s="824">
        <v>2170481497.622117</v>
      </c>
      <c r="E136" s="824">
        <v>11817297</v>
      </c>
      <c r="F136" s="824" t="s">
        <v>3088</v>
      </c>
      <c r="G136" s="824">
        <v>300450000</v>
      </c>
      <c r="H136" s="824">
        <v>300450000</v>
      </c>
      <c r="I136" s="824">
        <v>3.06366</v>
      </c>
      <c r="J136" s="824">
        <v>1.9092583637659499</v>
      </c>
      <c r="K136" s="824" t="s">
        <v>3088</v>
      </c>
      <c r="L136" s="824">
        <v>52.101878048780492</v>
      </c>
      <c r="M136" s="824">
        <v>94.1</v>
      </c>
    </row>
    <row r="137" spans="1:13">
      <c r="A137" s="824">
        <v>2002</v>
      </c>
      <c r="B137" s="824" t="s">
        <v>413</v>
      </c>
      <c r="C137" s="824" t="str">
        <f t="shared" si="2"/>
        <v>2002_Nigeria</v>
      </c>
      <c r="D137" s="824">
        <v>59116868249.84005</v>
      </c>
      <c r="E137" s="824">
        <v>129224641</v>
      </c>
      <c r="F137" s="824" t="s">
        <v>3088</v>
      </c>
      <c r="G137" s="824">
        <v>297930000</v>
      </c>
      <c r="H137" s="824">
        <v>297930000</v>
      </c>
      <c r="I137" s="824" t="s">
        <v>3088</v>
      </c>
      <c r="J137" s="824">
        <v>1.00022220187582</v>
      </c>
      <c r="K137" s="824" t="s">
        <v>3088</v>
      </c>
      <c r="L137" s="824">
        <v>47.219731707317074</v>
      </c>
      <c r="M137" s="824">
        <v>106.4</v>
      </c>
    </row>
    <row r="138" spans="1:13">
      <c r="A138" s="824">
        <v>2002</v>
      </c>
      <c r="B138" s="824" t="s">
        <v>436</v>
      </c>
      <c r="C138" s="824" t="str">
        <f t="shared" si="2"/>
        <v>2002_Norway</v>
      </c>
      <c r="D138" s="824">
        <v>191927027230.14105</v>
      </c>
      <c r="E138" s="824">
        <v>4538159</v>
      </c>
      <c r="F138" s="824">
        <v>47.490548565006883</v>
      </c>
      <c r="G138" s="824" t="s">
        <v>3088</v>
      </c>
      <c r="H138" s="824" t="s">
        <v>3088</v>
      </c>
      <c r="I138" s="824">
        <v>7.5766799999999996</v>
      </c>
      <c r="J138" s="824">
        <v>8.7173784365665608</v>
      </c>
      <c r="K138" s="824" t="s">
        <v>3088</v>
      </c>
      <c r="L138" s="824">
        <v>78.987804878048792</v>
      </c>
      <c r="M138" s="824">
        <v>3.6</v>
      </c>
    </row>
    <row r="139" spans="1:13">
      <c r="A139" s="824">
        <v>2002</v>
      </c>
      <c r="B139" s="824" t="s">
        <v>449</v>
      </c>
      <c r="C139" s="824" t="str">
        <f t="shared" si="2"/>
        <v>2002_Peru</v>
      </c>
      <c r="D139" s="824">
        <v>54452491886.512932</v>
      </c>
      <c r="E139" s="824">
        <v>26729909</v>
      </c>
      <c r="F139" s="824">
        <v>16.865896743034067</v>
      </c>
      <c r="G139" s="824">
        <v>488480000</v>
      </c>
      <c r="H139" s="824">
        <v>488480000</v>
      </c>
      <c r="I139" s="824">
        <v>2.9748999999999999</v>
      </c>
      <c r="J139" s="824">
        <v>2.77376806420944</v>
      </c>
      <c r="K139" s="824">
        <v>54.3</v>
      </c>
      <c r="L139" s="824">
        <v>71.366926829268294</v>
      </c>
      <c r="M139" s="824">
        <v>26.4</v>
      </c>
    </row>
    <row r="140" spans="1:13">
      <c r="A140" s="824">
        <v>2002</v>
      </c>
      <c r="B140" s="824" t="s">
        <v>488</v>
      </c>
      <c r="C140" s="824" t="str">
        <f t="shared" si="2"/>
        <v>2002_Sierra Leone</v>
      </c>
      <c r="D140" s="824">
        <v>1239004287.7560744</v>
      </c>
      <c r="E140" s="824">
        <v>4493047</v>
      </c>
      <c r="F140" s="824">
        <v>9.1779674853018633</v>
      </c>
      <c r="G140" s="824">
        <v>383120000</v>
      </c>
      <c r="H140" s="824">
        <v>383120000</v>
      </c>
      <c r="I140" s="824">
        <v>3.5863100000000001</v>
      </c>
      <c r="J140" s="824">
        <v>3.0697232133657901</v>
      </c>
      <c r="K140" s="824" t="s">
        <v>3088</v>
      </c>
      <c r="L140" s="824">
        <v>39.646634146341462</v>
      </c>
      <c r="M140" s="824">
        <v>135.6</v>
      </c>
    </row>
    <row r="141" spans="1:13">
      <c r="A141" s="824">
        <v>2002</v>
      </c>
      <c r="B141" s="824" t="s">
        <v>499</v>
      </c>
      <c r="C141" s="824" t="str">
        <f t="shared" si="2"/>
        <v>2002_Tanzania</v>
      </c>
      <c r="D141" s="824">
        <v>10805600068.704048</v>
      </c>
      <c r="E141" s="824">
        <v>35806497</v>
      </c>
      <c r="F141" s="824" t="s">
        <v>3088</v>
      </c>
      <c r="G141" s="824">
        <v>1269840000</v>
      </c>
      <c r="H141" s="824">
        <v>1269840000</v>
      </c>
      <c r="I141" s="824" t="s">
        <v>3088</v>
      </c>
      <c r="J141" s="824">
        <v>1.5281216623648199</v>
      </c>
      <c r="K141" s="824" t="s">
        <v>3088</v>
      </c>
      <c r="L141" s="824">
        <v>51.159487804878047</v>
      </c>
      <c r="M141" s="824">
        <v>70.5</v>
      </c>
    </row>
    <row r="142" spans="1:13">
      <c r="A142" s="824">
        <v>2002</v>
      </c>
      <c r="B142" s="824" t="s">
        <v>3090</v>
      </c>
      <c r="C142" s="824" t="str">
        <f t="shared" si="2"/>
        <v>2002_Timor-Leste</v>
      </c>
      <c r="D142" s="824">
        <v>444000000</v>
      </c>
      <c r="E142" s="824">
        <v>899367</v>
      </c>
      <c r="F142" s="824" t="s">
        <v>3088</v>
      </c>
      <c r="G142" s="824">
        <v>219050000</v>
      </c>
      <c r="H142" s="824">
        <v>219050000</v>
      </c>
      <c r="I142" s="824" t="s">
        <v>3088</v>
      </c>
      <c r="J142" s="824">
        <v>3.6529071136923599</v>
      </c>
      <c r="K142" s="824" t="s">
        <v>3088</v>
      </c>
      <c r="L142" s="824">
        <v>61.120536585365862</v>
      </c>
      <c r="M142" s="824">
        <v>76</v>
      </c>
    </row>
    <row r="143" spans="1:13">
      <c r="A143" s="824">
        <v>2002</v>
      </c>
      <c r="B143" s="824" t="s">
        <v>517</v>
      </c>
      <c r="C143" s="824" t="str">
        <f t="shared" si="2"/>
        <v>2002_Togo</v>
      </c>
      <c r="D143" s="824">
        <v>1474630199.4187372</v>
      </c>
      <c r="E143" s="824">
        <v>5123674</v>
      </c>
      <c r="F143" s="824" t="s">
        <v>3088</v>
      </c>
      <c r="G143" s="824">
        <v>51350000</v>
      </c>
      <c r="H143" s="824">
        <v>51350000</v>
      </c>
      <c r="I143" s="824">
        <v>4.0173199999999998</v>
      </c>
      <c r="J143" s="824">
        <v>0.90636266198967197</v>
      </c>
      <c r="K143" s="824" t="s">
        <v>3088</v>
      </c>
      <c r="L143" s="824">
        <v>53.688731707317082</v>
      </c>
      <c r="M143" s="824">
        <v>73.3</v>
      </c>
    </row>
    <row r="144" spans="1:13">
      <c r="A144" s="824">
        <v>2002</v>
      </c>
      <c r="B144" s="824" t="s">
        <v>3091</v>
      </c>
      <c r="C144" s="824" t="str">
        <f t="shared" si="2"/>
        <v>2002_Trinidad and Tobago</v>
      </c>
      <c r="D144" s="824">
        <v>9008273516.3578606</v>
      </c>
      <c r="E144" s="824">
        <v>1277723</v>
      </c>
      <c r="F144" s="824">
        <v>26.020607567951682</v>
      </c>
      <c r="G144" s="824">
        <v>-8580000</v>
      </c>
      <c r="H144" s="824">
        <v>-8580000</v>
      </c>
      <c r="I144" s="824">
        <v>3.5430100000000002</v>
      </c>
      <c r="J144" s="824">
        <v>2.6470065731035701</v>
      </c>
      <c r="K144" s="824" t="s">
        <v>3088</v>
      </c>
      <c r="L144" s="824">
        <v>68.723048780487815</v>
      </c>
      <c r="M144" s="824">
        <v>25</v>
      </c>
    </row>
    <row r="145" spans="1:13">
      <c r="A145" s="824">
        <v>2002</v>
      </c>
      <c r="B145" s="824" t="s">
        <v>3092</v>
      </c>
      <c r="C145" s="824" t="str">
        <f t="shared" si="2"/>
        <v>2002_Yemen, Rep.</v>
      </c>
      <c r="D145" s="824">
        <v>10693278291.814947</v>
      </c>
      <c r="E145" s="824">
        <v>18551068</v>
      </c>
      <c r="F145" s="824" t="s">
        <v>3088</v>
      </c>
      <c r="G145" s="824">
        <v>216750000</v>
      </c>
      <c r="H145" s="824">
        <v>216750000</v>
      </c>
      <c r="I145" s="824" t="s">
        <v>3088</v>
      </c>
      <c r="J145" s="824">
        <v>2.1426485025253799</v>
      </c>
      <c r="K145" s="824" t="s">
        <v>3088</v>
      </c>
      <c r="L145" s="824">
        <v>60.904000000000003</v>
      </c>
      <c r="M145" s="824">
        <v>63.8</v>
      </c>
    </row>
    <row r="146" spans="1:13">
      <c r="A146" s="824">
        <v>2002</v>
      </c>
      <c r="B146" s="824" t="s">
        <v>541</v>
      </c>
      <c r="C146" s="824" t="str">
        <f t="shared" si="2"/>
        <v>2002_Zambia</v>
      </c>
      <c r="D146" s="824">
        <v>4193850445.4263234</v>
      </c>
      <c r="E146" s="824">
        <v>10625423</v>
      </c>
      <c r="F146" s="824">
        <v>15.73520420844968</v>
      </c>
      <c r="G146" s="824">
        <v>811330000</v>
      </c>
      <c r="H146" s="824">
        <v>811330000</v>
      </c>
      <c r="I146" s="824" t="s">
        <v>3088</v>
      </c>
      <c r="J146" s="824">
        <v>4.3350003572710998</v>
      </c>
      <c r="K146" s="824" t="s">
        <v>3088</v>
      </c>
      <c r="L146" s="824">
        <v>43.426926829268297</v>
      </c>
      <c r="M146" s="824">
        <v>90.6</v>
      </c>
    </row>
    <row r="147" spans="1:13">
      <c r="A147" s="824">
        <v>2003</v>
      </c>
      <c r="B147" s="824" t="s">
        <v>21</v>
      </c>
      <c r="C147" s="824" t="str">
        <f t="shared" si="2"/>
        <v>2003_Afghanistan</v>
      </c>
      <c r="D147" s="824">
        <v>4583648921.6411247</v>
      </c>
      <c r="E147" s="824">
        <v>23116142</v>
      </c>
      <c r="F147" s="824" t="s">
        <v>3088</v>
      </c>
      <c r="G147" s="824">
        <v>1593670000</v>
      </c>
      <c r="H147" s="824">
        <v>1593670000</v>
      </c>
      <c r="I147" s="824" t="s">
        <v>3088</v>
      </c>
      <c r="J147" s="824">
        <v>0.65112056163883603</v>
      </c>
      <c r="K147" s="824" t="s">
        <v>3088</v>
      </c>
      <c r="L147" s="824">
        <v>56.107560975609758</v>
      </c>
      <c r="M147" s="824">
        <v>88.4</v>
      </c>
    </row>
    <row r="148" spans="1:13">
      <c r="A148" s="824">
        <v>2003</v>
      </c>
      <c r="B148" s="824" t="s">
        <v>38</v>
      </c>
      <c r="C148" s="824" t="str">
        <f t="shared" si="2"/>
        <v>2003_Albania</v>
      </c>
      <c r="D148" s="824">
        <v>5652325081.8314638</v>
      </c>
      <c r="E148" s="824">
        <v>3033659</v>
      </c>
      <c r="F148" s="824">
        <v>19.868466785033249</v>
      </c>
      <c r="G148" s="824">
        <v>354500000</v>
      </c>
      <c r="H148" s="824">
        <v>354500000</v>
      </c>
      <c r="I148" s="824">
        <v>3.11557</v>
      </c>
      <c r="J148" s="824">
        <v>2.21502100567931</v>
      </c>
      <c r="K148" s="824" t="s">
        <v>3088</v>
      </c>
      <c r="L148" s="824">
        <v>75.529365853658547</v>
      </c>
      <c r="M148" s="824">
        <v>20</v>
      </c>
    </row>
    <row r="149" spans="1:13">
      <c r="A149" s="824">
        <v>2003</v>
      </c>
      <c r="B149" s="824" t="s">
        <v>53</v>
      </c>
      <c r="C149" s="824" t="str">
        <f t="shared" si="2"/>
        <v>2003_Azerbaijan</v>
      </c>
      <c r="D149" s="824">
        <v>7275766111.2430887</v>
      </c>
      <c r="E149" s="824">
        <v>8234100</v>
      </c>
      <c r="F149" s="824" t="s">
        <v>3088</v>
      </c>
      <c r="G149" s="824">
        <v>300700000</v>
      </c>
      <c r="H149" s="824">
        <v>300700000</v>
      </c>
      <c r="I149" s="824">
        <v>3.2861500000000001</v>
      </c>
      <c r="J149" s="824">
        <v>0.82967797019311496</v>
      </c>
      <c r="K149" s="824" t="s">
        <v>3088</v>
      </c>
      <c r="L149" s="824">
        <v>68.003682926829285</v>
      </c>
      <c r="M149" s="824">
        <v>49.8</v>
      </c>
    </row>
    <row r="150" spans="1:13">
      <c r="A150" s="824">
        <v>2003</v>
      </c>
      <c r="B150" s="824" t="s">
        <v>98</v>
      </c>
      <c r="C150" s="824" t="str">
        <f t="shared" si="2"/>
        <v>2003_Burkina Faso</v>
      </c>
      <c r="D150" s="824">
        <v>4205691121.7898474</v>
      </c>
      <c r="E150" s="824">
        <v>12659086</v>
      </c>
      <c r="F150" s="824">
        <v>12.351834924795927</v>
      </c>
      <c r="G150" s="824">
        <v>540950000</v>
      </c>
      <c r="H150" s="824">
        <v>540950000</v>
      </c>
      <c r="I150" s="824" t="s">
        <v>3088</v>
      </c>
      <c r="J150" s="824">
        <v>2.5639114406011401</v>
      </c>
      <c r="K150" s="824">
        <v>51.1</v>
      </c>
      <c r="L150" s="824">
        <v>51.717560975609764</v>
      </c>
      <c r="M150" s="824">
        <v>91.4</v>
      </c>
    </row>
    <row r="151" spans="1:13">
      <c r="A151" s="824">
        <v>2003</v>
      </c>
      <c r="B151" s="824" t="s">
        <v>101</v>
      </c>
      <c r="C151" s="824" t="str">
        <f t="shared" si="2"/>
        <v>2003_Cameroon</v>
      </c>
      <c r="D151" s="824">
        <v>13621738512.258066</v>
      </c>
      <c r="E151" s="824">
        <v>17223277</v>
      </c>
      <c r="F151" s="824" t="s">
        <v>3088</v>
      </c>
      <c r="G151" s="824">
        <v>885980000</v>
      </c>
      <c r="H151" s="824">
        <v>885980000</v>
      </c>
      <c r="I151" s="824">
        <v>3.3018000000000001</v>
      </c>
      <c r="J151" s="824">
        <v>1.3317210643302999</v>
      </c>
      <c r="K151" s="824" t="s">
        <v>3088</v>
      </c>
      <c r="L151" s="824">
        <v>51.639048780487812</v>
      </c>
      <c r="M151" s="824">
        <v>83.6</v>
      </c>
    </row>
    <row r="152" spans="1:13">
      <c r="A152" s="824">
        <v>2003</v>
      </c>
      <c r="B152" s="824" t="s">
        <v>138</v>
      </c>
      <c r="C152" s="824" t="str">
        <f t="shared" si="2"/>
        <v>2003_Chad</v>
      </c>
      <c r="D152" s="824">
        <v>2736666450.5479422</v>
      </c>
      <c r="E152" s="824">
        <v>9311234</v>
      </c>
      <c r="F152" s="824" t="s">
        <v>3088</v>
      </c>
      <c r="G152" s="824">
        <v>253550000</v>
      </c>
      <c r="H152" s="824">
        <v>253550000</v>
      </c>
      <c r="I152" s="824" t="s">
        <v>3088</v>
      </c>
      <c r="J152" s="824">
        <v>2.7074449128207201</v>
      </c>
      <c r="K152" s="824">
        <v>54.8</v>
      </c>
      <c r="L152" s="824">
        <v>47.123146341463418</v>
      </c>
      <c r="M152" s="824">
        <v>102.7</v>
      </c>
    </row>
    <row r="153" spans="1:13">
      <c r="A153" s="824">
        <v>2003</v>
      </c>
      <c r="B153" s="824" t="s">
        <v>127</v>
      </c>
      <c r="C153" s="824" t="str">
        <f t="shared" si="2"/>
        <v>2003_Central African Republic</v>
      </c>
      <c r="D153" s="824">
        <v>1139754771.9110219</v>
      </c>
      <c r="E153" s="824">
        <v>3829636</v>
      </c>
      <c r="F153" s="824" t="s">
        <v>3088</v>
      </c>
      <c r="G153" s="824">
        <v>51250000</v>
      </c>
      <c r="H153" s="824">
        <v>51250000</v>
      </c>
      <c r="I153" s="824">
        <v>1.5398000000000001</v>
      </c>
      <c r="J153" s="824">
        <v>2.1289472439583101</v>
      </c>
      <c r="K153" s="824" t="s">
        <v>3088</v>
      </c>
      <c r="L153" s="824">
        <v>44.223902439024393</v>
      </c>
      <c r="M153" s="824">
        <v>112</v>
      </c>
    </row>
    <row r="154" spans="1:13">
      <c r="A154" s="824">
        <v>2003</v>
      </c>
      <c r="B154" s="824" t="s">
        <v>171</v>
      </c>
      <c r="C154" s="824" t="str">
        <f t="shared" si="2"/>
        <v>2003_Democratic Republic of Congo</v>
      </c>
      <c r="D154" s="824">
        <v>8937556125.2167912</v>
      </c>
      <c r="E154" s="824">
        <v>50972323</v>
      </c>
      <c r="F154" s="824">
        <v>6.1077796969916349</v>
      </c>
      <c r="G154" s="824">
        <v>5416990000</v>
      </c>
      <c r="H154" s="824">
        <v>5416990000</v>
      </c>
      <c r="I154" s="824" t="s">
        <v>3088</v>
      </c>
      <c r="J154" s="824">
        <v>1.1034205838565201</v>
      </c>
      <c r="K154" s="824" t="s">
        <v>3088</v>
      </c>
      <c r="L154" s="824">
        <v>47.331487804878051</v>
      </c>
      <c r="M154" s="824">
        <v>110.6</v>
      </c>
    </row>
    <row r="155" spans="1:13">
      <c r="A155" s="824">
        <v>2003</v>
      </c>
      <c r="B155" s="824" t="s">
        <v>465</v>
      </c>
      <c r="C155" s="824" t="str">
        <f t="shared" si="2"/>
        <v>2003_Republic of the Congo</v>
      </c>
      <c r="D155" s="824">
        <v>3495868724.6594543</v>
      </c>
      <c r="E155" s="824">
        <v>3363418</v>
      </c>
      <c r="F155" s="824">
        <v>31.550513853676541</v>
      </c>
      <c r="G155" s="824">
        <v>69150000</v>
      </c>
      <c r="H155" s="824">
        <v>69150000</v>
      </c>
      <c r="I155" s="824">
        <v>2.83616</v>
      </c>
      <c r="J155" s="824">
        <v>1.3001791638178</v>
      </c>
      <c r="K155" s="824" t="s">
        <v>3088</v>
      </c>
      <c r="L155" s="824">
        <v>53.048804878048784</v>
      </c>
      <c r="M155" s="824">
        <v>69.900000000000006</v>
      </c>
    </row>
    <row r="156" spans="1:13">
      <c r="A156" s="824">
        <v>2003</v>
      </c>
      <c r="B156" s="824" t="s">
        <v>153</v>
      </c>
      <c r="C156" s="824" t="str">
        <f t="shared" si="2"/>
        <v>2003_Cote d'Ivoire</v>
      </c>
      <c r="D156" s="824">
        <v>13737482343.421452</v>
      </c>
      <c r="E156" s="824">
        <v>16909801</v>
      </c>
      <c r="F156" s="824">
        <v>15.568190645115632</v>
      </c>
      <c r="G156" s="824">
        <v>253670000</v>
      </c>
      <c r="H156" s="824">
        <v>253670000</v>
      </c>
      <c r="I156" s="824">
        <v>4.4212199999999999</v>
      </c>
      <c r="J156" s="824">
        <v>1.49120029378437</v>
      </c>
      <c r="K156" s="824" t="s">
        <v>3088</v>
      </c>
      <c r="L156" s="824">
        <v>46.462951219512199</v>
      </c>
      <c r="M156" s="824">
        <v>93.5</v>
      </c>
    </row>
    <row r="157" spans="1:13">
      <c r="A157" s="824">
        <v>2003</v>
      </c>
      <c r="B157" s="824" t="s">
        <v>188</v>
      </c>
      <c r="C157" s="824" t="str">
        <f t="shared" si="2"/>
        <v>2003_Equatorial Guinea</v>
      </c>
      <c r="D157" s="824">
        <v>2484745875.8212414</v>
      </c>
      <c r="E157" s="824">
        <v>568552</v>
      </c>
      <c r="F157" s="824" t="s">
        <v>3088</v>
      </c>
      <c r="G157" s="824">
        <v>20930000</v>
      </c>
      <c r="H157" s="824">
        <v>20930000</v>
      </c>
      <c r="I157" s="824" t="s">
        <v>3088</v>
      </c>
      <c r="J157" s="824">
        <v>1.2856465877321199</v>
      </c>
      <c r="K157" s="824" t="s">
        <v>3088</v>
      </c>
      <c r="L157" s="824">
        <v>48.190975609756102</v>
      </c>
      <c r="M157" s="824">
        <v>91.6</v>
      </c>
    </row>
    <row r="158" spans="1:13">
      <c r="A158" s="824">
        <v>2003</v>
      </c>
      <c r="B158" s="824" t="s">
        <v>191</v>
      </c>
      <c r="C158" s="824" t="str">
        <f t="shared" si="2"/>
        <v>2003_Gabon</v>
      </c>
      <c r="D158" s="824">
        <v>6054883172.0391207</v>
      </c>
      <c r="E158" s="824">
        <v>1315820</v>
      </c>
      <c r="F158" s="824" t="s">
        <v>3088</v>
      </c>
      <c r="G158" s="824">
        <v>-10570000</v>
      </c>
      <c r="H158" s="824">
        <v>-10570000</v>
      </c>
      <c r="I158" s="824" t="s">
        <v>3088</v>
      </c>
      <c r="J158" s="824">
        <v>1.57078860172743</v>
      </c>
      <c r="K158" s="824" t="s">
        <v>3088</v>
      </c>
      <c r="L158" s="824">
        <v>59.484292682926835</v>
      </c>
      <c r="M158" s="824">
        <v>52.7</v>
      </c>
    </row>
    <row r="159" spans="1:13">
      <c r="A159" s="824">
        <v>2003</v>
      </c>
      <c r="B159" s="824" t="s">
        <v>195</v>
      </c>
      <c r="C159" s="824" t="str">
        <f t="shared" si="2"/>
        <v>2003_Ghana</v>
      </c>
      <c r="D159" s="824">
        <v>7632720680.2811918</v>
      </c>
      <c r="E159" s="824">
        <v>20301686</v>
      </c>
      <c r="F159" s="824">
        <v>19.766820007346084</v>
      </c>
      <c r="G159" s="824">
        <v>983450000</v>
      </c>
      <c r="H159" s="824">
        <v>983450000</v>
      </c>
      <c r="I159" s="824" t="s">
        <v>3088</v>
      </c>
      <c r="J159" s="824">
        <v>2.48742087950458</v>
      </c>
      <c r="K159" s="824" t="s">
        <v>3088</v>
      </c>
      <c r="L159" s="824">
        <v>57.786658536585371</v>
      </c>
      <c r="M159" s="824">
        <v>60.1</v>
      </c>
    </row>
    <row r="160" spans="1:13">
      <c r="A160" s="824">
        <v>2003</v>
      </c>
      <c r="B160" s="824" t="s">
        <v>3089</v>
      </c>
      <c r="C160" s="824" t="str">
        <f t="shared" si="2"/>
        <v>2003_Guinea</v>
      </c>
      <c r="D160" s="824">
        <v>3446442218.8982892</v>
      </c>
      <c r="E160" s="824">
        <v>9204581</v>
      </c>
      <c r="F160" s="824" t="s">
        <v>3088</v>
      </c>
      <c r="G160" s="824">
        <v>254330000</v>
      </c>
      <c r="H160" s="824">
        <v>254330000</v>
      </c>
      <c r="I160" s="824">
        <v>2.3710200000000001</v>
      </c>
      <c r="J160" s="824">
        <v>0.78020632652643296</v>
      </c>
      <c r="K160" s="824" t="s">
        <v>3088</v>
      </c>
      <c r="L160" s="824">
        <v>51.749024390243903</v>
      </c>
      <c r="M160" s="824">
        <v>91.7</v>
      </c>
    </row>
    <row r="161" spans="1:13">
      <c r="A161" s="824">
        <v>2003</v>
      </c>
      <c r="B161" s="824" t="s">
        <v>219</v>
      </c>
      <c r="C161" s="824" t="str">
        <f t="shared" si="2"/>
        <v>2003_Guatemala</v>
      </c>
      <c r="D161" s="824">
        <v>21917565499.914997</v>
      </c>
      <c r="E161" s="824">
        <v>12062835</v>
      </c>
      <c r="F161" s="824">
        <v>12.248183075438925</v>
      </c>
      <c r="G161" s="824">
        <v>246780000</v>
      </c>
      <c r="H161" s="824">
        <v>246780000</v>
      </c>
      <c r="I161" s="824" t="s">
        <v>3088</v>
      </c>
      <c r="J161" s="824">
        <v>2.3549778475685201</v>
      </c>
      <c r="K161" s="824" t="s">
        <v>3088</v>
      </c>
      <c r="L161" s="824">
        <v>69.015195121951237</v>
      </c>
      <c r="M161" s="824">
        <v>35.9</v>
      </c>
    </row>
    <row r="162" spans="1:13">
      <c r="A162" s="824">
        <v>2003</v>
      </c>
      <c r="B162" s="824" t="s">
        <v>243</v>
      </c>
      <c r="C162" s="824" t="str">
        <f t="shared" si="2"/>
        <v>2003_Indonesia</v>
      </c>
      <c r="D162" s="824">
        <v>234772458818.09644</v>
      </c>
      <c r="E162" s="824">
        <v>218145617</v>
      </c>
      <c r="F162" s="824">
        <v>16.929709175766266</v>
      </c>
      <c r="G162" s="824">
        <v>1771570000</v>
      </c>
      <c r="H162" s="824">
        <v>1771570000</v>
      </c>
      <c r="I162" s="824">
        <v>3.218</v>
      </c>
      <c r="J162" s="824">
        <v>1.0153011564033201</v>
      </c>
      <c r="K162" s="824">
        <v>17.399999999999999</v>
      </c>
      <c r="L162" s="824">
        <v>68.236317073170738</v>
      </c>
      <c r="M162" s="824">
        <v>36.299999999999997</v>
      </c>
    </row>
    <row r="163" spans="1:13">
      <c r="A163" s="824">
        <v>2003</v>
      </c>
      <c r="B163" s="824" t="s">
        <v>251</v>
      </c>
      <c r="C163" s="824" t="str">
        <f t="shared" si="2"/>
        <v>2003_Iraq</v>
      </c>
      <c r="D163" s="824" t="s">
        <v>3088</v>
      </c>
      <c r="E163" s="824">
        <v>25959531</v>
      </c>
      <c r="F163" s="824" t="s">
        <v>3088</v>
      </c>
      <c r="G163" s="824">
        <v>2287650000</v>
      </c>
      <c r="H163" s="824">
        <v>2287650000</v>
      </c>
      <c r="I163" s="824" t="s">
        <v>3088</v>
      </c>
      <c r="J163" s="824">
        <v>1.9793370932238701</v>
      </c>
      <c r="K163" s="824" t="s">
        <v>3088</v>
      </c>
      <c r="L163" s="824">
        <v>70.123560975609763</v>
      </c>
      <c r="M163" s="824">
        <v>34.1</v>
      </c>
    </row>
    <row r="164" spans="1:13">
      <c r="A164" s="824">
        <v>2003</v>
      </c>
      <c r="B164" s="824" t="s">
        <v>280</v>
      </c>
      <c r="C164" s="824" t="str">
        <f t="shared" si="2"/>
        <v>2003_Kazakhstan</v>
      </c>
      <c r="D164" s="824">
        <v>30833692831.395512</v>
      </c>
      <c r="E164" s="824">
        <v>14909018</v>
      </c>
      <c r="F164" s="824">
        <v>13.936406511110327</v>
      </c>
      <c r="G164" s="824">
        <v>293860000</v>
      </c>
      <c r="H164" s="824">
        <v>293860000</v>
      </c>
      <c r="I164" s="824" t="s">
        <v>3088</v>
      </c>
      <c r="J164" s="824">
        <v>2.0143214132773899</v>
      </c>
      <c r="K164" s="824">
        <v>37.5</v>
      </c>
      <c r="L164" s="824">
        <v>65.865853658536594</v>
      </c>
      <c r="M164" s="824">
        <v>32</v>
      </c>
    </row>
    <row r="165" spans="1:13">
      <c r="A165" s="824">
        <v>2003</v>
      </c>
      <c r="B165" s="824" t="s">
        <v>285</v>
      </c>
      <c r="C165" s="824" t="str">
        <f t="shared" si="2"/>
        <v>2003_Kyrgyz Republic</v>
      </c>
      <c r="D165" s="824">
        <v>1919012780.9708598</v>
      </c>
      <c r="E165" s="824">
        <v>5043300</v>
      </c>
      <c r="F165" s="824" t="s">
        <v>3088</v>
      </c>
      <c r="G165" s="824">
        <v>200100000</v>
      </c>
      <c r="H165" s="824">
        <v>200100000</v>
      </c>
      <c r="I165" s="824">
        <v>4.4754100000000001</v>
      </c>
      <c r="J165" s="824">
        <v>2.0568440003815298</v>
      </c>
      <c r="K165" s="824" t="s">
        <v>3088</v>
      </c>
      <c r="L165" s="824">
        <v>68.256097560975618</v>
      </c>
      <c r="M165" s="824">
        <v>37.1</v>
      </c>
    </row>
    <row r="166" spans="1:13">
      <c r="A166" s="824">
        <v>2003</v>
      </c>
      <c r="B166" s="824" t="s">
        <v>301</v>
      </c>
      <c r="C166" s="824" t="str">
        <f t="shared" si="2"/>
        <v>2003_Liberia</v>
      </c>
      <c r="D166" s="824">
        <v>408999999.9999997</v>
      </c>
      <c r="E166" s="824">
        <v>3124222</v>
      </c>
      <c r="F166" s="824" t="s">
        <v>3088</v>
      </c>
      <c r="G166" s="824">
        <v>106940000</v>
      </c>
      <c r="H166" s="824">
        <v>106940000</v>
      </c>
      <c r="I166" s="824" t="s">
        <v>3088</v>
      </c>
      <c r="J166" s="824">
        <v>1.1896087634177801</v>
      </c>
      <c r="K166" s="824" t="s">
        <v>3088</v>
      </c>
      <c r="L166" s="824">
        <v>53.328658536585365</v>
      </c>
      <c r="M166" s="824">
        <v>96.8</v>
      </c>
    </row>
    <row r="167" spans="1:13">
      <c r="A167" s="824">
        <v>2003</v>
      </c>
      <c r="B167" s="824" t="s">
        <v>316</v>
      </c>
      <c r="C167" s="824" t="str">
        <f t="shared" si="2"/>
        <v>2003_Madagascar</v>
      </c>
      <c r="D167" s="824">
        <v>5474030227.5945663</v>
      </c>
      <c r="E167" s="824">
        <v>17245275</v>
      </c>
      <c r="F167" s="824">
        <v>10.694007510820883</v>
      </c>
      <c r="G167" s="824">
        <v>546330000</v>
      </c>
      <c r="H167" s="824">
        <v>546330000</v>
      </c>
      <c r="I167" s="824">
        <v>3.0394899999999998</v>
      </c>
      <c r="J167" s="824">
        <v>2.25998878824536</v>
      </c>
      <c r="K167" s="824" t="s">
        <v>3088</v>
      </c>
      <c r="L167" s="824">
        <v>60.235512195121956</v>
      </c>
      <c r="M167" s="824">
        <v>60.5</v>
      </c>
    </row>
    <row r="168" spans="1:13">
      <c r="A168" s="824">
        <v>2003</v>
      </c>
      <c r="B168" s="824" t="s">
        <v>329</v>
      </c>
      <c r="C168" s="824" t="str">
        <f t="shared" si="2"/>
        <v>2003_Mali</v>
      </c>
      <c r="D168" s="824">
        <v>4362439886.7199049</v>
      </c>
      <c r="E168" s="824">
        <v>11219737</v>
      </c>
      <c r="F168" s="824">
        <v>16.420366552128829</v>
      </c>
      <c r="G168" s="824">
        <v>559190000</v>
      </c>
      <c r="H168" s="824">
        <v>559190000</v>
      </c>
      <c r="I168" s="824">
        <v>4.1031300000000002</v>
      </c>
      <c r="J168" s="824">
        <v>2.74318993941406</v>
      </c>
      <c r="K168" s="824" t="s">
        <v>3088</v>
      </c>
      <c r="L168" s="824">
        <v>50.530804878048791</v>
      </c>
      <c r="M168" s="824">
        <v>104.9</v>
      </c>
    </row>
    <row r="169" spans="1:13">
      <c r="A169" s="824">
        <v>2003</v>
      </c>
      <c r="B169" s="824" t="s">
        <v>345</v>
      </c>
      <c r="C169" s="824" t="str">
        <f t="shared" si="2"/>
        <v>2003_Mauritania</v>
      </c>
      <c r="D169" s="824">
        <v>1285178265.9772651</v>
      </c>
      <c r="E169" s="824">
        <v>2965667</v>
      </c>
      <c r="F169" s="824" t="s">
        <v>3088</v>
      </c>
      <c r="G169" s="824">
        <v>260660000.00000003</v>
      </c>
      <c r="H169" s="824">
        <v>260660000.00000003</v>
      </c>
      <c r="I169" s="824">
        <v>3.1034899999999999</v>
      </c>
      <c r="J169" s="824">
        <v>3.4286781136103199</v>
      </c>
      <c r="K169" s="824" t="s">
        <v>3088</v>
      </c>
      <c r="L169" s="824">
        <v>59.986853658536589</v>
      </c>
      <c r="M169" s="824">
        <v>75.599999999999994</v>
      </c>
    </row>
    <row r="170" spans="1:13">
      <c r="A170" s="824">
        <v>2003</v>
      </c>
      <c r="B170" s="824" t="s">
        <v>364</v>
      </c>
      <c r="C170" s="824" t="str">
        <f t="shared" si="2"/>
        <v>2003_Mongolia</v>
      </c>
      <c r="D170" s="824">
        <v>1595297301.456512</v>
      </c>
      <c r="E170" s="824">
        <v>2468595</v>
      </c>
      <c r="F170" s="824">
        <v>30.240045084208461</v>
      </c>
      <c r="G170" s="824">
        <v>252050000</v>
      </c>
      <c r="H170" s="824">
        <v>252050000</v>
      </c>
      <c r="I170" s="824" t="s">
        <v>3088</v>
      </c>
      <c r="J170" s="824">
        <v>4.05345938622881</v>
      </c>
      <c r="K170" s="824" t="s">
        <v>3088</v>
      </c>
      <c r="L170" s="824">
        <v>64.383268292682942</v>
      </c>
      <c r="M170" s="824">
        <v>41.6</v>
      </c>
    </row>
    <row r="171" spans="1:13">
      <c r="A171" s="824">
        <v>2003</v>
      </c>
      <c r="B171" s="824" t="s">
        <v>385</v>
      </c>
      <c r="C171" s="824" t="str">
        <f t="shared" si="2"/>
        <v>2003_Mozambique</v>
      </c>
      <c r="D171" s="824">
        <v>4666197195.031971</v>
      </c>
      <c r="E171" s="824">
        <v>19873460</v>
      </c>
      <c r="F171" s="824" t="s">
        <v>3088</v>
      </c>
      <c r="G171" s="824">
        <v>1047970000</v>
      </c>
      <c r="H171" s="824">
        <v>1047970000</v>
      </c>
      <c r="I171" s="824" t="s">
        <v>3088</v>
      </c>
      <c r="J171" s="824">
        <v>4.1082409789767498</v>
      </c>
      <c r="K171" s="824">
        <v>54.1</v>
      </c>
      <c r="L171" s="824">
        <v>47.657048780487813</v>
      </c>
      <c r="M171" s="824">
        <v>98.9</v>
      </c>
    </row>
    <row r="172" spans="1:13">
      <c r="A172" s="824">
        <v>2003</v>
      </c>
      <c r="B172" s="824" t="s">
        <v>394</v>
      </c>
      <c r="C172" s="824" t="str">
        <f t="shared" si="2"/>
        <v>2003_Niger</v>
      </c>
      <c r="D172" s="824">
        <v>2731416281.3253684</v>
      </c>
      <c r="E172" s="824">
        <v>12254040</v>
      </c>
      <c r="F172" s="824" t="s">
        <v>3088</v>
      </c>
      <c r="G172" s="824">
        <v>479820000</v>
      </c>
      <c r="H172" s="824">
        <v>479820000</v>
      </c>
      <c r="I172" s="824">
        <v>2.4016199999999999</v>
      </c>
      <c r="J172" s="824">
        <v>1.6804459333511499</v>
      </c>
      <c r="K172" s="824" t="s">
        <v>3088</v>
      </c>
      <c r="L172" s="824">
        <v>52.788707317073182</v>
      </c>
      <c r="M172" s="824">
        <v>90.2</v>
      </c>
    </row>
    <row r="173" spans="1:13">
      <c r="A173" s="824">
        <v>2003</v>
      </c>
      <c r="B173" s="824" t="s">
        <v>413</v>
      </c>
      <c r="C173" s="824" t="str">
        <f t="shared" si="2"/>
        <v>2003_Nigeria</v>
      </c>
      <c r="D173" s="824">
        <v>67655840108.154663</v>
      </c>
      <c r="E173" s="824">
        <v>132550146</v>
      </c>
      <c r="F173" s="824">
        <v>12.02381889699271</v>
      </c>
      <c r="G173" s="824">
        <v>308220000</v>
      </c>
      <c r="H173" s="824">
        <v>308220000</v>
      </c>
      <c r="I173" s="824" t="s">
        <v>3088</v>
      </c>
      <c r="J173" s="824">
        <v>1.6903915940524299</v>
      </c>
      <c r="K173" s="824" t="s">
        <v>3088</v>
      </c>
      <c r="L173" s="824">
        <v>47.63773170731708</v>
      </c>
      <c r="M173" s="824">
        <v>103.3</v>
      </c>
    </row>
    <row r="174" spans="1:13">
      <c r="A174" s="824">
        <v>2003</v>
      </c>
      <c r="B174" s="824" t="s">
        <v>436</v>
      </c>
      <c r="C174" s="824" t="str">
        <f t="shared" si="2"/>
        <v>2003_Norway</v>
      </c>
      <c r="D174" s="824">
        <v>224880794327.84387</v>
      </c>
      <c r="E174" s="824">
        <v>4564855</v>
      </c>
      <c r="F174" s="824">
        <v>46.127404768619037</v>
      </c>
      <c r="G174" s="824" t="s">
        <v>3088</v>
      </c>
      <c r="H174" s="824" t="s">
        <v>3088</v>
      </c>
      <c r="I174" s="824">
        <v>7.5475500000000002</v>
      </c>
      <c r="J174" s="824">
        <v>8.8291616447923396</v>
      </c>
      <c r="K174" s="824" t="s">
        <v>3088</v>
      </c>
      <c r="L174" s="824">
        <v>79.390243902439025</v>
      </c>
      <c r="M174" s="824">
        <v>3.5</v>
      </c>
    </row>
    <row r="175" spans="1:13">
      <c r="A175" s="824">
        <v>2003</v>
      </c>
      <c r="B175" s="824" t="s">
        <v>449</v>
      </c>
      <c r="C175" s="824" t="str">
        <f t="shared" si="2"/>
        <v>2003_Peru</v>
      </c>
      <c r="D175" s="824">
        <v>59034091562.20533</v>
      </c>
      <c r="E175" s="824">
        <v>27073334</v>
      </c>
      <c r="F175" s="824">
        <v>17.192585528973105</v>
      </c>
      <c r="G175" s="824">
        <v>516890000</v>
      </c>
      <c r="H175" s="824">
        <v>516890000</v>
      </c>
      <c r="I175" s="824">
        <v>2.81271</v>
      </c>
      <c r="J175" s="824">
        <v>2.6477256500038</v>
      </c>
      <c r="K175" s="824">
        <v>52.3</v>
      </c>
      <c r="L175" s="824">
        <v>71.747560975609773</v>
      </c>
      <c r="M175" s="824">
        <v>24.7</v>
      </c>
    </row>
    <row r="176" spans="1:13">
      <c r="A176" s="824">
        <v>2003</v>
      </c>
      <c r="B176" s="824" t="s">
        <v>488</v>
      </c>
      <c r="C176" s="824" t="str">
        <f t="shared" si="2"/>
        <v>2003_Sierra Leone</v>
      </c>
      <c r="D176" s="824">
        <v>1371442565.6970057</v>
      </c>
      <c r="E176" s="824">
        <v>4712763</v>
      </c>
      <c r="F176" s="824">
        <v>8.9334097409635369</v>
      </c>
      <c r="G176" s="824">
        <v>337080000</v>
      </c>
      <c r="H176" s="824">
        <v>337080000</v>
      </c>
      <c r="I176" s="824">
        <v>3.2947700000000002</v>
      </c>
      <c r="J176" s="824">
        <v>2.74448106398179</v>
      </c>
      <c r="K176" s="824">
        <v>66.400000000000006</v>
      </c>
      <c r="L176" s="824">
        <v>40.486073170731714</v>
      </c>
      <c r="M176" s="824">
        <v>132.9</v>
      </c>
    </row>
    <row r="177" spans="1:13">
      <c r="A177" s="824">
        <v>2003</v>
      </c>
      <c r="B177" s="824" t="s">
        <v>499</v>
      </c>
      <c r="C177" s="824" t="str">
        <f t="shared" si="2"/>
        <v>2003_Tanzania</v>
      </c>
      <c r="D177" s="824">
        <v>11659129814.743292</v>
      </c>
      <c r="E177" s="824">
        <v>36760831</v>
      </c>
      <c r="F177" s="824" t="s">
        <v>3088</v>
      </c>
      <c r="G177" s="824">
        <v>1725390000</v>
      </c>
      <c r="H177" s="824">
        <v>1725390000</v>
      </c>
      <c r="I177" s="824" t="s">
        <v>3088</v>
      </c>
      <c r="J177" s="824">
        <v>1.85501372282202</v>
      </c>
      <c r="K177" s="824" t="s">
        <v>3088</v>
      </c>
      <c r="L177" s="824">
        <v>51.946658536585375</v>
      </c>
      <c r="M177" s="824">
        <v>65.8</v>
      </c>
    </row>
    <row r="178" spans="1:13">
      <c r="A178" s="824">
        <v>2003</v>
      </c>
      <c r="B178" s="824" t="s">
        <v>3090</v>
      </c>
      <c r="C178" s="824" t="str">
        <f t="shared" si="2"/>
        <v>2003_Timor-Leste</v>
      </c>
      <c r="D178" s="824">
        <v>453000000</v>
      </c>
      <c r="E178" s="824">
        <v>933369</v>
      </c>
      <c r="F178" s="824" t="s">
        <v>3088</v>
      </c>
      <c r="G178" s="824">
        <v>175030000</v>
      </c>
      <c r="H178" s="824">
        <v>175030000</v>
      </c>
      <c r="I178" s="824" t="s">
        <v>3088</v>
      </c>
      <c r="J178" s="824">
        <v>5.2045122028206796</v>
      </c>
      <c r="K178" s="824" t="s">
        <v>3088</v>
      </c>
      <c r="L178" s="824">
        <v>61.829317073170742</v>
      </c>
      <c r="M178" s="824">
        <v>72.3</v>
      </c>
    </row>
    <row r="179" spans="1:13">
      <c r="A179" s="824">
        <v>2003</v>
      </c>
      <c r="B179" s="824" t="s">
        <v>517</v>
      </c>
      <c r="C179" s="824" t="str">
        <f t="shared" si="2"/>
        <v>2003_Togo</v>
      </c>
      <c r="D179" s="824">
        <v>1673690389.7013042</v>
      </c>
      <c r="E179" s="824">
        <v>5258956</v>
      </c>
      <c r="F179" s="824" t="s">
        <v>3088</v>
      </c>
      <c r="G179" s="824">
        <v>49890000</v>
      </c>
      <c r="H179" s="824">
        <v>49890000</v>
      </c>
      <c r="I179" s="824">
        <v>4.1953300000000002</v>
      </c>
      <c r="J179" s="824">
        <v>1.44009662637467</v>
      </c>
      <c r="K179" s="824" t="s">
        <v>3088</v>
      </c>
      <c r="L179" s="824">
        <v>53.819439024390242</v>
      </c>
      <c r="M179" s="824">
        <v>71.599999999999994</v>
      </c>
    </row>
    <row r="180" spans="1:13">
      <c r="A180" s="824">
        <v>2003</v>
      </c>
      <c r="B180" s="824" t="s">
        <v>3091</v>
      </c>
      <c r="C180" s="824" t="str">
        <f t="shared" si="2"/>
        <v>2003_Trinidad and Tobago</v>
      </c>
      <c r="D180" s="824">
        <v>11235960527.53484</v>
      </c>
      <c r="E180" s="824">
        <v>1283868</v>
      </c>
      <c r="F180" s="824">
        <v>25.777341982615315</v>
      </c>
      <c r="G180" s="824">
        <v>-2900000</v>
      </c>
      <c r="H180" s="824">
        <v>-2900000</v>
      </c>
      <c r="I180" s="824">
        <v>3.1560000000000001</v>
      </c>
      <c r="J180" s="824">
        <v>2.5999732307774099</v>
      </c>
      <c r="K180" s="824" t="s">
        <v>3088</v>
      </c>
      <c r="L180" s="824">
        <v>68.805439024390253</v>
      </c>
      <c r="M180" s="824">
        <v>24.6</v>
      </c>
    </row>
    <row r="181" spans="1:13">
      <c r="A181" s="824">
        <v>2003</v>
      </c>
      <c r="B181" s="824" t="s">
        <v>3092</v>
      </c>
      <c r="C181" s="824" t="str">
        <f t="shared" si="2"/>
        <v>2003_Yemen, Rep.</v>
      </c>
      <c r="D181" s="824">
        <v>11777768086.869303</v>
      </c>
      <c r="E181" s="824">
        <v>19081306</v>
      </c>
      <c r="F181" s="824" t="s">
        <v>3088</v>
      </c>
      <c r="G181" s="824">
        <v>243800000</v>
      </c>
      <c r="H181" s="824">
        <v>243800000</v>
      </c>
      <c r="I181" s="824" t="s">
        <v>3088</v>
      </c>
      <c r="J181" s="824">
        <v>2.1817307266944601</v>
      </c>
      <c r="K181" s="824" t="s">
        <v>3088</v>
      </c>
      <c r="L181" s="824">
        <v>61.118341463414644</v>
      </c>
      <c r="M181" s="824">
        <v>61.1</v>
      </c>
    </row>
    <row r="182" spans="1:13">
      <c r="A182" s="824">
        <v>2003</v>
      </c>
      <c r="B182" s="824" t="s">
        <v>541</v>
      </c>
      <c r="C182" s="824" t="str">
        <f t="shared" si="2"/>
        <v>2003_Zambia</v>
      </c>
      <c r="D182" s="824">
        <v>4901869715.9045687</v>
      </c>
      <c r="E182" s="824">
        <v>10894519</v>
      </c>
      <c r="F182" s="824">
        <v>15.33467688268596</v>
      </c>
      <c r="G182" s="824">
        <v>774540000</v>
      </c>
      <c r="H182" s="824">
        <v>774540000</v>
      </c>
      <c r="I182" s="824" t="s">
        <v>3088</v>
      </c>
      <c r="J182" s="824">
        <v>4.17948848237869</v>
      </c>
      <c r="K182" s="824" t="s">
        <v>3088</v>
      </c>
      <c r="L182" s="824">
        <v>44.522268292682931</v>
      </c>
      <c r="M182" s="824">
        <v>85.6</v>
      </c>
    </row>
    <row r="183" spans="1:13">
      <c r="A183" s="824">
        <v>2004</v>
      </c>
      <c r="B183" s="824" t="s">
        <v>21</v>
      </c>
      <c r="C183" s="824" t="str">
        <f t="shared" si="2"/>
        <v>2004_Afghanistan</v>
      </c>
      <c r="D183" s="824">
        <v>5285461999.3373938</v>
      </c>
      <c r="E183" s="824">
        <v>24018682</v>
      </c>
      <c r="F183" s="824" t="s">
        <v>3088</v>
      </c>
      <c r="G183" s="824">
        <v>2311490000</v>
      </c>
      <c r="H183" s="824">
        <v>2311490000</v>
      </c>
      <c r="I183" s="824" t="s">
        <v>3088</v>
      </c>
      <c r="J183" s="824">
        <v>1.0259309235066101</v>
      </c>
      <c r="K183" s="824" t="s">
        <v>3088</v>
      </c>
      <c r="L183" s="824">
        <v>56.569731707317082</v>
      </c>
      <c r="M183" s="824">
        <v>86.2</v>
      </c>
    </row>
    <row r="184" spans="1:13">
      <c r="A184" s="824">
        <v>2004</v>
      </c>
      <c r="B184" s="824" t="s">
        <v>38</v>
      </c>
      <c r="C184" s="824" t="str">
        <f t="shared" si="2"/>
        <v>2004_Albania</v>
      </c>
      <c r="D184" s="824">
        <v>7464446950.1814318</v>
      </c>
      <c r="E184" s="824">
        <v>3014579</v>
      </c>
      <c r="F184" s="824">
        <v>19.290618060503146</v>
      </c>
      <c r="G184" s="824">
        <v>299950000</v>
      </c>
      <c r="H184" s="824">
        <v>299950000</v>
      </c>
      <c r="I184" s="824">
        <v>3.10656</v>
      </c>
      <c r="J184" s="824">
        <v>2.7350576245649498</v>
      </c>
      <c r="K184" s="824" t="s">
        <v>3088</v>
      </c>
      <c r="L184" s="824">
        <v>75.838999999999999</v>
      </c>
      <c r="M184" s="824">
        <v>19.100000000000001</v>
      </c>
    </row>
    <row r="185" spans="1:13">
      <c r="A185" s="824">
        <v>2004</v>
      </c>
      <c r="B185" s="824" t="s">
        <v>53</v>
      </c>
      <c r="C185" s="824" t="str">
        <f t="shared" si="2"/>
        <v>2004_Azerbaijan</v>
      </c>
      <c r="D185" s="824">
        <v>8680511918.4935722</v>
      </c>
      <c r="E185" s="824">
        <v>8306500</v>
      </c>
      <c r="F185" s="824" t="s">
        <v>3088</v>
      </c>
      <c r="G185" s="824">
        <v>175760000</v>
      </c>
      <c r="H185" s="824">
        <v>175760000</v>
      </c>
      <c r="I185" s="824">
        <v>3.4476599999999999</v>
      </c>
      <c r="J185" s="824">
        <v>1.02867003505276</v>
      </c>
      <c r="K185" s="824" t="s">
        <v>3088</v>
      </c>
      <c r="L185" s="824">
        <v>68.470195121951221</v>
      </c>
      <c r="M185" s="824">
        <v>46.7</v>
      </c>
    </row>
    <row r="186" spans="1:13">
      <c r="A186" s="824">
        <v>2004</v>
      </c>
      <c r="B186" s="824" t="s">
        <v>98</v>
      </c>
      <c r="C186" s="824" t="str">
        <f t="shared" si="2"/>
        <v>2004_Burkina Faso</v>
      </c>
      <c r="D186" s="824">
        <v>4838551014.4855261</v>
      </c>
      <c r="E186" s="824">
        <v>13034258</v>
      </c>
      <c r="F186" s="824">
        <v>13.725244716166959</v>
      </c>
      <c r="G186" s="824">
        <v>642560000</v>
      </c>
      <c r="H186" s="824">
        <v>642560000</v>
      </c>
      <c r="I186" s="824" t="s">
        <v>3088</v>
      </c>
      <c r="J186" s="824">
        <v>3.2799306407211599</v>
      </c>
      <c r="K186" s="824" t="s">
        <v>3088</v>
      </c>
      <c r="L186" s="824">
        <v>52.182780487804891</v>
      </c>
      <c r="M186" s="824">
        <v>89</v>
      </c>
    </row>
    <row r="187" spans="1:13">
      <c r="A187" s="824">
        <v>2004</v>
      </c>
      <c r="B187" s="824" t="s">
        <v>101</v>
      </c>
      <c r="C187" s="824" t="str">
        <f t="shared" si="2"/>
        <v>2004_Cameroon</v>
      </c>
      <c r="D187" s="824">
        <v>15775356736.764538</v>
      </c>
      <c r="E187" s="824">
        <v>17674960</v>
      </c>
      <c r="F187" s="824" t="s">
        <v>3088</v>
      </c>
      <c r="G187" s="824">
        <v>790660000</v>
      </c>
      <c r="H187" s="824">
        <v>790660000</v>
      </c>
      <c r="I187" s="824">
        <v>3.3299099999999999</v>
      </c>
      <c r="J187" s="824">
        <v>1.1296383019318701</v>
      </c>
      <c r="K187" s="824" t="s">
        <v>3088</v>
      </c>
      <c r="L187" s="824">
        <v>51.716487804878049</v>
      </c>
      <c r="M187" s="824">
        <v>80.7</v>
      </c>
    </row>
    <row r="188" spans="1:13">
      <c r="A188" s="824">
        <v>2004</v>
      </c>
      <c r="B188" s="824" t="s">
        <v>138</v>
      </c>
      <c r="C188" s="824" t="str">
        <f t="shared" si="2"/>
        <v>2004_Chad</v>
      </c>
      <c r="D188" s="824">
        <v>4414929142.2336674</v>
      </c>
      <c r="E188" s="824">
        <v>9665024</v>
      </c>
      <c r="F188" s="824" t="s">
        <v>3088</v>
      </c>
      <c r="G188" s="824">
        <v>337660000</v>
      </c>
      <c r="H188" s="824">
        <v>337660000</v>
      </c>
      <c r="I188" s="824">
        <v>1.5929500000000001</v>
      </c>
      <c r="J188" s="824">
        <v>1.8136637920268901</v>
      </c>
      <c r="K188" s="824" t="s">
        <v>3088</v>
      </c>
      <c r="L188" s="824">
        <v>47.369780487804881</v>
      </c>
      <c r="M188" s="824">
        <v>101.7</v>
      </c>
    </row>
    <row r="189" spans="1:13">
      <c r="A189" s="824">
        <v>2004</v>
      </c>
      <c r="B189" s="824" t="s">
        <v>127</v>
      </c>
      <c r="C189" s="824" t="str">
        <f t="shared" si="2"/>
        <v>2004_Central African Republic</v>
      </c>
      <c r="D189" s="824">
        <v>1270080228.2324147</v>
      </c>
      <c r="E189" s="824">
        <v>3893595</v>
      </c>
      <c r="F189" s="824" t="s">
        <v>3088</v>
      </c>
      <c r="G189" s="824">
        <v>109830000</v>
      </c>
      <c r="H189" s="824">
        <v>109830000</v>
      </c>
      <c r="I189" s="824">
        <v>1.62453</v>
      </c>
      <c r="J189" s="824">
        <v>1.88026882951059</v>
      </c>
      <c r="K189" s="824" t="s">
        <v>3088</v>
      </c>
      <c r="L189" s="824">
        <v>44.567829268292684</v>
      </c>
      <c r="M189" s="824">
        <v>111.4</v>
      </c>
    </row>
    <row r="190" spans="1:13">
      <c r="A190" s="824">
        <v>2004</v>
      </c>
      <c r="B190" s="824" t="s">
        <v>171</v>
      </c>
      <c r="C190" s="824" t="str">
        <f t="shared" si="2"/>
        <v>2004_Democratic Republic of Congo</v>
      </c>
      <c r="D190" s="824">
        <v>10297481446.21612</v>
      </c>
      <c r="E190" s="824">
        <v>52487293</v>
      </c>
      <c r="F190" s="824">
        <v>7.439355849600167</v>
      </c>
      <c r="G190" s="824">
        <v>1919010000</v>
      </c>
      <c r="H190" s="824">
        <v>1919010000</v>
      </c>
      <c r="I190" s="824" t="s">
        <v>3088</v>
      </c>
      <c r="J190" s="824">
        <v>1.13610906458401</v>
      </c>
      <c r="K190" s="824" t="s">
        <v>3088</v>
      </c>
      <c r="L190" s="824">
        <v>47.599121951219523</v>
      </c>
      <c r="M190" s="824">
        <v>107.8</v>
      </c>
    </row>
    <row r="191" spans="1:13">
      <c r="A191" s="824">
        <v>2004</v>
      </c>
      <c r="B191" s="824" t="s">
        <v>465</v>
      </c>
      <c r="C191" s="824" t="str">
        <f t="shared" si="2"/>
        <v>2004_Republic of the Congo</v>
      </c>
      <c r="D191" s="824">
        <v>4648628839.490572</v>
      </c>
      <c r="E191" s="824">
        <v>3448868</v>
      </c>
      <c r="F191" s="824">
        <v>32.744376131443929</v>
      </c>
      <c r="G191" s="824">
        <v>115480000</v>
      </c>
      <c r="H191" s="824">
        <v>115480000</v>
      </c>
      <c r="I191" s="824">
        <v>2.2881300000000002</v>
      </c>
      <c r="J191" s="824">
        <v>1.3696751030340399</v>
      </c>
      <c r="K191" s="824" t="s">
        <v>3088</v>
      </c>
      <c r="L191" s="824">
        <v>53.499658536585379</v>
      </c>
      <c r="M191" s="824">
        <v>65.900000000000006</v>
      </c>
    </row>
    <row r="192" spans="1:13">
      <c r="A192" s="824">
        <v>2004</v>
      </c>
      <c r="B192" s="824" t="s">
        <v>153</v>
      </c>
      <c r="C192" s="824" t="str">
        <f t="shared" si="2"/>
        <v>2004_Cote d'Ivoire</v>
      </c>
      <c r="D192" s="824">
        <v>15481092596.54723</v>
      </c>
      <c r="E192" s="824">
        <v>17144325</v>
      </c>
      <c r="F192" s="824">
        <v>16.198715888219134</v>
      </c>
      <c r="G192" s="824">
        <v>160520000</v>
      </c>
      <c r="H192" s="824">
        <v>160520000</v>
      </c>
      <c r="I192" s="824">
        <v>4.4140499999999996</v>
      </c>
      <c r="J192" s="824">
        <v>1.5737091119939901</v>
      </c>
      <c r="K192" s="824" t="s">
        <v>3088</v>
      </c>
      <c r="L192" s="824">
        <v>46.791000000000004</v>
      </c>
      <c r="M192" s="824">
        <v>91.3</v>
      </c>
    </row>
    <row r="193" spans="1:13">
      <c r="A193" s="824">
        <v>2004</v>
      </c>
      <c r="B193" s="824" t="s">
        <v>188</v>
      </c>
      <c r="C193" s="824" t="str">
        <f t="shared" si="2"/>
        <v>2004_Equatorial Guinea</v>
      </c>
      <c r="D193" s="824">
        <v>4410764260.9778643</v>
      </c>
      <c r="E193" s="824">
        <v>585983</v>
      </c>
      <c r="F193" s="824" t="s">
        <v>3088</v>
      </c>
      <c r="G193" s="824">
        <v>29150000</v>
      </c>
      <c r="H193" s="824">
        <v>29150000</v>
      </c>
      <c r="I193" s="824" t="s">
        <v>3088</v>
      </c>
      <c r="J193" s="824">
        <v>1.1382442427944</v>
      </c>
      <c r="K193" s="824" t="s">
        <v>3088</v>
      </c>
      <c r="L193" s="824">
        <v>48.487097560975613</v>
      </c>
      <c r="M193" s="824">
        <v>89.3</v>
      </c>
    </row>
    <row r="194" spans="1:13">
      <c r="A194" s="824">
        <v>2004</v>
      </c>
      <c r="B194" s="824" t="s">
        <v>191</v>
      </c>
      <c r="C194" s="824" t="str">
        <f t="shared" si="2"/>
        <v>2004_Gabon</v>
      </c>
      <c r="D194" s="824">
        <v>7178135606.4142838</v>
      </c>
      <c r="E194" s="824">
        <v>1347125</v>
      </c>
      <c r="F194" s="824" t="s">
        <v>3088</v>
      </c>
      <c r="G194" s="824">
        <v>39870000</v>
      </c>
      <c r="H194" s="824">
        <v>39870000</v>
      </c>
      <c r="I194" s="824" t="s">
        <v>3088</v>
      </c>
      <c r="J194" s="824">
        <v>1.46651474900715</v>
      </c>
      <c r="K194" s="824" t="s">
        <v>3088</v>
      </c>
      <c r="L194" s="824">
        <v>59.683853658536592</v>
      </c>
      <c r="M194" s="824">
        <v>51.5</v>
      </c>
    </row>
    <row r="195" spans="1:13">
      <c r="A195" s="824">
        <v>2004</v>
      </c>
      <c r="B195" s="824" t="s">
        <v>195</v>
      </c>
      <c r="C195" s="824" t="str">
        <f t="shared" si="2"/>
        <v>2004_Ghana</v>
      </c>
      <c r="D195" s="824">
        <v>8881419348.2170506</v>
      </c>
      <c r="E195" s="824">
        <v>20835514</v>
      </c>
      <c r="F195" s="824">
        <v>23.712146005572059</v>
      </c>
      <c r="G195" s="824">
        <v>1418690000</v>
      </c>
      <c r="H195" s="824">
        <v>1418690000</v>
      </c>
      <c r="I195" s="824">
        <v>7.5355800000000004</v>
      </c>
      <c r="J195" s="824">
        <v>3.7981429307638699</v>
      </c>
      <c r="K195" s="824" t="s">
        <v>3088</v>
      </c>
      <c r="L195" s="824">
        <v>58.224853658536588</v>
      </c>
      <c r="M195" s="824">
        <v>58.9</v>
      </c>
    </row>
    <row r="196" spans="1:13">
      <c r="A196" s="824">
        <v>2004</v>
      </c>
      <c r="B196" s="824" t="s">
        <v>3089</v>
      </c>
      <c r="C196" s="824" t="str">
        <f t="shared" ref="C196:C259" si="3">$A196&amp;"_"&amp;$B196</f>
        <v>2004_Guinea</v>
      </c>
      <c r="D196" s="824">
        <v>3666349049.4043527</v>
      </c>
      <c r="E196" s="824">
        <v>9379621</v>
      </c>
      <c r="F196" s="824" t="s">
        <v>3088</v>
      </c>
      <c r="G196" s="824">
        <v>278530000</v>
      </c>
      <c r="H196" s="824">
        <v>278530000</v>
      </c>
      <c r="I196" s="824">
        <v>2.21</v>
      </c>
      <c r="J196" s="824">
        <v>0.89999297481539098</v>
      </c>
      <c r="K196" s="824" t="s">
        <v>3088</v>
      </c>
      <c r="L196" s="824">
        <v>52.194585365853669</v>
      </c>
      <c r="M196" s="824">
        <v>88.3</v>
      </c>
    </row>
    <row r="197" spans="1:13">
      <c r="A197" s="824">
        <v>2004</v>
      </c>
      <c r="B197" s="824" t="s">
        <v>219</v>
      </c>
      <c r="C197" s="824" t="str">
        <f t="shared" si="3"/>
        <v>2004_Guatemala</v>
      </c>
      <c r="D197" s="824">
        <v>23965280312.087082</v>
      </c>
      <c r="E197" s="824">
        <v>12367800</v>
      </c>
      <c r="F197" s="824">
        <v>12.117757762151985</v>
      </c>
      <c r="G197" s="824">
        <v>217120000</v>
      </c>
      <c r="H197" s="824">
        <v>217120000</v>
      </c>
      <c r="I197" s="824" t="s">
        <v>3088</v>
      </c>
      <c r="J197" s="824">
        <v>2.2253716522938198</v>
      </c>
      <c r="K197" s="824" t="s">
        <v>3088</v>
      </c>
      <c r="L197" s="824">
        <v>69.331902439024404</v>
      </c>
      <c r="M197" s="824">
        <v>34.6</v>
      </c>
    </row>
    <row r="198" spans="1:13">
      <c r="A198" s="824">
        <v>2004</v>
      </c>
      <c r="B198" s="824" t="s">
        <v>243</v>
      </c>
      <c r="C198" s="824" t="str">
        <f t="shared" si="3"/>
        <v>2004_Indonesia</v>
      </c>
      <c r="D198" s="824">
        <v>256836883304.55344</v>
      </c>
      <c r="E198" s="824">
        <v>221293797</v>
      </c>
      <c r="F198" s="824">
        <v>17.436493541932521</v>
      </c>
      <c r="G198" s="824">
        <v>131870000</v>
      </c>
      <c r="H198" s="824">
        <v>131870000</v>
      </c>
      <c r="I198" s="824">
        <v>2.7484700000000002</v>
      </c>
      <c r="J198" s="824">
        <v>0.93487116751259303</v>
      </c>
      <c r="K198" s="824">
        <v>16.7</v>
      </c>
      <c r="L198" s="824">
        <v>68.550390243902442</v>
      </c>
      <c r="M198" s="824">
        <v>34.799999999999997</v>
      </c>
    </row>
    <row r="199" spans="1:13">
      <c r="A199" s="824">
        <v>2004</v>
      </c>
      <c r="B199" s="824" t="s">
        <v>251</v>
      </c>
      <c r="C199" s="824" t="str">
        <f t="shared" si="3"/>
        <v>2004_Iraq</v>
      </c>
      <c r="D199" s="824">
        <v>36627901762.063011</v>
      </c>
      <c r="E199" s="824">
        <v>26673536</v>
      </c>
      <c r="F199" s="824" t="s">
        <v>3088</v>
      </c>
      <c r="G199" s="824">
        <v>4650650000</v>
      </c>
      <c r="H199" s="824">
        <v>4650650000</v>
      </c>
      <c r="I199" s="824" t="s">
        <v>3088</v>
      </c>
      <c r="J199" s="824">
        <v>4.0504092192987002</v>
      </c>
      <c r="K199" s="824" t="s">
        <v>3088</v>
      </c>
      <c r="L199" s="824">
        <v>69.768658536585377</v>
      </c>
      <c r="M199" s="824">
        <v>33.6</v>
      </c>
    </row>
    <row r="200" spans="1:13">
      <c r="A200" s="824">
        <v>2004</v>
      </c>
      <c r="B200" s="824" t="s">
        <v>280</v>
      </c>
      <c r="C200" s="824" t="str">
        <f t="shared" si="3"/>
        <v>2004_Kazakhstan</v>
      </c>
      <c r="D200" s="824">
        <v>43151647002.609627</v>
      </c>
      <c r="E200" s="824">
        <v>15012985</v>
      </c>
      <c r="F200" s="824">
        <v>15.144587237126755</v>
      </c>
      <c r="G200" s="824">
        <v>267760000</v>
      </c>
      <c r="H200" s="824">
        <v>267760000</v>
      </c>
      <c r="I200" s="824">
        <v>2.2559100000000001</v>
      </c>
      <c r="J200" s="824">
        <v>2.2946661362984</v>
      </c>
      <c r="K200" s="824">
        <v>33.9</v>
      </c>
      <c r="L200" s="824">
        <v>65.887804878048783</v>
      </c>
      <c r="M200" s="824">
        <v>30.3</v>
      </c>
    </row>
    <row r="201" spans="1:13">
      <c r="A201" s="824">
        <v>2004</v>
      </c>
      <c r="B201" s="824" t="s">
        <v>285</v>
      </c>
      <c r="C201" s="824" t="str">
        <f t="shared" si="3"/>
        <v>2004_Kyrgyz Republic</v>
      </c>
      <c r="D201" s="824">
        <v>2211535311.6283431</v>
      </c>
      <c r="E201" s="824">
        <v>5104700</v>
      </c>
      <c r="F201" s="824" t="s">
        <v>3088</v>
      </c>
      <c r="G201" s="824">
        <v>261370000</v>
      </c>
      <c r="H201" s="824">
        <v>261370000</v>
      </c>
      <c r="I201" s="824">
        <v>4.6224299999999996</v>
      </c>
      <c r="J201" s="824">
        <v>2.27517825990186</v>
      </c>
      <c r="K201" s="824" t="s">
        <v>3088</v>
      </c>
      <c r="L201" s="824">
        <v>68.153658536585368</v>
      </c>
      <c r="M201" s="824">
        <v>35.700000000000003</v>
      </c>
    </row>
    <row r="202" spans="1:13">
      <c r="A202" s="824">
        <v>2004</v>
      </c>
      <c r="B202" s="824" t="s">
        <v>301</v>
      </c>
      <c r="C202" s="824" t="str">
        <f t="shared" si="3"/>
        <v>2004_Liberia</v>
      </c>
      <c r="D202" s="824">
        <v>466999999.99999905</v>
      </c>
      <c r="E202" s="824">
        <v>3184643</v>
      </c>
      <c r="F202" s="824" t="s">
        <v>3088</v>
      </c>
      <c r="G202" s="824">
        <v>213250000</v>
      </c>
      <c r="H202" s="824">
        <v>213250000</v>
      </c>
      <c r="I202" s="824" t="s">
        <v>3088</v>
      </c>
      <c r="J202" s="824">
        <v>2.4143401276721699</v>
      </c>
      <c r="K202" s="824" t="s">
        <v>3088</v>
      </c>
      <c r="L202" s="824">
        <v>54.096243902439028</v>
      </c>
      <c r="M202" s="824">
        <v>89.8</v>
      </c>
    </row>
    <row r="203" spans="1:13">
      <c r="A203" s="824">
        <v>2004</v>
      </c>
      <c r="B203" s="824" t="s">
        <v>316</v>
      </c>
      <c r="C203" s="824" t="str">
        <f t="shared" si="3"/>
        <v>2004_Madagascar</v>
      </c>
      <c r="D203" s="824">
        <v>4363934416.538023</v>
      </c>
      <c r="E203" s="824">
        <v>17763367</v>
      </c>
      <c r="F203" s="824">
        <v>12.085855865236161</v>
      </c>
      <c r="G203" s="824">
        <v>1262750000</v>
      </c>
      <c r="H203" s="824">
        <v>1262750000</v>
      </c>
      <c r="I203" s="824">
        <v>3.2643</v>
      </c>
      <c r="J203" s="824">
        <v>2.3835404883890399</v>
      </c>
      <c r="K203" s="824" t="s">
        <v>3088</v>
      </c>
      <c r="L203" s="824">
        <v>60.72870731707318</v>
      </c>
      <c r="M203" s="824">
        <v>57.5</v>
      </c>
    </row>
    <row r="204" spans="1:13">
      <c r="A204" s="824">
        <v>2004</v>
      </c>
      <c r="B204" s="824" t="s">
        <v>329</v>
      </c>
      <c r="C204" s="824" t="str">
        <f t="shared" si="3"/>
        <v>2004_Mali</v>
      </c>
      <c r="D204" s="824">
        <v>4874178417.1916361</v>
      </c>
      <c r="E204" s="824">
        <v>11572936</v>
      </c>
      <c r="F204" s="824">
        <v>17.604201076449659</v>
      </c>
      <c r="G204" s="824">
        <v>587840000</v>
      </c>
      <c r="H204" s="824">
        <v>587840000</v>
      </c>
      <c r="I204" s="824">
        <v>4.3107699999999998</v>
      </c>
      <c r="J204" s="824">
        <v>3.0917103563558999</v>
      </c>
      <c r="K204" s="824" t="s">
        <v>3088</v>
      </c>
      <c r="L204" s="824">
        <v>51.033000000000001</v>
      </c>
      <c r="M204" s="824">
        <v>100.8</v>
      </c>
    </row>
    <row r="205" spans="1:13">
      <c r="A205" s="824">
        <v>2004</v>
      </c>
      <c r="B205" s="824" t="s">
        <v>345</v>
      </c>
      <c r="C205" s="824" t="str">
        <f t="shared" si="3"/>
        <v>2004_Mauritania</v>
      </c>
      <c r="D205" s="824">
        <v>1496460378.8679245</v>
      </c>
      <c r="E205" s="824">
        <v>3055425</v>
      </c>
      <c r="F205" s="824" t="s">
        <v>3088</v>
      </c>
      <c r="G205" s="824">
        <v>194530000</v>
      </c>
      <c r="H205" s="824">
        <v>194530000</v>
      </c>
      <c r="I205" s="824">
        <v>2.5168699999999999</v>
      </c>
      <c r="J205" s="824">
        <v>3.83935796887401</v>
      </c>
      <c r="K205" s="824">
        <v>46.7</v>
      </c>
      <c r="L205" s="824">
        <v>60.109439024390248</v>
      </c>
      <c r="M205" s="824">
        <v>75.3</v>
      </c>
    </row>
    <row r="206" spans="1:13">
      <c r="A206" s="824">
        <v>2004</v>
      </c>
      <c r="B206" s="824" t="s">
        <v>364</v>
      </c>
      <c r="C206" s="824" t="str">
        <f t="shared" si="3"/>
        <v>2004_Mongolia</v>
      </c>
      <c r="D206" s="824">
        <v>1992066758.8442302</v>
      </c>
      <c r="E206" s="824">
        <v>2496248</v>
      </c>
      <c r="F206" s="824" t="s">
        <v>3088</v>
      </c>
      <c r="G206" s="824">
        <v>257959999.99999997</v>
      </c>
      <c r="H206" s="824">
        <v>257959999.99999997</v>
      </c>
      <c r="I206" s="824">
        <v>4.3257300000000001</v>
      </c>
      <c r="J206" s="824">
        <v>3.9235850096781002</v>
      </c>
      <c r="K206" s="824" t="s">
        <v>3088</v>
      </c>
      <c r="L206" s="824">
        <v>64.85182926829269</v>
      </c>
      <c r="M206" s="824">
        <v>39.200000000000003</v>
      </c>
    </row>
    <row r="207" spans="1:13">
      <c r="A207" s="824">
        <v>2004</v>
      </c>
      <c r="B207" s="824" t="s">
        <v>385</v>
      </c>
      <c r="C207" s="824" t="str">
        <f t="shared" si="3"/>
        <v>2004_Mozambique</v>
      </c>
      <c r="D207" s="824">
        <v>5697991242.1061764</v>
      </c>
      <c r="E207" s="824">
        <v>20438827</v>
      </c>
      <c r="F207" s="824" t="s">
        <v>3088</v>
      </c>
      <c r="G207" s="824">
        <v>1242860000</v>
      </c>
      <c r="H207" s="824">
        <v>1242860000</v>
      </c>
      <c r="I207" s="824">
        <v>4.4553200000000004</v>
      </c>
      <c r="J207" s="824">
        <v>3.52192794458331</v>
      </c>
      <c r="K207" s="824" t="s">
        <v>3088</v>
      </c>
      <c r="L207" s="824">
        <v>47.73582926829269</v>
      </c>
      <c r="M207" s="824">
        <v>94.6</v>
      </c>
    </row>
    <row r="208" spans="1:13">
      <c r="A208" s="824">
        <v>2004</v>
      </c>
      <c r="B208" s="824" t="s">
        <v>394</v>
      </c>
      <c r="C208" s="824" t="str">
        <f t="shared" si="3"/>
        <v>2004_Niger</v>
      </c>
      <c r="D208" s="824">
        <v>3052898685.6952496</v>
      </c>
      <c r="E208" s="824">
        <v>12708897</v>
      </c>
      <c r="F208" s="824" t="s">
        <v>3088</v>
      </c>
      <c r="G208" s="824">
        <v>547590000</v>
      </c>
      <c r="H208" s="824">
        <v>547590000</v>
      </c>
      <c r="I208" s="824" t="s">
        <v>3088</v>
      </c>
      <c r="J208" s="824">
        <v>1.84586757440801</v>
      </c>
      <c r="K208" s="824" t="s">
        <v>3088</v>
      </c>
      <c r="L208" s="824">
        <v>53.463780487804883</v>
      </c>
      <c r="M208" s="824">
        <v>86.3</v>
      </c>
    </row>
    <row r="209" spans="1:13">
      <c r="A209" s="824">
        <v>2004</v>
      </c>
      <c r="B209" s="824" t="s">
        <v>413</v>
      </c>
      <c r="C209" s="824" t="str">
        <f t="shared" si="3"/>
        <v>2004_Nigeria</v>
      </c>
      <c r="D209" s="824">
        <v>87845403978.274185</v>
      </c>
      <c r="E209" s="824">
        <v>135999250</v>
      </c>
      <c r="F209" s="824">
        <v>11.406933118187176</v>
      </c>
      <c r="G209" s="824">
        <v>576940000</v>
      </c>
      <c r="H209" s="824">
        <v>576940000</v>
      </c>
      <c r="I209" s="824" t="s">
        <v>3088</v>
      </c>
      <c r="J209" s="824">
        <v>2.27501326998701</v>
      </c>
      <c r="K209" s="824">
        <v>48.4</v>
      </c>
      <c r="L209" s="824">
        <v>48.12565853658537</v>
      </c>
      <c r="M209" s="824">
        <v>100.2</v>
      </c>
    </row>
    <row r="210" spans="1:13">
      <c r="A210" s="824">
        <v>2004</v>
      </c>
      <c r="B210" s="824" t="s">
        <v>436</v>
      </c>
      <c r="C210" s="824" t="str">
        <f t="shared" si="3"/>
        <v>2004_Norway</v>
      </c>
      <c r="D210" s="824">
        <v>260029106207.98923</v>
      </c>
      <c r="E210" s="824">
        <v>4591910</v>
      </c>
      <c r="F210" s="824">
        <v>47.404798689191999</v>
      </c>
      <c r="G210" s="824" t="s">
        <v>3088</v>
      </c>
      <c r="H210" s="824" t="s">
        <v>3088</v>
      </c>
      <c r="I210" s="824">
        <v>7.4240500000000003</v>
      </c>
      <c r="J210" s="824">
        <v>8.4312521822077908</v>
      </c>
      <c r="K210" s="824" t="s">
        <v>3088</v>
      </c>
      <c r="L210" s="824">
        <v>79.841463414634163</v>
      </c>
      <c r="M210" s="824">
        <v>3.4</v>
      </c>
    </row>
    <row r="211" spans="1:13">
      <c r="A211" s="824">
        <v>2004</v>
      </c>
      <c r="B211" s="824" t="s">
        <v>449</v>
      </c>
      <c r="C211" s="824" t="str">
        <f t="shared" si="3"/>
        <v>2004_Peru</v>
      </c>
      <c r="D211" s="824">
        <v>66730306799.531067</v>
      </c>
      <c r="E211" s="824">
        <v>27403845</v>
      </c>
      <c r="F211" s="824">
        <v>17.222963965305592</v>
      </c>
      <c r="G211" s="824">
        <v>463450000</v>
      </c>
      <c r="H211" s="824">
        <v>463450000</v>
      </c>
      <c r="I211" s="824">
        <v>2.8339599999999998</v>
      </c>
      <c r="J211" s="824">
        <v>2.56791486858183</v>
      </c>
      <c r="K211" s="824">
        <v>58.7</v>
      </c>
      <c r="L211" s="824">
        <v>72.096804878048786</v>
      </c>
      <c r="M211" s="824">
        <v>23</v>
      </c>
    </row>
    <row r="212" spans="1:13">
      <c r="A212" s="824">
        <v>2004</v>
      </c>
      <c r="B212" s="824" t="s">
        <v>488</v>
      </c>
      <c r="C212" s="824" t="str">
        <f t="shared" si="3"/>
        <v>2004_Sierra Leone</v>
      </c>
      <c r="D212" s="824">
        <v>1431208677.3035204</v>
      </c>
      <c r="E212" s="824">
        <v>4928175</v>
      </c>
      <c r="F212" s="824">
        <v>9.2331767786030685</v>
      </c>
      <c r="G212" s="824">
        <v>376290000</v>
      </c>
      <c r="H212" s="824">
        <v>376290000</v>
      </c>
      <c r="I212" s="824">
        <v>3.1447500000000002</v>
      </c>
      <c r="J212" s="824">
        <v>2.63531338483789</v>
      </c>
      <c r="K212" s="824" t="s">
        <v>3088</v>
      </c>
      <c r="L212" s="824">
        <v>41.33317073170732</v>
      </c>
      <c r="M212" s="824">
        <v>130.1</v>
      </c>
    </row>
    <row r="213" spans="1:13">
      <c r="A213" s="824">
        <v>2004</v>
      </c>
      <c r="B213" s="824" t="s">
        <v>499</v>
      </c>
      <c r="C213" s="824" t="str">
        <f t="shared" si="3"/>
        <v>2004_Tanzania</v>
      </c>
      <c r="D213" s="824">
        <v>12825801916.606281</v>
      </c>
      <c r="E213" s="824">
        <v>37765139</v>
      </c>
      <c r="F213" s="824" t="s">
        <v>3088</v>
      </c>
      <c r="G213" s="824">
        <v>1772410000</v>
      </c>
      <c r="H213" s="824">
        <v>1772410000</v>
      </c>
      <c r="I213" s="824">
        <v>4.6501799999999998</v>
      </c>
      <c r="J213" s="824">
        <v>1.5269955095883101</v>
      </c>
      <c r="K213" s="824" t="s">
        <v>3088</v>
      </c>
      <c r="L213" s="824">
        <v>52.840780487804885</v>
      </c>
      <c r="M213" s="824">
        <v>61.3</v>
      </c>
    </row>
    <row r="214" spans="1:13">
      <c r="A214" s="824">
        <v>2004</v>
      </c>
      <c r="B214" s="824" t="s">
        <v>3090</v>
      </c>
      <c r="C214" s="824" t="str">
        <f t="shared" si="3"/>
        <v>2004_Timor-Leste</v>
      </c>
      <c r="D214" s="824">
        <v>466000000</v>
      </c>
      <c r="E214" s="824">
        <v>966987</v>
      </c>
      <c r="F214" s="824" t="s">
        <v>3088</v>
      </c>
      <c r="G214" s="824">
        <v>161240000</v>
      </c>
      <c r="H214" s="824">
        <v>161240000</v>
      </c>
      <c r="I214" s="824" t="s">
        <v>3088</v>
      </c>
      <c r="J214" s="824">
        <v>6.18499961526026</v>
      </c>
      <c r="K214" s="824" t="s">
        <v>3088</v>
      </c>
      <c r="L214" s="824">
        <v>62.485170731707328</v>
      </c>
      <c r="M214" s="824">
        <v>68.599999999999994</v>
      </c>
    </row>
    <row r="215" spans="1:13">
      <c r="A215" s="824">
        <v>2004</v>
      </c>
      <c r="B215" s="824" t="s">
        <v>517</v>
      </c>
      <c r="C215" s="824" t="str">
        <f t="shared" si="3"/>
        <v>2004_Togo</v>
      </c>
      <c r="D215" s="824">
        <v>1937074537.9308879</v>
      </c>
      <c r="E215" s="824">
        <v>5397851</v>
      </c>
      <c r="F215" s="824">
        <v>15.859904992756018</v>
      </c>
      <c r="G215" s="824">
        <v>64900000.000000007</v>
      </c>
      <c r="H215" s="824">
        <v>64900000.000000007</v>
      </c>
      <c r="I215" s="824">
        <v>3.6215199999999999</v>
      </c>
      <c r="J215" s="824">
        <v>1.68209936863956</v>
      </c>
      <c r="K215" s="824" t="s">
        <v>3088</v>
      </c>
      <c r="L215" s="824">
        <v>53.971268292682929</v>
      </c>
      <c r="M215" s="824">
        <v>70</v>
      </c>
    </row>
    <row r="216" spans="1:13">
      <c r="A216" s="824">
        <v>2004</v>
      </c>
      <c r="B216" s="824" t="s">
        <v>3091</v>
      </c>
      <c r="C216" s="824" t="str">
        <f t="shared" si="3"/>
        <v>2004_Trinidad and Tobago</v>
      </c>
      <c r="D216" s="824">
        <v>12884712295.994848</v>
      </c>
      <c r="E216" s="824">
        <v>1290379</v>
      </c>
      <c r="F216" s="824">
        <v>26.954514987530924</v>
      </c>
      <c r="G216" s="824">
        <v>-1810000</v>
      </c>
      <c r="H216" s="824">
        <v>-1810000</v>
      </c>
      <c r="I216" s="824" t="s">
        <v>3088</v>
      </c>
      <c r="J216" s="824">
        <v>2.59977723235848</v>
      </c>
      <c r="K216" s="824" t="s">
        <v>3088</v>
      </c>
      <c r="L216" s="824">
        <v>68.900560975609764</v>
      </c>
      <c r="M216" s="824">
        <v>24.2</v>
      </c>
    </row>
    <row r="217" spans="1:13">
      <c r="A217" s="824">
        <v>2004</v>
      </c>
      <c r="B217" s="824" t="s">
        <v>3092</v>
      </c>
      <c r="C217" s="824" t="str">
        <f t="shared" si="3"/>
        <v>2004_Yemen, Rep.</v>
      </c>
      <c r="D217" s="824">
        <v>13873500887.561153</v>
      </c>
      <c r="E217" s="824">
        <v>19612696</v>
      </c>
      <c r="F217" s="824" t="s">
        <v>3088</v>
      </c>
      <c r="G217" s="824">
        <v>266430000</v>
      </c>
      <c r="H217" s="824">
        <v>266430000</v>
      </c>
      <c r="I217" s="824" t="s">
        <v>3088</v>
      </c>
      <c r="J217" s="824">
        <v>1.8543305383926001</v>
      </c>
      <c r="K217" s="824" t="s">
        <v>3088</v>
      </c>
      <c r="L217" s="824">
        <v>61.328658536585372</v>
      </c>
      <c r="M217" s="824">
        <v>58.5</v>
      </c>
    </row>
    <row r="218" spans="1:13">
      <c r="A218" s="824">
        <v>2004</v>
      </c>
      <c r="B218" s="824" t="s">
        <v>541</v>
      </c>
      <c r="C218" s="824" t="str">
        <f t="shared" si="3"/>
        <v>2004_Zambia</v>
      </c>
      <c r="D218" s="824">
        <v>6221109716.39571</v>
      </c>
      <c r="E218" s="824">
        <v>11174650</v>
      </c>
      <c r="F218" s="824">
        <v>15.71607471001567</v>
      </c>
      <c r="G218" s="824">
        <v>1130470000</v>
      </c>
      <c r="H218" s="824">
        <v>1130470000</v>
      </c>
      <c r="I218" s="824">
        <v>2.8175699999999999</v>
      </c>
      <c r="J218" s="824">
        <v>3.8699061993810102</v>
      </c>
      <c r="K218" s="824" t="s">
        <v>3088</v>
      </c>
      <c r="L218" s="824">
        <v>45.765000000000008</v>
      </c>
      <c r="M218" s="824">
        <v>80.8</v>
      </c>
    </row>
    <row r="219" spans="1:13">
      <c r="A219" s="824">
        <v>2005</v>
      </c>
      <c r="B219" s="824" t="s">
        <v>21</v>
      </c>
      <c r="C219" s="824" t="str">
        <f t="shared" si="3"/>
        <v>2005_Afghanistan</v>
      </c>
      <c r="D219" s="824">
        <v>6275076016.471736</v>
      </c>
      <c r="E219" s="824">
        <v>24860855</v>
      </c>
      <c r="F219" s="824" t="s">
        <v>3088</v>
      </c>
      <c r="G219" s="824">
        <v>2837620000</v>
      </c>
      <c r="H219" s="824">
        <v>2837620000</v>
      </c>
      <c r="I219" s="824" t="s">
        <v>3088</v>
      </c>
      <c r="J219" s="824">
        <v>0.84391477901719802</v>
      </c>
      <c r="K219" s="824" t="s">
        <v>3088</v>
      </c>
      <c r="L219" s="824">
        <v>57.058439024390253</v>
      </c>
      <c r="M219" s="824">
        <v>84</v>
      </c>
    </row>
    <row r="220" spans="1:13">
      <c r="A220" s="824">
        <v>2005</v>
      </c>
      <c r="B220" s="824" t="s">
        <v>38</v>
      </c>
      <c r="C220" s="824" t="str">
        <f t="shared" si="3"/>
        <v>2005_Albania</v>
      </c>
      <c r="D220" s="824">
        <v>8376483393.9415522</v>
      </c>
      <c r="E220" s="824">
        <v>2992724</v>
      </c>
      <c r="F220" s="824" t="s">
        <v>3088</v>
      </c>
      <c r="G220" s="824">
        <v>319140000</v>
      </c>
      <c r="H220" s="824">
        <v>319140000</v>
      </c>
      <c r="I220" s="824">
        <v>3.1543899999999998</v>
      </c>
      <c r="J220" s="824">
        <v>2.7788105456181098</v>
      </c>
      <c r="K220" s="824">
        <v>18.5</v>
      </c>
      <c r="L220" s="824">
        <v>76.089390243902443</v>
      </c>
      <c r="M220" s="824">
        <v>18.2</v>
      </c>
    </row>
    <row r="221" spans="1:13">
      <c r="A221" s="824">
        <v>2005</v>
      </c>
      <c r="B221" s="824" t="s">
        <v>53</v>
      </c>
      <c r="C221" s="824" t="str">
        <f t="shared" si="3"/>
        <v>2005_Azerbaijan</v>
      </c>
      <c r="D221" s="824">
        <v>13245421880.834042</v>
      </c>
      <c r="E221" s="824">
        <v>8391850</v>
      </c>
      <c r="F221" s="824" t="s">
        <v>3088</v>
      </c>
      <c r="G221" s="824">
        <v>216510000</v>
      </c>
      <c r="H221" s="824">
        <v>216510000</v>
      </c>
      <c r="I221" s="824">
        <v>2.9746199999999998</v>
      </c>
      <c r="J221" s="824">
        <v>0.88083503226064097</v>
      </c>
      <c r="K221" s="824" t="s">
        <v>3088</v>
      </c>
      <c r="L221" s="824">
        <v>68.93726829268293</v>
      </c>
      <c r="M221" s="824">
        <v>43.9</v>
      </c>
    </row>
    <row r="222" spans="1:13">
      <c r="A222" s="824">
        <v>2005</v>
      </c>
      <c r="B222" s="824" t="s">
        <v>98</v>
      </c>
      <c r="C222" s="824" t="str">
        <f t="shared" si="3"/>
        <v>2005_Burkina Faso</v>
      </c>
      <c r="D222" s="824">
        <v>5462709054.7798891</v>
      </c>
      <c r="E222" s="824">
        <v>13421929</v>
      </c>
      <c r="F222" s="824">
        <v>12.725415587256911</v>
      </c>
      <c r="G222" s="824">
        <v>693370000</v>
      </c>
      <c r="H222" s="824">
        <v>693370000</v>
      </c>
      <c r="I222" s="824">
        <v>4.4325999999999999</v>
      </c>
      <c r="J222" s="824">
        <v>4.0929091977288898</v>
      </c>
      <c r="K222" s="824" t="s">
        <v>3088</v>
      </c>
      <c r="L222" s="824">
        <v>52.658707317073173</v>
      </c>
      <c r="M222" s="824">
        <v>86</v>
      </c>
    </row>
    <row r="223" spans="1:13">
      <c r="A223" s="824">
        <v>2005</v>
      </c>
      <c r="B223" s="824" t="s">
        <v>101</v>
      </c>
      <c r="C223" s="824" t="str">
        <f t="shared" si="3"/>
        <v>2005_Cameroon</v>
      </c>
      <c r="D223" s="824">
        <v>16587857509.442152</v>
      </c>
      <c r="E223" s="824">
        <v>18137734</v>
      </c>
      <c r="F223" s="824" t="s">
        <v>3088</v>
      </c>
      <c r="G223" s="824">
        <v>413930000</v>
      </c>
      <c r="H223" s="824">
        <v>413930000</v>
      </c>
      <c r="I223" s="824">
        <v>3.1232199999999999</v>
      </c>
      <c r="J223" s="824">
        <v>1.1200748756818599</v>
      </c>
      <c r="K223" s="824" t="s">
        <v>3088</v>
      </c>
      <c r="L223" s="824">
        <v>51.889048780487805</v>
      </c>
      <c r="M223" s="824">
        <v>78</v>
      </c>
    </row>
    <row r="224" spans="1:13">
      <c r="A224" s="824">
        <v>2005</v>
      </c>
      <c r="B224" s="824" t="s">
        <v>138</v>
      </c>
      <c r="C224" s="824" t="str">
        <f t="shared" si="3"/>
        <v>2005_Chad</v>
      </c>
      <c r="D224" s="824">
        <v>6646663021.4357147</v>
      </c>
      <c r="E224" s="824">
        <v>10014413</v>
      </c>
      <c r="F224" s="824" t="s">
        <v>3088</v>
      </c>
      <c r="G224" s="824">
        <v>384540000</v>
      </c>
      <c r="H224" s="824">
        <v>384540000</v>
      </c>
      <c r="I224" s="824">
        <v>1.6947700000000001</v>
      </c>
      <c r="J224" s="824">
        <v>1.9439138318131599</v>
      </c>
      <c r="K224" s="824" t="s">
        <v>3088</v>
      </c>
      <c r="L224" s="824">
        <v>47.671560975609758</v>
      </c>
      <c r="M224" s="824">
        <v>100.7</v>
      </c>
    </row>
    <row r="225" spans="1:13">
      <c r="A225" s="824">
        <v>2005</v>
      </c>
      <c r="B225" s="824" t="s">
        <v>127</v>
      </c>
      <c r="C225" s="824" t="str">
        <f t="shared" si="3"/>
        <v>2005_Central African Republic</v>
      </c>
      <c r="D225" s="824">
        <v>1350300947.4675481</v>
      </c>
      <c r="E225" s="824">
        <v>3960897</v>
      </c>
      <c r="F225" s="824" t="s">
        <v>3088</v>
      </c>
      <c r="G225" s="824">
        <v>88900000</v>
      </c>
      <c r="H225" s="824">
        <v>88900000</v>
      </c>
      <c r="I225" s="824">
        <v>1.6363799999999999</v>
      </c>
      <c r="J225" s="824">
        <v>2.1784166104490001</v>
      </c>
      <c r="K225" s="824" t="s">
        <v>3088</v>
      </c>
      <c r="L225" s="824">
        <v>44.995926829268292</v>
      </c>
      <c r="M225" s="824">
        <v>110.5</v>
      </c>
    </row>
    <row r="226" spans="1:13">
      <c r="A226" s="824">
        <v>2005</v>
      </c>
      <c r="B226" s="824" t="s">
        <v>171</v>
      </c>
      <c r="C226" s="824" t="str">
        <f t="shared" si="3"/>
        <v>2005_Democratic Republic of Congo</v>
      </c>
      <c r="D226" s="824">
        <v>11964484457.523331</v>
      </c>
      <c r="E226" s="824">
        <v>54028003</v>
      </c>
      <c r="F226" s="824">
        <v>8.7347046991524788</v>
      </c>
      <c r="G226" s="824">
        <v>1881700000</v>
      </c>
      <c r="H226" s="824">
        <v>1881700000</v>
      </c>
      <c r="I226" s="824" t="s">
        <v>3088</v>
      </c>
      <c r="J226" s="824">
        <v>1.25193218774616</v>
      </c>
      <c r="K226" s="824">
        <v>71.3</v>
      </c>
      <c r="L226" s="824">
        <v>47.821609756097565</v>
      </c>
      <c r="M226" s="824">
        <v>104.9</v>
      </c>
    </row>
    <row r="227" spans="1:13">
      <c r="A227" s="824">
        <v>2005</v>
      </c>
      <c r="B227" s="824" t="s">
        <v>465</v>
      </c>
      <c r="C227" s="824" t="str">
        <f t="shared" si="3"/>
        <v>2005_Republic of the Congo</v>
      </c>
      <c r="D227" s="824">
        <v>6087002681.7409525</v>
      </c>
      <c r="E227" s="824">
        <v>3542867</v>
      </c>
      <c r="F227" s="824">
        <v>39.93708923608559</v>
      </c>
      <c r="G227" s="824">
        <v>1425480000</v>
      </c>
      <c r="H227" s="824">
        <v>1425480000</v>
      </c>
      <c r="I227" s="824">
        <v>1.8357699999999999</v>
      </c>
      <c r="J227" s="824">
        <v>1.4346085076531601</v>
      </c>
      <c r="K227" s="824">
        <v>50.7</v>
      </c>
      <c r="L227" s="824">
        <v>54.033292682926835</v>
      </c>
      <c r="M227" s="824">
        <v>61.6</v>
      </c>
    </row>
    <row r="228" spans="1:13">
      <c r="A228" s="824">
        <v>2005</v>
      </c>
      <c r="B228" s="824" t="s">
        <v>153</v>
      </c>
      <c r="C228" s="824" t="str">
        <f t="shared" si="3"/>
        <v>2005_Cote d'Ivoire</v>
      </c>
      <c r="D228" s="824">
        <v>17084927539.848766</v>
      </c>
      <c r="E228" s="824">
        <v>17393994</v>
      </c>
      <c r="F228" s="824">
        <v>15.03147833024755</v>
      </c>
      <c r="G228" s="824">
        <v>91210000</v>
      </c>
      <c r="H228" s="824">
        <v>91210000</v>
      </c>
      <c r="I228" s="824">
        <v>4.2867800000000003</v>
      </c>
      <c r="J228" s="824">
        <v>1.32570375643011</v>
      </c>
      <c r="K228" s="824" t="s">
        <v>3088</v>
      </c>
      <c r="L228" s="824">
        <v>47.232292682926833</v>
      </c>
      <c r="M228" s="824">
        <v>88.8</v>
      </c>
    </row>
    <row r="229" spans="1:13">
      <c r="A229" s="824">
        <v>2005</v>
      </c>
      <c r="B229" s="824" t="s">
        <v>188</v>
      </c>
      <c r="C229" s="824" t="str">
        <f t="shared" si="3"/>
        <v>2005_Equatorial Guinea</v>
      </c>
      <c r="D229" s="824">
        <v>8217368425.2525158</v>
      </c>
      <c r="E229" s="824">
        <v>603648</v>
      </c>
      <c r="F229" s="824" t="s">
        <v>3088</v>
      </c>
      <c r="G229" s="824">
        <v>38130000</v>
      </c>
      <c r="H229" s="824">
        <v>38130000</v>
      </c>
      <c r="I229" s="824" t="s">
        <v>3088</v>
      </c>
      <c r="J229" s="824">
        <v>0.91398211526253104</v>
      </c>
      <c r="K229" s="824" t="s">
        <v>3088</v>
      </c>
      <c r="L229" s="824">
        <v>48.868365853658538</v>
      </c>
      <c r="M229" s="824">
        <v>86.8</v>
      </c>
    </row>
    <row r="230" spans="1:13">
      <c r="A230" s="824">
        <v>2005</v>
      </c>
      <c r="B230" s="824" t="s">
        <v>191</v>
      </c>
      <c r="C230" s="824" t="str">
        <f t="shared" si="3"/>
        <v>2005_Gabon</v>
      </c>
      <c r="D230" s="824">
        <v>8665736617.550602</v>
      </c>
      <c r="E230" s="824">
        <v>1379465</v>
      </c>
      <c r="F230" s="824" t="s">
        <v>3088</v>
      </c>
      <c r="G230" s="824">
        <v>60430000</v>
      </c>
      <c r="H230" s="824">
        <v>60430000</v>
      </c>
      <c r="I230" s="824" t="s">
        <v>3088</v>
      </c>
      <c r="J230" s="824">
        <v>1.2129281257137501</v>
      </c>
      <c r="K230" s="824">
        <v>32.700000000000003</v>
      </c>
      <c r="L230" s="824">
        <v>60.009146341463421</v>
      </c>
      <c r="M230" s="824">
        <v>50.3</v>
      </c>
    </row>
    <row r="231" spans="1:13">
      <c r="A231" s="824">
        <v>2005</v>
      </c>
      <c r="B231" s="824" t="s">
        <v>195</v>
      </c>
      <c r="C231" s="824" t="str">
        <f t="shared" si="3"/>
        <v>2005_Ghana</v>
      </c>
      <c r="D231" s="824">
        <v>10731883141.445677</v>
      </c>
      <c r="E231" s="824">
        <v>21384034</v>
      </c>
      <c r="F231" s="824">
        <v>23.6884692085609</v>
      </c>
      <c r="G231" s="824">
        <v>1150690000</v>
      </c>
      <c r="H231" s="824">
        <v>1150690000</v>
      </c>
      <c r="I231" s="824">
        <v>7.4220800000000002</v>
      </c>
      <c r="J231" s="824">
        <v>4.6569444137823304</v>
      </c>
      <c r="K231" s="824" t="s">
        <v>3088</v>
      </c>
      <c r="L231" s="824">
        <v>58.704536585365858</v>
      </c>
      <c r="M231" s="824">
        <v>57.9</v>
      </c>
    </row>
    <row r="232" spans="1:13">
      <c r="A232" s="824">
        <v>2005</v>
      </c>
      <c r="B232" s="824" t="s">
        <v>3089</v>
      </c>
      <c r="C232" s="824" t="str">
        <f t="shared" si="3"/>
        <v>2005_Guinea</v>
      </c>
      <c r="D232" s="824">
        <v>2937072009.0343008</v>
      </c>
      <c r="E232" s="824">
        <v>9576331</v>
      </c>
      <c r="F232" s="824" t="s">
        <v>3088</v>
      </c>
      <c r="G232" s="824">
        <v>198180000</v>
      </c>
      <c r="H232" s="824">
        <v>198180000</v>
      </c>
      <c r="I232" s="824">
        <v>1.8490599999999999</v>
      </c>
      <c r="J232" s="824">
        <v>0.94931488109333795</v>
      </c>
      <c r="K232" s="824" t="s">
        <v>3088</v>
      </c>
      <c r="L232" s="824">
        <v>52.745121951219517</v>
      </c>
      <c r="M232" s="824">
        <v>85.1</v>
      </c>
    </row>
    <row r="233" spans="1:13">
      <c r="A233" s="824">
        <v>2005</v>
      </c>
      <c r="B233" s="824" t="s">
        <v>219</v>
      </c>
      <c r="C233" s="824" t="str">
        <f t="shared" si="3"/>
        <v>2005_Guatemala</v>
      </c>
      <c r="D233" s="824">
        <v>27211243473.226147</v>
      </c>
      <c r="E233" s="824">
        <v>12678919</v>
      </c>
      <c r="F233" s="824">
        <v>11.748335571826756</v>
      </c>
      <c r="G233" s="824">
        <v>256589999.99999997</v>
      </c>
      <c r="H233" s="824">
        <v>256589999.99999997</v>
      </c>
      <c r="I233" s="824" t="s">
        <v>3088</v>
      </c>
      <c r="J233" s="824">
        <v>2.23656891265491</v>
      </c>
      <c r="K233" s="824" t="s">
        <v>3088</v>
      </c>
      <c r="L233" s="824">
        <v>69.608975609756101</v>
      </c>
      <c r="M233" s="824">
        <v>33.4</v>
      </c>
    </row>
    <row r="234" spans="1:13">
      <c r="A234" s="824">
        <v>2005</v>
      </c>
      <c r="B234" s="824" t="s">
        <v>243</v>
      </c>
      <c r="C234" s="824" t="str">
        <f t="shared" si="3"/>
        <v>2005_Indonesia</v>
      </c>
      <c r="D234" s="824">
        <v>285868603863.92926</v>
      </c>
      <c r="E234" s="824">
        <v>224480901</v>
      </c>
      <c r="F234" s="824">
        <v>17.456746925687344</v>
      </c>
      <c r="G234" s="824">
        <v>2533990000</v>
      </c>
      <c r="H234" s="824">
        <v>2533990000</v>
      </c>
      <c r="I234" s="824">
        <v>2.8728199999999999</v>
      </c>
      <c r="J234" s="824">
        <v>0.80321100122118105</v>
      </c>
      <c r="K234" s="824">
        <v>16</v>
      </c>
      <c r="L234" s="824">
        <v>68.85443902439026</v>
      </c>
      <c r="M234" s="824">
        <v>33.4</v>
      </c>
    </row>
    <row r="235" spans="1:13">
      <c r="A235" s="824">
        <v>2005</v>
      </c>
      <c r="B235" s="824" t="s">
        <v>251</v>
      </c>
      <c r="C235" s="824" t="str">
        <f t="shared" si="3"/>
        <v>2005_Iraq</v>
      </c>
      <c r="D235" s="824">
        <v>49954890353.260872</v>
      </c>
      <c r="E235" s="824">
        <v>27377045</v>
      </c>
      <c r="F235" s="824" t="s">
        <v>3088</v>
      </c>
      <c r="G235" s="824">
        <v>22057090000</v>
      </c>
      <c r="H235" s="824">
        <v>22057090000</v>
      </c>
      <c r="I235" s="824" t="s">
        <v>3088</v>
      </c>
      <c r="J235" s="824">
        <v>2.7838722756537999</v>
      </c>
      <c r="K235" s="824" t="s">
        <v>3088</v>
      </c>
      <c r="L235" s="824">
        <v>69.407902439024397</v>
      </c>
      <c r="M235" s="824">
        <v>33</v>
      </c>
    </row>
    <row r="236" spans="1:13">
      <c r="A236" s="824">
        <v>2005</v>
      </c>
      <c r="B236" s="824" t="s">
        <v>280</v>
      </c>
      <c r="C236" s="824" t="str">
        <f t="shared" si="3"/>
        <v>2005_Kazakhstan</v>
      </c>
      <c r="D236" s="824">
        <v>57123671733.895248</v>
      </c>
      <c r="E236" s="824">
        <v>15147029</v>
      </c>
      <c r="F236" s="824" t="s">
        <v>3088</v>
      </c>
      <c r="G236" s="824">
        <v>228880000</v>
      </c>
      <c r="H236" s="824">
        <v>228880000</v>
      </c>
      <c r="I236" s="824">
        <v>2.2635299999999998</v>
      </c>
      <c r="J236" s="824">
        <v>2.5215417923814698</v>
      </c>
      <c r="K236" s="824">
        <v>31.6</v>
      </c>
      <c r="L236" s="824">
        <v>65.909756097560987</v>
      </c>
      <c r="M236" s="824">
        <v>28.5</v>
      </c>
    </row>
    <row r="237" spans="1:13">
      <c r="A237" s="824">
        <v>2005</v>
      </c>
      <c r="B237" s="824" t="s">
        <v>285</v>
      </c>
      <c r="C237" s="824" t="str">
        <f t="shared" si="3"/>
        <v>2005_Kyrgyz Republic</v>
      </c>
      <c r="D237" s="824">
        <v>2459876151.9332976</v>
      </c>
      <c r="E237" s="824">
        <v>5162600</v>
      </c>
      <c r="F237" s="824" t="s">
        <v>3088</v>
      </c>
      <c r="G237" s="824">
        <v>267880000</v>
      </c>
      <c r="H237" s="824">
        <v>267880000</v>
      </c>
      <c r="I237" s="824">
        <v>4.8738400000000004</v>
      </c>
      <c r="J237" s="824">
        <v>2.38059842020238</v>
      </c>
      <c r="K237" s="824" t="s">
        <v>3088</v>
      </c>
      <c r="L237" s="824">
        <v>67.956097560975621</v>
      </c>
      <c r="M237" s="824">
        <v>34.4</v>
      </c>
    </row>
    <row r="238" spans="1:13">
      <c r="A238" s="824">
        <v>2005</v>
      </c>
      <c r="B238" s="824" t="s">
        <v>301</v>
      </c>
      <c r="C238" s="824" t="str">
        <f t="shared" si="3"/>
        <v>2005_Liberia</v>
      </c>
      <c r="D238" s="824">
        <v>541999999.99999917</v>
      </c>
      <c r="E238" s="824">
        <v>3269786</v>
      </c>
      <c r="F238" s="824">
        <v>14.639198422509233</v>
      </c>
      <c r="G238" s="824">
        <v>222490000</v>
      </c>
      <c r="H238" s="824">
        <v>222490000</v>
      </c>
      <c r="I238" s="824" t="s">
        <v>3088</v>
      </c>
      <c r="J238" s="824">
        <v>1.55346040444664</v>
      </c>
      <c r="K238" s="824" t="s">
        <v>3088</v>
      </c>
      <c r="L238" s="824">
        <v>55.066170731707324</v>
      </c>
      <c r="M238" s="824">
        <v>83.2</v>
      </c>
    </row>
    <row r="239" spans="1:13">
      <c r="A239" s="824">
        <v>2005</v>
      </c>
      <c r="B239" s="824" t="s">
        <v>316</v>
      </c>
      <c r="C239" s="824" t="str">
        <f t="shared" si="3"/>
        <v>2005_Madagascar</v>
      </c>
      <c r="D239" s="824">
        <v>5039292946.9623337</v>
      </c>
      <c r="E239" s="824">
        <v>18290394</v>
      </c>
      <c r="F239" s="824">
        <v>10.953221590366116</v>
      </c>
      <c r="G239" s="824">
        <v>913020000</v>
      </c>
      <c r="H239" s="824">
        <v>913020000</v>
      </c>
      <c r="I239" s="824">
        <v>3.8487200000000001</v>
      </c>
      <c r="J239" s="824">
        <v>2.4559177536342198</v>
      </c>
      <c r="K239" s="824">
        <v>75</v>
      </c>
      <c r="L239" s="824">
        <v>61.186780487804889</v>
      </c>
      <c r="M239" s="824">
        <v>54.5</v>
      </c>
    </row>
    <row r="240" spans="1:13">
      <c r="A240" s="824">
        <v>2005</v>
      </c>
      <c r="B240" s="824" t="s">
        <v>329</v>
      </c>
      <c r="C240" s="824" t="str">
        <f t="shared" si="3"/>
        <v>2005_Mali</v>
      </c>
      <c r="D240" s="824">
        <v>5305317554.7249508</v>
      </c>
      <c r="E240" s="824">
        <v>11941258</v>
      </c>
      <c r="F240" s="824">
        <v>17.972913400770857</v>
      </c>
      <c r="G240" s="824">
        <v>721320000</v>
      </c>
      <c r="H240" s="824">
        <v>721320000</v>
      </c>
      <c r="I240" s="824">
        <v>4.1460499999999998</v>
      </c>
      <c r="J240" s="824">
        <v>3.04426909151042</v>
      </c>
      <c r="K240" s="824" t="s">
        <v>3088</v>
      </c>
      <c r="L240" s="824">
        <v>51.522536585365856</v>
      </c>
      <c r="M240" s="824">
        <v>96.9</v>
      </c>
    </row>
    <row r="241" spans="1:13">
      <c r="A241" s="824">
        <v>2005</v>
      </c>
      <c r="B241" s="824" t="s">
        <v>345</v>
      </c>
      <c r="C241" s="824" t="str">
        <f t="shared" si="3"/>
        <v>2005_Mauritania</v>
      </c>
      <c r="D241" s="824">
        <v>1857835643.1310711</v>
      </c>
      <c r="E241" s="824">
        <v>3146164</v>
      </c>
      <c r="F241" s="824" t="s">
        <v>3088</v>
      </c>
      <c r="G241" s="824">
        <v>188700000</v>
      </c>
      <c r="H241" s="824">
        <v>188700000</v>
      </c>
      <c r="I241" s="824" t="s">
        <v>3088</v>
      </c>
      <c r="J241" s="824">
        <v>3.1619469597196099</v>
      </c>
      <c r="K241" s="824" t="s">
        <v>3088</v>
      </c>
      <c r="L241" s="824">
        <v>60.242609756097572</v>
      </c>
      <c r="M241" s="824">
        <v>74.8</v>
      </c>
    </row>
    <row r="242" spans="1:13">
      <c r="A242" s="824">
        <v>2005</v>
      </c>
      <c r="B242" s="824" t="s">
        <v>364</v>
      </c>
      <c r="C242" s="824" t="str">
        <f t="shared" si="3"/>
        <v>2005_Mongolia</v>
      </c>
      <c r="D242" s="824">
        <v>2523359940.7120881</v>
      </c>
      <c r="E242" s="824">
        <v>2526502</v>
      </c>
      <c r="F242" s="824" t="s">
        <v>3088</v>
      </c>
      <c r="G242" s="824">
        <v>219590000</v>
      </c>
      <c r="H242" s="824">
        <v>219590000</v>
      </c>
      <c r="I242" s="824" t="s">
        <v>3088</v>
      </c>
      <c r="J242" s="824">
        <v>3.3724109469864501</v>
      </c>
      <c r="K242" s="824" t="s">
        <v>3088</v>
      </c>
      <c r="L242" s="824">
        <v>65.287804878048789</v>
      </c>
      <c r="M242" s="824">
        <v>37</v>
      </c>
    </row>
    <row r="243" spans="1:13">
      <c r="A243" s="824">
        <v>2005</v>
      </c>
      <c r="B243" s="824" t="s">
        <v>385</v>
      </c>
      <c r="C243" s="824" t="str">
        <f t="shared" si="3"/>
        <v>2005_Mozambique</v>
      </c>
      <c r="D243" s="824">
        <v>6578515330.9933043</v>
      </c>
      <c r="E243" s="824">
        <v>21010376</v>
      </c>
      <c r="F243" s="824" t="s">
        <v>3088</v>
      </c>
      <c r="G243" s="824">
        <v>1297150000</v>
      </c>
      <c r="H243" s="824">
        <v>1297150000</v>
      </c>
      <c r="I243" s="824">
        <v>5.2014300000000002</v>
      </c>
      <c r="J243" s="824">
        <v>4.30613506541631</v>
      </c>
      <c r="K243" s="824" t="s">
        <v>3088</v>
      </c>
      <c r="L243" s="824">
        <v>47.85063414634147</v>
      </c>
      <c r="M243" s="824">
        <v>90.5</v>
      </c>
    </row>
    <row r="244" spans="1:13">
      <c r="A244" s="824">
        <v>2005</v>
      </c>
      <c r="B244" s="824" t="s">
        <v>394</v>
      </c>
      <c r="C244" s="824" t="str">
        <f t="shared" si="3"/>
        <v>2005_Niger</v>
      </c>
      <c r="D244" s="824">
        <v>3405134555.2916574</v>
      </c>
      <c r="E244" s="824">
        <v>13183798</v>
      </c>
      <c r="F244" s="824">
        <v>10.52101808512889</v>
      </c>
      <c r="G244" s="824">
        <v>522150000</v>
      </c>
      <c r="H244" s="824">
        <v>522150000</v>
      </c>
      <c r="I244" s="824" t="s">
        <v>3088</v>
      </c>
      <c r="J244" s="824">
        <v>2.97850848849547</v>
      </c>
      <c r="K244" s="824" t="s">
        <v>3088</v>
      </c>
      <c r="L244" s="824">
        <v>54.120146341463418</v>
      </c>
      <c r="M244" s="824">
        <v>82.4</v>
      </c>
    </row>
    <row r="245" spans="1:13">
      <c r="A245" s="824">
        <v>2005</v>
      </c>
      <c r="B245" s="824" t="s">
        <v>413</v>
      </c>
      <c r="C245" s="824" t="str">
        <f t="shared" si="3"/>
        <v>2005_Nigeria</v>
      </c>
      <c r="D245" s="824">
        <v>112248324602.67712</v>
      </c>
      <c r="E245" s="824">
        <v>139585891</v>
      </c>
      <c r="F245" s="824">
        <v>11.932550667949412</v>
      </c>
      <c r="G245" s="824">
        <v>6408810000</v>
      </c>
      <c r="H245" s="824">
        <v>6408810000</v>
      </c>
      <c r="I245" s="824" t="s">
        <v>3088</v>
      </c>
      <c r="J245" s="824">
        <v>1.9259598318225799</v>
      </c>
      <c r="K245" s="824" t="s">
        <v>3088</v>
      </c>
      <c r="L245" s="824">
        <v>48.664487804878057</v>
      </c>
      <c r="M245" s="824">
        <v>97.1</v>
      </c>
    </row>
    <row r="246" spans="1:13">
      <c r="A246" s="824">
        <v>2005</v>
      </c>
      <c r="B246" s="824" t="s">
        <v>436</v>
      </c>
      <c r="C246" s="824" t="str">
        <f t="shared" si="3"/>
        <v>2005_Norway</v>
      </c>
      <c r="D246" s="824">
        <v>304060069848.66125</v>
      </c>
      <c r="E246" s="824">
        <v>4623291</v>
      </c>
      <c r="F246" s="824">
        <v>48.465190026887441</v>
      </c>
      <c r="G246" s="824" t="s">
        <v>3088</v>
      </c>
      <c r="H246" s="824" t="s">
        <v>3088</v>
      </c>
      <c r="I246" s="824">
        <v>6.9739899999999997</v>
      </c>
      <c r="J246" s="824">
        <v>7.9873623403255003</v>
      </c>
      <c r="K246" s="824" t="s">
        <v>3088</v>
      </c>
      <c r="L246" s="824">
        <v>80.041463414634151</v>
      </c>
      <c r="M246" s="824">
        <v>3.2</v>
      </c>
    </row>
    <row r="247" spans="1:13">
      <c r="A247" s="824">
        <v>2005</v>
      </c>
      <c r="B247" s="824" t="s">
        <v>449</v>
      </c>
      <c r="C247" s="824" t="str">
        <f t="shared" si="3"/>
        <v>2005_Peru</v>
      </c>
      <c r="D247" s="824">
        <v>74963815412.621368</v>
      </c>
      <c r="E247" s="824">
        <v>27723281</v>
      </c>
      <c r="F247" s="824">
        <v>18.666934873736064</v>
      </c>
      <c r="G247" s="824">
        <v>450480000</v>
      </c>
      <c r="H247" s="824">
        <v>450480000</v>
      </c>
      <c r="I247" s="824">
        <v>2.72072</v>
      </c>
      <c r="J247" s="824">
        <v>2.65011738705953</v>
      </c>
      <c r="K247" s="824">
        <v>55.6</v>
      </c>
      <c r="L247" s="824">
        <v>72.418609756097567</v>
      </c>
      <c r="M247" s="824">
        <v>21.5</v>
      </c>
    </row>
    <row r="248" spans="1:13">
      <c r="A248" s="824">
        <v>2005</v>
      </c>
      <c r="B248" s="824" t="s">
        <v>488</v>
      </c>
      <c r="C248" s="824" t="str">
        <f t="shared" si="3"/>
        <v>2005_Sierra Leone</v>
      </c>
      <c r="D248" s="824">
        <v>1627853086.4240255</v>
      </c>
      <c r="E248" s="824">
        <v>5119895</v>
      </c>
      <c r="F248" s="824">
        <v>8.7473861714331385</v>
      </c>
      <c r="G248" s="824">
        <v>339850000</v>
      </c>
      <c r="H248" s="824">
        <v>339850000</v>
      </c>
      <c r="I248" s="824">
        <v>2.83588</v>
      </c>
      <c r="J248" s="824">
        <v>2.6321506468223301</v>
      </c>
      <c r="K248" s="824" t="s">
        <v>3088</v>
      </c>
      <c r="L248" s="824">
        <v>42.145219512195133</v>
      </c>
      <c r="M248" s="824">
        <v>127.5</v>
      </c>
    </row>
    <row r="249" spans="1:13">
      <c r="A249" s="824">
        <v>2005</v>
      </c>
      <c r="B249" s="824" t="s">
        <v>499</v>
      </c>
      <c r="C249" s="824" t="str">
        <f t="shared" si="3"/>
        <v>2005_Tanzania</v>
      </c>
      <c r="D249" s="824">
        <v>14141916592.384562</v>
      </c>
      <c r="E249" s="824">
        <v>38824384</v>
      </c>
      <c r="F249" s="824" t="s">
        <v>3088</v>
      </c>
      <c r="G249" s="824">
        <v>1499070000</v>
      </c>
      <c r="H249" s="824">
        <v>1499070000</v>
      </c>
      <c r="I249" s="824">
        <v>4.6107800000000001</v>
      </c>
      <c r="J249" s="824">
        <v>1.8867648011095099</v>
      </c>
      <c r="K249" s="824" t="s">
        <v>3088</v>
      </c>
      <c r="L249" s="824">
        <v>53.825341463414638</v>
      </c>
      <c r="M249" s="824">
        <v>57.2</v>
      </c>
    </row>
    <row r="250" spans="1:13">
      <c r="A250" s="824">
        <v>2005</v>
      </c>
      <c r="B250" s="824" t="s">
        <v>3090</v>
      </c>
      <c r="C250" s="824" t="str">
        <f t="shared" si="3"/>
        <v>2005_Timor-Leste</v>
      </c>
      <c r="D250" s="824">
        <v>491000000</v>
      </c>
      <c r="E250" s="824">
        <v>982889</v>
      </c>
      <c r="F250" s="824" t="s">
        <v>3088</v>
      </c>
      <c r="G250" s="824">
        <v>184760000</v>
      </c>
      <c r="H250" s="824">
        <v>184760000</v>
      </c>
      <c r="I250" s="824" t="s">
        <v>3088</v>
      </c>
      <c r="J250" s="824">
        <v>5.6103253985028596</v>
      </c>
      <c r="K250" s="824" t="s">
        <v>3088</v>
      </c>
      <c r="L250" s="824">
        <v>63.10063414634147</v>
      </c>
      <c r="M250" s="824">
        <v>65.099999999999994</v>
      </c>
    </row>
    <row r="251" spans="1:13">
      <c r="A251" s="824">
        <v>2005</v>
      </c>
      <c r="B251" s="824" t="s">
        <v>517</v>
      </c>
      <c r="C251" s="824" t="str">
        <f t="shared" si="3"/>
        <v>2005_Togo</v>
      </c>
      <c r="D251" s="824">
        <v>2115154090.3107104</v>
      </c>
      <c r="E251" s="824">
        <v>5540214</v>
      </c>
      <c r="F251" s="824">
        <v>14.651348576337847</v>
      </c>
      <c r="G251" s="824">
        <v>82540000</v>
      </c>
      <c r="H251" s="824">
        <v>82540000</v>
      </c>
      <c r="I251" s="824">
        <v>3.4068999999999998</v>
      </c>
      <c r="J251" s="824">
        <v>1.90004670989309</v>
      </c>
      <c r="K251" s="824" t="s">
        <v>3088</v>
      </c>
      <c r="L251" s="824">
        <v>54.143170731707322</v>
      </c>
      <c r="M251" s="824">
        <v>68.400000000000006</v>
      </c>
    </row>
    <row r="252" spans="1:13">
      <c r="A252" s="824">
        <v>2005</v>
      </c>
      <c r="B252" s="824" t="s">
        <v>3091</v>
      </c>
      <c r="C252" s="824" t="str">
        <f t="shared" si="3"/>
        <v>2005_Trinidad and Tobago</v>
      </c>
      <c r="D252" s="824">
        <v>16088526685.842121</v>
      </c>
      <c r="E252" s="824">
        <v>1296933</v>
      </c>
      <c r="F252" s="824">
        <v>30.652748256888025</v>
      </c>
      <c r="G252" s="824">
        <v>-1980000</v>
      </c>
      <c r="H252" s="824">
        <v>-1980000</v>
      </c>
      <c r="I252" s="824" t="s">
        <v>3088</v>
      </c>
      <c r="J252" s="824">
        <v>2.5873542440555402</v>
      </c>
      <c r="K252" s="824" t="s">
        <v>3088</v>
      </c>
      <c r="L252" s="824">
        <v>69.007780487804894</v>
      </c>
      <c r="M252" s="824">
        <v>23.7</v>
      </c>
    </row>
    <row r="253" spans="1:13">
      <c r="A253" s="824">
        <v>2005</v>
      </c>
      <c r="B253" s="824" t="s">
        <v>3092</v>
      </c>
      <c r="C253" s="824" t="str">
        <f t="shared" si="3"/>
        <v>2005_Yemen, Rep.</v>
      </c>
      <c r="D253" s="824">
        <v>16753787028.285877</v>
      </c>
      <c r="E253" s="824">
        <v>20139661</v>
      </c>
      <c r="F253" s="824" t="s">
        <v>3088</v>
      </c>
      <c r="G253" s="824">
        <v>296530000</v>
      </c>
      <c r="H253" s="824">
        <v>296530000</v>
      </c>
      <c r="I253" s="824" t="s">
        <v>3088</v>
      </c>
      <c r="J253" s="824">
        <v>1.5511169758048799</v>
      </c>
      <c r="K253" s="824">
        <v>34.799999999999997</v>
      </c>
      <c r="L253" s="824">
        <v>61.534926829268301</v>
      </c>
      <c r="M253" s="824">
        <v>56.1</v>
      </c>
    </row>
    <row r="254" spans="1:13">
      <c r="A254" s="824">
        <v>2005</v>
      </c>
      <c r="B254" s="824" t="s">
        <v>541</v>
      </c>
      <c r="C254" s="824" t="str">
        <f t="shared" si="3"/>
        <v>2005_Zambia</v>
      </c>
      <c r="D254" s="824">
        <v>8331863989.5221319</v>
      </c>
      <c r="E254" s="824">
        <v>11470022</v>
      </c>
      <c r="F254" s="824">
        <v>15.197796170915009</v>
      </c>
      <c r="G254" s="824">
        <v>1172050000</v>
      </c>
      <c r="H254" s="824">
        <v>1172050000</v>
      </c>
      <c r="I254" s="824">
        <v>2.0143599999999999</v>
      </c>
      <c r="J254" s="824">
        <v>3.9204990575249101</v>
      </c>
      <c r="K254" s="824" t="s">
        <v>3088</v>
      </c>
      <c r="L254" s="824">
        <v>47.128341463414642</v>
      </c>
      <c r="M254" s="824">
        <v>76.400000000000006</v>
      </c>
    </row>
    <row r="255" spans="1:13">
      <c r="A255" s="824">
        <v>2006</v>
      </c>
      <c r="B255" s="824" t="s">
        <v>21</v>
      </c>
      <c r="C255" s="824" t="str">
        <f t="shared" si="3"/>
        <v>2006_Afghanistan</v>
      </c>
      <c r="D255" s="824">
        <v>7057597614.4507599</v>
      </c>
      <c r="E255" s="824">
        <v>25631282</v>
      </c>
      <c r="F255" s="824">
        <v>8.8591224794619361</v>
      </c>
      <c r="G255" s="824">
        <v>2961670000</v>
      </c>
      <c r="H255" s="824">
        <v>2961670000</v>
      </c>
      <c r="I255" s="824" t="s">
        <v>3088</v>
      </c>
      <c r="J255" s="824">
        <v>1.13130882147723</v>
      </c>
      <c r="K255" s="824" t="s">
        <v>3088</v>
      </c>
      <c r="L255" s="824">
        <v>57.57065853658537</v>
      </c>
      <c r="M255" s="824">
        <v>82</v>
      </c>
    </row>
    <row r="256" spans="1:13">
      <c r="A256" s="824">
        <v>2006</v>
      </c>
      <c r="B256" s="824" t="s">
        <v>38</v>
      </c>
      <c r="C256" s="824" t="str">
        <f t="shared" si="3"/>
        <v>2006_Albania</v>
      </c>
      <c r="D256" s="824">
        <v>9132558096.8651447</v>
      </c>
      <c r="E256" s="824">
        <v>2968028</v>
      </c>
      <c r="F256" s="824" t="s">
        <v>3088</v>
      </c>
      <c r="G256" s="824">
        <v>321780000</v>
      </c>
      <c r="H256" s="824">
        <v>321780000</v>
      </c>
      <c r="I256" s="824">
        <v>3.1088200000000001</v>
      </c>
      <c r="J256" s="824">
        <v>2.6152017874664599</v>
      </c>
      <c r="K256" s="824" t="s">
        <v>3088</v>
      </c>
      <c r="L256" s="824">
        <v>76.290536585365857</v>
      </c>
      <c r="M256" s="824">
        <v>17.399999999999999</v>
      </c>
    </row>
    <row r="257" spans="1:13">
      <c r="A257" s="824">
        <v>2006</v>
      </c>
      <c r="B257" s="824" t="s">
        <v>53</v>
      </c>
      <c r="C257" s="824" t="str">
        <f t="shared" si="3"/>
        <v>2006_Azerbaijan</v>
      </c>
      <c r="D257" s="824">
        <v>20982270733.248421</v>
      </c>
      <c r="E257" s="824">
        <v>8484550</v>
      </c>
      <c r="F257" s="824" t="s">
        <v>3088</v>
      </c>
      <c r="G257" s="824">
        <v>206390000</v>
      </c>
      <c r="H257" s="824">
        <v>206390000</v>
      </c>
      <c r="I257" s="824">
        <v>2.5555099999999999</v>
      </c>
      <c r="J257" s="824">
        <v>0.86418435932999005</v>
      </c>
      <c r="K257" s="824" t="s">
        <v>3088</v>
      </c>
      <c r="L257" s="824">
        <v>69.374731707317096</v>
      </c>
      <c r="M257" s="824">
        <v>41.5</v>
      </c>
    </row>
    <row r="258" spans="1:13">
      <c r="A258" s="824">
        <v>2006</v>
      </c>
      <c r="B258" s="824" t="s">
        <v>98</v>
      </c>
      <c r="C258" s="824" t="str">
        <f t="shared" si="3"/>
        <v>2006_Burkina Faso</v>
      </c>
      <c r="D258" s="824">
        <v>5844669738.1110401</v>
      </c>
      <c r="E258" s="824">
        <v>13822257</v>
      </c>
      <c r="F258" s="824">
        <v>13.010595575010145</v>
      </c>
      <c r="G258" s="824">
        <v>901480000</v>
      </c>
      <c r="H258" s="824">
        <v>901480000</v>
      </c>
      <c r="I258" s="824">
        <v>4.4570299999999996</v>
      </c>
      <c r="J258" s="824">
        <v>4.1892977834551202</v>
      </c>
      <c r="K258" s="824" t="s">
        <v>3088</v>
      </c>
      <c r="L258" s="824">
        <v>53.139682926829273</v>
      </c>
      <c r="M258" s="824">
        <v>82.8</v>
      </c>
    </row>
    <row r="259" spans="1:13">
      <c r="A259" s="824">
        <v>2006</v>
      </c>
      <c r="B259" s="824" t="s">
        <v>101</v>
      </c>
      <c r="C259" s="824" t="str">
        <f t="shared" si="3"/>
        <v>2006_Cameroon</v>
      </c>
      <c r="D259" s="824">
        <v>17953066391.113693</v>
      </c>
      <c r="E259" s="824">
        <v>18611937</v>
      </c>
      <c r="F259" s="824" t="s">
        <v>3088</v>
      </c>
      <c r="G259" s="824">
        <v>1718930000</v>
      </c>
      <c r="H259" s="824">
        <v>1718930000</v>
      </c>
      <c r="I259" s="824">
        <v>2.9556800000000001</v>
      </c>
      <c r="J259" s="824">
        <v>1.07609011908069</v>
      </c>
      <c r="K259" s="824" t="s">
        <v>3088</v>
      </c>
      <c r="L259" s="824">
        <v>52.15024390243903</v>
      </c>
      <c r="M259" s="824">
        <v>75.5</v>
      </c>
    </row>
    <row r="260" spans="1:13">
      <c r="A260" s="824">
        <v>2006</v>
      </c>
      <c r="B260" s="824" t="s">
        <v>138</v>
      </c>
      <c r="C260" s="824" t="str">
        <f t="shared" ref="C260:C323" si="4">$A260&amp;"_"&amp;$B260</f>
        <v>2006_Chad</v>
      </c>
      <c r="D260" s="824">
        <v>7422102519.5684767</v>
      </c>
      <c r="E260" s="824">
        <v>10356822</v>
      </c>
      <c r="F260" s="824" t="s">
        <v>3088</v>
      </c>
      <c r="G260" s="824">
        <v>289250000</v>
      </c>
      <c r="H260" s="824">
        <v>289250000</v>
      </c>
      <c r="I260" s="824" t="s">
        <v>3088</v>
      </c>
      <c r="J260" s="824">
        <v>1.2946400140343199</v>
      </c>
      <c r="K260" s="824" t="s">
        <v>3088</v>
      </c>
      <c r="L260" s="824">
        <v>48.028000000000006</v>
      </c>
      <c r="M260" s="824">
        <v>99.7</v>
      </c>
    </row>
    <row r="261" spans="1:13">
      <c r="A261" s="824">
        <v>2006</v>
      </c>
      <c r="B261" s="824" t="s">
        <v>127</v>
      </c>
      <c r="C261" s="824" t="str">
        <f t="shared" si="4"/>
        <v>2006_Central African Republic</v>
      </c>
      <c r="D261" s="824">
        <v>1473721520.6993546</v>
      </c>
      <c r="E261" s="824">
        <v>4032102</v>
      </c>
      <c r="F261" s="824" t="s">
        <v>3088</v>
      </c>
      <c r="G261" s="824">
        <v>133660000</v>
      </c>
      <c r="H261" s="824">
        <v>133660000</v>
      </c>
      <c r="I261" s="824">
        <v>1.40242</v>
      </c>
      <c r="J261" s="824">
        <v>1.97395875737682</v>
      </c>
      <c r="K261" s="824" t="s">
        <v>3088</v>
      </c>
      <c r="L261" s="824">
        <v>45.508195121951218</v>
      </c>
      <c r="M261" s="824">
        <v>109.3</v>
      </c>
    </row>
    <row r="262" spans="1:13">
      <c r="A262" s="824">
        <v>2006</v>
      </c>
      <c r="B262" s="824" t="s">
        <v>171</v>
      </c>
      <c r="C262" s="824" t="str">
        <f t="shared" si="4"/>
        <v>2006_Democratic Republic of Congo</v>
      </c>
      <c r="D262" s="824">
        <v>14296505933.190552</v>
      </c>
      <c r="E262" s="824">
        <v>55590838</v>
      </c>
      <c r="F262" s="824">
        <v>9.9954039515435298</v>
      </c>
      <c r="G262" s="824">
        <v>2197280000</v>
      </c>
      <c r="H262" s="824">
        <v>2197280000</v>
      </c>
      <c r="I262" s="824" t="s">
        <v>3088</v>
      </c>
      <c r="J262" s="824">
        <v>1.5213761574361899</v>
      </c>
      <c r="K262" s="824" t="s">
        <v>3088</v>
      </c>
      <c r="L262" s="824">
        <v>48.015536585365858</v>
      </c>
      <c r="M262" s="824">
        <v>102.1</v>
      </c>
    </row>
    <row r="263" spans="1:13">
      <c r="A263" s="824">
        <v>2006</v>
      </c>
      <c r="B263" s="824" t="s">
        <v>465</v>
      </c>
      <c r="C263" s="824" t="str">
        <f t="shared" si="4"/>
        <v>2006_Republic of the Congo</v>
      </c>
      <c r="D263" s="824">
        <v>7731261168.830965</v>
      </c>
      <c r="E263" s="824">
        <v>3646653</v>
      </c>
      <c r="F263" s="824">
        <v>45.66120813337951</v>
      </c>
      <c r="G263" s="824">
        <v>258300000</v>
      </c>
      <c r="H263" s="824">
        <v>258300000</v>
      </c>
      <c r="I263" s="824" t="s">
        <v>3088</v>
      </c>
      <c r="J263" s="824">
        <v>1.4940327639212401</v>
      </c>
      <c r="K263" s="824" t="s">
        <v>3088</v>
      </c>
      <c r="L263" s="824">
        <v>54.634268292682926</v>
      </c>
      <c r="M263" s="824">
        <v>57.2</v>
      </c>
    </row>
    <row r="264" spans="1:13">
      <c r="A264" s="824">
        <v>2006</v>
      </c>
      <c r="B264" s="824" t="s">
        <v>153</v>
      </c>
      <c r="C264" s="824" t="str">
        <f t="shared" si="4"/>
        <v>2006_Cote d'Ivoire</v>
      </c>
      <c r="D264" s="824">
        <v>17800887469.314571</v>
      </c>
      <c r="E264" s="824">
        <v>17662417</v>
      </c>
      <c r="F264" s="824">
        <v>15.883698033972832</v>
      </c>
      <c r="G264" s="824">
        <v>247140000</v>
      </c>
      <c r="H264" s="824">
        <v>247140000</v>
      </c>
      <c r="I264" s="824">
        <v>4.2175099999999999</v>
      </c>
      <c r="J264" s="824">
        <v>1.3923172875905001</v>
      </c>
      <c r="K264" s="824" t="s">
        <v>3088</v>
      </c>
      <c r="L264" s="824">
        <v>47.742658536585374</v>
      </c>
      <c r="M264" s="824">
        <v>86.6</v>
      </c>
    </row>
    <row r="265" spans="1:13">
      <c r="A265" s="824">
        <v>2006</v>
      </c>
      <c r="B265" s="824" t="s">
        <v>188</v>
      </c>
      <c r="C265" s="824" t="str">
        <f t="shared" si="4"/>
        <v>2006_Equatorial Guinea</v>
      </c>
      <c r="D265" s="824">
        <v>8081982438.4233265</v>
      </c>
      <c r="E265" s="824">
        <v>621517</v>
      </c>
      <c r="F265" s="824" t="s">
        <v>3088</v>
      </c>
      <c r="G265" s="824">
        <v>26210000</v>
      </c>
      <c r="H265" s="824">
        <v>26210000</v>
      </c>
      <c r="I265" s="824" t="s">
        <v>3088</v>
      </c>
      <c r="J265" s="824">
        <v>1.5273343881621999</v>
      </c>
      <c r="K265" s="824">
        <v>76.8</v>
      </c>
      <c r="L265" s="824">
        <v>49.327829268292689</v>
      </c>
      <c r="M265" s="824">
        <v>84.5</v>
      </c>
    </row>
    <row r="266" spans="1:13">
      <c r="A266" s="824">
        <v>2006</v>
      </c>
      <c r="B266" s="824" t="s">
        <v>191</v>
      </c>
      <c r="C266" s="824" t="str">
        <f t="shared" si="4"/>
        <v>2006_Gabon</v>
      </c>
      <c r="D266" s="824">
        <v>9545982814.0849361</v>
      </c>
      <c r="E266" s="824">
        <v>1412907</v>
      </c>
      <c r="F266" s="824" t="s">
        <v>3088</v>
      </c>
      <c r="G266" s="824">
        <v>29050000</v>
      </c>
      <c r="H266" s="824">
        <v>29050000</v>
      </c>
      <c r="I266" s="824" t="s">
        <v>3088</v>
      </c>
      <c r="J266" s="824">
        <v>1.30958716588921</v>
      </c>
      <c r="K266" s="824" t="s">
        <v>3088</v>
      </c>
      <c r="L266" s="824">
        <v>60.431243902439029</v>
      </c>
      <c r="M266" s="824">
        <v>49</v>
      </c>
    </row>
    <row r="267" spans="1:13">
      <c r="A267" s="824">
        <v>2006</v>
      </c>
      <c r="B267" s="824" t="s">
        <v>195</v>
      </c>
      <c r="C267" s="824" t="str">
        <f t="shared" si="4"/>
        <v>2006_Ghana</v>
      </c>
      <c r="D267" s="824">
        <v>20410331625.663353</v>
      </c>
      <c r="E267" s="824">
        <v>21947779</v>
      </c>
      <c r="F267" s="824">
        <v>13.594153891183151</v>
      </c>
      <c r="G267" s="824">
        <v>1243240000</v>
      </c>
      <c r="H267" s="824">
        <v>1243240000</v>
      </c>
      <c r="I267" s="824">
        <v>5.2599600000000004</v>
      </c>
      <c r="J267" s="824">
        <v>3.06437773153647</v>
      </c>
      <c r="K267" s="824">
        <v>31.9</v>
      </c>
      <c r="L267" s="824">
        <v>59.186707317073179</v>
      </c>
      <c r="M267" s="824">
        <v>57.2</v>
      </c>
    </row>
    <row r="268" spans="1:13">
      <c r="A268" s="824">
        <v>2006</v>
      </c>
      <c r="B268" s="824" t="s">
        <v>3089</v>
      </c>
      <c r="C268" s="824" t="str">
        <f t="shared" si="4"/>
        <v>2006_Guinea</v>
      </c>
      <c r="D268" s="824">
        <v>2821346683.5140185</v>
      </c>
      <c r="E268" s="824">
        <v>9798963</v>
      </c>
      <c r="F268" s="824" t="s">
        <v>3088</v>
      </c>
      <c r="G268" s="824">
        <v>169560000</v>
      </c>
      <c r="H268" s="824">
        <v>169560000</v>
      </c>
      <c r="I268" s="824" t="s">
        <v>3088</v>
      </c>
      <c r="J268" s="824">
        <v>0.94314874051479602</v>
      </c>
      <c r="K268" s="824" t="s">
        <v>3088</v>
      </c>
      <c r="L268" s="824">
        <v>53.349536585365861</v>
      </c>
      <c r="M268" s="824">
        <v>82</v>
      </c>
    </row>
    <row r="269" spans="1:13">
      <c r="A269" s="824">
        <v>2006</v>
      </c>
      <c r="B269" s="824" t="s">
        <v>219</v>
      </c>
      <c r="C269" s="824" t="str">
        <f t="shared" si="4"/>
        <v>2006_Guatemala</v>
      </c>
      <c r="D269" s="824">
        <v>30231117389.640163</v>
      </c>
      <c r="E269" s="824">
        <v>12995374</v>
      </c>
      <c r="F269" s="824">
        <v>12.501305278546443</v>
      </c>
      <c r="G269" s="824">
        <v>484290000</v>
      </c>
      <c r="H269" s="824">
        <v>484290000</v>
      </c>
      <c r="I269" s="824">
        <v>2.9840100000000001</v>
      </c>
      <c r="J269" s="824">
        <v>2.43434342994856</v>
      </c>
      <c r="K269" s="824">
        <v>51</v>
      </c>
      <c r="L269" s="824">
        <v>69.864414634146357</v>
      </c>
      <c r="M269" s="824">
        <v>32.299999999999997</v>
      </c>
    </row>
    <row r="270" spans="1:13">
      <c r="A270" s="824">
        <v>2006</v>
      </c>
      <c r="B270" s="824" t="s">
        <v>243</v>
      </c>
      <c r="C270" s="824" t="str">
        <f t="shared" si="4"/>
        <v>2006_Indonesia</v>
      </c>
      <c r="D270" s="824">
        <v>364570525997.05304</v>
      </c>
      <c r="E270" s="824">
        <v>227709821</v>
      </c>
      <c r="F270" s="824">
        <v>18.699961071363322</v>
      </c>
      <c r="G270" s="824">
        <v>1318320000</v>
      </c>
      <c r="H270" s="824">
        <v>1318320000</v>
      </c>
      <c r="I270" s="824" t="s">
        <v>3088</v>
      </c>
      <c r="J270" s="824">
        <v>0.91258309433517504</v>
      </c>
      <c r="K270" s="824">
        <v>17.8</v>
      </c>
      <c r="L270" s="824">
        <v>69.145951219512199</v>
      </c>
      <c r="M270" s="824">
        <v>32.200000000000003</v>
      </c>
    </row>
    <row r="271" spans="1:13">
      <c r="A271" s="824">
        <v>2006</v>
      </c>
      <c r="B271" s="824" t="s">
        <v>251</v>
      </c>
      <c r="C271" s="824" t="str">
        <f t="shared" si="4"/>
        <v>2006_Iraq</v>
      </c>
      <c r="D271" s="824">
        <v>65141035027.940575</v>
      </c>
      <c r="E271" s="824">
        <v>28064095</v>
      </c>
      <c r="F271" s="824" t="s">
        <v>3088</v>
      </c>
      <c r="G271" s="824">
        <v>8889320000</v>
      </c>
      <c r="H271" s="824">
        <v>8889320000</v>
      </c>
      <c r="I271" s="824" t="s">
        <v>3088</v>
      </c>
      <c r="J271" s="824">
        <v>1.9135715674653899</v>
      </c>
      <c r="K271" s="824" t="s">
        <v>3088</v>
      </c>
      <c r="L271" s="824">
        <v>69.091560975609767</v>
      </c>
      <c r="M271" s="824">
        <v>32.5</v>
      </c>
    </row>
    <row r="272" spans="1:13">
      <c r="A272" s="824">
        <v>2006</v>
      </c>
      <c r="B272" s="824" t="s">
        <v>280</v>
      </c>
      <c r="C272" s="824" t="str">
        <f t="shared" si="4"/>
        <v>2006_Kazakhstan</v>
      </c>
      <c r="D272" s="824">
        <v>81003864915.543655</v>
      </c>
      <c r="E272" s="824">
        <v>15308084</v>
      </c>
      <c r="F272" s="824" t="s">
        <v>3088</v>
      </c>
      <c r="G272" s="824">
        <v>174300000</v>
      </c>
      <c r="H272" s="824">
        <v>174300000</v>
      </c>
      <c r="I272" s="824">
        <v>2.6267800000000001</v>
      </c>
      <c r="J272" s="824">
        <v>2.30571962390629</v>
      </c>
      <c r="K272" s="824">
        <v>18.2</v>
      </c>
      <c r="L272" s="824">
        <v>66.160975609756107</v>
      </c>
      <c r="M272" s="824">
        <v>26.7</v>
      </c>
    </row>
    <row r="273" spans="1:13">
      <c r="A273" s="824">
        <v>2006</v>
      </c>
      <c r="B273" s="824" t="s">
        <v>285</v>
      </c>
      <c r="C273" s="824" t="str">
        <f t="shared" si="4"/>
        <v>2006_Kyrgyz Republic</v>
      </c>
      <c r="D273" s="824">
        <v>2834168889.4201913</v>
      </c>
      <c r="E273" s="824">
        <v>5218400</v>
      </c>
      <c r="F273" s="824">
        <v>16.467632980990352</v>
      </c>
      <c r="G273" s="824">
        <v>310550000</v>
      </c>
      <c r="H273" s="824">
        <v>310550000</v>
      </c>
      <c r="I273" s="824">
        <v>5.5498599999999998</v>
      </c>
      <c r="J273" s="824">
        <v>3.2769972363796098</v>
      </c>
      <c r="K273" s="824">
        <v>39.9</v>
      </c>
      <c r="L273" s="824">
        <v>67.695121951219505</v>
      </c>
      <c r="M273" s="824">
        <v>33.1</v>
      </c>
    </row>
    <row r="274" spans="1:13">
      <c r="A274" s="824">
        <v>2006</v>
      </c>
      <c r="B274" s="824" t="s">
        <v>301</v>
      </c>
      <c r="C274" s="824" t="str">
        <f t="shared" si="4"/>
        <v>2006_Liberia</v>
      </c>
      <c r="D274" s="824">
        <v>604028581.80619025</v>
      </c>
      <c r="E274" s="824">
        <v>3384791</v>
      </c>
      <c r="F274" s="824">
        <v>13.984988218174102</v>
      </c>
      <c r="G274" s="824">
        <v>260450000</v>
      </c>
      <c r="H274" s="824">
        <v>260450000</v>
      </c>
      <c r="I274" s="824" t="s">
        <v>3088</v>
      </c>
      <c r="J274" s="824">
        <v>2.0042945300538801</v>
      </c>
      <c r="K274" s="824" t="s">
        <v>3088</v>
      </c>
      <c r="L274" s="824">
        <v>56.140390243902445</v>
      </c>
      <c r="M274" s="824">
        <v>77.099999999999994</v>
      </c>
    </row>
    <row r="275" spans="1:13">
      <c r="A275" s="824">
        <v>2006</v>
      </c>
      <c r="B275" s="824" t="s">
        <v>316</v>
      </c>
      <c r="C275" s="824" t="str">
        <f t="shared" si="4"/>
        <v>2006_Madagascar</v>
      </c>
      <c r="D275" s="824">
        <v>5515884434.3739243</v>
      </c>
      <c r="E275" s="824">
        <v>18826126</v>
      </c>
      <c r="F275" s="824">
        <v>11.653857251837985</v>
      </c>
      <c r="G275" s="824">
        <v>781580000</v>
      </c>
      <c r="H275" s="824">
        <v>781580000</v>
      </c>
      <c r="I275" s="824">
        <v>3.2829100000000002</v>
      </c>
      <c r="J275" s="824">
        <v>2.64787118406608</v>
      </c>
      <c r="K275" s="824" t="s">
        <v>3088</v>
      </c>
      <c r="L275" s="824">
        <v>61.622365853658543</v>
      </c>
      <c r="M275" s="824">
        <v>51.7</v>
      </c>
    </row>
    <row r="276" spans="1:13">
      <c r="A276" s="824">
        <v>2006</v>
      </c>
      <c r="B276" s="824" t="s">
        <v>329</v>
      </c>
      <c r="C276" s="824" t="str">
        <f t="shared" si="4"/>
        <v>2006_Mali</v>
      </c>
      <c r="D276" s="824">
        <v>6122644014.7868376</v>
      </c>
      <c r="E276" s="824">
        <v>12325545</v>
      </c>
      <c r="F276" s="824">
        <v>16.023461097558307</v>
      </c>
      <c r="G276" s="824">
        <v>865790000</v>
      </c>
      <c r="H276" s="824">
        <v>865790000</v>
      </c>
      <c r="I276" s="824" t="s">
        <v>3088</v>
      </c>
      <c r="J276" s="824">
        <v>3.1695234476295502</v>
      </c>
      <c r="K276" s="824">
        <v>47.5</v>
      </c>
      <c r="L276" s="824">
        <v>51.994439024390246</v>
      </c>
      <c r="M276" s="824">
        <v>93.4</v>
      </c>
    </row>
    <row r="277" spans="1:13">
      <c r="A277" s="824">
        <v>2006</v>
      </c>
      <c r="B277" s="824" t="s">
        <v>345</v>
      </c>
      <c r="C277" s="824" t="str">
        <f t="shared" si="4"/>
        <v>2006_Mauritania</v>
      </c>
      <c r="D277" s="824">
        <v>2699181754.65376</v>
      </c>
      <c r="E277" s="824">
        <v>3237713</v>
      </c>
      <c r="F277" s="824" t="s">
        <v>3088</v>
      </c>
      <c r="G277" s="824">
        <v>225610000</v>
      </c>
      <c r="H277" s="824">
        <v>225610000</v>
      </c>
      <c r="I277" s="824">
        <v>2.5245700000000002</v>
      </c>
      <c r="J277" s="824">
        <v>2.1700962625264002</v>
      </c>
      <c r="K277" s="824" t="s">
        <v>3088</v>
      </c>
      <c r="L277" s="824">
        <v>60.386804878048778</v>
      </c>
      <c r="M277" s="824">
        <v>74</v>
      </c>
    </row>
    <row r="278" spans="1:13">
      <c r="A278" s="824">
        <v>2006</v>
      </c>
      <c r="B278" s="824" t="s">
        <v>364</v>
      </c>
      <c r="C278" s="824" t="str">
        <f t="shared" si="4"/>
        <v>2006_Mongolia</v>
      </c>
      <c r="D278" s="824">
        <v>3414053250.9454865</v>
      </c>
      <c r="E278" s="824">
        <v>2559496</v>
      </c>
      <c r="F278" s="824">
        <v>37.686472303707198</v>
      </c>
      <c r="G278" s="824">
        <v>205140000</v>
      </c>
      <c r="H278" s="824">
        <v>205140000</v>
      </c>
      <c r="I278" s="824" t="s">
        <v>3088</v>
      </c>
      <c r="J278" s="824">
        <v>3.1266137101406999</v>
      </c>
      <c r="K278" s="824" t="s">
        <v>3088</v>
      </c>
      <c r="L278" s="824">
        <v>65.682756097560983</v>
      </c>
      <c r="M278" s="824">
        <v>35</v>
      </c>
    </row>
    <row r="279" spans="1:13">
      <c r="A279" s="824">
        <v>2006</v>
      </c>
      <c r="B279" s="824" t="s">
        <v>385</v>
      </c>
      <c r="C279" s="824" t="str">
        <f t="shared" si="4"/>
        <v>2006_Mozambique</v>
      </c>
      <c r="D279" s="824">
        <v>7095910826.8824329</v>
      </c>
      <c r="E279" s="824">
        <v>21587317</v>
      </c>
      <c r="F279" s="824" t="s">
        <v>3088</v>
      </c>
      <c r="G279" s="824">
        <v>1639300000</v>
      </c>
      <c r="H279" s="824">
        <v>1639300000</v>
      </c>
      <c r="I279" s="824">
        <v>5.0068400000000004</v>
      </c>
      <c r="J279" s="824">
        <v>3.9509892091158201</v>
      </c>
      <c r="K279" s="824" t="s">
        <v>3088</v>
      </c>
      <c r="L279" s="824">
        <v>48.016414634146344</v>
      </c>
      <c r="M279" s="824">
        <v>86.6</v>
      </c>
    </row>
    <row r="280" spans="1:13">
      <c r="A280" s="824">
        <v>2006</v>
      </c>
      <c r="B280" s="824" t="s">
        <v>394</v>
      </c>
      <c r="C280" s="824" t="str">
        <f t="shared" si="4"/>
        <v>2006_Niger</v>
      </c>
      <c r="D280" s="824">
        <v>3646727993.0369811</v>
      </c>
      <c r="E280" s="824">
        <v>13679705</v>
      </c>
      <c r="F280" s="824">
        <v>12.969583443271008</v>
      </c>
      <c r="G280" s="824">
        <v>544410000</v>
      </c>
      <c r="H280" s="824">
        <v>544410000</v>
      </c>
      <c r="I280" s="824">
        <v>3.33406</v>
      </c>
      <c r="J280" s="824">
        <v>3.17549371692381</v>
      </c>
      <c r="K280" s="824" t="s">
        <v>3088</v>
      </c>
      <c r="L280" s="824">
        <v>54.75141463414635</v>
      </c>
      <c r="M280" s="824">
        <v>78.7</v>
      </c>
    </row>
    <row r="281" spans="1:13">
      <c r="A281" s="824">
        <v>2006</v>
      </c>
      <c r="B281" s="824" t="s">
        <v>413</v>
      </c>
      <c r="C281" s="824" t="str">
        <f t="shared" si="4"/>
        <v>2006_Nigeria</v>
      </c>
      <c r="D281" s="824">
        <v>145429802541.7467</v>
      </c>
      <c r="E281" s="824">
        <v>143314909</v>
      </c>
      <c r="F281" s="824">
        <v>10.353405166171624</v>
      </c>
      <c r="G281" s="824">
        <v>11428020000</v>
      </c>
      <c r="H281" s="824">
        <v>11428020000</v>
      </c>
      <c r="I281" s="824" t="s">
        <v>3088</v>
      </c>
      <c r="J281" s="824">
        <v>1.93694028393347</v>
      </c>
      <c r="K281" s="824" t="s">
        <v>3088</v>
      </c>
      <c r="L281" s="824">
        <v>49.22863414634147</v>
      </c>
      <c r="M281" s="824">
        <v>93.9</v>
      </c>
    </row>
    <row r="282" spans="1:13">
      <c r="A282" s="824">
        <v>2006</v>
      </c>
      <c r="B282" s="824" t="s">
        <v>436</v>
      </c>
      <c r="C282" s="824" t="str">
        <f t="shared" si="4"/>
        <v>2006_Norway</v>
      </c>
      <c r="D282" s="824">
        <v>340041735966.73615</v>
      </c>
      <c r="E282" s="824">
        <v>4660677</v>
      </c>
      <c r="F282" s="824">
        <v>50.407166907938873</v>
      </c>
      <c r="G282" s="824" t="s">
        <v>3088</v>
      </c>
      <c r="H282" s="824" t="s">
        <v>3088</v>
      </c>
      <c r="I282" s="824">
        <v>6.4867100000000004</v>
      </c>
      <c r="J282" s="824">
        <v>7.7788757433621898</v>
      </c>
      <c r="K282" s="824" t="s">
        <v>3088</v>
      </c>
      <c r="L282" s="824">
        <v>80.34390243902439</v>
      </c>
      <c r="M282" s="824">
        <v>3.1</v>
      </c>
    </row>
    <row r="283" spans="1:13">
      <c r="A283" s="824">
        <v>2006</v>
      </c>
      <c r="B283" s="824" t="s">
        <v>449</v>
      </c>
      <c r="C283" s="824" t="str">
        <f t="shared" si="4"/>
        <v>2006_Peru</v>
      </c>
      <c r="D283" s="824">
        <v>87985689388.379211</v>
      </c>
      <c r="E283" s="824">
        <v>28030688</v>
      </c>
      <c r="F283" s="824">
        <v>20.121095279864008</v>
      </c>
      <c r="G283" s="824">
        <v>463440000</v>
      </c>
      <c r="H283" s="824">
        <v>463440000</v>
      </c>
      <c r="I283" s="824">
        <v>2.5476299999999998</v>
      </c>
      <c r="J283" s="824">
        <v>2.54357255548606</v>
      </c>
      <c r="K283" s="824">
        <v>49.2</v>
      </c>
      <c r="L283" s="824">
        <v>72.72097560975611</v>
      </c>
      <c r="M283" s="824">
        <v>20</v>
      </c>
    </row>
    <row r="284" spans="1:13">
      <c r="A284" s="824">
        <v>2006</v>
      </c>
      <c r="B284" s="824" t="s">
        <v>488</v>
      </c>
      <c r="C284" s="824" t="str">
        <f t="shared" si="4"/>
        <v>2006_Sierra Leone</v>
      </c>
      <c r="D284" s="824">
        <v>1887429109.5129781</v>
      </c>
      <c r="E284" s="824">
        <v>5280909</v>
      </c>
      <c r="F284" s="824">
        <v>8.8623456082360281</v>
      </c>
      <c r="G284" s="824">
        <v>380470000</v>
      </c>
      <c r="H284" s="824">
        <v>380470000</v>
      </c>
      <c r="I284" s="824" t="s">
        <v>3088</v>
      </c>
      <c r="J284" s="824">
        <v>1.9468941652224101</v>
      </c>
      <c r="K284" s="824" t="s">
        <v>3088</v>
      </c>
      <c r="L284" s="824">
        <v>42.882536585365855</v>
      </c>
      <c r="M284" s="824">
        <v>124.8</v>
      </c>
    </row>
    <row r="285" spans="1:13">
      <c r="A285" s="824">
        <v>2006</v>
      </c>
      <c r="B285" s="824" t="s">
        <v>499</v>
      </c>
      <c r="C285" s="824" t="str">
        <f t="shared" si="4"/>
        <v>2006_Tanzania</v>
      </c>
      <c r="D285" s="824">
        <v>14331231238.929577</v>
      </c>
      <c r="E285" s="824">
        <v>39942347</v>
      </c>
      <c r="F285" s="824" t="s">
        <v>3088</v>
      </c>
      <c r="G285" s="824">
        <v>1883290000</v>
      </c>
      <c r="H285" s="824">
        <v>1883290000</v>
      </c>
      <c r="I285" s="824">
        <v>3.9159899999999999</v>
      </c>
      <c r="J285" s="824">
        <v>3.8435253033754901</v>
      </c>
      <c r="K285" s="824" t="s">
        <v>3088</v>
      </c>
      <c r="L285" s="824">
        <v>54.88426829268294</v>
      </c>
      <c r="M285" s="824">
        <v>53.5</v>
      </c>
    </row>
    <row r="286" spans="1:13">
      <c r="A286" s="824">
        <v>2006</v>
      </c>
      <c r="B286" s="824" t="s">
        <v>3090</v>
      </c>
      <c r="C286" s="824" t="str">
        <f t="shared" si="4"/>
        <v>2006_Timor-Leste</v>
      </c>
      <c r="D286" s="824">
        <v>463000000</v>
      </c>
      <c r="E286" s="824">
        <v>999053</v>
      </c>
      <c r="F286" s="824" t="s">
        <v>3088</v>
      </c>
      <c r="G286" s="824">
        <v>209070000</v>
      </c>
      <c r="H286" s="824">
        <v>209070000</v>
      </c>
      <c r="I286" s="824" t="s">
        <v>3088</v>
      </c>
      <c r="J286" s="824">
        <v>9.0006755827531997</v>
      </c>
      <c r="K286" s="824" t="s">
        <v>3088</v>
      </c>
      <c r="L286" s="824">
        <v>63.689585365853659</v>
      </c>
      <c r="M286" s="824">
        <v>61.7</v>
      </c>
    </row>
    <row r="287" spans="1:13">
      <c r="A287" s="824">
        <v>2006</v>
      </c>
      <c r="B287" s="824" t="s">
        <v>517</v>
      </c>
      <c r="C287" s="824" t="str">
        <f t="shared" si="4"/>
        <v>2006_Togo</v>
      </c>
      <c r="D287" s="824">
        <v>2202809210.7409544</v>
      </c>
      <c r="E287" s="824">
        <v>5685845</v>
      </c>
      <c r="F287" s="824">
        <v>15.911975806154842</v>
      </c>
      <c r="G287" s="824">
        <v>79900000</v>
      </c>
      <c r="H287" s="824">
        <v>79900000</v>
      </c>
      <c r="I287" s="824">
        <v>3.6637400000000002</v>
      </c>
      <c r="J287" s="824">
        <v>2.2402130076036499</v>
      </c>
      <c r="K287" s="824">
        <v>61.7</v>
      </c>
      <c r="L287" s="824">
        <v>54.341536585365859</v>
      </c>
      <c r="M287" s="824">
        <v>66.900000000000006</v>
      </c>
    </row>
    <row r="288" spans="1:13">
      <c r="A288" s="824">
        <v>2006</v>
      </c>
      <c r="B288" s="824" t="s">
        <v>3091</v>
      </c>
      <c r="C288" s="824" t="str">
        <f t="shared" si="4"/>
        <v>2006_Trinidad and Tobago</v>
      </c>
      <c r="D288" s="824">
        <v>18460889362.98938</v>
      </c>
      <c r="E288" s="824">
        <v>1303478</v>
      </c>
      <c r="F288" s="824">
        <v>34.764771325818664</v>
      </c>
      <c r="G288" s="824">
        <v>13820000</v>
      </c>
      <c r="H288" s="824">
        <v>13820000</v>
      </c>
      <c r="I288" s="824" t="s">
        <v>3088</v>
      </c>
      <c r="J288" s="824">
        <v>2.1767796941986801</v>
      </c>
      <c r="K288" s="824" t="s">
        <v>3088</v>
      </c>
      <c r="L288" s="824">
        <v>69.12446341463415</v>
      </c>
      <c r="M288" s="824">
        <v>23.2</v>
      </c>
    </row>
    <row r="289" spans="1:13">
      <c r="A289" s="824">
        <v>2006</v>
      </c>
      <c r="B289" s="824" t="s">
        <v>3092</v>
      </c>
      <c r="C289" s="824" t="str">
        <f t="shared" si="4"/>
        <v>2006_Yemen, Rep.</v>
      </c>
      <c r="D289" s="824">
        <v>19081726103.214478</v>
      </c>
      <c r="E289" s="824">
        <v>20661714</v>
      </c>
      <c r="F289" s="824" t="s">
        <v>3088</v>
      </c>
      <c r="G289" s="824">
        <v>287410000</v>
      </c>
      <c r="H289" s="824">
        <v>287410000</v>
      </c>
      <c r="I289" s="824" t="s">
        <v>3088</v>
      </c>
      <c r="J289" s="824">
        <v>1.52160194278785</v>
      </c>
      <c r="K289" s="824" t="s">
        <v>3088</v>
      </c>
      <c r="L289" s="824">
        <v>61.738658536585369</v>
      </c>
      <c r="M289" s="824">
        <v>53.8</v>
      </c>
    </row>
    <row r="290" spans="1:13">
      <c r="A290" s="824">
        <v>2006</v>
      </c>
      <c r="B290" s="824" t="s">
        <v>541</v>
      </c>
      <c r="C290" s="824" t="str">
        <f t="shared" si="4"/>
        <v>2006_Zambia</v>
      </c>
      <c r="D290" s="824">
        <v>12756957883.932646</v>
      </c>
      <c r="E290" s="824">
        <v>11781612</v>
      </c>
      <c r="F290" s="824">
        <v>14.233456795910834</v>
      </c>
      <c r="G290" s="824">
        <v>1467540000</v>
      </c>
      <c r="H290" s="824">
        <v>1467540000</v>
      </c>
      <c r="I290" s="824" t="s">
        <v>3088</v>
      </c>
      <c r="J290" s="824">
        <v>3.9183164121274499</v>
      </c>
      <c r="K290" s="824" t="s">
        <v>3088</v>
      </c>
      <c r="L290" s="824">
        <v>48.584926829268291</v>
      </c>
      <c r="M290" s="824">
        <v>72.900000000000006</v>
      </c>
    </row>
    <row r="291" spans="1:13">
      <c r="A291" s="824">
        <v>2007</v>
      </c>
      <c r="B291" s="824" t="s">
        <v>21</v>
      </c>
      <c r="C291" s="824" t="str">
        <f t="shared" si="4"/>
        <v>2007_Afghanistan</v>
      </c>
      <c r="D291" s="824">
        <v>9843851009.4146194</v>
      </c>
      <c r="E291" s="824">
        <v>26349243</v>
      </c>
      <c r="F291" s="824">
        <v>6.9379501265754246</v>
      </c>
      <c r="G291" s="824">
        <v>4964720000</v>
      </c>
      <c r="H291" s="824">
        <v>4964720000</v>
      </c>
      <c r="I291" s="824" t="s">
        <v>3088</v>
      </c>
      <c r="J291" s="824">
        <v>1.09236242035888</v>
      </c>
      <c r="K291" s="824" t="s">
        <v>3088</v>
      </c>
      <c r="L291" s="824">
        <v>58.091365853658544</v>
      </c>
      <c r="M291" s="824">
        <v>80.099999999999994</v>
      </c>
    </row>
    <row r="292" spans="1:13">
      <c r="A292" s="824">
        <v>2007</v>
      </c>
      <c r="B292" s="824" t="s">
        <v>38</v>
      </c>
      <c r="C292" s="824" t="str">
        <f t="shared" si="4"/>
        <v>2007_Albania</v>
      </c>
      <c r="D292" s="824">
        <v>10701011524.098206</v>
      </c>
      <c r="E292" s="824">
        <v>2940880</v>
      </c>
      <c r="F292" s="824" t="s">
        <v>3088</v>
      </c>
      <c r="G292" s="824">
        <v>307190000</v>
      </c>
      <c r="H292" s="824">
        <v>307190000</v>
      </c>
      <c r="I292" s="824">
        <v>3.26756</v>
      </c>
      <c r="J292" s="824">
        <v>2.6291711017185602</v>
      </c>
      <c r="K292" s="824" t="s">
        <v>3088</v>
      </c>
      <c r="L292" s="824">
        <v>76.464853658536597</v>
      </c>
      <c r="M292" s="824">
        <v>16.7</v>
      </c>
    </row>
    <row r="293" spans="1:13">
      <c r="A293" s="824">
        <v>2007</v>
      </c>
      <c r="B293" s="824" t="s">
        <v>53</v>
      </c>
      <c r="C293" s="824" t="str">
        <f t="shared" si="4"/>
        <v>2007_Azerbaijan</v>
      </c>
      <c r="D293" s="824">
        <v>33050343782.775902</v>
      </c>
      <c r="E293" s="824">
        <v>8581300</v>
      </c>
      <c r="F293" s="824" t="s">
        <v>3088</v>
      </c>
      <c r="G293" s="824">
        <v>225210000</v>
      </c>
      <c r="H293" s="824">
        <v>225210000</v>
      </c>
      <c r="I293" s="824">
        <v>2.54928</v>
      </c>
      <c r="J293" s="824">
        <v>0.980253878702398</v>
      </c>
      <c r="K293" s="824">
        <v>15.8</v>
      </c>
      <c r="L293" s="824">
        <v>69.756</v>
      </c>
      <c r="M293" s="824">
        <v>39.299999999999997</v>
      </c>
    </row>
    <row r="294" spans="1:13">
      <c r="A294" s="824">
        <v>2007</v>
      </c>
      <c r="B294" s="824" t="s">
        <v>98</v>
      </c>
      <c r="C294" s="824" t="str">
        <f t="shared" si="4"/>
        <v>2007_Burkina Faso</v>
      </c>
      <c r="D294" s="824">
        <v>6755823932.7985668</v>
      </c>
      <c r="E294" s="824">
        <v>14235075</v>
      </c>
      <c r="F294" s="824">
        <v>13.791147932758918</v>
      </c>
      <c r="G294" s="824">
        <v>950400000</v>
      </c>
      <c r="H294" s="824">
        <v>950400000</v>
      </c>
      <c r="I294" s="824">
        <v>4.5990700000000002</v>
      </c>
      <c r="J294" s="824">
        <v>4.6119346715795801</v>
      </c>
      <c r="K294" s="824" t="s">
        <v>3088</v>
      </c>
      <c r="L294" s="824">
        <v>53.61968292682927</v>
      </c>
      <c r="M294" s="824">
        <v>79.400000000000006</v>
      </c>
    </row>
    <row r="295" spans="1:13">
      <c r="A295" s="824">
        <v>2007</v>
      </c>
      <c r="B295" s="824" t="s">
        <v>101</v>
      </c>
      <c r="C295" s="824" t="str">
        <f t="shared" si="4"/>
        <v>2007_Cameroon</v>
      </c>
      <c r="D295" s="824">
        <v>20431781120.178547</v>
      </c>
      <c r="E295" s="824">
        <v>19097676</v>
      </c>
      <c r="F295" s="824" t="s">
        <v>3088</v>
      </c>
      <c r="G295" s="824">
        <v>1926290000</v>
      </c>
      <c r="H295" s="824">
        <v>1926290000</v>
      </c>
      <c r="I295" s="824">
        <v>3.36625</v>
      </c>
      <c r="J295" s="824">
        <v>1.0657766413840699</v>
      </c>
      <c r="K295" s="824">
        <v>39.9</v>
      </c>
      <c r="L295" s="824">
        <v>52.479146341463419</v>
      </c>
      <c r="M295" s="824">
        <v>73.3</v>
      </c>
    </row>
    <row r="296" spans="1:13">
      <c r="A296" s="824">
        <v>2007</v>
      </c>
      <c r="B296" s="824" t="s">
        <v>138</v>
      </c>
      <c r="C296" s="824" t="str">
        <f t="shared" si="4"/>
        <v>2007_Chad</v>
      </c>
      <c r="D296" s="824">
        <v>8638711756.6281834</v>
      </c>
      <c r="E296" s="824">
        <v>10694366</v>
      </c>
      <c r="F296" s="824" t="s">
        <v>3088</v>
      </c>
      <c r="G296" s="824">
        <v>359100000</v>
      </c>
      <c r="H296" s="824">
        <v>359100000</v>
      </c>
      <c r="I296" s="824" t="s">
        <v>3088</v>
      </c>
      <c r="J296" s="824">
        <v>0.97635810144758794</v>
      </c>
      <c r="K296" s="824" t="s">
        <v>3088</v>
      </c>
      <c r="L296" s="824">
        <v>48.427170731707321</v>
      </c>
      <c r="M296" s="824">
        <v>98.5</v>
      </c>
    </row>
    <row r="297" spans="1:13">
      <c r="A297" s="824">
        <v>2007</v>
      </c>
      <c r="B297" s="824" t="s">
        <v>127</v>
      </c>
      <c r="C297" s="824" t="str">
        <f t="shared" si="4"/>
        <v>2007_Central African Republic</v>
      </c>
      <c r="D297" s="824">
        <v>1698125679.6518774</v>
      </c>
      <c r="E297" s="824">
        <v>4106897</v>
      </c>
      <c r="F297" s="824" t="s">
        <v>3088</v>
      </c>
      <c r="G297" s="824">
        <v>176920000</v>
      </c>
      <c r="H297" s="824">
        <v>176920000</v>
      </c>
      <c r="I297" s="824">
        <v>1.3128899999999999</v>
      </c>
      <c r="J297" s="824">
        <v>2.3067470353625401</v>
      </c>
      <c r="K297" s="824" t="s">
        <v>3088</v>
      </c>
      <c r="L297" s="824">
        <v>46.091243902439032</v>
      </c>
      <c r="M297" s="824">
        <v>108.1</v>
      </c>
    </row>
    <row r="298" spans="1:13">
      <c r="A298" s="824">
        <v>2007</v>
      </c>
      <c r="B298" s="824" t="s">
        <v>171</v>
      </c>
      <c r="C298" s="824" t="str">
        <f t="shared" si="4"/>
        <v>2007_Democratic Republic of Congo</v>
      </c>
      <c r="D298" s="824">
        <v>16364027646.772434</v>
      </c>
      <c r="E298" s="824">
        <v>57187942</v>
      </c>
      <c r="F298" s="824">
        <v>9.3871844813972167</v>
      </c>
      <c r="G298" s="824">
        <v>1356710000</v>
      </c>
      <c r="H298" s="824">
        <v>1356710000</v>
      </c>
      <c r="I298" s="824" t="s">
        <v>3088</v>
      </c>
      <c r="J298" s="824">
        <v>1.97638371353889</v>
      </c>
      <c r="K298" s="824" t="s">
        <v>3088</v>
      </c>
      <c r="L298" s="824">
        <v>48.213512195121965</v>
      </c>
      <c r="M298" s="824">
        <v>99.5</v>
      </c>
    </row>
    <row r="299" spans="1:13">
      <c r="A299" s="824">
        <v>2007</v>
      </c>
      <c r="B299" s="824" t="s">
        <v>465</v>
      </c>
      <c r="C299" s="824" t="str">
        <f t="shared" si="4"/>
        <v>2007_Republic of the Congo</v>
      </c>
      <c r="D299" s="824">
        <v>8394688589.0541859</v>
      </c>
      <c r="E299" s="824">
        <v>3758858</v>
      </c>
      <c r="F299" s="824">
        <v>40.604227164005522</v>
      </c>
      <c r="G299" s="824">
        <v>118710000</v>
      </c>
      <c r="H299" s="824">
        <v>118710000</v>
      </c>
      <c r="I299" s="824" t="s">
        <v>3088</v>
      </c>
      <c r="J299" s="824">
        <v>1.5457641330727201</v>
      </c>
      <c r="K299" s="824" t="s">
        <v>3088</v>
      </c>
      <c r="L299" s="824">
        <v>55.276170731707325</v>
      </c>
      <c r="M299" s="824">
        <v>52.9</v>
      </c>
    </row>
    <row r="300" spans="1:13">
      <c r="A300" s="824">
        <v>2007</v>
      </c>
      <c r="B300" s="824" t="s">
        <v>153</v>
      </c>
      <c r="C300" s="824" t="str">
        <f t="shared" si="4"/>
        <v>2007_Cote d'Ivoire</v>
      </c>
      <c r="D300" s="824">
        <v>20343636058.732971</v>
      </c>
      <c r="E300" s="824">
        <v>17949061</v>
      </c>
      <c r="F300" s="824">
        <v>17.22866670447852</v>
      </c>
      <c r="G300" s="824">
        <v>171080000</v>
      </c>
      <c r="H300" s="824">
        <v>171080000</v>
      </c>
      <c r="I300" s="824">
        <v>4.4163699999999997</v>
      </c>
      <c r="J300" s="824">
        <v>1.4677456511707101</v>
      </c>
      <c r="K300" s="824" t="s">
        <v>3088</v>
      </c>
      <c r="L300" s="824">
        <v>48.273707317073168</v>
      </c>
      <c r="M300" s="824">
        <v>84</v>
      </c>
    </row>
    <row r="301" spans="1:13">
      <c r="A301" s="824">
        <v>2007</v>
      </c>
      <c r="B301" s="824" t="s">
        <v>188</v>
      </c>
      <c r="C301" s="824" t="str">
        <f t="shared" si="4"/>
        <v>2007_Equatorial Guinea</v>
      </c>
      <c r="D301" s="824">
        <v>10201201021.911829</v>
      </c>
      <c r="E301" s="824">
        <v>639618</v>
      </c>
      <c r="F301" s="824">
        <v>47.217842028322572</v>
      </c>
      <c r="G301" s="824">
        <v>31360000</v>
      </c>
      <c r="H301" s="824">
        <v>31360000</v>
      </c>
      <c r="I301" s="824" t="s">
        <v>3088</v>
      </c>
      <c r="J301" s="824">
        <v>1.6231535536783701</v>
      </c>
      <c r="K301" s="824" t="s">
        <v>3088</v>
      </c>
      <c r="L301" s="824">
        <v>49.845073170731709</v>
      </c>
      <c r="M301" s="824">
        <v>82.2</v>
      </c>
    </row>
    <row r="302" spans="1:13">
      <c r="A302" s="824">
        <v>2007</v>
      </c>
      <c r="B302" s="824" t="s">
        <v>191</v>
      </c>
      <c r="C302" s="824" t="str">
        <f t="shared" si="4"/>
        <v>2007_Gabon</v>
      </c>
      <c r="D302" s="824">
        <v>11570860872.227442</v>
      </c>
      <c r="E302" s="824">
        <v>1447388</v>
      </c>
      <c r="F302" s="824" t="s">
        <v>3088</v>
      </c>
      <c r="G302" s="824">
        <v>51140000</v>
      </c>
      <c r="H302" s="824">
        <v>51140000</v>
      </c>
      <c r="I302" s="824" t="s">
        <v>3088</v>
      </c>
      <c r="J302" s="824">
        <v>1.3706772467084001</v>
      </c>
      <c r="K302" s="824" t="s">
        <v>3088</v>
      </c>
      <c r="L302" s="824">
        <v>60.903731707317085</v>
      </c>
      <c r="M302" s="824">
        <v>47.5</v>
      </c>
    </row>
    <row r="303" spans="1:13">
      <c r="A303" s="824">
        <v>2007</v>
      </c>
      <c r="B303" s="824" t="s">
        <v>195</v>
      </c>
      <c r="C303" s="824" t="str">
        <f t="shared" si="4"/>
        <v>2007_Ghana</v>
      </c>
      <c r="D303" s="824">
        <v>24757553101.626564</v>
      </c>
      <c r="E303" s="824">
        <v>22525659</v>
      </c>
      <c r="F303" s="824">
        <v>15.666871862660065</v>
      </c>
      <c r="G303" s="824">
        <v>1165210000</v>
      </c>
      <c r="H303" s="824">
        <v>1165210000</v>
      </c>
      <c r="I303" s="824">
        <v>5.5198600000000004</v>
      </c>
      <c r="J303" s="824">
        <v>3.7497944957239602</v>
      </c>
      <c r="K303" s="824" t="s">
        <v>3088</v>
      </c>
      <c r="L303" s="824">
        <v>59.637853658536592</v>
      </c>
      <c r="M303" s="824">
        <v>56.6</v>
      </c>
    </row>
    <row r="304" spans="1:13">
      <c r="A304" s="824">
        <v>2007</v>
      </c>
      <c r="B304" s="824" t="s">
        <v>3089</v>
      </c>
      <c r="C304" s="824" t="str">
        <f t="shared" si="4"/>
        <v>2007_Guinea</v>
      </c>
      <c r="D304" s="824">
        <v>4134173271.0208378</v>
      </c>
      <c r="E304" s="824">
        <v>10046967</v>
      </c>
      <c r="F304" s="824" t="s">
        <v>3088</v>
      </c>
      <c r="G304" s="824">
        <v>228020000</v>
      </c>
      <c r="H304" s="824">
        <v>228020000</v>
      </c>
      <c r="I304" s="824" t="s">
        <v>3088</v>
      </c>
      <c r="J304" s="824">
        <v>1.13282345247676</v>
      </c>
      <c r="K304" s="824">
        <v>53</v>
      </c>
      <c r="L304" s="824">
        <v>53.943707317073176</v>
      </c>
      <c r="M304" s="824">
        <v>79.2</v>
      </c>
    </row>
    <row r="305" spans="1:13">
      <c r="A305" s="824">
        <v>2007</v>
      </c>
      <c r="B305" s="824" t="s">
        <v>219</v>
      </c>
      <c r="C305" s="824" t="str">
        <f t="shared" si="4"/>
        <v>2007_Guatemala</v>
      </c>
      <c r="D305" s="824">
        <v>34113093453.924648</v>
      </c>
      <c r="E305" s="824">
        <v>13317931</v>
      </c>
      <c r="F305" s="824">
        <v>12.645858801955988</v>
      </c>
      <c r="G305" s="824">
        <v>454380000</v>
      </c>
      <c r="H305" s="824">
        <v>454380000</v>
      </c>
      <c r="I305" s="824">
        <v>3.0387400000000002</v>
      </c>
      <c r="J305" s="824">
        <v>2.4037276880624701</v>
      </c>
      <c r="K305" s="824" t="s">
        <v>3088</v>
      </c>
      <c r="L305" s="824">
        <v>70.119268292682946</v>
      </c>
      <c r="M305" s="824">
        <v>31.2</v>
      </c>
    </row>
    <row r="306" spans="1:13">
      <c r="A306" s="824">
        <v>2007</v>
      </c>
      <c r="B306" s="824" t="s">
        <v>243</v>
      </c>
      <c r="C306" s="824" t="str">
        <f t="shared" si="4"/>
        <v>2007_Indonesia</v>
      </c>
      <c r="D306" s="824">
        <v>432216737774.86053</v>
      </c>
      <c r="E306" s="824">
        <v>230972808</v>
      </c>
      <c r="F306" s="824">
        <v>17.622344258805605</v>
      </c>
      <c r="G306" s="824">
        <v>903870000</v>
      </c>
      <c r="H306" s="824">
        <v>903870000</v>
      </c>
      <c r="I306" s="824">
        <v>3.0442499999999999</v>
      </c>
      <c r="J306" s="824">
        <v>1.1264258927576201</v>
      </c>
      <c r="K306" s="824">
        <v>16.600000000000001</v>
      </c>
      <c r="L306" s="824">
        <v>69.422902439024412</v>
      </c>
      <c r="M306" s="824">
        <v>30.9</v>
      </c>
    </row>
    <row r="307" spans="1:13">
      <c r="A307" s="824">
        <v>2007</v>
      </c>
      <c r="B307" s="824" t="s">
        <v>251</v>
      </c>
      <c r="C307" s="824" t="str">
        <f t="shared" si="4"/>
        <v>2007_Iraq</v>
      </c>
      <c r="D307" s="824">
        <v>88837727881.396469</v>
      </c>
      <c r="E307" s="824">
        <v>28740630</v>
      </c>
      <c r="F307" s="824" t="s">
        <v>3088</v>
      </c>
      <c r="G307" s="824">
        <v>9204340000</v>
      </c>
      <c r="H307" s="824">
        <v>9204340000</v>
      </c>
      <c r="I307" s="824" t="s">
        <v>3088</v>
      </c>
      <c r="J307" s="824">
        <v>2.5652435614051901</v>
      </c>
      <c r="K307" s="824">
        <v>22.4</v>
      </c>
      <c r="L307" s="824">
        <v>68.859463414634149</v>
      </c>
      <c r="M307" s="824">
        <v>31.9</v>
      </c>
    </row>
    <row r="308" spans="1:13">
      <c r="A308" s="824">
        <v>2007</v>
      </c>
      <c r="B308" s="824" t="s">
        <v>280</v>
      </c>
      <c r="C308" s="824" t="str">
        <f t="shared" si="4"/>
        <v>2007_Kazakhstan</v>
      </c>
      <c r="D308" s="824">
        <v>104849886825.58411</v>
      </c>
      <c r="E308" s="824">
        <v>15484192</v>
      </c>
      <c r="F308" s="824" t="s">
        <v>3088</v>
      </c>
      <c r="G308" s="824">
        <v>210820000</v>
      </c>
      <c r="H308" s="824">
        <v>210820000</v>
      </c>
      <c r="I308" s="824">
        <v>2.8313899999999999</v>
      </c>
      <c r="J308" s="824">
        <v>1.7841325643041399</v>
      </c>
      <c r="K308" s="824">
        <v>12.7</v>
      </c>
      <c r="L308" s="824">
        <v>66.504878048780498</v>
      </c>
      <c r="M308" s="824">
        <v>24.9</v>
      </c>
    </row>
    <row r="309" spans="1:13">
      <c r="A309" s="824">
        <v>2007</v>
      </c>
      <c r="B309" s="824" t="s">
        <v>285</v>
      </c>
      <c r="C309" s="824" t="str">
        <f t="shared" si="4"/>
        <v>2007_Kyrgyz Republic</v>
      </c>
      <c r="D309" s="824">
        <v>3802566170.8154349</v>
      </c>
      <c r="E309" s="824">
        <v>5268400</v>
      </c>
      <c r="F309" s="824">
        <v>20.723230468147122</v>
      </c>
      <c r="G309" s="824">
        <v>274450000</v>
      </c>
      <c r="H309" s="824">
        <v>274450000</v>
      </c>
      <c r="I309" s="824">
        <v>6.4669999999999996</v>
      </c>
      <c r="J309" s="824">
        <v>3.5300004228389401</v>
      </c>
      <c r="K309" s="824">
        <v>35</v>
      </c>
      <c r="L309" s="824">
        <v>67.846341463414646</v>
      </c>
      <c r="M309" s="824">
        <v>31.7</v>
      </c>
    </row>
    <row r="310" spans="1:13">
      <c r="A310" s="824">
        <v>2007</v>
      </c>
      <c r="B310" s="824" t="s">
        <v>301</v>
      </c>
      <c r="C310" s="824" t="str">
        <f t="shared" si="4"/>
        <v>2007_Liberia</v>
      </c>
      <c r="D310" s="824">
        <v>739026892.22667861</v>
      </c>
      <c r="E310" s="824">
        <v>3522294</v>
      </c>
      <c r="F310" s="824">
        <v>19.869536622350694</v>
      </c>
      <c r="G310" s="824">
        <v>701390000</v>
      </c>
      <c r="H310" s="824">
        <v>701390000</v>
      </c>
      <c r="I310" s="824" t="s">
        <v>3088</v>
      </c>
      <c r="J310" s="824">
        <v>2.7680014795740999</v>
      </c>
      <c r="K310" s="824">
        <v>63.8</v>
      </c>
      <c r="L310" s="824">
        <v>57.188219512195126</v>
      </c>
      <c r="M310" s="824">
        <v>71.7</v>
      </c>
    </row>
    <row r="311" spans="1:13">
      <c r="A311" s="824">
        <v>2007</v>
      </c>
      <c r="B311" s="824" t="s">
        <v>316</v>
      </c>
      <c r="C311" s="824" t="str">
        <f t="shared" si="4"/>
        <v>2007_Madagascar</v>
      </c>
      <c r="D311" s="824">
        <v>7342923619.7152653</v>
      </c>
      <c r="E311" s="824">
        <v>19371023</v>
      </c>
      <c r="F311" s="824">
        <v>11.890463077492978</v>
      </c>
      <c r="G311" s="824">
        <v>894070000</v>
      </c>
      <c r="H311" s="824">
        <v>894070000</v>
      </c>
      <c r="I311" s="824">
        <v>3.3698800000000002</v>
      </c>
      <c r="J311" s="824">
        <v>2.73982841195666</v>
      </c>
      <c r="K311" s="824" t="s">
        <v>3088</v>
      </c>
      <c r="L311" s="824">
        <v>62.048000000000009</v>
      </c>
      <c r="M311" s="824">
        <v>49.2</v>
      </c>
    </row>
    <row r="312" spans="1:13">
      <c r="A312" s="824">
        <v>2007</v>
      </c>
      <c r="B312" s="824" t="s">
        <v>329</v>
      </c>
      <c r="C312" s="824" t="str">
        <f t="shared" si="4"/>
        <v>2007_Mali</v>
      </c>
      <c r="D312" s="824">
        <v>7145394015.2315435</v>
      </c>
      <c r="E312" s="824">
        <v>12725629</v>
      </c>
      <c r="F312" s="824">
        <v>17.1380181337694</v>
      </c>
      <c r="G312" s="824">
        <v>1018680000</v>
      </c>
      <c r="H312" s="824">
        <v>1018680000</v>
      </c>
      <c r="I312" s="824" t="s">
        <v>3088</v>
      </c>
      <c r="J312" s="824">
        <v>3.3762862891433598</v>
      </c>
      <c r="K312" s="824" t="s">
        <v>3088</v>
      </c>
      <c r="L312" s="824">
        <v>52.453829268292687</v>
      </c>
      <c r="M312" s="824">
        <v>90.3</v>
      </c>
    </row>
    <row r="313" spans="1:13">
      <c r="A313" s="824">
        <v>2007</v>
      </c>
      <c r="B313" s="824" t="s">
        <v>345</v>
      </c>
      <c r="C313" s="824" t="str">
        <f t="shared" si="4"/>
        <v>2007_Mauritania</v>
      </c>
      <c r="D313" s="824">
        <v>2837533270.0921087</v>
      </c>
      <c r="E313" s="824">
        <v>3330037</v>
      </c>
      <c r="F313" s="824" t="s">
        <v>3088</v>
      </c>
      <c r="G313" s="824">
        <v>347230000</v>
      </c>
      <c r="H313" s="824">
        <v>347230000</v>
      </c>
      <c r="I313" s="824" t="s">
        <v>3088</v>
      </c>
      <c r="J313" s="824">
        <v>2.53053634040866</v>
      </c>
      <c r="K313" s="824" t="s">
        <v>3088</v>
      </c>
      <c r="L313" s="824">
        <v>60.539463414634156</v>
      </c>
      <c r="M313" s="824">
        <v>73.2</v>
      </c>
    </row>
    <row r="314" spans="1:13">
      <c r="A314" s="824">
        <v>2007</v>
      </c>
      <c r="B314" s="824" t="s">
        <v>364</v>
      </c>
      <c r="C314" s="824" t="str">
        <f t="shared" si="4"/>
        <v>2007_Mongolia</v>
      </c>
      <c r="D314" s="824">
        <v>4234894168.1565914</v>
      </c>
      <c r="E314" s="824">
        <v>2595068</v>
      </c>
      <c r="F314" s="824">
        <v>37.583292662022821</v>
      </c>
      <c r="G314" s="824">
        <v>238680000</v>
      </c>
      <c r="H314" s="824">
        <v>238680000</v>
      </c>
      <c r="I314" s="824">
        <v>4.6901299999999999</v>
      </c>
      <c r="J314" s="824">
        <v>3.3832426208597099</v>
      </c>
      <c r="K314" s="824" t="s">
        <v>3088</v>
      </c>
      <c r="L314" s="824">
        <v>66.037439024390252</v>
      </c>
      <c r="M314" s="824">
        <v>33.200000000000003</v>
      </c>
    </row>
    <row r="315" spans="1:13">
      <c r="A315" s="824">
        <v>2007</v>
      </c>
      <c r="B315" s="824" t="s">
        <v>385</v>
      </c>
      <c r="C315" s="824" t="str">
        <f t="shared" si="4"/>
        <v>2007_Mozambique</v>
      </c>
      <c r="D315" s="824">
        <v>9192939073.876276</v>
      </c>
      <c r="E315" s="824">
        <v>22171404</v>
      </c>
      <c r="F315" s="824" t="s">
        <v>3088</v>
      </c>
      <c r="G315" s="824">
        <v>1776550000</v>
      </c>
      <c r="H315" s="824">
        <v>1776550000</v>
      </c>
      <c r="I315" s="824" t="s">
        <v>3088</v>
      </c>
      <c r="J315" s="824">
        <v>3.5166029840945101</v>
      </c>
      <c r="K315" s="824" t="s">
        <v>3088</v>
      </c>
      <c r="L315" s="824">
        <v>48.23214634146342</v>
      </c>
      <c r="M315" s="824">
        <v>81.5</v>
      </c>
    </row>
    <row r="316" spans="1:13">
      <c r="A316" s="824">
        <v>2007</v>
      </c>
      <c r="B316" s="824" t="s">
        <v>394</v>
      </c>
      <c r="C316" s="824" t="str">
        <f t="shared" si="4"/>
        <v>2007_Niger</v>
      </c>
      <c r="D316" s="824">
        <v>4291363546.824791</v>
      </c>
      <c r="E316" s="824">
        <v>14197289</v>
      </c>
      <c r="F316" s="824">
        <v>13.49323567161697</v>
      </c>
      <c r="G316" s="824">
        <v>544300000</v>
      </c>
      <c r="H316" s="824">
        <v>544300000</v>
      </c>
      <c r="I316" s="824">
        <v>4.0209700000000002</v>
      </c>
      <c r="J316" s="824">
        <v>2.6628672745694</v>
      </c>
      <c r="K316" s="824">
        <v>59.5</v>
      </c>
      <c r="L316" s="824">
        <v>55.353146341463422</v>
      </c>
      <c r="M316" s="824">
        <v>75.2</v>
      </c>
    </row>
    <row r="317" spans="1:13">
      <c r="A317" s="824">
        <v>2007</v>
      </c>
      <c r="B317" s="824" t="s">
        <v>413</v>
      </c>
      <c r="C317" s="824" t="str">
        <f t="shared" si="4"/>
        <v>2007_Nigeria</v>
      </c>
      <c r="D317" s="824">
        <v>166451202370.17093</v>
      </c>
      <c r="E317" s="824">
        <v>147187353</v>
      </c>
      <c r="F317" s="824">
        <v>11.144214361754436</v>
      </c>
      <c r="G317" s="824">
        <v>1956260000</v>
      </c>
      <c r="H317" s="824">
        <v>1956260000</v>
      </c>
      <c r="I317" s="824" t="s">
        <v>3088</v>
      </c>
      <c r="J317" s="824">
        <v>2.3758050656387399</v>
      </c>
      <c r="K317" s="824" t="s">
        <v>3088</v>
      </c>
      <c r="L317" s="824">
        <v>49.791609756097564</v>
      </c>
      <c r="M317" s="824">
        <v>90.8</v>
      </c>
    </row>
    <row r="318" spans="1:13">
      <c r="A318" s="824">
        <v>2007</v>
      </c>
      <c r="B318" s="824" t="s">
        <v>436</v>
      </c>
      <c r="C318" s="824" t="str">
        <f t="shared" si="4"/>
        <v>2007_Norway</v>
      </c>
      <c r="D318" s="824">
        <v>393479385840.20453</v>
      </c>
      <c r="E318" s="824">
        <v>4709153</v>
      </c>
      <c r="F318" s="824">
        <v>49.673848715230584</v>
      </c>
      <c r="G318" s="824" t="s">
        <v>3088</v>
      </c>
      <c r="H318" s="824" t="s">
        <v>3088</v>
      </c>
      <c r="I318" s="824">
        <v>6.65829</v>
      </c>
      <c r="J318" s="824">
        <v>8.0102495398763001</v>
      </c>
      <c r="K318" s="824" t="s">
        <v>3088</v>
      </c>
      <c r="L318" s="824">
        <v>80.395121951219522</v>
      </c>
      <c r="M318" s="824">
        <v>3</v>
      </c>
    </row>
    <row r="319" spans="1:13">
      <c r="A319" s="824">
        <v>2007</v>
      </c>
      <c r="B319" s="824" t="s">
        <v>449</v>
      </c>
      <c r="C319" s="824" t="str">
        <f t="shared" si="4"/>
        <v>2007_Peru</v>
      </c>
      <c r="D319" s="824">
        <v>102172270670.77251</v>
      </c>
      <c r="E319" s="824">
        <v>28328410</v>
      </c>
      <c r="F319" s="824">
        <v>20.970709473979003</v>
      </c>
      <c r="G319" s="824">
        <v>307030000</v>
      </c>
      <c r="H319" s="824">
        <v>307030000</v>
      </c>
      <c r="I319" s="824">
        <v>2.4992700000000001</v>
      </c>
      <c r="J319" s="824">
        <v>2.9741087807592899</v>
      </c>
      <c r="K319" s="824">
        <v>42.4</v>
      </c>
      <c r="L319" s="824">
        <v>73.014878048780488</v>
      </c>
      <c r="M319" s="824">
        <v>18.600000000000001</v>
      </c>
    </row>
    <row r="320" spans="1:13">
      <c r="A320" s="824">
        <v>2007</v>
      </c>
      <c r="B320" s="824" t="s">
        <v>488</v>
      </c>
      <c r="C320" s="824" t="str">
        <f t="shared" si="4"/>
        <v>2007_Sierra Leone</v>
      </c>
      <c r="D320" s="824">
        <v>2158653216.1733117</v>
      </c>
      <c r="E320" s="824">
        <v>5416015</v>
      </c>
      <c r="F320" s="824">
        <v>8.3316198480411412</v>
      </c>
      <c r="G320" s="824">
        <v>549780000</v>
      </c>
      <c r="H320" s="824">
        <v>549780000</v>
      </c>
      <c r="I320" s="824">
        <v>2.5591599999999999</v>
      </c>
      <c r="J320" s="824">
        <v>1.62570780497138</v>
      </c>
      <c r="K320" s="824" t="s">
        <v>3088</v>
      </c>
      <c r="L320" s="824">
        <v>43.526487804878052</v>
      </c>
      <c r="M320" s="824">
        <v>122.2</v>
      </c>
    </row>
    <row r="321" spans="1:13">
      <c r="A321" s="824">
        <v>2007</v>
      </c>
      <c r="B321" s="824" t="s">
        <v>499</v>
      </c>
      <c r="C321" s="824" t="str">
        <f t="shared" si="4"/>
        <v>2007_Tanzania</v>
      </c>
      <c r="D321" s="824">
        <v>16825547176.056372</v>
      </c>
      <c r="E321" s="824">
        <v>41119693</v>
      </c>
      <c r="F321" s="824" t="s">
        <v>3088</v>
      </c>
      <c r="G321" s="824">
        <v>2821590000</v>
      </c>
      <c r="H321" s="824">
        <v>2821590000</v>
      </c>
      <c r="I321" s="824">
        <v>5.2487899999999996</v>
      </c>
      <c r="J321" s="824">
        <v>3.6524841647241102</v>
      </c>
      <c r="K321" s="824" t="s">
        <v>3088</v>
      </c>
      <c r="L321" s="824">
        <v>55.987658536585378</v>
      </c>
      <c r="M321" s="824">
        <v>49.9</v>
      </c>
    </row>
    <row r="322" spans="1:13">
      <c r="A322" s="824">
        <v>2007</v>
      </c>
      <c r="B322" s="824" t="s">
        <v>3090</v>
      </c>
      <c r="C322" s="824" t="str">
        <f t="shared" si="4"/>
        <v>2007_Timor-Leste</v>
      </c>
      <c r="D322" s="824">
        <v>559000000</v>
      </c>
      <c r="E322" s="824">
        <v>1015482</v>
      </c>
      <c r="F322" s="824" t="s">
        <v>3088</v>
      </c>
      <c r="G322" s="824">
        <v>278270000</v>
      </c>
      <c r="H322" s="824">
        <v>278270000</v>
      </c>
      <c r="I322" s="824" t="s">
        <v>3088</v>
      </c>
      <c r="J322" s="824">
        <v>6.3921157874690504</v>
      </c>
      <c r="K322" s="824">
        <v>49.9</v>
      </c>
      <c r="L322" s="824">
        <v>64.263756097560986</v>
      </c>
      <c r="M322" s="824">
        <v>58.7</v>
      </c>
    </row>
    <row r="323" spans="1:13">
      <c r="A323" s="824">
        <v>2007</v>
      </c>
      <c r="B323" s="824" t="s">
        <v>517</v>
      </c>
      <c r="C323" s="824" t="str">
        <f t="shared" si="4"/>
        <v>2007_Togo</v>
      </c>
      <c r="D323" s="824">
        <v>2523462648.9838715</v>
      </c>
      <c r="E323" s="824">
        <v>5834806</v>
      </c>
      <c r="F323" s="824">
        <v>16.808938956226839</v>
      </c>
      <c r="G323" s="824">
        <v>122420000</v>
      </c>
      <c r="H323" s="824">
        <v>122420000</v>
      </c>
      <c r="I323" s="824">
        <v>3.6993200000000002</v>
      </c>
      <c r="J323" s="824">
        <v>2.1487344381235101</v>
      </c>
      <c r="K323" s="824" t="s">
        <v>3088</v>
      </c>
      <c r="L323" s="824">
        <v>54.57373170731708</v>
      </c>
      <c r="M323" s="824">
        <v>65.3</v>
      </c>
    </row>
    <row r="324" spans="1:13">
      <c r="A324" s="824">
        <v>2007</v>
      </c>
      <c r="B324" s="824" t="s">
        <v>3091</v>
      </c>
      <c r="C324" s="824" t="str">
        <f t="shared" ref="C324:C387" si="5">$A324&amp;"_"&amp;$B324</f>
        <v>2007_Trinidad and Tobago</v>
      </c>
      <c r="D324" s="824">
        <v>21830397704.630589</v>
      </c>
      <c r="E324" s="824">
        <v>1310040</v>
      </c>
      <c r="F324" s="824">
        <v>30.43985892970581</v>
      </c>
      <c r="G324" s="824">
        <v>20800000</v>
      </c>
      <c r="H324" s="824">
        <v>20800000</v>
      </c>
      <c r="I324" s="824" t="s">
        <v>3088</v>
      </c>
      <c r="J324" s="824">
        <v>2.3358463700918199</v>
      </c>
      <c r="K324" s="824" t="s">
        <v>3088</v>
      </c>
      <c r="L324" s="824">
        <v>69.244024390243908</v>
      </c>
      <c r="M324" s="824">
        <v>22.7</v>
      </c>
    </row>
    <row r="325" spans="1:13">
      <c r="A325" s="824">
        <v>2007</v>
      </c>
      <c r="B325" s="824" t="s">
        <v>3092</v>
      </c>
      <c r="C325" s="824" t="str">
        <f t="shared" si="5"/>
        <v>2007_Yemen, Rep.</v>
      </c>
      <c r="D325" s="824">
        <v>25633674563.549282</v>
      </c>
      <c r="E325" s="824">
        <v>21182162</v>
      </c>
      <c r="F325" s="824" t="s">
        <v>3088</v>
      </c>
      <c r="G325" s="824">
        <v>242560000</v>
      </c>
      <c r="H325" s="824">
        <v>242560000</v>
      </c>
      <c r="I325" s="824" t="s">
        <v>3088</v>
      </c>
      <c r="J325" s="824">
        <v>1.46278957675538</v>
      </c>
      <c r="K325" s="824" t="s">
        <v>3088</v>
      </c>
      <c r="L325" s="824">
        <v>61.939780487804882</v>
      </c>
      <c r="M325" s="824">
        <v>51.6</v>
      </c>
    </row>
    <row r="326" spans="1:13">
      <c r="A326" s="824">
        <v>2007</v>
      </c>
      <c r="B326" s="824" t="s">
        <v>541</v>
      </c>
      <c r="C326" s="824" t="str">
        <f t="shared" si="5"/>
        <v>2007_Zambia</v>
      </c>
      <c r="D326" s="824">
        <v>14056878376.099815</v>
      </c>
      <c r="E326" s="824">
        <v>12109620</v>
      </c>
      <c r="F326" s="824">
        <v>14.284099260456268</v>
      </c>
      <c r="G326" s="824">
        <v>1007840000</v>
      </c>
      <c r="H326" s="824">
        <v>1007840000</v>
      </c>
      <c r="I326" s="824">
        <v>1.51118</v>
      </c>
      <c r="J326" s="824">
        <v>3.1299914356974599</v>
      </c>
      <c r="K326" s="824" t="s">
        <v>3088</v>
      </c>
      <c r="L326" s="824">
        <v>50.098536585365856</v>
      </c>
      <c r="M326" s="824">
        <v>69.8</v>
      </c>
    </row>
    <row r="327" spans="1:13">
      <c r="A327" s="824">
        <v>2008</v>
      </c>
      <c r="B327" s="824" t="s">
        <v>21</v>
      </c>
      <c r="C327" s="824" t="str">
        <f t="shared" si="5"/>
        <v>2008_Afghanistan</v>
      </c>
      <c r="D327" s="824">
        <v>10190534636.64436</v>
      </c>
      <c r="E327" s="824">
        <v>27032197</v>
      </c>
      <c r="F327" s="824">
        <v>7.9885051964663809</v>
      </c>
      <c r="G327" s="824">
        <v>4875070000</v>
      </c>
      <c r="H327" s="824">
        <v>4875070000</v>
      </c>
      <c r="I327" s="824" t="s">
        <v>3088</v>
      </c>
      <c r="J327" s="824">
        <v>1.85893013483418</v>
      </c>
      <c r="K327" s="824">
        <v>36.299999999999997</v>
      </c>
      <c r="L327" s="824">
        <v>58.607097560975618</v>
      </c>
      <c r="M327" s="824">
        <v>78.5</v>
      </c>
    </row>
    <row r="328" spans="1:13">
      <c r="A328" s="824">
        <v>2008</v>
      </c>
      <c r="B328" s="824" t="s">
        <v>38</v>
      </c>
      <c r="C328" s="824" t="str">
        <f t="shared" si="5"/>
        <v>2008_Albania</v>
      </c>
      <c r="D328" s="824">
        <v>12881353507.853903</v>
      </c>
      <c r="E328" s="824">
        <v>2912559</v>
      </c>
      <c r="F328" s="824" t="s">
        <v>3088</v>
      </c>
      <c r="G328" s="824">
        <v>363270000</v>
      </c>
      <c r="H328" s="824">
        <v>363270000</v>
      </c>
      <c r="I328" s="824" t="s">
        <v>3088</v>
      </c>
      <c r="J328" s="824">
        <v>2.6725879997392799</v>
      </c>
      <c r="K328" s="824">
        <v>12.4</v>
      </c>
      <c r="L328" s="824">
        <v>76.632317073170739</v>
      </c>
      <c r="M328" s="824">
        <v>16</v>
      </c>
    </row>
    <row r="329" spans="1:13">
      <c r="A329" s="824">
        <v>2008</v>
      </c>
      <c r="B329" s="824" t="s">
        <v>53</v>
      </c>
      <c r="C329" s="824" t="str">
        <f t="shared" si="5"/>
        <v>2008_Azerbaijan</v>
      </c>
      <c r="D329" s="824">
        <v>48852482960.077896</v>
      </c>
      <c r="E329" s="824">
        <v>8763400</v>
      </c>
      <c r="F329" s="824">
        <v>49.301894501858627</v>
      </c>
      <c r="G329" s="824">
        <v>235100000</v>
      </c>
      <c r="H329" s="824">
        <v>235100000</v>
      </c>
      <c r="I329" s="824">
        <v>2.4409299999999998</v>
      </c>
      <c r="J329" s="824">
        <v>0.824675486458878</v>
      </c>
      <c r="K329" s="824">
        <v>13.2</v>
      </c>
      <c r="L329" s="824">
        <v>70.062926829268307</v>
      </c>
      <c r="M329" s="824">
        <v>37.200000000000003</v>
      </c>
    </row>
    <row r="330" spans="1:13">
      <c r="A330" s="824">
        <v>2008</v>
      </c>
      <c r="B330" s="824" t="s">
        <v>98</v>
      </c>
      <c r="C330" s="824" t="str">
        <f t="shared" si="5"/>
        <v>2008_Burkina Faso</v>
      </c>
      <c r="D330" s="824">
        <v>8350710389.3123074</v>
      </c>
      <c r="E330" s="824">
        <v>14659646</v>
      </c>
      <c r="F330" s="824">
        <v>12.938296754532432</v>
      </c>
      <c r="G330" s="824">
        <v>1001160000</v>
      </c>
      <c r="H330" s="824">
        <v>1001160000</v>
      </c>
      <c r="I330" s="824" t="s">
        <v>3088</v>
      </c>
      <c r="J330" s="824">
        <v>5.0650639776239004</v>
      </c>
      <c r="K330" s="824" t="s">
        <v>3088</v>
      </c>
      <c r="L330" s="824">
        <v>54.094195121951223</v>
      </c>
      <c r="M330" s="824">
        <v>76</v>
      </c>
    </row>
    <row r="331" spans="1:13">
      <c r="A331" s="824">
        <v>2008</v>
      </c>
      <c r="B331" s="824" t="s">
        <v>101</v>
      </c>
      <c r="C331" s="824" t="str">
        <f t="shared" si="5"/>
        <v>2008_Cameroon</v>
      </c>
      <c r="D331" s="824">
        <v>23322256428.012459</v>
      </c>
      <c r="E331" s="824">
        <v>19595026</v>
      </c>
      <c r="F331" s="824" t="s">
        <v>3088</v>
      </c>
      <c r="G331" s="824">
        <v>548590000</v>
      </c>
      <c r="H331" s="824">
        <v>548590000</v>
      </c>
      <c r="I331" s="824">
        <v>2.9053800000000001</v>
      </c>
      <c r="J331" s="824">
        <v>1.03101708427024</v>
      </c>
      <c r="K331" s="824" t="s">
        <v>3088</v>
      </c>
      <c r="L331" s="824">
        <v>52.855829268292695</v>
      </c>
      <c r="M331" s="824">
        <v>70.8</v>
      </c>
    </row>
    <row r="332" spans="1:13">
      <c r="A332" s="824">
        <v>2008</v>
      </c>
      <c r="B332" s="824" t="s">
        <v>138</v>
      </c>
      <c r="C332" s="824" t="str">
        <f t="shared" si="5"/>
        <v>2008_Chad</v>
      </c>
      <c r="D332" s="824">
        <v>10351933631.718803</v>
      </c>
      <c r="E332" s="824">
        <v>11030628</v>
      </c>
      <c r="F332" s="824" t="s">
        <v>3088</v>
      </c>
      <c r="G332" s="824">
        <v>421720000</v>
      </c>
      <c r="H332" s="824">
        <v>421720000</v>
      </c>
      <c r="I332" s="824" t="s">
        <v>3088</v>
      </c>
      <c r="J332" s="824">
        <v>0.77015719070913502</v>
      </c>
      <c r="K332" s="824" t="s">
        <v>3088</v>
      </c>
      <c r="L332" s="824">
        <v>48.857170731707328</v>
      </c>
      <c r="M332" s="824">
        <v>97.1</v>
      </c>
    </row>
    <row r="333" spans="1:13">
      <c r="A333" s="824">
        <v>2008</v>
      </c>
      <c r="B333" s="824" t="s">
        <v>127</v>
      </c>
      <c r="C333" s="824" t="str">
        <f t="shared" si="5"/>
        <v>2008_Central African Republic</v>
      </c>
      <c r="D333" s="824">
        <v>1985370254.9617152</v>
      </c>
      <c r="E333" s="824">
        <v>4185106</v>
      </c>
      <c r="F333" s="824">
        <v>9.3940493587829597</v>
      </c>
      <c r="G333" s="824">
        <v>257279999.99999997</v>
      </c>
      <c r="H333" s="824">
        <v>257279999.99999997</v>
      </c>
      <c r="I333" s="824">
        <v>1.2900199999999999</v>
      </c>
      <c r="J333" s="824">
        <v>2.2929867859489499</v>
      </c>
      <c r="K333" s="824">
        <v>62</v>
      </c>
      <c r="L333" s="824">
        <v>46.729121951219518</v>
      </c>
      <c r="M333" s="824">
        <v>106.6</v>
      </c>
    </row>
    <row r="334" spans="1:13">
      <c r="A334" s="824">
        <v>2008</v>
      </c>
      <c r="B334" s="824" t="s">
        <v>171</v>
      </c>
      <c r="C334" s="824" t="str">
        <f t="shared" si="5"/>
        <v>2008_Democratic Republic of Congo</v>
      </c>
      <c r="D334" s="824">
        <v>19206015304.782166</v>
      </c>
      <c r="E334" s="824">
        <v>58819038</v>
      </c>
      <c r="F334" s="824">
        <v>11.838614678185728</v>
      </c>
      <c r="G334" s="824">
        <v>1765970000</v>
      </c>
      <c r="H334" s="824">
        <v>1765970000</v>
      </c>
      <c r="I334" s="824" t="s">
        <v>3088</v>
      </c>
      <c r="J334" s="824">
        <v>3.45431633448821</v>
      </c>
      <c r="K334" s="824" t="s">
        <v>3088</v>
      </c>
      <c r="L334" s="824">
        <v>48.439585365853667</v>
      </c>
      <c r="M334" s="824">
        <v>97.1</v>
      </c>
    </row>
    <row r="335" spans="1:13">
      <c r="A335" s="824">
        <v>2008</v>
      </c>
      <c r="B335" s="824" t="s">
        <v>465</v>
      </c>
      <c r="C335" s="824" t="str">
        <f t="shared" si="5"/>
        <v>2008_Republic of the Congo</v>
      </c>
      <c r="D335" s="824">
        <v>11859015180.940172</v>
      </c>
      <c r="E335" s="824">
        <v>3876475</v>
      </c>
      <c r="F335" s="824">
        <v>48.224477144351212</v>
      </c>
      <c r="G335" s="824">
        <v>485000000</v>
      </c>
      <c r="H335" s="824">
        <v>485000000</v>
      </c>
      <c r="I335" s="824" t="s">
        <v>3088</v>
      </c>
      <c r="J335" s="824">
        <v>1.2385928727700399</v>
      </c>
      <c r="K335" s="824" t="s">
        <v>3088</v>
      </c>
      <c r="L335" s="824">
        <v>55.934048780487807</v>
      </c>
      <c r="M335" s="824">
        <v>48.8</v>
      </c>
    </row>
    <row r="336" spans="1:13">
      <c r="A336" s="824">
        <v>2008</v>
      </c>
      <c r="B336" s="824" t="s">
        <v>153</v>
      </c>
      <c r="C336" s="824" t="str">
        <f t="shared" si="5"/>
        <v>2008_Cote d'Ivoire</v>
      </c>
      <c r="D336" s="824">
        <v>24224905503.655437</v>
      </c>
      <c r="E336" s="824">
        <v>18260044</v>
      </c>
      <c r="F336" s="824">
        <v>16.838156938949339</v>
      </c>
      <c r="G336" s="824">
        <v>625670000</v>
      </c>
      <c r="H336" s="824">
        <v>625670000</v>
      </c>
      <c r="I336" s="824">
        <v>4.6029900000000001</v>
      </c>
      <c r="J336" s="824">
        <v>1.5815501335938</v>
      </c>
      <c r="K336" s="824">
        <v>42.7</v>
      </c>
      <c r="L336" s="824">
        <v>48.78663414634147</v>
      </c>
      <c r="M336" s="824">
        <v>81.5</v>
      </c>
    </row>
    <row r="337" spans="1:13">
      <c r="A337" s="824">
        <v>2008</v>
      </c>
      <c r="B337" s="824" t="s">
        <v>188</v>
      </c>
      <c r="C337" s="824" t="str">
        <f t="shared" si="5"/>
        <v>2008_Equatorial Guinea</v>
      </c>
      <c r="D337" s="824">
        <v>15439740345.257473</v>
      </c>
      <c r="E337" s="824">
        <v>658025</v>
      </c>
      <c r="F337" s="824">
        <v>44.139259199787112</v>
      </c>
      <c r="G337" s="824">
        <v>32080000</v>
      </c>
      <c r="H337" s="824">
        <v>32080000</v>
      </c>
      <c r="I337" s="824" t="s">
        <v>3088</v>
      </c>
      <c r="J337" s="824">
        <v>1.79102159683069</v>
      </c>
      <c r="K337" s="824" t="s">
        <v>3088</v>
      </c>
      <c r="L337" s="824">
        <v>50.395731707317076</v>
      </c>
      <c r="M337" s="824">
        <v>80.099999999999994</v>
      </c>
    </row>
    <row r="338" spans="1:13">
      <c r="A338" s="824">
        <v>2008</v>
      </c>
      <c r="B338" s="824" t="s">
        <v>191</v>
      </c>
      <c r="C338" s="824" t="str">
        <f t="shared" si="5"/>
        <v>2008_Gabon</v>
      </c>
      <c r="D338" s="824">
        <v>15685389826.888157</v>
      </c>
      <c r="E338" s="824">
        <v>1482843</v>
      </c>
      <c r="F338" s="824" t="s">
        <v>3088</v>
      </c>
      <c r="G338" s="824">
        <v>62050000</v>
      </c>
      <c r="H338" s="824">
        <v>62050000</v>
      </c>
      <c r="I338" s="824" t="s">
        <v>3088</v>
      </c>
      <c r="J338" s="824">
        <v>1.0609375443577</v>
      </c>
      <c r="K338" s="824" t="s">
        <v>3088</v>
      </c>
      <c r="L338" s="824">
        <v>61.385707317073177</v>
      </c>
      <c r="M338" s="824">
        <v>45.9</v>
      </c>
    </row>
    <row r="339" spans="1:13">
      <c r="A339" s="824">
        <v>2008</v>
      </c>
      <c r="B339" s="824" t="s">
        <v>195</v>
      </c>
      <c r="C339" s="824" t="str">
        <f t="shared" si="5"/>
        <v>2008_Ghana</v>
      </c>
      <c r="D339" s="824">
        <v>28528014620.735378</v>
      </c>
      <c r="E339" s="824">
        <v>23110139</v>
      </c>
      <c r="F339" s="824">
        <v>15.694153475916938</v>
      </c>
      <c r="G339" s="824">
        <v>1306930000</v>
      </c>
      <c r="H339" s="824">
        <v>1306930000</v>
      </c>
      <c r="I339" s="824">
        <v>5.7579599999999997</v>
      </c>
      <c r="J339" s="824">
        <v>3.2430848720382501</v>
      </c>
      <c r="K339" s="824" t="s">
        <v>3088</v>
      </c>
      <c r="L339" s="824">
        <v>60.029951219512206</v>
      </c>
      <c r="M339" s="824">
        <v>56.1</v>
      </c>
    </row>
    <row r="340" spans="1:13">
      <c r="A340" s="824">
        <v>2008</v>
      </c>
      <c r="B340" s="824" t="s">
        <v>3089</v>
      </c>
      <c r="C340" s="824" t="str">
        <f t="shared" si="5"/>
        <v>2008_Guinea</v>
      </c>
      <c r="D340" s="824">
        <v>4515824643.3504658</v>
      </c>
      <c r="E340" s="824">
        <v>10314678</v>
      </c>
      <c r="F340" s="824" t="s">
        <v>3088</v>
      </c>
      <c r="G340" s="824">
        <v>328300000</v>
      </c>
      <c r="H340" s="824">
        <v>328300000</v>
      </c>
      <c r="I340" s="824">
        <v>2.4383699999999999</v>
      </c>
      <c r="J340" s="824">
        <v>1.3251983765606801</v>
      </c>
      <c r="K340" s="824" t="s">
        <v>3088</v>
      </c>
      <c r="L340" s="824">
        <v>54.478439024390248</v>
      </c>
      <c r="M340" s="824">
        <v>76.5</v>
      </c>
    </row>
    <row r="341" spans="1:13">
      <c r="A341" s="824">
        <v>2008</v>
      </c>
      <c r="B341" s="824" t="s">
        <v>219</v>
      </c>
      <c r="C341" s="824" t="str">
        <f t="shared" si="5"/>
        <v>2008_Guatemala</v>
      </c>
      <c r="D341" s="824">
        <v>39136507936.507942</v>
      </c>
      <c r="E341" s="824">
        <v>13648307</v>
      </c>
      <c r="F341" s="824">
        <v>11.858303590741942</v>
      </c>
      <c r="G341" s="824">
        <v>536030000</v>
      </c>
      <c r="H341" s="824">
        <v>536030000</v>
      </c>
      <c r="I341" s="824">
        <v>3.1845400000000001</v>
      </c>
      <c r="J341" s="824">
        <v>2.3976624987536801</v>
      </c>
      <c r="K341" s="824" t="s">
        <v>3088</v>
      </c>
      <c r="L341" s="824">
        <v>70.38914634146343</v>
      </c>
      <c r="M341" s="824">
        <v>30.2</v>
      </c>
    </row>
    <row r="342" spans="1:13">
      <c r="A342" s="824">
        <v>2008</v>
      </c>
      <c r="B342" s="824" t="s">
        <v>243</v>
      </c>
      <c r="C342" s="824" t="str">
        <f t="shared" si="5"/>
        <v>2008_Indonesia</v>
      </c>
      <c r="D342" s="824">
        <v>510244548959.96973</v>
      </c>
      <c r="E342" s="824">
        <v>234243489</v>
      </c>
      <c r="F342" s="824">
        <v>19.476767904967804</v>
      </c>
      <c r="G342" s="824">
        <v>1230620000</v>
      </c>
      <c r="H342" s="824">
        <v>1230620000</v>
      </c>
      <c r="I342" s="824">
        <v>2.9018999999999999</v>
      </c>
      <c r="J342" s="824">
        <v>1.0057976175699901</v>
      </c>
      <c r="K342" s="824">
        <v>15.4</v>
      </c>
      <c r="L342" s="824">
        <v>69.685292682926828</v>
      </c>
      <c r="M342" s="824">
        <v>29.7</v>
      </c>
    </row>
    <row r="343" spans="1:13">
      <c r="A343" s="824">
        <v>2008</v>
      </c>
      <c r="B343" s="824" t="s">
        <v>251</v>
      </c>
      <c r="C343" s="824" t="str">
        <f t="shared" si="5"/>
        <v>2008_Iraq</v>
      </c>
      <c r="D343" s="824">
        <v>131611819294.27542</v>
      </c>
      <c r="E343" s="824">
        <v>29429829</v>
      </c>
      <c r="F343" s="824" t="s">
        <v>3088</v>
      </c>
      <c r="G343" s="824">
        <v>9884470000</v>
      </c>
      <c r="H343" s="824">
        <v>9884470000</v>
      </c>
      <c r="I343" s="824" t="s">
        <v>3088</v>
      </c>
      <c r="J343" s="824">
        <v>2.9074690446059899</v>
      </c>
      <c r="K343" s="824" t="s">
        <v>3088</v>
      </c>
      <c r="L343" s="824">
        <v>68.734682926829279</v>
      </c>
      <c r="M343" s="824">
        <v>31.3</v>
      </c>
    </row>
    <row r="344" spans="1:13">
      <c r="A344" s="824">
        <v>2008</v>
      </c>
      <c r="B344" s="824" t="s">
        <v>280</v>
      </c>
      <c r="C344" s="824" t="str">
        <f t="shared" si="5"/>
        <v>2008_Kazakhstan</v>
      </c>
      <c r="D344" s="824">
        <v>133441612246.79799</v>
      </c>
      <c r="E344" s="824">
        <v>15674000</v>
      </c>
      <c r="F344" s="824" t="s">
        <v>3088</v>
      </c>
      <c r="G344" s="824">
        <v>335410000</v>
      </c>
      <c r="H344" s="824">
        <v>335410000</v>
      </c>
      <c r="I344" s="824">
        <v>2.5894599999999999</v>
      </c>
      <c r="J344" s="824">
        <v>2.2625791608367298</v>
      </c>
      <c r="K344" s="824">
        <v>12.1</v>
      </c>
      <c r="L344" s="824">
        <v>67.021951219512204</v>
      </c>
      <c r="M344" s="824">
        <v>23</v>
      </c>
    </row>
    <row r="345" spans="1:13">
      <c r="A345" s="824">
        <v>2008</v>
      </c>
      <c r="B345" s="824" t="s">
        <v>285</v>
      </c>
      <c r="C345" s="824" t="str">
        <f t="shared" si="5"/>
        <v>2008_Kyrgyz Republic</v>
      </c>
      <c r="D345" s="824">
        <v>5139957784.91084</v>
      </c>
      <c r="E345" s="824">
        <v>5318700</v>
      </c>
      <c r="F345" s="824">
        <v>20.12950823945074</v>
      </c>
      <c r="G345" s="824">
        <v>359830000</v>
      </c>
      <c r="H345" s="824">
        <v>359830000</v>
      </c>
      <c r="I345" s="824">
        <v>5.9131900000000002</v>
      </c>
      <c r="J345" s="824">
        <v>3.1283246095578501</v>
      </c>
      <c r="K345" s="824">
        <v>31.7</v>
      </c>
      <c r="L345" s="824">
        <v>68.451219512195124</v>
      </c>
      <c r="M345" s="824">
        <v>30.2</v>
      </c>
    </row>
    <row r="346" spans="1:13">
      <c r="A346" s="824">
        <v>2008</v>
      </c>
      <c r="B346" s="824" t="s">
        <v>301</v>
      </c>
      <c r="C346" s="824" t="str">
        <f t="shared" si="5"/>
        <v>2008_Liberia</v>
      </c>
      <c r="D346" s="824">
        <v>850040458.83963132</v>
      </c>
      <c r="E346" s="824">
        <v>3672714</v>
      </c>
      <c r="F346" s="824">
        <v>23.669902286140399</v>
      </c>
      <c r="G346" s="824">
        <v>1250990000</v>
      </c>
      <c r="H346" s="824">
        <v>1250990000</v>
      </c>
      <c r="I346" s="824">
        <v>3.2612700000000001</v>
      </c>
      <c r="J346" s="824">
        <v>3.90225379452023</v>
      </c>
      <c r="K346" s="824" t="s">
        <v>3088</v>
      </c>
      <c r="L346" s="824">
        <v>58.107487804878055</v>
      </c>
      <c r="M346" s="824">
        <v>67.3</v>
      </c>
    </row>
    <row r="347" spans="1:13">
      <c r="A347" s="824">
        <v>2008</v>
      </c>
      <c r="B347" s="824" t="s">
        <v>316</v>
      </c>
      <c r="C347" s="824" t="str">
        <f t="shared" si="5"/>
        <v>2008_Madagascar</v>
      </c>
      <c r="D347" s="824">
        <v>9413002737.3057842</v>
      </c>
      <c r="E347" s="824">
        <v>19926785</v>
      </c>
      <c r="F347" s="824">
        <v>14.161521399992449</v>
      </c>
      <c r="G347" s="824">
        <v>842550000</v>
      </c>
      <c r="H347" s="824">
        <v>842550000</v>
      </c>
      <c r="I347" s="824">
        <v>2.9161899999999998</v>
      </c>
      <c r="J347" s="824">
        <v>2.2225974636017898</v>
      </c>
      <c r="K347" s="824" t="s">
        <v>3088</v>
      </c>
      <c r="L347" s="824">
        <v>62.474756097560984</v>
      </c>
      <c r="M347" s="824">
        <v>47</v>
      </c>
    </row>
    <row r="348" spans="1:13">
      <c r="A348" s="824">
        <v>2008</v>
      </c>
      <c r="B348" s="824" t="s">
        <v>329</v>
      </c>
      <c r="C348" s="824" t="str">
        <f t="shared" si="5"/>
        <v>2008_Mali</v>
      </c>
      <c r="D348" s="824">
        <v>8737687352.7007885</v>
      </c>
      <c r="E348" s="824">
        <v>13138299</v>
      </c>
      <c r="F348" s="824">
        <v>15.520745869464561</v>
      </c>
      <c r="G348" s="824">
        <v>964090000</v>
      </c>
      <c r="H348" s="824">
        <v>964090000</v>
      </c>
      <c r="I348" s="824">
        <v>3.8168700000000002</v>
      </c>
      <c r="J348" s="824">
        <v>3.1357069288509201</v>
      </c>
      <c r="K348" s="824" t="s">
        <v>3088</v>
      </c>
      <c r="L348" s="824">
        <v>52.90324390243903</v>
      </c>
      <c r="M348" s="824">
        <v>87.6</v>
      </c>
    </row>
    <row r="349" spans="1:13">
      <c r="A349" s="824">
        <v>2008</v>
      </c>
      <c r="B349" s="824" t="s">
        <v>345</v>
      </c>
      <c r="C349" s="824" t="str">
        <f t="shared" si="5"/>
        <v>2008_Mauritania</v>
      </c>
      <c r="D349" s="824">
        <v>3585284791.6044822</v>
      </c>
      <c r="E349" s="824">
        <v>3422901</v>
      </c>
      <c r="F349" s="824" t="s">
        <v>3088</v>
      </c>
      <c r="G349" s="824">
        <v>452160000</v>
      </c>
      <c r="H349" s="824">
        <v>452160000</v>
      </c>
      <c r="I349" s="824">
        <v>3.77793</v>
      </c>
      <c r="J349" s="824">
        <v>2.2403981264636998</v>
      </c>
      <c r="K349" s="824">
        <v>42</v>
      </c>
      <c r="L349" s="824">
        <v>60.697512195121959</v>
      </c>
      <c r="M349" s="824">
        <v>72.2</v>
      </c>
    </row>
    <row r="350" spans="1:13">
      <c r="A350" s="824">
        <v>2008</v>
      </c>
      <c r="B350" s="824" t="s">
        <v>364</v>
      </c>
      <c r="C350" s="824" t="str">
        <f t="shared" si="5"/>
        <v>2008_Mongolia</v>
      </c>
      <c r="D350" s="824">
        <v>5623236707.5247135</v>
      </c>
      <c r="E350" s="824">
        <v>2632834</v>
      </c>
      <c r="F350" s="824">
        <v>30.815973634446685</v>
      </c>
      <c r="G350" s="824">
        <v>246660000</v>
      </c>
      <c r="H350" s="824">
        <v>246660000</v>
      </c>
      <c r="I350" s="824" t="s">
        <v>3088</v>
      </c>
      <c r="J350" s="824">
        <v>3.9324639263930798</v>
      </c>
      <c r="K350" s="824" t="s">
        <v>3088</v>
      </c>
      <c r="L350" s="824">
        <v>66.357121951219526</v>
      </c>
      <c r="M350" s="824">
        <v>31.7</v>
      </c>
    </row>
    <row r="351" spans="1:13">
      <c r="A351" s="824">
        <v>2008</v>
      </c>
      <c r="B351" s="824" t="s">
        <v>385</v>
      </c>
      <c r="C351" s="824" t="str">
        <f t="shared" si="5"/>
        <v>2008_Mozambique</v>
      </c>
      <c r="D351" s="824">
        <v>11026247458.238766</v>
      </c>
      <c r="E351" s="824">
        <v>22762525</v>
      </c>
      <c r="F351" s="824" t="s">
        <v>3088</v>
      </c>
      <c r="G351" s="824">
        <v>1996380000</v>
      </c>
      <c r="H351" s="824">
        <v>1996380000</v>
      </c>
      <c r="I351" s="824" t="s">
        <v>3088</v>
      </c>
      <c r="J351" s="824">
        <v>2.9123256336806702</v>
      </c>
      <c r="K351" s="824" t="s">
        <v>3088</v>
      </c>
      <c r="L351" s="824">
        <v>48.493829268292686</v>
      </c>
      <c r="M351" s="824">
        <v>78.099999999999994</v>
      </c>
    </row>
    <row r="352" spans="1:13">
      <c r="A352" s="824">
        <v>2008</v>
      </c>
      <c r="B352" s="824" t="s">
        <v>394</v>
      </c>
      <c r="C352" s="824" t="str">
        <f t="shared" si="5"/>
        <v>2008_Niger</v>
      </c>
      <c r="D352" s="824">
        <v>5403364453.527771</v>
      </c>
      <c r="E352" s="824">
        <v>14737895</v>
      </c>
      <c r="F352" s="824" t="s">
        <v>3088</v>
      </c>
      <c r="G352" s="824">
        <v>612290000</v>
      </c>
      <c r="H352" s="824">
        <v>612290000</v>
      </c>
      <c r="I352" s="824">
        <v>3.6629299999999998</v>
      </c>
      <c r="J352" s="824">
        <v>2.6958723395022401</v>
      </c>
      <c r="K352" s="824" t="s">
        <v>3088</v>
      </c>
      <c r="L352" s="824">
        <v>55.925390243902449</v>
      </c>
      <c r="M352" s="824">
        <v>71.900000000000006</v>
      </c>
    </row>
    <row r="353" spans="1:13">
      <c r="A353" s="824">
        <v>2008</v>
      </c>
      <c r="B353" s="824" t="s">
        <v>413</v>
      </c>
      <c r="C353" s="824" t="str">
        <f t="shared" si="5"/>
        <v>2008_Nigeria</v>
      </c>
      <c r="D353" s="824">
        <v>208064724514.15082</v>
      </c>
      <c r="E353" s="824">
        <v>151208080</v>
      </c>
      <c r="F353" s="824">
        <v>12.9473682123635</v>
      </c>
      <c r="G353" s="824">
        <v>1290160000</v>
      </c>
      <c r="H353" s="824">
        <v>1290160000</v>
      </c>
      <c r="I353" s="824" t="s">
        <v>3088</v>
      </c>
      <c r="J353" s="824">
        <v>2.37477258850602</v>
      </c>
      <c r="K353" s="824" t="s">
        <v>3088</v>
      </c>
      <c r="L353" s="824">
        <v>50.329390243902445</v>
      </c>
      <c r="M353" s="824">
        <v>87.7</v>
      </c>
    </row>
    <row r="354" spans="1:13">
      <c r="A354" s="824">
        <v>2008</v>
      </c>
      <c r="B354" s="824" t="s">
        <v>436</v>
      </c>
      <c r="C354" s="824" t="str">
        <f t="shared" si="5"/>
        <v>2008_Norway</v>
      </c>
      <c r="D354" s="824">
        <v>453885460992.90784</v>
      </c>
      <c r="E354" s="824">
        <v>4768212</v>
      </c>
      <c r="F354" s="824">
        <v>51.11734222321531</v>
      </c>
      <c r="G354" s="824" t="s">
        <v>3088</v>
      </c>
      <c r="H354" s="824" t="s">
        <v>3088</v>
      </c>
      <c r="I354" s="824">
        <v>6.4010499999999997</v>
      </c>
      <c r="J354" s="824">
        <v>7.6136932725083701</v>
      </c>
      <c r="K354" s="824" t="s">
        <v>3088</v>
      </c>
      <c r="L354" s="824">
        <v>80.592682926829283</v>
      </c>
      <c r="M354" s="824">
        <v>2.9</v>
      </c>
    </row>
    <row r="355" spans="1:13">
      <c r="A355" s="824">
        <v>2008</v>
      </c>
      <c r="B355" s="824" t="s">
        <v>449</v>
      </c>
      <c r="C355" s="824" t="str">
        <f t="shared" si="5"/>
        <v>2008_Peru</v>
      </c>
      <c r="D355" s="824">
        <v>121571548180.02281</v>
      </c>
      <c r="E355" s="824">
        <v>28625628</v>
      </c>
      <c r="F355" s="824">
        <v>20.973667240502653</v>
      </c>
      <c r="G355" s="824">
        <v>463020000</v>
      </c>
      <c r="H355" s="824">
        <v>463020000</v>
      </c>
      <c r="I355" s="824">
        <v>2.6741899999999998</v>
      </c>
      <c r="J355" s="824">
        <v>3.58181189055726</v>
      </c>
      <c r="K355" s="824">
        <v>37.299999999999997</v>
      </c>
      <c r="L355" s="824">
        <v>73.307292682926828</v>
      </c>
      <c r="M355" s="824">
        <v>17.399999999999999</v>
      </c>
    </row>
    <row r="356" spans="1:13">
      <c r="A356" s="824">
        <v>2008</v>
      </c>
      <c r="B356" s="824" t="s">
        <v>488</v>
      </c>
      <c r="C356" s="824" t="str">
        <f t="shared" si="5"/>
        <v>2008_Sierra Leone</v>
      </c>
      <c r="D356" s="824">
        <v>2505620416.4952998</v>
      </c>
      <c r="E356" s="824">
        <v>5532139</v>
      </c>
      <c r="F356" s="824">
        <v>8.8547284359019898</v>
      </c>
      <c r="G356" s="824">
        <v>378210000</v>
      </c>
      <c r="H356" s="824">
        <v>378210000</v>
      </c>
      <c r="I356" s="824">
        <v>2.4142100000000002</v>
      </c>
      <c r="J356" s="824">
        <v>1.7569192938906</v>
      </c>
      <c r="K356" s="824" t="s">
        <v>3088</v>
      </c>
      <c r="L356" s="824">
        <v>44.067463414634155</v>
      </c>
      <c r="M356" s="824">
        <v>119.6</v>
      </c>
    </row>
    <row r="357" spans="1:13">
      <c r="A357" s="824">
        <v>2008</v>
      </c>
      <c r="B357" s="824" t="s">
        <v>499</v>
      </c>
      <c r="C357" s="824" t="str">
        <f t="shared" si="5"/>
        <v>2008_Tanzania</v>
      </c>
      <c r="D357" s="824">
        <v>20715086118.935932</v>
      </c>
      <c r="E357" s="824">
        <v>42353790</v>
      </c>
      <c r="F357" s="824" t="s">
        <v>3088</v>
      </c>
      <c r="G357" s="824">
        <v>2331460000</v>
      </c>
      <c r="H357" s="824">
        <v>2331460000</v>
      </c>
      <c r="I357" s="824">
        <v>5.4343000000000004</v>
      </c>
      <c r="J357" s="824">
        <v>3.3686619363873498</v>
      </c>
      <c r="K357" s="824" t="s">
        <v>3088</v>
      </c>
      <c r="L357" s="824">
        <v>57.09717073170733</v>
      </c>
      <c r="M357" s="824">
        <v>46.8</v>
      </c>
    </row>
    <row r="358" spans="1:13">
      <c r="A358" s="824">
        <v>2008</v>
      </c>
      <c r="B358" s="824" t="s">
        <v>3090</v>
      </c>
      <c r="C358" s="824" t="str">
        <f t="shared" si="5"/>
        <v>2008_Timor-Leste</v>
      </c>
      <c r="D358" s="824">
        <v>694000000</v>
      </c>
      <c r="E358" s="824">
        <v>1032182</v>
      </c>
      <c r="F358" s="824" t="s">
        <v>3088</v>
      </c>
      <c r="G358" s="824">
        <v>277540000</v>
      </c>
      <c r="H358" s="824">
        <v>277540000</v>
      </c>
      <c r="I358" s="824">
        <v>8.1043500000000002</v>
      </c>
      <c r="J358" s="824">
        <v>7.2046511759398504</v>
      </c>
      <c r="K358" s="824" t="s">
        <v>3088</v>
      </c>
      <c r="L358" s="824">
        <v>64.827926829268293</v>
      </c>
      <c r="M358" s="824">
        <v>56</v>
      </c>
    </row>
    <row r="359" spans="1:13">
      <c r="A359" s="824">
        <v>2008</v>
      </c>
      <c r="B359" s="824" t="s">
        <v>517</v>
      </c>
      <c r="C359" s="824" t="str">
        <f t="shared" si="5"/>
        <v>2008_Togo</v>
      </c>
      <c r="D359" s="824">
        <v>3163416556.0537729</v>
      </c>
      <c r="E359" s="824">
        <v>5987491</v>
      </c>
      <c r="F359" s="824">
        <v>15.569510210634743</v>
      </c>
      <c r="G359" s="824">
        <v>330070000</v>
      </c>
      <c r="H359" s="824">
        <v>330070000</v>
      </c>
      <c r="I359" s="824">
        <v>3.44204</v>
      </c>
      <c r="J359" s="824">
        <v>2.4102925625660898</v>
      </c>
      <c r="K359" s="824" t="s">
        <v>3088</v>
      </c>
      <c r="L359" s="824">
        <v>54.843195121951226</v>
      </c>
      <c r="M359" s="824">
        <v>63.6</v>
      </c>
    </row>
    <row r="360" spans="1:13">
      <c r="A360" s="824">
        <v>2008</v>
      </c>
      <c r="B360" s="824" t="s">
        <v>3091</v>
      </c>
      <c r="C360" s="824" t="str">
        <f t="shared" si="5"/>
        <v>2008_Trinidad and Tobago</v>
      </c>
      <c r="D360" s="824">
        <v>28165793617.636662</v>
      </c>
      <c r="E360" s="824">
        <v>1316449</v>
      </c>
      <c r="F360" s="824">
        <v>33.654406772892457</v>
      </c>
      <c r="G360" s="824">
        <v>9290000</v>
      </c>
      <c r="H360" s="824">
        <v>9290000</v>
      </c>
      <c r="I360" s="824" t="s">
        <v>3088</v>
      </c>
      <c r="J360" s="824">
        <v>2.13078878549033</v>
      </c>
      <c r="K360" s="824" t="s">
        <v>3088</v>
      </c>
      <c r="L360" s="824">
        <v>69.364365853658555</v>
      </c>
      <c r="M360" s="824">
        <v>22.1</v>
      </c>
    </row>
    <row r="361" spans="1:13">
      <c r="A361" s="824">
        <v>2008</v>
      </c>
      <c r="B361" s="824" t="s">
        <v>3092</v>
      </c>
      <c r="C361" s="824" t="str">
        <f t="shared" si="5"/>
        <v>2008_Yemen, Rep.</v>
      </c>
      <c r="D361" s="824">
        <v>30397203368.97253</v>
      </c>
      <c r="E361" s="824">
        <v>21703571</v>
      </c>
      <c r="F361" s="824" t="s">
        <v>3088</v>
      </c>
      <c r="G361" s="824">
        <v>429610000</v>
      </c>
      <c r="H361" s="824">
        <v>429610000</v>
      </c>
      <c r="I361" s="824">
        <v>5.1513099999999996</v>
      </c>
      <c r="J361" s="824">
        <v>1.5650183265811599</v>
      </c>
      <c r="K361" s="824" t="s">
        <v>3088</v>
      </c>
      <c r="L361" s="824">
        <v>62.137829268292691</v>
      </c>
      <c r="M361" s="824">
        <v>49.5</v>
      </c>
    </row>
    <row r="362" spans="1:13">
      <c r="A362" s="824">
        <v>2008</v>
      </c>
      <c r="B362" s="824" t="s">
        <v>541</v>
      </c>
      <c r="C362" s="824" t="str">
        <f t="shared" si="5"/>
        <v>2008_Zambia</v>
      </c>
      <c r="D362" s="824">
        <v>17911046608.557137</v>
      </c>
      <c r="E362" s="824">
        <v>12456527</v>
      </c>
      <c r="F362" s="824">
        <v>15.013902187505693</v>
      </c>
      <c r="G362" s="824">
        <v>1116240000</v>
      </c>
      <c r="H362" s="824">
        <v>1116240000</v>
      </c>
      <c r="I362" s="824">
        <v>1.3453599999999999</v>
      </c>
      <c r="J362" s="824">
        <v>3.5808150749632599</v>
      </c>
      <c r="K362" s="824" t="s">
        <v>3088</v>
      </c>
      <c r="L362" s="824">
        <v>51.62214634146342</v>
      </c>
      <c r="M362" s="824">
        <v>67.3</v>
      </c>
    </row>
    <row r="363" spans="1:13">
      <c r="A363" s="824">
        <v>2009</v>
      </c>
      <c r="B363" s="824" t="s">
        <v>21</v>
      </c>
      <c r="C363" s="824" t="str">
        <f t="shared" si="5"/>
        <v>2009_Afghanistan</v>
      </c>
      <c r="D363" s="824">
        <v>12486950468.17728</v>
      </c>
      <c r="E363" s="824">
        <v>27708187</v>
      </c>
      <c r="F363" s="824">
        <v>10.516781151629283</v>
      </c>
      <c r="G363" s="824">
        <v>6235260000</v>
      </c>
      <c r="H363" s="824">
        <v>6235260000</v>
      </c>
      <c r="I363" s="824" t="s">
        <v>3088</v>
      </c>
      <c r="J363" s="824">
        <v>1.8402817056912699</v>
      </c>
      <c r="K363" s="824" t="s">
        <v>3088</v>
      </c>
      <c r="L363" s="824">
        <v>59.112341463414637</v>
      </c>
      <c r="M363" s="824">
        <v>76.900000000000006</v>
      </c>
    </row>
    <row r="364" spans="1:13">
      <c r="A364" s="824">
        <v>2009</v>
      </c>
      <c r="B364" s="824" t="s">
        <v>38</v>
      </c>
      <c r="C364" s="824" t="str">
        <f t="shared" si="5"/>
        <v>2009_Albania</v>
      </c>
      <c r="D364" s="824">
        <v>12044208085.864004</v>
      </c>
      <c r="E364" s="824">
        <v>2884303</v>
      </c>
      <c r="F364" s="824" t="s">
        <v>3088</v>
      </c>
      <c r="G364" s="824">
        <v>356960000</v>
      </c>
      <c r="H364" s="824">
        <v>356960000</v>
      </c>
      <c r="I364" s="824" t="s">
        <v>3088</v>
      </c>
      <c r="J364" s="824">
        <v>2.8233430190526501</v>
      </c>
      <c r="K364" s="824" t="s">
        <v>3088</v>
      </c>
      <c r="L364" s="824">
        <v>76.801878048780495</v>
      </c>
      <c r="M364" s="824">
        <v>15.4</v>
      </c>
    </row>
    <row r="365" spans="1:13">
      <c r="A365" s="824">
        <v>2009</v>
      </c>
      <c r="B365" s="824" t="s">
        <v>53</v>
      </c>
      <c r="C365" s="824" t="str">
        <f t="shared" si="5"/>
        <v>2009_Azerbaijan</v>
      </c>
      <c r="D365" s="824">
        <v>44291490420.502617</v>
      </c>
      <c r="E365" s="824">
        <v>8947243</v>
      </c>
      <c r="F365" s="824">
        <v>40.889850146763479</v>
      </c>
      <c r="G365" s="824">
        <v>231770000</v>
      </c>
      <c r="H365" s="824">
        <v>231770000</v>
      </c>
      <c r="I365" s="824">
        <v>3.22431</v>
      </c>
      <c r="J365" s="824">
        <v>1.3389697208022</v>
      </c>
      <c r="K365" s="824">
        <v>10.9</v>
      </c>
      <c r="L365" s="824">
        <v>70.292658536585378</v>
      </c>
      <c r="M365" s="824">
        <v>35.4</v>
      </c>
    </row>
    <row r="366" spans="1:13">
      <c r="A366" s="824">
        <v>2009</v>
      </c>
      <c r="B366" s="824" t="s">
        <v>98</v>
      </c>
      <c r="C366" s="824" t="str">
        <f t="shared" si="5"/>
        <v>2009_Burkina Faso</v>
      </c>
      <c r="D366" s="824">
        <v>8348156389.0769367</v>
      </c>
      <c r="E366" s="824">
        <v>15094967</v>
      </c>
      <c r="F366" s="824">
        <v>13.675978338358425</v>
      </c>
      <c r="G366" s="824">
        <v>1082820000</v>
      </c>
      <c r="H366" s="824">
        <v>1082820000</v>
      </c>
      <c r="I366" s="824" t="s">
        <v>3088</v>
      </c>
      <c r="J366" s="824">
        <v>3.59516076890558</v>
      </c>
      <c r="K366" s="824">
        <v>46.7</v>
      </c>
      <c r="L366" s="824">
        <v>54.55768292682928</v>
      </c>
      <c r="M366" s="824">
        <v>72.8</v>
      </c>
    </row>
    <row r="367" spans="1:13">
      <c r="A367" s="824">
        <v>2009</v>
      </c>
      <c r="B367" s="824" t="s">
        <v>101</v>
      </c>
      <c r="C367" s="824" t="str">
        <f t="shared" si="5"/>
        <v>2009_Cameroon</v>
      </c>
      <c r="D367" s="824">
        <v>23381142604.436356</v>
      </c>
      <c r="E367" s="824">
        <v>20103945</v>
      </c>
      <c r="F367" s="824" t="s">
        <v>3088</v>
      </c>
      <c r="G367" s="824">
        <v>648340000</v>
      </c>
      <c r="H367" s="824">
        <v>648340000</v>
      </c>
      <c r="I367" s="824">
        <v>3.6499299999999999</v>
      </c>
      <c r="J367" s="824">
        <v>1.35211807028361</v>
      </c>
      <c r="K367" s="824" t="s">
        <v>3088</v>
      </c>
      <c r="L367" s="824">
        <v>53.264853658536587</v>
      </c>
      <c r="M367" s="824">
        <v>68.7</v>
      </c>
    </row>
    <row r="368" spans="1:13">
      <c r="A368" s="824">
        <v>2009</v>
      </c>
      <c r="B368" s="824" t="s">
        <v>138</v>
      </c>
      <c r="C368" s="824" t="str">
        <f t="shared" si="5"/>
        <v>2009_Chad</v>
      </c>
      <c r="D368" s="824">
        <v>9253484289.6743355</v>
      </c>
      <c r="E368" s="824">
        <v>11371325</v>
      </c>
      <c r="F368" s="824" t="s">
        <v>3088</v>
      </c>
      <c r="G368" s="824">
        <v>560730000</v>
      </c>
      <c r="H368" s="824">
        <v>560730000</v>
      </c>
      <c r="I368" s="824">
        <v>2.3117399999999999</v>
      </c>
      <c r="J368" s="824">
        <v>0.96471503088606503</v>
      </c>
      <c r="K368" s="824" t="s">
        <v>3088</v>
      </c>
      <c r="L368" s="824">
        <v>49.30753658536586</v>
      </c>
      <c r="M368" s="824">
        <v>95.4</v>
      </c>
    </row>
    <row r="369" spans="1:13">
      <c r="A369" s="824">
        <v>2009</v>
      </c>
      <c r="B369" s="824" t="s">
        <v>127</v>
      </c>
      <c r="C369" s="824" t="str">
        <f t="shared" si="5"/>
        <v>2009_Central African Republic</v>
      </c>
      <c r="D369" s="824">
        <v>1981728179.4988189</v>
      </c>
      <c r="E369" s="824">
        <v>4266247</v>
      </c>
      <c r="F369" s="824">
        <v>9.4661457671727831</v>
      </c>
      <c r="G369" s="824">
        <v>242030000</v>
      </c>
      <c r="H369" s="824">
        <v>242030000</v>
      </c>
      <c r="I369" s="824">
        <v>1.3035600000000001</v>
      </c>
      <c r="J369" s="824">
        <v>1.4971587385265499</v>
      </c>
      <c r="K369" s="824" t="s">
        <v>3088</v>
      </c>
      <c r="L369" s="824">
        <v>47.404926829268305</v>
      </c>
      <c r="M369" s="824">
        <v>104.7</v>
      </c>
    </row>
    <row r="370" spans="1:13">
      <c r="A370" s="824">
        <v>2009</v>
      </c>
      <c r="B370" s="824" t="s">
        <v>171</v>
      </c>
      <c r="C370" s="824" t="str">
        <f t="shared" si="5"/>
        <v>2009_Democratic Republic of Congo</v>
      </c>
      <c r="D370" s="824">
        <v>18262675199.101006</v>
      </c>
      <c r="E370" s="824">
        <v>60486276</v>
      </c>
      <c r="F370" s="824">
        <v>14.231813157824751</v>
      </c>
      <c r="G370" s="824">
        <v>2356850000</v>
      </c>
      <c r="H370" s="824">
        <v>2356850000</v>
      </c>
      <c r="I370" s="824" t="s">
        <v>3088</v>
      </c>
      <c r="J370" s="824">
        <v>3.8517243881318799</v>
      </c>
      <c r="K370" s="824" t="s">
        <v>3088</v>
      </c>
      <c r="L370" s="824">
        <v>48.697804878048785</v>
      </c>
      <c r="M370" s="824">
        <v>94.7</v>
      </c>
    </row>
    <row r="371" spans="1:13">
      <c r="A371" s="824">
        <v>2009</v>
      </c>
      <c r="B371" s="824" t="s">
        <v>465</v>
      </c>
      <c r="C371" s="824" t="str">
        <f t="shared" si="5"/>
        <v>2009_Republic of the Congo</v>
      </c>
      <c r="D371" s="824">
        <v>9593536719.0731144</v>
      </c>
      <c r="E371" s="824">
        <v>3995146</v>
      </c>
      <c r="F371" s="824" t="s">
        <v>3088</v>
      </c>
      <c r="G371" s="824">
        <v>283280000</v>
      </c>
      <c r="H371" s="824">
        <v>283280000</v>
      </c>
      <c r="I371" s="824" t="s">
        <v>3088</v>
      </c>
      <c r="J371" s="824">
        <v>1.1411418192671701</v>
      </c>
      <c r="K371" s="824" t="s">
        <v>3088</v>
      </c>
      <c r="L371" s="824">
        <v>56.584487804878052</v>
      </c>
      <c r="M371" s="824">
        <v>45.1</v>
      </c>
    </row>
    <row r="372" spans="1:13">
      <c r="A372" s="824">
        <v>2009</v>
      </c>
      <c r="B372" s="824" t="s">
        <v>153</v>
      </c>
      <c r="C372" s="824" t="str">
        <f t="shared" si="5"/>
        <v>2009_Cote d'Ivoire</v>
      </c>
      <c r="D372" s="824">
        <v>24277494337.400372</v>
      </c>
      <c r="E372" s="824">
        <v>18601342</v>
      </c>
      <c r="F372" s="824">
        <v>16.108547839638852</v>
      </c>
      <c r="G372" s="824">
        <v>2401600000</v>
      </c>
      <c r="H372" s="824">
        <v>2401600000</v>
      </c>
      <c r="I372" s="824" t="s">
        <v>3088</v>
      </c>
      <c r="J372" s="824">
        <v>1.7878208120541099</v>
      </c>
      <c r="K372" s="824" t="s">
        <v>3088</v>
      </c>
      <c r="L372" s="824">
        <v>49.256829268292691</v>
      </c>
      <c r="M372" s="824">
        <v>79.3</v>
      </c>
    </row>
    <row r="373" spans="1:13">
      <c r="A373" s="824">
        <v>2009</v>
      </c>
      <c r="B373" s="824" t="s">
        <v>188</v>
      </c>
      <c r="C373" s="824" t="str">
        <f t="shared" si="5"/>
        <v>2009_Equatorial Guinea</v>
      </c>
      <c r="D373" s="824">
        <v>9364826470.1428719</v>
      </c>
      <c r="E373" s="824">
        <v>676851</v>
      </c>
      <c r="F373" s="824">
        <v>53.553091351817791</v>
      </c>
      <c r="G373" s="824">
        <v>31490000</v>
      </c>
      <c r="H373" s="824">
        <v>31490000</v>
      </c>
      <c r="I373" s="824" t="s">
        <v>3088</v>
      </c>
      <c r="J373" s="824">
        <v>4.0227260826367601</v>
      </c>
      <c r="K373" s="824" t="s">
        <v>3088</v>
      </c>
      <c r="L373" s="824">
        <v>50.96536585365854</v>
      </c>
      <c r="M373" s="824">
        <v>77.7</v>
      </c>
    </row>
    <row r="374" spans="1:13">
      <c r="A374" s="824">
        <v>2009</v>
      </c>
      <c r="B374" s="824" t="s">
        <v>191</v>
      </c>
      <c r="C374" s="824" t="str">
        <f t="shared" si="5"/>
        <v>2009_Gabon</v>
      </c>
      <c r="D374" s="824">
        <v>12031268402.387711</v>
      </c>
      <c r="E374" s="824">
        <v>1519155</v>
      </c>
      <c r="F374" s="824" t="s">
        <v>3088</v>
      </c>
      <c r="G374" s="824">
        <v>77210000</v>
      </c>
      <c r="H374" s="824">
        <v>77210000</v>
      </c>
      <c r="I374" s="824" t="s">
        <v>3088</v>
      </c>
      <c r="J374" s="824">
        <v>1.5579059978954799</v>
      </c>
      <c r="K374" s="824" t="s">
        <v>3088</v>
      </c>
      <c r="L374" s="824">
        <v>61.852707317073175</v>
      </c>
      <c r="M374" s="824">
        <v>44.6</v>
      </c>
    </row>
    <row r="375" spans="1:13">
      <c r="A375" s="824">
        <v>2009</v>
      </c>
      <c r="B375" s="824" t="s">
        <v>195</v>
      </c>
      <c r="C375" s="824" t="str">
        <f t="shared" si="5"/>
        <v>2009_Ghana</v>
      </c>
      <c r="D375" s="824">
        <v>25978508375.922771</v>
      </c>
      <c r="E375" s="824">
        <v>23691533</v>
      </c>
      <c r="F375" s="824">
        <v>15.418098622920914</v>
      </c>
      <c r="G375" s="824">
        <v>1581820000</v>
      </c>
      <c r="H375" s="824">
        <v>1581820000</v>
      </c>
      <c r="I375" s="824">
        <v>5.3172899999999998</v>
      </c>
      <c r="J375" s="824">
        <v>2.9557013859557002</v>
      </c>
      <c r="K375" s="824" t="s">
        <v>3088</v>
      </c>
      <c r="L375" s="824">
        <v>60.351024390243907</v>
      </c>
      <c r="M375" s="824">
        <v>55.6</v>
      </c>
    </row>
    <row r="376" spans="1:13">
      <c r="A376" s="824">
        <v>2009</v>
      </c>
      <c r="B376" s="824" t="s">
        <v>3089</v>
      </c>
      <c r="C376" s="824" t="str">
        <f t="shared" si="5"/>
        <v>2009_Guinea</v>
      </c>
      <c r="D376" s="824">
        <v>4609923720.1779509</v>
      </c>
      <c r="E376" s="824">
        <v>10593248</v>
      </c>
      <c r="F376" s="824" t="s">
        <v>3088</v>
      </c>
      <c r="G376" s="824">
        <v>214340000</v>
      </c>
      <c r="H376" s="824">
        <v>214340000</v>
      </c>
      <c r="I376" s="824">
        <v>3.2160799999999998</v>
      </c>
      <c r="J376" s="824">
        <v>1.7468988943587</v>
      </c>
      <c r="K376" s="824" t="s">
        <v>3088</v>
      </c>
      <c r="L376" s="824">
        <v>54.93187804878049</v>
      </c>
      <c r="M376" s="824">
        <v>73.900000000000006</v>
      </c>
    </row>
    <row r="377" spans="1:13">
      <c r="A377" s="824">
        <v>2009</v>
      </c>
      <c r="B377" s="824" t="s">
        <v>219</v>
      </c>
      <c r="C377" s="824" t="str">
        <f t="shared" si="5"/>
        <v>2009_Guatemala</v>
      </c>
      <c r="D377" s="824">
        <v>37733655165.653793</v>
      </c>
      <c r="E377" s="824">
        <v>13988988</v>
      </c>
      <c r="F377" s="824">
        <v>10.87079264847857</v>
      </c>
      <c r="G377" s="824">
        <v>375580000</v>
      </c>
      <c r="H377" s="824">
        <v>375580000</v>
      </c>
      <c r="I377" s="824" t="s">
        <v>3088</v>
      </c>
      <c r="J377" s="824">
        <v>2.5593684509943602</v>
      </c>
      <c r="K377" s="824" t="s">
        <v>3088</v>
      </c>
      <c r="L377" s="824">
        <v>70.681048780487799</v>
      </c>
      <c r="M377" s="824">
        <v>29.3</v>
      </c>
    </row>
    <row r="378" spans="1:13">
      <c r="A378" s="824">
        <v>2009</v>
      </c>
      <c r="B378" s="824" t="s">
        <v>243</v>
      </c>
      <c r="C378" s="824" t="str">
        <f t="shared" si="5"/>
        <v>2009_Indonesia</v>
      </c>
      <c r="D378" s="824">
        <v>539579955780.06226</v>
      </c>
      <c r="E378" s="824">
        <v>237486894</v>
      </c>
      <c r="F378" s="824">
        <v>15.375024136545859</v>
      </c>
      <c r="G378" s="824">
        <v>1046530000</v>
      </c>
      <c r="H378" s="824">
        <v>1046530000</v>
      </c>
      <c r="I378" s="824">
        <v>3.5251299999999999</v>
      </c>
      <c r="J378" s="824">
        <v>1.0195494155634801</v>
      </c>
      <c r="K378" s="824">
        <v>14.2</v>
      </c>
      <c r="L378" s="824">
        <v>69.933097560975625</v>
      </c>
      <c r="M378" s="824">
        <v>28.6</v>
      </c>
    </row>
    <row r="379" spans="1:13">
      <c r="A379" s="824">
        <v>2009</v>
      </c>
      <c r="B379" s="824" t="s">
        <v>251</v>
      </c>
      <c r="C379" s="824" t="str">
        <f t="shared" si="5"/>
        <v>2009_Iraq</v>
      </c>
      <c r="D379" s="824">
        <v>111660855042.73505</v>
      </c>
      <c r="E379" s="824">
        <v>30163199</v>
      </c>
      <c r="F379" s="824" t="s">
        <v>3088</v>
      </c>
      <c r="G379" s="824">
        <v>2791100000</v>
      </c>
      <c r="H379" s="824">
        <v>2791100000</v>
      </c>
      <c r="I379" s="824" t="s">
        <v>3088</v>
      </c>
      <c r="J379" s="824">
        <v>3.4530814714557101</v>
      </c>
      <c r="K379" s="824" t="s">
        <v>3088</v>
      </c>
      <c r="L379" s="824">
        <v>68.727951219512221</v>
      </c>
      <c r="M379" s="824">
        <v>30.7</v>
      </c>
    </row>
    <row r="380" spans="1:13">
      <c r="A380" s="824">
        <v>2009</v>
      </c>
      <c r="B380" s="824" t="s">
        <v>280</v>
      </c>
      <c r="C380" s="824" t="str">
        <f t="shared" si="5"/>
        <v>2009_Kazakhstan</v>
      </c>
      <c r="D380" s="824">
        <v>115308661142.92726</v>
      </c>
      <c r="E380" s="824">
        <v>16092701</v>
      </c>
      <c r="F380" s="824" t="s">
        <v>3088</v>
      </c>
      <c r="G380" s="824">
        <v>297500000</v>
      </c>
      <c r="H380" s="824">
        <v>297500000</v>
      </c>
      <c r="I380" s="824">
        <v>3.0607199999999999</v>
      </c>
      <c r="J380" s="824">
        <v>2.6511192288974499</v>
      </c>
      <c r="K380" s="824">
        <v>8.1999999999999993</v>
      </c>
      <c r="L380" s="824">
        <v>68.429268292682934</v>
      </c>
      <c r="M380" s="824">
        <v>21.1</v>
      </c>
    </row>
    <row r="381" spans="1:13">
      <c r="A381" s="824">
        <v>2009</v>
      </c>
      <c r="B381" s="824" t="s">
        <v>285</v>
      </c>
      <c r="C381" s="824" t="str">
        <f t="shared" si="5"/>
        <v>2009_Kyrgyz Republic</v>
      </c>
      <c r="D381" s="824">
        <v>4690062255.1224709</v>
      </c>
      <c r="E381" s="824">
        <v>5383300</v>
      </c>
      <c r="F381" s="824">
        <v>18.787700604652848</v>
      </c>
      <c r="G381" s="824">
        <v>313360000</v>
      </c>
      <c r="H381" s="824">
        <v>313360000</v>
      </c>
      <c r="I381" s="824">
        <v>6.2326800000000002</v>
      </c>
      <c r="J381" s="824">
        <v>3.7853525690403198</v>
      </c>
      <c r="K381" s="824">
        <v>31.7</v>
      </c>
      <c r="L381" s="824">
        <v>69.102439024390264</v>
      </c>
      <c r="M381" s="824">
        <v>28.5</v>
      </c>
    </row>
    <row r="382" spans="1:13">
      <c r="A382" s="824">
        <v>2009</v>
      </c>
      <c r="B382" s="824" t="s">
        <v>301</v>
      </c>
      <c r="C382" s="824" t="str">
        <f t="shared" si="5"/>
        <v>2009_Liberia</v>
      </c>
      <c r="D382" s="824">
        <v>1155146229.7859976</v>
      </c>
      <c r="E382" s="824">
        <v>3821440</v>
      </c>
      <c r="F382" s="824" t="s">
        <v>3088</v>
      </c>
      <c r="G382" s="824">
        <v>512570000.00000006</v>
      </c>
      <c r="H382" s="824">
        <v>512570000.00000006</v>
      </c>
      <c r="I382" s="824" t="s">
        <v>3088</v>
      </c>
      <c r="J382" s="824">
        <v>3.33555503970467</v>
      </c>
      <c r="K382" s="824" t="s">
        <v>3088</v>
      </c>
      <c r="L382" s="824">
        <v>58.859195121951224</v>
      </c>
      <c r="M382" s="824">
        <v>63.5</v>
      </c>
    </row>
    <row r="383" spans="1:13">
      <c r="A383" s="824">
        <v>2009</v>
      </c>
      <c r="B383" s="824" t="s">
        <v>316</v>
      </c>
      <c r="C383" s="824" t="str">
        <f t="shared" si="5"/>
        <v>2009_Madagascar</v>
      </c>
      <c r="D383" s="824">
        <v>8550363829.0960493</v>
      </c>
      <c r="E383" s="824">
        <v>20495695</v>
      </c>
      <c r="F383" s="824">
        <v>9.864140912547759</v>
      </c>
      <c r="G383" s="824">
        <v>443960000</v>
      </c>
      <c r="H383" s="824">
        <v>443960000</v>
      </c>
      <c r="I383" s="824">
        <v>3.1630099999999999</v>
      </c>
      <c r="J383" s="824">
        <v>2.1995867693281901</v>
      </c>
      <c r="K383" s="824" t="s">
        <v>3088</v>
      </c>
      <c r="L383" s="824">
        <v>62.907658536585373</v>
      </c>
      <c r="M383" s="824">
        <v>45.2</v>
      </c>
    </row>
    <row r="384" spans="1:13">
      <c r="A384" s="824">
        <v>2009</v>
      </c>
      <c r="B384" s="824" t="s">
        <v>329</v>
      </c>
      <c r="C384" s="824" t="str">
        <f t="shared" si="5"/>
        <v>2009_Mali</v>
      </c>
      <c r="D384" s="824">
        <v>8964480570.3252125</v>
      </c>
      <c r="E384" s="824">
        <v>13559296</v>
      </c>
      <c r="F384" s="824">
        <v>17.127316329560983</v>
      </c>
      <c r="G384" s="824">
        <v>984390000</v>
      </c>
      <c r="H384" s="824">
        <v>984390000</v>
      </c>
      <c r="I384" s="824">
        <v>4.3983699999999999</v>
      </c>
      <c r="J384" s="824">
        <v>3.1489920645607898</v>
      </c>
      <c r="K384" s="824" t="s">
        <v>3088</v>
      </c>
      <c r="L384" s="824">
        <v>53.342195121951235</v>
      </c>
      <c r="M384" s="824">
        <v>85.2</v>
      </c>
    </row>
    <row r="385" spans="1:13">
      <c r="A385" s="824">
        <v>2009</v>
      </c>
      <c r="B385" s="824" t="s">
        <v>345</v>
      </c>
      <c r="C385" s="824" t="str">
        <f t="shared" si="5"/>
        <v>2009_Mauritania</v>
      </c>
      <c r="D385" s="824">
        <v>3027020496.1927204</v>
      </c>
      <c r="E385" s="824">
        <v>3516077</v>
      </c>
      <c r="F385" s="824" t="s">
        <v>3088</v>
      </c>
      <c r="G385" s="824">
        <v>373470000</v>
      </c>
      <c r="H385" s="824">
        <v>373470000</v>
      </c>
      <c r="I385" s="824" t="s">
        <v>3088</v>
      </c>
      <c r="J385" s="824">
        <v>3.3720483064527098</v>
      </c>
      <c r="K385" s="824" t="s">
        <v>3088</v>
      </c>
      <c r="L385" s="824">
        <v>60.859439024390255</v>
      </c>
      <c r="M385" s="824">
        <v>71.2</v>
      </c>
    </row>
    <row r="386" spans="1:13">
      <c r="A386" s="824">
        <v>2009</v>
      </c>
      <c r="B386" s="824" t="s">
        <v>364</v>
      </c>
      <c r="C386" s="824" t="str">
        <f t="shared" si="5"/>
        <v>2009_Mongolia</v>
      </c>
      <c r="D386" s="824">
        <v>4583834427.3647375</v>
      </c>
      <c r="E386" s="824">
        <v>2672223</v>
      </c>
      <c r="F386" s="824">
        <v>26.831178133413957</v>
      </c>
      <c r="G386" s="824">
        <v>371220000</v>
      </c>
      <c r="H386" s="824">
        <v>371220000</v>
      </c>
      <c r="I386" s="824">
        <v>5.1448499999999999</v>
      </c>
      <c r="J386" s="824">
        <v>3.8923869507960398</v>
      </c>
      <c r="K386" s="824" t="s">
        <v>3088</v>
      </c>
      <c r="L386" s="824">
        <v>66.641219512195136</v>
      </c>
      <c r="M386" s="824">
        <v>30.4</v>
      </c>
    </row>
    <row r="387" spans="1:13">
      <c r="A387" s="824">
        <v>2009</v>
      </c>
      <c r="B387" s="824" t="s">
        <v>385</v>
      </c>
      <c r="C387" s="824" t="str">
        <f t="shared" si="5"/>
        <v>2009_Mozambique</v>
      </c>
      <c r="D387" s="824">
        <v>10726631099.557865</v>
      </c>
      <c r="E387" s="824">
        <v>23361025</v>
      </c>
      <c r="F387" s="824" t="s">
        <v>3088</v>
      </c>
      <c r="G387" s="824">
        <v>2012400000</v>
      </c>
      <c r="H387" s="824">
        <v>2012400000</v>
      </c>
      <c r="I387" s="824" t="s">
        <v>3088</v>
      </c>
      <c r="J387" s="824">
        <v>2.78671214403504</v>
      </c>
      <c r="K387" s="824">
        <v>54.7</v>
      </c>
      <c r="L387" s="824">
        <v>48.799439024390246</v>
      </c>
      <c r="M387" s="824">
        <v>74.3</v>
      </c>
    </row>
    <row r="388" spans="1:13">
      <c r="A388" s="824">
        <v>2009</v>
      </c>
      <c r="B388" s="824" t="s">
        <v>394</v>
      </c>
      <c r="C388" s="824" t="str">
        <f t="shared" ref="C388:C451" si="6">$A388&amp;"_"&amp;$B388</f>
        <v>2009_Niger</v>
      </c>
      <c r="D388" s="824">
        <v>5397121962.0242481</v>
      </c>
      <c r="E388" s="824">
        <v>15302948</v>
      </c>
      <c r="F388" s="824" t="s">
        <v>3088</v>
      </c>
      <c r="G388" s="824">
        <v>469290000</v>
      </c>
      <c r="H388" s="824">
        <v>469290000</v>
      </c>
      <c r="I388" s="824">
        <v>4.5260300000000004</v>
      </c>
      <c r="J388" s="824">
        <v>2.6890554719722899</v>
      </c>
      <c r="K388" s="824" t="s">
        <v>3088</v>
      </c>
      <c r="L388" s="824">
        <v>56.468219512195127</v>
      </c>
      <c r="M388" s="824">
        <v>68.8</v>
      </c>
    </row>
    <row r="389" spans="1:13">
      <c r="A389" s="824">
        <v>2009</v>
      </c>
      <c r="B389" s="824" t="s">
        <v>413</v>
      </c>
      <c r="C389" s="824" t="str">
        <f t="shared" si="6"/>
        <v>2009_Nigeria</v>
      </c>
      <c r="D389" s="824">
        <v>169481270114.98428</v>
      </c>
      <c r="E389" s="824">
        <v>155381020</v>
      </c>
      <c r="F389" s="824">
        <v>10.472713995332148</v>
      </c>
      <c r="G389" s="824">
        <v>1657070000</v>
      </c>
      <c r="H389" s="824">
        <v>1657070000</v>
      </c>
      <c r="I389" s="824" t="s">
        <v>3088</v>
      </c>
      <c r="J389" s="824">
        <v>2.1411668410240599</v>
      </c>
      <c r="K389" s="824" t="s">
        <v>3088</v>
      </c>
      <c r="L389" s="824">
        <v>50.830487804878054</v>
      </c>
      <c r="M389" s="824">
        <v>84.7</v>
      </c>
    </row>
    <row r="390" spans="1:13">
      <c r="A390" s="824">
        <v>2009</v>
      </c>
      <c r="B390" s="824" t="s">
        <v>436</v>
      </c>
      <c r="C390" s="824" t="str">
        <f t="shared" si="6"/>
        <v>2009_Norway</v>
      </c>
      <c r="D390" s="824">
        <v>378849191624.70203</v>
      </c>
      <c r="E390" s="824">
        <v>4828726</v>
      </c>
      <c r="F390" s="824">
        <v>48.173426855221571</v>
      </c>
      <c r="G390" s="824" t="s">
        <v>3088</v>
      </c>
      <c r="H390" s="824" t="s">
        <v>3088</v>
      </c>
      <c r="I390" s="824">
        <v>7.2409800000000004</v>
      </c>
      <c r="J390" s="824">
        <v>8.5228746647189908</v>
      </c>
      <c r="K390" s="824" t="s">
        <v>3088</v>
      </c>
      <c r="L390" s="824">
        <v>80.795121951219514</v>
      </c>
      <c r="M390" s="824">
        <v>2.7</v>
      </c>
    </row>
    <row r="391" spans="1:13">
      <c r="A391" s="824">
        <v>2009</v>
      </c>
      <c r="B391" s="824" t="s">
        <v>449</v>
      </c>
      <c r="C391" s="824" t="str">
        <f t="shared" si="6"/>
        <v>2009_Peru</v>
      </c>
      <c r="D391" s="824">
        <v>121200381042.49667</v>
      </c>
      <c r="E391" s="824">
        <v>28934303</v>
      </c>
      <c r="F391" s="824">
        <v>18.903877723521582</v>
      </c>
      <c r="G391" s="824">
        <v>441170000</v>
      </c>
      <c r="H391" s="824">
        <v>441170000</v>
      </c>
      <c r="I391" s="824">
        <v>2.9168400000000001</v>
      </c>
      <c r="J391" s="824">
        <v>3.0825696943416498</v>
      </c>
      <c r="K391" s="824">
        <v>33.5</v>
      </c>
      <c r="L391" s="824">
        <v>73.603682926829279</v>
      </c>
      <c r="M391" s="824">
        <v>16.2</v>
      </c>
    </row>
    <row r="392" spans="1:13">
      <c r="A392" s="824">
        <v>2009</v>
      </c>
      <c r="B392" s="824" t="s">
        <v>488</v>
      </c>
      <c r="C392" s="824" t="str">
        <f t="shared" si="6"/>
        <v>2009_Sierra Leone</v>
      </c>
      <c r="D392" s="824">
        <v>2453972925.4943657</v>
      </c>
      <c r="E392" s="824">
        <v>5641182</v>
      </c>
      <c r="F392" s="824">
        <v>9.02848468040348</v>
      </c>
      <c r="G392" s="824">
        <v>448260000</v>
      </c>
      <c r="H392" s="824">
        <v>448260000</v>
      </c>
      <c r="I392" s="824">
        <v>2.7774299999999998</v>
      </c>
      <c r="J392" s="824">
        <v>2.1735356398180099</v>
      </c>
      <c r="K392" s="824" t="s">
        <v>3088</v>
      </c>
      <c r="L392" s="824">
        <v>44.501439024390251</v>
      </c>
      <c r="M392" s="824">
        <v>116.9</v>
      </c>
    </row>
    <row r="393" spans="1:13">
      <c r="A393" s="824">
        <v>2009</v>
      </c>
      <c r="B393" s="824" t="s">
        <v>499</v>
      </c>
      <c r="C393" s="824" t="str">
        <f t="shared" si="6"/>
        <v>2009_Tanzania</v>
      </c>
      <c r="D393" s="824">
        <v>21368165683.254303</v>
      </c>
      <c r="E393" s="824">
        <v>43639752</v>
      </c>
      <c r="F393" s="824">
        <v>16.465020179836905</v>
      </c>
      <c r="G393" s="824">
        <v>2933150000</v>
      </c>
      <c r="H393" s="824">
        <v>2933150000</v>
      </c>
      <c r="I393" s="824">
        <v>5.3462899999999998</v>
      </c>
      <c r="J393" s="824">
        <v>3.6533132411230298</v>
      </c>
      <c r="K393" s="824" t="s">
        <v>3088</v>
      </c>
      <c r="L393" s="824">
        <v>58.1759512195122</v>
      </c>
      <c r="M393" s="824">
        <v>44.1</v>
      </c>
    </row>
    <row r="394" spans="1:13">
      <c r="A394" s="824">
        <v>2009</v>
      </c>
      <c r="B394" s="824" t="s">
        <v>3090</v>
      </c>
      <c r="C394" s="824" t="str">
        <f t="shared" si="6"/>
        <v>2009_Timor-Leste</v>
      </c>
      <c r="D394" s="824">
        <v>818000000</v>
      </c>
      <c r="E394" s="824">
        <v>1049156</v>
      </c>
      <c r="F394" s="824" t="s">
        <v>3088</v>
      </c>
      <c r="G394" s="824">
        <v>216440000</v>
      </c>
      <c r="H394" s="824">
        <v>216440000</v>
      </c>
      <c r="I394" s="824">
        <v>11.345470000000001</v>
      </c>
      <c r="J394" s="824">
        <v>5.4364928308590299</v>
      </c>
      <c r="K394" s="824" t="s">
        <v>3088</v>
      </c>
      <c r="L394" s="824">
        <v>65.388000000000005</v>
      </c>
      <c r="M394" s="824">
        <v>53.6</v>
      </c>
    </row>
    <row r="395" spans="1:13">
      <c r="A395" s="824">
        <v>2009</v>
      </c>
      <c r="B395" s="824" t="s">
        <v>517</v>
      </c>
      <c r="C395" s="824" t="str">
        <f t="shared" si="6"/>
        <v>2009_Togo</v>
      </c>
      <c r="D395" s="824">
        <v>3163000590.6629839</v>
      </c>
      <c r="E395" s="824">
        <v>6144457</v>
      </c>
      <c r="F395" s="824">
        <v>16.950302627033349</v>
      </c>
      <c r="G395" s="824">
        <v>498520000</v>
      </c>
      <c r="H395" s="824">
        <v>498520000</v>
      </c>
      <c r="I395" s="824">
        <v>4.1157599999999999</v>
      </c>
      <c r="J395" s="824">
        <v>3.27871157838345</v>
      </c>
      <c r="K395" s="824" t="s">
        <v>3088</v>
      </c>
      <c r="L395" s="824">
        <v>55.143902439024387</v>
      </c>
      <c r="M395" s="824">
        <v>62</v>
      </c>
    </row>
    <row r="396" spans="1:13">
      <c r="A396" s="824">
        <v>2009</v>
      </c>
      <c r="B396" s="824" t="s">
        <v>3091</v>
      </c>
      <c r="C396" s="824" t="str">
        <f t="shared" si="6"/>
        <v>2009_Trinidad and Tobago</v>
      </c>
      <c r="D396" s="824">
        <v>19332270662.309715</v>
      </c>
      <c r="E396" s="824">
        <v>1322518</v>
      </c>
      <c r="F396" s="824">
        <v>34.283605840980862</v>
      </c>
      <c r="G396" s="824">
        <v>6840000</v>
      </c>
      <c r="H396" s="824">
        <v>6840000</v>
      </c>
      <c r="I396" s="824" t="s">
        <v>3088</v>
      </c>
      <c r="J396" s="824">
        <v>2.9388103425672401</v>
      </c>
      <c r="K396" s="824" t="s">
        <v>3088</v>
      </c>
      <c r="L396" s="824">
        <v>69.482487804878048</v>
      </c>
      <c r="M396" s="824">
        <v>21.4</v>
      </c>
    </row>
    <row r="397" spans="1:13">
      <c r="A397" s="824">
        <v>2009</v>
      </c>
      <c r="B397" s="824" t="s">
        <v>3092</v>
      </c>
      <c r="C397" s="824" t="str">
        <f t="shared" si="6"/>
        <v>2009_Yemen, Rep.</v>
      </c>
      <c r="D397" s="824">
        <v>27838718233.109901</v>
      </c>
      <c r="E397" s="824">
        <v>22229625</v>
      </c>
      <c r="F397" s="824" t="s">
        <v>3088</v>
      </c>
      <c r="G397" s="824">
        <v>557850000</v>
      </c>
      <c r="H397" s="824">
        <v>557850000</v>
      </c>
      <c r="I397" s="824" t="s">
        <v>3088</v>
      </c>
      <c r="J397" s="824">
        <v>1.33669780443996</v>
      </c>
      <c r="K397" s="824" t="s">
        <v>3088</v>
      </c>
      <c r="L397" s="824">
        <v>62.33378048780488</v>
      </c>
      <c r="M397" s="824">
        <v>47.5</v>
      </c>
    </row>
    <row r="398" spans="1:13">
      <c r="A398" s="824">
        <v>2009</v>
      </c>
      <c r="B398" s="824" t="s">
        <v>541</v>
      </c>
      <c r="C398" s="824" t="str">
        <f t="shared" si="6"/>
        <v>2009_Zambia</v>
      </c>
      <c r="D398" s="824">
        <v>15328314220.185898</v>
      </c>
      <c r="E398" s="824">
        <v>12825031</v>
      </c>
      <c r="F398" s="824">
        <v>13.054265273784175</v>
      </c>
      <c r="G398" s="824">
        <v>1267060000</v>
      </c>
      <c r="H398" s="824">
        <v>1267060000</v>
      </c>
      <c r="I398" s="824" t="s">
        <v>3088</v>
      </c>
      <c r="J398" s="824">
        <v>3.5602735395649199</v>
      </c>
      <c r="K398" s="824" t="s">
        <v>3088</v>
      </c>
      <c r="L398" s="824">
        <v>53.11336585365855</v>
      </c>
      <c r="M398" s="824">
        <v>64.8</v>
      </c>
    </row>
    <row r="399" spans="1:13">
      <c r="A399" s="824">
        <v>2010</v>
      </c>
      <c r="B399" s="824" t="s">
        <v>21</v>
      </c>
      <c r="C399" s="824" t="str">
        <f t="shared" si="6"/>
        <v>2010_Afghanistan</v>
      </c>
      <c r="D399" s="824">
        <v>15936784437.224018</v>
      </c>
      <c r="E399" s="824">
        <v>28397812</v>
      </c>
      <c r="F399" s="824">
        <v>11.036184539599427</v>
      </c>
      <c r="G399" s="824">
        <v>6426380000</v>
      </c>
      <c r="H399" s="824">
        <v>6426380000</v>
      </c>
      <c r="I399" s="824" t="s">
        <v>3088</v>
      </c>
      <c r="J399" s="824">
        <v>1.8055435219651901</v>
      </c>
      <c r="K399" s="824" t="s">
        <v>3088</v>
      </c>
      <c r="L399" s="824">
        <v>59.60009756097562</v>
      </c>
      <c r="M399" s="824">
        <v>75.3</v>
      </c>
    </row>
    <row r="400" spans="1:13">
      <c r="A400" s="824">
        <v>2010</v>
      </c>
      <c r="B400" s="824" t="s">
        <v>38</v>
      </c>
      <c r="C400" s="824" t="str">
        <f t="shared" si="6"/>
        <v>2010_Albania</v>
      </c>
      <c r="D400" s="824">
        <v>11926957254.628792</v>
      </c>
      <c r="E400" s="824">
        <v>2856673</v>
      </c>
      <c r="F400" s="824" t="s">
        <v>3088</v>
      </c>
      <c r="G400" s="824">
        <v>340700000</v>
      </c>
      <c r="H400" s="824">
        <v>340700000</v>
      </c>
      <c r="I400" s="824" t="s">
        <v>3088</v>
      </c>
      <c r="J400" s="824">
        <v>2.5117111288743499</v>
      </c>
      <c r="K400" s="824" t="s">
        <v>3088</v>
      </c>
      <c r="L400" s="824">
        <v>76.978512195121951</v>
      </c>
      <c r="M400" s="824">
        <v>14.8</v>
      </c>
    </row>
    <row r="401" spans="1:13">
      <c r="A401" s="824">
        <v>2010</v>
      </c>
      <c r="B401" s="824" t="s">
        <v>53</v>
      </c>
      <c r="C401" s="824" t="str">
        <f t="shared" si="6"/>
        <v>2010_Azerbaijan</v>
      </c>
      <c r="D401" s="824">
        <v>52902703376.105644</v>
      </c>
      <c r="E401" s="824">
        <v>9054332</v>
      </c>
      <c r="F401" s="824">
        <v>46.828917932414932</v>
      </c>
      <c r="G401" s="824">
        <v>159110000</v>
      </c>
      <c r="H401" s="824">
        <v>159110000</v>
      </c>
      <c r="I401" s="824">
        <v>2.7806199999999999</v>
      </c>
      <c r="J401" s="824">
        <v>1.1680207229483099</v>
      </c>
      <c r="K401" s="824">
        <v>9.1</v>
      </c>
      <c r="L401" s="824">
        <v>70.450292682926829</v>
      </c>
      <c r="M401" s="824">
        <v>33.799999999999997</v>
      </c>
    </row>
    <row r="402" spans="1:13">
      <c r="A402" s="824">
        <v>2010</v>
      </c>
      <c r="B402" s="824" t="s">
        <v>98</v>
      </c>
      <c r="C402" s="824" t="str">
        <f t="shared" si="6"/>
        <v>2010_Burkina Faso</v>
      </c>
      <c r="D402" s="824">
        <v>9209288383.0871105</v>
      </c>
      <c r="E402" s="824">
        <v>15540284</v>
      </c>
      <c r="F402" s="824">
        <v>14.936569973414764</v>
      </c>
      <c r="G402" s="824">
        <v>1062339999.9999999</v>
      </c>
      <c r="H402" s="824">
        <v>1062339999.9999999</v>
      </c>
      <c r="I402" s="824">
        <v>3.8408699999999998</v>
      </c>
      <c r="J402" s="824">
        <v>4.0761827832910198</v>
      </c>
      <c r="K402" s="824" t="s">
        <v>3088</v>
      </c>
      <c r="L402" s="824">
        <v>55.006756097560981</v>
      </c>
      <c r="M402" s="824">
        <v>70</v>
      </c>
    </row>
    <row r="403" spans="1:13">
      <c r="A403" s="824">
        <v>2010</v>
      </c>
      <c r="B403" s="824" t="s">
        <v>101</v>
      </c>
      <c r="C403" s="824" t="str">
        <f t="shared" si="6"/>
        <v>2010_Cameroon</v>
      </c>
      <c r="D403" s="824">
        <v>23622482954.803967</v>
      </c>
      <c r="E403" s="824">
        <v>20624343</v>
      </c>
      <c r="F403" s="824" t="s">
        <v>3088</v>
      </c>
      <c r="G403" s="824">
        <v>540500000</v>
      </c>
      <c r="H403" s="824">
        <v>540500000</v>
      </c>
      <c r="I403" s="824">
        <v>3.4795099999999999</v>
      </c>
      <c r="J403" s="824">
        <v>1.58362844660621</v>
      </c>
      <c r="K403" s="824" t="s">
        <v>3088</v>
      </c>
      <c r="L403" s="824">
        <v>53.694829268292686</v>
      </c>
      <c r="M403" s="824">
        <v>66</v>
      </c>
    </row>
    <row r="404" spans="1:13">
      <c r="A404" s="824">
        <v>2010</v>
      </c>
      <c r="B404" s="824" t="s">
        <v>138</v>
      </c>
      <c r="C404" s="824" t="str">
        <f t="shared" si="6"/>
        <v>2010_Chad</v>
      </c>
      <c r="D404" s="824">
        <v>10657705072.288368</v>
      </c>
      <c r="E404" s="824">
        <v>11720781</v>
      </c>
      <c r="F404" s="824" t="s">
        <v>3088</v>
      </c>
      <c r="G404" s="824">
        <v>486040000</v>
      </c>
      <c r="H404" s="824">
        <v>486040000</v>
      </c>
      <c r="I404" s="824">
        <v>1.98194</v>
      </c>
      <c r="J404" s="824">
        <v>0.99600314839290804</v>
      </c>
      <c r="K404" s="824" t="s">
        <v>3088</v>
      </c>
      <c r="L404" s="824">
        <v>49.76985365853659</v>
      </c>
      <c r="M404" s="824">
        <v>93.7</v>
      </c>
    </row>
    <row r="405" spans="1:13">
      <c r="A405" s="824">
        <v>2010</v>
      </c>
      <c r="B405" s="824" t="s">
        <v>127</v>
      </c>
      <c r="C405" s="824" t="str">
        <f t="shared" si="6"/>
        <v>2010_Central African Republic</v>
      </c>
      <c r="D405" s="824">
        <v>1986014759.1978452</v>
      </c>
      <c r="E405" s="824">
        <v>4349921</v>
      </c>
      <c r="F405" s="824">
        <v>9.9236488854090155</v>
      </c>
      <c r="G405" s="824">
        <v>261010000</v>
      </c>
      <c r="H405" s="824">
        <v>261010000</v>
      </c>
      <c r="I405" s="824">
        <v>1.20455</v>
      </c>
      <c r="J405" s="824">
        <v>1.9420800432716201</v>
      </c>
      <c r="K405" s="824" t="s">
        <v>3088</v>
      </c>
      <c r="L405" s="824">
        <v>48.098731707317079</v>
      </c>
      <c r="M405" s="824">
        <v>102.7</v>
      </c>
    </row>
    <row r="406" spans="1:13">
      <c r="A406" s="824">
        <v>2010</v>
      </c>
      <c r="B406" s="824" t="s">
        <v>171</v>
      </c>
      <c r="C406" s="824" t="str">
        <f t="shared" si="6"/>
        <v>2010_Democratic Republic of Congo</v>
      </c>
      <c r="D406" s="824">
        <v>21561941369.362782</v>
      </c>
      <c r="E406" s="824">
        <v>62191161</v>
      </c>
      <c r="F406" s="824">
        <v>14.268142471174643</v>
      </c>
      <c r="G406" s="824">
        <v>3486160000</v>
      </c>
      <c r="H406" s="824">
        <v>3486160000</v>
      </c>
      <c r="I406" s="824">
        <v>2.5030700000000001</v>
      </c>
      <c r="J406" s="824">
        <v>3.1923783294619299</v>
      </c>
      <c r="K406" s="824" t="s">
        <v>3088</v>
      </c>
      <c r="L406" s="824">
        <v>48.987682926829265</v>
      </c>
      <c r="M406" s="824">
        <v>92.4</v>
      </c>
    </row>
    <row r="407" spans="1:13">
      <c r="A407" s="824">
        <v>2010</v>
      </c>
      <c r="B407" s="824" t="s">
        <v>465</v>
      </c>
      <c r="C407" s="824" t="str">
        <f t="shared" si="6"/>
        <v>2010_Republic of the Congo</v>
      </c>
      <c r="D407" s="824">
        <v>12007880067.439547</v>
      </c>
      <c r="E407" s="824">
        <v>4111715</v>
      </c>
      <c r="F407" s="824" t="s">
        <v>3088</v>
      </c>
      <c r="G407" s="824">
        <v>1311500000</v>
      </c>
      <c r="H407" s="824">
        <v>1311500000</v>
      </c>
      <c r="I407" s="824">
        <v>6.22079</v>
      </c>
      <c r="J407" s="824">
        <v>1.3865789712969201</v>
      </c>
      <c r="K407" s="824" t="s">
        <v>3088</v>
      </c>
      <c r="L407" s="824">
        <v>57.204024390243902</v>
      </c>
      <c r="M407" s="824">
        <v>42</v>
      </c>
    </row>
    <row r="408" spans="1:13">
      <c r="A408" s="824">
        <v>2010</v>
      </c>
      <c r="B408" s="824" t="s">
        <v>153</v>
      </c>
      <c r="C408" s="824" t="str">
        <f t="shared" si="6"/>
        <v>2010_Cote d'Ivoire</v>
      </c>
      <c r="D408" s="824">
        <v>24884503950.681389</v>
      </c>
      <c r="E408" s="824">
        <v>18976588</v>
      </c>
      <c r="F408" s="824">
        <v>15.793847861732877</v>
      </c>
      <c r="G408" s="824">
        <v>844960000</v>
      </c>
      <c r="H408" s="824">
        <v>844960000</v>
      </c>
      <c r="I408" s="824" t="s">
        <v>3088</v>
      </c>
      <c r="J408" s="824">
        <v>1.8197765054606401</v>
      </c>
      <c r="K408" s="824" t="s">
        <v>3088</v>
      </c>
      <c r="L408" s="824">
        <v>49.67529268292683</v>
      </c>
      <c r="M408" s="824">
        <v>76.900000000000006</v>
      </c>
    </row>
    <row r="409" spans="1:13">
      <c r="A409" s="824">
        <v>2010</v>
      </c>
      <c r="B409" s="824" t="s">
        <v>188</v>
      </c>
      <c r="C409" s="824" t="str">
        <f t="shared" si="6"/>
        <v>2010_Equatorial Guinea</v>
      </c>
      <c r="D409" s="824">
        <v>11582917790.30464</v>
      </c>
      <c r="E409" s="824">
        <v>696167</v>
      </c>
      <c r="F409" s="824" t="s">
        <v>3088</v>
      </c>
      <c r="G409" s="824">
        <v>84710000</v>
      </c>
      <c r="H409" s="824">
        <v>84710000</v>
      </c>
      <c r="I409" s="824" t="s">
        <v>3088</v>
      </c>
      <c r="J409" s="824">
        <v>2.8833746860430098</v>
      </c>
      <c r="K409" s="824" t="s">
        <v>3088</v>
      </c>
      <c r="L409" s="824">
        <v>51.533073170731711</v>
      </c>
      <c r="M409" s="824">
        <v>75.599999999999994</v>
      </c>
    </row>
    <row r="410" spans="1:13">
      <c r="A410" s="824">
        <v>2010</v>
      </c>
      <c r="B410" s="824" t="s">
        <v>191</v>
      </c>
      <c r="C410" s="824" t="str">
        <f t="shared" si="6"/>
        <v>2010_Gabon</v>
      </c>
      <c r="D410" s="824">
        <v>14569527124.619944</v>
      </c>
      <c r="E410" s="824">
        <v>1556222</v>
      </c>
      <c r="F410" s="824" t="s">
        <v>3088</v>
      </c>
      <c r="G410" s="824">
        <v>104000000</v>
      </c>
      <c r="H410" s="824">
        <v>104000000</v>
      </c>
      <c r="I410" s="824" t="s">
        <v>3088</v>
      </c>
      <c r="J410" s="824">
        <v>1.63579870452715</v>
      </c>
      <c r="K410" s="824" t="s">
        <v>3088</v>
      </c>
      <c r="L410" s="824">
        <v>62.289756097560989</v>
      </c>
      <c r="M410" s="824">
        <v>43.2</v>
      </c>
    </row>
    <row r="411" spans="1:13">
      <c r="A411" s="824">
        <v>2010</v>
      </c>
      <c r="B411" s="824" t="s">
        <v>195</v>
      </c>
      <c r="C411" s="824" t="str">
        <f t="shared" si="6"/>
        <v>2010_Ghana</v>
      </c>
      <c r="D411" s="824">
        <v>32174839712.793278</v>
      </c>
      <c r="E411" s="824">
        <v>24262901</v>
      </c>
      <c r="F411" s="824">
        <v>16.691211237321635</v>
      </c>
      <c r="G411" s="824">
        <v>1692540000</v>
      </c>
      <c r="H411" s="824">
        <v>1692540000</v>
      </c>
      <c r="I411" s="824">
        <v>5.5406000000000004</v>
      </c>
      <c r="J411" s="824">
        <v>3.09697739170507</v>
      </c>
      <c r="K411" s="824" t="s">
        <v>3088</v>
      </c>
      <c r="L411" s="824">
        <v>60.599560975609762</v>
      </c>
      <c r="M411" s="824">
        <v>55</v>
      </c>
    </row>
    <row r="412" spans="1:13">
      <c r="A412" s="824">
        <v>2010</v>
      </c>
      <c r="B412" s="824" t="s">
        <v>3089</v>
      </c>
      <c r="C412" s="824" t="str">
        <f t="shared" si="6"/>
        <v>2010_Guinea</v>
      </c>
      <c r="D412" s="824">
        <v>4735956475.8338232</v>
      </c>
      <c r="E412" s="824">
        <v>10876033</v>
      </c>
      <c r="F412" s="824" t="s">
        <v>3088</v>
      </c>
      <c r="G412" s="824">
        <v>217700000</v>
      </c>
      <c r="H412" s="824">
        <v>217700000</v>
      </c>
      <c r="I412" s="824">
        <v>3.6918600000000001</v>
      </c>
      <c r="J412" s="824">
        <v>2.01176888989623</v>
      </c>
      <c r="K412" s="824" t="s">
        <v>3088</v>
      </c>
      <c r="L412" s="824">
        <v>55.298000000000009</v>
      </c>
      <c r="M412" s="824">
        <v>71.400000000000006</v>
      </c>
    </row>
    <row r="413" spans="1:13">
      <c r="A413" s="824">
        <v>2010</v>
      </c>
      <c r="B413" s="824" t="s">
        <v>219</v>
      </c>
      <c r="C413" s="824" t="str">
        <f t="shared" si="6"/>
        <v>2010_Guatemala</v>
      </c>
      <c r="D413" s="824">
        <v>41337958251.631958</v>
      </c>
      <c r="E413" s="824">
        <v>14341576</v>
      </c>
      <c r="F413" s="824">
        <v>11.070848524418105</v>
      </c>
      <c r="G413" s="824">
        <v>393520000</v>
      </c>
      <c r="H413" s="824">
        <v>393520000</v>
      </c>
      <c r="I413" s="824">
        <v>2.8030599999999999</v>
      </c>
      <c r="J413" s="824">
        <v>2.3895845335041699</v>
      </c>
      <c r="K413" s="824" t="s">
        <v>3088</v>
      </c>
      <c r="L413" s="824">
        <v>70.995975609756101</v>
      </c>
      <c r="M413" s="824">
        <v>28.4</v>
      </c>
    </row>
    <row r="414" spans="1:13">
      <c r="A414" s="824">
        <v>2010</v>
      </c>
      <c r="B414" s="824" t="s">
        <v>243</v>
      </c>
      <c r="C414" s="824" t="str">
        <f t="shared" si="6"/>
        <v>2010_Indonesia</v>
      </c>
      <c r="D414" s="824">
        <v>709190823319.75391</v>
      </c>
      <c r="E414" s="824">
        <v>240676485</v>
      </c>
      <c r="F414" s="824" t="s">
        <v>3088</v>
      </c>
      <c r="G414" s="824">
        <v>1392510000</v>
      </c>
      <c r="H414" s="824">
        <v>1392510000</v>
      </c>
      <c r="I414" s="824">
        <v>2.9943</v>
      </c>
      <c r="J414" s="824">
        <v>1.0998667281730501</v>
      </c>
      <c r="K414" s="824">
        <v>13.3</v>
      </c>
      <c r="L414" s="824">
        <v>70.167853658536586</v>
      </c>
      <c r="M414" s="824">
        <v>27.4</v>
      </c>
    </row>
    <row r="415" spans="1:13">
      <c r="A415" s="824">
        <v>2010</v>
      </c>
      <c r="B415" s="824" t="s">
        <v>251</v>
      </c>
      <c r="C415" s="824" t="str">
        <f t="shared" si="6"/>
        <v>2010_Iraq</v>
      </c>
      <c r="D415" s="824">
        <v>138516722649.57266</v>
      </c>
      <c r="E415" s="824">
        <v>30962380</v>
      </c>
      <c r="F415" s="824" t="s">
        <v>3088</v>
      </c>
      <c r="G415" s="824">
        <v>2191630000</v>
      </c>
      <c r="H415" s="824">
        <v>2191630000</v>
      </c>
      <c r="I415" s="824" t="s">
        <v>3088</v>
      </c>
      <c r="J415" s="824">
        <v>2.3124568950576201</v>
      </c>
      <c r="K415" s="824" t="s">
        <v>3088</v>
      </c>
      <c r="L415" s="824">
        <v>68.829756097560974</v>
      </c>
      <c r="M415" s="824">
        <v>30.1</v>
      </c>
    </row>
    <row r="416" spans="1:13">
      <c r="A416" s="824">
        <v>2010</v>
      </c>
      <c r="B416" s="824" t="s">
        <v>280</v>
      </c>
      <c r="C416" s="824" t="str">
        <f t="shared" si="6"/>
        <v>2010_Kazakhstan</v>
      </c>
      <c r="D416" s="824">
        <v>148047348240.64334</v>
      </c>
      <c r="E416" s="824">
        <v>16321581</v>
      </c>
      <c r="F416" s="824" t="s">
        <v>3088</v>
      </c>
      <c r="G416" s="824">
        <v>223930000</v>
      </c>
      <c r="H416" s="824">
        <v>223930000</v>
      </c>
      <c r="I416" s="824" t="s">
        <v>3088</v>
      </c>
      <c r="J416" s="824">
        <v>2.52721812643725</v>
      </c>
      <c r="K416" s="824">
        <v>6.5</v>
      </c>
      <c r="L416" s="824">
        <v>68.295365853658538</v>
      </c>
      <c r="M416" s="824">
        <v>19.3</v>
      </c>
    </row>
    <row r="417" spans="1:13">
      <c r="A417" s="824">
        <v>2010</v>
      </c>
      <c r="B417" s="824" t="s">
        <v>285</v>
      </c>
      <c r="C417" s="824" t="str">
        <f t="shared" si="6"/>
        <v>2010_Kyrgyz Republic</v>
      </c>
      <c r="D417" s="824">
        <v>4794357795.0713921</v>
      </c>
      <c r="E417" s="824">
        <v>5447900</v>
      </c>
      <c r="F417" s="824">
        <v>19.422486253756762</v>
      </c>
      <c r="G417" s="824">
        <v>380370000</v>
      </c>
      <c r="H417" s="824">
        <v>380370000</v>
      </c>
      <c r="I417" s="824">
        <v>5.8188300000000002</v>
      </c>
      <c r="J417" s="824">
        <v>3.7101407185221098</v>
      </c>
      <c r="K417" s="824">
        <v>33.700000000000003</v>
      </c>
      <c r="L417" s="824">
        <v>69.300000000000011</v>
      </c>
      <c r="M417" s="824">
        <v>26.7</v>
      </c>
    </row>
    <row r="418" spans="1:13">
      <c r="A418" s="824">
        <v>2010</v>
      </c>
      <c r="B418" s="824" t="s">
        <v>301</v>
      </c>
      <c r="C418" s="824" t="str">
        <f t="shared" si="6"/>
        <v>2010_Liberia</v>
      </c>
      <c r="D418" s="824">
        <v>1292696475.9587305</v>
      </c>
      <c r="E418" s="824">
        <v>3957990</v>
      </c>
      <c r="F418" s="824">
        <v>20.899193520608826</v>
      </c>
      <c r="G418" s="824">
        <v>1417010000</v>
      </c>
      <c r="H418" s="824">
        <v>1417010000</v>
      </c>
      <c r="I418" s="824" t="s">
        <v>3088</v>
      </c>
      <c r="J418" s="824">
        <v>2.3823546512784501</v>
      </c>
      <c r="K418" s="824" t="s">
        <v>3088</v>
      </c>
      <c r="L418" s="824">
        <v>59.434317073170739</v>
      </c>
      <c r="M418" s="824">
        <v>60.4</v>
      </c>
    </row>
    <row r="419" spans="1:13">
      <c r="A419" s="824">
        <v>2010</v>
      </c>
      <c r="B419" s="824" t="s">
        <v>316</v>
      </c>
      <c r="C419" s="824" t="str">
        <f t="shared" si="6"/>
        <v>2010_Madagascar</v>
      </c>
      <c r="D419" s="824">
        <v>8729936135.744875</v>
      </c>
      <c r="E419" s="824">
        <v>21079532</v>
      </c>
      <c r="F419" s="824">
        <v>11.230727854385988</v>
      </c>
      <c r="G419" s="824">
        <v>470080000</v>
      </c>
      <c r="H419" s="824">
        <v>470080000</v>
      </c>
      <c r="I419" s="824" t="s">
        <v>3088</v>
      </c>
      <c r="J419" s="824">
        <v>2.2306930490901999</v>
      </c>
      <c r="K419" s="824">
        <v>75.3</v>
      </c>
      <c r="L419" s="824">
        <v>63.349731707317083</v>
      </c>
      <c r="M419" s="824">
        <v>43.6</v>
      </c>
    </row>
    <row r="420" spans="1:13">
      <c r="A420" s="824">
        <v>2010</v>
      </c>
      <c r="B420" s="824" t="s">
        <v>329</v>
      </c>
      <c r="C420" s="824" t="str">
        <f t="shared" si="6"/>
        <v>2010_Mali</v>
      </c>
      <c r="D420" s="824">
        <v>9422267259.989397</v>
      </c>
      <c r="E420" s="824">
        <v>13985961</v>
      </c>
      <c r="F420" s="824">
        <v>17.278883778611583</v>
      </c>
      <c r="G420" s="824">
        <v>1088620000</v>
      </c>
      <c r="H420" s="824">
        <v>1088620000</v>
      </c>
      <c r="I420" s="824">
        <v>4.3065600000000002</v>
      </c>
      <c r="J420" s="824">
        <v>2.80329011738641</v>
      </c>
      <c r="K420" s="824">
        <v>43.6</v>
      </c>
      <c r="L420" s="824">
        <v>53.770731707317083</v>
      </c>
      <c r="M420" s="824">
        <v>83.1</v>
      </c>
    </row>
    <row r="421" spans="1:13">
      <c r="A421" s="824">
        <v>2010</v>
      </c>
      <c r="B421" s="824" t="s">
        <v>345</v>
      </c>
      <c r="C421" s="824" t="str">
        <f t="shared" si="6"/>
        <v>2010_Mauritania</v>
      </c>
      <c r="D421" s="824">
        <v>3526947608.8832636</v>
      </c>
      <c r="E421" s="824">
        <v>3609420</v>
      </c>
      <c r="F421" s="824" t="s">
        <v>3088</v>
      </c>
      <c r="G421" s="824">
        <v>374400000</v>
      </c>
      <c r="H421" s="824">
        <v>374400000</v>
      </c>
      <c r="I421" s="824">
        <v>4.2585100000000002</v>
      </c>
      <c r="J421" s="824">
        <v>3.893598153168</v>
      </c>
      <c r="K421" s="824" t="s">
        <v>3088</v>
      </c>
      <c r="L421" s="824">
        <v>61.023243902439027</v>
      </c>
      <c r="M421" s="824">
        <v>70.2</v>
      </c>
    </row>
    <row r="422" spans="1:13">
      <c r="A422" s="824">
        <v>2010</v>
      </c>
      <c r="B422" s="824" t="s">
        <v>364</v>
      </c>
      <c r="C422" s="824" t="str">
        <f t="shared" si="6"/>
        <v>2010_Mongolia</v>
      </c>
      <c r="D422" s="824">
        <v>6200357070.1147966</v>
      </c>
      <c r="E422" s="824">
        <v>2712738</v>
      </c>
      <c r="F422" s="824">
        <v>33.657838923430802</v>
      </c>
      <c r="G422" s="824">
        <v>302760000</v>
      </c>
      <c r="H422" s="824">
        <v>302760000</v>
      </c>
      <c r="I422" s="824">
        <v>5.38598</v>
      </c>
      <c r="J422" s="824">
        <v>3.8961770938140701</v>
      </c>
      <c r="K422" s="824">
        <v>38.700000000000003</v>
      </c>
      <c r="L422" s="824">
        <v>66.894609756097566</v>
      </c>
      <c r="M422" s="824">
        <v>29.3</v>
      </c>
    </row>
    <row r="423" spans="1:13">
      <c r="A423" s="824">
        <v>2010</v>
      </c>
      <c r="B423" s="824" t="s">
        <v>385</v>
      </c>
      <c r="C423" s="824" t="str">
        <f t="shared" si="6"/>
        <v>2010_Mozambique</v>
      </c>
      <c r="D423" s="824">
        <v>10165353591.167343</v>
      </c>
      <c r="E423" s="824">
        <v>23967265</v>
      </c>
      <c r="F423" s="824">
        <v>17.872038962505606</v>
      </c>
      <c r="G423" s="824">
        <v>1951530000</v>
      </c>
      <c r="H423" s="824">
        <v>1951530000</v>
      </c>
      <c r="I423" s="824" t="s">
        <v>3088</v>
      </c>
      <c r="J423" s="824">
        <v>3.2929929642406299</v>
      </c>
      <c r="K423" s="824" t="s">
        <v>3088</v>
      </c>
      <c r="L423" s="824">
        <v>49.137073170731711</v>
      </c>
      <c r="M423" s="824">
        <v>71.8</v>
      </c>
    </row>
    <row r="424" spans="1:13">
      <c r="A424" s="824">
        <v>2010</v>
      </c>
      <c r="B424" s="824" t="s">
        <v>394</v>
      </c>
      <c r="C424" s="824" t="str">
        <f t="shared" si="6"/>
        <v>2010_Niger</v>
      </c>
      <c r="D424" s="824">
        <v>5718589550.1634874</v>
      </c>
      <c r="E424" s="824">
        <v>15893746</v>
      </c>
      <c r="F424" s="824" t="s">
        <v>3088</v>
      </c>
      <c r="G424" s="824">
        <v>744520000</v>
      </c>
      <c r="H424" s="824">
        <v>744520000</v>
      </c>
      <c r="I424" s="824">
        <v>3.73339</v>
      </c>
      <c r="J424" s="824">
        <v>2.3408256108972498</v>
      </c>
      <c r="K424" s="824" t="s">
        <v>3088</v>
      </c>
      <c r="L424" s="824">
        <v>56.985634146341468</v>
      </c>
      <c r="M424" s="824">
        <v>66.099999999999994</v>
      </c>
    </row>
    <row r="425" spans="1:13">
      <c r="A425" s="824">
        <v>2010</v>
      </c>
      <c r="B425" s="824" t="s">
        <v>413</v>
      </c>
      <c r="C425" s="824" t="str">
        <f t="shared" si="6"/>
        <v>2010_Nigeria</v>
      </c>
      <c r="D425" s="824">
        <v>369062403181.9447</v>
      </c>
      <c r="E425" s="824">
        <v>159707780</v>
      </c>
      <c r="F425" s="824">
        <v>5.569201700204518</v>
      </c>
      <c r="G425" s="824">
        <v>2061960000</v>
      </c>
      <c r="H425" s="824">
        <v>2061960000</v>
      </c>
      <c r="I425" s="824" t="s">
        <v>3088</v>
      </c>
      <c r="J425" s="824">
        <v>1.46661178628433</v>
      </c>
      <c r="K425" s="824">
        <v>46</v>
      </c>
      <c r="L425" s="824">
        <v>51.289414634146354</v>
      </c>
      <c r="M425" s="824">
        <v>81.900000000000006</v>
      </c>
    </row>
    <row r="426" spans="1:13">
      <c r="A426" s="824">
        <v>2010</v>
      </c>
      <c r="B426" s="824" t="s">
        <v>436</v>
      </c>
      <c r="C426" s="824" t="str">
        <f t="shared" si="6"/>
        <v>2010_Norway</v>
      </c>
      <c r="D426" s="824">
        <v>420945705225.42371</v>
      </c>
      <c r="E426" s="824">
        <v>4889252</v>
      </c>
      <c r="F426" s="824">
        <v>47.789814429780535</v>
      </c>
      <c r="G426" s="824" t="s">
        <v>3088</v>
      </c>
      <c r="H426" s="824" t="s">
        <v>3088</v>
      </c>
      <c r="I426" s="824">
        <v>6.8715299999999999</v>
      </c>
      <c r="J426" s="824">
        <v>8.5189520278147004</v>
      </c>
      <c r="K426" s="824" t="s">
        <v>3088</v>
      </c>
      <c r="L426" s="824">
        <v>80.997560975609773</v>
      </c>
      <c r="M426" s="824">
        <v>2.6</v>
      </c>
    </row>
    <row r="427" spans="1:13">
      <c r="A427" s="824">
        <v>2010</v>
      </c>
      <c r="B427" s="824" t="s">
        <v>449</v>
      </c>
      <c r="C427" s="824" t="str">
        <f t="shared" si="6"/>
        <v>2010_Peru</v>
      </c>
      <c r="D427" s="824">
        <v>148522810971.50192</v>
      </c>
      <c r="E427" s="824">
        <v>29262830</v>
      </c>
      <c r="F427" s="824">
        <v>20.145402042179157</v>
      </c>
      <c r="G427" s="824">
        <v>-255920000</v>
      </c>
      <c r="H427" s="824">
        <v>-255920000</v>
      </c>
      <c r="I427" s="824">
        <v>2.6887599999999998</v>
      </c>
      <c r="J427" s="824">
        <v>2.7433049608395401</v>
      </c>
      <c r="K427" s="824">
        <v>30.8</v>
      </c>
      <c r="L427" s="824">
        <v>73.905097560975619</v>
      </c>
      <c r="M427" s="824">
        <v>15.2</v>
      </c>
    </row>
    <row r="428" spans="1:13">
      <c r="A428" s="824">
        <v>2010</v>
      </c>
      <c r="B428" s="824" t="s">
        <v>488</v>
      </c>
      <c r="C428" s="824" t="str">
        <f t="shared" si="6"/>
        <v>2010_Sierra Leone</v>
      </c>
      <c r="D428" s="824">
        <v>2578159495.5592995</v>
      </c>
      <c r="E428" s="824">
        <v>5751976</v>
      </c>
      <c r="F428" s="824">
        <v>9.8246078293128054</v>
      </c>
      <c r="G428" s="824">
        <v>466850000</v>
      </c>
      <c r="H428" s="824">
        <v>466850000</v>
      </c>
      <c r="I428" s="824">
        <v>2.5912199999999999</v>
      </c>
      <c r="J428" s="824">
        <v>2.3672967957118201</v>
      </c>
      <c r="K428" s="824" t="s">
        <v>3088</v>
      </c>
      <c r="L428" s="824">
        <v>44.838951219512197</v>
      </c>
      <c r="M428" s="824">
        <v>114.4</v>
      </c>
    </row>
    <row r="429" spans="1:13">
      <c r="A429" s="824">
        <v>2010</v>
      </c>
      <c r="B429" s="824" t="s">
        <v>499</v>
      </c>
      <c r="C429" s="824" t="str">
        <f t="shared" si="6"/>
        <v>2010_Tanzania</v>
      </c>
      <c r="D429" s="824">
        <v>22915004589.311516</v>
      </c>
      <c r="E429" s="824">
        <v>44973330</v>
      </c>
      <c r="F429" s="824">
        <v>17.249346130305838</v>
      </c>
      <c r="G429" s="824">
        <v>2958180000</v>
      </c>
      <c r="H429" s="824">
        <v>2958180000</v>
      </c>
      <c r="I429" s="824">
        <v>6.1811999999999996</v>
      </c>
      <c r="J429" s="824">
        <v>2.8170831698648202</v>
      </c>
      <c r="K429" s="824" t="s">
        <v>3088</v>
      </c>
      <c r="L429" s="824">
        <v>59.181707317073176</v>
      </c>
      <c r="M429" s="824">
        <v>41.4</v>
      </c>
    </row>
    <row r="430" spans="1:13">
      <c r="A430" s="824">
        <v>2010</v>
      </c>
      <c r="B430" s="824" t="s">
        <v>3090</v>
      </c>
      <c r="C430" s="824" t="str">
        <f t="shared" si="6"/>
        <v>2010_Timor-Leste</v>
      </c>
      <c r="D430" s="824">
        <v>934000000</v>
      </c>
      <c r="E430" s="824">
        <v>1066409</v>
      </c>
      <c r="F430" s="824" t="s">
        <v>3088</v>
      </c>
      <c r="G430" s="824">
        <v>291500000</v>
      </c>
      <c r="H430" s="824">
        <v>291500000</v>
      </c>
      <c r="I430" s="824">
        <v>10.483779999999999</v>
      </c>
      <c r="J430" s="824">
        <v>4.2899097246029001</v>
      </c>
      <c r="K430" s="824" t="s">
        <v>3088</v>
      </c>
      <c r="L430" s="824">
        <v>65.944463414634157</v>
      </c>
      <c r="M430" s="824">
        <v>51.5</v>
      </c>
    </row>
    <row r="431" spans="1:13">
      <c r="A431" s="824">
        <v>2010</v>
      </c>
      <c r="B431" s="824" t="s">
        <v>517</v>
      </c>
      <c r="C431" s="824" t="str">
        <f t="shared" si="6"/>
        <v>2010_Togo</v>
      </c>
      <c r="D431" s="824">
        <v>3172945506.3569741</v>
      </c>
      <c r="E431" s="824">
        <v>6306014</v>
      </c>
      <c r="F431" s="824">
        <v>17.443958814676801</v>
      </c>
      <c r="G431" s="824">
        <v>404040000</v>
      </c>
      <c r="H431" s="824">
        <v>404040000</v>
      </c>
      <c r="I431" s="824">
        <v>4.4231999999999996</v>
      </c>
      <c r="J431" s="824">
        <v>3.4236850305299402</v>
      </c>
      <c r="K431" s="824" t="s">
        <v>3088</v>
      </c>
      <c r="L431" s="824">
        <v>55.468878048780489</v>
      </c>
      <c r="M431" s="824">
        <v>60.5</v>
      </c>
    </row>
    <row r="432" spans="1:13">
      <c r="A432" s="824">
        <v>2010</v>
      </c>
      <c r="B432" s="824" t="s">
        <v>3091</v>
      </c>
      <c r="C432" s="824" t="str">
        <f t="shared" si="6"/>
        <v>2010_Trinidad and Tobago</v>
      </c>
      <c r="D432" s="824">
        <v>20758191857.981426</v>
      </c>
      <c r="E432" s="824">
        <v>1328095</v>
      </c>
      <c r="F432" s="824">
        <v>35.455266086373264</v>
      </c>
      <c r="G432" s="824">
        <v>4330000</v>
      </c>
      <c r="H432" s="824">
        <v>4330000</v>
      </c>
      <c r="I432" s="824" t="s">
        <v>3088</v>
      </c>
      <c r="J432" s="824">
        <v>2.9272915225448499</v>
      </c>
      <c r="K432" s="824" t="s">
        <v>3088</v>
      </c>
      <c r="L432" s="824">
        <v>69.597365853658545</v>
      </c>
      <c r="M432" s="824">
        <v>20.8</v>
      </c>
    </row>
    <row r="433" spans="1:13">
      <c r="A433" s="824">
        <v>2010</v>
      </c>
      <c r="B433" s="824" t="s">
        <v>3092</v>
      </c>
      <c r="C433" s="824" t="str">
        <f t="shared" si="6"/>
        <v>2010_Yemen, Rep.</v>
      </c>
      <c r="D433" s="824">
        <v>31743751169.317116</v>
      </c>
      <c r="E433" s="824">
        <v>22763008</v>
      </c>
      <c r="F433" s="824" t="s">
        <v>3088</v>
      </c>
      <c r="G433" s="824">
        <v>664230000</v>
      </c>
      <c r="H433" s="824">
        <v>664230000</v>
      </c>
      <c r="I433" s="824" t="s">
        <v>3088</v>
      </c>
      <c r="J433" s="824">
        <v>1.2885190673772899</v>
      </c>
      <c r="K433" s="824" t="s">
        <v>3088</v>
      </c>
      <c r="L433" s="824">
        <v>62.527658536585378</v>
      </c>
      <c r="M433" s="824">
        <v>45.5</v>
      </c>
    </row>
    <row r="434" spans="1:13">
      <c r="A434" s="824">
        <v>2010</v>
      </c>
      <c r="B434" s="824" t="s">
        <v>541</v>
      </c>
      <c r="C434" s="824" t="str">
        <f t="shared" si="6"/>
        <v>2010_Zambia</v>
      </c>
      <c r="D434" s="824">
        <v>20265396325.594734</v>
      </c>
      <c r="E434" s="824">
        <v>13216985</v>
      </c>
      <c r="F434" s="824">
        <v>13.919701448081323</v>
      </c>
      <c r="G434" s="824">
        <v>914370000</v>
      </c>
      <c r="H434" s="824">
        <v>914370000</v>
      </c>
      <c r="I434" s="824" t="s">
        <v>3088</v>
      </c>
      <c r="J434" s="824">
        <v>3.71833740378016</v>
      </c>
      <c r="K434" s="824">
        <v>60.5</v>
      </c>
      <c r="L434" s="824">
        <v>54.527560975609767</v>
      </c>
      <c r="M434" s="824">
        <v>63.5</v>
      </c>
    </row>
    <row r="435" spans="1:13">
      <c r="A435" s="824">
        <v>2011</v>
      </c>
      <c r="B435" s="824" t="s">
        <v>21</v>
      </c>
      <c r="C435" s="824" t="str">
        <f t="shared" si="6"/>
        <v>2011_Afghanistan</v>
      </c>
      <c r="D435" s="824">
        <v>17870159081.787025</v>
      </c>
      <c r="E435" s="824">
        <v>29105480</v>
      </c>
      <c r="F435" s="824">
        <v>11.429836990904029</v>
      </c>
      <c r="G435" s="824">
        <v>6884700000</v>
      </c>
      <c r="H435" s="824">
        <v>6884700000</v>
      </c>
      <c r="I435" s="824" t="s">
        <v>3088</v>
      </c>
      <c r="J435" s="824">
        <v>1.6025985835148999</v>
      </c>
      <c r="K435" s="824">
        <v>35.799999999999997</v>
      </c>
      <c r="L435" s="824">
        <v>60.065365853658541</v>
      </c>
      <c r="M435" s="824">
        <v>73.599999999999994</v>
      </c>
    </row>
    <row r="436" spans="1:13">
      <c r="A436" s="824">
        <v>2011</v>
      </c>
      <c r="B436" s="824" t="s">
        <v>38</v>
      </c>
      <c r="C436" s="824" t="str">
        <f t="shared" si="6"/>
        <v>2011_Albania</v>
      </c>
      <c r="D436" s="824">
        <v>12890866742.653254</v>
      </c>
      <c r="E436" s="824">
        <v>2829337</v>
      </c>
      <c r="F436" s="824" t="s">
        <v>3088</v>
      </c>
      <c r="G436" s="824">
        <v>350750000</v>
      </c>
      <c r="H436" s="824">
        <v>350750000</v>
      </c>
      <c r="I436" s="824" t="s">
        <v>3088</v>
      </c>
      <c r="J436" s="824">
        <v>2.8899867811004798</v>
      </c>
      <c r="K436" s="824" t="s">
        <v>3088</v>
      </c>
      <c r="L436" s="824">
        <v>77.163219512195127</v>
      </c>
      <c r="M436" s="824">
        <v>14.2</v>
      </c>
    </row>
    <row r="437" spans="1:13">
      <c r="A437" s="824">
        <v>2011</v>
      </c>
      <c r="B437" s="824" t="s">
        <v>53</v>
      </c>
      <c r="C437" s="824" t="str">
        <f t="shared" si="6"/>
        <v>2011_Azerbaijan</v>
      </c>
      <c r="D437" s="824">
        <v>65951627200.202614</v>
      </c>
      <c r="E437" s="824">
        <v>9173082</v>
      </c>
      <c r="F437" s="824">
        <v>45.481356322721858</v>
      </c>
      <c r="G437" s="824">
        <v>286410000</v>
      </c>
      <c r="H437" s="824">
        <v>286410000</v>
      </c>
      <c r="I437" s="824">
        <v>2.4356399999999998</v>
      </c>
      <c r="J437" s="824">
        <v>1.0809876732844399</v>
      </c>
      <c r="K437" s="824">
        <v>7.6</v>
      </c>
      <c r="L437" s="824">
        <v>70.551292682926842</v>
      </c>
      <c r="M437" s="824">
        <v>32.4</v>
      </c>
    </row>
    <row r="438" spans="1:13">
      <c r="A438" s="824">
        <v>2011</v>
      </c>
      <c r="B438" s="824" t="s">
        <v>98</v>
      </c>
      <c r="C438" s="824" t="str">
        <f t="shared" si="6"/>
        <v>2011_Burkina Faso</v>
      </c>
      <c r="D438" s="824">
        <v>10395757480.230143</v>
      </c>
      <c r="E438" s="824">
        <v>15995313</v>
      </c>
      <c r="F438" s="824">
        <v>16.17839328923581</v>
      </c>
      <c r="G438" s="824">
        <v>995120000</v>
      </c>
      <c r="H438" s="824">
        <v>995120000</v>
      </c>
      <c r="I438" s="824">
        <v>3.4270100000000001</v>
      </c>
      <c r="J438" s="824">
        <v>3.1526792812272699</v>
      </c>
      <c r="K438" s="824" t="s">
        <v>3088</v>
      </c>
      <c r="L438" s="824">
        <v>55.440487804878053</v>
      </c>
      <c r="M438" s="824">
        <v>67.7</v>
      </c>
    </row>
    <row r="439" spans="1:13">
      <c r="A439" s="824">
        <v>2011</v>
      </c>
      <c r="B439" s="824" t="s">
        <v>101</v>
      </c>
      <c r="C439" s="824" t="str">
        <f t="shared" si="6"/>
        <v>2011_Cameroon</v>
      </c>
      <c r="D439" s="824">
        <v>26587310733.573769</v>
      </c>
      <c r="E439" s="824">
        <v>21156272</v>
      </c>
      <c r="F439" s="824" t="s">
        <v>3088</v>
      </c>
      <c r="G439" s="824">
        <v>611840000</v>
      </c>
      <c r="H439" s="824">
        <v>611840000</v>
      </c>
      <c r="I439" s="824">
        <v>3.18472</v>
      </c>
      <c r="J439" s="824">
        <v>1.85908388132541</v>
      </c>
      <c r="K439" s="824" t="s">
        <v>3088</v>
      </c>
      <c r="L439" s="824">
        <v>54.137365853658544</v>
      </c>
      <c r="M439" s="824">
        <v>64.3</v>
      </c>
    </row>
    <row r="440" spans="1:13">
      <c r="A440" s="824">
        <v>2011</v>
      </c>
      <c r="B440" s="824" t="s">
        <v>138</v>
      </c>
      <c r="C440" s="824" t="str">
        <f t="shared" si="6"/>
        <v>2011_Chad</v>
      </c>
      <c r="D440" s="824">
        <v>12156380062.047134</v>
      </c>
      <c r="E440" s="824">
        <v>12080037</v>
      </c>
      <c r="F440" s="824" t="s">
        <v>3088</v>
      </c>
      <c r="G440" s="824">
        <v>460190000</v>
      </c>
      <c r="H440" s="824">
        <v>460190000</v>
      </c>
      <c r="I440" s="824">
        <v>2.2578999999999998</v>
      </c>
      <c r="J440" s="824">
        <v>0.84052690367454397</v>
      </c>
      <c r="K440" s="824">
        <v>46.7</v>
      </c>
      <c r="L440" s="824">
        <v>50.236195121951226</v>
      </c>
      <c r="M440" s="824">
        <v>91.9</v>
      </c>
    </row>
    <row r="441" spans="1:13">
      <c r="A441" s="824">
        <v>2011</v>
      </c>
      <c r="B441" s="824" t="s">
        <v>127</v>
      </c>
      <c r="C441" s="824" t="str">
        <f t="shared" si="6"/>
        <v>2011_Central African Republic</v>
      </c>
      <c r="D441" s="824">
        <v>2195599491.1697845</v>
      </c>
      <c r="E441" s="824">
        <v>4436217</v>
      </c>
      <c r="F441" s="824">
        <v>9.564945013315274</v>
      </c>
      <c r="G441" s="824">
        <v>268760000</v>
      </c>
      <c r="H441" s="824">
        <v>268760000</v>
      </c>
      <c r="I441" s="824">
        <v>1.21913</v>
      </c>
      <c r="J441" s="824">
        <v>1.9946628158463799</v>
      </c>
      <c r="K441" s="824" t="s">
        <v>3088</v>
      </c>
      <c r="L441" s="824">
        <v>48.793048780487808</v>
      </c>
      <c r="M441" s="824">
        <v>100.1</v>
      </c>
    </row>
    <row r="442" spans="1:13">
      <c r="A442" s="824">
        <v>2011</v>
      </c>
      <c r="B442" s="824" t="s">
        <v>171</v>
      </c>
      <c r="C442" s="824" t="str">
        <f t="shared" si="6"/>
        <v>2011_Democratic Republic of Congo</v>
      </c>
      <c r="D442" s="824">
        <v>25835398967.342049</v>
      </c>
      <c r="E442" s="824">
        <v>63931512</v>
      </c>
      <c r="F442" s="824" t="s">
        <v>3088</v>
      </c>
      <c r="G442" s="824">
        <v>5534410000</v>
      </c>
      <c r="H442" s="824">
        <v>5534410000</v>
      </c>
      <c r="I442" s="824" t="s">
        <v>3088</v>
      </c>
      <c r="J442" s="824">
        <v>3.0834157425683899</v>
      </c>
      <c r="K442" s="824" t="s">
        <v>3088</v>
      </c>
      <c r="L442" s="824">
        <v>49.300707317073176</v>
      </c>
      <c r="M442" s="824">
        <v>90.2</v>
      </c>
    </row>
    <row r="443" spans="1:13">
      <c r="A443" s="824">
        <v>2011</v>
      </c>
      <c r="B443" s="824" t="s">
        <v>465</v>
      </c>
      <c r="C443" s="824" t="str">
        <f t="shared" si="6"/>
        <v>2011_Republic of the Congo</v>
      </c>
      <c r="D443" s="824">
        <v>14425606793.365059</v>
      </c>
      <c r="E443" s="824">
        <v>4225359</v>
      </c>
      <c r="F443" s="824" t="s">
        <v>3088</v>
      </c>
      <c r="G443" s="824">
        <v>259790000.00000003</v>
      </c>
      <c r="H443" s="824">
        <v>259790000.00000003</v>
      </c>
      <c r="I443" s="824" t="s">
        <v>3088</v>
      </c>
      <c r="J443" s="824">
        <v>1.6846000638124401</v>
      </c>
      <c r="K443" s="824">
        <v>46.5</v>
      </c>
      <c r="L443" s="824">
        <v>57.775219512195129</v>
      </c>
      <c r="M443" s="824">
        <v>39.4</v>
      </c>
    </row>
    <row r="444" spans="1:13">
      <c r="A444" s="824">
        <v>2011</v>
      </c>
      <c r="B444" s="824" t="s">
        <v>153</v>
      </c>
      <c r="C444" s="824" t="str">
        <f t="shared" si="6"/>
        <v>2011_Cote d'Ivoire</v>
      </c>
      <c r="D444" s="824">
        <v>25381617035.70116</v>
      </c>
      <c r="E444" s="824">
        <v>19389954</v>
      </c>
      <c r="F444" s="824">
        <v>12.503919059676164</v>
      </c>
      <c r="G444" s="824">
        <v>1436000000</v>
      </c>
      <c r="H444" s="824">
        <v>1436000000</v>
      </c>
      <c r="I444" s="824" t="s">
        <v>3088</v>
      </c>
      <c r="J444" s="824">
        <v>1.6615888269469401</v>
      </c>
      <c r="K444" s="824" t="s">
        <v>3088</v>
      </c>
      <c r="L444" s="824">
        <v>50.047560975609755</v>
      </c>
      <c r="M444" s="824">
        <v>75.2</v>
      </c>
    </row>
    <row r="445" spans="1:13">
      <c r="A445" s="824">
        <v>2011</v>
      </c>
      <c r="B445" s="824" t="s">
        <v>188</v>
      </c>
      <c r="C445" s="824" t="str">
        <f t="shared" si="6"/>
        <v>2011_Equatorial Guinea</v>
      </c>
      <c r="D445" s="824">
        <v>15725711943.066019</v>
      </c>
      <c r="E445" s="824">
        <v>715996</v>
      </c>
      <c r="F445" s="824" t="s">
        <v>3088</v>
      </c>
      <c r="G445" s="824">
        <v>24300000</v>
      </c>
      <c r="H445" s="824">
        <v>24300000</v>
      </c>
      <c r="I445" s="824" t="s">
        <v>3088</v>
      </c>
      <c r="J445" s="824">
        <v>2.4273821144797401</v>
      </c>
      <c r="K445" s="824" t="s">
        <v>3088</v>
      </c>
      <c r="L445" s="824">
        <v>52.08490243902439</v>
      </c>
      <c r="M445" s="824">
        <v>73.400000000000006</v>
      </c>
    </row>
    <row r="446" spans="1:13">
      <c r="A446" s="824">
        <v>2011</v>
      </c>
      <c r="B446" s="824" t="s">
        <v>191</v>
      </c>
      <c r="C446" s="824" t="str">
        <f t="shared" si="6"/>
        <v>2011_Gabon</v>
      </c>
      <c r="D446" s="824">
        <v>18796191833.085072</v>
      </c>
      <c r="E446" s="824">
        <v>1594034</v>
      </c>
      <c r="F446" s="824" t="s">
        <v>3088</v>
      </c>
      <c r="G446" s="824">
        <v>72550000</v>
      </c>
      <c r="H446" s="824">
        <v>72550000</v>
      </c>
      <c r="I446" s="824" t="s">
        <v>3088</v>
      </c>
      <c r="J446" s="824">
        <v>1.8001256694471599</v>
      </c>
      <c r="K446" s="824" t="s">
        <v>3088</v>
      </c>
      <c r="L446" s="824">
        <v>62.693341463414633</v>
      </c>
      <c r="M446" s="824">
        <v>41.6</v>
      </c>
    </row>
    <row r="447" spans="1:13">
      <c r="A447" s="824">
        <v>2011</v>
      </c>
      <c r="B447" s="824" t="s">
        <v>195</v>
      </c>
      <c r="C447" s="824" t="str">
        <f t="shared" si="6"/>
        <v>2011_Ghana</v>
      </c>
      <c r="D447" s="824">
        <v>39564771637.397896</v>
      </c>
      <c r="E447" s="824">
        <v>24820706</v>
      </c>
      <c r="F447" s="824">
        <v>19.371817114150062</v>
      </c>
      <c r="G447" s="824">
        <v>1810220000</v>
      </c>
      <c r="H447" s="824">
        <v>1810220000</v>
      </c>
      <c r="I447" s="824">
        <v>8.1409699999999994</v>
      </c>
      <c r="J447" s="824">
        <v>2.9444298154682498</v>
      </c>
      <c r="K447" s="824" t="s">
        <v>3088</v>
      </c>
      <c r="L447" s="824">
        <v>60.788585365853663</v>
      </c>
      <c r="M447" s="824">
        <v>54.2</v>
      </c>
    </row>
    <row r="448" spans="1:13">
      <c r="A448" s="824">
        <v>2011</v>
      </c>
      <c r="B448" s="824" t="s">
        <v>3089</v>
      </c>
      <c r="C448" s="824" t="str">
        <f t="shared" si="6"/>
        <v>2011_Guinea</v>
      </c>
      <c r="D448" s="824">
        <v>5067360041.1040449</v>
      </c>
      <c r="E448" s="824">
        <v>11161530</v>
      </c>
      <c r="F448" s="824" t="s">
        <v>3088</v>
      </c>
      <c r="G448" s="824">
        <v>204490000</v>
      </c>
      <c r="H448" s="824">
        <v>204490000</v>
      </c>
      <c r="I448" s="824">
        <v>3.0628299999999999</v>
      </c>
      <c r="J448" s="824">
        <v>1.45413775188702</v>
      </c>
      <c r="K448" s="824" t="s">
        <v>3088</v>
      </c>
      <c r="L448" s="824">
        <v>55.590195121951226</v>
      </c>
      <c r="M448" s="824">
        <v>69</v>
      </c>
    </row>
    <row r="449" spans="1:13">
      <c r="A449" s="824">
        <v>2011</v>
      </c>
      <c r="B449" s="824" t="s">
        <v>219</v>
      </c>
      <c r="C449" s="824" t="str">
        <f t="shared" si="6"/>
        <v>2011_Guatemala</v>
      </c>
      <c r="D449" s="824">
        <v>47654841112.852264</v>
      </c>
      <c r="E449" s="824">
        <v>14706578</v>
      </c>
      <c r="F449" s="824">
        <v>11.399262010775933</v>
      </c>
      <c r="G449" s="824">
        <v>387910000</v>
      </c>
      <c r="H449" s="824">
        <v>387910000</v>
      </c>
      <c r="I449" s="824">
        <v>2.91804</v>
      </c>
      <c r="J449" s="824">
        <v>2.3829820740474199</v>
      </c>
      <c r="K449" s="824">
        <v>53.7</v>
      </c>
      <c r="L449" s="824">
        <v>71.327902439024385</v>
      </c>
      <c r="M449" s="824">
        <v>27.5</v>
      </c>
    </row>
    <row r="450" spans="1:13">
      <c r="A450" s="824">
        <v>2011</v>
      </c>
      <c r="B450" s="824" t="s">
        <v>243</v>
      </c>
      <c r="C450" s="824" t="str">
        <f t="shared" si="6"/>
        <v>2011_Indonesia</v>
      </c>
      <c r="D450" s="824">
        <v>845931645338.69507</v>
      </c>
      <c r="E450" s="824">
        <v>243801639</v>
      </c>
      <c r="F450" s="824" t="s">
        <v>3088</v>
      </c>
      <c r="G450" s="824">
        <v>419270000</v>
      </c>
      <c r="H450" s="824">
        <v>419270000</v>
      </c>
      <c r="I450" s="824">
        <v>2.7670400000000002</v>
      </c>
      <c r="J450" s="824">
        <v>1.08560021804934</v>
      </c>
      <c r="K450" s="824">
        <v>12.5</v>
      </c>
      <c r="L450" s="824">
        <v>70.391560975609764</v>
      </c>
      <c r="M450" s="824">
        <v>26.4</v>
      </c>
    </row>
    <row r="451" spans="1:13">
      <c r="A451" s="824">
        <v>2011</v>
      </c>
      <c r="B451" s="824" t="s">
        <v>251</v>
      </c>
      <c r="C451" s="824" t="str">
        <f t="shared" si="6"/>
        <v>2011_Iraq</v>
      </c>
      <c r="D451" s="824">
        <v>185749664444.44446</v>
      </c>
      <c r="E451" s="824">
        <v>31760020</v>
      </c>
      <c r="F451" s="824" t="s">
        <v>3088</v>
      </c>
      <c r="G451" s="824">
        <v>1908080000</v>
      </c>
      <c r="H451" s="824">
        <v>1908080000</v>
      </c>
      <c r="I451" s="824" t="s">
        <v>3088</v>
      </c>
      <c r="J451" s="824">
        <v>2.0529155881024899</v>
      </c>
      <c r="K451" s="824" t="s">
        <v>3088</v>
      </c>
      <c r="L451" s="824">
        <v>69.015780487804889</v>
      </c>
      <c r="M451" s="824">
        <v>29.4</v>
      </c>
    </row>
    <row r="452" spans="1:13">
      <c r="A452" s="824">
        <v>2011</v>
      </c>
      <c r="B452" s="824" t="s">
        <v>280</v>
      </c>
      <c r="C452" s="824" t="str">
        <f t="shared" ref="C452:C515" si="7">$A452&amp;"_"&amp;$B452</f>
        <v>2011_Kazakhstan</v>
      </c>
      <c r="D452" s="824">
        <v>188048960311.22461</v>
      </c>
      <c r="E452" s="824">
        <v>16556600</v>
      </c>
      <c r="F452" s="824" t="s">
        <v>3088</v>
      </c>
      <c r="G452" s="824">
        <v>215510000</v>
      </c>
      <c r="H452" s="824">
        <v>215510000</v>
      </c>
      <c r="I452" s="824" t="s">
        <v>3088</v>
      </c>
      <c r="J452" s="824">
        <v>2.27155273982134</v>
      </c>
      <c r="K452" s="824">
        <v>5.5</v>
      </c>
      <c r="L452" s="824">
        <v>68.98</v>
      </c>
      <c r="M452" s="824">
        <v>17.600000000000001</v>
      </c>
    </row>
    <row r="453" spans="1:13">
      <c r="A453" s="824">
        <v>2011</v>
      </c>
      <c r="B453" s="824" t="s">
        <v>285</v>
      </c>
      <c r="C453" s="824" t="str">
        <f t="shared" si="7"/>
        <v>2011_Kyrgyz Republic</v>
      </c>
      <c r="D453" s="824">
        <v>6197766118.5985575</v>
      </c>
      <c r="E453" s="824">
        <v>5514600</v>
      </c>
      <c r="F453" s="824">
        <v>21.07396540637388</v>
      </c>
      <c r="G453" s="824">
        <v>525030000</v>
      </c>
      <c r="H453" s="824">
        <v>525030000</v>
      </c>
      <c r="I453" s="824">
        <v>6.7906199999999997</v>
      </c>
      <c r="J453" s="824">
        <v>3.7010895697386998</v>
      </c>
      <c r="K453" s="824">
        <v>36.799999999999997</v>
      </c>
      <c r="L453" s="824">
        <v>69.60243902439025</v>
      </c>
      <c r="M453" s="824">
        <v>24.9</v>
      </c>
    </row>
    <row r="454" spans="1:13">
      <c r="A454" s="824">
        <v>2011</v>
      </c>
      <c r="B454" s="824" t="s">
        <v>301</v>
      </c>
      <c r="C454" s="824" t="str">
        <f t="shared" si="7"/>
        <v>2011_Liberia</v>
      </c>
      <c r="D454" s="824">
        <v>1537753884.5750225</v>
      </c>
      <c r="E454" s="824">
        <v>4079697</v>
      </c>
      <c r="F454" s="824">
        <v>20.786675890617211</v>
      </c>
      <c r="G454" s="824">
        <v>764840000</v>
      </c>
      <c r="H454" s="824">
        <v>764840000</v>
      </c>
      <c r="I454" s="824" t="s">
        <v>3088</v>
      </c>
      <c r="J454" s="824">
        <v>4.6313662871430399</v>
      </c>
      <c r="K454" s="824" t="s">
        <v>3088</v>
      </c>
      <c r="L454" s="824">
        <v>59.859878048780494</v>
      </c>
      <c r="M454" s="824">
        <v>57.9</v>
      </c>
    </row>
    <row r="455" spans="1:13">
      <c r="A455" s="824">
        <v>2011</v>
      </c>
      <c r="B455" s="824" t="s">
        <v>316</v>
      </c>
      <c r="C455" s="824" t="str">
        <f t="shared" si="7"/>
        <v>2011_Madagascar</v>
      </c>
      <c r="D455" s="824">
        <v>9892702357.566906</v>
      </c>
      <c r="E455" s="824">
        <v>21678934</v>
      </c>
      <c r="F455" s="824">
        <v>10.277630795353078</v>
      </c>
      <c r="G455" s="824">
        <v>443270000</v>
      </c>
      <c r="H455" s="824">
        <v>443270000</v>
      </c>
      <c r="I455" s="824">
        <v>2.77576</v>
      </c>
      <c r="J455" s="824">
        <v>2.2967245730962502</v>
      </c>
      <c r="K455" s="824" t="s">
        <v>3088</v>
      </c>
      <c r="L455" s="824">
        <v>63.798902439024403</v>
      </c>
      <c r="M455" s="824">
        <v>42.2</v>
      </c>
    </row>
    <row r="456" spans="1:13">
      <c r="A456" s="824">
        <v>2011</v>
      </c>
      <c r="B456" s="824" t="s">
        <v>329</v>
      </c>
      <c r="C456" s="824" t="str">
        <f t="shared" si="7"/>
        <v>2011_Mali</v>
      </c>
      <c r="D456" s="824">
        <v>10647545670.176308</v>
      </c>
      <c r="E456" s="824">
        <v>14416737</v>
      </c>
      <c r="F456" s="824">
        <v>16.013378845595014</v>
      </c>
      <c r="G456" s="824">
        <v>1280610000</v>
      </c>
      <c r="H456" s="824">
        <v>1280610000</v>
      </c>
      <c r="I456" s="824">
        <v>4.7958699999999999</v>
      </c>
      <c r="J456" s="824">
        <v>2.9697002282442</v>
      </c>
      <c r="K456" s="824" t="s">
        <v>3088</v>
      </c>
      <c r="L456" s="824">
        <v>54.190829268292696</v>
      </c>
      <c r="M456" s="824">
        <v>81.099999999999994</v>
      </c>
    </row>
    <row r="457" spans="1:13">
      <c r="A457" s="824">
        <v>2011</v>
      </c>
      <c r="B457" s="824" t="s">
        <v>345</v>
      </c>
      <c r="C457" s="824" t="str">
        <f t="shared" si="7"/>
        <v>2011_Mauritania</v>
      </c>
      <c r="D457" s="824">
        <v>4136083638.0982671</v>
      </c>
      <c r="E457" s="824">
        <v>3702763</v>
      </c>
      <c r="F457" s="824" t="s">
        <v>3088</v>
      </c>
      <c r="G457" s="824">
        <v>382210000</v>
      </c>
      <c r="H457" s="824">
        <v>382210000</v>
      </c>
      <c r="I457" s="824">
        <v>3.6900499999999998</v>
      </c>
      <c r="J457" s="824">
        <v>3.8443618368605401</v>
      </c>
      <c r="K457" s="824" t="s">
        <v>3088</v>
      </c>
      <c r="L457" s="824">
        <v>61.186951219512203</v>
      </c>
      <c r="M457" s="824">
        <v>69.2</v>
      </c>
    </row>
    <row r="458" spans="1:13">
      <c r="A458" s="824">
        <v>2011</v>
      </c>
      <c r="B458" s="824" t="s">
        <v>364</v>
      </c>
      <c r="C458" s="824" t="str">
        <f t="shared" si="7"/>
        <v>2011_Mongolia</v>
      </c>
      <c r="D458" s="824">
        <v>8761426370.5587749</v>
      </c>
      <c r="E458" s="824">
        <v>2754209</v>
      </c>
      <c r="F458" s="824">
        <v>33.972503336239335</v>
      </c>
      <c r="G458" s="824">
        <v>350600000</v>
      </c>
      <c r="H458" s="824">
        <v>350600000</v>
      </c>
      <c r="I458" s="824">
        <v>5.4761699999999998</v>
      </c>
      <c r="J458" s="824">
        <v>3.77699524034725</v>
      </c>
      <c r="K458" s="824">
        <v>33.700000000000003</v>
      </c>
      <c r="L458" s="824">
        <v>67.124707317073174</v>
      </c>
      <c r="M458" s="824">
        <v>28.2</v>
      </c>
    </row>
    <row r="459" spans="1:13">
      <c r="A459" s="824">
        <v>2011</v>
      </c>
      <c r="B459" s="824" t="s">
        <v>385</v>
      </c>
      <c r="C459" s="824" t="str">
        <f t="shared" si="7"/>
        <v>2011_Mozambique</v>
      </c>
      <c r="D459" s="824">
        <v>13244880034.848072</v>
      </c>
      <c r="E459" s="824">
        <v>24581367</v>
      </c>
      <c r="F459" s="824">
        <v>20.634115775643156</v>
      </c>
      <c r="G459" s="824">
        <v>2084980000</v>
      </c>
      <c r="H459" s="824">
        <v>2084980000</v>
      </c>
      <c r="I459" s="824" t="s">
        <v>3088</v>
      </c>
      <c r="J459" s="824">
        <v>2.7978640893090301</v>
      </c>
      <c r="K459" s="824" t="s">
        <v>3088</v>
      </c>
      <c r="L459" s="824">
        <v>49.487829268292693</v>
      </c>
      <c r="M459" s="824">
        <v>67.8</v>
      </c>
    </row>
    <row r="460" spans="1:13">
      <c r="A460" s="824">
        <v>2011</v>
      </c>
      <c r="B460" s="824" t="s">
        <v>394</v>
      </c>
      <c r="C460" s="824" t="str">
        <f t="shared" si="7"/>
        <v>2011_Niger</v>
      </c>
      <c r="D460" s="824">
        <v>6409169698.1069489</v>
      </c>
      <c r="E460" s="824">
        <v>16511462</v>
      </c>
      <c r="F460" s="824" t="s">
        <v>3088</v>
      </c>
      <c r="G460" s="824">
        <v>649500000</v>
      </c>
      <c r="H460" s="824">
        <v>649500000</v>
      </c>
      <c r="I460" s="824">
        <v>4.2054200000000002</v>
      </c>
      <c r="J460" s="824">
        <v>2.27088954854554</v>
      </c>
      <c r="K460" s="824" t="s">
        <v>3088</v>
      </c>
      <c r="L460" s="824">
        <v>57.482634146341475</v>
      </c>
      <c r="M460" s="824">
        <v>63.7</v>
      </c>
    </row>
    <row r="461" spans="1:13">
      <c r="A461" s="824">
        <v>2011</v>
      </c>
      <c r="B461" s="824" t="s">
        <v>413</v>
      </c>
      <c r="C461" s="824" t="str">
        <f t="shared" si="7"/>
        <v>2011_Nigeria</v>
      </c>
      <c r="D461" s="824">
        <v>411743801711.64203</v>
      </c>
      <c r="E461" s="824">
        <v>164192925</v>
      </c>
      <c r="F461" s="824">
        <v>5.5773232387429257</v>
      </c>
      <c r="G461" s="824">
        <v>1768550000</v>
      </c>
      <c r="H461" s="824">
        <v>1768550000</v>
      </c>
      <c r="I461" s="824" t="s">
        <v>3088</v>
      </c>
      <c r="J461" s="824">
        <v>1.9434277198716301</v>
      </c>
      <c r="K461" s="824" t="s">
        <v>3088</v>
      </c>
      <c r="L461" s="824">
        <v>51.710243902439032</v>
      </c>
      <c r="M461" s="824">
        <v>79.2</v>
      </c>
    </row>
    <row r="462" spans="1:13">
      <c r="A462" s="824">
        <v>2011</v>
      </c>
      <c r="B462" s="824" t="s">
        <v>436</v>
      </c>
      <c r="C462" s="824" t="str">
        <f t="shared" si="7"/>
        <v>2011_Norway</v>
      </c>
      <c r="D462" s="824">
        <v>490806911071.2771</v>
      </c>
      <c r="E462" s="824">
        <v>4953088</v>
      </c>
      <c r="F462" s="824">
        <v>49.216949374359267</v>
      </c>
      <c r="G462" s="824" t="s">
        <v>3088</v>
      </c>
      <c r="H462" s="824" t="s">
        <v>3088</v>
      </c>
      <c r="I462" s="824" t="s">
        <v>3088</v>
      </c>
      <c r="J462" s="824">
        <v>8.4590809439981598</v>
      </c>
      <c r="K462" s="824" t="s">
        <v>3088</v>
      </c>
      <c r="L462" s="824">
        <v>81.2951219512195</v>
      </c>
      <c r="M462" s="824">
        <v>2.5</v>
      </c>
    </row>
    <row r="463" spans="1:13">
      <c r="A463" s="824">
        <v>2011</v>
      </c>
      <c r="B463" s="824" t="s">
        <v>449</v>
      </c>
      <c r="C463" s="824" t="str">
        <f t="shared" si="7"/>
        <v>2011_Peru</v>
      </c>
      <c r="D463" s="824">
        <v>170564249004.95398</v>
      </c>
      <c r="E463" s="824">
        <v>29614887</v>
      </c>
      <c r="F463" s="824">
        <v>20.943982120853647</v>
      </c>
      <c r="G463" s="824">
        <v>604820000</v>
      </c>
      <c r="H463" s="824">
        <v>604820000</v>
      </c>
      <c r="I463" s="824">
        <v>2.5311699999999999</v>
      </c>
      <c r="J463" s="824">
        <v>2.6990369269299799</v>
      </c>
      <c r="K463" s="824">
        <v>27.8</v>
      </c>
      <c r="L463" s="824">
        <v>74.210536585365858</v>
      </c>
      <c r="M463" s="824">
        <v>14.3</v>
      </c>
    </row>
    <row r="464" spans="1:13">
      <c r="A464" s="824">
        <v>2011</v>
      </c>
      <c r="B464" s="824" t="s">
        <v>488</v>
      </c>
      <c r="C464" s="824" t="str">
        <f t="shared" si="7"/>
        <v>2011_Sierra Leone</v>
      </c>
      <c r="D464" s="824">
        <v>2925391429.7983232</v>
      </c>
      <c r="E464" s="824">
        <v>5865491</v>
      </c>
      <c r="F464" s="824">
        <v>11.49178394884847</v>
      </c>
      <c r="G464" s="824">
        <v>425300000</v>
      </c>
      <c r="H464" s="824">
        <v>425300000</v>
      </c>
      <c r="I464" s="824">
        <v>2.6723599999999998</v>
      </c>
      <c r="J464" s="824">
        <v>2.6409520252557899</v>
      </c>
      <c r="K464" s="824">
        <v>52.9</v>
      </c>
      <c r="L464" s="824">
        <v>45.102585365853663</v>
      </c>
      <c r="M464" s="824">
        <v>112</v>
      </c>
    </row>
    <row r="465" spans="1:13">
      <c r="A465" s="824">
        <v>2011</v>
      </c>
      <c r="B465" s="824" t="s">
        <v>499</v>
      </c>
      <c r="C465" s="824" t="str">
        <f t="shared" si="7"/>
        <v>2011_Tanzania</v>
      </c>
      <c r="D465" s="824">
        <v>23874165023.892677</v>
      </c>
      <c r="E465" s="824">
        <v>46354607</v>
      </c>
      <c r="F465" s="824">
        <v>18.719239271817237</v>
      </c>
      <c r="G465" s="824">
        <v>2445770000</v>
      </c>
      <c r="H465" s="824">
        <v>2445770000</v>
      </c>
      <c r="I465" s="824" t="s">
        <v>3088</v>
      </c>
      <c r="J465" s="824">
        <v>2.7587333789439099</v>
      </c>
      <c r="K465" s="824" t="s">
        <v>3088</v>
      </c>
      <c r="L465" s="824">
        <v>60.074658536585375</v>
      </c>
      <c r="M465" s="824">
        <v>39.200000000000003</v>
      </c>
    </row>
    <row r="466" spans="1:13">
      <c r="A466" s="824">
        <v>2011</v>
      </c>
      <c r="B466" s="824" t="s">
        <v>3090</v>
      </c>
      <c r="C466" s="824" t="str">
        <f t="shared" si="7"/>
        <v>2011_Timor-Leste</v>
      </c>
      <c r="D466" s="824">
        <v>1123000000</v>
      </c>
      <c r="E466" s="824">
        <v>1120392</v>
      </c>
      <c r="F466" s="824" t="s">
        <v>3088</v>
      </c>
      <c r="G466" s="824">
        <v>279260000</v>
      </c>
      <c r="H466" s="824">
        <v>279260000</v>
      </c>
      <c r="I466" s="824">
        <v>9.4186800000000002</v>
      </c>
      <c r="J466" s="824">
        <v>3.5011915673693901</v>
      </c>
      <c r="K466" s="824" t="s">
        <v>3088</v>
      </c>
      <c r="L466" s="824">
        <v>66.491804878048782</v>
      </c>
      <c r="M466" s="824">
        <v>49.6</v>
      </c>
    </row>
    <row r="467" spans="1:13">
      <c r="A467" s="824">
        <v>2011</v>
      </c>
      <c r="B467" s="824" t="s">
        <v>517</v>
      </c>
      <c r="C467" s="824" t="str">
        <f t="shared" si="7"/>
        <v>2011_Togo</v>
      </c>
      <c r="D467" s="824">
        <v>3756023047.7909942</v>
      </c>
      <c r="E467" s="824">
        <v>6472304</v>
      </c>
      <c r="F467" s="824">
        <v>17.865082320547977</v>
      </c>
      <c r="G467" s="824">
        <v>542730000</v>
      </c>
      <c r="H467" s="824">
        <v>542730000</v>
      </c>
      <c r="I467" s="824">
        <v>4.52163</v>
      </c>
      <c r="J467" s="824">
        <v>4.1846152975892599</v>
      </c>
      <c r="K467" s="824">
        <v>58.7</v>
      </c>
      <c r="L467" s="824">
        <v>55.807658536585372</v>
      </c>
      <c r="M467" s="824">
        <v>59</v>
      </c>
    </row>
    <row r="468" spans="1:13">
      <c r="A468" s="824">
        <v>2011</v>
      </c>
      <c r="B468" s="824" t="s">
        <v>3091</v>
      </c>
      <c r="C468" s="824" t="str">
        <f t="shared" si="7"/>
        <v>2011_Trinidad and Tobago</v>
      </c>
      <c r="D468" s="824">
        <v>23676348287.27895</v>
      </c>
      <c r="E468" s="824">
        <v>1333082</v>
      </c>
      <c r="F468" s="824" t="s">
        <v>3088</v>
      </c>
      <c r="G468" s="824" t="s">
        <v>3088</v>
      </c>
      <c r="H468" s="824" t="s">
        <v>3088</v>
      </c>
      <c r="I468" s="824" t="s">
        <v>3088</v>
      </c>
      <c r="J468" s="824">
        <v>2.61229394934736</v>
      </c>
      <c r="K468" s="824" t="s">
        <v>3088</v>
      </c>
      <c r="L468" s="824">
        <v>69.708560975609771</v>
      </c>
      <c r="M468" s="824">
        <v>20.2</v>
      </c>
    </row>
    <row r="469" spans="1:13">
      <c r="A469" s="824">
        <v>2011</v>
      </c>
      <c r="B469" s="824" t="s">
        <v>3092</v>
      </c>
      <c r="C469" s="824" t="str">
        <f t="shared" si="7"/>
        <v>2011_Yemen, Rep.</v>
      </c>
      <c r="D469" s="824">
        <v>29207296703.296703</v>
      </c>
      <c r="E469" s="824">
        <v>23304206</v>
      </c>
      <c r="F469" s="824" t="s">
        <v>3088</v>
      </c>
      <c r="G469" s="824">
        <v>476120000</v>
      </c>
      <c r="H469" s="824">
        <v>476120000</v>
      </c>
      <c r="I469" s="824" t="s">
        <v>3088</v>
      </c>
      <c r="J469" s="824">
        <v>1.33532427959887</v>
      </c>
      <c r="K469" s="824" t="s">
        <v>3088</v>
      </c>
      <c r="L469" s="824">
        <v>62.718487804878059</v>
      </c>
      <c r="M469" s="824">
        <v>43.7</v>
      </c>
    </row>
    <row r="470" spans="1:13">
      <c r="A470" s="824">
        <v>2011</v>
      </c>
      <c r="B470" s="824" t="s">
        <v>541</v>
      </c>
      <c r="C470" s="824" t="str">
        <f t="shared" si="7"/>
        <v>2011_Zambia</v>
      </c>
      <c r="D470" s="824">
        <v>23731894786.497993</v>
      </c>
      <c r="E470" s="824">
        <v>13633796</v>
      </c>
      <c r="F470" s="824">
        <v>17.286030665418682</v>
      </c>
      <c r="G470" s="824">
        <v>1035060000</v>
      </c>
      <c r="H470" s="824">
        <v>1035060000</v>
      </c>
      <c r="I470" s="824" t="s">
        <v>3088</v>
      </c>
      <c r="J470" s="824">
        <v>3.92240541573761</v>
      </c>
      <c r="K470" s="824" t="s">
        <v>3088</v>
      </c>
      <c r="L470" s="824">
        <v>55.833146341463419</v>
      </c>
      <c r="M470" s="824">
        <v>59.3</v>
      </c>
    </row>
    <row r="471" spans="1:13">
      <c r="A471" s="824">
        <v>2012</v>
      </c>
      <c r="B471" s="824" t="s">
        <v>21</v>
      </c>
      <c r="C471" s="824" t="str">
        <f t="shared" si="7"/>
        <v>2012_Afghanistan</v>
      </c>
      <c r="D471" s="824">
        <v>20506795254.488354</v>
      </c>
      <c r="E471" s="824">
        <v>29824536</v>
      </c>
      <c r="F471" s="824">
        <v>9.8880844565544379</v>
      </c>
      <c r="G471" s="824">
        <v>6725030000</v>
      </c>
      <c r="H471" s="824">
        <v>6725030000</v>
      </c>
      <c r="I471" s="824" t="s">
        <v>3088</v>
      </c>
      <c r="J471" s="824">
        <v>1.7987943457912601</v>
      </c>
      <c r="K471" s="824" t="s">
        <v>3088</v>
      </c>
      <c r="L471" s="824">
        <v>60.50912195121952</v>
      </c>
      <c r="M471" s="824">
        <v>72</v>
      </c>
    </row>
    <row r="472" spans="1:13">
      <c r="A472" s="824">
        <v>2012</v>
      </c>
      <c r="B472" s="824" t="s">
        <v>38</v>
      </c>
      <c r="C472" s="824" t="str">
        <f t="shared" si="7"/>
        <v>2012_Albania</v>
      </c>
      <c r="D472" s="824">
        <v>12344529628.061665</v>
      </c>
      <c r="E472" s="824">
        <v>2801681</v>
      </c>
      <c r="F472" s="824" t="s">
        <v>3088</v>
      </c>
      <c r="G472" s="824">
        <v>341620000</v>
      </c>
      <c r="H472" s="824">
        <v>341620000</v>
      </c>
      <c r="I472" s="824" t="s">
        <v>3088</v>
      </c>
      <c r="J472" s="824">
        <v>2.8431629355147199</v>
      </c>
      <c r="K472" s="824">
        <v>14.3</v>
      </c>
      <c r="L472" s="824">
        <v>77.350463414634149</v>
      </c>
      <c r="M472" s="824">
        <v>13.8</v>
      </c>
    </row>
    <row r="473" spans="1:13">
      <c r="A473" s="824">
        <v>2012</v>
      </c>
      <c r="B473" s="824" t="s">
        <v>53</v>
      </c>
      <c r="C473" s="824" t="str">
        <f t="shared" si="7"/>
        <v>2012_Azerbaijan</v>
      </c>
      <c r="D473" s="824">
        <v>68730906313.64563</v>
      </c>
      <c r="E473" s="824">
        <v>9295784</v>
      </c>
      <c r="F473" s="824">
        <v>41.846282063153993</v>
      </c>
      <c r="G473" s="824">
        <v>337610000</v>
      </c>
      <c r="H473" s="824">
        <v>337610000</v>
      </c>
      <c r="I473" s="824" t="s">
        <v>3088</v>
      </c>
      <c r="J473" s="824">
        <v>1.22738957310862</v>
      </c>
      <c r="K473" s="824">
        <v>6</v>
      </c>
      <c r="L473" s="824">
        <v>70.624951219512212</v>
      </c>
      <c r="M473" s="824">
        <v>31.1</v>
      </c>
    </row>
    <row r="474" spans="1:13">
      <c r="A474" s="824">
        <v>2012</v>
      </c>
      <c r="B474" s="824" t="s">
        <v>98</v>
      </c>
      <c r="C474" s="824" t="str">
        <f t="shared" si="7"/>
        <v>2012_Burkina Faso</v>
      </c>
      <c r="D474" s="824">
        <v>10726305449.611792</v>
      </c>
      <c r="E474" s="824">
        <v>16460141</v>
      </c>
      <c r="F474" s="824">
        <v>18.23961667800074</v>
      </c>
      <c r="G474" s="824">
        <v>1158540000</v>
      </c>
      <c r="H474" s="824">
        <v>1158540000</v>
      </c>
      <c r="I474" s="824" t="s">
        <v>3088</v>
      </c>
      <c r="J474" s="824">
        <v>3.3515467693304801</v>
      </c>
      <c r="K474" s="824" t="s">
        <v>3088</v>
      </c>
      <c r="L474" s="824">
        <v>55.86202439024391</v>
      </c>
      <c r="M474" s="824">
        <v>65.7</v>
      </c>
    </row>
    <row r="475" spans="1:13">
      <c r="A475" s="824">
        <v>2012</v>
      </c>
      <c r="B475" s="824" t="s">
        <v>101</v>
      </c>
      <c r="C475" s="824" t="str">
        <f t="shared" si="7"/>
        <v>2012_Cameroon</v>
      </c>
      <c r="D475" s="824">
        <v>26472054176.16637</v>
      </c>
      <c r="E475" s="824">
        <v>21699631</v>
      </c>
      <c r="F475" s="824" t="s">
        <v>3088</v>
      </c>
      <c r="G475" s="824">
        <v>596240000</v>
      </c>
      <c r="H475" s="824">
        <v>596240000</v>
      </c>
      <c r="I475" s="824">
        <v>3.10012</v>
      </c>
      <c r="J475" s="824">
        <v>1.71938325031211</v>
      </c>
      <c r="K475" s="824" t="s">
        <v>3088</v>
      </c>
      <c r="L475" s="824">
        <v>54.58751219512196</v>
      </c>
      <c r="M475" s="824">
        <v>62.4</v>
      </c>
    </row>
    <row r="476" spans="1:13">
      <c r="A476" s="824">
        <v>2012</v>
      </c>
      <c r="B476" s="824" t="s">
        <v>138</v>
      </c>
      <c r="C476" s="824" t="str">
        <f t="shared" si="7"/>
        <v>2012_Chad</v>
      </c>
      <c r="D476" s="824">
        <v>12887072081.636263</v>
      </c>
      <c r="E476" s="824">
        <v>12448175</v>
      </c>
      <c r="F476" s="824" t="s">
        <v>3088</v>
      </c>
      <c r="G476" s="824">
        <v>478590000</v>
      </c>
      <c r="H476" s="824">
        <v>478590000</v>
      </c>
      <c r="I476" s="824" t="s">
        <v>3088</v>
      </c>
      <c r="J476" s="824">
        <v>0.87857213638364395</v>
      </c>
      <c r="K476" s="824" t="s">
        <v>3088</v>
      </c>
      <c r="L476" s="824">
        <v>50.700585365853662</v>
      </c>
      <c r="M476" s="824">
        <v>90.2</v>
      </c>
    </row>
    <row r="477" spans="1:13">
      <c r="A477" s="824">
        <v>2012</v>
      </c>
      <c r="B477" s="824" t="s">
        <v>127</v>
      </c>
      <c r="C477" s="824" t="str">
        <f t="shared" si="7"/>
        <v>2012_Central African Republic</v>
      </c>
      <c r="D477" s="824">
        <v>2169706411.4779911</v>
      </c>
      <c r="E477" s="824">
        <v>4525209</v>
      </c>
      <c r="F477" s="824">
        <v>11.053706709140791</v>
      </c>
      <c r="G477" s="824">
        <v>227250000</v>
      </c>
      <c r="H477" s="824">
        <v>227250000</v>
      </c>
      <c r="I477" s="824" t="s">
        <v>3088</v>
      </c>
      <c r="J477" s="824">
        <v>1.8669628699587899</v>
      </c>
      <c r="K477" s="824" t="s">
        <v>3088</v>
      </c>
      <c r="L477" s="824">
        <v>49.475390243902446</v>
      </c>
      <c r="M477" s="824">
        <v>97.9</v>
      </c>
    </row>
    <row r="478" spans="1:13">
      <c r="A478" s="824">
        <v>2012</v>
      </c>
      <c r="B478" s="824" t="s">
        <v>171</v>
      </c>
      <c r="C478" s="824" t="str">
        <f t="shared" si="7"/>
        <v>2012_Democratic Republic of Congo</v>
      </c>
      <c r="D478" s="824">
        <v>29306222815.632816</v>
      </c>
      <c r="E478" s="824">
        <v>65705093</v>
      </c>
      <c r="F478" s="824" t="s">
        <v>3088</v>
      </c>
      <c r="G478" s="824">
        <v>2859380000</v>
      </c>
      <c r="H478" s="824">
        <v>2859380000</v>
      </c>
      <c r="I478" s="824" t="s">
        <v>3088</v>
      </c>
      <c r="J478" s="824">
        <v>2.8686960534763899</v>
      </c>
      <c r="K478" s="824" t="s">
        <v>3088</v>
      </c>
      <c r="L478" s="824">
        <v>49.62326829268293</v>
      </c>
      <c r="M478" s="824">
        <v>88.1</v>
      </c>
    </row>
    <row r="479" spans="1:13">
      <c r="A479" s="824">
        <v>2012</v>
      </c>
      <c r="B479" s="824" t="s">
        <v>465</v>
      </c>
      <c r="C479" s="824" t="str">
        <f t="shared" si="7"/>
        <v>2012_Republic of the Congo</v>
      </c>
      <c r="D479" s="824">
        <v>13677929161.714231</v>
      </c>
      <c r="E479" s="824">
        <v>4337051</v>
      </c>
      <c r="F479" s="824" t="s">
        <v>3088</v>
      </c>
      <c r="G479" s="824">
        <v>138600000</v>
      </c>
      <c r="H479" s="824">
        <v>138600000</v>
      </c>
      <c r="I479" s="824" t="s">
        <v>3088</v>
      </c>
      <c r="J479" s="824">
        <v>2.33824628006772</v>
      </c>
      <c r="K479" s="824" t="s">
        <v>3088</v>
      </c>
      <c r="L479" s="824">
        <v>58.296560975609758</v>
      </c>
      <c r="M479" s="824">
        <v>37.299999999999997</v>
      </c>
    </row>
    <row r="480" spans="1:13">
      <c r="A480" s="824">
        <v>2012</v>
      </c>
      <c r="B480" s="824" t="s">
        <v>153</v>
      </c>
      <c r="C480" s="824" t="str">
        <f t="shared" si="7"/>
        <v>2012_Cote d'Ivoire</v>
      </c>
      <c r="D480" s="824">
        <v>27098590232.320923</v>
      </c>
      <c r="E480" s="824">
        <v>19839750</v>
      </c>
      <c r="F480" s="824">
        <v>16.22531603408353</v>
      </c>
      <c r="G480" s="824">
        <v>2635630000</v>
      </c>
      <c r="H480" s="824">
        <v>2635630000</v>
      </c>
      <c r="I480" s="824" t="s">
        <v>3088</v>
      </c>
      <c r="J480" s="824">
        <v>1.94158637361151</v>
      </c>
      <c r="K480" s="824" t="s">
        <v>3088</v>
      </c>
      <c r="L480" s="824">
        <v>50.401731707317076</v>
      </c>
      <c r="M480" s="824">
        <v>73.2</v>
      </c>
    </row>
    <row r="481" spans="1:13">
      <c r="A481" s="824">
        <v>2012</v>
      </c>
      <c r="B481" s="824" t="s">
        <v>188</v>
      </c>
      <c r="C481" s="824" t="str">
        <f t="shared" si="7"/>
        <v>2012_Equatorial Guinea</v>
      </c>
      <c r="D481" s="824">
        <v>16496531232.99827</v>
      </c>
      <c r="E481" s="824">
        <v>736296</v>
      </c>
      <c r="F481" s="824" t="s">
        <v>3088</v>
      </c>
      <c r="G481" s="824">
        <v>14200000</v>
      </c>
      <c r="H481" s="824">
        <v>14200000</v>
      </c>
      <c r="I481" s="824" t="s">
        <v>3088</v>
      </c>
      <c r="J481" s="824">
        <v>2.57044205634267</v>
      </c>
      <c r="K481" s="824" t="s">
        <v>3088</v>
      </c>
      <c r="L481" s="824">
        <v>52.612902439024396</v>
      </c>
      <c r="M481" s="824">
        <v>71.3</v>
      </c>
    </row>
    <row r="482" spans="1:13">
      <c r="A482" s="824">
        <v>2012</v>
      </c>
      <c r="B482" s="824" t="s">
        <v>191</v>
      </c>
      <c r="C482" s="824" t="str">
        <f t="shared" si="7"/>
        <v>2012_Gabon</v>
      </c>
      <c r="D482" s="824">
        <v>17843815459.300541</v>
      </c>
      <c r="E482" s="824">
        <v>1632572</v>
      </c>
      <c r="F482" s="824" t="s">
        <v>3088</v>
      </c>
      <c r="G482" s="824">
        <v>73200000</v>
      </c>
      <c r="H482" s="824">
        <v>73200000</v>
      </c>
      <c r="I482" s="824" t="s">
        <v>3088</v>
      </c>
      <c r="J482" s="824">
        <v>1.7770733573972901</v>
      </c>
      <c r="K482" s="824" t="s">
        <v>3088</v>
      </c>
      <c r="L482" s="824">
        <v>63.073926829268295</v>
      </c>
      <c r="M482" s="824">
        <v>40</v>
      </c>
    </row>
    <row r="483" spans="1:13">
      <c r="A483" s="824">
        <v>2012</v>
      </c>
      <c r="B483" s="824" t="s">
        <v>195</v>
      </c>
      <c r="C483" s="824" t="str">
        <f t="shared" si="7"/>
        <v>2012_Ghana</v>
      </c>
      <c r="D483" s="824">
        <v>41740926505.118301</v>
      </c>
      <c r="E483" s="824">
        <v>25366462</v>
      </c>
      <c r="F483" s="824" t="s">
        <v>3088</v>
      </c>
      <c r="G483" s="824">
        <v>1807910000</v>
      </c>
      <c r="H483" s="824">
        <v>1807910000</v>
      </c>
      <c r="I483" s="824" t="s">
        <v>3088</v>
      </c>
      <c r="J483" s="824">
        <v>2.9554989812675698</v>
      </c>
      <c r="K483" s="824">
        <v>24.2</v>
      </c>
      <c r="L483" s="824">
        <v>60.947121951219515</v>
      </c>
      <c r="M483" s="824">
        <v>53.3</v>
      </c>
    </row>
    <row r="484" spans="1:13">
      <c r="A484" s="824">
        <v>2012</v>
      </c>
      <c r="B484" s="824" t="s">
        <v>3089</v>
      </c>
      <c r="C484" s="824" t="str">
        <f t="shared" si="7"/>
        <v>2012_Guinea</v>
      </c>
      <c r="D484" s="824">
        <v>5651088170.2860603</v>
      </c>
      <c r="E484" s="824">
        <v>11451273</v>
      </c>
      <c r="F484" s="824" t="s">
        <v>3088</v>
      </c>
      <c r="G484" s="824">
        <v>339650000</v>
      </c>
      <c r="H484" s="824">
        <v>339650000</v>
      </c>
      <c r="I484" s="824">
        <v>2.47139</v>
      </c>
      <c r="J484" s="824">
        <v>1.77206640601468</v>
      </c>
      <c r="K484" s="824">
        <v>55.2</v>
      </c>
      <c r="L484" s="824">
        <v>55.844658536585371</v>
      </c>
      <c r="M484" s="824">
        <v>67</v>
      </c>
    </row>
    <row r="485" spans="1:13">
      <c r="A485" s="824">
        <v>2012</v>
      </c>
      <c r="B485" s="824" t="s">
        <v>219</v>
      </c>
      <c r="C485" s="824" t="str">
        <f t="shared" si="7"/>
        <v>2012_Guatemala</v>
      </c>
      <c r="D485" s="824">
        <v>50388454861.111115</v>
      </c>
      <c r="E485" s="824">
        <v>15082831</v>
      </c>
      <c r="F485" s="824">
        <v>11.469881617564722</v>
      </c>
      <c r="G485" s="824">
        <v>299430000</v>
      </c>
      <c r="H485" s="824">
        <v>299430000</v>
      </c>
      <c r="I485" s="824" t="s">
        <v>3088</v>
      </c>
      <c r="J485" s="824">
        <v>2.40288760134638</v>
      </c>
      <c r="K485" s="824" t="s">
        <v>3088</v>
      </c>
      <c r="L485" s="824">
        <v>71.663853658536596</v>
      </c>
      <c r="M485" s="824">
        <v>26.6</v>
      </c>
    </row>
    <row r="486" spans="1:13">
      <c r="A486" s="824">
        <v>2012</v>
      </c>
      <c r="B486" s="824" t="s">
        <v>243</v>
      </c>
      <c r="C486" s="824" t="str">
        <f t="shared" si="7"/>
        <v>2012_Indonesia</v>
      </c>
      <c r="D486" s="824">
        <v>876719347689.15503</v>
      </c>
      <c r="E486" s="824">
        <v>246864191</v>
      </c>
      <c r="F486" s="824" t="s">
        <v>3088</v>
      </c>
      <c r="G486" s="824">
        <v>67810000</v>
      </c>
      <c r="H486" s="824">
        <v>67810000</v>
      </c>
      <c r="I486" s="824">
        <v>3.5620400000000001</v>
      </c>
      <c r="J486" s="824">
        <v>1.1997963501872999</v>
      </c>
      <c r="K486" s="824">
        <v>12</v>
      </c>
      <c r="L486" s="824">
        <v>70.607243902439038</v>
      </c>
      <c r="M486" s="824">
        <v>25.4</v>
      </c>
    </row>
    <row r="487" spans="1:13">
      <c r="A487" s="824">
        <v>2012</v>
      </c>
      <c r="B487" s="824" t="s">
        <v>251</v>
      </c>
      <c r="C487" s="824" t="str">
        <f t="shared" si="7"/>
        <v>2012_Iraq</v>
      </c>
      <c r="D487" s="824">
        <v>216044306775.30017</v>
      </c>
      <c r="E487" s="824">
        <v>32578209</v>
      </c>
      <c r="F487" s="824" t="s">
        <v>3088</v>
      </c>
      <c r="G487" s="824">
        <v>1300790000</v>
      </c>
      <c r="H487" s="824">
        <v>1300790000</v>
      </c>
      <c r="I487" s="824" t="s">
        <v>3088</v>
      </c>
      <c r="J487" s="824">
        <v>1.92174579901219</v>
      </c>
      <c r="K487" s="824">
        <v>18.899999999999999</v>
      </c>
      <c r="L487" s="824">
        <v>69.241926829268309</v>
      </c>
      <c r="M487" s="824">
        <v>28.8</v>
      </c>
    </row>
    <row r="488" spans="1:13">
      <c r="A488" s="824">
        <v>2012</v>
      </c>
      <c r="B488" s="824" t="s">
        <v>280</v>
      </c>
      <c r="C488" s="824" t="str">
        <f t="shared" si="7"/>
        <v>2012_Kazakhstan</v>
      </c>
      <c r="D488" s="824">
        <v>203517198088.69141</v>
      </c>
      <c r="E488" s="824">
        <v>16791425</v>
      </c>
      <c r="F488" s="824" t="s">
        <v>3088</v>
      </c>
      <c r="G488" s="824">
        <v>129639999.99999999</v>
      </c>
      <c r="H488" s="824">
        <v>129639999.99999999</v>
      </c>
      <c r="I488" s="824" t="s">
        <v>3088</v>
      </c>
      <c r="J488" s="824">
        <v>2.4184484202812699</v>
      </c>
      <c r="K488" s="824">
        <v>3.8</v>
      </c>
      <c r="L488" s="824">
        <v>69.61</v>
      </c>
      <c r="M488" s="824">
        <v>16</v>
      </c>
    </row>
    <row r="489" spans="1:13">
      <c r="A489" s="824">
        <v>2012</v>
      </c>
      <c r="B489" s="824" t="s">
        <v>285</v>
      </c>
      <c r="C489" s="824" t="str">
        <f t="shared" si="7"/>
        <v>2012_Kyrgyz Republic</v>
      </c>
      <c r="D489" s="824">
        <v>6605139933.4106312</v>
      </c>
      <c r="E489" s="824">
        <v>5607200</v>
      </c>
      <c r="F489" s="824">
        <v>23.155222721069549</v>
      </c>
      <c r="G489" s="824">
        <v>472910000</v>
      </c>
      <c r="H489" s="824">
        <v>472910000</v>
      </c>
      <c r="I489" s="824" t="s">
        <v>3088</v>
      </c>
      <c r="J489" s="824">
        <v>4.2817311547724701</v>
      </c>
      <c r="K489" s="824">
        <v>38</v>
      </c>
      <c r="L489" s="824">
        <v>70.002439024390242</v>
      </c>
      <c r="M489" s="824">
        <v>23.2</v>
      </c>
    </row>
    <row r="490" spans="1:13">
      <c r="A490" s="824">
        <v>2012</v>
      </c>
      <c r="B490" s="824" t="s">
        <v>301</v>
      </c>
      <c r="C490" s="824" t="str">
        <f t="shared" si="7"/>
        <v>2012_Liberia</v>
      </c>
      <c r="D490" s="824">
        <v>1733828404.7414153</v>
      </c>
      <c r="E490" s="824">
        <v>4190435</v>
      </c>
      <c r="F490" s="824">
        <v>24.83990315581153</v>
      </c>
      <c r="G490" s="824">
        <v>570970000</v>
      </c>
      <c r="H490" s="824">
        <v>570970000</v>
      </c>
      <c r="I490" s="824">
        <v>2.8206899999999999</v>
      </c>
      <c r="J490" s="824">
        <v>4.6278142090733096</v>
      </c>
      <c r="K490" s="824" t="s">
        <v>3088</v>
      </c>
      <c r="L490" s="824">
        <v>60.206390243902447</v>
      </c>
      <c r="M490" s="824">
        <v>55.6</v>
      </c>
    </row>
    <row r="491" spans="1:13">
      <c r="A491" s="824">
        <v>2012</v>
      </c>
      <c r="B491" s="824" t="s">
        <v>316</v>
      </c>
      <c r="C491" s="824" t="str">
        <f t="shared" si="7"/>
        <v>2012_Madagascar</v>
      </c>
      <c r="D491" s="824">
        <v>9919780221.931982</v>
      </c>
      <c r="E491" s="824">
        <v>22293914</v>
      </c>
      <c r="F491" s="824" t="s">
        <v>3088</v>
      </c>
      <c r="G491" s="824">
        <v>378690000</v>
      </c>
      <c r="H491" s="824">
        <v>378690000</v>
      </c>
      <c r="I491" s="824">
        <v>2.7170100000000001</v>
      </c>
      <c r="J491" s="824">
        <v>2.4979380474902602</v>
      </c>
      <c r="K491" s="824" t="s">
        <v>3088</v>
      </c>
      <c r="L491" s="824">
        <v>64.248634146341473</v>
      </c>
      <c r="M491" s="824">
        <v>40.799999999999997</v>
      </c>
    </row>
    <row r="492" spans="1:13">
      <c r="A492" s="824">
        <v>2012</v>
      </c>
      <c r="B492" s="824" t="s">
        <v>329</v>
      </c>
      <c r="C492" s="824" t="str">
        <f t="shared" si="7"/>
        <v>2012_Mali</v>
      </c>
      <c r="D492" s="824">
        <v>10340794110.136602</v>
      </c>
      <c r="E492" s="824">
        <v>14853572</v>
      </c>
      <c r="F492" s="824">
        <v>16.598077456368852</v>
      </c>
      <c r="G492" s="824">
        <v>1001300000</v>
      </c>
      <c r="H492" s="824">
        <v>1001300000</v>
      </c>
      <c r="I492" s="824" t="s">
        <v>3088</v>
      </c>
      <c r="J492" s="824">
        <v>2.2692459238093199</v>
      </c>
      <c r="K492" s="824" t="s">
        <v>3088</v>
      </c>
      <c r="L492" s="824">
        <v>54.603926829268296</v>
      </c>
      <c r="M492" s="824">
        <v>79.400000000000006</v>
      </c>
    </row>
    <row r="493" spans="1:13">
      <c r="A493" s="824">
        <v>2012</v>
      </c>
      <c r="B493" s="824" t="s">
        <v>345</v>
      </c>
      <c r="C493" s="824" t="str">
        <f t="shared" si="7"/>
        <v>2012_Mauritania</v>
      </c>
      <c r="D493" s="824">
        <v>3958702640.0782146</v>
      </c>
      <c r="E493" s="824">
        <v>3796141</v>
      </c>
      <c r="F493" s="824" t="s">
        <v>3088</v>
      </c>
      <c r="G493" s="824">
        <v>408310000</v>
      </c>
      <c r="H493" s="824">
        <v>408310000</v>
      </c>
      <c r="I493" s="824" t="s">
        <v>3088</v>
      </c>
      <c r="J493" s="824">
        <v>4.0835321428140396</v>
      </c>
      <c r="K493" s="824" t="s">
        <v>3088</v>
      </c>
      <c r="L493" s="824">
        <v>61.350609756097562</v>
      </c>
      <c r="M493" s="824">
        <v>68.2</v>
      </c>
    </row>
    <row r="494" spans="1:13">
      <c r="A494" s="824">
        <v>2012</v>
      </c>
      <c r="B494" s="824" t="s">
        <v>364</v>
      </c>
      <c r="C494" s="824" t="str">
        <f t="shared" si="7"/>
        <v>2012_Mongolia</v>
      </c>
      <c r="D494" s="824">
        <v>10321968594.779902</v>
      </c>
      <c r="E494" s="824">
        <v>2796484</v>
      </c>
      <c r="F494" s="824">
        <v>30.509052637581512</v>
      </c>
      <c r="G494" s="824">
        <v>448780000</v>
      </c>
      <c r="H494" s="824">
        <v>448780000</v>
      </c>
      <c r="I494" s="824" t="s">
        <v>3088</v>
      </c>
      <c r="J494" s="824">
        <v>3.9663895322970402</v>
      </c>
      <c r="K494" s="824">
        <v>27.4</v>
      </c>
      <c r="L494" s="824">
        <v>67.339439024390245</v>
      </c>
      <c r="M494" s="824">
        <v>27.2</v>
      </c>
    </row>
    <row r="495" spans="1:13">
      <c r="A495" s="824">
        <v>2012</v>
      </c>
      <c r="B495" s="824" t="s">
        <v>385</v>
      </c>
      <c r="C495" s="824" t="str">
        <f t="shared" si="7"/>
        <v>2012_Mozambique</v>
      </c>
      <c r="D495" s="824">
        <v>14952946846.345062</v>
      </c>
      <c r="E495" s="824">
        <v>25203395</v>
      </c>
      <c r="F495" s="824">
        <v>22.89212727754235</v>
      </c>
      <c r="G495" s="824">
        <v>2096920000</v>
      </c>
      <c r="H495" s="824">
        <v>2096920000</v>
      </c>
      <c r="I495" s="824" t="s">
        <v>3088</v>
      </c>
      <c r="J495" s="824">
        <v>2.84236277037258</v>
      </c>
      <c r="K495" s="824" t="s">
        <v>3088</v>
      </c>
      <c r="L495" s="824">
        <v>49.836268292682938</v>
      </c>
      <c r="M495" s="824">
        <v>63.6</v>
      </c>
    </row>
    <row r="496" spans="1:13">
      <c r="A496" s="824">
        <v>2012</v>
      </c>
      <c r="B496" s="824" t="s">
        <v>394</v>
      </c>
      <c r="C496" s="824" t="str">
        <f t="shared" si="7"/>
        <v>2012_Niger</v>
      </c>
      <c r="D496" s="824">
        <v>6611341028.9871645</v>
      </c>
      <c r="E496" s="824">
        <v>17157042</v>
      </c>
      <c r="F496" s="824" t="s">
        <v>3088</v>
      </c>
      <c r="G496" s="824">
        <v>901870000</v>
      </c>
      <c r="H496" s="824">
        <v>901870000</v>
      </c>
      <c r="I496" s="824">
        <v>4.43567</v>
      </c>
      <c r="J496" s="824">
        <v>2.8449168433077601</v>
      </c>
      <c r="K496" s="824" t="s">
        <v>3088</v>
      </c>
      <c r="L496" s="824">
        <v>57.966170731707322</v>
      </c>
      <c r="M496" s="824">
        <v>61.6</v>
      </c>
    </row>
    <row r="497" spans="1:13">
      <c r="A497" s="824">
        <v>2012</v>
      </c>
      <c r="B497" s="824" t="s">
        <v>413</v>
      </c>
      <c r="C497" s="824" t="str">
        <f t="shared" si="7"/>
        <v>2012_Nigeria</v>
      </c>
      <c r="D497" s="824">
        <v>462979245902.41315</v>
      </c>
      <c r="E497" s="824">
        <v>168833776</v>
      </c>
      <c r="F497" s="824">
        <v>4.9996122569770671</v>
      </c>
      <c r="G497" s="824">
        <v>1915820000</v>
      </c>
      <c r="H497" s="824">
        <v>1915820000</v>
      </c>
      <c r="I497" s="824" t="s">
        <v>3088</v>
      </c>
      <c r="J497" s="824">
        <v>1.8891673902730799</v>
      </c>
      <c r="K497" s="824" t="s">
        <v>3088</v>
      </c>
      <c r="L497" s="824">
        <v>52.10902439024391</v>
      </c>
      <c r="M497" s="824">
        <v>76.599999999999994</v>
      </c>
    </row>
    <row r="498" spans="1:13">
      <c r="A498" s="824">
        <v>2012</v>
      </c>
      <c r="B498" s="824" t="s">
        <v>436</v>
      </c>
      <c r="C498" s="824" t="str">
        <f t="shared" si="7"/>
        <v>2012_Norway</v>
      </c>
      <c r="D498" s="824">
        <v>500029909755.04944</v>
      </c>
      <c r="E498" s="824">
        <v>5018573</v>
      </c>
      <c r="F498" s="824">
        <v>49.114380437577601</v>
      </c>
      <c r="G498" s="824" t="s">
        <v>3088</v>
      </c>
      <c r="H498" s="824" t="s">
        <v>3088</v>
      </c>
      <c r="I498" s="824" t="s">
        <v>3088</v>
      </c>
      <c r="J498" s="824">
        <v>7.66523708956099</v>
      </c>
      <c r="K498" s="824" t="s">
        <v>3088</v>
      </c>
      <c r="L498" s="824">
        <v>81.451219512195138</v>
      </c>
      <c r="M498" s="824">
        <v>2.2999999999999998</v>
      </c>
    </row>
    <row r="499" spans="1:13">
      <c r="A499" s="824">
        <v>2012</v>
      </c>
      <c r="B499" s="824" t="s">
        <v>449</v>
      </c>
      <c r="C499" s="824" t="str">
        <f t="shared" si="7"/>
        <v>2012_Peru</v>
      </c>
      <c r="D499" s="824">
        <v>192628494178.35443</v>
      </c>
      <c r="E499" s="824">
        <v>29987800</v>
      </c>
      <c r="F499" s="824">
        <v>21.510754766218842</v>
      </c>
      <c r="G499" s="824">
        <v>393820000</v>
      </c>
      <c r="H499" s="824">
        <v>393820000</v>
      </c>
      <c r="I499" s="824">
        <v>2.7604600000000001</v>
      </c>
      <c r="J499" s="824">
        <v>2.98654141864909</v>
      </c>
      <c r="K499" s="824">
        <v>25.8</v>
      </c>
      <c r="L499" s="824">
        <v>74.515536585365851</v>
      </c>
      <c r="M499" s="824">
        <v>13.6</v>
      </c>
    </row>
    <row r="500" spans="1:13">
      <c r="A500" s="824">
        <v>2012</v>
      </c>
      <c r="B500" s="824" t="s">
        <v>488</v>
      </c>
      <c r="C500" s="824" t="str">
        <f t="shared" si="7"/>
        <v>2012_Sierra Leone</v>
      </c>
      <c r="D500" s="824">
        <v>3529350504.3838177</v>
      </c>
      <c r="E500" s="824">
        <v>5978727</v>
      </c>
      <c r="F500" s="824">
        <v>12.219873710843929</v>
      </c>
      <c r="G500" s="824">
        <v>442820000</v>
      </c>
      <c r="H500" s="824">
        <v>442820000</v>
      </c>
      <c r="I500" s="824">
        <v>2.8764500000000002</v>
      </c>
      <c r="J500" s="824">
        <v>2.4994631528346001</v>
      </c>
      <c r="K500" s="824" t="s">
        <v>3088</v>
      </c>
      <c r="L500" s="824">
        <v>45.329048780487817</v>
      </c>
      <c r="M500" s="824">
        <v>109.6</v>
      </c>
    </row>
    <row r="501" spans="1:13">
      <c r="A501" s="824">
        <v>2012</v>
      </c>
      <c r="B501" s="824" t="s">
        <v>499</v>
      </c>
      <c r="C501" s="824" t="str">
        <f t="shared" si="7"/>
        <v>2012_Tanzania</v>
      </c>
      <c r="D501" s="824">
        <v>28248632095.687702</v>
      </c>
      <c r="E501" s="824">
        <v>47783107</v>
      </c>
      <c r="F501" s="824">
        <v>17.321821852641847</v>
      </c>
      <c r="G501" s="824">
        <v>2831890000</v>
      </c>
      <c r="H501" s="824">
        <v>2831890000</v>
      </c>
      <c r="I501" s="824" t="s">
        <v>3088</v>
      </c>
      <c r="J501" s="824">
        <v>2.7503102648098299</v>
      </c>
      <c r="K501" s="824">
        <v>28.2</v>
      </c>
      <c r="L501" s="824">
        <v>60.84643902439025</v>
      </c>
      <c r="M501" s="824">
        <v>37.700000000000003</v>
      </c>
    </row>
    <row r="502" spans="1:13">
      <c r="A502" s="824">
        <v>2012</v>
      </c>
      <c r="B502" s="824" t="s">
        <v>3090</v>
      </c>
      <c r="C502" s="824" t="str">
        <f t="shared" si="7"/>
        <v>2012_Timor-Leste</v>
      </c>
      <c r="D502" s="824">
        <v>1270000000</v>
      </c>
      <c r="E502" s="824">
        <v>1148958</v>
      </c>
      <c r="F502" s="824" t="s">
        <v>3088</v>
      </c>
      <c r="G502" s="824">
        <v>283070000</v>
      </c>
      <c r="H502" s="824">
        <v>283070000</v>
      </c>
      <c r="I502" s="824" t="s">
        <v>3088</v>
      </c>
      <c r="J502" s="824">
        <v>3.1646166937417801</v>
      </c>
      <c r="K502" s="824" t="s">
        <v>3088</v>
      </c>
      <c r="L502" s="824">
        <v>67.020585365853663</v>
      </c>
      <c r="M502" s="824">
        <v>47.9</v>
      </c>
    </row>
    <row r="503" spans="1:13">
      <c r="A503" s="824">
        <v>2012</v>
      </c>
      <c r="B503" s="824" t="s">
        <v>517</v>
      </c>
      <c r="C503" s="824" t="str">
        <f t="shared" si="7"/>
        <v>2012_Togo</v>
      </c>
      <c r="D503" s="824">
        <v>3915754216.2066875</v>
      </c>
      <c r="E503" s="824">
        <v>6642928</v>
      </c>
      <c r="F503" s="824">
        <v>18.586970065516155</v>
      </c>
      <c r="G503" s="824">
        <v>241460000</v>
      </c>
      <c r="H503" s="824">
        <v>241460000</v>
      </c>
      <c r="I503" s="824" t="s">
        <v>3088</v>
      </c>
      <c r="J503" s="824">
        <v>4.4414998198932603</v>
      </c>
      <c r="K503" s="824" t="s">
        <v>3088</v>
      </c>
      <c r="L503" s="824">
        <v>56.150341463414641</v>
      </c>
      <c r="M503" s="824">
        <v>57.4</v>
      </c>
    </row>
    <row r="504" spans="1:13">
      <c r="A504" s="824">
        <v>2012</v>
      </c>
      <c r="B504" s="824" t="s">
        <v>3091</v>
      </c>
      <c r="C504" s="824" t="str">
        <f t="shared" si="7"/>
        <v>2012_Trinidad and Tobago</v>
      </c>
      <c r="D504" s="824">
        <v>23436342519.932198</v>
      </c>
      <c r="E504" s="824">
        <v>1337439</v>
      </c>
      <c r="F504" s="824" t="s">
        <v>3088</v>
      </c>
      <c r="G504" s="824" t="s">
        <v>3088</v>
      </c>
      <c r="H504" s="824" t="s">
        <v>3088</v>
      </c>
      <c r="I504" s="824" t="s">
        <v>3088</v>
      </c>
      <c r="J504" s="824">
        <v>2.7405775332269502</v>
      </c>
      <c r="K504" s="824" t="s">
        <v>3088</v>
      </c>
      <c r="L504" s="824">
        <v>69.817146341463427</v>
      </c>
      <c r="M504" s="824">
        <v>19.600000000000001</v>
      </c>
    </row>
    <row r="505" spans="1:13">
      <c r="A505" s="824">
        <v>2012</v>
      </c>
      <c r="B505" s="824" t="s">
        <v>3092</v>
      </c>
      <c r="C505" s="824" t="str">
        <f t="shared" si="7"/>
        <v>2012_Yemen, Rep.</v>
      </c>
      <c r="D505" s="824">
        <v>31992801302.931595</v>
      </c>
      <c r="E505" s="824">
        <v>23852409</v>
      </c>
      <c r="F505" s="824" t="s">
        <v>3088</v>
      </c>
      <c r="G505" s="824">
        <v>709390000</v>
      </c>
      <c r="H505" s="824">
        <v>709390000</v>
      </c>
      <c r="I505" s="824" t="s">
        <v>3088</v>
      </c>
      <c r="J505" s="824">
        <v>1.5120316163840199</v>
      </c>
      <c r="K505" s="824" t="s">
        <v>3088</v>
      </c>
      <c r="L505" s="824">
        <v>62.905780487804883</v>
      </c>
      <c r="M505" s="824">
        <v>42</v>
      </c>
    </row>
    <row r="506" spans="1:13">
      <c r="A506" s="824">
        <v>2012</v>
      </c>
      <c r="B506" s="824" t="s">
        <v>541</v>
      </c>
      <c r="C506" s="824" t="str">
        <f t="shared" si="7"/>
        <v>2012_Zambia</v>
      </c>
      <c r="D506" s="824">
        <v>24939543374.136166</v>
      </c>
      <c r="E506" s="824">
        <v>14075099</v>
      </c>
      <c r="F506" s="824" t="s">
        <v>3088</v>
      </c>
      <c r="G506" s="824">
        <v>957720000</v>
      </c>
      <c r="H506" s="824">
        <v>957720000</v>
      </c>
      <c r="I506" s="824" t="s">
        <v>3088</v>
      </c>
      <c r="J506" s="824">
        <v>4.19512038495371</v>
      </c>
      <c r="K506" s="824" t="s">
        <v>3088</v>
      </c>
      <c r="L506" s="824">
        <v>57.022585365853665</v>
      </c>
      <c r="M506" s="824">
        <v>57.1</v>
      </c>
    </row>
    <row r="507" spans="1:13">
      <c r="A507" s="824">
        <v>2013</v>
      </c>
      <c r="B507" s="824" t="s">
        <v>21</v>
      </c>
      <c r="C507" s="824" t="str">
        <f t="shared" si="7"/>
        <v>2013_Afghanistan</v>
      </c>
      <c r="D507" s="824">
        <v>20309671014.623577</v>
      </c>
      <c r="E507" s="824">
        <v>30551674</v>
      </c>
      <c r="F507" s="824" t="s">
        <v>3088</v>
      </c>
      <c r="G507" s="824" t="s">
        <v>3088</v>
      </c>
      <c r="H507" s="824" t="s">
        <v>3088</v>
      </c>
      <c r="I507" s="824" t="s">
        <v>3088</v>
      </c>
      <c r="J507" s="824" t="s">
        <v>3088</v>
      </c>
      <c r="K507" s="824" t="s">
        <v>3088</v>
      </c>
      <c r="L507" s="824" t="s">
        <v>3088</v>
      </c>
      <c r="M507" s="824">
        <v>70.2</v>
      </c>
    </row>
    <row r="508" spans="1:13">
      <c r="A508" s="824">
        <v>2013</v>
      </c>
      <c r="B508" s="824" t="s">
        <v>38</v>
      </c>
      <c r="C508" s="824" t="str">
        <f t="shared" si="7"/>
        <v>2013_Albania</v>
      </c>
      <c r="D508" s="824">
        <v>12923240278.341646</v>
      </c>
      <c r="E508" s="824">
        <v>2773620</v>
      </c>
      <c r="F508" s="824" t="s">
        <v>3088</v>
      </c>
      <c r="G508" s="824" t="s">
        <v>3088</v>
      </c>
      <c r="H508" s="824" t="s">
        <v>3088</v>
      </c>
      <c r="I508" s="824" t="s">
        <v>3088</v>
      </c>
      <c r="J508" s="824" t="s">
        <v>3088</v>
      </c>
      <c r="K508" s="824" t="s">
        <v>3088</v>
      </c>
      <c r="L508" s="824" t="s">
        <v>3088</v>
      </c>
      <c r="M508" s="824">
        <v>13.3</v>
      </c>
    </row>
    <row r="509" spans="1:13">
      <c r="A509" s="824">
        <v>2013</v>
      </c>
      <c r="B509" s="824" t="s">
        <v>53</v>
      </c>
      <c r="C509" s="824" t="str">
        <f t="shared" si="7"/>
        <v>2013_Azerbaijan</v>
      </c>
      <c r="D509" s="824">
        <v>73560484384.958572</v>
      </c>
      <c r="E509" s="824">
        <v>9416598</v>
      </c>
      <c r="F509" s="824" t="s">
        <v>3088</v>
      </c>
      <c r="G509" s="824" t="s">
        <v>3088</v>
      </c>
      <c r="H509" s="824" t="s">
        <v>3088</v>
      </c>
      <c r="I509" s="824" t="s">
        <v>3088</v>
      </c>
      <c r="J509" s="824" t="s">
        <v>3088</v>
      </c>
      <c r="K509" s="824">
        <v>5.3</v>
      </c>
      <c r="L509" s="824" t="s">
        <v>3088</v>
      </c>
      <c r="M509" s="824">
        <v>29.9</v>
      </c>
    </row>
    <row r="510" spans="1:13">
      <c r="A510" s="824">
        <v>2013</v>
      </c>
      <c r="B510" s="824" t="s">
        <v>98</v>
      </c>
      <c r="C510" s="824" t="str">
        <f t="shared" si="7"/>
        <v>2013_Burkina Faso</v>
      </c>
      <c r="D510" s="824">
        <v>11582556068.334547</v>
      </c>
      <c r="E510" s="824">
        <v>16934839</v>
      </c>
      <c r="F510" s="824" t="s">
        <v>3088</v>
      </c>
      <c r="G510" s="824" t="s">
        <v>3088</v>
      </c>
      <c r="H510" s="824" t="s">
        <v>3088</v>
      </c>
      <c r="I510" s="824" t="s">
        <v>3088</v>
      </c>
      <c r="J510" s="824" t="s">
        <v>3088</v>
      </c>
      <c r="K510" s="824" t="s">
        <v>3088</v>
      </c>
      <c r="L510" s="824" t="s">
        <v>3088</v>
      </c>
      <c r="M510" s="824">
        <v>64.099999999999994</v>
      </c>
    </row>
    <row r="511" spans="1:13">
      <c r="A511" s="824">
        <v>2013</v>
      </c>
      <c r="B511" s="824" t="s">
        <v>101</v>
      </c>
      <c r="C511" s="824" t="str">
        <f t="shared" si="7"/>
        <v>2013_Cameroon</v>
      </c>
      <c r="D511" s="824">
        <v>29567504655.493481</v>
      </c>
      <c r="E511" s="824">
        <v>22253959</v>
      </c>
      <c r="F511" s="824" t="s">
        <v>3088</v>
      </c>
      <c r="G511" s="824" t="s">
        <v>3088</v>
      </c>
      <c r="H511" s="824" t="s">
        <v>3088</v>
      </c>
      <c r="I511" s="824" t="s">
        <v>3088</v>
      </c>
      <c r="J511" s="824" t="s">
        <v>3088</v>
      </c>
      <c r="K511" s="824" t="s">
        <v>3088</v>
      </c>
      <c r="L511" s="824" t="s">
        <v>3088</v>
      </c>
      <c r="M511" s="824">
        <v>60.8</v>
      </c>
    </row>
    <row r="512" spans="1:13">
      <c r="A512" s="824">
        <v>2013</v>
      </c>
      <c r="B512" s="824" t="s">
        <v>138</v>
      </c>
      <c r="C512" s="824" t="str">
        <f t="shared" si="7"/>
        <v>2013_Chad</v>
      </c>
      <c r="D512" s="824">
        <v>13513552424.904865</v>
      </c>
      <c r="E512" s="824">
        <v>12825314</v>
      </c>
      <c r="F512" s="824" t="s">
        <v>3088</v>
      </c>
      <c r="G512" s="824" t="s">
        <v>3088</v>
      </c>
      <c r="H512" s="824" t="s">
        <v>3088</v>
      </c>
      <c r="I512" s="824" t="s">
        <v>3088</v>
      </c>
      <c r="J512" s="824" t="s">
        <v>3088</v>
      </c>
      <c r="K512" s="824" t="s">
        <v>3088</v>
      </c>
      <c r="L512" s="824" t="s">
        <v>3088</v>
      </c>
      <c r="M512" s="824">
        <v>88.5</v>
      </c>
    </row>
    <row r="513" spans="1:13">
      <c r="A513" s="824">
        <v>2013</v>
      </c>
      <c r="B513" s="824" t="s">
        <v>127</v>
      </c>
      <c r="C513" s="824" t="str">
        <f t="shared" si="7"/>
        <v>2013_Central African Republic</v>
      </c>
      <c r="D513" s="824">
        <v>1538175744.0777485</v>
      </c>
      <c r="E513" s="824">
        <v>4616417</v>
      </c>
      <c r="F513" s="824" t="s">
        <v>3088</v>
      </c>
      <c r="G513" s="824" t="s">
        <v>3088</v>
      </c>
      <c r="H513" s="824" t="s">
        <v>3088</v>
      </c>
      <c r="I513" s="824" t="s">
        <v>3088</v>
      </c>
      <c r="J513" s="824" t="s">
        <v>3088</v>
      </c>
      <c r="K513" s="824" t="s">
        <v>3088</v>
      </c>
      <c r="L513" s="824" t="s">
        <v>3088</v>
      </c>
      <c r="M513" s="824">
        <v>96.1</v>
      </c>
    </row>
    <row r="514" spans="1:13">
      <c r="A514" s="824">
        <v>2013</v>
      </c>
      <c r="B514" s="824" t="s">
        <v>171</v>
      </c>
      <c r="C514" s="824" t="str">
        <f t="shared" si="7"/>
        <v>2013_Democratic Republic of Congo</v>
      </c>
      <c r="D514" s="824">
        <v>32690896872.764435</v>
      </c>
      <c r="E514" s="824">
        <v>67513677</v>
      </c>
      <c r="F514" s="824" t="s">
        <v>3088</v>
      </c>
      <c r="G514" s="824" t="s">
        <v>3088</v>
      </c>
      <c r="H514" s="824" t="s">
        <v>3088</v>
      </c>
      <c r="I514" s="824" t="s">
        <v>3088</v>
      </c>
      <c r="J514" s="824" t="s">
        <v>3088</v>
      </c>
      <c r="K514" s="824" t="s">
        <v>3088</v>
      </c>
      <c r="L514" s="824" t="s">
        <v>3088</v>
      </c>
      <c r="M514" s="824">
        <v>86.1</v>
      </c>
    </row>
    <row r="515" spans="1:13">
      <c r="A515" s="824">
        <v>2013</v>
      </c>
      <c r="B515" s="824" t="s">
        <v>465</v>
      </c>
      <c r="C515" s="824" t="str">
        <f t="shared" si="7"/>
        <v>2013_Republic of the Congo</v>
      </c>
      <c r="D515" s="824">
        <v>14085852120.476074</v>
      </c>
      <c r="E515" s="824">
        <v>4447632</v>
      </c>
      <c r="F515" s="824" t="s">
        <v>3088</v>
      </c>
      <c r="G515" s="824" t="s">
        <v>3088</v>
      </c>
      <c r="H515" s="824" t="s">
        <v>3088</v>
      </c>
      <c r="I515" s="824" t="s">
        <v>3088</v>
      </c>
      <c r="J515" s="824" t="s">
        <v>3088</v>
      </c>
      <c r="K515" s="824" t="s">
        <v>3088</v>
      </c>
      <c r="L515" s="824" t="s">
        <v>3088</v>
      </c>
      <c r="M515" s="824">
        <v>35.6</v>
      </c>
    </row>
    <row r="516" spans="1:13">
      <c r="A516" s="824">
        <v>2013</v>
      </c>
      <c r="B516" s="824" t="s">
        <v>153</v>
      </c>
      <c r="C516" s="824" t="str">
        <f t="shared" ref="C516:C578" si="8">$A516&amp;"_"&amp;$B516</f>
        <v>2013_Cote d'Ivoire</v>
      </c>
      <c r="D516" s="824">
        <v>31062026533.150764</v>
      </c>
      <c r="E516" s="824">
        <v>20316086</v>
      </c>
      <c r="F516" s="824" t="s">
        <v>3088</v>
      </c>
      <c r="G516" s="824" t="s">
        <v>3088</v>
      </c>
      <c r="H516" s="824" t="s">
        <v>3088</v>
      </c>
      <c r="I516" s="824" t="s">
        <v>3088</v>
      </c>
      <c r="J516" s="824" t="s">
        <v>3088</v>
      </c>
      <c r="K516" s="824" t="s">
        <v>3088</v>
      </c>
      <c r="L516" s="824" t="s">
        <v>3088</v>
      </c>
      <c r="M516" s="824">
        <v>71.3</v>
      </c>
    </row>
    <row r="517" spans="1:13">
      <c r="A517" s="824">
        <v>2013</v>
      </c>
      <c r="B517" s="824" t="s">
        <v>188</v>
      </c>
      <c r="C517" s="824" t="str">
        <f t="shared" si="8"/>
        <v>2013_Equatorial Guinea</v>
      </c>
      <c r="D517" s="824">
        <v>15580563835.924215</v>
      </c>
      <c r="E517" s="824">
        <v>757014</v>
      </c>
      <c r="F517" s="824" t="s">
        <v>3088</v>
      </c>
      <c r="G517" s="824" t="s">
        <v>3088</v>
      </c>
      <c r="H517" s="824" t="s">
        <v>3088</v>
      </c>
      <c r="I517" s="824" t="s">
        <v>3088</v>
      </c>
      <c r="J517" s="824" t="s">
        <v>3088</v>
      </c>
      <c r="K517" s="824" t="s">
        <v>3088</v>
      </c>
      <c r="L517" s="824" t="s">
        <v>3088</v>
      </c>
      <c r="M517" s="824">
        <v>69.3</v>
      </c>
    </row>
    <row r="518" spans="1:13">
      <c r="A518" s="824">
        <v>2013</v>
      </c>
      <c r="B518" s="824" t="s">
        <v>191</v>
      </c>
      <c r="C518" s="824" t="str">
        <f t="shared" si="8"/>
        <v>2013_Gabon</v>
      </c>
      <c r="D518" s="824">
        <v>19343506598.655979</v>
      </c>
      <c r="E518" s="824">
        <v>1671711</v>
      </c>
      <c r="F518" s="824" t="s">
        <v>3088</v>
      </c>
      <c r="G518" s="824" t="s">
        <v>3088</v>
      </c>
      <c r="H518" s="824" t="s">
        <v>3088</v>
      </c>
      <c r="I518" s="824" t="s">
        <v>3088</v>
      </c>
      <c r="J518" s="824" t="s">
        <v>3088</v>
      </c>
      <c r="K518" s="824" t="s">
        <v>3088</v>
      </c>
      <c r="L518" s="824" t="s">
        <v>3088</v>
      </c>
      <c r="M518" s="824">
        <v>39.1</v>
      </c>
    </row>
    <row r="519" spans="1:13">
      <c r="A519" s="824">
        <v>2013</v>
      </c>
      <c r="B519" s="824" t="s">
        <v>195</v>
      </c>
      <c r="C519" s="824" t="str">
        <f t="shared" si="8"/>
        <v>2013_Ghana</v>
      </c>
      <c r="D519" s="824">
        <v>48137027487.179489</v>
      </c>
      <c r="E519" s="824">
        <v>25904598</v>
      </c>
      <c r="F519" s="824" t="s">
        <v>3088</v>
      </c>
      <c r="G519" s="824" t="s">
        <v>3088</v>
      </c>
      <c r="H519" s="824" t="s">
        <v>3088</v>
      </c>
      <c r="I519" s="824" t="s">
        <v>3088</v>
      </c>
      <c r="J519" s="824" t="s">
        <v>3088</v>
      </c>
      <c r="K519" s="824" t="s">
        <v>3088</v>
      </c>
      <c r="L519" s="824" t="s">
        <v>3088</v>
      </c>
      <c r="M519" s="824">
        <v>52.3</v>
      </c>
    </row>
    <row r="520" spans="1:13">
      <c r="A520" s="824">
        <v>2013</v>
      </c>
      <c r="B520" s="824" t="s">
        <v>3089</v>
      </c>
      <c r="C520" s="824" t="str">
        <f t="shared" si="8"/>
        <v>2013_Guinea</v>
      </c>
      <c r="D520" s="824">
        <v>6144131903.013833</v>
      </c>
      <c r="E520" s="824">
        <v>11745189</v>
      </c>
      <c r="F520" s="824" t="s">
        <v>3088</v>
      </c>
      <c r="G520" s="824" t="s">
        <v>3088</v>
      </c>
      <c r="H520" s="824" t="s">
        <v>3088</v>
      </c>
      <c r="I520" s="824" t="s">
        <v>3088</v>
      </c>
      <c r="J520" s="824" t="s">
        <v>3088</v>
      </c>
      <c r="K520" s="824" t="s">
        <v>3088</v>
      </c>
      <c r="L520" s="824" t="s">
        <v>3088</v>
      </c>
      <c r="M520" s="824">
        <v>64.900000000000006</v>
      </c>
    </row>
    <row r="521" spans="1:13">
      <c r="A521" s="824">
        <v>2013</v>
      </c>
      <c r="B521" s="824" t="s">
        <v>219</v>
      </c>
      <c r="C521" s="824" t="str">
        <f t="shared" si="8"/>
        <v>2013_Guatemala</v>
      </c>
      <c r="D521" s="824">
        <v>53796709474.595253</v>
      </c>
      <c r="E521" s="824">
        <v>15468203</v>
      </c>
      <c r="F521" s="824" t="s">
        <v>3088</v>
      </c>
      <c r="G521" s="824" t="s">
        <v>3088</v>
      </c>
      <c r="H521" s="824" t="s">
        <v>3088</v>
      </c>
      <c r="I521" s="824" t="s">
        <v>3088</v>
      </c>
      <c r="J521" s="824" t="s">
        <v>3088</v>
      </c>
      <c r="K521" s="824" t="s">
        <v>3088</v>
      </c>
      <c r="L521" s="824" t="s">
        <v>3088</v>
      </c>
      <c r="M521" s="824">
        <v>25.8</v>
      </c>
    </row>
    <row r="522" spans="1:13">
      <c r="A522" s="824">
        <v>2013</v>
      </c>
      <c r="B522" s="824" t="s">
        <v>243</v>
      </c>
      <c r="C522" s="824" t="str">
        <f t="shared" si="8"/>
        <v>2013_Indonesia</v>
      </c>
      <c r="D522" s="824">
        <v>868345652474.89783</v>
      </c>
      <c r="E522" s="824">
        <v>249865631</v>
      </c>
      <c r="F522" s="824" t="s">
        <v>3088</v>
      </c>
      <c r="G522" s="824" t="s">
        <v>3088</v>
      </c>
      <c r="H522" s="824" t="s">
        <v>3088</v>
      </c>
      <c r="I522" s="824" t="s">
        <v>3088</v>
      </c>
      <c r="J522" s="824" t="s">
        <v>3088</v>
      </c>
      <c r="K522" s="824">
        <v>11.4</v>
      </c>
      <c r="L522" s="824" t="s">
        <v>3088</v>
      </c>
      <c r="M522" s="824">
        <v>24.5</v>
      </c>
    </row>
    <row r="523" spans="1:13">
      <c r="A523" s="824">
        <v>2013</v>
      </c>
      <c r="B523" s="824" t="s">
        <v>251</v>
      </c>
      <c r="C523" s="824" t="str">
        <f t="shared" si="8"/>
        <v>2013_Iraq</v>
      </c>
      <c r="D523" s="824">
        <v>229327284734.13379</v>
      </c>
      <c r="E523" s="824">
        <v>33417476</v>
      </c>
      <c r="F523" s="824" t="s">
        <v>3088</v>
      </c>
      <c r="G523" s="824" t="s">
        <v>3088</v>
      </c>
      <c r="H523" s="824" t="s">
        <v>3088</v>
      </c>
      <c r="I523" s="824" t="s">
        <v>3088</v>
      </c>
      <c r="J523" s="824" t="s">
        <v>3088</v>
      </c>
      <c r="K523" s="824" t="s">
        <v>3088</v>
      </c>
      <c r="L523" s="824" t="s">
        <v>3088</v>
      </c>
      <c r="M523" s="824">
        <v>28</v>
      </c>
    </row>
    <row r="524" spans="1:13">
      <c r="A524" s="824">
        <v>2013</v>
      </c>
      <c r="B524" s="824" t="s">
        <v>280</v>
      </c>
      <c r="C524" s="824" t="str">
        <f t="shared" si="8"/>
        <v>2013_Kazakhstan</v>
      </c>
      <c r="D524" s="824">
        <v>231876282133.87042</v>
      </c>
      <c r="E524" s="824">
        <v>17037508</v>
      </c>
      <c r="F524" s="824" t="s">
        <v>3088</v>
      </c>
      <c r="G524" s="824" t="s">
        <v>3088</v>
      </c>
      <c r="H524" s="824" t="s">
        <v>3088</v>
      </c>
      <c r="I524" s="824" t="s">
        <v>3088</v>
      </c>
      <c r="J524" s="824" t="s">
        <v>3088</v>
      </c>
      <c r="K524" s="824">
        <v>2.9</v>
      </c>
      <c r="L524" s="824" t="s">
        <v>3088</v>
      </c>
      <c r="M524" s="824">
        <v>14.6</v>
      </c>
    </row>
    <row r="525" spans="1:13">
      <c r="A525" s="824">
        <v>2013</v>
      </c>
      <c r="B525" s="824" t="s">
        <v>285</v>
      </c>
      <c r="C525" s="824" t="str">
        <f t="shared" si="8"/>
        <v>2013_Kyrgyz Republic</v>
      </c>
      <c r="D525" s="824">
        <v>7226303261.2757311</v>
      </c>
      <c r="E525" s="824">
        <v>5719500</v>
      </c>
      <c r="F525" s="824" t="s">
        <v>3088</v>
      </c>
      <c r="G525" s="824" t="s">
        <v>3088</v>
      </c>
      <c r="H525" s="824" t="s">
        <v>3088</v>
      </c>
      <c r="I525" s="824" t="s">
        <v>3088</v>
      </c>
      <c r="J525" s="824" t="s">
        <v>3088</v>
      </c>
      <c r="K525" s="824" t="s">
        <v>3088</v>
      </c>
      <c r="L525" s="824" t="s">
        <v>3088</v>
      </c>
      <c r="M525" s="824">
        <v>21.6</v>
      </c>
    </row>
    <row r="526" spans="1:13">
      <c r="A526" s="824">
        <v>2013</v>
      </c>
      <c r="B526" s="824" t="s">
        <v>301</v>
      </c>
      <c r="C526" s="824" t="str">
        <f t="shared" si="8"/>
        <v>2013_Liberia</v>
      </c>
      <c r="D526" s="824">
        <v>1950960137.7301018</v>
      </c>
      <c r="E526" s="824">
        <v>4294077</v>
      </c>
      <c r="F526" s="824" t="s">
        <v>3088</v>
      </c>
      <c r="G526" s="824" t="s">
        <v>3088</v>
      </c>
      <c r="H526" s="824" t="s">
        <v>3088</v>
      </c>
      <c r="I526" s="824" t="s">
        <v>3088</v>
      </c>
      <c r="J526" s="824" t="s">
        <v>3088</v>
      </c>
      <c r="K526" s="824" t="s">
        <v>3088</v>
      </c>
      <c r="L526" s="824" t="s">
        <v>3088</v>
      </c>
      <c r="M526" s="824">
        <v>53.6</v>
      </c>
    </row>
    <row r="527" spans="1:13">
      <c r="A527" s="824">
        <v>2013</v>
      </c>
      <c r="B527" s="824" t="s">
        <v>316</v>
      </c>
      <c r="C527" s="824" t="str">
        <f t="shared" si="8"/>
        <v>2013_Madagascar</v>
      </c>
      <c r="D527" s="824">
        <v>10613494031.383247</v>
      </c>
      <c r="E527" s="824">
        <v>22924851</v>
      </c>
      <c r="F527" s="824" t="s">
        <v>3088</v>
      </c>
      <c r="G527" s="824" t="s">
        <v>3088</v>
      </c>
      <c r="H527" s="824" t="s">
        <v>3088</v>
      </c>
      <c r="I527" s="824" t="s">
        <v>3088</v>
      </c>
      <c r="J527" s="824" t="s">
        <v>3088</v>
      </c>
      <c r="K527" s="824" t="s">
        <v>3088</v>
      </c>
      <c r="L527" s="824" t="s">
        <v>3088</v>
      </c>
      <c r="M527" s="824">
        <v>39.6</v>
      </c>
    </row>
    <row r="528" spans="1:13">
      <c r="A528" s="824">
        <v>2013</v>
      </c>
      <c r="B528" s="824" t="s">
        <v>329</v>
      </c>
      <c r="C528" s="824" t="str">
        <f t="shared" si="8"/>
        <v>2013_Mali</v>
      </c>
      <c r="D528" s="824">
        <v>10942727309.529593</v>
      </c>
      <c r="E528" s="824">
        <v>15301650</v>
      </c>
      <c r="F528" s="824">
        <v>17.817853572184987</v>
      </c>
      <c r="G528" s="824" t="s">
        <v>3088</v>
      </c>
      <c r="H528" s="824" t="s">
        <v>3088</v>
      </c>
      <c r="I528" s="824" t="s">
        <v>3088</v>
      </c>
      <c r="J528" s="824" t="s">
        <v>3088</v>
      </c>
      <c r="K528" s="824" t="s">
        <v>3088</v>
      </c>
      <c r="L528" s="824" t="s">
        <v>3088</v>
      </c>
      <c r="M528" s="824">
        <v>77.599999999999994</v>
      </c>
    </row>
    <row r="529" spans="1:13">
      <c r="A529" s="824">
        <v>2013</v>
      </c>
      <c r="B529" s="824" t="s">
        <v>345</v>
      </c>
      <c r="C529" s="824" t="str">
        <f t="shared" si="8"/>
        <v>2013_Mauritania</v>
      </c>
      <c r="D529" s="824">
        <v>4158182904.2454085</v>
      </c>
      <c r="E529" s="824">
        <v>3889880</v>
      </c>
      <c r="F529" s="824" t="s">
        <v>3088</v>
      </c>
      <c r="G529" s="824" t="s">
        <v>3088</v>
      </c>
      <c r="H529" s="824" t="s">
        <v>3088</v>
      </c>
      <c r="I529" s="824" t="s">
        <v>3088</v>
      </c>
      <c r="J529" s="824" t="s">
        <v>3088</v>
      </c>
      <c r="K529" s="824" t="s">
        <v>3088</v>
      </c>
      <c r="L529" s="824" t="s">
        <v>3088</v>
      </c>
      <c r="M529" s="824">
        <v>67.099999999999994</v>
      </c>
    </row>
    <row r="530" spans="1:13">
      <c r="A530" s="824">
        <v>2013</v>
      </c>
      <c r="B530" s="824" t="s">
        <v>364</v>
      </c>
      <c r="C530" s="824" t="str">
        <f t="shared" si="8"/>
        <v>2013_Mongolia</v>
      </c>
      <c r="D530" s="824">
        <v>11516409581.298849</v>
      </c>
      <c r="E530" s="824">
        <v>2839073</v>
      </c>
      <c r="F530" s="824" t="s">
        <v>3088</v>
      </c>
      <c r="G530" s="824" t="s">
        <v>3088</v>
      </c>
      <c r="H530" s="824" t="s">
        <v>3088</v>
      </c>
      <c r="I530" s="824" t="s">
        <v>3088</v>
      </c>
      <c r="J530" s="824" t="s">
        <v>3088</v>
      </c>
      <c r="K530" s="824" t="s">
        <v>3088</v>
      </c>
      <c r="L530" s="824" t="s">
        <v>3088</v>
      </c>
      <c r="M530" s="824">
        <v>26.4</v>
      </c>
    </row>
    <row r="531" spans="1:13">
      <c r="A531" s="824">
        <v>2013</v>
      </c>
      <c r="B531" s="824" t="s">
        <v>385</v>
      </c>
      <c r="C531" s="824" t="str">
        <f t="shared" si="8"/>
        <v>2013_Mozambique</v>
      </c>
      <c r="D531" s="824">
        <v>15630302813.953487</v>
      </c>
      <c r="E531" s="824">
        <v>25833752</v>
      </c>
      <c r="F531" s="824" t="s">
        <v>3088</v>
      </c>
      <c r="G531" s="824" t="s">
        <v>3088</v>
      </c>
      <c r="H531" s="824" t="s">
        <v>3088</v>
      </c>
      <c r="I531" s="824" t="s">
        <v>3088</v>
      </c>
      <c r="J531" s="824" t="s">
        <v>3088</v>
      </c>
      <c r="K531" s="824" t="s">
        <v>3088</v>
      </c>
      <c r="L531" s="824" t="s">
        <v>3088</v>
      </c>
      <c r="M531" s="824">
        <v>61.5</v>
      </c>
    </row>
    <row r="532" spans="1:13">
      <c r="A532" s="824">
        <v>2013</v>
      </c>
      <c r="B532" s="824" t="s">
        <v>394</v>
      </c>
      <c r="C532" s="824" t="str">
        <f t="shared" si="8"/>
        <v>2013_Niger</v>
      </c>
      <c r="D532" s="824">
        <v>7407418427.6576796</v>
      </c>
      <c r="E532" s="824">
        <v>17831270</v>
      </c>
      <c r="F532" s="824" t="s">
        <v>3088</v>
      </c>
      <c r="G532" s="824" t="s">
        <v>3088</v>
      </c>
      <c r="H532" s="824" t="s">
        <v>3088</v>
      </c>
      <c r="I532" s="824" t="s">
        <v>3088</v>
      </c>
      <c r="J532" s="824" t="s">
        <v>3088</v>
      </c>
      <c r="K532" s="824" t="s">
        <v>3088</v>
      </c>
      <c r="L532" s="824" t="s">
        <v>3088</v>
      </c>
      <c r="M532" s="824">
        <v>59.9</v>
      </c>
    </row>
    <row r="533" spans="1:13">
      <c r="A533" s="824">
        <v>2013</v>
      </c>
      <c r="B533" s="824" t="s">
        <v>413</v>
      </c>
      <c r="C533" s="824" t="str">
        <f t="shared" si="8"/>
        <v>2013_Nigeria</v>
      </c>
      <c r="D533" s="824">
        <v>521803314653.78424</v>
      </c>
      <c r="E533" s="824">
        <v>173615345</v>
      </c>
      <c r="F533" s="824" t="s">
        <v>3088</v>
      </c>
      <c r="G533" s="824" t="s">
        <v>3088</v>
      </c>
      <c r="H533" s="824" t="s">
        <v>3088</v>
      </c>
      <c r="I533" s="824" t="s">
        <v>3088</v>
      </c>
      <c r="J533" s="824" t="s">
        <v>3088</v>
      </c>
      <c r="K533" s="824" t="s">
        <v>3088</v>
      </c>
      <c r="L533" s="824" t="s">
        <v>3088</v>
      </c>
      <c r="M533" s="824">
        <v>74.3</v>
      </c>
    </row>
    <row r="534" spans="1:13">
      <c r="A534" s="824">
        <v>2013</v>
      </c>
      <c r="B534" s="824" t="s">
        <v>436</v>
      </c>
      <c r="C534" s="824" t="str">
        <f t="shared" si="8"/>
        <v>2013_Norway</v>
      </c>
      <c r="D534" s="824">
        <v>512580425531.91492</v>
      </c>
      <c r="E534" s="824">
        <v>5084190</v>
      </c>
      <c r="F534" s="824" t="s">
        <v>3088</v>
      </c>
      <c r="G534" s="824" t="s">
        <v>3088</v>
      </c>
      <c r="H534" s="824" t="s">
        <v>3088</v>
      </c>
      <c r="I534" s="824" t="s">
        <v>3088</v>
      </c>
      <c r="J534" s="824" t="s">
        <v>3088</v>
      </c>
      <c r="K534" s="824" t="s">
        <v>3088</v>
      </c>
      <c r="L534" s="824" t="s">
        <v>3088</v>
      </c>
      <c r="M534" s="824">
        <v>2.2999999999999998</v>
      </c>
    </row>
    <row r="535" spans="1:13">
      <c r="A535" s="824">
        <v>2013</v>
      </c>
      <c r="B535" s="824" t="s">
        <v>449</v>
      </c>
      <c r="C535" s="824" t="str">
        <f t="shared" si="8"/>
        <v>2013_Peru</v>
      </c>
      <c r="D535" s="824">
        <v>202349846974.37076</v>
      </c>
      <c r="E535" s="824">
        <v>30375603</v>
      </c>
      <c r="F535" s="824" t="s">
        <v>3088</v>
      </c>
      <c r="G535" s="824" t="s">
        <v>3088</v>
      </c>
      <c r="H535" s="824" t="s">
        <v>3088</v>
      </c>
      <c r="I535" s="824" t="s">
        <v>3088</v>
      </c>
      <c r="J535" s="824" t="s">
        <v>3088</v>
      </c>
      <c r="K535" s="824">
        <v>23.9</v>
      </c>
      <c r="L535" s="824" t="s">
        <v>3088</v>
      </c>
      <c r="M535" s="824">
        <v>12.9</v>
      </c>
    </row>
    <row r="536" spans="1:13">
      <c r="A536" s="824">
        <v>2013</v>
      </c>
      <c r="B536" s="824" t="s">
        <v>488</v>
      </c>
      <c r="C536" s="824" t="str">
        <f t="shared" si="8"/>
        <v>2013_Sierra Leone</v>
      </c>
      <c r="D536" s="824">
        <v>4136280752.0369301</v>
      </c>
      <c r="E536" s="824">
        <v>6092075</v>
      </c>
      <c r="F536" s="824" t="s">
        <v>3088</v>
      </c>
      <c r="G536" s="824" t="s">
        <v>3088</v>
      </c>
      <c r="H536" s="824" t="s">
        <v>3088</v>
      </c>
      <c r="I536" s="824" t="s">
        <v>3088</v>
      </c>
      <c r="J536" s="824" t="s">
        <v>3088</v>
      </c>
      <c r="K536" s="824" t="s">
        <v>3088</v>
      </c>
      <c r="L536" s="824" t="s">
        <v>3088</v>
      </c>
      <c r="M536" s="824">
        <v>107.2</v>
      </c>
    </row>
    <row r="537" spans="1:13">
      <c r="A537" s="824">
        <v>2013</v>
      </c>
      <c r="B537" s="824" t="s">
        <v>499</v>
      </c>
      <c r="C537" s="824" t="str">
        <f t="shared" si="8"/>
        <v>2013_Tanzania</v>
      </c>
      <c r="D537" s="824">
        <v>33225037489.690334</v>
      </c>
      <c r="E537" s="824">
        <v>49253126</v>
      </c>
      <c r="F537" s="824" t="s">
        <v>3088</v>
      </c>
      <c r="G537" s="824" t="s">
        <v>3088</v>
      </c>
      <c r="H537" s="824" t="s">
        <v>3088</v>
      </c>
      <c r="I537" s="824" t="s">
        <v>3088</v>
      </c>
      <c r="J537" s="824" t="s">
        <v>3088</v>
      </c>
      <c r="K537" s="824" t="s">
        <v>3088</v>
      </c>
      <c r="L537" s="824" t="s">
        <v>3088</v>
      </c>
      <c r="M537" s="824">
        <v>36.4</v>
      </c>
    </row>
    <row r="538" spans="1:13">
      <c r="A538" s="824">
        <v>2013</v>
      </c>
      <c r="B538" s="824" t="s">
        <v>3090</v>
      </c>
      <c r="C538" s="824" t="str">
        <f t="shared" si="8"/>
        <v>2013_Timor-Leste</v>
      </c>
      <c r="D538" s="824" t="s">
        <v>3088</v>
      </c>
      <c r="E538" s="824">
        <v>1178252</v>
      </c>
      <c r="F538" s="824" t="s">
        <v>3088</v>
      </c>
      <c r="G538" s="824" t="s">
        <v>3088</v>
      </c>
      <c r="H538" s="824" t="s">
        <v>3088</v>
      </c>
      <c r="I538" s="824" t="s">
        <v>3088</v>
      </c>
      <c r="J538" s="824" t="s">
        <v>3088</v>
      </c>
      <c r="K538" s="824" t="s">
        <v>3088</v>
      </c>
      <c r="L538" s="824" t="s">
        <v>3088</v>
      </c>
      <c r="M538" s="824">
        <v>46.2</v>
      </c>
    </row>
    <row r="539" spans="1:13">
      <c r="A539" s="824">
        <v>2013</v>
      </c>
      <c r="B539" s="824" t="s">
        <v>517</v>
      </c>
      <c r="C539" s="824" t="str">
        <f t="shared" si="8"/>
        <v>2013_Togo</v>
      </c>
      <c r="D539" s="824">
        <v>4338575823.8199339</v>
      </c>
      <c r="E539" s="824">
        <v>6816982</v>
      </c>
      <c r="F539" s="824" t="s">
        <v>3088</v>
      </c>
      <c r="G539" s="824" t="s">
        <v>3088</v>
      </c>
      <c r="H539" s="824" t="s">
        <v>3088</v>
      </c>
      <c r="I539" s="824" t="s">
        <v>3088</v>
      </c>
      <c r="J539" s="824" t="s">
        <v>3088</v>
      </c>
      <c r="K539" s="824" t="s">
        <v>3088</v>
      </c>
      <c r="L539" s="824" t="s">
        <v>3088</v>
      </c>
      <c r="M539" s="824">
        <v>55.8</v>
      </c>
    </row>
    <row r="540" spans="1:13">
      <c r="A540" s="824">
        <v>2013</v>
      </c>
      <c r="B540" s="824" t="s">
        <v>3091</v>
      </c>
      <c r="C540" s="824" t="str">
        <f t="shared" si="8"/>
        <v>2013_Trinidad and Tobago</v>
      </c>
      <c r="D540" s="824">
        <v>24640839007.591766</v>
      </c>
      <c r="E540" s="824">
        <v>1341151</v>
      </c>
      <c r="F540" s="824" t="s">
        <v>3088</v>
      </c>
      <c r="G540" s="824" t="s">
        <v>3088</v>
      </c>
      <c r="H540" s="824" t="s">
        <v>3088</v>
      </c>
      <c r="I540" s="824" t="s">
        <v>3088</v>
      </c>
      <c r="J540" s="824" t="s">
        <v>3088</v>
      </c>
      <c r="K540" s="824" t="s">
        <v>3088</v>
      </c>
      <c r="L540" s="824" t="s">
        <v>3088</v>
      </c>
      <c r="M540" s="824">
        <v>19</v>
      </c>
    </row>
    <row r="541" spans="1:13">
      <c r="A541" s="824">
        <v>2013</v>
      </c>
      <c r="B541" s="824" t="s">
        <v>3092</v>
      </c>
      <c r="C541" s="824" t="str">
        <f t="shared" si="8"/>
        <v>2013_Yemen, Rep.</v>
      </c>
      <c r="D541" s="824">
        <v>35954502303.50412</v>
      </c>
      <c r="E541" s="824">
        <v>24407381</v>
      </c>
      <c r="F541" s="824" t="s">
        <v>3088</v>
      </c>
      <c r="G541" s="824" t="s">
        <v>3088</v>
      </c>
      <c r="H541" s="824" t="s">
        <v>3088</v>
      </c>
      <c r="I541" s="824" t="s">
        <v>3088</v>
      </c>
      <c r="J541" s="824" t="s">
        <v>3088</v>
      </c>
      <c r="K541" s="824" t="s">
        <v>3088</v>
      </c>
      <c r="L541" s="824" t="s">
        <v>3088</v>
      </c>
      <c r="M541" s="824">
        <v>40.4</v>
      </c>
    </row>
    <row r="542" spans="1:13">
      <c r="A542" s="824">
        <v>2013</v>
      </c>
      <c r="B542" s="824" t="s">
        <v>541</v>
      </c>
      <c r="C542" s="824" t="str">
        <f t="shared" si="8"/>
        <v>2013_Zambia</v>
      </c>
      <c r="D542" s="824">
        <v>26820870558.94062</v>
      </c>
      <c r="E542" s="824">
        <v>14538640</v>
      </c>
      <c r="F542" s="824" t="s">
        <v>3088</v>
      </c>
      <c r="G542" s="824" t="s">
        <v>3088</v>
      </c>
      <c r="H542" s="824" t="s">
        <v>3088</v>
      </c>
      <c r="I542" s="824" t="s">
        <v>3088</v>
      </c>
      <c r="J542" s="824" t="s">
        <v>3088</v>
      </c>
      <c r="K542" s="824" t="s">
        <v>3088</v>
      </c>
      <c r="L542" s="824" t="s">
        <v>3088</v>
      </c>
      <c r="M542" s="824">
        <v>55.8</v>
      </c>
    </row>
    <row r="543" spans="1:13">
      <c r="A543" s="824">
        <v>2014</v>
      </c>
      <c r="B543" s="824" t="s">
        <v>21</v>
      </c>
      <c r="C543" s="824" t="str">
        <f t="shared" si="8"/>
        <v>2014_Afghanistan</v>
      </c>
      <c r="D543" s="824" t="s">
        <v>3088</v>
      </c>
      <c r="E543" s="824" t="s">
        <v>3088</v>
      </c>
      <c r="F543" s="824" t="s">
        <v>3088</v>
      </c>
      <c r="G543" s="824" t="s">
        <v>3088</v>
      </c>
      <c r="H543" s="824" t="s">
        <v>3088</v>
      </c>
      <c r="I543" s="824" t="s">
        <v>3088</v>
      </c>
      <c r="J543" s="824" t="s">
        <v>3088</v>
      </c>
      <c r="K543" s="824" t="s">
        <v>3088</v>
      </c>
      <c r="L543" s="824" t="s">
        <v>3088</v>
      </c>
      <c r="M543" s="824" t="s">
        <v>3088</v>
      </c>
    </row>
    <row r="544" spans="1:13">
      <c r="A544" s="824">
        <v>2014</v>
      </c>
      <c r="B544" s="824" t="s">
        <v>38</v>
      </c>
      <c r="C544" s="824" t="str">
        <f t="shared" si="8"/>
        <v>2014_Albania</v>
      </c>
      <c r="D544" s="824" t="s">
        <v>3088</v>
      </c>
      <c r="E544" s="824" t="s">
        <v>3088</v>
      </c>
      <c r="F544" s="824" t="s">
        <v>3088</v>
      </c>
      <c r="G544" s="824" t="s">
        <v>3088</v>
      </c>
      <c r="H544" s="824" t="s">
        <v>3088</v>
      </c>
      <c r="I544" s="824" t="s">
        <v>3088</v>
      </c>
      <c r="J544" s="824" t="s">
        <v>3088</v>
      </c>
      <c r="K544" s="824" t="s">
        <v>3088</v>
      </c>
      <c r="L544" s="824" t="s">
        <v>3088</v>
      </c>
      <c r="M544" s="824" t="s">
        <v>3088</v>
      </c>
    </row>
    <row r="545" spans="1:13">
      <c r="A545" s="824">
        <v>2014</v>
      </c>
      <c r="B545" s="824" t="s">
        <v>53</v>
      </c>
      <c r="C545" s="824" t="str">
        <f t="shared" si="8"/>
        <v>2014_Azerbaijan</v>
      </c>
      <c r="D545" s="824" t="s">
        <v>3088</v>
      </c>
      <c r="E545" s="824" t="s">
        <v>3088</v>
      </c>
      <c r="F545" s="824" t="s">
        <v>3088</v>
      </c>
      <c r="G545" s="824" t="s">
        <v>3088</v>
      </c>
      <c r="H545" s="824" t="s">
        <v>3088</v>
      </c>
      <c r="I545" s="824" t="s">
        <v>3088</v>
      </c>
      <c r="J545" s="824" t="s">
        <v>3088</v>
      </c>
      <c r="K545" s="824" t="s">
        <v>3088</v>
      </c>
      <c r="L545" s="824" t="s">
        <v>3088</v>
      </c>
      <c r="M545" s="824" t="s">
        <v>3088</v>
      </c>
    </row>
    <row r="546" spans="1:13">
      <c r="A546" s="824">
        <v>2014</v>
      </c>
      <c r="B546" s="824" t="s">
        <v>98</v>
      </c>
      <c r="C546" s="824" t="str">
        <f t="shared" si="8"/>
        <v>2014_Burkina Faso</v>
      </c>
      <c r="D546" s="824" t="s">
        <v>3088</v>
      </c>
      <c r="E546" s="824" t="s">
        <v>3088</v>
      </c>
      <c r="F546" s="824" t="s">
        <v>3088</v>
      </c>
      <c r="G546" s="824" t="s">
        <v>3088</v>
      </c>
      <c r="H546" s="824" t="s">
        <v>3088</v>
      </c>
      <c r="I546" s="824" t="s">
        <v>3088</v>
      </c>
      <c r="J546" s="824" t="s">
        <v>3088</v>
      </c>
      <c r="K546" s="824" t="s">
        <v>3088</v>
      </c>
      <c r="L546" s="824" t="s">
        <v>3088</v>
      </c>
      <c r="M546" s="824" t="s">
        <v>3088</v>
      </c>
    </row>
    <row r="547" spans="1:13">
      <c r="A547" s="824">
        <v>2014</v>
      </c>
      <c r="B547" s="824" t="s">
        <v>101</v>
      </c>
      <c r="C547" s="824" t="str">
        <f t="shared" si="8"/>
        <v>2014_Cameroon</v>
      </c>
      <c r="D547" s="824" t="s">
        <v>3088</v>
      </c>
      <c r="E547" s="824" t="s">
        <v>3088</v>
      </c>
      <c r="F547" s="824" t="s">
        <v>3088</v>
      </c>
      <c r="G547" s="824" t="s">
        <v>3088</v>
      </c>
      <c r="H547" s="824" t="s">
        <v>3088</v>
      </c>
      <c r="I547" s="824" t="s">
        <v>3088</v>
      </c>
      <c r="J547" s="824" t="s">
        <v>3088</v>
      </c>
      <c r="K547" s="824" t="s">
        <v>3088</v>
      </c>
      <c r="L547" s="824" t="s">
        <v>3088</v>
      </c>
      <c r="M547" s="824" t="s">
        <v>3088</v>
      </c>
    </row>
    <row r="548" spans="1:13">
      <c r="A548" s="824">
        <v>2014</v>
      </c>
      <c r="B548" s="824" t="s">
        <v>138</v>
      </c>
      <c r="C548" s="824" t="str">
        <f t="shared" si="8"/>
        <v>2014_Chad</v>
      </c>
      <c r="D548" s="824" t="s">
        <v>3088</v>
      </c>
      <c r="E548" s="824" t="s">
        <v>3088</v>
      </c>
      <c r="F548" s="824" t="s">
        <v>3088</v>
      </c>
      <c r="G548" s="824" t="s">
        <v>3088</v>
      </c>
      <c r="H548" s="824" t="s">
        <v>3088</v>
      </c>
      <c r="I548" s="824" t="s">
        <v>3088</v>
      </c>
      <c r="J548" s="824" t="s">
        <v>3088</v>
      </c>
      <c r="K548" s="824" t="s">
        <v>3088</v>
      </c>
      <c r="L548" s="824" t="s">
        <v>3088</v>
      </c>
      <c r="M548" s="824" t="s">
        <v>3088</v>
      </c>
    </row>
    <row r="549" spans="1:13">
      <c r="A549" s="824">
        <v>2014</v>
      </c>
      <c r="B549" s="824" t="s">
        <v>127</v>
      </c>
      <c r="C549" s="824" t="str">
        <f t="shared" si="8"/>
        <v>2014_Central African Republic</v>
      </c>
      <c r="D549" s="824" t="s">
        <v>3088</v>
      </c>
      <c r="E549" s="824" t="s">
        <v>3088</v>
      </c>
      <c r="F549" s="824" t="s">
        <v>3088</v>
      </c>
      <c r="G549" s="824" t="s">
        <v>3088</v>
      </c>
      <c r="H549" s="824" t="s">
        <v>3088</v>
      </c>
      <c r="I549" s="824" t="s">
        <v>3088</v>
      </c>
      <c r="J549" s="824" t="s">
        <v>3088</v>
      </c>
      <c r="K549" s="824" t="s">
        <v>3088</v>
      </c>
      <c r="L549" s="824" t="s">
        <v>3088</v>
      </c>
      <c r="M549" s="824" t="s">
        <v>3088</v>
      </c>
    </row>
    <row r="550" spans="1:13">
      <c r="A550" s="824">
        <v>2014</v>
      </c>
      <c r="B550" s="824" t="s">
        <v>171</v>
      </c>
      <c r="C550" s="824" t="str">
        <f t="shared" si="8"/>
        <v>2014_Democratic Republic of Congo</v>
      </c>
      <c r="D550" s="824" t="s">
        <v>3088</v>
      </c>
      <c r="E550" s="824" t="s">
        <v>3088</v>
      </c>
      <c r="F550" s="824" t="s">
        <v>3088</v>
      </c>
      <c r="G550" s="824" t="s">
        <v>3088</v>
      </c>
      <c r="H550" s="824" t="s">
        <v>3088</v>
      </c>
      <c r="I550" s="824" t="s">
        <v>3088</v>
      </c>
      <c r="J550" s="824" t="s">
        <v>3088</v>
      </c>
      <c r="K550" s="824" t="s">
        <v>3088</v>
      </c>
      <c r="L550" s="824" t="s">
        <v>3088</v>
      </c>
      <c r="M550" s="824" t="s">
        <v>3088</v>
      </c>
    </row>
    <row r="551" spans="1:13">
      <c r="A551" s="824">
        <v>2014</v>
      </c>
      <c r="B551" s="824" t="s">
        <v>465</v>
      </c>
      <c r="C551" s="824" t="str">
        <f t="shared" si="8"/>
        <v>2014_Republic of the Congo</v>
      </c>
      <c r="D551" s="824" t="s">
        <v>3088</v>
      </c>
      <c r="E551" s="824" t="s">
        <v>3088</v>
      </c>
      <c r="F551" s="824" t="s">
        <v>3088</v>
      </c>
      <c r="G551" s="824" t="s">
        <v>3088</v>
      </c>
      <c r="H551" s="824" t="s">
        <v>3088</v>
      </c>
      <c r="I551" s="824" t="s">
        <v>3088</v>
      </c>
      <c r="J551" s="824" t="s">
        <v>3088</v>
      </c>
      <c r="K551" s="824" t="s">
        <v>3088</v>
      </c>
      <c r="L551" s="824" t="s">
        <v>3088</v>
      </c>
      <c r="M551" s="824" t="s">
        <v>3088</v>
      </c>
    </row>
    <row r="552" spans="1:13">
      <c r="A552" s="824">
        <v>2014</v>
      </c>
      <c r="B552" s="824" t="s">
        <v>153</v>
      </c>
      <c r="C552" s="824" t="str">
        <f t="shared" si="8"/>
        <v>2014_Cote d'Ivoire</v>
      </c>
      <c r="D552" s="824" t="s">
        <v>3088</v>
      </c>
      <c r="E552" s="824" t="s">
        <v>3088</v>
      </c>
      <c r="F552" s="824" t="s">
        <v>3088</v>
      </c>
      <c r="G552" s="824" t="s">
        <v>3088</v>
      </c>
      <c r="H552" s="824" t="s">
        <v>3088</v>
      </c>
      <c r="I552" s="824" t="s">
        <v>3088</v>
      </c>
      <c r="J552" s="824" t="s">
        <v>3088</v>
      </c>
      <c r="K552" s="824" t="s">
        <v>3088</v>
      </c>
      <c r="L552" s="824" t="s">
        <v>3088</v>
      </c>
      <c r="M552" s="824" t="s">
        <v>3088</v>
      </c>
    </row>
    <row r="553" spans="1:13">
      <c r="A553" s="824">
        <v>2014</v>
      </c>
      <c r="B553" s="824" t="s">
        <v>188</v>
      </c>
      <c r="C553" s="824" t="str">
        <f t="shared" si="8"/>
        <v>2014_Equatorial Guinea</v>
      </c>
      <c r="D553" s="824" t="s">
        <v>3088</v>
      </c>
      <c r="E553" s="824" t="s">
        <v>3088</v>
      </c>
      <c r="F553" s="824" t="s">
        <v>3088</v>
      </c>
      <c r="G553" s="824" t="s">
        <v>3088</v>
      </c>
      <c r="H553" s="824" t="s">
        <v>3088</v>
      </c>
      <c r="I553" s="824" t="s">
        <v>3088</v>
      </c>
      <c r="J553" s="824" t="s">
        <v>3088</v>
      </c>
      <c r="K553" s="824" t="s">
        <v>3088</v>
      </c>
      <c r="L553" s="824" t="s">
        <v>3088</v>
      </c>
      <c r="M553" s="824" t="s">
        <v>3088</v>
      </c>
    </row>
    <row r="554" spans="1:13">
      <c r="A554" s="824">
        <v>2014</v>
      </c>
      <c r="B554" s="824" t="s">
        <v>191</v>
      </c>
      <c r="C554" s="824" t="str">
        <f t="shared" si="8"/>
        <v>2014_Gabon</v>
      </c>
      <c r="D554" s="824" t="s">
        <v>3088</v>
      </c>
      <c r="E554" s="824" t="s">
        <v>3088</v>
      </c>
      <c r="F554" s="824" t="s">
        <v>3088</v>
      </c>
      <c r="G554" s="824" t="s">
        <v>3088</v>
      </c>
      <c r="H554" s="824" t="s">
        <v>3088</v>
      </c>
      <c r="I554" s="824" t="s">
        <v>3088</v>
      </c>
      <c r="J554" s="824" t="s">
        <v>3088</v>
      </c>
      <c r="K554" s="824" t="s">
        <v>3088</v>
      </c>
      <c r="L554" s="824" t="s">
        <v>3088</v>
      </c>
      <c r="M554" s="824" t="s">
        <v>3088</v>
      </c>
    </row>
    <row r="555" spans="1:13">
      <c r="A555" s="824">
        <v>2014</v>
      </c>
      <c r="B555" s="824" t="s">
        <v>195</v>
      </c>
      <c r="C555" s="824" t="str">
        <f t="shared" si="8"/>
        <v>2014_Ghana</v>
      </c>
      <c r="D555" s="824" t="s">
        <v>3088</v>
      </c>
      <c r="E555" s="824" t="s">
        <v>3088</v>
      </c>
      <c r="F555" s="824" t="s">
        <v>3088</v>
      </c>
      <c r="G555" s="824" t="s">
        <v>3088</v>
      </c>
      <c r="H555" s="824" t="s">
        <v>3088</v>
      </c>
      <c r="I555" s="824" t="s">
        <v>3088</v>
      </c>
      <c r="J555" s="824" t="s">
        <v>3088</v>
      </c>
      <c r="K555" s="824" t="s">
        <v>3088</v>
      </c>
      <c r="L555" s="824" t="s">
        <v>3088</v>
      </c>
      <c r="M555" s="824" t="s">
        <v>3088</v>
      </c>
    </row>
    <row r="556" spans="1:13">
      <c r="A556" s="824">
        <v>2014</v>
      </c>
      <c r="B556" s="824" t="s">
        <v>3089</v>
      </c>
      <c r="C556" s="824" t="str">
        <f t="shared" si="8"/>
        <v>2014_Guinea</v>
      </c>
      <c r="D556" s="824" t="s">
        <v>3088</v>
      </c>
      <c r="E556" s="824" t="s">
        <v>3088</v>
      </c>
      <c r="F556" s="824" t="s">
        <v>3088</v>
      </c>
      <c r="G556" s="824" t="s">
        <v>3088</v>
      </c>
      <c r="H556" s="824" t="s">
        <v>3088</v>
      </c>
      <c r="I556" s="824" t="s">
        <v>3088</v>
      </c>
      <c r="J556" s="824" t="s">
        <v>3088</v>
      </c>
      <c r="K556" s="824" t="s">
        <v>3088</v>
      </c>
      <c r="L556" s="824" t="s">
        <v>3088</v>
      </c>
      <c r="M556" s="824" t="s">
        <v>3088</v>
      </c>
    </row>
    <row r="557" spans="1:13">
      <c r="A557" s="824">
        <v>2014</v>
      </c>
      <c r="B557" s="824" t="s">
        <v>219</v>
      </c>
      <c r="C557" s="824" t="str">
        <f t="shared" si="8"/>
        <v>2014_Guatemala</v>
      </c>
      <c r="D557" s="824" t="s">
        <v>3088</v>
      </c>
      <c r="E557" s="824" t="s">
        <v>3088</v>
      </c>
      <c r="F557" s="824" t="s">
        <v>3088</v>
      </c>
      <c r="G557" s="824" t="s">
        <v>3088</v>
      </c>
      <c r="H557" s="824" t="s">
        <v>3088</v>
      </c>
      <c r="I557" s="824" t="s">
        <v>3088</v>
      </c>
      <c r="J557" s="824" t="s">
        <v>3088</v>
      </c>
      <c r="K557" s="824" t="s">
        <v>3088</v>
      </c>
      <c r="L557" s="824" t="s">
        <v>3088</v>
      </c>
      <c r="M557" s="824" t="s">
        <v>3088</v>
      </c>
    </row>
    <row r="558" spans="1:13">
      <c r="A558" s="824">
        <v>2014</v>
      </c>
      <c r="B558" s="824" t="s">
        <v>243</v>
      </c>
      <c r="C558" s="824" t="str">
        <f t="shared" si="8"/>
        <v>2014_Indonesia</v>
      </c>
      <c r="D558" s="824" t="s">
        <v>3088</v>
      </c>
      <c r="E558" s="824" t="s">
        <v>3088</v>
      </c>
      <c r="F558" s="824" t="s">
        <v>3088</v>
      </c>
      <c r="G558" s="824" t="s">
        <v>3088</v>
      </c>
      <c r="H558" s="824" t="s">
        <v>3088</v>
      </c>
      <c r="I558" s="824" t="s">
        <v>3088</v>
      </c>
      <c r="J558" s="824" t="s">
        <v>3088</v>
      </c>
      <c r="K558" s="824">
        <v>11.3</v>
      </c>
      <c r="L558" s="824" t="s">
        <v>3088</v>
      </c>
      <c r="M558" s="824" t="s">
        <v>3088</v>
      </c>
    </row>
    <row r="559" spans="1:13">
      <c r="A559" s="824">
        <v>2014</v>
      </c>
      <c r="B559" s="824" t="s">
        <v>251</v>
      </c>
      <c r="C559" s="824" t="str">
        <f t="shared" si="8"/>
        <v>2014_Iraq</v>
      </c>
      <c r="D559" s="824" t="s">
        <v>3088</v>
      </c>
      <c r="E559" s="824" t="s">
        <v>3088</v>
      </c>
      <c r="F559" s="824" t="s">
        <v>3088</v>
      </c>
      <c r="G559" s="824" t="s">
        <v>3088</v>
      </c>
      <c r="H559" s="824" t="s">
        <v>3088</v>
      </c>
      <c r="I559" s="824" t="s">
        <v>3088</v>
      </c>
      <c r="J559" s="824" t="s">
        <v>3088</v>
      </c>
      <c r="K559" s="824" t="s">
        <v>3088</v>
      </c>
      <c r="L559" s="824" t="s">
        <v>3088</v>
      </c>
      <c r="M559" s="824" t="s">
        <v>3088</v>
      </c>
    </row>
    <row r="560" spans="1:13">
      <c r="A560" s="824">
        <v>2014</v>
      </c>
      <c r="B560" s="824" t="s">
        <v>280</v>
      </c>
      <c r="C560" s="824" t="str">
        <f t="shared" si="8"/>
        <v>2014_Kazakhstan</v>
      </c>
      <c r="D560" s="824" t="s">
        <v>3088</v>
      </c>
      <c r="E560" s="824" t="s">
        <v>3088</v>
      </c>
      <c r="F560" s="824" t="s">
        <v>3088</v>
      </c>
      <c r="G560" s="824" t="s">
        <v>3088</v>
      </c>
      <c r="H560" s="824" t="s">
        <v>3088</v>
      </c>
      <c r="I560" s="824" t="s">
        <v>3088</v>
      </c>
      <c r="J560" s="824" t="s">
        <v>3088</v>
      </c>
      <c r="K560" s="824" t="s">
        <v>3088</v>
      </c>
      <c r="L560" s="824" t="s">
        <v>3088</v>
      </c>
      <c r="M560" s="824" t="s">
        <v>3088</v>
      </c>
    </row>
    <row r="561" spans="1:13">
      <c r="A561" s="824">
        <v>2014</v>
      </c>
      <c r="B561" s="824" t="s">
        <v>285</v>
      </c>
      <c r="C561" s="824" t="str">
        <f t="shared" si="8"/>
        <v>2014_Kyrgyz Republic</v>
      </c>
      <c r="D561" s="824" t="s">
        <v>3088</v>
      </c>
      <c r="E561" s="824" t="s">
        <v>3088</v>
      </c>
      <c r="F561" s="824" t="s">
        <v>3088</v>
      </c>
      <c r="G561" s="824" t="s">
        <v>3088</v>
      </c>
      <c r="H561" s="824" t="s">
        <v>3088</v>
      </c>
      <c r="I561" s="824" t="s">
        <v>3088</v>
      </c>
      <c r="J561" s="824" t="s">
        <v>3088</v>
      </c>
      <c r="K561" s="824" t="s">
        <v>3088</v>
      </c>
      <c r="L561" s="824" t="s">
        <v>3088</v>
      </c>
      <c r="M561" s="824" t="s">
        <v>3088</v>
      </c>
    </row>
    <row r="562" spans="1:13">
      <c r="A562" s="824">
        <v>2014</v>
      </c>
      <c r="B562" s="824" t="s">
        <v>301</v>
      </c>
      <c r="C562" s="824" t="str">
        <f t="shared" si="8"/>
        <v>2014_Liberia</v>
      </c>
      <c r="D562" s="824" t="s">
        <v>3088</v>
      </c>
      <c r="E562" s="824" t="s">
        <v>3088</v>
      </c>
      <c r="F562" s="824" t="s">
        <v>3088</v>
      </c>
      <c r="G562" s="824" t="s">
        <v>3088</v>
      </c>
      <c r="H562" s="824" t="s">
        <v>3088</v>
      </c>
      <c r="I562" s="824" t="s">
        <v>3088</v>
      </c>
      <c r="J562" s="824" t="s">
        <v>3088</v>
      </c>
      <c r="K562" s="824" t="s">
        <v>3088</v>
      </c>
      <c r="L562" s="824" t="s">
        <v>3088</v>
      </c>
      <c r="M562" s="824" t="s">
        <v>3088</v>
      </c>
    </row>
    <row r="563" spans="1:13">
      <c r="A563" s="824">
        <v>2014</v>
      </c>
      <c r="B563" s="824" t="s">
        <v>316</v>
      </c>
      <c r="C563" s="824" t="str">
        <f t="shared" si="8"/>
        <v>2014_Madagascar</v>
      </c>
      <c r="D563" s="824" t="s">
        <v>3088</v>
      </c>
      <c r="E563" s="824" t="s">
        <v>3088</v>
      </c>
      <c r="F563" s="824" t="s">
        <v>3088</v>
      </c>
      <c r="G563" s="824" t="s">
        <v>3088</v>
      </c>
      <c r="H563" s="824" t="s">
        <v>3088</v>
      </c>
      <c r="I563" s="824" t="s">
        <v>3088</v>
      </c>
      <c r="J563" s="824" t="s">
        <v>3088</v>
      </c>
      <c r="K563" s="824" t="s">
        <v>3088</v>
      </c>
      <c r="L563" s="824" t="s">
        <v>3088</v>
      </c>
      <c r="M563" s="824" t="s">
        <v>3088</v>
      </c>
    </row>
    <row r="564" spans="1:13">
      <c r="A564" s="824">
        <v>2014</v>
      </c>
      <c r="B564" s="824" t="s">
        <v>329</v>
      </c>
      <c r="C564" s="824" t="str">
        <f t="shared" si="8"/>
        <v>2014_Mali</v>
      </c>
      <c r="D564" s="824" t="s">
        <v>3088</v>
      </c>
      <c r="E564" s="824" t="s">
        <v>3088</v>
      </c>
      <c r="F564" s="824" t="s">
        <v>3088</v>
      </c>
      <c r="G564" s="824" t="s">
        <v>3088</v>
      </c>
      <c r="H564" s="824" t="s">
        <v>3088</v>
      </c>
      <c r="I564" s="824" t="s">
        <v>3088</v>
      </c>
      <c r="J564" s="824" t="s">
        <v>3088</v>
      </c>
      <c r="K564" s="824" t="s">
        <v>3088</v>
      </c>
      <c r="L564" s="824" t="s">
        <v>3088</v>
      </c>
      <c r="M564" s="824" t="s">
        <v>3088</v>
      </c>
    </row>
    <row r="565" spans="1:13">
      <c r="A565" s="824">
        <v>2014</v>
      </c>
      <c r="B565" s="824" t="s">
        <v>345</v>
      </c>
      <c r="C565" s="824" t="str">
        <f t="shared" si="8"/>
        <v>2014_Mauritania</v>
      </c>
      <c r="D565" s="824" t="s">
        <v>3088</v>
      </c>
      <c r="E565" s="824" t="s">
        <v>3088</v>
      </c>
      <c r="F565" s="824" t="s">
        <v>3088</v>
      </c>
      <c r="G565" s="824" t="s">
        <v>3088</v>
      </c>
      <c r="H565" s="824" t="s">
        <v>3088</v>
      </c>
      <c r="I565" s="824" t="s">
        <v>3088</v>
      </c>
      <c r="J565" s="824" t="s">
        <v>3088</v>
      </c>
      <c r="K565" s="824" t="s">
        <v>3088</v>
      </c>
      <c r="L565" s="824" t="s">
        <v>3088</v>
      </c>
      <c r="M565" s="824" t="s">
        <v>3088</v>
      </c>
    </row>
    <row r="566" spans="1:13">
      <c r="A566" s="824">
        <v>2014</v>
      </c>
      <c r="B566" s="824" t="s">
        <v>364</v>
      </c>
      <c r="C566" s="824" t="str">
        <f t="shared" si="8"/>
        <v>2014_Mongolia</v>
      </c>
      <c r="D566" s="824" t="s">
        <v>3088</v>
      </c>
      <c r="E566" s="824" t="s">
        <v>3088</v>
      </c>
      <c r="F566" s="824" t="s">
        <v>3088</v>
      </c>
      <c r="G566" s="824" t="s">
        <v>3088</v>
      </c>
      <c r="H566" s="824" t="s">
        <v>3088</v>
      </c>
      <c r="I566" s="824" t="s">
        <v>3088</v>
      </c>
      <c r="J566" s="824" t="s">
        <v>3088</v>
      </c>
      <c r="K566" s="824" t="s">
        <v>3088</v>
      </c>
      <c r="L566" s="824" t="s">
        <v>3088</v>
      </c>
      <c r="M566" s="824" t="s">
        <v>3088</v>
      </c>
    </row>
    <row r="567" spans="1:13">
      <c r="A567" s="824">
        <v>2014</v>
      </c>
      <c r="B567" s="824" t="s">
        <v>385</v>
      </c>
      <c r="C567" s="824" t="str">
        <f t="shared" si="8"/>
        <v>2014_Mozambique</v>
      </c>
      <c r="D567" s="824" t="s">
        <v>3088</v>
      </c>
      <c r="E567" s="824" t="s">
        <v>3088</v>
      </c>
      <c r="F567" s="824" t="s">
        <v>3088</v>
      </c>
      <c r="G567" s="824" t="s">
        <v>3088</v>
      </c>
      <c r="H567" s="824" t="s">
        <v>3088</v>
      </c>
      <c r="I567" s="824" t="s">
        <v>3088</v>
      </c>
      <c r="J567" s="824" t="s">
        <v>3088</v>
      </c>
      <c r="K567" s="824" t="s">
        <v>3088</v>
      </c>
      <c r="L567" s="824" t="s">
        <v>3088</v>
      </c>
      <c r="M567" s="824" t="s">
        <v>3088</v>
      </c>
    </row>
    <row r="568" spans="1:13">
      <c r="A568" s="824">
        <v>2014</v>
      </c>
      <c r="B568" s="824" t="s">
        <v>394</v>
      </c>
      <c r="C568" s="824" t="str">
        <f t="shared" si="8"/>
        <v>2014_Niger</v>
      </c>
      <c r="D568" s="824" t="s">
        <v>3088</v>
      </c>
      <c r="E568" s="824" t="s">
        <v>3088</v>
      </c>
      <c r="F568" s="824" t="s">
        <v>3088</v>
      </c>
      <c r="G568" s="824" t="s">
        <v>3088</v>
      </c>
      <c r="H568" s="824" t="s">
        <v>3088</v>
      </c>
      <c r="I568" s="824" t="s">
        <v>3088</v>
      </c>
      <c r="J568" s="824" t="s">
        <v>3088</v>
      </c>
      <c r="K568" s="824" t="s">
        <v>3088</v>
      </c>
      <c r="L568" s="824" t="s">
        <v>3088</v>
      </c>
      <c r="M568" s="824" t="s">
        <v>3088</v>
      </c>
    </row>
    <row r="569" spans="1:13">
      <c r="A569" s="824">
        <v>2014</v>
      </c>
      <c r="B569" s="824" t="s">
        <v>413</v>
      </c>
      <c r="C569" s="824" t="str">
        <f t="shared" si="8"/>
        <v>2014_Nigeria</v>
      </c>
      <c r="D569" s="824" t="s">
        <v>3088</v>
      </c>
      <c r="E569" s="824" t="s">
        <v>3088</v>
      </c>
      <c r="F569" s="824" t="s">
        <v>3088</v>
      </c>
      <c r="G569" s="824" t="s">
        <v>3088</v>
      </c>
      <c r="H569" s="824" t="s">
        <v>3088</v>
      </c>
      <c r="I569" s="824" t="s">
        <v>3088</v>
      </c>
      <c r="J569" s="824" t="s">
        <v>3088</v>
      </c>
      <c r="K569" s="824" t="s">
        <v>3088</v>
      </c>
      <c r="L569" s="824" t="s">
        <v>3088</v>
      </c>
      <c r="M569" s="824" t="s">
        <v>3088</v>
      </c>
    </row>
    <row r="570" spans="1:13">
      <c r="A570" s="824">
        <v>2014</v>
      </c>
      <c r="B570" s="824" t="s">
        <v>436</v>
      </c>
      <c r="C570" s="824" t="str">
        <f t="shared" si="8"/>
        <v>2014_Norway</v>
      </c>
      <c r="D570" s="824" t="s">
        <v>3088</v>
      </c>
      <c r="E570" s="824" t="s">
        <v>3088</v>
      </c>
      <c r="F570" s="824" t="s">
        <v>3088</v>
      </c>
      <c r="G570" s="824" t="s">
        <v>3088</v>
      </c>
      <c r="H570" s="824" t="s">
        <v>3088</v>
      </c>
      <c r="I570" s="824" t="s">
        <v>3088</v>
      </c>
      <c r="J570" s="824" t="s">
        <v>3088</v>
      </c>
      <c r="K570" s="824" t="s">
        <v>3088</v>
      </c>
      <c r="L570" s="824" t="s">
        <v>3088</v>
      </c>
      <c r="M570" s="824" t="s">
        <v>3088</v>
      </c>
    </row>
    <row r="571" spans="1:13">
      <c r="A571" s="824">
        <v>2014</v>
      </c>
      <c r="B571" s="824" t="s">
        <v>449</v>
      </c>
      <c r="C571" s="824" t="str">
        <f t="shared" si="8"/>
        <v>2014_Peru</v>
      </c>
      <c r="D571" s="824" t="s">
        <v>3088</v>
      </c>
      <c r="E571" s="824" t="s">
        <v>3088</v>
      </c>
      <c r="F571" s="824" t="s">
        <v>3088</v>
      </c>
      <c r="G571" s="824" t="s">
        <v>3088</v>
      </c>
      <c r="H571" s="824" t="s">
        <v>3088</v>
      </c>
      <c r="I571" s="824" t="s">
        <v>3088</v>
      </c>
      <c r="J571" s="824" t="s">
        <v>3088</v>
      </c>
      <c r="K571" s="824" t="s">
        <v>3088</v>
      </c>
      <c r="L571" s="824" t="s">
        <v>3088</v>
      </c>
      <c r="M571" s="824" t="s">
        <v>3088</v>
      </c>
    </row>
    <row r="572" spans="1:13">
      <c r="A572" s="824">
        <v>2014</v>
      </c>
      <c r="B572" s="824" t="s">
        <v>488</v>
      </c>
      <c r="C572" s="824" t="str">
        <f t="shared" si="8"/>
        <v>2014_Sierra Leone</v>
      </c>
      <c r="D572" s="824" t="s">
        <v>3088</v>
      </c>
      <c r="E572" s="824" t="s">
        <v>3088</v>
      </c>
      <c r="F572" s="824" t="s">
        <v>3088</v>
      </c>
      <c r="G572" s="824" t="s">
        <v>3088</v>
      </c>
      <c r="H572" s="824" t="s">
        <v>3088</v>
      </c>
      <c r="I572" s="824" t="s">
        <v>3088</v>
      </c>
      <c r="J572" s="824" t="s">
        <v>3088</v>
      </c>
      <c r="K572" s="824" t="s">
        <v>3088</v>
      </c>
      <c r="L572" s="824" t="s">
        <v>3088</v>
      </c>
      <c r="M572" s="824" t="s">
        <v>3088</v>
      </c>
    </row>
    <row r="573" spans="1:13">
      <c r="A573" s="824">
        <v>2014</v>
      </c>
      <c r="B573" s="824" t="s">
        <v>499</v>
      </c>
      <c r="C573" s="824" t="str">
        <f t="shared" si="8"/>
        <v>2014_Tanzania</v>
      </c>
      <c r="D573" s="824" t="s">
        <v>3088</v>
      </c>
      <c r="E573" s="824" t="s">
        <v>3088</v>
      </c>
      <c r="F573" s="824" t="s">
        <v>3088</v>
      </c>
      <c r="G573" s="824" t="s">
        <v>3088</v>
      </c>
      <c r="H573" s="824" t="s">
        <v>3088</v>
      </c>
      <c r="I573" s="824" t="s">
        <v>3088</v>
      </c>
      <c r="J573" s="824" t="s">
        <v>3088</v>
      </c>
      <c r="K573" s="824" t="s">
        <v>3088</v>
      </c>
      <c r="L573" s="824" t="s">
        <v>3088</v>
      </c>
      <c r="M573" s="824" t="s">
        <v>3088</v>
      </c>
    </row>
    <row r="574" spans="1:13">
      <c r="A574" s="824">
        <v>2014</v>
      </c>
      <c r="B574" s="824" t="s">
        <v>3090</v>
      </c>
      <c r="C574" s="824" t="str">
        <f t="shared" si="8"/>
        <v>2014_Timor-Leste</v>
      </c>
      <c r="D574" s="824" t="s">
        <v>3088</v>
      </c>
      <c r="E574" s="824" t="s">
        <v>3088</v>
      </c>
      <c r="F574" s="824" t="s">
        <v>3088</v>
      </c>
      <c r="G574" s="824" t="s">
        <v>3088</v>
      </c>
      <c r="H574" s="824" t="s">
        <v>3088</v>
      </c>
      <c r="I574" s="824" t="s">
        <v>3088</v>
      </c>
      <c r="J574" s="824" t="s">
        <v>3088</v>
      </c>
      <c r="K574" s="824" t="s">
        <v>3088</v>
      </c>
      <c r="L574" s="824" t="s">
        <v>3088</v>
      </c>
      <c r="M574" s="824" t="s">
        <v>3088</v>
      </c>
    </row>
    <row r="575" spans="1:13">
      <c r="A575" s="824">
        <v>2014</v>
      </c>
      <c r="B575" s="824" t="s">
        <v>517</v>
      </c>
      <c r="C575" s="824" t="str">
        <f t="shared" si="8"/>
        <v>2014_Togo</v>
      </c>
      <c r="D575" s="824" t="s">
        <v>3088</v>
      </c>
      <c r="E575" s="824" t="s">
        <v>3088</v>
      </c>
      <c r="F575" s="824" t="s">
        <v>3088</v>
      </c>
      <c r="G575" s="824" t="s">
        <v>3088</v>
      </c>
      <c r="H575" s="824" t="s">
        <v>3088</v>
      </c>
      <c r="I575" s="824" t="s">
        <v>3088</v>
      </c>
      <c r="J575" s="824" t="s">
        <v>3088</v>
      </c>
      <c r="K575" s="824" t="s">
        <v>3088</v>
      </c>
      <c r="L575" s="824" t="s">
        <v>3088</v>
      </c>
      <c r="M575" s="824" t="s">
        <v>3088</v>
      </c>
    </row>
    <row r="576" spans="1:13">
      <c r="A576" s="824">
        <v>2014</v>
      </c>
      <c r="B576" s="824" t="s">
        <v>3091</v>
      </c>
      <c r="C576" s="824" t="str">
        <f t="shared" si="8"/>
        <v>2014_Trinidad and Tobago</v>
      </c>
      <c r="D576" s="824" t="s">
        <v>3088</v>
      </c>
      <c r="E576" s="824" t="s">
        <v>3088</v>
      </c>
      <c r="F576" s="824" t="s">
        <v>3088</v>
      </c>
      <c r="G576" s="824" t="s">
        <v>3088</v>
      </c>
      <c r="H576" s="824" t="s">
        <v>3088</v>
      </c>
      <c r="I576" s="824" t="s">
        <v>3088</v>
      </c>
      <c r="J576" s="824" t="s">
        <v>3088</v>
      </c>
      <c r="K576" s="824" t="s">
        <v>3088</v>
      </c>
      <c r="L576" s="824" t="s">
        <v>3088</v>
      </c>
      <c r="M576" s="824" t="s">
        <v>3088</v>
      </c>
    </row>
    <row r="577" spans="1:13">
      <c r="A577" s="824">
        <v>2014</v>
      </c>
      <c r="B577" s="824" t="s">
        <v>3092</v>
      </c>
      <c r="C577" s="824" t="str">
        <f t="shared" si="8"/>
        <v>2014_Yemen, Rep.</v>
      </c>
      <c r="D577" s="824" t="s">
        <v>3088</v>
      </c>
      <c r="E577" s="824" t="s">
        <v>3088</v>
      </c>
      <c r="F577" s="824" t="s">
        <v>3088</v>
      </c>
      <c r="G577" s="824" t="s">
        <v>3088</v>
      </c>
      <c r="H577" s="824" t="s">
        <v>3088</v>
      </c>
      <c r="I577" s="824" t="s">
        <v>3088</v>
      </c>
      <c r="J577" s="824" t="s">
        <v>3088</v>
      </c>
      <c r="K577" s="824" t="s">
        <v>3088</v>
      </c>
      <c r="L577" s="824" t="s">
        <v>3088</v>
      </c>
      <c r="M577" s="824" t="s">
        <v>3088</v>
      </c>
    </row>
    <row r="578" spans="1:13">
      <c r="A578" s="824">
        <v>2014</v>
      </c>
      <c r="B578" s="824" t="s">
        <v>541</v>
      </c>
      <c r="C578" s="824" t="str">
        <f t="shared" si="8"/>
        <v>2014_Zambia</v>
      </c>
      <c r="D578" s="824" t="s">
        <v>3088</v>
      </c>
      <c r="E578" s="824" t="s">
        <v>3088</v>
      </c>
      <c r="F578" s="824" t="s">
        <v>3088</v>
      </c>
      <c r="G578" s="824" t="s">
        <v>3088</v>
      </c>
      <c r="H578" s="824" t="s">
        <v>3088</v>
      </c>
      <c r="I578" s="824" t="s">
        <v>3088</v>
      </c>
      <c r="J578" s="824" t="s">
        <v>3088</v>
      </c>
      <c r="K578" s="824" t="s">
        <v>3088</v>
      </c>
      <c r="L578" s="824" t="s">
        <v>3088</v>
      </c>
      <c r="M578" s="824" t="s">
        <v>3088</v>
      </c>
    </row>
    <row r="582" spans="1:13">
      <c r="A582" s="824" t="s">
        <v>3093</v>
      </c>
    </row>
    <row r="583" spans="1:13">
      <c r="A583" s="824" t="s">
        <v>3094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50"/>
  <sheetViews>
    <sheetView topLeftCell="C1" workbookViewId="0">
      <selection activeCell="H9" sqref="H9"/>
    </sheetView>
  </sheetViews>
  <sheetFormatPr defaultRowHeight="15"/>
  <cols>
    <col min="1" max="1" width="14" style="848" customWidth="1"/>
    <col min="2" max="2" width="22.7109375" style="848" bestFit="1" customWidth="1"/>
    <col min="3" max="3" width="27.85546875" style="848" bestFit="1" customWidth="1"/>
    <col min="4" max="4" width="31.140625" style="848" customWidth="1"/>
    <col min="5" max="5" width="12.42578125" style="848" customWidth="1"/>
    <col min="6" max="7" width="10.28515625" style="848" customWidth="1"/>
    <col min="8" max="8" width="24.5703125" style="848" customWidth="1"/>
    <col min="9" max="9" width="31.5703125" style="848" customWidth="1"/>
    <col min="10" max="10" width="33.28515625" style="848" customWidth="1"/>
    <col min="11" max="11" width="34.5703125" style="848" customWidth="1"/>
    <col min="12" max="16384" width="9.140625" style="848"/>
  </cols>
  <sheetData>
    <row r="1" spans="1:11">
      <c r="A1" s="848" t="s">
        <v>3095</v>
      </c>
      <c r="B1" s="848" t="s">
        <v>559</v>
      </c>
      <c r="C1" s="848" t="s">
        <v>3096</v>
      </c>
      <c r="D1" s="848" t="s">
        <v>3820</v>
      </c>
      <c r="E1" s="848" t="s">
        <v>3821</v>
      </c>
      <c r="F1" s="848" t="s">
        <v>3819</v>
      </c>
      <c r="G1" s="848" t="s">
        <v>3822</v>
      </c>
      <c r="H1" s="848" t="s">
        <v>3823</v>
      </c>
      <c r="I1" s="848" t="s">
        <v>3818</v>
      </c>
      <c r="J1" s="848" t="s">
        <v>3817</v>
      </c>
      <c r="K1" s="848" t="s">
        <v>3816</v>
      </c>
    </row>
    <row r="2" spans="1:11">
      <c r="A2" s="848">
        <v>1999</v>
      </c>
      <c r="B2" s="848" t="s">
        <v>21</v>
      </c>
      <c r="C2" s="848" t="str">
        <f>$A2&amp;"_"&amp;$B2</f>
        <v>1999_Afghanistan</v>
      </c>
      <c r="D2" s="848">
        <v>166240000</v>
      </c>
      <c r="E2" s="848" t="s">
        <v>3088</v>
      </c>
      <c r="F2" s="848" t="s">
        <v>3088</v>
      </c>
      <c r="G2" s="848" t="str">
        <f>IFERROR(($E2+$F2)/100,"..")</f>
        <v>..</v>
      </c>
      <c r="H2" s="848" t="str">
        <f>IFERROR($G2*$D2,"..")</f>
        <v>..</v>
      </c>
      <c r="I2" s="848" t="s">
        <v>3088</v>
      </c>
      <c r="J2" s="848">
        <v>25.741119999999999</v>
      </c>
      <c r="K2" s="848" t="s">
        <v>3088</v>
      </c>
    </row>
    <row r="3" spans="1:11">
      <c r="A3" s="848">
        <v>1999</v>
      </c>
      <c r="B3" s="848" t="s">
        <v>38</v>
      </c>
      <c r="C3" s="848" t="str">
        <f>$A3&amp;"_"&amp;$B3</f>
        <v>1999_Albania</v>
      </c>
      <c r="D3" s="848">
        <v>351120000</v>
      </c>
      <c r="E3" s="848">
        <v>1.9781619836231716</v>
      </c>
      <c r="F3" s="848">
        <v>3.9153754657737698</v>
      </c>
      <c r="G3" s="848">
        <f t="shared" ref="G3:G66" si="0">IFERROR(($E3+$F3)/100,"..")</f>
        <v>5.8935374493969413E-2</v>
      </c>
      <c r="H3" s="848">
        <f t="shared" ref="H3:H66" si="1">IFERROR($G3*$D3,"..")</f>
        <v>20693388.692322541</v>
      </c>
      <c r="I3" s="848">
        <v>93.087230000000005</v>
      </c>
      <c r="J3" s="848">
        <v>101.68789</v>
      </c>
      <c r="K3" s="848">
        <v>93.087230000000005</v>
      </c>
    </row>
    <row r="4" spans="1:11">
      <c r="A4" s="848">
        <v>1999</v>
      </c>
      <c r="B4" s="848" t="s">
        <v>53</v>
      </c>
      <c r="C4" s="848" t="str">
        <f>$A4&amp;"_"&amp;$B4</f>
        <v>1999_Azerbaijan</v>
      </c>
      <c r="D4" s="848">
        <v>929000000</v>
      </c>
      <c r="E4" s="848">
        <v>78.596075863119552</v>
      </c>
      <c r="F4" s="848">
        <v>2.4080406864668422</v>
      </c>
      <c r="G4" s="848">
        <f t="shared" si="0"/>
        <v>0.81004116549586402</v>
      </c>
      <c r="H4" s="848">
        <f t="shared" si="1"/>
        <v>752528242.74565768</v>
      </c>
      <c r="I4" s="848">
        <v>92.141099999999994</v>
      </c>
      <c r="J4" s="848">
        <v>95.480140000000006</v>
      </c>
      <c r="K4" s="848">
        <v>92.141099999999994</v>
      </c>
    </row>
    <row r="5" spans="1:11">
      <c r="A5" s="848">
        <v>1999</v>
      </c>
      <c r="B5" s="848" t="s">
        <v>98</v>
      </c>
      <c r="C5" s="848" t="str">
        <f>$A5&amp;"_"&amp;$B5</f>
        <v>1999_Burkina Faso</v>
      </c>
      <c r="D5" s="848">
        <v>255000000</v>
      </c>
      <c r="E5" s="848">
        <v>1.1043421413550452</v>
      </c>
      <c r="F5" s="848">
        <v>8.5812866891221404E-2</v>
      </c>
      <c r="G5" s="848">
        <f t="shared" si="0"/>
        <v>1.1901550082462665E-2</v>
      </c>
      <c r="H5" s="848">
        <f t="shared" si="1"/>
        <v>3034895.2710279799</v>
      </c>
      <c r="I5" s="848">
        <v>35.491610000000001</v>
      </c>
      <c r="J5" s="848">
        <v>44.286700000000003</v>
      </c>
      <c r="K5" s="848">
        <v>35.516460000000002</v>
      </c>
    </row>
    <row r="6" spans="1:11">
      <c r="A6" s="848">
        <v>1999</v>
      </c>
      <c r="B6" s="848" t="s">
        <v>101</v>
      </c>
      <c r="C6" s="848" t="str">
        <f>$A6&amp;"_"&amp;$B6</f>
        <v>1999_Cameroon</v>
      </c>
      <c r="D6" s="848">
        <v>1601000000</v>
      </c>
      <c r="E6" s="848" t="s">
        <v>3088</v>
      </c>
      <c r="F6" s="848" t="s">
        <v>3088</v>
      </c>
      <c r="G6" s="848" t="str">
        <f t="shared" si="0"/>
        <v>..</v>
      </c>
      <c r="H6" s="848" t="str">
        <f t="shared" si="1"/>
        <v>..</v>
      </c>
      <c r="I6" s="848" t="s">
        <v>3088</v>
      </c>
      <c r="J6" s="848">
        <v>81.012649999999994</v>
      </c>
      <c r="K6" s="848" t="s">
        <v>3088</v>
      </c>
    </row>
    <row r="7" spans="1:11">
      <c r="A7" s="848">
        <v>1999</v>
      </c>
      <c r="B7" s="848" t="s">
        <v>127</v>
      </c>
      <c r="C7" s="848" t="str">
        <f>$A7&amp;"_"&amp;$B7</f>
        <v>1999_Central African Republic</v>
      </c>
      <c r="D7" s="848">
        <v>146000000</v>
      </c>
      <c r="E7" s="848">
        <v>0.15382327182831551</v>
      </c>
      <c r="F7" s="848">
        <v>1.3002943472816963</v>
      </c>
      <c r="G7" s="848">
        <f t="shared" si="0"/>
        <v>1.4541176191100118E-2</v>
      </c>
      <c r="H7" s="848">
        <f t="shared" si="1"/>
        <v>2123011.7239006171</v>
      </c>
      <c r="I7" s="848" t="s">
        <v>3088</v>
      </c>
      <c r="J7" s="848" t="s">
        <v>3088</v>
      </c>
      <c r="K7" s="848" t="s">
        <v>3088</v>
      </c>
    </row>
    <row r="8" spans="1:11">
      <c r="A8" s="848">
        <v>1999</v>
      </c>
      <c r="B8" s="848" t="s">
        <v>138</v>
      </c>
      <c r="C8" s="848" t="str">
        <f>$A8&amp;"_"&amp;$B8</f>
        <v>1999_Chad</v>
      </c>
      <c r="D8" s="848">
        <v>243000000</v>
      </c>
      <c r="E8" s="848" t="s">
        <v>3088</v>
      </c>
      <c r="F8" s="848" t="s">
        <v>3088</v>
      </c>
      <c r="G8" s="848" t="str">
        <f t="shared" si="0"/>
        <v>..</v>
      </c>
      <c r="H8" s="848" t="str">
        <f t="shared" si="1"/>
        <v>..</v>
      </c>
      <c r="I8" s="848">
        <v>49.954279999999997</v>
      </c>
      <c r="J8" s="848">
        <v>61.244349999999997</v>
      </c>
      <c r="K8" s="848">
        <v>49.992710000000002</v>
      </c>
    </row>
    <row r="9" spans="1:11">
      <c r="A9" s="848">
        <v>1999</v>
      </c>
      <c r="B9" s="848" t="s">
        <v>3815</v>
      </c>
      <c r="C9" s="848" t="str">
        <f>$A9&amp;"_"&amp;$B9</f>
        <v>1999_Congo, Dem. Rep.</v>
      </c>
      <c r="D9" s="848">
        <v>809000000</v>
      </c>
      <c r="E9" s="848" t="s">
        <v>3088</v>
      </c>
      <c r="F9" s="848" t="s">
        <v>3088</v>
      </c>
      <c r="G9" s="848" t="str">
        <f t="shared" si="0"/>
        <v>..</v>
      </c>
      <c r="H9" s="848" t="str">
        <f t="shared" si="1"/>
        <v>..</v>
      </c>
      <c r="I9" s="848">
        <v>36.210610000000003</v>
      </c>
      <c r="J9" s="848">
        <v>52.513330000000003</v>
      </c>
      <c r="K9" s="848">
        <v>36.210610000000003</v>
      </c>
    </row>
    <row r="10" spans="1:11">
      <c r="A10" s="848">
        <v>1999</v>
      </c>
      <c r="B10" s="848" t="s">
        <v>3814</v>
      </c>
      <c r="C10" s="848" t="str">
        <f>$A10&amp;"_"&amp;$B10</f>
        <v>1999_Congo, Rep.</v>
      </c>
      <c r="D10" s="848">
        <v>1560000000</v>
      </c>
      <c r="E10" s="848" t="s">
        <v>3088</v>
      </c>
      <c r="F10" s="848" t="s">
        <v>3088</v>
      </c>
      <c r="G10" s="848" t="str">
        <f t="shared" si="0"/>
        <v>..</v>
      </c>
      <c r="H10" s="848" t="str">
        <f t="shared" si="1"/>
        <v>..</v>
      </c>
      <c r="I10" s="848" t="s">
        <v>3088</v>
      </c>
      <c r="J10" s="848">
        <v>59.09863</v>
      </c>
      <c r="K10" s="848" t="s">
        <v>3088</v>
      </c>
    </row>
    <row r="11" spans="1:11">
      <c r="A11" s="848">
        <v>1999</v>
      </c>
      <c r="B11" s="848" t="s">
        <v>188</v>
      </c>
      <c r="C11" s="848" t="str">
        <f>$A11&amp;"_"&amp;$B11</f>
        <v>1999_Equatorial Guinea</v>
      </c>
      <c r="D11" s="848">
        <v>709000000</v>
      </c>
      <c r="E11" s="848" t="s">
        <v>3088</v>
      </c>
      <c r="F11" s="848" t="s">
        <v>3088</v>
      </c>
      <c r="G11" s="848" t="str">
        <f t="shared" si="0"/>
        <v>..</v>
      </c>
      <c r="H11" s="848" t="str">
        <f t="shared" si="1"/>
        <v>..</v>
      </c>
      <c r="I11" s="848" t="s">
        <v>3088</v>
      </c>
      <c r="J11" s="848">
        <v>113.34453000000001</v>
      </c>
      <c r="K11" s="848" t="s">
        <v>3088</v>
      </c>
    </row>
    <row r="12" spans="1:11">
      <c r="A12" s="848">
        <v>1999</v>
      </c>
      <c r="B12" s="848" t="s">
        <v>191</v>
      </c>
      <c r="C12" s="848" t="str">
        <f>$A12&amp;"_"&amp;$B12</f>
        <v>1999_Gabon</v>
      </c>
      <c r="D12" s="848">
        <v>2394000000</v>
      </c>
      <c r="E12" s="848">
        <v>78.474568442546783</v>
      </c>
      <c r="F12" s="848">
        <v>2.3266503769018398</v>
      </c>
      <c r="G12" s="848">
        <f t="shared" si="0"/>
        <v>0.80801218819448617</v>
      </c>
      <c r="H12" s="848">
        <f t="shared" si="1"/>
        <v>1934381178.5375998</v>
      </c>
      <c r="I12" s="848" t="s">
        <v>3088</v>
      </c>
      <c r="J12" s="848">
        <v>142.87468999999999</v>
      </c>
      <c r="K12" s="848" t="s">
        <v>3088</v>
      </c>
    </row>
    <row r="13" spans="1:11">
      <c r="A13" s="848">
        <v>1999</v>
      </c>
      <c r="B13" s="848" t="s">
        <v>301</v>
      </c>
      <c r="C13" s="848" t="str">
        <f>$A13&amp;"_"&amp;$B13</f>
        <v>1999_Liberia</v>
      </c>
      <c r="D13" s="848">
        <v>469000000</v>
      </c>
      <c r="E13" s="848" t="s">
        <v>3088</v>
      </c>
      <c r="F13" s="848" t="s">
        <v>3088</v>
      </c>
      <c r="G13" s="848" t="str">
        <f t="shared" si="0"/>
        <v>..</v>
      </c>
      <c r="H13" s="848" t="str">
        <f t="shared" si="1"/>
        <v>..</v>
      </c>
      <c r="I13" s="848">
        <v>46.633870000000002</v>
      </c>
      <c r="J13" s="848">
        <v>95.167429999999996</v>
      </c>
      <c r="K13" s="848">
        <v>46.633870000000002</v>
      </c>
    </row>
    <row r="14" spans="1:11">
      <c r="A14" s="848">
        <v>1999</v>
      </c>
      <c r="B14" s="848" t="s">
        <v>285</v>
      </c>
      <c r="C14" s="848" t="str">
        <f>$A14&amp;"_"&amp;$B14</f>
        <v>1999_Kyrgyz Republic</v>
      </c>
      <c r="D14" s="848">
        <v>454000000</v>
      </c>
      <c r="E14" s="848">
        <v>11.819788693450382</v>
      </c>
      <c r="F14" s="848">
        <v>5.8330048186771846</v>
      </c>
      <c r="G14" s="848">
        <f t="shared" si="0"/>
        <v>0.17652793512127565</v>
      </c>
      <c r="H14" s="848">
        <f t="shared" si="1"/>
        <v>80143682.545059144</v>
      </c>
      <c r="I14" s="848">
        <v>86.761449999999996</v>
      </c>
      <c r="J14" s="848">
        <v>96.36927</v>
      </c>
      <c r="K14" s="848">
        <v>92.946759999999998</v>
      </c>
    </row>
    <row r="15" spans="1:11">
      <c r="A15" s="848">
        <v>1999</v>
      </c>
      <c r="B15" s="848" t="s">
        <v>195</v>
      </c>
      <c r="C15" s="848" t="str">
        <f>$A15&amp;"_"&amp;$B15</f>
        <v>1999_Ghana</v>
      </c>
      <c r="D15" s="848">
        <v>1720000000</v>
      </c>
      <c r="E15" s="848">
        <v>4.7958414025185494</v>
      </c>
      <c r="F15" s="848">
        <v>8.3530016301505938</v>
      </c>
      <c r="G15" s="848">
        <f t="shared" si="0"/>
        <v>0.13148843032669144</v>
      </c>
      <c r="H15" s="848">
        <f t="shared" si="1"/>
        <v>226160100.16190928</v>
      </c>
      <c r="I15" s="848">
        <v>61.343389999999999</v>
      </c>
      <c r="J15" s="848">
        <v>81.364810000000006</v>
      </c>
      <c r="K15" s="848">
        <v>62.102370000000001</v>
      </c>
    </row>
    <row r="16" spans="1:11">
      <c r="A16" s="848">
        <v>1999</v>
      </c>
      <c r="B16" s="848" t="s">
        <v>219</v>
      </c>
      <c r="C16" s="848" t="str">
        <f>$A16&amp;"_"&amp;$B16</f>
        <v>1999_Guatemala</v>
      </c>
      <c r="D16" s="848">
        <v>2398000000</v>
      </c>
      <c r="E16" s="848">
        <v>3.5068252600989842</v>
      </c>
      <c r="F16" s="848">
        <v>0.69971986297925215</v>
      </c>
      <c r="G16" s="848">
        <f t="shared" si="0"/>
        <v>4.2065451230782369E-2</v>
      </c>
      <c r="H16" s="848">
        <f t="shared" si="1"/>
        <v>100872952.05141611</v>
      </c>
      <c r="I16" s="848">
        <v>82.774969999999996</v>
      </c>
      <c r="J16" s="848">
        <v>101.74212</v>
      </c>
      <c r="K16" s="848">
        <v>84.026449999999997</v>
      </c>
    </row>
    <row r="17" spans="1:11">
      <c r="A17" s="848">
        <v>1999</v>
      </c>
      <c r="B17" s="848" t="s">
        <v>3089</v>
      </c>
      <c r="C17" s="848" t="str">
        <f>$A17&amp;"_"&amp;$B17</f>
        <v>1999_Guinea</v>
      </c>
      <c r="D17" s="848">
        <v>635700000</v>
      </c>
      <c r="E17" s="848">
        <v>2.2510900442516697E-2</v>
      </c>
      <c r="F17" s="848">
        <v>74.111008563484475</v>
      </c>
      <c r="G17" s="848">
        <f t="shared" si="0"/>
        <v>0.74133519463926989</v>
      </c>
      <c r="H17" s="848">
        <f t="shared" si="1"/>
        <v>471266783.23218387</v>
      </c>
      <c r="I17" s="848">
        <v>41.755699999999997</v>
      </c>
      <c r="J17" s="848">
        <v>53.848849999999999</v>
      </c>
      <c r="K17" s="848">
        <v>41.983609999999999</v>
      </c>
    </row>
    <row r="18" spans="1:11">
      <c r="A18" s="848">
        <v>1999</v>
      </c>
      <c r="B18" s="848" t="s">
        <v>243</v>
      </c>
      <c r="C18" s="848" t="str">
        <f>$A18&amp;"_"&amp;$B18</f>
        <v>1999_Indonesia</v>
      </c>
      <c r="D18" s="848">
        <v>51243000000</v>
      </c>
      <c r="E18" s="848">
        <v>22.97127331904872</v>
      </c>
      <c r="F18" s="848">
        <v>4.7011518875328102</v>
      </c>
      <c r="G18" s="848">
        <f t="shared" si="0"/>
        <v>0.2767242520658153</v>
      </c>
      <c r="H18" s="848">
        <f t="shared" si="1"/>
        <v>14180180848.608574</v>
      </c>
      <c r="I18" s="848" t="s">
        <v>3088</v>
      </c>
      <c r="J18" s="848">
        <v>112.93586000000001</v>
      </c>
      <c r="K18" s="848" t="s">
        <v>3088</v>
      </c>
    </row>
    <row r="19" spans="1:11">
      <c r="A19" s="848">
        <v>1999</v>
      </c>
      <c r="B19" s="848" t="s">
        <v>251</v>
      </c>
      <c r="C19" s="848" t="str">
        <f>$A19&amp;"_"&amp;$B19</f>
        <v>1999_Iraq</v>
      </c>
      <c r="D19" s="848">
        <v>12800000000</v>
      </c>
      <c r="E19" s="848" t="s">
        <v>3088</v>
      </c>
      <c r="F19" s="848" t="s">
        <v>3088</v>
      </c>
      <c r="G19" s="848" t="str">
        <f t="shared" si="0"/>
        <v>..</v>
      </c>
      <c r="H19" s="848" t="str">
        <f t="shared" si="1"/>
        <v>..</v>
      </c>
      <c r="I19" s="848">
        <v>89.002750000000006</v>
      </c>
      <c r="J19" s="848">
        <v>97.1404</v>
      </c>
      <c r="K19" s="848">
        <v>89.002750000000006</v>
      </c>
    </row>
    <row r="20" spans="1:11">
      <c r="A20" s="848">
        <v>1999</v>
      </c>
      <c r="B20" s="848" t="s">
        <v>280</v>
      </c>
      <c r="C20" s="848" t="str">
        <f>$A20&amp;"_"&amp;$B20</f>
        <v>1999_Kazakhstan</v>
      </c>
      <c r="D20" s="848">
        <v>5872000000</v>
      </c>
      <c r="E20" s="848">
        <v>45.010920304546779</v>
      </c>
      <c r="F20" s="848">
        <v>21.453546035893385</v>
      </c>
      <c r="G20" s="848">
        <f t="shared" si="0"/>
        <v>0.66464466340440165</v>
      </c>
      <c r="H20" s="848">
        <f t="shared" si="1"/>
        <v>3902793463.5106463</v>
      </c>
      <c r="I20" s="848" t="s">
        <v>3088</v>
      </c>
      <c r="J20" s="848">
        <v>98.015590000000003</v>
      </c>
      <c r="K20" s="848" t="s">
        <v>3088</v>
      </c>
    </row>
    <row r="21" spans="1:11">
      <c r="A21" s="848">
        <v>1999</v>
      </c>
      <c r="B21" s="848" t="s">
        <v>316</v>
      </c>
      <c r="C21" s="848" t="str">
        <f>$A21&amp;"_"&amp;$B21</f>
        <v>1999_Madagascar</v>
      </c>
      <c r="D21" s="848">
        <v>584000000</v>
      </c>
      <c r="E21" s="848">
        <v>2.3920041759931947</v>
      </c>
      <c r="F21" s="848">
        <v>3.7757195210496697</v>
      </c>
      <c r="G21" s="848">
        <f t="shared" si="0"/>
        <v>6.167723697042865E-2</v>
      </c>
      <c r="H21" s="848">
        <f t="shared" si="1"/>
        <v>36019506.390730329</v>
      </c>
      <c r="I21" s="848">
        <v>63.233440000000002</v>
      </c>
      <c r="J21" s="848">
        <v>93.689769999999996</v>
      </c>
      <c r="K21" s="848">
        <v>63.53181</v>
      </c>
    </row>
    <row r="22" spans="1:11">
      <c r="A22" s="848">
        <v>1999</v>
      </c>
      <c r="B22" s="848" t="s">
        <v>329</v>
      </c>
      <c r="C22" s="848" t="str">
        <f>$A22&amp;"_"&amp;$B22</f>
        <v>1999_Mali</v>
      </c>
      <c r="D22" s="848">
        <v>571000000</v>
      </c>
      <c r="E22" s="848">
        <v>5.2005196067574696E-3</v>
      </c>
      <c r="F22" s="848">
        <v>4.3658463469347437E-2</v>
      </c>
      <c r="G22" s="848">
        <f t="shared" si="0"/>
        <v>4.8858983076104914E-4</v>
      </c>
      <c r="H22" s="848">
        <f t="shared" si="1"/>
        <v>278984.79336455907</v>
      </c>
      <c r="I22" s="848">
        <v>47.183549999999997</v>
      </c>
      <c r="J22" s="848">
        <v>60.069009999999999</v>
      </c>
      <c r="K22" s="848">
        <v>47.183549999999997</v>
      </c>
    </row>
    <row r="23" spans="1:11">
      <c r="A23" s="848">
        <v>1999</v>
      </c>
      <c r="B23" s="848" t="s">
        <v>345</v>
      </c>
      <c r="C23" s="848" t="str">
        <f>$A23&amp;"_"&amp;$B23</f>
        <v>1999_Mauritania</v>
      </c>
      <c r="D23" s="848">
        <v>357832456</v>
      </c>
      <c r="E23" s="848" t="s">
        <v>3088</v>
      </c>
      <c r="F23" s="848" t="s">
        <v>3088</v>
      </c>
      <c r="G23" s="848" t="str">
        <f t="shared" si="0"/>
        <v>..</v>
      </c>
      <c r="H23" s="848" t="str">
        <f t="shared" si="1"/>
        <v>..</v>
      </c>
      <c r="I23" s="848">
        <v>59.714669999999998</v>
      </c>
      <c r="J23" s="848">
        <v>82.501779999999997</v>
      </c>
      <c r="K23" s="848">
        <v>59.714669999999998</v>
      </c>
    </row>
    <row r="24" spans="1:11">
      <c r="A24" s="848">
        <v>1999</v>
      </c>
      <c r="B24" s="848" t="s">
        <v>364</v>
      </c>
      <c r="C24" s="848" t="str">
        <f>$A24&amp;"_"&amp;$B24</f>
        <v>1999_Mongolia</v>
      </c>
      <c r="D24" s="848">
        <v>454000000</v>
      </c>
      <c r="E24" s="848">
        <v>0.37089382565792822</v>
      </c>
      <c r="F24" s="848">
        <v>42.530004713406754</v>
      </c>
      <c r="G24" s="848">
        <f t="shared" si="0"/>
        <v>0.42900898539064686</v>
      </c>
      <c r="H24" s="848">
        <f t="shared" si="1"/>
        <v>194770079.36735368</v>
      </c>
      <c r="I24" s="848">
        <v>88.133170000000007</v>
      </c>
      <c r="J24" s="848">
        <v>96.736419999999995</v>
      </c>
      <c r="K24" s="848">
        <v>90.705879999999993</v>
      </c>
    </row>
    <row r="25" spans="1:11">
      <c r="A25" s="848">
        <v>1999</v>
      </c>
      <c r="B25" s="848" t="s">
        <v>394</v>
      </c>
      <c r="C25" s="848" t="str">
        <f>$A25&amp;"_"&amp;$B25</f>
        <v>1999_Niger</v>
      </c>
      <c r="D25" s="848">
        <v>287000000</v>
      </c>
      <c r="E25" s="848">
        <v>1.4495671828493029E-2</v>
      </c>
      <c r="F25" s="848">
        <v>59.247328457708825</v>
      </c>
      <c r="G25" s="848">
        <f t="shared" si="0"/>
        <v>0.59261824129537322</v>
      </c>
      <c r="H25" s="848">
        <f t="shared" si="1"/>
        <v>170081435.25177211</v>
      </c>
      <c r="I25" s="848">
        <v>27.059979999999999</v>
      </c>
      <c r="J25" s="848">
        <v>32.03839</v>
      </c>
      <c r="K25" s="848">
        <v>27.242660000000001</v>
      </c>
    </row>
    <row r="26" spans="1:11">
      <c r="A26" s="848">
        <v>1999</v>
      </c>
      <c r="B26" s="848" t="s">
        <v>413</v>
      </c>
      <c r="C26" s="848" t="str">
        <f>$A26&amp;"_"&amp;$B26</f>
        <v>1999_Nigeria</v>
      </c>
      <c r="D26" s="848">
        <v>13856000000</v>
      </c>
      <c r="E26" s="848">
        <v>98.942308296871857</v>
      </c>
      <c r="F26" s="848">
        <v>2.6758514171315952E-3</v>
      </c>
      <c r="G26" s="848">
        <f t="shared" si="0"/>
        <v>0.98944984148288995</v>
      </c>
      <c r="H26" s="848">
        <f t="shared" si="1"/>
        <v>13709817003.586924</v>
      </c>
      <c r="I26" s="848">
        <v>61.870249999999999</v>
      </c>
      <c r="J26" s="848">
        <v>93.809849999999997</v>
      </c>
      <c r="K26" s="848">
        <v>62.909489999999998</v>
      </c>
    </row>
    <row r="27" spans="1:11">
      <c r="A27" s="848">
        <v>1999</v>
      </c>
      <c r="B27" s="848" t="s">
        <v>436</v>
      </c>
      <c r="C27" s="848" t="str">
        <f>$A27&amp;"_"&amp;$B27</f>
        <v>1999_Norway</v>
      </c>
      <c r="D27" s="848">
        <v>45479000000</v>
      </c>
      <c r="E27" s="848">
        <v>49.951893635697829</v>
      </c>
      <c r="F27" s="848">
        <v>7.2235842797493204</v>
      </c>
      <c r="G27" s="848">
        <f t="shared" si="0"/>
        <v>0.57175477915447148</v>
      </c>
      <c r="H27" s="848">
        <f t="shared" si="1"/>
        <v>26002835601.16621</v>
      </c>
      <c r="I27" s="848">
        <v>99.777619999999999</v>
      </c>
      <c r="J27" s="848">
        <v>100.82249</v>
      </c>
      <c r="K27" s="848">
        <v>99.777619999999999</v>
      </c>
    </row>
    <row r="28" spans="1:11">
      <c r="A28" s="848">
        <v>1999</v>
      </c>
      <c r="B28" s="848" t="s">
        <v>449</v>
      </c>
      <c r="C28" s="848" t="str">
        <f>$A28&amp;"_"&amp;$B28</f>
        <v>1999_Peru</v>
      </c>
      <c r="D28" s="848">
        <v>6113000000</v>
      </c>
      <c r="E28" s="848">
        <v>5.2776031328394435</v>
      </c>
      <c r="F28" s="848">
        <v>40.212269980981716</v>
      </c>
      <c r="G28" s="848">
        <f t="shared" si="0"/>
        <v>0.45489873113821161</v>
      </c>
      <c r="H28" s="848">
        <f t="shared" si="1"/>
        <v>2780795943.4478874</v>
      </c>
      <c r="I28" s="848">
        <v>97.638990000000007</v>
      </c>
      <c r="J28" s="848">
        <v>122.83911000000001</v>
      </c>
      <c r="K28" s="848">
        <v>99.913210000000007</v>
      </c>
    </row>
    <row r="29" spans="1:11">
      <c r="A29" s="848">
        <v>1999</v>
      </c>
      <c r="B29" s="848" t="s">
        <v>488</v>
      </c>
      <c r="C29" s="848" t="str">
        <f>$A29&amp;"_"&amp;$B29</f>
        <v>1999_Sierra Leone</v>
      </c>
      <c r="D29" s="848">
        <v>6000000</v>
      </c>
      <c r="E29" s="848" t="s">
        <v>3088</v>
      </c>
      <c r="F29" s="848" t="s">
        <v>3088</v>
      </c>
      <c r="G29" s="848" t="str">
        <f t="shared" si="0"/>
        <v>..</v>
      </c>
      <c r="H29" s="848" t="str">
        <f t="shared" si="1"/>
        <v>..</v>
      </c>
      <c r="I29" s="848" t="s">
        <v>3088</v>
      </c>
      <c r="J29" s="848" t="s">
        <v>3088</v>
      </c>
      <c r="K29" s="848" t="s">
        <v>3088</v>
      </c>
    </row>
    <row r="30" spans="1:11">
      <c r="A30" s="848">
        <v>1999</v>
      </c>
      <c r="B30" s="848" t="s">
        <v>499</v>
      </c>
      <c r="C30" s="848" t="str">
        <f>$A30&amp;"_"&amp;$B30</f>
        <v>1999_Tanzania</v>
      </c>
      <c r="D30" s="848">
        <v>543000000</v>
      </c>
      <c r="E30" s="848">
        <v>0.32778265709761734</v>
      </c>
      <c r="F30" s="848">
        <v>0.77502888986129992</v>
      </c>
      <c r="G30" s="848">
        <f t="shared" si="0"/>
        <v>1.1028115469589173E-2</v>
      </c>
      <c r="H30" s="848">
        <f t="shared" si="1"/>
        <v>5988266.6999869207</v>
      </c>
      <c r="I30" s="848">
        <v>49.262149999999998</v>
      </c>
      <c r="J30" s="848">
        <v>66.507540000000006</v>
      </c>
      <c r="K30" s="848">
        <v>49.294490000000003</v>
      </c>
    </row>
    <row r="31" spans="1:11">
      <c r="A31" s="848">
        <v>1999</v>
      </c>
      <c r="B31" s="848" t="s">
        <v>3090</v>
      </c>
      <c r="C31" s="848" t="str">
        <f>$A31&amp;"_"&amp;$B31</f>
        <v>1999_Timor-Leste</v>
      </c>
      <c r="D31" s="848" t="s">
        <v>3088</v>
      </c>
      <c r="E31" s="848" t="s">
        <v>3088</v>
      </c>
      <c r="F31" s="848" t="s">
        <v>3088</v>
      </c>
      <c r="G31" s="848" t="str">
        <f t="shared" si="0"/>
        <v>..</v>
      </c>
      <c r="H31" s="848" t="str">
        <f t="shared" si="1"/>
        <v>..</v>
      </c>
      <c r="I31" s="848" t="s">
        <v>3088</v>
      </c>
      <c r="J31" s="848" t="s">
        <v>3088</v>
      </c>
      <c r="K31" s="848" t="s">
        <v>3088</v>
      </c>
    </row>
    <row r="32" spans="1:11">
      <c r="A32" s="848">
        <v>1999</v>
      </c>
      <c r="B32" s="848" t="s">
        <v>517</v>
      </c>
      <c r="C32" s="848" t="str">
        <f>$A32&amp;"_"&amp;$B32</f>
        <v>1999_Togo</v>
      </c>
      <c r="D32" s="848">
        <v>391000000</v>
      </c>
      <c r="E32" s="848">
        <v>0</v>
      </c>
      <c r="F32" s="848">
        <v>26.64773466557893</v>
      </c>
      <c r="G32" s="848">
        <f t="shared" si="0"/>
        <v>0.26647734665578932</v>
      </c>
      <c r="H32" s="848">
        <f t="shared" si="1"/>
        <v>104192642.54241362</v>
      </c>
      <c r="I32" s="848">
        <v>85.062610000000006</v>
      </c>
      <c r="J32" s="848">
        <v>119.52545000000001</v>
      </c>
      <c r="K32" s="848">
        <v>88.54907</v>
      </c>
    </row>
    <row r="33" spans="1:11">
      <c r="A33" s="848">
        <v>1999</v>
      </c>
      <c r="B33" s="848" t="s">
        <v>3091</v>
      </c>
      <c r="C33" s="848" t="str">
        <f>$A33&amp;"_"&amp;$B33</f>
        <v>1999_Trinidad and Tobago</v>
      </c>
      <c r="D33" s="848">
        <v>2804000000</v>
      </c>
      <c r="E33" s="848">
        <v>54.084850195596722</v>
      </c>
      <c r="F33" s="848">
        <v>0.27850386807547811</v>
      </c>
      <c r="G33" s="848">
        <f t="shared" si="0"/>
        <v>0.54363354063672198</v>
      </c>
      <c r="H33" s="848">
        <f t="shared" si="1"/>
        <v>1524348447.9453685</v>
      </c>
      <c r="I33" s="848">
        <v>93.702129999999997</v>
      </c>
      <c r="J33" s="848">
        <v>102.55488</v>
      </c>
      <c r="K33" s="848">
        <v>97.889989999999997</v>
      </c>
    </row>
    <row r="34" spans="1:11">
      <c r="A34" s="848">
        <v>1999</v>
      </c>
      <c r="B34" s="848" t="s">
        <v>3092</v>
      </c>
      <c r="C34" s="848" t="str">
        <f>$A34&amp;"_"&amp;$B34</f>
        <v>1999_Yemen, Rep.</v>
      </c>
      <c r="D34" s="848">
        <v>2440000000</v>
      </c>
      <c r="E34" s="848">
        <v>95.963834625160743</v>
      </c>
      <c r="F34" s="848">
        <v>0.17497411116244196</v>
      </c>
      <c r="G34" s="848">
        <f t="shared" si="0"/>
        <v>0.96138808736323189</v>
      </c>
      <c r="H34" s="848">
        <f t="shared" si="1"/>
        <v>2345786933.166286</v>
      </c>
      <c r="I34" s="848">
        <v>57.171210000000002</v>
      </c>
      <c r="J34" s="848">
        <v>73.006780000000006</v>
      </c>
      <c r="K34" s="848">
        <v>57.575620000000001</v>
      </c>
    </row>
    <row r="35" spans="1:11">
      <c r="A35" s="848">
        <v>1999</v>
      </c>
      <c r="B35" s="848" t="s">
        <v>541</v>
      </c>
      <c r="C35" s="848" t="str">
        <f>$A35&amp;"_"&amp;$B35</f>
        <v>1999_Zambia</v>
      </c>
      <c r="D35" s="848">
        <v>1063000000</v>
      </c>
      <c r="E35" s="848">
        <v>0.97958348135590845</v>
      </c>
      <c r="F35" s="848">
        <v>63.741615659172567</v>
      </c>
      <c r="G35" s="848">
        <f t="shared" si="0"/>
        <v>0.64721199140528474</v>
      </c>
      <c r="H35" s="848">
        <f t="shared" si="1"/>
        <v>687986346.86381769</v>
      </c>
      <c r="I35" s="848">
        <v>71.126540000000006</v>
      </c>
      <c r="J35" s="848">
        <v>84.337620000000001</v>
      </c>
      <c r="K35" s="848">
        <v>71.492090000000005</v>
      </c>
    </row>
    <row r="36" spans="1:11">
      <c r="A36" s="848">
        <v>2000</v>
      </c>
      <c r="B36" s="848" t="s">
        <v>21</v>
      </c>
      <c r="C36" s="848" t="str">
        <f>$A36&amp;"_"&amp;$B36</f>
        <v>2000_Afghanistan</v>
      </c>
      <c r="D36" s="848">
        <v>137310000</v>
      </c>
      <c r="E36" s="848" t="s">
        <v>3088</v>
      </c>
      <c r="F36" s="848" t="s">
        <v>3088</v>
      </c>
      <c r="G36" s="848" t="str">
        <f t="shared" si="0"/>
        <v>..</v>
      </c>
      <c r="H36" s="848" t="str">
        <f t="shared" si="1"/>
        <v>..</v>
      </c>
      <c r="I36" s="848" t="s">
        <v>3088</v>
      </c>
      <c r="J36" s="848">
        <v>21.259119999999999</v>
      </c>
      <c r="K36" s="848" t="s">
        <v>3088</v>
      </c>
    </row>
    <row r="37" spans="1:11">
      <c r="A37" s="848">
        <v>2000</v>
      </c>
      <c r="B37" s="848" t="s">
        <v>38</v>
      </c>
      <c r="C37" s="848" t="str">
        <f>$A37&amp;"_"&amp;$B37</f>
        <v>2000_Albania</v>
      </c>
      <c r="D37" s="848">
        <v>257930000</v>
      </c>
      <c r="E37" s="848">
        <v>1.8513687889128057</v>
      </c>
      <c r="F37" s="848">
        <v>3.7070565246729297</v>
      </c>
      <c r="G37" s="848">
        <f t="shared" si="0"/>
        <v>5.5584253135857346E-2</v>
      </c>
      <c r="H37" s="848">
        <f t="shared" si="1"/>
        <v>14336846.411331685</v>
      </c>
      <c r="I37" s="848">
        <v>93.602490000000003</v>
      </c>
      <c r="J37" s="848">
        <v>102.25078999999999</v>
      </c>
      <c r="K37" s="848">
        <v>93.602490000000003</v>
      </c>
    </row>
    <row r="38" spans="1:11">
      <c r="A38" s="848">
        <v>2000</v>
      </c>
      <c r="B38" s="848" t="s">
        <v>53</v>
      </c>
      <c r="C38" s="848" t="str">
        <f>$A38&amp;"_"&amp;$B38</f>
        <v>2000_Azerbaijan</v>
      </c>
      <c r="D38" s="848">
        <v>1745000000</v>
      </c>
      <c r="E38" s="848">
        <v>85.08093842332228</v>
      </c>
      <c r="F38" s="848">
        <v>1.6750807947535202</v>
      </c>
      <c r="G38" s="848">
        <f t="shared" si="0"/>
        <v>0.86756019218075808</v>
      </c>
      <c r="H38" s="848">
        <f t="shared" si="1"/>
        <v>1513892535.355423</v>
      </c>
      <c r="I38" s="848">
        <v>88.239620000000002</v>
      </c>
      <c r="J38" s="848">
        <v>97.207490000000007</v>
      </c>
      <c r="K38" s="848">
        <v>88.239620000000002</v>
      </c>
    </row>
    <row r="39" spans="1:11">
      <c r="A39" s="848">
        <v>2000</v>
      </c>
      <c r="B39" s="848" t="s">
        <v>98</v>
      </c>
      <c r="C39" s="848" t="str">
        <f>$A39&amp;"_"&amp;$B39</f>
        <v>2000_Burkina Faso</v>
      </c>
      <c r="D39" s="848">
        <v>209000000</v>
      </c>
      <c r="E39" s="848">
        <v>3.2179220307766037</v>
      </c>
      <c r="F39" s="848">
        <v>3.2441821074801355E-2</v>
      </c>
      <c r="G39" s="848">
        <f t="shared" si="0"/>
        <v>3.2503638518514053E-2</v>
      </c>
      <c r="H39" s="848">
        <f t="shared" si="1"/>
        <v>6793260.4503694372</v>
      </c>
      <c r="I39" s="848">
        <v>36.334980000000002</v>
      </c>
      <c r="J39" s="848">
        <v>45.018940000000001</v>
      </c>
      <c r="K39" s="848">
        <v>36.747579999999999</v>
      </c>
    </row>
    <row r="40" spans="1:11">
      <c r="A40" s="848">
        <v>2000</v>
      </c>
      <c r="B40" s="848" t="s">
        <v>101</v>
      </c>
      <c r="C40" s="848" t="str">
        <f>$A40&amp;"_"&amp;$B40</f>
        <v>2000_Cameroon</v>
      </c>
      <c r="D40" s="848">
        <v>1833000000</v>
      </c>
      <c r="E40" s="848">
        <v>54.150736703214683</v>
      </c>
      <c r="F40" s="848">
        <v>5.5919100668565589</v>
      </c>
      <c r="G40" s="848">
        <f t="shared" si="0"/>
        <v>0.59742646770071239</v>
      </c>
      <c r="H40" s="848">
        <f t="shared" si="1"/>
        <v>1095082715.2954059</v>
      </c>
      <c r="I40" s="848" t="s">
        <v>3088</v>
      </c>
      <c r="J40" s="848">
        <v>83.145349999999993</v>
      </c>
      <c r="K40" s="848" t="s">
        <v>3088</v>
      </c>
    </row>
    <row r="41" spans="1:11">
      <c r="A41" s="848">
        <v>2000</v>
      </c>
      <c r="B41" s="848" t="s">
        <v>127</v>
      </c>
      <c r="C41" s="848" t="str">
        <f>$A41&amp;"_"&amp;$B41</f>
        <v>2000_Central African Republic</v>
      </c>
      <c r="D41" s="848">
        <v>161000000</v>
      </c>
      <c r="E41" s="848">
        <v>0.45483146012980308</v>
      </c>
      <c r="F41" s="848">
        <v>7.5676125643014789</v>
      </c>
      <c r="G41" s="848">
        <f t="shared" si="0"/>
        <v>8.0224440244312814E-2</v>
      </c>
      <c r="H41" s="848">
        <f t="shared" si="1"/>
        <v>12916134.879334362</v>
      </c>
      <c r="I41" s="848" t="s">
        <v>3088</v>
      </c>
      <c r="J41" s="848" t="s">
        <v>3088</v>
      </c>
      <c r="K41" s="848" t="s">
        <v>3088</v>
      </c>
    </row>
    <row r="42" spans="1:11">
      <c r="A42" s="848">
        <v>2000</v>
      </c>
      <c r="B42" s="848" t="s">
        <v>138</v>
      </c>
      <c r="C42" s="848" t="str">
        <f>$A42&amp;"_"&amp;$B42</f>
        <v>2000_Chad</v>
      </c>
      <c r="D42" s="848">
        <v>183000000</v>
      </c>
      <c r="E42" s="848" t="s">
        <v>3088</v>
      </c>
      <c r="F42" s="848" t="s">
        <v>3088</v>
      </c>
      <c r="G42" s="848" t="str">
        <f t="shared" si="0"/>
        <v>..</v>
      </c>
      <c r="H42" s="848" t="str">
        <f t="shared" si="1"/>
        <v>..</v>
      </c>
      <c r="I42" s="848">
        <v>51.621389999999998</v>
      </c>
      <c r="J42" s="848">
        <v>64.060820000000007</v>
      </c>
      <c r="K42" s="848">
        <v>51.682749999999999</v>
      </c>
    </row>
    <row r="43" spans="1:11">
      <c r="A43" s="848">
        <v>2000</v>
      </c>
      <c r="B43" s="848" t="s">
        <v>3815</v>
      </c>
      <c r="C43" s="848" t="str">
        <f>$A43&amp;"_"&amp;$B43</f>
        <v>2000_Congo, Dem. Rep.</v>
      </c>
      <c r="D43" s="848">
        <v>806600000</v>
      </c>
      <c r="E43" s="848" t="s">
        <v>3088</v>
      </c>
      <c r="F43" s="848" t="s">
        <v>3088</v>
      </c>
      <c r="G43" s="848" t="str">
        <f t="shared" si="0"/>
        <v>..</v>
      </c>
      <c r="H43" s="848" t="str">
        <f t="shared" si="1"/>
        <v>..</v>
      </c>
      <c r="I43" s="848" t="s">
        <v>3088</v>
      </c>
      <c r="J43" s="848" t="s">
        <v>3088</v>
      </c>
      <c r="K43" s="848" t="s">
        <v>3088</v>
      </c>
    </row>
    <row r="44" spans="1:11">
      <c r="A44" s="848">
        <v>2000</v>
      </c>
      <c r="B44" s="848" t="s">
        <v>3814</v>
      </c>
      <c r="C44" s="848" t="str">
        <f>$A44&amp;"_"&amp;$B44</f>
        <v>2000_Congo, Rep.</v>
      </c>
      <c r="D44" s="848">
        <v>2489000000</v>
      </c>
      <c r="E44" s="848" t="s">
        <v>3088</v>
      </c>
      <c r="F44" s="848" t="s">
        <v>3088</v>
      </c>
      <c r="G44" s="848" t="str">
        <f t="shared" si="0"/>
        <v>..</v>
      </c>
      <c r="H44" s="848" t="str">
        <f t="shared" si="1"/>
        <v>..</v>
      </c>
      <c r="I44" s="848" t="s">
        <v>3088</v>
      </c>
      <c r="J44" s="848">
        <v>87.765259999999998</v>
      </c>
      <c r="K44" s="848" t="s">
        <v>3088</v>
      </c>
    </row>
    <row r="45" spans="1:11">
      <c r="A45" s="848">
        <v>2000</v>
      </c>
      <c r="B45" s="848" t="s">
        <v>188</v>
      </c>
      <c r="C45" s="848" t="str">
        <f>$A45&amp;"_"&amp;$B45</f>
        <v>2000_Equatorial Guinea</v>
      </c>
      <c r="D45" s="848">
        <v>1097000000</v>
      </c>
      <c r="E45" s="848" t="s">
        <v>3088</v>
      </c>
      <c r="F45" s="848" t="s">
        <v>3088</v>
      </c>
      <c r="G45" s="848" t="str">
        <f t="shared" si="0"/>
        <v>..</v>
      </c>
      <c r="H45" s="848" t="str">
        <f t="shared" si="1"/>
        <v>..</v>
      </c>
      <c r="I45" s="848">
        <v>68.023520000000005</v>
      </c>
      <c r="J45" s="848">
        <v>107.59564</v>
      </c>
      <c r="K45" s="848">
        <v>68.319720000000004</v>
      </c>
    </row>
    <row r="46" spans="1:11">
      <c r="A46" s="848">
        <v>2000</v>
      </c>
      <c r="B46" s="848" t="s">
        <v>191</v>
      </c>
      <c r="C46" s="848" t="str">
        <f>$A46&amp;"_"&amp;$B46</f>
        <v>2000_Gabon</v>
      </c>
      <c r="D46" s="848">
        <v>2598135330</v>
      </c>
      <c r="E46" s="848">
        <v>83.325529280778028</v>
      </c>
      <c r="F46" s="848">
        <v>1.7275813786820149</v>
      </c>
      <c r="G46" s="848">
        <f t="shared" si="0"/>
        <v>0.85053110659460041</v>
      </c>
      <c r="H46" s="848">
        <f t="shared" si="1"/>
        <v>2209794917.3074274</v>
      </c>
      <c r="I46" s="848" t="s">
        <v>3088</v>
      </c>
      <c r="J46" s="848" t="s">
        <v>3088</v>
      </c>
      <c r="K46" s="848" t="s">
        <v>3088</v>
      </c>
    </row>
    <row r="47" spans="1:11">
      <c r="A47" s="848">
        <v>2000</v>
      </c>
      <c r="B47" s="848" t="s">
        <v>301</v>
      </c>
      <c r="C47" s="848" t="str">
        <f>$A47&amp;"_"&amp;$B47</f>
        <v>2000_Liberia</v>
      </c>
      <c r="D47" s="848">
        <v>329000000</v>
      </c>
      <c r="E47" s="848" t="s">
        <v>3088</v>
      </c>
      <c r="F47" s="848" t="s">
        <v>3088</v>
      </c>
      <c r="G47" s="848" t="str">
        <f t="shared" si="0"/>
        <v>..</v>
      </c>
      <c r="H47" s="848" t="str">
        <f t="shared" si="1"/>
        <v>..</v>
      </c>
      <c r="I47" s="848" t="s">
        <v>3088</v>
      </c>
      <c r="J47" s="848">
        <v>112.68771</v>
      </c>
      <c r="K47" s="848" t="s">
        <v>3088</v>
      </c>
    </row>
    <row r="48" spans="1:11">
      <c r="A48" s="848">
        <v>2000</v>
      </c>
      <c r="B48" s="848" t="s">
        <v>285</v>
      </c>
      <c r="C48" s="848" t="str">
        <f>$A48&amp;"_"&amp;$B48</f>
        <v>2000_Kyrgyz Republic</v>
      </c>
      <c r="D48" s="848">
        <v>505000000</v>
      </c>
      <c r="E48" s="848">
        <v>26.697394249376284</v>
      </c>
      <c r="F48" s="848">
        <v>11.193398941835323</v>
      </c>
      <c r="G48" s="848">
        <f t="shared" si="0"/>
        <v>0.37890793191211608</v>
      </c>
      <c r="H48" s="848">
        <f t="shared" si="1"/>
        <v>191348505.61561862</v>
      </c>
      <c r="I48" s="848">
        <v>85.833259999999996</v>
      </c>
      <c r="J48" s="848">
        <v>95.887079999999997</v>
      </c>
      <c r="K48" s="848">
        <v>92.308369999999996</v>
      </c>
    </row>
    <row r="49" spans="1:11">
      <c r="A49" s="848">
        <v>2000</v>
      </c>
      <c r="B49" s="848" t="s">
        <v>195</v>
      </c>
      <c r="C49" s="848" t="str">
        <f>$A49&amp;"_"&amp;$B49</f>
        <v>2000_Ghana</v>
      </c>
      <c r="D49" s="848">
        <v>1671000000</v>
      </c>
      <c r="E49" s="848">
        <v>7.7302106756693023</v>
      </c>
      <c r="F49" s="848">
        <v>18.821440270508432</v>
      </c>
      <c r="G49" s="848">
        <f t="shared" si="0"/>
        <v>0.26551650946177735</v>
      </c>
      <c r="H49" s="848">
        <f t="shared" si="1"/>
        <v>443678087.31062996</v>
      </c>
      <c r="I49" s="848">
        <v>64.855729999999994</v>
      </c>
      <c r="J49" s="848">
        <v>86.023529999999994</v>
      </c>
      <c r="K49" s="848">
        <v>65.631450000000001</v>
      </c>
    </row>
    <row r="50" spans="1:11">
      <c r="A50" s="848">
        <v>2000</v>
      </c>
      <c r="B50" s="848" t="s">
        <v>219</v>
      </c>
      <c r="C50" s="848" t="str">
        <f>$A50&amp;"_"&amp;$B50</f>
        <v>2000_Guatemala</v>
      </c>
      <c r="D50" s="848">
        <v>2696000000</v>
      </c>
      <c r="E50" s="848">
        <v>6.0149648570220613</v>
      </c>
      <c r="F50" s="848">
        <v>1.871519493987019</v>
      </c>
      <c r="G50" s="848">
        <f t="shared" si="0"/>
        <v>7.8864843510090807E-2</v>
      </c>
      <c r="H50" s="848">
        <f t="shared" si="1"/>
        <v>212619618.10320482</v>
      </c>
      <c r="I50" s="848">
        <v>85.596369999999993</v>
      </c>
      <c r="J50" s="848">
        <v>103.72176</v>
      </c>
      <c r="K50" s="848">
        <v>86.832679999999996</v>
      </c>
    </row>
    <row r="51" spans="1:11">
      <c r="A51" s="848">
        <v>2000</v>
      </c>
      <c r="B51" s="848" t="s">
        <v>3089</v>
      </c>
      <c r="C51" s="848" t="str">
        <f>$A51&amp;"_"&amp;$B51</f>
        <v>2000_Guinea</v>
      </c>
      <c r="D51" s="848">
        <v>666000000</v>
      </c>
      <c r="E51" s="848">
        <v>4.0081316095265065E-2</v>
      </c>
      <c r="F51" s="848">
        <v>63.411741671968436</v>
      </c>
      <c r="G51" s="848">
        <f t="shared" si="0"/>
        <v>0.634518229880637</v>
      </c>
      <c r="H51" s="848">
        <f t="shared" si="1"/>
        <v>422589141.10050422</v>
      </c>
      <c r="I51" s="848">
        <v>44.831249999999997</v>
      </c>
      <c r="J51" s="848">
        <v>57.452539999999999</v>
      </c>
      <c r="K51" s="848">
        <v>45.155909999999999</v>
      </c>
    </row>
    <row r="52" spans="1:11">
      <c r="A52" s="848">
        <v>2000</v>
      </c>
      <c r="B52" s="848" t="s">
        <v>243</v>
      </c>
      <c r="C52" s="848" t="str">
        <f>$A52&amp;"_"&amp;$B52</f>
        <v>2000_Indonesia</v>
      </c>
      <c r="D52" s="848">
        <v>65403000000</v>
      </c>
      <c r="E52" s="848">
        <v>25.371196809713677</v>
      </c>
      <c r="F52" s="848">
        <v>4.9298745464225453</v>
      </c>
      <c r="G52" s="848">
        <f t="shared" si="0"/>
        <v>0.30301071356136222</v>
      </c>
      <c r="H52" s="848">
        <f t="shared" si="1"/>
        <v>19817809699.053772</v>
      </c>
      <c r="I52" s="848" t="s">
        <v>3088</v>
      </c>
      <c r="J52" s="848">
        <v>110.25839999999999</v>
      </c>
      <c r="K52" s="848" t="s">
        <v>3088</v>
      </c>
    </row>
    <row r="53" spans="1:11">
      <c r="A53" s="848">
        <v>2000</v>
      </c>
      <c r="B53" s="848" t="s">
        <v>251</v>
      </c>
      <c r="C53" s="848" t="str">
        <f>$A53&amp;"_"&amp;$B53</f>
        <v>2000_Iraq</v>
      </c>
      <c r="D53" s="848">
        <v>20603000000</v>
      </c>
      <c r="E53" s="848">
        <v>97.141652497527545</v>
      </c>
      <c r="F53" s="848">
        <v>5.9340272896422552E-3</v>
      </c>
      <c r="G53" s="848">
        <f t="shared" si="0"/>
        <v>0.97147586524817187</v>
      </c>
      <c r="H53" s="848">
        <f t="shared" si="1"/>
        <v>20015317251.708084</v>
      </c>
      <c r="I53" s="848">
        <v>87.950670000000002</v>
      </c>
      <c r="J53" s="848">
        <v>95.992099999999994</v>
      </c>
      <c r="K53" s="848">
        <v>87.950670000000002</v>
      </c>
    </row>
    <row r="54" spans="1:11">
      <c r="A54" s="848">
        <v>2000</v>
      </c>
      <c r="B54" s="848" t="s">
        <v>280</v>
      </c>
      <c r="C54" s="848" t="str">
        <f>$A54&amp;"_"&amp;$B54</f>
        <v>2000_Kazakhstan</v>
      </c>
      <c r="D54" s="848">
        <v>8812000000</v>
      </c>
      <c r="E54" s="848">
        <v>53.81812285373406</v>
      </c>
      <c r="F54" s="848">
        <v>18.712585535360947</v>
      </c>
      <c r="G54" s="848">
        <f t="shared" si="0"/>
        <v>0.72530708389095011</v>
      </c>
      <c r="H54" s="848">
        <f t="shared" si="1"/>
        <v>6391406023.2470522</v>
      </c>
      <c r="I54" s="848">
        <v>88.633219999999994</v>
      </c>
      <c r="J54" s="848">
        <v>98.721369999999993</v>
      </c>
      <c r="K54" s="848">
        <v>96.384230000000002</v>
      </c>
    </row>
    <row r="55" spans="1:11">
      <c r="A55" s="848">
        <v>2000</v>
      </c>
      <c r="B55" s="848" t="s">
        <v>316</v>
      </c>
      <c r="C55" s="848" t="str">
        <f>$A55&amp;"_"&amp;$B55</f>
        <v>2000_Madagascar</v>
      </c>
      <c r="D55" s="848">
        <v>824000000</v>
      </c>
      <c r="E55" s="848">
        <v>3.8003213470060797</v>
      </c>
      <c r="F55" s="848">
        <v>2.0691515808029055</v>
      </c>
      <c r="G55" s="848">
        <f t="shared" si="0"/>
        <v>5.8694729278089851E-2</v>
      </c>
      <c r="H55" s="848">
        <f t="shared" si="1"/>
        <v>48364456.925146036</v>
      </c>
      <c r="I55" s="848">
        <v>64.949399999999997</v>
      </c>
      <c r="J55" s="848">
        <v>99.634770000000003</v>
      </c>
      <c r="K55" s="848">
        <v>65.180589999999995</v>
      </c>
    </row>
    <row r="56" spans="1:11">
      <c r="A56" s="848">
        <v>2000</v>
      </c>
      <c r="B56" s="848" t="s">
        <v>329</v>
      </c>
      <c r="C56" s="848" t="str">
        <f>$A56&amp;"_"&amp;$B56</f>
        <v>2000_Mali</v>
      </c>
      <c r="D56" s="848">
        <v>545000000</v>
      </c>
      <c r="E56" s="848">
        <v>7.1919500469673367E-5</v>
      </c>
      <c r="F56" s="848">
        <v>0.30449211206989407</v>
      </c>
      <c r="G56" s="848">
        <f t="shared" si="0"/>
        <v>3.0456403157036378E-3</v>
      </c>
      <c r="H56" s="848">
        <f t="shared" si="1"/>
        <v>1659873.9720584827</v>
      </c>
      <c r="I56" s="848" t="s">
        <v>3088</v>
      </c>
      <c r="J56" s="848">
        <v>62.180439999999997</v>
      </c>
      <c r="K56" s="848" t="s">
        <v>3088</v>
      </c>
    </row>
    <row r="57" spans="1:11">
      <c r="A57" s="848">
        <v>2000</v>
      </c>
      <c r="B57" s="848" t="s">
        <v>345</v>
      </c>
      <c r="C57" s="848" t="str">
        <f>$A57&amp;"_"&amp;$B57</f>
        <v>2000_Mauritania</v>
      </c>
      <c r="D57" s="848">
        <v>354570578</v>
      </c>
      <c r="E57" s="848" t="s">
        <v>3088</v>
      </c>
      <c r="F57" s="848">
        <v>45.723552432687583</v>
      </c>
      <c r="G57" s="848" t="str">
        <f t="shared" si="0"/>
        <v>..</v>
      </c>
      <c r="H57" s="848" t="str">
        <f t="shared" si="1"/>
        <v>..</v>
      </c>
      <c r="I57" s="848">
        <v>59.86309</v>
      </c>
      <c r="J57" s="848">
        <v>82.706990000000005</v>
      </c>
      <c r="K57" s="848">
        <v>59.869140000000002</v>
      </c>
    </row>
    <row r="58" spans="1:11">
      <c r="A58" s="848">
        <v>2000</v>
      </c>
      <c r="B58" s="848" t="s">
        <v>364</v>
      </c>
      <c r="C58" s="848" t="str">
        <f>$A58&amp;"_"&amp;$B58</f>
        <v>2000_Mongolia</v>
      </c>
      <c r="D58" s="848">
        <v>536000000</v>
      </c>
      <c r="E58" s="848">
        <v>0.49146165907848394</v>
      </c>
      <c r="F58" s="848">
        <v>41.412469244338368</v>
      </c>
      <c r="G58" s="848">
        <f t="shared" si="0"/>
        <v>0.41903930903416847</v>
      </c>
      <c r="H58" s="848">
        <f t="shared" si="1"/>
        <v>224605069.64231431</v>
      </c>
      <c r="I58" s="848">
        <v>89.995469999999997</v>
      </c>
      <c r="J58" s="848">
        <v>99.018180000000001</v>
      </c>
      <c r="K58" s="848">
        <v>92.856139999999996</v>
      </c>
    </row>
    <row r="59" spans="1:11">
      <c r="A59" s="848">
        <v>2000</v>
      </c>
      <c r="B59" s="848" t="s">
        <v>394</v>
      </c>
      <c r="C59" s="848" t="str">
        <f>$A59&amp;"_"&amp;$B59</f>
        <v>2000_Niger</v>
      </c>
      <c r="D59" s="848">
        <v>283000000</v>
      </c>
      <c r="E59" s="848">
        <v>1.6399559192703861</v>
      </c>
      <c r="F59" s="848">
        <v>40.673335849751297</v>
      </c>
      <c r="G59" s="848">
        <f t="shared" si="0"/>
        <v>0.42313291769021683</v>
      </c>
      <c r="H59" s="848">
        <f t="shared" si="1"/>
        <v>119746615.70633136</v>
      </c>
      <c r="I59" s="848">
        <v>27.89883</v>
      </c>
      <c r="J59" s="848">
        <v>33.647770000000001</v>
      </c>
      <c r="K59" s="848">
        <v>27.969149999999999</v>
      </c>
    </row>
    <row r="60" spans="1:11">
      <c r="A60" s="848">
        <v>2000</v>
      </c>
      <c r="B60" s="848" t="s">
        <v>413</v>
      </c>
      <c r="C60" s="848" t="str">
        <f>$A60&amp;"_"&amp;$B60</f>
        <v>2000_Nigeria</v>
      </c>
      <c r="D60" s="848">
        <v>20975000000</v>
      </c>
      <c r="E60" s="848">
        <v>99.635033879376039</v>
      </c>
      <c r="F60" s="848">
        <v>8.7053381886674219E-3</v>
      </c>
      <c r="G60" s="848">
        <f t="shared" si="0"/>
        <v>0.99643739217564697</v>
      </c>
      <c r="H60" s="848">
        <f t="shared" si="1"/>
        <v>20900274300.884193</v>
      </c>
      <c r="I60" s="848">
        <v>64.869349999999997</v>
      </c>
      <c r="J60" s="848">
        <v>98.357190000000003</v>
      </c>
      <c r="K60" s="848">
        <v>64.869349999999997</v>
      </c>
    </row>
    <row r="61" spans="1:11">
      <c r="A61" s="848">
        <v>2000</v>
      </c>
      <c r="B61" s="848" t="s">
        <v>436</v>
      </c>
      <c r="C61" s="848" t="str">
        <f>$A61&amp;"_"&amp;$B61</f>
        <v>2000_Norway</v>
      </c>
      <c r="D61" s="848">
        <v>60058000000</v>
      </c>
      <c r="E61" s="848">
        <v>63.896071720283622</v>
      </c>
      <c r="F61" s="848">
        <v>6.0802529437267774</v>
      </c>
      <c r="G61" s="848">
        <f t="shared" si="0"/>
        <v>0.69976324664010403</v>
      </c>
      <c r="H61" s="848">
        <f t="shared" si="1"/>
        <v>42026381066.711365</v>
      </c>
      <c r="I61" s="848">
        <v>99.718990000000005</v>
      </c>
      <c r="J61" s="848">
        <v>100.92243000000001</v>
      </c>
      <c r="K61" s="848">
        <v>99.718990000000005</v>
      </c>
    </row>
    <row r="62" spans="1:11">
      <c r="A62" s="848">
        <v>2000</v>
      </c>
      <c r="B62" s="848" t="s">
        <v>449</v>
      </c>
      <c r="C62" s="848" t="str">
        <f>$A62&amp;"_"&amp;$B62</f>
        <v>2000_Peru</v>
      </c>
      <c r="D62" s="848">
        <v>7028000000</v>
      </c>
      <c r="E62" s="848">
        <v>7.055122339483118</v>
      </c>
      <c r="F62" s="848">
        <v>39.254334455248376</v>
      </c>
      <c r="G62" s="848">
        <f t="shared" si="0"/>
        <v>0.46309456794731496</v>
      </c>
      <c r="H62" s="848">
        <f t="shared" si="1"/>
        <v>3254628623.5337296</v>
      </c>
      <c r="I62" s="848">
        <v>97.597189999999998</v>
      </c>
      <c r="J62" s="848">
        <v>122.2266</v>
      </c>
      <c r="K62" s="848">
        <v>99.976209999999995</v>
      </c>
    </row>
    <row r="63" spans="1:11">
      <c r="A63" s="848">
        <v>2000</v>
      </c>
      <c r="B63" s="848" t="s">
        <v>488</v>
      </c>
      <c r="C63" s="848" t="str">
        <f>$A63&amp;"_"&amp;$B63</f>
        <v>2000_Sierra Leone</v>
      </c>
      <c r="D63" s="848">
        <v>13000000</v>
      </c>
      <c r="E63" s="848" t="s">
        <v>3088</v>
      </c>
      <c r="F63" s="848">
        <v>1.358062842231579</v>
      </c>
      <c r="G63" s="848" t="str">
        <f t="shared" si="0"/>
        <v>..</v>
      </c>
      <c r="H63" s="848" t="str">
        <f t="shared" si="1"/>
        <v>..</v>
      </c>
      <c r="I63" s="848" t="s">
        <v>3088</v>
      </c>
      <c r="J63" s="848">
        <v>68.717680000000001</v>
      </c>
      <c r="K63" s="848" t="s">
        <v>3088</v>
      </c>
    </row>
    <row r="64" spans="1:11">
      <c r="A64" s="848">
        <v>2000</v>
      </c>
      <c r="B64" s="848" t="s">
        <v>499</v>
      </c>
      <c r="C64" s="848" t="str">
        <f>$A64&amp;"_"&amp;$B64</f>
        <v>2000_Tanzania</v>
      </c>
      <c r="D64" s="848">
        <v>733700000</v>
      </c>
      <c r="E64" s="848">
        <v>0.12437358075679748</v>
      </c>
      <c r="F64" s="848">
        <v>0.53616622864612995</v>
      </c>
      <c r="G64" s="848">
        <f t="shared" si="0"/>
        <v>6.6053980940292741E-3</v>
      </c>
      <c r="H64" s="848">
        <f t="shared" si="1"/>
        <v>4846380.5815892788</v>
      </c>
      <c r="I64" s="848">
        <v>53.003340000000001</v>
      </c>
      <c r="J64" s="848">
        <v>68.167670000000001</v>
      </c>
      <c r="K64" s="848">
        <v>53.036839999999998</v>
      </c>
    </row>
    <row r="65" spans="1:11">
      <c r="A65" s="848">
        <v>2000</v>
      </c>
      <c r="B65" s="848" t="s">
        <v>3090</v>
      </c>
      <c r="C65" s="848" t="str">
        <f>$A65&amp;"_"&amp;$B65</f>
        <v>2000_Timor-Leste</v>
      </c>
      <c r="D65" s="848" t="s">
        <v>3088</v>
      </c>
      <c r="E65" s="848" t="s">
        <v>3088</v>
      </c>
      <c r="F65" s="848" t="s">
        <v>3088</v>
      </c>
      <c r="G65" s="848" t="str">
        <f t="shared" si="0"/>
        <v>..</v>
      </c>
      <c r="H65" s="848" t="str">
        <f t="shared" si="1"/>
        <v>..</v>
      </c>
      <c r="I65" s="848" t="s">
        <v>3088</v>
      </c>
      <c r="J65" s="848" t="s">
        <v>3088</v>
      </c>
      <c r="K65" s="848" t="s">
        <v>3088</v>
      </c>
    </row>
    <row r="66" spans="1:11">
      <c r="A66" s="848">
        <v>2000</v>
      </c>
      <c r="B66" s="848" t="s">
        <v>517</v>
      </c>
      <c r="C66" s="848" t="str">
        <f>$A66&amp;"_"&amp;$B66</f>
        <v>2000_Togo</v>
      </c>
      <c r="D66" s="848">
        <v>363000000</v>
      </c>
      <c r="E66" s="848">
        <v>0.64672141116528381</v>
      </c>
      <c r="F66" s="848">
        <v>25.505791612377486</v>
      </c>
      <c r="G66" s="848">
        <f t="shared" si="0"/>
        <v>0.26152513023542773</v>
      </c>
      <c r="H66" s="848">
        <f t="shared" si="1"/>
        <v>94933622.275460258</v>
      </c>
      <c r="I66" s="848">
        <v>83.293329999999997</v>
      </c>
      <c r="J66" s="848">
        <v>112.79295999999999</v>
      </c>
      <c r="K66" s="848">
        <v>84.955290000000005</v>
      </c>
    </row>
    <row r="67" spans="1:11">
      <c r="A67" s="848">
        <v>2000</v>
      </c>
      <c r="B67" s="848" t="s">
        <v>3091</v>
      </c>
      <c r="C67" s="848" t="str">
        <f>$A67&amp;"_"&amp;$B67</f>
        <v>2000_Trinidad and Tobago</v>
      </c>
      <c r="D67" s="848">
        <v>4274000000</v>
      </c>
      <c r="E67" s="848">
        <v>65.277915309446257</v>
      </c>
      <c r="F67" s="848">
        <v>0.14666704107229772</v>
      </c>
      <c r="G67" s="848">
        <f t="shared" ref="G67:G130" si="2">IFERROR(($E67+$F67)/100,"..")</f>
        <v>0.65424582350518545</v>
      </c>
      <c r="H67" s="848">
        <f t="shared" ref="H67:H130" si="3">IFERROR($G67*$D67,"..")</f>
        <v>2796246649.6611629</v>
      </c>
      <c r="I67" s="848">
        <v>93.856319999999997</v>
      </c>
      <c r="J67" s="848">
        <v>104.90436</v>
      </c>
      <c r="K67" s="848">
        <v>98.305040000000005</v>
      </c>
    </row>
    <row r="68" spans="1:11">
      <c r="A68" s="848">
        <v>2000</v>
      </c>
      <c r="B68" s="848" t="s">
        <v>3092</v>
      </c>
      <c r="C68" s="848" t="str">
        <f>$A68&amp;"_"&amp;$B68</f>
        <v>2000_Yemen, Rep.</v>
      </c>
      <c r="D68" s="848">
        <v>4079000000</v>
      </c>
      <c r="E68" s="848">
        <v>96.897777729363568</v>
      </c>
      <c r="F68" s="848">
        <v>0.14459616822811364</v>
      </c>
      <c r="G68" s="848">
        <f t="shared" si="2"/>
        <v>0.97042373897591683</v>
      </c>
      <c r="H68" s="848">
        <f t="shared" si="3"/>
        <v>3958358431.2827649</v>
      </c>
      <c r="I68" s="848" t="s">
        <v>3088</v>
      </c>
      <c r="J68" s="848" t="s">
        <v>3088</v>
      </c>
      <c r="K68" s="848" t="s">
        <v>3088</v>
      </c>
    </row>
    <row r="69" spans="1:11">
      <c r="A69" s="848">
        <v>2000</v>
      </c>
      <c r="B69" s="848" t="s">
        <v>541</v>
      </c>
      <c r="C69" s="848" t="str">
        <f>$A69&amp;"_"&amp;$B69</f>
        <v>2000_Zambia</v>
      </c>
      <c r="D69" s="848">
        <v>892362000</v>
      </c>
      <c r="E69" s="848">
        <v>1.0886785491540187</v>
      </c>
      <c r="F69" s="848">
        <v>74.101206257308476</v>
      </c>
      <c r="G69" s="848">
        <f t="shared" si="2"/>
        <v>0.75189884806462504</v>
      </c>
      <c r="H69" s="848">
        <f t="shared" si="3"/>
        <v>670965959.85664487</v>
      </c>
      <c r="I69" s="848">
        <v>70.673590000000004</v>
      </c>
      <c r="J69" s="848">
        <v>84.288110000000003</v>
      </c>
      <c r="K69" s="848">
        <v>71.389340000000004</v>
      </c>
    </row>
    <row r="70" spans="1:11">
      <c r="A70" s="848">
        <v>2001</v>
      </c>
      <c r="B70" s="848" t="s">
        <v>21</v>
      </c>
      <c r="C70" s="848" t="str">
        <f>$A70&amp;"_"&amp;$B70</f>
        <v>2001_Afghanistan</v>
      </c>
      <c r="D70" s="848">
        <v>68000000</v>
      </c>
      <c r="E70" s="848" t="s">
        <v>3088</v>
      </c>
      <c r="F70" s="848" t="s">
        <v>3088</v>
      </c>
      <c r="G70" s="848" t="str">
        <f t="shared" si="2"/>
        <v>..</v>
      </c>
      <c r="H70" s="848" t="str">
        <f t="shared" si="3"/>
        <v>..</v>
      </c>
      <c r="I70" s="848" t="s">
        <v>3088</v>
      </c>
      <c r="J70" s="848">
        <v>21.116710000000001</v>
      </c>
      <c r="K70" s="848" t="s">
        <v>3088</v>
      </c>
    </row>
    <row r="71" spans="1:11">
      <c r="A71" s="848">
        <v>2001</v>
      </c>
      <c r="B71" s="848" t="s">
        <v>38</v>
      </c>
      <c r="C71" s="848" t="str">
        <f>$A71&amp;"_"&amp;$B71</f>
        <v>2001_Albania</v>
      </c>
      <c r="D71" s="848">
        <v>307190000</v>
      </c>
      <c r="E71" s="848">
        <v>1.4483597061316942</v>
      </c>
      <c r="F71" s="848">
        <v>2.9129959025037708</v>
      </c>
      <c r="G71" s="848">
        <f t="shared" si="2"/>
        <v>4.361355608635465E-2</v>
      </c>
      <c r="H71" s="848">
        <f t="shared" si="3"/>
        <v>13397648.294167286</v>
      </c>
      <c r="I71" s="848">
        <v>93.495850000000004</v>
      </c>
      <c r="J71" s="848">
        <v>102.56187</v>
      </c>
      <c r="K71" s="848">
        <v>93.495850000000004</v>
      </c>
    </row>
    <row r="72" spans="1:11">
      <c r="A72" s="848">
        <v>2001</v>
      </c>
      <c r="B72" s="848" t="s">
        <v>53</v>
      </c>
      <c r="C72" s="848" t="str">
        <f>$A72&amp;"_"&amp;$B72</f>
        <v>2001_Azerbaijan</v>
      </c>
      <c r="D72" s="848">
        <v>2314000000</v>
      </c>
      <c r="E72" s="848">
        <v>91.328228621992096</v>
      </c>
      <c r="F72" s="848">
        <v>0.63192414839080502</v>
      </c>
      <c r="G72" s="848">
        <f t="shared" si="2"/>
        <v>0.91960152770382908</v>
      </c>
      <c r="H72" s="848">
        <f t="shared" si="3"/>
        <v>2127957935.1066606</v>
      </c>
      <c r="I72" s="848">
        <v>85.383030000000005</v>
      </c>
      <c r="J72" s="848">
        <v>98.861000000000004</v>
      </c>
      <c r="K72" s="848">
        <v>85.463399999999993</v>
      </c>
    </row>
    <row r="73" spans="1:11">
      <c r="A73" s="848">
        <v>2001</v>
      </c>
      <c r="B73" s="848" t="s">
        <v>98</v>
      </c>
      <c r="C73" s="848" t="str">
        <f>$A73&amp;"_"&amp;$B73</f>
        <v>2001_Burkina Faso</v>
      </c>
      <c r="D73" s="848">
        <v>223000000</v>
      </c>
      <c r="E73" s="848">
        <v>2.3109654576162285E-2</v>
      </c>
      <c r="F73" s="848">
        <v>4.730047606384058E-2</v>
      </c>
      <c r="G73" s="848">
        <f t="shared" si="2"/>
        <v>7.0410130640002867E-4</v>
      </c>
      <c r="H73" s="848">
        <f t="shared" si="3"/>
        <v>157014.59132720641</v>
      </c>
      <c r="I73" s="848">
        <v>37.263440000000003</v>
      </c>
      <c r="J73" s="848">
        <v>46.437860000000001</v>
      </c>
      <c r="K73" s="848">
        <v>37.771880000000003</v>
      </c>
    </row>
    <row r="74" spans="1:11">
      <c r="A74" s="848">
        <v>2001</v>
      </c>
      <c r="B74" s="848" t="s">
        <v>101</v>
      </c>
      <c r="C74" s="848" t="str">
        <f>$A74&amp;"_"&amp;$B74</f>
        <v>2001_Cameroon</v>
      </c>
      <c r="D74" s="848">
        <v>1749000000</v>
      </c>
      <c r="E74" s="848">
        <v>51.902561143536353</v>
      </c>
      <c r="F74" s="848">
        <v>5.3743224146093542</v>
      </c>
      <c r="G74" s="848">
        <f t="shared" si="2"/>
        <v>0.57276883558145708</v>
      </c>
      <c r="H74" s="848">
        <f t="shared" si="3"/>
        <v>1001772693.4319685</v>
      </c>
      <c r="I74" s="848" t="s">
        <v>3088</v>
      </c>
      <c r="J74" s="848">
        <v>98.143230000000003</v>
      </c>
      <c r="K74" s="848" t="s">
        <v>3088</v>
      </c>
    </row>
    <row r="75" spans="1:11">
      <c r="A75" s="848">
        <v>2001</v>
      </c>
      <c r="B75" s="848" t="s">
        <v>127</v>
      </c>
      <c r="C75" s="848" t="str">
        <f>$A75&amp;"_"&amp;$B75</f>
        <v>2001_Central African Republic</v>
      </c>
      <c r="D75" s="848">
        <v>142000000</v>
      </c>
      <c r="E75" s="848">
        <v>7.5531335120487347E-2</v>
      </c>
      <c r="F75" s="848">
        <v>20.230971149124223</v>
      </c>
      <c r="G75" s="848">
        <f t="shared" si="2"/>
        <v>0.20306502484244709</v>
      </c>
      <c r="H75" s="848">
        <f t="shared" si="3"/>
        <v>28835233.527627487</v>
      </c>
      <c r="I75" s="848" t="s">
        <v>3088</v>
      </c>
      <c r="J75" s="848">
        <v>79.432730000000006</v>
      </c>
      <c r="K75" s="848" t="s">
        <v>3088</v>
      </c>
    </row>
    <row r="76" spans="1:11">
      <c r="A76" s="848">
        <v>2001</v>
      </c>
      <c r="B76" s="848" t="s">
        <v>138</v>
      </c>
      <c r="C76" s="848" t="str">
        <f>$A76&amp;"_"&amp;$B76</f>
        <v>2001_Chad</v>
      </c>
      <c r="D76" s="848">
        <v>189000000</v>
      </c>
      <c r="E76" s="848" t="s">
        <v>3088</v>
      </c>
      <c r="F76" s="848" t="s">
        <v>3088</v>
      </c>
      <c r="G76" s="848" t="str">
        <f t="shared" si="2"/>
        <v>..</v>
      </c>
      <c r="H76" s="848" t="str">
        <f t="shared" si="3"/>
        <v>..</v>
      </c>
      <c r="I76" s="848">
        <v>52.847900000000003</v>
      </c>
      <c r="J76" s="848">
        <v>66.484099999999998</v>
      </c>
      <c r="K76" s="848">
        <v>52.91957</v>
      </c>
    </row>
    <row r="77" spans="1:11">
      <c r="A77" s="848">
        <v>2001</v>
      </c>
      <c r="B77" s="848" t="s">
        <v>3815</v>
      </c>
      <c r="C77" s="848" t="str">
        <f>$A77&amp;"_"&amp;$B77</f>
        <v>2001_Congo, Dem. Rep.</v>
      </c>
      <c r="D77" s="848">
        <v>880400000</v>
      </c>
      <c r="E77" s="848" t="s">
        <v>3088</v>
      </c>
      <c r="F77" s="848" t="s">
        <v>3088</v>
      </c>
      <c r="G77" s="848" t="str">
        <f t="shared" si="2"/>
        <v>..</v>
      </c>
      <c r="H77" s="848" t="str">
        <f t="shared" si="3"/>
        <v>..</v>
      </c>
      <c r="I77" s="848" t="s">
        <v>3088</v>
      </c>
      <c r="J77" s="848" t="s">
        <v>3088</v>
      </c>
      <c r="K77" s="848" t="s">
        <v>3088</v>
      </c>
    </row>
    <row r="78" spans="1:11">
      <c r="A78" s="848">
        <v>2001</v>
      </c>
      <c r="B78" s="848" t="s">
        <v>3814</v>
      </c>
      <c r="C78" s="848" t="str">
        <f>$A78&amp;"_"&amp;$B78</f>
        <v>2001_Congo, Rep.</v>
      </c>
      <c r="D78" s="848">
        <v>2055000000</v>
      </c>
      <c r="E78" s="848" t="s">
        <v>3088</v>
      </c>
      <c r="F78" s="848" t="s">
        <v>3088</v>
      </c>
      <c r="G78" s="848" t="str">
        <f t="shared" si="2"/>
        <v>..</v>
      </c>
      <c r="H78" s="848" t="str">
        <f t="shared" si="3"/>
        <v>..</v>
      </c>
      <c r="I78" s="848" t="s">
        <v>3088</v>
      </c>
      <c r="J78" s="848">
        <v>103.03963</v>
      </c>
      <c r="K78" s="848" t="s">
        <v>3088</v>
      </c>
    </row>
    <row r="79" spans="1:11">
      <c r="A79" s="848">
        <v>2001</v>
      </c>
      <c r="B79" s="848" t="s">
        <v>188</v>
      </c>
      <c r="C79" s="848" t="str">
        <f>$A79&amp;"_"&amp;$B79</f>
        <v>2001_Equatorial Guinea</v>
      </c>
      <c r="D79" s="848">
        <v>1735000000</v>
      </c>
      <c r="E79" s="848" t="s">
        <v>3088</v>
      </c>
      <c r="F79" s="848" t="s">
        <v>3088</v>
      </c>
      <c r="G79" s="848" t="str">
        <f t="shared" si="2"/>
        <v>..</v>
      </c>
      <c r="H79" s="848" t="str">
        <f t="shared" si="3"/>
        <v>..</v>
      </c>
      <c r="I79" s="848">
        <v>75.714680000000001</v>
      </c>
      <c r="J79" s="848">
        <v>112.90518</v>
      </c>
      <c r="K79" s="848">
        <v>76.008170000000007</v>
      </c>
    </row>
    <row r="80" spans="1:11">
      <c r="A80" s="848">
        <v>2001</v>
      </c>
      <c r="B80" s="848" t="s">
        <v>191</v>
      </c>
      <c r="C80" s="848" t="str">
        <f>$A80&amp;"_"&amp;$B80</f>
        <v>2001_Gabon</v>
      </c>
      <c r="D80" s="848">
        <v>2523890271</v>
      </c>
      <c r="E80" s="848">
        <v>82.950392520660358</v>
      </c>
      <c r="F80" s="848">
        <v>1.5039200589125872</v>
      </c>
      <c r="G80" s="848">
        <f t="shared" si="2"/>
        <v>0.84454312579572943</v>
      </c>
      <c r="H80" s="848">
        <f t="shared" si="3"/>
        <v>2131534178.6357706</v>
      </c>
      <c r="I80" s="848" t="s">
        <v>3088</v>
      </c>
      <c r="J80" s="848">
        <v>137.65638999999999</v>
      </c>
      <c r="K80" s="848" t="s">
        <v>3088</v>
      </c>
    </row>
    <row r="81" spans="1:11">
      <c r="A81" s="848">
        <v>2001</v>
      </c>
      <c r="B81" s="848" t="s">
        <v>301</v>
      </c>
      <c r="C81" s="848" t="str">
        <f>$A81&amp;"_"&amp;$B81</f>
        <v>2001_Liberia</v>
      </c>
      <c r="D81" s="848">
        <v>127900000</v>
      </c>
      <c r="E81" s="848" t="s">
        <v>3088</v>
      </c>
      <c r="F81" s="848" t="s">
        <v>3088</v>
      </c>
      <c r="G81" s="848" t="str">
        <f t="shared" si="2"/>
        <v>..</v>
      </c>
      <c r="H81" s="848" t="str">
        <f t="shared" si="3"/>
        <v>..</v>
      </c>
      <c r="I81" s="848" t="s">
        <v>3088</v>
      </c>
      <c r="J81" s="848" t="s">
        <v>3088</v>
      </c>
      <c r="K81" s="848" t="s">
        <v>3088</v>
      </c>
    </row>
    <row r="82" spans="1:11">
      <c r="A82" s="848">
        <v>2001</v>
      </c>
      <c r="B82" s="848" t="s">
        <v>285</v>
      </c>
      <c r="C82" s="848" t="str">
        <f>$A82&amp;"_"&amp;$B82</f>
        <v>2001_Kyrgyz Republic</v>
      </c>
      <c r="D82" s="848">
        <v>476000000</v>
      </c>
      <c r="E82" s="848">
        <v>21.65834732411474</v>
      </c>
      <c r="F82" s="848">
        <v>6.0184666787266226</v>
      </c>
      <c r="G82" s="848">
        <f t="shared" si="2"/>
        <v>0.2767681400284136</v>
      </c>
      <c r="H82" s="848">
        <f t="shared" si="3"/>
        <v>131741634.65352488</v>
      </c>
      <c r="I82" s="848">
        <v>86.254930000000002</v>
      </c>
      <c r="J82" s="848">
        <v>95.72587</v>
      </c>
      <c r="K82" s="848">
        <v>93.059219999999996</v>
      </c>
    </row>
    <row r="83" spans="1:11">
      <c r="A83" s="848">
        <v>2001</v>
      </c>
      <c r="B83" s="848" t="s">
        <v>195</v>
      </c>
      <c r="C83" s="848" t="str">
        <f>$A83&amp;"_"&amp;$B83</f>
        <v>2001_Ghana</v>
      </c>
      <c r="D83" s="848">
        <v>1716000000</v>
      </c>
      <c r="E83" s="848">
        <v>11.155860277109392</v>
      </c>
      <c r="F83" s="848">
        <v>16.52970393391384</v>
      </c>
      <c r="G83" s="848">
        <f t="shared" si="2"/>
        <v>0.27685564211023234</v>
      </c>
      <c r="H83" s="848">
        <f t="shared" si="3"/>
        <v>475084281.86115867</v>
      </c>
      <c r="I83" s="848">
        <v>59.45767</v>
      </c>
      <c r="J83" s="848">
        <v>81.823520000000002</v>
      </c>
      <c r="K83" s="848">
        <v>60.202179999999998</v>
      </c>
    </row>
    <row r="84" spans="1:11">
      <c r="A84" s="848">
        <v>2001</v>
      </c>
      <c r="B84" s="848" t="s">
        <v>219</v>
      </c>
      <c r="C84" s="848" t="str">
        <f>$A84&amp;"_"&amp;$B84</f>
        <v>2001_Guatemala</v>
      </c>
      <c r="D84" s="848">
        <v>2466000000</v>
      </c>
      <c r="E84" s="848">
        <v>5.3909993546214858</v>
      </c>
      <c r="F84" s="848">
        <v>0.95620273434047187</v>
      </c>
      <c r="G84" s="848">
        <f t="shared" si="2"/>
        <v>6.3472020889619576E-2</v>
      </c>
      <c r="H84" s="848">
        <f t="shared" si="3"/>
        <v>156522003.51380187</v>
      </c>
      <c r="I84" s="848">
        <v>85.998810000000006</v>
      </c>
      <c r="J84" s="848">
        <v>104.30618</v>
      </c>
      <c r="K84" s="848">
        <v>85.998810000000006</v>
      </c>
    </row>
    <row r="85" spans="1:11">
      <c r="A85" s="848">
        <v>2001</v>
      </c>
      <c r="B85" s="848" t="s">
        <v>3089</v>
      </c>
      <c r="C85" s="848" t="str">
        <f>$A85&amp;"_"&amp;$B85</f>
        <v>2001_Guinea</v>
      </c>
      <c r="D85" s="848">
        <v>731000000</v>
      </c>
      <c r="E85" s="848">
        <v>0.96237042649464155</v>
      </c>
      <c r="F85" s="848">
        <v>68.034698652794617</v>
      </c>
      <c r="G85" s="848">
        <f t="shared" si="2"/>
        <v>0.68997069079289264</v>
      </c>
      <c r="H85" s="848">
        <f t="shared" si="3"/>
        <v>504368574.96960449</v>
      </c>
      <c r="I85" s="848">
        <v>48.367109999999997</v>
      </c>
      <c r="J85" s="848">
        <v>60.994199999999999</v>
      </c>
      <c r="K85" s="848">
        <v>48.702300000000001</v>
      </c>
    </row>
    <row r="86" spans="1:11">
      <c r="A86" s="848">
        <v>2001</v>
      </c>
      <c r="B86" s="848" t="s">
        <v>243</v>
      </c>
      <c r="C86" s="848" t="str">
        <f>$A86&amp;"_"&amp;$B86</f>
        <v>2001_Indonesia</v>
      </c>
      <c r="D86" s="848">
        <v>57361000000</v>
      </c>
      <c r="E86" s="848">
        <v>25.520273451417292</v>
      </c>
      <c r="F86" s="848">
        <v>5.4878742110677603</v>
      </c>
      <c r="G86" s="848">
        <f t="shared" si="2"/>
        <v>0.31008147662485053</v>
      </c>
      <c r="H86" s="848">
        <f t="shared" si="3"/>
        <v>17786583580.678051</v>
      </c>
      <c r="I86" s="848">
        <v>93.186080000000004</v>
      </c>
      <c r="J86" s="848">
        <v>111.23454</v>
      </c>
      <c r="K86" s="848">
        <v>97.452060000000003</v>
      </c>
    </row>
    <row r="87" spans="1:11">
      <c r="A87" s="848">
        <v>2001</v>
      </c>
      <c r="B87" s="848" t="s">
        <v>251</v>
      </c>
      <c r="C87" s="848" t="str">
        <f>$A87&amp;"_"&amp;$B87</f>
        <v>2001_Iraq</v>
      </c>
      <c r="D87" s="848">
        <v>12872000000</v>
      </c>
      <c r="E87" s="848">
        <v>87.689097276580611</v>
      </c>
      <c r="F87" s="848">
        <v>8.8204259626407117E-3</v>
      </c>
      <c r="G87" s="848">
        <f t="shared" si="2"/>
        <v>0.87697917702543249</v>
      </c>
      <c r="H87" s="848">
        <f t="shared" si="3"/>
        <v>11288475966.671368</v>
      </c>
      <c r="I87" s="848" t="s">
        <v>3088</v>
      </c>
      <c r="J87" s="848" t="s">
        <v>3088</v>
      </c>
      <c r="K87" s="848" t="s">
        <v>3088</v>
      </c>
    </row>
    <row r="88" spans="1:11">
      <c r="A88" s="848">
        <v>2001</v>
      </c>
      <c r="B88" s="848" t="s">
        <v>280</v>
      </c>
      <c r="C88" s="848" t="str">
        <f>$A88&amp;"_"&amp;$B88</f>
        <v>2001_Kazakhstan</v>
      </c>
      <c r="D88" s="848">
        <v>8639000000</v>
      </c>
      <c r="E88" s="848">
        <v>56.729761104361565</v>
      </c>
      <c r="F88" s="848">
        <v>18.442698772134012</v>
      </c>
      <c r="G88" s="848">
        <f t="shared" si="2"/>
        <v>0.75172459876495579</v>
      </c>
      <c r="H88" s="848">
        <f t="shared" si="3"/>
        <v>6494148808.7304535</v>
      </c>
      <c r="I88" s="848">
        <v>89.151390000000006</v>
      </c>
      <c r="J88" s="848">
        <v>101.77052999999999</v>
      </c>
      <c r="K88" s="848">
        <v>97.202039999999997</v>
      </c>
    </row>
    <row r="89" spans="1:11">
      <c r="A89" s="848">
        <v>2001</v>
      </c>
      <c r="B89" s="848" t="s">
        <v>316</v>
      </c>
      <c r="C89" s="848" t="str">
        <f>$A89&amp;"_"&amp;$B89</f>
        <v>2001_Madagascar</v>
      </c>
      <c r="D89" s="848">
        <v>928000000</v>
      </c>
      <c r="E89" s="848">
        <v>1.1669232598342674</v>
      </c>
      <c r="F89" s="848">
        <v>1.2689926804626452</v>
      </c>
      <c r="G89" s="848">
        <f t="shared" si="2"/>
        <v>2.4359159402969129E-2</v>
      </c>
      <c r="H89" s="848">
        <f t="shared" si="3"/>
        <v>22605299.925955351</v>
      </c>
      <c r="I89" s="848">
        <v>66.388469999999998</v>
      </c>
      <c r="J89" s="848">
        <v>101.16124000000001</v>
      </c>
      <c r="K89" s="848">
        <v>66.748750000000001</v>
      </c>
    </row>
    <row r="90" spans="1:11">
      <c r="A90" s="848">
        <v>2001</v>
      </c>
      <c r="B90" s="848" t="s">
        <v>329</v>
      </c>
      <c r="C90" s="848" t="str">
        <f>$A90&amp;"_"&amp;$B90</f>
        <v>2001_Mali</v>
      </c>
      <c r="D90" s="848">
        <v>725000000</v>
      </c>
      <c r="E90" s="848">
        <v>4.2172771369652784</v>
      </c>
      <c r="F90" s="848">
        <v>0.11133942621406365</v>
      </c>
      <c r="G90" s="848">
        <f t="shared" si="2"/>
        <v>4.3286165631793418E-2</v>
      </c>
      <c r="H90" s="848">
        <f t="shared" si="3"/>
        <v>31382470.083050229</v>
      </c>
      <c r="I90" s="848" t="s">
        <v>3088</v>
      </c>
      <c r="J90" s="848">
        <v>67.429389999999998</v>
      </c>
      <c r="K90" s="848" t="s">
        <v>3088</v>
      </c>
    </row>
    <row r="91" spans="1:11">
      <c r="A91" s="848">
        <v>2001</v>
      </c>
      <c r="B91" s="848" t="s">
        <v>345</v>
      </c>
      <c r="C91" s="848" t="str">
        <f>$A91&amp;"_"&amp;$B91</f>
        <v>2001_Mauritania</v>
      </c>
      <c r="D91" s="848">
        <v>355249511</v>
      </c>
      <c r="E91" s="848" t="s">
        <v>3088</v>
      </c>
      <c r="F91" s="848">
        <v>58.940131781224515</v>
      </c>
      <c r="G91" s="848" t="str">
        <f t="shared" si="2"/>
        <v>..</v>
      </c>
      <c r="H91" s="848" t="str">
        <f t="shared" si="3"/>
        <v>..</v>
      </c>
      <c r="I91" s="848">
        <v>63.176990000000004</v>
      </c>
      <c r="J91" s="848">
        <v>81.886250000000004</v>
      </c>
      <c r="K91" s="848">
        <v>63.184249999999999</v>
      </c>
    </row>
    <row r="92" spans="1:11">
      <c r="A92" s="848">
        <v>2001</v>
      </c>
      <c r="B92" s="848" t="s">
        <v>364</v>
      </c>
      <c r="C92" s="848" t="str">
        <f>$A92&amp;"_"&amp;$B92</f>
        <v>2001_Mongolia</v>
      </c>
      <c r="D92" s="848">
        <v>521000000</v>
      </c>
      <c r="E92" s="848">
        <v>0.85710607479337031</v>
      </c>
      <c r="F92" s="848">
        <v>39.681848475075562</v>
      </c>
      <c r="G92" s="848">
        <f t="shared" si="2"/>
        <v>0.40538954549868933</v>
      </c>
      <c r="H92" s="848">
        <f t="shared" si="3"/>
        <v>211207953.20481715</v>
      </c>
      <c r="I92" s="848">
        <v>91.190870000000004</v>
      </c>
      <c r="J92" s="848">
        <v>101.41696</v>
      </c>
      <c r="K92" s="848">
        <v>94.210669999999993</v>
      </c>
    </row>
    <row r="93" spans="1:11">
      <c r="A93" s="848">
        <v>2001</v>
      </c>
      <c r="B93" s="848" t="s">
        <v>394</v>
      </c>
      <c r="C93" s="848" t="str">
        <f>$A93&amp;"_"&amp;$B93</f>
        <v>2001_Niger</v>
      </c>
      <c r="D93" s="848">
        <v>272000000</v>
      </c>
      <c r="E93" s="848">
        <v>2.0820188062005536</v>
      </c>
      <c r="F93" s="848">
        <v>41.162495648851589</v>
      </c>
      <c r="G93" s="848">
        <f t="shared" si="2"/>
        <v>0.43244514455052141</v>
      </c>
      <c r="H93" s="848">
        <f t="shared" si="3"/>
        <v>117625079.31774183</v>
      </c>
      <c r="I93" s="848">
        <v>31.522490000000001</v>
      </c>
      <c r="J93" s="848">
        <v>36.735750000000003</v>
      </c>
      <c r="K93" s="848">
        <v>31.701979999999999</v>
      </c>
    </row>
    <row r="94" spans="1:11">
      <c r="A94" s="848">
        <v>2001</v>
      </c>
      <c r="B94" s="848" t="s">
        <v>413</v>
      </c>
      <c r="C94" s="848" t="str">
        <f>$A94&amp;"_"&amp;$B94</f>
        <v>2001_Nigeria</v>
      </c>
      <c r="D94" s="848">
        <v>18045000000</v>
      </c>
      <c r="E94" s="848">
        <v>99.656498550661809</v>
      </c>
      <c r="F94" s="848">
        <v>1.2764551423906029E-2</v>
      </c>
      <c r="G94" s="848">
        <f t="shared" si="2"/>
        <v>0.99669263102085703</v>
      </c>
      <c r="H94" s="848">
        <f t="shared" si="3"/>
        <v>17985318526.771366</v>
      </c>
      <c r="I94" s="848" t="s">
        <v>3088</v>
      </c>
      <c r="J94" s="848">
        <v>96.044579999999996</v>
      </c>
      <c r="K94" s="848" t="s">
        <v>3088</v>
      </c>
    </row>
    <row r="95" spans="1:11">
      <c r="A95" s="848">
        <v>2001</v>
      </c>
      <c r="B95" s="848" t="s">
        <v>436</v>
      </c>
      <c r="C95" s="848" t="str">
        <f>$A95&amp;"_"&amp;$B95</f>
        <v>2001_Norway</v>
      </c>
      <c r="D95" s="848">
        <v>59191000000</v>
      </c>
      <c r="E95" s="848">
        <v>61.771151155593898</v>
      </c>
      <c r="F95" s="848">
        <v>6.0044299077938454</v>
      </c>
      <c r="G95" s="848">
        <f t="shared" si="2"/>
        <v>0.67775581063387746</v>
      </c>
      <c r="H95" s="848">
        <f t="shared" si="3"/>
        <v>40117044187.229843</v>
      </c>
      <c r="I95" s="848">
        <v>99.770229999999998</v>
      </c>
      <c r="J95" s="848">
        <v>100.93747999999999</v>
      </c>
      <c r="K95" s="848">
        <v>99.770229999999998</v>
      </c>
    </row>
    <row r="96" spans="1:11">
      <c r="A96" s="848">
        <v>2001</v>
      </c>
      <c r="B96" s="848" t="s">
        <v>449</v>
      </c>
      <c r="C96" s="848" t="str">
        <f>$A96&amp;"_"&amp;$B96</f>
        <v>2001_Peru</v>
      </c>
      <c r="D96" s="848">
        <v>7013000000</v>
      </c>
      <c r="E96" s="848">
        <v>7.3156198139931083</v>
      </c>
      <c r="F96" s="848">
        <v>37.011081418758948</v>
      </c>
      <c r="G96" s="848">
        <f t="shared" si="2"/>
        <v>0.44326701232752058</v>
      </c>
      <c r="H96" s="848">
        <f t="shared" si="3"/>
        <v>3108631557.4529018</v>
      </c>
      <c r="I96" s="848">
        <v>97.959149999999994</v>
      </c>
      <c r="J96" s="848">
        <v>121.24159</v>
      </c>
      <c r="K96" s="848">
        <v>99.872119999999995</v>
      </c>
    </row>
    <row r="97" spans="1:11">
      <c r="A97" s="848">
        <v>2001</v>
      </c>
      <c r="B97" s="848" t="s">
        <v>488</v>
      </c>
      <c r="C97" s="848" t="str">
        <f>$A97&amp;"_"&amp;$B97</f>
        <v>2001_Sierra Leone</v>
      </c>
      <c r="D97" s="848">
        <v>29000000</v>
      </c>
      <c r="E97" s="848" t="s">
        <v>3088</v>
      </c>
      <c r="F97" s="848" t="s">
        <v>3088</v>
      </c>
      <c r="G97" s="848" t="str">
        <f t="shared" si="2"/>
        <v>..</v>
      </c>
      <c r="H97" s="848" t="str">
        <f t="shared" si="3"/>
        <v>..</v>
      </c>
      <c r="I97" s="848" t="s">
        <v>3088</v>
      </c>
      <c r="J97" s="848">
        <v>84.86233</v>
      </c>
      <c r="K97" s="848" t="s">
        <v>3088</v>
      </c>
    </row>
    <row r="98" spans="1:11">
      <c r="A98" s="848">
        <v>2001</v>
      </c>
      <c r="B98" s="848" t="s">
        <v>499</v>
      </c>
      <c r="C98" s="848" t="str">
        <f>$A98&amp;"_"&amp;$B98</f>
        <v>2001_Tanzania</v>
      </c>
      <c r="D98" s="848">
        <v>851300000</v>
      </c>
      <c r="E98" s="848">
        <v>0.16791852742135463</v>
      </c>
      <c r="F98" s="848">
        <v>8.8183342798742856</v>
      </c>
      <c r="G98" s="848">
        <f t="shared" si="2"/>
        <v>8.9862528072956402E-2</v>
      </c>
      <c r="H98" s="848">
        <f t="shared" si="3"/>
        <v>76499970.148507789</v>
      </c>
      <c r="I98" s="848">
        <v>57.791530000000002</v>
      </c>
      <c r="J98" s="848">
        <v>74.325770000000006</v>
      </c>
      <c r="K98" s="848">
        <v>57.827820000000003</v>
      </c>
    </row>
    <row r="99" spans="1:11">
      <c r="A99" s="848">
        <v>2001</v>
      </c>
      <c r="B99" s="848" t="s">
        <v>3090</v>
      </c>
      <c r="C99" s="848" t="str">
        <f>$A99&amp;"_"&amp;$B99</f>
        <v>2001_Timor-Leste</v>
      </c>
      <c r="D99" s="848" t="s">
        <v>3088</v>
      </c>
      <c r="E99" s="848" t="s">
        <v>3088</v>
      </c>
      <c r="F99" s="848" t="s">
        <v>3088</v>
      </c>
      <c r="G99" s="848" t="str">
        <f t="shared" si="2"/>
        <v>..</v>
      </c>
      <c r="H99" s="848" t="str">
        <f t="shared" si="3"/>
        <v>..</v>
      </c>
      <c r="I99" s="848" t="s">
        <v>3088</v>
      </c>
      <c r="J99" s="848">
        <v>118.19145</v>
      </c>
      <c r="K99" s="848" t="s">
        <v>3088</v>
      </c>
    </row>
    <row r="100" spans="1:11">
      <c r="A100" s="848">
        <v>2001</v>
      </c>
      <c r="B100" s="848" t="s">
        <v>517</v>
      </c>
      <c r="C100" s="848" t="str">
        <f>$A100&amp;"_"&amp;$B100</f>
        <v>2001_Togo</v>
      </c>
      <c r="D100" s="848">
        <v>357000000</v>
      </c>
      <c r="E100" s="848">
        <v>0.40921910221155239</v>
      </c>
      <c r="F100" s="848">
        <v>20.508683596948771</v>
      </c>
      <c r="G100" s="848">
        <f t="shared" si="2"/>
        <v>0.20917902699160323</v>
      </c>
      <c r="H100" s="848">
        <f t="shared" si="3"/>
        <v>74676912.636002362</v>
      </c>
      <c r="I100" s="848">
        <v>85.454719999999995</v>
      </c>
      <c r="J100" s="848">
        <v>114.91088999999999</v>
      </c>
      <c r="K100" s="848">
        <v>87.603009999999998</v>
      </c>
    </row>
    <row r="101" spans="1:11">
      <c r="A101" s="848">
        <v>2001</v>
      </c>
      <c r="B101" s="848" t="s">
        <v>3091</v>
      </c>
      <c r="C101" s="848" t="str">
        <f>$A101&amp;"_"&amp;$B101</f>
        <v>2001_Trinidad and Tobago</v>
      </c>
      <c r="D101" s="848">
        <v>4280000000</v>
      </c>
      <c r="E101" s="848">
        <v>48.871108650147619</v>
      </c>
      <c r="F101" s="848">
        <v>0.15070051149963629</v>
      </c>
      <c r="G101" s="848">
        <f t="shared" si="2"/>
        <v>0.49021809161647256</v>
      </c>
      <c r="H101" s="848">
        <f t="shared" si="3"/>
        <v>2098133432.1185026</v>
      </c>
      <c r="I101" s="848">
        <v>93.063000000000002</v>
      </c>
      <c r="J101" s="848">
        <v>101.12341000000001</v>
      </c>
      <c r="K101" s="848">
        <v>97.770759999999996</v>
      </c>
    </row>
    <row r="102" spans="1:11">
      <c r="A102" s="848">
        <v>2001</v>
      </c>
      <c r="B102" s="848" t="s">
        <v>3092</v>
      </c>
      <c r="C102" s="848" t="str">
        <f>$A102&amp;"_"&amp;$B102</f>
        <v>2001_Yemen, Rep.</v>
      </c>
      <c r="D102" s="848">
        <v>3374000000</v>
      </c>
      <c r="E102" s="848">
        <v>95.158573296652733</v>
      </c>
      <c r="F102" s="848">
        <v>7.0594500734107113E-2</v>
      </c>
      <c r="G102" s="848">
        <f t="shared" si="2"/>
        <v>0.95229167797386838</v>
      </c>
      <c r="H102" s="848">
        <f t="shared" si="3"/>
        <v>3213032121.4838319</v>
      </c>
      <c r="I102" s="848">
        <v>65.84151</v>
      </c>
      <c r="J102" s="848">
        <v>78.746380000000002</v>
      </c>
      <c r="K102" s="848">
        <v>66.297529999999995</v>
      </c>
    </row>
    <row r="103" spans="1:11">
      <c r="A103" s="848">
        <v>2001</v>
      </c>
      <c r="B103" s="848" t="s">
        <v>541</v>
      </c>
      <c r="C103" s="848" t="str">
        <f>$A103&amp;"_"&amp;$B103</f>
        <v>2001_Zambia</v>
      </c>
      <c r="D103" s="848">
        <v>987411000</v>
      </c>
      <c r="E103" s="848">
        <v>1.037113373573874</v>
      </c>
      <c r="F103" s="848">
        <v>70.528230950245032</v>
      </c>
      <c r="G103" s="848">
        <f t="shared" si="2"/>
        <v>0.71565344323818902</v>
      </c>
      <c r="H103" s="848">
        <f t="shared" si="3"/>
        <v>706644082.04126346</v>
      </c>
      <c r="I103" s="848">
        <v>70.466350000000006</v>
      </c>
      <c r="J103" s="848">
        <v>84.120099999999994</v>
      </c>
      <c r="K103" s="848">
        <v>71.131379999999993</v>
      </c>
    </row>
    <row r="104" spans="1:11">
      <c r="A104" s="848">
        <v>2002</v>
      </c>
      <c r="B104" s="848" t="s">
        <v>21</v>
      </c>
      <c r="C104" s="848" t="str">
        <f>$A104&amp;"_"&amp;$B104</f>
        <v>2002_Afghanistan</v>
      </c>
      <c r="D104" s="848">
        <v>100000000</v>
      </c>
      <c r="E104" s="848" t="s">
        <v>3088</v>
      </c>
      <c r="F104" s="848" t="s">
        <v>3088</v>
      </c>
      <c r="G104" s="848" t="str">
        <f t="shared" si="2"/>
        <v>..</v>
      </c>
      <c r="H104" s="848" t="str">
        <f t="shared" si="3"/>
        <v>..</v>
      </c>
      <c r="I104" s="848" t="s">
        <v>3088</v>
      </c>
      <c r="J104" s="848">
        <v>69.591579999999993</v>
      </c>
      <c r="K104" s="848" t="s">
        <v>3088</v>
      </c>
    </row>
    <row r="105" spans="1:11">
      <c r="A105" s="848">
        <v>2002</v>
      </c>
      <c r="B105" s="848" t="s">
        <v>38</v>
      </c>
      <c r="C105" s="848" t="str">
        <f>$A105&amp;"_"&amp;$B105</f>
        <v>2002_Albania</v>
      </c>
      <c r="D105" s="848">
        <v>339550000</v>
      </c>
      <c r="E105" s="848">
        <v>2.0096429613750204</v>
      </c>
      <c r="F105" s="848">
        <v>3.4325598396860468</v>
      </c>
      <c r="G105" s="848">
        <f t="shared" si="2"/>
        <v>5.4422028010610669E-2</v>
      </c>
      <c r="H105" s="848">
        <f t="shared" si="3"/>
        <v>18478999.611002851</v>
      </c>
      <c r="I105" s="848" t="s">
        <v>3088</v>
      </c>
      <c r="J105" s="848">
        <v>101.60069</v>
      </c>
      <c r="K105" s="848" t="s">
        <v>3088</v>
      </c>
    </row>
    <row r="106" spans="1:11">
      <c r="A106" s="848">
        <v>2002</v>
      </c>
      <c r="B106" s="848" t="s">
        <v>53</v>
      </c>
      <c r="C106" s="848" t="str">
        <f>$A106&amp;"_"&amp;$B106</f>
        <v>2002_Azerbaijan</v>
      </c>
      <c r="D106" s="848">
        <v>2167400000</v>
      </c>
      <c r="E106" s="848">
        <v>88.922374787855034</v>
      </c>
      <c r="F106" s="848">
        <v>4.6322535647641029E-2</v>
      </c>
      <c r="G106" s="848">
        <f t="shared" si="2"/>
        <v>0.88968697323502677</v>
      </c>
      <c r="H106" s="848">
        <f t="shared" si="3"/>
        <v>1928307545.789597</v>
      </c>
      <c r="I106" s="848">
        <v>84.825649999999996</v>
      </c>
      <c r="J106" s="848">
        <v>98.349429999999998</v>
      </c>
      <c r="K106" s="848">
        <v>84.910340000000005</v>
      </c>
    </row>
    <row r="107" spans="1:11">
      <c r="A107" s="848">
        <v>2002</v>
      </c>
      <c r="B107" s="848" t="s">
        <v>98</v>
      </c>
      <c r="C107" s="848" t="str">
        <f>$A107&amp;"_"&amp;$B107</f>
        <v>2002_Burkina Faso</v>
      </c>
      <c r="D107" s="848">
        <v>246742000</v>
      </c>
      <c r="E107" s="848">
        <v>2.8183703945005253E-3</v>
      </c>
      <c r="F107" s="848">
        <v>5.0947373980284892E-2</v>
      </c>
      <c r="G107" s="848">
        <f t="shared" si="2"/>
        <v>5.376574437478542E-4</v>
      </c>
      <c r="H107" s="848">
        <f t="shared" si="3"/>
        <v>132662.67298523305</v>
      </c>
      <c r="I107" s="848">
        <v>36.717419999999997</v>
      </c>
      <c r="J107" s="848">
        <v>47.05245</v>
      </c>
      <c r="K107" s="848">
        <v>36.717419999999997</v>
      </c>
    </row>
    <row r="108" spans="1:11">
      <c r="A108" s="848">
        <v>2002</v>
      </c>
      <c r="B108" s="848" t="s">
        <v>101</v>
      </c>
      <c r="C108" s="848" t="str">
        <f>$A108&amp;"_"&amp;$B108</f>
        <v>2002_Cameroon</v>
      </c>
      <c r="D108" s="848">
        <v>1802000000</v>
      </c>
      <c r="E108" s="848">
        <v>49.187108835474397</v>
      </c>
      <c r="F108" s="848">
        <v>4.3243705748820789</v>
      </c>
      <c r="G108" s="848">
        <f t="shared" si="2"/>
        <v>0.53511479410356477</v>
      </c>
      <c r="H108" s="848">
        <f t="shared" si="3"/>
        <v>964276858.97462368</v>
      </c>
      <c r="I108" s="848" t="s">
        <v>3088</v>
      </c>
      <c r="J108" s="848">
        <v>97.950339999999997</v>
      </c>
      <c r="K108" s="848" t="s">
        <v>3088</v>
      </c>
    </row>
    <row r="109" spans="1:11">
      <c r="A109" s="848">
        <v>2002</v>
      </c>
      <c r="B109" s="848" t="s">
        <v>127</v>
      </c>
      <c r="C109" s="848" t="str">
        <f>$A109&amp;"_"&amp;$B109</f>
        <v>2002_Central African Republic</v>
      </c>
      <c r="D109" s="848">
        <v>147000000</v>
      </c>
      <c r="E109" s="848">
        <v>9.5903544179100474E-3</v>
      </c>
      <c r="F109" s="848">
        <v>22.112300907220334</v>
      </c>
      <c r="G109" s="848">
        <f t="shared" si="2"/>
        <v>0.22121891261638243</v>
      </c>
      <c r="H109" s="848">
        <f t="shared" si="3"/>
        <v>32519180.154608216</v>
      </c>
      <c r="I109" s="848" t="s">
        <v>3088</v>
      </c>
      <c r="J109" s="848">
        <v>70.140529999999998</v>
      </c>
      <c r="K109" s="848" t="s">
        <v>3088</v>
      </c>
    </row>
    <row r="110" spans="1:11">
      <c r="A110" s="848">
        <v>2002</v>
      </c>
      <c r="B110" s="848" t="s">
        <v>138</v>
      </c>
      <c r="C110" s="848" t="str">
        <f>$A110&amp;"_"&amp;$B110</f>
        <v>2002_Chad</v>
      </c>
      <c r="D110" s="848">
        <v>185000000</v>
      </c>
      <c r="E110" s="848" t="s">
        <v>3088</v>
      </c>
      <c r="F110" s="848" t="s">
        <v>3088</v>
      </c>
      <c r="G110" s="848" t="str">
        <f t="shared" si="2"/>
        <v>..</v>
      </c>
      <c r="H110" s="848" t="str">
        <f t="shared" si="3"/>
        <v>..</v>
      </c>
      <c r="I110" s="848">
        <v>56.250160000000001</v>
      </c>
      <c r="J110" s="848">
        <v>70.221440000000001</v>
      </c>
      <c r="K110" s="848">
        <v>56.426099999999998</v>
      </c>
    </row>
    <row r="111" spans="1:11">
      <c r="A111" s="848">
        <v>2002</v>
      </c>
      <c r="B111" s="848" t="s">
        <v>3815</v>
      </c>
      <c r="C111" s="848" t="str">
        <f>$A111&amp;"_"&amp;$B111</f>
        <v>2002_Congo, Dem. Rep.</v>
      </c>
      <c r="D111" s="848">
        <v>1132100000</v>
      </c>
      <c r="E111" s="848" t="s">
        <v>3088</v>
      </c>
      <c r="F111" s="848" t="s">
        <v>3088</v>
      </c>
      <c r="G111" s="848" t="str">
        <f t="shared" si="2"/>
        <v>..</v>
      </c>
      <c r="H111" s="848" t="str">
        <f t="shared" si="3"/>
        <v>..</v>
      </c>
      <c r="I111" s="848" t="s">
        <v>3088</v>
      </c>
      <c r="J111" s="848">
        <v>65.725880000000004</v>
      </c>
      <c r="K111" s="848" t="s">
        <v>3088</v>
      </c>
    </row>
    <row r="112" spans="1:11">
      <c r="A112" s="848">
        <v>2002</v>
      </c>
      <c r="B112" s="848" t="s">
        <v>3814</v>
      </c>
      <c r="C112" s="848" t="str">
        <f>$A112&amp;"_"&amp;$B112</f>
        <v>2002_Congo, Rep.</v>
      </c>
      <c r="D112" s="848">
        <v>2280000000</v>
      </c>
      <c r="E112" s="848" t="s">
        <v>3088</v>
      </c>
      <c r="F112" s="848" t="s">
        <v>3088</v>
      </c>
      <c r="G112" s="848" t="str">
        <f t="shared" si="2"/>
        <v>..</v>
      </c>
      <c r="H112" s="848" t="str">
        <f t="shared" si="3"/>
        <v>..</v>
      </c>
      <c r="I112" s="848" t="s">
        <v>3088</v>
      </c>
      <c r="J112" s="848">
        <v>105.50265</v>
      </c>
      <c r="K112" s="848" t="s">
        <v>3088</v>
      </c>
    </row>
    <row r="113" spans="1:11">
      <c r="A113" s="848">
        <v>2002</v>
      </c>
      <c r="B113" s="848" t="s">
        <v>188</v>
      </c>
      <c r="C113" s="848" t="str">
        <f>$A113&amp;"_"&amp;$B113</f>
        <v>2002_Equatorial Guinea</v>
      </c>
      <c r="D113" s="848">
        <v>2117000000</v>
      </c>
      <c r="E113" s="848" t="s">
        <v>3088</v>
      </c>
      <c r="F113" s="848" t="s">
        <v>3088</v>
      </c>
      <c r="G113" s="848" t="str">
        <f t="shared" si="2"/>
        <v>..</v>
      </c>
      <c r="H113" s="848" t="str">
        <f t="shared" si="3"/>
        <v>..</v>
      </c>
      <c r="I113" s="848">
        <v>74.030420000000007</v>
      </c>
      <c r="J113" s="848">
        <v>110.3929</v>
      </c>
      <c r="K113" s="848">
        <v>74.047319999999999</v>
      </c>
    </row>
    <row r="114" spans="1:11">
      <c r="A114" s="848">
        <v>2002</v>
      </c>
      <c r="B114" s="848" t="s">
        <v>191</v>
      </c>
      <c r="C114" s="848" t="str">
        <f>$A114&amp;"_"&amp;$B114</f>
        <v>2002_Gabon</v>
      </c>
      <c r="D114" s="848">
        <v>2409295425</v>
      </c>
      <c r="E114" s="848">
        <v>83.817935877798661</v>
      </c>
      <c r="F114" s="848">
        <v>1.774458108179382</v>
      </c>
      <c r="G114" s="848">
        <f t="shared" si="2"/>
        <v>0.85592393985978044</v>
      </c>
      <c r="H114" s="848">
        <f t="shared" si="3"/>
        <v>2062173632.4521441</v>
      </c>
      <c r="I114" s="848" t="s">
        <v>3088</v>
      </c>
      <c r="J114" s="848">
        <v>143.20531</v>
      </c>
      <c r="K114" s="848" t="s">
        <v>3088</v>
      </c>
    </row>
    <row r="115" spans="1:11">
      <c r="A115" s="848">
        <v>2002</v>
      </c>
      <c r="B115" s="848" t="s">
        <v>301</v>
      </c>
      <c r="C115" s="848" t="str">
        <f>$A115&amp;"_"&amp;$B115</f>
        <v>2002_Liberia</v>
      </c>
      <c r="D115" s="848">
        <v>176100000</v>
      </c>
      <c r="E115" s="848" t="s">
        <v>3088</v>
      </c>
      <c r="F115" s="848" t="s">
        <v>3088</v>
      </c>
      <c r="G115" s="848" t="str">
        <f t="shared" si="2"/>
        <v>..</v>
      </c>
      <c r="H115" s="848" t="str">
        <f t="shared" si="3"/>
        <v>..</v>
      </c>
      <c r="I115" s="848" t="s">
        <v>3088</v>
      </c>
      <c r="J115" s="848" t="s">
        <v>3088</v>
      </c>
      <c r="K115" s="848" t="s">
        <v>3088</v>
      </c>
    </row>
    <row r="116" spans="1:11">
      <c r="A116" s="848">
        <v>2002</v>
      </c>
      <c r="B116" s="848" t="s">
        <v>285</v>
      </c>
      <c r="C116" s="848" t="str">
        <f>$A116&amp;"_"&amp;$B116</f>
        <v>2002_Kyrgyz Republic</v>
      </c>
      <c r="D116" s="848">
        <v>485500000</v>
      </c>
      <c r="E116" s="848">
        <v>19.547288639752349</v>
      </c>
      <c r="F116" s="848">
        <v>6.2343364309061231</v>
      </c>
      <c r="G116" s="848">
        <f t="shared" si="2"/>
        <v>0.2578162507065847</v>
      </c>
      <c r="H116" s="848">
        <f t="shared" si="3"/>
        <v>125169789.71804687</v>
      </c>
      <c r="I116" s="848">
        <v>86.242180000000005</v>
      </c>
      <c r="J116" s="848">
        <v>95.70814</v>
      </c>
      <c r="K116" s="848">
        <v>93.186009999999996</v>
      </c>
    </row>
    <row r="117" spans="1:11">
      <c r="A117" s="848">
        <v>2002</v>
      </c>
      <c r="B117" s="848" t="s">
        <v>195</v>
      </c>
      <c r="C117" s="848" t="str">
        <f>$A117&amp;"_"&amp;$B117</f>
        <v>2002_Ghana</v>
      </c>
      <c r="D117" s="848">
        <v>1850000000</v>
      </c>
      <c r="E117" s="848" t="s">
        <v>3088</v>
      </c>
      <c r="F117" s="848" t="s">
        <v>3088</v>
      </c>
      <c r="G117" s="848" t="str">
        <f t="shared" si="2"/>
        <v>..</v>
      </c>
      <c r="H117" s="848" t="str">
        <f t="shared" si="3"/>
        <v>..</v>
      </c>
      <c r="I117" s="848">
        <v>61.922220000000003</v>
      </c>
      <c r="J117" s="848">
        <v>83.743260000000006</v>
      </c>
      <c r="K117" s="848">
        <v>62.707900000000002</v>
      </c>
    </row>
    <row r="118" spans="1:11">
      <c r="A118" s="848">
        <v>2002</v>
      </c>
      <c r="B118" s="848" t="s">
        <v>219</v>
      </c>
      <c r="C118" s="848" t="str">
        <f>$A118&amp;"_"&amp;$B118</f>
        <v>2002_Guatemala</v>
      </c>
      <c r="D118" s="848">
        <v>4162100000</v>
      </c>
      <c r="E118" s="848">
        <v>8.5567119672581473</v>
      </c>
      <c r="F118" s="848">
        <v>0.6281566919821604</v>
      </c>
      <c r="G118" s="848">
        <f t="shared" si="2"/>
        <v>9.1848686592403084E-2</v>
      </c>
      <c r="H118" s="848">
        <f t="shared" si="3"/>
        <v>382283418.46624088</v>
      </c>
      <c r="I118" s="848">
        <v>88.018789999999996</v>
      </c>
      <c r="J118" s="848">
        <v>107.04911</v>
      </c>
      <c r="K118" s="848">
        <v>89.341160000000002</v>
      </c>
    </row>
    <row r="119" spans="1:11">
      <c r="A119" s="848">
        <v>2002</v>
      </c>
      <c r="B119" s="848" t="s">
        <v>3089</v>
      </c>
      <c r="C119" s="848" t="str">
        <f>$A119&amp;"_"&amp;$B119</f>
        <v>2002_Guinea</v>
      </c>
      <c r="D119" s="848">
        <v>709000000</v>
      </c>
      <c r="E119" s="848">
        <v>7.3743007957237344E-2</v>
      </c>
      <c r="F119" s="848">
        <v>71.625973517839043</v>
      </c>
      <c r="G119" s="848">
        <f t="shared" si="2"/>
        <v>0.71699716525796275</v>
      </c>
      <c r="H119" s="848">
        <f t="shared" si="3"/>
        <v>508350990.16789562</v>
      </c>
      <c r="I119" s="848">
        <v>55.835140000000003</v>
      </c>
      <c r="J119" s="848">
        <v>70.002759999999995</v>
      </c>
      <c r="K119" s="848">
        <v>56.191310000000001</v>
      </c>
    </row>
    <row r="120" spans="1:11">
      <c r="A120" s="848">
        <v>2002</v>
      </c>
      <c r="B120" s="848" t="s">
        <v>243</v>
      </c>
      <c r="C120" s="848" t="str">
        <f>$A120&amp;"_"&amp;$B120</f>
        <v>2002_Indonesia</v>
      </c>
      <c r="D120" s="848">
        <v>59166000000</v>
      </c>
      <c r="E120" s="848">
        <v>24.419384619409332</v>
      </c>
      <c r="F120" s="848">
        <v>5.2641104703587054</v>
      </c>
      <c r="G120" s="848">
        <f t="shared" si="2"/>
        <v>0.29683495089768036</v>
      </c>
      <c r="H120" s="848">
        <f t="shared" si="3"/>
        <v>17562536704.812157</v>
      </c>
      <c r="I120" s="848">
        <v>92.706850000000003</v>
      </c>
      <c r="J120" s="848">
        <v>111.58146000000001</v>
      </c>
      <c r="K120" s="848">
        <v>96.898880000000005</v>
      </c>
    </row>
    <row r="121" spans="1:11">
      <c r="A121" s="848">
        <v>2002</v>
      </c>
      <c r="B121" s="848" t="s">
        <v>251</v>
      </c>
      <c r="C121" s="848" t="str">
        <f>$A121&amp;"_"&amp;$B121</f>
        <v>2002_Iraq</v>
      </c>
      <c r="D121" s="848">
        <v>12219000000</v>
      </c>
      <c r="E121" s="848">
        <v>95.322466305564006</v>
      </c>
      <c r="F121" s="848">
        <v>1.4859979720018721E-2</v>
      </c>
      <c r="G121" s="848">
        <f t="shared" si="2"/>
        <v>0.95337326285284019</v>
      </c>
      <c r="H121" s="848">
        <f t="shared" si="3"/>
        <v>11649267898.798855</v>
      </c>
      <c r="I121" s="848" t="s">
        <v>3088</v>
      </c>
      <c r="J121" s="848" t="s">
        <v>3088</v>
      </c>
      <c r="K121" s="848" t="s">
        <v>3088</v>
      </c>
    </row>
    <row r="122" spans="1:11">
      <c r="A122" s="848">
        <v>2002</v>
      </c>
      <c r="B122" s="848" t="s">
        <v>280</v>
      </c>
      <c r="C122" s="848" t="str">
        <f>$A122&amp;"_"&amp;$B122</f>
        <v>2002_Kazakhstan</v>
      </c>
      <c r="D122" s="848">
        <v>9670300000</v>
      </c>
      <c r="E122" s="848">
        <v>59.050228249472205</v>
      </c>
      <c r="F122" s="848">
        <v>16.173852094274768</v>
      </c>
      <c r="G122" s="848">
        <f t="shared" si="2"/>
        <v>0.7522408034374698</v>
      </c>
      <c r="H122" s="848">
        <f t="shared" si="3"/>
        <v>7274394241.4813643</v>
      </c>
      <c r="I122" s="848">
        <v>91.364130000000003</v>
      </c>
      <c r="J122" s="848">
        <v>103.4907</v>
      </c>
      <c r="K122" s="848">
        <v>98.738960000000006</v>
      </c>
    </row>
    <row r="123" spans="1:11">
      <c r="A123" s="848">
        <v>2002</v>
      </c>
      <c r="B123" s="848" t="s">
        <v>316</v>
      </c>
      <c r="C123" s="848" t="str">
        <f>$A123&amp;"_"&amp;$B123</f>
        <v>2002_Madagascar</v>
      </c>
      <c r="D123" s="848">
        <v>486000000</v>
      </c>
      <c r="E123" s="848">
        <v>1.9601125086161499</v>
      </c>
      <c r="F123" s="848">
        <v>1.3732973656245726</v>
      </c>
      <c r="G123" s="848">
        <f t="shared" si="2"/>
        <v>3.3334098742407225E-2</v>
      </c>
      <c r="H123" s="848">
        <f t="shared" si="3"/>
        <v>16200371.988809912</v>
      </c>
      <c r="I123" s="848">
        <v>67.26867</v>
      </c>
      <c r="J123" s="848">
        <v>102.18568999999999</v>
      </c>
      <c r="K123" s="848">
        <v>67.679509999999993</v>
      </c>
    </row>
    <row r="124" spans="1:11">
      <c r="A124" s="848">
        <v>2002</v>
      </c>
      <c r="B124" s="848" t="s">
        <v>329</v>
      </c>
      <c r="C124" s="848" t="str">
        <f>$A124&amp;"_"&amp;$B124</f>
        <v>2002_Mali</v>
      </c>
      <c r="D124" s="848">
        <v>874000000</v>
      </c>
      <c r="E124" s="848">
        <v>3.5796341212818312</v>
      </c>
      <c r="F124" s="848">
        <v>8.7590090178808241E-2</v>
      </c>
      <c r="G124" s="848">
        <f t="shared" si="2"/>
        <v>3.6672242114606395E-2</v>
      </c>
      <c r="H124" s="848">
        <f t="shared" si="3"/>
        <v>32051539.608165991</v>
      </c>
      <c r="I124" s="848">
        <v>55.85586</v>
      </c>
      <c r="J124" s="848">
        <v>71.608149999999995</v>
      </c>
      <c r="K124" s="848">
        <v>55.863970000000002</v>
      </c>
    </row>
    <row r="125" spans="1:11">
      <c r="A125" s="848">
        <v>2002</v>
      </c>
      <c r="B125" s="848" t="s">
        <v>345</v>
      </c>
      <c r="C125" s="848" t="str">
        <f>$A125&amp;"_"&amp;$B125</f>
        <v>2002_Mauritania</v>
      </c>
      <c r="D125" s="848">
        <v>331669534</v>
      </c>
      <c r="E125" s="848" t="s">
        <v>3088</v>
      </c>
      <c r="F125" s="848">
        <v>61.911926741963185</v>
      </c>
      <c r="G125" s="848" t="str">
        <f t="shared" si="2"/>
        <v>..</v>
      </c>
      <c r="H125" s="848" t="str">
        <f t="shared" si="3"/>
        <v>..</v>
      </c>
      <c r="I125" s="848">
        <v>62.280189999999997</v>
      </c>
      <c r="J125" s="848">
        <v>83.193269999999998</v>
      </c>
      <c r="K125" s="848">
        <v>62.524880000000003</v>
      </c>
    </row>
    <row r="126" spans="1:11">
      <c r="A126" s="848">
        <v>2002</v>
      </c>
      <c r="B126" s="848" t="s">
        <v>364</v>
      </c>
      <c r="C126" s="848" t="str">
        <f>$A126&amp;"_"&amp;$B126</f>
        <v>2002_Mongolia</v>
      </c>
      <c r="D126" s="848">
        <v>524000000</v>
      </c>
      <c r="E126" s="848">
        <v>0.84965084448526285</v>
      </c>
      <c r="F126" s="848">
        <v>42.754666788066167</v>
      </c>
      <c r="G126" s="848">
        <f t="shared" si="2"/>
        <v>0.43604317632551426</v>
      </c>
      <c r="H126" s="848">
        <f t="shared" si="3"/>
        <v>228486624.39456949</v>
      </c>
      <c r="I126" s="848">
        <v>89.551789999999997</v>
      </c>
      <c r="J126" s="848">
        <v>102.06147</v>
      </c>
      <c r="K126" s="848">
        <v>93.135769999999994</v>
      </c>
    </row>
    <row r="127" spans="1:11">
      <c r="A127" s="848">
        <v>2002</v>
      </c>
      <c r="B127" s="848" t="s">
        <v>394</v>
      </c>
      <c r="C127" s="848" t="str">
        <f>$A127&amp;"_"&amp;$B127</f>
        <v>2002_Niger</v>
      </c>
      <c r="D127" s="848">
        <v>279000000</v>
      </c>
      <c r="E127" s="848">
        <v>1.3842380463481201</v>
      </c>
      <c r="F127" s="848">
        <v>45.424552785893283</v>
      </c>
      <c r="G127" s="848">
        <f t="shared" si="2"/>
        <v>0.46808790832241409</v>
      </c>
      <c r="H127" s="848">
        <f t="shared" si="3"/>
        <v>130596526.42195353</v>
      </c>
      <c r="I127" s="848">
        <v>35.090519999999998</v>
      </c>
      <c r="J127" s="848">
        <v>41.048099999999998</v>
      </c>
      <c r="K127" s="848">
        <v>35.418700000000001</v>
      </c>
    </row>
    <row r="128" spans="1:11">
      <c r="A128" s="848">
        <v>2002</v>
      </c>
      <c r="B128" s="848" t="s">
        <v>413</v>
      </c>
      <c r="C128" s="848" t="str">
        <f>$A128&amp;"_"&amp;$B128</f>
        <v>2002_Nigeria</v>
      </c>
      <c r="D128" s="848">
        <v>17975000000</v>
      </c>
      <c r="E128" s="848">
        <v>94.037464385227906</v>
      </c>
      <c r="F128" s="848">
        <v>2.8525609677972179E-2</v>
      </c>
      <c r="G128" s="848">
        <f t="shared" si="2"/>
        <v>0.94065989994905874</v>
      </c>
      <c r="H128" s="848">
        <f t="shared" si="3"/>
        <v>16908361701.584332</v>
      </c>
      <c r="I128" s="848" t="s">
        <v>3088</v>
      </c>
      <c r="J128" s="848">
        <v>97.648340000000005</v>
      </c>
      <c r="K128" s="848" t="s">
        <v>3088</v>
      </c>
    </row>
    <row r="129" spans="1:11">
      <c r="A129" s="848">
        <v>2002</v>
      </c>
      <c r="B129" s="848" t="s">
        <v>436</v>
      </c>
      <c r="C129" s="848" t="str">
        <f>$A129&amp;"_"&amp;$B129</f>
        <v>2002_Norway</v>
      </c>
      <c r="D129" s="848">
        <v>59662000000</v>
      </c>
      <c r="E129" s="848">
        <v>60.65006438823788</v>
      </c>
      <c r="F129" s="848">
        <v>6.0904221799017098</v>
      </c>
      <c r="G129" s="848">
        <f t="shared" si="2"/>
        <v>0.6674048656813959</v>
      </c>
      <c r="H129" s="848">
        <f t="shared" si="3"/>
        <v>39818709096.28344</v>
      </c>
      <c r="I129" s="848">
        <v>99.741669999999999</v>
      </c>
      <c r="J129" s="848">
        <v>100.27272000000001</v>
      </c>
      <c r="K129" s="848">
        <v>99.741669999999999</v>
      </c>
    </row>
    <row r="130" spans="1:11">
      <c r="A130" s="848">
        <v>2002</v>
      </c>
      <c r="B130" s="848" t="s">
        <v>449</v>
      </c>
      <c r="C130" s="848" t="str">
        <f>$A130&amp;"_"&amp;$B130</f>
        <v>2002_Peru</v>
      </c>
      <c r="D130" s="848">
        <v>7713900000</v>
      </c>
      <c r="E130" s="848">
        <v>7.7690949944377001</v>
      </c>
      <c r="F130" s="848">
        <v>39.694900915200051</v>
      </c>
      <c r="G130" s="848">
        <f t="shared" si="2"/>
        <v>0.47463995909637752</v>
      </c>
      <c r="H130" s="848">
        <f t="shared" si="3"/>
        <v>3661325180.4735465</v>
      </c>
      <c r="I130" s="848">
        <v>97.910679999999999</v>
      </c>
      <c r="J130" s="848">
        <v>120.0489</v>
      </c>
      <c r="K130" s="848">
        <v>99.936040000000006</v>
      </c>
    </row>
    <row r="131" spans="1:11">
      <c r="A131" s="848">
        <v>2002</v>
      </c>
      <c r="B131" s="848" t="s">
        <v>488</v>
      </c>
      <c r="C131" s="848" t="str">
        <f>$A131&amp;"_"&amp;$B131</f>
        <v>2002_Sierra Leone</v>
      </c>
      <c r="D131" s="848">
        <v>48668700</v>
      </c>
      <c r="E131" s="848" t="s">
        <v>3088</v>
      </c>
      <c r="F131" s="848">
        <v>0.1150017787662817</v>
      </c>
      <c r="G131" s="848" t="str">
        <f t="shared" ref="G131:G194" si="4">IFERROR(($E131+$F131)/100,"..")</f>
        <v>..</v>
      </c>
      <c r="H131" s="848" t="str">
        <f t="shared" ref="H131:H194" si="5">IFERROR($G131*$D131,"..")</f>
        <v>..</v>
      </c>
      <c r="I131" s="848" t="s">
        <v>3088</v>
      </c>
      <c r="J131" s="848" t="s">
        <v>3088</v>
      </c>
      <c r="K131" s="848" t="s">
        <v>3088</v>
      </c>
    </row>
    <row r="132" spans="1:11">
      <c r="A132" s="848">
        <v>2002</v>
      </c>
      <c r="B132" s="848" t="s">
        <v>499</v>
      </c>
      <c r="C132" s="848" t="str">
        <f>$A132&amp;"_"&amp;$B132</f>
        <v>2002_Tanzania</v>
      </c>
      <c r="D132" s="848">
        <v>979600000</v>
      </c>
      <c r="E132" s="848">
        <v>0.11572944143660707</v>
      </c>
      <c r="F132" s="848">
        <v>12.460985432921515</v>
      </c>
      <c r="G132" s="848">
        <f t="shared" si="4"/>
        <v>0.12576714874358122</v>
      </c>
      <c r="H132" s="848">
        <f t="shared" si="5"/>
        <v>123201498.90921216</v>
      </c>
      <c r="I132" s="848">
        <v>72.883279999999999</v>
      </c>
      <c r="J132" s="848">
        <v>89.122870000000006</v>
      </c>
      <c r="K132" s="848">
        <v>72.930250000000001</v>
      </c>
    </row>
    <row r="133" spans="1:11">
      <c r="A133" s="848">
        <v>2002</v>
      </c>
      <c r="B133" s="848" t="s">
        <v>3090</v>
      </c>
      <c r="C133" s="848" t="str">
        <f>$A133&amp;"_"&amp;$B133</f>
        <v>2002_Timor-Leste</v>
      </c>
      <c r="D133" s="848" t="s">
        <v>3088</v>
      </c>
      <c r="E133" s="848" t="s">
        <v>3088</v>
      </c>
      <c r="F133" s="848" t="s">
        <v>3088</v>
      </c>
      <c r="G133" s="848" t="str">
        <f t="shared" si="4"/>
        <v>..</v>
      </c>
      <c r="H133" s="848" t="str">
        <f t="shared" si="5"/>
        <v>..</v>
      </c>
      <c r="I133" s="848" t="s">
        <v>3088</v>
      </c>
      <c r="J133" s="848">
        <v>113.35875</v>
      </c>
      <c r="K133" s="848" t="s">
        <v>3088</v>
      </c>
    </row>
    <row r="134" spans="1:11">
      <c r="A134" s="848">
        <v>2002</v>
      </c>
      <c r="B134" s="848" t="s">
        <v>517</v>
      </c>
      <c r="C134" s="848" t="str">
        <f>$A134&amp;"_"&amp;$B134</f>
        <v>2002_Togo</v>
      </c>
      <c r="D134" s="848">
        <v>427000000</v>
      </c>
      <c r="E134" s="848">
        <v>0.53434363019795539</v>
      </c>
      <c r="F134" s="848">
        <v>16.741694047473349</v>
      </c>
      <c r="G134" s="848">
        <f t="shared" si="4"/>
        <v>0.17276037677671305</v>
      </c>
      <c r="H134" s="848">
        <f t="shared" si="5"/>
        <v>73768680.883656472</v>
      </c>
      <c r="I134" s="848">
        <v>88.275499999999994</v>
      </c>
      <c r="J134" s="848">
        <v>116.97468000000001</v>
      </c>
      <c r="K134" s="848">
        <v>90.953270000000003</v>
      </c>
    </row>
    <row r="135" spans="1:11">
      <c r="A135" s="848">
        <v>2002</v>
      </c>
      <c r="B135" s="848" t="s">
        <v>3091</v>
      </c>
      <c r="C135" s="848" t="str">
        <f>$A135&amp;"_"&amp;$B135</f>
        <v>2002_Trinidad and Tobago</v>
      </c>
      <c r="D135" s="848">
        <v>3880000000</v>
      </c>
      <c r="E135" s="848">
        <v>60.083730666808044</v>
      </c>
      <c r="F135" s="848">
        <v>0.20651428623560253</v>
      </c>
      <c r="G135" s="848">
        <f t="shared" si="4"/>
        <v>0.60290244953043648</v>
      </c>
      <c r="H135" s="848">
        <f t="shared" si="5"/>
        <v>2339261504.1780934</v>
      </c>
      <c r="I135" s="848">
        <v>89.878590000000003</v>
      </c>
      <c r="J135" s="848">
        <v>96.516779999999997</v>
      </c>
      <c r="K135" s="848">
        <v>94.543130000000005</v>
      </c>
    </row>
    <row r="136" spans="1:11">
      <c r="A136" s="848">
        <v>2002</v>
      </c>
      <c r="B136" s="848" t="s">
        <v>3092</v>
      </c>
      <c r="C136" s="848" t="str">
        <f>$A136&amp;"_"&amp;$B136</f>
        <v>2002_Yemen, Rep.</v>
      </c>
      <c r="D136" s="848">
        <v>3336347422</v>
      </c>
      <c r="E136" s="848">
        <v>93.5426302721811</v>
      </c>
      <c r="F136" s="848">
        <v>6.33613499361661E-2</v>
      </c>
      <c r="G136" s="848">
        <f t="shared" si="4"/>
        <v>0.93605991622117268</v>
      </c>
      <c r="H136" s="848">
        <f t="shared" si="5"/>
        <v>3123021088.3220453</v>
      </c>
      <c r="I136" s="848" t="s">
        <v>3088</v>
      </c>
      <c r="J136" s="848">
        <v>80.591430000000003</v>
      </c>
      <c r="K136" s="848" t="s">
        <v>3088</v>
      </c>
    </row>
    <row r="137" spans="1:11">
      <c r="A137" s="848">
        <v>2002</v>
      </c>
      <c r="B137" s="848" t="s">
        <v>541</v>
      </c>
      <c r="C137" s="848" t="str">
        <f>$A137&amp;"_"&amp;$B137</f>
        <v>2002_Zambia</v>
      </c>
      <c r="D137" s="848">
        <v>956349000</v>
      </c>
      <c r="E137" s="848">
        <v>0.83558746749126878</v>
      </c>
      <c r="F137" s="848">
        <v>69.78496673408452</v>
      </c>
      <c r="G137" s="848">
        <f t="shared" si="4"/>
        <v>0.7062055420157578</v>
      </c>
      <c r="H137" s="848">
        <f t="shared" si="5"/>
        <v>675378963.90122795</v>
      </c>
      <c r="I137" s="848">
        <v>72.546329999999998</v>
      </c>
      <c r="J137" s="848">
        <v>87.166409999999999</v>
      </c>
      <c r="K137" s="848">
        <v>74.181290000000004</v>
      </c>
    </row>
    <row r="138" spans="1:11">
      <c r="A138" s="848">
        <v>2003</v>
      </c>
      <c r="B138" s="848" t="s">
        <v>21</v>
      </c>
      <c r="C138" s="848" t="str">
        <f>$A138&amp;"_"&amp;$B138</f>
        <v>2003_Afghanistan</v>
      </c>
      <c r="D138" s="848">
        <v>144000000</v>
      </c>
      <c r="E138" s="848" t="s">
        <v>3088</v>
      </c>
      <c r="F138" s="848" t="s">
        <v>3088</v>
      </c>
      <c r="G138" s="848" t="str">
        <f t="shared" si="4"/>
        <v>..</v>
      </c>
      <c r="H138" s="848" t="str">
        <f t="shared" si="5"/>
        <v>..</v>
      </c>
      <c r="I138" s="848" t="s">
        <v>3088</v>
      </c>
      <c r="J138" s="848">
        <v>93.935230000000004</v>
      </c>
      <c r="K138" s="848" t="s">
        <v>3088</v>
      </c>
    </row>
    <row r="139" spans="1:11">
      <c r="A139" s="848">
        <v>2003</v>
      </c>
      <c r="B139" s="848" t="s">
        <v>38</v>
      </c>
      <c r="C139" s="848" t="str">
        <f>$A139&amp;"_"&amp;$B139</f>
        <v>2003_Albania</v>
      </c>
      <c r="D139" s="848">
        <v>447950000</v>
      </c>
      <c r="E139" s="848">
        <v>0.93945393108124331</v>
      </c>
      <c r="F139" s="848">
        <v>4.0951872993777885</v>
      </c>
      <c r="G139" s="848">
        <f t="shared" si="4"/>
        <v>5.0346412304590318E-2</v>
      </c>
      <c r="H139" s="848">
        <f t="shared" si="5"/>
        <v>22552675.391841233</v>
      </c>
      <c r="I139" s="848">
        <v>91.249350000000007</v>
      </c>
      <c r="J139" s="848">
        <v>99.515079999999998</v>
      </c>
      <c r="K139" s="848">
        <v>91.249350000000007</v>
      </c>
    </row>
    <row r="140" spans="1:11">
      <c r="A140" s="848">
        <v>2003</v>
      </c>
      <c r="B140" s="848" t="s">
        <v>53</v>
      </c>
      <c r="C140" s="848" t="str">
        <f>$A140&amp;"_"&amp;$B140</f>
        <v>2003_Azerbaijan</v>
      </c>
      <c r="D140" s="848">
        <v>2591718144</v>
      </c>
      <c r="E140" s="848">
        <v>86.010670655981272</v>
      </c>
      <c r="F140" s="848">
        <v>1.0329959375088813</v>
      </c>
      <c r="G140" s="848">
        <f t="shared" si="4"/>
        <v>0.87043666593490154</v>
      </c>
      <c r="H140" s="848">
        <f t="shared" si="5"/>
        <v>2255926500.3063512</v>
      </c>
      <c r="I140" s="848">
        <v>83.284540000000007</v>
      </c>
      <c r="J140" s="848">
        <v>96.213239999999999</v>
      </c>
      <c r="K140" s="848">
        <v>83.346299999999999</v>
      </c>
    </row>
    <row r="141" spans="1:11">
      <c r="A141" s="848">
        <v>2003</v>
      </c>
      <c r="B141" s="848" t="s">
        <v>98</v>
      </c>
      <c r="C141" s="848" t="str">
        <f>$A141&amp;"_"&amp;$B141</f>
        <v>2003_Burkina Faso</v>
      </c>
      <c r="D141" s="848">
        <v>320544000</v>
      </c>
      <c r="E141" s="848">
        <v>4.1422676347662397E-2</v>
      </c>
      <c r="F141" s="848">
        <v>2.1477473974118172E-2</v>
      </c>
      <c r="G141" s="848">
        <f t="shared" si="4"/>
        <v>6.2900150321780566E-4</v>
      </c>
      <c r="H141" s="848">
        <f t="shared" si="5"/>
        <v>201622.65784744831</v>
      </c>
      <c r="I141" s="848">
        <v>38.644539999999999</v>
      </c>
      <c r="J141" s="848">
        <v>49.301549999999999</v>
      </c>
      <c r="K141" s="848">
        <v>39.041040000000002</v>
      </c>
    </row>
    <row r="142" spans="1:11">
      <c r="A142" s="848">
        <v>2003</v>
      </c>
      <c r="B142" s="848" t="s">
        <v>101</v>
      </c>
      <c r="C142" s="848" t="str">
        <f>$A142&amp;"_"&amp;$B142</f>
        <v>2003_Cameroon</v>
      </c>
      <c r="D142" s="848">
        <v>2282560206</v>
      </c>
      <c r="E142" s="848">
        <v>48.812339702052896</v>
      </c>
      <c r="F142" s="848">
        <v>4.158270935894282</v>
      </c>
      <c r="G142" s="848">
        <f t="shared" si="4"/>
        <v>0.5297061063794718</v>
      </c>
      <c r="H142" s="848">
        <f t="shared" si="5"/>
        <v>1209086079.2969851</v>
      </c>
      <c r="I142" s="848" t="s">
        <v>3088</v>
      </c>
      <c r="J142" s="848">
        <v>97.932289999999995</v>
      </c>
      <c r="K142" s="848" t="s">
        <v>3088</v>
      </c>
    </row>
    <row r="143" spans="1:11">
      <c r="A143" s="848">
        <v>2003</v>
      </c>
      <c r="B143" s="848" t="s">
        <v>127</v>
      </c>
      <c r="C143" s="848" t="str">
        <f>$A143&amp;"_"&amp;$B143</f>
        <v>2003_Central African Republic</v>
      </c>
      <c r="D143" s="848">
        <v>128000000</v>
      </c>
      <c r="E143" s="848">
        <v>0</v>
      </c>
      <c r="F143" s="848">
        <v>36.563920063302305</v>
      </c>
      <c r="G143" s="848">
        <f t="shared" si="4"/>
        <v>0.36563920063302308</v>
      </c>
      <c r="H143" s="848">
        <f t="shared" si="5"/>
        <v>46801817.68102695</v>
      </c>
      <c r="I143" s="848" t="s">
        <v>3088</v>
      </c>
      <c r="J143" s="848">
        <v>69.627139999999997</v>
      </c>
      <c r="K143" s="848" t="s">
        <v>3088</v>
      </c>
    </row>
    <row r="144" spans="1:11">
      <c r="A144" s="848">
        <v>2003</v>
      </c>
      <c r="B144" s="848" t="s">
        <v>138</v>
      </c>
      <c r="C144" s="848" t="str">
        <f>$A144&amp;"_"&amp;$B144</f>
        <v>2003_Chad</v>
      </c>
      <c r="D144" s="848">
        <v>601000000</v>
      </c>
      <c r="E144" s="848" t="s">
        <v>3088</v>
      </c>
      <c r="F144" s="848" t="s">
        <v>3088</v>
      </c>
      <c r="G144" s="848" t="str">
        <f t="shared" si="4"/>
        <v>..</v>
      </c>
      <c r="H144" s="848" t="str">
        <f t="shared" si="5"/>
        <v>..</v>
      </c>
      <c r="I144" s="848">
        <v>57.75562</v>
      </c>
      <c r="J144" s="848">
        <v>72.100960000000001</v>
      </c>
      <c r="K144" s="848">
        <v>57.947319999999998</v>
      </c>
    </row>
    <row r="145" spans="1:11">
      <c r="A145" s="848">
        <v>2003</v>
      </c>
      <c r="B145" s="848" t="s">
        <v>3815</v>
      </c>
      <c r="C145" s="848" t="str">
        <f>$A145&amp;"_"&amp;$B145</f>
        <v>2003_Congo, Dem. Rep.</v>
      </c>
      <c r="D145" s="848">
        <v>1377700000</v>
      </c>
      <c r="E145" s="848" t="s">
        <v>3088</v>
      </c>
      <c r="F145" s="848" t="s">
        <v>3088</v>
      </c>
      <c r="G145" s="848" t="str">
        <f t="shared" si="4"/>
        <v>..</v>
      </c>
      <c r="H145" s="848" t="str">
        <f t="shared" si="5"/>
        <v>..</v>
      </c>
      <c r="I145" s="848" t="s">
        <v>3088</v>
      </c>
      <c r="J145" s="848" t="s">
        <v>3088</v>
      </c>
      <c r="K145" s="848" t="s">
        <v>3088</v>
      </c>
    </row>
    <row r="146" spans="1:11">
      <c r="A146" s="848">
        <v>2003</v>
      </c>
      <c r="B146" s="848" t="s">
        <v>3814</v>
      </c>
      <c r="C146" s="848" t="str">
        <f>$A146&amp;"_"&amp;$B146</f>
        <v>2003_Congo, Rep.</v>
      </c>
      <c r="D146" s="848">
        <v>2677000000</v>
      </c>
      <c r="E146" s="848" t="s">
        <v>3088</v>
      </c>
      <c r="F146" s="848" t="s">
        <v>3088</v>
      </c>
      <c r="G146" s="848" t="str">
        <f t="shared" si="4"/>
        <v>..</v>
      </c>
      <c r="H146" s="848" t="str">
        <f t="shared" si="5"/>
        <v>..</v>
      </c>
      <c r="I146" s="848" t="s">
        <v>3088</v>
      </c>
      <c r="J146" s="848">
        <v>99.751159999999999</v>
      </c>
      <c r="K146" s="848" t="s">
        <v>3088</v>
      </c>
    </row>
    <row r="147" spans="1:11">
      <c r="A147" s="848">
        <v>2003</v>
      </c>
      <c r="B147" s="848" t="s">
        <v>188</v>
      </c>
      <c r="C147" s="848" t="str">
        <f>$A147&amp;"_"&amp;$B147</f>
        <v>2003_Equatorial Guinea</v>
      </c>
      <c r="D147" s="848">
        <v>2801000000</v>
      </c>
      <c r="E147" s="848" t="s">
        <v>3088</v>
      </c>
      <c r="F147" s="848" t="s">
        <v>3088</v>
      </c>
      <c r="G147" s="848" t="str">
        <f t="shared" si="4"/>
        <v>..</v>
      </c>
      <c r="H147" s="848" t="str">
        <f t="shared" si="5"/>
        <v>..</v>
      </c>
      <c r="I147" s="848">
        <v>70.715329999999994</v>
      </c>
      <c r="J147" s="848">
        <v>101.71662999999999</v>
      </c>
      <c r="K147" s="848">
        <v>72.681520000000006</v>
      </c>
    </row>
    <row r="148" spans="1:11">
      <c r="A148" s="848">
        <v>2003</v>
      </c>
      <c r="B148" s="848" t="s">
        <v>191</v>
      </c>
      <c r="C148" s="848" t="str">
        <f>$A148&amp;"_"&amp;$B148</f>
        <v>2003_Gabon</v>
      </c>
      <c r="D148" s="848">
        <v>3062095664</v>
      </c>
      <c r="E148" s="848">
        <v>17.594056310573407</v>
      </c>
      <c r="F148" s="848">
        <v>8.0941257958318982</v>
      </c>
      <c r="G148" s="848">
        <f t="shared" si="4"/>
        <v>0.25688182106405305</v>
      </c>
      <c r="H148" s="848">
        <f t="shared" si="5"/>
        <v>786596710.44066072</v>
      </c>
      <c r="I148" s="848" t="s">
        <v>3088</v>
      </c>
      <c r="J148" s="848">
        <v>139.69148000000001</v>
      </c>
      <c r="K148" s="848" t="s">
        <v>3088</v>
      </c>
    </row>
    <row r="149" spans="1:11">
      <c r="A149" s="848">
        <v>2003</v>
      </c>
      <c r="B149" s="848" t="s">
        <v>301</v>
      </c>
      <c r="C149" s="848" t="str">
        <f>$A149&amp;"_"&amp;$B149</f>
        <v>2003_Liberia</v>
      </c>
      <c r="D149" s="848">
        <v>108900000</v>
      </c>
      <c r="E149" s="848" t="s">
        <v>3088</v>
      </c>
      <c r="F149" s="848" t="s">
        <v>3088</v>
      </c>
      <c r="G149" s="848" t="str">
        <f t="shared" si="4"/>
        <v>..</v>
      </c>
      <c r="H149" s="848" t="str">
        <f t="shared" si="5"/>
        <v>..</v>
      </c>
      <c r="I149" s="848" t="s">
        <v>3088</v>
      </c>
      <c r="J149" s="848" t="s">
        <v>3088</v>
      </c>
      <c r="K149" s="848" t="s">
        <v>3088</v>
      </c>
    </row>
    <row r="150" spans="1:11">
      <c r="A150" s="848">
        <v>2003</v>
      </c>
      <c r="B150" s="848" t="s">
        <v>285</v>
      </c>
      <c r="C150" s="848" t="str">
        <f>$A150&amp;"_"&amp;$B150</f>
        <v>2003_Kyrgyz Republic</v>
      </c>
      <c r="D150" s="848">
        <v>581700000</v>
      </c>
      <c r="E150" s="848">
        <v>20.935584561472204</v>
      </c>
      <c r="F150" s="848">
        <v>5.6264593817354642</v>
      </c>
      <c r="G150" s="848">
        <f t="shared" si="4"/>
        <v>0.26562043943207669</v>
      </c>
      <c r="H150" s="848">
        <f t="shared" si="5"/>
        <v>154511409.61763901</v>
      </c>
      <c r="I150" s="848">
        <v>85.559650000000005</v>
      </c>
      <c r="J150" s="848">
        <v>96.693399999999997</v>
      </c>
      <c r="K150" s="848">
        <v>93.172060000000002</v>
      </c>
    </row>
    <row r="151" spans="1:11">
      <c r="A151" s="848">
        <v>2003</v>
      </c>
      <c r="B151" s="848" t="s">
        <v>195</v>
      </c>
      <c r="C151" s="848" t="str">
        <f>$A151&amp;"_"&amp;$B151</f>
        <v>2003_Ghana</v>
      </c>
      <c r="D151" s="848">
        <v>2324296000</v>
      </c>
      <c r="E151" s="848">
        <v>5.686883464634912E-2</v>
      </c>
      <c r="F151" s="848">
        <v>3.887712592102837</v>
      </c>
      <c r="G151" s="848">
        <f t="shared" si="4"/>
        <v>3.9445814267491858E-2</v>
      </c>
      <c r="H151" s="848">
        <f t="shared" si="5"/>
        <v>91683748.318674251</v>
      </c>
      <c r="I151" s="848">
        <v>64.2761</v>
      </c>
      <c r="J151" s="848">
        <v>80.102149999999995</v>
      </c>
      <c r="K151" s="848">
        <v>65.088930000000005</v>
      </c>
    </row>
    <row r="152" spans="1:11">
      <c r="A152" s="848">
        <v>2003</v>
      </c>
      <c r="B152" s="848" t="s">
        <v>219</v>
      </c>
      <c r="C152" s="848" t="str">
        <f>$A152&amp;"_"&amp;$B152</f>
        <v>2003_Guatemala</v>
      </c>
      <c r="D152" s="848">
        <v>4459400000</v>
      </c>
      <c r="E152" s="848">
        <v>8.2278900277996136</v>
      </c>
      <c r="F152" s="848">
        <v>0.38510660880910574</v>
      </c>
      <c r="G152" s="848">
        <f t="shared" si="4"/>
        <v>8.6129966366087204E-2</v>
      </c>
      <c r="H152" s="848">
        <f t="shared" si="5"/>
        <v>384087972.01292926</v>
      </c>
      <c r="I152" s="848" t="s">
        <v>3088</v>
      </c>
      <c r="J152" s="848" t="s">
        <v>3088</v>
      </c>
      <c r="K152" s="848" t="s">
        <v>3088</v>
      </c>
    </row>
    <row r="153" spans="1:11">
      <c r="A153" s="848">
        <v>2003</v>
      </c>
      <c r="B153" s="848" t="s">
        <v>3089</v>
      </c>
      <c r="C153" s="848" t="str">
        <f>$A153&amp;"_"&amp;$B153</f>
        <v>2003_Guinea</v>
      </c>
      <c r="D153" s="848">
        <v>609000000</v>
      </c>
      <c r="E153" s="848" t="s">
        <v>3088</v>
      </c>
      <c r="F153" s="848" t="s">
        <v>3088</v>
      </c>
      <c r="G153" s="848" t="str">
        <f t="shared" si="4"/>
        <v>..</v>
      </c>
      <c r="H153" s="848" t="str">
        <f t="shared" si="5"/>
        <v>..</v>
      </c>
      <c r="I153" s="848">
        <v>59.409019999999998</v>
      </c>
      <c r="J153" s="848">
        <v>73.952330000000003</v>
      </c>
      <c r="K153" s="848">
        <v>59.8491</v>
      </c>
    </row>
    <row r="154" spans="1:11">
      <c r="A154" s="848">
        <v>2003</v>
      </c>
      <c r="B154" s="848" t="s">
        <v>243</v>
      </c>
      <c r="C154" s="848" t="str">
        <f>$A154&amp;"_"&amp;$B154</f>
        <v>2003_Indonesia</v>
      </c>
      <c r="D154" s="848">
        <v>64108000000</v>
      </c>
      <c r="E154" s="848">
        <v>25.771400073339606</v>
      </c>
      <c r="F154" s="848">
        <v>5.7274911163704996</v>
      </c>
      <c r="G154" s="848">
        <f t="shared" si="4"/>
        <v>0.3149889118971011</v>
      </c>
      <c r="H154" s="848">
        <f t="shared" si="5"/>
        <v>20193309163.899357</v>
      </c>
      <c r="I154" s="848">
        <v>92.088570000000004</v>
      </c>
      <c r="J154" s="848">
        <v>111.27537</v>
      </c>
      <c r="K154" s="848">
        <v>96.467619999999997</v>
      </c>
    </row>
    <row r="155" spans="1:11">
      <c r="A155" s="848">
        <v>2003</v>
      </c>
      <c r="B155" s="848" t="s">
        <v>251</v>
      </c>
      <c r="C155" s="848" t="str">
        <f>$A155&amp;"_"&amp;$B155</f>
        <v>2003_Iraq</v>
      </c>
      <c r="D155" s="848">
        <v>9711000000</v>
      </c>
      <c r="E155" s="848" t="s">
        <v>3088</v>
      </c>
      <c r="F155" s="848" t="s">
        <v>3088</v>
      </c>
      <c r="G155" s="848" t="str">
        <f t="shared" si="4"/>
        <v>..</v>
      </c>
      <c r="H155" s="848" t="str">
        <f t="shared" si="5"/>
        <v>..</v>
      </c>
      <c r="I155" s="848">
        <v>93.781189999999995</v>
      </c>
      <c r="J155" s="848">
        <v>105.25788</v>
      </c>
      <c r="K155" s="848">
        <v>93.781189999999995</v>
      </c>
    </row>
    <row r="156" spans="1:11">
      <c r="A156" s="848">
        <v>2003</v>
      </c>
      <c r="B156" s="848" t="s">
        <v>280</v>
      </c>
      <c r="C156" s="848" t="str">
        <f>$A156&amp;"_"&amp;$B156</f>
        <v>2003_Kazakhstan</v>
      </c>
      <c r="D156" s="848">
        <v>12926700000</v>
      </c>
      <c r="E156" s="848">
        <v>61.841232161395546</v>
      </c>
      <c r="F156" s="848">
        <v>12.8906232733104</v>
      </c>
      <c r="G156" s="848">
        <f t="shared" si="4"/>
        <v>0.74731855434705952</v>
      </c>
      <c r="H156" s="848">
        <f t="shared" si="5"/>
        <v>9660362756.4781342</v>
      </c>
      <c r="I156" s="848">
        <v>91.805090000000007</v>
      </c>
      <c r="J156" s="848">
        <v>104.50801</v>
      </c>
      <c r="K156" s="848">
        <v>98.560230000000004</v>
      </c>
    </row>
    <row r="157" spans="1:11">
      <c r="A157" s="848">
        <v>2003</v>
      </c>
      <c r="B157" s="848" t="s">
        <v>316</v>
      </c>
      <c r="C157" s="848" t="str">
        <f>$A157&amp;"_"&amp;$B157</f>
        <v>2003_Madagascar</v>
      </c>
      <c r="D157" s="848">
        <v>856000000</v>
      </c>
      <c r="E157" s="848">
        <v>4.2810128475474016</v>
      </c>
      <c r="F157" s="848">
        <v>1.4122662195744553</v>
      </c>
      <c r="G157" s="848">
        <f t="shared" si="4"/>
        <v>5.6932790671218571E-2</v>
      </c>
      <c r="H157" s="848">
        <f t="shared" si="5"/>
        <v>48734468.814563096</v>
      </c>
      <c r="I157" s="848">
        <v>77.071330000000003</v>
      </c>
      <c r="J157" s="848">
        <v>117.26455</v>
      </c>
      <c r="K157" s="848">
        <v>77.434269999999998</v>
      </c>
    </row>
    <row r="158" spans="1:11">
      <c r="A158" s="848">
        <v>2003</v>
      </c>
      <c r="B158" s="848" t="s">
        <v>329</v>
      </c>
      <c r="C158" s="848" t="str">
        <f>$A158&amp;"_"&amp;$B158</f>
        <v>2003_Mali</v>
      </c>
      <c r="D158" s="848">
        <v>928000000</v>
      </c>
      <c r="E158" s="848">
        <v>1.3002190374297466</v>
      </c>
      <c r="F158" s="848">
        <v>7.3988153846613919E-2</v>
      </c>
      <c r="G158" s="848">
        <f t="shared" si="4"/>
        <v>1.3742071912763604E-2</v>
      </c>
      <c r="H158" s="848">
        <f t="shared" si="5"/>
        <v>12752642.735044625</v>
      </c>
      <c r="I158" s="848">
        <v>55.935400000000001</v>
      </c>
      <c r="J158" s="848">
        <v>73.393690000000007</v>
      </c>
      <c r="K158" s="848">
        <v>55.944130000000001</v>
      </c>
    </row>
    <row r="159" spans="1:11">
      <c r="A159" s="848">
        <v>2003</v>
      </c>
      <c r="B159" s="848" t="s">
        <v>345</v>
      </c>
      <c r="C159" s="848" t="str">
        <f>$A159&amp;"_"&amp;$B159</f>
        <v>2003_Mauritania</v>
      </c>
      <c r="D159" s="848">
        <v>318328267</v>
      </c>
      <c r="E159" s="848" t="s">
        <v>3088</v>
      </c>
      <c r="F159" s="848">
        <v>57.905225514937527</v>
      </c>
      <c r="G159" s="848" t="str">
        <f t="shared" si="4"/>
        <v>..</v>
      </c>
      <c r="H159" s="848" t="str">
        <f t="shared" si="5"/>
        <v>..</v>
      </c>
      <c r="I159" s="848">
        <v>65.257159999999999</v>
      </c>
      <c r="J159" s="848">
        <v>85.170739999999995</v>
      </c>
      <c r="K159" s="848">
        <v>65.538979999999995</v>
      </c>
    </row>
    <row r="160" spans="1:11">
      <c r="A160" s="848">
        <v>2003</v>
      </c>
      <c r="B160" s="848" t="s">
        <v>364</v>
      </c>
      <c r="C160" s="848" t="str">
        <f>$A160&amp;"_"&amp;$B160</f>
        <v>2003_Mongolia</v>
      </c>
      <c r="D160" s="848">
        <v>615900000</v>
      </c>
      <c r="E160" s="848">
        <v>2.9158524888856352</v>
      </c>
      <c r="F160" s="848">
        <v>43.050060265206575</v>
      </c>
      <c r="G160" s="848">
        <f t="shared" si="4"/>
        <v>0.45965912754092209</v>
      </c>
      <c r="H160" s="848">
        <f t="shared" si="5"/>
        <v>283104056.6524539</v>
      </c>
      <c r="I160" s="848">
        <v>82.563879999999997</v>
      </c>
      <c r="J160" s="848">
        <v>105.40457000000001</v>
      </c>
      <c r="K160" s="848">
        <v>85.969229999999996</v>
      </c>
    </row>
    <row r="161" spans="1:11">
      <c r="A161" s="848">
        <v>2003</v>
      </c>
      <c r="B161" s="848" t="s">
        <v>394</v>
      </c>
      <c r="C161" s="848" t="str">
        <f>$A161&amp;"_"&amp;$B161</f>
        <v>2003_Niger</v>
      </c>
      <c r="D161" s="848">
        <v>352000000</v>
      </c>
      <c r="E161" s="848">
        <v>1.4547609069161622</v>
      </c>
      <c r="F161" s="848">
        <v>50.257518215531626</v>
      </c>
      <c r="G161" s="848">
        <f t="shared" si="4"/>
        <v>0.51712279122447791</v>
      </c>
      <c r="H161" s="848">
        <f t="shared" si="5"/>
        <v>182027222.51101622</v>
      </c>
      <c r="I161" s="848">
        <v>38.909750000000003</v>
      </c>
      <c r="J161" s="848">
        <v>44.318510000000003</v>
      </c>
      <c r="K161" s="848">
        <v>39.239660000000001</v>
      </c>
    </row>
    <row r="162" spans="1:11">
      <c r="A162" s="848">
        <v>2003</v>
      </c>
      <c r="B162" s="848" t="s">
        <v>413</v>
      </c>
      <c r="C162" s="848" t="str">
        <f>$A162&amp;"_"&amp;$B162</f>
        <v>2003_Nigeria</v>
      </c>
      <c r="D162" s="848">
        <v>24031000000</v>
      </c>
      <c r="E162" s="848">
        <v>97.896615554941334</v>
      </c>
      <c r="F162" s="848">
        <v>2.8439888483900722E-3</v>
      </c>
      <c r="G162" s="848">
        <f t="shared" si="4"/>
        <v>0.97899459543789713</v>
      </c>
      <c r="H162" s="848">
        <f t="shared" si="5"/>
        <v>23526219122.968105</v>
      </c>
      <c r="I162" s="848" t="s">
        <v>3088</v>
      </c>
      <c r="J162" s="848" t="s">
        <v>3088</v>
      </c>
      <c r="K162" s="848" t="s">
        <v>3088</v>
      </c>
    </row>
    <row r="163" spans="1:11">
      <c r="A163" s="848">
        <v>2003</v>
      </c>
      <c r="B163" s="848" t="s">
        <v>436</v>
      </c>
      <c r="C163" s="848" t="str">
        <f>$A163&amp;"_"&amp;$B163</f>
        <v>2003_Norway</v>
      </c>
      <c r="D163" s="848">
        <v>68321000000</v>
      </c>
      <c r="E163" s="848">
        <v>61.175919803826318</v>
      </c>
      <c r="F163" s="848">
        <v>6.6513940912505713</v>
      </c>
      <c r="G163" s="848">
        <f t="shared" si="4"/>
        <v>0.67827313895076879</v>
      </c>
      <c r="H163" s="848">
        <f t="shared" si="5"/>
        <v>46340299126.255478</v>
      </c>
      <c r="I163" s="848">
        <v>99.855739999999997</v>
      </c>
      <c r="J163" s="848">
        <v>100.0731</v>
      </c>
      <c r="K163" s="848">
        <v>99.855739999999997</v>
      </c>
    </row>
    <row r="164" spans="1:11">
      <c r="A164" s="848">
        <v>2003</v>
      </c>
      <c r="B164" s="848" t="s">
        <v>449</v>
      </c>
      <c r="C164" s="848" t="str">
        <f>$A164&amp;"_"&amp;$B164</f>
        <v>2003_Peru</v>
      </c>
      <c r="D164" s="848">
        <v>9090730000</v>
      </c>
      <c r="E164" s="848">
        <v>9.5884442838831507</v>
      </c>
      <c r="F164" s="848">
        <v>39.878427280784763</v>
      </c>
      <c r="G164" s="848">
        <f t="shared" si="4"/>
        <v>0.49466871564667914</v>
      </c>
      <c r="H164" s="848">
        <f t="shared" si="5"/>
        <v>4496899733.3907356</v>
      </c>
      <c r="I164" s="848">
        <v>99.892319999999998</v>
      </c>
      <c r="J164" s="848">
        <v>117.7088</v>
      </c>
      <c r="K164" s="848">
        <v>99.892319999999998</v>
      </c>
    </row>
    <row r="165" spans="1:11">
      <c r="A165" s="848">
        <v>2003</v>
      </c>
      <c r="B165" s="848" t="s">
        <v>488</v>
      </c>
      <c r="C165" s="848" t="str">
        <f>$A165&amp;"_"&amp;$B165</f>
        <v>2003_Sierra Leone</v>
      </c>
      <c r="D165" s="848">
        <v>92251000</v>
      </c>
      <c r="E165" s="848" t="s">
        <v>3088</v>
      </c>
      <c r="F165" s="848" t="s">
        <v>3088</v>
      </c>
      <c r="G165" s="848" t="str">
        <f t="shared" si="4"/>
        <v>..</v>
      </c>
      <c r="H165" s="848" t="str">
        <f t="shared" si="5"/>
        <v>..</v>
      </c>
      <c r="I165" s="848" t="s">
        <v>3088</v>
      </c>
      <c r="J165" s="848" t="s">
        <v>3088</v>
      </c>
      <c r="K165" s="848" t="s">
        <v>3088</v>
      </c>
    </row>
    <row r="166" spans="1:11">
      <c r="A166" s="848">
        <v>2003</v>
      </c>
      <c r="B166" s="848" t="s">
        <v>499</v>
      </c>
      <c r="C166" s="848" t="str">
        <f>$A166&amp;"_"&amp;$B166</f>
        <v>2003_Tanzania</v>
      </c>
      <c r="D166" s="848">
        <v>1216100000</v>
      </c>
      <c r="E166" s="848">
        <v>9.5802246718611345E-2</v>
      </c>
      <c r="F166" s="848">
        <v>10.147862107913799</v>
      </c>
      <c r="G166" s="848">
        <f t="shared" si="4"/>
        <v>0.10243664354632409</v>
      </c>
      <c r="H166" s="848">
        <f t="shared" si="5"/>
        <v>124573202.21668473</v>
      </c>
      <c r="I166" s="848">
        <v>81.486130000000003</v>
      </c>
      <c r="J166" s="848">
        <v>95.645129999999995</v>
      </c>
      <c r="K166" s="848">
        <v>81.544479999999993</v>
      </c>
    </row>
    <row r="167" spans="1:11">
      <c r="A167" s="848">
        <v>2003</v>
      </c>
      <c r="B167" s="848" t="s">
        <v>3090</v>
      </c>
      <c r="C167" s="848" t="str">
        <f>$A167&amp;"_"&amp;$B167</f>
        <v>2003_Timor-Leste</v>
      </c>
      <c r="D167" s="848">
        <v>8000000</v>
      </c>
      <c r="E167" s="848" t="s">
        <v>3088</v>
      </c>
      <c r="F167" s="848" t="s">
        <v>3088</v>
      </c>
      <c r="G167" s="848" t="str">
        <f t="shared" si="4"/>
        <v>..</v>
      </c>
      <c r="H167" s="848" t="str">
        <f t="shared" si="5"/>
        <v>..</v>
      </c>
      <c r="I167" s="848" t="s">
        <v>3088</v>
      </c>
      <c r="J167" s="848">
        <v>107.81766</v>
      </c>
      <c r="K167" s="848" t="s">
        <v>3088</v>
      </c>
    </row>
    <row r="168" spans="1:11">
      <c r="A168" s="848">
        <v>2003</v>
      </c>
      <c r="B168" s="848" t="s">
        <v>517</v>
      </c>
      <c r="C168" s="848" t="str">
        <f>$A168&amp;"_"&amp;$B168</f>
        <v>2003_Togo</v>
      </c>
      <c r="D168" s="848">
        <v>598000000</v>
      </c>
      <c r="E168" s="848">
        <v>0.34627717618674803</v>
      </c>
      <c r="F168" s="848">
        <v>9.2413606692598851</v>
      </c>
      <c r="G168" s="848">
        <f t="shared" si="4"/>
        <v>9.5876378454466324E-2</v>
      </c>
      <c r="H168" s="848">
        <f t="shared" si="5"/>
        <v>57334074.315770864</v>
      </c>
      <c r="I168" s="848">
        <v>86.3035</v>
      </c>
      <c r="J168" s="848">
        <v>114.74406999999999</v>
      </c>
      <c r="K168" s="848">
        <v>88.875720000000001</v>
      </c>
    </row>
    <row r="169" spans="1:11">
      <c r="A169" s="848">
        <v>2003</v>
      </c>
      <c r="B169" s="848" t="s">
        <v>3091</v>
      </c>
      <c r="C169" s="848" t="str">
        <f>$A169&amp;"_"&amp;$B169</f>
        <v>2003_Trinidad and Tobago</v>
      </c>
      <c r="D169" s="848">
        <v>5177610000</v>
      </c>
      <c r="E169" s="848">
        <v>61.892351296618067</v>
      </c>
      <c r="F169" s="848">
        <v>0.1909211316437894</v>
      </c>
      <c r="G169" s="848">
        <f t="shared" si="4"/>
        <v>0.6208327242826186</v>
      </c>
      <c r="H169" s="848">
        <f t="shared" si="5"/>
        <v>3214429721.5729289</v>
      </c>
      <c r="I169" s="848">
        <v>90.993729999999999</v>
      </c>
      <c r="J169" s="848">
        <v>100.53892</v>
      </c>
      <c r="K169" s="848">
        <v>95.938119999999998</v>
      </c>
    </row>
    <row r="170" spans="1:11">
      <c r="A170" s="848">
        <v>2003</v>
      </c>
      <c r="B170" s="848" t="s">
        <v>3092</v>
      </c>
      <c r="C170" s="848" t="str">
        <f>$A170&amp;"_"&amp;$B170</f>
        <v>2003_Yemen, Rep.</v>
      </c>
      <c r="D170" s="848">
        <v>3732857000</v>
      </c>
      <c r="E170" s="848">
        <v>89.542941422421279</v>
      </c>
      <c r="F170" s="848">
        <v>7.439244464014147E-2</v>
      </c>
      <c r="G170" s="848">
        <f t="shared" si="4"/>
        <v>0.89617333867061422</v>
      </c>
      <c r="H170" s="848">
        <f t="shared" si="5"/>
        <v>3345286920.4699731</v>
      </c>
      <c r="I170" s="848">
        <v>71.946420000000003</v>
      </c>
      <c r="J170" s="848">
        <v>83.631619999999998</v>
      </c>
      <c r="K170" s="848">
        <v>72.424160000000001</v>
      </c>
    </row>
    <row r="171" spans="1:11">
      <c r="A171" s="848">
        <v>2003</v>
      </c>
      <c r="B171" s="848" t="s">
        <v>541</v>
      </c>
      <c r="C171" s="848" t="str">
        <f>$A171&amp;"_"&amp;$B171</f>
        <v>2003_Zambia</v>
      </c>
      <c r="D171" s="848">
        <v>980445000</v>
      </c>
      <c r="E171" s="848">
        <v>1.3934051913843226</v>
      </c>
      <c r="F171" s="848">
        <v>67.513395523272933</v>
      </c>
      <c r="G171" s="848">
        <f t="shared" si="4"/>
        <v>0.68906800714657246</v>
      </c>
      <c r="H171" s="848">
        <f t="shared" si="5"/>
        <v>675593282.26682127</v>
      </c>
      <c r="I171" s="848" t="s">
        <v>3088</v>
      </c>
      <c r="J171" s="848" t="s">
        <v>3088</v>
      </c>
      <c r="K171" s="848" t="s">
        <v>3088</v>
      </c>
    </row>
    <row r="172" spans="1:11">
      <c r="A172" s="848">
        <v>2004</v>
      </c>
      <c r="B172" s="848" t="s">
        <v>21</v>
      </c>
      <c r="C172" s="848" t="str">
        <f>$A172&amp;"_"&amp;$B172</f>
        <v>2004_Afghanistan</v>
      </c>
      <c r="D172" s="848">
        <v>305000000</v>
      </c>
      <c r="E172" s="848" t="s">
        <v>3088</v>
      </c>
      <c r="F172" s="848" t="s">
        <v>3088</v>
      </c>
      <c r="G172" s="848" t="str">
        <f t="shared" si="4"/>
        <v>..</v>
      </c>
      <c r="H172" s="848" t="str">
        <f t="shared" si="5"/>
        <v>..</v>
      </c>
      <c r="I172" s="848" t="s">
        <v>3088</v>
      </c>
      <c r="J172" s="848">
        <v>104.87988</v>
      </c>
      <c r="K172" s="848" t="s">
        <v>3088</v>
      </c>
    </row>
    <row r="173" spans="1:11">
      <c r="A173" s="848">
        <v>2004</v>
      </c>
      <c r="B173" s="848" t="s">
        <v>38</v>
      </c>
      <c r="C173" s="848" t="str">
        <f>$A173&amp;"_"&amp;$B173</f>
        <v>2004_Albania</v>
      </c>
      <c r="D173" s="848">
        <v>605400000</v>
      </c>
      <c r="E173" s="848">
        <v>2.6277119080707485</v>
      </c>
      <c r="F173" s="848">
        <v>5.5223065911210156</v>
      </c>
      <c r="G173" s="848">
        <f t="shared" si="4"/>
        <v>8.1500184991917649E-2</v>
      </c>
      <c r="H173" s="848">
        <f t="shared" si="5"/>
        <v>49340211.994106941</v>
      </c>
      <c r="I173" s="848" t="s">
        <v>3088</v>
      </c>
      <c r="J173" s="848" t="s">
        <v>3088</v>
      </c>
      <c r="K173" s="848" t="s">
        <v>3088</v>
      </c>
    </row>
    <row r="174" spans="1:11">
      <c r="A174" s="848">
        <v>2004</v>
      </c>
      <c r="B174" s="848" t="s">
        <v>53</v>
      </c>
      <c r="C174" s="848" t="str">
        <f>$A174&amp;"_"&amp;$B174</f>
        <v>2004_Azerbaijan</v>
      </c>
      <c r="D174" s="848">
        <v>3615400000</v>
      </c>
      <c r="E174" s="848">
        <v>82.215961062484965</v>
      </c>
      <c r="F174" s="848">
        <v>1.4202708226380816</v>
      </c>
      <c r="G174" s="848">
        <f t="shared" si="4"/>
        <v>0.83636231885123058</v>
      </c>
      <c r="H174" s="848">
        <f t="shared" si="5"/>
        <v>3023784327.574739</v>
      </c>
      <c r="I174" s="848">
        <v>84.212280000000007</v>
      </c>
      <c r="J174" s="848">
        <v>97.261330000000001</v>
      </c>
      <c r="K174" s="848">
        <v>84.283259999999999</v>
      </c>
    </row>
    <row r="175" spans="1:11">
      <c r="A175" s="848">
        <v>2004</v>
      </c>
      <c r="B175" s="848" t="s">
        <v>98</v>
      </c>
      <c r="C175" s="848" t="str">
        <f>$A175&amp;"_"&amp;$B175</f>
        <v>2004_Burkina Faso</v>
      </c>
      <c r="D175" s="848">
        <v>479287000</v>
      </c>
      <c r="E175" s="848">
        <v>4.4905842944844419E-2</v>
      </c>
      <c r="F175" s="848">
        <v>0.15241036785129192</v>
      </c>
      <c r="G175" s="848">
        <f t="shared" si="4"/>
        <v>1.9731621079613635E-3</v>
      </c>
      <c r="H175" s="848">
        <f t="shared" si="5"/>
        <v>945710.94723847799</v>
      </c>
      <c r="I175" s="848">
        <v>41.140929999999997</v>
      </c>
      <c r="J175" s="848">
        <v>53.863930000000003</v>
      </c>
      <c r="K175" s="848">
        <v>41.896529999999998</v>
      </c>
    </row>
    <row r="176" spans="1:11">
      <c r="A176" s="848">
        <v>2004</v>
      </c>
      <c r="B176" s="848" t="s">
        <v>101</v>
      </c>
      <c r="C176" s="848" t="str">
        <f>$A176&amp;"_"&amp;$B176</f>
        <v>2004_Cameroon</v>
      </c>
      <c r="D176" s="848">
        <v>2476762000</v>
      </c>
      <c r="E176" s="848">
        <v>46.685036230435919</v>
      </c>
      <c r="F176" s="848">
        <v>5.0618780383916011</v>
      </c>
      <c r="G176" s="848">
        <f t="shared" si="4"/>
        <v>0.51746914268827526</v>
      </c>
      <c r="H176" s="848">
        <f t="shared" si="5"/>
        <v>1281647908.7828979</v>
      </c>
      <c r="I176" s="848" t="s">
        <v>3088</v>
      </c>
      <c r="J176" s="848">
        <v>102.21165999999999</v>
      </c>
      <c r="K176" s="848" t="s">
        <v>3088</v>
      </c>
    </row>
    <row r="177" spans="1:11">
      <c r="A177" s="848">
        <v>2004</v>
      </c>
      <c r="B177" s="848" t="s">
        <v>127</v>
      </c>
      <c r="C177" s="848" t="str">
        <f>$A177&amp;"_"&amp;$B177</f>
        <v>2004_Central African Republic</v>
      </c>
      <c r="D177" s="848">
        <v>133829278</v>
      </c>
      <c r="E177" s="848">
        <v>0.18329670096920042</v>
      </c>
      <c r="F177" s="848">
        <v>36.822173893972739</v>
      </c>
      <c r="G177" s="848">
        <f t="shared" si="4"/>
        <v>0.37005470594941942</v>
      </c>
      <c r="H177" s="848">
        <f t="shared" si="5"/>
        <v>49524154.117713101</v>
      </c>
      <c r="I177" s="848" t="s">
        <v>3088</v>
      </c>
      <c r="J177" s="848">
        <v>59.82873</v>
      </c>
      <c r="K177" s="848" t="s">
        <v>3088</v>
      </c>
    </row>
    <row r="178" spans="1:11">
      <c r="A178" s="848">
        <v>2004</v>
      </c>
      <c r="B178" s="848" t="s">
        <v>138</v>
      </c>
      <c r="C178" s="848" t="str">
        <f>$A178&amp;"_"&amp;$B178</f>
        <v>2004_Chad</v>
      </c>
      <c r="D178" s="848">
        <v>2191000000</v>
      </c>
      <c r="E178" s="848" t="s">
        <v>3088</v>
      </c>
      <c r="F178" s="848" t="s">
        <v>3088</v>
      </c>
      <c r="G178" s="848" t="str">
        <f t="shared" si="4"/>
        <v>..</v>
      </c>
      <c r="H178" s="848" t="str">
        <f t="shared" si="5"/>
        <v>..</v>
      </c>
      <c r="I178" s="848" t="s">
        <v>3088</v>
      </c>
      <c r="J178" s="848">
        <v>75.513419999999996</v>
      </c>
      <c r="K178" s="848" t="s">
        <v>3088</v>
      </c>
    </row>
    <row r="179" spans="1:11">
      <c r="A179" s="848">
        <v>2004</v>
      </c>
      <c r="B179" s="848" t="s">
        <v>3815</v>
      </c>
      <c r="C179" s="848" t="str">
        <f>$A179&amp;"_"&amp;$B179</f>
        <v>2004_Congo, Dem. Rep.</v>
      </c>
      <c r="D179" s="848">
        <v>1917200000</v>
      </c>
      <c r="E179" s="848" t="s">
        <v>3088</v>
      </c>
      <c r="F179" s="848" t="s">
        <v>3088</v>
      </c>
      <c r="G179" s="848" t="str">
        <f t="shared" si="4"/>
        <v>..</v>
      </c>
      <c r="H179" s="848" t="str">
        <f t="shared" si="5"/>
        <v>..</v>
      </c>
      <c r="I179" s="848" t="s">
        <v>3088</v>
      </c>
      <c r="J179" s="848" t="s">
        <v>3088</v>
      </c>
      <c r="K179" s="848" t="s">
        <v>3088</v>
      </c>
    </row>
    <row r="180" spans="1:11">
      <c r="A180" s="848">
        <v>2004</v>
      </c>
      <c r="B180" s="848" t="s">
        <v>3814</v>
      </c>
      <c r="C180" s="848" t="str">
        <f>$A180&amp;"_"&amp;$B180</f>
        <v>2004_Congo, Rep.</v>
      </c>
      <c r="D180" s="848">
        <v>3433000000</v>
      </c>
      <c r="E180" s="848" t="s">
        <v>3088</v>
      </c>
      <c r="F180" s="848" t="s">
        <v>3088</v>
      </c>
      <c r="G180" s="848" t="str">
        <f t="shared" si="4"/>
        <v>..</v>
      </c>
      <c r="H180" s="848" t="str">
        <f t="shared" si="5"/>
        <v>..</v>
      </c>
      <c r="I180" s="848" t="s">
        <v>3088</v>
      </c>
      <c r="J180" s="848">
        <v>111.21366999999999</v>
      </c>
      <c r="K180" s="848" t="s">
        <v>3088</v>
      </c>
    </row>
    <row r="181" spans="1:11">
      <c r="A181" s="848">
        <v>2004</v>
      </c>
      <c r="B181" s="848" t="s">
        <v>188</v>
      </c>
      <c r="C181" s="848" t="str">
        <f>$A181&amp;"_"&amp;$B181</f>
        <v>2004_Equatorial Guinea</v>
      </c>
      <c r="D181" s="848">
        <v>4598843000</v>
      </c>
      <c r="E181" s="848" t="s">
        <v>3088</v>
      </c>
      <c r="F181" s="848" t="s">
        <v>3088</v>
      </c>
      <c r="G181" s="848" t="str">
        <f t="shared" si="4"/>
        <v>..</v>
      </c>
      <c r="H181" s="848" t="str">
        <f t="shared" si="5"/>
        <v>..</v>
      </c>
      <c r="I181" s="848" t="s">
        <v>3088</v>
      </c>
      <c r="J181" s="848" t="s">
        <v>3088</v>
      </c>
      <c r="K181" s="848" t="s">
        <v>3088</v>
      </c>
    </row>
    <row r="182" spans="1:11">
      <c r="A182" s="848">
        <v>2004</v>
      </c>
      <c r="B182" s="848" t="s">
        <v>191</v>
      </c>
      <c r="C182" s="848" t="str">
        <f>$A182&amp;"_"&amp;$B182</f>
        <v>2004_Gabon</v>
      </c>
      <c r="D182" s="848">
        <v>3727628080</v>
      </c>
      <c r="E182" s="848">
        <v>76.183910694555763</v>
      </c>
      <c r="F182" s="848">
        <v>5.5084367041386137</v>
      </c>
      <c r="G182" s="848">
        <f t="shared" si="4"/>
        <v>0.81692347398694376</v>
      </c>
      <c r="H182" s="848">
        <f t="shared" si="5"/>
        <v>3045186880.8448811</v>
      </c>
      <c r="I182" s="848" t="s">
        <v>3088</v>
      </c>
      <c r="J182" s="848" t="s">
        <v>3088</v>
      </c>
      <c r="K182" s="848" t="s">
        <v>3088</v>
      </c>
    </row>
    <row r="183" spans="1:11">
      <c r="A183" s="848">
        <v>2004</v>
      </c>
      <c r="B183" s="848" t="s">
        <v>301</v>
      </c>
      <c r="C183" s="848" t="str">
        <f>$A183&amp;"_"&amp;$B183</f>
        <v>2004_Liberia</v>
      </c>
      <c r="D183" s="848">
        <v>103800000</v>
      </c>
      <c r="E183" s="848" t="s">
        <v>3088</v>
      </c>
      <c r="F183" s="848" t="s">
        <v>3088</v>
      </c>
      <c r="G183" s="848" t="str">
        <f t="shared" si="4"/>
        <v>..</v>
      </c>
      <c r="H183" s="848" t="str">
        <f t="shared" si="5"/>
        <v>..</v>
      </c>
      <c r="I183" s="848" t="s">
        <v>3088</v>
      </c>
      <c r="J183" s="848" t="s">
        <v>3088</v>
      </c>
      <c r="K183" s="848" t="s">
        <v>3088</v>
      </c>
    </row>
    <row r="184" spans="1:11">
      <c r="A184" s="848">
        <v>2004</v>
      </c>
      <c r="B184" s="848" t="s">
        <v>285</v>
      </c>
      <c r="C184" s="848" t="str">
        <f>$A184&amp;"_"&amp;$B184</f>
        <v>2004_Kyrgyz Republic</v>
      </c>
      <c r="D184" s="848">
        <v>718800000</v>
      </c>
      <c r="E184" s="848">
        <v>18.835434982661194</v>
      </c>
      <c r="F184" s="848">
        <v>7.3114810212594055</v>
      </c>
      <c r="G184" s="848">
        <f t="shared" si="4"/>
        <v>0.26146916003920601</v>
      </c>
      <c r="H184" s="848">
        <f t="shared" si="5"/>
        <v>187944032.23618129</v>
      </c>
      <c r="I184" s="848">
        <v>90.172269999999997</v>
      </c>
      <c r="J184" s="848">
        <v>98.093389999999999</v>
      </c>
      <c r="K184" s="848">
        <v>97.889880000000005</v>
      </c>
    </row>
    <row r="185" spans="1:11">
      <c r="A185" s="848">
        <v>2004</v>
      </c>
      <c r="B185" s="848" t="s">
        <v>195</v>
      </c>
      <c r="C185" s="848" t="str">
        <f>$A185&amp;"_"&amp;$B185</f>
        <v>2004_Ghana</v>
      </c>
      <c r="D185" s="848">
        <v>2450000000</v>
      </c>
      <c r="E185" s="848" t="s">
        <v>3088</v>
      </c>
      <c r="F185" s="848" t="s">
        <v>3088</v>
      </c>
      <c r="G185" s="848" t="str">
        <f t="shared" si="4"/>
        <v>..</v>
      </c>
      <c r="H185" s="848" t="str">
        <f t="shared" si="5"/>
        <v>..</v>
      </c>
      <c r="I185" s="848">
        <v>59.617249999999999</v>
      </c>
      <c r="J185" s="848">
        <v>83.806799999999996</v>
      </c>
      <c r="K185" s="848">
        <v>60.50224</v>
      </c>
    </row>
    <row r="186" spans="1:11">
      <c r="A186" s="848">
        <v>2004</v>
      </c>
      <c r="B186" s="848" t="s">
        <v>219</v>
      </c>
      <c r="C186" s="848" t="str">
        <f>$A186&amp;"_"&amp;$B186</f>
        <v>2004_Guatemala</v>
      </c>
      <c r="D186" s="848">
        <v>5036400000</v>
      </c>
      <c r="E186" s="848">
        <v>8.2869357157436809</v>
      </c>
      <c r="F186" s="848">
        <v>0.49881368530456244</v>
      </c>
      <c r="G186" s="848">
        <f t="shared" si="4"/>
        <v>8.7857494010482429E-2</v>
      </c>
      <c r="H186" s="848">
        <f t="shared" si="5"/>
        <v>442485482.83439368</v>
      </c>
      <c r="I186" s="848">
        <v>92.415350000000004</v>
      </c>
      <c r="J186" s="848">
        <v>112.44970000000001</v>
      </c>
      <c r="K186" s="848">
        <v>93.858199999999997</v>
      </c>
    </row>
    <row r="187" spans="1:11">
      <c r="A187" s="848">
        <v>2004</v>
      </c>
      <c r="B187" s="848" t="s">
        <v>3089</v>
      </c>
      <c r="C187" s="848" t="str">
        <f>$A187&amp;"_"&amp;$B187</f>
        <v>2004_Guinea</v>
      </c>
      <c r="D187" s="848">
        <v>744230000</v>
      </c>
      <c r="E187" s="848">
        <v>0.26828433251140954</v>
      </c>
      <c r="F187" s="848">
        <v>77.618388165773538</v>
      </c>
      <c r="G187" s="848">
        <f t="shared" si="4"/>
        <v>0.77886672498284948</v>
      </c>
      <c r="H187" s="848">
        <f t="shared" si="5"/>
        <v>579655982.73398602</v>
      </c>
      <c r="I187" s="848">
        <v>62.590130000000002</v>
      </c>
      <c r="J187" s="848">
        <v>77.596999999999994</v>
      </c>
      <c r="K187" s="848">
        <v>63.078279999999999</v>
      </c>
    </row>
    <row r="188" spans="1:11">
      <c r="A188" s="848">
        <v>2004</v>
      </c>
      <c r="B188" s="848" t="s">
        <v>243</v>
      </c>
      <c r="C188" s="848" t="str">
        <f>$A188&amp;"_"&amp;$B188</f>
        <v>2004_Indonesia</v>
      </c>
      <c r="D188" s="848">
        <v>70766610000</v>
      </c>
      <c r="E188" s="848">
        <v>25.799477522207791</v>
      </c>
      <c r="F188" s="848">
        <v>6.4345005423948471</v>
      </c>
      <c r="G188" s="848">
        <f t="shared" si="4"/>
        <v>0.32233978064602636</v>
      </c>
      <c r="H188" s="848">
        <f t="shared" si="5"/>
        <v>22810893544.462894</v>
      </c>
      <c r="I188" s="848">
        <v>91.206339999999997</v>
      </c>
      <c r="J188" s="848">
        <v>110.71783000000001</v>
      </c>
      <c r="K188" s="848">
        <v>95.743610000000004</v>
      </c>
    </row>
    <row r="189" spans="1:11">
      <c r="A189" s="848">
        <v>2004</v>
      </c>
      <c r="B189" s="848" t="s">
        <v>251</v>
      </c>
      <c r="C189" s="848" t="str">
        <f>$A189&amp;"_"&amp;$B189</f>
        <v>2004_Iraq</v>
      </c>
      <c r="D189" s="848">
        <v>17810000000</v>
      </c>
      <c r="E189" s="848">
        <v>96.031832048607228</v>
      </c>
      <c r="F189" s="848">
        <v>2.2713330200377115E-2</v>
      </c>
      <c r="G189" s="848">
        <f t="shared" si="4"/>
        <v>0.96054545378807599</v>
      </c>
      <c r="H189" s="848">
        <f t="shared" si="5"/>
        <v>17107314531.965633</v>
      </c>
      <c r="I189" s="848">
        <v>92.461209999999994</v>
      </c>
      <c r="J189" s="848">
        <v>103.77634</v>
      </c>
      <c r="K189" s="848">
        <v>92.461209999999994</v>
      </c>
    </row>
    <row r="190" spans="1:11">
      <c r="A190" s="848">
        <v>2004</v>
      </c>
      <c r="B190" s="848" t="s">
        <v>280</v>
      </c>
      <c r="C190" s="848" t="str">
        <f>$A190&amp;"_"&amp;$B190</f>
        <v>2004_Kazakhstan</v>
      </c>
      <c r="D190" s="848">
        <v>20093100000</v>
      </c>
      <c r="E190" s="848">
        <v>64.843126733242201</v>
      </c>
      <c r="F190" s="848">
        <v>14.03141389487374</v>
      </c>
      <c r="G190" s="848">
        <f t="shared" si="4"/>
        <v>0.78874540628115941</v>
      </c>
      <c r="H190" s="848">
        <f t="shared" si="5"/>
        <v>15848340322.947964</v>
      </c>
      <c r="I190" s="848">
        <v>92.422799999999995</v>
      </c>
      <c r="J190" s="848">
        <v>105.22275</v>
      </c>
      <c r="K190" s="848">
        <v>98.705569999999994</v>
      </c>
    </row>
    <row r="191" spans="1:11">
      <c r="A191" s="848">
        <v>2004</v>
      </c>
      <c r="B191" s="848" t="s">
        <v>316</v>
      </c>
      <c r="C191" s="848" t="str">
        <f>$A191&amp;"_"&amp;$B191</f>
        <v>2004_Madagascar</v>
      </c>
      <c r="D191" s="848">
        <v>991613000</v>
      </c>
      <c r="E191" s="848">
        <v>1.7857751871216996</v>
      </c>
      <c r="F191" s="848">
        <v>2.4911953230906692</v>
      </c>
      <c r="G191" s="848">
        <f t="shared" si="4"/>
        <v>4.276970510212369E-2</v>
      </c>
      <c r="H191" s="848">
        <f t="shared" si="5"/>
        <v>42410995.585432179</v>
      </c>
      <c r="I191" s="848" t="s">
        <v>3088</v>
      </c>
      <c r="J191" s="848">
        <v>133.66206</v>
      </c>
      <c r="K191" s="848" t="s">
        <v>3088</v>
      </c>
    </row>
    <row r="192" spans="1:11">
      <c r="A192" s="848">
        <v>2004</v>
      </c>
      <c r="B192" s="848" t="s">
        <v>329</v>
      </c>
      <c r="C192" s="848" t="str">
        <f>$A192&amp;"_"&amp;$B192</f>
        <v>2004_Mali</v>
      </c>
      <c r="D192" s="848">
        <v>976433000</v>
      </c>
      <c r="E192" s="848">
        <v>0.76755771634745251</v>
      </c>
      <c r="F192" s="848">
        <v>0.1116942552713721</v>
      </c>
      <c r="G192" s="848">
        <f t="shared" si="4"/>
        <v>8.7925197161882462E-3</v>
      </c>
      <c r="H192" s="848">
        <f t="shared" si="5"/>
        <v>8585306.4040368386</v>
      </c>
      <c r="I192" s="848">
        <v>55.964390000000002</v>
      </c>
      <c r="J192" s="848">
        <v>76.731449999999995</v>
      </c>
      <c r="K192" s="848">
        <v>55.964390000000002</v>
      </c>
    </row>
    <row r="193" spans="1:11">
      <c r="A193" s="848">
        <v>2004</v>
      </c>
      <c r="B193" s="848" t="s">
        <v>345</v>
      </c>
      <c r="C193" s="848" t="str">
        <f>$A193&amp;"_"&amp;$B193</f>
        <v>2004_Mauritania</v>
      </c>
      <c r="D193" s="848">
        <v>439609758</v>
      </c>
      <c r="E193" s="848" t="s">
        <v>3088</v>
      </c>
      <c r="F193" s="848">
        <v>59.826749472719243</v>
      </c>
      <c r="G193" s="848" t="str">
        <f t="shared" si="4"/>
        <v>..</v>
      </c>
      <c r="H193" s="848" t="str">
        <f t="shared" si="5"/>
        <v>..</v>
      </c>
      <c r="I193" s="848">
        <v>72.198329999999999</v>
      </c>
      <c r="J193" s="848">
        <v>91.483369999999994</v>
      </c>
      <c r="K193" s="848">
        <v>72.413880000000006</v>
      </c>
    </row>
    <row r="194" spans="1:11">
      <c r="A194" s="848">
        <v>2004</v>
      </c>
      <c r="B194" s="848" t="s">
        <v>364</v>
      </c>
      <c r="C194" s="848" t="str">
        <f>$A194&amp;"_"&amp;$B194</f>
        <v>2004_Mongolia</v>
      </c>
      <c r="D194" s="848">
        <v>869700000</v>
      </c>
      <c r="E194" s="848">
        <v>4.0919892394688224</v>
      </c>
      <c r="F194" s="848">
        <v>54.480562619488047</v>
      </c>
      <c r="G194" s="848">
        <f t="shared" si="4"/>
        <v>0.58572551858956867</v>
      </c>
      <c r="H194" s="848">
        <f t="shared" si="5"/>
        <v>509405483.51734787</v>
      </c>
      <c r="I194" s="848">
        <v>87.439580000000007</v>
      </c>
      <c r="J194" s="848">
        <v>108.52431</v>
      </c>
      <c r="K194" s="848">
        <v>92.843459999999993</v>
      </c>
    </row>
    <row r="195" spans="1:11">
      <c r="A195" s="848">
        <v>2004</v>
      </c>
      <c r="B195" s="848" t="s">
        <v>394</v>
      </c>
      <c r="C195" s="848" t="str">
        <f>$A195&amp;"_"&amp;$B195</f>
        <v>2004_Niger</v>
      </c>
      <c r="D195" s="848">
        <v>437000000</v>
      </c>
      <c r="E195" s="848">
        <v>2.36683825549001</v>
      </c>
      <c r="F195" s="848">
        <v>35.488665200197687</v>
      </c>
      <c r="G195" s="848">
        <f t="shared" ref="G195:G258" si="6">IFERROR(($E195+$F195)/100,"..")</f>
        <v>0.37855503455687695</v>
      </c>
      <c r="H195" s="848">
        <f t="shared" ref="H195:H258" si="7">IFERROR($G195*$D195,"..")</f>
        <v>165428550.10135522</v>
      </c>
      <c r="I195" s="848">
        <v>42.46452</v>
      </c>
      <c r="J195" s="848">
        <v>48.327030000000001</v>
      </c>
      <c r="K195" s="848">
        <v>42.813299999999998</v>
      </c>
    </row>
    <row r="196" spans="1:11">
      <c r="A196" s="848">
        <v>2004</v>
      </c>
      <c r="B196" s="848" t="s">
        <v>413</v>
      </c>
      <c r="C196" s="848" t="str">
        <f>$A196&amp;"_"&amp;$B196</f>
        <v>2004_Nigeria</v>
      </c>
      <c r="D196" s="848">
        <v>38631000000</v>
      </c>
      <c r="E196" s="848" t="s">
        <v>3088</v>
      </c>
      <c r="F196" s="848" t="s">
        <v>3088</v>
      </c>
      <c r="G196" s="848" t="str">
        <f t="shared" si="6"/>
        <v>..</v>
      </c>
      <c r="H196" s="848" t="str">
        <f t="shared" si="7"/>
        <v>..</v>
      </c>
      <c r="I196" s="848">
        <v>66.122029999999995</v>
      </c>
      <c r="J196" s="848">
        <v>100.25655999999999</v>
      </c>
      <c r="K196" s="848">
        <v>66.122029999999995</v>
      </c>
    </row>
    <row r="197" spans="1:11">
      <c r="A197" s="848">
        <v>2004</v>
      </c>
      <c r="B197" s="848" t="s">
        <v>436</v>
      </c>
      <c r="C197" s="848" t="str">
        <f>$A197&amp;"_"&amp;$B197</f>
        <v>2004_Norway</v>
      </c>
      <c r="D197" s="848">
        <v>82527000000</v>
      </c>
      <c r="E197" s="848">
        <v>63.612388266996447</v>
      </c>
      <c r="F197" s="848">
        <v>7.0462634352789655</v>
      </c>
      <c r="G197" s="848">
        <f t="shared" si="6"/>
        <v>0.7065865170227541</v>
      </c>
      <c r="H197" s="848">
        <f t="shared" si="7"/>
        <v>58312465490.33683</v>
      </c>
      <c r="I197" s="848">
        <v>99.454359999999994</v>
      </c>
      <c r="J197" s="848">
        <v>99.454359999999994</v>
      </c>
      <c r="K197" s="848">
        <v>99.454589999999996</v>
      </c>
    </row>
    <row r="198" spans="1:11">
      <c r="A198" s="848">
        <v>2004</v>
      </c>
      <c r="B198" s="848" t="s">
        <v>449</v>
      </c>
      <c r="C198" s="848" t="str">
        <f>$A198&amp;"_"&amp;$B198</f>
        <v>2004_Peru</v>
      </c>
      <c r="D198" s="848">
        <v>12809000000</v>
      </c>
      <c r="E198" s="848">
        <v>6.7243393961249929</v>
      </c>
      <c r="F198" s="848">
        <v>48.108346449463909</v>
      </c>
      <c r="G198" s="848">
        <f t="shared" si="6"/>
        <v>0.54832685845588902</v>
      </c>
      <c r="H198" s="848">
        <f t="shared" si="7"/>
        <v>7023518729.961482</v>
      </c>
      <c r="I198" s="848">
        <v>97.09084</v>
      </c>
      <c r="J198" s="848">
        <v>116.01758</v>
      </c>
      <c r="K198" s="848">
        <v>99.634069999999994</v>
      </c>
    </row>
    <row r="199" spans="1:11">
      <c r="A199" s="848">
        <v>2004</v>
      </c>
      <c r="B199" s="848" t="s">
        <v>488</v>
      </c>
      <c r="C199" s="848" t="str">
        <f>$A199&amp;"_"&amp;$B199</f>
        <v>2004_Sierra Leone</v>
      </c>
      <c r="D199" s="848">
        <v>138590000</v>
      </c>
      <c r="E199" s="848" t="s">
        <v>3088</v>
      </c>
      <c r="F199" s="848" t="s">
        <v>3088</v>
      </c>
      <c r="G199" s="848" t="str">
        <f t="shared" si="6"/>
        <v>..</v>
      </c>
      <c r="H199" s="848" t="str">
        <f t="shared" si="7"/>
        <v>..</v>
      </c>
      <c r="I199" s="848" t="s">
        <v>3088</v>
      </c>
      <c r="J199" s="848" t="s">
        <v>3088</v>
      </c>
      <c r="K199" s="848" t="s">
        <v>3088</v>
      </c>
    </row>
    <row r="200" spans="1:11">
      <c r="A200" s="848">
        <v>2004</v>
      </c>
      <c r="B200" s="848" t="s">
        <v>499</v>
      </c>
      <c r="C200" s="848" t="str">
        <f>$A200&amp;"_"&amp;$B200</f>
        <v>2004_Tanzania</v>
      </c>
      <c r="D200" s="848">
        <v>1479100000</v>
      </c>
      <c r="E200" s="848">
        <v>0.20140267545837479</v>
      </c>
      <c r="F200" s="848">
        <v>13.732639338585987</v>
      </c>
      <c r="G200" s="848">
        <f t="shared" si="6"/>
        <v>0.13934042014044362</v>
      </c>
      <c r="H200" s="848">
        <f t="shared" si="7"/>
        <v>206098415.42973015</v>
      </c>
      <c r="I200" s="848">
        <v>85.969499999999996</v>
      </c>
      <c r="J200" s="848">
        <v>100.90755</v>
      </c>
      <c r="K200" s="848">
        <v>86.045659999999998</v>
      </c>
    </row>
    <row r="201" spans="1:11">
      <c r="A201" s="848">
        <v>2004</v>
      </c>
      <c r="B201" s="848" t="s">
        <v>3090</v>
      </c>
      <c r="C201" s="848" t="str">
        <f>$A201&amp;"_"&amp;$B201</f>
        <v>2004_Timor-Leste</v>
      </c>
      <c r="D201" s="848">
        <v>7336000</v>
      </c>
      <c r="E201" s="848">
        <v>0</v>
      </c>
      <c r="F201" s="848">
        <v>1.4342625824987837E-4</v>
      </c>
      <c r="G201" s="848">
        <f t="shared" si="6"/>
        <v>1.4342625824987838E-6</v>
      </c>
      <c r="H201" s="848">
        <f t="shared" si="7"/>
        <v>10.521750305211079</v>
      </c>
      <c r="I201" s="848" t="s">
        <v>3088</v>
      </c>
      <c r="J201" s="848">
        <v>101.97862000000001</v>
      </c>
      <c r="K201" s="848" t="s">
        <v>3088</v>
      </c>
    </row>
    <row r="202" spans="1:11">
      <c r="A202" s="848">
        <v>2004</v>
      </c>
      <c r="B202" s="848" t="s">
        <v>517</v>
      </c>
      <c r="C202" s="848" t="str">
        <f>$A202&amp;"_"&amp;$B202</f>
        <v>2004_Togo</v>
      </c>
      <c r="D202" s="848">
        <v>601000000</v>
      </c>
      <c r="E202" s="848">
        <v>0.36915382599063046</v>
      </c>
      <c r="F202" s="848">
        <v>12.691670169028335</v>
      </c>
      <c r="G202" s="848">
        <f t="shared" si="6"/>
        <v>0.13060823995018966</v>
      </c>
      <c r="H202" s="848">
        <f t="shared" si="7"/>
        <v>78495552.210063994</v>
      </c>
      <c r="I202" s="848">
        <v>88.751329999999996</v>
      </c>
      <c r="J202" s="848">
        <v>113.92523</v>
      </c>
      <c r="K202" s="848">
        <v>91.725189999999998</v>
      </c>
    </row>
    <row r="203" spans="1:11">
      <c r="A203" s="848">
        <v>2004</v>
      </c>
      <c r="B203" s="848" t="s">
        <v>3091</v>
      </c>
      <c r="C203" s="848" t="str">
        <f>$A203&amp;"_"&amp;$B203</f>
        <v>2004_Trinidad and Tobago</v>
      </c>
      <c r="D203" s="848">
        <v>6517202000</v>
      </c>
      <c r="E203" s="848">
        <v>60.206847889551732</v>
      </c>
      <c r="F203" s="848">
        <v>0.2284350512234776</v>
      </c>
      <c r="G203" s="848">
        <f t="shared" si="6"/>
        <v>0.60435282940775215</v>
      </c>
      <c r="H203" s="848">
        <f t="shared" si="7"/>
        <v>3938689468.5218611</v>
      </c>
      <c r="I203" s="848">
        <v>91.684510000000003</v>
      </c>
      <c r="J203" s="848">
        <v>101.73067</v>
      </c>
      <c r="K203" s="848">
        <v>96.600899999999996</v>
      </c>
    </row>
    <row r="204" spans="1:11">
      <c r="A204" s="848">
        <v>2004</v>
      </c>
      <c r="B204" s="848" t="s">
        <v>3092</v>
      </c>
      <c r="C204" s="848" t="str">
        <f>$A204&amp;"_"&amp;$B204</f>
        <v>2004_Yemen, Rep.</v>
      </c>
      <c r="D204" s="848">
        <v>4072487000</v>
      </c>
      <c r="E204" s="848">
        <v>93.457992363907977</v>
      </c>
      <c r="F204" s="848">
        <v>0.16609449294689113</v>
      </c>
      <c r="G204" s="848">
        <f t="shared" si="6"/>
        <v>0.93624086856854871</v>
      </c>
      <c r="H204" s="848">
        <f t="shared" si="7"/>
        <v>3812828766.1141233</v>
      </c>
      <c r="I204" s="848">
        <v>74.714569999999995</v>
      </c>
      <c r="J204" s="848">
        <v>86.849360000000004</v>
      </c>
      <c r="K204" s="848">
        <v>75.210719999999995</v>
      </c>
    </row>
    <row r="205" spans="1:11">
      <c r="A205" s="848">
        <v>2004</v>
      </c>
      <c r="B205" s="848" t="s">
        <v>541</v>
      </c>
      <c r="C205" s="848" t="str">
        <f>$A205&amp;"_"&amp;$B205</f>
        <v>2004_Zambia</v>
      </c>
      <c r="D205" s="848">
        <v>1575627000</v>
      </c>
      <c r="E205" s="848">
        <v>1.7585077305608674</v>
      </c>
      <c r="F205" s="848">
        <v>63.093803942990171</v>
      </c>
      <c r="G205" s="848">
        <f t="shared" si="6"/>
        <v>0.64852311673551044</v>
      </c>
      <c r="H205" s="848">
        <f t="shared" si="7"/>
        <v>1021830532.8526222</v>
      </c>
      <c r="I205" s="848">
        <v>85.872079999999997</v>
      </c>
      <c r="J205" s="848">
        <v>106.30540000000001</v>
      </c>
      <c r="K205" s="848">
        <v>86.999510000000001</v>
      </c>
    </row>
    <row r="206" spans="1:11">
      <c r="A206" s="848">
        <v>2005</v>
      </c>
      <c r="B206" s="848" t="s">
        <v>21</v>
      </c>
      <c r="C206" s="848" t="str">
        <f>$A206&amp;"_"&amp;$B206</f>
        <v>2005_Afghanistan</v>
      </c>
      <c r="D206" s="848">
        <v>384000000</v>
      </c>
      <c r="E206" s="848" t="s">
        <v>3088</v>
      </c>
      <c r="F206" s="848" t="s">
        <v>3088</v>
      </c>
      <c r="G206" s="848" t="str">
        <f t="shared" si="6"/>
        <v>..</v>
      </c>
      <c r="H206" s="848" t="str">
        <f t="shared" si="7"/>
        <v>..</v>
      </c>
      <c r="I206" s="848" t="s">
        <v>3088</v>
      </c>
      <c r="J206" s="848">
        <v>97.744780000000006</v>
      </c>
      <c r="K206" s="848" t="s">
        <v>3088</v>
      </c>
    </row>
    <row r="207" spans="1:11">
      <c r="A207" s="848">
        <v>2005</v>
      </c>
      <c r="B207" s="848" t="s">
        <v>38</v>
      </c>
      <c r="C207" s="848" t="str">
        <f>$A207&amp;"_"&amp;$B207</f>
        <v>2005_Albania</v>
      </c>
      <c r="D207" s="848">
        <v>658000000</v>
      </c>
      <c r="E207" s="848">
        <v>8.6627295129964139</v>
      </c>
      <c r="F207" s="848">
        <v>24.14078257645064</v>
      </c>
      <c r="G207" s="848">
        <f t="shared" si="6"/>
        <v>0.32803512089447051</v>
      </c>
      <c r="H207" s="848">
        <f t="shared" si="7"/>
        <v>215847109.5485616</v>
      </c>
      <c r="I207" s="848" t="s">
        <v>3088</v>
      </c>
      <c r="J207" s="848" t="s">
        <v>3088</v>
      </c>
      <c r="K207" s="848" t="s">
        <v>3088</v>
      </c>
    </row>
    <row r="208" spans="1:11">
      <c r="A208" s="848">
        <v>2005</v>
      </c>
      <c r="B208" s="848" t="s">
        <v>53</v>
      </c>
      <c r="C208" s="848" t="str">
        <f>$A208&amp;"_"&amp;$B208</f>
        <v>2005_Azerbaijan</v>
      </c>
      <c r="D208" s="848">
        <v>7648962000</v>
      </c>
      <c r="E208" s="848">
        <v>76.764611399448839</v>
      </c>
      <c r="F208" s="848">
        <v>1.3972081509885239</v>
      </c>
      <c r="G208" s="848">
        <f t="shared" si="6"/>
        <v>0.78161819550437361</v>
      </c>
      <c r="H208" s="848">
        <f t="shared" si="7"/>
        <v>5978567875.921525</v>
      </c>
      <c r="I208" s="848">
        <v>83.868620000000007</v>
      </c>
      <c r="J208" s="848">
        <v>95.526970000000006</v>
      </c>
      <c r="K208" s="848">
        <v>83.953540000000004</v>
      </c>
    </row>
    <row r="209" spans="1:11">
      <c r="A209" s="848">
        <v>2005</v>
      </c>
      <c r="B209" s="848" t="s">
        <v>98</v>
      </c>
      <c r="C209" s="848" t="str">
        <f>$A209&amp;"_"&amp;$B209</f>
        <v>2005_Burkina Faso</v>
      </c>
      <c r="D209" s="848">
        <v>468000000</v>
      </c>
      <c r="E209" s="848">
        <v>2.0282251117316637E-2</v>
      </c>
      <c r="F209" s="848">
        <v>0.33124568550350225</v>
      </c>
      <c r="G209" s="848">
        <f t="shared" si="6"/>
        <v>3.5152793662081888E-3</v>
      </c>
      <c r="H209" s="848">
        <f t="shared" si="7"/>
        <v>1645150.7433854323</v>
      </c>
      <c r="I209" s="848">
        <v>45.742359999999998</v>
      </c>
      <c r="J209" s="848">
        <v>58.320500000000003</v>
      </c>
      <c r="K209" s="848">
        <v>45.967590000000001</v>
      </c>
    </row>
    <row r="210" spans="1:11">
      <c r="A210" s="848">
        <v>2005</v>
      </c>
      <c r="B210" s="848" t="s">
        <v>101</v>
      </c>
      <c r="C210" s="848" t="str">
        <f>$A210&amp;"_"&amp;$B210</f>
        <v>2005_Cameroon</v>
      </c>
      <c r="D210" s="848">
        <v>2861244663.1833601</v>
      </c>
      <c r="E210" s="848">
        <v>49.642677662383946</v>
      </c>
      <c r="F210" s="848">
        <v>5.5420895271802895</v>
      </c>
      <c r="G210" s="848">
        <f t="shared" si="6"/>
        <v>0.55184767189564232</v>
      </c>
      <c r="H210" s="848">
        <f t="shared" si="7"/>
        <v>1578971206.1015685</v>
      </c>
      <c r="I210" s="848" t="s">
        <v>3088</v>
      </c>
      <c r="J210" s="848">
        <v>100.29745</v>
      </c>
      <c r="K210" s="848" t="s">
        <v>3088</v>
      </c>
    </row>
    <row r="211" spans="1:11">
      <c r="A211" s="848">
        <v>2005</v>
      </c>
      <c r="B211" s="848" t="s">
        <v>127</v>
      </c>
      <c r="C211" s="848" t="str">
        <f>$A211&amp;"_"&amp;$B211</f>
        <v>2005_Central African Republic</v>
      </c>
      <c r="D211" s="848">
        <v>128000000</v>
      </c>
      <c r="E211" s="848">
        <v>0.39958564259393503</v>
      </c>
      <c r="F211" s="848">
        <v>17.778437532822252</v>
      </c>
      <c r="G211" s="848">
        <f t="shared" si="6"/>
        <v>0.18178023175416186</v>
      </c>
      <c r="H211" s="848">
        <f t="shared" si="7"/>
        <v>23267869.664532717</v>
      </c>
      <c r="I211" s="848">
        <v>49.480690000000003</v>
      </c>
      <c r="J211" s="848">
        <v>66.548270000000002</v>
      </c>
      <c r="K211" s="848">
        <v>49.598500000000001</v>
      </c>
    </row>
    <row r="212" spans="1:11">
      <c r="A212" s="848">
        <v>2005</v>
      </c>
      <c r="B212" s="848" t="s">
        <v>138</v>
      </c>
      <c r="C212" s="848" t="str">
        <f>$A212&amp;"_"&amp;$B212</f>
        <v>2005_Chad</v>
      </c>
      <c r="D212" s="848">
        <v>3080945194.7795901</v>
      </c>
      <c r="E212" s="848" t="s">
        <v>3088</v>
      </c>
      <c r="F212" s="848" t="s">
        <v>3088</v>
      </c>
      <c r="G212" s="848" t="str">
        <f t="shared" si="6"/>
        <v>..</v>
      </c>
      <c r="H212" s="848" t="str">
        <f t="shared" si="7"/>
        <v>..</v>
      </c>
      <c r="I212" s="848" t="s">
        <v>3088</v>
      </c>
      <c r="J212" s="848">
        <v>72.064930000000004</v>
      </c>
      <c r="K212" s="848" t="s">
        <v>3088</v>
      </c>
    </row>
    <row r="213" spans="1:11">
      <c r="A213" s="848">
        <v>2005</v>
      </c>
      <c r="B213" s="848" t="s">
        <v>3815</v>
      </c>
      <c r="C213" s="848" t="str">
        <f>$A213&amp;"_"&amp;$B213</f>
        <v>2005_Congo, Dem. Rep.</v>
      </c>
      <c r="D213" s="848">
        <v>2402800000</v>
      </c>
      <c r="E213" s="848" t="s">
        <v>3088</v>
      </c>
      <c r="F213" s="848" t="s">
        <v>3088</v>
      </c>
      <c r="G213" s="848" t="str">
        <f t="shared" si="6"/>
        <v>..</v>
      </c>
      <c r="H213" s="848" t="str">
        <f t="shared" si="7"/>
        <v>..</v>
      </c>
      <c r="I213" s="848" t="s">
        <v>3088</v>
      </c>
      <c r="J213" s="848" t="s">
        <v>3088</v>
      </c>
      <c r="K213" s="848" t="s">
        <v>3088</v>
      </c>
    </row>
    <row r="214" spans="1:11">
      <c r="A214" s="848">
        <v>2005</v>
      </c>
      <c r="B214" s="848" t="s">
        <v>3814</v>
      </c>
      <c r="C214" s="848" t="str">
        <f>$A214&amp;"_"&amp;$B214</f>
        <v>2005_Congo, Rep.</v>
      </c>
      <c r="D214" s="848">
        <v>4745000000</v>
      </c>
      <c r="E214" s="848" t="s">
        <v>3088</v>
      </c>
      <c r="F214" s="848" t="s">
        <v>3088</v>
      </c>
      <c r="G214" s="848" t="str">
        <f t="shared" si="6"/>
        <v>..</v>
      </c>
      <c r="H214" s="848" t="str">
        <f t="shared" si="7"/>
        <v>..</v>
      </c>
      <c r="I214" s="848">
        <v>52.650959999999998</v>
      </c>
      <c r="J214" s="848">
        <v>110.25129</v>
      </c>
      <c r="K214" s="848">
        <v>52.650959999999998</v>
      </c>
    </row>
    <row r="215" spans="1:11">
      <c r="A215" s="848">
        <v>2005</v>
      </c>
      <c r="B215" s="848" t="s">
        <v>188</v>
      </c>
      <c r="C215" s="848" t="str">
        <f>$A215&amp;"_"&amp;$B215</f>
        <v>2005_Equatorial Guinea</v>
      </c>
      <c r="D215" s="848">
        <v>7064000000</v>
      </c>
      <c r="E215" s="848" t="s">
        <v>3088</v>
      </c>
      <c r="F215" s="848" t="s">
        <v>3088</v>
      </c>
      <c r="G215" s="848" t="str">
        <f t="shared" si="6"/>
        <v>..</v>
      </c>
      <c r="H215" s="848" t="str">
        <f t="shared" si="7"/>
        <v>..</v>
      </c>
      <c r="I215" s="848" t="s">
        <v>3088</v>
      </c>
      <c r="J215" s="848">
        <v>100.6773</v>
      </c>
      <c r="K215" s="848" t="s">
        <v>3088</v>
      </c>
    </row>
    <row r="216" spans="1:11">
      <c r="A216" s="848">
        <v>2005</v>
      </c>
      <c r="B216" s="848" t="s">
        <v>191</v>
      </c>
      <c r="C216" s="848" t="str">
        <f>$A216&amp;"_"&amp;$B216</f>
        <v>2005_Gabon</v>
      </c>
      <c r="D216" s="848">
        <v>5065009000</v>
      </c>
      <c r="E216" s="848">
        <v>84.043341196115989</v>
      </c>
      <c r="F216" s="848">
        <v>3.5928399012288774</v>
      </c>
      <c r="G216" s="848">
        <f t="shared" si="6"/>
        <v>0.87636181097344856</v>
      </c>
      <c r="H216" s="848">
        <f t="shared" si="7"/>
        <v>4438780459.8368158</v>
      </c>
      <c r="I216" s="848" t="s">
        <v>3088</v>
      </c>
      <c r="J216" s="848" t="s">
        <v>3088</v>
      </c>
      <c r="K216" s="848" t="s">
        <v>3088</v>
      </c>
    </row>
    <row r="217" spans="1:11">
      <c r="A217" s="848">
        <v>2005</v>
      </c>
      <c r="B217" s="848" t="s">
        <v>301</v>
      </c>
      <c r="C217" s="848" t="str">
        <f>$A217&amp;"_"&amp;$B217</f>
        <v>2005_Liberia</v>
      </c>
      <c r="D217" s="848">
        <v>131300000</v>
      </c>
      <c r="E217" s="848" t="s">
        <v>3088</v>
      </c>
      <c r="F217" s="848" t="s">
        <v>3088</v>
      </c>
      <c r="G217" s="848" t="str">
        <f t="shared" si="6"/>
        <v>..</v>
      </c>
      <c r="H217" s="848" t="str">
        <f t="shared" si="7"/>
        <v>..</v>
      </c>
      <c r="I217" s="848" t="s">
        <v>3088</v>
      </c>
      <c r="J217" s="848" t="s">
        <v>3088</v>
      </c>
      <c r="K217" s="848" t="s">
        <v>3088</v>
      </c>
    </row>
    <row r="218" spans="1:11">
      <c r="A218" s="848">
        <v>2005</v>
      </c>
      <c r="B218" s="848" t="s">
        <v>285</v>
      </c>
      <c r="C218" s="848" t="str">
        <f>$A218&amp;"_"&amp;$B218</f>
        <v>2005_Kyrgyz Republic</v>
      </c>
      <c r="D218" s="848">
        <v>672000000</v>
      </c>
      <c r="E218" s="848">
        <v>7.5309417852739244</v>
      </c>
      <c r="F218" s="848">
        <v>4.0159853224002537</v>
      </c>
      <c r="G218" s="848">
        <f t="shared" si="6"/>
        <v>0.11546927107674179</v>
      </c>
      <c r="H218" s="848">
        <f t="shared" si="7"/>
        <v>77595350.163570479</v>
      </c>
      <c r="I218" s="848">
        <v>87.63588</v>
      </c>
      <c r="J218" s="848">
        <v>98.753510000000006</v>
      </c>
      <c r="K218" s="848">
        <v>95.451449999999994</v>
      </c>
    </row>
    <row r="219" spans="1:11">
      <c r="A219" s="848">
        <v>2005</v>
      </c>
      <c r="B219" s="848" t="s">
        <v>195</v>
      </c>
      <c r="C219" s="848" t="str">
        <f>$A219&amp;"_"&amp;$B219</f>
        <v>2005_Ghana</v>
      </c>
      <c r="D219" s="848">
        <v>2802207027.7918401</v>
      </c>
      <c r="E219" s="848">
        <v>3.3759376712786846</v>
      </c>
      <c r="F219" s="848">
        <v>5.0226696014390191</v>
      </c>
      <c r="G219" s="848">
        <f t="shared" si="6"/>
        <v>8.398607272717705E-2</v>
      </c>
      <c r="H219" s="848">
        <f t="shared" si="7"/>
        <v>235346363.23273212</v>
      </c>
      <c r="I219" s="848">
        <v>66.513149999999996</v>
      </c>
      <c r="J219" s="848">
        <v>90.360969999999995</v>
      </c>
      <c r="K219" s="848">
        <v>67.437200000000004</v>
      </c>
    </row>
    <row r="220" spans="1:11">
      <c r="A220" s="848">
        <v>2005</v>
      </c>
      <c r="B220" s="848" t="s">
        <v>219</v>
      </c>
      <c r="C220" s="848" t="str">
        <f>$A220&amp;"_"&amp;$B220</f>
        <v>2005_Guatemala</v>
      </c>
      <c r="D220" s="848">
        <v>5380931000</v>
      </c>
      <c r="E220" s="848">
        <v>5.6692608793797934</v>
      </c>
      <c r="F220" s="848">
        <v>0.50364461937535254</v>
      </c>
      <c r="G220" s="848">
        <f t="shared" si="6"/>
        <v>6.1729054987551456E-2</v>
      </c>
      <c r="H220" s="848">
        <f t="shared" si="7"/>
        <v>332159785.58322024</v>
      </c>
      <c r="I220" s="848">
        <v>93.731740000000002</v>
      </c>
      <c r="J220" s="848">
        <v>113.38874</v>
      </c>
      <c r="K220" s="848">
        <v>95.250470000000007</v>
      </c>
    </row>
    <row r="221" spans="1:11">
      <c r="A221" s="848">
        <v>2005</v>
      </c>
      <c r="B221" s="848" t="s">
        <v>3089</v>
      </c>
      <c r="C221" s="848" t="str">
        <f>$A221&amp;"_"&amp;$B221</f>
        <v>2005_Guinea</v>
      </c>
      <c r="D221" s="848">
        <v>852690000</v>
      </c>
      <c r="E221" s="848">
        <v>3.9069582544465962E-5</v>
      </c>
      <c r="F221" s="848">
        <v>74.617163900510192</v>
      </c>
      <c r="G221" s="848">
        <f t="shared" si="6"/>
        <v>0.74617202970092733</v>
      </c>
      <c r="H221" s="848">
        <f t="shared" si="7"/>
        <v>636253428.00568378</v>
      </c>
      <c r="I221" s="848">
        <v>64.543750000000003</v>
      </c>
      <c r="J221" s="848">
        <v>80.128429999999994</v>
      </c>
      <c r="K221" s="848">
        <v>65.247399999999999</v>
      </c>
    </row>
    <row r="222" spans="1:11">
      <c r="A222" s="848">
        <v>2005</v>
      </c>
      <c r="B222" s="848" t="s">
        <v>243</v>
      </c>
      <c r="C222" s="848" t="str">
        <f>$A222&amp;"_"&amp;$B222</f>
        <v>2005_Indonesia</v>
      </c>
      <c r="D222" s="848">
        <v>86996064000</v>
      </c>
      <c r="E222" s="848">
        <v>27.61447436048579</v>
      </c>
      <c r="F222" s="848">
        <v>8.4673303062170291</v>
      </c>
      <c r="G222" s="848">
        <f t="shared" si="6"/>
        <v>0.36081804666702821</v>
      </c>
      <c r="H222" s="848">
        <f t="shared" si="7"/>
        <v>31389749880.199772</v>
      </c>
      <c r="I222" s="848">
        <v>90.41131</v>
      </c>
      <c r="J222" s="848">
        <v>109.75272</v>
      </c>
      <c r="K222" s="848">
        <v>94.804169999999999</v>
      </c>
    </row>
    <row r="223" spans="1:11">
      <c r="A223" s="848">
        <v>2005</v>
      </c>
      <c r="B223" s="848" t="s">
        <v>251</v>
      </c>
      <c r="C223" s="848" t="str">
        <f>$A223&amp;"_"&amp;$B223</f>
        <v>2005_Iraq</v>
      </c>
      <c r="D223" s="848">
        <v>23697000000</v>
      </c>
      <c r="E223" s="848">
        <v>96.445417142363226</v>
      </c>
      <c r="F223" s="848" t="s">
        <v>3088</v>
      </c>
      <c r="G223" s="848" t="str">
        <f t="shared" si="6"/>
        <v>..</v>
      </c>
      <c r="H223" s="848" t="str">
        <f t="shared" si="7"/>
        <v>..</v>
      </c>
      <c r="I223" s="848" t="s">
        <v>3088</v>
      </c>
      <c r="J223" s="848" t="s">
        <v>3088</v>
      </c>
      <c r="K223" s="848" t="s">
        <v>3088</v>
      </c>
    </row>
    <row r="224" spans="1:11">
      <c r="A224" s="848">
        <v>2005</v>
      </c>
      <c r="B224" s="848" t="s">
        <v>280</v>
      </c>
      <c r="C224" s="848" t="str">
        <f>$A224&amp;"_"&amp;$B224</f>
        <v>2005_Kazakhstan</v>
      </c>
      <c r="D224" s="848">
        <v>27849000000</v>
      </c>
      <c r="E224" s="848">
        <v>70.617587303973323</v>
      </c>
      <c r="F224" s="848">
        <v>12.841735291307032</v>
      </c>
      <c r="G224" s="848">
        <f t="shared" si="6"/>
        <v>0.8345932259528035</v>
      </c>
      <c r="H224" s="848">
        <f t="shared" si="7"/>
        <v>23242586749.559624</v>
      </c>
      <c r="I224" s="848">
        <v>90.960380000000001</v>
      </c>
      <c r="J224" s="848">
        <v>104.18119</v>
      </c>
      <c r="K224" s="848">
        <v>98.763279999999995</v>
      </c>
    </row>
    <row r="225" spans="1:11">
      <c r="A225" s="848">
        <v>2005</v>
      </c>
      <c r="B225" s="848" t="s">
        <v>316</v>
      </c>
      <c r="C225" s="848" t="str">
        <f>$A225&amp;"_"&amp;$B225</f>
        <v>2005_Madagascar</v>
      </c>
      <c r="D225" s="848">
        <v>854641190</v>
      </c>
      <c r="E225" s="848">
        <v>1.0539024721469206</v>
      </c>
      <c r="F225" s="848">
        <v>3.9397869549979823</v>
      </c>
      <c r="G225" s="848">
        <f t="shared" si="6"/>
        <v>4.9936894271449025E-2</v>
      </c>
      <c r="H225" s="848">
        <f t="shared" si="7"/>
        <v>42678126.745055377</v>
      </c>
      <c r="I225" s="848" t="s">
        <v>3088</v>
      </c>
      <c r="J225" s="848">
        <v>138.32208</v>
      </c>
      <c r="K225" s="848" t="s">
        <v>3088</v>
      </c>
    </row>
    <row r="226" spans="1:11">
      <c r="A226" s="848">
        <v>2005</v>
      </c>
      <c r="B226" s="848" t="s">
        <v>329</v>
      </c>
      <c r="C226" s="848" t="str">
        <f>$A226&amp;"_"&amp;$B226</f>
        <v>2005_Mali</v>
      </c>
      <c r="D226" s="848">
        <v>1100920000</v>
      </c>
      <c r="E226" s="848">
        <v>1.5733051423479583</v>
      </c>
      <c r="F226" s="848">
        <v>0.11258791550278448</v>
      </c>
      <c r="G226" s="848">
        <f t="shared" si="6"/>
        <v>1.6858930578507427E-2</v>
      </c>
      <c r="H226" s="848">
        <f t="shared" si="7"/>
        <v>18560333.852490395</v>
      </c>
      <c r="I226" s="848">
        <v>61.383360000000003</v>
      </c>
      <c r="J226" s="848">
        <v>80.111789999999999</v>
      </c>
      <c r="K226" s="848">
        <v>61.383360000000003</v>
      </c>
    </row>
    <row r="227" spans="1:11">
      <c r="A227" s="848">
        <v>2005</v>
      </c>
      <c r="B227" s="848" t="s">
        <v>345</v>
      </c>
      <c r="C227" s="848" t="str">
        <f>$A227&amp;"_"&amp;$B227</f>
        <v>2005_Mauritania</v>
      </c>
      <c r="D227" s="848">
        <v>625100000</v>
      </c>
      <c r="E227" s="848" t="s">
        <v>3088</v>
      </c>
      <c r="F227" s="848">
        <v>68.58137778171141</v>
      </c>
      <c r="G227" s="848" t="str">
        <f t="shared" si="6"/>
        <v>..</v>
      </c>
      <c r="H227" s="848" t="str">
        <f t="shared" si="7"/>
        <v>..</v>
      </c>
      <c r="I227" s="848">
        <v>70.705749999999995</v>
      </c>
      <c r="J227" s="848">
        <v>91.301910000000007</v>
      </c>
      <c r="K227" s="848">
        <v>71.079509999999999</v>
      </c>
    </row>
    <row r="228" spans="1:11">
      <c r="A228" s="848">
        <v>2005</v>
      </c>
      <c r="B228" s="848" t="s">
        <v>364</v>
      </c>
      <c r="C228" s="848" t="str">
        <f>$A228&amp;"_"&amp;$B228</f>
        <v>2005_Mongolia</v>
      </c>
      <c r="D228" s="848">
        <v>1065000000</v>
      </c>
      <c r="E228" s="848">
        <v>5.4865122734299439</v>
      </c>
      <c r="F228" s="848">
        <v>57.865667014090029</v>
      </c>
      <c r="G228" s="848">
        <f t="shared" si="6"/>
        <v>0.63352179287519972</v>
      </c>
      <c r="H228" s="848">
        <f t="shared" si="7"/>
        <v>674700709.41208768</v>
      </c>
      <c r="I228" s="848">
        <v>87.917010000000005</v>
      </c>
      <c r="J228" s="848">
        <v>97.970050000000001</v>
      </c>
      <c r="K228" s="848">
        <v>92.435940000000002</v>
      </c>
    </row>
    <row r="229" spans="1:11">
      <c r="A229" s="848">
        <v>2005</v>
      </c>
      <c r="B229" s="848" t="s">
        <v>394</v>
      </c>
      <c r="C229" s="848" t="str">
        <f>$A229&amp;"_"&amp;$B229</f>
        <v>2005_Niger</v>
      </c>
      <c r="D229" s="848">
        <v>489000000</v>
      </c>
      <c r="E229" s="848">
        <v>2.4484431371930961</v>
      </c>
      <c r="F229" s="848">
        <v>36.146903265962536</v>
      </c>
      <c r="G229" s="848">
        <f t="shared" si="6"/>
        <v>0.38595346403155628</v>
      </c>
      <c r="H229" s="848">
        <f t="shared" si="7"/>
        <v>188731243.91143101</v>
      </c>
      <c r="I229" s="848">
        <v>42.756720000000001</v>
      </c>
      <c r="J229" s="848">
        <v>50.037999999999997</v>
      </c>
      <c r="K229" s="848">
        <v>42.756720000000001</v>
      </c>
    </row>
    <row r="230" spans="1:11">
      <c r="A230" s="848">
        <v>2005</v>
      </c>
      <c r="B230" s="848" t="s">
        <v>413</v>
      </c>
      <c r="C230" s="848" t="str">
        <f>$A230&amp;"_"&amp;$B230</f>
        <v>2005_Nigeria</v>
      </c>
      <c r="D230" s="848">
        <v>50467000000</v>
      </c>
      <c r="E230" s="848" t="s">
        <v>3088</v>
      </c>
      <c r="F230" s="848" t="s">
        <v>3088</v>
      </c>
      <c r="G230" s="848" t="str">
        <f t="shared" si="6"/>
        <v>..</v>
      </c>
      <c r="H230" s="848" t="str">
        <f t="shared" si="7"/>
        <v>..</v>
      </c>
      <c r="I230" s="848">
        <v>66.563599999999994</v>
      </c>
      <c r="J230" s="848">
        <v>100.92608</v>
      </c>
      <c r="K230" s="848">
        <v>66.563599999999994</v>
      </c>
    </row>
    <row r="231" spans="1:11">
      <c r="A231" s="848">
        <v>2005</v>
      </c>
      <c r="B231" s="848" t="s">
        <v>436</v>
      </c>
      <c r="C231" s="848" t="str">
        <f>$A231&amp;"_"&amp;$B231</f>
        <v>2005_Norway</v>
      </c>
      <c r="D231" s="848">
        <v>103759235000</v>
      </c>
      <c r="E231" s="848">
        <v>67.685680760344539</v>
      </c>
      <c r="F231" s="848">
        <v>6.1777162484955745</v>
      </c>
      <c r="G231" s="848">
        <f t="shared" si="6"/>
        <v>0.73863397008840115</v>
      </c>
      <c r="H231" s="848">
        <f t="shared" si="7"/>
        <v>76640095681.385391</v>
      </c>
      <c r="I231" s="848">
        <v>98.602609999999999</v>
      </c>
      <c r="J231" s="848">
        <v>98.602609999999999</v>
      </c>
      <c r="K231" s="848">
        <v>98.602609999999999</v>
      </c>
    </row>
    <row r="232" spans="1:11">
      <c r="A232" s="848">
        <v>2005</v>
      </c>
      <c r="B232" s="848" t="s">
        <v>449</v>
      </c>
      <c r="C232" s="848" t="str">
        <f>$A232&amp;"_"&amp;$B232</f>
        <v>2005_Peru</v>
      </c>
      <c r="D232" s="848">
        <v>17367700000</v>
      </c>
      <c r="E232" s="848">
        <v>11.365529722419646</v>
      </c>
      <c r="F232" s="848">
        <v>48.709453836985297</v>
      </c>
      <c r="G232" s="848">
        <f t="shared" si="6"/>
        <v>0.60074983559404938</v>
      </c>
      <c r="H232" s="848">
        <f t="shared" si="7"/>
        <v>10433642919.64677</v>
      </c>
      <c r="I232" s="848">
        <v>96.947689999999994</v>
      </c>
      <c r="J232" s="848">
        <v>114.81982000000001</v>
      </c>
      <c r="K232" s="848">
        <v>99.638220000000004</v>
      </c>
    </row>
    <row r="233" spans="1:11">
      <c r="A233" s="848">
        <v>2005</v>
      </c>
      <c r="B233" s="848" t="s">
        <v>488</v>
      </c>
      <c r="C233" s="848" t="str">
        <f>$A233&amp;"_"&amp;$B233</f>
        <v>2005_Sierra Leone</v>
      </c>
      <c r="D233" s="848">
        <v>158498000</v>
      </c>
      <c r="E233" s="848" t="s">
        <v>3088</v>
      </c>
      <c r="F233" s="848" t="s">
        <v>3088</v>
      </c>
      <c r="G233" s="848" t="str">
        <f t="shared" si="6"/>
        <v>..</v>
      </c>
      <c r="H233" s="848" t="str">
        <f t="shared" si="7"/>
        <v>..</v>
      </c>
      <c r="I233" s="848" t="s">
        <v>3088</v>
      </c>
      <c r="J233" s="848" t="s">
        <v>3088</v>
      </c>
      <c r="K233" s="848" t="s">
        <v>3088</v>
      </c>
    </row>
    <row r="234" spans="1:11">
      <c r="A234" s="848">
        <v>2005</v>
      </c>
      <c r="B234" s="848" t="s">
        <v>499</v>
      </c>
      <c r="C234" s="848" t="str">
        <f>$A234&amp;"_"&amp;$B234</f>
        <v>2005_Tanzania</v>
      </c>
      <c r="D234" s="848">
        <v>1679100000</v>
      </c>
      <c r="E234" s="848">
        <v>0.19597725832598539</v>
      </c>
      <c r="F234" s="848">
        <v>11.916560784504687</v>
      </c>
      <c r="G234" s="848">
        <f t="shared" si="6"/>
        <v>0.12112538042830673</v>
      </c>
      <c r="H234" s="848">
        <f t="shared" si="7"/>
        <v>203381626.27716982</v>
      </c>
      <c r="I234" s="848">
        <v>90.491060000000004</v>
      </c>
      <c r="J234" s="848">
        <v>104.99321</v>
      </c>
      <c r="K234" s="848">
        <v>90.614779999999996</v>
      </c>
    </row>
    <row r="235" spans="1:11">
      <c r="A235" s="848">
        <v>2005</v>
      </c>
      <c r="B235" s="848" t="s">
        <v>3090</v>
      </c>
      <c r="C235" s="848" t="str">
        <f>$A235&amp;"_"&amp;$B235</f>
        <v>2005_Timor-Leste</v>
      </c>
      <c r="D235" s="848">
        <v>8086000</v>
      </c>
      <c r="E235" s="848">
        <v>0</v>
      </c>
      <c r="F235" s="848">
        <v>0</v>
      </c>
      <c r="G235" s="848">
        <f t="shared" si="6"/>
        <v>0</v>
      </c>
      <c r="H235" s="848">
        <f t="shared" si="7"/>
        <v>0</v>
      </c>
      <c r="I235" s="848" t="s">
        <v>3088</v>
      </c>
      <c r="J235" s="848">
        <v>94.226339999999993</v>
      </c>
      <c r="K235" s="848" t="s">
        <v>3088</v>
      </c>
    </row>
    <row r="236" spans="1:11">
      <c r="A236" s="848">
        <v>2005</v>
      </c>
      <c r="B236" s="848" t="s">
        <v>517</v>
      </c>
      <c r="C236" s="848" t="str">
        <f>$A236&amp;"_"&amp;$B236</f>
        <v>2005_Togo</v>
      </c>
      <c r="D236" s="848">
        <v>660135000</v>
      </c>
      <c r="E236" s="848">
        <v>1.2485930107862471</v>
      </c>
      <c r="F236" s="848">
        <v>10.268549143828283</v>
      </c>
      <c r="G236" s="848">
        <f t="shared" si="6"/>
        <v>0.11517142154614529</v>
      </c>
      <c r="H236" s="848">
        <f t="shared" si="7"/>
        <v>76028686.36236462</v>
      </c>
      <c r="I236" s="848">
        <v>88.378910000000005</v>
      </c>
      <c r="J236" s="848">
        <v>113.32268000000001</v>
      </c>
      <c r="K236" s="848">
        <v>91.386539999999997</v>
      </c>
    </row>
    <row r="237" spans="1:11">
      <c r="A237" s="848">
        <v>2005</v>
      </c>
      <c r="B237" s="848" t="s">
        <v>3091</v>
      </c>
      <c r="C237" s="848" t="str">
        <f>$A237&amp;"_"&amp;$B237</f>
        <v>2005_Trinidad and Tobago</v>
      </c>
      <c r="D237" s="848">
        <v>9941665000</v>
      </c>
      <c r="E237" s="848">
        <v>70.197615453112277</v>
      </c>
      <c r="F237" s="848">
        <v>0.41813130393996634</v>
      </c>
      <c r="G237" s="848">
        <f t="shared" si="6"/>
        <v>0.70615746757052245</v>
      </c>
      <c r="H237" s="848">
        <f t="shared" si="7"/>
        <v>7020380979.8344984</v>
      </c>
      <c r="I237" s="848">
        <v>88.700779999999995</v>
      </c>
      <c r="J237" s="848">
        <v>99.271360000000001</v>
      </c>
      <c r="K237" s="848">
        <v>93.684899999999999</v>
      </c>
    </row>
    <row r="238" spans="1:11">
      <c r="A238" s="848">
        <v>2005</v>
      </c>
      <c r="B238" s="848" t="s">
        <v>3092</v>
      </c>
      <c r="C238" s="848" t="str">
        <f>$A238&amp;"_"&amp;$B238</f>
        <v>2005_Yemen, Rep.</v>
      </c>
      <c r="D238" s="848">
        <v>5607666000</v>
      </c>
      <c r="E238" s="848">
        <v>93.804219535108359</v>
      </c>
      <c r="F238" s="848">
        <v>9.3940708017051705E-2</v>
      </c>
      <c r="G238" s="848">
        <f t="shared" si="6"/>
        <v>0.93898160243125417</v>
      </c>
      <c r="H238" s="848">
        <f t="shared" si="7"/>
        <v>5265495206.5792618</v>
      </c>
      <c r="I238" s="848">
        <v>76.863669999999999</v>
      </c>
      <c r="J238" s="848">
        <v>89.287809999999993</v>
      </c>
      <c r="K238" s="848">
        <v>77.101619999999997</v>
      </c>
    </row>
    <row r="239" spans="1:11">
      <c r="A239" s="848">
        <v>2005</v>
      </c>
      <c r="B239" s="848" t="s">
        <v>541</v>
      </c>
      <c r="C239" s="848" t="str">
        <f>$A239&amp;"_"&amp;$B239</f>
        <v>2005_Zambia</v>
      </c>
      <c r="D239" s="848">
        <v>1809763000</v>
      </c>
      <c r="E239" s="848">
        <v>0.7199452184225269</v>
      </c>
      <c r="F239" s="848">
        <v>71.712490494839344</v>
      </c>
      <c r="G239" s="848">
        <f t="shared" si="6"/>
        <v>0.72432435713261867</v>
      </c>
      <c r="H239" s="848">
        <f t="shared" si="7"/>
        <v>1310855421.5373993</v>
      </c>
      <c r="I239" s="848">
        <v>93.940969999999993</v>
      </c>
      <c r="J239" s="848">
        <v>117.33454</v>
      </c>
      <c r="K239" s="848">
        <v>95.219229999999996</v>
      </c>
    </row>
    <row r="240" spans="1:11">
      <c r="A240" s="848">
        <v>2006</v>
      </c>
      <c r="B240" s="848" t="s">
        <v>21</v>
      </c>
      <c r="C240" s="848" t="str">
        <f>$A240&amp;"_"&amp;$B240</f>
        <v>2006_Afghanistan</v>
      </c>
      <c r="D240" s="848">
        <v>416000000</v>
      </c>
      <c r="E240" s="848" t="s">
        <v>3088</v>
      </c>
      <c r="F240" s="848" t="s">
        <v>3088</v>
      </c>
      <c r="G240" s="848" t="str">
        <f t="shared" si="6"/>
        <v>..</v>
      </c>
      <c r="H240" s="848" t="str">
        <f t="shared" si="7"/>
        <v>..</v>
      </c>
      <c r="I240" s="848" t="s">
        <v>3088</v>
      </c>
      <c r="J240" s="848">
        <v>100.98891</v>
      </c>
      <c r="K240" s="848" t="s">
        <v>3088</v>
      </c>
    </row>
    <row r="241" spans="1:11">
      <c r="A241" s="848">
        <v>2006</v>
      </c>
      <c r="B241" s="848" t="s">
        <v>38</v>
      </c>
      <c r="C241" s="848" t="str">
        <f>$A241&amp;"_"&amp;$B241</f>
        <v>2006_Albania</v>
      </c>
      <c r="D241" s="848">
        <v>798000000</v>
      </c>
      <c r="E241" s="848">
        <v>13.687093088073384</v>
      </c>
      <c r="F241" s="848">
        <v>37.864345570795074</v>
      </c>
      <c r="G241" s="848">
        <f t="shared" si="6"/>
        <v>0.51551438658868454</v>
      </c>
      <c r="H241" s="848">
        <f t="shared" si="7"/>
        <v>411380480.49777025</v>
      </c>
      <c r="I241" s="848" t="s">
        <v>3088</v>
      </c>
      <c r="J241" s="848" t="s">
        <v>3088</v>
      </c>
      <c r="K241" s="848" t="s">
        <v>3088</v>
      </c>
    </row>
    <row r="242" spans="1:11">
      <c r="A242" s="848">
        <v>2006</v>
      </c>
      <c r="B242" s="848" t="s">
        <v>53</v>
      </c>
      <c r="C242" s="848" t="str">
        <f>$A242&amp;"_"&amp;$B242</f>
        <v>2006_Azerbaijan</v>
      </c>
      <c r="D242" s="848">
        <v>13014633000</v>
      </c>
      <c r="E242" s="848">
        <v>84.591342059838496</v>
      </c>
      <c r="F242" s="848">
        <v>1.3411643783124441</v>
      </c>
      <c r="G242" s="848">
        <f t="shared" si="6"/>
        <v>0.85932506438150935</v>
      </c>
      <c r="H242" s="848">
        <f t="shared" si="7"/>
        <v>11183800340.626717</v>
      </c>
      <c r="I242" s="848">
        <v>83.153769999999994</v>
      </c>
      <c r="J242" s="848">
        <v>94.216660000000005</v>
      </c>
      <c r="K242" s="848">
        <v>83.772009999999995</v>
      </c>
    </row>
    <row r="243" spans="1:11">
      <c r="A243" s="848">
        <v>2006</v>
      </c>
      <c r="B243" s="848" t="s">
        <v>98</v>
      </c>
      <c r="C243" s="848" t="str">
        <f>$A243&amp;"_"&amp;$B243</f>
        <v>2006_Burkina Faso</v>
      </c>
      <c r="D243" s="848">
        <v>588000000</v>
      </c>
      <c r="E243" s="848" t="s">
        <v>3088</v>
      </c>
      <c r="F243" s="848" t="s">
        <v>3088</v>
      </c>
      <c r="G243" s="848" t="str">
        <f t="shared" si="6"/>
        <v>..</v>
      </c>
      <c r="H243" s="848" t="str">
        <f t="shared" si="7"/>
        <v>..</v>
      </c>
      <c r="I243" s="848">
        <v>48.747349999999997</v>
      </c>
      <c r="J243" s="848">
        <v>62.065240000000003</v>
      </c>
      <c r="K243" s="848">
        <v>49.623449999999998</v>
      </c>
    </row>
    <row r="244" spans="1:11">
      <c r="A244" s="848">
        <v>2006</v>
      </c>
      <c r="B244" s="848" t="s">
        <v>101</v>
      </c>
      <c r="C244" s="848" t="str">
        <f>$A244&amp;"_"&amp;$B244</f>
        <v>2006_Cameroon</v>
      </c>
      <c r="D244" s="848">
        <v>3576420000</v>
      </c>
      <c r="E244" s="848">
        <v>61.610780823979574</v>
      </c>
      <c r="F244" s="848">
        <v>4.9050732140368467</v>
      </c>
      <c r="G244" s="848">
        <f t="shared" si="6"/>
        <v>0.66515854038016409</v>
      </c>
      <c r="H244" s="848">
        <f t="shared" si="7"/>
        <v>2378886306.9864264</v>
      </c>
      <c r="I244" s="848" t="s">
        <v>3088</v>
      </c>
      <c r="J244" s="848">
        <v>99.254760000000005</v>
      </c>
      <c r="K244" s="848" t="s">
        <v>3088</v>
      </c>
    </row>
    <row r="245" spans="1:11">
      <c r="A245" s="848">
        <v>2006</v>
      </c>
      <c r="B245" s="848" t="s">
        <v>127</v>
      </c>
      <c r="C245" s="848" t="str">
        <f>$A245&amp;"_"&amp;$B245</f>
        <v>2006_Central African Republic</v>
      </c>
      <c r="D245" s="848">
        <v>157586000</v>
      </c>
      <c r="E245" s="848">
        <v>1.3490206525398066E-2</v>
      </c>
      <c r="F245" s="848">
        <v>15.721248595441887</v>
      </c>
      <c r="G245" s="848">
        <f t="shared" si="6"/>
        <v>0.15734738801967285</v>
      </c>
      <c r="H245" s="848">
        <f t="shared" si="7"/>
        <v>24795745.488468166</v>
      </c>
      <c r="I245" s="848">
        <v>49.812019999999997</v>
      </c>
      <c r="J245" s="848">
        <v>66.245149999999995</v>
      </c>
      <c r="K245" s="848">
        <v>49.943449999999999</v>
      </c>
    </row>
    <row r="246" spans="1:11">
      <c r="A246" s="848">
        <v>2006</v>
      </c>
      <c r="B246" s="848" t="s">
        <v>138</v>
      </c>
      <c r="C246" s="848" t="str">
        <f>$A246&amp;"_"&amp;$B246</f>
        <v>2006_Chad</v>
      </c>
      <c r="D246" s="848">
        <v>3351947828.4151502</v>
      </c>
      <c r="E246" s="848" t="s">
        <v>3088</v>
      </c>
      <c r="F246" s="848" t="s">
        <v>3088</v>
      </c>
      <c r="G246" s="848" t="str">
        <f t="shared" si="6"/>
        <v>..</v>
      </c>
      <c r="H246" s="848" t="str">
        <f t="shared" si="7"/>
        <v>..</v>
      </c>
      <c r="I246" s="848" t="s">
        <v>3088</v>
      </c>
      <c r="J246" s="848">
        <v>71.471509999999995</v>
      </c>
      <c r="K246" s="848" t="s">
        <v>3088</v>
      </c>
    </row>
    <row r="247" spans="1:11">
      <c r="A247" s="848">
        <v>2006</v>
      </c>
      <c r="B247" s="848" t="s">
        <v>3815</v>
      </c>
      <c r="C247" s="848" t="str">
        <f>$A247&amp;"_"&amp;$B247</f>
        <v>2006_Congo, Dem. Rep.</v>
      </c>
      <c r="D247" s="848">
        <v>2704700000</v>
      </c>
      <c r="E247" s="848" t="s">
        <v>3088</v>
      </c>
      <c r="F247" s="848" t="s">
        <v>3088</v>
      </c>
      <c r="G247" s="848" t="str">
        <f t="shared" si="6"/>
        <v>..</v>
      </c>
      <c r="H247" s="848" t="str">
        <f t="shared" si="7"/>
        <v>..</v>
      </c>
      <c r="I247" s="848" t="s">
        <v>3088</v>
      </c>
      <c r="J247" s="848" t="s">
        <v>3088</v>
      </c>
      <c r="K247" s="848" t="s">
        <v>3088</v>
      </c>
    </row>
    <row r="248" spans="1:11">
      <c r="A248" s="848">
        <v>2006</v>
      </c>
      <c r="B248" s="848" t="s">
        <v>3814</v>
      </c>
      <c r="C248" s="848" t="str">
        <f>$A248&amp;"_"&amp;$B248</f>
        <v>2006_Congo, Rep.</v>
      </c>
      <c r="D248" s="848">
        <v>6077569000</v>
      </c>
      <c r="E248" s="848" t="s">
        <v>3088</v>
      </c>
      <c r="F248" s="848" t="s">
        <v>3088</v>
      </c>
      <c r="G248" s="848" t="str">
        <f t="shared" si="6"/>
        <v>..</v>
      </c>
      <c r="H248" s="848" t="str">
        <f t="shared" si="7"/>
        <v>..</v>
      </c>
      <c r="I248" s="848">
        <v>56.08426</v>
      </c>
      <c r="J248" s="848">
        <v>110.32398000000001</v>
      </c>
      <c r="K248" s="848">
        <v>56.08426</v>
      </c>
    </row>
    <row r="249" spans="1:11">
      <c r="A249" s="848">
        <v>2006</v>
      </c>
      <c r="B249" s="848" t="s">
        <v>188</v>
      </c>
      <c r="C249" s="848" t="str">
        <f>$A249&amp;"_"&amp;$B249</f>
        <v>2006_Equatorial Guinea</v>
      </c>
      <c r="D249" s="848">
        <v>8207000000</v>
      </c>
      <c r="E249" s="848" t="s">
        <v>3088</v>
      </c>
      <c r="F249" s="848" t="s">
        <v>3088</v>
      </c>
      <c r="G249" s="848" t="str">
        <f t="shared" si="6"/>
        <v>..</v>
      </c>
      <c r="H249" s="848" t="str">
        <f t="shared" si="7"/>
        <v>..</v>
      </c>
      <c r="I249" s="848" t="s">
        <v>3088</v>
      </c>
      <c r="J249" s="848" t="s">
        <v>3088</v>
      </c>
      <c r="K249" s="848" t="s">
        <v>3088</v>
      </c>
    </row>
    <row r="250" spans="1:11">
      <c r="A250" s="848">
        <v>2006</v>
      </c>
      <c r="B250" s="848" t="s">
        <v>191</v>
      </c>
      <c r="C250" s="848" t="str">
        <f>$A250&amp;"_"&amp;$B250</f>
        <v>2006_Gabon</v>
      </c>
      <c r="D250" s="848">
        <v>5450000000</v>
      </c>
      <c r="E250" s="848">
        <v>85.611783541457598</v>
      </c>
      <c r="F250" s="848">
        <v>3.1510042373413287</v>
      </c>
      <c r="G250" s="848">
        <f t="shared" si="6"/>
        <v>0.88762787778798924</v>
      </c>
      <c r="H250" s="848">
        <f t="shared" si="7"/>
        <v>4837571933.944541</v>
      </c>
      <c r="I250" s="848" t="s">
        <v>3088</v>
      </c>
      <c r="J250" s="848" t="s">
        <v>3088</v>
      </c>
      <c r="K250" s="848" t="s">
        <v>3088</v>
      </c>
    </row>
    <row r="251" spans="1:11">
      <c r="A251" s="848">
        <v>2006</v>
      </c>
      <c r="B251" s="848" t="s">
        <v>301</v>
      </c>
      <c r="C251" s="848" t="str">
        <f>$A251&amp;"_"&amp;$B251</f>
        <v>2006_Liberia</v>
      </c>
      <c r="D251" s="848">
        <v>157800000</v>
      </c>
      <c r="E251" s="848" t="s">
        <v>3088</v>
      </c>
      <c r="F251" s="848" t="s">
        <v>3088</v>
      </c>
      <c r="G251" s="848" t="str">
        <f t="shared" si="6"/>
        <v>..</v>
      </c>
      <c r="H251" s="848" t="str">
        <f t="shared" si="7"/>
        <v>..</v>
      </c>
      <c r="I251" s="848">
        <v>35.094459999999998</v>
      </c>
      <c r="J251" s="848">
        <v>92.524550000000005</v>
      </c>
      <c r="K251" s="848">
        <v>35.109229999999997</v>
      </c>
    </row>
    <row r="252" spans="1:11">
      <c r="A252" s="848">
        <v>2006</v>
      </c>
      <c r="B252" s="848" t="s">
        <v>285</v>
      </c>
      <c r="C252" s="848" t="str">
        <f>$A252&amp;"_"&amp;$B252</f>
        <v>2006_Kyrgyz Republic</v>
      </c>
      <c r="D252" s="848">
        <v>891100000</v>
      </c>
      <c r="E252" s="848">
        <v>18.27755755824958</v>
      </c>
      <c r="F252" s="848">
        <v>5.5223928879593744</v>
      </c>
      <c r="G252" s="848">
        <f t="shared" si="6"/>
        <v>0.23799950446208953</v>
      </c>
      <c r="H252" s="848">
        <f t="shared" si="7"/>
        <v>212081358.42616799</v>
      </c>
      <c r="I252" s="848">
        <v>88.452839999999995</v>
      </c>
      <c r="J252" s="848">
        <v>99.639449999999997</v>
      </c>
      <c r="K252" s="848">
        <v>96.313199999999995</v>
      </c>
    </row>
    <row r="253" spans="1:11">
      <c r="A253" s="848">
        <v>2006</v>
      </c>
      <c r="B253" s="848" t="s">
        <v>195</v>
      </c>
      <c r="C253" s="848" t="str">
        <f>$A253&amp;"_"&amp;$B253</f>
        <v>2006_Ghana</v>
      </c>
      <c r="D253" s="848">
        <v>3726680000</v>
      </c>
      <c r="E253" s="848">
        <v>0.6540340821494357</v>
      </c>
      <c r="F253" s="848">
        <v>3.1452011716257577</v>
      </c>
      <c r="G253" s="848">
        <f t="shared" si="6"/>
        <v>3.7992352537751933E-2</v>
      </c>
      <c r="H253" s="848">
        <f t="shared" si="7"/>
        <v>141585340.35538939</v>
      </c>
      <c r="I253" s="848">
        <v>66.055340000000001</v>
      </c>
      <c r="J253" s="848">
        <v>95.346890000000002</v>
      </c>
      <c r="K253" s="848">
        <v>67.017709999999994</v>
      </c>
    </row>
    <row r="254" spans="1:11">
      <c r="A254" s="848">
        <v>2006</v>
      </c>
      <c r="B254" s="848" t="s">
        <v>219</v>
      </c>
      <c r="C254" s="848" t="str">
        <f>$A254&amp;"_"&amp;$B254</f>
        <v>2006_Guatemala</v>
      </c>
      <c r="D254" s="848">
        <v>6025163000</v>
      </c>
      <c r="E254" s="848">
        <v>8.8059624446774496</v>
      </c>
      <c r="F254" s="848">
        <v>1.0542888606879137</v>
      </c>
      <c r="G254" s="848">
        <f t="shared" si="6"/>
        <v>9.8602513053653626E-2</v>
      </c>
      <c r="H254" s="848">
        <f t="shared" si="7"/>
        <v>594096213.35789084</v>
      </c>
      <c r="I254" s="848">
        <v>94.936059999999998</v>
      </c>
      <c r="J254" s="848">
        <v>114.21607</v>
      </c>
      <c r="K254" s="848">
        <v>96.607669999999999</v>
      </c>
    </row>
    <row r="255" spans="1:11">
      <c r="A255" s="848">
        <v>2006</v>
      </c>
      <c r="B255" s="848" t="s">
        <v>3089</v>
      </c>
      <c r="C255" s="848" t="str">
        <f>$A255&amp;"_"&amp;$B255</f>
        <v>2006_Guinea</v>
      </c>
      <c r="D255" s="848">
        <v>1033000000</v>
      </c>
      <c r="E255" s="848">
        <v>0.31223339648571086</v>
      </c>
      <c r="F255" s="848">
        <v>56.681692710409159</v>
      </c>
      <c r="G255" s="848">
        <f t="shared" si="6"/>
        <v>0.56993926106894865</v>
      </c>
      <c r="H255" s="848">
        <f t="shared" si="7"/>
        <v>588747256.68422401</v>
      </c>
      <c r="I255" s="848">
        <v>66.528649999999999</v>
      </c>
      <c r="J255" s="848">
        <v>82.083929999999995</v>
      </c>
      <c r="K255" s="848">
        <v>67.585719999999995</v>
      </c>
    </row>
    <row r="256" spans="1:11">
      <c r="A256" s="848">
        <v>2006</v>
      </c>
      <c r="B256" s="848" t="s">
        <v>243</v>
      </c>
      <c r="C256" s="848" t="str">
        <f>$A256&amp;"_"&amp;$B256</f>
        <v>2006_Indonesia</v>
      </c>
      <c r="D256" s="848">
        <v>103527000000</v>
      </c>
      <c r="E256" s="848">
        <v>27.243644407794935</v>
      </c>
      <c r="F256" s="848">
        <v>9.9683062865561727</v>
      </c>
      <c r="G256" s="848">
        <f t="shared" si="6"/>
        <v>0.37211950694351109</v>
      </c>
      <c r="H256" s="848">
        <f t="shared" si="7"/>
        <v>38524416195.340874</v>
      </c>
      <c r="I256" s="848">
        <v>93.366879999999995</v>
      </c>
      <c r="J256" s="848">
        <v>108.09195</v>
      </c>
      <c r="K256" s="848">
        <v>96.222440000000006</v>
      </c>
    </row>
    <row r="257" spans="1:11">
      <c r="A257" s="848">
        <v>2006</v>
      </c>
      <c r="B257" s="848" t="s">
        <v>251</v>
      </c>
      <c r="C257" s="848" t="str">
        <f>$A257&amp;"_"&amp;$B257</f>
        <v>2006_Iraq</v>
      </c>
      <c r="D257" s="848">
        <v>29360880000</v>
      </c>
      <c r="E257" s="848">
        <v>99.560563212359099</v>
      </c>
      <c r="F257" s="848">
        <v>7.3420387592707387E-3</v>
      </c>
      <c r="G257" s="848">
        <f t="shared" si="6"/>
        <v>0.99567905251118372</v>
      </c>
      <c r="H257" s="848">
        <f t="shared" si="7"/>
        <v>29234013179.294563</v>
      </c>
      <c r="I257" s="848" t="s">
        <v>3088</v>
      </c>
      <c r="J257" s="848" t="s">
        <v>3088</v>
      </c>
      <c r="K257" s="848" t="s">
        <v>3088</v>
      </c>
    </row>
    <row r="258" spans="1:11">
      <c r="A258" s="848">
        <v>2006</v>
      </c>
      <c r="B258" s="848" t="s">
        <v>280</v>
      </c>
      <c r="C258" s="848" t="str">
        <f>$A258&amp;"_"&amp;$B258</f>
        <v>2006_Kazakhstan</v>
      </c>
      <c r="D258" s="848">
        <v>38250000000</v>
      </c>
      <c r="E258" s="848">
        <v>69.434999703264978</v>
      </c>
      <c r="F258" s="848">
        <v>14.619121210175292</v>
      </c>
      <c r="G258" s="848">
        <f t="shared" si="6"/>
        <v>0.84054120913440267</v>
      </c>
      <c r="H258" s="848">
        <f t="shared" si="7"/>
        <v>32150701249.390903</v>
      </c>
      <c r="I258" s="848">
        <v>90.244399999999999</v>
      </c>
      <c r="J258" s="848">
        <v>102.96122</v>
      </c>
      <c r="K258" s="848">
        <v>98.831010000000006</v>
      </c>
    </row>
    <row r="259" spans="1:11">
      <c r="A259" s="848">
        <v>2006</v>
      </c>
      <c r="B259" s="848" t="s">
        <v>316</v>
      </c>
      <c r="C259" s="848" t="str">
        <f>$A259&amp;"_"&amp;$B259</f>
        <v>2006_Madagascar</v>
      </c>
      <c r="D259" s="848">
        <v>985256000</v>
      </c>
      <c r="E259" s="848">
        <v>5.5103893730542728</v>
      </c>
      <c r="F259" s="848">
        <v>3.6070680205475125</v>
      </c>
      <c r="G259" s="848">
        <f t="shared" ref="G259:G322" si="8">IFERROR(($E259+$F259)/100,"..")</f>
        <v>9.1174573936017855E-2</v>
      </c>
      <c r="H259" s="848">
        <f t="shared" ref="H259:H322" si="9">IFERROR($G259*$D259,"..")</f>
        <v>89830296.017905205</v>
      </c>
      <c r="I259" s="848" t="s">
        <v>3088</v>
      </c>
      <c r="J259" s="848">
        <v>138.11169000000001</v>
      </c>
      <c r="K259" s="848" t="s">
        <v>3088</v>
      </c>
    </row>
    <row r="260" spans="1:11">
      <c r="A260" s="848">
        <v>2006</v>
      </c>
      <c r="B260" s="848" t="s">
        <v>329</v>
      </c>
      <c r="C260" s="848" t="str">
        <f>$A260&amp;"_"&amp;$B260</f>
        <v>2006_Mali</v>
      </c>
      <c r="D260" s="848">
        <v>1550000000</v>
      </c>
      <c r="E260" s="848">
        <v>2.2538128566429685</v>
      </c>
      <c r="F260" s="848">
        <v>0.17290540772593052</v>
      </c>
      <c r="G260" s="848">
        <f t="shared" si="8"/>
        <v>2.4267182643688989E-2</v>
      </c>
      <c r="H260" s="848">
        <f t="shared" si="9"/>
        <v>37614133.097717933</v>
      </c>
      <c r="I260" s="848">
        <v>62.712319999999998</v>
      </c>
      <c r="J260" s="848">
        <v>83.043360000000007</v>
      </c>
      <c r="K260" s="848">
        <v>62.712319999999998</v>
      </c>
    </row>
    <row r="261" spans="1:11">
      <c r="A261" s="848">
        <v>2006</v>
      </c>
      <c r="B261" s="848" t="s">
        <v>345</v>
      </c>
      <c r="C261" s="848" t="str">
        <f>$A261&amp;"_"&amp;$B261</f>
        <v>2006_Mauritania</v>
      </c>
      <c r="D261" s="848">
        <v>1366568000</v>
      </c>
      <c r="E261" s="848" t="s">
        <v>3088</v>
      </c>
      <c r="F261" s="848" t="s">
        <v>3088</v>
      </c>
      <c r="G261" s="848" t="str">
        <f t="shared" si="8"/>
        <v>..</v>
      </c>
      <c r="H261" s="848" t="str">
        <f t="shared" si="9"/>
        <v>..</v>
      </c>
      <c r="I261" s="848">
        <v>73.321629999999999</v>
      </c>
      <c r="J261" s="848">
        <v>93.818460000000002</v>
      </c>
      <c r="K261" s="848">
        <v>73.66189</v>
      </c>
    </row>
    <row r="262" spans="1:11">
      <c r="A262" s="848">
        <v>2006</v>
      </c>
      <c r="B262" s="848" t="s">
        <v>364</v>
      </c>
      <c r="C262" s="848" t="str">
        <f>$A262&amp;"_"&amp;$B262</f>
        <v>2006_Mongolia</v>
      </c>
      <c r="D262" s="848">
        <v>1542800000</v>
      </c>
      <c r="E262" s="848">
        <v>5.532089878913399</v>
      </c>
      <c r="F262" s="848">
        <v>66.320688396454031</v>
      </c>
      <c r="G262" s="848">
        <f t="shared" si="8"/>
        <v>0.71852778275367424</v>
      </c>
      <c r="H262" s="848">
        <f t="shared" si="9"/>
        <v>1108544663.2323687</v>
      </c>
      <c r="I262" s="848">
        <v>91.667439999999999</v>
      </c>
      <c r="J262" s="848">
        <v>100.79425000000001</v>
      </c>
      <c r="K262" s="848">
        <v>97.485209999999995</v>
      </c>
    </row>
    <row r="263" spans="1:11">
      <c r="A263" s="848">
        <v>2006</v>
      </c>
      <c r="B263" s="848" t="s">
        <v>394</v>
      </c>
      <c r="C263" s="848" t="str">
        <f>$A263&amp;"_"&amp;$B263</f>
        <v>2006_Niger</v>
      </c>
      <c r="D263" s="848">
        <v>507946000</v>
      </c>
      <c r="E263" s="848">
        <v>2.1616108208714713</v>
      </c>
      <c r="F263" s="848">
        <v>35.755514108267278</v>
      </c>
      <c r="G263" s="848">
        <f t="shared" si="8"/>
        <v>0.37917124929138751</v>
      </c>
      <c r="H263" s="848">
        <f t="shared" si="9"/>
        <v>192598519.39256313</v>
      </c>
      <c r="I263" s="848">
        <v>43.46163</v>
      </c>
      <c r="J263" s="848">
        <v>50.627679999999998</v>
      </c>
      <c r="K263" s="848">
        <v>44.070430000000002</v>
      </c>
    </row>
    <row r="264" spans="1:11">
      <c r="A264" s="848">
        <v>2006</v>
      </c>
      <c r="B264" s="848" t="s">
        <v>413</v>
      </c>
      <c r="C264" s="848" t="str">
        <f>$A264&amp;"_"&amp;$B264</f>
        <v>2006_Nigeria</v>
      </c>
      <c r="D264" s="848">
        <v>58726000000</v>
      </c>
      <c r="E264" s="848">
        <v>98.238856362993999</v>
      </c>
      <c r="F264" s="848">
        <v>5.7461430250690436E-3</v>
      </c>
      <c r="G264" s="848">
        <f t="shared" si="8"/>
        <v>0.98244602506019063</v>
      </c>
      <c r="H264" s="848">
        <f t="shared" si="9"/>
        <v>57695125267.684753</v>
      </c>
      <c r="I264" s="848">
        <v>67.052459999999996</v>
      </c>
      <c r="J264" s="848">
        <v>101.6673</v>
      </c>
      <c r="K264" s="848">
        <v>67.052459999999996</v>
      </c>
    </row>
    <row r="265" spans="1:11">
      <c r="A265" s="848">
        <v>2006</v>
      </c>
      <c r="B265" s="848" t="s">
        <v>436</v>
      </c>
      <c r="C265" s="848" t="str">
        <f>$A265&amp;"_"&amp;$B265</f>
        <v>2006_Norway</v>
      </c>
      <c r="D265" s="848">
        <v>122208315000</v>
      </c>
      <c r="E265" s="848">
        <v>67.827162714154568</v>
      </c>
      <c r="F265" s="848">
        <v>7.2810091223439581</v>
      </c>
      <c r="G265" s="848">
        <f t="shared" si="8"/>
        <v>0.75108171836498527</v>
      </c>
      <c r="H265" s="848">
        <f t="shared" si="9"/>
        <v>91788431228.689407</v>
      </c>
      <c r="I265" s="848">
        <v>98.639139999999998</v>
      </c>
      <c r="J265" s="848">
        <v>98.639139999999998</v>
      </c>
      <c r="K265" s="848">
        <v>98.639139999999998</v>
      </c>
    </row>
    <row r="266" spans="1:11">
      <c r="A266" s="848">
        <v>2006</v>
      </c>
      <c r="B266" s="848" t="s">
        <v>449</v>
      </c>
      <c r="C266" s="848" t="str">
        <f>$A266&amp;"_"&amp;$B266</f>
        <v>2006_Peru</v>
      </c>
      <c r="D266" s="848">
        <v>23830100000</v>
      </c>
      <c r="E266" s="848">
        <v>9.6244135732327152</v>
      </c>
      <c r="F266" s="848">
        <v>57.068777977610438</v>
      </c>
      <c r="G266" s="848">
        <f t="shared" si="8"/>
        <v>0.66693191550843156</v>
      </c>
      <c r="H266" s="848">
        <f t="shared" si="9"/>
        <v>15893054239.757475</v>
      </c>
      <c r="I266" s="848">
        <v>96.967920000000007</v>
      </c>
      <c r="J266" s="848">
        <v>113.76258</v>
      </c>
      <c r="K266" s="848">
        <v>99.710220000000007</v>
      </c>
    </row>
    <row r="267" spans="1:11">
      <c r="A267" s="848">
        <v>2006</v>
      </c>
      <c r="B267" s="848" t="s">
        <v>488</v>
      </c>
      <c r="C267" s="848" t="str">
        <f>$A267&amp;"_"&amp;$B267</f>
        <v>2006_Sierra Leone</v>
      </c>
      <c r="D267" s="848">
        <v>231037000</v>
      </c>
      <c r="E267" s="848" t="s">
        <v>3088</v>
      </c>
      <c r="F267" s="848" t="s">
        <v>3088</v>
      </c>
      <c r="G267" s="848" t="str">
        <f t="shared" si="8"/>
        <v>..</v>
      </c>
      <c r="H267" s="848" t="str">
        <f t="shared" si="9"/>
        <v>..</v>
      </c>
      <c r="I267" s="848" t="s">
        <v>3088</v>
      </c>
      <c r="J267" s="848" t="s">
        <v>3088</v>
      </c>
      <c r="K267" s="848" t="s">
        <v>3088</v>
      </c>
    </row>
    <row r="268" spans="1:11">
      <c r="A268" s="848">
        <v>2006</v>
      </c>
      <c r="B268" s="848" t="s">
        <v>499</v>
      </c>
      <c r="C268" s="848" t="str">
        <f>$A268&amp;"_"&amp;$B268</f>
        <v>2006_Tanzania</v>
      </c>
      <c r="D268" s="848">
        <v>1864681000</v>
      </c>
      <c r="E268" s="848">
        <v>0.23206719633610812</v>
      </c>
      <c r="F268" s="848">
        <v>17.315937027011088</v>
      </c>
      <c r="G268" s="848">
        <f t="shared" si="8"/>
        <v>0.17548004223347197</v>
      </c>
      <c r="H268" s="848">
        <f t="shared" si="9"/>
        <v>327214300.63195276</v>
      </c>
      <c r="I268" s="848">
        <v>95.992990000000006</v>
      </c>
      <c r="J268" s="848">
        <v>108.20629</v>
      </c>
      <c r="K268" s="848">
        <v>96.164490000000001</v>
      </c>
    </row>
    <row r="269" spans="1:11">
      <c r="A269" s="848">
        <v>2006</v>
      </c>
      <c r="B269" s="848" t="s">
        <v>3090</v>
      </c>
      <c r="C269" s="848" t="str">
        <f>$A269&amp;"_"&amp;$B269</f>
        <v>2006_Timor-Leste</v>
      </c>
      <c r="D269" s="848">
        <v>8444000</v>
      </c>
      <c r="E269" s="848" t="s">
        <v>3088</v>
      </c>
      <c r="F269" s="848" t="s">
        <v>3088</v>
      </c>
      <c r="G269" s="848" t="str">
        <f t="shared" si="8"/>
        <v>..</v>
      </c>
      <c r="H269" s="848" t="str">
        <f t="shared" si="9"/>
        <v>..</v>
      </c>
      <c r="I269" s="848" t="s">
        <v>3088</v>
      </c>
      <c r="J269" s="848" t="s">
        <v>3088</v>
      </c>
      <c r="K269" s="848" t="s">
        <v>3088</v>
      </c>
    </row>
    <row r="270" spans="1:11">
      <c r="A270" s="848">
        <v>2006</v>
      </c>
      <c r="B270" s="848" t="s">
        <v>517</v>
      </c>
      <c r="C270" s="848" t="str">
        <f>$A270&amp;"_"&amp;$B270</f>
        <v>2006_Togo</v>
      </c>
      <c r="D270" s="848">
        <v>630343000</v>
      </c>
      <c r="E270" s="848" t="s">
        <v>3088</v>
      </c>
      <c r="F270" s="848" t="s">
        <v>3088</v>
      </c>
      <c r="G270" s="848" t="str">
        <f t="shared" si="8"/>
        <v>..</v>
      </c>
      <c r="H270" s="848" t="str">
        <f t="shared" si="9"/>
        <v>..</v>
      </c>
      <c r="I270" s="848">
        <v>90.360209999999995</v>
      </c>
      <c r="J270" s="848">
        <v>117.56214</v>
      </c>
      <c r="K270" s="848">
        <v>93.302589999999995</v>
      </c>
    </row>
    <row r="271" spans="1:11">
      <c r="A271" s="848">
        <v>2006</v>
      </c>
      <c r="B271" s="848" t="s">
        <v>3091</v>
      </c>
      <c r="C271" s="848" t="str">
        <f>$A271&amp;"_"&amp;$B271</f>
        <v>2006_Trinidad and Tobago</v>
      </c>
      <c r="D271" s="848">
        <v>14154700000</v>
      </c>
      <c r="E271" s="848">
        <v>76.455480020040156</v>
      </c>
      <c r="F271" s="848">
        <v>0.31841522077859119</v>
      </c>
      <c r="G271" s="848">
        <f t="shared" si="8"/>
        <v>0.76773895240818746</v>
      </c>
      <c r="H271" s="848">
        <f t="shared" si="9"/>
        <v>10867114549.65217</v>
      </c>
      <c r="I271" s="848" t="s">
        <v>3088</v>
      </c>
      <c r="J271" s="848" t="s">
        <v>3088</v>
      </c>
      <c r="K271" s="848" t="s">
        <v>3088</v>
      </c>
    </row>
    <row r="272" spans="1:11">
      <c r="A272" s="848">
        <v>2006</v>
      </c>
      <c r="B272" s="848" t="s">
        <v>3092</v>
      </c>
      <c r="C272" s="848" t="str">
        <f>$A272&amp;"_"&amp;$B272</f>
        <v>2006_Yemen, Rep.</v>
      </c>
      <c r="D272" s="848">
        <v>6654084000</v>
      </c>
      <c r="E272" s="848">
        <v>94.425169244958809</v>
      </c>
      <c r="F272" s="848">
        <v>8.6093841346200892E-2</v>
      </c>
      <c r="G272" s="848">
        <f t="shared" si="8"/>
        <v>0.94511263086305008</v>
      </c>
      <c r="H272" s="848">
        <f t="shared" si="9"/>
        <v>6288858835.2237282</v>
      </c>
      <c r="I272" s="848" t="s">
        <v>3088</v>
      </c>
      <c r="J272" s="848" t="s">
        <v>3088</v>
      </c>
      <c r="K272" s="848" t="s">
        <v>3088</v>
      </c>
    </row>
    <row r="273" spans="1:11">
      <c r="A273" s="848">
        <v>2006</v>
      </c>
      <c r="B273" s="848" t="s">
        <v>541</v>
      </c>
      <c r="C273" s="848" t="str">
        <f>$A273&amp;"_"&amp;$B273</f>
        <v>2006_Zambia</v>
      </c>
      <c r="D273" s="848">
        <v>3770370000</v>
      </c>
      <c r="E273" s="848">
        <v>0.60457575431420918</v>
      </c>
      <c r="F273" s="848">
        <v>84.7726796023709</v>
      </c>
      <c r="G273" s="848">
        <f t="shared" si="8"/>
        <v>0.85377255356685111</v>
      </c>
      <c r="H273" s="848">
        <f t="shared" si="9"/>
        <v>3219038422.7918487</v>
      </c>
      <c r="I273" s="848">
        <v>92.862179999999995</v>
      </c>
      <c r="J273" s="848">
        <v>117.99062000000001</v>
      </c>
      <c r="K273" s="848">
        <v>94.394260000000003</v>
      </c>
    </row>
    <row r="274" spans="1:11">
      <c r="A274" s="848">
        <v>2007</v>
      </c>
      <c r="B274" s="848" t="s">
        <v>21</v>
      </c>
      <c r="C274" s="848" t="str">
        <f>$A274&amp;"_"&amp;$B274</f>
        <v>2007_Afghanistan</v>
      </c>
      <c r="D274" s="848">
        <v>454000000</v>
      </c>
      <c r="E274" s="848" t="s">
        <v>3088</v>
      </c>
      <c r="F274" s="848" t="s">
        <v>3088</v>
      </c>
      <c r="G274" s="848" t="str">
        <f t="shared" si="8"/>
        <v>..</v>
      </c>
      <c r="H274" s="848" t="str">
        <f t="shared" si="9"/>
        <v>..</v>
      </c>
      <c r="I274" s="848" t="s">
        <v>3088</v>
      </c>
      <c r="J274" s="848">
        <v>97.878960000000006</v>
      </c>
      <c r="K274" s="848" t="s">
        <v>3088</v>
      </c>
    </row>
    <row r="275" spans="1:11">
      <c r="A275" s="848">
        <v>2007</v>
      </c>
      <c r="B275" s="848" t="s">
        <v>38</v>
      </c>
      <c r="C275" s="848" t="str">
        <f>$A275&amp;"_"&amp;$B275</f>
        <v>2007_Albania</v>
      </c>
      <c r="D275" s="848">
        <v>1077580000</v>
      </c>
      <c r="E275" s="848">
        <v>7.4530031614773913</v>
      </c>
      <c r="F275" s="848">
        <v>13.55952865686247</v>
      </c>
      <c r="G275" s="848">
        <f t="shared" si="8"/>
        <v>0.21012531818339863</v>
      </c>
      <c r="H275" s="848">
        <f t="shared" si="9"/>
        <v>226426840.3680667</v>
      </c>
      <c r="I275" s="848" t="s">
        <v>3088</v>
      </c>
      <c r="J275" s="848" t="s">
        <v>3088</v>
      </c>
      <c r="K275" s="848" t="s">
        <v>3088</v>
      </c>
    </row>
    <row r="276" spans="1:11">
      <c r="A276" s="848">
        <v>2007</v>
      </c>
      <c r="B276" s="848" t="s">
        <v>53</v>
      </c>
      <c r="C276" s="848" t="str">
        <f>$A276&amp;"_"&amp;$B276</f>
        <v>2007_Azerbaijan</v>
      </c>
      <c r="D276" s="848">
        <v>21269317000</v>
      </c>
      <c r="E276" s="848">
        <v>81.398965845163218</v>
      </c>
      <c r="F276" s="848">
        <v>1.7654309097056311</v>
      </c>
      <c r="G276" s="848">
        <f t="shared" si="8"/>
        <v>0.83164396754868841</v>
      </c>
      <c r="H276" s="848">
        <f t="shared" si="9"/>
        <v>17688499176.930767</v>
      </c>
      <c r="I276" s="848">
        <v>83.374799999999993</v>
      </c>
      <c r="J276" s="848">
        <v>94.771199999999993</v>
      </c>
      <c r="K276" s="848">
        <v>83.458410000000001</v>
      </c>
    </row>
    <row r="277" spans="1:11">
      <c r="A277" s="848">
        <v>2007</v>
      </c>
      <c r="B277" s="848" t="s">
        <v>98</v>
      </c>
      <c r="C277" s="848" t="str">
        <f>$A277&amp;"_"&amp;$B277</f>
        <v>2007_Burkina Faso</v>
      </c>
      <c r="D277" s="848">
        <v>623000000</v>
      </c>
      <c r="E277" s="848">
        <v>4.5149828791569337E-3</v>
      </c>
      <c r="F277" s="848">
        <v>0.21581496276115342</v>
      </c>
      <c r="G277" s="848">
        <f t="shared" si="8"/>
        <v>2.2032994564031034E-3</v>
      </c>
      <c r="H277" s="848">
        <f t="shared" si="9"/>
        <v>1372655.5613391334</v>
      </c>
      <c r="I277" s="848">
        <v>54.02702</v>
      </c>
      <c r="J277" s="848">
        <v>67.660179999999997</v>
      </c>
      <c r="K277" s="848">
        <v>54.946370000000002</v>
      </c>
    </row>
    <row r="278" spans="1:11">
      <c r="A278" s="848">
        <v>2007</v>
      </c>
      <c r="B278" s="848" t="s">
        <v>101</v>
      </c>
      <c r="C278" s="848" t="str">
        <f>$A278&amp;"_"&amp;$B278</f>
        <v>2007_Cameroon</v>
      </c>
      <c r="D278" s="848">
        <v>4230114715</v>
      </c>
      <c r="E278" s="848">
        <v>58.68062171453429</v>
      </c>
      <c r="F278" s="848">
        <v>4.9326897982245388</v>
      </c>
      <c r="G278" s="848">
        <f t="shared" si="8"/>
        <v>0.6361331151275883</v>
      </c>
      <c r="H278" s="848">
        <f t="shared" si="9"/>
        <v>2690916051.0000005</v>
      </c>
      <c r="I278" s="848" t="s">
        <v>3088</v>
      </c>
      <c r="J278" s="848">
        <v>101.22671</v>
      </c>
      <c r="K278" s="848" t="s">
        <v>3088</v>
      </c>
    </row>
    <row r="279" spans="1:11">
      <c r="A279" s="848">
        <v>2007</v>
      </c>
      <c r="B279" s="848" t="s">
        <v>127</v>
      </c>
      <c r="C279" s="848" t="str">
        <f>$A279&amp;"_"&amp;$B279</f>
        <v>2007_Central African Republic</v>
      </c>
      <c r="D279" s="848">
        <v>177771471.851807</v>
      </c>
      <c r="E279" s="848" t="s">
        <v>3088</v>
      </c>
      <c r="F279" s="848">
        <v>26.609503455358389</v>
      </c>
      <c r="G279" s="848" t="str">
        <f t="shared" si="8"/>
        <v>..</v>
      </c>
      <c r="H279" s="848" t="str">
        <f t="shared" si="9"/>
        <v>..</v>
      </c>
      <c r="I279" s="848">
        <v>58.44265</v>
      </c>
      <c r="J279" s="848">
        <v>76.724369999999993</v>
      </c>
      <c r="K279" s="848">
        <v>58.44265</v>
      </c>
    </row>
    <row r="280" spans="1:11">
      <c r="A280" s="848">
        <v>2007</v>
      </c>
      <c r="B280" s="848" t="s">
        <v>138</v>
      </c>
      <c r="C280" s="848" t="str">
        <f>$A280&amp;"_"&amp;$B280</f>
        <v>2007_Chad</v>
      </c>
      <c r="D280" s="848">
        <v>3666224000</v>
      </c>
      <c r="E280" s="848" t="s">
        <v>3088</v>
      </c>
      <c r="F280" s="848" t="s">
        <v>3088</v>
      </c>
      <c r="G280" s="848" t="str">
        <f t="shared" si="8"/>
        <v>..</v>
      </c>
      <c r="H280" s="848" t="str">
        <f t="shared" si="9"/>
        <v>..</v>
      </c>
      <c r="I280" s="848" t="s">
        <v>3088</v>
      </c>
      <c r="J280" s="848">
        <v>70.440600000000003</v>
      </c>
      <c r="K280" s="848" t="s">
        <v>3088</v>
      </c>
    </row>
    <row r="281" spans="1:11">
      <c r="A281" s="848">
        <v>2007</v>
      </c>
      <c r="B281" s="848" t="s">
        <v>3815</v>
      </c>
      <c r="C281" s="848" t="str">
        <f>$A281&amp;"_"&amp;$B281</f>
        <v>2007_Congo, Dem. Rep.</v>
      </c>
      <c r="D281" s="848">
        <v>3100000000</v>
      </c>
      <c r="E281" s="848" t="s">
        <v>3088</v>
      </c>
      <c r="F281" s="848" t="s">
        <v>3088</v>
      </c>
      <c r="G281" s="848" t="str">
        <f t="shared" si="8"/>
        <v>..</v>
      </c>
      <c r="H281" s="848" t="str">
        <f t="shared" si="9"/>
        <v>..</v>
      </c>
      <c r="I281" s="848" t="s">
        <v>3088</v>
      </c>
      <c r="J281" s="848">
        <v>93.107699999999994</v>
      </c>
      <c r="K281" s="848" t="s">
        <v>3088</v>
      </c>
    </row>
    <row r="282" spans="1:11">
      <c r="A282" s="848">
        <v>2007</v>
      </c>
      <c r="B282" s="848" t="s">
        <v>3814</v>
      </c>
      <c r="C282" s="848" t="str">
        <f>$A282&amp;"_"&amp;$B282</f>
        <v>2007_Congo, Rep.</v>
      </c>
      <c r="D282" s="848">
        <v>5635000000</v>
      </c>
      <c r="E282" s="848">
        <v>87.024618091305953</v>
      </c>
      <c r="F282" s="848">
        <v>3.6483029104368438E-2</v>
      </c>
      <c r="G282" s="848">
        <f t="shared" si="8"/>
        <v>0.87061101120410322</v>
      </c>
      <c r="H282" s="848">
        <f t="shared" si="9"/>
        <v>4905893048.1351213</v>
      </c>
      <c r="I282" s="848" t="s">
        <v>3088</v>
      </c>
      <c r="J282" s="848">
        <v>107.61471</v>
      </c>
      <c r="K282" s="848" t="s">
        <v>3088</v>
      </c>
    </row>
    <row r="283" spans="1:11">
      <c r="A283" s="848">
        <v>2007</v>
      </c>
      <c r="B283" s="848" t="s">
        <v>188</v>
      </c>
      <c r="C283" s="848" t="str">
        <f>$A283&amp;"_"&amp;$B283</f>
        <v>2007_Equatorial Guinea</v>
      </c>
      <c r="D283" s="848">
        <v>10210000000</v>
      </c>
      <c r="E283" s="848" t="s">
        <v>3088</v>
      </c>
      <c r="F283" s="848" t="s">
        <v>3088</v>
      </c>
      <c r="G283" s="848" t="str">
        <f t="shared" si="8"/>
        <v>..</v>
      </c>
      <c r="H283" s="848" t="str">
        <f t="shared" si="9"/>
        <v>..</v>
      </c>
      <c r="I283" s="848" t="s">
        <v>3088</v>
      </c>
      <c r="J283" s="848" t="s">
        <v>3088</v>
      </c>
      <c r="K283" s="848" t="s">
        <v>3088</v>
      </c>
    </row>
    <row r="284" spans="1:11">
      <c r="A284" s="848">
        <v>2007</v>
      </c>
      <c r="B284" s="848" t="s">
        <v>191</v>
      </c>
      <c r="C284" s="848" t="str">
        <f>$A284&amp;"_"&amp;$B284</f>
        <v>2007_Gabon</v>
      </c>
      <c r="D284" s="848">
        <v>6309000000</v>
      </c>
      <c r="E284" s="848">
        <v>83.413768687759628</v>
      </c>
      <c r="F284" s="848">
        <v>3.6005953876900159</v>
      </c>
      <c r="G284" s="848">
        <f t="shared" si="8"/>
        <v>0.87014364075449646</v>
      </c>
      <c r="H284" s="848">
        <f t="shared" si="9"/>
        <v>5489736229.5201178</v>
      </c>
      <c r="I284" s="848" t="s">
        <v>3088</v>
      </c>
      <c r="J284" s="848" t="s">
        <v>3088</v>
      </c>
      <c r="K284" s="848" t="s">
        <v>3088</v>
      </c>
    </row>
    <row r="285" spans="1:11">
      <c r="A285" s="848">
        <v>2007</v>
      </c>
      <c r="B285" s="848" t="s">
        <v>301</v>
      </c>
      <c r="C285" s="848" t="str">
        <f>$A285&amp;"_"&amp;$B285</f>
        <v>2007_Liberia</v>
      </c>
      <c r="D285" s="848">
        <v>200200000</v>
      </c>
      <c r="E285" s="848" t="s">
        <v>3088</v>
      </c>
      <c r="F285" s="848" t="s">
        <v>3088</v>
      </c>
      <c r="G285" s="848" t="str">
        <f t="shared" si="8"/>
        <v>..</v>
      </c>
      <c r="H285" s="848" t="str">
        <f t="shared" si="9"/>
        <v>..</v>
      </c>
      <c r="I285" s="848" t="s">
        <v>3088</v>
      </c>
      <c r="J285" s="848" t="s">
        <v>3088</v>
      </c>
      <c r="K285" s="848" t="s">
        <v>3088</v>
      </c>
    </row>
    <row r="286" spans="1:11">
      <c r="A286" s="848">
        <v>2007</v>
      </c>
      <c r="B286" s="848" t="s">
        <v>285</v>
      </c>
      <c r="C286" s="848" t="str">
        <f>$A286&amp;"_"&amp;$B286</f>
        <v>2007_Kyrgyz Republic</v>
      </c>
      <c r="D286" s="848">
        <v>1321100000</v>
      </c>
      <c r="E286" s="848">
        <v>15.590169319091226</v>
      </c>
      <c r="F286" s="848">
        <v>4.7484053098953254</v>
      </c>
      <c r="G286" s="848">
        <f t="shared" si="8"/>
        <v>0.2033857462898655</v>
      </c>
      <c r="H286" s="848">
        <f t="shared" si="9"/>
        <v>268692909.42354131</v>
      </c>
      <c r="I286" s="848">
        <v>86.764740000000003</v>
      </c>
      <c r="J286" s="848">
        <v>97.89546</v>
      </c>
      <c r="K286" s="848">
        <v>94.921390000000002</v>
      </c>
    </row>
    <row r="287" spans="1:11">
      <c r="A287" s="848">
        <v>2007</v>
      </c>
      <c r="B287" s="848" t="s">
        <v>195</v>
      </c>
      <c r="C287" s="848" t="str">
        <f>$A287&amp;"_"&amp;$B287</f>
        <v>2007_Ghana</v>
      </c>
      <c r="D287" s="848">
        <v>4194720000</v>
      </c>
      <c r="E287" s="848">
        <v>1.292176243694606</v>
      </c>
      <c r="F287" s="848">
        <v>4.8924206412209639</v>
      </c>
      <c r="G287" s="848">
        <f t="shared" si="8"/>
        <v>6.1845968849155698E-2</v>
      </c>
      <c r="H287" s="848">
        <f t="shared" si="9"/>
        <v>259426522.45093039</v>
      </c>
      <c r="I287" s="848">
        <v>71.983220000000003</v>
      </c>
      <c r="J287" s="848">
        <v>100.95641999999999</v>
      </c>
      <c r="K287" s="848">
        <v>72.374099999999999</v>
      </c>
    </row>
    <row r="288" spans="1:11">
      <c r="A288" s="848">
        <v>2007</v>
      </c>
      <c r="B288" s="848" t="s">
        <v>219</v>
      </c>
      <c r="C288" s="848" t="str">
        <f>$A288&amp;"_"&amp;$B288</f>
        <v>2007_Guatemala</v>
      </c>
      <c r="D288" s="848">
        <v>6897700000</v>
      </c>
      <c r="E288" s="848">
        <v>5.0732908927360185</v>
      </c>
      <c r="F288" s="848">
        <v>3.9509237933129908</v>
      </c>
      <c r="G288" s="848">
        <f t="shared" si="8"/>
        <v>9.0242146860490105E-2</v>
      </c>
      <c r="H288" s="848">
        <f t="shared" si="9"/>
        <v>622463256.39960265</v>
      </c>
      <c r="I288" s="848">
        <v>95.629429999999999</v>
      </c>
      <c r="J288" s="848">
        <v>114.16728000000001</v>
      </c>
      <c r="K288" s="848">
        <v>97.429230000000004</v>
      </c>
    </row>
    <row r="289" spans="1:11">
      <c r="A289" s="848">
        <v>2007</v>
      </c>
      <c r="B289" s="848" t="s">
        <v>3089</v>
      </c>
      <c r="C289" s="848" t="str">
        <f>$A289&amp;"_"&amp;$B289</f>
        <v>2007_Guinea</v>
      </c>
      <c r="D289" s="848">
        <v>1203000000</v>
      </c>
      <c r="E289" s="848">
        <v>1.0424846649704897</v>
      </c>
      <c r="F289" s="848">
        <v>82.229446081975865</v>
      </c>
      <c r="G289" s="848">
        <f t="shared" si="8"/>
        <v>0.83271930746946354</v>
      </c>
      <c r="H289" s="848">
        <f t="shared" si="9"/>
        <v>1001761326.8857646</v>
      </c>
      <c r="I289" s="848">
        <v>68.250399999999999</v>
      </c>
      <c r="J289" s="848">
        <v>84.189369999999997</v>
      </c>
      <c r="K289" s="848">
        <v>69.569850000000002</v>
      </c>
    </row>
    <row r="290" spans="1:11">
      <c r="A290" s="848">
        <v>2007</v>
      </c>
      <c r="B290" s="848" t="s">
        <v>243</v>
      </c>
      <c r="C290" s="848" t="str">
        <f>$A290&amp;"_"&amp;$B290</f>
        <v>2007_Indonesia</v>
      </c>
      <c r="D290" s="848">
        <v>118013000000</v>
      </c>
      <c r="E290" s="848">
        <v>25.386733244989983</v>
      </c>
      <c r="F290" s="848">
        <v>10.718652863253372</v>
      </c>
      <c r="G290" s="848">
        <f t="shared" si="8"/>
        <v>0.36105386108243354</v>
      </c>
      <c r="H290" s="848">
        <f t="shared" si="9"/>
        <v>42609049307.921227</v>
      </c>
      <c r="I290" s="848">
        <v>95.384209999999996</v>
      </c>
      <c r="J290" s="848">
        <v>111.13317000000001</v>
      </c>
      <c r="K290" s="848">
        <v>98.577740000000006</v>
      </c>
    </row>
    <row r="291" spans="1:11">
      <c r="A291" s="848">
        <v>2007</v>
      </c>
      <c r="B291" s="848" t="s">
        <v>251</v>
      </c>
      <c r="C291" s="848" t="str">
        <f>$A291&amp;"_"&amp;$B291</f>
        <v>2007_Iraq</v>
      </c>
      <c r="D291" s="848">
        <v>41267900000</v>
      </c>
      <c r="E291" s="848">
        <v>99.73947679904424</v>
      </c>
      <c r="F291" s="848">
        <v>9.2499053085927591E-5</v>
      </c>
      <c r="G291" s="848">
        <f t="shared" si="8"/>
        <v>0.99739569298097319</v>
      </c>
      <c r="H291" s="848">
        <f t="shared" si="9"/>
        <v>41160425718.369507</v>
      </c>
      <c r="I291" s="848">
        <v>91.753240000000005</v>
      </c>
      <c r="J291" s="848">
        <v>107.46769</v>
      </c>
      <c r="K291" s="848">
        <v>91.753240000000005</v>
      </c>
    </row>
    <row r="292" spans="1:11">
      <c r="A292" s="848">
        <v>2007</v>
      </c>
      <c r="B292" s="848" t="s">
        <v>280</v>
      </c>
      <c r="C292" s="848" t="str">
        <f>$A292&amp;"_"&amp;$B292</f>
        <v>2007_Kazakhstan</v>
      </c>
      <c r="D292" s="848">
        <v>47755000000</v>
      </c>
      <c r="E292" s="848">
        <v>66.552311674215915</v>
      </c>
      <c r="F292" s="848">
        <v>14.16449961512739</v>
      </c>
      <c r="G292" s="848">
        <f t="shared" si="8"/>
        <v>0.80716811289343293</v>
      </c>
      <c r="H292" s="848">
        <f t="shared" si="9"/>
        <v>38546313231.225891</v>
      </c>
      <c r="I292" s="848">
        <v>90.012219999999999</v>
      </c>
      <c r="J292" s="848">
        <v>103.33914</v>
      </c>
      <c r="K292" s="848">
        <v>98.769270000000006</v>
      </c>
    </row>
    <row r="293" spans="1:11">
      <c r="A293" s="848">
        <v>2007</v>
      </c>
      <c r="B293" s="848" t="s">
        <v>316</v>
      </c>
      <c r="C293" s="848" t="str">
        <f>$A293&amp;"_"&amp;$B293</f>
        <v>2007_Madagascar</v>
      </c>
      <c r="D293" s="848">
        <v>1237684000</v>
      </c>
      <c r="E293" s="848">
        <v>4.7018413033558479</v>
      </c>
      <c r="F293" s="848">
        <v>3.2927374794187081</v>
      </c>
      <c r="G293" s="848">
        <f t="shared" si="8"/>
        <v>7.9945787827745557E-2</v>
      </c>
      <c r="H293" s="848">
        <f t="shared" si="9"/>
        <v>98947622.461795434</v>
      </c>
      <c r="I293" s="848" t="s">
        <v>3088</v>
      </c>
      <c r="J293" s="848">
        <v>139.26820000000001</v>
      </c>
      <c r="K293" s="848" t="s">
        <v>3088</v>
      </c>
    </row>
    <row r="294" spans="1:11">
      <c r="A294" s="848">
        <v>2007</v>
      </c>
      <c r="B294" s="848" t="s">
        <v>329</v>
      </c>
      <c r="C294" s="848" t="str">
        <f>$A294&amp;"_"&amp;$B294</f>
        <v>2007_Mali</v>
      </c>
      <c r="D294" s="848">
        <v>1556252000</v>
      </c>
      <c r="E294" s="848">
        <v>1.9170273798220914</v>
      </c>
      <c r="F294" s="848">
        <v>0.77774740046033897</v>
      </c>
      <c r="G294" s="848">
        <f t="shared" si="8"/>
        <v>2.6947747802824305E-2</v>
      </c>
      <c r="H294" s="848">
        <f t="shared" si="9"/>
        <v>41937486.413640931</v>
      </c>
      <c r="I294" s="848">
        <v>64.880319999999998</v>
      </c>
      <c r="J294" s="848">
        <v>85.576909999999998</v>
      </c>
      <c r="K294" s="848">
        <v>64.880319999999998</v>
      </c>
    </row>
    <row r="295" spans="1:11">
      <c r="A295" s="848">
        <v>2007</v>
      </c>
      <c r="B295" s="848" t="s">
        <v>345</v>
      </c>
      <c r="C295" s="848" t="str">
        <f>$A295&amp;"_"&amp;$B295</f>
        <v>2007_Mauritania</v>
      </c>
      <c r="D295" s="848">
        <v>1454000000</v>
      </c>
      <c r="E295" s="848">
        <v>25.744300862609066</v>
      </c>
      <c r="F295" s="848">
        <v>55.407723509462045</v>
      </c>
      <c r="G295" s="848">
        <f t="shared" si="8"/>
        <v>0.81152024372071108</v>
      </c>
      <c r="H295" s="848">
        <f t="shared" si="9"/>
        <v>1179950434.3699138</v>
      </c>
      <c r="I295" s="848">
        <v>74.036529999999999</v>
      </c>
      <c r="J295" s="848">
        <v>95.021439999999998</v>
      </c>
      <c r="K295" s="848">
        <v>74.513229999999993</v>
      </c>
    </row>
    <row r="296" spans="1:11">
      <c r="A296" s="848">
        <v>2007</v>
      </c>
      <c r="B296" s="848" t="s">
        <v>364</v>
      </c>
      <c r="C296" s="848" t="str">
        <f>$A296&amp;"_"&amp;$B296</f>
        <v>2007_Mongolia</v>
      </c>
      <c r="D296" s="848">
        <v>1889000000</v>
      </c>
      <c r="E296" s="848">
        <v>10.296857863802428</v>
      </c>
      <c r="F296" s="848">
        <v>69.90128898740295</v>
      </c>
      <c r="G296" s="848">
        <f t="shared" si="8"/>
        <v>0.80198146851205376</v>
      </c>
      <c r="H296" s="848">
        <f t="shared" si="9"/>
        <v>1514942994.0192695</v>
      </c>
      <c r="I296" s="848">
        <v>88.969449999999995</v>
      </c>
      <c r="J296" s="848">
        <v>99.992059999999995</v>
      </c>
      <c r="K296" s="848">
        <v>97.713149999999999</v>
      </c>
    </row>
    <row r="297" spans="1:11">
      <c r="A297" s="848">
        <v>2007</v>
      </c>
      <c r="B297" s="848" t="s">
        <v>394</v>
      </c>
      <c r="C297" s="848" t="str">
        <f>$A297&amp;"_"&amp;$B297</f>
        <v>2007_Niger</v>
      </c>
      <c r="D297" s="848">
        <v>663286000</v>
      </c>
      <c r="E297" s="848">
        <v>2.5650659667410203</v>
      </c>
      <c r="F297" s="848">
        <v>52.639793878597644</v>
      </c>
      <c r="G297" s="848">
        <f t="shared" si="8"/>
        <v>0.55204859845338661</v>
      </c>
      <c r="H297" s="848">
        <f t="shared" si="9"/>
        <v>366166106.67375296</v>
      </c>
      <c r="I297" s="848">
        <v>44.708730000000003</v>
      </c>
      <c r="J297" s="848">
        <v>53.12782</v>
      </c>
      <c r="K297" s="848">
        <v>45.302909999999997</v>
      </c>
    </row>
    <row r="298" spans="1:11">
      <c r="A298" s="848">
        <v>2007</v>
      </c>
      <c r="B298" s="848" t="s">
        <v>413</v>
      </c>
      <c r="C298" s="848" t="str">
        <f>$A298&amp;"_"&amp;$B298</f>
        <v>2007_Nigeria</v>
      </c>
      <c r="D298" s="848">
        <v>66605950000</v>
      </c>
      <c r="E298" s="848">
        <v>93.666363736582653</v>
      </c>
      <c r="F298" s="848">
        <v>0.40477461927081859</v>
      </c>
      <c r="G298" s="848">
        <f t="shared" si="8"/>
        <v>0.94071138355853479</v>
      </c>
      <c r="H298" s="848">
        <f t="shared" si="9"/>
        <v>62656975377.730591</v>
      </c>
      <c r="I298" s="848">
        <v>69.994479999999996</v>
      </c>
      <c r="J298" s="848">
        <v>92.890259999999998</v>
      </c>
      <c r="K298" s="848">
        <v>71.34639</v>
      </c>
    </row>
    <row r="299" spans="1:11">
      <c r="A299" s="848">
        <v>2007</v>
      </c>
      <c r="B299" s="848" t="s">
        <v>436</v>
      </c>
      <c r="C299" s="848" t="str">
        <f>$A299&amp;"_"&amp;$B299</f>
        <v>2007_Norway</v>
      </c>
      <c r="D299" s="848">
        <v>136354292000</v>
      </c>
      <c r="E299" s="848">
        <v>64.319568329969229</v>
      </c>
      <c r="F299" s="848">
        <v>8.5009918610180666</v>
      </c>
      <c r="G299" s="848">
        <f t="shared" si="8"/>
        <v>0.72820560190987293</v>
      </c>
      <c r="H299" s="848">
        <f t="shared" si="9"/>
        <v>99293959278.854568</v>
      </c>
      <c r="I299" s="848">
        <v>99.129630000000006</v>
      </c>
      <c r="J299" s="848">
        <v>99.129630000000006</v>
      </c>
      <c r="K299" s="848">
        <v>99.129630000000006</v>
      </c>
    </row>
    <row r="300" spans="1:11">
      <c r="A300" s="848">
        <v>2007</v>
      </c>
      <c r="B300" s="848" t="s">
        <v>449</v>
      </c>
      <c r="C300" s="848" t="str">
        <f>$A300&amp;"_"&amp;$B300</f>
        <v>2007_Peru</v>
      </c>
      <c r="D300" s="848">
        <v>28093759983.461601</v>
      </c>
      <c r="E300" s="848">
        <v>10.082499765834079</v>
      </c>
      <c r="F300" s="848">
        <v>58.241151303911664</v>
      </c>
      <c r="G300" s="848">
        <f t="shared" si="8"/>
        <v>0.6832365106974575</v>
      </c>
      <c r="H300" s="848">
        <f t="shared" si="9"/>
        <v>19194682543.472164</v>
      </c>
      <c r="I300" s="848">
        <v>96.798829999999995</v>
      </c>
      <c r="J300" s="848">
        <v>113.18873000000001</v>
      </c>
      <c r="K300" s="848">
        <v>99.705489999999998</v>
      </c>
    </row>
    <row r="301" spans="1:11">
      <c r="A301" s="848">
        <v>2007</v>
      </c>
      <c r="B301" s="848" t="s">
        <v>488</v>
      </c>
      <c r="C301" s="848" t="str">
        <f>$A301&amp;"_"&amp;$B301</f>
        <v>2007_Sierra Leone</v>
      </c>
      <c r="D301" s="848">
        <v>245238000</v>
      </c>
      <c r="E301" s="848" t="s">
        <v>3088</v>
      </c>
      <c r="F301" s="848" t="s">
        <v>3088</v>
      </c>
      <c r="G301" s="848" t="str">
        <f t="shared" si="8"/>
        <v>..</v>
      </c>
      <c r="H301" s="848" t="str">
        <f t="shared" si="9"/>
        <v>..</v>
      </c>
      <c r="I301" s="848" t="s">
        <v>3088</v>
      </c>
      <c r="J301" s="848" t="s">
        <v>3088</v>
      </c>
      <c r="K301" s="848" t="s">
        <v>3088</v>
      </c>
    </row>
    <row r="302" spans="1:11">
      <c r="A302" s="848">
        <v>2007</v>
      </c>
      <c r="B302" s="848" t="s">
        <v>499</v>
      </c>
      <c r="C302" s="848" t="str">
        <f>$A302&amp;"_"&amp;$B302</f>
        <v>2007_Tanzania</v>
      </c>
      <c r="D302" s="848">
        <v>2139347000</v>
      </c>
      <c r="E302" s="848">
        <v>0.89634699958722619</v>
      </c>
      <c r="F302" s="848">
        <v>17.621151311172529</v>
      </c>
      <c r="G302" s="848">
        <f t="shared" si="8"/>
        <v>0.18517498310759756</v>
      </c>
      <c r="H302" s="848">
        <f t="shared" si="9"/>
        <v>396153544.58628953</v>
      </c>
      <c r="I302" s="848" t="s">
        <v>3088</v>
      </c>
      <c r="J302" s="848">
        <v>110.11848000000001</v>
      </c>
      <c r="K302" s="848" t="s">
        <v>3088</v>
      </c>
    </row>
    <row r="303" spans="1:11">
      <c r="A303" s="848">
        <v>2007</v>
      </c>
      <c r="B303" s="848" t="s">
        <v>3090</v>
      </c>
      <c r="C303" s="848" t="str">
        <f>$A303&amp;"_"&amp;$B303</f>
        <v>2007_Timor-Leste</v>
      </c>
      <c r="D303" s="848">
        <v>8367000</v>
      </c>
      <c r="E303" s="848" t="s">
        <v>3088</v>
      </c>
      <c r="F303" s="848" t="s">
        <v>3088</v>
      </c>
      <c r="G303" s="848" t="str">
        <f t="shared" si="8"/>
        <v>..</v>
      </c>
      <c r="H303" s="848" t="str">
        <f t="shared" si="9"/>
        <v>..</v>
      </c>
      <c r="I303" s="848" t="s">
        <v>3088</v>
      </c>
      <c r="J303" s="848" t="s">
        <v>3088</v>
      </c>
      <c r="K303" s="848" t="s">
        <v>3088</v>
      </c>
    </row>
    <row r="304" spans="1:11">
      <c r="A304" s="848">
        <v>2007</v>
      </c>
      <c r="B304" s="848" t="s">
        <v>517</v>
      </c>
      <c r="C304" s="848" t="str">
        <f>$A304&amp;"_"&amp;$B304</f>
        <v>2007_Togo</v>
      </c>
      <c r="D304" s="848">
        <v>676894090.35047305</v>
      </c>
      <c r="E304" s="848">
        <v>4.951651352692695E-3</v>
      </c>
      <c r="F304" s="848">
        <v>12.795285287985683</v>
      </c>
      <c r="G304" s="848">
        <f t="shared" si="8"/>
        <v>0.12800236939338375</v>
      </c>
      <c r="H304" s="848">
        <f t="shared" si="9"/>
        <v>86644047.393239722</v>
      </c>
      <c r="I304" s="848">
        <v>89.030690000000007</v>
      </c>
      <c r="J304" s="848">
        <v>111.93116000000001</v>
      </c>
      <c r="K304" s="848">
        <v>91.001170000000002</v>
      </c>
    </row>
    <row r="305" spans="1:11">
      <c r="A305" s="848">
        <v>2007</v>
      </c>
      <c r="B305" s="848" t="s">
        <v>3091</v>
      </c>
      <c r="C305" s="848" t="str">
        <f>$A305&amp;"_"&amp;$B305</f>
        <v>2007_Trinidad and Tobago</v>
      </c>
      <c r="D305" s="848">
        <v>13396245000</v>
      </c>
      <c r="E305" s="848">
        <v>66.075852986723689</v>
      </c>
      <c r="F305" s="848">
        <v>2.8437966860740573</v>
      </c>
      <c r="G305" s="848">
        <f t="shared" si="8"/>
        <v>0.68919649672797745</v>
      </c>
      <c r="H305" s="848">
        <f t="shared" si="9"/>
        <v>9232645123.3096848</v>
      </c>
      <c r="I305" s="848">
        <v>93.502709999999993</v>
      </c>
      <c r="J305" s="848">
        <v>104.59357</v>
      </c>
      <c r="K305" s="848">
        <v>96.877020000000002</v>
      </c>
    </row>
    <row r="306" spans="1:11">
      <c r="A306" s="848">
        <v>2007</v>
      </c>
      <c r="B306" s="848" t="s">
        <v>3092</v>
      </c>
      <c r="C306" s="848" t="str">
        <f>$A306&amp;"_"&amp;$B306</f>
        <v>2007_Yemen, Rep.</v>
      </c>
      <c r="D306" s="848">
        <v>6298943000</v>
      </c>
      <c r="E306" s="848">
        <v>91.227168836328246</v>
      </c>
      <c r="F306" s="848">
        <v>0.24843205737417645</v>
      </c>
      <c r="G306" s="848">
        <f t="shared" si="8"/>
        <v>0.91475600893702425</v>
      </c>
      <c r="H306" s="848">
        <f t="shared" si="9"/>
        <v>5761995959.2018061</v>
      </c>
      <c r="I306" s="848" t="s">
        <v>3088</v>
      </c>
      <c r="J306" s="848" t="s">
        <v>3088</v>
      </c>
      <c r="K306" s="848" t="s">
        <v>3088</v>
      </c>
    </row>
    <row r="307" spans="1:11">
      <c r="A307" s="848">
        <v>2007</v>
      </c>
      <c r="B307" s="848" t="s">
        <v>541</v>
      </c>
      <c r="C307" s="848" t="str">
        <f>$A307&amp;"_"&amp;$B307</f>
        <v>2007_Zambia</v>
      </c>
      <c r="D307" s="848">
        <v>4617454000</v>
      </c>
      <c r="E307" s="848">
        <v>0.50364993542307335</v>
      </c>
      <c r="F307" s="848">
        <v>83.027804181000505</v>
      </c>
      <c r="G307" s="848">
        <f t="shared" si="8"/>
        <v>0.83531454116423576</v>
      </c>
      <c r="H307" s="848">
        <f t="shared" si="9"/>
        <v>3857026469.3569651</v>
      </c>
      <c r="I307" s="848">
        <v>93.747119999999995</v>
      </c>
      <c r="J307" s="848">
        <v>118.57662999999999</v>
      </c>
      <c r="K307" s="848">
        <v>95.079030000000003</v>
      </c>
    </row>
    <row r="308" spans="1:11">
      <c r="A308" s="848">
        <v>2008</v>
      </c>
      <c r="B308" s="848" t="s">
        <v>21</v>
      </c>
      <c r="C308" s="848" t="str">
        <f>$A308&amp;"_"&amp;$B308</f>
        <v>2008_Afghanistan</v>
      </c>
      <c r="D308" s="848">
        <v>540066000</v>
      </c>
      <c r="E308" s="848" t="s">
        <v>3088</v>
      </c>
      <c r="F308" s="848" t="s">
        <v>3088</v>
      </c>
      <c r="G308" s="848" t="str">
        <f t="shared" si="8"/>
        <v>..</v>
      </c>
      <c r="H308" s="848" t="str">
        <f t="shared" si="9"/>
        <v>..</v>
      </c>
      <c r="I308" s="848" t="s">
        <v>3088</v>
      </c>
      <c r="J308" s="848">
        <v>99.467140000000001</v>
      </c>
      <c r="K308" s="848" t="s">
        <v>3088</v>
      </c>
    </row>
    <row r="309" spans="1:11">
      <c r="A309" s="848">
        <v>2008</v>
      </c>
      <c r="B309" s="848" t="s">
        <v>38</v>
      </c>
      <c r="C309" s="848" t="str">
        <f>$A309&amp;"_"&amp;$B309</f>
        <v>2008_Albania</v>
      </c>
      <c r="D309" s="848">
        <v>1354830000</v>
      </c>
      <c r="E309" s="848">
        <v>21.814272004800021</v>
      </c>
      <c r="F309" s="848">
        <v>32.633140666781372</v>
      </c>
      <c r="G309" s="848">
        <f t="shared" si="8"/>
        <v>0.54447412671581386</v>
      </c>
      <c r="H309" s="848">
        <f t="shared" si="9"/>
        <v>737669881.09838605</v>
      </c>
      <c r="I309" s="848" t="s">
        <v>3088</v>
      </c>
      <c r="J309" s="848" t="s">
        <v>3088</v>
      </c>
      <c r="K309" s="848" t="s">
        <v>3088</v>
      </c>
    </row>
    <row r="310" spans="1:11">
      <c r="A310" s="848">
        <v>2008</v>
      </c>
      <c r="B310" s="848" t="s">
        <v>53</v>
      </c>
      <c r="C310" s="848" t="str">
        <f>$A310&amp;"_"&amp;$B310</f>
        <v>2008_Azerbaijan</v>
      </c>
      <c r="D310" s="848">
        <v>30586343000</v>
      </c>
      <c r="E310" s="848">
        <v>97.082784866787364</v>
      </c>
      <c r="F310" s="848">
        <v>0.28822364294431707</v>
      </c>
      <c r="G310" s="848">
        <f t="shared" si="8"/>
        <v>0.97371008509731682</v>
      </c>
      <c r="H310" s="848">
        <f t="shared" si="9"/>
        <v>29782230645.345722</v>
      </c>
      <c r="I310" s="848">
        <v>83.889970000000005</v>
      </c>
      <c r="J310" s="848">
        <v>94.072469999999996</v>
      </c>
      <c r="K310" s="848">
        <v>83.98751</v>
      </c>
    </row>
    <row r="311" spans="1:11">
      <c r="A311" s="848">
        <v>2008</v>
      </c>
      <c r="B311" s="848" t="s">
        <v>98</v>
      </c>
      <c r="C311" s="848" t="str">
        <f>$A311&amp;"_"&amp;$B311</f>
        <v>2008_Burkina Faso</v>
      </c>
      <c r="D311" s="848">
        <v>693159000</v>
      </c>
      <c r="E311" s="848">
        <v>3.1538528485251703E-2</v>
      </c>
      <c r="F311" s="848">
        <v>0.35175162497006246</v>
      </c>
      <c r="G311" s="848">
        <f t="shared" si="8"/>
        <v>3.8329015345531414E-3</v>
      </c>
      <c r="H311" s="848">
        <f t="shared" si="9"/>
        <v>2656810.1947893212</v>
      </c>
      <c r="I311" s="848">
        <v>59.972969999999997</v>
      </c>
      <c r="J311" s="848">
        <v>73.227350000000001</v>
      </c>
      <c r="K311" s="848">
        <v>61.005960000000002</v>
      </c>
    </row>
    <row r="312" spans="1:11">
      <c r="A312" s="848">
        <v>2008</v>
      </c>
      <c r="B312" s="848" t="s">
        <v>101</v>
      </c>
      <c r="C312" s="848" t="str">
        <f>$A312&amp;"_"&amp;$B312</f>
        <v>2008_Cameroon</v>
      </c>
      <c r="D312" s="848">
        <v>5240985000</v>
      </c>
      <c r="E312" s="848">
        <v>1.2471168310575356</v>
      </c>
      <c r="F312" s="848">
        <v>10.086520567543182</v>
      </c>
      <c r="G312" s="848">
        <f t="shared" si="8"/>
        <v>0.11333637398600718</v>
      </c>
      <c r="H312" s="848">
        <f t="shared" si="9"/>
        <v>593994236.01505387</v>
      </c>
      <c r="I312" s="848">
        <v>80.837940000000003</v>
      </c>
      <c r="J312" s="848">
        <v>101.54029</v>
      </c>
      <c r="K312" s="848">
        <v>82.138900000000007</v>
      </c>
    </row>
    <row r="313" spans="1:11">
      <c r="A313" s="848">
        <v>2008</v>
      </c>
      <c r="B313" s="848" t="s">
        <v>127</v>
      </c>
      <c r="C313" s="848" t="str">
        <f>$A313&amp;"_"&amp;$B313</f>
        <v>2008_Central African Republic</v>
      </c>
      <c r="D313" s="848">
        <v>150000000</v>
      </c>
      <c r="E313" s="848">
        <v>2.4434210624423709E-2</v>
      </c>
      <c r="F313" s="848">
        <v>35.761095493632311</v>
      </c>
      <c r="G313" s="848">
        <f t="shared" si="8"/>
        <v>0.3578552970425673</v>
      </c>
      <c r="H313" s="848">
        <f t="shared" si="9"/>
        <v>53678294.556385092</v>
      </c>
      <c r="I313" s="848">
        <v>67.802530000000004</v>
      </c>
      <c r="J313" s="848">
        <v>88.773340000000005</v>
      </c>
      <c r="K313" s="848">
        <v>67.964089999999999</v>
      </c>
    </row>
    <row r="314" spans="1:11">
      <c r="A314" s="848">
        <v>2008</v>
      </c>
      <c r="B314" s="848" t="s">
        <v>138</v>
      </c>
      <c r="C314" s="848" t="str">
        <f>$A314&amp;"_"&amp;$B314</f>
        <v>2008_Chad</v>
      </c>
      <c r="D314" s="848">
        <v>4168556000</v>
      </c>
      <c r="E314" s="848" t="s">
        <v>3088</v>
      </c>
      <c r="F314" s="848" t="s">
        <v>3088</v>
      </c>
      <c r="G314" s="848" t="str">
        <f t="shared" si="8"/>
        <v>..</v>
      </c>
      <c r="H314" s="848" t="str">
        <f t="shared" si="9"/>
        <v>..</v>
      </c>
      <c r="I314" s="848" t="s">
        <v>3088</v>
      </c>
      <c r="J314" s="848">
        <v>78.620090000000005</v>
      </c>
      <c r="K314" s="848" t="s">
        <v>3088</v>
      </c>
    </row>
    <row r="315" spans="1:11">
      <c r="A315" s="848">
        <v>2008</v>
      </c>
      <c r="B315" s="848" t="s">
        <v>3815</v>
      </c>
      <c r="C315" s="848" t="str">
        <f>$A315&amp;"_"&amp;$B315</f>
        <v>2008_Congo, Dem. Rep.</v>
      </c>
      <c r="D315" s="848">
        <v>4400000000</v>
      </c>
      <c r="E315" s="848" t="s">
        <v>3088</v>
      </c>
      <c r="F315" s="848" t="s">
        <v>3088</v>
      </c>
      <c r="G315" s="848" t="str">
        <f t="shared" si="8"/>
        <v>..</v>
      </c>
      <c r="H315" s="848" t="str">
        <f t="shared" si="9"/>
        <v>..</v>
      </c>
      <c r="I315" s="848" t="s">
        <v>3088</v>
      </c>
      <c r="J315" s="848">
        <v>102.18362999999999</v>
      </c>
      <c r="K315" s="848" t="s">
        <v>3088</v>
      </c>
    </row>
    <row r="316" spans="1:11">
      <c r="A316" s="848">
        <v>2008</v>
      </c>
      <c r="B316" s="848" t="s">
        <v>3814</v>
      </c>
      <c r="C316" s="848" t="str">
        <f>$A316&amp;"_"&amp;$B316</f>
        <v>2008_Congo, Rep.</v>
      </c>
      <c r="D316" s="848">
        <v>8324606000</v>
      </c>
      <c r="E316" s="848">
        <v>84.094353595065414</v>
      </c>
      <c r="F316" s="848">
        <v>2.8464758091189347E-2</v>
      </c>
      <c r="G316" s="848">
        <f t="shared" si="8"/>
        <v>0.84122818353156603</v>
      </c>
      <c r="H316" s="848">
        <f t="shared" si="9"/>
        <v>7002893183.9959755</v>
      </c>
      <c r="I316" s="848" t="s">
        <v>3088</v>
      </c>
      <c r="J316" s="848">
        <v>105.22893999999999</v>
      </c>
      <c r="K316" s="848" t="s">
        <v>3088</v>
      </c>
    </row>
    <row r="317" spans="1:11">
      <c r="A317" s="848">
        <v>2008</v>
      </c>
      <c r="B317" s="848" t="s">
        <v>188</v>
      </c>
      <c r="C317" s="848" t="str">
        <f>$A317&amp;"_"&amp;$B317</f>
        <v>2008_Equatorial Guinea</v>
      </c>
      <c r="D317" s="848">
        <v>15217784526.747101</v>
      </c>
      <c r="E317" s="848" t="s">
        <v>3088</v>
      </c>
      <c r="F317" s="848" t="s">
        <v>3088</v>
      </c>
      <c r="G317" s="848" t="str">
        <f t="shared" si="8"/>
        <v>..</v>
      </c>
      <c r="H317" s="848" t="str">
        <f t="shared" si="9"/>
        <v>..</v>
      </c>
      <c r="I317" s="848">
        <v>56.137650000000001</v>
      </c>
      <c r="J317" s="848">
        <v>86.005619999999993</v>
      </c>
      <c r="K317" s="848">
        <v>56.137650000000001</v>
      </c>
    </row>
    <row r="318" spans="1:11">
      <c r="A318" s="848">
        <v>2008</v>
      </c>
      <c r="B318" s="848" t="s">
        <v>191</v>
      </c>
      <c r="C318" s="848" t="str">
        <f>$A318&amp;"_"&amp;$B318</f>
        <v>2008_Gabon</v>
      </c>
      <c r="D318" s="848">
        <v>9565944000</v>
      </c>
      <c r="E318" s="848">
        <v>89.172254572424663</v>
      </c>
      <c r="F318" s="848">
        <v>2.2111106577179891</v>
      </c>
      <c r="G318" s="848">
        <f t="shared" si="8"/>
        <v>0.91383365230142655</v>
      </c>
      <c r="H318" s="848">
        <f t="shared" si="9"/>
        <v>8741681543.230917</v>
      </c>
      <c r="I318" s="848" t="s">
        <v>3088</v>
      </c>
      <c r="J318" s="848" t="s">
        <v>3088</v>
      </c>
      <c r="K318" s="848" t="s">
        <v>3088</v>
      </c>
    </row>
    <row r="319" spans="1:11">
      <c r="A319" s="848">
        <v>2008</v>
      </c>
      <c r="B319" s="848" t="s">
        <v>301</v>
      </c>
      <c r="C319" s="848" t="str">
        <f>$A319&amp;"_"&amp;$B319</f>
        <v>2008_Liberia</v>
      </c>
      <c r="D319" s="848">
        <v>242400000</v>
      </c>
      <c r="E319" s="848" t="s">
        <v>3088</v>
      </c>
      <c r="F319" s="848" t="s">
        <v>3088</v>
      </c>
      <c r="G319" s="848" t="str">
        <f t="shared" si="8"/>
        <v>..</v>
      </c>
      <c r="H319" s="848" t="str">
        <f t="shared" si="9"/>
        <v>..</v>
      </c>
      <c r="I319" s="848">
        <v>42.623980000000003</v>
      </c>
      <c r="J319" s="848">
        <v>93.256010000000003</v>
      </c>
      <c r="K319" s="848">
        <v>42.623980000000003</v>
      </c>
    </row>
    <row r="320" spans="1:11">
      <c r="A320" s="848">
        <v>2008</v>
      </c>
      <c r="B320" s="848" t="s">
        <v>285</v>
      </c>
      <c r="C320" s="848" t="str">
        <f>$A320&amp;"_"&amp;$B320</f>
        <v>2008_Kyrgyz Republic</v>
      </c>
      <c r="D320" s="848">
        <v>1855600000</v>
      </c>
      <c r="E320" s="848">
        <v>5.3204888357456772</v>
      </c>
      <c r="F320" s="848">
        <v>4.0905414093592203</v>
      </c>
      <c r="G320" s="848">
        <f t="shared" si="8"/>
        <v>9.4110302451048969E-2</v>
      </c>
      <c r="H320" s="848">
        <f t="shared" si="9"/>
        <v>174631077.22816646</v>
      </c>
      <c r="I320" s="848">
        <v>86.528090000000006</v>
      </c>
      <c r="J320" s="848">
        <v>98.091809999999995</v>
      </c>
      <c r="K320" s="848">
        <v>94.302660000000003</v>
      </c>
    </row>
    <row r="321" spans="1:11">
      <c r="A321" s="848">
        <v>2008</v>
      </c>
      <c r="B321" s="848" t="s">
        <v>195</v>
      </c>
      <c r="C321" s="848" t="str">
        <f>$A321&amp;"_"&amp;$B321</f>
        <v>2008_Ghana</v>
      </c>
      <c r="D321" s="848">
        <v>5269726000</v>
      </c>
      <c r="E321" s="848">
        <v>2.4154758715986455</v>
      </c>
      <c r="F321" s="848">
        <v>6.3857087724568329</v>
      </c>
      <c r="G321" s="848">
        <f t="shared" si="8"/>
        <v>8.8011846440554778E-2</v>
      </c>
      <c r="H321" s="848">
        <f t="shared" si="9"/>
        <v>463798315.49579895</v>
      </c>
      <c r="I321" s="848">
        <v>77.450180000000003</v>
      </c>
      <c r="J321" s="848">
        <v>106.70916</v>
      </c>
      <c r="K321" s="848">
        <v>77.891919999999999</v>
      </c>
    </row>
    <row r="322" spans="1:11">
      <c r="A322" s="848">
        <v>2008</v>
      </c>
      <c r="B322" s="848" t="s">
        <v>219</v>
      </c>
      <c r="C322" s="848" t="str">
        <f>$A322&amp;"_"&amp;$B322</f>
        <v>2008_Guatemala</v>
      </c>
      <c r="D322" s="848">
        <v>7737400000</v>
      </c>
      <c r="E322" s="848">
        <v>6.9963743595322629</v>
      </c>
      <c r="F322" s="848">
        <v>4.267746884105116</v>
      </c>
      <c r="G322" s="848">
        <f t="shared" si="8"/>
        <v>0.1126412124363738</v>
      </c>
      <c r="H322" s="848">
        <f t="shared" si="9"/>
        <v>871550117.10519862</v>
      </c>
      <c r="I322" s="848">
        <v>95.633570000000006</v>
      </c>
      <c r="J322" s="848">
        <v>114.31032999999999</v>
      </c>
      <c r="K322" s="848">
        <v>97.019149999999996</v>
      </c>
    </row>
    <row r="323" spans="1:11">
      <c r="A323" s="848">
        <v>2008</v>
      </c>
      <c r="B323" s="848" t="s">
        <v>3089</v>
      </c>
      <c r="C323" s="848" t="str">
        <f>$A323&amp;"_"&amp;$B323</f>
        <v>2008_Guinea</v>
      </c>
      <c r="D323" s="848">
        <v>1342010000</v>
      </c>
      <c r="E323" s="848">
        <v>1.5125434738994363</v>
      </c>
      <c r="F323" s="848">
        <v>59.208204017979568</v>
      </c>
      <c r="G323" s="848">
        <f t="shared" ref="G323:G386" si="10">IFERROR(($E323+$F323)/100,"..")</f>
        <v>0.60720747491879001</v>
      </c>
      <c r="H323" s="848">
        <f t="shared" ref="H323:H386" si="11">IFERROR($G323*$D323,"..")</f>
        <v>814878503.4157654</v>
      </c>
      <c r="I323" s="848">
        <v>67.558440000000004</v>
      </c>
      <c r="J323" s="848">
        <v>85.14143</v>
      </c>
      <c r="K323" s="848">
        <v>68.499020000000002</v>
      </c>
    </row>
    <row r="324" spans="1:11">
      <c r="A324" s="848">
        <v>2008</v>
      </c>
      <c r="B324" s="848" t="s">
        <v>243</v>
      </c>
      <c r="C324" s="848" t="str">
        <f>$A324&amp;"_"&amp;$B324</f>
        <v>2008_Indonesia</v>
      </c>
      <c r="D324" s="848">
        <v>139606000000</v>
      </c>
      <c r="E324" s="848">
        <v>29.100009231672519</v>
      </c>
      <c r="F324" s="848">
        <v>7.9633887427764352</v>
      </c>
      <c r="G324" s="848">
        <f t="shared" si="10"/>
        <v>0.37063397974448953</v>
      </c>
      <c r="H324" s="848">
        <f t="shared" si="11"/>
        <v>51742727376.209206</v>
      </c>
      <c r="I324" s="848">
        <v>94.566779999999994</v>
      </c>
      <c r="J324" s="848">
        <v>109.48108000000001</v>
      </c>
      <c r="K324" s="848">
        <v>97.570790000000002</v>
      </c>
    </row>
    <row r="325" spans="1:11">
      <c r="A325" s="848">
        <v>2008</v>
      </c>
      <c r="B325" s="848" t="s">
        <v>251</v>
      </c>
      <c r="C325" s="848" t="str">
        <f>$A325&amp;"_"&amp;$B325</f>
        <v>2008_Iraq</v>
      </c>
      <c r="D325" s="848">
        <v>61273300000</v>
      </c>
      <c r="E325" s="848">
        <v>33.817286766459226</v>
      </c>
      <c r="F325" s="848">
        <v>5.3280066353618785E-4</v>
      </c>
      <c r="G325" s="848">
        <f t="shared" si="10"/>
        <v>0.33817819567122759</v>
      </c>
      <c r="H325" s="848">
        <f t="shared" si="11"/>
        <v>20721294036.821831</v>
      </c>
      <c r="I325" s="848" t="s">
        <v>3088</v>
      </c>
      <c r="J325" s="848" t="s">
        <v>3088</v>
      </c>
      <c r="K325" s="848" t="s">
        <v>3088</v>
      </c>
    </row>
    <row r="326" spans="1:11">
      <c r="A326" s="848">
        <v>2008</v>
      </c>
      <c r="B326" s="848" t="s">
        <v>280</v>
      </c>
      <c r="C326" s="848" t="str">
        <f>$A326&amp;"_"&amp;$B326</f>
        <v>2008_Kazakhstan</v>
      </c>
      <c r="D326" s="848">
        <v>71171956000</v>
      </c>
      <c r="E326" s="848">
        <v>69.254421313970411</v>
      </c>
      <c r="F326" s="848">
        <v>11.644881715155101</v>
      </c>
      <c r="G326" s="848">
        <f t="shared" si="10"/>
        <v>0.80899303029125524</v>
      </c>
      <c r="H326" s="848">
        <f t="shared" si="11"/>
        <v>57577616356.195885</v>
      </c>
      <c r="I326" s="848">
        <v>89.856219999999993</v>
      </c>
      <c r="J326" s="848">
        <v>105.99444</v>
      </c>
      <c r="K326" s="848">
        <v>98.526750000000007</v>
      </c>
    </row>
    <row r="327" spans="1:11">
      <c r="A327" s="848">
        <v>2008</v>
      </c>
      <c r="B327" s="848" t="s">
        <v>316</v>
      </c>
      <c r="C327" s="848" t="str">
        <f>$A327&amp;"_"&amp;$B327</f>
        <v>2008_Madagascar</v>
      </c>
      <c r="D327" s="848">
        <v>1309745000</v>
      </c>
      <c r="E327" s="848">
        <v>5.8461633423337256</v>
      </c>
      <c r="F327" s="848">
        <v>3.2228993965080681</v>
      </c>
      <c r="G327" s="848">
        <f t="shared" si="10"/>
        <v>9.0690627388417933E-2</v>
      </c>
      <c r="H327" s="848">
        <f t="shared" si="11"/>
        <v>118781595.76884344</v>
      </c>
      <c r="I327" s="848" t="s">
        <v>3088</v>
      </c>
      <c r="J327" s="848">
        <v>142.34524999999999</v>
      </c>
      <c r="K327" s="848" t="s">
        <v>3088</v>
      </c>
    </row>
    <row r="328" spans="1:11">
      <c r="A328" s="848">
        <v>2008</v>
      </c>
      <c r="B328" s="848" t="s">
        <v>329</v>
      </c>
      <c r="C328" s="848" t="str">
        <f>$A328&amp;"_"&amp;$B328</f>
        <v>2008_Mali</v>
      </c>
      <c r="D328" s="848">
        <v>2097118000</v>
      </c>
      <c r="E328" s="848">
        <v>5.9883877802238317</v>
      </c>
      <c r="F328" s="848">
        <v>0.78112947349466999</v>
      </c>
      <c r="G328" s="848">
        <f t="shared" si="10"/>
        <v>6.7695172537185017E-2</v>
      </c>
      <c r="H328" s="848">
        <f t="shared" si="11"/>
        <v>141964764.84083638</v>
      </c>
      <c r="I328" s="848" t="s">
        <v>3088</v>
      </c>
      <c r="J328" s="848">
        <v>87.618589999999998</v>
      </c>
      <c r="K328" s="848" t="s">
        <v>3088</v>
      </c>
    </row>
    <row r="329" spans="1:11">
      <c r="A329" s="848">
        <v>2008</v>
      </c>
      <c r="B329" s="848" t="s">
        <v>345</v>
      </c>
      <c r="C329" s="848" t="str">
        <f>$A329&amp;"_"&amp;$B329</f>
        <v>2008_Mauritania</v>
      </c>
      <c r="D329" s="848">
        <v>1787600000</v>
      </c>
      <c r="E329" s="848">
        <v>21.671895840386849</v>
      </c>
      <c r="F329" s="848">
        <v>59.94056599644145</v>
      </c>
      <c r="G329" s="848">
        <f t="shared" si="10"/>
        <v>0.81612461836828298</v>
      </c>
      <c r="H329" s="848">
        <f t="shared" si="11"/>
        <v>1458904367.7951427</v>
      </c>
      <c r="I329" s="848">
        <v>70.717759999999998</v>
      </c>
      <c r="J329" s="848">
        <v>90.762209999999996</v>
      </c>
      <c r="K329" s="848">
        <v>71.053460000000001</v>
      </c>
    </row>
    <row r="330" spans="1:11">
      <c r="A330" s="848">
        <v>2008</v>
      </c>
      <c r="B330" s="848" t="s">
        <v>364</v>
      </c>
      <c r="C330" s="848" t="str">
        <f>$A330&amp;"_"&amp;$B330</f>
        <v>2008_Mongolia</v>
      </c>
      <c r="D330" s="848">
        <v>2539300000</v>
      </c>
      <c r="E330" s="848" t="s">
        <v>3088</v>
      </c>
      <c r="F330" s="848" t="s">
        <v>3088</v>
      </c>
      <c r="G330" s="848" t="str">
        <f t="shared" si="10"/>
        <v>..</v>
      </c>
      <c r="H330" s="848" t="str">
        <f t="shared" si="11"/>
        <v>..</v>
      </c>
      <c r="I330" s="848">
        <v>88.781049999999993</v>
      </c>
      <c r="J330" s="848">
        <v>103.48009</v>
      </c>
      <c r="K330" s="848">
        <v>99.345010000000002</v>
      </c>
    </row>
    <row r="331" spans="1:11">
      <c r="A331" s="848">
        <v>2008</v>
      </c>
      <c r="B331" s="848" t="s">
        <v>394</v>
      </c>
      <c r="C331" s="848" t="str">
        <f>$A331&amp;"_"&amp;$B331</f>
        <v>2008_Niger</v>
      </c>
      <c r="D331" s="848">
        <v>910000000</v>
      </c>
      <c r="E331" s="848">
        <v>1.5854481727810597</v>
      </c>
      <c r="F331" s="848">
        <v>44.834110453711979</v>
      </c>
      <c r="G331" s="848">
        <f t="shared" si="10"/>
        <v>0.46419558626493035</v>
      </c>
      <c r="H331" s="848">
        <f t="shared" si="11"/>
        <v>422417983.50108659</v>
      </c>
      <c r="I331" s="848">
        <v>48.807490000000001</v>
      </c>
      <c r="J331" s="848">
        <v>57.052259999999997</v>
      </c>
      <c r="K331" s="848">
        <v>48.807490000000001</v>
      </c>
    </row>
    <row r="332" spans="1:11">
      <c r="A332" s="848">
        <v>2008</v>
      </c>
      <c r="B332" s="848" t="s">
        <v>413</v>
      </c>
      <c r="C332" s="848" t="str">
        <f>$A332&amp;"_"&amp;$B332</f>
        <v>2008_Nigeria</v>
      </c>
      <c r="D332" s="848">
        <v>86273500000</v>
      </c>
      <c r="E332" s="848">
        <v>91.743409298898754</v>
      </c>
      <c r="F332" s="848">
        <v>0.33117170412916669</v>
      </c>
      <c r="G332" s="848">
        <f t="shared" si="10"/>
        <v>0.92074581003027911</v>
      </c>
      <c r="H332" s="848">
        <f t="shared" si="11"/>
        <v>79435963641.647278</v>
      </c>
      <c r="I332" s="848">
        <v>63.119669999999999</v>
      </c>
      <c r="J332" s="848">
        <v>83.766649999999998</v>
      </c>
      <c r="K332" s="848">
        <v>63.119669999999999</v>
      </c>
    </row>
    <row r="333" spans="1:11">
      <c r="A333" s="848">
        <v>2008</v>
      </c>
      <c r="B333" s="848" t="s">
        <v>436</v>
      </c>
      <c r="C333" s="848" t="str">
        <f>$A333&amp;"_"&amp;$B333</f>
        <v>2008_Norway</v>
      </c>
      <c r="D333" s="848">
        <v>171764345000</v>
      </c>
      <c r="E333" s="848">
        <v>68.896673422129155</v>
      </c>
      <c r="F333" s="848">
        <v>5.6993247546260504</v>
      </c>
      <c r="G333" s="848">
        <f t="shared" si="10"/>
        <v>0.74595998176755207</v>
      </c>
      <c r="H333" s="848">
        <f t="shared" si="11"/>
        <v>128129327664.51552</v>
      </c>
      <c r="I333" s="848">
        <v>99.227590000000006</v>
      </c>
      <c r="J333" s="848">
        <v>99.227590000000006</v>
      </c>
      <c r="K333" s="848">
        <v>99.227590000000006</v>
      </c>
    </row>
    <row r="334" spans="1:11">
      <c r="A334" s="848">
        <v>2008</v>
      </c>
      <c r="B334" s="848" t="s">
        <v>449</v>
      </c>
      <c r="C334" s="848" t="str">
        <f>$A334&amp;"_"&amp;$B334</f>
        <v>2008_Peru</v>
      </c>
      <c r="D334" s="848">
        <v>31018541408.129002</v>
      </c>
      <c r="E334" s="848">
        <v>11.118427987110399</v>
      </c>
      <c r="F334" s="848">
        <v>52.359437325470893</v>
      </c>
      <c r="G334" s="848">
        <f t="shared" si="10"/>
        <v>0.63477865312581294</v>
      </c>
      <c r="H334" s="848">
        <f t="shared" si="11"/>
        <v>19689907936.979385</v>
      </c>
      <c r="I334" s="848">
        <v>94.812470000000005</v>
      </c>
      <c r="J334" s="848">
        <v>109.51946</v>
      </c>
      <c r="K334" s="848">
        <v>97.638440000000003</v>
      </c>
    </row>
    <row r="335" spans="1:11">
      <c r="A335" s="848">
        <v>2008</v>
      </c>
      <c r="B335" s="848" t="s">
        <v>488</v>
      </c>
      <c r="C335" s="848" t="str">
        <f>$A335&amp;"_"&amp;$B335</f>
        <v>2008_Sierra Leone</v>
      </c>
      <c r="D335" s="848">
        <v>215667000</v>
      </c>
      <c r="E335" s="848" t="s">
        <v>3088</v>
      </c>
      <c r="F335" s="848" t="s">
        <v>3088</v>
      </c>
      <c r="G335" s="848" t="str">
        <f t="shared" si="10"/>
        <v>..</v>
      </c>
      <c r="H335" s="848" t="str">
        <f t="shared" si="11"/>
        <v>..</v>
      </c>
      <c r="I335" s="848" t="s">
        <v>3088</v>
      </c>
      <c r="J335" s="848" t="s">
        <v>3088</v>
      </c>
      <c r="K335" s="848" t="s">
        <v>3088</v>
      </c>
    </row>
    <row r="336" spans="1:11">
      <c r="A336" s="848">
        <v>2008</v>
      </c>
      <c r="B336" s="848" t="s">
        <v>499</v>
      </c>
      <c r="C336" s="848" t="str">
        <f>$A336&amp;"_"&amp;$B336</f>
        <v>2008_Tanzania</v>
      </c>
      <c r="D336" s="848">
        <v>3121079000</v>
      </c>
      <c r="E336" s="848">
        <v>2.9311066715031635</v>
      </c>
      <c r="F336" s="848">
        <v>16.832118450643001</v>
      </c>
      <c r="G336" s="848">
        <f t="shared" si="10"/>
        <v>0.19763225122146164</v>
      </c>
      <c r="H336" s="848">
        <f t="shared" si="11"/>
        <v>616825869.01002824</v>
      </c>
      <c r="I336" s="848">
        <v>97.594059999999999</v>
      </c>
      <c r="J336" s="848">
        <v>110.98029</v>
      </c>
      <c r="K336" s="848">
        <v>97.832610000000003</v>
      </c>
    </row>
    <row r="337" spans="1:11">
      <c r="A337" s="848">
        <v>2008</v>
      </c>
      <c r="B337" s="848" t="s">
        <v>3090</v>
      </c>
      <c r="C337" s="848" t="str">
        <f>$A337&amp;"_"&amp;$B337</f>
        <v>2008_Timor-Leste</v>
      </c>
      <c r="D337" s="848">
        <v>12999000</v>
      </c>
      <c r="E337" s="848" t="s">
        <v>3088</v>
      </c>
      <c r="F337" s="848" t="s">
        <v>3088</v>
      </c>
      <c r="G337" s="848" t="str">
        <f t="shared" si="10"/>
        <v>..</v>
      </c>
      <c r="H337" s="848" t="str">
        <f t="shared" si="11"/>
        <v>..</v>
      </c>
      <c r="I337" s="848">
        <v>70.500150000000005</v>
      </c>
      <c r="J337" s="848">
        <v>100.11436999999999</v>
      </c>
      <c r="K337" s="848">
        <v>71.280410000000003</v>
      </c>
    </row>
    <row r="338" spans="1:11">
      <c r="A338" s="848">
        <v>2008</v>
      </c>
      <c r="B338" s="848" t="s">
        <v>517</v>
      </c>
      <c r="C338" s="848" t="str">
        <f>$A338&amp;"_"&amp;$B338</f>
        <v>2008_Togo</v>
      </c>
      <c r="D338" s="848">
        <v>852603253.64835095</v>
      </c>
      <c r="E338" s="848">
        <v>7.9386136081844887</v>
      </c>
      <c r="F338" s="848">
        <v>14.798353101639265</v>
      </c>
      <c r="G338" s="848">
        <f t="shared" si="10"/>
        <v>0.22736966709823755</v>
      </c>
      <c r="H338" s="848">
        <f t="shared" si="11"/>
        <v>193856117.94889975</v>
      </c>
      <c r="I338" s="848">
        <v>90.437520000000006</v>
      </c>
      <c r="J338" s="848">
        <v>113.11584999999999</v>
      </c>
      <c r="K338" s="848">
        <v>92.811260000000004</v>
      </c>
    </row>
    <row r="339" spans="1:11">
      <c r="A339" s="848">
        <v>2008</v>
      </c>
      <c r="B339" s="848" t="s">
        <v>3091</v>
      </c>
      <c r="C339" s="848" t="str">
        <f>$A339&amp;"_"&amp;$B339</f>
        <v>2008_Trinidad and Tobago</v>
      </c>
      <c r="D339" s="848">
        <v>18650425000</v>
      </c>
      <c r="E339" s="848">
        <v>69.970765763342456</v>
      </c>
      <c r="F339" s="848">
        <v>2.9284082876717452</v>
      </c>
      <c r="G339" s="848">
        <f t="shared" si="10"/>
        <v>0.72899174051014204</v>
      </c>
      <c r="H339" s="848">
        <f t="shared" si="11"/>
        <v>13596005782.003866</v>
      </c>
      <c r="I339" s="848">
        <v>94.328100000000006</v>
      </c>
      <c r="J339" s="848">
        <v>106.27603999999999</v>
      </c>
      <c r="K339" s="848">
        <v>97.925309999999996</v>
      </c>
    </row>
    <row r="340" spans="1:11">
      <c r="A340" s="848">
        <v>2008</v>
      </c>
      <c r="B340" s="848" t="s">
        <v>3092</v>
      </c>
      <c r="C340" s="848" t="str">
        <f>$A340&amp;"_"&amp;$B340</f>
        <v>2008_Yemen, Rep.</v>
      </c>
      <c r="D340" s="848">
        <v>7583784000</v>
      </c>
      <c r="E340" s="848">
        <v>92.407229262230288</v>
      </c>
      <c r="F340" s="848">
        <v>0.13396987535063784</v>
      </c>
      <c r="G340" s="848">
        <f t="shared" si="10"/>
        <v>0.92541199137580932</v>
      </c>
      <c r="H340" s="848">
        <f t="shared" si="11"/>
        <v>7018124653.604001</v>
      </c>
      <c r="I340" s="848">
        <v>76.460390000000004</v>
      </c>
      <c r="J340" s="848">
        <v>89.829400000000007</v>
      </c>
      <c r="K340" s="848">
        <v>76.828829999999996</v>
      </c>
    </row>
    <row r="341" spans="1:11">
      <c r="A341" s="848">
        <v>2008</v>
      </c>
      <c r="B341" s="848" t="s">
        <v>541</v>
      </c>
      <c r="C341" s="848" t="str">
        <f>$A341&amp;"_"&amp;$B341</f>
        <v>2008_Zambia</v>
      </c>
      <c r="D341" s="848">
        <v>5098688000</v>
      </c>
      <c r="E341" s="848">
        <v>0.70323535515841917</v>
      </c>
      <c r="F341" s="848">
        <v>85.372038695077592</v>
      </c>
      <c r="G341" s="848">
        <f t="shared" si="10"/>
        <v>0.86075274050236006</v>
      </c>
      <c r="H341" s="848">
        <f t="shared" si="11"/>
        <v>4388709668.9664974</v>
      </c>
      <c r="I341" s="848">
        <v>95.400180000000006</v>
      </c>
      <c r="J341" s="848">
        <v>119.33445</v>
      </c>
      <c r="K341" s="848">
        <v>96.953670000000002</v>
      </c>
    </row>
    <row r="342" spans="1:11">
      <c r="A342" s="848">
        <v>2009</v>
      </c>
      <c r="B342" s="848" t="s">
        <v>21</v>
      </c>
      <c r="C342" s="848" t="str">
        <f>$A342&amp;"_"&amp;$B342</f>
        <v>2009_Afghanistan</v>
      </c>
      <c r="D342" s="848">
        <v>403441000</v>
      </c>
      <c r="E342" s="848" t="s">
        <v>3088</v>
      </c>
      <c r="F342" s="848">
        <v>0.13797680248695393</v>
      </c>
      <c r="G342" s="848" t="str">
        <f t="shared" si="10"/>
        <v>..</v>
      </c>
      <c r="H342" s="848" t="str">
        <f t="shared" si="11"/>
        <v>..</v>
      </c>
      <c r="I342" s="848" t="s">
        <v>3088</v>
      </c>
      <c r="J342" s="848">
        <v>95.727959999999996</v>
      </c>
      <c r="K342" s="848" t="s">
        <v>3088</v>
      </c>
    </row>
    <row r="343" spans="1:11">
      <c r="A343" s="848">
        <v>2009</v>
      </c>
      <c r="B343" s="848" t="s">
        <v>38</v>
      </c>
      <c r="C343" s="848" t="str">
        <f>$A343&amp;"_"&amp;$B343</f>
        <v>2009_Albania</v>
      </c>
      <c r="D343" s="848">
        <v>1090600000</v>
      </c>
      <c r="E343" s="848">
        <v>11.602414457250166</v>
      </c>
      <c r="F343" s="848">
        <v>9.5577464696685741</v>
      </c>
      <c r="G343" s="848">
        <f t="shared" si="10"/>
        <v>0.21160160926918742</v>
      </c>
      <c r="H343" s="848">
        <f t="shared" si="11"/>
        <v>230772715.06897581</v>
      </c>
      <c r="I343" s="848" t="s">
        <v>3088</v>
      </c>
      <c r="J343" s="848" t="s">
        <v>3088</v>
      </c>
      <c r="K343" s="848" t="s">
        <v>3088</v>
      </c>
    </row>
    <row r="344" spans="1:11">
      <c r="A344" s="848">
        <v>2009</v>
      </c>
      <c r="B344" s="848" t="s">
        <v>53</v>
      </c>
      <c r="C344" s="848" t="str">
        <f>$A344&amp;"_"&amp;$B344</f>
        <v>2009_Azerbaijan</v>
      </c>
      <c r="D344" s="848">
        <v>21097000000</v>
      </c>
      <c r="E344" s="848">
        <v>92.856862976342853</v>
      </c>
      <c r="F344" s="848">
        <v>0.24994996688852428</v>
      </c>
      <c r="G344" s="848">
        <f t="shared" si="10"/>
        <v>0.93106812943231376</v>
      </c>
      <c r="H344" s="848">
        <f t="shared" si="11"/>
        <v>19642744326.633522</v>
      </c>
      <c r="I344" s="848">
        <v>85.173910000000006</v>
      </c>
      <c r="J344" s="848">
        <v>95.068569999999994</v>
      </c>
      <c r="K344" s="848">
        <v>85.518900000000002</v>
      </c>
    </row>
    <row r="345" spans="1:11">
      <c r="A345" s="848">
        <v>2009</v>
      </c>
      <c r="B345" s="848" t="s">
        <v>98</v>
      </c>
      <c r="C345" s="848" t="str">
        <f>$A345&amp;"_"&amp;$B345</f>
        <v>2009_Burkina Faso</v>
      </c>
      <c r="D345" s="848">
        <v>900493000</v>
      </c>
      <c r="E345" s="848">
        <v>2.2492756720620347E-2</v>
      </c>
      <c r="F345" s="848">
        <v>0.64208971329807996</v>
      </c>
      <c r="G345" s="848">
        <f t="shared" si="10"/>
        <v>6.6458247001870028E-3</v>
      </c>
      <c r="H345" s="848">
        <f t="shared" si="11"/>
        <v>5984518.6217454951</v>
      </c>
      <c r="I345" s="848">
        <v>62.846310000000003</v>
      </c>
      <c r="J345" s="848">
        <v>77.680959999999999</v>
      </c>
      <c r="K345" s="848">
        <v>63.94896</v>
      </c>
    </row>
    <row r="346" spans="1:11">
      <c r="A346" s="848">
        <v>2009</v>
      </c>
      <c r="B346" s="848" t="s">
        <v>101</v>
      </c>
      <c r="C346" s="848" t="str">
        <f>$A346&amp;"_"&amp;$B346</f>
        <v>2009_Cameroon</v>
      </c>
      <c r="D346" s="848">
        <v>3552181000</v>
      </c>
      <c r="E346" s="848">
        <v>0.9474306730582851</v>
      </c>
      <c r="F346" s="848">
        <v>5.4231933030107875</v>
      </c>
      <c r="G346" s="848">
        <f t="shared" si="10"/>
        <v>6.370623976069073E-2</v>
      </c>
      <c r="H346" s="848">
        <f t="shared" si="11"/>
        <v>226296094.45937017</v>
      </c>
      <c r="I346" s="848">
        <v>83.53246</v>
      </c>
      <c r="J346" s="848">
        <v>103.74218999999999</v>
      </c>
      <c r="K346" s="848">
        <v>84.947630000000004</v>
      </c>
    </row>
    <row r="347" spans="1:11">
      <c r="A347" s="848">
        <v>2009</v>
      </c>
      <c r="B347" s="848" t="s">
        <v>127</v>
      </c>
      <c r="C347" s="848" t="str">
        <f>$A347&amp;"_"&amp;$B347</f>
        <v>2009_Central African Republic</v>
      </c>
      <c r="D347" s="848">
        <v>120000000</v>
      </c>
      <c r="E347" s="848" t="s">
        <v>3088</v>
      </c>
      <c r="F347" s="848">
        <v>61.999239361997397</v>
      </c>
      <c r="G347" s="848" t="str">
        <f t="shared" si="10"/>
        <v>..</v>
      </c>
      <c r="H347" s="848" t="str">
        <f t="shared" si="11"/>
        <v>..</v>
      </c>
      <c r="I347" s="848">
        <v>68.328980000000001</v>
      </c>
      <c r="J347" s="848">
        <v>90.788629999999998</v>
      </c>
      <c r="K347" s="848">
        <v>68.580860000000001</v>
      </c>
    </row>
    <row r="348" spans="1:11">
      <c r="A348" s="848">
        <v>2009</v>
      </c>
      <c r="B348" s="848" t="s">
        <v>138</v>
      </c>
      <c r="C348" s="848" t="str">
        <f>$A348&amp;"_"&amp;$B348</f>
        <v>2009_Chad</v>
      </c>
      <c r="D348" s="848">
        <v>2800000000</v>
      </c>
      <c r="E348" s="848" t="s">
        <v>3088</v>
      </c>
      <c r="F348" s="848" t="s">
        <v>3088</v>
      </c>
      <c r="G348" s="848" t="str">
        <f t="shared" si="10"/>
        <v>..</v>
      </c>
      <c r="H348" s="848" t="str">
        <f t="shared" si="11"/>
        <v>..</v>
      </c>
      <c r="I348" s="848" t="s">
        <v>3088</v>
      </c>
      <c r="J348" s="848">
        <v>83.156030000000001</v>
      </c>
      <c r="K348" s="848" t="s">
        <v>3088</v>
      </c>
    </row>
    <row r="349" spans="1:11">
      <c r="A349" s="848">
        <v>2009</v>
      </c>
      <c r="B349" s="848" t="s">
        <v>3815</v>
      </c>
      <c r="C349" s="848" t="str">
        <f>$A349&amp;"_"&amp;$B349</f>
        <v>2009_Congo, Dem. Rep.</v>
      </c>
      <c r="D349" s="848">
        <v>3500000000</v>
      </c>
      <c r="E349" s="848" t="s">
        <v>3088</v>
      </c>
      <c r="F349" s="848" t="s">
        <v>3088</v>
      </c>
      <c r="G349" s="848" t="str">
        <f t="shared" si="10"/>
        <v>..</v>
      </c>
      <c r="H349" s="848" t="str">
        <f t="shared" si="11"/>
        <v>..</v>
      </c>
      <c r="I349" s="848" t="s">
        <v>3088</v>
      </c>
      <c r="J349" s="848">
        <v>102.10938</v>
      </c>
      <c r="K349" s="848" t="s">
        <v>3088</v>
      </c>
    </row>
    <row r="350" spans="1:11">
      <c r="A350" s="848">
        <v>2009</v>
      </c>
      <c r="B350" s="848" t="s">
        <v>3814</v>
      </c>
      <c r="C350" s="848" t="str">
        <f>$A350&amp;"_"&amp;$B350</f>
        <v>2009_Congo, Rep.</v>
      </c>
      <c r="D350" s="848">
        <v>6100000000</v>
      </c>
      <c r="E350" s="848">
        <v>70.659308670359763</v>
      </c>
      <c r="F350" s="848">
        <v>1.8679259694297623E-2</v>
      </c>
      <c r="G350" s="848">
        <f t="shared" si="10"/>
        <v>0.70677987930054054</v>
      </c>
      <c r="H350" s="848">
        <f t="shared" si="11"/>
        <v>4311357263.7332973</v>
      </c>
      <c r="I350" s="848" t="s">
        <v>3088</v>
      </c>
      <c r="J350" s="848">
        <v>109.03785000000001</v>
      </c>
      <c r="K350" s="848" t="s">
        <v>3088</v>
      </c>
    </row>
    <row r="351" spans="1:11">
      <c r="A351" s="848">
        <v>2009</v>
      </c>
      <c r="B351" s="848" t="s">
        <v>188</v>
      </c>
      <c r="C351" s="848" t="str">
        <f>$A351&amp;"_"&amp;$B351</f>
        <v>2009_Equatorial Guinea</v>
      </c>
      <c r="D351" s="848">
        <v>9100000000</v>
      </c>
      <c r="E351" s="848" t="s">
        <v>3088</v>
      </c>
      <c r="F351" s="848" t="s">
        <v>3088</v>
      </c>
      <c r="G351" s="848" t="str">
        <f t="shared" si="10"/>
        <v>..</v>
      </c>
      <c r="H351" s="848" t="str">
        <f t="shared" si="11"/>
        <v>..</v>
      </c>
      <c r="I351" s="848">
        <v>56.111840000000001</v>
      </c>
      <c r="J351" s="848">
        <v>85.856409999999997</v>
      </c>
      <c r="K351" s="848">
        <v>56.111840000000001</v>
      </c>
    </row>
    <row r="352" spans="1:11">
      <c r="A352" s="848">
        <v>2009</v>
      </c>
      <c r="B352" s="848" t="s">
        <v>191</v>
      </c>
      <c r="C352" s="848" t="str">
        <f>$A352&amp;"_"&amp;$B352</f>
        <v>2009_Gabon</v>
      </c>
      <c r="D352" s="848">
        <v>5355978000</v>
      </c>
      <c r="E352" s="848">
        <v>83.134838314536537</v>
      </c>
      <c r="F352" s="848">
        <v>3.0311257191161931</v>
      </c>
      <c r="G352" s="848">
        <f t="shared" si="10"/>
        <v>0.86165964033652731</v>
      </c>
      <c r="H352" s="848">
        <f t="shared" si="11"/>
        <v>4615030077.130353</v>
      </c>
      <c r="I352" s="848" t="s">
        <v>3088</v>
      </c>
      <c r="J352" s="848" t="s">
        <v>3088</v>
      </c>
      <c r="K352" s="848" t="s">
        <v>3088</v>
      </c>
    </row>
    <row r="353" spans="1:11">
      <c r="A353" s="848">
        <v>2009</v>
      </c>
      <c r="B353" s="848" t="s">
        <v>301</v>
      </c>
      <c r="C353" s="848" t="str">
        <f>$A353&amp;"_"&amp;$B353</f>
        <v>2009_Liberia</v>
      </c>
      <c r="D353" s="848">
        <v>148830000</v>
      </c>
      <c r="E353" s="848" t="s">
        <v>3088</v>
      </c>
      <c r="F353" s="848" t="s">
        <v>3088</v>
      </c>
      <c r="G353" s="848" t="str">
        <f t="shared" si="10"/>
        <v>..</v>
      </c>
      <c r="H353" s="848" t="str">
        <f t="shared" si="11"/>
        <v>..</v>
      </c>
      <c r="I353" s="848">
        <v>39.905470000000001</v>
      </c>
      <c r="J353" s="848">
        <v>99.638310000000004</v>
      </c>
      <c r="K353" s="848">
        <v>40.164589999999997</v>
      </c>
    </row>
    <row r="354" spans="1:11">
      <c r="A354" s="848">
        <v>2009</v>
      </c>
      <c r="B354" s="848" t="s">
        <v>285</v>
      </c>
      <c r="C354" s="848" t="str">
        <f>$A354&amp;"_"&amp;$B354</f>
        <v>2009_Kyrgyz Republic</v>
      </c>
      <c r="D354" s="848">
        <v>1673000000</v>
      </c>
      <c r="E354" s="848">
        <v>6.1789385956520917</v>
      </c>
      <c r="F354" s="848">
        <v>2.9573890851719056</v>
      </c>
      <c r="G354" s="848">
        <f t="shared" si="10"/>
        <v>9.1363276808239982E-2</v>
      </c>
      <c r="H354" s="848">
        <f t="shared" si="11"/>
        <v>152850762.10018548</v>
      </c>
      <c r="I354" s="848">
        <v>86.253870000000006</v>
      </c>
      <c r="J354" s="848">
        <v>98.266930000000002</v>
      </c>
      <c r="K354" s="848">
        <v>93.910719999999998</v>
      </c>
    </row>
    <row r="355" spans="1:11">
      <c r="A355" s="848">
        <v>2009</v>
      </c>
      <c r="B355" s="848" t="s">
        <v>195</v>
      </c>
      <c r="C355" s="848" t="str">
        <f>$A355&amp;"_"&amp;$B355</f>
        <v>2009_Ghana</v>
      </c>
      <c r="D355" s="848">
        <v>5839710000</v>
      </c>
      <c r="E355" s="848">
        <v>4.18311482217727</v>
      </c>
      <c r="F355" s="848">
        <v>4.1726981040200632</v>
      </c>
      <c r="G355" s="848">
        <f t="shared" si="10"/>
        <v>8.3558129261973341E-2</v>
      </c>
      <c r="H355" s="848">
        <f t="shared" si="11"/>
        <v>487955243.03243834</v>
      </c>
      <c r="I355" s="848">
        <v>76.143659999999997</v>
      </c>
      <c r="J355" s="848">
        <v>105.53379</v>
      </c>
      <c r="K355" s="848">
        <v>76.468360000000004</v>
      </c>
    </row>
    <row r="356" spans="1:11">
      <c r="A356" s="848">
        <v>2009</v>
      </c>
      <c r="B356" s="848" t="s">
        <v>219</v>
      </c>
      <c r="C356" s="848" t="str">
        <f>$A356&amp;"_"&amp;$B356</f>
        <v>2009_Guatemala</v>
      </c>
      <c r="D356" s="848">
        <v>7213700000</v>
      </c>
      <c r="E356" s="848">
        <v>4.0665078183161381</v>
      </c>
      <c r="F356" s="848">
        <v>5.1469834177485607</v>
      </c>
      <c r="G356" s="848">
        <f t="shared" si="10"/>
        <v>9.2134912360646984E-2</v>
      </c>
      <c r="H356" s="848">
        <f t="shared" si="11"/>
        <v>664633617.29599917</v>
      </c>
      <c r="I356" s="848">
        <v>97.009889999999999</v>
      </c>
      <c r="J356" s="848">
        <v>116.75566999999999</v>
      </c>
      <c r="K356" s="848">
        <v>98.720759999999999</v>
      </c>
    </row>
    <row r="357" spans="1:11">
      <c r="A357" s="848">
        <v>2009</v>
      </c>
      <c r="B357" s="848" t="s">
        <v>3089</v>
      </c>
      <c r="C357" s="848" t="str">
        <f>$A357&amp;"_"&amp;$B357</f>
        <v>2009_Guinea</v>
      </c>
      <c r="D357" s="848">
        <v>1049720000</v>
      </c>
      <c r="E357" s="848" t="s">
        <v>3088</v>
      </c>
      <c r="F357" s="848" t="s">
        <v>3088</v>
      </c>
      <c r="G357" s="848" t="str">
        <f t="shared" si="10"/>
        <v>..</v>
      </c>
      <c r="H357" s="848" t="str">
        <f t="shared" si="11"/>
        <v>..</v>
      </c>
      <c r="I357" s="848">
        <v>68.679079999999999</v>
      </c>
      <c r="J357" s="848">
        <v>84.595759999999999</v>
      </c>
      <c r="K357" s="848">
        <v>69.779200000000003</v>
      </c>
    </row>
    <row r="358" spans="1:11">
      <c r="A358" s="848">
        <v>2009</v>
      </c>
      <c r="B358" s="848" t="s">
        <v>243</v>
      </c>
      <c r="C358" s="848" t="str">
        <f>$A358&amp;"_"&amp;$B358</f>
        <v>2009_Indonesia</v>
      </c>
      <c r="D358" s="848">
        <v>119646000000</v>
      </c>
      <c r="E358" s="848">
        <v>28.420483786916428</v>
      </c>
      <c r="F358" s="848">
        <v>9.1697031320845888</v>
      </c>
      <c r="G358" s="848">
        <f t="shared" si="10"/>
        <v>0.37590186919001012</v>
      </c>
      <c r="H358" s="848">
        <f t="shared" si="11"/>
        <v>44975155041.107948</v>
      </c>
      <c r="I358" s="848">
        <v>94.921019999999999</v>
      </c>
      <c r="J358" s="848">
        <v>109.89215</v>
      </c>
      <c r="K358" s="848">
        <v>98.035229999999999</v>
      </c>
    </row>
    <row r="359" spans="1:11">
      <c r="A359" s="848">
        <v>2009</v>
      </c>
      <c r="B359" s="848" t="s">
        <v>251</v>
      </c>
      <c r="C359" s="848" t="str">
        <f>$A359&amp;"_"&amp;$B359</f>
        <v>2009_Iraq</v>
      </c>
      <c r="D359" s="848">
        <v>41928641000</v>
      </c>
      <c r="E359" s="848">
        <v>98.617355049690687</v>
      </c>
      <c r="F359" s="848">
        <v>4.8157814767120319E-2</v>
      </c>
      <c r="G359" s="848">
        <f t="shared" si="10"/>
        <v>0.98665512864457805</v>
      </c>
      <c r="H359" s="848">
        <f t="shared" si="11"/>
        <v>41369108679.74733</v>
      </c>
      <c r="I359" s="848" t="s">
        <v>3088</v>
      </c>
      <c r="J359" s="848" t="s">
        <v>3088</v>
      </c>
      <c r="K359" s="848" t="s">
        <v>3088</v>
      </c>
    </row>
    <row r="360" spans="1:11">
      <c r="A360" s="848">
        <v>2009</v>
      </c>
      <c r="B360" s="848" t="s">
        <v>280</v>
      </c>
      <c r="C360" s="848" t="str">
        <f>$A360&amp;"_"&amp;$B360</f>
        <v>2009_Kazakhstan</v>
      </c>
      <c r="D360" s="848">
        <v>43195762000</v>
      </c>
      <c r="E360" s="848">
        <v>70.58697783170193</v>
      </c>
      <c r="F360" s="848">
        <v>11.206346640673551</v>
      </c>
      <c r="G360" s="848">
        <f t="shared" si="10"/>
        <v>0.81793324472375473</v>
      </c>
      <c r="H360" s="848">
        <f t="shared" si="11"/>
        <v>35331249770.975067</v>
      </c>
      <c r="I360" s="848">
        <v>88.288550000000001</v>
      </c>
      <c r="J360" s="848">
        <v>105.47391</v>
      </c>
      <c r="K360" s="848">
        <v>98.118610000000004</v>
      </c>
    </row>
    <row r="361" spans="1:11">
      <c r="A361" s="848">
        <v>2009</v>
      </c>
      <c r="B361" s="848" t="s">
        <v>316</v>
      </c>
      <c r="C361" s="848" t="str">
        <f>$A361&amp;"_"&amp;$B361</f>
        <v>2009_Madagascar</v>
      </c>
      <c r="D361" s="848">
        <v>1051987000</v>
      </c>
      <c r="E361" s="848">
        <v>4.9294174820711705</v>
      </c>
      <c r="F361" s="848">
        <v>3.0184952050304283</v>
      </c>
      <c r="G361" s="848">
        <f t="shared" si="10"/>
        <v>7.9479126871015993E-2</v>
      </c>
      <c r="H361" s="848">
        <f t="shared" si="11"/>
        <v>83611008.239659503</v>
      </c>
      <c r="I361" s="848" t="s">
        <v>3088</v>
      </c>
      <c r="J361" s="848">
        <v>149.95125999999999</v>
      </c>
      <c r="K361" s="848" t="s">
        <v>3088</v>
      </c>
    </row>
    <row r="362" spans="1:11">
      <c r="A362" s="848">
        <v>2009</v>
      </c>
      <c r="B362" s="848" t="s">
        <v>329</v>
      </c>
      <c r="C362" s="848" t="str">
        <f>$A362&amp;"_"&amp;$B362</f>
        <v>2009_Mali</v>
      </c>
      <c r="D362" s="848">
        <v>1773665000</v>
      </c>
      <c r="E362" s="848" t="s">
        <v>3088</v>
      </c>
      <c r="F362" s="848" t="s">
        <v>3088</v>
      </c>
      <c r="G362" s="848" t="str">
        <f t="shared" si="10"/>
        <v>..</v>
      </c>
      <c r="H362" s="848" t="str">
        <f t="shared" si="11"/>
        <v>..</v>
      </c>
      <c r="I362" s="848">
        <v>68.723079999999996</v>
      </c>
      <c r="J362" s="848">
        <v>89.250720000000001</v>
      </c>
      <c r="K362" s="848">
        <v>72.530910000000006</v>
      </c>
    </row>
    <row r="363" spans="1:11">
      <c r="A363" s="848">
        <v>2009</v>
      </c>
      <c r="B363" s="848" t="s">
        <v>345</v>
      </c>
      <c r="C363" s="848" t="str">
        <f>$A363&amp;"_"&amp;$B363</f>
        <v>2009_Mauritania</v>
      </c>
      <c r="D363" s="848">
        <v>1364100000</v>
      </c>
      <c r="E363" s="848" t="s">
        <v>3088</v>
      </c>
      <c r="F363" s="848">
        <v>67.837255502990288</v>
      </c>
      <c r="G363" s="848" t="str">
        <f t="shared" si="10"/>
        <v>..</v>
      </c>
      <c r="H363" s="848" t="str">
        <f t="shared" si="11"/>
        <v>..</v>
      </c>
      <c r="I363" s="848">
        <v>70.128069999999994</v>
      </c>
      <c r="J363" s="848">
        <v>95.940200000000004</v>
      </c>
      <c r="K363" s="848">
        <v>70.378680000000003</v>
      </c>
    </row>
    <row r="364" spans="1:11">
      <c r="A364" s="848">
        <v>2009</v>
      </c>
      <c r="B364" s="848" t="s">
        <v>364</v>
      </c>
      <c r="C364" s="848" t="str">
        <f>$A364&amp;"_"&amp;$B364</f>
        <v>2009_Mongolia</v>
      </c>
      <c r="D364" s="848">
        <v>1902600000</v>
      </c>
      <c r="E364" s="848" t="s">
        <v>3088</v>
      </c>
      <c r="F364" s="848" t="s">
        <v>3088</v>
      </c>
      <c r="G364" s="848" t="str">
        <f t="shared" si="10"/>
        <v>..</v>
      </c>
      <c r="H364" s="848" t="str">
        <f t="shared" si="11"/>
        <v>..</v>
      </c>
      <c r="I364" s="848">
        <v>97.418040000000005</v>
      </c>
      <c r="J364" s="848">
        <v>114.44856</v>
      </c>
      <c r="K364" s="848">
        <v>98.448030000000003</v>
      </c>
    </row>
    <row r="365" spans="1:11">
      <c r="A365" s="848">
        <v>2009</v>
      </c>
      <c r="B365" s="848" t="s">
        <v>394</v>
      </c>
      <c r="C365" s="848" t="str">
        <f>$A365&amp;"_"&amp;$B365</f>
        <v>2009_Niger</v>
      </c>
      <c r="D365" s="848">
        <v>1000000000</v>
      </c>
      <c r="E365" s="848">
        <v>1.2380253705736854</v>
      </c>
      <c r="F365" s="848">
        <v>59.765754315408351</v>
      </c>
      <c r="G365" s="848">
        <f t="shared" si="10"/>
        <v>0.6100377968598204</v>
      </c>
      <c r="H365" s="848">
        <f t="shared" si="11"/>
        <v>610037796.85982037</v>
      </c>
      <c r="I365" s="848">
        <v>52.717500000000001</v>
      </c>
      <c r="J365" s="848">
        <v>60.941330000000001</v>
      </c>
      <c r="K365" s="848">
        <v>52.717500000000001</v>
      </c>
    </row>
    <row r="366" spans="1:11">
      <c r="A366" s="848">
        <v>2009</v>
      </c>
      <c r="B366" s="848" t="s">
        <v>413</v>
      </c>
      <c r="C366" s="848" t="str">
        <f>$A366&amp;"_"&amp;$B366</f>
        <v>2009_Nigeria</v>
      </c>
      <c r="D366" s="848">
        <v>56741900000</v>
      </c>
      <c r="E366" s="848">
        <v>90.361531347458268</v>
      </c>
      <c r="F366" s="848">
        <v>0.1981325077019177</v>
      </c>
      <c r="G366" s="848">
        <f t="shared" si="10"/>
        <v>0.90559663855160177</v>
      </c>
      <c r="H366" s="848">
        <f t="shared" si="11"/>
        <v>51385273905.031136</v>
      </c>
      <c r="I366" s="848">
        <v>64.076099999999997</v>
      </c>
      <c r="J366" s="848">
        <v>85.035939999999997</v>
      </c>
      <c r="K366" s="848">
        <v>64.076099999999997</v>
      </c>
    </row>
    <row r="367" spans="1:11">
      <c r="A367" s="848">
        <v>2009</v>
      </c>
      <c r="B367" s="848" t="s">
        <v>436</v>
      </c>
      <c r="C367" s="848" t="str">
        <f>$A367&amp;"_"&amp;$B367</f>
        <v>2009_Norway</v>
      </c>
      <c r="D367" s="848">
        <v>116778108000</v>
      </c>
      <c r="E367" s="848">
        <v>63.03891077034627</v>
      </c>
      <c r="F367" s="848">
        <v>5.345131594649124</v>
      </c>
      <c r="G367" s="848">
        <f t="shared" si="10"/>
        <v>0.6838404236499539</v>
      </c>
      <c r="H367" s="848">
        <f t="shared" si="11"/>
        <v>79857590847.760071</v>
      </c>
      <c r="I367" s="848">
        <v>99.003860000000003</v>
      </c>
      <c r="J367" s="848">
        <v>99.003860000000003</v>
      </c>
      <c r="K367" s="848">
        <v>99.004090000000005</v>
      </c>
    </row>
    <row r="368" spans="1:11">
      <c r="A368" s="848">
        <v>2009</v>
      </c>
      <c r="B368" s="848" t="s">
        <v>449</v>
      </c>
      <c r="C368" s="848" t="str">
        <f>$A368&amp;"_"&amp;$B368</f>
        <v>2009_Peru</v>
      </c>
      <c r="D368" s="848">
        <v>26961721000</v>
      </c>
      <c r="E368" s="848">
        <v>10.348760684949175</v>
      </c>
      <c r="F368" s="848">
        <v>48.971526768069978</v>
      </c>
      <c r="G368" s="848">
        <f t="shared" si="10"/>
        <v>0.5932028745301916</v>
      </c>
      <c r="H368" s="848">
        <f t="shared" si="11"/>
        <v>15993770399.481031</v>
      </c>
      <c r="I368" s="848">
        <v>93.899280000000005</v>
      </c>
      <c r="J368" s="848">
        <v>107.80842</v>
      </c>
      <c r="K368" s="848">
        <v>96.569890000000001</v>
      </c>
    </row>
    <row r="369" spans="1:11">
      <c r="A369" s="848">
        <v>2009</v>
      </c>
      <c r="B369" s="848" t="s">
        <v>488</v>
      </c>
      <c r="C369" s="848" t="str">
        <f>$A369&amp;"_"&amp;$B369</f>
        <v>2009_Sierra Leone</v>
      </c>
      <c r="D369" s="848">
        <v>230662000</v>
      </c>
      <c r="E369" s="848" t="s">
        <v>3088</v>
      </c>
      <c r="F369" s="848" t="s">
        <v>3088</v>
      </c>
      <c r="G369" s="848" t="str">
        <f t="shared" si="10"/>
        <v>..</v>
      </c>
      <c r="H369" s="848" t="str">
        <f t="shared" si="11"/>
        <v>..</v>
      </c>
      <c r="I369" s="848" t="s">
        <v>3088</v>
      </c>
      <c r="J369" s="848" t="s">
        <v>3088</v>
      </c>
      <c r="K369" s="848" t="s">
        <v>3088</v>
      </c>
    </row>
    <row r="370" spans="1:11">
      <c r="A370" s="848">
        <v>2009</v>
      </c>
      <c r="B370" s="848" t="s">
        <v>499</v>
      </c>
      <c r="C370" s="848" t="str">
        <f>$A370&amp;"_"&amp;$B370</f>
        <v>2009_Tanzania</v>
      </c>
      <c r="D370" s="848">
        <v>2982405000</v>
      </c>
      <c r="E370" s="848">
        <v>0.99318458085175165</v>
      </c>
      <c r="F370" s="848">
        <v>24.57923907127806</v>
      </c>
      <c r="G370" s="848">
        <f t="shared" si="10"/>
        <v>0.25572423652129811</v>
      </c>
      <c r="H370" s="848">
        <f t="shared" si="11"/>
        <v>762673241.62230206</v>
      </c>
      <c r="I370" s="848" t="s">
        <v>3088</v>
      </c>
      <c r="J370" s="848">
        <v>105.29691</v>
      </c>
      <c r="K370" s="848" t="s">
        <v>3088</v>
      </c>
    </row>
    <row r="371" spans="1:11">
      <c r="A371" s="848">
        <v>2009</v>
      </c>
      <c r="B371" s="848" t="s">
        <v>3090</v>
      </c>
      <c r="C371" s="848" t="str">
        <f>$A371&amp;"_"&amp;$B371</f>
        <v>2009_Timor-Leste</v>
      </c>
      <c r="D371" s="848">
        <v>8490000</v>
      </c>
      <c r="E371" s="848" t="s">
        <v>3088</v>
      </c>
      <c r="F371" s="848" t="s">
        <v>3088</v>
      </c>
      <c r="G371" s="848" t="str">
        <f t="shared" si="10"/>
        <v>..</v>
      </c>
      <c r="H371" s="848" t="str">
        <f t="shared" si="11"/>
        <v>..</v>
      </c>
      <c r="I371" s="848">
        <v>77.299419999999998</v>
      </c>
      <c r="J371" s="848">
        <v>106.12044</v>
      </c>
      <c r="K371" s="848">
        <v>78.178349999999995</v>
      </c>
    </row>
    <row r="372" spans="1:11">
      <c r="A372" s="848">
        <v>2009</v>
      </c>
      <c r="B372" s="848" t="s">
        <v>517</v>
      </c>
      <c r="C372" s="848" t="str">
        <f>$A372&amp;"_"&amp;$B372</f>
        <v>2009_Togo</v>
      </c>
      <c r="D372" s="848">
        <v>903026000</v>
      </c>
      <c r="E372" s="848">
        <v>3.5808572056617818E-2</v>
      </c>
      <c r="F372" s="848">
        <v>30.31017605104055</v>
      </c>
      <c r="G372" s="848">
        <f t="shared" si="10"/>
        <v>0.30345984623097166</v>
      </c>
      <c r="H372" s="848">
        <f t="shared" si="11"/>
        <v>274032131.1025694</v>
      </c>
      <c r="I372" s="848" t="s">
        <v>3088</v>
      </c>
      <c r="J372" s="848">
        <v>128.22667000000001</v>
      </c>
      <c r="K372" s="848" t="s">
        <v>3088</v>
      </c>
    </row>
    <row r="373" spans="1:11">
      <c r="A373" s="848">
        <v>2009</v>
      </c>
      <c r="B373" s="848" t="s">
        <v>3091</v>
      </c>
      <c r="C373" s="848" t="str">
        <f>$A373&amp;"_"&amp;$B373</f>
        <v>2009_Trinidad and Tobago</v>
      </c>
      <c r="D373" s="848">
        <v>9125971000</v>
      </c>
      <c r="E373" s="848">
        <v>78.995722494974416</v>
      </c>
      <c r="F373" s="848">
        <v>2.4756377413812816</v>
      </c>
      <c r="G373" s="848">
        <f t="shared" si="10"/>
        <v>0.81471360236355694</v>
      </c>
      <c r="H373" s="848">
        <f t="shared" si="11"/>
        <v>7435052708.4753523</v>
      </c>
      <c r="I373" s="848">
        <v>95.161739999999995</v>
      </c>
      <c r="J373" s="848">
        <v>106.45319000000001</v>
      </c>
      <c r="K373" s="848">
        <v>98.228139999999996</v>
      </c>
    </row>
    <row r="374" spans="1:11">
      <c r="A374" s="848">
        <v>2009</v>
      </c>
      <c r="B374" s="848" t="s">
        <v>3092</v>
      </c>
      <c r="C374" s="848" t="str">
        <f>$A374&amp;"_"&amp;$B374</f>
        <v>2009_Yemen, Rep.</v>
      </c>
      <c r="D374" s="848">
        <v>6258955000</v>
      </c>
      <c r="E374" s="848">
        <v>92.206119641434498</v>
      </c>
      <c r="F374" s="848">
        <v>0.14528296977474031</v>
      </c>
      <c r="G374" s="848">
        <f t="shared" si="10"/>
        <v>0.92351402611209243</v>
      </c>
      <c r="H374" s="848">
        <f t="shared" si="11"/>
        <v>5780232731.3044119</v>
      </c>
      <c r="I374" s="848" t="s">
        <v>3088</v>
      </c>
      <c r="J374" s="848" t="s">
        <v>3088</v>
      </c>
      <c r="K374" s="848" t="s">
        <v>3088</v>
      </c>
    </row>
    <row r="375" spans="1:11">
      <c r="A375" s="848">
        <v>2009</v>
      </c>
      <c r="B375" s="848" t="s">
        <v>541</v>
      </c>
      <c r="C375" s="848" t="str">
        <f>$A375&amp;"_"&amp;$B375</f>
        <v>2009_Zambia</v>
      </c>
      <c r="D375" s="848">
        <v>4312055000</v>
      </c>
      <c r="E375" s="848">
        <v>0.89038982268492206</v>
      </c>
      <c r="F375" s="848">
        <v>81.126348288925925</v>
      </c>
      <c r="G375" s="848">
        <f t="shared" si="10"/>
        <v>0.82016738111610854</v>
      </c>
      <c r="H375" s="848">
        <f t="shared" si="11"/>
        <v>3536606856.5786214</v>
      </c>
      <c r="I375" s="848">
        <v>90.500649999999993</v>
      </c>
      <c r="J375" s="848">
        <v>112.64157</v>
      </c>
      <c r="K375" s="848">
        <v>92.220600000000005</v>
      </c>
    </row>
    <row r="376" spans="1:11">
      <c r="A376" s="848">
        <v>2010</v>
      </c>
      <c r="B376" s="848" t="s">
        <v>21</v>
      </c>
      <c r="C376" s="848" t="str">
        <f>$A376&amp;"_"&amp;$B376</f>
        <v>2010_Afghanistan</v>
      </c>
      <c r="D376" s="848">
        <v>388484000</v>
      </c>
      <c r="E376" s="848" t="s">
        <v>3088</v>
      </c>
      <c r="F376" s="848">
        <v>0.27524454151073829</v>
      </c>
      <c r="G376" s="848" t="str">
        <f t="shared" si="10"/>
        <v>..</v>
      </c>
      <c r="H376" s="848" t="str">
        <f t="shared" si="11"/>
        <v>..</v>
      </c>
      <c r="I376" s="848" t="s">
        <v>3088</v>
      </c>
      <c r="J376" s="848">
        <v>99.398820000000001</v>
      </c>
      <c r="K376" s="848" t="s">
        <v>3088</v>
      </c>
    </row>
    <row r="377" spans="1:11">
      <c r="A377" s="848">
        <v>2010</v>
      </c>
      <c r="B377" s="848" t="s">
        <v>38</v>
      </c>
      <c r="C377" s="848" t="str">
        <f>$A377&amp;"_"&amp;$B377</f>
        <v>2010_Albania</v>
      </c>
      <c r="D377" s="848">
        <v>1544613000</v>
      </c>
      <c r="E377" s="848">
        <v>17.973226904185726</v>
      </c>
      <c r="F377" s="848">
        <v>12.829349073574942</v>
      </c>
      <c r="G377" s="848">
        <f t="shared" si="10"/>
        <v>0.30802575977760666</v>
      </c>
      <c r="H377" s="848">
        <f t="shared" si="11"/>
        <v>475780592.88736832</v>
      </c>
      <c r="I377" s="848" t="s">
        <v>3088</v>
      </c>
      <c r="J377" s="848" t="s">
        <v>3088</v>
      </c>
      <c r="K377" s="848" t="s">
        <v>3088</v>
      </c>
    </row>
    <row r="378" spans="1:11">
      <c r="A378" s="848">
        <v>2010</v>
      </c>
      <c r="B378" s="848" t="s">
        <v>53</v>
      </c>
      <c r="C378" s="848" t="str">
        <f>$A378&amp;"_"&amp;$B378</f>
        <v>2010_Azerbaijan</v>
      </c>
      <c r="D378" s="848">
        <v>26476026000</v>
      </c>
      <c r="E378" s="848">
        <v>94.509496315524828</v>
      </c>
      <c r="F378" s="848">
        <v>0.11432481839753592</v>
      </c>
      <c r="G378" s="848">
        <f t="shared" si="10"/>
        <v>0.94623821133922359</v>
      </c>
      <c r="H378" s="848">
        <f t="shared" si="11"/>
        <v>25052627485.610779</v>
      </c>
      <c r="I378" s="848">
        <v>84.446449999999999</v>
      </c>
      <c r="J378" s="848">
        <v>93.762299999999996</v>
      </c>
      <c r="K378" s="848">
        <v>84.726050000000001</v>
      </c>
    </row>
    <row r="379" spans="1:11">
      <c r="A379" s="848">
        <v>2010</v>
      </c>
      <c r="B379" s="848" t="s">
        <v>98</v>
      </c>
      <c r="C379" s="848" t="str">
        <f>$A379&amp;"_"&amp;$B379</f>
        <v>2010_Burkina Faso</v>
      </c>
      <c r="D379" s="848">
        <v>1591028858.59832</v>
      </c>
      <c r="E379" s="848">
        <v>5.2281947797021527E-2</v>
      </c>
      <c r="F379" s="848">
        <v>1.6453509231042225</v>
      </c>
      <c r="G379" s="848">
        <f t="shared" si="10"/>
        <v>1.6976328709012441E-2</v>
      </c>
      <c r="H379" s="848">
        <f t="shared" si="11"/>
        <v>27009828.889089957</v>
      </c>
      <c r="I379" s="848">
        <v>60.175089999999997</v>
      </c>
      <c r="J379" s="848">
        <v>78.355419999999995</v>
      </c>
      <c r="K379" s="848">
        <v>60.47345</v>
      </c>
    </row>
    <row r="380" spans="1:11">
      <c r="A380" s="848">
        <v>2010</v>
      </c>
      <c r="B380" s="848" t="s">
        <v>101</v>
      </c>
      <c r="C380" s="848" t="str">
        <f>$A380&amp;"_"&amp;$B380</f>
        <v>2010_Cameroon</v>
      </c>
      <c r="D380" s="848">
        <v>3878433000</v>
      </c>
      <c r="E380" s="848">
        <v>49.548194647572423</v>
      </c>
      <c r="F380" s="848">
        <v>2.9619411293101177</v>
      </c>
      <c r="G380" s="848">
        <f t="shared" si="10"/>
        <v>0.52510135776882538</v>
      </c>
      <c r="H380" s="848">
        <f t="shared" si="11"/>
        <v>2036570434.3154187</v>
      </c>
      <c r="I380" s="848" t="s">
        <v>3088</v>
      </c>
      <c r="J380" s="848">
        <v>106.03843000000001</v>
      </c>
      <c r="K380" s="848" t="s">
        <v>3088</v>
      </c>
    </row>
    <row r="381" spans="1:11">
      <c r="A381" s="848">
        <v>2010</v>
      </c>
      <c r="B381" s="848" t="s">
        <v>127</v>
      </c>
      <c r="C381" s="848" t="str">
        <f>$A381&amp;"_"&amp;$B381</f>
        <v>2010_Central African Republic</v>
      </c>
      <c r="D381" s="848">
        <v>140000000</v>
      </c>
      <c r="E381" s="848" t="s">
        <v>3088</v>
      </c>
      <c r="F381" s="848">
        <v>58.665947085020044</v>
      </c>
      <c r="G381" s="848" t="str">
        <f t="shared" si="10"/>
        <v>..</v>
      </c>
      <c r="H381" s="848" t="str">
        <f t="shared" si="11"/>
        <v>..</v>
      </c>
      <c r="I381" s="848">
        <v>70.774950000000004</v>
      </c>
      <c r="J381" s="848">
        <v>93.712350000000001</v>
      </c>
      <c r="K381" s="848">
        <v>71.136049999999997</v>
      </c>
    </row>
    <row r="382" spans="1:11">
      <c r="A382" s="848">
        <v>2010</v>
      </c>
      <c r="B382" s="848" t="s">
        <v>138</v>
      </c>
      <c r="C382" s="848" t="str">
        <f>$A382&amp;"_"&amp;$B382</f>
        <v>2010_Chad</v>
      </c>
      <c r="D382" s="848">
        <v>3600000000</v>
      </c>
      <c r="E382" s="848" t="s">
        <v>3088</v>
      </c>
      <c r="F382" s="848" t="s">
        <v>3088</v>
      </c>
      <c r="G382" s="848" t="str">
        <f t="shared" si="10"/>
        <v>..</v>
      </c>
      <c r="H382" s="848" t="str">
        <f t="shared" si="11"/>
        <v>..</v>
      </c>
      <c r="I382" s="848" t="s">
        <v>3088</v>
      </c>
      <c r="J382" s="848">
        <v>83.398809999999997</v>
      </c>
      <c r="K382" s="848" t="s">
        <v>3088</v>
      </c>
    </row>
    <row r="383" spans="1:11">
      <c r="A383" s="848">
        <v>2010</v>
      </c>
      <c r="B383" s="848" t="s">
        <v>3815</v>
      </c>
      <c r="C383" s="848" t="str">
        <f>$A383&amp;"_"&amp;$B383</f>
        <v>2010_Congo, Dem. Rep.</v>
      </c>
      <c r="D383" s="848">
        <v>5300000000</v>
      </c>
      <c r="E383" s="848" t="s">
        <v>3088</v>
      </c>
      <c r="F383" s="848" t="s">
        <v>3088</v>
      </c>
      <c r="G383" s="848" t="str">
        <f t="shared" si="10"/>
        <v>..</v>
      </c>
      <c r="H383" s="848" t="str">
        <f t="shared" si="11"/>
        <v>..</v>
      </c>
      <c r="I383" s="848" t="s">
        <v>3088</v>
      </c>
      <c r="J383" s="848">
        <v>102.68235</v>
      </c>
      <c r="K383" s="848" t="s">
        <v>3088</v>
      </c>
    </row>
    <row r="384" spans="1:11">
      <c r="A384" s="848">
        <v>2010</v>
      </c>
      <c r="B384" s="848" t="s">
        <v>3814</v>
      </c>
      <c r="C384" s="848" t="str">
        <f>$A384&amp;"_"&amp;$B384</f>
        <v>2010_Congo, Rep.</v>
      </c>
      <c r="D384" s="848">
        <v>9400000000</v>
      </c>
      <c r="E384" s="848">
        <v>67.72045178905411</v>
      </c>
      <c r="F384" s="848">
        <v>2.1008805979755466E-2</v>
      </c>
      <c r="G384" s="848">
        <f t="shared" si="10"/>
        <v>0.67741460595033876</v>
      </c>
      <c r="H384" s="848">
        <f t="shared" si="11"/>
        <v>6367697295.9331846</v>
      </c>
      <c r="I384" s="848">
        <v>87.832139999999995</v>
      </c>
      <c r="J384" s="848">
        <v>111.16904</v>
      </c>
      <c r="K384" s="848">
        <v>87.832139999999995</v>
      </c>
    </row>
    <row r="385" spans="1:11">
      <c r="A385" s="848">
        <v>2010</v>
      </c>
      <c r="B385" s="848" t="s">
        <v>188</v>
      </c>
      <c r="C385" s="848" t="str">
        <f>$A385&amp;"_"&amp;$B385</f>
        <v>2010_Equatorial Guinea</v>
      </c>
      <c r="D385" s="848">
        <v>10000000000</v>
      </c>
      <c r="E385" s="848" t="s">
        <v>3088</v>
      </c>
      <c r="F385" s="848" t="s">
        <v>3088</v>
      </c>
      <c r="G385" s="848" t="str">
        <f t="shared" si="10"/>
        <v>..</v>
      </c>
      <c r="H385" s="848" t="str">
        <f t="shared" si="11"/>
        <v>..</v>
      </c>
      <c r="I385" s="848">
        <v>56.569049999999997</v>
      </c>
      <c r="J385" s="848">
        <v>87.069699999999997</v>
      </c>
      <c r="K385" s="848">
        <v>56.569049999999997</v>
      </c>
    </row>
    <row r="386" spans="1:11">
      <c r="A386" s="848">
        <v>2010</v>
      </c>
      <c r="B386" s="848" t="s">
        <v>191</v>
      </c>
      <c r="C386" s="848" t="str">
        <f>$A386&amp;"_"&amp;$B386</f>
        <v>2010_Gabon</v>
      </c>
      <c r="D386" s="848">
        <v>8685979000</v>
      </c>
      <c r="E386" s="848" t="s">
        <v>3088</v>
      </c>
      <c r="F386" s="848" t="s">
        <v>3088</v>
      </c>
      <c r="G386" s="848" t="str">
        <f t="shared" si="10"/>
        <v>..</v>
      </c>
      <c r="H386" s="848" t="str">
        <f t="shared" si="11"/>
        <v>..</v>
      </c>
      <c r="I386" s="848" t="s">
        <v>3088</v>
      </c>
      <c r="J386" s="848" t="s">
        <v>3088</v>
      </c>
      <c r="K386" s="848" t="s">
        <v>3088</v>
      </c>
    </row>
    <row r="387" spans="1:11">
      <c r="A387" s="848">
        <v>2010</v>
      </c>
      <c r="B387" s="848" t="s">
        <v>301</v>
      </c>
      <c r="C387" s="848" t="str">
        <f>$A387&amp;"_"&amp;$B387</f>
        <v>2010_Liberia</v>
      </c>
      <c r="D387" s="848">
        <v>222000000</v>
      </c>
      <c r="E387" s="848" t="s">
        <v>3088</v>
      </c>
      <c r="F387" s="848" t="s">
        <v>3088</v>
      </c>
      <c r="G387" s="848" t="str">
        <f t="shared" ref="G387:G450" si="12">IFERROR(($E387+$F387)/100,"..")</f>
        <v>..</v>
      </c>
      <c r="H387" s="848" t="str">
        <f t="shared" ref="H387:H450" si="13">IFERROR($G387*$D387,"..")</f>
        <v>..</v>
      </c>
      <c r="I387" s="848" t="s">
        <v>3088</v>
      </c>
      <c r="J387" s="848" t="s">
        <v>3088</v>
      </c>
      <c r="K387" s="848" t="s">
        <v>3088</v>
      </c>
    </row>
    <row r="388" spans="1:11">
      <c r="A388" s="848">
        <v>2010</v>
      </c>
      <c r="B388" s="848" t="s">
        <v>285</v>
      </c>
      <c r="C388" s="848" t="str">
        <f>$A388&amp;"_"&amp;$B388</f>
        <v>2010_Kyrgyz Republic</v>
      </c>
      <c r="D388" s="848">
        <v>1755900000</v>
      </c>
      <c r="E388" s="848">
        <v>15.304930568027512</v>
      </c>
      <c r="F388" s="848">
        <v>4.2312588845280805</v>
      </c>
      <c r="G388" s="848">
        <f t="shared" si="12"/>
        <v>0.19536189452555594</v>
      </c>
      <c r="H388" s="848">
        <f t="shared" si="13"/>
        <v>343035950.59742367</v>
      </c>
      <c r="I388" s="848">
        <v>87.447919999999996</v>
      </c>
      <c r="J388" s="848">
        <v>99.562209999999993</v>
      </c>
      <c r="K388" s="848">
        <v>95.272779999999997</v>
      </c>
    </row>
    <row r="389" spans="1:11">
      <c r="A389" s="848">
        <v>2010</v>
      </c>
      <c r="B389" s="848" t="s">
        <v>195</v>
      </c>
      <c r="C389" s="848" t="str">
        <f>$A389&amp;"_"&amp;$B389</f>
        <v>2010_Ghana</v>
      </c>
      <c r="D389" s="848">
        <v>7960090000</v>
      </c>
      <c r="E389" s="848">
        <v>0.32351247622806772</v>
      </c>
      <c r="F389" s="848">
        <v>11.249452013619806</v>
      </c>
      <c r="G389" s="848">
        <f t="shared" si="12"/>
        <v>0.11572964489847873</v>
      </c>
      <c r="H389" s="848">
        <f t="shared" si="13"/>
        <v>921218389.05993152</v>
      </c>
      <c r="I389" s="848" t="s">
        <v>3088</v>
      </c>
      <c r="J389" s="848" t="s">
        <v>3088</v>
      </c>
      <c r="K389" s="848" t="s">
        <v>3088</v>
      </c>
    </row>
    <row r="390" spans="1:11">
      <c r="A390" s="848">
        <v>2010</v>
      </c>
      <c r="B390" s="848" t="s">
        <v>219</v>
      </c>
      <c r="C390" s="848" t="str">
        <f>$A390&amp;"_"&amp;$B390</f>
        <v>2010_Guatemala</v>
      </c>
      <c r="D390" s="848">
        <v>8462500000</v>
      </c>
      <c r="E390" s="848">
        <v>4.5439473327134019</v>
      </c>
      <c r="F390" s="848">
        <v>6.4858988023677524</v>
      </c>
      <c r="G390" s="848">
        <f t="shared" si="12"/>
        <v>0.11029846135081155</v>
      </c>
      <c r="H390" s="848">
        <f t="shared" si="13"/>
        <v>933400729.1812427</v>
      </c>
      <c r="I390" s="848">
        <v>96.026589999999999</v>
      </c>
      <c r="J390" s="848">
        <v>116.47942999999999</v>
      </c>
      <c r="K390" s="848">
        <v>98.247460000000004</v>
      </c>
    </row>
    <row r="391" spans="1:11">
      <c r="A391" s="848">
        <v>2010</v>
      </c>
      <c r="B391" s="848" t="s">
        <v>3089</v>
      </c>
      <c r="C391" s="848" t="str">
        <f>$A391&amp;"_"&amp;$B391</f>
        <v>2010_Guinea</v>
      </c>
      <c r="D391" s="848">
        <v>1471170000</v>
      </c>
      <c r="E391" s="848" t="s">
        <v>3088</v>
      </c>
      <c r="F391" s="848" t="s">
        <v>3088</v>
      </c>
      <c r="G391" s="848" t="str">
        <f t="shared" si="12"/>
        <v>..</v>
      </c>
      <c r="H391" s="848" t="str">
        <f t="shared" si="13"/>
        <v>..</v>
      </c>
      <c r="I391" s="848">
        <v>70.398319999999998</v>
      </c>
      <c r="J391" s="848">
        <v>86.359740000000002</v>
      </c>
      <c r="K391" s="848">
        <v>72.047970000000007</v>
      </c>
    </row>
    <row r="392" spans="1:11">
      <c r="A392" s="848">
        <v>2010</v>
      </c>
      <c r="B392" s="848" t="s">
        <v>243</v>
      </c>
      <c r="C392" s="848" t="str">
        <f>$A392&amp;"_"&amp;$B392</f>
        <v>2010_Indonesia</v>
      </c>
      <c r="D392" s="848">
        <v>158074492000</v>
      </c>
      <c r="E392" s="848">
        <v>29.72691048727701</v>
      </c>
      <c r="F392" s="848">
        <v>9.8664120668307422</v>
      </c>
      <c r="G392" s="848">
        <f t="shared" si="12"/>
        <v>0.39593322554107752</v>
      </c>
      <c r="H392" s="848">
        <f t="shared" si="13"/>
        <v>62586943493.327255</v>
      </c>
      <c r="I392" s="848">
        <v>94.897980000000004</v>
      </c>
      <c r="J392" s="848">
        <v>109.92465</v>
      </c>
      <c r="K392" s="848">
        <v>97.943749999999994</v>
      </c>
    </row>
    <row r="393" spans="1:11">
      <c r="A393" s="848">
        <v>2010</v>
      </c>
      <c r="B393" s="848" t="s">
        <v>251</v>
      </c>
      <c r="C393" s="848" t="str">
        <f>$A393&amp;"_"&amp;$B393</f>
        <v>2010_Iraq</v>
      </c>
      <c r="D393" s="848">
        <v>52482600000</v>
      </c>
      <c r="E393" s="848" t="s">
        <v>3088</v>
      </c>
      <c r="F393" s="848" t="s">
        <v>3088</v>
      </c>
      <c r="G393" s="848" t="str">
        <f t="shared" si="12"/>
        <v>..</v>
      </c>
      <c r="H393" s="848" t="str">
        <f t="shared" si="13"/>
        <v>..</v>
      </c>
      <c r="I393" s="848" t="s">
        <v>3088</v>
      </c>
      <c r="J393" s="848" t="s">
        <v>3088</v>
      </c>
      <c r="K393" s="848" t="s">
        <v>3088</v>
      </c>
    </row>
    <row r="394" spans="1:11">
      <c r="A394" s="848">
        <v>2010</v>
      </c>
      <c r="B394" s="848" t="s">
        <v>280</v>
      </c>
      <c r="C394" s="848" t="str">
        <f>$A394&amp;"_"&amp;$B394</f>
        <v>2010_Kazakhstan</v>
      </c>
      <c r="D394" s="848">
        <v>59970800000</v>
      </c>
      <c r="E394" s="848">
        <v>72.778140012417822</v>
      </c>
      <c r="F394" s="848">
        <v>11.355974395129378</v>
      </c>
      <c r="G394" s="848">
        <f t="shared" si="12"/>
        <v>0.841341144075472</v>
      </c>
      <c r="H394" s="848">
        <f t="shared" si="13"/>
        <v>50455901483.121315</v>
      </c>
      <c r="I394" s="848">
        <v>87.461110000000005</v>
      </c>
      <c r="J394" s="848">
        <v>104.57380000000001</v>
      </c>
      <c r="K394" s="848">
        <v>97.410539999999997</v>
      </c>
    </row>
    <row r="395" spans="1:11">
      <c r="A395" s="848">
        <v>2010</v>
      </c>
      <c r="B395" s="848" t="s">
        <v>316</v>
      </c>
      <c r="C395" s="848" t="str">
        <f>$A395&amp;"_"&amp;$B395</f>
        <v>2010_Madagascar</v>
      </c>
      <c r="D395" s="848">
        <v>1149469933.8765299</v>
      </c>
      <c r="E395" s="848">
        <v>6.6547272529280495</v>
      </c>
      <c r="F395" s="848">
        <v>9.4632305907589167</v>
      </c>
      <c r="G395" s="848">
        <f t="shared" si="12"/>
        <v>0.16117957843686967</v>
      </c>
      <c r="H395" s="848">
        <f t="shared" si="13"/>
        <v>185271079.36807555</v>
      </c>
      <c r="I395" s="848" t="s">
        <v>3088</v>
      </c>
      <c r="J395" s="848">
        <v>144.57731999999999</v>
      </c>
      <c r="K395" s="848" t="s">
        <v>3088</v>
      </c>
    </row>
    <row r="396" spans="1:11">
      <c r="A396" s="848">
        <v>2010</v>
      </c>
      <c r="B396" s="848" t="s">
        <v>329</v>
      </c>
      <c r="C396" s="848" t="str">
        <f>$A396&amp;"_"&amp;$B396</f>
        <v>2010_Mali</v>
      </c>
      <c r="D396" s="848">
        <v>1996261000</v>
      </c>
      <c r="E396" s="848">
        <v>0.12720420340661046</v>
      </c>
      <c r="F396" s="848">
        <v>0.66600515521567327</v>
      </c>
      <c r="G396" s="848">
        <f t="shared" si="12"/>
        <v>7.9320935862228371E-3</v>
      </c>
      <c r="H396" s="848">
        <f t="shared" si="13"/>
        <v>15834529.074526787</v>
      </c>
      <c r="I396" s="848">
        <v>69.590549999999993</v>
      </c>
      <c r="J396" s="848">
        <v>90.31071</v>
      </c>
      <c r="K396" s="848">
        <v>73.91301</v>
      </c>
    </row>
    <row r="397" spans="1:11">
      <c r="A397" s="848">
        <v>2010</v>
      </c>
      <c r="B397" s="848" t="s">
        <v>345</v>
      </c>
      <c r="C397" s="848" t="str">
        <f>$A397&amp;"_"&amp;$B397</f>
        <v>2010_Mauritania</v>
      </c>
      <c r="D397" s="848">
        <v>2073500000</v>
      </c>
      <c r="E397" s="848">
        <v>1.6546520313058502E-3</v>
      </c>
      <c r="F397" s="848">
        <v>30.432714386352842</v>
      </c>
      <c r="G397" s="848">
        <f t="shared" si="12"/>
        <v>0.30434369038384146</v>
      </c>
      <c r="H397" s="848">
        <f t="shared" si="13"/>
        <v>631056642.01089525</v>
      </c>
      <c r="I397" s="848">
        <v>70.508489999999995</v>
      </c>
      <c r="J397" s="848">
        <v>97.108580000000003</v>
      </c>
      <c r="K397" s="848">
        <v>70.835610000000003</v>
      </c>
    </row>
    <row r="398" spans="1:11">
      <c r="A398" s="848">
        <v>2010</v>
      </c>
      <c r="B398" s="848" t="s">
        <v>364</v>
      </c>
      <c r="C398" s="848" t="str">
        <f>$A398&amp;"_"&amp;$B398</f>
        <v>2010_Mongolia</v>
      </c>
      <c r="D398" s="848">
        <v>2899200000</v>
      </c>
      <c r="E398" s="848" t="s">
        <v>3088</v>
      </c>
      <c r="F398" s="848" t="s">
        <v>3088</v>
      </c>
      <c r="G398" s="848" t="str">
        <f t="shared" si="12"/>
        <v>..</v>
      </c>
      <c r="H398" s="848" t="str">
        <f t="shared" si="13"/>
        <v>..</v>
      </c>
      <c r="I398" s="848">
        <v>98.622929999999997</v>
      </c>
      <c r="J398" s="848">
        <v>125.67478</v>
      </c>
      <c r="K398" s="848">
        <v>98.975020000000001</v>
      </c>
    </row>
    <row r="399" spans="1:11">
      <c r="A399" s="848">
        <v>2010</v>
      </c>
      <c r="B399" s="848" t="s">
        <v>394</v>
      </c>
      <c r="C399" s="848" t="str">
        <f>$A399&amp;"_"&amp;$B399</f>
        <v>2010_Niger</v>
      </c>
      <c r="D399" s="848">
        <v>1150000000</v>
      </c>
      <c r="E399" s="848">
        <v>1.8521100558332801</v>
      </c>
      <c r="F399" s="848">
        <v>59.555715712948732</v>
      </c>
      <c r="G399" s="848">
        <f t="shared" si="12"/>
        <v>0.61407825768782009</v>
      </c>
      <c r="H399" s="848">
        <f t="shared" si="13"/>
        <v>706189996.34099317</v>
      </c>
      <c r="I399" s="848">
        <v>55.851959999999998</v>
      </c>
      <c r="J399" s="848">
        <v>64.781899999999993</v>
      </c>
      <c r="K399" s="848">
        <v>56.970750000000002</v>
      </c>
    </row>
    <row r="400" spans="1:11">
      <c r="A400" s="848">
        <v>2010</v>
      </c>
      <c r="B400" s="848" t="s">
        <v>413</v>
      </c>
      <c r="C400" s="848" t="str">
        <f>$A400&amp;"_"&amp;$B400</f>
        <v>2010_Nigeria</v>
      </c>
      <c r="D400" s="848">
        <v>84000000000</v>
      </c>
      <c r="E400" s="848">
        <v>87.131679092679775</v>
      </c>
      <c r="F400" s="848">
        <v>1.0815014635894848</v>
      </c>
      <c r="G400" s="848">
        <f t="shared" si="12"/>
        <v>0.88213180556269266</v>
      </c>
      <c r="H400" s="848">
        <f t="shared" si="13"/>
        <v>74099071667.26619</v>
      </c>
      <c r="I400" s="848">
        <v>63.901989999999998</v>
      </c>
      <c r="J400" s="848">
        <v>84.804879999999997</v>
      </c>
      <c r="K400" s="848">
        <v>65.740309999999994</v>
      </c>
    </row>
    <row r="401" spans="1:11">
      <c r="A401" s="848">
        <v>2010</v>
      </c>
      <c r="B401" s="848" t="s">
        <v>436</v>
      </c>
      <c r="C401" s="848" t="str">
        <f>$A401&amp;"_"&amp;$B401</f>
        <v>2010_Norway</v>
      </c>
      <c r="D401" s="848">
        <v>130656792000</v>
      </c>
      <c r="E401" s="848">
        <v>63.757320323287381</v>
      </c>
      <c r="F401" s="848">
        <v>6.4371146795521961</v>
      </c>
      <c r="G401" s="848">
        <f t="shared" si="12"/>
        <v>0.70194435002839584</v>
      </c>
      <c r="H401" s="848">
        <f t="shared" si="13"/>
        <v>91713796937.235306</v>
      </c>
      <c r="I401" s="848">
        <v>98.877499999999998</v>
      </c>
      <c r="J401" s="848">
        <v>98.877499999999998</v>
      </c>
      <c r="K401" s="848">
        <v>98.877499999999998</v>
      </c>
    </row>
    <row r="402" spans="1:11">
      <c r="A402" s="848">
        <v>2010</v>
      </c>
      <c r="B402" s="848" t="s">
        <v>449</v>
      </c>
      <c r="C402" s="848" t="str">
        <f>$A402&amp;"_"&amp;$B402</f>
        <v>2010_Peru</v>
      </c>
      <c r="D402" s="848">
        <v>35803080814.579903</v>
      </c>
      <c r="E402" s="848">
        <v>12.176153497265222</v>
      </c>
      <c r="F402" s="848">
        <v>52.308359479919943</v>
      </c>
      <c r="G402" s="848">
        <f t="shared" si="12"/>
        <v>0.6448451297718516</v>
      </c>
      <c r="H402" s="848">
        <f t="shared" si="13"/>
        <v>23087442294.109867</v>
      </c>
      <c r="I402" s="848">
        <v>94.708259999999996</v>
      </c>
      <c r="J402" s="848">
        <v>107.25082999999999</v>
      </c>
      <c r="K402" s="848">
        <v>97.373459999999994</v>
      </c>
    </row>
    <row r="403" spans="1:11">
      <c r="A403" s="848">
        <v>2010</v>
      </c>
      <c r="B403" s="848" t="s">
        <v>488</v>
      </c>
      <c r="C403" s="848" t="str">
        <f>$A403&amp;"_"&amp;$B403</f>
        <v>2010_Sierra Leone</v>
      </c>
      <c r="D403" s="848">
        <v>341226000</v>
      </c>
      <c r="E403" s="848" t="s">
        <v>3088</v>
      </c>
      <c r="F403" s="848" t="s">
        <v>3088</v>
      </c>
      <c r="G403" s="848" t="str">
        <f t="shared" si="12"/>
        <v>..</v>
      </c>
      <c r="H403" s="848" t="str">
        <f t="shared" si="13"/>
        <v>..</v>
      </c>
      <c r="I403" s="848" t="s">
        <v>3088</v>
      </c>
      <c r="J403" s="848" t="s">
        <v>3088</v>
      </c>
      <c r="K403" s="848" t="s">
        <v>3088</v>
      </c>
    </row>
    <row r="404" spans="1:11">
      <c r="A404" s="848">
        <v>2010</v>
      </c>
      <c r="B404" s="848" t="s">
        <v>499</v>
      </c>
      <c r="C404" s="848" t="str">
        <f>$A404&amp;"_"&amp;$B404</f>
        <v>2010_Tanzania</v>
      </c>
      <c r="D404" s="848">
        <v>4050546000</v>
      </c>
      <c r="E404" s="848">
        <v>2.5305251775773545</v>
      </c>
      <c r="F404" s="848">
        <v>33.73709085273186</v>
      </c>
      <c r="G404" s="848">
        <f t="shared" si="12"/>
        <v>0.36267616030309213</v>
      </c>
      <c r="H404" s="848">
        <f t="shared" si="13"/>
        <v>1469036470.4110487</v>
      </c>
      <c r="I404" s="848" t="s">
        <v>3088</v>
      </c>
      <c r="J404" s="848">
        <v>101.67852999999999</v>
      </c>
      <c r="K404" s="848" t="s">
        <v>3088</v>
      </c>
    </row>
    <row r="405" spans="1:11">
      <c r="A405" s="848">
        <v>2010</v>
      </c>
      <c r="B405" s="848" t="s">
        <v>3090</v>
      </c>
      <c r="C405" s="848" t="str">
        <f>$A405&amp;"_"&amp;$B405</f>
        <v>2010_Timor-Leste</v>
      </c>
      <c r="D405" s="848">
        <v>16395000</v>
      </c>
      <c r="E405" s="848" t="s">
        <v>3088</v>
      </c>
      <c r="F405" s="848" t="s">
        <v>3088</v>
      </c>
      <c r="G405" s="848" t="str">
        <f t="shared" si="12"/>
        <v>..</v>
      </c>
      <c r="H405" s="848" t="str">
        <f t="shared" si="13"/>
        <v>..</v>
      </c>
      <c r="I405" s="848">
        <v>85.014809999999997</v>
      </c>
      <c r="J405" s="848">
        <v>116.52365</v>
      </c>
      <c r="K405" s="848">
        <v>85.597999999999999</v>
      </c>
    </row>
    <row r="406" spans="1:11">
      <c r="A406" s="848">
        <v>2010</v>
      </c>
      <c r="B406" s="848" t="s">
        <v>517</v>
      </c>
      <c r="C406" s="848" t="str">
        <f>$A406&amp;"_"&amp;$B406</f>
        <v>2010_Togo</v>
      </c>
      <c r="D406" s="848">
        <v>976221387.22371495</v>
      </c>
      <c r="E406" s="848">
        <v>0.1191852352856097</v>
      </c>
      <c r="F406" s="848">
        <v>10.739652480547816</v>
      </c>
      <c r="G406" s="848">
        <f t="shared" si="12"/>
        <v>0.10858837715833426</v>
      </c>
      <c r="H406" s="848">
        <f t="shared" si="13"/>
        <v>106006296.18588103</v>
      </c>
      <c r="I406" s="848" t="s">
        <v>3088</v>
      </c>
      <c r="J406" s="848">
        <v>131.42106999999999</v>
      </c>
      <c r="K406" s="848" t="s">
        <v>3088</v>
      </c>
    </row>
    <row r="407" spans="1:11">
      <c r="A407" s="848">
        <v>2010</v>
      </c>
      <c r="B407" s="848" t="s">
        <v>3091</v>
      </c>
      <c r="C407" s="848" t="str">
        <f>$A407&amp;"_"&amp;$B407</f>
        <v>2010_Trinidad and Tobago</v>
      </c>
      <c r="D407" s="848">
        <v>10981679000</v>
      </c>
      <c r="E407" s="848">
        <v>66.122752108367607</v>
      </c>
      <c r="F407" s="848">
        <v>0.30886055916201577</v>
      </c>
      <c r="G407" s="848">
        <f t="shared" si="12"/>
        <v>0.66431612667529616</v>
      </c>
      <c r="H407" s="848">
        <f t="shared" si="13"/>
        <v>7295306457.6714401</v>
      </c>
      <c r="I407" s="848">
        <v>95.181780000000003</v>
      </c>
      <c r="J407" s="848">
        <v>106.09769</v>
      </c>
      <c r="K407" s="848">
        <v>98.675290000000004</v>
      </c>
    </row>
    <row r="408" spans="1:11">
      <c r="A408" s="848">
        <v>2010</v>
      </c>
      <c r="B408" s="848" t="s">
        <v>3092</v>
      </c>
      <c r="C408" s="848" t="str">
        <f>$A408&amp;"_"&amp;$B408</f>
        <v>2010_Yemen, Rep.</v>
      </c>
      <c r="D408" s="848">
        <v>8100000000</v>
      </c>
      <c r="E408" s="848">
        <v>91.204937399530593</v>
      </c>
      <c r="F408" s="848">
        <v>0.16445758643538613</v>
      </c>
      <c r="G408" s="848">
        <f t="shared" si="12"/>
        <v>0.91369394985965979</v>
      </c>
      <c r="H408" s="848">
        <f t="shared" si="13"/>
        <v>7400920993.8632441</v>
      </c>
      <c r="I408" s="848">
        <v>81.754540000000006</v>
      </c>
      <c r="J408" s="848">
        <v>91.995609999999999</v>
      </c>
      <c r="K408" s="848">
        <v>82.390029999999996</v>
      </c>
    </row>
    <row r="409" spans="1:11">
      <c r="A409" s="848">
        <v>2010</v>
      </c>
      <c r="B409" s="848" t="s">
        <v>541</v>
      </c>
      <c r="C409" s="848" t="str">
        <f>$A409&amp;"_"&amp;$B409</f>
        <v>2010_Zambia</v>
      </c>
      <c r="D409" s="848">
        <v>7200267000</v>
      </c>
      <c r="E409" s="848">
        <v>0.5108903117379332</v>
      </c>
      <c r="F409" s="848">
        <v>85.973055761374212</v>
      </c>
      <c r="G409" s="848">
        <f t="shared" si="12"/>
        <v>0.8648394607311215</v>
      </c>
      <c r="H409" s="848">
        <f t="shared" si="13"/>
        <v>6227075029.4000902</v>
      </c>
      <c r="I409" s="848">
        <v>88.31129</v>
      </c>
      <c r="J409" s="848">
        <v>111.39673000000001</v>
      </c>
      <c r="K409" s="848">
        <v>89.567220000000006</v>
      </c>
    </row>
    <row r="410" spans="1:11">
      <c r="A410" s="848">
        <v>2011</v>
      </c>
      <c r="B410" s="848" t="s">
        <v>21</v>
      </c>
      <c r="C410" s="848" t="str">
        <f>$A410&amp;"_"&amp;$B410</f>
        <v>2011_Afghanistan</v>
      </c>
      <c r="D410" s="848">
        <v>375851000</v>
      </c>
      <c r="E410" s="848" t="s">
        <v>3088</v>
      </c>
      <c r="F410" s="848">
        <v>0.30578638842550704</v>
      </c>
      <c r="G410" s="848" t="str">
        <f t="shared" si="12"/>
        <v>..</v>
      </c>
      <c r="H410" s="848" t="str">
        <f t="shared" si="13"/>
        <v>..</v>
      </c>
      <c r="I410" s="848" t="s">
        <v>3088</v>
      </c>
      <c r="J410" s="848">
        <v>97.401020000000003</v>
      </c>
      <c r="K410" s="848" t="s">
        <v>3088</v>
      </c>
    </row>
    <row r="411" spans="1:11">
      <c r="A411" s="848">
        <v>2011</v>
      </c>
      <c r="B411" s="848" t="s">
        <v>38</v>
      </c>
      <c r="C411" s="848" t="str">
        <f>$A411&amp;"_"&amp;$B411</f>
        <v>2011_Albania</v>
      </c>
      <c r="D411" s="848">
        <v>1951044022.5152199</v>
      </c>
      <c r="E411" s="848">
        <v>21.191947057501483</v>
      </c>
      <c r="F411" s="848">
        <v>11.903425629161484</v>
      </c>
      <c r="G411" s="848">
        <f t="shared" si="12"/>
        <v>0.33095372686662972</v>
      </c>
      <c r="H411" s="848">
        <f t="shared" si="13"/>
        <v>645705290.5322727</v>
      </c>
      <c r="I411" s="848" t="s">
        <v>3088</v>
      </c>
      <c r="J411" s="848" t="s">
        <v>3088</v>
      </c>
      <c r="K411" s="848" t="s">
        <v>3088</v>
      </c>
    </row>
    <row r="412" spans="1:11">
      <c r="A412" s="848">
        <v>2011</v>
      </c>
      <c r="B412" s="848" t="s">
        <v>53</v>
      </c>
      <c r="C412" s="848" t="str">
        <f>$A412&amp;"_"&amp;$B412</f>
        <v>2011_Azerbaijan</v>
      </c>
      <c r="D412" s="848">
        <v>34494900000</v>
      </c>
      <c r="E412" s="848">
        <v>94.747393957387459</v>
      </c>
      <c r="F412" s="848">
        <v>0.19342780866614301</v>
      </c>
      <c r="G412" s="848">
        <f t="shared" si="12"/>
        <v>0.94940821766053607</v>
      </c>
      <c r="H412" s="848">
        <f t="shared" si="13"/>
        <v>32749741527.378426</v>
      </c>
      <c r="I412" s="848">
        <v>86.612610000000004</v>
      </c>
      <c r="J412" s="848">
        <v>95.573629999999994</v>
      </c>
      <c r="K412" s="848">
        <v>87.268079999999998</v>
      </c>
    </row>
    <row r="413" spans="1:11">
      <c r="A413" s="848">
        <v>2011</v>
      </c>
      <c r="B413" s="848" t="s">
        <v>98</v>
      </c>
      <c r="C413" s="848" t="str">
        <f>$A413&amp;"_"&amp;$B413</f>
        <v>2011_Burkina Faso</v>
      </c>
      <c r="D413" s="848">
        <v>2398986152.8484802</v>
      </c>
      <c r="E413" s="848">
        <v>1.8307716955680151E-2</v>
      </c>
      <c r="F413" s="848">
        <v>1.4888587347316704</v>
      </c>
      <c r="G413" s="848">
        <f t="shared" si="12"/>
        <v>1.5071664516873506E-2</v>
      </c>
      <c r="H413" s="848">
        <f t="shared" si="13"/>
        <v>36156714.476357318</v>
      </c>
      <c r="I413" s="848">
        <v>65.402839999999998</v>
      </c>
      <c r="J413" s="848">
        <v>82.238429999999994</v>
      </c>
      <c r="K413" s="848">
        <v>65.402839999999998</v>
      </c>
    </row>
    <row r="414" spans="1:11">
      <c r="A414" s="848">
        <v>2011</v>
      </c>
      <c r="B414" s="848" t="s">
        <v>101</v>
      </c>
      <c r="C414" s="848" t="str">
        <f>$A414&amp;"_"&amp;$B414</f>
        <v>2011_Cameroon</v>
      </c>
      <c r="D414" s="848">
        <v>4517028000</v>
      </c>
      <c r="E414" s="848">
        <v>0.55225781111892858</v>
      </c>
      <c r="F414" s="848">
        <v>5.2119204983439023</v>
      </c>
      <c r="G414" s="848">
        <f t="shared" si="12"/>
        <v>5.7641783094628307E-2</v>
      </c>
      <c r="H414" s="848">
        <f t="shared" si="13"/>
        <v>260369548.2083627</v>
      </c>
      <c r="I414" s="848" t="s">
        <v>3088</v>
      </c>
      <c r="J414" s="848">
        <v>105.73299</v>
      </c>
      <c r="K414" s="848" t="s">
        <v>3088</v>
      </c>
    </row>
    <row r="415" spans="1:11">
      <c r="A415" s="848">
        <v>2011</v>
      </c>
      <c r="B415" s="848" t="s">
        <v>127</v>
      </c>
      <c r="C415" s="848" t="str">
        <f>$A415&amp;"_"&amp;$B415</f>
        <v>2011_Central African Republic</v>
      </c>
      <c r="D415" s="848">
        <v>190000000</v>
      </c>
      <c r="E415" s="848">
        <v>0.55839764421754357</v>
      </c>
      <c r="F415" s="848">
        <v>62.181443701552638</v>
      </c>
      <c r="G415" s="848">
        <f t="shared" si="12"/>
        <v>0.62739841345770175</v>
      </c>
      <c r="H415" s="848">
        <f t="shared" si="13"/>
        <v>119205698.55696334</v>
      </c>
      <c r="I415" s="848">
        <v>68.728200000000001</v>
      </c>
      <c r="J415" s="848">
        <v>94.408749999999998</v>
      </c>
      <c r="K415" s="848">
        <v>69.100819999999999</v>
      </c>
    </row>
    <row r="416" spans="1:11">
      <c r="A416" s="848">
        <v>2011</v>
      </c>
      <c r="B416" s="848" t="s">
        <v>138</v>
      </c>
      <c r="C416" s="848" t="str">
        <f>$A416&amp;"_"&amp;$B416</f>
        <v>2011_Chad</v>
      </c>
      <c r="D416" s="848">
        <v>4800000000</v>
      </c>
      <c r="E416" s="848" t="s">
        <v>3088</v>
      </c>
      <c r="F416" s="848" t="s">
        <v>3088</v>
      </c>
      <c r="G416" s="848" t="str">
        <f t="shared" si="12"/>
        <v>..</v>
      </c>
      <c r="H416" s="848" t="str">
        <f t="shared" si="13"/>
        <v>..</v>
      </c>
      <c r="I416" s="848">
        <v>63.056980000000003</v>
      </c>
      <c r="J416" s="848">
        <v>90.642920000000004</v>
      </c>
      <c r="K416" s="848">
        <v>63.789839999999998</v>
      </c>
    </row>
    <row r="417" spans="1:11">
      <c r="A417" s="848">
        <v>2011</v>
      </c>
      <c r="B417" s="848" t="s">
        <v>3815</v>
      </c>
      <c r="C417" s="848" t="str">
        <f>$A417&amp;"_"&amp;$B417</f>
        <v>2011_Congo, Dem. Rep.</v>
      </c>
      <c r="D417" s="848">
        <v>6600000000</v>
      </c>
      <c r="E417" s="848" t="s">
        <v>3088</v>
      </c>
      <c r="F417" s="848" t="s">
        <v>3088</v>
      </c>
      <c r="G417" s="848" t="str">
        <f t="shared" si="12"/>
        <v>..</v>
      </c>
      <c r="H417" s="848" t="str">
        <f t="shared" si="13"/>
        <v>..</v>
      </c>
      <c r="I417" s="848" t="s">
        <v>3088</v>
      </c>
      <c r="J417" s="848">
        <v>105.17725</v>
      </c>
      <c r="K417" s="848" t="s">
        <v>3088</v>
      </c>
    </row>
    <row r="418" spans="1:11">
      <c r="A418" s="848">
        <v>2011</v>
      </c>
      <c r="B418" s="848" t="s">
        <v>3814</v>
      </c>
      <c r="C418" s="848" t="str">
        <f>$A418&amp;"_"&amp;$B418</f>
        <v>2011_Congo, Rep.</v>
      </c>
      <c r="D418" s="848">
        <v>11600000000</v>
      </c>
      <c r="E418" s="848">
        <v>77.666166082286964</v>
      </c>
      <c r="F418" s="848">
        <v>1.9389014393560184E-2</v>
      </c>
      <c r="G418" s="848">
        <f t="shared" si="12"/>
        <v>0.77685555096680514</v>
      </c>
      <c r="H418" s="848">
        <f t="shared" si="13"/>
        <v>9011524391.2149391</v>
      </c>
      <c r="I418" s="848" t="s">
        <v>3088</v>
      </c>
      <c r="J418" s="848">
        <v>111.64981</v>
      </c>
      <c r="K418" s="848" t="s">
        <v>3088</v>
      </c>
    </row>
    <row r="419" spans="1:11">
      <c r="A419" s="848">
        <v>2011</v>
      </c>
      <c r="B419" s="848" t="s">
        <v>188</v>
      </c>
      <c r="C419" s="848" t="str">
        <f>$A419&amp;"_"&amp;$B419</f>
        <v>2011_Equatorial Guinea</v>
      </c>
      <c r="D419" s="848">
        <v>13500000000</v>
      </c>
      <c r="E419" s="848" t="s">
        <v>3088</v>
      </c>
      <c r="F419" s="848" t="s">
        <v>3088</v>
      </c>
      <c r="G419" s="848" t="str">
        <f t="shared" si="12"/>
        <v>..</v>
      </c>
      <c r="H419" s="848" t="str">
        <f t="shared" si="13"/>
        <v>..</v>
      </c>
      <c r="I419" s="848">
        <v>58.121870000000001</v>
      </c>
      <c r="J419" s="848">
        <v>87.357370000000003</v>
      </c>
      <c r="K419" s="848">
        <v>59.243760000000002</v>
      </c>
    </row>
    <row r="420" spans="1:11">
      <c r="A420" s="848">
        <v>2011</v>
      </c>
      <c r="B420" s="848" t="s">
        <v>191</v>
      </c>
      <c r="C420" s="848" t="str">
        <f>$A420&amp;"_"&amp;$B420</f>
        <v>2011_Gabon</v>
      </c>
      <c r="D420" s="848">
        <v>9765530000</v>
      </c>
      <c r="E420" s="848" t="s">
        <v>3088</v>
      </c>
      <c r="F420" s="848" t="s">
        <v>3088</v>
      </c>
      <c r="G420" s="848" t="str">
        <f t="shared" si="12"/>
        <v>..</v>
      </c>
      <c r="H420" s="848" t="str">
        <f t="shared" si="13"/>
        <v>..</v>
      </c>
      <c r="I420" s="848" t="s">
        <v>3088</v>
      </c>
      <c r="J420" s="848">
        <v>164.85844</v>
      </c>
      <c r="K420" s="848" t="s">
        <v>3088</v>
      </c>
    </row>
    <row r="421" spans="1:11">
      <c r="A421" s="848">
        <v>2011</v>
      </c>
      <c r="B421" s="848" t="s">
        <v>301</v>
      </c>
      <c r="C421" s="848" t="str">
        <f>$A421&amp;"_"&amp;$B421</f>
        <v>2011_Liberia</v>
      </c>
      <c r="D421" s="848">
        <v>367000000</v>
      </c>
      <c r="E421" s="848" t="s">
        <v>3088</v>
      </c>
      <c r="F421" s="848" t="s">
        <v>3088</v>
      </c>
      <c r="G421" s="848" t="str">
        <f t="shared" si="12"/>
        <v>..</v>
      </c>
      <c r="H421" s="848" t="str">
        <f t="shared" si="13"/>
        <v>..</v>
      </c>
      <c r="I421" s="848">
        <v>40.62077</v>
      </c>
      <c r="J421" s="848">
        <v>102.38471</v>
      </c>
      <c r="K421" s="848">
        <v>40.915999999999997</v>
      </c>
    </row>
    <row r="422" spans="1:11">
      <c r="A422" s="848">
        <v>2011</v>
      </c>
      <c r="B422" s="848" t="s">
        <v>285</v>
      </c>
      <c r="C422" s="848" t="str">
        <f>$A422&amp;"_"&amp;$B422</f>
        <v>2011_Kyrgyz Republic</v>
      </c>
      <c r="D422" s="848">
        <v>1978900000</v>
      </c>
      <c r="E422" s="848">
        <v>22.124211092868432</v>
      </c>
      <c r="F422" s="848">
        <v>6.8311223926733753</v>
      </c>
      <c r="G422" s="848">
        <f t="shared" si="12"/>
        <v>0.28955333485541807</v>
      </c>
      <c r="H422" s="848">
        <f t="shared" si="13"/>
        <v>572997094.34538686</v>
      </c>
      <c r="I422" s="848">
        <v>88.387810000000002</v>
      </c>
      <c r="J422" s="848">
        <v>100.9054</v>
      </c>
      <c r="K422" s="848">
        <v>96.062510000000003</v>
      </c>
    </row>
    <row r="423" spans="1:11">
      <c r="A423" s="848">
        <v>2011</v>
      </c>
      <c r="B423" s="848" t="s">
        <v>195</v>
      </c>
      <c r="C423" s="848" t="str">
        <f>$A423&amp;"_"&amp;$B423</f>
        <v>2011_Ghana</v>
      </c>
      <c r="D423" s="848">
        <v>12785420000</v>
      </c>
      <c r="E423" s="848">
        <v>54.080735963539986</v>
      </c>
      <c r="F423" s="848">
        <v>1.826408858260858</v>
      </c>
      <c r="G423" s="848">
        <f t="shared" si="12"/>
        <v>0.55907144821800836</v>
      </c>
      <c r="H423" s="848">
        <f t="shared" si="13"/>
        <v>7147963275.4754887</v>
      </c>
      <c r="I423" s="848">
        <v>83.534999999999997</v>
      </c>
      <c r="J423" s="848">
        <v>106.73524</v>
      </c>
      <c r="K423" s="848">
        <v>83.901820000000001</v>
      </c>
    </row>
    <row r="424" spans="1:11">
      <c r="A424" s="848">
        <v>2011</v>
      </c>
      <c r="B424" s="848" t="s">
        <v>219</v>
      </c>
      <c r="C424" s="848" t="str">
        <f>$A424&amp;"_"&amp;$B424</f>
        <v>2011_Guatemala</v>
      </c>
      <c r="D424" s="848">
        <v>10400900000</v>
      </c>
      <c r="E424" s="848">
        <v>5.1180591822127512</v>
      </c>
      <c r="F424" s="848">
        <v>9.6258683321720699</v>
      </c>
      <c r="G424" s="848">
        <f t="shared" si="12"/>
        <v>0.14743927514384822</v>
      </c>
      <c r="H424" s="848">
        <f t="shared" si="13"/>
        <v>1533501156.8436511</v>
      </c>
      <c r="I424" s="848">
        <v>92.841080000000005</v>
      </c>
      <c r="J424" s="848">
        <v>113.77163</v>
      </c>
      <c r="K424" s="848">
        <v>95.268600000000006</v>
      </c>
    </row>
    <row r="425" spans="1:11">
      <c r="A425" s="848">
        <v>2011</v>
      </c>
      <c r="B425" s="848" t="s">
        <v>3089</v>
      </c>
      <c r="C425" s="848" t="str">
        <f>$A425&amp;"_"&amp;$B425</f>
        <v>2011_Guinea</v>
      </c>
      <c r="D425" s="848">
        <v>1432720000</v>
      </c>
      <c r="E425" s="848" t="s">
        <v>3088</v>
      </c>
      <c r="F425" s="848" t="s">
        <v>3088</v>
      </c>
      <c r="G425" s="848" t="str">
        <f t="shared" si="12"/>
        <v>..</v>
      </c>
      <c r="H425" s="848" t="str">
        <f t="shared" si="13"/>
        <v>..</v>
      </c>
      <c r="I425" s="848">
        <v>74.145799999999994</v>
      </c>
      <c r="J425" s="848">
        <v>89.304370000000006</v>
      </c>
      <c r="K425" s="848">
        <v>76.09545</v>
      </c>
    </row>
    <row r="426" spans="1:11">
      <c r="A426" s="848">
        <v>2011</v>
      </c>
      <c r="B426" s="848" t="s">
        <v>243</v>
      </c>
      <c r="C426" s="848" t="str">
        <f>$A426&amp;"_"&amp;$B426</f>
        <v>2011_Indonesia</v>
      </c>
      <c r="D426" s="848">
        <v>200787525000</v>
      </c>
      <c r="E426" s="848">
        <v>34.141076197320373</v>
      </c>
      <c r="F426" s="848">
        <v>7.8470105782911208</v>
      </c>
      <c r="G426" s="848">
        <f t="shared" si="12"/>
        <v>0.41988086775611494</v>
      </c>
      <c r="H426" s="848">
        <f t="shared" si="13"/>
        <v>84306840231.602615</v>
      </c>
      <c r="I426" s="848">
        <v>93.668009999999995</v>
      </c>
      <c r="J426" s="848">
        <v>109.09822</v>
      </c>
      <c r="K426" s="848">
        <v>96.758229999999998</v>
      </c>
    </row>
    <row r="427" spans="1:11">
      <c r="A427" s="848">
        <v>2011</v>
      </c>
      <c r="B427" s="848" t="s">
        <v>251</v>
      </c>
      <c r="C427" s="848" t="str">
        <f>$A427&amp;"_"&amp;$B427</f>
        <v>2011_Iraq</v>
      </c>
      <c r="D427" s="848">
        <v>83225900000</v>
      </c>
      <c r="E427" s="848" t="s">
        <v>3088</v>
      </c>
      <c r="F427" s="848" t="s">
        <v>3088</v>
      </c>
      <c r="G427" s="848" t="str">
        <f t="shared" si="12"/>
        <v>..</v>
      </c>
      <c r="H427" s="848" t="str">
        <f t="shared" si="13"/>
        <v>..</v>
      </c>
      <c r="I427" s="848" t="s">
        <v>3088</v>
      </c>
      <c r="J427" s="848" t="s">
        <v>3088</v>
      </c>
      <c r="K427" s="848" t="s">
        <v>3088</v>
      </c>
    </row>
    <row r="428" spans="1:11">
      <c r="A428" s="848">
        <v>2011</v>
      </c>
      <c r="B428" s="848" t="s">
        <v>280</v>
      </c>
      <c r="C428" s="848" t="str">
        <f>$A428&amp;"_"&amp;$B428</f>
        <v>2011_Kazakhstan</v>
      </c>
      <c r="D428" s="848">
        <v>84335900000</v>
      </c>
      <c r="E428" s="848">
        <v>72.825704404673701</v>
      </c>
      <c r="F428" s="848">
        <v>12.920270914939946</v>
      </c>
      <c r="G428" s="848">
        <f t="shared" si="12"/>
        <v>0.85745975319613654</v>
      </c>
      <c r="H428" s="848">
        <f t="shared" si="13"/>
        <v>72314639999.574051</v>
      </c>
      <c r="I428" s="848">
        <v>87.087019999999995</v>
      </c>
      <c r="J428" s="848">
        <v>104.72673</v>
      </c>
      <c r="K428" s="848">
        <v>98.239959999999996</v>
      </c>
    </row>
    <row r="429" spans="1:11">
      <c r="A429" s="848">
        <v>2011</v>
      </c>
      <c r="B429" s="848" t="s">
        <v>316</v>
      </c>
      <c r="C429" s="848" t="str">
        <f>$A429&amp;"_"&amp;$B429</f>
        <v>2011_Madagascar</v>
      </c>
      <c r="D429" s="848">
        <v>1590000000</v>
      </c>
      <c r="E429" s="848">
        <v>6.8266478671740041</v>
      </c>
      <c r="F429" s="848">
        <v>10.305444747997813</v>
      </c>
      <c r="G429" s="848">
        <f t="shared" si="12"/>
        <v>0.17132092615171818</v>
      </c>
      <c r="H429" s="848">
        <f t="shared" si="13"/>
        <v>272400272.58123189</v>
      </c>
      <c r="I429" s="848" t="s">
        <v>3088</v>
      </c>
      <c r="J429" s="848">
        <v>144.47746000000001</v>
      </c>
      <c r="K429" s="848" t="s">
        <v>3088</v>
      </c>
    </row>
    <row r="430" spans="1:11">
      <c r="A430" s="848">
        <v>2011</v>
      </c>
      <c r="B430" s="848" t="s">
        <v>329</v>
      </c>
      <c r="C430" s="848" t="str">
        <f>$A430&amp;"_"&amp;$B430</f>
        <v>2011_Mali</v>
      </c>
      <c r="D430" s="848">
        <v>2374497000</v>
      </c>
      <c r="E430" s="848">
        <v>0.15470569023870703</v>
      </c>
      <c r="F430" s="848">
        <v>3.2141735256905064</v>
      </c>
      <c r="G430" s="848">
        <f t="shared" si="12"/>
        <v>3.368879215929213E-2</v>
      </c>
      <c r="H430" s="848">
        <f t="shared" si="13"/>
        <v>79993935.915862679</v>
      </c>
      <c r="I430" s="848">
        <v>70.632980000000003</v>
      </c>
      <c r="J430" s="848">
        <v>91.663470000000004</v>
      </c>
      <c r="K430" s="848">
        <v>75.413700000000006</v>
      </c>
    </row>
    <row r="431" spans="1:11">
      <c r="A431" s="848">
        <v>2011</v>
      </c>
      <c r="B431" s="848" t="s">
        <v>345</v>
      </c>
      <c r="C431" s="848" t="str">
        <f>$A431&amp;"_"&amp;$B431</f>
        <v>2011_Mauritania</v>
      </c>
      <c r="D431" s="848">
        <v>2775760000</v>
      </c>
      <c r="E431" s="848">
        <v>5.0552618621310286</v>
      </c>
      <c r="F431" s="848">
        <v>8.7975887260655643</v>
      </c>
      <c r="G431" s="848">
        <f t="shared" si="12"/>
        <v>0.13852850588196591</v>
      </c>
      <c r="H431" s="848">
        <f t="shared" si="13"/>
        <v>384521885.48692572</v>
      </c>
      <c r="I431" s="848">
        <v>70.719200000000001</v>
      </c>
      <c r="J431" s="848">
        <v>95.869900000000001</v>
      </c>
      <c r="K431" s="848">
        <v>71.509619999999998</v>
      </c>
    </row>
    <row r="432" spans="1:11">
      <c r="A432" s="848">
        <v>2011</v>
      </c>
      <c r="B432" s="848" t="s">
        <v>364</v>
      </c>
      <c r="C432" s="848" t="str">
        <f>$A432&amp;"_"&amp;$B432</f>
        <v>2011_Mongolia</v>
      </c>
      <c r="D432" s="848">
        <v>4817500000</v>
      </c>
      <c r="E432" s="848" t="s">
        <v>3088</v>
      </c>
      <c r="F432" s="848" t="s">
        <v>3088</v>
      </c>
      <c r="G432" s="848" t="str">
        <f t="shared" si="12"/>
        <v>..</v>
      </c>
      <c r="H432" s="848" t="str">
        <f t="shared" si="13"/>
        <v>..</v>
      </c>
      <c r="I432" s="848">
        <v>98.959050000000005</v>
      </c>
      <c r="J432" s="848">
        <v>122.06328000000001</v>
      </c>
      <c r="K432" s="848">
        <v>99.173749999999998</v>
      </c>
    </row>
    <row r="433" spans="1:11">
      <c r="A433" s="848">
        <v>2011</v>
      </c>
      <c r="B433" s="848" t="s">
        <v>394</v>
      </c>
      <c r="C433" s="848" t="str">
        <f>$A433&amp;"_"&amp;$B433</f>
        <v>2011_Niger</v>
      </c>
      <c r="D433" s="848">
        <v>1250000000</v>
      </c>
      <c r="E433" s="848">
        <v>1.1073910438065337</v>
      </c>
      <c r="F433" s="848">
        <v>68.904577507598091</v>
      </c>
      <c r="G433" s="848">
        <f t="shared" si="12"/>
        <v>0.70011968551404624</v>
      </c>
      <c r="H433" s="848">
        <f t="shared" si="13"/>
        <v>875149606.89255786</v>
      </c>
      <c r="I433" s="848">
        <v>60.79466</v>
      </c>
      <c r="J433" s="848">
        <v>68.873260000000002</v>
      </c>
      <c r="K433" s="848">
        <v>62.002719999999997</v>
      </c>
    </row>
    <row r="434" spans="1:11">
      <c r="A434" s="848">
        <v>2011</v>
      </c>
      <c r="B434" s="848" t="s">
        <v>413</v>
      </c>
      <c r="C434" s="848" t="str">
        <f>$A434&amp;"_"&amp;$B434</f>
        <v>2011_Nigeria</v>
      </c>
      <c r="D434" s="848">
        <v>114000000000</v>
      </c>
      <c r="E434" s="848">
        <v>89.126472851510059</v>
      </c>
      <c r="F434" s="848">
        <v>0.31695508963905333</v>
      </c>
      <c r="G434" s="848">
        <f t="shared" si="12"/>
        <v>0.89443427941149112</v>
      </c>
      <c r="H434" s="848">
        <f t="shared" si="13"/>
        <v>101965507852.90999</v>
      </c>
      <c r="I434" s="848" t="s">
        <v>3088</v>
      </c>
      <c r="J434" s="848" t="s">
        <v>3088</v>
      </c>
      <c r="K434" s="848" t="s">
        <v>3088</v>
      </c>
    </row>
    <row r="435" spans="1:11">
      <c r="A435" s="848">
        <v>2011</v>
      </c>
      <c r="B435" s="848" t="s">
        <v>436</v>
      </c>
      <c r="C435" s="848" t="str">
        <f>$A435&amp;"_"&amp;$B435</f>
        <v>2011_Norway</v>
      </c>
      <c r="D435" s="848">
        <v>160409821000</v>
      </c>
      <c r="E435" s="848">
        <v>68.163356297417749</v>
      </c>
      <c r="F435" s="848">
        <v>6.0306174009840356</v>
      </c>
      <c r="G435" s="848">
        <f t="shared" si="12"/>
        <v>0.74193973698401794</v>
      </c>
      <c r="H435" s="848">
        <f t="shared" si="13"/>
        <v>119014420402.3934</v>
      </c>
      <c r="I435" s="848">
        <v>99.273039999999995</v>
      </c>
      <c r="J435" s="848">
        <v>99.273039999999995</v>
      </c>
      <c r="K435" s="848">
        <v>99.273039999999995</v>
      </c>
    </row>
    <row r="436" spans="1:11">
      <c r="A436" s="848">
        <v>2011</v>
      </c>
      <c r="B436" s="848" t="s">
        <v>449</v>
      </c>
      <c r="C436" s="848" t="str">
        <f>$A436&amp;"_"&amp;$B436</f>
        <v>2011_Peru</v>
      </c>
      <c r="D436" s="848">
        <v>46375961566.119904</v>
      </c>
      <c r="E436" s="848">
        <v>14.057558666350253</v>
      </c>
      <c r="F436" s="848">
        <v>50.142134349135944</v>
      </c>
      <c r="G436" s="848">
        <f t="shared" si="12"/>
        <v>0.64199693015486192</v>
      </c>
      <c r="H436" s="848">
        <f t="shared" si="13"/>
        <v>29773224958.428841</v>
      </c>
      <c r="I436" s="848">
        <v>93.732550000000003</v>
      </c>
      <c r="J436" s="848">
        <v>104.90494</v>
      </c>
      <c r="K436" s="848">
        <v>96.327079999999995</v>
      </c>
    </row>
    <row r="437" spans="1:11">
      <c r="A437" s="848">
        <v>2011</v>
      </c>
      <c r="B437" s="848" t="s">
        <v>488</v>
      </c>
      <c r="C437" s="848" t="str">
        <f>$A437&amp;"_"&amp;$B437</f>
        <v>2011_Sierra Leone</v>
      </c>
      <c r="D437" s="848">
        <v>349709397.10989797</v>
      </c>
      <c r="E437" s="848" t="s">
        <v>3088</v>
      </c>
      <c r="F437" s="848" t="s">
        <v>3088</v>
      </c>
      <c r="G437" s="848" t="str">
        <f t="shared" si="12"/>
        <v>..</v>
      </c>
      <c r="H437" s="848" t="str">
        <f t="shared" si="13"/>
        <v>..</v>
      </c>
      <c r="I437" s="848" t="s">
        <v>3088</v>
      </c>
      <c r="J437" s="848">
        <v>128.09161</v>
      </c>
      <c r="K437" s="848" t="s">
        <v>3088</v>
      </c>
    </row>
    <row r="438" spans="1:11">
      <c r="A438" s="848">
        <v>2011</v>
      </c>
      <c r="B438" s="848" t="s">
        <v>499</v>
      </c>
      <c r="C438" s="848" t="str">
        <f>$A438&amp;"_"&amp;$B438</f>
        <v>2011_Tanzania</v>
      </c>
      <c r="D438" s="848">
        <v>4734960000</v>
      </c>
      <c r="E438" s="848">
        <v>1.1910457632814231</v>
      </c>
      <c r="F438" s="848">
        <v>35.438385117204248</v>
      </c>
      <c r="G438" s="848">
        <f t="shared" si="12"/>
        <v>0.36629430880485669</v>
      </c>
      <c r="H438" s="848">
        <f t="shared" si="13"/>
        <v>1734388900.4186442</v>
      </c>
      <c r="I438" s="848" t="s">
        <v>3088</v>
      </c>
      <c r="J438" s="848" t="s">
        <v>3088</v>
      </c>
      <c r="K438" s="848" t="s">
        <v>3088</v>
      </c>
    </row>
    <row r="439" spans="1:11">
      <c r="A439" s="848">
        <v>2011</v>
      </c>
      <c r="B439" s="848" t="s">
        <v>3090</v>
      </c>
      <c r="C439" s="848" t="str">
        <f>$A439&amp;"_"&amp;$B439</f>
        <v>2011_Timor-Leste</v>
      </c>
      <c r="D439" s="848">
        <v>13202000</v>
      </c>
      <c r="E439" s="848" t="s">
        <v>3088</v>
      </c>
      <c r="F439" s="848" t="s">
        <v>3088</v>
      </c>
      <c r="G439" s="848" t="str">
        <f t="shared" si="12"/>
        <v>..</v>
      </c>
      <c r="H439" s="848" t="str">
        <f t="shared" si="13"/>
        <v>..</v>
      </c>
      <c r="I439" s="848">
        <v>91.119579999999999</v>
      </c>
      <c r="J439" s="848">
        <v>124.95144000000001</v>
      </c>
      <c r="K439" s="848">
        <v>91.673900000000003</v>
      </c>
    </row>
    <row r="440" spans="1:11">
      <c r="A440" s="848">
        <v>2011</v>
      </c>
      <c r="B440" s="848" t="s">
        <v>517</v>
      </c>
      <c r="C440" s="848" t="str">
        <f>$A440&amp;"_"&amp;$B440</f>
        <v>2011_Togo</v>
      </c>
      <c r="D440" s="848">
        <v>1178724468.3872099</v>
      </c>
      <c r="E440" s="848">
        <v>0.9214052279637418</v>
      </c>
      <c r="F440" s="848">
        <v>8.3205862046166654</v>
      </c>
      <c r="G440" s="848">
        <f t="shared" si="12"/>
        <v>9.241991432580407E-2</v>
      </c>
      <c r="H440" s="848">
        <f t="shared" si="13"/>
        <v>108937614.38207489</v>
      </c>
      <c r="I440" s="848" t="s">
        <v>3088</v>
      </c>
      <c r="J440" s="848">
        <v>129.54957999999999</v>
      </c>
      <c r="K440" s="848" t="s">
        <v>3088</v>
      </c>
    </row>
    <row r="441" spans="1:11">
      <c r="A441" s="848">
        <v>2011</v>
      </c>
      <c r="B441" s="848" t="s">
        <v>3091</v>
      </c>
      <c r="C441" s="848" t="str">
        <f>$A441&amp;"_"&amp;$B441</f>
        <v>2011_Trinidad and Tobago</v>
      </c>
      <c r="D441" s="848">
        <v>14943900000</v>
      </c>
      <c r="E441" s="848" t="s">
        <v>3088</v>
      </c>
      <c r="F441" s="848" t="s">
        <v>3088</v>
      </c>
      <c r="G441" s="848" t="str">
        <f t="shared" si="12"/>
        <v>..</v>
      </c>
      <c r="H441" s="848" t="str">
        <f t="shared" si="13"/>
        <v>..</v>
      </c>
      <c r="I441" s="848" t="s">
        <v>3088</v>
      </c>
      <c r="J441" s="848" t="s">
        <v>3088</v>
      </c>
      <c r="K441" s="848" t="s">
        <v>3088</v>
      </c>
    </row>
    <row r="442" spans="1:11">
      <c r="A442" s="848">
        <v>2011</v>
      </c>
      <c r="B442" s="848" t="s">
        <v>3092</v>
      </c>
      <c r="C442" s="848" t="str">
        <f>$A442&amp;"_"&amp;$B442</f>
        <v>2011_Yemen, Rep.</v>
      </c>
      <c r="D442" s="848">
        <v>9700000000</v>
      </c>
      <c r="E442" s="848">
        <v>89.071371028781655</v>
      </c>
      <c r="F442" s="848">
        <v>0.15816976606159988</v>
      </c>
      <c r="G442" s="848">
        <f t="shared" si="12"/>
        <v>0.89229540794843265</v>
      </c>
      <c r="H442" s="848">
        <f t="shared" si="13"/>
        <v>8655265457.0997963</v>
      </c>
      <c r="I442" s="848" t="s">
        <v>3088</v>
      </c>
      <c r="J442" s="848">
        <v>96.712209999999999</v>
      </c>
      <c r="K442" s="848" t="s">
        <v>3088</v>
      </c>
    </row>
    <row r="443" spans="1:11">
      <c r="A443" s="848">
        <v>2011</v>
      </c>
      <c r="B443" s="848" t="s">
        <v>541</v>
      </c>
      <c r="C443" s="848" t="str">
        <f>$A443&amp;"_"&amp;$B443</f>
        <v>2011_Zambia</v>
      </c>
      <c r="D443" s="848">
        <v>9000946000</v>
      </c>
      <c r="E443" s="848">
        <v>0.45285922859135225</v>
      </c>
      <c r="F443" s="848">
        <v>80.683632490732876</v>
      </c>
      <c r="G443" s="848">
        <f t="shared" si="12"/>
        <v>0.81136491719324222</v>
      </c>
      <c r="H443" s="848">
        <f t="shared" si="13"/>
        <v>7303051805.9508448</v>
      </c>
      <c r="I443" s="848">
        <v>91.932209999999998</v>
      </c>
      <c r="J443" s="848">
        <v>112.9757</v>
      </c>
      <c r="K443" s="848">
        <v>93.626670000000004</v>
      </c>
    </row>
    <row r="444" spans="1:11">
      <c r="A444" s="848">
        <v>2012</v>
      </c>
      <c r="B444" s="848" t="s">
        <v>21</v>
      </c>
      <c r="C444" s="848" t="str">
        <f>$A444&amp;"_"&amp;$B444</f>
        <v>2012_Afghanistan</v>
      </c>
      <c r="D444" s="848">
        <v>428903000</v>
      </c>
      <c r="E444" s="848" t="s">
        <v>3088</v>
      </c>
      <c r="F444" s="848" t="s">
        <v>3088</v>
      </c>
      <c r="G444" s="848" t="str">
        <f t="shared" si="12"/>
        <v>..</v>
      </c>
      <c r="H444" s="848" t="str">
        <f t="shared" si="13"/>
        <v>..</v>
      </c>
      <c r="I444" s="848" t="s">
        <v>3088</v>
      </c>
      <c r="J444" s="848">
        <v>103.94475</v>
      </c>
      <c r="K444" s="848" t="s">
        <v>3088</v>
      </c>
    </row>
    <row r="445" spans="1:11">
      <c r="A445" s="848">
        <v>2012</v>
      </c>
      <c r="B445" s="848" t="s">
        <v>38</v>
      </c>
      <c r="C445" s="848" t="str">
        <f>$A445&amp;"_"&amp;$B445</f>
        <v>2012_Albania</v>
      </c>
      <c r="D445" s="848">
        <v>1967989418.1654301</v>
      </c>
      <c r="E445" s="848">
        <v>26.590781265743612</v>
      </c>
      <c r="F445" s="848">
        <v>10.912701687911671</v>
      </c>
      <c r="G445" s="848">
        <f t="shared" si="12"/>
        <v>0.37503482953655282</v>
      </c>
      <c r="H445" s="848">
        <f t="shared" si="13"/>
        <v>738064575.97141182</v>
      </c>
      <c r="I445" s="848" t="s">
        <v>3088</v>
      </c>
      <c r="J445" s="848" t="s">
        <v>3088</v>
      </c>
      <c r="K445" s="848" t="s">
        <v>3088</v>
      </c>
    </row>
    <row r="446" spans="1:11">
      <c r="A446" s="848">
        <v>2012</v>
      </c>
      <c r="B446" s="848" t="s">
        <v>53</v>
      </c>
      <c r="C446" s="848" t="str">
        <f>$A446&amp;"_"&amp;$B446</f>
        <v>2012_Azerbaijan</v>
      </c>
      <c r="D446" s="848">
        <v>32374000000</v>
      </c>
      <c r="E446" s="848">
        <v>93.419356784862899</v>
      </c>
      <c r="F446" s="848">
        <v>0.53223522318101901</v>
      </c>
      <c r="G446" s="848">
        <f t="shared" si="12"/>
        <v>0.93951592008043916</v>
      </c>
      <c r="H446" s="848">
        <f t="shared" si="13"/>
        <v>30415888396.684139</v>
      </c>
      <c r="I446" s="848">
        <v>89.094059999999999</v>
      </c>
      <c r="J446" s="848">
        <v>97.943200000000004</v>
      </c>
      <c r="K446" s="848">
        <v>89.278999999999996</v>
      </c>
    </row>
    <row r="447" spans="1:11">
      <c r="A447" s="848">
        <v>2012</v>
      </c>
      <c r="B447" s="848" t="s">
        <v>98</v>
      </c>
      <c r="C447" s="848" t="str">
        <f>$A447&amp;"_"&amp;$B447</f>
        <v>2012_Burkina Faso</v>
      </c>
      <c r="D447" s="848">
        <v>2183327000</v>
      </c>
      <c r="E447" s="848" t="s">
        <v>3088</v>
      </c>
      <c r="F447" s="848" t="s">
        <v>3088</v>
      </c>
      <c r="G447" s="848" t="str">
        <f t="shared" si="12"/>
        <v>..</v>
      </c>
      <c r="H447" s="848" t="str">
        <f t="shared" si="13"/>
        <v>..</v>
      </c>
      <c r="I447" s="848">
        <v>66.364249999999998</v>
      </c>
      <c r="J447" s="848">
        <v>84.964950000000002</v>
      </c>
      <c r="K447" s="848">
        <v>66.759569999999997</v>
      </c>
    </row>
    <row r="448" spans="1:11">
      <c r="A448" s="848">
        <v>2012</v>
      </c>
      <c r="B448" s="848" t="s">
        <v>101</v>
      </c>
      <c r="C448" s="848" t="str">
        <f>$A448&amp;"_"&amp;$B448</f>
        <v>2012_Cameroon</v>
      </c>
      <c r="D448" s="848">
        <v>4274981000</v>
      </c>
      <c r="E448" s="848">
        <v>55.611473419316113</v>
      </c>
      <c r="F448" s="848">
        <v>1.5954423714054371</v>
      </c>
      <c r="G448" s="848">
        <f t="shared" si="12"/>
        <v>0.57206915790721558</v>
      </c>
      <c r="H448" s="848">
        <f t="shared" si="13"/>
        <v>2445584780.7393465</v>
      </c>
      <c r="I448" s="848">
        <v>91.526619999999994</v>
      </c>
      <c r="J448" s="848">
        <v>110.61503</v>
      </c>
      <c r="K448" s="848">
        <v>91.526619999999994</v>
      </c>
    </row>
    <row r="449" spans="1:11">
      <c r="A449" s="848">
        <v>2012</v>
      </c>
      <c r="B449" s="848" t="s">
        <v>127</v>
      </c>
      <c r="C449" s="848" t="str">
        <f>$A449&amp;"_"&amp;$B449</f>
        <v>2012_Central African Republic</v>
      </c>
      <c r="D449" s="848">
        <v>200000000</v>
      </c>
      <c r="E449" s="848" t="s">
        <v>3088</v>
      </c>
      <c r="F449" s="848" t="s">
        <v>3088</v>
      </c>
      <c r="G449" s="848" t="str">
        <f t="shared" si="12"/>
        <v>..</v>
      </c>
      <c r="H449" s="848" t="str">
        <f t="shared" si="13"/>
        <v>..</v>
      </c>
      <c r="I449" s="848">
        <v>71.876840000000001</v>
      </c>
      <c r="J449" s="848">
        <v>95.201930000000004</v>
      </c>
      <c r="K449" s="848">
        <v>72.164320000000004</v>
      </c>
    </row>
    <row r="450" spans="1:11">
      <c r="A450" s="848">
        <v>2012</v>
      </c>
      <c r="B450" s="848" t="s">
        <v>138</v>
      </c>
      <c r="C450" s="848" t="str">
        <f>$A450&amp;"_"&amp;$B450</f>
        <v>2012_Chad</v>
      </c>
      <c r="D450" s="848">
        <v>4600000000</v>
      </c>
      <c r="E450" s="848" t="s">
        <v>3088</v>
      </c>
      <c r="F450" s="848" t="s">
        <v>3088</v>
      </c>
      <c r="G450" s="848" t="str">
        <f t="shared" si="12"/>
        <v>..</v>
      </c>
      <c r="H450" s="848" t="str">
        <f t="shared" si="13"/>
        <v>..</v>
      </c>
      <c r="I450" s="848" t="s">
        <v>3088</v>
      </c>
      <c r="J450" s="848">
        <v>95.38691</v>
      </c>
      <c r="K450" s="848" t="s">
        <v>3088</v>
      </c>
    </row>
    <row r="451" spans="1:11">
      <c r="A451" s="848">
        <v>2012</v>
      </c>
      <c r="B451" s="848" t="s">
        <v>3815</v>
      </c>
      <c r="C451" s="848" t="str">
        <f>$A451&amp;"_"&amp;$B451</f>
        <v>2012_Congo, Dem. Rep.</v>
      </c>
      <c r="D451" s="848">
        <v>6300000000</v>
      </c>
      <c r="E451" s="848" t="s">
        <v>3088</v>
      </c>
      <c r="F451" s="848" t="s">
        <v>3088</v>
      </c>
      <c r="G451" s="848" t="str">
        <f t="shared" ref="G451:G514" si="14">IFERROR(($E451+$F451)/100,"..")</f>
        <v>..</v>
      </c>
      <c r="H451" s="848" t="str">
        <f t="shared" ref="H451:H514" si="15">IFERROR($G451*$D451,"..")</f>
        <v>..</v>
      </c>
      <c r="I451" s="848" t="s">
        <v>3088</v>
      </c>
      <c r="J451" s="848">
        <v>110.89887</v>
      </c>
      <c r="K451" s="848" t="s">
        <v>3088</v>
      </c>
    </row>
    <row r="452" spans="1:11">
      <c r="A452" s="848">
        <v>2012</v>
      </c>
      <c r="B452" s="848" t="s">
        <v>3814</v>
      </c>
      <c r="C452" s="848" t="str">
        <f>$A452&amp;"_"&amp;$B452</f>
        <v>2012_Congo, Rep.</v>
      </c>
      <c r="D452" s="848">
        <v>10600000000</v>
      </c>
      <c r="E452" s="848">
        <v>78.89782786307947</v>
      </c>
      <c r="F452" s="848">
        <v>1.4124045892020652E-2</v>
      </c>
      <c r="G452" s="848">
        <f t="shared" si="14"/>
        <v>0.78911951908971489</v>
      </c>
      <c r="H452" s="848">
        <f t="shared" si="15"/>
        <v>8364666902.3509779</v>
      </c>
      <c r="I452" s="848">
        <v>90.170360000000002</v>
      </c>
      <c r="J452" s="848">
        <v>109.41580999999999</v>
      </c>
      <c r="K452" s="848">
        <v>91.618480000000005</v>
      </c>
    </row>
    <row r="453" spans="1:11">
      <c r="A453" s="848">
        <v>2012</v>
      </c>
      <c r="B453" s="848" t="s">
        <v>188</v>
      </c>
      <c r="C453" s="848" t="str">
        <f>$A453&amp;"_"&amp;$B453</f>
        <v>2012_Equatorial Guinea</v>
      </c>
      <c r="D453" s="848">
        <v>15500000000</v>
      </c>
      <c r="E453" s="848" t="s">
        <v>3088</v>
      </c>
      <c r="F453" s="848" t="s">
        <v>3088</v>
      </c>
      <c r="G453" s="848" t="str">
        <f t="shared" si="14"/>
        <v>..</v>
      </c>
      <c r="H453" s="848" t="str">
        <f t="shared" si="15"/>
        <v>..</v>
      </c>
      <c r="I453" s="848">
        <v>60.989629999999998</v>
      </c>
      <c r="J453" s="848">
        <v>90.729749999999996</v>
      </c>
      <c r="K453" s="848">
        <v>62.189450000000001</v>
      </c>
    </row>
    <row r="454" spans="1:11">
      <c r="A454" s="848">
        <v>2012</v>
      </c>
      <c r="B454" s="848" t="s">
        <v>191</v>
      </c>
      <c r="C454" s="848" t="str">
        <f>$A454&amp;"_"&amp;$B454</f>
        <v>2012_Gabon</v>
      </c>
      <c r="D454" s="848">
        <v>9660581987.2603798</v>
      </c>
      <c r="E454" s="848" t="s">
        <v>3088</v>
      </c>
      <c r="F454" s="848" t="s">
        <v>3088</v>
      </c>
      <c r="G454" s="848" t="str">
        <f t="shared" si="14"/>
        <v>..</v>
      </c>
      <c r="H454" s="848" t="str">
        <f t="shared" si="15"/>
        <v>..</v>
      </c>
      <c r="I454" s="848" t="s">
        <v>3088</v>
      </c>
      <c r="J454" s="848" t="s">
        <v>3088</v>
      </c>
      <c r="K454" s="848" t="s">
        <v>3088</v>
      </c>
    </row>
    <row r="455" spans="1:11">
      <c r="A455" s="848">
        <v>2012</v>
      </c>
      <c r="B455" s="848" t="s">
        <v>301</v>
      </c>
      <c r="C455" s="848" t="str">
        <f>$A455&amp;"_"&amp;$B455</f>
        <v>2012_Liberia</v>
      </c>
      <c r="D455" s="848">
        <v>459400000</v>
      </c>
      <c r="E455" s="848" t="s">
        <v>3088</v>
      </c>
      <c r="F455" s="848" t="s">
        <v>3088</v>
      </c>
      <c r="G455" s="848" t="str">
        <f t="shared" si="14"/>
        <v>..</v>
      </c>
      <c r="H455" s="848" t="str">
        <f t="shared" si="15"/>
        <v>..</v>
      </c>
      <c r="I455" s="848" t="s">
        <v>3088</v>
      </c>
      <c r="J455" s="848" t="s">
        <v>3088</v>
      </c>
      <c r="K455" s="848" t="s">
        <v>3088</v>
      </c>
    </row>
    <row r="456" spans="1:11">
      <c r="A456" s="848">
        <v>2012</v>
      </c>
      <c r="B456" s="848" t="s">
        <v>285</v>
      </c>
      <c r="C456" s="848" t="str">
        <f>$A456&amp;"_"&amp;$B456</f>
        <v>2012_Kyrgyz Republic</v>
      </c>
      <c r="D456" s="848">
        <v>1893800000</v>
      </c>
      <c r="E456" s="848">
        <v>20.072114688136129</v>
      </c>
      <c r="F456" s="848">
        <v>9.9545419260808785</v>
      </c>
      <c r="G456" s="848">
        <f t="shared" si="14"/>
        <v>0.30026656614217007</v>
      </c>
      <c r="H456" s="848">
        <f t="shared" si="15"/>
        <v>568644822.96004164</v>
      </c>
      <c r="I456" s="848">
        <v>90.507249999999999</v>
      </c>
      <c r="J456" s="848">
        <v>105.85894</v>
      </c>
      <c r="K456" s="848">
        <v>98.370930000000001</v>
      </c>
    </row>
    <row r="457" spans="1:11">
      <c r="A457" s="848">
        <v>2012</v>
      </c>
      <c r="B457" s="848" t="s">
        <v>195</v>
      </c>
      <c r="C457" s="848" t="str">
        <f>$A457&amp;"_"&amp;$B457</f>
        <v>2012_Ghana</v>
      </c>
      <c r="D457" s="848">
        <v>13552350000</v>
      </c>
      <c r="E457" s="848">
        <v>39.150745123959183</v>
      </c>
      <c r="F457" s="848">
        <v>2.0040746486799557</v>
      </c>
      <c r="G457" s="848">
        <f t="shared" si="14"/>
        <v>0.41154819772639134</v>
      </c>
      <c r="H457" s="848">
        <f t="shared" si="15"/>
        <v>5577445217.4572601</v>
      </c>
      <c r="I457" s="848">
        <v>81.792310000000001</v>
      </c>
      <c r="J457" s="848">
        <v>109.91725</v>
      </c>
      <c r="K457" s="848">
        <v>82.343050000000005</v>
      </c>
    </row>
    <row r="458" spans="1:11">
      <c r="A458" s="848">
        <v>2012</v>
      </c>
      <c r="B458" s="848" t="s">
        <v>219</v>
      </c>
      <c r="C458" s="848" t="str">
        <f>$A458&amp;"_"&amp;$B458</f>
        <v>2012_Guatemala</v>
      </c>
      <c r="D458" s="848">
        <v>9978700000</v>
      </c>
      <c r="E458" s="848">
        <v>3.9894214696142427</v>
      </c>
      <c r="F458" s="848">
        <v>6.2635930986522927</v>
      </c>
      <c r="G458" s="848">
        <f t="shared" si="14"/>
        <v>0.10253014568266536</v>
      </c>
      <c r="H458" s="848">
        <f t="shared" si="15"/>
        <v>1023117564.7236128</v>
      </c>
      <c r="I458" s="848" t="s">
        <v>3088</v>
      </c>
      <c r="J458" s="848" t="s">
        <v>3088</v>
      </c>
      <c r="K458" s="848" t="s">
        <v>3088</v>
      </c>
    </row>
    <row r="459" spans="1:11">
      <c r="A459" s="848">
        <v>2012</v>
      </c>
      <c r="B459" s="848" t="s">
        <v>3089</v>
      </c>
      <c r="C459" s="848" t="str">
        <f>$A459&amp;"_"&amp;$B459</f>
        <v>2012_Guinea</v>
      </c>
      <c r="D459" s="848">
        <v>1300000000</v>
      </c>
      <c r="E459" s="848" t="s">
        <v>3088</v>
      </c>
      <c r="F459" s="848" t="s">
        <v>3088</v>
      </c>
      <c r="G459" s="848" t="str">
        <f t="shared" si="14"/>
        <v>..</v>
      </c>
      <c r="H459" s="848" t="str">
        <f t="shared" si="15"/>
        <v>..</v>
      </c>
      <c r="I459" s="848">
        <v>74.383319999999998</v>
      </c>
      <c r="J459" s="848">
        <v>90.832179999999994</v>
      </c>
      <c r="K459" s="848">
        <v>75.526719999999997</v>
      </c>
    </row>
    <row r="460" spans="1:11">
      <c r="A460" s="848">
        <v>2012</v>
      </c>
      <c r="B460" s="848" t="s">
        <v>243</v>
      </c>
      <c r="C460" s="848" t="str">
        <f>$A460&amp;"_"&amp;$B460</f>
        <v>2012_Indonesia</v>
      </c>
      <c r="D460" s="848">
        <v>188496357000</v>
      </c>
      <c r="E460" s="848">
        <v>33.590891359537252</v>
      </c>
      <c r="F460" s="848">
        <v>6.3428077832338694</v>
      </c>
      <c r="G460" s="848">
        <f t="shared" si="14"/>
        <v>0.39933699142771117</v>
      </c>
      <c r="H460" s="848">
        <f t="shared" si="15"/>
        <v>75273568099.463791</v>
      </c>
      <c r="I460" s="848">
        <v>92.218279999999993</v>
      </c>
      <c r="J460" s="848">
        <v>108.52625</v>
      </c>
      <c r="K460" s="848">
        <v>95.290980000000005</v>
      </c>
    </row>
    <row r="461" spans="1:11">
      <c r="A461" s="848">
        <v>2012</v>
      </c>
      <c r="B461" s="848" t="s">
        <v>251</v>
      </c>
      <c r="C461" s="848" t="str">
        <f>$A461&amp;"_"&amp;$B461</f>
        <v>2012_Iraq</v>
      </c>
      <c r="D461" s="848">
        <v>94391495930.210007</v>
      </c>
      <c r="E461" s="848" t="s">
        <v>3088</v>
      </c>
      <c r="F461" s="848" t="s">
        <v>3088</v>
      </c>
      <c r="G461" s="848" t="str">
        <f t="shared" si="14"/>
        <v>..</v>
      </c>
      <c r="H461" s="848" t="str">
        <f t="shared" si="15"/>
        <v>..</v>
      </c>
      <c r="I461" s="848" t="s">
        <v>3088</v>
      </c>
      <c r="J461" s="848" t="s">
        <v>3088</v>
      </c>
      <c r="K461" s="848" t="s">
        <v>3088</v>
      </c>
    </row>
    <row r="462" spans="1:11">
      <c r="A462" s="848">
        <v>2012</v>
      </c>
      <c r="B462" s="848" t="s">
        <v>280</v>
      </c>
      <c r="C462" s="848" t="str">
        <f>$A462&amp;"_"&amp;$B462</f>
        <v>2012_Kazakhstan</v>
      </c>
      <c r="D462" s="848">
        <v>86448800000</v>
      </c>
      <c r="E462" s="848">
        <v>70.55867900653034</v>
      </c>
      <c r="F462" s="848">
        <v>13.00695889828695</v>
      </c>
      <c r="G462" s="848">
        <f t="shared" si="14"/>
        <v>0.83565637904817291</v>
      </c>
      <c r="H462" s="848">
        <f t="shared" si="15"/>
        <v>72241491181.059692</v>
      </c>
      <c r="I462" s="848">
        <v>85.960800000000006</v>
      </c>
      <c r="J462" s="848">
        <v>104.90346</v>
      </c>
      <c r="K462" s="848">
        <v>98.947940000000003</v>
      </c>
    </row>
    <row r="463" spans="1:11">
      <c r="A463" s="848">
        <v>2012</v>
      </c>
      <c r="B463" s="848" t="s">
        <v>316</v>
      </c>
      <c r="C463" s="848" t="str">
        <f>$A463&amp;"_"&amp;$B463</f>
        <v>2012_Madagascar</v>
      </c>
      <c r="D463" s="848">
        <v>1515911274.02913</v>
      </c>
      <c r="E463" s="848">
        <v>6.9599034401024147</v>
      </c>
      <c r="F463" s="848">
        <v>19.469035037507602</v>
      </c>
      <c r="G463" s="848">
        <f t="shared" si="14"/>
        <v>0.2642893847761002</v>
      </c>
      <c r="H463" s="848">
        <f t="shared" si="15"/>
        <v>400639257.98831302</v>
      </c>
      <c r="I463" s="848" t="s">
        <v>3088</v>
      </c>
      <c r="J463" s="848">
        <v>145.18600000000001</v>
      </c>
      <c r="K463" s="848" t="s">
        <v>3088</v>
      </c>
    </row>
    <row r="464" spans="1:11">
      <c r="A464" s="848">
        <v>2012</v>
      </c>
      <c r="B464" s="848" t="s">
        <v>329</v>
      </c>
      <c r="C464" s="848" t="str">
        <f>$A464&amp;"_"&amp;$B464</f>
        <v>2012_Mali</v>
      </c>
      <c r="D464" s="848">
        <v>2610387000</v>
      </c>
      <c r="E464" s="848">
        <v>0.29540803496569018</v>
      </c>
      <c r="F464" s="848">
        <v>3.3532935194968272</v>
      </c>
      <c r="G464" s="848">
        <f t="shared" si="14"/>
        <v>3.6487015544625169E-2</v>
      </c>
      <c r="H464" s="848">
        <f t="shared" si="15"/>
        <v>95245231.046487466</v>
      </c>
      <c r="I464" s="848">
        <v>68.727760000000004</v>
      </c>
      <c r="J464" s="848">
        <v>88.479219999999998</v>
      </c>
      <c r="K464" s="848">
        <v>73.326729999999998</v>
      </c>
    </row>
    <row r="465" spans="1:11">
      <c r="A465" s="848">
        <v>2012</v>
      </c>
      <c r="B465" s="848" t="s">
        <v>345</v>
      </c>
      <c r="C465" s="848" t="str">
        <f>$A465&amp;"_"&amp;$B465</f>
        <v>2012_Mauritania</v>
      </c>
      <c r="D465" s="848">
        <v>2640960000</v>
      </c>
      <c r="E465" s="848">
        <v>14.963596436117363</v>
      </c>
      <c r="F465" s="848">
        <v>58.275056459883302</v>
      </c>
      <c r="G465" s="848">
        <f t="shared" si="14"/>
        <v>0.73238652896000678</v>
      </c>
      <c r="H465" s="848">
        <f t="shared" si="15"/>
        <v>1934203527.5222194</v>
      </c>
      <c r="I465" s="848">
        <v>69.564340000000001</v>
      </c>
      <c r="J465" s="848">
        <v>96.677660000000003</v>
      </c>
      <c r="K465" s="848">
        <v>70.43038</v>
      </c>
    </row>
    <row r="466" spans="1:11">
      <c r="A466" s="848">
        <v>2012</v>
      </c>
      <c r="B466" s="848" t="s">
        <v>364</v>
      </c>
      <c r="C466" s="848" t="str">
        <f>$A466&amp;"_"&amp;$B466</f>
        <v>2012_Mongolia</v>
      </c>
      <c r="D466" s="848">
        <v>4384700000</v>
      </c>
      <c r="E466" s="848" t="s">
        <v>3088</v>
      </c>
      <c r="F466" s="848" t="s">
        <v>3088</v>
      </c>
      <c r="G466" s="848" t="str">
        <f t="shared" si="14"/>
        <v>..</v>
      </c>
      <c r="H466" s="848" t="str">
        <f t="shared" si="15"/>
        <v>..</v>
      </c>
      <c r="I466" s="848">
        <v>97.333870000000005</v>
      </c>
      <c r="J466" s="848">
        <v>116.95764</v>
      </c>
      <c r="K466" s="848">
        <v>97.610560000000007</v>
      </c>
    </row>
    <row r="467" spans="1:11">
      <c r="A467" s="848">
        <v>2012</v>
      </c>
      <c r="B467" s="848" t="s">
        <v>394</v>
      </c>
      <c r="C467" s="848" t="str">
        <f>$A467&amp;"_"&amp;$B467</f>
        <v>2012_Niger</v>
      </c>
      <c r="D467" s="848">
        <v>1500000000</v>
      </c>
      <c r="E467" s="848">
        <v>19.357565289967887</v>
      </c>
      <c r="F467" s="848">
        <v>56.213477779659016</v>
      </c>
      <c r="G467" s="848">
        <f t="shared" si="14"/>
        <v>0.75571043069626909</v>
      </c>
      <c r="H467" s="848">
        <f t="shared" si="15"/>
        <v>1133565646.0444036</v>
      </c>
      <c r="I467" s="848">
        <v>62.802590000000002</v>
      </c>
      <c r="J467" s="848">
        <v>71.133709999999994</v>
      </c>
      <c r="K467" s="848">
        <v>63.622169999999997</v>
      </c>
    </row>
    <row r="468" spans="1:11">
      <c r="A468" s="848">
        <v>2012</v>
      </c>
      <c r="B468" s="848" t="s">
        <v>413</v>
      </c>
      <c r="C468" s="848" t="str">
        <f>$A468&amp;"_"&amp;$B468</f>
        <v>2012_Nigeria</v>
      </c>
      <c r="D468" s="848">
        <v>115000000000</v>
      </c>
      <c r="E468" s="848">
        <v>84.038927616375162</v>
      </c>
      <c r="F468" s="848">
        <v>0.43351983184963139</v>
      </c>
      <c r="G468" s="848">
        <f t="shared" si="14"/>
        <v>0.84472447448224797</v>
      </c>
      <c r="H468" s="848">
        <f t="shared" si="15"/>
        <v>97143314565.458511</v>
      </c>
      <c r="I468" s="848" t="s">
        <v>3088</v>
      </c>
      <c r="J468" s="848" t="s">
        <v>3088</v>
      </c>
      <c r="K468" s="848" t="s">
        <v>3088</v>
      </c>
    </row>
    <row r="469" spans="1:11">
      <c r="A469" s="848">
        <v>2012</v>
      </c>
      <c r="B469" s="848" t="s">
        <v>436</v>
      </c>
      <c r="C469" s="848" t="str">
        <f>$A469&amp;"_"&amp;$B469</f>
        <v>2012_Norway</v>
      </c>
      <c r="D469" s="848">
        <v>160999480000</v>
      </c>
      <c r="E469" s="848">
        <v>69.999448118899039</v>
      </c>
      <c r="F469" s="848">
        <v>5.231468573002692</v>
      </c>
      <c r="G469" s="848">
        <f t="shared" si="14"/>
        <v>0.75230916691901728</v>
      </c>
      <c r="H469" s="848">
        <f t="shared" si="15"/>
        <v>121121384673.19498</v>
      </c>
      <c r="I469" s="848">
        <v>99.436989999999994</v>
      </c>
      <c r="J469" s="848">
        <v>99.436989999999994</v>
      </c>
      <c r="K469" s="848">
        <v>99.436989999999994</v>
      </c>
    </row>
    <row r="470" spans="1:11">
      <c r="A470" s="848">
        <v>2012</v>
      </c>
      <c r="B470" s="848" t="s">
        <v>449</v>
      </c>
      <c r="C470" s="848" t="str">
        <f>$A470&amp;"_"&amp;$B470</f>
        <v>2012_Peru</v>
      </c>
      <c r="D470" s="848">
        <v>46366712944.556801</v>
      </c>
      <c r="E470" s="848">
        <v>14.788075911282759</v>
      </c>
      <c r="F470" s="848">
        <v>49.399945021119066</v>
      </c>
      <c r="G470" s="848">
        <f t="shared" si="14"/>
        <v>0.64188020932401824</v>
      </c>
      <c r="H470" s="848">
        <f t="shared" si="15"/>
        <v>29761875410.518784</v>
      </c>
      <c r="I470" s="848" t="s">
        <v>3088</v>
      </c>
      <c r="J470" s="848">
        <v>99.594089999999994</v>
      </c>
      <c r="K470" s="848" t="s">
        <v>3088</v>
      </c>
    </row>
    <row r="471" spans="1:11">
      <c r="A471" s="848">
        <v>2012</v>
      </c>
      <c r="B471" s="848" t="s">
        <v>488</v>
      </c>
      <c r="C471" s="848" t="str">
        <f>$A471&amp;"_"&amp;$B471</f>
        <v>2012_Sierra Leone</v>
      </c>
      <c r="D471" s="848">
        <v>1121866169.60794</v>
      </c>
      <c r="E471" s="848" t="s">
        <v>3088</v>
      </c>
      <c r="F471" s="848" t="s">
        <v>3088</v>
      </c>
      <c r="G471" s="848" t="str">
        <f t="shared" si="14"/>
        <v>..</v>
      </c>
      <c r="H471" s="848" t="str">
        <f t="shared" si="15"/>
        <v>..</v>
      </c>
      <c r="I471" s="848" t="s">
        <v>3088</v>
      </c>
      <c r="J471" s="848">
        <v>131.49449000000001</v>
      </c>
      <c r="K471" s="848" t="s">
        <v>3088</v>
      </c>
    </row>
    <row r="472" spans="1:11">
      <c r="A472" s="848">
        <v>2012</v>
      </c>
      <c r="B472" s="848" t="s">
        <v>499</v>
      </c>
      <c r="C472" s="848" t="str">
        <f>$A472&amp;"_"&amp;$B472</f>
        <v>2012_Tanzania</v>
      </c>
      <c r="D472" s="848">
        <v>5547229000</v>
      </c>
      <c r="E472" s="848">
        <v>1.8862019534951713</v>
      </c>
      <c r="F472" s="848">
        <v>24.546875417190996</v>
      </c>
      <c r="G472" s="848">
        <f t="shared" si="14"/>
        <v>0.26433077370686164</v>
      </c>
      <c r="H472" s="848">
        <f t="shared" si="15"/>
        <v>1466303333.4991405</v>
      </c>
      <c r="I472" s="848" t="s">
        <v>3088</v>
      </c>
      <c r="J472" s="848">
        <v>93.008110000000002</v>
      </c>
      <c r="K472" s="848" t="s">
        <v>3088</v>
      </c>
    </row>
    <row r="473" spans="1:11">
      <c r="A473" s="848">
        <v>2012</v>
      </c>
      <c r="B473" s="848" t="s">
        <v>3090</v>
      </c>
      <c r="C473" s="848" t="str">
        <f>$A473&amp;"_"&amp;$B473</f>
        <v>2012_Timor-Leste</v>
      </c>
      <c r="D473" s="848">
        <v>30793000</v>
      </c>
      <c r="E473" s="848" t="s">
        <v>3088</v>
      </c>
      <c r="F473" s="848" t="s">
        <v>3088</v>
      </c>
      <c r="G473" s="848" t="str">
        <f t="shared" si="14"/>
        <v>..</v>
      </c>
      <c r="H473" s="848" t="str">
        <f t="shared" si="15"/>
        <v>..</v>
      </c>
      <c r="I473" s="848" t="s">
        <v>3088</v>
      </c>
      <c r="J473" s="848" t="s">
        <v>3088</v>
      </c>
      <c r="K473" s="848" t="s">
        <v>3088</v>
      </c>
    </row>
    <row r="474" spans="1:11">
      <c r="A474" s="848">
        <v>2012</v>
      </c>
      <c r="B474" s="848" t="s">
        <v>517</v>
      </c>
      <c r="C474" s="848" t="str">
        <f>$A474&amp;"_"&amp;$B474</f>
        <v>2012_Togo</v>
      </c>
      <c r="D474" s="848">
        <v>1200000000</v>
      </c>
      <c r="E474" s="848">
        <v>2.0174398687507376</v>
      </c>
      <c r="F474" s="848">
        <v>14.87553470786531</v>
      </c>
      <c r="G474" s="848">
        <f t="shared" si="14"/>
        <v>0.16892974576616049</v>
      </c>
      <c r="H474" s="848">
        <f t="shared" si="15"/>
        <v>202715694.91939259</v>
      </c>
      <c r="I474" s="848" t="s">
        <v>3088</v>
      </c>
      <c r="J474" s="848">
        <v>132.80479</v>
      </c>
      <c r="K474" s="848" t="s">
        <v>3088</v>
      </c>
    </row>
    <row r="475" spans="1:11">
      <c r="A475" s="848">
        <v>2012</v>
      </c>
      <c r="B475" s="848" t="s">
        <v>3091</v>
      </c>
      <c r="C475" s="848" t="str">
        <f>$A475&amp;"_"&amp;$B475</f>
        <v>2012_Trinidad and Tobago</v>
      </c>
      <c r="D475" s="848">
        <v>12983380000</v>
      </c>
      <c r="E475" s="848" t="s">
        <v>3088</v>
      </c>
      <c r="F475" s="848" t="s">
        <v>3088</v>
      </c>
      <c r="G475" s="848" t="str">
        <f t="shared" si="14"/>
        <v>..</v>
      </c>
      <c r="H475" s="848" t="str">
        <f t="shared" si="15"/>
        <v>..</v>
      </c>
      <c r="I475" s="848" t="s">
        <v>3088</v>
      </c>
      <c r="J475" s="848" t="s">
        <v>3088</v>
      </c>
      <c r="K475" s="848" t="s">
        <v>3088</v>
      </c>
    </row>
    <row r="476" spans="1:11">
      <c r="A476" s="848">
        <v>2012</v>
      </c>
      <c r="B476" s="848" t="s">
        <v>3092</v>
      </c>
      <c r="C476" s="848" t="str">
        <f>$A476&amp;"_"&amp;$B476</f>
        <v>2012_Yemen, Rep.</v>
      </c>
      <c r="D476" s="848">
        <v>8100000000</v>
      </c>
      <c r="E476" s="848">
        <v>89.48306843805959</v>
      </c>
      <c r="F476" s="848">
        <v>0.10317283999401268</v>
      </c>
      <c r="G476" s="848">
        <f t="shared" si="14"/>
        <v>0.89586241278053602</v>
      </c>
      <c r="H476" s="848">
        <f t="shared" si="15"/>
        <v>7256485543.5223417</v>
      </c>
      <c r="I476" s="848">
        <v>86.274680000000004</v>
      </c>
      <c r="J476" s="848">
        <v>96.876480000000001</v>
      </c>
      <c r="K476" s="848">
        <v>87.116720000000001</v>
      </c>
    </row>
    <row r="477" spans="1:11">
      <c r="A477" s="848">
        <v>2012</v>
      </c>
      <c r="B477" s="848" t="s">
        <v>541</v>
      </c>
      <c r="C477" s="848" t="str">
        <f>$A477&amp;"_"&amp;$B477</f>
        <v>2012_Zambia</v>
      </c>
      <c r="D477" s="848">
        <v>9364653000</v>
      </c>
      <c r="E477" s="848">
        <v>1.3147268049144678</v>
      </c>
      <c r="F477" s="848">
        <v>73.451573220618386</v>
      </c>
      <c r="G477" s="848">
        <f t="shared" si="14"/>
        <v>0.74766300025532861</v>
      </c>
      <c r="H477" s="848">
        <f t="shared" si="15"/>
        <v>7001604558.3300638</v>
      </c>
      <c r="I477" s="848">
        <v>93.716269999999994</v>
      </c>
      <c r="J477" s="848">
        <v>113.59713000000001</v>
      </c>
      <c r="K477" s="848">
        <v>97.876090000000005</v>
      </c>
    </row>
    <row r="478" spans="1:11">
      <c r="A478" s="848">
        <v>2013</v>
      </c>
      <c r="B478" s="848" t="s">
        <v>21</v>
      </c>
      <c r="C478" s="848" t="str">
        <f>$A478&amp;"_"&amp;$B478</f>
        <v>2013_Afghanistan</v>
      </c>
      <c r="D478" s="848">
        <v>514973109.83323199</v>
      </c>
      <c r="E478" s="848" t="s">
        <v>3088</v>
      </c>
      <c r="F478" s="848" t="s">
        <v>3088</v>
      </c>
      <c r="G478" s="848" t="str">
        <f t="shared" si="14"/>
        <v>..</v>
      </c>
      <c r="H478" s="848" t="str">
        <f t="shared" si="15"/>
        <v>..</v>
      </c>
      <c r="I478" s="848" t="s">
        <v>3088</v>
      </c>
      <c r="J478" s="848" t="s">
        <v>3088</v>
      </c>
      <c r="K478" s="848" t="s">
        <v>3088</v>
      </c>
    </row>
    <row r="479" spans="1:11">
      <c r="A479" s="848">
        <v>2013</v>
      </c>
      <c r="B479" s="848" t="s">
        <v>38</v>
      </c>
      <c r="C479" s="848" t="str">
        <f>$A479&amp;"_"&amp;$B479</f>
        <v>2013_Albania</v>
      </c>
      <c r="D479" s="848">
        <v>2331512086.55476</v>
      </c>
      <c r="E479" s="848">
        <v>31.003051823745054</v>
      </c>
      <c r="F479" s="848">
        <v>9.7839927347666773</v>
      </c>
      <c r="G479" s="848">
        <f t="shared" si="14"/>
        <v>0.40787044558511731</v>
      </c>
      <c r="H479" s="848">
        <f t="shared" si="15"/>
        <v>950954873.63017654</v>
      </c>
      <c r="I479" s="848" t="s">
        <v>3088</v>
      </c>
      <c r="J479" s="848" t="s">
        <v>3088</v>
      </c>
      <c r="K479" s="848" t="s">
        <v>3088</v>
      </c>
    </row>
    <row r="480" spans="1:11">
      <c r="A480" s="848">
        <v>2013</v>
      </c>
      <c r="B480" s="848" t="s">
        <v>53</v>
      </c>
      <c r="C480" s="848" t="str">
        <f>$A480&amp;"_"&amp;$B480</f>
        <v>2013_Azerbaijan</v>
      </c>
      <c r="D480" s="848">
        <v>31776362000</v>
      </c>
      <c r="E480" s="848">
        <v>92.985038980922425</v>
      </c>
      <c r="F480" s="848">
        <v>0.48767093480952939</v>
      </c>
      <c r="G480" s="848">
        <f t="shared" si="14"/>
        <v>0.93472709915731955</v>
      </c>
      <c r="H480" s="848">
        <f t="shared" si="15"/>
        <v>29702226674.032883</v>
      </c>
      <c r="I480" s="848" t="s">
        <v>3088</v>
      </c>
      <c r="J480" s="848" t="s">
        <v>3088</v>
      </c>
      <c r="K480" s="848" t="s">
        <v>3088</v>
      </c>
    </row>
    <row r="481" spans="1:11">
      <c r="A481" s="848">
        <v>2013</v>
      </c>
      <c r="B481" s="848" t="s">
        <v>98</v>
      </c>
      <c r="C481" s="848" t="str">
        <f>$A481&amp;"_"&amp;$B481</f>
        <v>2013_Burkina Faso</v>
      </c>
      <c r="D481" s="848">
        <v>2160000000</v>
      </c>
      <c r="E481" s="848">
        <v>11.610777635431905</v>
      </c>
      <c r="F481" s="848">
        <v>2.6784828319751255</v>
      </c>
      <c r="G481" s="848">
        <f t="shared" si="14"/>
        <v>0.14289260467407031</v>
      </c>
      <c r="H481" s="848">
        <f t="shared" si="15"/>
        <v>308648026.09599185</v>
      </c>
      <c r="I481" s="848" t="s">
        <v>3088</v>
      </c>
      <c r="J481" s="848" t="s">
        <v>3088</v>
      </c>
      <c r="K481" s="848" t="s">
        <v>3088</v>
      </c>
    </row>
    <row r="482" spans="1:11">
      <c r="A482" s="848">
        <v>2013</v>
      </c>
      <c r="B482" s="848" t="s">
        <v>101</v>
      </c>
      <c r="C482" s="848" t="str">
        <f>$A482&amp;"_"&amp;$B482</f>
        <v>2013_Cameroon</v>
      </c>
      <c r="D482" s="848">
        <v>4200000000</v>
      </c>
      <c r="E482" s="848" t="s">
        <v>3088</v>
      </c>
      <c r="F482" s="848" t="s">
        <v>3088</v>
      </c>
      <c r="G482" s="848" t="str">
        <f t="shared" si="14"/>
        <v>..</v>
      </c>
      <c r="H482" s="848" t="str">
        <f t="shared" si="15"/>
        <v>..</v>
      </c>
      <c r="I482" s="848" t="s">
        <v>3088</v>
      </c>
      <c r="J482" s="848" t="s">
        <v>3088</v>
      </c>
      <c r="K482" s="848" t="s">
        <v>3088</v>
      </c>
    </row>
    <row r="483" spans="1:11">
      <c r="A483" s="848">
        <v>2013</v>
      </c>
      <c r="B483" s="848" t="s">
        <v>127</v>
      </c>
      <c r="C483" s="848" t="str">
        <f>$A483&amp;"_"&amp;$B483</f>
        <v>2013_Central African Republic</v>
      </c>
      <c r="D483" s="848">
        <v>150000000</v>
      </c>
      <c r="E483" s="848" t="s">
        <v>3088</v>
      </c>
      <c r="F483" s="848" t="s">
        <v>3088</v>
      </c>
      <c r="G483" s="848" t="str">
        <f t="shared" si="14"/>
        <v>..</v>
      </c>
      <c r="H483" s="848" t="str">
        <f t="shared" si="15"/>
        <v>..</v>
      </c>
      <c r="I483" s="848" t="s">
        <v>3088</v>
      </c>
      <c r="J483" s="848" t="s">
        <v>3088</v>
      </c>
      <c r="K483" s="848" t="s">
        <v>3088</v>
      </c>
    </row>
    <row r="484" spans="1:11">
      <c r="A484" s="848">
        <v>2013</v>
      </c>
      <c r="B484" s="848" t="s">
        <v>138</v>
      </c>
      <c r="C484" s="848" t="str">
        <f>$A484&amp;"_"&amp;$B484</f>
        <v>2013_Chad</v>
      </c>
      <c r="D484" s="848">
        <v>4200000000</v>
      </c>
      <c r="E484" s="848" t="s">
        <v>3088</v>
      </c>
      <c r="F484" s="848" t="s">
        <v>3088</v>
      </c>
      <c r="G484" s="848" t="str">
        <f t="shared" si="14"/>
        <v>..</v>
      </c>
      <c r="H484" s="848" t="str">
        <f t="shared" si="15"/>
        <v>..</v>
      </c>
      <c r="I484" s="848" t="s">
        <v>3088</v>
      </c>
      <c r="J484" s="848" t="s">
        <v>3088</v>
      </c>
      <c r="K484" s="848" t="s">
        <v>3088</v>
      </c>
    </row>
    <row r="485" spans="1:11">
      <c r="A485" s="848">
        <v>2013</v>
      </c>
      <c r="B485" s="848" t="s">
        <v>3815</v>
      </c>
      <c r="C485" s="848" t="str">
        <f>$A485&amp;"_"&amp;$B485</f>
        <v>2013_Congo, Dem. Rep.</v>
      </c>
      <c r="D485" s="848">
        <v>6300000000</v>
      </c>
      <c r="E485" s="848" t="s">
        <v>3088</v>
      </c>
      <c r="F485" s="848" t="s">
        <v>3088</v>
      </c>
      <c r="G485" s="848" t="str">
        <f t="shared" si="14"/>
        <v>..</v>
      </c>
      <c r="H485" s="848" t="str">
        <f t="shared" si="15"/>
        <v>..</v>
      </c>
      <c r="I485" s="848" t="s">
        <v>3088</v>
      </c>
      <c r="J485" s="848" t="s">
        <v>3088</v>
      </c>
      <c r="K485" s="848" t="s">
        <v>3088</v>
      </c>
    </row>
    <row r="486" spans="1:11">
      <c r="A486" s="848">
        <v>2013</v>
      </c>
      <c r="B486" s="848" t="s">
        <v>3814</v>
      </c>
      <c r="C486" s="848" t="str">
        <f>$A486&amp;"_"&amp;$B486</f>
        <v>2013_Congo, Rep.</v>
      </c>
      <c r="D486" s="848">
        <v>9800000000</v>
      </c>
      <c r="E486" s="848">
        <v>75.709781306026684</v>
      </c>
      <c r="F486" s="848">
        <v>1.4842426807914132E-2</v>
      </c>
      <c r="G486" s="848">
        <f t="shared" si="14"/>
        <v>0.75724623732834606</v>
      </c>
      <c r="H486" s="848">
        <f t="shared" si="15"/>
        <v>7421013125.817791</v>
      </c>
      <c r="I486" s="848" t="s">
        <v>3088</v>
      </c>
      <c r="J486" s="848" t="s">
        <v>3088</v>
      </c>
      <c r="K486" s="848" t="s">
        <v>3088</v>
      </c>
    </row>
    <row r="487" spans="1:11">
      <c r="A487" s="848">
        <v>2013</v>
      </c>
      <c r="B487" s="848" t="s">
        <v>188</v>
      </c>
      <c r="C487" s="848" t="str">
        <f>$A487&amp;"_"&amp;$B487</f>
        <v>2013_Equatorial Guinea</v>
      </c>
      <c r="D487" s="848">
        <v>14500000000</v>
      </c>
      <c r="E487" s="848" t="s">
        <v>3088</v>
      </c>
      <c r="F487" s="848" t="s">
        <v>3088</v>
      </c>
      <c r="G487" s="848" t="str">
        <f t="shared" si="14"/>
        <v>..</v>
      </c>
      <c r="H487" s="848" t="str">
        <f t="shared" si="15"/>
        <v>..</v>
      </c>
      <c r="I487" s="848" t="s">
        <v>3088</v>
      </c>
      <c r="J487" s="848" t="s">
        <v>3088</v>
      </c>
      <c r="K487" s="848" t="s">
        <v>3088</v>
      </c>
    </row>
    <row r="488" spans="1:11">
      <c r="A488" s="848">
        <v>2013</v>
      </c>
      <c r="B488" s="848" t="s">
        <v>191</v>
      </c>
      <c r="C488" s="848" t="str">
        <f>$A488&amp;"_"&amp;$B488</f>
        <v>2013_Gabon</v>
      </c>
      <c r="D488" s="848">
        <v>9524002940.1387806</v>
      </c>
      <c r="E488" s="848" t="s">
        <v>3088</v>
      </c>
      <c r="F488" s="848" t="s">
        <v>3088</v>
      </c>
      <c r="G488" s="848" t="str">
        <f t="shared" si="14"/>
        <v>..</v>
      </c>
      <c r="H488" s="848" t="str">
        <f t="shared" si="15"/>
        <v>..</v>
      </c>
      <c r="I488" s="848" t="s">
        <v>3088</v>
      </c>
      <c r="J488" s="848" t="s">
        <v>3088</v>
      </c>
      <c r="K488" s="848" t="s">
        <v>3088</v>
      </c>
    </row>
    <row r="489" spans="1:11">
      <c r="A489" s="848">
        <v>2013</v>
      </c>
      <c r="B489" s="848" t="s">
        <v>301</v>
      </c>
      <c r="C489" s="848" t="str">
        <f>$A489&amp;"_"&amp;$B489</f>
        <v>2013_Liberia</v>
      </c>
      <c r="D489" s="848" t="s">
        <v>3088</v>
      </c>
      <c r="E489" s="848" t="s">
        <v>3088</v>
      </c>
      <c r="F489" s="848" t="s">
        <v>3088</v>
      </c>
      <c r="G489" s="848" t="str">
        <f t="shared" si="14"/>
        <v>..</v>
      </c>
      <c r="H489" s="848" t="str">
        <f t="shared" si="15"/>
        <v>..</v>
      </c>
      <c r="I489" s="848" t="s">
        <v>3088</v>
      </c>
      <c r="J489" s="848" t="s">
        <v>3088</v>
      </c>
      <c r="K489" s="848" t="s">
        <v>3088</v>
      </c>
    </row>
    <row r="490" spans="1:11">
      <c r="A490" s="848">
        <v>2013</v>
      </c>
      <c r="B490" s="848" t="s">
        <v>285</v>
      </c>
      <c r="C490" s="848" t="str">
        <f>$A490&amp;"_"&amp;$B490</f>
        <v>2013_Kyrgyz Republic</v>
      </c>
      <c r="D490" s="848">
        <v>1790500000</v>
      </c>
      <c r="E490" s="848">
        <v>20.607610431182039</v>
      </c>
      <c r="F490" s="848">
        <v>5.3459321047329489</v>
      </c>
      <c r="G490" s="848">
        <f t="shared" si="14"/>
        <v>0.25953542535914986</v>
      </c>
      <c r="H490" s="848">
        <f t="shared" si="15"/>
        <v>464698179.10555786</v>
      </c>
      <c r="I490" s="848" t="s">
        <v>3088</v>
      </c>
      <c r="J490" s="848" t="s">
        <v>3088</v>
      </c>
      <c r="K490" s="848" t="s">
        <v>3088</v>
      </c>
    </row>
    <row r="491" spans="1:11">
      <c r="A491" s="848">
        <v>2013</v>
      </c>
      <c r="B491" s="848" t="s">
        <v>195</v>
      </c>
      <c r="C491" s="848" t="str">
        <f>$A491&amp;"_"&amp;$B491</f>
        <v>2013_Ghana</v>
      </c>
      <c r="D491" s="848">
        <v>13751920000</v>
      </c>
      <c r="E491" s="848">
        <v>30.68992945518761</v>
      </c>
      <c r="F491" s="848">
        <v>2.5659194497362718</v>
      </c>
      <c r="G491" s="848">
        <f t="shared" si="14"/>
        <v>0.33255848904923879</v>
      </c>
      <c r="H491" s="848">
        <f t="shared" si="15"/>
        <v>4573317736.7260075</v>
      </c>
      <c r="I491" s="848">
        <v>87.074479999999994</v>
      </c>
      <c r="J491" s="848">
        <v>108.77961999999999</v>
      </c>
      <c r="K491" s="848">
        <v>87.639740000000003</v>
      </c>
    </row>
    <row r="492" spans="1:11">
      <c r="A492" s="848">
        <v>2013</v>
      </c>
      <c r="B492" s="848" t="s">
        <v>219</v>
      </c>
      <c r="C492" s="848" t="str">
        <f>$A492&amp;"_"&amp;$B492</f>
        <v>2013_Guatemala</v>
      </c>
      <c r="D492" s="848">
        <v>10030100000</v>
      </c>
      <c r="E492" s="848">
        <v>4.6273662736042382</v>
      </c>
      <c r="F492" s="848">
        <v>5.6898402452024319</v>
      </c>
      <c r="G492" s="848">
        <f t="shared" si="14"/>
        <v>0.10317206518806671</v>
      </c>
      <c r="H492" s="848">
        <f t="shared" si="15"/>
        <v>1034826131.0428278</v>
      </c>
      <c r="I492" s="848" t="s">
        <v>3088</v>
      </c>
      <c r="J492" s="848" t="s">
        <v>3088</v>
      </c>
      <c r="K492" s="848" t="s">
        <v>3088</v>
      </c>
    </row>
    <row r="493" spans="1:11">
      <c r="A493" s="848">
        <v>2013</v>
      </c>
      <c r="B493" s="848" t="s">
        <v>3089</v>
      </c>
      <c r="C493" s="848" t="str">
        <f>$A493&amp;"_"&amp;$B493</f>
        <v>2013_Guinea</v>
      </c>
      <c r="D493" s="848">
        <v>1300000000</v>
      </c>
      <c r="E493" s="848" t="s">
        <v>3088</v>
      </c>
      <c r="F493" s="848" t="s">
        <v>3088</v>
      </c>
      <c r="G493" s="848" t="str">
        <f t="shared" si="14"/>
        <v>..</v>
      </c>
      <c r="H493" s="848" t="str">
        <f t="shared" si="15"/>
        <v>..</v>
      </c>
      <c r="I493" s="848" t="s">
        <v>3088</v>
      </c>
      <c r="J493" s="848" t="s">
        <v>3088</v>
      </c>
      <c r="K493" s="848" t="s">
        <v>3088</v>
      </c>
    </row>
    <row r="494" spans="1:11">
      <c r="A494" s="848">
        <v>2013</v>
      </c>
      <c r="B494" s="848" t="s">
        <v>243</v>
      </c>
      <c r="C494" s="848" t="str">
        <f>$A494&amp;"_"&amp;$B494</f>
        <v>2013_Indonesia</v>
      </c>
      <c r="D494" s="848">
        <v>183343784000</v>
      </c>
      <c r="E494" s="848">
        <v>31.623959874639223</v>
      </c>
      <c r="F494" s="848">
        <v>7.1024255828139511</v>
      </c>
      <c r="G494" s="848">
        <f t="shared" si="14"/>
        <v>0.38726385457453177</v>
      </c>
      <c r="H494" s="848">
        <f t="shared" si="15"/>
        <v>71002420504.120361</v>
      </c>
      <c r="I494" s="848" t="s">
        <v>3088</v>
      </c>
      <c r="J494" s="848" t="s">
        <v>3088</v>
      </c>
      <c r="K494" s="848" t="s">
        <v>3088</v>
      </c>
    </row>
    <row r="495" spans="1:11">
      <c r="A495" s="848">
        <v>2013</v>
      </c>
      <c r="B495" s="848" t="s">
        <v>251</v>
      </c>
      <c r="C495" s="848" t="str">
        <f>$A495&amp;"_"&amp;$B495</f>
        <v>2013_Iraq</v>
      </c>
      <c r="D495" s="848">
        <v>89550000000</v>
      </c>
      <c r="E495" s="848" t="s">
        <v>3088</v>
      </c>
      <c r="F495" s="848" t="s">
        <v>3088</v>
      </c>
      <c r="G495" s="848" t="str">
        <f t="shared" si="14"/>
        <v>..</v>
      </c>
      <c r="H495" s="848" t="str">
        <f t="shared" si="15"/>
        <v>..</v>
      </c>
      <c r="I495" s="848" t="s">
        <v>3088</v>
      </c>
      <c r="J495" s="848" t="s">
        <v>3088</v>
      </c>
      <c r="K495" s="848" t="s">
        <v>3088</v>
      </c>
    </row>
    <row r="496" spans="1:11">
      <c r="A496" s="848">
        <v>2013</v>
      </c>
      <c r="B496" s="848" t="s">
        <v>280</v>
      </c>
      <c r="C496" s="848" t="str">
        <f>$A496&amp;"_"&amp;$B496</f>
        <v>2013_Kazakhstan</v>
      </c>
      <c r="D496" s="848">
        <v>82511800000</v>
      </c>
      <c r="E496" s="848">
        <v>76.248739113205005</v>
      </c>
      <c r="F496" s="848">
        <v>10.118014046970108</v>
      </c>
      <c r="G496" s="848">
        <f t="shared" si="14"/>
        <v>0.86366753160175103</v>
      </c>
      <c r="H496" s="848">
        <f t="shared" si="15"/>
        <v>71262762634.017365</v>
      </c>
      <c r="I496" s="848">
        <v>85.635040000000004</v>
      </c>
      <c r="J496" s="848">
        <v>106.25026</v>
      </c>
      <c r="K496" s="848">
        <v>98.741479999999996</v>
      </c>
    </row>
    <row r="497" spans="1:11">
      <c r="A497" s="848">
        <v>2013</v>
      </c>
      <c r="B497" s="848" t="s">
        <v>316</v>
      </c>
      <c r="C497" s="848" t="str">
        <f>$A497&amp;"_"&amp;$B497</f>
        <v>2013_Madagascar</v>
      </c>
      <c r="D497" s="848">
        <v>1900000000</v>
      </c>
      <c r="E497" s="848">
        <v>4.760173628679035</v>
      </c>
      <c r="F497" s="848">
        <v>31.864767795755032</v>
      </c>
      <c r="G497" s="848">
        <f t="shared" si="14"/>
        <v>0.36624941424434071</v>
      </c>
      <c r="H497" s="848">
        <f t="shared" si="15"/>
        <v>695873887.06424737</v>
      </c>
      <c r="I497" s="848" t="s">
        <v>3088</v>
      </c>
      <c r="J497" s="848" t="s">
        <v>3088</v>
      </c>
      <c r="K497" s="848" t="s">
        <v>3088</v>
      </c>
    </row>
    <row r="498" spans="1:11">
      <c r="A498" s="848">
        <v>2013</v>
      </c>
      <c r="B498" s="848" t="s">
        <v>329</v>
      </c>
      <c r="C498" s="848" t="str">
        <f>$A498&amp;"_"&amp;$B498</f>
        <v>2013_Mali</v>
      </c>
      <c r="D498" s="848">
        <v>2338871734.1403599</v>
      </c>
      <c r="E498" s="848" t="s">
        <v>3088</v>
      </c>
      <c r="F498" s="848" t="s">
        <v>3088</v>
      </c>
      <c r="G498" s="848" t="str">
        <f t="shared" si="14"/>
        <v>..</v>
      </c>
      <c r="H498" s="848" t="str">
        <f t="shared" si="15"/>
        <v>..</v>
      </c>
      <c r="I498" s="848" t="s">
        <v>3088</v>
      </c>
      <c r="J498" s="848" t="s">
        <v>3088</v>
      </c>
      <c r="K498" s="848" t="s">
        <v>3088</v>
      </c>
    </row>
    <row r="499" spans="1:11">
      <c r="A499" s="848">
        <v>2013</v>
      </c>
      <c r="B499" s="848" t="s">
        <v>345</v>
      </c>
      <c r="C499" s="848" t="str">
        <f>$A499&amp;"_"&amp;$B499</f>
        <v>2013_Mauritania</v>
      </c>
      <c r="D499" s="848">
        <v>2674000000</v>
      </c>
      <c r="E499" s="848">
        <v>2.9677647200170747</v>
      </c>
      <c r="F499" s="848">
        <v>75.012358883857161</v>
      </c>
      <c r="G499" s="848">
        <f t="shared" si="14"/>
        <v>0.7798012360387423</v>
      </c>
      <c r="H499" s="848">
        <f t="shared" si="15"/>
        <v>2085188505.1675968</v>
      </c>
      <c r="I499" s="848" t="s">
        <v>3088</v>
      </c>
      <c r="J499" s="848" t="s">
        <v>3088</v>
      </c>
      <c r="K499" s="848" t="s">
        <v>3088</v>
      </c>
    </row>
    <row r="500" spans="1:11">
      <c r="A500" s="848">
        <v>2013</v>
      </c>
      <c r="B500" s="848" t="s">
        <v>364</v>
      </c>
      <c r="C500" s="848" t="str">
        <f>$A500&amp;"_"&amp;$B500</f>
        <v>2013_Mongolia</v>
      </c>
      <c r="D500" s="848">
        <v>4272700000</v>
      </c>
      <c r="E500" s="848">
        <v>41.673407090452379</v>
      </c>
      <c r="F500" s="848">
        <v>47.040208455236581</v>
      </c>
      <c r="G500" s="848">
        <f t="shared" si="14"/>
        <v>0.88713615545688951</v>
      </c>
      <c r="H500" s="848">
        <f t="shared" si="15"/>
        <v>3790466651.4206519</v>
      </c>
      <c r="I500" s="848" t="s">
        <v>3088</v>
      </c>
      <c r="J500" s="848" t="s">
        <v>3088</v>
      </c>
      <c r="K500" s="848" t="s">
        <v>3088</v>
      </c>
    </row>
    <row r="501" spans="1:11">
      <c r="A501" s="848">
        <v>2013</v>
      </c>
      <c r="B501" s="848" t="s">
        <v>394</v>
      </c>
      <c r="C501" s="848" t="str">
        <f>$A501&amp;"_"&amp;$B501</f>
        <v>2013_Niger</v>
      </c>
      <c r="D501" s="848">
        <v>1550000000</v>
      </c>
      <c r="E501" s="848">
        <v>31.494213773349745</v>
      </c>
      <c r="F501" s="848">
        <v>51.457619469494553</v>
      </c>
      <c r="G501" s="848">
        <f t="shared" si="14"/>
        <v>0.82951833242844297</v>
      </c>
      <c r="H501" s="848">
        <f t="shared" si="15"/>
        <v>1285753415.2640867</v>
      </c>
      <c r="I501" s="848" t="s">
        <v>3088</v>
      </c>
      <c r="J501" s="848" t="s">
        <v>3088</v>
      </c>
      <c r="K501" s="848" t="s">
        <v>3088</v>
      </c>
    </row>
    <row r="502" spans="1:11">
      <c r="A502" s="848">
        <v>2013</v>
      </c>
      <c r="B502" s="848" t="s">
        <v>413</v>
      </c>
      <c r="C502" s="848" t="str">
        <f>$A502&amp;"_"&amp;$B502</f>
        <v>2013_Nigeria</v>
      </c>
      <c r="D502" s="848">
        <v>103000000000</v>
      </c>
      <c r="E502" s="848">
        <v>87.620664636391353</v>
      </c>
      <c r="F502" s="848">
        <v>0.62851297826006458</v>
      </c>
      <c r="G502" s="848">
        <f t="shared" si="14"/>
        <v>0.8824917761465142</v>
      </c>
      <c r="H502" s="848">
        <f t="shared" si="15"/>
        <v>90896652943.090958</v>
      </c>
      <c r="I502" s="848" t="s">
        <v>3088</v>
      </c>
      <c r="J502" s="848" t="s">
        <v>3088</v>
      </c>
      <c r="K502" s="848" t="s">
        <v>3088</v>
      </c>
    </row>
    <row r="503" spans="1:11">
      <c r="A503" s="848">
        <v>2013</v>
      </c>
      <c r="B503" s="848" t="s">
        <v>436</v>
      </c>
      <c r="C503" s="848" t="str">
        <f>$A503&amp;"_"&amp;$B503</f>
        <v>2013_Norway</v>
      </c>
      <c r="D503" s="848">
        <v>154339039027.548</v>
      </c>
      <c r="E503" s="848">
        <v>67.442284363129943</v>
      </c>
      <c r="F503" s="848">
        <v>4.8489629760046098</v>
      </c>
      <c r="G503" s="848">
        <f t="shared" si="14"/>
        <v>0.72291247339134557</v>
      </c>
      <c r="H503" s="848">
        <f t="shared" si="15"/>
        <v>111573616444.24814</v>
      </c>
      <c r="I503" s="848" t="s">
        <v>3088</v>
      </c>
      <c r="J503" s="848" t="s">
        <v>3088</v>
      </c>
      <c r="K503" s="848" t="s">
        <v>3088</v>
      </c>
    </row>
    <row r="504" spans="1:11">
      <c r="A504" s="848">
        <v>2013</v>
      </c>
      <c r="B504" s="848" t="s">
        <v>449</v>
      </c>
      <c r="C504" s="848" t="str">
        <f>$A504&amp;"_"&amp;$B504</f>
        <v>2013_Peru</v>
      </c>
      <c r="D504" s="848">
        <v>42176795290.7285</v>
      </c>
      <c r="E504" s="848">
        <v>16.114238281432023</v>
      </c>
      <c r="F504" s="848">
        <v>48.176230619491236</v>
      </c>
      <c r="G504" s="848">
        <f t="shared" si="14"/>
        <v>0.64290468900923259</v>
      </c>
      <c r="H504" s="848">
        <f t="shared" si="15"/>
        <v>27115659459.791874</v>
      </c>
      <c r="I504" s="848" t="s">
        <v>3088</v>
      </c>
      <c r="J504" s="848" t="s">
        <v>3088</v>
      </c>
      <c r="K504" s="848" t="s">
        <v>3088</v>
      </c>
    </row>
    <row r="505" spans="1:11">
      <c r="A505" s="848">
        <v>2013</v>
      </c>
      <c r="B505" s="848" t="s">
        <v>488</v>
      </c>
      <c r="C505" s="848" t="str">
        <f>$A505&amp;"_"&amp;$B505</f>
        <v>2013_Sierra Leone</v>
      </c>
      <c r="D505" s="848">
        <v>1916972993.3664701</v>
      </c>
      <c r="E505" s="848" t="s">
        <v>3088</v>
      </c>
      <c r="F505" s="848" t="s">
        <v>3088</v>
      </c>
      <c r="G505" s="848" t="str">
        <f t="shared" si="14"/>
        <v>..</v>
      </c>
      <c r="H505" s="848" t="str">
        <f t="shared" si="15"/>
        <v>..</v>
      </c>
      <c r="I505" s="848" t="s">
        <v>3088</v>
      </c>
      <c r="J505" s="848" t="s">
        <v>3088</v>
      </c>
      <c r="K505" s="848" t="s">
        <v>3088</v>
      </c>
    </row>
    <row r="506" spans="1:11">
      <c r="A506" s="848">
        <v>2013</v>
      </c>
      <c r="B506" s="848" t="s">
        <v>499</v>
      </c>
      <c r="C506" s="848" t="str">
        <f>$A506&amp;"_"&amp;$B506</f>
        <v>2013_Tanzania</v>
      </c>
      <c r="D506" s="848">
        <v>5050000000</v>
      </c>
      <c r="E506" s="848">
        <v>3.4783410442010219</v>
      </c>
      <c r="F506" s="848">
        <v>15.536147146932361</v>
      </c>
      <c r="G506" s="848">
        <f t="shared" si="14"/>
        <v>0.1901448819113338</v>
      </c>
      <c r="H506" s="848">
        <f t="shared" si="15"/>
        <v>960231653.65223575</v>
      </c>
      <c r="I506" s="848" t="s">
        <v>3088</v>
      </c>
      <c r="J506" s="848" t="s">
        <v>3088</v>
      </c>
      <c r="K506" s="848" t="s">
        <v>3088</v>
      </c>
    </row>
    <row r="507" spans="1:11">
      <c r="A507" s="848">
        <v>2013</v>
      </c>
      <c r="B507" s="848" t="s">
        <v>3090</v>
      </c>
      <c r="C507" s="848" t="str">
        <f>$A507&amp;"_"&amp;$B507</f>
        <v>2013_Timor-Leste</v>
      </c>
      <c r="D507" s="848">
        <v>16044536</v>
      </c>
      <c r="E507" s="848" t="s">
        <v>3088</v>
      </c>
      <c r="F507" s="848">
        <v>4.1038073173071309E-2</v>
      </c>
      <c r="G507" s="848" t="str">
        <f t="shared" si="14"/>
        <v>..</v>
      </c>
      <c r="H507" s="848" t="str">
        <f t="shared" si="15"/>
        <v>..</v>
      </c>
      <c r="I507" s="848" t="s">
        <v>3088</v>
      </c>
      <c r="J507" s="848" t="s">
        <v>3088</v>
      </c>
      <c r="K507" s="848" t="s">
        <v>3088</v>
      </c>
    </row>
    <row r="508" spans="1:11">
      <c r="A508" s="848">
        <v>2013</v>
      </c>
      <c r="B508" s="848" t="s">
        <v>517</v>
      </c>
      <c r="C508" s="848" t="str">
        <f>$A508&amp;"_"&amp;$B508</f>
        <v>2013_Togo</v>
      </c>
      <c r="D508" s="848">
        <v>1350000000</v>
      </c>
      <c r="E508" s="848">
        <v>1.2217602491623947</v>
      </c>
      <c r="F508" s="848">
        <v>2.6671902110483603</v>
      </c>
      <c r="G508" s="848">
        <f t="shared" si="14"/>
        <v>3.888950460210755E-2</v>
      </c>
      <c r="H508" s="848">
        <f t="shared" si="15"/>
        <v>52500831.212845191</v>
      </c>
      <c r="I508" s="848" t="s">
        <v>3088</v>
      </c>
      <c r="J508" s="848" t="s">
        <v>3088</v>
      </c>
      <c r="K508" s="848" t="s">
        <v>3088</v>
      </c>
    </row>
    <row r="509" spans="1:11">
      <c r="A509" s="848">
        <v>2013</v>
      </c>
      <c r="B509" s="848" t="s">
        <v>3091</v>
      </c>
      <c r="C509" s="848" t="str">
        <f>$A509&amp;"_"&amp;$B509</f>
        <v>2013_Trinidad and Tobago</v>
      </c>
      <c r="D509" s="848">
        <v>12769610000</v>
      </c>
      <c r="E509" s="848" t="s">
        <v>3088</v>
      </c>
      <c r="F509" s="848" t="s">
        <v>3088</v>
      </c>
      <c r="G509" s="848" t="str">
        <f t="shared" si="14"/>
        <v>..</v>
      </c>
      <c r="H509" s="848" t="str">
        <f t="shared" si="15"/>
        <v>..</v>
      </c>
      <c r="I509" s="848" t="s">
        <v>3088</v>
      </c>
      <c r="J509" s="848" t="s">
        <v>3088</v>
      </c>
      <c r="K509" s="848" t="s">
        <v>3088</v>
      </c>
    </row>
    <row r="510" spans="1:11">
      <c r="A510" s="848">
        <v>2013</v>
      </c>
      <c r="B510" s="848" t="s">
        <v>3092</v>
      </c>
      <c r="C510" s="848" t="str">
        <f>$A510&amp;"_"&amp;$B510</f>
        <v>2013_Yemen, Rep.</v>
      </c>
      <c r="D510" s="848">
        <v>9200000000</v>
      </c>
      <c r="E510" s="848">
        <v>75.939018113076614</v>
      </c>
      <c r="F510" s="848">
        <v>8.7468580919910277E-2</v>
      </c>
      <c r="G510" s="848">
        <f t="shared" si="14"/>
        <v>0.7602648669399652</v>
      </c>
      <c r="H510" s="848">
        <f t="shared" si="15"/>
        <v>6994436775.8476801</v>
      </c>
      <c r="I510" s="848" t="s">
        <v>3088</v>
      </c>
      <c r="J510" s="848" t="s">
        <v>3088</v>
      </c>
      <c r="K510" s="848" t="s">
        <v>3088</v>
      </c>
    </row>
    <row r="511" spans="1:11">
      <c r="A511" s="848">
        <v>2013</v>
      </c>
      <c r="B511" s="848" t="s">
        <v>541</v>
      </c>
      <c r="C511" s="848" t="str">
        <f>$A511&amp;"_"&amp;$B511</f>
        <v>2013_Zambia</v>
      </c>
      <c r="D511" s="848">
        <v>10594069000</v>
      </c>
      <c r="E511" s="848">
        <v>1.9128761306196131</v>
      </c>
      <c r="F511" s="848">
        <v>69.508291761328493</v>
      </c>
      <c r="G511" s="848">
        <f t="shared" si="14"/>
        <v>0.71421167891948101</v>
      </c>
      <c r="H511" s="848">
        <f t="shared" si="15"/>
        <v>7566407807.0788269</v>
      </c>
      <c r="I511" s="848" t="s">
        <v>3088</v>
      </c>
      <c r="J511" s="848" t="s">
        <v>3088</v>
      </c>
      <c r="K511" s="848" t="s">
        <v>3088</v>
      </c>
    </row>
    <row r="512" spans="1:11">
      <c r="A512" s="848">
        <v>2014</v>
      </c>
      <c r="B512" s="848" t="s">
        <v>21</v>
      </c>
      <c r="C512" s="848" t="str">
        <f>$A512&amp;"_"&amp;$B512</f>
        <v>2014_Afghanistan</v>
      </c>
      <c r="D512" s="848" t="s">
        <v>3088</v>
      </c>
      <c r="E512" s="848" t="s">
        <v>3088</v>
      </c>
      <c r="F512" s="848" t="s">
        <v>3088</v>
      </c>
      <c r="G512" s="848" t="str">
        <f t="shared" si="14"/>
        <v>..</v>
      </c>
      <c r="H512" s="848" t="str">
        <f t="shared" si="15"/>
        <v>..</v>
      </c>
      <c r="I512" s="848" t="s">
        <v>3088</v>
      </c>
      <c r="J512" s="848" t="s">
        <v>3088</v>
      </c>
      <c r="K512" s="848" t="s">
        <v>3088</v>
      </c>
    </row>
    <row r="513" spans="1:11">
      <c r="A513" s="848">
        <v>2014</v>
      </c>
      <c r="B513" s="848" t="s">
        <v>38</v>
      </c>
      <c r="C513" s="848" t="str">
        <f>$A513&amp;"_"&amp;$B513</f>
        <v>2014_Albania</v>
      </c>
      <c r="D513" s="848" t="s">
        <v>3088</v>
      </c>
      <c r="E513" s="848" t="s">
        <v>3088</v>
      </c>
      <c r="F513" s="848" t="s">
        <v>3088</v>
      </c>
      <c r="G513" s="848" t="str">
        <f t="shared" si="14"/>
        <v>..</v>
      </c>
      <c r="H513" s="848" t="str">
        <f t="shared" si="15"/>
        <v>..</v>
      </c>
      <c r="I513" s="848" t="s">
        <v>3088</v>
      </c>
      <c r="J513" s="848" t="s">
        <v>3088</v>
      </c>
      <c r="K513" s="848" t="s">
        <v>3088</v>
      </c>
    </row>
    <row r="514" spans="1:11">
      <c r="A514" s="848">
        <v>2014</v>
      </c>
      <c r="B514" s="848" t="s">
        <v>53</v>
      </c>
      <c r="C514" s="848" t="str">
        <f>$A514&amp;"_"&amp;$B514</f>
        <v>2014_Azerbaijan</v>
      </c>
      <c r="D514" s="848" t="s">
        <v>3088</v>
      </c>
      <c r="E514" s="848" t="s">
        <v>3088</v>
      </c>
      <c r="F514" s="848" t="s">
        <v>3088</v>
      </c>
      <c r="G514" s="848" t="str">
        <f t="shared" si="14"/>
        <v>..</v>
      </c>
      <c r="H514" s="848" t="str">
        <f t="shared" si="15"/>
        <v>..</v>
      </c>
      <c r="I514" s="848" t="s">
        <v>3088</v>
      </c>
      <c r="J514" s="848" t="s">
        <v>3088</v>
      </c>
      <c r="K514" s="848" t="s">
        <v>3088</v>
      </c>
    </row>
    <row r="515" spans="1:11">
      <c r="A515" s="848">
        <v>2014</v>
      </c>
      <c r="B515" s="848" t="s">
        <v>98</v>
      </c>
      <c r="C515" s="848" t="str">
        <f>$A515&amp;"_"&amp;$B515</f>
        <v>2014_Burkina Faso</v>
      </c>
      <c r="D515" s="848" t="s">
        <v>3088</v>
      </c>
      <c r="E515" s="848" t="s">
        <v>3088</v>
      </c>
      <c r="F515" s="848" t="s">
        <v>3088</v>
      </c>
      <c r="G515" s="848" t="str">
        <f t="shared" ref="G515:G545" si="16">IFERROR(($E515+$F515)/100,"..")</f>
        <v>..</v>
      </c>
      <c r="H515" s="848" t="str">
        <f t="shared" ref="H515:H545" si="17">IFERROR($G515*$D515,"..")</f>
        <v>..</v>
      </c>
      <c r="I515" s="848" t="s">
        <v>3088</v>
      </c>
      <c r="J515" s="848" t="s">
        <v>3088</v>
      </c>
      <c r="K515" s="848" t="s">
        <v>3088</v>
      </c>
    </row>
    <row r="516" spans="1:11">
      <c r="A516" s="848">
        <v>2014</v>
      </c>
      <c r="B516" s="848" t="s">
        <v>101</v>
      </c>
      <c r="C516" s="848" t="str">
        <f>$A516&amp;"_"&amp;$B516</f>
        <v>2014_Cameroon</v>
      </c>
      <c r="D516" s="848" t="s">
        <v>3088</v>
      </c>
      <c r="E516" s="848" t="s">
        <v>3088</v>
      </c>
      <c r="F516" s="848" t="s">
        <v>3088</v>
      </c>
      <c r="G516" s="848" t="str">
        <f t="shared" si="16"/>
        <v>..</v>
      </c>
      <c r="H516" s="848" t="str">
        <f t="shared" si="17"/>
        <v>..</v>
      </c>
      <c r="I516" s="848" t="s">
        <v>3088</v>
      </c>
      <c r="J516" s="848" t="s">
        <v>3088</v>
      </c>
      <c r="K516" s="848" t="s">
        <v>3088</v>
      </c>
    </row>
    <row r="517" spans="1:11">
      <c r="A517" s="848">
        <v>2014</v>
      </c>
      <c r="B517" s="848" t="s">
        <v>127</v>
      </c>
      <c r="C517" s="848" t="str">
        <f>$A517&amp;"_"&amp;$B517</f>
        <v>2014_Central African Republic</v>
      </c>
      <c r="D517" s="848" t="s">
        <v>3088</v>
      </c>
      <c r="E517" s="848" t="s">
        <v>3088</v>
      </c>
      <c r="F517" s="848" t="s">
        <v>3088</v>
      </c>
      <c r="G517" s="848" t="str">
        <f t="shared" si="16"/>
        <v>..</v>
      </c>
      <c r="H517" s="848" t="str">
        <f t="shared" si="17"/>
        <v>..</v>
      </c>
      <c r="I517" s="848" t="s">
        <v>3088</v>
      </c>
      <c r="J517" s="848" t="s">
        <v>3088</v>
      </c>
      <c r="K517" s="848" t="s">
        <v>3088</v>
      </c>
    </row>
    <row r="518" spans="1:11">
      <c r="A518" s="848">
        <v>2014</v>
      </c>
      <c r="B518" s="848" t="s">
        <v>138</v>
      </c>
      <c r="C518" s="848" t="str">
        <f>$A518&amp;"_"&amp;$B518</f>
        <v>2014_Chad</v>
      </c>
      <c r="D518" s="848" t="s">
        <v>3088</v>
      </c>
      <c r="E518" s="848" t="s">
        <v>3088</v>
      </c>
      <c r="F518" s="848" t="s">
        <v>3088</v>
      </c>
      <c r="G518" s="848" t="str">
        <f t="shared" si="16"/>
        <v>..</v>
      </c>
      <c r="H518" s="848" t="str">
        <f t="shared" si="17"/>
        <v>..</v>
      </c>
      <c r="I518" s="848" t="s">
        <v>3088</v>
      </c>
      <c r="J518" s="848" t="s">
        <v>3088</v>
      </c>
      <c r="K518" s="848" t="s">
        <v>3088</v>
      </c>
    </row>
    <row r="519" spans="1:11">
      <c r="A519" s="848">
        <v>2014</v>
      </c>
      <c r="B519" s="848" t="s">
        <v>3815</v>
      </c>
      <c r="C519" s="848" t="str">
        <f>$A519&amp;"_"&amp;$B519</f>
        <v>2014_Congo, Dem. Rep.</v>
      </c>
      <c r="D519" s="848" t="s">
        <v>3088</v>
      </c>
      <c r="E519" s="848" t="s">
        <v>3088</v>
      </c>
      <c r="F519" s="848" t="s">
        <v>3088</v>
      </c>
      <c r="G519" s="848" t="str">
        <f t="shared" si="16"/>
        <v>..</v>
      </c>
      <c r="H519" s="848" t="str">
        <f t="shared" si="17"/>
        <v>..</v>
      </c>
      <c r="I519" s="848" t="s">
        <v>3088</v>
      </c>
      <c r="J519" s="848" t="s">
        <v>3088</v>
      </c>
      <c r="K519" s="848" t="s">
        <v>3088</v>
      </c>
    </row>
    <row r="520" spans="1:11">
      <c r="A520" s="848">
        <v>2014</v>
      </c>
      <c r="B520" s="848" t="s">
        <v>3814</v>
      </c>
      <c r="C520" s="848" t="str">
        <f>$A520&amp;"_"&amp;$B520</f>
        <v>2014_Congo, Rep.</v>
      </c>
      <c r="D520" s="848" t="s">
        <v>3088</v>
      </c>
      <c r="E520" s="848" t="s">
        <v>3088</v>
      </c>
      <c r="F520" s="848" t="s">
        <v>3088</v>
      </c>
      <c r="G520" s="848" t="str">
        <f t="shared" si="16"/>
        <v>..</v>
      </c>
      <c r="H520" s="848" t="str">
        <f t="shared" si="17"/>
        <v>..</v>
      </c>
      <c r="I520" s="848" t="s">
        <v>3088</v>
      </c>
      <c r="J520" s="848" t="s">
        <v>3088</v>
      </c>
      <c r="K520" s="848" t="s">
        <v>3088</v>
      </c>
    </row>
    <row r="521" spans="1:11">
      <c r="A521" s="848">
        <v>2014</v>
      </c>
      <c r="B521" s="848" t="s">
        <v>188</v>
      </c>
      <c r="C521" s="848" t="str">
        <f>$A521&amp;"_"&amp;$B521</f>
        <v>2014_Equatorial Guinea</v>
      </c>
      <c r="D521" s="848" t="s">
        <v>3088</v>
      </c>
      <c r="E521" s="848" t="s">
        <v>3088</v>
      </c>
      <c r="F521" s="848" t="s">
        <v>3088</v>
      </c>
      <c r="G521" s="848" t="str">
        <f t="shared" si="16"/>
        <v>..</v>
      </c>
      <c r="H521" s="848" t="str">
        <f t="shared" si="17"/>
        <v>..</v>
      </c>
      <c r="I521" s="848" t="s">
        <v>3088</v>
      </c>
      <c r="J521" s="848" t="s">
        <v>3088</v>
      </c>
      <c r="K521" s="848" t="s">
        <v>3088</v>
      </c>
    </row>
    <row r="522" spans="1:11">
      <c r="A522" s="848">
        <v>2014</v>
      </c>
      <c r="B522" s="848" t="s">
        <v>191</v>
      </c>
      <c r="C522" s="848" t="str">
        <f>$A522&amp;"_"&amp;$B522</f>
        <v>2014_Gabon</v>
      </c>
      <c r="D522" s="848" t="s">
        <v>3088</v>
      </c>
      <c r="E522" s="848" t="s">
        <v>3088</v>
      </c>
      <c r="F522" s="848" t="s">
        <v>3088</v>
      </c>
      <c r="G522" s="848" t="str">
        <f t="shared" si="16"/>
        <v>..</v>
      </c>
      <c r="H522" s="848" t="str">
        <f t="shared" si="17"/>
        <v>..</v>
      </c>
      <c r="I522" s="848" t="s">
        <v>3088</v>
      </c>
      <c r="J522" s="848" t="s">
        <v>3088</v>
      </c>
      <c r="K522" s="848" t="s">
        <v>3088</v>
      </c>
    </row>
    <row r="523" spans="1:11">
      <c r="A523" s="848">
        <v>2014</v>
      </c>
      <c r="B523" s="848" t="s">
        <v>301</v>
      </c>
      <c r="C523" s="848" t="str">
        <f>$A523&amp;"_"&amp;$B523</f>
        <v>2014_Liberia</v>
      </c>
      <c r="D523" s="848" t="s">
        <v>3088</v>
      </c>
      <c r="E523" s="848" t="s">
        <v>3088</v>
      </c>
      <c r="F523" s="848" t="s">
        <v>3088</v>
      </c>
      <c r="G523" s="848" t="str">
        <f t="shared" si="16"/>
        <v>..</v>
      </c>
      <c r="H523" s="848" t="str">
        <f t="shared" si="17"/>
        <v>..</v>
      </c>
      <c r="I523" s="848" t="s">
        <v>3088</v>
      </c>
      <c r="J523" s="848" t="s">
        <v>3088</v>
      </c>
      <c r="K523" s="848" t="s">
        <v>3088</v>
      </c>
    </row>
    <row r="524" spans="1:11">
      <c r="A524" s="848">
        <v>2014</v>
      </c>
      <c r="B524" s="848" t="s">
        <v>285</v>
      </c>
      <c r="C524" s="848" t="str">
        <f>$A524&amp;"_"&amp;$B524</f>
        <v>2014_Kyrgyz Republic</v>
      </c>
      <c r="D524" s="848" t="s">
        <v>3088</v>
      </c>
      <c r="E524" s="848" t="s">
        <v>3088</v>
      </c>
      <c r="F524" s="848" t="s">
        <v>3088</v>
      </c>
      <c r="G524" s="848" t="str">
        <f t="shared" si="16"/>
        <v>..</v>
      </c>
      <c r="H524" s="848" t="str">
        <f t="shared" si="17"/>
        <v>..</v>
      </c>
      <c r="I524" s="848" t="s">
        <v>3088</v>
      </c>
      <c r="J524" s="848" t="s">
        <v>3088</v>
      </c>
      <c r="K524" s="848" t="s">
        <v>3088</v>
      </c>
    </row>
    <row r="525" spans="1:11">
      <c r="A525" s="848">
        <v>2014</v>
      </c>
      <c r="B525" s="848" t="s">
        <v>195</v>
      </c>
      <c r="C525" s="848" t="str">
        <f>$A525&amp;"_"&amp;$B525</f>
        <v>2014_Ghana</v>
      </c>
      <c r="D525" s="848" t="s">
        <v>3088</v>
      </c>
      <c r="E525" s="848" t="s">
        <v>3088</v>
      </c>
      <c r="F525" s="848" t="s">
        <v>3088</v>
      </c>
      <c r="G525" s="848" t="str">
        <f t="shared" si="16"/>
        <v>..</v>
      </c>
      <c r="H525" s="848" t="str">
        <f t="shared" si="17"/>
        <v>..</v>
      </c>
      <c r="I525" s="848" t="s">
        <v>3088</v>
      </c>
      <c r="J525" s="848" t="s">
        <v>3088</v>
      </c>
      <c r="K525" s="848" t="s">
        <v>3088</v>
      </c>
    </row>
    <row r="526" spans="1:11">
      <c r="A526" s="848">
        <v>2014</v>
      </c>
      <c r="B526" s="848" t="s">
        <v>219</v>
      </c>
      <c r="C526" s="848" t="str">
        <f>$A526&amp;"_"&amp;$B526</f>
        <v>2014_Guatemala</v>
      </c>
      <c r="D526" s="848" t="s">
        <v>3088</v>
      </c>
      <c r="E526" s="848" t="s">
        <v>3088</v>
      </c>
      <c r="F526" s="848" t="s">
        <v>3088</v>
      </c>
      <c r="G526" s="848" t="str">
        <f t="shared" si="16"/>
        <v>..</v>
      </c>
      <c r="H526" s="848" t="str">
        <f t="shared" si="17"/>
        <v>..</v>
      </c>
      <c r="I526" s="848" t="s">
        <v>3088</v>
      </c>
      <c r="J526" s="848" t="s">
        <v>3088</v>
      </c>
      <c r="K526" s="848" t="s">
        <v>3088</v>
      </c>
    </row>
    <row r="527" spans="1:11">
      <c r="A527" s="848">
        <v>2014</v>
      </c>
      <c r="B527" s="848" t="s">
        <v>3089</v>
      </c>
      <c r="C527" s="848" t="str">
        <f>$A527&amp;"_"&amp;$B527</f>
        <v>2014_Guinea</v>
      </c>
      <c r="D527" s="848" t="s">
        <v>3088</v>
      </c>
      <c r="E527" s="848" t="s">
        <v>3088</v>
      </c>
      <c r="F527" s="848" t="s">
        <v>3088</v>
      </c>
      <c r="G527" s="848" t="str">
        <f t="shared" si="16"/>
        <v>..</v>
      </c>
      <c r="H527" s="848" t="str">
        <f t="shared" si="17"/>
        <v>..</v>
      </c>
      <c r="I527" s="848" t="s">
        <v>3088</v>
      </c>
      <c r="J527" s="848" t="s">
        <v>3088</v>
      </c>
      <c r="K527" s="848" t="s">
        <v>3088</v>
      </c>
    </row>
    <row r="528" spans="1:11">
      <c r="A528" s="848">
        <v>2014</v>
      </c>
      <c r="B528" s="848" t="s">
        <v>243</v>
      </c>
      <c r="C528" s="848" t="str">
        <f>$A528&amp;"_"&amp;$B528</f>
        <v>2014_Indonesia</v>
      </c>
      <c r="D528" s="848" t="s">
        <v>3088</v>
      </c>
      <c r="E528" s="848" t="s">
        <v>3088</v>
      </c>
      <c r="F528" s="848" t="s">
        <v>3088</v>
      </c>
      <c r="G528" s="848" t="str">
        <f t="shared" si="16"/>
        <v>..</v>
      </c>
      <c r="H528" s="848" t="str">
        <f t="shared" si="17"/>
        <v>..</v>
      </c>
      <c r="I528" s="848" t="s">
        <v>3088</v>
      </c>
      <c r="J528" s="848" t="s">
        <v>3088</v>
      </c>
      <c r="K528" s="848" t="s">
        <v>3088</v>
      </c>
    </row>
    <row r="529" spans="1:11">
      <c r="A529" s="848">
        <v>2014</v>
      </c>
      <c r="B529" s="848" t="s">
        <v>251</v>
      </c>
      <c r="C529" s="848" t="str">
        <f>$A529&amp;"_"&amp;$B529</f>
        <v>2014_Iraq</v>
      </c>
      <c r="D529" s="848" t="s">
        <v>3088</v>
      </c>
      <c r="E529" s="848" t="s">
        <v>3088</v>
      </c>
      <c r="F529" s="848" t="s">
        <v>3088</v>
      </c>
      <c r="G529" s="848" t="str">
        <f t="shared" si="16"/>
        <v>..</v>
      </c>
      <c r="H529" s="848" t="str">
        <f t="shared" si="17"/>
        <v>..</v>
      </c>
      <c r="I529" s="848" t="s">
        <v>3088</v>
      </c>
      <c r="J529" s="848" t="s">
        <v>3088</v>
      </c>
      <c r="K529" s="848" t="s">
        <v>3088</v>
      </c>
    </row>
    <row r="530" spans="1:11">
      <c r="A530" s="848">
        <v>2014</v>
      </c>
      <c r="B530" s="848" t="s">
        <v>280</v>
      </c>
      <c r="C530" s="848" t="str">
        <f>$A530&amp;"_"&amp;$B530</f>
        <v>2014_Kazakhstan</v>
      </c>
      <c r="D530" s="848" t="s">
        <v>3088</v>
      </c>
      <c r="E530" s="848" t="s">
        <v>3088</v>
      </c>
      <c r="F530" s="848" t="s">
        <v>3088</v>
      </c>
      <c r="G530" s="848" t="str">
        <f t="shared" si="16"/>
        <v>..</v>
      </c>
      <c r="H530" s="848" t="str">
        <f t="shared" si="17"/>
        <v>..</v>
      </c>
      <c r="I530" s="848" t="s">
        <v>3088</v>
      </c>
      <c r="J530" s="848" t="s">
        <v>3088</v>
      </c>
      <c r="K530" s="848" t="s">
        <v>3088</v>
      </c>
    </row>
    <row r="531" spans="1:11">
      <c r="A531" s="848">
        <v>2014</v>
      </c>
      <c r="B531" s="848" t="s">
        <v>316</v>
      </c>
      <c r="C531" s="848" t="str">
        <f>$A531&amp;"_"&amp;$B531</f>
        <v>2014_Madagascar</v>
      </c>
      <c r="D531" s="848" t="s">
        <v>3088</v>
      </c>
      <c r="E531" s="848" t="s">
        <v>3088</v>
      </c>
      <c r="F531" s="848" t="s">
        <v>3088</v>
      </c>
      <c r="G531" s="848" t="str">
        <f t="shared" si="16"/>
        <v>..</v>
      </c>
      <c r="H531" s="848" t="str">
        <f t="shared" si="17"/>
        <v>..</v>
      </c>
      <c r="I531" s="848" t="s">
        <v>3088</v>
      </c>
      <c r="J531" s="848" t="s">
        <v>3088</v>
      </c>
      <c r="K531" s="848" t="s">
        <v>3088</v>
      </c>
    </row>
    <row r="532" spans="1:11">
      <c r="A532" s="848">
        <v>2014</v>
      </c>
      <c r="B532" s="848" t="s">
        <v>329</v>
      </c>
      <c r="C532" s="848" t="str">
        <f>$A532&amp;"_"&amp;$B532</f>
        <v>2014_Mali</v>
      </c>
      <c r="D532" s="848" t="s">
        <v>3088</v>
      </c>
      <c r="E532" s="848" t="s">
        <v>3088</v>
      </c>
      <c r="F532" s="848" t="s">
        <v>3088</v>
      </c>
      <c r="G532" s="848" t="str">
        <f t="shared" si="16"/>
        <v>..</v>
      </c>
      <c r="H532" s="848" t="str">
        <f t="shared" si="17"/>
        <v>..</v>
      </c>
      <c r="I532" s="848" t="s">
        <v>3088</v>
      </c>
      <c r="J532" s="848" t="s">
        <v>3088</v>
      </c>
      <c r="K532" s="848" t="s">
        <v>3088</v>
      </c>
    </row>
    <row r="533" spans="1:11">
      <c r="A533" s="848">
        <v>2014</v>
      </c>
      <c r="B533" s="848" t="s">
        <v>345</v>
      </c>
      <c r="C533" s="848" t="str">
        <f>$A533&amp;"_"&amp;$B533</f>
        <v>2014_Mauritania</v>
      </c>
      <c r="D533" s="848" t="s">
        <v>3088</v>
      </c>
      <c r="E533" s="848" t="s">
        <v>3088</v>
      </c>
      <c r="F533" s="848" t="s">
        <v>3088</v>
      </c>
      <c r="G533" s="848" t="str">
        <f t="shared" si="16"/>
        <v>..</v>
      </c>
      <c r="H533" s="848" t="str">
        <f t="shared" si="17"/>
        <v>..</v>
      </c>
      <c r="I533" s="848" t="s">
        <v>3088</v>
      </c>
      <c r="J533" s="848" t="s">
        <v>3088</v>
      </c>
      <c r="K533" s="848" t="s">
        <v>3088</v>
      </c>
    </row>
    <row r="534" spans="1:11">
      <c r="A534" s="848">
        <v>2014</v>
      </c>
      <c r="B534" s="848" t="s">
        <v>364</v>
      </c>
      <c r="C534" s="848" t="str">
        <f>$A534&amp;"_"&amp;$B534</f>
        <v>2014_Mongolia</v>
      </c>
      <c r="D534" s="848" t="s">
        <v>3088</v>
      </c>
      <c r="E534" s="848" t="s">
        <v>3088</v>
      </c>
      <c r="F534" s="848" t="s">
        <v>3088</v>
      </c>
      <c r="G534" s="848" t="str">
        <f t="shared" si="16"/>
        <v>..</v>
      </c>
      <c r="H534" s="848" t="str">
        <f t="shared" si="17"/>
        <v>..</v>
      </c>
      <c r="I534" s="848" t="s">
        <v>3088</v>
      </c>
      <c r="J534" s="848" t="s">
        <v>3088</v>
      </c>
      <c r="K534" s="848" t="s">
        <v>3088</v>
      </c>
    </row>
    <row r="535" spans="1:11">
      <c r="A535" s="848">
        <v>2014</v>
      </c>
      <c r="B535" s="848" t="s">
        <v>394</v>
      </c>
      <c r="C535" s="848" t="str">
        <f>$A535&amp;"_"&amp;$B535</f>
        <v>2014_Niger</v>
      </c>
      <c r="D535" s="848" t="s">
        <v>3088</v>
      </c>
      <c r="E535" s="848" t="s">
        <v>3088</v>
      </c>
      <c r="F535" s="848" t="s">
        <v>3088</v>
      </c>
      <c r="G535" s="848" t="str">
        <f t="shared" si="16"/>
        <v>..</v>
      </c>
      <c r="H535" s="848" t="str">
        <f t="shared" si="17"/>
        <v>..</v>
      </c>
      <c r="I535" s="848" t="s">
        <v>3088</v>
      </c>
      <c r="J535" s="848" t="s">
        <v>3088</v>
      </c>
      <c r="K535" s="848" t="s">
        <v>3088</v>
      </c>
    </row>
    <row r="536" spans="1:11">
      <c r="A536" s="848">
        <v>2014</v>
      </c>
      <c r="B536" s="848" t="s">
        <v>413</v>
      </c>
      <c r="C536" s="848" t="str">
        <f>$A536&amp;"_"&amp;$B536</f>
        <v>2014_Nigeria</v>
      </c>
      <c r="D536" s="848" t="s">
        <v>3088</v>
      </c>
      <c r="E536" s="848" t="s">
        <v>3088</v>
      </c>
      <c r="F536" s="848" t="s">
        <v>3088</v>
      </c>
      <c r="G536" s="848" t="str">
        <f t="shared" si="16"/>
        <v>..</v>
      </c>
      <c r="H536" s="848" t="str">
        <f t="shared" si="17"/>
        <v>..</v>
      </c>
      <c r="I536" s="848" t="s">
        <v>3088</v>
      </c>
      <c r="J536" s="848" t="s">
        <v>3088</v>
      </c>
      <c r="K536" s="848" t="s">
        <v>3088</v>
      </c>
    </row>
    <row r="537" spans="1:11">
      <c r="A537" s="848">
        <v>2014</v>
      </c>
      <c r="B537" s="848" t="s">
        <v>436</v>
      </c>
      <c r="C537" s="848" t="str">
        <f>$A537&amp;"_"&amp;$B537</f>
        <v>2014_Norway</v>
      </c>
      <c r="D537" s="848" t="s">
        <v>3088</v>
      </c>
      <c r="E537" s="848" t="s">
        <v>3088</v>
      </c>
      <c r="F537" s="848" t="s">
        <v>3088</v>
      </c>
      <c r="G537" s="848" t="str">
        <f t="shared" si="16"/>
        <v>..</v>
      </c>
      <c r="H537" s="848" t="str">
        <f t="shared" si="17"/>
        <v>..</v>
      </c>
      <c r="I537" s="848" t="s">
        <v>3088</v>
      </c>
      <c r="J537" s="848" t="s">
        <v>3088</v>
      </c>
      <c r="K537" s="848" t="s">
        <v>3088</v>
      </c>
    </row>
    <row r="538" spans="1:11">
      <c r="A538" s="848">
        <v>2014</v>
      </c>
      <c r="B538" s="848" t="s">
        <v>449</v>
      </c>
      <c r="C538" s="848" t="str">
        <f>$A538&amp;"_"&amp;$B538</f>
        <v>2014_Peru</v>
      </c>
      <c r="D538" s="848" t="s">
        <v>3088</v>
      </c>
      <c r="E538" s="848" t="s">
        <v>3088</v>
      </c>
      <c r="F538" s="848" t="s">
        <v>3088</v>
      </c>
      <c r="G538" s="848" t="str">
        <f t="shared" si="16"/>
        <v>..</v>
      </c>
      <c r="H538" s="848" t="str">
        <f t="shared" si="17"/>
        <v>..</v>
      </c>
      <c r="I538" s="848" t="s">
        <v>3088</v>
      </c>
      <c r="J538" s="848" t="s">
        <v>3088</v>
      </c>
      <c r="K538" s="848" t="s">
        <v>3088</v>
      </c>
    </row>
    <row r="539" spans="1:11">
      <c r="A539" s="848">
        <v>2014</v>
      </c>
      <c r="B539" s="848" t="s">
        <v>488</v>
      </c>
      <c r="C539" s="848" t="str">
        <f>$A539&amp;"_"&amp;$B539</f>
        <v>2014_Sierra Leone</v>
      </c>
      <c r="D539" s="848" t="s">
        <v>3088</v>
      </c>
      <c r="E539" s="848" t="s">
        <v>3088</v>
      </c>
      <c r="F539" s="848" t="s">
        <v>3088</v>
      </c>
      <c r="G539" s="848" t="str">
        <f t="shared" si="16"/>
        <v>..</v>
      </c>
      <c r="H539" s="848" t="str">
        <f t="shared" si="17"/>
        <v>..</v>
      </c>
      <c r="I539" s="848" t="s">
        <v>3088</v>
      </c>
      <c r="J539" s="848" t="s">
        <v>3088</v>
      </c>
      <c r="K539" s="848" t="s">
        <v>3088</v>
      </c>
    </row>
    <row r="540" spans="1:11">
      <c r="A540" s="848">
        <v>2014</v>
      </c>
      <c r="B540" s="848" t="s">
        <v>499</v>
      </c>
      <c r="C540" s="848" t="str">
        <f>$A540&amp;"_"&amp;$B540</f>
        <v>2014_Tanzania</v>
      </c>
      <c r="D540" s="848" t="s">
        <v>3088</v>
      </c>
      <c r="E540" s="848" t="s">
        <v>3088</v>
      </c>
      <c r="F540" s="848" t="s">
        <v>3088</v>
      </c>
      <c r="G540" s="848" t="str">
        <f t="shared" si="16"/>
        <v>..</v>
      </c>
      <c r="H540" s="848" t="str">
        <f t="shared" si="17"/>
        <v>..</v>
      </c>
      <c r="I540" s="848" t="s">
        <v>3088</v>
      </c>
      <c r="J540" s="848" t="s">
        <v>3088</v>
      </c>
      <c r="K540" s="848" t="s">
        <v>3088</v>
      </c>
    </row>
    <row r="541" spans="1:11">
      <c r="A541" s="848">
        <v>2014</v>
      </c>
      <c r="B541" s="848" t="s">
        <v>3090</v>
      </c>
      <c r="C541" s="848" t="str">
        <f>$A541&amp;"_"&amp;$B541</f>
        <v>2014_Timor-Leste</v>
      </c>
      <c r="D541" s="848" t="s">
        <v>3088</v>
      </c>
      <c r="E541" s="848" t="s">
        <v>3088</v>
      </c>
      <c r="F541" s="848" t="s">
        <v>3088</v>
      </c>
      <c r="G541" s="848" t="str">
        <f t="shared" si="16"/>
        <v>..</v>
      </c>
      <c r="H541" s="848" t="str">
        <f t="shared" si="17"/>
        <v>..</v>
      </c>
      <c r="I541" s="848" t="s">
        <v>3088</v>
      </c>
      <c r="J541" s="848" t="s">
        <v>3088</v>
      </c>
      <c r="K541" s="848" t="s">
        <v>3088</v>
      </c>
    </row>
    <row r="542" spans="1:11">
      <c r="A542" s="848">
        <v>2014</v>
      </c>
      <c r="B542" s="848" t="s">
        <v>517</v>
      </c>
      <c r="C542" s="848" t="str">
        <f>$A542&amp;"_"&amp;$B542</f>
        <v>2014_Togo</v>
      </c>
      <c r="D542" s="848" t="s">
        <v>3088</v>
      </c>
      <c r="E542" s="848" t="s">
        <v>3088</v>
      </c>
      <c r="F542" s="848" t="s">
        <v>3088</v>
      </c>
      <c r="G542" s="848" t="str">
        <f t="shared" si="16"/>
        <v>..</v>
      </c>
      <c r="H542" s="848" t="str">
        <f t="shared" si="17"/>
        <v>..</v>
      </c>
      <c r="I542" s="848" t="s">
        <v>3088</v>
      </c>
      <c r="J542" s="848" t="s">
        <v>3088</v>
      </c>
      <c r="K542" s="848" t="s">
        <v>3088</v>
      </c>
    </row>
    <row r="543" spans="1:11">
      <c r="A543" s="848">
        <v>2014</v>
      </c>
      <c r="B543" s="848" t="s">
        <v>3091</v>
      </c>
      <c r="C543" s="848" t="str">
        <f>$A543&amp;"_"&amp;$B543</f>
        <v>2014_Trinidad and Tobago</v>
      </c>
      <c r="D543" s="848" t="s">
        <v>3088</v>
      </c>
      <c r="E543" s="848" t="s">
        <v>3088</v>
      </c>
      <c r="F543" s="848" t="s">
        <v>3088</v>
      </c>
      <c r="G543" s="848" t="str">
        <f t="shared" si="16"/>
        <v>..</v>
      </c>
      <c r="H543" s="848" t="str">
        <f t="shared" si="17"/>
        <v>..</v>
      </c>
      <c r="I543" s="848" t="s">
        <v>3088</v>
      </c>
      <c r="J543" s="848" t="s">
        <v>3088</v>
      </c>
      <c r="K543" s="848" t="s">
        <v>3088</v>
      </c>
    </row>
    <row r="544" spans="1:11">
      <c r="A544" s="848">
        <v>2014</v>
      </c>
      <c r="B544" s="848" t="s">
        <v>3092</v>
      </c>
      <c r="C544" s="848" t="str">
        <f>$A544&amp;"_"&amp;$B544</f>
        <v>2014_Yemen, Rep.</v>
      </c>
      <c r="D544" s="848" t="s">
        <v>3088</v>
      </c>
      <c r="E544" s="848" t="s">
        <v>3088</v>
      </c>
      <c r="F544" s="848" t="s">
        <v>3088</v>
      </c>
      <c r="G544" s="848" t="str">
        <f t="shared" si="16"/>
        <v>..</v>
      </c>
      <c r="H544" s="848" t="str">
        <f t="shared" si="17"/>
        <v>..</v>
      </c>
      <c r="I544" s="848" t="s">
        <v>3088</v>
      </c>
      <c r="J544" s="848" t="s">
        <v>3088</v>
      </c>
      <c r="K544" s="848" t="s">
        <v>3088</v>
      </c>
    </row>
    <row r="545" spans="1:11">
      <c r="A545" s="848">
        <v>2014</v>
      </c>
      <c r="B545" s="848" t="s">
        <v>541</v>
      </c>
      <c r="C545" s="848" t="str">
        <f>$A545&amp;"_"&amp;$B545</f>
        <v>2014_Zambia</v>
      </c>
      <c r="D545" s="848" t="s">
        <v>3088</v>
      </c>
      <c r="E545" s="848" t="s">
        <v>3088</v>
      </c>
      <c r="F545" s="848" t="s">
        <v>3088</v>
      </c>
      <c r="G545" s="848" t="str">
        <f t="shared" si="16"/>
        <v>..</v>
      </c>
      <c r="H545" s="848" t="str">
        <f t="shared" si="17"/>
        <v>..</v>
      </c>
      <c r="I545" s="848" t="s">
        <v>3088</v>
      </c>
      <c r="J545" s="848" t="s">
        <v>3088</v>
      </c>
      <c r="K545" s="848" t="s">
        <v>3088</v>
      </c>
    </row>
    <row r="549" spans="1:11">
      <c r="A549" s="848" t="s">
        <v>3093</v>
      </c>
    </row>
    <row r="550" spans="1:11">
      <c r="A550" s="848" t="s">
        <v>3094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29"/>
  <sheetViews>
    <sheetView zoomScale="90" zoomScaleNormal="90" workbookViewId="0">
      <selection activeCell="F6" sqref="F6"/>
    </sheetView>
  </sheetViews>
  <sheetFormatPr defaultRowHeight="15"/>
  <cols>
    <col min="2" max="2" width="30.42578125" bestFit="1" customWidth="1"/>
    <col min="3" max="3" width="30.42578125" customWidth="1"/>
  </cols>
  <sheetData>
    <row r="1" spans="1:22">
      <c r="A1" s="826" t="s">
        <v>3107</v>
      </c>
      <c r="B1" s="826"/>
      <c r="C1" s="826"/>
      <c r="D1" s="826" t="s">
        <v>3108</v>
      </c>
      <c r="E1" s="826"/>
      <c r="F1" s="826"/>
      <c r="G1" s="826"/>
      <c r="H1" s="826"/>
      <c r="I1" s="826"/>
      <c r="J1" s="826"/>
      <c r="K1" s="826"/>
      <c r="L1" s="826"/>
      <c r="M1" s="826"/>
      <c r="N1" s="826" t="s">
        <v>3109</v>
      </c>
      <c r="O1" s="826"/>
      <c r="P1" s="826"/>
      <c r="Q1" s="826"/>
      <c r="R1" s="826"/>
      <c r="S1" s="826"/>
      <c r="T1" s="826"/>
      <c r="U1" s="826"/>
      <c r="V1" s="826"/>
    </row>
    <row r="2" spans="1:22">
      <c r="A2" s="826" t="s">
        <v>3110</v>
      </c>
      <c r="B2" s="826"/>
      <c r="C2" s="826"/>
      <c r="D2" s="826" t="s">
        <v>3111</v>
      </c>
      <c r="E2" s="826"/>
      <c r="F2" s="826"/>
      <c r="G2" s="826"/>
      <c r="H2" s="826" t="s">
        <v>3112</v>
      </c>
      <c r="I2" s="826"/>
      <c r="J2" s="826"/>
      <c r="K2" s="826" t="s">
        <v>3113</v>
      </c>
      <c r="L2" s="826"/>
      <c r="M2" s="826"/>
      <c r="N2" s="826" t="s">
        <v>3111</v>
      </c>
      <c r="O2" s="826"/>
      <c r="P2" s="826"/>
      <c r="Q2" s="826" t="s">
        <v>3112</v>
      </c>
      <c r="R2" s="826"/>
      <c r="S2" s="826"/>
      <c r="T2" s="826" t="s">
        <v>3113</v>
      </c>
      <c r="U2" s="826"/>
      <c r="V2" s="826"/>
    </row>
    <row r="3" spans="1:22">
      <c r="A3" s="826" t="s">
        <v>3114</v>
      </c>
      <c r="B3" s="826"/>
      <c r="C3" s="826"/>
      <c r="D3" s="826" t="s">
        <v>3115</v>
      </c>
      <c r="E3" s="825" t="s">
        <v>3116</v>
      </c>
      <c r="F3" s="825" t="s">
        <v>3824</v>
      </c>
      <c r="G3" s="826" t="s">
        <v>3117</v>
      </c>
      <c r="H3" s="826" t="s">
        <v>3115</v>
      </c>
      <c r="I3" s="826" t="s">
        <v>3116</v>
      </c>
      <c r="J3" s="826" t="s">
        <v>3117</v>
      </c>
      <c r="K3" s="826" t="s">
        <v>3115</v>
      </c>
      <c r="L3" s="826" t="s">
        <v>3116</v>
      </c>
      <c r="M3" s="826" t="s">
        <v>3117</v>
      </c>
      <c r="N3" s="826" t="s">
        <v>3115</v>
      </c>
      <c r="O3" s="826" t="s">
        <v>3116</v>
      </c>
      <c r="P3" s="826" t="s">
        <v>3117</v>
      </c>
      <c r="Q3" s="826" t="s">
        <v>3115</v>
      </c>
      <c r="R3" s="826" t="s">
        <v>3116</v>
      </c>
      <c r="S3" s="826" t="s">
        <v>3117</v>
      </c>
      <c r="T3" s="826" t="s">
        <v>3115</v>
      </c>
      <c r="U3" s="826" t="s">
        <v>3116</v>
      </c>
      <c r="V3" s="826" t="s">
        <v>3117</v>
      </c>
    </row>
    <row r="4" spans="1:22">
      <c r="A4" s="826" t="s">
        <v>3118</v>
      </c>
      <c r="B4" s="826" t="s">
        <v>3119</v>
      </c>
      <c r="C4" s="826" t="s">
        <v>3096</v>
      </c>
      <c r="D4" s="826"/>
      <c r="E4" s="826"/>
      <c r="F4" s="826"/>
      <c r="G4" s="826"/>
      <c r="H4" s="826"/>
      <c r="I4" s="826"/>
      <c r="J4" s="826"/>
      <c r="K4" s="826"/>
      <c r="L4" s="826"/>
      <c r="M4" s="826"/>
      <c r="N4" s="826"/>
      <c r="O4" s="826"/>
      <c r="P4" s="826"/>
      <c r="Q4" s="826"/>
      <c r="R4" s="826"/>
      <c r="S4" s="826"/>
      <c r="T4" s="826"/>
      <c r="U4" s="826"/>
      <c r="V4" s="826"/>
    </row>
    <row r="5" spans="1:22">
      <c r="A5" s="826" t="s">
        <v>3120</v>
      </c>
      <c r="B5" s="826" t="s">
        <v>21</v>
      </c>
      <c r="C5" s="826" t="str">
        <f>$A5&amp;"_"&amp;$B5</f>
        <v>1999_Afghanistan</v>
      </c>
      <c r="D5" s="826" t="s">
        <v>603</v>
      </c>
      <c r="E5" s="826" t="s">
        <v>3088</v>
      </c>
      <c r="F5" s="826" t="str">
        <f>IFERROR($E5*1000000,"..")</f>
        <v>..</v>
      </c>
      <c r="G5" s="826" t="s">
        <v>603</v>
      </c>
      <c r="H5" s="826" t="s">
        <v>603</v>
      </c>
      <c r="I5" s="826" t="s">
        <v>603</v>
      </c>
      <c r="J5" s="826" t="s">
        <v>603</v>
      </c>
      <c r="K5" s="826" t="s">
        <v>603</v>
      </c>
      <c r="L5" s="826" t="s">
        <v>603</v>
      </c>
      <c r="M5" s="826" t="s">
        <v>603</v>
      </c>
      <c r="N5" s="826" t="s">
        <v>603</v>
      </c>
      <c r="O5" s="826" t="s">
        <v>603</v>
      </c>
      <c r="P5" s="826" t="s">
        <v>603</v>
      </c>
      <c r="Q5" s="826" t="s">
        <v>603</v>
      </c>
      <c r="R5" s="826" t="s">
        <v>603</v>
      </c>
      <c r="S5" s="826" t="s">
        <v>603</v>
      </c>
      <c r="T5" s="826" t="s">
        <v>3088</v>
      </c>
      <c r="U5" s="826" t="s">
        <v>3088</v>
      </c>
      <c r="V5" s="826" t="s">
        <v>3088</v>
      </c>
    </row>
    <row r="6" spans="1:22">
      <c r="A6" s="826" t="s">
        <v>3120</v>
      </c>
      <c r="B6" s="826" t="s">
        <v>38</v>
      </c>
      <c r="C6" s="826" t="str">
        <f t="shared" ref="C6:C69" si="0">$A6&amp;"_"&amp;$B6</f>
        <v>1999_Albania</v>
      </c>
      <c r="D6" s="826">
        <v>269.39999999999998</v>
      </c>
      <c r="E6" s="826">
        <v>544.4</v>
      </c>
      <c r="F6" s="826">
        <f t="shared" ref="F6:F69" si="1">IFERROR($E6*1000000,"..")</f>
        <v>544400000</v>
      </c>
      <c r="G6" s="826">
        <v>275</v>
      </c>
      <c r="H6" s="826">
        <v>163.1</v>
      </c>
      <c r="I6" s="826">
        <v>1101.0999999999999</v>
      </c>
      <c r="J6" s="826">
        <v>938</v>
      </c>
      <c r="K6" s="826">
        <v>106.3</v>
      </c>
      <c r="L6" s="826">
        <v>-556.70000000000005</v>
      </c>
      <c r="M6" s="826">
        <v>-663</v>
      </c>
      <c r="N6" s="826">
        <v>49.485672299800001</v>
      </c>
      <c r="O6" s="826">
        <v>100</v>
      </c>
      <c r="P6" s="826">
        <v>50.514327700199999</v>
      </c>
      <c r="Q6" s="826">
        <v>14.812460267000001</v>
      </c>
      <c r="R6" s="826">
        <v>100</v>
      </c>
      <c r="S6" s="826">
        <v>85.187539732999994</v>
      </c>
      <c r="T6" s="826" t="s">
        <v>3088</v>
      </c>
      <c r="U6" s="826" t="s">
        <v>3088</v>
      </c>
      <c r="V6" s="826" t="s">
        <v>3088</v>
      </c>
    </row>
    <row r="7" spans="1:22">
      <c r="A7" s="826" t="s">
        <v>3120</v>
      </c>
      <c r="B7" s="826" t="s">
        <v>53</v>
      </c>
      <c r="C7" s="826" t="str">
        <f t="shared" si="0"/>
        <v>1999_Azerbaijan</v>
      </c>
      <c r="D7" s="826">
        <v>256.79000000000002</v>
      </c>
      <c r="E7" s="826">
        <v>1282.02</v>
      </c>
      <c r="F7" s="826">
        <f t="shared" si="1"/>
        <v>1282020000</v>
      </c>
      <c r="G7" s="826">
        <v>1025.23</v>
      </c>
      <c r="H7" s="826">
        <v>485.11599999999999</v>
      </c>
      <c r="I7" s="826">
        <v>1918.5060000000001</v>
      </c>
      <c r="J7" s="826">
        <v>1433.39</v>
      </c>
      <c r="K7" s="826">
        <v>-228.32599999999999</v>
      </c>
      <c r="L7" s="826">
        <v>-636.48599999999999</v>
      </c>
      <c r="M7" s="826">
        <v>-408.16</v>
      </c>
      <c r="N7" s="826">
        <v>20.030108734700001</v>
      </c>
      <c r="O7" s="826">
        <v>100</v>
      </c>
      <c r="P7" s="826">
        <v>79.969891265300006</v>
      </c>
      <c r="Q7" s="826">
        <v>25.286134106399999</v>
      </c>
      <c r="R7" s="826">
        <v>100</v>
      </c>
      <c r="S7" s="826">
        <v>74.713865893600001</v>
      </c>
      <c r="T7" s="826" t="s">
        <v>3088</v>
      </c>
      <c r="U7" s="826" t="s">
        <v>3088</v>
      </c>
      <c r="V7" s="826" t="s">
        <v>3088</v>
      </c>
    </row>
    <row r="8" spans="1:22">
      <c r="A8" s="826" t="s">
        <v>3120</v>
      </c>
      <c r="B8" s="826" t="s">
        <v>98</v>
      </c>
      <c r="C8" s="826" t="str">
        <f t="shared" si="0"/>
        <v>1999_Burkina Faso</v>
      </c>
      <c r="D8" s="826" t="s">
        <v>603</v>
      </c>
      <c r="E8" s="826" t="s">
        <v>3088</v>
      </c>
      <c r="F8" s="826" t="str">
        <f t="shared" si="1"/>
        <v>..</v>
      </c>
      <c r="G8" s="826">
        <v>253.69498100000001</v>
      </c>
      <c r="H8" s="826" t="s">
        <v>603</v>
      </c>
      <c r="I8" s="826" t="s">
        <v>603</v>
      </c>
      <c r="J8" s="826">
        <v>580.40279399999997</v>
      </c>
      <c r="K8" s="826" t="s">
        <v>603</v>
      </c>
      <c r="L8" s="826" t="s">
        <v>603</v>
      </c>
      <c r="M8" s="826">
        <v>-326.70781299999999</v>
      </c>
      <c r="N8" s="826" t="s">
        <v>603</v>
      </c>
      <c r="O8" s="826" t="s">
        <v>603</v>
      </c>
      <c r="P8" s="826">
        <v>84.3865850591</v>
      </c>
      <c r="Q8" s="826" t="s">
        <v>603</v>
      </c>
      <c r="R8" s="826" t="s">
        <v>603</v>
      </c>
      <c r="S8" s="826">
        <v>77.314437276600003</v>
      </c>
      <c r="T8" s="826" t="s">
        <v>3088</v>
      </c>
      <c r="U8" s="826" t="s">
        <v>3088</v>
      </c>
      <c r="V8" s="826" t="s">
        <v>3088</v>
      </c>
    </row>
    <row r="9" spans="1:22">
      <c r="A9" s="826" t="s">
        <v>3120</v>
      </c>
      <c r="B9" s="826" t="s">
        <v>3136</v>
      </c>
      <c r="C9" s="826" t="str">
        <f t="shared" si="0"/>
        <v>1999_ Cameroon</v>
      </c>
      <c r="D9" s="826">
        <v>433.74200000000002</v>
      </c>
      <c r="E9" s="826">
        <v>2178.8719999999998</v>
      </c>
      <c r="F9" s="826">
        <f t="shared" si="1"/>
        <v>2178872000</v>
      </c>
      <c r="G9" s="826">
        <v>1745.13</v>
      </c>
      <c r="H9" s="826">
        <v>715.34100000000001</v>
      </c>
      <c r="I9" s="826">
        <v>2049.2809999999999</v>
      </c>
      <c r="J9" s="826">
        <v>1333.94</v>
      </c>
      <c r="K9" s="826">
        <v>-281.59899999999999</v>
      </c>
      <c r="L9" s="826">
        <v>129.59100000000001</v>
      </c>
      <c r="M9" s="826">
        <v>411.19</v>
      </c>
      <c r="N9" s="826">
        <v>19.9067223775</v>
      </c>
      <c r="O9" s="826">
        <v>100</v>
      </c>
      <c r="P9" s="826">
        <v>80.093277622499997</v>
      </c>
      <c r="Q9" s="826">
        <v>34.906925892499999</v>
      </c>
      <c r="R9" s="826">
        <v>100</v>
      </c>
      <c r="S9" s="826">
        <v>65.093074107500001</v>
      </c>
      <c r="T9" s="826" t="s">
        <v>3088</v>
      </c>
      <c r="U9" s="826" t="s">
        <v>3088</v>
      </c>
      <c r="V9" s="826" t="s">
        <v>3088</v>
      </c>
    </row>
    <row r="10" spans="1:22">
      <c r="A10" s="826" t="s">
        <v>3120</v>
      </c>
      <c r="B10" s="826" t="s">
        <v>127</v>
      </c>
      <c r="C10" s="826" t="str">
        <f t="shared" si="0"/>
        <v>1999_Central African Republic</v>
      </c>
      <c r="D10" s="826">
        <v>44.125457400000002</v>
      </c>
      <c r="E10" s="826">
        <v>190.52166740000001</v>
      </c>
      <c r="F10" s="826">
        <f t="shared" si="1"/>
        <v>190521667.40000001</v>
      </c>
      <c r="G10" s="826">
        <v>146.39621</v>
      </c>
      <c r="H10" s="826">
        <v>108.62775479</v>
      </c>
      <c r="I10" s="826">
        <v>239.68042779000001</v>
      </c>
      <c r="J10" s="826">
        <v>131.052673</v>
      </c>
      <c r="K10" s="826">
        <v>-64.502297389999995</v>
      </c>
      <c r="L10" s="826">
        <v>-49.158760389999998</v>
      </c>
      <c r="M10" s="826">
        <v>15.343537</v>
      </c>
      <c r="N10" s="826">
        <v>23.160335515700002</v>
      </c>
      <c r="O10" s="826">
        <v>100</v>
      </c>
      <c r="P10" s="826">
        <v>76.839664484300002</v>
      </c>
      <c r="Q10" s="826">
        <v>45.321912928700002</v>
      </c>
      <c r="R10" s="826">
        <v>100</v>
      </c>
      <c r="S10" s="826">
        <v>54.678087071299998</v>
      </c>
      <c r="T10" s="826" t="s">
        <v>3088</v>
      </c>
      <c r="U10" s="826" t="s">
        <v>3088</v>
      </c>
      <c r="V10" s="826" t="s">
        <v>3088</v>
      </c>
    </row>
    <row r="11" spans="1:22">
      <c r="A11" s="826" t="s">
        <v>3120</v>
      </c>
      <c r="B11" s="826" t="s">
        <v>3137</v>
      </c>
      <c r="C11" s="826" t="str">
        <f t="shared" si="0"/>
        <v>1999_ Chad</v>
      </c>
      <c r="D11" s="826">
        <v>53.370234480000001</v>
      </c>
      <c r="E11" s="826">
        <v>296.40295048000002</v>
      </c>
      <c r="F11" s="826">
        <f t="shared" si="1"/>
        <v>296402950.48000002</v>
      </c>
      <c r="G11" s="826">
        <v>243.03271599999999</v>
      </c>
      <c r="H11" s="826">
        <v>230.33170429</v>
      </c>
      <c r="I11" s="826">
        <v>494.03848328999999</v>
      </c>
      <c r="J11" s="826">
        <v>263.70677899999998</v>
      </c>
      <c r="K11" s="826">
        <v>-176.96146981000001</v>
      </c>
      <c r="L11" s="826">
        <v>-197.63553281</v>
      </c>
      <c r="M11" s="826">
        <v>-20.674063</v>
      </c>
      <c r="N11" s="826">
        <v>18.005972745400001</v>
      </c>
      <c r="O11" s="826">
        <v>100</v>
      </c>
      <c r="P11" s="826">
        <v>81.994027254599999</v>
      </c>
      <c r="Q11" s="826">
        <v>46.6222191349</v>
      </c>
      <c r="R11" s="826">
        <v>100</v>
      </c>
      <c r="S11" s="826">
        <v>53.3777808651</v>
      </c>
      <c r="T11" s="826" t="s">
        <v>3088</v>
      </c>
      <c r="U11" s="826" t="s">
        <v>3088</v>
      </c>
      <c r="V11" s="826" t="s">
        <v>3088</v>
      </c>
    </row>
    <row r="12" spans="1:22">
      <c r="A12" s="826" t="s">
        <v>3120</v>
      </c>
      <c r="B12" s="826" t="s">
        <v>465</v>
      </c>
      <c r="C12" s="826" t="str">
        <f t="shared" si="0"/>
        <v>1999_Republic of the Congo</v>
      </c>
      <c r="D12" s="826">
        <v>146.03100000000001</v>
      </c>
      <c r="E12" s="826">
        <v>1706.1210000000001</v>
      </c>
      <c r="F12" s="826">
        <f t="shared" si="1"/>
        <v>1706121000</v>
      </c>
      <c r="G12" s="826">
        <v>1560.09</v>
      </c>
      <c r="H12" s="826">
        <v>868.6</v>
      </c>
      <c r="I12" s="826">
        <v>1391.251</v>
      </c>
      <c r="J12" s="826">
        <v>522.65099999999995</v>
      </c>
      <c r="K12" s="826">
        <v>-722.56899999999996</v>
      </c>
      <c r="L12" s="826">
        <v>314.87</v>
      </c>
      <c r="M12" s="826">
        <v>1037.4390000000001</v>
      </c>
      <c r="N12" s="826">
        <v>8.5592405227999997</v>
      </c>
      <c r="O12" s="826">
        <v>100</v>
      </c>
      <c r="P12" s="826">
        <v>91.440759477200004</v>
      </c>
      <c r="Q12" s="826">
        <v>62.433018916100004</v>
      </c>
      <c r="R12" s="826">
        <v>100</v>
      </c>
      <c r="S12" s="826">
        <v>37.566981083899996</v>
      </c>
      <c r="T12" s="826" t="s">
        <v>3088</v>
      </c>
      <c r="U12" s="826" t="s">
        <v>3088</v>
      </c>
      <c r="V12" s="826" t="s">
        <v>3088</v>
      </c>
    </row>
    <row r="13" spans="1:22">
      <c r="A13" s="826" t="s">
        <v>3120</v>
      </c>
      <c r="B13" s="826" t="s">
        <v>171</v>
      </c>
      <c r="C13" s="826" t="str">
        <f t="shared" si="0"/>
        <v>1999_Democratic Republic of Congo</v>
      </c>
      <c r="D13" s="826">
        <v>46.7</v>
      </c>
      <c r="E13" s="826">
        <v>1020.7</v>
      </c>
      <c r="F13" s="826">
        <f t="shared" si="1"/>
        <v>1020700000</v>
      </c>
      <c r="G13" s="826">
        <v>974</v>
      </c>
      <c r="H13" s="826">
        <v>300</v>
      </c>
      <c r="I13" s="826">
        <v>758</v>
      </c>
      <c r="J13" s="826">
        <v>458</v>
      </c>
      <c r="K13" s="826">
        <v>-253.3</v>
      </c>
      <c r="L13" s="826">
        <v>262.7</v>
      </c>
      <c r="M13" s="826">
        <v>516</v>
      </c>
      <c r="N13" s="826">
        <v>4.5752914666000004</v>
      </c>
      <c r="O13" s="826">
        <v>100</v>
      </c>
      <c r="P13" s="826">
        <v>95.424708533399993</v>
      </c>
      <c r="Q13" s="826">
        <v>39.577836411600003</v>
      </c>
      <c r="R13" s="826">
        <v>100</v>
      </c>
      <c r="S13" s="826">
        <v>60.422163588399997</v>
      </c>
      <c r="T13" s="826" t="s">
        <v>3088</v>
      </c>
      <c r="U13" s="826" t="s">
        <v>3088</v>
      </c>
      <c r="V13" s="826" t="s">
        <v>3088</v>
      </c>
    </row>
    <row r="14" spans="1:22">
      <c r="A14" s="826" t="s">
        <v>3120</v>
      </c>
      <c r="B14" s="826" t="s">
        <v>3138</v>
      </c>
      <c r="C14" s="826" t="str">
        <f t="shared" si="0"/>
        <v>1999_ Equatorial Guinea</v>
      </c>
      <c r="D14" s="826">
        <v>14.148147</v>
      </c>
      <c r="E14" s="826">
        <v>764.25006399999995</v>
      </c>
      <c r="F14" s="826">
        <f t="shared" si="1"/>
        <v>764250064</v>
      </c>
      <c r="G14" s="826">
        <v>750.10191699999996</v>
      </c>
      <c r="H14" s="826">
        <v>424.18616900000001</v>
      </c>
      <c r="I14" s="826">
        <v>846.39734699999997</v>
      </c>
      <c r="J14" s="826">
        <v>422.21117800000002</v>
      </c>
      <c r="K14" s="826">
        <v>-410.03802200000001</v>
      </c>
      <c r="L14" s="826">
        <v>-82.147283000000002</v>
      </c>
      <c r="M14" s="826">
        <v>327.890739</v>
      </c>
      <c r="N14" s="826">
        <v>1.8512457724</v>
      </c>
      <c r="O14" s="826">
        <v>100</v>
      </c>
      <c r="P14" s="826">
        <v>98.148754227599994</v>
      </c>
      <c r="Q14" s="826">
        <v>50.116670438900002</v>
      </c>
      <c r="R14" s="826">
        <v>100</v>
      </c>
      <c r="S14" s="826">
        <v>49.883329561099998</v>
      </c>
      <c r="T14" s="826" t="s">
        <v>3088</v>
      </c>
      <c r="U14" s="826" t="s">
        <v>3088</v>
      </c>
      <c r="V14" s="826" t="s">
        <v>3088</v>
      </c>
    </row>
    <row r="15" spans="1:22">
      <c r="A15" s="826" t="s">
        <v>3120</v>
      </c>
      <c r="B15" s="826" t="s">
        <v>3139</v>
      </c>
      <c r="C15" s="826" t="str">
        <f t="shared" si="0"/>
        <v>1999_ Gabon</v>
      </c>
      <c r="D15" s="826">
        <v>280.89999999999998</v>
      </c>
      <c r="E15" s="826">
        <v>2779.717881</v>
      </c>
      <c r="F15" s="826">
        <f t="shared" si="1"/>
        <v>2779717881</v>
      </c>
      <c r="G15" s="826">
        <v>2498.8178809999999</v>
      </c>
      <c r="H15" s="826">
        <v>866.95399999999995</v>
      </c>
      <c r="I15" s="826">
        <v>1777.4829999999999</v>
      </c>
      <c r="J15" s="826">
        <v>910.529</v>
      </c>
      <c r="K15" s="826">
        <v>-586.05399999999997</v>
      </c>
      <c r="L15" s="826">
        <v>1002.234881</v>
      </c>
      <c r="M15" s="826">
        <v>1588.2888809999999</v>
      </c>
      <c r="N15" s="826">
        <v>10.105342053599999</v>
      </c>
      <c r="O15" s="826">
        <v>100</v>
      </c>
      <c r="P15" s="826">
        <v>89.894657946400002</v>
      </c>
      <c r="Q15" s="826">
        <v>48.774249880299998</v>
      </c>
      <c r="R15" s="826">
        <v>100</v>
      </c>
      <c r="S15" s="826">
        <v>51.225750119700002</v>
      </c>
      <c r="T15" s="826" t="s">
        <v>3088</v>
      </c>
      <c r="U15" s="826" t="s">
        <v>3088</v>
      </c>
      <c r="V15" s="826" t="s">
        <v>3088</v>
      </c>
    </row>
    <row r="16" spans="1:22">
      <c r="A16" s="826" t="s">
        <v>3120</v>
      </c>
      <c r="B16" s="826" t="s">
        <v>195</v>
      </c>
      <c r="C16" s="826" t="str">
        <f t="shared" si="0"/>
        <v>1999_Ghana</v>
      </c>
      <c r="D16" s="826">
        <v>467.8</v>
      </c>
      <c r="E16" s="826">
        <v>2473.3000000000002</v>
      </c>
      <c r="F16" s="826">
        <f t="shared" si="1"/>
        <v>2473300000</v>
      </c>
      <c r="G16" s="826">
        <v>2005.5</v>
      </c>
      <c r="H16" s="826">
        <v>646</v>
      </c>
      <c r="I16" s="826">
        <v>3925.9</v>
      </c>
      <c r="J16" s="826">
        <v>3279.9</v>
      </c>
      <c r="K16" s="826">
        <v>-178.2</v>
      </c>
      <c r="L16" s="826">
        <v>-1452.6</v>
      </c>
      <c r="M16" s="826">
        <v>-1274.4000000000001</v>
      </c>
      <c r="N16" s="826">
        <v>18.914001536400001</v>
      </c>
      <c r="O16" s="826">
        <v>100</v>
      </c>
      <c r="P16" s="826">
        <v>81.085998463600006</v>
      </c>
      <c r="Q16" s="826">
        <v>16.454825645100001</v>
      </c>
      <c r="R16" s="826">
        <v>100</v>
      </c>
      <c r="S16" s="826">
        <v>83.545174354899999</v>
      </c>
      <c r="T16" s="826" t="s">
        <v>3088</v>
      </c>
      <c r="U16" s="826" t="s">
        <v>3088</v>
      </c>
      <c r="V16" s="826" t="s">
        <v>3088</v>
      </c>
    </row>
    <row r="17" spans="1:22">
      <c r="A17" s="826" t="s">
        <v>3120</v>
      </c>
      <c r="B17" s="826" t="s">
        <v>219</v>
      </c>
      <c r="C17" s="826" t="str">
        <f t="shared" si="0"/>
        <v>1999_Guatemala</v>
      </c>
      <c r="D17" s="826">
        <v>699.5</v>
      </c>
      <c r="E17" s="826">
        <v>3480.1</v>
      </c>
      <c r="F17" s="826">
        <f t="shared" si="1"/>
        <v>3480100000</v>
      </c>
      <c r="G17" s="826">
        <v>2780.6</v>
      </c>
      <c r="H17" s="826">
        <v>790.7</v>
      </c>
      <c r="I17" s="826">
        <v>5016.3999999999996</v>
      </c>
      <c r="J17" s="826">
        <v>4225.7</v>
      </c>
      <c r="K17" s="826">
        <v>-91.2</v>
      </c>
      <c r="L17" s="826">
        <v>-1536.3</v>
      </c>
      <c r="M17" s="826">
        <v>-1445.1</v>
      </c>
      <c r="N17" s="826">
        <v>20.0999971265</v>
      </c>
      <c r="O17" s="826">
        <v>100</v>
      </c>
      <c r="P17" s="826">
        <v>79.9000028735</v>
      </c>
      <c r="Q17" s="826">
        <v>15.7622996571</v>
      </c>
      <c r="R17" s="826">
        <v>100</v>
      </c>
      <c r="S17" s="826">
        <v>84.237700342899998</v>
      </c>
      <c r="T17" s="826" t="s">
        <v>3088</v>
      </c>
      <c r="U17" s="826" t="s">
        <v>3088</v>
      </c>
      <c r="V17" s="826" t="s">
        <v>3088</v>
      </c>
    </row>
    <row r="18" spans="1:22">
      <c r="A18" s="826" t="s">
        <v>3120</v>
      </c>
      <c r="B18" s="826" t="s">
        <v>3140</v>
      </c>
      <c r="C18" s="826" t="str">
        <f t="shared" si="0"/>
        <v>1999_ Guinea</v>
      </c>
      <c r="D18" s="826">
        <v>113.18</v>
      </c>
      <c r="E18" s="826">
        <v>748.85</v>
      </c>
      <c r="F18" s="826">
        <f t="shared" si="1"/>
        <v>748850000</v>
      </c>
      <c r="G18" s="826">
        <v>635.66999999999996</v>
      </c>
      <c r="H18" s="826">
        <v>364.38799999999998</v>
      </c>
      <c r="I18" s="826">
        <v>946.09</v>
      </c>
      <c r="J18" s="826">
        <v>581.702</v>
      </c>
      <c r="K18" s="826">
        <v>-251.208</v>
      </c>
      <c r="L18" s="826">
        <v>-197.24</v>
      </c>
      <c r="M18" s="826">
        <v>53.968000000000004</v>
      </c>
      <c r="N18" s="826">
        <v>15.1138412232</v>
      </c>
      <c r="O18" s="826">
        <v>100</v>
      </c>
      <c r="P18" s="826">
        <v>84.886158776800002</v>
      </c>
      <c r="Q18" s="826">
        <v>38.515151835399998</v>
      </c>
      <c r="R18" s="826">
        <v>100</v>
      </c>
      <c r="S18" s="826">
        <v>61.484848164600002</v>
      </c>
      <c r="T18" s="826" t="s">
        <v>3088</v>
      </c>
      <c r="U18" s="826" t="s">
        <v>3088</v>
      </c>
      <c r="V18" s="826" t="s">
        <v>3088</v>
      </c>
    </row>
    <row r="19" spans="1:22">
      <c r="A19" s="826" t="s">
        <v>3120</v>
      </c>
      <c r="B19" s="826" t="s">
        <v>243</v>
      </c>
      <c r="C19" s="826" t="str">
        <f t="shared" si="0"/>
        <v>1999_Indonesia</v>
      </c>
      <c r="D19" s="826" t="s">
        <v>3121</v>
      </c>
      <c r="E19" s="826" t="s">
        <v>3088</v>
      </c>
      <c r="F19" s="826" t="str">
        <f t="shared" si="1"/>
        <v>..</v>
      </c>
      <c r="G19" s="826" t="s">
        <v>3121</v>
      </c>
      <c r="H19" s="826" t="s">
        <v>3121</v>
      </c>
      <c r="I19" s="826" t="s">
        <v>3121</v>
      </c>
      <c r="J19" s="826" t="s">
        <v>3121</v>
      </c>
      <c r="K19" s="826" t="s">
        <v>3121</v>
      </c>
      <c r="L19" s="826" t="s">
        <v>3121</v>
      </c>
      <c r="M19" s="826" t="s">
        <v>3121</v>
      </c>
      <c r="N19" s="826" t="s">
        <v>3121</v>
      </c>
      <c r="O19" s="826" t="s">
        <v>3121</v>
      </c>
      <c r="P19" s="826" t="s">
        <v>3121</v>
      </c>
      <c r="Q19" s="826" t="s">
        <v>3121</v>
      </c>
      <c r="R19" s="826" t="s">
        <v>3121</v>
      </c>
      <c r="S19" s="826" t="s">
        <v>3121</v>
      </c>
      <c r="T19" s="826" t="s">
        <v>3121</v>
      </c>
      <c r="U19" s="826" t="s">
        <v>3121</v>
      </c>
      <c r="V19" s="826" t="s">
        <v>3121</v>
      </c>
    </row>
    <row r="20" spans="1:22">
      <c r="A20" s="826" t="s">
        <v>3120</v>
      </c>
      <c r="B20" s="826" t="s">
        <v>251</v>
      </c>
      <c r="C20" s="826" t="str">
        <f t="shared" si="0"/>
        <v>1999_Iraq</v>
      </c>
      <c r="D20" s="826" t="s">
        <v>603</v>
      </c>
      <c r="E20" s="826" t="s">
        <v>3088</v>
      </c>
      <c r="F20" s="826" t="str">
        <f t="shared" si="1"/>
        <v>..</v>
      </c>
      <c r="G20" s="826">
        <v>13067</v>
      </c>
      <c r="H20" s="826" t="s">
        <v>603</v>
      </c>
      <c r="I20" s="826" t="s">
        <v>603</v>
      </c>
      <c r="J20" s="826">
        <v>9097.4</v>
      </c>
      <c r="K20" s="826" t="s">
        <v>603</v>
      </c>
      <c r="L20" s="826" t="s">
        <v>603</v>
      </c>
      <c r="M20" s="826">
        <v>3969.6</v>
      </c>
      <c r="N20" s="826" t="s">
        <v>603</v>
      </c>
      <c r="O20" s="826" t="s">
        <v>603</v>
      </c>
      <c r="P20" s="826">
        <v>98.927971170299998</v>
      </c>
      <c r="Q20" s="826" t="s">
        <v>603</v>
      </c>
      <c r="R20" s="826" t="s">
        <v>603</v>
      </c>
      <c r="S20" s="826">
        <v>85.9104387406</v>
      </c>
      <c r="T20" s="826" t="s">
        <v>3088</v>
      </c>
      <c r="U20" s="826" t="s">
        <v>3088</v>
      </c>
      <c r="V20" s="826" t="s">
        <v>3088</v>
      </c>
    </row>
    <row r="21" spans="1:22">
      <c r="A21" s="826" t="s">
        <v>3120</v>
      </c>
      <c r="B21" s="826" t="s">
        <v>280</v>
      </c>
      <c r="C21" s="826" t="str">
        <f t="shared" si="0"/>
        <v>1999_Kazakhstan</v>
      </c>
      <c r="D21" s="826" t="s">
        <v>603</v>
      </c>
      <c r="E21" s="826" t="s">
        <v>3088</v>
      </c>
      <c r="F21" s="826" t="str">
        <f t="shared" si="1"/>
        <v>..</v>
      </c>
      <c r="G21" s="826">
        <v>5988.7</v>
      </c>
      <c r="H21" s="826" t="s">
        <v>603</v>
      </c>
      <c r="I21" s="826" t="s">
        <v>603</v>
      </c>
      <c r="J21" s="826">
        <v>5645</v>
      </c>
      <c r="K21" s="826" t="s">
        <v>603</v>
      </c>
      <c r="L21" s="826" t="s">
        <v>603</v>
      </c>
      <c r="M21" s="826">
        <v>343.7</v>
      </c>
      <c r="N21" s="826" t="s">
        <v>603</v>
      </c>
      <c r="O21" s="826" t="s">
        <v>603</v>
      </c>
      <c r="P21" s="826">
        <v>85.597765945700004</v>
      </c>
      <c r="Q21" s="826" t="s">
        <v>603</v>
      </c>
      <c r="R21" s="826" t="s">
        <v>603</v>
      </c>
      <c r="S21" s="826">
        <v>83.500770134000007</v>
      </c>
      <c r="T21" s="826" t="s">
        <v>3088</v>
      </c>
      <c r="U21" s="826" t="s">
        <v>3088</v>
      </c>
      <c r="V21" s="826" t="s">
        <v>3088</v>
      </c>
    </row>
    <row r="22" spans="1:22">
      <c r="A22" s="826" t="s">
        <v>3120</v>
      </c>
      <c r="B22" s="826" t="s">
        <v>3141</v>
      </c>
      <c r="C22" s="826" t="str">
        <f t="shared" si="0"/>
        <v>1999_Kyrgyzstan</v>
      </c>
      <c r="D22" s="826">
        <v>64.948999999999998</v>
      </c>
      <c r="E22" s="826">
        <v>527.50199999999995</v>
      </c>
      <c r="F22" s="826">
        <f t="shared" si="1"/>
        <v>527501999.99999994</v>
      </c>
      <c r="G22" s="826">
        <v>462.553</v>
      </c>
      <c r="H22" s="826">
        <v>155.10599999999999</v>
      </c>
      <c r="I22" s="826">
        <v>705.69299999999998</v>
      </c>
      <c r="J22" s="826">
        <v>550.58699999999999</v>
      </c>
      <c r="K22" s="826">
        <v>-90.156999999999996</v>
      </c>
      <c r="L22" s="826">
        <v>-178.191</v>
      </c>
      <c r="M22" s="826">
        <v>-88.034000000000006</v>
      </c>
      <c r="N22" s="826">
        <v>12.312559952399999</v>
      </c>
      <c r="O22" s="826">
        <v>100</v>
      </c>
      <c r="P22" s="826">
        <v>87.687440047600006</v>
      </c>
      <c r="Q22" s="826">
        <v>21.9792459327</v>
      </c>
      <c r="R22" s="826">
        <v>100</v>
      </c>
      <c r="S22" s="826">
        <v>78.020754067300004</v>
      </c>
      <c r="T22" s="826" t="s">
        <v>3088</v>
      </c>
      <c r="U22" s="826" t="s">
        <v>3088</v>
      </c>
      <c r="V22" s="826" t="s">
        <v>3088</v>
      </c>
    </row>
    <row r="23" spans="1:22">
      <c r="A23" s="826" t="s">
        <v>3120</v>
      </c>
      <c r="B23" s="826" t="s">
        <v>301</v>
      </c>
      <c r="C23" s="826" t="str">
        <f t="shared" si="0"/>
        <v>1999_Liberia</v>
      </c>
      <c r="D23" s="826" t="s">
        <v>603</v>
      </c>
      <c r="E23" s="826" t="s">
        <v>3088</v>
      </c>
      <c r="F23" s="826" t="str">
        <f t="shared" si="1"/>
        <v>..</v>
      </c>
      <c r="G23" s="826" t="s">
        <v>603</v>
      </c>
      <c r="H23" s="826" t="s">
        <v>603</v>
      </c>
      <c r="I23" s="826" t="s">
        <v>603</v>
      </c>
      <c r="J23" s="826">
        <v>421.7</v>
      </c>
      <c r="K23" s="826" t="s">
        <v>603</v>
      </c>
      <c r="L23" s="826" t="s">
        <v>603</v>
      </c>
      <c r="M23" s="826" t="s">
        <v>603</v>
      </c>
      <c r="N23" s="826" t="s">
        <v>603</v>
      </c>
      <c r="O23" s="826" t="s">
        <v>603</v>
      </c>
      <c r="P23" s="826" t="s">
        <v>603</v>
      </c>
      <c r="Q23" s="826" t="s">
        <v>603</v>
      </c>
      <c r="R23" s="826" t="s">
        <v>603</v>
      </c>
      <c r="S23" s="826">
        <v>76.377094366099996</v>
      </c>
      <c r="T23" s="826" t="s">
        <v>3088</v>
      </c>
      <c r="U23" s="826" t="s">
        <v>3088</v>
      </c>
      <c r="V23" s="826" t="s">
        <v>3088</v>
      </c>
    </row>
    <row r="24" spans="1:22">
      <c r="A24" s="826" t="s">
        <v>3120</v>
      </c>
      <c r="B24" s="826" t="s">
        <v>316</v>
      </c>
      <c r="C24" s="826" t="str">
        <f t="shared" si="0"/>
        <v>1999_Madagascar</v>
      </c>
      <c r="D24" s="826">
        <v>326.09500000000003</v>
      </c>
      <c r="E24" s="826">
        <v>910.09299999999996</v>
      </c>
      <c r="F24" s="826">
        <f t="shared" si="1"/>
        <v>910093000</v>
      </c>
      <c r="G24" s="826">
        <v>583.99800000000005</v>
      </c>
      <c r="H24" s="826">
        <v>456.18099999999998</v>
      </c>
      <c r="I24" s="826">
        <v>1198.6489999999999</v>
      </c>
      <c r="J24" s="826">
        <v>742.46799999999996</v>
      </c>
      <c r="K24" s="826">
        <v>-130.08600000000001</v>
      </c>
      <c r="L24" s="826">
        <v>-288.55599999999998</v>
      </c>
      <c r="M24" s="826">
        <v>-158.47</v>
      </c>
      <c r="N24" s="826">
        <v>35.830953539900001</v>
      </c>
      <c r="O24" s="826">
        <v>100</v>
      </c>
      <c r="P24" s="826">
        <v>64.169046460100006</v>
      </c>
      <c r="Q24" s="826">
        <v>38.057930219799999</v>
      </c>
      <c r="R24" s="826">
        <v>100</v>
      </c>
      <c r="S24" s="826">
        <v>61.942069780200001</v>
      </c>
      <c r="T24" s="826" t="s">
        <v>3088</v>
      </c>
      <c r="U24" s="826" t="s">
        <v>3088</v>
      </c>
      <c r="V24" s="826" t="s">
        <v>3088</v>
      </c>
    </row>
    <row r="25" spans="1:22">
      <c r="A25" s="826" t="s">
        <v>3120</v>
      </c>
      <c r="B25" s="826" t="s">
        <v>329</v>
      </c>
      <c r="C25" s="826" t="str">
        <f t="shared" si="0"/>
        <v>1999_Mali</v>
      </c>
      <c r="D25" s="826">
        <v>109.992</v>
      </c>
      <c r="E25" s="826">
        <v>681.00599999999997</v>
      </c>
      <c r="F25" s="826">
        <f t="shared" si="1"/>
        <v>681006000</v>
      </c>
      <c r="G25" s="826">
        <v>571.01400000000001</v>
      </c>
      <c r="H25" s="826">
        <v>371.99200000000002</v>
      </c>
      <c r="I25" s="826">
        <v>977.51700000000005</v>
      </c>
      <c r="J25" s="826">
        <v>605.52499999999998</v>
      </c>
      <c r="K25" s="826">
        <v>-262</v>
      </c>
      <c r="L25" s="826">
        <v>-296.51100000000002</v>
      </c>
      <c r="M25" s="826">
        <v>-34.511000000000003</v>
      </c>
      <c r="N25" s="826">
        <v>16.151399547099999</v>
      </c>
      <c r="O25" s="826">
        <v>100</v>
      </c>
      <c r="P25" s="826">
        <v>83.848600452900001</v>
      </c>
      <c r="Q25" s="826">
        <v>38.054785748</v>
      </c>
      <c r="R25" s="826">
        <v>100</v>
      </c>
      <c r="S25" s="826">
        <v>61.945214252</v>
      </c>
      <c r="T25" s="826" t="s">
        <v>3088</v>
      </c>
      <c r="U25" s="826" t="s">
        <v>3088</v>
      </c>
      <c r="V25" s="826" t="s">
        <v>3088</v>
      </c>
    </row>
    <row r="26" spans="1:22">
      <c r="A26" s="826" t="s">
        <v>3120</v>
      </c>
      <c r="B26" s="826" t="s">
        <v>345</v>
      </c>
      <c r="C26" s="826" t="str">
        <f t="shared" si="0"/>
        <v>1999_Mauritania</v>
      </c>
      <c r="D26" s="826">
        <v>37.262894459999998</v>
      </c>
      <c r="E26" s="826">
        <v>395.06289446</v>
      </c>
      <c r="F26" s="826">
        <f t="shared" si="1"/>
        <v>395062894.45999998</v>
      </c>
      <c r="G26" s="826">
        <v>357.8</v>
      </c>
      <c r="H26" s="826">
        <v>155.3978438</v>
      </c>
      <c r="I26" s="826">
        <v>540.79784380000001</v>
      </c>
      <c r="J26" s="826">
        <v>385.4</v>
      </c>
      <c r="K26" s="826">
        <v>-118.13494934000001</v>
      </c>
      <c r="L26" s="826">
        <v>-145.73494934000001</v>
      </c>
      <c r="M26" s="826">
        <v>-27.6</v>
      </c>
      <c r="N26" s="826">
        <v>9.4321423203000005</v>
      </c>
      <c r="O26" s="826">
        <v>100</v>
      </c>
      <c r="P26" s="826">
        <v>90.567857679699998</v>
      </c>
      <c r="Q26" s="826">
        <v>28.734922962700001</v>
      </c>
      <c r="R26" s="826">
        <v>100</v>
      </c>
      <c r="S26" s="826">
        <v>71.265077037300003</v>
      </c>
      <c r="T26" s="826" t="s">
        <v>3088</v>
      </c>
      <c r="U26" s="826" t="s">
        <v>3088</v>
      </c>
      <c r="V26" s="826" t="s">
        <v>3088</v>
      </c>
    </row>
    <row r="27" spans="1:22">
      <c r="A27" s="826" t="s">
        <v>3120</v>
      </c>
      <c r="B27" s="826" t="s">
        <v>364</v>
      </c>
      <c r="C27" s="826" t="str">
        <f t="shared" si="0"/>
        <v>1999_Mongolia</v>
      </c>
      <c r="D27" s="826">
        <v>75.8</v>
      </c>
      <c r="E27" s="826">
        <v>530.1</v>
      </c>
      <c r="F27" s="826">
        <f t="shared" si="1"/>
        <v>530100000</v>
      </c>
      <c r="G27" s="826">
        <v>454.3</v>
      </c>
      <c r="H27" s="826">
        <v>145.69999999999999</v>
      </c>
      <c r="I27" s="826">
        <v>656.4</v>
      </c>
      <c r="J27" s="826">
        <v>510.7</v>
      </c>
      <c r="K27" s="826">
        <v>-69.900000000000006</v>
      </c>
      <c r="L27" s="826">
        <v>-126.3</v>
      </c>
      <c r="M27" s="826">
        <v>-56.4</v>
      </c>
      <c r="N27" s="826">
        <v>14.2991888323</v>
      </c>
      <c r="O27" s="826">
        <v>100</v>
      </c>
      <c r="P27" s="826">
        <v>85.700811167699996</v>
      </c>
      <c r="Q27" s="826">
        <v>22.1968312005</v>
      </c>
      <c r="R27" s="826">
        <v>100</v>
      </c>
      <c r="S27" s="826">
        <v>77.8031687995</v>
      </c>
      <c r="T27" s="826" t="s">
        <v>3088</v>
      </c>
      <c r="U27" s="826" t="s">
        <v>3088</v>
      </c>
      <c r="V27" s="826" t="s">
        <v>3088</v>
      </c>
    </row>
    <row r="28" spans="1:22">
      <c r="A28" s="826" t="s">
        <v>3120</v>
      </c>
      <c r="B28" s="826" t="s">
        <v>385</v>
      </c>
      <c r="C28" s="826" t="str">
        <f t="shared" si="0"/>
        <v>1999_Mozambique</v>
      </c>
      <c r="D28" s="826">
        <v>295.2</v>
      </c>
      <c r="E28" s="826">
        <v>579</v>
      </c>
      <c r="F28" s="826">
        <f t="shared" si="1"/>
        <v>579000000</v>
      </c>
      <c r="G28" s="826">
        <v>283.8</v>
      </c>
      <c r="H28" s="826">
        <v>405.7</v>
      </c>
      <c r="I28" s="826">
        <v>1495.7</v>
      </c>
      <c r="J28" s="826">
        <v>1090</v>
      </c>
      <c r="K28" s="826">
        <v>-110.5</v>
      </c>
      <c r="L28" s="826">
        <v>-916.7</v>
      </c>
      <c r="M28" s="826">
        <v>-806.2</v>
      </c>
      <c r="N28" s="826">
        <v>50.9844559585</v>
      </c>
      <c r="O28" s="826">
        <v>100</v>
      </c>
      <c r="P28" s="826">
        <v>49.0155440415</v>
      </c>
      <c r="Q28" s="826">
        <v>27.124423346899999</v>
      </c>
      <c r="R28" s="826">
        <v>100</v>
      </c>
      <c r="S28" s="826">
        <v>72.875576653099998</v>
      </c>
      <c r="T28" s="826" t="s">
        <v>3088</v>
      </c>
      <c r="U28" s="826" t="s">
        <v>3088</v>
      </c>
      <c r="V28" s="826" t="s">
        <v>3088</v>
      </c>
    </row>
    <row r="29" spans="1:22">
      <c r="A29" s="826" t="s">
        <v>3120</v>
      </c>
      <c r="B29" s="826" t="s">
        <v>394</v>
      </c>
      <c r="C29" s="826" t="str">
        <f t="shared" si="0"/>
        <v>1999_Niger</v>
      </c>
      <c r="D29" s="826">
        <v>34.103000000000002</v>
      </c>
      <c r="E29" s="826">
        <v>320.89400000000001</v>
      </c>
      <c r="F29" s="826">
        <f t="shared" si="1"/>
        <v>320894000</v>
      </c>
      <c r="G29" s="826">
        <v>286.791</v>
      </c>
      <c r="H29" s="826">
        <v>139.62299999999999</v>
      </c>
      <c r="I29" s="826">
        <v>475.029</v>
      </c>
      <c r="J29" s="826">
        <v>335.40600000000001</v>
      </c>
      <c r="K29" s="826">
        <v>-105.52</v>
      </c>
      <c r="L29" s="826">
        <v>-154.13499999999999</v>
      </c>
      <c r="M29" s="826">
        <v>-48.615000000000002</v>
      </c>
      <c r="N29" s="826">
        <v>10.6274969305</v>
      </c>
      <c r="O29" s="826">
        <v>100</v>
      </c>
      <c r="P29" s="826">
        <v>89.372503069499999</v>
      </c>
      <c r="Q29" s="826">
        <v>29.3925212987</v>
      </c>
      <c r="R29" s="826">
        <v>100</v>
      </c>
      <c r="S29" s="826">
        <v>70.607478701299996</v>
      </c>
      <c r="T29" s="826" t="s">
        <v>3088</v>
      </c>
      <c r="U29" s="826" t="s">
        <v>3088</v>
      </c>
      <c r="V29" s="826" t="s">
        <v>3088</v>
      </c>
    </row>
    <row r="30" spans="1:22">
      <c r="A30" s="826" t="s">
        <v>3120</v>
      </c>
      <c r="B30" s="826" t="s">
        <v>413</v>
      </c>
      <c r="C30" s="826" t="str">
        <f t="shared" si="0"/>
        <v>1999_Nigeria</v>
      </c>
      <c r="D30" s="826">
        <v>979.61800000000005</v>
      </c>
      <c r="E30" s="826">
        <v>13855.918</v>
      </c>
      <c r="F30" s="826">
        <f t="shared" si="1"/>
        <v>13855918000</v>
      </c>
      <c r="G30" s="826">
        <v>12876.3</v>
      </c>
      <c r="H30" s="826">
        <v>3475.87</v>
      </c>
      <c r="I30" s="826">
        <v>12063.85</v>
      </c>
      <c r="J30" s="826">
        <v>8587.98</v>
      </c>
      <c r="K30" s="826">
        <v>-2496.252</v>
      </c>
      <c r="L30" s="826">
        <v>1792.068</v>
      </c>
      <c r="M30" s="826">
        <v>4288.32</v>
      </c>
      <c r="N30" s="826">
        <v>7.0700331800000003</v>
      </c>
      <c r="O30" s="826">
        <v>100</v>
      </c>
      <c r="P30" s="826">
        <v>92.929966820000004</v>
      </c>
      <c r="Q30" s="826">
        <v>28.812278004100001</v>
      </c>
      <c r="R30" s="826">
        <v>100</v>
      </c>
      <c r="S30" s="826">
        <v>71.187721995900006</v>
      </c>
      <c r="T30" s="826" t="s">
        <v>3088</v>
      </c>
      <c r="U30" s="826" t="s">
        <v>3088</v>
      </c>
      <c r="V30" s="826" t="s">
        <v>3088</v>
      </c>
    </row>
    <row r="31" spans="1:22">
      <c r="A31" s="826" t="s">
        <v>3120</v>
      </c>
      <c r="B31" s="826" t="s">
        <v>436</v>
      </c>
      <c r="C31" s="826" t="str">
        <f t="shared" si="0"/>
        <v>1999_Norway</v>
      </c>
      <c r="D31" s="826">
        <v>16351.4</v>
      </c>
      <c r="E31" s="826">
        <v>62487.8</v>
      </c>
      <c r="F31" s="826">
        <f t="shared" si="1"/>
        <v>62487800000</v>
      </c>
      <c r="G31" s="826">
        <v>46136.4</v>
      </c>
      <c r="H31" s="826">
        <v>15363.7</v>
      </c>
      <c r="I31" s="826">
        <v>50859.6</v>
      </c>
      <c r="J31" s="826">
        <v>35495.9</v>
      </c>
      <c r="K31" s="826">
        <v>987.7</v>
      </c>
      <c r="L31" s="826">
        <v>11628.2</v>
      </c>
      <c r="M31" s="826">
        <v>10640.5</v>
      </c>
      <c r="N31" s="826">
        <v>26.167347866299998</v>
      </c>
      <c r="O31" s="826">
        <v>100</v>
      </c>
      <c r="P31" s="826">
        <v>73.832652133699995</v>
      </c>
      <c r="Q31" s="826">
        <v>30.208062981200001</v>
      </c>
      <c r="R31" s="826">
        <v>100</v>
      </c>
      <c r="S31" s="826">
        <v>69.791937018799999</v>
      </c>
      <c r="T31" s="826" t="s">
        <v>3088</v>
      </c>
      <c r="U31" s="826" t="s">
        <v>3088</v>
      </c>
      <c r="V31" s="826" t="s">
        <v>3088</v>
      </c>
    </row>
    <row r="32" spans="1:22">
      <c r="A32" s="826" t="s">
        <v>3120</v>
      </c>
      <c r="B32" s="826" t="s">
        <v>449</v>
      </c>
      <c r="C32" s="826" t="str">
        <f t="shared" si="0"/>
        <v>1999_Peru</v>
      </c>
      <c r="D32" s="826">
        <v>1624.38</v>
      </c>
      <c r="E32" s="826">
        <v>7711.9</v>
      </c>
      <c r="F32" s="826">
        <f t="shared" si="1"/>
        <v>7711900000</v>
      </c>
      <c r="G32" s="826">
        <v>6087.52</v>
      </c>
      <c r="H32" s="826">
        <v>2212.04</v>
      </c>
      <c r="I32" s="826">
        <v>8922.52</v>
      </c>
      <c r="J32" s="826">
        <v>6710.48</v>
      </c>
      <c r="K32" s="826">
        <v>-587.66</v>
      </c>
      <c r="L32" s="826">
        <v>-1210.6199999999999</v>
      </c>
      <c r="M32" s="826">
        <v>-622.96</v>
      </c>
      <c r="N32" s="826">
        <v>21.063291795800001</v>
      </c>
      <c r="O32" s="826">
        <v>100</v>
      </c>
      <c r="P32" s="826">
        <v>78.936708204200002</v>
      </c>
      <c r="Q32" s="826">
        <v>24.791650789199998</v>
      </c>
      <c r="R32" s="826">
        <v>100</v>
      </c>
      <c r="S32" s="826">
        <v>75.208349210799994</v>
      </c>
      <c r="T32" s="826" t="s">
        <v>3088</v>
      </c>
      <c r="U32" s="826" t="s">
        <v>3088</v>
      </c>
      <c r="V32" s="826" t="s">
        <v>3088</v>
      </c>
    </row>
    <row r="33" spans="1:22">
      <c r="A33" s="826" t="s">
        <v>3120</v>
      </c>
      <c r="B33" s="826" t="s">
        <v>488</v>
      </c>
      <c r="C33" s="826" t="str">
        <f t="shared" si="0"/>
        <v>1999_Sierra Leone</v>
      </c>
      <c r="D33" s="826">
        <v>22.341999999999999</v>
      </c>
      <c r="E33" s="826">
        <v>28.632000000000001</v>
      </c>
      <c r="F33" s="826">
        <f t="shared" si="1"/>
        <v>28632000</v>
      </c>
      <c r="G33" s="826">
        <v>6.29</v>
      </c>
      <c r="H33" s="826">
        <v>100.91200000000001</v>
      </c>
      <c r="I33" s="826">
        <v>187.708</v>
      </c>
      <c r="J33" s="826">
        <v>86.796000000000006</v>
      </c>
      <c r="K33" s="826">
        <v>-78.569999999999993</v>
      </c>
      <c r="L33" s="826">
        <v>-159.07599999999999</v>
      </c>
      <c r="M33" s="826">
        <v>-80.506</v>
      </c>
      <c r="N33" s="826">
        <v>78.031573065100005</v>
      </c>
      <c r="O33" s="826">
        <v>100</v>
      </c>
      <c r="P33" s="826">
        <v>21.968426934899998</v>
      </c>
      <c r="Q33" s="826">
        <v>53.760095467399999</v>
      </c>
      <c r="R33" s="826">
        <v>100</v>
      </c>
      <c r="S33" s="826">
        <v>46.239904532600001</v>
      </c>
      <c r="T33" s="826" t="s">
        <v>3088</v>
      </c>
      <c r="U33" s="826" t="s">
        <v>3088</v>
      </c>
      <c r="V33" s="826" t="s">
        <v>3088</v>
      </c>
    </row>
    <row r="34" spans="1:22">
      <c r="A34" s="826" t="s">
        <v>3120</v>
      </c>
      <c r="B34" s="826" t="s">
        <v>3090</v>
      </c>
      <c r="C34" s="826" t="str">
        <f t="shared" si="0"/>
        <v>1999_Timor-Leste</v>
      </c>
      <c r="D34" s="826" t="s">
        <v>3121</v>
      </c>
      <c r="E34" s="826" t="s">
        <v>3088</v>
      </c>
      <c r="F34" s="826" t="str">
        <f t="shared" si="1"/>
        <v>..</v>
      </c>
      <c r="G34" s="826" t="s">
        <v>3121</v>
      </c>
      <c r="H34" s="826" t="s">
        <v>3121</v>
      </c>
      <c r="I34" s="826" t="s">
        <v>3121</v>
      </c>
      <c r="J34" s="826" t="s">
        <v>3121</v>
      </c>
      <c r="K34" s="826" t="s">
        <v>3121</v>
      </c>
      <c r="L34" s="826" t="s">
        <v>3121</v>
      </c>
      <c r="M34" s="826" t="s">
        <v>3121</v>
      </c>
      <c r="N34" s="826" t="s">
        <v>3121</v>
      </c>
      <c r="O34" s="826" t="s">
        <v>3121</v>
      </c>
      <c r="P34" s="826" t="s">
        <v>3121</v>
      </c>
      <c r="Q34" s="826" t="s">
        <v>3121</v>
      </c>
      <c r="R34" s="826" t="s">
        <v>3121</v>
      </c>
      <c r="S34" s="826" t="s">
        <v>3121</v>
      </c>
      <c r="T34" s="826" t="s">
        <v>3121</v>
      </c>
      <c r="U34" s="826" t="s">
        <v>3121</v>
      </c>
      <c r="V34" s="826" t="s">
        <v>3121</v>
      </c>
    </row>
    <row r="35" spans="1:22">
      <c r="A35" s="826" t="s">
        <v>3120</v>
      </c>
      <c r="B35" s="826" t="s">
        <v>517</v>
      </c>
      <c r="C35" s="826" t="str">
        <f t="shared" si="0"/>
        <v>1999_Togo</v>
      </c>
      <c r="D35" s="826">
        <v>68.421000000000006</v>
      </c>
      <c r="E35" s="826">
        <v>459.89600000000002</v>
      </c>
      <c r="F35" s="826">
        <f t="shared" si="1"/>
        <v>459896000</v>
      </c>
      <c r="G35" s="826">
        <v>391.47500000000002</v>
      </c>
      <c r="H35" s="826">
        <v>130.583</v>
      </c>
      <c r="I35" s="826">
        <v>620.01</v>
      </c>
      <c r="J35" s="826">
        <v>489.42700000000002</v>
      </c>
      <c r="K35" s="826">
        <v>-62.161999999999999</v>
      </c>
      <c r="L35" s="826">
        <v>-160.114</v>
      </c>
      <c r="M35" s="826">
        <v>-97.951999999999998</v>
      </c>
      <c r="N35" s="826">
        <v>14.8774940421</v>
      </c>
      <c r="O35" s="826">
        <v>100</v>
      </c>
      <c r="P35" s="826">
        <v>85.122505957900003</v>
      </c>
      <c r="Q35" s="826">
        <v>21.061434493</v>
      </c>
      <c r="R35" s="826">
        <v>100</v>
      </c>
      <c r="S35" s="826">
        <v>78.938565507000007</v>
      </c>
      <c r="T35" s="826" t="s">
        <v>3088</v>
      </c>
      <c r="U35" s="826" t="s">
        <v>3088</v>
      </c>
      <c r="V35" s="826" t="s">
        <v>3088</v>
      </c>
    </row>
    <row r="36" spans="1:22">
      <c r="A36" s="826" t="s">
        <v>3120</v>
      </c>
      <c r="B36" s="826" t="s">
        <v>3091</v>
      </c>
      <c r="C36" s="826" t="str">
        <f t="shared" si="0"/>
        <v>1999_Trinidad and Tobago</v>
      </c>
      <c r="D36" s="826">
        <v>603.20000000000005</v>
      </c>
      <c r="E36" s="826">
        <v>3419</v>
      </c>
      <c r="F36" s="826">
        <f t="shared" si="1"/>
        <v>3419000000</v>
      </c>
      <c r="G36" s="826">
        <v>2815.8</v>
      </c>
      <c r="H36" s="826">
        <v>274</v>
      </c>
      <c r="I36" s="826">
        <v>3026.2</v>
      </c>
      <c r="J36" s="826">
        <v>2752.2</v>
      </c>
      <c r="K36" s="826">
        <v>329.2</v>
      </c>
      <c r="L36" s="826">
        <v>392.8</v>
      </c>
      <c r="M36" s="826">
        <v>63.6</v>
      </c>
      <c r="N36" s="826">
        <v>17.642585551300002</v>
      </c>
      <c r="O36" s="826">
        <v>100</v>
      </c>
      <c r="P36" s="826">
        <v>82.357414448699998</v>
      </c>
      <c r="Q36" s="826">
        <v>9.0542594672999996</v>
      </c>
      <c r="R36" s="826">
        <v>100</v>
      </c>
      <c r="S36" s="826">
        <v>90.9457405327</v>
      </c>
      <c r="T36" s="826" t="s">
        <v>3088</v>
      </c>
      <c r="U36" s="826" t="s">
        <v>3088</v>
      </c>
      <c r="V36" s="826" t="s">
        <v>3088</v>
      </c>
    </row>
    <row r="37" spans="1:22">
      <c r="A37" s="826" t="s">
        <v>3120</v>
      </c>
      <c r="B37" s="826" t="s">
        <v>499</v>
      </c>
      <c r="C37" s="826" t="str">
        <f t="shared" si="0"/>
        <v>1999_Tanzania</v>
      </c>
      <c r="D37" s="826">
        <v>600.30100000000004</v>
      </c>
      <c r="E37" s="826">
        <v>1201.8009999999999</v>
      </c>
      <c r="F37" s="826">
        <f t="shared" si="1"/>
        <v>1201801000</v>
      </c>
      <c r="G37" s="826">
        <v>601.5</v>
      </c>
      <c r="H37" s="826">
        <v>795.00099999999998</v>
      </c>
      <c r="I37" s="826">
        <v>2210.4009999999998</v>
      </c>
      <c r="J37" s="826">
        <v>1415.4</v>
      </c>
      <c r="K37" s="826">
        <v>-194.7</v>
      </c>
      <c r="L37" s="826">
        <v>-1008.6</v>
      </c>
      <c r="M37" s="826">
        <v>-813.9</v>
      </c>
      <c r="N37" s="826">
        <v>49.950116533399999</v>
      </c>
      <c r="O37" s="826">
        <v>100</v>
      </c>
      <c r="P37" s="826">
        <v>50.049883466600001</v>
      </c>
      <c r="Q37" s="826">
        <v>35.966369903</v>
      </c>
      <c r="R37" s="826">
        <v>100</v>
      </c>
      <c r="S37" s="826">
        <v>64.033630097</v>
      </c>
      <c r="T37" s="826" t="s">
        <v>3088</v>
      </c>
      <c r="U37" s="826" t="s">
        <v>3088</v>
      </c>
      <c r="V37" s="826" t="s">
        <v>3088</v>
      </c>
    </row>
    <row r="38" spans="1:22">
      <c r="A38" s="826" t="s">
        <v>3120</v>
      </c>
      <c r="B38" s="826" t="s">
        <v>529</v>
      </c>
      <c r="C38" s="826" t="str">
        <f t="shared" si="0"/>
        <v>1999_Yemen</v>
      </c>
      <c r="D38" s="826">
        <v>183.2</v>
      </c>
      <c r="E38" s="826">
        <v>2661.5</v>
      </c>
      <c r="F38" s="826">
        <f t="shared" si="1"/>
        <v>2661500000</v>
      </c>
      <c r="G38" s="826">
        <v>2478.3000000000002</v>
      </c>
      <c r="H38" s="826">
        <v>718.65499999999997</v>
      </c>
      <c r="I38" s="826">
        <v>2839.125</v>
      </c>
      <c r="J38" s="826">
        <v>2120.4699999999998</v>
      </c>
      <c r="K38" s="826">
        <v>-535.45500000000004</v>
      </c>
      <c r="L38" s="826">
        <v>-177.625</v>
      </c>
      <c r="M38" s="826">
        <v>357.83</v>
      </c>
      <c r="N38" s="826">
        <v>6.8833364644000001</v>
      </c>
      <c r="O38" s="826">
        <v>100</v>
      </c>
      <c r="P38" s="826">
        <v>93.116663535599997</v>
      </c>
      <c r="Q38" s="826">
        <v>25.312552282799999</v>
      </c>
      <c r="R38" s="826">
        <v>100</v>
      </c>
      <c r="S38" s="826">
        <v>74.687447717200001</v>
      </c>
      <c r="T38" s="826" t="s">
        <v>3088</v>
      </c>
      <c r="U38" s="826" t="s">
        <v>3088</v>
      </c>
      <c r="V38" s="826" t="s">
        <v>3088</v>
      </c>
    </row>
    <row r="39" spans="1:22">
      <c r="A39" s="826" t="s">
        <v>3120</v>
      </c>
      <c r="B39" s="826" t="s">
        <v>541</v>
      </c>
      <c r="C39" s="826" t="str">
        <f t="shared" si="0"/>
        <v>1999_Zambia</v>
      </c>
      <c r="D39" s="826">
        <v>106.6</v>
      </c>
      <c r="E39" s="826">
        <v>878.6</v>
      </c>
      <c r="F39" s="826">
        <f t="shared" si="1"/>
        <v>878600000</v>
      </c>
      <c r="G39" s="826">
        <v>772</v>
      </c>
      <c r="H39" s="826">
        <v>305.8</v>
      </c>
      <c r="I39" s="826">
        <v>1175.8</v>
      </c>
      <c r="J39" s="826">
        <v>870</v>
      </c>
      <c r="K39" s="826">
        <v>-199.2</v>
      </c>
      <c r="L39" s="826">
        <v>-297.2</v>
      </c>
      <c r="M39" s="826">
        <v>-98</v>
      </c>
      <c r="N39" s="826">
        <v>12.132938766200001</v>
      </c>
      <c r="O39" s="826">
        <v>100</v>
      </c>
      <c r="P39" s="826">
        <v>87.867061233800001</v>
      </c>
      <c r="Q39" s="826">
        <v>26.0078244599</v>
      </c>
      <c r="R39" s="826">
        <v>100</v>
      </c>
      <c r="S39" s="826">
        <v>73.992175540100007</v>
      </c>
      <c r="T39" s="826" t="s">
        <v>3088</v>
      </c>
      <c r="U39" s="826" t="s">
        <v>3088</v>
      </c>
      <c r="V39" s="826" t="s">
        <v>3088</v>
      </c>
    </row>
    <row r="40" spans="1:22">
      <c r="A40" s="826" t="s">
        <v>3122</v>
      </c>
      <c r="B40" s="826" t="s">
        <v>21</v>
      </c>
      <c r="C40" s="826" t="str">
        <f t="shared" si="0"/>
        <v>2000_Afghanistan</v>
      </c>
      <c r="D40" s="826" t="s">
        <v>603</v>
      </c>
      <c r="E40" s="826" t="s">
        <v>3088</v>
      </c>
      <c r="F40" s="826" t="str">
        <f t="shared" si="1"/>
        <v>..</v>
      </c>
      <c r="G40" s="826" t="s">
        <v>603</v>
      </c>
      <c r="H40" s="826" t="s">
        <v>603</v>
      </c>
      <c r="I40" s="826" t="s">
        <v>603</v>
      </c>
      <c r="J40" s="826" t="s">
        <v>603</v>
      </c>
      <c r="K40" s="826" t="s">
        <v>603</v>
      </c>
      <c r="L40" s="826" t="s">
        <v>603</v>
      </c>
      <c r="M40" s="826" t="s">
        <v>603</v>
      </c>
      <c r="N40" s="826" t="s">
        <v>603</v>
      </c>
      <c r="O40" s="826" t="s">
        <v>603</v>
      </c>
      <c r="P40" s="826" t="s">
        <v>603</v>
      </c>
      <c r="Q40" s="826" t="s">
        <v>603</v>
      </c>
      <c r="R40" s="826" t="s">
        <v>603</v>
      </c>
      <c r="S40" s="826" t="s">
        <v>603</v>
      </c>
      <c r="T40" s="826" t="s">
        <v>3088</v>
      </c>
      <c r="U40" s="826" t="s">
        <v>3088</v>
      </c>
      <c r="V40" s="826" t="s">
        <v>3088</v>
      </c>
    </row>
    <row r="41" spans="1:22">
      <c r="A41" s="826" t="s">
        <v>3122</v>
      </c>
      <c r="B41" s="826" t="s">
        <v>38</v>
      </c>
      <c r="C41" s="826" t="str">
        <f t="shared" si="0"/>
        <v>2000_Albania</v>
      </c>
      <c r="D41" s="826">
        <v>447.8</v>
      </c>
      <c r="E41" s="826">
        <v>703.5</v>
      </c>
      <c r="F41" s="826">
        <f t="shared" si="1"/>
        <v>703500000</v>
      </c>
      <c r="G41" s="826">
        <v>255.7</v>
      </c>
      <c r="H41" s="826">
        <v>429.3</v>
      </c>
      <c r="I41" s="826">
        <v>1499.3</v>
      </c>
      <c r="J41" s="826">
        <v>1070</v>
      </c>
      <c r="K41" s="826">
        <v>18.5</v>
      </c>
      <c r="L41" s="826">
        <v>-795.8</v>
      </c>
      <c r="M41" s="826">
        <v>-814.3</v>
      </c>
      <c r="N41" s="826">
        <v>63.653162757600001</v>
      </c>
      <c r="O41" s="826">
        <v>100</v>
      </c>
      <c r="P41" s="826">
        <v>36.346837242399999</v>
      </c>
      <c r="Q41" s="826">
        <v>28.633362235700002</v>
      </c>
      <c r="R41" s="826">
        <v>100</v>
      </c>
      <c r="S41" s="826">
        <v>71.366637764299995</v>
      </c>
      <c r="T41" s="826" t="s">
        <v>3088</v>
      </c>
      <c r="U41" s="826" t="s">
        <v>3088</v>
      </c>
      <c r="V41" s="826" t="s">
        <v>3088</v>
      </c>
    </row>
    <row r="42" spans="1:22">
      <c r="A42" s="826" t="s">
        <v>3122</v>
      </c>
      <c r="B42" s="826" t="s">
        <v>53</v>
      </c>
      <c r="C42" s="826" t="str">
        <f t="shared" si="0"/>
        <v>2000_Azerbaijan</v>
      </c>
      <c r="D42" s="826">
        <v>259.76799999999997</v>
      </c>
      <c r="E42" s="826">
        <v>2118.098</v>
      </c>
      <c r="F42" s="826">
        <f t="shared" si="1"/>
        <v>2118098000</v>
      </c>
      <c r="G42" s="826">
        <v>1858.33</v>
      </c>
      <c r="H42" s="826">
        <v>484.50900000000001</v>
      </c>
      <c r="I42" s="826">
        <v>2023.509</v>
      </c>
      <c r="J42" s="826">
        <v>1539</v>
      </c>
      <c r="K42" s="826">
        <v>-224.74100000000001</v>
      </c>
      <c r="L42" s="826">
        <v>94.588999999999999</v>
      </c>
      <c r="M42" s="826">
        <v>319.33</v>
      </c>
      <c r="N42" s="826">
        <v>12.264210626700001</v>
      </c>
      <c r="O42" s="826">
        <v>100</v>
      </c>
      <c r="P42" s="826">
        <v>87.735789373299994</v>
      </c>
      <c r="Q42" s="826">
        <v>23.9440002491</v>
      </c>
      <c r="R42" s="826">
        <v>100</v>
      </c>
      <c r="S42" s="826">
        <v>76.0559997509</v>
      </c>
      <c r="T42" s="826" t="s">
        <v>3088</v>
      </c>
      <c r="U42" s="826" t="s">
        <v>3088</v>
      </c>
      <c r="V42" s="826" t="s">
        <v>3088</v>
      </c>
    </row>
    <row r="43" spans="1:22">
      <c r="A43" s="826" t="s">
        <v>3122</v>
      </c>
      <c r="B43" s="826" t="s">
        <v>98</v>
      </c>
      <c r="C43" s="826" t="str">
        <f t="shared" si="0"/>
        <v>2000_Burkina Faso</v>
      </c>
      <c r="D43" s="826">
        <v>31.367999999999999</v>
      </c>
      <c r="E43" s="826">
        <v>236.99299999999999</v>
      </c>
      <c r="F43" s="826">
        <f t="shared" si="1"/>
        <v>236993000</v>
      </c>
      <c r="G43" s="826">
        <v>205.625</v>
      </c>
      <c r="H43" s="826">
        <v>139.87299999999999</v>
      </c>
      <c r="I43" s="826">
        <v>657.58699999999999</v>
      </c>
      <c r="J43" s="826">
        <v>517.71400000000006</v>
      </c>
      <c r="K43" s="826">
        <v>-108.505</v>
      </c>
      <c r="L43" s="826">
        <v>-420.59399999999999</v>
      </c>
      <c r="M43" s="826">
        <v>-312.089</v>
      </c>
      <c r="N43" s="826">
        <v>13.2358339698</v>
      </c>
      <c r="O43" s="826">
        <v>100</v>
      </c>
      <c r="P43" s="826">
        <v>86.764166030200002</v>
      </c>
      <c r="Q43" s="826">
        <v>21.270645557200002</v>
      </c>
      <c r="R43" s="826">
        <v>100</v>
      </c>
      <c r="S43" s="826">
        <v>78.729354442800002</v>
      </c>
      <c r="T43" s="826" t="s">
        <v>3088</v>
      </c>
      <c r="U43" s="826" t="s">
        <v>3088</v>
      </c>
      <c r="V43" s="826" t="s">
        <v>3088</v>
      </c>
    </row>
    <row r="44" spans="1:22">
      <c r="A44" s="826" t="s">
        <v>3122</v>
      </c>
      <c r="B44" s="826" t="s">
        <v>3136</v>
      </c>
      <c r="C44" s="826" t="str">
        <f t="shared" si="0"/>
        <v>2000_ Cameroon</v>
      </c>
      <c r="D44" s="826">
        <v>681.85900000000004</v>
      </c>
      <c r="E44" s="826">
        <v>2667.6990000000001</v>
      </c>
      <c r="F44" s="826">
        <f t="shared" si="1"/>
        <v>2667699000</v>
      </c>
      <c r="G44" s="826">
        <v>1985.84</v>
      </c>
      <c r="H44" s="826">
        <v>1017.49</v>
      </c>
      <c r="I44" s="826">
        <v>2501.4299999999998</v>
      </c>
      <c r="J44" s="826">
        <v>1483.94</v>
      </c>
      <c r="K44" s="826">
        <v>-335.63099999999997</v>
      </c>
      <c r="L44" s="826">
        <v>166.26900000000001</v>
      </c>
      <c r="M44" s="826">
        <v>501.9</v>
      </c>
      <c r="N44" s="826">
        <v>25.5598176556</v>
      </c>
      <c r="O44" s="826">
        <v>100</v>
      </c>
      <c r="P44" s="826">
        <v>74.4401823444</v>
      </c>
      <c r="Q44" s="826">
        <v>40.6763331374</v>
      </c>
      <c r="R44" s="826">
        <v>100</v>
      </c>
      <c r="S44" s="826">
        <v>59.3236668626</v>
      </c>
      <c r="T44" s="826" t="s">
        <v>3088</v>
      </c>
      <c r="U44" s="826" t="s">
        <v>3088</v>
      </c>
      <c r="V44" s="826" t="s">
        <v>3088</v>
      </c>
    </row>
    <row r="45" spans="1:22">
      <c r="A45" s="826" t="s">
        <v>3122</v>
      </c>
      <c r="B45" s="826" t="s">
        <v>127</v>
      </c>
      <c r="C45" s="826" t="str">
        <f t="shared" si="0"/>
        <v>2000_Central African Republic</v>
      </c>
      <c r="D45" s="826">
        <v>30.592323329999999</v>
      </c>
      <c r="E45" s="826">
        <v>191.29156033000001</v>
      </c>
      <c r="F45" s="826">
        <f t="shared" si="1"/>
        <v>191291560.33000001</v>
      </c>
      <c r="G45" s="826">
        <v>160.69923700000001</v>
      </c>
      <c r="H45" s="826">
        <v>114.28615571</v>
      </c>
      <c r="I45" s="826">
        <v>231.27043570999999</v>
      </c>
      <c r="J45" s="826">
        <v>116.98428</v>
      </c>
      <c r="K45" s="826">
        <v>-83.693832380000003</v>
      </c>
      <c r="L45" s="826">
        <v>-39.978875379999998</v>
      </c>
      <c r="M45" s="826">
        <v>43.714956999999998</v>
      </c>
      <c r="N45" s="826">
        <v>15.9925107397</v>
      </c>
      <c r="O45" s="826">
        <v>100</v>
      </c>
      <c r="P45" s="826">
        <v>84.007489260300005</v>
      </c>
      <c r="Q45" s="826">
        <v>49.416673324100003</v>
      </c>
      <c r="R45" s="826">
        <v>100</v>
      </c>
      <c r="S45" s="826">
        <v>50.583326675899997</v>
      </c>
      <c r="T45" s="826" t="s">
        <v>3088</v>
      </c>
      <c r="U45" s="826" t="s">
        <v>3088</v>
      </c>
      <c r="V45" s="826" t="s">
        <v>3088</v>
      </c>
    </row>
    <row r="46" spans="1:22">
      <c r="A46" s="826" t="s">
        <v>3122</v>
      </c>
      <c r="B46" s="826" t="s">
        <v>3137</v>
      </c>
      <c r="C46" s="826" t="str">
        <f t="shared" si="0"/>
        <v>2000_ Chad</v>
      </c>
      <c r="D46" s="826">
        <v>51.31071833</v>
      </c>
      <c r="E46" s="826">
        <v>234.17221932999999</v>
      </c>
      <c r="F46" s="826">
        <f t="shared" si="1"/>
        <v>234172219.32999998</v>
      </c>
      <c r="G46" s="826">
        <v>182.861501</v>
      </c>
      <c r="H46" s="826">
        <v>241.32274121</v>
      </c>
      <c r="I46" s="826">
        <v>480.71704620999998</v>
      </c>
      <c r="J46" s="826">
        <v>239.394305</v>
      </c>
      <c r="K46" s="826">
        <v>-190.01202287999999</v>
      </c>
      <c r="L46" s="826">
        <v>-246.54482687999999</v>
      </c>
      <c r="M46" s="826">
        <v>-56.532803999999999</v>
      </c>
      <c r="N46" s="826">
        <v>21.911530956499998</v>
      </c>
      <c r="O46" s="826">
        <v>100</v>
      </c>
      <c r="P46" s="826">
        <v>78.088469043499998</v>
      </c>
      <c r="Q46" s="826">
        <v>50.2005791375</v>
      </c>
      <c r="R46" s="826">
        <v>100</v>
      </c>
      <c r="S46" s="826">
        <v>49.7994208625</v>
      </c>
      <c r="T46" s="826" t="s">
        <v>3088</v>
      </c>
      <c r="U46" s="826" t="s">
        <v>3088</v>
      </c>
      <c r="V46" s="826" t="s">
        <v>3088</v>
      </c>
    </row>
    <row r="47" spans="1:22">
      <c r="A47" s="826" t="s">
        <v>3122</v>
      </c>
      <c r="B47" s="826" t="s">
        <v>465</v>
      </c>
      <c r="C47" s="826" t="str">
        <f t="shared" si="0"/>
        <v>2000_Republic of the Congo</v>
      </c>
      <c r="D47" s="826">
        <v>136.512</v>
      </c>
      <c r="E47" s="826">
        <v>2628.3020000000001</v>
      </c>
      <c r="F47" s="826">
        <f t="shared" si="1"/>
        <v>2628302000</v>
      </c>
      <c r="G47" s="826">
        <v>2491.79</v>
      </c>
      <c r="H47" s="826">
        <v>738.33399999999995</v>
      </c>
      <c r="I47" s="826">
        <v>1193.6099999999999</v>
      </c>
      <c r="J47" s="826">
        <v>455.27600000000001</v>
      </c>
      <c r="K47" s="826">
        <v>-601.822</v>
      </c>
      <c r="L47" s="826">
        <v>1434.692</v>
      </c>
      <c r="M47" s="826">
        <v>2036.5139999999999</v>
      </c>
      <c r="N47" s="826">
        <v>5.1939236815000003</v>
      </c>
      <c r="O47" s="826">
        <v>100</v>
      </c>
      <c r="P47" s="826">
        <v>94.806076318500004</v>
      </c>
      <c r="Q47" s="826">
        <v>61.857223046100003</v>
      </c>
      <c r="R47" s="826">
        <v>100</v>
      </c>
      <c r="S47" s="826">
        <v>38.142776953899997</v>
      </c>
      <c r="T47" s="826" t="s">
        <v>3088</v>
      </c>
      <c r="U47" s="826" t="s">
        <v>3088</v>
      </c>
      <c r="V47" s="826" t="s">
        <v>3088</v>
      </c>
    </row>
    <row r="48" spans="1:22">
      <c r="A48" s="826" t="s">
        <v>3122</v>
      </c>
      <c r="B48" s="826" t="s">
        <v>171</v>
      </c>
      <c r="C48" s="826" t="str">
        <f t="shared" si="0"/>
        <v>2000_Democratic Republic of Congo</v>
      </c>
      <c r="D48" s="826">
        <v>62.108157650000003</v>
      </c>
      <c r="E48" s="826">
        <v>868.74427130000004</v>
      </c>
      <c r="F48" s="826">
        <f t="shared" si="1"/>
        <v>868744271.30000007</v>
      </c>
      <c r="G48" s="826">
        <v>806.63611364999997</v>
      </c>
      <c r="H48" s="826">
        <v>214.94042163</v>
      </c>
      <c r="I48" s="826">
        <v>897.74518789000001</v>
      </c>
      <c r="J48" s="826">
        <v>682.80476625999995</v>
      </c>
      <c r="K48" s="826">
        <v>-152.83226397999999</v>
      </c>
      <c r="L48" s="826">
        <v>-29.000916589999999</v>
      </c>
      <c r="M48" s="826">
        <v>123.83134739</v>
      </c>
      <c r="N48" s="826">
        <v>7.1491875919999996</v>
      </c>
      <c r="O48" s="826">
        <v>100</v>
      </c>
      <c r="P48" s="826">
        <v>92.850812407999996</v>
      </c>
      <c r="Q48" s="826">
        <v>23.942252715999999</v>
      </c>
      <c r="R48" s="826">
        <v>100</v>
      </c>
      <c r="S48" s="826">
        <v>76.057747284000001</v>
      </c>
      <c r="T48" s="826" t="s">
        <v>3088</v>
      </c>
      <c r="U48" s="826" t="s">
        <v>3088</v>
      </c>
      <c r="V48" s="826" t="s">
        <v>3088</v>
      </c>
    </row>
    <row r="49" spans="1:22">
      <c r="A49" s="826" t="s">
        <v>3122</v>
      </c>
      <c r="B49" s="826" t="s">
        <v>3138</v>
      </c>
      <c r="C49" s="826" t="str">
        <f t="shared" si="0"/>
        <v>2000_ Equatorial Guinea</v>
      </c>
      <c r="D49" s="826">
        <v>9.3753159999999998</v>
      </c>
      <c r="E49" s="826">
        <v>1257.511489</v>
      </c>
      <c r="F49" s="826">
        <f t="shared" si="1"/>
        <v>1257511489</v>
      </c>
      <c r="G49" s="826">
        <v>1248.1361730000001</v>
      </c>
      <c r="H49" s="826">
        <v>551.63938099999996</v>
      </c>
      <c r="I49" s="826">
        <v>1011.036889</v>
      </c>
      <c r="J49" s="826">
        <v>459.39750800000002</v>
      </c>
      <c r="K49" s="826">
        <v>-542.26406499999996</v>
      </c>
      <c r="L49" s="826">
        <v>246.47460000000001</v>
      </c>
      <c r="M49" s="826">
        <v>788.73866499999997</v>
      </c>
      <c r="N49" s="826">
        <v>0.74554515659999998</v>
      </c>
      <c r="O49" s="826">
        <v>100</v>
      </c>
      <c r="P49" s="826">
        <v>99.254454843399998</v>
      </c>
      <c r="Q49" s="826">
        <v>54.561746163899997</v>
      </c>
      <c r="R49" s="826">
        <v>100</v>
      </c>
      <c r="S49" s="826">
        <v>45.438253836100003</v>
      </c>
      <c r="T49" s="826" t="s">
        <v>3088</v>
      </c>
      <c r="U49" s="826" t="s">
        <v>3088</v>
      </c>
      <c r="V49" s="826" t="s">
        <v>3088</v>
      </c>
    </row>
    <row r="50" spans="1:22">
      <c r="A50" s="826" t="s">
        <v>3122</v>
      </c>
      <c r="B50" s="826" t="s">
        <v>3139</v>
      </c>
      <c r="C50" s="826" t="str">
        <f t="shared" si="0"/>
        <v>2000_ Gabon</v>
      </c>
      <c r="D50" s="826">
        <v>177.83</v>
      </c>
      <c r="E50" s="826">
        <v>3498.46</v>
      </c>
      <c r="F50" s="826">
        <f t="shared" si="1"/>
        <v>3498460000</v>
      </c>
      <c r="G50" s="826">
        <v>3320.63</v>
      </c>
      <c r="H50" s="826">
        <v>857.59900000000005</v>
      </c>
      <c r="I50" s="826">
        <v>1655.6590000000001</v>
      </c>
      <c r="J50" s="826">
        <v>798.06</v>
      </c>
      <c r="K50" s="826">
        <v>-679.76900000000001</v>
      </c>
      <c r="L50" s="826">
        <v>1842.8009999999999</v>
      </c>
      <c r="M50" s="826">
        <v>2522.5700000000002</v>
      </c>
      <c r="N50" s="826">
        <v>5.0830937041000004</v>
      </c>
      <c r="O50" s="826">
        <v>100</v>
      </c>
      <c r="P50" s="826">
        <v>94.916906295900006</v>
      </c>
      <c r="Q50" s="826">
        <v>51.798045370499999</v>
      </c>
      <c r="R50" s="826">
        <v>100</v>
      </c>
      <c r="S50" s="826">
        <v>48.201954629500001</v>
      </c>
      <c r="T50" s="826" t="s">
        <v>3088</v>
      </c>
      <c r="U50" s="826" t="s">
        <v>3088</v>
      </c>
      <c r="V50" s="826" t="s">
        <v>3088</v>
      </c>
    </row>
    <row r="51" spans="1:22">
      <c r="A51" s="826" t="s">
        <v>3122</v>
      </c>
      <c r="B51" s="826" t="s">
        <v>195</v>
      </c>
      <c r="C51" s="826" t="str">
        <f t="shared" si="0"/>
        <v>2000_Ghana</v>
      </c>
      <c r="D51" s="826">
        <v>504.27300000000002</v>
      </c>
      <c r="E51" s="826">
        <v>2440.5929999999998</v>
      </c>
      <c r="F51" s="826">
        <f t="shared" si="1"/>
        <v>2440593000</v>
      </c>
      <c r="G51" s="826">
        <v>1936.32</v>
      </c>
      <c r="H51" s="826">
        <v>583.66300000000001</v>
      </c>
      <c r="I51" s="826">
        <v>3350.223</v>
      </c>
      <c r="J51" s="826">
        <v>2766.56</v>
      </c>
      <c r="K51" s="826">
        <v>-79.39</v>
      </c>
      <c r="L51" s="826">
        <v>-909.63</v>
      </c>
      <c r="M51" s="826">
        <v>-830.24</v>
      </c>
      <c r="N51" s="826">
        <v>20.661904709200002</v>
      </c>
      <c r="O51" s="826">
        <v>100</v>
      </c>
      <c r="P51" s="826">
        <v>79.338095290799998</v>
      </c>
      <c r="Q51" s="826">
        <v>17.421616411799999</v>
      </c>
      <c r="R51" s="826">
        <v>100</v>
      </c>
      <c r="S51" s="826">
        <v>82.578383588199998</v>
      </c>
      <c r="T51" s="826" t="s">
        <v>3088</v>
      </c>
      <c r="U51" s="826" t="s">
        <v>3088</v>
      </c>
      <c r="V51" s="826" t="s">
        <v>3088</v>
      </c>
    </row>
    <row r="52" spans="1:22">
      <c r="A52" s="826" t="s">
        <v>3122</v>
      </c>
      <c r="B52" s="826" t="s">
        <v>219</v>
      </c>
      <c r="C52" s="826" t="str">
        <f t="shared" si="0"/>
        <v>2000_Guatemala</v>
      </c>
      <c r="D52" s="826">
        <v>777</v>
      </c>
      <c r="E52" s="826">
        <v>3862.1</v>
      </c>
      <c r="F52" s="826">
        <f t="shared" si="1"/>
        <v>3862100000</v>
      </c>
      <c r="G52" s="826">
        <v>3085.1</v>
      </c>
      <c r="H52" s="826">
        <v>825.4</v>
      </c>
      <c r="I52" s="826">
        <v>5567.4</v>
      </c>
      <c r="J52" s="826">
        <v>4742</v>
      </c>
      <c r="K52" s="826">
        <v>-48.4</v>
      </c>
      <c r="L52" s="826">
        <v>-1705.3</v>
      </c>
      <c r="M52" s="826">
        <v>-1656.9</v>
      </c>
      <c r="N52" s="826">
        <v>20.118588332800002</v>
      </c>
      <c r="O52" s="826">
        <v>100</v>
      </c>
      <c r="P52" s="826">
        <v>79.881411667199998</v>
      </c>
      <c r="Q52" s="826">
        <v>14.825591838199999</v>
      </c>
      <c r="R52" s="826">
        <v>100</v>
      </c>
      <c r="S52" s="826">
        <v>85.174408161800002</v>
      </c>
      <c r="T52" s="826" t="s">
        <v>3088</v>
      </c>
      <c r="U52" s="826" t="s">
        <v>3088</v>
      </c>
      <c r="V52" s="826" t="s">
        <v>3088</v>
      </c>
    </row>
    <row r="53" spans="1:22">
      <c r="A53" s="826" t="s">
        <v>3122</v>
      </c>
      <c r="B53" s="826" t="s">
        <v>3140</v>
      </c>
      <c r="C53" s="826" t="str">
        <f t="shared" si="0"/>
        <v>2000_ Guinea</v>
      </c>
      <c r="D53" s="826">
        <v>67.963999999999999</v>
      </c>
      <c r="E53" s="826">
        <v>734.30399999999997</v>
      </c>
      <c r="F53" s="826">
        <f t="shared" si="1"/>
        <v>734304000</v>
      </c>
      <c r="G53" s="826">
        <v>666.34</v>
      </c>
      <c r="H53" s="826">
        <v>284.91000000000003</v>
      </c>
      <c r="I53" s="826">
        <v>871.97</v>
      </c>
      <c r="J53" s="826">
        <v>587.05999999999995</v>
      </c>
      <c r="K53" s="826">
        <v>-216.946</v>
      </c>
      <c r="L53" s="826">
        <v>-137.666</v>
      </c>
      <c r="M53" s="826">
        <v>79.28</v>
      </c>
      <c r="N53" s="826">
        <v>9.2555671764999996</v>
      </c>
      <c r="O53" s="826">
        <v>100</v>
      </c>
      <c r="P53" s="826">
        <v>90.744432823500006</v>
      </c>
      <c r="Q53" s="826">
        <v>32.6742892531</v>
      </c>
      <c r="R53" s="826">
        <v>100</v>
      </c>
      <c r="S53" s="826">
        <v>67.3257107469</v>
      </c>
      <c r="T53" s="826" t="s">
        <v>3088</v>
      </c>
      <c r="U53" s="826" t="s">
        <v>3088</v>
      </c>
      <c r="V53" s="826" t="s">
        <v>3088</v>
      </c>
    </row>
    <row r="54" spans="1:22">
      <c r="A54" s="826" t="s">
        <v>3122</v>
      </c>
      <c r="B54" s="826" t="s">
        <v>243</v>
      </c>
      <c r="C54" s="826" t="str">
        <f t="shared" si="0"/>
        <v>2000_Indonesia</v>
      </c>
      <c r="D54" s="826" t="s">
        <v>3121</v>
      </c>
      <c r="E54" s="826" t="s">
        <v>3088</v>
      </c>
      <c r="F54" s="826" t="str">
        <f t="shared" si="1"/>
        <v>..</v>
      </c>
      <c r="G54" s="826" t="s">
        <v>3121</v>
      </c>
      <c r="H54" s="826" t="s">
        <v>3121</v>
      </c>
      <c r="I54" s="826" t="s">
        <v>3121</v>
      </c>
      <c r="J54" s="826" t="s">
        <v>3121</v>
      </c>
      <c r="K54" s="826" t="s">
        <v>3121</v>
      </c>
      <c r="L54" s="826" t="s">
        <v>3121</v>
      </c>
      <c r="M54" s="826" t="s">
        <v>3121</v>
      </c>
      <c r="N54" s="826" t="s">
        <v>3121</v>
      </c>
      <c r="O54" s="826" t="s">
        <v>3121</v>
      </c>
      <c r="P54" s="826" t="s">
        <v>3121</v>
      </c>
      <c r="Q54" s="826" t="s">
        <v>3121</v>
      </c>
      <c r="R54" s="826" t="s">
        <v>3121</v>
      </c>
      <c r="S54" s="826" t="s">
        <v>3121</v>
      </c>
      <c r="T54" s="826" t="s">
        <v>3121</v>
      </c>
      <c r="U54" s="826" t="s">
        <v>3121</v>
      </c>
      <c r="V54" s="826" t="s">
        <v>3121</v>
      </c>
    </row>
    <row r="55" spans="1:22">
      <c r="A55" s="826" t="s">
        <v>3122</v>
      </c>
      <c r="B55" s="826" t="s">
        <v>251</v>
      </c>
      <c r="C55" s="826" t="str">
        <f t="shared" si="0"/>
        <v>2000_Iraq</v>
      </c>
      <c r="D55" s="826" t="s">
        <v>603</v>
      </c>
      <c r="E55" s="826" t="s">
        <v>3088</v>
      </c>
      <c r="F55" s="826" t="str">
        <f t="shared" si="1"/>
        <v>..</v>
      </c>
      <c r="G55" s="826">
        <v>18742.599999999999</v>
      </c>
      <c r="H55" s="826" t="s">
        <v>603</v>
      </c>
      <c r="I55" s="826" t="s">
        <v>603</v>
      </c>
      <c r="J55" s="826">
        <v>11008.6</v>
      </c>
      <c r="K55" s="826" t="s">
        <v>603</v>
      </c>
      <c r="L55" s="826" t="s">
        <v>603</v>
      </c>
      <c r="M55" s="826">
        <v>7734</v>
      </c>
      <c r="N55" s="826" t="s">
        <v>603</v>
      </c>
      <c r="O55" s="826" t="s">
        <v>603</v>
      </c>
      <c r="P55" s="826">
        <v>99.233351334800005</v>
      </c>
      <c r="Q55" s="826" t="s">
        <v>603</v>
      </c>
      <c r="R55" s="826" t="s">
        <v>603</v>
      </c>
      <c r="S55" s="826">
        <v>85.439319502999993</v>
      </c>
      <c r="T55" s="826" t="s">
        <v>3088</v>
      </c>
      <c r="U55" s="826" t="s">
        <v>3088</v>
      </c>
      <c r="V55" s="826" t="s">
        <v>3088</v>
      </c>
    </row>
    <row r="56" spans="1:22">
      <c r="A56" s="826" t="s">
        <v>3122</v>
      </c>
      <c r="B56" s="826" t="s">
        <v>280</v>
      </c>
      <c r="C56" s="826" t="str">
        <f t="shared" si="0"/>
        <v>2000_Kazakhstan</v>
      </c>
      <c r="D56" s="826">
        <v>1053</v>
      </c>
      <c r="E56" s="826">
        <v>10341.1</v>
      </c>
      <c r="F56" s="826">
        <f t="shared" si="1"/>
        <v>10341100000</v>
      </c>
      <c r="G56" s="826">
        <v>9288.1</v>
      </c>
      <c r="H56" s="826">
        <v>1850.03</v>
      </c>
      <c r="I56" s="826">
        <v>8969.76</v>
      </c>
      <c r="J56" s="826">
        <v>7119.73</v>
      </c>
      <c r="K56" s="826">
        <v>-797.03</v>
      </c>
      <c r="L56" s="826">
        <v>1371.34</v>
      </c>
      <c r="M56" s="826">
        <v>2168.37</v>
      </c>
      <c r="N56" s="826">
        <v>10.182669155099999</v>
      </c>
      <c r="O56" s="826">
        <v>100</v>
      </c>
      <c r="P56" s="826">
        <v>89.817330844899999</v>
      </c>
      <c r="Q56" s="826">
        <v>20.625189525700002</v>
      </c>
      <c r="R56" s="826">
        <v>100</v>
      </c>
      <c r="S56" s="826">
        <v>79.374810474300006</v>
      </c>
      <c r="T56" s="826" t="s">
        <v>3088</v>
      </c>
      <c r="U56" s="826" t="s">
        <v>3088</v>
      </c>
      <c r="V56" s="826" t="s">
        <v>3088</v>
      </c>
    </row>
    <row r="57" spans="1:22">
      <c r="A57" s="826" t="s">
        <v>3122</v>
      </c>
      <c r="B57" s="826" t="s">
        <v>3141</v>
      </c>
      <c r="C57" s="826" t="str">
        <f t="shared" si="0"/>
        <v>2000_Kyrgyzstan</v>
      </c>
      <c r="D57" s="826">
        <v>62.037999999999997</v>
      </c>
      <c r="E57" s="826">
        <v>572.96</v>
      </c>
      <c r="F57" s="826">
        <f t="shared" si="1"/>
        <v>572960000</v>
      </c>
      <c r="G57" s="826">
        <v>510.92200000000003</v>
      </c>
      <c r="H57" s="826">
        <v>148.17599999999999</v>
      </c>
      <c r="I57" s="826">
        <v>654.39200000000005</v>
      </c>
      <c r="J57" s="826">
        <v>506.21600000000001</v>
      </c>
      <c r="K57" s="826">
        <v>-86.138000000000005</v>
      </c>
      <c r="L57" s="826">
        <v>-81.432000000000002</v>
      </c>
      <c r="M57" s="826">
        <v>4.7060000000000004</v>
      </c>
      <c r="N57" s="826">
        <v>10.8276319464</v>
      </c>
      <c r="O57" s="826">
        <v>100</v>
      </c>
      <c r="P57" s="826">
        <v>89.172368053599996</v>
      </c>
      <c r="Q57" s="826">
        <v>22.643308597899999</v>
      </c>
      <c r="R57" s="826">
        <v>100</v>
      </c>
      <c r="S57" s="826">
        <v>77.356691402099997</v>
      </c>
      <c r="T57" s="826" t="s">
        <v>3088</v>
      </c>
      <c r="U57" s="826" t="s">
        <v>3088</v>
      </c>
      <c r="V57" s="826" t="s">
        <v>3088</v>
      </c>
    </row>
    <row r="58" spans="1:22">
      <c r="A58" s="826" t="s">
        <v>3122</v>
      </c>
      <c r="B58" s="826" t="s">
        <v>301</v>
      </c>
      <c r="C58" s="826" t="str">
        <f t="shared" si="0"/>
        <v>2000_Liberia</v>
      </c>
      <c r="D58" s="826" t="s">
        <v>603</v>
      </c>
      <c r="E58" s="826" t="s">
        <v>3088</v>
      </c>
      <c r="F58" s="826" t="str">
        <f t="shared" si="1"/>
        <v>..</v>
      </c>
      <c r="G58" s="826" t="s">
        <v>603</v>
      </c>
      <c r="H58" s="826" t="s">
        <v>603</v>
      </c>
      <c r="I58" s="826" t="s">
        <v>603</v>
      </c>
      <c r="J58" s="826">
        <v>146</v>
      </c>
      <c r="K58" s="826" t="s">
        <v>603</v>
      </c>
      <c r="L58" s="826" t="s">
        <v>603</v>
      </c>
      <c r="M58" s="826" t="s">
        <v>603</v>
      </c>
      <c r="N58" s="826" t="s">
        <v>603</v>
      </c>
      <c r="O58" s="826" t="s">
        <v>603</v>
      </c>
      <c r="P58" s="826" t="s">
        <v>603</v>
      </c>
      <c r="Q58" s="826" t="s">
        <v>603</v>
      </c>
      <c r="R58" s="826" t="s">
        <v>603</v>
      </c>
      <c r="S58" s="826">
        <v>52.816477434100001</v>
      </c>
      <c r="T58" s="826" t="s">
        <v>3088</v>
      </c>
      <c r="U58" s="826" t="s">
        <v>3088</v>
      </c>
      <c r="V58" s="826" t="s">
        <v>3088</v>
      </c>
    </row>
    <row r="59" spans="1:22">
      <c r="A59" s="826" t="s">
        <v>3122</v>
      </c>
      <c r="B59" s="826" t="s">
        <v>316</v>
      </c>
      <c r="C59" s="826" t="str">
        <f t="shared" si="0"/>
        <v>2000_Madagascar</v>
      </c>
      <c r="D59" s="826">
        <v>364.09399999999999</v>
      </c>
      <c r="E59" s="826">
        <v>1187.836</v>
      </c>
      <c r="F59" s="826">
        <f t="shared" si="1"/>
        <v>1187836000</v>
      </c>
      <c r="G59" s="826">
        <v>823.74199999999996</v>
      </c>
      <c r="H59" s="826">
        <v>522.06100000000004</v>
      </c>
      <c r="I59" s="826">
        <v>1519.5119999999999</v>
      </c>
      <c r="J59" s="826">
        <v>997.45100000000002</v>
      </c>
      <c r="K59" s="826">
        <v>-157.96700000000001</v>
      </c>
      <c r="L59" s="826">
        <v>-331.67599999999999</v>
      </c>
      <c r="M59" s="826">
        <v>-173.709</v>
      </c>
      <c r="N59" s="826">
        <v>30.651874501199998</v>
      </c>
      <c r="O59" s="826">
        <v>100</v>
      </c>
      <c r="P59" s="826">
        <v>69.348125498800002</v>
      </c>
      <c r="Q59" s="826">
        <v>34.357148874099998</v>
      </c>
      <c r="R59" s="826">
        <v>100</v>
      </c>
      <c r="S59" s="826">
        <v>65.642851125899995</v>
      </c>
      <c r="T59" s="826" t="s">
        <v>3088</v>
      </c>
      <c r="U59" s="826" t="s">
        <v>3088</v>
      </c>
      <c r="V59" s="826" t="s">
        <v>3088</v>
      </c>
    </row>
    <row r="60" spans="1:22">
      <c r="A60" s="826" t="s">
        <v>3122</v>
      </c>
      <c r="B60" s="826" t="s">
        <v>329</v>
      </c>
      <c r="C60" s="826" t="str">
        <f t="shared" si="0"/>
        <v>2000_Mali</v>
      </c>
      <c r="D60" s="826">
        <v>99.043000000000006</v>
      </c>
      <c r="E60" s="826">
        <v>644.18799999999999</v>
      </c>
      <c r="F60" s="826">
        <f t="shared" si="1"/>
        <v>644188000</v>
      </c>
      <c r="G60" s="826">
        <v>545.14499999999998</v>
      </c>
      <c r="H60" s="826">
        <v>334.87200000000001</v>
      </c>
      <c r="I60" s="826">
        <v>926.94100000000003</v>
      </c>
      <c r="J60" s="826">
        <v>592.06899999999996</v>
      </c>
      <c r="K60" s="826">
        <v>-235.82900000000001</v>
      </c>
      <c r="L60" s="826">
        <v>-282.75299999999999</v>
      </c>
      <c r="M60" s="826">
        <v>-46.923999999999999</v>
      </c>
      <c r="N60" s="826">
        <v>15.374859513100001</v>
      </c>
      <c r="O60" s="826">
        <v>100</v>
      </c>
      <c r="P60" s="826">
        <v>84.625140486899994</v>
      </c>
      <c r="Q60" s="826">
        <v>36.126571162600001</v>
      </c>
      <c r="R60" s="826">
        <v>100</v>
      </c>
      <c r="S60" s="826">
        <v>63.873428837399999</v>
      </c>
      <c r="T60" s="826" t="s">
        <v>3088</v>
      </c>
      <c r="U60" s="826" t="s">
        <v>3088</v>
      </c>
      <c r="V60" s="826" t="s">
        <v>3088</v>
      </c>
    </row>
    <row r="61" spans="1:22">
      <c r="A61" s="826" t="s">
        <v>3122</v>
      </c>
      <c r="B61" s="826" t="s">
        <v>345</v>
      </c>
      <c r="C61" s="826" t="str">
        <f t="shared" si="0"/>
        <v>2000_Mauritania</v>
      </c>
      <c r="D61" s="826">
        <v>46.907028539999999</v>
      </c>
      <c r="E61" s="826">
        <v>401.40702854</v>
      </c>
      <c r="F61" s="826">
        <f t="shared" si="1"/>
        <v>401407028.54000002</v>
      </c>
      <c r="G61" s="826">
        <v>354.5</v>
      </c>
      <c r="H61" s="826">
        <v>148.91878764000001</v>
      </c>
      <c r="I61" s="826">
        <v>603.11878764000005</v>
      </c>
      <c r="J61" s="826">
        <v>454.2</v>
      </c>
      <c r="K61" s="826">
        <v>-102.01175910000001</v>
      </c>
      <c r="L61" s="826">
        <v>-201.71175909999999</v>
      </c>
      <c r="M61" s="826">
        <v>-99.7</v>
      </c>
      <c r="N61" s="826">
        <v>11.685652020199999</v>
      </c>
      <c r="O61" s="826">
        <v>100</v>
      </c>
      <c r="P61" s="826">
        <v>88.314347979800004</v>
      </c>
      <c r="Q61" s="826">
        <v>24.691452279699998</v>
      </c>
      <c r="R61" s="826">
        <v>100</v>
      </c>
      <c r="S61" s="826">
        <v>75.308547720299998</v>
      </c>
      <c r="T61" s="826" t="s">
        <v>3088</v>
      </c>
      <c r="U61" s="826" t="s">
        <v>3088</v>
      </c>
      <c r="V61" s="826" t="s">
        <v>3088</v>
      </c>
    </row>
    <row r="62" spans="1:22">
      <c r="A62" s="826" t="s">
        <v>3122</v>
      </c>
      <c r="B62" s="826" t="s">
        <v>364</v>
      </c>
      <c r="C62" s="826" t="str">
        <f t="shared" si="0"/>
        <v>2000_Mongolia</v>
      </c>
      <c r="D62" s="826">
        <v>77.7</v>
      </c>
      <c r="E62" s="826">
        <v>613.5</v>
      </c>
      <c r="F62" s="826">
        <f t="shared" si="1"/>
        <v>613500000</v>
      </c>
      <c r="G62" s="826">
        <v>535.79999999999995</v>
      </c>
      <c r="H62" s="826">
        <v>162.80000000000001</v>
      </c>
      <c r="I62" s="826">
        <v>771.2</v>
      </c>
      <c r="J62" s="826">
        <v>608.4</v>
      </c>
      <c r="K62" s="826">
        <v>-85.1</v>
      </c>
      <c r="L62" s="826">
        <v>-157.69999999999999</v>
      </c>
      <c r="M62" s="826">
        <v>-72.599999999999994</v>
      </c>
      <c r="N62" s="826">
        <v>12.6650366748</v>
      </c>
      <c r="O62" s="826">
        <v>100</v>
      </c>
      <c r="P62" s="826">
        <v>87.334963325199993</v>
      </c>
      <c r="Q62" s="826">
        <v>21.109958506200002</v>
      </c>
      <c r="R62" s="826">
        <v>100</v>
      </c>
      <c r="S62" s="826">
        <v>78.890041493799998</v>
      </c>
      <c r="T62" s="826" t="s">
        <v>3088</v>
      </c>
      <c r="U62" s="826" t="s">
        <v>3088</v>
      </c>
      <c r="V62" s="826" t="s">
        <v>3088</v>
      </c>
    </row>
    <row r="63" spans="1:22">
      <c r="A63" s="826" t="s">
        <v>3122</v>
      </c>
      <c r="B63" s="826" t="s">
        <v>385</v>
      </c>
      <c r="C63" s="826" t="str">
        <f t="shared" si="0"/>
        <v>2000_Mozambique</v>
      </c>
      <c r="D63" s="826">
        <v>325.39999999999998</v>
      </c>
      <c r="E63" s="826">
        <v>689.4</v>
      </c>
      <c r="F63" s="826">
        <f t="shared" si="1"/>
        <v>689400000</v>
      </c>
      <c r="G63" s="826">
        <v>364</v>
      </c>
      <c r="H63" s="826">
        <v>445.8</v>
      </c>
      <c r="I63" s="826">
        <v>1491.8</v>
      </c>
      <c r="J63" s="826">
        <v>1046</v>
      </c>
      <c r="K63" s="826">
        <v>-120.4</v>
      </c>
      <c r="L63" s="826">
        <v>-802.4</v>
      </c>
      <c r="M63" s="826">
        <v>-682</v>
      </c>
      <c r="N63" s="826">
        <v>47.200464171699998</v>
      </c>
      <c r="O63" s="826">
        <v>100</v>
      </c>
      <c r="P63" s="826">
        <v>52.799535828300002</v>
      </c>
      <c r="Q63" s="826">
        <v>29.883362381000001</v>
      </c>
      <c r="R63" s="826">
        <v>100</v>
      </c>
      <c r="S63" s="826">
        <v>70.116637619000002</v>
      </c>
      <c r="T63" s="826" t="s">
        <v>3088</v>
      </c>
      <c r="U63" s="826" t="s">
        <v>3088</v>
      </c>
      <c r="V63" s="826" t="s">
        <v>3088</v>
      </c>
    </row>
    <row r="64" spans="1:22">
      <c r="A64" s="826" t="s">
        <v>3122</v>
      </c>
      <c r="B64" s="826" t="s">
        <v>394</v>
      </c>
      <c r="C64" s="826" t="str">
        <f t="shared" si="0"/>
        <v>2000_Niger</v>
      </c>
      <c r="D64" s="826">
        <v>37.521999999999998</v>
      </c>
      <c r="E64" s="826">
        <v>320.61399999999998</v>
      </c>
      <c r="F64" s="826">
        <f t="shared" si="1"/>
        <v>320614000</v>
      </c>
      <c r="G64" s="826">
        <v>283.09199999999998</v>
      </c>
      <c r="H64" s="826">
        <v>131.88800000000001</v>
      </c>
      <c r="I64" s="826">
        <v>455.54500000000002</v>
      </c>
      <c r="J64" s="826">
        <v>323.65699999999998</v>
      </c>
      <c r="K64" s="826">
        <v>-94.366</v>
      </c>
      <c r="L64" s="826">
        <v>-134.93100000000001</v>
      </c>
      <c r="M64" s="826">
        <v>-40.564999999999998</v>
      </c>
      <c r="N64" s="826">
        <v>11.7031695434</v>
      </c>
      <c r="O64" s="826">
        <v>100</v>
      </c>
      <c r="P64" s="826">
        <v>88.296830456600006</v>
      </c>
      <c r="Q64" s="826">
        <v>28.951695222200001</v>
      </c>
      <c r="R64" s="826">
        <v>100</v>
      </c>
      <c r="S64" s="826">
        <v>71.048304777799999</v>
      </c>
      <c r="T64" s="826" t="s">
        <v>3088</v>
      </c>
      <c r="U64" s="826" t="s">
        <v>3088</v>
      </c>
      <c r="V64" s="826" t="s">
        <v>3088</v>
      </c>
    </row>
    <row r="65" spans="1:22">
      <c r="A65" s="826" t="s">
        <v>3122</v>
      </c>
      <c r="B65" s="826" t="s">
        <v>413</v>
      </c>
      <c r="C65" s="826" t="str">
        <f t="shared" si="0"/>
        <v>2000_Nigeria</v>
      </c>
      <c r="D65" s="826">
        <v>1832.9</v>
      </c>
      <c r="E65" s="826">
        <v>20964.900000000001</v>
      </c>
      <c r="F65" s="826">
        <f t="shared" si="1"/>
        <v>20964900000</v>
      </c>
      <c r="G65" s="826">
        <v>19132</v>
      </c>
      <c r="H65" s="826">
        <v>3300.18</v>
      </c>
      <c r="I65" s="826">
        <v>12017.19</v>
      </c>
      <c r="J65" s="826">
        <v>8717.01</v>
      </c>
      <c r="K65" s="826">
        <v>-1467.28</v>
      </c>
      <c r="L65" s="826">
        <v>8947.7099999999991</v>
      </c>
      <c r="M65" s="826">
        <v>10414.99</v>
      </c>
      <c r="N65" s="826">
        <v>8.7427080500999992</v>
      </c>
      <c r="O65" s="826">
        <v>100</v>
      </c>
      <c r="P65" s="826">
        <v>91.257291949899994</v>
      </c>
      <c r="Q65" s="826">
        <v>27.462160455100001</v>
      </c>
      <c r="R65" s="826">
        <v>100</v>
      </c>
      <c r="S65" s="826">
        <v>72.537839544899995</v>
      </c>
      <c r="T65" s="826" t="s">
        <v>3088</v>
      </c>
      <c r="U65" s="826" t="s">
        <v>3088</v>
      </c>
      <c r="V65" s="826" t="s">
        <v>3088</v>
      </c>
    </row>
    <row r="66" spans="1:22">
      <c r="A66" s="826" t="s">
        <v>3122</v>
      </c>
      <c r="B66" s="826" t="s">
        <v>436</v>
      </c>
      <c r="C66" s="826" t="str">
        <f t="shared" si="0"/>
        <v>2000_Norway</v>
      </c>
      <c r="D66" s="826">
        <v>17717.7</v>
      </c>
      <c r="E66" s="826">
        <v>78110.600000000006</v>
      </c>
      <c r="F66" s="826">
        <f t="shared" si="1"/>
        <v>78110600000</v>
      </c>
      <c r="G66" s="826">
        <v>60392.9</v>
      </c>
      <c r="H66" s="826">
        <v>14991.4</v>
      </c>
      <c r="I66" s="826">
        <v>49475.9</v>
      </c>
      <c r="J66" s="826">
        <v>34484.5</v>
      </c>
      <c r="K66" s="826">
        <v>2726.3</v>
      </c>
      <c r="L66" s="826">
        <v>28634.7</v>
      </c>
      <c r="M66" s="826">
        <v>25908.400000000001</v>
      </c>
      <c r="N66" s="826">
        <v>22.6828369005</v>
      </c>
      <c r="O66" s="826">
        <v>100</v>
      </c>
      <c r="P66" s="826">
        <v>77.317163099499993</v>
      </c>
      <c r="Q66" s="826">
        <v>30.300408885900001</v>
      </c>
      <c r="R66" s="826">
        <v>100</v>
      </c>
      <c r="S66" s="826">
        <v>69.699591114100002</v>
      </c>
      <c r="T66" s="826" t="s">
        <v>3088</v>
      </c>
      <c r="U66" s="826" t="s">
        <v>3088</v>
      </c>
      <c r="V66" s="826" t="s">
        <v>3088</v>
      </c>
    </row>
    <row r="67" spans="1:22">
      <c r="A67" s="826" t="s">
        <v>3122</v>
      </c>
      <c r="B67" s="826" t="s">
        <v>449</v>
      </c>
      <c r="C67" s="826" t="str">
        <f t="shared" si="0"/>
        <v>2000_Peru</v>
      </c>
      <c r="D67" s="826">
        <v>1555.48</v>
      </c>
      <c r="E67" s="826">
        <v>8510.39</v>
      </c>
      <c r="F67" s="826">
        <f t="shared" si="1"/>
        <v>8510389999.999999</v>
      </c>
      <c r="G67" s="826">
        <v>6954.91</v>
      </c>
      <c r="H67" s="826">
        <v>2290.33</v>
      </c>
      <c r="I67" s="826">
        <v>9647.9</v>
      </c>
      <c r="J67" s="826">
        <v>7357.57</v>
      </c>
      <c r="K67" s="826">
        <v>-734.85</v>
      </c>
      <c r="L67" s="826">
        <v>-1137.51</v>
      </c>
      <c r="M67" s="826">
        <v>-402.66</v>
      </c>
      <c r="N67" s="826">
        <v>18.277423243800001</v>
      </c>
      <c r="O67" s="826">
        <v>100</v>
      </c>
      <c r="P67" s="826">
        <v>81.722576756199999</v>
      </c>
      <c r="Q67" s="826">
        <v>23.739155671199999</v>
      </c>
      <c r="R67" s="826">
        <v>100</v>
      </c>
      <c r="S67" s="826">
        <v>76.260844328800005</v>
      </c>
      <c r="T67" s="826" t="s">
        <v>3088</v>
      </c>
      <c r="U67" s="826" t="s">
        <v>3088</v>
      </c>
      <c r="V67" s="826" t="s">
        <v>3088</v>
      </c>
    </row>
    <row r="68" spans="1:22">
      <c r="A68" s="826" t="s">
        <v>3122</v>
      </c>
      <c r="B68" s="826" t="s">
        <v>488</v>
      </c>
      <c r="C68" s="826" t="str">
        <f t="shared" si="0"/>
        <v>2000_Sierra Leone</v>
      </c>
      <c r="D68" s="826">
        <v>42.249000000000002</v>
      </c>
      <c r="E68" s="826">
        <v>55.045000000000002</v>
      </c>
      <c r="F68" s="826">
        <f t="shared" si="1"/>
        <v>55045000</v>
      </c>
      <c r="G68" s="826">
        <v>12.795999999999999</v>
      </c>
      <c r="H68" s="826">
        <v>112.846</v>
      </c>
      <c r="I68" s="826">
        <v>249.76499999999999</v>
      </c>
      <c r="J68" s="826">
        <v>136.91900000000001</v>
      </c>
      <c r="K68" s="826">
        <v>-70.596999999999994</v>
      </c>
      <c r="L68" s="826">
        <v>-194.72</v>
      </c>
      <c r="M68" s="826">
        <v>-124.123</v>
      </c>
      <c r="N68" s="826">
        <v>76.753565264800002</v>
      </c>
      <c r="O68" s="826">
        <v>100</v>
      </c>
      <c r="P68" s="826">
        <v>23.246434735200001</v>
      </c>
      <c r="Q68" s="826">
        <v>45.180870017799997</v>
      </c>
      <c r="R68" s="826">
        <v>100</v>
      </c>
      <c r="S68" s="826">
        <v>54.819129982200003</v>
      </c>
      <c r="T68" s="826" t="s">
        <v>3088</v>
      </c>
      <c r="U68" s="826" t="s">
        <v>3088</v>
      </c>
      <c r="V68" s="826" t="s">
        <v>3088</v>
      </c>
    </row>
    <row r="69" spans="1:22">
      <c r="A69" s="826" t="s">
        <v>3122</v>
      </c>
      <c r="B69" s="826" t="s">
        <v>3090</v>
      </c>
      <c r="C69" s="826" t="str">
        <f t="shared" si="0"/>
        <v>2000_Timor-Leste</v>
      </c>
      <c r="D69" s="826" t="s">
        <v>3121</v>
      </c>
      <c r="E69" s="826" t="s">
        <v>3088</v>
      </c>
      <c r="F69" s="826" t="str">
        <f t="shared" si="1"/>
        <v>..</v>
      </c>
      <c r="G69" s="826" t="s">
        <v>3121</v>
      </c>
      <c r="H69" s="826" t="s">
        <v>3121</v>
      </c>
      <c r="I69" s="826" t="s">
        <v>3121</v>
      </c>
      <c r="J69" s="826" t="s">
        <v>3121</v>
      </c>
      <c r="K69" s="826" t="s">
        <v>3121</v>
      </c>
      <c r="L69" s="826" t="s">
        <v>3121</v>
      </c>
      <c r="M69" s="826" t="s">
        <v>3121</v>
      </c>
      <c r="N69" s="826" t="s">
        <v>3121</v>
      </c>
      <c r="O69" s="826" t="s">
        <v>3121</v>
      </c>
      <c r="P69" s="826" t="s">
        <v>3121</v>
      </c>
      <c r="Q69" s="826" t="s">
        <v>3121</v>
      </c>
      <c r="R69" s="826" t="s">
        <v>3121</v>
      </c>
      <c r="S69" s="826" t="s">
        <v>3121</v>
      </c>
      <c r="T69" s="826" t="s">
        <v>3121</v>
      </c>
      <c r="U69" s="826" t="s">
        <v>3121</v>
      </c>
      <c r="V69" s="826" t="s">
        <v>3121</v>
      </c>
    </row>
    <row r="70" spans="1:22">
      <c r="A70" s="826" t="s">
        <v>3122</v>
      </c>
      <c r="B70" s="826" t="s">
        <v>517</v>
      </c>
      <c r="C70" s="826" t="str">
        <f t="shared" ref="C70:C133" si="2">$A70&amp;"_"&amp;$B70</f>
        <v>2000_Togo</v>
      </c>
      <c r="D70" s="826">
        <v>61.777000000000001</v>
      </c>
      <c r="E70" s="826">
        <v>423.59699999999998</v>
      </c>
      <c r="F70" s="826">
        <f t="shared" ref="F70:F133" si="3">IFERROR($E70*1000000,"..")</f>
        <v>423597000</v>
      </c>
      <c r="G70" s="826">
        <v>361.82</v>
      </c>
      <c r="H70" s="826">
        <v>117.503</v>
      </c>
      <c r="I70" s="826">
        <v>602.11599999999999</v>
      </c>
      <c r="J70" s="826">
        <v>484.613</v>
      </c>
      <c r="K70" s="826">
        <v>-55.725999999999999</v>
      </c>
      <c r="L70" s="826">
        <v>-178.51900000000001</v>
      </c>
      <c r="M70" s="826">
        <v>-122.79300000000001</v>
      </c>
      <c r="N70" s="826">
        <v>14.5839087623</v>
      </c>
      <c r="O70" s="826">
        <v>100</v>
      </c>
      <c r="P70" s="826">
        <v>85.416091237700002</v>
      </c>
      <c r="Q70" s="826">
        <v>19.515010396699999</v>
      </c>
      <c r="R70" s="826">
        <v>100</v>
      </c>
      <c r="S70" s="826">
        <v>80.484989603299994</v>
      </c>
      <c r="T70" s="826" t="s">
        <v>3088</v>
      </c>
      <c r="U70" s="826" t="s">
        <v>3088</v>
      </c>
      <c r="V70" s="826" t="s">
        <v>3088</v>
      </c>
    </row>
    <row r="71" spans="1:22">
      <c r="A71" s="826" t="s">
        <v>3122</v>
      </c>
      <c r="B71" s="826" t="s">
        <v>3091</v>
      </c>
      <c r="C71" s="826" t="str">
        <f t="shared" si="2"/>
        <v>2000_Trinidad and Tobago</v>
      </c>
      <c r="D71" s="826">
        <v>553.79999999999995</v>
      </c>
      <c r="E71" s="826">
        <v>4844.1000000000004</v>
      </c>
      <c r="F71" s="826">
        <f t="shared" si="3"/>
        <v>4844100000</v>
      </c>
      <c r="G71" s="826">
        <v>4290.3</v>
      </c>
      <c r="H71" s="826">
        <v>387.7</v>
      </c>
      <c r="I71" s="826">
        <v>3709.2</v>
      </c>
      <c r="J71" s="826">
        <v>3321.5</v>
      </c>
      <c r="K71" s="826">
        <v>166.1</v>
      </c>
      <c r="L71" s="826">
        <v>1134.9000000000001</v>
      </c>
      <c r="M71" s="826">
        <v>968.8</v>
      </c>
      <c r="N71" s="826">
        <v>11.432464234799999</v>
      </c>
      <c r="O71" s="826">
        <v>100</v>
      </c>
      <c r="P71" s="826">
        <v>88.567535765200006</v>
      </c>
      <c r="Q71" s="826">
        <v>10.4523886552</v>
      </c>
      <c r="R71" s="826">
        <v>100</v>
      </c>
      <c r="S71" s="826">
        <v>89.547611344800004</v>
      </c>
      <c r="T71" s="826" t="s">
        <v>3088</v>
      </c>
      <c r="U71" s="826" t="s">
        <v>3088</v>
      </c>
      <c r="V71" s="826" t="s">
        <v>3088</v>
      </c>
    </row>
    <row r="72" spans="1:22">
      <c r="A72" s="826" t="s">
        <v>3122</v>
      </c>
      <c r="B72" s="826" t="s">
        <v>499</v>
      </c>
      <c r="C72" s="826" t="str">
        <f t="shared" si="2"/>
        <v>2000_Tanzania</v>
      </c>
      <c r="D72" s="826">
        <v>627.40099999999995</v>
      </c>
      <c r="E72" s="826">
        <v>1361.001</v>
      </c>
      <c r="F72" s="826">
        <f t="shared" si="3"/>
        <v>1361001000</v>
      </c>
      <c r="G72" s="826">
        <v>733.6</v>
      </c>
      <c r="H72" s="826">
        <v>682.40099999999995</v>
      </c>
      <c r="I72" s="826">
        <v>2050.0010000000002</v>
      </c>
      <c r="J72" s="826">
        <v>1367.6</v>
      </c>
      <c r="K72" s="826">
        <v>-55</v>
      </c>
      <c r="L72" s="826">
        <v>-689</v>
      </c>
      <c r="M72" s="826">
        <v>-634</v>
      </c>
      <c r="N72" s="826">
        <v>46.098496621199999</v>
      </c>
      <c r="O72" s="826">
        <v>100</v>
      </c>
      <c r="P72" s="826">
        <v>53.901503378800001</v>
      </c>
      <c r="Q72" s="826">
        <v>33.287837420599999</v>
      </c>
      <c r="R72" s="826">
        <v>100</v>
      </c>
      <c r="S72" s="826">
        <v>66.712162579400001</v>
      </c>
      <c r="T72" s="826" t="s">
        <v>3088</v>
      </c>
      <c r="U72" s="826" t="s">
        <v>3088</v>
      </c>
      <c r="V72" s="826" t="s">
        <v>3088</v>
      </c>
    </row>
    <row r="73" spans="1:22">
      <c r="A73" s="826" t="s">
        <v>3122</v>
      </c>
      <c r="B73" s="826" t="s">
        <v>529</v>
      </c>
      <c r="C73" s="826" t="str">
        <f t="shared" si="2"/>
        <v>2000_Yemen</v>
      </c>
      <c r="D73" s="826">
        <v>210.86500000000001</v>
      </c>
      <c r="E73" s="826">
        <v>4008.0949999999998</v>
      </c>
      <c r="F73" s="826">
        <f t="shared" si="3"/>
        <v>4008095000</v>
      </c>
      <c r="G73" s="826">
        <v>3797.23</v>
      </c>
      <c r="H73" s="826">
        <v>809.43899999999996</v>
      </c>
      <c r="I73" s="826">
        <v>3293.8690000000001</v>
      </c>
      <c r="J73" s="826">
        <v>2484.4299999999998</v>
      </c>
      <c r="K73" s="826">
        <v>-598.57399999999996</v>
      </c>
      <c r="L73" s="826">
        <v>714.226</v>
      </c>
      <c r="M73" s="826">
        <v>1312.8</v>
      </c>
      <c r="N73" s="826">
        <v>5.2609780955999996</v>
      </c>
      <c r="O73" s="826">
        <v>100</v>
      </c>
      <c r="P73" s="826">
        <v>94.739021904400005</v>
      </c>
      <c r="Q73" s="826">
        <v>24.574110263600002</v>
      </c>
      <c r="R73" s="826">
        <v>100</v>
      </c>
      <c r="S73" s="826">
        <v>75.425889736399995</v>
      </c>
      <c r="T73" s="826" t="s">
        <v>3088</v>
      </c>
      <c r="U73" s="826" t="s">
        <v>3088</v>
      </c>
      <c r="V73" s="826" t="s">
        <v>3088</v>
      </c>
    </row>
    <row r="74" spans="1:22">
      <c r="A74" s="826" t="s">
        <v>3122</v>
      </c>
      <c r="B74" s="826" t="s">
        <v>541</v>
      </c>
      <c r="C74" s="826" t="str">
        <f t="shared" si="2"/>
        <v>2000_Zambia</v>
      </c>
      <c r="D74" s="826">
        <v>115.01</v>
      </c>
      <c r="E74" s="826">
        <v>871.97</v>
      </c>
      <c r="F74" s="826">
        <f t="shared" si="3"/>
        <v>871970000</v>
      </c>
      <c r="G74" s="826">
        <v>756.96</v>
      </c>
      <c r="H74" s="826">
        <v>334.62700000000001</v>
      </c>
      <c r="I74" s="826">
        <v>1312.317</v>
      </c>
      <c r="J74" s="826">
        <v>977.69</v>
      </c>
      <c r="K74" s="826">
        <v>-219.61699999999999</v>
      </c>
      <c r="L74" s="826">
        <v>-440.34699999999998</v>
      </c>
      <c r="M74" s="826">
        <v>-220.73</v>
      </c>
      <c r="N74" s="826">
        <v>13.1896739567</v>
      </c>
      <c r="O74" s="826">
        <v>100</v>
      </c>
      <c r="P74" s="826">
        <v>86.810326043299995</v>
      </c>
      <c r="Q74" s="826">
        <v>25.498945757800001</v>
      </c>
      <c r="R74" s="826">
        <v>100</v>
      </c>
      <c r="S74" s="826">
        <v>74.501054242199999</v>
      </c>
      <c r="T74" s="826" t="s">
        <v>3088</v>
      </c>
      <c r="U74" s="826" t="s">
        <v>3088</v>
      </c>
      <c r="V74" s="826" t="s">
        <v>3088</v>
      </c>
    </row>
    <row r="75" spans="1:22">
      <c r="A75" s="826" t="s">
        <v>3123</v>
      </c>
      <c r="B75" s="826" t="s">
        <v>21</v>
      </c>
      <c r="C75" s="826" t="str">
        <f t="shared" si="2"/>
        <v>2001_Afghanistan</v>
      </c>
      <c r="D75" s="826" t="s">
        <v>603</v>
      </c>
      <c r="E75" s="826" t="s">
        <v>3088</v>
      </c>
      <c r="F75" s="826" t="str">
        <f t="shared" si="3"/>
        <v>..</v>
      </c>
      <c r="G75" s="826">
        <v>708.9</v>
      </c>
      <c r="H75" s="826" t="s">
        <v>603</v>
      </c>
      <c r="I75" s="826" t="s">
        <v>603</v>
      </c>
      <c r="J75" s="826">
        <v>1645</v>
      </c>
      <c r="K75" s="826" t="s">
        <v>603</v>
      </c>
      <c r="L75" s="826" t="s">
        <v>603</v>
      </c>
      <c r="M75" s="826">
        <v>-936.1</v>
      </c>
      <c r="N75" s="826" t="s">
        <v>603</v>
      </c>
      <c r="O75" s="826" t="s">
        <v>603</v>
      </c>
      <c r="P75" s="826">
        <v>99.966120383299995</v>
      </c>
      <c r="Q75" s="826" t="s">
        <v>603</v>
      </c>
      <c r="R75" s="826" t="s">
        <v>603</v>
      </c>
      <c r="S75" s="826">
        <v>96.196708849999993</v>
      </c>
      <c r="T75" s="826" t="s">
        <v>3088</v>
      </c>
      <c r="U75" s="826" t="s">
        <v>3088</v>
      </c>
      <c r="V75" s="826" t="s">
        <v>3088</v>
      </c>
    </row>
    <row r="76" spans="1:22">
      <c r="A76" s="826" t="s">
        <v>3123</v>
      </c>
      <c r="B76" s="826" t="s">
        <v>38</v>
      </c>
      <c r="C76" s="826" t="str">
        <f t="shared" si="2"/>
        <v>2001_Albania</v>
      </c>
      <c r="D76" s="826">
        <v>534.29999999999995</v>
      </c>
      <c r="E76" s="826">
        <v>838.8</v>
      </c>
      <c r="F76" s="826">
        <f t="shared" si="3"/>
        <v>838800000</v>
      </c>
      <c r="G76" s="826">
        <v>304.5</v>
      </c>
      <c r="H76" s="826">
        <v>444.1</v>
      </c>
      <c r="I76" s="826">
        <v>1775.7</v>
      </c>
      <c r="J76" s="826">
        <v>1331.6</v>
      </c>
      <c r="K76" s="826">
        <v>90.2</v>
      </c>
      <c r="L76" s="826">
        <v>-936.9</v>
      </c>
      <c r="M76" s="826">
        <v>-1027.0999999999999</v>
      </c>
      <c r="N76" s="826">
        <v>63.698140200300003</v>
      </c>
      <c r="O76" s="826">
        <v>100</v>
      </c>
      <c r="P76" s="826">
        <v>36.301859799699997</v>
      </c>
      <c r="Q76" s="826">
        <v>25.009855268300001</v>
      </c>
      <c r="R76" s="826">
        <v>100</v>
      </c>
      <c r="S76" s="826">
        <v>74.990144731699999</v>
      </c>
      <c r="T76" s="826" t="s">
        <v>3088</v>
      </c>
      <c r="U76" s="826" t="s">
        <v>3088</v>
      </c>
      <c r="V76" s="826" t="s">
        <v>3088</v>
      </c>
    </row>
    <row r="77" spans="1:22">
      <c r="A77" s="826" t="s">
        <v>3123</v>
      </c>
      <c r="B77" s="826" t="s">
        <v>53</v>
      </c>
      <c r="C77" s="826" t="str">
        <f t="shared" si="2"/>
        <v>2001_Azerbaijan</v>
      </c>
      <c r="D77" s="826">
        <v>289.83100000000002</v>
      </c>
      <c r="E77" s="826">
        <v>2368.761</v>
      </c>
      <c r="F77" s="826">
        <f t="shared" si="3"/>
        <v>2368761000</v>
      </c>
      <c r="G77" s="826">
        <v>2078.9299999999998</v>
      </c>
      <c r="H77" s="826">
        <v>664.86500000000001</v>
      </c>
      <c r="I77" s="826">
        <v>2129.9250000000002</v>
      </c>
      <c r="J77" s="826">
        <v>1465.06</v>
      </c>
      <c r="K77" s="826">
        <v>-375.03399999999999</v>
      </c>
      <c r="L77" s="826">
        <v>238.83600000000001</v>
      </c>
      <c r="M77" s="826">
        <v>613.87</v>
      </c>
      <c r="N77" s="826">
        <v>12.2355526792</v>
      </c>
      <c r="O77" s="826">
        <v>100</v>
      </c>
      <c r="P77" s="826">
        <v>87.764447320800002</v>
      </c>
      <c r="Q77" s="826">
        <v>31.215418383300001</v>
      </c>
      <c r="R77" s="826">
        <v>100</v>
      </c>
      <c r="S77" s="826">
        <v>68.784581616699995</v>
      </c>
      <c r="T77" s="826" t="s">
        <v>3088</v>
      </c>
      <c r="U77" s="826" t="s">
        <v>3088</v>
      </c>
      <c r="V77" s="826" t="s">
        <v>3088</v>
      </c>
    </row>
    <row r="78" spans="1:22">
      <c r="A78" s="826" t="s">
        <v>3123</v>
      </c>
      <c r="B78" s="826" t="s">
        <v>98</v>
      </c>
      <c r="C78" s="826" t="str">
        <f t="shared" si="2"/>
        <v>2001_Burkina Faso</v>
      </c>
      <c r="D78" s="826">
        <v>36.511000000000003</v>
      </c>
      <c r="E78" s="826">
        <v>260.00299999999999</v>
      </c>
      <c r="F78" s="826">
        <f t="shared" si="3"/>
        <v>260003000</v>
      </c>
      <c r="G78" s="826">
        <v>223.49199999999999</v>
      </c>
      <c r="H78" s="826">
        <v>141.20400000000001</v>
      </c>
      <c r="I78" s="826">
        <v>650.45399999999995</v>
      </c>
      <c r="J78" s="826">
        <v>509.25</v>
      </c>
      <c r="K78" s="826">
        <v>-104.693</v>
      </c>
      <c r="L78" s="826">
        <v>-390.45100000000002</v>
      </c>
      <c r="M78" s="826">
        <v>-285.75799999999998</v>
      </c>
      <c r="N78" s="826">
        <v>14.042530278499999</v>
      </c>
      <c r="O78" s="826">
        <v>100</v>
      </c>
      <c r="P78" s="826">
        <v>85.957469721500004</v>
      </c>
      <c r="Q78" s="826">
        <v>21.708529734599999</v>
      </c>
      <c r="R78" s="826">
        <v>100</v>
      </c>
      <c r="S78" s="826">
        <v>78.291470265399994</v>
      </c>
      <c r="T78" s="826" t="s">
        <v>3088</v>
      </c>
      <c r="U78" s="826" t="s">
        <v>3088</v>
      </c>
      <c r="V78" s="826" t="s">
        <v>3088</v>
      </c>
    </row>
    <row r="79" spans="1:22">
      <c r="A79" s="826" t="s">
        <v>3123</v>
      </c>
      <c r="B79" s="826" t="s">
        <v>3136</v>
      </c>
      <c r="C79" s="826" t="str">
        <f t="shared" si="2"/>
        <v>2001_ Cameroon</v>
      </c>
      <c r="D79" s="826">
        <v>931.25099999999998</v>
      </c>
      <c r="E79" s="826">
        <v>2822.721</v>
      </c>
      <c r="F79" s="826">
        <f t="shared" si="3"/>
        <v>2822721000</v>
      </c>
      <c r="G79" s="826">
        <v>1891.47</v>
      </c>
      <c r="H79" s="826">
        <v>1127.02</v>
      </c>
      <c r="I79" s="826">
        <v>2924.4</v>
      </c>
      <c r="J79" s="826">
        <v>1797.38</v>
      </c>
      <c r="K79" s="826">
        <v>-195.76900000000001</v>
      </c>
      <c r="L79" s="826">
        <v>-101.679</v>
      </c>
      <c r="M79" s="826">
        <v>94.09</v>
      </c>
      <c r="N79" s="826">
        <v>32.991252057899999</v>
      </c>
      <c r="O79" s="826">
        <v>100</v>
      </c>
      <c r="P79" s="826">
        <v>67.008747942100001</v>
      </c>
      <c r="Q79" s="826">
        <v>38.538503624699999</v>
      </c>
      <c r="R79" s="826">
        <v>100</v>
      </c>
      <c r="S79" s="826">
        <v>61.461496375300001</v>
      </c>
      <c r="T79" s="826" t="s">
        <v>3088</v>
      </c>
      <c r="U79" s="826" t="s">
        <v>3088</v>
      </c>
      <c r="V79" s="826" t="s">
        <v>3088</v>
      </c>
    </row>
    <row r="80" spans="1:22">
      <c r="A80" s="826" t="s">
        <v>3123</v>
      </c>
      <c r="B80" s="826" t="s">
        <v>127</v>
      </c>
      <c r="C80" s="826" t="str">
        <f t="shared" si="2"/>
        <v>2001_Central African Republic</v>
      </c>
      <c r="D80" s="826">
        <v>17.895364359999999</v>
      </c>
      <c r="E80" s="826">
        <v>160.17838036000001</v>
      </c>
      <c r="F80" s="826">
        <f t="shared" si="3"/>
        <v>160178380.36000001</v>
      </c>
      <c r="G80" s="826">
        <v>142.283016</v>
      </c>
      <c r="H80" s="826">
        <v>96.138131799999996</v>
      </c>
      <c r="I80" s="826">
        <v>203.17745679999999</v>
      </c>
      <c r="J80" s="826">
        <v>107.03932500000001</v>
      </c>
      <c r="K80" s="826">
        <v>-78.242767439999994</v>
      </c>
      <c r="L80" s="826">
        <v>-42.999076440000003</v>
      </c>
      <c r="M80" s="826">
        <v>35.243690999999998</v>
      </c>
      <c r="N80" s="826">
        <v>11.172147152300001</v>
      </c>
      <c r="O80" s="826">
        <v>100</v>
      </c>
      <c r="P80" s="826">
        <v>88.827852847700001</v>
      </c>
      <c r="Q80" s="826">
        <v>47.317322164700002</v>
      </c>
      <c r="R80" s="826">
        <v>100</v>
      </c>
      <c r="S80" s="826">
        <v>52.682677835299998</v>
      </c>
      <c r="T80" s="826" t="s">
        <v>3088</v>
      </c>
      <c r="U80" s="826" t="s">
        <v>3088</v>
      </c>
      <c r="V80" s="826" t="s">
        <v>3088</v>
      </c>
    </row>
    <row r="81" spans="1:22">
      <c r="A81" s="826" t="s">
        <v>3123</v>
      </c>
      <c r="B81" s="826" t="s">
        <v>3137</v>
      </c>
      <c r="C81" s="826" t="str">
        <f t="shared" si="2"/>
        <v>2001_ Chad</v>
      </c>
      <c r="D81" s="826">
        <v>62.150854180000003</v>
      </c>
      <c r="E81" s="826">
        <v>250.80930218</v>
      </c>
      <c r="F81" s="826">
        <f t="shared" si="3"/>
        <v>250809302.18000001</v>
      </c>
      <c r="G81" s="826">
        <v>188.65844799999999</v>
      </c>
      <c r="H81" s="826">
        <v>333.15553469000002</v>
      </c>
      <c r="I81" s="826">
        <v>848.39824368999996</v>
      </c>
      <c r="J81" s="826">
        <v>515.24270899999999</v>
      </c>
      <c r="K81" s="826">
        <v>-271.00468051000001</v>
      </c>
      <c r="L81" s="826">
        <v>-597.58894151000004</v>
      </c>
      <c r="M81" s="826">
        <v>-326.58426100000003</v>
      </c>
      <c r="N81" s="826">
        <v>24.780123240999998</v>
      </c>
      <c r="O81" s="826">
        <v>100</v>
      </c>
      <c r="P81" s="826">
        <v>75.219876759000002</v>
      </c>
      <c r="Q81" s="826">
        <v>39.268767606200001</v>
      </c>
      <c r="R81" s="826">
        <v>100</v>
      </c>
      <c r="S81" s="826">
        <v>60.731232393799999</v>
      </c>
      <c r="T81" s="826" t="s">
        <v>3088</v>
      </c>
      <c r="U81" s="826" t="s">
        <v>3088</v>
      </c>
      <c r="V81" s="826" t="s">
        <v>3088</v>
      </c>
    </row>
    <row r="82" spans="1:22">
      <c r="A82" s="826" t="s">
        <v>3123</v>
      </c>
      <c r="B82" s="826" t="s">
        <v>465</v>
      </c>
      <c r="C82" s="826" t="str">
        <f t="shared" si="2"/>
        <v>2001_Republic of the Congo</v>
      </c>
      <c r="D82" s="826">
        <v>143.846</v>
      </c>
      <c r="E82" s="826">
        <v>2199.1260000000002</v>
      </c>
      <c r="F82" s="826">
        <f t="shared" si="3"/>
        <v>2199126000</v>
      </c>
      <c r="G82" s="826">
        <v>2055.2800000000002</v>
      </c>
      <c r="H82" s="826">
        <v>852.16499999999996</v>
      </c>
      <c r="I82" s="826">
        <v>1533.5129999999999</v>
      </c>
      <c r="J82" s="826">
        <v>681.34799999999996</v>
      </c>
      <c r="K82" s="826">
        <v>-708.31899999999996</v>
      </c>
      <c r="L82" s="826">
        <v>665.61300000000006</v>
      </c>
      <c r="M82" s="826">
        <v>1373.932</v>
      </c>
      <c r="N82" s="826">
        <v>6.5410531274999997</v>
      </c>
      <c r="O82" s="826">
        <v>100</v>
      </c>
      <c r="P82" s="826">
        <v>93.458946872499993</v>
      </c>
      <c r="Q82" s="826">
        <v>55.569466968999997</v>
      </c>
      <c r="R82" s="826">
        <v>100</v>
      </c>
      <c r="S82" s="826">
        <v>44.430533031000003</v>
      </c>
      <c r="T82" s="826" t="s">
        <v>3088</v>
      </c>
      <c r="U82" s="826" t="s">
        <v>3088</v>
      </c>
      <c r="V82" s="826" t="s">
        <v>3088</v>
      </c>
    </row>
    <row r="83" spans="1:22">
      <c r="A83" s="826" t="s">
        <v>3123</v>
      </c>
      <c r="B83" s="826" t="s">
        <v>171</v>
      </c>
      <c r="C83" s="826" t="str">
        <f t="shared" si="2"/>
        <v>2001_Democratic Republic of Congo</v>
      </c>
      <c r="D83" s="826">
        <v>73.065919190000002</v>
      </c>
      <c r="E83" s="826">
        <v>953.47283973000003</v>
      </c>
      <c r="F83" s="826">
        <f t="shared" si="3"/>
        <v>953472839.73000002</v>
      </c>
      <c r="G83" s="826">
        <v>880.40692053999999</v>
      </c>
      <c r="H83" s="826">
        <v>251.86545523999999</v>
      </c>
      <c r="I83" s="826">
        <v>1041.37637733</v>
      </c>
      <c r="J83" s="826">
        <v>789.51092209000001</v>
      </c>
      <c r="K83" s="826">
        <v>-178.79953605</v>
      </c>
      <c r="L83" s="826">
        <v>-87.903537600000007</v>
      </c>
      <c r="M83" s="826">
        <v>90.895998449999993</v>
      </c>
      <c r="N83" s="826">
        <v>7.6631358697999996</v>
      </c>
      <c r="O83" s="826">
        <v>100</v>
      </c>
      <c r="P83" s="826">
        <v>92.336864130199999</v>
      </c>
      <c r="Q83" s="826">
        <v>24.185823754299999</v>
      </c>
      <c r="R83" s="826">
        <v>100</v>
      </c>
      <c r="S83" s="826">
        <v>75.814176245699997</v>
      </c>
      <c r="T83" s="826" t="s">
        <v>3088</v>
      </c>
      <c r="U83" s="826" t="s">
        <v>3088</v>
      </c>
      <c r="V83" s="826" t="s">
        <v>3088</v>
      </c>
    </row>
    <row r="84" spans="1:22">
      <c r="A84" s="826" t="s">
        <v>3123</v>
      </c>
      <c r="B84" s="826" t="s">
        <v>3138</v>
      </c>
      <c r="C84" s="826" t="str">
        <f t="shared" si="2"/>
        <v>2001_ Equatorial Guinea</v>
      </c>
      <c r="D84" s="826">
        <v>16.099022099999999</v>
      </c>
      <c r="E84" s="826">
        <v>2382.7634671800001</v>
      </c>
      <c r="F84" s="826">
        <f t="shared" si="3"/>
        <v>2382763467.1800003</v>
      </c>
      <c r="G84" s="826">
        <v>2366.66444508</v>
      </c>
      <c r="H84" s="826">
        <v>1060.5371399999999</v>
      </c>
      <c r="I84" s="826">
        <v>2163.9571574900001</v>
      </c>
      <c r="J84" s="826">
        <v>1103.42001749</v>
      </c>
      <c r="K84" s="826">
        <v>-1044.4381179</v>
      </c>
      <c r="L84" s="826">
        <v>218.80630969000001</v>
      </c>
      <c r="M84" s="826">
        <v>1263.24442759</v>
      </c>
      <c r="N84" s="826">
        <v>0.67564499460000005</v>
      </c>
      <c r="O84" s="826">
        <v>100</v>
      </c>
      <c r="P84" s="826">
        <v>99.324355005399994</v>
      </c>
      <c r="Q84" s="826">
        <v>49.009156042199997</v>
      </c>
      <c r="R84" s="826">
        <v>100</v>
      </c>
      <c r="S84" s="826">
        <v>50.990843957800003</v>
      </c>
      <c r="T84" s="826" t="s">
        <v>3088</v>
      </c>
      <c r="U84" s="826" t="s">
        <v>3088</v>
      </c>
      <c r="V84" s="826" t="s">
        <v>3088</v>
      </c>
    </row>
    <row r="85" spans="1:22">
      <c r="A85" s="826" t="s">
        <v>3123</v>
      </c>
      <c r="B85" s="826" t="s">
        <v>3139</v>
      </c>
      <c r="C85" s="826" t="str">
        <f t="shared" si="2"/>
        <v>2001_ Gabon</v>
      </c>
      <c r="D85" s="826">
        <v>168.32</v>
      </c>
      <c r="E85" s="826">
        <v>2782.09</v>
      </c>
      <c r="F85" s="826">
        <f t="shared" si="3"/>
        <v>2782090000</v>
      </c>
      <c r="G85" s="826">
        <v>2613.77</v>
      </c>
      <c r="H85" s="826">
        <v>709.779</v>
      </c>
      <c r="I85" s="826">
        <v>1557.241</v>
      </c>
      <c r="J85" s="826">
        <v>847.46199999999999</v>
      </c>
      <c r="K85" s="826">
        <v>-541.45899999999995</v>
      </c>
      <c r="L85" s="826">
        <v>1224.8489999999999</v>
      </c>
      <c r="M85" s="826">
        <v>1766.308</v>
      </c>
      <c r="N85" s="826">
        <v>6.0501277815999996</v>
      </c>
      <c r="O85" s="826">
        <v>100</v>
      </c>
      <c r="P85" s="826">
        <v>93.949872218400003</v>
      </c>
      <c r="Q85" s="826">
        <v>45.579264866499997</v>
      </c>
      <c r="R85" s="826">
        <v>100</v>
      </c>
      <c r="S85" s="826">
        <v>54.420735133500003</v>
      </c>
      <c r="T85" s="826" t="s">
        <v>3088</v>
      </c>
      <c r="U85" s="826" t="s">
        <v>3088</v>
      </c>
      <c r="V85" s="826" t="s">
        <v>3088</v>
      </c>
    </row>
    <row r="86" spans="1:22">
      <c r="A86" s="826" t="s">
        <v>3123</v>
      </c>
      <c r="B86" s="826" t="s">
        <v>195</v>
      </c>
      <c r="C86" s="826" t="str">
        <f t="shared" si="2"/>
        <v>2001_Ghana</v>
      </c>
      <c r="D86" s="826">
        <v>531.65899999999999</v>
      </c>
      <c r="E86" s="826">
        <v>2398.759</v>
      </c>
      <c r="F86" s="826">
        <f t="shared" si="3"/>
        <v>2398759000</v>
      </c>
      <c r="G86" s="826">
        <v>1867.1</v>
      </c>
      <c r="H86" s="826">
        <v>606.01900000000001</v>
      </c>
      <c r="I86" s="826">
        <v>3574.529</v>
      </c>
      <c r="J86" s="826">
        <v>2968.51</v>
      </c>
      <c r="K86" s="826">
        <v>-74.36</v>
      </c>
      <c r="L86" s="826">
        <v>-1175.77</v>
      </c>
      <c r="M86" s="826">
        <v>-1101.4100000000001</v>
      </c>
      <c r="N86" s="826">
        <v>22.163918926400001</v>
      </c>
      <c r="O86" s="826">
        <v>100</v>
      </c>
      <c r="P86" s="826">
        <v>77.836081073599999</v>
      </c>
      <c r="Q86" s="826">
        <v>16.9538140549</v>
      </c>
      <c r="R86" s="826">
        <v>100</v>
      </c>
      <c r="S86" s="826">
        <v>83.046185945100007</v>
      </c>
      <c r="T86" s="826" t="s">
        <v>3088</v>
      </c>
      <c r="U86" s="826" t="s">
        <v>3088</v>
      </c>
      <c r="V86" s="826" t="s">
        <v>3088</v>
      </c>
    </row>
    <row r="87" spans="1:22">
      <c r="A87" s="826" t="s">
        <v>3123</v>
      </c>
      <c r="B87" s="826" t="s">
        <v>219</v>
      </c>
      <c r="C87" s="826" t="str">
        <f t="shared" si="2"/>
        <v>2001_Guatemala</v>
      </c>
      <c r="D87" s="826">
        <v>1044.8399999999999</v>
      </c>
      <c r="E87" s="826">
        <v>3904.64</v>
      </c>
      <c r="F87" s="826">
        <f t="shared" si="3"/>
        <v>3904640000</v>
      </c>
      <c r="G87" s="826">
        <v>2859.8</v>
      </c>
      <c r="H87" s="826">
        <v>927.89200000000005</v>
      </c>
      <c r="I87" s="826">
        <v>6069.902</v>
      </c>
      <c r="J87" s="826">
        <v>5142.01</v>
      </c>
      <c r="K87" s="826">
        <v>116.94799999999999</v>
      </c>
      <c r="L87" s="826">
        <v>-2165.2620000000002</v>
      </c>
      <c r="M87" s="826">
        <v>-2282.21</v>
      </c>
      <c r="N87" s="826">
        <v>26.758932961799999</v>
      </c>
      <c r="O87" s="826">
        <v>100</v>
      </c>
      <c r="P87" s="826">
        <v>73.241067038200001</v>
      </c>
      <c r="Q87" s="826">
        <v>15.286770692499999</v>
      </c>
      <c r="R87" s="826">
        <v>100</v>
      </c>
      <c r="S87" s="826">
        <v>84.713229307500001</v>
      </c>
      <c r="T87" s="826" t="s">
        <v>3088</v>
      </c>
      <c r="U87" s="826" t="s">
        <v>3088</v>
      </c>
      <c r="V87" s="826" t="s">
        <v>3088</v>
      </c>
    </row>
    <row r="88" spans="1:22">
      <c r="A88" s="826" t="s">
        <v>3123</v>
      </c>
      <c r="B88" s="826" t="s">
        <v>3140</v>
      </c>
      <c r="C88" s="826" t="str">
        <f t="shared" si="2"/>
        <v>2001_ Guinea</v>
      </c>
      <c r="D88" s="826">
        <v>102.81699999999999</v>
      </c>
      <c r="E88" s="826">
        <v>833.86300000000006</v>
      </c>
      <c r="F88" s="826">
        <f t="shared" si="3"/>
        <v>833863000</v>
      </c>
      <c r="G88" s="826">
        <v>731.04600000000005</v>
      </c>
      <c r="H88" s="826">
        <v>318.95299999999997</v>
      </c>
      <c r="I88" s="826">
        <v>880.85299999999995</v>
      </c>
      <c r="J88" s="826">
        <v>561.9</v>
      </c>
      <c r="K88" s="826">
        <v>-216.136</v>
      </c>
      <c r="L88" s="826">
        <v>-46.99</v>
      </c>
      <c r="M88" s="826">
        <v>169.14599999999999</v>
      </c>
      <c r="N88" s="826">
        <v>12.330202923</v>
      </c>
      <c r="O88" s="826">
        <v>100</v>
      </c>
      <c r="P88" s="826">
        <v>87.669797076999998</v>
      </c>
      <c r="Q88" s="826">
        <v>36.209560505600003</v>
      </c>
      <c r="R88" s="826">
        <v>100</v>
      </c>
      <c r="S88" s="826">
        <v>63.790439494399997</v>
      </c>
      <c r="T88" s="826" t="s">
        <v>3088</v>
      </c>
      <c r="U88" s="826" t="s">
        <v>3088</v>
      </c>
      <c r="V88" s="826" t="s">
        <v>3088</v>
      </c>
    </row>
    <row r="89" spans="1:22">
      <c r="A89" s="826" t="s">
        <v>3123</v>
      </c>
      <c r="B89" s="826" t="s">
        <v>243</v>
      </c>
      <c r="C89" s="826" t="str">
        <f t="shared" si="2"/>
        <v>2001_Indonesia</v>
      </c>
      <c r="D89" s="826" t="s">
        <v>3121</v>
      </c>
      <c r="E89" s="826" t="s">
        <v>3088</v>
      </c>
      <c r="F89" s="826" t="str">
        <f t="shared" si="3"/>
        <v>..</v>
      </c>
      <c r="G89" s="826" t="s">
        <v>3121</v>
      </c>
      <c r="H89" s="826" t="s">
        <v>3121</v>
      </c>
      <c r="I89" s="826" t="s">
        <v>3121</v>
      </c>
      <c r="J89" s="826" t="s">
        <v>3121</v>
      </c>
      <c r="K89" s="826" t="s">
        <v>3121</v>
      </c>
      <c r="L89" s="826" t="s">
        <v>3121</v>
      </c>
      <c r="M89" s="826" t="s">
        <v>3121</v>
      </c>
      <c r="N89" s="826" t="s">
        <v>3121</v>
      </c>
      <c r="O89" s="826" t="s">
        <v>3121</v>
      </c>
      <c r="P89" s="826" t="s">
        <v>3121</v>
      </c>
      <c r="Q89" s="826" t="s">
        <v>3121</v>
      </c>
      <c r="R89" s="826" t="s">
        <v>3121</v>
      </c>
      <c r="S89" s="826" t="s">
        <v>3121</v>
      </c>
      <c r="T89" s="826" t="s">
        <v>3121</v>
      </c>
      <c r="U89" s="826" t="s">
        <v>3121</v>
      </c>
      <c r="V89" s="826" t="s">
        <v>3121</v>
      </c>
    </row>
    <row r="90" spans="1:22">
      <c r="A90" s="826" t="s">
        <v>3123</v>
      </c>
      <c r="B90" s="826" t="s">
        <v>251</v>
      </c>
      <c r="C90" s="826" t="str">
        <f t="shared" si="2"/>
        <v>2001_Iraq</v>
      </c>
      <c r="D90" s="826" t="s">
        <v>603</v>
      </c>
      <c r="E90" s="826" t="s">
        <v>3088</v>
      </c>
      <c r="F90" s="826" t="str">
        <f t="shared" si="3"/>
        <v>..</v>
      </c>
      <c r="G90" s="826">
        <v>12872.1</v>
      </c>
      <c r="H90" s="826" t="s">
        <v>603</v>
      </c>
      <c r="I90" s="826" t="s">
        <v>603</v>
      </c>
      <c r="J90" s="826">
        <v>11217.806253000001</v>
      </c>
      <c r="K90" s="826" t="s">
        <v>603</v>
      </c>
      <c r="L90" s="826" t="s">
        <v>603</v>
      </c>
      <c r="M90" s="826">
        <v>1654.2937469999999</v>
      </c>
      <c r="N90" s="826" t="s">
        <v>603</v>
      </c>
      <c r="O90" s="826" t="s">
        <v>603</v>
      </c>
      <c r="P90" s="826">
        <v>98.425600244699993</v>
      </c>
      <c r="Q90" s="826" t="s">
        <v>603</v>
      </c>
      <c r="R90" s="826" t="s">
        <v>603</v>
      </c>
      <c r="S90" s="826">
        <v>85.239097979099995</v>
      </c>
      <c r="T90" s="826" t="s">
        <v>3088</v>
      </c>
      <c r="U90" s="826" t="s">
        <v>3088</v>
      </c>
      <c r="V90" s="826" t="s">
        <v>3088</v>
      </c>
    </row>
    <row r="91" spans="1:22">
      <c r="A91" s="826" t="s">
        <v>3123</v>
      </c>
      <c r="B91" s="826" t="s">
        <v>280</v>
      </c>
      <c r="C91" s="826" t="str">
        <f t="shared" si="2"/>
        <v>2001_Kazakhstan</v>
      </c>
      <c r="D91" s="826">
        <v>1260.21</v>
      </c>
      <c r="E91" s="826">
        <v>10188.02</v>
      </c>
      <c r="F91" s="826">
        <f t="shared" si="3"/>
        <v>10188020000</v>
      </c>
      <c r="G91" s="826">
        <v>8927.81</v>
      </c>
      <c r="H91" s="826">
        <v>2634.6</v>
      </c>
      <c r="I91" s="826">
        <v>10579.04</v>
      </c>
      <c r="J91" s="826">
        <v>7944.44</v>
      </c>
      <c r="K91" s="826">
        <v>-1374.39</v>
      </c>
      <c r="L91" s="826">
        <v>-391.02</v>
      </c>
      <c r="M91" s="826">
        <v>983.37</v>
      </c>
      <c r="N91" s="826">
        <v>12.369528132099999</v>
      </c>
      <c r="O91" s="826">
        <v>100</v>
      </c>
      <c r="P91" s="826">
        <v>87.630471867899999</v>
      </c>
      <c r="Q91" s="826">
        <v>24.9039610399</v>
      </c>
      <c r="R91" s="826">
        <v>100</v>
      </c>
      <c r="S91" s="826">
        <v>75.096038960100003</v>
      </c>
      <c r="T91" s="826" t="s">
        <v>3088</v>
      </c>
      <c r="U91" s="826" t="s">
        <v>3088</v>
      </c>
      <c r="V91" s="826" t="s">
        <v>3088</v>
      </c>
    </row>
    <row r="92" spans="1:22">
      <c r="A92" s="826" t="s">
        <v>3123</v>
      </c>
      <c r="B92" s="826" t="s">
        <v>3141</v>
      </c>
      <c r="C92" s="826" t="str">
        <f t="shared" si="2"/>
        <v>2001_Kyrgyzstan</v>
      </c>
      <c r="D92" s="826">
        <v>82.778999999999996</v>
      </c>
      <c r="E92" s="826">
        <v>563.03599999999994</v>
      </c>
      <c r="F92" s="826">
        <f t="shared" si="3"/>
        <v>563036000</v>
      </c>
      <c r="G92" s="826">
        <v>480.25700000000001</v>
      </c>
      <c r="H92" s="826">
        <v>124.75</v>
      </c>
      <c r="I92" s="826">
        <v>573.91</v>
      </c>
      <c r="J92" s="826">
        <v>449.16</v>
      </c>
      <c r="K92" s="826">
        <v>-41.970999999999997</v>
      </c>
      <c r="L92" s="826">
        <v>-10.874000000000001</v>
      </c>
      <c r="M92" s="826">
        <v>31.097000000000001</v>
      </c>
      <c r="N92" s="826">
        <v>14.7022570493</v>
      </c>
      <c r="O92" s="826">
        <v>100</v>
      </c>
      <c r="P92" s="826">
        <v>85.297742950699998</v>
      </c>
      <c r="Q92" s="826">
        <v>21.736857695499999</v>
      </c>
      <c r="R92" s="826">
        <v>100</v>
      </c>
      <c r="S92" s="826">
        <v>78.263142304499993</v>
      </c>
      <c r="T92" s="826" t="s">
        <v>3088</v>
      </c>
      <c r="U92" s="826" t="s">
        <v>3088</v>
      </c>
      <c r="V92" s="826" t="s">
        <v>3088</v>
      </c>
    </row>
    <row r="93" spans="1:22">
      <c r="A93" s="826" t="s">
        <v>3123</v>
      </c>
      <c r="B93" s="826" t="s">
        <v>301</v>
      </c>
      <c r="C93" s="826" t="str">
        <f t="shared" si="2"/>
        <v>2001_Liberia</v>
      </c>
      <c r="D93" s="826" t="s">
        <v>603</v>
      </c>
      <c r="E93" s="826" t="s">
        <v>3088</v>
      </c>
      <c r="F93" s="826" t="str">
        <f t="shared" si="3"/>
        <v>..</v>
      </c>
      <c r="G93" s="826" t="s">
        <v>603</v>
      </c>
      <c r="H93" s="826" t="s">
        <v>603</v>
      </c>
      <c r="I93" s="826" t="s">
        <v>603</v>
      </c>
      <c r="J93" s="826">
        <v>155</v>
      </c>
      <c r="K93" s="826" t="s">
        <v>603</v>
      </c>
      <c r="L93" s="826" t="s">
        <v>603</v>
      </c>
      <c r="M93" s="826" t="s">
        <v>603</v>
      </c>
      <c r="N93" s="826" t="s">
        <v>603</v>
      </c>
      <c r="O93" s="826" t="s">
        <v>603</v>
      </c>
      <c r="P93" s="826" t="s">
        <v>603</v>
      </c>
      <c r="Q93" s="826" t="s">
        <v>603</v>
      </c>
      <c r="R93" s="826" t="s">
        <v>603</v>
      </c>
      <c r="S93" s="826">
        <v>54.304244525900003</v>
      </c>
      <c r="T93" s="826" t="s">
        <v>3088</v>
      </c>
      <c r="U93" s="826" t="s">
        <v>3088</v>
      </c>
      <c r="V93" s="826" t="s">
        <v>3088</v>
      </c>
    </row>
    <row r="94" spans="1:22">
      <c r="A94" s="826" t="s">
        <v>3123</v>
      </c>
      <c r="B94" s="826" t="s">
        <v>316</v>
      </c>
      <c r="C94" s="826" t="str">
        <f t="shared" si="2"/>
        <v>2001_Madagascar</v>
      </c>
      <c r="D94" s="826">
        <v>350.62200000000001</v>
      </c>
      <c r="E94" s="826">
        <v>1278.7950000000001</v>
      </c>
      <c r="F94" s="826">
        <f t="shared" si="3"/>
        <v>1278795000</v>
      </c>
      <c r="G94" s="826">
        <v>928.173</v>
      </c>
      <c r="H94" s="826">
        <v>510.92500000000001</v>
      </c>
      <c r="I94" s="826">
        <v>1465.972</v>
      </c>
      <c r="J94" s="826">
        <v>955.04700000000003</v>
      </c>
      <c r="K94" s="826">
        <v>-160.303</v>
      </c>
      <c r="L94" s="826">
        <v>-187.17699999999999</v>
      </c>
      <c r="M94" s="826">
        <v>-26.873999999999999</v>
      </c>
      <c r="N94" s="826">
        <v>27.418155372800001</v>
      </c>
      <c r="O94" s="826">
        <v>100</v>
      </c>
      <c r="P94" s="826">
        <v>72.581844627199999</v>
      </c>
      <c r="Q94" s="826">
        <v>34.852302772500003</v>
      </c>
      <c r="R94" s="826">
        <v>100</v>
      </c>
      <c r="S94" s="826">
        <v>65.147697227500004</v>
      </c>
      <c r="T94" s="826" t="s">
        <v>3088</v>
      </c>
      <c r="U94" s="826" t="s">
        <v>3088</v>
      </c>
      <c r="V94" s="826" t="s">
        <v>3088</v>
      </c>
    </row>
    <row r="95" spans="1:22">
      <c r="A95" s="826" t="s">
        <v>3123</v>
      </c>
      <c r="B95" s="826" t="s">
        <v>329</v>
      </c>
      <c r="C95" s="826" t="str">
        <f t="shared" si="2"/>
        <v>2001_Mali</v>
      </c>
      <c r="D95" s="826">
        <v>151.179</v>
      </c>
      <c r="E95" s="826">
        <v>876.36599999999999</v>
      </c>
      <c r="F95" s="826">
        <f t="shared" si="3"/>
        <v>876366000</v>
      </c>
      <c r="G95" s="826">
        <v>725.18700000000001</v>
      </c>
      <c r="H95" s="826">
        <v>421.36500000000001</v>
      </c>
      <c r="I95" s="826">
        <v>1156.1120000000001</v>
      </c>
      <c r="J95" s="826">
        <v>734.74699999999996</v>
      </c>
      <c r="K95" s="826">
        <v>-270.18599999999998</v>
      </c>
      <c r="L95" s="826">
        <v>-279.74599999999998</v>
      </c>
      <c r="M95" s="826">
        <v>-9.56</v>
      </c>
      <c r="N95" s="826">
        <v>17.250669240899999</v>
      </c>
      <c r="O95" s="826">
        <v>100</v>
      </c>
      <c r="P95" s="826">
        <v>82.749330759100005</v>
      </c>
      <c r="Q95" s="826">
        <v>36.446728344699999</v>
      </c>
      <c r="R95" s="826">
        <v>100</v>
      </c>
      <c r="S95" s="826">
        <v>63.553271655300001</v>
      </c>
      <c r="T95" s="826" t="s">
        <v>3088</v>
      </c>
      <c r="U95" s="826" t="s">
        <v>3088</v>
      </c>
      <c r="V95" s="826" t="s">
        <v>3088</v>
      </c>
    </row>
    <row r="96" spans="1:22">
      <c r="A96" s="826" t="s">
        <v>3123</v>
      </c>
      <c r="B96" s="826" t="s">
        <v>345</v>
      </c>
      <c r="C96" s="826" t="str">
        <f t="shared" si="2"/>
        <v>2001_Mauritania</v>
      </c>
      <c r="D96" s="826">
        <v>46.217021920000001</v>
      </c>
      <c r="E96" s="826">
        <v>401.41702192000002</v>
      </c>
      <c r="F96" s="826">
        <f t="shared" si="3"/>
        <v>401417021.92000002</v>
      </c>
      <c r="G96" s="826">
        <v>355.2</v>
      </c>
      <c r="H96" s="826">
        <v>158.18747956999999</v>
      </c>
      <c r="I96" s="826">
        <v>623.38747956999998</v>
      </c>
      <c r="J96" s="826">
        <v>465.2</v>
      </c>
      <c r="K96" s="826">
        <v>-111.97045765</v>
      </c>
      <c r="L96" s="826">
        <v>-221.97045764999999</v>
      </c>
      <c r="M96" s="826">
        <v>-110</v>
      </c>
      <c r="N96" s="826">
        <v>11.5134683873</v>
      </c>
      <c r="O96" s="826">
        <v>100</v>
      </c>
      <c r="P96" s="826">
        <v>88.486531612700006</v>
      </c>
      <c r="Q96" s="826">
        <v>25.3754662636</v>
      </c>
      <c r="R96" s="826">
        <v>100</v>
      </c>
      <c r="S96" s="826">
        <v>74.624533736399997</v>
      </c>
      <c r="T96" s="826" t="s">
        <v>3088</v>
      </c>
      <c r="U96" s="826" t="s">
        <v>3088</v>
      </c>
      <c r="V96" s="826" t="s">
        <v>3088</v>
      </c>
    </row>
    <row r="97" spans="1:22">
      <c r="A97" s="826" t="s">
        <v>3123</v>
      </c>
      <c r="B97" s="826" t="s">
        <v>364</v>
      </c>
      <c r="C97" s="826" t="str">
        <f t="shared" si="2"/>
        <v>2001_Mongolia</v>
      </c>
      <c r="D97" s="826">
        <v>113.53400000000001</v>
      </c>
      <c r="E97" s="826">
        <v>636.71699999999998</v>
      </c>
      <c r="F97" s="826">
        <f t="shared" si="3"/>
        <v>636717000</v>
      </c>
      <c r="G97" s="826">
        <v>523.18299999999999</v>
      </c>
      <c r="H97" s="826">
        <v>205.41</v>
      </c>
      <c r="I97" s="826">
        <v>829.23099999999999</v>
      </c>
      <c r="J97" s="826">
        <v>623.82100000000003</v>
      </c>
      <c r="K97" s="826">
        <v>-91.876000000000005</v>
      </c>
      <c r="L97" s="826">
        <v>-192.51400000000001</v>
      </c>
      <c r="M97" s="826">
        <v>-100.63800000000001</v>
      </c>
      <c r="N97" s="826">
        <v>17.831155756800001</v>
      </c>
      <c r="O97" s="826">
        <v>100</v>
      </c>
      <c r="P97" s="826">
        <v>82.168844243199999</v>
      </c>
      <c r="Q97" s="826">
        <v>24.7711433847</v>
      </c>
      <c r="R97" s="826">
        <v>100</v>
      </c>
      <c r="S97" s="826">
        <v>75.228856615300003</v>
      </c>
      <c r="T97" s="826" t="s">
        <v>3088</v>
      </c>
      <c r="U97" s="826" t="s">
        <v>3088</v>
      </c>
      <c r="V97" s="826" t="s">
        <v>3088</v>
      </c>
    </row>
    <row r="98" spans="1:22">
      <c r="A98" s="826" t="s">
        <v>3123</v>
      </c>
      <c r="B98" s="826" t="s">
        <v>385</v>
      </c>
      <c r="C98" s="826" t="str">
        <f t="shared" si="2"/>
        <v>2001_Mozambique</v>
      </c>
      <c r="D98" s="826">
        <v>249.67400000000001</v>
      </c>
      <c r="E98" s="826">
        <v>975.62599999999998</v>
      </c>
      <c r="F98" s="826">
        <f t="shared" si="3"/>
        <v>975626000</v>
      </c>
      <c r="G98" s="826">
        <v>725.952</v>
      </c>
      <c r="H98" s="826">
        <v>618.35400000000004</v>
      </c>
      <c r="I98" s="826">
        <v>1615.6420000000001</v>
      </c>
      <c r="J98" s="826">
        <v>997.28800000000001</v>
      </c>
      <c r="K98" s="826">
        <v>-368.68</v>
      </c>
      <c r="L98" s="826">
        <v>-640.01599999999996</v>
      </c>
      <c r="M98" s="826">
        <v>-271.33600000000001</v>
      </c>
      <c r="N98" s="826">
        <v>25.591158907200001</v>
      </c>
      <c r="O98" s="826">
        <v>100</v>
      </c>
      <c r="P98" s="826">
        <v>74.408841092800003</v>
      </c>
      <c r="Q98" s="826">
        <v>38.272958984699997</v>
      </c>
      <c r="R98" s="826">
        <v>100</v>
      </c>
      <c r="S98" s="826">
        <v>61.727041015300003</v>
      </c>
      <c r="T98" s="826" t="s">
        <v>3088</v>
      </c>
      <c r="U98" s="826" t="s">
        <v>3088</v>
      </c>
      <c r="V98" s="826" t="s">
        <v>3088</v>
      </c>
    </row>
    <row r="99" spans="1:22">
      <c r="A99" s="826" t="s">
        <v>3123</v>
      </c>
      <c r="B99" s="826" t="s">
        <v>394</v>
      </c>
      <c r="C99" s="826" t="str">
        <f t="shared" si="2"/>
        <v>2001_Niger</v>
      </c>
      <c r="D99" s="826">
        <v>56.715000000000003</v>
      </c>
      <c r="E99" s="826">
        <v>329.20699999999999</v>
      </c>
      <c r="F99" s="826">
        <f t="shared" si="3"/>
        <v>329207000</v>
      </c>
      <c r="G99" s="826">
        <v>272.49200000000002</v>
      </c>
      <c r="H99" s="826">
        <v>147.178</v>
      </c>
      <c r="I99" s="826">
        <v>478.45</v>
      </c>
      <c r="J99" s="826">
        <v>331.27199999999999</v>
      </c>
      <c r="K99" s="826">
        <v>-90.462999999999994</v>
      </c>
      <c r="L99" s="826">
        <v>-149.24299999999999</v>
      </c>
      <c r="M99" s="826">
        <v>-58.78</v>
      </c>
      <c r="N99" s="826">
        <v>17.227762471599998</v>
      </c>
      <c r="O99" s="826">
        <v>100</v>
      </c>
      <c r="P99" s="826">
        <v>82.772237528399998</v>
      </c>
      <c r="Q99" s="826">
        <v>30.761417076000001</v>
      </c>
      <c r="R99" s="826">
        <v>100</v>
      </c>
      <c r="S99" s="826">
        <v>69.238582923999999</v>
      </c>
      <c r="T99" s="826" t="s">
        <v>3088</v>
      </c>
      <c r="U99" s="826" t="s">
        <v>3088</v>
      </c>
      <c r="V99" s="826" t="s">
        <v>3088</v>
      </c>
    </row>
    <row r="100" spans="1:22">
      <c r="A100" s="826" t="s">
        <v>3123</v>
      </c>
      <c r="B100" s="826" t="s">
        <v>413</v>
      </c>
      <c r="C100" s="826" t="str">
        <f t="shared" si="2"/>
        <v>2001_Nigeria</v>
      </c>
      <c r="D100" s="826">
        <v>1653.29</v>
      </c>
      <c r="E100" s="826">
        <v>19645.09</v>
      </c>
      <c r="F100" s="826">
        <f t="shared" si="3"/>
        <v>19645090000</v>
      </c>
      <c r="G100" s="826">
        <v>17991.8</v>
      </c>
      <c r="H100" s="826">
        <v>4639.6899999999996</v>
      </c>
      <c r="I100" s="826">
        <v>15736.19</v>
      </c>
      <c r="J100" s="826">
        <v>11096.5</v>
      </c>
      <c r="K100" s="826">
        <v>-2986.4</v>
      </c>
      <c r="L100" s="826">
        <v>3908.9</v>
      </c>
      <c r="M100" s="826">
        <v>6895.3</v>
      </c>
      <c r="N100" s="826">
        <v>8.4157924447999992</v>
      </c>
      <c r="O100" s="826">
        <v>100</v>
      </c>
      <c r="P100" s="826">
        <v>91.584207555199995</v>
      </c>
      <c r="Q100" s="826">
        <v>29.4842017032</v>
      </c>
      <c r="R100" s="826">
        <v>100</v>
      </c>
      <c r="S100" s="826">
        <v>70.5157982968</v>
      </c>
      <c r="T100" s="826" t="s">
        <v>3088</v>
      </c>
      <c r="U100" s="826" t="s">
        <v>3088</v>
      </c>
      <c r="V100" s="826" t="s">
        <v>3088</v>
      </c>
    </row>
    <row r="101" spans="1:22">
      <c r="A101" s="826" t="s">
        <v>3123</v>
      </c>
      <c r="B101" s="826" t="s">
        <v>436</v>
      </c>
      <c r="C101" s="826" t="str">
        <f t="shared" si="2"/>
        <v>2001_Norway</v>
      </c>
      <c r="D101" s="826">
        <v>18355</v>
      </c>
      <c r="E101" s="826">
        <v>77802.8</v>
      </c>
      <c r="F101" s="826">
        <f t="shared" si="3"/>
        <v>77802800000</v>
      </c>
      <c r="G101" s="826">
        <v>59447.8</v>
      </c>
      <c r="H101" s="826">
        <v>15798.1</v>
      </c>
      <c r="I101" s="826">
        <v>48843.6</v>
      </c>
      <c r="J101" s="826">
        <v>33045.5</v>
      </c>
      <c r="K101" s="826">
        <v>2556.9</v>
      </c>
      <c r="L101" s="826">
        <v>28959.200000000001</v>
      </c>
      <c r="M101" s="826">
        <v>26402.3</v>
      </c>
      <c r="N101" s="826">
        <v>23.591695928699998</v>
      </c>
      <c r="O101" s="826">
        <v>100</v>
      </c>
      <c r="P101" s="826">
        <v>76.408304071299995</v>
      </c>
      <c r="Q101" s="826">
        <v>32.344257999</v>
      </c>
      <c r="R101" s="826">
        <v>100</v>
      </c>
      <c r="S101" s="826">
        <v>67.655742000999993</v>
      </c>
      <c r="T101" s="826" t="s">
        <v>3088</v>
      </c>
      <c r="U101" s="826" t="s">
        <v>3088</v>
      </c>
      <c r="V101" s="826" t="s">
        <v>3088</v>
      </c>
    </row>
    <row r="102" spans="1:22">
      <c r="A102" s="826" t="s">
        <v>3123</v>
      </c>
      <c r="B102" s="826" t="s">
        <v>449</v>
      </c>
      <c r="C102" s="826" t="str">
        <f t="shared" si="2"/>
        <v>2001_Peru</v>
      </c>
      <c r="D102" s="826">
        <v>1437.33</v>
      </c>
      <c r="E102" s="826">
        <v>8463.06</v>
      </c>
      <c r="F102" s="826">
        <f t="shared" si="3"/>
        <v>8463059999.999999</v>
      </c>
      <c r="G102" s="826">
        <v>7025.73</v>
      </c>
      <c r="H102" s="826">
        <v>2400.08</v>
      </c>
      <c r="I102" s="826">
        <v>9604.56</v>
      </c>
      <c r="J102" s="826">
        <v>7204.48</v>
      </c>
      <c r="K102" s="826">
        <v>-962.75</v>
      </c>
      <c r="L102" s="826">
        <v>-1141.5</v>
      </c>
      <c r="M102" s="826">
        <v>-178.75</v>
      </c>
      <c r="N102" s="826">
        <v>16.983573317499999</v>
      </c>
      <c r="O102" s="826">
        <v>100</v>
      </c>
      <c r="P102" s="826">
        <v>83.016426682499997</v>
      </c>
      <c r="Q102" s="826">
        <v>24.9889635756</v>
      </c>
      <c r="R102" s="826">
        <v>100</v>
      </c>
      <c r="S102" s="826">
        <v>75.011036424400004</v>
      </c>
      <c r="T102" s="826" t="s">
        <v>3088</v>
      </c>
      <c r="U102" s="826" t="s">
        <v>3088</v>
      </c>
      <c r="V102" s="826" t="s">
        <v>3088</v>
      </c>
    </row>
    <row r="103" spans="1:22">
      <c r="A103" s="826" t="s">
        <v>3123</v>
      </c>
      <c r="B103" s="826" t="s">
        <v>488</v>
      </c>
      <c r="C103" s="826" t="str">
        <f t="shared" si="2"/>
        <v>2001_Sierra Leone</v>
      </c>
      <c r="D103" s="826">
        <v>51.968000000000004</v>
      </c>
      <c r="E103" s="826">
        <v>81.119</v>
      </c>
      <c r="F103" s="826">
        <f t="shared" si="3"/>
        <v>81119000</v>
      </c>
      <c r="G103" s="826">
        <v>29.151</v>
      </c>
      <c r="H103" s="826">
        <v>110.898</v>
      </c>
      <c r="I103" s="826">
        <v>276.029</v>
      </c>
      <c r="J103" s="826">
        <v>165.131</v>
      </c>
      <c r="K103" s="826">
        <v>-58.93</v>
      </c>
      <c r="L103" s="826">
        <v>-194.91</v>
      </c>
      <c r="M103" s="826">
        <v>-135.97999999999999</v>
      </c>
      <c r="N103" s="826">
        <v>64.063906113200005</v>
      </c>
      <c r="O103" s="826">
        <v>100</v>
      </c>
      <c r="P103" s="826">
        <v>35.936093886800002</v>
      </c>
      <c r="Q103" s="826">
        <v>40.176213368900001</v>
      </c>
      <c r="R103" s="826">
        <v>100</v>
      </c>
      <c r="S103" s="826">
        <v>59.823786631099999</v>
      </c>
      <c r="T103" s="826" t="s">
        <v>3088</v>
      </c>
      <c r="U103" s="826" t="s">
        <v>3088</v>
      </c>
      <c r="V103" s="826" t="s">
        <v>3088</v>
      </c>
    </row>
    <row r="104" spans="1:22">
      <c r="A104" s="826" t="s">
        <v>3123</v>
      </c>
      <c r="B104" s="826" t="s">
        <v>3090</v>
      </c>
      <c r="C104" s="826" t="str">
        <f t="shared" si="2"/>
        <v>2001_Timor-Leste</v>
      </c>
      <c r="D104" s="826" t="s">
        <v>3121</v>
      </c>
      <c r="E104" s="826" t="s">
        <v>3088</v>
      </c>
      <c r="F104" s="826" t="str">
        <f t="shared" si="3"/>
        <v>..</v>
      </c>
      <c r="G104" s="826" t="s">
        <v>3121</v>
      </c>
      <c r="H104" s="826" t="s">
        <v>3121</v>
      </c>
      <c r="I104" s="826" t="s">
        <v>3121</v>
      </c>
      <c r="J104" s="826" t="s">
        <v>3121</v>
      </c>
      <c r="K104" s="826" t="s">
        <v>3121</v>
      </c>
      <c r="L104" s="826" t="s">
        <v>3121</v>
      </c>
      <c r="M104" s="826" t="s">
        <v>3121</v>
      </c>
      <c r="N104" s="826" t="s">
        <v>3121</v>
      </c>
      <c r="O104" s="826" t="s">
        <v>3121</v>
      </c>
      <c r="P104" s="826" t="s">
        <v>3121</v>
      </c>
      <c r="Q104" s="826" t="s">
        <v>3121</v>
      </c>
      <c r="R104" s="826" t="s">
        <v>3121</v>
      </c>
      <c r="S104" s="826" t="s">
        <v>3121</v>
      </c>
      <c r="T104" s="826" t="s">
        <v>3121</v>
      </c>
      <c r="U104" s="826" t="s">
        <v>3121</v>
      </c>
      <c r="V104" s="826" t="s">
        <v>3121</v>
      </c>
    </row>
    <row r="105" spans="1:22">
      <c r="A105" s="826" t="s">
        <v>3123</v>
      </c>
      <c r="B105" s="826" t="s">
        <v>517</v>
      </c>
      <c r="C105" s="826" t="str">
        <f t="shared" si="2"/>
        <v>2001_Togo</v>
      </c>
      <c r="D105" s="826">
        <v>71.754999999999995</v>
      </c>
      <c r="E105" s="826">
        <v>428.96699999999998</v>
      </c>
      <c r="F105" s="826">
        <f t="shared" si="3"/>
        <v>428967000</v>
      </c>
      <c r="G105" s="826">
        <v>357.21199999999999</v>
      </c>
      <c r="H105" s="826">
        <v>129.892</v>
      </c>
      <c r="I105" s="826">
        <v>645.96600000000001</v>
      </c>
      <c r="J105" s="826">
        <v>516.07399999999996</v>
      </c>
      <c r="K105" s="826">
        <v>-58.137</v>
      </c>
      <c r="L105" s="826">
        <v>-216.999</v>
      </c>
      <c r="M105" s="826">
        <v>-158.86199999999999</v>
      </c>
      <c r="N105" s="826">
        <v>16.727393948700001</v>
      </c>
      <c r="O105" s="826">
        <v>100</v>
      </c>
      <c r="P105" s="826">
        <v>83.272606051300002</v>
      </c>
      <c r="Q105" s="826">
        <v>20.108179068199998</v>
      </c>
      <c r="R105" s="826">
        <v>100</v>
      </c>
      <c r="S105" s="826">
        <v>79.891820931799998</v>
      </c>
      <c r="T105" s="826" t="s">
        <v>3088</v>
      </c>
      <c r="U105" s="826" t="s">
        <v>3088</v>
      </c>
      <c r="V105" s="826" t="s">
        <v>3088</v>
      </c>
    </row>
    <row r="106" spans="1:22">
      <c r="A106" s="826" t="s">
        <v>3123</v>
      </c>
      <c r="B106" s="826" t="s">
        <v>3091</v>
      </c>
      <c r="C106" s="826" t="str">
        <f t="shared" si="2"/>
        <v>2001_Trinidad and Tobago</v>
      </c>
      <c r="D106" s="826">
        <v>573.79999999999995</v>
      </c>
      <c r="E106" s="826">
        <v>4878</v>
      </c>
      <c r="F106" s="826">
        <f t="shared" si="3"/>
        <v>4878000000</v>
      </c>
      <c r="G106" s="826">
        <v>4304.2</v>
      </c>
      <c r="H106" s="826">
        <v>370</v>
      </c>
      <c r="I106" s="826">
        <v>3956.1</v>
      </c>
      <c r="J106" s="826">
        <v>3586.1</v>
      </c>
      <c r="K106" s="826">
        <v>203.8</v>
      </c>
      <c r="L106" s="826">
        <v>921.9</v>
      </c>
      <c r="M106" s="826">
        <v>718.1</v>
      </c>
      <c r="N106" s="826">
        <v>11.7630176302</v>
      </c>
      <c r="O106" s="826">
        <v>100</v>
      </c>
      <c r="P106" s="826">
        <v>88.236982369800003</v>
      </c>
      <c r="Q106" s="826">
        <v>9.3526452819999992</v>
      </c>
      <c r="R106" s="826">
        <v>100</v>
      </c>
      <c r="S106" s="826">
        <v>90.647354718000003</v>
      </c>
      <c r="T106" s="826" t="s">
        <v>3088</v>
      </c>
      <c r="U106" s="826" t="s">
        <v>3088</v>
      </c>
      <c r="V106" s="826" t="s">
        <v>3088</v>
      </c>
    </row>
    <row r="107" spans="1:22">
      <c r="A107" s="826" t="s">
        <v>3123</v>
      </c>
      <c r="B107" s="826" t="s">
        <v>499</v>
      </c>
      <c r="C107" s="826" t="str">
        <f t="shared" si="2"/>
        <v>2001_Tanzania</v>
      </c>
      <c r="D107" s="826">
        <v>915.39700000000005</v>
      </c>
      <c r="E107" s="826">
        <v>1766.6969999999999</v>
      </c>
      <c r="F107" s="826">
        <f t="shared" si="3"/>
        <v>1766697000</v>
      </c>
      <c r="G107" s="826">
        <v>851.3</v>
      </c>
      <c r="H107" s="826">
        <v>649.34500000000003</v>
      </c>
      <c r="I107" s="826">
        <v>2209.6849999999999</v>
      </c>
      <c r="J107" s="826">
        <v>1560.34</v>
      </c>
      <c r="K107" s="826">
        <v>266.05200000000002</v>
      </c>
      <c r="L107" s="826">
        <v>-442.988</v>
      </c>
      <c r="M107" s="826">
        <v>-709.04</v>
      </c>
      <c r="N107" s="826">
        <v>51.8140348911</v>
      </c>
      <c r="O107" s="826">
        <v>100</v>
      </c>
      <c r="P107" s="826">
        <v>48.1859651089</v>
      </c>
      <c r="Q107" s="826">
        <v>29.386315243999999</v>
      </c>
      <c r="R107" s="826">
        <v>100</v>
      </c>
      <c r="S107" s="826">
        <v>70.613684755999998</v>
      </c>
      <c r="T107" s="826" t="s">
        <v>3088</v>
      </c>
      <c r="U107" s="826" t="s">
        <v>3088</v>
      </c>
      <c r="V107" s="826" t="s">
        <v>3088</v>
      </c>
    </row>
    <row r="108" spans="1:22">
      <c r="A108" s="826" t="s">
        <v>3123</v>
      </c>
      <c r="B108" s="826" t="s">
        <v>529</v>
      </c>
      <c r="C108" s="826" t="str">
        <f t="shared" si="2"/>
        <v>2001_Yemen</v>
      </c>
      <c r="D108" s="826">
        <v>166.42500000000001</v>
      </c>
      <c r="E108" s="826">
        <v>3533.2849999999999</v>
      </c>
      <c r="F108" s="826">
        <f t="shared" si="3"/>
        <v>3533285000</v>
      </c>
      <c r="G108" s="826">
        <v>3366.86</v>
      </c>
      <c r="H108" s="826">
        <v>847.76400000000001</v>
      </c>
      <c r="I108" s="826">
        <v>3448.194</v>
      </c>
      <c r="J108" s="826">
        <v>2600.4299999999998</v>
      </c>
      <c r="K108" s="826">
        <v>-681.33900000000006</v>
      </c>
      <c r="L108" s="826">
        <v>85.090999999999994</v>
      </c>
      <c r="M108" s="826">
        <v>766.43</v>
      </c>
      <c r="N108" s="826">
        <v>4.7102059414999999</v>
      </c>
      <c r="O108" s="826">
        <v>100</v>
      </c>
      <c r="P108" s="826">
        <v>95.289794058499993</v>
      </c>
      <c r="Q108" s="826">
        <v>24.5857396655</v>
      </c>
      <c r="R108" s="826">
        <v>100</v>
      </c>
      <c r="S108" s="826">
        <v>75.4142603345</v>
      </c>
      <c r="T108" s="826" t="s">
        <v>3088</v>
      </c>
      <c r="U108" s="826" t="s">
        <v>3088</v>
      </c>
      <c r="V108" s="826" t="s">
        <v>3088</v>
      </c>
    </row>
    <row r="109" spans="1:22">
      <c r="A109" s="826" t="s">
        <v>3123</v>
      </c>
      <c r="B109" s="826" t="s">
        <v>541</v>
      </c>
      <c r="C109" s="826" t="str">
        <f t="shared" si="2"/>
        <v>2001_Zambia</v>
      </c>
      <c r="D109" s="826">
        <v>144.04</v>
      </c>
      <c r="E109" s="826">
        <v>1054.825</v>
      </c>
      <c r="F109" s="826">
        <f t="shared" si="3"/>
        <v>1054825000</v>
      </c>
      <c r="G109" s="826">
        <v>910.78499999999997</v>
      </c>
      <c r="H109" s="826">
        <v>366.62700000000001</v>
      </c>
      <c r="I109" s="826">
        <v>1619.557</v>
      </c>
      <c r="J109" s="826">
        <v>1252.93</v>
      </c>
      <c r="K109" s="826">
        <v>-222.58699999999999</v>
      </c>
      <c r="L109" s="826">
        <v>-564.73199999999997</v>
      </c>
      <c r="M109" s="826">
        <v>-342.14499999999998</v>
      </c>
      <c r="N109" s="826">
        <v>13.655345673499999</v>
      </c>
      <c r="O109" s="826">
        <v>100</v>
      </c>
      <c r="P109" s="826">
        <v>86.344654326500006</v>
      </c>
      <c r="Q109" s="826">
        <v>22.6374866707</v>
      </c>
      <c r="R109" s="826">
        <v>100</v>
      </c>
      <c r="S109" s="826">
        <v>77.3625133293</v>
      </c>
      <c r="T109" s="826" t="s">
        <v>3088</v>
      </c>
      <c r="U109" s="826" t="s">
        <v>3088</v>
      </c>
      <c r="V109" s="826" t="s">
        <v>3088</v>
      </c>
    </row>
    <row r="110" spans="1:22">
      <c r="A110" s="826" t="s">
        <v>3124</v>
      </c>
      <c r="B110" s="826" t="s">
        <v>21</v>
      </c>
      <c r="C110" s="826" t="str">
        <f t="shared" si="2"/>
        <v>2002_Afghanistan</v>
      </c>
      <c r="D110" s="826" t="s">
        <v>603</v>
      </c>
      <c r="E110" s="826" t="s">
        <v>3088</v>
      </c>
      <c r="F110" s="826" t="str">
        <f t="shared" si="3"/>
        <v>..</v>
      </c>
      <c r="G110" s="826">
        <v>1290.5999999999999</v>
      </c>
      <c r="H110" s="826" t="s">
        <v>603</v>
      </c>
      <c r="I110" s="826" t="s">
        <v>603</v>
      </c>
      <c r="J110" s="826">
        <v>2508.1999999999998</v>
      </c>
      <c r="K110" s="826" t="s">
        <v>603</v>
      </c>
      <c r="L110" s="826" t="s">
        <v>603</v>
      </c>
      <c r="M110" s="826">
        <v>-1217.5999999999999</v>
      </c>
      <c r="N110" s="826" t="s">
        <v>603</v>
      </c>
      <c r="O110" s="826" t="s">
        <v>603</v>
      </c>
      <c r="P110" s="826">
        <v>96.212911883100006</v>
      </c>
      <c r="Q110" s="826" t="s">
        <v>603</v>
      </c>
      <c r="R110" s="826" t="s">
        <v>603</v>
      </c>
      <c r="S110" s="826">
        <v>97.489116915400004</v>
      </c>
      <c r="T110" s="826" t="s">
        <v>3088</v>
      </c>
      <c r="U110" s="826" t="s">
        <v>3088</v>
      </c>
      <c r="V110" s="826" t="s">
        <v>3088</v>
      </c>
    </row>
    <row r="111" spans="1:22">
      <c r="A111" s="826" t="s">
        <v>3124</v>
      </c>
      <c r="B111" s="826" t="s">
        <v>38</v>
      </c>
      <c r="C111" s="826" t="str">
        <f t="shared" si="2"/>
        <v>2002_Albania</v>
      </c>
      <c r="D111" s="826">
        <v>585</v>
      </c>
      <c r="E111" s="826">
        <v>915.24</v>
      </c>
      <c r="F111" s="826">
        <f t="shared" si="3"/>
        <v>915240000</v>
      </c>
      <c r="G111" s="826">
        <v>330.24</v>
      </c>
      <c r="H111" s="826">
        <v>590.21</v>
      </c>
      <c r="I111" s="826">
        <v>2075.5700000000002</v>
      </c>
      <c r="J111" s="826">
        <v>1485.36</v>
      </c>
      <c r="K111" s="826">
        <v>-5.21</v>
      </c>
      <c r="L111" s="826">
        <v>-1160.33</v>
      </c>
      <c r="M111" s="826">
        <v>-1155.1199999999999</v>
      </c>
      <c r="N111" s="826">
        <v>63.917660941400001</v>
      </c>
      <c r="O111" s="826">
        <v>100</v>
      </c>
      <c r="P111" s="826">
        <v>36.082339058599999</v>
      </c>
      <c r="Q111" s="826">
        <v>28.436044074600002</v>
      </c>
      <c r="R111" s="826">
        <v>100</v>
      </c>
      <c r="S111" s="826">
        <v>71.563955925399995</v>
      </c>
      <c r="T111" s="826" t="s">
        <v>3088</v>
      </c>
      <c r="U111" s="826" t="s">
        <v>3088</v>
      </c>
      <c r="V111" s="826" t="s">
        <v>3088</v>
      </c>
    </row>
    <row r="112" spans="1:22">
      <c r="A112" s="826" t="s">
        <v>3124</v>
      </c>
      <c r="B112" s="826" t="s">
        <v>53</v>
      </c>
      <c r="C112" s="826" t="str">
        <f t="shared" si="2"/>
        <v>2002_Azerbaijan</v>
      </c>
      <c r="D112" s="826">
        <v>362.13600000000002</v>
      </c>
      <c r="E112" s="826">
        <v>2667.0259999999998</v>
      </c>
      <c r="F112" s="826">
        <f t="shared" si="3"/>
        <v>2667026000</v>
      </c>
      <c r="G112" s="826">
        <v>2304.89</v>
      </c>
      <c r="H112" s="826">
        <v>1297.73</v>
      </c>
      <c r="I112" s="826">
        <v>3121.07</v>
      </c>
      <c r="J112" s="826">
        <v>1823.34</v>
      </c>
      <c r="K112" s="826">
        <v>-935.59400000000005</v>
      </c>
      <c r="L112" s="826">
        <v>-454.04399999999998</v>
      </c>
      <c r="M112" s="826">
        <v>481.55</v>
      </c>
      <c r="N112" s="826">
        <v>13.5782703281</v>
      </c>
      <c r="O112" s="826">
        <v>100</v>
      </c>
      <c r="P112" s="826">
        <v>86.421729671899996</v>
      </c>
      <c r="Q112" s="826">
        <v>41.579650568600002</v>
      </c>
      <c r="R112" s="826">
        <v>100</v>
      </c>
      <c r="S112" s="826">
        <v>58.420349431399998</v>
      </c>
      <c r="T112" s="826" t="s">
        <v>3088</v>
      </c>
      <c r="U112" s="826" t="s">
        <v>3088</v>
      </c>
      <c r="V112" s="826" t="s">
        <v>3088</v>
      </c>
    </row>
    <row r="113" spans="1:22">
      <c r="A113" s="826" t="s">
        <v>3124</v>
      </c>
      <c r="B113" s="826" t="s">
        <v>98</v>
      </c>
      <c r="C113" s="826" t="str">
        <f t="shared" si="2"/>
        <v>2002_Burkina Faso</v>
      </c>
      <c r="D113" s="826">
        <v>47.743000000000002</v>
      </c>
      <c r="E113" s="826">
        <v>292.786</v>
      </c>
      <c r="F113" s="826">
        <f t="shared" si="3"/>
        <v>292786000</v>
      </c>
      <c r="G113" s="826">
        <v>245.04300000000001</v>
      </c>
      <c r="H113" s="826">
        <v>151.779</v>
      </c>
      <c r="I113" s="826">
        <v>699.42100000000005</v>
      </c>
      <c r="J113" s="826">
        <v>547.64200000000005</v>
      </c>
      <c r="K113" s="826">
        <v>-104.036</v>
      </c>
      <c r="L113" s="826">
        <v>-406.63499999999999</v>
      </c>
      <c r="M113" s="826">
        <v>-302.59899999999999</v>
      </c>
      <c r="N113" s="826">
        <v>16.3064490788</v>
      </c>
      <c r="O113" s="826">
        <v>100</v>
      </c>
      <c r="P113" s="826">
        <v>83.6935509212</v>
      </c>
      <c r="Q113" s="826">
        <v>21.7006638348</v>
      </c>
      <c r="R113" s="826">
        <v>100</v>
      </c>
      <c r="S113" s="826">
        <v>78.299336165200003</v>
      </c>
      <c r="T113" s="826" t="s">
        <v>3088</v>
      </c>
      <c r="U113" s="826" t="s">
        <v>3088</v>
      </c>
      <c r="V113" s="826" t="s">
        <v>3088</v>
      </c>
    </row>
    <row r="114" spans="1:22">
      <c r="A114" s="826" t="s">
        <v>3124</v>
      </c>
      <c r="B114" s="826" t="s">
        <v>3136</v>
      </c>
      <c r="C114" s="826" t="str">
        <f t="shared" si="2"/>
        <v>2002_ Cameroon</v>
      </c>
      <c r="D114" s="826">
        <v>1020.85</v>
      </c>
      <c r="E114" s="826">
        <v>2985.14</v>
      </c>
      <c r="F114" s="826">
        <f t="shared" si="3"/>
        <v>2985140000</v>
      </c>
      <c r="G114" s="826">
        <v>1964.29</v>
      </c>
      <c r="H114" s="826">
        <v>1286.28</v>
      </c>
      <c r="I114" s="826">
        <v>3097.89</v>
      </c>
      <c r="J114" s="826">
        <v>1811.61</v>
      </c>
      <c r="K114" s="826">
        <v>-265.43</v>
      </c>
      <c r="L114" s="826">
        <v>-112.75</v>
      </c>
      <c r="M114" s="826">
        <v>152.68</v>
      </c>
      <c r="N114" s="826">
        <v>34.197726069799998</v>
      </c>
      <c r="O114" s="826">
        <v>100</v>
      </c>
      <c r="P114" s="826">
        <v>65.802273930200002</v>
      </c>
      <c r="Q114" s="826">
        <v>41.521164405500002</v>
      </c>
      <c r="R114" s="826">
        <v>100</v>
      </c>
      <c r="S114" s="826">
        <v>58.478835594499998</v>
      </c>
      <c r="T114" s="826" t="s">
        <v>3088</v>
      </c>
      <c r="U114" s="826" t="s">
        <v>3088</v>
      </c>
      <c r="V114" s="826" t="s">
        <v>3088</v>
      </c>
    </row>
    <row r="115" spans="1:22">
      <c r="A115" s="826" t="s">
        <v>3124</v>
      </c>
      <c r="B115" s="826" t="s">
        <v>127</v>
      </c>
      <c r="C115" s="826" t="str">
        <f t="shared" si="2"/>
        <v>2002_Central African Republic</v>
      </c>
      <c r="D115" s="826">
        <v>14.731960949999999</v>
      </c>
      <c r="E115" s="826">
        <v>161.50636739000001</v>
      </c>
      <c r="F115" s="826">
        <f t="shared" si="3"/>
        <v>161506367.39000002</v>
      </c>
      <c r="G115" s="826">
        <v>146.77440644000001</v>
      </c>
      <c r="H115" s="826">
        <v>89.727513239999993</v>
      </c>
      <c r="I115" s="826">
        <v>209.95913845999999</v>
      </c>
      <c r="J115" s="826">
        <v>120.23162522</v>
      </c>
      <c r="K115" s="826">
        <v>-74.995552290000006</v>
      </c>
      <c r="L115" s="826">
        <v>-48.452771069999997</v>
      </c>
      <c r="M115" s="826">
        <v>26.542781219999998</v>
      </c>
      <c r="N115" s="826">
        <v>9.1215976113000004</v>
      </c>
      <c r="O115" s="826">
        <v>100</v>
      </c>
      <c r="P115" s="826">
        <v>90.878402388699996</v>
      </c>
      <c r="Q115" s="826">
        <v>42.735702717300001</v>
      </c>
      <c r="R115" s="826">
        <v>100</v>
      </c>
      <c r="S115" s="826">
        <v>57.264297282699999</v>
      </c>
      <c r="T115" s="826" t="s">
        <v>3088</v>
      </c>
      <c r="U115" s="826" t="s">
        <v>3088</v>
      </c>
      <c r="V115" s="826" t="s">
        <v>3088</v>
      </c>
    </row>
    <row r="116" spans="1:22">
      <c r="A116" s="826" t="s">
        <v>3124</v>
      </c>
      <c r="B116" s="826" t="s">
        <v>3137</v>
      </c>
      <c r="C116" s="826" t="str">
        <f t="shared" si="2"/>
        <v>2002_ Chad</v>
      </c>
      <c r="D116" s="826">
        <v>67.14606277</v>
      </c>
      <c r="E116" s="826">
        <v>251.79773539000001</v>
      </c>
      <c r="F116" s="826">
        <f t="shared" si="3"/>
        <v>251797735.39000002</v>
      </c>
      <c r="G116" s="826">
        <v>184.65167262</v>
      </c>
      <c r="H116" s="826">
        <v>670.59978077000005</v>
      </c>
      <c r="I116" s="826">
        <v>2170.7690806700002</v>
      </c>
      <c r="J116" s="826">
        <v>1500.1692998999999</v>
      </c>
      <c r="K116" s="826">
        <v>-603.45371799999998</v>
      </c>
      <c r="L116" s="826">
        <v>-1918.9713452799999</v>
      </c>
      <c r="M116" s="826">
        <v>-1315.5176272799999</v>
      </c>
      <c r="N116" s="826">
        <v>26.666666666400001</v>
      </c>
      <c r="O116" s="826">
        <v>100</v>
      </c>
      <c r="P116" s="826">
        <v>73.333333333599995</v>
      </c>
      <c r="Q116" s="826">
        <v>30.892267019199998</v>
      </c>
      <c r="R116" s="826">
        <v>100</v>
      </c>
      <c r="S116" s="826">
        <v>69.107732980799994</v>
      </c>
      <c r="T116" s="826" t="s">
        <v>3088</v>
      </c>
      <c r="U116" s="826" t="s">
        <v>3088</v>
      </c>
      <c r="V116" s="826" t="s">
        <v>3088</v>
      </c>
    </row>
    <row r="117" spans="1:22">
      <c r="A117" s="826" t="s">
        <v>3124</v>
      </c>
      <c r="B117" s="826" t="s">
        <v>465</v>
      </c>
      <c r="C117" s="826" t="str">
        <f t="shared" si="2"/>
        <v>2002_Republic of the Congo</v>
      </c>
      <c r="D117" s="826">
        <v>164.798</v>
      </c>
      <c r="E117" s="826">
        <v>2453.6080000000002</v>
      </c>
      <c r="F117" s="826">
        <f t="shared" si="3"/>
        <v>2453608000</v>
      </c>
      <c r="G117" s="826">
        <v>2288.81</v>
      </c>
      <c r="H117" s="826">
        <v>926.88099999999997</v>
      </c>
      <c r="I117" s="826">
        <v>1618.0260000000001</v>
      </c>
      <c r="J117" s="826">
        <v>691.14499999999998</v>
      </c>
      <c r="K117" s="826">
        <v>-762.08299999999997</v>
      </c>
      <c r="L117" s="826">
        <v>835.58199999999999</v>
      </c>
      <c r="M117" s="826">
        <v>1597.665</v>
      </c>
      <c r="N117" s="826">
        <v>6.7165578202000003</v>
      </c>
      <c r="O117" s="826">
        <v>100</v>
      </c>
      <c r="P117" s="826">
        <v>93.283442179800005</v>
      </c>
      <c r="Q117" s="826">
        <v>57.284678985399999</v>
      </c>
      <c r="R117" s="826">
        <v>100</v>
      </c>
      <c r="S117" s="826">
        <v>42.715321014600001</v>
      </c>
      <c r="T117" s="826" t="s">
        <v>3088</v>
      </c>
      <c r="U117" s="826" t="s">
        <v>3088</v>
      </c>
      <c r="V117" s="826" t="s">
        <v>3088</v>
      </c>
    </row>
    <row r="118" spans="1:22">
      <c r="A118" s="826" t="s">
        <v>3124</v>
      </c>
      <c r="B118" s="826" t="s">
        <v>171</v>
      </c>
      <c r="C118" s="826" t="str">
        <f t="shared" si="2"/>
        <v>2002_Democratic Republic of Congo</v>
      </c>
      <c r="D118" s="826">
        <v>120.82858158000001</v>
      </c>
      <c r="E118" s="826">
        <v>1252.94050885</v>
      </c>
      <c r="F118" s="826">
        <f t="shared" si="3"/>
        <v>1252940508.8499999</v>
      </c>
      <c r="G118" s="826">
        <v>1132.11192727</v>
      </c>
      <c r="H118" s="826">
        <v>343.78215610000001</v>
      </c>
      <c r="I118" s="826">
        <v>1424.3117650900001</v>
      </c>
      <c r="J118" s="826">
        <v>1080.52960899</v>
      </c>
      <c r="K118" s="826">
        <v>-222.95357451999999</v>
      </c>
      <c r="L118" s="826">
        <v>-171.37125624000001</v>
      </c>
      <c r="M118" s="826">
        <v>51.582318280000003</v>
      </c>
      <c r="N118" s="826">
        <v>9.6436008515000005</v>
      </c>
      <c r="O118" s="826">
        <v>100</v>
      </c>
      <c r="P118" s="826">
        <v>90.356399148500003</v>
      </c>
      <c r="Q118" s="826">
        <v>24.136720943099998</v>
      </c>
      <c r="R118" s="826">
        <v>100</v>
      </c>
      <c r="S118" s="826">
        <v>75.863279056899998</v>
      </c>
      <c r="T118" s="826" t="s">
        <v>3088</v>
      </c>
      <c r="U118" s="826" t="s">
        <v>3088</v>
      </c>
      <c r="V118" s="826" t="s">
        <v>3088</v>
      </c>
    </row>
    <row r="119" spans="1:22">
      <c r="A119" s="826" t="s">
        <v>3124</v>
      </c>
      <c r="B119" s="826" t="s">
        <v>3138</v>
      </c>
      <c r="C119" s="826" t="str">
        <f t="shared" si="2"/>
        <v>2002_ Equatorial Guinea</v>
      </c>
      <c r="D119" s="826">
        <v>25.42689944</v>
      </c>
      <c r="E119" s="826">
        <v>2142.0580153599999</v>
      </c>
      <c r="F119" s="826">
        <f t="shared" si="3"/>
        <v>2142058015.3599999</v>
      </c>
      <c r="G119" s="826">
        <v>2116.63111592</v>
      </c>
      <c r="H119" s="826">
        <v>616.30291743999999</v>
      </c>
      <c r="I119" s="826">
        <v>1123.66535473</v>
      </c>
      <c r="J119" s="826">
        <v>507.36243729</v>
      </c>
      <c r="K119" s="826">
        <v>-590.87601800000004</v>
      </c>
      <c r="L119" s="826">
        <v>1018.39266063</v>
      </c>
      <c r="M119" s="826">
        <v>1609.2686786300001</v>
      </c>
      <c r="N119" s="826">
        <v>1.1870313156000001</v>
      </c>
      <c r="O119" s="826">
        <v>100</v>
      </c>
      <c r="P119" s="826">
        <v>98.812968684400005</v>
      </c>
      <c r="Q119" s="826">
        <v>54.847550015300001</v>
      </c>
      <c r="R119" s="826">
        <v>100</v>
      </c>
      <c r="S119" s="826">
        <v>45.152449984699999</v>
      </c>
      <c r="T119" s="826" t="s">
        <v>3088</v>
      </c>
      <c r="U119" s="826" t="s">
        <v>3088</v>
      </c>
      <c r="V119" s="826" t="s">
        <v>3088</v>
      </c>
    </row>
    <row r="120" spans="1:22">
      <c r="A120" s="826" t="s">
        <v>3124</v>
      </c>
      <c r="B120" s="826" t="s">
        <v>3139</v>
      </c>
      <c r="C120" s="826" t="str">
        <f t="shared" si="2"/>
        <v>2002_ Gabon</v>
      </c>
      <c r="D120" s="826">
        <v>86</v>
      </c>
      <c r="E120" s="826">
        <v>2641.51</v>
      </c>
      <c r="F120" s="826">
        <f t="shared" si="3"/>
        <v>2641510000</v>
      </c>
      <c r="G120" s="826">
        <v>2555.5100000000002</v>
      </c>
      <c r="H120" s="826">
        <v>758.60400000000004</v>
      </c>
      <c r="I120" s="826">
        <v>1693.5809999999999</v>
      </c>
      <c r="J120" s="826">
        <v>934.97699999999998</v>
      </c>
      <c r="K120" s="826">
        <v>-672.60400000000004</v>
      </c>
      <c r="L120" s="826">
        <v>947.92899999999997</v>
      </c>
      <c r="M120" s="826">
        <v>1620.5329999999999</v>
      </c>
      <c r="N120" s="826">
        <v>3.2557135880999999</v>
      </c>
      <c r="O120" s="826">
        <v>100</v>
      </c>
      <c r="P120" s="826">
        <v>96.744286411900006</v>
      </c>
      <c r="Q120" s="826">
        <v>44.792897416800002</v>
      </c>
      <c r="R120" s="826">
        <v>100</v>
      </c>
      <c r="S120" s="826">
        <v>55.207102583199998</v>
      </c>
      <c r="T120" s="826" t="s">
        <v>3088</v>
      </c>
      <c r="U120" s="826" t="s">
        <v>3088</v>
      </c>
      <c r="V120" s="826" t="s">
        <v>3088</v>
      </c>
    </row>
    <row r="121" spans="1:22">
      <c r="A121" s="826" t="s">
        <v>3124</v>
      </c>
      <c r="B121" s="826" t="s">
        <v>195</v>
      </c>
      <c r="C121" s="826" t="str">
        <f t="shared" si="2"/>
        <v>2002_Ghana</v>
      </c>
      <c r="D121" s="826">
        <v>554.9</v>
      </c>
      <c r="E121" s="826">
        <v>2570.1</v>
      </c>
      <c r="F121" s="826">
        <f t="shared" si="3"/>
        <v>2570100000</v>
      </c>
      <c r="G121" s="826">
        <v>2015.2</v>
      </c>
      <c r="H121" s="826">
        <v>620.91200000000003</v>
      </c>
      <c r="I121" s="826">
        <v>3327.9119999999998</v>
      </c>
      <c r="J121" s="826">
        <v>2707</v>
      </c>
      <c r="K121" s="826">
        <v>-66.012</v>
      </c>
      <c r="L121" s="826">
        <v>-757.81200000000001</v>
      </c>
      <c r="M121" s="826">
        <v>-691.8</v>
      </c>
      <c r="N121" s="826">
        <v>21.5905995876</v>
      </c>
      <c r="O121" s="826">
        <v>100</v>
      </c>
      <c r="P121" s="826">
        <v>78.409400412400004</v>
      </c>
      <c r="Q121" s="826">
        <v>18.657704891200002</v>
      </c>
      <c r="R121" s="826">
        <v>100</v>
      </c>
      <c r="S121" s="826">
        <v>81.342295108800002</v>
      </c>
      <c r="T121" s="826" t="s">
        <v>3088</v>
      </c>
      <c r="U121" s="826" t="s">
        <v>3088</v>
      </c>
      <c r="V121" s="826" t="s">
        <v>3088</v>
      </c>
    </row>
    <row r="122" spans="1:22">
      <c r="A122" s="826" t="s">
        <v>3124</v>
      </c>
      <c r="B122" s="826" t="s">
        <v>219</v>
      </c>
      <c r="C122" s="826" t="str">
        <f t="shared" si="2"/>
        <v>2002_Guatemala</v>
      </c>
      <c r="D122" s="826">
        <v>1145.3800000000001</v>
      </c>
      <c r="E122" s="826">
        <v>3964.3</v>
      </c>
      <c r="F122" s="826">
        <f t="shared" si="3"/>
        <v>3964300000</v>
      </c>
      <c r="G122" s="826">
        <v>2818.92</v>
      </c>
      <c r="H122" s="826">
        <v>1066.05</v>
      </c>
      <c r="I122" s="826">
        <v>6857.06</v>
      </c>
      <c r="J122" s="826">
        <v>5791.01</v>
      </c>
      <c r="K122" s="826">
        <v>79.33</v>
      </c>
      <c r="L122" s="826">
        <v>-2892.76</v>
      </c>
      <c r="M122" s="826">
        <v>-2972.09</v>
      </c>
      <c r="N122" s="826">
        <v>28.892364351800001</v>
      </c>
      <c r="O122" s="826">
        <v>100</v>
      </c>
      <c r="P122" s="826">
        <v>71.107635648200002</v>
      </c>
      <c r="Q122" s="826">
        <v>15.5467503566</v>
      </c>
      <c r="R122" s="826">
        <v>100</v>
      </c>
      <c r="S122" s="826">
        <v>84.4532496434</v>
      </c>
      <c r="T122" s="826" t="s">
        <v>3088</v>
      </c>
      <c r="U122" s="826" t="s">
        <v>3088</v>
      </c>
      <c r="V122" s="826" t="s">
        <v>3088</v>
      </c>
    </row>
    <row r="123" spans="1:22">
      <c r="A123" s="826" t="s">
        <v>3124</v>
      </c>
      <c r="B123" s="826" t="s">
        <v>3140</v>
      </c>
      <c r="C123" s="826" t="str">
        <f t="shared" si="2"/>
        <v>2002_ Guinea</v>
      </c>
      <c r="D123" s="826">
        <v>90.47</v>
      </c>
      <c r="E123" s="826">
        <v>799.06799999999998</v>
      </c>
      <c r="F123" s="826">
        <f t="shared" si="3"/>
        <v>799068000</v>
      </c>
      <c r="G123" s="826">
        <v>708.59799999999996</v>
      </c>
      <c r="H123" s="826">
        <v>330.64</v>
      </c>
      <c r="I123" s="826">
        <v>999.15899999999999</v>
      </c>
      <c r="J123" s="826">
        <v>668.51900000000001</v>
      </c>
      <c r="K123" s="826">
        <v>-240.17</v>
      </c>
      <c r="L123" s="826">
        <v>-200.09100000000001</v>
      </c>
      <c r="M123" s="826">
        <v>40.079000000000001</v>
      </c>
      <c r="N123" s="826">
        <v>11.321940060199999</v>
      </c>
      <c r="O123" s="826">
        <v>100</v>
      </c>
      <c r="P123" s="826">
        <v>88.678059939799994</v>
      </c>
      <c r="Q123" s="826">
        <v>33.091830229199999</v>
      </c>
      <c r="R123" s="826">
        <v>100</v>
      </c>
      <c r="S123" s="826">
        <v>66.908169770800001</v>
      </c>
      <c r="T123" s="826" t="s">
        <v>3088</v>
      </c>
      <c r="U123" s="826" t="s">
        <v>3088</v>
      </c>
      <c r="V123" s="826" t="s">
        <v>3088</v>
      </c>
    </row>
    <row r="124" spans="1:22">
      <c r="A124" s="826" t="s">
        <v>3124</v>
      </c>
      <c r="B124" s="826" t="s">
        <v>243</v>
      </c>
      <c r="C124" s="826" t="str">
        <f t="shared" si="2"/>
        <v>2002_Indonesia</v>
      </c>
      <c r="D124" s="826" t="s">
        <v>3121</v>
      </c>
      <c r="E124" s="826" t="s">
        <v>3088</v>
      </c>
      <c r="F124" s="826" t="str">
        <f t="shared" si="3"/>
        <v>..</v>
      </c>
      <c r="G124" s="826" t="s">
        <v>3121</v>
      </c>
      <c r="H124" s="826" t="s">
        <v>3121</v>
      </c>
      <c r="I124" s="826" t="s">
        <v>3121</v>
      </c>
      <c r="J124" s="826" t="s">
        <v>3121</v>
      </c>
      <c r="K124" s="826" t="s">
        <v>3121</v>
      </c>
      <c r="L124" s="826" t="s">
        <v>3121</v>
      </c>
      <c r="M124" s="826" t="s">
        <v>3121</v>
      </c>
      <c r="N124" s="826" t="s">
        <v>3121</v>
      </c>
      <c r="O124" s="826" t="s">
        <v>3121</v>
      </c>
      <c r="P124" s="826" t="s">
        <v>3121</v>
      </c>
      <c r="Q124" s="826" t="s">
        <v>3121</v>
      </c>
      <c r="R124" s="826" t="s">
        <v>3121</v>
      </c>
      <c r="S124" s="826" t="s">
        <v>3121</v>
      </c>
      <c r="T124" s="826" t="s">
        <v>3121</v>
      </c>
      <c r="U124" s="826" t="s">
        <v>3121</v>
      </c>
      <c r="V124" s="826" t="s">
        <v>3121</v>
      </c>
    </row>
    <row r="125" spans="1:22">
      <c r="A125" s="826" t="s">
        <v>3124</v>
      </c>
      <c r="B125" s="826" t="s">
        <v>251</v>
      </c>
      <c r="C125" s="826" t="str">
        <f t="shared" si="2"/>
        <v>2002_Iraq</v>
      </c>
      <c r="D125" s="826" t="s">
        <v>603</v>
      </c>
      <c r="E125" s="826" t="s">
        <v>3088</v>
      </c>
      <c r="F125" s="826" t="str">
        <f t="shared" si="3"/>
        <v>..</v>
      </c>
      <c r="G125" s="826">
        <v>12218.8</v>
      </c>
      <c r="H125" s="826" t="s">
        <v>603</v>
      </c>
      <c r="I125" s="826" t="s">
        <v>603</v>
      </c>
      <c r="J125" s="826">
        <v>8252.0055240000002</v>
      </c>
      <c r="K125" s="826" t="s">
        <v>603</v>
      </c>
      <c r="L125" s="826" t="s">
        <v>603</v>
      </c>
      <c r="M125" s="826">
        <v>3966.794476</v>
      </c>
      <c r="N125" s="826" t="s">
        <v>603</v>
      </c>
      <c r="O125" s="826" t="s">
        <v>603</v>
      </c>
      <c r="P125" s="826">
        <v>97.963230219600007</v>
      </c>
      <c r="Q125" s="826" t="s">
        <v>603</v>
      </c>
      <c r="R125" s="826" t="s">
        <v>603</v>
      </c>
      <c r="S125" s="826">
        <v>83.5039509466</v>
      </c>
      <c r="T125" s="826" t="s">
        <v>3088</v>
      </c>
      <c r="U125" s="826" t="s">
        <v>3088</v>
      </c>
      <c r="V125" s="826" t="s">
        <v>3088</v>
      </c>
    </row>
    <row r="126" spans="1:22">
      <c r="A126" s="826" t="s">
        <v>3124</v>
      </c>
      <c r="B126" s="826" t="s">
        <v>280</v>
      </c>
      <c r="C126" s="826" t="str">
        <f t="shared" si="2"/>
        <v>2002_Kazakhstan</v>
      </c>
      <c r="D126" s="826">
        <v>1540.42</v>
      </c>
      <c r="E126" s="826">
        <v>11567.32</v>
      </c>
      <c r="F126" s="826">
        <f t="shared" si="3"/>
        <v>11567320000</v>
      </c>
      <c r="G126" s="826">
        <v>10026.9</v>
      </c>
      <c r="H126" s="826">
        <v>3538.28</v>
      </c>
      <c r="I126" s="826">
        <v>11578.05</v>
      </c>
      <c r="J126" s="826">
        <v>8039.77</v>
      </c>
      <c r="K126" s="826">
        <v>-1997.86</v>
      </c>
      <c r="L126" s="826">
        <v>-10.73</v>
      </c>
      <c r="M126" s="826">
        <v>1987.13</v>
      </c>
      <c r="N126" s="826">
        <v>13.316999962000001</v>
      </c>
      <c r="O126" s="826">
        <v>100</v>
      </c>
      <c r="P126" s="826">
        <v>86.683000038000003</v>
      </c>
      <c r="Q126" s="826">
        <v>30.560241145999999</v>
      </c>
      <c r="R126" s="826">
        <v>100</v>
      </c>
      <c r="S126" s="826">
        <v>69.439758854000004</v>
      </c>
      <c r="T126" s="826" t="s">
        <v>3088</v>
      </c>
      <c r="U126" s="826" t="s">
        <v>3088</v>
      </c>
      <c r="V126" s="826" t="s">
        <v>3088</v>
      </c>
    </row>
    <row r="127" spans="1:22">
      <c r="A127" s="826" t="s">
        <v>3124</v>
      </c>
      <c r="B127" s="826" t="s">
        <v>3141</v>
      </c>
      <c r="C127" s="826" t="str">
        <f t="shared" si="2"/>
        <v>2002_Kyrgyzstan</v>
      </c>
      <c r="D127" s="826">
        <v>142.01</v>
      </c>
      <c r="E127" s="826">
        <v>640.09699999999998</v>
      </c>
      <c r="F127" s="826">
        <f t="shared" si="3"/>
        <v>640097000</v>
      </c>
      <c r="G127" s="826">
        <v>498.08699999999999</v>
      </c>
      <c r="H127" s="826">
        <v>146.929</v>
      </c>
      <c r="I127" s="826">
        <v>718.29100000000005</v>
      </c>
      <c r="J127" s="826">
        <v>571.36199999999997</v>
      </c>
      <c r="K127" s="826">
        <v>-4.9189999999999996</v>
      </c>
      <c r="L127" s="826">
        <v>-78.194000000000003</v>
      </c>
      <c r="M127" s="826">
        <v>-73.275000000000006</v>
      </c>
      <c r="N127" s="826">
        <v>22.185699979799999</v>
      </c>
      <c r="O127" s="826">
        <v>100</v>
      </c>
      <c r="P127" s="826">
        <v>77.814300020199994</v>
      </c>
      <c r="Q127" s="826">
        <v>20.4553586221</v>
      </c>
      <c r="R127" s="826">
        <v>100</v>
      </c>
      <c r="S127" s="826">
        <v>79.544641377900007</v>
      </c>
      <c r="T127" s="826" t="s">
        <v>3088</v>
      </c>
      <c r="U127" s="826" t="s">
        <v>3088</v>
      </c>
      <c r="V127" s="826" t="s">
        <v>3088</v>
      </c>
    </row>
    <row r="128" spans="1:22">
      <c r="A128" s="826" t="s">
        <v>3124</v>
      </c>
      <c r="B128" s="826" t="s">
        <v>301</v>
      </c>
      <c r="C128" s="826" t="str">
        <f t="shared" si="2"/>
        <v>2002_Liberia</v>
      </c>
      <c r="D128" s="826" t="s">
        <v>603</v>
      </c>
      <c r="E128" s="826" t="s">
        <v>3088</v>
      </c>
      <c r="F128" s="826" t="str">
        <f t="shared" si="3"/>
        <v>..</v>
      </c>
      <c r="G128" s="826" t="s">
        <v>603</v>
      </c>
      <c r="H128" s="826" t="s">
        <v>603</v>
      </c>
      <c r="I128" s="826" t="s">
        <v>603</v>
      </c>
      <c r="J128" s="826">
        <v>145</v>
      </c>
      <c r="K128" s="826" t="s">
        <v>603</v>
      </c>
      <c r="L128" s="826" t="s">
        <v>603</v>
      </c>
      <c r="M128" s="826" t="s">
        <v>603</v>
      </c>
      <c r="N128" s="826" t="s">
        <v>603</v>
      </c>
      <c r="O128" s="826" t="s">
        <v>603</v>
      </c>
      <c r="P128" s="826" t="s">
        <v>603</v>
      </c>
      <c r="Q128" s="826" t="s">
        <v>603</v>
      </c>
      <c r="R128" s="826" t="s">
        <v>603</v>
      </c>
      <c r="S128" s="826">
        <v>52.645168159599997</v>
      </c>
      <c r="T128" s="826" t="s">
        <v>3088</v>
      </c>
      <c r="U128" s="826" t="s">
        <v>3088</v>
      </c>
      <c r="V128" s="826" t="s">
        <v>3088</v>
      </c>
    </row>
    <row r="129" spans="1:22">
      <c r="A129" s="826" t="s">
        <v>3124</v>
      </c>
      <c r="B129" s="826" t="s">
        <v>316</v>
      </c>
      <c r="C129" s="826" t="str">
        <f t="shared" si="2"/>
        <v>2002_Madagascar</v>
      </c>
      <c r="D129" s="826">
        <v>396.54</v>
      </c>
      <c r="E129" s="826">
        <v>1255.636</v>
      </c>
      <c r="F129" s="826">
        <f t="shared" si="3"/>
        <v>1255636000</v>
      </c>
      <c r="G129" s="826">
        <v>859.096</v>
      </c>
      <c r="H129" s="826">
        <v>704.21400000000006</v>
      </c>
      <c r="I129" s="826">
        <v>1770.614</v>
      </c>
      <c r="J129" s="826">
        <v>1066.4000000000001</v>
      </c>
      <c r="K129" s="826">
        <v>-307.67399999999998</v>
      </c>
      <c r="L129" s="826">
        <v>-514.97799999999995</v>
      </c>
      <c r="M129" s="826">
        <v>-207.304</v>
      </c>
      <c r="N129" s="826">
        <v>31.580808450900001</v>
      </c>
      <c r="O129" s="826">
        <v>100</v>
      </c>
      <c r="P129" s="826">
        <v>68.419191549100006</v>
      </c>
      <c r="Q129" s="826">
        <v>39.772304974400001</v>
      </c>
      <c r="R129" s="826">
        <v>100</v>
      </c>
      <c r="S129" s="826">
        <v>60.227695025599999</v>
      </c>
      <c r="T129" s="826" t="s">
        <v>3088</v>
      </c>
      <c r="U129" s="826" t="s">
        <v>3088</v>
      </c>
      <c r="V129" s="826" t="s">
        <v>3088</v>
      </c>
    </row>
    <row r="130" spans="1:22">
      <c r="A130" s="826" t="s">
        <v>3124</v>
      </c>
      <c r="B130" s="826" t="s">
        <v>329</v>
      </c>
      <c r="C130" s="826" t="str">
        <f t="shared" si="2"/>
        <v>2002_Mali</v>
      </c>
      <c r="D130" s="826">
        <v>169.41800000000001</v>
      </c>
      <c r="E130" s="826">
        <v>1044.5319999999999</v>
      </c>
      <c r="F130" s="826">
        <f t="shared" si="3"/>
        <v>1044531999.9999999</v>
      </c>
      <c r="G130" s="826">
        <v>875.11400000000003</v>
      </c>
      <c r="H130" s="826">
        <v>387.02100000000002</v>
      </c>
      <c r="I130" s="826">
        <v>1099.4780000000001</v>
      </c>
      <c r="J130" s="826">
        <v>712.45699999999999</v>
      </c>
      <c r="K130" s="826">
        <v>-217.60300000000001</v>
      </c>
      <c r="L130" s="826">
        <v>-54.945999999999998</v>
      </c>
      <c r="M130" s="826">
        <v>162.65700000000001</v>
      </c>
      <c r="N130" s="826">
        <v>16.219512662100001</v>
      </c>
      <c r="O130" s="826">
        <v>100</v>
      </c>
      <c r="P130" s="826">
        <v>83.780487337899999</v>
      </c>
      <c r="Q130" s="826">
        <v>35.200431477499997</v>
      </c>
      <c r="R130" s="826">
        <v>100</v>
      </c>
      <c r="S130" s="826">
        <v>64.799568522499996</v>
      </c>
      <c r="T130" s="826" t="s">
        <v>3088</v>
      </c>
      <c r="U130" s="826" t="s">
        <v>3088</v>
      </c>
      <c r="V130" s="826" t="s">
        <v>3088</v>
      </c>
    </row>
    <row r="131" spans="1:22">
      <c r="A131" s="826" t="s">
        <v>3124</v>
      </c>
      <c r="B131" s="826" t="s">
        <v>345</v>
      </c>
      <c r="C131" s="826" t="str">
        <f t="shared" si="2"/>
        <v>2002_Mauritania</v>
      </c>
      <c r="D131" s="826">
        <v>73.995707460000006</v>
      </c>
      <c r="E131" s="826">
        <v>405.43384685000001</v>
      </c>
      <c r="F131" s="826">
        <f t="shared" si="3"/>
        <v>405433846.85000002</v>
      </c>
      <c r="G131" s="826">
        <v>331.43813939</v>
      </c>
      <c r="H131" s="826">
        <v>154.32964770999999</v>
      </c>
      <c r="I131" s="826">
        <v>585.12378916</v>
      </c>
      <c r="J131" s="826">
        <v>430.79414144999998</v>
      </c>
      <c r="K131" s="826">
        <v>-80.333940249999998</v>
      </c>
      <c r="L131" s="826">
        <v>-179.68994230999999</v>
      </c>
      <c r="M131" s="826">
        <v>-99.356002059999994</v>
      </c>
      <c r="N131" s="826">
        <v>18.250994098</v>
      </c>
      <c r="O131" s="826">
        <v>100</v>
      </c>
      <c r="P131" s="826">
        <v>81.749005901999993</v>
      </c>
      <c r="Q131" s="826">
        <v>26.375555150699999</v>
      </c>
      <c r="R131" s="826">
        <v>100</v>
      </c>
      <c r="S131" s="826">
        <v>73.624444849300005</v>
      </c>
      <c r="T131" s="826" t="s">
        <v>3088</v>
      </c>
      <c r="U131" s="826" t="s">
        <v>3088</v>
      </c>
      <c r="V131" s="826" t="s">
        <v>3088</v>
      </c>
    </row>
    <row r="132" spans="1:22">
      <c r="A132" s="826" t="s">
        <v>3124</v>
      </c>
      <c r="B132" s="826" t="s">
        <v>364</v>
      </c>
      <c r="C132" s="826" t="str">
        <f t="shared" si="2"/>
        <v>2002_Mongolia</v>
      </c>
      <c r="D132" s="826">
        <v>183.92400000000001</v>
      </c>
      <c r="E132" s="826">
        <v>707.92399999999998</v>
      </c>
      <c r="F132" s="826">
        <f t="shared" si="3"/>
        <v>707924000</v>
      </c>
      <c r="G132" s="826">
        <v>524</v>
      </c>
      <c r="H132" s="826">
        <v>265.83999999999997</v>
      </c>
      <c r="I132" s="826">
        <v>946.01599999999996</v>
      </c>
      <c r="J132" s="826">
        <v>680.17600000000004</v>
      </c>
      <c r="K132" s="826">
        <v>-81.915999999999997</v>
      </c>
      <c r="L132" s="826">
        <v>-238.09200000000001</v>
      </c>
      <c r="M132" s="826">
        <v>-156.17599999999999</v>
      </c>
      <c r="N132" s="826">
        <v>25.9807549963</v>
      </c>
      <c r="O132" s="826">
        <v>100</v>
      </c>
      <c r="P132" s="826">
        <v>74.019245003699993</v>
      </c>
      <c r="Q132" s="826">
        <v>28.101004634199999</v>
      </c>
      <c r="R132" s="826">
        <v>100</v>
      </c>
      <c r="S132" s="826">
        <v>71.898995365800005</v>
      </c>
      <c r="T132" s="826" t="s">
        <v>3088</v>
      </c>
      <c r="U132" s="826" t="s">
        <v>3088</v>
      </c>
      <c r="V132" s="826" t="s">
        <v>3088</v>
      </c>
    </row>
    <row r="133" spans="1:22">
      <c r="A133" s="826" t="s">
        <v>3124</v>
      </c>
      <c r="B133" s="826" t="s">
        <v>385</v>
      </c>
      <c r="C133" s="826" t="str">
        <f t="shared" si="2"/>
        <v>2002_Mozambique</v>
      </c>
      <c r="D133" s="826">
        <v>339.37799999999999</v>
      </c>
      <c r="E133" s="826">
        <v>1149.19</v>
      </c>
      <c r="F133" s="826">
        <f t="shared" si="3"/>
        <v>1149190000</v>
      </c>
      <c r="G133" s="826">
        <v>809.81200000000001</v>
      </c>
      <c r="H133" s="826">
        <v>576.97699999999998</v>
      </c>
      <c r="I133" s="826">
        <v>2053.4270000000001</v>
      </c>
      <c r="J133" s="826">
        <v>1476.45</v>
      </c>
      <c r="K133" s="826">
        <v>-237.59899999999999</v>
      </c>
      <c r="L133" s="826">
        <v>-904.23699999999997</v>
      </c>
      <c r="M133" s="826">
        <v>-666.63800000000003</v>
      </c>
      <c r="N133" s="826">
        <v>29.5319311863</v>
      </c>
      <c r="O133" s="826">
        <v>100</v>
      </c>
      <c r="P133" s="826">
        <v>70.4680688137</v>
      </c>
      <c r="Q133" s="826">
        <v>28.098247466299998</v>
      </c>
      <c r="R133" s="826">
        <v>100</v>
      </c>
      <c r="S133" s="826">
        <v>71.901752533700005</v>
      </c>
      <c r="T133" s="826" t="s">
        <v>3088</v>
      </c>
      <c r="U133" s="826" t="s">
        <v>3088</v>
      </c>
      <c r="V133" s="826" t="s">
        <v>3088</v>
      </c>
    </row>
    <row r="134" spans="1:22">
      <c r="A134" s="826" t="s">
        <v>3124</v>
      </c>
      <c r="B134" s="826" t="s">
        <v>394</v>
      </c>
      <c r="C134" s="826" t="str">
        <f t="shared" ref="C134:C197" si="4">$A134&amp;"_"&amp;$B134</f>
        <v>2002_Niger</v>
      </c>
      <c r="D134" s="826">
        <v>50.555999999999997</v>
      </c>
      <c r="E134" s="826">
        <v>330</v>
      </c>
      <c r="F134" s="826">
        <f t="shared" ref="F134:F197" si="5">IFERROR($E134*1000000,"..")</f>
        <v>330000000</v>
      </c>
      <c r="G134" s="826">
        <v>279.44400000000002</v>
      </c>
      <c r="H134" s="826">
        <v>152.25800000000001</v>
      </c>
      <c r="I134" s="826">
        <v>523.42499999999995</v>
      </c>
      <c r="J134" s="826">
        <v>371.16699999999997</v>
      </c>
      <c r="K134" s="826">
        <v>-101.702</v>
      </c>
      <c r="L134" s="826">
        <v>-193.42500000000001</v>
      </c>
      <c r="M134" s="826">
        <v>-91.722999999999999</v>
      </c>
      <c r="N134" s="826">
        <v>15.32</v>
      </c>
      <c r="O134" s="826">
        <v>100</v>
      </c>
      <c r="P134" s="826">
        <v>84.68</v>
      </c>
      <c r="Q134" s="826">
        <v>29.088790180099998</v>
      </c>
      <c r="R134" s="826">
        <v>100</v>
      </c>
      <c r="S134" s="826">
        <v>70.911209819899994</v>
      </c>
      <c r="T134" s="826" t="s">
        <v>3088</v>
      </c>
      <c r="U134" s="826" t="s">
        <v>3088</v>
      </c>
      <c r="V134" s="826" t="s">
        <v>3088</v>
      </c>
    </row>
    <row r="135" spans="1:22">
      <c r="A135" s="826" t="s">
        <v>3124</v>
      </c>
      <c r="B135" s="826" t="s">
        <v>413</v>
      </c>
      <c r="C135" s="826" t="str">
        <f t="shared" si="4"/>
        <v>2002_Nigeria</v>
      </c>
      <c r="D135" s="826">
        <v>2523.73</v>
      </c>
      <c r="E135" s="826">
        <v>18137.13</v>
      </c>
      <c r="F135" s="826">
        <f t="shared" si="5"/>
        <v>18137130000</v>
      </c>
      <c r="G135" s="826">
        <v>15613.4</v>
      </c>
      <c r="H135" s="826">
        <v>4921.59</v>
      </c>
      <c r="I135" s="826">
        <v>15797.19</v>
      </c>
      <c r="J135" s="826">
        <v>10875.6</v>
      </c>
      <c r="K135" s="826">
        <v>-2397.86</v>
      </c>
      <c r="L135" s="826">
        <v>2339.94</v>
      </c>
      <c r="M135" s="826">
        <v>4737.8</v>
      </c>
      <c r="N135" s="826">
        <v>13.914715283</v>
      </c>
      <c r="O135" s="826">
        <v>100</v>
      </c>
      <c r="P135" s="826">
        <v>86.085284716999993</v>
      </c>
      <c r="Q135" s="826">
        <v>31.154844627399999</v>
      </c>
      <c r="R135" s="826">
        <v>100</v>
      </c>
      <c r="S135" s="826">
        <v>68.845155372600004</v>
      </c>
      <c r="T135" s="826" t="s">
        <v>3088</v>
      </c>
      <c r="U135" s="826" t="s">
        <v>3088</v>
      </c>
      <c r="V135" s="826" t="s">
        <v>3088</v>
      </c>
    </row>
    <row r="136" spans="1:22">
      <c r="A136" s="826" t="s">
        <v>3124</v>
      </c>
      <c r="B136" s="826" t="s">
        <v>436</v>
      </c>
      <c r="C136" s="826" t="str">
        <f t="shared" si="4"/>
        <v>2002_Norway</v>
      </c>
      <c r="D136" s="826">
        <v>19488.099999999999</v>
      </c>
      <c r="E136" s="826">
        <v>79042.600000000006</v>
      </c>
      <c r="F136" s="826">
        <f t="shared" si="5"/>
        <v>79042600000</v>
      </c>
      <c r="G136" s="826">
        <v>59554.5</v>
      </c>
      <c r="H136" s="826">
        <v>17972.3</v>
      </c>
      <c r="I136" s="826">
        <v>53235.6</v>
      </c>
      <c r="J136" s="826">
        <v>35263.300000000003</v>
      </c>
      <c r="K136" s="826">
        <v>1515.8</v>
      </c>
      <c r="L136" s="826">
        <v>25807</v>
      </c>
      <c r="M136" s="826">
        <v>24291.200000000001</v>
      </c>
      <c r="N136" s="826">
        <v>24.655185937700001</v>
      </c>
      <c r="O136" s="826">
        <v>100</v>
      </c>
      <c r="P136" s="826">
        <v>75.344814062300003</v>
      </c>
      <c r="Q136" s="826">
        <v>33.759927567299997</v>
      </c>
      <c r="R136" s="826">
        <v>100</v>
      </c>
      <c r="S136" s="826">
        <v>66.240072432700003</v>
      </c>
      <c r="T136" s="826" t="s">
        <v>3088</v>
      </c>
      <c r="U136" s="826" t="s">
        <v>3088</v>
      </c>
      <c r="V136" s="826" t="s">
        <v>3088</v>
      </c>
    </row>
    <row r="137" spans="1:22">
      <c r="A137" s="826" t="s">
        <v>3124</v>
      </c>
      <c r="B137" s="826" t="s">
        <v>449</v>
      </c>
      <c r="C137" s="826" t="str">
        <f t="shared" si="4"/>
        <v>2002_Peru</v>
      </c>
      <c r="D137" s="826">
        <v>1455.04</v>
      </c>
      <c r="E137" s="826">
        <v>9168.94</v>
      </c>
      <c r="F137" s="826">
        <f t="shared" si="5"/>
        <v>9168940000</v>
      </c>
      <c r="G137" s="826">
        <v>7713.9</v>
      </c>
      <c r="H137" s="826">
        <v>2448.83</v>
      </c>
      <c r="I137" s="826">
        <v>9841.6200000000008</v>
      </c>
      <c r="J137" s="826">
        <v>7392.79</v>
      </c>
      <c r="K137" s="826">
        <v>-993.79</v>
      </c>
      <c r="L137" s="826">
        <v>-672.68</v>
      </c>
      <c r="M137" s="826">
        <v>321.11</v>
      </c>
      <c r="N137" s="826">
        <v>15.8692280678</v>
      </c>
      <c r="O137" s="826">
        <v>100</v>
      </c>
      <c r="P137" s="826">
        <v>84.130771932200005</v>
      </c>
      <c r="Q137" s="826">
        <v>24.882387249299999</v>
      </c>
      <c r="R137" s="826">
        <v>100</v>
      </c>
      <c r="S137" s="826">
        <v>75.117612750700005</v>
      </c>
      <c r="T137" s="826" t="s">
        <v>3088</v>
      </c>
      <c r="U137" s="826" t="s">
        <v>3088</v>
      </c>
      <c r="V137" s="826" t="s">
        <v>3088</v>
      </c>
    </row>
    <row r="138" spans="1:22">
      <c r="A138" s="826" t="s">
        <v>3124</v>
      </c>
      <c r="B138" s="826" t="s">
        <v>488</v>
      </c>
      <c r="C138" s="826" t="str">
        <f t="shared" si="4"/>
        <v>2002_Sierra Leone</v>
      </c>
      <c r="D138" s="826">
        <v>38.335999999999999</v>
      </c>
      <c r="E138" s="826">
        <v>98.176000000000002</v>
      </c>
      <c r="F138" s="826">
        <f t="shared" si="5"/>
        <v>98176000</v>
      </c>
      <c r="G138" s="826">
        <v>59.84</v>
      </c>
      <c r="H138" s="826">
        <v>80.763000000000005</v>
      </c>
      <c r="I138" s="826">
        <v>335.70400000000001</v>
      </c>
      <c r="J138" s="826">
        <v>254.941</v>
      </c>
      <c r="K138" s="826">
        <v>-42.427</v>
      </c>
      <c r="L138" s="826">
        <v>-237.52799999999999</v>
      </c>
      <c r="M138" s="826">
        <v>-195.101</v>
      </c>
      <c r="N138" s="826">
        <v>39.0482398957</v>
      </c>
      <c r="O138" s="826">
        <v>100</v>
      </c>
      <c r="P138" s="826">
        <v>60.9517601043</v>
      </c>
      <c r="Q138" s="826">
        <v>24.0578009199</v>
      </c>
      <c r="R138" s="826">
        <v>100</v>
      </c>
      <c r="S138" s="826">
        <v>75.942199080099996</v>
      </c>
      <c r="T138" s="826" t="s">
        <v>3088</v>
      </c>
      <c r="U138" s="826" t="s">
        <v>3088</v>
      </c>
      <c r="V138" s="826" t="s">
        <v>3088</v>
      </c>
    </row>
    <row r="139" spans="1:22">
      <c r="A139" s="826" t="s">
        <v>3124</v>
      </c>
      <c r="B139" s="826" t="s">
        <v>3090</v>
      </c>
      <c r="C139" s="826" t="str">
        <f t="shared" si="4"/>
        <v>2002_Timor-Leste</v>
      </c>
      <c r="D139" s="826" t="s">
        <v>3121</v>
      </c>
      <c r="E139" s="826" t="s">
        <v>3088</v>
      </c>
      <c r="F139" s="826" t="str">
        <f t="shared" si="5"/>
        <v>..</v>
      </c>
      <c r="G139" s="826" t="s">
        <v>3121</v>
      </c>
      <c r="H139" s="826" t="s">
        <v>3121</v>
      </c>
      <c r="I139" s="826" t="s">
        <v>3121</v>
      </c>
      <c r="J139" s="826" t="s">
        <v>3121</v>
      </c>
      <c r="K139" s="826" t="s">
        <v>3121</v>
      </c>
      <c r="L139" s="826" t="s">
        <v>3121</v>
      </c>
      <c r="M139" s="826" t="s">
        <v>3121</v>
      </c>
      <c r="N139" s="826" t="s">
        <v>3121</v>
      </c>
      <c r="O139" s="826" t="s">
        <v>3121</v>
      </c>
      <c r="P139" s="826" t="s">
        <v>3121</v>
      </c>
      <c r="Q139" s="826" t="s">
        <v>3121</v>
      </c>
      <c r="R139" s="826" t="s">
        <v>3121</v>
      </c>
      <c r="S139" s="826" t="s">
        <v>3121</v>
      </c>
      <c r="T139" s="826" t="s">
        <v>3121</v>
      </c>
      <c r="U139" s="826" t="s">
        <v>3121</v>
      </c>
      <c r="V139" s="826" t="s">
        <v>3121</v>
      </c>
    </row>
    <row r="140" spans="1:22">
      <c r="A140" s="826" t="s">
        <v>3124</v>
      </c>
      <c r="B140" s="826" t="s">
        <v>517</v>
      </c>
      <c r="C140" s="826" t="str">
        <f t="shared" si="4"/>
        <v>2002_Togo</v>
      </c>
      <c r="D140" s="826">
        <v>90.003</v>
      </c>
      <c r="E140" s="826">
        <v>514.23699999999997</v>
      </c>
      <c r="F140" s="826">
        <f t="shared" si="5"/>
        <v>514236999.99999994</v>
      </c>
      <c r="G140" s="826">
        <v>424.23399999999998</v>
      </c>
      <c r="H140" s="826">
        <v>148.09</v>
      </c>
      <c r="I140" s="826">
        <v>723.72900000000004</v>
      </c>
      <c r="J140" s="826">
        <v>575.63900000000001</v>
      </c>
      <c r="K140" s="826">
        <v>-58.087000000000003</v>
      </c>
      <c r="L140" s="826">
        <v>-209.49199999999999</v>
      </c>
      <c r="M140" s="826">
        <v>-151.405</v>
      </c>
      <c r="N140" s="826">
        <v>17.502241184500001</v>
      </c>
      <c r="O140" s="826">
        <v>100</v>
      </c>
      <c r="P140" s="826">
        <v>82.497758815500006</v>
      </c>
      <c r="Q140" s="826">
        <v>20.462079037900001</v>
      </c>
      <c r="R140" s="826">
        <v>100</v>
      </c>
      <c r="S140" s="826">
        <v>79.537920962100003</v>
      </c>
      <c r="T140" s="826" t="s">
        <v>3088</v>
      </c>
      <c r="U140" s="826" t="s">
        <v>3088</v>
      </c>
      <c r="V140" s="826" t="s">
        <v>3088</v>
      </c>
    </row>
    <row r="141" spans="1:22">
      <c r="A141" s="826" t="s">
        <v>3124</v>
      </c>
      <c r="B141" s="826" t="s">
        <v>3091</v>
      </c>
      <c r="C141" s="826" t="str">
        <f t="shared" si="4"/>
        <v>2002_Trinidad and Tobago</v>
      </c>
      <c r="D141" s="826">
        <v>637</v>
      </c>
      <c r="E141" s="826">
        <v>4557</v>
      </c>
      <c r="F141" s="826">
        <f t="shared" si="5"/>
        <v>4557000000</v>
      </c>
      <c r="G141" s="826">
        <v>3920</v>
      </c>
      <c r="H141" s="826">
        <v>373</v>
      </c>
      <c r="I141" s="826">
        <v>4055.3</v>
      </c>
      <c r="J141" s="826">
        <v>3682.3</v>
      </c>
      <c r="K141" s="826">
        <v>264</v>
      </c>
      <c r="L141" s="826">
        <v>501.7</v>
      </c>
      <c r="M141" s="826">
        <v>237.7</v>
      </c>
      <c r="N141" s="826">
        <v>13.9784946237</v>
      </c>
      <c r="O141" s="826">
        <v>100</v>
      </c>
      <c r="P141" s="826">
        <v>86.021505376299999</v>
      </c>
      <c r="Q141" s="826">
        <v>9.1978398639000005</v>
      </c>
      <c r="R141" s="826">
        <v>100</v>
      </c>
      <c r="S141" s="826">
        <v>90.802160136099999</v>
      </c>
      <c r="T141" s="826" t="s">
        <v>3088</v>
      </c>
      <c r="U141" s="826" t="s">
        <v>3088</v>
      </c>
      <c r="V141" s="826" t="s">
        <v>3088</v>
      </c>
    </row>
    <row r="142" spans="1:22">
      <c r="A142" s="826" t="s">
        <v>3124</v>
      </c>
      <c r="B142" s="826" t="s">
        <v>499</v>
      </c>
      <c r="C142" s="826" t="str">
        <f t="shared" si="4"/>
        <v>2002_Tanzania</v>
      </c>
      <c r="D142" s="826">
        <v>920.14</v>
      </c>
      <c r="E142" s="826">
        <v>1899.7059999999999</v>
      </c>
      <c r="F142" s="826">
        <f t="shared" si="5"/>
        <v>1899706000</v>
      </c>
      <c r="G142" s="826">
        <v>979.56600000000003</v>
      </c>
      <c r="H142" s="826">
        <v>632.53</v>
      </c>
      <c r="I142" s="826">
        <v>2143.85</v>
      </c>
      <c r="J142" s="826">
        <v>1511.32</v>
      </c>
      <c r="K142" s="826">
        <v>287.61</v>
      </c>
      <c r="L142" s="826">
        <v>-244.14400000000001</v>
      </c>
      <c r="M142" s="826">
        <v>-531.75400000000002</v>
      </c>
      <c r="N142" s="826">
        <v>48.435915873299997</v>
      </c>
      <c r="O142" s="826">
        <v>100</v>
      </c>
      <c r="P142" s="826">
        <v>51.564084126700003</v>
      </c>
      <c r="Q142" s="826">
        <v>29.504396296399999</v>
      </c>
      <c r="R142" s="826">
        <v>100</v>
      </c>
      <c r="S142" s="826">
        <v>70.495603703599997</v>
      </c>
      <c r="T142" s="826" t="s">
        <v>3088</v>
      </c>
      <c r="U142" s="826" t="s">
        <v>3088</v>
      </c>
      <c r="V142" s="826" t="s">
        <v>3088</v>
      </c>
    </row>
    <row r="143" spans="1:22">
      <c r="A143" s="826" t="s">
        <v>3124</v>
      </c>
      <c r="B143" s="826" t="s">
        <v>529</v>
      </c>
      <c r="C143" s="826" t="str">
        <f t="shared" si="4"/>
        <v>2002_Yemen</v>
      </c>
      <c r="D143" s="826">
        <v>166.16499999999999</v>
      </c>
      <c r="E143" s="826">
        <v>3786.8850000000002</v>
      </c>
      <c r="F143" s="826">
        <f t="shared" si="5"/>
        <v>3786885000</v>
      </c>
      <c r="G143" s="826">
        <v>3620.72</v>
      </c>
      <c r="H143" s="826">
        <v>934.78700000000003</v>
      </c>
      <c r="I143" s="826">
        <v>3866.817</v>
      </c>
      <c r="J143" s="826">
        <v>2932.03</v>
      </c>
      <c r="K143" s="826">
        <v>-768.62199999999996</v>
      </c>
      <c r="L143" s="826">
        <v>-79.932000000000002</v>
      </c>
      <c r="M143" s="826">
        <v>688.69</v>
      </c>
      <c r="N143" s="826">
        <v>4.3879072112999999</v>
      </c>
      <c r="O143" s="826">
        <v>100</v>
      </c>
      <c r="P143" s="826">
        <v>95.612092788699997</v>
      </c>
      <c r="Q143" s="826">
        <v>24.174585970799999</v>
      </c>
      <c r="R143" s="826">
        <v>100</v>
      </c>
      <c r="S143" s="826">
        <v>75.825414029200005</v>
      </c>
      <c r="T143" s="826" t="s">
        <v>3088</v>
      </c>
      <c r="U143" s="826" t="s">
        <v>3088</v>
      </c>
      <c r="V143" s="826" t="s">
        <v>3088</v>
      </c>
    </row>
    <row r="144" spans="1:22">
      <c r="A144" s="826" t="s">
        <v>3124</v>
      </c>
      <c r="B144" s="826" t="s">
        <v>541</v>
      </c>
      <c r="C144" s="826" t="str">
        <f t="shared" si="4"/>
        <v>2002_Zambia</v>
      </c>
      <c r="D144" s="826">
        <v>115.32</v>
      </c>
      <c r="E144" s="826">
        <v>1104.4690000000001</v>
      </c>
      <c r="F144" s="826">
        <f t="shared" si="5"/>
        <v>1104469000</v>
      </c>
      <c r="G144" s="826">
        <v>989.149</v>
      </c>
      <c r="H144" s="826">
        <v>374.8</v>
      </c>
      <c r="I144" s="826">
        <v>1578.79</v>
      </c>
      <c r="J144" s="826">
        <v>1203.99</v>
      </c>
      <c r="K144" s="826">
        <v>-259.48</v>
      </c>
      <c r="L144" s="826">
        <v>-474.32100000000003</v>
      </c>
      <c r="M144" s="826">
        <v>-214.84100000000001</v>
      </c>
      <c r="N144" s="826">
        <v>10.4412165484</v>
      </c>
      <c r="O144" s="826">
        <v>100</v>
      </c>
      <c r="P144" s="826">
        <v>89.558783451599993</v>
      </c>
      <c r="Q144" s="826">
        <v>23.739699389999998</v>
      </c>
      <c r="R144" s="826">
        <v>100</v>
      </c>
      <c r="S144" s="826">
        <v>76.260300610000002</v>
      </c>
      <c r="T144" s="826" t="s">
        <v>3088</v>
      </c>
      <c r="U144" s="826" t="s">
        <v>3088</v>
      </c>
      <c r="V144" s="826" t="s">
        <v>3088</v>
      </c>
    </row>
    <row r="145" spans="1:22">
      <c r="A145" s="826" t="s">
        <v>3125</v>
      </c>
      <c r="B145" s="826" t="s">
        <v>21</v>
      </c>
      <c r="C145" s="826" t="str">
        <f t="shared" si="4"/>
        <v>2003_Afghanistan</v>
      </c>
      <c r="D145" s="826" t="s">
        <v>603</v>
      </c>
      <c r="E145" s="826" t="s">
        <v>3088</v>
      </c>
      <c r="F145" s="826" t="str">
        <f t="shared" si="5"/>
        <v>..</v>
      </c>
      <c r="G145" s="826">
        <v>1893.6</v>
      </c>
      <c r="H145" s="826" t="s">
        <v>603</v>
      </c>
      <c r="I145" s="826" t="s">
        <v>603</v>
      </c>
      <c r="J145" s="826">
        <v>4379.3</v>
      </c>
      <c r="K145" s="826" t="s">
        <v>603</v>
      </c>
      <c r="L145" s="826" t="s">
        <v>603</v>
      </c>
      <c r="M145" s="826">
        <v>-2485.6999999999998</v>
      </c>
      <c r="N145" s="826" t="s">
        <v>603</v>
      </c>
      <c r="O145" s="826" t="s">
        <v>603</v>
      </c>
      <c r="P145" s="826">
        <v>95.829959514199999</v>
      </c>
      <c r="Q145" s="826" t="s">
        <v>603</v>
      </c>
      <c r="R145" s="826" t="s">
        <v>603</v>
      </c>
      <c r="S145" s="826">
        <v>98.340519177199994</v>
      </c>
      <c r="T145" s="826" t="s">
        <v>3088</v>
      </c>
      <c r="U145" s="826" t="s">
        <v>3088</v>
      </c>
      <c r="V145" s="826" t="s">
        <v>3088</v>
      </c>
    </row>
    <row r="146" spans="1:22">
      <c r="A146" s="826" t="s">
        <v>3125</v>
      </c>
      <c r="B146" s="826" t="s">
        <v>38</v>
      </c>
      <c r="C146" s="826" t="str">
        <f t="shared" si="4"/>
        <v>2003_Albania</v>
      </c>
      <c r="D146" s="826">
        <v>719.70899999999995</v>
      </c>
      <c r="E146" s="826">
        <v>1166.9179999999999</v>
      </c>
      <c r="F146" s="826">
        <f t="shared" si="5"/>
        <v>1166918000</v>
      </c>
      <c r="G146" s="826">
        <v>447.209</v>
      </c>
      <c r="H146" s="826">
        <v>802.61599999999999</v>
      </c>
      <c r="I146" s="826">
        <v>2586.076</v>
      </c>
      <c r="J146" s="826">
        <v>1783.46</v>
      </c>
      <c r="K146" s="826">
        <v>-82.906999999999996</v>
      </c>
      <c r="L146" s="826">
        <v>-1419.1579999999999</v>
      </c>
      <c r="M146" s="826">
        <v>-1336.251</v>
      </c>
      <c r="N146" s="826">
        <v>61.676056072500003</v>
      </c>
      <c r="O146" s="826">
        <v>100</v>
      </c>
      <c r="P146" s="826">
        <v>38.323943927499997</v>
      </c>
      <c r="Q146" s="826">
        <v>31.036056171599999</v>
      </c>
      <c r="R146" s="826">
        <v>100</v>
      </c>
      <c r="S146" s="826">
        <v>68.963943828400005</v>
      </c>
      <c r="T146" s="826" t="s">
        <v>3088</v>
      </c>
      <c r="U146" s="826" t="s">
        <v>3088</v>
      </c>
      <c r="V146" s="826" t="s">
        <v>3088</v>
      </c>
    </row>
    <row r="147" spans="1:22">
      <c r="A147" s="826" t="s">
        <v>3125</v>
      </c>
      <c r="B147" s="826" t="s">
        <v>53</v>
      </c>
      <c r="C147" s="826" t="str">
        <f t="shared" si="4"/>
        <v>2003_Azerbaijan</v>
      </c>
      <c r="D147" s="826">
        <v>431.99299999999999</v>
      </c>
      <c r="E147" s="826">
        <v>3056.6129999999998</v>
      </c>
      <c r="F147" s="826">
        <f t="shared" si="5"/>
        <v>3056613000</v>
      </c>
      <c r="G147" s="826">
        <v>2624.62</v>
      </c>
      <c r="H147" s="826">
        <v>2046.52</v>
      </c>
      <c r="I147" s="826">
        <v>4769.59</v>
      </c>
      <c r="J147" s="826">
        <v>2723.07</v>
      </c>
      <c r="K147" s="826">
        <v>-1614.527</v>
      </c>
      <c r="L147" s="826">
        <v>-1712.9770000000001</v>
      </c>
      <c r="M147" s="826">
        <v>-98.45</v>
      </c>
      <c r="N147" s="826">
        <v>14.133061660099999</v>
      </c>
      <c r="O147" s="826">
        <v>100</v>
      </c>
      <c r="P147" s="826">
        <v>85.866938339900003</v>
      </c>
      <c r="Q147" s="826">
        <v>42.9076713093</v>
      </c>
      <c r="R147" s="826">
        <v>100</v>
      </c>
      <c r="S147" s="826">
        <v>57.0923286907</v>
      </c>
      <c r="T147" s="826" t="s">
        <v>3088</v>
      </c>
      <c r="U147" s="826" t="s">
        <v>3088</v>
      </c>
      <c r="V147" s="826" t="s">
        <v>3088</v>
      </c>
    </row>
    <row r="148" spans="1:22">
      <c r="A148" s="826" t="s">
        <v>3125</v>
      </c>
      <c r="B148" s="826" t="s">
        <v>98</v>
      </c>
      <c r="C148" s="826" t="str">
        <f t="shared" si="4"/>
        <v>2003_Burkina Faso</v>
      </c>
      <c r="D148" s="826">
        <v>45.831000000000003</v>
      </c>
      <c r="E148" s="826">
        <v>366.32499999999999</v>
      </c>
      <c r="F148" s="826">
        <f t="shared" si="5"/>
        <v>366325000</v>
      </c>
      <c r="G148" s="826">
        <v>320.49400000000003</v>
      </c>
      <c r="H148" s="826">
        <v>233.39099999999999</v>
      </c>
      <c r="I148" s="826">
        <v>918.69899999999996</v>
      </c>
      <c r="J148" s="826">
        <v>685.30799999999999</v>
      </c>
      <c r="K148" s="826">
        <v>-187.56</v>
      </c>
      <c r="L148" s="826">
        <v>-552.37400000000002</v>
      </c>
      <c r="M148" s="826">
        <v>-364.81400000000002</v>
      </c>
      <c r="N148" s="826">
        <v>12.5110216338</v>
      </c>
      <c r="O148" s="826">
        <v>100</v>
      </c>
      <c r="P148" s="826">
        <v>87.488978366200001</v>
      </c>
      <c r="Q148" s="826">
        <v>25.404512250500002</v>
      </c>
      <c r="R148" s="826">
        <v>100</v>
      </c>
      <c r="S148" s="826">
        <v>74.595487749499995</v>
      </c>
      <c r="T148" s="826" t="s">
        <v>3088</v>
      </c>
      <c r="U148" s="826" t="s">
        <v>3088</v>
      </c>
      <c r="V148" s="826" t="s">
        <v>3088</v>
      </c>
    </row>
    <row r="149" spans="1:22">
      <c r="A149" s="826" t="s">
        <v>3125</v>
      </c>
      <c r="B149" s="826" t="s">
        <v>3136</v>
      </c>
      <c r="C149" s="826" t="str">
        <f t="shared" si="4"/>
        <v>2003_ Cameroon</v>
      </c>
      <c r="D149" s="826">
        <v>644.60199999999998</v>
      </c>
      <c r="E149" s="826">
        <v>3128.0219999999999</v>
      </c>
      <c r="F149" s="826">
        <f t="shared" si="5"/>
        <v>3128022000</v>
      </c>
      <c r="G149" s="826">
        <v>2483.42</v>
      </c>
      <c r="H149" s="826">
        <v>1222.49</v>
      </c>
      <c r="I149" s="826">
        <v>3436.62</v>
      </c>
      <c r="J149" s="826">
        <v>2214.13</v>
      </c>
      <c r="K149" s="826">
        <v>-577.88800000000003</v>
      </c>
      <c r="L149" s="826">
        <v>-308.59800000000001</v>
      </c>
      <c r="M149" s="826">
        <v>269.29000000000002</v>
      </c>
      <c r="N149" s="826">
        <v>20.607335881899999</v>
      </c>
      <c r="O149" s="826">
        <v>100</v>
      </c>
      <c r="P149" s="826">
        <v>79.392664118100001</v>
      </c>
      <c r="Q149" s="826">
        <v>35.572452002299997</v>
      </c>
      <c r="R149" s="826">
        <v>100</v>
      </c>
      <c r="S149" s="826">
        <v>64.427547997700003</v>
      </c>
      <c r="T149" s="826" t="s">
        <v>3088</v>
      </c>
      <c r="U149" s="826" t="s">
        <v>3088</v>
      </c>
      <c r="V149" s="826" t="s">
        <v>3088</v>
      </c>
    </row>
    <row r="150" spans="1:22">
      <c r="A150" s="826" t="s">
        <v>3125</v>
      </c>
      <c r="B150" s="826" t="s">
        <v>127</v>
      </c>
      <c r="C150" s="826" t="str">
        <f t="shared" si="4"/>
        <v>2003_Central African Republic</v>
      </c>
      <c r="D150" s="826">
        <v>25.808671709999999</v>
      </c>
      <c r="E150" s="826">
        <v>153.8196834</v>
      </c>
      <c r="F150" s="826">
        <f t="shared" si="5"/>
        <v>153819683.40000001</v>
      </c>
      <c r="G150" s="826">
        <v>128.01101169</v>
      </c>
      <c r="H150" s="826">
        <v>87.921541629999993</v>
      </c>
      <c r="I150" s="826">
        <v>205.43702683000001</v>
      </c>
      <c r="J150" s="826">
        <v>117.5154852</v>
      </c>
      <c r="K150" s="826">
        <v>-62.112869920000001</v>
      </c>
      <c r="L150" s="826">
        <v>-51.617343429999998</v>
      </c>
      <c r="M150" s="826">
        <v>10.49552649</v>
      </c>
      <c r="N150" s="826">
        <v>16.778523489000001</v>
      </c>
      <c r="O150" s="826">
        <v>100</v>
      </c>
      <c r="P150" s="826">
        <v>83.221476511000006</v>
      </c>
      <c r="Q150" s="826">
        <v>42.797319931399997</v>
      </c>
      <c r="R150" s="826">
        <v>100</v>
      </c>
      <c r="S150" s="826">
        <v>57.202680068600003</v>
      </c>
      <c r="T150" s="826" t="s">
        <v>3088</v>
      </c>
      <c r="U150" s="826" t="s">
        <v>3088</v>
      </c>
      <c r="V150" s="826" t="s">
        <v>3088</v>
      </c>
    </row>
    <row r="151" spans="1:22">
      <c r="A151" s="826" t="s">
        <v>3125</v>
      </c>
      <c r="B151" s="826" t="s">
        <v>3137</v>
      </c>
      <c r="C151" s="826" t="str">
        <f t="shared" si="4"/>
        <v>2003_ Chad</v>
      </c>
      <c r="D151" s="826">
        <v>71.231933920000003</v>
      </c>
      <c r="E151" s="826">
        <v>666.72401925999998</v>
      </c>
      <c r="F151" s="826">
        <f t="shared" si="5"/>
        <v>666724019.25999999</v>
      </c>
      <c r="G151" s="826">
        <v>595.49208534000002</v>
      </c>
      <c r="H151" s="826">
        <v>842.56710253999995</v>
      </c>
      <c r="I151" s="826">
        <v>1672.57398485</v>
      </c>
      <c r="J151" s="826">
        <v>830.00688231000004</v>
      </c>
      <c r="K151" s="826">
        <v>-771.33516861999999</v>
      </c>
      <c r="L151" s="826">
        <v>-1005.84996559</v>
      </c>
      <c r="M151" s="826">
        <v>-234.51479696999999</v>
      </c>
      <c r="N151" s="826">
        <v>10.683870966400001</v>
      </c>
      <c r="O151" s="826">
        <v>100</v>
      </c>
      <c r="P151" s="826">
        <v>89.316129033600006</v>
      </c>
      <c r="Q151" s="826">
        <v>50.375475774000002</v>
      </c>
      <c r="R151" s="826">
        <v>100</v>
      </c>
      <c r="S151" s="826">
        <v>49.624524225999998</v>
      </c>
      <c r="T151" s="826" t="s">
        <v>3088</v>
      </c>
      <c r="U151" s="826" t="s">
        <v>3088</v>
      </c>
      <c r="V151" s="826" t="s">
        <v>3088</v>
      </c>
    </row>
    <row r="152" spans="1:22">
      <c r="A152" s="826" t="s">
        <v>3125</v>
      </c>
      <c r="B152" s="826" t="s">
        <v>465</v>
      </c>
      <c r="C152" s="826" t="str">
        <f t="shared" si="4"/>
        <v>2003_Republic of the Congo</v>
      </c>
      <c r="D152" s="826">
        <v>194.08099999999999</v>
      </c>
      <c r="E152" s="826">
        <v>2830.6909999999998</v>
      </c>
      <c r="F152" s="826">
        <f t="shared" si="5"/>
        <v>2830691000</v>
      </c>
      <c r="G152" s="826">
        <v>2636.61</v>
      </c>
      <c r="H152" s="826">
        <v>875.43</v>
      </c>
      <c r="I152" s="826">
        <v>1706.6410000000001</v>
      </c>
      <c r="J152" s="826">
        <v>831.21100000000001</v>
      </c>
      <c r="K152" s="826">
        <v>-681.34900000000005</v>
      </c>
      <c r="L152" s="826">
        <v>1124.05</v>
      </c>
      <c r="M152" s="826">
        <v>1805.3989999999999</v>
      </c>
      <c r="N152" s="826">
        <v>6.8563117626999999</v>
      </c>
      <c r="O152" s="826">
        <v>100</v>
      </c>
      <c r="P152" s="826">
        <v>93.143688237299997</v>
      </c>
      <c r="Q152" s="826">
        <v>51.2954979987</v>
      </c>
      <c r="R152" s="826">
        <v>100</v>
      </c>
      <c r="S152" s="826">
        <v>48.7045020013</v>
      </c>
      <c r="T152" s="826" t="s">
        <v>3088</v>
      </c>
      <c r="U152" s="826" t="s">
        <v>3088</v>
      </c>
      <c r="V152" s="826" t="s">
        <v>3088</v>
      </c>
    </row>
    <row r="153" spans="1:22">
      <c r="A153" s="826" t="s">
        <v>3125</v>
      </c>
      <c r="B153" s="826" t="s">
        <v>171</v>
      </c>
      <c r="C153" s="826" t="str">
        <f t="shared" si="4"/>
        <v>2003_Democratic Republic of Congo</v>
      </c>
      <c r="D153" s="826">
        <v>139.45863643999999</v>
      </c>
      <c r="E153" s="826">
        <v>1517.1411010300001</v>
      </c>
      <c r="F153" s="826">
        <f t="shared" si="5"/>
        <v>1517141101.03</v>
      </c>
      <c r="G153" s="826">
        <v>1377.6824645900001</v>
      </c>
      <c r="H153" s="826">
        <v>426.60001875</v>
      </c>
      <c r="I153" s="826">
        <v>1921.17097556</v>
      </c>
      <c r="J153" s="826">
        <v>1494.5709568100001</v>
      </c>
      <c r="K153" s="826">
        <v>-287.14138230999998</v>
      </c>
      <c r="L153" s="826">
        <v>-404.02987452999997</v>
      </c>
      <c r="M153" s="826">
        <v>-116.88849222</v>
      </c>
      <c r="N153" s="826">
        <v>9.1921994826999995</v>
      </c>
      <c r="O153" s="826">
        <v>100</v>
      </c>
      <c r="P153" s="826">
        <v>90.807800517299995</v>
      </c>
      <c r="Q153" s="826">
        <v>22.205208395100001</v>
      </c>
      <c r="R153" s="826">
        <v>100</v>
      </c>
      <c r="S153" s="826">
        <v>77.794791604899999</v>
      </c>
      <c r="T153" s="826" t="s">
        <v>3088</v>
      </c>
      <c r="U153" s="826" t="s">
        <v>3088</v>
      </c>
      <c r="V153" s="826" t="s">
        <v>3088</v>
      </c>
    </row>
    <row r="154" spans="1:22">
      <c r="A154" s="826" t="s">
        <v>3125</v>
      </c>
      <c r="B154" s="826" t="s">
        <v>3138</v>
      </c>
      <c r="C154" s="826" t="str">
        <f t="shared" si="4"/>
        <v>2003_ Equatorial Guinea</v>
      </c>
      <c r="D154" s="826">
        <v>14.96540692</v>
      </c>
      <c r="E154" s="826">
        <v>2998.4504788999998</v>
      </c>
      <c r="F154" s="826">
        <f t="shared" si="5"/>
        <v>2998450478.8999996</v>
      </c>
      <c r="G154" s="826">
        <v>2983.4850719800002</v>
      </c>
      <c r="H154" s="826">
        <v>734.02099105000002</v>
      </c>
      <c r="I154" s="826">
        <v>1641.7877404799999</v>
      </c>
      <c r="J154" s="826">
        <v>907.76674943</v>
      </c>
      <c r="K154" s="826">
        <v>-719.05558413000006</v>
      </c>
      <c r="L154" s="826">
        <v>1356.6627384200001</v>
      </c>
      <c r="M154" s="826">
        <v>2075.7183225499998</v>
      </c>
      <c r="N154" s="826">
        <v>0.4991046884</v>
      </c>
      <c r="O154" s="826">
        <v>100</v>
      </c>
      <c r="P154" s="826">
        <v>99.500895311600004</v>
      </c>
      <c r="Q154" s="826">
        <v>44.7086412544</v>
      </c>
      <c r="R154" s="826">
        <v>100</v>
      </c>
      <c r="S154" s="826">
        <v>55.2913587456</v>
      </c>
      <c r="T154" s="826" t="s">
        <v>3088</v>
      </c>
      <c r="U154" s="826" t="s">
        <v>3088</v>
      </c>
      <c r="V154" s="826" t="s">
        <v>3088</v>
      </c>
    </row>
    <row r="155" spans="1:22">
      <c r="A155" s="826" t="s">
        <v>3125</v>
      </c>
      <c r="B155" s="826" t="s">
        <v>3139</v>
      </c>
      <c r="C155" s="826" t="str">
        <f t="shared" si="4"/>
        <v>2003_ Gabon</v>
      </c>
      <c r="D155" s="826">
        <v>172.465</v>
      </c>
      <c r="E155" s="826">
        <v>3350.9549999999999</v>
      </c>
      <c r="F155" s="826">
        <f t="shared" si="5"/>
        <v>3350955000</v>
      </c>
      <c r="G155" s="826">
        <v>3178.49</v>
      </c>
      <c r="H155" s="826">
        <v>839.58299999999997</v>
      </c>
      <c r="I155" s="826">
        <v>1882.463</v>
      </c>
      <c r="J155" s="826">
        <v>1042.8800000000001</v>
      </c>
      <c r="K155" s="826">
        <v>-667.11800000000005</v>
      </c>
      <c r="L155" s="826">
        <v>1468.492</v>
      </c>
      <c r="M155" s="826">
        <v>2135.61</v>
      </c>
      <c r="N155" s="826">
        <v>5.1467417497000003</v>
      </c>
      <c r="O155" s="826">
        <v>100</v>
      </c>
      <c r="P155" s="826">
        <v>94.853258250300001</v>
      </c>
      <c r="Q155" s="826">
        <v>44.600239154800001</v>
      </c>
      <c r="R155" s="826">
        <v>100</v>
      </c>
      <c r="S155" s="826">
        <v>55.399760845199999</v>
      </c>
      <c r="T155" s="826" t="s">
        <v>3088</v>
      </c>
      <c r="U155" s="826" t="s">
        <v>3088</v>
      </c>
      <c r="V155" s="826" t="s">
        <v>3088</v>
      </c>
    </row>
    <row r="156" spans="1:22">
      <c r="A156" s="826" t="s">
        <v>3125</v>
      </c>
      <c r="B156" s="826" t="s">
        <v>195</v>
      </c>
      <c r="C156" s="826" t="str">
        <f t="shared" si="4"/>
        <v>2003_Ghana</v>
      </c>
      <c r="D156" s="826">
        <v>630.01</v>
      </c>
      <c r="E156" s="826">
        <v>3192.57</v>
      </c>
      <c r="F156" s="826">
        <f t="shared" si="5"/>
        <v>3192570000</v>
      </c>
      <c r="G156" s="826">
        <v>2562.56</v>
      </c>
      <c r="H156" s="826">
        <v>921.98400000000004</v>
      </c>
      <c r="I156" s="826">
        <v>4154.8040000000001</v>
      </c>
      <c r="J156" s="826">
        <v>3232.82</v>
      </c>
      <c r="K156" s="826">
        <v>-291.97399999999999</v>
      </c>
      <c r="L156" s="826">
        <v>-962.23400000000004</v>
      </c>
      <c r="M156" s="826">
        <v>-670.26</v>
      </c>
      <c r="N156" s="826">
        <v>19.733631525700002</v>
      </c>
      <c r="O156" s="826">
        <v>100</v>
      </c>
      <c r="P156" s="826">
        <v>80.266368474299995</v>
      </c>
      <c r="Q156" s="826">
        <v>22.1907940784</v>
      </c>
      <c r="R156" s="826">
        <v>100</v>
      </c>
      <c r="S156" s="826">
        <v>77.809205921599997</v>
      </c>
      <c r="T156" s="826" t="s">
        <v>3088</v>
      </c>
      <c r="U156" s="826" t="s">
        <v>3088</v>
      </c>
      <c r="V156" s="826" t="s">
        <v>3088</v>
      </c>
    </row>
    <row r="157" spans="1:22">
      <c r="A157" s="826" t="s">
        <v>3125</v>
      </c>
      <c r="B157" s="826" t="s">
        <v>219</v>
      </c>
      <c r="C157" s="826" t="str">
        <f t="shared" si="4"/>
        <v>2003_Guatemala</v>
      </c>
      <c r="D157" s="826">
        <v>1058.8</v>
      </c>
      <c r="E157" s="826">
        <v>4118.67</v>
      </c>
      <c r="F157" s="826">
        <f t="shared" si="5"/>
        <v>4118670000</v>
      </c>
      <c r="G157" s="826">
        <v>3059.87</v>
      </c>
      <c r="H157" s="826">
        <v>1126.1199999999999</v>
      </c>
      <c r="I157" s="826">
        <v>7301.81</v>
      </c>
      <c r="J157" s="826">
        <v>6175.69</v>
      </c>
      <c r="K157" s="826">
        <v>-67.319999999999993</v>
      </c>
      <c r="L157" s="826">
        <v>-3183.14</v>
      </c>
      <c r="M157" s="826">
        <v>-3115.82</v>
      </c>
      <c r="N157" s="826">
        <v>25.707327850999999</v>
      </c>
      <c r="O157" s="826">
        <v>100</v>
      </c>
      <c r="P157" s="826">
        <v>74.292672148999998</v>
      </c>
      <c r="Q157" s="826">
        <v>15.4224774405</v>
      </c>
      <c r="R157" s="826">
        <v>100</v>
      </c>
      <c r="S157" s="826">
        <v>84.577522559499997</v>
      </c>
      <c r="T157" s="826" t="s">
        <v>3088</v>
      </c>
      <c r="U157" s="826" t="s">
        <v>3088</v>
      </c>
      <c r="V157" s="826" t="s">
        <v>3088</v>
      </c>
    </row>
    <row r="158" spans="1:22">
      <c r="A158" s="826" t="s">
        <v>3125</v>
      </c>
      <c r="B158" s="826" t="s">
        <v>3140</v>
      </c>
      <c r="C158" s="826" t="str">
        <f t="shared" si="4"/>
        <v>2003_ Guinea</v>
      </c>
      <c r="D158" s="826">
        <v>133.68600000000001</v>
      </c>
      <c r="E158" s="826">
        <v>742.94899999999996</v>
      </c>
      <c r="F158" s="826">
        <f t="shared" si="5"/>
        <v>742949000</v>
      </c>
      <c r="G158" s="826">
        <v>609.26300000000003</v>
      </c>
      <c r="H158" s="826">
        <v>307.29700000000003</v>
      </c>
      <c r="I158" s="826">
        <v>951.54899999999998</v>
      </c>
      <c r="J158" s="826">
        <v>644.25199999999995</v>
      </c>
      <c r="K158" s="826">
        <v>-173.61099999999999</v>
      </c>
      <c r="L158" s="826">
        <v>-208.6</v>
      </c>
      <c r="M158" s="826">
        <v>-34.988999999999997</v>
      </c>
      <c r="N158" s="826">
        <v>17.9939672844</v>
      </c>
      <c r="O158" s="826">
        <v>100</v>
      </c>
      <c r="P158" s="826">
        <v>82.0060327156</v>
      </c>
      <c r="Q158" s="826">
        <v>32.294395769399998</v>
      </c>
      <c r="R158" s="826">
        <v>100</v>
      </c>
      <c r="S158" s="826">
        <v>67.705604230600002</v>
      </c>
      <c r="T158" s="826" t="s">
        <v>3088</v>
      </c>
      <c r="U158" s="826" t="s">
        <v>3088</v>
      </c>
      <c r="V158" s="826" t="s">
        <v>3088</v>
      </c>
    </row>
    <row r="159" spans="1:22">
      <c r="A159" s="826" t="s">
        <v>3125</v>
      </c>
      <c r="B159" s="826" t="s">
        <v>243</v>
      </c>
      <c r="C159" s="826" t="str">
        <f t="shared" si="4"/>
        <v>2003_Indonesia</v>
      </c>
      <c r="D159" s="826">
        <v>5292.89</v>
      </c>
      <c r="E159" s="826">
        <v>69402.09</v>
      </c>
      <c r="F159" s="826">
        <f t="shared" si="5"/>
        <v>69402090000</v>
      </c>
      <c r="G159" s="826">
        <v>64109.2</v>
      </c>
      <c r="H159" s="826">
        <v>17400.400000000001</v>
      </c>
      <c r="I159" s="826">
        <v>56946.6</v>
      </c>
      <c r="J159" s="826">
        <v>39546.199999999997</v>
      </c>
      <c r="K159" s="826">
        <v>-12107.51</v>
      </c>
      <c r="L159" s="826">
        <v>12455.49</v>
      </c>
      <c r="M159" s="826">
        <v>24563</v>
      </c>
      <c r="N159" s="826">
        <v>7.6264129798000004</v>
      </c>
      <c r="O159" s="826">
        <v>100</v>
      </c>
      <c r="P159" s="826">
        <v>92.373587020200006</v>
      </c>
      <c r="Q159" s="826">
        <v>30.555643357099999</v>
      </c>
      <c r="R159" s="826">
        <v>100</v>
      </c>
      <c r="S159" s="826">
        <v>69.444356642900004</v>
      </c>
      <c r="T159" s="826" t="s">
        <v>3088</v>
      </c>
      <c r="U159" s="826" t="s">
        <v>3088</v>
      </c>
      <c r="V159" s="826" t="s">
        <v>3088</v>
      </c>
    </row>
    <row r="160" spans="1:22">
      <c r="A160" s="826" t="s">
        <v>3125</v>
      </c>
      <c r="B160" s="826" t="s">
        <v>251</v>
      </c>
      <c r="C160" s="826" t="str">
        <f t="shared" si="4"/>
        <v>2003_Iraq</v>
      </c>
      <c r="D160" s="826" t="s">
        <v>603</v>
      </c>
      <c r="E160" s="826" t="s">
        <v>3088</v>
      </c>
      <c r="F160" s="826" t="str">
        <f t="shared" si="5"/>
        <v>..</v>
      </c>
      <c r="G160" s="826">
        <v>9711.1</v>
      </c>
      <c r="H160" s="826" t="s">
        <v>603</v>
      </c>
      <c r="I160" s="826" t="s">
        <v>603</v>
      </c>
      <c r="J160" s="826">
        <v>8349.6783099999993</v>
      </c>
      <c r="K160" s="826" t="s">
        <v>603</v>
      </c>
      <c r="L160" s="826" t="s">
        <v>603</v>
      </c>
      <c r="M160" s="826">
        <v>1361.4216899999999</v>
      </c>
      <c r="N160" s="826" t="s">
        <v>603</v>
      </c>
      <c r="O160" s="826" t="s">
        <v>603</v>
      </c>
      <c r="P160" s="826">
        <v>95.482935261199998</v>
      </c>
      <c r="Q160" s="826" t="s">
        <v>603</v>
      </c>
      <c r="R160" s="826" t="s">
        <v>603</v>
      </c>
      <c r="S160" s="826">
        <v>76.116369350900001</v>
      </c>
      <c r="T160" s="826" t="s">
        <v>3088</v>
      </c>
      <c r="U160" s="826" t="s">
        <v>3088</v>
      </c>
      <c r="V160" s="826" t="s">
        <v>3088</v>
      </c>
    </row>
    <row r="161" spans="1:22">
      <c r="A161" s="826" t="s">
        <v>3125</v>
      </c>
      <c r="B161" s="826" t="s">
        <v>280</v>
      </c>
      <c r="C161" s="826" t="str">
        <f t="shared" si="4"/>
        <v>2003_Kazakhstan</v>
      </c>
      <c r="D161" s="826">
        <v>1712.29</v>
      </c>
      <c r="E161" s="826">
        <v>14944.89</v>
      </c>
      <c r="F161" s="826">
        <f t="shared" si="5"/>
        <v>14944890000</v>
      </c>
      <c r="G161" s="826">
        <v>13232.6</v>
      </c>
      <c r="H161" s="826">
        <v>3752.69</v>
      </c>
      <c r="I161" s="826">
        <v>13306.32</v>
      </c>
      <c r="J161" s="826">
        <v>9553.6299999999992</v>
      </c>
      <c r="K161" s="826">
        <v>-2040.4</v>
      </c>
      <c r="L161" s="826">
        <v>1638.57</v>
      </c>
      <c r="M161" s="826">
        <v>3678.97</v>
      </c>
      <c r="N161" s="826">
        <v>11.457361011</v>
      </c>
      <c r="O161" s="826">
        <v>100</v>
      </c>
      <c r="P161" s="826">
        <v>88.542638988999997</v>
      </c>
      <c r="Q161" s="826">
        <v>28.2023128859</v>
      </c>
      <c r="R161" s="826">
        <v>100</v>
      </c>
      <c r="S161" s="826">
        <v>71.7976871141</v>
      </c>
      <c r="T161" s="826" t="s">
        <v>3088</v>
      </c>
      <c r="U161" s="826" t="s">
        <v>3088</v>
      </c>
      <c r="V161" s="826" t="s">
        <v>3088</v>
      </c>
    </row>
    <row r="162" spans="1:22">
      <c r="A162" s="826" t="s">
        <v>3125</v>
      </c>
      <c r="B162" s="826" t="s">
        <v>3141</v>
      </c>
      <c r="C162" s="826" t="str">
        <f t="shared" si="4"/>
        <v>2003_Kyrgyzstan</v>
      </c>
      <c r="D162" s="826">
        <v>158.18799999999999</v>
      </c>
      <c r="E162" s="826">
        <v>748.52200000000005</v>
      </c>
      <c r="F162" s="826">
        <f t="shared" si="5"/>
        <v>748522000</v>
      </c>
      <c r="G162" s="826">
        <v>590.33399999999995</v>
      </c>
      <c r="H162" s="826">
        <v>159.58500000000001</v>
      </c>
      <c r="I162" s="826">
        <v>882.70699999999999</v>
      </c>
      <c r="J162" s="826">
        <v>723.12199999999996</v>
      </c>
      <c r="K162" s="826">
        <v>-1.397</v>
      </c>
      <c r="L162" s="826">
        <v>-134.185</v>
      </c>
      <c r="M162" s="826">
        <v>-132.78800000000001</v>
      </c>
      <c r="N162" s="826">
        <v>21.1333801812</v>
      </c>
      <c r="O162" s="826">
        <v>100</v>
      </c>
      <c r="P162" s="826">
        <v>78.866619818800004</v>
      </c>
      <c r="Q162" s="826">
        <v>18.0790454817</v>
      </c>
      <c r="R162" s="826">
        <v>100</v>
      </c>
      <c r="S162" s="826">
        <v>81.920954518299993</v>
      </c>
      <c r="T162" s="826" t="s">
        <v>3088</v>
      </c>
      <c r="U162" s="826" t="s">
        <v>3088</v>
      </c>
      <c r="V162" s="826" t="s">
        <v>3088</v>
      </c>
    </row>
    <row r="163" spans="1:22">
      <c r="A163" s="826" t="s">
        <v>3125</v>
      </c>
      <c r="B163" s="826" t="s">
        <v>301</v>
      </c>
      <c r="C163" s="826" t="str">
        <f t="shared" si="4"/>
        <v>2003_Liberia</v>
      </c>
      <c r="D163" s="826" t="s">
        <v>603</v>
      </c>
      <c r="E163" s="826" t="s">
        <v>3088</v>
      </c>
      <c r="F163" s="826" t="str">
        <f t="shared" si="5"/>
        <v>..</v>
      </c>
      <c r="G163" s="826" t="s">
        <v>603</v>
      </c>
      <c r="H163" s="826" t="s">
        <v>603</v>
      </c>
      <c r="I163" s="826" t="s">
        <v>603</v>
      </c>
      <c r="J163" s="826">
        <v>128</v>
      </c>
      <c r="K163" s="826" t="s">
        <v>603</v>
      </c>
      <c r="L163" s="826" t="s">
        <v>603</v>
      </c>
      <c r="M163" s="826" t="s">
        <v>603</v>
      </c>
      <c r="N163" s="826" t="s">
        <v>603</v>
      </c>
      <c r="O163" s="826" t="s">
        <v>603</v>
      </c>
      <c r="P163" s="826" t="s">
        <v>603</v>
      </c>
      <c r="Q163" s="826" t="s">
        <v>603</v>
      </c>
      <c r="R163" s="826" t="s">
        <v>603</v>
      </c>
      <c r="S163" s="826">
        <v>49.530066922700001</v>
      </c>
      <c r="T163" s="826" t="s">
        <v>3088</v>
      </c>
      <c r="U163" s="826" t="s">
        <v>3088</v>
      </c>
      <c r="V163" s="826" t="s">
        <v>3088</v>
      </c>
    </row>
    <row r="164" spans="1:22">
      <c r="A164" s="826" t="s">
        <v>3125</v>
      </c>
      <c r="B164" s="826" t="s">
        <v>316</v>
      </c>
      <c r="C164" s="826" t="str">
        <f t="shared" si="4"/>
        <v>2003_Madagascar</v>
      </c>
      <c r="D164" s="826">
        <v>321.61500000000001</v>
      </c>
      <c r="E164" s="826">
        <v>1175.221</v>
      </c>
      <c r="F164" s="826">
        <f t="shared" si="5"/>
        <v>1175221000</v>
      </c>
      <c r="G164" s="826">
        <v>853.60599999999999</v>
      </c>
      <c r="H164" s="826">
        <v>618.83299999999997</v>
      </c>
      <c r="I164" s="826">
        <v>1730.163</v>
      </c>
      <c r="J164" s="826">
        <v>1111.33</v>
      </c>
      <c r="K164" s="826">
        <v>-297.21800000000002</v>
      </c>
      <c r="L164" s="826">
        <v>-554.94200000000001</v>
      </c>
      <c r="M164" s="826">
        <v>-257.72399999999999</v>
      </c>
      <c r="N164" s="826">
        <v>27.3663421603</v>
      </c>
      <c r="O164" s="826">
        <v>100</v>
      </c>
      <c r="P164" s="826">
        <v>72.633657839700007</v>
      </c>
      <c r="Q164" s="826">
        <v>35.767323656800002</v>
      </c>
      <c r="R164" s="826">
        <v>100</v>
      </c>
      <c r="S164" s="826">
        <v>64.232676343199998</v>
      </c>
      <c r="T164" s="826" t="s">
        <v>3088</v>
      </c>
      <c r="U164" s="826" t="s">
        <v>3088</v>
      </c>
      <c r="V164" s="826" t="s">
        <v>3088</v>
      </c>
    </row>
    <row r="165" spans="1:22">
      <c r="A165" s="826" t="s">
        <v>3125</v>
      </c>
      <c r="B165" s="826" t="s">
        <v>329</v>
      </c>
      <c r="C165" s="826" t="str">
        <f t="shared" si="4"/>
        <v>2003_Mali</v>
      </c>
      <c r="D165" s="826">
        <v>224.255</v>
      </c>
      <c r="E165" s="826">
        <v>1152.097</v>
      </c>
      <c r="F165" s="826">
        <f t="shared" si="5"/>
        <v>1152097000</v>
      </c>
      <c r="G165" s="826">
        <v>927.84199999999998</v>
      </c>
      <c r="H165" s="826">
        <v>482.23099999999999</v>
      </c>
      <c r="I165" s="826">
        <v>1470.568</v>
      </c>
      <c r="J165" s="826">
        <v>988.33699999999999</v>
      </c>
      <c r="K165" s="826">
        <v>-257.976</v>
      </c>
      <c r="L165" s="826">
        <v>-318.471</v>
      </c>
      <c r="M165" s="826">
        <v>-60.494999999999997</v>
      </c>
      <c r="N165" s="826">
        <v>19.464940886099999</v>
      </c>
      <c r="O165" s="826">
        <v>100</v>
      </c>
      <c r="P165" s="826">
        <v>80.535059113900004</v>
      </c>
      <c r="Q165" s="826">
        <v>32.792159220099997</v>
      </c>
      <c r="R165" s="826">
        <v>100</v>
      </c>
      <c r="S165" s="826">
        <v>67.207840779899996</v>
      </c>
      <c r="T165" s="826" t="s">
        <v>3088</v>
      </c>
      <c r="U165" s="826" t="s">
        <v>3088</v>
      </c>
      <c r="V165" s="826" t="s">
        <v>3088</v>
      </c>
    </row>
    <row r="166" spans="1:22">
      <c r="A166" s="826" t="s">
        <v>3125</v>
      </c>
      <c r="B166" s="826" t="s">
        <v>345</v>
      </c>
      <c r="C166" s="826" t="str">
        <f t="shared" si="4"/>
        <v>2003_Mauritania</v>
      </c>
      <c r="D166" s="826">
        <v>44.181789700000003</v>
      </c>
      <c r="E166" s="826">
        <v>362.63595842000001</v>
      </c>
      <c r="F166" s="826">
        <f t="shared" si="5"/>
        <v>362635958.42000002</v>
      </c>
      <c r="G166" s="826">
        <v>318.45416871999998</v>
      </c>
      <c r="H166" s="826">
        <v>189.16228423999999</v>
      </c>
      <c r="I166" s="826">
        <v>731.58710269999995</v>
      </c>
      <c r="J166" s="826">
        <v>542.42481845999998</v>
      </c>
      <c r="K166" s="826">
        <v>-144.98049454</v>
      </c>
      <c r="L166" s="826">
        <v>-368.95114427999999</v>
      </c>
      <c r="M166" s="826">
        <v>-223.97064974</v>
      </c>
      <c r="N166" s="826">
        <v>12.183510397699999</v>
      </c>
      <c r="O166" s="826">
        <v>100</v>
      </c>
      <c r="P166" s="826">
        <v>87.816489602299995</v>
      </c>
      <c r="Q166" s="826">
        <v>25.856426875499999</v>
      </c>
      <c r="R166" s="826">
        <v>100</v>
      </c>
      <c r="S166" s="826">
        <v>74.143573124499994</v>
      </c>
      <c r="T166" s="826" t="s">
        <v>3088</v>
      </c>
      <c r="U166" s="826" t="s">
        <v>3088</v>
      </c>
      <c r="V166" s="826" t="s">
        <v>3088</v>
      </c>
    </row>
    <row r="167" spans="1:22">
      <c r="A167" s="826" t="s">
        <v>3125</v>
      </c>
      <c r="B167" s="826" t="s">
        <v>364</v>
      </c>
      <c r="C167" s="826" t="str">
        <f t="shared" si="4"/>
        <v>2003_Mongolia</v>
      </c>
      <c r="D167" s="826">
        <v>207.9</v>
      </c>
      <c r="E167" s="826">
        <v>835.2</v>
      </c>
      <c r="F167" s="826">
        <f t="shared" si="5"/>
        <v>835200000</v>
      </c>
      <c r="G167" s="826">
        <v>627.29999999999995</v>
      </c>
      <c r="H167" s="826">
        <v>257.10000000000002</v>
      </c>
      <c r="I167" s="826">
        <v>1084</v>
      </c>
      <c r="J167" s="826">
        <v>826.9</v>
      </c>
      <c r="K167" s="826">
        <v>-49.2</v>
      </c>
      <c r="L167" s="826">
        <v>-248.8</v>
      </c>
      <c r="M167" s="826">
        <v>-199.6</v>
      </c>
      <c r="N167" s="826">
        <v>24.8922413793</v>
      </c>
      <c r="O167" s="826">
        <v>100</v>
      </c>
      <c r="P167" s="826">
        <v>75.107758620699997</v>
      </c>
      <c r="Q167" s="826">
        <v>23.717712177100001</v>
      </c>
      <c r="R167" s="826">
        <v>100</v>
      </c>
      <c r="S167" s="826">
        <v>76.282287822900003</v>
      </c>
      <c r="T167" s="826" t="s">
        <v>3088</v>
      </c>
      <c r="U167" s="826" t="s">
        <v>3088</v>
      </c>
      <c r="V167" s="826" t="s">
        <v>3088</v>
      </c>
    </row>
    <row r="168" spans="1:22">
      <c r="A168" s="826" t="s">
        <v>3125</v>
      </c>
      <c r="B168" s="826" t="s">
        <v>385</v>
      </c>
      <c r="C168" s="826" t="str">
        <f t="shared" si="4"/>
        <v>2003_Mozambique</v>
      </c>
      <c r="D168" s="826">
        <v>303.94200000000001</v>
      </c>
      <c r="E168" s="826">
        <v>1347.8520000000001</v>
      </c>
      <c r="F168" s="826">
        <f t="shared" si="5"/>
        <v>1347852000</v>
      </c>
      <c r="G168" s="826">
        <v>1043.9100000000001</v>
      </c>
      <c r="H168" s="826">
        <v>573.89400000000001</v>
      </c>
      <c r="I168" s="826">
        <v>2221.9740000000002</v>
      </c>
      <c r="J168" s="826">
        <v>1648.08</v>
      </c>
      <c r="K168" s="826">
        <v>-269.952</v>
      </c>
      <c r="L168" s="826">
        <v>-874.12199999999996</v>
      </c>
      <c r="M168" s="826">
        <v>-604.16999999999996</v>
      </c>
      <c r="N168" s="826">
        <v>22.550101940000001</v>
      </c>
      <c r="O168" s="826">
        <v>100</v>
      </c>
      <c r="P168" s="826">
        <v>77.449898059999995</v>
      </c>
      <c r="Q168" s="826">
        <v>25.8281150004</v>
      </c>
      <c r="R168" s="826">
        <v>100</v>
      </c>
      <c r="S168" s="826">
        <v>74.171884999599996</v>
      </c>
      <c r="T168" s="826" t="s">
        <v>3088</v>
      </c>
      <c r="U168" s="826" t="s">
        <v>3088</v>
      </c>
      <c r="V168" s="826" t="s">
        <v>3088</v>
      </c>
    </row>
    <row r="169" spans="1:22">
      <c r="A169" s="826" t="s">
        <v>3125</v>
      </c>
      <c r="B169" s="826" t="s">
        <v>394</v>
      </c>
      <c r="C169" s="826" t="str">
        <f t="shared" si="4"/>
        <v>2003_Niger</v>
      </c>
      <c r="D169" s="826">
        <v>63.308999999999997</v>
      </c>
      <c r="E169" s="826">
        <v>415.13400000000001</v>
      </c>
      <c r="F169" s="826">
        <f t="shared" si="5"/>
        <v>415134000</v>
      </c>
      <c r="G169" s="826">
        <v>351.82499999999999</v>
      </c>
      <c r="H169" s="826">
        <v>192.52099999999999</v>
      </c>
      <c r="I169" s="826">
        <v>680.99800000000005</v>
      </c>
      <c r="J169" s="826">
        <v>488.47699999999998</v>
      </c>
      <c r="K169" s="826">
        <v>-129.21199999999999</v>
      </c>
      <c r="L169" s="826">
        <v>-265.86399999999998</v>
      </c>
      <c r="M169" s="826">
        <v>-136.65199999999999</v>
      </c>
      <c r="N169" s="826">
        <v>15.250256543700001</v>
      </c>
      <c r="O169" s="826">
        <v>100</v>
      </c>
      <c r="P169" s="826">
        <v>84.749743456299996</v>
      </c>
      <c r="Q169" s="826">
        <v>28.270420764800001</v>
      </c>
      <c r="R169" s="826">
        <v>100</v>
      </c>
      <c r="S169" s="826">
        <v>71.729579235200006</v>
      </c>
      <c r="T169" s="826" t="s">
        <v>3088</v>
      </c>
      <c r="U169" s="826" t="s">
        <v>3088</v>
      </c>
      <c r="V169" s="826" t="s">
        <v>3088</v>
      </c>
    </row>
    <row r="170" spans="1:22">
      <c r="A170" s="826" t="s">
        <v>3125</v>
      </c>
      <c r="B170" s="826" t="s">
        <v>413</v>
      </c>
      <c r="C170" s="826" t="str">
        <f t="shared" si="4"/>
        <v>2003_Nigeria</v>
      </c>
      <c r="D170" s="826">
        <v>3473.18</v>
      </c>
      <c r="E170" s="826">
        <v>27449.18</v>
      </c>
      <c r="F170" s="826">
        <f t="shared" si="5"/>
        <v>27449180000</v>
      </c>
      <c r="G170" s="826">
        <v>23976</v>
      </c>
      <c r="H170" s="826">
        <v>5714.8</v>
      </c>
      <c r="I170" s="826">
        <v>21866.9</v>
      </c>
      <c r="J170" s="826">
        <v>16152.1</v>
      </c>
      <c r="K170" s="826">
        <v>-2241.62</v>
      </c>
      <c r="L170" s="826">
        <v>5582.28</v>
      </c>
      <c r="M170" s="826">
        <v>7823.9</v>
      </c>
      <c r="N170" s="826">
        <v>12.653128435899999</v>
      </c>
      <c r="O170" s="826">
        <v>100</v>
      </c>
      <c r="P170" s="826">
        <v>87.346871564099999</v>
      </c>
      <c r="Q170" s="826">
        <v>26.134477223600001</v>
      </c>
      <c r="R170" s="826">
        <v>100</v>
      </c>
      <c r="S170" s="826">
        <v>73.865522776399999</v>
      </c>
      <c r="T170" s="826" t="s">
        <v>3088</v>
      </c>
      <c r="U170" s="826" t="s">
        <v>3088</v>
      </c>
      <c r="V170" s="826" t="s">
        <v>3088</v>
      </c>
    </row>
    <row r="171" spans="1:22">
      <c r="A171" s="826" t="s">
        <v>3125</v>
      </c>
      <c r="B171" s="826" t="s">
        <v>436</v>
      </c>
      <c r="C171" s="826" t="str">
        <f t="shared" si="4"/>
        <v>2003_Norway</v>
      </c>
      <c r="D171" s="826">
        <v>21663.1</v>
      </c>
      <c r="E171" s="826">
        <v>90328.9</v>
      </c>
      <c r="F171" s="826">
        <f t="shared" si="5"/>
        <v>90328900000</v>
      </c>
      <c r="G171" s="826">
        <v>68665.8</v>
      </c>
      <c r="H171" s="826">
        <v>20569</v>
      </c>
      <c r="I171" s="826">
        <v>61072.4</v>
      </c>
      <c r="J171" s="826">
        <v>40503.4</v>
      </c>
      <c r="K171" s="826">
        <v>1094.0999999999999</v>
      </c>
      <c r="L171" s="826">
        <v>29256.5</v>
      </c>
      <c r="M171" s="826">
        <v>28162.400000000001</v>
      </c>
      <c r="N171" s="826">
        <v>23.982468512299999</v>
      </c>
      <c r="O171" s="826">
        <v>100</v>
      </c>
      <c r="P171" s="826">
        <v>76.017531487699998</v>
      </c>
      <c r="Q171" s="826">
        <v>33.679698194300002</v>
      </c>
      <c r="R171" s="826">
        <v>100</v>
      </c>
      <c r="S171" s="826">
        <v>66.320301805699998</v>
      </c>
      <c r="T171" s="826" t="s">
        <v>3088</v>
      </c>
      <c r="U171" s="826" t="s">
        <v>3088</v>
      </c>
      <c r="V171" s="826" t="s">
        <v>3088</v>
      </c>
    </row>
    <row r="172" spans="1:22">
      <c r="A172" s="826" t="s">
        <v>3125</v>
      </c>
      <c r="B172" s="826" t="s">
        <v>449</v>
      </c>
      <c r="C172" s="826" t="str">
        <f t="shared" si="4"/>
        <v>2003_Peru</v>
      </c>
      <c r="D172" s="826">
        <v>1715.59</v>
      </c>
      <c r="E172" s="826">
        <v>10806.32</v>
      </c>
      <c r="F172" s="826">
        <f t="shared" si="5"/>
        <v>10806320000</v>
      </c>
      <c r="G172" s="826">
        <v>9090.73</v>
      </c>
      <c r="H172" s="826">
        <v>2615.54</v>
      </c>
      <c r="I172" s="826">
        <v>10820.39</v>
      </c>
      <c r="J172" s="826">
        <v>8204.85</v>
      </c>
      <c r="K172" s="826">
        <v>-899.95</v>
      </c>
      <c r="L172" s="826">
        <v>-14.07</v>
      </c>
      <c r="M172" s="826">
        <v>885.88</v>
      </c>
      <c r="N172" s="826">
        <v>15.875802308300001</v>
      </c>
      <c r="O172" s="826">
        <v>100</v>
      </c>
      <c r="P172" s="826">
        <v>84.124197691700004</v>
      </c>
      <c r="Q172" s="826">
        <v>24.172326505800001</v>
      </c>
      <c r="R172" s="826">
        <v>100</v>
      </c>
      <c r="S172" s="826">
        <v>75.827673494199999</v>
      </c>
      <c r="T172" s="826" t="s">
        <v>3088</v>
      </c>
      <c r="U172" s="826" t="s">
        <v>3088</v>
      </c>
      <c r="V172" s="826" t="s">
        <v>3088</v>
      </c>
    </row>
    <row r="173" spans="1:22">
      <c r="A173" s="826" t="s">
        <v>3125</v>
      </c>
      <c r="B173" s="826" t="s">
        <v>488</v>
      </c>
      <c r="C173" s="826" t="str">
        <f t="shared" si="4"/>
        <v>2003_Sierra Leone</v>
      </c>
      <c r="D173" s="826">
        <v>66.063000000000002</v>
      </c>
      <c r="E173" s="826">
        <v>176.85300000000001</v>
      </c>
      <c r="F173" s="826">
        <f t="shared" si="5"/>
        <v>176853000</v>
      </c>
      <c r="G173" s="826">
        <v>110.79</v>
      </c>
      <c r="H173" s="826">
        <v>93.79</v>
      </c>
      <c r="I173" s="826">
        <v>404.48599999999999</v>
      </c>
      <c r="J173" s="826">
        <v>310.69600000000003</v>
      </c>
      <c r="K173" s="826">
        <v>-27.727</v>
      </c>
      <c r="L173" s="826">
        <v>-227.63300000000001</v>
      </c>
      <c r="M173" s="826">
        <v>-199.90600000000001</v>
      </c>
      <c r="N173" s="826">
        <v>37.354752251900003</v>
      </c>
      <c r="O173" s="826">
        <v>100</v>
      </c>
      <c r="P173" s="826">
        <v>62.645247748099997</v>
      </c>
      <c r="Q173" s="826">
        <v>23.187452717799999</v>
      </c>
      <c r="R173" s="826">
        <v>100</v>
      </c>
      <c r="S173" s="826">
        <v>76.812547282200001</v>
      </c>
      <c r="T173" s="826" t="s">
        <v>3088</v>
      </c>
      <c r="U173" s="826" t="s">
        <v>3088</v>
      </c>
      <c r="V173" s="826" t="s">
        <v>3088</v>
      </c>
    </row>
    <row r="174" spans="1:22">
      <c r="A174" s="826" t="s">
        <v>3125</v>
      </c>
      <c r="B174" s="826" t="s">
        <v>3090</v>
      </c>
      <c r="C174" s="826" t="str">
        <f t="shared" si="4"/>
        <v>2003_Timor-Leste</v>
      </c>
      <c r="D174" s="826" t="s">
        <v>603</v>
      </c>
      <c r="E174" s="826" t="s">
        <v>3088</v>
      </c>
      <c r="F174" s="826" t="str">
        <f t="shared" si="5"/>
        <v>..</v>
      </c>
      <c r="G174" s="826">
        <v>8</v>
      </c>
      <c r="H174" s="826" t="s">
        <v>603</v>
      </c>
      <c r="I174" s="826" t="s">
        <v>603</v>
      </c>
      <c r="J174" s="826">
        <v>130</v>
      </c>
      <c r="K174" s="826" t="s">
        <v>603</v>
      </c>
      <c r="L174" s="826" t="s">
        <v>603</v>
      </c>
      <c r="M174" s="826">
        <v>-122</v>
      </c>
      <c r="N174" s="826" t="s">
        <v>603</v>
      </c>
      <c r="O174" s="826" t="s">
        <v>603</v>
      </c>
      <c r="P174" s="826">
        <v>100</v>
      </c>
      <c r="Q174" s="826" t="s">
        <v>603</v>
      </c>
      <c r="R174" s="826" t="s">
        <v>603</v>
      </c>
      <c r="S174" s="826">
        <v>100</v>
      </c>
      <c r="T174" s="826" t="s">
        <v>3088</v>
      </c>
      <c r="U174" s="826" t="s">
        <v>3088</v>
      </c>
      <c r="V174" s="826" t="s">
        <v>3088</v>
      </c>
    </row>
    <row r="175" spans="1:22">
      <c r="A175" s="826" t="s">
        <v>3125</v>
      </c>
      <c r="B175" s="826" t="s">
        <v>517</v>
      </c>
      <c r="C175" s="826" t="str">
        <f t="shared" si="4"/>
        <v>2003_Togo</v>
      </c>
      <c r="D175" s="826">
        <v>94.796999999999997</v>
      </c>
      <c r="E175" s="826">
        <v>692.50699999999995</v>
      </c>
      <c r="F175" s="826">
        <f t="shared" si="5"/>
        <v>692507000</v>
      </c>
      <c r="G175" s="826">
        <v>597.71</v>
      </c>
      <c r="H175" s="826">
        <v>204.226</v>
      </c>
      <c r="I175" s="826">
        <v>958.75699999999995</v>
      </c>
      <c r="J175" s="826">
        <v>754.53099999999995</v>
      </c>
      <c r="K175" s="826">
        <v>-109.429</v>
      </c>
      <c r="L175" s="826">
        <v>-266.25</v>
      </c>
      <c r="M175" s="826">
        <v>-156.821</v>
      </c>
      <c r="N175" s="826">
        <v>13.6889591008</v>
      </c>
      <c r="O175" s="826">
        <v>100</v>
      </c>
      <c r="P175" s="826">
        <v>86.311040899199995</v>
      </c>
      <c r="Q175" s="826">
        <v>21.3011221822</v>
      </c>
      <c r="R175" s="826">
        <v>100</v>
      </c>
      <c r="S175" s="826">
        <v>78.698877817799996</v>
      </c>
      <c r="T175" s="826" t="s">
        <v>3088</v>
      </c>
      <c r="U175" s="826" t="s">
        <v>3088</v>
      </c>
      <c r="V175" s="826" t="s">
        <v>3088</v>
      </c>
    </row>
    <row r="176" spans="1:22">
      <c r="A176" s="826" t="s">
        <v>3125</v>
      </c>
      <c r="B176" s="826" t="s">
        <v>3091</v>
      </c>
      <c r="C176" s="826" t="str">
        <f t="shared" si="4"/>
        <v>2003_Trinidad and Tobago</v>
      </c>
      <c r="D176" s="826">
        <v>685.2</v>
      </c>
      <c r="E176" s="826">
        <v>5890.1</v>
      </c>
      <c r="F176" s="826">
        <f t="shared" si="5"/>
        <v>5890100000</v>
      </c>
      <c r="G176" s="826">
        <v>5204.8999999999996</v>
      </c>
      <c r="H176" s="826">
        <v>371.4</v>
      </c>
      <c r="I176" s="826">
        <v>4283.1000000000004</v>
      </c>
      <c r="J176" s="826">
        <v>3911.7</v>
      </c>
      <c r="K176" s="826">
        <v>313.8</v>
      </c>
      <c r="L176" s="826">
        <v>1607</v>
      </c>
      <c r="M176" s="826">
        <v>1293.2</v>
      </c>
      <c r="N176" s="826">
        <v>11.6330792346</v>
      </c>
      <c r="O176" s="826">
        <v>100</v>
      </c>
      <c r="P176" s="826">
        <v>88.366920765399996</v>
      </c>
      <c r="Q176" s="826">
        <v>8.6712894865999992</v>
      </c>
      <c r="R176" s="826">
        <v>100</v>
      </c>
      <c r="S176" s="826">
        <v>91.328710513399997</v>
      </c>
      <c r="T176" s="826" t="s">
        <v>3088</v>
      </c>
      <c r="U176" s="826" t="s">
        <v>3088</v>
      </c>
      <c r="V176" s="826" t="s">
        <v>3088</v>
      </c>
    </row>
    <row r="177" spans="1:22">
      <c r="A177" s="826" t="s">
        <v>3125</v>
      </c>
      <c r="B177" s="826" t="s">
        <v>499</v>
      </c>
      <c r="C177" s="826" t="str">
        <f t="shared" si="4"/>
        <v>2003_Tanzania</v>
      </c>
      <c r="D177" s="826">
        <v>947.75900000000001</v>
      </c>
      <c r="E177" s="826">
        <v>2168.6089999999999</v>
      </c>
      <c r="F177" s="826">
        <f t="shared" si="5"/>
        <v>2168609000</v>
      </c>
      <c r="G177" s="826">
        <v>1220.8499999999999</v>
      </c>
      <c r="H177" s="826">
        <v>725.69</v>
      </c>
      <c r="I177" s="826">
        <v>2659.15</v>
      </c>
      <c r="J177" s="826">
        <v>1933.46</v>
      </c>
      <c r="K177" s="826">
        <v>222.06899999999999</v>
      </c>
      <c r="L177" s="826">
        <v>-490.541</v>
      </c>
      <c r="M177" s="826">
        <v>-712.61</v>
      </c>
      <c r="N177" s="826">
        <v>43.703544530199999</v>
      </c>
      <c r="O177" s="826">
        <v>100</v>
      </c>
      <c r="P177" s="826">
        <v>56.296455469800001</v>
      </c>
      <c r="Q177" s="826">
        <v>27.290299531799999</v>
      </c>
      <c r="R177" s="826">
        <v>100</v>
      </c>
      <c r="S177" s="826">
        <v>72.709700468199998</v>
      </c>
      <c r="T177" s="826" t="s">
        <v>3088</v>
      </c>
      <c r="U177" s="826" t="s">
        <v>3088</v>
      </c>
      <c r="V177" s="826" t="s">
        <v>3088</v>
      </c>
    </row>
    <row r="178" spans="1:22">
      <c r="A178" s="826" t="s">
        <v>3125</v>
      </c>
      <c r="B178" s="826" t="s">
        <v>529</v>
      </c>
      <c r="C178" s="826" t="str">
        <f t="shared" si="4"/>
        <v>2003_Yemen</v>
      </c>
      <c r="D178" s="826">
        <v>317.73399999999998</v>
      </c>
      <c r="E178" s="826">
        <v>4252.0640000000003</v>
      </c>
      <c r="F178" s="826">
        <f t="shared" si="5"/>
        <v>4252064000.0000005</v>
      </c>
      <c r="G178" s="826">
        <v>3934.33</v>
      </c>
      <c r="H178" s="826">
        <v>1003.57</v>
      </c>
      <c r="I178" s="826">
        <v>4561</v>
      </c>
      <c r="J178" s="826">
        <v>3557.43</v>
      </c>
      <c r="K178" s="826">
        <v>-685.83600000000001</v>
      </c>
      <c r="L178" s="826">
        <v>-308.93599999999998</v>
      </c>
      <c r="M178" s="826">
        <v>376.9</v>
      </c>
      <c r="N178" s="826">
        <v>7.4724651369000004</v>
      </c>
      <c r="O178" s="826">
        <v>100</v>
      </c>
      <c r="P178" s="826">
        <v>92.527534863100001</v>
      </c>
      <c r="Q178" s="826">
        <v>22.003288752500001</v>
      </c>
      <c r="R178" s="826">
        <v>100</v>
      </c>
      <c r="S178" s="826">
        <v>77.996711247500002</v>
      </c>
      <c r="T178" s="826" t="s">
        <v>3088</v>
      </c>
      <c r="U178" s="826" t="s">
        <v>3088</v>
      </c>
      <c r="V178" s="826" t="s">
        <v>3088</v>
      </c>
    </row>
    <row r="179" spans="1:22">
      <c r="A179" s="826" t="s">
        <v>3125</v>
      </c>
      <c r="B179" s="826" t="s">
        <v>541</v>
      </c>
      <c r="C179" s="826" t="str">
        <f t="shared" si="4"/>
        <v>2003_Zambia</v>
      </c>
      <c r="D179" s="826">
        <v>165</v>
      </c>
      <c r="E179" s="826">
        <v>1251.52</v>
      </c>
      <c r="F179" s="826">
        <f t="shared" si="5"/>
        <v>1251520000</v>
      </c>
      <c r="G179" s="826">
        <v>1086.52</v>
      </c>
      <c r="H179" s="826">
        <v>403.4</v>
      </c>
      <c r="I179" s="826">
        <v>1795.93</v>
      </c>
      <c r="J179" s="826">
        <v>1392.53</v>
      </c>
      <c r="K179" s="826">
        <v>-238.4</v>
      </c>
      <c r="L179" s="826">
        <v>-544.41</v>
      </c>
      <c r="M179" s="826">
        <v>-306.01</v>
      </c>
      <c r="N179" s="826">
        <v>13.1839682946</v>
      </c>
      <c r="O179" s="826">
        <v>100</v>
      </c>
      <c r="P179" s="826">
        <v>86.816031705399993</v>
      </c>
      <c r="Q179" s="826">
        <v>22.461899962699999</v>
      </c>
      <c r="R179" s="826">
        <v>100</v>
      </c>
      <c r="S179" s="826">
        <v>77.538100037299998</v>
      </c>
      <c r="T179" s="826" t="s">
        <v>3088</v>
      </c>
      <c r="U179" s="826" t="s">
        <v>3088</v>
      </c>
      <c r="V179" s="826" t="s">
        <v>3088</v>
      </c>
    </row>
    <row r="180" spans="1:22">
      <c r="A180" s="826" t="s">
        <v>3126</v>
      </c>
      <c r="B180" s="826" t="s">
        <v>21</v>
      </c>
      <c r="C180" s="826" t="str">
        <f t="shared" si="4"/>
        <v>2004_Afghanistan</v>
      </c>
      <c r="D180" s="826" t="s">
        <v>603</v>
      </c>
      <c r="E180" s="826" t="s">
        <v>3088</v>
      </c>
      <c r="F180" s="826" t="str">
        <f t="shared" si="5"/>
        <v>..</v>
      </c>
      <c r="G180" s="826">
        <v>1643</v>
      </c>
      <c r="H180" s="826" t="s">
        <v>603</v>
      </c>
      <c r="I180" s="826" t="s">
        <v>603</v>
      </c>
      <c r="J180" s="826">
        <v>5086.3</v>
      </c>
      <c r="K180" s="826" t="s">
        <v>603</v>
      </c>
      <c r="L180" s="826" t="s">
        <v>603</v>
      </c>
      <c r="M180" s="826">
        <v>-3443.3</v>
      </c>
      <c r="N180" s="826" t="s">
        <v>603</v>
      </c>
      <c r="O180" s="826" t="s">
        <v>603</v>
      </c>
      <c r="P180" s="826">
        <v>95.257421150300004</v>
      </c>
      <c r="Q180" s="826" t="s">
        <v>603</v>
      </c>
      <c r="R180" s="826" t="s">
        <v>603</v>
      </c>
      <c r="S180" s="826">
        <v>98.550696556899993</v>
      </c>
      <c r="T180" s="826" t="s">
        <v>3088</v>
      </c>
      <c r="U180" s="826" t="s">
        <v>3088</v>
      </c>
      <c r="V180" s="826" t="s">
        <v>3088</v>
      </c>
    </row>
    <row r="181" spans="1:22">
      <c r="A181" s="826" t="s">
        <v>3126</v>
      </c>
      <c r="B181" s="826" t="s">
        <v>38</v>
      </c>
      <c r="C181" s="826" t="str">
        <f t="shared" si="4"/>
        <v>2004_Albania</v>
      </c>
      <c r="D181" s="826">
        <v>1003.45</v>
      </c>
      <c r="E181" s="826">
        <v>1606.787</v>
      </c>
      <c r="F181" s="826">
        <f t="shared" si="5"/>
        <v>1606787000</v>
      </c>
      <c r="G181" s="826">
        <v>603.33699999999999</v>
      </c>
      <c r="H181" s="826">
        <v>1054.82</v>
      </c>
      <c r="I181" s="826">
        <v>3249.72</v>
      </c>
      <c r="J181" s="826">
        <v>2194.9</v>
      </c>
      <c r="K181" s="826">
        <v>-51.37</v>
      </c>
      <c r="L181" s="826">
        <v>-1642.933</v>
      </c>
      <c r="M181" s="826">
        <v>-1591.5630000000001</v>
      </c>
      <c r="N181" s="826">
        <v>62.450716865399997</v>
      </c>
      <c r="O181" s="826">
        <v>100</v>
      </c>
      <c r="P181" s="826">
        <v>37.549283134600003</v>
      </c>
      <c r="Q181" s="826">
        <v>32.458796450199998</v>
      </c>
      <c r="R181" s="826">
        <v>100</v>
      </c>
      <c r="S181" s="826">
        <v>67.541203549800002</v>
      </c>
      <c r="T181" s="826" t="s">
        <v>3088</v>
      </c>
      <c r="U181" s="826" t="s">
        <v>3088</v>
      </c>
      <c r="V181" s="826" t="s">
        <v>3088</v>
      </c>
    </row>
    <row r="182" spans="1:22">
      <c r="A182" s="826" t="s">
        <v>3126</v>
      </c>
      <c r="B182" s="826" t="s">
        <v>53</v>
      </c>
      <c r="C182" s="826" t="str">
        <f t="shared" si="4"/>
        <v>2004_Azerbaijan</v>
      </c>
      <c r="D182" s="826">
        <v>492.02100000000002</v>
      </c>
      <c r="E182" s="826">
        <v>4235.0010000000002</v>
      </c>
      <c r="F182" s="826">
        <f t="shared" si="5"/>
        <v>4235001000</v>
      </c>
      <c r="G182" s="826">
        <v>3742.98</v>
      </c>
      <c r="H182" s="826">
        <v>2730.43</v>
      </c>
      <c r="I182" s="826">
        <v>6312.11</v>
      </c>
      <c r="J182" s="826">
        <v>3581.68</v>
      </c>
      <c r="K182" s="826">
        <v>-2238.4090000000001</v>
      </c>
      <c r="L182" s="826">
        <v>-2077.1089999999999</v>
      </c>
      <c r="M182" s="826">
        <v>161.30000000000001</v>
      </c>
      <c r="N182" s="826">
        <v>11.617966560099999</v>
      </c>
      <c r="O182" s="826">
        <v>100</v>
      </c>
      <c r="P182" s="826">
        <v>88.382033439899999</v>
      </c>
      <c r="Q182" s="826">
        <v>43.2570091459</v>
      </c>
      <c r="R182" s="826">
        <v>100</v>
      </c>
      <c r="S182" s="826">
        <v>56.7429908541</v>
      </c>
      <c r="T182" s="826" t="s">
        <v>3088</v>
      </c>
      <c r="U182" s="826" t="s">
        <v>3088</v>
      </c>
      <c r="V182" s="826" t="s">
        <v>3088</v>
      </c>
    </row>
    <row r="183" spans="1:22">
      <c r="A183" s="826" t="s">
        <v>3126</v>
      </c>
      <c r="B183" s="826" t="s">
        <v>98</v>
      </c>
      <c r="C183" s="826" t="str">
        <f t="shared" si="4"/>
        <v>2004_Burkina Faso</v>
      </c>
      <c r="D183" s="826">
        <v>68.644999999999996</v>
      </c>
      <c r="E183" s="826">
        <v>561.17600000000004</v>
      </c>
      <c r="F183" s="826">
        <f t="shared" si="5"/>
        <v>561176000</v>
      </c>
      <c r="G183" s="826">
        <v>492.53100000000001</v>
      </c>
      <c r="H183" s="826">
        <v>297.03699999999998</v>
      </c>
      <c r="I183" s="826">
        <v>1252.7850000000001</v>
      </c>
      <c r="J183" s="826">
        <v>955.74800000000005</v>
      </c>
      <c r="K183" s="826">
        <v>-228.392</v>
      </c>
      <c r="L183" s="826">
        <v>-691.60900000000004</v>
      </c>
      <c r="M183" s="826">
        <v>-463.21699999999998</v>
      </c>
      <c r="N183" s="826">
        <v>12.2323477839</v>
      </c>
      <c r="O183" s="826">
        <v>100</v>
      </c>
      <c r="P183" s="826">
        <v>87.767652216100004</v>
      </c>
      <c r="Q183" s="826">
        <v>23.7101338218</v>
      </c>
      <c r="R183" s="826">
        <v>100</v>
      </c>
      <c r="S183" s="826">
        <v>76.2898661782</v>
      </c>
      <c r="T183" s="826" t="s">
        <v>3088</v>
      </c>
      <c r="U183" s="826" t="s">
        <v>3088</v>
      </c>
      <c r="V183" s="826" t="s">
        <v>3088</v>
      </c>
    </row>
    <row r="184" spans="1:22">
      <c r="A184" s="826" t="s">
        <v>3126</v>
      </c>
      <c r="B184" s="826" t="s">
        <v>3136</v>
      </c>
      <c r="C184" s="826" t="str">
        <f t="shared" si="4"/>
        <v>2004_ Cameroon</v>
      </c>
      <c r="D184" s="826">
        <v>1108.6500000000001</v>
      </c>
      <c r="E184" s="826">
        <v>3817</v>
      </c>
      <c r="F184" s="826">
        <f t="shared" si="5"/>
        <v>3817000000</v>
      </c>
      <c r="G184" s="826">
        <v>2708.35</v>
      </c>
      <c r="H184" s="826">
        <v>1491.01</v>
      </c>
      <c r="I184" s="826">
        <v>3964.68</v>
      </c>
      <c r="J184" s="826">
        <v>2473.67</v>
      </c>
      <c r="K184" s="826">
        <v>-382.36</v>
      </c>
      <c r="L184" s="826">
        <v>-147.68</v>
      </c>
      <c r="M184" s="826">
        <v>234.68</v>
      </c>
      <c r="N184" s="826">
        <v>29.045061566699999</v>
      </c>
      <c r="O184" s="826">
        <v>100</v>
      </c>
      <c r="P184" s="826">
        <v>70.954938433300001</v>
      </c>
      <c r="Q184" s="826">
        <v>37.607322659099999</v>
      </c>
      <c r="R184" s="826">
        <v>100</v>
      </c>
      <c r="S184" s="826">
        <v>62.392677340900001</v>
      </c>
      <c r="T184" s="826" t="s">
        <v>3088</v>
      </c>
      <c r="U184" s="826" t="s">
        <v>3088</v>
      </c>
      <c r="V184" s="826" t="s">
        <v>3088</v>
      </c>
    </row>
    <row r="185" spans="1:22">
      <c r="A185" s="826" t="s">
        <v>3126</v>
      </c>
      <c r="B185" s="826" t="s">
        <v>127</v>
      </c>
      <c r="C185" s="826" t="str">
        <f t="shared" si="4"/>
        <v>2004_Central African Republic</v>
      </c>
      <c r="D185" s="826">
        <v>40.88702121</v>
      </c>
      <c r="E185" s="826">
        <v>174.52700720000001</v>
      </c>
      <c r="F185" s="826">
        <f t="shared" si="5"/>
        <v>174527007.20000002</v>
      </c>
      <c r="G185" s="826">
        <v>133.63998599000001</v>
      </c>
      <c r="H185" s="826">
        <v>106.00338832</v>
      </c>
      <c r="I185" s="826">
        <v>257.24750843999999</v>
      </c>
      <c r="J185" s="826">
        <v>151.24412011999999</v>
      </c>
      <c r="K185" s="826">
        <v>-65.116367109999999</v>
      </c>
      <c r="L185" s="826">
        <v>-82.720501240000004</v>
      </c>
      <c r="M185" s="826">
        <v>-17.604134129999998</v>
      </c>
      <c r="N185" s="826">
        <v>23.427331887499999</v>
      </c>
      <c r="O185" s="826">
        <v>100</v>
      </c>
      <c r="P185" s="826">
        <v>76.572668112499997</v>
      </c>
      <c r="Q185" s="826">
        <v>41.206769683700003</v>
      </c>
      <c r="R185" s="826">
        <v>100</v>
      </c>
      <c r="S185" s="826">
        <v>58.793230316299997</v>
      </c>
      <c r="T185" s="826" t="s">
        <v>3088</v>
      </c>
      <c r="U185" s="826" t="s">
        <v>3088</v>
      </c>
      <c r="V185" s="826" t="s">
        <v>3088</v>
      </c>
    </row>
    <row r="186" spans="1:22">
      <c r="A186" s="826" t="s">
        <v>3126</v>
      </c>
      <c r="B186" s="826" t="s">
        <v>3137</v>
      </c>
      <c r="C186" s="826" t="str">
        <f t="shared" si="4"/>
        <v>2004_ Chad</v>
      </c>
      <c r="D186" s="826">
        <v>80.63829183</v>
      </c>
      <c r="E186" s="826">
        <v>2278.3156818699999</v>
      </c>
      <c r="F186" s="826">
        <f t="shared" si="5"/>
        <v>2278315681.8699999</v>
      </c>
      <c r="G186" s="826">
        <v>2197.6773900399999</v>
      </c>
      <c r="H186" s="826">
        <v>1707.4117190500001</v>
      </c>
      <c r="I186" s="826">
        <v>2660.87433865</v>
      </c>
      <c r="J186" s="826">
        <v>953.46261960000004</v>
      </c>
      <c r="K186" s="826">
        <v>-1626.77342722</v>
      </c>
      <c r="L186" s="826">
        <v>-382.55865677999998</v>
      </c>
      <c r="M186" s="826">
        <v>1244.2147704399999</v>
      </c>
      <c r="N186" s="826">
        <v>3.5393818544000002</v>
      </c>
      <c r="O186" s="826">
        <v>100</v>
      </c>
      <c r="P186" s="826">
        <v>96.460618145599994</v>
      </c>
      <c r="Q186" s="826">
        <v>64.167318773700003</v>
      </c>
      <c r="R186" s="826">
        <v>100</v>
      </c>
      <c r="S186" s="826">
        <v>35.832681226299997</v>
      </c>
      <c r="T186" s="826" t="s">
        <v>3088</v>
      </c>
      <c r="U186" s="826" t="s">
        <v>3088</v>
      </c>
      <c r="V186" s="826" t="s">
        <v>3088</v>
      </c>
    </row>
    <row r="187" spans="1:22">
      <c r="A187" s="826" t="s">
        <v>3126</v>
      </c>
      <c r="B187" s="826" t="s">
        <v>465</v>
      </c>
      <c r="C187" s="826" t="str">
        <f t="shared" si="4"/>
        <v>2004_Republic of the Congo</v>
      </c>
      <c r="D187" s="826">
        <v>196.67400000000001</v>
      </c>
      <c r="E187" s="826">
        <v>3629.864</v>
      </c>
      <c r="F187" s="826">
        <f t="shared" si="5"/>
        <v>3629864000</v>
      </c>
      <c r="G187" s="826">
        <v>3433.19</v>
      </c>
      <c r="H187" s="826">
        <v>1016.31</v>
      </c>
      <c r="I187" s="826">
        <v>1985.2950000000001</v>
      </c>
      <c r="J187" s="826">
        <v>968.98500000000001</v>
      </c>
      <c r="K187" s="826">
        <v>-819.63599999999997</v>
      </c>
      <c r="L187" s="826">
        <v>1644.569</v>
      </c>
      <c r="M187" s="826">
        <v>2464.2049999999999</v>
      </c>
      <c r="N187" s="826">
        <v>5.4182195255999996</v>
      </c>
      <c r="O187" s="826">
        <v>100</v>
      </c>
      <c r="P187" s="826">
        <v>94.581780474400006</v>
      </c>
      <c r="Q187" s="826">
        <v>51.1918883592</v>
      </c>
      <c r="R187" s="826">
        <v>100</v>
      </c>
      <c r="S187" s="826">
        <v>48.8081116408</v>
      </c>
      <c r="T187" s="826" t="s">
        <v>3088</v>
      </c>
      <c r="U187" s="826" t="s">
        <v>3088</v>
      </c>
      <c r="V187" s="826" t="s">
        <v>3088</v>
      </c>
    </row>
    <row r="188" spans="1:22">
      <c r="A188" s="826" t="s">
        <v>3126</v>
      </c>
      <c r="B188" s="826" t="s">
        <v>171</v>
      </c>
      <c r="C188" s="826" t="str">
        <f t="shared" si="4"/>
        <v>2004_Democratic Republic of Congo</v>
      </c>
      <c r="D188" s="826">
        <v>360.29466212</v>
      </c>
      <c r="E188" s="826">
        <v>2277.4855001800001</v>
      </c>
      <c r="F188" s="826">
        <f t="shared" si="5"/>
        <v>2277485500.1800003</v>
      </c>
      <c r="G188" s="826">
        <v>1917.19083806</v>
      </c>
      <c r="H188" s="826">
        <v>774.06818347000001</v>
      </c>
      <c r="I188" s="826">
        <v>2825.50720138</v>
      </c>
      <c r="J188" s="826">
        <v>2051.4390179100001</v>
      </c>
      <c r="K188" s="826">
        <v>-413.77352135000001</v>
      </c>
      <c r="L188" s="826">
        <v>-548.02170120000005</v>
      </c>
      <c r="M188" s="826">
        <v>-134.24817985000001</v>
      </c>
      <c r="N188" s="826">
        <v>15.8198443894</v>
      </c>
      <c r="O188" s="826">
        <v>100</v>
      </c>
      <c r="P188" s="826">
        <v>84.180155610599996</v>
      </c>
      <c r="Q188" s="826">
        <v>27.395725025600001</v>
      </c>
      <c r="R188" s="826">
        <v>100</v>
      </c>
      <c r="S188" s="826">
        <v>72.604274974399999</v>
      </c>
      <c r="T188" s="826" t="s">
        <v>3088</v>
      </c>
      <c r="U188" s="826" t="s">
        <v>3088</v>
      </c>
      <c r="V188" s="826" t="s">
        <v>3088</v>
      </c>
    </row>
    <row r="189" spans="1:22">
      <c r="A189" s="826" t="s">
        <v>3126</v>
      </c>
      <c r="B189" s="826" t="s">
        <v>3138</v>
      </c>
      <c r="C189" s="826" t="str">
        <f t="shared" si="4"/>
        <v>2004_ Equatorial Guinea</v>
      </c>
      <c r="D189" s="826">
        <v>30.84887891</v>
      </c>
      <c r="E189" s="826">
        <v>4739.2922380800001</v>
      </c>
      <c r="F189" s="826">
        <f t="shared" si="5"/>
        <v>4739292238.0799999</v>
      </c>
      <c r="G189" s="826">
        <v>4708.4433591699999</v>
      </c>
      <c r="H189" s="826">
        <v>756.03130884999996</v>
      </c>
      <c r="I189" s="826">
        <v>1847.6769168000001</v>
      </c>
      <c r="J189" s="826">
        <v>1091.6456079500001</v>
      </c>
      <c r="K189" s="826">
        <v>-725.18242994000002</v>
      </c>
      <c r="L189" s="826">
        <v>2891.61532128</v>
      </c>
      <c r="M189" s="826">
        <v>3616.79775122</v>
      </c>
      <c r="N189" s="826">
        <v>0.6509174231</v>
      </c>
      <c r="O189" s="826">
        <v>100</v>
      </c>
      <c r="P189" s="826">
        <v>99.349082576900003</v>
      </c>
      <c r="Q189" s="826">
        <v>40.917938735699998</v>
      </c>
      <c r="R189" s="826">
        <v>100</v>
      </c>
      <c r="S189" s="826">
        <v>59.082061264300002</v>
      </c>
      <c r="T189" s="826" t="s">
        <v>3088</v>
      </c>
      <c r="U189" s="826" t="s">
        <v>3088</v>
      </c>
      <c r="V189" s="826" t="s">
        <v>3088</v>
      </c>
    </row>
    <row r="190" spans="1:22">
      <c r="A190" s="826" t="s">
        <v>3126</v>
      </c>
      <c r="B190" s="826" t="s">
        <v>3139</v>
      </c>
      <c r="C190" s="826" t="str">
        <f t="shared" si="4"/>
        <v>2004_ Gabon</v>
      </c>
      <c r="D190" s="826">
        <v>156.298</v>
      </c>
      <c r="E190" s="826">
        <v>4227.8680000000004</v>
      </c>
      <c r="F190" s="826">
        <f t="shared" si="5"/>
        <v>4227868000.0000005</v>
      </c>
      <c r="G190" s="826">
        <v>4071.57</v>
      </c>
      <c r="H190" s="826">
        <v>939.10299999999995</v>
      </c>
      <c r="I190" s="826">
        <v>2154.7330000000002</v>
      </c>
      <c r="J190" s="826">
        <v>1215.6300000000001</v>
      </c>
      <c r="K190" s="826">
        <v>-782.80499999999995</v>
      </c>
      <c r="L190" s="826">
        <v>2073.1350000000002</v>
      </c>
      <c r="M190" s="826">
        <v>2855.94</v>
      </c>
      <c r="N190" s="826">
        <v>3.6968514627000002</v>
      </c>
      <c r="O190" s="826">
        <v>100</v>
      </c>
      <c r="P190" s="826">
        <v>96.303148537300004</v>
      </c>
      <c r="Q190" s="826">
        <v>43.583265304800001</v>
      </c>
      <c r="R190" s="826">
        <v>100</v>
      </c>
      <c r="S190" s="826">
        <v>56.416734695199999</v>
      </c>
      <c r="T190" s="826" t="s">
        <v>3088</v>
      </c>
      <c r="U190" s="826" t="s">
        <v>3088</v>
      </c>
      <c r="V190" s="826" t="s">
        <v>3088</v>
      </c>
    </row>
    <row r="191" spans="1:22">
      <c r="A191" s="826" t="s">
        <v>3126</v>
      </c>
      <c r="B191" s="826" t="s">
        <v>195</v>
      </c>
      <c r="C191" s="826" t="str">
        <f t="shared" si="4"/>
        <v>2004_Ghana</v>
      </c>
      <c r="D191" s="826">
        <v>702.31</v>
      </c>
      <c r="E191" s="826">
        <v>3406.77</v>
      </c>
      <c r="F191" s="826">
        <f t="shared" si="5"/>
        <v>3406770000</v>
      </c>
      <c r="G191" s="826">
        <v>2704.46</v>
      </c>
      <c r="H191" s="826">
        <v>1081.79</v>
      </c>
      <c r="I191" s="826">
        <v>5379.07</v>
      </c>
      <c r="J191" s="826">
        <v>4297.28</v>
      </c>
      <c r="K191" s="826">
        <v>-379.48</v>
      </c>
      <c r="L191" s="826">
        <v>-1972.3</v>
      </c>
      <c r="M191" s="826">
        <v>-1592.82</v>
      </c>
      <c r="N191" s="826">
        <v>20.615128112600001</v>
      </c>
      <c r="O191" s="826">
        <v>100</v>
      </c>
      <c r="P191" s="826">
        <v>79.384871887399996</v>
      </c>
      <c r="Q191" s="826">
        <v>20.1110972715</v>
      </c>
      <c r="R191" s="826">
        <v>100</v>
      </c>
      <c r="S191" s="826">
        <v>79.8889027285</v>
      </c>
      <c r="T191" s="826" t="s">
        <v>3088</v>
      </c>
      <c r="U191" s="826" t="s">
        <v>3088</v>
      </c>
      <c r="V191" s="826" t="s">
        <v>3088</v>
      </c>
    </row>
    <row r="192" spans="1:22">
      <c r="A192" s="826" t="s">
        <v>3126</v>
      </c>
      <c r="B192" s="826" t="s">
        <v>219</v>
      </c>
      <c r="C192" s="826" t="str">
        <f t="shared" si="4"/>
        <v>2004_Guatemala</v>
      </c>
      <c r="D192" s="826">
        <v>1100.4000000000001</v>
      </c>
      <c r="E192" s="826">
        <v>6205.47</v>
      </c>
      <c r="F192" s="826">
        <f t="shared" si="5"/>
        <v>6205470000</v>
      </c>
      <c r="G192" s="826">
        <v>5105.07</v>
      </c>
      <c r="H192" s="826">
        <v>1344.3</v>
      </c>
      <c r="I192" s="826">
        <v>10081.35</v>
      </c>
      <c r="J192" s="826">
        <v>8737.0499999999993</v>
      </c>
      <c r="K192" s="826">
        <v>-243.9</v>
      </c>
      <c r="L192" s="826">
        <v>-3875.88</v>
      </c>
      <c r="M192" s="826">
        <v>-3631.98</v>
      </c>
      <c r="N192" s="826">
        <v>17.732742241899999</v>
      </c>
      <c r="O192" s="826">
        <v>100</v>
      </c>
      <c r="P192" s="826">
        <v>82.267257758100001</v>
      </c>
      <c r="Q192" s="826">
        <v>13.3345236501</v>
      </c>
      <c r="R192" s="826">
        <v>100</v>
      </c>
      <c r="S192" s="826">
        <v>86.665476349900004</v>
      </c>
      <c r="T192" s="826" t="s">
        <v>3088</v>
      </c>
      <c r="U192" s="826" t="s">
        <v>3088</v>
      </c>
      <c r="V192" s="826" t="s">
        <v>3088</v>
      </c>
    </row>
    <row r="193" spans="1:22">
      <c r="A193" s="826" t="s">
        <v>3126</v>
      </c>
      <c r="B193" s="826" t="s">
        <v>3140</v>
      </c>
      <c r="C193" s="826" t="str">
        <f t="shared" si="4"/>
        <v>2004_ Guinea</v>
      </c>
      <c r="D193" s="826">
        <v>85.36</v>
      </c>
      <c r="E193" s="826">
        <v>810.91</v>
      </c>
      <c r="F193" s="826">
        <f t="shared" si="5"/>
        <v>810910000</v>
      </c>
      <c r="G193" s="826">
        <v>725.55</v>
      </c>
      <c r="H193" s="826">
        <v>275.23</v>
      </c>
      <c r="I193" s="826">
        <v>963.63</v>
      </c>
      <c r="J193" s="826">
        <v>688.4</v>
      </c>
      <c r="K193" s="826">
        <v>-189.87</v>
      </c>
      <c r="L193" s="826">
        <v>-152.72</v>
      </c>
      <c r="M193" s="826">
        <v>37.15</v>
      </c>
      <c r="N193" s="826">
        <v>10.5264455982</v>
      </c>
      <c r="O193" s="826">
        <v>100</v>
      </c>
      <c r="P193" s="826">
        <v>89.473554401800001</v>
      </c>
      <c r="Q193" s="826">
        <v>28.561792389200001</v>
      </c>
      <c r="R193" s="826">
        <v>100</v>
      </c>
      <c r="S193" s="826">
        <v>71.438207610800006</v>
      </c>
      <c r="T193" s="826" t="s">
        <v>3088</v>
      </c>
      <c r="U193" s="826" t="s">
        <v>3088</v>
      </c>
      <c r="V193" s="826" t="s">
        <v>3088</v>
      </c>
    </row>
    <row r="194" spans="1:22">
      <c r="A194" s="826" t="s">
        <v>3126</v>
      </c>
      <c r="B194" s="826" t="s">
        <v>243</v>
      </c>
      <c r="C194" s="826" t="str">
        <f t="shared" si="4"/>
        <v>2004_Indonesia</v>
      </c>
      <c r="D194" s="826">
        <v>12045.4</v>
      </c>
      <c r="E194" s="826">
        <v>82812.5</v>
      </c>
      <c r="F194" s="826">
        <f t="shared" si="5"/>
        <v>82812500000</v>
      </c>
      <c r="G194" s="826">
        <v>70767.100000000006</v>
      </c>
      <c r="H194" s="826">
        <v>20856.3</v>
      </c>
      <c r="I194" s="826">
        <v>71470.899999999994</v>
      </c>
      <c r="J194" s="826">
        <v>50614.6</v>
      </c>
      <c r="K194" s="826">
        <v>-8810.9</v>
      </c>
      <c r="L194" s="826">
        <v>11341.6</v>
      </c>
      <c r="M194" s="826">
        <v>20152.5</v>
      </c>
      <c r="N194" s="826">
        <v>14.5453886792</v>
      </c>
      <c r="O194" s="826">
        <v>100</v>
      </c>
      <c r="P194" s="826">
        <v>85.454611320799998</v>
      </c>
      <c r="Q194" s="826">
        <v>29.1815270271</v>
      </c>
      <c r="R194" s="826">
        <v>100</v>
      </c>
      <c r="S194" s="826">
        <v>70.818472972899997</v>
      </c>
      <c r="T194" s="826" t="s">
        <v>3088</v>
      </c>
      <c r="U194" s="826" t="s">
        <v>3088</v>
      </c>
      <c r="V194" s="826" t="s">
        <v>3088</v>
      </c>
    </row>
    <row r="195" spans="1:22">
      <c r="A195" s="826" t="s">
        <v>3126</v>
      </c>
      <c r="B195" s="826" t="s">
        <v>251</v>
      </c>
      <c r="C195" s="826" t="str">
        <f t="shared" si="4"/>
        <v>2004_Iraq</v>
      </c>
      <c r="D195" s="826" t="s">
        <v>603</v>
      </c>
      <c r="E195" s="826" t="s">
        <v>3088</v>
      </c>
      <c r="F195" s="826" t="str">
        <f t="shared" si="5"/>
        <v>..</v>
      </c>
      <c r="G195" s="826">
        <v>17810</v>
      </c>
      <c r="H195" s="826" t="s">
        <v>603</v>
      </c>
      <c r="I195" s="826" t="s">
        <v>603</v>
      </c>
      <c r="J195" s="826">
        <v>17905.808856</v>
      </c>
      <c r="K195" s="826" t="s">
        <v>603</v>
      </c>
      <c r="L195" s="826" t="s">
        <v>603</v>
      </c>
      <c r="M195" s="826">
        <v>-95.808856000000006</v>
      </c>
      <c r="N195" s="826" t="s">
        <v>603</v>
      </c>
      <c r="O195" s="826" t="s">
        <v>603</v>
      </c>
      <c r="P195" s="826">
        <v>99.183478180700007</v>
      </c>
      <c r="Q195" s="826" t="s">
        <v>603</v>
      </c>
      <c r="R195" s="826" t="s">
        <v>603</v>
      </c>
      <c r="S195" s="826">
        <v>81.4033375785</v>
      </c>
      <c r="T195" s="826" t="s">
        <v>3088</v>
      </c>
      <c r="U195" s="826" t="s">
        <v>3088</v>
      </c>
      <c r="V195" s="826" t="s">
        <v>3088</v>
      </c>
    </row>
    <row r="196" spans="1:22">
      <c r="A196" s="826" t="s">
        <v>3126</v>
      </c>
      <c r="B196" s="826" t="s">
        <v>280</v>
      </c>
      <c r="C196" s="826" t="str">
        <f t="shared" si="4"/>
        <v>2004_Kazakhstan</v>
      </c>
      <c r="D196" s="826">
        <v>2009.19</v>
      </c>
      <c r="E196" s="826">
        <v>22612.29</v>
      </c>
      <c r="F196" s="826">
        <f t="shared" si="5"/>
        <v>22612290000</v>
      </c>
      <c r="G196" s="826">
        <v>20603.099999999999</v>
      </c>
      <c r="H196" s="826">
        <v>5107.8999999999996</v>
      </c>
      <c r="I196" s="826">
        <v>18925.5</v>
      </c>
      <c r="J196" s="826">
        <v>13817.6</v>
      </c>
      <c r="K196" s="826">
        <v>-3098.71</v>
      </c>
      <c r="L196" s="826">
        <v>3686.79</v>
      </c>
      <c r="M196" s="826">
        <v>6785.5</v>
      </c>
      <c r="N196" s="826">
        <v>8.8853893169999996</v>
      </c>
      <c r="O196" s="826">
        <v>100</v>
      </c>
      <c r="P196" s="826">
        <v>91.114610682999995</v>
      </c>
      <c r="Q196" s="826">
        <v>26.989511505599999</v>
      </c>
      <c r="R196" s="826">
        <v>100</v>
      </c>
      <c r="S196" s="826">
        <v>73.010488494399993</v>
      </c>
      <c r="T196" s="826" t="s">
        <v>3088</v>
      </c>
      <c r="U196" s="826" t="s">
        <v>3088</v>
      </c>
      <c r="V196" s="826" t="s">
        <v>3088</v>
      </c>
    </row>
    <row r="197" spans="1:22">
      <c r="A197" s="826" t="s">
        <v>3126</v>
      </c>
      <c r="B197" s="826" t="s">
        <v>3141</v>
      </c>
      <c r="C197" s="826" t="str">
        <f t="shared" si="4"/>
        <v>2004_Kyrgyzstan</v>
      </c>
      <c r="D197" s="826">
        <v>209.80199999999999</v>
      </c>
      <c r="E197" s="826">
        <v>942.98400000000004</v>
      </c>
      <c r="F197" s="826">
        <f t="shared" si="5"/>
        <v>942984000</v>
      </c>
      <c r="G197" s="826">
        <v>733.18200000000002</v>
      </c>
      <c r="H197" s="826">
        <v>222.649</v>
      </c>
      <c r="I197" s="826">
        <v>1126.4390000000001</v>
      </c>
      <c r="J197" s="826">
        <v>903.79</v>
      </c>
      <c r="K197" s="826">
        <v>-12.847</v>
      </c>
      <c r="L197" s="826">
        <v>-183.45500000000001</v>
      </c>
      <c r="M197" s="826">
        <v>-170.608</v>
      </c>
      <c r="N197" s="826">
        <v>22.248733806699999</v>
      </c>
      <c r="O197" s="826">
        <v>100</v>
      </c>
      <c r="P197" s="826">
        <v>77.751266193299998</v>
      </c>
      <c r="Q197" s="826">
        <v>19.765739645</v>
      </c>
      <c r="R197" s="826">
        <v>100</v>
      </c>
      <c r="S197" s="826">
        <v>80.234260355000004</v>
      </c>
      <c r="T197" s="826" t="s">
        <v>3088</v>
      </c>
      <c r="U197" s="826" t="s">
        <v>3088</v>
      </c>
      <c r="V197" s="826" t="s">
        <v>3088</v>
      </c>
    </row>
    <row r="198" spans="1:22">
      <c r="A198" s="826" t="s">
        <v>3126</v>
      </c>
      <c r="B198" s="826" t="s">
        <v>301</v>
      </c>
      <c r="C198" s="826" t="str">
        <f t="shared" ref="C198:C261" si="6">$A198&amp;"_"&amp;$B198</f>
        <v>2004_Liberia</v>
      </c>
      <c r="D198" s="826">
        <v>212.39099999999999</v>
      </c>
      <c r="E198" s="826">
        <v>317.18299999999999</v>
      </c>
      <c r="F198" s="826">
        <f t="shared" ref="F198:F261" si="7">IFERROR($E198*1000000,"..")</f>
        <v>317183000</v>
      </c>
      <c r="G198" s="826">
        <v>104.792</v>
      </c>
      <c r="H198" s="826">
        <v>779.78399999999999</v>
      </c>
      <c r="I198" s="826">
        <v>1058.681</v>
      </c>
      <c r="J198" s="826">
        <v>278.89699999999999</v>
      </c>
      <c r="K198" s="826">
        <v>-567.39300000000003</v>
      </c>
      <c r="L198" s="826">
        <v>-741.49800000000005</v>
      </c>
      <c r="M198" s="826">
        <v>-174.10499999999999</v>
      </c>
      <c r="N198" s="826">
        <v>66.961659357499997</v>
      </c>
      <c r="O198" s="826">
        <v>100</v>
      </c>
      <c r="P198" s="826">
        <v>33.038340642500003</v>
      </c>
      <c r="Q198" s="826">
        <v>73.656181607099995</v>
      </c>
      <c r="R198" s="826">
        <v>100</v>
      </c>
      <c r="S198" s="826">
        <v>26.343818392900001</v>
      </c>
      <c r="T198" s="826" t="s">
        <v>3088</v>
      </c>
      <c r="U198" s="826" t="s">
        <v>3088</v>
      </c>
      <c r="V198" s="826" t="s">
        <v>3088</v>
      </c>
    </row>
    <row r="199" spans="1:22">
      <c r="A199" s="826" t="s">
        <v>3126</v>
      </c>
      <c r="B199" s="826" t="s">
        <v>316</v>
      </c>
      <c r="C199" s="826" t="str">
        <f t="shared" si="6"/>
        <v>2004_Madagascar</v>
      </c>
      <c r="D199" s="826">
        <v>424.87900000000002</v>
      </c>
      <c r="E199" s="826">
        <v>1415.2809999999999</v>
      </c>
      <c r="F199" s="826">
        <f t="shared" si="7"/>
        <v>1415281000</v>
      </c>
      <c r="G199" s="826">
        <v>990.40200000000004</v>
      </c>
      <c r="H199" s="826">
        <v>637.31100000000004</v>
      </c>
      <c r="I199" s="826">
        <v>2064.5509999999999</v>
      </c>
      <c r="J199" s="826">
        <v>1427.24</v>
      </c>
      <c r="K199" s="826">
        <v>-212.43199999999999</v>
      </c>
      <c r="L199" s="826">
        <v>-649.27</v>
      </c>
      <c r="M199" s="826">
        <v>-436.83800000000002</v>
      </c>
      <c r="N199" s="826">
        <v>30.020822720000002</v>
      </c>
      <c r="O199" s="826">
        <v>100</v>
      </c>
      <c r="P199" s="826">
        <v>69.979177280000002</v>
      </c>
      <c r="Q199" s="826">
        <v>30.869230161899999</v>
      </c>
      <c r="R199" s="826">
        <v>100</v>
      </c>
      <c r="S199" s="826">
        <v>69.130769838099994</v>
      </c>
      <c r="T199" s="826" t="s">
        <v>3088</v>
      </c>
      <c r="U199" s="826" t="s">
        <v>3088</v>
      </c>
      <c r="V199" s="826" t="s">
        <v>3088</v>
      </c>
    </row>
    <row r="200" spans="1:22">
      <c r="A200" s="826" t="s">
        <v>3126</v>
      </c>
      <c r="B200" s="826" t="s">
        <v>329</v>
      </c>
      <c r="C200" s="826" t="str">
        <f t="shared" si="6"/>
        <v>2004_Mali</v>
      </c>
      <c r="D200" s="826">
        <v>241.148</v>
      </c>
      <c r="E200" s="826">
        <v>1217.5820000000001</v>
      </c>
      <c r="F200" s="826">
        <f t="shared" si="7"/>
        <v>1217582000</v>
      </c>
      <c r="G200" s="826">
        <v>976.43399999999997</v>
      </c>
      <c r="H200" s="826">
        <v>531.80999999999995</v>
      </c>
      <c r="I200" s="826">
        <v>1624.69</v>
      </c>
      <c r="J200" s="826">
        <v>1092.8800000000001</v>
      </c>
      <c r="K200" s="826">
        <v>-290.66199999999998</v>
      </c>
      <c r="L200" s="826">
        <v>-407.108</v>
      </c>
      <c r="M200" s="826">
        <v>-116.446</v>
      </c>
      <c r="N200" s="826">
        <v>19.805483326800001</v>
      </c>
      <c r="O200" s="826">
        <v>100</v>
      </c>
      <c r="P200" s="826">
        <v>80.194516673199999</v>
      </c>
      <c r="Q200" s="826">
        <v>32.733013682600003</v>
      </c>
      <c r="R200" s="826">
        <v>100</v>
      </c>
      <c r="S200" s="826">
        <v>67.266986317399997</v>
      </c>
      <c r="T200" s="826" t="s">
        <v>3088</v>
      </c>
      <c r="U200" s="826" t="s">
        <v>3088</v>
      </c>
      <c r="V200" s="826" t="s">
        <v>3088</v>
      </c>
    </row>
    <row r="201" spans="1:22">
      <c r="A201" s="826" t="s">
        <v>3126</v>
      </c>
      <c r="B201" s="826" t="s">
        <v>345</v>
      </c>
      <c r="C201" s="826" t="str">
        <f t="shared" si="6"/>
        <v>2004_Mauritania</v>
      </c>
      <c r="D201" s="826">
        <v>52.012736660000002</v>
      </c>
      <c r="E201" s="826">
        <v>491.62087530999997</v>
      </c>
      <c r="F201" s="826">
        <f t="shared" si="7"/>
        <v>491620875.31</v>
      </c>
      <c r="G201" s="826">
        <v>439.60813865</v>
      </c>
      <c r="H201" s="826">
        <v>295.93819865</v>
      </c>
      <c r="I201" s="826">
        <v>1219.31046692</v>
      </c>
      <c r="J201" s="826">
        <v>923.37226826999995</v>
      </c>
      <c r="K201" s="826">
        <v>-243.92546199</v>
      </c>
      <c r="L201" s="826">
        <v>-727.68959160999998</v>
      </c>
      <c r="M201" s="826">
        <v>-483.76412962000001</v>
      </c>
      <c r="N201" s="826">
        <v>10.579847047199999</v>
      </c>
      <c r="O201" s="826">
        <v>100</v>
      </c>
      <c r="P201" s="826">
        <v>89.420152952799995</v>
      </c>
      <c r="Q201" s="826">
        <v>24.270947119599999</v>
      </c>
      <c r="R201" s="826">
        <v>100</v>
      </c>
      <c r="S201" s="826">
        <v>75.729052880400005</v>
      </c>
      <c r="T201" s="826" t="s">
        <v>3088</v>
      </c>
      <c r="U201" s="826" t="s">
        <v>3088</v>
      </c>
      <c r="V201" s="826" t="s">
        <v>3088</v>
      </c>
    </row>
    <row r="202" spans="1:22">
      <c r="A202" s="826" t="s">
        <v>3126</v>
      </c>
      <c r="B202" s="826" t="s">
        <v>364</v>
      </c>
      <c r="C202" s="826" t="str">
        <f t="shared" si="6"/>
        <v>2004_Mongolia</v>
      </c>
      <c r="D202" s="826">
        <v>338.44</v>
      </c>
      <c r="E202" s="826">
        <v>1210.54</v>
      </c>
      <c r="F202" s="826">
        <f t="shared" si="7"/>
        <v>1210540000</v>
      </c>
      <c r="G202" s="826">
        <v>872.1</v>
      </c>
      <c r="H202" s="826">
        <v>503.69</v>
      </c>
      <c r="I202" s="826">
        <v>1404.69</v>
      </c>
      <c r="J202" s="826">
        <v>901</v>
      </c>
      <c r="K202" s="826">
        <v>-165.25</v>
      </c>
      <c r="L202" s="826">
        <v>-194.15</v>
      </c>
      <c r="M202" s="826">
        <v>-28.9</v>
      </c>
      <c r="N202" s="826">
        <v>27.957770912200001</v>
      </c>
      <c r="O202" s="826">
        <v>100</v>
      </c>
      <c r="P202" s="826">
        <v>72.042229087799996</v>
      </c>
      <c r="Q202" s="826">
        <v>35.8577337348</v>
      </c>
      <c r="R202" s="826">
        <v>100</v>
      </c>
      <c r="S202" s="826">
        <v>64.142266265200007</v>
      </c>
      <c r="T202" s="826" t="s">
        <v>3088</v>
      </c>
      <c r="U202" s="826" t="s">
        <v>3088</v>
      </c>
      <c r="V202" s="826" t="s">
        <v>3088</v>
      </c>
    </row>
    <row r="203" spans="1:22">
      <c r="A203" s="826" t="s">
        <v>3126</v>
      </c>
      <c r="B203" s="826" t="s">
        <v>385</v>
      </c>
      <c r="C203" s="826" t="str">
        <f t="shared" si="6"/>
        <v>2004_Mozambique</v>
      </c>
      <c r="D203" s="826">
        <v>255.55099999999999</v>
      </c>
      <c r="E203" s="826">
        <v>1759.4110000000001</v>
      </c>
      <c r="F203" s="826">
        <f t="shared" si="7"/>
        <v>1759411000</v>
      </c>
      <c r="G203" s="826">
        <v>1503.86</v>
      </c>
      <c r="H203" s="826">
        <v>531.38599999999997</v>
      </c>
      <c r="I203" s="826">
        <v>2381.0859999999998</v>
      </c>
      <c r="J203" s="826">
        <v>1849.7</v>
      </c>
      <c r="K203" s="826">
        <v>-275.83499999999998</v>
      </c>
      <c r="L203" s="826">
        <v>-621.67499999999995</v>
      </c>
      <c r="M203" s="826">
        <v>-345.84</v>
      </c>
      <c r="N203" s="826">
        <v>14.524804039499999</v>
      </c>
      <c r="O203" s="826">
        <v>100</v>
      </c>
      <c r="P203" s="826">
        <v>85.475195960500002</v>
      </c>
      <c r="Q203" s="826">
        <v>22.316959572199998</v>
      </c>
      <c r="R203" s="826">
        <v>100</v>
      </c>
      <c r="S203" s="826">
        <v>77.683040427799995</v>
      </c>
      <c r="T203" s="826" t="s">
        <v>3088</v>
      </c>
      <c r="U203" s="826" t="s">
        <v>3088</v>
      </c>
      <c r="V203" s="826" t="s">
        <v>3088</v>
      </c>
    </row>
    <row r="204" spans="1:22">
      <c r="A204" s="826" t="s">
        <v>3126</v>
      </c>
      <c r="B204" s="826" t="s">
        <v>394</v>
      </c>
      <c r="C204" s="826" t="str">
        <f t="shared" si="6"/>
        <v>2004_Niger</v>
      </c>
      <c r="D204" s="826">
        <v>93.397000000000006</v>
      </c>
      <c r="E204" s="826">
        <v>530.11400000000003</v>
      </c>
      <c r="F204" s="826">
        <f t="shared" si="7"/>
        <v>530114000.00000006</v>
      </c>
      <c r="G204" s="826">
        <v>436.71699999999998</v>
      </c>
      <c r="H204" s="826">
        <v>262.22000000000003</v>
      </c>
      <c r="I204" s="826">
        <v>851.96100000000001</v>
      </c>
      <c r="J204" s="826">
        <v>589.74099999999999</v>
      </c>
      <c r="K204" s="826">
        <v>-168.82300000000001</v>
      </c>
      <c r="L204" s="826">
        <v>-321.84699999999998</v>
      </c>
      <c r="M204" s="826">
        <v>-153.024</v>
      </c>
      <c r="N204" s="826">
        <v>17.6182858781</v>
      </c>
      <c r="O204" s="826">
        <v>100</v>
      </c>
      <c r="P204" s="826">
        <v>82.381714121900004</v>
      </c>
      <c r="Q204" s="826">
        <v>30.778404175799999</v>
      </c>
      <c r="R204" s="826">
        <v>100</v>
      </c>
      <c r="S204" s="826">
        <v>69.221595824199994</v>
      </c>
      <c r="T204" s="826" t="s">
        <v>3088</v>
      </c>
      <c r="U204" s="826" t="s">
        <v>3088</v>
      </c>
      <c r="V204" s="826" t="s">
        <v>3088</v>
      </c>
    </row>
    <row r="205" spans="1:22">
      <c r="A205" s="826" t="s">
        <v>3126</v>
      </c>
      <c r="B205" s="826" t="s">
        <v>413</v>
      </c>
      <c r="C205" s="826" t="str">
        <f t="shared" si="6"/>
        <v>2004_Nigeria</v>
      </c>
      <c r="D205" s="826">
        <v>3335.95</v>
      </c>
      <c r="E205" s="826">
        <v>38102.15</v>
      </c>
      <c r="F205" s="826">
        <f t="shared" si="7"/>
        <v>38102150000</v>
      </c>
      <c r="G205" s="826">
        <v>34766.199999999997</v>
      </c>
      <c r="H205" s="826">
        <v>5973.19</v>
      </c>
      <c r="I205" s="826">
        <v>20981.99</v>
      </c>
      <c r="J205" s="826">
        <v>15008.8</v>
      </c>
      <c r="K205" s="826">
        <v>-2637.24</v>
      </c>
      <c r="L205" s="826">
        <v>17120.16</v>
      </c>
      <c r="M205" s="826">
        <v>19757.400000000001</v>
      </c>
      <c r="N205" s="826">
        <v>8.7552802138000008</v>
      </c>
      <c r="O205" s="826">
        <v>100</v>
      </c>
      <c r="P205" s="826">
        <v>91.244719786199994</v>
      </c>
      <c r="Q205" s="826">
        <v>28.468176755399998</v>
      </c>
      <c r="R205" s="826">
        <v>100</v>
      </c>
      <c r="S205" s="826">
        <v>71.531823244600005</v>
      </c>
      <c r="T205" s="826" t="s">
        <v>3088</v>
      </c>
      <c r="U205" s="826" t="s">
        <v>3088</v>
      </c>
      <c r="V205" s="826" t="s">
        <v>3088</v>
      </c>
    </row>
    <row r="206" spans="1:22">
      <c r="A206" s="826" t="s">
        <v>3126</v>
      </c>
      <c r="B206" s="826" t="s">
        <v>436</v>
      </c>
      <c r="C206" s="826" t="str">
        <f t="shared" si="6"/>
        <v>2004_Norway</v>
      </c>
      <c r="D206" s="826">
        <v>25513.029847999998</v>
      </c>
      <c r="E206" s="826">
        <v>108506.887785</v>
      </c>
      <c r="F206" s="826">
        <f t="shared" si="7"/>
        <v>108506887785</v>
      </c>
      <c r="G206" s="826">
        <v>82993.857936999993</v>
      </c>
      <c r="H206" s="826">
        <v>23054.764999999999</v>
      </c>
      <c r="I206" s="826">
        <v>71997.823139999993</v>
      </c>
      <c r="J206" s="826">
        <v>48943.058140000001</v>
      </c>
      <c r="K206" s="826">
        <v>2458.2648479999998</v>
      </c>
      <c r="L206" s="826">
        <v>36509.064644999999</v>
      </c>
      <c r="M206" s="826">
        <v>34050.799797</v>
      </c>
      <c r="N206" s="826">
        <v>23.512820585699998</v>
      </c>
      <c r="O206" s="826">
        <v>100</v>
      </c>
      <c r="P206" s="826">
        <v>76.487179414300002</v>
      </c>
      <c r="Q206" s="826">
        <v>32.021475087100001</v>
      </c>
      <c r="R206" s="826">
        <v>100</v>
      </c>
      <c r="S206" s="826">
        <v>67.978524912899999</v>
      </c>
      <c r="T206" s="826" t="s">
        <v>3088</v>
      </c>
      <c r="U206" s="826" t="s">
        <v>3088</v>
      </c>
      <c r="V206" s="826" t="s">
        <v>3088</v>
      </c>
    </row>
    <row r="207" spans="1:22">
      <c r="A207" s="826" t="s">
        <v>3126</v>
      </c>
      <c r="B207" s="826" t="s">
        <v>449</v>
      </c>
      <c r="C207" s="826" t="str">
        <f t="shared" si="6"/>
        <v>2004_Peru</v>
      </c>
      <c r="D207" s="826">
        <v>1993.28</v>
      </c>
      <c r="E207" s="826">
        <v>14802.48</v>
      </c>
      <c r="F207" s="826">
        <f t="shared" si="7"/>
        <v>14802480000</v>
      </c>
      <c r="G207" s="826">
        <v>12809.2</v>
      </c>
      <c r="H207" s="826">
        <v>2725.11</v>
      </c>
      <c r="I207" s="826">
        <v>12529.89</v>
      </c>
      <c r="J207" s="826">
        <v>9804.7800000000007</v>
      </c>
      <c r="K207" s="826">
        <v>-731.83</v>
      </c>
      <c r="L207" s="826">
        <v>2272.59</v>
      </c>
      <c r="M207" s="826">
        <v>3004.42</v>
      </c>
      <c r="N207" s="826">
        <v>13.465851668099999</v>
      </c>
      <c r="O207" s="826">
        <v>100</v>
      </c>
      <c r="P207" s="826">
        <v>86.534148331899999</v>
      </c>
      <c r="Q207" s="826">
        <v>21.748874092299999</v>
      </c>
      <c r="R207" s="826">
        <v>100</v>
      </c>
      <c r="S207" s="826">
        <v>78.251125907700001</v>
      </c>
      <c r="T207" s="826" t="s">
        <v>3088</v>
      </c>
      <c r="U207" s="826" t="s">
        <v>3088</v>
      </c>
      <c r="V207" s="826" t="s">
        <v>3088</v>
      </c>
    </row>
    <row r="208" spans="1:22">
      <c r="A208" s="826" t="s">
        <v>3126</v>
      </c>
      <c r="B208" s="826" t="s">
        <v>488</v>
      </c>
      <c r="C208" s="826" t="str">
        <f t="shared" si="6"/>
        <v>2004_Sierra Leone</v>
      </c>
      <c r="D208" s="826">
        <v>61.469000000000001</v>
      </c>
      <c r="E208" s="826">
        <v>215.54300000000001</v>
      </c>
      <c r="F208" s="826">
        <f t="shared" si="7"/>
        <v>215543000</v>
      </c>
      <c r="G208" s="826">
        <v>154.07400000000001</v>
      </c>
      <c r="H208" s="826">
        <v>92.341999999999999</v>
      </c>
      <c r="I208" s="826">
        <v>366.65800000000002</v>
      </c>
      <c r="J208" s="826">
        <v>274.31599999999997</v>
      </c>
      <c r="K208" s="826">
        <v>-30.873000000000001</v>
      </c>
      <c r="L208" s="826">
        <v>-151.11500000000001</v>
      </c>
      <c r="M208" s="826">
        <v>-120.242</v>
      </c>
      <c r="N208" s="826">
        <v>28.518207503799999</v>
      </c>
      <c r="O208" s="826">
        <v>100</v>
      </c>
      <c r="P208" s="826">
        <v>71.481792496200001</v>
      </c>
      <c r="Q208" s="826">
        <v>25.184777094699999</v>
      </c>
      <c r="R208" s="826">
        <v>100</v>
      </c>
      <c r="S208" s="826">
        <v>74.815222905300004</v>
      </c>
      <c r="T208" s="826" t="s">
        <v>3088</v>
      </c>
      <c r="U208" s="826" t="s">
        <v>3088</v>
      </c>
      <c r="V208" s="826" t="s">
        <v>3088</v>
      </c>
    </row>
    <row r="209" spans="1:22">
      <c r="A209" s="826" t="s">
        <v>3126</v>
      </c>
      <c r="B209" s="826" t="s">
        <v>3090</v>
      </c>
      <c r="C209" s="826" t="str">
        <f t="shared" si="6"/>
        <v>2004_Timor-Leste</v>
      </c>
      <c r="D209" s="826" t="s">
        <v>603</v>
      </c>
      <c r="E209" s="826" t="s">
        <v>3088</v>
      </c>
      <c r="F209" s="826" t="str">
        <f t="shared" si="7"/>
        <v>..</v>
      </c>
      <c r="G209" s="826">
        <v>7.3360000000000003</v>
      </c>
      <c r="H209" s="826" t="s">
        <v>603</v>
      </c>
      <c r="I209" s="826" t="s">
        <v>603</v>
      </c>
      <c r="J209" s="826">
        <v>146.13300000000001</v>
      </c>
      <c r="K209" s="826" t="s">
        <v>603</v>
      </c>
      <c r="L209" s="826" t="s">
        <v>603</v>
      </c>
      <c r="M209" s="826">
        <v>-138.797</v>
      </c>
      <c r="N209" s="826" t="s">
        <v>603</v>
      </c>
      <c r="O209" s="826" t="s">
        <v>603</v>
      </c>
      <c r="P209" s="826">
        <v>100</v>
      </c>
      <c r="Q209" s="826" t="s">
        <v>603</v>
      </c>
      <c r="R209" s="826" t="s">
        <v>603</v>
      </c>
      <c r="S209" s="826">
        <v>100</v>
      </c>
      <c r="T209" s="826" t="s">
        <v>3088</v>
      </c>
      <c r="U209" s="826" t="s">
        <v>3088</v>
      </c>
      <c r="V209" s="826" t="s">
        <v>3088</v>
      </c>
    </row>
    <row r="210" spans="1:22">
      <c r="A210" s="826" t="s">
        <v>3126</v>
      </c>
      <c r="B210" s="826" t="s">
        <v>517</v>
      </c>
      <c r="C210" s="826" t="str">
        <f t="shared" si="6"/>
        <v>2004_Togo</v>
      </c>
      <c r="D210" s="826">
        <v>149.97399999999999</v>
      </c>
      <c r="E210" s="826">
        <v>750.99300000000005</v>
      </c>
      <c r="F210" s="826">
        <f t="shared" si="7"/>
        <v>750993000</v>
      </c>
      <c r="G210" s="826">
        <v>601.01900000000001</v>
      </c>
      <c r="H210" s="826">
        <v>239.255</v>
      </c>
      <c r="I210" s="826">
        <v>1092.567</v>
      </c>
      <c r="J210" s="826">
        <v>853.31200000000001</v>
      </c>
      <c r="K210" s="826">
        <v>-89.281000000000006</v>
      </c>
      <c r="L210" s="826">
        <v>-341.57400000000001</v>
      </c>
      <c r="M210" s="826">
        <v>-252.29300000000001</v>
      </c>
      <c r="N210" s="826">
        <v>19.970092930300002</v>
      </c>
      <c r="O210" s="826">
        <v>100</v>
      </c>
      <c r="P210" s="826">
        <v>80.029907069700002</v>
      </c>
      <c r="Q210" s="826">
        <v>21.898428197099999</v>
      </c>
      <c r="R210" s="826">
        <v>100</v>
      </c>
      <c r="S210" s="826">
        <v>78.101571802899997</v>
      </c>
      <c r="T210" s="826" t="s">
        <v>3088</v>
      </c>
      <c r="U210" s="826" t="s">
        <v>3088</v>
      </c>
      <c r="V210" s="826" t="s">
        <v>3088</v>
      </c>
    </row>
    <row r="211" spans="1:22">
      <c r="A211" s="826" t="s">
        <v>3126</v>
      </c>
      <c r="B211" s="826" t="s">
        <v>3091</v>
      </c>
      <c r="C211" s="826" t="str">
        <f t="shared" si="6"/>
        <v>2004_Trinidad and Tobago</v>
      </c>
      <c r="D211" s="826">
        <v>850.8</v>
      </c>
      <c r="E211" s="826">
        <v>7396.16</v>
      </c>
      <c r="F211" s="826">
        <f t="shared" si="7"/>
        <v>7396160000</v>
      </c>
      <c r="G211" s="826">
        <v>6545.36</v>
      </c>
      <c r="H211" s="826">
        <v>371.3</v>
      </c>
      <c r="I211" s="826">
        <v>5262.2</v>
      </c>
      <c r="J211" s="826">
        <v>4890.8999999999996</v>
      </c>
      <c r="K211" s="826">
        <v>479.5</v>
      </c>
      <c r="L211" s="826">
        <v>2133.96</v>
      </c>
      <c r="M211" s="826">
        <v>1654.46</v>
      </c>
      <c r="N211" s="826">
        <v>11.5032665599</v>
      </c>
      <c r="O211" s="826">
        <v>100</v>
      </c>
      <c r="P211" s="826">
        <v>88.496733440100002</v>
      </c>
      <c r="Q211" s="826">
        <v>7.0559841891000001</v>
      </c>
      <c r="R211" s="826">
        <v>100</v>
      </c>
      <c r="S211" s="826">
        <v>92.944015810899998</v>
      </c>
      <c r="T211" s="826" t="s">
        <v>3088</v>
      </c>
      <c r="U211" s="826" t="s">
        <v>3088</v>
      </c>
      <c r="V211" s="826" t="s">
        <v>3088</v>
      </c>
    </row>
    <row r="212" spans="1:22">
      <c r="A212" s="826" t="s">
        <v>3126</v>
      </c>
      <c r="B212" s="826" t="s">
        <v>499</v>
      </c>
      <c r="C212" s="826" t="str">
        <f t="shared" si="6"/>
        <v>2004_Tanzania</v>
      </c>
      <c r="D212" s="826">
        <v>1133.6300000000001</v>
      </c>
      <c r="E212" s="826">
        <v>2615.27</v>
      </c>
      <c r="F212" s="826">
        <f t="shared" si="7"/>
        <v>2615270000</v>
      </c>
      <c r="G212" s="826">
        <v>1481.64</v>
      </c>
      <c r="H212" s="826">
        <v>974.71600000000001</v>
      </c>
      <c r="I212" s="826">
        <v>3457.556</v>
      </c>
      <c r="J212" s="826">
        <v>2482.84</v>
      </c>
      <c r="K212" s="826">
        <v>158.91399999999999</v>
      </c>
      <c r="L212" s="826">
        <v>-842.28599999999994</v>
      </c>
      <c r="M212" s="826">
        <v>-1001.2</v>
      </c>
      <c r="N212" s="826">
        <v>43.346576070499999</v>
      </c>
      <c r="O212" s="826">
        <v>100</v>
      </c>
      <c r="P212" s="826">
        <v>56.653423929500001</v>
      </c>
      <c r="Q212" s="826">
        <v>28.190895534300001</v>
      </c>
      <c r="R212" s="826">
        <v>100</v>
      </c>
      <c r="S212" s="826">
        <v>71.809104465700003</v>
      </c>
      <c r="T212" s="826" t="s">
        <v>3088</v>
      </c>
      <c r="U212" s="826" t="s">
        <v>3088</v>
      </c>
      <c r="V212" s="826" t="s">
        <v>3088</v>
      </c>
    </row>
    <row r="213" spans="1:22">
      <c r="A213" s="826" t="s">
        <v>3126</v>
      </c>
      <c r="B213" s="826" t="s">
        <v>529</v>
      </c>
      <c r="C213" s="826" t="str">
        <f t="shared" si="6"/>
        <v>2004_Yemen</v>
      </c>
      <c r="D213" s="826">
        <v>369.673</v>
      </c>
      <c r="E213" s="826">
        <v>5045.393</v>
      </c>
      <c r="F213" s="826">
        <f t="shared" si="7"/>
        <v>5045393000</v>
      </c>
      <c r="G213" s="826">
        <v>4675.72</v>
      </c>
      <c r="H213" s="826">
        <v>1059.43</v>
      </c>
      <c r="I213" s="826">
        <v>4918.04</v>
      </c>
      <c r="J213" s="826">
        <v>3858.61</v>
      </c>
      <c r="K213" s="826">
        <v>-689.75699999999995</v>
      </c>
      <c r="L213" s="826">
        <v>127.35299999999999</v>
      </c>
      <c r="M213" s="826">
        <v>817.11</v>
      </c>
      <c r="N213" s="826">
        <v>7.3269416277000001</v>
      </c>
      <c r="O213" s="826">
        <v>100</v>
      </c>
      <c r="P213" s="826">
        <v>92.673058372300005</v>
      </c>
      <c r="Q213" s="826">
        <v>21.5417117388</v>
      </c>
      <c r="R213" s="826">
        <v>100</v>
      </c>
      <c r="S213" s="826">
        <v>78.458288261199996</v>
      </c>
      <c r="T213" s="826" t="s">
        <v>3088</v>
      </c>
      <c r="U213" s="826" t="s">
        <v>3088</v>
      </c>
      <c r="V213" s="826" t="s">
        <v>3088</v>
      </c>
    </row>
    <row r="214" spans="1:22">
      <c r="A214" s="826" t="s">
        <v>3126</v>
      </c>
      <c r="B214" s="826" t="s">
        <v>541</v>
      </c>
      <c r="C214" s="826" t="str">
        <f t="shared" si="6"/>
        <v>2004_Zambia</v>
      </c>
      <c r="D214" s="826">
        <v>231.8</v>
      </c>
      <c r="E214" s="826">
        <v>2076.31</v>
      </c>
      <c r="F214" s="826">
        <f t="shared" si="7"/>
        <v>2076310000</v>
      </c>
      <c r="G214" s="826">
        <v>1844.51</v>
      </c>
      <c r="H214" s="826">
        <v>447.3</v>
      </c>
      <c r="I214" s="826">
        <v>2174.2399999999998</v>
      </c>
      <c r="J214" s="826">
        <v>1726.94</v>
      </c>
      <c r="K214" s="826">
        <v>-215.5</v>
      </c>
      <c r="L214" s="826">
        <v>-97.93</v>
      </c>
      <c r="M214" s="826">
        <v>117.57</v>
      </c>
      <c r="N214" s="826">
        <v>11.1640361988</v>
      </c>
      <c r="O214" s="826">
        <v>100</v>
      </c>
      <c r="P214" s="826">
        <v>88.835963801199995</v>
      </c>
      <c r="Q214" s="826">
        <v>20.572705865</v>
      </c>
      <c r="R214" s="826">
        <v>100</v>
      </c>
      <c r="S214" s="826">
        <v>79.427294134999997</v>
      </c>
      <c r="T214" s="826" t="s">
        <v>3088</v>
      </c>
      <c r="U214" s="826" t="s">
        <v>3088</v>
      </c>
      <c r="V214" s="826" t="s">
        <v>3088</v>
      </c>
    </row>
    <row r="215" spans="1:22">
      <c r="A215" s="826" t="s">
        <v>3127</v>
      </c>
      <c r="B215" s="826" t="s">
        <v>21</v>
      </c>
      <c r="C215" s="826" t="str">
        <f t="shared" si="6"/>
        <v>2005_Afghanistan</v>
      </c>
      <c r="D215" s="826" t="s">
        <v>603</v>
      </c>
      <c r="E215" s="826" t="s">
        <v>3088</v>
      </c>
      <c r="F215" s="826" t="str">
        <f t="shared" si="7"/>
        <v>..</v>
      </c>
      <c r="G215" s="826">
        <v>1794.8</v>
      </c>
      <c r="H215" s="826" t="s">
        <v>603</v>
      </c>
      <c r="I215" s="826" t="s">
        <v>603</v>
      </c>
      <c r="J215" s="826">
        <v>6130.1</v>
      </c>
      <c r="K215" s="826" t="s">
        <v>603</v>
      </c>
      <c r="L215" s="826" t="s">
        <v>603</v>
      </c>
      <c r="M215" s="826">
        <v>-4335.3</v>
      </c>
      <c r="N215" s="826" t="s">
        <v>603</v>
      </c>
      <c r="O215" s="826" t="s">
        <v>603</v>
      </c>
      <c r="P215" s="826">
        <v>94.395536856999996</v>
      </c>
      <c r="Q215" s="826" t="s">
        <v>603</v>
      </c>
      <c r="R215" s="826" t="s">
        <v>603</v>
      </c>
      <c r="S215" s="826">
        <v>98.608924127700007</v>
      </c>
      <c r="T215" s="826" t="s">
        <v>3088</v>
      </c>
      <c r="U215" s="826" t="s">
        <v>3088</v>
      </c>
      <c r="V215" s="826" t="s">
        <v>3088</v>
      </c>
    </row>
    <row r="216" spans="1:22">
      <c r="A216" s="826" t="s">
        <v>3127</v>
      </c>
      <c r="B216" s="826" t="s">
        <v>38</v>
      </c>
      <c r="C216" s="826" t="str">
        <f t="shared" si="6"/>
        <v>2005_Albania</v>
      </c>
      <c r="D216" s="826">
        <v>1164.57</v>
      </c>
      <c r="E216" s="826">
        <v>1820.8879999999999</v>
      </c>
      <c r="F216" s="826">
        <f t="shared" si="7"/>
        <v>1820888000</v>
      </c>
      <c r="G216" s="826">
        <v>656.31799999999998</v>
      </c>
      <c r="H216" s="826">
        <v>1382.89</v>
      </c>
      <c r="I216" s="826">
        <v>3860.47</v>
      </c>
      <c r="J216" s="826">
        <v>2477.58</v>
      </c>
      <c r="K216" s="826">
        <v>-218.32</v>
      </c>
      <c r="L216" s="826">
        <v>-2039.5820000000001</v>
      </c>
      <c r="M216" s="826">
        <v>-1821.2619999999999</v>
      </c>
      <c r="N216" s="826">
        <v>63.956157654899997</v>
      </c>
      <c r="O216" s="826">
        <v>100</v>
      </c>
      <c r="P216" s="826">
        <v>36.043842345100003</v>
      </c>
      <c r="Q216" s="826">
        <v>35.821804080900002</v>
      </c>
      <c r="R216" s="826">
        <v>100</v>
      </c>
      <c r="S216" s="826">
        <v>64.178195919100006</v>
      </c>
      <c r="T216" s="826" t="s">
        <v>3088</v>
      </c>
      <c r="U216" s="826" t="s">
        <v>3088</v>
      </c>
      <c r="V216" s="826" t="s">
        <v>3088</v>
      </c>
    </row>
    <row r="217" spans="1:22">
      <c r="A217" s="826" t="s">
        <v>3127</v>
      </c>
      <c r="B217" s="826" t="s">
        <v>53</v>
      </c>
      <c r="C217" s="826" t="str">
        <f t="shared" si="6"/>
        <v>2005_Azerbaijan</v>
      </c>
      <c r="D217" s="826">
        <v>682.95799999999997</v>
      </c>
      <c r="E217" s="826">
        <v>8331.9179999999997</v>
      </c>
      <c r="F217" s="826">
        <f t="shared" si="7"/>
        <v>8331918000</v>
      </c>
      <c r="G217" s="826">
        <v>7648.96</v>
      </c>
      <c r="H217" s="826">
        <v>2652.98</v>
      </c>
      <c r="I217" s="826">
        <v>7002.84</v>
      </c>
      <c r="J217" s="826">
        <v>4349.8599999999997</v>
      </c>
      <c r="K217" s="826">
        <v>-1970.0219999999999</v>
      </c>
      <c r="L217" s="826">
        <v>1329.078</v>
      </c>
      <c r="M217" s="826">
        <v>3299.1</v>
      </c>
      <c r="N217" s="826">
        <v>8.1968881595000003</v>
      </c>
      <c r="O217" s="826">
        <v>100</v>
      </c>
      <c r="P217" s="826">
        <v>91.803111840499994</v>
      </c>
      <c r="Q217" s="826">
        <v>37.884344066099999</v>
      </c>
      <c r="R217" s="826">
        <v>100</v>
      </c>
      <c r="S217" s="826">
        <v>62.115655933900001</v>
      </c>
      <c r="T217" s="826" t="s">
        <v>3088</v>
      </c>
      <c r="U217" s="826" t="s">
        <v>3088</v>
      </c>
      <c r="V217" s="826" t="s">
        <v>3088</v>
      </c>
    </row>
    <row r="218" spans="1:22">
      <c r="A218" s="826" t="s">
        <v>3127</v>
      </c>
      <c r="B218" s="826" t="s">
        <v>98</v>
      </c>
      <c r="C218" s="826" t="str">
        <f t="shared" si="6"/>
        <v>2005_Burkina Faso</v>
      </c>
      <c r="D218" s="826">
        <v>67.616</v>
      </c>
      <c r="E218" s="826">
        <v>550.99900000000002</v>
      </c>
      <c r="F218" s="826">
        <f t="shared" si="7"/>
        <v>550999000</v>
      </c>
      <c r="G218" s="826">
        <v>483.38299999999998</v>
      </c>
      <c r="H218" s="826">
        <v>359.8</v>
      </c>
      <c r="I218" s="826">
        <v>1399.48</v>
      </c>
      <c r="J218" s="826">
        <v>1039.68</v>
      </c>
      <c r="K218" s="826">
        <v>-292.18400000000003</v>
      </c>
      <c r="L218" s="826">
        <v>-848.48099999999999</v>
      </c>
      <c r="M218" s="826">
        <v>-556.29700000000003</v>
      </c>
      <c r="N218" s="826">
        <v>12.2715286235</v>
      </c>
      <c r="O218" s="826">
        <v>100</v>
      </c>
      <c r="P218" s="826">
        <v>87.728471376499996</v>
      </c>
      <c r="Q218" s="826">
        <v>25.709549261199999</v>
      </c>
      <c r="R218" s="826">
        <v>100</v>
      </c>
      <c r="S218" s="826">
        <v>74.290450738800004</v>
      </c>
      <c r="T218" s="826" t="s">
        <v>3088</v>
      </c>
      <c r="U218" s="826" t="s">
        <v>3088</v>
      </c>
      <c r="V218" s="826" t="s">
        <v>3088</v>
      </c>
    </row>
    <row r="219" spans="1:22">
      <c r="A219" s="826" t="s">
        <v>3127</v>
      </c>
      <c r="B219" s="826" t="s">
        <v>3136</v>
      </c>
      <c r="C219" s="826" t="str">
        <f t="shared" si="6"/>
        <v>2005_ Cameroon</v>
      </c>
      <c r="D219" s="826">
        <v>969.93</v>
      </c>
      <c r="E219" s="826">
        <v>4235.1499999999996</v>
      </c>
      <c r="F219" s="826">
        <f t="shared" si="7"/>
        <v>4235149999.9999995</v>
      </c>
      <c r="G219" s="826">
        <v>3265.22</v>
      </c>
      <c r="H219" s="826">
        <v>1454.83</v>
      </c>
      <c r="I219" s="826">
        <v>4344.68</v>
      </c>
      <c r="J219" s="826">
        <v>2889.85</v>
      </c>
      <c r="K219" s="826">
        <v>-484.9</v>
      </c>
      <c r="L219" s="826">
        <v>-109.53</v>
      </c>
      <c r="M219" s="826">
        <v>375.37</v>
      </c>
      <c r="N219" s="826">
        <v>22.9019043009</v>
      </c>
      <c r="O219" s="826">
        <v>100</v>
      </c>
      <c r="P219" s="826">
        <v>77.0980956991</v>
      </c>
      <c r="Q219" s="826">
        <v>33.485319977499998</v>
      </c>
      <c r="R219" s="826">
        <v>100</v>
      </c>
      <c r="S219" s="826">
        <v>66.514680022500002</v>
      </c>
      <c r="T219" s="826" t="s">
        <v>3088</v>
      </c>
      <c r="U219" s="826" t="s">
        <v>3088</v>
      </c>
      <c r="V219" s="826" t="s">
        <v>3088</v>
      </c>
    </row>
    <row r="220" spans="1:22">
      <c r="A220" s="826" t="s">
        <v>3127</v>
      </c>
      <c r="B220" s="826" t="s">
        <v>127</v>
      </c>
      <c r="C220" s="826" t="str">
        <f t="shared" si="6"/>
        <v>2005_Central African Republic</v>
      </c>
      <c r="D220" s="826">
        <v>44.17329582</v>
      </c>
      <c r="E220" s="826">
        <v>171.95355925999999</v>
      </c>
      <c r="F220" s="826">
        <f t="shared" si="7"/>
        <v>171953559.25999999</v>
      </c>
      <c r="G220" s="826">
        <v>127.78026344</v>
      </c>
      <c r="H220" s="826">
        <v>105.40923809</v>
      </c>
      <c r="I220" s="826">
        <v>280.20657175999997</v>
      </c>
      <c r="J220" s="826">
        <v>174.79733367</v>
      </c>
      <c r="K220" s="826">
        <v>-61.235942270000002</v>
      </c>
      <c r="L220" s="826">
        <v>-108.2530125</v>
      </c>
      <c r="M220" s="826">
        <v>-47.017070230000002</v>
      </c>
      <c r="N220" s="826">
        <v>25.689084896000001</v>
      </c>
      <c r="O220" s="826">
        <v>100</v>
      </c>
      <c r="P220" s="826">
        <v>74.310915104000003</v>
      </c>
      <c r="Q220" s="826">
        <v>37.618403247300002</v>
      </c>
      <c r="R220" s="826">
        <v>100</v>
      </c>
      <c r="S220" s="826">
        <v>62.381596752699998</v>
      </c>
      <c r="T220" s="826" t="s">
        <v>3088</v>
      </c>
      <c r="U220" s="826" t="s">
        <v>3088</v>
      </c>
      <c r="V220" s="826" t="s">
        <v>3088</v>
      </c>
    </row>
    <row r="221" spans="1:22">
      <c r="A221" s="826" t="s">
        <v>3127</v>
      </c>
      <c r="B221" s="826" t="s">
        <v>3137</v>
      </c>
      <c r="C221" s="826" t="str">
        <f t="shared" si="6"/>
        <v>2005_ Chad</v>
      </c>
      <c r="D221" s="826">
        <v>107.87384258</v>
      </c>
      <c r="E221" s="826">
        <v>3188.8190373500001</v>
      </c>
      <c r="F221" s="826">
        <f t="shared" si="7"/>
        <v>3188819037.3500004</v>
      </c>
      <c r="G221" s="826">
        <v>3080.9451947699999</v>
      </c>
      <c r="H221" s="826">
        <v>1566.91969939</v>
      </c>
      <c r="I221" s="826">
        <v>2517.1195219299998</v>
      </c>
      <c r="J221" s="826">
        <v>950.19982254000001</v>
      </c>
      <c r="K221" s="826">
        <v>-1459.04585681</v>
      </c>
      <c r="L221" s="826">
        <v>671.69951542000001</v>
      </c>
      <c r="M221" s="826">
        <v>2130.7453722300002</v>
      </c>
      <c r="N221" s="826">
        <v>3.3828775266000002</v>
      </c>
      <c r="O221" s="826">
        <v>100</v>
      </c>
      <c r="P221" s="826">
        <v>96.617122473400002</v>
      </c>
      <c r="Q221" s="826">
        <v>62.250508398100003</v>
      </c>
      <c r="R221" s="826">
        <v>100</v>
      </c>
      <c r="S221" s="826">
        <v>37.749491601899997</v>
      </c>
      <c r="T221" s="826" t="s">
        <v>3088</v>
      </c>
      <c r="U221" s="826" t="s">
        <v>3088</v>
      </c>
      <c r="V221" s="826" t="s">
        <v>3088</v>
      </c>
    </row>
    <row r="222" spans="1:22">
      <c r="A222" s="826" t="s">
        <v>3127</v>
      </c>
      <c r="B222" s="826" t="s">
        <v>465</v>
      </c>
      <c r="C222" s="826" t="str">
        <f t="shared" si="6"/>
        <v>2005_Republic of the Congo</v>
      </c>
      <c r="D222" s="826">
        <v>220.48699999999999</v>
      </c>
      <c r="E222" s="826">
        <v>4965.7969999999996</v>
      </c>
      <c r="F222" s="826">
        <f t="shared" si="7"/>
        <v>4965797000</v>
      </c>
      <c r="G222" s="826">
        <v>4745.3100000000004</v>
      </c>
      <c r="H222" s="826">
        <v>1417.15</v>
      </c>
      <c r="I222" s="826">
        <v>2722.63</v>
      </c>
      <c r="J222" s="826">
        <v>1305.48</v>
      </c>
      <c r="K222" s="826">
        <v>-1196.663</v>
      </c>
      <c r="L222" s="826">
        <v>2243.1669999999999</v>
      </c>
      <c r="M222" s="826">
        <v>3439.83</v>
      </c>
      <c r="N222" s="826">
        <v>4.4401130371999997</v>
      </c>
      <c r="O222" s="826">
        <v>100</v>
      </c>
      <c r="P222" s="826">
        <v>95.559886962799993</v>
      </c>
      <c r="Q222" s="826">
        <v>52.050774435000001</v>
      </c>
      <c r="R222" s="826">
        <v>100</v>
      </c>
      <c r="S222" s="826">
        <v>47.949225564999999</v>
      </c>
      <c r="T222" s="826" t="s">
        <v>3088</v>
      </c>
      <c r="U222" s="826" t="s">
        <v>3088</v>
      </c>
      <c r="V222" s="826" t="s">
        <v>3088</v>
      </c>
    </row>
    <row r="223" spans="1:22">
      <c r="A223" s="826" t="s">
        <v>3127</v>
      </c>
      <c r="B223" s="826" t="s">
        <v>171</v>
      </c>
      <c r="C223" s="826" t="str">
        <f t="shared" si="6"/>
        <v>2005_Democratic Republic of Congo</v>
      </c>
      <c r="D223" s="826">
        <v>307.97272915999997</v>
      </c>
      <c r="E223" s="826">
        <v>2710.73989854</v>
      </c>
      <c r="F223" s="826">
        <f t="shared" si="7"/>
        <v>2710739898.54</v>
      </c>
      <c r="G223" s="826">
        <v>2402.7671693799998</v>
      </c>
      <c r="H223" s="826">
        <v>1167.0317687700001</v>
      </c>
      <c r="I223" s="826">
        <v>3857.4563234000002</v>
      </c>
      <c r="J223" s="826">
        <v>2690.4245546299999</v>
      </c>
      <c r="K223" s="826">
        <v>-859.05903961000001</v>
      </c>
      <c r="L223" s="826">
        <v>-1146.71642486</v>
      </c>
      <c r="M223" s="826">
        <v>-287.65738525</v>
      </c>
      <c r="N223" s="826">
        <v>11.3612054526</v>
      </c>
      <c r="O223" s="826">
        <v>100</v>
      </c>
      <c r="P223" s="826">
        <v>88.638794547399996</v>
      </c>
      <c r="Q223" s="826">
        <v>30.253920483600002</v>
      </c>
      <c r="R223" s="826">
        <v>100</v>
      </c>
      <c r="S223" s="826">
        <v>69.746079516400002</v>
      </c>
      <c r="T223" s="826" t="s">
        <v>3088</v>
      </c>
      <c r="U223" s="826" t="s">
        <v>3088</v>
      </c>
      <c r="V223" s="826" t="s">
        <v>3088</v>
      </c>
    </row>
    <row r="224" spans="1:22">
      <c r="A224" s="826" t="s">
        <v>3127</v>
      </c>
      <c r="B224" s="826" t="s">
        <v>3138</v>
      </c>
      <c r="C224" s="826" t="str">
        <f t="shared" si="6"/>
        <v>2005_ Equatorial Guinea</v>
      </c>
      <c r="D224" s="826">
        <v>36.40031243</v>
      </c>
      <c r="E224" s="826">
        <v>7100.3359445400001</v>
      </c>
      <c r="F224" s="826">
        <f t="shared" si="7"/>
        <v>7100335944.54</v>
      </c>
      <c r="G224" s="826">
        <v>7063.9356321100004</v>
      </c>
      <c r="H224" s="826">
        <v>921.38290853000001</v>
      </c>
      <c r="I224" s="826">
        <v>2231.2254013400002</v>
      </c>
      <c r="J224" s="826">
        <v>1309.8424928100001</v>
      </c>
      <c r="K224" s="826">
        <v>-884.98259610000002</v>
      </c>
      <c r="L224" s="826">
        <v>4869.1105432000004</v>
      </c>
      <c r="M224" s="826">
        <v>5754.0931393000001</v>
      </c>
      <c r="N224" s="826">
        <v>0.5126561999</v>
      </c>
      <c r="O224" s="826">
        <v>100</v>
      </c>
      <c r="P224" s="826">
        <v>99.487343800100007</v>
      </c>
      <c r="Q224" s="826">
        <v>41.294927351399998</v>
      </c>
      <c r="R224" s="826">
        <v>100</v>
      </c>
      <c r="S224" s="826">
        <v>58.705072648600002</v>
      </c>
      <c r="T224" s="826" t="s">
        <v>3088</v>
      </c>
      <c r="U224" s="826" t="s">
        <v>3088</v>
      </c>
      <c r="V224" s="826" t="s">
        <v>3088</v>
      </c>
    </row>
    <row r="225" spans="1:22">
      <c r="A225" s="826" t="s">
        <v>3127</v>
      </c>
      <c r="B225" s="826" t="s">
        <v>3139</v>
      </c>
      <c r="C225" s="826" t="str">
        <f t="shared" si="6"/>
        <v>2005_ Gabon</v>
      </c>
      <c r="D225" s="826">
        <v>146.18899999999999</v>
      </c>
      <c r="E225" s="826">
        <v>5610.049</v>
      </c>
      <c r="F225" s="826">
        <f t="shared" si="7"/>
        <v>5610049000</v>
      </c>
      <c r="G225" s="826">
        <v>5463.86</v>
      </c>
      <c r="H225" s="826">
        <v>1041.6099999999999</v>
      </c>
      <c r="I225" s="826">
        <v>2400.46</v>
      </c>
      <c r="J225" s="826">
        <v>1358.85</v>
      </c>
      <c r="K225" s="826">
        <v>-895.42100000000005</v>
      </c>
      <c r="L225" s="826">
        <v>3209.5889999999999</v>
      </c>
      <c r="M225" s="826">
        <v>4105.01</v>
      </c>
      <c r="N225" s="826">
        <v>2.6058417671999998</v>
      </c>
      <c r="O225" s="826">
        <v>100</v>
      </c>
      <c r="P225" s="826">
        <v>97.394158232799995</v>
      </c>
      <c r="Q225" s="826">
        <v>43.392099847499999</v>
      </c>
      <c r="R225" s="826">
        <v>100</v>
      </c>
      <c r="S225" s="826">
        <v>56.607900152500001</v>
      </c>
      <c r="T225" s="826" t="s">
        <v>3088</v>
      </c>
      <c r="U225" s="826" t="s">
        <v>3088</v>
      </c>
      <c r="V225" s="826" t="s">
        <v>3088</v>
      </c>
    </row>
    <row r="226" spans="1:22">
      <c r="A226" s="826" t="s">
        <v>3127</v>
      </c>
      <c r="B226" s="826" t="s">
        <v>195</v>
      </c>
      <c r="C226" s="826" t="str">
        <f t="shared" si="6"/>
        <v>2005_Ghana</v>
      </c>
      <c r="D226" s="826">
        <v>1106.48</v>
      </c>
      <c r="E226" s="826">
        <v>3908.69</v>
      </c>
      <c r="F226" s="826">
        <f t="shared" si="7"/>
        <v>3908690000</v>
      </c>
      <c r="G226" s="826">
        <v>2802.21</v>
      </c>
      <c r="H226" s="826">
        <v>1273.0999999999999</v>
      </c>
      <c r="I226" s="826">
        <v>6620.41</v>
      </c>
      <c r="J226" s="826">
        <v>5347.31</v>
      </c>
      <c r="K226" s="826">
        <v>-166.62</v>
      </c>
      <c r="L226" s="826">
        <v>-2711.72</v>
      </c>
      <c r="M226" s="826">
        <v>-2545.1</v>
      </c>
      <c r="N226" s="826">
        <v>28.3082055625</v>
      </c>
      <c r="O226" s="826">
        <v>100</v>
      </c>
      <c r="P226" s="826">
        <v>71.691794437499993</v>
      </c>
      <c r="Q226" s="826">
        <v>19.229926847400002</v>
      </c>
      <c r="R226" s="826">
        <v>100</v>
      </c>
      <c r="S226" s="826">
        <v>80.770073152600006</v>
      </c>
      <c r="T226" s="826" t="s">
        <v>3088</v>
      </c>
      <c r="U226" s="826" t="s">
        <v>3088</v>
      </c>
      <c r="V226" s="826" t="s">
        <v>3088</v>
      </c>
    </row>
    <row r="227" spans="1:22">
      <c r="A227" s="826" t="s">
        <v>3127</v>
      </c>
      <c r="B227" s="826" t="s">
        <v>219</v>
      </c>
      <c r="C227" s="826" t="str">
        <f t="shared" si="6"/>
        <v>2005_Guatemala</v>
      </c>
      <c r="D227" s="826">
        <v>1307.8</v>
      </c>
      <c r="E227" s="826">
        <v>6767.27</v>
      </c>
      <c r="F227" s="826">
        <f t="shared" si="7"/>
        <v>6767270000</v>
      </c>
      <c r="G227" s="826">
        <v>5459.47</v>
      </c>
      <c r="H227" s="826">
        <v>1449.6</v>
      </c>
      <c r="I227" s="826">
        <v>11099.65</v>
      </c>
      <c r="J227" s="826">
        <v>9650.0499999999993</v>
      </c>
      <c r="K227" s="826">
        <v>-141.80000000000001</v>
      </c>
      <c r="L227" s="826">
        <v>-4332.38</v>
      </c>
      <c r="M227" s="826">
        <v>-4190.58</v>
      </c>
      <c r="N227" s="826">
        <v>19.3253704965</v>
      </c>
      <c r="O227" s="826">
        <v>100</v>
      </c>
      <c r="P227" s="826">
        <v>80.6746295035</v>
      </c>
      <c r="Q227" s="826">
        <v>13.059871257199999</v>
      </c>
      <c r="R227" s="826">
        <v>100</v>
      </c>
      <c r="S227" s="826">
        <v>86.940128742799999</v>
      </c>
      <c r="T227" s="826" t="s">
        <v>3088</v>
      </c>
      <c r="U227" s="826" t="s">
        <v>3088</v>
      </c>
      <c r="V227" s="826" t="s">
        <v>3088</v>
      </c>
    </row>
    <row r="228" spans="1:22">
      <c r="A228" s="826" t="s">
        <v>3127</v>
      </c>
      <c r="B228" s="826" t="s">
        <v>3140</v>
      </c>
      <c r="C228" s="826" t="str">
        <f t="shared" si="6"/>
        <v>2005_ Guinea</v>
      </c>
      <c r="D228" s="826">
        <v>82.89</v>
      </c>
      <c r="E228" s="826">
        <v>929.38</v>
      </c>
      <c r="F228" s="826">
        <f t="shared" si="7"/>
        <v>929380000</v>
      </c>
      <c r="G228" s="826">
        <v>846.49</v>
      </c>
      <c r="H228" s="826">
        <v>278.31</v>
      </c>
      <c r="I228" s="826">
        <v>1031.24</v>
      </c>
      <c r="J228" s="826">
        <v>752.93</v>
      </c>
      <c r="K228" s="826">
        <v>-195.42</v>
      </c>
      <c r="L228" s="826">
        <v>-101.86</v>
      </c>
      <c r="M228" s="826">
        <v>93.56</v>
      </c>
      <c r="N228" s="826">
        <v>8.9188491251999995</v>
      </c>
      <c r="O228" s="826">
        <v>100</v>
      </c>
      <c r="P228" s="826">
        <v>91.081150874800002</v>
      </c>
      <c r="Q228" s="826">
        <v>26.987898064500001</v>
      </c>
      <c r="R228" s="826">
        <v>100</v>
      </c>
      <c r="S228" s="826">
        <v>73.012101935499999</v>
      </c>
      <c r="T228" s="826" t="s">
        <v>3088</v>
      </c>
      <c r="U228" s="826" t="s">
        <v>3088</v>
      </c>
      <c r="V228" s="826" t="s">
        <v>3088</v>
      </c>
    </row>
    <row r="229" spans="1:22">
      <c r="A229" s="826" t="s">
        <v>3127</v>
      </c>
      <c r="B229" s="826" t="s">
        <v>243</v>
      </c>
      <c r="C229" s="826" t="str">
        <f t="shared" si="6"/>
        <v>2005_Indonesia</v>
      </c>
      <c r="D229" s="826">
        <v>12926.5</v>
      </c>
      <c r="E229" s="826">
        <v>99921.8</v>
      </c>
      <c r="F229" s="826">
        <f t="shared" si="7"/>
        <v>99921800000</v>
      </c>
      <c r="G229" s="826">
        <v>86995.3</v>
      </c>
      <c r="H229" s="826">
        <v>22048.799999999999</v>
      </c>
      <c r="I229" s="826">
        <v>91510.6</v>
      </c>
      <c r="J229" s="826">
        <v>69461.8</v>
      </c>
      <c r="K229" s="826">
        <v>-9122.2999999999993</v>
      </c>
      <c r="L229" s="826">
        <v>8411.2000000000007</v>
      </c>
      <c r="M229" s="826">
        <v>17533.5</v>
      </c>
      <c r="N229" s="826">
        <v>12.936616434099999</v>
      </c>
      <c r="O229" s="826">
        <v>100</v>
      </c>
      <c r="P229" s="826">
        <v>87.063383565899997</v>
      </c>
      <c r="Q229" s="826">
        <v>24.094257933000002</v>
      </c>
      <c r="R229" s="826">
        <v>100</v>
      </c>
      <c r="S229" s="826">
        <v>75.905742067000006</v>
      </c>
      <c r="T229" s="826" t="s">
        <v>3088</v>
      </c>
      <c r="U229" s="826" t="s">
        <v>3088</v>
      </c>
      <c r="V229" s="826" t="s">
        <v>3088</v>
      </c>
    </row>
    <row r="230" spans="1:22">
      <c r="A230" s="826" t="s">
        <v>3127</v>
      </c>
      <c r="B230" s="826" t="s">
        <v>251</v>
      </c>
      <c r="C230" s="826" t="str">
        <f t="shared" si="6"/>
        <v>2005_Iraq</v>
      </c>
      <c r="D230" s="826">
        <v>355.2</v>
      </c>
      <c r="E230" s="826">
        <v>24052.6</v>
      </c>
      <c r="F230" s="826">
        <f t="shared" si="7"/>
        <v>24052600000</v>
      </c>
      <c r="G230" s="826">
        <v>23697.4</v>
      </c>
      <c r="H230" s="826">
        <v>6094.5</v>
      </c>
      <c r="I230" s="826">
        <v>26096.7</v>
      </c>
      <c r="J230" s="826">
        <v>20002.2</v>
      </c>
      <c r="K230" s="826">
        <v>-5739.3</v>
      </c>
      <c r="L230" s="826">
        <v>-2044.1</v>
      </c>
      <c r="M230" s="826">
        <v>3695.2</v>
      </c>
      <c r="N230" s="826">
        <v>1.4767634268000001</v>
      </c>
      <c r="O230" s="826">
        <v>100</v>
      </c>
      <c r="P230" s="826">
        <v>98.523236573199995</v>
      </c>
      <c r="Q230" s="826">
        <v>23.3535274575</v>
      </c>
      <c r="R230" s="826">
        <v>100</v>
      </c>
      <c r="S230" s="826">
        <v>76.646472542500007</v>
      </c>
      <c r="T230" s="826" t="s">
        <v>3088</v>
      </c>
      <c r="U230" s="826" t="s">
        <v>3088</v>
      </c>
      <c r="V230" s="826" t="s">
        <v>3088</v>
      </c>
    </row>
    <row r="231" spans="1:22">
      <c r="A231" s="826" t="s">
        <v>3127</v>
      </c>
      <c r="B231" s="826" t="s">
        <v>280</v>
      </c>
      <c r="C231" s="826" t="str">
        <f t="shared" si="6"/>
        <v>2005_Kazakhstan</v>
      </c>
      <c r="D231" s="826">
        <v>2228.44</v>
      </c>
      <c r="E231" s="826">
        <v>30529.040000000001</v>
      </c>
      <c r="F231" s="826">
        <f t="shared" si="7"/>
        <v>30529040000</v>
      </c>
      <c r="G231" s="826">
        <v>28300.6</v>
      </c>
      <c r="H231" s="826">
        <v>7495.71</v>
      </c>
      <c r="I231" s="826">
        <v>25474.51</v>
      </c>
      <c r="J231" s="826">
        <v>17978.8</v>
      </c>
      <c r="K231" s="826">
        <v>-5267.27</v>
      </c>
      <c r="L231" s="826">
        <v>5054.53</v>
      </c>
      <c r="M231" s="826">
        <v>10321.799999999999</v>
      </c>
      <c r="N231" s="826">
        <v>7.2994106595000003</v>
      </c>
      <c r="O231" s="826">
        <v>100</v>
      </c>
      <c r="P231" s="826">
        <v>92.700589340500002</v>
      </c>
      <c r="Q231" s="826">
        <v>29.424353991499999</v>
      </c>
      <c r="R231" s="826">
        <v>100</v>
      </c>
      <c r="S231" s="826">
        <v>70.575646008500001</v>
      </c>
      <c r="T231" s="826" t="s">
        <v>3088</v>
      </c>
      <c r="U231" s="826" t="s">
        <v>3088</v>
      </c>
      <c r="V231" s="826" t="s">
        <v>3088</v>
      </c>
    </row>
    <row r="232" spans="1:22">
      <c r="A232" s="826" t="s">
        <v>3127</v>
      </c>
      <c r="B232" s="826" t="s">
        <v>3141</v>
      </c>
      <c r="C232" s="826" t="str">
        <f t="shared" si="6"/>
        <v>2005_Kyrgyzstan</v>
      </c>
      <c r="D232" s="826">
        <v>259.416</v>
      </c>
      <c r="E232" s="826">
        <v>946.25300000000004</v>
      </c>
      <c r="F232" s="826">
        <f t="shared" si="7"/>
        <v>946253000</v>
      </c>
      <c r="G232" s="826">
        <v>686.83699999999999</v>
      </c>
      <c r="H232" s="826">
        <v>290.25799999999998</v>
      </c>
      <c r="I232" s="826">
        <v>1395.798</v>
      </c>
      <c r="J232" s="826">
        <v>1105.54</v>
      </c>
      <c r="K232" s="826">
        <v>-30.841999999999999</v>
      </c>
      <c r="L232" s="826">
        <v>-449.54500000000002</v>
      </c>
      <c r="M232" s="826">
        <v>-418.70299999999997</v>
      </c>
      <c r="N232" s="826">
        <v>27.415078208499999</v>
      </c>
      <c r="O232" s="826">
        <v>100</v>
      </c>
      <c r="P232" s="826">
        <v>72.584921791499994</v>
      </c>
      <c r="Q232" s="826">
        <v>20.795129381199999</v>
      </c>
      <c r="R232" s="826">
        <v>100</v>
      </c>
      <c r="S232" s="826">
        <v>79.204870618800001</v>
      </c>
      <c r="T232" s="826" t="s">
        <v>3088</v>
      </c>
      <c r="U232" s="826" t="s">
        <v>3088</v>
      </c>
      <c r="V232" s="826" t="s">
        <v>3088</v>
      </c>
    </row>
    <row r="233" spans="1:22">
      <c r="A233" s="826" t="s">
        <v>3127</v>
      </c>
      <c r="B233" s="826" t="s">
        <v>301</v>
      </c>
      <c r="C233" s="826" t="str">
        <f t="shared" si="6"/>
        <v>2005_Liberia</v>
      </c>
      <c r="D233" s="826">
        <v>213.239</v>
      </c>
      <c r="E233" s="826">
        <v>345.50200000000001</v>
      </c>
      <c r="F233" s="826">
        <f t="shared" si="7"/>
        <v>345502000</v>
      </c>
      <c r="G233" s="826">
        <v>132.26300000000001</v>
      </c>
      <c r="H233" s="826">
        <v>855.48500000000001</v>
      </c>
      <c r="I233" s="826">
        <v>1161.865</v>
      </c>
      <c r="J233" s="826">
        <v>306.38</v>
      </c>
      <c r="K233" s="826">
        <v>-642.24599999999998</v>
      </c>
      <c r="L233" s="826">
        <v>-816.36300000000006</v>
      </c>
      <c r="M233" s="826">
        <v>-174.11699999999999</v>
      </c>
      <c r="N233" s="826">
        <v>61.718600760599998</v>
      </c>
      <c r="O233" s="826">
        <v>100</v>
      </c>
      <c r="P233" s="826">
        <v>38.281399239400002</v>
      </c>
      <c r="Q233" s="826">
        <v>73.630327103400006</v>
      </c>
      <c r="R233" s="826">
        <v>100</v>
      </c>
      <c r="S233" s="826">
        <v>26.369672896600001</v>
      </c>
      <c r="T233" s="826" t="s">
        <v>3088</v>
      </c>
      <c r="U233" s="826" t="s">
        <v>3088</v>
      </c>
      <c r="V233" s="826" t="s">
        <v>3088</v>
      </c>
    </row>
    <row r="234" spans="1:22">
      <c r="A234" s="826" t="s">
        <v>3127</v>
      </c>
      <c r="B234" s="826" t="s">
        <v>316</v>
      </c>
      <c r="C234" s="826" t="str">
        <f t="shared" si="6"/>
        <v>2005_Madagascar</v>
      </c>
      <c r="D234" s="826">
        <v>497.858</v>
      </c>
      <c r="E234" s="826">
        <v>1332.269</v>
      </c>
      <c r="F234" s="826">
        <f t="shared" si="7"/>
        <v>1332269000</v>
      </c>
      <c r="G234" s="826">
        <v>834.41099999999994</v>
      </c>
      <c r="H234" s="826">
        <v>615.30700000000002</v>
      </c>
      <c r="I234" s="826">
        <v>2041.847</v>
      </c>
      <c r="J234" s="826">
        <v>1426.54</v>
      </c>
      <c r="K234" s="826">
        <v>-117.449</v>
      </c>
      <c r="L234" s="826">
        <v>-709.57799999999997</v>
      </c>
      <c r="M234" s="826">
        <v>-592.12900000000002</v>
      </c>
      <c r="N234" s="826">
        <v>37.369179947900001</v>
      </c>
      <c r="O234" s="826">
        <v>100</v>
      </c>
      <c r="P234" s="826">
        <v>62.630820052099999</v>
      </c>
      <c r="Q234" s="826">
        <v>30.134824009799999</v>
      </c>
      <c r="R234" s="826">
        <v>100</v>
      </c>
      <c r="S234" s="826">
        <v>69.865175990200001</v>
      </c>
      <c r="T234" s="826" t="s">
        <v>3088</v>
      </c>
      <c r="U234" s="826" t="s">
        <v>3088</v>
      </c>
      <c r="V234" s="826" t="s">
        <v>3088</v>
      </c>
    </row>
    <row r="235" spans="1:22">
      <c r="A235" s="826" t="s">
        <v>3127</v>
      </c>
      <c r="B235" s="826" t="s">
        <v>329</v>
      </c>
      <c r="C235" s="826" t="str">
        <f t="shared" si="6"/>
        <v>2005_Mali</v>
      </c>
      <c r="D235" s="826">
        <v>274.28800000000001</v>
      </c>
      <c r="E235" s="826">
        <v>1375.1579999999999</v>
      </c>
      <c r="F235" s="826">
        <f t="shared" si="7"/>
        <v>1375158000</v>
      </c>
      <c r="G235" s="826">
        <v>1100.8699999999999</v>
      </c>
      <c r="H235" s="826">
        <v>588.03599999999994</v>
      </c>
      <c r="I235" s="826">
        <v>1833.4960000000001</v>
      </c>
      <c r="J235" s="826">
        <v>1245.46</v>
      </c>
      <c r="K235" s="826">
        <v>-313.74799999999999</v>
      </c>
      <c r="L235" s="826">
        <v>-458.33800000000002</v>
      </c>
      <c r="M235" s="826">
        <v>-144.59</v>
      </c>
      <c r="N235" s="826">
        <v>19.9459262136</v>
      </c>
      <c r="O235" s="826">
        <v>100</v>
      </c>
      <c r="P235" s="826">
        <v>80.054073786399996</v>
      </c>
      <c r="Q235" s="826">
        <v>32.071845261699998</v>
      </c>
      <c r="R235" s="826">
        <v>100</v>
      </c>
      <c r="S235" s="826">
        <v>67.928154738299995</v>
      </c>
      <c r="T235" s="826" t="s">
        <v>3088</v>
      </c>
      <c r="U235" s="826" t="s">
        <v>3088</v>
      </c>
      <c r="V235" s="826" t="s">
        <v>3088</v>
      </c>
    </row>
    <row r="236" spans="1:22">
      <c r="A236" s="826" t="s">
        <v>3127</v>
      </c>
      <c r="B236" s="826" t="s">
        <v>345</v>
      </c>
      <c r="C236" s="826" t="str">
        <f t="shared" si="6"/>
        <v>2005_Mauritania</v>
      </c>
      <c r="D236" s="826">
        <v>79.569999999999993</v>
      </c>
      <c r="E236" s="826">
        <v>704.70972809</v>
      </c>
      <c r="F236" s="826">
        <f t="shared" si="7"/>
        <v>704709728.09000003</v>
      </c>
      <c r="G236" s="826">
        <v>625.13972808999995</v>
      </c>
      <c r="H236" s="826">
        <v>378.74199161000001</v>
      </c>
      <c r="I236" s="826">
        <v>1807.06147801</v>
      </c>
      <c r="J236" s="826">
        <v>1428.3194864</v>
      </c>
      <c r="K236" s="826">
        <v>-299.17199161000002</v>
      </c>
      <c r="L236" s="826">
        <v>-1102.35174992</v>
      </c>
      <c r="M236" s="826">
        <v>-803.17975831000001</v>
      </c>
      <c r="N236" s="826">
        <v>11.291173773900001</v>
      </c>
      <c r="O236" s="826">
        <v>100</v>
      </c>
      <c r="P236" s="826">
        <v>88.708826226100001</v>
      </c>
      <c r="Q236" s="826">
        <v>20.9589986959</v>
      </c>
      <c r="R236" s="826">
        <v>100</v>
      </c>
      <c r="S236" s="826">
        <v>79.041001304100007</v>
      </c>
      <c r="T236" s="826" t="s">
        <v>3088</v>
      </c>
      <c r="U236" s="826" t="s">
        <v>3088</v>
      </c>
      <c r="V236" s="826" t="s">
        <v>3088</v>
      </c>
    </row>
    <row r="237" spans="1:22">
      <c r="A237" s="826" t="s">
        <v>3127</v>
      </c>
      <c r="B237" s="826" t="s">
        <v>364</v>
      </c>
      <c r="C237" s="826" t="str">
        <f t="shared" si="6"/>
        <v>2005_Mongolia</v>
      </c>
      <c r="D237" s="826">
        <v>414.47</v>
      </c>
      <c r="E237" s="826">
        <v>1483.09</v>
      </c>
      <c r="F237" s="826">
        <f t="shared" si="7"/>
        <v>1483090000</v>
      </c>
      <c r="G237" s="826">
        <v>1068.6199999999999</v>
      </c>
      <c r="H237" s="826">
        <v>475.86</v>
      </c>
      <c r="I237" s="826">
        <v>1573.28</v>
      </c>
      <c r="J237" s="826">
        <v>1097.42</v>
      </c>
      <c r="K237" s="826">
        <v>-61.39</v>
      </c>
      <c r="L237" s="826">
        <v>-90.19</v>
      </c>
      <c r="M237" s="826">
        <v>-28.8</v>
      </c>
      <c r="N237" s="826">
        <v>27.946382215500002</v>
      </c>
      <c r="O237" s="826">
        <v>100</v>
      </c>
      <c r="P237" s="826">
        <v>72.053617784500005</v>
      </c>
      <c r="Q237" s="826">
        <v>30.2463642835</v>
      </c>
      <c r="R237" s="826">
        <v>100</v>
      </c>
      <c r="S237" s="826">
        <v>69.7536357165</v>
      </c>
      <c r="T237" s="826" t="s">
        <v>3088</v>
      </c>
      <c r="U237" s="826" t="s">
        <v>3088</v>
      </c>
      <c r="V237" s="826" t="s">
        <v>3088</v>
      </c>
    </row>
    <row r="238" spans="1:22">
      <c r="A238" s="826" t="s">
        <v>3127</v>
      </c>
      <c r="B238" s="826" t="s">
        <v>385</v>
      </c>
      <c r="C238" s="826" t="str">
        <f t="shared" si="6"/>
        <v>2005_Mozambique</v>
      </c>
      <c r="D238" s="826">
        <v>341.96899999999999</v>
      </c>
      <c r="E238" s="826">
        <v>2087.2289999999998</v>
      </c>
      <c r="F238" s="826">
        <f t="shared" si="7"/>
        <v>2087228999.9999998</v>
      </c>
      <c r="G238" s="826">
        <v>1745.26</v>
      </c>
      <c r="H238" s="826">
        <v>648.60599999999999</v>
      </c>
      <c r="I238" s="826">
        <v>2890.9360000000001</v>
      </c>
      <c r="J238" s="826">
        <v>2242.33</v>
      </c>
      <c r="K238" s="826">
        <v>-306.637</v>
      </c>
      <c r="L238" s="826">
        <v>-803.70699999999999</v>
      </c>
      <c r="M238" s="826">
        <v>-497.07</v>
      </c>
      <c r="N238" s="826">
        <v>16.383875463599999</v>
      </c>
      <c r="O238" s="826">
        <v>100</v>
      </c>
      <c r="P238" s="826">
        <v>83.616124536399994</v>
      </c>
      <c r="Q238" s="826">
        <v>22.435847766999998</v>
      </c>
      <c r="R238" s="826">
        <v>100</v>
      </c>
      <c r="S238" s="826">
        <v>77.564152233000002</v>
      </c>
      <c r="T238" s="826" t="s">
        <v>3088</v>
      </c>
      <c r="U238" s="826" t="s">
        <v>3088</v>
      </c>
      <c r="V238" s="826" t="s">
        <v>3088</v>
      </c>
    </row>
    <row r="239" spans="1:22">
      <c r="A239" s="826" t="s">
        <v>3127</v>
      </c>
      <c r="B239" s="826" t="s">
        <v>394</v>
      </c>
      <c r="C239" s="826" t="str">
        <f t="shared" si="6"/>
        <v>2005_Niger</v>
      </c>
      <c r="D239" s="826">
        <v>87.528000000000006</v>
      </c>
      <c r="E239" s="826">
        <v>565.09199999999998</v>
      </c>
      <c r="F239" s="826">
        <f t="shared" si="7"/>
        <v>565092000</v>
      </c>
      <c r="G239" s="826">
        <v>477.56400000000002</v>
      </c>
      <c r="H239" s="826">
        <v>279.334</v>
      </c>
      <c r="I239" s="826">
        <v>1048.787</v>
      </c>
      <c r="J239" s="826">
        <v>769.45299999999997</v>
      </c>
      <c r="K239" s="826">
        <v>-191.80600000000001</v>
      </c>
      <c r="L239" s="826">
        <v>-483.69499999999999</v>
      </c>
      <c r="M239" s="826">
        <v>-291.88900000000001</v>
      </c>
      <c r="N239" s="826">
        <v>15.4891592873</v>
      </c>
      <c r="O239" s="826">
        <v>100</v>
      </c>
      <c r="P239" s="826">
        <v>84.510840712700002</v>
      </c>
      <c r="Q239" s="826">
        <v>26.634006714400002</v>
      </c>
      <c r="R239" s="826">
        <v>100</v>
      </c>
      <c r="S239" s="826">
        <v>73.365993285599998</v>
      </c>
      <c r="T239" s="826" t="s">
        <v>3088</v>
      </c>
      <c r="U239" s="826" t="s">
        <v>3088</v>
      </c>
      <c r="V239" s="826" t="s">
        <v>3088</v>
      </c>
    </row>
    <row r="240" spans="1:22">
      <c r="A240" s="826" t="s">
        <v>3127</v>
      </c>
      <c r="B240" s="826" t="s">
        <v>413</v>
      </c>
      <c r="C240" s="826" t="str">
        <f t="shared" si="6"/>
        <v>2005_Nigeria</v>
      </c>
      <c r="D240" s="826">
        <v>1792.59</v>
      </c>
      <c r="E240" s="826">
        <v>56994.19</v>
      </c>
      <c r="F240" s="826">
        <f t="shared" si="7"/>
        <v>56994190000</v>
      </c>
      <c r="G240" s="826">
        <v>55201.599999999999</v>
      </c>
      <c r="H240" s="826">
        <v>6623.5</v>
      </c>
      <c r="I240" s="826">
        <v>32626.7</v>
      </c>
      <c r="J240" s="826">
        <v>26003.200000000001</v>
      </c>
      <c r="K240" s="826">
        <v>-4830.91</v>
      </c>
      <c r="L240" s="826">
        <v>24367.49</v>
      </c>
      <c r="M240" s="826">
        <v>29198.400000000001</v>
      </c>
      <c r="N240" s="826">
        <v>3.1452153280999999</v>
      </c>
      <c r="O240" s="826">
        <v>100</v>
      </c>
      <c r="P240" s="826">
        <v>96.854784671900006</v>
      </c>
      <c r="Q240" s="826">
        <v>20.300857886300001</v>
      </c>
      <c r="R240" s="826">
        <v>100</v>
      </c>
      <c r="S240" s="826">
        <v>79.699142113700006</v>
      </c>
      <c r="T240" s="826" t="s">
        <v>3088</v>
      </c>
      <c r="U240" s="826" t="s">
        <v>3088</v>
      </c>
      <c r="V240" s="826" t="s">
        <v>3088</v>
      </c>
    </row>
    <row r="241" spans="1:22">
      <c r="A241" s="826" t="s">
        <v>3127</v>
      </c>
      <c r="B241" s="826" t="s">
        <v>436</v>
      </c>
      <c r="C241" s="826" t="str">
        <f t="shared" si="6"/>
        <v>2005_Norway</v>
      </c>
      <c r="D241" s="826">
        <v>29318.276746</v>
      </c>
      <c r="E241" s="826">
        <v>133562.816536</v>
      </c>
      <c r="F241" s="826">
        <f t="shared" si="7"/>
        <v>133562816536</v>
      </c>
      <c r="G241" s="826">
        <v>104244.53979</v>
      </c>
      <c r="H241" s="826">
        <v>29568.179947000001</v>
      </c>
      <c r="I241" s="826">
        <v>84766.703687999994</v>
      </c>
      <c r="J241" s="826">
        <v>55198.523740999997</v>
      </c>
      <c r="K241" s="826">
        <v>-249.903201</v>
      </c>
      <c r="L241" s="826">
        <v>48796.112847999997</v>
      </c>
      <c r="M241" s="826">
        <v>49046.016048999998</v>
      </c>
      <c r="N241" s="826">
        <v>21.950927291300001</v>
      </c>
      <c r="O241" s="826">
        <v>100</v>
      </c>
      <c r="P241" s="826">
        <v>78.049072708699995</v>
      </c>
      <c r="Q241" s="826">
        <v>34.881832913799997</v>
      </c>
      <c r="R241" s="826">
        <v>100</v>
      </c>
      <c r="S241" s="826">
        <v>65.118167086200003</v>
      </c>
      <c r="T241" s="826" t="s">
        <v>3088</v>
      </c>
      <c r="U241" s="826" t="s">
        <v>3088</v>
      </c>
      <c r="V241" s="826" t="s">
        <v>3088</v>
      </c>
    </row>
    <row r="242" spans="1:22">
      <c r="A242" s="826" t="s">
        <v>3127</v>
      </c>
      <c r="B242" s="826" t="s">
        <v>449</v>
      </c>
      <c r="C242" s="826" t="str">
        <f t="shared" si="6"/>
        <v>2005_Peru</v>
      </c>
      <c r="D242" s="826">
        <v>2289.1999999999998</v>
      </c>
      <c r="E242" s="826">
        <v>19656.900000000001</v>
      </c>
      <c r="F242" s="826">
        <f t="shared" si="7"/>
        <v>19656900000</v>
      </c>
      <c r="G242" s="826">
        <v>17367.7</v>
      </c>
      <c r="H242" s="826">
        <v>3123.47</v>
      </c>
      <c r="I242" s="826">
        <v>15205.07</v>
      </c>
      <c r="J242" s="826">
        <v>12081.6</v>
      </c>
      <c r="K242" s="826">
        <v>-834.27</v>
      </c>
      <c r="L242" s="826">
        <v>4451.83</v>
      </c>
      <c r="M242" s="826">
        <v>5286.1</v>
      </c>
      <c r="N242" s="826">
        <v>11.6457834145</v>
      </c>
      <c r="O242" s="826">
        <v>100</v>
      </c>
      <c r="P242" s="826">
        <v>88.354216585499998</v>
      </c>
      <c r="Q242" s="826">
        <v>20.542292800999999</v>
      </c>
      <c r="R242" s="826">
        <v>100</v>
      </c>
      <c r="S242" s="826">
        <v>79.457707198999998</v>
      </c>
      <c r="T242" s="826" t="s">
        <v>3088</v>
      </c>
      <c r="U242" s="826" t="s">
        <v>3088</v>
      </c>
      <c r="V242" s="826" t="s">
        <v>3088</v>
      </c>
    </row>
    <row r="243" spans="1:22">
      <c r="A243" s="826" t="s">
        <v>3127</v>
      </c>
      <c r="B243" s="826" t="s">
        <v>488</v>
      </c>
      <c r="C243" s="826" t="str">
        <f t="shared" si="6"/>
        <v>2005_Sierra Leone</v>
      </c>
      <c r="D243" s="826">
        <v>78.150999999999996</v>
      </c>
      <c r="E243" s="826">
        <v>261.78199999999998</v>
      </c>
      <c r="F243" s="826">
        <f t="shared" si="7"/>
        <v>261781999.99999997</v>
      </c>
      <c r="G243" s="826">
        <v>183.631</v>
      </c>
      <c r="H243" s="826">
        <v>91.367999999999995</v>
      </c>
      <c r="I243" s="826">
        <v>453.03500000000003</v>
      </c>
      <c r="J243" s="826">
        <v>361.66699999999997</v>
      </c>
      <c r="K243" s="826">
        <v>-13.217000000000001</v>
      </c>
      <c r="L243" s="826">
        <v>-191.25299999999999</v>
      </c>
      <c r="M243" s="826">
        <v>-178.036</v>
      </c>
      <c r="N243" s="826">
        <v>29.853465860899998</v>
      </c>
      <c r="O243" s="826">
        <v>100</v>
      </c>
      <c r="P243" s="826">
        <v>70.146534139099998</v>
      </c>
      <c r="Q243" s="826">
        <v>20.167978191500001</v>
      </c>
      <c r="R243" s="826">
        <v>100</v>
      </c>
      <c r="S243" s="826">
        <v>79.832021808500002</v>
      </c>
      <c r="T243" s="826" t="s">
        <v>3088</v>
      </c>
      <c r="U243" s="826" t="s">
        <v>3088</v>
      </c>
      <c r="V243" s="826" t="s">
        <v>3088</v>
      </c>
    </row>
    <row r="244" spans="1:22">
      <c r="A244" s="826" t="s">
        <v>3127</v>
      </c>
      <c r="B244" s="826" t="s">
        <v>3090</v>
      </c>
      <c r="C244" s="826" t="str">
        <f t="shared" si="6"/>
        <v>2005_Timor-Leste</v>
      </c>
      <c r="D244" s="826" t="s">
        <v>603</v>
      </c>
      <c r="E244" s="826" t="s">
        <v>3088</v>
      </c>
      <c r="F244" s="826" t="str">
        <f t="shared" si="7"/>
        <v>..</v>
      </c>
      <c r="G244" s="826">
        <v>8.0860000000000003</v>
      </c>
      <c r="H244" s="826" t="s">
        <v>603</v>
      </c>
      <c r="I244" s="826" t="s">
        <v>603</v>
      </c>
      <c r="J244" s="826">
        <v>109.10899999999999</v>
      </c>
      <c r="K244" s="826" t="s">
        <v>603</v>
      </c>
      <c r="L244" s="826" t="s">
        <v>603</v>
      </c>
      <c r="M244" s="826">
        <v>-101.023</v>
      </c>
      <c r="N244" s="826" t="s">
        <v>603</v>
      </c>
      <c r="O244" s="826" t="s">
        <v>603</v>
      </c>
      <c r="P244" s="826">
        <v>100</v>
      </c>
      <c r="Q244" s="826" t="s">
        <v>603</v>
      </c>
      <c r="R244" s="826" t="s">
        <v>603</v>
      </c>
      <c r="S244" s="826">
        <v>100</v>
      </c>
      <c r="T244" s="826" t="s">
        <v>3088</v>
      </c>
      <c r="U244" s="826" t="s">
        <v>3088</v>
      </c>
      <c r="V244" s="826" t="s">
        <v>3088</v>
      </c>
    </row>
    <row r="245" spans="1:22">
      <c r="A245" s="826" t="s">
        <v>3127</v>
      </c>
      <c r="B245" s="826" t="s">
        <v>517</v>
      </c>
      <c r="C245" s="826" t="str">
        <f t="shared" si="6"/>
        <v>2005_Togo</v>
      </c>
      <c r="D245" s="826">
        <v>176.91300000000001</v>
      </c>
      <c r="E245" s="826">
        <v>811.00199999999995</v>
      </c>
      <c r="F245" s="826">
        <f t="shared" si="7"/>
        <v>811002000</v>
      </c>
      <c r="G245" s="826">
        <v>634.08900000000006</v>
      </c>
      <c r="H245" s="826">
        <v>250.70400000000001</v>
      </c>
      <c r="I245" s="826">
        <v>1168.1279999999999</v>
      </c>
      <c r="J245" s="826">
        <v>917.42399999999998</v>
      </c>
      <c r="K245" s="826">
        <v>-73.790999999999997</v>
      </c>
      <c r="L245" s="826">
        <v>-357.12599999999998</v>
      </c>
      <c r="M245" s="826">
        <v>-283.33499999999998</v>
      </c>
      <c r="N245" s="826">
        <v>21.814126228999999</v>
      </c>
      <c r="O245" s="826">
        <v>100</v>
      </c>
      <c r="P245" s="826">
        <v>78.185873771000004</v>
      </c>
      <c r="Q245" s="826">
        <v>21.4620315582</v>
      </c>
      <c r="R245" s="826">
        <v>100</v>
      </c>
      <c r="S245" s="826">
        <v>78.537968441800004</v>
      </c>
      <c r="T245" s="826" t="s">
        <v>3088</v>
      </c>
      <c r="U245" s="826" t="s">
        <v>3088</v>
      </c>
      <c r="V245" s="826" t="s">
        <v>3088</v>
      </c>
    </row>
    <row r="246" spans="1:22">
      <c r="A246" s="826" t="s">
        <v>3127</v>
      </c>
      <c r="B246" s="826" t="s">
        <v>3091</v>
      </c>
      <c r="C246" s="826" t="str">
        <f t="shared" si="6"/>
        <v>2005_Trinidad and Tobago</v>
      </c>
      <c r="D246" s="826">
        <v>896.9</v>
      </c>
      <c r="E246" s="826">
        <v>10892.55</v>
      </c>
      <c r="F246" s="826">
        <f t="shared" si="7"/>
        <v>10892550000</v>
      </c>
      <c r="G246" s="826">
        <v>9995.65</v>
      </c>
      <c r="H246" s="826">
        <v>540.70000000000005</v>
      </c>
      <c r="I246" s="826">
        <v>6268.3</v>
      </c>
      <c r="J246" s="826">
        <v>5727.6</v>
      </c>
      <c r="K246" s="826">
        <v>356.2</v>
      </c>
      <c r="L246" s="826">
        <v>4624.25</v>
      </c>
      <c r="M246" s="826">
        <v>4268.05</v>
      </c>
      <c r="N246" s="826">
        <v>8.2340682393000009</v>
      </c>
      <c r="O246" s="826">
        <v>100</v>
      </c>
      <c r="P246" s="826">
        <v>91.765931760699999</v>
      </c>
      <c r="Q246" s="826">
        <v>8.6259432381999996</v>
      </c>
      <c r="R246" s="826">
        <v>100</v>
      </c>
      <c r="S246" s="826">
        <v>91.374056761800006</v>
      </c>
      <c r="T246" s="826" t="s">
        <v>3088</v>
      </c>
      <c r="U246" s="826" t="s">
        <v>3088</v>
      </c>
      <c r="V246" s="826" t="s">
        <v>3088</v>
      </c>
    </row>
    <row r="247" spans="1:22">
      <c r="A247" s="826" t="s">
        <v>3127</v>
      </c>
      <c r="B247" s="826" t="s">
        <v>499</v>
      </c>
      <c r="C247" s="826" t="str">
        <f t="shared" si="6"/>
        <v>2005_Tanzania</v>
      </c>
      <c r="D247" s="826">
        <v>1269.1600000000001</v>
      </c>
      <c r="E247" s="826">
        <v>2971.66</v>
      </c>
      <c r="F247" s="826">
        <f t="shared" si="7"/>
        <v>2971660000</v>
      </c>
      <c r="G247" s="826">
        <v>1702.5</v>
      </c>
      <c r="H247" s="826">
        <v>1207.32</v>
      </c>
      <c r="I247" s="826">
        <v>4204.8900000000003</v>
      </c>
      <c r="J247" s="826">
        <v>2997.57</v>
      </c>
      <c r="K247" s="826">
        <v>61.84</v>
      </c>
      <c r="L247" s="826">
        <v>-1233.23</v>
      </c>
      <c r="M247" s="826">
        <v>-1295.07</v>
      </c>
      <c r="N247" s="826">
        <v>42.708789027000002</v>
      </c>
      <c r="O247" s="826">
        <v>100</v>
      </c>
      <c r="P247" s="826">
        <v>57.291210972999998</v>
      </c>
      <c r="Q247" s="826">
        <v>28.712284982500002</v>
      </c>
      <c r="R247" s="826">
        <v>100</v>
      </c>
      <c r="S247" s="826">
        <v>71.287715017500005</v>
      </c>
      <c r="T247" s="826" t="s">
        <v>3088</v>
      </c>
      <c r="U247" s="826" t="s">
        <v>3088</v>
      </c>
      <c r="V247" s="826" t="s">
        <v>3088</v>
      </c>
    </row>
    <row r="248" spans="1:22">
      <c r="A248" s="826" t="s">
        <v>3127</v>
      </c>
      <c r="B248" s="826" t="s">
        <v>529</v>
      </c>
      <c r="C248" s="826" t="str">
        <f t="shared" si="6"/>
        <v>2005_Yemen</v>
      </c>
      <c r="D248" s="826">
        <v>372.08199999999999</v>
      </c>
      <c r="E248" s="826">
        <v>6785.2619999999997</v>
      </c>
      <c r="F248" s="826">
        <f t="shared" si="7"/>
        <v>6785262000</v>
      </c>
      <c r="G248" s="826">
        <v>6413.18</v>
      </c>
      <c r="H248" s="826">
        <v>1241.45</v>
      </c>
      <c r="I248" s="826">
        <v>5954.34</v>
      </c>
      <c r="J248" s="826">
        <v>4712.8900000000003</v>
      </c>
      <c r="K248" s="826">
        <v>-869.36800000000005</v>
      </c>
      <c r="L248" s="826">
        <v>830.92200000000003</v>
      </c>
      <c r="M248" s="826">
        <v>1700.29</v>
      </c>
      <c r="N248" s="826">
        <v>5.4836791858999998</v>
      </c>
      <c r="O248" s="826">
        <v>100</v>
      </c>
      <c r="P248" s="826">
        <v>94.516320814099998</v>
      </c>
      <c r="Q248" s="826">
        <v>20.849498013200002</v>
      </c>
      <c r="R248" s="826">
        <v>100</v>
      </c>
      <c r="S248" s="826">
        <v>79.150501986799995</v>
      </c>
      <c r="T248" s="826" t="s">
        <v>3088</v>
      </c>
      <c r="U248" s="826" t="s">
        <v>3088</v>
      </c>
      <c r="V248" s="826" t="s">
        <v>3088</v>
      </c>
    </row>
    <row r="249" spans="1:22">
      <c r="A249" s="826" t="s">
        <v>3127</v>
      </c>
      <c r="B249" s="826" t="s">
        <v>541</v>
      </c>
      <c r="C249" s="826" t="str">
        <f t="shared" si="6"/>
        <v>2005_Zambia</v>
      </c>
      <c r="D249" s="826">
        <v>273.3</v>
      </c>
      <c r="E249" s="826">
        <v>2520.14</v>
      </c>
      <c r="F249" s="826">
        <f t="shared" si="7"/>
        <v>2520140000</v>
      </c>
      <c r="G249" s="826">
        <v>2246.84</v>
      </c>
      <c r="H249" s="826">
        <v>470.8</v>
      </c>
      <c r="I249" s="826">
        <v>2631.55</v>
      </c>
      <c r="J249" s="826">
        <v>2160.75</v>
      </c>
      <c r="K249" s="826">
        <v>-197.5</v>
      </c>
      <c r="L249" s="826">
        <v>-111.41</v>
      </c>
      <c r="M249" s="826">
        <v>86.09</v>
      </c>
      <c r="N249" s="826">
        <v>10.8446356155</v>
      </c>
      <c r="O249" s="826">
        <v>100</v>
      </c>
      <c r="P249" s="826">
        <v>89.155364384500004</v>
      </c>
      <c r="Q249" s="826">
        <v>17.890596796600001</v>
      </c>
      <c r="R249" s="826">
        <v>100</v>
      </c>
      <c r="S249" s="826">
        <v>82.109403203400007</v>
      </c>
      <c r="T249" s="826" t="s">
        <v>3088</v>
      </c>
      <c r="U249" s="826" t="s">
        <v>3088</v>
      </c>
      <c r="V249" s="826" t="s">
        <v>3088</v>
      </c>
    </row>
    <row r="250" spans="1:22">
      <c r="A250" s="826" t="s">
        <v>3128</v>
      </c>
      <c r="B250" s="826" t="s">
        <v>21</v>
      </c>
      <c r="C250" s="826" t="str">
        <f t="shared" si="6"/>
        <v>2006_Afghanistan</v>
      </c>
      <c r="D250" s="826" t="s">
        <v>603</v>
      </c>
      <c r="E250" s="826" t="s">
        <v>3088</v>
      </c>
      <c r="F250" s="826" t="str">
        <f t="shared" si="7"/>
        <v>..</v>
      </c>
      <c r="G250" s="826">
        <v>1811</v>
      </c>
      <c r="H250" s="826" t="s">
        <v>603</v>
      </c>
      <c r="I250" s="826" t="s">
        <v>603</v>
      </c>
      <c r="J250" s="826">
        <v>6744</v>
      </c>
      <c r="K250" s="826" t="s">
        <v>603</v>
      </c>
      <c r="L250" s="826" t="s">
        <v>603</v>
      </c>
      <c r="M250" s="826">
        <v>-4933</v>
      </c>
      <c r="N250" s="826" t="s">
        <v>603</v>
      </c>
      <c r="O250" s="826" t="s">
        <v>603</v>
      </c>
      <c r="P250" s="826">
        <v>94.442884659300006</v>
      </c>
      <c r="Q250" s="826" t="s">
        <v>603</v>
      </c>
      <c r="R250" s="826" t="s">
        <v>603</v>
      </c>
      <c r="S250" s="826">
        <v>98.733949281799994</v>
      </c>
      <c r="T250" s="826" t="s">
        <v>3088</v>
      </c>
      <c r="U250" s="826" t="s">
        <v>3088</v>
      </c>
      <c r="V250" s="826" t="s">
        <v>3088</v>
      </c>
    </row>
    <row r="251" spans="1:22">
      <c r="A251" s="826" t="s">
        <v>3128</v>
      </c>
      <c r="B251" s="826" t="s">
        <v>38</v>
      </c>
      <c r="C251" s="826" t="str">
        <f t="shared" si="6"/>
        <v>2006_Albania</v>
      </c>
      <c r="D251" s="826">
        <v>1503.97</v>
      </c>
      <c r="E251" s="826">
        <v>2296.8429999999998</v>
      </c>
      <c r="F251" s="826">
        <f t="shared" si="7"/>
        <v>2296843000</v>
      </c>
      <c r="G251" s="826">
        <v>792.87300000000005</v>
      </c>
      <c r="H251" s="826">
        <v>1584.82</v>
      </c>
      <c r="I251" s="826">
        <v>4500.3999999999996</v>
      </c>
      <c r="J251" s="826">
        <v>2915.58</v>
      </c>
      <c r="K251" s="826">
        <v>-80.849999999999994</v>
      </c>
      <c r="L251" s="826">
        <v>-2203.5569999999998</v>
      </c>
      <c r="M251" s="826">
        <v>-2122.7069999999999</v>
      </c>
      <c r="N251" s="826">
        <v>65.479878250300004</v>
      </c>
      <c r="O251" s="826">
        <v>100</v>
      </c>
      <c r="P251" s="826">
        <v>34.520121749700003</v>
      </c>
      <c r="Q251" s="826">
        <v>35.215091991800001</v>
      </c>
      <c r="R251" s="826">
        <v>100</v>
      </c>
      <c r="S251" s="826">
        <v>64.784908008200006</v>
      </c>
      <c r="T251" s="826" t="s">
        <v>3088</v>
      </c>
      <c r="U251" s="826" t="s">
        <v>3088</v>
      </c>
      <c r="V251" s="826" t="s">
        <v>3088</v>
      </c>
    </row>
    <row r="252" spans="1:22">
      <c r="A252" s="826" t="s">
        <v>3128</v>
      </c>
      <c r="B252" s="826" t="s">
        <v>53</v>
      </c>
      <c r="C252" s="826" t="str">
        <f t="shared" si="6"/>
        <v>2006_Azerbaijan</v>
      </c>
      <c r="D252" s="826">
        <v>939.87</v>
      </c>
      <c r="E252" s="826">
        <v>13954.47</v>
      </c>
      <c r="F252" s="826">
        <f t="shared" si="7"/>
        <v>13954470000</v>
      </c>
      <c r="G252" s="826">
        <v>13014.6</v>
      </c>
      <c r="H252" s="826">
        <v>2863.25</v>
      </c>
      <c r="I252" s="826">
        <v>8132.59</v>
      </c>
      <c r="J252" s="826">
        <v>5269.34</v>
      </c>
      <c r="K252" s="826">
        <v>-1923.38</v>
      </c>
      <c r="L252" s="826">
        <v>5821.88</v>
      </c>
      <c r="M252" s="826">
        <v>7745.26</v>
      </c>
      <c r="N252" s="826">
        <v>6.7352611743999997</v>
      </c>
      <c r="O252" s="826">
        <v>100</v>
      </c>
      <c r="P252" s="826">
        <v>93.264738825600006</v>
      </c>
      <c r="Q252" s="826">
        <v>35.207111141699997</v>
      </c>
      <c r="R252" s="826">
        <v>100</v>
      </c>
      <c r="S252" s="826">
        <v>64.792888858300003</v>
      </c>
      <c r="T252" s="826" t="s">
        <v>3088</v>
      </c>
      <c r="U252" s="826" t="s">
        <v>3088</v>
      </c>
      <c r="V252" s="826" t="s">
        <v>3088</v>
      </c>
    </row>
    <row r="253" spans="1:22">
      <c r="A253" s="826" t="s">
        <v>3128</v>
      </c>
      <c r="B253" s="826" t="s">
        <v>98</v>
      </c>
      <c r="C253" s="826" t="str">
        <f t="shared" si="6"/>
        <v>2006_Burkina Faso</v>
      </c>
      <c r="D253" s="826">
        <v>63.884999999999998</v>
      </c>
      <c r="E253" s="826">
        <v>671.03200000000004</v>
      </c>
      <c r="F253" s="826">
        <f t="shared" si="7"/>
        <v>671032000</v>
      </c>
      <c r="G253" s="826">
        <v>607.14700000000005</v>
      </c>
      <c r="H253" s="826">
        <v>360.101</v>
      </c>
      <c r="I253" s="826">
        <v>1453.8710000000001</v>
      </c>
      <c r="J253" s="826">
        <v>1093.77</v>
      </c>
      <c r="K253" s="826">
        <v>-296.21600000000001</v>
      </c>
      <c r="L253" s="826">
        <v>-782.83900000000006</v>
      </c>
      <c r="M253" s="826">
        <v>-486.62299999999999</v>
      </c>
      <c r="N253" s="826">
        <v>9.5204103530000008</v>
      </c>
      <c r="O253" s="826">
        <v>100</v>
      </c>
      <c r="P253" s="826">
        <v>90.479589646999997</v>
      </c>
      <c r="Q253" s="826">
        <v>24.768428560699999</v>
      </c>
      <c r="R253" s="826">
        <v>100</v>
      </c>
      <c r="S253" s="826">
        <v>75.231571439299998</v>
      </c>
      <c r="T253" s="826" t="s">
        <v>3088</v>
      </c>
      <c r="U253" s="826" t="s">
        <v>3088</v>
      </c>
      <c r="V253" s="826" t="s">
        <v>3088</v>
      </c>
    </row>
    <row r="254" spans="1:22">
      <c r="A254" s="826" t="s">
        <v>3128</v>
      </c>
      <c r="B254" s="826" t="s">
        <v>3136</v>
      </c>
      <c r="C254" s="826" t="str">
        <f t="shared" si="6"/>
        <v>2006_ Cameroon</v>
      </c>
      <c r="D254" s="826">
        <v>1016.53</v>
      </c>
      <c r="E254" s="826">
        <v>4865.17</v>
      </c>
      <c r="F254" s="826">
        <f t="shared" si="7"/>
        <v>4865170000</v>
      </c>
      <c r="G254" s="826">
        <v>3848.64</v>
      </c>
      <c r="H254" s="826">
        <v>1474.94</v>
      </c>
      <c r="I254" s="826">
        <v>4653.45</v>
      </c>
      <c r="J254" s="826">
        <v>3178.51</v>
      </c>
      <c r="K254" s="826">
        <v>-458.41</v>
      </c>
      <c r="L254" s="826">
        <v>211.72</v>
      </c>
      <c r="M254" s="826">
        <v>670.13</v>
      </c>
      <c r="N254" s="826">
        <v>20.894028369000001</v>
      </c>
      <c r="O254" s="826">
        <v>100</v>
      </c>
      <c r="P254" s="826">
        <v>79.105971631000003</v>
      </c>
      <c r="Q254" s="826">
        <v>31.695623677099999</v>
      </c>
      <c r="R254" s="826">
        <v>100</v>
      </c>
      <c r="S254" s="826">
        <v>68.304376322899998</v>
      </c>
      <c r="T254" s="826" t="s">
        <v>3088</v>
      </c>
      <c r="U254" s="826" t="s">
        <v>3088</v>
      </c>
      <c r="V254" s="826" t="s">
        <v>3088</v>
      </c>
    </row>
    <row r="255" spans="1:22">
      <c r="A255" s="826" t="s">
        <v>3128</v>
      </c>
      <c r="B255" s="826" t="s">
        <v>127</v>
      </c>
      <c r="C255" s="826" t="str">
        <f t="shared" si="6"/>
        <v>2006_Central African Republic</v>
      </c>
      <c r="D255" s="826">
        <v>51.636099369999997</v>
      </c>
      <c r="E255" s="826">
        <v>209.22182484999999</v>
      </c>
      <c r="F255" s="826">
        <f t="shared" si="7"/>
        <v>209221824.84999999</v>
      </c>
      <c r="G255" s="826">
        <v>157.58572548000001</v>
      </c>
      <c r="H255" s="826">
        <v>120.29298704999999</v>
      </c>
      <c r="I255" s="826">
        <v>322.82124347000001</v>
      </c>
      <c r="J255" s="826">
        <v>202.52825641999999</v>
      </c>
      <c r="K255" s="826">
        <v>-68.656887679999997</v>
      </c>
      <c r="L255" s="826">
        <v>-113.59941861999999</v>
      </c>
      <c r="M255" s="826">
        <v>-44.942530939999997</v>
      </c>
      <c r="N255" s="826">
        <v>24.680073126700002</v>
      </c>
      <c r="O255" s="826">
        <v>100</v>
      </c>
      <c r="P255" s="826">
        <v>75.319926873300005</v>
      </c>
      <c r="Q255" s="826">
        <v>37.263033174900002</v>
      </c>
      <c r="R255" s="826">
        <v>100</v>
      </c>
      <c r="S255" s="826">
        <v>62.736966825099998</v>
      </c>
      <c r="T255" s="826" t="s">
        <v>3088</v>
      </c>
      <c r="U255" s="826" t="s">
        <v>3088</v>
      </c>
      <c r="V255" s="826" t="s">
        <v>3088</v>
      </c>
    </row>
    <row r="256" spans="1:22">
      <c r="A256" s="826" t="s">
        <v>3128</v>
      </c>
      <c r="B256" s="826" t="s">
        <v>3137</v>
      </c>
      <c r="C256" s="826" t="str">
        <f t="shared" si="6"/>
        <v>2006_ Chad</v>
      </c>
      <c r="D256" s="826">
        <v>156.43825661</v>
      </c>
      <c r="E256" s="826">
        <v>3531.7179521399999</v>
      </c>
      <c r="F256" s="826">
        <f t="shared" si="7"/>
        <v>3531717952.1399999</v>
      </c>
      <c r="G256" s="826">
        <v>3375.27969553</v>
      </c>
      <c r="H256" s="826">
        <v>2157.81521926</v>
      </c>
      <c r="I256" s="826">
        <v>3586.9877029499999</v>
      </c>
      <c r="J256" s="826">
        <v>1429.17248369</v>
      </c>
      <c r="K256" s="826">
        <v>-2001.37696265</v>
      </c>
      <c r="L256" s="826">
        <v>-55.269750809999998</v>
      </c>
      <c r="M256" s="826">
        <v>1946.10721184</v>
      </c>
      <c r="N256" s="826">
        <v>4.4295229327000003</v>
      </c>
      <c r="O256" s="826">
        <v>100</v>
      </c>
      <c r="P256" s="826">
        <v>95.570477067300004</v>
      </c>
      <c r="Q256" s="826">
        <v>60.156749840099998</v>
      </c>
      <c r="R256" s="826">
        <v>100</v>
      </c>
      <c r="S256" s="826">
        <v>39.843250159900002</v>
      </c>
      <c r="T256" s="826" t="s">
        <v>3088</v>
      </c>
      <c r="U256" s="826" t="s">
        <v>3088</v>
      </c>
      <c r="V256" s="826" t="s">
        <v>3088</v>
      </c>
    </row>
    <row r="257" spans="1:22">
      <c r="A257" s="826" t="s">
        <v>3128</v>
      </c>
      <c r="B257" s="826" t="s">
        <v>465</v>
      </c>
      <c r="C257" s="826" t="str">
        <f t="shared" si="6"/>
        <v>2006_Republic of the Congo</v>
      </c>
      <c r="D257" s="826">
        <v>266.02100000000002</v>
      </c>
      <c r="E257" s="826">
        <v>6331.7309999999998</v>
      </c>
      <c r="F257" s="826">
        <f t="shared" si="7"/>
        <v>6331731000</v>
      </c>
      <c r="G257" s="826">
        <v>6065.71</v>
      </c>
      <c r="H257" s="826">
        <v>2425.94</v>
      </c>
      <c r="I257" s="826">
        <v>4429.42</v>
      </c>
      <c r="J257" s="826">
        <v>2003.48</v>
      </c>
      <c r="K257" s="826">
        <v>-2159.9189999999999</v>
      </c>
      <c r="L257" s="826">
        <v>1902.3109999999999</v>
      </c>
      <c r="M257" s="826">
        <v>4062.23</v>
      </c>
      <c r="N257" s="826">
        <v>4.2013945318000001</v>
      </c>
      <c r="O257" s="826">
        <v>100</v>
      </c>
      <c r="P257" s="826">
        <v>95.798605468199995</v>
      </c>
      <c r="Q257" s="826">
        <v>54.768795914599998</v>
      </c>
      <c r="R257" s="826">
        <v>100</v>
      </c>
      <c r="S257" s="826">
        <v>45.231204085400002</v>
      </c>
      <c r="T257" s="826" t="s">
        <v>3088</v>
      </c>
      <c r="U257" s="826" t="s">
        <v>3088</v>
      </c>
      <c r="V257" s="826" t="s">
        <v>3088</v>
      </c>
    </row>
    <row r="258" spans="1:22">
      <c r="A258" s="826" t="s">
        <v>3128</v>
      </c>
      <c r="B258" s="826" t="s">
        <v>171</v>
      </c>
      <c r="C258" s="826" t="str">
        <f t="shared" si="6"/>
        <v>2006_Democratic Republic of Congo</v>
      </c>
      <c r="D258" s="826">
        <v>383.29369885</v>
      </c>
      <c r="E258" s="826">
        <v>3088.0058833399999</v>
      </c>
      <c r="F258" s="826">
        <f t="shared" si="7"/>
        <v>3088005883.3399997</v>
      </c>
      <c r="G258" s="826">
        <v>2704.7121844899998</v>
      </c>
      <c r="H258" s="826">
        <v>903.92069867999999</v>
      </c>
      <c r="I258" s="826">
        <v>3795.4743654600002</v>
      </c>
      <c r="J258" s="826">
        <v>2891.5536667800002</v>
      </c>
      <c r="K258" s="826">
        <v>-520.62699983000005</v>
      </c>
      <c r="L258" s="826">
        <v>-707.46848211999998</v>
      </c>
      <c r="M258" s="826">
        <v>-186.84148228999999</v>
      </c>
      <c r="N258" s="826">
        <v>12.412337065699999</v>
      </c>
      <c r="O258" s="826">
        <v>100</v>
      </c>
      <c r="P258" s="826">
        <v>87.587662934299999</v>
      </c>
      <c r="Q258" s="826">
        <v>23.815750329</v>
      </c>
      <c r="R258" s="826">
        <v>100</v>
      </c>
      <c r="S258" s="826">
        <v>76.184249671000003</v>
      </c>
      <c r="T258" s="826" t="s">
        <v>3088</v>
      </c>
      <c r="U258" s="826" t="s">
        <v>3088</v>
      </c>
      <c r="V258" s="826" t="s">
        <v>3088</v>
      </c>
    </row>
    <row r="259" spans="1:22">
      <c r="A259" s="826" t="s">
        <v>3128</v>
      </c>
      <c r="B259" s="826" t="s">
        <v>3138</v>
      </c>
      <c r="C259" s="826" t="str">
        <f t="shared" si="6"/>
        <v>2006_ Equatorial Guinea</v>
      </c>
      <c r="D259" s="826">
        <v>41.117634680000002</v>
      </c>
      <c r="E259" s="826">
        <v>8276.5017498800007</v>
      </c>
      <c r="F259" s="826">
        <f t="shared" si="7"/>
        <v>8276501749.8800011</v>
      </c>
      <c r="G259" s="826">
        <v>8235.3841152000005</v>
      </c>
      <c r="H259" s="826">
        <v>858.88045285999999</v>
      </c>
      <c r="I259" s="826">
        <v>2879.3818967500001</v>
      </c>
      <c r="J259" s="826">
        <v>2020.50144389</v>
      </c>
      <c r="K259" s="826">
        <v>-817.76281817999995</v>
      </c>
      <c r="L259" s="826">
        <v>5397.1198531299997</v>
      </c>
      <c r="M259" s="826">
        <v>6214.8826713099998</v>
      </c>
      <c r="N259" s="826">
        <v>0.49679968569999999</v>
      </c>
      <c r="O259" s="826">
        <v>100</v>
      </c>
      <c r="P259" s="826">
        <v>99.503200314300003</v>
      </c>
      <c r="Q259" s="826">
        <v>29.828639744899998</v>
      </c>
      <c r="R259" s="826">
        <v>100</v>
      </c>
      <c r="S259" s="826">
        <v>70.171360255099998</v>
      </c>
      <c r="T259" s="826" t="s">
        <v>3088</v>
      </c>
      <c r="U259" s="826" t="s">
        <v>3088</v>
      </c>
      <c r="V259" s="826" t="s">
        <v>3088</v>
      </c>
    </row>
    <row r="260" spans="1:22">
      <c r="A260" s="826" t="s">
        <v>3128</v>
      </c>
      <c r="B260" s="826" t="s">
        <v>3139</v>
      </c>
      <c r="C260" s="826" t="str">
        <f t="shared" si="6"/>
        <v>2006_ Gabon</v>
      </c>
      <c r="D260" s="826" t="s">
        <v>603</v>
      </c>
      <c r="E260" s="826" t="s">
        <v>3088</v>
      </c>
      <c r="F260" s="826" t="str">
        <f t="shared" si="7"/>
        <v>..</v>
      </c>
      <c r="G260" s="826">
        <v>6056.1494769399997</v>
      </c>
      <c r="H260" s="826" t="s">
        <v>603</v>
      </c>
      <c r="I260" s="826" t="s">
        <v>603</v>
      </c>
      <c r="J260" s="826">
        <v>1560.5576698699999</v>
      </c>
      <c r="K260" s="826" t="s">
        <v>603</v>
      </c>
      <c r="L260" s="826" t="s">
        <v>603</v>
      </c>
      <c r="M260" s="826">
        <v>4495.59180707</v>
      </c>
      <c r="N260" s="826" t="s">
        <v>603</v>
      </c>
      <c r="O260" s="826" t="s">
        <v>603</v>
      </c>
      <c r="P260" s="826">
        <v>97.620148586699997</v>
      </c>
      <c r="Q260" s="826" t="s">
        <v>603</v>
      </c>
      <c r="R260" s="826" t="s">
        <v>603</v>
      </c>
      <c r="S260" s="826">
        <v>55.8789289873</v>
      </c>
      <c r="T260" s="826" t="s">
        <v>3088</v>
      </c>
      <c r="U260" s="826" t="s">
        <v>3088</v>
      </c>
      <c r="V260" s="826" t="s">
        <v>3088</v>
      </c>
    </row>
    <row r="261" spans="1:22">
      <c r="A261" s="826" t="s">
        <v>3128</v>
      </c>
      <c r="B261" s="826" t="s">
        <v>195</v>
      </c>
      <c r="C261" s="826" t="str">
        <f t="shared" si="6"/>
        <v>2006_Ghana</v>
      </c>
      <c r="D261" s="826">
        <v>1382.84</v>
      </c>
      <c r="E261" s="826">
        <v>5109.51</v>
      </c>
      <c r="F261" s="826">
        <f t="shared" si="7"/>
        <v>5109510000</v>
      </c>
      <c r="G261" s="826">
        <v>3726.67</v>
      </c>
      <c r="H261" s="826">
        <v>1532.82</v>
      </c>
      <c r="I261" s="826">
        <v>8286.49</v>
      </c>
      <c r="J261" s="826">
        <v>6753.67</v>
      </c>
      <c r="K261" s="826">
        <v>-149.97999999999999</v>
      </c>
      <c r="L261" s="826">
        <v>-3176.98</v>
      </c>
      <c r="M261" s="826">
        <v>-3027</v>
      </c>
      <c r="N261" s="826">
        <v>27.064043323100002</v>
      </c>
      <c r="O261" s="826">
        <v>100</v>
      </c>
      <c r="P261" s="826">
        <v>72.935956676900005</v>
      </c>
      <c r="Q261" s="826">
        <v>18.497819945500002</v>
      </c>
      <c r="R261" s="826">
        <v>100</v>
      </c>
      <c r="S261" s="826">
        <v>81.502180054500002</v>
      </c>
      <c r="T261" s="826" t="s">
        <v>3088</v>
      </c>
      <c r="U261" s="826" t="s">
        <v>3088</v>
      </c>
      <c r="V261" s="826" t="s">
        <v>3088</v>
      </c>
    </row>
    <row r="262" spans="1:22">
      <c r="A262" s="826" t="s">
        <v>3128</v>
      </c>
      <c r="B262" s="826" t="s">
        <v>219</v>
      </c>
      <c r="C262" s="826" t="str">
        <f t="shared" ref="C262:C325" si="8">$A262&amp;"_"&amp;$B262</f>
        <v>2006_Guatemala</v>
      </c>
      <c r="D262" s="826">
        <v>1518.9</v>
      </c>
      <c r="E262" s="826">
        <v>7601</v>
      </c>
      <c r="F262" s="826">
        <f t="shared" ref="F262:F325" si="9">IFERROR($E262*1000000,"..")</f>
        <v>7601000000</v>
      </c>
      <c r="G262" s="826">
        <v>6082.1</v>
      </c>
      <c r="H262" s="826">
        <v>1778.4</v>
      </c>
      <c r="I262" s="826">
        <v>12712.8</v>
      </c>
      <c r="J262" s="826">
        <v>10934.4</v>
      </c>
      <c r="K262" s="826">
        <v>-259.5</v>
      </c>
      <c r="L262" s="826">
        <v>-5111.8</v>
      </c>
      <c r="M262" s="826">
        <v>-4852.3</v>
      </c>
      <c r="N262" s="826">
        <v>19.9828969872</v>
      </c>
      <c r="O262" s="826">
        <v>100</v>
      </c>
      <c r="P262" s="826">
        <v>80.017103012800007</v>
      </c>
      <c r="Q262" s="826">
        <v>13.9890504059</v>
      </c>
      <c r="R262" s="826">
        <v>100</v>
      </c>
      <c r="S262" s="826">
        <v>86.010949594099998</v>
      </c>
      <c r="T262" s="826" t="s">
        <v>3088</v>
      </c>
      <c r="U262" s="826" t="s">
        <v>3088</v>
      </c>
      <c r="V262" s="826" t="s">
        <v>3088</v>
      </c>
    </row>
    <row r="263" spans="1:22">
      <c r="A263" s="826" t="s">
        <v>3128</v>
      </c>
      <c r="B263" s="826" t="s">
        <v>3140</v>
      </c>
      <c r="C263" s="826" t="str">
        <f t="shared" si="8"/>
        <v>2006_ Guinea</v>
      </c>
      <c r="D263" s="826">
        <v>63.51</v>
      </c>
      <c r="E263" s="826">
        <v>1096.0899999999999</v>
      </c>
      <c r="F263" s="826">
        <f t="shared" si="9"/>
        <v>1096090000</v>
      </c>
      <c r="G263" s="826">
        <v>1032.58</v>
      </c>
      <c r="H263" s="826">
        <v>299.97000000000003</v>
      </c>
      <c r="I263" s="826">
        <v>1256.01</v>
      </c>
      <c r="J263" s="826">
        <v>956.04</v>
      </c>
      <c r="K263" s="826">
        <v>-236.46</v>
      </c>
      <c r="L263" s="826">
        <v>-159.91999999999999</v>
      </c>
      <c r="M263" s="826">
        <v>76.540000000000006</v>
      </c>
      <c r="N263" s="826">
        <v>5.7942322255000001</v>
      </c>
      <c r="O263" s="826">
        <v>100</v>
      </c>
      <c r="P263" s="826">
        <v>94.205767774500003</v>
      </c>
      <c r="Q263" s="826">
        <v>23.882771634000001</v>
      </c>
      <c r="R263" s="826">
        <v>100</v>
      </c>
      <c r="S263" s="826">
        <v>76.117228366000006</v>
      </c>
      <c r="T263" s="826" t="s">
        <v>3088</v>
      </c>
      <c r="U263" s="826" t="s">
        <v>3088</v>
      </c>
      <c r="V263" s="826" t="s">
        <v>3088</v>
      </c>
    </row>
    <row r="264" spans="1:22">
      <c r="A264" s="826" t="s">
        <v>3128</v>
      </c>
      <c r="B264" s="826" t="s">
        <v>243</v>
      </c>
      <c r="C264" s="826" t="str">
        <f t="shared" si="8"/>
        <v>2006_Indonesia</v>
      </c>
      <c r="D264" s="826">
        <v>11520</v>
      </c>
      <c r="E264" s="826">
        <v>115048</v>
      </c>
      <c r="F264" s="826">
        <f t="shared" si="9"/>
        <v>115048000000</v>
      </c>
      <c r="G264" s="826">
        <v>103528</v>
      </c>
      <c r="H264" s="826">
        <v>21393.9</v>
      </c>
      <c r="I264" s="826">
        <v>95261.7</v>
      </c>
      <c r="J264" s="826">
        <v>73867.8</v>
      </c>
      <c r="K264" s="826">
        <v>-9873.9</v>
      </c>
      <c r="L264" s="826">
        <v>19786.3</v>
      </c>
      <c r="M264" s="826">
        <v>29660.2</v>
      </c>
      <c r="N264" s="826">
        <v>10.0132118768</v>
      </c>
      <c r="O264" s="826">
        <v>100</v>
      </c>
      <c r="P264" s="826">
        <v>89.9867881232</v>
      </c>
      <c r="Q264" s="826">
        <v>22.458028777599999</v>
      </c>
      <c r="R264" s="826">
        <v>100</v>
      </c>
      <c r="S264" s="826">
        <v>77.541971222399994</v>
      </c>
      <c r="T264" s="826" t="s">
        <v>3088</v>
      </c>
      <c r="U264" s="826" t="s">
        <v>3088</v>
      </c>
      <c r="V264" s="826" t="s">
        <v>3088</v>
      </c>
    </row>
    <row r="265" spans="1:22">
      <c r="A265" s="826" t="s">
        <v>3128</v>
      </c>
      <c r="B265" s="826" t="s">
        <v>251</v>
      </c>
      <c r="C265" s="826" t="str">
        <f t="shared" si="8"/>
        <v>2006_Iraq</v>
      </c>
      <c r="D265" s="826">
        <v>357.1</v>
      </c>
      <c r="E265" s="826">
        <v>30886.5</v>
      </c>
      <c r="F265" s="826">
        <f t="shared" si="9"/>
        <v>30886500000</v>
      </c>
      <c r="G265" s="826">
        <v>30529.4</v>
      </c>
      <c r="H265" s="826">
        <v>5490</v>
      </c>
      <c r="I265" s="826">
        <v>24197.5</v>
      </c>
      <c r="J265" s="826">
        <v>18707.5</v>
      </c>
      <c r="K265" s="826">
        <v>-5132.8999999999996</v>
      </c>
      <c r="L265" s="826">
        <v>6689</v>
      </c>
      <c r="M265" s="826">
        <v>11821.9</v>
      </c>
      <c r="N265" s="826">
        <v>1.1561685526000001</v>
      </c>
      <c r="O265" s="826">
        <v>100</v>
      </c>
      <c r="P265" s="826">
        <v>98.843831447400007</v>
      </c>
      <c r="Q265" s="826">
        <v>22.6882942453</v>
      </c>
      <c r="R265" s="826">
        <v>100</v>
      </c>
      <c r="S265" s="826">
        <v>77.3117057547</v>
      </c>
      <c r="T265" s="826" t="s">
        <v>3088</v>
      </c>
      <c r="U265" s="826" t="s">
        <v>3088</v>
      </c>
      <c r="V265" s="826" t="s">
        <v>3088</v>
      </c>
    </row>
    <row r="266" spans="1:22">
      <c r="A266" s="826" t="s">
        <v>3128</v>
      </c>
      <c r="B266" s="826" t="s">
        <v>280</v>
      </c>
      <c r="C266" s="826" t="str">
        <f t="shared" si="8"/>
        <v>2006_Kazakhstan</v>
      </c>
      <c r="D266" s="826">
        <v>2818.75</v>
      </c>
      <c r="E266" s="826">
        <v>41580.85</v>
      </c>
      <c r="F266" s="826">
        <f t="shared" si="9"/>
        <v>41580850000</v>
      </c>
      <c r="G266" s="826">
        <v>38762.1</v>
      </c>
      <c r="H266" s="826">
        <v>8760.39</v>
      </c>
      <c r="I266" s="826">
        <v>32880.79</v>
      </c>
      <c r="J266" s="826">
        <v>24120.400000000001</v>
      </c>
      <c r="K266" s="826">
        <v>-5941.64</v>
      </c>
      <c r="L266" s="826">
        <v>8700.06</v>
      </c>
      <c r="M266" s="826">
        <v>14641.7</v>
      </c>
      <c r="N266" s="826">
        <v>6.7789619500000002</v>
      </c>
      <c r="O266" s="826">
        <v>100</v>
      </c>
      <c r="P266" s="826">
        <v>93.221038050000004</v>
      </c>
      <c r="Q266" s="826">
        <v>26.642881755600001</v>
      </c>
      <c r="R266" s="826">
        <v>100</v>
      </c>
      <c r="S266" s="826">
        <v>73.357118244399999</v>
      </c>
      <c r="T266" s="826" t="s">
        <v>3088</v>
      </c>
      <c r="U266" s="826" t="s">
        <v>3088</v>
      </c>
      <c r="V266" s="826" t="s">
        <v>3088</v>
      </c>
    </row>
    <row r="267" spans="1:22">
      <c r="A267" s="826" t="s">
        <v>3128</v>
      </c>
      <c r="B267" s="826" t="s">
        <v>3141</v>
      </c>
      <c r="C267" s="826" t="str">
        <f t="shared" si="8"/>
        <v>2006_Kyrgyzstan</v>
      </c>
      <c r="D267" s="826">
        <v>378.72500000000002</v>
      </c>
      <c r="E267" s="826">
        <v>1284.72</v>
      </c>
      <c r="F267" s="826">
        <f t="shared" si="9"/>
        <v>1284720000</v>
      </c>
      <c r="G267" s="826">
        <v>905.995</v>
      </c>
      <c r="H267" s="826">
        <v>459.69</v>
      </c>
      <c r="I267" s="826">
        <v>2252.14</v>
      </c>
      <c r="J267" s="826">
        <v>1792.45</v>
      </c>
      <c r="K267" s="826">
        <v>-80.965000000000003</v>
      </c>
      <c r="L267" s="826">
        <v>-967.42</v>
      </c>
      <c r="M267" s="826">
        <v>-886.45500000000004</v>
      </c>
      <c r="N267" s="826">
        <v>29.479186126199998</v>
      </c>
      <c r="O267" s="826">
        <v>100</v>
      </c>
      <c r="P267" s="826">
        <v>70.520813873799995</v>
      </c>
      <c r="Q267" s="826">
        <v>20.4112532969</v>
      </c>
      <c r="R267" s="826">
        <v>100</v>
      </c>
      <c r="S267" s="826">
        <v>79.5887467031</v>
      </c>
      <c r="T267" s="826" t="s">
        <v>3088</v>
      </c>
      <c r="U267" s="826" t="s">
        <v>3088</v>
      </c>
      <c r="V267" s="826" t="s">
        <v>3088</v>
      </c>
    </row>
    <row r="268" spans="1:22">
      <c r="A268" s="826" t="s">
        <v>3128</v>
      </c>
      <c r="B268" s="826" t="s">
        <v>301</v>
      </c>
      <c r="C268" s="826" t="str">
        <f t="shared" si="8"/>
        <v>2006_Liberia</v>
      </c>
      <c r="D268" s="826">
        <v>336.49700000000001</v>
      </c>
      <c r="E268" s="826">
        <v>491.13299999999998</v>
      </c>
      <c r="F268" s="826">
        <f t="shared" si="9"/>
        <v>491133000</v>
      </c>
      <c r="G268" s="826">
        <v>154.636</v>
      </c>
      <c r="H268" s="826">
        <v>1274.6500000000001</v>
      </c>
      <c r="I268" s="826">
        <v>1715.741</v>
      </c>
      <c r="J268" s="826">
        <v>441.09100000000001</v>
      </c>
      <c r="K268" s="826">
        <v>-938.15300000000002</v>
      </c>
      <c r="L268" s="826">
        <v>-1224.6079999999999</v>
      </c>
      <c r="M268" s="826">
        <v>-286.45499999999998</v>
      </c>
      <c r="N268" s="826">
        <v>68.5144349901</v>
      </c>
      <c r="O268" s="826">
        <v>100</v>
      </c>
      <c r="P268" s="826">
        <v>31.4855650099</v>
      </c>
      <c r="Q268" s="826">
        <v>74.291516027200004</v>
      </c>
      <c r="R268" s="826">
        <v>100</v>
      </c>
      <c r="S268" s="826">
        <v>25.7084839728</v>
      </c>
      <c r="T268" s="826" t="s">
        <v>3088</v>
      </c>
      <c r="U268" s="826" t="s">
        <v>3088</v>
      </c>
      <c r="V268" s="826" t="s">
        <v>3088</v>
      </c>
    </row>
    <row r="269" spans="1:22">
      <c r="A269" s="826" t="s">
        <v>3128</v>
      </c>
      <c r="B269" s="826" t="s">
        <v>316</v>
      </c>
      <c r="C269" s="826" t="str">
        <f t="shared" si="8"/>
        <v>2006_Madagascar</v>
      </c>
      <c r="D269" s="826">
        <v>665.98</v>
      </c>
      <c r="E269" s="826">
        <v>1633.6164799600001</v>
      </c>
      <c r="F269" s="826">
        <f t="shared" si="9"/>
        <v>1633616479.96</v>
      </c>
      <c r="G269" s="826">
        <v>967.63647995999997</v>
      </c>
      <c r="H269" s="826">
        <v>786.46</v>
      </c>
      <c r="I269" s="826">
        <v>2319.3480165300002</v>
      </c>
      <c r="J269" s="826">
        <v>1532.88801653</v>
      </c>
      <c r="K269" s="826">
        <v>-120.48</v>
      </c>
      <c r="L269" s="826">
        <v>-685.73153657</v>
      </c>
      <c r="M269" s="826">
        <v>-565.25153656999998</v>
      </c>
      <c r="N269" s="826">
        <v>40.767218509999999</v>
      </c>
      <c r="O269" s="826">
        <v>100</v>
      </c>
      <c r="P269" s="826">
        <v>59.232781490000001</v>
      </c>
      <c r="Q269" s="826">
        <v>33.9086671942</v>
      </c>
      <c r="R269" s="826">
        <v>100</v>
      </c>
      <c r="S269" s="826">
        <v>66.091332805799993</v>
      </c>
      <c r="T269" s="826" t="s">
        <v>3088</v>
      </c>
      <c r="U269" s="826" t="s">
        <v>3088</v>
      </c>
      <c r="V269" s="826" t="s">
        <v>3088</v>
      </c>
    </row>
    <row r="270" spans="1:22">
      <c r="A270" s="826" t="s">
        <v>3128</v>
      </c>
      <c r="B270" s="826" t="s">
        <v>329</v>
      </c>
      <c r="C270" s="826" t="str">
        <f t="shared" si="8"/>
        <v>2006_Mali</v>
      </c>
      <c r="D270" s="826">
        <v>313.34100000000001</v>
      </c>
      <c r="E270" s="826">
        <v>1863.711</v>
      </c>
      <c r="F270" s="826">
        <f t="shared" si="9"/>
        <v>1863711000</v>
      </c>
      <c r="G270" s="826">
        <v>1550.37</v>
      </c>
      <c r="H270" s="826">
        <v>674.53200000000004</v>
      </c>
      <c r="I270" s="826">
        <v>2149.9319999999998</v>
      </c>
      <c r="J270" s="826">
        <v>1475.4</v>
      </c>
      <c r="K270" s="826">
        <v>-361.19099999999997</v>
      </c>
      <c r="L270" s="826">
        <v>-286.221</v>
      </c>
      <c r="M270" s="826">
        <v>74.97</v>
      </c>
      <c r="N270" s="826">
        <v>16.812746182200001</v>
      </c>
      <c r="O270" s="826">
        <v>100</v>
      </c>
      <c r="P270" s="826">
        <v>83.187253817799999</v>
      </c>
      <c r="Q270" s="826">
        <v>31.3745737074</v>
      </c>
      <c r="R270" s="826">
        <v>100</v>
      </c>
      <c r="S270" s="826">
        <v>68.625426292599997</v>
      </c>
      <c r="T270" s="826" t="s">
        <v>3088</v>
      </c>
      <c r="U270" s="826" t="s">
        <v>3088</v>
      </c>
      <c r="V270" s="826" t="s">
        <v>3088</v>
      </c>
    </row>
    <row r="271" spans="1:22">
      <c r="A271" s="826" t="s">
        <v>3128</v>
      </c>
      <c r="B271" s="826" t="s">
        <v>345</v>
      </c>
      <c r="C271" s="826" t="str">
        <f t="shared" si="8"/>
        <v>2006_Mauritania</v>
      </c>
      <c r="D271" s="826">
        <v>86.701414700000001</v>
      </c>
      <c r="E271" s="826">
        <v>1453.30230822</v>
      </c>
      <c r="F271" s="826">
        <f t="shared" si="9"/>
        <v>1453302308.22</v>
      </c>
      <c r="G271" s="826">
        <v>1366.60089352</v>
      </c>
      <c r="H271" s="826">
        <v>406.3</v>
      </c>
      <c r="I271" s="826">
        <v>1573.2992553900001</v>
      </c>
      <c r="J271" s="826">
        <v>1166.9992553899999</v>
      </c>
      <c r="K271" s="826">
        <v>-319.59858530000002</v>
      </c>
      <c r="L271" s="826">
        <v>-119.99694717</v>
      </c>
      <c r="M271" s="826">
        <v>199.60163813</v>
      </c>
      <c r="N271" s="826">
        <v>5.9658210276999997</v>
      </c>
      <c r="O271" s="826">
        <v>100</v>
      </c>
      <c r="P271" s="826">
        <v>94.034178972299998</v>
      </c>
      <c r="Q271" s="826">
        <v>25.824711898099999</v>
      </c>
      <c r="R271" s="826">
        <v>100</v>
      </c>
      <c r="S271" s="826">
        <v>74.175288101899994</v>
      </c>
      <c r="T271" s="826" t="s">
        <v>3088</v>
      </c>
      <c r="U271" s="826" t="s">
        <v>3088</v>
      </c>
      <c r="V271" s="826" t="s">
        <v>3088</v>
      </c>
    </row>
    <row r="272" spans="1:22">
      <c r="A272" s="826" t="s">
        <v>3128</v>
      </c>
      <c r="B272" s="826" t="s">
        <v>364</v>
      </c>
      <c r="C272" s="826" t="str">
        <f t="shared" si="8"/>
        <v>2006_Mongolia</v>
      </c>
      <c r="D272" s="826">
        <v>485.75</v>
      </c>
      <c r="E272" s="826">
        <v>2030.95</v>
      </c>
      <c r="F272" s="826">
        <f t="shared" si="9"/>
        <v>2030950000</v>
      </c>
      <c r="G272" s="826">
        <v>1545.2</v>
      </c>
      <c r="H272" s="826">
        <v>523.24</v>
      </c>
      <c r="I272" s="826">
        <v>1879.93</v>
      </c>
      <c r="J272" s="826">
        <v>1356.69</v>
      </c>
      <c r="K272" s="826">
        <v>-37.49</v>
      </c>
      <c r="L272" s="826">
        <v>151.02000000000001</v>
      </c>
      <c r="M272" s="826">
        <v>188.51</v>
      </c>
      <c r="N272" s="826">
        <v>23.917378566699998</v>
      </c>
      <c r="O272" s="826">
        <v>100</v>
      </c>
      <c r="P272" s="826">
        <v>76.082621433300005</v>
      </c>
      <c r="Q272" s="826">
        <v>27.832951226900001</v>
      </c>
      <c r="R272" s="826">
        <v>100</v>
      </c>
      <c r="S272" s="826">
        <v>72.167048773100007</v>
      </c>
      <c r="T272" s="826" t="s">
        <v>3088</v>
      </c>
      <c r="U272" s="826" t="s">
        <v>3088</v>
      </c>
      <c r="V272" s="826" t="s">
        <v>3088</v>
      </c>
    </row>
    <row r="273" spans="1:22">
      <c r="A273" s="826" t="s">
        <v>3128</v>
      </c>
      <c r="B273" s="826" t="s">
        <v>385</v>
      </c>
      <c r="C273" s="826" t="str">
        <f t="shared" si="8"/>
        <v>2006_Mozambique</v>
      </c>
      <c r="D273" s="826">
        <v>386.32400000000001</v>
      </c>
      <c r="E273" s="826">
        <v>2767.4540000000002</v>
      </c>
      <c r="F273" s="826">
        <f t="shared" si="9"/>
        <v>2767454000</v>
      </c>
      <c r="G273" s="826">
        <v>2381.13</v>
      </c>
      <c r="H273" s="826">
        <v>758.10900000000004</v>
      </c>
      <c r="I273" s="826">
        <v>3406.9490000000001</v>
      </c>
      <c r="J273" s="826">
        <v>2648.84</v>
      </c>
      <c r="K273" s="826">
        <v>-371.78500000000003</v>
      </c>
      <c r="L273" s="826">
        <v>-639.495</v>
      </c>
      <c r="M273" s="826">
        <v>-267.70999999999998</v>
      </c>
      <c r="N273" s="826">
        <v>13.9595454884</v>
      </c>
      <c r="O273" s="826">
        <v>100</v>
      </c>
      <c r="P273" s="826">
        <v>86.040454511600004</v>
      </c>
      <c r="Q273" s="826">
        <v>22.2518446857</v>
      </c>
      <c r="R273" s="826">
        <v>100</v>
      </c>
      <c r="S273" s="826">
        <v>77.748155314300007</v>
      </c>
      <c r="T273" s="826" t="s">
        <v>3088</v>
      </c>
      <c r="U273" s="826" t="s">
        <v>3088</v>
      </c>
      <c r="V273" s="826" t="s">
        <v>3088</v>
      </c>
    </row>
    <row r="274" spans="1:22">
      <c r="A274" s="826" t="s">
        <v>3128</v>
      </c>
      <c r="B274" s="826" t="s">
        <v>394</v>
      </c>
      <c r="C274" s="826" t="str">
        <f t="shared" si="8"/>
        <v>2006_Niger</v>
      </c>
      <c r="D274" s="826">
        <v>90.555999999999997</v>
      </c>
      <c r="E274" s="826">
        <v>598.51700000000005</v>
      </c>
      <c r="F274" s="826">
        <f t="shared" si="9"/>
        <v>598517000</v>
      </c>
      <c r="G274" s="826">
        <v>507.96100000000001</v>
      </c>
      <c r="H274" s="826">
        <v>328.52600000000001</v>
      </c>
      <c r="I274" s="826">
        <v>1076.8209999999999</v>
      </c>
      <c r="J274" s="826">
        <v>748.29499999999996</v>
      </c>
      <c r="K274" s="826">
        <v>-237.97</v>
      </c>
      <c r="L274" s="826">
        <v>-478.30399999999997</v>
      </c>
      <c r="M274" s="826">
        <v>-240.334</v>
      </c>
      <c r="N274" s="826">
        <v>15.130063139400001</v>
      </c>
      <c r="O274" s="826">
        <v>100</v>
      </c>
      <c r="P274" s="826">
        <v>84.869936860600006</v>
      </c>
      <c r="Q274" s="826">
        <v>30.508877519999999</v>
      </c>
      <c r="R274" s="826">
        <v>100</v>
      </c>
      <c r="S274" s="826">
        <v>69.491122480000001</v>
      </c>
      <c r="T274" s="826" t="s">
        <v>3088</v>
      </c>
      <c r="U274" s="826" t="s">
        <v>3088</v>
      </c>
      <c r="V274" s="826" t="s">
        <v>3088</v>
      </c>
    </row>
    <row r="275" spans="1:22">
      <c r="A275" s="826" t="s">
        <v>3128</v>
      </c>
      <c r="B275" s="826" t="s">
        <v>413</v>
      </c>
      <c r="C275" s="826" t="str">
        <f t="shared" si="8"/>
        <v>2006_Nigeria</v>
      </c>
      <c r="D275" s="826">
        <v>2298.66</v>
      </c>
      <c r="E275" s="826">
        <v>59233.56</v>
      </c>
      <c r="F275" s="826">
        <f t="shared" si="9"/>
        <v>59233560000</v>
      </c>
      <c r="G275" s="826">
        <v>56934.9</v>
      </c>
      <c r="H275" s="826">
        <v>13923.9</v>
      </c>
      <c r="I275" s="826">
        <v>35911.9</v>
      </c>
      <c r="J275" s="826">
        <v>21988</v>
      </c>
      <c r="K275" s="826">
        <v>-11625.24</v>
      </c>
      <c r="L275" s="826">
        <v>23321.66</v>
      </c>
      <c r="M275" s="826">
        <v>34946.9</v>
      </c>
      <c r="N275" s="826">
        <v>3.8806717003000002</v>
      </c>
      <c r="O275" s="826">
        <v>100</v>
      </c>
      <c r="P275" s="826">
        <v>96.119328299700001</v>
      </c>
      <c r="Q275" s="826">
        <v>38.7723846413</v>
      </c>
      <c r="R275" s="826">
        <v>100</v>
      </c>
      <c r="S275" s="826">
        <v>61.2276153587</v>
      </c>
      <c r="T275" s="826" t="s">
        <v>3088</v>
      </c>
      <c r="U275" s="826" t="s">
        <v>3088</v>
      </c>
      <c r="V275" s="826" t="s">
        <v>3088</v>
      </c>
    </row>
    <row r="276" spans="1:22">
      <c r="A276" s="826" t="s">
        <v>3128</v>
      </c>
      <c r="B276" s="826" t="s">
        <v>436</v>
      </c>
      <c r="C276" s="826" t="str">
        <f t="shared" si="8"/>
        <v>2006_Norway</v>
      </c>
      <c r="D276" s="826">
        <v>33278.343347000002</v>
      </c>
      <c r="E276" s="826">
        <v>155888.624621</v>
      </c>
      <c r="F276" s="826">
        <f t="shared" si="9"/>
        <v>155888624621</v>
      </c>
      <c r="G276" s="826">
        <v>122610.28127399999</v>
      </c>
      <c r="H276" s="826">
        <v>31870.807031</v>
      </c>
      <c r="I276" s="826">
        <v>95492.237519999995</v>
      </c>
      <c r="J276" s="826">
        <v>63621.430488999998</v>
      </c>
      <c r="K276" s="826">
        <v>1407.5363159999999</v>
      </c>
      <c r="L276" s="826">
        <v>60396.387101</v>
      </c>
      <c r="M276" s="826">
        <v>58988.850785000002</v>
      </c>
      <c r="N276" s="826">
        <v>21.3475123204</v>
      </c>
      <c r="O276" s="826">
        <v>100</v>
      </c>
      <c r="P276" s="826">
        <v>78.6524876796</v>
      </c>
      <c r="Q276" s="826">
        <v>33.375285634400001</v>
      </c>
      <c r="R276" s="826">
        <v>100</v>
      </c>
      <c r="S276" s="826">
        <v>66.624714365599999</v>
      </c>
      <c r="T276" s="826" t="s">
        <v>3088</v>
      </c>
      <c r="U276" s="826" t="s">
        <v>3088</v>
      </c>
      <c r="V276" s="826" t="s">
        <v>3088</v>
      </c>
    </row>
    <row r="277" spans="1:22">
      <c r="A277" s="826" t="s">
        <v>3128</v>
      </c>
      <c r="B277" s="826" t="s">
        <v>449</v>
      </c>
      <c r="C277" s="826" t="str">
        <f t="shared" si="8"/>
        <v>2006_Peru</v>
      </c>
      <c r="D277" s="826">
        <v>2660.08</v>
      </c>
      <c r="E277" s="826">
        <v>26490.18</v>
      </c>
      <c r="F277" s="826">
        <f t="shared" si="9"/>
        <v>26490180000</v>
      </c>
      <c r="G277" s="826">
        <v>23830.1</v>
      </c>
      <c r="H277" s="826">
        <v>3397.28</v>
      </c>
      <c r="I277" s="826">
        <v>18241.38</v>
      </c>
      <c r="J277" s="826">
        <v>14844.1</v>
      </c>
      <c r="K277" s="826">
        <v>-737.2</v>
      </c>
      <c r="L277" s="826">
        <v>8248.7999999999993</v>
      </c>
      <c r="M277" s="826">
        <v>8986</v>
      </c>
      <c r="N277" s="826">
        <v>10.041758870600001</v>
      </c>
      <c r="O277" s="826">
        <v>100</v>
      </c>
      <c r="P277" s="826">
        <v>89.958241129399994</v>
      </c>
      <c r="Q277" s="826">
        <v>18.624029541599999</v>
      </c>
      <c r="R277" s="826">
        <v>100</v>
      </c>
      <c r="S277" s="826">
        <v>81.375970458400005</v>
      </c>
      <c r="T277" s="826" t="s">
        <v>3088</v>
      </c>
      <c r="U277" s="826" t="s">
        <v>3088</v>
      </c>
      <c r="V277" s="826" t="s">
        <v>3088</v>
      </c>
    </row>
    <row r="278" spans="1:22">
      <c r="A278" s="826" t="s">
        <v>3128</v>
      </c>
      <c r="B278" s="826" t="s">
        <v>488</v>
      </c>
      <c r="C278" s="826" t="str">
        <f t="shared" si="8"/>
        <v>2006_Sierra Leone</v>
      </c>
      <c r="D278" s="826">
        <v>42.512</v>
      </c>
      <c r="E278" s="826">
        <v>304.39</v>
      </c>
      <c r="F278" s="826">
        <f t="shared" si="9"/>
        <v>304390000</v>
      </c>
      <c r="G278" s="826">
        <v>261.87799999999999</v>
      </c>
      <c r="H278" s="826">
        <v>85.867999999999995</v>
      </c>
      <c r="I278" s="826">
        <v>437.05399999999997</v>
      </c>
      <c r="J278" s="826">
        <v>351.18599999999998</v>
      </c>
      <c r="K278" s="826">
        <v>-43.356000000000002</v>
      </c>
      <c r="L278" s="826">
        <v>-132.66399999999999</v>
      </c>
      <c r="M278" s="826">
        <v>-89.308000000000007</v>
      </c>
      <c r="N278" s="826">
        <v>13.966293242200001</v>
      </c>
      <c r="O278" s="826">
        <v>100</v>
      </c>
      <c r="P278" s="826">
        <v>86.033706757800005</v>
      </c>
      <c r="Q278" s="826">
        <v>19.647000141900001</v>
      </c>
      <c r="R278" s="826">
        <v>100</v>
      </c>
      <c r="S278" s="826">
        <v>80.352999858100006</v>
      </c>
      <c r="T278" s="826" t="s">
        <v>3088</v>
      </c>
      <c r="U278" s="826" t="s">
        <v>3088</v>
      </c>
      <c r="V278" s="826" t="s">
        <v>3088</v>
      </c>
    </row>
    <row r="279" spans="1:22">
      <c r="A279" s="826" t="s">
        <v>3128</v>
      </c>
      <c r="B279" s="826" t="s">
        <v>3090</v>
      </c>
      <c r="C279" s="826" t="str">
        <f t="shared" si="8"/>
        <v>2006_Timor-Leste</v>
      </c>
      <c r="D279" s="826">
        <v>34.090000000000003</v>
      </c>
      <c r="E279" s="826">
        <v>43.343000000000004</v>
      </c>
      <c r="F279" s="826">
        <f t="shared" si="9"/>
        <v>43343000</v>
      </c>
      <c r="G279" s="826">
        <v>9.2530000000000001</v>
      </c>
      <c r="H279" s="826">
        <v>232.12100000000001</v>
      </c>
      <c r="I279" s="826">
        <v>332.726</v>
      </c>
      <c r="J279" s="826">
        <v>100.605</v>
      </c>
      <c r="K279" s="826">
        <v>-198.03100000000001</v>
      </c>
      <c r="L279" s="826">
        <v>-289.38299999999998</v>
      </c>
      <c r="M279" s="826">
        <v>-91.352000000000004</v>
      </c>
      <c r="N279" s="826">
        <v>78.651685393299999</v>
      </c>
      <c r="O279" s="826">
        <v>100</v>
      </c>
      <c r="P279" s="826">
        <v>21.348314606700001</v>
      </c>
      <c r="Q279" s="826">
        <v>69.763408931100003</v>
      </c>
      <c r="R279" s="826">
        <v>100</v>
      </c>
      <c r="S279" s="826">
        <v>30.236591068900001</v>
      </c>
      <c r="T279" s="826" t="s">
        <v>3088</v>
      </c>
      <c r="U279" s="826" t="s">
        <v>3088</v>
      </c>
      <c r="V279" s="826" t="s">
        <v>3088</v>
      </c>
    </row>
    <row r="280" spans="1:22">
      <c r="A280" s="826" t="s">
        <v>3128</v>
      </c>
      <c r="B280" s="826" t="s">
        <v>517</v>
      </c>
      <c r="C280" s="826" t="str">
        <f t="shared" si="8"/>
        <v>2006_Togo</v>
      </c>
      <c r="D280" s="826">
        <v>200.721</v>
      </c>
      <c r="E280" s="826">
        <v>831.07399999999996</v>
      </c>
      <c r="F280" s="826">
        <f t="shared" si="9"/>
        <v>831074000</v>
      </c>
      <c r="G280" s="826">
        <v>630.35299999999995</v>
      </c>
      <c r="H280" s="826">
        <v>264.149</v>
      </c>
      <c r="I280" s="826">
        <v>1213.2149999999999</v>
      </c>
      <c r="J280" s="826">
        <v>949.06600000000003</v>
      </c>
      <c r="K280" s="826">
        <v>-63.427999999999997</v>
      </c>
      <c r="L280" s="826">
        <v>-382.14100000000002</v>
      </c>
      <c r="M280" s="826">
        <v>-318.71300000000002</v>
      </c>
      <c r="N280" s="826">
        <v>24.1520009049</v>
      </c>
      <c r="O280" s="826">
        <v>100</v>
      </c>
      <c r="P280" s="826">
        <v>75.847999095099993</v>
      </c>
      <c r="Q280" s="826">
        <v>21.772645409100001</v>
      </c>
      <c r="R280" s="826">
        <v>100</v>
      </c>
      <c r="S280" s="826">
        <v>78.227354590900006</v>
      </c>
      <c r="T280" s="826" t="s">
        <v>3088</v>
      </c>
      <c r="U280" s="826" t="s">
        <v>3088</v>
      </c>
      <c r="V280" s="826" t="s">
        <v>3088</v>
      </c>
    </row>
    <row r="281" spans="1:22">
      <c r="A281" s="826" t="s">
        <v>3128</v>
      </c>
      <c r="B281" s="826" t="s">
        <v>3091</v>
      </c>
      <c r="C281" s="826" t="str">
        <f t="shared" si="8"/>
        <v>2006_Trinidad and Tobago</v>
      </c>
      <c r="D281" s="826">
        <v>813.7</v>
      </c>
      <c r="E281" s="826">
        <v>14899.2</v>
      </c>
      <c r="F281" s="826">
        <f t="shared" si="9"/>
        <v>14899200000</v>
      </c>
      <c r="G281" s="826">
        <v>14085.5</v>
      </c>
      <c r="H281" s="826">
        <v>362.8</v>
      </c>
      <c r="I281" s="826">
        <v>6873.4</v>
      </c>
      <c r="J281" s="826">
        <v>6510.6</v>
      </c>
      <c r="K281" s="826">
        <v>450.9</v>
      </c>
      <c r="L281" s="826">
        <v>8025.8</v>
      </c>
      <c r="M281" s="826">
        <v>7574.9</v>
      </c>
      <c r="N281" s="826">
        <v>5.4613670533000001</v>
      </c>
      <c r="O281" s="826">
        <v>100</v>
      </c>
      <c r="P281" s="826">
        <v>94.538632946700005</v>
      </c>
      <c r="Q281" s="826">
        <v>5.2783193180000003</v>
      </c>
      <c r="R281" s="826">
        <v>100</v>
      </c>
      <c r="S281" s="826">
        <v>94.721680681999999</v>
      </c>
      <c r="T281" s="826" t="s">
        <v>3088</v>
      </c>
      <c r="U281" s="826" t="s">
        <v>3088</v>
      </c>
      <c r="V281" s="826" t="s">
        <v>3088</v>
      </c>
    </row>
    <row r="282" spans="1:22">
      <c r="A282" s="826" t="s">
        <v>3128</v>
      </c>
      <c r="B282" s="826" t="s">
        <v>499</v>
      </c>
      <c r="C282" s="826" t="str">
        <f t="shared" si="8"/>
        <v>2006_Tanzania</v>
      </c>
      <c r="D282" s="826">
        <v>1528.06</v>
      </c>
      <c r="E282" s="826">
        <v>3445.68</v>
      </c>
      <c r="F282" s="826">
        <f t="shared" si="9"/>
        <v>3445680000</v>
      </c>
      <c r="G282" s="826">
        <v>1917.62</v>
      </c>
      <c r="H282" s="826">
        <v>1249.3399999999999</v>
      </c>
      <c r="I282" s="826">
        <v>5113.45</v>
      </c>
      <c r="J282" s="826">
        <v>3864.11</v>
      </c>
      <c r="K282" s="826">
        <v>278.72000000000003</v>
      </c>
      <c r="L282" s="826">
        <v>-1667.77</v>
      </c>
      <c r="M282" s="826">
        <v>-1946.49</v>
      </c>
      <c r="N282" s="826">
        <v>44.347124515300003</v>
      </c>
      <c r="O282" s="826">
        <v>100</v>
      </c>
      <c r="P282" s="826">
        <v>55.652875484699997</v>
      </c>
      <c r="Q282" s="826">
        <v>24.432428204099999</v>
      </c>
      <c r="R282" s="826">
        <v>100</v>
      </c>
      <c r="S282" s="826">
        <v>75.567571795899994</v>
      </c>
      <c r="T282" s="826" t="s">
        <v>3088</v>
      </c>
      <c r="U282" s="826" t="s">
        <v>3088</v>
      </c>
      <c r="V282" s="826" t="s">
        <v>3088</v>
      </c>
    </row>
    <row r="283" spans="1:22">
      <c r="A283" s="826" t="s">
        <v>3128</v>
      </c>
      <c r="B283" s="826" t="s">
        <v>529</v>
      </c>
      <c r="C283" s="826" t="str">
        <f t="shared" si="8"/>
        <v>2006_Yemen</v>
      </c>
      <c r="D283" s="826" t="s">
        <v>603</v>
      </c>
      <c r="E283" s="826" t="s">
        <v>3088</v>
      </c>
      <c r="F283" s="826" t="str">
        <f t="shared" si="9"/>
        <v>..</v>
      </c>
      <c r="G283" s="826">
        <v>7316.38</v>
      </c>
      <c r="H283" s="826">
        <v>1855.02</v>
      </c>
      <c r="I283" s="826">
        <v>7781.13</v>
      </c>
      <c r="J283" s="826">
        <v>5926.11</v>
      </c>
      <c r="K283" s="826" t="s">
        <v>603</v>
      </c>
      <c r="L283" s="826" t="s">
        <v>603</v>
      </c>
      <c r="M283" s="826">
        <v>1390.27</v>
      </c>
      <c r="N283" s="826" t="s">
        <v>603</v>
      </c>
      <c r="O283" s="826" t="s">
        <v>603</v>
      </c>
      <c r="P283" s="826">
        <v>94.818679709400001</v>
      </c>
      <c r="Q283" s="826">
        <v>23.839982110600001</v>
      </c>
      <c r="R283" s="826">
        <v>100</v>
      </c>
      <c r="S283" s="826">
        <v>76.160017889399995</v>
      </c>
      <c r="T283" s="826" t="s">
        <v>3088</v>
      </c>
      <c r="U283" s="826" t="s">
        <v>3088</v>
      </c>
      <c r="V283" s="826" t="s">
        <v>3088</v>
      </c>
    </row>
    <row r="284" spans="1:22">
      <c r="A284" s="826" t="s">
        <v>3128</v>
      </c>
      <c r="B284" s="826" t="s">
        <v>541</v>
      </c>
      <c r="C284" s="826" t="str">
        <f t="shared" si="8"/>
        <v>2006_Zambia</v>
      </c>
      <c r="D284" s="826">
        <v>229</v>
      </c>
      <c r="E284" s="826">
        <v>4172.6000000000004</v>
      </c>
      <c r="F284" s="826">
        <f t="shared" si="9"/>
        <v>4172600000.0000005</v>
      </c>
      <c r="G284" s="826">
        <v>3943.6</v>
      </c>
      <c r="H284" s="826">
        <v>588.4</v>
      </c>
      <c r="I284" s="826">
        <v>3224.2</v>
      </c>
      <c r="J284" s="826">
        <v>2635.8</v>
      </c>
      <c r="K284" s="826">
        <v>-359.4</v>
      </c>
      <c r="L284" s="826">
        <v>948.4</v>
      </c>
      <c r="M284" s="826">
        <v>1307.8</v>
      </c>
      <c r="N284" s="826">
        <v>5.4881848248000002</v>
      </c>
      <c r="O284" s="826">
        <v>100</v>
      </c>
      <c r="P284" s="826">
        <v>94.511815175199999</v>
      </c>
      <c r="Q284" s="826">
        <v>18.2494882451</v>
      </c>
      <c r="R284" s="826">
        <v>100</v>
      </c>
      <c r="S284" s="826">
        <v>81.750511754900003</v>
      </c>
      <c r="T284" s="826" t="s">
        <v>3088</v>
      </c>
      <c r="U284" s="826" t="s">
        <v>3088</v>
      </c>
      <c r="V284" s="826" t="s">
        <v>3088</v>
      </c>
    </row>
    <row r="285" spans="1:22">
      <c r="A285" s="826" t="s">
        <v>3129</v>
      </c>
      <c r="B285" s="826" t="s">
        <v>21</v>
      </c>
      <c r="C285" s="826" t="str">
        <f t="shared" si="8"/>
        <v>2007_Afghanistan</v>
      </c>
      <c r="D285" s="826" t="s">
        <v>603</v>
      </c>
      <c r="E285" s="826" t="s">
        <v>3088</v>
      </c>
      <c r="F285" s="826" t="str">
        <f t="shared" si="9"/>
        <v>..</v>
      </c>
      <c r="G285" s="826">
        <v>1835</v>
      </c>
      <c r="H285" s="826" t="s">
        <v>603</v>
      </c>
      <c r="I285" s="826" t="s">
        <v>603</v>
      </c>
      <c r="J285" s="826">
        <v>7837</v>
      </c>
      <c r="K285" s="826" t="s">
        <v>603</v>
      </c>
      <c r="L285" s="826" t="s">
        <v>603</v>
      </c>
      <c r="M285" s="826">
        <v>-6002</v>
      </c>
      <c r="N285" s="826" t="s">
        <v>603</v>
      </c>
      <c r="O285" s="826" t="s">
        <v>603</v>
      </c>
      <c r="P285" s="826">
        <v>94.5116298234</v>
      </c>
      <c r="Q285" s="826" t="s">
        <v>603</v>
      </c>
      <c r="R285" s="826" t="s">
        <v>603</v>
      </c>
      <c r="S285" s="826">
        <v>98.908560379999997</v>
      </c>
      <c r="T285" s="826" t="s">
        <v>3088</v>
      </c>
      <c r="U285" s="826" t="s">
        <v>3088</v>
      </c>
      <c r="V285" s="826" t="s">
        <v>3088</v>
      </c>
    </row>
    <row r="286" spans="1:22">
      <c r="A286" s="826" t="s">
        <v>3129</v>
      </c>
      <c r="B286" s="826" t="s">
        <v>38</v>
      </c>
      <c r="C286" s="826" t="str">
        <f t="shared" si="8"/>
        <v>2007_Albania</v>
      </c>
      <c r="D286" s="826">
        <v>1945.89</v>
      </c>
      <c r="E286" s="826">
        <v>3024.61</v>
      </c>
      <c r="F286" s="826">
        <f t="shared" si="9"/>
        <v>3024610000</v>
      </c>
      <c r="G286" s="826">
        <v>1078.72</v>
      </c>
      <c r="H286" s="826">
        <v>1926.04</v>
      </c>
      <c r="I286" s="826">
        <v>5904.36</v>
      </c>
      <c r="J286" s="826">
        <v>3978.32</v>
      </c>
      <c r="K286" s="826">
        <v>19.850000000000001</v>
      </c>
      <c r="L286" s="826">
        <v>-2879.75</v>
      </c>
      <c r="M286" s="826">
        <v>-2899.6</v>
      </c>
      <c r="N286" s="826">
        <v>64.335236609000006</v>
      </c>
      <c r="O286" s="826">
        <v>100</v>
      </c>
      <c r="P286" s="826">
        <v>35.664763391000001</v>
      </c>
      <c r="Q286" s="826">
        <v>32.620639662899997</v>
      </c>
      <c r="R286" s="826">
        <v>100</v>
      </c>
      <c r="S286" s="826">
        <v>67.379360337099996</v>
      </c>
      <c r="T286" s="826" t="s">
        <v>3088</v>
      </c>
      <c r="U286" s="826" t="s">
        <v>3088</v>
      </c>
      <c r="V286" s="826" t="s">
        <v>3088</v>
      </c>
    </row>
    <row r="287" spans="1:22">
      <c r="A287" s="826" t="s">
        <v>3129</v>
      </c>
      <c r="B287" s="826" t="s">
        <v>53</v>
      </c>
      <c r="C287" s="826" t="str">
        <f t="shared" si="8"/>
        <v>2007_Azerbaijan</v>
      </c>
      <c r="D287" s="826">
        <v>1247.54</v>
      </c>
      <c r="E287" s="826">
        <v>22516.84</v>
      </c>
      <c r="F287" s="826">
        <f t="shared" si="9"/>
        <v>22516840000</v>
      </c>
      <c r="G287" s="826">
        <v>21269.3</v>
      </c>
      <c r="H287" s="826">
        <v>3378.58</v>
      </c>
      <c r="I287" s="826">
        <v>9423.6</v>
      </c>
      <c r="J287" s="826">
        <v>6045.02</v>
      </c>
      <c r="K287" s="826">
        <v>-2131.04</v>
      </c>
      <c r="L287" s="826">
        <v>13093.24</v>
      </c>
      <c r="M287" s="826">
        <v>15224.28</v>
      </c>
      <c r="N287" s="826">
        <v>5.5404754840999999</v>
      </c>
      <c r="O287" s="826">
        <v>100</v>
      </c>
      <c r="P287" s="826">
        <v>94.4595245159</v>
      </c>
      <c r="Q287" s="826">
        <v>35.852328197299997</v>
      </c>
      <c r="R287" s="826">
        <v>100</v>
      </c>
      <c r="S287" s="826">
        <v>64.147671802700003</v>
      </c>
      <c r="T287" s="826" t="s">
        <v>3088</v>
      </c>
      <c r="U287" s="826" t="s">
        <v>3088</v>
      </c>
      <c r="V287" s="826" t="s">
        <v>3088</v>
      </c>
    </row>
    <row r="288" spans="1:22">
      <c r="A288" s="826" t="s">
        <v>3129</v>
      </c>
      <c r="B288" s="826" t="s">
        <v>98</v>
      </c>
      <c r="C288" s="826" t="str">
        <f t="shared" si="8"/>
        <v>2007_Burkina Faso</v>
      </c>
      <c r="D288" s="826">
        <v>91.397999999999996</v>
      </c>
      <c r="E288" s="826">
        <v>748.05899999999997</v>
      </c>
      <c r="F288" s="826">
        <f t="shared" si="9"/>
        <v>748059000</v>
      </c>
      <c r="G288" s="826">
        <v>656.66099999999994</v>
      </c>
      <c r="H288" s="826">
        <v>454.33800000000002</v>
      </c>
      <c r="I288" s="826">
        <v>1708.9580000000001</v>
      </c>
      <c r="J288" s="826">
        <v>1254.6199999999999</v>
      </c>
      <c r="K288" s="826">
        <v>-362.94</v>
      </c>
      <c r="L288" s="826">
        <v>-960.899</v>
      </c>
      <c r="M288" s="826">
        <v>-597.95899999999995</v>
      </c>
      <c r="N288" s="826">
        <v>12.218020236399999</v>
      </c>
      <c r="O288" s="826">
        <v>100</v>
      </c>
      <c r="P288" s="826">
        <v>87.781979763600006</v>
      </c>
      <c r="Q288" s="826">
        <v>26.585673843399999</v>
      </c>
      <c r="R288" s="826">
        <v>100</v>
      </c>
      <c r="S288" s="826">
        <v>73.414326156599998</v>
      </c>
      <c r="T288" s="826" t="s">
        <v>3088</v>
      </c>
      <c r="U288" s="826" t="s">
        <v>3088</v>
      </c>
      <c r="V288" s="826" t="s">
        <v>3088</v>
      </c>
    </row>
    <row r="289" spans="1:22">
      <c r="A289" s="826" t="s">
        <v>3129</v>
      </c>
      <c r="B289" s="826" t="s">
        <v>3136</v>
      </c>
      <c r="C289" s="826" t="str">
        <f t="shared" si="8"/>
        <v>2007_ Cameroon</v>
      </c>
      <c r="D289" s="826">
        <v>1369.97</v>
      </c>
      <c r="E289" s="826">
        <v>6326.02</v>
      </c>
      <c r="F289" s="826">
        <f t="shared" si="9"/>
        <v>6326020000</v>
      </c>
      <c r="G289" s="826">
        <v>4956.05</v>
      </c>
      <c r="H289" s="826">
        <v>1764.3</v>
      </c>
      <c r="I289" s="826">
        <v>5985.58</v>
      </c>
      <c r="J289" s="826">
        <v>4221.28</v>
      </c>
      <c r="K289" s="826">
        <v>-394.33</v>
      </c>
      <c r="L289" s="826">
        <v>340.44</v>
      </c>
      <c r="M289" s="826">
        <v>734.77</v>
      </c>
      <c r="N289" s="826">
        <v>21.656112373999999</v>
      </c>
      <c r="O289" s="826">
        <v>100</v>
      </c>
      <c r="P289" s="826">
        <v>78.343887625999997</v>
      </c>
      <c r="Q289" s="826">
        <v>29.475840269399999</v>
      </c>
      <c r="R289" s="826">
        <v>100</v>
      </c>
      <c r="S289" s="826">
        <v>70.524159730600005</v>
      </c>
      <c r="T289" s="826" t="s">
        <v>3088</v>
      </c>
      <c r="U289" s="826" t="s">
        <v>3088</v>
      </c>
      <c r="V289" s="826" t="s">
        <v>3088</v>
      </c>
    </row>
    <row r="290" spans="1:22">
      <c r="A290" s="826" t="s">
        <v>3129</v>
      </c>
      <c r="B290" s="826" t="s">
        <v>127</v>
      </c>
      <c r="C290" s="826" t="str">
        <f t="shared" si="8"/>
        <v>2007_Central African Republic</v>
      </c>
      <c r="D290" s="826">
        <v>61.343676899999998</v>
      </c>
      <c r="E290" s="826">
        <v>239.53245267</v>
      </c>
      <c r="F290" s="826">
        <f t="shared" si="9"/>
        <v>239532452.66999999</v>
      </c>
      <c r="G290" s="826">
        <v>178.18877577000001</v>
      </c>
      <c r="H290" s="826">
        <v>147.93424124000001</v>
      </c>
      <c r="I290" s="826">
        <v>396.85603221999997</v>
      </c>
      <c r="J290" s="826">
        <v>248.92179098</v>
      </c>
      <c r="K290" s="826">
        <v>-86.59056434</v>
      </c>
      <c r="L290" s="826">
        <v>-157.32357955000001</v>
      </c>
      <c r="M290" s="826">
        <v>-70.733015210000005</v>
      </c>
      <c r="N290" s="826">
        <v>25.609756096200002</v>
      </c>
      <c r="O290" s="826">
        <v>100</v>
      </c>
      <c r="P290" s="826">
        <v>74.390243903799998</v>
      </c>
      <c r="Q290" s="826">
        <v>37.276550998200001</v>
      </c>
      <c r="R290" s="826">
        <v>100</v>
      </c>
      <c r="S290" s="826">
        <v>62.723449001799999</v>
      </c>
      <c r="T290" s="826" t="s">
        <v>3088</v>
      </c>
      <c r="U290" s="826" t="s">
        <v>3088</v>
      </c>
      <c r="V290" s="826" t="s">
        <v>3088</v>
      </c>
    </row>
    <row r="291" spans="1:22">
      <c r="A291" s="826" t="s">
        <v>3129</v>
      </c>
      <c r="B291" s="826" t="s">
        <v>3137</v>
      </c>
      <c r="C291" s="826" t="str">
        <f t="shared" si="8"/>
        <v>2007_ Chad</v>
      </c>
      <c r="D291" s="826">
        <v>217.20669272000001</v>
      </c>
      <c r="E291" s="826">
        <v>3844.4124047700002</v>
      </c>
      <c r="F291" s="826">
        <f t="shared" si="9"/>
        <v>3844412404.77</v>
      </c>
      <c r="G291" s="826">
        <v>3627.2057120499999</v>
      </c>
      <c r="H291" s="826">
        <v>1729.51611523</v>
      </c>
      <c r="I291" s="826">
        <v>3475.09843155</v>
      </c>
      <c r="J291" s="826">
        <v>1745.58231632</v>
      </c>
      <c r="K291" s="826">
        <v>-1512.3094225100001</v>
      </c>
      <c r="L291" s="826">
        <v>369.31397321999998</v>
      </c>
      <c r="M291" s="826">
        <v>1881.6233957300001</v>
      </c>
      <c r="N291" s="826">
        <v>5.6499321574000003</v>
      </c>
      <c r="O291" s="826">
        <v>100</v>
      </c>
      <c r="P291" s="826">
        <v>94.350067842599998</v>
      </c>
      <c r="Q291" s="826">
        <v>49.768838186799996</v>
      </c>
      <c r="R291" s="826">
        <v>100</v>
      </c>
      <c r="S291" s="826">
        <v>50.231161813200004</v>
      </c>
      <c r="T291" s="826" t="s">
        <v>3088</v>
      </c>
      <c r="U291" s="826" t="s">
        <v>3088</v>
      </c>
      <c r="V291" s="826" t="s">
        <v>3088</v>
      </c>
    </row>
    <row r="292" spans="1:22">
      <c r="A292" s="826" t="s">
        <v>3129</v>
      </c>
      <c r="B292" s="826" t="s">
        <v>465</v>
      </c>
      <c r="C292" s="826" t="str">
        <f t="shared" si="8"/>
        <v>2007_Republic of the Congo</v>
      </c>
      <c r="D292" s="826">
        <v>319.44600000000003</v>
      </c>
      <c r="E292" s="826">
        <v>6127.4859999999999</v>
      </c>
      <c r="F292" s="826">
        <f t="shared" si="9"/>
        <v>6127486000</v>
      </c>
      <c r="G292" s="826">
        <v>5808.04</v>
      </c>
      <c r="H292" s="826">
        <v>3527.68</v>
      </c>
      <c r="I292" s="826">
        <v>6385.8</v>
      </c>
      <c r="J292" s="826">
        <v>2858.12</v>
      </c>
      <c r="K292" s="826">
        <v>-3208.2339999999999</v>
      </c>
      <c r="L292" s="826">
        <v>-258.31400000000002</v>
      </c>
      <c r="M292" s="826">
        <v>2949.92</v>
      </c>
      <c r="N292" s="826">
        <v>5.2133289247999999</v>
      </c>
      <c r="O292" s="826">
        <v>100</v>
      </c>
      <c r="P292" s="826">
        <v>94.786671075200005</v>
      </c>
      <c r="Q292" s="826">
        <v>55.242569451000001</v>
      </c>
      <c r="R292" s="826">
        <v>100</v>
      </c>
      <c r="S292" s="826">
        <v>44.757430548999999</v>
      </c>
      <c r="T292" s="826" t="s">
        <v>3088</v>
      </c>
      <c r="U292" s="826" t="s">
        <v>3088</v>
      </c>
      <c r="V292" s="826" t="s">
        <v>3088</v>
      </c>
    </row>
    <row r="293" spans="1:22">
      <c r="A293" s="826" t="s">
        <v>3129</v>
      </c>
      <c r="B293" s="826" t="s">
        <v>171</v>
      </c>
      <c r="C293" s="826" t="str">
        <f t="shared" si="8"/>
        <v>2007_Democratic Republic of Congo</v>
      </c>
      <c r="D293" s="826">
        <v>338.72037863999998</v>
      </c>
      <c r="E293" s="826">
        <v>6486.6221604299999</v>
      </c>
      <c r="F293" s="826">
        <f t="shared" si="9"/>
        <v>6486622160.4300003</v>
      </c>
      <c r="G293" s="826">
        <v>6147.9017817900003</v>
      </c>
      <c r="H293" s="826">
        <v>1615.7821678099999</v>
      </c>
      <c r="I293" s="826">
        <v>6872.9724158099998</v>
      </c>
      <c r="J293" s="826">
        <v>5257.1902479999999</v>
      </c>
      <c r="K293" s="826">
        <v>-1277.0617891700001</v>
      </c>
      <c r="L293" s="826">
        <v>-386.35025538000002</v>
      </c>
      <c r="M293" s="826">
        <v>890.71153378999998</v>
      </c>
      <c r="N293" s="826">
        <v>5.2218299488</v>
      </c>
      <c r="O293" s="826">
        <v>100</v>
      </c>
      <c r="P293" s="826">
        <v>94.778170051199993</v>
      </c>
      <c r="Q293" s="826">
        <v>23.509219447700001</v>
      </c>
      <c r="R293" s="826">
        <v>100</v>
      </c>
      <c r="S293" s="826">
        <v>76.490780552299995</v>
      </c>
      <c r="T293" s="826" t="s">
        <v>3088</v>
      </c>
      <c r="U293" s="826" t="s">
        <v>3088</v>
      </c>
      <c r="V293" s="826" t="s">
        <v>3088</v>
      </c>
    </row>
    <row r="294" spans="1:22">
      <c r="A294" s="826" t="s">
        <v>3129</v>
      </c>
      <c r="B294" s="826" t="s">
        <v>3138</v>
      </c>
      <c r="C294" s="826" t="str">
        <f t="shared" si="8"/>
        <v>2007_ Equatorial Guinea</v>
      </c>
      <c r="D294" s="826">
        <v>47.363995430000003</v>
      </c>
      <c r="E294" s="826">
        <v>10399.83975528</v>
      </c>
      <c r="F294" s="826">
        <f t="shared" si="9"/>
        <v>10399839755.280001</v>
      </c>
      <c r="G294" s="826">
        <v>10352.47575985</v>
      </c>
      <c r="H294" s="826">
        <v>1146.3338806899999</v>
      </c>
      <c r="I294" s="826">
        <v>3913.68485624</v>
      </c>
      <c r="J294" s="826">
        <v>2767.3509755499999</v>
      </c>
      <c r="K294" s="826">
        <v>-1098.96988526</v>
      </c>
      <c r="L294" s="826">
        <v>6486.1548990399997</v>
      </c>
      <c r="M294" s="826">
        <v>7585.1247843000001</v>
      </c>
      <c r="N294" s="826">
        <v>0.4554300503</v>
      </c>
      <c r="O294" s="826">
        <v>100</v>
      </c>
      <c r="P294" s="826">
        <v>99.544569949700005</v>
      </c>
      <c r="Q294" s="826">
        <v>29.290398251199999</v>
      </c>
      <c r="R294" s="826">
        <v>100</v>
      </c>
      <c r="S294" s="826">
        <v>70.709601748799997</v>
      </c>
      <c r="T294" s="826" t="s">
        <v>3088</v>
      </c>
      <c r="U294" s="826" t="s">
        <v>3088</v>
      </c>
      <c r="V294" s="826" t="s">
        <v>3088</v>
      </c>
    </row>
    <row r="295" spans="1:22">
      <c r="A295" s="826" t="s">
        <v>3129</v>
      </c>
      <c r="B295" s="826" t="s">
        <v>3139</v>
      </c>
      <c r="C295" s="826" t="str">
        <f t="shared" si="8"/>
        <v>2007_ Gabon</v>
      </c>
      <c r="D295" s="826" t="s">
        <v>603</v>
      </c>
      <c r="E295" s="826" t="s">
        <v>3088</v>
      </c>
      <c r="F295" s="826" t="str">
        <f t="shared" si="9"/>
        <v>..</v>
      </c>
      <c r="G295" s="826">
        <v>7079.5610797299996</v>
      </c>
      <c r="H295" s="826" t="s">
        <v>603</v>
      </c>
      <c r="I295" s="826" t="s">
        <v>603</v>
      </c>
      <c r="J295" s="826">
        <v>1704.2692277900001</v>
      </c>
      <c r="K295" s="826" t="s">
        <v>603</v>
      </c>
      <c r="L295" s="826" t="s">
        <v>603</v>
      </c>
      <c r="M295" s="826">
        <v>5375.29185194</v>
      </c>
      <c r="N295" s="826" t="s">
        <v>603</v>
      </c>
      <c r="O295" s="826" t="s">
        <v>603</v>
      </c>
      <c r="P295" s="826">
        <v>97.6880776207</v>
      </c>
      <c r="Q295" s="826" t="s">
        <v>603</v>
      </c>
      <c r="R295" s="826" t="s">
        <v>603</v>
      </c>
      <c r="S295" s="826">
        <v>53.939113781899998</v>
      </c>
      <c r="T295" s="826" t="s">
        <v>3088</v>
      </c>
      <c r="U295" s="826" t="s">
        <v>3088</v>
      </c>
      <c r="V295" s="826" t="s">
        <v>3088</v>
      </c>
    </row>
    <row r="296" spans="1:22">
      <c r="A296" s="826" t="s">
        <v>3129</v>
      </c>
      <c r="B296" s="826" t="s">
        <v>195</v>
      </c>
      <c r="C296" s="826" t="str">
        <f t="shared" si="8"/>
        <v>2007_Ghana</v>
      </c>
      <c r="D296" s="826">
        <v>1831.87</v>
      </c>
      <c r="E296" s="826">
        <v>6004.01</v>
      </c>
      <c r="F296" s="826">
        <f t="shared" si="9"/>
        <v>6004010000</v>
      </c>
      <c r="G296" s="826">
        <v>4172.1400000000003</v>
      </c>
      <c r="H296" s="826">
        <v>1998.59</v>
      </c>
      <c r="I296" s="826">
        <v>10064.700000000001</v>
      </c>
      <c r="J296" s="826">
        <v>8066.11</v>
      </c>
      <c r="K296" s="826">
        <v>-166.72</v>
      </c>
      <c r="L296" s="826">
        <v>-4060.69</v>
      </c>
      <c r="M296" s="826">
        <v>-3893.97</v>
      </c>
      <c r="N296" s="826">
        <v>30.5107752985</v>
      </c>
      <c r="O296" s="826">
        <v>100</v>
      </c>
      <c r="P296" s="826">
        <v>69.489224701500007</v>
      </c>
      <c r="Q296" s="826">
        <v>19.8574224766</v>
      </c>
      <c r="R296" s="826">
        <v>100</v>
      </c>
      <c r="S296" s="826">
        <v>80.142577523400007</v>
      </c>
      <c r="T296" s="826" t="s">
        <v>3088</v>
      </c>
      <c r="U296" s="826" t="s">
        <v>3088</v>
      </c>
      <c r="V296" s="826" t="s">
        <v>3088</v>
      </c>
    </row>
    <row r="297" spans="1:22">
      <c r="A297" s="826" t="s">
        <v>3129</v>
      </c>
      <c r="B297" s="826" t="s">
        <v>219</v>
      </c>
      <c r="C297" s="826" t="str">
        <f t="shared" si="8"/>
        <v>2007_Guatemala</v>
      </c>
      <c r="D297" s="826">
        <v>1731.2</v>
      </c>
      <c r="E297" s="826">
        <v>8714.4</v>
      </c>
      <c r="F297" s="826">
        <f t="shared" si="9"/>
        <v>8714400000</v>
      </c>
      <c r="G297" s="826">
        <v>6983.2</v>
      </c>
      <c r="H297" s="826">
        <v>2041.2</v>
      </c>
      <c r="I297" s="826">
        <v>14511.5</v>
      </c>
      <c r="J297" s="826">
        <v>12470.3</v>
      </c>
      <c r="K297" s="826">
        <v>-310</v>
      </c>
      <c r="L297" s="826">
        <v>-5797.1</v>
      </c>
      <c r="M297" s="826">
        <v>-5487.1</v>
      </c>
      <c r="N297" s="826">
        <v>19.865968970899999</v>
      </c>
      <c r="O297" s="826">
        <v>100</v>
      </c>
      <c r="P297" s="826">
        <v>80.134031029100001</v>
      </c>
      <c r="Q297" s="826">
        <v>14.0660855184</v>
      </c>
      <c r="R297" s="826">
        <v>100</v>
      </c>
      <c r="S297" s="826">
        <v>85.933914481599999</v>
      </c>
      <c r="T297" s="826" t="s">
        <v>3088</v>
      </c>
      <c r="U297" s="826" t="s">
        <v>3088</v>
      </c>
      <c r="V297" s="826" t="s">
        <v>3088</v>
      </c>
    </row>
    <row r="298" spans="1:22">
      <c r="A298" s="826" t="s">
        <v>3129</v>
      </c>
      <c r="B298" s="826" t="s">
        <v>3140</v>
      </c>
      <c r="C298" s="826" t="str">
        <f t="shared" si="8"/>
        <v>2007_ Guinea</v>
      </c>
      <c r="D298" s="826">
        <v>48.7</v>
      </c>
      <c r="E298" s="826">
        <v>1251.9000000000001</v>
      </c>
      <c r="F298" s="826">
        <f t="shared" si="9"/>
        <v>1251900000</v>
      </c>
      <c r="G298" s="826">
        <v>1203.2</v>
      </c>
      <c r="H298" s="826">
        <v>295.14</v>
      </c>
      <c r="I298" s="826">
        <v>1512.75</v>
      </c>
      <c r="J298" s="826">
        <v>1217.6099999999999</v>
      </c>
      <c r="K298" s="826">
        <v>-246.44</v>
      </c>
      <c r="L298" s="826">
        <v>-260.85000000000002</v>
      </c>
      <c r="M298" s="826">
        <v>-14.41</v>
      </c>
      <c r="N298" s="826">
        <v>3.8900870677000001</v>
      </c>
      <c r="O298" s="826">
        <v>100</v>
      </c>
      <c r="P298" s="826">
        <v>96.109912932300006</v>
      </c>
      <c r="Q298" s="826">
        <v>19.510163609300001</v>
      </c>
      <c r="R298" s="826">
        <v>100</v>
      </c>
      <c r="S298" s="826">
        <v>80.489836390700006</v>
      </c>
      <c r="T298" s="826" t="s">
        <v>3088</v>
      </c>
      <c r="U298" s="826" t="s">
        <v>3088</v>
      </c>
      <c r="V298" s="826" t="s">
        <v>3088</v>
      </c>
    </row>
    <row r="299" spans="1:22">
      <c r="A299" s="826" t="s">
        <v>3129</v>
      </c>
      <c r="B299" s="826" t="s">
        <v>243</v>
      </c>
      <c r="C299" s="826" t="str">
        <f t="shared" si="8"/>
        <v>2007_Indonesia</v>
      </c>
      <c r="D299" s="826">
        <v>12487.4</v>
      </c>
      <c r="E299" s="826">
        <v>130501.4</v>
      </c>
      <c r="F299" s="826">
        <f t="shared" si="9"/>
        <v>130501400000</v>
      </c>
      <c r="G299" s="826">
        <v>118014</v>
      </c>
      <c r="H299" s="826">
        <v>24328.400000000001</v>
      </c>
      <c r="I299" s="826">
        <v>109588.1</v>
      </c>
      <c r="J299" s="826">
        <v>85259.7</v>
      </c>
      <c r="K299" s="826">
        <v>-11841</v>
      </c>
      <c r="L299" s="826">
        <v>20913.3</v>
      </c>
      <c r="M299" s="826">
        <v>32754.3</v>
      </c>
      <c r="N299" s="826">
        <v>9.5687862351999993</v>
      </c>
      <c r="O299" s="826">
        <v>100</v>
      </c>
      <c r="P299" s="826">
        <v>90.431213764800006</v>
      </c>
      <c r="Q299" s="826">
        <v>22.199855641300001</v>
      </c>
      <c r="R299" s="826">
        <v>100</v>
      </c>
      <c r="S299" s="826">
        <v>77.800144358699995</v>
      </c>
      <c r="T299" s="826" t="s">
        <v>3088</v>
      </c>
      <c r="U299" s="826" t="s">
        <v>3088</v>
      </c>
      <c r="V299" s="826" t="s">
        <v>3088</v>
      </c>
    </row>
    <row r="300" spans="1:22">
      <c r="A300" s="826" t="s">
        <v>3129</v>
      </c>
      <c r="B300" s="826" t="s">
        <v>251</v>
      </c>
      <c r="C300" s="826" t="str">
        <f t="shared" si="8"/>
        <v>2007_Iraq</v>
      </c>
      <c r="D300" s="826">
        <v>867.9</v>
      </c>
      <c r="E300" s="826">
        <v>40454.9</v>
      </c>
      <c r="F300" s="826">
        <f t="shared" si="9"/>
        <v>40454900000</v>
      </c>
      <c r="G300" s="826">
        <v>39587</v>
      </c>
      <c r="H300" s="826">
        <v>4865.6000000000004</v>
      </c>
      <c r="I300" s="826">
        <v>21488.1</v>
      </c>
      <c r="J300" s="826">
        <v>16622.5</v>
      </c>
      <c r="K300" s="826">
        <v>-3997.7</v>
      </c>
      <c r="L300" s="826">
        <v>18966.8</v>
      </c>
      <c r="M300" s="826">
        <v>22964.5</v>
      </c>
      <c r="N300" s="826">
        <v>2.1453519846</v>
      </c>
      <c r="O300" s="826">
        <v>100</v>
      </c>
      <c r="P300" s="826">
        <v>97.854648015400002</v>
      </c>
      <c r="Q300" s="826">
        <v>22.6432304392</v>
      </c>
      <c r="R300" s="826">
        <v>100</v>
      </c>
      <c r="S300" s="826">
        <v>77.356769560800004</v>
      </c>
      <c r="T300" s="826" t="s">
        <v>3088</v>
      </c>
      <c r="U300" s="826" t="s">
        <v>3088</v>
      </c>
      <c r="V300" s="826" t="s">
        <v>3088</v>
      </c>
    </row>
    <row r="301" spans="1:22">
      <c r="A301" s="826" t="s">
        <v>3129</v>
      </c>
      <c r="B301" s="826" t="s">
        <v>280</v>
      </c>
      <c r="C301" s="826" t="str">
        <f t="shared" si="8"/>
        <v>2007_Kazakhstan</v>
      </c>
      <c r="D301" s="826">
        <v>3564.33</v>
      </c>
      <c r="E301" s="826">
        <v>51915.43</v>
      </c>
      <c r="F301" s="826">
        <f t="shared" si="9"/>
        <v>51915430000</v>
      </c>
      <c r="G301" s="826">
        <v>48351.1</v>
      </c>
      <c r="H301" s="826">
        <v>11729.8</v>
      </c>
      <c r="I301" s="826">
        <v>44990</v>
      </c>
      <c r="J301" s="826">
        <v>33260.199999999997</v>
      </c>
      <c r="K301" s="826">
        <v>-8165.47</v>
      </c>
      <c r="L301" s="826">
        <v>6925.43</v>
      </c>
      <c r="M301" s="826">
        <v>15090.9</v>
      </c>
      <c r="N301" s="826">
        <v>6.8656466872999999</v>
      </c>
      <c r="O301" s="826">
        <v>100</v>
      </c>
      <c r="P301" s="826">
        <v>93.1343533127</v>
      </c>
      <c r="Q301" s="826">
        <v>26.072016003600002</v>
      </c>
      <c r="R301" s="826">
        <v>100</v>
      </c>
      <c r="S301" s="826">
        <v>73.927983996400002</v>
      </c>
      <c r="T301" s="826" t="s">
        <v>3088</v>
      </c>
      <c r="U301" s="826" t="s">
        <v>3088</v>
      </c>
      <c r="V301" s="826" t="s">
        <v>3088</v>
      </c>
    </row>
    <row r="302" spans="1:22">
      <c r="A302" s="826" t="s">
        <v>3129</v>
      </c>
      <c r="B302" s="826" t="s">
        <v>3141</v>
      </c>
      <c r="C302" s="826" t="str">
        <f t="shared" si="8"/>
        <v>2007_Kyrgyzstan</v>
      </c>
      <c r="D302" s="826">
        <v>684.76700000000005</v>
      </c>
      <c r="E302" s="826">
        <v>2022.607</v>
      </c>
      <c r="F302" s="826">
        <f t="shared" si="9"/>
        <v>2022607000</v>
      </c>
      <c r="G302" s="826">
        <v>1337.84</v>
      </c>
      <c r="H302" s="826">
        <v>604.49199999999996</v>
      </c>
      <c r="I302" s="826">
        <v>3218.1120000000001</v>
      </c>
      <c r="J302" s="826">
        <v>2613.62</v>
      </c>
      <c r="K302" s="826">
        <v>80.275000000000006</v>
      </c>
      <c r="L302" s="826">
        <v>-1195.5050000000001</v>
      </c>
      <c r="M302" s="826">
        <v>-1275.78</v>
      </c>
      <c r="N302" s="826">
        <v>33.855662518700001</v>
      </c>
      <c r="O302" s="826">
        <v>100</v>
      </c>
      <c r="P302" s="826">
        <v>66.144337481299999</v>
      </c>
      <c r="Q302" s="826">
        <v>18.784057235999999</v>
      </c>
      <c r="R302" s="826">
        <v>100</v>
      </c>
      <c r="S302" s="826">
        <v>81.215942764000005</v>
      </c>
      <c r="T302" s="826" t="s">
        <v>3088</v>
      </c>
      <c r="U302" s="826" t="s">
        <v>3088</v>
      </c>
      <c r="V302" s="826" t="s">
        <v>3088</v>
      </c>
    </row>
    <row r="303" spans="1:22">
      <c r="A303" s="826" t="s">
        <v>3129</v>
      </c>
      <c r="B303" s="826" t="s">
        <v>301</v>
      </c>
      <c r="C303" s="826" t="str">
        <f t="shared" si="8"/>
        <v>2007_Liberia</v>
      </c>
      <c r="D303" s="826">
        <v>346.173</v>
      </c>
      <c r="E303" s="826">
        <v>542.37199999999996</v>
      </c>
      <c r="F303" s="826">
        <f t="shared" si="9"/>
        <v>542372000</v>
      </c>
      <c r="G303" s="826">
        <v>196.19900000000001</v>
      </c>
      <c r="H303" s="826">
        <v>1248.82</v>
      </c>
      <c r="I303" s="826">
        <v>1747.309</v>
      </c>
      <c r="J303" s="826">
        <v>498.48899999999998</v>
      </c>
      <c r="K303" s="826">
        <v>-902.64700000000005</v>
      </c>
      <c r="L303" s="826">
        <v>-1204.9369999999999</v>
      </c>
      <c r="M303" s="826">
        <v>-302.29000000000002</v>
      </c>
      <c r="N303" s="826">
        <v>63.825750591800002</v>
      </c>
      <c r="O303" s="826">
        <v>100</v>
      </c>
      <c r="P303" s="826">
        <v>36.174249408199998</v>
      </c>
      <c r="Q303" s="826">
        <v>71.471044903899994</v>
      </c>
      <c r="R303" s="826">
        <v>100</v>
      </c>
      <c r="S303" s="826">
        <v>28.528955096099999</v>
      </c>
      <c r="T303" s="826" t="s">
        <v>3088</v>
      </c>
      <c r="U303" s="826" t="s">
        <v>3088</v>
      </c>
      <c r="V303" s="826" t="s">
        <v>3088</v>
      </c>
    </row>
    <row r="304" spans="1:22">
      <c r="A304" s="826" t="s">
        <v>3129</v>
      </c>
      <c r="B304" s="826" t="s">
        <v>316</v>
      </c>
      <c r="C304" s="826" t="str">
        <f t="shared" si="8"/>
        <v>2007_Madagascar</v>
      </c>
      <c r="D304" s="826">
        <v>1031.92</v>
      </c>
      <c r="E304" s="826">
        <v>2269.60243102</v>
      </c>
      <c r="F304" s="826">
        <f t="shared" si="9"/>
        <v>2269602431.02</v>
      </c>
      <c r="G304" s="826">
        <v>1237.68243102</v>
      </c>
      <c r="H304" s="826">
        <v>1213.8800000000001</v>
      </c>
      <c r="I304" s="826">
        <v>3453.67804763</v>
      </c>
      <c r="J304" s="826">
        <v>2239.7980476299999</v>
      </c>
      <c r="K304" s="826">
        <v>-181.96</v>
      </c>
      <c r="L304" s="826">
        <v>-1184.07561661</v>
      </c>
      <c r="M304" s="826">
        <v>-1002.11561661</v>
      </c>
      <c r="N304" s="826">
        <v>45.466993950000003</v>
      </c>
      <c r="O304" s="826">
        <v>100</v>
      </c>
      <c r="P304" s="826">
        <v>54.533006049999997</v>
      </c>
      <c r="Q304" s="826">
        <v>35.147456805700003</v>
      </c>
      <c r="R304" s="826">
        <v>100</v>
      </c>
      <c r="S304" s="826">
        <v>64.852543194299997</v>
      </c>
      <c r="T304" s="826" t="s">
        <v>3088</v>
      </c>
      <c r="U304" s="826" t="s">
        <v>3088</v>
      </c>
      <c r="V304" s="826" t="s">
        <v>3088</v>
      </c>
    </row>
    <row r="305" spans="1:22">
      <c r="A305" s="826" t="s">
        <v>3129</v>
      </c>
      <c r="B305" s="826" t="s">
        <v>329</v>
      </c>
      <c r="C305" s="826" t="str">
        <f t="shared" si="8"/>
        <v>2007_Mali</v>
      </c>
      <c r="D305" s="826">
        <v>376.673</v>
      </c>
      <c r="E305" s="826">
        <v>1932.923</v>
      </c>
      <c r="F305" s="826">
        <f t="shared" si="9"/>
        <v>1932923000</v>
      </c>
      <c r="G305" s="826">
        <v>1556.25</v>
      </c>
      <c r="H305" s="826">
        <v>776.56299999999999</v>
      </c>
      <c r="I305" s="826">
        <v>2622.5529999999999</v>
      </c>
      <c r="J305" s="826">
        <v>1845.99</v>
      </c>
      <c r="K305" s="826">
        <v>-399.89</v>
      </c>
      <c r="L305" s="826">
        <v>-689.63</v>
      </c>
      <c r="M305" s="826">
        <v>-289.74</v>
      </c>
      <c r="N305" s="826">
        <v>19.487222201800002</v>
      </c>
      <c r="O305" s="826">
        <v>100</v>
      </c>
      <c r="P305" s="826">
        <v>80.512777798200005</v>
      </c>
      <c r="Q305" s="826">
        <v>29.610955431600001</v>
      </c>
      <c r="R305" s="826">
        <v>100</v>
      </c>
      <c r="S305" s="826">
        <v>70.389044568399996</v>
      </c>
      <c r="T305" s="826" t="s">
        <v>3088</v>
      </c>
      <c r="U305" s="826" t="s">
        <v>3088</v>
      </c>
      <c r="V305" s="826" t="s">
        <v>3088</v>
      </c>
    </row>
    <row r="306" spans="1:22">
      <c r="A306" s="826" t="s">
        <v>3129</v>
      </c>
      <c r="B306" s="826" t="s">
        <v>345</v>
      </c>
      <c r="C306" s="826" t="str">
        <f t="shared" si="8"/>
        <v>2007_Mauritania</v>
      </c>
      <c r="D306" s="826">
        <v>84.2</v>
      </c>
      <c r="E306" s="826">
        <v>1486</v>
      </c>
      <c r="F306" s="826">
        <f t="shared" si="9"/>
        <v>1486000000</v>
      </c>
      <c r="G306" s="826">
        <v>1401.8</v>
      </c>
      <c r="H306" s="826">
        <v>511.8</v>
      </c>
      <c r="I306" s="826">
        <v>2107.3000000000002</v>
      </c>
      <c r="J306" s="826">
        <v>1595.5</v>
      </c>
      <c r="K306" s="826">
        <v>-427.6</v>
      </c>
      <c r="L306" s="826">
        <v>-621.29999999999995</v>
      </c>
      <c r="M306" s="826">
        <v>-193.7</v>
      </c>
      <c r="N306" s="826">
        <v>5.666218035</v>
      </c>
      <c r="O306" s="826">
        <v>100</v>
      </c>
      <c r="P306" s="826">
        <v>94.333781965</v>
      </c>
      <c r="Q306" s="826">
        <v>24.287002325300001</v>
      </c>
      <c r="R306" s="826">
        <v>100</v>
      </c>
      <c r="S306" s="826">
        <v>75.712997674700006</v>
      </c>
      <c r="T306" s="826" t="s">
        <v>3088</v>
      </c>
      <c r="U306" s="826" t="s">
        <v>3088</v>
      </c>
      <c r="V306" s="826" t="s">
        <v>3088</v>
      </c>
    </row>
    <row r="307" spans="1:22">
      <c r="A307" s="826" t="s">
        <v>3129</v>
      </c>
      <c r="B307" s="826" t="s">
        <v>364</v>
      </c>
      <c r="C307" s="826" t="str">
        <f t="shared" si="8"/>
        <v>2007_Mongolia</v>
      </c>
      <c r="D307" s="826">
        <v>581.83699999999999</v>
      </c>
      <c r="E307" s="826">
        <v>2532.547</v>
      </c>
      <c r="F307" s="826">
        <f t="shared" si="9"/>
        <v>2532547000</v>
      </c>
      <c r="G307" s="826">
        <v>1950.71</v>
      </c>
      <c r="H307" s="826">
        <v>472.41399999999999</v>
      </c>
      <c r="I307" s="826">
        <v>2475.5140000000001</v>
      </c>
      <c r="J307" s="826">
        <v>2003.1</v>
      </c>
      <c r="K307" s="826">
        <v>109.423</v>
      </c>
      <c r="L307" s="826">
        <v>57.033000000000001</v>
      </c>
      <c r="M307" s="826">
        <v>-52.39</v>
      </c>
      <c r="N307" s="826">
        <v>22.974381127000001</v>
      </c>
      <c r="O307" s="826">
        <v>100</v>
      </c>
      <c r="P307" s="826">
        <v>77.025618872999999</v>
      </c>
      <c r="Q307" s="826">
        <v>19.083471149800001</v>
      </c>
      <c r="R307" s="826">
        <v>100</v>
      </c>
      <c r="S307" s="826">
        <v>80.916528850199995</v>
      </c>
      <c r="T307" s="826" t="s">
        <v>3088</v>
      </c>
      <c r="U307" s="826" t="s">
        <v>3088</v>
      </c>
      <c r="V307" s="826" t="s">
        <v>3088</v>
      </c>
    </row>
    <row r="308" spans="1:22">
      <c r="A308" s="826" t="s">
        <v>3129</v>
      </c>
      <c r="B308" s="826" t="s">
        <v>385</v>
      </c>
      <c r="C308" s="826" t="str">
        <f t="shared" si="8"/>
        <v>2007_Mozambique</v>
      </c>
      <c r="D308" s="826">
        <v>458.72899999999998</v>
      </c>
      <c r="E308" s="826">
        <v>2870.8490000000002</v>
      </c>
      <c r="F308" s="826">
        <f t="shared" si="9"/>
        <v>2870849000</v>
      </c>
      <c r="G308" s="826">
        <v>2412.12</v>
      </c>
      <c r="H308" s="826">
        <v>855.55600000000004</v>
      </c>
      <c r="I308" s="826">
        <v>3666.6860000000001</v>
      </c>
      <c r="J308" s="826">
        <v>2811.13</v>
      </c>
      <c r="K308" s="826">
        <v>-396.827</v>
      </c>
      <c r="L308" s="826">
        <v>-795.83699999999999</v>
      </c>
      <c r="M308" s="826">
        <v>-399.01</v>
      </c>
      <c r="N308" s="826">
        <v>15.9788620021</v>
      </c>
      <c r="O308" s="826">
        <v>100</v>
      </c>
      <c r="P308" s="826">
        <v>84.021137997899999</v>
      </c>
      <c r="Q308" s="826">
        <v>23.333222424799999</v>
      </c>
      <c r="R308" s="826">
        <v>100</v>
      </c>
      <c r="S308" s="826">
        <v>76.666777575200001</v>
      </c>
      <c r="T308" s="826" t="s">
        <v>3088</v>
      </c>
      <c r="U308" s="826" t="s">
        <v>3088</v>
      </c>
      <c r="V308" s="826" t="s">
        <v>3088</v>
      </c>
    </row>
    <row r="309" spans="1:22">
      <c r="A309" s="826" t="s">
        <v>3129</v>
      </c>
      <c r="B309" s="826" t="s">
        <v>394</v>
      </c>
      <c r="C309" s="826" t="str">
        <f t="shared" si="8"/>
        <v>2007_Niger</v>
      </c>
      <c r="D309" s="826">
        <v>84.632999999999996</v>
      </c>
      <c r="E309" s="826">
        <v>747.91899999999998</v>
      </c>
      <c r="F309" s="826">
        <f t="shared" si="9"/>
        <v>747919000</v>
      </c>
      <c r="G309" s="826">
        <v>663.28599999999994</v>
      </c>
      <c r="H309" s="826">
        <v>369.375</v>
      </c>
      <c r="I309" s="826">
        <v>1284.01</v>
      </c>
      <c r="J309" s="826">
        <v>914.63499999999999</v>
      </c>
      <c r="K309" s="826">
        <v>-284.74200000000002</v>
      </c>
      <c r="L309" s="826">
        <v>-536.09100000000001</v>
      </c>
      <c r="M309" s="826">
        <v>-251.34899999999999</v>
      </c>
      <c r="N309" s="826">
        <v>11.315797566300001</v>
      </c>
      <c r="O309" s="826">
        <v>100</v>
      </c>
      <c r="P309" s="826">
        <v>88.684202433699994</v>
      </c>
      <c r="Q309" s="826">
        <v>28.767299320100001</v>
      </c>
      <c r="R309" s="826">
        <v>100</v>
      </c>
      <c r="S309" s="826">
        <v>71.232700679900006</v>
      </c>
      <c r="T309" s="826" t="s">
        <v>3088</v>
      </c>
      <c r="U309" s="826" t="s">
        <v>3088</v>
      </c>
      <c r="V309" s="826" t="s">
        <v>3088</v>
      </c>
    </row>
    <row r="310" spans="1:22">
      <c r="A310" s="826" t="s">
        <v>3129</v>
      </c>
      <c r="B310" s="826" t="s">
        <v>413</v>
      </c>
      <c r="C310" s="826" t="str">
        <f t="shared" si="8"/>
        <v>2007_Nigeria</v>
      </c>
      <c r="D310" s="826">
        <v>1442.89</v>
      </c>
      <c r="E310" s="826">
        <v>67482.490000000005</v>
      </c>
      <c r="F310" s="826">
        <f t="shared" si="9"/>
        <v>67482490000.000008</v>
      </c>
      <c r="G310" s="826">
        <v>66039.600000000006</v>
      </c>
      <c r="H310" s="826">
        <v>18345.2</v>
      </c>
      <c r="I310" s="826">
        <v>46636.4</v>
      </c>
      <c r="J310" s="826">
        <v>28291.200000000001</v>
      </c>
      <c r="K310" s="826">
        <v>-16902.310000000001</v>
      </c>
      <c r="L310" s="826">
        <v>20846.09</v>
      </c>
      <c r="M310" s="826">
        <v>37748.400000000001</v>
      </c>
      <c r="N310" s="826">
        <v>2.1381694717999999</v>
      </c>
      <c r="O310" s="826">
        <v>100</v>
      </c>
      <c r="P310" s="826">
        <v>97.861830528200002</v>
      </c>
      <c r="Q310" s="826">
        <v>39.336655487999998</v>
      </c>
      <c r="R310" s="826">
        <v>100</v>
      </c>
      <c r="S310" s="826">
        <v>60.663344512000002</v>
      </c>
      <c r="T310" s="826" t="s">
        <v>3088</v>
      </c>
      <c r="U310" s="826" t="s">
        <v>3088</v>
      </c>
      <c r="V310" s="826" t="s">
        <v>3088</v>
      </c>
    </row>
    <row r="311" spans="1:22">
      <c r="A311" s="826" t="s">
        <v>3129</v>
      </c>
      <c r="B311" s="826" t="s">
        <v>436</v>
      </c>
      <c r="C311" s="826" t="str">
        <f t="shared" si="8"/>
        <v>2007_Norway</v>
      </c>
      <c r="D311" s="826">
        <v>40398.896053999997</v>
      </c>
      <c r="E311" s="826">
        <v>176760.919505</v>
      </c>
      <c r="F311" s="826">
        <f t="shared" si="9"/>
        <v>176760919505</v>
      </c>
      <c r="G311" s="826">
        <v>136362.02345099999</v>
      </c>
      <c r="H311" s="826">
        <v>39537.879311999997</v>
      </c>
      <c r="I311" s="826">
        <v>117866.58444200001</v>
      </c>
      <c r="J311" s="826">
        <v>78328.705130000002</v>
      </c>
      <c r="K311" s="826">
        <v>861.01674200000002</v>
      </c>
      <c r="L311" s="826">
        <v>58894.335062999999</v>
      </c>
      <c r="M311" s="826">
        <v>58033.318320999999</v>
      </c>
      <c r="N311" s="826">
        <v>22.855106302399999</v>
      </c>
      <c r="O311" s="826">
        <v>100</v>
      </c>
      <c r="P311" s="826">
        <v>77.144893697599997</v>
      </c>
      <c r="Q311" s="826">
        <v>33.5446042652</v>
      </c>
      <c r="R311" s="826">
        <v>100</v>
      </c>
      <c r="S311" s="826">
        <v>66.455395734800007</v>
      </c>
      <c r="T311" s="826" t="s">
        <v>3088</v>
      </c>
      <c r="U311" s="826" t="s">
        <v>3088</v>
      </c>
      <c r="V311" s="826" t="s">
        <v>3088</v>
      </c>
    </row>
    <row r="312" spans="1:22">
      <c r="A312" s="826" t="s">
        <v>3129</v>
      </c>
      <c r="B312" s="826" t="s">
        <v>449</v>
      </c>
      <c r="C312" s="826" t="str">
        <f t="shared" si="8"/>
        <v>2007_Peru</v>
      </c>
      <c r="D312" s="826">
        <v>3152.09</v>
      </c>
      <c r="E312" s="826">
        <v>31246.09</v>
      </c>
      <c r="F312" s="826">
        <f t="shared" si="9"/>
        <v>31246090000</v>
      </c>
      <c r="G312" s="826">
        <v>28094</v>
      </c>
      <c r="H312" s="826">
        <v>4344.07</v>
      </c>
      <c r="I312" s="826">
        <v>23934.57</v>
      </c>
      <c r="J312" s="826">
        <v>19590.5</v>
      </c>
      <c r="K312" s="826">
        <v>-1191.98</v>
      </c>
      <c r="L312" s="826">
        <v>7311.52</v>
      </c>
      <c r="M312" s="826">
        <v>8503.5</v>
      </c>
      <c r="N312" s="826">
        <v>10.0879502043</v>
      </c>
      <c r="O312" s="826">
        <v>100</v>
      </c>
      <c r="P312" s="826">
        <v>89.9120497957</v>
      </c>
      <c r="Q312" s="826">
        <v>18.149772483900001</v>
      </c>
      <c r="R312" s="826">
        <v>100</v>
      </c>
      <c r="S312" s="826">
        <v>81.850227516100006</v>
      </c>
      <c r="T312" s="826" t="s">
        <v>3088</v>
      </c>
      <c r="U312" s="826" t="s">
        <v>3088</v>
      </c>
      <c r="V312" s="826" t="s">
        <v>3088</v>
      </c>
    </row>
    <row r="313" spans="1:22">
      <c r="A313" s="826" t="s">
        <v>3129</v>
      </c>
      <c r="B313" s="826" t="s">
        <v>488</v>
      </c>
      <c r="C313" s="826" t="str">
        <f t="shared" si="8"/>
        <v>2007_Sierra Leone</v>
      </c>
      <c r="D313" s="826">
        <v>45.314</v>
      </c>
      <c r="E313" s="826">
        <v>334.18900000000002</v>
      </c>
      <c r="F313" s="826">
        <f t="shared" si="9"/>
        <v>334189000</v>
      </c>
      <c r="G313" s="826">
        <v>288.875</v>
      </c>
      <c r="H313" s="826">
        <v>97.980999999999995</v>
      </c>
      <c r="I313" s="826">
        <v>493.42700000000002</v>
      </c>
      <c r="J313" s="826">
        <v>395.44600000000003</v>
      </c>
      <c r="K313" s="826">
        <v>-52.667000000000002</v>
      </c>
      <c r="L313" s="826">
        <v>-159.238</v>
      </c>
      <c r="M313" s="826">
        <v>-106.571</v>
      </c>
      <c r="N313" s="826">
        <v>13.5593930381</v>
      </c>
      <c r="O313" s="826">
        <v>100</v>
      </c>
      <c r="P313" s="826">
        <v>86.440606961900002</v>
      </c>
      <c r="Q313" s="826">
        <v>19.8572433207</v>
      </c>
      <c r="R313" s="826">
        <v>100</v>
      </c>
      <c r="S313" s="826">
        <v>80.142756679300007</v>
      </c>
      <c r="T313" s="826" t="s">
        <v>3088</v>
      </c>
      <c r="U313" s="826" t="s">
        <v>3088</v>
      </c>
      <c r="V313" s="826" t="s">
        <v>3088</v>
      </c>
    </row>
    <row r="314" spans="1:22">
      <c r="A314" s="826" t="s">
        <v>3129</v>
      </c>
      <c r="B314" s="826" t="s">
        <v>3090</v>
      </c>
      <c r="C314" s="826" t="str">
        <f t="shared" si="8"/>
        <v>2007_Timor-Leste</v>
      </c>
      <c r="D314" s="826">
        <v>62.511000000000003</v>
      </c>
      <c r="E314" s="826">
        <v>69.159000000000006</v>
      </c>
      <c r="F314" s="826">
        <f t="shared" si="9"/>
        <v>69159000</v>
      </c>
      <c r="G314" s="826">
        <v>6.6479999999999997</v>
      </c>
      <c r="H314" s="826">
        <v>325.25900000000001</v>
      </c>
      <c r="I314" s="826">
        <v>500.92399999999998</v>
      </c>
      <c r="J314" s="826">
        <v>175.66499999999999</v>
      </c>
      <c r="K314" s="826">
        <v>-262.74799999999999</v>
      </c>
      <c r="L314" s="826">
        <v>-431.76499999999999</v>
      </c>
      <c r="M314" s="826">
        <v>-169.017</v>
      </c>
      <c r="N314" s="826">
        <v>90.387368238400001</v>
      </c>
      <c r="O314" s="826">
        <v>100</v>
      </c>
      <c r="P314" s="826">
        <v>9.6126317615999994</v>
      </c>
      <c r="Q314" s="826">
        <v>64.931806022499998</v>
      </c>
      <c r="R314" s="826">
        <v>100</v>
      </c>
      <c r="S314" s="826">
        <v>35.068193977500002</v>
      </c>
      <c r="T314" s="826" t="s">
        <v>3088</v>
      </c>
      <c r="U314" s="826" t="s">
        <v>3088</v>
      </c>
      <c r="V314" s="826" t="s">
        <v>3088</v>
      </c>
    </row>
    <row r="315" spans="1:22">
      <c r="A315" s="826" t="s">
        <v>3129</v>
      </c>
      <c r="B315" s="826" t="s">
        <v>517</v>
      </c>
      <c r="C315" s="826" t="str">
        <f t="shared" si="8"/>
        <v>2007_Togo</v>
      </c>
      <c r="D315" s="826">
        <v>236.017</v>
      </c>
      <c r="E315" s="826">
        <v>912.91099999999994</v>
      </c>
      <c r="F315" s="826">
        <f t="shared" si="9"/>
        <v>912911000</v>
      </c>
      <c r="G315" s="826">
        <v>676.89400000000001</v>
      </c>
      <c r="H315" s="826">
        <v>305.45400000000001</v>
      </c>
      <c r="I315" s="826">
        <v>1377.434</v>
      </c>
      <c r="J315" s="826">
        <v>1071.98</v>
      </c>
      <c r="K315" s="826">
        <v>-69.436999999999998</v>
      </c>
      <c r="L315" s="826">
        <v>-464.52300000000002</v>
      </c>
      <c r="M315" s="826">
        <v>-395.08600000000001</v>
      </c>
      <c r="N315" s="826">
        <v>25.853232133300001</v>
      </c>
      <c r="O315" s="826">
        <v>100</v>
      </c>
      <c r="P315" s="826">
        <v>74.146767866700003</v>
      </c>
      <c r="Q315" s="826">
        <v>22.175581552400001</v>
      </c>
      <c r="R315" s="826">
        <v>100</v>
      </c>
      <c r="S315" s="826">
        <v>77.824418447599996</v>
      </c>
      <c r="T315" s="826" t="s">
        <v>3088</v>
      </c>
      <c r="U315" s="826" t="s">
        <v>3088</v>
      </c>
      <c r="V315" s="826" t="s">
        <v>3088</v>
      </c>
    </row>
    <row r="316" spans="1:22">
      <c r="A316" s="826" t="s">
        <v>3129</v>
      </c>
      <c r="B316" s="826" t="s">
        <v>3091</v>
      </c>
      <c r="C316" s="826" t="str">
        <f t="shared" si="8"/>
        <v>2007_Trinidad and Tobago</v>
      </c>
      <c r="D316" s="826">
        <v>923.8</v>
      </c>
      <c r="E316" s="826">
        <v>14139</v>
      </c>
      <c r="F316" s="826">
        <f t="shared" si="9"/>
        <v>14139000000</v>
      </c>
      <c r="G316" s="826">
        <v>13215.2</v>
      </c>
      <c r="H316" s="826">
        <v>377.4</v>
      </c>
      <c r="I316" s="826">
        <v>8063.9</v>
      </c>
      <c r="J316" s="826">
        <v>7686.5</v>
      </c>
      <c r="K316" s="826">
        <v>546.4</v>
      </c>
      <c r="L316" s="826">
        <v>6075.1</v>
      </c>
      <c r="M316" s="826">
        <v>5528.7</v>
      </c>
      <c r="N316" s="826">
        <v>6.5337011104</v>
      </c>
      <c r="O316" s="826">
        <v>100</v>
      </c>
      <c r="P316" s="826">
        <v>93.466298889599997</v>
      </c>
      <c r="Q316" s="826">
        <v>4.6801175610000003</v>
      </c>
      <c r="R316" s="826">
        <v>100</v>
      </c>
      <c r="S316" s="826">
        <v>95.319882438999997</v>
      </c>
      <c r="T316" s="826" t="s">
        <v>3088</v>
      </c>
      <c r="U316" s="826" t="s">
        <v>3088</v>
      </c>
      <c r="V316" s="826" t="s">
        <v>3088</v>
      </c>
    </row>
    <row r="317" spans="1:22">
      <c r="A317" s="826" t="s">
        <v>3129</v>
      </c>
      <c r="B317" s="826" t="s">
        <v>499</v>
      </c>
      <c r="C317" s="826" t="str">
        <f t="shared" si="8"/>
        <v>2007_Tanzania</v>
      </c>
      <c r="D317" s="826">
        <v>1875.74</v>
      </c>
      <c r="E317" s="826">
        <v>4102.3</v>
      </c>
      <c r="F317" s="826">
        <f t="shared" si="9"/>
        <v>4102300000</v>
      </c>
      <c r="G317" s="826">
        <v>2226.56</v>
      </c>
      <c r="H317" s="826">
        <v>1413.68</v>
      </c>
      <c r="I317" s="826">
        <v>6274.32</v>
      </c>
      <c r="J317" s="826">
        <v>4860.6400000000003</v>
      </c>
      <c r="K317" s="826">
        <v>462.06</v>
      </c>
      <c r="L317" s="826">
        <v>-2172.02</v>
      </c>
      <c r="M317" s="826">
        <v>-2634.08</v>
      </c>
      <c r="N317" s="826">
        <v>45.7241059893</v>
      </c>
      <c r="O317" s="826">
        <v>100</v>
      </c>
      <c r="P317" s="826">
        <v>54.2758940107</v>
      </c>
      <c r="Q317" s="826">
        <v>22.531206568999998</v>
      </c>
      <c r="R317" s="826">
        <v>100</v>
      </c>
      <c r="S317" s="826">
        <v>77.468793430999995</v>
      </c>
      <c r="T317" s="826" t="s">
        <v>3088</v>
      </c>
      <c r="U317" s="826" t="s">
        <v>3088</v>
      </c>
      <c r="V317" s="826" t="s">
        <v>3088</v>
      </c>
    </row>
    <row r="318" spans="1:22">
      <c r="A318" s="826" t="s">
        <v>3129</v>
      </c>
      <c r="B318" s="826" t="s">
        <v>529</v>
      </c>
      <c r="C318" s="826" t="str">
        <f t="shared" si="8"/>
        <v>2007_Yemen</v>
      </c>
      <c r="D318" s="826">
        <v>723.77200000000005</v>
      </c>
      <c r="E318" s="826">
        <v>7773.2820000000002</v>
      </c>
      <c r="F318" s="826">
        <f t="shared" si="9"/>
        <v>7773282000</v>
      </c>
      <c r="G318" s="826">
        <v>7049.51</v>
      </c>
      <c r="H318" s="826">
        <v>1867.06</v>
      </c>
      <c r="I318" s="826">
        <v>9357.34</v>
      </c>
      <c r="J318" s="826">
        <v>7490.28</v>
      </c>
      <c r="K318" s="826">
        <v>-1143.288</v>
      </c>
      <c r="L318" s="826">
        <v>-1584.058</v>
      </c>
      <c r="M318" s="826">
        <v>-440.77</v>
      </c>
      <c r="N318" s="826">
        <v>9.3110220368000007</v>
      </c>
      <c r="O318" s="826">
        <v>100</v>
      </c>
      <c r="P318" s="826">
        <v>90.688977963200003</v>
      </c>
      <c r="Q318" s="826">
        <v>19.9528925955</v>
      </c>
      <c r="R318" s="826">
        <v>100</v>
      </c>
      <c r="S318" s="826">
        <v>80.047107404499997</v>
      </c>
      <c r="T318" s="826" t="s">
        <v>3088</v>
      </c>
      <c r="U318" s="826" t="s">
        <v>3088</v>
      </c>
      <c r="V318" s="826" t="s">
        <v>3088</v>
      </c>
    </row>
    <row r="319" spans="1:22">
      <c r="A319" s="826" t="s">
        <v>3129</v>
      </c>
      <c r="B319" s="826" t="s">
        <v>541</v>
      </c>
      <c r="C319" s="826" t="str">
        <f t="shared" si="8"/>
        <v>2007_Zambia</v>
      </c>
      <c r="D319" s="826">
        <v>273.36</v>
      </c>
      <c r="E319" s="826">
        <v>4783.12</v>
      </c>
      <c r="F319" s="826">
        <f t="shared" si="9"/>
        <v>4783120000</v>
      </c>
      <c r="G319" s="826">
        <v>4509.76</v>
      </c>
      <c r="H319" s="826">
        <v>914.77</v>
      </c>
      <c r="I319" s="826">
        <v>4525.32</v>
      </c>
      <c r="J319" s="826">
        <v>3610.55</v>
      </c>
      <c r="K319" s="826">
        <v>-641.41</v>
      </c>
      <c r="L319" s="826">
        <v>257.8</v>
      </c>
      <c r="M319" s="826">
        <v>899.21</v>
      </c>
      <c r="N319" s="826">
        <v>5.7150980950000001</v>
      </c>
      <c r="O319" s="826">
        <v>100</v>
      </c>
      <c r="P319" s="826">
        <v>94.284901904999998</v>
      </c>
      <c r="Q319" s="826">
        <v>20.214482069799999</v>
      </c>
      <c r="R319" s="826">
        <v>100</v>
      </c>
      <c r="S319" s="826">
        <v>79.785517930200001</v>
      </c>
      <c r="T319" s="826" t="s">
        <v>3088</v>
      </c>
      <c r="U319" s="826" t="s">
        <v>3088</v>
      </c>
      <c r="V319" s="826" t="s">
        <v>3088</v>
      </c>
    </row>
    <row r="320" spans="1:22">
      <c r="A320" s="826" t="s">
        <v>3130</v>
      </c>
      <c r="B320" s="826" t="s">
        <v>21</v>
      </c>
      <c r="C320" s="826" t="str">
        <f t="shared" si="8"/>
        <v>2008_Afghanistan</v>
      </c>
      <c r="D320" s="826" t="s">
        <v>603</v>
      </c>
      <c r="E320" s="826" t="s">
        <v>3088</v>
      </c>
      <c r="F320" s="826" t="str">
        <f t="shared" si="9"/>
        <v>..</v>
      </c>
      <c r="G320" s="826">
        <v>2465</v>
      </c>
      <c r="H320" s="826" t="s">
        <v>603</v>
      </c>
      <c r="I320" s="826" t="s">
        <v>603</v>
      </c>
      <c r="J320" s="826">
        <v>8945</v>
      </c>
      <c r="K320" s="826" t="s">
        <v>603</v>
      </c>
      <c r="L320" s="826" t="s">
        <v>603</v>
      </c>
      <c r="M320" s="826">
        <v>-6480</v>
      </c>
      <c r="N320" s="826" t="s">
        <v>603</v>
      </c>
      <c r="O320" s="826" t="s">
        <v>603</v>
      </c>
      <c r="P320" s="826">
        <v>95.856211793599996</v>
      </c>
      <c r="Q320" s="826" t="s">
        <v>603</v>
      </c>
      <c r="R320" s="826" t="s">
        <v>603</v>
      </c>
      <c r="S320" s="826">
        <v>99.042460371900006</v>
      </c>
      <c r="T320" s="826" t="s">
        <v>3088</v>
      </c>
      <c r="U320" s="826" t="s">
        <v>3088</v>
      </c>
      <c r="V320" s="826" t="s">
        <v>3088</v>
      </c>
    </row>
    <row r="321" spans="1:22">
      <c r="A321" s="826" t="s">
        <v>3130</v>
      </c>
      <c r="B321" s="826" t="s">
        <v>38</v>
      </c>
      <c r="C321" s="826" t="str">
        <f t="shared" si="8"/>
        <v>2008_Albania</v>
      </c>
      <c r="D321" s="826">
        <v>2477.83</v>
      </c>
      <c r="E321" s="826">
        <v>3833.33</v>
      </c>
      <c r="F321" s="826">
        <f t="shared" si="9"/>
        <v>3833330000</v>
      </c>
      <c r="G321" s="826">
        <v>1355.5</v>
      </c>
      <c r="H321" s="826">
        <v>2379.09</v>
      </c>
      <c r="I321" s="826">
        <v>7285.94</v>
      </c>
      <c r="J321" s="826">
        <v>4906.8500000000004</v>
      </c>
      <c r="K321" s="826">
        <v>98.74</v>
      </c>
      <c r="L321" s="826">
        <v>-3452.61</v>
      </c>
      <c r="M321" s="826">
        <v>-3551.35</v>
      </c>
      <c r="N321" s="826">
        <v>64.639099686199998</v>
      </c>
      <c r="O321" s="826">
        <v>100</v>
      </c>
      <c r="P321" s="826">
        <v>35.360900313800002</v>
      </c>
      <c r="Q321" s="826">
        <v>32.653164862700002</v>
      </c>
      <c r="R321" s="826">
        <v>100</v>
      </c>
      <c r="S321" s="826">
        <v>67.346835137300005</v>
      </c>
      <c r="T321" s="826" t="s">
        <v>3088</v>
      </c>
      <c r="U321" s="826" t="s">
        <v>3088</v>
      </c>
      <c r="V321" s="826" t="s">
        <v>3088</v>
      </c>
    </row>
    <row r="322" spans="1:22">
      <c r="A322" s="826" t="s">
        <v>3130</v>
      </c>
      <c r="B322" s="826" t="s">
        <v>53</v>
      </c>
      <c r="C322" s="826" t="str">
        <f t="shared" si="8"/>
        <v>2008_Azerbaijan</v>
      </c>
      <c r="D322" s="826">
        <v>1547.9</v>
      </c>
      <c r="E322" s="826">
        <v>32134.2</v>
      </c>
      <c r="F322" s="826">
        <f t="shared" si="9"/>
        <v>32134200000</v>
      </c>
      <c r="G322" s="826">
        <v>30586.3</v>
      </c>
      <c r="H322" s="826">
        <v>3891.16</v>
      </c>
      <c r="I322" s="826">
        <v>11465.84</v>
      </c>
      <c r="J322" s="826">
        <v>7574.68</v>
      </c>
      <c r="K322" s="826">
        <v>-2343.2600000000002</v>
      </c>
      <c r="L322" s="826">
        <v>20668.36</v>
      </c>
      <c r="M322" s="826">
        <v>23011.62</v>
      </c>
      <c r="N322" s="826">
        <v>4.8169862638999996</v>
      </c>
      <c r="O322" s="826">
        <v>100</v>
      </c>
      <c r="P322" s="826">
        <v>95.183013736099994</v>
      </c>
      <c r="Q322" s="826">
        <v>33.936981503299997</v>
      </c>
      <c r="R322" s="826">
        <v>100</v>
      </c>
      <c r="S322" s="826">
        <v>66.063018496699996</v>
      </c>
      <c r="T322" s="826" t="s">
        <v>3088</v>
      </c>
      <c r="U322" s="826" t="s">
        <v>3088</v>
      </c>
      <c r="V322" s="826" t="s">
        <v>3088</v>
      </c>
    </row>
    <row r="323" spans="1:22">
      <c r="A323" s="826" t="s">
        <v>3130</v>
      </c>
      <c r="B323" s="826" t="s">
        <v>98</v>
      </c>
      <c r="C323" s="826" t="str">
        <f t="shared" si="8"/>
        <v>2008_Burkina Faso</v>
      </c>
      <c r="D323" s="826">
        <v>132.23400000000001</v>
      </c>
      <c r="E323" s="826">
        <v>983.93700000000001</v>
      </c>
      <c r="F323" s="826">
        <f t="shared" si="9"/>
        <v>983937000</v>
      </c>
      <c r="G323" s="826">
        <v>851.70299999999997</v>
      </c>
      <c r="H323" s="826">
        <v>604.69799999999998</v>
      </c>
      <c r="I323" s="826">
        <v>2352.6880000000001</v>
      </c>
      <c r="J323" s="826">
        <v>1747.99</v>
      </c>
      <c r="K323" s="826">
        <v>-472.464</v>
      </c>
      <c r="L323" s="826">
        <v>-1368.751</v>
      </c>
      <c r="M323" s="826">
        <v>-896.28700000000003</v>
      </c>
      <c r="N323" s="826">
        <v>13.439275075499999</v>
      </c>
      <c r="O323" s="826">
        <v>100</v>
      </c>
      <c r="P323" s="826">
        <v>86.560724924499993</v>
      </c>
      <c r="Q323" s="826">
        <v>25.7024305815</v>
      </c>
      <c r="R323" s="826">
        <v>100</v>
      </c>
      <c r="S323" s="826">
        <v>74.297569418500004</v>
      </c>
      <c r="T323" s="826" t="s">
        <v>3088</v>
      </c>
      <c r="U323" s="826" t="s">
        <v>3088</v>
      </c>
      <c r="V323" s="826" t="s">
        <v>3088</v>
      </c>
    </row>
    <row r="324" spans="1:22">
      <c r="A324" s="826" t="s">
        <v>3130</v>
      </c>
      <c r="B324" s="826" t="s">
        <v>3136</v>
      </c>
      <c r="C324" s="826" t="str">
        <f t="shared" si="8"/>
        <v>2008_ Cameroon</v>
      </c>
      <c r="D324" s="826">
        <v>1483.65</v>
      </c>
      <c r="E324" s="826">
        <v>7373.66</v>
      </c>
      <c r="F324" s="826">
        <f t="shared" si="9"/>
        <v>7373660000</v>
      </c>
      <c r="G324" s="826">
        <v>5890.01</v>
      </c>
      <c r="H324" s="826">
        <v>2668.3</v>
      </c>
      <c r="I324" s="826">
        <v>8092.29</v>
      </c>
      <c r="J324" s="826">
        <v>5423.99</v>
      </c>
      <c r="K324" s="826">
        <v>-1184.6500000000001</v>
      </c>
      <c r="L324" s="826">
        <v>-718.63</v>
      </c>
      <c r="M324" s="826">
        <v>466.02</v>
      </c>
      <c r="N324" s="826">
        <v>20.120944008799999</v>
      </c>
      <c r="O324" s="826">
        <v>100</v>
      </c>
      <c r="P324" s="826">
        <v>79.879055991200005</v>
      </c>
      <c r="Q324" s="826">
        <v>32.973361063399999</v>
      </c>
      <c r="R324" s="826">
        <v>100</v>
      </c>
      <c r="S324" s="826">
        <v>67.026638936599994</v>
      </c>
      <c r="T324" s="826" t="s">
        <v>3088</v>
      </c>
      <c r="U324" s="826" t="s">
        <v>3088</v>
      </c>
      <c r="V324" s="826" t="s">
        <v>3088</v>
      </c>
    </row>
    <row r="325" spans="1:22">
      <c r="A325" s="826" t="s">
        <v>3130</v>
      </c>
      <c r="B325" s="826" t="s">
        <v>127</v>
      </c>
      <c r="C325" s="826" t="str">
        <f t="shared" si="8"/>
        <v>2008_Central African Republic</v>
      </c>
      <c r="D325" s="826">
        <v>67.886691749999997</v>
      </c>
      <c r="E325" s="826">
        <v>218.17532184000001</v>
      </c>
      <c r="F325" s="826">
        <f t="shared" si="9"/>
        <v>218175321.84</v>
      </c>
      <c r="G325" s="826">
        <v>150.28863009</v>
      </c>
      <c r="H325" s="826">
        <v>164.80387668</v>
      </c>
      <c r="I325" s="826">
        <v>465.15782538000002</v>
      </c>
      <c r="J325" s="826">
        <v>300.35394869999999</v>
      </c>
      <c r="K325" s="826">
        <v>-96.917184930000005</v>
      </c>
      <c r="L325" s="826">
        <v>-246.98250354000001</v>
      </c>
      <c r="M325" s="826">
        <v>-150.06531860999999</v>
      </c>
      <c r="N325" s="826">
        <v>31.115660184399999</v>
      </c>
      <c r="O325" s="826">
        <v>100</v>
      </c>
      <c r="P325" s="826">
        <v>68.884339815600001</v>
      </c>
      <c r="Q325" s="826">
        <v>35.429668746399997</v>
      </c>
      <c r="R325" s="826">
        <v>100</v>
      </c>
      <c r="S325" s="826">
        <v>64.570331253600003</v>
      </c>
      <c r="T325" s="826" t="s">
        <v>3088</v>
      </c>
      <c r="U325" s="826" t="s">
        <v>3088</v>
      </c>
      <c r="V325" s="826" t="s">
        <v>3088</v>
      </c>
    </row>
    <row r="326" spans="1:22">
      <c r="A326" s="826" t="s">
        <v>3130</v>
      </c>
      <c r="B326" s="826" t="s">
        <v>3137</v>
      </c>
      <c r="C326" s="826" t="str">
        <f t="shared" ref="C326:C389" si="10">$A326&amp;"_"&amp;$B326</f>
        <v>2008_ Chad</v>
      </c>
      <c r="D326" s="826">
        <v>251.67204475</v>
      </c>
      <c r="E326" s="826">
        <v>4420.0042429100004</v>
      </c>
      <c r="F326" s="826">
        <f t="shared" ref="F326:F389" si="11">IFERROR($E326*1000000,"..")</f>
        <v>4420004242.9100008</v>
      </c>
      <c r="G326" s="826">
        <v>4168.3321981600002</v>
      </c>
      <c r="H326" s="826">
        <v>1867.55395763</v>
      </c>
      <c r="I326" s="826">
        <v>3891.202644</v>
      </c>
      <c r="J326" s="826">
        <v>2023.64868637</v>
      </c>
      <c r="K326" s="826">
        <v>-1615.8819128800001</v>
      </c>
      <c r="L326" s="826">
        <v>528.80159891000005</v>
      </c>
      <c r="M326" s="826">
        <v>2144.68351179</v>
      </c>
      <c r="N326" s="826">
        <v>5.6939321981999997</v>
      </c>
      <c r="O326" s="826">
        <v>100</v>
      </c>
      <c r="P326" s="826">
        <v>94.306067801799998</v>
      </c>
      <c r="Q326" s="826">
        <v>47.994261119000001</v>
      </c>
      <c r="R326" s="826">
        <v>100</v>
      </c>
      <c r="S326" s="826">
        <v>52.005738880999999</v>
      </c>
      <c r="T326" s="826" t="s">
        <v>3088</v>
      </c>
      <c r="U326" s="826" t="s">
        <v>3088</v>
      </c>
      <c r="V326" s="826" t="s">
        <v>3088</v>
      </c>
    </row>
    <row r="327" spans="1:22">
      <c r="A327" s="826" t="s">
        <v>3130</v>
      </c>
      <c r="B327" s="826" t="s">
        <v>465</v>
      </c>
      <c r="C327" s="826" t="str">
        <f t="shared" si="10"/>
        <v>2008_Republic of the Congo</v>
      </c>
      <c r="D327" s="826">
        <v>371.81362423000002</v>
      </c>
      <c r="E327" s="826">
        <v>8696.1958888299996</v>
      </c>
      <c r="F327" s="826">
        <f t="shared" si="11"/>
        <v>8696195888.8299999</v>
      </c>
      <c r="G327" s="826">
        <v>8324.3822646000008</v>
      </c>
      <c r="H327" s="826">
        <v>3570.52735007</v>
      </c>
      <c r="I327" s="826">
        <v>6623.4186755299997</v>
      </c>
      <c r="J327" s="826">
        <v>3052.8913254600002</v>
      </c>
      <c r="K327" s="826">
        <v>-3198.7137258399998</v>
      </c>
      <c r="L327" s="826">
        <v>2072.7772132999999</v>
      </c>
      <c r="M327" s="826">
        <v>5271.4909391399997</v>
      </c>
      <c r="N327" s="826">
        <v>4.2755893378999996</v>
      </c>
      <c r="O327" s="826">
        <v>100</v>
      </c>
      <c r="P327" s="826">
        <v>95.724410662099999</v>
      </c>
      <c r="Q327" s="826">
        <v>53.907619689800001</v>
      </c>
      <c r="R327" s="826">
        <v>100</v>
      </c>
      <c r="S327" s="826">
        <v>46.092380310199999</v>
      </c>
      <c r="T327" s="826" t="s">
        <v>3088</v>
      </c>
      <c r="U327" s="826" t="s">
        <v>3088</v>
      </c>
      <c r="V327" s="826" t="s">
        <v>3088</v>
      </c>
    </row>
    <row r="328" spans="1:22">
      <c r="A328" s="826" t="s">
        <v>3130</v>
      </c>
      <c r="B328" s="826" t="s">
        <v>171</v>
      </c>
      <c r="C328" s="826" t="str">
        <f t="shared" si="10"/>
        <v>2008_Democratic Republic of Congo</v>
      </c>
      <c r="D328" s="826">
        <v>703.10832049999999</v>
      </c>
      <c r="E328" s="826">
        <v>7572.8895476400003</v>
      </c>
      <c r="F328" s="826">
        <f t="shared" si="11"/>
        <v>7572889547.6400003</v>
      </c>
      <c r="G328" s="826">
        <v>6869.7812271399998</v>
      </c>
      <c r="H328" s="826">
        <v>2097.0347673000001</v>
      </c>
      <c r="I328" s="826">
        <v>8822.8544609</v>
      </c>
      <c r="J328" s="826">
        <v>6725.8196936000004</v>
      </c>
      <c r="K328" s="826">
        <v>-1393.9264467999999</v>
      </c>
      <c r="L328" s="826">
        <v>-1249.96491326</v>
      </c>
      <c r="M328" s="826">
        <v>143.96153354</v>
      </c>
      <c r="N328" s="826">
        <v>9.2845447709000002</v>
      </c>
      <c r="O328" s="826">
        <v>100</v>
      </c>
      <c r="P328" s="826">
        <v>90.715455229100002</v>
      </c>
      <c r="Q328" s="826">
        <v>23.7682121653</v>
      </c>
      <c r="R328" s="826">
        <v>100</v>
      </c>
      <c r="S328" s="826">
        <v>76.2317878347</v>
      </c>
      <c r="T328" s="826" t="s">
        <v>3088</v>
      </c>
      <c r="U328" s="826" t="s">
        <v>3088</v>
      </c>
      <c r="V328" s="826" t="s">
        <v>3088</v>
      </c>
    </row>
    <row r="329" spans="1:22">
      <c r="A329" s="826" t="s">
        <v>3130</v>
      </c>
      <c r="B329" s="826" t="s">
        <v>3138</v>
      </c>
      <c r="C329" s="826" t="str">
        <f t="shared" si="10"/>
        <v>2008_ Equatorial Guinea</v>
      </c>
      <c r="D329" s="826">
        <v>57.614363390000001</v>
      </c>
      <c r="E329" s="826">
        <v>15748.372617540001</v>
      </c>
      <c r="F329" s="826">
        <f t="shared" si="11"/>
        <v>15748372617.540001</v>
      </c>
      <c r="G329" s="826">
        <v>15690.75825415</v>
      </c>
      <c r="H329" s="826">
        <v>1683.99191612</v>
      </c>
      <c r="I329" s="826">
        <v>5470.9080961500003</v>
      </c>
      <c r="J329" s="826">
        <v>3786.9161800299999</v>
      </c>
      <c r="K329" s="826">
        <v>-1626.3775527299999</v>
      </c>
      <c r="L329" s="826">
        <v>10277.46452139</v>
      </c>
      <c r="M329" s="826">
        <v>11903.842074120001</v>
      </c>
      <c r="N329" s="826">
        <v>0.36584328290000001</v>
      </c>
      <c r="O329" s="826">
        <v>100</v>
      </c>
      <c r="P329" s="826">
        <v>99.634156717099998</v>
      </c>
      <c r="Q329" s="826">
        <v>30.780848197899999</v>
      </c>
      <c r="R329" s="826">
        <v>100</v>
      </c>
      <c r="S329" s="826">
        <v>69.219151802100001</v>
      </c>
      <c r="T329" s="826" t="s">
        <v>3088</v>
      </c>
      <c r="U329" s="826" t="s">
        <v>3088</v>
      </c>
      <c r="V329" s="826" t="s">
        <v>3088</v>
      </c>
    </row>
    <row r="330" spans="1:22">
      <c r="A330" s="826" t="s">
        <v>3130</v>
      </c>
      <c r="B330" s="826" t="s">
        <v>3139</v>
      </c>
      <c r="C330" s="826" t="str">
        <f t="shared" si="10"/>
        <v>2008_ Gabon</v>
      </c>
      <c r="D330" s="826" t="s">
        <v>603</v>
      </c>
      <c r="E330" s="826" t="s">
        <v>3088</v>
      </c>
      <c r="F330" s="826" t="str">
        <f t="shared" si="11"/>
        <v>..</v>
      </c>
      <c r="G330" s="826">
        <v>9566.8873728500002</v>
      </c>
      <c r="H330" s="826" t="s">
        <v>603</v>
      </c>
      <c r="I330" s="826" t="s">
        <v>603</v>
      </c>
      <c r="J330" s="826">
        <v>2098.6813456700002</v>
      </c>
      <c r="K330" s="826" t="s">
        <v>603</v>
      </c>
      <c r="L330" s="826" t="s">
        <v>603</v>
      </c>
      <c r="M330" s="826">
        <v>7468.2060271800001</v>
      </c>
      <c r="N330" s="826" t="s">
        <v>603</v>
      </c>
      <c r="O330" s="826" t="s">
        <v>603</v>
      </c>
      <c r="P330" s="826">
        <v>98.005170086800007</v>
      </c>
      <c r="Q330" s="826" t="s">
        <v>603</v>
      </c>
      <c r="R330" s="826" t="s">
        <v>603</v>
      </c>
      <c r="S330" s="826">
        <v>56.255237639100002</v>
      </c>
      <c r="T330" s="826" t="s">
        <v>3088</v>
      </c>
      <c r="U330" s="826" t="s">
        <v>3088</v>
      </c>
      <c r="V330" s="826" t="s">
        <v>3088</v>
      </c>
    </row>
    <row r="331" spans="1:22">
      <c r="A331" s="826" t="s">
        <v>3130</v>
      </c>
      <c r="B331" s="826" t="s">
        <v>195</v>
      </c>
      <c r="C331" s="826" t="str">
        <f t="shared" si="10"/>
        <v>2008_Ghana</v>
      </c>
      <c r="D331" s="826">
        <v>1800.9</v>
      </c>
      <c r="E331" s="826">
        <v>7070.63</v>
      </c>
      <c r="F331" s="826">
        <f t="shared" si="11"/>
        <v>7070630000</v>
      </c>
      <c r="G331" s="826">
        <v>5269.73</v>
      </c>
      <c r="H331" s="826">
        <v>2298.06</v>
      </c>
      <c r="I331" s="826">
        <v>12566.56</v>
      </c>
      <c r="J331" s="826">
        <v>10268.5</v>
      </c>
      <c r="K331" s="826">
        <v>-497.16</v>
      </c>
      <c r="L331" s="826">
        <v>-5495.93</v>
      </c>
      <c r="M331" s="826">
        <v>-4998.7700000000004</v>
      </c>
      <c r="N331" s="826">
        <v>25.4701490532</v>
      </c>
      <c r="O331" s="826">
        <v>100</v>
      </c>
      <c r="P331" s="826">
        <v>74.529850946799996</v>
      </c>
      <c r="Q331" s="826">
        <v>18.2871048242</v>
      </c>
      <c r="R331" s="826">
        <v>100</v>
      </c>
      <c r="S331" s="826">
        <v>81.7128951758</v>
      </c>
      <c r="T331" s="826" t="s">
        <v>3088</v>
      </c>
      <c r="U331" s="826" t="s">
        <v>3088</v>
      </c>
      <c r="V331" s="826" t="s">
        <v>3088</v>
      </c>
    </row>
    <row r="332" spans="1:22">
      <c r="A332" s="826" t="s">
        <v>3130</v>
      </c>
      <c r="B332" s="826" t="s">
        <v>219</v>
      </c>
      <c r="C332" s="826" t="str">
        <f t="shared" si="10"/>
        <v>2008_Guatemala</v>
      </c>
      <c r="D332" s="826">
        <v>1872.9</v>
      </c>
      <c r="E332" s="826">
        <v>9719.2999999999993</v>
      </c>
      <c r="F332" s="826">
        <f t="shared" si="11"/>
        <v>9719300000</v>
      </c>
      <c r="G332" s="826">
        <v>7846.4</v>
      </c>
      <c r="H332" s="826">
        <v>2149</v>
      </c>
      <c r="I332" s="826">
        <v>15570.2</v>
      </c>
      <c r="J332" s="826">
        <v>13421.2</v>
      </c>
      <c r="K332" s="826">
        <v>-276.10000000000002</v>
      </c>
      <c r="L332" s="826">
        <v>-5850.9</v>
      </c>
      <c r="M332" s="826">
        <v>-5574.8</v>
      </c>
      <c r="N332" s="826">
        <v>19.269906269</v>
      </c>
      <c r="O332" s="826">
        <v>100</v>
      </c>
      <c r="P332" s="826">
        <v>80.730093730999997</v>
      </c>
      <c r="Q332" s="826">
        <v>13.8020063968</v>
      </c>
      <c r="R332" s="826">
        <v>100</v>
      </c>
      <c r="S332" s="826">
        <v>86.197993603200004</v>
      </c>
      <c r="T332" s="826" t="s">
        <v>3088</v>
      </c>
      <c r="U332" s="826" t="s">
        <v>3088</v>
      </c>
      <c r="V332" s="826" t="s">
        <v>3088</v>
      </c>
    </row>
    <row r="333" spans="1:22">
      <c r="A333" s="826" t="s">
        <v>3130</v>
      </c>
      <c r="B333" s="826" t="s">
        <v>3140</v>
      </c>
      <c r="C333" s="826" t="str">
        <f t="shared" si="10"/>
        <v>2008_ Guinea</v>
      </c>
      <c r="D333" s="826">
        <v>102.9</v>
      </c>
      <c r="E333" s="826">
        <v>1444.91</v>
      </c>
      <c r="F333" s="826">
        <f t="shared" si="11"/>
        <v>1444910000</v>
      </c>
      <c r="G333" s="826">
        <v>1342.01</v>
      </c>
      <c r="H333" s="826">
        <v>444.33</v>
      </c>
      <c r="I333" s="826">
        <v>1810.4</v>
      </c>
      <c r="J333" s="826">
        <v>1366.07</v>
      </c>
      <c r="K333" s="826">
        <v>-341.43</v>
      </c>
      <c r="L333" s="826">
        <v>-365.49</v>
      </c>
      <c r="M333" s="826">
        <v>-24.06</v>
      </c>
      <c r="N333" s="826">
        <v>7.1215508231999998</v>
      </c>
      <c r="O333" s="826">
        <v>100</v>
      </c>
      <c r="P333" s="826">
        <v>92.878449176800004</v>
      </c>
      <c r="Q333" s="826">
        <v>24.543194874099999</v>
      </c>
      <c r="R333" s="826">
        <v>100</v>
      </c>
      <c r="S333" s="826">
        <v>75.456805125900004</v>
      </c>
      <c r="T333" s="826" t="s">
        <v>3088</v>
      </c>
      <c r="U333" s="826" t="s">
        <v>3088</v>
      </c>
      <c r="V333" s="826" t="s">
        <v>3088</v>
      </c>
    </row>
    <row r="334" spans="1:22">
      <c r="A334" s="826" t="s">
        <v>3130</v>
      </c>
      <c r="B334" s="826" t="s">
        <v>243</v>
      </c>
      <c r="C334" s="826" t="str">
        <f t="shared" si="10"/>
        <v>2008_Indonesia</v>
      </c>
      <c r="D334" s="826">
        <v>15246.5</v>
      </c>
      <c r="E334" s="826">
        <v>154852.5</v>
      </c>
      <c r="F334" s="826">
        <f t="shared" si="11"/>
        <v>154852500000</v>
      </c>
      <c r="G334" s="826">
        <v>139606</v>
      </c>
      <c r="H334" s="826">
        <v>28245.1</v>
      </c>
      <c r="I334" s="826">
        <v>144935.1</v>
      </c>
      <c r="J334" s="826">
        <v>116690</v>
      </c>
      <c r="K334" s="826">
        <v>-12998.6</v>
      </c>
      <c r="L334" s="826">
        <v>9917.4</v>
      </c>
      <c r="M334" s="826">
        <v>22916</v>
      </c>
      <c r="N334" s="826">
        <v>9.8458210231999992</v>
      </c>
      <c r="O334" s="826">
        <v>100</v>
      </c>
      <c r="P334" s="826">
        <v>90.154178976799997</v>
      </c>
      <c r="Q334" s="826">
        <v>19.488101916000002</v>
      </c>
      <c r="R334" s="826">
        <v>100</v>
      </c>
      <c r="S334" s="826">
        <v>80.511898083999995</v>
      </c>
      <c r="T334" s="826" t="s">
        <v>3088</v>
      </c>
      <c r="U334" s="826" t="s">
        <v>3088</v>
      </c>
      <c r="V334" s="826" t="s">
        <v>3088</v>
      </c>
    </row>
    <row r="335" spans="1:22">
      <c r="A335" s="826" t="s">
        <v>3130</v>
      </c>
      <c r="B335" s="826" t="s">
        <v>251</v>
      </c>
      <c r="C335" s="826" t="str">
        <f t="shared" si="10"/>
        <v>2008_Iraq</v>
      </c>
      <c r="D335" s="826">
        <v>1496.4</v>
      </c>
      <c r="E335" s="826">
        <v>65222.400000000001</v>
      </c>
      <c r="F335" s="826">
        <f t="shared" si="11"/>
        <v>65222400000</v>
      </c>
      <c r="G335" s="826">
        <v>63726</v>
      </c>
      <c r="H335" s="826">
        <v>7572</v>
      </c>
      <c r="I335" s="826">
        <v>37333.4</v>
      </c>
      <c r="J335" s="826">
        <v>29761.4</v>
      </c>
      <c r="K335" s="826">
        <v>-6075.6</v>
      </c>
      <c r="L335" s="826">
        <v>27889</v>
      </c>
      <c r="M335" s="826">
        <v>33964.6</v>
      </c>
      <c r="N335" s="826">
        <v>2.2943037975</v>
      </c>
      <c r="O335" s="826">
        <v>100</v>
      </c>
      <c r="P335" s="826">
        <v>97.705696202499993</v>
      </c>
      <c r="Q335" s="826">
        <v>20.2821066391</v>
      </c>
      <c r="R335" s="826">
        <v>100</v>
      </c>
      <c r="S335" s="826">
        <v>79.717893360900007</v>
      </c>
      <c r="T335" s="826" t="s">
        <v>3088</v>
      </c>
      <c r="U335" s="826" t="s">
        <v>3088</v>
      </c>
      <c r="V335" s="826" t="s">
        <v>3088</v>
      </c>
    </row>
    <row r="336" spans="1:22">
      <c r="A336" s="826" t="s">
        <v>3130</v>
      </c>
      <c r="B336" s="826" t="s">
        <v>280</v>
      </c>
      <c r="C336" s="826" t="str">
        <f t="shared" si="10"/>
        <v>2008_Kazakhstan</v>
      </c>
      <c r="D336" s="826">
        <v>4425.59</v>
      </c>
      <c r="E336" s="826">
        <v>76396.39</v>
      </c>
      <c r="F336" s="826">
        <f t="shared" si="11"/>
        <v>76396390000</v>
      </c>
      <c r="G336" s="826">
        <v>71970.8</v>
      </c>
      <c r="H336" s="826">
        <v>11119.2</v>
      </c>
      <c r="I336" s="826">
        <v>49571.199999999997</v>
      </c>
      <c r="J336" s="826">
        <v>38452</v>
      </c>
      <c r="K336" s="826">
        <v>-6693.61</v>
      </c>
      <c r="L336" s="826">
        <v>26825.19</v>
      </c>
      <c r="M336" s="826">
        <v>33518.800000000003</v>
      </c>
      <c r="N336" s="826">
        <v>5.7929307915999999</v>
      </c>
      <c r="O336" s="826">
        <v>100</v>
      </c>
      <c r="P336" s="826">
        <v>94.2070692084</v>
      </c>
      <c r="Q336" s="826">
        <v>22.430766251400001</v>
      </c>
      <c r="R336" s="826">
        <v>100</v>
      </c>
      <c r="S336" s="826">
        <v>77.569233748599999</v>
      </c>
      <c r="T336" s="826" t="s">
        <v>3088</v>
      </c>
      <c r="U336" s="826" t="s">
        <v>3088</v>
      </c>
      <c r="V336" s="826" t="s">
        <v>3088</v>
      </c>
    </row>
    <row r="337" spans="1:22">
      <c r="A337" s="826" t="s">
        <v>3130</v>
      </c>
      <c r="B337" s="826" t="s">
        <v>3141</v>
      </c>
      <c r="C337" s="826" t="str">
        <f t="shared" si="10"/>
        <v>2008_Kyrgyzstan</v>
      </c>
      <c r="D337" s="826">
        <v>896.06899999999996</v>
      </c>
      <c r="E337" s="826">
        <v>2770.4389999999999</v>
      </c>
      <c r="F337" s="826">
        <f t="shared" si="11"/>
        <v>2770439000</v>
      </c>
      <c r="G337" s="826">
        <v>1874.37</v>
      </c>
      <c r="H337" s="826">
        <v>992.85299999999995</v>
      </c>
      <c r="I337" s="826">
        <v>4746.3829999999998</v>
      </c>
      <c r="J337" s="826">
        <v>3753.53</v>
      </c>
      <c r="K337" s="826">
        <v>-96.784000000000006</v>
      </c>
      <c r="L337" s="826">
        <v>-1975.944</v>
      </c>
      <c r="M337" s="826">
        <v>-1879.16</v>
      </c>
      <c r="N337" s="826">
        <v>32.343935383500003</v>
      </c>
      <c r="O337" s="826">
        <v>100</v>
      </c>
      <c r="P337" s="826">
        <v>67.656064616500004</v>
      </c>
      <c r="Q337" s="826">
        <v>20.9180970014</v>
      </c>
      <c r="R337" s="826">
        <v>100</v>
      </c>
      <c r="S337" s="826">
        <v>79.0819029986</v>
      </c>
      <c r="T337" s="826" t="s">
        <v>3088</v>
      </c>
      <c r="U337" s="826" t="s">
        <v>3088</v>
      </c>
      <c r="V337" s="826" t="s">
        <v>3088</v>
      </c>
    </row>
    <row r="338" spans="1:22">
      <c r="A338" s="826" t="s">
        <v>3130</v>
      </c>
      <c r="B338" s="826" t="s">
        <v>301</v>
      </c>
      <c r="C338" s="826" t="str">
        <f t="shared" si="10"/>
        <v>2008_Liberia</v>
      </c>
      <c r="D338" s="826">
        <v>509.60599999999999</v>
      </c>
      <c r="E338" s="826">
        <v>758.57</v>
      </c>
      <c r="F338" s="826">
        <f t="shared" si="11"/>
        <v>758570000</v>
      </c>
      <c r="G338" s="826">
        <v>248.964</v>
      </c>
      <c r="H338" s="826">
        <v>1411.14</v>
      </c>
      <c r="I338" s="826">
        <v>2139.9360000000001</v>
      </c>
      <c r="J338" s="826">
        <v>728.79600000000005</v>
      </c>
      <c r="K338" s="826">
        <v>-901.53399999999999</v>
      </c>
      <c r="L338" s="826">
        <v>-1381.366</v>
      </c>
      <c r="M338" s="826">
        <v>-479.83199999999999</v>
      </c>
      <c r="N338" s="826">
        <v>67.179825197400007</v>
      </c>
      <c r="O338" s="826">
        <v>100</v>
      </c>
      <c r="P338" s="826">
        <v>32.8201748026</v>
      </c>
      <c r="Q338" s="826">
        <v>65.943093625200007</v>
      </c>
      <c r="R338" s="826">
        <v>100</v>
      </c>
      <c r="S338" s="826">
        <v>34.0569063748</v>
      </c>
      <c r="T338" s="826" t="s">
        <v>3088</v>
      </c>
      <c r="U338" s="826" t="s">
        <v>3088</v>
      </c>
      <c r="V338" s="826" t="s">
        <v>3088</v>
      </c>
    </row>
    <row r="339" spans="1:22">
      <c r="A339" s="826" t="s">
        <v>3130</v>
      </c>
      <c r="B339" s="826" t="s">
        <v>316</v>
      </c>
      <c r="C339" s="826" t="str">
        <f t="shared" si="10"/>
        <v>2008_Madagascar</v>
      </c>
      <c r="D339" s="826">
        <v>1226.45</v>
      </c>
      <c r="E339" s="826">
        <v>2536.1969259500001</v>
      </c>
      <c r="F339" s="826">
        <f t="shared" si="11"/>
        <v>2536196925.9500003</v>
      </c>
      <c r="G339" s="826">
        <v>1309.7469259500001</v>
      </c>
      <c r="H339" s="826">
        <v>1493.34</v>
      </c>
      <c r="I339" s="826">
        <v>4706.9523754399997</v>
      </c>
      <c r="J339" s="826">
        <v>3213.6123754400001</v>
      </c>
      <c r="K339" s="826">
        <v>-266.89</v>
      </c>
      <c r="L339" s="826">
        <v>-2170.75544949</v>
      </c>
      <c r="M339" s="826">
        <v>-1903.8654494899999</v>
      </c>
      <c r="N339" s="826">
        <v>48.357837967999998</v>
      </c>
      <c r="O339" s="826">
        <v>100</v>
      </c>
      <c r="P339" s="826">
        <v>51.642162032000002</v>
      </c>
      <c r="Q339" s="826">
        <v>31.726261089699999</v>
      </c>
      <c r="R339" s="826">
        <v>100</v>
      </c>
      <c r="S339" s="826">
        <v>68.273738910299997</v>
      </c>
      <c r="T339" s="826" t="s">
        <v>3088</v>
      </c>
      <c r="U339" s="826" t="s">
        <v>3088</v>
      </c>
      <c r="V339" s="826" t="s">
        <v>3088</v>
      </c>
    </row>
    <row r="340" spans="1:22">
      <c r="A340" s="826" t="s">
        <v>3130</v>
      </c>
      <c r="B340" s="826" t="s">
        <v>329</v>
      </c>
      <c r="C340" s="826" t="str">
        <f t="shared" si="10"/>
        <v>2008_Mali</v>
      </c>
      <c r="D340" s="826">
        <v>454.3</v>
      </c>
      <c r="E340" s="826">
        <v>2551.48</v>
      </c>
      <c r="F340" s="826">
        <f t="shared" si="11"/>
        <v>2551480000</v>
      </c>
      <c r="G340" s="826">
        <v>2097.1799999999998</v>
      </c>
      <c r="H340" s="826">
        <v>1024.25</v>
      </c>
      <c r="I340" s="826">
        <v>3757.14</v>
      </c>
      <c r="J340" s="826">
        <v>2732.89</v>
      </c>
      <c r="K340" s="826">
        <v>-569.95000000000005</v>
      </c>
      <c r="L340" s="826">
        <v>-1205.6600000000001</v>
      </c>
      <c r="M340" s="826">
        <v>-635.71</v>
      </c>
      <c r="N340" s="826">
        <v>17.805352187699999</v>
      </c>
      <c r="O340" s="826">
        <v>100</v>
      </c>
      <c r="P340" s="826">
        <v>82.194647812300005</v>
      </c>
      <c r="Q340" s="826">
        <v>27.261427575199999</v>
      </c>
      <c r="R340" s="826">
        <v>100</v>
      </c>
      <c r="S340" s="826">
        <v>72.738572424799997</v>
      </c>
      <c r="T340" s="826" t="s">
        <v>3088</v>
      </c>
      <c r="U340" s="826" t="s">
        <v>3088</v>
      </c>
      <c r="V340" s="826" t="s">
        <v>3088</v>
      </c>
    </row>
    <row r="341" spans="1:22">
      <c r="A341" s="826" t="s">
        <v>3130</v>
      </c>
      <c r="B341" s="826" t="s">
        <v>345</v>
      </c>
      <c r="C341" s="826" t="str">
        <f t="shared" si="10"/>
        <v>2008_Mauritania</v>
      </c>
      <c r="D341" s="826">
        <v>138</v>
      </c>
      <c r="E341" s="826">
        <v>1925.6</v>
      </c>
      <c r="F341" s="826">
        <f t="shared" si="11"/>
        <v>1925600000</v>
      </c>
      <c r="G341" s="826">
        <v>1787.6</v>
      </c>
      <c r="H341" s="826">
        <v>768.9</v>
      </c>
      <c r="I341" s="826">
        <v>2710.1</v>
      </c>
      <c r="J341" s="826">
        <v>1941.2</v>
      </c>
      <c r="K341" s="826">
        <v>-630.9</v>
      </c>
      <c r="L341" s="826">
        <v>-784.5</v>
      </c>
      <c r="M341" s="826">
        <v>-153.6</v>
      </c>
      <c r="N341" s="826">
        <v>7.1665974241999999</v>
      </c>
      <c r="O341" s="826">
        <v>100</v>
      </c>
      <c r="P341" s="826">
        <v>92.833402575799994</v>
      </c>
      <c r="Q341" s="826">
        <v>28.371646802699999</v>
      </c>
      <c r="R341" s="826">
        <v>100</v>
      </c>
      <c r="S341" s="826">
        <v>71.628353197300001</v>
      </c>
      <c r="T341" s="826" t="s">
        <v>3088</v>
      </c>
      <c r="U341" s="826" t="s">
        <v>3088</v>
      </c>
      <c r="V341" s="826" t="s">
        <v>3088</v>
      </c>
    </row>
    <row r="342" spans="1:22">
      <c r="A342" s="826" t="s">
        <v>3130</v>
      </c>
      <c r="B342" s="826" t="s">
        <v>364</v>
      </c>
      <c r="C342" s="826" t="str">
        <f t="shared" si="10"/>
        <v>2008_Mongolia</v>
      </c>
      <c r="D342" s="826">
        <v>499.39699999999999</v>
      </c>
      <c r="E342" s="826">
        <v>3028.5169999999998</v>
      </c>
      <c r="F342" s="826">
        <f t="shared" si="11"/>
        <v>3028517000</v>
      </c>
      <c r="G342" s="826">
        <v>2529.12</v>
      </c>
      <c r="H342" s="826">
        <v>610.23099999999999</v>
      </c>
      <c r="I342" s="826">
        <v>3766.5709999999999</v>
      </c>
      <c r="J342" s="826">
        <v>3156.34</v>
      </c>
      <c r="K342" s="826">
        <v>-110.834</v>
      </c>
      <c r="L342" s="826">
        <v>-738.05399999999997</v>
      </c>
      <c r="M342" s="826">
        <v>-627.22</v>
      </c>
      <c r="N342" s="826">
        <v>16.489819935</v>
      </c>
      <c r="O342" s="826">
        <v>100</v>
      </c>
      <c r="P342" s="826">
        <v>83.510180065</v>
      </c>
      <c r="Q342" s="826">
        <v>16.201234491499999</v>
      </c>
      <c r="R342" s="826">
        <v>100</v>
      </c>
      <c r="S342" s="826">
        <v>83.798765508499997</v>
      </c>
      <c r="T342" s="826" t="s">
        <v>3088</v>
      </c>
      <c r="U342" s="826" t="s">
        <v>3088</v>
      </c>
      <c r="V342" s="826" t="s">
        <v>3088</v>
      </c>
    </row>
    <row r="343" spans="1:22">
      <c r="A343" s="826" t="s">
        <v>3130</v>
      </c>
      <c r="B343" s="826" t="s">
        <v>385</v>
      </c>
      <c r="C343" s="826" t="str">
        <f t="shared" si="10"/>
        <v>2008_Mozambique</v>
      </c>
      <c r="D343" s="826">
        <v>554.96500000000003</v>
      </c>
      <c r="E343" s="826">
        <v>3208.2249999999999</v>
      </c>
      <c r="F343" s="826">
        <f t="shared" si="11"/>
        <v>3208225000</v>
      </c>
      <c r="G343" s="826">
        <v>2653.26</v>
      </c>
      <c r="H343" s="826">
        <v>965.33199999999999</v>
      </c>
      <c r="I343" s="826">
        <v>4608.7520000000004</v>
      </c>
      <c r="J343" s="826">
        <v>3643.42</v>
      </c>
      <c r="K343" s="826">
        <v>-410.36700000000002</v>
      </c>
      <c r="L343" s="826">
        <v>-1400.527</v>
      </c>
      <c r="M343" s="826">
        <v>-990.16</v>
      </c>
      <c r="N343" s="826">
        <v>17.298194484500002</v>
      </c>
      <c r="O343" s="826">
        <v>100</v>
      </c>
      <c r="P343" s="826">
        <v>82.701805515499998</v>
      </c>
      <c r="Q343" s="826">
        <v>20.945626928900001</v>
      </c>
      <c r="R343" s="826">
        <v>100</v>
      </c>
      <c r="S343" s="826">
        <v>79.054373071100002</v>
      </c>
      <c r="T343" s="826" t="s">
        <v>3088</v>
      </c>
      <c r="U343" s="826" t="s">
        <v>3088</v>
      </c>
      <c r="V343" s="826" t="s">
        <v>3088</v>
      </c>
    </row>
    <row r="344" spans="1:22">
      <c r="A344" s="826" t="s">
        <v>3130</v>
      </c>
      <c r="B344" s="826" t="s">
        <v>394</v>
      </c>
      <c r="C344" s="826" t="str">
        <f t="shared" si="10"/>
        <v>2008_Niger</v>
      </c>
      <c r="D344" s="826">
        <v>130.83799999999999</v>
      </c>
      <c r="E344" s="826">
        <v>1043.1320000000001</v>
      </c>
      <c r="F344" s="826">
        <f t="shared" si="11"/>
        <v>1043132000.0000001</v>
      </c>
      <c r="G344" s="826">
        <v>912.29399999999998</v>
      </c>
      <c r="H344" s="826">
        <v>600.93499999999995</v>
      </c>
      <c r="I344" s="826">
        <v>1950.635</v>
      </c>
      <c r="J344" s="826">
        <v>1349.7</v>
      </c>
      <c r="K344" s="826">
        <v>-470.09699999999998</v>
      </c>
      <c r="L344" s="826">
        <v>-907.50300000000004</v>
      </c>
      <c r="M344" s="826">
        <v>-437.40600000000001</v>
      </c>
      <c r="N344" s="826">
        <v>12.5428037871</v>
      </c>
      <c r="O344" s="826">
        <v>100</v>
      </c>
      <c r="P344" s="826">
        <v>87.457196212900001</v>
      </c>
      <c r="Q344" s="826">
        <v>30.807147416100001</v>
      </c>
      <c r="R344" s="826">
        <v>100</v>
      </c>
      <c r="S344" s="826">
        <v>69.192852583900006</v>
      </c>
      <c r="T344" s="826" t="s">
        <v>3088</v>
      </c>
      <c r="U344" s="826" t="s">
        <v>3088</v>
      </c>
      <c r="V344" s="826" t="s">
        <v>3088</v>
      </c>
    </row>
    <row r="345" spans="1:22">
      <c r="A345" s="826" t="s">
        <v>3130</v>
      </c>
      <c r="B345" s="826" t="s">
        <v>413</v>
      </c>
      <c r="C345" s="826" t="str">
        <f t="shared" si="10"/>
        <v>2008_Nigeria</v>
      </c>
      <c r="D345" s="826">
        <v>2263.75</v>
      </c>
      <c r="E345" s="826">
        <v>87993.05</v>
      </c>
      <c r="F345" s="826">
        <f t="shared" si="11"/>
        <v>87993050000</v>
      </c>
      <c r="G345" s="826">
        <v>85729.3</v>
      </c>
      <c r="H345" s="826">
        <v>24376.7</v>
      </c>
      <c r="I345" s="826">
        <v>64220.800000000003</v>
      </c>
      <c r="J345" s="826">
        <v>39844.1</v>
      </c>
      <c r="K345" s="826">
        <v>-22112.95</v>
      </c>
      <c r="L345" s="826">
        <v>23772.25</v>
      </c>
      <c r="M345" s="826">
        <v>45885.2</v>
      </c>
      <c r="N345" s="826">
        <v>2.5726463624</v>
      </c>
      <c r="O345" s="826">
        <v>100</v>
      </c>
      <c r="P345" s="826">
        <v>97.427353637600007</v>
      </c>
      <c r="Q345" s="826">
        <v>37.957639892400003</v>
      </c>
      <c r="R345" s="826">
        <v>100</v>
      </c>
      <c r="S345" s="826">
        <v>62.042360107599997</v>
      </c>
      <c r="T345" s="826" t="s">
        <v>3088</v>
      </c>
      <c r="U345" s="826" t="s">
        <v>3088</v>
      </c>
      <c r="V345" s="826" t="s">
        <v>3088</v>
      </c>
    </row>
    <row r="346" spans="1:22">
      <c r="A346" s="826" t="s">
        <v>3130</v>
      </c>
      <c r="B346" s="826" t="s">
        <v>436</v>
      </c>
      <c r="C346" s="826" t="str">
        <f t="shared" si="10"/>
        <v>2008_Norway</v>
      </c>
      <c r="D346" s="826">
        <v>44847.872129000003</v>
      </c>
      <c r="E346" s="826">
        <v>216594.88907899999</v>
      </c>
      <c r="F346" s="826">
        <f t="shared" si="11"/>
        <v>216594889079</v>
      </c>
      <c r="G346" s="826">
        <v>171747.01694999999</v>
      </c>
      <c r="H346" s="826">
        <v>44569.858576999999</v>
      </c>
      <c r="I346" s="826">
        <v>130939.122017</v>
      </c>
      <c r="J346" s="826">
        <v>86369.263439999995</v>
      </c>
      <c r="K346" s="826">
        <v>278.013552</v>
      </c>
      <c r="L346" s="826">
        <v>85655.767061999999</v>
      </c>
      <c r="M346" s="826">
        <v>85377.753509999995</v>
      </c>
      <c r="N346" s="826">
        <v>20.705877373100002</v>
      </c>
      <c r="O346" s="826">
        <v>100</v>
      </c>
      <c r="P346" s="826">
        <v>79.294122626900005</v>
      </c>
      <c r="Q346" s="826">
        <v>34.038611142699999</v>
      </c>
      <c r="R346" s="826">
        <v>100</v>
      </c>
      <c r="S346" s="826">
        <v>65.961388857299994</v>
      </c>
      <c r="T346" s="826" t="s">
        <v>3088</v>
      </c>
      <c r="U346" s="826" t="s">
        <v>3088</v>
      </c>
      <c r="V346" s="826" t="s">
        <v>3088</v>
      </c>
    </row>
    <row r="347" spans="1:22">
      <c r="A347" s="826" t="s">
        <v>3130</v>
      </c>
      <c r="B347" s="826" t="s">
        <v>449</v>
      </c>
      <c r="C347" s="826" t="str">
        <f t="shared" si="10"/>
        <v>2008_Peru</v>
      </c>
      <c r="D347" s="826">
        <v>3648.79</v>
      </c>
      <c r="E347" s="826">
        <v>34667.29</v>
      </c>
      <c r="F347" s="826">
        <f t="shared" si="11"/>
        <v>34667290000</v>
      </c>
      <c r="G347" s="826">
        <v>31018.5</v>
      </c>
      <c r="H347" s="826">
        <v>5704.4</v>
      </c>
      <c r="I347" s="826">
        <v>34153.599999999999</v>
      </c>
      <c r="J347" s="826">
        <v>28449.200000000001</v>
      </c>
      <c r="K347" s="826">
        <v>-2055.61</v>
      </c>
      <c r="L347" s="826">
        <v>513.69000000000005</v>
      </c>
      <c r="M347" s="826">
        <v>2569.3000000000002</v>
      </c>
      <c r="N347" s="826">
        <v>10.525166518600001</v>
      </c>
      <c r="O347" s="826">
        <v>100</v>
      </c>
      <c r="P347" s="826">
        <v>89.474833481399997</v>
      </c>
      <c r="Q347" s="826">
        <v>16.702192448200002</v>
      </c>
      <c r="R347" s="826">
        <v>100</v>
      </c>
      <c r="S347" s="826">
        <v>83.297807551800005</v>
      </c>
      <c r="T347" s="826" t="s">
        <v>3088</v>
      </c>
      <c r="U347" s="826" t="s">
        <v>3088</v>
      </c>
      <c r="V347" s="826" t="s">
        <v>3088</v>
      </c>
    </row>
    <row r="348" spans="1:22">
      <c r="A348" s="826" t="s">
        <v>3130</v>
      </c>
      <c r="B348" s="826" t="s">
        <v>488</v>
      </c>
      <c r="C348" s="826" t="str">
        <f t="shared" si="10"/>
        <v>2008_Sierra Leone</v>
      </c>
      <c r="D348" s="826">
        <v>61.401000000000003</v>
      </c>
      <c r="E348" s="826">
        <v>334.93099999999998</v>
      </c>
      <c r="F348" s="826">
        <f t="shared" si="11"/>
        <v>334931000</v>
      </c>
      <c r="G348" s="826">
        <v>273.52999999999997</v>
      </c>
      <c r="H348" s="826">
        <v>125.42700000000001</v>
      </c>
      <c r="I348" s="826">
        <v>596.63900000000001</v>
      </c>
      <c r="J348" s="826">
        <v>471.21199999999999</v>
      </c>
      <c r="K348" s="826">
        <v>-64.025999999999996</v>
      </c>
      <c r="L348" s="826">
        <v>-261.70800000000003</v>
      </c>
      <c r="M348" s="826">
        <v>-197.68199999999999</v>
      </c>
      <c r="N348" s="826">
        <v>18.332432650299999</v>
      </c>
      <c r="O348" s="826">
        <v>100</v>
      </c>
      <c r="P348" s="826">
        <v>81.667567349699993</v>
      </c>
      <c r="Q348" s="826">
        <v>21.022259691399999</v>
      </c>
      <c r="R348" s="826">
        <v>100</v>
      </c>
      <c r="S348" s="826">
        <v>78.977740308600005</v>
      </c>
      <c r="T348" s="826" t="s">
        <v>3088</v>
      </c>
      <c r="U348" s="826" t="s">
        <v>3088</v>
      </c>
      <c r="V348" s="826" t="s">
        <v>3088</v>
      </c>
    </row>
    <row r="349" spans="1:22">
      <c r="A349" s="826" t="s">
        <v>3130</v>
      </c>
      <c r="B349" s="826" t="s">
        <v>3090</v>
      </c>
      <c r="C349" s="826" t="str">
        <f t="shared" si="10"/>
        <v>2008_Timor-Leste</v>
      </c>
      <c r="D349" s="826">
        <v>44.082999999999998</v>
      </c>
      <c r="E349" s="826">
        <v>58.143999999999998</v>
      </c>
      <c r="F349" s="826">
        <f t="shared" si="11"/>
        <v>58144000</v>
      </c>
      <c r="G349" s="826">
        <v>14.061</v>
      </c>
      <c r="H349" s="826">
        <v>489.92200000000003</v>
      </c>
      <c r="I349" s="826">
        <v>800.86</v>
      </c>
      <c r="J349" s="826">
        <v>310.93799999999999</v>
      </c>
      <c r="K349" s="826">
        <v>-445.839</v>
      </c>
      <c r="L349" s="826">
        <v>-742.71600000000001</v>
      </c>
      <c r="M349" s="826">
        <v>-296.87700000000001</v>
      </c>
      <c r="N349" s="826">
        <v>75.816937259200003</v>
      </c>
      <c r="O349" s="826">
        <v>100</v>
      </c>
      <c r="P349" s="826">
        <v>24.183062740800001</v>
      </c>
      <c r="Q349" s="826">
        <v>61.174487425999999</v>
      </c>
      <c r="R349" s="826">
        <v>100</v>
      </c>
      <c r="S349" s="826">
        <v>38.825512574000001</v>
      </c>
      <c r="T349" s="826" t="s">
        <v>3088</v>
      </c>
      <c r="U349" s="826" t="s">
        <v>3088</v>
      </c>
      <c r="V349" s="826" t="s">
        <v>3088</v>
      </c>
    </row>
    <row r="350" spans="1:22">
      <c r="A350" s="826" t="s">
        <v>3130</v>
      </c>
      <c r="B350" s="826" t="s">
        <v>517</v>
      </c>
      <c r="C350" s="826" t="str">
        <f t="shared" si="10"/>
        <v>2008_Togo</v>
      </c>
      <c r="D350" s="826">
        <v>283.08300000000003</v>
      </c>
      <c r="E350" s="826">
        <v>1135.691</v>
      </c>
      <c r="F350" s="826">
        <f t="shared" si="11"/>
        <v>1135691000</v>
      </c>
      <c r="G350" s="826">
        <v>852.60799999999995</v>
      </c>
      <c r="H350" s="826">
        <v>359.17399999999998</v>
      </c>
      <c r="I350" s="826">
        <v>1666.424</v>
      </c>
      <c r="J350" s="826">
        <v>1307.25</v>
      </c>
      <c r="K350" s="826">
        <v>-76.090999999999994</v>
      </c>
      <c r="L350" s="826">
        <v>-530.73299999999995</v>
      </c>
      <c r="M350" s="826">
        <v>-454.642</v>
      </c>
      <c r="N350" s="826">
        <v>24.926058232399999</v>
      </c>
      <c r="O350" s="826">
        <v>100</v>
      </c>
      <c r="P350" s="826">
        <v>75.073941767600004</v>
      </c>
      <c r="Q350" s="826">
        <v>21.553578201000001</v>
      </c>
      <c r="R350" s="826">
        <v>100</v>
      </c>
      <c r="S350" s="826">
        <v>78.446421799000007</v>
      </c>
      <c r="T350" s="826" t="s">
        <v>3088</v>
      </c>
      <c r="U350" s="826" t="s">
        <v>3088</v>
      </c>
      <c r="V350" s="826" t="s">
        <v>3088</v>
      </c>
    </row>
    <row r="351" spans="1:22">
      <c r="A351" s="826" t="s">
        <v>3130</v>
      </c>
      <c r="B351" s="826" t="s">
        <v>3091</v>
      </c>
      <c r="C351" s="826" t="str">
        <f t="shared" si="10"/>
        <v>2008_Trinidad and Tobago</v>
      </c>
      <c r="D351" s="826">
        <v>935.7</v>
      </c>
      <c r="E351" s="826">
        <v>19582.8</v>
      </c>
      <c r="F351" s="826">
        <f t="shared" si="11"/>
        <v>19582800000</v>
      </c>
      <c r="G351" s="826">
        <v>18647.099999999999</v>
      </c>
      <c r="H351" s="826">
        <v>326</v>
      </c>
      <c r="I351" s="826">
        <v>9902.7000000000007</v>
      </c>
      <c r="J351" s="826">
        <v>9576.7000000000007</v>
      </c>
      <c r="K351" s="826">
        <v>609.70000000000005</v>
      </c>
      <c r="L351" s="826">
        <v>9680.1</v>
      </c>
      <c r="M351" s="826">
        <v>9070.4</v>
      </c>
      <c r="N351" s="826">
        <v>4.7781726821000001</v>
      </c>
      <c r="O351" s="826">
        <v>100</v>
      </c>
      <c r="P351" s="826">
        <v>95.221827317899994</v>
      </c>
      <c r="Q351" s="826">
        <v>3.2920314662000001</v>
      </c>
      <c r="R351" s="826">
        <v>100</v>
      </c>
      <c r="S351" s="826">
        <v>96.707968533799999</v>
      </c>
      <c r="T351" s="826" t="s">
        <v>3088</v>
      </c>
      <c r="U351" s="826" t="s">
        <v>3088</v>
      </c>
      <c r="V351" s="826" t="s">
        <v>3088</v>
      </c>
    </row>
    <row r="352" spans="1:22">
      <c r="A352" s="826" t="s">
        <v>3130</v>
      </c>
      <c r="B352" s="826" t="s">
        <v>499</v>
      </c>
      <c r="C352" s="826" t="str">
        <f t="shared" si="10"/>
        <v>2008_Tanzania</v>
      </c>
      <c r="D352" s="826">
        <v>1998.76</v>
      </c>
      <c r="E352" s="826">
        <v>5577.56</v>
      </c>
      <c r="F352" s="826">
        <f t="shared" si="11"/>
        <v>5577560000</v>
      </c>
      <c r="G352" s="826">
        <v>3578.8</v>
      </c>
      <c r="H352" s="826">
        <v>1648.88</v>
      </c>
      <c r="I352" s="826">
        <v>8661.19</v>
      </c>
      <c r="J352" s="826">
        <v>7012.31</v>
      </c>
      <c r="K352" s="826">
        <v>349.88</v>
      </c>
      <c r="L352" s="826">
        <v>-3083.63</v>
      </c>
      <c r="M352" s="826">
        <v>-3433.51</v>
      </c>
      <c r="N352" s="826">
        <v>35.835741793899999</v>
      </c>
      <c r="O352" s="826">
        <v>100</v>
      </c>
      <c r="P352" s="826">
        <v>64.164258206100001</v>
      </c>
      <c r="Q352" s="826">
        <v>19.037568740600001</v>
      </c>
      <c r="R352" s="826">
        <v>100</v>
      </c>
      <c r="S352" s="826">
        <v>80.962431259400006</v>
      </c>
      <c r="T352" s="826" t="s">
        <v>3088</v>
      </c>
      <c r="U352" s="826" t="s">
        <v>3088</v>
      </c>
      <c r="V352" s="826" t="s">
        <v>3088</v>
      </c>
    </row>
    <row r="353" spans="1:22">
      <c r="A353" s="826" t="s">
        <v>3130</v>
      </c>
      <c r="B353" s="826" t="s">
        <v>529</v>
      </c>
      <c r="C353" s="826" t="str">
        <f t="shared" si="10"/>
        <v>2008_Yemen</v>
      </c>
      <c r="D353" s="826">
        <v>1205.3900000000001</v>
      </c>
      <c r="E353" s="826">
        <v>10182.25</v>
      </c>
      <c r="F353" s="826">
        <f t="shared" si="11"/>
        <v>10182250000</v>
      </c>
      <c r="G353" s="826">
        <v>8976.86</v>
      </c>
      <c r="H353" s="826">
        <v>2347.6</v>
      </c>
      <c r="I353" s="826">
        <v>11681.36</v>
      </c>
      <c r="J353" s="826">
        <v>9333.76</v>
      </c>
      <c r="K353" s="826">
        <v>-1142.21</v>
      </c>
      <c r="L353" s="826">
        <v>-1499.11</v>
      </c>
      <c r="M353" s="826">
        <v>-356.9</v>
      </c>
      <c r="N353" s="826">
        <v>11.838149721300001</v>
      </c>
      <c r="O353" s="826">
        <v>100</v>
      </c>
      <c r="P353" s="826">
        <v>88.161850278700001</v>
      </c>
      <c r="Q353" s="826">
        <v>20.096975009800001</v>
      </c>
      <c r="R353" s="826">
        <v>100</v>
      </c>
      <c r="S353" s="826">
        <v>79.903024990199995</v>
      </c>
      <c r="T353" s="826" t="s">
        <v>3088</v>
      </c>
      <c r="U353" s="826" t="s">
        <v>3088</v>
      </c>
      <c r="V353" s="826" t="s">
        <v>3088</v>
      </c>
    </row>
    <row r="354" spans="1:22">
      <c r="A354" s="826" t="s">
        <v>3130</v>
      </c>
      <c r="B354" s="826" t="s">
        <v>541</v>
      </c>
      <c r="C354" s="826" t="str">
        <f t="shared" si="10"/>
        <v>2008_Zambia</v>
      </c>
      <c r="D354" s="826">
        <v>299.56</v>
      </c>
      <c r="E354" s="826">
        <v>5261.21</v>
      </c>
      <c r="F354" s="826">
        <f t="shared" si="11"/>
        <v>5261210000</v>
      </c>
      <c r="G354" s="826">
        <v>4961.6499999999996</v>
      </c>
      <c r="H354" s="826">
        <v>906.48</v>
      </c>
      <c r="I354" s="826">
        <v>5460.73</v>
      </c>
      <c r="J354" s="826">
        <v>4554.25</v>
      </c>
      <c r="K354" s="826">
        <v>-606.91999999999996</v>
      </c>
      <c r="L354" s="826">
        <v>-199.52</v>
      </c>
      <c r="M354" s="826">
        <v>407.4</v>
      </c>
      <c r="N354" s="826">
        <v>5.6937472559</v>
      </c>
      <c r="O354" s="826">
        <v>100</v>
      </c>
      <c r="P354" s="826">
        <v>94.306252744099993</v>
      </c>
      <c r="Q354" s="826">
        <v>16.599978391200001</v>
      </c>
      <c r="R354" s="826">
        <v>100</v>
      </c>
      <c r="S354" s="826">
        <v>83.400021608800003</v>
      </c>
      <c r="T354" s="826" t="s">
        <v>3088</v>
      </c>
      <c r="U354" s="826" t="s">
        <v>3088</v>
      </c>
      <c r="V354" s="826" t="s">
        <v>3088</v>
      </c>
    </row>
    <row r="355" spans="1:22">
      <c r="A355" s="826" t="s">
        <v>3131</v>
      </c>
      <c r="B355" s="826" t="s">
        <v>21</v>
      </c>
      <c r="C355" s="826" t="str">
        <f t="shared" si="10"/>
        <v>2009_Afghanistan</v>
      </c>
      <c r="D355" s="826">
        <v>1893.7739999999999</v>
      </c>
      <c r="E355" s="826">
        <v>4410.7740000000003</v>
      </c>
      <c r="F355" s="826">
        <f t="shared" si="11"/>
        <v>4410774000</v>
      </c>
      <c r="G355" s="826">
        <v>2517</v>
      </c>
      <c r="H355" s="826">
        <v>830.74900000000002</v>
      </c>
      <c r="I355" s="826">
        <v>9702.7489999999998</v>
      </c>
      <c r="J355" s="826">
        <v>8872</v>
      </c>
      <c r="K355" s="826">
        <v>1063.0250000000001</v>
      </c>
      <c r="L355" s="826">
        <v>-5291.9750000000004</v>
      </c>
      <c r="M355" s="826">
        <v>-6355</v>
      </c>
      <c r="N355" s="826">
        <v>42.9351855253</v>
      </c>
      <c r="O355" s="826">
        <v>100</v>
      </c>
      <c r="P355" s="826">
        <v>57.0648144747</v>
      </c>
      <c r="Q355" s="826">
        <v>8.5619961930000006</v>
      </c>
      <c r="R355" s="826">
        <v>100</v>
      </c>
      <c r="S355" s="826">
        <v>91.438003807000001</v>
      </c>
      <c r="T355" s="826" t="s">
        <v>3088</v>
      </c>
      <c r="U355" s="826" t="s">
        <v>3088</v>
      </c>
      <c r="V355" s="826" t="s">
        <v>3088</v>
      </c>
    </row>
    <row r="356" spans="1:22">
      <c r="A356" s="826" t="s">
        <v>3131</v>
      </c>
      <c r="B356" s="826" t="s">
        <v>38</v>
      </c>
      <c r="C356" s="826" t="str">
        <f t="shared" si="10"/>
        <v>2009_Albania</v>
      </c>
      <c r="D356" s="826">
        <v>2484.44</v>
      </c>
      <c r="E356" s="826">
        <v>3533.29</v>
      </c>
      <c r="F356" s="826">
        <f t="shared" si="11"/>
        <v>3533290000</v>
      </c>
      <c r="G356" s="826">
        <v>1048.8499999999999</v>
      </c>
      <c r="H356" s="826">
        <v>2232.85</v>
      </c>
      <c r="I356" s="826">
        <v>6500.18</v>
      </c>
      <c r="J356" s="826">
        <v>4267.33</v>
      </c>
      <c r="K356" s="826">
        <v>251.59</v>
      </c>
      <c r="L356" s="826">
        <v>-2966.89</v>
      </c>
      <c r="M356" s="826">
        <v>-3218.48</v>
      </c>
      <c r="N356" s="826">
        <v>70.315201978900006</v>
      </c>
      <c r="O356" s="826">
        <v>100</v>
      </c>
      <c r="P356" s="826">
        <v>29.684798021100001</v>
      </c>
      <c r="Q356" s="826">
        <v>34.350587214500003</v>
      </c>
      <c r="R356" s="826">
        <v>100</v>
      </c>
      <c r="S356" s="826">
        <v>65.649412785500004</v>
      </c>
      <c r="T356" s="826" t="s">
        <v>3088</v>
      </c>
      <c r="U356" s="826" t="s">
        <v>3088</v>
      </c>
      <c r="V356" s="826" t="s">
        <v>3088</v>
      </c>
    </row>
    <row r="357" spans="1:22">
      <c r="A357" s="826" t="s">
        <v>3131</v>
      </c>
      <c r="B357" s="826" t="s">
        <v>53</v>
      </c>
      <c r="C357" s="826" t="str">
        <f t="shared" si="10"/>
        <v>2009_Azerbaijan</v>
      </c>
      <c r="D357" s="826">
        <v>1778.856</v>
      </c>
      <c r="E357" s="826">
        <v>22875.714</v>
      </c>
      <c r="F357" s="826">
        <f t="shared" si="11"/>
        <v>22875714000</v>
      </c>
      <c r="G357" s="826">
        <v>21096.858</v>
      </c>
      <c r="H357" s="826">
        <v>3389.4540000000002</v>
      </c>
      <c r="I357" s="826">
        <v>9903.3340000000007</v>
      </c>
      <c r="J357" s="826">
        <v>6513.88</v>
      </c>
      <c r="K357" s="826">
        <v>-1610.598</v>
      </c>
      <c r="L357" s="826">
        <v>12972.38</v>
      </c>
      <c r="M357" s="826">
        <v>14582.977999999999</v>
      </c>
      <c r="N357" s="826">
        <v>7.7761769534000003</v>
      </c>
      <c r="O357" s="826">
        <v>100</v>
      </c>
      <c r="P357" s="826">
        <v>92.223823046600003</v>
      </c>
      <c r="Q357" s="826">
        <v>34.225383088199997</v>
      </c>
      <c r="R357" s="826">
        <v>100</v>
      </c>
      <c r="S357" s="826">
        <v>65.774616911799995</v>
      </c>
      <c r="T357" s="826" t="s">
        <v>3088</v>
      </c>
      <c r="U357" s="826" t="s">
        <v>3088</v>
      </c>
      <c r="V357" s="826" t="s">
        <v>3088</v>
      </c>
    </row>
    <row r="358" spans="1:22">
      <c r="A358" s="826" t="s">
        <v>3131</v>
      </c>
      <c r="B358" s="826" t="s">
        <v>98</v>
      </c>
      <c r="C358" s="826" t="str">
        <f t="shared" si="10"/>
        <v>2009_Burkina Faso</v>
      </c>
      <c r="D358" s="826">
        <v>152.58600000000001</v>
      </c>
      <c r="E358" s="826">
        <v>1053.019</v>
      </c>
      <c r="F358" s="826">
        <f t="shared" si="11"/>
        <v>1053019000</v>
      </c>
      <c r="G358" s="826">
        <v>900.43299999999999</v>
      </c>
      <c r="H358" s="826">
        <v>559.37</v>
      </c>
      <c r="I358" s="826">
        <v>1941.81</v>
      </c>
      <c r="J358" s="826">
        <v>1382.44</v>
      </c>
      <c r="K358" s="826">
        <v>-406.78399999999999</v>
      </c>
      <c r="L358" s="826">
        <v>-888.79100000000005</v>
      </c>
      <c r="M358" s="826">
        <v>-482.00700000000001</v>
      </c>
      <c r="N358" s="826">
        <v>14.490336831500001</v>
      </c>
      <c r="O358" s="826">
        <v>100</v>
      </c>
      <c r="P358" s="826">
        <v>85.509663168499998</v>
      </c>
      <c r="Q358" s="826">
        <v>28.806628866899999</v>
      </c>
      <c r="R358" s="826">
        <v>100</v>
      </c>
      <c r="S358" s="826">
        <v>71.193371133100001</v>
      </c>
      <c r="T358" s="826" t="s">
        <v>3088</v>
      </c>
      <c r="U358" s="826" t="s">
        <v>3088</v>
      </c>
      <c r="V358" s="826" t="s">
        <v>3088</v>
      </c>
    </row>
    <row r="359" spans="1:22">
      <c r="A359" s="826" t="s">
        <v>3131</v>
      </c>
      <c r="B359" s="826" t="s">
        <v>3136</v>
      </c>
      <c r="C359" s="826" t="str">
        <f t="shared" si="10"/>
        <v>2009_ Cameroon</v>
      </c>
      <c r="D359" s="826">
        <v>1248.9100000000001</v>
      </c>
      <c r="E359" s="826">
        <v>5418.78</v>
      </c>
      <c r="F359" s="826">
        <f t="shared" si="11"/>
        <v>5418780000</v>
      </c>
      <c r="G359" s="826">
        <v>4169.87</v>
      </c>
      <c r="H359" s="826">
        <v>1779.92</v>
      </c>
      <c r="I359" s="826">
        <v>6338.95</v>
      </c>
      <c r="J359" s="826">
        <v>4559.03</v>
      </c>
      <c r="K359" s="826">
        <v>-531.01</v>
      </c>
      <c r="L359" s="826">
        <v>-920.17</v>
      </c>
      <c r="M359" s="826">
        <v>-389.16</v>
      </c>
      <c r="N359" s="826">
        <v>23.0478078091</v>
      </c>
      <c r="O359" s="826">
        <v>100</v>
      </c>
      <c r="P359" s="826">
        <v>76.952192190900007</v>
      </c>
      <c r="Q359" s="826">
        <v>28.0790982734</v>
      </c>
      <c r="R359" s="826">
        <v>100</v>
      </c>
      <c r="S359" s="826">
        <v>71.920901726599993</v>
      </c>
      <c r="T359" s="826" t="s">
        <v>3088</v>
      </c>
      <c r="U359" s="826" t="s">
        <v>3088</v>
      </c>
      <c r="V359" s="826" t="s">
        <v>3088</v>
      </c>
    </row>
    <row r="360" spans="1:22">
      <c r="A360" s="826" t="s">
        <v>3131</v>
      </c>
      <c r="B360" s="826" t="s">
        <v>127</v>
      </c>
      <c r="C360" s="826" t="str">
        <f t="shared" si="10"/>
        <v>2009_Central African Republic</v>
      </c>
      <c r="D360" s="826">
        <v>64.804970920000002</v>
      </c>
      <c r="E360" s="826">
        <v>188.69682709</v>
      </c>
      <c r="F360" s="826">
        <f t="shared" si="11"/>
        <v>188696827.09</v>
      </c>
      <c r="G360" s="826">
        <v>123.89185617</v>
      </c>
      <c r="H360" s="826">
        <v>156.08256068</v>
      </c>
      <c r="I360" s="826">
        <v>426.95039665000002</v>
      </c>
      <c r="J360" s="826">
        <v>270.86783596999999</v>
      </c>
      <c r="K360" s="826">
        <v>-91.277589759999998</v>
      </c>
      <c r="L360" s="826">
        <v>-238.25356955999999</v>
      </c>
      <c r="M360" s="826">
        <v>-146.9759798</v>
      </c>
      <c r="N360" s="826">
        <v>34.3434343435</v>
      </c>
      <c r="O360" s="826">
        <v>100</v>
      </c>
      <c r="P360" s="826">
        <v>65.656565656500007</v>
      </c>
      <c r="Q360" s="826">
        <v>36.5575396825</v>
      </c>
      <c r="R360" s="826">
        <v>100</v>
      </c>
      <c r="S360" s="826">
        <v>63.4424603175</v>
      </c>
      <c r="T360" s="826" t="s">
        <v>3088</v>
      </c>
      <c r="U360" s="826" t="s">
        <v>3088</v>
      </c>
      <c r="V360" s="826" t="s">
        <v>3088</v>
      </c>
    </row>
    <row r="361" spans="1:22">
      <c r="A361" s="826" t="s">
        <v>3131</v>
      </c>
      <c r="B361" s="826" t="s">
        <v>3137</v>
      </c>
      <c r="C361" s="826" t="str">
        <f t="shared" si="10"/>
        <v>2009_ Chad</v>
      </c>
      <c r="D361" s="826">
        <v>457.23507260999997</v>
      </c>
      <c r="E361" s="826">
        <v>3252.10827935</v>
      </c>
      <c r="F361" s="826">
        <f t="shared" si="11"/>
        <v>3252108279.3499999</v>
      </c>
      <c r="G361" s="826">
        <v>2794.8732067400001</v>
      </c>
      <c r="H361" s="826">
        <v>1880.8266234</v>
      </c>
      <c r="I361" s="826">
        <v>3884.27441727</v>
      </c>
      <c r="J361" s="826">
        <v>2003.4477938699999</v>
      </c>
      <c r="K361" s="826">
        <v>-1423.5915507899999</v>
      </c>
      <c r="L361" s="826">
        <v>-632.16613791999998</v>
      </c>
      <c r="M361" s="826">
        <v>791.42541286999995</v>
      </c>
      <c r="N361" s="826">
        <v>14.0596509505</v>
      </c>
      <c r="O361" s="826">
        <v>100</v>
      </c>
      <c r="P361" s="826">
        <v>85.9403490495</v>
      </c>
      <c r="Q361" s="826">
        <v>48.421569161999997</v>
      </c>
      <c r="R361" s="826">
        <v>100</v>
      </c>
      <c r="S361" s="826">
        <v>51.578430838000003</v>
      </c>
      <c r="T361" s="826" t="s">
        <v>3088</v>
      </c>
      <c r="U361" s="826" t="s">
        <v>3088</v>
      </c>
      <c r="V361" s="826" t="s">
        <v>3088</v>
      </c>
    </row>
    <row r="362" spans="1:22">
      <c r="A362" s="826" t="s">
        <v>3131</v>
      </c>
      <c r="B362" s="826" t="s">
        <v>465</v>
      </c>
      <c r="C362" s="826" t="str">
        <f t="shared" si="10"/>
        <v>2009_Republic of the Congo</v>
      </c>
      <c r="D362" s="826">
        <v>378.24077799000003</v>
      </c>
      <c r="E362" s="826">
        <v>6450.8477591299998</v>
      </c>
      <c r="F362" s="826">
        <f t="shared" si="11"/>
        <v>6450847759.1300001</v>
      </c>
      <c r="G362" s="826">
        <v>6072.6069811400002</v>
      </c>
      <c r="H362" s="826">
        <v>3213.3523653799998</v>
      </c>
      <c r="I362" s="826">
        <v>6109.2450856200003</v>
      </c>
      <c r="J362" s="826">
        <v>2895.89272024</v>
      </c>
      <c r="K362" s="826">
        <v>-2835.1115873899998</v>
      </c>
      <c r="L362" s="826">
        <v>341.60267350999999</v>
      </c>
      <c r="M362" s="826">
        <v>3176.7142609000002</v>
      </c>
      <c r="N362" s="826">
        <v>5.8634274457000002</v>
      </c>
      <c r="O362" s="826">
        <v>100</v>
      </c>
      <c r="P362" s="826">
        <v>94.136572554300002</v>
      </c>
      <c r="Q362" s="826">
        <v>52.598190453100003</v>
      </c>
      <c r="R362" s="826">
        <v>100</v>
      </c>
      <c r="S362" s="826">
        <v>47.401809546899997</v>
      </c>
      <c r="T362" s="826" t="s">
        <v>3088</v>
      </c>
      <c r="U362" s="826" t="s">
        <v>3088</v>
      </c>
      <c r="V362" s="826" t="s">
        <v>3088</v>
      </c>
    </row>
    <row r="363" spans="1:22">
      <c r="A363" s="826" t="s">
        <v>3131</v>
      </c>
      <c r="B363" s="826" t="s">
        <v>171</v>
      </c>
      <c r="C363" s="826" t="str">
        <f t="shared" si="10"/>
        <v>2009_Democratic Republic of Congo</v>
      </c>
      <c r="D363" s="826">
        <v>541.45540095000001</v>
      </c>
      <c r="E363" s="826">
        <v>4912.4880889799997</v>
      </c>
      <c r="F363" s="826">
        <f t="shared" si="11"/>
        <v>4912488088.9799995</v>
      </c>
      <c r="G363" s="826">
        <v>4371.0326880299999</v>
      </c>
      <c r="H363" s="826">
        <v>1782.78267093</v>
      </c>
      <c r="I363" s="826">
        <v>6731.8264625900001</v>
      </c>
      <c r="J363" s="826">
        <v>4949.0437916600004</v>
      </c>
      <c r="K363" s="826">
        <v>-1241.32726998</v>
      </c>
      <c r="L363" s="826">
        <v>-1819.33837361</v>
      </c>
      <c r="M363" s="826">
        <v>-578.01110362999998</v>
      </c>
      <c r="N363" s="826">
        <v>11.022019619</v>
      </c>
      <c r="O363" s="826">
        <v>100</v>
      </c>
      <c r="P363" s="826">
        <v>88.977980380999995</v>
      </c>
      <c r="Q363" s="826">
        <v>26.482897039000001</v>
      </c>
      <c r="R363" s="826">
        <v>100</v>
      </c>
      <c r="S363" s="826">
        <v>73.517102961000006</v>
      </c>
      <c r="T363" s="826" t="s">
        <v>3088</v>
      </c>
      <c r="U363" s="826" t="s">
        <v>3088</v>
      </c>
      <c r="V363" s="826" t="s">
        <v>3088</v>
      </c>
    </row>
    <row r="364" spans="1:22">
      <c r="A364" s="826" t="s">
        <v>3131</v>
      </c>
      <c r="B364" s="826" t="s">
        <v>3138</v>
      </c>
      <c r="C364" s="826" t="str">
        <f t="shared" si="10"/>
        <v>2009_ Equatorial Guinea</v>
      </c>
      <c r="D364" s="826">
        <v>49.768523420000001</v>
      </c>
      <c r="E364" s="826">
        <v>10126.941501859999</v>
      </c>
      <c r="F364" s="826">
        <f t="shared" si="11"/>
        <v>10126941501.859999</v>
      </c>
      <c r="G364" s="826">
        <v>10077.172978439999</v>
      </c>
      <c r="H364" s="826">
        <v>2091.97223128</v>
      </c>
      <c r="I364" s="826">
        <v>7366.5885900800004</v>
      </c>
      <c r="J364" s="826">
        <v>5274.6163587999999</v>
      </c>
      <c r="K364" s="826">
        <v>-2042.2037078599999</v>
      </c>
      <c r="L364" s="826">
        <v>2760.3529117799999</v>
      </c>
      <c r="M364" s="826">
        <v>4802.5566196399996</v>
      </c>
      <c r="N364" s="826">
        <v>0.49144673550000001</v>
      </c>
      <c r="O364" s="826">
        <v>100</v>
      </c>
      <c r="P364" s="826">
        <v>99.508553264499994</v>
      </c>
      <c r="Q364" s="826">
        <v>28.398114075399999</v>
      </c>
      <c r="R364" s="826">
        <v>100</v>
      </c>
      <c r="S364" s="826">
        <v>71.601885924599998</v>
      </c>
      <c r="T364" s="826" t="s">
        <v>3088</v>
      </c>
      <c r="U364" s="826" t="s">
        <v>3088</v>
      </c>
      <c r="V364" s="826" t="s">
        <v>3088</v>
      </c>
    </row>
    <row r="365" spans="1:22">
      <c r="A365" s="826" t="s">
        <v>3131</v>
      </c>
      <c r="B365" s="826" t="s">
        <v>3139</v>
      </c>
      <c r="C365" s="826" t="str">
        <f t="shared" si="10"/>
        <v>2009_ Gabon</v>
      </c>
      <c r="D365" s="826" t="s">
        <v>603</v>
      </c>
      <c r="E365" s="826" t="s">
        <v>3088</v>
      </c>
      <c r="F365" s="826" t="str">
        <f t="shared" si="11"/>
        <v>..</v>
      </c>
      <c r="G365" s="826">
        <v>5825.6703925900001</v>
      </c>
      <c r="H365" s="826" t="s">
        <v>603</v>
      </c>
      <c r="I365" s="826" t="s">
        <v>603</v>
      </c>
      <c r="J365" s="826">
        <v>1664.81005366</v>
      </c>
      <c r="K365" s="826" t="s">
        <v>603</v>
      </c>
      <c r="L365" s="826" t="s">
        <v>603</v>
      </c>
      <c r="M365" s="826">
        <v>4160.8603389299997</v>
      </c>
      <c r="N365" s="826" t="s">
        <v>603</v>
      </c>
      <c r="O365" s="826" t="s">
        <v>603</v>
      </c>
      <c r="P365" s="826">
        <v>97.129338653299996</v>
      </c>
      <c r="Q365" s="826" t="s">
        <v>603</v>
      </c>
      <c r="R365" s="826" t="s">
        <v>603</v>
      </c>
      <c r="S365" s="826">
        <v>56.549888497200001</v>
      </c>
      <c r="T365" s="826" t="s">
        <v>3088</v>
      </c>
      <c r="U365" s="826" t="s">
        <v>3088</v>
      </c>
      <c r="V365" s="826" t="s">
        <v>3088</v>
      </c>
    </row>
    <row r="366" spans="1:22">
      <c r="A366" s="826" t="s">
        <v>3131</v>
      </c>
      <c r="B366" s="826" t="s">
        <v>195</v>
      </c>
      <c r="C366" s="826" t="str">
        <f t="shared" si="10"/>
        <v>2009_Ghana</v>
      </c>
      <c r="D366" s="826">
        <v>1769.71</v>
      </c>
      <c r="E366" s="826">
        <v>7609.41</v>
      </c>
      <c r="F366" s="826">
        <f t="shared" si="11"/>
        <v>7609410000</v>
      </c>
      <c r="G366" s="826">
        <v>5839.7</v>
      </c>
      <c r="H366" s="826">
        <v>2943.12</v>
      </c>
      <c r="I366" s="826">
        <v>10989.38</v>
      </c>
      <c r="J366" s="826">
        <v>8046.26</v>
      </c>
      <c r="K366" s="826">
        <v>-1173.4100000000001</v>
      </c>
      <c r="L366" s="826">
        <v>-3379.97</v>
      </c>
      <c r="M366" s="826">
        <v>-2206.56</v>
      </c>
      <c r="N366" s="826">
        <v>23.256862227199999</v>
      </c>
      <c r="O366" s="826">
        <v>100</v>
      </c>
      <c r="P366" s="826">
        <v>76.743137772799997</v>
      </c>
      <c r="Q366" s="826">
        <v>26.781492677500001</v>
      </c>
      <c r="R366" s="826">
        <v>100</v>
      </c>
      <c r="S366" s="826">
        <v>73.218507322500002</v>
      </c>
      <c r="T366" s="826" t="s">
        <v>3088</v>
      </c>
      <c r="U366" s="826" t="s">
        <v>3088</v>
      </c>
      <c r="V366" s="826" t="s">
        <v>3088</v>
      </c>
    </row>
    <row r="367" spans="1:22">
      <c r="A367" s="826" t="s">
        <v>3131</v>
      </c>
      <c r="B367" s="826" t="s">
        <v>219</v>
      </c>
      <c r="C367" s="826" t="str">
        <f t="shared" si="10"/>
        <v>2009_Guatemala</v>
      </c>
      <c r="D367" s="826">
        <v>2088.3722560000001</v>
      </c>
      <c r="E367" s="826">
        <v>9383.2522559999998</v>
      </c>
      <c r="F367" s="826">
        <f t="shared" si="11"/>
        <v>9383252256</v>
      </c>
      <c r="G367" s="826">
        <v>7294.88</v>
      </c>
      <c r="H367" s="826">
        <v>2024.2529999999999</v>
      </c>
      <c r="I367" s="826">
        <v>12667.352999999999</v>
      </c>
      <c r="J367" s="826">
        <v>10643.1</v>
      </c>
      <c r="K367" s="826">
        <v>64.119255999999993</v>
      </c>
      <c r="L367" s="826">
        <v>-3284.1007439999998</v>
      </c>
      <c r="M367" s="826">
        <v>-3348.22</v>
      </c>
      <c r="N367" s="826">
        <v>22.2563797607</v>
      </c>
      <c r="O367" s="826">
        <v>100</v>
      </c>
      <c r="P367" s="826">
        <v>77.7436202393</v>
      </c>
      <c r="Q367" s="826">
        <v>15.9800788689</v>
      </c>
      <c r="R367" s="826">
        <v>100</v>
      </c>
      <c r="S367" s="826">
        <v>84.019921131100006</v>
      </c>
      <c r="T367" s="826" t="s">
        <v>3088</v>
      </c>
      <c r="U367" s="826" t="s">
        <v>3088</v>
      </c>
      <c r="V367" s="826" t="s">
        <v>3088</v>
      </c>
    </row>
    <row r="368" spans="1:22">
      <c r="A368" s="826" t="s">
        <v>3131</v>
      </c>
      <c r="B368" s="826" t="s">
        <v>3140</v>
      </c>
      <c r="C368" s="826" t="str">
        <f t="shared" si="10"/>
        <v>2009_ Guinea</v>
      </c>
      <c r="D368" s="826">
        <v>72.239999999999995</v>
      </c>
      <c r="E368" s="826">
        <v>1121.96</v>
      </c>
      <c r="F368" s="826">
        <f t="shared" si="11"/>
        <v>1121960000</v>
      </c>
      <c r="G368" s="826">
        <v>1049.72</v>
      </c>
      <c r="H368" s="826">
        <v>330.71</v>
      </c>
      <c r="I368" s="826">
        <v>1390.8</v>
      </c>
      <c r="J368" s="826">
        <v>1060.0899999999999</v>
      </c>
      <c r="K368" s="826">
        <v>-258.47000000000003</v>
      </c>
      <c r="L368" s="826">
        <v>-268.83999999999997</v>
      </c>
      <c r="M368" s="826">
        <v>-10.37</v>
      </c>
      <c r="N368" s="826">
        <v>6.4387322186000002</v>
      </c>
      <c r="O368" s="826">
        <v>100</v>
      </c>
      <c r="P368" s="826">
        <v>93.561267781400005</v>
      </c>
      <c r="Q368" s="826">
        <v>23.778400920300001</v>
      </c>
      <c r="R368" s="826">
        <v>100</v>
      </c>
      <c r="S368" s="826">
        <v>76.221599079699999</v>
      </c>
      <c r="T368" s="826" t="s">
        <v>3088</v>
      </c>
      <c r="U368" s="826" t="s">
        <v>3088</v>
      </c>
      <c r="V368" s="826" t="s">
        <v>3088</v>
      </c>
    </row>
    <row r="369" spans="1:22">
      <c r="A369" s="826" t="s">
        <v>3131</v>
      </c>
      <c r="B369" s="826" t="s">
        <v>243</v>
      </c>
      <c r="C369" s="826" t="str">
        <f t="shared" si="10"/>
        <v>2009_Indonesia</v>
      </c>
      <c r="D369" s="826">
        <v>13155.5</v>
      </c>
      <c r="E369" s="826">
        <v>133155.5</v>
      </c>
      <c r="F369" s="826">
        <f t="shared" si="11"/>
        <v>133155500000</v>
      </c>
      <c r="G369" s="826">
        <v>120000</v>
      </c>
      <c r="H369" s="826">
        <v>22896.1</v>
      </c>
      <c r="I369" s="826">
        <v>111610.2</v>
      </c>
      <c r="J369" s="826">
        <v>88714.1</v>
      </c>
      <c r="K369" s="826">
        <v>-9740.6</v>
      </c>
      <c r="L369" s="826">
        <v>21545.3</v>
      </c>
      <c r="M369" s="826">
        <v>31285.9</v>
      </c>
      <c r="N369" s="826">
        <v>9.8798021861999992</v>
      </c>
      <c r="O369" s="826">
        <v>100</v>
      </c>
      <c r="P369" s="826">
        <v>90.120197813800004</v>
      </c>
      <c r="Q369" s="826">
        <v>20.514343671100001</v>
      </c>
      <c r="R369" s="826">
        <v>100</v>
      </c>
      <c r="S369" s="826">
        <v>79.485656328900006</v>
      </c>
      <c r="T369" s="826" t="s">
        <v>3088</v>
      </c>
      <c r="U369" s="826" t="s">
        <v>3088</v>
      </c>
      <c r="V369" s="826" t="s">
        <v>3088</v>
      </c>
    </row>
    <row r="370" spans="1:22">
      <c r="A370" s="826" t="s">
        <v>3131</v>
      </c>
      <c r="B370" s="826" t="s">
        <v>251</v>
      </c>
      <c r="C370" s="826" t="str">
        <f t="shared" si="10"/>
        <v>2009_Iraq</v>
      </c>
      <c r="D370" s="826">
        <v>2193.4</v>
      </c>
      <c r="E370" s="826">
        <v>41622.699999999997</v>
      </c>
      <c r="F370" s="826">
        <f t="shared" si="11"/>
        <v>41622700000</v>
      </c>
      <c r="G370" s="826">
        <v>39429.300000000003</v>
      </c>
      <c r="H370" s="826">
        <v>8563.1</v>
      </c>
      <c r="I370" s="826">
        <v>43847.9</v>
      </c>
      <c r="J370" s="826">
        <v>35284.800000000003</v>
      </c>
      <c r="K370" s="826">
        <v>-6369.7</v>
      </c>
      <c r="L370" s="826">
        <v>-2225.1999999999998</v>
      </c>
      <c r="M370" s="826">
        <v>4144.5</v>
      </c>
      <c r="N370" s="826">
        <v>5.2697206092000002</v>
      </c>
      <c r="O370" s="826">
        <v>100</v>
      </c>
      <c r="P370" s="826">
        <v>94.730279390800007</v>
      </c>
      <c r="Q370" s="826">
        <v>19.529099455200001</v>
      </c>
      <c r="R370" s="826">
        <v>100</v>
      </c>
      <c r="S370" s="826">
        <v>80.470900544800003</v>
      </c>
      <c r="T370" s="826" t="s">
        <v>3088</v>
      </c>
      <c r="U370" s="826" t="s">
        <v>3088</v>
      </c>
      <c r="V370" s="826" t="s">
        <v>3088</v>
      </c>
    </row>
    <row r="371" spans="1:22">
      <c r="A371" s="826" t="s">
        <v>3131</v>
      </c>
      <c r="B371" s="826" t="s">
        <v>280</v>
      </c>
      <c r="C371" s="826" t="str">
        <f t="shared" si="10"/>
        <v>2009_Kazakhstan</v>
      </c>
      <c r="D371" s="826">
        <v>4095.9478100000001</v>
      </c>
      <c r="E371" s="826">
        <v>48027.08</v>
      </c>
      <c r="F371" s="826">
        <f t="shared" si="11"/>
        <v>48027080000</v>
      </c>
      <c r="G371" s="826">
        <v>43931.132189999997</v>
      </c>
      <c r="H371" s="826">
        <v>10018.3369</v>
      </c>
      <c r="I371" s="826">
        <v>38983.599999999999</v>
      </c>
      <c r="J371" s="826">
        <v>28965.2631</v>
      </c>
      <c r="K371" s="826">
        <v>-5922.3890899999997</v>
      </c>
      <c r="L371" s="826">
        <v>9043.48</v>
      </c>
      <c r="M371" s="826">
        <v>14965.86909</v>
      </c>
      <c r="N371" s="826">
        <v>8.5284131576999993</v>
      </c>
      <c r="O371" s="826">
        <v>100</v>
      </c>
      <c r="P371" s="826">
        <v>91.471586842299999</v>
      </c>
      <c r="Q371" s="826">
        <v>25.698850029199999</v>
      </c>
      <c r="R371" s="826">
        <v>100</v>
      </c>
      <c r="S371" s="826">
        <v>74.301149970799997</v>
      </c>
      <c r="T371" s="826" t="s">
        <v>3088</v>
      </c>
      <c r="U371" s="826" t="s">
        <v>3088</v>
      </c>
      <c r="V371" s="826" t="s">
        <v>3088</v>
      </c>
    </row>
    <row r="372" spans="1:22">
      <c r="A372" s="826" t="s">
        <v>3131</v>
      </c>
      <c r="B372" s="826" t="s">
        <v>3141</v>
      </c>
      <c r="C372" s="826" t="str">
        <f t="shared" si="10"/>
        <v>2009_Kyrgyzstan</v>
      </c>
      <c r="D372" s="826">
        <v>862.63</v>
      </c>
      <c r="E372" s="826">
        <v>2556.4659999999999</v>
      </c>
      <c r="F372" s="826">
        <f t="shared" si="11"/>
        <v>2556466000</v>
      </c>
      <c r="G372" s="826">
        <v>1693.836</v>
      </c>
      <c r="H372" s="826">
        <v>862.38400000000001</v>
      </c>
      <c r="I372" s="826">
        <v>3675.9940000000001</v>
      </c>
      <c r="J372" s="826">
        <v>2813.61</v>
      </c>
      <c r="K372" s="826">
        <v>0.246</v>
      </c>
      <c r="L372" s="826">
        <v>-1119.528</v>
      </c>
      <c r="M372" s="826">
        <v>-1119.7739999999999</v>
      </c>
      <c r="N372" s="826">
        <v>33.7430656226</v>
      </c>
      <c r="O372" s="826">
        <v>100</v>
      </c>
      <c r="P372" s="826">
        <v>66.2569343774</v>
      </c>
      <c r="Q372" s="826">
        <v>23.459885951899999</v>
      </c>
      <c r="R372" s="826">
        <v>100</v>
      </c>
      <c r="S372" s="826">
        <v>76.540114048099994</v>
      </c>
      <c r="T372" s="826" t="s">
        <v>3088</v>
      </c>
      <c r="U372" s="826" t="s">
        <v>3088</v>
      </c>
      <c r="V372" s="826" t="s">
        <v>3088</v>
      </c>
    </row>
    <row r="373" spans="1:22">
      <c r="A373" s="826" t="s">
        <v>3131</v>
      </c>
      <c r="B373" s="826" t="s">
        <v>301</v>
      </c>
      <c r="C373" s="826" t="str">
        <f t="shared" si="10"/>
        <v>2009_Liberia</v>
      </c>
      <c r="D373" s="826">
        <v>274.101</v>
      </c>
      <c r="E373" s="826">
        <v>454.07299999999998</v>
      </c>
      <c r="F373" s="826">
        <f t="shared" si="11"/>
        <v>454073000</v>
      </c>
      <c r="G373" s="826">
        <v>179.97200000000001</v>
      </c>
      <c r="H373" s="826">
        <v>1145.17</v>
      </c>
      <c r="I373" s="826">
        <v>1704.17</v>
      </c>
      <c r="J373" s="826">
        <v>559</v>
      </c>
      <c r="K373" s="826">
        <v>-871.06899999999996</v>
      </c>
      <c r="L373" s="826">
        <v>-1250.097</v>
      </c>
      <c r="M373" s="826">
        <v>-379.02800000000002</v>
      </c>
      <c r="N373" s="826">
        <v>60.364963342899998</v>
      </c>
      <c r="O373" s="826">
        <v>100</v>
      </c>
      <c r="P373" s="826">
        <v>39.635036657100002</v>
      </c>
      <c r="Q373" s="826">
        <v>67.198108169999998</v>
      </c>
      <c r="R373" s="826">
        <v>100</v>
      </c>
      <c r="S373" s="826">
        <v>32.801891830000002</v>
      </c>
      <c r="T373" s="826" t="s">
        <v>3088</v>
      </c>
      <c r="U373" s="826" t="s">
        <v>3088</v>
      </c>
      <c r="V373" s="826" t="s">
        <v>3088</v>
      </c>
    </row>
    <row r="374" spans="1:22">
      <c r="A374" s="826" t="s">
        <v>3131</v>
      </c>
      <c r="B374" s="826" t="s">
        <v>316</v>
      </c>
      <c r="C374" s="826" t="str">
        <f t="shared" si="10"/>
        <v>2009_Madagascar</v>
      </c>
      <c r="D374" s="826">
        <v>892.44</v>
      </c>
      <c r="E374" s="826">
        <v>1944.42391387</v>
      </c>
      <c r="F374" s="826">
        <f t="shared" si="11"/>
        <v>1944423913.8699999</v>
      </c>
      <c r="G374" s="826">
        <v>1051.9839138699999</v>
      </c>
      <c r="H374" s="826">
        <v>1261.5</v>
      </c>
      <c r="I374" s="826">
        <v>3980.4358500899998</v>
      </c>
      <c r="J374" s="826">
        <v>2718.9358500899998</v>
      </c>
      <c r="K374" s="826">
        <v>-369.06</v>
      </c>
      <c r="L374" s="826">
        <v>-2036.0119362200001</v>
      </c>
      <c r="M374" s="826">
        <v>-1666.9519362200001</v>
      </c>
      <c r="N374" s="826">
        <v>45.897398897099997</v>
      </c>
      <c r="O374" s="826">
        <v>100</v>
      </c>
      <c r="P374" s="826">
        <v>54.102601102900003</v>
      </c>
      <c r="Q374" s="826">
        <v>31.692509250499999</v>
      </c>
      <c r="R374" s="826">
        <v>100</v>
      </c>
      <c r="S374" s="826">
        <v>68.307490749500005</v>
      </c>
      <c r="T374" s="826" t="s">
        <v>3088</v>
      </c>
      <c r="U374" s="826" t="s">
        <v>3088</v>
      </c>
      <c r="V374" s="826" t="s">
        <v>3088</v>
      </c>
    </row>
    <row r="375" spans="1:22">
      <c r="A375" s="826" t="s">
        <v>3131</v>
      </c>
      <c r="B375" s="826" t="s">
        <v>329</v>
      </c>
      <c r="C375" s="826" t="str">
        <f t="shared" si="10"/>
        <v>2009_Mali</v>
      </c>
      <c r="D375" s="826">
        <v>354.26688999999999</v>
      </c>
      <c r="E375" s="826">
        <v>2127.9270000000001</v>
      </c>
      <c r="F375" s="826">
        <f t="shared" si="11"/>
        <v>2127927000.0000002</v>
      </c>
      <c r="G375" s="826">
        <v>1773.66011</v>
      </c>
      <c r="H375" s="826">
        <v>825.56434000000002</v>
      </c>
      <c r="I375" s="826">
        <v>2811.877</v>
      </c>
      <c r="J375" s="826">
        <v>1986.3126600000001</v>
      </c>
      <c r="K375" s="826">
        <v>-471.29745000000003</v>
      </c>
      <c r="L375" s="826">
        <v>-683.95</v>
      </c>
      <c r="M375" s="826">
        <v>-212.65254999999999</v>
      </c>
      <c r="N375" s="826">
        <v>16.6484512862</v>
      </c>
      <c r="O375" s="826">
        <v>100</v>
      </c>
      <c r="P375" s="826">
        <v>83.3515487138</v>
      </c>
      <c r="Q375" s="826">
        <v>29.3599023001</v>
      </c>
      <c r="R375" s="826">
        <v>100</v>
      </c>
      <c r="S375" s="826">
        <v>70.640097699899997</v>
      </c>
      <c r="T375" s="826" t="s">
        <v>3088</v>
      </c>
      <c r="U375" s="826" t="s">
        <v>3088</v>
      </c>
      <c r="V375" s="826" t="s">
        <v>3088</v>
      </c>
    </row>
    <row r="376" spans="1:22">
      <c r="A376" s="826" t="s">
        <v>3131</v>
      </c>
      <c r="B376" s="826" t="s">
        <v>345</v>
      </c>
      <c r="C376" s="826" t="str">
        <f t="shared" si="10"/>
        <v>2009_Mauritania</v>
      </c>
      <c r="D376" s="826">
        <v>158.69999999999999</v>
      </c>
      <c r="E376" s="826">
        <v>1528.8</v>
      </c>
      <c r="F376" s="826">
        <f t="shared" si="11"/>
        <v>1528800000</v>
      </c>
      <c r="G376" s="826">
        <v>1370.1</v>
      </c>
      <c r="H376" s="826">
        <v>637.5</v>
      </c>
      <c r="I376" s="826">
        <v>2067.3000000000002</v>
      </c>
      <c r="J376" s="826">
        <v>1429.8</v>
      </c>
      <c r="K376" s="826">
        <v>-478.8</v>
      </c>
      <c r="L376" s="826">
        <v>-538.5</v>
      </c>
      <c r="M376" s="826">
        <v>-59.7</v>
      </c>
      <c r="N376" s="826">
        <v>10.3806907378</v>
      </c>
      <c r="O376" s="826">
        <v>100</v>
      </c>
      <c r="P376" s="826">
        <v>89.619309262200005</v>
      </c>
      <c r="Q376" s="826">
        <v>30.837324045900001</v>
      </c>
      <c r="R376" s="826">
        <v>100</v>
      </c>
      <c r="S376" s="826">
        <v>69.162675954099996</v>
      </c>
      <c r="T376" s="826" t="s">
        <v>3088</v>
      </c>
      <c r="U376" s="826" t="s">
        <v>3088</v>
      </c>
      <c r="V376" s="826" t="s">
        <v>3088</v>
      </c>
    </row>
    <row r="377" spans="1:22">
      <c r="A377" s="826" t="s">
        <v>3131</v>
      </c>
      <c r="B377" s="826" t="s">
        <v>364</v>
      </c>
      <c r="C377" s="826" t="str">
        <f t="shared" si="10"/>
        <v>2009_Mongolia</v>
      </c>
      <c r="D377" s="826">
        <v>414.54</v>
      </c>
      <c r="E377" s="826">
        <v>2299.92</v>
      </c>
      <c r="F377" s="826">
        <f t="shared" si="11"/>
        <v>2299920000</v>
      </c>
      <c r="G377" s="826">
        <v>1885.38</v>
      </c>
      <c r="H377" s="826">
        <v>557.77099999999996</v>
      </c>
      <c r="I377" s="826">
        <v>2631.931</v>
      </c>
      <c r="J377" s="826">
        <v>2074.16</v>
      </c>
      <c r="K377" s="826">
        <v>-143.23099999999999</v>
      </c>
      <c r="L377" s="826">
        <v>-332.01100000000002</v>
      </c>
      <c r="M377" s="826">
        <v>-188.78</v>
      </c>
      <c r="N377" s="826">
        <v>18.024105186300002</v>
      </c>
      <c r="O377" s="826">
        <v>100</v>
      </c>
      <c r="P377" s="826">
        <v>81.975894813699995</v>
      </c>
      <c r="Q377" s="826">
        <v>21.192462872299998</v>
      </c>
      <c r="R377" s="826">
        <v>100</v>
      </c>
      <c r="S377" s="826">
        <v>78.807537127700002</v>
      </c>
      <c r="T377" s="826" t="s">
        <v>3088</v>
      </c>
      <c r="U377" s="826" t="s">
        <v>3088</v>
      </c>
      <c r="V377" s="826" t="s">
        <v>3088</v>
      </c>
    </row>
    <row r="378" spans="1:22">
      <c r="A378" s="826" t="s">
        <v>3131</v>
      </c>
      <c r="B378" s="826" t="s">
        <v>385</v>
      </c>
      <c r="C378" s="826" t="str">
        <f t="shared" si="10"/>
        <v>2009_Mozambique</v>
      </c>
      <c r="D378" s="826">
        <v>611.66999999999996</v>
      </c>
      <c r="E378" s="826">
        <v>2758.85</v>
      </c>
      <c r="F378" s="826">
        <f t="shared" si="11"/>
        <v>2758850000</v>
      </c>
      <c r="G378" s="826">
        <v>2147.1799999999998</v>
      </c>
      <c r="H378" s="826">
        <v>1044.288</v>
      </c>
      <c r="I378" s="826">
        <v>4466.2979999999998</v>
      </c>
      <c r="J378" s="826">
        <v>3422.01</v>
      </c>
      <c r="K378" s="826">
        <v>-432.61799999999999</v>
      </c>
      <c r="L378" s="826">
        <v>-1707.4480000000001</v>
      </c>
      <c r="M378" s="826">
        <v>-1274.83</v>
      </c>
      <c r="N378" s="826">
        <v>22.171194519499998</v>
      </c>
      <c r="O378" s="826">
        <v>100</v>
      </c>
      <c r="P378" s="826">
        <v>77.828805480499994</v>
      </c>
      <c r="Q378" s="826">
        <v>23.381511936700001</v>
      </c>
      <c r="R378" s="826">
        <v>100</v>
      </c>
      <c r="S378" s="826">
        <v>76.618488063300006</v>
      </c>
      <c r="T378" s="826" t="s">
        <v>3088</v>
      </c>
      <c r="U378" s="826" t="s">
        <v>3088</v>
      </c>
      <c r="V378" s="826" t="s">
        <v>3088</v>
      </c>
    </row>
    <row r="379" spans="1:22">
      <c r="A379" s="826" t="s">
        <v>3131</v>
      </c>
      <c r="B379" s="826" t="s">
        <v>394</v>
      </c>
      <c r="C379" s="826" t="str">
        <f t="shared" si="10"/>
        <v>2009_Niger</v>
      </c>
      <c r="D379" s="826">
        <v>99.921999999999997</v>
      </c>
      <c r="E379" s="826">
        <v>1096.7760000000001</v>
      </c>
      <c r="F379" s="826">
        <f t="shared" si="11"/>
        <v>1096776000</v>
      </c>
      <c r="G379" s="826">
        <v>996.85400000000004</v>
      </c>
      <c r="H379" s="826">
        <v>734.69899999999996</v>
      </c>
      <c r="I379" s="826">
        <v>2528.8789999999999</v>
      </c>
      <c r="J379" s="826">
        <v>1794.18</v>
      </c>
      <c r="K379" s="826">
        <v>-634.77700000000004</v>
      </c>
      <c r="L379" s="826">
        <v>-1432.1030000000001</v>
      </c>
      <c r="M379" s="826">
        <v>-797.32600000000002</v>
      </c>
      <c r="N379" s="826">
        <v>9.1105202886000001</v>
      </c>
      <c r="O379" s="826">
        <v>100</v>
      </c>
      <c r="P379" s="826">
        <v>90.8894797114</v>
      </c>
      <c r="Q379" s="826">
        <v>29.052358772400002</v>
      </c>
      <c r="R379" s="826">
        <v>100</v>
      </c>
      <c r="S379" s="826">
        <v>70.947641227600002</v>
      </c>
      <c r="T379" s="826" t="s">
        <v>3088</v>
      </c>
      <c r="U379" s="826" t="s">
        <v>3088</v>
      </c>
      <c r="V379" s="826" t="s">
        <v>3088</v>
      </c>
    </row>
    <row r="380" spans="1:22">
      <c r="A380" s="826" t="s">
        <v>3131</v>
      </c>
      <c r="B380" s="826" t="s">
        <v>413</v>
      </c>
      <c r="C380" s="826" t="str">
        <f t="shared" si="10"/>
        <v>2009_Nigeria</v>
      </c>
      <c r="D380" s="826">
        <v>2217.87</v>
      </c>
      <c r="E380" s="826">
        <v>58385.273999999998</v>
      </c>
      <c r="F380" s="826">
        <f t="shared" si="11"/>
        <v>58385274000</v>
      </c>
      <c r="G380" s="826">
        <v>56167.404000000002</v>
      </c>
      <c r="H380" s="826">
        <v>18696.599999999999</v>
      </c>
      <c r="I380" s="826">
        <v>49475.909</v>
      </c>
      <c r="J380" s="826">
        <v>30779.309000000001</v>
      </c>
      <c r="K380" s="826">
        <v>-16478.73</v>
      </c>
      <c r="L380" s="826">
        <v>8909.3649999999998</v>
      </c>
      <c r="M380" s="826">
        <v>25388.095000000001</v>
      </c>
      <c r="N380" s="826">
        <v>3.7986804686000002</v>
      </c>
      <c r="O380" s="826">
        <v>100</v>
      </c>
      <c r="P380" s="826">
        <v>96.201319531400003</v>
      </c>
      <c r="Q380" s="826">
        <v>37.789300647300003</v>
      </c>
      <c r="R380" s="826">
        <v>100</v>
      </c>
      <c r="S380" s="826">
        <v>62.210699352699997</v>
      </c>
      <c r="T380" s="826" t="s">
        <v>3088</v>
      </c>
      <c r="U380" s="826" t="s">
        <v>3088</v>
      </c>
      <c r="V380" s="826" t="s">
        <v>3088</v>
      </c>
    </row>
    <row r="381" spans="1:22">
      <c r="A381" s="826" t="s">
        <v>3131</v>
      </c>
      <c r="B381" s="826" t="s">
        <v>436</v>
      </c>
      <c r="C381" s="826" t="str">
        <f t="shared" si="10"/>
        <v>2009_Norway</v>
      </c>
      <c r="D381" s="826">
        <v>38446.296754000003</v>
      </c>
      <c r="E381" s="826">
        <v>159900.41805499999</v>
      </c>
      <c r="F381" s="826">
        <f t="shared" si="11"/>
        <v>159900418055</v>
      </c>
      <c r="G381" s="826">
        <v>121454.12130100001</v>
      </c>
      <c r="H381" s="826">
        <v>36723.740406999998</v>
      </c>
      <c r="I381" s="826">
        <v>103872.08726499999</v>
      </c>
      <c r="J381" s="826">
        <v>67148.346858000004</v>
      </c>
      <c r="K381" s="826">
        <v>1722.556347</v>
      </c>
      <c r="L381" s="826">
        <v>56028.33079</v>
      </c>
      <c r="M381" s="826">
        <v>54305.774443000002</v>
      </c>
      <c r="N381" s="826">
        <v>24.043900085800001</v>
      </c>
      <c r="O381" s="826">
        <v>100</v>
      </c>
      <c r="P381" s="826">
        <v>75.956099914199996</v>
      </c>
      <c r="Q381" s="826">
        <v>35.354772753600002</v>
      </c>
      <c r="R381" s="826">
        <v>100</v>
      </c>
      <c r="S381" s="826">
        <v>64.645227246399998</v>
      </c>
      <c r="T381" s="826" t="s">
        <v>3088</v>
      </c>
      <c r="U381" s="826" t="s">
        <v>3088</v>
      </c>
      <c r="V381" s="826" t="s">
        <v>3088</v>
      </c>
    </row>
    <row r="382" spans="1:22">
      <c r="A382" s="826" t="s">
        <v>3131</v>
      </c>
      <c r="B382" s="826" t="s">
        <v>449</v>
      </c>
      <c r="C382" s="826" t="str">
        <f t="shared" si="10"/>
        <v>2009_Peru</v>
      </c>
      <c r="D382" s="826">
        <v>3635.5770000000002</v>
      </c>
      <c r="E382" s="826">
        <v>30597.077000000001</v>
      </c>
      <c r="F382" s="826">
        <f t="shared" si="11"/>
        <v>30597077000</v>
      </c>
      <c r="G382" s="826">
        <v>26961.5</v>
      </c>
      <c r="H382" s="826">
        <v>4811.5739999999996</v>
      </c>
      <c r="I382" s="826">
        <v>25822.274000000001</v>
      </c>
      <c r="J382" s="826">
        <v>21010.7</v>
      </c>
      <c r="K382" s="826">
        <v>-1175.9970000000001</v>
      </c>
      <c r="L382" s="826">
        <v>4774.8029999999999</v>
      </c>
      <c r="M382" s="826">
        <v>5950.8</v>
      </c>
      <c r="N382" s="826">
        <v>11.882105601099999</v>
      </c>
      <c r="O382" s="826">
        <v>100</v>
      </c>
      <c r="P382" s="826">
        <v>88.117894398900006</v>
      </c>
      <c r="Q382" s="826">
        <v>18.633424771200001</v>
      </c>
      <c r="R382" s="826">
        <v>100</v>
      </c>
      <c r="S382" s="826">
        <v>81.366575228800002</v>
      </c>
      <c r="T382" s="826" t="s">
        <v>3088</v>
      </c>
      <c r="U382" s="826" t="s">
        <v>3088</v>
      </c>
      <c r="V382" s="826" t="s">
        <v>3088</v>
      </c>
    </row>
    <row r="383" spans="1:22">
      <c r="A383" s="826" t="s">
        <v>3131</v>
      </c>
      <c r="B383" s="826" t="s">
        <v>488</v>
      </c>
      <c r="C383" s="826" t="str">
        <f t="shared" si="10"/>
        <v>2009_Sierra Leone</v>
      </c>
      <c r="D383" s="826">
        <v>103.559</v>
      </c>
      <c r="E383" s="826">
        <v>373.93200000000002</v>
      </c>
      <c r="F383" s="826">
        <f t="shared" si="11"/>
        <v>373932000</v>
      </c>
      <c r="G383" s="826">
        <v>270.37299999999999</v>
      </c>
      <c r="H383" s="826">
        <v>137.72399999999999</v>
      </c>
      <c r="I383" s="826">
        <v>755.22900000000004</v>
      </c>
      <c r="J383" s="826">
        <v>617.505</v>
      </c>
      <c r="K383" s="826">
        <v>-34.164999999999999</v>
      </c>
      <c r="L383" s="826">
        <v>-381.29700000000003</v>
      </c>
      <c r="M383" s="826">
        <v>-347.13200000000001</v>
      </c>
      <c r="N383" s="826">
        <v>27.694607575700001</v>
      </c>
      <c r="O383" s="826">
        <v>100</v>
      </c>
      <c r="P383" s="826">
        <v>72.305392424299995</v>
      </c>
      <c r="Q383" s="826">
        <v>18.236058202199999</v>
      </c>
      <c r="R383" s="826">
        <v>100</v>
      </c>
      <c r="S383" s="826">
        <v>81.763941797800001</v>
      </c>
      <c r="T383" s="826" t="s">
        <v>3088</v>
      </c>
      <c r="U383" s="826" t="s">
        <v>3088</v>
      </c>
      <c r="V383" s="826" t="s">
        <v>3088</v>
      </c>
    </row>
    <row r="384" spans="1:22">
      <c r="A384" s="826" t="s">
        <v>3131</v>
      </c>
      <c r="B384" s="826" t="s">
        <v>3090</v>
      </c>
      <c r="C384" s="826" t="str">
        <f t="shared" si="10"/>
        <v>2009_Timor-Leste</v>
      </c>
      <c r="D384" s="826">
        <v>51.627000000000002</v>
      </c>
      <c r="E384" s="826">
        <v>66.191999999999993</v>
      </c>
      <c r="F384" s="826">
        <f t="shared" si="11"/>
        <v>66191999.999999993</v>
      </c>
      <c r="G384" s="826">
        <v>14.565</v>
      </c>
      <c r="H384" s="826">
        <v>826.71299999999997</v>
      </c>
      <c r="I384" s="826">
        <v>1161.24</v>
      </c>
      <c r="J384" s="826">
        <v>334.52699999999999</v>
      </c>
      <c r="K384" s="826">
        <v>-775.08600000000001</v>
      </c>
      <c r="L384" s="826">
        <v>-1095.048</v>
      </c>
      <c r="M384" s="826">
        <v>-319.96199999999999</v>
      </c>
      <c r="N384" s="826">
        <v>77.995830311800006</v>
      </c>
      <c r="O384" s="826">
        <v>100</v>
      </c>
      <c r="P384" s="826">
        <v>22.004169688200001</v>
      </c>
      <c r="Q384" s="826">
        <v>71.192259997899995</v>
      </c>
      <c r="R384" s="826">
        <v>100</v>
      </c>
      <c r="S384" s="826">
        <v>28.807740002100001</v>
      </c>
      <c r="T384" s="826" t="s">
        <v>3088</v>
      </c>
      <c r="U384" s="826" t="s">
        <v>3088</v>
      </c>
      <c r="V384" s="826" t="s">
        <v>3088</v>
      </c>
    </row>
    <row r="385" spans="1:22">
      <c r="A385" s="826" t="s">
        <v>3131</v>
      </c>
      <c r="B385" s="826" t="s">
        <v>517</v>
      </c>
      <c r="C385" s="826" t="str">
        <f t="shared" si="10"/>
        <v>2009_Togo</v>
      </c>
      <c r="D385" s="826">
        <v>293.55099999999999</v>
      </c>
      <c r="E385" s="826">
        <v>1196.575</v>
      </c>
      <c r="F385" s="826">
        <f t="shared" si="11"/>
        <v>1196575000</v>
      </c>
      <c r="G385" s="826">
        <v>903.024</v>
      </c>
      <c r="H385" s="826">
        <v>374.71800000000002</v>
      </c>
      <c r="I385" s="826">
        <v>1689.8779999999999</v>
      </c>
      <c r="J385" s="826">
        <v>1315.16</v>
      </c>
      <c r="K385" s="826">
        <v>-81.167000000000002</v>
      </c>
      <c r="L385" s="826">
        <v>-493.303</v>
      </c>
      <c r="M385" s="826">
        <v>-412.13600000000002</v>
      </c>
      <c r="N385" s="826">
        <v>24.532603472400002</v>
      </c>
      <c r="O385" s="826">
        <v>100</v>
      </c>
      <c r="P385" s="826">
        <v>75.467396527600002</v>
      </c>
      <c r="Q385" s="826">
        <v>22.174263467500001</v>
      </c>
      <c r="R385" s="826">
        <v>100</v>
      </c>
      <c r="S385" s="826">
        <v>77.825736532500002</v>
      </c>
      <c r="T385" s="826" t="s">
        <v>3088</v>
      </c>
      <c r="U385" s="826" t="s">
        <v>3088</v>
      </c>
      <c r="V385" s="826" t="s">
        <v>3088</v>
      </c>
    </row>
    <row r="386" spans="1:22">
      <c r="A386" s="826" t="s">
        <v>3131</v>
      </c>
      <c r="B386" s="826" t="s">
        <v>3091</v>
      </c>
      <c r="C386" s="826" t="str">
        <f t="shared" si="10"/>
        <v>2009_Trinidad and Tobago</v>
      </c>
      <c r="D386" s="826">
        <v>764.8</v>
      </c>
      <c r="E386" s="826">
        <v>9986.18</v>
      </c>
      <c r="F386" s="826">
        <f t="shared" si="11"/>
        <v>9986180000</v>
      </c>
      <c r="G386" s="826">
        <v>9221.3799999999992</v>
      </c>
      <c r="H386" s="826">
        <v>383.1</v>
      </c>
      <c r="I386" s="826">
        <v>7363.3</v>
      </c>
      <c r="J386" s="826">
        <v>6980.2</v>
      </c>
      <c r="K386" s="826">
        <v>381.7</v>
      </c>
      <c r="L386" s="826">
        <v>2622.88</v>
      </c>
      <c r="M386" s="826">
        <v>2241.1799999999998</v>
      </c>
      <c r="N386" s="826">
        <v>7.6585841632999996</v>
      </c>
      <c r="O386" s="826">
        <v>100</v>
      </c>
      <c r="P386" s="826">
        <v>92.341415836699994</v>
      </c>
      <c r="Q386" s="826">
        <v>5.2028302527000001</v>
      </c>
      <c r="R386" s="826">
        <v>100</v>
      </c>
      <c r="S386" s="826">
        <v>94.797169747300003</v>
      </c>
      <c r="T386" s="826" t="s">
        <v>3088</v>
      </c>
      <c r="U386" s="826" t="s">
        <v>3088</v>
      </c>
      <c r="V386" s="826" t="s">
        <v>3088</v>
      </c>
    </row>
    <row r="387" spans="1:22">
      <c r="A387" s="826" t="s">
        <v>3131</v>
      </c>
      <c r="B387" s="826" t="s">
        <v>499</v>
      </c>
      <c r="C387" s="826" t="str">
        <f t="shared" si="10"/>
        <v>2009_Tanzania</v>
      </c>
      <c r="D387" s="826">
        <v>1854.64</v>
      </c>
      <c r="E387" s="826">
        <v>5152.7299999999996</v>
      </c>
      <c r="F387" s="826">
        <f t="shared" si="11"/>
        <v>5152730000</v>
      </c>
      <c r="G387" s="826">
        <v>3298.09</v>
      </c>
      <c r="H387" s="826">
        <v>1721.951</v>
      </c>
      <c r="I387" s="826">
        <v>7556.1009999999997</v>
      </c>
      <c r="J387" s="826">
        <v>5834.15</v>
      </c>
      <c r="K387" s="826">
        <v>132.68899999999999</v>
      </c>
      <c r="L387" s="826">
        <v>-2403.3710000000001</v>
      </c>
      <c r="M387" s="826">
        <v>-2536.06</v>
      </c>
      <c r="N387" s="826">
        <v>35.993347215900002</v>
      </c>
      <c r="O387" s="826">
        <v>100</v>
      </c>
      <c r="P387" s="826">
        <v>64.006652784099998</v>
      </c>
      <c r="Q387" s="826">
        <v>22.7888827849</v>
      </c>
      <c r="R387" s="826">
        <v>100</v>
      </c>
      <c r="S387" s="826">
        <v>77.211117215100003</v>
      </c>
      <c r="T387" s="826" t="s">
        <v>3088</v>
      </c>
      <c r="U387" s="826" t="s">
        <v>3088</v>
      </c>
      <c r="V387" s="826" t="s">
        <v>3088</v>
      </c>
    </row>
    <row r="388" spans="1:22">
      <c r="A388" s="826" t="s">
        <v>3131</v>
      </c>
      <c r="B388" s="826" t="s">
        <v>529</v>
      </c>
      <c r="C388" s="826" t="str">
        <f t="shared" si="10"/>
        <v>2009_Yemen</v>
      </c>
      <c r="D388" s="826">
        <v>1237.18</v>
      </c>
      <c r="E388" s="826">
        <v>7092.2</v>
      </c>
      <c r="F388" s="826">
        <f t="shared" si="11"/>
        <v>7092200000</v>
      </c>
      <c r="G388" s="826">
        <v>5855.02</v>
      </c>
      <c r="H388" s="826">
        <v>2132.84</v>
      </c>
      <c r="I388" s="826">
        <v>10000.67</v>
      </c>
      <c r="J388" s="826">
        <v>7867.83</v>
      </c>
      <c r="K388" s="826">
        <v>-895.66</v>
      </c>
      <c r="L388" s="826">
        <v>-2908.47</v>
      </c>
      <c r="M388" s="826">
        <v>-2012.81</v>
      </c>
      <c r="N388" s="826">
        <v>17.444234511200001</v>
      </c>
      <c r="O388" s="826">
        <v>100</v>
      </c>
      <c r="P388" s="826">
        <v>82.555765488800006</v>
      </c>
      <c r="Q388" s="826">
        <v>21.326971092899999</v>
      </c>
      <c r="R388" s="826">
        <v>100</v>
      </c>
      <c r="S388" s="826">
        <v>78.673028907100004</v>
      </c>
      <c r="T388" s="826" t="s">
        <v>3088</v>
      </c>
      <c r="U388" s="826" t="s">
        <v>3088</v>
      </c>
      <c r="V388" s="826" t="s">
        <v>3088</v>
      </c>
    </row>
    <row r="389" spans="1:22">
      <c r="A389" s="826" t="s">
        <v>3131</v>
      </c>
      <c r="B389" s="826" t="s">
        <v>541</v>
      </c>
      <c r="C389" s="826" t="str">
        <f t="shared" si="10"/>
        <v>2009_Zambia</v>
      </c>
      <c r="D389" s="826">
        <v>240.88</v>
      </c>
      <c r="E389" s="826">
        <v>4559.9399999999996</v>
      </c>
      <c r="F389" s="826">
        <f t="shared" si="11"/>
        <v>4559940000</v>
      </c>
      <c r="G389" s="826">
        <v>4319.0600000000004</v>
      </c>
      <c r="H389" s="826">
        <v>660.55700000000002</v>
      </c>
      <c r="I389" s="826">
        <v>4073.9569999999999</v>
      </c>
      <c r="J389" s="826">
        <v>3413.4</v>
      </c>
      <c r="K389" s="826">
        <v>-419.67700000000002</v>
      </c>
      <c r="L389" s="826">
        <v>485.983</v>
      </c>
      <c r="M389" s="826">
        <v>905.66</v>
      </c>
      <c r="N389" s="826">
        <v>5.2825256473</v>
      </c>
      <c r="O389" s="826">
        <v>100</v>
      </c>
      <c r="P389" s="826">
        <v>94.717474352699995</v>
      </c>
      <c r="Q389" s="826">
        <v>16.214137753500001</v>
      </c>
      <c r="R389" s="826">
        <v>100</v>
      </c>
      <c r="S389" s="826">
        <v>83.785862246500002</v>
      </c>
      <c r="T389" s="826" t="s">
        <v>3088</v>
      </c>
      <c r="U389" s="826" t="s">
        <v>3088</v>
      </c>
      <c r="V389" s="826" t="s">
        <v>3088</v>
      </c>
    </row>
    <row r="390" spans="1:22">
      <c r="A390" s="826" t="s">
        <v>3132</v>
      </c>
      <c r="B390" s="826" t="s">
        <v>21</v>
      </c>
      <c r="C390" s="826" t="str">
        <f t="shared" ref="C390:C453" si="12">$A390&amp;"_"&amp;$B390</f>
        <v>2010_Afghanistan</v>
      </c>
      <c r="D390" s="826">
        <v>3139.8389999999999</v>
      </c>
      <c r="E390" s="826">
        <v>5975.8389999999999</v>
      </c>
      <c r="F390" s="826">
        <f t="shared" ref="F390:F453" si="13">IFERROR($E390*1000000,"..")</f>
        <v>5975839000</v>
      </c>
      <c r="G390" s="826">
        <v>2836</v>
      </c>
      <c r="H390" s="826">
        <v>1247.8019999999999</v>
      </c>
      <c r="I390" s="826">
        <v>10386.802</v>
      </c>
      <c r="J390" s="826">
        <v>9139</v>
      </c>
      <c r="K390" s="826">
        <v>1892.037</v>
      </c>
      <c r="L390" s="826">
        <v>-4410.9629999999997</v>
      </c>
      <c r="M390" s="826">
        <v>-6303</v>
      </c>
      <c r="N390" s="826">
        <v>52.542228798300002</v>
      </c>
      <c r="O390" s="826">
        <v>100</v>
      </c>
      <c r="P390" s="826">
        <v>47.457771201699998</v>
      </c>
      <c r="Q390" s="826">
        <v>12.0133415463</v>
      </c>
      <c r="R390" s="826">
        <v>100</v>
      </c>
      <c r="S390" s="826">
        <v>87.986658453700002</v>
      </c>
      <c r="T390" s="826" t="s">
        <v>3088</v>
      </c>
      <c r="U390" s="826" t="s">
        <v>3088</v>
      </c>
      <c r="V390" s="826" t="s">
        <v>3088</v>
      </c>
    </row>
    <row r="391" spans="1:22">
      <c r="A391" s="826" t="s">
        <v>3132</v>
      </c>
      <c r="B391" s="826" t="s">
        <v>38</v>
      </c>
      <c r="C391" s="826" t="str">
        <f t="shared" si="12"/>
        <v>2010_Albania</v>
      </c>
      <c r="D391" s="826">
        <v>2307.63</v>
      </c>
      <c r="E391" s="826">
        <v>3855.53</v>
      </c>
      <c r="F391" s="826">
        <f t="shared" si="13"/>
        <v>3855530000</v>
      </c>
      <c r="G391" s="826">
        <v>1547.9</v>
      </c>
      <c r="H391" s="826">
        <v>2007.91</v>
      </c>
      <c r="I391" s="826">
        <v>6313.26</v>
      </c>
      <c r="J391" s="826">
        <v>4305.3500000000004</v>
      </c>
      <c r="K391" s="826">
        <v>299.72000000000003</v>
      </c>
      <c r="L391" s="826">
        <v>-2457.73</v>
      </c>
      <c r="M391" s="826">
        <v>-2757.45</v>
      </c>
      <c r="N391" s="826">
        <v>59.852471644600001</v>
      </c>
      <c r="O391" s="826">
        <v>100</v>
      </c>
      <c r="P391" s="826">
        <v>40.147528355399999</v>
      </c>
      <c r="Q391" s="826">
        <v>31.804646094100001</v>
      </c>
      <c r="R391" s="826">
        <v>100</v>
      </c>
      <c r="S391" s="826">
        <v>68.195353905900006</v>
      </c>
      <c r="T391" s="826" t="s">
        <v>3088</v>
      </c>
      <c r="U391" s="826" t="s">
        <v>3088</v>
      </c>
      <c r="V391" s="826" t="s">
        <v>3088</v>
      </c>
    </row>
    <row r="392" spans="1:22">
      <c r="A392" s="826" t="s">
        <v>3132</v>
      </c>
      <c r="B392" s="826" t="s">
        <v>53</v>
      </c>
      <c r="C392" s="826" t="str">
        <f t="shared" si="12"/>
        <v>2010_Azerbaijan</v>
      </c>
      <c r="D392" s="826">
        <v>2113.9450000000002</v>
      </c>
      <c r="E392" s="826">
        <v>28589.945</v>
      </c>
      <c r="F392" s="826">
        <f t="shared" si="13"/>
        <v>28589945000</v>
      </c>
      <c r="G392" s="826">
        <v>26476</v>
      </c>
      <c r="H392" s="826">
        <v>3845.9830000000002</v>
      </c>
      <c r="I392" s="826">
        <v>10591.584999999999</v>
      </c>
      <c r="J392" s="826">
        <v>6745.6019999999999</v>
      </c>
      <c r="K392" s="826">
        <v>-1732.038</v>
      </c>
      <c r="L392" s="826">
        <v>17998.36</v>
      </c>
      <c r="M392" s="826">
        <v>19730.398000000001</v>
      </c>
      <c r="N392" s="826">
        <v>7.3940156232999996</v>
      </c>
      <c r="O392" s="826">
        <v>100</v>
      </c>
      <c r="P392" s="826">
        <v>92.605984376699993</v>
      </c>
      <c r="Q392" s="826">
        <v>36.311685172700003</v>
      </c>
      <c r="R392" s="826">
        <v>100</v>
      </c>
      <c r="S392" s="826">
        <v>63.688314827299997</v>
      </c>
      <c r="T392" s="826" t="s">
        <v>3088</v>
      </c>
      <c r="U392" s="826" t="s">
        <v>3088</v>
      </c>
      <c r="V392" s="826" t="s">
        <v>3088</v>
      </c>
    </row>
    <row r="393" spans="1:22">
      <c r="A393" s="826" t="s">
        <v>3132</v>
      </c>
      <c r="B393" s="826" t="s">
        <v>98</v>
      </c>
      <c r="C393" s="826" t="str">
        <f t="shared" si="12"/>
        <v>2010_Burkina Faso</v>
      </c>
      <c r="D393" s="826">
        <v>303.755</v>
      </c>
      <c r="E393" s="826">
        <v>1889.0940000000001</v>
      </c>
      <c r="F393" s="826">
        <f t="shared" si="13"/>
        <v>1889094000</v>
      </c>
      <c r="G393" s="826">
        <v>1585.3389999999999</v>
      </c>
      <c r="H393" s="826">
        <v>831.96299999999997</v>
      </c>
      <c r="I393" s="826">
        <v>2556.7190000000001</v>
      </c>
      <c r="J393" s="826">
        <v>1724.7560000000001</v>
      </c>
      <c r="K393" s="826">
        <v>-528.20799999999997</v>
      </c>
      <c r="L393" s="826">
        <v>-667.625</v>
      </c>
      <c r="M393" s="826">
        <v>-139.417</v>
      </c>
      <c r="N393" s="826">
        <v>16.079401024999999</v>
      </c>
      <c r="O393" s="826">
        <v>100</v>
      </c>
      <c r="P393" s="826">
        <v>83.920598975000004</v>
      </c>
      <c r="Q393" s="826">
        <v>32.540259606200003</v>
      </c>
      <c r="R393" s="826">
        <v>100</v>
      </c>
      <c r="S393" s="826">
        <v>67.459740393800004</v>
      </c>
      <c r="T393" s="826" t="s">
        <v>3088</v>
      </c>
      <c r="U393" s="826" t="s">
        <v>3088</v>
      </c>
      <c r="V393" s="826" t="s">
        <v>3088</v>
      </c>
    </row>
    <row r="394" spans="1:22">
      <c r="A394" s="826" t="s">
        <v>3132</v>
      </c>
      <c r="B394" s="826" t="s">
        <v>3136</v>
      </c>
      <c r="C394" s="826" t="str">
        <f t="shared" si="12"/>
        <v>2010_ Cameroon</v>
      </c>
      <c r="D394" s="826">
        <v>1159.31</v>
      </c>
      <c r="E394" s="826">
        <v>5644.51</v>
      </c>
      <c r="F394" s="826">
        <f t="shared" si="13"/>
        <v>5644510000</v>
      </c>
      <c r="G394" s="826">
        <v>4485.2</v>
      </c>
      <c r="H394" s="826">
        <v>1745.55</v>
      </c>
      <c r="I394" s="826">
        <v>6408.19</v>
      </c>
      <c r="J394" s="826">
        <v>4662.6400000000003</v>
      </c>
      <c r="K394" s="826">
        <v>-586.24</v>
      </c>
      <c r="L394" s="826">
        <v>-763.68</v>
      </c>
      <c r="M394" s="826">
        <v>-177.44</v>
      </c>
      <c r="N394" s="826">
        <v>20.5387181527</v>
      </c>
      <c r="O394" s="826">
        <v>100</v>
      </c>
      <c r="P394" s="826">
        <v>79.4612818473</v>
      </c>
      <c r="Q394" s="826">
        <v>27.2393608804</v>
      </c>
      <c r="R394" s="826">
        <v>100</v>
      </c>
      <c r="S394" s="826">
        <v>72.7606391196</v>
      </c>
      <c r="T394" s="826" t="s">
        <v>3088</v>
      </c>
      <c r="U394" s="826" t="s">
        <v>3088</v>
      </c>
      <c r="V394" s="826" t="s">
        <v>3088</v>
      </c>
    </row>
    <row r="395" spans="1:22">
      <c r="A395" s="826" t="s">
        <v>3132</v>
      </c>
      <c r="B395" s="826" t="s">
        <v>127</v>
      </c>
      <c r="C395" s="826" t="str">
        <f t="shared" si="12"/>
        <v>2010_Central African Republic</v>
      </c>
      <c r="D395" s="826">
        <v>69.45608215</v>
      </c>
      <c r="E395" s="826">
        <v>210.99304025000001</v>
      </c>
      <c r="F395" s="826">
        <f t="shared" si="13"/>
        <v>210993040.25</v>
      </c>
      <c r="G395" s="826">
        <v>141.53695809999999</v>
      </c>
      <c r="H395" s="826">
        <v>183.33175172</v>
      </c>
      <c r="I395" s="826">
        <v>488.61546163999998</v>
      </c>
      <c r="J395" s="826">
        <v>305.28370991999998</v>
      </c>
      <c r="K395" s="826">
        <v>-113.87566957</v>
      </c>
      <c r="L395" s="826">
        <v>-277.62242139</v>
      </c>
      <c r="M395" s="826">
        <v>-163.74675181999999</v>
      </c>
      <c r="N395" s="826">
        <v>32.918660287400002</v>
      </c>
      <c r="O395" s="826">
        <v>100</v>
      </c>
      <c r="P395" s="826">
        <v>67.081339712599998</v>
      </c>
      <c r="Q395" s="826">
        <v>37.520661156499997</v>
      </c>
      <c r="R395" s="826">
        <v>100</v>
      </c>
      <c r="S395" s="826">
        <v>62.479338843500003</v>
      </c>
      <c r="T395" s="826" t="s">
        <v>3088</v>
      </c>
      <c r="U395" s="826" t="s">
        <v>3088</v>
      </c>
      <c r="V395" s="826" t="s">
        <v>3088</v>
      </c>
    </row>
    <row r="396" spans="1:22">
      <c r="A396" s="826" t="s">
        <v>3132</v>
      </c>
      <c r="B396" s="826" t="s">
        <v>3137</v>
      </c>
      <c r="C396" s="826" t="str">
        <f t="shared" si="12"/>
        <v>2010_ Chad</v>
      </c>
      <c r="D396" s="826">
        <v>389.63805500000001</v>
      </c>
      <c r="E396" s="826">
        <v>4011.351905</v>
      </c>
      <c r="F396" s="826">
        <f t="shared" si="13"/>
        <v>4011351905</v>
      </c>
      <c r="G396" s="826">
        <v>3621.7138500000001</v>
      </c>
      <c r="H396" s="826">
        <v>2247.5510789999998</v>
      </c>
      <c r="I396" s="826">
        <v>4629.9011790000004</v>
      </c>
      <c r="J396" s="826">
        <v>2382.3501000000001</v>
      </c>
      <c r="K396" s="826">
        <v>-1857.913024</v>
      </c>
      <c r="L396" s="826">
        <v>-618.54927399999997</v>
      </c>
      <c r="M396" s="826">
        <v>1239.36375</v>
      </c>
      <c r="N396" s="826">
        <v>9.7133850190000004</v>
      </c>
      <c r="O396" s="826">
        <v>100</v>
      </c>
      <c r="P396" s="826">
        <v>90.286614981</v>
      </c>
      <c r="Q396" s="826">
        <v>48.544255959399997</v>
      </c>
      <c r="R396" s="826">
        <v>100</v>
      </c>
      <c r="S396" s="826">
        <v>51.455744040600003</v>
      </c>
      <c r="T396" s="826" t="s">
        <v>3088</v>
      </c>
      <c r="U396" s="826" t="s">
        <v>3088</v>
      </c>
      <c r="V396" s="826" t="s">
        <v>3088</v>
      </c>
    </row>
    <row r="397" spans="1:22">
      <c r="A397" s="826" t="s">
        <v>3132</v>
      </c>
      <c r="B397" s="826" t="s">
        <v>465</v>
      </c>
      <c r="C397" s="826" t="str">
        <f t="shared" si="12"/>
        <v>2010_Republic of the Congo</v>
      </c>
      <c r="D397" s="826">
        <v>398.76675072</v>
      </c>
      <c r="E397" s="826">
        <v>9757.1661918400005</v>
      </c>
      <c r="F397" s="826">
        <f t="shared" si="13"/>
        <v>9757166191.8400002</v>
      </c>
      <c r="G397" s="826">
        <v>9358.3994411200001</v>
      </c>
      <c r="H397" s="826">
        <v>4856.4742558199996</v>
      </c>
      <c r="I397" s="826">
        <v>8919.4531544900001</v>
      </c>
      <c r="J397" s="826">
        <v>4062.97889867</v>
      </c>
      <c r="K397" s="826">
        <v>-4457.7075051000002</v>
      </c>
      <c r="L397" s="826">
        <v>837.71303735000004</v>
      </c>
      <c r="M397" s="826">
        <v>5295.4205424499996</v>
      </c>
      <c r="N397" s="826">
        <v>4.0869115363999997</v>
      </c>
      <c r="O397" s="826">
        <v>100</v>
      </c>
      <c r="P397" s="826">
        <v>95.913088463600005</v>
      </c>
      <c r="Q397" s="826">
        <v>54.448116624500003</v>
      </c>
      <c r="R397" s="826">
        <v>100</v>
      </c>
      <c r="S397" s="826">
        <v>45.551883375499997</v>
      </c>
      <c r="T397" s="826" t="s">
        <v>3088</v>
      </c>
      <c r="U397" s="826" t="s">
        <v>3088</v>
      </c>
      <c r="V397" s="826" t="s">
        <v>3088</v>
      </c>
    </row>
    <row r="398" spans="1:22">
      <c r="A398" s="826" t="s">
        <v>3132</v>
      </c>
      <c r="B398" s="826" t="s">
        <v>171</v>
      </c>
      <c r="C398" s="826" t="str">
        <f t="shared" si="12"/>
        <v>2010_Democratic Republic of Congo</v>
      </c>
      <c r="D398" s="826">
        <v>388.6</v>
      </c>
      <c r="E398" s="826">
        <v>8866.5</v>
      </c>
      <c r="F398" s="826">
        <f t="shared" si="13"/>
        <v>8866500000</v>
      </c>
      <c r="G398" s="826">
        <v>8477.9</v>
      </c>
      <c r="H398" s="826">
        <v>2662.7</v>
      </c>
      <c r="I398" s="826">
        <v>10705.2</v>
      </c>
      <c r="J398" s="826">
        <v>8042.5</v>
      </c>
      <c r="K398" s="826">
        <v>-2274.1</v>
      </c>
      <c r="L398" s="826">
        <v>-1838.7</v>
      </c>
      <c r="M398" s="826">
        <v>435.4</v>
      </c>
      <c r="N398" s="826">
        <v>4.3827891501999998</v>
      </c>
      <c r="O398" s="826">
        <v>100</v>
      </c>
      <c r="P398" s="826">
        <v>95.617210849800003</v>
      </c>
      <c r="Q398" s="826">
        <v>24.8729589358</v>
      </c>
      <c r="R398" s="826">
        <v>100</v>
      </c>
      <c r="S398" s="826">
        <v>75.1270410642</v>
      </c>
      <c r="T398" s="826" t="s">
        <v>3088</v>
      </c>
      <c r="U398" s="826" t="s">
        <v>3088</v>
      </c>
      <c r="V398" s="826" t="s">
        <v>3088</v>
      </c>
    </row>
    <row r="399" spans="1:22">
      <c r="A399" s="826" t="s">
        <v>3132</v>
      </c>
      <c r="B399" s="826" t="s">
        <v>3138</v>
      </c>
      <c r="C399" s="826" t="str">
        <f t="shared" si="12"/>
        <v>2010_ Equatorial Guinea</v>
      </c>
      <c r="D399" s="826">
        <v>51.688247179999998</v>
      </c>
      <c r="E399" s="826">
        <v>12116.653912850001</v>
      </c>
      <c r="F399" s="826">
        <f t="shared" si="13"/>
        <v>12116653912.85</v>
      </c>
      <c r="G399" s="826">
        <v>12064.965665670001</v>
      </c>
      <c r="H399" s="826">
        <v>2002.71767112</v>
      </c>
      <c r="I399" s="826">
        <v>6860.2014630100002</v>
      </c>
      <c r="J399" s="826">
        <v>4857.4837918900002</v>
      </c>
      <c r="K399" s="826">
        <v>-1951.02942394</v>
      </c>
      <c r="L399" s="826">
        <v>5256.4524498399996</v>
      </c>
      <c r="M399" s="826">
        <v>7207.4818737799997</v>
      </c>
      <c r="N399" s="826">
        <v>0.42658845880000001</v>
      </c>
      <c r="O399" s="826">
        <v>100</v>
      </c>
      <c r="P399" s="826">
        <v>99.573411541200002</v>
      </c>
      <c r="Q399" s="826">
        <v>29.193277805600001</v>
      </c>
      <c r="R399" s="826">
        <v>100</v>
      </c>
      <c r="S399" s="826">
        <v>70.806722194399995</v>
      </c>
      <c r="T399" s="826" t="s">
        <v>3088</v>
      </c>
      <c r="U399" s="826" t="s">
        <v>3088</v>
      </c>
      <c r="V399" s="826" t="s">
        <v>3088</v>
      </c>
    </row>
    <row r="400" spans="1:22">
      <c r="A400" s="826" t="s">
        <v>3132</v>
      </c>
      <c r="B400" s="826" t="s">
        <v>3139</v>
      </c>
      <c r="C400" s="826" t="str">
        <f t="shared" si="12"/>
        <v>2010_ Gabon</v>
      </c>
      <c r="D400" s="826" t="s">
        <v>603</v>
      </c>
      <c r="E400" s="826" t="s">
        <v>3088</v>
      </c>
      <c r="F400" s="826" t="str">
        <f t="shared" si="13"/>
        <v>..</v>
      </c>
      <c r="G400" s="826">
        <v>7444.7228520600002</v>
      </c>
      <c r="H400" s="826" t="s">
        <v>603</v>
      </c>
      <c r="I400" s="826" t="s">
        <v>603</v>
      </c>
      <c r="J400" s="826">
        <v>2375.84220547</v>
      </c>
      <c r="K400" s="826" t="s">
        <v>603</v>
      </c>
      <c r="L400" s="826" t="s">
        <v>603</v>
      </c>
      <c r="M400" s="826">
        <v>5068.8806465899997</v>
      </c>
      <c r="N400" s="826" t="s">
        <v>603</v>
      </c>
      <c r="O400" s="826" t="s">
        <v>603</v>
      </c>
      <c r="P400" s="826">
        <v>97.736309176800006</v>
      </c>
      <c r="Q400" s="826" t="s">
        <v>603</v>
      </c>
      <c r="R400" s="826" t="s">
        <v>603</v>
      </c>
      <c r="S400" s="826">
        <v>54.8475808707</v>
      </c>
      <c r="T400" s="826" t="s">
        <v>3088</v>
      </c>
      <c r="U400" s="826" t="s">
        <v>3088</v>
      </c>
      <c r="V400" s="826" t="s">
        <v>3088</v>
      </c>
    </row>
    <row r="401" spans="1:22">
      <c r="A401" s="826" t="s">
        <v>3132</v>
      </c>
      <c r="B401" s="826" t="s">
        <v>195</v>
      </c>
      <c r="C401" s="826" t="str">
        <f t="shared" si="12"/>
        <v>2010_Ghana</v>
      </c>
      <c r="D401" s="826">
        <v>1477.3</v>
      </c>
      <c r="E401" s="826">
        <v>9437.3799999999992</v>
      </c>
      <c r="F401" s="826">
        <f t="shared" si="13"/>
        <v>9437380000</v>
      </c>
      <c r="G401" s="826">
        <v>7960.08</v>
      </c>
      <c r="H401" s="826">
        <v>3003.23</v>
      </c>
      <c r="I401" s="826">
        <v>13925.33</v>
      </c>
      <c r="J401" s="826">
        <v>10922.1</v>
      </c>
      <c r="K401" s="826">
        <v>-1525.93</v>
      </c>
      <c r="L401" s="826">
        <v>-4487.95</v>
      </c>
      <c r="M401" s="826">
        <v>-2962.02</v>
      </c>
      <c r="N401" s="826">
        <v>15.653708974300001</v>
      </c>
      <c r="O401" s="826">
        <v>100</v>
      </c>
      <c r="P401" s="826">
        <v>84.346291025699998</v>
      </c>
      <c r="Q401" s="826">
        <v>21.566670233300002</v>
      </c>
      <c r="R401" s="826">
        <v>100</v>
      </c>
      <c r="S401" s="826">
        <v>78.433329766699998</v>
      </c>
      <c r="T401" s="826" t="s">
        <v>3088</v>
      </c>
      <c r="U401" s="826" t="s">
        <v>3088</v>
      </c>
      <c r="V401" s="826" t="s">
        <v>3088</v>
      </c>
    </row>
    <row r="402" spans="1:22">
      <c r="A402" s="826" t="s">
        <v>3132</v>
      </c>
      <c r="B402" s="826" t="s">
        <v>219</v>
      </c>
      <c r="C402" s="826" t="str">
        <f t="shared" si="12"/>
        <v>2010_Guatemala</v>
      </c>
      <c r="D402" s="826">
        <v>2267.4439189999998</v>
      </c>
      <c r="E402" s="826">
        <v>10803.023918999999</v>
      </c>
      <c r="F402" s="826">
        <f t="shared" si="13"/>
        <v>10803023919</v>
      </c>
      <c r="G402" s="826">
        <v>8535.58</v>
      </c>
      <c r="H402" s="826">
        <v>2299.1999999999998</v>
      </c>
      <c r="I402" s="826">
        <v>15105.7</v>
      </c>
      <c r="J402" s="826">
        <v>12806.5</v>
      </c>
      <c r="K402" s="826">
        <v>-31.756080999999998</v>
      </c>
      <c r="L402" s="826">
        <v>-4302.6760809999996</v>
      </c>
      <c r="M402" s="826">
        <v>-4270.92</v>
      </c>
      <c r="N402" s="826">
        <v>20.988974346500001</v>
      </c>
      <c r="O402" s="826">
        <v>100</v>
      </c>
      <c r="P402" s="826">
        <v>79.011025653499999</v>
      </c>
      <c r="Q402" s="826">
        <v>15.220744487199999</v>
      </c>
      <c r="R402" s="826">
        <v>100</v>
      </c>
      <c r="S402" s="826">
        <v>84.779255512800006</v>
      </c>
      <c r="T402" s="826" t="s">
        <v>3088</v>
      </c>
      <c r="U402" s="826" t="s">
        <v>3088</v>
      </c>
      <c r="V402" s="826" t="s">
        <v>3088</v>
      </c>
    </row>
    <row r="403" spans="1:22">
      <c r="A403" s="826" t="s">
        <v>3132</v>
      </c>
      <c r="B403" s="826" t="s">
        <v>3140</v>
      </c>
      <c r="C403" s="826" t="str">
        <f t="shared" si="12"/>
        <v>2010_ Guinea</v>
      </c>
      <c r="D403" s="826">
        <v>62.41</v>
      </c>
      <c r="E403" s="826">
        <v>1533.58</v>
      </c>
      <c r="F403" s="826">
        <f t="shared" si="13"/>
        <v>1533580000</v>
      </c>
      <c r="G403" s="826">
        <v>1471.17</v>
      </c>
      <c r="H403" s="826">
        <v>395.53</v>
      </c>
      <c r="I403" s="826">
        <v>1800.45</v>
      </c>
      <c r="J403" s="826">
        <v>1404.92</v>
      </c>
      <c r="K403" s="826">
        <v>-333.12</v>
      </c>
      <c r="L403" s="826">
        <v>-266.87</v>
      </c>
      <c r="M403" s="826">
        <v>66.25</v>
      </c>
      <c r="N403" s="826">
        <v>4.0695627224999997</v>
      </c>
      <c r="O403" s="826">
        <v>100</v>
      </c>
      <c r="P403" s="826">
        <v>95.930437277500005</v>
      </c>
      <c r="Q403" s="826">
        <v>21.968396789700002</v>
      </c>
      <c r="R403" s="826">
        <v>100</v>
      </c>
      <c r="S403" s="826">
        <v>78.031603210300005</v>
      </c>
      <c r="T403" s="826" t="s">
        <v>3088</v>
      </c>
      <c r="U403" s="826" t="s">
        <v>3088</v>
      </c>
      <c r="V403" s="826" t="s">
        <v>3088</v>
      </c>
    </row>
    <row r="404" spans="1:22">
      <c r="A404" s="826" t="s">
        <v>3132</v>
      </c>
      <c r="B404" s="826" t="s">
        <v>243</v>
      </c>
      <c r="C404" s="826" t="str">
        <f t="shared" si="12"/>
        <v>2010_Indonesia</v>
      </c>
      <c r="D404" s="826">
        <v>16765.8</v>
      </c>
      <c r="E404" s="826">
        <v>174765.8</v>
      </c>
      <c r="F404" s="826">
        <f t="shared" si="13"/>
        <v>174765800000</v>
      </c>
      <c r="G404" s="826">
        <v>158000</v>
      </c>
      <c r="H404" s="826">
        <v>26089.3</v>
      </c>
      <c r="I404" s="826">
        <v>153089.29999999999</v>
      </c>
      <c r="J404" s="826">
        <v>127000</v>
      </c>
      <c r="K404" s="826">
        <v>-9323.5</v>
      </c>
      <c r="L404" s="826">
        <v>21676.5</v>
      </c>
      <c r="M404" s="826">
        <v>31000</v>
      </c>
      <c r="N404" s="826">
        <v>9.5932957134999999</v>
      </c>
      <c r="O404" s="826">
        <v>100</v>
      </c>
      <c r="P404" s="826">
        <v>90.406704286500002</v>
      </c>
      <c r="Q404" s="826">
        <v>17.041883397500001</v>
      </c>
      <c r="R404" s="826">
        <v>100</v>
      </c>
      <c r="S404" s="826">
        <v>82.958116602499999</v>
      </c>
      <c r="T404" s="826" t="s">
        <v>3088</v>
      </c>
      <c r="U404" s="826" t="s">
        <v>3088</v>
      </c>
      <c r="V404" s="826" t="s">
        <v>3088</v>
      </c>
    </row>
    <row r="405" spans="1:22">
      <c r="A405" s="826" t="s">
        <v>3132</v>
      </c>
      <c r="B405" s="826" t="s">
        <v>251</v>
      </c>
      <c r="C405" s="826" t="str">
        <f t="shared" si="12"/>
        <v>2010_Iraq</v>
      </c>
      <c r="D405" s="826">
        <v>2833.6</v>
      </c>
      <c r="E405" s="826">
        <v>54593.9</v>
      </c>
      <c r="F405" s="826">
        <f t="shared" si="13"/>
        <v>54593900000</v>
      </c>
      <c r="G405" s="826">
        <v>51760.3</v>
      </c>
      <c r="H405" s="826">
        <v>9863.5</v>
      </c>
      <c r="I405" s="826">
        <v>47191.5</v>
      </c>
      <c r="J405" s="826">
        <v>37328</v>
      </c>
      <c r="K405" s="826">
        <v>-7029.9</v>
      </c>
      <c r="L405" s="826">
        <v>7402.4</v>
      </c>
      <c r="M405" s="826">
        <v>14432.3</v>
      </c>
      <c r="N405" s="826">
        <v>5.1903234610000002</v>
      </c>
      <c r="O405" s="826">
        <v>100</v>
      </c>
      <c r="P405" s="826">
        <v>94.809676538999994</v>
      </c>
      <c r="Q405" s="826">
        <v>20.901009715699999</v>
      </c>
      <c r="R405" s="826">
        <v>100</v>
      </c>
      <c r="S405" s="826">
        <v>79.098990284300001</v>
      </c>
      <c r="T405" s="826" t="s">
        <v>3088</v>
      </c>
      <c r="U405" s="826" t="s">
        <v>3088</v>
      </c>
      <c r="V405" s="826" t="s">
        <v>3088</v>
      </c>
    </row>
    <row r="406" spans="1:22">
      <c r="A406" s="826" t="s">
        <v>3132</v>
      </c>
      <c r="B406" s="826" t="s">
        <v>280</v>
      </c>
      <c r="C406" s="826" t="str">
        <f t="shared" si="12"/>
        <v>2010_Kazakhstan</v>
      </c>
      <c r="D406" s="826">
        <v>4113.4837200000002</v>
      </c>
      <c r="E406" s="826">
        <v>65510.66</v>
      </c>
      <c r="F406" s="826">
        <f t="shared" si="13"/>
        <v>65510660000</v>
      </c>
      <c r="G406" s="826">
        <v>61397.17628</v>
      </c>
      <c r="H406" s="826">
        <v>11308.0417</v>
      </c>
      <c r="I406" s="826">
        <v>44234.8</v>
      </c>
      <c r="J406" s="826">
        <v>32926.758300000001</v>
      </c>
      <c r="K406" s="826">
        <v>-7194.5579799999996</v>
      </c>
      <c r="L406" s="826">
        <v>21275.86</v>
      </c>
      <c r="M406" s="826">
        <v>28470.417979999998</v>
      </c>
      <c r="N406" s="826">
        <v>6.2791059042999997</v>
      </c>
      <c r="O406" s="826">
        <v>100</v>
      </c>
      <c r="P406" s="826">
        <v>93.720894095700004</v>
      </c>
      <c r="Q406" s="826">
        <v>25.563677692700001</v>
      </c>
      <c r="R406" s="826">
        <v>100</v>
      </c>
      <c r="S406" s="826">
        <v>74.436322307300003</v>
      </c>
      <c r="T406" s="826" t="s">
        <v>3088</v>
      </c>
      <c r="U406" s="826" t="s">
        <v>3088</v>
      </c>
      <c r="V406" s="826" t="s">
        <v>3088</v>
      </c>
    </row>
    <row r="407" spans="1:22">
      <c r="A407" s="826" t="s">
        <v>3132</v>
      </c>
      <c r="B407" s="826" t="s">
        <v>3141</v>
      </c>
      <c r="C407" s="826" t="str">
        <f t="shared" si="12"/>
        <v>2010_Kyrgyzstan</v>
      </c>
      <c r="D407" s="826">
        <v>727.79700000000003</v>
      </c>
      <c r="E407" s="826">
        <v>2506.4969999999998</v>
      </c>
      <c r="F407" s="826">
        <f t="shared" si="13"/>
        <v>2506497000</v>
      </c>
      <c r="G407" s="826">
        <v>1778.7</v>
      </c>
      <c r="H407" s="826">
        <v>924.24900000000002</v>
      </c>
      <c r="I407" s="826">
        <v>3905.145</v>
      </c>
      <c r="J407" s="826">
        <v>2980.8960000000002</v>
      </c>
      <c r="K407" s="826">
        <v>-196.452</v>
      </c>
      <c r="L407" s="826">
        <v>-1398.6479999999999</v>
      </c>
      <c r="M407" s="826">
        <v>-1202.1959999999999</v>
      </c>
      <c r="N407" s="826">
        <v>29.0364201513</v>
      </c>
      <c r="O407" s="826">
        <v>100</v>
      </c>
      <c r="P407" s="826">
        <v>70.963579848699993</v>
      </c>
      <c r="Q407" s="826">
        <v>23.667469453799999</v>
      </c>
      <c r="R407" s="826">
        <v>100</v>
      </c>
      <c r="S407" s="826">
        <v>76.332530546200005</v>
      </c>
      <c r="T407" s="826" t="s">
        <v>3088</v>
      </c>
      <c r="U407" s="826" t="s">
        <v>3088</v>
      </c>
      <c r="V407" s="826" t="s">
        <v>3088</v>
      </c>
    </row>
    <row r="408" spans="1:22">
      <c r="A408" s="826" t="s">
        <v>3132</v>
      </c>
      <c r="B408" s="826" t="s">
        <v>301</v>
      </c>
      <c r="C408" s="826" t="str">
        <f t="shared" si="12"/>
        <v>2010_Liberia</v>
      </c>
      <c r="D408" s="826">
        <v>157.99299999999999</v>
      </c>
      <c r="E408" s="826">
        <v>399.20299999999997</v>
      </c>
      <c r="F408" s="826">
        <f t="shared" si="13"/>
        <v>399203000</v>
      </c>
      <c r="G408" s="826">
        <v>241.21</v>
      </c>
      <c r="H408" s="826">
        <v>1078.5899999999999</v>
      </c>
      <c r="I408" s="826">
        <v>1797.6569999999999</v>
      </c>
      <c r="J408" s="826">
        <v>719.06700000000001</v>
      </c>
      <c r="K408" s="826">
        <v>-920.59699999999998</v>
      </c>
      <c r="L408" s="826">
        <v>-1398.454</v>
      </c>
      <c r="M408" s="826">
        <v>-477.85700000000003</v>
      </c>
      <c r="N408" s="826">
        <v>39.577107386500003</v>
      </c>
      <c r="O408" s="826">
        <v>100</v>
      </c>
      <c r="P408" s="826">
        <v>60.422892613499997</v>
      </c>
      <c r="Q408" s="826">
        <v>59.999766362499997</v>
      </c>
      <c r="R408" s="826">
        <v>100</v>
      </c>
      <c r="S408" s="826">
        <v>40.000233637500003</v>
      </c>
      <c r="T408" s="826" t="s">
        <v>3088</v>
      </c>
      <c r="U408" s="826" t="s">
        <v>3088</v>
      </c>
      <c r="V408" s="826" t="s">
        <v>3088</v>
      </c>
    </row>
    <row r="409" spans="1:22">
      <c r="A409" s="826" t="s">
        <v>3132</v>
      </c>
      <c r="B409" s="826" t="s">
        <v>316</v>
      </c>
      <c r="C409" s="826" t="str">
        <f t="shared" si="12"/>
        <v>2010_Madagascar</v>
      </c>
      <c r="D409" s="826">
        <v>1038.94</v>
      </c>
      <c r="E409" s="826">
        <v>2110.1410095199999</v>
      </c>
      <c r="F409" s="826">
        <f t="shared" si="13"/>
        <v>2110141009.52</v>
      </c>
      <c r="G409" s="826">
        <v>1071.2010095200001</v>
      </c>
      <c r="H409" s="826">
        <v>1134.92</v>
      </c>
      <c r="I409" s="826">
        <v>3281.8991491199999</v>
      </c>
      <c r="J409" s="826">
        <v>2146.9791491199999</v>
      </c>
      <c r="K409" s="826">
        <v>-95.98</v>
      </c>
      <c r="L409" s="826">
        <v>-1171.7581396</v>
      </c>
      <c r="M409" s="826">
        <v>-1075.7781396</v>
      </c>
      <c r="N409" s="826">
        <v>49.235572187499997</v>
      </c>
      <c r="O409" s="826">
        <v>100</v>
      </c>
      <c r="P409" s="826">
        <v>50.764427812500003</v>
      </c>
      <c r="Q409" s="826">
        <v>34.581196692299997</v>
      </c>
      <c r="R409" s="826">
        <v>100</v>
      </c>
      <c r="S409" s="826">
        <v>65.418803307700003</v>
      </c>
      <c r="T409" s="826" t="s">
        <v>3088</v>
      </c>
      <c r="U409" s="826" t="s">
        <v>3088</v>
      </c>
      <c r="V409" s="826" t="s">
        <v>3088</v>
      </c>
    </row>
    <row r="410" spans="1:22">
      <c r="A410" s="826" t="s">
        <v>3132</v>
      </c>
      <c r="B410" s="826" t="s">
        <v>329</v>
      </c>
      <c r="C410" s="826" t="str">
        <f t="shared" si="12"/>
        <v>2010_Mali</v>
      </c>
      <c r="D410" s="826">
        <v>380.75695999999999</v>
      </c>
      <c r="E410" s="826">
        <v>2436.3150000000001</v>
      </c>
      <c r="F410" s="826">
        <f t="shared" si="13"/>
        <v>2436315000</v>
      </c>
      <c r="G410" s="826">
        <v>2055.5580399999999</v>
      </c>
      <c r="H410" s="826">
        <v>1014.1228</v>
      </c>
      <c r="I410" s="826">
        <v>3744.8</v>
      </c>
      <c r="J410" s="826">
        <v>2730.6772000000001</v>
      </c>
      <c r="K410" s="826">
        <v>-633.36584000000005</v>
      </c>
      <c r="L410" s="826">
        <v>-1308.4849999999999</v>
      </c>
      <c r="M410" s="826">
        <v>-675.11915999999997</v>
      </c>
      <c r="N410" s="826">
        <v>15.6283961639</v>
      </c>
      <c r="O410" s="826">
        <v>100</v>
      </c>
      <c r="P410" s="826">
        <v>84.371603836099993</v>
      </c>
      <c r="Q410" s="826">
        <v>27.0808267464</v>
      </c>
      <c r="R410" s="826">
        <v>100</v>
      </c>
      <c r="S410" s="826">
        <v>72.919173253599993</v>
      </c>
      <c r="T410" s="826" t="s">
        <v>3088</v>
      </c>
      <c r="U410" s="826" t="s">
        <v>3088</v>
      </c>
      <c r="V410" s="826" t="s">
        <v>3088</v>
      </c>
    </row>
    <row r="411" spans="1:22">
      <c r="A411" s="826" t="s">
        <v>3132</v>
      </c>
      <c r="B411" s="826" t="s">
        <v>345</v>
      </c>
      <c r="C411" s="826" t="str">
        <f t="shared" si="12"/>
        <v>2010_Mauritania</v>
      </c>
      <c r="D411" s="826">
        <v>119</v>
      </c>
      <c r="E411" s="826">
        <v>2201.6202990900001</v>
      </c>
      <c r="F411" s="826">
        <f t="shared" si="13"/>
        <v>2201620299.0900002</v>
      </c>
      <c r="G411" s="826">
        <v>2082.6202990900001</v>
      </c>
      <c r="H411" s="826">
        <v>669.9</v>
      </c>
      <c r="I411" s="826">
        <v>2517.33753505</v>
      </c>
      <c r="J411" s="826">
        <v>1847.43753505</v>
      </c>
      <c r="K411" s="826">
        <v>-550.9</v>
      </c>
      <c r="L411" s="826">
        <v>-315.71723595999998</v>
      </c>
      <c r="M411" s="826">
        <v>235.18276404</v>
      </c>
      <c r="N411" s="826">
        <v>5.4051100478</v>
      </c>
      <c r="O411" s="826">
        <v>100</v>
      </c>
      <c r="P411" s="826">
        <v>94.594889952200006</v>
      </c>
      <c r="Q411" s="826">
        <v>26.6114492265</v>
      </c>
      <c r="R411" s="826">
        <v>100</v>
      </c>
      <c r="S411" s="826">
        <v>73.3885507735</v>
      </c>
      <c r="T411" s="826" t="s">
        <v>3088</v>
      </c>
      <c r="U411" s="826" t="s">
        <v>3088</v>
      </c>
      <c r="V411" s="826" t="s">
        <v>3088</v>
      </c>
    </row>
    <row r="412" spans="1:22">
      <c r="A412" s="826" t="s">
        <v>3132</v>
      </c>
      <c r="B412" s="826" t="s">
        <v>364</v>
      </c>
      <c r="C412" s="826" t="str">
        <f t="shared" si="12"/>
        <v>2010_Mongolia</v>
      </c>
      <c r="D412" s="826">
        <v>486.00599999999997</v>
      </c>
      <c r="E412" s="826">
        <v>3394.5059999999999</v>
      </c>
      <c r="F412" s="826">
        <f t="shared" si="13"/>
        <v>3394506000</v>
      </c>
      <c r="G412" s="826">
        <v>2908.5</v>
      </c>
      <c r="H412" s="826">
        <v>780.49699999999996</v>
      </c>
      <c r="I412" s="826">
        <v>3869.3670000000002</v>
      </c>
      <c r="J412" s="826">
        <v>3088.87</v>
      </c>
      <c r="K412" s="826">
        <v>-294.49099999999999</v>
      </c>
      <c r="L412" s="826">
        <v>-474.86099999999999</v>
      </c>
      <c r="M412" s="826">
        <v>-180.37</v>
      </c>
      <c r="N412" s="826">
        <v>14.3174293992</v>
      </c>
      <c r="O412" s="826">
        <v>100</v>
      </c>
      <c r="P412" s="826">
        <v>85.682570600800005</v>
      </c>
      <c r="Q412" s="826">
        <v>20.1711804541</v>
      </c>
      <c r="R412" s="826">
        <v>100</v>
      </c>
      <c r="S412" s="826">
        <v>79.828819545900004</v>
      </c>
      <c r="T412" s="826" t="s">
        <v>3088</v>
      </c>
      <c r="U412" s="826" t="s">
        <v>3088</v>
      </c>
      <c r="V412" s="826" t="s">
        <v>3088</v>
      </c>
    </row>
    <row r="413" spans="1:22">
      <c r="A413" s="826" t="s">
        <v>3132</v>
      </c>
      <c r="B413" s="826" t="s">
        <v>385</v>
      </c>
      <c r="C413" s="826" t="str">
        <f t="shared" si="12"/>
        <v>2010_Mozambique</v>
      </c>
      <c r="D413" s="826">
        <v>611.08100000000002</v>
      </c>
      <c r="E413" s="826">
        <v>2944.3310000000001</v>
      </c>
      <c r="F413" s="826">
        <f t="shared" si="13"/>
        <v>2944331000</v>
      </c>
      <c r="G413" s="826">
        <v>2333.25</v>
      </c>
      <c r="H413" s="826">
        <v>1238.799</v>
      </c>
      <c r="I413" s="826">
        <v>4751.2290000000003</v>
      </c>
      <c r="J413" s="826">
        <v>3512.43</v>
      </c>
      <c r="K413" s="826">
        <v>-627.71799999999996</v>
      </c>
      <c r="L413" s="826">
        <v>-1806.8979999999999</v>
      </c>
      <c r="M413" s="826">
        <v>-1179.18</v>
      </c>
      <c r="N413" s="826">
        <v>20.754493974999999</v>
      </c>
      <c r="O413" s="826">
        <v>100</v>
      </c>
      <c r="P413" s="826">
        <v>79.245506024999997</v>
      </c>
      <c r="Q413" s="826">
        <v>26.073232841399999</v>
      </c>
      <c r="R413" s="826">
        <v>100</v>
      </c>
      <c r="S413" s="826">
        <v>73.926767158600001</v>
      </c>
      <c r="T413" s="826" t="s">
        <v>3088</v>
      </c>
      <c r="U413" s="826" t="s">
        <v>3088</v>
      </c>
      <c r="V413" s="826" t="s">
        <v>3088</v>
      </c>
    </row>
    <row r="414" spans="1:22">
      <c r="A414" s="826" t="s">
        <v>3132</v>
      </c>
      <c r="B414" s="826" t="s">
        <v>394</v>
      </c>
      <c r="C414" s="826" t="str">
        <f t="shared" si="12"/>
        <v>2010_Niger</v>
      </c>
      <c r="D414" s="826">
        <v>119.032</v>
      </c>
      <c r="E414" s="826">
        <v>1270.1679999999999</v>
      </c>
      <c r="F414" s="826">
        <f t="shared" si="13"/>
        <v>1270168000</v>
      </c>
      <c r="G414" s="826">
        <v>1151.136</v>
      </c>
      <c r="H414" s="826">
        <v>842.92399999999998</v>
      </c>
      <c r="I414" s="826">
        <v>2807.366</v>
      </c>
      <c r="J414" s="826">
        <v>1964.442</v>
      </c>
      <c r="K414" s="826">
        <v>-723.89200000000005</v>
      </c>
      <c r="L414" s="826">
        <v>-1537.1980000000001</v>
      </c>
      <c r="M414" s="826">
        <v>-813.30600000000004</v>
      </c>
      <c r="N414" s="826">
        <v>9.3713587494000006</v>
      </c>
      <c r="O414" s="826">
        <v>100</v>
      </c>
      <c r="P414" s="826">
        <v>90.628641250599998</v>
      </c>
      <c r="Q414" s="826">
        <v>30.025440216900002</v>
      </c>
      <c r="R414" s="826">
        <v>100</v>
      </c>
      <c r="S414" s="826">
        <v>69.974559783100005</v>
      </c>
      <c r="T414" s="826" t="s">
        <v>3088</v>
      </c>
      <c r="U414" s="826" t="s">
        <v>3088</v>
      </c>
      <c r="V414" s="826" t="s">
        <v>3088</v>
      </c>
    </row>
    <row r="415" spans="1:22">
      <c r="A415" s="826" t="s">
        <v>3132</v>
      </c>
      <c r="B415" s="826" t="s">
        <v>413</v>
      </c>
      <c r="C415" s="826" t="str">
        <f t="shared" si="12"/>
        <v>2010_Nigeria</v>
      </c>
      <c r="D415" s="826">
        <v>3091.9380000000001</v>
      </c>
      <c r="E415" s="826">
        <v>80975.024000000005</v>
      </c>
      <c r="F415" s="826">
        <f t="shared" si="13"/>
        <v>80975024000</v>
      </c>
      <c r="G415" s="826">
        <v>77883.085999999996</v>
      </c>
      <c r="H415" s="826">
        <v>21411.481</v>
      </c>
      <c r="I415" s="826">
        <v>67785.513000000006</v>
      </c>
      <c r="J415" s="826">
        <v>46374.031999999999</v>
      </c>
      <c r="K415" s="826">
        <v>-18319.543000000001</v>
      </c>
      <c r="L415" s="826">
        <v>13189.511</v>
      </c>
      <c r="M415" s="826">
        <v>31509.054</v>
      </c>
      <c r="N415" s="826">
        <v>3.8183847899000001</v>
      </c>
      <c r="O415" s="826">
        <v>100</v>
      </c>
      <c r="P415" s="826">
        <v>96.181615210100006</v>
      </c>
      <c r="Q415" s="826">
        <v>31.587104754999999</v>
      </c>
      <c r="R415" s="826">
        <v>100</v>
      </c>
      <c r="S415" s="826">
        <v>68.412895245000001</v>
      </c>
      <c r="T415" s="826" t="s">
        <v>3088</v>
      </c>
      <c r="U415" s="826" t="s">
        <v>3088</v>
      </c>
      <c r="V415" s="826" t="s">
        <v>3088</v>
      </c>
    </row>
    <row r="416" spans="1:22">
      <c r="A416" s="826" t="s">
        <v>3132</v>
      </c>
      <c r="B416" s="826" t="s">
        <v>436</v>
      </c>
      <c r="C416" s="826" t="str">
        <f t="shared" si="12"/>
        <v>2010_Norway</v>
      </c>
      <c r="D416" s="826">
        <v>39721.082331999998</v>
      </c>
      <c r="E416" s="826">
        <v>172106.14989299999</v>
      </c>
      <c r="F416" s="826">
        <f t="shared" si="13"/>
        <v>172106149893</v>
      </c>
      <c r="G416" s="826">
        <v>132385.067561</v>
      </c>
      <c r="H416" s="826">
        <v>42911.323292000001</v>
      </c>
      <c r="I416" s="826">
        <v>117219.17322</v>
      </c>
      <c r="J416" s="826">
        <v>74307.849927999996</v>
      </c>
      <c r="K416" s="826">
        <v>-3190.2409600000001</v>
      </c>
      <c r="L416" s="826">
        <v>54886.976672999997</v>
      </c>
      <c r="M416" s="826">
        <v>58077.217633</v>
      </c>
      <c r="N416" s="826">
        <v>23.079409048799999</v>
      </c>
      <c r="O416" s="826">
        <v>100</v>
      </c>
      <c r="P416" s="826">
        <v>76.920590951199998</v>
      </c>
      <c r="Q416" s="826">
        <v>36.607768262800001</v>
      </c>
      <c r="R416" s="826">
        <v>100</v>
      </c>
      <c r="S416" s="826">
        <v>63.392231737199999</v>
      </c>
      <c r="T416" s="826" t="s">
        <v>3088</v>
      </c>
      <c r="U416" s="826" t="s">
        <v>3088</v>
      </c>
      <c r="V416" s="826" t="s">
        <v>3088</v>
      </c>
    </row>
    <row r="417" spans="1:22">
      <c r="A417" s="826" t="s">
        <v>3132</v>
      </c>
      <c r="B417" s="826" t="s">
        <v>449</v>
      </c>
      <c r="C417" s="826" t="str">
        <f t="shared" si="12"/>
        <v>2010_Peru</v>
      </c>
      <c r="D417" s="826">
        <v>3692.748</v>
      </c>
      <c r="E417" s="826">
        <v>39257.548000000003</v>
      </c>
      <c r="F417" s="826">
        <f t="shared" si="13"/>
        <v>39257548000</v>
      </c>
      <c r="G417" s="826">
        <v>35564.800000000003</v>
      </c>
      <c r="H417" s="826">
        <v>6038.232</v>
      </c>
      <c r="I417" s="826">
        <v>34853.531999999999</v>
      </c>
      <c r="J417" s="826">
        <v>28815.3</v>
      </c>
      <c r="K417" s="826">
        <v>-2345.4839999999999</v>
      </c>
      <c r="L417" s="826">
        <v>4404.0159999999996</v>
      </c>
      <c r="M417" s="826">
        <v>6749.5</v>
      </c>
      <c r="N417" s="826">
        <v>9.4064662419000005</v>
      </c>
      <c r="O417" s="826">
        <v>100</v>
      </c>
      <c r="P417" s="826">
        <v>90.593533758099994</v>
      </c>
      <c r="Q417" s="826">
        <v>17.324591378600001</v>
      </c>
      <c r="R417" s="826">
        <v>100</v>
      </c>
      <c r="S417" s="826">
        <v>82.675408621399995</v>
      </c>
      <c r="T417" s="826" t="s">
        <v>3088</v>
      </c>
      <c r="U417" s="826" t="s">
        <v>3088</v>
      </c>
      <c r="V417" s="826" t="s">
        <v>3088</v>
      </c>
    </row>
    <row r="418" spans="1:22">
      <c r="A418" s="826" t="s">
        <v>3132</v>
      </c>
      <c r="B418" s="826" t="s">
        <v>488</v>
      </c>
      <c r="C418" s="826" t="str">
        <f t="shared" si="12"/>
        <v>2010_Sierra Leone</v>
      </c>
      <c r="D418" s="826">
        <v>60.029000000000003</v>
      </c>
      <c r="E418" s="826">
        <v>422.91</v>
      </c>
      <c r="F418" s="826">
        <f t="shared" si="13"/>
        <v>422910000</v>
      </c>
      <c r="G418" s="826">
        <v>362.88099999999997</v>
      </c>
      <c r="H418" s="826">
        <v>257.67599999999999</v>
      </c>
      <c r="I418" s="826">
        <v>1138.4259999999999</v>
      </c>
      <c r="J418" s="826">
        <v>880.75</v>
      </c>
      <c r="K418" s="826">
        <v>-197.64699999999999</v>
      </c>
      <c r="L418" s="826">
        <v>-715.51599999999996</v>
      </c>
      <c r="M418" s="826">
        <v>-517.86900000000003</v>
      </c>
      <c r="N418" s="826">
        <v>14.1942730132</v>
      </c>
      <c r="O418" s="826">
        <v>100</v>
      </c>
      <c r="P418" s="826">
        <v>85.805726986799996</v>
      </c>
      <c r="Q418" s="826">
        <v>22.6344092633</v>
      </c>
      <c r="R418" s="826">
        <v>100</v>
      </c>
      <c r="S418" s="826">
        <v>77.3655907367</v>
      </c>
      <c r="T418" s="826" t="s">
        <v>3088</v>
      </c>
      <c r="U418" s="826" t="s">
        <v>3088</v>
      </c>
      <c r="V418" s="826" t="s">
        <v>3088</v>
      </c>
    </row>
    <row r="419" spans="1:22">
      <c r="A419" s="826" t="s">
        <v>3132</v>
      </c>
      <c r="B419" s="826" t="s">
        <v>3090</v>
      </c>
      <c r="C419" s="826" t="str">
        <f t="shared" si="12"/>
        <v>2010_Timor-Leste</v>
      </c>
      <c r="D419" s="826">
        <v>74.64</v>
      </c>
      <c r="E419" s="826">
        <v>103.42</v>
      </c>
      <c r="F419" s="826">
        <f t="shared" si="13"/>
        <v>103420000</v>
      </c>
      <c r="G419" s="826">
        <v>28.78</v>
      </c>
      <c r="H419" s="826">
        <v>1036.4849999999999</v>
      </c>
      <c r="I419" s="826">
        <v>1342.7439999999999</v>
      </c>
      <c r="J419" s="826">
        <v>306.25900000000001</v>
      </c>
      <c r="K419" s="826">
        <v>-961.84500000000003</v>
      </c>
      <c r="L419" s="826">
        <v>-1239.3240000000001</v>
      </c>
      <c r="M419" s="826">
        <v>-277.47899999999998</v>
      </c>
      <c r="N419" s="826">
        <v>72.171726938700004</v>
      </c>
      <c r="O419" s="826">
        <v>100</v>
      </c>
      <c r="P419" s="826">
        <v>27.828273061299999</v>
      </c>
      <c r="Q419" s="826">
        <v>77.191556990799995</v>
      </c>
      <c r="R419" s="826">
        <v>100</v>
      </c>
      <c r="S419" s="826">
        <v>22.808443009200001</v>
      </c>
      <c r="T419" s="826" t="s">
        <v>3088</v>
      </c>
      <c r="U419" s="826" t="s">
        <v>3088</v>
      </c>
      <c r="V419" s="826" t="s">
        <v>3088</v>
      </c>
    </row>
    <row r="420" spans="1:22">
      <c r="A420" s="826" t="s">
        <v>3132</v>
      </c>
      <c r="B420" s="826" t="s">
        <v>517</v>
      </c>
      <c r="C420" s="826" t="str">
        <f t="shared" si="12"/>
        <v>2010_Togo</v>
      </c>
      <c r="D420" s="826">
        <v>320.21899999999999</v>
      </c>
      <c r="E420" s="826">
        <v>1296.3800000000001</v>
      </c>
      <c r="F420" s="826">
        <f t="shared" si="13"/>
        <v>1296380000</v>
      </c>
      <c r="G420" s="826">
        <v>976.16099999999994</v>
      </c>
      <c r="H420" s="826">
        <v>397.93099999999998</v>
      </c>
      <c r="I420" s="826">
        <v>1828.356</v>
      </c>
      <c r="J420" s="826">
        <v>1430.425</v>
      </c>
      <c r="K420" s="826">
        <v>-77.712000000000003</v>
      </c>
      <c r="L420" s="826">
        <v>-531.976</v>
      </c>
      <c r="M420" s="826">
        <v>-454.26400000000001</v>
      </c>
      <c r="N420" s="826">
        <v>24.701013591700001</v>
      </c>
      <c r="O420" s="826">
        <v>100</v>
      </c>
      <c r="P420" s="826">
        <v>75.298986408299996</v>
      </c>
      <c r="Q420" s="826">
        <v>21.764415682700001</v>
      </c>
      <c r="R420" s="826">
        <v>100</v>
      </c>
      <c r="S420" s="826">
        <v>78.235584317299995</v>
      </c>
      <c r="T420" s="826" t="s">
        <v>3088</v>
      </c>
      <c r="U420" s="826" t="s">
        <v>3088</v>
      </c>
      <c r="V420" s="826" t="s">
        <v>3088</v>
      </c>
    </row>
    <row r="421" spans="1:22">
      <c r="A421" s="826" t="s">
        <v>3132</v>
      </c>
      <c r="B421" s="826" t="s">
        <v>3091</v>
      </c>
      <c r="C421" s="826" t="str">
        <f t="shared" si="12"/>
        <v>2010_Trinidad and Tobago</v>
      </c>
      <c r="D421" s="826">
        <v>874.2</v>
      </c>
      <c r="E421" s="826">
        <v>12113.1</v>
      </c>
      <c r="F421" s="826">
        <f t="shared" si="13"/>
        <v>12113100000</v>
      </c>
      <c r="G421" s="826">
        <v>11238.9</v>
      </c>
      <c r="H421" s="826">
        <v>386.6</v>
      </c>
      <c r="I421" s="826">
        <v>6890.1</v>
      </c>
      <c r="J421" s="826">
        <v>6503.5</v>
      </c>
      <c r="K421" s="826">
        <v>487.6</v>
      </c>
      <c r="L421" s="826">
        <v>5223</v>
      </c>
      <c r="M421" s="826">
        <v>4735.3999999999996</v>
      </c>
      <c r="N421" s="826">
        <v>7.2169799638000001</v>
      </c>
      <c r="O421" s="826">
        <v>100</v>
      </c>
      <c r="P421" s="826">
        <v>92.7830200362</v>
      </c>
      <c r="Q421" s="826">
        <v>5.6109490427999997</v>
      </c>
      <c r="R421" s="826">
        <v>100</v>
      </c>
      <c r="S421" s="826">
        <v>94.389050957199998</v>
      </c>
      <c r="T421" s="826" t="s">
        <v>3088</v>
      </c>
      <c r="U421" s="826" t="s">
        <v>3088</v>
      </c>
      <c r="V421" s="826" t="s">
        <v>3088</v>
      </c>
    </row>
    <row r="422" spans="1:22">
      <c r="A422" s="826" t="s">
        <v>3132</v>
      </c>
      <c r="B422" s="826" t="s">
        <v>499</v>
      </c>
      <c r="C422" s="826" t="str">
        <f t="shared" si="12"/>
        <v>2010_Tanzania</v>
      </c>
      <c r="D422" s="826">
        <v>2045.7470000000001</v>
      </c>
      <c r="E422" s="826">
        <v>6370.027</v>
      </c>
      <c r="F422" s="826">
        <f t="shared" si="13"/>
        <v>6370027000</v>
      </c>
      <c r="G422" s="826">
        <v>4324.28</v>
      </c>
      <c r="H422" s="826">
        <v>1888.875</v>
      </c>
      <c r="I422" s="826">
        <v>9054.393</v>
      </c>
      <c r="J422" s="826">
        <v>7165.518</v>
      </c>
      <c r="K422" s="826">
        <v>156.87200000000001</v>
      </c>
      <c r="L422" s="826">
        <v>-2684.366</v>
      </c>
      <c r="M422" s="826">
        <v>-2841.2379999999998</v>
      </c>
      <c r="N422" s="826">
        <v>32.115201395500002</v>
      </c>
      <c r="O422" s="826">
        <v>100</v>
      </c>
      <c r="P422" s="826">
        <v>67.884798604500006</v>
      </c>
      <c r="Q422" s="826">
        <v>20.861420528099998</v>
      </c>
      <c r="R422" s="826">
        <v>100</v>
      </c>
      <c r="S422" s="826">
        <v>79.138579471900002</v>
      </c>
      <c r="T422" s="826" t="s">
        <v>3088</v>
      </c>
      <c r="U422" s="826" t="s">
        <v>3088</v>
      </c>
      <c r="V422" s="826" t="s">
        <v>3088</v>
      </c>
    </row>
    <row r="423" spans="1:22">
      <c r="A423" s="826" t="s">
        <v>3132</v>
      </c>
      <c r="B423" s="826" t="s">
        <v>529</v>
      </c>
      <c r="C423" s="826" t="str">
        <f t="shared" si="12"/>
        <v>2010_Yemen</v>
      </c>
      <c r="D423" s="826">
        <v>1611.7</v>
      </c>
      <c r="E423" s="826">
        <v>9261.4699999999993</v>
      </c>
      <c r="F423" s="826">
        <f t="shared" si="13"/>
        <v>9261470000</v>
      </c>
      <c r="G423" s="826">
        <v>7649.77</v>
      </c>
      <c r="H423" s="826">
        <v>2348.5</v>
      </c>
      <c r="I423" s="826">
        <v>11048.98</v>
      </c>
      <c r="J423" s="826">
        <v>8700.48</v>
      </c>
      <c r="K423" s="826">
        <v>-736.8</v>
      </c>
      <c r="L423" s="826">
        <v>-1787.51</v>
      </c>
      <c r="M423" s="826">
        <v>-1050.71</v>
      </c>
      <c r="N423" s="826">
        <v>17.402205049500001</v>
      </c>
      <c r="O423" s="826">
        <v>100</v>
      </c>
      <c r="P423" s="826">
        <v>82.597794950500003</v>
      </c>
      <c r="Q423" s="826">
        <v>21.255355697999999</v>
      </c>
      <c r="R423" s="826">
        <v>100</v>
      </c>
      <c r="S423" s="826">
        <v>78.744644301999998</v>
      </c>
      <c r="T423" s="826" t="s">
        <v>3088</v>
      </c>
      <c r="U423" s="826" t="s">
        <v>3088</v>
      </c>
      <c r="V423" s="826" t="s">
        <v>3088</v>
      </c>
    </row>
    <row r="424" spans="1:22">
      <c r="A424" s="826" t="s">
        <v>3132</v>
      </c>
      <c r="B424" s="826" t="s">
        <v>541</v>
      </c>
      <c r="C424" s="826" t="str">
        <f t="shared" si="12"/>
        <v>2010_Zambia</v>
      </c>
      <c r="D424" s="826">
        <v>310.89999999999998</v>
      </c>
      <c r="E424" s="826">
        <v>7724.5</v>
      </c>
      <c r="F424" s="826">
        <f t="shared" si="13"/>
        <v>7724500000</v>
      </c>
      <c r="G424" s="826">
        <v>7413.6</v>
      </c>
      <c r="H424" s="826">
        <v>877.79499999999996</v>
      </c>
      <c r="I424" s="826">
        <v>5587.6850000000004</v>
      </c>
      <c r="J424" s="826">
        <v>4709.8900000000003</v>
      </c>
      <c r="K424" s="826">
        <v>-566.89499999999998</v>
      </c>
      <c r="L424" s="826">
        <v>2136.8150000000001</v>
      </c>
      <c r="M424" s="826">
        <v>2703.71</v>
      </c>
      <c r="N424" s="826">
        <v>4.0248559776999997</v>
      </c>
      <c r="O424" s="826">
        <v>100</v>
      </c>
      <c r="P424" s="826">
        <v>95.9751440223</v>
      </c>
      <c r="Q424" s="826">
        <v>15.709457494500001</v>
      </c>
      <c r="R424" s="826">
        <v>100</v>
      </c>
      <c r="S424" s="826">
        <v>84.290542505499999</v>
      </c>
      <c r="T424" s="826" t="s">
        <v>3088</v>
      </c>
      <c r="U424" s="826" t="s">
        <v>3088</v>
      </c>
      <c r="V424" s="826" t="s">
        <v>3088</v>
      </c>
    </row>
    <row r="425" spans="1:22">
      <c r="A425" s="826" t="s">
        <v>3133</v>
      </c>
      <c r="B425" s="826" t="s">
        <v>21</v>
      </c>
      <c r="C425" s="826" t="str">
        <f t="shared" si="12"/>
        <v>2011_Afghanistan</v>
      </c>
      <c r="D425" s="826">
        <v>3475.7759999999998</v>
      </c>
      <c r="E425" s="826">
        <v>6315.7759999999998</v>
      </c>
      <c r="F425" s="826">
        <f t="shared" si="13"/>
        <v>6315776000</v>
      </c>
      <c r="G425" s="826">
        <v>2840</v>
      </c>
      <c r="H425" s="826">
        <v>1288.0440000000001</v>
      </c>
      <c r="I425" s="826">
        <v>11487.044</v>
      </c>
      <c r="J425" s="826">
        <v>10199</v>
      </c>
      <c r="K425" s="826">
        <v>2187.732</v>
      </c>
      <c r="L425" s="826">
        <v>-5171.268</v>
      </c>
      <c r="M425" s="826">
        <v>-7359</v>
      </c>
      <c r="N425" s="826">
        <v>55.033237404200001</v>
      </c>
      <c r="O425" s="826">
        <v>100</v>
      </c>
      <c r="P425" s="826">
        <v>44.966762595799999</v>
      </c>
      <c r="Q425" s="826">
        <v>11.213015289199999</v>
      </c>
      <c r="R425" s="826">
        <v>100</v>
      </c>
      <c r="S425" s="826">
        <v>88.786984710799999</v>
      </c>
      <c r="T425" s="826" t="s">
        <v>3088</v>
      </c>
      <c r="U425" s="826" t="s">
        <v>3088</v>
      </c>
      <c r="V425" s="826" t="s">
        <v>3088</v>
      </c>
    </row>
    <row r="426" spans="1:22">
      <c r="A426" s="826" t="s">
        <v>3133</v>
      </c>
      <c r="B426" s="826" t="s">
        <v>38</v>
      </c>
      <c r="C426" s="826" t="str">
        <f t="shared" si="12"/>
        <v>2011_Albania</v>
      </c>
      <c r="D426" s="826">
        <v>2436.9699999999998</v>
      </c>
      <c r="E426" s="826">
        <v>4391.29</v>
      </c>
      <c r="F426" s="826">
        <f t="shared" si="13"/>
        <v>4391290000</v>
      </c>
      <c r="G426" s="826">
        <v>1954.32</v>
      </c>
      <c r="H426" s="826">
        <v>2248.3589999999999</v>
      </c>
      <c r="I426" s="826">
        <v>7323.8689999999997</v>
      </c>
      <c r="J426" s="826">
        <v>5075.51</v>
      </c>
      <c r="K426" s="826">
        <v>188.61099999999999</v>
      </c>
      <c r="L426" s="826">
        <v>-2932.5790000000002</v>
      </c>
      <c r="M426" s="826">
        <v>-3121.19</v>
      </c>
      <c r="N426" s="826">
        <v>55.495537757699999</v>
      </c>
      <c r="O426" s="826">
        <v>100</v>
      </c>
      <c r="P426" s="826">
        <v>44.504462242300001</v>
      </c>
      <c r="Q426" s="826">
        <v>30.699060837899999</v>
      </c>
      <c r="R426" s="826">
        <v>100</v>
      </c>
      <c r="S426" s="826">
        <v>69.300939162099993</v>
      </c>
      <c r="T426" s="826" t="s">
        <v>3088</v>
      </c>
      <c r="U426" s="826" t="s">
        <v>3088</v>
      </c>
      <c r="V426" s="826" t="s">
        <v>3088</v>
      </c>
    </row>
    <row r="427" spans="1:22">
      <c r="A427" s="826" t="s">
        <v>3133</v>
      </c>
      <c r="B427" s="826" t="s">
        <v>53</v>
      </c>
      <c r="C427" s="826" t="str">
        <f t="shared" si="12"/>
        <v>2011_Azerbaijan</v>
      </c>
      <c r="D427" s="826">
        <v>2731.6889999999999</v>
      </c>
      <c r="E427" s="826">
        <v>37226.525999999998</v>
      </c>
      <c r="F427" s="826">
        <f t="shared" si="13"/>
        <v>37226526000</v>
      </c>
      <c r="G427" s="826">
        <v>34494.837</v>
      </c>
      <c r="H427" s="826">
        <v>5728.6559999999999</v>
      </c>
      <c r="I427" s="826">
        <v>15895.126</v>
      </c>
      <c r="J427" s="826">
        <v>10166.469999999999</v>
      </c>
      <c r="K427" s="826">
        <v>-2996.9670000000001</v>
      </c>
      <c r="L427" s="826">
        <v>21331.4</v>
      </c>
      <c r="M427" s="826">
        <v>24328.366999999998</v>
      </c>
      <c r="N427" s="826">
        <v>7.3380175201000002</v>
      </c>
      <c r="O427" s="826">
        <v>100</v>
      </c>
      <c r="P427" s="826">
        <v>92.661982479900004</v>
      </c>
      <c r="Q427" s="826">
        <v>36.040330853599997</v>
      </c>
      <c r="R427" s="826">
        <v>100</v>
      </c>
      <c r="S427" s="826">
        <v>63.959669146400003</v>
      </c>
      <c r="T427" s="826" t="s">
        <v>3088</v>
      </c>
      <c r="U427" s="826" t="s">
        <v>3088</v>
      </c>
      <c r="V427" s="826" t="s">
        <v>3088</v>
      </c>
    </row>
    <row r="428" spans="1:22">
      <c r="A428" s="826" t="s">
        <v>3133</v>
      </c>
      <c r="B428" s="826" t="s">
        <v>98</v>
      </c>
      <c r="C428" s="826" t="str">
        <f t="shared" si="12"/>
        <v>2011_Burkina Faso</v>
      </c>
      <c r="D428" s="826">
        <v>419.66634599999998</v>
      </c>
      <c r="E428" s="826">
        <v>2814.5706599999999</v>
      </c>
      <c r="F428" s="826">
        <f t="shared" si="13"/>
        <v>2814570660</v>
      </c>
      <c r="G428" s="826">
        <v>2394.9043139999999</v>
      </c>
      <c r="H428" s="826">
        <v>1131.2947859999999</v>
      </c>
      <c r="I428" s="826">
        <v>3511.5976059999998</v>
      </c>
      <c r="J428" s="826">
        <v>2380.3028199999999</v>
      </c>
      <c r="K428" s="826">
        <v>-711.62843999999996</v>
      </c>
      <c r="L428" s="826">
        <v>-697.02694599999995</v>
      </c>
      <c r="M428" s="826">
        <v>14.601494000000001</v>
      </c>
      <c r="N428" s="826">
        <v>14.9104924586</v>
      </c>
      <c r="O428" s="826">
        <v>100</v>
      </c>
      <c r="P428" s="826">
        <v>85.089507541399996</v>
      </c>
      <c r="Q428" s="826">
        <v>32.215957320000001</v>
      </c>
      <c r="R428" s="826">
        <v>100</v>
      </c>
      <c r="S428" s="826">
        <v>67.784042679999999</v>
      </c>
      <c r="T428" s="826" t="s">
        <v>3088</v>
      </c>
      <c r="U428" s="826" t="s">
        <v>3088</v>
      </c>
      <c r="V428" s="826" t="s">
        <v>3088</v>
      </c>
    </row>
    <row r="429" spans="1:22">
      <c r="A429" s="826" t="s">
        <v>3133</v>
      </c>
      <c r="B429" s="826" t="s">
        <v>3136</v>
      </c>
      <c r="C429" s="826" t="str">
        <f t="shared" si="12"/>
        <v>2011_ Cameroon</v>
      </c>
      <c r="D429" s="826">
        <v>1858.086</v>
      </c>
      <c r="E429" s="826">
        <v>7510.9989999999998</v>
      </c>
      <c r="F429" s="826">
        <f t="shared" si="13"/>
        <v>7510999000</v>
      </c>
      <c r="G429" s="826">
        <v>5652.9129999999996</v>
      </c>
      <c r="H429" s="826">
        <v>1981.615</v>
      </c>
      <c r="I429" s="826">
        <v>8214.0990000000002</v>
      </c>
      <c r="J429" s="826">
        <v>6232.4840000000004</v>
      </c>
      <c r="K429" s="826">
        <v>-123.529</v>
      </c>
      <c r="L429" s="826">
        <v>-703.1</v>
      </c>
      <c r="M429" s="826">
        <v>-579.57100000000003</v>
      </c>
      <c r="N429" s="826">
        <v>24.738200604199999</v>
      </c>
      <c r="O429" s="826">
        <v>100</v>
      </c>
      <c r="P429" s="826">
        <v>75.261799395799997</v>
      </c>
      <c r="Q429" s="826">
        <v>24.124557057299999</v>
      </c>
      <c r="R429" s="826">
        <v>100</v>
      </c>
      <c r="S429" s="826">
        <v>75.875442942700005</v>
      </c>
      <c r="T429" s="826" t="s">
        <v>3088</v>
      </c>
      <c r="U429" s="826" t="s">
        <v>3088</v>
      </c>
      <c r="V429" s="826" t="s">
        <v>3088</v>
      </c>
    </row>
    <row r="430" spans="1:22">
      <c r="A430" s="826" t="s">
        <v>3133</v>
      </c>
      <c r="B430" s="826" t="s">
        <v>127</v>
      </c>
      <c r="C430" s="826" t="str">
        <f t="shared" si="12"/>
        <v>2011_Central African Republic</v>
      </c>
      <c r="D430" s="826">
        <v>73.961675560000003</v>
      </c>
      <c r="E430" s="826">
        <v>265.32956389999998</v>
      </c>
      <c r="F430" s="826">
        <f t="shared" si="13"/>
        <v>265329563.89999998</v>
      </c>
      <c r="G430" s="826">
        <v>191.36788834000001</v>
      </c>
      <c r="H430" s="826">
        <v>186.06977404</v>
      </c>
      <c r="I430" s="826">
        <v>491.87693115000002</v>
      </c>
      <c r="J430" s="826">
        <v>305.80715710999999</v>
      </c>
      <c r="K430" s="826">
        <v>-112.10809848</v>
      </c>
      <c r="L430" s="826">
        <v>-226.54736725000001</v>
      </c>
      <c r="M430" s="826">
        <v>-114.43926877</v>
      </c>
      <c r="N430" s="826">
        <v>27.875399360999999</v>
      </c>
      <c r="O430" s="826">
        <v>100</v>
      </c>
      <c r="P430" s="826">
        <v>72.124600638999993</v>
      </c>
      <c r="Q430" s="826">
        <v>37.828522188500003</v>
      </c>
      <c r="R430" s="826">
        <v>100</v>
      </c>
      <c r="S430" s="826">
        <v>62.171477811499997</v>
      </c>
      <c r="T430" s="826" t="s">
        <v>3088</v>
      </c>
      <c r="U430" s="826" t="s">
        <v>3088</v>
      </c>
      <c r="V430" s="826" t="s">
        <v>3088</v>
      </c>
    </row>
    <row r="431" spans="1:22">
      <c r="A431" s="826" t="s">
        <v>3133</v>
      </c>
      <c r="B431" s="826" t="s">
        <v>3137</v>
      </c>
      <c r="C431" s="826" t="str">
        <f t="shared" si="12"/>
        <v>2011_ Chad</v>
      </c>
      <c r="D431" s="826">
        <v>419.99972200000002</v>
      </c>
      <c r="E431" s="826">
        <v>4887.2973380000003</v>
      </c>
      <c r="F431" s="826">
        <f t="shared" si="13"/>
        <v>4887297338</v>
      </c>
      <c r="G431" s="826">
        <v>4467.2976159999998</v>
      </c>
      <c r="H431" s="826">
        <v>2374.7497309999999</v>
      </c>
      <c r="I431" s="826">
        <v>5059.6134840000004</v>
      </c>
      <c r="J431" s="826">
        <v>2684.8637530000001</v>
      </c>
      <c r="K431" s="826">
        <v>-1954.7500090000001</v>
      </c>
      <c r="L431" s="826">
        <v>-172.316146</v>
      </c>
      <c r="M431" s="826">
        <v>1782.433863</v>
      </c>
      <c r="N431" s="826">
        <v>8.5937010367000006</v>
      </c>
      <c r="O431" s="826">
        <v>100</v>
      </c>
      <c r="P431" s="826">
        <v>91.406298963300003</v>
      </c>
      <c r="Q431" s="826">
        <v>46.935398099300002</v>
      </c>
      <c r="R431" s="826">
        <v>100</v>
      </c>
      <c r="S431" s="826">
        <v>53.064601900699998</v>
      </c>
      <c r="T431" s="826" t="s">
        <v>3088</v>
      </c>
      <c r="U431" s="826" t="s">
        <v>3088</v>
      </c>
      <c r="V431" s="826" t="s">
        <v>3088</v>
      </c>
    </row>
    <row r="432" spans="1:22">
      <c r="A432" s="826" t="s">
        <v>3133</v>
      </c>
      <c r="B432" s="826" t="s">
        <v>465</v>
      </c>
      <c r="C432" s="826" t="str">
        <f t="shared" si="12"/>
        <v>2011_Republic of the Congo</v>
      </c>
      <c r="D432" s="826">
        <v>473.43949341000001</v>
      </c>
      <c r="E432" s="826">
        <v>12052.99809691</v>
      </c>
      <c r="F432" s="826">
        <f t="shared" si="13"/>
        <v>12052998096.91</v>
      </c>
      <c r="G432" s="826">
        <v>11579.5586035</v>
      </c>
      <c r="H432" s="826">
        <v>5460.4485171599999</v>
      </c>
      <c r="I432" s="826">
        <v>10703.88627279</v>
      </c>
      <c r="J432" s="826">
        <v>5243.4377556299996</v>
      </c>
      <c r="K432" s="826">
        <v>-4987.0090237499999</v>
      </c>
      <c r="L432" s="826">
        <v>1349.1118241199999</v>
      </c>
      <c r="M432" s="826">
        <v>6336.12084787</v>
      </c>
      <c r="N432" s="826">
        <v>3.9279811513</v>
      </c>
      <c r="O432" s="826">
        <v>100</v>
      </c>
      <c r="P432" s="826">
        <v>96.072018848699997</v>
      </c>
      <c r="Q432" s="826">
        <v>51.013700799900001</v>
      </c>
      <c r="R432" s="826">
        <v>100</v>
      </c>
      <c r="S432" s="826">
        <v>48.986299200099999</v>
      </c>
      <c r="T432" s="826" t="s">
        <v>3088</v>
      </c>
      <c r="U432" s="826" t="s">
        <v>3088</v>
      </c>
      <c r="V432" s="826" t="s">
        <v>3088</v>
      </c>
    </row>
    <row r="433" spans="1:22">
      <c r="A433" s="826" t="s">
        <v>3133</v>
      </c>
      <c r="B433" s="826" t="s">
        <v>171</v>
      </c>
      <c r="C433" s="826" t="str">
        <f t="shared" si="12"/>
        <v>2011_Democratic Republic of Congo</v>
      </c>
      <c r="D433" s="826">
        <v>739.36099999999999</v>
      </c>
      <c r="E433" s="826">
        <v>10211.288</v>
      </c>
      <c r="F433" s="826">
        <f t="shared" si="13"/>
        <v>10211288000</v>
      </c>
      <c r="G433" s="826">
        <v>9471.9269999999997</v>
      </c>
      <c r="H433" s="826">
        <v>2889.3020000000001</v>
      </c>
      <c r="I433" s="826">
        <v>11804.884</v>
      </c>
      <c r="J433" s="826">
        <v>8915.5820000000003</v>
      </c>
      <c r="K433" s="826">
        <v>-2149.9409999999998</v>
      </c>
      <c r="L433" s="826">
        <v>-1593.596</v>
      </c>
      <c r="M433" s="826">
        <v>556.34500000000003</v>
      </c>
      <c r="N433" s="826">
        <v>7.2406242973000001</v>
      </c>
      <c r="O433" s="826">
        <v>100</v>
      </c>
      <c r="P433" s="826">
        <v>92.759375702699998</v>
      </c>
      <c r="Q433" s="826">
        <v>24.475479809900001</v>
      </c>
      <c r="R433" s="826">
        <v>100</v>
      </c>
      <c r="S433" s="826">
        <v>75.524520190100006</v>
      </c>
      <c r="T433" s="826" t="s">
        <v>3088</v>
      </c>
      <c r="U433" s="826" t="s">
        <v>3088</v>
      </c>
      <c r="V433" s="826" t="s">
        <v>3088</v>
      </c>
    </row>
    <row r="434" spans="1:22">
      <c r="A434" s="826" t="s">
        <v>3133</v>
      </c>
      <c r="B434" s="826" t="s">
        <v>3138</v>
      </c>
      <c r="C434" s="826" t="str">
        <f t="shared" si="12"/>
        <v>2011_ Equatorial Guinea</v>
      </c>
      <c r="D434" s="826">
        <v>57.139741999999998</v>
      </c>
      <c r="E434" s="826">
        <v>15404.712918220001</v>
      </c>
      <c r="F434" s="826">
        <f t="shared" si="13"/>
        <v>15404712918.220001</v>
      </c>
      <c r="G434" s="826">
        <v>15347.573176219999</v>
      </c>
      <c r="H434" s="826">
        <v>2612.3941966500001</v>
      </c>
      <c r="I434" s="826">
        <v>8480.3736653899996</v>
      </c>
      <c r="J434" s="826">
        <v>5867.9794687399999</v>
      </c>
      <c r="K434" s="826">
        <v>-2555.2544546499998</v>
      </c>
      <c r="L434" s="826">
        <v>6924.3392528300001</v>
      </c>
      <c r="M434" s="826">
        <v>9479.5937074800004</v>
      </c>
      <c r="N434" s="826">
        <v>0.37092377059999998</v>
      </c>
      <c r="O434" s="826">
        <v>100</v>
      </c>
      <c r="P434" s="826">
        <v>99.629076229399999</v>
      </c>
      <c r="Q434" s="826">
        <v>30.805177928799999</v>
      </c>
      <c r="R434" s="826">
        <v>100</v>
      </c>
      <c r="S434" s="826">
        <v>69.194822071199994</v>
      </c>
      <c r="T434" s="826" t="s">
        <v>3088</v>
      </c>
      <c r="U434" s="826" t="s">
        <v>3088</v>
      </c>
      <c r="V434" s="826" t="s">
        <v>3088</v>
      </c>
    </row>
    <row r="435" spans="1:22">
      <c r="A435" s="826" t="s">
        <v>3133</v>
      </c>
      <c r="B435" s="826" t="s">
        <v>3139</v>
      </c>
      <c r="C435" s="826" t="str">
        <f t="shared" si="12"/>
        <v>2011_ Gabon</v>
      </c>
      <c r="D435" s="826" t="s">
        <v>603</v>
      </c>
      <c r="E435" s="826" t="s">
        <v>3088</v>
      </c>
      <c r="F435" s="826" t="str">
        <f t="shared" si="13"/>
        <v>..</v>
      </c>
      <c r="G435" s="826">
        <v>9893.0628610599997</v>
      </c>
      <c r="H435" s="826" t="s">
        <v>603</v>
      </c>
      <c r="I435" s="826" t="s">
        <v>603</v>
      </c>
      <c r="J435" s="826">
        <v>2891.7107822900002</v>
      </c>
      <c r="K435" s="826" t="s">
        <v>603</v>
      </c>
      <c r="L435" s="826" t="s">
        <v>603</v>
      </c>
      <c r="M435" s="826">
        <v>7001.3520787699999</v>
      </c>
      <c r="N435" s="826" t="s">
        <v>603</v>
      </c>
      <c r="O435" s="826" t="s">
        <v>603</v>
      </c>
      <c r="P435" s="826">
        <v>98.129151601900006</v>
      </c>
      <c r="Q435" s="826" t="s">
        <v>603</v>
      </c>
      <c r="R435" s="826" t="s">
        <v>603</v>
      </c>
      <c r="S435" s="826">
        <v>53.317442950900002</v>
      </c>
      <c r="T435" s="826" t="s">
        <v>3088</v>
      </c>
      <c r="U435" s="826" t="s">
        <v>3088</v>
      </c>
      <c r="V435" s="826" t="s">
        <v>3088</v>
      </c>
    </row>
    <row r="436" spans="1:22">
      <c r="A436" s="826" t="s">
        <v>3133</v>
      </c>
      <c r="B436" s="826" t="s">
        <v>195</v>
      </c>
      <c r="C436" s="826" t="str">
        <f t="shared" si="12"/>
        <v>2011_Ghana</v>
      </c>
      <c r="D436" s="826">
        <v>1871.12</v>
      </c>
      <c r="E436" s="826">
        <v>14656.53</v>
      </c>
      <c r="F436" s="826">
        <f t="shared" si="13"/>
        <v>14656530000</v>
      </c>
      <c r="G436" s="826">
        <v>12785.41</v>
      </c>
      <c r="H436" s="826">
        <v>3666.55</v>
      </c>
      <c r="I436" s="826">
        <v>19509.21</v>
      </c>
      <c r="J436" s="826">
        <v>15842.66</v>
      </c>
      <c r="K436" s="826">
        <v>-1795.43</v>
      </c>
      <c r="L436" s="826">
        <v>-4852.68</v>
      </c>
      <c r="M436" s="826">
        <v>-3057.25</v>
      </c>
      <c r="N436" s="826">
        <v>12.766459728199999</v>
      </c>
      <c r="O436" s="826">
        <v>100</v>
      </c>
      <c r="P436" s="826">
        <v>87.233540271799995</v>
      </c>
      <c r="Q436" s="826">
        <v>18.793943988500001</v>
      </c>
      <c r="R436" s="826">
        <v>100</v>
      </c>
      <c r="S436" s="826">
        <v>81.206056011499996</v>
      </c>
      <c r="T436" s="826" t="s">
        <v>3088</v>
      </c>
      <c r="U436" s="826" t="s">
        <v>3088</v>
      </c>
      <c r="V436" s="826" t="s">
        <v>3088</v>
      </c>
    </row>
    <row r="437" spans="1:22">
      <c r="A437" s="826" t="s">
        <v>3133</v>
      </c>
      <c r="B437" s="826" t="s">
        <v>219</v>
      </c>
      <c r="C437" s="826" t="str">
        <f t="shared" si="12"/>
        <v>2011_Guatemala</v>
      </c>
      <c r="D437" s="826">
        <v>2238.6239059999998</v>
      </c>
      <c r="E437" s="826">
        <v>12757.323906</v>
      </c>
      <c r="F437" s="826">
        <f t="shared" si="13"/>
        <v>12757323906</v>
      </c>
      <c r="G437" s="826">
        <v>10518.7</v>
      </c>
      <c r="H437" s="826">
        <v>2388.337</v>
      </c>
      <c r="I437" s="826">
        <v>17870.337</v>
      </c>
      <c r="J437" s="826">
        <v>15482</v>
      </c>
      <c r="K437" s="826">
        <v>-149.71309400000001</v>
      </c>
      <c r="L437" s="826">
        <v>-5113.0130939999999</v>
      </c>
      <c r="M437" s="826">
        <v>-4963.3</v>
      </c>
      <c r="N437" s="826">
        <v>17.547754705399999</v>
      </c>
      <c r="O437" s="826">
        <v>100</v>
      </c>
      <c r="P437" s="826">
        <v>82.452245294600004</v>
      </c>
      <c r="Q437" s="826">
        <v>13.3648123144</v>
      </c>
      <c r="R437" s="826">
        <v>100</v>
      </c>
      <c r="S437" s="826">
        <v>86.635187685600002</v>
      </c>
      <c r="T437" s="826" t="s">
        <v>3088</v>
      </c>
      <c r="U437" s="826" t="s">
        <v>3088</v>
      </c>
      <c r="V437" s="826" t="s">
        <v>3088</v>
      </c>
    </row>
    <row r="438" spans="1:22">
      <c r="A438" s="826" t="s">
        <v>3133</v>
      </c>
      <c r="B438" s="826" t="s">
        <v>3140</v>
      </c>
      <c r="C438" s="826" t="str">
        <f t="shared" si="12"/>
        <v>2011_ Guinea</v>
      </c>
      <c r="D438" s="826">
        <v>77.38</v>
      </c>
      <c r="E438" s="826">
        <v>1510.1</v>
      </c>
      <c r="F438" s="826">
        <f t="shared" si="13"/>
        <v>1510100000</v>
      </c>
      <c r="G438" s="826">
        <v>1432.72</v>
      </c>
      <c r="H438" s="826">
        <v>571.98</v>
      </c>
      <c r="I438" s="826">
        <v>2677.55</v>
      </c>
      <c r="J438" s="826">
        <v>2105.5700000000002</v>
      </c>
      <c r="K438" s="826">
        <v>-494.6</v>
      </c>
      <c r="L438" s="826">
        <v>-1167.45</v>
      </c>
      <c r="M438" s="826">
        <v>-672.85</v>
      </c>
      <c r="N438" s="826">
        <v>5.1241639627</v>
      </c>
      <c r="O438" s="826">
        <v>100</v>
      </c>
      <c r="P438" s="826">
        <v>94.875836037300004</v>
      </c>
      <c r="Q438" s="826">
        <v>21.362066067899999</v>
      </c>
      <c r="R438" s="826">
        <v>100</v>
      </c>
      <c r="S438" s="826">
        <v>78.637933932099997</v>
      </c>
      <c r="T438" s="826" t="s">
        <v>3088</v>
      </c>
      <c r="U438" s="826" t="s">
        <v>3088</v>
      </c>
      <c r="V438" s="826" t="s">
        <v>3088</v>
      </c>
    </row>
    <row r="439" spans="1:22">
      <c r="A439" s="826" t="s">
        <v>3133</v>
      </c>
      <c r="B439" s="826" t="s">
        <v>243</v>
      </c>
      <c r="C439" s="826" t="str">
        <f t="shared" si="12"/>
        <v>2011_Indonesia</v>
      </c>
      <c r="D439" s="826">
        <v>20690.338</v>
      </c>
      <c r="E439" s="826">
        <v>221690.33799999999</v>
      </c>
      <c r="F439" s="826">
        <f t="shared" si="13"/>
        <v>221690338000</v>
      </c>
      <c r="G439" s="826">
        <v>201000</v>
      </c>
      <c r="H439" s="826">
        <v>31322.565999999999</v>
      </c>
      <c r="I439" s="826">
        <v>197322.56599999999</v>
      </c>
      <c r="J439" s="826">
        <v>166000</v>
      </c>
      <c r="K439" s="826">
        <v>-10632.227999999999</v>
      </c>
      <c r="L439" s="826">
        <v>24367.772000000001</v>
      </c>
      <c r="M439" s="826">
        <v>35000</v>
      </c>
      <c r="N439" s="826">
        <v>9.3329904165999995</v>
      </c>
      <c r="O439" s="826">
        <v>100</v>
      </c>
      <c r="P439" s="826">
        <v>90.667009583400002</v>
      </c>
      <c r="Q439" s="826">
        <v>15.8737880998</v>
      </c>
      <c r="R439" s="826">
        <v>100</v>
      </c>
      <c r="S439" s="826">
        <v>84.126211900200005</v>
      </c>
      <c r="T439" s="826" t="s">
        <v>3088</v>
      </c>
      <c r="U439" s="826" t="s">
        <v>3088</v>
      </c>
      <c r="V439" s="826" t="s">
        <v>3088</v>
      </c>
    </row>
    <row r="440" spans="1:22">
      <c r="A440" s="826" t="s">
        <v>3133</v>
      </c>
      <c r="B440" s="826" t="s">
        <v>251</v>
      </c>
      <c r="C440" s="826" t="str">
        <f t="shared" si="12"/>
        <v>2011_Iraq</v>
      </c>
      <c r="D440" s="826">
        <v>2822</v>
      </c>
      <c r="E440" s="826">
        <v>82506</v>
      </c>
      <c r="F440" s="826">
        <f t="shared" si="13"/>
        <v>82506000000</v>
      </c>
      <c r="G440" s="826">
        <v>79684</v>
      </c>
      <c r="H440" s="826">
        <v>11124</v>
      </c>
      <c r="I440" s="826">
        <v>51757</v>
      </c>
      <c r="J440" s="826">
        <v>40633</v>
      </c>
      <c r="K440" s="826">
        <v>-8302</v>
      </c>
      <c r="L440" s="826">
        <v>30749</v>
      </c>
      <c r="M440" s="826">
        <v>39051</v>
      </c>
      <c r="N440" s="826">
        <v>3.4203573073000002</v>
      </c>
      <c r="O440" s="826">
        <v>100</v>
      </c>
      <c r="P440" s="826">
        <v>96.579642692700006</v>
      </c>
      <c r="Q440" s="826">
        <v>21.4927449427</v>
      </c>
      <c r="R440" s="826">
        <v>100</v>
      </c>
      <c r="S440" s="826">
        <v>78.5072550573</v>
      </c>
      <c r="T440" s="826" t="s">
        <v>3088</v>
      </c>
      <c r="U440" s="826" t="s">
        <v>3088</v>
      </c>
      <c r="V440" s="826" t="s">
        <v>3088</v>
      </c>
    </row>
    <row r="441" spans="1:22">
      <c r="A441" s="826" t="s">
        <v>3133</v>
      </c>
      <c r="B441" s="826" t="s">
        <v>280</v>
      </c>
      <c r="C441" s="826" t="str">
        <f t="shared" si="12"/>
        <v>2011_Kazakhstan</v>
      </c>
      <c r="D441" s="826">
        <v>4334.5362400000004</v>
      </c>
      <c r="E441" s="826">
        <v>89531.64</v>
      </c>
      <c r="F441" s="826">
        <f t="shared" si="13"/>
        <v>89531640000</v>
      </c>
      <c r="G441" s="826">
        <v>85197.103759999998</v>
      </c>
      <c r="H441" s="826">
        <v>10928.441800000001</v>
      </c>
      <c r="I441" s="826">
        <v>51322.7</v>
      </c>
      <c r="J441" s="826">
        <v>40394.258199999997</v>
      </c>
      <c r="K441" s="826">
        <v>-6593.9055600000002</v>
      </c>
      <c r="L441" s="826">
        <v>38208.94</v>
      </c>
      <c r="M441" s="826">
        <v>44802.845560000002</v>
      </c>
      <c r="N441" s="826">
        <v>4.8413457409999996</v>
      </c>
      <c r="O441" s="826">
        <v>100</v>
      </c>
      <c r="P441" s="826">
        <v>95.158654259000002</v>
      </c>
      <c r="Q441" s="826">
        <v>21.293583151299998</v>
      </c>
      <c r="R441" s="826">
        <v>100</v>
      </c>
      <c r="S441" s="826">
        <v>78.706416848700002</v>
      </c>
      <c r="T441" s="826" t="s">
        <v>3088</v>
      </c>
      <c r="U441" s="826" t="s">
        <v>3088</v>
      </c>
      <c r="V441" s="826" t="s">
        <v>3088</v>
      </c>
    </row>
    <row r="442" spans="1:22">
      <c r="A442" s="826" t="s">
        <v>3133</v>
      </c>
      <c r="B442" s="826" t="s">
        <v>3141</v>
      </c>
      <c r="C442" s="826" t="str">
        <f t="shared" si="12"/>
        <v>2011_Kyrgyzstan</v>
      </c>
      <c r="D442" s="826">
        <v>1143.7860000000001</v>
      </c>
      <c r="E442" s="826">
        <v>3410.748</v>
      </c>
      <c r="F442" s="826">
        <f t="shared" si="13"/>
        <v>3410748000</v>
      </c>
      <c r="G442" s="826">
        <v>2266.962</v>
      </c>
      <c r="H442" s="826">
        <v>1137.9570000000001</v>
      </c>
      <c r="I442" s="826">
        <v>5073.8999999999996</v>
      </c>
      <c r="J442" s="826">
        <v>3935.9430000000002</v>
      </c>
      <c r="K442" s="826">
        <v>5.8289999999999997</v>
      </c>
      <c r="L442" s="826">
        <v>-1663.152</v>
      </c>
      <c r="M442" s="826">
        <v>-1668.981</v>
      </c>
      <c r="N442" s="826">
        <v>33.534755426099998</v>
      </c>
      <c r="O442" s="826">
        <v>100</v>
      </c>
      <c r="P442" s="826">
        <v>66.465244573899994</v>
      </c>
      <c r="Q442" s="826">
        <v>22.427659197099999</v>
      </c>
      <c r="R442" s="826">
        <v>100</v>
      </c>
      <c r="S442" s="826">
        <v>77.572340802900001</v>
      </c>
      <c r="T442" s="826" t="s">
        <v>3088</v>
      </c>
      <c r="U442" s="826" t="s">
        <v>3088</v>
      </c>
      <c r="V442" s="826" t="s">
        <v>3088</v>
      </c>
    </row>
    <row r="443" spans="1:22">
      <c r="A443" s="826" t="s">
        <v>3133</v>
      </c>
      <c r="B443" s="826" t="s">
        <v>301</v>
      </c>
      <c r="C443" s="826" t="str">
        <f t="shared" si="12"/>
        <v>2011_Liberia</v>
      </c>
      <c r="D443" s="826">
        <v>604.07799999999997</v>
      </c>
      <c r="E443" s="826">
        <v>1249.7370000000001</v>
      </c>
      <c r="F443" s="826">
        <f t="shared" si="13"/>
        <v>1249737000</v>
      </c>
      <c r="G443" s="826">
        <v>645.65899999999999</v>
      </c>
      <c r="H443" s="826">
        <v>1242.7729999999999</v>
      </c>
      <c r="I443" s="826">
        <v>3311.2089999999998</v>
      </c>
      <c r="J443" s="826">
        <v>2068.4360000000001</v>
      </c>
      <c r="K443" s="826">
        <v>-638.69500000000005</v>
      </c>
      <c r="L443" s="826">
        <v>-2061.4720000000002</v>
      </c>
      <c r="M443" s="826">
        <v>-1422.777</v>
      </c>
      <c r="N443" s="826">
        <v>48.336409980699997</v>
      </c>
      <c r="O443" s="826">
        <v>100</v>
      </c>
      <c r="P443" s="826">
        <v>51.663590019300003</v>
      </c>
      <c r="Q443" s="826">
        <v>37.532303155699999</v>
      </c>
      <c r="R443" s="826">
        <v>100</v>
      </c>
      <c r="S443" s="826">
        <v>62.467696844300001</v>
      </c>
      <c r="T443" s="826" t="s">
        <v>3088</v>
      </c>
      <c r="U443" s="826" t="s">
        <v>3088</v>
      </c>
      <c r="V443" s="826" t="s">
        <v>3088</v>
      </c>
    </row>
    <row r="444" spans="1:22">
      <c r="A444" s="826" t="s">
        <v>3133</v>
      </c>
      <c r="B444" s="826" t="s">
        <v>316</v>
      </c>
      <c r="C444" s="826" t="str">
        <f t="shared" si="12"/>
        <v>2011_Madagascar</v>
      </c>
      <c r="D444" s="826">
        <v>1102.78</v>
      </c>
      <c r="E444" s="826">
        <v>2692.5507909399998</v>
      </c>
      <c r="F444" s="826">
        <f t="shared" si="13"/>
        <v>2692550790.9400001</v>
      </c>
      <c r="G444" s="826">
        <v>1589.7707909400001</v>
      </c>
      <c r="H444" s="826">
        <v>1179.3599999999999</v>
      </c>
      <c r="I444" s="826">
        <v>3644.0484408900002</v>
      </c>
      <c r="J444" s="826">
        <v>2464.68844089</v>
      </c>
      <c r="K444" s="826">
        <v>-76.58</v>
      </c>
      <c r="L444" s="826">
        <v>-951.49764994999998</v>
      </c>
      <c r="M444" s="826">
        <v>-874.91764995000005</v>
      </c>
      <c r="N444" s="826">
        <v>40.956701864700001</v>
      </c>
      <c r="O444" s="826">
        <v>100</v>
      </c>
      <c r="P444" s="826">
        <v>59.043298135299999</v>
      </c>
      <c r="Q444" s="826">
        <v>32.3640044618</v>
      </c>
      <c r="R444" s="826">
        <v>100</v>
      </c>
      <c r="S444" s="826">
        <v>67.635995538200007</v>
      </c>
      <c r="T444" s="826" t="s">
        <v>3088</v>
      </c>
      <c r="U444" s="826" t="s">
        <v>3088</v>
      </c>
      <c r="V444" s="826" t="s">
        <v>3088</v>
      </c>
    </row>
    <row r="445" spans="1:22">
      <c r="A445" s="826" t="s">
        <v>3133</v>
      </c>
      <c r="B445" s="826" t="s">
        <v>329</v>
      </c>
      <c r="C445" s="826" t="str">
        <f t="shared" si="12"/>
        <v>2011_Mali</v>
      </c>
      <c r="D445" s="826">
        <v>409.55023</v>
      </c>
      <c r="E445" s="826">
        <v>2800.6590000000001</v>
      </c>
      <c r="F445" s="826">
        <f t="shared" si="13"/>
        <v>2800659000</v>
      </c>
      <c r="G445" s="826">
        <v>2391.1087699999998</v>
      </c>
      <c r="H445" s="826">
        <v>1115.6382000000001</v>
      </c>
      <c r="I445" s="826">
        <v>3850.98</v>
      </c>
      <c r="J445" s="826">
        <v>2735.3418000000001</v>
      </c>
      <c r="K445" s="826">
        <v>-706.08797000000004</v>
      </c>
      <c r="L445" s="826">
        <v>-1050.3209999999999</v>
      </c>
      <c r="M445" s="826">
        <v>-344.23302999999999</v>
      </c>
      <c r="N445" s="826">
        <v>14.623352218200001</v>
      </c>
      <c r="O445" s="826">
        <v>100</v>
      </c>
      <c r="P445" s="826">
        <v>85.376647781800003</v>
      </c>
      <c r="Q445" s="826">
        <v>28.970241341200001</v>
      </c>
      <c r="R445" s="826">
        <v>100</v>
      </c>
      <c r="S445" s="826">
        <v>71.029758658800006</v>
      </c>
      <c r="T445" s="826" t="s">
        <v>3088</v>
      </c>
      <c r="U445" s="826" t="s">
        <v>3088</v>
      </c>
      <c r="V445" s="826" t="s">
        <v>3088</v>
      </c>
    </row>
    <row r="446" spans="1:22">
      <c r="A446" s="826" t="s">
        <v>3133</v>
      </c>
      <c r="B446" s="826" t="s">
        <v>345</v>
      </c>
      <c r="C446" s="826" t="str">
        <f t="shared" si="12"/>
        <v>2011_Mauritania</v>
      </c>
      <c r="D446" s="826">
        <v>209.6</v>
      </c>
      <c r="E446" s="826">
        <v>2891.3440070299998</v>
      </c>
      <c r="F446" s="826">
        <f t="shared" si="13"/>
        <v>2891344007.0299997</v>
      </c>
      <c r="G446" s="826">
        <v>2681.7440070299999</v>
      </c>
      <c r="H446" s="826">
        <v>761.4</v>
      </c>
      <c r="I446" s="826">
        <v>3243.3602083000001</v>
      </c>
      <c r="J446" s="826">
        <v>2481.9602083</v>
      </c>
      <c r="K446" s="826">
        <v>-551.79999999999995</v>
      </c>
      <c r="L446" s="826">
        <v>-352.01620127000001</v>
      </c>
      <c r="M446" s="826">
        <v>199.78379873</v>
      </c>
      <c r="N446" s="826">
        <v>7.2492238727</v>
      </c>
      <c r="O446" s="826">
        <v>100</v>
      </c>
      <c r="P446" s="826">
        <v>92.7507761273</v>
      </c>
      <c r="Q446" s="826">
        <v>23.475653368700002</v>
      </c>
      <c r="R446" s="826">
        <v>100</v>
      </c>
      <c r="S446" s="826">
        <v>76.524346631300006</v>
      </c>
      <c r="T446" s="826" t="s">
        <v>3088</v>
      </c>
      <c r="U446" s="826" t="s">
        <v>3088</v>
      </c>
      <c r="V446" s="826" t="s">
        <v>3088</v>
      </c>
    </row>
    <row r="447" spans="1:22">
      <c r="A447" s="826" t="s">
        <v>3133</v>
      </c>
      <c r="B447" s="826" t="s">
        <v>364</v>
      </c>
      <c r="C447" s="826" t="str">
        <f t="shared" si="12"/>
        <v>2011_Mongolia</v>
      </c>
      <c r="D447" s="826">
        <v>621.65700000000004</v>
      </c>
      <c r="E447" s="826">
        <v>5439.1570000000002</v>
      </c>
      <c r="F447" s="826">
        <f t="shared" si="13"/>
        <v>5439157000</v>
      </c>
      <c r="G447" s="826">
        <v>4817.5</v>
      </c>
      <c r="H447" s="826">
        <v>1782.2</v>
      </c>
      <c r="I447" s="826">
        <v>7592.59</v>
      </c>
      <c r="J447" s="826">
        <v>5810.39</v>
      </c>
      <c r="K447" s="826">
        <v>-1160.5429999999999</v>
      </c>
      <c r="L447" s="826">
        <v>-2153.433</v>
      </c>
      <c r="M447" s="826">
        <v>-992.89</v>
      </c>
      <c r="N447" s="826">
        <v>11.429289502</v>
      </c>
      <c r="O447" s="826">
        <v>100</v>
      </c>
      <c r="P447" s="826">
        <v>88.570710497999997</v>
      </c>
      <c r="Q447" s="826">
        <v>23.472886063899999</v>
      </c>
      <c r="R447" s="826">
        <v>100</v>
      </c>
      <c r="S447" s="826">
        <v>76.527113936099994</v>
      </c>
      <c r="T447" s="826" t="s">
        <v>3088</v>
      </c>
      <c r="U447" s="826" t="s">
        <v>3088</v>
      </c>
      <c r="V447" s="826" t="s">
        <v>3088</v>
      </c>
    </row>
    <row r="448" spans="1:22">
      <c r="A448" s="826" t="s">
        <v>3133</v>
      </c>
      <c r="B448" s="826" t="s">
        <v>385</v>
      </c>
      <c r="C448" s="826" t="str">
        <f t="shared" si="12"/>
        <v>2011_Mozambique</v>
      </c>
      <c r="D448" s="826">
        <v>729.08299999999997</v>
      </c>
      <c r="E448" s="826">
        <v>3847.357</v>
      </c>
      <c r="F448" s="826">
        <f t="shared" si="13"/>
        <v>3847357000</v>
      </c>
      <c r="G448" s="826">
        <v>3118.2739999999999</v>
      </c>
      <c r="H448" s="826">
        <v>2164.7069999999999</v>
      </c>
      <c r="I448" s="826">
        <v>7532.2910000000002</v>
      </c>
      <c r="J448" s="826">
        <v>5367.5839999999998</v>
      </c>
      <c r="K448" s="826">
        <v>-1435.624</v>
      </c>
      <c r="L448" s="826">
        <v>-3684.9340000000002</v>
      </c>
      <c r="M448" s="826">
        <v>-2249.31</v>
      </c>
      <c r="N448" s="826">
        <v>18.950229989099999</v>
      </c>
      <c r="O448" s="826">
        <v>100</v>
      </c>
      <c r="P448" s="826">
        <v>81.049770010900005</v>
      </c>
      <c r="Q448" s="826">
        <v>28.7390250855</v>
      </c>
      <c r="R448" s="826">
        <v>100</v>
      </c>
      <c r="S448" s="826">
        <v>71.260974914499997</v>
      </c>
      <c r="T448" s="826" t="s">
        <v>3088</v>
      </c>
      <c r="U448" s="826" t="s">
        <v>3088</v>
      </c>
      <c r="V448" s="826" t="s">
        <v>3088</v>
      </c>
    </row>
    <row r="449" spans="1:22">
      <c r="A449" s="826" t="s">
        <v>3133</v>
      </c>
      <c r="B449" s="826" t="s">
        <v>394</v>
      </c>
      <c r="C449" s="826" t="str">
        <f t="shared" si="12"/>
        <v>2011_Niger</v>
      </c>
      <c r="D449" s="826">
        <v>73.733659000000003</v>
      </c>
      <c r="E449" s="826">
        <v>1344.0904849999999</v>
      </c>
      <c r="F449" s="826">
        <f t="shared" si="13"/>
        <v>1344090485</v>
      </c>
      <c r="G449" s="826">
        <v>1270.356826</v>
      </c>
      <c r="H449" s="826">
        <v>865.02222300000005</v>
      </c>
      <c r="I449" s="826">
        <v>3060.8531079999998</v>
      </c>
      <c r="J449" s="826">
        <v>2195.8308849999999</v>
      </c>
      <c r="K449" s="826">
        <v>-791.28856399999995</v>
      </c>
      <c r="L449" s="826">
        <v>-1716.7626230000001</v>
      </c>
      <c r="M449" s="826">
        <v>-925.47405900000001</v>
      </c>
      <c r="N449" s="826">
        <v>5.4857660122</v>
      </c>
      <c r="O449" s="826">
        <v>100</v>
      </c>
      <c r="P449" s="826">
        <v>94.514233987799997</v>
      </c>
      <c r="Q449" s="826">
        <v>28.260821165799999</v>
      </c>
      <c r="R449" s="826">
        <v>100</v>
      </c>
      <c r="S449" s="826">
        <v>71.739178834200004</v>
      </c>
      <c r="T449" s="826" t="s">
        <v>3088</v>
      </c>
      <c r="U449" s="826" t="s">
        <v>3088</v>
      </c>
      <c r="V449" s="826" t="s">
        <v>3088</v>
      </c>
    </row>
    <row r="450" spans="1:22">
      <c r="A450" s="826" t="s">
        <v>3133</v>
      </c>
      <c r="B450" s="826" t="s">
        <v>413</v>
      </c>
      <c r="C450" s="826" t="str">
        <f t="shared" si="12"/>
        <v>2011_Nigeria</v>
      </c>
      <c r="D450" s="826">
        <v>3386.875</v>
      </c>
      <c r="E450" s="826">
        <v>99755.752999999997</v>
      </c>
      <c r="F450" s="826">
        <f t="shared" si="13"/>
        <v>99755753000</v>
      </c>
      <c r="G450" s="826">
        <v>96368.877999999997</v>
      </c>
      <c r="H450" s="826">
        <v>24573.304</v>
      </c>
      <c r="I450" s="826">
        <v>86226.123000000007</v>
      </c>
      <c r="J450" s="826">
        <v>61652.819000000003</v>
      </c>
      <c r="K450" s="826">
        <v>-21186.429</v>
      </c>
      <c r="L450" s="826">
        <v>13529.63</v>
      </c>
      <c r="M450" s="826">
        <v>34716.059000000001</v>
      </c>
      <c r="N450" s="826">
        <v>3.3951675950000002</v>
      </c>
      <c r="O450" s="826">
        <v>100</v>
      </c>
      <c r="P450" s="826">
        <v>96.604832404999996</v>
      </c>
      <c r="Q450" s="826">
        <v>28.4986766713</v>
      </c>
      <c r="R450" s="826">
        <v>100</v>
      </c>
      <c r="S450" s="826">
        <v>71.501323328699996</v>
      </c>
      <c r="T450" s="826" t="s">
        <v>3088</v>
      </c>
      <c r="U450" s="826" t="s">
        <v>3088</v>
      </c>
      <c r="V450" s="826" t="s">
        <v>3088</v>
      </c>
    </row>
    <row r="451" spans="1:22">
      <c r="A451" s="826" t="s">
        <v>3133</v>
      </c>
      <c r="B451" s="826" t="s">
        <v>436</v>
      </c>
      <c r="C451" s="826" t="str">
        <f t="shared" si="12"/>
        <v>2011_Norway</v>
      </c>
      <c r="D451" s="826">
        <v>42255.928240000001</v>
      </c>
      <c r="E451" s="826">
        <v>203746.96908000001</v>
      </c>
      <c r="F451" s="826">
        <f t="shared" si="13"/>
        <v>203746969080</v>
      </c>
      <c r="G451" s="826">
        <v>161491.04084</v>
      </c>
      <c r="H451" s="826">
        <v>47177.412763</v>
      </c>
      <c r="I451" s="826">
        <v>137263.149148</v>
      </c>
      <c r="J451" s="826">
        <v>90085.736384999997</v>
      </c>
      <c r="K451" s="826">
        <v>-4921.4845230000001</v>
      </c>
      <c r="L451" s="826">
        <v>66483.819931999999</v>
      </c>
      <c r="M451" s="826">
        <v>71405.304455000005</v>
      </c>
      <c r="N451" s="826">
        <v>20.739414397600001</v>
      </c>
      <c r="O451" s="826">
        <v>100</v>
      </c>
      <c r="P451" s="826">
        <v>79.260585602399999</v>
      </c>
      <c r="Q451" s="826">
        <v>34.370049831899998</v>
      </c>
      <c r="R451" s="826">
        <v>100</v>
      </c>
      <c r="S451" s="826">
        <v>65.629950168099995</v>
      </c>
      <c r="T451" s="826" t="s">
        <v>3088</v>
      </c>
      <c r="U451" s="826" t="s">
        <v>3088</v>
      </c>
      <c r="V451" s="826" t="s">
        <v>3088</v>
      </c>
    </row>
    <row r="452" spans="1:22">
      <c r="A452" s="826" t="s">
        <v>3133</v>
      </c>
      <c r="B452" s="826" t="s">
        <v>449</v>
      </c>
      <c r="C452" s="826" t="str">
        <f t="shared" si="12"/>
        <v>2011_Peru</v>
      </c>
      <c r="D452" s="826">
        <v>4364.3530000000001</v>
      </c>
      <c r="E452" s="826">
        <v>50632.851000000002</v>
      </c>
      <c r="F452" s="826">
        <f t="shared" si="13"/>
        <v>50632851000</v>
      </c>
      <c r="G452" s="826">
        <v>46268.498</v>
      </c>
      <c r="H452" s="826">
        <v>6496.8310000000001</v>
      </c>
      <c r="I452" s="826">
        <v>43463.542000000001</v>
      </c>
      <c r="J452" s="826">
        <v>36966.711000000003</v>
      </c>
      <c r="K452" s="826">
        <v>-2132.4780000000001</v>
      </c>
      <c r="L452" s="826">
        <v>7169.3090000000002</v>
      </c>
      <c r="M452" s="826">
        <v>9301.7870000000003</v>
      </c>
      <c r="N452" s="826">
        <v>8.6196074560000007</v>
      </c>
      <c r="O452" s="826">
        <v>100</v>
      </c>
      <c r="P452" s="826">
        <v>91.380392544000003</v>
      </c>
      <c r="Q452" s="826">
        <v>14.9477716289</v>
      </c>
      <c r="R452" s="826">
        <v>100</v>
      </c>
      <c r="S452" s="826">
        <v>85.0522283711</v>
      </c>
      <c r="T452" s="826" t="s">
        <v>3088</v>
      </c>
      <c r="U452" s="826" t="s">
        <v>3088</v>
      </c>
      <c r="V452" s="826" t="s">
        <v>3088</v>
      </c>
    </row>
    <row r="453" spans="1:22">
      <c r="A453" s="826" t="s">
        <v>3133</v>
      </c>
      <c r="B453" s="826" t="s">
        <v>488</v>
      </c>
      <c r="C453" s="826" t="str">
        <f t="shared" si="12"/>
        <v>2011_Sierra Leone</v>
      </c>
      <c r="D453" s="826">
        <v>160.011</v>
      </c>
      <c r="E453" s="826">
        <v>545.726</v>
      </c>
      <c r="F453" s="826">
        <f t="shared" si="13"/>
        <v>545726000</v>
      </c>
      <c r="G453" s="826">
        <v>385.71499999999997</v>
      </c>
      <c r="H453" s="826">
        <v>435.166</v>
      </c>
      <c r="I453" s="826">
        <v>2491.1950000000002</v>
      </c>
      <c r="J453" s="826">
        <v>2056.029</v>
      </c>
      <c r="K453" s="826">
        <v>-275.15499999999997</v>
      </c>
      <c r="L453" s="826">
        <v>-1945.4690000000001</v>
      </c>
      <c r="M453" s="826">
        <v>-1670.3140000000001</v>
      </c>
      <c r="N453" s="826">
        <v>29.320758036099999</v>
      </c>
      <c r="O453" s="826">
        <v>100</v>
      </c>
      <c r="P453" s="826">
        <v>70.679241963899997</v>
      </c>
      <c r="Q453" s="826">
        <v>17.4681628696</v>
      </c>
      <c r="R453" s="826">
        <v>100</v>
      </c>
      <c r="S453" s="826">
        <v>82.531837130400007</v>
      </c>
      <c r="T453" s="826" t="s">
        <v>3088</v>
      </c>
      <c r="U453" s="826" t="s">
        <v>3088</v>
      </c>
      <c r="V453" s="826" t="s">
        <v>3088</v>
      </c>
    </row>
    <row r="454" spans="1:22">
      <c r="A454" s="826" t="s">
        <v>3133</v>
      </c>
      <c r="B454" s="826" t="s">
        <v>3090</v>
      </c>
      <c r="C454" s="826" t="str">
        <f t="shared" ref="C454:C517" si="14">$A454&amp;"_"&amp;$B454</f>
        <v>2011_Timor-Leste</v>
      </c>
      <c r="D454" s="826">
        <v>79.456000000000003</v>
      </c>
      <c r="E454" s="826">
        <v>104.52200000000001</v>
      </c>
      <c r="F454" s="826">
        <f t="shared" ref="F454:F517" si="15">IFERROR($E454*1000000,"..")</f>
        <v>104522000</v>
      </c>
      <c r="G454" s="826">
        <v>25.065999999999999</v>
      </c>
      <c r="H454" s="826">
        <v>1485.1279999999999</v>
      </c>
      <c r="I454" s="826">
        <v>1859.0650000000001</v>
      </c>
      <c r="J454" s="826">
        <v>373.93700000000001</v>
      </c>
      <c r="K454" s="826">
        <v>-1405.672</v>
      </c>
      <c r="L454" s="826">
        <v>-1754.5429999999999</v>
      </c>
      <c r="M454" s="826">
        <v>-348.87099999999998</v>
      </c>
      <c r="N454" s="826">
        <v>76.018445877399998</v>
      </c>
      <c r="O454" s="826">
        <v>100</v>
      </c>
      <c r="P454" s="826">
        <v>23.981554122599999</v>
      </c>
      <c r="Q454" s="826">
        <v>79.885749019000002</v>
      </c>
      <c r="R454" s="826">
        <v>100</v>
      </c>
      <c r="S454" s="826">
        <v>20.114250981000001</v>
      </c>
      <c r="T454" s="826" t="s">
        <v>3088</v>
      </c>
      <c r="U454" s="826" t="s">
        <v>3088</v>
      </c>
      <c r="V454" s="826" t="s">
        <v>3088</v>
      </c>
    </row>
    <row r="455" spans="1:22">
      <c r="A455" s="826" t="s">
        <v>3133</v>
      </c>
      <c r="B455" s="826" t="s">
        <v>517</v>
      </c>
      <c r="C455" s="826" t="str">
        <f t="shared" si="14"/>
        <v>2011_Togo</v>
      </c>
      <c r="D455" s="826">
        <v>1008.7062089999999</v>
      </c>
      <c r="E455" s="826">
        <v>2191.4998529999998</v>
      </c>
      <c r="F455" s="826">
        <f t="shared" si="15"/>
        <v>2191499853</v>
      </c>
      <c r="G455" s="826">
        <v>1182.7936440000001</v>
      </c>
      <c r="H455" s="826">
        <v>1370.572533</v>
      </c>
      <c r="I455" s="826">
        <v>3394.2115840000001</v>
      </c>
      <c r="J455" s="826">
        <v>2023.6390510000001</v>
      </c>
      <c r="K455" s="826">
        <v>-361.86632400000002</v>
      </c>
      <c r="L455" s="826">
        <v>-1202.7117310000001</v>
      </c>
      <c r="M455" s="826">
        <v>-840.84540700000002</v>
      </c>
      <c r="N455" s="826">
        <v>46.028121225699998</v>
      </c>
      <c r="O455" s="826">
        <v>100</v>
      </c>
      <c r="P455" s="826">
        <v>53.971878774300002</v>
      </c>
      <c r="Q455" s="826">
        <v>40.3797022985</v>
      </c>
      <c r="R455" s="826">
        <v>100</v>
      </c>
      <c r="S455" s="826">
        <v>59.6202977015</v>
      </c>
      <c r="T455" s="826" t="s">
        <v>3088</v>
      </c>
      <c r="U455" s="826" t="s">
        <v>3088</v>
      </c>
      <c r="V455" s="826" t="s">
        <v>3088</v>
      </c>
    </row>
    <row r="456" spans="1:22">
      <c r="A456" s="826" t="s">
        <v>3133</v>
      </c>
      <c r="B456" s="826" t="s">
        <v>3091</v>
      </c>
      <c r="C456" s="826" t="str">
        <f t="shared" si="14"/>
        <v>2011_Trinidad and Tobago</v>
      </c>
      <c r="D456" s="826">
        <v>5812.2340000000004</v>
      </c>
      <c r="E456" s="826">
        <v>20756.13</v>
      </c>
      <c r="F456" s="826">
        <f t="shared" si="15"/>
        <v>20756130000</v>
      </c>
      <c r="G456" s="826">
        <v>14943.896000000001</v>
      </c>
      <c r="H456" s="826">
        <v>5504</v>
      </c>
      <c r="I456" s="826">
        <v>15014.879000000001</v>
      </c>
      <c r="J456" s="826">
        <v>9510.8790000000008</v>
      </c>
      <c r="K456" s="826">
        <v>308.23399999999998</v>
      </c>
      <c r="L456" s="826">
        <v>5741.2510000000002</v>
      </c>
      <c r="M456" s="826">
        <v>5433.0169999999998</v>
      </c>
      <c r="N456" s="826">
        <v>28.002493721099999</v>
      </c>
      <c r="O456" s="826">
        <v>100</v>
      </c>
      <c r="P456" s="826">
        <v>71.997506278900005</v>
      </c>
      <c r="Q456" s="826">
        <v>36.656972060800001</v>
      </c>
      <c r="R456" s="826">
        <v>100</v>
      </c>
      <c r="S456" s="826">
        <v>63.343027939199999</v>
      </c>
      <c r="T456" s="826" t="s">
        <v>3088</v>
      </c>
      <c r="U456" s="826" t="s">
        <v>3088</v>
      </c>
      <c r="V456" s="826" t="s">
        <v>3088</v>
      </c>
    </row>
    <row r="457" spans="1:22">
      <c r="A457" s="826" t="s">
        <v>3133</v>
      </c>
      <c r="B457" s="826" t="s">
        <v>499</v>
      </c>
      <c r="C457" s="826" t="str">
        <f t="shared" si="14"/>
        <v>2011_Tanzania</v>
      </c>
      <c r="D457" s="826">
        <v>2300.335</v>
      </c>
      <c r="E457" s="826">
        <v>7398.2359999999999</v>
      </c>
      <c r="F457" s="826">
        <f t="shared" si="15"/>
        <v>7398236000</v>
      </c>
      <c r="G457" s="826">
        <v>5097.9009999999998</v>
      </c>
      <c r="H457" s="826">
        <v>2208.09</v>
      </c>
      <c r="I457" s="826">
        <v>12035.574000000001</v>
      </c>
      <c r="J457" s="826">
        <v>9827.4840000000004</v>
      </c>
      <c r="K457" s="826">
        <v>92.245000000000005</v>
      </c>
      <c r="L457" s="826">
        <v>-4637.3379999999997</v>
      </c>
      <c r="M457" s="826">
        <v>-4729.5829999999996</v>
      </c>
      <c r="N457" s="826">
        <v>31.0930200118</v>
      </c>
      <c r="O457" s="826">
        <v>100</v>
      </c>
      <c r="P457" s="826">
        <v>68.906979988200007</v>
      </c>
      <c r="Q457" s="826">
        <v>18.346362209199999</v>
      </c>
      <c r="R457" s="826">
        <v>100</v>
      </c>
      <c r="S457" s="826">
        <v>81.653637790800005</v>
      </c>
      <c r="T457" s="826" t="s">
        <v>3088</v>
      </c>
      <c r="U457" s="826" t="s">
        <v>3088</v>
      </c>
      <c r="V457" s="826" t="s">
        <v>3088</v>
      </c>
    </row>
    <row r="458" spans="1:22">
      <c r="A458" s="826" t="s">
        <v>3133</v>
      </c>
      <c r="B458" s="826" t="s">
        <v>529</v>
      </c>
      <c r="C458" s="826" t="str">
        <f t="shared" si="14"/>
        <v>2011_Yemen</v>
      </c>
      <c r="D458" s="826">
        <v>1247.8699999999999</v>
      </c>
      <c r="E458" s="826">
        <v>9910.02</v>
      </c>
      <c r="F458" s="826">
        <f t="shared" si="15"/>
        <v>9910020000</v>
      </c>
      <c r="G458" s="826">
        <v>8662.15</v>
      </c>
      <c r="H458" s="826">
        <v>2273.1</v>
      </c>
      <c r="I458" s="826">
        <v>10521.52</v>
      </c>
      <c r="J458" s="826">
        <v>8248.42</v>
      </c>
      <c r="K458" s="826">
        <v>-1025.23</v>
      </c>
      <c r="L458" s="826">
        <v>-611.5</v>
      </c>
      <c r="M458" s="826">
        <v>413.73</v>
      </c>
      <c r="N458" s="826">
        <v>12.592002841599999</v>
      </c>
      <c r="O458" s="826">
        <v>100</v>
      </c>
      <c r="P458" s="826">
        <v>87.407997158399994</v>
      </c>
      <c r="Q458" s="826">
        <v>21.6042929159</v>
      </c>
      <c r="R458" s="826">
        <v>100</v>
      </c>
      <c r="S458" s="826">
        <v>78.395707084099996</v>
      </c>
      <c r="T458" s="826" t="s">
        <v>3088</v>
      </c>
      <c r="U458" s="826" t="s">
        <v>3088</v>
      </c>
      <c r="V458" s="826" t="s">
        <v>3088</v>
      </c>
    </row>
    <row r="459" spans="1:22">
      <c r="A459" s="826" t="s">
        <v>3133</v>
      </c>
      <c r="B459" s="826" t="s">
        <v>541</v>
      </c>
      <c r="C459" s="826" t="str">
        <f t="shared" si="14"/>
        <v>2011_Zambia</v>
      </c>
      <c r="D459" s="826">
        <v>375.21</v>
      </c>
      <c r="E459" s="826">
        <v>9034.9809999999998</v>
      </c>
      <c r="F459" s="826">
        <f t="shared" si="15"/>
        <v>9034981000</v>
      </c>
      <c r="G459" s="826">
        <v>8659.7710000000006</v>
      </c>
      <c r="H459" s="826">
        <v>1103.578</v>
      </c>
      <c r="I459" s="826">
        <v>7557.8180000000002</v>
      </c>
      <c r="J459" s="826">
        <v>6454.24</v>
      </c>
      <c r="K459" s="826">
        <v>-728.36800000000005</v>
      </c>
      <c r="L459" s="826">
        <v>1477.163</v>
      </c>
      <c r="M459" s="826">
        <v>2205.5309999999999</v>
      </c>
      <c r="N459" s="826">
        <v>4.1528587609000001</v>
      </c>
      <c r="O459" s="826">
        <v>100</v>
      </c>
      <c r="P459" s="826">
        <v>95.847141239099997</v>
      </c>
      <c r="Q459" s="826">
        <v>14.6018070295</v>
      </c>
      <c r="R459" s="826">
        <v>100</v>
      </c>
      <c r="S459" s="826">
        <v>85.398192970500006</v>
      </c>
      <c r="T459" s="826" t="s">
        <v>3088</v>
      </c>
      <c r="U459" s="826" t="s">
        <v>3088</v>
      </c>
      <c r="V459" s="826" t="s">
        <v>3088</v>
      </c>
    </row>
    <row r="460" spans="1:22">
      <c r="A460" s="826" t="s">
        <v>3134</v>
      </c>
      <c r="B460" s="826" t="s">
        <v>21</v>
      </c>
      <c r="C460" s="826" t="str">
        <f t="shared" si="14"/>
        <v>2012_Afghanistan</v>
      </c>
      <c r="D460" s="826">
        <v>3055.8809999999999</v>
      </c>
      <c r="E460" s="826">
        <v>5840.8810000000003</v>
      </c>
      <c r="F460" s="826">
        <f t="shared" si="15"/>
        <v>5840881000</v>
      </c>
      <c r="G460" s="826">
        <v>2785</v>
      </c>
      <c r="H460" s="826">
        <v>2238.877</v>
      </c>
      <c r="I460" s="826">
        <v>13898.877</v>
      </c>
      <c r="J460" s="826">
        <v>11660</v>
      </c>
      <c r="K460" s="826">
        <v>817.00400000000002</v>
      </c>
      <c r="L460" s="826">
        <v>-8057.9960000000001</v>
      </c>
      <c r="M460" s="826">
        <v>-8875</v>
      </c>
      <c r="N460" s="826">
        <v>52.318836832999999</v>
      </c>
      <c r="O460" s="826">
        <v>100</v>
      </c>
      <c r="P460" s="826">
        <v>47.681163167000001</v>
      </c>
      <c r="Q460" s="826">
        <v>16.108330191</v>
      </c>
      <c r="R460" s="826">
        <v>100</v>
      </c>
      <c r="S460" s="826">
        <v>83.891669809000007</v>
      </c>
      <c r="T460" s="826" t="s">
        <v>3088</v>
      </c>
      <c r="U460" s="826" t="s">
        <v>3088</v>
      </c>
      <c r="V460" s="826" t="s">
        <v>3088</v>
      </c>
    </row>
    <row r="461" spans="1:22">
      <c r="A461" s="826" t="s">
        <v>3134</v>
      </c>
      <c r="B461" s="826" t="s">
        <v>38</v>
      </c>
      <c r="C461" s="826" t="str">
        <f t="shared" si="14"/>
        <v>2012_Albania</v>
      </c>
      <c r="D461" s="826">
        <v>2141.4259999999999</v>
      </c>
      <c r="E461" s="826">
        <v>4101.21</v>
      </c>
      <c r="F461" s="826">
        <f t="shared" si="15"/>
        <v>4101210000</v>
      </c>
      <c r="G461" s="826">
        <v>1959.7840000000001</v>
      </c>
      <c r="H461" s="826">
        <v>1871.6010000000001</v>
      </c>
      <c r="I461" s="826">
        <v>6398.5940000000001</v>
      </c>
      <c r="J461" s="826">
        <v>4526.9930000000004</v>
      </c>
      <c r="K461" s="826">
        <v>269.82499999999999</v>
      </c>
      <c r="L461" s="826">
        <v>-2297.384</v>
      </c>
      <c r="M461" s="826">
        <v>-2567.2089999999998</v>
      </c>
      <c r="N461" s="826">
        <v>52.214492796000002</v>
      </c>
      <c r="O461" s="826">
        <v>100</v>
      </c>
      <c r="P461" s="826">
        <v>47.785507203999998</v>
      </c>
      <c r="Q461" s="826">
        <v>29.2501915265</v>
      </c>
      <c r="R461" s="826">
        <v>100</v>
      </c>
      <c r="S461" s="826">
        <v>70.749808473499996</v>
      </c>
      <c r="T461" s="826" t="s">
        <v>3088</v>
      </c>
      <c r="U461" s="826" t="s">
        <v>3088</v>
      </c>
      <c r="V461" s="826" t="s">
        <v>3088</v>
      </c>
    </row>
    <row r="462" spans="1:22">
      <c r="A462" s="826" t="s">
        <v>3134</v>
      </c>
      <c r="B462" s="826" t="s">
        <v>53</v>
      </c>
      <c r="C462" s="826" t="str">
        <f t="shared" si="14"/>
        <v>2012_Azerbaijan</v>
      </c>
      <c r="D462" s="826">
        <v>4280.835</v>
      </c>
      <c r="E462" s="826">
        <v>36914.839999999997</v>
      </c>
      <c r="F462" s="826">
        <f t="shared" si="15"/>
        <v>36914840000</v>
      </c>
      <c r="G462" s="826">
        <v>32634.005000000001</v>
      </c>
      <c r="H462" s="826">
        <v>7204.598</v>
      </c>
      <c r="I462" s="826">
        <v>17622.07</v>
      </c>
      <c r="J462" s="826">
        <v>10417.472</v>
      </c>
      <c r="K462" s="826">
        <v>-2923.7629999999999</v>
      </c>
      <c r="L462" s="826">
        <v>19292.77</v>
      </c>
      <c r="M462" s="826">
        <v>22216.532999999999</v>
      </c>
      <c r="N462" s="826">
        <v>11.596515114200001</v>
      </c>
      <c r="O462" s="826">
        <v>100</v>
      </c>
      <c r="P462" s="826">
        <v>88.403484885799998</v>
      </c>
      <c r="Q462" s="826">
        <v>40.883948367000002</v>
      </c>
      <c r="R462" s="826">
        <v>100</v>
      </c>
      <c r="S462" s="826">
        <v>59.116051632999998</v>
      </c>
      <c r="T462" s="826" t="s">
        <v>3088</v>
      </c>
      <c r="U462" s="826" t="s">
        <v>3088</v>
      </c>
      <c r="V462" s="826" t="s">
        <v>3088</v>
      </c>
    </row>
    <row r="463" spans="1:22">
      <c r="A463" s="826" t="s">
        <v>3134</v>
      </c>
      <c r="B463" s="826" t="s">
        <v>98</v>
      </c>
      <c r="C463" s="826" t="str">
        <f t="shared" si="14"/>
        <v>2012_Burkina Faso</v>
      </c>
      <c r="D463" s="826">
        <v>425.4597</v>
      </c>
      <c r="E463" s="826">
        <v>3289.0651419999999</v>
      </c>
      <c r="F463" s="826">
        <f t="shared" si="15"/>
        <v>3289065142</v>
      </c>
      <c r="G463" s="826">
        <v>2863.605442</v>
      </c>
      <c r="H463" s="826">
        <v>1208.4444800000001</v>
      </c>
      <c r="I463" s="826">
        <v>3874.8792899999999</v>
      </c>
      <c r="J463" s="826">
        <v>2666.4348100000002</v>
      </c>
      <c r="K463" s="826">
        <v>-782.98478</v>
      </c>
      <c r="L463" s="826">
        <v>-585.81414800000005</v>
      </c>
      <c r="M463" s="826">
        <v>197.17063200000001</v>
      </c>
      <c r="N463" s="826">
        <v>12.9355814382</v>
      </c>
      <c r="O463" s="826">
        <v>100</v>
      </c>
      <c r="P463" s="826">
        <v>87.064418561799997</v>
      </c>
      <c r="Q463" s="826">
        <v>31.186635493899999</v>
      </c>
      <c r="R463" s="826">
        <v>100</v>
      </c>
      <c r="S463" s="826">
        <v>68.813364506100001</v>
      </c>
      <c r="T463" s="826" t="s">
        <v>3088</v>
      </c>
      <c r="U463" s="826" t="s">
        <v>3088</v>
      </c>
      <c r="V463" s="826" t="s">
        <v>3088</v>
      </c>
    </row>
    <row r="464" spans="1:22">
      <c r="A464" s="826" t="s">
        <v>3134</v>
      </c>
      <c r="B464" s="826" t="s">
        <v>3136</v>
      </c>
      <c r="C464" s="826" t="str">
        <f t="shared" si="14"/>
        <v>2012_ Cameroon</v>
      </c>
      <c r="D464" s="826">
        <v>1628.1969999999999</v>
      </c>
      <c r="E464" s="826">
        <v>7385.3109999999997</v>
      </c>
      <c r="F464" s="826">
        <f t="shared" si="15"/>
        <v>7385311000</v>
      </c>
      <c r="G464" s="826">
        <v>5757.1139999999996</v>
      </c>
      <c r="H464" s="826">
        <v>2128.6410000000001</v>
      </c>
      <c r="I464" s="826">
        <v>8159.8580000000002</v>
      </c>
      <c r="J464" s="826">
        <v>6031.2169999999996</v>
      </c>
      <c r="K464" s="826">
        <v>-500.44400000000002</v>
      </c>
      <c r="L464" s="826">
        <v>-774.54700000000003</v>
      </c>
      <c r="M464" s="826">
        <v>-274.10300000000001</v>
      </c>
      <c r="N464" s="826">
        <v>22.046424314399999</v>
      </c>
      <c r="O464" s="826">
        <v>100</v>
      </c>
      <c r="P464" s="826">
        <v>77.953575685600001</v>
      </c>
      <c r="Q464" s="826">
        <v>26.0867407251</v>
      </c>
      <c r="R464" s="826">
        <v>100</v>
      </c>
      <c r="S464" s="826">
        <v>73.9132592749</v>
      </c>
      <c r="T464" s="826" t="s">
        <v>3088</v>
      </c>
      <c r="U464" s="826" t="s">
        <v>3088</v>
      </c>
      <c r="V464" s="826" t="s">
        <v>3088</v>
      </c>
    </row>
    <row r="465" spans="1:22">
      <c r="A465" s="826" t="s">
        <v>3134</v>
      </c>
      <c r="B465" s="826" t="s">
        <v>127</v>
      </c>
      <c r="C465" s="826" t="str">
        <f t="shared" si="14"/>
        <v>2012_Central African Republic</v>
      </c>
      <c r="D465" s="826">
        <v>68.948361199999994</v>
      </c>
      <c r="E465" s="826">
        <v>252.28832166999999</v>
      </c>
      <c r="F465" s="826">
        <f t="shared" si="15"/>
        <v>252288321.66999999</v>
      </c>
      <c r="G465" s="826">
        <v>183.33996046999999</v>
      </c>
      <c r="H465" s="826">
        <v>178.83481187000001</v>
      </c>
      <c r="I465" s="826">
        <v>474.01998327000001</v>
      </c>
      <c r="J465" s="826">
        <v>295.1851714</v>
      </c>
      <c r="K465" s="826">
        <v>-109.88645067</v>
      </c>
      <c r="L465" s="826">
        <v>-221.7316616</v>
      </c>
      <c r="M465" s="826">
        <v>-111.84521092999999</v>
      </c>
      <c r="N465" s="826">
        <v>27.3291925459</v>
      </c>
      <c r="O465" s="826">
        <v>100</v>
      </c>
      <c r="P465" s="826">
        <v>72.6708074541</v>
      </c>
      <c r="Q465" s="826">
        <v>37.727272727299997</v>
      </c>
      <c r="R465" s="826">
        <v>100</v>
      </c>
      <c r="S465" s="826">
        <v>62.272727272700003</v>
      </c>
      <c r="T465" s="826" t="s">
        <v>3088</v>
      </c>
      <c r="U465" s="826" t="s">
        <v>3088</v>
      </c>
      <c r="V465" s="826" t="s">
        <v>3088</v>
      </c>
    </row>
    <row r="466" spans="1:22">
      <c r="A466" s="826" t="s">
        <v>3134</v>
      </c>
      <c r="B466" s="826" t="s">
        <v>3137</v>
      </c>
      <c r="C466" s="826" t="str">
        <f t="shared" si="14"/>
        <v>2012_ Chad</v>
      </c>
      <c r="D466" s="826">
        <v>415.25009299999999</v>
      </c>
      <c r="E466" s="826">
        <v>4710.7088379999996</v>
      </c>
      <c r="F466" s="826">
        <f t="shared" si="15"/>
        <v>4710708838</v>
      </c>
      <c r="G466" s="826">
        <v>4295.4587449999999</v>
      </c>
      <c r="H466" s="826">
        <v>2473.1470169999998</v>
      </c>
      <c r="I466" s="826">
        <v>5378.2817750000004</v>
      </c>
      <c r="J466" s="826">
        <v>2905.1347580000001</v>
      </c>
      <c r="K466" s="826">
        <v>-2057.8969240000001</v>
      </c>
      <c r="L466" s="826">
        <v>-667.57293700000002</v>
      </c>
      <c r="M466" s="826">
        <v>1390.323987</v>
      </c>
      <c r="N466" s="826">
        <v>8.8150235406000004</v>
      </c>
      <c r="O466" s="826">
        <v>100</v>
      </c>
      <c r="P466" s="826">
        <v>91.184976459400005</v>
      </c>
      <c r="Q466" s="826">
        <v>45.983961429799997</v>
      </c>
      <c r="R466" s="826">
        <v>100</v>
      </c>
      <c r="S466" s="826">
        <v>54.016038570200003</v>
      </c>
      <c r="T466" s="826" t="s">
        <v>3088</v>
      </c>
      <c r="U466" s="826" t="s">
        <v>3088</v>
      </c>
      <c r="V466" s="826" t="s">
        <v>3088</v>
      </c>
    </row>
    <row r="467" spans="1:22">
      <c r="A467" s="826" t="s">
        <v>3134</v>
      </c>
      <c r="B467" s="826" t="s">
        <v>465</v>
      </c>
      <c r="C467" s="826" t="str">
        <f t="shared" si="14"/>
        <v>2012_Republic of the Congo</v>
      </c>
      <c r="D467" s="826">
        <v>488.5148092</v>
      </c>
      <c r="E467" s="826">
        <v>11042.902725989999</v>
      </c>
      <c r="F467" s="826">
        <f t="shared" si="15"/>
        <v>11042902725.99</v>
      </c>
      <c r="G467" s="826">
        <v>10554.38791679</v>
      </c>
      <c r="H467" s="826">
        <v>5137.2405377100004</v>
      </c>
      <c r="I467" s="826">
        <v>10651.934177810001</v>
      </c>
      <c r="J467" s="826">
        <v>5514.6936401000003</v>
      </c>
      <c r="K467" s="826">
        <v>-4648.7257285100004</v>
      </c>
      <c r="L467" s="826">
        <v>390.96854818000003</v>
      </c>
      <c r="M467" s="826">
        <v>5039.6942766900002</v>
      </c>
      <c r="N467" s="826">
        <v>4.4237898432999998</v>
      </c>
      <c r="O467" s="826">
        <v>100</v>
      </c>
      <c r="P467" s="826">
        <v>95.5762101567</v>
      </c>
      <c r="Q467" s="826">
        <v>48.228241481399998</v>
      </c>
      <c r="R467" s="826">
        <v>100</v>
      </c>
      <c r="S467" s="826">
        <v>51.771758518600002</v>
      </c>
      <c r="T467" s="826" t="s">
        <v>3088</v>
      </c>
      <c r="U467" s="826" t="s">
        <v>3088</v>
      </c>
      <c r="V467" s="826" t="s">
        <v>3088</v>
      </c>
    </row>
    <row r="468" spans="1:22">
      <c r="A468" s="826" t="s">
        <v>3134</v>
      </c>
      <c r="B468" s="826" t="s">
        <v>171</v>
      </c>
      <c r="C468" s="826" t="str">
        <f t="shared" si="14"/>
        <v>2012_Democratic Republic of Congo</v>
      </c>
      <c r="D468" s="826">
        <v>287.69200000000001</v>
      </c>
      <c r="E468" s="826">
        <v>8821.8629999999994</v>
      </c>
      <c r="F468" s="826">
        <f t="shared" si="15"/>
        <v>8821863000</v>
      </c>
      <c r="G468" s="826">
        <v>8534.1710000000003</v>
      </c>
      <c r="H468" s="826">
        <v>2289.0340000000001</v>
      </c>
      <c r="I468" s="826">
        <v>10644.736000000001</v>
      </c>
      <c r="J468" s="826">
        <v>8355.7019999999993</v>
      </c>
      <c r="K468" s="826">
        <v>-2001.3420000000001</v>
      </c>
      <c r="L468" s="826">
        <v>-1822.873</v>
      </c>
      <c r="M468" s="826">
        <v>178.46899999999999</v>
      </c>
      <c r="N468" s="826">
        <v>3.2611252294000002</v>
      </c>
      <c r="O468" s="826">
        <v>100</v>
      </c>
      <c r="P468" s="826">
        <v>96.738874770600006</v>
      </c>
      <c r="Q468" s="826">
        <v>21.503905780299998</v>
      </c>
      <c r="R468" s="826">
        <v>100</v>
      </c>
      <c r="S468" s="826">
        <v>78.496094219699998</v>
      </c>
      <c r="T468" s="826" t="s">
        <v>3088</v>
      </c>
      <c r="U468" s="826" t="s">
        <v>3088</v>
      </c>
      <c r="V468" s="826" t="s">
        <v>3088</v>
      </c>
    </row>
    <row r="469" spans="1:22">
      <c r="A469" s="826" t="s">
        <v>3134</v>
      </c>
      <c r="B469" s="826" t="s">
        <v>3138</v>
      </c>
      <c r="C469" s="826" t="str">
        <f t="shared" si="14"/>
        <v>2012_ Equatorial Guinea</v>
      </c>
      <c r="D469" s="826">
        <v>59.350435920000002</v>
      </c>
      <c r="E469" s="826">
        <v>17219.265582420001</v>
      </c>
      <c r="F469" s="826">
        <f t="shared" si="15"/>
        <v>17219265582.420002</v>
      </c>
      <c r="G469" s="826">
        <v>17159.9151465</v>
      </c>
      <c r="H469" s="826">
        <v>3078.7793789500001</v>
      </c>
      <c r="I469" s="826">
        <v>10171.45028567</v>
      </c>
      <c r="J469" s="826">
        <v>7092.6709067199999</v>
      </c>
      <c r="K469" s="826">
        <v>-3019.42894303</v>
      </c>
      <c r="L469" s="826">
        <v>7047.81529675</v>
      </c>
      <c r="M469" s="826">
        <v>10067.24423978</v>
      </c>
      <c r="N469" s="826">
        <v>0.3446746067</v>
      </c>
      <c r="O469" s="826">
        <v>100</v>
      </c>
      <c r="P469" s="826">
        <v>99.655325393300004</v>
      </c>
      <c r="Q469" s="826">
        <v>30.268833769800001</v>
      </c>
      <c r="R469" s="826">
        <v>100</v>
      </c>
      <c r="S469" s="826">
        <v>69.731166230200003</v>
      </c>
      <c r="T469" s="826" t="s">
        <v>3088</v>
      </c>
      <c r="U469" s="826" t="s">
        <v>3088</v>
      </c>
      <c r="V469" s="826" t="s">
        <v>3088</v>
      </c>
    </row>
    <row r="470" spans="1:22">
      <c r="A470" s="826" t="s">
        <v>3134</v>
      </c>
      <c r="B470" s="826" t="s">
        <v>3139</v>
      </c>
      <c r="C470" s="826" t="str">
        <f t="shared" si="14"/>
        <v>2012_ Gabon</v>
      </c>
      <c r="D470" s="826">
        <v>179.61831599999999</v>
      </c>
      <c r="E470" s="826">
        <v>9879.3335819999993</v>
      </c>
      <c r="F470" s="826">
        <f t="shared" si="15"/>
        <v>9879333582</v>
      </c>
      <c r="G470" s="826">
        <v>9699.7152659999992</v>
      </c>
      <c r="H470" s="826">
        <v>2515.0102430000002</v>
      </c>
      <c r="I470" s="826">
        <v>5431.264811</v>
      </c>
      <c r="J470" s="826">
        <v>2916.2545679999998</v>
      </c>
      <c r="K470" s="826">
        <v>-2335.3919270000001</v>
      </c>
      <c r="L470" s="826">
        <v>4448.0687710000002</v>
      </c>
      <c r="M470" s="826">
        <v>6783.4606979999999</v>
      </c>
      <c r="N470" s="826">
        <v>1.8181217842999999</v>
      </c>
      <c r="O470" s="826">
        <v>100</v>
      </c>
      <c r="P470" s="826">
        <v>98.181878215699996</v>
      </c>
      <c r="Q470" s="826">
        <v>46.306161281400001</v>
      </c>
      <c r="R470" s="826">
        <v>100</v>
      </c>
      <c r="S470" s="826">
        <v>53.693838718599999</v>
      </c>
      <c r="T470" s="826" t="s">
        <v>3088</v>
      </c>
      <c r="U470" s="826" t="s">
        <v>3088</v>
      </c>
      <c r="V470" s="826" t="s">
        <v>3088</v>
      </c>
    </row>
    <row r="471" spans="1:22">
      <c r="A471" s="826" t="s">
        <v>3134</v>
      </c>
      <c r="B471" s="826" t="s">
        <v>195</v>
      </c>
      <c r="C471" s="826" t="str">
        <f t="shared" si="14"/>
        <v>2012_Ghana</v>
      </c>
      <c r="D471" s="826">
        <v>3259.41</v>
      </c>
      <c r="E471" s="826">
        <v>16802.810000000001</v>
      </c>
      <c r="F471" s="826">
        <f t="shared" si="15"/>
        <v>16802810000.000002</v>
      </c>
      <c r="G471" s="826">
        <v>13543.4</v>
      </c>
      <c r="H471" s="826">
        <v>4236.43</v>
      </c>
      <c r="I471" s="826">
        <v>21999.63</v>
      </c>
      <c r="J471" s="826">
        <v>17763.2</v>
      </c>
      <c r="K471" s="826">
        <v>-977.02</v>
      </c>
      <c r="L471" s="826">
        <v>-5196.82</v>
      </c>
      <c r="M471" s="826">
        <v>-4219.8</v>
      </c>
      <c r="N471" s="826">
        <v>19.398005452700001</v>
      </c>
      <c r="O471" s="826">
        <v>100</v>
      </c>
      <c r="P471" s="826">
        <v>80.601994547299995</v>
      </c>
      <c r="Q471" s="826">
        <v>19.256823864800001</v>
      </c>
      <c r="R471" s="826">
        <v>100</v>
      </c>
      <c r="S471" s="826">
        <v>80.743176135200002</v>
      </c>
      <c r="T471" s="826" t="s">
        <v>3088</v>
      </c>
      <c r="U471" s="826" t="s">
        <v>3088</v>
      </c>
      <c r="V471" s="826" t="s">
        <v>3088</v>
      </c>
    </row>
    <row r="472" spans="1:22">
      <c r="A472" s="826" t="s">
        <v>3134</v>
      </c>
      <c r="B472" s="826" t="s">
        <v>219</v>
      </c>
      <c r="C472" s="826" t="str">
        <f t="shared" si="14"/>
        <v>2012_Guatemala</v>
      </c>
      <c r="D472" s="826">
        <v>2430.2436299999999</v>
      </c>
      <c r="E472" s="826">
        <v>12532.94363</v>
      </c>
      <c r="F472" s="826">
        <f t="shared" si="15"/>
        <v>12532943630</v>
      </c>
      <c r="G472" s="826">
        <v>10102.700000000001</v>
      </c>
      <c r="H472" s="826">
        <v>2415.4639999999999</v>
      </c>
      <c r="I472" s="826">
        <v>18253.164000000001</v>
      </c>
      <c r="J472" s="826">
        <v>15837.7</v>
      </c>
      <c r="K472" s="826">
        <v>14.779629999999999</v>
      </c>
      <c r="L472" s="826">
        <v>-5720.22037</v>
      </c>
      <c r="M472" s="826">
        <v>-5735</v>
      </c>
      <c r="N472" s="826">
        <v>19.3908446551</v>
      </c>
      <c r="O472" s="826">
        <v>100</v>
      </c>
      <c r="P472" s="826">
        <v>80.609155344900003</v>
      </c>
      <c r="Q472" s="826">
        <v>13.233124953000001</v>
      </c>
      <c r="R472" s="826">
        <v>100</v>
      </c>
      <c r="S472" s="826">
        <v>86.766875046999999</v>
      </c>
      <c r="T472" s="826" t="s">
        <v>3088</v>
      </c>
      <c r="U472" s="826" t="s">
        <v>3088</v>
      </c>
      <c r="V472" s="826" t="s">
        <v>3088</v>
      </c>
    </row>
    <row r="473" spans="1:22">
      <c r="A473" s="826" t="s">
        <v>3134</v>
      </c>
      <c r="B473" s="826" t="s">
        <v>3140</v>
      </c>
      <c r="C473" s="826" t="str">
        <f t="shared" si="14"/>
        <v>2012_ Guinea</v>
      </c>
      <c r="D473" s="826">
        <v>159.06</v>
      </c>
      <c r="E473" s="826">
        <v>2086.65</v>
      </c>
      <c r="F473" s="826">
        <f t="shared" si="15"/>
        <v>2086650000</v>
      </c>
      <c r="G473" s="826">
        <v>1927.59</v>
      </c>
      <c r="H473" s="826">
        <v>881.78</v>
      </c>
      <c r="I473" s="826">
        <v>3135.74</v>
      </c>
      <c r="J473" s="826">
        <v>2253.96</v>
      </c>
      <c r="K473" s="826">
        <v>-722.72</v>
      </c>
      <c r="L473" s="826">
        <v>-1049.0899999999999</v>
      </c>
      <c r="M473" s="826">
        <v>-326.37</v>
      </c>
      <c r="N473" s="826">
        <v>7.6227445906</v>
      </c>
      <c r="O473" s="826">
        <v>100</v>
      </c>
      <c r="P473" s="826">
        <v>92.377255409399993</v>
      </c>
      <c r="Q473" s="826">
        <v>28.1203160976</v>
      </c>
      <c r="R473" s="826">
        <v>100</v>
      </c>
      <c r="S473" s="826">
        <v>71.879683902400004</v>
      </c>
      <c r="T473" s="826" t="s">
        <v>3088</v>
      </c>
      <c r="U473" s="826" t="s">
        <v>3088</v>
      </c>
      <c r="V473" s="826" t="s">
        <v>3088</v>
      </c>
    </row>
    <row r="474" spans="1:22">
      <c r="A474" s="826" t="s">
        <v>3134</v>
      </c>
      <c r="B474" s="826" t="s">
        <v>243</v>
      </c>
      <c r="C474" s="826" t="str">
        <f t="shared" si="14"/>
        <v>2012_Indonesia</v>
      </c>
      <c r="D474" s="826">
        <v>23113.207999999999</v>
      </c>
      <c r="E474" s="826">
        <v>211113.20800000001</v>
      </c>
      <c r="F474" s="826">
        <f t="shared" si="15"/>
        <v>211113208000</v>
      </c>
      <c r="G474" s="826">
        <v>188000</v>
      </c>
      <c r="H474" s="826">
        <v>33887.398000000001</v>
      </c>
      <c r="I474" s="826">
        <v>213887.39799999999</v>
      </c>
      <c r="J474" s="826">
        <v>180000</v>
      </c>
      <c r="K474" s="826">
        <v>-10774.19</v>
      </c>
      <c r="L474" s="826">
        <v>-2774.19</v>
      </c>
      <c r="M474" s="826">
        <v>8000</v>
      </c>
      <c r="N474" s="826">
        <v>10.9482529392</v>
      </c>
      <c r="O474" s="826">
        <v>100</v>
      </c>
      <c r="P474" s="826">
        <v>89.051747060799997</v>
      </c>
      <c r="Q474" s="826">
        <v>15.843569241000001</v>
      </c>
      <c r="R474" s="826">
        <v>100</v>
      </c>
      <c r="S474" s="826">
        <v>84.156430759000003</v>
      </c>
      <c r="T474" s="826" t="s">
        <v>3088</v>
      </c>
      <c r="U474" s="826" t="s">
        <v>3088</v>
      </c>
      <c r="V474" s="826" t="s">
        <v>3088</v>
      </c>
    </row>
    <row r="475" spans="1:22">
      <c r="A475" s="826" t="s">
        <v>3134</v>
      </c>
      <c r="B475" s="826" t="s">
        <v>251</v>
      </c>
      <c r="C475" s="826" t="str">
        <f t="shared" si="14"/>
        <v>2012_Iraq</v>
      </c>
      <c r="D475" s="826">
        <v>2833</v>
      </c>
      <c r="E475" s="826">
        <v>97040</v>
      </c>
      <c r="F475" s="826">
        <f t="shared" si="15"/>
        <v>97040000000</v>
      </c>
      <c r="G475" s="826">
        <v>94207</v>
      </c>
      <c r="H475" s="826">
        <v>13291</v>
      </c>
      <c r="I475" s="826">
        <v>63446</v>
      </c>
      <c r="J475" s="826">
        <v>50155</v>
      </c>
      <c r="K475" s="826">
        <v>-10458</v>
      </c>
      <c r="L475" s="826">
        <v>33594</v>
      </c>
      <c r="M475" s="826">
        <v>44052</v>
      </c>
      <c r="N475" s="826">
        <v>2.9194146744</v>
      </c>
      <c r="O475" s="826">
        <v>100</v>
      </c>
      <c r="P475" s="826">
        <v>97.080585325599998</v>
      </c>
      <c r="Q475" s="826">
        <v>20.948523153499998</v>
      </c>
      <c r="R475" s="826">
        <v>100</v>
      </c>
      <c r="S475" s="826">
        <v>79.051476846499995</v>
      </c>
      <c r="T475" s="826" t="s">
        <v>3088</v>
      </c>
      <c r="U475" s="826" t="s">
        <v>3088</v>
      </c>
      <c r="V475" s="826" t="s">
        <v>3088</v>
      </c>
    </row>
    <row r="476" spans="1:22">
      <c r="A476" s="826" t="s">
        <v>3134</v>
      </c>
      <c r="B476" s="826" t="s">
        <v>280</v>
      </c>
      <c r="C476" s="826" t="str">
        <f t="shared" si="14"/>
        <v>2012_Kazakhstan</v>
      </c>
      <c r="D476" s="826">
        <v>4820.7964300000003</v>
      </c>
      <c r="E476" s="826">
        <v>91759.34</v>
      </c>
      <c r="F476" s="826">
        <f t="shared" si="15"/>
        <v>91759340000</v>
      </c>
      <c r="G476" s="826">
        <v>86938.543569999994</v>
      </c>
      <c r="H476" s="826">
        <v>12735.2682</v>
      </c>
      <c r="I476" s="826">
        <v>61562</v>
      </c>
      <c r="J476" s="826">
        <v>48826.731800000001</v>
      </c>
      <c r="K476" s="826">
        <v>-7914.4717700000001</v>
      </c>
      <c r="L476" s="826">
        <v>30197.34</v>
      </c>
      <c r="M476" s="826">
        <v>38111.81177</v>
      </c>
      <c r="N476" s="826">
        <v>5.2537392160999996</v>
      </c>
      <c r="O476" s="826">
        <v>100</v>
      </c>
      <c r="P476" s="826">
        <v>94.746260783899999</v>
      </c>
      <c r="Q476" s="826">
        <v>20.686898086500001</v>
      </c>
      <c r="R476" s="826">
        <v>100</v>
      </c>
      <c r="S476" s="826">
        <v>79.313101913500006</v>
      </c>
      <c r="T476" s="826" t="s">
        <v>3088</v>
      </c>
      <c r="U476" s="826" t="s">
        <v>3088</v>
      </c>
      <c r="V476" s="826" t="s">
        <v>3088</v>
      </c>
    </row>
    <row r="477" spans="1:22">
      <c r="A477" s="826" t="s">
        <v>3134</v>
      </c>
      <c r="B477" s="826" t="s">
        <v>3141</v>
      </c>
      <c r="C477" s="826" t="str">
        <f t="shared" si="14"/>
        <v>2012_Kyrgyzstan</v>
      </c>
      <c r="D477" s="826">
        <v>1230.0650000000001</v>
      </c>
      <c r="E477" s="826">
        <v>3150.6869999999999</v>
      </c>
      <c r="F477" s="826">
        <f t="shared" si="15"/>
        <v>3150687000</v>
      </c>
      <c r="G477" s="826">
        <v>1920.6220000000001</v>
      </c>
      <c r="H477" s="826">
        <v>1531.7639999999999</v>
      </c>
      <c r="I477" s="826">
        <v>6498.2860000000001</v>
      </c>
      <c r="J477" s="826">
        <v>4966.5219999999999</v>
      </c>
      <c r="K477" s="826">
        <v>-301.69900000000001</v>
      </c>
      <c r="L477" s="826">
        <v>-3347.5990000000002</v>
      </c>
      <c r="M477" s="826">
        <v>-3045.9</v>
      </c>
      <c r="N477" s="826">
        <v>39.041167846900002</v>
      </c>
      <c r="O477" s="826">
        <v>100</v>
      </c>
      <c r="P477" s="826">
        <v>60.958832153099998</v>
      </c>
      <c r="Q477" s="826">
        <v>23.571815706500001</v>
      </c>
      <c r="R477" s="826">
        <v>100</v>
      </c>
      <c r="S477" s="826">
        <v>76.428184293499996</v>
      </c>
      <c r="T477" s="826" t="s">
        <v>3088</v>
      </c>
      <c r="U477" s="826" t="s">
        <v>3088</v>
      </c>
      <c r="V477" s="826" t="s">
        <v>3088</v>
      </c>
    </row>
    <row r="478" spans="1:22">
      <c r="A478" s="826" t="s">
        <v>3134</v>
      </c>
      <c r="B478" s="826" t="s">
        <v>301</v>
      </c>
      <c r="C478" s="826" t="str">
        <f t="shared" si="14"/>
        <v>2012_Liberia</v>
      </c>
      <c r="D478" s="826">
        <v>506.78621800000002</v>
      </c>
      <c r="E478" s="826">
        <v>1288.5438019999999</v>
      </c>
      <c r="F478" s="826">
        <f t="shared" si="15"/>
        <v>1288543802</v>
      </c>
      <c r="G478" s="826">
        <v>781.75758399999995</v>
      </c>
      <c r="H478" s="826">
        <v>975.94707800000003</v>
      </c>
      <c r="I478" s="826">
        <v>3108.1674480000001</v>
      </c>
      <c r="J478" s="826">
        <v>2132.22037</v>
      </c>
      <c r="K478" s="826">
        <v>-469.16086000000001</v>
      </c>
      <c r="L478" s="826">
        <v>-1819.623646</v>
      </c>
      <c r="M478" s="826">
        <v>-1350.4627860000001</v>
      </c>
      <c r="N478" s="826">
        <v>39.3301506098</v>
      </c>
      <c r="O478" s="826">
        <v>100</v>
      </c>
      <c r="P478" s="826">
        <v>60.6698493902</v>
      </c>
      <c r="Q478" s="826">
        <v>31.3994369457</v>
      </c>
      <c r="R478" s="826">
        <v>100</v>
      </c>
      <c r="S478" s="826">
        <v>68.600563054299997</v>
      </c>
      <c r="T478" s="826" t="s">
        <v>3088</v>
      </c>
      <c r="U478" s="826" t="s">
        <v>3088</v>
      </c>
      <c r="V478" s="826" t="s">
        <v>3088</v>
      </c>
    </row>
    <row r="479" spans="1:22">
      <c r="A479" s="826" t="s">
        <v>3134</v>
      </c>
      <c r="B479" s="826" t="s">
        <v>316</v>
      </c>
      <c r="C479" s="826" t="str">
        <f t="shared" si="14"/>
        <v>2012_Madagascar</v>
      </c>
      <c r="D479" s="826">
        <v>1358.29981</v>
      </c>
      <c r="E479" s="826">
        <v>2873.9925544500002</v>
      </c>
      <c r="F479" s="826">
        <f t="shared" si="15"/>
        <v>2873992554.4500003</v>
      </c>
      <c r="G479" s="826">
        <v>1515.69274445</v>
      </c>
      <c r="H479" s="826">
        <v>1369.8333270000001</v>
      </c>
      <c r="I479" s="826">
        <v>3994.64218153</v>
      </c>
      <c r="J479" s="826">
        <v>2624.8088545300002</v>
      </c>
      <c r="K479" s="826">
        <v>-11.533517</v>
      </c>
      <c r="L479" s="826">
        <v>-1120.6496270800001</v>
      </c>
      <c r="M479" s="826">
        <v>-1109.11611008</v>
      </c>
      <c r="N479" s="826">
        <v>47.261772056300003</v>
      </c>
      <c r="O479" s="826">
        <v>100</v>
      </c>
      <c r="P479" s="826">
        <v>52.738227943699997</v>
      </c>
      <c r="Q479" s="826">
        <v>34.291765438600002</v>
      </c>
      <c r="R479" s="826">
        <v>100</v>
      </c>
      <c r="S479" s="826">
        <v>65.708234561400005</v>
      </c>
      <c r="T479" s="826" t="s">
        <v>3088</v>
      </c>
      <c r="U479" s="826" t="s">
        <v>3088</v>
      </c>
      <c r="V479" s="826" t="s">
        <v>3088</v>
      </c>
    </row>
    <row r="480" spans="1:22">
      <c r="A480" s="826" t="s">
        <v>3134</v>
      </c>
      <c r="B480" s="826" t="s">
        <v>329</v>
      </c>
      <c r="C480" s="826" t="str">
        <f t="shared" si="14"/>
        <v>2012_Mali</v>
      </c>
      <c r="D480" s="826">
        <v>340.24359299999998</v>
      </c>
      <c r="E480" s="826">
        <v>3343.2616630000002</v>
      </c>
      <c r="F480" s="826">
        <f t="shared" si="15"/>
        <v>3343261663</v>
      </c>
      <c r="G480" s="826">
        <v>3003.0180700000001</v>
      </c>
      <c r="H480" s="826">
        <v>1049.30287</v>
      </c>
      <c r="I480" s="826">
        <v>3953.9778369999999</v>
      </c>
      <c r="J480" s="826">
        <v>2904.6749669999999</v>
      </c>
      <c r="K480" s="826">
        <v>-709.05927699999995</v>
      </c>
      <c r="L480" s="826">
        <v>-610.71617400000002</v>
      </c>
      <c r="M480" s="826">
        <v>98.343102999999999</v>
      </c>
      <c r="N480" s="826">
        <v>10.1769956197</v>
      </c>
      <c r="O480" s="826">
        <v>100</v>
      </c>
      <c r="P480" s="826">
        <v>89.823004380300006</v>
      </c>
      <c r="Q480" s="826">
        <v>26.5379046939</v>
      </c>
      <c r="R480" s="826">
        <v>100</v>
      </c>
      <c r="S480" s="826">
        <v>73.462095306099997</v>
      </c>
      <c r="T480" s="826" t="s">
        <v>3088</v>
      </c>
      <c r="U480" s="826" t="s">
        <v>3088</v>
      </c>
      <c r="V480" s="826" t="s">
        <v>3088</v>
      </c>
    </row>
    <row r="481" spans="1:22">
      <c r="A481" s="826" t="s">
        <v>3134</v>
      </c>
      <c r="B481" s="826" t="s">
        <v>345</v>
      </c>
      <c r="C481" s="826" t="str">
        <f t="shared" si="14"/>
        <v>2012_Mauritania</v>
      </c>
      <c r="D481" s="826">
        <v>160.86515714000001</v>
      </c>
      <c r="E481" s="826">
        <v>2801.8651571400001</v>
      </c>
      <c r="F481" s="826">
        <f t="shared" si="15"/>
        <v>2801865157.1399999</v>
      </c>
      <c r="G481" s="826">
        <v>2641</v>
      </c>
      <c r="H481" s="826">
        <v>1024.6704967799999</v>
      </c>
      <c r="I481" s="826">
        <v>4153.4704967799998</v>
      </c>
      <c r="J481" s="826">
        <v>3128.8</v>
      </c>
      <c r="K481" s="826">
        <v>-863.80533964000006</v>
      </c>
      <c r="L481" s="826">
        <v>-1351.60533964</v>
      </c>
      <c r="M481" s="826">
        <v>-487.8</v>
      </c>
      <c r="N481" s="826">
        <v>5.7413597056999999</v>
      </c>
      <c r="O481" s="826">
        <v>100</v>
      </c>
      <c r="P481" s="826">
        <v>94.258640294299994</v>
      </c>
      <c r="Q481" s="826">
        <v>24.670224516400001</v>
      </c>
      <c r="R481" s="826">
        <v>100</v>
      </c>
      <c r="S481" s="826">
        <v>75.329775483600002</v>
      </c>
      <c r="T481" s="826" t="s">
        <v>3088</v>
      </c>
      <c r="U481" s="826" t="s">
        <v>3088</v>
      </c>
      <c r="V481" s="826" t="s">
        <v>3088</v>
      </c>
    </row>
    <row r="482" spans="1:22">
      <c r="A482" s="826" t="s">
        <v>3134</v>
      </c>
      <c r="B482" s="826" t="s">
        <v>364</v>
      </c>
      <c r="C482" s="826" t="str">
        <f t="shared" si="14"/>
        <v>2012_Mongolia</v>
      </c>
      <c r="D482" s="826">
        <v>960.90899999999999</v>
      </c>
      <c r="E482" s="826">
        <v>5345.5780000000004</v>
      </c>
      <c r="F482" s="826">
        <f t="shared" si="15"/>
        <v>5345578000</v>
      </c>
      <c r="G482" s="826">
        <v>4384.6689999999999</v>
      </c>
      <c r="H482" s="826">
        <v>2061.2040000000002</v>
      </c>
      <c r="I482" s="826">
        <v>7999.1949999999997</v>
      </c>
      <c r="J482" s="826">
        <v>5937.991</v>
      </c>
      <c r="K482" s="826">
        <v>-1100.2950000000001</v>
      </c>
      <c r="L482" s="826">
        <v>-2653.6170000000002</v>
      </c>
      <c r="M482" s="826">
        <v>-1553.3219999999999</v>
      </c>
      <c r="N482" s="826">
        <v>17.9757736207</v>
      </c>
      <c r="O482" s="826">
        <v>100</v>
      </c>
      <c r="P482" s="826">
        <v>82.024226379300003</v>
      </c>
      <c r="Q482" s="826">
        <v>25.767642869100001</v>
      </c>
      <c r="R482" s="826">
        <v>100</v>
      </c>
      <c r="S482" s="826">
        <v>74.232357130899999</v>
      </c>
      <c r="T482" s="826" t="s">
        <v>3088</v>
      </c>
      <c r="U482" s="826" t="s">
        <v>3088</v>
      </c>
      <c r="V482" s="826" t="s">
        <v>3088</v>
      </c>
    </row>
    <row r="483" spans="1:22">
      <c r="A483" s="826" t="s">
        <v>3134</v>
      </c>
      <c r="B483" s="826" t="s">
        <v>385</v>
      </c>
      <c r="C483" s="826" t="str">
        <f t="shared" si="14"/>
        <v>2012_Mozambique</v>
      </c>
      <c r="D483" s="826">
        <v>1100.354</v>
      </c>
      <c r="E483" s="826">
        <v>4955.8919999999998</v>
      </c>
      <c r="F483" s="826">
        <f t="shared" si="15"/>
        <v>4955892000</v>
      </c>
      <c r="G483" s="826">
        <v>3855.538</v>
      </c>
      <c r="H483" s="826">
        <v>4171.0320000000002</v>
      </c>
      <c r="I483" s="826">
        <v>12069.187</v>
      </c>
      <c r="J483" s="826">
        <v>7898.1549999999997</v>
      </c>
      <c r="K483" s="826">
        <v>-3070.6779999999999</v>
      </c>
      <c r="L483" s="826">
        <v>-7113.2950000000001</v>
      </c>
      <c r="M483" s="826">
        <v>-4042.6170000000002</v>
      </c>
      <c r="N483" s="826">
        <v>22.202945504100001</v>
      </c>
      <c r="O483" s="826">
        <v>100</v>
      </c>
      <c r="P483" s="826">
        <v>77.797054495899999</v>
      </c>
      <c r="Q483" s="826">
        <v>34.559345215199997</v>
      </c>
      <c r="R483" s="826">
        <v>100</v>
      </c>
      <c r="S483" s="826">
        <v>65.440654784800003</v>
      </c>
      <c r="T483" s="826" t="s">
        <v>3088</v>
      </c>
      <c r="U483" s="826" t="s">
        <v>3088</v>
      </c>
      <c r="V483" s="826" t="s">
        <v>3088</v>
      </c>
    </row>
    <row r="484" spans="1:22">
      <c r="A484" s="826" t="s">
        <v>3134</v>
      </c>
      <c r="B484" s="826" t="s">
        <v>394</v>
      </c>
      <c r="C484" s="826" t="str">
        <f t="shared" si="14"/>
        <v>2012_Niger</v>
      </c>
      <c r="D484" s="826" t="s">
        <v>603</v>
      </c>
      <c r="E484" s="826" t="s">
        <v>3088</v>
      </c>
      <c r="F484" s="826" t="str">
        <f t="shared" si="15"/>
        <v>..</v>
      </c>
      <c r="G484" s="826">
        <v>1524.4281960000001</v>
      </c>
      <c r="H484" s="826" t="s">
        <v>603</v>
      </c>
      <c r="I484" s="826" t="s">
        <v>603</v>
      </c>
      <c r="J484" s="826">
        <v>1935.13863821</v>
      </c>
      <c r="K484" s="826" t="s">
        <v>603</v>
      </c>
      <c r="L484" s="826" t="s">
        <v>603</v>
      </c>
      <c r="M484" s="826">
        <v>-410.71044221</v>
      </c>
      <c r="N484" s="826" t="s">
        <v>603</v>
      </c>
      <c r="O484" s="826" t="s">
        <v>603</v>
      </c>
      <c r="P484" s="826">
        <v>95.195949864400006</v>
      </c>
      <c r="Q484" s="826" t="s">
        <v>603</v>
      </c>
      <c r="R484" s="826" t="s">
        <v>603</v>
      </c>
      <c r="S484" s="826">
        <v>67.660763854500004</v>
      </c>
      <c r="T484" s="826" t="s">
        <v>3088</v>
      </c>
      <c r="U484" s="826" t="s">
        <v>3088</v>
      </c>
      <c r="V484" s="826" t="s">
        <v>3088</v>
      </c>
    </row>
    <row r="485" spans="1:22">
      <c r="A485" s="826" t="s">
        <v>3134</v>
      </c>
      <c r="B485" s="826" t="s">
        <v>413</v>
      </c>
      <c r="C485" s="826" t="str">
        <f t="shared" si="14"/>
        <v>2012_Nigeria</v>
      </c>
      <c r="D485" s="826">
        <v>2410.8319999999999</v>
      </c>
      <c r="E485" s="826">
        <v>98087.456999999995</v>
      </c>
      <c r="F485" s="826">
        <f t="shared" si="15"/>
        <v>98087457000</v>
      </c>
      <c r="G485" s="826">
        <v>95676.625</v>
      </c>
      <c r="H485" s="826">
        <v>24044.28</v>
      </c>
      <c r="I485" s="826">
        <v>77403.065000000002</v>
      </c>
      <c r="J485" s="826">
        <v>53358.785000000003</v>
      </c>
      <c r="K485" s="826">
        <v>-21633.448</v>
      </c>
      <c r="L485" s="826">
        <v>20684.392</v>
      </c>
      <c r="M485" s="826">
        <v>42317.84</v>
      </c>
      <c r="N485" s="826">
        <v>2.4578392322</v>
      </c>
      <c r="O485" s="826">
        <v>100</v>
      </c>
      <c r="P485" s="826">
        <v>97.542160767799999</v>
      </c>
      <c r="Q485" s="826">
        <v>31.063731132600001</v>
      </c>
      <c r="R485" s="826">
        <v>100</v>
      </c>
      <c r="S485" s="826">
        <v>68.936268867400003</v>
      </c>
      <c r="T485" s="826" t="s">
        <v>3088</v>
      </c>
      <c r="U485" s="826" t="s">
        <v>3088</v>
      </c>
      <c r="V485" s="826" t="s">
        <v>3088</v>
      </c>
    </row>
    <row r="486" spans="1:22">
      <c r="A486" s="826" t="s">
        <v>3134</v>
      </c>
      <c r="B486" s="826" t="s">
        <v>436</v>
      </c>
      <c r="C486" s="826" t="str">
        <f t="shared" si="14"/>
        <v>2012_Norway</v>
      </c>
      <c r="D486" s="826">
        <v>42903.824402999999</v>
      </c>
      <c r="E486" s="826">
        <v>203375.30075900001</v>
      </c>
      <c r="F486" s="826">
        <f t="shared" si="15"/>
        <v>203375300759</v>
      </c>
      <c r="G486" s="826">
        <v>160471.476356</v>
      </c>
      <c r="H486" s="826">
        <v>48539.062975000001</v>
      </c>
      <c r="I486" s="826">
        <v>136756.16490900001</v>
      </c>
      <c r="J486" s="826">
        <v>88217.101934000006</v>
      </c>
      <c r="K486" s="826">
        <v>-5635.2385720000002</v>
      </c>
      <c r="L486" s="826">
        <v>66619.135850000006</v>
      </c>
      <c r="M486" s="826">
        <v>72254.374421999994</v>
      </c>
      <c r="N486" s="826">
        <v>21.095887378099999</v>
      </c>
      <c r="O486" s="826">
        <v>100</v>
      </c>
      <c r="P486" s="826">
        <v>78.904112621899998</v>
      </c>
      <c r="Q486" s="826">
        <v>35.493144318100001</v>
      </c>
      <c r="R486" s="826">
        <v>100</v>
      </c>
      <c r="S486" s="826">
        <v>64.506855681900007</v>
      </c>
      <c r="T486" s="826" t="s">
        <v>3088</v>
      </c>
      <c r="U486" s="826" t="s">
        <v>3088</v>
      </c>
      <c r="V486" s="826" t="s">
        <v>3088</v>
      </c>
    </row>
    <row r="487" spans="1:22">
      <c r="A487" s="826" t="s">
        <v>3134</v>
      </c>
      <c r="B487" s="826" t="s">
        <v>449</v>
      </c>
      <c r="C487" s="826" t="str">
        <f t="shared" si="14"/>
        <v>2012_Peru</v>
      </c>
      <c r="D487" s="826">
        <v>5129.9110000000001</v>
      </c>
      <c r="E487" s="826">
        <v>51063.296999999999</v>
      </c>
      <c r="F487" s="826">
        <f t="shared" si="15"/>
        <v>51063297000</v>
      </c>
      <c r="G487" s="826">
        <v>45933.385999999999</v>
      </c>
      <c r="H487" s="826">
        <v>7387.9309999999996</v>
      </c>
      <c r="I487" s="826">
        <v>48500.591</v>
      </c>
      <c r="J487" s="826">
        <v>41112.660000000003</v>
      </c>
      <c r="K487" s="826">
        <v>-2258.02</v>
      </c>
      <c r="L487" s="826">
        <v>2562.7060000000001</v>
      </c>
      <c r="M487" s="826">
        <v>4820.7259999999997</v>
      </c>
      <c r="N487" s="826">
        <v>10.046180527700001</v>
      </c>
      <c r="O487" s="826">
        <v>100</v>
      </c>
      <c r="P487" s="826">
        <v>89.953819472299998</v>
      </c>
      <c r="Q487" s="826">
        <v>15.232661804099999</v>
      </c>
      <c r="R487" s="826">
        <v>100</v>
      </c>
      <c r="S487" s="826">
        <v>84.767338195899995</v>
      </c>
      <c r="T487" s="826" t="s">
        <v>3088</v>
      </c>
      <c r="U487" s="826" t="s">
        <v>3088</v>
      </c>
      <c r="V487" s="826" t="s">
        <v>3088</v>
      </c>
    </row>
    <row r="488" spans="1:22">
      <c r="A488" s="826" t="s">
        <v>3134</v>
      </c>
      <c r="B488" s="826" t="s">
        <v>488</v>
      </c>
      <c r="C488" s="826" t="str">
        <f t="shared" si="14"/>
        <v>2012_Sierra Leone</v>
      </c>
      <c r="D488" s="826">
        <v>181.98</v>
      </c>
      <c r="E488" s="826">
        <v>1346.462</v>
      </c>
      <c r="F488" s="826">
        <f t="shared" si="15"/>
        <v>1346462000</v>
      </c>
      <c r="G488" s="826">
        <v>1164.482</v>
      </c>
      <c r="H488" s="826">
        <v>531.18200000000002</v>
      </c>
      <c r="I488" s="826">
        <v>2551.5520000000001</v>
      </c>
      <c r="J488" s="826">
        <v>2020.37</v>
      </c>
      <c r="K488" s="826">
        <v>-349.202</v>
      </c>
      <c r="L488" s="826">
        <v>-1205.0899999999999</v>
      </c>
      <c r="M488" s="826">
        <v>-855.88800000000003</v>
      </c>
      <c r="N488" s="826">
        <v>13.515420412899999</v>
      </c>
      <c r="O488" s="826">
        <v>100</v>
      </c>
      <c r="P488" s="826">
        <v>86.484579587100001</v>
      </c>
      <c r="Q488" s="826">
        <v>20.817996262699999</v>
      </c>
      <c r="R488" s="826">
        <v>100</v>
      </c>
      <c r="S488" s="826">
        <v>79.182003737299993</v>
      </c>
      <c r="T488" s="826" t="s">
        <v>3088</v>
      </c>
      <c r="U488" s="826" t="s">
        <v>3088</v>
      </c>
      <c r="V488" s="826" t="s">
        <v>3088</v>
      </c>
    </row>
    <row r="489" spans="1:22">
      <c r="A489" s="826" t="s">
        <v>3134</v>
      </c>
      <c r="B489" s="826" t="s">
        <v>3090</v>
      </c>
      <c r="C489" s="826" t="str">
        <f t="shared" si="14"/>
        <v>2012_Timor-Leste</v>
      </c>
      <c r="D489" s="826">
        <v>69.423000000000002</v>
      </c>
      <c r="E489" s="826">
        <v>102.68899999999999</v>
      </c>
      <c r="F489" s="826">
        <f t="shared" si="15"/>
        <v>102689000</v>
      </c>
      <c r="G489" s="826">
        <v>33.265999999999998</v>
      </c>
      <c r="H489" s="826">
        <v>991.00699999999995</v>
      </c>
      <c r="I489" s="826">
        <v>1663.1420000000001</v>
      </c>
      <c r="J489" s="826">
        <v>672.13499999999999</v>
      </c>
      <c r="K489" s="826">
        <v>-921.58399999999995</v>
      </c>
      <c r="L489" s="826">
        <v>-1560.453</v>
      </c>
      <c r="M489" s="826">
        <v>-638.86900000000003</v>
      </c>
      <c r="N489" s="826">
        <v>67.605098890799994</v>
      </c>
      <c r="O489" s="826">
        <v>100</v>
      </c>
      <c r="P489" s="826">
        <v>32.394901109199999</v>
      </c>
      <c r="Q489" s="826">
        <v>59.586433389299998</v>
      </c>
      <c r="R489" s="826">
        <v>100</v>
      </c>
      <c r="S489" s="826">
        <v>40.413566610700002</v>
      </c>
      <c r="T489" s="826" t="s">
        <v>3088</v>
      </c>
      <c r="U489" s="826" t="s">
        <v>3088</v>
      </c>
      <c r="V489" s="826" t="s">
        <v>3088</v>
      </c>
    </row>
    <row r="490" spans="1:22">
      <c r="A490" s="826" t="s">
        <v>3134</v>
      </c>
      <c r="B490" s="826" t="s">
        <v>517</v>
      </c>
      <c r="C490" s="826" t="str">
        <f t="shared" si="14"/>
        <v>2012_Togo</v>
      </c>
      <c r="D490" s="826" t="s">
        <v>603</v>
      </c>
      <c r="E490" s="826" t="s">
        <v>3088</v>
      </c>
      <c r="F490" s="826" t="str">
        <f t="shared" si="15"/>
        <v>..</v>
      </c>
      <c r="G490" s="826">
        <v>1204.1426186199999</v>
      </c>
      <c r="H490" s="826" t="s">
        <v>603</v>
      </c>
      <c r="I490" s="826" t="s">
        <v>603</v>
      </c>
      <c r="J490" s="826">
        <v>2060.48250547</v>
      </c>
      <c r="K490" s="826" t="s">
        <v>603</v>
      </c>
      <c r="L490" s="826" t="s">
        <v>603</v>
      </c>
      <c r="M490" s="826">
        <v>-856.33988684999997</v>
      </c>
      <c r="N490" s="826" t="s">
        <v>603</v>
      </c>
      <c r="O490" s="826" t="s">
        <v>603</v>
      </c>
      <c r="P490" s="826">
        <v>56.608626558700003</v>
      </c>
      <c r="Q490" s="826" t="s">
        <v>603</v>
      </c>
      <c r="R490" s="826" t="s">
        <v>603</v>
      </c>
      <c r="S490" s="826">
        <v>61.903775561700002</v>
      </c>
      <c r="T490" s="826" t="s">
        <v>3088</v>
      </c>
      <c r="U490" s="826" t="s">
        <v>3088</v>
      </c>
      <c r="V490" s="826" t="s">
        <v>3088</v>
      </c>
    </row>
    <row r="491" spans="1:22">
      <c r="A491" s="826" t="s">
        <v>3134</v>
      </c>
      <c r="B491" s="826" t="s">
        <v>3091</v>
      </c>
      <c r="C491" s="826" t="str">
        <f t="shared" si="14"/>
        <v>2012_Trinidad and Tobago</v>
      </c>
      <c r="D491" s="826" t="s">
        <v>603</v>
      </c>
      <c r="E491" s="826" t="s">
        <v>3088</v>
      </c>
      <c r="F491" s="826" t="str">
        <f t="shared" si="15"/>
        <v>..</v>
      </c>
      <c r="G491" s="826">
        <v>12983.37652476</v>
      </c>
      <c r="H491" s="826" t="s">
        <v>603</v>
      </c>
      <c r="I491" s="826" t="s">
        <v>603</v>
      </c>
      <c r="J491" s="826">
        <v>9064.9799845399994</v>
      </c>
      <c r="K491" s="826" t="s">
        <v>603</v>
      </c>
      <c r="L491" s="826" t="s">
        <v>603</v>
      </c>
      <c r="M491" s="826">
        <v>3918.3965402200001</v>
      </c>
      <c r="N491" s="826" t="s">
        <v>603</v>
      </c>
      <c r="O491" s="826" t="s">
        <v>603</v>
      </c>
      <c r="P491" s="826">
        <v>67.354139490099996</v>
      </c>
      <c r="Q491" s="826" t="s">
        <v>603</v>
      </c>
      <c r="R491" s="826" t="s">
        <v>603</v>
      </c>
      <c r="S491" s="826">
        <v>60.630438142099997</v>
      </c>
      <c r="T491" s="826" t="s">
        <v>3088</v>
      </c>
      <c r="U491" s="826" t="s">
        <v>3088</v>
      </c>
      <c r="V491" s="826" t="s">
        <v>3088</v>
      </c>
    </row>
    <row r="492" spans="1:22">
      <c r="A492" s="826" t="s">
        <v>3134</v>
      </c>
      <c r="B492" s="826" t="s">
        <v>499</v>
      </c>
      <c r="C492" s="826" t="str">
        <f t="shared" si="14"/>
        <v>2012_Tanzania</v>
      </c>
      <c r="D492" s="826">
        <v>2632.1419999999998</v>
      </c>
      <c r="E492" s="826">
        <v>8544.3950000000004</v>
      </c>
      <c r="F492" s="826">
        <f t="shared" si="15"/>
        <v>8544395000</v>
      </c>
      <c r="G492" s="826">
        <v>5912.2529999999997</v>
      </c>
      <c r="H492" s="826">
        <v>2359.5390000000002</v>
      </c>
      <c r="I492" s="826">
        <v>12684.419</v>
      </c>
      <c r="J492" s="826">
        <v>10324.879999999999</v>
      </c>
      <c r="K492" s="826">
        <v>272.60300000000001</v>
      </c>
      <c r="L492" s="826">
        <v>-4140.0240000000003</v>
      </c>
      <c r="M492" s="826">
        <v>-4412.6270000000004</v>
      </c>
      <c r="N492" s="826">
        <v>30.805481254099998</v>
      </c>
      <c r="O492" s="826">
        <v>100</v>
      </c>
      <c r="P492" s="826">
        <v>69.194518745899998</v>
      </c>
      <c r="Q492" s="826">
        <v>18.601868954299999</v>
      </c>
      <c r="R492" s="826">
        <v>100</v>
      </c>
      <c r="S492" s="826">
        <v>81.398131045699998</v>
      </c>
      <c r="T492" s="826" t="s">
        <v>3088</v>
      </c>
      <c r="U492" s="826" t="s">
        <v>3088</v>
      </c>
      <c r="V492" s="826" t="s">
        <v>3088</v>
      </c>
    </row>
    <row r="493" spans="1:22">
      <c r="A493" s="826" t="s">
        <v>3134</v>
      </c>
      <c r="B493" s="826" t="s">
        <v>529</v>
      </c>
      <c r="C493" s="826" t="str">
        <f t="shared" si="14"/>
        <v>2012_Yemen</v>
      </c>
      <c r="D493" s="826">
        <v>1158.6590619999999</v>
      </c>
      <c r="E493" s="826">
        <v>8351.0360259999998</v>
      </c>
      <c r="F493" s="826">
        <f t="shared" si="15"/>
        <v>8351036026</v>
      </c>
      <c r="G493" s="826">
        <v>7192.376964</v>
      </c>
      <c r="H493" s="826">
        <v>2498.5938719999999</v>
      </c>
      <c r="I493" s="826">
        <v>13463.657673</v>
      </c>
      <c r="J493" s="826">
        <v>10965.063801</v>
      </c>
      <c r="K493" s="826">
        <v>-1339.93481</v>
      </c>
      <c r="L493" s="826">
        <v>-5112.6216469999999</v>
      </c>
      <c r="M493" s="826">
        <v>-3772.6868370000002</v>
      </c>
      <c r="N493" s="826">
        <v>13.874434961</v>
      </c>
      <c r="O493" s="826">
        <v>100</v>
      </c>
      <c r="P493" s="826">
        <v>86.125565038999994</v>
      </c>
      <c r="Q493" s="826">
        <v>18.558061506600001</v>
      </c>
      <c r="R493" s="826">
        <v>100</v>
      </c>
      <c r="S493" s="826">
        <v>81.441938493400002</v>
      </c>
      <c r="T493" s="826" t="s">
        <v>3088</v>
      </c>
      <c r="U493" s="826" t="s">
        <v>3088</v>
      </c>
      <c r="V493" s="826" t="s">
        <v>3088</v>
      </c>
    </row>
    <row r="494" spans="1:22">
      <c r="A494" s="826" t="s">
        <v>3134</v>
      </c>
      <c r="B494" s="826" t="s">
        <v>541</v>
      </c>
      <c r="C494" s="826" t="str">
        <f t="shared" si="14"/>
        <v>2012_Zambia</v>
      </c>
      <c r="D494" s="826">
        <v>467.45800000000003</v>
      </c>
      <c r="E494" s="826">
        <v>9880.9410000000007</v>
      </c>
      <c r="F494" s="826">
        <f t="shared" si="15"/>
        <v>9880941000</v>
      </c>
      <c r="G494" s="826">
        <v>9413.4830000000002</v>
      </c>
      <c r="H494" s="826">
        <v>1249.5740000000001</v>
      </c>
      <c r="I494" s="826">
        <v>9210.3619999999992</v>
      </c>
      <c r="J494" s="826">
        <v>7960.7879999999996</v>
      </c>
      <c r="K494" s="826">
        <v>-782.11599999999999</v>
      </c>
      <c r="L494" s="826">
        <v>670.57899999999995</v>
      </c>
      <c r="M494" s="826">
        <v>1452.6949999999999</v>
      </c>
      <c r="N494" s="826">
        <v>4.7309056901000002</v>
      </c>
      <c r="O494" s="826">
        <v>100</v>
      </c>
      <c r="P494" s="826">
        <v>95.269094309899998</v>
      </c>
      <c r="Q494" s="826">
        <v>13.5670454647</v>
      </c>
      <c r="R494" s="826">
        <v>100</v>
      </c>
      <c r="S494" s="826">
        <v>86.432954535299999</v>
      </c>
      <c r="T494" s="826" t="s">
        <v>3088</v>
      </c>
      <c r="U494" s="826" t="s">
        <v>3088</v>
      </c>
      <c r="V494" s="826" t="s">
        <v>3088</v>
      </c>
    </row>
    <row r="495" spans="1:22">
      <c r="A495" s="826" t="s">
        <v>3135</v>
      </c>
      <c r="B495" s="826" t="s">
        <v>21</v>
      </c>
      <c r="C495" s="826" t="str">
        <f t="shared" si="14"/>
        <v>2013_Afghanistan</v>
      </c>
      <c r="D495" s="826" t="s">
        <v>603</v>
      </c>
      <c r="E495" s="826" t="s">
        <v>3088</v>
      </c>
      <c r="F495" s="826" t="str">
        <f t="shared" si="15"/>
        <v>..</v>
      </c>
      <c r="G495" s="826">
        <v>3343.8798769999999</v>
      </c>
      <c r="H495" s="826" t="s">
        <v>603</v>
      </c>
      <c r="I495" s="826" t="s">
        <v>603</v>
      </c>
      <c r="J495" s="826">
        <v>11216.4</v>
      </c>
      <c r="K495" s="826" t="s">
        <v>603</v>
      </c>
      <c r="L495" s="826" t="s">
        <v>603</v>
      </c>
      <c r="M495" s="826">
        <v>-7872.5201230000002</v>
      </c>
      <c r="N495" s="826" t="s">
        <v>603</v>
      </c>
      <c r="O495" s="826" t="s">
        <v>603</v>
      </c>
      <c r="P495" s="826">
        <v>50.818888282499998</v>
      </c>
      <c r="Q495" s="826" t="s">
        <v>603</v>
      </c>
      <c r="R495" s="826" t="s">
        <v>603</v>
      </c>
      <c r="S495" s="826">
        <v>83.030895085699996</v>
      </c>
      <c r="T495" s="826" t="s">
        <v>3088</v>
      </c>
      <c r="U495" s="826" t="s">
        <v>3088</v>
      </c>
      <c r="V495" s="826" t="s">
        <v>3088</v>
      </c>
    </row>
    <row r="496" spans="1:22">
      <c r="A496" s="826" t="s">
        <v>3135</v>
      </c>
      <c r="B496" s="826" t="s">
        <v>38</v>
      </c>
      <c r="C496" s="826" t="str">
        <f t="shared" si="14"/>
        <v>2013_Albania</v>
      </c>
      <c r="D496" s="826">
        <v>2202.4839999999999</v>
      </c>
      <c r="E496" s="826">
        <v>4500.3500000000004</v>
      </c>
      <c r="F496" s="826">
        <f t="shared" si="15"/>
        <v>4500350000</v>
      </c>
      <c r="G496" s="826">
        <v>2297.866</v>
      </c>
      <c r="H496" s="826">
        <v>2188.4140000000002</v>
      </c>
      <c r="I496" s="826">
        <v>6787.31</v>
      </c>
      <c r="J496" s="826">
        <v>4598.8959999999997</v>
      </c>
      <c r="K496" s="826">
        <v>14.07</v>
      </c>
      <c r="L496" s="826">
        <v>-2286.96</v>
      </c>
      <c r="M496" s="826">
        <v>-2301.0300000000002</v>
      </c>
      <c r="N496" s="826">
        <v>48.940282422499997</v>
      </c>
      <c r="O496" s="826">
        <v>100</v>
      </c>
      <c r="P496" s="826">
        <v>51.059717577500003</v>
      </c>
      <c r="Q496" s="826">
        <v>32.242729446600002</v>
      </c>
      <c r="R496" s="826">
        <v>100</v>
      </c>
      <c r="S496" s="826">
        <v>67.757270553400005</v>
      </c>
      <c r="T496" s="826" t="s">
        <v>3088</v>
      </c>
      <c r="U496" s="826" t="s">
        <v>3088</v>
      </c>
      <c r="V496" s="826" t="s">
        <v>3088</v>
      </c>
    </row>
    <row r="497" spans="1:22">
      <c r="A497" s="826" t="s">
        <v>3135</v>
      </c>
      <c r="B497" s="826" t="s">
        <v>53</v>
      </c>
      <c r="C497" s="826" t="str">
        <f t="shared" si="14"/>
        <v>2013_Azerbaijan</v>
      </c>
      <c r="D497" s="826">
        <v>4097.9040000000014</v>
      </c>
      <c r="E497" s="826">
        <v>35911.42</v>
      </c>
      <c r="F497" s="826">
        <f t="shared" si="15"/>
        <v>35911420000</v>
      </c>
      <c r="G497" s="826">
        <v>31813.516</v>
      </c>
      <c r="H497" s="826">
        <v>8266.2139999999999</v>
      </c>
      <c r="I497" s="826">
        <v>19492.830000000002</v>
      </c>
      <c r="J497" s="826">
        <v>11226.616</v>
      </c>
      <c r="K497" s="826">
        <v>-4168.3100000000004</v>
      </c>
      <c r="L497" s="826">
        <v>16418.59</v>
      </c>
      <c r="M497" s="826">
        <v>20586.900000000001</v>
      </c>
      <c r="N497" s="826">
        <v>11.4111444215</v>
      </c>
      <c r="O497" s="826">
        <v>100</v>
      </c>
      <c r="P497" s="826">
        <v>88.588855578500002</v>
      </c>
      <c r="Q497" s="826">
        <v>42.406433545100001</v>
      </c>
      <c r="R497" s="826">
        <v>100</v>
      </c>
      <c r="S497" s="826">
        <v>57.593566454899999</v>
      </c>
      <c r="T497" s="826" t="s">
        <v>3088</v>
      </c>
      <c r="U497" s="826" t="s">
        <v>3088</v>
      </c>
      <c r="V497" s="826" t="s">
        <v>3088</v>
      </c>
    </row>
    <row r="498" spans="1:22">
      <c r="A498" s="826" t="s">
        <v>3135</v>
      </c>
      <c r="B498" s="826" t="s">
        <v>98</v>
      </c>
      <c r="C498" s="826" t="str">
        <f t="shared" si="14"/>
        <v>2013_Burkina Faso</v>
      </c>
      <c r="D498" s="826" t="s">
        <v>603</v>
      </c>
      <c r="E498" s="826" t="s">
        <v>3088</v>
      </c>
      <c r="F498" s="826" t="str">
        <f t="shared" si="15"/>
        <v>..</v>
      </c>
      <c r="G498" s="826">
        <v>2833.0102409699998</v>
      </c>
      <c r="H498" s="826" t="s">
        <v>603</v>
      </c>
      <c r="I498" s="826" t="s">
        <v>603</v>
      </c>
      <c r="J498" s="826">
        <v>2999.7391612500001</v>
      </c>
      <c r="K498" s="826" t="s">
        <v>603</v>
      </c>
      <c r="L498" s="826" t="s">
        <v>603</v>
      </c>
      <c r="M498" s="826">
        <v>-166.72892028000001</v>
      </c>
      <c r="N498" s="826" t="s">
        <v>603</v>
      </c>
      <c r="O498" s="826" t="s">
        <v>603</v>
      </c>
      <c r="P498" s="826">
        <v>86.3000423899</v>
      </c>
      <c r="Q498" s="826" t="s">
        <v>603</v>
      </c>
      <c r="R498" s="826" t="s">
        <v>603</v>
      </c>
      <c r="S498" s="826">
        <v>70.528935807899998</v>
      </c>
      <c r="T498" s="826" t="s">
        <v>3088</v>
      </c>
      <c r="U498" s="826" t="s">
        <v>3088</v>
      </c>
      <c r="V498" s="826" t="s">
        <v>3088</v>
      </c>
    </row>
    <row r="499" spans="1:22">
      <c r="A499" s="826" t="s">
        <v>3135</v>
      </c>
      <c r="B499" s="826" t="s">
        <v>3136</v>
      </c>
      <c r="C499" s="826" t="str">
        <f t="shared" si="14"/>
        <v>2013_ Cameroon</v>
      </c>
      <c r="D499" s="826" t="s">
        <v>603</v>
      </c>
      <c r="E499" s="826" t="s">
        <v>3088</v>
      </c>
      <c r="F499" s="826" t="str">
        <f t="shared" si="15"/>
        <v>..</v>
      </c>
      <c r="G499" s="826">
        <v>5656.1371383799997</v>
      </c>
      <c r="H499" s="826" t="s">
        <v>603</v>
      </c>
      <c r="I499" s="826" t="s">
        <v>603</v>
      </c>
      <c r="J499" s="826">
        <v>6480.1348197699999</v>
      </c>
      <c r="K499" s="826" t="s">
        <v>603</v>
      </c>
      <c r="L499" s="826" t="s">
        <v>603</v>
      </c>
      <c r="M499" s="826">
        <v>-823.99768139000003</v>
      </c>
      <c r="N499" s="826" t="s">
        <v>603</v>
      </c>
      <c r="O499" s="826" t="s">
        <v>603</v>
      </c>
      <c r="P499" s="826">
        <v>76.840799901099999</v>
      </c>
      <c r="Q499" s="826" t="s">
        <v>603</v>
      </c>
      <c r="R499" s="826" t="s">
        <v>603</v>
      </c>
      <c r="S499" s="826">
        <v>74.486019402300002</v>
      </c>
      <c r="T499" s="826" t="s">
        <v>3088</v>
      </c>
      <c r="U499" s="826" t="s">
        <v>3088</v>
      </c>
      <c r="V499" s="826" t="s">
        <v>3088</v>
      </c>
    </row>
    <row r="500" spans="1:22">
      <c r="A500" s="826" t="s">
        <v>3135</v>
      </c>
      <c r="B500" s="826" t="s">
        <v>127</v>
      </c>
      <c r="C500" s="826" t="str">
        <f t="shared" si="14"/>
        <v>2013_Central African Republic</v>
      </c>
      <c r="D500" s="826" t="s">
        <v>603</v>
      </c>
      <c r="E500" s="826" t="s">
        <v>3088</v>
      </c>
      <c r="F500" s="826" t="str">
        <f t="shared" si="15"/>
        <v>..</v>
      </c>
      <c r="G500" s="826">
        <v>137.50496999999999</v>
      </c>
      <c r="H500" s="826" t="s">
        <v>603</v>
      </c>
      <c r="I500" s="826" t="s">
        <v>603</v>
      </c>
      <c r="J500" s="826">
        <v>230.61341483999999</v>
      </c>
      <c r="K500" s="826" t="s">
        <v>603</v>
      </c>
      <c r="L500" s="826" t="s">
        <v>603</v>
      </c>
      <c r="M500" s="826">
        <v>-93.108444840000004</v>
      </c>
      <c r="N500" s="826" t="s">
        <v>603</v>
      </c>
      <c r="O500" s="826" t="s">
        <v>603</v>
      </c>
      <c r="P500" s="826">
        <v>66.167788183400006</v>
      </c>
      <c r="Q500" s="826" t="s">
        <v>603</v>
      </c>
      <c r="R500" s="826" t="s">
        <v>603</v>
      </c>
      <c r="S500" s="826">
        <v>55.273772322600003</v>
      </c>
      <c r="T500" s="826" t="s">
        <v>3088</v>
      </c>
      <c r="U500" s="826" t="s">
        <v>3088</v>
      </c>
      <c r="V500" s="826" t="s">
        <v>3088</v>
      </c>
    </row>
    <row r="501" spans="1:22">
      <c r="A501" s="826" t="s">
        <v>3135</v>
      </c>
      <c r="B501" s="826" t="s">
        <v>3137</v>
      </c>
      <c r="C501" s="826" t="str">
        <f t="shared" si="14"/>
        <v>2013_ Chad</v>
      </c>
      <c r="D501" s="826" t="s">
        <v>603</v>
      </c>
      <c r="E501" s="826" t="s">
        <v>3088</v>
      </c>
      <c r="F501" s="826" t="str">
        <f t="shared" si="15"/>
        <v>..</v>
      </c>
      <c r="G501" s="826">
        <v>3921.9405978200002</v>
      </c>
      <c r="H501" s="826" t="s">
        <v>603</v>
      </c>
      <c r="I501" s="826" t="s">
        <v>603</v>
      </c>
      <c r="J501" s="826">
        <v>2711.45910933</v>
      </c>
      <c r="K501" s="826" t="s">
        <v>603</v>
      </c>
      <c r="L501" s="826" t="s">
        <v>603</v>
      </c>
      <c r="M501" s="826">
        <v>1210.4814884899999</v>
      </c>
      <c r="N501" s="826" t="s">
        <v>603</v>
      </c>
      <c r="O501" s="826" t="s">
        <v>603</v>
      </c>
      <c r="P501" s="826">
        <v>90.1824575598</v>
      </c>
      <c r="Q501" s="826" t="s">
        <v>603</v>
      </c>
      <c r="R501" s="826" t="s">
        <v>603</v>
      </c>
      <c r="S501" s="826">
        <v>51.478551794799998</v>
      </c>
      <c r="T501" s="826" t="s">
        <v>3088</v>
      </c>
      <c r="U501" s="826" t="s">
        <v>3088</v>
      </c>
      <c r="V501" s="826" t="s">
        <v>3088</v>
      </c>
    </row>
    <row r="502" spans="1:22">
      <c r="A502" s="826" t="s">
        <v>3135</v>
      </c>
      <c r="B502" s="826" t="s">
        <v>465</v>
      </c>
      <c r="C502" s="826" t="str">
        <f t="shared" si="14"/>
        <v>2013_Republic of the Congo</v>
      </c>
      <c r="D502" s="826" t="s">
        <v>603</v>
      </c>
      <c r="E502" s="826" t="s">
        <v>3088</v>
      </c>
      <c r="F502" s="826" t="str">
        <f t="shared" si="15"/>
        <v>..</v>
      </c>
      <c r="G502" s="826">
        <v>9757.8303226400003</v>
      </c>
      <c r="H502" s="826" t="s">
        <v>603</v>
      </c>
      <c r="I502" s="826" t="s">
        <v>603</v>
      </c>
      <c r="J502" s="826">
        <v>5514.6936400000004</v>
      </c>
      <c r="K502" s="826" t="s">
        <v>603</v>
      </c>
      <c r="L502" s="826" t="s">
        <v>603</v>
      </c>
      <c r="M502" s="826">
        <v>4243.1366826399999</v>
      </c>
      <c r="N502" s="826" t="s">
        <v>603</v>
      </c>
      <c r="O502" s="826" t="s">
        <v>603</v>
      </c>
      <c r="P502" s="826">
        <v>94.964273711199993</v>
      </c>
      <c r="Q502" s="826" t="s">
        <v>603</v>
      </c>
      <c r="R502" s="826" t="s">
        <v>603</v>
      </c>
      <c r="S502" s="826">
        <v>50.613709761800003</v>
      </c>
      <c r="T502" s="826" t="s">
        <v>3088</v>
      </c>
      <c r="U502" s="826" t="s">
        <v>3088</v>
      </c>
      <c r="V502" s="826" t="s">
        <v>3088</v>
      </c>
    </row>
    <row r="503" spans="1:22">
      <c r="A503" s="826" t="s">
        <v>3135</v>
      </c>
      <c r="B503" s="826" t="s">
        <v>171</v>
      </c>
      <c r="C503" s="826" t="str">
        <f t="shared" si="14"/>
        <v>2013_Democratic Republic of Congo</v>
      </c>
      <c r="D503" s="826" t="s">
        <v>603</v>
      </c>
      <c r="E503" s="826" t="s">
        <v>3088</v>
      </c>
      <c r="F503" s="826" t="str">
        <f t="shared" si="15"/>
        <v>..</v>
      </c>
      <c r="G503" s="826">
        <v>8534.1710000000003</v>
      </c>
      <c r="H503" s="826" t="s">
        <v>603</v>
      </c>
      <c r="I503" s="826" t="s">
        <v>603</v>
      </c>
      <c r="J503" s="826">
        <v>8629.6594426200008</v>
      </c>
      <c r="K503" s="826" t="s">
        <v>603</v>
      </c>
      <c r="L503" s="826" t="s">
        <v>603</v>
      </c>
      <c r="M503" s="826">
        <v>-95.488442620000001</v>
      </c>
      <c r="N503" s="826" t="s">
        <v>603</v>
      </c>
      <c r="O503" s="826" t="s">
        <v>603</v>
      </c>
      <c r="P503" s="826">
        <v>96.635304396899997</v>
      </c>
      <c r="Q503" s="826" t="s">
        <v>603</v>
      </c>
      <c r="R503" s="826" t="s">
        <v>603</v>
      </c>
      <c r="S503" s="826">
        <v>78.513016512199997</v>
      </c>
      <c r="T503" s="826" t="s">
        <v>3088</v>
      </c>
      <c r="U503" s="826" t="s">
        <v>3088</v>
      </c>
      <c r="V503" s="826" t="s">
        <v>3088</v>
      </c>
    </row>
    <row r="504" spans="1:22">
      <c r="A504" s="826" t="s">
        <v>3135</v>
      </c>
      <c r="B504" s="826" t="s">
        <v>3138</v>
      </c>
      <c r="C504" s="826" t="str">
        <f t="shared" si="14"/>
        <v>2013_ Equatorial Guinea</v>
      </c>
      <c r="D504" s="826" t="s">
        <v>603</v>
      </c>
      <c r="E504" s="826" t="s">
        <v>3088</v>
      </c>
      <c r="F504" s="826" t="str">
        <f t="shared" si="15"/>
        <v>..</v>
      </c>
      <c r="G504" s="826">
        <v>16052.823803220001</v>
      </c>
      <c r="H504" s="826" t="s">
        <v>603</v>
      </c>
      <c r="I504" s="826" t="s">
        <v>603</v>
      </c>
      <c r="J504" s="826">
        <v>6619.8261826600001</v>
      </c>
      <c r="K504" s="826" t="s">
        <v>603</v>
      </c>
      <c r="L504" s="826" t="s">
        <v>603</v>
      </c>
      <c r="M504" s="826">
        <v>9432.9976205599996</v>
      </c>
      <c r="N504" s="826" t="s">
        <v>603</v>
      </c>
      <c r="O504" s="826" t="s">
        <v>603</v>
      </c>
      <c r="P504" s="826">
        <v>99.619726913600005</v>
      </c>
      <c r="Q504" s="826" t="s">
        <v>603</v>
      </c>
      <c r="R504" s="826" t="s">
        <v>603</v>
      </c>
      <c r="S504" s="826">
        <v>67.2929930122</v>
      </c>
      <c r="T504" s="826" t="s">
        <v>3088</v>
      </c>
      <c r="U504" s="826" t="s">
        <v>3088</v>
      </c>
      <c r="V504" s="826" t="s">
        <v>3088</v>
      </c>
    </row>
    <row r="505" spans="1:22">
      <c r="A505" s="826" t="s">
        <v>3135</v>
      </c>
      <c r="B505" s="826" t="s">
        <v>3139</v>
      </c>
      <c r="C505" s="826" t="str">
        <f t="shared" si="14"/>
        <v>2013_ Gabon</v>
      </c>
      <c r="D505" s="826" t="s">
        <v>603</v>
      </c>
      <c r="E505" s="826" t="s">
        <v>3088</v>
      </c>
      <c r="F505" s="826" t="str">
        <f t="shared" si="15"/>
        <v>..</v>
      </c>
      <c r="G505" s="826">
        <v>9562.5829656799997</v>
      </c>
      <c r="H505" s="826" t="s">
        <v>603</v>
      </c>
      <c r="I505" s="826" t="s">
        <v>603</v>
      </c>
      <c r="J505" s="826">
        <v>3117.7770250799999</v>
      </c>
      <c r="K505" s="826" t="s">
        <v>603</v>
      </c>
      <c r="L505" s="826" t="s">
        <v>603</v>
      </c>
      <c r="M505" s="826">
        <v>6444.8059406000002</v>
      </c>
      <c r="N505" s="826" t="s">
        <v>603</v>
      </c>
      <c r="O505" s="826" t="s">
        <v>603</v>
      </c>
      <c r="P505" s="826">
        <v>98.079696474299993</v>
      </c>
      <c r="Q505" s="826" t="s">
        <v>603</v>
      </c>
      <c r="R505" s="826" t="s">
        <v>603</v>
      </c>
      <c r="S505" s="826">
        <v>54.206301637599999</v>
      </c>
      <c r="T505" s="826" t="s">
        <v>3088</v>
      </c>
      <c r="U505" s="826" t="s">
        <v>3088</v>
      </c>
      <c r="V505" s="826" t="s">
        <v>3088</v>
      </c>
    </row>
    <row r="506" spans="1:22">
      <c r="A506" s="826" t="s">
        <v>3135</v>
      </c>
      <c r="B506" s="826" t="s">
        <v>195</v>
      </c>
      <c r="C506" s="826" t="str">
        <f t="shared" si="14"/>
        <v>2013_Ghana</v>
      </c>
      <c r="D506" s="826">
        <v>2454.04</v>
      </c>
      <c r="E506" s="826">
        <v>16196.878204000001</v>
      </c>
      <c r="F506" s="826">
        <f t="shared" si="15"/>
        <v>16196878204</v>
      </c>
      <c r="G506" s="826">
        <v>13742.838204</v>
      </c>
      <c r="H506" s="826">
        <v>4897.8</v>
      </c>
      <c r="I506" s="826">
        <v>22498.069725000001</v>
      </c>
      <c r="J506" s="826">
        <v>17600.269724999998</v>
      </c>
      <c r="K506" s="826">
        <v>-2443.7600000000002</v>
      </c>
      <c r="L506" s="826">
        <v>-6301.1915209999997</v>
      </c>
      <c r="M506" s="826">
        <v>-3857.431521</v>
      </c>
      <c r="N506" s="826">
        <v>15.151314772499999</v>
      </c>
      <c r="O506" s="826">
        <v>100</v>
      </c>
      <c r="P506" s="826">
        <v>84.848685227499999</v>
      </c>
      <c r="Q506" s="826">
        <v>21.769867636899999</v>
      </c>
      <c r="R506" s="826">
        <v>100</v>
      </c>
      <c r="S506" s="826">
        <v>78.230132363099997</v>
      </c>
      <c r="T506" s="826" t="s">
        <v>3088</v>
      </c>
      <c r="U506" s="826" t="s">
        <v>3088</v>
      </c>
      <c r="V506" s="826" t="s">
        <v>3088</v>
      </c>
    </row>
    <row r="507" spans="1:22">
      <c r="A507" s="826" t="s">
        <v>3135</v>
      </c>
      <c r="B507" s="826" t="s">
        <v>219</v>
      </c>
      <c r="C507" s="826" t="str">
        <f t="shared" si="14"/>
        <v>2013_Guatemala</v>
      </c>
      <c r="D507" s="826">
        <v>2521.0623900000001</v>
      </c>
      <c r="E507" s="826">
        <v>12711.36239</v>
      </c>
      <c r="F507" s="826">
        <f t="shared" si="15"/>
        <v>12711362390</v>
      </c>
      <c r="G507" s="826">
        <v>10190.299999999999</v>
      </c>
      <c r="H507" s="826">
        <v>2578.7570000000001</v>
      </c>
      <c r="I507" s="826">
        <v>18934.357</v>
      </c>
      <c r="J507" s="826">
        <v>16355.6</v>
      </c>
      <c r="K507" s="826">
        <v>-57.694609999999997</v>
      </c>
      <c r="L507" s="826">
        <v>-6222.9946099999997</v>
      </c>
      <c r="M507" s="826">
        <v>-6165.3</v>
      </c>
      <c r="N507" s="826">
        <v>19.833140718100001</v>
      </c>
      <c r="O507" s="826">
        <v>100</v>
      </c>
      <c r="P507" s="826">
        <v>80.166859281900003</v>
      </c>
      <c r="Q507" s="826">
        <v>13.619459060600001</v>
      </c>
      <c r="R507" s="826">
        <v>100</v>
      </c>
      <c r="S507" s="826">
        <v>86.380540939400007</v>
      </c>
      <c r="T507" s="826" t="s">
        <v>3088</v>
      </c>
      <c r="U507" s="826" t="s">
        <v>3088</v>
      </c>
      <c r="V507" s="826" t="s">
        <v>3088</v>
      </c>
    </row>
    <row r="508" spans="1:22">
      <c r="A508" s="826" t="s">
        <v>3135</v>
      </c>
      <c r="B508" s="826" t="s">
        <v>3140</v>
      </c>
      <c r="C508" s="826" t="str">
        <f t="shared" si="14"/>
        <v>2013_ Guinea</v>
      </c>
      <c r="D508" s="826" t="s">
        <v>603</v>
      </c>
      <c r="E508" s="826" t="s">
        <v>3088</v>
      </c>
      <c r="F508" s="826" t="str">
        <f t="shared" si="15"/>
        <v>..</v>
      </c>
      <c r="G508" s="826">
        <v>1133.1757379999999</v>
      </c>
      <c r="H508" s="826" t="s">
        <v>603</v>
      </c>
      <c r="I508" s="826" t="s">
        <v>603</v>
      </c>
      <c r="J508" s="826">
        <v>1763.0871589999999</v>
      </c>
      <c r="K508" s="826" t="s">
        <v>603</v>
      </c>
      <c r="L508" s="826" t="s">
        <v>603</v>
      </c>
      <c r="M508" s="826">
        <v>-629.91142100000002</v>
      </c>
      <c r="N508" s="826" t="s">
        <v>603</v>
      </c>
      <c r="O508" s="826" t="s">
        <v>603</v>
      </c>
      <c r="P508" s="826">
        <v>92.191200615599996</v>
      </c>
      <c r="Q508" s="826" t="s">
        <v>603</v>
      </c>
      <c r="R508" s="826" t="s">
        <v>603</v>
      </c>
      <c r="S508" s="826">
        <v>70.249936367399997</v>
      </c>
      <c r="T508" s="826" t="s">
        <v>3088</v>
      </c>
      <c r="U508" s="826" t="s">
        <v>3088</v>
      </c>
      <c r="V508" s="826" t="s">
        <v>3088</v>
      </c>
    </row>
    <row r="509" spans="1:22">
      <c r="A509" s="826" t="s">
        <v>3135</v>
      </c>
      <c r="B509" s="826" t="s">
        <v>243</v>
      </c>
      <c r="C509" s="826" t="str">
        <f t="shared" si="14"/>
        <v>2013_Indonesia</v>
      </c>
      <c r="D509" s="826">
        <v>22342.677388</v>
      </c>
      <c r="E509" s="826">
        <v>205204.117719</v>
      </c>
      <c r="F509" s="826">
        <f t="shared" si="15"/>
        <v>205204117719</v>
      </c>
      <c r="G509" s="826">
        <v>182861.44033099999</v>
      </c>
      <c r="H509" s="826">
        <v>34854.892612000003</v>
      </c>
      <c r="I509" s="826">
        <v>212302.94607800001</v>
      </c>
      <c r="J509" s="826">
        <v>177448.05346600001</v>
      </c>
      <c r="K509" s="826">
        <v>-12512.215224</v>
      </c>
      <c r="L509" s="826">
        <v>-7098.8283590000001</v>
      </c>
      <c r="M509" s="826">
        <v>5413.3868650000004</v>
      </c>
      <c r="N509" s="826">
        <v>10.8880258527</v>
      </c>
      <c r="O509" s="826">
        <v>100</v>
      </c>
      <c r="P509" s="826">
        <v>89.111974147300003</v>
      </c>
      <c r="Q509" s="826">
        <v>16.417526584499999</v>
      </c>
      <c r="R509" s="826">
        <v>100</v>
      </c>
      <c r="S509" s="826">
        <v>83.582473415500004</v>
      </c>
      <c r="T509" s="826" t="s">
        <v>3088</v>
      </c>
      <c r="U509" s="826" t="s">
        <v>3088</v>
      </c>
      <c r="V509" s="826" t="s">
        <v>3088</v>
      </c>
    </row>
    <row r="510" spans="1:22">
      <c r="A510" s="826" t="s">
        <v>3135</v>
      </c>
      <c r="B510" s="826" t="s">
        <v>251</v>
      </c>
      <c r="C510" s="826" t="str">
        <f t="shared" si="14"/>
        <v>2013_Iraq</v>
      </c>
      <c r="D510" s="826" t="s">
        <v>603</v>
      </c>
      <c r="E510" s="826" t="s">
        <v>3088</v>
      </c>
      <c r="F510" s="826" t="str">
        <f t="shared" si="15"/>
        <v>..</v>
      </c>
      <c r="G510" s="826">
        <v>101715.528162</v>
      </c>
      <c r="H510" s="826" t="s">
        <v>603</v>
      </c>
      <c r="I510" s="826" t="s">
        <v>603</v>
      </c>
      <c r="J510" s="826">
        <v>58166.980831000001</v>
      </c>
      <c r="K510" s="826" t="s">
        <v>603</v>
      </c>
      <c r="L510" s="826" t="s">
        <v>603</v>
      </c>
      <c r="M510" s="826">
        <v>43548.547331000002</v>
      </c>
      <c r="N510" s="826" t="s">
        <v>603</v>
      </c>
      <c r="O510" s="826" t="s">
        <v>603</v>
      </c>
      <c r="P510" s="826">
        <v>97.0273341077</v>
      </c>
      <c r="Q510" s="826" t="s">
        <v>603</v>
      </c>
      <c r="R510" s="826" t="s">
        <v>603</v>
      </c>
      <c r="S510" s="826">
        <v>78.211830990699994</v>
      </c>
      <c r="T510" s="826" t="s">
        <v>3088</v>
      </c>
      <c r="U510" s="826" t="s">
        <v>3088</v>
      </c>
      <c r="V510" s="826" t="s">
        <v>3088</v>
      </c>
    </row>
    <row r="511" spans="1:22">
      <c r="A511" s="826" t="s">
        <v>3135</v>
      </c>
      <c r="B511" s="826" t="s">
        <v>280</v>
      </c>
      <c r="C511" s="826" t="str">
        <f t="shared" si="14"/>
        <v>2013_Kazakhstan</v>
      </c>
      <c r="D511" s="826">
        <v>5265.4342200000001</v>
      </c>
      <c r="E511" s="826">
        <v>88675.823000000004</v>
      </c>
      <c r="F511" s="826">
        <f t="shared" si="15"/>
        <v>88675823000</v>
      </c>
      <c r="G511" s="826">
        <v>83410.388779999994</v>
      </c>
      <c r="H511" s="826">
        <v>12102.52807</v>
      </c>
      <c r="I511" s="826">
        <v>61855.760170000001</v>
      </c>
      <c r="J511" s="826">
        <v>49753.232100000001</v>
      </c>
      <c r="K511" s="826">
        <v>-6837.0938500000002</v>
      </c>
      <c r="L511" s="826">
        <v>26820.062829999999</v>
      </c>
      <c r="M511" s="826">
        <v>33657.15668</v>
      </c>
      <c r="N511" s="826">
        <v>5.9378464634999997</v>
      </c>
      <c r="O511" s="826">
        <v>100</v>
      </c>
      <c r="P511" s="826">
        <v>94.062153536500006</v>
      </c>
      <c r="Q511" s="826">
        <v>19.565725223899999</v>
      </c>
      <c r="R511" s="826">
        <v>100</v>
      </c>
      <c r="S511" s="826">
        <v>80.434274776099997</v>
      </c>
      <c r="T511" s="826" t="s">
        <v>3088</v>
      </c>
      <c r="U511" s="826" t="s">
        <v>3088</v>
      </c>
      <c r="V511" s="826" t="s">
        <v>3088</v>
      </c>
    </row>
    <row r="512" spans="1:22">
      <c r="A512" s="826" t="s">
        <v>3135</v>
      </c>
      <c r="B512" s="826" t="s">
        <v>3141</v>
      </c>
      <c r="C512" s="826" t="str">
        <f t="shared" si="14"/>
        <v>2013_Kyrgyzstan</v>
      </c>
      <c r="D512" s="826">
        <v>1363.5528449999999</v>
      </c>
      <c r="E512" s="826">
        <v>3376.653241</v>
      </c>
      <c r="F512" s="826">
        <f t="shared" si="15"/>
        <v>3376653241</v>
      </c>
      <c r="G512" s="826">
        <v>2013.100396</v>
      </c>
      <c r="H512" s="826">
        <v>1318.2396329999999</v>
      </c>
      <c r="I512" s="826">
        <v>6716.0185529999999</v>
      </c>
      <c r="J512" s="826">
        <v>5397.7789199999997</v>
      </c>
      <c r="K512" s="826">
        <v>45.313212</v>
      </c>
      <c r="L512" s="826">
        <v>-3339.3653119999999</v>
      </c>
      <c r="M512" s="826">
        <v>-3384.6785239999999</v>
      </c>
      <c r="N512" s="826">
        <v>40.381784793400001</v>
      </c>
      <c r="O512" s="826">
        <v>100</v>
      </c>
      <c r="P512" s="826">
        <v>59.618215206599999</v>
      </c>
      <c r="Q512" s="826">
        <v>19.6282905206</v>
      </c>
      <c r="R512" s="826">
        <v>100</v>
      </c>
      <c r="S512" s="826">
        <v>80.371709479399996</v>
      </c>
      <c r="T512" s="826" t="s">
        <v>3088</v>
      </c>
      <c r="U512" s="826" t="s">
        <v>3088</v>
      </c>
      <c r="V512" s="826" t="s">
        <v>3088</v>
      </c>
    </row>
    <row r="513" spans="1:22">
      <c r="A513" s="826" t="s">
        <v>3135</v>
      </c>
      <c r="B513" s="826" t="s">
        <v>301</v>
      </c>
      <c r="C513" s="826" t="str">
        <f t="shared" si="14"/>
        <v>2013_Liberia</v>
      </c>
      <c r="D513" s="826">
        <v>373.16906799999998</v>
      </c>
      <c r="E513" s="826">
        <v>1329.6240319999999</v>
      </c>
      <c r="F513" s="826">
        <f t="shared" si="15"/>
        <v>1329624032</v>
      </c>
      <c r="G513" s="826">
        <v>956.45496400000002</v>
      </c>
      <c r="H513" s="826">
        <v>106.92813099999999</v>
      </c>
      <c r="I513" s="826">
        <v>2505.6166210000001</v>
      </c>
      <c r="J513" s="826">
        <v>2398.68849</v>
      </c>
      <c r="K513" s="826">
        <v>266.24093699999997</v>
      </c>
      <c r="L513" s="826">
        <v>-1175.992589</v>
      </c>
      <c r="M513" s="826">
        <v>-1442.233526</v>
      </c>
      <c r="N513" s="826">
        <v>28.065758366200001</v>
      </c>
      <c r="O513" s="826">
        <v>100</v>
      </c>
      <c r="P513" s="826">
        <v>71.934241633799999</v>
      </c>
      <c r="Q513" s="826">
        <v>4.2675375835000002</v>
      </c>
      <c r="R513" s="826">
        <v>100</v>
      </c>
      <c r="S513" s="826">
        <v>95.732462416499999</v>
      </c>
      <c r="T513" s="826" t="s">
        <v>3088</v>
      </c>
      <c r="U513" s="826" t="s">
        <v>3088</v>
      </c>
      <c r="V513" s="826" t="s">
        <v>3088</v>
      </c>
    </row>
    <row r="514" spans="1:22">
      <c r="A514" s="826" t="s">
        <v>3135</v>
      </c>
      <c r="B514" s="826" t="s">
        <v>316</v>
      </c>
      <c r="C514" s="826" t="str">
        <f t="shared" si="14"/>
        <v>2013_Madagascar</v>
      </c>
      <c r="D514" s="826" t="s">
        <v>603</v>
      </c>
      <c r="E514" s="826" t="s">
        <v>3088</v>
      </c>
      <c r="F514" s="826" t="str">
        <f t="shared" si="15"/>
        <v>..</v>
      </c>
      <c r="G514" s="826">
        <v>1899.7261012500001</v>
      </c>
      <c r="H514" s="826" t="s">
        <v>603</v>
      </c>
      <c r="I514" s="826" t="s">
        <v>603</v>
      </c>
      <c r="J514" s="826">
        <v>2714.5920913999998</v>
      </c>
      <c r="K514" s="826" t="s">
        <v>603</v>
      </c>
      <c r="L514" s="826" t="s">
        <v>603</v>
      </c>
      <c r="M514" s="826">
        <v>-814.86599015000002</v>
      </c>
      <c r="N514" s="826" t="s">
        <v>603</v>
      </c>
      <c r="O514" s="826" t="s">
        <v>603</v>
      </c>
      <c r="P514" s="826">
        <v>57.057707661000002</v>
      </c>
      <c r="Q514" s="826" t="s">
        <v>603</v>
      </c>
      <c r="R514" s="826" t="s">
        <v>603</v>
      </c>
      <c r="S514" s="826">
        <v>65.685910806300001</v>
      </c>
      <c r="T514" s="826" t="s">
        <v>3088</v>
      </c>
      <c r="U514" s="826" t="s">
        <v>3088</v>
      </c>
      <c r="V514" s="826" t="s">
        <v>3088</v>
      </c>
    </row>
    <row r="515" spans="1:22">
      <c r="A515" s="826" t="s">
        <v>3135</v>
      </c>
      <c r="B515" s="826" t="s">
        <v>329</v>
      </c>
      <c r="C515" s="826" t="str">
        <f t="shared" si="14"/>
        <v>2013_Mali</v>
      </c>
      <c r="D515" s="826" t="s">
        <v>603</v>
      </c>
      <c r="E515" s="826" t="s">
        <v>3088</v>
      </c>
      <c r="F515" s="826" t="str">
        <f t="shared" si="15"/>
        <v>..</v>
      </c>
      <c r="G515" s="826">
        <v>2690.6639057799998</v>
      </c>
      <c r="H515" s="826" t="s">
        <v>603</v>
      </c>
      <c r="I515" s="826" t="s">
        <v>603</v>
      </c>
      <c r="J515" s="826">
        <v>3271.5452111099999</v>
      </c>
      <c r="K515" s="826" t="s">
        <v>603</v>
      </c>
      <c r="L515" s="826" t="s">
        <v>603</v>
      </c>
      <c r="M515" s="826">
        <v>-580.88130533000003</v>
      </c>
      <c r="N515" s="826" t="s">
        <v>603</v>
      </c>
      <c r="O515" s="826" t="s">
        <v>603</v>
      </c>
      <c r="P515" s="826">
        <v>88.189669801500003</v>
      </c>
      <c r="Q515" s="826" t="s">
        <v>603</v>
      </c>
      <c r="R515" s="826" t="s">
        <v>603</v>
      </c>
      <c r="S515" s="826">
        <v>75.099619855900002</v>
      </c>
      <c r="T515" s="826" t="s">
        <v>3088</v>
      </c>
      <c r="U515" s="826" t="s">
        <v>3088</v>
      </c>
      <c r="V515" s="826" t="s">
        <v>3088</v>
      </c>
    </row>
    <row r="516" spans="1:22">
      <c r="A516" s="826" t="s">
        <v>3135</v>
      </c>
      <c r="B516" s="826" t="s">
        <v>345</v>
      </c>
      <c r="C516" s="826" t="str">
        <f t="shared" si="14"/>
        <v>2013_Mauritania</v>
      </c>
      <c r="D516" s="826">
        <v>186.33333332999999</v>
      </c>
      <c r="E516" s="826">
        <v>2837.8333333300002</v>
      </c>
      <c r="F516" s="826">
        <f t="shared" si="15"/>
        <v>2837833333.3300004</v>
      </c>
      <c r="G516" s="826">
        <v>2651.5</v>
      </c>
      <c r="H516" s="826">
        <v>1001.33333333</v>
      </c>
      <c r="I516" s="826">
        <v>4045.6333333299999</v>
      </c>
      <c r="J516" s="826">
        <v>3044.3</v>
      </c>
      <c r="K516" s="826">
        <v>-815</v>
      </c>
      <c r="L516" s="826">
        <v>-1207.8</v>
      </c>
      <c r="M516" s="826">
        <v>-392.8</v>
      </c>
      <c r="N516" s="826">
        <v>6.5660421682000001</v>
      </c>
      <c r="O516" s="826">
        <v>100</v>
      </c>
      <c r="P516" s="826">
        <v>93.433957831800001</v>
      </c>
      <c r="Q516" s="826">
        <v>24.750966062100002</v>
      </c>
      <c r="R516" s="826">
        <v>100</v>
      </c>
      <c r="S516" s="826">
        <v>75.249033937899995</v>
      </c>
      <c r="T516" s="826" t="s">
        <v>3088</v>
      </c>
      <c r="U516" s="826" t="s">
        <v>3088</v>
      </c>
      <c r="V516" s="826" t="s">
        <v>3088</v>
      </c>
    </row>
    <row r="517" spans="1:22">
      <c r="A517" s="826" t="s">
        <v>3135</v>
      </c>
      <c r="B517" s="826" t="s">
        <v>364</v>
      </c>
      <c r="C517" s="826" t="str">
        <f t="shared" si="14"/>
        <v>2013_Mongolia</v>
      </c>
      <c r="D517" s="826">
        <v>710.99758199999997</v>
      </c>
      <c r="E517" s="826">
        <v>4980.0672340000001</v>
      </c>
      <c r="F517" s="826">
        <f t="shared" si="15"/>
        <v>4980067234</v>
      </c>
      <c r="G517" s="826">
        <v>4269.0696520000001</v>
      </c>
      <c r="H517" s="826">
        <v>2023.7758719999999</v>
      </c>
      <c r="I517" s="826">
        <v>7613.566186</v>
      </c>
      <c r="J517" s="826">
        <v>5589.7903139999999</v>
      </c>
      <c r="K517" s="826">
        <v>-1312.77829</v>
      </c>
      <c r="L517" s="826">
        <v>-2633.4989519999999</v>
      </c>
      <c r="M517" s="826">
        <v>-1320.7206619999999</v>
      </c>
      <c r="N517" s="826">
        <v>14.276867130299999</v>
      </c>
      <c r="O517" s="826">
        <v>100</v>
      </c>
      <c r="P517" s="826">
        <v>85.723132869699995</v>
      </c>
      <c r="Q517" s="826">
        <v>26.581181834599999</v>
      </c>
      <c r="R517" s="826">
        <v>100</v>
      </c>
      <c r="S517" s="826">
        <v>73.418818165399998</v>
      </c>
      <c r="T517" s="826" t="s">
        <v>3088</v>
      </c>
      <c r="U517" s="826" t="s">
        <v>3088</v>
      </c>
      <c r="V517" s="826" t="s">
        <v>3088</v>
      </c>
    </row>
    <row r="518" spans="1:22">
      <c r="A518" s="826" t="s">
        <v>3135</v>
      </c>
      <c r="B518" s="826" t="s">
        <v>385</v>
      </c>
      <c r="C518" s="826" t="str">
        <f t="shared" ref="C518:C529" si="16">$A518&amp;"_"&amp;$B518</f>
        <v>2013_Mozambique</v>
      </c>
      <c r="D518" s="826">
        <v>1717.7351630000001</v>
      </c>
      <c r="E518" s="826">
        <v>5918.0408280000001</v>
      </c>
      <c r="F518" s="826">
        <f t="shared" ref="F518:F529" si="17">IFERROR($E518*1000000,"..")</f>
        <v>5918040828</v>
      </c>
      <c r="G518" s="826">
        <v>4200.3056649999999</v>
      </c>
      <c r="H518" s="826">
        <v>2974.9396820000002</v>
      </c>
      <c r="I518" s="826">
        <v>13986.091976</v>
      </c>
      <c r="J518" s="826">
        <v>11011.152294</v>
      </c>
      <c r="K518" s="826">
        <v>-1257.2045189999999</v>
      </c>
      <c r="L518" s="826">
        <v>-8068.0511479999996</v>
      </c>
      <c r="M518" s="826">
        <v>-6810.8466289999997</v>
      </c>
      <c r="N518" s="826">
        <v>29.0254023743</v>
      </c>
      <c r="O518" s="826">
        <v>100</v>
      </c>
      <c r="P518" s="826">
        <v>70.9745976257</v>
      </c>
      <c r="Q518" s="826">
        <v>21.2707001148</v>
      </c>
      <c r="R518" s="826">
        <v>100</v>
      </c>
      <c r="S518" s="826">
        <v>78.729299885200007</v>
      </c>
      <c r="T518" s="826" t="s">
        <v>3088</v>
      </c>
      <c r="U518" s="826" t="s">
        <v>3088</v>
      </c>
      <c r="V518" s="826" t="s">
        <v>3088</v>
      </c>
    </row>
    <row r="519" spans="1:22">
      <c r="A519" s="826" t="s">
        <v>3135</v>
      </c>
      <c r="B519" s="826" t="s">
        <v>394</v>
      </c>
      <c r="C519" s="826" t="str">
        <f t="shared" si="16"/>
        <v>2013_Niger</v>
      </c>
      <c r="D519" s="826" t="s">
        <v>603</v>
      </c>
      <c r="E519" s="826" t="s">
        <v>3088</v>
      </c>
      <c r="F519" s="826" t="str">
        <f t="shared" si="17"/>
        <v>..</v>
      </c>
      <c r="G519" s="826">
        <v>1575.2424692</v>
      </c>
      <c r="H519" s="826" t="s">
        <v>603</v>
      </c>
      <c r="I519" s="826" t="s">
        <v>603</v>
      </c>
      <c r="J519" s="826">
        <v>2105.5912643800002</v>
      </c>
      <c r="K519" s="826" t="s">
        <v>603</v>
      </c>
      <c r="L519" s="826" t="s">
        <v>603</v>
      </c>
      <c r="M519" s="826">
        <v>-530.34879518000002</v>
      </c>
      <c r="N519" s="826" t="s">
        <v>603</v>
      </c>
      <c r="O519" s="826" t="s">
        <v>603</v>
      </c>
      <c r="P519" s="826">
        <v>95.069659826099993</v>
      </c>
      <c r="Q519" s="826" t="s">
        <v>603</v>
      </c>
      <c r="R519" s="826" t="s">
        <v>603</v>
      </c>
      <c r="S519" s="826">
        <v>68.862683025699994</v>
      </c>
      <c r="T519" s="826" t="s">
        <v>3088</v>
      </c>
      <c r="U519" s="826" t="s">
        <v>3088</v>
      </c>
      <c r="V519" s="826" t="s">
        <v>3088</v>
      </c>
    </row>
    <row r="520" spans="1:22">
      <c r="A520" s="826" t="s">
        <v>3135</v>
      </c>
      <c r="B520" s="826" t="s">
        <v>413</v>
      </c>
      <c r="C520" s="826" t="str">
        <f t="shared" si="16"/>
        <v>2013_Nigeria</v>
      </c>
      <c r="D520" s="826">
        <v>2362.0885589999998</v>
      </c>
      <c r="E520" s="826">
        <v>97128.488918999996</v>
      </c>
      <c r="F520" s="826">
        <f t="shared" si="17"/>
        <v>97128488919</v>
      </c>
      <c r="G520" s="826">
        <v>94766.40036</v>
      </c>
      <c r="H520" s="826">
        <v>22244.656951000001</v>
      </c>
      <c r="I520" s="826">
        <v>73405.805875000005</v>
      </c>
      <c r="J520" s="826">
        <v>51161.148924000001</v>
      </c>
      <c r="K520" s="826">
        <v>-19882.568392000001</v>
      </c>
      <c r="L520" s="826">
        <v>23722.683044000001</v>
      </c>
      <c r="M520" s="826">
        <v>43605.251435999999</v>
      </c>
      <c r="N520" s="826">
        <v>2.4319214530000002</v>
      </c>
      <c r="O520" s="826">
        <v>100</v>
      </c>
      <c r="P520" s="826">
        <v>97.568078546999999</v>
      </c>
      <c r="Q520" s="826">
        <v>30.303675146500002</v>
      </c>
      <c r="R520" s="826">
        <v>100</v>
      </c>
      <c r="S520" s="826">
        <v>69.696324853500002</v>
      </c>
      <c r="T520" s="826" t="s">
        <v>3088</v>
      </c>
      <c r="U520" s="826" t="s">
        <v>3088</v>
      </c>
      <c r="V520" s="826" t="s">
        <v>3088</v>
      </c>
    </row>
    <row r="521" spans="1:22">
      <c r="A521" s="826" t="s">
        <v>3135</v>
      </c>
      <c r="B521" s="826" t="s">
        <v>436</v>
      </c>
      <c r="C521" s="826" t="str">
        <f t="shared" si="16"/>
        <v>2013_Norway</v>
      </c>
      <c r="D521" s="826">
        <v>40582.096657000002</v>
      </c>
      <c r="E521" s="826">
        <v>193897.71185699999</v>
      </c>
      <c r="F521" s="826">
        <f t="shared" si="17"/>
        <v>193897711857</v>
      </c>
      <c r="G521" s="826">
        <v>153315.6152</v>
      </c>
      <c r="H521" s="826">
        <v>49545.579772999998</v>
      </c>
      <c r="I521" s="826">
        <v>140839.45497300001</v>
      </c>
      <c r="J521" s="826">
        <v>91293.875199999995</v>
      </c>
      <c r="K521" s="826">
        <v>-8963.4831159999994</v>
      </c>
      <c r="L521" s="826">
        <v>53058.256884000002</v>
      </c>
      <c r="M521" s="826">
        <v>62021.74</v>
      </c>
      <c r="N521" s="826">
        <v>20.929641855100002</v>
      </c>
      <c r="O521" s="826">
        <v>100</v>
      </c>
      <c r="P521" s="826">
        <v>79.070358144899998</v>
      </c>
      <c r="Q521" s="826">
        <v>35.178764205299998</v>
      </c>
      <c r="R521" s="826">
        <v>100</v>
      </c>
      <c r="S521" s="826">
        <v>64.821235794700002</v>
      </c>
      <c r="T521" s="826" t="s">
        <v>3088</v>
      </c>
      <c r="U521" s="826" t="s">
        <v>3088</v>
      </c>
      <c r="V521" s="826" t="s">
        <v>3088</v>
      </c>
    </row>
    <row r="522" spans="1:22">
      <c r="A522" s="826" t="s">
        <v>3135</v>
      </c>
      <c r="B522" s="826" t="s">
        <v>449</v>
      </c>
      <c r="C522" s="826" t="str">
        <f t="shared" si="16"/>
        <v>2013_Peru</v>
      </c>
      <c r="D522" s="826">
        <v>6102.1704579999996</v>
      </c>
      <c r="E522" s="826">
        <v>47884.796297000001</v>
      </c>
      <c r="F522" s="826">
        <f t="shared" si="17"/>
        <v>47884796297</v>
      </c>
      <c r="G522" s="826">
        <v>41782.625839</v>
      </c>
      <c r="H522" s="826">
        <v>7675.1556270000001</v>
      </c>
      <c r="I522" s="826">
        <v>49868.804686000003</v>
      </c>
      <c r="J522" s="826">
        <v>42193.649059000003</v>
      </c>
      <c r="K522" s="826">
        <v>-1572.985169</v>
      </c>
      <c r="L522" s="826">
        <v>-1984.0083890000001</v>
      </c>
      <c r="M522" s="826">
        <v>-411.02321999999998</v>
      </c>
      <c r="N522" s="826">
        <v>12.743440360799999</v>
      </c>
      <c r="O522" s="826">
        <v>100</v>
      </c>
      <c r="P522" s="826">
        <v>87.256559639200006</v>
      </c>
      <c r="Q522" s="826">
        <v>15.390694995300001</v>
      </c>
      <c r="R522" s="826">
        <v>100</v>
      </c>
      <c r="S522" s="826">
        <v>84.609305004700005</v>
      </c>
      <c r="T522" s="826" t="s">
        <v>3088</v>
      </c>
      <c r="U522" s="826" t="s">
        <v>3088</v>
      </c>
      <c r="V522" s="826" t="s">
        <v>3088</v>
      </c>
    </row>
    <row r="523" spans="1:22">
      <c r="A523" s="826" t="s">
        <v>3135</v>
      </c>
      <c r="B523" s="826" t="s">
        <v>488</v>
      </c>
      <c r="C523" s="826" t="str">
        <f t="shared" si="16"/>
        <v>2013_Sierra Leone</v>
      </c>
      <c r="D523" s="826" t="s">
        <v>603</v>
      </c>
      <c r="E523" s="826" t="s">
        <v>3088</v>
      </c>
      <c r="F523" s="826" t="str">
        <f t="shared" si="17"/>
        <v>..</v>
      </c>
      <c r="G523" s="826">
        <v>1989.7921924499999</v>
      </c>
      <c r="H523" s="826" t="s">
        <v>603</v>
      </c>
      <c r="I523" s="826" t="s">
        <v>603</v>
      </c>
      <c r="J523" s="826">
        <v>2242.6402624299999</v>
      </c>
      <c r="K523" s="826" t="s">
        <v>603</v>
      </c>
      <c r="L523" s="826" t="s">
        <v>603</v>
      </c>
      <c r="M523" s="826">
        <v>-252.84806997999999</v>
      </c>
      <c r="N523" s="826" t="s">
        <v>603</v>
      </c>
      <c r="O523" s="826" t="s">
        <v>603</v>
      </c>
      <c r="P523" s="826">
        <v>91.164809317800007</v>
      </c>
      <c r="Q523" s="826" t="s">
        <v>603</v>
      </c>
      <c r="R523" s="826" t="s">
        <v>603</v>
      </c>
      <c r="S523" s="826">
        <v>80.284416730499998</v>
      </c>
      <c r="T523" s="826" t="s">
        <v>3088</v>
      </c>
      <c r="U523" s="826" t="s">
        <v>3088</v>
      </c>
      <c r="V523" s="826" t="s">
        <v>3088</v>
      </c>
    </row>
    <row r="524" spans="1:22">
      <c r="A524" s="826" t="s">
        <v>3135</v>
      </c>
      <c r="B524" s="826" t="s">
        <v>3090</v>
      </c>
      <c r="C524" s="826" t="str">
        <f t="shared" si="16"/>
        <v>2013_Timor-Leste</v>
      </c>
      <c r="D524" s="826" t="s">
        <v>603</v>
      </c>
      <c r="E524" s="826" t="s">
        <v>3088</v>
      </c>
      <c r="F524" s="826" t="str">
        <f t="shared" si="17"/>
        <v>..</v>
      </c>
      <c r="G524" s="826">
        <v>17.33308006</v>
      </c>
      <c r="H524" s="826" t="s">
        <v>603</v>
      </c>
      <c r="I524" s="826" t="s">
        <v>603</v>
      </c>
      <c r="J524" s="826">
        <v>853.09651940000003</v>
      </c>
      <c r="K524" s="826" t="s">
        <v>603</v>
      </c>
      <c r="L524" s="826" t="s">
        <v>603</v>
      </c>
      <c r="M524" s="826">
        <v>-835.76343933999999</v>
      </c>
      <c r="N524" s="826" t="s">
        <v>603</v>
      </c>
      <c r="O524" s="826" t="s">
        <v>603</v>
      </c>
      <c r="P524" s="826">
        <v>20.3143717188</v>
      </c>
      <c r="Q524" s="826" t="s">
        <v>603</v>
      </c>
      <c r="R524" s="826" t="s">
        <v>603</v>
      </c>
      <c r="S524" s="826">
        <v>45.281437009900003</v>
      </c>
      <c r="T524" s="826" t="s">
        <v>3088</v>
      </c>
      <c r="U524" s="826" t="s">
        <v>3088</v>
      </c>
      <c r="V524" s="826" t="s">
        <v>3088</v>
      </c>
    </row>
    <row r="525" spans="1:22">
      <c r="A525" s="826" t="s">
        <v>3135</v>
      </c>
      <c r="B525" s="826" t="s">
        <v>517</v>
      </c>
      <c r="C525" s="826" t="str">
        <f t="shared" si="16"/>
        <v>2013_Togo</v>
      </c>
      <c r="D525" s="826" t="s">
        <v>603</v>
      </c>
      <c r="E525" s="826" t="s">
        <v>3088</v>
      </c>
      <c r="F525" s="826" t="str">
        <f t="shared" si="17"/>
        <v>..</v>
      </c>
      <c r="G525" s="826">
        <v>1354.6604459499999</v>
      </c>
      <c r="H525" s="826" t="s">
        <v>603</v>
      </c>
      <c r="I525" s="826" t="s">
        <v>603</v>
      </c>
      <c r="J525" s="826">
        <v>2256.7189345699999</v>
      </c>
      <c r="K525" s="826" t="s">
        <v>603</v>
      </c>
      <c r="L525" s="826" t="s">
        <v>603</v>
      </c>
      <c r="M525" s="826">
        <v>-902.05848862000005</v>
      </c>
      <c r="N525" s="826" t="s">
        <v>603</v>
      </c>
      <c r="O525" s="826" t="s">
        <v>603</v>
      </c>
      <c r="P525" s="826">
        <v>59.086964454899999</v>
      </c>
      <c r="Q525" s="826" t="s">
        <v>603</v>
      </c>
      <c r="R525" s="826" t="s">
        <v>603</v>
      </c>
      <c r="S525" s="826">
        <v>63.750024591699997</v>
      </c>
      <c r="T525" s="826" t="s">
        <v>3088</v>
      </c>
      <c r="U525" s="826" t="s">
        <v>3088</v>
      </c>
      <c r="V525" s="826" t="s">
        <v>3088</v>
      </c>
    </row>
    <row r="526" spans="1:22">
      <c r="A526" s="826" t="s">
        <v>3135</v>
      </c>
      <c r="B526" s="826" t="s">
        <v>3091</v>
      </c>
      <c r="C526" s="826" t="str">
        <f t="shared" si="16"/>
        <v>2013_Trinidad and Tobago</v>
      </c>
      <c r="D526" s="826" t="s">
        <v>603</v>
      </c>
      <c r="E526" s="826" t="s">
        <v>3088</v>
      </c>
      <c r="F526" s="826" t="str">
        <f t="shared" si="17"/>
        <v>..</v>
      </c>
      <c r="G526" s="826">
        <v>12769.606581980001</v>
      </c>
      <c r="H526" s="826" t="s">
        <v>603</v>
      </c>
      <c r="I526" s="826" t="s">
        <v>603</v>
      </c>
      <c r="J526" s="826">
        <v>8870.7604133799996</v>
      </c>
      <c r="K526" s="826" t="s">
        <v>603</v>
      </c>
      <c r="L526" s="826" t="s">
        <v>603</v>
      </c>
      <c r="M526" s="826">
        <v>3898.8461686000001</v>
      </c>
      <c r="N526" s="826" t="s">
        <v>603</v>
      </c>
      <c r="O526" s="826" t="s">
        <v>603</v>
      </c>
      <c r="P526" s="826">
        <v>67.039060349400003</v>
      </c>
      <c r="Q526" s="826" t="s">
        <v>603</v>
      </c>
      <c r="R526" s="826" t="s">
        <v>603</v>
      </c>
      <c r="S526" s="826">
        <v>58.528555651600001</v>
      </c>
      <c r="T526" s="826" t="s">
        <v>3088</v>
      </c>
      <c r="U526" s="826" t="s">
        <v>3088</v>
      </c>
      <c r="V526" s="826" t="s">
        <v>3088</v>
      </c>
    </row>
    <row r="527" spans="1:22">
      <c r="A527" s="826" t="s">
        <v>3135</v>
      </c>
      <c r="B527" s="826" t="s">
        <v>499</v>
      </c>
      <c r="C527" s="826" t="str">
        <f t="shared" si="16"/>
        <v>2013_Tanzania</v>
      </c>
      <c r="D527" s="826">
        <v>3016.758421</v>
      </c>
      <c r="E527" s="826">
        <v>8386.5052620000006</v>
      </c>
      <c r="F527" s="826">
        <f t="shared" si="17"/>
        <v>8386505262.000001</v>
      </c>
      <c r="G527" s="826">
        <v>5369.7468410000001</v>
      </c>
      <c r="H527" s="826">
        <v>2496.0702219999998</v>
      </c>
      <c r="I527" s="826">
        <v>13531.240972</v>
      </c>
      <c r="J527" s="826">
        <v>11035.170749999999</v>
      </c>
      <c r="K527" s="826">
        <v>520.68819900000005</v>
      </c>
      <c r="L527" s="826">
        <v>-5144.7357099999999</v>
      </c>
      <c r="M527" s="826">
        <v>-5665.4239090000001</v>
      </c>
      <c r="N527" s="826">
        <v>35.971579659900002</v>
      </c>
      <c r="O527" s="826">
        <v>100</v>
      </c>
      <c r="P527" s="826">
        <v>64.028420340099998</v>
      </c>
      <c r="Q527" s="826">
        <v>18.446720645700001</v>
      </c>
      <c r="R527" s="826">
        <v>100</v>
      </c>
      <c r="S527" s="826">
        <v>81.553279354300003</v>
      </c>
      <c r="T527" s="826" t="s">
        <v>3088</v>
      </c>
      <c r="U527" s="826" t="s">
        <v>3088</v>
      </c>
      <c r="V527" s="826" t="s">
        <v>3088</v>
      </c>
    </row>
    <row r="528" spans="1:22">
      <c r="A528" s="826" t="s">
        <v>3135</v>
      </c>
      <c r="B528" s="826" t="s">
        <v>529</v>
      </c>
      <c r="C528" s="826" t="str">
        <f t="shared" si="16"/>
        <v>2013_Yemen</v>
      </c>
      <c r="D528" s="826">
        <v>1704.0626769999999</v>
      </c>
      <c r="E528" s="826">
        <v>9434.3144329999996</v>
      </c>
      <c r="F528" s="826">
        <f t="shared" si="17"/>
        <v>9434314433</v>
      </c>
      <c r="G528" s="826">
        <v>7730.2517559999997</v>
      </c>
      <c r="H528" s="826">
        <v>2425.2138829999999</v>
      </c>
      <c r="I528" s="826">
        <v>13085.059590999999</v>
      </c>
      <c r="J528" s="826">
        <v>10659.845708000001</v>
      </c>
      <c r="K528" s="826">
        <v>-721.151206</v>
      </c>
      <c r="L528" s="826">
        <v>-3650.7451580000002</v>
      </c>
      <c r="M528" s="826">
        <v>-2929.5939520000002</v>
      </c>
      <c r="N528" s="826">
        <v>18.062390108999999</v>
      </c>
      <c r="O528" s="826">
        <v>100</v>
      </c>
      <c r="P528" s="826">
        <v>81.937609890999994</v>
      </c>
      <c r="Q528" s="826">
        <v>18.534221156099999</v>
      </c>
      <c r="R528" s="826">
        <v>100</v>
      </c>
      <c r="S528" s="826">
        <v>81.465778843899997</v>
      </c>
      <c r="T528" s="826" t="s">
        <v>3088</v>
      </c>
      <c r="U528" s="826" t="s">
        <v>3088</v>
      </c>
      <c r="V528" s="826" t="s">
        <v>3088</v>
      </c>
    </row>
    <row r="529" spans="1:22">
      <c r="A529" s="826" t="s">
        <v>3135</v>
      </c>
      <c r="B529" s="826" t="s">
        <v>541</v>
      </c>
      <c r="C529" s="826" t="str">
        <f t="shared" si="16"/>
        <v>2013_Zambia</v>
      </c>
      <c r="D529" s="826" t="s">
        <v>603</v>
      </c>
      <c r="E529" s="826" t="s">
        <v>3088</v>
      </c>
      <c r="F529" s="826" t="str">
        <f t="shared" si="17"/>
        <v>..</v>
      </c>
      <c r="G529" s="826">
        <v>10649.30952938</v>
      </c>
      <c r="H529" s="826" t="s">
        <v>603</v>
      </c>
      <c r="I529" s="826" t="s">
        <v>603</v>
      </c>
      <c r="J529" s="826">
        <v>9187.3790054799993</v>
      </c>
      <c r="K529" s="826" t="s">
        <v>603</v>
      </c>
      <c r="L529" s="826" t="s">
        <v>603</v>
      </c>
      <c r="M529" s="826">
        <v>1461.9305239</v>
      </c>
      <c r="N529" s="826" t="s">
        <v>603</v>
      </c>
      <c r="O529" s="826" t="s">
        <v>603</v>
      </c>
      <c r="P529" s="826">
        <v>95.619393196399997</v>
      </c>
      <c r="Q529" s="826" t="s">
        <v>603</v>
      </c>
      <c r="R529" s="826" t="s">
        <v>603</v>
      </c>
      <c r="S529" s="826">
        <v>87.679539679200005</v>
      </c>
      <c r="T529" s="826" t="s">
        <v>3088</v>
      </c>
      <c r="U529" s="826" t="s">
        <v>3088</v>
      </c>
      <c r="V529" s="826" t="s">
        <v>3088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workbookViewId="0">
      <selection activeCell="C2" sqref="C2"/>
    </sheetView>
  </sheetViews>
  <sheetFormatPr defaultRowHeight="15"/>
  <cols>
    <col min="1" max="16384" width="9.140625" style="827"/>
  </cols>
  <sheetData>
    <row r="1" spans="1:3">
      <c r="A1" s="828" t="s">
        <v>3142</v>
      </c>
      <c r="B1" s="828">
        <v>2010</v>
      </c>
      <c r="C1" s="828">
        <v>2013</v>
      </c>
    </row>
    <row r="2" spans="1:3">
      <c r="A2" s="827" t="s">
        <v>3143</v>
      </c>
      <c r="B2" s="827">
        <v>97</v>
      </c>
      <c r="C2" s="829">
        <f>VLOOKUP($A2,'[4]3.Components scores table'!$B$2:$D$59,3,FALSE)</f>
        <v>79.938388792646663</v>
      </c>
    </row>
    <row r="3" spans="1:3">
      <c r="A3" s="827" t="s">
        <v>436</v>
      </c>
      <c r="B3" s="827">
        <v>96.4</v>
      </c>
      <c r="C3" s="829">
        <f>VLOOKUP($A3,'[4]3.Components scores table'!$B$2:$D$59,3,FALSE)</f>
        <v>98.017483296506555</v>
      </c>
    </row>
    <row r="4" spans="1:3">
      <c r="A4" s="827" t="s">
        <v>3144</v>
      </c>
      <c r="B4" s="827">
        <v>89.7</v>
      </c>
      <c r="C4" s="829">
        <f>VLOOKUP($A4,'[4]3.Components scores table'!$B$2:$D$59,3,FALSE)</f>
        <v>55.536649065875352</v>
      </c>
    </row>
    <row r="5" spans="1:3">
      <c r="A5" s="827" t="s">
        <v>3145</v>
      </c>
      <c r="B5" s="827">
        <v>83.4</v>
      </c>
      <c r="C5" s="829">
        <f>VLOOKUP($A5,'[4]3.Components scores table'!$B$2:$D$59,3,FALSE)</f>
        <v>76.531116206327013</v>
      </c>
    </row>
    <row r="6" spans="1:3">
      <c r="A6" s="827" t="s">
        <v>3146</v>
      </c>
      <c r="B6" s="827">
        <v>80.599999999999994</v>
      </c>
      <c r="C6" s="829">
        <f>VLOOKUP($A6,'[4]3.Components scores table'!$B$2:$D$59,3,FALSE)</f>
        <v>75.18085549169885</v>
      </c>
    </row>
    <row r="7" spans="1:3">
      <c r="A7" s="827" t="s">
        <v>3147</v>
      </c>
      <c r="B7" s="827">
        <v>79.599999999999994</v>
      </c>
      <c r="C7" s="829">
        <f>VLOOKUP($A7,'[4]3.Components scores table'!$B$2:$D$59,3,FALSE)</f>
        <v>74.135087376707531</v>
      </c>
    </row>
    <row r="8" spans="1:3">
      <c r="A8" s="827" t="s">
        <v>280</v>
      </c>
      <c r="B8" s="827">
        <v>77.5</v>
      </c>
      <c r="C8" s="829">
        <f>VLOOKUP($A8,'[4]3.Components scores table'!$B$2:$D$59,3,FALSE)</f>
        <v>57.362887635782535</v>
      </c>
    </row>
    <row r="9" spans="1:3">
      <c r="A9" s="827" t="s">
        <v>449</v>
      </c>
      <c r="B9" s="827">
        <v>76.8</v>
      </c>
      <c r="C9" s="829">
        <f>VLOOKUP($A9,'[4]3.Components scores table'!$B$2:$D$59,3,FALSE)</f>
        <v>72.816147461462435</v>
      </c>
    </row>
    <row r="10" spans="1:3">
      <c r="A10" s="827" t="s">
        <v>53</v>
      </c>
      <c r="B10" s="827">
        <v>75.099999999999994</v>
      </c>
      <c r="C10" s="829">
        <f>VLOOKUP($A10,'[4]3.Components scores table'!$B$2:$D$59,3,FALSE)</f>
        <v>48.092853423547197</v>
      </c>
    </row>
    <row r="11" spans="1:3">
      <c r="A11" s="827" t="s">
        <v>3148</v>
      </c>
      <c r="B11" s="827">
        <v>73.599999999999994</v>
      </c>
      <c r="C11" s="829">
        <f>VLOOKUP($A11,'[4]3.Components scores table'!$B$2:$D$59,3,FALSE)</f>
        <v>58.161726438221336</v>
      </c>
    </row>
    <row r="12" spans="1:3">
      <c r="A12" s="827" t="s">
        <v>3149</v>
      </c>
      <c r="B12" s="827">
        <v>71.400000000000006</v>
      </c>
      <c r="C12" s="829" t="e">
        <f>VLOOKUP($A12,'[4]3.Components scores table'!$B$2:$D$59,3,FALSE)</f>
        <v>#N/A</v>
      </c>
    </row>
    <row r="13" spans="1:3">
      <c r="A13" s="827" t="s">
        <v>3090</v>
      </c>
      <c r="B13" s="827">
        <v>70.5</v>
      </c>
      <c r="C13" s="829">
        <f>VLOOKUP($A13,'[4]3.Components scores table'!$B$2:$D$59,3,FALSE)</f>
        <v>67.748854430370386</v>
      </c>
    </row>
    <row r="14" spans="1:3">
      <c r="A14" s="827" t="s">
        <v>251</v>
      </c>
      <c r="B14" s="827">
        <v>63.8</v>
      </c>
      <c r="C14" s="829">
        <f>VLOOKUP($A14,'[4]3.Components scores table'!$B$2:$D$59,3,FALSE)</f>
        <v>46.872798601284018</v>
      </c>
    </row>
    <row r="15" spans="1:3">
      <c r="A15" s="827" t="s">
        <v>3150</v>
      </c>
      <c r="B15" s="827">
        <v>63</v>
      </c>
      <c r="C15" s="829">
        <f>VLOOKUP($A15,'[4]3.Components scores table'!$B$2:$D$59,3,FALSE)</f>
        <v>55.974231071148758</v>
      </c>
    </row>
    <row r="16" spans="1:3">
      <c r="A16" s="827" t="s">
        <v>3091</v>
      </c>
      <c r="B16" s="827">
        <v>61.9</v>
      </c>
      <c r="C16" s="829">
        <f>VLOOKUP($A16,'[4]3.Components scores table'!$B$2:$D$59,3,FALSE)</f>
        <v>73.801508489070173</v>
      </c>
    </row>
    <row r="17" spans="1:3">
      <c r="A17" s="827" t="s">
        <v>529</v>
      </c>
      <c r="B17" s="827">
        <v>60.5</v>
      </c>
      <c r="C17" s="829">
        <f>VLOOKUP($A17,'[4]3.Components scores table'!$B$2:$D$59,3,FALSE)</f>
        <v>43.154597212929545</v>
      </c>
    </row>
    <row r="18" spans="1:3">
      <c r="A18" s="827" t="s">
        <v>301</v>
      </c>
      <c r="B18" s="827">
        <v>60.5</v>
      </c>
      <c r="C18" s="829">
        <f>VLOOKUP($A18,'[4]3.Components scores table'!$B$2:$D$59,3,FALSE)</f>
        <v>61.600874881317473</v>
      </c>
    </row>
    <row r="19" spans="1:3">
      <c r="A19" s="827" t="s">
        <v>3151</v>
      </c>
      <c r="B19" s="827">
        <v>58</v>
      </c>
      <c r="C19" s="829">
        <f>VLOOKUP($A19,'[4]3.Components scores table'!$B$2:$D$59,3,FALSE)</f>
        <v>55.546062062222191</v>
      </c>
    </row>
    <row r="20" spans="1:3">
      <c r="A20" s="827" t="s">
        <v>3152</v>
      </c>
      <c r="B20" s="827">
        <v>56.3</v>
      </c>
      <c r="C20" s="829">
        <f>VLOOKUP($A20,'[4]3.Components scores table'!$B$2:$D$59,3,FALSE)</f>
        <v>53.428170361039442</v>
      </c>
    </row>
    <row r="21" spans="1:3">
      <c r="A21" s="827" t="s">
        <v>3153</v>
      </c>
      <c r="B21" s="827">
        <v>51.1</v>
      </c>
      <c r="C21" s="829">
        <f>VLOOKUP($A21,'[4]3.Components scores table'!$B$2:$D$59,3,FALSE)</f>
        <v>43.047909604250449</v>
      </c>
    </row>
    <row r="22" spans="1:3">
      <c r="A22" s="827" t="s">
        <v>243</v>
      </c>
      <c r="B22" s="827">
        <v>50</v>
      </c>
      <c r="C22" s="829">
        <f>VLOOKUP($A22,'[4]3.Components scores table'!$B$2:$D$59,3,FALSE)</f>
        <v>65.756132994529537</v>
      </c>
    </row>
    <row r="23" spans="1:3">
      <c r="A23" s="827" t="s">
        <v>3154</v>
      </c>
      <c r="B23" s="827">
        <v>48.4</v>
      </c>
      <c r="C23" s="829">
        <f>VLOOKUP($A23,'[4]3.Components scores table'!$B$2:$D$59,3,FALSE)</f>
        <v>45.817659775943994</v>
      </c>
    </row>
    <row r="24" spans="1:3">
      <c r="A24" s="827" t="s">
        <v>413</v>
      </c>
      <c r="B24" s="827">
        <v>46.5</v>
      </c>
      <c r="C24" s="829">
        <f>VLOOKUP($A24,'[4]3.Components scores table'!$B$2:$D$59,3,FALSE)</f>
        <v>42.488706175328218</v>
      </c>
    </row>
    <row r="25" spans="1:3">
      <c r="A25" s="827" t="s">
        <v>3155</v>
      </c>
      <c r="B25" s="827">
        <v>46.3</v>
      </c>
      <c r="C25" s="829">
        <f>VLOOKUP($A25,'[4]3.Components scores table'!$B$2:$D$59,3,FALSE)</f>
        <v>46.767430696871045</v>
      </c>
    </row>
    <row r="26" spans="1:3">
      <c r="A26" s="827" t="s">
        <v>3156</v>
      </c>
      <c r="B26" s="827">
        <v>42.2</v>
      </c>
      <c r="C26" s="829">
        <f>VLOOKUP($A26,'[4]3.Components scores table'!$B$2:$D$59,3,FALSE)</f>
        <v>43.379103996937005</v>
      </c>
    </row>
    <row r="27" spans="1:3">
      <c r="A27" s="827" t="s">
        <v>191</v>
      </c>
      <c r="B27" s="827">
        <v>41.8</v>
      </c>
      <c r="C27" s="829">
        <f>VLOOKUP($A27,'[4]3.Components scores table'!$B$2:$D$59,3,FALSE)</f>
        <v>45.964036106201753</v>
      </c>
    </row>
    <row r="28" spans="1:3">
      <c r="A28" s="827" t="s">
        <v>101</v>
      </c>
      <c r="B28" s="827">
        <v>41.8</v>
      </c>
      <c r="C28" s="829">
        <f>VLOOKUP($A28,'[4]3.Components scores table'!$B$2:$D$59,3,FALSE)</f>
        <v>34.155297028034767</v>
      </c>
    </row>
    <row r="29" spans="1:3">
      <c r="A29" s="827" t="s">
        <v>541</v>
      </c>
      <c r="B29" s="827">
        <v>41.2</v>
      </c>
      <c r="C29" s="829">
        <f>VLOOKUP($A29,'[4]3.Components scores table'!$B$2:$D$59,3,FALSE)</f>
        <v>60.803011070373614</v>
      </c>
    </row>
    <row r="30" spans="1:3">
      <c r="A30" s="827" t="s">
        <v>488</v>
      </c>
      <c r="B30" s="827">
        <v>38.200000000000003</v>
      </c>
      <c r="C30" s="829">
        <f>VLOOKUP($A30,'[4]3.Components scores table'!$B$2:$D$59,3,FALSE)</f>
        <v>45.714033330666766</v>
      </c>
    </row>
    <row r="31" spans="1:3">
      <c r="A31" s="827" t="s">
        <v>364</v>
      </c>
      <c r="B31" s="827">
        <v>38.200000000000003</v>
      </c>
      <c r="C31" s="829">
        <f>VLOOKUP($A31,'[4]3.Components scores table'!$B$2:$D$59,3,FALSE)</f>
        <v>50.952530108834466</v>
      </c>
    </row>
    <row r="32" spans="1:3">
      <c r="A32" s="827" t="s">
        <v>3157</v>
      </c>
      <c r="B32" s="827">
        <v>37.4</v>
      </c>
      <c r="C32" s="829" t="e">
        <f>VLOOKUP($A32,'[4]3.Components scores table'!$B$2:$D$59,3,FALSE)</f>
        <v>#N/A</v>
      </c>
    </row>
    <row r="33" spans="1:3">
      <c r="A33" s="827" t="s">
        <v>3158</v>
      </c>
      <c r="B33" s="827">
        <v>36.1</v>
      </c>
      <c r="C33" s="829">
        <f>VLOOKUP($A33,'[4]3.Components scores table'!$B$2:$D$59,3,FALSE)</f>
        <v>27.969958975654741</v>
      </c>
    </row>
    <row r="34" spans="1:3">
      <c r="A34" s="827" t="s">
        <v>3159</v>
      </c>
      <c r="B34" s="827">
        <v>34.700000000000003</v>
      </c>
      <c r="C34" s="829">
        <f>VLOOKUP($A34,'[4]3.Components scores table'!$B$2:$D$59,3,FALSE)</f>
        <v>42.048886952000956</v>
      </c>
    </row>
    <row r="35" spans="1:3">
      <c r="A35" s="827" t="s">
        <v>3160</v>
      </c>
      <c r="B35" s="827">
        <v>32.4</v>
      </c>
      <c r="C35" s="829">
        <f>VLOOKUP($A35,'[4]3.Components scores table'!$B$2:$D$59,3,FALSE)</f>
        <v>33.812867933175617</v>
      </c>
    </row>
    <row r="36" spans="1:3">
      <c r="A36" s="827" t="s">
        <v>195</v>
      </c>
      <c r="B36" s="827">
        <v>32.299999999999997</v>
      </c>
      <c r="C36" s="829">
        <f>VLOOKUP($A36,'[4]3.Components scores table'!$B$2:$D$59,3,FALSE)</f>
        <v>62.723264193960979</v>
      </c>
    </row>
    <row r="37" spans="1:3">
      <c r="A37" s="827" t="s">
        <v>3161</v>
      </c>
      <c r="B37" s="827">
        <v>29.8</v>
      </c>
      <c r="C37" s="829">
        <f>VLOOKUP($A37,'[4]3.Components scores table'!$B$2:$D$59,3,FALSE)</f>
        <v>41.085619660713327</v>
      </c>
    </row>
    <row r="38" spans="1:3">
      <c r="A38" s="827" t="s">
        <v>499</v>
      </c>
      <c r="B38" s="827">
        <v>27.8</v>
      </c>
      <c r="C38" s="829">
        <f>VLOOKUP($A38,'[4]3.Components scores table'!$B$2:$D$59,3,FALSE)</f>
        <v>49.764112779291708</v>
      </c>
    </row>
    <row r="39" spans="1:3">
      <c r="A39" s="827" t="s">
        <v>3162</v>
      </c>
      <c r="B39" s="827">
        <v>22.8</v>
      </c>
      <c r="C39" s="829">
        <f>VLOOKUP($A39,'[4]3.Components scores table'!$B$2:$D$59,3,FALSE)</f>
        <v>38.402667237851141</v>
      </c>
    </row>
    <row r="40" spans="1:3">
      <c r="A40" s="827" t="s">
        <v>3163</v>
      </c>
      <c r="B40" s="827">
        <v>22.5</v>
      </c>
      <c r="C40" s="829" t="e">
        <f>VLOOKUP($A40,'[4]3.Components scores table'!$B$2:$D$59,3,FALSE)</f>
        <v>#N/A</v>
      </c>
    </row>
    <row r="41" spans="1:3">
      <c r="A41" s="827" t="s">
        <v>188</v>
      </c>
      <c r="B41" s="827">
        <v>11.6</v>
      </c>
      <c r="C41" s="829">
        <f>VLOOKUP($A41,'[4]3.Components scores table'!$B$2:$D$59,3,FALSE)</f>
        <v>12.515609743116736</v>
      </c>
    </row>
    <row r="42" spans="1:3">
      <c r="A42" s="827" t="s">
        <v>3164</v>
      </c>
      <c r="B42" s="827">
        <v>9.6999999999999993</v>
      </c>
      <c r="C42" s="829">
        <f>VLOOKUP($A42,'[4]3.Components scores table'!$B$2:$D$59,3,FALSE)</f>
        <v>4.7713314322693972</v>
      </c>
    </row>
    <row r="43" spans="1:3">
      <c r="A43" s="827" t="s">
        <v>3165</v>
      </c>
      <c r="B43" s="827">
        <v>51.8</v>
      </c>
      <c r="C43" s="829" t="e">
        <f>VLOOKUP($A43,'[4]3.Components scores table'!$B$2:$D$59,3,FALSE)</f>
        <v>#N/A</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83"/>
  <sheetViews>
    <sheetView workbookViewId="0">
      <selection activeCell="I477" sqref="I477"/>
    </sheetView>
  </sheetViews>
  <sheetFormatPr defaultRowHeight="15"/>
  <cols>
    <col min="1" max="2" width="9.140625" style="827"/>
    <col min="3" max="3" width="33.140625" style="827" bestFit="1" customWidth="1"/>
    <col min="4" max="4" width="16" style="827" customWidth="1"/>
    <col min="5" max="5" width="17.85546875" style="827" customWidth="1"/>
    <col min="6" max="6" width="18.7109375" style="827" customWidth="1"/>
    <col min="7" max="7" width="14.7109375" style="827" customWidth="1"/>
    <col min="8" max="8" width="15" style="827" customWidth="1"/>
    <col min="9" max="9" width="14.42578125" style="827" customWidth="1"/>
    <col min="10" max="16384" width="9.140625" style="827"/>
  </cols>
  <sheetData>
    <row r="1" spans="1:15">
      <c r="D1" s="827" t="s">
        <v>3180</v>
      </c>
      <c r="J1" s="827" t="s">
        <v>3181</v>
      </c>
    </row>
    <row r="2" spans="1:15">
      <c r="A2" s="827" t="s">
        <v>3095</v>
      </c>
      <c r="B2" s="827" t="s">
        <v>559</v>
      </c>
      <c r="C2" s="827" t="s">
        <v>3096</v>
      </c>
      <c r="D2" s="827" t="s">
        <v>3166</v>
      </c>
      <c r="E2" s="827" t="s">
        <v>3167</v>
      </c>
      <c r="F2" s="827" t="s">
        <v>3168</v>
      </c>
      <c r="G2" s="827" t="s">
        <v>3169</v>
      </c>
      <c r="H2" s="827" t="s">
        <v>3170</v>
      </c>
      <c r="I2" s="827" t="s">
        <v>3171</v>
      </c>
      <c r="J2" s="827" t="s">
        <v>3172</v>
      </c>
      <c r="K2" s="827" t="s">
        <v>3173</v>
      </c>
      <c r="L2" s="827" t="s">
        <v>3174</v>
      </c>
      <c r="M2" s="827" t="s">
        <v>3175</v>
      </c>
      <c r="N2" s="827" t="s">
        <v>3176</v>
      </c>
      <c r="O2" s="827" t="s">
        <v>3177</v>
      </c>
    </row>
    <row r="3" spans="1:15">
      <c r="A3" s="827">
        <v>1998</v>
      </c>
      <c r="B3" s="827" t="s">
        <v>21</v>
      </c>
      <c r="C3" s="827" t="s">
        <v>3312</v>
      </c>
      <c r="D3" s="827">
        <v>-1.83626458269795</v>
      </c>
      <c r="E3" s="827">
        <v>-2.2409776891570199</v>
      </c>
      <c r="F3" s="827">
        <v>-2.5659125005505001</v>
      </c>
      <c r="G3" s="827">
        <v>-2.1555059211496101</v>
      </c>
      <c r="H3" s="827">
        <v>-1.7385501899415701</v>
      </c>
      <c r="I3" s="827">
        <v>-2.0391684556527099</v>
      </c>
      <c r="J3" s="827">
        <v>0.48780487804877998</v>
      </c>
      <c r="K3" s="827">
        <v>0</v>
      </c>
      <c r="L3" s="827">
        <v>0.480769230769231</v>
      </c>
      <c r="M3" s="827">
        <v>1.9607843137254899</v>
      </c>
      <c r="N3" s="827">
        <v>1.91387559808612</v>
      </c>
      <c r="O3" s="827">
        <v>0.480769230769231</v>
      </c>
    </row>
    <row r="4" spans="1:15">
      <c r="A4" s="827">
        <v>1998</v>
      </c>
      <c r="B4" s="827" t="s">
        <v>38</v>
      </c>
      <c r="C4" s="827" t="s">
        <v>3313</v>
      </c>
      <c r="D4" s="827">
        <v>-1.0085911186996099</v>
      </c>
      <c r="E4" s="827">
        <v>-0.69108468513029797</v>
      </c>
      <c r="F4" s="827">
        <v>-0.66037106160044501</v>
      </c>
      <c r="G4" s="827">
        <v>-0.18657735663891301</v>
      </c>
      <c r="H4" s="827">
        <v>-1.20273257440127</v>
      </c>
      <c r="I4" s="827">
        <v>-0.454046108553328</v>
      </c>
      <c r="J4" s="827">
        <v>13.6585365853659</v>
      </c>
      <c r="K4" s="827">
        <v>24.878048780487799</v>
      </c>
      <c r="L4" s="827">
        <v>25</v>
      </c>
      <c r="M4" s="827">
        <v>44.117647058823501</v>
      </c>
      <c r="N4" s="827">
        <v>11.004784688995199</v>
      </c>
      <c r="O4" s="827">
        <v>36.057692307692299</v>
      </c>
    </row>
    <row r="5" spans="1:15">
      <c r="A5" s="827">
        <v>1998</v>
      </c>
      <c r="B5" s="827" t="s">
        <v>53</v>
      </c>
      <c r="C5" s="827" t="s">
        <v>3314</v>
      </c>
      <c r="D5" s="827">
        <v>-1.12488073075859</v>
      </c>
      <c r="E5" s="827">
        <v>-0.97350124494072399</v>
      </c>
      <c r="F5" s="827">
        <v>-0.82908684603988603</v>
      </c>
      <c r="G5" s="827">
        <v>-0.94789376831734096</v>
      </c>
      <c r="H5" s="827">
        <v>-1.0893727278091501</v>
      </c>
      <c r="I5" s="827">
        <v>-1.0027777317617901</v>
      </c>
      <c r="J5" s="827">
        <v>8.2926829268292703</v>
      </c>
      <c r="K5" s="827">
        <v>14.634146341463399</v>
      </c>
      <c r="L5" s="827">
        <v>19.711538461538499</v>
      </c>
      <c r="M5" s="827">
        <v>15.6862745098039</v>
      </c>
      <c r="N5" s="827">
        <v>15.789473684210501</v>
      </c>
      <c r="O5" s="827">
        <v>18.75</v>
      </c>
    </row>
    <row r="6" spans="1:15">
      <c r="A6" s="827">
        <v>1998</v>
      </c>
      <c r="B6" s="827" t="s">
        <v>98</v>
      </c>
      <c r="C6" s="827" t="s">
        <v>3315</v>
      </c>
      <c r="D6" s="827">
        <v>-0.24310224431578001</v>
      </c>
      <c r="E6" s="827">
        <v>-0.74952189862783203</v>
      </c>
      <c r="F6" s="827">
        <v>-0.20007287334078</v>
      </c>
      <c r="G6" s="827">
        <v>-0.39487437991184399</v>
      </c>
      <c r="H6" s="827">
        <v>-0.84533657280615504</v>
      </c>
      <c r="I6" s="827">
        <v>-0.57467550044655902</v>
      </c>
      <c r="J6" s="827">
        <v>46.829268292682897</v>
      </c>
      <c r="K6" s="827">
        <v>22.9268292682927</v>
      </c>
      <c r="L6" s="827">
        <v>37.980769230769198</v>
      </c>
      <c r="M6" s="827">
        <v>34.313725490196099</v>
      </c>
      <c r="N6" s="827">
        <v>22.009569377990399</v>
      </c>
      <c r="O6" s="827">
        <v>32.692307692307701</v>
      </c>
    </row>
    <row r="7" spans="1:15">
      <c r="A7" s="827">
        <v>1998</v>
      </c>
      <c r="B7" s="827" t="s">
        <v>127</v>
      </c>
      <c r="C7" s="827" t="s">
        <v>3316</v>
      </c>
      <c r="D7" s="827">
        <v>-0.99721560637751205</v>
      </c>
      <c r="E7" s="827">
        <v>-1.3113848019950201</v>
      </c>
      <c r="F7" s="827">
        <v>-1.2907560260183999</v>
      </c>
      <c r="G7" s="827">
        <v>-0.88344717665720895</v>
      </c>
      <c r="H7" s="827">
        <v>-1.4612802039655599</v>
      </c>
      <c r="I7" s="827">
        <v>-0.75480438857264898</v>
      </c>
      <c r="J7" s="827">
        <v>14.146341463414601</v>
      </c>
      <c r="K7" s="827">
        <v>6.8292682926829302</v>
      </c>
      <c r="L7" s="827">
        <v>11.538461538461499</v>
      </c>
      <c r="M7" s="827">
        <v>18.627450980392201</v>
      </c>
      <c r="N7" s="827">
        <v>6.2200956937798999</v>
      </c>
      <c r="O7" s="827">
        <v>26.923076923076898</v>
      </c>
    </row>
    <row r="8" spans="1:15">
      <c r="A8" s="827">
        <v>1998</v>
      </c>
      <c r="B8" s="827" t="s">
        <v>138</v>
      </c>
      <c r="C8" s="827" t="s">
        <v>3317</v>
      </c>
      <c r="D8" s="827">
        <v>-0.94171813772143298</v>
      </c>
      <c r="E8" s="827">
        <v>-0.63171383066669395</v>
      </c>
      <c r="F8" s="827">
        <v>-1.4097893196367399</v>
      </c>
      <c r="G8" s="827">
        <v>-0.93492546108865504</v>
      </c>
      <c r="H8" s="827">
        <v>-1.1379373274552</v>
      </c>
      <c r="I8" s="827">
        <v>-1.0508114630965899</v>
      </c>
      <c r="J8" s="827">
        <v>16.585365853658502</v>
      </c>
      <c r="K8" s="827">
        <v>27.804878048780498</v>
      </c>
      <c r="L8" s="827">
        <v>10.096153846153801</v>
      </c>
      <c r="M8" s="827">
        <v>16.6666666666667</v>
      </c>
      <c r="N8" s="827">
        <v>12.4401913875598</v>
      </c>
      <c r="O8" s="827">
        <v>16.826923076923102</v>
      </c>
    </row>
    <row r="9" spans="1:15">
      <c r="A9" s="827">
        <v>1998</v>
      </c>
      <c r="B9" s="827" t="s">
        <v>171</v>
      </c>
      <c r="C9" s="827" t="s">
        <v>3318</v>
      </c>
      <c r="D9" s="827">
        <v>-1.89954665946238</v>
      </c>
      <c r="E9" s="827">
        <v>-1.9740552049912501</v>
      </c>
      <c r="F9" s="827">
        <v>-2.99474939621278</v>
      </c>
      <c r="G9" s="827">
        <v>-2.4127314722161</v>
      </c>
      <c r="H9" s="827">
        <v>-2.2053594511269599</v>
      </c>
      <c r="I9" s="827">
        <v>-1.87997098303498</v>
      </c>
      <c r="J9" s="827">
        <v>0</v>
      </c>
      <c r="K9" s="827">
        <v>1.9512195121951199</v>
      </c>
      <c r="L9" s="827">
        <v>0</v>
      </c>
      <c r="M9" s="827">
        <v>0.49019607843137297</v>
      </c>
      <c r="N9" s="827">
        <v>0.47846889952153099</v>
      </c>
      <c r="O9" s="827">
        <v>2.4038461538461502</v>
      </c>
    </row>
    <row r="10" spans="1:15">
      <c r="A10" s="827">
        <v>1998</v>
      </c>
      <c r="B10" s="827" t="s">
        <v>465</v>
      </c>
      <c r="C10" s="827" t="s">
        <v>3319</v>
      </c>
      <c r="D10" s="827">
        <v>-1.1335867704199001</v>
      </c>
      <c r="E10" s="827">
        <v>-1.1891190198561901</v>
      </c>
      <c r="F10" s="827">
        <v>-1.60277494758017</v>
      </c>
      <c r="G10" s="827">
        <v>-1.2199623113435201</v>
      </c>
      <c r="H10" s="827">
        <v>-1.7076239562561</v>
      </c>
      <c r="I10" s="827">
        <v>-1.59006890448038</v>
      </c>
      <c r="J10" s="827">
        <v>7.8048780487804903</v>
      </c>
      <c r="K10" s="827">
        <v>9.7560975609756095</v>
      </c>
      <c r="L10" s="827">
        <v>8.1730769230769198</v>
      </c>
      <c r="M10" s="827">
        <v>11.2745098039216</v>
      </c>
      <c r="N10" s="827">
        <v>2.39234449760766</v>
      </c>
      <c r="O10" s="827">
        <v>5.2884615384615401</v>
      </c>
    </row>
    <row r="11" spans="1:15">
      <c r="A11" s="827">
        <v>1998</v>
      </c>
      <c r="B11" s="827" t="s">
        <v>101</v>
      </c>
      <c r="C11" s="827" t="s">
        <v>3320</v>
      </c>
      <c r="D11" s="827">
        <v>-1.04015669920049</v>
      </c>
      <c r="E11" s="827">
        <v>-0.73753558748806403</v>
      </c>
      <c r="F11" s="827">
        <v>-0.82481689479801201</v>
      </c>
      <c r="G11" s="827">
        <v>-0.63709273437293001</v>
      </c>
      <c r="H11" s="827">
        <v>-1.11522910539371</v>
      </c>
      <c r="I11" s="827">
        <v>-1.13727769280743</v>
      </c>
      <c r="J11" s="827">
        <v>11.219512195122</v>
      </c>
      <c r="K11" s="827">
        <v>23.414634146341498</v>
      </c>
      <c r="L11" s="827">
        <v>20.673076923076898</v>
      </c>
      <c r="M11" s="827">
        <v>24.509803921568601</v>
      </c>
      <c r="N11" s="827">
        <v>14.3540669856459</v>
      </c>
      <c r="O11" s="827">
        <v>13.942307692307701</v>
      </c>
    </row>
    <row r="12" spans="1:15">
      <c r="A12" s="827">
        <v>1998</v>
      </c>
      <c r="B12" s="827" t="s">
        <v>188</v>
      </c>
      <c r="C12" s="827" t="s">
        <v>3321</v>
      </c>
      <c r="D12" s="827">
        <v>-1.2112066723444399</v>
      </c>
      <c r="E12" s="827">
        <v>-1.4558299587116501</v>
      </c>
      <c r="F12" s="827">
        <v>-0.216439073608021</v>
      </c>
      <c r="G12" s="827">
        <v>-1.6624661153328499</v>
      </c>
      <c r="H12" s="827">
        <v>-1.44304548029621</v>
      </c>
      <c r="I12" s="827">
        <v>-1.5734042002464701</v>
      </c>
      <c r="J12" s="827">
        <v>4.8780487804878003</v>
      </c>
      <c r="K12" s="827">
        <v>4.8780487804878003</v>
      </c>
      <c r="L12" s="827">
        <v>37.019230769230802</v>
      </c>
      <c r="M12" s="827">
        <v>6.37254901960784</v>
      </c>
      <c r="N12" s="827">
        <v>7.1770334928229698</v>
      </c>
      <c r="O12" s="827">
        <v>6.7307692307692299</v>
      </c>
    </row>
    <row r="13" spans="1:15">
      <c r="A13" s="827">
        <v>1998</v>
      </c>
      <c r="B13" s="827" t="s">
        <v>191</v>
      </c>
      <c r="C13" s="827" t="s">
        <v>3322</v>
      </c>
      <c r="D13" s="827">
        <v>-0.87494912533444402</v>
      </c>
      <c r="E13" s="827">
        <v>-0.59351133282971302</v>
      </c>
      <c r="F13" s="827">
        <v>0.17616188509438799</v>
      </c>
      <c r="G13" s="827">
        <v>0.14129696611266601</v>
      </c>
      <c r="H13" s="827">
        <v>-0.34033475887222497</v>
      </c>
      <c r="I13" s="827">
        <v>-0.40772394393946398</v>
      </c>
      <c r="J13" s="827">
        <v>20.975609756097601</v>
      </c>
      <c r="K13" s="827">
        <v>29.756097560975601</v>
      </c>
      <c r="L13" s="827">
        <v>50.961538461538503</v>
      </c>
      <c r="M13" s="827">
        <v>55.392156862745097</v>
      </c>
      <c r="N13" s="827">
        <v>40.191387559808597</v>
      </c>
      <c r="O13" s="827">
        <v>36.538461538461497</v>
      </c>
    </row>
    <row r="14" spans="1:15">
      <c r="A14" s="827">
        <v>1998</v>
      </c>
      <c r="B14" s="827" t="s">
        <v>195</v>
      </c>
      <c r="C14" s="827" t="s">
        <v>3323</v>
      </c>
      <c r="D14" s="827">
        <v>-0.17188166173633701</v>
      </c>
      <c r="E14" s="827">
        <v>-0.140903884376199</v>
      </c>
      <c r="F14" s="827">
        <v>-0.23907289564911699</v>
      </c>
      <c r="G14" s="827">
        <v>-0.24588396252661199</v>
      </c>
      <c r="H14" s="827">
        <v>-0.43592835333847602</v>
      </c>
      <c r="I14" s="827">
        <v>-0.36435777850818701</v>
      </c>
      <c r="J14" s="827">
        <v>53.658536585365901</v>
      </c>
      <c r="K14" s="827">
        <v>50.243902439024403</v>
      </c>
      <c r="L14" s="827">
        <v>35.576923076923102</v>
      </c>
      <c r="M14" s="827">
        <v>38.235294117647101</v>
      </c>
      <c r="N14" s="827">
        <v>35.885167464114801</v>
      </c>
      <c r="O14" s="827">
        <v>37.980769230769198</v>
      </c>
    </row>
    <row r="15" spans="1:15">
      <c r="A15" s="827">
        <v>1998</v>
      </c>
      <c r="B15" s="827" t="s">
        <v>219</v>
      </c>
      <c r="C15" s="827" t="s">
        <v>3324</v>
      </c>
      <c r="D15" s="827">
        <v>-0.84580918164575902</v>
      </c>
      <c r="E15" s="827">
        <v>-0.41902651986267803</v>
      </c>
      <c r="F15" s="827">
        <v>-0.77184720589190703</v>
      </c>
      <c r="G15" s="827">
        <v>9.4026722228050794E-2</v>
      </c>
      <c r="H15" s="827">
        <v>-1.1328249319035599</v>
      </c>
      <c r="I15" s="827">
        <v>-0.280621120377674</v>
      </c>
      <c r="J15" s="827">
        <v>23.902439024390201</v>
      </c>
      <c r="K15" s="827">
        <v>40</v>
      </c>
      <c r="L15" s="827">
        <v>21.634615384615401</v>
      </c>
      <c r="M15" s="827">
        <v>54.411764705882398</v>
      </c>
      <c r="N15" s="827">
        <v>13.3971291866029</v>
      </c>
      <c r="O15" s="827">
        <v>41.826923076923102</v>
      </c>
    </row>
    <row r="16" spans="1:15">
      <c r="A16" s="827">
        <v>1998</v>
      </c>
      <c r="B16" s="827" t="s">
        <v>3089</v>
      </c>
      <c r="C16" s="827" t="s">
        <v>3325</v>
      </c>
      <c r="D16" s="827">
        <v>-0.72658887858018095</v>
      </c>
      <c r="E16" s="827">
        <v>-0.79896034270018601</v>
      </c>
      <c r="F16" s="827">
        <v>-0.69267319415914697</v>
      </c>
      <c r="G16" s="827">
        <v>-0.51057387535774101</v>
      </c>
      <c r="H16" s="827">
        <v>-1.2710461560803401</v>
      </c>
      <c r="I16" s="827">
        <v>-1.1905332558592301</v>
      </c>
      <c r="J16" s="827">
        <v>27.804878048780498</v>
      </c>
      <c r="K16" s="827">
        <v>21.4634146341463</v>
      </c>
      <c r="L16" s="827">
        <v>24.038461538461501</v>
      </c>
      <c r="M16" s="827">
        <v>27.4509803921569</v>
      </c>
      <c r="N16" s="827">
        <v>10.047846889952201</v>
      </c>
      <c r="O16" s="827">
        <v>12.9807692307692</v>
      </c>
    </row>
    <row r="17" spans="1:15">
      <c r="A17" s="827">
        <v>1998</v>
      </c>
      <c r="B17" s="827" t="s">
        <v>243</v>
      </c>
      <c r="C17" s="827" t="s">
        <v>3326</v>
      </c>
      <c r="D17" s="827">
        <v>-1.08210973422603</v>
      </c>
      <c r="E17" s="827">
        <v>-0.59605586530933496</v>
      </c>
      <c r="F17" s="827">
        <v>-1.76889320506128</v>
      </c>
      <c r="G17" s="827">
        <v>-0.26418626885555602</v>
      </c>
      <c r="H17" s="827">
        <v>-0.71932972792391403</v>
      </c>
      <c r="I17" s="827">
        <v>-1.03643658994594</v>
      </c>
      <c r="J17" s="827">
        <v>9.7560975609756095</v>
      </c>
      <c r="K17" s="827">
        <v>29.268292682926798</v>
      </c>
      <c r="L17" s="827">
        <v>6.25</v>
      </c>
      <c r="M17" s="827">
        <v>36.764705882352899</v>
      </c>
      <c r="N17" s="827">
        <v>27.272727272727298</v>
      </c>
      <c r="O17" s="827">
        <v>17.307692307692299</v>
      </c>
    </row>
    <row r="18" spans="1:15">
      <c r="A18" s="827">
        <v>1998</v>
      </c>
      <c r="B18" s="827" t="s">
        <v>251</v>
      </c>
      <c r="C18" s="827" t="s">
        <v>3327</v>
      </c>
      <c r="D18" s="827">
        <v>-1.25093464981113</v>
      </c>
      <c r="E18" s="827">
        <v>-1.8653502589362401</v>
      </c>
      <c r="F18" s="827">
        <v>-1.5971403926780401</v>
      </c>
      <c r="G18" s="827">
        <v>-2.1659472111400802</v>
      </c>
      <c r="H18" s="827">
        <v>-1.4850984726626999</v>
      </c>
      <c r="I18" s="827">
        <v>-1.92334732523935</v>
      </c>
      <c r="J18" s="827">
        <v>3.9024390243902398</v>
      </c>
      <c r="K18" s="827">
        <v>2.4390243902439002</v>
      </c>
      <c r="L18" s="827">
        <v>8.6538461538461497</v>
      </c>
      <c r="M18" s="827">
        <v>1.47058823529412</v>
      </c>
      <c r="N18" s="827">
        <v>5.2631578947368398</v>
      </c>
      <c r="O18" s="827">
        <v>1.92307692307692</v>
      </c>
    </row>
    <row r="19" spans="1:15">
      <c r="A19" s="827">
        <v>1998</v>
      </c>
      <c r="B19" s="827" t="s">
        <v>280</v>
      </c>
      <c r="C19" s="827" t="s">
        <v>3328</v>
      </c>
      <c r="D19" s="827">
        <v>-0.94030337178063295</v>
      </c>
      <c r="E19" s="827">
        <v>-0.82093148877045696</v>
      </c>
      <c r="F19" s="827">
        <v>5.4811422978081697E-2</v>
      </c>
      <c r="G19" s="827">
        <v>-0.36845518196400101</v>
      </c>
      <c r="H19" s="827">
        <v>-1.07108806028324</v>
      </c>
      <c r="I19" s="827">
        <v>-0.73627326202433596</v>
      </c>
      <c r="J19" s="827">
        <v>17.0731707317073</v>
      </c>
      <c r="K19" s="827">
        <v>20</v>
      </c>
      <c r="L19" s="827">
        <v>47.596153846153797</v>
      </c>
      <c r="M19" s="827">
        <v>34.803921568627501</v>
      </c>
      <c r="N19" s="827">
        <v>16.267942583732101</v>
      </c>
      <c r="O19" s="827">
        <v>27.884615384615401</v>
      </c>
    </row>
    <row r="20" spans="1:15">
      <c r="A20" s="827">
        <v>1998</v>
      </c>
      <c r="B20" s="827" t="s">
        <v>285</v>
      </c>
      <c r="C20" s="827" t="s">
        <v>3329</v>
      </c>
      <c r="D20" s="827">
        <v>-0.48243129885116798</v>
      </c>
      <c r="E20" s="827">
        <v>-0.12618866508100501</v>
      </c>
      <c r="F20" s="827">
        <v>-0.29756171851900598</v>
      </c>
      <c r="G20" s="827">
        <v>-7.0411827887536402E-2</v>
      </c>
      <c r="H20" s="827">
        <v>-0.74083703663149203</v>
      </c>
      <c r="I20" s="827">
        <v>-0.81506406833018996</v>
      </c>
      <c r="J20" s="827">
        <v>38.536585365853703</v>
      </c>
      <c r="K20" s="827">
        <v>51.219512195122</v>
      </c>
      <c r="L20" s="827">
        <v>32.211538461538503</v>
      </c>
      <c r="M20" s="827">
        <v>50.980392156862699</v>
      </c>
      <c r="N20" s="827">
        <v>26.315789473684202</v>
      </c>
      <c r="O20" s="827">
        <v>25</v>
      </c>
    </row>
    <row r="21" spans="1:15">
      <c r="A21" s="827">
        <v>1998</v>
      </c>
      <c r="B21" s="827" t="s">
        <v>301</v>
      </c>
      <c r="C21" s="827" t="s">
        <v>3330</v>
      </c>
      <c r="D21" s="827">
        <v>-1.7297338788499399</v>
      </c>
      <c r="E21" s="827">
        <v>-1.9820048439700599</v>
      </c>
      <c r="F21" s="827">
        <v>-1.84302677942851</v>
      </c>
      <c r="G21" s="827">
        <v>-2.11230980332672</v>
      </c>
      <c r="H21" s="827">
        <v>-2.1114092226404599</v>
      </c>
      <c r="I21" s="827">
        <v>-1.02244890816541</v>
      </c>
      <c r="J21" s="827">
        <v>1.9512195121951199</v>
      </c>
      <c r="K21" s="827">
        <v>1.4634146341463401</v>
      </c>
      <c r="L21" s="827">
        <v>5.7692307692307701</v>
      </c>
      <c r="M21" s="827">
        <v>2.9411764705882399</v>
      </c>
      <c r="N21" s="827">
        <v>0.95693779904306198</v>
      </c>
      <c r="O21" s="827">
        <v>18.269230769230798</v>
      </c>
    </row>
    <row r="22" spans="1:15">
      <c r="A22" s="827">
        <v>1998</v>
      </c>
      <c r="B22" s="827" t="s">
        <v>316</v>
      </c>
      <c r="C22" s="827" t="s">
        <v>3331</v>
      </c>
      <c r="D22" s="827">
        <v>-0.547615218593963</v>
      </c>
      <c r="E22" s="827">
        <v>-0.82508523480836804</v>
      </c>
      <c r="F22" s="827">
        <v>8.8071229742269996E-2</v>
      </c>
      <c r="G22" s="827">
        <v>-0.822091267749268</v>
      </c>
      <c r="H22" s="827">
        <v>-0.57760100440449702</v>
      </c>
      <c r="I22" s="827">
        <v>0.110093331308092</v>
      </c>
      <c r="J22" s="827">
        <v>35.609756097560997</v>
      </c>
      <c r="K22" s="827">
        <v>19.512195121951201</v>
      </c>
      <c r="L22" s="827">
        <v>48.557692307692299</v>
      </c>
      <c r="M22" s="827">
        <v>20.588235294117599</v>
      </c>
      <c r="N22" s="827">
        <v>32.535885167464102</v>
      </c>
      <c r="O22" s="827">
        <v>52.403846153846203</v>
      </c>
    </row>
    <row r="23" spans="1:15">
      <c r="A23" s="827">
        <v>1998</v>
      </c>
      <c r="B23" s="827" t="s">
        <v>329</v>
      </c>
      <c r="C23" s="827" t="s">
        <v>3332</v>
      </c>
      <c r="D23" s="827">
        <v>-0.63374994553307196</v>
      </c>
      <c r="E23" s="827">
        <v>-1.05496963357262</v>
      </c>
      <c r="F23" s="827">
        <v>0.33389852884816801</v>
      </c>
      <c r="G23" s="827">
        <v>-0.234830508773583</v>
      </c>
      <c r="H23" s="827">
        <v>-0.52354080351819299</v>
      </c>
      <c r="I23" s="827">
        <v>-0.174839718357159</v>
      </c>
      <c r="J23" s="827">
        <v>32.195121951219498</v>
      </c>
      <c r="K23" s="827">
        <v>13.6585365853659</v>
      </c>
      <c r="L23" s="827">
        <v>58.173076923076898</v>
      </c>
      <c r="M23" s="827">
        <v>39.705882352941202</v>
      </c>
      <c r="N23" s="827">
        <v>33.492822966507198</v>
      </c>
      <c r="O23" s="827">
        <v>44.711538461538503</v>
      </c>
    </row>
    <row r="24" spans="1:15">
      <c r="A24" s="827">
        <v>1998</v>
      </c>
      <c r="B24" s="827" t="s">
        <v>345</v>
      </c>
      <c r="C24" s="827" t="s">
        <v>3333</v>
      </c>
      <c r="D24" s="827">
        <v>-0.20214624759382399</v>
      </c>
      <c r="E24" s="827">
        <v>-9.9507325156493007E-2</v>
      </c>
      <c r="F24" s="827">
        <v>0.250741548533291</v>
      </c>
      <c r="G24" s="827">
        <v>-0.58798320037547303</v>
      </c>
      <c r="H24" s="827">
        <v>-0.40097059799732299</v>
      </c>
      <c r="I24" s="827">
        <v>-0.72851830332682599</v>
      </c>
      <c r="J24" s="827">
        <v>50.243902439024403</v>
      </c>
      <c r="K24" s="827">
        <v>53.658536585365901</v>
      </c>
      <c r="L24" s="827">
        <v>54.807692307692299</v>
      </c>
      <c r="M24" s="827">
        <v>25.490196078431399</v>
      </c>
      <c r="N24" s="827">
        <v>36.842105263157897</v>
      </c>
      <c r="O24" s="827">
        <v>28.846153846153801</v>
      </c>
    </row>
    <row r="25" spans="1:15">
      <c r="A25" s="827">
        <v>1998</v>
      </c>
      <c r="B25" s="827" t="s">
        <v>385</v>
      </c>
      <c r="C25" s="827" t="s">
        <v>3334</v>
      </c>
      <c r="D25" s="827">
        <v>-0.35217252964287998</v>
      </c>
      <c r="E25" s="827">
        <v>-0.39469613945864102</v>
      </c>
      <c r="F25" s="827">
        <v>3.75969725175807E-2</v>
      </c>
      <c r="G25" s="827">
        <v>-0.291748940836903</v>
      </c>
      <c r="H25" s="827">
        <v>-0.83735008550303303</v>
      </c>
      <c r="I25" s="827">
        <v>-0.19794475410729301</v>
      </c>
      <c r="J25" s="827">
        <v>41.951219512195102</v>
      </c>
      <c r="K25" s="827">
        <v>40.975609756097597</v>
      </c>
      <c r="L25" s="827">
        <v>47.115384615384599</v>
      </c>
      <c r="M25" s="827">
        <v>36.274509803921603</v>
      </c>
      <c r="N25" s="827">
        <v>22.488038277512</v>
      </c>
      <c r="O25" s="827">
        <v>43.75</v>
      </c>
    </row>
    <row r="26" spans="1:15">
      <c r="A26" s="827">
        <v>1998</v>
      </c>
      <c r="B26" s="827" t="s">
        <v>394</v>
      </c>
      <c r="C26" s="827" t="s">
        <v>3335</v>
      </c>
      <c r="D26" s="827">
        <v>-1.0340436306498799</v>
      </c>
      <c r="E26" s="827">
        <v>-1.0814708568448499</v>
      </c>
      <c r="F26" s="827">
        <v>-0.41520008086475302</v>
      </c>
      <c r="G26" s="827">
        <v>-0.69206776808354697</v>
      </c>
      <c r="H26" s="827">
        <v>-0.73851150402157295</v>
      </c>
      <c r="I26" s="827">
        <v>-1.6055973184568</v>
      </c>
      <c r="J26" s="827">
        <v>11.707317073170699</v>
      </c>
      <c r="K26" s="827">
        <v>12.6829268292683</v>
      </c>
      <c r="L26" s="827">
        <v>30.769230769230798</v>
      </c>
      <c r="M26" s="827">
        <v>23.039215686274499</v>
      </c>
      <c r="N26" s="827">
        <v>26.7942583732057</v>
      </c>
      <c r="O26" s="827">
        <v>4.3269230769230802</v>
      </c>
    </row>
    <row r="27" spans="1:15">
      <c r="A27" s="827">
        <v>1998</v>
      </c>
      <c r="B27" s="827" t="s">
        <v>413</v>
      </c>
      <c r="C27" s="827" t="s">
        <v>3336</v>
      </c>
      <c r="D27" s="827">
        <v>-1.0679211234722299</v>
      </c>
      <c r="E27" s="827">
        <v>-1.1218692698788499</v>
      </c>
      <c r="F27" s="827">
        <v>-0.68856693341790898</v>
      </c>
      <c r="G27" s="827">
        <v>-0.92530463520378203</v>
      </c>
      <c r="H27" s="827">
        <v>-1.2715588235038899</v>
      </c>
      <c r="I27" s="827">
        <v>-1.2159671043031799</v>
      </c>
      <c r="J27" s="827">
        <v>10.243902439024399</v>
      </c>
      <c r="K27" s="827">
        <v>10.243902439024399</v>
      </c>
      <c r="L27" s="827">
        <v>24.519230769230798</v>
      </c>
      <c r="M27" s="827">
        <v>17.156862745098</v>
      </c>
      <c r="N27" s="827">
        <v>9.5693779904306204</v>
      </c>
      <c r="O27" s="827">
        <v>12.5</v>
      </c>
    </row>
    <row r="28" spans="1:15">
      <c r="A28" s="827">
        <v>1998</v>
      </c>
      <c r="B28" s="827" t="s">
        <v>449</v>
      </c>
      <c r="C28" s="827" t="s">
        <v>3337</v>
      </c>
      <c r="D28" s="827">
        <v>-0.227311544125573</v>
      </c>
      <c r="E28" s="827">
        <v>0.18411650989987</v>
      </c>
      <c r="F28" s="827">
        <v>-0.595905191633747</v>
      </c>
      <c r="G28" s="827">
        <v>0.66539015495916598</v>
      </c>
      <c r="H28" s="827">
        <v>-0.67278337405454802</v>
      </c>
      <c r="I28" s="827">
        <v>-0.57468774822283397</v>
      </c>
      <c r="J28" s="827">
        <v>49.756097560975597</v>
      </c>
      <c r="K28" s="827">
        <v>60.975609756097597</v>
      </c>
      <c r="L28" s="827">
        <v>25.961538461538499</v>
      </c>
      <c r="M28" s="827">
        <v>72.549019607843107</v>
      </c>
      <c r="N28" s="827">
        <v>29.186602870813399</v>
      </c>
      <c r="O28" s="827">
        <v>32.211538461538503</v>
      </c>
    </row>
    <row r="29" spans="1:15">
      <c r="A29" s="827">
        <v>1998</v>
      </c>
      <c r="B29" s="827" t="s">
        <v>488</v>
      </c>
      <c r="C29" s="827" t="s">
        <v>3338</v>
      </c>
      <c r="D29" s="827">
        <v>-0.87093505676035199</v>
      </c>
      <c r="E29" s="827">
        <v>-1.4567850862474101</v>
      </c>
      <c r="F29" s="827">
        <v>-2.2778754114788899</v>
      </c>
      <c r="G29" s="827">
        <v>-1.2873307466567501</v>
      </c>
      <c r="H29" s="827">
        <v>-1.19264188541063</v>
      </c>
      <c r="I29" s="827">
        <v>-1.3752445699597</v>
      </c>
      <c r="J29" s="827">
        <v>21.4634146341463</v>
      </c>
      <c r="K29" s="827">
        <v>4.3902439024390203</v>
      </c>
      <c r="L29" s="827">
        <v>2.8846153846153801</v>
      </c>
      <c r="M29" s="827">
        <v>10.294117647058799</v>
      </c>
      <c r="N29" s="827">
        <v>11.4832535885167</v>
      </c>
      <c r="O29" s="827">
        <v>9.6153846153846203</v>
      </c>
    </row>
    <row r="30" spans="1:15">
      <c r="A30" s="827">
        <v>1998</v>
      </c>
      <c r="B30" s="827" t="s">
        <v>499</v>
      </c>
      <c r="C30" s="827" t="s">
        <v>3339</v>
      </c>
      <c r="D30" s="827">
        <v>-0.96970349368275899</v>
      </c>
      <c r="E30" s="827">
        <v>-0.419241452420413</v>
      </c>
      <c r="F30" s="827">
        <v>-0.47758822052404498</v>
      </c>
      <c r="G30" s="827">
        <v>-0.40965747277411602</v>
      </c>
      <c r="H30" s="827">
        <v>-0.28975553234109103</v>
      </c>
      <c r="I30" s="827">
        <v>-0.60323970475692001</v>
      </c>
      <c r="J30" s="827">
        <v>15.1219512195122</v>
      </c>
      <c r="K30" s="827">
        <v>39.512195121951201</v>
      </c>
      <c r="L30" s="827">
        <v>28.846153846153801</v>
      </c>
      <c r="M30" s="827">
        <v>33.3333333333333</v>
      </c>
      <c r="N30" s="827">
        <v>43.062200956937801</v>
      </c>
      <c r="O30" s="827">
        <v>31.25</v>
      </c>
    </row>
    <row r="31" spans="1:15">
      <c r="A31" s="827">
        <v>1998</v>
      </c>
      <c r="B31" s="827" t="s">
        <v>517</v>
      </c>
      <c r="C31" s="827" t="s">
        <v>3340</v>
      </c>
      <c r="D31" s="827">
        <v>-0.63374994553307196</v>
      </c>
      <c r="E31" s="827">
        <v>-0.97715350013603797</v>
      </c>
      <c r="F31" s="827">
        <v>-0.71727564814670597</v>
      </c>
      <c r="G31" s="827">
        <v>-0.49297920047017402</v>
      </c>
      <c r="H31" s="827">
        <v>-0.75501715683498405</v>
      </c>
      <c r="I31" s="827">
        <v>-1.24010057574156</v>
      </c>
      <c r="J31" s="827">
        <v>32.195121951219498</v>
      </c>
      <c r="K31" s="827">
        <v>14.146341463414601</v>
      </c>
      <c r="L31" s="827">
        <v>23.557692307692299</v>
      </c>
      <c r="M31" s="827">
        <v>28.431372549019599</v>
      </c>
      <c r="N31" s="827">
        <v>25.358851674641102</v>
      </c>
      <c r="O31" s="827">
        <v>12.0192307692308</v>
      </c>
    </row>
    <row r="32" spans="1:15">
      <c r="A32" s="827">
        <v>1998</v>
      </c>
      <c r="B32" s="827" t="s">
        <v>3090</v>
      </c>
      <c r="C32" s="827" t="s">
        <v>3341</v>
      </c>
      <c r="D32" s="827" t="s">
        <v>3088</v>
      </c>
      <c r="E32" s="827" t="s">
        <v>3088</v>
      </c>
      <c r="F32" s="827" t="s">
        <v>3088</v>
      </c>
      <c r="G32" s="827" t="s">
        <v>3088</v>
      </c>
      <c r="H32" s="827" t="s">
        <v>3088</v>
      </c>
      <c r="I32" s="827" t="s">
        <v>3088</v>
      </c>
      <c r="J32" s="827" t="s">
        <v>3088</v>
      </c>
      <c r="K32" s="827" t="s">
        <v>3088</v>
      </c>
      <c r="L32" s="827" t="s">
        <v>3088</v>
      </c>
      <c r="M32" s="827" t="s">
        <v>3088</v>
      </c>
      <c r="N32" s="827" t="s">
        <v>3088</v>
      </c>
      <c r="O32" s="827" t="s">
        <v>3088</v>
      </c>
    </row>
    <row r="33" spans="1:15">
      <c r="A33" s="827">
        <v>1998</v>
      </c>
      <c r="B33" s="827" t="s">
        <v>3091</v>
      </c>
      <c r="C33" s="827" t="s">
        <v>3342</v>
      </c>
      <c r="D33" s="827">
        <v>0.481757370022109</v>
      </c>
      <c r="E33" s="827">
        <v>0.335830947613179</v>
      </c>
      <c r="F33" s="827">
        <v>0.32673693279303201</v>
      </c>
      <c r="G33" s="827">
        <v>0.66086870049568303</v>
      </c>
      <c r="H33" s="827">
        <v>0.45305920390496701</v>
      </c>
      <c r="I33" s="827">
        <v>0.82773884508159701</v>
      </c>
      <c r="J33" s="827">
        <v>68.780487804878007</v>
      </c>
      <c r="K33" s="827">
        <v>65.365853658536594</v>
      </c>
      <c r="L33" s="827">
        <v>57.211538461538503</v>
      </c>
      <c r="M33" s="827">
        <v>72.058823529411796</v>
      </c>
      <c r="N33" s="827">
        <v>65.071770334928203</v>
      </c>
      <c r="O33" s="827">
        <v>72.115384615384599</v>
      </c>
    </row>
    <row r="34" spans="1:15">
      <c r="A34" s="827">
        <v>1998</v>
      </c>
      <c r="B34" s="827" t="s">
        <v>3092</v>
      </c>
      <c r="C34" s="827" t="s">
        <v>3343</v>
      </c>
      <c r="D34" s="827">
        <v>-0.88528396977628998</v>
      </c>
      <c r="E34" s="827">
        <v>-0.75387502925045402</v>
      </c>
      <c r="F34" s="827">
        <v>-1.26527736827003</v>
      </c>
      <c r="G34" s="827">
        <v>-0.47781772077342999</v>
      </c>
      <c r="H34" s="827">
        <v>-1.3303208963234601</v>
      </c>
      <c r="I34" s="827">
        <v>-0.77114239589690203</v>
      </c>
      <c r="J34" s="827">
        <v>20</v>
      </c>
      <c r="K34" s="827">
        <v>22.439024390243901</v>
      </c>
      <c r="L34" s="827">
        <v>12.0192307692308</v>
      </c>
      <c r="M34" s="827">
        <v>29.411764705882401</v>
      </c>
      <c r="N34" s="827">
        <v>8.6124401913875595</v>
      </c>
      <c r="O34" s="827">
        <v>25.961538461538499</v>
      </c>
    </row>
    <row r="35" spans="1:15">
      <c r="A35" s="827">
        <v>1998</v>
      </c>
      <c r="B35" s="827" t="s">
        <v>541</v>
      </c>
      <c r="C35" s="827" t="s">
        <v>3344</v>
      </c>
      <c r="D35" s="827">
        <v>-0.88067165316626494</v>
      </c>
      <c r="E35" s="827">
        <v>-0.85642435176029996</v>
      </c>
      <c r="F35" s="827">
        <v>9.2711413625754496E-2</v>
      </c>
      <c r="G35" s="827">
        <v>-0.117209203257842</v>
      </c>
      <c r="H35" s="827">
        <v>-0.52712951348036297</v>
      </c>
      <c r="I35" s="827">
        <v>-0.59887387431091699</v>
      </c>
      <c r="J35" s="827">
        <v>20.487804878048799</v>
      </c>
      <c r="K35" s="827">
        <v>17.560975609756099</v>
      </c>
      <c r="L35" s="827">
        <v>49.519230769230802</v>
      </c>
      <c r="M35" s="827">
        <v>47.5490196078431</v>
      </c>
      <c r="N35" s="827">
        <v>33.014354066985597</v>
      </c>
      <c r="O35" s="827">
        <v>31.730769230769202</v>
      </c>
    </row>
    <row r="36" spans="1:15">
      <c r="A36" s="827">
        <v>1998</v>
      </c>
      <c r="B36" s="827" t="s">
        <v>364</v>
      </c>
      <c r="C36" s="827" t="s">
        <v>3345</v>
      </c>
      <c r="D36" s="827">
        <v>-0.23333967529315999</v>
      </c>
      <c r="E36" s="827">
        <v>-0.29655562424026399</v>
      </c>
      <c r="F36" s="827">
        <v>0.26713452708642799</v>
      </c>
      <c r="G36" s="827">
        <v>-0.106000995473005</v>
      </c>
      <c r="H36" s="827">
        <v>-9.2959821658047202E-3</v>
      </c>
      <c r="I36" s="827">
        <v>0.497188734030378</v>
      </c>
      <c r="J36" s="827">
        <v>47.804878048780502</v>
      </c>
      <c r="K36" s="827">
        <v>45.365853658536601</v>
      </c>
      <c r="L36" s="827">
        <v>56.25</v>
      </c>
      <c r="M36" s="827">
        <v>48.529411764705898</v>
      </c>
      <c r="N36" s="827">
        <v>51.674641148325399</v>
      </c>
      <c r="O36" s="827">
        <v>64.423076923076906</v>
      </c>
    </row>
    <row r="37" spans="1:15">
      <c r="A37" s="827">
        <v>2000</v>
      </c>
      <c r="B37" s="827" t="s">
        <v>21</v>
      </c>
      <c r="C37" s="827" t="s">
        <v>3346</v>
      </c>
      <c r="D37" s="827">
        <v>-1.9137733021711401</v>
      </c>
      <c r="E37" s="827">
        <v>-2.3246015101392201</v>
      </c>
      <c r="F37" s="827">
        <v>-2.5684157747634102</v>
      </c>
      <c r="G37" s="827">
        <v>-2.1861978485719602</v>
      </c>
      <c r="H37" s="827">
        <v>-1.76978419515658</v>
      </c>
      <c r="I37" s="827">
        <v>-1.97951714975685</v>
      </c>
      <c r="J37" s="827">
        <v>0</v>
      </c>
      <c r="K37" s="827">
        <v>0</v>
      </c>
      <c r="L37" s="827">
        <v>0.480769230769231</v>
      </c>
      <c r="M37" s="827">
        <v>0.98039215686274495</v>
      </c>
      <c r="N37" s="827">
        <v>1.4354066985645899</v>
      </c>
      <c r="O37" s="827">
        <v>1.4423076923076901</v>
      </c>
    </row>
    <row r="38" spans="1:15">
      <c r="A38" s="827">
        <v>2000</v>
      </c>
      <c r="B38" s="827" t="s">
        <v>38</v>
      </c>
      <c r="C38" s="827" t="s">
        <v>3347</v>
      </c>
      <c r="D38" s="827">
        <v>-0.82448230156820201</v>
      </c>
      <c r="E38" s="827">
        <v>-0.82572194532163801</v>
      </c>
      <c r="F38" s="827">
        <v>-0.64667094748938803</v>
      </c>
      <c r="G38" s="827">
        <v>-0.26294154680920101</v>
      </c>
      <c r="H38" s="827">
        <v>-1.24448073662352</v>
      </c>
      <c r="I38" s="827">
        <v>-0.32097032956911697</v>
      </c>
      <c r="J38" s="827">
        <v>21.951219512195099</v>
      </c>
      <c r="K38" s="827">
        <v>20</v>
      </c>
      <c r="L38" s="827">
        <v>26.442307692307701</v>
      </c>
      <c r="M38" s="827">
        <v>38.725490196078397</v>
      </c>
      <c r="N38" s="827">
        <v>10.526315789473699</v>
      </c>
      <c r="O38" s="827">
        <v>40.384615384615401</v>
      </c>
    </row>
    <row r="39" spans="1:15">
      <c r="A39" s="827">
        <v>2000</v>
      </c>
      <c r="B39" s="827" t="s">
        <v>53</v>
      </c>
      <c r="C39" s="827" t="s">
        <v>3348</v>
      </c>
      <c r="D39" s="827">
        <v>-1.0949863298254401</v>
      </c>
      <c r="E39" s="827">
        <v>-0.98492221361162502</v>
      </c>
      <c r="F39" s="827">
        <v>-0.92818411149400704</v>
      </c>
      <c r="G39" s="827">
        <v>-0.90935334702544501</v>
      </c>
      <c r="H39" s="827">
        <v>-1.11198146771461</v>
      </c>
      <c r="I39" s="827">
        <v>-0.85485523521644802</v>
      </c>
      <c r="J39" s="827">
        <v>7.3170731707317103</v>
      </c>
      <c r="K39" s="827">
        <v>13.170731707317101</v>
      </c>
      <c r="L39" s="827">
        <v>19.230769230769202</v>
      </c>
      <c r="M39" s="827">
        <v>16.6666666666667</v>
      </c>
      <c r="N39" s="827">
        <v>14.3540669856459</v>
      </c>
      <c r="O39" s="827">
        <v>22.596153846153801</v>
      </c>
    </row>
    <row r="40" spans="1:15">
      <c r="A40" s="827">
        <v>2000</v>
      </c>
      <c r="B40" s="827" t="s">
        <v>98</v>
      </c>
      <c r="C40" s="827" t="s">
        <v>3349</v>
      </c>
      <c r="D40" s="827">
        <v>-0.14060229967563401</v>
      </c>
      <c r="E40" s="827">
        <v>-0.62173142839185103</v>
      </c>
      <c r="F40" s="827">
        <v>-1.31576053395698E-2</v>
      </c>
      <c r="G40" s="827">
        <v>-0.124199326645082</v>
      </c>
      <c r="H40" s="827">
        <v>-0.67057860789464696</v>
      </c>
      <c r="I40" s="827">
        <v>-0.35856604224400601</v>
      </c>
      <c r="J40" s="827">
        <v>54.634146341463399</v>
      </c>
      <c r="K40" s="827">
        <v>29.756097560975601</v>
      </c>
      <c r="L40" s="827">
        <v>43.75</v>
      </c>
      <c r="M40" s="827">
        <v>46.568627450980401</v>
      </c>
      <c r="N40" s="827">
        <v>31.1004784688995</v>
      </c>
      <c r="O40" s="827">
        <v>38.942307692307701</v>
      </c>
    </row>
    <row r="41" spans="1:15">
      <c r="A41" s="827">
        <v>2000</v>
      </c>
      <c r="B41" s="827" t="s">
        <v>127</v>
      </c>
      <c r="C41" s="827" t="s">
        <v>3350</v>
      </c>
      <c r="D41" s="827">
        <v>-1.1876869045740599</v>
      </c>
      <c r="E41" s="827">
        <v>-1.37769848441335</v>
      </c>
      <c r="F41" s="827">
        <v>-1.2968716712336401</v>
      </c>
      <c r="G41" s="827">
        <v>-0.905517176186169</v>
      </c>
      <c r="H41" s="827">
        <v>-1.49738932457784</v>
      </c>
      <c r="I41" s="827">
        <v>-0.70730808530193601</v>
      </c>
      <c r="J41" s="827">
        <v>5.3658536585365901</v>
      </c>
      <c r="K41" s="827">
        <v>5.3658536585365901</v>
      </c>
      <c r="L41" s="827">
        <v>12.5</v>
      </c>
      <c r="M41" s="827">
        <v>17.156862745098</v>
      </c>
      <c r="N41" s="827">
        <v>3.8277511961722501</v>
      </c>
      <c r="O41" s="827">
        <v>27.403846153846199</v>
      </c>
    </row>
    <row r="42" spans="1:15">
      <c r="A42" s="827">
        <v>2000</v>
      </c>
      <c r="B42" s="827" t="s">
        <v>138</v>
      </c>
      <c r="C42" s="827" t="s">
        <v>3351</v>
      </c>
      <c r="D42" s="827">
        <v>-0.81854029692549501</v>
      </c>
      <c r="E42" s="827">
        <v>-0.757644138579743</v>
      </c>
      <c r="F42" s="827">
        <v>-1.2487310347741101</v>
      </c>
      <c r="G42" s="827">
        <v>-0.77547239099439202</v>
      </c>
      <c r="H42" s="827">
        <v>-1.0318345077834601</v>
      </c>
      <c r="I42" s="827">
        <v>-1.0329914443163799</v>
      </c>
      <c r="J42" s="827">
        <v>22.9268292682927</v>
      </c>
      <c r="K42" s="827">
        <v>23.902439024390201</v>
      </c>
      <c r="L42" s="827">
        <v>12.9807692307692</v>
      </c>
      <c r="M42" s="827">
        <v>20.098039215686299</v>
      </c>
      <c r="N42" s="827">
        <v>17.224880382775101</v>
      </c>
      <c r="O42" s="827">
        <v>19.230769230769202</v>
      </c>
    </row>
    <row r="43" spans="1:15">
      <c r="A43" s="827">
        <v>2000</v>
      </c>
      <c r="B43" s="827" t="s">
        <v>171</v>
      </c>
      <c r="C43" s="827" t="s">
        <v>3352</v>
      </c>
      <c r="D43" s="827">
        <v>-1.5660744679452101</v>
      </c>
      <c r="E43" s="827">
        <v>-1.9606369968388699</v>
      </c>
      <c r="F43" s="827">
        <v>-2.5855527672521599</v>
      </c>
      <c r="G43" s="827">
        <v>-2.1102234225905701</v>
      </c>
      <c r="H43" s="827">
        <v>-1.9474501499218799</v>
      </c>
      <c r="I43" s="827">
        <v>-1.8389054962878</v>
      </c>
      <c r="J43" s="827">
        <v>1.4634146341463401</v>
      </c>
      <c r="K43" s="827">
        <v>0.97560975609756095</v>
      </c>
      <c r="L43" s="827">
        <v>0</v>
      </c>
      <c r="M43" s="827">
        <v>1.9607843137254899</v>
      </c>
      <c r="N43" s="827">
        <v>0.95693779904306198</v>
      </c>
      <c r="O43" s="827">
        <v>2.4038461538461502</v>
      </c>
    </row>
    <row r="44" spans="1:15">
      <c r="A44" s="827">
        <v>2000</v>
      </c>
      <c r="B44" s="827" t="s">
        <v>465</v>
      </c>
      <c r="C44" s="827" t="s">
        <v>3353</v>
      </c>
      <c r="D44" s="827">
        <v>-0.96010341106199104</v>
      </c>
      <c r="E44" s="827">
        <v>-1.32071457912708</v>
      </c>
      <c r="F44" s="827">
        <v>-1.03433699593386</v>
      </c>
      <c r="G44" s="827">
        <v>-1.2450416035466501</v>
      </c>
      <c r="H44" s="827">
        <v>-1.43125293120387</v>
      </c>
      <c r="I44" s="827">
        <v>-1.51247405659093</v>
      </c>
      <c r="J44" s="827">
        <v>12.1951219512195</v>
      </c>
      <c r="K44" s="827">
        <v>6.3414634146341502</v>
      </c>
      <c r="L44" s="827">
        <v>16.826923076923102</v>
      </c>
      <c r="M44" s="827">
        <v>11.2745098039216</v>
      </c>
      <c r="N44" s="827">
        <v>4.7846889952153102</v>
      </c>
      <c r="O44" s="827">
        <v>7.6923076923076898</v>
      </c>
    </row>
    <row r="45" spans="1:15">
      <c r="A45" s="827">
        <v>2000</v>
      </c>
      <c r="B45" s="827" t="s">
        <v>101</v>
      </c>
      <c r="C45" s="827" t="s">
        <v>3354</v>
      </c>
      <c r="D45" s="827">
        <v>-1.05779955747228</v>
      </c>
      <c r="E45" s="827">
        <v>-0.67402734460124303</v>
      </c>
      <c r="F45" s="827">
        <v>-0.56685236392209704</v>
      </c>
      <c r="G45" s="827">
        <v>-0.59493706349403397</v>
      </c>
      <c r="H45" s="827">
        <v>-1.2291778355030201</v>
      </c>
      <c r="I45" s="827">
        <v>-1.14235140604917</v>
      </c>
      <c r="J45" s="827">
        <v>8.7804878048780495</v>
      </c>
      <c r="K45" s="827">
        <v>26.829268292682901</v>
      </c>
      <c r="L45" s="827">
        <v>27.884615384615401</v>
      </c>
      <c r="M45" s="827">
        <v>26.470588235294102</v>
      </c>
      <c r="N45" s="827">
        <v>11.004784688995199</v>
      </c>
      <c r="O45" s="827">
        <v>15.384615384615399</v>
      </c>
    </row>
    <row r="46" spans="1:15">
      <c r="A46" s="827">
        <v>2000</v>
      </c>
      <c r="B46" s="827" t="s">
        <v>188</v>
      </c>
      <c r="C46" s="827" t="s">
        <v>3355</v>
      </c>
      <c r="D46" s="827">
        <v>-1.5310285888342401</v>
      </c>
      <c r="E46" s="827">
        <v>-1.5120126741623301</v>
      </c>
      <c r="F46" s="827">
        <v>-0.17771191207266701</v>
      </c>
      <c r="G46" s="827">
        <v>-1.7146597599851301</v>
      </c>
      <c r="H46" s="827">
        <v>-1.3029120002855099</v>
      </c>
      <c r="I46" s="827">
        <v>-1.6164885058580201</v>
      </c>
      <c r="J46" s="827">
        <v>1.9512195121951199</v>
      </c>
      <c r="K46" s="827">
        <v>2.9268292682926802</v>
      </c>
      <c r="L46" s="827">
        <v>37.5</v>
      </c>
      <c r="M46" s="827">
        <v>6.37254901960784</v>
      </c>
      <c r="N46" s="827">
        <v>10.047846889952201</v>
      </c>
      <c r="O46" s="827">
        <v>4.8076923076923102</v>
      </c>
    </row>
    <row r="47" spans="1:15">
      <c r="A47" s="827">
        <v>2000</v>
      </c>
      <c r="B47" s="827" t="s">
        <v>191</v>
      </c>
      <c r="C47" s="827" t="s">
        <v>3356</v>
      </c>
      <c r="D47" s="827">
        <v>-0.50367744270113701</v>
      </c>
      <c r="E47" s="827">
        <v>-0.63102716623569999</v>
      </c>
      <c r="F47" s="827">
        <v>0.50101717958372305</v>
      </c>
      <c r="G47" s="827">
        <v>-0.14376934413273501</v>
      </c>
      <c r="H47" s="827">
        <v>-0.15762425128409099</v>
      </c>
      <c r="I47" s="827">
        <v>-0.48554491113294201</v>
      </c>
      <c r="J47" s="827">
        <v>36.585365853658502</v>
      </c>
      <c r="K47" s="827">
        <v>29.268292682926798</v>
      </c>
      <c r="L47" s="827">
        <v>65.384615384615401</v>
      </c>
      <c r="M47" s="827">
        <v>43.627450980392197</v>
      </c>
      <c r="N47" s="827">
        <v>46.889952153110002</v>
      </c>
      <c r="O47" s="827">
        <v>33.173076923076898</v>
      </c>
    </row>
    <row r="48" spans="1:15">
      <c r="A48" s="827">
        <v>2000</v>
      </c>
      <c r="B48" s="827" t="s">
        <v>195</v>
      </c>
      <c r="C48" s="827" t="s">
        <v>3357</v>
      </c>
      <c r="D48" s="827">
        <v>-7.1843392571556405E-2</v>
      </c>
      <c r="E48" s="827">
        <v>2.0975934500436801E-2</v>
      </c>
      <c r="F48" s="827">
        <v>-0.43985382450844901</v>
      </c>
      <c r="G48" s="827">
        <v>-0.10260588051919101</v>
      </c>
      <c r="H48" s="827">
        <v>9.3674200934424801E-2</v>
      </c>
      <c r="I48" s="827">
        <v>-7.8311525479766997E-2</v>
      </c>
      <c r="J48" s="827">
        <v>58.048780487804898</v>
      </c>
      <c r="K48" s="827">
        <v>57.560975609756099</v>
      </c>
      <c r="L48" s="827">
        <v>31.25</v>
      </c>
      <c r="M48" s="827">
        <v>49.019607843137301</v>
      </c>
      <c r="N48" s="827">
        <v>54.545454545454497</v>
      </c>
      <c r="O48" s="827">
        <v>49.519230769230802</v>
      </c>
    </row>
    <row r="49" spans="1:15">
      <c r="A49" s="827">
        <v>2000</v>
      </c>
      <c r="B49" s="827" t="s">
        <v>219</v>
      </c>
      <c r="C49" s="827" t="s">
        <v>3358</v>
      </c>
      <c r="D49" s="827">
        <v>-0.67827530477751197</v>
      </c>
      <c r="E49" s="827">
        <v>-0.52682149899736896</v>
      </c>
      <c r="F49" s="827">
        <v>-0.82617875622183801</v>
      </c>
      <c r="G49" s="827">
        <v>-0.11357346788339701</v>
      </c>
      <c r="H49" s="827">
        <v>-0.91880239085492998</v>
      </c>
      <c r="I49" s="827">
        <v>-0.367831633812644</v>
      </c>
      <c r="J49" s="827">
        <v>28.292682926829301</v>
      </c>
      <c r="K49" s="827">
        <v>35.609756097560997</v>
      </c>
      <c r="L49" s="827">
        <v>20.673076923076898</v>
      </c>
      <c r="M49" s="827">
        <v>48.529411764705898</v>
      </c>
      <c r="N49" s="827">
        <v>22.488038277512</v>
      </c>
      <c r="O49" s="827">
        <v>38.461538461538503</v>
      </c>
    </row>
    <row r="50" spans="1:15">
      <c r="A50" s="827">
        <v>2000</v>
      </c>
      <c r="B50" s="827" t="s">
        <v>3089</v>
      </c>
      <c r="C50" s="827" t="s">
        <v>3359</v>
      </c>
      <c r="D50" s="827">
        <v>-0.75223256878697398</v>
      </c>
      <c r="E50" s="827">
        <v>-0.82696008800562404</v>
      </c>
      <c r="F50" s="827">
        <v>-2.0302351283630302</v>
      </c>
      <c r="G50" s="827">
        <v>-0.60427885105902501</v>
      </c>
      <c r="H50" s="827">
        <v>-1.4211318717880399</v>
      </c>
      <c r="I50" s="827">
        <v>-1.17617695527594</v>
      </c>
      <c r="J50" s="827">
        <v>25.853658536585399</v>
      </c>
      <c r="K50" s="827">
        <v>19.512195121951201</v>
      </c>
      <c r="L50" s="827">
        <v>3.8461538461538498</v>
      </c>
      <c r="M50" s="827">
        <v>25.980392156862699</v>
      </c>
      <c r="N50" s="827">
        <v>6.2200956937798999</v>
      </c>
      <c r="O50" s="827">
        <v>13.461538461538501</v>
      </c>
    </row>
    <row r="51" spans="1:15">
      <c r="A51" s="827">
        <v>2000</v>
      </c>
      <c r="B51" s="827" t="s">
        <v>243</v>
      </c>
      <c r="C51" s="827" t="s">
        <v>3360</v>
      </c>
      <c r="D51" s="827">
        <v>-0.88963532400510603</v>
      </c>
      <c r="E51" s="827">
        <v>-0.27295217578242398</v>
      </c>
      <c r="F51" s="827">
        <v>-2.0367615713944698</v>
      </c>
      <c r="G51" s="827">
        <v>-0.175163123081644</v>
      </c>
      <c r="H51" s="827">
        <v>-0.75116901609445397</v>
      </c>
      <c r="I51" s="827">
        <v>-0.44236718178023499</v>
      </c>
      <c r="J51" s="827">
        <v>19.024390243902399</v>
      </c>
      <c r="K51" s="827">
        <v>44.878048780487802</v>
      </c>
      <c r="L51" s="827">
        <v>3.3653846153846199</v>
      </c>
      <c r="M51" s="827">
        <v>41.6666666666667</v>
      </c>
      <c r="N51" s="827">
        <v>28.7081339712919</v>
      </c>
      <c r="O51" s="827">
        <v>34.134615384615401</v>
      </c>
    </row>
    <row r="52" spans="1:15">
      <c r="A52" s="827">
        <v>2000</v>
      </c>
      <c r="B52" s="827" t="s">
        <v>251</v>
      </c>
      <c r="C52" s="827" t="s">
        <v>3361</v>
      </c>
      <c r="D52" s="827">
        <v>-1.47073288398757</v>
      </c>
      <c r="E52" s="827">
        <v>-1.8657016124494701</v>
      </c>
      <c r="F52" s="827">
        <v>-1.7750297153541601</v>
      </c>
      <c r="G52" s="827">
        <v>-2.1533648794931399</v>
      </c>
      <c r="H52" s="827">
        <v>-1.3303898891458801</v>
      </c>
      <c r="I52" s="827">
        <v>-1.99307612342429</v>
      </c>
      <c r="J52" s="827">
        <v>2.9268292682926802</v>
      </c>
      <c r="K52" s="827">
        <v>1.9512195121951199</v>
      </c>
      <c r="L52" s="827">
        <v>6.25</v>
      </c>
      <c r="M52" s="827">
        <v>1.47058823529412</v>
      </c>
      <c r="N52" s="827">
        <v>8.6124401913875595</v>
      </c>
      <c r="O52" s="827">
        <v>0.96153846153846201</v>
      </c>
    </row>
    <row r="53" spans="1:15">
      <c r="A53" s="827">
        <v>2000</v>
      </c>
      <c r="B53" s="827" t="s">
        <v>280</v>
      </c>
      <c r="C53" s="827" t="s">
        <v>3362</v>
      </c>
      <c r="D53" s="827">
        <v>-1.06216476406558</v>
      </c>
      <c r="E53" s="827">
        <v>-0.71345259360427604</v>
      </c>
      <c r="F53" s="827">
        <v>1.1200805604089901E-2</v>
      </c>
      <c r="G53" s="827">
        <v>-0.59442625085652701</v>
      </c>
      <c r="H53" s="827">
        <v>-1.0778744751995399</v>
      </c>
      <c r="I53" s="827">
        <v>-0.95922991642531297</v>
      </c>
      <c r="J53" s="827">
        <v>8.2926829268292703</v>
      </c>
      <c r="K53" s="827">
        <v>25.853658536585399</v>
      </c>
      <c r="L53" s="827">
        <v>45.673076923076898</v>
      </c>
      <c r="M53" s="827">
        <v>26.960784313725501</v>
      </c>
      <c r="N53" s="827">
        <v>16.267942583732101</v>
      </c>
      <c r="O53" s="827">
        <v>20.673076923076898</v>
      </c>
    </row>
    <row r="54" spans="1:15">
      <c r="A54" s="827">
        <v>2000</v>
      </c>
      <c r="B54" s="827" t="s">
        <v>285</v>
      </c>
      <c r="C54" s="827" t="s">
        <v>3363</v>
      </c>
      <c r="D54" s="827">
        <v>-0.72645145859181703</v>
      </c>
      <c r="E54" s="827">
        <v>-0.54283842494505896</v>
      </c>
      <c r="F54" s="827">
        <v>-0.33955081847464902</v>
      </c>
      <c r="G54" s="827">
        <v>-9.5036907150686897E-2</v>
      </c>
      <c r="H54" s="827">
        <v>-0.87647807563367497</v>
      </c>
      <c r="I54" s="827">
        <v>-1.12270207209537</v>
      </c>
      <c r="J54" s="827">
        <v>26.829268292682901</v>
      </c>
      <c r="K54" s="827">
        <v>33.170731707317103</v>
      </c>
      <c r="L54" s="827">
        <v>33.653846153846203</v>
      </c>
      <c r="M54" s="827">
        <v>50.490196078431403</v>
      </c>
      <c r="N54" s="827">
        <v>24.8803827751196</v>
      </c>
      <c r="O54" s="827">
        <v>16.826923076923102</v>
      </c>
    </row>
    <row r="55" spans="1:15">
      <c r="A55" s="827">
        <v>2000</v>
      </c>
      <c r="B55" s="827" t="s">
        <v>301</v>
      </c>
      <c r="C55" s="827" t="s">
        <v>3364</v>
      </c>
      <c r="D55" s="827">
        <v>-1.3687409657105201</v>
      </c>
      <c r="E55" s="827">
        <v>-1.84282287149205</v>
      </c>
      <c r="F55" s="827">
        <v>-2.0473919084537</v>
      </c>
      <c r="G55" s="827">
        <v>-1.77898113412439</v>
      </c>
      <c r="H55" s="827">
        <v>-2.1136827453102298</v>
      </c>
      <c r="I55" s="827">
        <v>-1.1603366371878601</v>
      </c>
      <c r="J55" s="827">
        <v>3.9024390243902398</v>
      </c>
      <c r="K55" s="827">
        <v>2.4390243902439002</v>
      </c>
      <c r="L55" s="827">
        <v>2.8846153846153801</v>
      </c>
      <c r="M55" s="827">
        <v>4.9019607843137303</v>
      </c>
      <c r="N55" s="827">
        <v>0.47846889952153099</v>
      </c>
      <c r="O55" s="827">
        <v>13.942307692307701</v>
      </c>
    </row>
    <row r="56" spans="1:15">
      <c r="A56" s="827">
        <v>2000</v>
      </c>
      <c r="B56" s="827" t="s">
        <v>316</v>
      </c>
      <c r="C56" s="827" t="s">
        <v>3365</v>
      </c>
      <c r="D56" s="827">
        <v>-0.13393274530565699</v>
      </c>
      <c r="E56" s="827">
        <v>-0.63711501432569495</v>
      </c>
      <c r="F56" s="827">
        <v>4.38809521740985E-2</v>
      </c>
      <c r="G56" s="827">
        <v>-0.44987460421518899</v>
      </c>
      <c r="H56" s="827">
        <v>-0.25204154449124699</v>
      </c>
      <c r="I56" s="827">
        <v>7.9576313652986994E-2</v>
      </c>
      <c r="J56" s="827">
        <v>55.609756097560997</v>
      </c>
      <c r="K56" s="827">
        <v>28.780487804878</v>
      </c>
      <c r="L56" s="827">
        <v>47.115384615384599</v>
      </c>
      <c r="M56" s="827">
        <v>32.352941176470601</v>
      </c>
      <c r="N56" s="827">
        <v>43.540669856459303</v>
      </c>
      <c r="O56" s="827">
        <v>50.961538461538503</v>
      </c>
    </row>
    <row r="57" spans="1:15">
      <c r="A57" s="827">
        <v>2000</v>
      </c>
      <c r="B57" s="827" t="s">
        <v>329</v>
      </c>
      <c r="C57" s="827" t="s">
        <v>3366</v>
      </c>
      <c r="D57" s="827">
        <v>-0.66468315026924496</v>
      </c>
      <c r="E57" s="827">
        <v>-0.87230711567943697</v>
      </c>
      <c r="F57" s="827">
        <v>0.14459402412539599</v>
      </c>
      <c r="G57" s="827">
        <v>-9.8845402060853196E-2</v>
      </c>
      <c r="H57" s="827">
        <v>-0.45974194751312603</v>
      </c>
      <c r="I57" s="827">
        <v>-0.113705669865583</v>
      </c>
      <c r="J57" s="827">
        <v>29.268292682926798</v>
      </c>
      <c r="K57" s="827">
        <v>16.585365853658502</v>
      </c>
      <c r="L57" s="827">
        <v>51.442307692307701</v>
      </c>
      <c r="M57" s="827">
        <v>49.509803921568597</v>
      </c>
      <c r="N57" s="827">
        <v>37.320574162679399</v>
      </c>
      <c r="O57" s="827">
        <v>48.076923076923102</v>
      </c>
    </row>
    <row r="58" spans="1:15">
      <c r="A58" s="827">
        <v>2000</v>
      </c>
      <c r="B58" s="827" t="s">
        <v>345</v>
      </c>
      <c r="C58" s="827" t="s">
        <v>3367</v>
      </c>
      <c r="D58" s="827">
        <v>-0.25337632775820301</v>
      </c>
      <c r="E58" s="827">
        <v>-0.18319589921998999</v>
      </c>
      <c r="F58" s="827">
        <v>0.23499860393593699</v>
      </c>
      <c r="G58" s="827">
        <v>-0.42391724625859101</v>
      </c>
      <c r="H58" s="827">
        <v>-0.34716425920169203</v>
      </c>
      <c r="I58" s="827">
        <v>-0.851609931046167</v>
      </c>
      <c r="J58" s="827">
        <v>50.243902439024403</v>
      </c>
      <c r="K58" s="827">
        <v>48.292682926829301</v>
      </c>
      <c r="L58" s="827">
        <v>55.288461538461497</v>
      </c>
      <c r="M58" s="827">
        <v>33.3333333333333</v>
      </c>
      <c r="N58" s="827">
        <v>41.1483253588517</v>
      </c>
      <c r="O58" s="827">
        <v>23.076923076923102</v>
      </c>
    </row>
    <row r="59" spans="1:15">
      <c r="A59" s="827">
        <v>2000</v>
      </c>
      <c r="B59" s="827" t="s">
        <v>385</v>
      </c>
      <c r="C59" s="827" t="s">
        <v>3368</v>
      </c>
      <c r="D59" s="827">
        <v>-0.39907218607155298</v>
      </c>
      <c r="E59" s="827">
        <v>-0.42824009173376698</v>
      </c>
      <c r="F59" s="827">
        <v>-0.15418556094564501</v>
      </c>
      <c r="G59" s="827">
        <v>-0.16200050709688901</v>
      </c>
      <c r="H59" s="827">
        <v>-0.76780365915598703</v>
      </c>
      <c r="I59" s="827">
        <v>-0.23190080917393499</v>
      </c>
      <c r="J59" s="827">
        <v>42.9268292682927</v>
      </c>
      <c r="K59" s="827">
        <v>39.512195121951201</v>
      </c>
      <c r="L59" s="827">
        <v>38.942307692307701</v>
      </c>
      <c r="M59" s="827">
        <v>42.156862745098003</v>
      </c>
      <c r="N59" s="827">
        <v>28.229665071770299</v>
      </c>
      <c r="O59" s="827">
        <v>45.192307692307701</v>
      </c>
    </row>
    <row r="60" spans="1:15">
      <c r="A60" s="827">
        <v>2000</v>
      </c>
      <c r="B60" s="827" t="s">
        <v>394</v>
      </c>
      <c r="C60" s="827" t="s">
        <v>3369</v>
      </c>
      <c r="D60" s="827">
        <v>-0.94067051399707002</v>
      </c>
      <c r="E60" s="827">
        <v>-1.0848724186591501</v>
      </c>
      <c r="F60" s="827">
        <v>1.8704553133301999E-3</v>
      </c>
      <c r="G60" s="827">
        <v>-0.60883220151804895</v>
      </c>
      <c r="H60" s="827">
        <v>-0.92844414684231102</v>
      </c>
      <c r="I60" s="827">
        <v>-0.204080121326395</v>
      </c>
      <c r="J60" s="827">
        <v>16.097560975609799</v>
      </c>
      <c r="K60" s="827">
        <v>11.219512195122</v>
      </c>
      <c r="L60" s="827">
        <v>45.192307692307701</v>
      </c>
      <c r="M60" s="827">
        <v>25.490196078431399</v>
      </c>
      <c r="N60" s="827">
        <v>22.009569377990399</v>
      </c>
      <c r="O60" s="827">
        <v>45.673076923076898</v>
      </c>
    </row>
    <row r="61" spans="1:15">
      <c r="A61" s="827">
        <v>2000</v>
      </c>
      <c r="B61" s="827" t="s">
        <v>413</v>
      </c>
      <c r="C61" s="827" t="s">
        <v>3370</v>
      </c>
      <c r="D61" s="827">
        <v>-1.1262233815331899</v>
      </c>
      <c r="E61" s="827">
        <v>-0.95694464641467003</v>
      </c>
      <c r="F61" s="827">
        <v>-1.5215853274331701</v>
      </c>
      <c r="G61" s="827">
        <v>-0.74345003200615001</v>
      </c>
      <c r="H61" s="827">
        <v>-1.1047554122337699</v>
      </c>
      <c r="I61" s="827">
        <v>-0.58215715901103604</v>
      </c>
      <c r="J61" s="827">
        <v>5.8536585365853702</v>
      </c>
      <c r="K61" s="827">
        <v>14.634146341463399</v>
      </c>
      <c r="L61" s="827">
        <v>8.6538461538461497</v>
      </c>
      <c r="M61" s="827">
        <v>20.588235294117599</v>
      </c>
      <c r="N61" s="827">
        <v>14.8325358851675</v>
      </c>
      <c r="O61" s="827">
        <v>30.288461538461501</v>
      </c>
    </row>
    <row r="62" spans="1:15">
      <c r="A62" s="827">
        <v>2000</v>
      </c>
      <c r="B62" s="827" t="s">
        <v>449</v>
      </c>
      <c r="C62" s="827" t="s">
        <v>3371</v>
      </c>
      <c r="D62" s="827">
        <v>-0.48658871373646401</v>
      </c>
      <c r="E62" s="827">
        <v>-9.3042012810814895E-2</v>
      </c>
      <c r="F62" s="827">
        <v>-1.09797576826948</v>
      </c>
      <c r="G62" s="827">
        <v>0.47181373456326098</v>
      </c>
      <c r="H62" s="827">
        <v>-0.68761737135177303</v>
      </c>
      <c r="I62" s="827">
        <v>-0.37586688139917401</v>
      </c>
      <c r="J62" s="827">
        <v>39.024390243902403</v>
      </c>
      <c r="K62" s="827">
        <v>52.682926829268297</v>
      </c>
      <c r="L62" s="827">
        <v>15.384615384615399</v>
      </c>
      <c r="M62" s="827">
        <v>66.6666666666667</v>
      </c>
      <c r="N62" s="827">
        <v>30.143540669856499</v>
      </c>
      <c r="O62" s="827">
        <v>37.980769230769198</v>
      </c>
    </row>
    <row r="63" spans="1:15">
      <c r="A63" s="827">
        <v>2000</v>
      </c>
      <c r="B63" s="827" t="s">
        <v>488</v>
      </c>
      <c r="C63" s="827" t="s">
        <v>3372</v>
      </c>
      <c r="D63" s="827">
        <v>-0.91277663656971697</v>
      </c>
      <c r="E63" s="827">
        <v>-1.4601024878858599</v>
      </c>
      <c r="F63" s="827">
        <v>-1.97010101926595</v>
      </c>
      <c r="G63" s="827">
        <v>-1.37757204170457</v>
      </c>
      <c r="H63" s="827">
        <v>-1.4690899291889199</v>
      </c>
      <c r="I63" s="827">
        <v>-1.5743864121925899</v>
      </c>
      <c r="J63" s="827">
        <v>17.0731707317073</v>
      </c>
      <c r="K63" s="827">
        <v>4.3902439024390203</v>
      </c>
      <c r="L63" s="827">
        <v>4.3269230769230802</v>
      </c>
      <c r="M63" s="827">
        <v>8.8235294117647101</v>
      </c>
      <c r="N63" s="827">
        <v>4.3062200956937797</v>
      </c>
      <c r="O63" s="827">
        <v>6.25</v>
      </c>
    </row>
    <row r="64" spans="1:15">
      <c r="A64" s="827">
        <v>2000</v>
      </c>
      <c r="B64" s="827" t="s">
        <v>499</v>
      </c>
      <c r="C64" s="827" t="s">
        <v>3373</v>
      </c>
      <c r="D64" s="827">
        <v>-0.94872329297227598</v>
      </c>
      <c r="E64" s="827">
        <v>-0.41993685924454599</v>
      </c>
      <c r="F64" s="827">
        <v>-0.79766329529231805</v>
      </c>
      <c r="G64" s="827">
        <v>-0.25034358461671102</v>
      </c>
      <c r="H64" s="827">
        <v>-0.38569866240219403</v>
      </c>
      <c r="I64" s="827">
        <v>-0.51457091536476396</v>
      </c>
      <c r="J64" s="827">
        <v>14.146341463414601</v>
      </c>
      <c r="K64" s="827">
        <v>40.487804878048799</v>
      </c>
      <c r="L64" s="827">
        <v>22.596153846153801</v>
      </c>
      <c r="M64" s="827">
        <v>39.705882352941202</v>
      </c>
      <c r="N64" s="827">
        <v>39.712918660287102</v>
      </c>
      <c r="O64" s="827">
        <v>32.211538461538503</v>
      </c>
    </row>
    <row r="65" spans="1:15">
      <c r="A65" s="827">
        <v>2000</v>
      </c>
      <c r="B65" s="827" t="s">
        <v>517</v>
      </c>
      <c r="C65" s="827" t="s">
        <v>3374</v>
      </c>
      <c r="D65" s="827">
        <v>-0.66468315026924496</v>
      </c>
      <c r="E65" s="827">
        <v>-1.24085059932737</v>
      </c>
      <c r="F65" s="827">
        <v>-0.40371157672572999</v>
      </c>
      <c r="G65" s="827">
        <v>-0.66425952244772302</v>
      </c>
      <c r="H65" s="827">
        <v>-0.70997972806314902</v>
      </c>
      <c r="I65" s="827">
        <v>-1.21939938000032</v>
      </c>
      <c r="J65" s="827">
        <v>29.268292682926798</v>
      </c>
      <c r="K65" s="827">
        <v>7.8048780487804903</v>
      </c>
      <c r="L65" s="827">
        <v>31.730769230769202</v>
      </c>
      <c r="M65" s="827">
        <v>24.019607843137301</v>
      </c>
      <c r="N65" s="827">
        <v>29.186602870813399</v>
      </c>
      <c r="O65" s="827">
        <v>12.5</v>
      </c>
    </row>
    <row r="66" spans="1:15">
      <c r="A66" s="827">
        <v>2000</v>
      </c>
      <c r="B66" s="827" t="s">
        <v>3090</v>
      </c>
      <c r="C66" s="827" t="s">
        <v>3375</v>
      </c>
      <c r="D66" s="827" t="s">
        <v>3088</v>
      </c>
      <c r="E66" s="827" t="s">
        <v>3088</v>
      </c>
      <c r="F66" s="827">
        <v>0.34491502521970402</v>
      </c>
      <c r="G66" s="827" t="s">
        <v>3088</v>
      </c>
      <c r="H66" s="827">
        <v>-0.18518848540448399</v>
      </c>
      <c r="I66" s="827">
        <v>0.17758552245748199</v>
      </c>
      <c r="J66" s="827" t="s">
        <v>3088</v>
      </c>
      <c r="K66" s="827" t="s">
        <v>3088</v>
      </c>
      <c r="L66" s="827">
        <v>59.134615384615401</v>
      </c>
      <c r="M66" s="827" t="s">
        <v>3088</v>
      </c>
      <c r="N66" s="827">
        <v>46.4114832535885</v>
      </c>
      <c r="O66" s="827">
        <v>53.846153846153797</v>
      </c>
    </row>
    <row r="67" spans="1:15">
      <c r="A67" s="827">
        <v>2000</v>
      </c>
      <c r="B67" s="827" t="s">
        <v>3091</v>
      </c>
      <c r="C67" s="827" t="s">
        <v>3376</v>
      </c>
      <c r="D67" s="827">
        <v>4.8710573129820703E-2</v>
      </c>
      <c r="E67" s="827">
        <v>0.465131057121072</v>
      </c>
      <c r="F67" s="827">
        <v>3.4452976593076098E-2</v>
      </c>
      <c r="G67" s="827">
        <v>0.65118560165869099</v>
      </c>
      <c r="H67" s="827">
        <v>0.38242532902099802</v>
      </c>
      <c r="I67" s="827">
        <v>0.52996605602184998</v>
      </c>
      <c r="J67" s="827">
        <v>61.951219512195102</v>
      </c>
      <c r="K67" s="827">
        <v>70.243902439024396</v>
      </c>
      <c r="L67" s="827">
        <v>46.634615384615401</v>
      </c>
      <c r="M67" s="827">
        <v>72.058823529411796</v>
      </c>
      <c r="N67" s="827">
        <v>63.157894736842103</v>
      </c>
      <c r="O67" s="827">
        <v>64.423076923076906</v>
      </c>
    </row>
    <row r="68" spans="1:15">
      <c r="A68" s="827">
        <v>2000</v>
      </c>
      <c r="B68" s="827" t="s">
        <v>3092</v>
      </c>
      <c r="C68" s="827" t="s">
        <v>3377</v>
      </c>
      <c r="D68" s="827">
        <v>-0.91040610137522404</v>
      </c>
      <c r="E68" s="827">
        <v>-0.78456378556294204</v>
      </c>
      <c r="F68" s="827">
        <v>-1.2373762050784201</v>
      </c>
      <c r="G68" s="827">
        <v>-0.68582347584659997</v>
      </c>
      <c r="H68" s="827">
        <v>-1.42214835459998</v>
      </c>
      <c r="I68" s="827">
        <v>-0.76984713431666796</v>
      </c>
      <c r="J68" s="827">
        <v>17.560975609756099</v>
      </c>
      <c r="K68" s="827">
        <v>21.951219512195099</v>
      </c>
      <c r="L68" s="827">
        <v>13.461538461538501</v>
      </c>
      <c r="M68" s="827">
        <v>23.529411764705898</v>
      </c>
      <c r="N68" s="827">
        <v>5.7416267942583703</v>
      </c>
      <c r="O68" s="827">
        <v>25.480769230769202</v>
      </c>
    </row>
    <row r="69" spans="1:15">
      <c r="A69" s="827">
        <v>2000</v>
      </c>
      <c r="B69" s="827" t="s">
        <v>541</v>
      </c>
      <c r="C69" s="827" t="s">
        <v>3378</v>
      </c>
      <c r="D69" s="827">
        <v>-0.85238340094827203</v>
      </c>
      <c r="E69" s="827">
        <v>-0.85829493992030703</v>
      </c>
      <c r="F69" s="827">
        <v>-5.4853445892383598E-2</v>
      </c>
      <c r="G69" s="827">
        <v>-0.25937291842295701</v>
      </c>
      <c r="H69" s="827">
        <v>-0.535909674576727</v>
      </c>
      <c r="I69" s="827">
        <v>-0.491870777465932</v>
      </c>
      <c r="J69" s="827">
        <v>20.975609756097601</v>
      </c>
      <c r="K69" s="827">
        <v>17.0731707317073</v>
      </c>
      <c r="L69" s="827">
        <v>41.826923076923102</v>
      </c>
      <c r="M69" s="827">
        <v>39.2156862745098</v>
      </c>
      <c r="N69" s="827">
        <v>33.9712918660287</v>
      </c>
      <c r="O69" s="827">
        <v>32.692307692307701</v>
      </c>
    </row>
    <row r="70" spans="1:15">
      <c r="A70" s="827">
        <v>2000</v>
      </c>
      <c r="B70" s="827" t="s">
        <v>364</v>
      </c>
      <c r="C70" s="827" t="s">
        <v>3379</v>
      </c>
      <c r="D70" s="827">
        <v>-0.40493817888194999</v>
      </c>
      <c r="E70" s="827">
        <v>-0.30729178159471399</v>
      </c>
      <c r="F70" s="827">
        <v>0.75495482486964904</v>
      </c>
      <c r="G70" s="827">
        <v>-9.6247801256275994E-2</v>
      </c>
      <c r="H70" s="827">
        <v>-0.120960290500032</v>
      </c>
      <c r="I70" s="827">
        <v>0.31678316504196002</v>
      </c>
      <c r="J70" s="827">
        <v>42.439024390243901</v>
      </c>
      <c r="K70" s="827">
        <v>43.902439024390198</v>
      </c>
      <c r="L70" s="827">
        <v>72.115384615384599</v>
      </c>
      <c r="M70" s="827">
        <v>50</v>
      </c>
      <c r="N70" s="827">
        <v>48.803827751196202</v>
      </c>
      <c r="O70" s="827">
        <v>58.653846153846203</v>
      </c>
    </row>
    <row r="71" spans="1:15">
      <c r="A71" s="827">
        <v>2002</v>
      </c>
      <c r="B71" s="827" t="s">
        <v>21</v>
      </c>
      <c r="C71" s="827" t="s">
        <v>3380</v>
      </c>
      <c r="D71" s="827">
        <v>-1.4263995675615999</v>
      </c>
      <c r="E71" s="827">
        <v>-1.63653093939863</v>
      </c>
      <c r="F71" s="827">
        <v>-2.2112937521601599</v>
      </c>
      <c r="G71" s="827">
        <v>-1.8734338023306001</v>
      </c>
      <c r="H71" s="827">
        <v>-1.7719729473375601</v>
      </c>
      <c r="I71" s="827">
        <v>-1.5706600399169099</v>
      </c>
      <c r="J71" s="827">
        <v>0.48780487804877998</v>
      </c>
      <c r="K71" s="827">
        <v>1.9512195121951199</v>
      </c>
      <c r="L71" s="827">
        <v>1.4423076923076901</v>
      </c>
      <c r="M71" s="827">
        <v>2.9411764705882399</v>
      </c>
      <c r="N71" s="827">
        <v>1.4354066985645899</v>
      </c>
      <c r="O71" s="827">
        <v>6.7307692307692299</v>
      </c>
    </row>
    <row r="72" spans="1:15">
      <c r="A72" s="827">
        <v>2002</v>
      </c>
      <c r="B72" s="827" t="s">
        <v>38</v>
      </c>
      <c r="C72" s="827" t="s">
        <v>3381</v>
      </c>
      <c r="D72" s="827">
        <v>-0.85677508060267804</v>
      </c>
      <c r="E72" s="827">
        <v>-0.56915947600344696</v>
      </c>
      <c r="F72" s="827">
        <v>-0.38730631963433199</v>
      </c>
      <c r="G72" s="827">
        <v>-0.250540920018758</v>
      </c>
      <c r="H72" s="827">
        <v>-0.92174358255977396</v>
      </c>
      <c r="I72" s="827">
        <v>-4.3882130096372499E-2</v>
      </c>
      <c r="J72" s="827">
        <v>25.853658536585399</v>
      </c>
      <c r="K72" s="827">
        <v>32.682926829268297</v>
      </c>
      <c r="L72" s="827">
        <v>30.769230769230798</v>
      </c>
      <c r="M72" s="827">
        <v>43.627450980392197</v>
      </c>
      <c r="N72" s="827">
        <v>21.052631578947398</v>
      </c>
      <c r="O72" s="827">
        <v>47.596153846153797</v>
      </c>
    </row>
    <row r="73" spans="1:15">
      <c r="A73" s="827">
        <v>2002</v>
      </c>
      <c r="B73" s="827" t="s">
        <v>53</v>
      </c>
      <c r="C73" s="827" t="s">
        <v>3382</v>
      </c>
      <c r="D73" s="827">
        <v>-1.05334834794595</v>
      </c>
      <c r="E73" s="827">
        <v>-0.94789799573218703</v>
      </c>
      <c r="F73" s="827">
        <v>-1.2940249152439101</v>
      </c>
      <c r="G73" s="827">
        <v>-0.71959805868591797</v>
      </c>
      <c r="H73" s="827">
        <v>-0.85313406012479098</v>
      </c>
      <c r="I73" s="827">
        <v>-0.95081396816908303</v>
      </c>
      <c r="J73" s="827">
        <v>10.7317073170732</v>
      </c>
      <c r="K73" s="827">
        <v>15.1219512195122</v>
      </c>
      <c r="L73" s="827">
        <v>14.4230769230769</v>
      </c>
      <c r="M73" s="827">
        <v>24.019607843137301</v>
      </c>
      <c r="N73" s="827">
        <v>24.8803827751196</v>
      </c>
      <c r="O73" s="827">
        <v>20.673076923076898</v>
      </c>
    </row>
    <row r="74" spans="1:15">
      <c r="A74" s="827">
        <v>2002</v>
      </c>
      <c r="B74" s="827" t="s">
        <v>98</v>
      </c>
      <c r="C74" s="827" t="s">
        <v>3383</v>
      </c>
      <c r="D74" s="827">
        <v>-2.1676275834879299E-2</v>
      </c>
      <c r="E74" s="827">
        <v>-0.71899778597154596</v>
      </c>
      <c r="F74" s="827">
        <v>-0.367371681120714</v>
      </c>
      <c r="G74" s="827">
        <v>-0.14439577023842301</v>
      </c>
      <c r="H74" s="827">
        <v>-0.68232699126037799</v>
      </c>
      <c r="I74" s="827">
        <v>-0.47878096738286802</v>
      </c>
      <c r="J74" s="827">
        <v>57.0731707317073</v>
      </c>
      <c r="K74" s="827">
        <v>26.829268292682901</v>
      </c>
      <c r="L74" s="827">
        <v>31.730769230769202</v>
      </c>
      <c r="M74" s="827">
        <v>49.019607843137301</v>
      </c>
      <c r="N74" s="827">
        <v>30.143540669856499</v>
      </c>
      <c r="O74" s="827">
        <v>36.057692307692299</v>
      </c>
    </row>
    <row r="75" spans="1:15">
      <c r="A75" s="827">
        <v>2002</v>
      </c>
      <c r="B75" s="827" t="s">
        <v>127</v>
      </c>
      <c r="C75" s="827" t="s">
        <v>3384</v>
      </c>
      <c r="D75" s="827">
        <v>-1.1075749605743499</v>
      </c>
      <c r="E75" s="827">
        <v>-1.6212730924728</v>
      </c>
      <c r="F75" s="827">
        <v>-1.8840622434204499</v>
      </c>
      <c r="G75" s="827">
        <v>-1.1267310899463101</v>
      </c>
      <c r="H75" s="827">
        <v>-1.1330313528107701</v>
      </c>
      <c r="I75" s="827">
        <v>-1.07746953801592</v>
      </c>
      <c r="J75" s="827">
        <v>8.7804878048780495</v>
      </c>
      <c r="K75" s="827">
        <v>2.9268292682926802</v>
      </c>
      <c r="L75" s="827">
        <v>3.3653846153846199</v>
      </c>
      <c r="M75" s="827">
        <v>13.7254901960784</v>
      </c>
      <c r="N75" s="827">
        <v>13.3971291866029</v>
      </c>
      <c r="O75" s="827">
        <v>19.230769230769202</v>
      </c>
    </row>
    <row r="76" spans="1:15">
      <c r="A76" s="827">
        <v>2002</v>
      </c>
      <c r="B76" s="827" t="s">
        <v>138</v>
      </c>
      <c r="C76" s="827" t="s">
        <v>3385</v>
      </c>
      <c r="D76" s="827">
        <v>-0.94269252636022605</v>
      </c>
      <c r="E76" s="827">
        <v>-0.90797080411383901</v>
      </c>
      <c r="F76" s="827">
        <v>-1.69930748435783</v>
      </c>
      <c r="G76" s="827">
        <v>-0.92452247834000401</v>
      </c>
      <c r="H76" s="827">
        <v>-0.99644439451586897</v>
      </c>
      <c r="I76" s="827">
        <v>-0.965867117015203</v>
      </c>
      <c r="J76" s="827">
        <v>19.512195121951201</v>
      </c>
      <c r="K76" s="827">
        <v>17.560975609756099</v>
      </c>
      <c r="L76" s="827">
        <v>6.25</v>
      </c>
      <c r="M76" s="827">
        <v>19.117647058823501</v>
      </c>
      <c r="N76" s="827">
        <v>18.6602870813397</v>
      </c>
      <c r="O76" s="827">
        <v>20.192307692307701</v>
      </c>
    </row>
    <row r="77" spans="1:15">
      <c r="A77" s="827">
        <v>2002</v>
      </c>
      <c r="B77" s="827" t="s">
        <v>171</v>
      </c>
      <c r="C77" s="827" t="s">
        <v>3386</v>
      </c>
      <c r="D77" s="827">
        <v>-1.2598801007157401</v>
      </c>
      <c r="E77" s="827">
        <v>-1.7417898029527801</v>
      </c>
      <c r="F77" s="827">
        <v>-2.0983898146571098</v>
      </c>
      <c r="G77" s="827">
        <v>-1.50629648470532</v>
      </c>
      <c r="H77" s="827">
        <v>-1.69550125856079</v>
      </c>
      <c r="I77" s="827">
        <v>-1.6938374171346999</v>
      </c>
      <c r="J77" s="827">
        <v>2.9268292682926802</v>
      </c>
      <c r="K77" s="827">
        <v>1.4634146341463401</v>
      </c>
      <c r="L77" s="827">
        <v>1.92307692307692</v>
      </c>
      <c r="M77" s="827">
        <v>5.8823529411764701</v>
      </c>
      <c r="N77" s="827">
        <v>1.91387559808612</v>
      </c>
      <c r="O77" s="827">
        <v>3.8461538461538498</v>
      </c>
    </row>
    <row r="78" spans="1:15">
      <c r="A78" s="827">
        <v>2002</v>
      </c>
      <c r="B78" s="827" t="s">
        <v>465</v>
      </c>
      <c r="C78" s="827" t="s">
        <v>3387</v>
      </c>
      <c r="D78" s="827">
        <v>-0.86549472626466495</v>
      </c>
      <c r="E78" s="827">
        <v>-1.30745634473565</v>
      </c>
      <c r="F78" s="827">
        <v>-1.6634719147156301</v>
      </c>
      <c r="G78" s="827">
        <v>-1.05744366290822</v>
      </c>
      <c r="H78" s="827">
        <v>-1.24207318356871</v>
      </c>
      <c r="I78" s="827">
        <v>-0.919400903009431</v>
      </c>
      <c r="J78" s="827">
        <v>24.878048780487799</v>
      </c>
      <c r="K78" s="827">
        <v>6.8292682926829302</v>
      </c>
      <c r="L78" s="827">
        <v>7.6923076923076898</v>
      </c>
      <c r="M78" s="827">
        <v>15.1960784313725</v>
      </c>
      <c r="N78" s="827">
        <v>10.047846889952201</v>
      </c>
      <c r="O78" s="827">
        <v>21.634615384615401</v>
      </c>
    </row>
    <row r="79" spans="1:15">
      <c r="A79" s="827">
        <v>2002</v>
      </c>
      <c r="B79" s="827" t="s">
        <v>101</v>
      </c>
      <c r="C79" s="827" t="s">
        <v>3388</v>
      </c>
      <c r="D79" s="827">
        <v>-1.08671016605835</v>
      </c>
      <c r="E79" s="827">
        <v>-0.81811574150029898</v>
      </c>
      <c r="F79" s="827">
        <v>-0.72211372928394602</v>
      </c>
      <c r="G79" s="827">
        <v>-0.88629562661994599</v>
      </c>
      <c r="H79" s="827">
        <v>-1.2493123858542701</v>
      </c>
      <c r="I79" s="827">
        <v>-1.17189450149964</v>
      </c>
      <c r="J79" s="827">
        <v>9.2682926829268304</v>
      </c>
      <c r="K79" s="827">
        <v>22.9268292682927</v>
      </c>
      <c r="L79" s="827">
        <v>24.519230769230798</v>
      </c>
      <c r="M79" s="827">
        <v>19.6078431372549</v>
      </c>
      <c r="N79" s="827">
        <v>9.5693779904306204</v>
      </c>
      <c r="O79" s="827">
        <v>15.865384615384601</v>
      </c>
    </row>
    <row r="80" spans="1:15">
      <c r="A80" s="827">
        <v>2002</v>
      </c>
      <c r="B80" s="827" t="s">
        <v>188</v>
      </c>
      <c r="C80" s="827" t="s">
        <v>3389</v>
      </c>
      <c r="D80" s="827">
        <v>-1.33592402558311</v>
      </c>
      <c r="E80" s="827">
        <v>-1.3461446356859701</v>
      </c>
      <c r="F80" s="827">
        <v>-0.59679404989978901</v>
      </c>
      <c r="G80" s="827">
        <v>-1.4908147697228</v>
      </c>
      <c r="H80" s="827">
        <v>-1.38874122133125</v>
      </c>
      <c r="I80" s="827">
        <v>-1.6366631082434</v>
      </c>
      <c r="J80" s="827">
        <v>0.97560975609756095</v>
      </c>
      <c r="K80" s="827">
        <v>6.3414634146341502</v>
      </c>
      <c r="L80" s="827">
        <v>26.923076923076898</v>
      </c>
      <c r="M80" s="827">
        <v>6.37254901960784</v>
      </c>
      <c r="N80" s="827">
        <v>6.2200956937798999</v>
      </c>
      <c r="O80" s="827">
        <v>5.2884615384615401</v>
      </c>
    </row>
    <row r="81" spans="1:15">
      <c r="A81" s="827">
        <v>2002</v>
      </c>
      <c r="B81" s="827" t="s">
        <v>191</v>
      </c>
      <c r="C81" s="827" t="s">
        <v>3390</v>
      </c>
      <c r="D81" s="827">
        <v>-0.41900781076529597</v>
      </c>
      <c r="E81" s="827">
        <v>-0.39414394772119998</v>
      </c>
      <c r="F81" s="827">
        <v>0.31184320516767</v>
      </c>
      <c r="G81" s="827">
        <v>-0.18885159927995501</v>
      </c>
      <c r="H81" s="827">
        <v>-0.20559411033504099</v>
      </c>
      <c r="I81" s="827">
        <v>-0.55432629376318798</v>
      </c>
      <c r="J81" s="827">
        <v>40.487804878048799</v>
      </c>
      <c r="K81" s="827">
        <v>40.975609756097597</v>
      </c>
      <c r="L81" s="827">
        <v>57.211538461538503</v>
      </c>
      <c r="M81" s="827">
        <v>46.078431372548998</v>
      </c>
      <c r="N81" s="827">
        <v>47.846889952153099</v>
      </c>
      <c r="O81" s="827">
        <v>30.769230769230798</v>
      </c>
    </row>
    <row r="82" spans="1:15">
      <c r="A82" s="827">
        <v>2002</v>
      </c>
      <c r="B82" s="827" t="s">
        <v>195</v>
      </c>
      <c r="C82" s="827" t="s">
        <v>3391</v>
      </c>
      <c r="D82" s="827">
        <v>-0.28637836552650803</v>
      </c>
      <c r="E82" s="827">
        <v>-0.12651413335870301</v>
      </c>
      <c r="F82" s="827">
        <v>-0.24498359219884</v>
      </c>
      <c r="G82" s="827">
        <v>-0.47020063976173798</v>
      </c>
      <c r="H82" s="827">
        <v>-2.5309038328626899E-2</v>
      </c>
      <c r="I82" s="827">
        <v>-5.6891932024972301E-2</v>
      </c>
      <c r="J82" s="827">
        <v>47.317073170731703</v>
      </c>
      <c r="K82" s="827">
        <v>52.195121951219498</v>
      </c>
      <c r="L82" s="827">
        <v>38.942307692307701</v>
      </c>
      <c r="M82" s="827">
        <v>35.294117647058798</v>
      </c>
      <c r="N82" s="827">
        <v>51.674641148325399</v>
      </c>
      <c r="O82" s="827">
        <v>46.153846153846203</v>
      </c>
    </row>
    <row r="83" spans="1:15">
      <c r="A83" s="827">
        <v>2002</v>
      </c>
      <c r="B83" s="827" t="s">
        <v>219</v>
      </c>
      <c r="C83" s="827" t="s">
        <v>3392</v>
      </c>
      <c r="D83" s="827">
        <v>-0.49896088493346602</v>
      </c>
      <c r="E83" s="827">
        <v>-0.49322925288903102</v>
      </c>
      <c r="F83" s="827">
        <v>-0.89625090820575704</v>
      </c>
      <c r="G83" s="827">
        <v>-0.161044706929169</v>
      </c>
      <c r="H83" s="827">
        <v>-1.0081031894470101</v>
      </c>
      <c r="I83" s="827">
        <v>-0.43613174491467199</v>
      </c>
      <c r="J83" s="827">
        <v>37.560975609756099</v>
      </c>
      <c r="K83" s="827">
        <v>35.121951219512198</v>
      </c>
      <c r="L83" s="827">
        <v>19.230769230769202</v>
      </c>
      <c r="M83" s="827">
        <v>47.058823529411796</v>
      </c>
      <c r="N83" s="827">
        <v>18.181818181818201</v>
      </c>
      <c r="O83" s="827">
        <v>37.980769230769198</v>
      </c>
    </row>
    <row r="84" spans="1:15">
      <c r="A84" s="827">
        <v>2002</v>
      </c>
      <c r="B84" s="827" t="s">
        <v>3089</v>
      </c>
      <c r="C84" s="827" t="s">
        <v>3393</v>
      </c>
      <c r="D84" s="827">
        <v>-0.51808465812640303</v>
      </c>
      <c r="E84" s="827">
        <v>-0.94831823572718399</v>
      </c>
      <c r="F84" s="827">
        <v>-1.5652538482215199</v>
      </c>
      <c r="G84" s="827">
        <v>-1.0130672635443401</v>
      </c>
      <c r="H84" s="827">
        <v>-0.98131922645834901</v>
      </c>
      <c r="I84" s="827">
        <v>-1.3335970471385901</v>
      </c>
      <c r="J84" s="827">
        <v>35.609756097560997</v>
      </c>
      <c r="K84" s="827">
        <v>14.634146341463399</v>
      </c>
      <c r="L84" s="827">
        <v>10.096153846153801</v>
      </c>
      <c r="M84" s="827">
        <v>17.647058823529399</v>
      </c>
      <c r="N84" s="827">
        <v>19.138755980861198</v>
      </c>
      <c r="O84" s="827">
        <v>11.057692307692299</v>
      </c>
    </row>
    <row r="85" spans="1:15">
      <c r="A85" s="827">
        <v>2002</v>
      </c>
      <c r="B85" s="827" t="s">
        <v>243</v>
      </c>
      <c r="C85" s="827" t="s">
        <v>3394</v>
      </c>
      <c r="D85" s="827">
        <v>-1.1339441844810101</v>
      </c>
      <c r="E85" s="827">
        <v>-0.42741867283249002</v>
      </c>
      <c r="F85" s="827">
        <v>-1.6206712233484299</v>
      </c>
      <c r="G85" s="827">
        <v>-0.64308937599837301</v>
      </c>
      <c r="H85" s="827">
        <v>-0.96559472773890997</v>
      </c>
      <c r="I85" s="827">
        <v>-0.39072818830591499</v>
      </c>
      <c r="J85" s="827">
        <v>8.2926829268292703</v>
      </c>
      <c r="K85" s="827">
        <v>38.048780487804898</v>
      </c>
      <c r="L85" s="827">
        <v>8.6538461538461497</v>
      </c>
      <c r="M85" s="827">
        <v>26.960784313725501</v>
      </c>
      <c r="N85" s="827">
        <v>20.095693779904298</v>
      </c>
      <c r="O85" s="827">
        <v>39.423076923076898</v>
      </c>
    </row>
    <row r="86" spans="1:15">
      <c r="A86" s="827">
        <v>2002</v>
      </c>
      <c r="B86" s="827" t="s">
        <v>251</v>
      </c>
      <c r="C86" s="827" t="s">
        <v>3395</v>
      </c>
      <c r="D86" s="827">
        <v>-1.2952472882719801</v>
      </c>
      <c r="E86" s="827">
        <v>-1.8768640939889201</v>
      </c>
      <c r="F86" s="827">
        <v>-1.6517407386062</v>
      </c>
      <c r="G86" s="827">
        <v>-1.99402357062673</v>
      </c>
      <c r="H86" s="827">
        <v>-1.47068749235164</v>
      </c>
      <c r="I86" s="827">
        <v>-2.0406064637843202</v>
      </c>
      <c r="J86" s="827">
        <v>1.9512195121951199</v>
      </c>
      <c r="K86" s="827">
        <v>0.97560975609756095</v>
      </c>
      <c r="L86" s="827">
        <v>8.1730769230769198</v>
      </c>
      <c r="M86" s="827">
        <v>0.98039215686274495</v>
      </c>
      <c r="N86" s="827">
        <v>4.7846889952153102</v>
      </c>
      <c r="O86" s="827">
        <v>0.480769230769231</v>
      </c>
    </row>
    <row r="87" spans="1:15">
      <c r="A87" s="827">
        <v>2002</v>
      </c>
      <c r="B87" s="827" t="s">
        <v>280</v>
      </c>
      <c r="C87" s="827" t="s">
        <v>3396</v>
      </c>
      <c r="D87" s="827">
        <v>-1.06069622917774</v>
      </c>
      <c r="E87" s="827">
        <v>-0.92290124495542203</v>
      </c>
      <c r="F87" s="827">
        <v>0.29121676072387598</v>
      </c>
      <c r="G87" s="827">
        <v>-0.72667817408938795</v>
      </c>
      <c r="H87" s="827">
        <v>-1.12108084460063</v>
      </c>
      <c r="I87" s="827">
        <v>-1.08792295969663</v>
      </c>
      <c r="J87" s="827">
        <v>10.243902439024399</v>
      </c>
      <c r="K87" s="827">
        <v>17.0731707317073</v>
      </c>
      <c r="L87" s="827">
        <v>56.730769230769198</v>
      </c>
      <c r="M87" s="827">
        <v>23.529411764705898</v>
      </c>
      <c r="N87" s="827">
        <v>13.8755980861244</v>
      </c>
      <c r="O87" s="827">
        <v>18.269230769230798</v>
      </c>
    </row>
    <row r="88" spans="1:15">
      <c r="A88" s="827">
        <v>2002</v>
      </c>
      <c r="B88" s="827" t="s">
        <v>285</v>
      </c>
      <c r="C88" s="827" t="s">
        <v>3397</v>
      </c>
      <c r="D88" s="827">
        <v>-0.86439885104624503</v>
      </c>
      <c r="E88" s="827">
        <v>-0.66626719214276098</v>
      </c>
      <c r="F88" s="827">
        <v>-0.78018384422063003</v>
      </c>
      <c r="G88" s="827">
        <v>-0.14676772644104999</v>
      </c>
      <c r="H88" s="827">
        <v>-0.75766076651631198</v>
      </c>
      <c r="I88" s="827">
        <v>-1.01967124012873</v>
      </c>
      <c r="J88" s="827">
        <v>25.365853658536601</v>
      </c>
      <c r="K88" s="827">
        <v>28.780487804878</v>
      </c>
      <c r="L88" s="827">
        <v>23.557692307692299</v>
      </c>
      <c r="M88" s="827">
        <v>48.529411764705898</v>
      </c>
      <c r="N88" s="827">
        <v>27.7511961722488</v>
      </c>
      <c r="O88" s="827">
        <v>19.711538461538499</v>
      </c>
    </row>
    <row r="89" spans="1:15">
      <c r="A89" s="827">
        <v>2002</v>
      </c>
      <c r="B89" s="827" t="s">
        <v>301</v>
      </c>
      <c r="C89" s="827" t="s">
        <v>3398</v>
      </c>
      <c r="D89" s="827">
        <v>-1.1730001241890899</v>
      </c>
      <c r="E89" s="827">
        <v>-1.6087571119016699</v>
      </c>
      <c r="F89" s="827">
        <v>-2.2819317212401402</v>
      </c>
      <c r="G89" s="827">
        <v>-1.74340604625955</v>
      </c>
      <c r="H89" s="827">
        <v>-1.8552390877167599</v>
      </c>
      <c r="I89" s="827">
        <v>-1.3788780007894601</v>
      </c>
      <c r="J89" s="827">
        <v>5.3658536585365901</v>
      </c>
      <c r="K89" s="827">
        <v>3.4146341463414598</v>
      </c>
      <c r="L89" s="827">
        <v>0.96153846153846201</v>
      </c>
      <c r="M89" s="827">
        <v>3.9215686274509798</v>
      </c>
      <c r="N89" s="827">
        <v>0.95693779904306198</v>
      </c>
      <c r="O89" s="827">
        <v>10.5769230769231</v>
      </c>
    </row>
    <row r="90" spans="1:15">
      <c r="A90" s="827">
        <v>2002</v>
      </c>
      <c r="B90" s="827" t="s">
        <v>316</v>
      </c>
      <c r="C90" s="827" t="s">
        <v>3399</v>
      </c>
      <c r="D90" s="827">
        <v>5.8390450788279702E-2</v>
      </c>
      <c r="E90" s="827">
        <v>-0.47033030575982199</v>
      </c>
      <c r="F90" s="827">
        <v>-0.29141471823586801</v>
      </c>
      <c r="G90" s="827">
        <v>-0.275766713924323</v>
      </c>
      <c r="H90" s="827">
        <v>-0.26747297628721201</v>
      </c>
      <c r="I90" s="827">
        <v>-0.189454626365612</v>
      </c>
      <c r="J90" s="827">
        <v>60.975609756097597</v>
      </c>
      <c r="K90" s="827">
        <v>36.097560975609802</v>
      </c>
      <c r="L90" s="827">
        <v>36.057692307692299</v>
      </c>
      <c r="M90" s="827">
        <v>42.647058823529399</v>
      </c>
      <c r="N90" s="827">
        <v>46.4114832535885</v>
      </c>
      <c r="O90" s="827">
        <v>43.75</v>
      </c>
    </row>
    <row r="91" spans="1:15">
      <c r="A91" s="827">
        <v>2002</v>
      </c>
      <c r="B91" s="827" t="s">
        <v>329</v>
      </c>
      <c r="C91" s="827" t="s">
        <v>3400</v>
      </c>
      <c r="D91" s="827">
        <v>-0.53165078577755898</v>
      </c>
      <c r="E91" s="827">
        <v>-0.60031477449362103</v>
      </c>
      <c r="F91" s="827">
        <v>0.28689688095244598</v>
      </c>
      <c r="G91" s="827">
        <v>-0.45829491518332499</v>
      </c>
      <c r="H91" s="827">
        <v>-0.31985702815739597</v>
      </c>
      <c r="I91" s="827">
        <v>0.26374009054944297</v>
      </c>
      <c r="J91" s="827">
        <v>35.121951219512198</v>
      </c>
      <c r="K91" s="827">
        <v>31.707317073170699</v>
      </c>
      <c r="L91" s="827">
        <v>56.25</v>
      </c>
      <c r="M91" s="827">
        <v>36.274509803921603</v>
      </c>
      <c r="N91" s="827">
        <v>44.497607655502399</v>
      </c>
      <c r="O91" s="827">
        <v>54.807692307692299</v>
      </c>
    </row>
    <row r="92" spans="1:15">
      <c r="A92" s="827">
        <v>2002</v>
      </c>
      <c r="B92" s="827" t="s">
        <v>345</v>
      </c>
      <c r="C92" s="827" t="s">
        <v>3401</v>
      </c>
      <c r="D92" s="827">
        <v>0.23463171352600901</v>
      </c>
      <c r="E92" s="827">
        <v>-2.3831401047198501E-2</v>
      </c>
      <c r="F92" s="827">
        <v>0.28606670076957003</v>
      </c>
      <c r="G92" s="827">
        <v>0.30586751514850602</v>
      </c>
      <c r="H92" s="827">
        <v>-0.46549253234097199</v>
      </c>
      <c r="I92" s="827">
        <v>-0.84830305020458197</v>
      </c>
      <c r="J92" s="827">
        <v>62.9268292682927</v>
      </c>
      <c r="K92" s="827">
        <v>56.585365853658502</v>
      </c>
      <c r="L92" s="827">
        <v>55.769230769230802</v>
      </c>
      <c r="M92" s="827">
        <v>62.254901960784302</v>
      </c>
      <c r="N92" s="827">
        <v>37.320574162679399</v>
      </c>
      <c r="O92" s="827">
        <v>23.076923076923102</v>
      </c>
    </row>
    <row r="93" spans="1:15">
      <c r="A93" s="827">
        <v>2002</v>
      </c>
      <c r="B93" s="827" t="s">
        <v>385</v>
      </c>
      <c r="C93" s="827" t="s">
        <v>3402</v>
      </c>
      <c r="D93" s="827">
        <v>-0.446163252536801</v>
      </c>
      <c r="E93" s="827">
        <v>-0.356587429572571</v>
      </c>
      <c r="F93" s="827">
        <v>0.124214370216793</v>
      </c>
      <c r="G93" s="827">
        <v>-0.30844785038307099</v>
      </c>
      <c r="H93" s="827">
        <v>-0.64927918680031005</v>
      </c>
      <c r="I93" s="827">
        <v>-0.224967600016348</v>
      </c>
      <c r="J93" s="827">
        <v>39.512195121951201</v>
      </c>
      <c r="K93" s="827">
        <v>42.9268292682927</v>
      </c>
      <c r="L93" s="827">
        <v>47.596153846153797</v>
      </c>
      <c r="M93" s="827">
        <v>41.176470588235297</v>
      </c>
      <c r="N93" s="827">
        <v>32.0574162679426</v>
      </c>
      <c r="O93" s="827">
        <v>41.826923076923102</v>
      </c>
    </row>
    <row r="94" spans="1:15">
      <c r="A94" s="827">
        <v>2002</v>
      </c>
      <c r="B94" s="827" t="s">
        <v>394</v>
      </c>
      <c r="C94" s="827" t="s">
        <v>3403</v>
      </c>
      <c r="D94" s="827">
        <v>-1.06772173107751</v>
      </c>
      <c r="E94" s="827">
        <v>-0.88529105512337303</v>
      </c>
      <c r="F94" s="827">
        <v>-0.25247025055462002</v>
      </c>
      <c r="G94" s="827">
        <v>-0.71098841312570504</v>
      </c>
      <c r="H94" s="827">
        <v>-0.775559462818743</v>
      </c>
      <c r="I94" s="827">
        <v>-0.27867945822184598</v>
      </c>
      <c r="J94" s="827">
        <v>9.7560975609756095</v>
      </c>
      <c r="K94" s="827">
        <v>18.5365853658537</v>
      </c>
      <c r="L94" s="827">
        <v>37.980769230769198</v>
      </c>
      <c r="M94" s="827">
        <v>25</v>
      </c>
      <c r="N94" s="827">
        <v>26.7942583732057</v>
      </c>
      <c r="O94" s="827">
        <v>41.346153846153797</v>
      </c>
    </row>
    <row r="95" spans="1:15">
      <c r="A95" s="827">
        <v>2002</v>
      </c>
      <c r="B95" s="827" t="s">
        <v>413</v>
      </c>
      <c r="C95" s="827" t="s">
        <v>3404</v>
      </c>
      <c r="D95" s="827">
        <v>-1.3332746391191099</v>
      </c>
      <c r="E95" s="827">
        <v>-1.05643074934563</v>
      </c>
      <c r="F95" s="827">
        <v>-1.6973673794058299</v>
      </c>
      <c r="G95" s="827">
        <v>-1.2265490649911699</v>
      </c>
      <c r="H95" s="827">
        <v>-1.4818975162791199</v>
      </c>
      <c r="I95" s="827">
        <v>-0.71183277849603599</v>
      </c>
      <c r="J95" s="827">
        <v>1.4634146341463401</v>
      </c>
      <c r="K95" s="827">
        <v>11.707317073170699</v>
      </c>
      <c r="L95" s="827">
        <v>7.2115384615384599</v>
      </c>
      <c r="M95" s="827">
        <v>11.764705882352899</v>
      </c>
      <c r="N95" s="827">
        <v>4.3062200956937797</v>
      </c>
      <c r="O95" s="827">
        <v>27.403846153846199</v>
      </c>
    </row>
    <row r="96" spans="1:15">
      <c r="A96" s="827">
        <v>2002</v>
      </c>
      <c r="B96" s="827" t="s">
        <v>449</v>
      </c>
      <c r="C96" s="827" t="s">
        <v>3405</v>
      </c>
      <c r="D96" s="827">
        <v>-0.30329569459617101</v>
      </c>
      <c r="E96" s="827">
        <v>-0.35153588053474</v>
      </c>
      <c r="F96" s="827">
        <v>-1.04714507416125</v>
      </c>
      <c r="G96" s="827">
        <v>2.6886831047618399E-2</v>
      </c>
      <c r="H96" s="827">
        <v>-0.54278207386569999</v>
      </c>
      <c r="I96" s="827">
        <v>0.13598284325021601</v>
      </c>
      <c r="J96" s="827">
        <v>46.341463414634099</v>
      </c>
      <c r="K96" s="827">
        <v>43.414634146341498</v>
      </c>
      <c r="L96" s="827">
        <v>18.269230769230798</v>
      </c>
      <c r="M96" s="827">
        <v>55.882352941176499</v>
      </c>
      <c r="N96" s="827">
        <v>35.885167464114801</v>
      </c>
      <c r="O96" s="827">
        <v>51.923076923076898</v>
      </c>
    </row>
    <row r="97" spans="1:15">
      <c r="A97" s="827">
        <v>2002</v>
      </c>
      <c r="B97" s="827" t="s">
        <v>488</v>
      </c>
      <c r="C97" s="827" t="s">
        <v>3406</v>
      </c>
      <c r="D97" s="827">
        <v>-0.74711413564765805</v>
      </c>
      <c r="E97" s="827">
        <v>-1.5143031298218901</v>
      </c>
      <c r="F97" s="827">
        <v>-0.85683467991427598</v>
      </c>
      <c r="G97" s="827">
        <v>-1.2629610599794401</v>
      </c>
      <c r="H97" s="827">
        <v>-1.3283384515630099</v>
      </c>
      <c r="I97" s="827">
        <v>-0.67850506240365804</v>
      </c>
      <c r="J97" s="827">
        <v>30.243902439024399</v>
      </c>
      <c r="K97" s="827">
        <v>4.8780487804878003</v>
      </c>
      <c r="L97" s="827">
        <v>21.153846153846199</v>
      </c>
      <c r="M97" s="827">
        <v>10.7843137254902</v>
      </c>
      <c r="N97" s="827">
        <v>7.6555023923445003</v>
      </c>
      <c r="O97" s="827">
        <v>28.365384615384599</v>
      </c>
    </row>
    <row r="98" spans="1:15">
      <c r="A98" s="827">
        <v>2002</v>
      </c>
      <c r="B98" s="827" t="s">
        <v>499</v>
      </c>
      <c r="C98" s="827" t="s">
        <v>3407</v>
      </c>
      <c r="D98" s="827">
        <v>-0.94099024936442199</v>
      </c>
      <c r="E98" s="827">
        <v>-0.40241790532937399</v>
      </c>
      <c r="F98" s="827">
        <v>-0.34766269119858101</v>
      </c>
      <c r="G98" s="827">
        <v>-0.55842303155894502</v>
      </c>
      <c r="H98" s="827">
        <v>-0.38817887322443101</v>
      </c>
      <c r="I98" s="827">
        <v>-0.413265487469128</v>
      </c>
      <c r="J98" s="827">
        <v>20.487804878048799</v>
      </c>
      <c r="K98" s="827">
        <v>40.487804878048799</v>
      </c>
      <c r="L98" s="827">
        <v>34.134615384615401</v>
      </c>
      <c r="M98" s="827">
        <v>31.862745098039198</v>
      </c>
      <c r="N98" s="827">
        <v>41.1483253588517</v>
      </c>
      <c r="O98" s="827">
        <v>38.942307692307701</v>
      </c>
    </row>
    <row r="99" spans="1:15">
      <c r="A99" s="827">
        <v>2002</v>
      </c>
      <c r="B99" s="827" t="s">
        <v>517</v>
      </c>
      <c r="C99" s="827" t="s">
        <v>3408</v>
      </c>
      <c r="D99" s="827">
        <v>-0.76869416339014096</v>
      </c>
      <c r="E99" s="827">
        <v>-1.37072477829452</v>
      </c>
      <c r="F99" s="827">
        <v>-4.7440910169324897E-2</v>
      </c>
      <c r="G99" s="827">
        <v>-0.73076728748070396</v>
      </c>
      <c r="H99" s="827">
        <v>-0.79210912297646596</v>
      </c>
      <c r="I99" s="827">
        <v>-1.4708853359998999</v>
      </c>
      <c r="J99" s="827">
        <v>29.268292682926798</v>
      </c>
      <c r="K99" s="827">
        <v>5.8536585365853702</v>
      </c>
      <c r="L99" s="827">
        <v>43.75</v>
      </c>
      <c r="M99" s="827">
        <v>22.5490196078431</v>
      </c>
      <c r="N99" s="827">
        <v>26.315789473684202</v>
      </c>
      <c r="O99" s="827">
        <v>9.6153846153846203</v>
      </c>
    </row>
    <row r="100" spans="1:15">
      <c r="A100" s="827">
        <v>2002</v>
      </c>
      <c r="B100" s="827" t="s">
        <v>3090</v>
      </c>
      <c r="C100" s="827" t="s">
        <v>3409</v>
      </c>
      <c r="D100" s="827">
        <v>-0.51782172288828099</v>
      </c>
      <c r="E100" s="827">
        <v>-0.80158914494760103</v>
      </c>
      <c r="F100" s="827">
        <v>-0.63770709454354202</v>
      </c>
      <c r="G100" s="827">
        <v>-1.29209038521786</v>
      </c>
      <c r="H100" s="827">
        <v>-1.0899934141323899</v>
      </c>
      <c r="I100" s="827">
        <v>0.34324177505597903</v>
      </c>
      <c r="J100" s="827">
        <v>36.097560975609802</v>
      </c>
      <c r="K100" s="827">
        <v>25.365853658536601</v>
      </c>
      <c r="L100" s="827">
        <v>25.480769230769202</v>
      </c>
      <c r="M100" s="827">
        <v>9.8039215686274499</v>
      </c>
      <c r="N100" s="827">
        <v>15.311004784689001</v>
      </c>
      <c r="O100" s="827">
        <v>57.692307692307701</v>
      </c>
    </row>
    <row r="101" spans="1:15">
      <c r="A101" s="827">
        <v>2002</v>
      </c>
      <c r="B101" s="827" t="s">
        <v>3091</v>
      </c>
      <c r="C101" s="827" t="s">
        <v>3410</v>
      </c>
      <c r="D101" s="827">
        <v>-0.17786109007516099</v>
      </c>
      <c r="E101" s="827">
        <v>0.34575392440070501</v>
      </c>
      <c r="F101" s="827">
        <v>-0.194503132334303</v>
      </c>
      <c r="G101" s="827">
        <v>0.71338557806315395</v>
      </c>
      <c r="H101" s="827">
        <v>0.39098900832983602</v>
      </c>
      <c r="I101" s="827">
        <v>0.52100354673839799</v>
      </c>
      <c r="J101" s="827">
        <v>52.682926829268297</v>
      </c>
      <c r="K101" s="827">
        <v>65.365853658536594</v>
      </c>
      <c r="L101" s="827">
        <v>39.903846153846203</v>
      </c>
      <c r="M101" s="827">
        <v>72.549019607843107</v>
      </c>
      <c r="N101" s="827">
        <v>63.157894736842103</v>
      </c>
      <c r="O101" s="827">
        <v>63.461538461538503</v>
      </c>
    </row>
    <row r="102" spans="1:15">
      <c r="A102" s="827">
        <v>2002</v>
      </c>
      <c r="B102" s="827" t="s">
        <v>3092</v>
      </c>
      <c r="C102" s="827" t="s">
        <v>3411</v>
      </c>
      <c r="D102" s="827">
        <v>-0.95130181735963704</v>
      </c>
      <c r="E102" s="827">
        <v>-0.81239943451083196</v>
      </c>
      <c r="F102" s="827">
        <v>-1.39704330973853</v>
      </c>
      <c r="G102" s="827">
        <v>-0.82153909965421401</v>
      </c>
      <c r="H102" s="827">
        <v>-1.5152172018082299</v>
      </c>
      <c r="I102" s="827">
        <v>-1.2055715919221499</v>
      </c>
      <c r="J102" s="827">
        <v>17.0731707317073</v>
      </c>
      <c r="K102" s="827">
        <v>23.414634146341498</v>
      </c>
      <c r="L102" s="827">
        <v>12.0192307692308</v>
      </c>
      <c r="M102" s="827">
        <v>20.098039215686299</v>
      </c>
      <c r="N102" s="827">
        <v>3.8277511961722501</v>
      </c>
      <c r="O102" s="827">
        <v>14.903846153846199</v>
      </c>
    </row>
    <row r="103" spans="1:15">
      <c r="A103" s="827">
        <v>2002</v>
      </c>
      <c r="B103" s="827" t="s">
        <v>541</v>
      </c>
      <c r="C103" s="827" t="s">
        <v>3412</v>
      </c>
      <c r="D103" s="827">
        <v>-0.93746043185613404</v>
      </c>
      <c r="E103" s="827">
        <v>-0.80718869750100997</v>
      </c>
      <c r="F103" s="827">
        <v>-0.35042005637546603</v>
      </c>
      <c r="G103" s="827">
        <v>-0.61292500109377701</v>
      </c>
      <c r="H103" s="827">
        <v>-0.39413795015612202</v>
      </c>
      <c r="I103" s="827">
        <v>-0.36958734858390502</v>
      </c>
      <c r="J103" s="827">
        <v>20.975609756097601</v>
      </c>
      <c r="K103" s="827">
        <v>24.390243902439</v>
      </c>
      <c r="L103" s="827">
        <v>33.173076923076898</v>
      </c>
      <c r="M103" s="827">
        <v>27.9411764705882</v>
      </c>
      <c r="N103" s="827">
        <v>39.712918660287102</v>
      </c>
      <c r="O103" s="827">
        <v>39.903846153846203</v>
      </c>
    </row>
    <row r="104" spans="1:15">
      <c r="A104" s="827">
        <v>2002</v>
      </c>
      <c r="B104" s="827" t="s">
        <v>364</v>
      </c>
      <c r="C104" s="827" t="s">
        <v>3413</v>
      </c>
      <c r="D104" s="827">
        <v>-1.19388257374969E-2</v>
      </c>
      <c r="E104" s="827">
        <v>-0.19658709963528201</v>
      </c>
      <c r="F104" s="827">
        <v>1.1129740125234</v>
      </c>
      <c r="G104" s="827">
        <v>-8.9377751932021895E-2</v>
      </c>
      <c r="H104" s="827">
        <v>0.11470646881857</v>
      </c>
      <c r="I104" s="827">
        <v>0.33676612242300502</v>
      </c>
      <c r="J104" s="827">
        <v>57.560975609756099</v>
      </c>
      <c r="K104" s="827">
        <v>48.780487804878</v>
      </c>
      <c r="L104" s="827">
        <v>86.538461538461505</v>
      </c>
      <c r="M104" s="827">
        <v>50.490196078431403</v>
      </c>
      <c r="N104" s="827">
        <v>56.937799043062199</v>
      </c>
      <c r="O104" s="827">
        <v>57.211538461538503</v>
      </c>
    </row>
    <row r="105" spans="1:15">
      <c r="A105" s="827">
        <v>2003</v>
      </c>
      <c r="B105" s="827" t="s">
        <v>21</v>
      </c>
      <c r="C105" s="827" t="s">
        <v>3414</v>
      </c>
      <c r="D105" s="827">
        <v>-1.5468523171997299</v>
      </c>
      <c r="E105" s="827">
        <v>-1.17779182730876</v>
      </c>
      <c r="F105" s="827">
        <v>-2.2627972052685701</v>
      </c>
      <c r="G105" s="827">
        <v>-1.4878922758103399</v>
      </c>
      <c r="H105" s="827">
        <v>-1.67100406092841</v>
      </c>
      <c r="I105" s="827">
        <v>-1.28105135486743</v>
      </c>
      <c r="J105" s="827">
        <v>1.9512195121951199</v>
      </c>
      <c r="K105" s="827">
        <v>9.2682926829268304</v>
      </c>
      <c r="L105" s="827">
        <v>1.92307692307692</v>
      </c>
      <c r="M105" s="827">
        <v>5.3921568627451002</v>
      </c>
      <c r="N105" s="827">
        <v>2.39234449760766</v>
      </c>
      <c r="O105" s="827">
        <v>12.0192307692308</v>
      </c>
    </row>
    <row r="106" spans="1:15">
      <c r="A106" s="827">
        <v>2003</v>
      </c>
      <c r="B106" s="827" t="s">
        <v>38</v>
      </c>
      <c r="C106" s="827" t="s">
        <v>3415</v>
      </c>
      <c r="D106" s="827">
        <v>-0.76875006030145898</v>
      </c>
      <c r="E106" s="827">
        <v>-0.60726331197671501</v>
      </c>
      <c r="F106" s="827">
        <v>-0.33053012056952702</v>
      </c>
      <c r="G106" s="827">
        <v>-0.46851510802287699</v>
      </c>
      <c r="H106" s="827">
        <v>-0.87672717391182198</v>
      </c>
      <c r="I106" s="827">
        <v>5.6120474271673201E-2</v>
      </c>
      <c r="J106" s="827">
        <v>25.853658536585399</v>
      </c>
      <c r="K106" s="827">
        <v>31.219512195122</v>
      </c>
      <c r="L106" s="827">
        <v>34.615384615384599</v>
      </c>
      <c r="M106" s="827">
        <v>36.274509803921603</v>
      </c>
      <c r="N106" s="827">
        <v>21.5311004784689</v>
      </c>
      <c r="O106" s="827">
        <v>48.557692307692299</v>
      </c>
    </row>
    <row r="107" spans="1:15">
      <c r="A107" s="827">
        <v>2003</v>
      </c>
      <c r="B107" s="827" t="s">
        <v>53</v>
      </c>
      <c r="C107" s="827" t="s">
        <v>3416</v>
      </c>
      <c r="D107" s="827">
        <v>-0.94683881369947598</v>
      </c>
      <c r="E107" s="827">
        <v>-0.80206008572976895</v>
      </c>
      <c r="F107" s="827">
        <v>-1.00493522862547</v>
      </c>
      <c r="G107" s="827">
        <v>-0.59636023494211399</v>
      </c>
      <c r="H107" s="827">
        <v>-0.81491518451210398</v>
      </c>
      <c r="I107" s="827">
        <v>-1.06133295704847</v>
      </c>
      <c r="J107" s="827">
        <v>15.1219512195122</v>
      </c>
      <c r="K107" s="827">
        <v>21.4634146341463</v>
      </c>
      <c r="L107" s="827">
        <v>19.711538461538499</v>
      </c>
      <c r="M107" s="827">
        <v>28.431372549019599</v>
      </c>
      <c r="N107" s="827">
        <v>24.401913875598101</v>
      </c>
      <c r="O107" s="827">
        <v>20.673076923076898</v>
      </c>
    </row>
    <row r="108" spans="1:15">
      <c r="A108" s="827">
        <v>2003</v>
      </c>
      <c r="B108" s="827" t="s">
        <v>98</v>
      </c>
      <c r="C108" s="827" t="s">
        <v>3417</v>
      </c>
      <c r="D108" s="827">
        <v>-3.3451848581829001E-2</v>
      </c>
      <c r="E108" s="827">
        <v>-0.62039247131674002</v>
      </c>
      <c r="F108" s="827">
        <v>3.5528482039184302E-2</v>
      </c>
      <c r="G108" s="827">
        <v>-0.346066023998651</v>
      </c>
      <c r="H108" s="827">
        <v>-0.56386912553644997</v>
      </c>
      <c r="I108" s="827">
        <v>-0.33061190046486799</v>
      </c>
      <c r="J108" s="827">
        <v>56.585365853658502</v>
      </c>
      <c r="K108" s="827">
        <v>29.756097560975601</v>
      </c>
      <c r="L108" s="827">
        <v>43.269230769230802</v>
      </c>
      <c r="M108" s="827">
        <v>41.6666666666667</v>
      </c>
      <c r="N108" s="827">
        <v>33.492822966507198</v>
      </c>
      <c r="O108" s="827">
        <v>39.423076923076898</v>
      </c>
    </row>
    <row r="109" spans="1:15">
      <c r="A109" s="827">
        <v>2003</v>
      </c>
      <c r="B109" s="827" t="s">
        <v>127</v>
      </c>
      <c r="C109" s="827" t="s">
        <v>3418</v>
      </c>
      <c r="D109" s="827">
        <v>-1.22506020994849</v>
      </c>
      <c r="E109" s="827">
        <v>-1.56644045521326</v>
      </c>
      <c r="F109" s="827">
        <v>-1.5904707636886899</v>
      </c>
      <c r="G109" s="827">
        <v>-1.14208987467238</v>
      </c>
      <c r="H109" s="827">
        <v>-1.57344189114209</v>
      </c>
      <c r="I109" s="827">
        <v>-1.3015627811927299</v>
      </c>
      <c r="J109" s="827">
        <v>7.3170731707317103</v>
      </c>
      <c r="K109" s="827">
        <v>2.4390243902439002</v>
      </c>
      <c r="L109" s="827">
        <v>6.7307692307692299</v>
      </c>
      <c r="M109" s="827">
        <v>13.7254901960784</v>
      </c>
      <c r="N109" s="827">
        <v>4.3062200956937797</v>
      </c>
      <c r="O109" s="827">
        <v>10.5769230769231</v>
      </c>
    </row>
    <row r="110" spans="1:15">
      <c r="A110" s="827">
        <v>2003</v>
      </c>
      <c r="B110" s="827" t="s">
        <v>138</v>
      </c>
      <c r="C110" s="827" t="s">
        <v>3419</v>
      </c>
      <c r="D110" s="827">
        <v>-1.26340546781802</v>
      </c>
      <c r="E110" s="827">
        <v>-1.06041634295269</v>
      </c>
      <c r="F110" s="827">
        <v>-1.4134749774019399</v>
      </c>
      <c r="G110" s="827">
        <v>-0.90534719066675795</v>
      </c>
      <c r="H110" s="827">
        <v>-1.30850336379014</v>
      </c>
      <c r="I110" s="827">
        <v>-1.0994706715537701</v>
      </c>
      <c r="J110" s="827">
        <v>5.3658536585365901</v>
      </c>
      <c r="K110" s="827">
        <v>12.1951219512195</v>
      </c>
      <c r="L110" s="827">
        <v>10.096153846153801</v>
      </c>
      <c r="M110" s="827">
        <v>18.137254901960802</v>
      </c>
      <c r="N110" s="827">
        <v>8.1339712918660307</v>
      </c>
      <c r="O110" s="827">
        <v>18.75</v>
      </c>
    </row>
    <row r="111" spans="1:15">
      <c r="A111" s="827">
        <v>2003</v>
      </c>
      <c r="B111" s="827" t="s">
        <v>171</v>
      </c>
      <c r="C111" s="827" t="s">
        <v>3420</v>
      </c>
      <c r="D111" s="827">
        <v>-1.40683561286214</v>
      </c>
      <c r="E111" s="827">
        <v>-1.6137574335573599</v>
      </c>
      <c r="F111" s="827">
        <v>-2.0832319404245601</v>
      </c>
      <c r="G111" s="827">
        <v>-1.5030809495608399</v>
      </c>
      <c r="H111" s="827">
        <v>-1.7316534868746301</v>
      </c>
      <c r="I111" s="827">
        <v>-1.61400382531693</v>
      </c>
      <c r="J111" s="827">
        <v>3.4146341463414598</v>
      </c>
      <c r="K111" s="827">
        <v>1.9512195121951199</v>
      </c>
      <c r="L111" s="827">
        <v>3.3653846153846199</v>
      </c>
      <c r="M111" s="827">
        <v>4.9019607843137303</v>
      </c>
      <c r="N111" s="827">
        <v>0.95693779904306198</v>
      </c>
      <c r="O111" s="827">
        <v>6.25</v>
      </c>
    </row>
    <row r="112" spans="1:15">
      <c r="A112" s="827">
        <v>2003</v>
      </c>
      <c r="B112" s="827" t="s">
        <v>465</v>
      </c>
      <c r="C112" s="827" t="s">
        <v>3421</v>
      </c>
      <c r="D112" s="827">
        <v>-0.93612678974713703</v>
      </c>
      <c r="E112" s="827">
        <v>-1.31389479499572</v>
      </c>
      <c r="F112" s="827">
        <v>-1.1961792963236799</v>
      </c>
      <c r="G112" s="827">
        <v>-1.1012882677194999</v>
      </c>
      <c r="H112" s="827">
        <v>-1.18607654160455</v>
      </c>
      <c r="I112" s="827">
        <v>-0.78064776802554803</v>
      </c>
      <c r="J112" s="827">
        <v>16.097560975609799</v>
      </c>
      <c r="K112" s="827">
        <v>5.8536585365853702</v>
      </c>
      <c r="L112" s="827">
        <v>15.384615384615399</v>
      </c>
      <c r="M112" s="827">
        <v>14.705882352941201</v>
      </c>
      <c r="N112" s="827">
        <v>12.4401913875598</v>
      </c>
      <c r="O112" s="827">
        <v>25.961538461538499</v>
      </c>
    </row>
    <row r="113" spans="1:15">
      <c r="A113" s="827">
        <v>2003</v>
      </c>
      <c r="B113" s="827" t="s">
        <v>101</v>
      </c>
      <c r="C113" s="827" t="s">
        <v>3422</v>
      </c>
      <c r="D113" s="827">
        <v>-0.86248062128245095</v>
      </c>
      <c r="E113" s="827">
        <v>-0.65344354487143197</v>
      </c>
      <c r="F113" s="827">
        <v>-0.47007963485950599</v>
      </c>
      <c r="G113" s="827">
        <v>-0.83103053297366403</v>
      </c>
      <c r="H113" s="827">
        <v>-1.0929384737715899</v>
      </c>
      <c r="I113" s="827">
        <v>-1.1150972263310801</v>
      </c>
      <c r="J113" s="827">
        <v>18.048780487804901</v>
      </c>
      <c r="K113" s="827">
        <v>28.292682926829301</v>
      </c>
      <c r="L113" s="827">
        <v>29.807692307692299</v>
      </c>
      <c r="M113" s="827">
        <v>19.6078431372549</v>
      </c>
      <c r="N113" s="827">
        <v>15.311004784689001</v>
      </c>
      <c r="O113" s="827">
        <v>18.269230769230798</v>
      </c>
    </row>
    <row r="114" spans="1:15">
      <c r="A114" s="827">
        <v>2003</v>
      </c>
      <c r="B114" s="827" t="s">
        <v>188</v>
      </c>
      <c r="C114" s="827" t="s">
        <v>3423</v>
      </c>
      <c r="D114" s="827">
        <v>-1.5513823792879899</v>
      </c>
      <c r="E114" s="827">
        <v>-1.2445777260072499</v>
      </c>
      <c r="F114" s="827">
        <v>5.43976750975158E-2</v>
      </c>
      <c r="G114" s="827">
        <v>-1.39788243285272</v>
      </c>
      <c r="H114" s="827">
        <v>-1.34832480929555</v>
      </c>
      <c r="I114" s="827">
        <v>-1.6992575400779999</v>
      </c>
      <c r="J114" s="827">
        <v>1.4634146341463401</v>
      </c>
      <c r="K114" s="827">
        <v>7.8048780487804903</v>
      </c>
      <c r="L114" s="827">
        <v>45.673076923076898</v>
      </c>
      <c r="M114" s="827">
        <v>7.8431372549019596</v>
      </c>
      <c r="N114" s="827">
        <v>7.6555023923445003</v>
      </c>
      <c r="O114" s="827">
        <v>4.3269230769230802</v>
      </c>
    </row>
    <row r="115" spans="1:15">
      <c r="A115" s="827">
        <v>2003</v>
      </c>
      <c r="B115" s="827" t="s">
        <v>191</v>
      </c>
      <c r="C115" s="827" t="s">
        <v>3424</v>
      </c>
      <c r="D115" s="827">
        <v>-0.47456707136799298</v>
      </c>
      <c r="E115" s="827">
        <v>-0.47652757192383499</v>
      </c>
      <c r="F115" s="827">
        <v>0.25092569225897698</v>
      </c>
      <c r="G115" s="827">
        <v>-0.164618355012664</v>
      </c>
      <c r="H115" s="827">
        <v>-0.38736884113868297</v>
      </c>
      <c r="I115" s="827">
        <v>-0.67719209751221698</v>
      </c>
      <c r="J115" s="827">
        <v>40.487804878048799</v>
      </c>
      <c r="K115" s="827">
        <v>35.609756097560997</v>
      </c>
      <c r="L115" s="827">
        <v>53.365384615384599</v>
      </c>
      <c r="M115" s="827">
        <v>48.529411764705898</v>
      </c>
      <c r="N115" s="827">
        <v>41.626794258373202</v>
      </c>
      <c r="O115" s="827">
        <v>26.923076923076898</v>
      </c>
    </row>
    <row r="116" spans="1:15">
      <c r="A116" s="827">
        <v>2003</v>
      </c>
      <c r="B116" s="827" t="s">
        <v>195</v>
      </c>
      <c r="C116" s="827" t="s">
        <v>3425</v>
      </c>
      <c r="D116" s="827">
        <v>-0.237874636227453</v>
      </c>
      <c r="E116" s="827">
        <v>-0.185727309319666</v>
      </c>
      <c r="F116" s="827">
        <v>-1.71982842899851E-2</v>
      </c>
      <c r="G116" s="827">
        <v>-0.281998485217754</v>
      </c>
      <c r="H116" s="827">
        <v>-4.8845369429473401E-3</v>
      </c>
      <c r="I116" s="827">
        <v>0.27518053770302098</v>
      </c>
      <c r="J116" s="827">
        <v>49.268292682926798</v>
      </c>
      <c r="K116" s="827">
        <v>52.195121951219498</v>
      </c>
      <c r="L116" s="827">
        <v>40.384615384615401</v>
      </c>
      <c r="M116" s="827">
        <v>45.098039215686299</v>
      </c>
      <c r="N116" s="827">
        <v>53.110047846889998</v>
      </c>
      <c r="O116" s="827">
        <v>55.288461538461497</v>
      </c>
    </row>
    <row r="117" spans="1:15">
      <c r="A117" s="827">
        <v>2003</v>
      </c>
      <c r="B117" s="827" t="s">
        <v>219</v>
      </c>
      <c r="C117" s="827" t="s">
        <v>3426</v>
      </c>
      <c r="D117" s="827">
        <v>-0.66527557844263596</v>
      </c>
      <c r="E117" s="827">
        <v>-0.44750291211492998</v>
      </c>
      <c r="F117" s="827">
        <v>-0.81811974656328501</v>
      </c>
      <c r="G117" s="827">
        <v>-0.34075267123297198</v>
      </c>
      <c r="H117" s="827">
        <v>-1.1045592597140801</v>
      </c>
      <c r="I117" s="827">
        <v>-0.52730524795143097</v>
      </c>
      <c r="J117" s="827">
        <v>30.731707317073202</v>
      </c>
      <c r="K117" s="827">
        <v>38.536585365853703</v>
      </c>
      <c r="L117" s="827">
        <v>23.557692307692299</v>
      </c>
      <c r="M117" s="827">
        <v>42.156862745098003</v>
      </c>
      <c r="N117" s="827">
        <v>14.3540669856459</v>
      </c>
      <c r="O117" s="827">
        <v>32.692307692307701</v>
      </c>
    </row>
    <row r="118" spans="1:15">
      <c r="A118" s="827">
        <v>2003</v>
      </c>
      <c r="B118" s="827" t="s">
        <v>3089</v>
      </c>
      <c r="C118" s="827" t="s">
        <v>3427</v>
      </c>
      <c r="D118" s="827">
        <v>-0.74937197647105203</v>
      </c>
      <c r="E118" s="827">
        <v>-0.76062386589426201</v>
      </c>
      <c r="F118" s="827">
        <v>-0.84121096831298603</v>
      </c>
      <c r="G118" s="827">
        <v>-0.98193385710964598</v>
      </c>
      <c r="H118" s="827">
        <v>-1.1065102573497101</v>
      </c>
      <c r="I118" s="827">
        <v>-1.2168847799112601</v>
      </c>
      <c r="J118" s="827">
        <v>26.829268292682901</v>
      </c>
      <c r="K118" s="827">
        <v>22.9268292682927</v>
      </c>
      <c r="L118" s="827">
        <v>22.596153846153801</v>
      </c>
      <c r="M118" s="827">
        <v>17.156862745098</v>
      </c>
      <c r="N118" s="827">
        <v>13.8755980861244</v>
      </c>
      <c r="O118" s="827">
        <v>15.384615384615399</v>
      </c>
    </row>
    <row r="119" spans="1:15">
      <c r="A119" s="827">
        <v>2003</v>
      </c>
      <c r="B119" s="827" t="s">
        <v>243</v>
      </c>
      <c r="C119" s="827" t="s">
        <v>3428</v>
      </c>
      <c r="D119" s="827">
        <v>-0.95995278912828697</v>
      </c>
      <c r="E119" s="827">
        <v>-0.45118457540198098</v>
      </c>
      <c r="F119" s="827">
        <v>-2.1180679293371898</v>
      </c>
      <c r="G119" s="827">
        <v>-0.78109817782047997</v>
      </c>
      <c r="H119" s="827">
        <v>-0.89167866817614005</v>
      </c>
      <c r="I119" s="827">
        <v>-0.38186459777605403</v>
      </c>
      <c r="J119" s="827">
        <v>14.634146341463399</v>
      </c>
      <c r="K119" s="827">
        <v>37.560975609756099</v>
      </c>
      <c r="L119" s="827">
        <v>2.8846153846153801</v>
      </c>
      <c r="M119" s="827">
        <v>20.588235294117599</v>
      </c>
      <c r="N119" s="827">
        <v>20.5741626794258</v>
      </c>
      <c r="O119" s="827">
        <v>37.019230769230802</v>
      </c>
    </row>
    <row r="120" spans="1:15">
      <c r="A120" s="827">
        <v>2003</v>
      </c>
      <c r="B120" s="827" t="s">
        <v>251</v>
      </c>
      <c r="C120" s="827" t="s">
        <v>3429</v>
      </c>
      <c r="D120" s="827">
        <v>-1.21793601963801</v>
      </c>
      <c r="E120" s="827">
        <v>-1.6602470452850799</v>
      </c>
      <c r="F120" s="827">
        <v>-2.43063898810871</v>
      </c>
      <c r="G120" s="827">
        <v>-1.4300775868522999</v>
      </c>
      <c r="H120" s="827">
        <v>-1.66573552643916</v>
      </c>
      <c r="I120" s="827">
        <v>-1.4640229217935401</v>
      </c>
      <c r="J120" s="827">
        <v>8.2926829268292703</v>
      </c>
      <c r="K120" s="827">
        <v>1.4634146341463401</v>
      </c>
      <c r="L120" s="827">
        <v>0.480769230769231</v>
      </c>
      <c r="M120" s="827">
        <v>7.3529411764705896</v>
      </c>
      <c r="N120" s="827">
        <v>2.87081339712919</v>
      </c>
      <c r="O120" s="827">
        <v>9.1346153846153904</v>
      </c>
    </row>
    <row r="121" spans="1:15">
      <c r="A121" s="827">
        <v>2003</v>
      </c>
      <c r="B121" s="827" t="s">
        <v>280</v>
      </c>
      <c r="C121" s="827" t="s">
        <v>3430</v>
      </c>
      <c r="D121" s="827">
        <v>-0.98377721995086298</v>
      </c>
      <c r="E121" s="827">
        <v>-0.65468936859802196</v>
      </c>
      <c r="F121" s="827">
        <v>0.32480099606506901</v>
      </c>
      <c r="G121" s="827">
        <v>-0.476076285375231</v>
      </c>
      <c r="H121" s="827">
        <v>-1.0533946989021199</v>
      </c>
      <c r="I121" s="827">
        <v>-1.1455424884837899</v>
      </c>
      <c r="J121" s="827">
        <v>13.6585365853659</v>
      </c>
      <c r="K121" s="827">
        <v>27.804878048780498</v>
      </c>
      <c r="L121" s="827">
        <v>57.211538461538503</v>
      </c>
      <c r="M121" s="827">
        <v>34.313725490196099</v>
      </c>
      <c r="N121" s="827">
        <v>16.267942583732101</v>
      </c>
      <c r="O121" s="827">
        <v>16.826923076923102</v>
      </c>
    </row>
    <row r="122" spans="1:15">
      <c r="A122" s="827">
        <v>2003</v>
      </c>
      <c r="B122" s="827" t="s">
        <v>285</v>
      </c>
      <c r="C122" s="827" t="s">
        <v>3431</v>
      </c>
      <c r="D122" s="827">
        <v>-0.90027583478207795</v>
      </c>
      <c r="E122" s="827">
        <v>-0.63563651743127103</v>
      </c>
      <c r="F122" s="827">
        <v>-1.14995004560727</v>
      </c>
      <c r="G122" s="827">
        <v>-0.40897729805391297</v>
      </c>
      <c r="H122" s="827">
        <v>-0.74376823697550098</v>
      </c>
      <c r="I122" s="827">
        <v>-1.0594367105284399</v>
      </c>
      <c r="J122" s="827">
        <v>17.560975609756099</v>
      </c>
      <c r="K122" s="827">
        <v>28.780487804878</v>
      </c>
      <c r="L122" s="827">
        <v>16.826923076923102</v>
      </c>
      <c r="M122" s="827">
        <v>39.705882352941202</v>
      </c>
      <c r="N122" s="827">
        <v>27.7511961722488</v>
      </c>
      <c r="O122" s="827">
        <v>21.153846153846199</v>
      </c>
    </row>
    <row r="123" spans="1:15">
      <c r="A123" s="827">
        <v>2003</v>
      </c>
      <c r="B123" s="827" t="s">
        <v>301</v>
      </c>
      <c r="C123" s="827" t="s">
        <v>3432</v>
      </c>
      <c r="D123" s="827">
        <v>-1.2181029621486501</v>
      </c>
      <c r="E123" s="827">
        <v>-1.5051684318591001</v>
      </c>
      <c r="F123" s="827">
        <v>-2.2157421302950402</v>
      </c>
      <c r="G123" s="827">
        <v>-1.6936269812992699</v>
      </c>
      <c r="H123" s="827">
        <v>-1.69487312234392</v>
      </c>
      <c r="I123" s="827">
        <v>-1.5330697076015301</v>
      </c>
      <c r="J123" s="827">
        <v>7.8048780487804903</v>
      </c>
      <c r="K123" s="827">
        <v>4.3902439024390203</v>
      </c>
      <c r="L123" s="827">
        <v>2.4038461538461502</v>
      </c>
      <c r="M123" s="827">
        <v>2.9411764705882399</v>
      </c>
      <c r="N123" s="827">
        <v>1.4354066985645899</v>
      </c>
      <c r="O123" s="827">
        <v>7.6923076923076898</v>
      </c>
    </row>
    <row r="124" spans="1:15">
      <c r="A124" s="827">
        <v>2003</v>
      </c>
      <c r="B124" s="827" t="s">
        <v>316</v>
      </c>
      <c r="C124" s="827" t="s">
        <v>3433</v>
      </c>
      <c r="D124" s="827">
        <v>6.1684918888792697E-2</v>
      </c>
      <c r="E124" s="827">
        <v>-0.45010715008604502</v>
      </c>
      <c r="F124" s="827">
        <v>0.58605029614766402</v>
      </c>
      <c r="G124" s="827">
        <v>-0.28848411046912997</v>
      </c>
      <c r="H124" s="827">
        <v>-0.203116001902059</v>
      </c>
      <c r="I124" s="827">
        <v>2.85738991039277E-2</v>
      </c>
      <c r="J124" s="827">
        <v>57.560975609756099</v>
      </c>
      <c r="K124" s="827">
        <v>38.048780487804898</v>
      </c>
      <c r="L124" s="827">
        <v>64.903846153846203</v>
      </c>
      <c r="M124" s="827">
        <v>44.117647058823501</v>
      </c>
      <c r="N124" s="827">
        <v>45.933014354066998</v>
      </c>
      <c r="O124" s="827">
        <v>47.596153846153797</v>
      </c>
    </row>
    <row r="125" spans="1:15">
      <c r="A125" s="827">
        <v>2003</v>
      </c>
      <c r="B125" s="827" t="s">
        <v>329</v>
      </c>
      <c r="C125" s="827" t="s">
        <v>3434</v>
      </c>
      <c r="D125" s="827">
        <v>-0.54018012245117897</v>
      </c>
      <c r="E125" s="827">
        <v>-0.59823957663424698</v>
      </c>
      <c r="F125" s="827">
        <v>0.23335735648494299</v>
      </c>
      <c r="G125" s="827">
        <v>-0.508661754079064</v>
      </c>
      <c r="H125" s="827">
        <v>-2.6426151516058601E-2</v>
      </c>
      <c r="I125" s="827">
        <v>0.37519287117176903</v>
      </c>
      <c r="J125" s="827">
        <v>38.048780487804898</v>
      </c>
      <c r="K125" s="827">
        <v>32.195121951219498</v>
      </c>
      <c r="L125" s="827">
        <v>51.923076923076898</v>
      </c>
      <c r="M125" s="827">
        <v>32.352941176470601</v>
      </c>
      <c r="N125" s="827">
        <v>52.153110047846901</v>
      </c>
      <c r="O125" s="827">
        <v>58.653846153846203</v>
      </c>
    </row>
    <row r="126" spans="1:15">
      <c r="A126" s="827">
        <v>2003</v>
      </c>
      <c r="B126" s="827" t="s">
        <v>345</v>
      </c>
      <c r="C126" s="827" t="s">
        <v>3435</v>
      </c>
      <c r="D126" s="827">
        <v>0.20549143563375699</v>
      </c>
      <c r="E126" s="827">
        <v>-1.7660343495017099E-2</v>
      </c>
      <c r="F126" s="827">
        <v>3.4513485522899803E-2</v>
      </c>
      <c r="G126" s="827">
        <v>-7.6968645323384099E-2</v>
      </c>
      <c r="H126" s="827">
        <v>-0.50590594308386805</v>
      </c>
      <c r="I126" s="827">
        <v>-0.86773800480305696</v>
      </c>
      <c r="J126" s="827">
        <v>61.463414634146297</v>
      </c>
      <c r="K126" s="827">
        <v>57.560975609756099</v>
      </c>
      <c r="L126" s="827">
        <v>42.788461538461497</v>
      </c>
      <c r="M126" s="827">
        <v>50.980392156862699</v>
      </c>
      <c r="N126" s="827">
        <v>37.799043062201001</v>
      </c>
      <c r="O126" s="827">
        <v>24.519230769230798</v>
      </c>
    </row>
    <row r="127" spans="1:15">
      <c r="A127" s="827">
        <v>2003</v>
      </c>
      <c r="B127" s="827" t="s">
        <v>385</v>
      </c>
      <c r="C127" s="827" t="s">
        <v>3436</v>
      </c>
      <c r="D127" s="827">
        <v>-0.58491048823250602</v>
      </c>
      <c r="E127" s="827">
        <v>-0.46263120297975802</v>
      </c>
      <c r="F127" s="827">
        <v>0.213755558545309</v>
      </c>
      <c r="G127" s="827">
        <v>-0.51623894126500602</v>
      </c>
      <c r="H127" s="827">
        <v>-0.67824071721580304</v>
      </c>
      <c r="I127" s="827">
        <v>-3.5978511074752598E-2</v>
      </c>
      <c r="J127" s="827">
        <v>35.121951219512198</v>
      </c>
      <c r="K127" s="827">
        <v>36.585365853658502</v>
      </c>
      <c r="L127" s="827">
        <v>51.442307692307701</v>
      </c>
      <c r="M127" s="827">
        <v>31.372549019607799</v>
      </c>
      <c r="N127" s="827">
        <v>29.186602870813399</v>
      </c>
      <c r="O127" s="827">
        <v>45.192307692307701</v>
      </c>
    </row>
    <row r="128" spans="1:15">
      <c r="A128" s="827">
        <v>2003</v>
      </c>
      <c r="B128" s="827" t="s">
        <v>394</v>
      </c>
      <c r="C128" s="827" t="s">
        <v>3437</v>
      </c>
      <c r="D128" s="827">
        <v>-1.02334979894855</v>
      </c>
      <c r="E128" s="827">
        <v>-0.74996609983757401</v>
      </c>
      <c r="F128" s="827">
        <v>1.2324885036944301E-2</v>
      </c>
      <c r="G128" s="827">
        <v>-0.64499038302202505</v>
      </c>
      <c r="H128" s="827">
        <v>-0.66114408481505305</v>
      </c>
      <c r="I128" s="827">
        <v>-0.17126683006069901</v>
      </c>
      <c r="J128" s="827">
        <v>11.707317073170699</v>
      </c>
      <c r="K128" s="827">
        <v>23.414634146341498</v>
      </c>
      <c r="L128" s="827">
        <v>41.826923076923102</v>
      </c>
      <c r="M128" s="827">
        <v>25.980392156862699</v>
      </c>
      <c r="N128" s="827">
        <v>29.665071770334901</v>
      </c>
      <c r="O128" s="827">
        <v>41.826923076923102</v>
      </c>
    </row>
    <row r="129" spans="1:15">
      <c r="A129" s="827">
        <v>2003</v>
      </c>
      <c r="B129" s="827" t="s">
        <v>413</v>
      </c>
      <c r="C129" s="827" t="s">
        <v>3438</v>
      </c>
      <c r="D129" s="827">
        <v>-1.32012918747593</v>
      </c>
      <c r="E129" s="827">
        <v>-0.96479418736878098</v>
      </c>
      <c r="F129" s="827">
        <v>-1.6514193822734899</v>
      </c>
      <c r="G129" s="827">
        <v>-1.2402186899098899</v>
      </c>
      <c r="H129" s="827">
        <v>-1.52285294613309</v>
      </c>
      <c r="I129" s="827">
        <v>-0.63770511124296803</v>
      </c>
      <c r="J129" s="827">
        <v>4.3902439024390203</v>
      </c>
      <c r="K129" s="827">
        <v>15.609756097561</v>
      </c>
      <c r="L129" s="827">
        <v>5.7692307692307701</v>
      </c>
      <c r="M129" s="827">
        <v>10.294117647058799</v>
      </c>
      <c r="N129" s="827">
        <v>5.7416267942583703</v>
      </c>
      <c r="O129" s="827">
        <v>28.365384615384599</v>
      </c>
    </row>
    <row r="130" spans="1:15">
      <c r="A130" s="827">
        <v>2003</v>
      </c>
      <c r="B130" s="827" t="s">
        <v>449</v>
      </c>
      <c r="C130" s="827" t="s">
        <v>3439</v>
      </c>
      <c r="D130" s="827">
        <v>-0.10005325769408301</v>
      </c>
      <c r="E130" s="827">
        <v>-0.42215559561453297</v>
      </c>
      <c r="F130" s="827">
        <v>-1.19753932353694</v>
      </c>
      <c r="G130" s="827">
        <v>0.17631943219139101</v>
      </c>
      <c r="H130" s="827">
        <v>-0.57429211764214405</v>
      </c>
      <c r="I130" s="827">
        <v>2.69679263701312E-2</v>
      </c>
      <c r="J130" s="827">
        <v>54.634146341463399</v>
      </c>
      <c r="K130" s="827">
        <v>39.512195121951201</v>
      </c>
      <c r="L130" s="827">
        <v>14.903846153846199</v>
      </c>
      <c r="M130" s="827">
        <v>57.843137254901997</v>
      </c>
      <c r="N130" s="827">
        <v>33.014354066985597</v>
      </c>
      <c r="O130" s="827">
        <v>47.115384615384599</v>
      </c>
    </row>
    <row r="131" spans="1:15">
      <c r="A131" s="827">
        <v>2003</v>
      </c>
      <c r="B131" s="827" t="s">
        <v>488</v>
      </c>
      <c r="C131" s="827" t="s">
        <v>3440</v>
      </c>
      <c r="D131" s="827">
        <v>-0.90720262198319102</v>
      </c>
      <c r="E131" s="827">
        <v>-1.2310414710956299</v>
      </c>
      <c r="F131" s="827">
        <v>-1.1184517067469499</v>
      </c>
      <c r="G131" s="827">
        <v>-1.1440970584313499</v>
      </c>
      <c r="H131" s="827">
        <v>-1.2113456301816601</v>
      </c>
      <c r="I131" s="827">
        <v>-0.36972297590848702</v>
      </c>
      <c r="J131" s="827">
        <v>16.585365853658502</v>
      </c>
      <c r="K131" s="827">
        <v>8.7804878048780495</v>
      </c>
      <c r="L131" s="827">
        <v>18.269230769230798</v>
      </c>
      <c r="M131" s="827">
        <v>13.235294117647101</v>
      </c>
      <c r="N131" s="827">
        <v>11.4832535885167</v>
      </c>
      <c r="O131" s="827">
        <v>38.942307692307701</v>
      </c>
    </row>
    <row r="132" spans="1:15">
      <c r="A132" s="827">
        <v>2003</v>
      </c>
      <c r="B132" s="827" t="s">
        <v>499</v>
      </c>
      <c r="C132" s="827" t="s">
        <v>3441</v>
      </c>
      <c r="D132" s="827">
        <v>-0.77901601501506501</v>
      </c>
      <c r="E132" s="827">
        <v>-0.36835293867777802</v>
      </c>
      <c r="F132" s="827">
        <v>-0.87802036193760502</v>
      </c>
      <c r="G132" s="827">
        <v>-0.49628011809731398</v>
      </c>
      <c r="H132" s="827">
        <v>-0.28642919079130402</v>
      </c>
      <c r="I132" s="827">
        <v>-0.37377752978735801</v>
      </c>
      <c r="J132" s="827">
        <v>25.365853658536601</v>
      </c>
      <c r="K132" s="827">
        <v>40.975609756097597</v>
      </c>
      <c r="L132" s="827">
        <v>21.153846153846199</v>
      </c>
      <c r="M132" s="827">
        <v>33.3333333333333</v>
      </c>
      <c r="N132" s="827">
        <v>44.019138755980897</v>
      </c>
      <c r="O132" s="827">
        <v>38.461538461538503</v>
      </c>
    </row>
    <row r="133" spans="1:15">
      <c r="A133" s="827">
        <v>2003</v>
      </c>
      <c r="B133" s="827" t="s">
        <v>517</v>
      </c>
      <c r="C133" s="827" t="s">
        <v>3442</v>
      </c>
      <c r="D133" s="827">
        <v>-0.90472527057440999</v>
      </c>
      <c r="E133" s="827">
        <v>-1.54560342323839</v>
      </c>
      <c r="F133" s="827">
        <v>-0.23472427477978799</v>
      </c>
      <c r="G133" s="827">
        <v>-0.69729886748432202</v>
      </c>
      <c r="H133" s="827">
        <v>-0.98251630338225104</v>
      </c>
      <c r="I133" s="827">
        <v>-1.25312473356611</v>
      </c>
      <c r="J133" s="827">
        <v>17.0731707317073</v>
      </c>
      <c r="K133" s="827">
        <v>3.9024390243902398</v>
      </c>
      <c r="L133" s="827">
        <v>36.538461538461497</v>
      </c>
      <c r="M133" s="827">
        <v>24.019607843137301</v>
      </c>
      <c r="N133" s="827">
        <v>18.181818181818201</v>
      </c>
      <c r="O133" s="827">
        <v>13.942307692307701</v>
      </c>
    </row>
    <row r="134" spans="1:15">
      <c r="A134" s="827">
        <v>2003</v>
      </c>
      <c r="B134" s="827" t="s">
        <v>3090</v>
      </c>
      <c r="C134" s="827" t="s">
        <v>3443</v>
      </c>
      <c r="D134" s="827">
        <v>-0.53100386026122703</v>
      </c>
      <c r="E134" s="827">
        <v>-0.98479233907027997</v>
      </c>
      <c r="F134" s="827">
        <v>-0.32026035351308901</v>
      </c>
      <c r="G134" s="827">
        <v>-1.2961371314675101</v>
      </c>
      <c r="H134" s="827">
        <v>-0.79918375532985797</v>
      </c>
      <c r="I134" s="827">
        <v>0.20353834650004801</v>
      </c>
      <c r="J134" s="827">
        <v>39.024390243902403</v>
      </c>
      <c r="K134" s="827">
        <v>14.634146341463399</v>
      </c>
      <c r="L134" s="827">
        <v>35.096153846153797</v>
      </c>
      <c r="M134" s="827">
        <v>9.8039215686274499</v>
      </c>
      <c r="N134" s="827">
        <v>24.8803827751196</v>
      </c>
      <c r="O134" s="827">
        <v>52.884615384615401</v>
      </c>
    </row>
    <row r="135" spans="1:15">
      <c r="A135" s="827">
        <v>2003</v>
      </c>
      <c r="B135" s="827" t="s">
        <v>3091</v>
      </c>
      <c r="C135" s="827" t="s">
        <v>3444</v>
      </c>
      <c r="D135" s="827">
        <v>-6.6773724666551598E-2</v>
      </c>
      <c r="E135" s="827">
        <v>0.484421983490603</v>
      </c>
      <c r="F135" s="827">
        <v>-0.29064971812562201</v>
      </c>
      <c r="G135" s="827">
        <v>0.71721047399427296</v>
      </c>
      <c r="H135" s="827">
        <v>0.210499724772887</v>
      </c>
      <c r="I135" s="827">
        <v>0.58562988527821502</v>
      </c>
      <c r="J135" s="827">
        <v>56.097560975609802</v>
      </c>
      <c r="K135" s="827">
        <v>69.268292682926798</v>
      </c>
      <c r="L135" s="827">
        <v>35.576923076923102</v>
      </c>
      <c r="M135" s="827">
        <v>72.058823529411796</v>
      </c>
      <c r="N135" s="827">
        <v>58.8516746411483</v>
      </c>
      <c r="O135" s="827">
        <v>65.865384615384599</v>
      </c>
    </row>
    <row r="136" spans="1:15">
      <c r="A136" s="827">
        <v>2003</v>
      </c>
      <c r="B136" s="827" t="s">
        <v>3092</v>
      </c>
      <c r="C136" s="827" t="s">
        <v>3445</v>
      </c>
      <c r="D136" s="827">
        <v>-0.84278071787505704</v>
      </c>
      <c r="E136" s="827">
        <v>-0.74040452499283405</v>
      </c>
      <c r="F136" s="827">
        <v>-1.5063064733086999</v>
      </c>
      <c r="G136" s="827">
        <v>-0.72872959036972296</v>
      </c>
      <c r="H136" s="827">
        <v>-1.2316670285982301</v>
      </c>
      <c r="I136" s="827">
        <v>-0.91865384316411003</v>
      </c>
      <c r="J136" s="827">
        <v>19.024390243902399</v>
      </c>
      <c r="K136" s="827">
        <v>24.390243902439</v>
      </c>
      <c r="L136" s="827">
        <v>9.1346153846153904</v>
      </c>
      <c r="M136" s="827">
        <v>22.0588235294118</v>
      </c>
      <c r="N136" s="827">
        <v>10.526315789473699</v>
      </c>
      <c r="O136" s="827">
        <v>24.038461538461501</v>
      </c>
    </row>
    <row r="137" spans="1:15">
      <c r="A137" s="827">
        <v>2003</v>
      </c>
      <c r="B137" s="827" t="s">
        <v>541</v>
      </c>
      <c r="C137" s="827" t="s">
        <v>3446</v>
      </c>
      <c r="D137" s="827">
        <v>-0.75977600664048695</v>
      </c>
      <c r="E137" s="827">
        <v>-0.82251951431896397</v>
      </c>
      <c r="F137" s="827">
        <v>0.17369017674821899</v>
      </c>
      <c r="G137" s="827">
        <v>-0.54303952634582997</v>
      </c>
      <c r="H137" s="827">
        <v>-0.47007405469608399</v>
      </c>
      <c r="I137" s="827">
        <v>-0.37658884628607903</v>
      </c>
      <c r="J137" s="827">
        <v>26.341463414634099</v>
      </c>
      <c r="K137" s="827">
        <v>20</v>
      </c>
      <c r="L137" s="827">
        <v>49.038461538461497</v>
      </c>
      <c r="M137" s="827">
        <v>30.882352941176499</v>
      </c>
      <c r="N137" s="827">
        <v>39.712918660287102</v>
      </c>
      <c r="O137" s="827">
        <v>37.980769230769198</v>
      </c>
    </row>
    <row r="138" spans="1:15">
      <c r="A138" s="827">
        <v>2003</v>
      </c>
      <c r="B138" s="827" t="s">
        <v>364</v>
      </c>
      <c r="C138" s="827" t="s">
        <v>3447</v>
      </c>
      <c r="D138" s="827">
        <v>-0.16772287376994299</v>
      </c>
      <c r="E138" s="827">
        <v>-0.28976143100423202</v>
      </c>
      <c r="F138" s="827">
        <v>0.96064353794516</v>
      </c>
      <c r="G138" s="827">
        <v>-0.45744634262646899</v>
      </c>
      <c r="H138" s="827">
        <v>0.13627970801677</v>
      </c>
      <c r="I138" s="827">
        <v>0.31228913591067498</v>
      </c>
      <c r="J138" s="827">
        <v>52.195121951219498</v>
      </c>
      <c r="K138" s="827">
        <v>45.365853658536601</v>
      </c>
      <c r="L138" s="827">
        <v>81.730769230769198</v>
      </c>
      <c r="M138" s="827">
        <v>37.745098039215698</v>
      </c>
      <c r="N138" s="827">
        <v>55.980861244019103</v>
      </c>
      <c r="O138" s="827">
        <v>56.730769230769198</v>
      </c>
    </row>
    <row r="139" spans="1:15">
      <c r="A139" s="827">
        <v>2004</v>
      </c>
      <c r="B139" s="827" t="s">
        <v>21</v>
      </c>
      <c r="C139" s="827" t="s">
        <v>3448</v>
      </c>
      <c r="D139" s="827">
        <v>-1.4242998910781901</v>
      </c>
      <c r="E139" s="827">
        <v>-0.88330244868601204</v>
      </c>
      <c r="F139" s="827">
        <v>-2.2954814163907802</v>
      </c>
      <c r="G139" s="827">
        <v>-1.5027721257447999</v>
      </c>
      <c r="H139" s="827">
        <v>-1.71001254125307</v>
      </c>
      <c r="I139" s="827">
        <v>-1.2478927966111499</v>
      </c>
      <c r="J139" s="827">
        <v>3.9024390243902398</v>
      </c>
      <c r="K139" s="827">
        <v>17.0731707317073</v>
      </c>
      <c r="L139" s="827">
        <v>1.92307692307692</v>
      </c>
      <c r="M139" s="827">
        <v>5.3921568627451002</v>
      </c>
      <c r="N139" s="827">
        <v>1.91387559808612</v>
      </c>
      <c r="O139" s="827">
        <v>13.942307692307701</v>
      </c>
    </row>
    <row r="140" spans="1:15">
      <c r="A140" s="827">
        <v>2004</v>
      </c>
      <c r="B140" s="827" t="s">
        <v>38</v>
      </c>
      <c r="C140" s="827" t="s">
        <v>3449</v>
      </c>
      <c r="D140" s="827">
        <v>-0.67165806122153604</v>
      </c>
      <c r="E140" s="827">
        <v>-0.44379952595628303</v>
      </c>
      <c r="F140" s="827">
        <v>-0.44978903185090002</v>
      </c>
      <c r="G140" s="827">
        <v>-0.16130691670544101</v>
      </c>
      <c r="H140" s="827">
        <v>-0.75673068609344096</v>
      </c>
      <c r="I140" s="827">
        <v>3.3769593913259302E-2</v>
      </c>
      <c r="J140" s="827">
        <v>27.3170731707317</v>
      </c>
      <c r="K140" s="827">
        <v>40.487804878048799</v>
      </c>
      <c r="L140" s="827">
        <v>29.326923076923102</v>
      </c>
      <c r="M140" s="827">
        <v>49.019607843137301</v>
      </c>
      <c r="N140" s="827">
        <v>26.315789473684202</v>
      </c>
      <c r="O140" s="827">
        <v>50.480769230769198</v>
      </c>
    </row>
    <row r="141" spans="1:15">
      <c r="A141" s="827">
        <v>2004</v>
      </c>
      <c r="B141" s="827" t="s">
        <v>53</v>
      </c>
      <c r="C141" s="827" t="s">
        <v>3450</v>
      </c>
      <c r="D141" s="827">
        <v>-1.11152906579656</v>
      </c>
      <c r="E141" s="827">
        <v>-0.75060073325910404</v>
      </c>
      <c r="F141" s="827">
        <v>-1.0866114775606099</v>
      </c>
      <c r="G141" s="827">
        <v>-0.58775702093830895</v>
      </c>
      <c r="H141" s="827">
        <v>-0.84477699046262</v>
      </c>
      <c r="I141" s="827">
        <v>-1.0443625579526301</v>
      </c>
      <c r="J141" s="827">
        <v>10.7317073170732</v>
      </c>
      <c r="K141" s="827">
        <v>21.951219512195099</v>
      </c>
      <c r="L141" s="827">
        <v>15.865384615384601</v>
      </c>
      <c r="M141" s="827">
        <v>28.431372549019599</v>
      </c>
      <c r="N141" s="827">
        <v>20.095693779904298</v>
      </c>
      <c r="O141" s="827">
        <v>18.75</v>
      </c>
    </row>
    <row r="142" spans="1:15">
      <c r="A142" s="827">
        <v>2004</v>
      </c>
      <c r="B142" s="827" t="s">
        <v>98</v>
      </c>
      <c r="C142" s="827" t="s">
        <v>3451</v>
      </c>
      <c r="D142" s="827">
        <v>-0.152619102725158</v>
      </c>
      <c r="E142" s="827">
        <v>-0.525333284268936</v>
      </c>
      <c r="F142" s="827">
        <v>-0.106681477105304</v>
      </c>
      <c r="G142" s="827">
        <v>-0.33984238619330898</v>
      </c>
      <c r="H142" s="827">
        <v>-0.56234683487413994</v>
      </c>
      <c r="I142" s="827">
        <v>-0.454057940548935</v>
      </c>
      <c r="J142" s="827">
        <v>52.682926829268297</v>
      </c>
      <c r="K142" s="827">
        <v>34.634146341463399</v>
      </c>
      <c r="L142" s="827">
        <v>41.826923076923102</v>
      </c>
      <c r="M142" s="827">
        <v>41.6666666666667</v>
      </c>
      <c r="N142" s="827">
        <v>34.928229665071797</v>
      </c>
      <c r="O142" s="827">
        <v>34.615384615384599</v>
      </c>
    </row>
    <row r="143" spans="1:15">
      <c r="A143" s="827">
        <v>2004</v>
      </c>
      <c r="B143" s="827" t="s">
        <v>127</v>
      </c>
      <c r="C143" s="827" t="s">
        <v>3452</v>
      </c>
      <c r="D143" s="827">
        <v>-1.3254287587872999</v>
      </c>
      <c r="E143" s="827">
        <v>-1.56199429591053</v>
      </c>
      <c r="F143" s="827">
        <v>-1.40935388948051</v>
      </c>
      <c r="G143" s="827">
        <v>-1.1948583770275001</v>
      </c>
      <c r="H143" s="827">
        <v>-1.63291981449234</v>
      </c>
      <c r="I143" s="827">
        <v>-1.3043564284956199</v>
      </c>
      <c r="J143" s="827">
        <v>5.3658536585365901</v>
      </c>
      <c r="K143" s="827">
        <v>4.3902439024390203</v>
      </c>
      <c r="L143" s="827">
        <v>8.6538461538461497</v>
      </c>
      <c r="M143" s="827">
        <v>11.2745098039216</v>
      </c>
      <c r="N143" s="827">
        <v>3.8277511961722501</v>
      </c>
      <c r="O143" s="827">
        <v>11.538461538461499</v>
      </c>
    </row>
    <row r="144" spans="1:15">
      <c r="A144" s="827">
        <v>2004</v>
      </c>
      <c r="B144" s="827" t="s">
        <v>138</v>
      </c>
      <c r="C144" s="827" t="s">
        <v>3453</v>
      </c>
      <c r="D144" s="827">
        <v>-1.28161731757286</v>
      </c>
      <c r="E144" s="827">
        <v>-1.1208389220753101</v>
      </c>
      <c r="F144" s="827">
        <v>-1.4954374614627399</v>
      </c>
      <c r="G144" s="827">
        <v>-0.83154277559783596</v>
      </c>
      <c r="H144" s="827">
        <v>-1.33964627120963</v>
      </c>
      <c r="I144" s="827">
        <v>-1.1950221942831101</v>
      </c>
      <c r="J144" s="827">
        <v>6.8292682926829302</v>
      </c>
      <c r="K144" s="827">
        <v>8.7804878048780495</v>
      </c>
      <c r="L144" s="827">
        <v>7.2115384615384599</v>
      </c>
      <c r="M144" s="827">
        <v>20.098039215686299</v>
      </c>
      <c r="N144" s="827">
        <v>7.6555023923445003</v>
      </c>
      <c r="O144" s="827">
        <v>15.384615384615399</v>
      </c>
    </row>
    <row r="145" spans="1:15">
      <c r="A145" s="827">
        <v>2004</v>
      </c>
      <c r="B145" s="827" t="s">
        <v>171</v>
      </c>
      <c r="C145" s="827" t="s">
        <v>3454</v>
      </c>
      <c r="D145" s="827">
        <v>-1.43112196801311</v>
      </c>
      <c r="E145" s="827">
        <v>-1.4478649481880701</v>
      </c>
      <c r="F145" s="827">
        <v>-2.3880897502952299</v>
      </c>
      <c r="G145" s="827">
        <v>-1.5937063353614001</v>
      </c>
      <c r="H145" s="827">
        <v>-1.7042810264972501</v>
      </c>
      <c r="I145" s="827">
        <v>-1.72505870046939</v>
      </c>
      <c r="J145" s="827">
        <v>3.4146341463414598</v>
      </c>
      <c r="K145" s="827">
        <v>5.8536585365853702</v>
      </c>
      <c r="L145" s="827">
        <v>1.4423076923076901</v>
      </c>
      <c r="M145" s="827">
        <v>4.9019607843137303</v>
      </c>
      <c r="N145" s="827">
        <v>2.87081339712919</v>
      </c>
      <c r="O145" s="827">
        <v>3.8461538461538498</v>
      </c>
    </row>
    <row r="146" spans="1:15">
      <c r="A146" s="827">
        <v>2004</v>
      </c>
      <c r="B146" s="827" t="s">
        <v>465</v>
      </c>
      <c r="C146" s="827" t="s">
        <v>3455</v>
      </c>
      <c r="D146" s="827">
        <v>-0.83536039397636896</v>
      </c>
      <c r="E146" s="827">
        <v>-1.1161517079080501</v>
      </c>
      <c r="F146" s="827">
        <v>-1.1414830848664199</v>
      </c>
      <c r="G146" s="827">
        <v>-0.97216363714726595</v>
      </c>
      <c r="H146" s="827">
        <v>-1.15100748318816</v>
      </c>
      <c r="I146" s="827">
        <v>-0.94994868775176899</v>
      </c>
      <c r="J146" s="827">
        <v>20.487804878048799</v>
      </c>
      <c r="K146" s="827">
        <v>9.2682926829268304</v>
      </c>
      <c r="L146" s="827">
        <v>14.903846153846199</v>
      </c>
      <c r="M146" s="827">
        <v>15.6862745098039</v>
      </c>
      <c r="N146" s="827">
        <v>12.9186602870813</v>
      </c>
      <c r="O146" s="827">
        <v>20.673076923076898</v>
      </c>
    </row>
    <row r="147" spans="1:15">
      <c r="A147" s="827">
        <v>2004</v>
      </c>
      <c r="B147" s="827" t="s">
        <v>101</v>
      </c>
      <c r="C147" s="827" t="s">
        <v>3456</v>
      </c>
      <c r="D147" s="827">
        <v>-1.0729613994724601</v>
      </c>
      <c r="E147" s="827">
        <v>-0.69789056431586705</v>
      </c>
      <c r="F147" s="827">
        <v>-0.39775625190285202</v>
      </c>
      <c r="G147" s="827">
        <v>-0.67993853266652604</v>
      </c>
      <c r="H147" s="827">
        <v>-1.19535776329626</v>
      </c>
      <c r="I147" s="827">
        <v>-0.98623903413653502</v>
      </c>
      <c r="J147" s="827">
        <v>11.707317073170699</v>
      </c>
      <c r="K147" s="827">
        <v>24.390243902439</v>
      </c>
      <c r="L147" s="827">
        <v>31.25</v>
      </c>
      <c r="M147" s="827">
        <v>24.019607843137301</v>
      </c>
      <c r="N147" s="827">
        <v>11.004784688995199</v>
      </c>
      <c r="O147" s="827">
        <v>19.711538461538499</v>
      </c>
    </row>
    <row r="148" spans="1:15">
      <c r="A148" s="827">
        <v>2004</v>
      </c>
      <c r="B148" s="827" t="s">
        <v>188</v>
      </c>
      <c r="C148" s="827" t="s">
        <v>3457</v>
      </c>
      <c r="D148" s="827">
        <v>-1.7057151518739699</v>
      </c>
      <c r="E148" s="827">
        <v>-1.46283905640614</v>
      </c>
      <c r="F148" s="827">
        <v>-0.108192128038356</v>
      </c>
      <c r="G148" s="827">
        <v>-1.4473057072751701</v>
      </c>
      <c r="H148" s="827">
        <v>-1.44515179744182</v>
      </c>
      <c r="I148" s="827">
        <v>-1.6415394253492399</v>
      </c>
      <c r="J148" s="827">
        <v>0.48780487804877998</v>
      </c>
      <c r="K148" s="827">
        <v>5.3658536585365901</v>
      </c>
      <c r="L148" s="827">
        <v>41.346153846153797</v>
      </c>
      <c r="M148" s="827">
        <v>6.37254901960784</v>
      </c>
      <c r="N148" s="827">
        <v>6.2200956937798999</v>
      </c>
      <c r="O148" s="827">
        <v>5.2884615384615401</v>
      </c>
    </row>
    <row r="149" spans="1:15">
      <c r="A149" s="827">
        <v>2004</v>
      </c>
      <c r="B149" s="827" t="s">
        <v>191</v>
      </c>
      <c r="C149" s="827" t="s">
        <v>3458</v>
      </c>
      <c r="D149" s="827">
        <v>-0.76164067104645905</v>
      </c>
      <c r="E149" s="827">
        <v>-0.80266474252814801</v>
      </c>
      <c r="F149" s="827">
        <v>0.38289902132814002</v>
      </c>
      <c r="G149" s="827">
        <v>-0.46464591119438098</v>
      </c>
      <c r="H149" s="827">
        <v>-0.51054215529299696</v>
      </c>
      <c r="I149" s="827">
        <v>-0.80573911191145897</v>
      </c>
      <c r="J149" s="827">
        <v>23.414634146341498</v>
      </c>
      <c r="K149" s="827">
        <v>20.487804878048799</v>
      </c>
      <c r="L149" s="827">
        <v>60.096153846153797</v>
      </c>
      <c r="M149" s="827">
        <v>34.803921568627501</v>
      </c>
      <c r="N149" s="827">
        <v>36.842105263157897</v>
      </c>
      <c r="O149" s="827">
        <v>25</v>
      </c>
    </row>
    <row r="150" spans="1:15">
      <c r="A150" s="827">
        <v>2004</v>
      </c>
      <c r="B150" s="827" t="s">
        <v>195</v>
      </c>
      <c r="C150" s="827" t="s">
        <v>3459</v>
      </c>
      <c r="D150" s="827">
        <v>-0.224504582179965</v>
      </c>
      <c r="E150" s="827">
        <v>-0.16104440204609899</v>
      </c>
      <c r="F150" s="827">
        <v>6.2279754288806499E-3</v>
      </c>
      <c r="G150" s="827">
        <v>-0.349652907871289</v>
      </c>
      <c r="H150" s="827">
        <v>-0.14508259120303299</v>
      </c>
      <c r="I150" s="827">
        <v>0.15143036109805399</v>
      </c>
      <c r="J150" s="827">
        <v>49.756097560975597</v>
      </c>
      <c r="K150" s="827">
        <v>51.707317073170699</v>
      </c>
      <c r="L150" s="827">
        <v>46.153846153846203</v>
      </c>
      <c r="M150" s="827">
        <v>41.176470588235297</v>
      </c>
      <c r="N150" s="827">
        <v>48.803827751196202</v>
      </c>
      <c r="O150" s="827">
        <v>55.288461538461497</v>
      </c>
    </row>
    <row r="151" spans="1:15">
      <c r="A151" s="827">
        <v>2004</v>
      </c>
      <c r="B151" s="827" t="s">
        <v>219</v>
      </c>
      <c r="C151" s="827" t="s">
        <v>3460</v>
      </c>
      <c r="D151" s="827">
        <v>-0.53753777691532401</v>
      </c>
      <c r="E151" s="827">
        <v>-0.64076977607970098</v>
      </c>
      <c r="F151" s="827">
        <v>-0.83715329024109297</v>
      </c>
      <c r="G151" s="827">
        <v>-0.185683976042821</v>
      </c>
      <c r="H151" s="827">
        <v>-1.0137017716458201</v>
      </c>
      <c r="I151" s="827">
        <v>-0.31190643211632402</v>
      </c>
      <c r="J151" s="827">
        <v>35.609756097560997</v>
      </c>
      <c r="K151" s="827">
        <v>26.829268292682901</v>
      </c>
      <c r="L151" s="827">
        <v>20.673076923076898</v>
      </c>
      <c r="M151" s="827">
        <v>48.039215686274503</v>
      </c>
      <c r="N151" s="827">
        <v>16.746411483253599</v>
      </c>
      <c r="O151" s="827">
        <v>38.461538461538503</v>
      </c>
    </row>
    <row r="152" spans="1:15">
      <c r="A152" s="827">
        <v>2004</v>
      </c>
      <c r="B152" s="827" t="s">
        <v>3089</v>
      </c>
      <c r="C152" s="827" t="s">
        <v>3461</v>
      </c>
      <c r="D152" s="827">
        <v>-0.84091917080516099</v>
      </c>
      <c r="E152" s="827">
        <v>-0.884426884260614</v>
      </c>
      <c r="F152" s="827">
        <v>-1.05336999705521</v>
      </c>
      <c r="G152" s="827">
        <v>-0.94171385140248198</v>
      </c>
      <c r="H152" s="827">
        <v>-1.24059148295584</v>
      </c>
      <c r="I152" s="827">
        <v>-1.28370609797101</v>
      </c>
      <c r="J152" s="827">
        <v>19.512195121951201</v>
      </c>
      <c r="K152" s="827">
        <v>16.585365853658502</v>
      </c>
      <c r="L152" s="827">
        <v>17.307692307692299</v>
      </c>
      <c r="M152" s="827">
        <v>17.156862745098</v>
      </c>
      <c r="N152" s="827">
        <v>9.5693779904306204</v>
      </c>
      <c r="O152" s="827">
        <v>12.5</v>
      </c>
    </row>
    <row r="153" spans="1:15">
      <c r="A153" s="827">
        <v>2004</v>
      </c>
      <c r="B153" s="827" t="s">
        <v>243</v>
      </c>
      <c r="C153" s="827" t="s">
        <v>3462</v>
      </c>
      <c r="D153" s="827">
        <v>-0.89463384541426105</v>
      </c>
      <c r="E153" s="827">
        <v>-0.37551615173424102</v>
      </c>
      <c r="F153" s="827">
        <v>-1.8690458037670701</v>
      </c>
      <c r="G153" s="827">
        <v>-0.66707458509001505</v>
      </c>
      <c r="H153" s="827">
        <v>-0.76883655262796702</v>
      </c>
      <c r="I153" s="827">
        <v>-0.291518559680915</v>
      </c>
      <c r="J153" s="827">
        <v>17.0731707317073</v>
      </c>
      <c r="K153" s="827">
        <v>44.390243902439003</v>
      </c>
      <c r="L153" s="827">
        <v>4.3269230769230802</v>
      </c>
      <c r="M153" s="827">
        <v>25</v>
      </c>
      <c r="N153" s="827">
        <v>25.358851674641102</v>
      </c>
      <c r="O153" s="827">
        <v>40.384615384615401</v>
      </c>
    </row>
    <row r="154" spans="1:15">
      <c r="A154" s="827">
        <v>2004</v>
      </c>
      <c r="B154" s="827" t="s">
        <v>251</v>
      </c>
      <c r="C154" s="827" t="s">
        <v>3463</v>
      </c>
      <c r="D154" s="827">
        <v>-1.5626197520066101</v>
      </c>
      <c r="E154" s="827">
        <v>-1.61189655752803</v>
      </c>
      <c r="F154" s="827">
        <v>-3.18481450377638</v>
      </c>
      <c r="G154" s="827">
        <v>-1.64725905971961</v>
      </c>
      <c r="H154" s="827">
        <v>-1.88796701168759</v>
      </c>
      <c r="I154" s="827">
        <v>-1.67549582887186</v>
      </c>
      <c r="J154" s="827">
        <v>1.4634146341463401</v>
      </c>
      <c r="K154" s="827">
        <v>1.9512195121951199</v>
      </c>
      <c r="L154" s="827">
        <v>0</v>
      </c>
      <c r="M154" s="827">
        <v>3.4313725490196099</v>
      </c>
      <c r="N154" s="827">
        <v>0.47846889952153099</v>
      </c>
      <c r="O154" s="827">
        <v>4.3269230769230802</v>
      </c>
    </row>
    <row r="155" spans="1:15">
      <c r="A155" s="827">
        <v>2004</v>
      </c>
      <c r="B155" s="827" t="s">
        <v>280</v>
      </c>
      <c r="C155" s="827" t="s">
        <v>3464</v>
      </c>
      <c r="D155" s="827">
        <v>-1.0956640690941</v>
      </c>
      <c r="E155" s="827">
        <v>-0.63778949264396101</v>
      </c>
      <c r="F155" s="827">
        <v>6.3498573876206901E-2</v>
      </c>
      <c r="G155" s="827">
        <v>-0.487421313812331</v>
      </c>
      <c r="H155" s="827">
        <v>-1.02197135090403</v>
      </c>
      <c r="I155" s="827">
        <v>-1.12385855779632</v>
      </c>
      <c r="J155" s="827">
        <v>11.219512195122</v>
      </c>
      <c r="K155" s="827">
        <v>27.804878048780498</v>
      </c>
      <c r="L155" s="827">
        <v>48.076923076923102</v>
      </c>
      <c r="M155" s="827">
        <v>33.3333333333333</v>
      </c>
      <c r="N155" s="827">
        <v>15.789473684210501</v>
      </c>
      <c r="O155" s="827">
        <v>17.788461538461501</v>
      </c>
    </row>
    <row r="156" spans="1:15">
      <c r="A156" s="827">
        <v>2004</v>
      </c>
      <c r="B156" s="827" t="s">
        <v>285</v>
      </c>
      <c r="C156" s="827" t="s">
        <v>3465</v>
      </c>
      <c r="D156" s="827">
        <v>-1.0272392511419</v>
      </c>
      <c r="E156" s="827">
        <v>-0.71639153301617997</v>
      </c>
      <c r="F156" s="827">
        <v>-1.17479806695392</v>
      </c>
      <c r="G156" s="827">
        <v>-0.32531996502788701</v>
      </c>
      <c r="H156" s="827">
        <v>-0.80789281489949705</v>
      </c>
      <c r="I156" s="827">
        <v>-0.99783876931018101</v>
      </c>
      <c r="J156" s="827">
        <v>13.170731707317101</v>
      </c>
      <c r="K156" s="827">
        <v>23.902439024390201</v>
      </c>
      <c r="L156" s="827">
        <v>13.942307692307701</v>
      </c>
      <c r="M156" s="827">
        <v>43.137254901960802</v>
      </c>
      <c r="N156" s="827">
        <v>23.923444976076599</v>
      </c>
      <c r="O156" s="827">
        <v>19.230769230769202</v>
      </c>
    </row>
    <row r="157" spans="1:15">
      <c r="A157" s="827">
        <v>2004</v>
      </c>
      <c r="B157" s="827" t="s">
        <v>301</v>
      </c>
      <c r="C157" s="827" t="s">
        <v>3466</v>
      </c>
      <c r="D157" s="827">
        <v>-1.2673538072688899</v>
      </c>
      <c r="E157" s="827">
        <v>-1.5850144343877099</v>
      </c>
      <c r="F157" s="827">
        <v>-1.4074489487153301</v>
      </c>
      <c r="G157" s="827">
        <v>-1.87929002271114</v>
      </c>
      <c r="H157" s="827">
        <v>-1.70524243620725</v>
      </c>
      <c r="I157" s="827">
        <v>-1.3051336791531301</v>
      </c>
      <c r="J157" s="827">
        <v>8.2926829268292703</v>
      </c>
      <c r="K157" s="827">
        <v>2.9268292682926802</v>
      </c>
      <c r="L157" s="827">
        <v>9.1346153846153904</v>
      </c>
      <c r="M157" s="827">
        <v>2.4509803921568598</v>
      </c>
      <c r="N157" s="827">
        <v>2.39234449760766</v>
      </c>
      <c r="O157" s="827">
        <v>11.057692307692299</v>
      </c>
    </row>
    <row r="158" spans="1:15">
      <c r="A158" s="827">
        <v>2004</v>
      </c>
      <c r="B158" s="827" t="s">
        <v>316</v>
      </c>
      <c r="C158" s="827" t="s">
        <v>3467</v>
      </c>
      <c r="D158" s="827">
        <v>-0.118872143936783</v>
      </c>
      <c r="E158" s="827">
        <v>-0.477300567290247</v>
      </c>
      <c r="F158" s="827">
        <v>0.20289047517272399</v>
      </c>
      <c r="G158" s="827">
        <v>-0.31530938678726</v>
      </c>
      <c r="H158" s="827">
        <v>-0.20140625479653701</v>
      </c>
      <c r="I158" s="827">
        <v>-1.39628454490441E-2</v>
      </c>
      <c r="J158" s="827">
        <v>54.146341463414601</v>
      </c>
      <c r="K158" s="827">
        <v>37.560975609756099</v>
      </c>
      <c r="L158" s="827">
        <v>53.365384615384599</v>
      </c>
      <c r="M158" s="827">
        <v>43.627450980392197</v>
      </c>
      <c r="N158" s="827">
        <v>46.889952153110002</v>
      </c>
      <c r="O158" s="827">
        <v>48.557692307692299</v>
      </c>
    </row>
    <row r="159" spans="1:15">
      <c r="A159" s="827">
        <v>2004</v>
      </c>
      <c r="B159" s="827" t="s">
        <v>329</v>
      </c>
      <c r="C159" s="827" t="s">
        <v>3468</v>
      </c>
      <c r="D159" s="827">
        <v>-0.497073230135398</v>
      </c>
      <c r="E159" s="827">
        <v>-0.61938122402069595</v>
      </c>
      <c r="F159" s="827">
        <v>0.48041243120864802</v>
      </c>
      <c r="G159" s="827">
        <v>-0.46396133552601398</v>
      </c>
      <c r="H159" s="827">
        <v>-0.17305986109754101</v>
      </c>
      <c r="I159" s="827">
        <v>0.29199165094824098</v>
      </c>
      <c r="J159" s="827">
        <v>37.560975609756099</v>
      </c>
      <c r="K159" s="827">
        <v>30.731707317073202</v>
      </c>
      <c r="L159" s="827">
        <v>62.980769230769198</v>
      </c>
      <c r="M159" s="827">
        <v>35.294117647058798</v>
      </c>
      <c r="N159" s="827">
        <v>47.846889952153099</v>
      </c>
      <c r="O159" s="827">
        <v>57.211538461538503</v>
      </c>
    </row>
    <row r="160" spans="1:15">
      <c r="A160" s="827">
        <v>2004</v>
      </c>
      <c r="B160" s="827" t="s">
        <v>345</v>
      </c>
      <c r="C160" s="827" t="s">
        <v>3469</v>
      </c>
      <c r="D160" s="827">
        <v>-0.372007114857418</v>
      </c>
      <c r="E160" s="827">
        <v>-0.46704436747941303</v>
      </c>
      <c r="F160" s="827">
        <v>-9.6452163921286999E-2</v>
      </c>
      <c r="G160" s="827">
        <v>-6.91172063620311E-2</v>
      </c>
      <c r="H160" s="827">
        <v>-0.684147554397597</v>
      </c>
      <c r="I160" s="827">
        <v>-1.1450348188606501</v>
      </c>
      <c r="J160" s="827">
        <v>45.365853658536601</v>
      </c>
      <c r="K160" s="827">
        <v>38.536585365853703</v>
      </c>
      <c r="L160" s="827">
        <v>42.307692307692299</v>
      </c>
      <c r="M160" s="827">
        <v>51.960784313725497</v>
      </c>
      <c r="N160" s="827">
        <v>30.622009569378001</v>
      </c>
      <c r="O160" s="827">
        <v>16.826923076923102</v>
      </c>
    </row>
    <row r="161" spans="1:15">
      <c r="A161" s="827">
        <v>2004</v>
      </c>
      <c r="B161" s="827" t="s">
        <v>385</v>
      </c>
      <c r="C161" s="827" t="s">
        <v>3470</v>
      </c>
      <c r="D161" s="827">
        <v>-0.59322665508609995</v>
      </c>
      <c r="E161" s="827">
        <v>-0.51191612954965104</v>
      </c>
      <c r="F161" s="827">
        <v>-2.7893651740353E-2</v>
      </c>
      <c r="G161" s="827">
        <v>-0.47063122319265099</v>
      </c>
      <c r="H161" s="827">
        <v>-0.65237949614368396</v>
      </c>
      <c r="I161" s="827">
        <v>-5.6337958579380898E-2</v>
      </c>
      <c r="J161" s="827">
        <v>31.219512195122</v>
      </c>
      <c r="K161" s="827">
        <v>35.609756097560997</v>
      </c>
      <c r="L161" s="827">
        <v>44.711538461538503</v>
      </c>
      <c r="M161" s="827">
        <v>34.313725490196099</v>
      </c>
      <c r="N161" s="827">
        <v>32.535885167464102</v>
      </c>
      <c r="O161" s="827">
        <v>47.115384615384599</v>
      </c>
    </row>
    <row r="162" spans="1:15">
      <c r="A162" s="827">
        <v>2004</v>
      </c>
      <c r="B162" s="827" t="s">
        <v>394</v>
      </c>
      <c r="C162" s="827" t="s">
        <v>3471</v>
      </c>
      <c r="D162" s="827">
        <v>-0.84919420339798002</v>
      </c>
      <c r="E162" s="827">
        <v>-0.68641555135451904</v>
      </c>
      <c r="F162" s="827">
        <v>-0.52023066022506104</v>
      </c>
      <c r="G162" s="827">
        <v>-0.58195430811802795</v>
      </c>
      <c r="H162" s="827">
        <v>-0.73056710401360103</v>
      </c>
      <c r="I162" s="827">
        <v>-0.18114951695305301</v>
      </c>
      <c r="J162" s="827">
        <v>19.024390243902399</v>
      </c>
      <c r="K162" s="827">
        <v>24.878048780487799</v>
      </c>
      <c r="L162" s="827">
        <v>28.365384615384599</v>
      </c>
      <c r="M162" s="827">
        <v>28.921568627450998</v>
      </c>
      <c r="N162" s="827">
        <v>28.7081339712919</v>
      </c>
      <c r="O162" s="827">
        <v>42.788461538461497</v>
      </c>
    </row>
    <row r="163" spans="1:15">
      <c r="A163" s="827">
        <v>2004</v>
      </c>
      <c r="B163" s="827" t="s">
        <v>413</v>
      </c>
      <c r="C163" s="827" t="s">
        <v>3472</v>
      </c>
      <c r="D163" s="827">
        <v>-1.3045012983906601</v>
      </c>
      <c r="E163" s="827">
        <v>-0.91259341443653497</v>
      </c>
      <c r="F163" s="827">
        <v>-1.7208817210479099</v>
      </c>
      <c r="G163" s="827">
        <v>-1.32286796314529</v>
      </c>
      <c r="H163" s="827">
        <v>-1.4320296784539801</v>
      </c>
      <c r="I163" s="827">
        <v>-0.76793085867607602</v>
      </c>
      <c r="J163" s="827">
        <v>6.3414634146341502</v>
      </c>
      <c r="K163" s="827">
        <v>14.634146341463399</v>
      </c>
      <c r="L163" s="827">
        <v>4.8076923076923102</v>
      </c>
      <c r="M163" s="827">
        <v>8.3333333333333304</v>
      </c>
      <c r="N163" s="827">
        <v>6.6985645933014402</v>
      </c>
      <c r="O163" s="827">
        <v>25.480769230769202</v>
      </c>
    </row>
    <row r="164" spans="1:15">
      <c r="A164" s="827">
        <v>2004</v>
      </c>
      <c r="B164" s="827" t="s">
        <v>449</v>
      </c>
      <c r="C164" s="827" t="s">
        <v>3473</v>
      </c>
      <c r="D164" s="827">
        <v>-0.35116899578167798</v>
      </c>
      <c r="E164" s="827">
        <v>-0.46854602636037601</v>
      </c>
      <c r="F164" s="827">
        <v>-1.00309654857232</v>
      </c>
      <c r="G164" s="827">
        <v>0.23233413649883</v>
      </c>
      <c r="H164" s="827">
        <v>-0.52043131134284903</v>
      </c>
      <c r="I164" s="827">
        <v>-0.14663028957413399</v>
      </c>
      <c r="J164" s="827">
        <v>46.829268292682897</v>
      </c>
      <c r="K164" s="827">
        <v>38.048780487804898</v>
      </c>
      <c r="L164" s="827">
        <v>18.75</v>
      </c>
      <c r="M164" s="827">
        <v>62.745098039215698</v>
      </c>
      <c r="N164" s="827">
        <v>36.363636363636402</v>
      </c>
      <c r="O164" s="827">
        <v>45.192307692307701</v>
      </c>
    </row>
    <row r="165" spans="1:15">
      <c r="A165" s="827">
        <v>2004</v>
      </c>
      <c r="B165" s="827" t="s">
        <v>488</v>
      </c>
      <c r="C165" s="827" t="s">
        <v>3474</v>
      </c>
      <c r="D165" s="827">
        <v>-0.87657477333713196</v>
      </c>
      <c r="E165" s="827">
        <v>-1.1016709649637599</v>
      </c>
      <c r="F165" s="827">
        <v>-0.44372149292694202</v>
      </c>
      <c r="G165" s="827">
        <v>-1.0229252189665099</v>
      </c>
      <c r="H165" s="827">
        <v>-1.17411640340642</v>
      </c>
      <c r="I165" s="827">
        <v>-0.31695413102071801</v>
      </c>
      <c r="J165" s="827">
        <v>18.5365853658537</v>
      </c>
      <c r="K165" s="827">
        <v>9.7560975609756095</v>
      </c>
      <c r="L165" s="827">
        <v>29.807692307692299</v>
      </c>
      <c r="M165" s="827">
        <v>15.1960784313725</v>
      </c>
      <c r="N165" s="827">
        <v>11.9617224880383</v>
      </c>
      <c r="O165" s="827">
        <v>37.5</v>
      </c>
    </row>
    <row r="166" spans="1:15">
      <c r="A166" s="827">
        <v>2004</v>
      </c>
      <c r="B166" s="827" t="s">
        <v>499</v>
      </c>
      <c r="C166" s="827" t="s">
        <v>3475</v>
      </c>
      <c r="D166" s="827">
        <v>-0.58317618666061999</v>
      </c>
      <c r="E166" s="827">
        <v>-0.41873338495506202</v>
      </c>
      <c r="F166" s="827">
        <v>-0.64848067813334997</v>
      </c>
      <c r="G166" s="827">
        <v>-0.44409617760007197</v>
      </c>
      <c r="H166" s="827">
        <v>-0.36115825673739999</v>
      </c>
      <c r="I166" s="827">
        <v>-0.47262764771508797</v>
      </c>
      <c r="J166" s="827">
        <v>32.195121951219498</v>
      </c>
      <c r="K166" s="827">
        <v>42.439024390243901</v>
      </c>
      <c r="L166" s="827">
        <v>24.519230769230798</v>
      </c>
      <c r="M166" s="827">
        <v>36.274509803921603</v>
      </c>
      <c r="N166" s="827">
        <v>42.583732057416299</v>
      </c>
      <c r="O166" s="827">
        <v>34.134615384615401</v>
      </c>
    </row>
    <row r="167" spans="1:15">
      <c r="A167" s="827">
        <v>2004</v>
      </c>
      <c r="B167" s="827" t="s">
        <v>517</v>
      </c>
      <c r="C167" s="827" t="s">
        <v>3476</v>
      </c>
      <c r="D167" s="827">
        <v>-0.92881397388907205</v>
      </c>
      <c r="E167" s="827">
        <v>-1.60468540222565</v>
      </c>
      <c r="F167" s="827">
        <v>-0.32576432333593303</v>
      </c>
      <c r="G167" s="827">
        <v>-0.77635602845734997</v>
      </c>
      <c r="H167" s="827">
        <v>-1.1322448968979699</v>
      </c>
      <c r="I167" s="827">
        <v>-1.2714415212332899</v>
      </c>
      <c r="J167" s="827">
        <v>16.097560975609799</v>
      </c>
      <c r="K167" s="827">
        <v>2.4390243902439002</v>
      </c>
      <c r="L167" s="827">
        <v>34.134615384615401</v>
      </c>
      <c r="M167" s="827">
        <v>21.078431372549002</v>
      </c>
      <c r="N167" s="827">
        <v>13.8755980861244</v>
      </c>
      <c r="O167" s="827">
        <v>13.461538461538501</v>
      </c>
    </row>
    <row r="168" spans="1:15">
      <c r="A168" s="827">
        <v>2004</v>
      </c>
      <c r="B168" s="827" t="s">
        <v>3090</v>
      </c>
      <c r="C168" s="827" t="s">
        <v>3477</v>
      </c>
      <c r="D168" s="827">
        <v>-0.52709999516537998</v>
      </c>
      <c r="E168" s="827">
        <v>-0.684403666436738</v>
      </c>
      <c r="F168" s="827">
        <v>-0.200503362481568</v>
      </c>
      <c r="G168" s="827">
        <v>-1.1106909748408</v>
      </c>
      <c r="H168" s="827">
        <v>-0.80894004546991405</v>
      </c>
      <c r="I168" s="827">
        <v>-6.5898503319605201E-2</v>
      </c>
      <c r="J168" s="827">
        <v>36.097560975609802</v>
      </c>
      <c r="K168" s="827">
        <v>25.853658536585399</v>
      </c>
      <c r="L168" s="827">
        <v>37.980769230769198</v>
      </c>
      <c r="M168" s="827">
        <v>12.2549019607843</v>
      </c>
      <c r="N168" s="827">
        <v>22.966507177033499</v>
      </c>
      <c r="O168" s="827">
        <v>46.634615384615401</v>
      </c>
    </row>
    <row r="169" spans="1:15">
      <c r="A169" s="827">
        <v>2004</v>
      </c>
      <c r="B169" s="827" t="s">
        <v>3091</v>
      </c>
      <c r="C169" s="827" t="s">
        <v>3478</v>
      </c>
      <c r="D169" s="827">
        <v>-0.12882474033182101</v>
      </c>
      <c r="E169" s="827">
        <v>0.370262264333453</v>
      </c>
      <c r="F169" s="827">
        <v>-7.7337215471098897E-2</v>
      </c>
      <c r="G169" s="827">
        <v>0.66051560551714195</v>
      </c>
      <c r="H169" s="827">
        <v>-1.46849450299333E-2</v>
      </c>
      <c r="I169" s="827">
        <v>0.57067100974200002</v>
      </c>
      <c r="J169" s="827">
        <v>53.658536585365901</v>
      </c>
      <c r="K169" s="827">
        <v>68.292682926829301</v>
      </c>
      <c r="L169" s="827">
        <v>42.788461538461497</v>
      </c>
      <c r="M169" s="827">
        <v>71.078431372549005</v>
      </c>
      <c r="N169" s="827">
        <v>51.674641148325399</v>
      </c>
      <c r="O169" s="827">
        <v>66.346153846153797</v>
      </c>
    </row>
    <row r="170" spans="1:15">
      <c r="A170" s="827">
        <v>2004</v>
      </c>
      <c r="B170" s="827" t="s">
        <v>3092</v>
      </c>
      <c r="C170" s="827" t="s">
        <v>3479</v>
      </c>
      <c r="D170" s="827">
        <v>-1.00593651315057</v>
      </c>
      <c r="E170" s="827">
        <v>-0.91232436855764298</v>
      </c>
      <c r="F170" s="827">
        <v>-1.5780248468733</v>
      </c>
      <c r="G170" s="827">
        <v>-0.83953043683491102</v>
      </c>
      <c r="H170" s="827">
        <v>-1.2303374288281701</v>
      </c>
      <c r="I170" s="827">
        <v>-0.96591215215571302</v>
      </c>
      <c r="J170" s="827">
        <v>14.634146341463399</v>
      </c>
      <c r="K170" s="827">
        <v>15.1219512195122</v>
      </c>
      <c r="L170" s="827">
        <v>6.25</v>
      </c>
      <c r="M170" s="827">
        <v>19.6078431372549</v>
      </c>
      <c r="N170" s="827">
        <v>10.047846889952201</v>
      </c>
      <c r="O170" s="827">
        <v>20.192307692307701</v>
      </c>
    </row>
    <row r="171" spans="1:15">
      <c r="A171" s="827">
        <v>2004</v>
      </c>
      <c r="B171" s="827" t="s">
        <v>541</v>
      </c>
      <c r="C171" s="827" t="s">
        <v>3480</v>
      </c>
      <c r="D171" s="827">
        <v>-0.67986950334881802</v>
      </c>
      <c r="E171" s="827">
        <v>-0.81642193067048496</v>
      </c>
      <c r="F171" s="827">
        <v>0.15242481825510501</v>
      </c>
      <c r="G171" s="827">
        <v>-0.51365446549481997</v>
      </c>
      <c r="H171" s="827">
        <v>-0.52198725897607301</v>
      </c>
      <c r="I171" s="827">
        <v>-0.41247646067141902</v>
      </c>
      <c r="J171" s="827">
        <v>26.829268292682901</v>
      </c>
      <c r="K171" s="827">
        <v>20</v>
      </c>
      <c r="L171" s="827">
        <v>51.923076923076898</v>
      </c>
      <c r="M171" s="827">
        <v>31.862745098039198</v>
      </c>
      <c r="N171" s="827">
        <v>35.885167464114801</v>
      </c>
      <c r="O171" s="827">
        <v>36.057692307692299</v>
      </c>
    </row>
    <row r="172" spans="1:15">
      <c r="A172" s="827">
        <v>2004</v>
      </c>
      <c r="B172" s="827" t="s">
        <v>364</v>
      </c>
      <c r="C172" s="827" t="s">
        <v>3481</v>
      </c>
      <c r="D172" s="827">
        <v>-0.38361617882395299</v>
      </c>
      <c r="E172" s="827">
        <v>-0.45571899079612099</v>
      </c>
      <c r="F172" s="827">
        <v>0.72870456221552904</v>
      </c>
      <c r="G172" s="827">
        <v>-0.38164690648210298</v>
      </c>
      <c r="H172" s="827">
        <v>-1.66933707597673E-2</v>
      </c>
      <c r="I172" s="827">
        <v>0.25970729833115602</v>
      </c>
      <c r="J172" s="827">
        <v>44.878048780487802</v>
      </c>
      <c r="K172" s="827">
        <v>39.024390243902403</v>
      </c>
      <c r="L172" s="827">
        <v>73.076923076923094</v>
      </c>
      <c r="M172" s="827">
        <v>40.686274509803901</v>
      </c>
      <c r="N172" s="827">
        <v>51.196172248803798</v>
      </c>
      <c r="O172" s="827">
        <v>56.730769230769198</v>
      </c>
    </row>
    <row r="173" spans="1:15">
      <c r="A173" s="827">
        <v>2005</v>
      </c>
      <c r="B173" s="827" t="s">
        <v>21</v>
      </c>
      <c r="C173" s="827" t="s">
        <v>3482</v>
      </c>
      <c r="D173" s="827">
        <v>-1.4642574591381501</v>
      </c>
      <c r="E173" s="827">
        <v>-1.22697815727638</v>
      </c>
      <c r="F173" s="827">
        <v>-2.08842186203655</v>
      </c>
      <c r="G173" s="827">
        <v>-1.6461922165413001</v>
      </c>
      <c r="H173" s="827">
        <v>-1.72299242568862</v>
      </c>
      <c r="I173" s="827">
        <v>-1.17916499216808</v>
      </c>
      <c r="J173" s="827">
        <v>1.4634146341463401</v>
      </c>
      <c r="K173" s="827">
        <v>9.7560975609756095</v>
      </c>
      <c r="L173" s="827">
        <v>2.4038461538461502</v>
      </c>
      <c r="M173" s="827">
        <v>2.9411764705882399</v>
      </c>
      <c r="N173" s="827">
        <v>1.4354066985645899</v>
      </c>
      <c r="O173" s="827">
        <v>13.461538461538501</v>
      </c>
    </row>
    <row r="174" spans="1:15">
      <c r="A174" s="827">
        <v>2005</v>
      </c>
      <c r="B174" s="827" t="s">
        <v>38</v>
      </c>
      <c r="C174" s="827" t="s">
        <v>3483</v>
      </c>
      <c r="D174" s="827">
        <v>-0.74666433721358205</v>
      </c>
      <c r="E174" s="827">
        <v>-0.62725576385316095</v>
      </c>
      <c r="F174" s="827">
        <v>-0.49362743648777302</v>
      </c>
      <c r="G174" s="827">
        <v>-0.29962359786020898</v>
      </c>
      <c r="H174" s="827">
        <v>-0.80546604715786796</v>
      </c>
      <c r="I174" s="827">
        <v>3.2410434481485E-2</v>
      </c>
      <c r="J174" s="827">
        <v>26.341463414634099</v>
      </c>
      <c r="K174" s="827">
        <v>31.219512195122</v>
      </c>
      <c r="L174" s="827">
        <v>29.326923076923102</v>
      </c>
      <c r="M174" s="827">
        <v>45.588235294117602</v>
      </c>
      <c r="N174" s="827">
        <v>25.8373205741627</v>
      </c>
      <c r="O174" s="827">
        <v>52.884615384615401</v>
      </c>
    </row>
    <row r="175" spans="1:15">
      <c r="A175" s="827">
        <v>2005</v>
      </c>
      <c r="B175" s="827" t="s">
        <v>53</v>
      </c>
      <c r="C175" s="827" t="s">
        <v>3484</v>
      </c>
      <c r="D175" s="827">
        <v>-0.98911060474203205</v>
      </c>
      <c r="E175" s="827">
        <v>-0.68064907347091697</v>
      </c>
      <c r="F175" s="827">
        <v>-1.11490753511908</v>
      </c>
      <c r="G175" s="827">
        <v>-0.54876070503903296</v>
      </c>
      <c r="H175" s="827">
        <v>-0.74332362185237999</v>
      </c>
      <c r="I175" s="827">
        <v>-1.08231167670484</v>
      </c>
      <c r="J175" s="827">
        <v>16.097560975609799</v>
      </c>
      <c r="K175" s="827">
        <v>28.780487804878</v>
      </c>
      <c r="L175" s="827">
        <v>16.826923076923102</v>
      </c>
      <c r="M175" s="827">
        <v>30.882352941176499</v>
      </c>
      <c r="N175" s="827">
        <v>28.7081339712919</v>
      </c>
      <c r="O175" s="827">
        <v>15.384615384615399</v>
      </c>
    </row>
    <row r="176" spans="1:15">
      <c r="A176" s="827">
        <v>2005</v>
      </c>
      <c r="B176" s="827" t="s">
        <v>98</v>
      </c>
      <c r="C176" s="827" t="s">
        <v>3485</v>
      </c>
      <c r="D176" s="827">
        <v>-9.0967986639577197E-2</v>
      </c>
      <c r="E176" s="827">
        <v>-0.59550125333722004</v>
      </c>
      <c r="F176" s="827">
        <v>-7.5130864616943197E-2</v>
      </c>
      <c r="G176" s="827">
        <v>-0.41699914807487598</v>
      </c>
      <c r="H176" s="827">
        <v>-0.51244101885008397</v>
      </c>
      <c r="I176" s="827">
        <v>-0.45960191663498401</v>
      </c>
      <c r="J176" s="827">
        <v>54.146341463414601</v>
      </c>
      <c r="K176" s="827">
        <v>33.170731707317103</v>
      </c>
      <c r="L176" s="827">
        <v>43.269230769230802</v>
      </c>
      <c r="M176" s="827">
        <v>39.705882352941202</v>
      </c>
      <c r="N176" s="827">
        <v>36.842105263157897</v>
      </c>
      <c r="O176" s="827">
        <v>33.653846153846203</v>
      </c>
    </row>
    <row r="177" spans="1:15">
      <c r="A177" s="827">
        <v>2005</v>
      </c>
      <c r="B177" s="827" t="s">
        <v>127</v>
      </c>
      <c r="C177" s="827" t="s">
        <v>3486</v>
      </c>
      <c r="D177" s="827">
        <v>-1.2073233006941999</v>
      </c>
      <c r="E177" s="827">
        <v>-1.5958877942729099</v>
      </c>
      <c r="F177" s="827">
        <v>-1.4236917492867101</v>
      </c>
      <c r="G177" s="827">
        <v>-1.3292043363239101</v>
      </c>
      <c r="H177" s="827">
        <v>-1.48142876265531</v>
      </c>
      <c r="I177" s="827">
        <v>-0.94647916726798897</v>
      </c>
      <c r="J177" s="827">
        <v>9.2682926829268304</v>
      </c>
      <c r="K177" s="827">
        <v>2.4390243902439002</v>
      </c>
      <c r="L177" s="827">
        <v>8.6538461538461497</v>
      </c>
      <c r="M177" s="827">
        <v>8.8235294117647101</v>
      </c>
      <c r="N177" s="827">
        <v>4.7846889952153102</v>
      </c>
      <c r="O177" s="827">
        <v>22.596153846153801</v>
      </c>
    </row>
    <row r="178" spans="1:15">
      <c r="A178" s="827">
        <v>2005</v>
      </c>
      <c r="B178" s="827" t="s">
        <v>138</v>
      </c>
      <c r="C178" s="827" t="s">
        <v>3487</v>
      </c>
      <c r="D178" s="827">
        <v>-1.4305105842692001</v>
      </c>
      <c r="E178" s="827">
        <v>-1.3490318383469999</v>
      </c>
      <c r="F178" s="827">
        <v>-1.39323145794144</v>
      </c>
      <c r="G178" s="827">
        <v>-1.1730792119186699</v>
      </c>
      <c r="H178" s="827">
        <v>-1.4528674163411199</v>
      </c>
      <c r="I178" s="827">
        <v>-1.2596679590034701</v>
      </c>
      <c r="J178" s="827">
        <v>3.9024390243902398</v>
      </c>
      <c r="K178" s="827">
        <v>7.3170731707317103</v>
      </c>
      <c r="L178" s="827">
        <v>9.6153846153846203</v>
      </c>
      <c r="M178" s="827">
        <v>11.764705882352899</v>
      </c>
      <c r="N178" s="827">
        <v>5.7416267942583703</v>
      </c>
      <c r="O178" s="827">
        <v>11.057692307692299</v>
      </c>
    </row>
    <row r="179" spans="1:15">
      <c r="A179" s="827">
        <v>2005</v>
      </c>
      <c r="B179" s="827" t="s">
        <v>171</v>
      </c>
      <c r="C179" s="827" t="s">
        <v>3488</v>
      </c>
      <c r="D179" s="827">
        <v>-1.4285422677608499</v>
      </c>
      <c r="E179" s="827">
        <v>-1.5891708226076999</v>
      </c>
      <c r="F179" s="827">
        <v>-2.1705691114284802</v>
      </c>
      <c r="G179" s="827">
        <v>-1.61956758105534</v>
      </c>
      <c r="H179" s="827">
        <v>-1.5710193017966601</v>
      </c>
      <c r="I179" s="827">
        <v>-1.5523444721166699</v>
      </c>
      <c r="J179" s="827">
        <v>4.3902439024390203</v>
      </c>
      <c r="K179" s="827">
        <v>2.9268292682926802</v>
      </c>
      <c r="L179" s="827">
        <v>1.4423076923076901</v>
      </c>
      <c r="M179" s="827">
        <v>3.4313725490196099</v>
      </c>
      <c r="N179" s="827">
        <v>3.8277511961722501</v>
      </c>
      <c r="O179" s="827">
        <v>6.25</v>
      </c>
    </row>
    <row r="180" spans="1:15">
      <c r="A180" s="827">
        <v>2005</v>
      </c>
      <c r="B180" s="827" t="s">
        <v>465</v>
      </c>
      <c r="C180" s="827" t="s">
        <v>3489</v>
      </c>
      <c r="D180" s="827">
        <v>-1.0162846750191099</v>
      </c>
      <c r="E180" s="827">
        <v>-1.28016227589329</v>
      </c>
      <c r="F180" s="827">
        <v>-1.1571969654124199</v>
      </c>
      <c r="G180" s="827">
        <v>-1.2958034689539499</v>
      </c>
      <c r="H180" s="827">
        <v>-1.4608776272591399</v>
      </c>
      <c r="I180" s="827">
        <v>-1.0791082627300901</v>
      </c>
      <c r="J180" s="827">
        <v>14.634146341463399</v>
      </c>
      <c r="K180" s="827">
        <v>8.7804878048780495</v>
      </c>
      <c r="L180" s="827">
        <v>15.865384615384601</v>
      </c>
      <c r="M180" s="827">
        <v>9.8039215686274499</v>
      </c>
      <c r="N180" s="827">
        <v>5.2631578947368398</v>
      </c>
      <c r="O180" s="827">
        <v>15.865384615384601</v>
      </c>
    </row>
    <row r="181" spans="1:15">
      <c r="A181" s="827">
        <v>2005</v>
      </c>
      <c r="B181" s="827" t="s">
        <v>101</v>
      </c>
      <c r="C181" s="827" t="s">
        <v>3490</v>
      </c>
      <c r="D181" s="827">
        <v>-1.16071758946795</v>
      </c>
      <c r="E181" s="827">
        <v>-0.88054905805443695</v>
      </c>
      <c r="F181" s="827">
        <v>-0.176222749066622</v>
      </c>
      <c r="G181" s="827">
        <v>-0.86135757300024196</v>
      </c>
      <c r="H181" s="827">
        <v>-1.1806982293313799</v>
      </c>
      <c r="I181" s="827">
        <v>-1.0165791068904999</v>
      </c>
      <c r="J181" s="827">
        <v>11.219512195122</v>
      </c>
      <c r="K181" s="827">
        <v>20.487804878048799</v>
      </c>
      <c r="L181" s="827">
        <v>40.384615384615401</v>
      </c>
      <c r="M181" s="827">
        <v>20.588235294117599</v>
      </c>
      <c r="N181" s="827">
        <v>12.4401913875598</v>
      </c>
      <c r="O181" s="827">
        <v>18.269230769230798</v>
      </c>
    </row>
    <row r="182" spans="1:15">
      <c r="A182" s="827">
        <v>2005</v>
      </c>
      <c r="B182" s="827" t="s">
        <v>188</v>
      </c>
      <c r="C182" s="827" t="s">
        <v>3491</v>
      </c>
      <c r="D182" s="827">
        <v>-1.6071762732703601</v>
      </c>
      <c r="E182" s="827">
        <v>-1.45484516670854</v>
      </c>
      <c r="F182" s="827">
        <v>-0.45096928143652498</v>
      </c>
      <c r="G182" s="827">
        <v>-1.3835053187353601</v>
      </c>
      <c r="H182" s="827">
        <v>-1.4317617607747</v>
      </c>
      <c r="I182" s="827">
        <v>-1.6661494477641601</v>
      </c>
      <c r="J182" s="827">
        <v>0.48780487804877998</v>
      </c>
      <c r="K182" s="827">
        <v>4.3902439024390203</v>
      </c>
      <c r="L182" s="827">
        <v>32.211538461538503</v>
      </c>
      <c r="M182" s="827">
        <v>7.3529411764705896</v>
      </c>
      <c r="N182" s="827">
        <v>7.1770334928229698</v>
      </c>
      <c r="O182" s="827">
        <v>4.8076923076923102</v>
      </c>
    </row>
    <row r="183" spans="1:15">
      <c r="A183" s="827">
        <v>2005</v>
      </c>
      <c r="B183" s="827" t="s">
        <v>191</v>
      </c>
      <c r="C183" s="827" t="s">
        <v>3492</v>
      </c>
      <c r="D183" s="827">
        <v>-0.54507656955893702</v>
      </c>
      <c r="E183" s="827">
        <v>-0.83924121249319505</v>
      </c>
      <c r="F183" s="827">
        <v>0.31397842634678003</v>
      </c>
      <c r="G183" s="827">
        <v>-0.231969430308965</v>
      </c>
      <c r="H183" s="827">
        <v>-0.46243772923686099</v>
      </c>
      <c r="I183" s="827">
        <v>-0.87559595195433904</v>
      </c>
      <c r="J183" s="827">
        <v>37.0731707317073</v>
      </c>
      <c r="K183" s="827">
        <v>22.439024390243901</v>
      </c>
      <c r="L183" s="827">
        <v>56.25</v>
      </c>
      <c r="M183" s="827">
        <v>48.039215686274503</v>
      </c>
      <c r="N183" s="827">
        <v>39.712918660287102</v>
      </c>
      <c r="O183" s="827">
        <v>23.076923076923102</v>
      </c>
    </row>
    <row r="184" spans="1:15">
      <c r="A184" s="827">
        <v>2005</v>
      </c>
      <c r="B184" s="827" t="s">
        <v>195</v>
      </c>
      <c r="C184" s="827" t="s">
        <v>3493</v>
      </c>
      <c r="D184" s="827">
        <v>-0.36275648264418903</v>
      </c>
      <c r="E184" s="827">
        <v>-0.155174502719477</v>
      </c>
      <c r="F184" s="827">
        <v>0.17959163187848701</v>
      </c>
      <c r="G184" s="827">
        <v>-0.10778984291930301</v>
      </c>
      <c r="H184" s="827">
        <v>-0.141016690311288</v>
      </c>
      <c r="I184" s="827">
        <v>0.23989395967392299</v>
      </c>
      <c r="J184" s="827">
        <v>45.853658536585399</v>
      </c>
      <c r="K184" s="827">
        <v>50.731707317073202</v>
      </c>
      <c r="L184" s="827">
        <v>52.884615384615401</v>
      </c>
      <c r="M184" s="827">
        <v>52.4509803921569</v>
      </c>
      <c r="N184" s="827">
        <v>48.803827751196202</v>
      </c>
      <c r="O184" s="827">
        <v>57.211538461538503</v>
      </c>
    </row>
    <row r="185" spans="1:15">
      <c r="A185" s="827">
        <v>2005</v>
      </c>
      <c r="B185" s="827" t="s">
        <v>219</v>
      </c>
      <c r="C185" s="827" t="s">
        <v>3494</v>
      </c>
      <c r="D185" s="827">
        <v>-0.63210609405028595</v>
      </c>
      <c r="E185" s="827">
        <v>-0.69747439416438795</v>
      </c>
      <c r="F185" s="827">
        <v>-0.85641283238044197</v>
      </c>
      <c r="G185" s="827">
        <v>-0.39353256369886103</v>
      </c>
      <c r="H185" s="827">
        <v>-1.0952066283572801</v>
      </c>
      <c r="I185" s="827">
        <v>-0.34088739687027603</v>
      </c>
      <c r="J185" s="827">
        <v>32.682926829268297</v>
      </c>
      <c r="K185" s="827">
        <v>27.804878048780498</v>
      </c>
      <c r="L185" s="827">
        <v>21.634615384615401</v>
      </c>
      <c r="M185" s="827">
        <v>41.6666666666667</v>
      </c>
      <c r="N185" s="827">
        <v>14.3540669856459</v>
      </c>
      <c r="O185" s="827">
        <v>36.538461538461497</v>
      </c>
    </row>
    <row r="186" spans="1:15">
      <c r="A186" s="827">
        <v>2005</v>
      </c>
      <c r="B186" s="827" t="s">
        <v>3089</v>
      </c>
      <c r="C186" s="827" t="s">
        <v>3495</v>
      </c>
      <c r="D186" s="827">
        <v>-1.0084424548962001</v>
      </c>
      <c r="E186" s="827">
        <v>-1.0584098250529099</v>
      </c>
      <c r="F186" s="827">
        <v>-1.1777075163630299</v>
      </c>
      <c r="G186" s="827">
        <v>-1.0567133413027501</v>
      </c>
      <c r="H186" s="827">
        <v>-1.3551295390803899</v>
      </c>
      <c r="I186" s="827">
        <v>-1.14030260595291</v>
      </c>
      <c r="J186" s="827">
        <v>15.1219512195122</v>
      </c>
      <c r="K186" s="827">
        <v>14.634146341463399</v>
      </c>
      <c r="L186" s="827">
        <v>15.384615384615399</v>
      </c>
      <c r="M186" s="827">
        <v>15.6862745098039</v>
      </c>
      <c r="N186" s="827">
        <v>8.6124401913875595</v>
      </c>
      <c r="O186" s="827">
        <v>14.903846153846199</v>
      </c>
    </row>
    <row r="187" spans="1:15">
      <c r="A187" s="827">
        <v>2005</v>
      </c>
      <c r="B187" s="827" t="s">
        <v>243</v>
      </c>
      <c r="C187" s="827" t="s">
        <v>3496</v>
      </c>
      <c r="D187" s="827">
        <v>-0.85505662925451198</v>
      </c>
      <c r="E187" s="827">
        <v>-0.44257935360381501</v>
      </c>
      <c r="F187" s="827">
        <v>-1.4848616157230601</v>
      </c>
      <c r="G187" s="827">
        <v>-0.54404748497651101</v>
      </c>
      <c r="H187" s="827">
        <v>-0.82031029447577497</v>
      </c>
      <c r="I187" s="827">
        <v>-0.15827525551322699</v>
      </c>
      <c r="J187" s="827">
        <v>20.487804878048799</v>
      </c>
      <c r="K187" s="827">
        <v>38.536585365853703</v>
      </c>
      <c r="L187" s="827">
        <v>7.2115384615384599</v>
      </c>
      <c r="M187" s="827">
        <v>31.372549019607799</v>
      </c>
      <c r="N187" s="827">
        <v>25.358851674641102</v>
      </c>
      <c r="O187" s="827">
        <v>45.192307692307701</v>
      </c>
    </row>
    <row r="188" spans="1:15">
      <c r="A188" s="827">
        <v>2005</v>
      </c>
      <c r="B188" s="827" t="s">
        <v>251</v>
      </c>
      <c r="C188" s="827" t="s">
        <v>3497</v>
      </c>
      <c r="D188" s="827">
        <v>-1.45897938969067</v>
      </c>
      <c r="E188" s="827">
        <v>-1.6581135071677</v>
      </c>
      <c r="F188" s="827">
        <v>-2.7236513289786601</v>
      </c>
      <c r="G188" s="827">
        <v>-1.5079824787799401</v>
      </c>
      <c r="H188" s="827">
        <v>-1.77333136626146</v>
      </c>
      <c r="I188" s="827">
        <v>-1.40287354005925</v>
      </c>
      <c r="J188" s="827">
        <v>1.9512195121951199</v>
      </c>
      <c r="K188" s="827">
        <v>0.97560975609756095</v>
      </c>
      <c r="L188" s="827">
        <v>0.480769230769231</v>
      </c>
      <c r="M188" s="827">
        <v>5.3921568627451002</v>
      </c>
      <c r="N188" s="827">
        <v>0.47846889952153099</v>
      </c>
      <c r="O188" s="827">
        <v>9.1346153846153904</v>
      </c>
    </row>
    <row r="189" spans="1:15">
      <c r="A189" s="827">
        <v>2005</v>
      </c>
      <c r="B189" s="827" t="s">
        <v>280</v>
      </c>
      <c r="C189" s="827" t="s">
        <v>3498</v>
      </c>
      <c r="D189" s="827">
        <v>-0.99613384534870197</v>
      </c>
      <c r="E189" s="827">
        <v>-0.55226747501863804</v>
      </c>
      <c r="F189" s="827">
        <v>0.177586919741824</v>
      </c>
      <c r="G189" s="827">
        <v>-0.32629253789044799</v>
      </c>
      <c r="H189" s="827">
        <v>-0.82430284291645095</v>
      </c>
      <c r="I189" s="827">
        <v>-1.0029731937432</v>
      </c>
      <c r="J189" s="827">
        <v>15.609756097561</v>
      </c>
      <c r="K189" s="827">
        <v>34.634146341463399</v>
      </c>
      <c r="L189" s="827">
        <v>52.403846153846203</v>
      </c>
      <c r="M189" s="827">
        <v>44.607843137254903</v>
      </c>
      <c r="N189" s="827">
        <v>24.8803827751196</v>
      </c>
      <c r="O189" s="827">
        <v>19.230769230769202</v>
      </c>
    </row>
    <row r="190" spans="1:15">
      <c r="A190" s="827">
        <v>2005</v>
      </c>
      <c r="B190" s="827" t="s">
        <v>285</v>
      </c>
      <c r="C190" s="827" t="s">
        <v>3499</v>
      </c>
      <c r="D190" s="827">
        <v>-1.1703095305947999</v>
      </c>
      <c r="E190" s="827">
        <v>-0.83027922470362103</v>
      </c>
      <c r="F190" s="827">
        <v>-1.13361994914459</v>
      </c>
      <c r="G190" s="827">
        <v>-0.879417721672345</v>
      </c>
      <c r="H190" s="827">
        <v>-1.12444220402554</v>
      </c>
      <c r="I190" s="827">
        <v>-0.80955538455482101</v>
      </c>
      <c r="J190" s="827">
        <v>10.7317073170732</v>
      </c>
      <c r="K190" s="827">
        <v>22.9268292682927</v>
      </c>
      <c r="L190" s="827">
        <v>16.346153846153801</v>
      </c>
      <c r="M190" s="827">
        <v>19.6078431372549</v>
      </c>
      <c r="N190" s="827">
        <v>12.9186602870813</v>
      </c>
      <c r="O190" s="827">
        <v>25</v>
      </c>
    </row>
    <row r="191" spans="1:15">
      <c r="A191" s="827">
        <v>2005</v>
      </c>
      <c r="B191" s="827" t="s">
        <v>301</v>
      </c>
      <c r="C191" s="827" t="s">
        <v>3500</v>
      </c>
      <c r="D191" s="827">
        <v>-1.03722443393289</v>
      </c>
      <c r="E191" s="827">
        <v>-1.36562454102843</v>
      </c>
      <c r="F191" s="827">
        <v>-1.3603982162775199</v>
      </c>
      <c r="G191" s="827">
        <v>-1.55368081962425</v>
      </c>
      <c r="H191" s="827">
        <v>-1.3658231767256701</v>
      </c>
      <c r="I191" s="827">
        <v>-0.30452301648671498</v>
      </c>
      <c r="J191" s="827">
        <v>14.146341463414601</v>
      </c>
      <c r="K191" s="827">
        <v>6.3414634146341502</v>
      </c>
      <c r="L191" s="827">
        <v>11.057692307692299</v>
      </c>
      <c r="M191" s="827">
        <v>4.9019607843137303</v>
      </c>
      <c r="N191" s="827">
        <v>7.6555023923445003</v>
      </c>
      <c r="O191" s="827">
        <v>37.5</v>
      </c>
    </row>
    <row r="192" spans="1:15">
      <c r="A192" s="827">
        <v>2005</v>
      </c>
      <c r="B192" s="827" t="s">
        <v>316</v>
      </c>
      <c r="C192" s="827" t="s">
        <v>3501</v>
      </c>
      <c r="D192" s="827">
        <v>9.5425467892698596E-2</v>
      </c>
      <c r="E192" s="827">
        <v>-0.37065582988079598</v>
      </c>
      <c r="F192" s="827">
        <v>-5.1625611738099798E-2</v>
      </c>
      <c r="G192" s="827">
        <v>-0.236855081881584</v>
      </c>
      <c r="H192" s="827">
        <v>-0.32514245146820098</v>
      </c>
      <c r="I192" s="827">
        <v>-0.14122654487008099</v>
      </c>
      <c r="J192" s="827">
        <v>58.048780487804898</v>
      </c>
      <c r="K192" s="827">
        <v>41.951219512195102</v>
      </c>
      <c r="L192" s="827">
        <v>44.230769230769198</v>
      </c>
      <c r="M192" s="827">
        <v>47.058823529411796</v>
      </c>
      <c r="N192" s="827">
        <v>43.062200956937801</v>
      </c>
      <c r="O192" s="827">
        <v>46.153846153846203</v>
      </c>
    </row>
    <row r="193" spans="1:15">
      <c r="A193" s="827">
        <v>2005</v>
      </c>
      <c r="B193" s="827" t="s">
        <v>329</v>
      </c>
      <c r="C193" s="827" t="s">
        <v>3502</v>
      </c>
      <c r="D193" s="827">
        <v>-0.40043216730911002</v>
      </c>
      <c r="E193" s="827">
        <v>-0.68877396284047399</v>
      </c>
      <c r="F193" s="827">
        <v>0.18655778206896401</v>
      </c>
      <c r="G193" s="827">
        <v>-0.51372564286733702</v>
      </c>
      <c r="H193" s="827">
        <v>-0.13955337504121099</v>
      </c>
      <c r="I193" s="827">
        <v>0.25262867932035099</v>
      </c>
      <c r="J193" s="827">
        <v>42.9268292682927</v>
      </c>
      <c r="K193" s="827">
        <v>28.292682926829301</v>
      </c>
      <c r="L193" s="827">
        <v>53.846153846153797</v>
      </c>
      <c r="M193" s="827">
        <v>32.352941176470601</v>
      </c>
      <c r="N193" s="827">
        <v>49.282296650717697</v>
      </c>
      <c r="O193" s="827">
        <v>58.653846153846203</v>
      </c>
    </row>
    <row r="194" spans="1:15">
      <c r="A194" s="827">
        <v>2005</v>
      </c>
      <c r="B194" s="827" t="s">
        <v>345</v>
      </c>
      <c r="C194" s="827" t="s">
        <v>3503</v>
      </c>
      <c r="D194" s="827">
        <v>-0.35977094999669301</v>
      </c>
      <c r="E194" s="827">
        <v>-0.33235950864759101</v>
      </c>
      <c r="F194" s="827">
        <v>-0.23782928121267499</v>
      </c>
      <c r="G194" s="827">
        <v>-0.37568791975201998</v>
      </c>
      <c r="H194" s="827">
        <v>-0.645568913291931</v>
      </c>
      <c r="I194" s="827">
        <v>-0.96929629828576602</v>
      </c>
      <c r="J194" s="827">
        <v>46.829268292682897</v>
      </c>
      <c r="K194" s="827">
        <v>43.902439024390198</v>
      </c>
      <c r="L194" s="827">
        <v>37.980769230769198</v>
      </c>
      <c r="M194" s="827">
        <v>43.137254901960802</v>
      </c>
      <c r="N194" s="827">
        <v>32.0574162679426</v>
      </c>
      <c r="O194" s="827">
        <v>21.153846153846199</v>
      </c>
    </row>
    <row r="195" spans="1:15">
      <c r="A195" s="827">
        <v>2005</v>
      </c>
      <c r="B195" s="827" t="s">
        <v>385</v>
      </c>
      <c r="C195" s="827" t="s">
        <v>3504</v>
      </c>
      <c r="D195" s="827">
        <v>-0.54145472598851896</v>
      </c>
      <c r="E195" s="827">
        <v>-0.52078781783599004</v>
      </c>
      <c r="F195" s="827">
        <v>0.115280352252426</v>
      </c>
      <c r="G195" s="827">
        <v>-0.65395114961978495</v>
      </c>
      <c r="H195" s="827">
        <v>-0.61226044535287705</v>
      </c>
      <c r="I195" s="827">
        <v>-4.4285341882093999E-3</v>
      </c>
      <c r="J195" s="827">
        <v>37.560975609756099</v>
      </c>
      <c r="K195" s="827">
        <v>37.0731707317073</v>
      </c>
      <c r="L195" s="827">
        <v>51.442307692307701</v>
      </c>
      <c r="M195" s="827">
        <v>25</v>
      </c>
      <c r="N195" s="827">
        <v>33.492822966507198</v>
      </c>
      <c r="O195" s="827">
        <v>50.480769230769198</v>
      </c>
    </row>
    <row r="196" spans="1:15">
      <c r="A196" s="827">
        <v>2005</v>
      </c>
      <c r="B196" s="827" t="s">
        <v>394</v>
      </c>
      <c r="C196" s="827" t="s">
        <v>3505</v>
      </c>
      <c r="D196" s="827">
        <v>-0.72529246513046297</v>
      </c>
      <c r="E196" s="827">
        <v>-0.78861405735764301</v>
      </c>
      <c r="F196" s="827">
        <v>-0.47753458972371499</v>
      </c>
      <c r="G196" s="827">
        <v>-0.42081365309733498</v>
      </c>
      <c r="H196" s="827">
        <v>-0.80002393824007001</v>
      </c>
      <c r="I196" s="827">
        <v>-0.29942159472943602</v>
      </c>
      <c r="J196" s="827">
        <v>28.292682926829301</v>
      </c>
      <c r="K196" s="827">
        <v>24.878048780487799</v>
      </c>
      <c r="L196" s="827">
        <v>30.769230769230798</v>
      </c>
      <c r="M196" s="827">
        <v>39.2156862745098</v>
      </c>
      <c r="N196" s="827">
        <v>26.7942583732057</v>
      </c>
      <c r="O196" s="827">
        <v>38.461538461538503</v>
      </c>
    </row>
    <row r="197" spans="1:15">
      <c r="A197" s="827">
        <v>2005</v>
      </c>
      <c r="B197" s="827" t="s">
        <v>413</v>
      </c>
      <c r="C197" s="827" t="s">
        <v>3506</v>
      </c>
      <c r="D197" s="827">
        <v>-1.158790333554</v>
      </c>
      <c r="E197" s="827">
        <v>-0.88329232538505997</v>
      </c>
      <c r="F197" s="827">
        <v>-1.6482880439652801</v>
      </c>
      <c r="G197" s="827">
        <v>-0.76768867426750198</v>
      </c>
      <c r="H197" s="827">
        <v>-1.36129952141515</v>
      </c>
      <c r="I197" s="827">
        <v>-0.84345818856703603</v>
      </c>
      <c r="J197" s="827">
        <v>11.707317073170699</v>
      </c>
      <c r="K197" s="827">
        <v>20</v>
      </c>
      <c r="L197" s="827">
        <v>6.25</v>
      </c>
      <c r="M197" s="827">
        <v>23.529411764705898</v>
      </c>
      <c r="N197" s="827">
        <v>8.1339712918660307</v>
      </c>
      <c r="O197" s="827">
        <v>24.519230769230798</v>
      </c>
    </row>
    <row r="198" spans="1:15">
      <c r="A198" s="827">
        <v>2005</v>
      </c>
      <c r="B198" s="827" t="s">
        <v>449</v>
      </c>
      <c r="C198" s="827" t="s">
        <v>3507</v>
      </c>
      <c r="D198" s="827">
        <v>-0.36012924757922499</v>
      </c>
      <c r="E198" s="827">
        <v>-0.60044293542902905</v>
      </c>
      <c r="F198" s="827">
        <v>-0.97676687745370405</v>
      </c>
      <c r="G198" s="827">
        <v>8.1359403889796206E-2</v>
      </c>
      <c r="H198" s="827">
        <v>-0.74154496365820899</v>
      </c>
      <c r="I198" s="827">
        <v>-1.8341252380880701E-2</v>
      </c>
      <c r="J198" s="827">
        <v>46.341463414634099</v>
      </c>
      <c r="K198" s="827">
        <v>32.682926829268297</v>
      </c>
      <c r="L198" s="827">
        <v>18.75</v>
      </c>
      <c r="M198" s="827">
        <v>55.882352941176499</v>
      </c>
      <c r="N198" s="827">
        <v>29.186602870813399</v>
      </c>
      <c r="O198" s="827">
        <v>49.519230769230802</v>
      </c>
    </row>
    <row r="199" spans="1:15">
      <c r="A199" s="827">
        <v>2005</v>
      </c>
      <c r="B199" s="827" t="s">
        <v>488</v>
      </c>
      <c r="C199" s="827" t="s">
        <v>3508</v>
      </c>
      <c r="D199" s="827">
        <v>-1.09453952114388</v>
      </c>
      <c r="E199" s="827">
        <v>-1.3576070739402999</v>
      </c>
      <c r="F199" s="827">
        <v>-0.43123181520273601</v>
      </c>
      <c r="G199" s="827">
        <v>-1.0803843711205099</v>
      </c>
      <c r="H199" s="827">
        <v>-1.18272395034968</v>
      </c>
      <c r="I199" s="827">
        <v>-0.51826127639031105</v>
      </c>
      <c r="J199" s="827">
        <v>12.6829268292683</v>
      </c>
      <c r="K199" s="827">
        <v>6.8292682926829302</v>
      </c>
      <c r="L199" s="827">
        <v>34.134615384615401</v>
      </c>
      <c r="M199" s="827">
        <v>14.705882352941201</v>
      </c>
      <c r="N199" s="827">
        <v>11.9617224880383</v>
      </c>
      <c r="O199" s="827">
        <v>30.769230769230798</v>
      </c>
    </row>
    <row r="200" spans="1:15">
      <c r="A200" s="827">
        <v>2005</v>
      </c>
      <c r="B200" s="827" t="s">
        <v>499</v>
      </c>
      <c r="C200" s="827" t="s">
        <v>3509</v>
      </c>
      <c r="D200" s="827">
        <v>-0.64983455379370303</v>
      </c>
      <c r="E200" s="827">
        <v>-0.38736645357732902</v>
      </c>
      <c r="F200" s="827">
        <v>-0.56826142892158404</v>
      </c>
      <c r="G200" s="827">
        <v>-0.45068103405591098</v>
      </c>
      <c r="H200" s="827">
        <v>-0.26013654647699402</v>
      </c>
      <c r="I200" s="827">
        <v>-0.29045743816476799</v>
      </c>
      <c r="J200" s="827">
        <v>30.731707317073202</v>
      </c>
      <c r="K200" s="827">
        <v>41.463414634146297</v>
      </c>
      <c r="L200" s="827">
        <v>28.365384615384599</v>
      </c>
      <c r="M200" s="827">
        <v>36.764705882352899</v>
      </c>
      <c r="N200" s="827">
        <v>45.454545454545503</v>
      </c>
      <c r="O200" s="827">
        <v>38.942307692307701</v>
      </c>
    </row>
    <row r="201" spans="1:15">
      <c r="A201" s="827">
        <v>2005</v>
      </c>
      <c r="B201" s="827" t="s">
        <v>517</v>
      </c>
      <c r="C201" s="827" t="s">
        <v>3510</v>
      </c>
      <c r="D201" s="827">
        <v>-0.79251262521772903</v>
      </c>
      <c r="E201" s="827">
        <v>-1.49765936701691</v>
      </c>
      <c r="F201" s="827">
        <v>-1.46146751562461</v>
      </c>
      <c r="G201" s="827">
        <v>-0.83839143850395104</v>
      </c>
      <c r="H201" s="827">
        <v>-1.0945032796338501</v>
      </c>
      <c r="I201" s="827">
        <v>-1.2833026725183201</v>
      </c>
      <c r="J201" s="827">
        <v>21.951219512195099</v>
      </c>
      <c r="K201" s="827">
        <v>3.9024390243902398</v>
      </c>
      <c r="L201" s="827">
        <v>7.6923076923076898</v>
      </c>
      <c r="M201" s="827">
        <v>21.078431372549002</v>
      </c>
      <c r="N201" s="827">
        <v>14.8325358851675</v>
      </c>
      <c r="O201" s="827">
        <v>10.5769230769231</v>
      </c>
    </row>
    <row r="202" spans="1:15">
      <c r="A202" s="827">
        <v>2005</v>
      </c>
      <c r="B202" s="827" t="s">
        <v>3090</v>
      </c>
      <c r="C202" s="827" t="s">
        <v>3511</v>
      </c>
      <c r="D202" s="827">
        <v>-0.78908846330496896</v>
      </c>
      <c r="E202" s="827">
        <v>-0.96645924177367504</v>
      </c>
      <c r="F202" s="827">
        <v>-0.70212450339055099</v>
      </c>
      <c r="G202" s="827">
        <v>-1.1302065711317799</v>
      </c>
      <c r="H202" s="827">
        <v>-0.544799490349273</v>
      </c>
      <c r="I202" s="827">
        <v>-0.21061816055236501</v>
      </c>
      <c r="J202" s="827">
        <v>22.439024390243901</v>
      </c>
      <c r="K202" s="827">
        <v>16.097560975609799</v>
      </c>
      <c r="L202" s="827">
        <v>25</v>
      </c>
      <c r="M202" s="827">
        <v>12.2549019607843</v>
      </c>
      <c r="N202" s="827">
        <v>36.363636363636402</v>
      </c>
      <c r="O202" s="827">
        <v>40.384615384615401</v>
      </c>
    </row>
    <row r="203" spans="1:15">
      <c r="A203" s="827">
        <v>2005</v>
      </c>
      <c r="B203" s="827" t="s">
        <v>3091</v>
      </c>
      <c r="C203" s="827" t="s">
        <v>3512</v>
      </c>
      <c r="D203" s="827">
        <v>-7.7515226962444297E-2</v>
      </c>
      <c r="E203" s="827">
        <v>0.18689705208466301</v>
      </c>
      <c r="F203" s="827">
        <v>-0.13479988856337799</v>
      </c>
      <c r="G203" s="827">
        <v>0.60410837122231198</v>
      </c>
      <c r="H203" s="827">
        <v>-8.3237134161485399E-2</v>
      </c>
      <c r="I203" s="827">
        <v>0.59591678658658698</v>
      </c>
      <c r="J203" s="827">
        <v>55.121951219512198</v>
      </c>
      <c r="K203" s="827">
        <v>60.487804878048799</v>
      </c>
      <c r="L203" s="827">
        <v>41.826923076923102</v>
      </c>
      <c r="M203" s="827">
        <v>67.647058823529406</v>
      </c>
      <c r="N203" s="827">
        <v>51.196172248803798</v>
      </c>
      <c r="O203" s="827">
        <v>66.346153846153797</v>
      </c>
    </row>
    <row r="204" spans="1:15">
      <c r="A204" s="827">
        <v>2005</v>
      </c>
      <c r="B204" s="827" t="s">
        <v>3092</v>
      </c>
      <c r="C204" s="827" t="s">
        <v>3513</v>
      </c>
      <c r="D204" s="827">
        <v>-0.787371348601688</v>
      </c>
      <c r="E204" s="827">
        <v>-0.93017870469378705</v>
      </c>
      <c r="F204" s="827">
        <v>-1.4199742268372699</v>
      </c>
      <c r="G204" s="827">
        <v>-0.81807439401396898</v>
      </c>
      <c r="H204" s="827">
        <v>-1.2604815820848101</v>
      </c>
      <c r="I204" s="827">
        <v>-1.06703009280838</v>
      </c>
      <c r="J204" s="827">
        <v>23.414634146341498</v>
      </c>
      <c r="K204" s="827">
        <v>17.560975609756099</v>
      </c>
      <c r="L204" s="827">
        <v>9.1346153846153904</v>
      </c>
      <c r="M204" s="827">
        <v>22.0588235294118</v>
      </c>
      <c r="N204" s="827">
        <v>9.5693779904306204</v>
      </c>
      <c r="O204" s="827">
        <v>16.346153846153801</v>
      </c>
    </row>
    <row r="205" spans="1:15">
      <c r="A205" s="827">
        <v>2005</v>
      </c>
      <c r="B205" s="827" t="s">
        <v>541</v>
      </c>
      <c r="C205" s="827" t="s">
        <v>3514</v>
      </c>
      <c r="D205" s="827">
        <v>-0.78775073727918099</v>
      </c>
      <c r="E205" s="827">
        <v>-0.93610067162176402</v>
      </c>
      <c r="F205" s="827">
        <v>6.8862896613340802E-2</v>
      </c>
      <c r="G205" s="827">
        <v>-0.69833966732283503</v>
      </c>
      <c r="H205" s="827">
        <v>-0.57597318534311603</v>
      </c>
      <c r="I205" s="827">
        <v>-0.41956029719095</v>
      </c>
      <c r="J205" s="827">
        <v>22.9268292682927</v>
      </c>
      <c r="K205" s="827">
        <v>17.0731707317073</v>
      </c>
      <c r="L205" s="827">
        <v>48.557692307692299</v>
      </c>
      <c r="M205" s="827">
        <v>24.509803921568601</v>
      </c>
      <c r="N205" s="827">
        <v>34.928229665071797</v>
      </c>
      <c r="O205" s="827">
        <v>34.615384615384599</v>
      </c>
    </row>
    <row r="206" spans="1:15">
      <c r="A206" s="827">
        <v>2005</v>
      </c>
      <c r="B206" s="827" t="s">
        <v>364</v>
      </c>
      <c r="C206" s="827" t="s">
        <v>3515</v>
      </c>
      <c r="D206" s="827">
        <v>-0.58142108869310205</v>
      </c>
      <c r="E206" s="827">
        <v>-0.36459357284694899</v>
      </c>
      <c r="F206" s="827">
        <v>0.88191615025923498</v>
      </c>
      <c r="G206" s="827">
        <v>-0.44426501771393401</v>
      </c>
      <c r="H206" s="827">
        <v>-0.23194734638489301</v>
      </c>
      <c r="I206" s="827">
        <v>4.99885920400285E-2</v>
      </c>
      <c r="J206" s="827">
        <v>35.609756097560997</v>
      </c>
      <c r="K206" s="827">
        <v>42.9268292682927</v>
      </c>
      <c r="L206" s="827">
        <v>76.923076923076906</v>
      </c>
      <c r="M206" s="827">
        <v>37.254901960784302</v>
      </c>
      <c r="N206" s="827">
        <v>46.4114832535885</v>
      </c>
      <c r="O206" s="827">
        <v>53.365384615384599</v>
      </c>
    </row>
    <row r="207" spans="1:15">
      <c r="A207" s="827">
        <v>2006</v>
      </c>
      <c r="B207" s="827" t="s">
        <v>21</v>
      </c>
      <c r="C207" s="827" t="s">
        <v>3516</v>
      </c>
      <c r="D207" s="827">
        <v>-1.44451638255312</v>
      </c>
      <c r="E207" s="827">
        <v>-1.48808071126238</v>
      </c>
      <c r="F207" s="827">
        <v>-2.2310944545182498</v>
      </c>
      <c r="G207" s="827">
        <v>-1.6741096598140499</v>
      </c>
      <c r="H207" s="827">
        <v>-1.9557250150813399</v>
      </c>
      <c r="I207" s="827">
        <v>-1.19084782396245</v>
      </c>
      <c r="J207" s="827">
        <v>3.4146341463414598</v>
      </c>
      <c r="K207" s="827">
        <v>4.3902439024390203</v>
      </c>
      <c r="L207" s="827">
        <v>1.4423076923076901</v>
      </c>
      <c r="M207" s="827">
        <v>2.9411764705882399</v>
      </c>
      <c r="N207" s="827">
        <v>0.47846889952153099</v>
      </c>
      <c r="O207" s="827">
        <v>13.942307692307701</v>
      </c>
    </row>
    <row r="208" spans="1:15">
      <c r="A208" s="827">
        <v>2006</v>
      </c>
      <c r="B208" s="827" t="s">
        <v>38</v>
      </c>
      <c r="C208" s="827" t="s">
        <v>3517</v>
      </c>
      <c r="D208" s="827">
        <v>-0.80598041597658099</v>
      </c>
      <c r="E208" s="827">
        <v>-0.456362150013507</v>
      </c>
      <c r="F208" s="827">
        <v>-0.48508535089294103</v>
      </c>
      <c r="G208" s="827">
        <v>-9.4024469937926194E-2</v>
      </c>
      <c r="H208" s="827">
        <v>-0.73036456183219101</v>
      </c>
      <c r="I208" s="827">
        <v>5.4177932621381902E-2</v>
      </c>
      <c r="J208" s="827">
        <v>22.439024390243901</v>
      </c>
      <c r="K208" s="827">
        <v>39.024390243902403</v>
      </c>
      <c r="L208" s="827">
        <v>29.807692307692299</v>
      </c>
      <c r="M208" s="827">
        <v>51.470588235294102</v>
      </c>
      <c r="N208" s="827">
        <v>27.7511961722488</v>
      </c>
      <c r="O208" s="827">
        <v>49.519230769230802</v>
      </c>
    </row>
    <row r="209" spans="1:15">
      <c r="A209" s="827">
        <v>2006</v>
      </c>
      <c r="B209" s="827" t="s">
        <v>53</v>
      </c>
      <c r="C209" s="827" t="s">
        <v>3518</v>
      </c>
      <c r="D209" s="827">
        <v>-0.98963096081231505</v>
      </c>
      <c r="E209" s="827">
        <v>-0.67500074406877697</v>
      </c>
      <c r="F209" s="827">
        <v>-1.0848389073723499</v>
      </c>
      <c r="G209" s="827">
        <v>-0.49545094100609999</v>
      </c>
      <c r="H209" s="827">
        <v>-0.80642196533088395</v>
      </c>
      <c r="I209" s="827">
        <v>-1.2204446980110599</v>
      </c>
      <c r="J209" s="827">
        <v>15.1219512195122</v>
      </c>
      <c r="K209" s="827">
        <v>28.292682926829301</v>
      </c>
      <c r="L209" s="827">
        <v>16.346153846153801</v>
      </c>
      <c r="M209" s="827">
        <v>33.823529411764703</v>
      </c>
      <c r="N209" s="827">
        <v>24.8803827751196</v>
      </c>
      <c r="O209" s="827">
        <v>13.461538461538501</v>
      </c>
    </row>
    <row r="210" spans="1:15">
      <c r="A210" s="827">
        <v>2006</v>
      </c>
      <c r="B210" s="827" t="s">
        <v>98</v>
      </c>
      <c r="C210" s="827" t="s">
        <v>3519</v>
      </c>
      <c r="D210" s="827">
        <v>-0.32922626690787898</v>
      </c>
      <c r="E210" s="827">
        <v>-0.74309618810448497</v>
      </c>
      <c r="F210" s="827">
        <v>0.146304401615069</v>
      </c>
      <c r="G210" s="827">
        <v>-0.31462590401216201</v>
      </c>
      <c r="H210" s="827">
        <v>-0.41702188767563297</v>
      </c>
      <c r="I210" s="827">
        <v>-0.37312350226301799</v>
      </c>
      <c r="J210" s="827">
        <v>44.878048780487802</v>
      </c>
      <c r="K210" s="827">
        <v>26.829268292682901</v>
      </c>
      <c r="L210" s="827">
        <v>51.923076923076898</v>
      </c>
      <c r="M210" s="827">
        <v>43.627450980392197</v>
      </c>
      <c r="N210" s="827">
        <v>43.062200956937801</v>
      </c>
      <c r="O210" s="827">
        <v>35.096153846153797</v>
      </c>
    </row>
    <row r="211" spans="1:15">
      <c r="A211" s="827">
        <v>2006</v>
      </c>
      <c r="B211" s="827" t="s">
        <v>127</v>
      </c>
      <c r="C211" s="827" t="s">
        <v>3520</v>
      </c>
      <c r="D211" s="827">
        <v>-0.99707513756548405</v>
      </c>
      <c r="E211" s="827">
        <v>-1.4106291847243999</v>
      </c>
      <c r="F211" s="827">
        <v>-1.83942548667351</v>
      </c>
      <c r="G211" s="827">
        <v>-1.19137800216339</v>
      </c>
      <c r="H211" s="827">
        <v>-1.4899610230462901</v>
      </c>
      <c r="I211" s="827">
        <v>-1.01288987959902</v>
      </c>
      <c r="J211" s="827">
        <v>14.634146341463399</v>
      </c>
      <c r="K211" s="827">
        <v>5.3658536585365901</v>
      </c>
      <c r="L211" s="827">
        <v>5.7692307692307701</v>
      </c>
      <c r="M211" s="827">
        <v>11.764705882352899</v>
      </c>
      <c r="N211" s="827">
        <v>3.3492822966507201</v>
      </c>
      <c r="O211" s="827">
        <v>19.230769230769202</v>
      </c>
    </row>
    <row r="212" spans="1:15">
      <c r="A212" s="827">
        <v>2006</v>
      </c>
      <c r="B212" s="827" t="s">
        <v>138</v>
      </c>
      <c r="C212" s="827" t="s">
        <v>3521</v>
      </c>
      <c r="D212" s="827">
        <v>-1.2675257832553</v>
      </c>
      <c r="E212" s="827">
        <v>-1.4424511967806399</v>
      </c>
      <c r="F212" s="827">
        <v>-1.8096576678237599</v>
      </c>
      <c r="G212" s="827">
        <v>-1.08069741550772</v>
      </c>
      <c r="H212" s="827">
        <v>-1.50879904592281</v>
      </c>
      <c r="I212" s="827">
        <v>-1.4290127172070499</v>
      </c>
      <c r="J212" s="827">
        <v>6.3414634146341502</v>
      </c>
      <c r="K212" s="827">
        <v>4.8780487804878003</v>
      </c>
      <c r="L212" s="827">
        <v>6.25</v>
      </c>
      <c r="M212" s="827">
        <v>15.1960784313725</v>
      </c>
      <c r="N212" s="827">
        <v>2.87081339712919</v>
      </c>
      <c r="O212" s="827">
        <v>8.6538461538461497</v>
      </c>
    </row>
    <row r="213" spans="1:15">
      <c r="A213" s="827">
        <v>2006</v>
      </c>
      <c r="B213" s="827" t="s">
        <v>171</v>
      </c>
      <c r="C213" s="827" t="s">
        <v>3522</v>
      </c>
      <c r="D213" s="827">
        <v>-1.48490226801068</v>
      </c>
      <c r="E213" s="827">
        <v>-1.65270956084891</v>
      </c>
      <c r="F213" s="827">
        <v>-2.2730878102677199</v>
      </c>
      <c r="G213" s="827">
        <v>-1.3157009717291099</v>
      </c>
      <c r="H213" s="827">
        <v>-1.61129357638174</v>
      </c>
      <c r="I213" s="827">
        <v>-1.2814657079521401</v>
      </c>
      <c r="J213" s="827">
        <v>2.9268292682926802</v>
      </c>
      <c r="K213" s="827">
        <v>1.9512195121951199</v>
      </c>
      <c r="L213" s="827">
        <v>0.96153846153846201</v>
      </c>
      <c r="M213" s="827">
        <v>8.8235294117647101</v>
      </c>
      <c r="N213" s="827">
        <v>1.91387559808612</v>
      </c>
      <c r="O213" s="827">
        <v>10.5769230769231</v>
      </c>
    </row>
    <row r="214" spans="1:15">
      <c r="A214" s="827">
        <v>2006</v>
      </c>
      <c r="B214" s="827" t="s">
        <v>465</v>
      </c>
      <c r="C214" s="827" t="s">
        <v>3523</v>
      </c>
      <c r="D214" s="827">
        <v>-1.0493397193926699</v>
      </c>
      <c r="E214" s="827">
        <v>-1.2898742480535099</v>
      </c>
      <c r="F214" s="827">
        <v>-0.94224838686328005</v>
      </c>
      <c r="G214" s="827">
        <v>-1.1998485021315199</v>
      </c>
      <c r="H214" s="827">
        <v>-1.2400734475467901</v>
      </c>
      <c r="I214" s="827">
        <v>-1.2250178714915001</v>
      </c>
      <c r="J214" s="827">
        <v>12.6829268292683</v>
      </c>
      <c r="K214" s="827">
        <v>8.2926829268292703</v>
      </c>
      <c r="L214" s="827">
        <v>17.788461538461501</v>
      </c>
      <c r="M214" s="827">
        <v>11.2745098039216</v>
      </c>
      <c r="N214" s="827">
        <v>10.047846889952201</v>
      </c>
      <c r="O214" s="827">
        <v>12.9807692307692</v>
      </c>
    </row>
    <row r="215" spans="1:15">
      <c r="A215" s="827">
        <v>2006</v>
      </c>
      <c r="B215" s="827" t="s">
        <v>101</v>
      </c>
      <c r="C215" s="827" t="s">
        <v>3524</v>
      </c>
      <c r="D215" s="827">
        <v>-1.0266473517350001</v>
      </c>
      <c r="E215" s="827">
        <v>-0.92944433305378604</v>
      </c>
      <c r="F215" s="827">
        <v>-0.26351750966880499</v>
      </c>
      <c r="G215" s="827">
        <v>-0.83400093790035601</v>
      </c>
      <c r="H215" s="827">
        <v>-1.1307934321199899</v>
      </c>
      <c r="I215" s="827">
        <v>-1.0252529637096699</v>
      </c>
      <c r="J215" s="827">
        <v>14.146341463414601</v>
      </c>
      <c r="K215" s="827">
        <v>18.5365853658537</v>
      </c>
      <c r="L215" s="827">
        <v>37.019230769230802</v>
      </c>
      <c r="M215" s="827">
        <v>21.078431372549002</v>
      </c>
      <c r="N215" s="827">
        <v>11.4832535885167</v>
      </c>
      <c r="O215" s="827">
        <v>18.75</v>
      </c>
    </row>
    <row r="216" spans="1:15">
      <c r="A216" s="827">
        <v>2006</v>
      </c>
      <c r="B216" s="827" t="s">
        <v>188</v>
      </c>
      <c r="C216" s="827" t="s">
        <v>3525</v>
      </c>
      <c r="D216" s="827">
        <v>-1.53361283326478</v>
      </c>
      <c r="E216" s="827">
        <v>-1.5973533309583301</v>
      </c>
      <c r="F216" s="827">
        <v>0.130687901805739</v>
      </c>
      <c r="G216" s="827">
        <v>-1.3343674194816599</v>
      </c>
      <c r="H216" s="827">
        <v>-1.3551180684561901</v>
      </c>
      <c r="I216" s="827">
        <v>-1.80706320137097</v>
      </c>
      <c r="J216" s="827">
        <v>1.9512195121951199</v>
      </c>
      <c r="K216" s="827">
        <v>2.4390243902439002</v>
      </c>
      <c r="L216" s="827">
        <v>50.961538461538503</v>
      </c>
      <c r="M216" s="827">
        <v>8.3333333333333304</v>
      </c>
      <c r="N216" s="827">
        <v>6.6985645933014402</v>
      </c>
      <c r="O216" s="827">
        <v>3.8461538461538498</v>
      </c>
    </row>
    <row r="217" spans="1:15">
      <c r="A217" s="827">
        <v>2006</v>
      </c>
      <c r="B217" s="827" t="s">
        <v>191</v>
      </c>
      <c r="C217" s="827" t="s">
        <v>3526</v>
      </c>
      <c r="D217" s="827">
        <v>-0.96201247238732601</v>
      </c>
      <c r="E217" s="827">
        <v>-0.848142100823019</v>
      </c>
      <c r="F217" s="827">
        <v>0.181107194869954</v>
      </c>
      <c r="G217" s="827">
        <v>-0.47528540908030997</v>
      </c>
      <c r="H217" s="827">
        <v>-0.73108032311967097</v>
      </c>
      <c r="I217" s="827">
        <v>-0.98637035451663602</v>
      </c>
      <c r="J217" s="827">
        <v>16.585365853658502</v>
      </c>
      <c r="K217" s="827">
        <v>20.487804878048799</v>
      </c>
      <c r="L217" s="827">
        <v>52.403846153846203</v>
      </c>
      <c r="M217" s="827">
        <v>34.313725490196099</v>
      </c>
      <c r="N217" s="827">
        <v>27.272727272727298</v>
      </c>
      <c r="O217" s="827">
        <v>21.153846153846199</v>
      </c>
    </row>
    <row r="218" spans="1:15">
      <c r="A218" s="827">
        <v>2006</v>
      </c>
      <c r="B218" s="827" t="s">
        <v>195</v>
      </c>
      <c r="C218" s="827" t="s">
        <v>3527</v>
      </c>
      <c r="D218" s="827">
        <v>-1.9105712134025201E-2</v>
      </c>
      <c r="E218" s="827">
        <v>0.105214744277195</v>
      </c>
      <c r="F218" s="827">
        <v>1.6425267880939801E-2</v>
      </c>
      <c r="G218" s="827">
        <v>-7.7542191410285094E-2</v>
      </c>
      <c r="H218" s="827">
        <v>1.19959577036791E-3</v>
      </c>
      <c r="I218" s="827">
        <v>0.36521092735796301</v>
      </c>
      <c r="J218" s="827">
        <v>58.048780487804898</v>
      </c>
      <c r="K218" s="827">
        <v>58.536585365853703</v>
      </c>
      <c r="L218" s="827">
        <v>46.153846153846203</v>
      </c>
      <c r="M218" s="827">
        <v>51.960784313725497</v>
      </c>
      <c r="N218" s="827">
        <v>54.066985645933002</v>
      </c>
      <c r="O218" s="827">
        <v>58.653846153846203</v>
      </c>
    </row>
    <row r="219" spans="1:15">
      <c r="A219" s="827">
        <v>2006</v>
      </c>
      <c r="B219" s="827" t="s">
        <v>219</v>
      </c>
      <c r="C219" s="827" t="s">
        <v>3528</v>
      </c>
      <c r="D219" s="827">
        <v>-0.74004515433398499</v>
      </c>
      <c r="E219" s="827">
        <v>-0.59240471806677097</v>
      </c>
      <c r="F219" s="827">
        <v>-0.74004130329805795</v>
      </c>
      <c r="G219" s="827">
        <v>-0.20124660323892701</v>
      </c>
      <c r="H219" s="827">
        <v>-1.11004388342488</v>
      </c>
      <c r="I219" s="827">
        <v>-0.18858369667931099</v>
      </c>
      <c r="J219" s="827">
        <v>25.853658536585399</v>
      </c>
      <c r="K219" s="827">
        <v>30.731707317073202</v>
      </c>
      <c r="L219" s="827">
        <v>24.519230769230798</v>
      </c>
      <c r="M219" s="827">
        <v>47.5490196078431</v>
      </c>
      <c r="N219" s="827">
        <v>12.4401913875598</v>
      </c>
      <c r="O219" s="827">
        <v>41.346153846153797</v>
      </c>
    </row>
    <row r="220" spans="1:15">
      <c r="A220" s="827">
        <v>2006</v>
      </c>
      <c r="B220" s="827" t="s">
        <v>3089</v>
      </c>
      <c r="C220" s="827" t="s">
        <v>3529</v>
      </c>
      <c r="D220" s="827">
        <v>-1.0435072072129301</v>
      </c>
      <c r="E220" s="827">
        <v>-1.3414672403067001</v>
      </c>
      <c r="F220" s="827">
        <v>-1.89237485515491</v>
      </c>
      <c r="G220" s="827">
        <v>-1.20269833848503</v>
      </c>
      <c r="H220" s="827">
        <v>-1.41785809547723</v>
      </c>
      <c r="I220" s="827">
        <v>-1.23738874704223</v>
      </c>
      <c r="J220" s="827">
        <v>13.170731707317101</v>
      </c>
      <c r="K220" s="827">
        <v>6.3414634146341502</v>
      </c>
      <c r="L220" s="827">
        <v>4.3269230769230802</v>
      </c>
      <c r="M220" s="827">
        <v>10.294117647058799</v>
      </c>
      <c r="N220" s="827">
        <v>5.2631578947368398</v>
      </c>
      <c r="O220" s="827">
        <v>11.538461538461499</v>
      </c>
    </row>
    <row r="221" spans="1:15">
      <c r="A221" s="827">
        <v>2006</v>
      </c>
      <c r="B221" s="827" t="s">
        <v>243</v>
      </c>
      <c r="C221" s="827" t="s">
        <v>3530</v>
      </c>
      <c r="D221" s="827">
        <v>-0.81047175352449197</v>
      </c>
      <c r="E221" s="827">
        <v>-0.338707894869825</v>
      </c>
      <c r="F221" s="827">
        <v>-1.4021410234243801</v>
      </c>
      <c r="G221" s="827">
        <v>-0.33734296609860298</v>
      </c>
      <c r="H221" s="827">
        <v>-0.72871215663435696</v>
      </c>
      <c r="I221" s="827">
        <v>-0.13719965565734599</v>
      </c>
      <c r="J221" s="827">
        <v>21.4634146341463</v>
      </c>
      <c r="K221" s="827">
        <v>43.902439024390198</v>
      </c>
      <c r="L221" s="827">
        <v>9.6153846153846203</v>
      </c>
      <c r="M221" s="827">
        <v>43.137254901960802</v>
      </c>
      <c r="N221" s="827">
        <v>28.229665071770299</v>
      </c>
      <c r="O221" s="827">
        <v>43.269230769230802</v>
      </c>
    </row>
    <row r="222" spans="1:15">
      <c r="A222" s="827">
        <v>2006</v>
      </c>
      <c r="B222" s="827" t="s">
        <v>251</v>
      </c>
      <c r="C222" s="827" t="s">
        <v>3531</v>
      </c>
      <c r="D222" s="827">
        <v>-1.56422954122419</v>
      </c>
      <c r="E222" s="827">
        <v>-1.7701630183405701</v>
      </c>
      <c r="F222" s="827">
        <v>-2.82551214626845</v>
      </c>
      <c r="G222" s="827">
        <v>-1.4024395160505001</v>
      </c>
      <c r="H222" s="827">
        <v>-1.7906188863969399</v>
      </c>
      <c r="I222" s="827">
        <v>-1.40196183345984</v>
      </c>
      <c r="J222" s="827">
        <v>1.4634146341463401</v>
      </c>
      <c r="K222" s="827">
        <v>0.48780487804877998</v>
      </c>
      <c r="L222" s="827">
        <v>0</v>
      </c>
      <c r="M222" s="827">
        <v>6.8627450980392197</v>
      </c>
      <c r="N222" s="827">
        <v>0.95693779904306198</v>
      </c>
      <c r="O222" s="827">
        <v>9.1346153846153904</v>
      </c>
    </row>
    <row r="223" spans="1:15">
      <c r="A223" s="827">
        <v>2006</v>
      </c>
      <c r="B223" s="827" t="s">
        <v>280</v>
      </c>
      <c r="C223" s="827" t="s">
        <v>3532</v>
      </c>
      <c r="D223" s="827">
        <v>-0.90072973001074697</v>
      </c>
      <c r="E223" s="827">
        <v>-0.45724626354541698</v>
      </c>
      <c r="F223" s="827">
        <v>0.19965697502830801</v>
      </c>
      <c r="G223" s="827">
        <v>-0.3649877654548</v>
      </c>
      <c r="H223" s="827">
        <v>-0.96930797267082902</v>
      </c>
      <c r="I223" s="827">
        <v>-1.1430693754560399</v>
      </c>
      <c r="J223" s="827">
        <v>18.5365853658537</v>
      </c>
      <c r="K223" s="827">
        <v>38.536585365853703</v>
      </c>
      <c r="L223" s="827">
        <v>52.884615384615401</v>
      </c>
      <c r="M223" s="827">
        <v>41.6666666666667</v>
      </c>
      <c r="N223" s="827">
        <v>18.6602870813397</v>
      </c>
      <c r="O223" s="827">
        <v>16.826923076923102</v>
      </c>
    </row>
    <row r="224" spans="1:15">
      <c r="A224" s="827">
        <v>2006</v>
      </c>
      <c r="B224" s="827" t="s">
        <v>285</v>
      </c>
      <c r="C224" s="827" t="s">
        <v>3533</v>
      </c>
      <c r="D224" s="827">
        <v>-1.2613129733617701</v>
      </c>
      <c r="E224" s="827">
        <v>-0.77730986159114102</v>
      </c>
      <c r="F224" s="827">
        <v>-1.3758674382674601</v>
      </c>
      <c r="G224" s="827">
        <v>-0.63413667060158896</v>
      </c>
      <c r="H224" s="827">
        <v>-1.3071644635672199</v>
      </c>
      <c r="I224" s="827">
        <v>-0.73458801683765396</v>
      </c>
      <c r="J224" s="827">
        <v>7.3170731707317103</v>
      </c>
      <c r="K224" s="827">
        <v>25.365853658536601</v>
      </c>
      <c r="L224" s="827">
        <v>11.538461538461499</v>
      </c>
      <c r="M224" s="827">
        <v>26.470588235294102</v>
      </c>
      <c r="N224" s="827">
        <v>7.6555023923445003</v>
      </c>
      <c r="O224" s="827">
        <v>27.403846153846199</v>
      </c>
    </row>
    <row r="225" spans="1:15">
      <c r="A225" s="827">
        <v>2006</v>
      </c>
      <c r="B225" s="827" t="s">
        <v>301</v>
      </c>
      <c r="C225" s="827" t="s">
        <v>3534</v>
      </c>
      <c r="D225" s="827">
        <v>-0.47398231169830402</v>
      </c>
      <c r="E225" s="827">
        <v>-1.18512659972868</v>
      </c>
      <c r="F225" s="827">
        <v>-1.3129496236134</v>
      </c>
      <c r="G225" s="827">
        <v>-1.37201349011756</v>
      </c>
      <c r="H225" s="827">
        <v>-0.86566195224320297</v>
      </c>
      <c r="I225" s="827">
        <v>-0.19445941439995201</v>
      </c>
      <c r="J225" s="827">
        <v>38.536585365853703</v>
      </c>
      <c r="K225" s="827">
        <v>8.7804878048780495</v>
      </c>
      <c r="L225" s="827">
        <v>12.5</v>
      </c>
      <c r="M225" s="827">
        <v>7.8431372549019596</v>
      </c>
      <c r="N225" s="827">
        <v>22.009569377990399</v>
      </c>
      <c r="O225" s="827">
        <v>40.865384615384599</v>
      </c>
    </row>
    <row r="226" spans="1:15">
      <c r="A226" s="827">
        <v>2006</v>
      </c>
      <c r="B226" s="827" t="s">
        <v>316</v>
      </c>
      <c r="C226" s="827" t="s">
        <v>3535</v>
      </c>
      <c r="D226" s="827">
        <v>-0.11960843473335001</v>
      </c>
      <c r="E226" s="827">
        <v>-0.52509931078907501</v>
      </c>
      <c r="F226" s="827">
        <v>0.128296164177745</v>
      </c>
      <c r="G226" s="827">
        <v>-0.16832566332508</v>
      </c>
      <c r="H226" s="827">
        <v>-0.42892673082499599</v>
      </c>
      <c r="I226" s="827">
        <v>-0.11631036861312601</v>
      </c>
      <c r="J226" s="827">
        <v>54.634146341463399</v>
      </c>
      <c r="K226" s="827">
        <v>35.121951219512198</v>
      </c>
      <c r="L226" s="827">
        <v>50.480769230769198</v>
      </c>
      <c r="M226" s="827">
        <v>50</v>
      </c>
      <c r="N226" s="827">
        <v>42.583732057416299</v>
      </c>
      <c r="O226" s="827">
        <v>44.230769230769198</v>
      </c>
    </row>
    <row r="227" spans="1:15">
      <c r="A227" s="827">
        <v>2006</v>
      </c>
      <c r="B227" s="827" t="s">
        <v>329</v>
      </c>
      <c r="C227" s="827" t="s">
        <v>3536</v>
      </c>
      <c r="D227" s="827">
        <v>-0.40528407343105999</v>
      </c>
      <c r="E227" s="827">
        <v>-0.68218677629911095</v>
      </c>
      <c r="F227" s="827">
        <v>0.373848367126215</v>
      </c>
      <c r="G227" s="827">
        <v>-0.43863016905879698</v>
      </c>
      <c r="H227" s="827">
        <v>-0.27671790289815101</v>
      </c>
      <c r="I227" s="827">
        <v>0.274335139359417</v>
      </c>
      <c r="J227" s="827">
        <v>40</v>
      </c>
      <c r="K227" s="827">
        <v>27.804878048780498</v>
      </c>
      <c r="L227" s="827">
        <v>57.692307692307701</v>
      </c>
      <c r="M227" s="827">
        <v>36.274509803921603</v>
      </c>
      <c r="N227" s="827">
        <v>47.368421052631597</v>
      </c>
      <c r="O227" s="827">
        <v>56.25</v>
      </c>
    </row>
    <row r="228" spans="1:15">
      <c r="A228" s="827">
        <v>2006</v>
      </c>
      <c r="B228" s="827" t="s">
        <v>345</v>
      </c>
      <c r="C228" s="827" t="s">
        <v>3537</v>
      </c>
      <c r="D228" s="827">
        <v>-0.67571661273399497</v>
      </c>
      <c r="E228" s="827">
        <v>-0.77444590348986198</v>
      </c>
      <c r="F228" s="827">
        <v>0.22146606212303999</v>
      </c>
      <c r="G228" s="827">
        <v>-0.40404070074577803</v>
      </c>
      <c r="H228" s="827">
        <v>-0.71632331752084</v>
      </c>
      <c r="I228" s="827">
        <v>-0.89761016856863196</v>
      </c>
      <c r="J228" s="827">
        <v>28.292682926829301</v>
      </c>
      <c r="K228" s="827">
        <v>25.853658536585399</v>
      </c>
      <c r="L228" s="827">
        <v>53.365384615384599</v>
      </c>
      <c r="M228" s="827">
        <v>39.2156862745098</v>
      </c>
      <c r="N228" s="827">
        <v>28.7081339712919</v>
      </c>
      <c r="O228" s="827">
        <v>24.519230769230798</v>
      </c>
    </row>
    <row r="229" spans="1:15">
      <c r="A229" s="827">
        <v>2006</v>
      </c>
      <c r="B229" s="827" t="s">
        <v>385</v>
      </c>
      <c r="C229" s="827" t="s">
        <v>3538</v>
      </c>
      <c r="D229" s="827">
        <v>-0.59630890110940105</v>
      </c>
      <c r="E229" s="827">
        <v>-0.55974202701304698</v>
      </c>
      <c r="F229" s="827">
        <v>0.492773872065146</v>
      </c>
      <c r="G229" s="827">
        <v>-0.54742500047835096</v>
      </c>
      <c r="H229" s="827">
        <v>-0.60527374617488305</v>
      </c>
      <c r="I229" s="827">
        <v>-8.3255857377107695E-2</v>
      </c>
      <c r="J229" s="827">
        <v>33.170731707317103</v>
      </c>
      <c r="K229" s="827">
        <v>34.146341463414601</v>
      </c>
      <c r="L229" s="827">
        <v>61.057692307692299</v>
      </c>
      <c r="M229" s="827">
        <v>30.882352941176499</v>
      </c>
      <c r="N229" s="827">
        <v>33.014354066985597</v>
      </c>
      <c r="O229" s="827">
        <v>45.673076923076898</v>
      </c>
    </row>
    <row r="230" spans="1:15">
      <c r="A230" s="827">
        <v>2006</v>
      </c>
      <c r="B230" s="827" t="s">
        <v>394</v>
      </c>
      <c r="C230" s="827" t="s">
        <v>3539</v>
      </c>
      <c r="D230" s="827">
        <v>-0.854506371170488</v>
      </c>
      <c r="E230" s="827">
        <v>-0.79821619778679698</v>
      </c>
      <c r="F230" s="827">
        <v>-0.233169147210184</v>
      </c>
      <c r="G230" s="827">
        <v>-0.498181393717259</v>
      </c>
      <c r="H230" s="827">
        <v>-0.637609363784988</v>
      </c>
      <c r="I230" s="827">
        <v>-0.38839845249419203</v>
      </c>
      <c r="J230" s="827">
        <v>20.487804878048799</v>
      </c>
      <c r="K230" s="827">
        <v>23.414634146341498</v>
      </c>
      <c r="L230" s="827">
        <v>39.423076923076898</v>
      </c>
      <c r="M230" s="827">
        <v>33.3333333333333</v>
      </c>
      <c r="N230" s="827">
        <v>31.1004784688995</v>
      </c>
      <c r="O230" s="827">
        <v>34.134615384615401</v>
      </c>
    </row>
    <row r="231" spans="1:15">
      <c r="A231" s="827">
        <v>2006</v>
      </c>
      <c r="B231" s="827" t="s">
        <v>413</v>
      </c>
      <c r="C231" s="827" t="s">
        <v>3540</v>
      </c>
      <c r="D231" s="827">
        <v>-1.0740831068663601</v>
      </c>
      <c r="E231" s="827">
        <v>-0.96124421348657696</v>
      </c>
      <c r="F231" s="827">
        <v>-2.0363159686374699</v>
      </c>
      <c r="G231" s="827">
        <v>-0.88703213347618304</v>
      </c>
      <c r="H231" s="827">
        <v>-1.08112083350449</v>
      </c>
      <c r="I231" s="827">
        <v>-0.64450769293384702</v>
      </c>
      <c r="J231" s="827">
        <v>10.7317073170732</v>
      </c>
      <c r="K231" s="827">
        <v>17.0731707317073</v>
      </c>
      <c r="L231" s="827">
        <v>2.8846153846153801</v>
      </c>
      <c r="M231" s="827">
        <v>19.117647058823501</v>
      </c>
      <c r="N231" s="827">
        <v>13.3971291866029</v>
      </c>
      <c r="O231" s="827">
        <v>29.807692307692299</v>
      </c>
    </row>
    <row r="232" spans="1:15">
      <c r="A232" s="827">
        <v>2006</v>
      </c>
      <c r="B232" s="827" t="s">
        <v>449</v>
      </c>
      <c r="C232" s="827" t="s">
        <v>3541</v>
      </c>
      <c r="D232" s="827">
        <v>-0.216828366148589</v>
      </c>
      <c r="E232" s="827">
        <v>-0.58013716140483895</v>
      </c>
      <c r="F232" s="827">
        <v>-0.85037808720575603</v>
      </c>
      <c r="G232" s="827">
        <v>0.15895971262752601</v>
      </c>
      <c r="H232" s="827">
        <v>-0.73552611730836504</v>
      </c>
      <c r="I232" s="827">
        <v>4.6586424280511997E-2</v>
      </c>
      <c r="J232" s="827">
        <v>51.707317073170699</v>
      </c>
      <c r="K232" s="827">
        <v>31.707317073170699</v>
      </c>
      <c r="L232" s="827">
        <v>22.115384615384599</v>
      </c>
      <c r="M232" s="827">
        <v>56.862745098039198</v>
      </c>
      <c r="N232" s="827">
        <v>26.7942583732057</v>
      </c>
      <c r="O232" s="827">
        <v>48.557692307692299</v>
      </c>
    </row>
    <row r="233" spans="1:15">
      <c r="A233" s="827">
        <v>2006</v>
      </c>
      <c r="B233" s="827" t="s">
        <v>488</v>
      </c>
      <c r="C233" s="827" t="s">
        <v>3542</v>
      </c>
      <c r="D233" s="827">
        <v>-1.0502475518389001</v>
      </c>
      <c r="E233" s="827">
        <v>-1.1642917328430999</v>
      </c>
      <c r="F233" s="827">
        <v>-0.25657404298681802</v>
      </c>
      <c r="G233" s="827">
        <v>-1.16081623685993</v>
      </c>
      <c r="H233" s="827">
        <v>-1.0349029458376799</v>
      </c>
      <c r="I233" s="827">
        <v>-0.384186283734269</v>
      </c>
      <c r="J233" s="827">
        <v>12.1951219512195</v>
      </c>
      <c r="K233" s="827">
        <v>10.243902439024399</v>
      </c>
      <c r="L233" s="827">
        <v>37.980769230769198</v>
      </c>
      <c r="M233" s="827">
        <v>12.7450980392157</v>
      </c>
      <c r="N233" s="827">
        <v>14.3540669856459</v>
      </c>
      <c r="O233" s="827">
        <v>34.615384615384599</v>
      </c>
    </row>
    <row r="234" spans="1:15">
      <c r="A234" s="827">
        <v>2006</v>
      </c>
      <c r="B234" s="827" t="s">
        <v>499</v>
      </c>
      <c r="C234" s="827" t="s">
        <v>3543</v>
      </c>
      <c r="D234" s="827">
        <v>-0.22254993541801299</v>
      </c>
      <c r="E234" s="827">
        <v>-0.33874889365849598</v>
      </c>
      <c r="F234" s="827">
        <v>-0.32552824285648702</v>
      </c>
      <c r="G234" s="827">
        <v>-0.37425843268861098</v>
      </c>
      <c r="H234" s="827">
        <v>-0.440997502410722</v>
      </c>
      <c r="I234" s="827">
        <v>-0.196519108972248</v>
      </c>
      <c r="J234" s="827">
        <v>51.219512195122</v>
      </c>
      <c r="K234" s="827">
        <v>43.414634146341498</v>
      </c>
      <c r="L234" s="827">
        <v>33.173076923076898</v>
      </c>
      <c r="M234" s="827">
        <v>41.176470588235297</v>
      </c>
      <c r="N234" s="827">
        <v>41.626794258373202</v>
      </c>
      <c r="O234" s="827">
        <v>40.384615384615401</v>
      </c>
    </row>
    <row r="235" spans="1:15">
      <c r="A235" s="827">
        <v>2006</v>
      </c>
      <c r="B235" s="827" t="s">
        <v>517</v>
      </c>
      <c r="C235" s="827" t="s">
        <v>3544</v>
      </c>
      <c r="D235" s="827">
        <v>-1.0695733341565099</v>
      </c>
      <c r="E235" s="827">
        <v>-1.5681116229752801</v>
      </c>
      <c r="F235" s="827">
        <v>-0.55395954819456295</v>
      </c>
      <c r="G235" s="827">
        <v>-0.91011075116804097</v>
      </c>
      <c r="H235" s="827">
        <v>-0.976055393030131</v>
      </c>
      <c r="I235" s="827">
        <v>-1.281096152832</v>
      </c>
      <c r="J235" s="827">
        <v>11.219512195122</v>
      </c>
      <c r="K235" s="827">
        <v>2.9268292682926802</v>
      </c>
      <c r="L235" s="827">
        <v>27.884615384615401</v>
      </c>
      <c r="M235" s="827">
        <v>18.627450980392201</v>
      </c>
      <c r="N235" s="827">
        <v>17.224880382775101</v>
      </c>
      <c r="O235" s="827">
        <v>11.057692307692299</v>
      </c>
    </row>
    <row r="236" spans="1:15">
      <c r="A236" s="827">
        <v>2006</v>
      </c>
      <c r="B236" s="827" t="s">
        <v>3090</v>
      </c>
      <c r="C236" s="827" t="s">
        <v>3545</v>
      </c>
      <c r="D236" s="827">
        <v>-0.85635383149416999</v>
      </c>
      <c r="E236" s="827">
        <v>-1.0472586802096</v>
      </c>
      <c r="F236" s="827">
        <v>-1.1403069225477001</v>
      </c>
      <c r="G236" s="827">
        <v>-1.48186205476293</v>
      </c>
      <c r="H236" s="827">
        <v>-1.1482722930595599</v>
      </c>
      <c r="I236" s="827">
        <v>4.0639339017380503E-2</v>
      </c>
      <c r="J236" s="827">
        <v>20</v>
      </c>
      <c r="K236" s="827">
        <v>14.146341463414601</v>
      </c>
      <c r="L236" s="827">
        <v>14.903846153846199</v>
      </c>
      <c r="M236" s="827">
        <v>5.3921568627451002</v>
      </c>
      <c r="N236" s="827">
        <v>11.004784688995199</v>
      </c>
      <c r="O236" s="827">
        <v>48.076923076923102</v>
      </c>
    </row>
    <row r="237" spans="1:15">
      <c r="A237" s="827">
        <v>2006</v>
      </c>
      <c r="B237" s="827" t="s">
        <v>3091</v>
      </c>
      <c r="C237" s="827" t="s">
        <v>3546</v>
      </c>
      <c r="D237" s="827">
        <v>-0.30861775901978999</v>
      </c>
      <c r="E237" s="827">
        <v>0.143342595077074</v>
      </c>
      <c r="F237" s="827">
        <v>-0.23752165956667101</v>
      </c>
      <c r="G237" s="827">
        <v>0.67468961533637295</v>
      </c>
      <c r="H237" s="827">
        <v>-0.28619837451931002</v>
      </c>
      <c r="I237" s="827">
        <v>0.56950282609439995</v>
      </c>
      <c r="J237" s="827">
        <v>45.365853658536601</v>
      </c>
      <c r="K237" s="827">
        <v>59.512195121951201</v>
      </c>
      <c r="L237" s="827">
        <v>38.942307692307701</v>
      </c>
      <c r="M237" s="827">
        <v>70.588235294117695</v>
      </c>
      <c r="N237" s="827">
        <v>46.4114832535885</v>
      </c>
      <c r="O237" s="827">
        <v>64.423076923076906</v>
      </c>
    </row>
    <row r="238" spans="1:15">
      <c r="A238" s="827">
        <v>2006</v>
      </c>
      <c r="B238" s="827" t="s">
        <v>3092</v>
      </c>
      <c r="C238" s="827" t="s">
        <v>3547</v>
      </c>
      <c r="D238" s="827">
        <v>-0.68765733325226897</v>
      </c>
      <c r="E238" s="827">
        <v>-0.91927355223708895</v>
      </c>
      <c r="F238" s="827">
        <v>-1.34611619438168</v>
      </c>
      <c r="G238" s="827">
        <v>-0.76930437033749</v>
      </c>
      <c r="H238" s="827">
        <v>-1.0228791025073201</v>
      </c>
      <c r="I238" s="827">
        <v>-1.1888860602067699</v>
      </c>
      <c r="J238" s="827">
        <v>26.829268292682901</v>
      </c>
      <c r="K238" s="827">
        <v>19.024390243902399</v>
      </c>
      <c r="L238" s="827">
        <v>12.0192307692308</v>
      </c>
      <c r="M238" s="827">
        <v>22.0588235294118</v>
      </c>
      <c r="N238" s="827">
        <v>15.311004784689001</v>
      </c>
      <c r="O238" s="827">
        <v>14.4230769230769</v>
      </c>
    </row>
    <row r="239" spans="1:15">
      <c r="A239" s="827">
        <v>2006</v>
      </c>
      <c r="B239" s="827" t="s">
        <v>541</v>
      </c>
      <c r="C239" s="827" t="s">
        <v>3548</v>
      </c>
      <c r="D239" s="827">
        <v>-0.72872064679562099</v>
      </c>
      <c r="E239" s="827">
        <v>-0.81318719047807397</v>
      </c>
      <c r="F239" s="827">
        <v>0.36235212738141098</v>
      </c>
      <c r="G239" s="827">
        <v>-0.620033325828802</v>
      </c>
      <c r="H239" s="827">
        <v>-0.59015401598369499</v>
      </c>
      <c r="I239" s="827">
        <v>-0.22470376125014099</v>
      </c>
      <c r="J239" s="827">
        <v>26.341463414634099</v>
      </c>
      <c r="K239" s="827">
        <v>22.9268292682927</v>
      </c>
      <c r="L239" s="827">
        <v>56.25</v>
      </c>
      <c r="M239" s="827">
        <v>27.4509803921569</v>
      </c>
      <c r="N239" s="827">
        <v>34.449760765550202</v>
      </c>
      <c r="O239" s="827">
        <v>39.903846153846203</v>
      </c>
    </row>
    <row r="240" spans="1:15">
      <c r="A240" s="827">
        <v>2006</v>
      </c>
      <c r="B240" s="827" t="s">
        <v>364</v>
      </c>
      <c r="C240" s="827" t="s">
        <v>3549</v>
      </c>
      <c r="D240" s="827">
        <v>-0.579306319388183</v>
      </c>
      <c r="E240" s="827">
        <v>-0.408389718200519</v>
      </c>
      <c r="F240" s="827">
        <v>0.680717881061082</v>
      </c>
      <c r="G240" s="827">
        <v>-0.29960878620951698</v>
      </c>
      <c r="H240" s="827">
        <v>-0.33867028949535399</v>
      </c>
      <c r="I240" s="827">
        <v>0.20312105034890701</v>
      </c>
      <c r="J240" s="827">
        <v>34.146341463414601</v>
      </c>
      <c r="K240" s="827">
        <v>40.487804878048799</v>
      </c>
      <c r="L240" s="827">
        <v>66.826923076923094</v>
      </c>
      <c r="M240" s="827">
        <v>44.607843137254903</v>
      </c>
      <c r="N240" s="827">
        <v>44.497607655502399</v>
      </c>
      <c r="O240" s="827">
        <v>54.807692307692299</v>
      </c>
    </row>
    <row r="241" spans="1:15">
      <c r="A241" s="827">
        <v>2007</v>
      </c>
      <c r="B241" s="827" t="s">
        <v>21</v>
      </c>
      <c r="C241" s="827" t="s">
        <v>3550</v>
      </c>
      <c r="D241" s="827">
        <v>-1.5905141680910999</v>
      </c>
      <c r="E241" s="827">
        <v>-1.4031432553568499</v>
      </c>
      <c r="F241" s="827">
        <v>-2.3962873617758</v>
      </c>
      <c r="G241" s="827">
        <v>-1.68098076632277</v>
      </c>
      <c r="H241" s="827">
        <v>-1.92435832301707</v>
      </c>
      <c r="I241" s="827">
        <v>-1.1246183277869299</v>
      </c>
      <c r="J241" s="827">
        <v>0.970873786407767</v>
      </c>
      <c r="K241" s="827">
        <v>5.3398058252427196</v>
      </c>
      <c r="L241" s="827">
        <v>1.4423076923076901</v>
      </c>
      <c r="M241" s="827">
        <v>2.9126213592233001</v>
      </c>
      <c r="N241" s="827">
        <v>0.47846889952153099</v>
      </c>
      <c r="O241" s="827">
        <v>16.346153846153801</v>
      </c>
    </row>
    <row r="242" spans="1:15">
      <c r="A242" s="827">
        <v>2007</v>
      </c>
      <c r="B242" s="827" t="s">
        <v>38</v>
      </c>
      <c r="C242" s="827" t="s">
        <v>3551</v>
      </c>
      <c r="D242" s="827">
        <v>-0.65916404604805201</v>
      </c>
      <c r="E242" s="827">
        <v>-0.37783204676495402</v>
      </c>
      <c r="F242" s="827">
        <v>-0.19814290015223401</v>
      </c>
      <c r="G242" s="827">
        <v>6.9974982901839206E-2</v>
      </c>
      <c r="H242" s="827">
        <v>-0.69892108658542296</v>
      </c>
      <c r="I242" s="827">
        <v>9.3052279596548201E-2</v>
      </c>
      <c r="J242" s="827">
        <v>29.6116504854369</v>
      </c>
      <c r="K242" s="827">
        <v>42.233009708737903</v>
      </c>
      <c r="L242" s="827">
        <v>37.980769230769198</v>
      </c>
      <c r="M242" s="827">
        <v>55.825242718446603</v>
      </c>
      <c r="N242" s="827">
        <v>27.7511961722488</v>
      </c>
      <c r="O242" s="827">
        <v>51.442307692307701</v>
      </c>
    </row>
    <row r="243" spans="1:15">
      <c r="A243" s="827">
        <v>2007</v>
      </c>
      <c r="B243" s="827" t="s">
        <v>53</v>
      </c>
      <c r="C243" s="827" t="s">
        <v>3552</v>
      </c>
      <c r="D243" s="827">
        <v>-1.0177770519759499</v>
      </c>
      <c r="E243" s="827">
        <v>-0.765335682556191</v>
      </c>
      <c r="F243" s="827">
        <v>-0.646004170107213</v>
      </c>
      <c r="G243" s="827">
        <v>-0.440990286727518</v>
      </c>
      <c r="H243" s="827">
        <v>-0.78996481528682705</v>
      </c>
      <c r="I243" s="827">
        <v>-1.1761588258531499</v>
      </c>
      <c r="J243" s="827">
        <v>12.621359223301001</v>
      </c>
      <c r="K243" s="827">
        <v>23.300970873786401</v>
      </c>
      <c r="L243" s="827">
        <v>24.519230769230798</v>
      </c>
      <c r="M243" s="827">
        <v>35.922330097087404</v>
      </c>
      <c r="N243" s="827">
        <v>23.923444976076599</v>
      </c>
      <c r="O243" s="827">
        <v>13.942307692307701</v>
      </c>
    </row>
    <row r="244" spans="1:15">
      <c r="A244" s="827">
        <v>2007</v>
      </c>
      <c r="B244" s="827" t="s">
        <v>98</v>
      </c>
      <c r="C244" s="827" t="s">
        <v>3553</v>
      </c>
      <c r="D244" s="827">
        <v>-0.35135884570975401</v>
      </c>
      <c r="E244" s="827">
        <v>-0.72801898316130298</v>
      </c>
      <c r="F244" s="827">
        <v>0.28687140758254098</v>
      </c>
      <c r="G244" s="827">
        <v>-0.24673131515885</v>
      </c>
      <c r="H244" s="827">
        <v>-0.39898411899092001</v>
      </c>
      <c r="I244" s="827">
        <v>-0.34076296104831899</v>
      </c>
      <c r="J244" s="827">
        <v>45.145631067961197</v>
      </c>
      <c r="K244" s="827">
        <v>25.242718446601899</v>
      </c>
      <c r="L244" s="827">
        <v>53.846153846153797</v>
      </c>
      <c r="M244" s="827">
        <v>46.116504854368898</v>
      </c>
      <c r="N244" s="827">
        <v>43.062200956937801</v>
      </c>
      <c r="O244" s="827">
        <v>36.057692307692299</v>
      </c>
    </row>
    <row r="245" spans="1:15">
      <c r="A245" s="827">
        <v>2007</v>
      </c>
      <c r="B245" s="827" t="s">
        <v>127</v>
      </c>
      <c r="C245" s="827" t="s">
        <v>3554</v>
      </c>
      <c r="D245" s="827">
        <v>-0.97239702284773</v>
      </c>
      <c r="E245" s="827">
        <v>-1.4448443549579899</v>
      </c>
      <c r="F245" s="827">
        <v>-1.82965362559411</v>
      </c>
      <c r="G245" s="827">
        <v>-1.2154097682502301</v>
      </c>
      <c r="H245" s="827">
        <v>-1.526527666245</v>
      </c>
      <c r="I245" s="827">
        <v>-1.0784161192199799</v>
      </c>
      <c r="J245" s="827">
        <v>14.5631067961165</v>
      </c>
      <c r="K245" s="827">
        <v>4.3689320388349504</v>
      </c>
      <c r="L245" s="827">
        <v>6.25</v>
      </c>
      <c r="M245" s="827">
        <v>10.6796116504854</v>
      </c>
      <c r="N245" s="827">
        <v>2.87081339712919</v>
      </c>
      <c r="O245" s="827">
        <v>17.788461538461501</v>
      </c>
    </row>
    <row r="246" spans="1:15">
      <c r="A246" s="827">
        <v>2007</v>
      </c>
      <c r="B246" s="827" t="s">
        <v>138</v>
      </c>
      <c r="C246" s="827" t="s">
        <v>3555</v>
      </c>
      <c r="D246" s="827">
        <v>-1.3006011246601099</v>
      </c>
      <c r="E246" s="827">
        <v>-1.5925588530702399</v>
      </c>
      <c r="F246" s="827">
        <v>-1.8599906508256501</v>
      </c>
      <c r="G246" s="827">
        <v>-1.12431131640479</v>
      </c>
      <c r="H246" s="827">
        <v>-1.5060201478886099</v>
      </c>
      <c r="I246" s="827">
        <v>-1.4648943624977599</v>
      </c>
      <c r="J246" s="827">
        <v>5.3398058252427196</v>
      </c>
      <c r="K246" s="827">
        <v>2.42718446601942</v>
      </c>
      <c r="L246" s="827">
        <v>5.7692307692307701</v>
      </c>
      <c r="M246" s="827">
        <v>13.106796116504899</v>
      </c>
      <c r="N246" s="827">
        <v>3.3492822966507201</v>
      </c>
      <c r="O246" s="827">
        <v>8.6538461538461497</v>
      </c>
    </row>
    <row r="247" spans="1:15">
      <c r="A247" s="827">
        <v>2007</v>
      </c>
      <c r="B247" s="827" t="s">
        <v>171</v>
      </c>
      <c r="C247" s="827" t="s">
        <v>3556</v>
      </c>
      <c r="D247" s="827">
        <v>-1.30773511686967</v>
      </c>
      <c r="E247" s="827">
        <v>-1.7688847547663</v>
      </c>
      <c r="F247" s="827">
        <v>-2.2133773619349602</v>
      </c>
      <c r="G247" s="827">
        <v>-1.2626813110128201</v>
      </c>
      <c r="H247" s="827">
        <v>-1.59364320710107</v>
      </c>
      <c r="I247" s="827">
        <v>-1.2585968898003801</v>
      </c>
      <c r="J247" s="827">
        <v>4.8543689320388301</v>
      </c>
      <c r="K247" s="827">
        <v>0.970873786407767</v>
      </c>
      <c r="L247" s="827">
        <v>2.8846153846153801</v>
      </c>
      <c r="M247" s="827">
        <v>9.2233009708737903</v>
      </c>
      <c r="N247" s="827">
        <v>1.91387559808612</v>
      </c>
      <c r="O247" s="827">
        <v>11.057692307692299</v>
      </c>
    </row>
    <row r="248" spans="1:15">
      <c r="A248" s="827">
        <v>2007</v>
      </c>
      <c r="B248" s="827" t="s">
        <v>465</v>
      </c>
      <c r="C248" s="827" t="s">
        <v>3557</v>
      </c>
      <c r="D248" s="827">
        <v>-1.0941625265623101</v>
      </c>
      <c r="E248" s="827">
        <v>-1.33500070960919</v>
      </c>
      <c r="F248" s="827">
        <v>-0.76149306371077097</v>
      </c>
      <c r="G248" s="827">
        <v>-1.18829710330002</v>
      </c>
      <c r="H248" s="827">
        <v>-1.2123664529757201</v>
      </c>
      <c r="I248" s="827">
        <v>-1.24999083653568</v>
      </c>
      <c r="J248" s="827">
        <v>9.7087378640776691</v>
      </c>
      <c r="K248" s="827">
        <v>5.8252427184466002</v>
      </c>
      <c r="L248" s="827">
        <v>21.634615384615401</v>
      </c>
      <c r="M248" s="827">
        <v>11.6504854368932</v>
      </c>
      <c r="N248" s="827">
        <v>9.5693779904306204</v>
      </c>
      <c r="O248" s="827">
        <v>12.0192307692308</v>
      </c>
    </row>
    <row r="249" spans="1:15">
      <c r="A249" s="827">
        <v>2007</v>
      </c>
      <c r="B249" s="827" t="s">
        <v>101</v>
      </c>
      <c r="C249" s="827" t="s">
        <v>3558</v>
      </c>
      <c r="D249" s="827">
        <v>-0.95124802612315695</v>
      </c>
      <c r="E249" s="827">
        <v>-0.82628211126179196</v>
      </c>
      <c r="F249" s="827">
        <v>-0.33743375540982901</v>
      </c>
      <c r="G249" s="827">
        <v>-0.83224265002023101</v>
      </c>
      <c r="H249" s="827">
        <v>-1.1674702944425199</v>
      </c>
      <c r="I249" s="827">
        <v>-1.06182229722642</v>
      </c>
      <c r="J249" s="827">
        <v>16.019417475728201</v>
      </c>
      <c r="K249" s="827">
        <v>21.3592233009709</v>
      </c>
      <c r="L249" s="827">
        <v>33.173076923076898</v>
      </c>
      <c r="M249" s="827">
        <v>21.3592233009709</v>
      </c>
      <c r="N249" s="827">
        <v>10.526315789473699</v>
      </c>
      <c r="O249" s="827">
        <v>18.269230769230798</v>
      </c>
    </row>
    <row r="250" spans="1:15">
      <c r="A250" s="827">
        <v>2007</v>
      </c>
      <c r="B250" s="827" t="s">
        <v>188</v>
      </c>
      <c r="C250" s="827" t="s">
        <v>3559</v>
      </c>
      <c r="D250" s="827">
        <v>-1.54170365109942</v>
      </c>
      <c r="E250" s="827">
        <v>-1.6744156531326</v>
      </c>
      <c r="F250" s="827">
        <v>0.21189458979335599</v>
      </c>
      <c r="G250" s="827">
        <v>-1.31762817374695</v>
      </c>
      <c r="H250" s="827">
        <v>-1.2763413468303799</v>
      </c>
      <c r="I250" s="827">
        <v>-1.8909852725243199</v>
      </c>
      <c r="J250" s="827">
        <v>2.42718446601942</v>
      </c>
      <c r="K250" s="827">
        <v>1.94174757281553</v>
      </c>
      <c r="L250" s="827">
        <v>51.923076923076898</v>
      </c>
      <c r="M250" s="827">
        <v>7.7669902912621396</v>
      </c>
      <c r="N250" s="827">
        <v>8.6124401913875595</v>
      </c>
      <c r="O250" s="827">
        <v>3.3653846153846199</v>
      </c>
    </row>
    <row r="251" spans="1:15">
      <c r="A251" s="827">
        <v>2007</v>
      </c>
      <c r="B251" s="827" t="s">
        <v>191</v>
      </c>
      <c r="C251" s="827" t="s">
        <v>3560</v>
      </c>
      <c r="D251" s="827">
        <v>-1.0328924303917799</v>
      </c>
      <c r="E251" s="827">
        <v>-0.83610833164975795</v>
      </c>
      <c r="F251" s="827">
        <v>0.27318267303226301</v>
      </c>
      <c r="G251" s="827">
        <v>-0.56169327029833105</v>
      </c>
      <c r="H251" s="827">
        <v>-0.69427206428539501</v>
      </c>
      <c r="I251" s="827">
        <v>-0.89225125714785303</v>
      </c>
      <c r="J251" s="827">
        <v>12.135922330097101</v>
      </c>
      <c r="K251" s="827">
        <v>20.873786407767</v>
      </c>
      <c r="L251" s="827">
        <v>53.365384615384599</v>
      </c>
      <c r="M251" s="827">
        <v>29.6116504854369</v>
      </c>
      <c r="N251" s="827">
        <v>28.7081339712919</v>
      </c>
      <c r="O251" s="827">
        <v>23.557692307692299</v>
      </c>
    </row>
    <row r="252" spans="1:15">
      <c r="A252" s="827">
        <v>2007</v>
      </c>
      <c r="B252" s="827" t="s">
        <v>195</v>
      </c>
      <c r="C252" s="827" t="s">
        <v>3561</v>
      </c>
      <c r="D252" s="827">
        <v>5.1259508215566997E-2</v>
      </c>
      <c r="E252" s="827">
        <v>8.1160900607623099E-2</v>
      </c>
      <c r="F252" s="827">
        <v>-5.9158160726272599E-2</v>
      </c>
      <c r="G252" s="827">
        <v>-5.5782085219552101E-2</v>
      </c>
      <c r="H252" s="827">
        <v>-1.37332715527099E-2</v>
      </c>
      <c r="I252" s="827">
        <v>0.46092205798499603</v>
      </c>
      <c r="J252" s="827">
        <v>58.737864077669897</v>
      </c>
      <c r="K252" s="827">
        <v>55.339805825242699</v>
      </c>
      <c r="L252" s="827">
        <v>40.384615384615401</v>
      </c>
      <c r="M252" s="827">
        <v>52.427184466019398</v>
      </c>
      <c r="N252" s="827">
        <v>53.5885167464115</v>
      </c>
      <c r="O252" s="827">
        <v>60.096153846153797</v>
      </c>
    </row>
    <row r="253" spans="1:15">
      <c r="A253" s="827">
        <v>2007</v>
      </c>
      <c r="B253" s="827" t="s">
        <v>219</v>
      </c>
      <c r="C253" s="827" t="s">
        <v>3562</v>
      </c>
      <c r="D253" s="827">
        <v>-0.68893545149151203</v>
      </c>
      <c r="E253" s="827">
        <v>-0.54834783860166603</v>
      </c>
      <c r="F253" s="827">
        <v>-0.76587254522048098</v>
      </c>
      <c r="G253" s="827">
        <v>-0.19829272551191399</v>
      </c>
      <c r="H253" s="827">
        <v>-1.1447582328886301</v>
      </c>
      <c r="I253" s="827">
        <v>-0.198059052859102</v>
      </c>
      <c r="J253" s="827">
        <v>27.184466019417499</v>
      </c>
      <c r="K253" s="827">
        <v>33.980582524271803</v>
      </c>
      <c r="L253" s="827">
        <v>21.153846153846199</v>
      </c>
      <c r="M253" s="827">
        <v>49.0291262135922</v>
      </c>
      <c r="N253" s="827">
        <v>11.4832535885167</v>
      </c>
      <c r="O253" s="827">
        <v>42.788461538461497</v>
      </c>
    </row>
    <row r="254" spans="1:15">
      <c r="A254" s="827">
        <v>2007</v>
      </c>
      <c r="B254" s="827" t="s">
        <v>3089</v>
      </c>
      <c r="C254" s="827" t="s">
        <v>3563</v>
      </c>
      <c r="D254" s="827">
        <v>-1.24141249382111</v>
      </c>
      <c r="E254" s="827">
        <v>-1.2737924445228099</v>
      </c>
      <c r="F254" s="827">
        <v>-2.3745976319275601</v>
      </c>
      <c r="G254" s="827">
        <v>-1.22048195172369</v>
      </c>
      <c r="H254" s="827">
        <v>-1.4664102475879199</v>
      </c>
      <c r="I254" s="827">
        <v>-1.3940699673871599</v>
      </c>
      <c r="J254" s="827">
        <v>7.2815533980582501</v>
      </c>
      <c r="K254" s="827">
        <v>7.2815533980582501</v>
      </c>
      <c r="L254" s="827">
        <v>1.92307692307692</v>
      </c>
      <c r="M254" s="827">
        <v>10.194174757281599</v>
      </c>
      <c r="N254" s="827">
        <v>4.7846889952153102</v>
      </c>
      <c r="O254" s="827">
        <v>9.1346153846153904</v>
      </c>
    </row>
    <row r="255" spans="1:15">
      <c r="A255" s="827">
        <v>2007</v>
      </c>
      <c r="B255" s="827" t="s">
        <v>243</v>
      </c>
      <c r="C255" s="827" t="s">
        <v>3564</v>
      </c>
      <c r="D255" s="827">
        <v>-0.58286941958363003</v>
      </c>
      <c r="E255" s="827">
        <v>-0.282791535696929</v>
      </c>
      <c r="F255" s="827">
        <v>-1.2016053979362</v>
      </c>
      <c r="G255" s="827">
        <v>-0.32374301926628501</v>
      </c>
      <c r="H255" s="827">
        <v>-0.67623733072294301</v>
      </c>
      <c r="I255" s="827">
        <v>-7.18460716006597E-2</v>
      </c>
      <c r="J255" s="827">
        <v>33.980582524271803</v>
      </c>
      <c r="K255" s="827">
        <v>46.116504854368898</v>
      </c>
      <c r="L255" s="827">
        <v>12.9807692307692</v>
      </c>
      <c r="M255" s="827">
        <v>41.747572815533999</v>
      </c>
      <c r="N255" s="827">
        <v>30.622009569378001</v>
      </c>
      <c r="O255" s="827">
        <v>46.634615384615401</v>
      </c>
    </row>
    <row r="256" spans="1:15">
      <c r="A256" s="827">
        <v>2007</v>
      </c>
      <c r="B256" s="827" t="s">
        <v>251</v>
      </c>
      <c r="C256" s="827" t="s">
        <v>3565</v>
      </c>
      <c r="D256" s="827">
        <v>-1.5762072347104801</v>
      </c>
      <c r="E256" s="827">
        <v>-1.59041080125726</v>
      </c>
      <c r="F256" s="827">
        <v>-2.7939881963123598</v>
      </c>
      <c r="G256" s="827">
        <v>-1.3204685695779701</v>
      </c>
      <c r="H256" s="827">
        <v>-1.9238825110658699</v>
      </c>
      <c r="I256" s="827">
        <v>-1.23072320237785</v>
      </c>
      <c r="J256" s="827">
        <v>1.4563106796116501</v>
      </c>
      <c r="K256" s="827">
        <v>2.9126213592233001</v>
      </c>
      <c r="L256" s="827">
        <v>0.480769230769231</v>
      </c>
      <c r="M256" s="827">
        <v>7.2815533980582501</v>
      </c>
      <c r="N256" s="827">
        <v>0.95693779904306198</v>
      </c>
      <c r="O256" s="827">
        <v>12.5</v>
      </c>
    </row>
    <row r="257" spans="1:15">
      <c r="A257" s="827">
        <v>2007</v>
      </c>
      <c r="B257" s="827" t="s">
        <v>280</v>
      </c>
      <c r="C257" s="827" t="s">
        <v>3566</v>
      </c>
      <c r="D257" s="827">
        <v>-0.91220919230445696</v>
      </c>
      <c r="E257" s="827">
        <v>-0.55509551754990605</v>
      </c>
      <c r="F257" s="827">
        <v>0.58275473450669502</v>
      </c>
      <c r="G257" s="827">
        <v>-0.35177229666770399</v>
      </c>
      <c r="H257" s="827">
        <v>-0.86692336540536996</v>
      </c>
      <c r="I257" s="827">
        <v>-1.13010662813649</v>
      </c>
      <c r="J257" s="827">
        <v>18.446601941747598</v>
      </c>
      <c r="K257" s="827">
        <v>32.524271844660198</v>
      </c>
      <c r="L257" s="827">
        <v>66.826923076923094</v>
      </c>
      <c r="M257" s="827">
        <v>40.291262135922302</v>
      </c>
      <c r="N257" s="827">
        <v>21.5311004784689</v>
      </c>
      <c r="O257" s="827">
        <v>15.865384615384601</v>
      </c>
    </row>
    <row r="258" spans="1:15">
      <c r="A258" s="827">
        <v>2007</v>
      </c>
      <c r="B258" s="827" t="s">
        <v>285</v>
      </c>
      <c r="C258" s="827" t="s">
        <v>3567</v>
      </c>
      <c r="D258" s="827">
        <v>-1.2406601372186701</v>
      </c>
      <c r="E258" s="827">
        <v>-0.74999233625046102</v>
      </c>
      <c r="F258" s="827">
        <v>-1.00640824404331</v>
      </c>
      <c r="G258" s="827">
        <v>-0.40526827434856499</v>
      </c>
      <c r="H258" s="827">
        <v>-1.28071360321414</v>
      </c>
      <c r="I258" s="827">
        <v>-0.94869703075312295</v>
      </c>
      <c r="J258" s="827">
        <v>7.7669902912621396</v>
      </c>
      <c r="K258" s="827">
        <v>24.757281553398101</v>
      </c>
      <c r="L258" s="827">
        <v>17.307692307692299</v>
      </c>
      <c r="M258" s="827">
        <v>37.864077669902898</v>
      </c>
      <c r="N258" s="827">
        <v>7.6555023923445003</v>
      </c>
      <c r="O258" s="827">
        <v>20.673076923076898</v>
      </c>
    </row>
    <row r="259" spans="1:15">
      <c r="A259" s="827">
        <v>2007</v>
      </c>
      <c r="B259" s="827" t="s">
        <v>301</v>
      </c>
      <c r="C259" s="827" t="s">
        <v>3568</v>
      </c>
      <c r="D259" s="827">
        <v>-0.33199694049545703</v>
      </c>
      <c r="E259" s="827">
        <v>-1.2528513288934999</v>
      </c>
      <c r="F259" s="827">
        <v>-1.2502085258553299</v>
      </c>
      <c r="G259" s="827">
        <v>-1.19924147214362</v>
      </c>
      <c r="H259" s="827">
        <v>-1.0122790726909701</v>
      </c>
      <c r="I259" s="827">
        <v>-0.20158945405266601</v>
      </c>
      <c r="J259" s="827">
        <v>47.087378640776699</v>
      </c>
      <c r="K259" s="827">
        <v>8.2524271844660202</v>
      </c>
      <c r="L259" s="827">
        <v>12.0192307692308</v>
      </c>
      <c r="M259" s="827">
        <v>11.1650485436893</v>
      </c>
      <c r="N259" s="827">
        <v>16.267942583732101</v>
      </c>
      <c r="O259" s="827">
        <v>42.307692307692299</v>
      </c>
    </row>
    <row r="260" spans="1:15">
      <c r="A260" s="827">
        <v>2007</v>
      </c>
      <c r="B260" s="827" t="s">
        <v>316</v>
      </c>
      <c r="C260" s="827" t="s">
        <v>3569</v>
      </c>
      <c r="D260" s="827">
        <v>-9.9298636558795603E-2</v>
      </c>
      <c r="E260" s="827">
        <v>-0.44094837296616501</v>
      </c>
      <c r="F260" s="827">
        <v>2.5216456663315699E-2</v>
      </c>
      <c r="G260" s="827">
        <v>-0.198541322995683</v>
      </c>
      <c r="H260" s="827">
        <v>-0.374083823793605</v>
      </c>
      <c r="I260" s="827">
        <v>-0.15247788956795899</v>
      </c>
      <c r="J260" s="827">
        <v>56.3106796116505</v>
      </c>
      <c r="K260" s="827">
        <v>40.291262135922302</v>
      </c>
      <c r="L260" s="827">
        <v>43.75</v>
      </c>
      <c r="M260" s="827">
        <v>48.543689320388403</v>
      </c>
      <c r="N260" s="827">
        <v>44.497607655502399</v>
      </c>
      <c r="O260" s="827">
        <v>44.230769230769198</v>
      </c>
    </row>
    <row r="261" spans="1:15">
      <c r="A261" s="827">
        <v>2007</v>
      </c>
      <c r="B261" s="827" t="s">
        <v>329</v>
      </c>
      <c r="C261" s="827" t="s">
        <v>3570</v>
      </c>
      <c r="D261" s="827">
        <v>-0.33515432636821102</v>
      </c>
      <c r="E261" s="827">
        <v>-0.72544348087435595</v>
      </c>
      <c r="F261" s="827">
        <v>0.202976626682392</v>
      </c>
      <c r="G261" s="827">
        <v>-0.338940735037212</v>
      </c>
      <c r="H261" s="827">
        <v>-0.17541640803978101</v>
      </c>
      <c r="I261" s="827">
        <v>0.19094234886332601</v>
      </c>
      <c r="J261" s="827">
        <v>46.601941747572802</v>
      </c>
      <c r="K261" s="827">
        <v>25.728155339805799</v>
      </c>
      <c r="L261" s="827">
        <v>51.442307692307701</v>
      </c>
      <c r="M261" s="827">
        <v>41.262135922330103</v>
      </c>
      <c r="N261" s="827">
        <v>50.717703349282303</v>
      </c>
      <c r="O261" s="827">
        <v>54.807692307692299</v>
      </c>
    </row>
    <row r="262" spans="1:15">
      <c r="A262" s="827">
        <v>2007</v>
      </c>
      <c r="B262" s="827" t="s">
        <v>345</v>
      </c>
      <c r="C262" s="827" t="s">
        <v>3571</v>
      </c>
      <c r="D262" s="827">
        <v>-0.50439882982934003</v>
      </c>
      <c r="E262" s="827">
        <v>-0.861156861425044</v>
      </c>
      <c r="F262" s="827">
        <v>-0.270483202789224</v>
      </c>
      <c r="G262" s="827">
        <v>-0.43931534333615602</v>
      </c>
      <c r="H262" s="827">
        <v>-0.63984550637577098</v>
      </c>
      <c r="I262" s="827">
        <v>-0.719411845774661</v>
      </c>
      <c r="J262" s="827">
        <v>36.893203883495097</v>
      </c>
      <c r="K262" s="827">
        <v>17.475728155339802</v>
      </c>
      <c r="L262" s="827">
        <v>35.576923076923102</v>
      </c>
      <c r="M262" s="827">
        <v>36.4077669902913</v>
      </c>
      <c r="N262" s="827">
        <v>32.0574162679426</v>
      </c>
      <c r="O262" s="827">
        <v>28.846153846153801</v>
      </c>
    </row>
    <row r="263" spans="1:15">
      <c r="A263" s="827">
        <v>2007</v>
      </c>
      <c r="B263" s="827" t="s">
        <v>385</v>
      </c>
      <c r="C263" s="827" t="s">
        <v>3572</v>
      </c>
      <c r="D263" s="827">
        <v>-0.49420746637005297</v>
      </c>
      <c r="E263" s="827">
        <v>-0.48386047084632999</v>
      </c>
      <c r="F263" s="827">
        <v>0.303040535336841</v>
      </c>
      <c r="G263" s="827">
        <v>-0.54095502751398405</v>
      </c>
      <c r="H263" s="827">
        <v>-0.60476214867161504</v>
      </c>
      <c r="I263" s="827">
        <v>-8.0264929951448599E-2</v>
      </c>
      <c r="J263" s="827">
        <v>37.864077669902898</v>
      </c>
      <c r="K263" s="827">
        <v>37.378640776699001</v>
      </c>
      <c r="L263" s="827">
        <v>54.807692307692299</v>
      </c>
      <c r="M263" s="827">
        <v>30.582524271844701</v>
      </c>
      <c r="N263" s="827">
        <v>33.492822966507198</v>
      </c>
      <c r="O263" s="827">
        <v>46.153846153846203</v>
      </c>
    </row>
    <row r="264" spans="1:15">
      <c r="A264" s="827">
        <v>2007</v>
      </c>
      <c r="B264" s="827" t="s">
        <v>394</v>
      </c>
      <c r="C264" s="827" t="s">
        <v>3573</v>
      </c>
      <c r="D264" s="827">
        <v>-0.77649622509326099</v>
      </c>
      <c r="E264" s="827">
        <v>-0.78642460572514605</v>
      </c>
      <c r="F264" s="827">
        <v>-0.45958424405975401</v>
      </c>
      <c r="G264" s="827">
        <v>-0.50030816063510797</v>
      </c>
      <c r="H264" s="827">
        <v>-0.65945770082099597</v>
      </c>
      <c r="I264" s="827">
        <v>-0.42877526295087998</v>
      </c>
      <c r="J264" s="827">
        <v>22.330097087378601</v>
      </c>
      <c r="K264" s="827">
        <v>22.815533980582501</v>
      </c>
      <c r="L264" s="827">
        <v>28.846153846153801</v>
      </c>
      <c r="M264" s="827">
        <v>31.553398058252402</v>
      </c>
      <c r="N264" s="827">
        <v>31.1004784688995</v>
      </c>
      <c r="O264" s="827">
        <v>35.096153846153797</v>
      </c>
    </row>
    <row r="265" spans="1:15">
      <c r="A265" s="827">
        <v>2007</v>
      </c>
      <c r="B265" s="827" t="s">
        <v>413</v>
      </c>
      <c r="C265" s="827" t="s">
        <v>3574</v>
      </c>
      <c r="D265" s="827">
        <v>-0.98350341139405295</v>
      </c>
      <c r="E265" s="827">
        <v>-1.04088430587046</v>
      </c>
      <c r="F265" s="827">
        <v>-2.0130386016693498</v>
      </c>
      <c r="G265" s="827">
        <v>-0.86435011120553995</v>
      </c>
      <c r="H265" s="827">
        <v>-1.06520757884682</v>
      </c>
      <c r="I265" s="827">
        <v>-0.78893613433542298</v>
      </c>
      <c r="J265" s="827">
        <v>14.0776699029126</v>
      </c>
      <c r="K265" s="827">
        <v>16.019417475728201</v>
      </c>
      <c r="L265" s="827">
        <v>3.8461538461538498</v>
      </c>
      <c r="M265" s="827">
        <v>19.417475728155299</v>
      </c>
      <c r="N265" s="827">
        <v>13.8755980861244</v>
      </c>
      <c r="O265" s="827">
        <v>25.961538461538499</v>
      </c>
    </row>
    <row r="266" spans="1:15">
      <c r="A266" s="827">
        <v>2007</v>
      </c>
      <c r="B266" s="827" t="s">
        <v>449</v>
      </c>
      <c r="C266" s="827" t="s">
        <v>3575</v>
      </c>
      <c r="D266" s="827">
        <v>-0.260524325273502</v>
      </c>
      <c r="E266" s="827">
        <v>-0.50979739813082503</v>
      </c>
      <c r="F266" s="827">
        <v>-0.76005136929099804</v>
      </c>
      <c r="G266" s="827">
        <v>0.27595894070192201</v>
      </c>
      <c r="H266" s="827">
        <v>-0.76491013130283503</v>
      </c>
      <c r="I266" s="827">
        <v>6.2703568528113707E-2</v>
      </c>
      <c r="J266" s="827">
        <v>50.485436893203897</v>
      </c>
      <c r="K266" s="827">
        <v>35.922330097087404</v>
      </c>
      <c r="L266" s="827">
        <v>22.115384615384599</v>
      </c>
      <c r="M266" s="827">
        <v>59.708737864077698</v>
      </c>
      <c r="N266" s="827">
        <v>25.8373205741627</v>
      </c>
      <c r="O266" s="827">
        <v>48.557692307692299</v>
      </c>
    </row>
    <row r="267" spans="1:15">
      <c r="A267" s="827">
        <v>2007</v>
      </c>
      <c r="B267" s="827" t="s">
        <v>488</v>
      </c>
      <c r="C267" s="827" t="s">
        <v>3576</v>
      </c>
      <c r="D267" s="827">
        <v>-0.89561071596991204</v>
      </c>
      <c r="E267" s="827">
        <v>-1.17297915843723</v>
      </c>
      <c r="F267" s="827">
        <v>-2.1623866857450699E-2</v>
      </c>
      <c r="G267" s="827">
        <v>-1.06972063928095</v>
      </c>
      <c r="H267" s="827">
        <v>-1.0268964909521601</v>
      </c>
      <c r="I267" s="827">
        <v>-0.253095004679247</v>
      </c>
      <c r="J267" s="827">
        <v>19.417475728155299</v>
      </c>
      <c r="K267" s="827">
        <v>11.6504854368932</v>
      </c>
      <c r="L267" s="827">
        <v>42.788461538461497</v>
      </c>
      <c r="M267" s="827">
        <v>16.019417475728201</v>
      </c>
      <c r="N267" s="827">
        <v>15.789473684210501</v>
      </c>
      <c r="O267" s="827">
        <v>38.461538461538503</v>
      </c>
    </row>
    <row r="268" spans="1:15">
      <c r="A268" s="827">
        <v>2007</v>
      </c>
      <c r="B268" s="827" t="s">
        <v>499</v>
      </c>
      <c r="C268" s="827" t="s">
        <v>3577</v>
      </c>
      <c r="D268" s="827">
        <v>-0.34287089203793802</v>
      </c>
      <c r="E268" s="827">
        <v>-0.37733533331129598</v>
      </c>
      <c r="F268" s="827">
        <v>-0.35310206176264802</v>
      </c>
      <c r="G268" s="827">
        <v>-0.40047884695788999</v>
      </c>
      <c r="H268" s="827">
        <v>-0.35639871839172199</v>
      </c>
      <c r="I268" s="827">
        <v>-0.13974986903213599</v>
      </c>
      <c r="J268" s="827">
        <v>46.116504854368898</v>
      </c>
      <c r="K268" s="827">
        <v>42.7184466019418</v>
      </c>
      <c r="L268" s="827">
        <v>32.692307692307701</v>
      </c>
      <c r="M268" s="827">
        <v>38.349514563106801</v>
      </c>
      <c r="N268" s="827">
        <v>44.976076555023901</v>
      </c>
      <c r="O268" s="827">
        <v>44.711538461538503</v>
      </c>
    </row>
    <row r="269" spans="1:15">
      <c r="A269" s="827">
        <v>2007</v>
      </c>
      <c r="B269" s="827" t="s">
        <v>517</v>
      </c>
      <c r="C269" s="827" t="s">
        <v>3578</v>
      </c>
      <c r="D269" s="827">
        <v>-0.95214970909413799</v>
      </c>
      <c r="E269" s="827">
        <v>-1.5117398859387901</v>
      </c>
      <c r="F269" s="827">
        <v>-0.36155672759808499</v>
      </c>
      <c r="G269" s="827">
        <v>-0.88870512966160597</v>
      </c>
      <c r="H269" s="827">
        <v>-0.89802654973974905</v>
      </c>
      <c r="I269" s="827">
        <v>-1.13938975570547</v>
      </c>
      <c r="J269" s="827">
        <v>15.5339805825243</v>
      </c>
      <c r="K269" s="827">
        <v>3.3980582524271798</v>
      </c>
      <c r="L269" s="827">
        <v>32.211538461538503</v>
      </c>
      <c r="M269" s="827">
        <v>18.932038834951499</v>
      </c>
      <c r="N269" s="827">
        <v>20.5741626794258</v>
      </c>
      <c r="O269" s="827">
        <v>15.384615384615399</v>
      </c>
    </row>
    <row r="270" spans="1:15">
      <c r="A270" s="827">
        <v>2007</v>
      </c>
      <c r="B270" s="827" t="s">
        <v>3090</v>
      </c>
      <c r="C270" s="827" t="s">
        <v>3579</v>
      </c>
      <c r="D270" s="827">
        <v>-0.920679346114879</v>
      </c>
      <c r="E270" s="827">
        <v>-1.1391424847595499</v>
      </c>
      <c r="F270" s="827">
        <v>-1.1112283363550799</v>
      </c>
      <c r="G270" s="827">
        <v>-1.58726925100025</v>
      </c>
      <c r="H270" s="827">
        <v>-1.2791792721297499</v>
      </c>
      <c r="I270" s="827">
        <v>0.119679272802588</v>
      </c>
      <c r="J270" s="827">
        <v>16.990291262135901</v>
      </c>
      <c r="K270" s="827">
        <v>12.135922330097101</v>
      </c>
      <c r="L270" s="827">
        <v>14.903846153846199</v>
      </c>
      <c r="M270" s="827">
        <v>4.3689320388349504</v>
      </c>
      <c r="N270" s="827">
        <v>8.1339712918660307</v>
      </c>
      <c r="O270" s="827">
        <v>53.365384615384599</v>
      </c>
    </row>
    <row r="271" spans="1:15">
      <c r="A271" s="827">
        <v>2007</v>
      </c>
      <c r="B271" s="827" t="s">
        <v>3091</v>
      </c>
      <c r="C271" s="827" t="s">
        <v>3580</v>
      </c>
      <c r="D271" s="827">
        <v>-0.244721503570592</v>
      </c>
      <c r="E271" s="827">
        <v>0.20590903818902001</v>
      </c>
      <c r="F271" s="827">
        <v>-0.176842574856831</v>
      </c>
      <c r="G271" s="827">
        <v>0.64133474604045004</v>
      </c>
      <c r="H271" s="827">
        <v>-0.22023168987869901</v>
      </c>
      <c r="I271" s="827">
        <v>0.49698976359001801</v>
      </c>
      <c r="J271" s="827">
        <v>51.456310679611597</v>
      </c>
      <c r="K271" s="827">
        <v>61.650485436893199</v>
      </c>
      <c r="L271" s="827">
        <v>38.461538461538503</v>
      </c>
      <c r="M271" s="827">
        <v>71.359223300970896</v>
      </c>
      <c r="N271" s="827">
        <v>48.325358851674601</v>
      </c>
      <c r="O271" s="827">
        <v>62.980769230769198</v>
      </c>
    </row>
    <row r="272" spans="1:15">
      <c r="A272" s="827">
        <v>2007</v>
      </c>
      <c r="B272" s="827" t="s">
        <v>3092</v>
      </c>
      <c r="C272" s="827" t="s">
        <v>3581</v>
      </c>
      <c r="D272" s="827">
        <v>-0.69418935256165204</v>
      </c>
      <c r="E272" s="827">
        <v>-0.86069606784651398</v>
      </c>
      <c r="F272" s="827">
        <v>-1.5639984413129799</v>
      </c>
      <c r="G272" s="827">
        <v>-0.66881441639278805</v>
      </c>
      <c r="H272" s="827">
        <v>-0.95905980517493805</v>
      </c>
      <c r="I272" s="827">
        <v>-1.11022617489743</v>
      </c>
      <c r="J272" s="827">
        <v>26.213592233009699</v>
      </c>
      <c r="K272" s="827">
        <v>17.961165048543702</v>
      </c>
      <c r="L272" s="827">
        <v>8.6538461538461497</v>
      </c>
      <c r="M272" s="827">
        <v>26.213592233009699</v>
      </c>
      <c r="N272" s="827">
        <v>17.7033492822966</v>
      </c>
      <c r="O272" s="827">
        <v>17.307692307692299</v>
      </c>
    </row>
    <row r="273" spans="1:15">
      <c r="A273" s="827">
        <v>2007</v>
      </c>
      <c r="B273" s="827" t="s">
        <v>541</v>
      </c>
      <c r="C273" s="827" t="s">
        <v>3582</v>
      </c>
      <c r="D273" s="827">
        <v>-0.57105539753793</v>
      </c>
      <c r="E273" s="827">
        <v>-0.71129749093467598</v>
      </c>
      <c r="F273" s="827">
        <v>0.34434613439657102</v>
      </c>
      <c r="G273" s="827">
        <v>-0.48635066427947898</v>
      </c>
      <c r="H273" s="827">
        <v>-0.57406701191280896</v>
      </c>
      <c r="I273" s="827">
        <v>-0.22493035298208799</v>
      </c>
      <c r="J273" s="827">
        <v>34.4660194174757</v>
      </c>
      <c r="K273" s="827">
        <v>26.213592233009699</v>
      </c>
      <c r="L273" s="827">
        <v>56.730769230769198</v>
      </c>
      <c r="M273" s="827">
        <v>32.524271844660198</v>
      </c>
      <c r="N273" s="827">
        <v>34.928229665071797</v>
      </c>
      <c r="O273" s="827">
        <v>41.346153846153797</v>
      </c>
    </row>
    <row r="274" spans="1:15">
      <c r="A274" s="827">
        <v>2007</v>
      </c>
      <c r="B274" s="827" t="s">
        <v>364</v>
      </c>
      <c r="C274" s="827" t="s">
        <v>3583</v>
      </c>
      <c r="D274" s="827">
        <v>-0.65614289988955998</v>
      </c>
      <c r="E274" s="827">
        <v>-0.51598351345476101</v>
      </c>
      <c r="F274" s="827">
        <v>0.68455134578207599</v>
      </c>
      <c r="G274" s="827">
        <v>-0.26131593397205599</v>
      </c>
      <c r="H274" s="827">
        <v>-0.38513205007177498</v>
      </c>
      <c r="I274" s="827">
        <v>0.27221379801301199</v>
      </c>
      <c r="J274" s="827">
        <v>30.097087378640801</v>
      </c>
      <c r="K274" s="827">
        <v>34.4660194174757</v>
      </c>
      <c r="L274" s="827">
        <v>70.192307692307693</v>
      </c>
      <c r="M274" s="827">
        <v>45.631067961165101</v>
      </c>
      <c r="N274" s="827">
        <v>43.540669856459303</v>
      </c>
      <c r="O274" s="827">
        <v>56.25</v>
      </c>
    </row>
    <row r="275" spans="1:15">
      <c r="A275" s="827">
        <v>2008</v>
      </c>
      <c r="B275" s="827" t="s">
        <v>21</v>
      </c>
      <c r="C275" s="827" t="s">
        <v>3584</v>
      </c>
      <c r="D275" s="827">
        <v>-1.63716881377191</v>
      </c>
      <c r="E275" s="827">
        <v>-1.4784978583419</v>
      </c>
      <c r="F275" s="827">
        <v>-2.6893530851444698</v>
      </c>
      <c r="G275" s="827">
        <v>-1.6010792505378999</v>
      </c>
      <c r="H275" s="827">
        <v>-1.9468359390874199</v>
      </c>
      <c r="I275" s="827">
        <v>-1.23609569456687</v>
      </c>
      <c r="J275" s="827">
        <v>0.970873786407767</v>
      </c>
      <c r="K275" s="827">
        <v>3.8834951456310698</v>
      </c>
      <c r="L275" s="827">
        <v>0.47846889952153099</v>
      </c>
      <c r="M275" s="827">
        <v>3.3980582524271798</v>
      </c>
      <c r="N275" s="827">
        <v>0.480769230769231</v>
      </c>
      <c r="O275" s="827">
        <v>13.461538461538501</v>
      </c>
    </row>
    <row r="276" spans="1:15">
      <c r="A276" s="827">
        <v>2008</v>
      </c>
      <c r="B276" s="827" t="s">
        <v>38</v>
      </c>
      <c r="C276" s="827" t="s">
        <v>3585</v>
      </c>
      <c r="D276" s="827">
        <v>-0.54541947892248899</v>
      </c>
      <c r="E276" s="827">
        <v>-0.34718681220030201</v>
      </c>
      <c r="F276" s="827">
        <v>-3.3116730984242698E-2</v>
      </c>
      <c r="G276" s="827">
        <v>0.14566291188189501</v>
      </c>
      <c r="H276" s="827">
        <v>-0.63662789498095396</v>
      </c>
      <c r="I276" s="827">
        <v>0.15937747253346701</v>
      </c>
      <c r="J276" s="827">
        <v>34.951456310679603</v>
      </c>
      <c r="K276" s="827">
        <v>44.174757281553397</v>
      </c>
      <c r="L276" s="827">
        <v>43.062200956937801</v>
      </c>
      <c r="M276" s="827">
        <v>55.339805825242699</v>
      </c>
      <c r="N276" s="827">
        <v>32.692307692307701</v>
      </c>
      <c r="O276" s="827">
        <v>53.846153846153797</v>
      </c>
    </row>
    <row r="277" spans="1:15">
      <c r="A277" s="827">
        <v>2008</v>
      </c>
      <c r="B277" s="827" t="s">
        <v>53</v>
      </c>
      <c r="C277" s="827" t="s">
        <v>3586</v>
      </c>
      <c r="D277" s="827">
        <v>-1.0413134474119401</v>
      </c>
      <c r="E277" s="827">
        <v>-0.76347305820546196</v>
      </c>
      <c r="F277" s="827">
        <v>-0.330871761407457</v>
      </c>
      <c r="G277" s="827">
        <v>-0.34868577278742402</v>
      </c>
      <c r="H277" s="827">
        <v>-0.760902979457869</v>
      </c>
      <c r="I277" s="827">
        <v>-1.27822417198566</v>
      </c>
      <c r="J277" s="827">
        <v>12.621359223301001</v>
      </c>
      <c r="K277" s="827">
        <v>22.330097087378601</v>
      </c>
      <c r="L277" s="827">
        <v>32.535885167464102</v>
      </c>
      <c r="M277" s="827">
        <v>41.747572815533999</v>
      </c>
      <c r="N277" s="827">
        <v>23.076923076923102</v>
      </c>
      <c r="O277" s="827">
        <v>12.0192307692308</v>
      </c>
    </row>
    <row r="278" spans="1:15">
      <c r="A278" s="827">
        <v>2008</v>
      </c>
      <c r="B278" s="827" t="s">
        <v>98</v>
      </c>
      <c r="C278" s="827" t="s">
        <v>3587</v>
      </c>
      <c r="D278" s="827">
        <v>-0.32813469454549499</v>
      </c>
      <c r="E278" s="827">
        <v>-0.46605870146327699</v>
      </c>
      <c r="F278" s="827">
        <v>9.6509614616367798E-2</v>
      </c>
      <c r="G278" s="827">
        <v>-0.174582172741268</v>
      </c>
      <c r="H278" s="827">
        <v>-0.33979795784193301</v>
      </c>
      <c r="I278" s="827">
        <v>-0.32039984365782598</v>
      </c>
      <c r="J278" s="827">
        <v>45.145631067961197</v>
      </c>
      <c r="K278" s="827">
        <v>39.805825242718399</v>
      </c>
      <c r="L278" s="827">
        <v>48.325358851674601</v>
      </c>
      <c r="M278" s="827">
        <v>49.514563106796103</v>
      </c>
      <c r="N278" s="827">
        <v>44.711538461538503</v>
      </c>
      <c r="O278" s="827">
        <v>36.538461538461497</v>
      </c>
    </row>
    <row r="279" spans="1:15">
      <c r="A279" s="827">
        <v>2008</v>
      </c>
      <c r="B279" s="827" t="s">
        <v>127</v>
      </c>
      <c r="C279" s="827" t="s">
        <v>3588</v>
      </c>
      <c r="D279" s="827">
        <v>-0.97780164101929401</v>
      </c>
      <c r="E279" s="827">
        <v>-1.39840587306251</v>
      </c>
      <c r="F279" s="827">
        <v>-1.8300974771612499</v>
      </c>
      <c r="G279" s="827">
        <v>-1.2167425797851701</v>
      </c>
      <c r="H279" s="827">
        <v>-1.4393793034979101</v>
      </c>
      <c r="I279" s="827">
        <v>-1.0134969403359499</v>
      </c>
      <c r="J279" s="827">
        <v>15.5339805825243</v>
      </c>
      <c r="K279" s="827">
        <v>5.3398058252427196</v>
      </c>
      <c r="L279" s="827">
        <v>6.6985645933014402</v>
      </c>
      <c r="M279" s="827">
        <v>9.7087378640776691</v>
      </c>
      <c r="N279" s="827">
        <v>4.3269230769230802</v>
      </c>
      <c r="O279" s="827">
        <v>19.230769230769202</v>
      </c>
    </row>
    <row r="280" spans="1:15">
      <c r="A280" s="827">
        <v>2008</v>
      </c>
      <c r="B280" s="827" t="s">
        <v>138</v>
      </c>
      <c r="C280" s="827" t="s">
        <v>3589</v>
      </c>
      <c r="D280" s="827">
        <v>-1.44671379698743</v>
      </c>
      <c r="E280" s="827">
        <v>-1.53957262103561</v>
      </c>
      <c r="F280" s="827">
        <v>-1.9704273188371499</v>
      </c>
      <c r="G280" s="827">
        <v>-1.15922780407378</v>
      </c>
      <c r="H280" s="827">
        <v>-1.5964873228215599</v>
      </c>
      <c r="I280" s="827">
        <v>-1.46188010412278</v>
      </c>
      <c r="J280" s="827">
        <v>3.3980582524271798</v>
      </c>
      <c r="K280" s="827">
        <v>2.42718446601942</v>
      </c>
      <c r="L280" s="827">
        <v>3.8277511961722501</v>
      </c>
      <c r="M280" s="827">
        <v>12.135922330097101</v>
      </c>
      <c r="N280" s="827">
        <v>2.4038461538461502</v>
      </c>
      <c r="O280" s="827">
        <v>8.6538461538461497</v>
      </c>
    </row>
    <row r="281" spans="1:15">
      <c r="A281" s="827">
        <v>2008</v>
      </c>
      <c r="B281" s="827" t="s">
        <v>171</v>
      </c>
      <c r="C281" s="827" t="s">
        <v>3590</v>
      </c>
      <c r="D281" s="827">
        <v>-1.16688121811319</v>
      </c>
      <c r="E281" s="827">
        <v>-1.67277466539245</v>
      </c>
      <c r="F281" s="827">
        <v>-2.0280985228008102</v>
      </c>
      <c r="G281" s="827">
        <v>-1.2968034402976401</v>
      </c>
      <c r="H281" s="827">
        <v>-1.5550442502847199</v>
      </c>
      <c r="I281" s="827">
        <v>-1.4471400969582999</v>
      </c>
      <c r="J281" s="827">
        <v>7.2815533980582501</v>
      </c>
      <c r="K281" s="827">
        <v>1.4563106796116501</v>
      </c>
      <c r="L281" s="827">
        <v>2.87081339712919</v>
      </c>
      <c r="M281" s="827">
        <v>7.7669902912621396</v>
      </c>
      <c r="N281" s="827">
        <v>2.8846153846153801</v>
      </c>
      <c r="O281" s="827">
        <v>9.6153846153846203</v>
      </c>
    </row>
    <row r="282" spans="1:15">
      <c r="A282" s="827">
        <v>2008</v>
      </c>
      <c r="B282" s="827" t="s">
        <v>465</v>
      </c>
      <c r="C282" s="827" t="s">
        <v>3591</v>
      </c>
      <c r="D282" s="827">
        <v>-1.1289766960638199</v>
      </c>
      <c r="E282" s="827">
        <v>-1.2240844325490801</v>
      </c>
      <c r="F282" s="827">
        <v>-0.70956226130734001</v>
      </c>
      <c r="G282" s="827">
        <v>-1.26042955619816</v>
      </c>
      <c r="H282" s="827">
        <v>-1.1710706295405</v>
      </c>
      <c r="I282" s="827">
        <v>-1.16456792286297</v>
      </c>
      <c r="J282" s="827">
        <v>8.7378640776699008</v>
      </c>
      <c r="K282" s="827">
        <v>9.2233009708737903</v>
      </c>
      <c r="L282" s="827">
        <v>21.5311004784689</v>
      </c>
      <c r="M282" s="827">
        <v>8.2524271844660202</v>
      </c>
      <c r="N282" s="827">
        <v>10.5769230769231</v>
      </c>
      <c r="O282" s="827">
        <v>15.865384615384601</v>
      </c>
    </row>
    <row r="283" spans="1:15">
      <c r="A283" s="827">
        <v>2008</v>
      </c>
      <c r="B283" s="827" t="s">
        <v>101</v>
      </c>
      <c r="C283" s="827" t="s">
        <v>3592</v>
      </c>
      <c r="D283" s="827">
        <v>-0.94371128670100402</v>
      </c>
      <c r="E283" s="827">
        <v>-0.785223800045872</v>
      </c>
      <c r="F283" s="827">
        <v>-0.55077856681117598</v>
      </c>
      <c r="G283" s="827">
        <v>-0.80780618656282699</v>
      </c>
      <c r="H283" s="827">
        <v>-1.0943965832467</v>
      </c>
      <c r="I283" s="827">
        <v>-1.0847112975143101</v>
      </c>
      <c r="J283" s="827">
        <v>16.990291262135901</v>
      </c>
      <c r="K283" s="827">
        <v>20.873786407767</v>
      </c>
      <c r="L283" s="827">
        <v>27.272727272727298</v>
      </c>
      <c r="M283" s="827">
        <v>20.873786407767</v>
      </c>
      <c r="N283" s="827">
        <v>12.9807692307692</v>
      </c>
      <c r="O283" s="827">
        <v>16.826923076923102</v>
      </c>
    </row>
    <row r="284" spans="1:15">
      <c r="A284" s="827">
        <v>2008</v>
      </c>
      <c r="B284" s="827" t="s">
        <v>188</v>
      </c>
      <c r="C284" s="827" t="s">
        <v>3593</v>
      </c>
      <c r="D284" s="827">
        <v>-1.5083383410405</v>
      </c>
      <c r="E284" s="827">
        <v>-1.6691070782163799</v>
      </c>
      <c r="F284" s="827">
        <v>0.19259837028468199</v>
      </c>
      <c r="G284" s="827">
        <v>-1.3215602214219999</v>
      </c>
      <c r="H284" s="827">
        <v>-1.24514887832027</v>
      </c>
      <c r="I284" s="827">
        <v>-1.89792363779603</v>
      </c>
      <c r="J284" s="827">
        <v>2.42718446601942</v>
      </c>
      <c r="K284" s="827">
        <v>1.94174757281553</v>
      </c>
      <c r="L284" s="827">
        <v>52.153110047846901</v>
      </c>
      <c r="M284" s="827">
        <v>7.2815533980582501</v>
      </c>
      <c r="N284" s="827">
        <v>8.1730769230769198</v>
      </c>
      <c r="O284" s="827">
        <v>2.8846153846153801</v>
      </c>
    </row>
    <row r="285" spans="1:15">
      <c r="A285" s="827">
        <v>2008</v>
      </c>
      <c r="B285" s="827" t="s">
        <v>191</v>
      </c>
      <c r="C285" s="827" t="s">
        <v>3594</v>
      </c>
      <c r="D285" s="827">
        <v>-1.0205216267464801</v>
      </c>
      <c r="E285" s="827">
        <v>-0.83288751366958502</v>
      </c>
      <c r="F285" s="827">
        <v>0.24178287279079499</v>
      </c>
      <c r="G285" s="827">
        <v>-0.64861901789999199</v>
      </c>
      <c r="H285" s="827">
        <v>-0.62793778117051402</v>
      </c>
      <c r="I285" s="827">
        <v>-0.85414036129329496</v>
      </c>
      <c r="J285" s="827">
        <v>13.5922330097087</v>
      </c>
      <c r="K285" s="827">
        <v>20.3883495145631</v>
      </c>
      <c r="L285" s="827">
        <v>53.5885167464115</v>
      </c>
      <c r="M285" s="827">
        <v>28.1553398058252</v>
      </c>
      <c r="N285" s="827">
        <v>33.173076923076898</v>
      </c>
      <c r="O285" s="827">
        <v>24.519230769230798</v>
      </c>
    </row>
    <row r="286" spans="1:15">
      <c r="A286" s="827">
        <v>2008</v>
      </c>
      <c r="B286" s="827" t="s">
        <v>195</v>
      </c>
      <c r="C286" s="827" t="s">
        <v>3595</v>
      </c>
      <c r="D286" s="827">
        <v>-4.40878305117159E-2</v>
      </c>
      <c r="E286" s="827">
        <v>2.19835429444157E-2</v>
      </c>
      <c r="F286" s="827">
        <v>-1.4740866742343E-2</v>
      </c>
      <c r="G286" s="827">
        <v>-3.5495346850020502E-2</v>
      </c>
      <c r="H286" s="827">
        <v>-0.106804210986606</v>
      </c>
      <c r="I286" s="827">
        <v>0.383351857136566</v>
      </c>
      <c r="J286" s="827">
        <v>56.796116504854403</v>
      </c>
      <c r="K286" s="827">
        <v>56.3106796116505</v>
      </c>
      <c r="L286" s="827">
        <v>44.497607655502399</v>
      </c>
      <c r="M286" s="827">
        <v>53.398058252427198</v>
      </c>
      <c r="N286" s="827">
        <v>52.403846153846203</v>
      </c>
      <c r="O286" s="827">
        <v>58.653846153846203</v>
      </c>
    </row>
    <row r="287" spans="1:15">
      <c r="A287" s="827">
        <v>2008</v>
      </c>
      <c r="B287" s="827" t="s">
        <v>219</v>
      </c>
      <c r="C287" s="827" t="s">
        <v>3596</v>
      </c>
      <c r="D287" s="827">
        <v>-0.61524519566180802</v>
      </c>
      <c r="E287" s="827">
        <v>-0.56347897490819499</v>
      </c>
      <c r="F287" s="827">
        <v>-0.72792336811673997</v>
      </c>
      <c r="G287" s="827">
        <v>-0.156313513579795</v>
      </c>
      <c r="H287" s="827">
        <v>-1.15426381305915</v>
      </c>
      <c r="I287" s="827">
        <v>-0.23223502721035899</v>
      </c>
      <c r="J287" s="827">
        <v>32.038834951456302</v>
      </c>
      <c r="K287" s="827">
        <v>35.4368932038835</v>
      </c>
      <c r="L287" s="827">
        <v>21.052631578947398</v>
      </c>
      <c r="M287" s="827">
        <v>50.9708737864078</v>
      </c>
      <c r="N287" s="827">
        <v>11.057692307692299</v>
      </c>
      <c r="O287" s="827">
        <v>41.826923076923102</v>
      </c>
    </row>
    <row r="288" spans="1:15">
      <c r="A288" s="827">
        <v>2008</v>
      </c>
      <c r="B288" s="827" t="s">
        <v>3089</v>
      </c>
      <c r="C288" s="827" t="s">
        <v>3597</v>
      </c>
      <c r="D288" s="827">
        <v>-1.1548914255032601</v>
      </c>
      <c r="E288" s="827">
        <v>-1.1727732588072399</v>
      </c>
      <c r="F288" s="827">
        <v>-2.1012814272521498</v>
      </c>
      <c r="G288" s="827">
        <v>-1.20012711566076</v>
      </c>
      <c r="H288" s="827">
        <v>-1.5413234116332799</v>
      </c>
      <c r="I288" s="827">
        <v>-1.45444152579007</v>
      </c>
      <c r="J288" s="827">
        <v>7.7669902912621396</v>
      </c>
      <c r="K288" s="827">
        <v>10.194174757281599</v>
      </c>
      <c r="L288" s="827">
        <v>2.39234449760766</v>
      </c>
      <c r="M288" s="827">
        <v>11.1650485436893</v>
      </c>
      <c r="N288" s="827">
        <v>3.3653846153846199</v>
      </c>
      <c r="O288" s="827">
        <v>9.1346153846153904</v>
      </c>
    </row>
    <row r="289" spans="1:15">
      <c r="A289" s="827">
        <v>2008</v>
      </c>
      <c r="B289" s="827" t="s">
        <v>243</v>
      </c>
      <c r="C289" s="827" t="s">
        <v>3598</v>
      </c>
      <c r="D289" s="827">
        <v>-0.56274723135246696</v>
      </c>
      <c r="E289" s="827">
        <v>-0.23872959170479999</v>
      </c>
      <c r="F289" s="827">
        <v>-1.0853179521394101</v>
      </c>
      <c r="G289" s="827">
        <v>-0.318246309463879</v>
      </c>
      <c r="H289" s="827">
        <v>-0.65957203229404304</v>
      </c>
      <c r="I289" s="827">
        <v>-6.3725240753218698E-2</v>
      </c>
      <c r="J289" s="827">
        <v>33.980582524271803</v>
      </c>
      <c r="K289" s="827">
        <v>46.601941747572802</v>
      </c>
      <c r="L289" s="827">
        <v>15.311004784689001</v>
      </c>
      <c r="M289" s="827">
        <v>43.203883495145597</v>
      </c>
      <c r="N289" s="827">
        <v>31.25</v>
      </c>
      <c r="O289" s="827">
        <v>46.634615384615401</v>
      </c>
    </row>
    <row r="290" spans="1:15">
      <c r="A290" s="827">
        <v>2008</v>
      </c>
      <c r="B290" s="827" t="s">
        <v>251</v>
      </c>
      <c r="C290" s="827" t="s">
        <v>3599</v>
      </c>
      <c r="D290" s="827">
        <v>-1.5708788962461699</v>
      </c>
      <c r="E290" s="827">
        <v>-1.2554624880018299</v>
      </c>
      <c r="F290" s="827">
        <v>-2.4839748063549099</v>
      </c>
      <c r="G290" s="827">
        <v>-1.14561139818667</v>
      </c>
      <c r="H290" s="827">
        <v>-1.84324332226634</v>
      </c>
      <c r="I290" s="827">
        <v>-1.1983051660997099</v>
      </c>
      <c r="J290" s="827">
        <v>1.4563106796116501</v>
      </c>
      <c r="K290" s="827">
        <v>8.7378640776699008</v>
      </c>
      <c r="L290" s="827">
        <v>1.4354066985645899</v>
      </c>
      <c r="M290" s="827">
        <v>13.106796116504899</v>
      </c>
      <c r="N290" s="827">
        <v>0.96153846153846201</v>
      </c>
      <c r="O290" s="827">
        <v>14.4230769230769</v>
      </c>
    </row>
    <row r="291" spans="1:15">
      <c r="A291" s="827">
        <v>2008</v>
      </c>
      <c r="B291" s="827" t="s">
        <v>280</v>
      </c>
      <c r="C291" s="827" t="s">
        <v>3600</v>
      </c>
      <c r="D291" s="827">
        <v>-0.90394410860004404</v>
      </c>
      <c r="E291" s="827">
        <v>-0.42425830744728599</v>
      </c>
      <c r="F291" s="827">
        <v>0.57221457578992696</v>
      </c>
      <c r="G291" s="827">
        <v>-0.30116829922155602</v>
      </c>
      <c r="H291" s="827">
        <v>-0.75078422068289397</v>
      </c>
      <c r="I291" s="827">
        <v>-1.05016921379902</v>
      </c>
      <c r="J291" s="827">
        <v>17.961165048543702</v>
      </c>
      <c r="K291" s="827">
        <v>40.776699029126199</v>
      </c>
      <c r="L291" s="827">
        <v>66.985645933014396</v>
      </c>
      <c r="M291" s="827">
        <v>44.660194174757301</v>
      </c>
      <c r="N291" s="827">
        <v>24.519230769230798</v>
      </c>
      <c r="O291" s="827">
        <v>18.269230769230798</v>
      </c>
    </row>
    <row r="292" spans="1:15">
      <c r="A292" s="827">
        <v>2008</v>
      </c>
      <c r="B292" s="827" t="s">
        <v>285</v>
      </c>
      <c r="C292" s="827" t="s">
        <v>3601</v>
      </c>
      <c r="D292" s="827">
        <v>-1.1211356630628699</v>
      </c>
      <c r="E292" s="827">
        <v>-0.76679444361734395</v>
      </c>
      <c r="F292" s="827">
        <v>-0.58212276375498595</v>
      </c>
      <c r="G292" s="827">
        <v>-0.34593290142494398</v>
      </c>
      <c r="H292" s="827">
        <v>-1.36594618506405</v>
      </c>
      <c r="I292" s="827">
        <v>-1.0786996552027499</v>
      </c>
      <c r="J292" s="827">
        <v>9.2233009708737903</v>
      </c>
      <c r="K292" s="827">
        <v>21.3592233009709</v>
      </c>
      <c r="L292" s="827">
        <v>26.315789473684202</v>
      </c>
      <c r="M292" s="827">
        <v>42.233009708737903</v>
      </c>
      <c r="N292" s="827">
        <v>7.2115384615384599</v>
      </c>
      <c r="O292" s="827">
        <v>17.307692307692299</v>
      </c>
    </row>
    <row r="293" spans="1:15">
      <c r="A293" s="827">
        <v>2008</v>
      </c>
      <c r="B293" s="827" t="s">
        <v>301</v>
      </c>
      <c r="C293" s="827" t="s">
        <v>3602</v>
      </c>
      <c r="D293" s="827">
        <v>-0.700397447012164</v>
      </c>
      <c r="E293" s="827">
        <v>-1.3146435488689701</v>
      </c>
      <c r="F293" s="827">
        <v>-1.2833706522674</v>
      </c>
      <c r="G293" s="827">
        <v>-1.33582247690553</v>
      </c>
      <c r="H293" s="827">
        <v>-1.18965833586541</v>
      </c>
      <c r="I293" s="827">
        <v>-0.244130800472245</v>
      </c>
      <c r="J293" s="827">
        <v>28.1553398058252</v>
      </c>
      <c r="K293" s="827">
        <v>6.3106796116504897</v>
      </c>
      <c r="L293" s="827">
        <v>12.4401913875598</v>
      </c>
      <c r="M293" s="827">
        <v>6.7961165048543704</v>
      </c>
      <c r="N293" s="827">
        <v>9.6153846153846203</v>
      </c>
      <c r="O293" s="827">
        <v>41.346153846153797</v>
      </c>
    </row>
    <row r="294" spans="1:15">
      <c r="A294" s="827">
        <v>2008</v>
      </c>
      <c r="B294" s="827" t="s">
        <v>316</v>
      </c>
      <c r="C294" s="827" t="s">
        <v>3603</v>
      </c>
      <c r="D294" s="827">
        <v>-0.15971013101624701</v>
      </c>
      <c r="E294" s="827">
        <v>-0.634681864637611</v>
      </c>
      <c r="F294" s="827">
        <v>-0.48923298872943299</v>
      </c>
      <c r="G294" s="827">
        <v>-0.31582826479456</v>
      </c>
      <c r="H294" s="827">
        <v>-0.45411590038318</v>
      </c>
      <c r="I294" s="827">
        <v>-0.341382652673071</v>
      </c>
      <c r="J294" s="827">
        <v>54.854368932038803</v>
      </c>
      <c r="K294" s="827">
        <v>30.097087378640801</v>
      </c>
      <c r="L294" s="827">
        <v>29.186602870813399</v>
      </c>
      <c r="M294" s="827">
        <v>43.6893203883495</v>
      </c>
      <c r="N294" s="827">
        <v>38.461538461538503</v>
      </c>
      <c r="O294" s="827">
        <v>36.057692307692299</v>
      </c>
    </row>
    <row r="295" spans="1:15">
      <c r="A295" s="827">
        <v>2008</v>
      </c>
      <c r="B295" s="827" t="s">
        <v>329</v>
      </c>
      <c r="C295" s="827" t="s">
        <v>3604</v>
      </c>
      <c r="D295" s="827">
        <v>-0.45502382441147099</v>
      </c>
      <c r="E295" s="827">
        <v>-0.76085238777154496</v>
      </c>
      <c r="F295" s="827">
        <v>0.175061686104585</v>
      </c>
      <c r="G295" s="827">
        <v>-0.396028357384625</v>
      </c>
      <c r="H295" s="827">
        <v>-0.32066438056784402</v>
      </c>
      <c r="I295" s="827">
        <v>0.16001620449619899</v>
      </c>
      <c r="J295" s="827">
        <v>40.291262135922302</v>
      </c>
      <c r="K295" s="827">
        <v>23.300970873786401</v>
      </c>
      <c r="L295" s="827">
        <v>50.717703349282303</v>
      </c>
      <c r="M295" s="827">
        <v>38.834951456310698</v>
      </c>
      <c r="N295" s="827">
        <v>45.673076923076898</v>
      </c>
      <c r="O295" s="827">
        <v>54.326923076923102</v>
      </c>
    </row>
    <row r="296" spans="1:15">
      <c r="A296" s="827">
        <v>2008</v>
      </c>
      <c r="B296" s="827" t="s">
        <v>345</v>
      </c>
      <c r="C296" s="827" t="s">
        <v>3605</v>
      </c>
      <c r="D296" s="827">
        <v>-0.72140886317123198</v>
      </c>
      <c r="E296" s="827">
        <v>-0.94728362130687505</v>
      </c>
      <c r="F296" s="827">
        <v>-0.65123026580045196</v>
      </c>
      <c r="G296" s="827">
        <v>-0.63391364105046599</v>
      </c>
      <c r="H296" s="827">
        <v>-1.1182635265958101</v>
      </c>
      <c r="I296" s="827">
        <v>-0.98639064816681798</v>
      </c>
      <c r="J296" s="827">
        <v>26.699029126213599</v>
      </c>
      <c r="K296" s="827">
        <v>16.504854368932001</v>
      </c>
      <c r="L296" s="827">
        <v>24.401913875598101</v>
      </c>
      <c r="M296" s="827">
        <v>29.126213592233</v>
      </c>
      <c r="N296" s="827">
        <v>11.538461538461499</v>
      </c>
      <c r="O296" s="827">
        <v>20.192307692307701</v>
      </c>
    </row>
    <row r="297" spans="1:15">
      <c r="A297" s="827">
        <v>2008</v>
      </c>
      <c r="B297" s="827" t="s">
        <v>385</v>
      </c>
      <c r="C297" s="827" t="s">
        <v>3606</v>
      </c>
      <c r="D297" s="827">
        <v>-0.47412687816508697</v>
      </c>
      <c r="E297" s="827">
        <v>-0.49578837827481598</v>
      </c>
      <c r="F297" s="827">
        <v>0.33822144833706802</v>
      </c>
      <c r="G297" s="827">
        <v>-0.447379258714726</v>
      </c>
      <c r="H297" s="827">
        <v>-0.60763811208377305</v>
      </c>
      <c r="I297" s="827">
        <v>-7.3130931626350204E-2</v>
      </c>
      <c r="J297" s="827">
        <v>39.320388349514602</v>
      </c>
      <c r="K297" s="827">
        <v>37.864077669902898</v>
      </c>
      <c r="L297" s="827">
        <v>56.459330143540697</v>
      </c>
      <c r="M297" s="827">
        <v>36.893203883495097</v>
      </c>
      <c r="N297" s="827">
        <v>33.653846153846203</v>
      </c>
      <c r="O297" s="827">
        <v>46.153846153846203</v>
      </c>
    </row>
    <row r="298" spans="1:15">
      <c r="A298" s="827">
        <v>2008</v>
      </c>
      <c r="B298" s="827" t="s">
        <v>394</v>
      </c>
      <c r="C298" s="827" t="s">
        <v>3607</v>
      </c>
      <c r="D298" s="827">
        <v>-0.750296420017735</v>
      </c>
      <c r="E298" s="827">
        <v>-0.70901600720683799</v>
      </c>
      <c r="F298" s="827">
        <v>-0.67486077787918697</v>
      </c>
      <c r="G298" s="827">
        <v>-0.42427492845597198</v>
      </c>
      <c r="H298" s="827">
        <v>-0.73131336514585998</v>
      </c>
      <c r="I298" s="827">
        <v>-0.50444450020509601</v>
      </c>
      <c r="J298" s="827">
        <v>24.757281553398101</v>
      </c>
      <c r="K298" s="827">
        <v>27.184466019417499</v>
      </c>
      <c r="L298" s="827">
        <v>23.923444976076599</v>
      </c>
      <c r="M298" s="827">
        <v>37.864077669902898</v>
      </c>
      <c r="N298" s="827">
        <v>25.480769230769202</v>
      </c>
      <c r="O298" s="827">
        <v>32.211538461538503</v>
      </c>
    </row>
    <row r="299" spans="1:15">
      <c r="A299" s="827">
        <v>2008</v>
      </c>
      <c r="B299" s="827" t="s">
        <v>413</v>
      </c>
      <c r="C299" s="827" t="s">
        <v>3608</v>
      </c>
      <c r="D299" s="827">
        <v>-0.81105438590161105</v>
      </c>
      <c r="E299" s="827">
        <v>-0.967231283560683</v>
      </c>
      <c r="F299" s="827">
        <v>-1.8616477147217501</v>
      </c>
      <c r="G299" s="827">
        <v>-0.78015035957421297</v>
      </c>
      <c r="H299" s="827">
        <v>-1.0595309736790499</v>
      </c>
      <c r="I299" s="827">
        <v>-0.76019870179617599</v>
      </c>
      <c r="J299" s="827">
        <v>21.3592233009709</v>
      </c>
      <c r="K299" s="827">
        <v>15.5339805825243</v>
      </c>
      <c r="L299" s="827">
        <v>5.2631578947368398</v>
      </c>
      <c r="M299" s="827">
        <v>22.330097087378601</v>
      </c>
      <c r="N299" s="827">
        <v>14.4230769230769</v>
      </c>
      <c r="O299" s="827">
        <v>27.403846153846199</v>
      </c>
    </row>
    <row r="300" spans="1:15">
      <c r="A300" s="827">
        <v>2008</v>
      </c>
      <c r="B300" s="827" t="s">
        <v>449</v>
      </c>
      <c r="C300" s="827" t="s">
        <v>3609</v>
      </c>
      <c r="D300" s="827">
        <v>-0.20419570946809601</v>
      </c>
      <c r="E300" s="827">
        <v>-0.35724068854121799</v>
      </c>
      <c r="F300" s="827">
        <v>-0.89730607728999101</v>
      </c>
      <c r="G300" s="827">
        <v>0.34906767606171601</v>
      </c>
      <c r="H300" s="827">
        <v>-0.74538243361328604</v>
      </c>
      <c r="I300" s="827">
        <v>0.102797518483968</v>
      </c>
      <c r="J300" s="827">
        <v>50.9708737864078</v>
      </c>
      <c r="K300" s="827">
        <v>43.203883495145597</v>
      </c>
      <c r="L300" s="827">
        <v>17.7033492822966</v>
      </c>
      <c r="M300" s="827">
        <v>62.135922330097102</v>
      </c>
      <c r="N300" s="827">
        <v>25</v>
      </c>
      <c r="O300" s="827">
        <v>51.923076923076898</v>
      </c>
    </row>
    <row r="301" spans="1:15">
      <c r="A301" s="827">
        <v>2008</v>
      </c>
      <c r="B301" s="827" t="s">
        <v>488</v>
      </c>
      <c r="C301" s="827" t="s">
        <v>3610</v>
      </c>
      <c r="D301" s="827">
        <v>-0.96305171369739495</v>
      </c>
      <c r="E301" s="827">
        <v>-1.1616686772434499</v>
      </c>
      <c r="F301" s="827">
        <v>-0.20801576080579801</v>
      </c>
      <c r="G301" s="827">
        <v>-0.96684715899475004</v>
      </c>
      <c r="H301" s="827">
        <v>-0.962406542783103</v>
      </c>
      <c r="I301" s="827">
        <v>-0.17373054822474901</v>
      </c>
      <c r="J301" s="827">
        <v>16.019417475728201</v>
      </c>
      <c r="K301" s="827">
        <v>10.6796116504854</v>
      </c>
      <c r="L301" s="827">
        <v>37.320574162679399</v>
      </c>
      <c r="M301" s="827">
        <v>16.504854368932001</v>
      </c>
      <c r="N301" s="827">
        <v>19.711538461538499</v>
      </c>
      <c r="O301" s="827">
        <v>43.75</v>
      </c>
    </row>
    <row r="302" spans="1:15">
      <c r="A302" s="827">
        <v>2008</v>
      </c>
      <c r="B302" s="827" t="s">
        <v>499</v>
      </c>
      <c r="C302" s="827" t="s">
        <v>3611</v>
      </c>
      <c r="D302" s="827">
        <v>-0.42134369148404699</v>
      </c>
      <c r="E302" s="827">
        <v>-0.47869248020794902</v>
      </c>
      <c r="F302" s="827">
        <v>-0.20581157528493799</v>
      </c>
      <c r="G302" s="827">
        <v>-0.499955994511046</v>
      </c>
      <c r="H302" s="827">
        <v>-0.34491224230154499</v>
      </c>
      <c r="I302" s="827">
        <v>-0.17408567105359701</v>
      </c>
      <c r="J302" s="827">
        <v>41.747572815533999</v>
      </c>
      <c r="K302" s="827">
        <v>38.834951456310698</v>
      </c>
      <c r="L302" s="827">
        <v>37.799043062201001</v>
      </c>
      <c r="M302" s="827">
        <v>34.4660194174757</v>
      </c>
      <c r="N302" s="827">
        <v>44.230769230769198</v>
      </c>
      <c r="O302" s="827">
        <v>43.269230769230802</v>
      </c>
    </row>
    <row r="303" spans="1:15">
      <c r="A303" s="827">
        <v>2008</v>
      </c>
      <c r="B303" s="827" t="s">
        <v>517</v>
      </c>
      <c r="C303" s="827" t="s">
        <v>3612</v>
      </c>
      <c r="D303" s="827">
        <v>-0.933160275522945</v>
      </c>
      <c r="E303" s="827">
        <v>-1.4689537729469</v>
      </c>
      <c r="F303" s="827">
        <v>-0.17559501786479101</v>
      </c>
      <c r="G303" s="827">
        <v>-0.87342415139206697</v>
      </c>
      <c r="H303" s="827">
        <v>-0.78115152258869802</v>
      </c>
      <c r="I303" s="827">
        <v>-1.0578252773655901</v>
      </c>
      <c r="J303" s="827">
        <v>17.475728155339802</v>
      </c>
      <c r="K303" s="827">
        <v>4.3689320388349504</v>
      </c>
      <c r="L303" s="827">
        <v>38.277511961722503</v>
      </c>
      <c r="M303" s="827">
        <v>18.932038834951499</v>
      </c>
      <c r="N303" s="827">
        <v>22.596153846153801</v>
      </c>
      <c r="O303" s="827">
        <v>17.788461538461501</v>
      </c>
    </row>
    <row r="304" spans="1:15">
      <c r="A304" s="827">
        <v>2008</v>
      </c>
      <c r="B304" s="827" t="s">
        <v>3090</v>
      </c>
      <c r="C304" s="827" t="s">
        <v>3613</v>
      </c>
      <c r="D304" s="827">
        <v>-0.90276833689715996</v>
      </c>
      <c r="E304" s="827">
        <v>-1.1454017891627799</v>
      </c>
      <c r="F304" s="827">
        <v>-0.81962103099710104</v>
      </c>
      <c r="G304" s="827">
        <v>-1.3741245334180201</v>
      </c>
      <c r="H304" s="827">
        <v>-1.09382262540675</v>
      </c>
      <c r="I304" s="827">
        <v>0.202049060323093</v>
      </c>
      <c r="J304" s="827">
        <v>18.446601941747598</v>
      </c>
      <c r="K304" s="827">
        <v>11.6504854368932</v>
      </c>
      <c r="L304" s="827">
        <v>18.6602870813397</v>
      </c>
      <c r="M304" s="827">
        <v>5.3398058252427196</v>
      </c>
      <c r="N304" s="827">
        <v>13.461538461538501</v>
      </c>
      <c r="O304" s="827">
        <v>55.288461538461497</v>
      </c>
    </row>
    <row r="305" spans="1:15">
      <c r="A305" s="827">
        <v>2008</v>
      </c>
      <c r="B305" s="827" t="s">
        <v>3091</v>
      </c>
      <c r="C305" s="827" t="s">
        <v>3614</v>
      </c>
      <c r="D305" s="827">
        <v>-0.266035728112471</v>
      </c>
      <c r="E305" s="827">
        <v>0.171696501208777</v>
      </c>
      <c r="F305" s="827">
        <v>-9.98789814485911E-2</v>
      </c>
      <c r="G305" s="827">
        <v>0.59949102133186905</v>
      </c>
      <c r="H305" s="827">
        <v>-0.27000876403643198</v>
      </c>
      <c r="I305" s="827">
        <v>0.48100325660430199</v>
      </c>
      <c r="J305" s="827">
        <v>49.0291262135922</v>
      </c>
      <c r="K305" s="827">
        <v>59.708737864077698</v>
      </c>
      <c r="L305" s="827">
        <v>40.191387559808597</v>
      </c>
      <c r="M305" s="827">
        <v>68.932038834951499</v>
      </c>
      <c r="N305" s="827">
        <v>48.076923076923102</v>
      </c>
      <c r="O305" s="827">
        <v>61.057692307692299</v>
      </c>
    </row>
    <row r="306" spans="1:15">
      <c r="A306" s="827">
        <v>2008</v>
      </c>
      <c r="B306" s="827" t="s">
        <v>3092</v>
      </c>
      <c r="C306" s="827" t="s">
        <v>3615</v>
      </c>
      <c r="D306" s="827">
        <v>-0.68577735692567798</v>
      </c>
      <c r="E306" s="827">
        <v>-0.87421376326140099</v>
      </c>
      <c r="F306" s="827">
        <v>-1.9946451816183901</v>
      </c>
      <c r="G306" s="827">
        <v>-0.71087623062516103</v>
      </c>
      <c r="H306" s="827">
        <v>-0.98249452585818897</v>
      </c>
      <c r="I306" s="827">
        <v>-1.2276834740673499</v>
      </c>
      <c r="J306" s="827">
        <v>28.6407766990291</v>
      </c>
      <c r="K306" s="827">
        <v>17.961165048543702</v>
      </c>
      <c r="L306" s="827">
        <v>3.3492822966507201</v>
      </c>
      <c r="M306" s="827">
        <v>25.728155339805799</v>
      </c>
      <c r="N306" s="827">
        <v>18.269230769230798</v>
      </c>
      <c r="O306" s="827">
        <v>13.942307692307701</v>
      </c>
    </row>
    <row r="307" spans="1:15">
      <c r="A307" s="827">
        <v>2008</v>
      </c>
      <c r="B307" s="827" t="s">
        <v>541</v>
      </c>
      <c r="C307" s="827" t="s">
        <v>3616</v>
      </c>
      <c r="D307" s="827">
        <v>-0.47433898284147402</v>
      </c>
      <c r="E307" s="827">
        <v>-0.72927626481342001</v>
      </c>
      <c r="F307" s="827">
        <v>0.46318787542491702</v>
      </c>
      <c r="G307" s="827">
        <v>-0.45386416304737698</v>
      </c>
      <c r="H307" s="827">
        <v>-0.43978530381708703</v>
      </c>
      <c r="I307" s="827">
        <v>-0.18089655683316799</v>
      </c>
      <c r="J307" s="827">
        <v>38.834951456310698</v>
      </c>
      <c r="K307" s="827">
        <v>25.242718446601899</v>
      </c>
      <c r="L307" s="827">
        <v>60.287081339712898</v>
      </c>
      <c r="M307" s="827">
        <v>36.4077669902913</v>
      </c>
      <c r="N307" s="827">
        <v>38.942307692307701</v>
      </c>
      <c r="O307" s="827">
        <v>42.307692307692299</v>
      </c>
    </row>
    <row r="308" spans="1:15">
      <c r="A308" s="827">
        <v>2008</v>
      </c>
      <c r="B308" s="827" t="s">
        <v>364</v>
      </c>
      <c r="C308" s="827" t="s">
        <v>3617</v>
      </c>
      <c r="D308" s="827">
        <v>-0.66609296947146002</v>
      </c>
      <c r="E308" s="827">
        <v>-0.51769434986029705</v>
      </c>
      <c r="F308" s="827">
        <v>0.57387371965939205</v>
      </c>
      <c r="G308" s="827">
        <v>-0.333893375310926</v>
      </c>
      <c r="H308" s="827">
        <v>-0.376555444894215</v>
      </c>
      <c r="I308" s="827">
        <v>0.238763706301584</v>
      </c>
      <c r="J308" s="827">
        <v>29.6116504854369</v>
      </c>
      <c r="K308" s="827">
        <v>36.893203883495097</v>
      </c>
      <c r="L308" s="827">
        <v>67.464114832535898</v>
      </c>
      <c r="M308" s="827">
        <v>42.7184466019418</v>
      </c>
      <c r="N308" s="827">
        <v>42.307692307692299</v>
      </c>
      <c r="O308" s="827">
        <v>55.769230769230802</v>
      </c>
    </row>
    <row r="309" spans="1:15">
      <c r="A309" s="827">
        <v>2009</v>
      </c>
      <c r="B309" s="827" t="s">
        <v>21</v>
      </c>
      <c r="C309" s="827" t="s">
        <v>3618</v>
      </c>
      <c r="D309" s="827">
        <v>-1.51327923804473</v>
      </c>
      <c r="E309" s="827">
        <v>-1.49946594356579</v>
      </c>
      <c r="F309" s="827">
        <v>-2.7044499801217099</v>
      </c>
      <c r="G309" s="827">
        <v>-1.67010510633739</v>
      </c>
      <c r="H309" s="827">
        <v>-1.90890112454841</v>
      </c>
      <c r="I309" s="827">
        <v>-1.4604511925908701</v>
      </c>
      <c r="J309" s="827">
        <v>0.95693779904306198</v>
      </c>
      <c r="K309" s="827">
        <v>3.8277511961722501</v>
      </c>
      <c r="L309" s="827">
        <v>0.47393364928909998</v>
      </c>
      <c r="M309" s="827">
        <v>3.3492822966507201</v>
      </c>
      <c r="N309" s="827">
        <v>0.47393364928909998</v>
      </c>
      <c r="O309" s="827">
        <v>8.5308056872037898</v>
      </c>
    </row>
    <row r="310" spans="1:15">
      <c r="A310" s="827">
        <v>2009</v>
      </c>
      <c r="B310" s="827" t="s">
        <v>38</v>
      </c>
      <c r="C310" s="827" t="s">
        <v>3619</v>
      </c>
      <c r="D310" s="827">
        <v>-0.49327831391160298</v>
      </c>
      <c r="E310" s="827">
        <v>-0.23899343497433401</v>
      </c>
      <c r="F310" s="827">
        <v>-5.1232554674726698E-2</v>
      </c>
      <c r="G310" s="827">
        <v>0.24766539822603401</v>
      </c>
      <c r="H310" s="827">
        <v>-0.53258285886405798</v>
      </c>
      <c r="I310" s="827">
        <v>0.12659891494021</v>
      </c>
      <c r="J310" s="827">
        <v>37.799043062201001</v>
      </c>
      <c r="K310" s="827">
        <v>48.325358851674601</v>
      </c>
      <c r="L310" s="827">
        <v>42.654028436018997</v>
      </c>
      <c r="M310" s="827">
        <v>58.373205741626798</v>
      </c>
      <c r="N310" s="827">
        <v>36.492890995260701</v>
      </c>
      <c r="O310" s="827">
        <v>53.554502369668199</v>
      </c>
    </row>
    <row r="311" spans="1:15">
      <c r="A311" s="827">
        <v>2009</v>
      </c>
      <c r="B311" s="827" t="s">
        <v>53</v>
      </c>
      <c r="C311" s="827" t="s">
        <v>3620</v>
      </c>
      <c r="D311" s="827">
        <v>-1.1100440172816699</v>
      </c>
      <c r="E311" s="827">
        <v>-0.62995240665947005</v>
      </c>
      <c r="F311" s="827">
        <v>-0.29472612189219599</v>
      </c>
      <c r="G311" s="827">
        <v>-0.29879621133696899</v>
      </c>
      <c r="H311" s="827">
        <v>-0.82822592223209102</v>
      </c>
      <c r="I311" s="827">
        <v>-1.2105021934254301</v>
      </c>
      <c r="J311" s="827">
        <v>10.047846889952201</v>
      </c>
      <c r="K311" s="827">
        <v>31.1004784688995</v>
      </c>
      <c r="L311" s="827">
        <v>35.071090047393398</v>
      </c>
      <c r="M311" s="827">
        <v>43.062200956937801</v>
      </c>
      <c r="N311" s="827">
        <v>21.8009478672986</v>
      </c>
      <c r="O311" s="827">
        <v>12.7962085308057</v>
      </c>
    </row>
    <row r="312" spans="1:15">
      <c r="A312" s="827">
        <v>2009</v>
      </c>
      <c r="B312" s="827" t="s">
        <v>98</v>
      </c>
      <c r="C312" s="827" t="s">
        <v>3621</v>
      </c>
      <c r="D312" s="827">
        <v>-0.38107729593023998</v>
      </c>
      <c r="E312" s="827">
        <v>-0.58295663304072698</v>
      </c>
      <c r="F312" s="827">
        <v>1.49903608102732E-2</v>
      </c>
      <c r="G312" s="827">
        <v>-8.8949113075699707E-2</v>
      </c>
      <c r="H312" s="827">
        <v>-0.195299665955351</v>
      </c>
      <c r="I312" s="827">
        <v>-0.31541443073540698</v>
      </c>
      <c r="J312" s="827">
        <v>42.583732057416299</v>
      </c>
      <c r="K312" s="827">
        <v>34.928229665071797</v>
      </c>
      <c r="L312" s="827">
        <v>45.023696682464497</v>
      </c>
      <c r="M312" s="827">
        <v>51.196172248803798</v>
      </c>
      <c r="N312" s="827">
        <v>49.763033175355503</v>
      </c>
      <c r="O312" s="827">
        <v>38.3886255924171</v>
      </c>
    </row>
    <row r="313" spans="1:15">
      <c r="A313" s="827">
        <v>2009</v>
      </c>
      <c r="B313" s="827" t="s">
        <v>127</v>
      </c>
      <c r="C313" s="827" t="s">
        <v>3622</v>
      </c>
      <c r="D313" s="827">
        <v>-0.90743974432085805</v>
      </c>
      <c r="E313" s="827">
        <v>-1.42257862478012</v>
      </c>
      <c r="F313" s="827">
        <v>-1.8827085057566999</v>
      </c>
      <c r="G313" s="827">
        <v>-1.25343581149015</v>
      </c>
      <c r="H313" s="827">
        <v>-1.32068126316803</v>
      </c>
      <c r="I313" s="827">
        <v>-1.0063690701110299</v>
      </c>
      <c r="J313" s="827">
        <v>19.138755980861198</v>
      </c>
      <c r="K313" s="827">
        <v>5.2631578947368398</v>
      </c>
      <c r="L313" s="827">
        <v>4.7393364928909998</v>
      </c>
      <c r="M313" s="827">
        <v>7.6555023923445003</v>
      </c>
      <c r="N313" s="827">
        <v>5.68720379146919</v>
      </c>
      <c r="O313" s="827">
        <v>19.4312796208531</v>
      </c>
    </row>
    <row r="314" spans="1:15">
      <c r="A314" s="827">
        <v>2009</v>
      </c>
      <c r="B314" s="827" t="s">
        <v>138</v>
      </c>
      <c r="C314" s="827" t="s">
        <v>3623</v>
      </c>
      <c r="D314" s="827">
        <v>-1.3555364140761601</v>
      </c>
      <c r="E314" s="827">
        <v>-1.4231168712779201</v>
      </c>
      <c r="F314" s="827">
        <v>-1.68920009121452</v>
      </c>
      <c r="G314" s="827">
        <v>-1.0416083218118199</v>
      </c>
      <c r="H314" s="827">
        <v>-1.4932020959718999</v>
      </c>
      <c r="I314" s="827">
        <v>-1.4195605227997199</v>
      </c>
      <c r="J314" s="827">
        <v>4.3062200956937797</v>
      </c>
      <c r="K314" s="827">
        <v>4.7846889952153102</v>
      </c>
      <c r="L314" s="827">
        <v>6.1611374407582904</v>
      </c>
      <c r="M314" s="827">
        <v>14.8325358851675</v>
      </c>
      <c r="N314" s="827">
        <v>3.3175355450236999</v>
      </c>
      <c r="O314" s="827">
        <v>9.4786729857819907</v>
      </c>
    </row>
    <row r="315" spans="1:15">
      <c r="A315" s="827">
        <v>2009</v>
      </c>
      <c r="B315" s="827" t="s">
        <v>171</v>
      </c>
      <c r="C315" s="827" t="s">
        <v>3624</v>
      </c>
      <c r="D315" s="827">
        <v>-1.36346807993374</v>
      </c>
      <c r="E315" s="827">
        <v>-1.7051833014723501</v>
      </c>
      <c r="F315" s="827">
        <v>-1.98732794178672</v>
      </c>
      <c r="G315" s="827">
        <v>-1.5291692682962501</v>
      </c>
      <c r="H315" s="827">
        <v>-1.6297209505533099</v>
      </c>
      <c r="I315" s="827">
        <v>-1.44744229343522</v>
      </c>
      <c r="J315" s="827">
        <v>3.8277511961722501</v>
      </c>
      <c r="K315" s="827">
        <v>1.91387559808612</v>
      </c>
      <c r="L315" s="827">
        <v>3.7914691943127998</v>
      </c>
      <c r="M315" s="827">
        <v>5.2631578947368398</v>
      </c>
      <c r="N315" s="827">
        <v>1.8957345971563999</v>
      </c>
      <c r="O315" s="827">
        <v>9.0047393364928894</v>
      </c>
    </row>
    <row r="316" spans="1:15">
      <c r="A316" s="827">
        <v>2009</v>
      </c>
      <c r="B316" s="827" t="s">
        <v>465</v>
      </c>
      <c r="C316" s="827" t="s">
        <v>3625</v>
      </c>
      <c r="D316" s="827">
        <v>-1.175436427155</v>
      </c>
      <c r="E316" s="827">
        <v>-1.2350143943421401</v>
      </c>
      <c r="F316" s="827">
        <v>-0.27744695734202801</v>
      </c>
      <c r="G316" s="827">
        <v>-1.2816085019057899</v>
      </c>
      <c r="H316" s="827">
        <v>-1.18855548294473</v>
      </c>
      <c r="I316" s="827">
        <v>-1.09940352897635</v>
      </c>
      <c r="J316" s="827">
        <v>7.6555023923445003</v>
      </c>
      <c r="K316" s="827">
        <v>8.1339712918660307</v>
      </c>
      <c r="L316" s="827">
        <v>36.0189573459716</v>
      </c>
      <c r="M316" s="827">
        <v>6.2200956937798999</v>
      </c>
      <c r="N316" s="827">
        <v>11.374407582938399</v>
      </c>
      <c r="O316" s="827">
        <v>16.113744075829398</v>
      </c>
    </row>
    <row r="317" spans="1:15">
      <c r="A317" s="827">
        <v>2009</v>
      </c>
      <c r="B317" s="827" t="s">
        <v>101</v>
      </c>
      <c r="C317" s="827" t="s">
        <v>3626</v>
      </c>
      <c r="D317" s="827">
        <v>-0.92234563308804896</v>
      </c>
      <c r="E317" s="827">
        <v>-0.81857389962537597</v>
      </c>
      <c r="F317" s="827">
        <v>-0.48204843823879501</v>
      </c>
      <c r="G317" s="827">
        <v>-0.73985067148075101</v>
      </c>
      <c r="H317" s="827">
        <v>-1.1152772611264099</v>
      </c>
      <c r="I317" s="827">
        <v>-1.0619175557573799</v>
      </c>
      <c r="J317" s="827">
        <v>18.6602870813397</v>
      </c>
      <c r="K317" s="827">
        <v>21.052631578947398</v>
      </c>
      <c r="L317" s="827">
        <v>29.3838862559242</v>
      </c>
      <c r="M317" s="827">
        <v>24.8803827751196</v>
      </c>
      <c r="N317" s="827">
        <v>13.744075829383901</v>
      </c>
      <c r="O317" s="827">
        <v>16.5876777251185</v>
      </c>
    </row>
    <row r="318" spans="1:15">
      <c r="A318" s="827">
        <v>2009</v>
      </c>
      <c r="B318" s="827" t="s">
        <v>188</v>
      </c>
      <c r="C318" s="827" t="s">
        <v>3627</v>
      </c>
      <c r="D318" s="827">
        <v>-1.5033918861167299</v>
      </c>
      <c r="E318" s="827">
        <v>-1.7222469620127601</v>
      </c>
      <c r="F318" s="827">
        <v>0.38652640320530901</v>
      </c>
      <c r="G318" s="827">
        <v>-1.27911468409736</v>
      </c>
      <c r="H318" s="827">
        <v>-1.24625405447389</v>
      </c>
      <c r="I318" s="827">
        <v>-1.8103847906892201</v>
      </c>
      <c r="J318" s="827">
        <v>1.4354066985645899</v>
      </c>
      <c r="K318" s="827">
        <v>1.4354066985645899</v>
      </c>
      <c r="L318" s="827">
        <v>58.7677725118483</v>
      </c>
      <c r="M318" s="827">
        <v>7.1770334928229698</v>
      </c>
      <c r="N318" s="827">
        <v>8.5308056872037898</v>
      </c>
      <c r="O318" s="827">
        <v>3.3175355450236999</v>
      </c>
    </row>
    <row r="319" spans="1:15">
      <c r="A319" s="827">
        <v>2009</v>
      </c>
      <c r="B319" s="827" t="s">
        <v>191</v>
      </c>
      <c r="C319" s="827" t="s">
        <v>3628</v>
      </c>
      <c r="D319" s="827">
        <v>-0.94167335369579896</v>
      </c>
      <c r="E319" s="827">
        <v>-0.75439813979218096</v>
      </c>
      <c r="F319" s="827">
        <v>0.12481247599074501</v>
      </c>
      <c r="G319" s="827">
        <v>-0.59456225390394402</v>
      </c>
      <c r="H319" s="827">
        <v>-0.54928714770737797</v>
      </c>
      <c r="I319" s="827">
        <v>-1.00067074624718</v>
      </c>
      <c r="J319" s="827">
        <v>17.7033492822966</v>
      </c>
      <c r="K319" s="827">
        <v>25.358851674641102</v>
      </c>
      <c r="L319" s="827">
        <v>48.8151658767773</v>
      </c>
      <c r="M319" s="827">
        <v>31.1004784688995</v>
      </c>
      <c r="N319" s="827">
        <v>36.0189573459716</v>
      </c>
      <c r="O319" s="827">
        <v>20.3791469194313</v>
      </c>
    </row>
    <row r="320" spans="1:15">
      <c r="A320" s="827">
        <v>2009</v>
      </c>
      <c r="B320" s="827" t="s">
        <v>195</v>
      </c>
      <c r="C320" s="827" t="s">
        <v>3629</v>
      </c>
      <c r="D320" s="827">
        <v>3.13423438627983E-2</v>
      </c>
      <c r="E320" s="827">
        <v>-3.78100282636896E-2</v>
      </c>
      <c r="F320" s="827">
        <v>3.5919231106770803E-2</v>
      </c>
      <c r="G320" s="827">
        <v>9.0179455574476194E-2</v>
      </c>
      <c r="H320" s="827">
        <v>-7.6806517584081302E-2</v>
      </c>
      <c r="I320" s="827">
        <v>0.48685563342905602</v>
      </c>
      <c r="J320" s="827">
        <v>59.808612440191403</v>
      </c>
      <c r="K320" s="827">
        <v>53.5885167464115</v>
      </c>
      <c r="L320" s="827">
        <v>45.971563981042699</v>
      </c>
      <c r="M320" s="827">
        <v>54.066985645933002</v>
      </c>
      <c r="N320" s="827">
        <v>52.606635071089997</v>
      </c>
      <c r="O320" s="827">
        <v>62.085308056872002</v>
      </c>
    </row>
    <row r="321" spans="1:15">
      <c r="A321" s="827">
        <v>2009</v>
      </c>
      <c r="B321" s="827" t="s">
        <v>219</v>
      </c>
      <c r="C321" s="827" t="s">
        <v>3630</v>
      </c>
      <c r="D321" s="827">
        <v>-0.478128733364792</v>
      </c>
      <c r="E321" s="827">
        <v>-0.69381831379966297</v>
      </c>
      <c r="F321" s="827">
        <v>-0.94431168216443695</v>
      </c>
      <c r="G321" s="827">
        <v>-0.118225455186968</v>
      </c>
      <c r="H321" s="827">
        <v>-1.0729902162428899</v>
      </c>
      <c r="I321" s="827">
        <v>-0.274044704257492</v>
      </c>
      <c r="J321" s="827">
        <v>38.277511961722503</v>
      </c>
      <c r="K321" s="827">
        <v>28.229665071770299</v>
      </c>
      <c r="L321" s="827">
        <v>18.483412322274901</v>
      </c>
      <c r="M321" s="827">
        <v>49.282296650717697</v>
      </c>
      <c r="N321" s="827">
        <v>15.639810426540301</v>
      </c>
      <c r="O321" s="827">
        <v>39.810426540284404</v>
      </c>
    </row>
    <row r="322" spans="1:15">
      <c r="A322" s="827">
        <v>2009</v>
      </c>
      <c r="B322" s="827" t="s">
        <v>3089</v>
      </c>
      <c r="C322" s="827" t="s">
        <v>3631</v>
      </c>
      <c r="D322" s="827">
        <v>-1.0470559901229</v>
      </c>
      <c r="E322" s="827">
        <v>-1.03147671919396</v>
      </c>
      <c r="F322" s="827">
        <v>-2.08628624648868</v>
      </c>
      <c r="G322" s="827">
        <v>-1.12656813907442</v>
      </c>
      <c r="H322" s="827">
        <v>-1.54014503640784</v>
      </c>
      <c r="I322" s="827">
        <v>-1.30149674731851</v>
      </c>
      <c r="J322" s="827">
        <v>13.8755980861244</v>
      </c>
      <c r="K322" s="827">
        <v>13.3971291866029</v>
      </c>
      <c r="L322" s="827">
        <v>2.8436018957345999</v>
      </c>
      <c r="M322" s="827">
        <v>12.4401913875598</v>
      </c>
      <c r="N322" s="827">
        <v>2.8436018957345999</v>
      </c>
      <c r="O322" s="827">
        <v>10.4265402843602</v>
      </c>
    </row>
    <row r="323" spans="1:15">
      <c r="A323" s="827">
        <v>2009</v>
      </c>
      <c r="B323" s="827" t="s">
        <v>243</v>
      </c>
      <c r="C323" s="827" t="s">
        <v>3632</v>
      </c>
      <c r="D323" s="827">
        <v>-0.81582570120773601</v>
      </c>
      <c r="E323" s="827">
        <v>-0.27656821064612203</v>
      </c>
      <c r="F323" s="827">
        <v>-0.75851636602946304</v>
      </c>
      <c r="G323" s="827">
        <v>-0.33309293933209</v>
      </c>
      <c r="H323" s="827">
        <v>-0.59513608852202704</v>
      </c>
      <c r="I323" s="827">
        <v>-3.3692223068848899E-2</v>
      </c>
      <c r="J323" s="827">
        <v>22.966507177033499</v>
      </c>
      <c r="K323" s="827">
        <v>46.889952153110002</v>
      </c>
      <c r="L323" s="827">
        <v>20.853080568720401</v>
      </c>
      <c r="M323" s="827">
        <v>39.712918660287102</v>
      </c>
      <c r="N323" s="827">
        <v>34.597156398104303</v>
      </c>
      <c r="O323" s="827">
        <v>46.919431279620902</v>
      </c>
    </row>
    <row r="324" spans="1:15">
      <c r="A324" s="827">
        <v>2009</v>
      </c>
      <c r="B324" s="827" t="s">
        <v>251</v>
      </c>
      <c r="C324" s="827" t="s">
        <v>3633</v>
      </c>
      <c r="D324" s="827">
        <v>-1.3922886481096199</v>
      </c>
      <c r="E324" s="827">
        <v>-1.2020230439441499</v>
      </c>
      <c r="F324" s="827">
        <v>-2.1856993154475899</v>
      </c>
      <c r="G324" s="827">
        <v>-1.0060865909061101</v>
      </c>
      <c r="H324" s="827">
        <v>-1.7741949444326801</v>
      </c>
      <c r="I324" s="827">
        <v>-1.1000623897045001</v>
      </c>
      <c r="J324" s="827">
        <v>2.87081339712919</v>
      </c>
      <c r="K324" s="827">
        <v>9.0909090909090899</v>
      </c>
      <c r="L324" s="827">
        <v>2.3696682464454999</v>
      </c>
      <c r="M324" s="827">
        <v>16.746411483253599</v>
      </c>
      <c r="N324" s="827">
        <v>1.4218009478672999</v>
      </c>
      <c r="O324" s="827">
        <v>15.639810426540301</v>
      </c>
    </row>
    <row r="325" spans="1:15">
      <c r="A325" s="827">
        <v>2009</v>
      </c>
      <c r="B325" s="827" t="s">
        <v>280</v>
      </c>
      <c r="C325" s="827" t="s">
        <v>3634</v>
      </c>
      <c r="D325" s="827">
        <v>-0.88404358302178698</v>
      </c>
      <c r="E325" s="827">
        <v>-0.36180551130907501</v>
      </c>
      <c r="F325" s="827">
        <v>0.74874515291924304</v>
      </c>
      <c r="G325" s="827">
        <v>-0.32490139377488098</v>
      </c>
      <c r="H325" s="827">
        <v>-0.6279281638209</v>
      </c>
      <c r="I325" s="827">
        <v>-1.0437228644659999</v>
      </c>
      <c r="J325" s="827">
        <v>20.5741626794258</v>
      </c>
      <c r="K325" s="827">
        <v>44.019138755980897</v>
      </c>
      <c r="L325" s="827">
        <v>72.037914691943101</v>
      </c>
      <c r="M325" s="827">
        <v>40.669856459330099</v>
      </c>
      <c r="N325" s="827">
        <v>32.701421800947898</v>
      </c>
      <c r="O325" s="827">
        <v>17.535545023696699</v>
      </c>
    </row>
    <row r="326" spans="1:15">
      <c r="A326" s="827">
        <v>2009</v>
      </c>
      <c r="B326" s="827" t="s">
        <v>285</v>
      </c>
      <c r="C326" s="827" t="s">
        <v>3635</v>
      </c>
      <c r="D326" s="827">
        <v>-1.2305684234293699</v>
      </c>
      <c r="E326" s="827">
        <v>-0.95015902344371395</v>
      </c>
      <c r="F326" s="827">
        <v>-0.64256559582778106</v>
      </c>
      <c r="G326" s="827">
        <v>-0.320715483525574</v>
      </c>
      <c r="H326" s="827">
        <v>-1.31693051424095</v>
      </c>
      <c r="I326" s="827">
        <v>-1.0022108347477501</v>
      </c>
      <c r="J326" s="827">
        <v>6.2200956937798999</v>
      </c>
      <c r="K326" s="827">
        <v>17.224880382775101</v>
      </c>
      <c r="L326" s="827">
        <v>24.644549763033201</v>
      </c>
      <c r="M326" s="827">
        <v>41.626794258373202</v>
      </c>
      <c r="N326" s="827">
        <v>6.1611374407582904</v>
      </c>
      <c r="O326" s="827">
        <v>19.905213270142202</v>
      </c>
    </row>
    <row r="327" spans="1:15">
      <c r="A327" s="827">
        <v>2009</v>
      </c>
      <c r="B327" s="827" t="s">
        <v>301</v>
      </c>
      <c r="C327" s="827" t="s">
        <v>3636</v>
      </c>
      <c r="D327" s="827">
        <v>-0.56271051797997396</v>
      </c>
      <c r="E327" s="827">
        <v>-1.2388153058748701</v>
      </c>
      <c r="F327" s="827">
        <v>-1.0754025802234199</v>
      </c>
      <c r="G327" s="827">
        <v>-1.19120965876653</v>
      </c>
      <c r="H327" s="827">
        <v>-1.0811713636731399</v>
      </c>
      <c r="I327" s="827">
        <v>-0.20433352732342799</v>
      </c>
      <c r="J327" s="827">
        <v>32.535885167464102</v>
      </c>
      <c r="K327" s="827">
        <v>7.6555023923445003</v>
      </c>
      <c r="L327" s="827">
        <v>15.165876777251199</v>
      </c>
      <c r="M327" s="827">
        <v>9.5693779904306204</v>
      </c>
      <c r="N327" s="827">
        <v>15.165876777251199</v>
      </c>
      <c r="O327" s="827">
        <v>41.706161137440802</v>
      </c>
    </row>
    <row r="328" spans="1:15">
      <c r="A328" s="827">
        <v>2009</v>
      </c>
      <c r="B328" s="827" t="s">
        <v>316</v>
      </c>
      <c r="C328" s="827" t="s">
        <v>3637</v>
      </c>
      <c r="D328" s="827">
        <v>-0.19241468597101799</v>
      </c>
      <c r="E328" s="827">
        <v>-0.78264603631290597</v>
      </c>
      <c r="F328" s="827">
        <v>-0.74802950066964702</v>
      </c>
      <c r="G328" s="827">
        <v>-0.49934270444890499</v>
      </c>
      <c r="H328" s="827">
        <v>-0.72670160037224096</v>
      </c>
      <c r="I328" s="827">
        <v>-0.85846779147558006</v>
      </c>
      <c r="J328" s="827">
        <v>53.5885167464115</v>
      </c>
      <c r="K328" s="827">
        <v>23.923444976076599</v>
      </c>
      <c r="L328" s="827">
        <v>21.327014218009499</v>
      </c>
      <c r="M328" s="827">
        <v>33.9712918660287</v>
      </c>
      <c r="N328" s="827">
        <v>27.488151658767801</v>
      </c>
      <c r="O328" s="827">
        <v>25.118483412322298</v>
      </c>
    </row>
    <row r="329" spans="1:15">
      <c r="A329" s="827">
        <v>2009</v>
      </c>
      <c r="B329" s="827" t="s">
        <v>329</v>
      </c>
      <c r="C329" s="827" t="s">
        <v>3638</v>
      </c>
      <c r="D329" s="827">
        <v>-0.63568132290367696</v>
      </c>
      <c r="E329" s="827">
        <v>-0.78967362376063399</v>
      </c>
      <c r="F329" s="827">
        <v>-7.8052068174738101E-2</v>
      </c>
      <c r="G329" s="827">
        <v>-0.39061964217212403</v>
      </c>
      <c r="H329" s="827">
        <v>-0.35033187314284497</v>
      </c>
      <c r="I329" s="827">
        <v>4.1858658624007797E-2</v>
      </c>
      <c r="J329" s="827">
        <v>29.665071770334901</v>
      </c>
      <c r="K329" s="827">
        <v>22.966507177033499</v>
      </c>
      <c r="L329" s="827">
        <v>41.706161137440802</v>
      </c>
      <c r="M329" s="827">
        <v>38.277511961722503</v>
      </c>
      <c r="N329" s="827">
        <v>45.023696682464497</v>
      </c>
      <c r="O329" s="827">
        <v>50.236966824644497</v>
      </c>
    </row>
    <row r="330" spans="1:15">
      <c r="A330" s="827">
        <v>2009</v>
      </c>
      <c r="B330" s="827" t="s">
        <v>345</v>
      </c>
      <c r="C330" s="827" t="s">
        <v>3639</v>
      </c>
      <c r="D330" s="827">
        <v>-0.55606124657203904</v>
      </c>
      <c r="E330" s="827">
        <v>-0.88259362281677101</v>
      </c>
      <c r="F330" s="827">
        <v>-0.87760725614009405</v>
      </c>
      <c r="G330" s="827">
        <v>-0.67142483965750099</v>
      </c>
      <c r="H330" s="827">
        <v>-0.78603548592487305</v>
      </c>
      <c r="I330" s="827">
        <v>-0.96510899804188</v>
      </c>
      <c r="J330" s="827">
        <v>33.9712918660287</v>
      </c>
      <c r="K330" s="827">
        <v>20.5741626794258</v>
      </c>
      <c r="L330" s="827">
        <v>19.4312796208531</v>
      </c>
      <c r="M330" s="827">
        <v>26.7942583732057</v>
      </c>
      <c r="N330" s="827">
        <v>23.2227488151659</v>
      </c>
      <c r="O330" s="827">
        <v>20.853080568720401</v>
      </c>
    </row>
    <row r="331" spans="1:15">
      <c r="A331" s="827">
        <v>2009</v>
      </c>
      <c r="B331" s="827" t="s">
        <v>385</v>
      </c>
      <c r="C331" s="827" t="s">
        <v>3640</v>
      </c>
      <c r="D331" s="827">
        <v>-0.42101975203520903</v>
      </c>
      <c r="E331" s="827">
        <v>-0.54382928909406303</v>
      </c>
      <c r="F331" s="827">
        <v>0.58954037409522198</v>
      </c>
      <c r="G331" s="827">
        <v>-0.38672618976353301</v>
      </c>
      <c r="H331" s="827">
        <v>-0.59210876462423401</v>
      </c>
      <c r="I331" s="827">
        <v>-0.10593740605468201</v>
      </c>
      <c r="J331" s="827">
        <v>40.669856459330099</v>
      </c>
      <c r="K331" s="827">
        <v>37.799043062201001</v>
      </c>
      <c r="L331" s="827">
        <v>66.824644549762994</v>
      </c>
      <c r="M331" s="827">
        <v>38.755980861243998</v>
      </c>
      <c r="N331" s="827">
        <v>35.071090047393398</v>
      </c>
      <c r="O331" s="827">
        <v>45.023696682464497</v>
      </c>
    </row>
    <row r="332" spans="1:15">
      <c r="A332" s="827">
        <v>2009</v>
      </c>
      <c r="B332" s="827" t="s">
        <v>394</v>
      </c>
      <c r="C332" s="827" t="s">
        <v>3641</v>
      </c>
      <c r="D332" s="827">
        <v>-0.60858375851193602</v>
      </c>
      <c r="E332" s="827">
        <v>-0.66111858643714605</v>
      </c>
      <c r="F332" s="827">
        <v>-1.15669978560293</v>
      </c>
      <c r="G332" s="827">
        <v>-0.48242411907739402</v>
      </c>
      <c r="H332" s="827">
        <v>-0.52306690113449394</v>
      </c>
      <c r="I332" s="827">
        <v>-0.78435006215137004</v>
      </c>
      <c r="J332" s="827">
        <v>30.622009569378001</v>
      </c>
      <c r="K332" s="827">
        <v>29.665071770334901</v>
      </c>
      <c r="L332" s="827">
        <v>14.6919431279621</v>
      </c>
      <c r="M332" s="827">
        <v>34.449760765550202</v>
      </c>
      <c r="N332" s="827">
        <v>36.966824644549803</v>
      </c>
      <c r="O332" s="827">
        <v>27.0142180094787</v>
      </c>
    </row>
    <row r="333" spans="1:15">
      <c r="A333" s="827">
        <v>2009</v>
      </c>
      <c r="B333" s="827" t="s">
        <v>413</v>
      </c>
      <c r="C333" s="827" t="s">
        <v>3642</v>
      </c>
      <c r="D333" s="827">
        <v>-0.97646890734238401</v>
      </c>
      <c r="E333" s="827">
        <v>-1.20063179764928</v>
      </c>
      <c r="F333" s="827">
        <v>-1.9524677495139999</v>
      </c>
      <c r="G333" s="827">
        <v>-0.72845954903365895</v>
      </c>
      <c r="H333" s="827">
        <v>-1.1641807783609599</v>
      </c>
      <c r="I333" s="827">
        <v>-0.87191090940425098</v>
      </c>
      <c r="J333" s="827">
        <v>17.224880382775101</v>
      </c>
      <c r="K333" s="827">
        <v>9.5693779904306204</v>
      </c>
      <c r="L333" s="827">
        <v>4.2654028436019003</v>
      </c>
      <c r="M333" s="827">
        <v>25.358851674641102</v>
      </c>
      <c r="N333" s="827">
        <v>12.3222748815166</v>
      </c>
      <c r="O333" s="827">
        <v>24.644549763033201</v>
      </c>
    </row>
    <row r="334" spans="1:15">
      <c r="A334" s="827">
        <v>2009</v>
      </c>
      <c r="B334" s="827" t="s">
        <v>449</v>
      </c>
      <c r="C334" s="827" t="s">
        <v>3643</v>
      </c>
      <c r="D334" s="827">
        <v>-0.34216136455586199</v>
      </c>
      <c r="E334" s="827">
        <v>-0.42240703988964201</v>
      </c>
      <c r="F334" s="827">
        <v>-1.1809401239462201</v>
      </c>
      <c r="G334" s="827">
        <v>0.401355532712239</v>
      </c>
      <c r="H334" s="827">
        <v>-0.66274568005644796</v>
      </c>
      <c r="I334" s="827">
        <v>4.0587288441011303E-2</v>
      </c>
      <c r="J334" s="827">
        <v>46.889952153110002</v>
      </c>
      <c r="K334" s="827">
        <v>42.105263157894697</v>
      </c>
      <c r="L334" s="827">
        <v>13.744075829383901</v>
      </c>
      <c r="M334" s="827">
        <v>64.593301435406701</v>
      </c>
      <c r="N334" s="827">
        <v>30.8056872037915</v>
      </c>
      <c r="O334" s="827">
        <v>49.763033175355503</v>
      </c>
    </row>
    <row r="335" spans="1:15">
      <c r="A335" s="827">
        <v>2009</v>
      </c>
      <c r="B335" s="827" t="s">
        <v>488</v>
      </c>
      <c r="C335" s="827" t="s">
        <v>3644</v>
      </c>
      <c r="D335" s="827">
        <v>-0.93853103018099204</v>
      </c>
      <c r="E335" s="827">
        <v>-1.2154466944479101</v>
      </c>
      <c r="F335" s="827">
        <v>-0.29656773131597203</v>
      </c>
      <c r="G335" s="827">
        <v>-0.77737053623886399</v>
      </c>
      <c r="H335" s="827">
        <v>-0.91886383049915599</v>
      </c>
      <c r="I335" s="827">
        <v>-0.26388929326647997</v>
      </c>
      <c r="J335" s="827">
        <v>18.181818181818201</v>
      </c>
      <c r="K335" s="827">
        <v>8.6124401913875595</v>
      </c>
      <c r="L335" s="827">
        <v>34.597156398104303</v>
      </c>
      <c r="M335" s="827">
        <v>23.923444976076599</v>
      </c>
      <c r="N335" s="827">
        <v>19.4312796208531</v>
      </c>
      <c r="O335" s="827">
        <v>40.284360189573498</v>
      </c>
    </row>
    <row r="336" spans="1:15">
      <c r="A336" s="827">
        <v>2009</v>
      </c>
      <c r="B336" s="827" t="s">
        <v>499</v>
      </c>
      <c r="C336" s="827" t="s">
        <v>3645</v>
      </c>
      <c r="D336" s="827">
        <v>-0.44252210670392</v>
      </c>
      <c r="E336" s="827">
        <v>-0.593270511956416</v>
      </c>
      <c r="F336" s="827">
        <v>6.9291708133980195E-2</v>
      </c>
      <c r="G336" s="827">
        <v>-0.42146087151551997</v>
      </c>
      <c r="H336" s="827">
        <v>-0.47624685699734998</v>
      </c>
      <c r="I336" s="827">
        <v>-0.158080618442376</v>
      </c>
      <c r="J336" s="827">
        <v>39.2344497607656</v>
      </c>
      <c r="K336" s="827">
        <v>33.492822966507198</v>
      </c>
      <c r="L336" s="827">
        <v>47.867298578199097</v>
      </c>
      <c r="M336" s="827">
        <v>36.363636363636402</v>
      </c>
      <c r="N336" s="827">
        <v>39.336492890995302</v>
      </c>
      <c r="O336" s="827">
        <v>43.6018957345972</v>
      </c>
    </row>
    <row r="337" spans="1:15">
      <c r="A337" s="827">
        <v>2009</v>
      </c>
      <c r="B337" s="827" t="s">
        <v>517</v>
      </c>
      <c r="C337" s="827" t="s">
        <v>3646</v>
      </c>
      <c r="D337" s="827">
        <v>-1.02718162861693</v>
      </c>
      <c r="E337" s="827">
        <v>-1.39117644455016</v>
      </c>
      <c r="F337" s="827">
        <v>-0.18623241980376301</v>
      </c>
      <c r="G337" s="827">
        <v>-0.85806149770690399</v>
      </c>
      <c r="H337" s="827">
        <v>-0.88096700442506604</v>
      </c>
      <c r="I337" s="827">
        <v>-1.0364148957666299</v>
      </c>
      <c r="J337" s="827">
        <v>15.311004784689001</v>
      </c>
      <c r="K337" s="827">
        <v>6.2200956937798999</v>
      </c>
      <c r="L337" s="827">
        <v>38.862559241706201</v>
      </c>
      <c r="M337" s="827">
        <v>21.5311004784689</v>
      </c>
      <c r="N337" s="827">
        <v>20.3791469194313</v>
      </c>
      <c r="O337" s="827">
        <v>18.0094786729858</v>
      </c>
    </row>
    <row r="338" spans="1:15">
      <c r="A338" s="827">
        <v>2009</v>
      </c>
      <c r="B338" s="827" t="s">
        <v>3090</v>
      </c>
      <c r="C338" s="827" t="s">
        <v>3647</v>
      </c>
      <c r="D338" s="827">
        <v>-0.995834037162874</v>
      </c>
      <c r="E338" s="827">
        <v>-1.15531675732587</v>
      </c>
      <c r="F338" s="827">
        <v>-0.58178349595816803</v>
      </c>
      <c r="G338" s="827">
        <v>-1.1468569740605701</v>
      </c>
      <c r="H338" s="827">
        <v>-1.2323775796855301</v>
      </c>
      <c r="I338" s="827">
        <v>7.0016417036487796E-2</v>
      </c>
      <c r="J338" s="827">
        <v>16.746411483253599</v>
      </c>
      <c r="K338" s="827">
        <v>10.047846889952201</v>
      </c>
      <c r="L338" s="827">
        <v>27.0142180094787</v>
      </c>
      <c r="M338" s="827">
        <v>11.4832535885167</v>
      </c>
      <c r="N338" s="827">
        <v>10.4265402843602</v>
      </c>
      <c r="O338" s="827">
        <v>51.658767772511901</v>
      </c>
    </row>
    <row r="339" spans="1:15">
      <c r="A339" s="827">
        <v>2009</v>
      </c>
      <c r="B339" s="827" t="s">
        <v>3091</v>
      </c>
      <c r="C339" s="827" t="s">
        <v>3648</v>
      </c>
      <c r="D339" s="827">
        <v>-0.20775092651955199</v>
      </c>
      <c r="E339" s="827">
        <v>0.30266339018431199</v>
      </c>
      <c r="F339" s="827">
        <v>-0.14235859368040901</v>
      </c>
      <c r="G339" s="827">
        <v>0.537296056312346</v>
      </c>
      <c r="H339" s="827">
        <v>-0.23115579505839501</v>
      </c>
      <c r="I339" s="827">
        <v>0.52876969829702503</v>
      </c>
      <c r="J339" s="827">
        <v>52.153110047846901</v>
      </c>
      <c r="K339" s="827">
        <v>64.114832535885199</v>
      </c>
      <c r="L339" s="827">
        <v>40.284360189573498</v>
      </c>
      <c r="M339" s="827">
        <v>69.856459330143494</v>
      </c>
      <c r="N339" s="827">
        <v>47.393364928910003</v>
      </c>
      <c r="O339" s="827">
        <v>63.033175355450197</v>
      </c>
    </row>
    <row r="340" spans="1:15">
      <c r="A340" s="827">
        <v>2009</v>
      </c>
      <c r="B340" s="827" t="s">
        <v>3092</v>
      </c>
      <c r="C340" s="827" t="s">
        <v>3649</v>
      </c>
      <c r="D340" s="827">
        <v>-1.01763952312215</v>
      </c>
      <c r="E340" s="827">
        <v>-1.0780798693790801</v>
      </c>
      <c r="F340" s="827">
        <v>-2.3198345550544301</v>
      </c>
      <c r="G340" s="827">
        <v>-0.62468932430519597</v>
      </c>
      <c r="H340" s="827">
        <v>-1.0865411782208501</v>
      </c>
      <c r="I340" s="827">
        <v>-1.28043615479811</v>
      </c>
      <c r="J340" s="827">
        <v>15.789473684210501</v>
      </c>
      <c r="K340" s="827">
        <v>12.4401913875598</v>
      </c>
      <c r="L340" s="827">
        <v>1.8957345971563999</v>
      </c>
      <c r="M340" s="827">
        <v>27.7511961722488</v>
      </c>
      <c r="N340" s="827">
        <v>14.218009478673</v>
      </c>
      <c r="O340" s="827">
        <v>11.848341232227501</v>
      </c>
    </row>
    <row r="341" spans="1:15">
      <c r="A341" s="827">
        <v>2009</v>
      </c>
      <c r="B341" s="827" t="s">
        <v>541</v>
      </c>
      <c r="C341" s="827" t="s">
        <v>3650</v>
      </c>
      <c r="D341" s="827">
        <v>-0.51320912303131205</v>
      </c>
      <c r="E341" s="827">
        <v>-0.79114014249250797</v>
      </c>
      <c r="F341" s="827">
        <v>0.53465903763662503</v>
      </c>
      <c r="G341" s="827">
        <v>-0.50244949982849896</v>
      </c>
      <c r="H341" s="827">
        <v>-0.48504740992574302</v>
      </c>
      <c r="I341" s="827">
        <v>-0.319576629576935</v>
      </c>
      <c r="J341" s="827">
        <v>36.842105263157897</v>
      </c>
      <c r="K341" s="827">
        <v>22.488038277512</v>
      </c>
      <c r="L341" s="827">
        <v>65.402843601895697</v>
      </c>
      <c r="M341" s="827">
        <v>33.492822966507198</v>
      </c>
      <c r="N341" s="827">
        <v>38.3886255924171</v>
      </c>
      <c r="O341" s="827">
        <v>37.914691943127998</v>
      </c>
    </row>
    <row r="342" spans="1:15">
      <c r="A342" s="827">
        <v>2009</v>
      </c>
      <c r="B342" s="827" t="s">
        <v>364</v>
      </c>
      <c r="C342" s="827" t="s">
        <v>3651</v>
      </c>
      <c r="D342" s="827">
        <v>-0.75530920524568601</v>
      </c>
      <c r="E342" s="827">
        <v>-0.65829754879069402</v>
      </c>
      <c r="F342" s="827">
        <v>0.601512514565814</v>
      </c>
      <c r="G342" s="827">
        <v>-0.27675532483055199</v>
      </c>
      <c r="H342" s="827">
        <v>-0.27609563960260203</v>
      </c>
      <c r="I342" s="827">
        <v>9.1417087418387499E-2</v>
      </c>
      <c r="J342" s="827">
        <v>24.401913875598101</v>
      </c>
      <c r="K342" s="827">
        <v>30.143540669856499</v>
      </c>
      <c r="L342" s="827">
        <v>68.720379146919399</v>
      </c>
      <c r="M342" s="827">
        <v>44.019138755980897</v>
      </c>
      <c r="N342" s="827">
        <v>45.971563981042699</v>
      </c>
      <c r="O342" s="827">
        <v>53.080568720379098</v>
      </c>
    </row>
    <row r="343" spans="1:15">
      <c r="A343" s="827">
        <v>2010</v>
      </c>
      <c r="B343" s="827" t="s">
        <v>21</v>
      </c>
      <c r="C343" s="827" t="s">
        <v>3652</v>
      </c>
      <c r="D343" s="827">
        <v>-1.62446565845433</v>
      </c>
      <c r="E343" s="827">
        <v>-1.46557142586881</v>
      </c>
      <c r="F343" s="827">
        <v>-2.54981934179348</v>
      </c>
      <c r="G343" s="827">
        <v>-1.5292580860895</v>
      </c>
      <c r="H343" s="827">
        <v>-1.9010929721785399</v>
      </c>
      <c r="I343" s="827">
        <v>-1.4815815982603</v>
      </c>
      <c r="J343" s="827">
        <v>0.952380952380952</v>
      </c>
      <c r="K343" s="827">
        <v>4.3062200956937797</v>
      </c>
      <c r="L343" s="827">
        <v>1.4150943396226401</v>
      </c>
      <c r="M343" s="827">
        <v>5.2631578947368398</v>
      </c>
      <c r="N343" s="827">
        <v>0.47393364928909998</v>
      </c>
      <c r="O343" s="827">
        <v>7.5829383886255899</v>
      </c>
    </row>
    <row r="344" spans="1:15">
      <c r="A344" s="827">
        <v>2010</v>
      </c>
      <c r="B344" s="827" t="s">
        <v>38</v>
      </c>
      <c r="C344" s="827" t="s">
        <v>3653</v>
      </c>
      <c r="D344" s="827">
        <v>-0.48857776519914198</v>
      </c>
      <c r="E344" s="827">
        <v>-0.27142752356988198</v>
      </c>
      <c r="F344" s="827">
        <v>-0.19131423887818599</v>
      </c>
      <c r="G344" s="827">
        <v>0.23225209582522999</v>
      </c>
      <c r="H344" s="827">
        <v>-0.43575947109145502</v>
      </c>
      <c r="I344" s="827">
        <v>0.11205761285367399</v>
      </c>
      <c r="J344" s="827">
        <v>36.6666666666667</v>
      </c>
      <c r="K344" s="827">
        <v>45.454545454545503</v>
      </c>
      <c r="L344" s="827">
        <v>39.622641509433997</v>
      </c>
      <c r="M344" s="827">
        <v>56.937799043062199</v>
      </c>
      <c r="N344" s="827">
        <v>40.758293838862599</v>
      </c>
      <c r="O344" s="827">
        <v>53.554502369668199</v>
      </c>
    </row>
    <row r="345" spans="1:15">
      <c r="A345" s="827">
        <v>2010</v>
      </c>
      <c r="B345" s="827" t="s">
        <v>53</v>
      </c>
      <c r="C345" s="827" t="s">
        <v>3654</v>
      </c>
      <c r="D345" s="827">
        <v>-1.1790171369459901</v>
      </c>
      <c r="E345" s="827">
        <v>-0.79394637716512195</v>
      </c>
      <c r="F345" s="827">
        <v>-0.25327806107414602</v>
      </c>
      <c r="G345" s="827">
        <v>-0.36834713846671502</v>
      </c>
      <c r="H345" s="827">
        <v>-0.85301209909863995</v>
      </c>
      <c r="I345" s="827">
        <v>-1.2560356657365599</v>
      </c>
      <c r="J345" s="827">
        <v>9.5238095238095202</v>
      </c>
      <c r="K345" s="827">
        <v>23.923444976076599</v>
      </c>
      <c r="L345" s="827">
        <v>35.849056603773597</v>
      </c>
      <c r="M345" s="827">
        <v>39.712918660287102</v>
      </c>
      <c r="N345" s="827">
        <v>23.2227488151659</v>
      </c>
      <c r="O345" s="827">
        <v>12.3222748815166</v>
      </c>
    </row>
    <row r="346" spans="1:15">
      <c r="A346" s="827">
        <v>2010</v>
      </c>
      <c r="B346" s="827" t="s">
        <v>98</v>
      </c>
      <c r="C346" s="827" t="s">
        <v>3655</v>
      </c>
      <c r="D346" s="827">
        <v>-0.38862232467318197</v>
      </c>
      <c r="E346" s="827">
        <v>-0.56076503759166096</v>
      </c>
      <c r="F346" s="827">
        <v>-0.147422711271252</v>
      </c>
      <c r="G346" s="827">
        <v>-0.13907055862802301</v>
      </c>
      <c r="H346" s="827">
        <v>-0.183458746729938</v>
      </c>
      <c r="I346" s="827">
        <v>-0.27747271998626299</v>
      </c>
      <c r="J346" s="827">
        <v>43.809523809523803</v>
      </c>
      <c r="K346" s="827">
        <v>35.406698564593299</v>
      </c>
      <c r="L346" s="827">
        <v>40.5660377358491</v>
      </c>
      <c r="M346" s="827">
        <v>48.325358851674601</v>
      </c>
      <c r="N346" s="827">
        <v>49.763033175355503</v>
      </c>
      <c r="O346" s="827">
        <v>37.914691943127998</v>
      </c>
    </row>
    <row r="347" spans="1:15">
      <c r="A347" s="827">
        <v>2010</v>
      </c>
      <c r="B347" s="827" t="s">
        <v>127</v>
      </c>
      <c r="C347" s="827" t="s">
        <v>3656</v>
      </c>
      <c r="D347" s="827">
        <v>-0.83611629178666902</v>
      </c>
      <c r="E347" s="827">
        <v>-1.39027354989652</v>
      </c>
      <c r="F347" s="827">
        <v>-2.01191097721741</v>
      </c>
      <c r="G347" s="827">
        <v>-1.15169270004266</v>
      </c>
      <c r="H347" s="827">
        <v>-1.29392924624706</v>
      </c>
      <c r="I347" s="827">
        <v>-1.1234595341889699</v>
      </c>
      <c r="J347" s="827">
        <v>21.428571428571399</v>
      </c>
      <c r="K347" s="827">
        <v>5.2631578947368398</v>
      </c>
      <c r="L347" s="827">
        <v>3.7735849056603801</v>
      </c>
      <c r="M347" s="827">
        <v>11.9617224880383</v>
      </c>
      <c r="N347" s="827">
        <v>7.1090047393364904</v>
      </c>
      <c r="O347" s="827">
        <v>14.218009478673</v>
      </c>
    </row>
    <row r="348" spans="1:15">
      <c r="A348" s="827">
        <v>2010</v>
      </c>
      <c r="B348" s="827" t="s">
        <v>138</v>
      </c>
      <c r="C348" s="827" t="s">
        <v>3657</v>
      </c>
      <c r="D348" s="827">
        <v>-1.3353702560987399</v>
      </c>
      <c r="E348" s="827">
        <v>-1.44544760515034</v>
      </c>
      <c r="F348" s="827">
        <v>-1.5122881189823201</v>
      </c>
      <c r="G348" s="827">
        <v>-1.0552521529166401</v>
      </c>
      <c r="H348" s="827">
        <v>-1.48022636687884</v>
      </c>
      <c r="I348" s="827">
        <v>-1.37058406323075</v>
      </c>
      <c r="J348" s="827">
        <v>3.3333333333333299</v>
      </c>
      <c r="K348" s="827">
        <v>4.7846889952153102</v>
      </c>
      <c r="L348" s="827">
        <v>8.9622641509433993</v>
      </c>
      <c r="M348" s="827">
        <v>14.8325358851675</v>
      </c>
      <c r="N348" s="827">
        <v>3.7914691943127998</v>
      </c>
      <c r="O348" s="827">
        <v>10.4265402843602</v>
      </c>
    </row>
    <row r="349" spans="1:15">
      <c r="A349" s="827">
        <v>2010</v>
      </c>
      <c r="B349" s="827" t="s">
        <v>171</v>
      </c>
      <c r="C349" s="827" t="s">
        <v>3658</v>
      </c>
      <c r="D349" s="827">
        <v>-1.4180767145324</v>
      </c>
      <c r="E349" s="827">
        <v>-1.73494098745098</v>
      </c>
      <c r="F349" s="827">
        <v>-2.2271516163748899</v>
      </c>
      <c r="G349" s="827">
        <v>-1.58230061557214</v>
      </c>
      <c r="H349" s="827">
        <v>-1.6121452264354399</v>
      </c>
      <c r="I349" s="827">
        <v>-1.4446722820503</v>
      </c>
      <c r="J349" s="827">
        <v>2.38095238095238</v>
      </c>
      <c r="K349" s="827">
        <v>1.4354066985645899</v>
      </c>
      <c r="L349" s="827">
        <v>2.8301886792452802</v>
      </c>
      <c r="M349" s="827">
        <v>4.3062200956937797</v>
      </c>
      <c r="N349" s="827">
        <v>2.3696682464454999</v>
      </c>
      <c r="O349" s="827">
        <v>9.0047393364928894</v>
      </c>
    </row>
    <row r="350" spans="1:15">
      <c r="A350" s="827">
        <v>2010</v>
      </c>
      <c r="B350" s="827" t="s">
        <v>465</v>
      </c>
      <c r="C350" s="827" t="s">
        <v>3659</v>
      </c>
      <c r="D350" s="827">
        <v>-1.1149697397604399</v>
      </c>
      <c r="E350" s="827">
        <v>-1.2339884209024099</v>
      </c>
      <c r="F350" s="827">
        <v>-0.33049749599117101</v>
      </c>
      <c r="G350" s="827">
        <v>-1.2672029824801001</v>
      </c>
      <c r="H350" s="827">
        <v>-1.1833569034653999</v>
      </c>
      <c r="I350" s="827">
        <v>-1.05759514323022</v>
      </c>
      <c r="J350" s="827">
        <v>11.4285714285714</v>
      </c>
      <c r="K350" s="827">
        <v>8.6124401913875595</v>
      </c>
      <c r="L350" s="827">
        <v>33.962264150943398</v>
      </c>
      <c r="M350" s="827">
        <v>7.6555023923445003</v>
      </c>
      <c r="N350" s="827">
        <v>11.374407582938399</v>
      </c>
      <c r="O350" s="827">
        <v>17.061611374407601</v>
      </c>
    </row>
    <row r="351" spans="1:15">
      <c r="A351" s="827">
        <v>2010</v>
      </c>
      <c r="B351" s="827" t="s">
        <v>101</v>
      </c>
      <c r="C351" s="827" t="s">
        <v>3660</v>
      </c>
      <c r="D351" s="827">
        <v>-0.98466655509401002</v>
      </c>
      <c r="E351" s="827">
        <v>-0.87505469664290703</v>
      </c>
      <c r="F351" s="827">
        <v>-0.72685652050563199</v>
      </c>
      <c r="G351" s="827">
        <v>-0.72577823591609703</v>
      </c>
      <c r="H351" s="827">
        <v>-1.05231279885671</v>
      </c>
      <c r="I351" s="827">
        <v>-1.07973605973121</v>
      </c>
      <c r="J351" s="827">
        <v>16.1904761904762</v>
      </c>
      <c r="K351" s="827">
        <v>19.6172248803828</v>
      </c>
      <c r="L351" s="827">
        <v>23.584905660377402</v>
      </c>
      <c r="M351" s="827">
        <v>25.358851674641102</v>
      </c>
      <c r="N351" s="827">
        <v>14.6919431279621</v>
      </c>
      <c r="O351" s="827">
        <v>16.5876777251185</v>
      </c>
    </row>
    <row r="352" spans="1:15">
      <c r="A352" s="827">
        <v>2010</v>
      </c>
      <c r="B352" s="827" t="s">
        <v>188</v>
      </c>
      <c r="C352" s="827" t="s">
        <v>3661</v>
      </c>
      <c r="D352" s="827">
        <v>-1.49228972870318</v>
      </c>
      <c r="E352" s="827">
        <v>-1.6885297026080599</v>
      </c>
      <c r="F352" s="827">
        <v>0.23297052550824901</v>
      </c>
      <c r="G352" s="827">
        <v>-1.38371059250248</v>
      </c>
      <c r="H352" s="827">
        <v>-1.26806785531447</v>
      </c>
      <c r="I352" s="827">
        <v>-1.86550646671201</v>
      </c>
      <c r="J352" s="827">
        <v>1.4285714285714299</v>
      </c>
      <c r="K352" s="827">
        <v>1.91387559808612</v>
      </c>
      <c r="L352" s="827">
        <v>53.301886792452798</v>
      </c>
      <c r="M352" s="827">
        <v>6.2200956937798999</v>
      </c>
      <c r="N352" s="827">
        <v>8.5308056872037898</v>
      </c>
      <c r="O352" s="827">
        <v>3.3175355450236999</v>
      </c>
    </row>
    <row r="353" spans="1:15">
      <c r="A353" s="827">
        <v>2010</v>
      </c>
      <c r="B353" s="827" t="s">
        <v>191</v>
      </c>
      <c r="C353" s="827" t="s">
        <v>3662</v>
      </c>
      <c r="D353" s="827">
        <v>-0.78038322252136405</v>
      </c>
      <c r="E353" s="827">
        <v>-0.78334044453225504</v>
      </c>
      <c r="F353" s="827">
        <v>0.29793168158468197</v>
      </c>
      <c r="G353" s="827">
        <v>-0.56565717873515597</v>
      </c>
      <c r="H353" s="827">
        <v>-0.51441280146706703</v>
      </c>
      <c r="I353" s="827">
        <v>-0.88767214567942099</v>
      </c>
      <c r="J353" s="827">
        <v>22.8571428571429</v>
      </c>
      <c r="K353" s="827">
        <v>24.401913875598101</v>
      </c>
      <c r="L353" s="827">
        <v>55.660377358490599</v>
      </c>
      <c r="M353" s="827">
        <v>32.535885167464102</v>
      </c>
      <c r="N353" s="827">
        <v>35.545023696682499</v>
      </c>
      <c r="O353" s="827">
        <v>24.644549763033201</v>
      </c>
    </row>
    <row r="354" spans="1:15">
      <c r="A354" s="827">
        <v>2010</v>
      </c>
      <c r="B354" s="827" t="s">
        <v>195</v>
      </c>
      <c r="C354" s="827" t="s">
        <v>3663</v>
      </c>
      <c r="D354" s="827">
        <v>5.9723912887098503E-2</v>
      </c>
      <c r="E354" s="827">
        <v>-3.9284599288337801E-2</v>
      </c>
      <c r="F354" s="827">
        <v>2.3701678540307001E-2</v>
      </c>
      <c r="G354" s="827">
        <v>0.12388794437980399</v>
      </c>
      <c r="H354" s="827">
        <v>-6.3001178170607797E-2</v>
      </c>
      <c r="I354" s="827">
        <v>0.49273590158772701</v>
      </c>
      <c r="J354" s="827">
        <v>60.476190476190503</v>
      </c>
      <c r="K354" s="827">
        <v>54.066985645933002</v>
      </c>
      <c r="L354" s="827">
        <v>47.641509433962298</v>
      </c>
      <c r="M354" s="827">
        <v>54.066985645933002</v>
      </c>
      <c r="N354" s="827">
        <v>54.028436018957301</v>
      </c>
      <c r="O354" s="827">
        <v>62.559241706161103</v>
      </c>
    </row>
    <row r="355" spans="1:15">
      <c r="A355" s="827">
        <v>2010</v>
      </c>
      <c r="B355" s="827" t="s">
        <v>219</v>
      </c>
      <c r="C355" s="827" t="s">
        <v>3664</v>
      </c>
      <c r="D355" s="827">
        <v>-0.48129935133288498</v>
      </c>
      <c r="E355" s="827">
        <v>-0.69874816414761298</v>
      </c>
      <c r="F355" s="827">
        <v>-0.87314139642851796</v>
      </c>
      <c r="G355" s="827">
        <v>-0.13028208712700701</v>
      </c>
      <c r="H355" s="827">
        <v>-0.998815634391925</v>
      </c>
      <c r="I355" s="827">
        <v>-0.33446461090524898</v>
      </c>
      <c r="J355" s="827">
        <v>37.619047619047599</v>
      </c>
      <c r="K355" s="827">
        <v>28.7081339712919</v>
      </c>
      <c r="L355" s="827">
        <v>19.811320754716998</v>
      </c>
      <c r="M355" s="827">
        <v>48.803827751196202</v>
      </c>
      <c r="N355" s="827">
        <v>16.5876777251185</v>
      </c>
      <c r="O355" s="827">
        <v>35.545023696682499</v>
      </c>
    </row>
    <row r="356" spans="1:15">
      <c r="A356" s="827">
        <v>2010</v>
      </c>
      <c r="B356" s="827" t="s">
        <v>3089</v>
      </c>
      <c r="C356" s="827" t="s">
        <v>3665</v>
      </c>
      <c r="D356" s="827">
        <v>-1.1922492001565099</v>
      </c>
      <c r="E356" s="827">
        <v>-1.13092764919197</v>
      </c>
      <c r="F356" s="827">
        <v>-1.68228926294157</v>
      </c>
      <c r="G356" s="827">
        <v>-1.0809142207589799</v>
      </c>
      <c r="H356" s="827">
        <v>-1.4985812874257001</v>
      </c>
      <c r="I356" s="827">
        <v>-0.94665409682159996</v>
      </c>
      <c r="J356" s="827">
        <v>9.0476190476190492</v>
      </c>
      <c r="K356" s="827">
        <v>11.4832535885167</v>
      </c>
      <c r="L356" s="827">
        <v>4.7169811320754702</v>
      </c>
      <c r="M356" s="827">
        <v>13.8755980861244</v>
      </c>
      <c r="N356" s="827">
        <v>3.3175355450236999</v>
      </c>
      <c r="O356" s="827">
        <v>21.327014218009499</v>
      </c>
    </row>
    <row r="357" spans="1:15">
      <c r="A357" s="827">
        <v>2010</v>
      </c>
      <c r="B357" s="827" t="s">
        <v>243</v>
      </c>
      <c r="C357" s="827" t="s">
        <v>3666</v>
      </c>
      <c r="D357" s="827">
        <v>-0.74540314848692502</v>
      </c>
      <c r="E357" s="827">
        <v>-0.19747215191721601</v>
      </c>
      <c r="F357" s="827">
        <v>-0.85380073158446201</v>
      </c>
      <c r="G357" s="827">
        <v>-0.39464850642062199</v>
      </c>
      <c r="H357" s="827">
        <v>-0.64029830593063597</v>
      </c>
      <c r="I357" s="827">
        <v>-7.1183291495536302E-2</v>
      </c>
      <c r="J357" s="827">
        <v>25.238095238095202</v>
      </c>
      <c r="K357" s="827">
        <v>47.846889952153099</v>
      </c>
      <c r="L357" s="827">
        <v>20.754716981132098</v>
      </c>
      <c r="M357" s="827">
        <v>37.799043062201001</v>
      </c>
      <c r="N357" s="827">
        <v>31.753554502369699</v>
      </c>
      <c r="O357" s="827">
        <v>47.867298578199097</v>
      </c>
    </row>
    <row r="358" spans="1:15">
      <c r="A358" s="827">
        <v>2010</v>
      </c>
      <c r="B358" s="827" t="s">
        <v>251</v>
      </c>
      <c r="C358" s="827" t="s">
        <v>3667</v>
      </c>
      <c r="D358" s="827">
        <v>-1.3101540300572501</v>
      </c>
      <c r="E358" s="827">
        <v>-1.22080514370563</v>
      </c>
      <c r="F358" s="827">
        <v>-2.2555389510886399</v>
      </c>
      <c r="G358" s="827">
        <v>-1.05017296506253</v>
      </c>
      <c r="H358" s="827">
        <v>-1.6151213967945699</v>
      </c>
      <c r="I358" s="827">
        <v>-1.05609304989007</v>
      </c>
      <c r="J358" s="827">
        <v>4.28571428571429</v>
      </c>
      <c r="K358" s="827">
        <v>9.0909090909090899</v>
      </c>
      <c r="L358" s="827">
        <v>2.35849056603774</v>
      </c>
      <c r="M358" s="827">
        <v>15.789473684210501</v>
      </c>
      <c r="N358" s="827">
        <v>1.8957345971563999</v>
      </c>
      <c r="O358" s="827">
        <v>17.535545023696699</v>
      </c>
    </row>
    <row r="359" spans="1:15">
      <c r="A359" s="827">
        <v>2010</v>
      </c>
      <c r="B359" s="827" t="s">
        <v>280</v>
      </c>
      <c r="C359" s="827" t="s">
        <v>3668</v>
      </c>
      <c r="D359" s="827">
        <v>-0.97534524891083396</v>
      </c>
      <c r="E359" s="827">
        <v>-0.42554743484187901</v>
      </c>
      <c r="F359" s="827">
        <v>0.45235036310351401</v>
      </c>
      <c r="G359" s="827">
        <v>-0.336527196038655</v>
      </c>
      <c r="H359" s="827">
        <v>-0.61261838679652603</v>
      </c>
      <c r="I359" s="827">
        <v>-1.1020684613614</v>
      </c>
      <c r="J359" s="827">
        <v>16.6666666666667</v>
      </c>
      <c r="K359" s="827">
        <v>40.669856459330099</v>
      </c>
      <c r="L359" s="827">
        <v>61.792452830188701</v>
      </c>
      <c r="M359" s="827">
        <v>40.669856459330099</v>
      </c>
      <c r="N359" s="827">
        <v>32.701421800947898</v>
      </c>
      <c r="O359" s="827">
        <v>15.165876777251199</v>
      </c>
    </row>
    <row r="360" spans="1:15">
      <c r="A360" s="827">
        <v>2010</v>
      </c>
      <c r="B360" s="827" t="s">
        <v>285</v>
      </c>
      <c r="C360" s="827" t="s">
        <v>3669</v>
      </c>
      <c r="D360" s="827">
        <v>-1.1090655234363</v>
      </c>
      <c r="E360" s="827">
        <v>-0.63482368678068302</v>
      </c>
      <c r="F360" s="827">
        <v>-1.0331283700851901</v>
      </c>
      <c r="G360" s="827">
        <v>-0.25426987328707201</v>
      </c>
      <c r="H360" s="827">
        <v>-1.28206144922025</v>
      </c>
      <c r="I360" s="827">
        <v>-0.95874429933139405</v>
      </c>
      <c r="J360" s="827">
        <v>11.9047619047619</v>
      </c>
      <c r="K360" s="827">
        <v>31.578947368421101</v>
      </c>
      <c r="L360" s="827">
        <v>15.5660377358491</v>
      </c>
      <c r="M360" s="827">
        <v>43.540669856459303</v>
      </c>
      <c r="N360" s="827">
        <v>8.0568720379146903</v>
      </c>
      <c r="O360" s="827">
        <v>20.3791469194313</v>
      </c>
    </row>
    <row r="361" spans="1:15">
      <c r="A361" s="827">
        <v>2010</v>
      </c>
      <c r="B361" s="827" t="s">
        <v>301</v>
      </c>
      <c r="C361" s="827" t="s">
        <v>3670</v>
      </c>
      <c r="D361" s="827">
        <v>-0.52783845709357602</v>
      </c>
      <c r="E361" s="827">
        <v>-1.26971615130245</v>
      </c>
      <c r="F361" s="827">
        <v>-0.45823244394614299</v>
      </c>
      <c r="G361" s="827">
        <v>-1.05371982904254</v>
      </c>
      <c r="H361" s="827">
        <v>-1.01172434252666</v>
      </c>
      <c r="I361" s="827">
        <v>-0.25923041502880501</v>
      </c>
      <c r="J361" s="827">
        <v>35.238095238095198</v>
      </c>
      <c r="K361" s="827">
        <v>7.6555023923445003</v>
      </c>
      <c r="L361" s="827">
        <v>29.7169811320755</v>
      </c>
      <c r="M361" s="827">
        <v>15.311004784689001</v>
      </c>
      <c r="N361" s="827">
        <v>15.639810426540301</v>
      </c>
      <c r="O361" s="827">
        <v>38.862559241706201</v>
      </c>
    </row>
    <row r="362" spans="1:15">
      <c r="A362" s="827">
        <v>2010</v>
      </c>
      <c r="B362" s="827" t="s">
        <v>316</v>
      </c>
      <c r="C362" s="827" t="s">
        <v>3671</v>
      </c>
      <c r="D362" s="827">
        <v>-0.27423074953917298</v>
      </c>
      <c r="E362" s="827">
        <v>-0.94658297744993203</v>
      </c>
      <c r="F362" s="827">
        <v>-1.0456766205424599</v>
      </c>
      <c r="G362" s="827">
        <v>-0.55728847014559002</v>
      </c>
      <c r="H362" s="827">
        <v>-0.85350516618006</v>
      </c>
      <c r="I362" s="827">
        <v>-0.82966071240465</v>
      </c>
      <c r="J362" s="827">
        <v>49.523809523809497</v>
      </c>
      <c r="K362" s="827">
        <v>17.7033492822966</v>
      </c>
      <c r="L362" s="827">
        <v>15.094339622641501</v>
      </c>
      <c r="M362" s="827">
        <v>33.014354066985597</v>
      </c>
      <c r="N362" s="827">
        <v>22.748815165876799</v>
      </c>
      <c r="O362" s="827">
        <v>26.540284360189599</v>
      </c>
    </row>
    <row r="363" spans="1:15">
      <c r="A363" s="827">
        <v>2010</v>
      </c>
      <c r="B363" s="827" t="s">
        <v>329</v>
      </c>
      <c r="C363" s="827" t="s">
        <v>3672</v>
      </c>
      <c r="D363" s="827">
        <v>-0.65076666130662397</v>
      </c>
      <c r="E363" s="827">
        <v>-0.83993646042701697</v>
      </c>
      <c r="F363" s="827">
        <v>-0.20779757745033001</v>
      </c>
      <c r="G363" s="827">
        <v>-0.479235599865941</v>
      </c>
      <c r="H363" s="827">
        <v>-0.441682604417447</v>
      </c>
      <c r="I363" s="827">
        <v>0.13439042718963601</v>
      </c>
      <c r="J363" s="827">
        <v>30</v>
      </c>
      <c r="K363" s="827">
        <v>22.009569377990399</v>
      </c>
      <c r="L363" s="827">
        <v>37.735849056603797</v>
      </c>
      <c r="M363" s="827">
        <v>34.928229665071797</v>
      </c>
      <c r="N363" s="827">
        <v>40.284360189573498</v>
      </c>
      <c r="O363" s="827">
        <v>54.028436018957301</v>
      </c>
    </row>
    <row r="364" spans="1:15">
      <c r="A364" s="827">
        <v>2010</v>
      </c>
      <c r="B364" s="827" t="s">
        <v>345</v>
      </c>
      <c r="C364" s="827" t="s">
        <v>3673</v>
      </c>
      <c r="D364" s="827">
        <v>-0.67102097918569303</v>
      </c>
      <c r="E364" s="827">
        <v>-0.96292979952077495</v>
      </c>
      <c r="F364" s="827">
        <v>-1.07960399034544</v>
      </c>
      <c r="G364" s="827">
        <v>-0.82039421725702699</v>
      </c>
      <c r="H364" s="827">
        <v>-0.86791959268175201</v>
      </c>
      <c r="I364" s="827">
        <v>-0.95110337990716798</v>
      </c>
      <c r="J364" s="827">
        <v>29.047619047619001</v>
      </c>
      <c r="K364" s="827">
        <v>16.267942583732101</v>
      </c>
      <c r="L364" s="827">
        <v>14.622641509434001</v>
      </c>
      <c r="M364" s="827">
        <v>22.966507177033499</v>
      </c>
      <c r="N364" s="827">
        <v>21.8009478672986</v>
      </c>
      <c r="O364" s="827">
        <v>20.853080568720401</v>
      </c>
    </row>
    <row r="365" spans="1:15">
      <c r="A365" s="827">
        <v>2010</v>
      </c>
      <c r="B365" s="827" t="s">
        <v>385</v>
      </c>
      <c r="C365" s="827" t="s">
        <v>3674</v>
      </c>
      <c r="D365" s="827">
        <v>-0.42918214861182602</v>
      </c>
      <c r="E365" s="827">
        <v>-0.57351784283132501</v>
      </c>
      <c r="F365" s="827">
        <v>0.34378680262892802</v>
      </c>
      <c r="G365" s="827">
        <v>-0.390747852895661</v>
      </c>
      <c r="H365" s="827">
        <v>-0.47120313358243698</v>
      </c>
      <c r="I365" s="827">
        <v>-0.111384166086251</v>
      </c>
      <c r="J365" s="827">
        <v>41.428571428571402</v>
      </c>
      <c r="K365" s="827">
        <v>34.449760765550202</v>
      </c>
      <c r="L365" s="827">
        <v>57.075471698113198</v>
      </c>
      <c r="M365" s="827">
        <v>38.277511961722503</v>
      </c>
      <c r="N365" s="827">
        <v>39.336492890995302</v>
      </c>
      <c r="O365" s="827">
        <v>45.497630331753598</v>
      </c>
    </row>
    <row r="366" spans="1:15">
      <c r="A366" s="827">
        <v>2010</v>
      </c>
      <c r="B366" s="827" t="s">
        <v>394</v>
      </c>
      <c r="C366" s="827" t="s">
        <v>3675</v>
      </c>
      <c r="D366" s="827">
        <v>-0.66761756527553595</v>
      </c>
      <c r="E366" s="827">
        <v>-0.66564869018927197</v>
      </c>
      <c r="F366" s="827">
        <v>-1.1754146989248599</v>
      </c>
      <c r="G366" s="827">
        <v>-0.51060959829524299</v>
      </c>
      <c r="H366" s="827">
        <v>-0.52057996141826102</v>
      </c>
      <c r="I366" s="827">
        <v>-0.66823919544980104</v>
      </c>
      <c r="J366" s="827">
        <v>29.523809523809501</v>
      </c>
      <c r="K366" s="827">
        <v>29.186602870813399</v>
      </c>
      <c r="L366" s="827">
        <v>12.735849056603801</v>
      </c>
      <c r="M366" s="827">
        <v>34.449760765550202</v>
      </c>
      <c r="N366" s="827">
        <v>35.071090047393398</v>
      </c>
      <c r="O366" s="827">
        <v>29.3838862559242</v>
      </c>
    </row>
    <row r="367" spans="1:15">
      <c r="A367" s="827">
        <v>2010</v>
      </c>
      <c r="B367" s="827" t="s">
        <v>413</v>
      </c>
      <c r="C367" s="827" t="s">
        <v>3676</v>
      </c>
      <c r="D367" s="827">
        <v>-0.99732661038004999</v>
      </c>
      <c r="E367" s="827">
        <v>-1.1511203008915001</v>
      </c>
      <c r="F367" s="827">
        <v>-2.1936058653616999</v>
      </c>
      <c r="G367" s="827">
        <v>-0.71374610128231797</v>
      </c>
      <c r="H367" s="827">
        <v>-1.17335263599405</v>
      </c>
      <c r="I367" s="827">
        <v>-0.80221772774641098</v>
      </c>
      <c r="J367" s="827">
        <v>15.2380952380952</v>
      </c>
      <c r="K367" s="827">
        <v>10.526315789473699</v>
      </c>
      <c r="L367" s="827">
        <v>3.3018867924528301</v>
      </c>
      <c r="M367" s="827">
        <v>26.315789473684202</v>
      </c>
      <c r="N367" s="827">
        <v>12.3222748815166</v>
      </c>
      <c r="O367" s="827">
        <v>27.0142180094787</v>
      </c>
    </row>
    <row r="368" spans="1:15">
      <c r="A368" s="827">
        <v>2010</v>
      </c>
      <c r="B368" s="827" t="s">
        <v>449</v>
      </c>
      <c r="C368" s="827" t="s">
        <v>3677</v>
      </c>
      <c r="D368" s="827">
        <v>-0.25042827669247397</v>
      </c>
      <c r="E368" s="827">
        <v>-0.203136729362278</v>
      </c>
      <c r="F368" s="827">
        <v>-0.97688567284337502</v>
      </c>
      <c r="G368" s="827">
        <v>0.460708707951485</v>
      </c>
      <c r="H368" s="827">
        <v>-0.60021654559489401</v>
      </c>
      <c r="I368" s="827">
        <v>6.6403653760441994E-2</v>
      </c>
      <c r="J368" s="827">
        <v>50</v>
      </c>
      <c r="K368" s="827">
        <v>47.368421052631597</v>
      </c>
      <c r="L368" s="827">
        <v>16.981132075471699</v>
      </c>
      <c r="M368" s="827">
        <v>67.9425837320574</v>
      </c>
      <c r="N368" s="827">
        <v>33.175355450236999</v>
      </c>
      <c r="O368" s="827">
        <v>51.658767772511901</v>
      </c>
    </row>
    <row r="369" spans="1:15">
      <c r="A369" s="827">
        <v>2010</v>
      </c>
      <c r="B369" s="827" t="s">
        <v>488</v>
      </c>
      <c r="C369" s="827" t="s">
        <v>3678</v>
      </c>
      <c r="D369" s="827">
        <v>-0.77319034381493701</v>
      </c>
      <c r="E369" s="827">
        <v>-1.2099461631278601</v>
      </c>
      <c r="F369" s="827">
        <v>-0.24059077761397499</v>
      </c>
      <c r="G369" s="827">
        <v>-0.72483633482770204</v>
      </c>
      <c r="H369" s="827">
        <v>-0.95582227890496196</v>
      </c>
      <c r="I369" s="827">
        <v>-0.18426051083702899</v>
      </c>
      <c r="J369" s="827">
        <v>24.285714285714299</v>
      </c>
      <c r="K369" s="827">
        <v>10.047846889952201</v>
      </c>
      <c r="L369" s="827">
        <v>36.320754716981099</v>
      </c>
      <c r="M369" s="827">
        <v>25.8373205741627</v>
      </c>
      <c r="N369" s="827">
        <v>18.0094786729858</v>
      </c>
      <c r="O369" s="827">
        <v>41.706161137440802</v>
      </c>
    </row>
    <row r="370" spans="1:15">
      <c r="A370" s="827">
        <v>2010</v>
      </c>
      <c r="B370" s="827" t="s">
        <v>499</v>
      </c>
      <c r="C370" s="827" t="s">
        <v>3679</v>
      </c>
      <c r="D370" s="827">
        <v>-0.53900717651020602</v>
      </c>
      <c r="E370" s="827">
        <v>-0.57781563906899402</v>
      </c>
      <c r="F370" s="827">
        <v>-2.1697929680339199E-2</v>
      </c>
      <c r="G370" s="827">
        <v>-0.40900807079562401</v>
      </c>
      <c r="H370" s="827">
        <v>-0.48976281576239999</v>
      </c>
      <c r="I370" s="827">
        <v>-0.13151836042925999</v>
      </c>
      <c r="J370" s="827">
        <v>34.761904761904802</v>
      </c>
      <c r="K370" s="827">
        <v>33.492822966507198</v>
      </c>
      <c r="L370" s="827">
        <v>46.2264150943396</v>
      </c>
      <c r="M370" s="827">
        <v>36.842105263157897</v>
      </c>
      <c r="N370" s="827">
        <v>38.3886255924171</v>
      </c>
      <c r="O370" s="827">
        <v>43.6018957345972</v>
      </c>
    </row>
    <row r="371" spans="1:15">
      <c r="A371" s="827">
        <v>2010</v>
      </c>
      <c r="B371" s="827" t="s">
        <v>517</v>
      </c>
      <c r="C371" s="827" t="s">
        <v>3680</v>
      </c>
      <c r="D371" s="827">
        <v>-0.96451530468247704</v>
      </c>
      <c r="E371" s="827">
        <v>-1.3844715678442701</v>
      </c>
      <c r="F371" s="827">
        <v>-0.20278963276866399</v>
      </c>
      <c r="G371" s="827">
        <v>-0.874241676894012</v>
      </c>
      <c r="H371" s="827">
        <v>-0.91347992229323005</v>
      </c>
      <c r="I371" s="827">
        <v>-0.99907283724429796</v>
      </c>
      <c r="J371" s="827">
        <v>18.095238095238098</v>
      </c>
      <c r="K371" s="827">
        <v>5.7416267942583703</v>
      </c>
      <c r="L371" s="827">
        <v>38.207547169811299</v>
      </c>
      <c r="M371" s="827">
        <v>21.052631578947398</v>
      </c>
      <c r="N371" s="827">
        <v>19.905213270142202</v>
      </c>
      <c r="O371" s="827">
        <v>18.957345971563999</v>
      </c>
    </row>
    <row r="372" spans="1:15">
      <c r="A372" s="827">
        <v>2010</v>
      </c>
      <c r="B372" s="827" t="s">
        <v>3090</v>
      </c>
      <c r="C372" s="827" t="s">
        <v>3681</v>
      </c>
      <c r="D372" s="827">
        <v>-0.96848582831864505</v>
      </c>
      <c r="E372" s="827">
        <v>-1.213397194825</v>
      </c>
      <c r="F372" s="827">
        <v>-0.48951359365101299</v>
      </c>
      <c r="G372" s="827">
        <v>-1.1012089761575901</v>
      </c>
      <c r="H372" s="827">
        <v>-1.2159220390082299</v>
      </c>
      <c r="I372" s="827">
        <v>2.4915623763594699E-2</v>
      </c>
      <c r="J372" s="827">
        <v>17.619047619047599</v>
      </c>
      <c r="K372" s="827">
        <v>9.5693779904306204</v>
      </c>
      <c r="L372" s="827">
        <v>28.7735849056604</v>
      </c>
      <c r="M372" s="827">
        <v>13.3971291866029</v>
      </c>
      <c r="N372" s="827">
        <v>9.9526066350710902</v>
      </c>
      <c r="O372" s="827">
        <v>49.289099526066401</v>
      </c>
    </row>
    <row r="373" spans="1:15">
      <c r="A373" s="827">
        <v>2010</v>
      </c>
      <c r="B373" s="827" t="s">
        <v>3091</v>
      </c>
      <c r="C373" s="827" t="s">
        <v>3682</v>
      </c>
      <c r="D373" s="827">
        <v>-0.363742736617854</v>
      </c>
      <c r="E373" s="827">
        <v>0.26523167742604697</v>
      </c>
      <c r="F373" s="827">
        <v>-3.5081011066865203E-2</v>
      </c>
      <c r="G373" s="827">
        <v>0.498090035050057</v>
      </c>
      <c r="H373" s="827">
        <v>-0.22011637154925101</v>
      </c>
      <c r="I373" s="827">
        <v>0.48472723571322202</v>
      </c>
      <c r="J373" s="827">
        <v>45.238095238095198</v>
      </c>
      <c r="K373" s="827">
        <v>63.636363636363598</v>
      </c>
      <c r="L373" s="827">
        <v>44.811320754717002</v>
      </c>
      <c r="M373" s="827">
        <v>68.421052631578902</v>
      </c>
      <c r="N373" s="827">
        <v>47.867298578199097</v>
      </c>
      <c r="O373" s="827">
        <v>62.085308056872002</v>
      </c>
    </row>
    <row r="374" spans="1:15">
      <c r="A374" s="827">
        <v>2010</v>
      </c>
      <c r="B374" s="827" t="s">
        <v>3092</v>
      </c>
      <c r="C374" s="827" t="s">
        <v>3683</v>
      </c>
      <c r="D374" s="827">
        <v>-1.15999082665294</v>
      </c>
      <c r="E374" s="827">
        <v>-1.02191275794591</v>
      </c>
      <c r="F374" s="827">
        <v>-2.42114999378206</v>
      </c>
      <c r="G374" s="827">
        <v>-0.59571068408928596</v>
      </c>
      <c r="H374" s="827">
        <v>-1.06535712267391</v>
      </c>
      <c r="I374" s="827">
        <v>-1.34238311405885</v>
      </c>
      <c r="J374" s="827">
        <v>10</v>
      </c>
      <c r="K374" s="827">
        <v>14.3540669856459</v>
      </c>
      <c r="L374" s="827">
        <v>1.88679245283019</v>
      </c>
      <c r="M374" s="827">
        <v>30.143540669856499</v>
      </c>
      <c r="N374" s="827">
        <v>13.270142180094799</v>
      </c>
      <c r="O374" s="827">
        <v>10.9004739336493</v>
      </c>
    </row>
    <row r="375" spans="1:15">
      <c r="A375" s="827">
        <v>2010</v>
      </c>
      <c r="B375" s="827" t="s">
        <v>541</v>
      </c>
      <c r="C375" s="827" t="s">
        <v>3684</v>
      </c>
      <c r="D375" s="827">
        <v>-0.56542897489310295</v>
      </c>
      <c r="E375" s="827">
        <v>-0.83001481515334596</v>
      </c>
      <c r="F375" s="827">
        <v>0.46161488492609998</v>
      </c>
      <c r="G375" s="827">
        <v>-0.478631304027406</v>
      </c>
      <c r="H375" s="827">
        <v>-0.497806065550844</v>
      </c>
      <c r="I375" s="827">
        <v>-0.25570042695842599</v>
      </c>
      <c r="J375" s="827">
        <v>32.857142857142897</v>
      </c>
      <c r="K375" s="827">
        <v>22.488038277512</v>
      </c>
      <c r="L375" s="827">
        <v>62.264150943396203</v>
      </c>
      <c r="M375" s="827">
        <v>35.406698564593299</v>
      </c>
      <c r="N375" s="827">
        <v>37.440758293838897</v>
      </c>
      <c r="O375" s="827">
        <v>39.336492890995302</v>
      </c>
    </row>
    <row r="376" spans="1:15">
      <c r="A376" s="827">
        <v>2010</v>
      </c>
      <c r="B376" s="827" t="s">
        <v>364</v>
      </c>
      <c r="C376" s="827" t="s">
        <v>3685</v>
      </c>
      <c r="D376" s="827">
        <v>-0.73017292546653501</v>
      </c>
      <c r="E376" s="827">
        <v>-0.57232558761858399</v>
      </c>
      <c r="F376" s="827">
        <v>0.590470204518041</v>
      </c>
      <c r="G376" s="827">
        <v>-0.22521774246305401</v>
      </c>
      <c r="H376" s="827">
        <v>-0.38612057064243099</v>
      </c>
      <c r="I376" s="827">
        <v>4.4599470651139603E-2</v>
      </c>
      <c r="J376" s="827">
        <v>26.6666666666667</v>
      </c>
      <c r="K376" s="827">
        <v>34.928229665071797</v>
      </c>
      <c r="L376" s="827">
        <v>67.452830188679201</v>
      </c>
      <c r="M376" s="827">
        <v>44.019138755980897</v>
      </c>
      <c r="N376" s="827">
        <v>43.127962085308098</v>
      </c>
      <c r="O376" s="827">
        <v>50.236966824644497</v>
      </c>
    </row>
    <row r="377" spans="1:15">
      <c r="A377" s="827">
        <v>2011</v>
      </c>
      <c r="B377" s="827" t="s">
        <v>21</v>
      </c>
      <c r="C377" s="827" t="s">
        <v>3686</v>
      </c>
      <c r="D377" s="827">
        <v>-1.54901259715108</v>
      </c>
      <c r="E377" s="827">
        <v>-1.4576805129002399</v>
      </c>
      <c r="F377" s="827">
        <v>-2.4839237712058702</v>
      </c>
      <c r="G377" s="827">
        <v>-1.5398129724722101</v>
      </c>
      <c r="H377" s="827">
        <v>-1.93459518580929</v>
      </c>
      <c r="I377" s="827">
        <v>-1.41068579570898</v>
      </c>
      <c r="J377" s="827">
        <v>1.4218009478672999</v>
      </c>
      <c r="K377" s="827">
        <v>4.7393364928909998</v>
      </c>
      <c r="L377" s="827">
        <v>1.4150943396226401</v>
      </c>
      <c r="M377" s="827">
        <v>4.2654028436019003</v>
      </c>
      <c r="N377" s="827">
        <v>0.46948356807511699</v>
      </c>
      <c r="O377" s="827">
        <v>9.3896713615023497</v>
      </c>
    </row>
    <row r="378" spans="1:15">
      <c r="A378" s="827">
        <v>2011</v>
      </c>
      <c r="B378" s="827" t="s">
        <v>38</v>
      </c>
      <c r="C378" s="827" t="s">
        <v>3687</v>
      </c>
      <c r="D378" s="827">
        <v>-0.64690618884304496</v>
      </c>
      <c r="E378" s="827">
        <v>-0.20149568880232799</v>
      </c>
      <c r="F378" s="827">
        <v>-0.29043318113751998</v>
      </c>
      <c r="G378" s="827">
        <v>0.23524327870851999</v>
      </c>
      <c r="H378" s="827">
        <v>-0.48532435035474802</v>
      </c>
      <c r="I378" s="827">
        <v>6.5167090365740102E-2</v>
      </c>
      <c r="J378" s="827">
        <v>28.909952606635098</v>
      </c>
      <c r="K378" s="827">
        <v>47.867298578199097</v>
      </c>
      <c r="L378" s="827">
        <v>38.207547169811299</v>
      </c>
      <c r="M378" s="827">
        <v>56.872037914691902</v>
      </c>
      <c r="N378" s="827">
        <v>38.967136150234701</v>
      </c>
      <c r="O378" s="827">
        <v>52.582159624413102</v>
      </c>
    </row>
    <row r="379" spans="1:15">
      <c r="A379" s="827">
        <v>2011</v>
      </c>
      <c r="B379" s="827" t="s">
        <v>53</v>
      </c>
      <c r="C379" s="827" t="s">
        <v>3688</v>
      </c>
      <c r="D379" s="827">
        <v>-1.1177505725186601</v>
      </c>
      <c r="E379" s="827">
        <v>-0.75540487024948</v>
      </c>
      <c r="F379" s="827">
        <v>-0.52623108297866805</v>
      </c>
      <c r="G379" s="827">
        <v>-0.36687326629287698</v>
      </c>
      <c r="H379" s="827">
        <v>-0.86184629309948102</v>
      </c>
      <c r="I379" s="827">
        <v>-1.2659435619088599</v>
      </c>
      <c r="J379" s="827">
        <v>11.848341232227501</v>
      </c>
      <c r="K379" s="827">
        <v>25.118483412322298</v>
      </c>
      <c r="L379" s="827">
        <v>29.245283018867902</v>
      </c>
      <c r="M379" s="827">
        <v>38.3886255924171</v>
      </c>
      <c r="N379" s="827">
        <v>21.126760563380302</v>
      </c>
      <c r="O379" s="827">
        <v>12.2065727699531</v>
      </c>
    </row>
    <row r="380" spans="1:15">
      <c r="A380" s="827">
        <v>2011</v>
      </c>
      <c r="B380" s="827" t="s">
        <v>98</v>
      </c>
      <c r="C380" s="827" t="s">
        <v>3689</v>
      </c>
      <c r="D380" s="827">
        <v>-0.38715664218622903</v>
      </c>
      <c r="E380" s="827">
        <v>-0.54611704938971195</v>
      </c>
      <c r="F380" s="827">
        <v>-0.58153952411309695</v>
      </c>
      <c r="G380" s="827">
        <v>-0.158104704864233</v>
      </c>
      <c r="H380" s="827">
        <v>-0.36814615410380402</v>
      </c>
      <c r="I380" s="827">
        <v>-0.31756973387542697</v>
      </c>
      <c r="J380" s="827">
        <v>42.654028436018997</v>
      </c>
      <c r="K380" s="827">
        <v>36.966824644549803</v>
      </c>
      <c r="L380" s="827">
        <v>28.301886792452802</v>
      </c>
      <c r="M380" s="827">
        <v>47.393364928910003</v>
      </c>
      <c r="N380" s="827">
        <v>44.600938967136202</v>
      </c>
      <c r="O380" s="827">
        <v>38.028169014084497</v>
      </c>
    </row>
    <row r="381" spans="1:15">
      <c r="A381" s="827">
        <v>2011</v>
      </c>
      <c r="B381" s="827" t="s">
        <v>127</v>
      </c>
      <c r="C381" s="827" t="s">
        <v>3690</v>
      </c>
      <c r="D381" s="827">
        <v>-0.84313740341962096</v>
      </c>
      <c r="E381" s="827">
        <v>-1.2780064351252101</v>
      </c>
      <c r="F381" s="827">
        <v>-1.7854063247322101</v>
      </c>
      <c r="G381" s="827">
        <v>-1.1786459296660601</v>
      </c>
      <c r="H381" s="827">
        <v>-1.27209724412449</v>
      </c>
      <c r="I381" s="827">
        <v>-1.10593957209057</v>
      </c>
      <c r="J381" s="827">
        <v>20.3791469194313</v>
      </c>
      <c r="K381" s="827">
        <v>8.0568720379146903</v>
      </c>
      <c r="L381" s="827">
        <v>4.7169811320754702</v>
      </c>
      <c r="M381" s="827">
        <v>10.4265402843602</v>
      </c>
      <c r="N381" s="827">
        <v>7.9812206572770004</v>
      </c>
      <c r="O381" s="827">
        <v>16.431924882629101</v>
      </c>
    </row>
    <row r="382" spans="1:15">
      <c r="A382" s="827">
        <v>2011</v>
      </c>
      <c r="B382" s="827" t="s">
        <v>138</v>
      </c>
      <c r="C382" s="827" t="s">
        <v>3691</v>
      </c>
      <c r="D382" s="827">
        <v>-1.2624685415010499</v>
      </c>
      <c r="E382" s="827">
        <v>-1.3489423700241401</v>
      </c>
      <c r="F382" s="827">
        <v>-1.3134404667769399</v>
      </c>
      <c r="G382" s="827">
        <v>-1.01005915682657</v>
      </c>
      <c r="H382" s="827">
        <v>-1.44967657815865</v>
      </c>
      <c r="I382" s="827">
        <v>-1.34910253217376</v>
      </c>
      <c r="J382" s="827">
        <v>5.68720379146919</v>
      </c>
      <c r="K382" s="827">
        <v>7.5829383886255899</v>
      </c>
      <c r="L382" s="827">
        <v>10.849056603773599</v>
      </c>
      <c r="M382" s="827">
        <v>16.113744075829398</v>
      </c>
      <c r="N382" s="827">
        <v>3.2863849765258202</v>
      </c>
      <c r="O382" s="827">
        <v>10.3286384976526</v>
      </c>
    </row>
    <row r="383" spans="1:15">
      <c r="A383" s="827">
        <v>2011</v>
      </c>
      <c r="B383" s="827" t="s">
        <v>171</v>
      </c>
      <c r="C383" s="827" t="s">
        <v>3692</v>
      </c>
      <c r="D383" s="827">
        <v>-1.3957785017656701</v>
      </c>
      <c r="E383" s="827">
        <v>-1.67344961349851</v>
      </c>
      <c r="F383" s="827">
        <v>-2.23568898135012</v>
      </c>
      <c r="G383" s="827">
        <v>-1.5198330218751099</v>
      </c>
      <c r="H383" s="827">
        <v>-1.6061542582647901</v>
      </c>
      <c r="I383" s="827">
        <v>-1.5257921010692801</v>
      </c>
      <c r="J383" s="827">
        <v>2.8436018957345999</v>
      </c>
      <c r="K383" s="827">
        <v>1.8957345971563999</v>
      </c>
      <c r="L383" s="827">
        <v>2.35849056603774</v>
      </c>
      <c r="M383" s="827">
        <v>5.2132701421800904</v>
      </c>
      <c r="N383" s="827">
        <v>1.8779342723004699</v>
      </c>
      <c r="O383" s="827">
        <v>7.0422535211267601</v>
      </c>
    </row>
    <row r="384" spans="1:15">
      <c r="A384" s="827">
        <v>2011</v>
      </c>
      <c r="B384" s="827" t="s">
        <v>465</v>
      </c>
      <c r="C384" s="827" t="s">
        <v>3693</v>
      </c>
      <c r="D384" s="827">
        <v>-1.0777492176586001</v>
      </c>
      <c r="E384" s="827">
        <v>-1.1967315038065001</v>
      </c>
      <c r="F384" s="827">
        <v>-0.36229556506272098</v>
      </c>
      <c r="G384" s="827">
        <v>-1.25942308549802</v>
      </c>
      <c r="H384" s="827">
        <v>-1.1615820726064601</v>
      </c>
      <c r="I384" s="827">
        <v>-1.1115959611163999</v>
      </c>
      <c r="J384" s="827">
        <v>13.270142180094799</v>
      </c>
      <c r="K384" s="827">
        <v>9.0047393364928894</v>
      </c>
      <c r="L384" s="827">
        <v>34.905660377358501</v>
      </c>
      <c r="M384" s="827">
        <v>9.0047393364928894</v>
      </c>
      <c r="N384" s="827">
        <v>13.1455399061033</v>
      </c>
      <c r="O384" s="827">
        <v>15.962441314554001</v>
      </c>
    </row>
    <row r="385" spans="1:15">
      <c r="A385" s="827">
        <v>2011</v>
      </c>
      <c r="B385" s="827" t="s">
        <v>101</v>
      </c>
      <c r="C385" s="827" t="s">
        <v>3694</v>
      </c>
      <c r="D385" s="827">
        <v>-1.0381540956325599</v>
      </c>
      <c r="E385" s="827">
        <v>-0.87489524530902296</v>
      </c>
      <c r="F385" s="827">
        <v>-0.66230852929665596</v>
      </c>
      <c r="G385" s="827">
        <v>-0.78985038430656396</v>
      </c>
      <c r="H385" s="827">
        <v>-1.0435518795176899</v>
      </c>
      <c r="I385" s="827">
        <v>-1.04895192292356</v>
      </c>
      <c r="J385" s="827">
        <v>16.113744075829398</v>
      </c>
      <c r="K385" s="827">
        <v>18.957345971563999</v>
      </c>
      <c r="L385" s="827">
        <v>26.415094339622598</v>
      </c>
      <c r="M385" s="827">
        <v>23.2227488151659</v>
      </c>
      <c r="N385" s="827">
        <v>15.0234741784038</v>
      </c>
      <c r="O385" s="827">
        <v>17.370892018779301</v>
      </c>
    </row>
    <row r="386" spans="1:15">
      <c r="A386" s="827">
        <v>2011</v>
      </c>
      <c r="B386" s="827" t="s">
        <v>188</v>
      </c>
      <c r="C386" s="827" t="s">
        <v>3695</v>
      </c>
      <c r="D386" s="827">
        <v>-1.48774142280346</v>
      </c>
      <c r="E386" s="827">
        <v>-1.6347692860494001</v>
      </c>
      <c r="F386" s="827">
        <v>0.117733655531942</v>
      </c>
      <c r="G386" s="827">
        <v>-1.3358448300442001</v>
      </c>
      <c r="H386" s="827">
        <v>-1.20103240227365</v>
      </c>
      <c r="I386" s="827">
        <v>-1.9003846648634</v>
      </c>
      <c r="J386" s="827">
        <v>1.8957345971563999</v>
      </c>
      <c r="K386" s="827">
        <v>2.8436018957345999</v>
      </c>
      <c r="L386" s="827">
        <v>50.471698113207502</v>
      </c>
      <c r="M386" s="827">
        <v>7.5829383886255899</v>
      </c>
      <c r="N386" s="827">
        <v>12.2065727699531</v>
      </c>
      <c r="O386" s="827">
        <v>2.3474178403755901</v>
      </c>
    </row>
    <row r="387" spans="1:15">
      <c r="A387" s="827">
        <v>2011</v>
      </c>
      <c r="B387" s="827" t="s">
        <v>191</v>
      </c>
      <c r="C387" s="827" t="s">
        <v>3696</v>
      </c>
      <c r="D387" s="827">
        <v>-0.78572325481971605</v>
      </c>
      <c r="E387" s="827">
        <v>-0.80405707105858004</v>
      </c>
      <c r="F387" s="827">
        <v>0.38595316843175298</v>
      </c>
      <c r="G387" s="827">
        <v>-0.55906905226919101</v>
      </c>
      <c r="H387" s="827">
        <v>-0.448963735019695</v>
      </c>
      <c r="I387" s="827">
        <v>-0.91508524831687699</v>
      </c>
      <c r="J387" s="827">
        <v>22.748815165876799</v>
      </c>
      <c r="K387" s="827">
        <v>22.274881516587701</v>
      </c>
      <c r="L387" s="827">
        <v>60.849056603773597</v>
      </c>
      <c r="M387" s="827">
        <v>32.227488151658797</v>
      </c>
      <c r="N387" s="827">
        <v>40.845070422535201</v>
      </c>
      <c r="O387" s="827">
        <v>23.943661971830998</v>
      </c>
    </row>
    <row r="388" spans="1:15">
      <c r="A388" s="827">
        <v>2011</v>
      </c>
      <c r="B388" s="827" t="s">
        <v>195</v>
      </c>
      <c r="C388" s="827" t="s">
        <v>3697</v>
      </c>
      <c r="D388" s="827">
        <v>5.1506769050044601E-2</v>
      </c>
      <c r="E388" s="827">
        <v>-5.30835220297124E-2</v>
      </c>
      <c r="F388" s="827">
        <v>0.15929445803695699</v>
      </c>
      <c r="G388" s="827">
        <v>0.13121087605596901</v>
      </c>
      <c r="H388" s="827">
        <v>-3.9055273472441601E-2</v>
      </c>
      <c r="I388" s="827">
        <v>0.47086549338413702</v>
      </c>
      <c r="J388" s="827">
        <v>59.241706161137401</v>
      </c>
      <c r="K388" s="827">
        <v>53.554502369668199</v>
      </c>
      <c r="L388" s="827">
        <v>52.830188679245303</v>
      </c>
      <c r="M388" s="827">
        <v>55.450236966824598</v>
      </c>
      <c r="N388" s="827">
        <v>53.990610328638503</v>
      </c>
      <c r="O388" s="827">
        <v>62.441314553990601</v>
      </c>
    </row>
    <row r="389" spans="1:15">
      <c r="A389" s="827">
        <v>2011</v>
      </c>
      <c r="B389" s="827" t="s">
        <v>219</v>
      </c>
      <c r="C389" s="827" t="s">
        <v>3698</v>
      </c>
      <c r="D389" s="827">
        <v>-0.46966100737468802</v>
      </c>
      <c r="E389" s="827">
        <v>-0.69949021593927097</v>
      </c>
      <c r="F389" s="827">
        <v>-0.76425001276209303</v>
      </c>
      <c r="G389" s="827">
        <v>-0.11199757468508301</v>
      </c>
      <c r="H389" s="827">
        <v>-1.05807570025929</v>
      </c>
      <c r="I389" s="827">
        <v>-0.34866950292311899</v>
      </c>
      <c r="J389" s="827">
        <v>38.862559241706201</v>
      </c>
      <c r="K389" s="827">
        <v>27.962085308056899</v>
      </c>
      <c r="L389" s="827">
        <v>21.698113207547198</v>
      </c>
      <c r="M389" s="827">
        <v>49.763033175355503</v>
      </c>
      <c r="N389" s="827">
        <v>14.553990610328601</v>
      </c>
      <c r="O389" s="827">
        <v>36.619718309859202</v>
      </c>
    </row>
    <row r="390" spans="1:15">
      <c r="A390" s="827">
        <v>2011</v>
      </c>
      <c r="B390" s="827" t="s">
        <v>3089</v>
      </c>
      <c r="C390" s="827" t="s">
        <v>3699</v>
      </c>
      <c r="D390" s="827">
        <v>-1.1654397101820499</v>
      </c>
      <c r="E390" s="827">
        <v>-1.1381946671673699</v>
      </c>
      <c r="F390" s="827">
        <v>-1.3906600652963399</v>
      </c>
      <c r="G390" s="827">
        <v>-1.0020478469227601</v>
      </c>
      <c r="H390" s="827">
        <v>-1.48059779163043</v>
      </c>
      <c r="I390" s="827">
        <v>-0.96892483608290403</v>
      </c>
      <c r="J390" s="827">
        <v>9.0047393364928894</v>
      </c>
      <c r="K390" s="827">
        <v>11.374407582938399</v>
      </c>
      <c r="L390" s="827">
        <v>9.4339622641509404</v>
      </c>
      <c r="M390" s="827">
        <v>16.5876777251185</v>
      </c>
      <c r="N390" s="827">
        <v>2.8169014084507</v>
      </c>
      <c r="O390" s="827">
        <v>19.7183098591549</v>
      </c>
    </row>
    <row r="391" spans="1:15">
      <c r="A391" s="827">
        <v>2011</v>
      </c>
      <c r="B391" s="827" t="s">
        <v>243</v>
      </c>
      <c r="C391" s="827" t="s">
        <v>3700</v>
      </c>
      <c r="D391" s="827">
        <v>-0.67947156187538604</v>
      </c>
      <c r="E391" s="827">
        <v>-0.24884587309561801</v>
      </c>
      <c r="F391" s="827">
        <v>-0.76291902872726403</v>
      </c>
      <c r="G391" s="827">
        <v>-0.330592347662021</v>
      </c>
      <c r="H391" s="827">
        <v>-0.607747902578888</v>
      </c>
      <c r="I391" s="827">
        <v>-4.8407412125047199E-2</v>
      </c>
      <c r="J391" s="827">
        <v>26.540284360189599</v>
      </c>
      <c r="K391" s="827">
        <v>46.445497630331801</v>
      </c>
      <c r="L391" s="827">
        <v>22.1698113207547</v>
      </c>
      <c r="M391" s="827">
        <v>40.758293838862599</v>
      </c>
      <c r="N391" s="827">
        <v>31.924882629108001</v>
      </c>
      <c r="O391" s="827">
        <v>47.417840375586898</v>
      </c>
    </row>
    <row r="392" spans="1:15">
      <c r="A392" s="827">
        <v>2011</v>
      </c>
      <c r="B392" s="827" t="s">
        <v>251</v>
      </c>
      <c r="C392" s="827" t="s">
        <v>3701</v>
      </c>
      <c r="D392" s="827">
        <v>-1.2066321616253699</v>
      </c>
      <c r="E392" s="827">
        <v>-1.1508256264483501</v>
      </c>
      <c r="F392" s="827">
        <v>-1.8422029306640999</v>
      </c>
      <c r="G392" s="827">
        <v>-1.09298881572478</v>
      </c>
      <c r="H392" s="827">
        <v>-1.51437424564644</v>
      </c>
      <c r="I392" s="827">
        <v>-1.14941272584278</v>
      </c>
      <c r="J392" s="827">
        <v>7.5829383886255899</v>
      </c>
      <c r="K392" s="827">
        <v>10.4265402843602</v>
      </c>
      <c r="L392" s="827">
        <v>4.2452830188679203</v>
      </c>
      <c r="M392" s="827">
        <v>13.270142180094799</v>
      </c>
      <c r="N392" s="827">
        <v>2.3474178403755901</v>
      </c>
      <c r="O392" s="827">
        <v>14.084507042253501</v>
      </c>
    </row>
    <row r="393" spans="1:15">
      <c r="A393" s="827">
        <v>2011</v>
      </c>
      <c r="B393" s="827" t="s">
        <v>280</v>
      </c>
      <c r="C393" s="827" t="s">
        <v>3702</v>
      </c>
      <c r="D393" s="827">
        <v>-0.97820473728264901</v>
      </c>
      <c r="E393" s="827">
        <v>-0.42630117376099602</v>
      </c>
      <c r="F393" s="827">
        <v>-0.32042900556192899</v>
      </c>
      <c r="G393" s="827">
        <v>-0.25995175471842702</v>
      </c>
      <c r="H393" s="827">
        <v>-0.591489216212574</v>
      </c>
      <c r="I393" s="827">
        <v>-1.0947582948953301</v>
      </c>
      <c r="J393" s="827">
        <v>17.535545023696699</v>
      </c>
      <c r="K393" s="827">
        <v>42.180094786729903</v>
      </c>
      <c r="L393" s="827">
        <v>36.320754716981099</v>
      </c>
      <c r="M393" s="827">
        <v>43.127962085308098</v>
      </c>
      <c r="N393" s="827">
        <v>32.394366197183103</v>
      </c>
      <c r="O393" s="827">
        <v>16.901408450704199</v>
      </c>
    </row>
    <row r="394" spans="1:15">
      <c r="A394" s="827">
        <v>2011</v>
      </c>
      <c r="B394" s="827" t="s">
        <v>285</v>
      </c>
      <c r="C394" s="827" t="s">
        <v>3703</v>
      </c>
      <c r="D394" s="827">
        <v>-1.1536330480467301</v>
      </c>
      <c r="E394" s="827">
        <v>-0.62813373017797802</v>
      </c>
      <c r="F394" s="827">
        <v>-1.0763722910942799</v>
      </c>
      <c r="G394" s="827">
        <v>-0.215674009622323</v>
      </c>
      <c r="H394" s="827">
        <v>-1.23352744083039</v>
      </c>
      <c r="I394" s="827">
        <v>-0.733062043201957</v>
      </c>
      <c r="J394" s="827">
        <v>9.9526066350710902</v>
      </c>
      <c r="K394" s="827">
        <v>29.857819905213301</v>
      </c>
      <c r="L394" s="827">
        <v>16.037735849056599</v>
      </c>
      <c r="M394" s="827">
        <v>43.6018957345972</v>
      </c>
      <c r="N394" s="827">
        <v>9.3896713615023497</v>
      </c>
      <c r="O394" s="827">
        <v>27.699530516431899</v>
      </c>
    </row>
    <row r="395" spans="1:15">
      <c r="A395" s="827">
        <v>2011</v>
      </c>
      <c r="B395" s="827" t="s">
        <v>301</v>
      </c>
      <c r="C395" s="827" t="s">
        <v>3704</v>
      </c>
      <c r="D395" s="827">
        <v>-0.60890822259611399</v>
      </c>
      <c r="E395" s="827">
        <v>-1.24471848937616</v>
      </c>
      <c r="F395" s="827">
        <v>-0.42485539628227698</v>
      </c>
      <c r="G395" s="827">
        <v>-1.0947736633522001</v>
      </c>
      <c r="H395" s="827">
        <v>-0.96279196307484705</v>
      </c>
      <c r="I395" s="827">
        <v>-0.31685403331256001</v>
      </c>
      <c r="J395" s="827">
        <v>31.279620853080601</v>
      </c>
      <c r="K395" s="827">
        <v>8.5308056872037898</v>
      </c>
      <c r="L395" s="827">
        <v>33.018867924528301</v>
      </c>
      <c r="M395" s="827">
        <v>12.7962085308057</v>
      </c>
      <c r="N395" s="827">
        <v>16.901408450704199</v>
      </c>
      <c r="O395" s="827">
        <v>38.497652582159603</v>
      </c>
    </row>
    <row r="396" spans="1:15">
      <c r="A396" s="827">
        <v>2011</v>
      </c>
      <c r="B396" s="827" t="s">
        <v>316</v>
      </c>
      <c r="C396" s="827" t="s">
        <v>3705</v>
      </c>
      <c r="D396" s="827">
        <v>-0.35861885356144402</v>
      </c>
      <c r="E396" s="827">
        <v>-1.0081230410484601</v>
      </c>
      <c r="F396" s="827">
        <v>-0.75758673171867297</v>
      </c>
      <c r="G396" s="827">
        <v>-0.51927994058632299</v>
      </c>
      <c r="H396" s="827">
        <v>-0.8495783887392</v>
      </c>
      <c r="I396" s="827">
        <v>-0.83520059982190498</v>
      </c>
      <c r="J396" s="827">
        <v>45.971563981042699</v>
      </c>
      <c r="K396" s="827">
        <v>15.165876777251199</v>
      </c>
      <c r="L396" s="827">
        <v>22.641509433962302</v>
      </c>
      <c r="M396" s="827">
        <v>34.123222748815202</v>
      </c>
      <c r="N396" s="827">
        <v>22.065727699530498</v>
      </c>
      <c r="O396" s="827">
        <v>25.821596244131499</v>
      </c>
    </row>
    <row r="397" spans="1:15">
      <c r="A397" s="827">
        <v>2011</v>
      </c>
      <c r="B397" s="827" t="s">
        <v>329</v>
      </c>
      <c r="C397" s="827" t="s">
        <v>3706</v>
      </c>
      <c r="D397" s="827">
        <v>-0.55176089448371601</v>
      </c>
      <c r="E397" s="827">
        <v>-0.78936097727087995</v>
      </c>
      <c r="F397" s="827">
        <v>-0.679071283298046</v>
      </c>
      <c r="G397" s="827">
        <v>-0.38253966216507201</v>
      </c>
      <c r="H397" s="827">
        <v>-0.49528394769009498</v>
      </c>
      <c r="I397" s="827">
        <v>0.14714594906619799</v>
      </c>
      <c r="J397" s="827">
        <v>35.545023696682499</v>
      </c>
      <c r="K397" s="827">
        <v>23.2227488151659</v>
      </c>
      <c r="L397" s="827">
        <v>25.471698113207498</v>
      </c>
      <c r="M397" s="827">
        <v>37.914691943127998</v>
      </c>
      <c r="N397" s="827">
        <v>38.028169014084497</v>
      </c>
      <c r="O397" s="827">
        <v>54.9295774647887</v>
      </c>
    </row>
    <row r="398" spans="1:15">
      <c r="A398" s="827">
        <v>2011</v>
      </c>
      <c r="B398" s="827" t="s">
        <v>345</v>
      </c>
      <c r="C398" s="827" t="s">
        <v>3707</v>
      </c>
      <c r="D398" s="827">
        <v>-0.44296713290802098</v>
      </c>
      <c r="E398" s="827">
        <v>-0.91574000248267295</v>
      </c>
      <c r="F398" s="827">
        <v>-1.1673427669430601</v>
      </c>
      <c r="G398" s="827">
        <v>-0.77117948396587399</v>
      </c>
      <c r="H398" s="827">
        <v>-0.85026854516592998</v>
      </c>
      <c r="I398" s="827">
        <v>-0.96181670187593804</v>
      </c>
      <c r="J398" s="827">
        <v>39.810426540284404</v>
      </c>
      <c r="K398" s="827">
        <v>17.535545023696699</v>
      </c>
      <c r="L398" s="827">
        <v>13.679245283018901</v>
      </c>
      <c r="M398" s="827">
        <v>23.696682464455002</v>
      </c>
      <c r="N398" s="827">
        <v>21.5962441314554</v>
      </c>
      <c r="O398" s="827">
        <v>20.187793427230002</v>
      </c>
    </row>
    <row r="399" spans="1:15">
      <c r="A399" s="827">
        <v>2011</v>
      </c>
      <c r="B399" s="827" t="s">
        <v>385</v>
      </c>
      <c r="C399" s="827" t="s">
        <v>3708</v>
      </c>
      <c r="D399" s="827">
        <v>-0.49207789524085799</v>
      </c>
      <c r="E399" s="827">
        <v>-0.624712275124643</v>
      </c>
      <c r="F399" s="827">
        <v>0.29734052019608598</v>
      </c>
      <c r="G399" s="827">
        <v>-0.42342402646736998</v>
      </c>
      <c r="H399" s="827">
        <v>-0.57270934837139098</v>
      </c>
      <c r="I399" s="827">
        <v>-0.17324928389538299</v>
      </c>
      <c r="J399" s="827">
        <v>37.440758293838897</v>
      </c>
      <c r="K399" s="827">
        <v>30.8056872037915</v>
      </c>
      <c r="L399" s="827">
        <v>58.018867924528301</v>
      </c>
      <c r="M399" s="827">
        <v>36.0189573459716</v>
      </c>
      <c r="N399" s="827">
        <v>33.802816901408399</v>
      </c>
      <c r="O399" s="827">
        <v>43.1924882629108</v>
      </c>
    </row>
    <row r="400" spans="1:15">
      <c r="A400" s="827">
        <v>2011</v>
      </c>
      <c r="B400" s="827" t="s">
        <v>394</v>
      </c>
      <c r="C400" s="827" t="s">
        <v>3709</v>
      </c>
      <c r="D400" s="827">
        <v>-0.64676699637527801</v>
      </c>
      <c r="E400" s="827">
        <v>-0.623013538093247</v>
      </c>
      <c r="F400" s="827">
        <v>-0.87073551340548005</v>
      </c>
      <c r="G400" s="827">
        <v>-0.52521654966283304</v>
      </c>
      <c r="H400" s="827">
        <v>-0.43280555550635602</v>
      </c>
      <c r="I400" s="827">
        <v>-0.352969275704617</v>
      </c>
      <c r="J400" s="827">
        <v>29.3838862559242</v>
      </c>
      <c r="K400" s="827">
        <v>31.279620853080601</v>
      </c>
      <c r="L400" s="827">
        <v>19.811320754716998</v>
      </c>
      <c r="M400" s="827">
        <v>33.649289099526101</v>
      </c>
      <c r="N400" s="827">
        <v>41.784037558685398</v>
      </c>
      <c r="O400" s="827">
        <v>36.150234741783997</v>
      </c>
    </row>
    <row r="401" spans="1:15">
      <c r="A401" s="827">
        <v>2011</v>
      </c>
      <c r="B401" s="827" t="s">
        <v>413</v>
      </c>
      <c r="C401" s="827" t="s">
        <v>3710</v>
      </c>
      <c r="D401" s="827">
        <v>-1.12338313325942</v>
      </c>
      <c r="E401" s="827">
        <v>-1.08047539707395</v>
      </c>
      <c r="F401" s="827">
        <v>-1.9462524352720001</v>
      </c>
      <c r="G401" s="827">
        <v>-0.66940161273980003</v>
      </c>
      <c r="H401" s="827">
        <v>-1.2143006855357701</v>
      </c>
      <c r="I401" s="827">
        <v>-0.73672391613667498</v>
      </c>
      <c r="J401" s="827">
        <v>10.9004739336493</v>
      </c>
      <c r="K401" s="827">
        <v>13.744075829383901</v>
      </c>
      <c r="L401" s="827">
        <v>3.3018867924528301</v>
      </c>
      <c r="M401" s="827">
        <v>27.488151658767801</v>
      </c>
      <c r="N401" s="827">
        <v>10.7981220657277</v>
      </c>
      <c r="O401" s="827">
        <v>27.230046948356801</v>
      </c>
    </row>
    <row r="402" spans="1:15">
      <c r="A402" s="827">
        <v>2011</v>
      </c>
      <c r="B402" s="827" t="s">
        <v>449</v>
      </c>
      <c r="C402" s="827" t="s">
        <v>3711</v>
      </c>
      <c r="D402" s="827">
        <v>-0.248937037637317</v>
      </c>
      <c r="E402" s="827">
        <v>-0.145710327623474</v>
      </c>
      <c r="F402" s="827">
        <v>-0.738042232413051</v>
      </c>
      <c r="G402" s="827">
        <v>0.476881348098389</v>
      </c>
      <c r="H402" s="827">
        <v>-0.60997288209483103</v>
      </c>
      <c r="I402" s="827">
        <v>9.0719139218499306E-2</v>
      </c>
      <c r="J402" s="827">
        <v>52.132701421800903</v>
      </c>
      <c r="K402" s="827">
        <v>48.341232227488099</v>
      </c>
      <c r="L402" s="827">
        <v>23.1132075471698</v>
      </c>
      <c r="M402" s="827">
        <v>67.298578199052102</v>
      </c>
      <c r="N402" s="827">
        <v>31.4553990610329</v>
      </c>
      <c r="O402" s="827">
        <v>53.521126760563398</v>
      </c>
    </row>
    <row r="403" spans="1:15">
      <c r="A403" s="827">
        <v>2011</v>
      </c>
      <c r="B403" s="827" t="s">
        <v>488</v>
      </c>
      <c r="C403" s="827" t="s">
        <v>3712</v>
      </c>
      <c r="D403" s="827">
        <v>-0.81445926646891498</v>
      </c>
      <c r="E403" s="827">
        <v>-1.18918654562767</v>
      </c>
      <c r="F403" s="827">
        <v>-0.17063506320649199</v>
      </c>
      <c r="G403" s="827">
        <v>-0.70221252140498902</v>
      </c>
      <c r="H403" s="827">
        <v>-0.87343727687082495</v>
      </c>
      <c r="I403" s="827">
        <v>-0.24013659840957499</v>
      </c>
      <c r="J403" s="827">
        <v>20.853080568720401</v>
      </c>
      <c r="K403" s="827">
        <v>9.4786729857819907</v>
      </c>
      <c r="L403" s="827">
        <v>40.5660377358491</v>
      </c>
      <c r="M403" s="827">
        <v>26.540284360189599</v>
      </c>
      <c r="N403" s="827">
        <v>20.6572769953052</v>
      </c>
      <c r="O403" s="827">
        <v>40.375586854460103</v>
      </c>
    </row>
    <row r="404" spans="1:15">
      <c r="A404" s="827">
        <v>2011</v>
      </c>
      <c r="B404" s="827" t="s">
        <v>499</v>
      </c>
      <c r="C404" s="827" t="s">
        <v>3713</v>
      </c>
      <c r="D404" s="827">
        <v>-0.675948611776366</v>
      </c>
      <c r="E404" s="827">
        <v>-0.62902810457442004</v>
      </c>
      <c r="F404" s="827">
        <v>-4.4534858090529698E-2</v>
      </c>
      <c r="G404" s="827">
        <v>-0.40353636246337099</v>
      </c>
      <c r="H404" s="827">
        <v>-0.55441190458147505</v>
      </c>
      <c r="I404" s="827">
        <v>-0.171205232800549</v>
      </c>
      <c r="J404" s="827">
        <v>27.0142180094787</v>
      </c>
      <c r="K404" s="827">
        <v>29.3838862559242</v>
      </c>
      <c r="L404" s="827">
        <v>46.2264150943396</v>
      </c>
      <c r="M404" s="827">
        <v>36.966824644549803</v>
      </c>
      <c r="N404" s="827">
        <v>35.2112676056338</v>
      </c>
      <c r="O404" s="827">
        <v>44.131455399060997</v>
      </c>
    </row>
    <row r="405" spans="1:15">
      <c r="A405" s="827">
        <v>2011</v>
      </c>
      <c r="B405" s="827" t="s">
        <v>517</v>
      </c>
      <c r="C405" s="827" t="s">
        <v>3714</v>
      </c>
      <c r="D405" s="827">
        <v>-0.97452272002412099</v>
      </c>
      <c r="E405" s="827">
        <v>-1.3621682253898799</v>
      </c>
      <c r="F405" s="827">
        <v>-0.18110286192476599</v>
      </c>
      <c r="G405" s="827">
        <v>-0.99553748560149802</v>
      </c>
      <c r="H405" s="827">
        <v>-0.83995754433730996</v>
      </c>
      <c r="I405" s="827">
        <v>-0.92203205644345998</v>
      </c>
      <c r="J405" s="827">
        <v>18.0094786729858</v>
      </c>
      <c r="K405" s="827">
        <v>6.1611374407582904</v>
      </c>
      <c r="L405" s="827">
        <v>39.622641509433997</v>
      </c>
      <c r="M405" s="827">
        <v>17.535545023696699</v>
      </c>
      <c r="N405" s="827">
        <v>23.004694835680802</v>
      </c>
      <c r="O405" s="827">
        <v>23.4741784037559</v>
      </c>
    </row>
    <row r="406" spans="1:15">
      <c r="A406" s="827">
        <v>2011</v>
      </c>
      <c r="B406" s="827" t="s">
        <v>3090</v>
      </c>
      <c r="C406" s="827" t="s">
        <v>3715</v>
      </c>
      <c r="D406" s="827">
        <v>-1.0460110790269701</v>
      </c>
      <c r="E406" s="827">
        <v>-1.13138405505291</v>
      </c>
      <c r="F406" s="827">
        <v>-0.47489143923763699</v>
      </c>
      <c r="G406" s="827">
        <v>-1.0366936204744399</v>
      </c>
      <c r="H406" s="827">
        <v>-1.2305890528282299</v>
      </c>
      <c r="I406" s="827">
        <v>8.8224864861915706E-2</v>
      </c>
      <c r="J406" s="827">
        <v>15.165876777251199</v>
      </c>
      <c r="K406" s="827">
        <v>11.848341232227501</v>
      </c>
      <c r="L406" s="827">
        <v>31.132075471698101</v>
      </c>
      <c r="M406" s="827">
        <v>15.165876777251199</v>
      </c>
      <c r="N406" s="827">
        <v>9.8591549295774605</v>
      </c>
      <c r="O406" s="827">
        <v>53.051643192488299</v>
      </c>
    </row>
    <row r="407" spans="1:15">
      <c r="A407" s="827">
        <v>2011</v>
      </c>
      <c r="B407" s="827" t="s">
        <v>3091</v>
      </c>
      <c r="C407" s="827" t="s">
        <v>3716</v>
      </c>
      <c r="D407" s="827">
        <v>-0.28142374093611999</v>
      </c>
      <c r="E407" s="827">
        <v>0.316550861431385</v>
      </c>
      <c r="F407" s="827">
        <v>0.149892618739455</v>
      </c>
      <c r="G407" s="827">
        <v>0.40364414730460202</v>
      </c>
      <c r="H407" s="827">
        <v>-0.19459617940186599</v>
      </c>
      <c r="I407" s="827">
        <v>0.475132491607689</v>
      </c>
      <c r="J407" s="827">
        <v>50.236966824644497</v>
      </c>
      <c r="K407" s="827">
        <v>63.9810426540284</v>
      </c>
      <c r="L407" s="827">
        <v>52.358490566037702</v>
      </c>
      <c r="M407" s="827">
        <v>63.9810426540284</v>
      </c>
      <c r="N407" s="827">
        <v>49.765258215962398</v>
      </c>
      <c r="O407" s="827">
        <v>63.380281690140798</v>
      </c>
    </row>
    <row r="408" spans="1:15">
      <c r="A408" s="827">
        <v>2011</v>
      </c>
      <c r="B408" s="827" t="s">
        <v>3092</v>
      </c>
      <c r="C408" s="827" t="s">
        <v>3717</v>
      </c>
      <c r="D408" s="827">
        <v>-1.1848369358269</v>
      </c>
      <c r="E408" s="827">
        <v>-1.1308265702603399</v>
      </c>
      <c r="F408" s="827">
        <v>-2.4174193872626302</v>
      </c>
      <c r="G408" s="827">
        <v>-0.80892542425256597</v>
      </c>
      <c r="H408" s="827">
        <v>-1.26846742222374</v>
      </c>
      <c r="I408" s="827">
        <v>-1.42106170766002</v>
      </c>
      <c r="J408" s="827">
        <v>8.5308056872037898</v>
      </c>
      <c r="K408" s="827">
        <v>12.3222748815166</v>
      </c>
      <c r="L408" s="827">
        <v>1.88679245283019</v>
      </c>
      <c r="M408" s="827">
        <v>22.274881516587701</v>
      </c>
      <c r="N408" s="827">
        <v>8.4507042253521103</v>
      </c>
      <c r="O408" s="827">
        <v>8.4507042253521103</v>
      </c>
    </row>
    <row r="409" spans="1:15">
      <c r="A409" s="827">
        <v>2011</v>
      </c>
      <c r="B409" s="827" t="s">
        <v>541</v>
      </c>
      <c r="C409" s="827" t="s">
        <v>3718</v>
      </c>
      <c r="D409" s="827">
        <v>-0.47027036788454601</v>
      </c>
      <c r="E409" s="827">
        <v>-0.63896441900571799</v>
      </c>
      <c r="F409" s="827">
        <v>0.47312848392783102</v>
      </c>
      <c r="G409" s="827">
        <v>-0.42115388453417202</v>
      </c>
      <c r="H409" s="827">
        <v>-0.468601610733131</v>
      </c>
      <c r="I409" s="827">
        <v>-0.19122445119574899</v>
      </c>
      <c r="J409" s="827">
        <v>38.3886255924171</v>
      </c>
      <c r="K409" s="827">
        <v>28.909952606635098</v>
      </c>
      <c r="L409" s="827">
        <v>62.735849056603797</v>
      </c>
      <c r="M409" s="827">
        <v>36.492890995260701</v>
      </c>
      <c r="N409" s="827">
        <v>39.906103286384997</v>
      </c>
      <c r="O409" s="827">
        <v>42.723004694835701</v>
      </c>
    </row>
    <row r="410" spans="1:15">
      <c r="A410" s="827">
        <v>2011</v>
      </c>
      <c r="B410" s="827" t="s">
        <v>364</v>
      </c>
      <c r="C410" s="827" t="s">
        <v>3719</v>
      </c>
      <c r="D410" s="827">
        <v>-0.67521859645444104</v>
      </c>
      <c r="E410" s="827">
        <v>-0.57850233098383497</v>
      </c>
      <c r="F410" s="827">
        <v>0.60017512899051295</v>
      </c>
      <c r="G410" s="827">
        <v>-0.20473166608686499</v>
      </c>
      <c r="H410" s="827">
        <v>-0.29934695855342602</v>
      </c>
      <c r="I410" s="827">
        <v>-4.6979206513607097E-3</v>
      </c>
      <c r="J410" s="827">
        <v>27.962085308056899</v>
      </c>
      <c r="K410" s="827">
        <v>34.597156398104303</v>
      </c>
      <c r="L410" s="827">
        <v>66.509433962264197</v>
      </c>
      <c r="M410" s="827">
        <v>45.971563981042699</v>
      </c>
      <c r="N410" s="827">
        <v>46.948356807511701</v>
      </c>
      <c r="O410" s="827">
        <v>49.765258215962398</v>
      </c>
    </row>
    <row r="411" spans="1:15">
      <c r="A411" s="827">
        <v>2012</v>
      </c>
      <c r="B411" s="827" t="s">
        <v>21</v>
      </c>
      <c r="C411" s="827" t="s">
        <v>3720</v>
      </c>
      <c r="D411" s="827">
        <v>-1.4064267648711</v>
      </c>
      <c r="E411" s="827">
        <v>-1.3975745979718599</v>
      </c>
      <c r="F411" s="827">
        <v>-2.4195342977931702</v>
      </c>
      <c r="G411" s="827">
        <v>-1.21002630789415</v>
      </c>
      <c r="H411" s="827">
        <v>-1.72303420132101</v>
      </c>
      <c r="I411" s="827">
        <v>-1.31719824914948</v>
      </c>
      <c r="J411" s="827">
        <v>1.91387559808612</v>
      </c>
      <c r="K411" s="827">
        <v>6.6985645933014402</v>
      </c>
      <c r="L411" s="827">
        <v>1.8957345971563999</v>
      </c>
      <c r="M411" s="827">
        <v>11.004784688995199</v>
      </c>
      <c r="N411" s="827">
        <v>0.47393364928909998</v>
      </c>
      <c r="O411" s="827">
        <v>10.9004739336493</v>
      </c>
    </row>
    <row r="412" spans="1:15">
      <c r="A412" s="827">
        <v>2012</v>
      </c>
      <c r="B412" s="827" t="s">
        <v>38</v>
      </c>
      <c r="C412" s="827" t="s">
        <v>3721</v>
      </c>
      <c r="D412" s="827">
        <v>-0.72284815498795696</v>
      </c>
      <c r="E412" s="827">
        <v>-0.28033541860251798</v>
      </c>
      <c r="F412" s="827">
        <v>-0.158012773720207</v>
      </c>
      <c r="G412" s="827">
        <v>0.16802785689462801</v>
      </c>
      <c r="H412" s="827">
        <v>-0.56930756923013703</v>
      </c>
      <c r="I412" s="827">
        <v>9.0010047163042693E-3</v>
      </c>
      <c r="J412" s="827">
        <v>26.7942583732057</v>
      </c>
      <c r="K412" s="827">
        <v>44.976076555023901</v>
      </c>
      <c r="L412" s="827">
        <v>39.810426540284404</v>
      </c>
      <c r="M412" s="827">
        <v>56.459330143540697</v>
      </c>
      <c r="N412" s="827">
        <v>35.071090047393398</v>
      </c>
      <c r="O412" s="827">
        <v>50.236966824644497</v>
      </c>
    </row>
    <row r="413" spans="1:15">
      <c r="A413" s="827">
        <v>2012</v>
      </c>
      <c r="B413" s="827" t="s">
        <v>53</v>
      </c>
      <c r="C413" s="827" t="s">
        <v>3722</v>
      </c>
      <c r="D413" s="827">
        <v>-1.0737569533471101</v>
      </c>
      <c r="E413" s="827">
        <v>-0.77809627870641895</v>
      </c>
      <c r="F413" s="827">
        <v>-0.68701515765162102</v>
      </c>
      <c r="G413" s="827">
        <v>-0.46929324870817302</v>
      </c>
      <c r="H413" s="827">
        <v>-0.80544061406942902</v>
      </c>
      <c r="I413" s="827">
        <v>-1.2614219475900701</v>
      </c>
      <c r="J413" s="827">
        <v>13.3971291866029</v>
      </c>
      <c r="K413" s="827">
        <v>23.923444976076599</v>
      </c>
      <c r="L413" s="827">
        <v>23.696682464455002</v>
      </c>
      <c r="M413" s="827">
        <v>34.449760765550202</v>
      </c>
      <c r="N413" s="827">
        <v>24.644549763033201</v>
      </c>
      <c r="O413" s="827">
        <v>12.7962085308057</v>
      </c>
    </row>
    <row r="414" spans="1:15">
      <c r="A414" s="827">
        <v>2012</v>
      </c>
      <c r="B414" s="827" t="s">
        <v>98</v>
      </c>
      <c r="C414" s="827" t="s">
        <v>3723</v>
      </c>
      <c r="D414" s="827">
        <v>-0.51926766111056399</v>
      </c>
      <c r="E414" s="827">
        <v>-0.63266125667306905</v>
      </c>
      <c r="F414" s="827">
        <v>-0.616862403726255</v>
      </c>
      <c r="G414" s="827">
        <v>-0.11938249105543799</v>
      </c>
      <c r="H414" s="827">
        <v>-0.43293833356609601</v>
      </c>
      <c r="I414" s="827">
        <v>-0.34532467437041098</v>
      </c>
      <c r="J414" s="827">
        <v>38.277511961722503</v>
      </c>
      <c r="K414" s="827">
        <v>30.143540669856499</v>
      </c>
      <c r="L414" s="827">
        <v>26.066350710900501</v>
      </c>
      <c r="M414" s="827">
        <v>47.846889952153099</v>
      </c>
      <c r="N414" s="827">
        <v>41.706161137440802</v>
      </c>
      <c r="O414" s="827">
        <v>36.966824644549803</v>
      </c>
    </row>
    <row r="415" spans="1:15">
      <c r="A415" s="827">
        <v>2012</v>
      </c>
      <c r="B415" s="827" t="s">
        <v>127</v>
      </c>
      <c r="C415" s="827" t="s">
        <v>3724</v>
      </c>
      <c r="D415" s="827">
        <v>-0.89320810767669601</v>
      </c>
      <c r="E415" s="827">
        <v>-1.46191197942491</v>
      </c>
      <c r="F415" s="827">
        <v>-1.8690222469609701</v>
      </c>
      <c r="G415" s="827">
        <v>-1.08872096154581</v>
      </c>
      <c r="H415" s="827">
        <v>-1.4455605788405399</v>
      </c>
      <c r="I415" s="827">
        <v>-1.26091113991294</v>
      </c>
      <c r="J415" s="827">
        <v>20.095693779904298</v>
      </c>
      <c r="K415" s="827">
        <v>5.7416267942583703</v>
      </c>
      <c r="L415" s="827">
        <v>5.2132701421800904</v>
      </c>
      <c r="M415" s="827">
        <v>12.9186602870813</v>
      </c>
      <c r="N415" s="827">
        <v>3.7914691943127998</v>
      </c>
      <c r="O415" s="827">
        <v>13.270142180094799</v>
      </c>
    </row>
    <row r="416" spans="1:15">
      <c r="A416" s="827">
        <v>2012</v>
      </c>
      <c r="B416" s="827" t="s">
        <v>138</v>
      </c>
      <c r="C416" s="827" t="s">
        <v>3725</v>
      </c>
      <c r="D416" s="827">
        <v>-1.25043989711329</v>
      </c>
      <c r="E416" s="827">
        <v>-1.49279000067873</v>
      </c>
      <c r="F416" s="827">
        <v>-1.0650432341870599</v>
      </c>
      <c r="G416" s="827">
        <v>-1.0795600268782799</v>
      </c>
      <c r="H416" s="827">
        <v>-1.45358918702661</v>
      </c>
      <c r="I416" s="827">
        <v>-1.3280709279366301</v>
      </c>
      <c r="J416" s="827">
        <v>5.7416267942583703</v>
      </c>
      <c r="K416" s="827">
        <v>4.7846889952153102</v>
      </c>
      <c r="L416" s="827">
        <v>17.061611374407601</v>
      </c>
      <c r="M416" s="827">
        <v>13.3971291866029</v>
      </c>
      <c r="N416" s="827">
        <v>3.3175355450236999</v>
      </c>
      <c r="O416" s="827">
        <v>10.4265402843602</v>
      </c>
    </row>
    <row r="417" spans="1:15">
      <c r="A417" s="827">
        <v>2012</v>
      </c>
      <c r="B417" s="827" t="s">
        <v>171</v>
      </c>
      <c r="C417" s="827" t="s">
        <v>3726</v>
      </c>
      <c r="D417" s="827">
        <v>-1.3035610183900299</v>
      </c>
      <c r="E417" s="827">
        <v>-1.65864882570179</v>
      </c>
      <c r="F417" s="827">
        <v>-2.11756219579997</v>
      </c>
      <c r="G417" s="827">
        <v>-1.51023682958469</v>
      </c>
      <c r="H417" s="827">
        <v>-1.6529683846993599</v>
      </c>
      <c r="I417" s="827">
        <v>-1.5155254064189101</v>
      </c>
      <c r="J417" s="827">
        <v>4.3062200956937797</v>
      </c>
      <c r="K417" s="827">
        <v>0.95693779904306198</v>
      </c>
      <c r="L417" s="827">
        <v>2.8436018957345999</v>
      </c>
      <c r="M417" s="827">
        <v>5.7416267942583703</v>
      </c>
      <c r="N417" s="827">
        <v>1.4218009478672999</v>
      </c>
      <c r="O417" s="827">
        <v>6.6350710900473899</v>
      </c>
    </row>
    <row r="418" spans="1:15">
      <c r="A418" s="827">
        <v>2012</v>
      </c>
      <c r="B418" s="827" t="s">
        <v>465</v>
      </c>
      <c r="C418" s="827" t="s">
        <v>3727</v>
      </c>
      <c r="D418" s="827">
        <v>-1.1913743032773401</v>
      </c>
      <c r="E418" s="827">
        <v>-1.2017292175155401</v>
      </c>
      <c r="F418" s="827">
        <v>-0.47834038681802699</v>
      </c>
      <c r="G418" s="827">
        <v>-1.37830012516968</v>
      </c>
      <c r="H418" s="827">
        <v>-1.1165316958434299</v>
      </c>
      <c r="I418" s="827">
        <v>-1.1557730958198</v>
      </c>
      <c r="J418" s="827">
        <v>9.5693779904306204</v>
      </c>
      <c r="K418" s="827">
        <v>11.4832535885167</v>
      </c>
      <c r="L418" s="827">
        <v>31.279620853080601</v>
      </c>
      <c r="M418" s="827">
        <v>8.1339712918660307</v>
      </c>
      <c r="N418" s="827">
        <v>13.270142180094799</v>
      </c>
      <c r="O418" s="827">
        <v>15.165876777251199</v>
      </c>
    </row>
    <row r="419" spans="1:15">
      <c r="A419" s="827">
        <v>2012</v>
      </c>
      <c r="B419" s="827" t="s">
        <v>101</v>
      </c>
      <c r="C419" s="827" t="s">
        <v>3728</v>
      </c>
      <c r="D419" s="827">
        <v>-1.2383914999271299</v>
      </c>
      <c r="E419" s="827">
        <v>-0.90271364431252499</v>
      </c>
      <c r="F419" s="827">
        <v>-0.57547351507469302</v>
      </c>
      <c r="G419" s="827">
        <v>-0.93336778112607699</v>
      </c>
      <c r="H419" s="827">
        <v>-1.0209599500311599</v>
      </c>
      <c r="I419" s="827">
        <v>-1.0290642182071199</v>
      </c>
      <c r="J419" s="827">
        <v>7.1770334928229698</v>
      </c>
      <c r="K419" s="827">
        <v>19.138755980861198</v>
      </c>
      <c r="L419" s="827">
        <v>27.0142180094787</v>
      </c>
      <c r="M419" s="827">
        <v>21.052631578947398</v>
      </c>
      <c r="N419" s="827">
        <v>16.5876777251185</v>
      </c>
      <c r="O419" s="827">
        <v>17.535545023696699</v>
      </c>
    </row>
    <row r="420" spans="1:15">
      <c r="A420" s="827">
        <v>2012</v>
      </c>
      <c r="B420" s="827" t="s">
        <v>188</v>
      </c>
      <c r="C420" s="827" t="s">
        <v>3729</v>
      </c>
      <c r="D420" s="827">
        <v>-1.56008525459073</v>
      </c>
      <c r="E420" s="827">
        <v>-1.64959260418856</v>
      </c>
      <c r="F420" s="827">
        <v>0.20662766898856</v>
      </c>
      <c r="G420" s="827">
        <v>-1.4227383017308199</v>
      </c>
      <c r="H420" s="827">
        <v>-1.26346116001534</v>
      </c>
      <c r="I420" s="827">
        <v>-1.8744084351868</v>
      </c>
      <c r="J420" s="827">
        <v>0.47846889952153099</v>
      </c>
      <c r="K420" s="827">
        <v>1.4354066985645899</v>
      </c>
      <c r="L420" s="827">
        <v>53.554502369668199</v>
      </c>
      <c r="M420" s="827">
        <v>7.1770334928229698</v>
      </c>
      <c r="N420" s="827">
        <v>8.5308056872037898</v>
      </c>
      <c r="O420" s="827">
        <v>2.3696682464454999</v>
      </c>
    </row>
    <row r="421" spans="1:15">
      <c r="A421" s="827">
        <v>2012</v>
      </c>
      <c r="B421" s="827" t="s">
        <v>191</v>
      </c>
      <c r="C421" s="827" t="s">
        <v>3730</v>
      </c>
      <c r="D421" s="827">
        <v>-0.55129996074110199</v>
      </c>
      <c r="E421" s="827">
        <v>-0.77553694890077995</v>
      </c>
      <c r="F421" s="827">
        <v>0.306613141464182</v>
      </c>
      <c r="G421" s="827">
        <v>-0.507400910867425</v>
      </c>
      <c r="H421" s="827">
        <v>-0.45108725081783702</v>
      </c>
      <c r="I421" s="827">
        <v>-0.85307346730496703</v>
      </c>
      <c r="J421" s="827">
        <v>35.885167464114801</v>
      </c>
      <c r="K421" s="827">
        <v>24.401913875598101</v>
      </c>
      <c r="L421" s="827">
        <v>56.872037914691902</v>
      </c>
      <c r="M421" s="827">
        <v>32.535885167464102</v>
      </c>
      <c r="N421" s="827">
        <v>40.758293838862599</v>
      </c>
      <c r="O421" s="827">
        <v>24.170616113744099</v>
      </c>
    </row>
    <row r="422" spans="1:15">
      <c r="A422" s="827">
        <v>2012</v>
      </c>
      <c r="B422" s="827" t="s">
        <v>195</v>
      </c>
      <c r="C422" s="827" t="s">
        <v>3731</v>
      </c>
      <c r="D422" s="827">
        <v>-8.6503058626665005E-2</v>
      </c>
      <c r="E422" s="827">
        <v>-7.3201838672357494E-2</v>
      </c>
      <c r="F422" s="827">
        <v>0.100284810417618</v>
      </c>
      <c r="G422" s="827">
        <v>0.116592682617531</v>
      </c>
      <c r="H422" s="827">
        <v>-3.3242289338145298E-2</v>
      </c>
      <c r="I422" s="827">
        <v>0.41305456254643802</v>
      </c>
      <c r="J422" s="827">
        <v>55.502392344497601</v>
      </c>
      <c r="K422" s="827">
        <v>52.153110047846901</v>
      </c>
      <c r="L422" s="827">
        <v>49.763033175355503</v>
      </c>
      <c r="M422" s="827">
        <v>55.980861244019103</v>
      </c>
      <c r="N422" s="827">
        <v>54.028436018957301</v>
      </c>
      <c r="O422" s="827">
        <v>60.189573459715596</v>
      </c>
    </row>
    <row r="423" spans="1:15">
      <c r="A423" s="827">
        <v>2012</v>
      </c>
      <c r="B423" s="827" t="s">
        <v>219</v>
      </c>
      <c r="C423" s="827" t="s">
        <v>3732</v>
      </c>
      <c r="D423" s="827">
        <v>-0.61497998763450701</v>
      </c>
      <c r="E423" s="827">
        <v>-0.76327351806900601</v>
      </c>
      <c r="F423" s="827">
        <v>-0.65165952651883097</v>
      </c>
      <c r="G423" s="827">
        <v>-0.176703933373966</v>
      </c>
      <c r="H423" s="827">
        <v>-1.0972414189140101</v>
      </c>
      <c r="I423" s="827">
        <v>-0.39102255776294198</v>
      </c>
      <c r="J423" s="827">
        <v>30.622009569378001</v>
      </c>
      <c r="K423" s="827">
        <v>25.8373205741627</v>
      </c>
      <c r="L423" s="827">
        <v>25.118483412322298</v>
      </c>
      <c r="M423" s="827">
        <v>45.933014354066998</v>
      </c>
      <c r="N423" s="827">
        <v>14.6919431279621</v>
      </c>
      <c r="O423" s="827">
        <v>35.545023696682499</v>
      </c>
    </row>
    <row r="424" spans="1:15">
      <c r="A424" s="827">
        <v>2012</v>
      </c>
      <c r="B424" s="827" t="s">
        <v>3089</v>
      </c>
      <c r="C424" s="827" t="s">
        <v>3733</v>
      </c>
      <c r="D424" s="827">
        <v>-1.10865558543161</v>
      </c>
      <c r="E424" s="827">
        <v>-1.2712308490911599</v>
      </c>
      <c r="F424" s="827">
        <v>-1.2807007045265699</v>
      </c>
      <c r="G424" s="827">
        <v>-1.0196021012027501</v>
      </c>
      <c r="H424" s="827">
        <v>-1.43749107054576</v>
      </c>
      <c r="I424" s="827">
        <v>-1.08333303531128</v>
      </c>
      <c r="J424" s="827">
        <v>11.9617224880383</v>
      </c>
      <c r="K424" s="827">
        <v>9.0909090909090899</v>
      </c>
      <c r="L424" s="827">
        <v>10.9004739336493</v>
      </c>
      <c r="M424" s="827">
        <v>16.267942583732101</v>
      </c>
      <c r="N424" s="827">
        <v>4.2654028436019003</v>
      </c>
      <c r="O424" s="827">
        <v>16.5876777251185</v>
      </c>
    </row>
    <row r="425" spans="1:15">
      <c r="A425" s="827">
        <v>2012</v>
      </c>
      <c r="B425" s="827" t="s">
        <v>243</v>
      </c>
      <c r="C425" s="827" t="s">
        <v>3734</v>
      </c>
      <c r="D425" s="827">
        <v>-0.65572816589430605</v>
      </c>
      <c r="E425" s="827">
        <v>-0.29084769412110301</v>
      </c>
      <c r="F425" s="827">
        <v>-0.57316910629557904</v>
      </c>
      <c r="G425" s="827">
        <v>-0.275388243310138</v>
      </c>
      <c r="H425" s="827">
        <v>-0.59714598258969398</v>
      </c>
      <c r="I425" s="827">
        <v>2.8485813708024599E-2</v>
      </c>
      <c r="J425" s="827">
        <v>28.7081339712919</v>
      </c>
      <c r="K425" s="827">
        <v>44.019138755980897</v>
      </c>
      <c r="L425" s="827">
        <v>27.488151658767801</v>
      </c>
      <c r="M425" s="827">
        <v>43.062200956937801</v>
      </c>
      <c r="N425" s="827">
        <v>34.123222748815202</v>
      </c>
      <c r="O425" s="827">
        <v>51.184834123222799</v>
      </c>
    </row>
    <row r="426" spans="1:15">
      <c r="A426" s="827">
        <v>2012</v>
      </c>
      <c r="B426" s="827" t="s">
        <v>251</v>
      </c>
      <c r="C426" s="827" t="s">
        <v>3735</v>
      </c>
      <c r="D426" s="827">
        <v>-1.22911513075325</v>
      </c>
      <c r="E426" s="827">
        <v>-1.11293652359442</v>
      </c>
      <c r="F426" s="827">
        <v>-1.93249133973044</v>
      </c>
      <c r="G426" s="827">
        <v>-1.27023127643095</v>
      </c>
      <c r="H426" s="827">
        <v>-1.4974845698654999</v>
      </c>
      <c r="I426" s="827">
        <v>-1.1344417600162</v>
      </c>
      <c r="J426" s="827">
        <v>8.1339712918660307</v>
      </c>
      <c r="K426" s="827">
        <v>13.3971291866029</v>
      </c>
      <c r="L426" s="827">
        <v>4.7393364928909998</v>
      </c>
      <c r="M426" s="827">
        <v>9.5693779904306204</v>
      </c>
      <c r="N426" s="827">
        <v>2.8436018957345999</v>
      </c>
      <c r="O426" s="827">
        <v>16.113744075829398</v>
      </c>
    </row>
    <row r="427" spans="1:15">
      <c r="A427" s="827">
        <v>2012</v>
      </c>
      <c r="B427" s="827" t="s">
        <v>280</v>
      </c>
      <c r="C427" s="827" t="s">
        <v>3736</v>
      </c>
      <c r="D427" s="827">
        <v>-0.88344460269611702</v>
      </c>
      <c r="E427" s="827">
        <v>-0.44134623486097901</v>
      </c>
      <c r="F427" s="827">
        <v>-0.37452632023538601</v>
      </c>
      <c r="G427" s="827">
        <v>-0.38661082404664399</v>
      </c>
      <c r="H427" s="827">
        <v>-0.66304716893711002</v>
      </c>
      <c r="I427" s="827">
        <v>-1.1496385941857801</v>
      </c>
      <c r="J427" s="827">
        <v>20.5741626794258</v>
      </c>
      <c r="K427" s="827">
        <v>39.712918660287102</v>
      </c>
      <c r="L427" s="827">
        <v>36.0189573459716</v>
      </c>
      <c r="M427" s="827">
        <v>37.799043062201001</v>
      </c>
      <c r="N427" s="827">
        <v>30.8056872037915</v>
      </c>
      <c r="O427" s="827">
        <v>15.639810426540301</v>
      </c>
    </row>
    <row r="428" spans="1:15">
      <c r="A428" s="827">
        <v>2012</v>
      </c>
      <c r="B428" s="827" t="s">
        <v>285</v>
      </c>
      <c r="C428" s="827" t="s">
        <v>3737</v>
      </c>
      <c r="D428" s="827">
        <v>-1.0902106656717001</v>
      </c>
      <c r="E428" s="827">
        <v>-0.65869903860661405</v>
      </c>
      <c r="F428" s="827">
        <v>-0.88911325472912595</v>
      </c>
      <c r="G428" s="827">
        <v>-0.34552718722248699</v>
      </c>
      <c r="H428" s="827">
        <v>-1.15135466557611</v>
      </c>
      <c r="I428" s="827">
        <v>-0.63880197540335404</v>
      </c>
      <c r="J428" s="827">
        <v>12.9186602870813</v>
      </c>
      <c r="K428" s="827">
        <v>29.186602870813399</v>
      </c>
      <c r="L428" s="827">
        <v>19.4312796208531</v>
      </c>
      <c r="M428" s="827">
        <v>40.191387559808597</v>
      </c>
      <c r="N428" s="827">
        <v>12.3222748815166</v>
      </c>
      <c r="O428" s="827">
        <v>28.436018957346</v>
      </c>
    </row>
    <row r="429" spans="1:15">
      <c r="A429" s="827">
        <v>2012</v>
      </c>
      <c r="B429" s="827" t="s">
        <v>301</v>
      </c>
      <c r="C429" s="827" t="s">
        <v>3738</v>
      </c>
      <c r="D429" s="827">
        <v>-0.57292022809860899</v>
      </c>
      <c r="E429" s="827">
        <v>-1.1795661163166</v>
      </c>
      <c r="F429" s="827">
        <v>-0.47485979537934597</v>
      </c>
      <c r="G429" s="827">
        <v>-1.05284207395271</v>
      </c>
      <c r="H429" s="827">
        <v>-0.920066632837097</v>
      </c>
      <c r="I429" s="827">
        <v>-0.36000126064831101</v>
      </c>
      <c r="J429" s="827">
        <v>33.9712918660287</v>
      </c>
      <c r="K429" s="827">
        <v>12.4401913875598</v>
      </c>
      <c r="L429" s="827">
        <v>31.753554502369699</v>
      </c>
      <c r="M429" s="827">
        <v>14.8325358851675</v>
      </c>
      <c r="N429" s="827">
        <v>18.0094786729858</v>
      </c>
      <c r="O429" s="827">
        <v>36.0189573459716</v>
      </c>
    </row>
    <row r="430" spans="1:15">
      <c r="A430" s="827">
        <v>2012</v>
      </c>
      <c r="B430" s="827" t="s">
        <v>316</v>
      </c>
      <c r="C430" s="827" t="s">
        <v>3739</v>
      </c>
      <c r="D430" s="827">
        <v>-0.60919220982741096</v>
      </c>
      <c r="E430" s="827">
        <v>-1.0833588234375999</v>
      </c>
      <c r="F430" s="827">
        <v>-0.56694823068719602</v>
      </c>
      <c r="G430" s="827">
        <v>-0.57679886130939995</v>
      </c>
      <c r="H430" s="827">
        <v>-0.89139411988089701</v>
      </c>
      <c r="I430" s="827">
        <v>-0.84822704624888701</v>
      </c>
      <c r="J430" s="827">
        <v>31.1004784688995</v>
      </c>
      <c r="K430" s="827">
        <v>14.8325358851675</v>
      </c>
      <c r="L430" s="827">
        <v>27.962085308056899</v>
      </c>
      <c r="M430" s="827">
        <v>30.622009569378001</v>
      </c>
      <c r="N430" s="827">
        <v>20.3791469194313</v>
      </c>
      <c r="O430" s="827">
        <v>24.644549763033201</v>
      </c>
    </row>
    <row r="431" spans="1:15">
      <c r="A431" s="827">
        <v>2012</v>
      </c>
      <c r="B431" s="827" t="s">
        <v>329</v>
      </c>
      <c r="C431" s="827" t="s">
        <v>3740</v>
      </c>
      <c r="D431" s="827">
        <v>-0.76139982934015304</v>
      </c>
      <c r="E431" s="827">
        <v>-0.98866028673950701</v>
      </c>
      <c r="F431" s="827">
        <v>-1.9774860266219201</v>
      </c>
      <c r="G431" s="827">
        <v>-0.42303211632404703</v>
      </c>
      <c r="H431" s="827">
        <v>-0.69252304398614195</v>
      </c>
      <c r="I431" s="827">
        <v>-0.54678503894798403</v>
      </c>
      <c r="J431" s="827">
        <v>25.358851674641102</v>
      </c>
      <c r="K431" s="827">
        <v>16.267942583732101</v>
      </c>
      <c r="L431" s="827">
        <v>3.7914691943127998</v>
      </c>
      <c r="M431" s="827">
        <v>36.363636363636402</v>
      </c>
      <c r="N431" s="827">
        <v>30.331753554502399</v>
      </c>
      <c r="O431" s="827">
        <v>30.8056872037915</v>
      </c>
    </row>
    <row r="432" spans="1:15">
      <c r="A432" s="827">
        <v>2012</v>
      </c>
      <c r="B432" s="827" t="s">
        <v>345</v>
      </c>
      <c r="C432" s="827" t="s">
        <v>3741</v>
      </c>
      <c r="D432" s="827">
        <v>-0.602145696519781</v>
      </c>
      <c r="E432" s="827">
        <v>-0.91238133224512097</v>
      </c>
      <c r="F432" s="827">
        <v>-1.1266924784215899</v>
      </c>
      <c r="G432" s="827">
        <v>-0.64485313997840599</v>
      </c>
      <c r="H432" s="827">
        <v>-0.87211631471464102</v>
      </c>
      <c r="I432" s="827">
        <v>-0.94198275359209405</v>
      </c>
      <c r="J432" s="827">
        <v>32.0574162679426</v>
      </c>
      <c r="K432" s="827">
        <v>18.6602870813397</v>
      </c>
      <c r="L432" s="827">
        <v>16.113744075829398</v>
      </c>
      <c r="M432" s="827">
        <v>27.7511961722488</v>
      </c>
      <c r="N432" s="827">
        <v>21.327014218009499</v>
      </c>
      <c r="O432" s="827">
        <v>20.853080568720401</v>
      </c>
    </row>
    <row r="433" spans="1:15">
      <c r="A433" s="827">
        <v>2012</v>
      </c>
      <c r="B433" s="827" t="s">
        <v>385</v>
      </c>
      <c r="C433" s="827" t="s">
        <v>3742</v>
      </c>
      <c r="D433" s="827">
        <v>-0.58968304756413004</v>
      </c>
      <c r="E433" s="827">
        <v>-0.63813863402364901</v>
      </c>
      <c r="F433" s="827">
        <v>0.34521423672696999</v>
      </c>
      <c r="G433" s="827">
        <v>-0.45907561251808299</v>
      </c>
      <c r="H433" s="827">
        <v>-0.60035630594511902</v>
      </c>
      <c r="I433" s="827">
        <v>-0.17982292243112499</v>
      </c>
      <c r="J433" s="827">
        <v>33.014354066985597</v>
      </c>
      <c r="K433" s="827">
        <v>29.665071770334901</v>
      </c>
      <c r="L433" s="827">
        <v>58.7677725118483</v>
      </c>
      <c r="M433" s="827">
        <v>34.928229665071797</v>
      </c>
      <c r="N433" s="827">
        <v>33.649289099526101</v>
      </c>
      <c r="O433" s="827">
        <v>43.127962085308098</v>
      </c>
    </row>
    <row r="434" spans="1:15">
      <c r="A434" s="827">
        <v>2012</v>
      </c>
      <c r="B434" s="827" t="s">
        <v>394</v>
      </c>
      <c r="C434" s="827" t="s">
        <v>3743</v>
      </c>
      <c r="D434" s="827">
        <v>-0.68559744135101297</v>
      </c>
      <c r="E434" s="827">
        <v>-0.70399601649343702</v>
      </c>
      <c r="F434" s="827">
        <v>-1.17281728195836</v>
      </c>
      <c r="G434" s="827">
        <v>-0.60796690667479703</v>
      </c>
      <c r="H434" s="827">
        <v>-0.73845624966672696</v>
      </c>
      <c r="I434" s="827">
        <v>-0.395079599525754</v>
      </c>
      <c r="J434" s="827">
        <v>27.7511961722488</v>
      </c>
      <c r="K434" s="827">
        <v>27.7511961722488</v>
      </c>
      <c r="L434" s="827">
        <v>13.744075829383901</v>
      </c>
      <c r="M434" s="827">
        <v>29.186602870813399</v>
      </c>
      <c r="N434" s="827">
        <v>28.436018957346</v>
      </c>
      <c r="O434" s="827">
        <v>35.071090047393398</v>
      </c>
    </row>
    <row r="435" spans="1:15">
      <c r="A435" s="827">
        <v>2012</v>
      </c>
      <c r="B435" s="827" t="s">
        <v>413</v>
      </c>
      <c r="C435" s="827" t="s">
        <v>3744</v>
      </c>
      <c r="D435" s="827">
        <v>-1.1327559316657301</v>
      </c>
      <c r="E435" s="827">
        <v>-0.99778014629661604</v>
      </c>
      <c r="F435" s="827">
        <v>-2.05327401816449</v>
      </c>
      <c r="G435" s="827">
        <v>-0.72247740244145298</v>
      </c>
      <c r="H435" s="827">
        <v>-1.18068318788433</v>
      </c>
      <c r="I435" s="827">
        <v>-0.72749646576441196</v>
      </c>
      <c r="J435" s="827">
        <v>11.004784688995199</v>
      </c>
      <c r="K435" s="827">
        <v>15.789473684210501</v>
      </c>
      <c r="L435" s="827">
        <v>3.3175355450236999</v>
      </c>
      <c r="M435" s="827">
        <v>25.358851674641102</v>
      </c>
      <c r="N435" s="827">
        <v>10.4265402843602</v>
      </c>
      <c r="O435" s="827">
        <v>27.488151658767801</v>
      </c>
    </row>
    <row r="436" spans="1:15">
      <c r="A436" s="827">
        <v>2012</v>
      </c>
      <c r="B436" s="827" t="s">
        <v>449</v>
      </c>
      <c r="C436" s="827" t="s">
        <v>3745</v>
      </c>
      <c r="D436" s="827">
        <v>-0.394694258708917</v>
      </c>
      <c r="E436" s="827">
        <v>-0.157626358241128</v>
      </c>
      <c r="F436" s="827">
        <v>-0.86195648593669605</v>
      </c>
      <c r="G436" s="827">
        <v>0.48941210864302698</v>
      </c>
      <c r="H436" s="827">
        <v>-0.61237356738044701</v>
      </c>
      <c r="I436" s="827">
        <v>6.8806180868862199E-2</v>
      </c>
      <c r="J436" s="827">
        <v>43.062200956937801</v>
      </c>
      <c r="K436" s="827">
        <v>48.803827751196202</v>
      </c>
      <c r="L436" s="827">
        <v>19.905213270142202</v>
      </c>
      <c r="M436" s="827">
        <v>67.9425837320574</v>
      </c>
      <c r="N436" s="827">
        <v>32.701421800947898</v>
      </c>
      <c r="O436" s="827">
        <v>53.554502369668199</v>
      </c>
    </row>
    <row r="437" spans="1:15">
      <c r="A437" s="827">
        <v>2012</v>
      </c>
      <c r="B437" s="827" t="s">
        <v>488</v>
      </c>
      <c r="C437" s="827" t="s">
        <v>3746</v>
      </c>
      <c r="D437" s="827">
        <v>-0.93609499069520397</v>
      </c>
      <c r="E437" s="827">
        <v>-1.20990618981427</v>
      </c>
      <c r="F437" s="827">
        <v>-0.267772080582941</v>
      </c>
      <c r="G437" s="827">
        <v>-0.70650682555257405</v>
      </c>
      <c r="H437" s="827">
        <v>-0.87085714005665704</v>
      </c>
      <c r="I437" s="827">
        <v>-0.35912191650537401</v>
      </c>
      <c r="J437" s="827">
        <v>18.6602870813397</v>
      </c>
      <c r="K437" s="827">
        <v>10.526315789473699</v>
      </c>
      <c r="L437" s="827">
        <v>37.914691943127998</v>
      </c>
      <c r="M437" s="827">
        <v>26.315789473684202</v>
      </c>
      <c r="N437" s="827">
        <v>21.8009478672986</v>
      </c>
      <c r="O437" s="827">
        <v>36.492890995260701</v>
      </c>
    </row>
    <row r="438" spans="1:15">
      <c r="A438" s="827">
        <v>2012</v>
      </c>
      <c r="B438" s="827" t="s">
        <v>499</v>
      </c>
      <c r="C438" s="827" t="s">
        <v>3747</v>
      </c>
      <c r="D438" s="827">
        <v>-0.85063478049108399</v>
      </c>
      <c r="E438" s="827">
        <v>-0.69087113955483004</v>
      </c>
      <c r="F438" s="827">
        <v>2.69374400343513E-2</v>
      </c>
      <c r="G438" s="827">
        <v>-0.39860635659708998</v>
      </c>
      <c r="H438" s="827">
        <v>-0.57618191580965095</v>
      </c>
      <c r="I438" s="827">
        <v>-0.22291643302056699</v>
      </c>
      <c r="J438" s="827">
        <v>22.009569377990399</v>
      </c>
      <c r="K438" s="827">
        <v>28.229665071770299</v>
      </c>
      <c r="L438" s="827">
        <v>46.919431279620902</v>
      </c>
      <c r="M438" s="827">
        <v>36.842105263157897</v>
      </c>
      <c r="N438" s="827">
        <v>34.597156398104303</v>
      </c>
      <c r="O438" s="827">
        <v>41.706161137440802</v>
      </c>
    </row>
    <row r="439" spans="1:15">
      <c r="A439" s="827">
        <v>2012</v>
      </c>
      <c r="B439" s="827" t="s">
        <v>517</v>
      </c>
      <c r="C439" s="827" t="s">
        <v>3748</v>
      </c>
      <c r="D439" s="827">
        <v>-0.99293010037185903</v>
      </c>
      <c r="E439" s="827">
        <v>-1.32492192869334</v>
      </c>
      <c r="F439" s="827">
        <v>-0.41876197102124602</v>
      </c>
      <c r="G439" s="827">
        <v>-0.85622926481115202</v>
      </c>
      <c r="H439" s="827">
        <v>-0.91787373438563402</v>
      </c>
      <c r="I439" s="827">
        <v>-1.0185350449031301</v>
      </c>
      <c r="J439" s="827">
        <v>16.746411483253599</v>
      </c>
      <c r="K439" s="827">
        <v>7.6555023923445003</v>
      </c>
      <c r="L439" s="827">
        <v>33.649289099526101</v>
      </c>
      <c r="M439" s="827">
        <v>21.5311004784689</v>
      </c>
      <c r="N439" s="827">
        <v>18.483412322274901</v>
      </c>
      <c r="O439" s="827">
        <v>18.483412322274901</v>
      </c>
    </row>
    <row r="440" spans="1:15">
      <c r="A440" s="827">
        <v>2012</v>
      </c>
      <c r="B440" s="827" t="s">
        <v>3090</v>
      </c>
      <c r="C440" s="827" t="s">
        <v>3749</v>
      </c>
      <c r="D440" s="827">
        <v>-0.97865885435098499</v>
      </c>
      <c r="E440" s="827">
        <v>-1.1934793723347299</v>
      </c>
      <c r="F440" s="827">
        <v>-0.26995194099800901</v>
      </c>
      <c r="G440" s="827">
        <v>-1.0243378118269399</v>
      </c>
      <c r="H440" s="827">
        <v>-1.1987086546050001</v>
      </c>
      <c r="I440" s="827">
        <v>4.6832895895587298E-2</v>
      </c>
      <c r="J440" s="827">
        <v>17.224880382775101</v>
      </c>
      <c r="K440" s="827">
        <v>11.9617224880383</v>
      </c>
      <c r="L440" s="827">
        <v>37.440758293838897</v>
      </c>
      <c r="M440" s="827">
        <v>15.789473684210501</v>
      </c>
      <c r="N440" s="827">
        <v>9.9526066350710902</v>
      </c>
      <c r="O440" s="827">
        <v>52.132701421800903</v>
      </c>
    </row>
    <row r="441" spans="1:15">
      <c r="A441" s="827">
        <v>2012</v>
      </c>
      <c r="B441" s="827" t="s">
        <v>3091</v>
      </c>
      <c r="C441" s="827" t="s">
        <v>3750</v>
      </c>
      <c r="D441" s="827">
        <v>-0.29137025739094102</v>
      </c>
      <c r="E441" s="827">
        <v>0.40259148526961402</v>
      </c>
      <c r="F441" s="827">
        <v>0.10849957081648801</v>
      </c>
      <c r="G441" s="827">
        <v>0.21937901263142601</v>
      </c>
      <c r="H441" s="827">
        <v>-0.188458207967859</v>
      </c>
      <c r="I441" s="827">
        <v>0.45108808447156701</v>
      </c>
      <c r="J441" s="827">
        <v>49.760765550239199</v>
      </c>
      <c r="K441" s="827">
        <v>64.593301435406701</v>
      </c>
      <c r="L441" s="827">
        <v>51.184834123222799</v>
      </c>
      <c r="M441" s="827">
        <v>57.416267942583701</v>
      </c>
      <c r="N441" s="827">
        <v>49.763033175355503</v>
      </c>
      <c r="O441" s="827">
        <v>62.085308056872002</v>
      </c>
    </row>
    <row r="442" spans="1:15">
      <c r="A442" s="827">
        <v>2012</v>
      </c>
      <c r="B442" s="827" t="s">
        <v>3092</v>
      </c>
      <c r="C442" s="827" t="s">
        <v>3751</v>
      </c>
      <c r="D442" s="827">
        <v>-1.23242799223071</v>
      </c>
      <c r="E442" s="827">
        <v>-1.2757829959215701</v>
      </c>
      <c r="F442" s="827">
        <v>-2.4308472451983101</v>
      </c>
      <c r="G442" s="827">
        <v>-0.69597486185532897</v>
      </c>
      <c r="H442" s="827">
        <v>-1.26508274525744</v>
      </c>
      <c r="I442" s="827">
        <v>-1.39372498833258</v>
      </c>
      <c r="J442" s="827">
        <v>7.6555023923445003</v>
      </c>
      <c r="K442" s="827">
        <v>8.6124401913875595</v>
      </c>
      <c r="L442" s="827">
        <v>1.4218009478672999</v>
      </c>
      <c r="M442" s="827">
        <v>26.7942583732057</v>
      </c>
      <c r="N442" s="827">
        <v>8.0568720379146903</v>
      </c>
      <c r="O442" s="827">
        <v>9.0047393364928894</v>
      </c>
    </row>
    <row r="443" spans="1:15">
      <c r="A443" s="827">
        <v>2012</v>
      </c>
      <c r="B443" s="827" t="s">
        <v>541</v>
      </c>
      <c r="C443" s="827" t="s">
        <v>3752</v>
      </c>
      <c r="D443" s="827">
        <v>-0.36075468296103302</v>
      </c>
      <c r="E443" s="827">
        <v>-0.50167064815564</v>
      </c>
      <c r="F443" s="827">
        <v>0.61397274031289295</v>
      </c>
      <c r="G443" s="827">
        <v>-0.42878042603682198</v>
      </c>
      <c r="H443" s="827">
        <v>-0.40293131872741</v>
      </c>
      <c r="I443" s="827">
        <v>-0.15558153117561299</v>
      </c>
      <c r="J443" s="827">
        <v>45.933014354066998</v>
      </c>
      <c r="K443" s="827">
        <v>37.799043062201001</v>
      </c>
      <c r="L443" s="827">
        <v>65.402843601895697</v>
      </c>
      <c r="M443" s="827">
        <v>35.885167464114801</v>
      </c>
      <c r="N443" s="827">
        <v>42.654028436018997</v>
      </c>
      <c r="O443" s="827">
        <v>43.6018957345972</v>
      </c>
    </row>
    <row r="444" spans="1:15">
      <c r="A444" s="827">
        <v>2012</v>
      </c>
      <c r="B444" s="827" t="s">
        <v>364</v>
      </c>
      <c r="C444" s="827" t="s">
        <v>3753</v>
      </c>
      <c r="D444" s="827">
        <v>-0.52053676320938103</v>
      </c>
      <c r="E444" s="827">
        <v>-0.63227226010712301</v>
      </c>
      <c r="F444" s="827">
        <v>0.44897659810553098</v>
      </c>
      <c r="G444" s="827">
        <v>-0.165274280560958</v>
      </c>
      <c r="H444" s="827">
        <v>-0.381775707163311</v>
      </c>
      <c r="I444" s="827">
        <v>1.9513473312359399E-2</v>
      </c>
      <c r="J444" s="827">
        <v>37.799043062201001</v>
      </c>
      <c r="K444" s="827">
        <v>30.622009569378001</v>
      </c>
      <c r="L444" s="827">
        <v>61.137440758293799</v>
      </c>
      <c r="M444" s="827">
        <v>46.4114832535885</v>
      </c>
      <c r="N444" s="827">
        <v>44.549763033175402</v>
      </c>
      <c r="O444" s="827">
        <v>50.710900473933599</v>
      </c>
    </row>
    <row r="445" spans="1:15">
      <c r="A445" s="827">
        <v>2013</v>
      </c>
      <c r="B445" s="827" t="s">
        <v>21</v>
      </c>
      <c r="C445" s="827" t="s">
        <v>3754</v>
      </c>
      <c r="D445" s="827">
        <v>-1.4264214038848899</v>
      </c>
      <c r="E445" s="827">
        <v>-1.42888736724854</v>
      </c>
      <c r="F445" s="827">
        <v>-2.4741945266723602</v>
      </c>
      <c r="G445" s="827">
        <v>-1.21225333213806</v>
      </c>
      <c r="H445" s="827">
        <v>-1.6711688041687001</v>
      </c>
      <c r="I445" s="827">
        <v>-1.28823006153107</v>
      </c>
      <c r="J445" s="827">
        <v>1.9138755798339799</v>
      </c>
      <c r="K445" s="827">
        <v>7.1770334243774396</v>
      </c>
      <c r="L445" s="827">
        <v>1.4218009710311901</v>
      </c>
      <c r="M445" s="827">
        <v>11.004784584045399</v>
      </c>
      <c r="N445" s="827">
        <v>1.4218009710311901</v>
      </c>
      <c r="O445" s="827">
        <v>13.2701425552368</v>
      </c>
    </row>
    <row r="446" spans="1:15">
      <c r="A446" s="827">
        <v>2013</v>
      </c>
      <c r="B446" s="827" t="s">
        <v>38</v>
      </c>
      <c r="C446" s="827" t="s">
        <v>3755</v>
      </c>
      <c r="D446" s="827">
        <v>-0.71658492088317904</v>
      </c>
      <c r="E446" s="827">
        <v>-0.33354252576827997</v>
      </c>
      <c r="F446" s="827">
        <v>5.8038730174303103E-2</v>
      </c>
      <c r="G446" s="827">
        <v>0.17541241645812999</v>
      </c>
      <c r="H446" s="827">
        <v>-0.57411551475524902</v>
      </c>
      <c r="I446" s="827">
        <v>3.8705013692378998E-2</v>
      </c>
      <c r="J446" s="827">
        <v>25.8373203277588</v>
      </c>
      <c r="K446" s="827">
        <v>43.5406684875488</v>
      </c>
      <c r="L446" s="827">
        <v>48.341232299804702</v>
      </c>
      <c r="M446" s="827">
        <v>57.416267395019503</v>
      </c>
      <c r="N446" s="827">
        <v>35.5450248718262</v>
      </c>
      <c r="O446" s="827">
        <v>51.1848335266113</v>
      </c>
    </row>
    <row r="447" spans="1:15">
      <c r="A447" s="827">
        <v>2013</v>
      </c>
      <c r="B447" s="827" t="s">
        <v>53</v>
      </c>
      <c r="C447" s="827" t="s">
        <v>3756</v>
      </c>
      <c r="D447" s="827">
        <v>-0.90131652355194103</v>
      </c>
      <c r="E447" s="827">
        <v>-0.45513376593589799</v>
      </c>
      <c r="F447" s="827">
        <v>-0.41039389371871898</v>
      </c>
      <c r="G447" s="827">
        <v>-0.42655724287033098</v>
      </c>
      <c r="H447" s="827">
        <v>-0.67366319894790605</v>
      </c>
      <c r="I447" s="827">
        <v>-1.35397183895111</v>
      </c>
      <c r="J447" s="827">
        <v>18.6602878570557</v>
      </c>
      <c r="K447" s="827">
        <v>38.7559814453125</v>
      </c>
      <c r="L447" s="827">
        <v>33.1753540039063</v>
      </c>
      <c r="M447" s="827">
        <v>34.928230285644503</v>
      </c>
      <c r="N447" s="827">
        <v>30.331752777099599</v>
      </c>
      <c r="O447" s="827">
        <v>10.900473594665501</v>
      </c>
    </row>
    <row r="448" spans="1:15">
      <c r="A448" s="827">
        <v>2013</v>
      </c>
      <c r="B448" s="827" t="s">
        <v>98</v>
      </c>
      <c r="C448" s="827" t="s">
        <v>3757</v>
      </c>
      <c r="D448" s="827">
        <v>-0.57933026552200295</v>
      </c>
      <c r="E448" s="827">
        <v>-0.61724656820297197</v>
      </c>
      <c r="F448" s="827">
        <v>-0.75272607803344704</v>
      </c>
      <c r="G448" s="827">
        <v>-0.16716399788856501</v>
      </c>
      <c r="H448" s="827">
        <v>-0.526608526706696</v>
      </c>
      <c r="I448" s="827">
        <v>-0.29411286115646401</v>
      </c>
      <c r="J448" s="827">
        <v>33.492824554443402</v>
      </c>
      <c r="K448" s="827">
        <v>31.100479125976602</v>
      </c>
      <c r="L448" s="827">
        <v>21.800947189331101</v>
      </c>
      <c r="M448" s="827">
        <v>47.368419647216797</v>
      </c>
      <c r="N448" s="827">
        <v>37.440757751464801</v>
      </c>
      <c r="O448" s="827">
        <v>38.862560272216797</v>
      </c>
    </row>
    <row r="449" spans="1:15">
      <c r="A449" s="827">
        <v>2013</v>
      </c>
      <c r="B449" s="827" t="s">
        <v>127</v>
      </c>
      <c r="C449" s="827" t="s">
        <v>3758</v>
      </c>
      <c r="D449" s="827">
        <v>-1.04145860671997</v>
      </c>
      <c r="E449" s="827">
        <v>-1.7808928489685101</v>
      </c>
      <c r="F449" s="827">
        <v>-2.1458115577697798</v>
      </c>
      <c r="G449" s="827">
        <v>-1.1283259391784699</v>
      </c>
      <c r="H449" s="827">
        <v>-1.8342373371124301</v>
      </c>
      <c r="I449" s="827">
        <v>-1.5287349224090601</v>
      </c>
      <c r="J449" s="827">
        <v>14.8325357437134</v>
      </c>
      <c r="K449" s="827">
        <v>0.95693778991699197</v>
      </c>
      <c r="L449" s="827">
        <v>3.3175356388092001</v>
      </c>
      <c r="M449" s="827">
        <v>12.9186601638794</v>
      </c>
      <c r="N449" s="827">
        <v>0.47393363714218101</v>
      </c>
      <c r="O449" s="827">
        <v>6.1611375808715803</v>
      </c>
    </row>
    <row r="450" spans="1:15">
      <c r="A450" s="827">
        <v>2013</v>
      </c>
      <c r="B450" s="827" t="s">
        <v>138</v>
      </c>
      <c r="C450" s="827" t="s">
        <v>3759</v>
      </c>
      <c r="D450" s="827">
        <v>-1.28494489192963</v>
      </c>
      <c r="E450" s="827">
        <v>-1.49598205089569</v>
      </c>
      <c r="F450" s="827">
        <v>-1.1007781028747601</v>
      </c>
      <c r="G450" s="827">
        <v>-1.0154626369476301</v>
      </c>
      <c r="H450" s="827">
        <v>-1.37246882915497</v>
      </c>
      <c r="I450" s="827">
        <v>-1.3838688135147099</v>
      </c>
      <c r="J450" s="827">
        <v>6.2200956344604501</v>
      </c>
      <c r="K450" s="827">
        <v>5.2631578445434597</v>
      </c>
      <c r="L450" s="827">
        <v>15.165876388549799</v>
      </c>
      <c r="M450" s="827">
        <v>15.7894735336304</v>
      </c>
      <c r="N450" s="827">
        <v>5.6872038841247603</v>
      </c>
      <c r="O450" s="827">
        <v>10.4265403747559</v>
      </c>
    </row>
    <row r="451" spans="1:15">
      <c r="A451" s="827">
        <v>2013</v>
      </c>
      <c r="B451" s="827" t="s">
        <v>171</v>
      </c>
      <c r="C451" s="827" t="s">
        <v>3760</v>
      </c>
      <c r="D451" s="827">
        <v>-1.29776847362518</v>
      </c>
      <c r="E451" s="827">
        <v>-1.59205114841461</v>
      </c>
      <c r="F451" s="827">
        <v>-2.2300465106964098</v>
      </c>
      <c r="G451" s="827">
        <v>-1.2807377576828001</v>
      </c>
      <c r="H451" s="827">
        <v>-1.549072265625</v>
      </c>
      <c r="I451" s="827">
        <v>-1.4673969745636</v>
      </c>
      <c r="J451" s="827">
        <v>5.7416267395019496</v>
      </c>
      <c r="K451" s="827">
        <v>1.4354066848754901</v>
      </c>
      <c r="L451" s="827">
        <v>2.36966824531555</v>
      </c>
      <c r="M451" s="827">
        <v>9.5693778991699201</v>
      </c>
      <c r="N451" s="827">
        <v>2.8436019420623802</v>
      </c>
      <c r="O451" s="827">
        <v>7.5829381942748997</v>
      </c>
    </row>
    <row r="452" spans="1:15">
      <c r="A452" s="827">
        <v>2013</v>
      </c>
      <c r="B452" s="827" t="s">
        <v>465</v>
      </c>
      <c r="C452" s="827" t="s">
        <v>3761</v>
      </c>
      <c r="D452" s="827">
        <v>-1.1871302127838099</v>
      </c>
      <c r="E452" s="827">
        <v>-1.2225868701934799</v>
      </c>
      <c r="F452" s="827">
        <v>-0.466122686862946</v>
      </c>
      <c r="G452" s="827">
        <v>-1.3572151660919201</v>
      </c>
      <c r="H452" s="827">
        <v>-1.09239518642426</v>
      </c>
      <c r="I452" s="827">
        <v>-1.1248090267181401</v>
      </c>
      <c r="J452" s="827">
        <v>10.5263156890869</v>
      </c>
      <c r="K452" s="827">
        <v>11.004784584045399</v>
      </c>
      <c r="L452" s="827">
        <v>29.8578205108643</v>
      </c>
      <c r="M452" s="827">
        <v>8.13397121429443</v>
      </c>
      <c r="N452" s="827">
        <v>13.7440757751465</v>
      </c>
      <c r="O452" s="827">
        <v>15.6398105621338</v>
      </c>
    </row>
    <row r="453" spans="1:15">
      <c r="A453" s="827">
        <v>2013</v>
      </c>
      <c r="B453" s="827" t="s">
        <v>101</v>
      </c>
      <c r="C453" s="827" t="s">
        <v>3762</v>
      </c>
      <c r="D453" s="827">
        <v>-1.1921844482421899</v>
      </c>
      <c r="E453" s="827">
        <v>-0.86477208137512196</v>
      </c>
      <c r="F453" s="827">
        <v>-0.51781761646270796</v>
      </c>
      <c r="G453" s="827">
        <v>-0.92971539497375499</v>
      </c>
      <c r="H453" s="827">
        <v>-1.0458563566207899</v>
      </c>
      <c r="I453" s="827">
        <v>-1.04192054271698</v>
      </c>
      <c r="J453" s="827">
        <v>9.5693778991699201</v>
      </c>
      <c r="K453" s="827">
        <v>20.574163436889599</v>
      </c>
      <c r="L453" s="827">
        <v>28.436019897460898</v>
      </c>
      <c r="M453" s="827">
        <v>20.0956935882568</v>
      </c>
      <c r="N453" s="827">
        <v>15.165876388549799</v>
      </c>
      <c r="O453" s="827">
        <v>17.535545349121101</v>
      </c>
    </row>
    <row r="454" spans="1:15">
      <c r="A454" s="827">
        <v>2013</v>
      </c>
      <c r="B454" s="827" t="s">
        <v>188</v>
      </c>
      <c r="C454" s="827" t="s">
        <v>3763</v>
      </c>
      <c r="D454" s="827">
        <v>-1.6088148355484</v>
      </c>
      <c r="E454" s="827">
        <v>-1.5913176536560101</v>
      </c>
      <c r="F454" s="827">
        <v>8.0906070768833202E-2</v>
      </c>
      <c r="G454" s="827">
        <v>-1.43687927722931</v>
      </c>
      <c r="H454" s="827">
        <v>-1.3177694082260101</v>
      </c>
      <c r="I454" s="827">
        <v>-1.9622449874877901</v>
      </c>
      <c r="J454" s="827">
        <v>0</v>
      </c>
      <c r="K454" s="827">
        <v>1.9138755798339799</v>
      </c>
      <c r="L454" s="827">
        <v>50.236965179443402</v>
      </c>
      <c r="M454" s="827">
        <v>6.6985645294189498</v>
      </c>
      <c r="N454" s="827">
        <v>7.1090049743652299</v>
      </c>
      <c r="O454" s="827">
        <v>1.89573454856873</v>
      </c>
    </row>
    <row r="455" spans="1:15">
      <c r="A455" s="827">
        <v>2013</v>
      </c>
      <c r="B455" s="827" t="s">
        <v>191</v>
      </c>
      <c r="C455" s="827" t="s">
        <v>3764</v>
      </c>
      <c r="D455" s="827">
        <v>-0.55725061893463101</v>
      </c>
      <c r="E455" s="827">
        <v>-0.76872265338897705</v>
      </c>
      <c r="F455" s="827">
        <v>0.33723980188369801</v>
      </c>
      <c r="G455" s="827">
        <v>-0.56472367048263605</v>
      </c>
      <c r="H455" s="827">
        <v>-0.51648277044296298</v>
      </c>
      <c r="I455" s="827">
        <v>-0.85770004987716697</v>
      </c>
      <c r="J455" s="827">
        <v>36.363636016845703</v>
      </c>
      <c r="K455" s="827">
        <v>24.401914596557599</v>
      </c>
      <c r="L455" s="827">
        <v>58.767772674560497</v>
      </c>
      <c r="M455" s="827">
        <v>31.100479125976602</v>
      </c>
      <c r="N455" s="827">
        <v>38.388626098632798</v>
      </c>
      <c r="O455" s="827">
        <v>24.170616149902301</v>
      </c>
    </row>
    <row r="456" spans="1:15">
      <c r="A456" s="827">
        <v>2013</v>
      </c>
      <c r="B456" s="827" t="s">
        <v>195</v>
      </c>
      <c r="C456" s="827" t="s">
        <v>3765</v>
      </c>
      <c r="D456" s="827">
        <v>-7.4241228401660905E-2</v>
      </c>
      <c r="E456" s="827">
        <v>-8.6076162755489294E-2</v>
      </c>
      <c r="F456" s="827">
        <v>2.0406404510140402E-2</v>
      </c>
      <c r="G456" s="827">
        <v>7.7964797616004902E-2</v>
      </c>
      <c r="H456" s="827">
        <v>0.10850994288921401</v>
      </c>
      <c r="I456" s="827">
        <v>0.41065856814384499</v>
      </c>
      <c r="J456" s="827">
        <v>56.4593315124512</v>
      </c>
      <c r="K456" s="827">
        <v>50.717704772949197</v>
      </c>
      <c r="L456" s="827">
        <v>47.393363952636697</v>
      </c>
      <c r="M456" s="827">
        <v>55.502391815185497</v>
      </c>
      <c r="N456" s="827">
        <v>56.872039794921903</v>
      </c>
      <c r="O456" s="827">
        <v>60.663505554199197</v>
      </c>
    </row>
    <row r="457" spans="1:15">
      <c r="A457" s="827">
        <v>2013</v>
      </c>
      <c r="B457" s="827" t="s">
        <v>219</v>
      </c>
      <c r="C457" s="827" t="s">
        <v>3766</v>
      </c>
      <c r="D457" s="827">
        <v>-0.57699608802795399</v>
      </c>
      <c r="E457" s="827">
        <v>-0.71231389045715299</v>
      </c>
      <c r="F457" s="827">
        <v>-0.69491678476333596</v>
      </c>
      <c r="G457" s="827">
        <v>-0.21209135651588401</v>
      </c>
      <c r="H457" s="827">
        <v>-1.11171722412109</v>
      </c>
      <c r="I457" s="827">
        <v>-0.40357473492622398</v>
      </c>
      <c r="J457" s="827">
        <v>33.971290588378899</v>
      </c>
      <c r="K457" s="827">
        <v>27.272727966308601</v>
      </c>
      <c r="L457" s="827">
        <v>23.696681976318398</v>
      </c>
      <c r="M457" s="827">
        <v>45.454544067382798</v>
      </c>
      <c r="N457" s="827">
        <v>13.2701425552368</v>
      </c>
      <c r="O457" s="827">
        <v>35.5450248718262</v>
      </c>
    </row>
    <row r="458" spans="1:15">
      <c r="A458" s="827">
        <v>2013</v>
      </c>
      <c r="B458" s="827" t="s">
        <v>3089</v>
      </c>
      <c r="C458" s="827" t="s">
        <v>3767</v>
      </c>
      <c r="D458" s="827">
        <v>-1.0600458383560201</v>
      </c>
      <c r="E458" s="827">
        <v>-1.3200429677963299</v>
      </c>
      <c r="F458" s="827">
        <v>-1.22575664520264</v>
      </c>
      <c r="G458" s="827">
        <v>-1.0078763961792001</v>
      </c>
      <c r="H458" s="827">
        <v>-1.4214503765106199</v>
      </c>
      <c r="I458" s="827">
        <v>-1.0647956132888801</v>
      </c>
      <c r="J458" s="827">
        <v>13.3971290588379</v>
      </c>
      <c r="K458" s="827">
        <v>9.0909090042114293</v>
      </c>
      <c r="L458" s="827">
        <v>11.374407768249499</v>
      </c>
      <c r="M458" s="827">
        <v>16.267942428588899</v>
      </c>
      <c r="N458" s="827">
        <v>4.7393364906311</v>
      </c>
      <c r="O458" s="827">
        <v>17.061611175537099</v>
      </c>
    </row>
    <row r="459" spans="1:15">
      <c r="A459" s="827">
        <v>2013</v>
      </c>
      <c r="B459" s="827" t="s">
        <v>243</v>
      </c>
      <c r="C459" s="827" t="s">
        <v>3768</v>
      </c>
      <c r="D459" s="827">
        <v>-0.62189257144928001</v>
      </c>
      <c r="E459" s="827">
        <v>-0.23797361552715299</v>
      </c>
      <c r="F459" s="827">
        <v>-0.50047028064727805</v>
      </c>
      <c r="G459" s="827">
        <v>-0.197141587734222</v>
      </c>
      <c r="H459" s="827">
        <v>-0.55442750453948997</v>
      </c>
      <c r="I459" s="827">
        <v>2.51646363176405E-3</v>
      </c>
      <c r="J459" s="827">
        <v>31.5789470672607</v>
      </c>
      <c r="K459" s="827">
        <v>45.454544067382798</v>
      </c>
      <c r="L459" s="827">
        <v>28.9099521636963</v>
      </c>
      <c r="M459" s="827">
        <v>46.411483764648402</v>
      </c>
      <c r="N459" s="827">
        <v>36.492889404296903</v>
      </c>
      <c r="O459" s="827">
        <v>48.8151664733887</v>
      </c>
    </row>
    <row r="460" spans="1:15">
      <c r="A460" s="827">
        <v>2013</v>
      </c>
      <c r="B460" s="827" t="s">
        <v>251</v>
      </c>
      <c r="C460" s="827" t="s">
        <v>3769</v>
      </c>
      <c r="D460" s="827">
        <v>-1.24591684341431</v>
      </c>
      <c r="E460" s="827">
        <v>-1.07856285572052</v>
      </c>
      <c r="F460" s="827">
        <v>-1.9885441064834599</v>
      </c>
      <c r="G460" s="827">
        <v>-1.25800013542175</v>
      </c>
      <c r="H460" s="827">
        <v>-1.47142910957336</v>
      </c>
      <c r="I460" s="827">
        <v>-1.09648656845093</v>
      </c>
      <c r="J460" s="827">
        <v>7.1770334243774396</v>
      </c>
      <c r="K460" s="827">
        <v>14.354066848754901</v>
      </c>
      <c r="L460" s="827">
        <v>4.26540279388428</v>
      </c>
      <c r="M460" s="827">
        <v>10.5263156890869</v>
      </c>
      <c r="N460" s="827">
        <v>3.7914690971374498</v>
      </c>
      <c r="O460" s="827">
        <v>16.5876770019531</v>
      </c>
    </row>
    <row r="461" spans="1:15">
      <c r="A461" s="827">
        <v>2013</v>
      </c>
      <c r="B461" s="827" t="s">
        <v>280</v>
      </c>
      <c r="C461" s="827" t="s">
        <v>3770</v>
      </c>
      <c r="D461" s="827">
        <v>-0.89843583106994596</v>
      </c>
      <c r="E461" s="827">
        <v>-0.53702217340469405</v>
      </c>
      <c r="F461" s="827">
        <v>-0.38138318061828602</v>
      </c>
      <c r="G461" s="827">
        <v>-0.38304501771926902</v>
      </c>
      <c r="H461" s="827">
        <v>-0.66697525978088401</v>
      </c>
      <c r="I461" s="827">
        <v>-1.2243735790252701</v>
      </c>
      <c r="J461" s="827">
        <v>20.0956935882568</v>
      </c>
      <c r="K461" s="827">
        <v>35.406700134277301</v>
      </c>
      <c r="L461" s="827">
        <v>34.597156524658203</v>
      </c>
      <c r="M461" s="827">
        <v>36.842105865478501</v>
      </c>
      <c r="N461" s="827">
        <v>30.805686950683601</v>
      </c>
      <c r="O461" s="827">
        <v>14.218009948730501</v>
      </c>
    </row>
    <row r="462" spans="1:15">
      <c r="A462" s="827">
        <v>2013</v>
      </c>
      <c r="B462" s="827" t="s">
        <v>285</v>
      </c>
      <c r="C462" s="827" t="s">
        <v>3771</v>
      </c>
      <c r="D462" s="827">
        <v>-1.1249353885650599</v>
      </c>
      <c r="E462" s="827">
        <v>-0.69312542676925704</v>
      </c>
      <c r="F462" s="827">
        <v>-0.91044151782989502</v>
      </c>
      <c r="G462" s="827">
        <v>-0.32909792661666898</v>
      </c>
      <c r="H462" s="827">
        <v>-1.13858914375305</v>
      </c>
      <c r="I462" s="827">
        <v>-0.565440714359283</v>
      </c>
      <c r="J462" s="827">
        <v>11.483253479003899</v>
      </c>
      <c r="K462" s="827">
        <v>28.708133697509801</v>
      </c>
      <c r="L462" s="827">
        <v>19.431280136108398</v>
      </c>
      <c r="M462" s="827">
        <v>41.626792907714801</v>
      </c>
      <c r="N462" s="827">
        <v>12.7962083816528</v>
      </c>
      <c r="O462" s="827">
        <v>30.331752777099599</v>
      </c>
    </row>
    <row r="463" spans="1:15">
      <c r="A463" s="827">
        <v>2013</v>
      </c>
      <c r="B463" s="827" t="s">
        <v>301</v>
      </c>
      <c r="C463" s="827" t="s">
        <v>3772</v>
      </c>
      <c r="D463" s="827">
        <v>-0.67755973339080799</v>
      </c>
      <c r="E463" s="827">
        <v>-1.3334478139877299</v>
      </c>
      <c r="F463" s="827">
        <v>-0.46151947975158703</v>
      </c>
      <c r="G463" s="827">
        <v>-0.91605013608932495</v>
      </c>
      <c r="H463" s="827">
        <v>-0.91562843322753895</v>
      </c>
      <c r="I463" s="827">
        <v>-0.44720283150672901</v>
      </c>
      <c r="J463" s="827">
        <v>28.708133697509801</v>
      </c>
      <c r="K463" s="827">
        <v>8.6124401092529297</v>
      </c>
      <c r="L463" s="827">
        <v>31.279621124267599</v>
      </c>
      <c r="M463" s="827">
        <v>21.0526313781738</v>
      </c>
      <c r="N463" s="827">
        <v>19.431280136108398</v>
      </c>
      <c r="O463" s="827">
        <v>33.1753540039063</v>
      </c>
    </row>
    <row r="464" spans="1:15">
      <c r="A464" s="827">
        <v>2013</v>
      </c>
      <c r="B464" s="827" t="s">
        <v>316</v>
      </c>
      <c r="C464" s="827" t="s">
        <v>3773</v>
      </c>
      <c r="D464" s="827">
        <v>-0.68909555673599199</v>
      </c>
      <c r="E464" s="827">
        <v>-1.1237829923629801</v>
      </c>
      <c r="F464" s="827">
        <v>-0.71434897184371904</v>
      </c>
      <c r="G464" s="827">
        <v>-0.66955476999282804</v>
      </c>
      <c r="H464" s="827">
        <v>-0.89731436967849698</v>
      </c>
      <c r="I464" s="827">
        <v>-0.78014206886291504</v>
      </c>
      <c r="J464" s="827">
        <v>27.272727966308601</v>
      </c>
      <c r="K464" s="827">
        <v>13.875597953796399</v>
      </c>
      <c r="L464" s="827">
        <v>23.222749710083001</v>
      </c>
      <c r="M464" s="827">
        <v>27.751195907592798</v>
      </c>
      <c r="N464" s="827">
        <v>19.9052124023438</v>
      </c>
      <c r="O464" s="827">
        <v>26.540285110473601</v>
      </c>
    </row>
    <row r="465" spans="1:15">
      <c r="A465" s="827">
        <v>2013</v>
      </c>
      <c r="B465" s="827" t="s">
        <v>329</v>
      </c>
      <c r="C465" s="827" t="s">
        <v>3774</v>
      </c>
      <c r="D465" s="827">
        <v>-0.72532027959823597</v>
      </c>
      <c r="E465" s="827">
        <v>-0.83902931213378895</v>
      </c>
      <c r="F465" s="827">
        <v>-1.68542444705963</v>
      </c>
      <c r="G465" s="827">
        <v>-0.50220733880996704</v>
      </c>
      <c r="H465" s="827">
        <v>-0.74970912933349598</v>
      </c>
      <c r="I465" s="827">
        <v>-0.30246958136558499</v>
      </c>
      <c r="J465" s="827">
        <v>25.358852386474599</v>
      </c>
      <c r="K465" s="827">
        <v>22.009569168090799</v>
      </c>
      <c r="L465" s="827">
        <v>6.63507127761841</v>
      </c>
      <c r="M465" s="827">
        <v>33.014354705810497</v>
      </c>
      <c r="N465" s="827">
        <v>27.014217376708999</v>
      </c>
      <c r="O465" s="827">
        <v>37.9146919250488</v>
      </c>
    </row>
    <row r="466" spans="1:15">
      <c r="A466" s="827">
        <v>2013</v>
      </c>
      <c r="B466" s="827" t="s">
        <v>345</v>
      </c>
      <c r="C466" s="827" t="s">
        <v>3775</v>
      </c>
      <c r="D466" s="827">
        <v>-0.67925357818603505</v>
      </c>
      <c r="E466" s="827">
        <v>-0.902690470218658</v>
      </c>
      <c r="F466" s="827">
        <v>-1.0169016122818</v>
      </c>
      <c r="G466" s="827">
        <v>-0.69623476266860995</v>
      </c>
      <c r="H466" s="827">
        <v>-0.946766138076782</v>
      </c>
      <c r="I466" s="827">
        <v>-0.93083661794662498</v>
      </c>
      <c r="J466" s="827">
        <v>28.2296657562256</v>
      </c>
      <c r="K466" s="827">
        <v>19.138755798339801</v>
      </c>
      <c r="L466" s="827">
        <v>17.535545349121101</v>
      </c>
      <c r="M466" s="827">
        <v>25.8373203277588</v>
      </c>
      <c r="N466" s="827">
        <v>18.483411788940401</v>
      </c>
      <c r="O466" s="827">
        <v>22.274881362915</v>
      </c>
    </row>
    <row r="467" spans="1:15">
      <c r="A467" s="827">
        <v>2013</v>
      </c>
      <c r="B467" s="827" t="s">
        <v>385</v>
      </c>
      <c r="C467" s="827" t="s">
        <v>3776</v>
      </c>
      <c r="D467" s="827">
        <v>-0.64969909191131603</v>
      </c>
      <c r="E467" s="827">
        <v>-0.64878118038177501</v>
      </c>
      <c r="F467" s="827">
        <v>-0.27105963230133101</v>
      </c>
      <c r="G467" s="827">
        <v>-0.41240876913070701</v>
      </c>
      <c r="H467" s="827">
        <v>-0.84657299518585205</v>
      </c>
      <c r="I467" s="827">
        <v>-0.286721050739288</v>
      </c>
      <c r="J467" s="827">
        <v>29.6650714874268</v>
      </c>
      <c r="K467" s="827">
        <v>30.6220092773438</v>
      </c>
      <c r="L467" s="827">
        <v>37.440757751464801</v>
      </c>
      <c r="M467" s="827">
        <v>35.885166168212898</v>
      </c>
      <c r="N467" s="827">
        <v>21.800947189331101</v>
      </c>
      <c r="O467" s="827">
        <v>39.336494445800803</v>
      </c>
    </row>
    <row r="468" spans="1:15">
      <c r="A468" s="827">
        <v>2013</v>
      </c>
      <c r="B468" s="827" t="s">
        <v>394</v>
      </c>
      <c r="C468" s="827" t="s">
        <v>3777</v>
      </c>
      <c r="D468" s="827">
        <v>-0.570109903812408</v>
      </c>
      <c r="E468" s="827">
        <v>-0.70707750320434604</v>
      </c>
      <c r="F468" s="827">
        <v>-1.2963707447052</v>
      </c>
      <c r="G468" s="827">
        <v>-0.60919606685638406</v>
      </c>
      <c r="H468" s="827">
        <v>-0.74528527259826705</v>
      </c>
      <c r="I468" s="827">
        <v>-0.35532829165458701</v>
      </c>
      <c r="J468" s="827">
        <v>35.406700134277301</v>
      </c>
      <c r="K468" s="827">
        <v>27.751195907592798</v>
      </c>
      <c r="L468" s="827">
        <v>9.9526062011718803</v>
      </c>
      <c r="M468" s="827">
        <v>29.6650714874268</v>
      </c>
      <c r="N468" s="827">
        <v>27.488151550293001</v>
      </c>
      <c r="O468" s="827">
        <v>36.492889404296903</v>
      </c>
    </row>
    <row r="469" spans="1:15">
      <c r="A469" s="827">
        <v>2013</v>
      </c>
      <c r="B469" s="827" t="s">
        <v>413</v>
      </c>
      <c r="C469" s="827" t="s">
        <v>3778</v>
      </c>
      <c r="D469" s="827">
        <v>-1.1967065334320099</v>
      </c>
      <c r="E469" s="827">
        <v>-1.00930428504944</v>
      </c>
      <c r="F469" s="827">
        <v>-2.0793542861938499</v>
      </c>
      <c r="G469" s="827">
        <v>-0.70594626665115401</v>
      </c>
      <c r="H469" s="827">
        <v>-1.15765941143036</v>
      </c>
      <c r="I469" s="827">
        <v>-0.74442768096923795</v>
      </c>
      <c r="J469" s="827">
        <v>9.0909090042114293</v>
      </c>
      <c r="K469" s="827">
        <v>16.267942428588899</v>
      </c>
      <c r="L469" s="827">
        <v>3.7914690971374498</v>
      </c>
      <c r="M469" s="827">
        <v>25.358852386474599</v>
      </c>
      <c r="N469" s="827">
        <v>12.3222751617432</v>
      </c>
      <c r="O469" s="827">
        <v>27.488151550293001</v>
      </c>
    </row>
    <row r="470" spans="1:15">
      <c r="A470" s="827">
        <v>2013</v>
      </c>
      <c r="B470" s="827" t="s">
        <v>449</v>
      </c>
      <c r="C470" s="827" t="s">
        <v>3779</v>
      </c>
      <c r="D470" s="827">
        <v>-0.43786224722862199</v>
      </c>
      <c r="E470" s="827">
        <v>-0.142404735088348</v>
      </c>
      <c r="F470" s="827">
        <v>-0.772069692611694</v>
      </c>
      <c r="G470" s="827">
        <v>0.45202887058258101</v>
      </c>
      <c r="H470" s="827">
        <v>-0.60944223403930697</v>
      </c>
      <c r="I470" s="827">
        <v>3.76140251755714E-2</v>
      </c>
      <c r="J470" s="827">
        <v>42.105262756347699</v>
      </c>
      <c r="K470" s="827">
        <v>48.803829193115199</v>
      </c>
      <c r="L470" s="827">
        <v>20.853080749511701</v>
      </c>
      <c r="M470" s="827">
        <v>66.507179260253906</v>
      </c>
      <c r="N470" s="827">
        <v>33.1753540039063</v>
      </c>
      <c r="O470" s="827">
        <v>50.710899353027301</v>
      </c>
    </row>
    <row r="471" spans="1:15">
      <c r="A471" s="827">
        <v>2013</v>
      </c>
      <c r="B471" s="827" t="s">
        <v>488</v>
      </c>
      <c r="C471" s="827" t="s">
        <v>3780</v>
      </c>
      <c r="D471" s="827">
        <v>-0.89972198009491</v>
      </c>
      <c r="E471" s="827">
        <v>-1.14457583427429</v>
      </c>
      <c r="F471" s="827">
        <v>-0.15270420908927901</v>
      </c>
      <c r="G471" s="827">
        <v>-0.68941646814346302</v>
      </c>
      <c r="H471" s="827">
        <v>-0.87730908393859897</v>
      </c>
      <c r="I471" s="827">
        <v>-0.38529446721076999</v>
      </c>
      <c r="J471" s="827">
        <v>19.138755798339801</v>
      </c>
      <c r="K471" s="827">
        <v>12.4401912689209</v>
      </c>
      <c r="L471" s="827">
        <v>40.758293151855497</v>
      </c>
      <c r="M471" s="827">
        <v>26.794258117675799</v>
      </c>
      <c r="N471" s="827">
        <v>21.3270149230957</v>
      </c>
      <c r="O471" s="827">
        <v>36.018959045410199</v>
      </c>
    </row>
    <row r="472" spans="1:15">
      <c r="A472" s="827">
        <v>2013</v>
      </c>
      <c r="B472" s="827" t="s">
        <v>499</v>
      </c>
      <c r="C472" s="827" t="s">
        <v>3781</v>
      </c>
      <c r="D472" s="827">
        <v>-0.82216185331344604</v>
      </c>
      <c r="E472" s="827">
        <v>-0.67219179868698098</v>
      </c>
      <c r="F472" s="827">
        <v>-0.151607051491737</v>
      </c>
      <c r="G472" s="827">
        <v>-0.34181043505668601</v>
      </c>
      <c r="H472" s="827">
        <v>-0.50403982400894198</v>
      </c>
      <c r="I472" s="827">
        <v>-0.22595661878585799</v>
      </c>
      <c r="J472" s="827">
        <v>22.488039016723601</v>
      </c>
      <c r="K472" s="827">
        <v>29.186603546142599</v>
      </c>
      <c r="L472" s="827">
        <v>41.232227325439503</v>
      </c>
      <c r="M472" s="827">
        <v>40.669857025146499</v>
      </c>
      <c r="N472" s="827">
        <v>38.862560272216797</v>
      </c>
      <c r="O472" s="827">
        <v>41.706161499023402</v>
      </c>
    </row>
    <row r="473" spans="1:15">
      <c r="A473" s="827">
        <v>2013</v>
      </c>
      <c r="B473" s="827" t="s">
        <v>517</v>
      </c>
      <c r="C473" s="827" t="s">
        <v>3782</v>
      </c>
      <c r="D473" s="827">
        <v>-1.0446861982345601</v>
      </c>
      <c r="E473" s="827">
        <v>-1.3709260225296001</v>
      </c>
      <c r="F473" s="827">
        <v>-0.42672345042228699</v>
      </c>
      <c r="G473" s="827">
        <v>-0.95087802410125699</v>
      </c>
      <c r="H473" s="827">
        <v>-1.0089588165283201</v>
      </c>
      <c r="I473" s="827">
        <v>-0.97900718450546298</v>
      </c>
      <c r="J473" s="827">
        <v>14.354066848754901</v>
      </c>
      <c r="K473" s="827">
        <v>7.6555023193359402</v>
      </c>
      <c r="L473" s="827">
        <v>32.701423645019503</v>
      </c>
      <c r="M473" s="827">
        <v>18.6602878570557</v>
      </c>
      <c r="N473" s="827">
        <v>15.6398105621338</v>
      </c>
      <c r="O473" s="827">
        <v>20.853080749511701</v>
      </c>
    </row>
    <row r="474" spans="1:15">
      <c r="A474" s="827">
        <v>2013</v>
      </c>
      <c r="B474" s="827" t="s">
        <v>3090</v>
      </c>
      <c r="C474" s="827" t="s">
        <v>3783</v>
      </c>
      <c r="D474" s="827">
        <v>-0.84354525804519698</v>
      </c>
      <c r="E474" s="827">
        <v>-1.258673787117</v>
      </c>
      <c r="F474" s="827">
        <v>-0.38774457573890703</v>
      </c>
      <c r="G474" s="827">
        <v>-0.99292081594467196</v>
      </c>
      <c r="H474" s="827">
        <v>-1.2689524888992301</v>
      </c>
      <c r="I474" s="827">
        <v>4.9974925816059099E-2</v>
      </c>
      <c r="J474" s="827">
        <v>21.531101226806602</v>
      </c>
      <c r="K474" s="827">
        <v>10.0478467941284</v>
      </c>
      <c r="L474" s="827">
        <v>34.123222351074197</v>
      </c>
      <c r="M474" s="827">
        <v>17.224880218505898</v>
      </c>
      <c r="N474" s="827">
        <v>9.0047397613525408</v>
      </c>
      <c r="O474" s="827">
        <v>51.658767700195298</v>
      </c>
    </row>
    <row r="475" spans="1:15">
      <c r="A475" s="827">
        <v>2013</v>
      </c>
      <c r="B475" s="827" t="s">
        <v>3091</v>
      </c>
      <c r="C475" s="827" t="s">
        <v>3784</v>
      </c>
      <c r="D475" s="827">
        <v>-0.351699888706207</v>
      </c>
      <c r="E475" s="827">
        <v>0.34887057542800898</v>
      </c>
      <c r="F475" s="827">
        <v>0.101655565202236</v>
      </c>
      <c r="G475" s="827">
        <v>0.24500684440136</v>
      </c>
      <c r="H475" s="827">
        <v>-0.22312884032726299</v>
      </c>
      <c r="I475" s="827">
        <v>0.44391617178916898</v>
      </c>
      <c r="J475" s="827">
        <v>47.368419647216797</v>
      </c>
      <c r="K475" s="827">
        <v>64.114830017089801</v>
      </c>
      <c r="L475" s="827">
        <v>50.710899353027301</v>
      </c>
      <c r="M475" s="827">
        <v>59.330142974853501</v>
      </c>
      <c r="N475" s="827">
        <v>48.341232299804702</v>
      </c>
      <c r="O475" s="827">
        <v>61.611373901367202</v>
      </c>
    </row>
    <row r="476" spans="1:15">
      <c r="A476" s="827">
        <v>2013</v>
      </c>
      <c r="B476" s="827" t="s">
        <v>3092</v>
      </c>
      <c r="C476" s="827" t="s">
        <v>3785</v>
      </c>
      <c r="D476" s="827">
        <v>-1.20271563529968</v>
      </c>
      <c r="E476" s="827">
        <v>-1.20396888256073</v>
      </c>
      <c r="F476" s="827">
        <v>-2.3490240573883101</v>
      </c>
      <c r="G476" s="827">
        <v>-0.73518371582031306</v>
      </c>
      <c r="H476" s="827">
        <v>-1.15868079662323</v>
      </c>
      <c r="I476" s="827">
        <v>-1.35257160663605</v>
      </c>
      <c r="J476" s="827">
        <v>8.6124401092529297</v>
      </c>
      <c r="K476" s="827">
        <v>11.483253479003899</v>
      </c>
      <c r="L476" s="827">
        <v>1.89573454856873</v>
      </c>
      <c r="M476" s="827">
        <v>23.923444747924801</v>
      </c>
      <c r="N476" s="827">
        <v>11.848340988159199</v>
      </c>
      <c r="O476" s="827">
        <v>11.374407768249499</v>
      </c>
    </row>
    <row r="477" spans="1:15">
      <c r="A477" s="827">
        <v>2013</v>
      </c>
      <c r="B477" s="827" t="s">
        <v>541</v>
      </c>
      <c r="C477" s="827" t="s">
        <v>3786</v>
      </c>
      <c r="D477" s="827">
        <v>-0.38686278462410001</v>
      </c>
      <c r="E477" s="827">
        <v>-0.47539421916008001</v>
      </c>
      <c r="F477" s="827">
        <v>0.389405786991119</v>
      </c>
      <c r="G477" s="827">
        <v>-0.46777227520942699</v>
      </c>
      <c r="H477" s="827">
        <v>-0.30641353130340598</v>
      </c>
      <c r="I477" s="827">
        <v>-0.111896798014641</v>
      </c>
      <c r="J477" s="827">
        <v>44.019138336181598</v>
      </c>
      <c r="K477" s="827">
        <v>38.277511596679702</v>
      </c>
      <c r="L477" s="827">
        <v>60.663505554199197</v>
      </c>
      <c r="M477" s="827">
        <v>34.449760437011697</v>
      </c>
      <c r="N477" s="827">
        <v>45.497631072997997</v>
      </c>
      <c r="O477" s="827">
        <v>45.023696899414098</v>
      </c>
    </row>
    <row r="478" spans="1:15">
      <c r="A478" s="827">
        <v>2013</v>
      </c>
      <c r="B478" s="827" t="s">
        <v>364</v>
      </c>
      <c r="C478" s="827" t="s">
        <v>3787</v>
      </c>
      <c r="D478" s="827">
        <v>-0.462237387895584</v>
      </c>
      <c r="E478" s="827">
        <v>-0.54106253385543801</v>
      </c>
      <c r="F478" s="827">
        <v>0.49927636981010398</v>
      </c>
      <c r="G478" s="827">
        <v>-0.28594869375228898</v>
      </c>
      <c r="H478" s="827">
        <v>-0.36965698003768899</v>
      </c>
      <c r="I478" s="827">
        <v>7.2999700903892503E-2</v>
      </c>
      <c r="J478" s="827">
        <v>40.1913871765137</v>
      </c>
      <c r="K478" s="827">
        <v>34.928230285644503</v>
      </c>
      <c r="L478" s="827">
        <v>63.981040954589801</v>
      </c>
      <c r="M478" s="827">
        <v>44.019138336181598</v>
      </c>
      <c r="N478" s="827">
        <v>43.601894378662102</v>
      </c>
      <c r="O478" s="827">
        <v>52.606636047363303</v>
      </c>
    </row>
    <row r="482" spans="1:1">
      <c r="A482" s="827" t="s">
        <v>3178</v>
      </c>
    </row>
    <row r="483" spans="1:1">
      <c r="A483" s="827" t="s">
        <v>3179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78"/>
  <sheetViews>
    <sheetView workbookViewId="0">
      <selection activeCell="C4" sqref="C4"/>
    </sheetView>
  </sheetViews>
  <sheetFormatPr defaultRowHeight="12.75"/>
  <cols>
    <col min="1" max="1" width="9.140625" style="832"/>
    <col min="2" max="2" width="34.85546875" style="832" bestFit="1" customWidth="1"/>
    <col min="3" max="16384" width="9.140625" style="832"/>
  </cols>
  <sheetData>
    <row r="1" spans="1:10" ht="30">
      <c r="A1" s="831"/>
    </row>
    <row r="2" spans="1:10" ht="13.15" customHeight="1">
      <c r="A2" s="841" t="s">
        <v>3311</v>
      </c>
      <c r="B2" s="842" t="s">
        <v>3310</v>
      </c>
      <c r="C2" s="842" t="s">
        <v>3309</v>
      </c>
      <c r="D2" s="844" t="s">
        <v>3308</v>
      </c>
      <c r="E2" s="842" t="s">
        <v>3307</v>
      </c>
      <c r="F2" s="839" t="s">
        <v>3306</v>
      </c>
      <c r="G2" s="840"/>
    </row>
    <row r="3" spans="1:10" ht="100.5" customHeight="1">
      <c r="A3" s="841"/>
      <c r="B3" s="843"/>
      <c r="C3" s="843"/>
      <c r="D3" s="845"/>
      <c r="E3" s="843"/>
      <c r="F3" s="833" t="s">
        <v>3305</v>
      </c>
      <c r="G3" s="833" t="s">
        <v>3304</v>
      </c>
    </row>
    <row r="4" spans="1:10">
      <c r="A4" s="834">
        <v>1</v>
      </c>
      <c r="B4" s="834" t="s">
        <v>3303</v>
      </c>
      <c r="C4" s="834">
        <v>92</v>
      </c>
      <c r="D4" s="834">
        <v>7</v>
      </c>
      <c r="E4" s="835">
        <v>2.0362670270053194</v>
      </c>
      <c r="F4" s="836">
        <v>88.640159405441224</v>
      </c>
      <c r="G4" s="836">
        <v>95.359840594558776</v>
      </c>
      <c r="I4" s="837"/>
      <c r="J4" s="837"/>
    </row>
    <row r="5" spans="1:10">
      <c r="A5" s="834">
        <v>2</v>
      </c>
      <c r="B5" s="834" t="s">
        <v>3302</v>
      </c>
      <c r="C5" s="834">
        <v>91</v>
      </c>
      <c r="D5" s="834">
        <v>7</v>
      </c>
      <c r="E5" s="835">
        <v>2.2809112256549291</v>
      </c>
      <c r="F5" s="836">
        <v>87.236496477669363</v>
      </c>
      <c r="G5" s="836">
        <v>94.763503522330637</v>
      </c>
      <c r="I5" s="837"/>
      <c r="J5" s="837"/>
    </row>
    <row r="6" spans="1:10">
      <c r="A6" s="834">
        <v>3</v>
      </c>
      <c r="B6" s="834" t="s">
        <v>3301</v>
      </c>
      <c r="C6" s="834">
        <v>89</v>
      </c>
      <c r="D6" s="834">
        <v>7</v>
      </c>
      <c r="E6" s="835">
        <v>2.0520833818266193</v>
      </c>
      <c r="F6" s="836">
        <v>85.614062419986084</v>
      </c>
      <c r="G6" s="836">
        <v>92.385937580013916</v>
      </c>
      <c r="I6" s="837"/>
      <c r="J6" s="837"/>
    </row>
    <row r="7" spans="1:10">
      <c r="A7" s="834">
        <v>4</v>
      </c>
      <c r="B7" s="834" t="s">
        <v>3300</v>
      </c>
      <c r="C7" s="834">
        <v>87</v>
      </c>
      <c r="D7" s="834">
        <v>7</v>
      </c>
      <c r="E7" s="835">
        <v>3.4082188036790666</v>
      </c>
      <c r="F7" s="836">
        <v>81.376438973929538</v>
      </c>
      <c r="G7" s="836">
        <v>92.623561026070462</v>
      </c>
      <c r="I7" s="837"/>
      <c r="J7" s="837"/>
    </row>
    <row r="8" spans="1:10">
      <c r="A8" s="834">
        <v>5</v>
      </c>
      <c r="B8" s="834" t="s">
        <v>436</v>
      </c>
      <c r="C8" s="834">
        <v>86</v>
      </c>
      <c r="D8" s="834">
        <v>7</v>
      </c>
      <c r="E8" s="835">
        <v>2.3750695698976871</v>
      </c>
      <c r="F8" s="836">
        <v>82.081135209668815</v>
      </c>
      <c r="G8" s="836">
        <v>89.918864790331185</v>
      </c>
      <c r="I8" s="837"/>
      <c r="J8" s="837"/>
    </row>
    <row r="9" spans="1:10">
      <c r="A9" s="834">
        <v>5</v>
      </c>
      <c r="B9" s="834" t="s">
        <v>3299</v>
      </c>
      <c r="C9" s="834">
        <v>86</v>
      </c>
      <c r="D9" s="834">
        <v>6</v>
      </c>
      <c r="E9" s="835">
        <v>2.6143324141450375</v>
      </c>
      <c r="F9" s="836">
        <v>81.686351516660693</v>
      </c>
      <c r="G9" s="836">
        <v>90.313648483339307</v>
      </c>
      <c r="I9" s="837"/>
      <c r="J9" s="837"/>
    </row>
    <row r="10" spans="1:10">
      <c r="A10" s="834">
        <v>7</v>
      </c>
      <c r="B10" s="834" t="s">
        <v>3298</v>
      </c>
      <c r="C10" s="834">
        <v>84</v>
      </c>
      <c r="D10" s="834">
        <v>8</v>
      </c>
      <c r="E10" s="835">
        <v>1.7526728089040384</v>
      </c>
      <c r="F10" s="836">
        <v>81.10808986530833</v>
      </c>
      <c r="G10" s="836">
        <v>86.89191013469167</v>
      </c>
      <c r="I10" s="837"/>
      <c r="J10" s="837"/>
    </row>
    <row r="11" spans="1:10">
      <c r="A11" s="834">
        <v>8</v>
      </c>
      <c r="B11" s="834" t="s">
        <v>3297</v>
      </c>
      <c r="C11" s="834">
        <v>83</v>
      </c>
      <c r="D11" s="834">
        <v>7</v>
      </c>
      <c r="E11" s="835">
        <v>1.9722755194097488</v>
      </c>
      <c r="F11" s="836">
        <v>79.745745392973916</v>
      </c>
      <c r="G11" s="836">
        <v>86.254254607026084</v>
      </c>
      <c r="I11" s="837"/>
      <c r="J11" s="837"/>
    </row>
    <row r="12" spans="1:10">
      <c r="A12" s="834">
        <v>9</v>
      </c>
      <c r="B12" s="834" t="s">
        <v>3296</v>
      </c>
      <c r="C12" s="834">
        <v>82</v>
      </c>
      <c r="D12" s="834">
        <v>6</v>
      </c>
      <c r="E12" s="835">
        <v>2.7775936075237633</v>
      </c>
      <c r="F12" s="836">
        <v>77.416970547585791</v>
      </c>
      <c r="G12" s="836">
        <v>86.583029452414209</v>
      </c>
      <c r="I12" s="837"/>
      <c r="J12" s="837"/>
    </row>
    <row r="13" spans="1:10">
      <c r="A13" s="834">
        <v>10</v>
      </c>
      <c r="B13" s="834" t="s">
        <v>3295</v>
      </c>
      <c r="C13" s="834">
        <v>81</v>
      </c>
      <c r="D13" s="834">
        <v>7</v>
      </c>
      <c r="E13" s="835">
        <v>2.4469112226080703</v>
      </c>
      <c r="F13" s="836">
        <v>76.962596482696682</v>
      </c>
      <c r="G13" s="836">
        <v>85.037403517303318</v>
      </c>
      <c r="I13" s="837"/>
      <c r="J13" s="837"/>
    </row>
    <row r="14" spans="1:10">
      <c r="A14" s="834">
        <v>11</v>
      </c>
      <c r="B14" s="834" t="s">
        <v>3294</v>
      </c>
      <c r="C14" s="834">
        <v>80</v>
      </c>
      <c r="D14" s="834">
        <v>8</v>
      </c>
      <c r="E14" s="835">
        <v>1.3128946508298953</v>
      </c>
      <c r="F14" s="836">
        <v>77.833723826130679</v>
      </c>
      <c r="G14" s="836">
        <v>82.166276173869321</v>
      </c>
      <c r="I14" s="837"/>
      <c r="J14" s="837"/>
    </row>
    <row r="15" spans="1:10">
      <c r="A15" s="834">
        <v>12</v>
      </c>
      <c r="B15" s="834" t="s">
        <v>3293</v>
      </c>
      <c r="C15" s="834">
        <v>79</v>
      </c>
      <c r="D15" s="834">
        <v>7</v>
      </c>
      <c r="E15" s="835">
        <v>2.5809291855427841</v>
      </c>
      <c r="F15" s="836">
        <v>74.741466843854411</v>
      </c>
      <c r="G15" s="836">
        <v>83.258533156145589</v>
      </c>
      <c r="I15" s="837"/>
      <c r="J15" s="837"/>
    </row>
    <row r="16" spans="1:10">
      <c r="A16" s="834">
        <v>12</v>
      </c>
      <c r="B16" s="834" t="s">
        <v>3292</v>
      </c>
      <c r="C16" s="834">
        <v>79</v>
      </c>
      <c r="D16" s="834">
        <v>6</v>
      </c>
      <c r="E16" s="835">
        <v>3.1642193989355092</v>
      </c>
      <c r="F16" s="836">
        <v>73.779037991756411</v>
      </c>
      <c r="G16" s="836">
        <v>84.220962008243589</v>
      </c>
      <c r="I16" s="837"/>
      <c r="J16" s="837"/>
    </row>
    <row r="17" spans="1:10">
      <c r="A17" s="834">
        <v>14</v>
      </c>
      <c r="B17" s="834" t="s">
        <v>3291</v>
      </c>
      <c r="C17" s="834">
        <v>78</v>
      </c>
      <c r="D17" s="834">
        <v>7</v>
      </c>
      <c r="E17" s="835">
        <v>2.0920171407150359</v>
      </c>
      <c r="F17" s="836">
        <v>74.548171717820196</v>
      </c>
      <c r="G17" s="836">
        <v>81.451828282179804</v>
      </c>
      <c r="I17" s="837"/>
      <c r="J17" s="837"/>
    </row>
    <row r="18" spans="1:10">
      <c r="A18" s="834">
        <v>15</v>
      </c>
      <c r="B18" s="834" t="s">
        <v>3290</v>
      </c>
      <c r="C18" s="834">
        <v>76</v>
      </c>
      <c r="D18" s="834">
        <v>7</v>
      </c>
      <c r="E18" s="835">
        <v>2.2646272605991866</v>
      </c>
      <c r="F18" s="836">
        <v>72.263365020011349</v>
      </c>
      <c r="G18" s="836">
        <v>79.736634979988651</v>
      </c>
      <c r="I18" s="837"/>
      <c r="J18" s="837"/>
    </row>
    <row r="19" spans="1:10">
      <c r="A19" s="834">
        <v>15</v>
      </c>
      <c r="B19" s="834" t="s">
        <v>3289</v>
      </c>
      <c r="C19" s="834">
        <v>76</v>
      </c>
      <c r="D19" s="834">
        <v>8</v>
      </c>
      <c r="E19" s="835">
        <v>3.161298885397005</v>
      </c>
      <c r="F19" s="836">
        <v>70.783856839094938</v>
      </c>
      <c r="G19" s="836">
        <v>81.216143160905062</v>
      </c>
      <c r="I19" s="837"/>
      <c r="J19" s="837"/>
    </row>
    <row r="20" spans="1:10">
      <c r="A20" s="834">
        <v>17</v>
      </c>
      <c r="B20" s="834" t="s">
        <v>3288</v>
      </c>
      <c r="C20" s="834">
        <v>74</v>
      </c>
      <c r="D20" s="834">
        <v>3</v>
      </c>
      <c r="E20" s="835">
        <v>8.0859831007513367</v>
      </c>
      <c r="F20" s="836">
        <v>60.658127883760294</v>
      </c>
      <c r="G20" s="836">
        <v>87.341872116239699</v>
      </c>
      <c r="I20" s="837"/>
      <c r="J20" s="837"/>
    </row>
    <row r="21" spans="1:10">
      <c r="A21" s="834">
        <v>17</v>
      </c>
      <c r="B21" s="834" t="s">
        <v>3287</v>
      </c>
      <c r="C21" s="834">
        <v>74</v>
      </c>
      <c r="D21" s="834">
        <v>7</v>
      </c>
      <c r="E21" s="835">
        <v>2.7536606505699019</v>
      </c>
      <c r="F21" s="836">
        <v>69.45645992655966</v>
      </c>
      <c r="G21" s="836">
        <v>78.54354007344034</v>
      </c>
      <c r="I21" s="837"/>
      <c r="J21" s="837"/>
    </row>
    <row r="22" spans="1:10">
      <c r="A22" s="834">
        <v>17</v>
      </c>
      <c r="B22" s="834" t="s">
        <v>3286</v>
      </c>
      <c r="C22" s="834">
        <v>74</v>
      </c>
      <c r="D22" s="834">
        <v>6</v>
      </c>
      <c r="E22" s="835">
        <v>4.7485246043848539</v>
      </c>
      <c r="F22" s="836">
        <v>66.164934402764999</v>
      </c>
      <c r="G22" s="836">
        <v>81.835065597235001</v>
      </c>
      <c r="I22" s="837"/>
      <c r="J22" s="837"/>
    </row>
    <row r="23" spans="1:10">
      <c r="A23" s="834">
        <v>17</v>
      </c>
      <c r="B23" s="834" t="s">
        <v>3149</v>
      </c>
      <c r="C23" s="834">
        <v>74</v>
      </c>
      <c r="D23" s="834">
        <v>8</v>
      </c>
      <c r="E23" s="835">
        <v>3.7442267870685693</v>
      </c>
      <c r="F23" s="836">
        <v>67.822025801336864</v>
      </c>
      <c r="G23" s="836">
        <v>80.177974198663136</v>
      </c>
      <c r="I23" s="837"/>
      <c r="J23" s="837"/>
    </row>
    <row r="24" spans="1:10">
      <c r="A24" s="834">
        <v>21</v>
      </c>
      <c r="B24" s="834" t="s">
        <v>3146</v>
      </c>
      <c r="C24" s="834">
        <v>73</v>
      </c>
      <c r="D24" s="834">
        <v>8</v>
      </c>
      <c r="E24" s="835">
        <v>1.7383656981138025</v>
      </c>
      <c r="F24" s="836">
        <v>70.131696598112228</v>
      </c>
      <c r="G24" s="836">
        <v>75.868303401887772</v>
      </c>
      <c r="I24" s="837"/>
      <c r="J24" s="837"/>
    </row>
    <row r="25" spans="1:10">
      <c r="A25" s="834">
        <v>21</v>
      </c>
      <c r="B25" s="834" t="s">
        <v>3285</v>
      </c>
      <c r="C25" s="834">
        <v>73</v>
      </c>
      <c r="D25" s="834">
        <v>6</v>
      </c>
      <c r="E25" s="835">
        <v>1.4080201752345205</v>
      </c>
      <c r="F25" s="836">
        <v>70.676766710863035</v>
      </c>
      <c r="G25" s="836">
        <v>75.323233289136965</v>
      </c>
      <c r="I25" s="837"/>
      <c r="J25" s="837"/>
    </row>
    <row r="26" spans="1:10">
      <c r="A26" s="834">
        <v>23</v>
      </c>
      <c r="B26" s="834" t="s">
        <v>3284</v>
      </c>
      <c r="C26" s="834">
        <v>72</v>
      </c>
      <c r="D26" s="834">
        <v>7</v>
      </c>
      <c r="E26" s="835">
        <v>3.4875911152565715</v>
      </c>
      <c r="F26" s="836">
        <v>66.245474659826655</v>
      </c>
      <c r="G26" s="836">
        <v>77.754525340173345</v>
      </c>
      <c r="I26" s="837"/>
      <c r="J26" s="837"/>
    </row>
    <row r="27" spans="1:10">
      <c r="A27" s="834">
        <v>24</v>
      </c>
      <c r="B27" s="834" t="s">
        <v>3283</v>
      </c>
      <c r="C27" s="834">
        <v>71</v>
      </c>
      <c r="D27" s="834">
        <v>3</v>
      </c>
      <c r="E27" s="835">
        <v>0.99064901122509408</v>
      </c>
      <c r="F27" s="836">
        <v>69.365429131478592</v>
      </c>
      <c r="G27" s="836">
        <v>72.634570868521408</v>
      </c>
      <c r="I27" s="837"/>
      <c r="J27" s="837"/>
    </row>
    <row r="28" spans="1:10">
      <c r="A28" s="834">
        <v>25</v>
      </c>
      <c r="B28" s="834" t="s">
        <v>3282</v>
      </c>
      <c r="C28" s="834">
        <v>70</v>
      </c>
      <c r="D28" s="834">
        <v>7</v>
      </c>
      <c r="E28" s="835">
        <v>5.1414335742404722</v>
      </c>
      <c r="F28" s="836">
        <v>61.516634602503217</v>
      </c>
      <c r="G28" s="836">
        <v>78.483365397496783</v>
      </c>
      <c r="I28" s="837"/>
      <c r="J28" s="837"/>
    </row>
    <row r="29" spans="1:10">
      <c r="A29" s="834">
        <v>26</v>
      </c>
      <c r="B29" s="834" t="s">
        <v>3281</v>
      </c>
      <c r="C29" s="834">
        <v>69</v>
      </c>
      <c r="D29" s="834">
        <v>9</v>
      </c>
      <c r="E29" s="835">
        <v>2.8882678575980893</v>
      </c>
      <c r="F29" s="836">
        <v>64.234358034963151</v>
      </c>
      <c r="G29" s="836">
        <v>73.765641965036849</v>
      </c>
      <c r="I29" s="837"/>
      <c r="J29" s="837"/>
    </row>
    <row r="30" spans="1:10">
      <c r="A30" s="834">
        <v>26</v>
      </c>
      <c r="B30" s="834" t="s">
        <v>3280</v>
      </c>
      <c r="C30" s="834">
        <v>69</v>
      </c>
      <c r="D30" s="834">
        <v>7</v>
      </c>
      <c r="E30" s="835">
        <v>2.1654430452221058</v>
      </c>
      <c r="F30" s="836">
        <v>65.427018975383533</v>
      </c>
      <c r="G30" s="836">
        <v>72.572981024616467</v>
      </c>
      <c r="I30" s="837"/>
      <c r="J30" s="837"/>
    </row>
    <row r="31" spans="1:10">
      <c r="A31" s="834">
        <v>26</v>
      </c>
      <c r="B31" s="834" t="s">
        <v>3279</v>
      </c>
      <c r="C31" s="834">
        <v>69</v>
      </c>
      <c r="D31" s="834">
        <v>6</v>
      </c>
      <c r="E31" s="835">
        <v>7.212852978798602</v>
      </c>
      <c r="F31" s="836">
        <v>57.098792584982306</v>
      </c>
      <c r="G31" s="836">
        <v>80.901207415017694</v>
      </c>
      <c r="I31" s="837"/>
      <c r="J31" s="837"/>
    </row>
    <row r="32" spans="1:10">
      <c r="A32" s="834">
        <v>29</v>
      </c>
      <c r="B32" s="834" t="s">
        <v>3278</v>
      </c>
      <c r="C32" s="834">
        <v>67</v>
      </c>
      <c r="D32" s="834">
        <v>3</v>
      </c>
      <c r="E32" s="835">
        <v>4.6380414884239993</v>
      </c>
      <c r="F32" s="836">
        <v>59.347231544100403</v>
      </c>
      <c r="G32" s="836">
        <v>74.652768455899604</v>
      </c>
      <c r="I32" s="837"/>
      <c r="J32" s="837"/>
    </row>
    <row r="33" spans="1:10">
      <c r="A33" s="834">
        <v>30</v>
      </c>
      <c r="B33" s="834" t="s">
        <v>3277</v>
      </c>
      <c r="C33" s="834">
        <v>65</v>
      </c>
      <c r="D33" s="834">
        <v>4</v>
      </c>
      <c r="E33" s="835">
        <v>1.8097549495105651</v>
      </c>
      <c r="F33" s="836">
        <v>62.013904333307565</v>
      </c>
      <c r="G33" s="836">
        <v>67.986095666692435</v>
      </c>
      <c r="I33" s="837"/>
      <c r="J33" s="837"/>
    </row>
    <row r="34" spans="1:10">
      <c r="A34" s="834">
        <v>31</v>
      </c>
      <c r="B34" s="834" t="s">
        <v>3155</v>
      </c>
      <c r="C34" s="834">
        <v>63</v>
      </c>
      <c r="D34" s="834">
        <v>6</v>
      </c>
      <c r="E34" s="835">
        <v>1.9329044192774625</v>
      </c>
      <c r="F34" s="836">
        <v>59.81070770819219</v>
      </c>
      <c r="G34" s="836">
        <v>66.189292291807817</v>
      </c>
      <c r="I34" s="837"/>
      <c r="J34" s="837"/>
    </row>
    <row r="35" spans="1:10">
      <c r="A35" s="834">
        <v>31</v>
      </c>
      <c r="B35" s="834" t="s">
        <v>3276</v>
      </c>
      <c r="C35" s="834">
        <v>63</v>
      </c>
      <c r="D35" s="834">
        <v>5</v>
      </c>
      <c r="E35" s="835">
        <v>3.9175324993520331</v>
      </c>
      <c r="F35" s="836">
        <v>56.536071376069145</v>
      </c>
      <c r="G35" s="836">
        <v>69.463928623930855</v>
      </c>
      <c r="I35" s="837"/>
      <c r="J35" s="837"/>
    </row>
    <row r="36" spans="1:10">
      <c r="A36" s="834">
        <v>31</v>
      </c>
      <c r="B36" s="834" t="s">
        <v>3275</v>
      </c>
      <c r="C36" s="834">
        <v>63</v>
      </c>
      <c r="D36" s="834">
        <v>7</v>
      </c>
      <c r="E36" s="835">
        <v>3.3635475360493281</v>
      </c>
      <c r="F36" s="836">
        <v>57.450146565518608</v>
      </c>
      <c r="G36" s="836">
        <v>68.549853434481392</v>
      </c>
      <c r="I36" s="837"/>
      <c r="J36" s="837"/>
    </row>
    <row r="37" spans="1:10">
      <c r="A37" s="834">
        <v>31</v>
      </c>
      <c r="B37" s="834" t="s">
        <v>3274</v>
      </c>
      <c r="C37" s="834">
        <v>63</v>
      </c>
      <c r="D37" s="834">
        <v>3</v>
      </c>
      <c r="E37" s="835">
        <v>4.371166726603942</v>
      </c>
      <c r="F37" s="836">
        <v>55.787574901103497</v>
      </c>
      <c r="G37" s="836">
        <v>70.212425098896503</v>
      </c>
      <c r="I37" s="837"/>
      <c r="J37" s="837"/>
    </row>
    <row r="38" spans="1:10">
      <c r="A38" s="834">
        <v>35</v>
      </c>
      <c r="B38" s="834" t="s">
        <v>3273</v>
      </c>
      <c r="C38" s="834">
        <v>61</v>
      </c>
      <c r="D38" s="834">
        <v>9</v>
      </c>
      <c r="E38" s="835">
        <v>2.701960574037495</v>
      </c>
      <c r="F38" s="836">
        <v>56.54176505283813</v>
      </c>
      <c r="G38" s="836">
        <v>65.45823494716187</v>
      </c>
      <c r="I38" s="837"/>
      <c r="J38" s="837"/>
    </row>
    <row r="39" spans="1:10">
      <c r="A39" s="834">
        <v>35</v>
      </c>
      <c r="B39" s="834" t="s">
        <v>3272</v>
      </c>
      <c r="C39" s="834">
        <v>61</v>
      </c>
      <c r="D39" s="834">
        <v>7</v>
      </c>
      <c r="E39" s="835">
        <v>4.1675921673299037</v>
      </c>
      <c r="F39" s="836">
        <v>54.123472923905659</v>
      </c>
      <c r="G39" s="836">
        <v>67.876527076094334</v>
      </c>
      <c r="I39" s="837"/>
      <c r="J39" s="837"/>
    </row>
    <row r="40" spans="1:10">
      <c r="A40" s="834">
        <v>37</v>
      </c>
      <c r="B40" s="834" t="s">
        <v>3271</v>
      </c>
      <c r="C40" s="834">
        <v>60</v>
      </c>
      <c r="D40" s="834">
        <v>6</v>
      </c>
      <c r="E40" s="835">
        <v>2.3416248185910247</v>
      </c>
      <c r="F40" s="836">
        <v>56.136319049324811</v>
      </c>
      <c r="G40" s="836">
        <v>63.863680950675189</v>
      </c>
      <c r="I40" s="837"/>
      <c r="J40" s="837"/>
    </row>
    <row r="41" spans="1:10">
      <c r="A41" s="834">
        <v>37</v>
      </c>
      <c r="B41" s="834" t="s">
        <v>3270</v>
      </c>
      <c r="C41" s="834">
        <v>60</v>
      </c>
      <c r="D41" s="834">
        <v>7</v>
      </c>
      <c r="E41" s="835">
        <v>3.7464797397788274</v>
      </c>
      <c r="F41" s="836">
        <v>53.818308429364933</v>
      </c>
      <c r="G41" s="836">
        <v>66.181691570635067</v>
      </c>
      <c r="I41" s="837"/>
      <c r="J41" s="837"/>
    </row>
    <row r="42" spans="1:10">
      <c r="A42" s="834">
        <v>39</v>
      </c>
      <c r="B42" s="834" t="s">
        <v>3269</v>
      </c>
      <c r="C42" s="834">
        <v>58</v>
      </c>
      <c r="D42" s="834">
        <v>3</v>
      </c>
      <c r="E42" s="835">
        <v>2.3383116435205209</v>
      </c>
      <c r="F42" s="836">
        <v>54.141785788191143</v>
      </c>
      <c r="G42" s="836">
        <v>61.858214211808857</v>
      </c>
      <c r="I42" s="837"/>
      <c r="J42" s="837"/>
    </row>
    <row r="43" spans="1:10">
      <c r="A43" s="834">
        <v>39</v>
      </c>
      <c r="B43" s="834" t="s">
        <v>3268</v>
      </c>
      <c r="C43" s="834">
        <v>58</v>
      </c>
      <c r="D43" s="834">
        <v>8</v>
      </c>
      <c r="E43" s="835">
        <v>3.8484379864550156</v>
      </c>
      <c r="F43" s="836">
        <v>51.650077322349226</v>
      </c>
      <c r="G43" s="836">
        <v>64.349922677650781</v>
      </c>
      <c r="I43" s="837"/>
      <c r="J43" s="837"/>
    </row>
    <row r="44" spans="1:10">
      <c r="A44" s="834">
        <v>39</v>
      </c>
      <c r="B44" s="834" t="s">
        <v>3267</v>
      </c>
      <c r="C44" s="834">
        <v>58</v>
      </c>
      <c r="D44" s="834">
        <v>9</v>
      </c>
      <c r="E44" s="835">
        <v>3.0308647905167585</v>
      </c>
      <c r="F44" s="836">
        <v>52.999073095647347</v>
      </c>
      <c r="G44" s="836">
        <v>63.000926904352653</v>
      </c>
      <c r="I44" s="837"/>
      <c r="J44" s="837"/>
    </row>
    <row r="45" spans="1:10">
      <c r="A45" s="834">
        <v>42</v>
      </c>
      <c r="B45" s="834" t="s">
        <v>3266</v>
      </c>
      <c r="C45" s="834">
        <v>57</v>
      </c>
      <c r="D45" s="834">
        <v>4</v>
      </c>
      <c r="E45" s="835">
        <v>5.9421687390658242</v>
      </c>
      <c r="F45" s="836">
        <v>47.195421580541392</v>
      </c>
      <c r="G45" s="836">
        <v>66.804578419458608</v>
      </c>
      <c r="I45" s="837"/>
      <c r="J45" s="837"/>
    </row>
    <row r="46" spans="1:10">
      <c r="A46" s="834">
        <v>43</v>
      </c>
      <c r="B46" s="834" t="s">
        <v>3265</v>
      </c>
      <c r="C46" s="834">
        <v>55</v>
      </c>
      <c r="D46" s="834">
        <v>9</v>
      </c>
      <c r="E46" s="835">
        <v>2.6431832238731565</v>
      </c>
      <c r="F46" s="836">
        <v>50.638747680609292</v>
      </c>
      <c r="G46" s="836">
        <v>59.361252319390708</v>
      </c>
      <c r="I46" s="837"/>
      <c r="J46" s="837"/>
    </row>
    <row r="47" spans="1:10">
      <c r="A47" s="834">
        <v>43</v>
      </c>
      <c r="B47" s="834" t="s">
        <v>3264</v>
      </c>
      <c r="C47" s="834">
        <v>55</v>
      </c>
      <c r="D47" s="834">
        <v>8</v>
      </c>
      <c r="E47" s="835">
        <v>3.3512981687814363</v>
      </c>
      <c r="F47" s="836">
        <v>49.470358021510634</v>
      </c>
      <c r="G47" s="836">
        <v>60.529641978489366</v>
      </c>
      <c r="I47" s="837"/>
      <c r="J47" s="837"/>
    </row>
    <row r="48" spans="1:10">
      <c r="A48" s="834">
        <v>43</v>
      </c>
      <c r="B48" s="834" t="s">
        <v>3263</v>
      </c>
      <c r="C48" s="834">
        <v>55</v>
      </c>
      <c r="D48" s="834">
        <v>5</v>
      </c>
      <c r="E48" s="835">
        <v>2.6320069819058189</v>
      </c>
      <c r="F48" s="836">
        <v>50.6571884798554</v>
      </c>
      <c r="G48" s="836">
        <v>59.3428115201446</v>
      </c>
      <c r="I48" s="837"/>
      <c r="J48" s="837"/>
    </row>
    <row r="49" spans="1:10">
      <c r="A49" s="834">
        <v>43</v>
      </c>
      <c r="B49" s="834" t="s">
        <v>3262</v>
      </c>
      <c r="C49" s="834">
        <v>55</v>
      </c>
      <c r="D49" s="834">
        <v>3</v>
      </c>
      <c r="E49" s="835">
        <v>8.6223705733221685</v>
      </c>
      <c r="F49" s="836">
        <v>40.773088554018422</v>
      </c>
      <c r="G49" s="836">
        <v>69.226911445981571</v>
      </c>
      <c r="I49" s="837"/>
      <c r="J49" s="837"/>
    </row>
    <row r="50" spans="1:10">
      <c r="A50" s="834">
        <v>47</v>
      </c>
      <c r="B50" s="834" t="s">
        <v>3261</v>
      </c>
      <c r="C50" s="834">
        <v>54</v>
      </c>
      <c r="D50" s="834">
        <v>5</v>
      </c>
      <c r="E50" s="835">
        <v>4.0653657772643426</v>
      </c>
      <c r="F50" s="836">
        <v>47.292146467513838</v>
      </c>
      <c r="G50" s="836">
        <v>60.707853532486162</v>
      </c>
      <c r="I50" s="837"/>
      <c r="J50" s="837"/>
    </row>
    <row r="51" spans="1:10">
      <c r="A51" s="834">
        <v>47</v>
      </c>
      <c r="B51" s="834" t="s">
        <v>3260</v>
      </c>
      <c r="C51" s="834">
        <v>54</v>
      </c>
      <c r="D51" s="834">
        <v>9</v>
      </c>
      <c r="E51" s="835">
        <v>3.4505257132096609</v>
      </c>
      <c r="F51" s="836">
        <v>48.306632573204062</v>
      </c>
      <c r="G51" s="836">
        <v>59.693367426795938</v>
      </c>
      <c r="I51" s="837"/>
      <c r="J51" s="837"/>
    </row>
    <row r="52" spans="1:10">
      <c r="A52" s="834">
        <v>47</v>
      </c>
      <c r="B52" s="834" t="s">
        <v>3259</v>
      </c>
      <c r="C52" s="834">
        <v>54</v>
      </c>
      <c r="D52" s="834">
        <v>4</v>
      </c>
      <c r="E52" s="835">
        <v>2.393545872466329</v>
      </c>
      <c r="F52" s="836">
        <v>50.050649310430558</v>
      </c>
      <c r="G52" s="836">
        <v>57.949350689569442</v>
      </c>
      <c r="I52" s="837"/>
      <c r="J52" s="837"/>
    </row>
    <row r="53" spans="1:10">
      <c r="A53" s="834">
        <v>50</v>
      </c>
      <c r="B53" s="834" t="s">
        <v>3258</v>
      </c>
      <c r="C53" s="834">
        <v>52</v>
      </c>
      <c r="D53" s="834">
        <v>6</v>
      </c>
      <c r="E53" s="835">
        <v>6.4733865462887668</v>
      </c>
      <c r="F53" s="836">
        <v>41.318912198623536</v>
      </c>
      <c r="G53" s="836">
        <v>62.681087801376464</v>
      </c>
      <c r="I53" s="837"/>
      <c r="J53" s="837"/>
    </row>
    <row r="54" spans="1:10">
      <c r="A54" s="834">
        <v>50</v>
      </c>
      <c r="B54" s="834" t="s">
        <v>3154</v>
      </c>
      <c r="C54" s="834">
        <v>52</v>
      </c>
      <c r="D54" s="834">
        <v>8</v>
      </c>
      <c r="E54" s="835">
        <v>2.8816059930278763</v>
      </c>
      <c r="F54" s="836">
        <v>47.245350111504003</v>
      </c>
      <c r="G54" s="836">
        <v>56.754649888495997</v>
      </c>
      <c r="I54" s="837"/>
      <c r="J54" s="837"/>
    </row>
    <row r="55" spans="1:10">
      <c r="A55" s="834">
        <v>50</v>
      </c>
      <c r="B55" s="834" t="s">
        <v>3257</v>
      </c>
      <c r="C55" s="834">
        <v>52</v>
      </c>
      <c r="D55" s="834">
        <v>3</v>
      </c>
      <c r="E55" s="835">
        <v>4.8790590840047807</v>
      </c>
      <c r="F55" s="836">
        <v>43.949552511392113</v>
      </c>
      <c r="G55" s="836">
        <v>60.050447488607887</v>
      </c>
      <c r="I55" s="837"/>
      <c r="J55" s="837"/>
    </row>
    <row r="56" spans="1:10">
      <c r="A56" s="834">
        <v>53</v>
      </c>
      <c r="B56" s="834" t="s">
        <v>3256</v>
      </c>
      <c r="C56" s="834">
        <v>51</v>
      </c>
      <c r="D56" s="834">
        <v>9</v>
      </c>
      <c r="E56" s="835">
        <v>2.939060347447231</v>
      </c>
      <c r="F56" s="836">
        <v>46.150550426712073</v>
      </c>
      <c r="G56" s="836">
        <v>55.849449573287927</v>
      </c>
      <c r="I56" s="837"/>
      <c r="J56" s="837"/>
    </row>
    <row r="57" spans="1:10">
      <c r="A57" s="834">
        <v>54</v>
      </c>
      <c r="B57" s="834" t="s">
        <v>3255</v>
      </c>
      <c r="C57" s="834">
        <v>50</v>
      </c>
      <c r="D57" s="834">
        <v>8</v>
      </c>
      <c r="E57" s="835">
        <v>4.0710182752570043</v>
      </c>
      <c r="F57" s="836">
        <v>43.282819845825941</v>
      </c>
      <c r="G57" s="836">
        <v>56.717180154174059</v>
      </c>
      <c r="I57" s="837"/>
      <c r="J57" s="837"/>
    </row>
    <row r="58" spans="1:10">
      <c r="A58" s="834">
        <v>55</v>
      </c>
      <c r="B58" s="834" t="s">
        <v>3254</v>
      </c>
      <c r="C58" s="834">
        <v>49</v>
      </c>
      <c r="D58" s="834">
        <v>5</v>
      </c>
      <c r="E58" s="835">
        <v>6.1115227448208085</v>
      </c>
      <c r="F58" s="836">
        <v>38.915987471045668</v>
      </c>
      <c r="G58" s="836">
        <v>59.084012528954332</v>
      </c>
      <c r="I58" s="837"/>
      <c r="J58" s="837"/>
    </row>
    <row r="59" spans="1:10">
      <c r="A59" s="834">
        <v>55</v>
      </c>
      <c r="B59" s="834" t="s">
        <v>3253</v>
      </c>
      <c r="C59" s="834">
        <v>49</v>
      </c>
      <c r="D59" s="834">
        <v>7</v>
      </c>
      <c r="E59" s="835">
        <v>2.8748000999788141</v>
      </c>
      <c r="F59" s="836">
        <v>44.256579835034955</v>
      </c>
      <c r="G59" s="836">
        <v>53.743420164965045</v>
      </c>
      <c r="I59" s="837"/>
      <c r="J59" s="837"/>
    </row>
    <row r="60" spans="1:10">
      <c r="A60" s="834">
        <v>55</v>
      </c>
      <c r="B60" s="834" t="s">
        <v>3252</v>
      </c>
      <c r="C60" s="834">
        <v>49</v>
      </c>
      <c r="D60" s="834">
        <v>5</v>
      </c>
      <c r="E60" s="835">
        <v>3.554199964970068</v>
      </c>
      <c r="F60" s="836">
        <v>43.135570057799384</v>
      </c>
      <c r="G60" s="836">
        <v>54.864429942200616</v>
      </c>
      <c r="I60" s="837"/>
      <c r="J60" s="837"/>
    </row>
    <row r="61" spans="1:10">
      <c r="A61" s="834">
        <v>55</v>
      </c>
      <c r="B61" s="834" t="s">
        <v>3251</v>
      </c>
      <c r="C61" s="834">
        <v>49</v>
      </c>
      <c r="D61" s="834">
        <v>5</v>
      </c>
      <c r="E61" s="835">
        <v>3.9997550370615929</v>
      </c>
      <c r="F61" s="836">
        <v>42.40040418884837</v>
      </c>
      <c r="G61" s="836">
        <v>55.59959581115163</v>
      </c>
      <c r="I61" s="837"/>
      <c r="J61" s="837"/>
    </row>
    <row r="62" spans="1:10">
      <c r="A62" s="834">
        <v>55</v>
      </c>
      <c r="B62" s="834" t="s">
        <v>3250</v>
      </c>
      <c r="C62" s="834">
        <v>49</v>
      </c>
      <c r="D62" s="834">
        <v>4</v>
      </c>
      <c r="E62" s="835">
        <v>3.2266777605507526</v>
      </c>
      <c r="F62" s="836">
        <v>43.675981695091259</v>
      </c>
      <c r="G62" s="836">
        <v>54.324018304908741</v>
      </c>
      <c r="I62" s="837"/>
      <c r="J62" s="837"/>
    </row>
    <row r="63" spans="1:10">
      <c r="A63" s="834">
        <v>55</v>
      </c>
      <c r="B63" s="834" t="s">
        <v>3160</v>
      </c>
      <c r="C63" s="834">
        <v>49</v>
      </c>
      <c r="D63" s="834">
        <v>5</v>
      </c>
      <c r="E63" s="835">
        <v>6.6854633608935217</v>
      </c>
      <c r="F63" s="836">
        <v>37.968985454525694</v>
      </c>
      <c r="G63" s="836">
        <v>60.031014545474306</v>
      </c>
      <c r="I63" s="837"/>
      <c r="J63" s="837"/>
    </row>
    <row r="64" spans="1:10">
      <c r="A64" s="834">
        <v>61</v>
      </c>
      <c r="B64" s="834" t="s">
        <v>3249</v>
      </c>
      <c r="C64" s="834">
        <v>48</v>
      </c>
      <c r="D64" s="834">
        <v>9</v>
      </c>
      <c r="E64" s="835">
        <v>3.2529074892142051</v>
      </c>
      <c r="F64" s="836">
        <v>42.632702642796559</v>
      </c>
      <c r="G64" s="836">
        <v>53.367297357203441</v>
      </c>
      <c r="I64" s="837"/>
      <c r="J64" s="837"/>
    </row>
    <row r="65" spans="1:10">
      <c r="A65" s="834">
        <v>61</v>
      </c>
      <c r="B65" s="834" t="s">
        <v>195</v>
      </c>
      <c r="C65" s="834">
        <v>48</v>
      </c>
      <c r="D65" s="834">
        <v>8</v>
      </c>
      <c r="E65" s="835">
        <v>3.0107509388805895</v>
      </c>
      <c r="F65" s="836">
        <v>43.032260950847025</v>
      </c>
      <c r="G65" s="836">
        <v>52.967739049152975</v>
      </c>
      <c r="I65" s="837"/>
      <c r="J65" s="837"/>
    </row>
    <row r="66" spans="1:10">
      <c r="A66" s="834">
        <v>63</v>
      </c>
      <c r="B66" s="834" t="s">
        <v>3248</v>
      </c>
      <c r="C66" s="834">
        <v>46</v>
      </c>
      <c r="D66" s="834">
        <v>4</v>
      </c>
      <c r="E66" s="835">
        <v>4.4553944646018806</v>
      </c>
      <c r="F66" s="836">
        <v>38.648599133406897</v>
      </c>
      <c r="G66" s="836">
        <v>53.351400866593103</v>
      </c>
      <c r="I66" s="837"/>
      <c r="J66" s="837"/>
    </row>
    <row r="67" spans="1:10">
      <c r="A67" s="834">
        <v>64</v>
      </c>
      <c r="B67" s="834" t="s">
        <v>3247</v>
      </c>
      <c r="C67" s="834">
        <v>45</v>
      </c>
      <c r="D67" s="834">
        <v>5</v>
      </c>
      <c r="E67" s="835">
        <v>6.5471012371030461</v>
      </c>
      <c r="F67" s="836">
        <v>34.197282958779972</v>
      </c>
      <c r="G67" s="836">
        <v>55.802717041220028</v>
      </c>
      <c r="I67" s="837"/>
      <c r="J67" s="837"/>
    </row>
    <row r="68" spans="1:10">
      <c r="A68" s="834">
        <v>64</v>
      </c>
      <c r="B68" s="834" t="s">
        <v>3246</v>
      </c>
      <c r="C68" s="834">
        <v>45</v>
      </c>
      <c r="D68" s="834">
        <v>6</v>
      </c>
      <c r="E68" s="835">
        <v>5.9234872052881036</v>
      </c>
      <c r="F68" s="836">
        <v>35.226246111274634</v>
      </c>
      <c r="G68" s="836">
        <v>54.773753888725366</v>
      </c>
      <c r="I68" s="837"/>
      <c r="J68" s="837"/>
    </row>
    <row r="69" spans="1:10">
      <c r="A69" s="834">
        <v>64</v>
      </c>
      <c r="B69" s="834" t="s">
        <v>3245</v>
      </c>
      <c r="C69" s="834">
        <v>45</v>
      </c>
      <c r="D69" s="834">
        <v>8</v>
      </c>
      <c r="E69" s="835">
        <v>2.6895957858956967</v>
      </c>
      <c r="F69" s="836">
        <v>40.562166953272097</v>
      </c>
      <c r="G69" s="836">
        <v>49.437833046727903</v>
      </c>
      <c r="I69" s="837"/>
      <c r="J69" s="837"/>
    </row>
    <row r="70" spans="1:10">
      <c r="A70" s="834">
        <v>67</v>
      </c>
      <c r="B70" s="834" t="s">
        <v>3161</v>
      </c>
      <c r="C70" s="834">
        <v>44</v>
      </c>
      <c r="D70" s="834">
        <v>5</v>
      </c>
      <c r="E70" s="835">
        <v>5.2416185130326083</v>
      </c>
      <c r="F70" s="836">
        <v>35.351329453496199</v>
      </c>
      <c r="G70" s="836">
        <v>52.648670546503801</v>
      </c>
      <c r="I70" s="837"/>
      <c r="J70" s="837"/>
    </row>
    <row r="71" spans="1:10">
      <c r="A71" s="834">
        <v>67</v>
      </c>
      <c r="B71" s="834" t="s">
        <v>3151</v>
      </c>
      <c r="C71" s="834">
        <v>44</v>
      </c>
      <c r="D71" s="834">
        <v>7</v>
      </c>
      <c r="E71" s="835">
        <v>2.4103061130465133</v>
      </c>
      <c r="F71" s="836">
        <v>40.022994913473255</v>
      </c>
      <c r="G71" s="836">
        <v>47.977005086526745</v>
      </c>
      <c r="I71" s="837"/>
      <c r="J71" s="837"/>
    </row>
    <row r="72" spans="1:10">
      <c r="A72" s="834">
        <v>69</v>
      </c>
      <c r="B72" s="834" t="s">
        <v>3143</v>
      </c>
      <c r="C72" s="834">
        <v>43</v>
      </c>
      <c r="D72" s="834">
        <v>7</v>
      </c>
      <c r="E72" s="835">
        <v>4.0100173346841235</v>
      </c>
      <c r="F72" s="836">
        <v>36.383471397771196</v>
      </c>
      <c r="G72" s="836">
        <v>49.616528602228804</v>
      </c>
      <c r="I72" s="837"/>
      <c r="J72" s="837"/>
    </row>
    <row r="73" spans="1:10">
      <c r="A73" s="834">
        <v>69</v>
      </c>
      <c r="B73" s="834" t="s">
        <v>3244</v>
      </c>
      <c r="C73" s="834">
        <v>43</v>
      </c>
      <c r="D73" s="834">
        <v>9</v>
      </c>
      <c r="E73" s="835">
        <v>2.8159014041006412</v>
      </c>
      <c r="F73" s="836">
        <v>38.353762683233938</v>
      </c>
      <c r="G73" s="836">
        <v>47.646237316766062</v>
      </c>
      <c r="I73" s="837"/>
      <c r="J73" s="837"/>
    </row>
    <row r="74" spans="1:10">
      <c r="A74" s="834">
        <v>69</v>
      </c>
      <c r="B74" s="834" t="s">
        <v>3243</v>
      </c>
      <c r="C74" s="834">
        <v>43</v>
      </c>
      <c r="D74" s="834">
        <v>7</v>
      </c>
      <c r="E74" s="835">
        <v>5.5560171527118323</v>
      </c>
      <c r="F74" s="836">
        <v>33.832571698025475</v>
      </c>
      <c r="G74" s="836">
        <v>52.167428301974525</v>
      </c>
      <c r="I74" s="837"/>
      <c r="J74" s="837"/>
    </row>
    <row r="75" spans="1:10">
      <c r="A75" s="834">
        <v>69</v>
      </c>
      <c r="B75" s="834" t="s">
        <v>3242</v>
      </c>
      <c r="C75" s="834">
        <v>43</v>
      </c>
      <c r="D75" s="834">
        <v>7</v>
      </c>
      <c r="E75" s="835">
        <v>2.2644140259721435</v>
      </c>
      <c r="F75" s="836">
        <v>39.263716857145965</v>
      </c>
      <c r="G75" s="836">
        <v>46.736283142854035</v>
      </c>
      <c r="I75" s="837"/>
      <c r="J75" s="837"/>
    </row>
    <row r="76" spans="1:10">
      <c r="A76" s="834">
        <v>69</v>
      </c>
      <c r="B76" s="834" t="s">
        <v>3241</v>
      </c>
      <c r="C76" s="834">
        <v>43</v>
      </c>
      <c r="D76" s="834">
        <v>9</v>
      </c>
      <c r="E76" s="835">
        <v>3.596815406728346</v>
      </c>
      <c r="F76" s="836">
        <v>37.065254578898227</v>
      </c>
      <c r="G76" s="836">
        <v>48.934745421101773</v>
      </c>
      <c r="I76" s="837"/>
      <c r="J76" s="837"/>
    </row>
    <row r="77" spans="1:10">
      <c r="A77" s="834">
        <v>69</v>
      </c>
      <c r="B77" s="834" t="s">
        <v>3240</v>
      </c>
      <c r="C77" s="834">
        <v>43</v>
      </c>
      <c r="D77" s="834">
        <v>8</v>
      </c>
      <c r="E77" s="835">
        <v>2.2809008387009353</v>
      </c>
      <c r="F77" s="836">
        <v>39.236513616143455</v>
      </c>
      <c r="G77" s="836">
        <v>46.763486383856545</v>
      </c>
      <c r="I77" s="837"/>
      <c r="J77" s="837"/>
    </row>
    <row r="78" spans="1:10">
      <c r="A78" s="834">
        <v>69</v>
      </c>
      <c r="B78" s="834" t="s">
        <v>3239</v>
      </c>
      <c r="C78" s="834">
        <v>43</v>
      </c>
      <c r="D78" s="834">
        <v>3</v>
      </c>
      <c r="E78" s="835">
        <v>2.9809736200440566</v>
      </c>
      <c r="F78" s="836">
        <v>38.081393526927307</v>
      </c>
      <c r="G78" s="836">
        <v>47.918606473072693</v>
      </c>
      <c r="I78" s="837"/>
      <c r="J78" s="837"/>
    </row>
    <row r="79" spans="1:10">
      <c r="A79" s="834">
        <v>76</v>
      </c>
      <c r="B79" s="834" t="s">
        <v>3238</v>
      </c>
      <c r="C79" s="834">
        <v>42</v>
      </c>
      <c r="D79" s="834">
        <v>4</v>
      </c>
      <c r="E79" s="835">
        <v>4.2466331039837675</v>
      </c>
      <c r="F79" s="836">
        <v>34.993055378426781</v>
      </c>
      <c r="G79" s="836">
        <v>49.006944621573219</v>
      </c>
      <c r="I79" s="837"/>
      <c r="J79" s="837"/>
    </row>
    <row r="80" spans="1:10">
      <c r="A80" s="834">
        <v>76</v>
      </c>
      <c r="B80" s="834" t="s">
        <v>3237</v>
      </c>
      <c r="C80" s="834">
        <v>42</v>
      </c>
      <c r="D80" s="834">
        <v>3</v>
      </c>
      <c r="E80" s="835">
        <v>5.0478923099147313</v>
      </c>
      <c r="F80" s="836">
        <v>33.67097768864069</v>
      </c>
      <c r="G80" s="836">
        <v>50.32902231135931</v>
      </c>
      <c r="I80" s="837"/>
      <c r="J80" s="837"/>
    </row>
    <row r="81" spans="1:10">
      <c r="A81" s="834">
        <v>78</v>
      </c>
      <c r="B81" s="834" t="s">
        <v>3236</v>
      </c>
      <c r="C81" s="834">
        <v>41</v>
      </c>
      <c r="D81" s="834">
        <v>7</v>
      </c>
      <c r="E81" s="835">
        <v>2.9155669235971149</v>
      </c>
      <c r="F81" s="836">
        <v>36.18931457606476</v>
      </c>
      <c r="G81" s="836">
        <v>45.81068542393524</v>
      </c>
      <c r="I81" s="837"/>
      <c r="J81" s="837"/>
    </row>
    <row r="82" spans="1:10">
      <c r="A82" s="834">
        <v>79</v>
      </c>
      <c r="B82" s="834" t="s">
        <v>3235</v>
      </c>
      <c r="C82" s="834">
        <v>40</v>
      </c>
      <c r="D82" s="834">
        <v>6</v>
      </c>
      <c r="E82" s="835">
        <v>1.717877012553062</v>
      </c>
      <c r="F82" s="836">
        <v>37.165502929287449</v>
      </c>
      <c r="G82" s="836">
        <v>42.834497070712551</v>
      </c>
      <c r="I82" s="837"/>
      <c r="J82" s="837"/>
    </row>
    <row r="83" spans="1:10">
      <c r="A83" s="834">
        <v>80</v>
      </c>
      <c r="B83" s="834" t="s">
        <v>3234</v>
      </c>
      <c r="C83" s="834">
        <v>39</v>
      </c>
      <c r="D83" s="834">
        <v>4</v>
      </c>
      <c r="E83" s="835">
        <v>4.3751986014254278</v>
      </c>
      <c r="F83" s="836">
        <v>31.780922307648044</v>
      </c>
      <c r="G83" s="836">
        <v>46.219077692351959</v>
      </c>
      <c r="I83" s="837"/>
      <c r="J83" s="837"/>
    </row>
    <row r="84" spans="1:10">
      <c r="A84" s="834">
        <v>80</v>
      </c>
      <c r="B84" s="834" t="s">
        <v>3233</v>
      </c>
      <c r="C84" s="834">
        <v>39</v>
      </c>
      <c r="D84" s="834">
        <v>6</v>
      </c>
      <c r="E84" s="835">
        <v>1.1460178884176817</v>
      </c>
      <c r="F84" s="836">
        <v>37.109070484110823</v>
      </c>
      <c r="G84" s="836">
        <v>40.890929515889177</v>
      </c>
      <c r="I84" s="837"/>
      <c r="J84" s="837"/>
    </row>
    <row r="85" spans="1:10">
      <c r="A85" s="834">
        <v>80</v>
      </c>
      <c r="B85" s="834" t="s">
        <v>3232</v>
      </c>
      <c r="C85" s="834">
        <v>39</v>
      </c>
      <c r="D85" s="834">
        <v>6</v>
      </c>
      <c r="E85" s="835">
        <v>1.9772175042184807</v>
      </c>
      <c r="F85" s="836">
        <v>35.737591118039504</v>
      </c>
      <c r="G85" s="836">
        <v>42.262408881960496</v>
      </c>
      <c r="I85" s="837"/>
      <c r="J85" s="837"/>
    </row>
    <row r="86" spans="1:10">
      <c r="A86" s="834">
        <v>80</v>
      </c>
      <c r="B86" s="834" t="s">
        <v>364</v>
      </c>
      <c r="C86" s="834">
        <v>39</v>
      </c>
      <c r="D86" s="834">
        <v>7</v>
      </c>
      <c r="E86" s="835">
        <v>2.1335625091677164</v>
      </c>
      <c r="F86" s="836">
        <v>35.479621859873269</v>
      </c>
      <c r="G86" s="836">
        <v>42.520378140126731</v>
      </c>
      <c r="I86" s="837"/>
      <c r="J86" s="837"/>
    </row>
    <row r="87" spans="1:10">
      <c r="A87" s="834">
        <v>80</v>
      </c>
      <c r="B87" s="834" t="s">
        <v>3231</v>
      </c>
      <c r="C87" s="834">
        <v>39</v>
      </c>
      <c r="D87" s="834">
        <v>6</v>
      </c>
      <c r="E87" s="835">
        <v>3.5718739681481781</v>
      </c>
      <c r="F87" s="836">
        <v>33.106407952555507</v>
      </c>
      <c r="G87" s="836">
        <v>44.893592047444493</v>
      </c>
      <c r="I87" s="837"/>
      <c r="J87" s="837"/>
    </row>
    <row r="88" spans="1:10">
      <c r="A88" s="834">
        <v>85</v>
      </c>
      <c r="B88" s="834" t="s">
        <v>98</v>
      </c>
      <c r="C88" s="834">
        <v>38</v>
      </c>
      <c r="D88" s="834">
        <v>7</v>
      </c>
      <c r="E88" s="835">
        <v>2.6701262939728769</v>
      </c>
      <c r="F88" s="836">
        <v>33.594291614944751</v>
      </c>
      <c r="G88" s="836">
        <v>42.405708385055249</v>
      </c>
      <c r="I88" s="837"/>
      <c r="J88" s="837"/>
    </row>
    <row r="89" spans="1:10">
      <c r="A89" s="834">
        <v>85</v>
      </c>
      <c r="B89" s="834" t="s">
        <v>3230</v>
      </c>
      <c r="C89" s="834">
        <v>38</v>
      </c>
      <c r="D89" s="834">
        <v>9</v>
      </c>
      <c r="E89" s="835">
        <v>2.2699066571571906</v>
      </c>
      <c r="F89" s="836">
        <v>34.254654015690633</v>
      </c>
      <c r="G89" s="836">
        <v>41.745345984309367</v>
      </c>
      <c r="I89" s="837"/>
      <c r="J89" s="837"/>
    </row>
    <row r="90" spans="1:10">
      <c r="A90" s="834">
        <v>85</v>
      </c>
      <c r="B90" s="834" t="s">
        <v>3229</v>
      </c>
      <c r="C90" s="834">
        <v>38</v>
      </c>
      <c r="D90" s="834">
        <v>6</v>
      </c>
      <c r="E90" s="835">
        <v>1.7968356728881774</v>
      </c>
      <c r="F90" s="836">
        <v>35.03522113973451</v>
      </c>
      <c r="G90" s="836">
        <v>40.96477886026549</v>
      </c>
      <c r="I90" s="837"/>
      <c r="J90" s="837"/>
    </row>
    <row r="91" spans="1:10">
      <c r="A91" s="834">
        <v>85</v>
      </c>
      <c r="B91" s="834" t="s">
        <v>449</v>
      </c>
      <c r="C91" s="834">
        <v>38</v>
      </c>
      <c r="D91" s="834">
        <v>7</v>
      </c>
      <c r="E91" s="835">
        <v>2.6294297176060306</v>
      </c>
      <c r="F91" s="836">
        <v>33.66144096595005</v>
      </c>
      <c r="G91" s="836">
        <v>42.33855903404995</v>
      </c>
      <c r="I91" s="837"/>
      <c r="J91" s="837"/>
    </row>
    <row r="92" spans="1:10">
      <c r="A92" s="834">
        <v>85</v>
      </c>
      <c r="B92" s="834" t="s">
        <v>3228</v>
      </c>
      <c r="C92" s="834">
        <v>38</v>
      </c>
      <c r="D92" s="834">
        <v>8</v>
      </c>
      <c r="E92" s="835">
        <v>1.8366835582301153</v>
      </c>
      <c r="F92" s="836">
        <v>34.969472128920309</v>
      </c>
      <c r="G92" s="836">
        <v>41.030527871079691</v>
      </c>
      <c r="I92" s="837"/>
      <c r="J92" s="837"/>
    </row>
    <row r="93" spans="1:10">
      <c r="A93" s="834">
        <v>85</v>
      </c>
      <c r="B93" s="834" t="s">
        <v>3227</v>
      </c>
      <c r="C93" s="834">
        <v>38</v>
      </c>
      <c r="D93" s="834">
        <v>7</v>
      </c>
      <c r="E93" s="835">
        <v>2.1764438259005154</v>
      </c>
      <c r="F93" s="836">
        <v>34.408867687264149</v>
      </c>
      <c r="G93" s="836">
        <v>41.591132312735851</v>
      </c>
      <c r="I93" s="837"/>
      <c r="J93" s="837"/>
    </row>
    <row r="94" spans="1:10">
      <c r="A94" s="834">
        <v>85</v>
      </c>
      <c r="B94" s="834" t="s">
        <v>3226</v>
      </c>
      <c r="C94" s="834">
        <v>38</v>
      </c>
      <c r="D94" s="834">
        <v>8</v>
      </c>
      <c r="E94" s="835">
        <v>1.6036172055341802</v>
      </c>
      <c r="F94" s="836">
        <v>35.354031610868603</v>
      </c>
      <c r="G94" s="836">
        <v>40.645968389131397</v>
      </c>
      <c r="I94" s="837"/>
      <c r="J94" s="837"/>
    </row>
    <row r="95" spans="1:10">
      <c r="A95" s="834">
        <v>85</v>
      </c>
      <c r="B95" s="834" t="s">
        <v>3091</v>
      </c>
      <c r="C95" s="834">
        <v>38</v>
      </c>
      <c r="D95" s="834">
        <v>4</v>
      </c>
      <c r="E95" s="835">
        <v>4.8248557293865026</v>
      </c>
      <c r="F95" s="836">
        <v>30.038988046512273</v>
      </c>
      <c r="G95" s="836">
        <v>45.961011953487727</v>
      </c>
      <c r="I95" s="837"/>
      <c r="J95" s="837"/>
    </row>
    <row r="96" spans="1:10">
      <c r="A96" s="834">
        <v>85</v>
      </c>
      <c r="B96" s="834" t="s">
        <v>541</v>
      </c>
      <c r="C96" s="834">
        <v>38</v>
      </c>
      <c r="D96" s="834">
        <v>8</v>
      </c>
      <c r="E96" s="835">
        <v>2.2727646643510151</v>
      </c>
      <c r="F96" s="836">
        <v>34.249938303820826</v>
      </c>
      <c r="G96" s="836">
        <v>41.750061696179174</v>
      </c>
      <c r="I96" s="837"/>
      <c r="J96" s="837"/>
    </row>
    <row r="97" spans="1:10">
      <c r="A97" s="834">
        <v>94</v>
      </c>
      <c r="B97" s="834" t="s">
        <v>3225</v>
      </c>
      <c r="C97" s="834">
        <v>37</v>
      </c>
      <c r="D97" s="834">
        <v>6</v>
      </c>
      <c r="E97" s="835">
        <v>3.6867657148621458</v>
      </c>
      <c r="F97" s="836">
        <v>30.916836570477461</v>
      </c>
      <c r="G97" s="836">
        <v>43.083163429522543</v>
      </c>
      <c r="I97" s="837"/>
      <c r="J97" s="837"/>
    </row>
    <row r="98" spans="1:10">
      <c r="A98" s="834">
        <v>94</v>
      </c>
      <c r="B98" s="834" t="s">
        <v>3147</v>
      </c>
      <c r="C98" s="834">
        <v>37</v>
      </c>
      <c r="D98" s="834">
        <v>7</v>
      </c>
      <c r="E98" s="835">
        <v>1.6845731709576066</v>
      </c>
      <c r="F98" s="836">
        <v>34.220454267919948</v>
      </c>
      <c r="G98" s="836">
        <v>39.779545732080052</v>
      </c>
      <c r="I98" s="837"/>
      <c r="J98" s="837"/>
    </row>
    <row r="99" spans="1:10">
      <c r="A99" s="834">
        <v>94</v>
      </c>
      <c r="B99" s="834" t="s">
        <v>3224</v>
      </c>
      <c r="C99" s="834">
        <v>37</v>
      </c>
      <c r="D99" s="834">
        <v>6</v>
      </c>
      <c r="E99" s="835">
        <v>2.9115868060341228</v>
      </c>
      <c r="F99" s="836">
        <v>32.195881770043698</v>
      </c>
      <c r="G99" s="836">
        <v>41.804118229956302</v>
      </c>
      <c r="I99" s="837"/>
      <c r="J99" s="837"/>
    </row>
    <row r="100" spans="1:10">
      <c r="A100" s="834">
        <v>94</v>
      </c>
      <c r="B100" s="834" t="s">
        <v>191</v>
      </c>
      <c r="C100" s="834">
        <v>37</v>
      </c>
      <c r="D100" s="834">
        <v>4</v>
      </c>
      <c r="E100" s="835">
        <v>4.1879044330020356</v>
      </c>
      <c r="F100" s="836">
        <v>30.089957685546644</v>
      </c>
      <c r="G100" s="836">
        <v>43.910042314453356</v>
      </c>
      <c r="I100" s="837"/>
      <c r="J100" s="837"/>
    </row>
    <row r="101" spans="1:10">
      <c r="A101" s="834">
        <v>94</v>
      </c>
      <c r="B101" s="834" t="s">
        <v>301</v>
      </c>
      <c r="C101" s="834">
        <v>37</v>
      </c>
      <c r="D101" s="834">
        <v>6</v>
      </c>
      <c r="E101" s="835">
        <v>3.0860588212975246</v>
      </c>
      <c r="F101" s="836">
        <v>31.908002944859085</v>
      </c>
      <c r="G101" s="836">
        <v>42.091997055140915</v>
      </c>
      <c r="I101" s="837"/>
      <c r="J101" s="837"/>
    </row>
    <row r="102" spans="1:10">
      <c r="A102" s="834">
        <v>94</v>
      </c>
      <c r="B102" s="834" t="s">
        <v>3223</v>
      </c>
      <c r="C102" s="834">
        <v>37</v>
      </c>
      <c r="D102" s="834">
        <v>6</v>
      </c>
      <c r="E102" s="835">
        <v>3.4899332963598804</v>
      </c>
      <c r="F102" s="836">
        <v>31.241610061006199</v>
      </c>
      <c r="G102" s="836">
        <v>42.758389938993801</v>
      </c>
      <c r="I102" s="837"/>
      <c r="J102" s="837"/>
    </row>
    <row r="103" spans="1:10">
      <c r="A103" s="834">
        <v>100</v>
      </c>
      <c r="B103" s="834" t="s">
        <v>3162</v>
      </c>
      <c r="C103" s="834">
        <v>36</v>
      </c>
      <c r="D103" s="834">
        <v>5</v>
      </c>
      <c r="E103" s="835">
        <v>2.0628705577532509</v>
      </c>
      <c r="F103" s="836">
        <v>32.596263579707134</v>
      </c>
      <c r="G103" s="836">
        <v>39.403736420292866</v>
      </c>
      <c r="I103" s="837"/>
      <c r="J103" s="837"/>
    </row>
    <row r="104" spans="1:10">
      <c r="A104" s="834">
        <v>100</v>
      </c>
      <c r="B104" s="834" t="s">
        <v>3156</v>
      </c>
      <c r="C104" s="834">
        <v>36</v>
      </c>
      <c r="D104" s="834">
        <v>8</v>
      </c>
      <c r="E104" s="835">
        <v>2.173627874228333</v>
      </c>
      <c r="F104" s="836">
        <v>32.413514007523247</v>
      </c>
      <c r="G104" s="836">
        <v>39.586485992476753</v>
      </c>
      <c r="I104" s="837"/>
      <c r="J104" s="837"/>
    </row>
    <row r="105" spans="1:10">
      <c r="A105" s="834">
        <v>100</v>
      </c>
      <c r="B105" s="834" t="s">
        <v>3222</v>
      </c>
      <c r="C105" s="834">
        <v>36</v>
      </c>
      <c r="D105" s="834">
        <v>3</v>
      </c>
      <c r="E105" s="835">
        <v>3.2485560761111514</v>
      </c>
      <c r="F105" s="836">
        <v>30.639882474416602</v>
      </c>
      <c r="G105" s="836">
        <v>41.360117525583398</v>
      </c>
      <c r="I105" s="837"/>
      <c r="J105" s="837"/>
    </row>
    <row r="106" spans="1:10">
      <c r="A106" s="834">
        <v>103</v>
      </c>
      <c r="B106" s="834" t="s">
        <v>3152</v>
      </c>
      <c r="C106" s="834">
        <v>35</v>
      </c>
      <c r="D106" s="834">
        <v>7</v>
      </c>
      <c r="E106" s="835">
        <v>2.9786076656185148</v>
      </c>
      <c r="F106" s="836">
        <v>30.085297351729452</v>
      </c>
      <c r="G106" s="836">
        <v>39.914702648270548</v>
      </c>
      <c r="I106" s="837"/>
      <c r="J106" s="837"/>
    </row>
    <row r="107" spans="1:10">
      <c r="A107" s="834">
        <v>103</v>
      </c>
      <c r="B107" s="834" t="s">
        <v>3145</v>
      </c>
      <c r="C107" s="834">
        <v>35</v>
      </c>
      <c r="D107" s="834">
        <v>8</v>
      </c>
      <c r="E107" s="835">
        <v>1.6593051434567847</v>
      </c>
      <c r="F107" s="836">
        <v>32.262146513296308</v>
      </c>
      <c r="G107" s="836">
        <v>37.737853486703692</v>
      </c>
      <c r="I107" s="837"/>
      <c r="J107" s="837"/>
    </row>
    <row r="108" spans="1:10">
      <c r="A108" s="834">
        <v>103</v>
      </c>
      <c r="B108" s="834" t="s">
        <v>3221</v>
      </c>
      <c r="C108" s="834">
        <v>35</v>
      </c>
      <c r="D108" s="834">
        <v>8</v>
      </c>
      <c r="E108" s="835">
        <v>2.6951915472429202</v>
      </c>
      <c r="F108" s="836">
        <v>30.552933947049183</v>
      </c>
      <c r="G108" s="836">
        <v>39.447066052950817</v>
      </c>
      <c r="I108" s="837"/>
      <c r="J108" s="837"/>
    </row>
    <row r="109" spans="1:10">
      <c r="A109" s="834">
        <v>103</v>
      </c>
      <c r="B109" s="834" t="s">
        <v>394</v>
      </c>
      <c r="C109" s="834">
        <v>35</v>
      </c>
      <c r="D109" s="834">
        <v>5</v>
      </c>
      <c r="E109" s="835">
        <v>3.9946594874837635</v>
      </c>
      <c r="F109" s="836">
        <v>28.40881184565179</v>
      </c>
      <c r="G109" s="836">
        <v>41.59118815434821</v>
      </c>
      <c r="I109" s="837"/>
      <c r="J109" s="837"/>
    </row>
    <row r="110" spans="1:10">
      <c r="A110" s="834">
        <v>107</v>
      </c>
      <c r="B110" s="834" t="s">
        <v>3220</v>
      </c>
      <c r="C110" s="834">
        <v>34</v>
      </c>
      <c r="D110" s="834">
        <v>7</v>
      </c>
      <c r="E110" s="835">
        <v>2.416445043859675</v>
      </c>
      <c r="F110" s="836">
        <v>30.012865677631538</v>
      </c>
      <c r="G110" s="836">
        <v>37.987134322368462</v>
      </c>
      <c r="I110" s="837"/>
      <c r="J110" s="837"/>
    </row>
    <row r="111" spans="1:10">
      <c r="A111" s="834">
        <v>107</v>
      </c>
      <c r="B111" s="834" t="s">
        <v>3219</v>
      </c>
      <c r="C111" s="834">
        <v>34</v>
      </c>
      <c r="D111" s="834">
        <v>3</v>
      </c>
      <c r="E111" s="835">
        <v>9.0979060262002527</v>
      </c>
      <c r="F111" s="836">
        <v>18.988455056769585</v>
      </c>
      <c r="G111" s="836">
        <v>49.011544943230419</v>
      </c>
      <c r="I111" s="837"/>
      <c r="J111" s="837"/>
    </row>
    <row r="112" spans="1:10">
      <c r="A112" s="834">
        <v>107</v>
      </c>
      <c r="B112" s="834" t="s">
        <v>243</v>
      </c>
      <c r="C112" s="834">
        <v>34</v>
      </c>
      <c r="D112" s="834">
        <v>8</v>
      </c>
      <c r="E112" s="835">
        <v>3.5704228726105045</v>
      </c>
      <c r="F112" s="836">
        <v>28.108802260192668</v>
      </c>
      <c r="G112" s="836">
        <v>39.891197739807332</v>
      </c>
      <c r="I112" s="837"/>
      <c r="J112" s="837"/>
    </row>
    <row r="113" spans="1:10">
      <c r="A113" s="834">
        <v>110</v>
      </c>
      <c r="B113" s="834" t="s">
        <v>38</v>
      </c>
      <c r="C113" s="834">
        <v>33</v>
      </c>
      <c r="D113" s="834">
        <v>7</v>
      </c>
      <c r="E113" s="835">
        <v>1.513038360597259</v>
      </c>
      <c r="F113" s="836">
        <v>30.503486705014524</v>
      </c>
      <c r="G113" s="836">
        <v>35.496513294985476</v>
      </c>
      <c r="I113" s="837"/>
      <c r="J113" s="837"/>
    </row>
    <row r="114" spans="1:10">
      <c r="A114" s="834">
        <v>110</v>
      </c>
      <c r="B114" s="834" t="s">
        <v>3148</v>
      </c>
      <c r="C114" s="834">
        <v>33</v>
      </c>
      <c r="D114" s="834">
        <v>5</v>
      </c>
      <c r="E114" s="835">
        <v>3.5572942850775626</v>
      </c>
      <c r="F114" s="836">
        <v>27.130464429622023</v>
      </c>
      <c r="G114" s="836">
        <v>38.869535570377977</v>
      </c>
      <c r="I114" s="837"/>
      <c r="J114" s="837"/>
    </row>
    <row r="115" spans="1:10">
      <c r="A115" s="834">
        <v>110</v>
      </c>
      <c r="B115" s="834" t="s">
        <v>3218</v>
      </c>
      <c r="C115" s="834">
        <v>33</v>
      </c>
      <c r="D115" s="834">
        <v>8</v>
      </c>
      <c r="E115" s="835">
        <v>2.5448558738660689</v>
      </c>
      <c r="F115" s="836">
        <v>28.800987808120986</v>
      </c>
      <c r="G115" s="836">
        <v>37.199012191879014</v>
      </c>
      <c r="I115" s="837"/>
      <c r="J115" s="837"/>
    </row>
    <row r="116" spans="1:10">
      <c r="A116" s="834">
        <v>110</v>
      </c>
      <c r="B116" s="834" t="s">
        <v>3217</v>
      </c>
      <c r="C116" s="834">
        <v>33</v>
      </c>
      <c r="D116" s="834">
        <v>3</v>
      </c>
      <c r="E116" s="835">
        <v>2.3326751622399753</v>
      </c>
      <c r="F116" s="836">
        <v>29.151085982304039</v>
      </c>
      <c r="G116" s="836">
        <v>36.848914017695961</v>
      </c>
      <c r="I116" s="837"/>
      <c r="J116" s="837"/>
    </row>
    <row r="117" spans="1:10">
      <c r="A117" s="834">
        <v>110</v>
      </c>
      <c r="B117" s="834" t="s">
        <v>3216</v>
      </c>
      <c r="C117" s="834">
        <v>33</v>
      </c>
      <c r="D117" s="834">
        <v>8</v>
      </c>
      <c r="E117" s="835">
        <v>3.0275601913937953</v>
      </c>
      <c r="F117" s="836">
        <v>28.004525684200239</v>
      </c>
      <c r="G117" s="836">
        <v>37.995474315799761</v>
      </c>
      <c r="I117" s="837"/>
      <c r="J117" s="837"/>
    </row>
    <row r="118" spans="1:10">
      <c r="A118" s="834">
        <v>115</v>
      </c>
      <c r="B118" s="834" t="s">
        <v>3215</v>
      </c>
      <c r="C118" s="834">
        <v>32</v>
      </c>
      <c r="D118" s="834">
        <v>8</v>
      </c>
      <c r="E118" s="835">
        <v>4.2007506442246996</v>
      </c>
      <c r="F118" s="836">
        <v>25.068761437029245</v>
      </c>
      <c r="G118" s="836">
        <v>38.931238562970755</v>
      </c>
      <c r="I118" s="837"/>
      <c r="J118" s="837"/>
    </row>
    <row r="119" spans="1:10">
      <c r="A119" s="834">
        <v>115</v>
      </c>
      <c r="B119" s="834" t="s">
        <v>3214</v>
      </c>
      <c r="C119" s="834">
        <v>32</v>
      </c>
      <c r="D119" s="834">
        <v>6</v>
      </c>
      <c r="E119" s="835">
        <v>3.3045318219593609</v>
      </c>
      <c r="F119" s="836">
        <v>26.547522493767055</v>
      </c>
      <c r="G119" s="836">
        <v>37.452477506232945</v>
      </c>
      <c r="I119" s="837"/>
      <c r="J119" s="837"/>
    </row>
    <row r="120" spans="1:10">
      <c r="A120" s="834">
        <v>115</v>
      </c>
      <c r="B120" s="834" t="s">
        <v>219</v>
      </c>
      <c r="C120" s="834">
        <v>32</v>
      </c>
      <c r="D120" s="834">
        <v>6</v>
      </c>
      <c r="E120" s="835">
        <v>2.9561693452033313</v>
      </c>
      <c r="F120" s="836">
        <v>27.122320580414502</v>
      </c>
      <c r="G120" s="836">
        <v>36.877679419585498</v>
      </c>
      <c r="I120" s="837"/>
      <c r="J120" s="837"/>
    </row>
    <row r="121" spans="1:10">
      <c r="A121" s="834">
        <v>115</v>
      </c>
      <c r="B121" s="834" t="s">
        <v>329</v>
      </c>
      <c r="C121" s="834">
        <v>32</v>
      </c>
      <c r="D121" s="834">
        <v>6</v>
      </c>
      <c r="E121" s="835">
        <v>3.366819076250263</v>
      </c>
      <c r="F121" s="836">
        <v>26.444748524187066</v>
      </c>
      <c r="G121" s="836">
        <v>37.555251475812931</v>
      </c>
      <c r="I121" s="837"/>
      <c r="J121" s="837"/>
    </row>
    <row r="122" spans="1:10">
      <c r="A122" s="834">
        <v>119</v>
      </c>
      <c r="B122" s="834" t="s">
        <v>3213</v>
      </c>
      <c r="C122" s="834">
        <v>31</v>
      </c>
      <c r="D122" s="834">
        <v>5</v>
      </c>
      <c r="E122" s="835">
        <v>4.0446308383125684</v>
      </c>
      <c r="F122" s="836">
        <v>24.326359116784261</v>
      </c>
      <c r="G122" s="836">
        <v>37.673640883215739</v>
      </c>
      <c r="I122" s="837"/>
      <c r="J122" s="837"/>
    </row>
    <row r="123" spans="1:10">
      <c r="A123" s="834">
        <v>119</v>
      </c>
      <c r="B123" s="834" t="s">
        <v>385</v>
      </c>
      <c r="C123" s="834">
        <v>31</v>
      </c>
      <c r="D123" s="834">
        <v>7</v>
      </c>
      <c r="E123" s="835">
        <v>1.8888609021679872</v>
      </c>
      <c r="F123" s="836">
        <v>27.88337951142282</v>
      </c>
      <c r="G123" s="836">
        <v>34.116620488577176</v>
      </c>
      <c r="I123" s="837"/>
      <c r="J123" s="837"/>
    </row>
    <row r="124" spans="1:10">
      <c r="A124" s="834">
        <v>119</v>
      </c>
      <c r="B124" s="834" t="s">
        <v>488</v>
      </c>
      <c r="C124" s="834">
        <v>31</v>
      </c>
      <c r="D124" s="834">
        <v>8</v>
      </c>
      <c r="E124" s="835">
        <v>2.2988873621730259</v>
      </c>
      <c r="F124" s="836">
        <v>27.206835852414507</v>
      </c>
      <c r="G124" s="836">
        <v>34.793164147585493</v>
      </c>
      <c r="I124" s="837"/>
      <c r="J124" s="837"/>
    </row>
    <row r="125" spans="1:10">
      <c r="A125" s="834">
        <v>119</v>
      </c>
      <c r="B125" s="834" t="s">
        <v>499</v>
      </c>
      <c r="C125" s="834">
        <v>31</v>
      </c>
      <c r="D125" s="834">
        <v>8</v>
      </c>
      <c r="E125" s="835">
        <v>3.1981816880348037</v>
      </c>
      <c r="F125" s="836">
        <v>25.723000214742573</v>
      </c>
      <c r="G125" s="836">
        <v>36.276999785257424</v>
      </c>
      <c r="I125" s="837"/>
      <c r="J125" s="837"/>
    </row>
    <row r="126" spans="1:10">
      <c r="A126" s="834">
        <v>119</v>
      </c>
      <c r="B126" s="834" t="s">
        <v>3212</v>
      </c>
      <c r="C126" s="834">
        <v>31</v>
      </c>
      <c r="D126" s="834">
        <v>8</v>
      </c>
      <c r="E126" s="835">
        <v>2.5455061480090451</v>
      </c>
      <c r="F126" s="836">
        <v>26.799914855785076</v>
      </c>
      <c r="G126" s="836">
        <v>35.200085144214924</v>
      </c>
      <c r="I126" s="837"/>
      <c r="J126" s="837"/>
    </row>
    <row r="127" spans="1:10">
      <c r="A127" s="834">
        <v>124</v>
      </c>
      <c r="B127" s="834" t="s">
        <v>3211</v>
      </c>
      <c r="C127" s="834">
        <v>30</v>
      </c>
      <c r="D127" s="834">
        <v>4</v>
      </c>
      <c r="E127" s="835">
        <v>3.0284402732767766</v>
      </c>
      <c r="F127" s="836">
        <v>25.003073549093319</v>
      </c>
      <c r="G127" s="836">
        <v>34.996926450906685</v>
      </c>
      <c r="I127" s="837"/>
      <c r="J127" s="837"/>
    </row>
    <row r="128" spans="1:10">
      <c r="A128" s="834">
        <v>124</v>
      </c>
      <c r="B128" s="834" t="s">
        <v>345</v>
      </c>
      <c r="C128" s="834">
        <v>30</v>
      </c>
      <c r="D128" s="834">
        <v>5</v>
      </c>
      <c r="E128" s="835">
        <v>4.2288580658560724</v>
      </c>
      <c r="F128" s="836">
        <v>23.02238419133748</v>
      </c>
      <c r="G128" s="836">
        <v>36.97761580866252</v>
      </c>
      <c r="I128" s="837"/>
      <c r="J128" s="837"/>
    </row>
    <row r="129" spans="1:10" ht="12.75" customHeight="1">
      <c r="A129" s="834">
        <v>126</v>
      </c>
      <c r="B129" s="834" t="s">
        <v>53</v>
      </c>
      <c r="C129" s="834">
        <v>29</v>
      </c>
      <c r="D129" s="834">
        <v>6</v>
      </c>
      <c r="E129" s="835">
        <v>3.0192687069045085</v>
      </c>
      <c r="F129" s="836">
        <v>24.018206633607562</v>
      </c>
      <c r="G129" s="836">
        <v>33.981793366392438</v>
      </c>
      <c r="I129" s="837"/>
      <c r="J129" s="837"/>
    </row>
    <row r="130" spans="1:10">
      <c r="A130" s="834">
        <v>126</v>
      </c>
      <c r="B130" s="834" t="s">
        <v>3210</v>
      </c>
      <c r="C130" s="834">
        <v>29</v>
      </c>
      <c r="D130" s="834">
        <v>5</v>
      </c>
      <c r="E130" s="835">
        <v>7.5531824842949247</v>
      </c>
      <c r="F130" s="836">
        <v>16.537248900913376</v>
      </c>
      <c r="G130" s="836">
        <v>41.462751099086624</v>
      </c>
      <c r="I130" s="837"/>
      <c r="J130" s="837"/>
    </row>
    <row r="131" spans="1:10">
      <c r="A131" s="834">
        <v>126</v>
      </c>
      <c r="B131" s="834" t="s">
        <v>3209</v>
      </c>
      <c r="C131" s="834">
        <v>29</v>
      </c>
      <c r="D131" s="834">
        <v>6</v>
      </c>
      <c r="E131" s="835">
        <v>3.4894421343188378</v>
      </c>
      <c r="F131" s="836">
        <v>23.242420478373919</v>
      </c>
      <c r="G131" s="836">
        <v>34.757579521626084</v>
      </c>
      <c r="I131" s="837"/>
      <c r="J131" s="837"/>
    </row>
    <row r="132" spans="1:10">
      <c r="A132" s="834">
        <v>126</v>
      </c>
      <c r="B132" s="834" t="s">
        <v>280</v>
      </c>
      <c r="C132" s="834">
        <v>29</v>
      </c>
      <c r="D132" s="834">
        <v>8</v>
      </c>
      <c r="E132" s="835">
        <v>4.4040771618770398</v>
      </c>
      <c r="F132" s="836">
        <v>21.733272682902886</v>
      </c>
      <c r="G132" s="836">
        <v>36.266727317097114</v>
      </c>
      <c r="I132" s="837"/>
      <c r="J132" s="837"/>
    </row>
    <row r="133" spans="1:10">
      <c r="A133" s="834">
        <v>126</v>
      </c>
      <c r="B133" s="834" t="s">
        <v>3208</v>
      </c>
      <c r="C133" s="834">
        <v>29</v>
      </c>
      <c r="D133" s="834">
        <v>5</v>
      </c>
      <c r="E133" s="835">
        <v>2.2010364153043209</v>
      </c>
      <c r="F133" s="836">
        <v>25.368289914747869</v>
      </c>
      <c r="G133" s="836">
        <v>32.631710085252131</v>
      </c>
      <c r="I133" s="837"/>
      <c r="J133" s="837"/>
    </row>
    <row r="134" spans="1:10">
      <c r="A134" s="834">
        <v>126</v>
      </c>
      <c r="B134" s="834" t="s">
        <v>3207</v>
      </c>
      <c r="C134" s="834">
        <v>29</v>
      </c>
      <c r="D134" s="834">
        <v>7</v>
      </c>
      <c r="E134" s="835">
        <v>3.2408608686702847</v>
      </c>
      <c r="F134" s="836">
        <v>23.65257956669403</v>
      </c>
      <c r="G134" s="836">
        <v>34.34742043330597</v>
      </c>
      <c r="I134" s="837"/>
      <c r="J134" s="837"/>
    </row>
    <row r="135" spans="1:10">
      <c r="A135" s="834">
        <v>126</v>
      </c>
      <c r="B135" s="834" t="s">
        <v>517</v>
      </c>
      <c r="C135" s="834">
        <v>29</v>
      </c>
      <c r="D135" s="834">
        <v>5</v>
      </c>
      <c r="E135" s="835">
        <v>3.6867544651149275</v>
      </c>
      <c r="F135" s="836">
        <v>22.916855132560372</v>
      </c>
      <c r="G135" s="836">
        <v>35.083144867439628</v>
      </c>
      <c r="I135" s="837"/>
      <c r="J135" s="837"/>
    </row>
    <row r="136" spans="1:10">
      <c r="A136" s="834">
        <v>133</v>
      </c>
      <c r="B136" s="834" t="s">
        <v>316</v>
      </c>
      <c r="C136" s="834">
        <v>28</v>
      </c>
      <c r="D136" s="834">
        <v>8</v>
      </c>
      <c r="E136" s="835">
        <v>3.3821675714935382</v>
      </c>
      <c r="F136" s="836">
        <v>22.419423507035663</v>
      </c>
      <c r="G136" s="836">
        <v>33.58057649296434</v>
      </c>
      <c r="I136" s="837"/>
      <c r="J136" s="837"/>
    </row>
    <row r="137" spans="1:10">
      <c r="A137" s="834">
        <v>133</v>
      </c>
      <c r="B137" s="834" t="s">
        <v>3206</v>
      </c>
      <c r="C137" s="834">
        <v>28</v>
      </c>
      <c r="D137" s="834">
        <v>7</v>
      </c>
      <c r="E137" s="835">
        <v>2.0303833860199534</v>
      </c>
      <c r="F137" s="836">
        <v>24.649867413067078</v>
      </c>
      <c r="G137" s="836">
        <v>31.350132586932922</v>
      </c>
      <c r="I137" s="837"/>
      <c r="J137" s="837"/>
    </row>
    <row r="138" spans="1:10">
      <c r="A138" s="834">
        <v>133</v>
      </c>
      <c r="B138" s="834" t="s">
        <v>3090</v>
      </c>
      <c r="C138" s="834">
        <v>28</v>
      </c>
      <c r="D138" s="834">
        <v>3</v>
      </c>
      <c r="E138" s="835">
        <v>5.1776102198882503</v>
      </c>
      <c r="F138" s="836">
        <v>19.456943137184389</v>
      </c>
      <c r="G138" s="836">
        <v>36.543056862815611</v>
      </c>
      <c r="I138" s="837"/>
      <c r="J138" s="837"/>
    </row>
    <row r="139" spans="1:10">
      <c r="A139" s="834">
        <v>136</v>
      </c>
      <c r="B139" s="834" t="s">
        <v>101</v>
      </c>
      <c r="C139" s="834">
        <v>27</v>
      </c>
      <c r="D139" s="834">
        <v>8</v>
      </c>
      <c r="E139" s="835">
        <v>2.8666391075145681</v>
      </c>
      <c r="F139" s="836">
        <v>22.270045472600962</v>
      </c>
      <c r="G139" s="836">
        <v>31.729954527399038</v>
      </c>
      <c r="I139" s="837"/>
      <c r="J139" s="837"/>
    </row>
    <row r="140" spans="1:10">
      <c r="A140" s="834">
        <v>136</v>
      </c>
      <c r="B140" s="834" t="s">
        <v>3158</v>
      </c>
      <c r="C140" s="834">
        <v>27</v>
      </c>
      <c r="D140" s="834">
        <v>6</v>
      </c>
      <c r="E140" s="835">
        <v>4.7195752573203809</v>
      </c>
      <c r="F140" s="836">
        <v>19.212700825421372</v>
      </c>
      <c r="G140" s="836">
        <v>34.787299174578628</v>
      </c>
      <c r="I140" s="837"/>
      <c r="J140" s="837"/>
    </row>
    <row r="141" spans="1:10">
      <c r="A141" s="834">
        <v>136</v>
      </c>
      <c r="B141" s="834" t="s">
        <v>3141</v>
      </c>
      <c r="C141" s="834">
        <v>27</v>
      </c>
      <c r="D141" s="834">
        <v>6</v>
      </c>
      <c r="E141" s="835">
        <v>2.3496370363443022</v>
      </c>
      <c r="F141" s="836">
        <v>23.123098890031901</v>
      </c>
      <c r="G141" s="836">
        <v>30.876901109968099</v>
      </c>
      <c r="I141" s="837"/>
      <c r="J141" s="837"/>
    </row>
    <row r="142" spans="1:10">
      <c r="A142" s="834">
        <v>136</v>
      </c>
      <c r="B142" s="834" t="s">
        <v>3205</v>
      </c>
      <c r="C142" s="834">
        <v>27</v>
      </c>
      <c r="D142" s="834">
        <v>6</v>
      </c>
      <c r="E142" s="835">
        <v>3.3712439800116969</v>
      </c>
      <c r="F142" s="836">
        <v>21.437447432980701</v>
      </c>
      <c r="G142" s="836">
        <v>32.562552567019296</v>
      </c>
      <c r="I142" s="837"/>
      <c r="J142" s="837"/>
    </row>
    <row r="143" spans="1:10">
      <c r="A143" s="834">
        <v>136</v>
      </c>
      <c r="B143" s="834" t="s">
        <v>413</v>
      </c>
      <c r="C143" s="834">
        <v>27</v>
      </c>
      <c r="D143" s="834">
        <v>8</v>
      </c>
      <c r="E143" s="835">
        <v>2.8243027989837781</v>
      </c>
      <c r="F143" s="836">
        <v>22.339900381676767</v>
      </c>
      <c r="G143" s="836">
        <v>31.660099618323233</v>
      </c>
      <c r="I143" s="837"/>
      <c r="J143" s="837"/>
    </row>
    <row r="144" spans="1:10">
      <c r="A144" s="834">
        <v>136</v>
      </c>
      <c r="B144" s="834" t="s">
        <v>3144</v>
      </c>
      <c r="C144" s="834">
        <v>27</v>
      </c>
      <c r="D144" s="834">
        <v>8</v>
      </c>
      <c r="E144" s="835">
        <v>2.6066039683223634</v>
      </c>
      <c r="F144" s="836">
        <v>22.699103452268101</v>
      </c>
      <c r="G144" s="836">
        <v>31.300896547731899</v>
      </c>
      <c r="I144" s="837"/>
      <c r="J144" s="837"/>
    </row>
    <row r="145" spans="1:10">
      <c r="A145" s="834">
        <v>142</v>
      </c>
      <c r="B145" s="834" t="s">
        <v>3204</v>
      </c>
      <c r="C145" s="834">
        <v>26</v>
      </c>
      <c r="D145" s="834">
        <v>3</v>
      </c>
      <c r="E145" s="835">
        <v>8.7456258855587858</v>
      </c>
      <c r="F145" s="836">
        <v>11.569717288828004</v>
      </c>
      <c r="G145" s="836">
        <v>40.430282711171998</v>
      </c>
      <c r="I145" s="837"/>
      <c r="J145" s="837"/>
    </row>
    <row r="146" spans="1:10">
      <c r="A146" s="834">
        <v>142</v>
      </c>
      <c r="B146" s="834" t="s">
        <v>3203</v>
      </c>
      <c r="C146" s="834">
        <v>26</v>
      </c>
      <c r="D146" s="834">
        <v>8</v>
      </c>
      <c r="E146" s="835">
        <v>3.0295988245364915</v>
      </c>
      <c r="F146" s="836">
        <v>21.001161939514787</v>
      </c>
      <c r="G146" s="836">
        <v>30.998838060485213</v>
      </c>
      <c r="I146" s="837"/>
      <c r="J146" s="837"/>
    </row>
    <row r="147" spans="1:10">
      <c r="A147" s="834">
        <v>142</v>
      </c>
      <c r="B147" s="834" t="s">
        <v>3202</v>
      </c>
      <c r="C147" s="834">
        <v>26</v>
      </c>
      <c r="D147" s="834">
        <v>8</v>
      </c>
      <c r="E147" s="835">
        <v>1.6385108448952883</v>
      </c>
      <c r="F147" s="836">
        <v>23.296457105922773</v>
      </c>
      <c r="G147" s="836">
        <v>28.703542894077227</v>
      </c>
      <c r="I147" s="837"/>
      <c r="J147" s="837"/>
    </row>
    <row r="148" spans="1:10">
      <c r="A148" s="834">
        <v>145</v>
      </c>
      <c r="B148" s="834" t="s">
        <v>3201</v>
      </c>
      <c r="C148" s="834">
        <v>25</v>
      </c>
      <c r="D148" s="834">
        <v>7</v>
      </c>
      <c r="E148" s="835">
        <v>4.234565311685591</v>
      </c>
      <c r="F148" s="836">
        <v>18.012967235718776</v>
      </c>
      <c r="G148" s="836">
        <v>31.987032764281224</v>
      </c>
      <c r="I148" s="837"/>
      <c r="J148" s="837"/>
    </row>
    <row r="149" spans="1:10">
      <c r="A149" s="834">
        <v>145</v>
      </c>
      <c r="B149" s="834" t="s">
        <v>3089</v>
      </c>
      <c r="C149" s="834">
        <v>25</v>
      </c>
      <c r="D149" s="834">
        <v>7</v>
      </c>
      <c r="E149" s="835">
        <v>3.2120145317726991</v>
      </c>
      <c r="F149" s="836">
        <v>19.700176022575047</v>
      </c>
      <c r="G149" s="836">
        <v>30.299823977424953</v>
      </c>
      <c r="I149" s="837"/>
      <c r="J149" s="837"/>
    </row>
    <row r="150" spans="1:10">
      <c r="A150" s="834">
        <v>145</v>
      </c>
      <c r="B150" s="834" t="s">
        <v>3200</v>
      </c>
      <c r="C150" s="834">
        <v>25</v>
      </c>
      <c r="D150" s="834">
        <v>8</v>
      </c>
      <c r="E150" s="835">
        <v>2.9830758812116649</v>
      </c>
      <c r="F150" s="836">
        <v>20.077924796000751</v>
      </c>
      <c r="G150" s="836">
        <v>29.922075203999249</v>
      </c>
      <c r="I150" s="837"/>
      <c r="J150" s="837"/>
    </row>
    <row r="151" spans="1:10">
      <c r="A151" s="834">
        <v>145</v>
      </c>
      <c r="B151" s="834" t="s">
        <v>3199</v>
      </c>
      <c r="C151" s="834">
        <v>25</v>
      </c>
      <c r="D151" s="834">
        <v>4</v>
      </c>
      <c r="E151" s="835">
        <v>3.8038199545273854</v>
      </c>
      <c r="F151" s="836">
        <v>18.723697075029815</v>
      </c>
      <c r="G151" s="836">
        <v>31.276302924970185</v>
      </c>
      <c r="I151" s="837"/>
      <c r="J151" s="837"/>
    </row>
    <row r="152" spans="1:10">
      <c r="A152" s="834">
        <v>145</v>
      </c>
      <c r="B152" s="834" t="s">
        <v>3153</v>
      </c>
      <c r="C152" s="834">
        <v>25</v>
      </c>
      <c r="D152" s="834">
        <v>5</v>
      </c>
      <c r="E152" s="835">
        <v>4.1619582946558564</v>
      </c>
      <c r="F152" s="836">
        <v>18.132768813817837</v>
      </c>
      <c r="G152" s="836">
        <v>31.867231186182163</v>
      </c>
      <c r="I152" s="837"/>
      <c r="J152" s="837"/>
    </row>
    <row r="153" spans="1:10">
      <c r="A153" s="834">
        <v>150</v>
      </c>
      <c r="B153" s="834" t="s">
        <v>127</v>
      </c>
      <c r="C153" s="834">
        <v>24</v>
      </c>
      <c r="D153" s="834">
        <v>4</v>
      </c>
      <c r="E153" s="835">
        <v>1.3342012030687851</v>
      </c>
      <c r="F153" s="836">
        <v>21.798568014936507</v>
      </c>
      <c r="G153" s="836">
        <v>26.201431985063493</v>
      </c>
      <c r="I153" s="837"/>
      <c r="J153" s="837"/>
    </row>
    <row r="154" spans="1:10">
      <c r="A154" s="834">
        <v>150</v>
      </c>
      <c r="B154" s="834" t="s">
        <v>3198</v>
      </c>
      <c r="C154" s="834">
        <v>24</v>
      </c>
      <c r="D154" s="834">
        <v>5</v>
      </c>
      <c r="E154" s="835">
        <v>2.9529371293426823</v>
      </c>
      <c r="F154" s="836">
        <v>19.127653736584573</v>
      </c>
      <c r="G154" s="836">
        <v>28.872346263415427</v>
      </c>
      <c r="I154" s="837"/>
      <c r="J154" s="837"/>
    </row>
    <row r="155" spans="1:10">
      <c r="A155" s="834">
        <v>152</v>
      </c>
      <c r="B155" s="834" t="s">
        <v>3197</v>
      </c>
      <c r="C155" s="834">
        <v>23</v>
      </c>
      <c r="D155" s="834">
        <v>6</v>
      </c>
      <c r="E155" s="835">
        <v>4.2028948395662864</v>
      </c>
      <c r="F155" s="836">
        <v>16.065223514715626</v>
      </c>
      <c r="G155" s="836">
        <v>29.934776485284374</v>
      </c>
      <c r="I155" s="837"/>
      <c r="J155" s="837"/>
    </row>
    <row r="156" spans="1:10">
      <c r="A156" s="834">
        <v>152</v>
      </c>
      <c r="B156" s="834" t="s">
        <v>3196</v>
      </c>
      <c r="C156" s="834">
        <v>23</v>
      </c>
      <c r="D156" s="834">
        <v>5</v>
      </c>
      <c r="E156" s="835">
        <v>5.3245680270448918</v>
      </c>
      <c r="F156" s="836">
        <v>14.214462755375928</v>
      </c>
      <c r="G156" s="836">
        <v>31.785537244624074</v>
      </c>
      <c r="I156" s="837"/>
      <c r="J156" s="837"/>
    </row>
    <row r="157" spans="1:10">
      <c r="A157" s="834">
        <v>154</v>
      </c>
      <c r="B157" s="834" t="s">
        <v>138</v>
      </c>
      <c r="C157" s="834">
        <v>22</v>
      </c>
      <c r="D157" s="834">
        <v>5</v>
      </c>
      <c r="E157" s="835">
        <v>2.9487721483391689</v>
      </c>
      <c r="F157" s="836">
        <v>17.13452595524037</v>
      </c>
      <c r="G157" s="836">
        <v>26.86547404475963</v>
      </c>
      <c r="I157" s="837"/>
      <c r="J157" s="837"/>
    </row>
    <row r="158" spans="1:10">
      <c r="A158" s="834">
        <v>154</v>
      </c>
      <c r="B158" s="834" t="s">
        <v>3195</v>
      </c>
      <c r="C158" s="834">
        <v>22</v>
      </c>
      <c r="D158" s="834">
        <v>5</v>
      </c>
      <c r="E158" s="835">
        <v>4.1938504410912198</v>
      </c>
      <c r="F158" s="836">
        <v>15.080146772199488</v>
      </c>
      <c r="G158" s="836">
        <v>28.919853227800512</v>
      </c>
      <c r="I158" s="837"/>
      <c r="J158" s="837"/>
    </row>
    <row r="159" spans="1:10">
      <c r="A159" s="834">
        <v>156</v>
      </c>
      <c r="B159" s="834" t="s">
        <v>3194</v>
      </c>
      <c r="C159" s="834">
        <v>21</v>
      </c>
      <c r="D159" s="834">
        <v>7</v>
      </c>
      <c r="E159" s="835">
        <v>2.2475786606680028</v>
      </c>
      <c r="F159" s="836">
        <v>17.291495209897796</v>
      </c>
      <c r="G159" s="836">
        <v>24.708504790102204</v>
      </c>
      <c r="I159" s="837"/>
      <c r="J159" s="837"/>
    </row>
    <row r="160" spans="1:10">
      <c r="A160" s="834">
        <v>156</v>
      </c>
      <c r="B160" s="834" t="s">
        <v>3193</v>
      </c>
      <c r="C160" s="834">
        <v>21</v>
      </c>
      <c r="D160" s="834">
        <v>7</v>
      </c>
      <c r="E160" s="835">
        <v>2.8731652926305338</v>
      </c>
      <c r="F160" s="836">
        <v>16.259277267159618</v>
      </c>
      <c r="G160" s="836">
        <v>25.740722732840382</v>
      </c>
      <c r="I160" s="837"/>
      <c r="J160" s="837"/>
    </row>
    <row r="161" spans="1:10">
      <c r="A161" s="834">
        <v>156</v>
      </c>
      <c r="B161" s="834" t="s">
        <v>3192</v>
      </c>
      <c r="C161" s="834">
        <v>21</v>
      </c>
      <c r="D161" s="834">
        <v>8</v>
      </c>
      <c r="E161" s="835">
        <v>4.1827897969634371</v>
      </c>
      <c r="F161" s="836">
        <v>14.09839683501033</v>
      </c>
      <c r="G161" s="836">
        <v>27.90160316498967</v>
      </c>
      <c r="I161" s="837"/>
      <c r="J161" s="837"/>
    </row>
    <row r="162" spans="1:10">
      <c r="A162" s="834">
        <v>159</v>
      </c>
      <c r="B162" s="834" t="s">
        <v>3191</v>
      </c>
      <c r="C162" s="834">
        <v>20</v>
      </c>
      <c r="D162" s="834">
        <v>5</v>
      </c>
      <c r="E162" s="835">
        <v>3.6508790895730718</v>
      </c>
      <c r="F162" s="836">
        <v>13.976049502204432</v>
      </c>
      <c r="G162" s="836">
        <v>26.023950497795568</v>
      </c>
      <c r="I162" s="837"/>
      <c r="J162" s="837"/>
    </row>
    <row r="163" spans="1:10">
      <c r="A163" s="834">
        <v>159</v>
      </c>
      <c r="B163" s="834" t="s">
        <v>3190</v>
      </c>
      <c r="C163" s="834">
        <v>20</v>
      </c>
      <c r="D163" s="834">
        <v>4</v>
      </c>
      <c r="E163" s="835">
        <v>5.3121906321815855</v>
      </c>
      <c r="F163" s="836">
        <v>11.234885456900384</v>
      </c>
      <c r="G163" s="836">
        <v>28.765114543099614</v>
      </c>
      <c r="I163" s="837"/>
      <c r="J163" s="837"/>
    </row>
    <row r="164" spans="1:10">
      <c r="A164" s="834">
        <v>161</v>
      </c>
      <c r="B164" s="834" t="s">
        <v>3159</v>
      </c>
      <c r="C164" s="834">
        <v>19</v>
      </c>
      <c r="D164" s="834">
        <v>6</v>
      </c>
      <c r="E164" s="835">
        <v>1.7141685465310623</v>
      </c>
      <c r="F164" s="836">
        <v>16.171621898223748</v>
      </c>
      <c r="G164" s="836">
        <v>21.828378101776252</v>
      </c>
      <c r="I164" s="837"/>
      <c r="J164" s="837"/>
    </row>
    <row r="165" spans="1:10">
      <c r="A165" s="834">
        <v>161</v>
      </c>
      <c r="B165" s="834" t="s">
        <v>3189</v>
      </c>
      <c r="C165" s="834">
        <v>19</v>
      </c>
      <c r="D165" s="834">
        <v>4</v>
      </c>
      <c r="E165" s="835">
        <v>2.3672144885878899</v>
      </c>
      <c r="F165" s="836">
        <v>15.094096093829982</v>
      </c>
      <c r="G165" s="836">
        <v>22.905903906170018</v>
      </c>
      <c r="I165" s="837"/>
      <c r="J165" s="837"/>
    </row>
    <row r="166" spans="1:10">
      <c r="A166" s="834">
        <v>161</v>
      </c>
      <c r="B166" s="834" t="s">
        <v>3188</v>
      </c>
      <c r="C166" s="834">
        <v>19</v>
      </c>
      <c r="D166" s="834">
        <v>5</v>
      </c>
      <c r="E166" s="835">
        <v>2.8572886368515156</v>
      </c>
      <c r="F166" s="836">
        <v>14.285473749194999</v>
      </c>
      <c r="G166" s="836">
        <v>23.714526250805001</v>
      </c>
      <c r="I166" s="837"/>
      <c r="J166" s="837"/>
    </row>
    <row r="167" spans="1:10">
      <c r="A167" s="834">
        <v>161</v>
      </c>
      <c r="B167" s="834" t="s">
        <v>3150</v>
      </c>
      <c r="C167" s="834">
        <v>19</v>
      </c>
      <c r="D167" s="834">
        <v>7</v>
      </c>
      <c r="E167" s="835">
        <v>1.693653247401649</v>
      </c>
      <c r="F167" s="836">
        <v>16.205472141787279</v>
      </c>
      <c r="G167" s="836">
        <v>21.794527858212721</v>
      </c>
      <c r="I167" s="837"/>
      <c r="J167" s="837"/>
    </row>
    <row r="168" spans="1:10">
      <c r="A168" s="834">
        <v>161</v>
      </c>
      <c r="B168" s="834" t="s">
        <v>529</v>
      </c>
      <c r="C168" s="834">
        <v>19</v>
      </c>
      <c r="D168" s="834">
        <v>6</v>
      </c>
      <c r="E168" s="835">
        <v>2.3723519152826658</v>
      </c>
      <c r="F168" s="836">
        <v>15.085619339783602</v>
      </c>
      <c r="G168" s="836">
        <v>22.914380660216398</v>
      </c>
      <c r="I168" s="837"/>
      <c r="J168" s="837"/>
    </row>
    <row r="169" spans="1:10">
      <c r="A169" s="834">
        <v>166</v>
      </c>
      <c r="B169" s="834" t="s">
        <v>3187</v>
      </c>
      <c r="C169" s="834">
        <v>18</v>
      </c>
      <c r="D169" s="834">
        <v>4</v>
      </c>
      <c r="E169" s="835">
        <v>7.9060942348044847</v>
      </c>
      <c r="F169" s="836">
        <v>4.9549445125726006</v>
      </c>
      <c r="G169" s="836">
        <v>31.045055487427398</v>
      </c>
      <c r="I169" s="837"/>
      <c r="J169" s="837"/>
    </row>
    <row r="170" spans="1:10">
      <c r="A170" s="834">
        <v>166</v>
      </c>
      <c r="B170" s="834" t="s">
        <v>3186</v>
      </c>
      <c r="C170" s="834">
        <v>18</v>
      </c>
      <c r="D170" s="834">
        <v>5</v>
      </c>
      <c r="E170" s="835">
        <v>2.81220268605562</v>
      </c>
      <c r="F170" s="836">
        <v>13.359865568008228</v>
      </c>
      <c r="G170" s="836">
        <v>22.640134431991772</v>
      </c>
      <c r="I170" s="837"/>
      <c r="J170" s="837"/>
    </row>
    <row r="171" spans="1:10">
      <c r="A171" s="834">
        <v>166</v>
      </c>
      <c r="B171" s="834" t="s">
        <v>3185</v>
      </c>
      <c r="C171" s="834">
        <v>18</v>
      </c>
      <c r="D171" s="834">
        <v>6</v>
      </c>
      <c r="E171" s="835">
        <v>2.5443037524984038</v>
      </c>
      <c r="F171" s="836">
        <v>13.801898808377633</v>
      </c>
      <c r="G171" s="836">
        <v>22.198101191622367</v>
      </c>
      <c r="I171" s="837"/>
      <c r="J171" s="837"/>
    </row>
    <row r="172" spans="1:10">
      <c r="A172" s="834">
        <v>169</v>
      </c>
      <c r="B172" s="834" t="s">
        <v>3164</v>
      </c>
      <c r="C172" s="834">
        <v>17</v>
      </c>
      <c r="D172" s="834">
        <v>3</v>
      </c>
      <c r="E172" s="835">
        <v>2.8510115317341622</v>
      </c>
      <c r="F172" s="836">
        <v>12.295830972638633</v>
      </c>
      <c r="G172" s="836">
        <v>21.704169027361367</v>
      </c>
      <c r="I172" s="837"/>
      <c r="J172" s="837"/>
    </row>
    <row r="173" spans="1:10">
      <c r="A173" s="834">
        <v>170</v>
      </c>
      <c r="B173" s="834" t="s">
        <v>251</v>
      </c>
      <c r="C173" s="834">
        <v>16</v>
      </c>
      <c r="D173" s="834">
        <v>4</v>
      </c>
      <c r="E173" s="835">
        <v>2.3744578432950796</v>
      </c>
      <c r="F173" s="836">
        <v>12.082144558563119</v>
      </c>
      <c r="G173" s="836">
        <v>19.917855441436881</v>
      </c>
      <c r="I173" s="837"/>
      <c r="J173" s="837"/>
    </row>
    <row r="174" spans="1:10">
      <c r="A174" s="834">
        <v>171</v>
      </c>
      <c r="B174" s="834" t="s">
        <v>3184</v>
      </c>
      <c r="C174" s="834">
        <v>15</v>
      </c>
      <c r="D174" s="834">
        <v>3</v>
      </c>
      <c r="E174" s="835">
        <v>2.3516950779206609</v>
      </c>
      <c r="F174" s="836">
        <v>11.119703121430909</v>
      </c>
      <c r="G174" s="836">
        <v>18.880296878569091</v>
      </c>
      <c r="I174" s="837"/>
      <c r="J174" s="837"/>
    </row>
    <row r="175" spans="1:10">
      <c r="A175" s="834">
        <v>172</v>
      </c>
      <c r="B175" s="834" t="s">
        <v>21</v>
      </c>
      <c r="C175" s="834">
        <v>12</v>
      </c>
      <c r="D175" s="834">
        <v>4</v>
      </c>
      <c r="E175" s="835">
        <v>1.2886908852741683</v>
      </c>
      <c r="F175" s="836">
        <v>9.8736600392976221</v>
      </c>
      <c r="G175" s="836">
        <v>14.126339960702378</v>
      </c>
      <c r="I175" s="837"/>
      <c r="J175" s="837"/>
    </row>
    <row r="176" spans="1:10">
      <c r="A176" s="834">
        <v>173</v>
      </c>
      <c r="B176" s="834" t="s">
        <v>3157</v>
      </c>
      <c r="C176" s="834">
        <v>11</v>
      </c>
      <c r="D176" s="834">
        <v>6</v>
      </c>
      <c r="E176" s="835">
        <v>3.5463602295490304</v>
      </c>
      <c r="F176" s="836">
        <v>5.1485056212440998</v>
      </c>
      <c r="G176" s="836">
        <v>16.851494378755902</v>
      </c>
      <c r="I176" s="837"/>
      <c r="J176" s="837"/>
    </row>
    <row r="177" spans="1:10">
      <c r="A177" s="834">
        <v>174</v>
      </c>
      <c r="B177" s="834" t="s">
        <v>3183</v>
      </c>
      <c r="C177" s="834">
        <v>8</v>
      </c>
      <c r="D177" s="834">
        <v>3</v>
      </c>
      <c r="E177" s="835">
        <v>3.3503719936227245</v>
      </c>
      <c r="F177" s="836">
        <v>2.4718862105225048</v>
      </c>
      <c r="G177" s="836">
        <v>13.528113789477494</v>
      </c>
      <c r="I177" s="837"/>
      <c r="J177" s="837"/>
    </row>
    <row r="178" spans="1:10">
      <c r="A178" s="834">
        <v>174</v>
      </c>
      <c r="B178" s="834" t="s">
        <v>3182</v>
      </c>
      <c r="C178" s="834">
        <v>8</v>
      </c>
      <c r="D178" s="834">
        <v>4</v>
      </c>
      <c r="E178" s="835">
        <v>2.3405133153713513</v>
      </c>
      <c r="F178" s="836">
        <v>4.1381530296372704</v>
      </c>
      <c r="G178" s="836">
        <v>11.861846970362731</v>
      </c>
      <c r="I178" s="837"/>
      <c r="J178" s="837"/>
    </row>
  </sheetData>
  <mergeCells count="6">
    <mergeCell ref="F2:G2"/>
    <mergeCell ref="A2:A3"/>
    <mergeCell ref="B2:B3"/>
    <mergeCell ref="C2:C3"/>
    <mergeCell ref="D2:D3"/>
    <mergeCell ref="E2:E3"/>
  </mergeCell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669"/>
  <sheetViews>
    <sheetView zoomScale="80" zoomScaleNormal="80" workbookViewId="0">
      <pane ySplit="1" topLeftCell="A6" activePane="bottomLeft" state="frozen"/>
      <selection pane="bottomLeft" activeCell="G15" sqref="G15"/>
    </sheetView>
  </sheetViews>
  <sheetFormatPr defaultRowHeight="15"/>
  <cols>
    <col min="1" max="15" width="20.7109375" style="707" customWidth="1"/>
    <col min="16" max="16384" width="9.140625" style="684"/>
  </cols>
  <sheetData>
    <row r="1" spans="1:17" s="682" customFormat="1" ht="60.75" customHeight="1" thickBot="1">
      <c r="A1" s="678" t="s">
        <v>2</v>
      </c>
      <c r="B1" s="678" t="s">
        <v>2467</v>
      </c>
      <c r="C1" s="678" t="s">
        <v>4</v>
      </c>
      <c r="D1" s="679" t="s">
        <v>5</v>
      </c>
      <c r="E1" s="680" t="s">
        <v>2468</v>
      </c>
      <c r="F1" s="679" t="s">
        <v>2469</v>
      </c>
      <c r="G1" s="679" t="s">
        <v>562</v>
      </c>
      <c r="H1" s="679" t="s">
        <v>2470</v>
      </c>
      <c r="I1" s="678" t="s">
        <v>2471</v>
      </c>
      <c r="J1" s="678" t="s">
        <v>2440</v>
      </c>
      <c r="K1" s="678" t="s">
        <v>572</v>
      </c>
      <c r="L1" s="681" t="s">
        <v>2472</v>
      </c>
      <c r="M1" s="681" t="s">
        <v>2473</v>
      </c>
      <c r="N1" s="681" t="s">
        <v>2474</v>
      </c>
      <c r="O1" s="681" t="s">
        <v>597</v>
      </c>
    </row>
    <row r="2" spans="1:17" ht="15" customHeight="1">
      <c r="A2" s="683" t="s">
        <v>211</v>
      </c>
      <c r="B2" s="683">
        <v>2010</v>
      </c>
      <c r="C2" s="683" t="s">
        <v>195</v>
      </c>
      <c r="D2" s="683" t="s">
        <v>86</v>
      </c>
      <c r="E2" s="683" t="s">
        <v>2475</v>
      </c>
      <c r="F2" s="683" t="s">
        <v>103</v>
      </c>
      <c r="G2" s="683" t="s">
        <v>103</v>
      </c>
      <c r="H2" s="76">
        <v>1181088</v>
      </c>
      <c r="I2" s="19" t="s">
        <v>2476</v>
      </c>
      <c r="J2" s="683" t="s">
        <v>943</v>
      </c>
      <c r="K2" s="683"/>
      <c r="L2" s="683" t="s">
        <v>2477</v>
      </c>
      <c r="M2" s="683" t="s">
        <v>943</v>
      </c>
      <c r="N2" s="683" t="s">
        <v>943</v>
      </c>
      <c r="O2" s="683">
        <v>19</v>
      </c>
      <c r="P2" s="683"/>
    </row>
    <row r="3" spans="1:17" ht="15" customHeight="1">
      <c r="A3" s="683" t="s">
        <v>211</v>
      </c>
      <c r="B3" s="683">
        <v>2010</v>
      </c>
      <c r="C3" s="683" t="s">
        <v>195</v>
      </c>
      <c r="D3" s="683" t="s">
        <v>86</v>
      </c>
      <c r="E3" s="683" t="s">
        <v>2475</v>
      </c>
      <c r="F3" s="683" t="s">
        <v>103</v>
      </c>
      <c r="G3" s="683"/>
      <c r="H3" s="76"/>
      <c r="I3" s="19"/>
      <c r="J3" s="683"/>
      <c r="K3" s="683"/>
      <c r="L3" s="683" t="s">
        <v>2478</v>
      </c>
      <c r="M3" s="76"/>
      <c r="N3" s="76"/>
      <c r="O3" s="683"/>
      <c r="P3" s="683"/>
    </row>
    <row r="4" spans="1:17" ht="15" customHeight="1">
      <c r="A4" s="683" t="s">
        <v>211</v>
      </c>
      <c r="B4" s="683">
        <v>2010</v>
      </c>
      <c r="C4" s="683" t="s">
        <v>195</v>
      </c>
      <c r="D4" s="683" t="s">
        <v>86</v>
      </c>
      <c r="E4" s="683" t="s">
        <v>2475</v>
      </c>
      <c r="F4" s="683" t="s">
        <v>103</v>
      </c>
      <c r="G4" s="683"/>
      <c r="H4" s="76"/>
      <c r="I4" s="19"/>
      <c r="J4" s="683"/>
      <c r="K4" s="683"/>
      <c r="L4" s="683" t="s">
        <v>2479</v>
      </c>
      <c r="M4" s="76"/>
      <c r="N4" s="76"/>
      <c r="O4" s="683"/>
      <c r="P4" s="683"/>
    </row>
    <row r="5" spans="1:17" ht="15" customHeight="1">
      <c r="A5" s="683" t="s">
        <v>211</v>
      </c>
      <c r="B5" s="683">
        <v>2010</v>
      </c>
      <c r="C5" s="683" t="s">
        <v>195</v>
      </c>
      <c r="D5" s="683" t="s">
        <v>86</v>
      </c>
      <c r="E5" s="683" t="s">
        <v>2475</v>
      </c>
      <c r="F5" s="683" t="s">
        <v>103</v>
      </c>
      <c r="G5" s="683"/>
      <c r="H5" s="76"/>
      <c r="I5" s="19"/>
      <c r="J5" s="683"/>
      <c r="K5" s="683"/>
      <c r="L5" s="683" t="s">
        <v>2480</v>
      </c>
      <c r="M5" s="76"/>
      <c r="N5" s="76"/>
      <c r="O5" s="683"/>
      <c r="P5" s="683"/>
    </row>
    <row r="6" spans="1:17" ht="15" customHeight="1">
      <c r="A6" s="683" t="s">
        <v>211</v>
      </c>
      <c r="B6" s="683">
        <v>2010</v>
      </c>
      <c r="C6" s="683" t="s">
        <v>195</v>
      </c>
      <c r="D6" s="683" t="s">
        <v>86</v>
      </c>
      <c r="E6" s="683" t="s">
        <v>2475</v>
      </c>
      <c r="F6" s="683" t="s">
        <v>103</v>
      </c>
      <c r="G6" s="683"/>
      <c r="H6" s="76"/>
      <c r="I6" s="19"/>
      <c r="J6" s="683"/>
      <c r="K6" s="683"/>
      <c r="L6" s="683" t="s">
        <v>2481</v>
      </c>
      <c r="M6" s="76"/>
      <c r="N6" s="76"/>
      <c r="O6" s="683"/>
      <c r="P6" s="683"/>
    </row>
    <row r="7" spans="1:17" ht="15" customHeight="1">
      <c r="A7" s="683" t="s">
        <v>211</v>
      </c>
      <c r="B7" s="683">
        <v>2010</v>
      </c>
      <c r="C7" s="683" t="s">
        <v>195</v>
      </c>
      <c r="D7" s="683" t="s">
        <v>86</v>
      </c>
      <c r="E7" s="683" t="s">
        <v>2475</v>
      </c>
      <c r="F7" s="683" t="s">
        <v>103</v>
      </c>
      <c r="G7" s="683"/>
      <c r="H7" s="76"/>
      <c r="I7" s="19"/>
      <c r="J7" s="683"/>
      <c r="K7" s="683"/>
      <c r="L7" s="683" t="s">
        <v>2482</v>
      </c>
      <c r="M7" s="76"/>
      <c r="N7" s="76"/>
      <c r="O7" s="683"/>
      <c r="P7" s="683"/>
    </row>
    <row r="8" spans="1:17" s="686" customFormat="1" ht="15" customHeight="1">
      <c r="A8" s="685" t="s">
        <v>214</v>
      </c>
      <c r="B8" s="685">
        <v>2011</v>
      </c>
      <c r="C8" s="685" t="s">
        <v>195</v>
      </c>
      <c r="D8" s="685" t="s">
        <v>86</v>
      </c>
      <c r="E8" s="685" t="s">
        <v>2475</v>
      </c>
      <c r="F8" s="685" t="s">
        <v>103</v>
      </c>
      <c r="G8" s="685" t="s">
        <v>103</v>
      </c>
      <c r="H8" s="135">
        <v>24195895</v>
      </c>
      <c r="I8" s="132" t="s">
        <v>2476</v>
      </c>
      <c r="J8" s="685">
        <v>113.075</v>
      </c>
      <c r="K8" s="685" t="s">
        <v>673</v>
      </c>
      <c r="L8" s="685" t="s">
        <v>2483</v>
      </c>
      <c r="M8" s="685" t="s">
        <v>943</v>
      </c>
      <c r="N8" s="685" t="s">
        <v>943</v>
      </c>
      <c r="O8" s="685" t="s">
        <v>2484</v>
      </c>
      <c r="P8" s="685"/>
    </row>
    <row r="9" spans="1:17" s="688" customFormat="1" ht="15" customHeight="1">
      <c r="A9" s="687" t="s">
        <v>214</v>
      </c>
      <c r="B9" s="687">
        <v>2011</v>
      </c>
      <c r="C9" s="687" t="s">
        <v>195</v>
      </c>
      <c r="D9" s="687" t="s">
        <v>86</v>
      </c>
      <c r="E9" s="687" t="s">
        <v>2475</v>
      </c>
      <c r="F9" s="687" t="s">
        <v>103</v>
      </c>
      <c r="G9" s="687"/>
      <c r="H9" s="89"/>
      <c r="I9" s="117"/>
      <c r="J9" s="687"/>
      <c r="K9" s="687"/>
      <c r="L9" s="687" t="s">
        <v>2485</v>
      </c>
      <c r="M9" s="89"/>
      <c r="N9" s="89"/>
      <c r="O9" s="687"/>
      <c r="P9" s="687"/>
    </row>
    <row r="10" spans="1:17" s="688" customFormat="1" ht="15" customHeight="1">
      <c r="A10" s="687" t="s">
        <v>214</v>
      </c>
      <c r="B10" s="687">
        <v>2011</v>
      </c>
      <c r="C10" s="687" t="s">
        <v>195</v>
      </c>
      <c r="D10" s="687" t="s">
        <v>86</v>
      </c>
      <c r="E10" s="687" t="s">
        <v>2475</v>
      </c>
      <c r="F10" s="687" t="s">
        <v>103</v>
      </c>
      <c r="G10" s="687"/>
      <c r="H10" s="89"/>
      <c r="I10" s="117"/>
      <c r="J10" s="687"/>
      <c r="K10" s="687"/>
      <c r="L10" s="687" t="s">
        <v>2486</v>
      </c>
      <c r="M10" s="89"/>
      <c r="N10" s="89"/>
      <c r="O10" s="687"/>
      <c r="P10" s="687"/>
    </row>
    <row r="11" spans="1:17" s="688" customFormat="1" ht="15" customHeight="1">
      <c r="A11" s="687" t="s">
        <v>214</v>
      </c>
      <c r="B11" s="687">
        <v>2011</v>
      </c>
      <c r="C11" s="687" t="s">
        <v>195</v>
      </c>
      <c r="D11" s="687" t="s">
        <v>86</v>
      </c>
      <c r="E11" s="687" t="s">
        <v>2475</v>
      </c>
      <c r="F11" s="687" t="s">
        <v>103</v>
      </c>
      <c r="G11" s="687"/>
      <c r="H11" s="89"/>
      <c r="I11" s="117"/>
      <c r="J11" s="687"/>
      <c r="K11" s="687"/>
      <c r="L11" s="687" t="s">
        <v>2487</v>
      </c>
      <c r="M11" s="89"/>
      <c r="N11" s="89"/>
      <c r="O11" s="687"/>
      <c r="P11" s="687"/>
    </row>
    <row r="12" spans="1:17" s="690" customFormat="1" ht="15" customHeight="1" thickBot="1">
      <c r="A12" s="689" t="s">
        <v>214</v>
      </c>
      <c r="B12" s="689">
        <v>2011</v>
      </c>
      <c r="C12" s="689" t="s">
        <v>195</v>
      </c>
      <c r="D12" s="689" t="s">
        <v>86</v>
      </c>
      <c r="E12" s="689" t="s">
        <v>2475</v>
      </c>
      <c r="F12" s="689" t="s">
        <v>103</v>
      </c>
      <c r="G12" s="689"/>
      <c r="H12" s="167"/>
      <c r="I12" s="164"/>
      <c r="J12" s="689"/>
      <c r="K12" s="689"/>
      <c r="L12" s="689" t="s">
        <v>2488</v>
      </c>
      <c r="M12" s="167"/>
      <c r="N12" s="167"/>
      <c r="O12" s="689"/>
      <c r="P12" s="689"/>
    </row>
    <row r="13" spans="1:17" ht="15" customHeight="1">
      <c r="A13" s="683" t="s">
        <v>242</v>
      </c>
      <c r="B13" s="683">
        <v>2009</v>
      </c>
      <c r="C13" s="683" t="s">
        <v>243</v>
      </c>
      <c r="D13" s="19" t="s">
        <v>244</v>
      </c>
      <c r="E13" s="683" t="s">
        <v>2489</v>
      </c>
      <c r="F13" s="683" t="s">
        <v>55</v>
      </c>
      <c r="G13" s="683" t="s">
        <v>2490</v>
      </c>
      <c r="H13" s="76" t="s">
        <v>943</v>
      </c>
      <c r="I13" s="19"/>
      <c r="J13" s="683"/>
      <c r="K13" s="683"/>
      <c r="L13" s="683" t="s">
        <v>2491</v>
      </c>
      <c r="M13" s="76">
        <v>5477067000</v>
      </c>
      <c r="N13" s="76">
        <v>5477072000</v>
      </c>
      <c r="O13" s="683" t="s">
        <v>2492</v>
      </c>
      <c r="P13" s="683"/>
      <c r="Q13" s="683"/>
    </row>
    <row r="14" spans="1:17" ht="15" customHeight="1">
      <c r="A14" s="683" t="s">
        <v>242</v>
      </c>
      <c r="B14" s="683">
        <v>2009</v>
      </c>
      <c r="C14" s="683" t="s">
        <v>243</v>
      </c>
      <c r="D14" s="19" t="s">
        <v>244</v>
      </c>
      <c r="E14" s="683" t="s">
        <v>2493</v>
      </c>
      <c r="F14" s="683" t="s">
        <v>55</v>
      </c>
      <c r="G14" s="683" t="s">
        <v>2490</v>
      </c>
      <c r="H14" s="76" t="s">
        <v>943</v>
      </c>
      <c r="I14" s="19"/>
      <c r="J14" s="683"/>
      <c r="K14" s="683"/>
      <c r="L14" s="683" t="s">
        <v>2494</v>
      </c>
      <c r="M14" s="76">
        <v>371120000</v>
      </c>
      <c r="N14" s="76">
        <v>371121000</v>
      </c>
      <c r="O14" s="683" t="s">
        <v>2495</v>
      </c>
      <c r="P14" s="683"/>
      <c r="Q14" s="683"/>
    </row>
    <row r="15" spans="1:17" ht="15" customHeight="1">
      <c r="A15" s="683" t="s">
        <v>242</v>
      </c>
      <c r="B15" s="683">
        <v>2009</v>
      </c>
      <c r="C15" s="683" t="s">
        <v>243</v>
      </c>
      <c r="D15" s="19" t="s">
        <v>244</v>
      </c>
      <c r="E15" s="683" t="s">
        <v>2496</v>
      </c>
      <c r="F15" s="683" t="s">
        <v>55</v>
      </c>
      <c r="G15" s="683" t="s">
        <v>2490</v>
      </c>
      <c r="H15" s="76" t="s">
        <v>943</v>
      </c>
      <c r="I15" s="19"/>
      <c r="J15" s="683"/>
      <c r="K15" s="683"/>
      <c r="L15" s="683" t="s">
        <v>2497</v>
      </c>
      <c r="M15" s="76">
        <v>189152000</v>
      </c>
      <c r="N15" s="76">
        <v>186646000</v>
      </c>
      <c r="O15" s="683" t="s">
        <v>2498</v>
      </c>
      <c r="P15" s="683"/>
      <c r="Q15" s="683"/>
    </row>
    <row r="16" spans="1:17" ht="15" customHeight="1">
      <c r="A16" s="683" t="s">
        <v>242</v>
      </c>
      <c r="B16" s="683">
        <v>2009</v>
      </c>
      <c r="C16" s="683" t="s">
        <v>243</v>
      </c>
      <c r="D16" s="19" t="s">
        <v>244</v>
      </c>
      <c r="E16" s="683" t="s">
        <v>2499</v>
      </c>
      <c r="F16" s="683" t="s">
        <v>55</v>
      </c>
      <c r="G16" s="683" t="s">
        <v>2490</v>
      </c>
      <c r="H16" s="76" t="s">
        <v>943</v>
      </c>
      <c r="I16" s="19"/>
      <c r="J16" s="683"/>
      <c r="K16" s="683"/>
      <c r="L16" s="683" t="s">
        <v>2500</v>
      </c>
      <c r="M16" s="76">
        <v>34868000</v>
      </c>
      <c r="N16" s="76">
        <v>34868000</v>
      </c>
      <c r="O16" s="683" t="s">
        <v>2501</v>
      </c>
      <c r="P16" s="683"/>
      <c r="Q16" s="683"/>
    </row>
    <row r="17" spans="1:17" ht="15" customHeight="1">
      <c r="A17" s="683" t="s">
        <v>242</v>
      </c>
      <c r="B17" s="683">
        <v>2009</v>
      </c>
      <c r="C17" s="683" t="s">
        <v>243</v>
      </c>
      <c r="D17" s="19" t="s">
        <v>244</v>
      </c>
      <c r="E17" s="683" t="s">
        <v>2502</v>
      </c>
      <c r="F17" s="683" t="s">
        <v>55</v>
      </c>
      <c r="G17" s="683" t="s">
        <v>2490</v>
      </c>
      <c r="H17" s="76" t="s">
        <v>943</v>
      </c>
      <c r="I17" s="19"/>
      <c r="J17" s="683"/>
      <c r="K17" s="683"/>
      <c r="L17" s="683" t="s">
        <v>2503</v>
      </c>
      <c r="M17" s="76">
        <v>9123000</v>
      </c>
      <c r="N17" s="76">
        <v>8797000</v>
      </c>
      <c r="O17" s="683" t="s">
        <v>2504</v>
      </c>
      <c r="P17" s="683"/>
      <c r="Q17" s="683"/>
    </row>
    <row r="18" spans="1:17" ht="15" customHeight="1">
      <c r="A18" s="683" t="s">
        <v>242</v>
      </c>
      <c r="B18" s="683">
        <v>2009</v>
      </c>
      <c r="C18" s="683" t="s">
        <v>243</v>
      </c>
      <c r="D18" s="19" t="s">
        <v>244</v>
      </c>
      <c r="E18" s="683" t="s">
        <v>2505</v>
      </c>
      <c r="F18" s="683" t="s">
        <v>55</v>
      </c>
      <c r="G18" s="683" t="s">
        <v>2490</v>
      </c>
      <c r="H18" s="76" t="s">
        <v>943</v>
      </c>
      <c r="I18" s="19"/>
      <c r="J18" s="683"/>
      <c r="K18" s="683"/>
      <c r="L18" s="683" t="s">
        <v>2506</v>
      </c>
      <c r="M18" s="76">
        <v>2597509000</v>
      </c>
      <c r="N18" s="76">
        <v>2597509000</v>
      </c>
      <c r="O18" s="683" t="s">
        <v>2507</v>
      </c>
      <c r="P18" s="683"/>
      <c r="Q18" s="683"/>
    </row>
    <row r="19" spans="1:17" ht="15" customHeight="1">
      <c r="A19" s="683" t="s">
        <v>242</v>
      </c>
      <c r="B19" s="683">
        <v>2009</v>
      </c>
      <c r="C19" s="683" t="s">
        <v>243</v>
      </c>
      <c r="D19" s="19" t="s">
        <v>244</v>
      </c>
      <c r="E19" s="683" t="s">
        <v>2505</v>
      </c>
      <c r="F19" s="683" t="s">
        <v>55</v>
      </c>
      <c r="G19" s="683"/>
      <c r="H19" s="76" t="s">
        <v>943</v>
      </c>
      <c r="I19" s="19"/>
      <c r="J19" s="683"/>
      <c r="K19" s="683"/>
      <c r="L19" s="683" t="s">
        <v>2508</v>
      </c>
      <c r="M19" s="76">
        <v>2290007000</v>
      </c>
      <c r="N19" s="76">
        <v>1456838000</v>
      </c>
      <c r="O19" s="683" t="s">
        <v>2509</v>
      </c>
      <c r="P19" s="683"/>
      <c r="Q19" s="683"/>
    </row>
    <row r="20" spans="1:17" ht="15" customHeight="1">
      <c r="A20" s="683" t="s">
        <v>242</v>
      </c>
      <c r="B20" s="683">
        <v>2009</v>
      </c>
      <c r="C20" s="683" t="s">
        <v>243</v>
      </c>
      <c r="D20" s="19" t="s">
        <v>244</v>
      </c>
      <c r="E20" s="683" t="s">
        <v>2510</v>
      </c>
      <c r="F20" s="683" t="s">
        <v>55</v>
      </c>
      <c r="G20" s="683" t="s">
        <v>2490</v>
      </c>
      <c r="H20" s="76" t="s">
        <v>943</v>
      </c>
      <c r="I20" s="19"/>
      <c r="J20" s="683"/>
      <c r="K20" s="683"/>
      <c r="L20" s="683" t="s">
        <v>2511</v>
      </c>
      <c r="M20" s="76">
        <v>1233560000</v>
      </c>
      <c r="N20" s="76">
        <v>1233561000</v>
      </c>
      <c r="O20" s="683" t="s">
        <v>2512</v>
      </c>
      <c r="P20" s="683"/>
      <c r="Q20" s="683"/>
    </row>
    <row r="21" spans="1:17" ht="15" customHeight="1">
      <c r="A21" s="683" t="s">
        <v>242</v>
      </c>
      <c r="B21" s="683">
        <v>2009</v>
      </c>
      <c r="C21" s="683" t="s">
        <v>243</v>
      </c>
      <c r="D21" s="19" t="s">
        <v>244</v>
      </c>
      <c r="E21" s="683" t="s">
        <v>2513</v>
      </c>
      <c r="F21" s="683" t="s">
        <v>55</v>
      </c>
      <c r="G21" s="683" t="s">
        <v>2490</v>
      </c>
      <c r="H21" s="76" t="s">
        <v>943</v>
      </c>
      <c r="I21" s="19"/>
      <c r="J21" s="683"/>
      <c r="K21" s="683"/>
      <c r="L21" s="683" t="s">
        <v>2514</v>
      </c>
      <c r="M21" s="76">
        <v>1272176000</v>
      </c>
      <c r="N21" s="76">
        <v>1272238000</v>
      </c>
      <c r="O21" s="683" t="s">
        <v>2515</v>
      </c>
      <c r="P21" s="683"/>
      <c r="Q21" s="683"/>
    </row>
    <row r="22" spans="1:17" ht="15" customHeight="1">
      <c r="A22" s="683" t="s">
        <v>242</v>
      </c>
      <c r="B22" s="683">
        <v>2009</v>
      </c>
      <c r="C22" s="683" t="s">
        <v>243</v>
      </c>
      <c r="D22" s="19" t="s">
        <v>244</v>
      </c>
      <c r="E22" s="683" t="s">
        <v>2516</v>
      </c>
      <c r="F22" s="683" t="s">
        <v>55</v>
      </c>
      <c r="G22" s="683" t="s">
        <v>2490</v>
      </c>
      <c r="H22" s="76" t="s">
        <v>943</v>
      </c>
      <c r="I22" s="19"/>
      <c r="J22" s="683"/>
      <c r="K22" s="683"/>
      <c r="L22" s="683" t="s">
        <v>2517</v>
      </c>
      <c r="M22" s="76">
        <v>6958000</v>
      </c>
      <c r="N22" s="76">
        <v>6047000</v>
      </c>
      <c r="O22" s="683" t="s">
        <v>2518</v>
      </c>
      <c r="P22" s="683"/>
      <c r="Q22" s="683"/>
    </row>
    <row r="23" spans="1:17" ht="15" customHeight="1">
      <c r="A23" s="683" t="s">
        <v>242</v>
      </c>
      <c r="B23" s="683">
        <v>2009</v>
      </c>
      <c r="C23" s="683" t="s">
        <v>243</v>
      </c>
      <c r="D23" s="19" t="s">
        <v>244</v>
      </c>
      <c r="E23" s="683" t="s">
        <v>2519</v>
      </c>
      <c r="F23" s="683" t="s">
        <v>55</v>
      </c>
      <c r="G23" s="683" t="s">
        <v>2490</v>
      </c>
      <c r="H23" s="76" t="s">
        <v>943</v>
      </c>
      <c r="I23" s="19"/>
      <c r="J23" s="683"/>
      <c r="K23" s="683"/>
      <c r="L23" s="683" t="s">
        <v>2520</v>
      </c>
      <c r="M23" s="76">
        <v>1387958000</v>
      </c>
      <c r="N23" s="76">
        <v>1367305000</v>
      </c>
      <c r="O23" s="683" t="s">
        <v>2521</v>
      </c>
      <c r="P23" s="683"/>
      <c r="Q23" s="683"/>
    </row>
    <row r="24" spans="1:17" ht="15" customHeight="1">
      <c r="A24" s="683" t="s">
        <v>242</v>
      </c>
      <c r="B24" s="683">
        <v>2009</v>
      </c>
      <c r="C24" s="683" t="s">
        <v>243</v>
      </c>
      <c r="D24" s="19" t="s">
        <v>244</v>
      </c>
      <c r="E24" s="683" t="s">
        <v>2522</v>
      </c>
      <c r="F24" s="683" t="s">
        <v>55</v>
      </c>
      <c r="G24" s="683" t="s">
        <v>2490</v>
      </c>
      <c r="H24" s="76" t="s">
        <v>943</v>
      </c>
      <c r="I24" s="19"/>
      <c r="J24" s="683"/>
      <c r="K24" s="683"/>
      <c r="L24" s="683" t="s">
        <v>2523</v>
      </c>
      <c r="M24" s="76">
        <v>666025000</v>
      </c>
      <c r="N24" s="76">
        <v>670618000</v>
      </c>
      <c r="O24" s="683" t="s">
        <v>2524</v>
      </c>
      <c r="P24" s="683"/>
      <c r="Q24" s="683"/>
    </row>
    <row r="25" spans="1:17" ht="15" customHeight="1">
      <c r="A25" s="683" t="s">
        <v>242</v>
      </c>
      <c r="B25" s="683">
        <v>2009</v>
      </c>
      <c r="C25" s="683" t="s">
        <v>243</v>
      </c>
      <c r="D25" s="19" t="s">
        <v>244</v>
      </c>
      <c r="E25" s="683" t="s">
        <v>2525</v>
      </c>
      <c r="F25" s="683" t="s">
        <v>55</v>
      </c>
      <c r="G25" s="683" t="s">
        <v>2490</v>
      </c>
      <c r="H25" s="76" t="s">
        <v>943</v>
      </c>
      <c r="I25" s="19"/>
      <c r="J25" s="683"/>
      <c r="K25" s="683"/>
      <c r="L25" s="683" t="s">
        <v>2526</v>
      </c>
      <c r="M25" s="76">
        <v>355402000</v>
      </c>
      <c r="N25" s="76">
        <v>355402000</v>
      </c>
      <c r="O25" s="683" t="s">
        <v>2527</v>
      </c>
      <c r="P25" s="683"/>
      <c r="Q25" s="683"/>
    </row>
    <row r="26" spans="1:17" ht="15" customHeight="1">
      <c r="A26" s="683" t="s">
        <v>242</v>
      </c>
      <c r="B26" s="683">
        <v>2009</v>
      </c>
      <c r="C26" s="683" t="s">
        <v>243</v>
      </c>
      <c r="D26" s="19" t="s">
        <v>244</v>
      </c>
      <c r="E26" s="683" t="s">
        <v>2528</v>
      </c>
      <c r="F26" s="683" t="s">
        <v>55</v>
      </c>
      <c r="G26" s="683" t="s">
        <v>2490</v>
      </c>
      <c r="H26" s="76" t="s">
        <v>943</v>
      </c>
      <c r="I26" s="19"/>
      <c r="J26" s="683"/>
      <c r="K26" s="683"/>
      <c r="L26" s="683" t="s">
        <v>2529</v>
      </c>
      <c r="M26" s="76">
        <v>330720000</v>
      </c>
      <c r="N26" s="76">
        <v>330721000</v>
      </c>
      <c r="O26" s="683" t="s">
        <v>2530</v>
      </c>
      <c r="P26" s="683"/>
      <c r="Q26" s="683"/>
    </row>
    <row r="27" spans="1:17" ht="15" customHeight="1">
      <c r="A27" s="683" t="s">
        <v>242</v>
      </c>
      <c r="B27" s="683">
        <v>2009</v>
      </c>
      <c r="C27" s="683" t="s">
        <v>243</v>
      </c>
      <c r="D27" s="19" t="s">
        <v>244</v>
      </c>
      <c r="E27" s="683" t="s">
        <v>2531</v>
      </c>
      <c r="F27" s="683" t="s">
        <v>55</v>
      </c>
      <c r="G27" s="683" t="s">
        <v>2490</v>
      </c>
      <c r="H27" s="76" t="s">
        <v>943</v>
      </c>
      <c r="I27" s="19"/>
      <c r="J27" s="683"/>
      <c r="K27" s="683"/>
      <c r="L27" s="683" t="s">
        <v>2532</v>
      </c>
      <c r="M27" s="76">
        <v>22792000</v>
      </c>
      <c r="N27" s="76">
        <v>22792000</v>
      </c>
      <c r="O27" s="683" t="s">
        <v>2533</v>
      </c>
      <c r="P27" s="683"/>
      <c r="Q27" s="683"/>
    </row>
    <row r="28" spans="1:17" ht="15" customHeight="1">
      <c r="A28" s="683" t="s">
        <v>242</v>
      </c>
      <c r="B28" s="683">
        <v>2009</v>
      </c>
      <c r="C28" s="683" t="s">
        <v>243</v>
      </c>
      <c r="D28" s="19" t="s">
        <v>244</v>
      </c>
      <c r="E28" s="683" t="s">
        <v>2534</v>
      </c>
      <c r="F28" s="683" t="s">
        <v>55</v>
      </c>
      <c r="G28" s="683" t="s">
        <v>2490</v>
      </c>
      <c r="H28" s="76" t="s">
        <v>943</v>
      </c>
      <c r="I28" s="19"/>
      <c r="J28" s="683"/>
      <c r="K28" s="683"/>
      <c r="L28" s="683" t="s">
        <v>2535</v>
      </c>
      <c r="M28" s="76">
        <v>906000</v>
      </c>
      <c r="N28" s="76">
        <v>1146000</v>
      </c>
      <c r="O28" s="683" t="s">
        <v>2536</v>
      </c>
      <c r="P28" s="683"/>
      <c r="Q28" s="683"/>
    </row>
    <row r="29" spans="1:17" ht="15" customHeight="1">
      <c r="A29" s="683" t="s">
        <v>242</v>
      </c>
      <c r="B29" s="683">
        <v>2009</v>
      </c>
      <c r="C29" s="683" t="s">
        <v>243</v>
      </c>
      <c r="D29" s="19" t="s">
        <v>244</v>
      </c>
      <c r="E29" s="683" t="s">
        <v>2537</v>
      </c>
      <c r="F29" s="683" t="s">
        <v>55</v>
      </c>
      <c r="G29" s="683" t="s">
        <v>2490</v>
      </c>
      <c r="H29" s="76" t="s">
        <v>943</v>
      </c>
      <c r="I29" s="19"/>
      <c r="J29" s="683"/>
      <c r="K29" s="683"/>
      <c r="L29" s="683" t="s">
        <v>2538</v>
      </c>
      <c r="M29" s="76">
        <v>577228000</v>
      </c>
      <c r="N29" s="76">
        <v>561290000</v>
      </c>
      <c r="O29" s="683" t="s">
        <v>2539</v>
      </c>
      <c r="P29" s="683"/>
      <c r="Q29" s="683"/>
    </row>
    <row r="30" spans="1:17" ht="15" customHeight="1">
      <c r="A30" s="683" t="s">
        <v>242</v>
      </c>
      <c r="B30" s="683">
        <v>2009</v>
      </c>
      <c r="C30" s="683" t="s">
        <v>243</v>
      </c>
      <c r="D30" s="19" t="s">
        <v>244</v>
      </c>
      <c r="E30" s="683" t="s">
        <v>2540</v>
      </c>
      <c r="F30" s="683" t="s">
        <v>55</v>
      </c>
      <c r="G30" s="683" t="s">
        <v>2490</v>
      </c>
      <c r="H30" s="76" t="s">
        <v>943</v>
      </c>
      <c r="I30" s="19"/>
      <c r="J30" s="683"/>
      <c r="K30" s="683"/>
      <c r="L30" s="683" t="s">
        <v>2541</v>
      </c>
      <c r="M30" s="76">
        <v>318379000</v>
      </c>
      <c r="N30" s="76">
        <v>319903000</v>
      </c>
      <c r="O30" s="683" t="s">
        <v>2542</v>
      </c>
      <c r="P30" s="683"/>
      <c r="Q30" s="683"/>
    </row>
    <row r="31" spans="1:17" ht="15" customHeight="1">
      <c r="A31" s="683" t="s">
        <v>242</v>
      </c>
      <c r="B31" s="683">
        <v>2009</v>
      </c>
      <c r="C31" s="683" t="s">
        <v>243</v>
      </c>
      <c r="D31" s="19" t="s">
        <v>244</v>
      </c>
      <c r="E31" s="683" t="s">
        <v>2543</v>
      </c>
      <c r="F31" s="683" t="s">
        <v>55</v>
      </c>
      <c r="G31" s="683" t="s">
        <v>2490</v>
      </c>
      <c r="H31" s="76" t="s">
        <v>943</v>
      </c>
      <c r="I31" s="19"/>
      <c r="J31" s="683"/>
      <c r="K31" s="683"/>
      <c r="L31" s="683" t="s">
        <v>2544</v>
      </c>
      <c r="M31" s="76">
        <v>134410000</v>
      </c>
      <c r="N31" s="76">
        <v>134950000</v>
      </c>
      <c r="O31" s="683" t="s">
        <v>2545</v>
      </c>
      <c r="P31" s="683"/>
      <c r="Q31" s="683"/>
    </row>
    <row r="32" spans="1:17" ht="15" customHeight="1">
      <c r="A32" s="683" t="s">
        <v>242</v>
      </c>
      <c r="B32" s="683">
        <v>2009</v>
      </c>
      <c r="C32" s="683" t="s">
        <v>243</v>
      </c>
      <c r="D32" s="19" t="s">
        <v>244</v>
      </c>
      <c r="E32" s="683" t="s">
        <v>2543</v>
      </c>
      <c r="F32" s="683" t="s">
        <v>55</v>
      </c>
      <c r="G32" s="683"/>
      <c r="H32" s="76"/>
      <c r="I32" s="19"/>
      <c r="J32" s="683"/>
      <c r="K32" s="683"/>
      <c r="L32" s="683" t="s">
        <v>2546</v>
      </c>
      <c r="M32" s="76">
        <v>139671000</v>
      </c>
      <c r="N32" s="76">
        <v>140695000</v>
      </c>
      <c r="O32" s="683" t="s">
        <v>2547</v>
      </c>
      <c r="P32" s="683"/>
      <c r="Q32" s="683"/>
    </row>
    <row r="33" spans="1:17" ht="15" customHeight="1">
      <c r="A33" s="683" t="s">
        <v>242</v>
      </c>
      <c r="B33" s="683">
        <v>2009</v>
      </c>
      <c r="C33" s="683" t="s">
        <v>243</v>
      </c>
      <c r="D33" s="19" t="s">
        <v>244</v>
      </c>
      <c r="E33" s="683" t="s">
        <v>2548</v>
      </c>
      <c r="F33" s="683" t="s">
        <v>55</v>
      </c>
      <c r="G33" s="683" t="s">
        <v>2490</v>
      </c>
      <c r="H33" s="76" t="s">
        <v>943</v>
      </c>
      <c r="I33" s="19"/>
      <c r="J33" s="683"/>
      <c r="K33" s="683"/>
      <c r="L33" s="683" t="s">
        <v>2549</v>
      </c>
      <c r="M33" s="76">
        <v>68409000</v>
      </c>
      <c r="N33" s="76">
        <v>70719000</v>
      </c>
      <c r="O33" s="683" t="s">
        <v>2550</v>
      </c>
      <c r="P33" s="683"/>
      <c r="Q33" s="683"/>
    </row>
    <row r="34" spans="1:17" ht="15" customHeight="1">
      <c r="A34" s="683" t="s">
        <v>242</v>
      </c>
      <c r="B34" s="683">
        <v>2009</v>
      </c>
      <c r="C34" s="683" t="s">
        <v>243</v>
      </c>
      <c r="D34" s="19" t="s">
        <v>244</v>
      </c>
      <c r="E34" s="683" t="s">
        <v>2548</v>
      </c>
      <c r="F34" s="683" t="s">
        <v>55</v>
      </c>
      <c r="G34" s="683" t="s">
        <v>2490</v>
      </c>
      <c r="H34" s="76"/>
      <c r="I34" s="19"/>
      <c r="J34" s="683"/>
      <c r="K34" s="683"/>
      <c r="L34" s="683" t="s">
        <v>2551</v>
      </c>
      <c r="M34" s="76">
        <v>80947000</v>
      </c>
      <c r="N34" s="76">
        <v>74147000</v>
      </c>
      <c r="O34" s="683" t="s">
        <v>2552</v>
      </c>
      <c r="P34" s="683"/>
      <c r="Q34" s="683"/>
    </row>
    <row r="35" spans="1:17" ht="15" customHeight="1">
      <c r="A35" s="683" t="s">
        <v>242</v>
      </c>
      <c r="B35" s="683">
        <v>2009</v>
      </c>
      <c r="C35" s="683" t="s">
        <v>243</v>
      </c>
      <c r="D35" s="19" t="s">
        <v>244</v>
      </c>
      <c r="E35" s="683" t="s">
        <v>2553</v>
      </c>
      <c r="F35" s="683" t="s">
        <v>55</v>
      </c>
      <c r="G35" s="683" t="s">
        <v>2490</v>
      </c>
      <c r="H35" s="76" t="s">
        <v>943</v>
      </c>
      <c r="I35" s="19"/>
      <c r="J35" s="683"/>
      <c r="K35" s="683"/>
      <c r="L35" s="683" t="s">
        <v>2554</v>
      </c>
      <c r="M35" s="76">
        <v>33172000</v>
      </c>
      <c r="N35" s="76">
        <v>33172000</v>
      </c>
      <c r="O35" s="683" t="s">
        <v>2555</v>
      </c>
      <c r="P35" s="683"/>
      <c r="Q35" s="683"/>
    </row>
    <row r="36" spans="1:17" ht="15" customHeight="1">
      <c r="A36" s="683" t="s">
        <v>242</v>
      </c>
      <c r="B36" s="683">
        <v>2009</v>
      </c>
      <c r="C36" s="683" t="s">
        <v>243</v>
      </c>
      <c r="D36" s="19" t="s">
        <v>244</v>
      </c>
      <c r="E36" s="683" t="s">
        <v>2553</v>
      </c>
      <c r="F36" s="683" t="s">
        <v>55</v>
      </c>
      <c r="G36" s="683"/>
      <c r="H36" s="76"/>
      <c r="I36" s="19"/>
      <c r="J36" s="683"/>
      <c r="K36" s="683"/>
      <c r="L36" s="683" t="s">
        <v>2556</v>
      </c>
      <c r="M36" s="76">
        <v>35461000</v>
      </c>
      <c r="N36" s="76">
        <v>35695000</v>
      </c>
      <c r="O36" s="683" t="s">
        <v>2557</v>
      </c>
      <c r="P36" s="683"/>
      <c r="Q36" s="683"/>
    </row>
    <row r="37" spans="1:17" ht="15" customHeight="1">
      <c r="A37" s="683" t="s">
        <v>242</v>
      </c>
      <c r="B37" s="683">
        <v>2009</v>
      </c>
      <c r="C37" s="683" t="s">
        <v>243</v>
      </c>
      <c r="D37" s="19" t="s">
        <v>244</v>
      </c>
      <c r="E37" s="683" t="s">
        <v>2558</v>
      </c>
      <c r="F37" s="683" t="s">
        <v>55</v>
      </c>
      <c r="G37" s="683" t="s">
        <v>2490</v>
      </c>
      <c r="H37" s="76" t="s">
        <v>943</v>
      </c>
      <c r="I37" s="19"/>
      <c r="J37" s="683"/>
      <c r="K37" s="683"/>
      <c r="L37" s="683" t="s">
        <v>2559</v>
      </c>
      <c r="M37" s="76">
        <v>20608000</v>
      </c>
      <c r="N37" s="76">
        <v>21894000</v>
      </c>
      <c r="O37" s="683" t="s">
        <v>2560</v>
      </c>
      <c r="P37" s="683"/>
      <c r="Q37" s="683"/>
    </row>
    <row r="38" spans="1:17" ht="15" customHeight="1">
      <c r="A38" s="683" t="s">
        <v>242</v>
      </c>
      <c r="B38" s="683">
        <v>2009</v>
      </c>
      <c r="C38" s="683" t="s">
        <v>243</v>
      </c>
      <c r="D38" s="19" t="s">
        <v>244</v>
      </c>
      <c r="E38" s="683" t="s">
        <v>2558</v>
      </c>
      <c r="F38" s="683" t="s">
        <v>55</v>
      </c>
      <c r="G38" s="683"/>
      <c r="H38" s="76"/>
      <c r="I38" s="19"/>
      <c r="J38" s="683"/>
      <c r="K38" s="683"/>
      <c r="L38" s="683" t="s">
        <v>2561</v>
      </c>
      <c r="M38" s="76">
        <v>23992000</v>
      </c>
      <c r="N38" s="76">
        <v>22479000</v>
      </c>
      <c r="O38" s="683" t="s">
        <v>2562</v>
      </c>
      <c r="P38" s="683"/>
      <c r="Q38" s="683"/>
    </row>
    <row r="39" spans="1:17" ht="15" customHeight="1">
      <c r="A39" s="683" t="s">
        <v>242</v>
      </c>
      <c r="B39" s="683">
        <v>2009</v>
      </c>
      <c r="C39" s="683" t="s">
        <v>243</v>
      </c>
      <c r="D39" s="19" t="s">
        <v>244</v>
      </c>
      <c r="E39" s="683" t="s">
        <v>2563</v>
      </c>
      <c r="F39" s="683" t="s">
        <v>55</v>
      </c>
      <c r="G39" s="683" t="s">
        <v>2490</v>
      </c>
      <c r="H39" s="76" t="s">
        <v>943</v>
      </c>
      <c r="I39" s="19"/>
      <c r="J39" s="683"/>
      <c r="K39" s="683"/>
      <c r="L39" s="683" t="s">
        <v>2564</v>
      </c>
      <c r="M39" s="76">
        <v>9391000</v>
      </c>
      <c r="N39" s="76">
        <v>9391000</v>
      </c>
      <c r="O39" s="683" t="s">
        <v>2565</v>
      </c>
      <c r="P39" s="683"/>
      <c r="Q39" s="683"/>
    </row>
    <row r="40" spans="1:17" ht="15" customHeight="1">
      <c r="A40" s="683" t="s">
        <v>242</v>
      </c>
      <c r="B40" s="683">
        <v>2009</v>
      </c>
      <c r="C40" s="683" t="s">
        <v>243</v>
      </c>
      <c r="D40" s="19" t="s">
        <v>244</v>
      </c>
      <c r="E40" s="683" t="s">
        <v>2563</v>
      </c>
      <c r="F40" s="683" t="s">
        <v>55</v>
      </c>
      <c r="G40" s="683" t="s">
        <v>2490</v>
      </c>
      <c r="H40" s="76"/>
      <c r="I40" s="19"/>
      <c r="J40" s="683"/>
      <c r="K40" s="683"/>
      <c r="L40" s="683" t="s">
        <v>2566</v>
      </c>
      <c r="M40" s="691">
        <v>6175000</v>
      </c>
      <c r="N40" s="691">
        <v>6175000</v>
      </c>
      <c r="O40" s="683" t="s">
        <v>2567</v>
      </c>
      <c r="P40" s="683"/>
      <c r="Q40" s="683"/>
    </row>
    <row r="41" spans="1:17" ht="15" customHeight="1">
      <c r="A41" s="683" t="s">
        <v>242</v>
      </c>
      <c r="B41" s="683">
        <v>2009</v>
      </c>
      <c r="C41" s="683" t="s">
        <v>243</v>
      </c>
      <c r="D41" s="19" t="s">
        <v>244</v>
      </c>
      <c r="E41" s="683" t="s">
        <v>2568</v>
      </c>
      <c r="F41" s="683" t="s">
        <v>55</v>
      </c>
      <c r="G41" s="683" t="s">
        <v>2490</v>
      </c>
      <c r="H41" s="76" t="s">
        <v>943</v>
      </c>
      <c r="I41" s="19"/>
      <c r="J41" s="683"/>
      <c r="K41" s="683"/>
      <c r="L41" s="683" t="s">
        <v>2569</v>
      </c>
      <c r="M41" s="76">
        <v>6341000</v>
      </c>
      <c r="N41" s="76">
        <v>6317000</v>
      </c>
      <c r="O41" s="683" t="s">
        <v>2570</v>
      </c>
      <c r="P41" s="683"/>
      <c r="Q41" s="683"/>
    </row>
    <row r="42" spans="1:17" ht="15" customHeight="1">
      <c r="A42" s="683" t="s">
        <v>242</v>
      </c>
      <c r="B42" s="683">
        <v>2009</v>
      </c>
      <c r="C42" s="683" t="s">
        <v>243</v>
      </c>
      <c r="D42" s="19" t="s">
        <v>244</v>
      </c>
      <c r="E42" s="683" t="s">
        <v>2568</v>
      </c>
      <c r="F42" s="683" t="s">
        <v>55</v>
      </c>
      <c r="G42" s="683"/>
      <c r="H42" s="76"/>
      <c r="I42" s="19"/>
      <c r="J42" s="683"/>
      <c r="K42" s="683"/>
      <c r="L42" s="683" t="s">
        <v>2571</v>
      </c>
      <c r="M42" s="76">
        <v>5067000</v>
      </c>
      <c r="N42" s="76">
        <v>5233000</v>
      </c>
      <c r="O42" s="683" t="s">
        <v>2572</v>
      </c>
      <c r="P42" s="683"/>
      <c r="Q42" s="683"/>
    </row>
    <row r="43" spans="1:17" ht="15" customHeight="1">
      <c r="A43" s="683" t="s">
        <v>242</v>
      </c>
      <c r="B43" s="683">
        <v>2009</v>
      </c>
      <c r="C43" s="683" t="s">
        <v>243</v>
      </c>
      <c r="D43" s="19" t="s">
        <v>244</v>
      </c>
      <c r="E43" s="683" t="s">
        <v>2573</v>
      </c>
      <c r="F43" s="683" t="s">
        <v>55</v>
      </c>
      <c r="G43" s="683" t="s">
        <v>2490</v>
      </c>
      <c r="H43" s="76" t="s">
        <v>943</v>
      </c>
      <c r="I43" s="19"/>
      <c r="J43" s="683"/>
      <c r="K43" s="683"/>
      <c r="L43" s="683" t="s">
        <v>2574</v>
      </c>
      <c r="M43" s="76">
        <v>634789000</v>
      </c>
      <c r="N43" s="76">
        <v>583988000</v>
      </c>
      <c r="O43" s="683" t="s">
        <v>2575</v>
      </c>
      <c r="P43" s="683"/>
      <c r="Q43" s="683"/>
    </row>
    <row r="44" spans="1:17" ht="15" customHeight="1">
      <c r="A44" s="683" t="s">
        <v>242</v>
      </c>
      <c r="B44" s="683">
        <v>2009</v>
      </c>
      <c r="C44" s="683" t="s">
        <v>243</v>
      </c>
      <c r="D44" s="19" t="s">
        <v>244</v>
      </c>
      <c r="E44" s="683" t="s">
        <v>2576</v>
      </c>
      <c r="F44" s="683" t="s">
        <v>55</v>
      </c>
      <c r="G44" s="683" t="s">
        <v>2490</v>
      </c>
      <c r="H44" s="76" t="s">
        <v>943</v>
      </c>
      <c r="I44" s="19"/>
      <c r="J44" s="683"/>
      <c r="K44" s="683"/>
      <c r="L44" s="683" t="s">
        <v>2577</v>
      </c>
      <c r="M44" s="76">
        <v>75043000</v>
      </c>
      <c r="N44" s="76">
        <v>75043000</v>
      </c>
      <c r="O44" s="683" t="s">
        <v>2578</v>
      </c>
      <c r="P44" s="683"/>
      <c r="Q44" s="683"/>
    </row>
    <row r="45" spans="1:17" ht="15" customHeight="1">
      <c r="A45" s="683" t="s">
        <v>242</v>
      </c>
      <c r="B45" s="683">
        <v>2009</v>
      </c>
      <c r="C45" s="683" t="s">
        <v>243</v>
      </c>
      <c r="D45" s="19" t="s">
        <v>244</v>
      </c>
      <c r="E45" s="683" t="s">
        <v>2579</v>
      </c>
      <c r="F45" s="683" t="s">
        <v>55</v>
      </c>
      <c r="G45" s="683" t="s">
        <v>2490</v>
      </c>
      <c r="H45" s="76" t="s">
        <v>943</v>
      </c>
      <c r="I45" s="19"/>
      <c r="J45" s="683"/>
      <c r="K45" s="683"/>
      <c r="L45" s="683" t="s">
        <v>2580</v>
      </c>
      <c r="M45" s="76">
        <v>685000</v>
      </c>
      <c r="N45" s="76">
        <v>685000</v>
      </c>
      <c r="O45" s="683" t="s">
        <v>2581</v>
      </c>
      <c r="P45" s="683"/>
      <c r="Q45" s="683"/>
    </row>
    <row r="46" spans="1:17" ht="15" customHeight="1">
      <c r="A46" s="683" t="s">
        <v>242</v>
      </c>
      <c r="B46" s="683">
        <v>2009</v>
      </c>
      <c r="C46" s="683" t="s">
        <v>243</v>
      </c>
      <c r="D46" s="19" t="s">
        <v>244</v>
      </c>
      <c r="E46" s="683" t="s">
        <v>2582</v>
      </c>
      <c r="F46" s="683" t="s">
        <v>55</v>
      </c>
      <c r="G46" s="683" t="s">
        <v>2490</v>
      </c>
      <c r="H46" s="76" t="s">
        <v>943</v>
      </c>
      <c r="I46" s="19"/>
      <c r="J46" s="683"/>
      <c r="K46" s="683"/>
      <c r="L46" s="683" t="s">
        <v>2583</v>
      </c>
      <c r="M46" s="76">
        <v>406903000</v>
      </c>
      <c r="N46" s="76">
        <v>398032000</v>
      </c>
      <c r="O46" s="683" t="s">
        <v>2584</v>
      </c>
      <c r="P46" s="683"/>
      <c r="Q46" s="683"/>
    </row>
    <row r="47" spans="1:17" ht="15" customHeight="1">
      <c r="A47" s="683" t="s">
        <v>242</v>
      </c>
      <c r="B47" s="683">
        <v>2009</v>
      </c>
      <c r="C47" s="683" t="s">
        <v>243</v>
      </c>
      <c r="D47" s="19" t="s">
        <v>244</v>
      </c>
      <c r="E47" s="683" t="s">
        <v>2585</v>
      </c>
      <c r="F47" s="683" t="s">
        <v>55</v>
      </c>
      <c r="G47" s="683" t="s">
        <v>2490</v>
      </c>
      <c r="H47" s="76" t="s">
        <v>943</v>
      </c>
      <c r="I47" s="19"/>
      <c r="J47" s="683"/>
      <c r="K47" s="683"/>
      <c r="L47" s="683" t="s">
        <v>2586</v>
      </c>
      <c r="M47" s="76">
        <v>3227000</v>
      </c>
      <c r="N47" s="76">
        <v>3226000</v>
      </c>
      <c r="O47" s="683" t="s">
        <v>2587</v>
      </c>
      <c r="P47" s="683"/>
      <c r="Q47" s="683"/>
    </row>
    <row r="48" spans="1:17" ht="15" customHeight="1">
      <c r="A48" s="683" t="s">
        <v>242</v>
      </c>
      <c r="B48" s="683">
        <v>2009</v>
      </c>
      <c r="C48" s="683" t="s">
        <v>243</v>
      </c>
      <c r="D48" s="19" t="s">
        <v>244</v>
      </c>
      <c r="E48" s="683" t="s">
        <v>2588</v>
      </c>
      <c r="F48" s="683" t="s">
        <v>55</v>
      </c>
      <c r="G48" s="683" t="s">
        <v>2490</v>
      </c>
      <c r="H48" s="76" t="s">
        <v>943</v>
      </c>
      <c r="I48" s="19"/>
      <c r="J48" s="683"/>
      <c r="K48" s="683"/>
      <c r="L48" s="683" t="s">
        <v>2589</v>
      </c>
      <c r="M48" s="76">
        <v>971000</v>
      </c>
      <c r="N48" s="76">
        <v>971000</v>
      </c>
      <c r="O48" s="683" t="s">
        <v>2590</v>
      </c>
      <c r="P48" s="683"/>
      <c r="Q48" s="683"/>
    </row>
    <row r="49" spans="1:17" ht="15" customHeight="1">
      <c r="A49" s="683" t="s">
        <v>242</v>
      </c>
      <c r="B49" s="683">
        <v>2009</v>
      </c>
      <c r="C49" s="683" t="s">
        <v>243</v>
      </c>
      <c r="D49" s="19" t="s">
        <v>244</v>
      </c>
      <c r="E49" s="683" t="s">
        <v>2591</v>
      </c>
      <c r="F49" s="683" t="s">
        <v>55</v>
      </c>
      <c r="G49" s="683" t="s">
        <v>2490</v>
      </c>
      <c r="H49" s="76" t="s">
        <v>943</v>
      </c>
      <c r="I49" s="19"/>
      <c r="J49" s="683"/>
      <c r="K49" s="683"/>
      <c r="L49" s="683" t="s">
        <v>2592</v>
      </c>
      <c r="M49" s="76">
        <v>386000</v>
      </c>
      <c r="N49" s="76">
        <v>387000</v>
      </c>
      <c r="O49" s="683" t="s">
        <v>2593</v>
      </c>
      <c r="P49" s="683"/>
      <c r="Q49" s="683"/>
    </row>
    <row r="50" spans="1:17" ht="15" customHeight="1">
      <c r="A50" s="683" t="s">
        <v>242</v>
      </c>
      <c r="B50" s="683">
        <v>2009</v>
      </c>
      <c r="C50" s="683" t="s">
        <v>243</v>
      </c>
      <c r="D50" s="19" t="s">
        <v>244</v>
      </c>
      <c r="E50" s="683" t="s">
        <v>2594</v>
      </c>
      <c r="F50" s="683" t="s">
        <v>55</v>
      </c>
      <c r="G50" s="683" t="s">
        <v>2490</v>
      </c>
      <c r="H50" s="76" t="s">
        <v>943</v>
      </c>
      <c r="I50" s="19"/>
      <c r="J50" s="683"/>
      <c r="K50" s="683"/>
      <c r="L50" s="683" t="s">
        <v>2595</v>
      </c>
      <c r="M50" s="76">
        <v>326226000</v>
      </c>
      <c r="N50" s="76">
        <v>235463000</v>
      </c>
      <c r="O50" s="683" t="s">
        <v>2596</v>
      </c>
      <c r="P50" s="683"/>
      <c r="Q50" s="683"/>
    </row>
    <row r="51" spans="1:17" ht="15" customHeight="1">
      <c r="A51" s="683" t="s">
        <v>242</v>
      </c>
      <c r="B51" s="683">
        <v>2009</v>
      </c>
      <c r="C51" s="683" t="s">
        <v>243</v>
      </c>
      <c r="D51" s="19" t="s">
        <v>244</v>
      </c>
      <c r="E51" s="683" t="s">
        <v>2597</v>
      </c>
      <c r="F51" s="683" t="s">
        <v>55</v>
      </c>
      <c r="G51" s="683" t="s">
        <v>2490</v>
      </c>
      <c r="H51" s="76" t="s">
        <v>943</v>
      </c>
      <c r="I51" s="19"/>
      <c r="J51" s="683"/>
      <c r="K51" s="683"/>
      <c r="L51" s="683" t="s">
        <v>2598</v>
      </c>
      <c r="M51" s="76">
        <v>166905000</v>
      </c>
      <c r="N51" s="76">
        <v>257667000</v>
      </c>
      <c r="O51" s="683" t="s">
        <v>2599</v>
      </c>
      <c r="P51" s="683"/>
      <c r="Q51" s="683"/>
    </row>
    <row r="52" spans="1:17" ht="15" customHeight="1">
      <c r="A52" s="683" t="s">
        <v>242</v>
      </c>
      <c r="B52" s="683">
        <v>2009</v>
      </c>
      <c r="C52" s="683" t="s">
        <v>243</v>
      </c>
      <c r="D52" s="19" t="s">
        <v>244</v>
      </c>
      <c r="E52" s="683" t="s">
        <v>2600</v>
      </c>
      <c r="F52" s="683" t="s">
        <v>55</v>
      </c>
      <c r="G52" s="683" t="s">
        <v>2490</v>
      </c>
      <c r="H52" s="76" t="s">
        <v>943</v>
      </c>
      <c r="I52" s="19"/>
      <c r="J52" s="683"/>
      <c r="K52" s="683"/>
      <c r="L52" s="683" t="s">
        <v>2601</v>
      </c>
      <c r="M52" s="76">
        <v>39340000</v>
      </c>
      <c r="N52" s="76">
        <v>39340000</v>
      </c>
      <c r="O52" s="683" t="s">
        <v>2602</v>
      </c>
      <c r="P52" s="683"/>
      <c r="Q52" s="683"/>
    </row>
    <row r="53" spans="1:17" ht="15" customHeight="1">
      <c r="A53" s="683" t="s">
        <v>242</v>
      </c>
      <c r="B53" s="683">
        <v>2009</v>
      </c>
      <c r="C53" s="683" t="s">
        <v>243</v>
      </c>
      <c r="D53" s="19" t="s">
        <v>244</v>
      </c>
      <c r="E53" s="683" t="s">
        <v>2603</v>
      </c>
      <c r="F53" s="683" t="s">
        <v>55</v>
      </c>
      <c r="G53" s="683" t="s">
        <v>2490</v>
      </c>
      <c r="H53" s="76" t="s">
        <v>943</v>
      </c>
      <c r="I53" s="19"/>
      <c r="J53" s="683"/>
      <c r="K53" s="683"/>
      <c r="L53" s="683" t="s">
        <v>2604</v>
      </c>
      <c r="M53" s="76">
        <v>45000</v>
      </c>
      <c r="N53" s="76">
        <v>45000</v>
      </c>
      <c r="O53" s="683" t="s">
        <v>2605</v>
      </c>
      <c r="P53" s="683"/>
      <c r="Q53" s="683"/>
    </row>
    <row r="54" spans="1:17" ht="15" customHeight="1">
      <c r="A54" s="683" t="s">
        <v>242</v>
      </c>
      <c r="B54" s="683">
        <v>2009</v>
      </c>
      <c r="C54" s="683" t="s">
        <v>243</v>
      </c>
      <c r="D54" s="19" t="s">
        <v>244</v>
      </c>
      <c r="E54" s="683" t="s">
        <v>2606</v>
      </c>
      <c r="F54" s="683" t="s">
        <v>55</v>
      </c>
      <c r="G54" s="683" t="s">
        <v>2490</v>
      </c>
      <c r="H54" s="76" t="s">
        <v>943</v>
      </c>
      <c r="I54" s="19"/>
      <c r="J54" s="683"/>
      <c r="K54" s="683"/>
      <c r="L54" s="683" t="s">
        <v>2607</v>
      </c>
      <c r="M54" s="76">
        <v>345456000</v>
      </c>
      <c r="N54" s="76">
        <v>345090000</v>
      </c>
      <c r="O54" s="683" t="s">
        <v>2608</v>
      </c>
      <c r="P54" s="683"/>
      <c r="Q54" s="683"/>
    </row>
    <row r="55" spans="1:17" ht="15" customHeight="1">
      <c r="A55" s="683" t="s">
        <v>242</v>
      </c>
      <c r="B55" s="683">
        <v>2009</v>
      </c>
      <c r="C55" s="683" t="s">
        <v>243</v>
      </c>
      <c r="D55" s="19" t="s">
        <v>244</v>
      </c>
      <c r="E55" s="683" t="s">
        <v>2609</v>
      </c>
      <c r="F55" s="683" t="s">
        <v>55</v>
      </c>
      <c r="G55" s="683" t="s">
        <v>2490</v>
      </c>
      <c r="H55" s="76" t="s">
        <v>943</v>
      </c>
      <c r="I55" s="19"/>
      <c r="J55" s="683"/>
      <c r="K55" s="683"/>
      <c r="L55" s="683" t="s">
        <v>2610</v>
      </c>
      <c r="M55" s="76">
        <v>126891000</v>
      </c>
      <c r="N55" s="76">
        <v>125739000</v>
      </c>
      <c r="O55" s="683" t="s">
        <v>2611</v>
      </c>
      <c r="P55" s="683"/>
      <c r="Q55" s="683"/>
    </row>
    <row r="56" spans="1:17" ht="15" customHeight="1">
      <c r="A56" s="683" t="s">
        <v>242</v>
      </c>
      <c r="B56" s="683">
        <v>2009</v>
      </c>
      <c r="C56" s="683" t="s">
        <v>243</v>
      </c>
      <c r="D56" s="19" t="s">
        <v>244</v>
      </c>
      <c r="E56" s="683" t="s">
        <v>2612</v>
      </c>
      <c r="F56" s="683" t="s">
        <v>55</v>
      </c>
      <c r="G56" s="683" t="s">
        <v>2490</v>
      </c>
      <c r="H56" s="76" t="s">
        <v>943</v>
      </c>
      <c r="I56" s="19"/>
      <c r="J56" s="683"/>
      <c r="K56" s="683"/>
      <c r="L56" s="683" t="s">
        <v>2613</v>
      </c>
      <c r="M56" s="76">
        <v>8097000</v>
      </c>
      <c r="N56" s="76">
        <v>8098000</v>
      </c>
      <c r="O56" s="683" t="s">
        <v>2614</v>
      </c>
      <c r="P56" s="683"/>
      <c r="Q56" s="683"/>
    </row>
    <row r="57" spans="1:17" ht="15" customHeight="1">
      <c r="A57" s="683" t="s">
        <v>242</v>
      </c>
      <c r="B57" s="683">
        <v>2009</v>
      </c>
      <c r="C57" s="683" t="s">
        <v>243</v>
      </c>
      <c r="D57" s="19" t="s">
        <v>244</v>
      </c>
      <c r="E57" s="683" t="s">
        <v>2615</v>
      </c>
      <c r="F57" s="683" t="s">
        <v>55</v>
      </c>
      <c r="G57" s="683" t="s">
        <v>2490</v>
      </c>
      <c r="H57" s="76" t="s">
        <v>943</v>
      </c>
      <c r="I57" s="19"/>
      <c r="J57" s="683"/>
      <c r="K57" s="683"/>
      <c r="L57" s="683" t="s">
        <v>2616</v>
      </c>
      <c r="M57" s="76">
        <v>1217000</v>
      </c>
      <c r="N57" s="76">
        <v>1217000</v>
      </c>
      <c r="O57" s="683" t="s">
        <v>2617</v>
      </c>
      <c r="P57" s="683"/>
      <c r="Q57" s="683"/>
    </row>
    <row r="58" spans="1:17" ht="15" customHeight="1">
      <c r="A58" s="683" t="s">
        <v>242</v>
      </c>
      <c r="B58" s="683">
        <v>2009</v>
      </c>
      <c r="C58" s="683" t="s">
        <v>243</v>
      </c>
      <c r="D58" s="19" t="s">
        <v>244</v>
      </c>
      <c r="E58" s="683" t="s">
        <v>2618</v>
      </c>
      <c r="F58" s="683" t="s">
        <v>55</v>
      </c>
      <c r="G58" s="683" t="s">
        <v>2490</v>
      </c>
      <c r="H58" s="76" t="s">
        <v>943</v>
      </c>
      <c r="I58" s="19"/>
      <c r="J58" s="683"/>
      <c r="K58" s="683"/>
      <c r="L58" s="683" t="s">
        <v>2619</v>
      </c>
      <c r="M58" s="76">
        <v>1694000</v>
      </c>
      <c r="N58" s="76">
        <v>1695000</v>
      </c>
      <c r="O58" s="683" t="s">
        <v>2620</v>
      </c>
      <c r="P58" s="683"/>
      <c r="Q58" s="683"/>
    </row>
    <row r="59" spans="1:17" ht="15" customHeight="1">
      <c r="A59" s="683" t="s">
        <v>242</v>
      </c>
      <c r="B59" s="683">
        <v>2009</v>
      </c>
      <c r="C59" s="683" t="s">
        <v>243</v>
      </c>
      <c r="D59" s="19" t="s">
        <v>244</v>
      </c>
      <c r="E59" s="683" t="s">
        <v>2621</v>
      </c>
      <c r="F59" s="683" t="s">
        <v>55</v>
      </c>
      <c r="G59" s="683" t="s">
        <v>2490</v>
      </c>
      <c r="H59" s="76" t="s">
        <v>943</v>
      </c>
      <c r="I59" s="19"/>
      <c r="J59" s="683"/>
      <c r="K59" s="683"/>
      <c r="L59" s="683" t="s">
        <v>2622</v>
      </c>
      <c r="M59" s="76">
        <v>116257000</v>
      </c>
      <c r="N59" s="76">
        <v>117583000</v>
      </c>
      <c r="O59" s="683" t="s">
        <v>2623</v>
      </c>
      <c r="P59" s="683"/>
      <c r="Q59" s="683"/>
    </row>
    <row r="60" spans="1:17" ht="15" customHeight="1">
      <c r="A60" s="683" t="s">
        <v>242</v>
      </c>
      <c r="B60" s="683">
        <v>2009</v>
      </c>
      <c r="C60" s="683" t="s">
        <v>243</v>
      </c>
      <c r="D60" s="19" t="s">
        <v>244</v>
      </c>
      <c r="E60" s="683" t="s">
        <v>2624</v>
      </c>
      <c r="F60" s="683" t="s">
        <v>55</v>
      </c>
      <c r="G60" s="683" t="s">
        <v>2490</v>
      </c>
      <c r="H60" s="76" t="s">
        <v>943</v>
      </c>
      <c r="I60" s="19"/>
      <c r="J60" s="683"/>
      <c r="K60" s="683"/>
      <c r="L60" s="683" t="s">
        <v>2625</v>
      </c>
      <c r="M60" s="76">
        <v>18954000</v>
      </c>
      <c r="N60" s="76">
        <v>18954000</v>
      </c>
      <c r="O60" s="683" t="s">
        <v>2626</v>
      </c>
      <c r="P60" s="683"/>
      <c r="Q60" s="683"/>
    </row>
    <row r="61" spans="1:17" ht="15" customHeight="1">
      <c r="A61" s="683" t="s">
        <v>242</v>
      </c>
      <c r="B61" s="683">
        <v>2009</v>
      </c>
      <c r="C61" s="683" t="s">
        <v>243</v>
      </c>
      <c r="D61" s="19" t="s">
        <v>244</v>
      </c>
      <c r="E61" s="683" t="s">
        <v>2627</v>
      </c>
      <c r="F61" s="683" t="s">
        <v>55</v>
      </c>
      <c r="G61" s="683" t="s">
        <v>2490</v>
      </c>
      <c r="H61" s="76" t="s">
        <v>943</v>
      </c>
      <c r="I61" s="19"/>
      <c r="J61" s="683"/>
      <c r="K61" s="683"/>
      <c r="L61" s="683" t="s">
        <v>2628</v>
      </c>
      <c r="M61" s="76">
        <v>13577000</v>
      </c>
      <c r="N61" s="76">
        <v>13578000</v>
      </c>
      <c r="O61" s="683" t="s">
        <v>2629</v>
      </c>
      <c r="P61" s="683"/>
      <c r="Q61" s="683"/>
    </row>
    <row r="62" spans="1:17" ht="15" customHeight="1">
      <c r="A62" s="683" t="s">
        <v>242</v>
      </c>
      <c r="B62" s="683">
        <v>2009</v>
      </c>
      <c r="C62" s="683" t="s">
        <v>243</v>
      </c>
      <c r="D62" s="19" t="s">
        <v>244</v>
      </c>
      <c r="E62" s="683" t="s">
        <v>2630</v>
      </c>
      <c r="F62" s="683" t="s">
        <v>55</v>
      </c>
      <c r="G62" s="683" t="s">
        <v>2490</v>
      </c>
      <c r="H62" s="76" t="s">
        <v>943</v>
      </c>
      <c r="I62" s="19"/>
      <c r="J62" s="683"/>
      <c r="K62" s="683"/>
      <c r="L62" s="683" t="s">
        <v>2631</v>
      </c>
      <c r="M62" s="76">
        <v>8590000</v>
      </c>
      <c r="N62" s="76">
        <v>8589000</v>
      </c>
      <c r="O62" s="683" t="s">
        <v>2632</v>
      </c>
      <c r="P62" s="683"/>
      <c r="Q62" s="683"/>
    </row>
    <row r="63" spans="1:17" ht="15" customHeight="1">
      <c r="A63" s="683" t="s">
        <v>242</v>
      </c>
      <c r="B63" s="683">
        <v>2009</v>
      </c>
      <c r="C63" s="683" t="s">
        <v>243</v>
      </c>
      <c r="D63" s="19" t="s">
        <v>244</v>
      </c>
      <c r="E63" s="683" t="s">
        <v>2633</v>
      </c>
      <c r="F63" s="683" t="s">
        <v>55</v>
      </c>
      <c r="G63" s="683" t="s">
        <v>2490</v>
      </c>
      <c r="H63" s="76" t="s">
        <v>943</v>
      </c>
      <c r="I63" s="19"/>
      <c r="J63" s="683"/>
      <c r="K63" s="683"/>
      <c r="L63" s="683" t="s">
        <v>2634</v>
      </c>
      <c r="M63" s="76">
        <v>7228000</v>
      </c>
      <c r="N63" s="76">
        <v>7228000</v>
      </c>
      <c r="O63" s="683" t="s">
        <v>2635</v>
      </c>
      <c r="P63" s="683"/>
      <c r="Q63" s="683"/>
    </row>
    <row r="64" spans="1:17" ht="15" customHeight="1">
      <c r="A64" s="683" t="s">
        <v>242</v>
      </c>
      <c r="B64" s="683">
        <v>2009</v>
      </c>
      <c r="C64" s="683" t="s">
        <v>243</v>
      </c>
      <c r="D64" s="19" t="s">
        <v>244</v>
      </c>
      <c r="E64" s="683" t="s">
        <v>2636</v>
      </c>
      <c r="F64" s="683" t="s">
        <v>55</v>
      </c>
      <c r="G64" s="683" t="s">
        <v>2490</v>
      </c>
      <c r="H64" s="76" t="s">
        <v>943</v>
      </c>
      <c r="I64" s="19"/>
      <c r="J64" s="683"/>
      <c r="K64" s="683"/>
      <c r="L64" s="683" t="s">
        <v>2637</v>
      </c>
      <c r="M64" s="76">
        <v>3095000</v>
      </c>
      <c r="N64" s="76">
        <v>3095000</v>
      </c>
      <c r="O64" s="683" t="s">
        <v>2638</v>
      </c>
      <c r="P64" s="683"/>
      <c r="Q64" s="683"/>
    </row>
    <row r="65" spans="1:17" ht="15" customHeight="1">
      <c r="A65" s="683" t="s">
        <v>242</v>
      </c>
      <c r="B65" s="683">
        <v>2009</v>
      </c>
      <c r="C65" s="683" t="s">
        <v>243</v>
      </c>
      <c r="D65" s="19" t="s">
        <v>244</v>
      </c>
      <c r="E65" s="683" t="s">
        <v>2639</v>
      </c>
      <c r="F65" s="683" t="s">
        <v>55</v>
      </c>
      <c r="G65" s="683" t="s">
        <v>2490</v>
      </c>
      <c r="H65" s="76" t="s">
        <v>943</v>
      </c>
      <c r="I65" s="19"/>
      <c r="J65" s="683"/>
      <c r="K65" s="683"/>
      <c r="L65" s="683" t="s">
        <v>2640</v>
      </c>
      <c r="M65" s="76">
        <v>1056000</v>
      </c>
      <c r="N65" s="76">
        <v>1055000</v>
      </c>
      <c r="O65" s="683" t="s">
        <v>2641</v>
      </c>
      <c r="P65" s="683"/>
      <c r="Q65" s="683"/>
    </row>
    <row r="66" spans="1:17" ht="15" customHeight="1">
      <c r="A66" s="683" t="s">
        <v>242</v>
      </c>
      <c r="B66" s="683">
        <v>2009</v>
      </c>
      <c r="C66" s="683" t="s">
        <v>243</v>
      </c>
      <c r="D66" s="19" t="s">
        <v>244</v>
      </c>
      <c r="E66" s="683" t="s">
        <v>2642</v>
      </c>
      <c r="F66" s="683" t="s">
        <v>55</v>
      </c>
      <c r="G66" s="683" t="s">
        <v>2490</v>
      </c>
      <c r="H66" s="76" t="s">
        <v>943</v>
      </c>
      <c r="I66" s="19"/>
      <c r="J66" s="683"/>
      <c r="K66" s="683"/>
      <c r="L66" s="683" t="s">
        <v>2643</v>
      </c>
      <c r="M66" s="76">
        <v>1837000</v>
      </c>
      <c r="N66" s="76">
        <v>1837000</v>
      </c>
      <c r="O66" s="683" t="s">
        <v>2644</v>
      </c>
      <c r="P66" s="683"/>
      <c r="Q66" s="683"/>
    </row>
    <row r="67" spans="1:17" ht="15" customHeight="1">
      <c r="A67" s="683" t="s">
        <v>242</v>
      </c>
      <c r="B67" s="683">
        <v>2009</v>
      </c>
      <c r="C67" s="683" t="s">
        <v>243</v>
      </c>
      <c r="D67" s="19" t="s">
        <v>244</v>
      </c>
      <c r="E67" s="683" t="s">
        <v>2645</v>
      </c>
      <c r="F67" s="683" t="s">
        <v>55</v>
      </c>
      <c r="G67" s="683" t="s">
        <v>2490</v>
      </c>
      <c r="H67" s="76" t="s">
        <v>943</v>
      </c>
      <c r="I67" s="19"/>
      <c r="J67" s="683"/>
      <c r="K67" s="683"/>
      <c r="L67" s="683" t="s">
        <v>2646</v>
      </c>
      <c r="M67" s="76">
        <v>1123000</v>
      </c>
      <c r="N67" s="76">
        <v>1123000</v>
      </c>
      <c r="O67" s="683" t="s">
        <v>2647</v>
      </c>
      <c r="P67" s="683"/>
      <c r="Q67" s="683"/>
    </row>
    <row r="68" spans="1:17" ht="15" customHeight="1">
      <c r="A68" s="683" t="s">
        <v>242</v>
      </c>
      <c r="B68" s="683">
        <v>2009</v>
      </c>
      <c r="C68" s="683" t="s">
        <v>243</v>
      </c>
      <c r="D68" s="19" t="s">
        <v>244</v>
      </c>
      <c r="E68" s="683" t="s">
        <v>2648</v>
      </c>
      <c r="F68" s="683" t="s">
        <v>55</v>
      </c>
      <c r="G68" s="683" t="s">
        <v>2490</v>
      </c>
      <c r="H68" s="76" t="s">
        <v>943</v>
      </c>
      <c r="I68" s="19"/>
      <c r="J68" s="683"/>
      <c r="K68" s="683"/>
      <c r="L68" s="683" t="s">
        <v>2649</v>
      </c>
      <c r="M68" s="76">
        <v>442000</v>
      </c>
      <c r="N68" s="76">
        <v>442000</v>
      </c>
      <c r="O68" s="683" t="s">
        <v>2650</v>
      </c>
      <c r="P68" s="683"/>
      <c r="Q68" s="683"/>
    </row>
    <row r="69" spans="1:17" ht="15" customHeight="1">
      <c r="A69" s="683" t="s">
        <v>242</v>
      </c>
      <c r="B69" s="683">
        <v>2009</v>
      </c>
      <c r="C69" s="683" t="s">
        <v>243</v>
      </c>
      <c r="D69" s="19" t="s">
        <v>244</v>
      </c>
      <c r="E69" s="683" t="s">
        <v>2651</v>
      </c>
      <c r="F69" s="683" t="s">
        <v>55</v>
      </c>
      <c r="G69" s="683" t="s">
        <v>2490</v>
      </c>
      <c r="H69" s="76" t="s">
        <v>943</v>
      </c>
      <c r="I69" s="19"/>
      <c r="J69" s="683"/>
      <c r="K69" s="683"/>
      <c r="L69" s="683" t="s">
        <v>2652</v>
      </c>
      <c r="M69" s="76">
        <v>103000</v>
      </c>
      <c r="N69" s="76">
        <v>103000</v>
      </c>
      <c r="O69" s="683" t="s">
        <v>2653</v>
      </c>
      <c r="P69" s="683"/>
      <c r="Q69" s="683"/>
    </row>
    <row r="70" spans="1:17" s="686" customFormat="1" ht="15" customHeight="1">
      <c r="A70" s="685" t="s">
        <v>246</v>
      </c>
      <c r="B70" s="685">
        <v>2010</v>
      </c>
      <c r="C70" s="685" t="s">
        <v>243</v>
      </c>
      <c r="D70" s="132" t="s">
        <v>244</v>
      </c>
      <c r="E70" s="685" t="s">
        <v>2489</v>
      </c>
      <c r="F70" s="685" t="s">
        <v>55</v>
      </c>
      <c r="G70" s="685" t="s">
        <v>103</v>
      </c>
      <c r="H70" s="135">
        <v>123168812</v>
      </c>
      <c r="I70" s="132" t="s">
        <v>2654</v>
      </c>
      <c r="J70" s="135" t="s">
        <v>943</v>
      </c>
      <c r="K70" s="685"/>
      <c r="L70" s="685" t="s">
        <v>2491</v>
      </c>
      <c r="M70" s="135">
        <v>7127862000</v>
      </c>
      <c r="N70" s="135">
        <v>7127862000</v>
      </c>
      <c r="O70" s="685" t="s">
        <v>2655</v>
      </c>
      <c r="P70" s="685"/>
      <c r="Q70" s="685"/>
    </row>
    <row r="71" spans="1:17" s="688" customFormat="1" ht="15" customHeight="1">
      <c r="A71" s="687" t="s">
        <v>246</v>
      </c>
      <c r="B71" s="687">
        <v>2010</v>
      </c>
      <c r="C71" s="687" t="s">
        <v>243</v>
      </c>
      <c r="D71" s="117" t="s">
        <v>244</v>
      </c>
      <c r="E71" s="687" t="s">
        <v>2493</v>
      </c>
      <c r="F71" s="683" t="s">
        <v>55</v>
      </c>
      <c r="G71" s="687" t="s">
        <v>103</v>
      </c>
      <c r="H71" s="89">
        <v>8435754</v>
      </c>
      <c r="I71" s="117" t="s">
        <v>2654</v>
      </c>
      <c r="J71" s="89" t="s">
        <v>943</v>
      </c>
      <c r="K71" s="687"/>
      <c r="L71" s="687" t="s">
        <v>2494</v>
      </c>
      <c r="M71" s="89">
        <v>545349000</v>
      </c>
      <c r="N71" s="89">
        <v>545349000</v>
      </c>
      <c r="O71" s="687" t="s">
        <v>2655</v>
      </c>
      <c r="P71" s="687"/>
      <c r="Q71" s="687"/>
    </row>
    <row r="72" spans="1:17" s="688" customFormat="1" ht="15" customHeight="1">
      <c r="A72" s="687" t="s">
        <v>246</v>
      </c>
      <c r="B72" s="687">
        <v>2010</v>
      </c>
      <c r="C72" s="687" t="s">
        <v>243</v>
      </c>
      <c r="D72" s="117" t="s">
        <v>244</v>
      </c>
      <c r="E72" s="687" t="s">
        <v>2493</v>
      </c>
      <c r="F72" s="683" t="s">
        <v>55</v>
      </c>
      <c r="G72" s="687" t="s">
        <v>561</v>
      </c>
      <c r="H72" s="89">
        <v>31986233</v>
      </c>
      <c r="I72" s="117" t="s">
        <v>2656</v>
      </c>
      <c r="J72" s="89" t="s">
        <v>943</v>
      </c>
      <c r="K72" s="687"/>
      <c r="L72" s="687" t="s">
        <v>2657</v>
      </c>
      <c r="M72" s="89">
        <v>10391000</v>
      </c>
      <c r="N72" s="89">
        <v>10391000</v>
      </c>
      <c r="O72" s="687" t="s">
        <v>2655</v>
      </c>
      <c r="P72" s="687"/>
      <c r="Q72" s="687"/>
    </row>
    <row r="73" spans="1:17" s="688" customFormat="1" ht="15" customHeight="1">
      <c r="A73" s="687" t="s">
        <v>246</v>
      </c>
      <c r="B73" s="687">
        <v>2010</v>
      </c>
      <c r="C73" s="687" t="s">
        <v>243</v>
      </c>
      <c r="D73" s="117" t="s">
        <v>244</v>
      </c>
      <c r="E73" s="687" t="s">
        <v>2496</v>
      </c>
      <c r="F73" s="683" t="s">
        <v>55</v>
      </c>
      <c r="G73" s="687" t="s">
        <v>103</v>
      </c>
      <c r="H73" s="89">
        <v>1698543</v>
      </c>
      <c r="I73" s="117" t="s">
        <v>2654</v>
      </c>
      <c r="J73" s="89" t="s">
        <v>943</v>
      </c>
      <c r="K73" s="687"/>
      <c r="L73" s="687" t="s">
        <v>2497</v>
      </c>
      <c r="M73" s="89">
        <v>128022000</v>
      </c>
      <c r="N73" s="89">
        <v>128022000</v>
      </c>
      <c r="O73" s="687" t="s">
        <v>2655</v>
      </c>
      <c r="P73" s="687"/>
      <c r="Q73" s="687"/>
    </row>
    <row r="74" spans="1:17" s="688" customFormat="1" ht="15" customHeight="1">
      <c r="A74" s="687" t="s">
        <v>246</v>
      </c>
      <c r="B74" s="687">
        <v>2010</v>
      </c>
      <c r="C74" s="687" t="s">
        <v>243</v>
      </c>
      <c r="D74" s="117" t="s">
        <v>244</v>
      </c>
      <c r="E74" s="687" t="s">
        <v>2496</v>
      </c>
      <c r="F74" s="683" t="s">
        <v>55</v>
      </c>
      <c r="G74" s="687" t="s">
        <v>561</v>
      </c>
      <c r="H74" s="89">
        <v>8501184</v>
      </c>
      <c r="I74" s="117" t="s">
        <v>2656</v>
      </c>
      <c r="J74" s="89" t="s">
        <v>943</v>
      </c>
      <c r="K74" s="687"/>
      <c r="L74" s="687" t="s">
        <v>2658</v>
      </c>
      <c r="M74" s="89">
        <v>12367000</v>
      </c>
      <c r="N74" s="89">
        <v>12367000</v>
      </c>
      <c r="O74" s="687" t="s">
        <v>2655</v>
      </c>
      <c r="P74" s="687"/>
      <c r="Q74" s="687"/>
    </row>
    <row r="75" spans="1:17" s="688" customFormat="1" ht="15" customHeight="1">
      <c r="A75" s="687" t="s">
        <v>246</v>
      </c>
      <c r="B75" s="687">
        <v>2010</v>
      </c>
      <c r="C75" s="687" t="s">
        <v>243</v>
      </c>
      <c r="D75" s="117" t="s">
        <v>244</v>
      </c>
      <c r="E75" s="687" t="s">
        <v>2499</v>
      </c>
      <c r="F75" s="683" t="s">
        <v>55</v>
      </c>
      <c r="G75" s="687" t="s">
        <v>103</v>
      </c>
      <c r="H75" s="89">
        <v>749000</v>
      </c>
      <c r="I75" s="117" t="s">
        <v>2654</v>
      </c>
      <c r="J75" s="89" t="s">
        <v>943</v>
      </c>
      <c r="K75" s="687"/>
      <c r="L75" s="687" t="s">
        <v>2500</v>
      </c>
      <c r="M75" s="89">
        <v>46967000</v>
      </c>
      <c r="N75" s="89">
        <v>46967000</v>
      </c>
      <c r="O75" s="687" t="s">
        <v>2655</v>
      </c>
      <c r="P75" s="687"/>
      <c r="Q75" s="687"/>
    </row>
    <row r="76" spans="1:17" s="688" customFormat="1" ht="15" customHeight="1">
      <c r="A76" s="687" t="s">
        <v>246</v>
      </c>
      <c r="B76" s="687">
        <v>2010</v>
      </c>
      <c r="C76" s="687" t="s">
        <v>243</v>
      </c>
      <c r="D76" s="117" t="s">
        <v>244</v>
      </c>
      <c r="E76" s="687" t="s">
        <v>2502</v>
      </c>
      <c r="F76" s="683" t="s">
        <v>55</v>
      </c>
      <c r="G76" s="687" t="s">
        <v>103</v>
      </c>
      <c r="H76" s="89">
        <v>47948</v>
      </c>
      <c r="I76" s="117" t="s">
        <v>2654</v>
      </c>
      <c r="J76" s="89" t="s">
        <v>943</v>
      </c>
      <c r="K76" s="687"/>
      <c r="L76" s="687" t="s">
        <v>2503</v>
      </c>
      <c r="M76" s="89">
        <v>3211000</v>
      </c>
      <c r="N76" s="89">
        <v>3211000</v>
      </c>
      <c r="O76" s="687" t="s">
        <v>2655</v>
      </c>
      <c r="P76" s="687"/>
      <c r="Q76" s="687"/>
    </row>
    <row r="77" spans="1:17" s="688" customFormat="1" ht="15" customHeight="1">
      <c r="A77" s="687" t="s">
        <v>246</v>
      </c>
      <c r="B77" s="687">
        <v>2010</v>
      </c>
      <c r="C77" s="687" t="s">
        <v>243</v>
      </c>
      <c r="D77" s="117" t="s">
        <v>244</v>
      </c>
      <c r="E77" s="687" t="s">
        <v>2502</v>
      </c>
      <c r="F77" s="683" t="s">
        <v>55</v>
      </c>
      <c r="G77" s="687"/>
      <c r="H77" s="89"/>
      <c r="I77" s="117"/>
      <c r="J77" s="89"/>
      <c r="K77" s="687"/>
      <c r="L77" s="687" t="s">
        <v>2659</v>
      </c>
      <c r="M77" s="89">
        <v>240000</v>
      </c>
      <c r="N77" s="89">
        <v>240000</v>
      </c>
      <c r="O77" s="687" t="s">
        <v>2660</v>
      </c>
      <c r="P77" s="687"/>
      <c r="Q77" s="687"/>
    </row>
    <row r="78" spans="1:17" s="688" customFormat="1" ht="15" customHeight="1">
      <c r="A78" s="687" t="s">
        <v>246</v>
      </c>
      <c r="B78" s="687">
        <v>2010</v>
      </c>
      <c r="C78" s="687" t="s">
        <v>243</v>
      </c>
      <c r="D78" s="117" t="s">
        <v>244</v>
      </c>
      <c r="E78" s="687" t="s">
        <v>2505</v>
      </c>
      <c r="F78" s="683" t="s">
        <v>55</v>
      </c>
      <c r="G78" s="687" t="s">
        <v>103</v>
      </c>
      <c r="H78" s="89">
        <v>34104006</v>
      </c>
      <c r="I78" s="117" t="s">
        <v>2654</v>
      </c>
      <c r="J78" s="89" t="s">
        <v>943</v>
      </c>
      <c r="K78" s="687"/>
      <c r="L78" s="687" t="s">
        <v>2506</v>
      </c>
      <c r="M78" s="89">
        <v>4540376000</v>
      </c>
      <c r="N78" s="89">
        <v>4540376000</v>
      </c>
      <c r="O78" s="687" t="s">
        <v>2655</v>
      </c>
      <c r="P78" s="687"/>
      <c r="Q78" s="687"/>
    </row>
    <row r="79" spans="1:17" s="688" customFormat="1" ht="15" customHeight="1">
      <c r="A79" s="687" t="s">
        <v>246</v>
      </c>
      <c r="B79" s="687">
        <v>2010</v>
      </c>
      <c r="C79" s="687" t="s">
        <v>243</v>
      </c>
      <c r="D79" s="117" t="s">
        <v>244</v>
      </c>
      <c r="E79" s="687" t="s">
        <v>2505</v>
      </c>
      <c r="F79" s="683" t="s">
        <v>55</v>
      </c>
      <c r="G79" s="687" t="s">
        <v>561</v>
      </c>
      <c r="H79" s="89">
        <v>807568771</v>
      </c>
      <c r="I79" s="117" t="s">
        <v>2656</v>
      </c>
      <c r="J79" s="89" t="s">
        <v>943</v>
      </c>
      <c r="K79" s="687"/>
      <c r="L79" s="687" t="s">
        <v>2508</v>
      </c>
      <c r="M79" s="89">
        <v>1873828000</v>
      </c>
      <c r="N79" s="89">
        <v>1873750000</v>
      </c>
      <c r="O79" s="687" t="s">
        <v>2655</v>
      </c>
      <c r="P79" s="687"/>
      <c r="Q79" s="687"/>
    </row>
    <row r="80" spans="1:17" s="688" customFormat="1" ht="15" customHeight="1">
      <c r="A80" s="687" t="s">
        <v>246</v>
      </c>
      <c r="B80" s="687">
        <v>2010</v>
      </c>
      <c r="C80" s="687" t="s">
        <v>243</v>
      </c>
      <c r="D80" s="117" t="s">
        <v>244</v>
      </c>
      <c r="E80" s="687" t="s">
        <v>2505</v>
      </c>
      <c r="F80" s="683" t="s">
        <v>55</v>
      </c>
      <c r="G80" s="687"/>
      <c r="H80" s="89"/>
      <c r="I80" s="117"/>
      <c r="J80" s="89"/>
      <c r="K80" s="687"/>
      <c r="L80" s="687" t="s">
        <v>2661</v>
      </c>
      <c r="M80" s="89"/>
      <c r="N80" s="89"/>
      <c r="O80" s="687"/>
      <c r="P80" s="687"/>
      <c r="Q80" s="687"/>
    </row>
    <row r="81" spans="1:17" s="688" customFormat="1" ht="15" customHeight="1">
      <c r="A81" s="687" t="s">
        <v>246</v>
      </c>
      <c r="B81" s="687">
        <v>2010</v>
      </c>
      <c r="C81" s="687" t="s">
        <v>243</v>
      </c>
      <c r="D81" s="117" t="s">
        <v>244</v>
      </c>
      <c r="E81" s="687" t="s">
        <v>2510</v>
      </c>
      <c r="F81" s="683" t="s">
        <v>55</v>
      </c>
      <c r="G81" s="687" t="s">
        <v>103</v>
      </c>
      <c r="H81" s="89">
        <v>21555884</v>
      </c>
      <c r="I81" s="117" t="s">
        <v>2654</v>
      </c>
      <c r="J81" s="89" t="s">
        <v>943</v>
      </c>
      <c r="K81" s="687"/>
      <c r="L81" s="687" t="s">
        <v>2511</v>
      </c>
      <c r="M81" s="89">
        <v>1487339000</v>
      </c>
      <c r="N81" s="89">
        <v>1468298000</v>
      </c>
      <c r="O81" s="687" t="s">
        <v>2655</v>
      </c>
      <c r="P81" s="687"/>
      <c r="Q81" s="687"/>
    </row>
    <row r="82" spans="1:17" s="688" customFormat="1" ht="15" customHeight="1">
      <c r="A82" s="687" t="s">
        <v>246</v>
      </c>
      <c r="B82" s="687">
        <v>2010</v>
      </c>
      <c r="C82" s="687" t="s">
        <v>243</v>
      </c>
      <c r="D82" s="117" t="s">
        <v>244</v>
      </c>
      <c r="E82" s="687" t="s">
        <v>2510</v>
      </c>
      <c r="F82" s="683" t="s">
        <v>55</v>
      </c>
      <c r="G82" s="687" t="s">
        <v>561</v>
      </c>
      <c r="H82" s="89">
        <v>166688250</v>
      </c>
      <c r="I82" s="117" t="s">
        <v>2656</v>
      </c>
      <c r="J82" s="89" t="s">
        <v>943</v>
      </c>
      <c r="K82" s="687"/>
      <c r="L82" s="687" t="s">
        <v>2662</v>
      </c>
      <c r="M82" s="89">
        <v>108150000</v>
      </c>
      <c r="N82" s="89">
        <v>108150000</v>
      </c>
      <c r="O82" s="687" t="s">
        <v>2655</v>
      </c>
      <c r="P82" s="687"/>
      <c r="Q82" s="687"/>
    </row>
    <row r="83" spans="1:17" s="688" customFormat="1" ht="15" customHeight="1">
      <c r="A83" s="687" t="s">
        <v>246</v>
      </c>
      <c r="B83" s="687">
        <v>2010</v>
      </c>
      <c r="C83" s="687" t="s">
        <v>243</v>
      </c>
      <c r="D83" s="117" t="s">
        <v>244</v>
      </c>
      <c r="E83" s="687" t="s">
        <v>2510</v>
      </c>
      <c r="F83" s="683" t="s">
        <v>55</v>
      </c>
      <c r="G83" s="687"/>
      <c r="H83" s="89"/>
      <c r="I83" s="117"/>
      <c r="J83" s="89"/>
      <c r="K83" s="687"/>
      <c r="L83" s="687" t="s">
        <v>2663</v>
      </c>
      <c r="M83" s="89">
        <v>177139000</v>
      </c>
      <c r="N83" s="89">
        <v>177139000</v>
      </c>
      <c r="O83" s="687" t="s">
        <v>2660</v>
      </c>
      <c r="P83" s="687"/>
      <c r="Q83" s="687"/>
    </row>
    <row r="84" spans="1:17" s="688" customFormat="1" ht="15" customHeight="1">
      <c r="A84" s="687" t="s">
        <v>246</v>
      </c>
      <c r="B84" s="687">
        <v>2010</v>
      </c>
      <c r="C84" s="687" t="s">
        <v>243</v>
      </c>
      <c r="D84" s="117" t="s">
        <v>244</v>
      </c>
      <c r="E84" s="687" t="s">
        <v>2513</v>
      </c>
      <c r="F84" s="683" t="s">
        <v>55</v>
      </c>
      <c r="G84" s="687" t="s">
        <v>103</v>
      </c>
      <c r="H84" s="89">
        <v>3964416</v>
      </c>
      <c r="I84" s="117" t="s">
        <v>2654</v>
      </c>
      <c r="J84" s="89" t="s">
        <v>943</v>
      </c>
      <c r="K84" s="687"/>
      <c r="L84" s="687" t="s">
        <v>2514</v>
      </c>
      <c r="M84" s="89">
        <v>1409579000</v>
      </c>
      <c r="N84" s="89">
        <v>1406750000</v>
      </c>
      <c r="O84" s="687" t="s">
        <v>2655</v>
      </c>
      <c r="P84" s="687"/>
      <c r="Q84" s="687"/>
    </row>
    <row r="85" spans="1:17" s="688" customFormat="1" ht="15" customHeight="1">
      <c r="A85" s="687" t="s">
        <v>246</v>
      </c>
      <c r="B85" s="687">
        <v>2010</v>
      </c>
      <c r="C85" s="687" t="s">
        <v>243</v>
      </c>
      <c r="D85" s="117" t="s">
        <v>244</v>
      </c>
      <c r="E85" s="687" t="s">
        <v>2513</v>
      </c>
      <c r="F85" s="683" t="s">
        <v>55</v>
      </c>
      <c r="G85" s="687" t="s">
        <v>561</v>
      </c>
      <c r="H85" s="89">
        <v>349021784</v>
      </c>
      <c r="I85" s="117" t="s">
        <v>2656</v>
      </c>
      <c r="J85" s="89" t="s">
        <v>943</v>
      </c>
      <c r="K85" s="687"/>
      <c r="L85" s="687" t="s">
        <v>2664</v>
      </c>
      <c r="M85" s="89">
        <v>221486000</v>
      </c>
      <c r="N85" s="89">
        <v>221486000</v>
      </c>
      <c r="O85" s="687" t="s">
        <v>2655</v>
      </c>
      <c r="P85" s="687"/>
      <c r="Q85" s="687"/>
    </row>
    <row r="86" spans="1:17" s="688" customFormat="1" ht="15" customHeight="1">
      <c r="A86" s="687" t="s">
        <v>246</v>
      </c>
      <c r="B86" s="687">
        <v>2010</v>
      </c>
      <c r="C86" s="687" t="s">
        <v>243</v>
      </c>
      <c r="D86" s="117" t="s">
        <v>244</v>
      </c>
      <c r="E86" s="687" t="s">
        <v>2513</v>
      </c>
      <c r="F86" s="683" t="s">
        <v>55</v>
      </c>
      <c r="G86" s="687"/>
      <c r="H86" s="89"/>
      <c r="I86" s="117"/>
      <c r="J86" s="89"/>
      <c r="K86" s="687"/>
      <c r="L86" s="687" t="s">
        <v>2665</v>
      </c>
      <c r="M86" s="89">
        <v>71318000</v>
      </c>
      <c r="N86" s="89">
        <v>71318000</v>
      </c>
      <c r="O86" s="687" t="s">
        <v>2660</v>
      </c>
      <c r="P86" s="687"/>
      <c r="Q86" s="687"/>
    </row>
    <row r="87" spans="1:17" s="688" customFormat="1" ht="15" customHeight="1">
      <c r="A87" s="687" t="s">
        <v>246</v>
      </c>
      <c r="B87" s="687">
        <v>2010</v>
      </c>
      <c r="C87" s="687" t="s">
        <v>243</v>
      </c>
      <c r="D87" s="117" t="s">
        <v>244</v>
      </c>
      <c r="E87" s="687" t="s">
        <v>2516</v>
      </c>
      <c r="F87" s="683" t="s">
        <v>55</v>
      </c>
      <c r="G87" s="687" t="s">
        <v>103</v>
      </c>
      <c r="H87" s="89">
        <v>23085</v>
      </c>
      <c r="I87" s="117" t="s">
        <v>2654</v>
      </c>
      <c r="J87" s="89" t="s">
        <v>943</v>
      </c>
      <c r="K87" s="687"/>
      <c r="L87" s="687" t="s">
        <v>2517</v>
      </c>
      <c r="M87" s="89">
        <v>1425000</v>
      </c>
      <c r="N87" s="89">
        <v>1723000</v>
      </c>
      <c r="O87" s="687" t="s">
        <v>2655</v>
      </c>
      <c r="P87" s="687"/>
      <c r="Q87" s="687"/>
    </row>
    <row r="88" spans="1:17" s="688" customFormat="1" ht="15" customHeight="1">
      <c r="A88" s="687" t="s">
        <v>246</v>
      </c>
      <c r="B88" s="687">
        <v>2010</v>
      </c>
      <c r="C88" s="687" t="s">
        <v>243</v>
      </c>
      <c r="D88" s="117" t="s">
        <v>244</v>
      </c>
      <c r="E88" s="687" t="s">
        <v>2516</v>
      </c>
      <c r="F88" s="683" t="s">
        <v>55</v>
      </c>
      <c r="G88" s="687" t="s">
        <v>561</v>
      </c>
      <c r="H88" s="89">
        <v>1093203</v>
      </c>
      <c r="I88" s="117" t="s">
        <v>2656</v>
      </c>
      <c r="J88" s="89" t="s">
        <v>943</v>
      </c>
      <c r="K88" s="687"/>
      <c r="L88" s="687" t="s">
        <v>2666</v>
      </c>
      <c r="M88" s="89">
        <v>293000</v>
      </c>
      <c r="N88" s="89">
        <v>293000</v>
      </c>
      <c r="O88" s="687" t="s">
        <v>2655</v>
      </c>
      <c r="P88" s="687"/>
      <c r="Q88" s="687"/>
    </row>
    <row r="89" spans="1:17" s="688" customFormat="1" ht="15" customHeight="1">
      <c r="A89" s="687" t="s">
        <v>246</v>
      </c>
      <c r="B89" s="687">
        <v>2010</v>
      </c>
      <c r="C89" s="687" t="s">
        <v>243</v>
      </c>
      <c r="D89" s="117" t="s">
        <v>244</v>
      </c>
      <c r="E89" s="687" t="s">
        <v>2516</v>
      </c>
      <c r="F89" s="683" t="s">
        <v>55</v>
      </c>
      <c r="G89" s="687"/>
      <c r="H89" s="89"/>
      <c r="I89" s="117"/>
      <c r="J89" s="89"/>
      <c r="K89" s="687"/>
      <c r="L89" s="687" t="s">
        <v>2667</v>
      </c>
      <c r="M89" s="89">
        <v>500000</v>
      </c>
      <c r="N89" s="89"/>
      <c r="O89" s="687" t="s">
        <v>2660</v>
      </c>
      <c r="P89" s="687"/>
      <c r="Q89" s="687"/>
    </row>
    <row r="90" spans="1:17" s="688" customFormat="1" ht="15" customHeight="1">
      <c r="A90" s="687" t="s">
        <v>246</v>
      </c>
      <c r="B90" s="687">
        <v>2010</v>
      </c>
      <c r="C90" s="687" t="s">
        <v>243</v>
      </c>
      <c r="D90" s="117" t="s">
        <v>244</v>
      </c>
      <c r="E90" s="687" t="s">
        <v>2516</v>
      </c>
      <c r="F90" s="683" t="s">
        <v>55</v>
      </c>
      <c r="G90" s="687"/>
      <c r="H90" s="89"/>
      <c r="I90" s="117"/>
      <c r="J90" s="89"/>
      <c r="K90" s="687"/>
      <c r="L90" s="687" t="s">
        <v>2668</v>
      </c>
      <c r="M90" s="89"/>
      <c r="N90" s="89"/>
      <c r="O90" s="687"/>
      <c r="P90" s="687"/>
      <c r="Q90" s="687"/>
    </row>
    <row r="91" spans="1:17" s="688" customFormat="1" ht="15" customHeight="1">
      <c r="A91" s="687" t="s">
        <v>246</v>
      </c>
      <c r="B91" s="687">
        <v>2010</v>
      </c>
      <c r="C91" s="687" t="s">
        <v>243</v>
      </c>
      <c r="D91" s="117" t="s">
        <v>244</v>
      </c>
      <c r="E91" s="687" t="s">
        <v>2519</v>
      </c>
      <c r="F91" s="683" t="s">
        <v>55</v>
      </c>
      <c r="G91" s="687" t="s">
        <v>103</v>
      </c>
      <c r="H91" s="89">
        <v>46758400</v>
      </c>
      <c r="I91" s="117" t="s">
        <v>2654</v>
      </c>
      <c r="J91" s="89" t="s">
        <v>943</v>
      </c>
      <c r="K91" s="687"/>
      <c r="L91" s="687" t="s">
        <v>2520</v>
      </c>
      <c r="M91" s="89">
        <v>1635485000</v>
      </c>
      <c r="N91" s="89">
        <v>1637507000</v>
      </c>
      <c r="O91" s="687" t="s">
        <v>2655</v>
      </c>
      <c r="P91" s="687"/>
      <c r="Q91" s="687"/>
    </row>
    <row r="92" spans="1:17" s="688" customFormat="1" ht="15" customHeight="1">
      <c r="A92" s="687" t="s">
        <v>246</v>
      </c>
      <c r="B92" s="687">
        <v>2010</v>
      </c>
      <c r="C92" s="687" t="s">
        <v>243</v>
      </c>
      <c r="D92" s="117" t="s">
        <v>244</v>
      </c>
      <c r="E92" s="687" t="s">
        <v>2519</v>
      </c>
      <c r="F92" s="683" t="s">
        <v>55</v>
      </c>
      <c r="G92" s="687" t="s">
        <v>561</v>
      </c>
      <c r="H92" s="89">
        <v>299389811</v>
      </c>
      <c r="I92" s="117" t="s">
        <v>2656</v>
      </c>
      <c r="J92" s="89" t="s">
        <v>943</v>
      </c>
      <c r="K92" s="687"/>
      <c r="L92" s="687" t="s">
        <v>2669</v>
      </c>
      <c r="M92" s="89"/>
      <c r="N92" s="89"/>
      <c r="O92" s="687" t="s">
        <v>2670</v>
      </c>
      <c r="P92" s="687"/>
      <c r="Q92" s="687"/>
    </row>
    <row r="93" spans="1:17" s="688" customFormat="1" ht="15" customHeight="1">
      <c r="A93" s="687" t="s">
        <v>246</v>
      </c>
      <c r="B93" s="687">
        <v>2010</v>
      </c>
      <c r="C93" s="687" t="s">
        <v>243</v>
      </c>
      <c r="D93" s="117" t="s">
        <v>244</v>
      </c>
      <c r="E93" s="687" t="s">
        <v>2522</v>
      </c>
      <c r="F93" s="683" t="s">
        <v>55</v>
      </c>
      <c r="G93" s="687" t="s">
        <v>103</v>
      </c>
      <c r="H93" s="89">
        <v>6484541</v>
      </c>
      <c r="I93" s="117" t="s">
        <v>2654</v>
      </c>
      <c r="J93" s="89" t="s">
        <v>943</v>
      </c>
      <c r="K93" s="687"/>
      <c r="L93" s="687" t="s">
        <v>2523</v>
      </c>
      <c r="M93" s="89">
        <v>675289000</v>
      </c>
      <c r="N93" s="89">
        <v>675289000</v>
      </c>
      <c r="O93" s="687" t="s">
        <v>2655</v>
      </c>
      <c r="P93" s="687"/>
      <c r="Q93" s="687"/>
    </row>
    <row r="94" spans="1:17" s="688" customFormat="1" ht="15" customHeight="1">
      <c r="A94" s="687" t="s">
        <v>246</v>
      </c>
      <c r="B94" s="687">
        <v>2010</v>
      </c>
      <c r="C94" s="687" t="s">
        <v>243</v>
      </c>
      <c r="D94" s="117" t="s">
        <v>244</v>
      </c>
      <c r="E94" s="687" t="s">
        <v>2522</v>
      </c>
      <c r="F94" s="683" t="s">
        <v>55</v>
      </c>
      <c r="G94" s="687" t="s">
        <v>561</v>
      </c>
      <c r="H94" s="89">
        <v>104958149</v>
      </c>
      <c r="I94" s="117" t="s">
        <v>2656</v>
      </c>
      <c r="J94" s="89" t="s">
        <v>943</v>
      </c>
      <c r="K94" s="687"/>
      <c r="L94" s="687" t="s">
        <v>2671</v>
      </c>
      <c r="M94" s="89">
        <v>49876000</v>
      </c>
      <c r="N94" s="89">
        <v>49877000</v>
      </c>
      <c r="O94" s="687" t="s">
        <v>2655</v>
      </c>
      <c r="P94" s="687"/>
      <c r="Q94" s="687"/>
    </row>
    <row r="95" spans="1:17" s="688" customFormat="1" ht="15" customHeight="1">
      <c r="A95" s="687" t="s">
        <v>246</v>
      </c>
      <c r="B95" s="687">
        <v>2010</v>
      </c>
      <c r="C95" s="687" t="s">
        <v>243</v>
      </c>
      <c r="D95" s="117" t="s">
        <v>244</v>
      </c>
      <c r="E95" s="687" t="s">
        <v>2522</v>
      </c>
      <c r="F95" s="683" t="s">
        <v>55</v>
      </c>
      <c r="G95" s="687"/>
      <c r="H95" s="89"/>
      <c r="I95" s="117"/>
      <c r="J95" s="89"/>
      <c r="K95" s="687"/>
      <c r="L95" s="687" t="s">
        <v>2672</v>
      </c>
      <c r="M95" s="89">
        <v>47982000</v>
      </c>
      <c r="N95" s="89">
        <v>47981000</v>
      </c>
      <c r="O95" s="687" t="s">
        <v>2660</v>
      </c>
      <c r="P95" s="687"/>
      <c r="Q95" s="687"/>
    </row>
    <row r="96" spans="1:17" s="688" customFormat="1" ht="15" customHeight="1">
      <c r="A96" s="687" t="s">
        <v>246</v>
      </c>
      <c r="B96" s="687">
        <v>2010</v>
      </c>
      <c r="C96" s="687" t="s">
        <v>243</v>
      </c>
      <c r="D96" s="117" t="s">
        <v>244</v>
      </c>
      <c r="E96" s="687" t="s">
        <v>2522</v>
      </c>
      <c r="F96" s="683" t="s">
        <v>55</v>
      </c>
      <c r="G96" s="687"/>
      <c r="H96" s="89"/>
      <c r="I96" s="117"/>
      <c r="J96" s="89"/>
      <c r="K96" s="687"/>
      <c r="L96" s="687" t="s">
        <v>2673</v>
      </c>
      <c r="M96" s="89">
        <v>43568000</v>
      </c>
      <c r="N96" s="89">
        <v>43568000</v>
      </c>
      <c r="O96" s="687" t="s">
        <v>2660</v>
      </c>
      <c r="P96" s="687"/>
      <c r="Q96" s="687"/>
    </row>
    <row r="97" spans="1:17" s="688" customFormat="1" ht="15" customHeight="1">
      <c r="A97" s="687" t="s">
        <v>246</v>
      </c>
      <c r="B97" s="687">
        <v>2010</v>
      </c>
      <c r="C97" s="687" t="s">
        <v>243</v>
      </c>
      <c r="D97" s="117" t="s">
        <v>244</v>
      </c>
      <c r="E97" s="687" t="s">
        <v>2522</v>
      </c>
      <c r="F97" s="683" t="s">
        <v>55</v>
      </c>
      <c r="G97" s="687"/>
      <c r="H97" s="89"/>
      <c r="I97" s="117"/>
      <c r="J97" s="89"/>
      <c r="K97" s="687"/>
      <c r="L97" s="687" t="s">
        <v>2674</v>
      </c>
      <c r="M97" s="89">
        <v>33686000</v>
      </c>
      <c r="N97" s="89">
        <v>33686000</v>
      </c>
      <c r="O97" s="687" t="s">
        <v>2660</v>
      </c>
      <c r="P97" s="687"/>
      <c r="Q97" s="687"/>
    </row>
    <row r="98" spans="1:17" s="688" customFormat="1" ht="15" customHeight="1">
      <c r="A98" s="687" t="s">
        <v>246</v>
      </c>
      <c r="B98" s="687">
        <v>2010</v>
      </c>
      <c r="C98" s="687" t="s">
        <v>243</v>
      </c>
      <c r="D98" s="117" t="s">
        <v>244</v>
      </c>
      <c r="E98" s="687" t="s">
        <v>2522</v>
      </c>
      <c r="F98" s="683" t="s">
        <v>55</v>
      </c>
      <c r="G98" s="687"/>
      <c r="H98" s="89"/>
      <c r="I98" s="117"/>
      <c r="J98" s="89"/>
      <c r="K98" s="687"/>
      <c r="L98" s="687" t="s">
        <v>2675</v>
      </c>
      <c r="M98" s="89">
        <v>9381000</v>
      </c>
      <c r="N98" s="89">
        <v>9381000</v>
      </c>
      <c r="O98" s="687" t="s">
        <v>2660</v>
      </c>
      <c r="P98" s="687"/>
      <c r="Q98" s="687"/>
    </row>
    <row r="99" spans="1:17" s="688" customFormat="1" ht="15" customHeight="1">
      <c r="A99" s="687" t="s">
        <v>246</v>
      </c>
      <c r="B99" s="687">
        <v>2010</v>
      </c>
      <c r="C99" s="687" t="s">
        <v>243</v>
      </c>
      <c r="D99" s="117" t="s">
        <v>244</v>
      </c>
      <c r="E99" s="687" t="s">
        <v>2525</v>
      </c>
      <c r="F99" s="683" t="s">
        <v>55</v>
      </c>
      <c r="G99" s="687" t="s">
        <v>103</v>
      </c>
      <c r="H99" s="89">
        <v>389370</v>
      </c>
      <c r="I99" s="117" t="s">
        <v>2654</v>
      </c>
      <c r="J99" s="89" t="s">
        <v>943</v>
      </c>
      <c r="K99" s="687"/>
      <c r="L99" s="687" t="s">
        <v>2526</v>
      </c>
      <c r="M99" s="89">
        <v>561627000</v>
      </c>
      <c r="N99" s="89">
        <v>561627000</v>
      </c>
      <c r="O99" s="687" t="s">
        <v>2655</v>
      </c>
      <c r="P99" s="687"/>
      <c r="Q99" s="687"/>
    </row>
    <row r="100" spans="1:17" s="688" customFormat="1" ht="15" customHeight="1">
      <c r="A100" s="687" t="s">
        <v>246</v>
      </c>
      <c r="B100" s="687">
        <v>2010</v>
      </c>
      <c r="C100" s="687" t="s">
        <v>243</v>
      </c>
      <c r="D100" s="117" t="s">
        <v>244</v>
      </c>
      <c r="E100" s="687" t="s">
        <v>2525</v>
      </c>
      <c r="F100" s="683" t="s">
        <v>55</v>
      </c>
      <c r="G100" s="687" t="s">
        <v>561</v>
      </c>
      <c r="H100" s="89">
        <v>70461263</v>
      </c>
      <c r="I100" s="117" t="s">
        <v>2656</v>
      </c>
      <c r="J100" s="89" t="s">
        <v>943</v>
      </c>
      <c r="K100" s="687"/>
      <c r="L100" s="687"/>
      <c r="M100" s="89"/>
      <c r="N100" s="89"/>
      <c r="O100" s="687" t="s">
        <v>2670</v>
      </c>
      <c r="P100" s="687"/>
      <c r="Q100" s="687"/>
    </row>
    <row r="101" spans="1:17" s="688" customFormat="1" ht="15" customHeight="1">
      <c r="A101" s="687" t="s">
        <v>246</v>
      </c>
      <c r="B101" s="687">
        <v>2010</v>
      </c>
      <c r="C101" s="687" t="s">
        <v>243</v>
      </c>
      <c r="D101" s="117" t="s">
        <v>244</v>
      </c>
      <c r="E101" s="687" t="s">
        <v>2528</v>
      </c>
      <c r="F101" s="683" t="s">
        <v>55</v>
      </c>
      <c r="G101" s="687" t="s">
        <v>103</v>
      </c>
      <c r="H101" s="89">
        <v>1334436</v>
      </c>
      <c r="I101" s="117" t="s">
        <v>2654</v>
      </c>
      <c r="J101" s="89" t="s">
        <v>943</v>
      </c>
      <c r="K101" s="687"/>
      <c r="L101" s="687" t="s">
        <v>2529</v>
      </c>
      <c r="M101" s="89">
        <v>403217000</v>
      </c>
      <c r="N101" s="89">
        <v>403141000</v>
      </c>
      <c r="O101" s="687" t="s">
        <v>2655</v>
      </c>
      <c r="P101" s="687"/>
      <c r="Q101" s="687"/>
    </row>
    <row r="102" spans="1:17" s="688" customFormat="1" ht="15" customHeight="1">
      <c r="A102" s="687" t="s">
        <v>246</v>
      </c>
      <c r="B102" s="687">
        <v>2010</v>
      </c>
      <c r="C102" s="687" t="s">
        <v>243</v>
      </c>
      <c r="D102" s="117" t="s">
        <v>244</v>
      </c>
      <c r="E102" s="687" t="s">
        <v>2528</v>
      </c>
      <c r="F102" s="683" t="s">
        <v>55</v>
      </c>
      <c r="G102" s="687" t="s">
        <v>561</v>
      </c>
      <c r="H102" s="89">
        <v>39664433</v>
      </c>
      <c r="I102" s="117" t="s">
        <v>2656</v>
      </c>
      <c r="J102" s="89" t="s">
        <v>943</v>
      </c>
      <c r="K102" s="687"/>
      <c r="L102" s="687"/>
      <c r="M102" s="89"/>
      <c r="N102" s="89"/>
      <c r="O102" s="687" t="s">
        <v>2670</v>
      </c>
      <c r="P102" s="687"/>
      <c r="Q102" s="687"/>
    </row>
    <row r="103" spans="1:17" s="688" customFormat="1" ht="15" customHeight="1">
      <c r="A103" s="687" t="s">
        <v>246</v>
      </c>
      <c r="B103" s="687">
        <v>2010</v>
      </c>
      <c r="C103" s="687" t="s">
        <v>243</v>
      </c>
      <c r="D103" s="117" t="s">
        <v>244</v>
      </c>
      <c r="E103" s="687" t="s">
        <v>2531</v>
      </c>
      <c r="F103" s="683" t="s">
        <v>55</v>
      </c>
      <c r="G103" s="687" t="s">
        <v>103</v>
      </c>
      <c r="H103" s="89">
        <v>6772071</v>
      </c>
      <c r="I103" s="117" t="s">
        <v>2654</v>
      </c>
      <c r="J103" s="89" t="s">
        <v>943</v>
      </c>
      <c r="K103" s="687"/>
      <c r="L103" s="687" t="s">
        <v>2532</v>
      </c>
      <c r="M103" s="89">
        <v>72533000</v>
      </c>
      <c r="N103" s="89">
        <v>72533000</v>
      </c>
      <c r="O103" s="687" t="s">
        <v>2655</v>
      </c>
      <c r="P103" s="687"/>
      <c r="Q103" s="687"/>
    </row>
    <row r="104" spans="1:17" s="688" customFormat="1" ht="15" customHeight="1">
      <c r="A104" s="687" t="s">
        <v>246</v>
      </c>
      <c r="B104" s="687">
        <v>2010</v>
      </c>
      <c r="C104" s="687" t="s">
        <v>243</v>
      </c>
      <c r="D104" s="117" t="s">
        <v>244</v>
      </c>
      <c r="E104" s="687" t="s">
        <v>2531</v>
      </c>
      <c r="F104" s="683" t="s">
        <v>55</v>
      </c>
      <c r="G104" s="687"/>
      <c r="H104" s="89"/>
      <c r="I104" s="117"/>
      <c r="J104" s="89"/>
      <c r="K104" s="687"/>
      <c r="L104" s="687" t="s">
        <v>2676</v>
      </c>
      <c r="M104" s="89">
        <v>199000</v>
      </c>
      <c r="N104" s="89">
        <v>199000</v>
      </c>
      <c r="O104" s="687" t="s">
        <v>2660</v>
      </c>
      <c r="P104" s="687"/>
      <c r="Q104" s="687"/>
    </row>
    <row r="105" spans="1:17" s="688" customFormat="1" ht="15" customHeight="1">
      <c r="A105" s="687" t="s">
        <v>246</v>
      </c>
      <c r="B105" s="687">
        <v>2010</v>
      </c>
      <c r="C105" s="687" t="s">
        <v>243</v>
      </c>
      <c r="D105" s="117" t="s">
        <v>244</v>
      </c>
      <c r="E105" s="687" t="s">
        <v>2531</v>
      </c>
      <c r="F105" s="683" t="s">
        <v>55</v>
      </c>
      <c r="G105" s="687"/>
      <c r="H105" s="89"/>
      <c r="I105" s="117"/>
      <c r="J105" s="89"/>
      <c r="K105" s="687"/>
      <c r="L105" s="687" t="s">
        <v>2677</v>
      </c>
      <c r="M105" s="89"/>
      <c r="N105" s="89"/>
      <c r="O105" s="687"/>
      <c r="P105" s="687"/>
      <c r="Q105" s="687"/>
    </row>
    <row r="106" spans="1:17" s="688" customFormat="1" ht="15" customHeight="1">
      <c r="A106" s="687" t="s">
        <v>246</v>
      </c>
      <c r="B106" s="687">
        <v>2010</v>
      </c>
      <c r="C106" s="687" t="s">
        <v>243</v>
      </c>
      <c r="D106" s="117" t="s">
        <v>244</v>
      </c>
      <c r="E106" s="687" t="s">
        <v>2531</v>
      </c>
      <c r="F106" s="683" t="s">
        <v>55</v>
      </c>
      <c r="G106" s="687"/>
      <c r="H106" s="89"/>
      <c r="I106" s="117"/>
      <c r="J106" s="89"/>
      <c r="K106" s="687"/>
      <c r="L106" s="687" t="s">
        <v>2678</v>
      </c>
      <c r="M106" s="89"/>
      <c r="N106" s="89"/>
      <c r="O106" s="687"/>
      <c r="P106" s="687"/>
      <c r="Q106" s="687"/>
    </row>
    <row r="107" spans="1:17" s="688" customFormat="1" ht="15" customHeight="1">
      <c r="A107" s="687" t="s">
        <v>246</v>
      </c>
      <c r="B107" s="687">
        <v>2010</v>
      </c>
      <c r="C107" s="687" t="s">
        <v>243</v>
      </c>
      <c r="D107" s="117" t="s">
        <v>244</v>
      </c>
      <c r="E107" s="687" t="s">
        <v>2531</v>
      </c>
      <c r="F107" s="683" t="s">
        <v>55</v>
      </c>
      <c r="G107" s="687"/>
      <c r="H107" s="89"/>
      <c r="I107" s="117"/>
      <c r="J107" s="89"/>
      <c r="K107" s="687"/>
      <c r="L107" s="687" t="s">
        <v>2679</v>
      </c>
      <c r="M107" s="89"/>
      <c r="N107" s="89"/>
      <c r="O107" s="687"/>
      <c r="P107" s="687"/>
      <c r="Q107" s="687"/>
    </row>
    <row r="108" spans="1:17" s="688" customFormat="1" ht="15" customHeight="1">
      <c r="A108" s="687" t="s">
        <v>246</v>
      </c>
      <c r="B108" s="687">
        <v>2010</v>
      </c>
      <c r="C108" s="687" t="s">
        <v>243</v>
      </c>
      <c r="D108" s="117" t="s">
        <v>244</v>
      </c>
      <c r="E108" s="687" t="s">
        <v>2531</v>
      </c>
      <c r="F108" s="683" t="s">
        <v>55</v>
      </c>
      <c r="G108" s="687"/>
      <c r="H108" s="89"/>
      <c r="I108" s="117"/>
      <c r="J108" s="89"/>
      <c r="K108" s="687"/>
      <c r="L108" s="687" t="s">
        <v>2680</v>
      </c>
      <c r="M108" s="89"/>
      <c r="N108" s="89"/>
      <c r="O108" s="687"/>
      <c r="P108" s="687"/>
      <c r="Q108" s="687"/>
    </row>
    <row r="109" spans="1:17" s="688" customFormat="1" ht="15" customHeight="1">
      <c r="A109" s="687" t="s">
        <v>246</v>
      </c>
      <c r="B109" s="687">
        <v>2010</v>
      </c>
      <c r="C109" s="687" t="s">
        <v>243</v>
      </c>
      <c r="D109" s="117" t="s">
        <v>244</v>
      </c>
      <c r="E109" s="687" t="s">
        <v>2531</v>
      </c>
      <c r="F109" s="683" t="s">
        <v>55</v>
      </c>
      <c r="G109" s="687"/>
      <c r="H109" s="89"/>
      <c r="I109" s="117"/>
      <c r="J109" s="89"/>
      <c r="K109" s="687"/>
      <c r="L109" s="687" t="s">
        <v>2681</v>
      </c>
      <c r="M109" s="89"/>
      <c r="N109" s="89"/>
      <c r="O109" s="687"/>
      <c r="P109" s="687"/>
      <c r="Q109" s="687"/>
    </row>
    <row r="110" spans="1:17" s="688" customFormat="1" ht="15" customHeight="1">
      <c r="A110" s="687" t="s">
        <v>246</v>
      </c>
      <c r="B110" s="687">
        <v>2010</v>
      </c>
      <c r="C110" s="687" t="s">
        <v>243</v>
      </c>
      <c r="D110" s="117" t="s">
        <v>244</v>
      </c>
      <c r="E110" s="687" t="s">
        <v>2537</v>
      </c>
      <c r="F110" s="683" t="s">
        <v>55</v>
      </c>
      <c r="G110" s="687" t="s">
        <v>103</v>
      </c>
      <c r="H110" s="89">
        <v>14994753</v>
      </c>
      <c r="I110" s="117" t="s">
        <v>2654</v>
      </c>
      <c r="J110" s="89" t="s">
        <v>943</v>
      </c>
      <c r="K110" s="687"/>
      <c r="L110" s="687" t="s">
        <v>2538</v>
      </c>
      <c r="M110" s="89">
        <v>767094000</v>
      </c>
      <c r="N110" s="89">
        <v>766912000</v>
      </c>
      <c r="O110" s="687" t="s">
        <v>2655</v>
      </c>
      <c r="P110" s="687"/>
      <c r="Q110" s="687"/>
    </row>
    <row r="111" spans="1:17" s="688" customFormat="1" ht="15" customHeight="1">
      <c r="A111" s="687" t="s">
        <v>246</v>
      </c>
      <c r="B111" s="687">
        <v>2010</v>
      </c>
      <c r="C111" s="687" t="s">
        <v>243</v>
      </c>
      <c r="D111" s="117" t="s">
        <v>244</v>
      </c>
      <c r="E111" s="687" t="s">
        <v>2537</v>
      </c>
      <c r="F111" s="683" t="s">
        <v>55</v>
      </c>
      <c r="G111" s="687" t="s">
        <v>561</v>
      </c>
      <c r="H111" s="89">
        <v>23989265</v>
      </c>
      <c r="I111" s="117" t="s">
        <v>2656</v>
      </c>
      <c r="J111" s="89" t="s">
        <v>943</v>
      </c>
      <c r="K111" s="687"/>
      <c r="L111" s="687" t="s">
        <v>2682</v>
      </c>
      <c r="M111" s="89">
        <v>12214000</v>
      </c>
      <c r="N111" s="89">
        <v>21214000</v>
      </c>
      <c r="O111" s="687" t="s">
        <v>2655</v>
      </c>
      <c r="P111" s="687"/>
      <c r="Q111" s="687"/>
    </row>
    <row r="112" spans="1:17" s="688" customFormat="1" ht="15" customHeight="1">
      <c r="A112" s="687" t="s">
        <v>246</v>
      </c>
      <c r="B112" s="687">
        <v>2010</v>
      </c>
      <c r="C112" s="687" t="s">
        <v>243</v>
      </c>
      <c r="D112" s="117" t="s">
        <v>244</v>
      </c>
      <c r="E112" s="687" t="s">
        <v>2537</v>
      </c>
      <c r="F112" s="683" t="s">
        <v>55</v>
      </c>
      <c r="G112" s="687"/>
      <c r="H112" s="89"/>
      <c r="I112" s="117"/>
      <c r="J112" s="89"/>
      <c r="K112" s="687"/>
      <c r="L112" s="687" t="s">
        <v>2683</v>
      </c>
      <c r="M112" s="89">
        <v>7195000</v>
      </c>
      <c r="N112" s="89"/>
      <c r="O112" s="687"/>
      <c r="P112" s="687"/>
      <c r="Q112" s="687"/>
    </row>
    <row r="113" spans="1:17" s="688" customFormat="1" ht="15" customHeight="1">
      <c r="A113" s="687" t="s">
        <v>246</v>
      </c>
      <c r="B113" s="687">
        <v>2010</v>
      </c>
      <c r="C113" s="687" t="s">
        <v>243</v>
      </c>
      <c r="D113" s="117" t="s">
        <v>244</v>
      </c>
      <c r="E113" s="687" t="s">
        <v>2537</v>
      </c>
      <c r="F113" s="683" t="s">
        <v>55</v>
      </c>
      <c r="G113" s="687"/>
      <c r="H113" s="89"/>
      <c r="I113" s="117"/>
      <c r="J113" s="89"/>
      <c r="K113" s="687"/>
      <c r="L113" s="687" t="s">
        <v>2684</v>
      </c>
      <c r="M113" s="89">
        <v>3598000</v>
      </c>
      <c r="N113" s="89">
        <v>3598000</v>
      </c>
      <c r="O113" s="687" t="s">
        <v>2660</v>
      </c>
      <c r="P113" s="687"/>
      <c r="Q113" s="687"/>
    </row>
    <row r="114" spans="1:17" s="688" customFormat="1" ht="15" customHeight="1">
      <c r="A114" s="687" t="s">
        <v>246</v>
      </c>
      <c r="B114" s="687">
        <v>2010</v>
      </c>
      <c r="C114" s="687" t="s">
        <v>243</v>
      </c>
      <c r="D114" s="117" t="s">
        <v>244</v>
      </c>
      <c r="E114" s="687" t="s">
        <v>2537</v>
      </c>
      <c r="F114" s="683" t="s">
        <v>55</v>
      </c>
      <c r="G114" s="687"/>
      <c r="H114" s="89"/>
      <c r="I114" s="117"/>
      <c r="J114" s="89"/>
      <c r="K114" s="687"/>
      <c r="L114" s="687" t="s">
        <v>2685</v>
      </c>
      <c r="M114" s="89"/>
      <c r="N114" s="89"/>
      <c r="O114" s="687"/>
      <c r="P114" s="687"/>
      <c r="Q114" s="687"/>
    </row>
    <row r="115" spans="1:17" s="688" customFormat="1" ht="15" customHeight="1">
      <c r="A115" s="687" t="s">
        <v>246</v>
      </c>
      <c r="B115" s="687">
        <v>2010</v>
      </c>
      <c r="C115" s="687" t="s">
        <v>243</v>
      </c>
      <c r="D115" s="117" t="s">
        <v>244</v>
      </c>
      <c r="E115" s="687" t="s">
        <v>2537</v>
      </c>
      <c r="F115" s="683" t="s">
        <v>55</v>
      </c>
      <c r="G115" s="687"/>
      <c r="H115" s="89"/>
      <c r="I115" s="117"/>
      <c r="J115" s="89"/>
      <c r="K115" s="687"/>
      <c r="L115" s="687" t="s">
        <v>2686</v>
      </c>
      <c r="M115" s="89">
        <v>2049000</v>
      </c>
      <c r="N115" s="89">
        <v>2049000</v>
      </c>
      <c r="O115" s="687" t="s">
        <v>2660</v>
      </c>
      <c r="P115" s="687"/>
      <c r="Q115" s="687"/>
    </row>
    <row r="116" spans="1:17" s="688" customFormat="1" ht="15" customHeight="1">
      <c r="A116" s="687" t="s">
        <v>246</v>
      </c>
      <c r="B116" s="687">
        <v>2010</v>
      </c>
      <c r="C116" s="687" t="s">
        <v>243</v>
      </c>
      <c r="D116" s="117" t="s">
        <v>244</v>
      </c>
      <c r="E116" s="687" t="s">
        <v>2537</v>
      </c>
      <c r="F116" s="683" t="s">
        <v>55</v>
      </c>
      <c r="G116" s="687"/>
      <c r="H116" s="89"/>
      <c r="I116" s="117"/>
      <c r="J116" s="89"/>
      <c r="K116" s="687"/>
      <c r="L116" s="687" t="s">
        <v>2687</v>
      </c>
      <c r="M116" s="89">
        <v>1120000</v>
      </c>
      <c r="N116" s="89">
        <v>1120000</v>
      </c>
      <c r="O116" s="687" t="s">
        <v>2660</v>
      </c>
      <c r="P116" s="687"/>
      <c r="Q116" s="687"/>
    </row>
    <row r="117" spans="1:17" s="688" customFormat="1" ht="15" customHeight="1">
      <c r="A117" s="687" t="s">
        <v>246</v>
      </c>
      <c r="B117" s="687">
        <v>2010</v>
      </c>
      <c r="C117" s="687" t="s">
        <v>243</v>
      </c>
      <c r="D117" s="117" t="s">
        <v>244</v>
      </c>
      <c r="E117" s="687" t="s">
        <v>2537</v>
      </c>
      <c r="F117" s="683" t="s">
        <v>55</v>
      </c>
      <c r="G117" s="687"/>
      <c r="H117" s="89"/>
      <c r="I117" s="117"/>
      <c r="J117" s="89"/>
      <c r="K117" s="687"/>
      <c r="L117" s="687" t="s">
        <v>2688</v>
      </c>
      <c r="M117" s="89">
        <v>924000</v>
      </c>
      <c r="N117" s="89">
        <v>924000</v>
      </c>
      <c r="O117" s="687" t="s">
        <v>2660</v>
      </c>
      <c r="P117" s="687"/>
      <c r="Q117" s="687"/>
    </row>
    <row r="118" spans="1:17" s="688" customFormat="1" ht="15" customHeight="1">
      <c r="A118" s="687" t="s">
        <v>246</v>
      </c>
      <c r="B118" s="687">
        <v>2010</v>
      </c>
      <c r="C118" s="687" t="s">
        <v>243</v>
      </c>
      <c r="D118" s="117" t="s">
        <v>244</v>
      </c>
      <c r="E118" s="687" t="s">
        <v>2588</v>
      </c>
      <c r="F118" s="683" t="s">
        <v>55</v>
      </c>
      <c r="G118" s="687" t="s">
        <v>103</v>
      </c>
      <c r="H118" s="89">
        <v>371868</v>
      </c>
      <c r="I118" s="117" t="s">
        <v>2654</v>
      </c>
      <c r="J118" s="89" t="s">
        <v>943</v>
      </c>
      <c r="K118" s="687"/>
      <c r="L118" s="687" t="s">
        <v>2689</v>
      </c>
      <c r="M118" s="89">
        <v>7737000</v>
      </c>
      <c r="N118" s="89">
        <v>7737000</v>
      </c>
      <c r="O118" s="687" t="s">
        <v>2655</v>
      </c>
      <c r="P118" s="687"/>
      <c r="Q118" s="687"/>
    </row>
    <row r="119" spans="1:17" s="688" customFormat="1" ht="15" customHeight="1">
      <c r="A119" s="687" t="s">
        <v>246</v>
      </c>
      <c r="B119" s="687">
        <v>2010</v>
      </c>
      <c r="C119" s="687" t="s">
        <v>243</v>
      </c>
      <c r="D119" s="117" t="s">
        <v>244</v>
      </c>
      <c r="E119" s="687" t="s">
        <v>2588</v>
      </c>
      <c r="F119" s="683" t="s">
        <v>55</v>
      </c>
      <c r="G119" s="687" t="s">
        <v>561</v>
      </c>
      <c r="H119" s="89">
        <v>54631085</v>
      </c>
      <c r="I119" s="117" t="s">
        <v>2656</v>
      </c>
      <c r="J119" s="89" t="s">
        <v>943</v>
      </c>
      <c r="K119" s="687"/>
      <c r="L119" s="687" t="s">
        <v>2690</v>
      </c>
      <c r="M119" s="89">
        <v>1250000</v>
      </c>
      <c r="N119" s="89">
        <v>1250000</v>
      </c>
      <c r="O119" s="687" t="s">
        <v>2655</v>
      </c>
      <c r="P119" s="687"/>
      <c r="Q119" s="687"/>
    </row>
    <row r="120" spans="1:17" s="688" customFormat="1" ht="15" customHeight="1">
      <c r="A120" s="687" t="s">
        <v>246</v>
      </c>
      <c r="B120" s="687">
        <v>2010</v>
      </c>
      <c r="C120" s="687" t="s">
        <v>243</v>
      </c>
      <c r="D120" s="117" t="s">
        <v>244</v>
      </c>
      <c r="E120" s="687" t="s">
        <v>2588</v>
      </c>
      <c r="F120" s="683" t="s">
        <v>55</v>
      </c>
      <c r="G120" s="687"/>
      <c r="H120" s="89"/>
      <c r="I120" s="117"/>
      <c r="J120" s="89"/>
      <c r="K120" s="687"/>
      <c r="L120" s="687" t="s">
        <v>2691</v>
      </c>
      <c r="M120" s="89">
        <v>5088000</v>
      </c>
      <c r="N120" s="89">
        <v>5088000</v>
      </c>
      <c r="O120" s="687" t="s">
        <v>2660</v>
      </c>
      <c r="P120" s="687"/>
      <c r="Q120" s="687"/>
    </row>
    <row r="121" spans="1:17" s="688" customFormat="1" ht="15" customHeight="1">
      <c r="A121" s="687" t="s">
        <v>246</v>
      </c>
      <c r="B121" s="687">
        <v>2010</v>
      </c>
      <c r="C121" s="687" t="s">
        <v>243</v>
      </c>
      <c r="D121" s="117" t="s">
        <v>244</v>
      </c>
      <c r="E121" s="687" t="s">
        <v>2540</v>
      </c>
      <c r="F121" s="683" t="s">
        <v>55</v>
      </c>
      <c r="G121" s="687" t="s">
        <v>103</v>
      </c>
      <c r="H121" s="89">
        <v>6259258</v>
      </c>
      <c r="I121" s="117" t="s">
        <v>2654</v>
      </c>
      <c r="J121" s="89" t="s">
        <v>943</v>
      </c>
      <c r="K121" s="687"/>
      <c r="L121" s="687" t="s">
        <v>2692</v>
      </c>
      <c r="M121" s="89">
        <v>328259000</v>
      </c>
      <c r="N121" s="89">
        <v>328259000</v>
      </c>
      <c r="O121" s="687" t="s">
        <v>2655</v>
      </c>
      <c r="P121" s="687"/>
      <c r="Q121" s="687"/>
    </row>
    <row r="122" spans="1:17" s="688" customFormat="1" ht="15" customHeight="1">
      <c r="A122" s="687" t="s">
        <v>246</v>
      </c>
      <c r="B122" s="687">
        <v>2010</v>
      </c>
      <c r="C122" s="687" t="s">
        <v>243</v>
      </c>
      <c r="D122" s="117" t="s">
        <v>244</v>
      </c>
      <c r="E122" s="687" t="s">
        <v>2540</v>
      </c>
      <c r="F122" s="683" t="s">
        <v>55</v>
      </c>
      <c r="G122" s="687"/>
      <c r="H122" s="89"/>
      <c r="I122" s="117"/>
      <c r="J122" s="89"/>
      <c r="K122" s="687"/>
      <c r="L122" s="687" t="s">
        <v>2693</v>
      </c>
      <c r="M122" s="89">
        <v>17243000</v>
      </c>
      <c r="N122" s="89">
        <v>17243000</v>
      </c>
      <c r="O122" s="687" t="s">
        <v>2660</v>
      </c>
      <c r="P122" s="687"/>
      <c r="Q122" s="687"/>
    </row>
    <row r="123" spans="1:17" s="688" customFormat="1" ht="15" customHeight="1">
      <c r="A123" s="687" t="s">
        <v>246</v>
      </c>
      <c r="B123" s="687">
        <v>2010</v>
      </c>
      <c r="C123" s="687" t="s">
        <v>243</v>
      </c>
      <c r="D123" s="117" t="s">
        <v>244</v>
      </c>
      <c r="E123" s="687" t="s">
        <v>2582</v>
      </c>
      <c r="F123" s="683" t="s">
        <v>55</v>
      </c>
      <c r="G123" s="687" t="s">
        <v>103</v>
      </c>
      <c r="H123" s="89">
        <v>9902748</v>
      </c>
      <c r="I123" s="117" t="s">
        <v>2654</v>
      </c>
      <c r="J123" s="89" t="s">
        <v>943</v>
      </c>
      <c r="K123" s="687"/>
      <c r="L123" s="687" t="s">
        <v>2583</v>
      </c>
      <c r="M123" s="89">
        <v>497209000</v>
      </c>
      <c r="N123" s="89">
        <v>497209000</v>
      </c>
      <c r="O123" s="687" t="s">
        <v>2655</v>
      </c>
      <c r="P123" s="687"/>
      <c r="Q123" s="687"/>
    </row>
    <row r="124" spans="1:17" s="688" customFormat="1" ht="15" customHeight="1">
      <c r="A124" s="687" t="s">
        <v>246</v>
      </c>
      <c r="B124" s="687">
        <v>2010</v>
      </c>
      <c r="C124" s="687" t="s">
        <v>243</v>
      </c>
      <c r="D124" s="117" t="s">
        <v>244</v>
      </c>
      <c r="E124" s="687" t="s">
        <v>2582</v>
      </c>
      <c r="F124" s="683" t="s">
        <v>55</v>
      </c>
      <c r="G124" s="687" t="s">
        <v>561</v>
      </c>
      <c r="H124" s="89">
        <v>74149557</v>
      </c>
      <c r="I124" s="117" t="s">
        <v>2656</v>
      </c>
      <c r="J124" s="89" t="s">
        <v>943</v>
      </c>
      <c r="K124" s="687"/>
      <c r="L124" s="687" t="s">
        <v>2694</v>
      </c>
      <c r="M124" s="89">
        <v>23362000</v>
      </c>
      <c r="N124" s="89">
        <v>23362000</v>
      </c>
      <c r="O124" s="687" t="s">
        <v>2655</v>
      </c>
      <c r="P124" s="687"/>
      <c r="Q124" s="687"/>
    </row>
    <row r="125" spans="1:17" s="688" customFormat="1" ht="15" customHeight="1">
      <c r="A125" s="687" t="s">
        <v>246</v>
      </c>
      <c r="B125" s="687">
        <v>2010</v>
      </c>
      <c r="C125" s="687" t="s">
        <v>243</v>
      </c>
      <c r="D125" s="117" t="s">
        <v>244</v>
      </c>
      <c r="E125" s="687" t="s">
        <v>2582</v>
      </c>
      <c r="F125" s="683" t="s">
        <v>55</v>
      </c>
      <c r="G125" s="687"/>
      <c r="H125" s="89"/>
      <c r="I125" s="117"/>
      <c r="J125" s="89"/>
      <c r="K125" s="687"/>
      <c r="L125" s="687" t="s">
        <v>2695</v>
      </c>
      <c r="M125" s="89">
        <v>862000</v>
      </c>
      <c r="N125" s="89"/>
      <c r="O125" s="687"/>
      <c r="P125" s="687"/>
      <c r="Q125" s="687"/>
    </row>
    <row r="126" spans="1:17" s="688" customFormat="1" ht="15" customHeight="1">
      <c r="A126" s="687" t="s">
        <v>246</v>
      </c>
      <c r="B126" s="687">
        <v>2010</v>
      </c>
      <c r="C126" s="687" t="s">
        <v>243</v>
      </c>
      <c r="D126" s="117" t="s">
        <v>244</v>
      </c>
      <c r="E126" s="687" t="s">
        <v>2582</v>
      </c>
      <c r="F126" s="683" t="s">
        <v>55</v>
      </c>
      <c r="G126" s="687"/>
      <c r="H126" s="89"/>
      <c r="I126" s="117"/>
      <c r="J126" s="89"/>
      <c r="K126" s="687"/>
      <c r="L126" s="687" t="s">
        <v>2696</v>
      </c>
      <c r="M126" s="89">
        <v>8033000</v>
      </c>
      <c r="N126" s="89">
        <v>8033000</v>
      </c>
      <c r="O126" s="687" t="s">
        <v>2660</v>
      </c>
      <c r="P126" s="687"/>
      <c r="Q126" s="687"/>
    </row>
    <row r="127" spans="1:17" s="688" customFormat="1" ht="15" customHeight="1">
      <c r="A127" s="687" t="s">
        <v>246</v>
      </c>
      <c r="B127" s="687">
        <v>2010</v>
      </c>
      <c r="C127" s="687" t="s">
        <v>243</v>
      </c>
      <c r="D127" s="117" t="s">
        <v>244</v>
      </c>
      <c r="E127" s="687" t="s">
        <v>2582</v>
      </c>
      <c r="F127" s="683" t="s">
        <v>55</v>
      </c>
      <c r="G127" s="687"/>
      <c r="H127" s="89"/>
      <c r="I127" s="117"/>
      <c r="J127" s="89"/>
      <c r="K127" s="687"/>
      <c r="L127" s="687" t="s">
        <v>2697</v>
      </c>
      <c r="M127" s="89">
        <v>3733000</v>
      </c>
      <c r="N127" s="89">
        <v>3733000</v>
      </c>
      <c r="O127" s="687" t="s">
        <v>2660</v>
      </c>
      <c r="P127" s="687"/>
      <c r="Q127" s="687"/>
    </row>
    <row r="128" spans="1:17" s="688" customFormat="1" ht="15" customHeight="1">
      <c r="A128" s="687" t="s">
        <v>246</v>
      </c>
      <c r="B128" s="687">
        <v>2010</v>
      </c>
      <c r="C128" s="687" t="s">
        <v>243</v>
      </c>
      <c r="D128" s="117" t="s">
        <v>244</v>
      </c>
      <c r="E128" s="687" t="s">
        <v>2582</v>
      </c>
      <c r="F128" s="683" t="s">
        <v>55</v>
      </c>
      <c r="G128" s="687"/>
      <c r="H128" s="89"/>
      <c r="I128" s="117"/>
      <c r="J128" s="89"/>
      <c r="K128" s="687"/>
      <c r="L128" s="687" t="s">
        <v>2698</v>
      </c>
      <c r="M128" s="89">
        <v>4010000</v>
      </c>
      <c r="N128" s="89">
        <v>4010000</v>
      </c>
      <c r="O128" s="687" t="s">
        <v>2660</v>
      </c>
      <c r="P128" s="687"/>
      <c r="Q128" s="687"/>
    </row>
    <row r="129" spans="1:17" s="688" customFormat="1" ht="15" customHeight="1">
      <c r="A129" s="687" t="s">
        <v>246</v>
      </c>
      <c r="B129" s="687">
        <v>2010</v>
      </c>
      <c r="C129" s="687" t="s">
        <v>243</v>
      </c>
      <c r="D129" s="117" t="s">
        <v>244</v>
      </c>
      <c r="E129" s="687" t="s">
        <v>2543</v>
      </c>
      <c r="F129" s="683" t="s">
        <v>55</v>
      </c>
      <c r="G129" s="687" t="s">
        <v>103</v>
      </c>
      <c r="H129" s="89">
        <v>3707980</v>
      </c>
      <c r="I129" s="117" t="s">
        <v>2654</v>
      </c>
      <c r="J129" s="89" t="s">
        <v>943</v>
      </c>
      <c r="K129" s="687"/>
      <c r="L129" s="687" t="s">
        <v>2699</v>
      </c>
      <c r="M129" s="89">
        <v>-110440000</v>
      </c>
      <c r="N129" s="89">
        <v>-110440000</v>
      </c>
      <c r="O129" s="687" t="s">
        <v>2655</v>
      </c>
      <c r="P129" s="687"/>
      <c r="Q129" s="687"/>
    </row>
    <row r="130" spans="1:17" s="688" customFormat="1" ht="15" customHeight="1">
      <c r="A130" s="687" t="s">
        <v>246</v>
      </c>
      <c r="B130" s="687">
        <v>2010</v>
      </c>
      <c r="C130" s="687" t="s">
        <v>243</v>
      </c>
      <c r="D130" s="117" t="s">
        <v>244</v>
      </c>
      <c r="E130" s="687" t="s">
        <v>2543</v>
      </c>
      <c r="F130" s="683" t="s">
        <v>55</v>
      </c>
      <c r="G130" s="687" t="s">
        <v>561</v>
      </c>
      <c r="H130" s="89">
        <v>30182148</v>
      </c>
      <c r="I130" s="117" t="s">
        <v>2656</v>
      </c>
      <c r="J130" s="89" t="s">
        <v>943</v>
      </c>
      <c r="K130" s="687"/>
      <c r="L130" s="687"/>
      <c r="M130" s="89"/>
      <c r="N130" s="89"/>
      <c r="O130" s="687" t="s">
        <v>2655</v>
      </c>
      <c r="P130" s="687"/>
      <c r="Q130" s="687"/>
    </row>
    <row r="131" spans="1:17" s="688" customFormat="1" ht="15" customHeight="1">
      <c r="A131" s="687" t="s">
        <v>246</v>
      </c>
      <c r="B131" s="687">
        <v>2010</v>
      </c>
      <c r="C131" s="687" t="s">
        <v>243</v>
      </c>
      <c r="D131" s="117" t="s">
        <v>244</v>
      </c>
      <c r="E131" s="687" t="s">
        <v>2548</v>
      </c>
      <c r="F131" s="683" t="s">
        <v>55</v>
      </c>
      <c r="G131" s="687" t="s">
        <v>103</v>
      </c>
      <c r="H131" s="89">
        <v>3902484</v>
      </c>
      <c r="I131" s="117" t="s">
        <v>2654</v>
      </c>
      <c r="J131" s="89" t="s">
        <v>943</v>
      </c>
      <c r="K131" s="687"/>
      <c r="L131" s="687" t="s">
        <v>2700</v>
      </c>
      <c r="M131" s="89">
        <v>107591000</v>
      </c>
      <c r="N131" s="89">
        <v>107591000</v>
      </c>
      <c r="O131" s="687" t="s">
        <v>2655</v>
      </c>
      <c r="P131" s="687"/>
      <c r="Q131" s="687"/>
    </row>
    <row r="132" spans="1:17" s="688" customFormat="1" ht="15" customHeight="1">
      <c r="A132" s="687" t="s">
        <v>246</v>
      </c>
      <c r="B132" s="687">
        <v>2010</v>
      </c>
      <c r="C132" s="687" t="s">
        <v>243</v>
      </c>
      <c r="D132" s="117" t="s">
        <v>244</v>
      </c>
      <c r="E132" s="687" t="s">
        <v>2548</v>
      </c>
      <c r="F132" s="683" t="s">
        <v>55</v>
      </c>
      <c r="G132" s="687" t="s">
        <v>561</v>
      </c>
      <c r="H132" s="89">
        <v>2378410</v>
      </c>
      <c r="I132" s="117" t="s">
        <v>2656</v>
      </c>
      <c r="J132" s="89" t="s">
        <v>943</v>
      </c>
      <c r="K132" s="687"/>
      <c r="L132" s="687" t="s">
        <v>2701</v>
      </c>
      <c r="M132" s="89">
        <v>97397000</v>
      </c>
      <c r="N132" s="89">
        <v>97391000</v>
      </c>
      <c r="O132" s="687" t="s">
        <v>2655</v>
      </c>
      <c r="P132" s="687"/>
      <c r="Q132" s="687"/>
    </row>
    <row r="133" spans="1:17" s="688" customFormat="1" ht="15" customHeight="1">
      <c r="A133" s="687" t="s">
        <v>246</v>
      </c>
      <c r="B133" s="687">
        <v>2010</v>
      </c>
      <c r="C133" s="687" t="s">
        <v>243</v>
      </c>
      <c r="D133" s="117" t="s">
        <v>244</v>
      </c>
      <c r="E133" s="687" t="s">
        <v>2548</v>
      </c>
      <c r="F133" s="683" t="s">
        <v>55</v>
      </c>
      <c r="G133" s="687"/>
      <c r="H133" s="89"/>
      <c r="I133" s="117"/>
      <c r="J133" s="89"/>
      <c r="K133" s="687"/>
      <c r="L133" s="687" t="s">
        <v>2702</v>
      </c>
      <c r="M133" s="89">
        <v>6821000</v>
      </c>
      <c r="N133" s="89">
        <v>6821000</v>
      </c>
      <c r="O133" s="687" t="s">
        <v>2660</v>
      </c>
      <c r="P133" s="687"/>
      <c r="Q133" s="687"/>
    </row>
    <row r="134" spans="1:17" s="688" customFormat="1" ht="15" customHeight="1">
      <c r="A134" s="687" t="s">
        <v>246</v>
      </c>
      <c r="B134" s="687">
        <v>2010</v>
      </c>
      <c r="C134" s="687" t="s">
        <v>243</v>
      </c>
      <c r="D134" s="117" t="s">
        <v>244</v>
      </c>
      <c r="E134" s="687" t="s">
        <v>2703</v>
      </c>
      <c r="F134" s="683" t="s">
        <v>55</v>
      </c>
      <c r="G134" s="687" t="s">
        <v>103</v>
      </c>
      <c r="H134" s="89">
        <v>1108250</v>
      </c>
      <c r="I134" s="117" t="s">
        <v>2654</v>
      </c>
      <c r="J134" s="89" t="s">
        <v>943</v>
      </c>
      <c r="K134" s="687"/>
      <c r="L134" s="687" t="s">
        <v>2704</v>
      </c>
      <c r="M134" s="89">
        <v>17451000</v>
      </c>
      <c r="N134" s="89">
        <v>17451000</v>
      </c>
      <c r="O134" s="687" t="s">
        <v>2655</v>
      </c>
      <c r="P134" s="687"/>
      <c r="Q134" s="687"/>
    </row>
    <row r="135" spans="1:17" s="688" customFormat="1" ht="15" customHeight="1">
      <c r="A135" s="687" t="s">
        <v>246</v>
      </c>
      <c r="B135" s="687">
        <v>2010</v>
      </c>
      <c r="C135" s="687" t="s">
        <v>243</v>
      </c>
      <c r="D135" s="117" t="s">
        <v>244</v>
      </c>
      <c r="E135" s="687" t="s">
        <v>2703</v>
      </c>
      <c r="F135" s="683" t="s">
        <v>55</v>
      </c>
      <c r="G135" s="687"/>
      <c r="H135" s="89"/>
      <c r="I135" s="117"/>
      <c r="J135" s="89"/>
      <c r="K135" s="687"/>
      <c r="L135" s="687" t="s">
        <v>2705</v>
      </c>
      <c r="M135" s="89">
        <v>15216000</v>
      </c>
      <c r="N135" s="89">
        <v>15189000</v>
      </c>
      <c r="O135" s="687" t="s">
        <v>2660</v>
      </c>
      <c r="P135" s="687"/>
      <c r="Q135" s="687"/>
    </row>
    <row r="136" spans="1:17" s="688" customFormat="1" ht="15" customHeight="1">
      <c r="A136" s="687" t="s">
        <v>246</v>
      </c>
      <c r="B136" s="687">
        <v>2010</v>
      </c>
      <c r="C136" s="687" t="s">
        <v>243</v>
      </c>
      <c r="D136" s="117" t="s">
        <v>244</v>
      </c>
      <c r="E136" s="687" t="s">
        <v>2703</v>
      </c>
      <c r="F136" s="683" t="s">
        <v>55</v>
      </c>
      <c r="G136" s="687"/>
      <c r="H136" s="89"/>
      <c r="I136" s="117"/>
      <c r="J136" s="89"/>
      <c r="K136" s="687"/>
      <c r="L136" s="687" t="s">
        <v>2706</v>
      </c>
      <c r="M136" s="89">
        <v>947000</v>
      </c>
      <c r="N136" s="89">
        <v>947000</v>
      </c>
      <c r="O136" s="687" t="s">
        <v>2660</v>
      </c>
      <c r="P136" s="687"/>
      <c r="Q136" s="687"/>
    </row>
    <row r="137" spans="1:17" s="688" customFormat="1" ht="15" customHeight="1">
      <c r="A137" s="687" t="s">
        <v>246</v>
      </c>
      <c r="B137" s="687">
        <v>2010</v>
      </c>
      <c r="C137" s="687" t="s">
        <v>243</v>
      </c>
      <c r="D137" s="117" t="s">
        <v>244</v>
      </c>
      <c r="E137" s="687" t="s">
        <v>2703</v>
      </c>
      <c r="F137" s="683" t="s">
        <v>55</v>
      </c>
      <c r="G137" s="687"/>
      <c r="H137" s="89"/>
      <c r="I137" s="117"/>
      <c r="J137" s="89"/>
      <c r="K137" s="687"/>
      <c r="L137" s="687" t="s">
        <v>2707</v>
      </c>
      <c r="M137" s="89">
        <v>1221000</v>
      </c>
      <c r="N137" s="89">
        <v>1221000</v>
      </c>
      <c r="O137" s="687" t="s">
        <v>2660</v>
      </c>
      <c r="P137" s="687"/>
      <c r="Q137" s="687"/>
    </row>
    <row r="138" spans="1:17" s="688" customFormat="1" ht="15" customHeight="1">
      <c r="A138" s="687" t="s">
        <v>246</v>
      </c>
      <c r="B138" s="687">
        <v>2010</v>
      </c>
      <c r="C138" s="687" t="s">
        <v>243</v>
      </c>
      <c r="D138" s="117" t="s">
        <v>244</v>
      </c>
      <c r="E138" s="687" t="s">
        <v>2563</v>
      </c>
      <c r="F138" s="683" t="s">
        <v>55</v>
      </c>
      <c r="G138" s="687" t="s">
        <v>103</v>
      </c>
      <c r="H138" s="89">
        <v>618580</v>
      </c>
      <c r="I138" s="117" t="s">
        <v>2654</v>
      </c>
      <c r="J138" s="89" t="s">
        <v>943</v>
      </c>
      <c r="K138" s="687"/>
      <c r="L138" s="687" t="s">
        <v>2708</v>
      </c>
      <c r="M138" s="89">
        <v>21411000</v>
      </c>
      <c r="N138" s="89">
        <v>21411000</v>
      </c>
      <c r="O138" s="687" t="s">
        <v>2655</v>
      </c>
      <c r="P138" s="687"/>
      <c r="Q138" s="687"/>
    </row>
    <row r="139" spans="1:17" s="688" customFormat="1" ht="15" customHeight="1">
      <c r="A139" s="687" t="s">
        <v>246</v>
      </c>
      <c r="B139" s="687">
        <v>2010</v>
      </c>
      <c r="C139" s="687" t="s">
        <v>243</v>
      </c>
      <c r="D139" s="117" t="s">
        <v>244</v>
      </c>
      <c r="E139" s="687" t="s">
        <v>2563</v>
      </c>
      <c r="F139" s="683" t="s">
        <v>55</v>
      </c>
      <c r="G139" s="687"/>
      <c r="H139" s="89"/>
      <c r="I139" s="117"/>
      <c r="J139" s="89"/>
      <c r="K139" s="687"/>
      <c r="L139" s="687" t="s">
        <v>2709</v>
      </c>
      <c r="M139" s="692">
        <v>2243000</v>
      </c>
      <c r="N139" s="692">
        <v>2243000</v>
      </c>
      <c r="O139" s="687" t="s">
        <v>2660</v>
      </c>
      <c r="P139" s="687"/>
      <c r="Q139" s="687"/>
    </row>
    <row r="140" spans="1:17" s="688" customFormat="1" ht="15" customHeight="1">
      <c r="A140" s="687" t="s">
        <v>246</v>
      </c>
      <c r="B140" s="687">
        <v>2010</v>
      </c>
      <c r="C140" s="687" t="s">
        <v>243</v>
      </c>
      <c r="D140" s="117" t="s">
        <v>244</v>
      </c>
      <c r="E140" s="687" t="s">
        <v>2710</v>
      </c>
      <c r="F140" s="683" t="s">
        <v>55</v>
      </c>
      <c r="G140" s="687" t="s">
        <v>103</v>
      </c>
      <c r="H140" s="89">
        <v>404463</v>
      </c>
      <c r="I140" s="117" t="s">
        <v>2654</v>
      </c>
      <c r="J140" s="89" t="s">
        <v>943</v>
      </c>
      <c r="K140" s="687"/>
      <c r="L140" s="687" t="s">
        <v>2711</v>
      </c>
      <c r="M140" s="89">
        <v>10674000</v>
      </c>
      <c r="N140" s="89">
        <v>10674000</v>
      </c>
      <c r="O140" s="687" t="s">
        <v>2655</v>
      </c>
      <c r="P140" s="687"/>
      <c r="Q140" s="687"/>
    </row>
    <row r="141" spans="1:17" s="688" customFormat="1" ht="15" customHeight="1">
      <c r="A141" s="687" t="s">
        <v>246</v>
      </c>
      <c r="B141" s="687">
        <v>2010</v>
      </c>
      <c r="C141" s="687" t="s">
        <v>243</v>
      </c>
      <c r="D141" s="117" t="s">
        <v>244</v>
      </c>
      <c r="E141" s="687" t="s">
        <v>2710</v>
      </c>
      <c r="F141" s="683" t="s">
        <v>55</v>
      </c>
      <c r="G141" s="687" t="s">
        <v>561</v>
      </c>
      <c r="H141" s="89">
        <v>636692</v>
      </c>
      <c r="I141" s="117" t="s">
        <v>2656</v>
      </c>
      <c r="J141" s="89" t="s">
        <v>943</v>
      </c>
      <c r="K141" s="687"/>
      <c r="L141" s="687" t="s">
        <v>2712</v>
      </c>
      <c r="M141" s="89">
        <v>6363000</v>
      </c>
      <c r="N141" s="89">
        <v>6363000</v>
      </c>
      <c r="O141" s="687" t="s">
        <v>2655</v>
      </c>
      <c r="P141" s="687"/>
      <c r="Q141" s="687"/>
    </row>
    <row r="142" spans="1:17" s="688" customFormat="1" ht="15" customHeight="1">
      <c r="A142" s="687" t="s">
        <v>246</v>
      </c>
      <c r="B142" s="687">
        <v>2010</v>
      </c>
      <c r="C142" s="687" t="s">
        <v>243</v>
      </c>
      <c r="D142" s="117" t="s">
        <v>244</v>
      </c>
      <c r="E142" s="687" t="s">
        <v>2573</v>
      </c>
      <c r="F142" s="683" t="s">
        <v>55</v>
      </c>
      <c r="G142" s="687" t="s">
        <v>103</v>
      </c>
      <c r="H142" s="89">
        <v>6649830</v>
      </c>
      <c r="I142" s="117" t="s">
        <v>2654</v>
      </c>
      <c r="J142" s="89" t="s">
        <v>943</v>
      </c>
      <c r="K142" s="687"/>
      <c r="L142" s="687" t="s">
        <v>2574</v>
      </c>
      <c r="M142" s="89">
        <v>664387000</v>
      </c>
      <c r="N142" s="89">
        <v>664387000</v>
      </c>
      <c r="O142" s="687" t="s">
        <v>2655</v>
      </c>
      <c r="P142" s="687"/>
      <c r="Q142" s="687"/>
    </row>
    <row r="143" spans="1:17" s="688" customFormat="1" ht="15" customHeight="1">
      <c r="A143" s="687" t="s">
        <v>246</v>
      </c>
      <c r="B143" s="687">
        <v>2010</v>
      </c>
      <c r="C143" s="687" t="s">
        <v>243</v>
      </c>
      <c r="D143" s="117" t="s">
        <v>244</v>
      </c>
      <c r="E143" s="687" t="s">
        <v>2573</v>
      </c>
      <c r="F143" s="683" t="s">
        <v>55</v>
      </c>
      <c r="G143" s="687" t="s">
        <v>561</v>
      </c>
      <c r="H143" s="89">
        <v>57017376</v>
      </c>
      <c r="I143" s="117" t="s">
        <v>2656</v>
      </c>
      <c r="J143" s="89" t="s">
        <v>943</v>
      </c>
      <c r="K143" s="687"/>
      <c r="L143" s="687" t="s">
        <v>2713</v>
      </c>
      <c r="M143" s="89">
        <v>76792000</v>
      </c>
      <c r="N143" s="89">
        <v>76792000</v>
      </c>
      <c r="O143" s="687" t="s">
        <v>2655</v>
      </c>
      <c r="P143" s="687"/>
      <c r="Q143" s="687"/>
    </row>
    <row r="144" spans="1:17" s="688" customFormat="1" ht="15" customHeight="1">
      <c r="A144" s="687" t="s">
        <v>246</v>
      </c>
      <c r="B144" s="687">
        <v>2010</v>
      </c>
      <c r="C144" s="687" t="s">
        <v>243</v>
      </c>
      <c r="D144" s="117" t="s">
        <v>244</v>
      </c>
      <c r="E144" s="687" t="s">
        <v>2573</v>
      </c>
      <c r="F144" s="683" t="s">
        <v>55</v>
      </c>
      <c r="G144" s="687"/>
      <c r="H144" s="89"/>
      <c r="I144" s="117"/>
      <c r="J144" s="89"/>
      <c r="K144" s="687"/>
      <c r="L144" s="687" t="s">
        <v>2714</v>
      </c>
      <c r="M144" s="89">
        <v>73910000</v>
      </c>
      <c r="N144" s="89">
        <v>73910000</v>
      </c>
      <c r="O144" s="687" t="s">
        <v>2660</v>
      </c>
      <c r="P144" s="687"/>
      <c r="Q144" s="687"/>
    </row>
    <row r="145" spans="1:17" s="688" customFormat="1" ht="15" customHeight="1">
      <c r="A145" s="687" t="s">
        <v>246</v>
      </c>
      <c r="B145" s="687">
        <v>2010</v>
      </c>
      <c r="C145" s="687" t="s">
        <v>243</v>
      </c>
      <c r="D145" s="117" t="s">
        <v>244</v>
      </c>
      <c r="E145" s="687" t="s">
        <v>2573</v>
      </c>
      <c r="F145" s="683" t="s">
        <v>55</v>
      </c>
      <c r="G145" s="687"/>
      <c r="H145" s="89"/>
      <c r="I145" s="117"/>
      <c r="J145" s="89"/>
      <c r="K145" s="687"/>
      <c r="L145" s="687" t="s">
        <v>2715</v>
      </c>
      <c r="M145" s="89">
        <v>47534000</v>
      </c>
      <c r="N145" s="89">
        <v>47534000</v>
      </c>
      <c r="O145" s="687" t="s">
        <v>2660</v>
      </c>
      <c r="P145" s="687"/>
      <c r="Q145" s="687"/>
    </row>
    <row r="146" spans="1:17" s="688" customFormat="1" ht="15" customHeight="1">
      <c r="A146" s="687" t="s">
        <v>246</v>
      </c>
      <c r="B146" s="687">
        <v>2010</v>
      </c>
      <c r="C146" s="687" t="s">
        <v>243</v>
      </c>
      <c r="D146" s="117" t="s">
        <v>244</v>
      </c>
      <c r="E146" s="687" t="s">
        <v>2576</v>
      </c>
      <c r="F146" s="683" t="s">
        <v>55</v>
      </c>
      <c r="G146" s="687" t="s">
        <v>103</v>
      </c>
      <c r="H146" s="89">
        <v>2271599</v>
      </c>
      <c r="I146" s="117" t="s">
        <v>2654</v>
      </c>
      <c r="J146" s="89" t="s">
        <v>943</v>
      </c>
      <c r="K146" s="687"/>
      <c r="L146" s="687" t="s">
        <v>2716</v>
      </c>
      <c r="M146" s="89">
        <v>98317000</v>
      </c>
      <c r="N146" s="89">
        <v>98317000</v>
      </c>
      <c r="O146" s="687" t="s">
        <v>2655</v>
      </c>
      <c r="P146" s="687"/>
      <c r="Q146" s="687"/>
    </row>
    <row r="147" spans="1:17" s="688" customFormat="1" ht="15" customHeight="1">
      <c r="A147" s="687" t="s">
        <v>246</v>
      </c>
      <c r="B147" s="687">
        <v>2010</v>
      </c>
      <c r="C147" s="687" t="s">
        <v>243</v>
      </c>
      <c r="D147" s="117" t="s">
        <v>244</v>
      </c>
      <c r="E147" s="687" t="s">
        <v>2576</v>
      </c>
      <c r="F147" s="683" t="s">
        <v>55</v>
      </c>
      <c r="G147" s="687" t="s">
        <v>561</v>
      </c>
      <c r="H147" s="89">
        <v>481163</v>
      </c>
      <c r="I147" s="117" t="s">
        <v>2656</v>
      </c>
      <c r="J147" s="89" t="s">
        <v>943</v>
      </c>
      <c r="K147" s="687"/>
      <c r="L147" s="687" t="s">
        <v>2717</v>
      </c>
      <c r="M147" s="89">
        <v>2509000</v>
      </c>
      <c r="N147" s="89">
        <v>2509000</v>
      </c>
      <c r="O147" s="687" t="s">
        <v>2655</v>
      </c>
      <c r="P147" s="687"/>
      <c r="Q147" s="687"/>
    </row>
    <row r="148" spans="1:17" s="688" customFormat="1" ht="15" customHeight="1">
      <c r="A148" s="687" t="s">
        <v>246</v>
      </c>
      <c r="B148" s="687">
        <v>2010</v>
      </c>
      <c r="C148" s="687" t="s">
        <v>243</v>
      </c>
      <c r="D148" s="117" t="s">
        <v>244</v>
      </c>
      <c r="E148" s="687" t="s">
        <v>2576</v>
      </c>
      <c r="F148" s="683" t="s">
        <v>55</v>
      </c>
      <c r="G148" s="687"/>
      <c r="H148" s="89"/>
      <c r="I148" s="117"/>
      <c r="J148" s="89"/>
      <c r="K148" s="687"/>
      <c r="L148" s="687" t="s">
        <v>2718</v>
      </c>
      <c r="M148" s="89">
        <v>1909000</v>
      </c>
      <c r="N148" s="89">
        <v>1909000</v>
      </c>
      <c r="O148" s="687" t="s">
        <v>2660</v>
      </c>
      <c r="P148" s="687"/>
      <c r="Q148" s="687"/>
    </row>
    <row r="149" spans="1:17" s="688" customFormat="1" ht="15" customHeight="1">
      <c r="A149" s="687" t="s">
        <v>246</v>
      </c>
      <c r="B149" s="687">
        <v>2010</v>
      </c>
      <c r="C149" s="687" t="s">
        <v>243</v>
      </c>
      <c r="D149" s="117" t="s">
        <v>244</v>
      </c>
      <c r="E149" s="687" t="s">
        <v>2576</v>
      </c>
      <c r="F149" s="683" t="s">
        <v>55</v>
      </c>
      <c r="G149" s="687"/>
      <c r="H149" s="89"/>
      <c r="I149" s="117"/>
      <c r="J149" s="89"/>
      <c r="K149" s="687"/>
      <c r="L149" s="687" t="s">
        <v>2719</v>
      </c>
      <c r="M149" s="89"/>
      <c r="N149" s="89"/>
      <c r="O149" s="687"/>
      <c r="P149" s="687"/>
      <c r="Q149" s="687"/>
    </row>
    <row r="150" spans="1:17" s="688" customFormat="1" ht="15" customHeight="1">
      <c r="A150" s="687" t="s">
        <v>246</v>
      </c>
      <c r="B150" s="687">
        <v>2010</v>
      </c>
      <c r="C150" s="687" t="s">
        <v>243</v>
      </c>
      <c r="D150" s="117" t="s">
        <v>244</v>
      </c>
      <c r="E150" s="687" t="s">
        <v>2576</v>
      </c>
      <c r="F150" s="683" t="s">
        <v>55</v>
      </c>
      <c r="G150" s="687"/>
      <c r="H150" s="89"/>
      <c r="I150" s="117"/>
      <c r="J150" s="89"/>
      <c r="K150" s="687"/>
      <c r="L150" s="687" t="s">
        <v>2720</v>
      </c>
      <c r="M150" s="89"/>
      <c r="N150" s="89"/>
      <c r="O150" s="687"/>
      <c r="P150" s="687"/>
      <c r="Q150" s="687"/>
    </row>
    <row r="151" spans="1:17" s="688" customFormat="1" ht="15" customHeight="1">
      <c r="A151" s="687" t="s">
        <v>246</v>
      </c>
      <c r="B151" s="687">
        <v>2010</v>
      </c>
      <c r="C151" s="687" t="s">
        <v>243</v>
      </c>
      <c r="D151" s="117" t="s">
        <v>244</v>
      </c>
      <c r="E151" s="687" t="s">
        <v>2576</v>
      </c>
      <c r="F151" s="683" t="s">
        <v>55</v>
      </c>
      <c r="G151" s="687"/>
      <c r="H151" s="89"/>
      <c r="I151" s="117"/>
      <c r="J151" s="89"/>
      <c r="K151" s="687"/>
      <c r="L151" s="687" t="s">
        <v>2721</v>
      </c>
      <c r="M151" s="89">
        <v>678000</v>
      </c>
      <c r="N151" s="89">
        <v>678000</v>
      </c>
      <c r="O151" s="687" t="s">
        <v>2660</v>
      </c>
      <c r="P151" s="687"/>
      <c r="Q151" s="687"/>
    </row>
    <row r="152" spans="1:17" s="688" customFormat="1" ht="15" customHeight="1">
      <c r="A152" s="687" t="s">
        <v>246</v>
      </c>
      <c r="B152" s="687">
        <v>2010</v>
      </c>
      <c r="C152" s="687" t="s">
        <v>243</v>
      </c>
      <c r="D152" s="117" t="s">
        <v>244</v>
      </c>
      <c r="E152" s="687" t="s">
        <v>2579</v>
      </c>
      <c r="F152" s="683" t="s">
        <v>55</v>
      </c>
      <c r="G152" s="687" t="s">
        <v>103</v>
      </c>
      <c r="H152" s="89">
        <v>22999</v>
      </c>
      <c r="I152" s="117" t="s">
        <v>2654</v>
      </c>
      <c r="J152" s="89" t="s">
        <v>943</v>
      </c>
      <c r="K152" s="687"/>
      <c r="L152" s="687" t="s">
        <v>2580</v>
      </c>
      <c r="M152" s="89">
        <v>226000</v>
      </c>
      <c r="N152" s="89">
        <v>226000</v>
      </c>
      <c r="O152" s="687" t="s">
        <v>2655</v>
      </c>
      <c r="P152" s="687"/>
      <c r="Q152" s="687"/>
    </row>
    <row r="153" spans="1:17" s="688" customFormat="1" ht="15" customHeight="1">
      <c r="A153" s="687" t="s">
        <v>246</v>
      </c>
      <c r="B153" s="687">
        <v>2010</v>
      </c>
      <c r="C153" s="687" t="s">
        <v>243</v>
      </c>
      <c r="D153" s="117" t="s">
        <v>244</v>
      </c>
      <c r="E153" s="687" t="s">
        <v>2585</v>
      </c>
      <c r="F153" s="683" t="s">
        <v>55</v>
      </c>
      <c r="G153" s="687" t="s">
        <v>103</v>
      </c>
      <c r="H153" s="89">
        <v>1235929</v>
      </c>
      <c r="I153" s="117" t="s">
        <v>2654</v>
      </c>
      <c r="J153" s="89" t="s">
        <v>943</v>
      </c>
      <c r="K153" s="687"/>
      <c r="L153" s="687" t="s">
        <v>2586</v>
      </c>
      <c r="M153" s="89">
        <v>45764000</v>
      </c>
      <c r="N153" s="89">
        <v>45764000</v>
      </c>
      <c r="O153" s="687" t="s">
        <v>2655</v>
      </c>
      <c r="P153" s="687"/>
      <c r="Q153" s="687"/>
    </row>
    <row r="154" spans="1:17" s="688" customFormat="1" ht="15" customHeight="1">
      <c r="A154" s="687" t="s">
        <v>246</v>
      </c>
      <c r="B154" s="687">
        <v>2010</v>
      </c>
      <c r="C154" s="687" t="s">
        <v>243</v>
      </c>
      <c r="D154" s="117" t="s">
        <v>244</v>
      </c>
      <c r="E154" s="687" t="s">
        <v>2585</v>
      </c>
      <c r="F154" s="683" t="s">
        <v>55</v>
      </c>
      <c r="G154" s="687" t="s">
        <v>561</v>
      </c>
      <c r="H154" s="89">
        <v>181570074</v>
      </c>
      <c r="I154" s="117" t="s">
        <v>2656</v>
      </c>
      <c r="J154" s="89" t="s">
        <v>943</v>
      </c>
      <c r="K154" s="687"/>
      <c r="L154" s="687" t="s">
        <v>2722</v>
      </c>
      <c r="M154" s="89">
        <v>9761000</v>
      </c>
      <c r="N154" s="89">
        <v>9761000</v>
      </c>
      <c r="O154" s="687" t="s">
        <v>2655</v>
      </c>
      <c r="P154" s="687"/>
      <c r="Q154" s="687"/>
    </row>
    <row r="155" spans="1:17" s="688" customFormat="1" ht="15" customHeight="1">
      <c r="A155" s="687" t="s">
        <v>246</v>
      </c>
      <c r="B155" s="687">
        <v>2010</v>
      </c>
      <c r="C155" s="687" t="s">
        <v>243</v>
      </c>
      <c r="D155" s="117" t="s">
        <v>244</v>
      </c>
      <c r="E155" s="687" t="s">
        <v>2585</v>
      </c>
      <c r="F155" s="683" t="s">
        <v>55</v>
      </c>
      <c r="G155" s="687"/>
      <c r="H155" s="89"/>
      <c r="I155" s="117"/>
      <c r="J155" s="89"/>
      <c r="K155" s="687"/>
      <c r="L155" s="687" t="s">
        <v>2723</v>
      </c>
      <c r="M155" s="89">
        <v>8468000</v>
      </c>
      <c r="N155" s="89">
        <v>8468000</v>
      </c>
      <c r="O155" s="687" t="s">
        <v>2660</v>
      </c>
      <c r="P155" s="687"/>
      <c r="Q155" s="687"/>
    </row>
    <row r="156" spans="1:17" s="688" customFormat="1" ht="15" customHeight="1">
      <c r="A156" s="687" t="s">
        <v>246</v>
      </c>
      <c r="B156" s="687">
        <v>2010</v>
      </c>
      <c r="C156" s="687" t="s">
        <v>243</v>
      </c>
      <c r="D156" s="117" t="s">
        <v>244</v>
      </c>
      <c r="E156" s="687" t="s">
        <v>2585</v>
      </c>
      <c r="F156" s="683" t="s">
        <v>55</v>
      </c>
      <c r="G156" s="687"/>
      <c r="H156" s="89"/>
      <c r="I156" s="117"/>
      <c r="J156" s="89"/>
      <c r="K156" s="687"/>
      <c r="L156" s="687" t="s">
        <v>2724</v>
      </c>
      <c r="M156" s="89">
        <v>5927000</v>
      </c>
      <c r="N156" s="89">
        <v>5927000</v>
      </c>
      <c r="O156" s="687" t="s">
        <v>2660</v>
      </c>
      <c r="P156" s="687"/>
      <c r="Q156" s="687"/>
    </row>
    <row r="157" spans="1:17" s="688" customFormat="1" ht="15" customHeight="1">
      <c r="A157" s="687" t="s">
        <v>246</v>
      </c>
      <c r="B157" s="687">
        <v>2010</v>
      </c>
      <c r="C157" s="687" t="s">
        <v>243</v>
      </c>
      <c r="D157" s="117" t="s">
        <v>244</v>
      </c>
      <c r="E157" s="687" t="s">
        <v>2591</v>
      </c>
      <c r="F157" s="683" t="s">
        <v>55</v>
      </c>
      <c r="G157" s="687" t="s">
        <v>103</v>
      </c>
      <c r="H157" s="89">
        <v>124919</v>
      </c>
      <c r="I157" s="117" t="s">
        <v>2654</v>
      </c>
      <c r="J157" s="89" t="s">
        <v>943</v>
      </c>
      <c r="K157" s="687"/>
      <c r="L157" s="687" t="s">
        <v>2592</v>
      </c>
      <c r="M157" s="89">
        <v>4590000</v>
      </c>
      <c r="N157" s="89">
        <v>4590000</v>
      </c>
      <c r="O157" s="687" t="s">
        <v>2655</v>
      </c>
      <c r="P157" s="687"/>
      <c r="Q157" s="687"/>
    </row>
    <row r="158" spans="1:17" s="688" customFormat="1" ht="15" customHeight="1">
      <c r="A158" s="687" t="s">
        <v>246</v>
      </c>
      <c r="B158" s="687">
        <v>2010</v>
      </c>
      <c r="C158" s="687" t="s">
        <v>243</v>
      </c>
      <c r="D158" s="117" t="s">
        <v>244</v>
      </c>
      <c r="E158" s="687" t="s">
        <v>2591</v>
      </c>
      <c r="F158" s="683" t="s">
        <v>55</v>
      </c>
      <c r="G158" s="687" t="s">
        <v>561</v>
      </c>
      <c r="H158" s="89">
        <v>18351791</v>
      </c>
      <c r="I158" s="117" t="s">
        <v>2656</v>
      </c>
      <c r="J158" s="89" t="s">
        <v>943</v>
      </c>
      <c r="K158" s="687"/>
      <c r="L158" s="687" t="s">
        <v>2725</v>
      </c>
      <c r="M158" s="89">
        <v>1640000</v>
      </c>
      <c r="N158" s="89">
        <v>1715000</v>
      </c>
      <c r="O158" s="687" t="s">
        <v>2655</v>
      </c>
      <c r="P158" s="687"/>
      <c r="Q158" s="687"/>
    </row>
    <row r="159" spans="1:17" s="688" customFormat="1" ht="15" customHeight="1">
      <c r="A159" s="687" t="s">
        <v>246</v>
      </c>
      <c r="B159" s="687">
        <v>2010</v>
      </c>
      <c r="C159" s="687" t="s">
        <v>243</v>
      </c>
      <c r="D159" s="117" t="s">
        <v>244</v>
      </c>
      <c r="E159" s="687" t="s">
        <v>2591</v>
      </c>
      <c r="F159" s="683" t="s">
        <v>55</v>
      </c>
      <c r="G159" s="687"/>
      <c r="H159" s="89"/>
      <c r="I159" s="117"/>
      <c r="J159" s="89"/>
      <c r="K159" s="687"/>
      <c r="L159" s="687" t="s">
        <v>2726</v>
      </c>
      <c r="M159" s="89">
        <v>956000</v>
      </c>
      <c r="N159" s="89">
        <v>956000</v>
      </c>
      <c r="O159" s="687" t="s">
        <v>2660</v>
      </c>
      <c r="P159" s="687"/>
      <c r="Q159" s="687"/>
    </row>
    <row r="160" spans="1:17" s="688" customFormat="1" ht="15" customHeight="1">
      <c r="A160" s="687" t="s">
        <v>246</v>
      </c>
      <c r="B160" s="687">
        <v>2010</v>
      </c>
      <c r="C160" s="687" t="s">
        <v>243</v>
      </c>
      <c r="D160" s="117" t="s">
        <v>244</v>
      </c>
      <c r="E160" s="687" t="s">
        <v>2727</v>
      </c>
      <c r="F160" s="683" t="s">
        <v>55</v>
      </c>
      <c r="G160" s="687" t="s">
        <v>103</v>
      </c>
      <c r="H160" s="89">
        <v>6216130</v>
      </c>
      <c r="I160" s="117" t="s">
        <v>2654</v>
      </c>
      <c r="J160" s="89" t="s">
        <v>943</v>
      </c>
      <c r="K160" s="687"/>
      <c r="L160" s="687" t="s">
        <v>2595</v>
      </c>
      <c r="M160" s="89">
        <v>248788000</v>
      </c>
      <c r="N160" s="89">
        <v>248788000</v>
      </c>
      <c r="O160" s="687" t="s">
        <v>2655</v>
      </c>
      <c r="P160" s="687"/>
      <c r="Q160" s="687"/>
    </row>
    <row r="161" spans="1:17" s="688" customFormat="1" ht="15" customHeight="1">
      <c r="A161" s="687" t="s">
        <v>246</v>
      </c>
      <c r="B161" s="687">
        <v>2010</v>
      </c>
      <c r="C161" s="687" t="s">
        <v>243</v>
      </c>
      <c r="D161" s="117" t="s">
        <v>244</v>
      </c>
      <c r="E161" s="687" t="s">
        <v>2727</v>
      </c>
      <c r="F161" s="683" t="s">
        <v>55</v>
      </c>
      <c r="G161" s="687" t="s">
        <v>561</v>
      </c>
      <c r="H161" s="89">
        <v>2332120</v>
      </c>
      <c r="I161" s="117" t="s">
        <v>2656</v>
      </c>
      <c r="J161" s="89" t="s">
        <v>943</v>
      </c>
      <c r="K161" s="687"/>
      <c r="L161" s="687" t="s">
        <v>2728</v>
      </c>
      <c r="M161" s="89">
        <v>1383000</v>
      </c>
      <c r="N161" s="89">
        <v>1383000</v>
      </c>
      <c r="O161" s="687" t="s">
        <v>2655</v>
      </c>
      <c r="P161" s="687"/>
      <c r="Q161" s="687"/>
    </row>
    <row r="162" spans="1:17" s="688" customFormat="1" ht="15" customHeight="1">
      <c r="A162" s="687" t="s">
        <v>246</v>
      </c>
      <c r="B162" s="687">
        <v>2010</v>
      </c>
      <c r="C162" s="687" t="s">
        <v>243</v>
      </c>
      <c r="D162" s="117" t="s">
        <v>244</v>
      </c>
      <c r="E162" s="687" t="s">
        <v>2597</v>
      </c>
      <c r="F162" s="683" t="s">
        <v>55</v>
      </c>
      <c r="G162" s="687" t="s">
        <v>103</v>
      </c>
      <c r="H162" s="89">
        <v>2843054</v>
      </c>
      <c r="I162" s="117" t="s">
        <v>2654</v>
      </c>
      <c r="J162" s="89" t="s">
        <v>943</v>
      </c>
      <c r="K162" s="687"/>
      <c r="L162" s="687" t="s">
        <v>2598</v>
      </c>
      <c r="M162" s="89">
        <v>308664000</v>
      </c>
      <c r="N162" s="89">
        <v>308664000</v>
      </c>
      <c r="O162" s="687" t="s">
        <v>2655</v>
      </c>
      <c r="P162" s="687"/>
      <c r="Q162" s="687"/>
    </row>
    <row r="163" spans="1:17" s="688" customFormat="1" ht="15" customHeight="1">
      <c r="A163" s="687" t="s">
        <v>246</v>
      </c>
      <c r="B163" s="687">
        <v>2010</v>
      </c>
      <c r="C163" s="687" t="s">
        <v>243</v>
      </c>
      <c r="D163" s="117" t="s">
        <v>244</v>
      </c>
      <c r="E163" s="687" t="s">
        <v>2597</v>
      </c>
      <c r="F163" s="683" t="s">
        <v>55</v>
      </c>
      <c r="G163" s="687" t="s">
        <v>561</v>
      </c>
      <c r="H163" s="89">
        <v>44523280</v>
      </c>
      <c r="I163" s="117" t="s">
        <v>2656</v>
      </c>
      <c r="J163" s="89" t="s">
        <v>943</v>
      </c>
      <c r="K163" s="687"/>
      <c r="L163" s="687"/>
      <c r="M163" s="89"/>
      <c r="N163" s="89"/>
      <c r="O163" s="687" t="s">
        <v>2670</v>
      </c>
      <c r="P163" s="687"/>
      <c r="Q163" s="687"/>
    </row>
    <row r="164" spans="1:17" s="688" customFormat="1" ht="15" customHeight="1">
      <c r="A164" s="687" t="s">
        <v>246</v>
      </c>
      <c r="B164" s="687">
        <v>2010</v>
      </c>
      <c r="C164" s="687" t="s">
        <v>243</v>
      </c>
      <c r="D164" s="117" t="s">
        <v>244</v>
      </c>
      <c r="E164" s="687" t="s">
        <v>2600</v>
      </c>
      <c r="F164" s="683" t="s">
        <v>55</v>
      </c>
      <c r="G164" s="687" t="s">
        <v>103</v>
      </c>
      <c r="H164" s="89">
        <v>691859</v>
      </c>
      <c r="I164" s="117" t="s">
        <v>2654</v>
      </c>
      <c r="J164" s="89" t="s">
        <v>943</v>
      </c>
      <c r="K164" s="687"/>
      <c r="L164" s="687" t="s">
        <v>2601</v>
      </c>
      <c r="M164" s="89">
        <v>33749000</v>
      </c>
      <c r="N164" s="89">
        <v>33749000</v>
      </c>
      <c r="O164" s="687" t="s">
        <v>2655</v>
      </c>
      <c r="P164" s="687"/>
      <c r="Q164" s="687"/>
    </row>
    <row r="165" spans="1:17" s="688" customFormat="1" ht="15" customHeight="1">
      <c r="A165" s="687" t="s">
        <v>246</v>
      </c>
      <c r="B165" s="687">
        <v>2010</v>
      </c>
      <c r="C165" s="687" t="s">
        <v>243</v>
      </c>
      <c r="D165" s="117" t="s">
        <v>244</v>
      </c>
      <c r="E165" s="687" t="s">
        <v>2600</v>
      </c>
      <c r="F165" s="683" t="s">
        <v>55</v>
      </c>
      <c r="G165" s="687" t="s">
        <v>561</v>
      </c>
      <c r="H165" s="89">
        <v>1864501</v>
      </c>
      <c r="I165" s="117" t="s">
        <v>2656</v>
      </c>
      <c r="J165" s="89" t="s">
        <v>943</v>
      </c>
      <c r="K165" s="687"/>
      <c r="L165" s="687"/>
      <c r="M165" s="89"/>
      <c r="N165" s="89"/>
      <c r="O165" s="687" t="s">
        <v>2670</v>
      </c>
      <c r="P165" s="687"/>
      <c r="Q165" s="687"/>
    </row>
    <row r="166" spans="1:17" s="688" customFormat="1" ht="15" customHeight="1">
      <c r="A166" s="687" t="s">
        <v>246</v>
      </c>
      <c r="B166" s="687">
        <v>2010</v>
      </c>
      <c r="C166" s="687" t="s">
        <v>243</v>
      </c>
      <c r="D166" s="117" t="s">
        <v>244</v>
      </c>
      <c r="E166" s="687" t="s">
        <v>2603</v>
      </c>
      <c r="F166" s="683" t="s">
        <v>55</v>
      </c>
      <c r="G166" s="687" t="s">
        <v>103</v>
      </c>
      <c r="H166" s="89">
        <v>1781</v>
      </c>
      <c r="I166" s="117" t="s">
        <v>2654</v>
      </c>
      <c r="J166" s="89" t="s">
        <v>943</v>
      </c>
      <c r="K166" s="687"/>
      <c r="L166" s="687" t="s">
        <v>2604</v>
      </c>
      <c r="M166" s="89">
        <v>1552000</v>
      </c>
      <c r="N166" s="89">
        <v>1552000</v>
      </c>
      <c r="O166" s="687" t="s">
        <v>2655</v>
      </c>
      <c r="P166" s="687"/>
      <c r="Q166" s="687"/>
    </row>
    <row r="167" spans="1:17" s="688" customFormat="1" ht="15" customHeight="1">
      <c r="A167" s="687" t="s">
        <v>246</v>
      </c>
      <c r="B167" s="687">
        <v>2010</v>
      </c>
      <c r="C167" s="687" t="s">
        <v>243</v>
      </c>
      <c r="D167" s="117" t="s">
        <v>244</v>
      </c>
      <c r="E167" s="687" t="s">
        <v>2603</v>
      </c>
      <c r="F167" s="683" t="s">
        <v>55</v>
      </c>
      <c r="G167" s="687" t="s">
        <v>561</v>
      </c>
      <c r="H167" s="89">
        <v>3227984</v>
      </c>
      <c r="I167" s="117" t="s">
        <v>2656</v>
      </c>
      <c r="J167" s="89" t="s">
        <v>943</v>
      </c>
      <c r="K167" s="687"/>
      <c r="L167" s="687" t="s">
        <v>2729</v>
      </c>
      <c r="M167" s="89"/>
      <c r="N167" s="89"/>
      <c r="O167" s="687" t="s">
        <v>2670</v>
      </c>
      <c r="P167" s="687"/>
      <c r="Q167" s="687"/>
    </row>
    <row r="168" spans="1:17" s="688" customFormat="1" ht="15" customHeight="1">
      <c r="A168" s="687" t="s">
        <v>246</v>
      </c>
      <c r="B168" s="687">
        <v>2010</v>
      </c>
      <c r="C168" s="687" t="s">
        <v>243</v>
      </c>
      <c r="D168" s="117" t="s">
        <v>244</v>
      </c>
      <c r="E168" s="687" t="s">
        <v>2603</v>
      </c>
      <c r="F168" s="683" t="s">
        <v>55</v>
      </c>
      <c r="G168" s="687"/>
      <c r="H168" s="89"/>
      <c r="I168" s="117"/>
      <c r="J168" s="89"/>
      <c r="K168" s="687"/>
      <c r="L168" s="687" t="s">
        <v>2730</v>
      </c>
      <c r="M168" s="89"/>
      <c r="N168" s="89"/>
      <c r="O168" s="687"/>
      <c r="P168" s="687"/>
      <c r="Q168" s="687"/>
    </row>
    <row r="169" spans="1:17" s="688" customFormat="1" ht="15" customHeight="1">
      <c r="A169" s="687" t="s">
        <v>246</v>
      </c>
      <c r="B169" s="687">
        <v>2010</v>
      </c>
      <c r="C169" s="687" t="s">
        <v>243</v>
      </c>
      <c r="D169" s="117" t="s">
        <v>244</v>
      </c>
      <c r="E169" s="687" t="s">
        <v>2731</v>
      </c>
      <c r="F169" s="683" t="s">
        <v>55</v>
      </c>
      <c r="G169" s="687"/>
      <c r="H169" s="89"/>
      <c r="I169" s="117"/>
      <c r="J169" s="89"/>
      <c r="K169" s="687"/>
      <c r="L169" s="687" t="s">
        <v>2732</v>
      </c>
      <c r="M169" s="89">
        <v>2500000</v>
      </c>
      <c r="N169" s="89">
        <v>2500000</v>
      </c>
      <c r="O169" s="687" t="s">
        <v>2660</v>
      </c>
      <c r="P169" s="687"/>
      <c r="Q169" s="687"/>
    </row>
    <row r="170" spans="1:17" s="688" customFormat="1" ht="15" customHeight="1">
      <c r="A170" s="687" t="s">
        <v>246</v>
      </c>
      <c r="B170" s="687">
        <v>2010</v>
      </c>
      <c r="C170" s="687" t="s">
        <v>243</v>
      </c>
      <c r="D170" s="117" t="s">
        <v>244</v>
      </c>
      <c r="E170" s="687" t="s">
        <v>2731</v>
      </c>
      <c r="F170" s="683" t="s">
        <v>55</v>
      </c>
      <c r="G170" s="687"/>
      <c r="H170" s="89"/>
      <c r="I170" s="117"/>
      <c r="J170" s="89"/>
      <c r="K170" s="687"/>
      <c r="L170" s="687" t="s">
        <v>2733</v>
      </c>
      <c r="M170" s="89"/>
      <c r="N170" s="89"/>
      <c r="O170" s="687"/>
      <c r="P170" s="687"/>
      <c r="Q170" s="687"/>
    </row>
    <row r="171" spans="1:17" s="688" customFormat="1" ht="15" customHeight="1">
      <c r="A171" s="687" t="s">
        <v>246</v>
      </c>
      <c r="B171" s="687">
        <v>2010</v>
      </c>
      <c r="C171" s="687" t="s">
        <v>243</v>
      </c>
      <c r="D171" s="117" t="s">
        <v>244</v>
      </c>
      <c r="E171" s="687" t="s">
        <v>2731</v>
      </c>
      <c r="F171" s="683" t="s">
        <v>55</v>
      </c>
      <c r="G171" s="687"/>
      <c r="H171" s="89"/>
      <c r="I171" s="117"/>
      <c r="J171" s="89"/>
      <c r="K171" s="687"/>
      <c r="L171" s="687" t="s">
        <v>2734</v>
      </c>
      <c r="M171" s="89"/>
      <c r="N171" s="89"/>
      <c r="O171" s="687"/>
      <c r="P171" s="687"/>
      <c r="Q171" s="687"/>
    </row>
    <row r="172" spans="1:17" s="688" customFormat="1" ht="15" customHeight="1">
      <c r="A172" s="687" t="s">
        <v>246</v>
      </c>
      <c r="B172" s="687">
        <v>2010</v>
      </c>
      <c r="C172" s="687" t="s">
        <v>243</v>
      </c>
      <c r="D172" s="117" t="s">
        <v>244</v>
      </c>
      <c r="E172" s="687" t="s">
        <v>2735</v>
      </c>
      <c r="F172" s="683" t="s">
        <v>55</v>
      </c>
      <c r="G172" s="687" t="s">
        <v>103</v>
      </c>
      <c r="H172" s="89">
        <v>676929</v>
      </c>
      <c r="I172" s="117" t="s">
        <v>2654</v>
      </c>
      <c r="J172" s="89" t="s">
        <v>943</v>
      </c>
      <c r="K172" s="687"/>
      <c r="L172" s="687" t="s">
        <v>2607</v>
      </c>
      <c r="M172" s="89">
        <v>310532000</v>
      </c>
      <c r="N172" s="89">
        <v>310532000</v>
      </c>
      <c r="O172" s="687" t="s">
        <v>2655</v>
      </c>
      <c r="P172" s="687"/>
      <c r="Q172" s="687"/>
    </row>
    <row r="173" spans="1:17" s="688" customFormat="1" ht="15" customHeight="1">
      <c r="A173" s="687" t="s">
        <v>246</v>
      </c>
      <c r="B173" s="687">
        <v>2010</v>
      </c>
      <c r="C173" s="687" t="s">
        <v>243</v>
      </c>
      <c r="D173" s="117" t="s">
        <v>244</v>
      </c>
      <c r="E173" s="687" t="s">
        <v>2735</v>
      </c>
      <c r="F173" s="683" t="s">
        <v>55</v>
      </c>
      <c r="G173" s="687" t="s">
        <v>561</v>
      </c>
      <c r="H173" s="89">
        <v>53411</v>
      </c>
      <c r="I173" s="117" t="s">
        <v>2656</v>
      </c>
      <c r="J173" s="89" t="s">
        <v>943</v>
      </c>
      <c r="K173" s="687"/>
      <c r="L173" s="687" t="s">
        <v>2736</v>
      </c>
      <c r="M173" s="89">
        <v>48662000</v>
      </c>
      <c r="N173" s="89">
        <v>48662000</v>
      </c>
      <c r="O173" s="687" t="s">
        <v>2655</v>
      </c>
      <c r="P173" s="687"/>
      <c r="Q173" s="687"/>
    </row>
    <row r="174" spans="1:17" s="688" customFormat="1" ht="15" customHeight="1">
      <c r="A174" s="687" t="s">
        <v>246</v>
      </c>
      <c r="B174" s="687">
        <v>2010</v>
      </c>
      <c r="C174" s="687" t="s">
        <v>243</v>
      </c>
      <c r="D174" s="117" t="s">
        <v>244</v>
      </c>
      <c r="E174" s="687" t="s">
        <v>2735</v>
      </c>
      <c r="F174" s="683" t="s">
        <v>55</v>
      </c>
      <c r="G174" s="687"/>
      <c r="H174" s="89"/>
      <c r="I174" s="117"/>
      <c r="J174" s="89"/>
      <c r="K174" s="687"/>
      <c r="L174" s="687" t="s">
        <v>2737</v>
      </c>
      <c r="M174" s="89">
        <v>33577000</v>
      </c>
      <c r="N174" s="89">
        <v>33577000</v>
      </c>
      <c r="O174" s="687" t="s">
        <v>2660</v>
      </c>
      <c r="P174" s="687"/>
      <c r="Q174" s="687"/>
    </row>
    <row r="175" spans="1:17" s="688" customFormat="1" ht="15" customHeight="1">
      <c r="A175" s="687" t="s">
        <v>246</v>
      </c>
      <c r="B175" s="687">
        <v>2010</v>
      </c>
      <c r="C175" s="687" t="s">
        <v>243</v>
      </c>
      <c r="D175" s="117" t="s">
        <v>244</v>
      </c>
      <c r="E175" s="687" t="s">
        <v>2735</v>
      </c>
      <c r="F175" s="683" t="s">
        <v>55</v>
      </c>
      <c r="G175" s="687"/>
      <c r="H175" s="89"/>
      <c r="I175" s="117"/>
      <c r="J175" s="89"/>
      <c r="K175" s="687"/>
      <c r="L175" s="687" t="s">
        <v>2738</v>
      </c>
      <c r="M175" s="89">
        <v>21898000</v>
      </c>
      <c r="N175" s="89">
        <v>21898000</v>
      </c>
      <c r="O175" s="687" t="s">
        <v>2660</v>
      </c>
      <c r="P175" s="687"/>
      <c r="Q175" s="687"/>
    </row>
    <row r="176" spans="1:17" s="688" customFormat="1" ht="15" customHeight="1">
      <c r="A176" s="687" t="s">
        <v>246</v>
      </c>
      <c r="B176" s="687">
        <v>2010</v>
      </c>
      <c r="C176" s="687" t="s">
        <v>243</v>
      </c>
      <c r="D176" s="117" t="s">
        <v>244</v>
      </c>
      <c r="E176" s="687" t="s">
        <v>2609</v>
      </c>
      <c r="F176" s="683" t="s">
        <v>55</v>
      </c>
      <c r="G176" s="687" t="s">
        <v>103</v>
      </c>
      <c r="H176" s="89">
        <v>2712959</v>
      </c>
      <c r="I176" s="117" t="s">
        <v>2654</v>
      </c>
      <c r="J176" s="89" t="s">
        <v>943</v>
      </c>
      <c r="K176" s="687"/>
      <c r="L176" s="687" t="s">
        <v>2739</v>
      </c>
      <c r="M176" s="89">
        <v>108295000</v>
      </c>
      <c r="N176" s="89">
        <v>108295000</v>
      </c>
      <c r="O176" s="687" t="s">
        <v>2655</v>
      </c>
      <c r="P176" s="687"/>
      <c r="Q176" s="687"/>
    </row>
    <row r="177" spans="1:17" s="688" customFormat="1" ht="15" customHeight="1">
      <c r="A177" s="687" t="s">
        <v>246</v>
      </c>
      <c r="B177" s="687">
        <v>2010</v>
      </c>
      <c r="C177" s="687" t="s">
        <v>243</v>
      </c>
      <c r="D177" s="117" t="s">
        <v>244</v>
      </c>
      <c r="E177" s="687" t="s">
        <v>2609</v>
      </c>
      <c r="F177" s="683" t="s">
        <v>55</v>
      </c>
      <c r="G177" s="687"/>
      <c r="H177" s="693"/>
      <c r="I177" s="117"/>
      <c r="J177" s="89"/>
      <c r="K177" s="687"/>
      <c r="L177" s="687" t="s">
        <v>2740</v>
      </c>
      <c r="M177" s="89">
        <v>3038000</v>
      </c>
      <c r="N177" s="89">
        <v>3038000</v>
      </c>
      <c r="O177" s="687" t="s">
        <v>2660</v>
      </c>
      <c r="P177" s="687"/>
      <c r="Q177" s="687"/>
    </row>
    <row r="178" spans="1:17" s="688" customFormat="1" ht="15" customHeight="1">
      <c r="A178" s="687" t="s">
        <v>246</v>
      </c>
      <c r="B178" s="687">
        <v>2010</v>
      </c>
      <c r="C178" s="687" t="s">
        <v>243</v>
      </c>
      <c r="D178" s="117" t="s">
        <v>244</v>
      </c>
      <c r="E178" s="687" t="s">
        <v>2609</v>
      </c>
      <c r="F178" s="683" t="s">
        <v>55</v>
      </c>
      <c r="G178" s="687"/>
      <c r="H178" s="89"/>
      <c r="I178" s="117"/>
      <c r="J178" s="89"/>
      <c r="K178" s="687"/>
      <c r="L178" s="687" t="s">
        <v>2741</v>
      </c>
      <c r="M178" s="89"/>
      <c r="N178" s="89"/>
      <c r="O178" s="687"/>
      <c r="P178" s="687"/>
      <c r="Q178" s="687"/>
    </row>
    <row r="179" spans="1:17" s="688" customFormat="1" ht="15" customHeight="1">
      <c r="A179" s="687" t="s">
        <v>246</v>
      </c>
      <c r="B179" s="687">
        <v>2010</v>
      </c>
      <c r="C179" s="687" t="s">
        <v>243</v>
      </c>
      <c r="D179" s="117" t="s">
        <v>244</v>
      </c>
      <c r="E179" s="687" t="s">
        <v>2609</v>
      </c>
      <c r="F179" s="683" t="s">
        <v>55</v>
      </c>
      <c r="G179" s="687"/>
      <c r="H179" s="89"/>
      <c r="I179" s="117"/>
      <c r="J179" s="89"/>
      <c r="K179" s="687"/>
      <c r="L179" s="687" t="s">
        <v>2742</v>
      </c>
      <c r="M179" s="89"/>
      <c r="N179" s="89"/>
      <c r="O179" s="687"/>
      <c r="P179" s="687"/>
      <c r="Q179" s="687"/>
    </row>
    <row r="180" spans="1:17" s="688" customFormat="1" ht="15" customHeight="1">
      <c r="A180" s="687" t="s">
        <v>246</v>
      </c>
      <c r="B180" s="687">
        <v>2010</v>
      </c>
      <c r="C180" s="687" t="s">
        <v>243</v>
      </c>
      <c r="D180" s="117" t="s">
        <v>244</v>
      </c>
      <c r="E180" s="687" t="s">
        <v>2612</v>
      </c>
      <c r="F180" s="683" t="s">
        <v>55</v>
      </c>
      <c r="G180" s="687" t="s">
        <v>103</v>
      </c>
      <c r="H180" s="89">
        <v>385580</v>
      </c>
      <c r="I180" s="117" t="s">
        <v>2654</v>
      </c>
      <c r="J180" s="89" t="s">
        <v>943</v>
      </c>
      <c r="K180" s="687"/>
      <c r="L180" s="687" t="s">
        <v>2613</v>
      </c>
      <c r="M180" s="89">
        <v>5496000</v>
      </c>
      <c r="N180" s="89">
        <v>5496000</v>
      </c>
      <c r="O180" s="687" t="s">
        <v>2655</v>
      </c>
      <c r="P180" s="687"/>
      <c r="Q180" s="687"/>
    </row>
    <row r="181" spans="1:17" s="688" customFormat="1" ht="15" customHeight="1">
      <c r="A181" s="687" t="s">
        <v>246</v>
      </c>
      <c r="B181" s="687">
        <v>2010</v>
      </c>
      <c r="C181" s="687" t="s">
        <v>243</v>
      </c>
      <c r="D181" s="117" t="s">
        <v>244</v>
      </c>
      <c r="E181" s="687" t="s">
        <v>2612</v>
      </c>
      <c r="F181" s="683" t="s">
        <v>55</v>
      </c>
      <c r="G181" s="687" t="s">
        <v>561</v>
      </c>
      <c r="H181" s="89">
        <v>8361777</v>
      </c>
      <c r="I181" s="117" t="s">
        <v>2656</v>
      </c>
      <c r="J181" s="89" t="s">
        <v>943</v>
      </c>
      <c r="K181" s="687"/>
      <c r="L181" s="687" t="s">
        <v>2743</v>
      </c>
      <c r="M181" s="89"/>
      <c r="N181" s="89"/>
      <c r="O181" s="687" t="s">
        <v>2670</v>
      </c>
      <c r="P181" s="687"/>
      <c r="Q181" s="687"/>
    </row>
    <row r="182" spans="1:17" s="688" customFormat="1" ht="15" customHeight="1">
      <c r="A182" s="687" t="s">
        <v>246</v>
      </c>
      <c r="B182" s="687">
        <v>2010</v>
      </c>
      <c r="C182" s="687" t="s">
        <v>243</v>
      </c>
      <c r="D182" s="117" t="s">
        <v>244</v>
      </c>
      <c r="E182" s="687" t="s">
        <v>2615</v>
      </c>
      <c r="F182" s="683" t="s">
        <v>55</v>
      </c>
      <c r="G182" s="687" t="s">
        <v>561</v>
      </c>
      <c r="H182" s="89">
        <v>3231216</v>
      </c>
      <c r="I182" s="117" t="s">
        <v>2656</v>
      </c>
      <c r="J182" s="89" t="s">
        <v>943</v>
      </c>
      <c r="K182" s="687"/>
      <c r="L182" s="687" t="s">
        <v>2616</v>
      </c>
      <c r="M182" s="89">
        <v>686000</v>
      </c>
      <c r="N182" s="89">
        <v>686000</v>
      </c>
      <c r="O182" s="687" t="s">
        <v>2655</v>
      </c>
      <c r="P182" s="687"/>
      <c r="Q182" s="687"/>
    </row>
    <row r="183" spans="1:17" s="688" customFormat="1" ht="15" customHeight="1">
      <c r="A183" s="687" t="s">
        <v>246</v>
      </c>
      <c r="B183" s="687">
        <v>2010</v>
      </c>
      <c r="C183" s="687" t="s">
        <v>243</v>
      </c>
      <c r="D183" s="117" t="s">
        <v>244</v>
      </c>
      <c r="E183" s="687" t="s">
        <v>2618</v>
      </c>
      <c r="F183" s="683" t="s">
        <v>55</v>
      </c>
      <c r="G183" s="687" t="s">
        <v>103</v>
      </c>
      <c r="H183" s="89">
        <v>3548</v>
      </c>
      <c r="I183" s="117" t="s">
        <v>2654</v>
      </c>
      <c r="J183" s="89" t="s">
        <v>943</v>
      </c>
      <c r="K183" s="687"/>
      <c r="L183" s="687" t="s">
        <v>2619</v>
      </c>
      <c r="M183" s="89">
        <v>1282000</v>
      </c>
      <c r="N183" s="89">
        <v>1282000</v>
      </c>
      <c r="O183" s="687" t="s">
        <v>2655</v>
      </c>
      <c r="P183" s="687"/>
      <c r="Q183" s="687"/>
    </row>
    <row r="184" spans="1:17" s="688" customFormat="1" ht="15" customHeight="1">
      <c r="A184" s="687" t="s">
        <v>246</v>
      </c>
      <c r="B184" s="687">
        <v>2010</v>
      </c>
      <c r="C184" s="687" t="s">
        <v>243</v>
      </c>
      <c r="D184" s="117" t="s">
        <v>244</v>
      </c>
      <c r="E184" s="687" t="s">
        <v>2618</v>
      </c>
      <c r="F184" s="683" t="s">
        <v>55</v>
      </c>
      <c r="G184" s="687" t="s">
        <v>561</v>
      </c>
      <c r="H184" s="89">
        <v>2542268</v>
      </c>
      <c r="I184" s="117" t="s">
        <v>2656</v>
      </c>
      <c r="J184" s="89" t="s">
        <v>943</v>
      </c>
      <c r="K184" s="687"/>
      <c r="L184" s="687" t="s">
        <v>2744</v>
      </c>
      <c r="M184" s="89"/>
      <c r="N184" s="89"/>
      <c r="O184" s="687" t="s">
        <v>2670</v>
      </c>
      <c r="P184" s="687"/>
      <c r="Q184" s="687"/>
    </row>
    <row r="185" spans="1:17" s="688" customFormat="1" ht="15" customHeight="1">
      <c r="A185" s="687" t="s">
        <v>246</v>
      </c>
      <c r="B185" s="687">
        <v>2010</v>
      </c>
      <c r="C185" s="687" t="s">
        <v>243</v>
      </c>
      <c r="D185" s="117" t="s">
        <v>244</v>
      </c>
      <c r="E185" s="687" t="s">
        <v>2618</v>
      </c>
      <c r="F185" s="683" t="s">
        <v>55</v>
      </c>
      <c r="G185" s="687"/>
      <c r="H185" s="89"/>
      <c r="I185" s="117"/>
      <c r="J185" s="89"/>
      <c r="K185" s="687"/>
      <c r="L185" s="687" t="s">
        <v>2745</v>
      </c>
      <c r="M185" s="89"/>
      <c r="N185" s="89"/>
      <c r="O185" s="687"/>
      <c r="P185" s="687"/>
      <c r="Q185" s="687"/>
    </row>
    <row r="186" spans="1:17" s="688" customFormat="1" ht="15" customHeight="1">
      <c r="A186" s="687" t="s">
        <v>246</v>
      </c>
      <c r="B186" s="687">
        <v>2010</v>
      </c>
      <c r="C186" s="687" t="s">
        <v>243</v>
      </c>
      <c r="D186" s="117" t="s">
        <v>244</v>
      </c>
      <c r="E186" s="687" t="s">
        <v>2746</v>
      </c>
      <c r="F186" s="683" t="s">
        <v>55</v>
      </c>
      <c r="G186" s="687"/>
      <c r="H186" s="89"/>
      <c r="I186" s="117"/>
      <c r="J186" s="89"/>
      <c r="K186" s="687"/>
      <c r="L186" s="687" t="s">
        <v>2747</v>
      </c>
      <c r="M186" s="89"/>
      <c r="N186" s="89"/>
      <c r="O186" s="687"/>
      <c r="P186" s="687"/>
      <c r="Q186" s="687"/>
    </row>
    <row r="187" spans="1:17" s="688" customFormat="1" ht="15" customHeight="1">
      <c r="A187" s="687" t="s">
        <v>246</v>
      </c>
      <c r="B187" s="687">
        <v>2010</v>
      </c>
      <c r="C187" s="687" t="s">
        <v>243</v>
      </c>
      <c r="D187" s="117" t="s">
        <v>244</v>
      </c>
      <c r="E187" s="687" t="s">
        <v>2748</v>
      </c>
      <c r="F187" s="683" t="s">
        <v>55</v>
      </c>
      <c r="G187" s="687"/>
      <c r="H187" s="89"/>
      <c r="I187" s="117"/>
      <c r="J187" s="89"/>
      <c r="K187" s="687"/>
      <c r="L187" s="687" t="s">
        <v>2749</v>
      </c>
      <c r="M187" s="89"/>
      <c r="N187" s="89"/>
      <c r="O187" s="687"/>
      <c r="P187" s="687"/>
      <c r="Q187" s="687"/>
    </row>
    <row r="188" spans="1:17" s="688" customFormat="1" ht="15" customHeight="1">
      <c r="A188" s="687" t="s">
        <v>246</v>
      </c>
      <c r="B188" s="687">
        <v>2010</v>
      </c>
      <c r="C188" s="687" t="s">
        <v>243</v>
      </c>
      <c r="D188" s="117" t="s">
        <v>244</v>
      </c>
      <c r="E188" s="687" t="s">
        <v>2748</v>
      </c>
      <c r="F188" s="683" t="s">
        <v>55</v>
      </c>
      <c r="G188" s="687"/>
      <c r="H188" s="89"/>
      <c r="I188" s="117"/>
      <c r="J188" s="89"/>
      <c r="K188" s="687"/>
      <c r="L188" s="687" t="s">
        <v>2750</v>
      </c>
      <c r="M188" s="89"/>
      <c r="N188" s="89"/>
      <c r="O188" s="687"/>
      <c r="P188" s="687"/>
      <c r="Q188" s="687"/>
    </row>
    <row r="189" spans="1:17" s="688" customFormat="1" ht="15" customHeight="1">
      <c r="A189" s="687" t="s">
        <v>246</v>
      </c>
      <c r="B189" s="687">
        <v>2010</v>
      </c>
      <c r="C189" s="687" t="s">
        <v>243</v>
      </c>
      <c r="D189" s="117" t="s">
        <v>244</v>
      </c>
      <c r="E189" s="687" t="s">
        <v>2748</v>
      </c>
      <c r="F189" s="683" t="s">
        <v>55</v>
      </c>
      <c r="G189" s="687"/>
      <c r="H189" s="89"/>
      <c r="I189" s="117"/>
      <c r="J189" s="89"/>
      <c r="K189" s="687"/>
      <c r="L189" s="687" t="s">
        <v>2751</v>
      </c>
      <c r="M189" s="89"/>
      <c r="N189" s="89"/>
      <c r="O189" s="687"/>
      <c r="P189" s="687"/>
      <c r="Q189" s="687"/>
    </row>
    <row r="190" spans="1:17" s="688" customFormat="1" ht="15" customHeight="1">
      <c r="A190" s="687" t="s">
        <v>246</v>
      </c>
      <c r="B190" s="687">
        <v>2010</v>
      </c>
      <c r="C190" s="687" t="s">
        <v>243</v>
      </c>
      <c r="D190" s="117" t="s">
        <v>244</v>
      </c>
      <c r="E190" s="687" t="s">
        <v>2621</v>
      </c>
      <c r="F190" s="683" t="s">
        <v>55</v>
      </c>
      <c r="G190" s="687" t="s">
        <v>103</v>
      </c>
      <c r="H190" s="89">
        <v>1142229</v>
      </c>
      <c r="I190" s="117" t="s">
        <v>2654</v>
      </c>
      <c r="J190" s="89" t="s">
        <v>943</v>
      </c>
      <c r="K190" s="687"/>
      <c r="L190" s="687" t="s">
        <v>2752</v>
      </c>
      <c r="M190" s="89">
        <v>136894000</v>
      </c>
      <c r="N190" s="89">
        <v>136894000</v>
      </c>
      <c r="O190" s="687" t="s">
        <v>2655</v>
      </c>
      <c r="P190" s="687"/>
      <c r="Q190" s="687"/>
    </row>
    <row r="191" spans="1:17" s="688" customFormat="1" ht="15" customHeight="1">
      <c r="A191" s="687" t="s">
        <v>246</v>
      </c>
      <c r="B191" s="687">
        <v>2010</v>
      </c>
      <c r="C191" s="687" t="s">
        <v>243</v>
      </c>
      <c r="D191" s="117" t="s">
        <v>244</v>
      </c>
      <c r="E191" s="687" t="s">
        <v>2621</v>
      </c>
      <c r="F191" s="683" t="s">
        <v>55</v>
      </c>
      <c r="G191" s="687" t="s">
        <v>561</v>
      </c>
      <c r="H191" s="89">
        <v>16703795</v>
      </c>
      <c r="I191" s="117" t="s">
        <v>2656</v>
      </c>
      <c r="J191" s="89" t="s">
        <v>943</v>
      </c>
      <c r="K191" s="687"/>
      <c r="L191" s="687" t="s">
        <v>2753</v>
      </c>
      <c r="M191" s="89">
        <v>9190000</v>
      </c>
      <c r="N191" s="89">
        <v>9190000</v>
      </c>
      <c r="O191" s="687" t="s">
        <v>2655</v>
      </c>
      <c r="P191" s="687"/>
      <c r="Q191" s="687"/>
    </row>
    <row r="192" spans="1:17" s="688" customFormat="1" ht="15" customHeight="1">
      <c r="A192" s="687" t="s">
        <v>246</v>
      </c>
      <c r="B192" s="687">
        <v>2010</v>
      </c>
      <c r="C192" s="687" t="s">
        <v>243</v>
      </c>
      <c r="D192" s="117" t="s">
        <v>244</v>
      </c>
      <c r="E192" s="687" t="s">
        <v>2621</v>
      </c>
      <c r="F192" s="683" t="s">
        <v>55</v>
      </c>
      <c r="G192" s="687"/>
      <c r="H192" s="89"/>
      <c r="I192" s="117"/>
      <c r="J192" s="89"/>
      <c r="K192" s="687"/>
      <c r="L192" s="687" t="s">
        <v>2754</v>
      </c>
      <c r="M192" s="89">
        <v>8371000</v>
      </c>
      <c r="N192" s="89">
        <v>8371000</v>
      </c>
      <c r="O192" s="687" t="s">
        <v>2660</v>
      </c>
      <c r="P192" s="687"/>
      <c r="Q192" s="687"/>
    </row>
    <row r="193" spans="1:17" s="688" customFormat="1" ht="15" customHeight="1">
      <c r="A193" s="687" t="s">
        <v>246</v>
      </c>
      <c r="B193" s="687">
        <v>2010</v>
      </c>
      <c r="C193" s="687" t="s">
        <v>243</v>
      </c>
      <c r="D193" s="117" t="s">
        <v>244</v>
      </c>
      <c r="E193" s="687" t="s">
        <v>2621</v>
      </c>
      <c r="F193" s="683" t="s">
        <v>55</v>
      </c>
      <c r="G193" s="687"/>
      <c r="H193" s="89"/>
      <c r="I193" s="117"/>
      <c r="J193" s="89"/>
      <c r="K193" s="687"/>
      <c r="L193" s="687" t="s">
        <v>2755</v>
      </c>
      <c r="M193" s="89">
        <v>6411000</v>
      </c>
      <c r="N193" s="89">
        <v>6411000</v>
      </c>
      <c r="O193" s="687" t="s">
        <v>2660</v>
      </c>
      <c r="P193" s="687"/>
      <c r="Q193" s="687"/>
    </row>
    <row r="194" spans="1:17" s="688" customFormat="1" ht="15" customHeight="1">
      <c r="A194" s="687" t="s">
        <v>246</v>
      </c>
      <c r="B194" s="687">
        <v>2010</v>
      </c>
      <c r="C194" s="687" t="s">
        <v>243</v>
      </c>
      <c r="D194" s="117" t="s">
        <v>244</v>
      </c>
      <c r="E194" s="687" t="s">
        <v>2621</v>
      </c>
      <c r="F194" s="683" t="s">
        <v>55</v>
      </c>
      <c r="G194" s="687"/>
      <c r="H194" s="89"/>
      <c r="I194" s="117"/>
      <c r="J194" s="89"/>
      <c r="K194" s="687"/>
      <c r="L194" s="687" t="s">
        <v>2756</v>
      </c>
      <c r="M194" s="89">
        <v>4828000</v>
      </c>
      <c r="N194" s="89">
        <v>4828000</v>
      </c>
      <c r="O194" s="687" t="s">
        <v>2660</v>
      </c>
      <c r="P194" s="687"/>
      <c r="Q194" s="687"/>
    </row>
    <row r="195" spans="1:17" s="688" customFormat="1" ht="15" customHeight="1">
      <c r="A195" s="687" t="s">
        <v>246</v>
      </c>
      <c r="B195" s="687">
        <v>2010</v>
      </c>
      <c r="C195" s="687" t="s">
        <v>243</v>
      </c>
      <c r="D195" s="117" t="s">
        <v>244</v>
      </c>
      <c r="E195" s="687" t="s">
        <v>2621</v>
      </c>
      <c r="F195" s="683" t="s">
        <v>55</v>
      </c>
      <c r="G195" s="687"/>
      <c r="H195" s="89"/>
      <c r="I195" s="117"/>
      <c r="J195" s="89"/>
      <c r="K195" s="687"/>
      <c r="L195" s="687" t="s">
        <v>2757</v>
      </c>
      <c r="M195" s="89">
        <v>1393000</v>
      </c>
      <c r="N195" s="89">
        <v>1392000</v>
      </c>
      <c r="O195" s="687" t="s">
        <v>2660</v>
      </c>
      <c r="P195" s="687"/>
      <c r="Q195" s="687"/>
    </row>
    <row r="196" spans="1:17" s="688" customFormat="1" ht="15" customHeight="1">
      <c r="A196" s="687" t="s">
        <v>246</v>
      </c>
      <c r="B196" s="687">
        <v>2010</v>
      </c>
      <c r="C196" s="687" t="s">
        <v>243</v>
      </c>
      <c r="D196" s="117" t="s">
        <v>244</v>
      </c>
      <c r="E196" s="687" t="s">
        <v>2621</v>
      </c>
      <c r="F196" s="683" t="s">
        <v>55</v>
      </c>
      <c r="G196" s="687"/>
      <c r="H196" s="89"/>
      <c r="I196" s="117"/>
      <c r="J196" s="89"/>
      <c r="K196" s="687"/>
      <c r="L196" s="687" t="s">
        <v>2758</v>
      </c>
      <c r="M196" s="89">
        <v>3009000</v>
      </c>
      <c r="N196" s="89">
        <v>3009000</v>
      </c>
      <c r="O196" s="687" t="s">
        <v>2660</v>
      </c>
      <c r="P196" s="687"/>
      <c r="Q196" s="687"/>
    </row>
    <row r="197" spans="1:17" s="688" customFormat="1" ht="15" customHeight="1">
      <c r="A197" s="687" t="s">
        <v>246</v>
      </c>
      <c r="B197" s="687">
        <v>2010</v>
      </c>
      <c r="C197" s="687" t="s">
        <v>243</v>
      </c>
      <c r="D197" s="117" t="s">
        <v>244</v>
      </c>
      <c r="E197" s="687" t="s">
        <v>2621</v>
      </c>
      <c r="F197" s="683" t="s">
        <v>55</v>
      </c>
      <c r="G197" s="687"/>
      <c r="H197" s="89"/>
      <c r="I197" s="117"/>
      <c r="J197" s="89"/>
      <c r="K197" s="687"/>
      <c r="L197" s="694" t="s">
        <v>2759</v>
      </c>
      <c r="M197" s="89">
        <v>1574000</v>
      </c>
      <c r="N197" s="89">
        <v>1575000</v>
      </c>
      <c r="O197" s="687" t="s">
        <v>2660</v>
      </c>
      <c r="P197" s="687"/>
      <c r="Q197" s="687"/>
    </row>
    <row r="198" spans="1:17" s="688" customFormat="1" ht="15" customHeight="1">
      <c r="A198" s="687" t="s">
        <v>246</v>
      </c>
      <c r="B198" s="687">
        <v>2010</v>
      </c>
      <c r="C198" s="687" t="s">
        <v>243</v>
      </c>
      <c r="D198" s="117" t="s">
        <v>244</v>
      </c>
      <c r="E198" s="687" t="s">
        <v>2553</v>
      </c>
      <c r="F198" s="683" t="s">
        <v>55</v>
      </c>
      <c r="G198" s="687" t="s">
        <v>103</v>
      </c>
      <c r="H198" s="89">
        <v>1657100</v>
      </c>
      <c r="I198" s="117" t="s">
        <v>2654</v>
      </c>
      <c r="J198" s="89" t="s">
        <v>943</v>
      </c>
      <c r="K198" s="687"/>
      <c r="L198" s="687" t="s">
        <v>2760</v>
      </c>
      <c r="M198" s="89">
        <v>45842000</v>
      </c>
      <c r="N198" s="89">
        <v>45842000</v>
      </c>
      <c r="O198" s="687" t="s">
        <v>2655</v>
      </c>
      <c r="P198" s="687"/>
      <c r="Q198" s="687"/>
    </row>
    <row r="199" spans="1:17" s="688" customFormat="1" ht="15" customHeight="1">
      <c r="A199" s="687" t="s">
        <v>246</v>
      </c>
      <c r="B199" s="687">
        <v>2010</v>
      </c>
      <c r="C199" s="687" t="s">
        <v>243</v>
      </c>
      <c r="D199" s="117" t="s">
        <v>244</v>
      </c>
      <c r="E199" s="687" t="s">
        <v>2553</v>
      </c>
      <c r="F199" s="683" t="s">
        <v>55</v>
      </c>
      <c r="G199" s="687" t="s">
        <v>561</v>
      </c>
      <c r="H199" s="89">
        <v>2789674</v>
      </c>
      <c r="I199" s="117" t="s">
        <v>2656</v>
      </c>
      <c r="J199" s="89" t="s">
        <v>943</v>
      </c>
      <c r="K199" s="687"/>
      <c r="L199" s="687" t="s">
        <v>2761</v>
      </c>
      <c r="M199" s="89">
        <v>33173000</v>
      </c>
      <c r="N199" s="89">
        <v>33173000</v>
      </c>
      <c r="O199" s="687" t="s">
        <v>2655</v>
      </c>
      <c r="P199" s="687"/>
      <c r="Q199" s="687"/>
    </row>
    <row r="200" spans="1:17" s="688" customFormat="1" ht="15" customHeight="1">
      <c r="A200" s="687" t="s">
        <v>246</v>
      </c>
      <c r="B200" s="687">
        <v>2010</v>
      </c>
      <c r="C200" s="687" t="s">
        <v>243</v>
      </c>
      <c r="D200" s="117" t="s">
        <v>244</v>
      </c>
      <c r="E200" s="687" t="s">
        <v>2553</v>
      </c>
      <c r="F200" s="683" t="s">
        <v>55</v>
      </c>
      <c r="G200" s="687"/>
      <c r="H200" s="89"/>
      <c r="I200" s="117"/>
      <c r="J200" s="89"/>
      <c r="K200" s="687"/>
      <c r="L200" s="687" t="s">
        <v>2762</v>
      </c>
      <c r="M200" s="89"/>
      <c r="N200" s="89"/>
      <c r="O200" s="687"/>
      <c r="P200" s="687"/>
      <c r="Q200" s="687"/>
    </row>
    <row r="201" spans="1:17" s="688" customFormat="1" ht="15" customHeight="1">
      <c r="A201" s="687" t="s">
        <v>246</v>
      </c>
      <c r="B201" s="687">
        <v>2010</v>
      </c>
      <c r="C201" s="687" t="s">
        <v>243</v>
      </c>
      <c r="D201" s="117" t="s">
        <v>244</v>
      </c>
      <c r="E201" s="687" t="s">
        <v>2763</v>
      </c>
      <c r="F201" s="683" t="s">
        <v>55</v>
      </c>
      <c r="G201" s="687" t="s">
        <v>103</v>
      </c>
      <c r="H201" s="89">
        <v>1214456</v>
      </c>
      <c r="I201" s="117" t="s">
        <v>2654</v>
      </c>
      <c r="J201" s="89" t="s">
        <v>943</v>
      </c>
      <c r="K201" s="687"/>
      <c r="L201" s="687" t="s">
        <v>2625</v>
      </c>
      <c r="M201" s="89">
        <v>20251000</v>
      </c>
      <c r="N201" s="89">
        <v>20251000</v>
      </c>
      <c r="O201" s="687" t="s">
        <v>2655</v>
      </c>
      <c r="P201" s="687"/>
      <c r="Q201" s="687"/>
    </row>
    <row r="202" spans="1:17" s="688" customFormat="1" ht="15" customHeight="1">
      <c r="A202" s="687" t="s">
        <v>246</v>
      </c>
      <c r="B202" s="687">
        <v>2010</v>
      </c>
      <c r="C202" s="687" t="s">
        <v>243</v>
      </c>
      <c r="D202" s="117" t="s">
        <v>244</v>
      </c>
      <c r="E202" s="687" t="s">
        <v>2763</v>
      </c>
      <c r="F202" s="683" t="s">
        <v>55</v>
      </c>
      <c r="G202" s="687" t="s">
        <v>561</v>
      </c>
      <c r="H202" s="89">
        <v>14263465</v>
      </c>
      <c r="I202" s="117" t="s">
        <v>2656</v>
      </c>
      <c r="J202" s="89" t="s">
        <v>943</v>
      </c>
      <c r="K202" s="687"/>
      <c r="L202" s="694" t="s">
        <v>2764</v>
      </c>
      <c r="M202" s="89"/>
      <c r="N202" s="89"/>
      <c r="O202" s="687" t="s">
        <v>2655</v>
      </c>
      <c r="P202" s="687"/>
      <c r="Q202" s="687"/>
    </row>
    <row r="203" spans="1:17" s="688" customFormat="1" ht="15" customHeight="1">
      <c r="A203" s="687" t="s">
        <v>246</v>
      </c>
      <c r="B203" s="687">
        <v>2010</v>
      </c>
      <c r="C203" s="687" t="s">
        <v>243</v>
      </c>
      <c r="D203" s="117" t="s">
        <v>244</v>
      </c>
      <c r="E203" s="687" t="s">
        <v>2763</v>
      </c>
      <c r="F203" s="683" t="s">
        <v>55</v>
      </c>
      <c r="G203" s="687"/>
      <c r="H203" s="89"/>
      <c r="I203" s="117"/>
      <c r="J203" s="89"/>
      <c r="K203" s="687"/>
      <c r="L203" s="694" t="s">
        <v>2765</v>
      </c>
      <c r="M203" s="89"/>
      <c r="N203" s="89"/>
      <c r="O203" s="687"/>
      <c r="P203" s="687"/>
      <c r="Q203" s="687"/>
    </row>
    <row r="204" spans="1:17" s="688" customFormat="1" ht="15" customHeight="1">
      <c r="A204" s="687" t="s">
        <v>246</v>
      </c>
      <c r="B204" s="687">
        <v>2010</v>
      </c>
      <c r="C204" s="687" t="s">
        <v>243</v>
      </c>
      <c r="D204" s="117" t="s">
        <v>244</v>
      </c>
      <c r="E204" s="687" t="s">
        <v>2766</v>
      </c>
      <c r="F204" s="683" t="s">
        <v>55</v>
      </c>
      <c r="G204" s="687" t="s">
        <v>103</v>
      </c>
      <c r="H204" s="89">
        <v>1515766</v>
      </c>
      <c r="I204" s="117" t="s">
        <v>2654</v>
      </c>
      <c r="J204" s="89" t="s">
        <v>943</v>
      </c>
      <c r="K204" s="687"/>
      <c r="L204" s="687" t="s">
        <v>2628</v>
      </c>
      <c r="M204" s="89">
        <v>19590000</v>
      </c>
      <c r="N204" s="89">
        <v>19590000</v>
      </c>
      <c r="O204" s="687" t="s">
        <v>2655</v>
      </c>
      <c r="P204" s="687"/>
      <c r="Q204" s="687"/>
    </row>
    <row r="205" spans="1:17" s="688" customFormat="1" ht="15" customHeight="1">
      <c r="A205" s="687" t="s">
        <v>246</v>
      </c>
      <c r="B205" s="687">
        <v>2010</v>
      </c>
      <c r="C205" s="687" t="s">
        <v>243</v>
      </c>
      <c r="D205" s="117" t="s">
        <v>244</v>
      </c>
      <c r="E205" s="687" t="s">
        <v>2766</v>
      </c>
      <c r="F205" s="683" t="s">
        <v>55</v>
      </c>
      <c r="G205" s="687" t="s">
        <v>561</v>
      </c>
      <c r="H205" s="89">
        <v>21187676</v>
      </c>
      <c r="I205" s="117" t="s">
        <v>2656</v>
      </c>
      <c r="J205" s="89" t="s">
        <v>943</v>
      </c>
      <c r="K205" s="687"/>
      <c r="L205" s="687" t="s">
        <v>2767</v>
      </c>
      <c r="M205" s="89"/>
      <c r="N205" s="89"/>
      <c r="O205" s="687" t="s">
        <v>2670</v>
      </c>
      <c r="P205" s="687"/>
      <c r="Q205" s="687"/>
    </row>
    <row r="206" spans="1:17" s="688" customFormat="1" ht="15" customHeight="1">
      <c r="A206" s="687" t="s">
        <v>246</v>
      </c>
      <c r="B206" s="687">
        <v>2010</v>
      </c>
      <c r="C206" s="687" t="s">
        <v>243</v>
      </c>
      <c r="D206" s="117" t="s">
        <v>244</v>
      </c>
      <c r="E206" s="687" t="s">
        <v>2766</v>
      </c>
      <c r="F206" s="683" t="s">
        <v>55</v>
      </c>
      <c r="G206" s="687"/>
      <c r="H206" s="89"/>
      <c r="I206" s="117"/>
      <c r="J206" s="89"/>
      <c r="K206" s="687"/>
      <c r="L206" s="687" t="s">
        <v>2768</v>
      </c>
      <c r="M206" s="89"/>
      <c r="N206" s="89"/>
      <c r="O206" s="687"/>
      <c r="P206" s="687"/>
      <c r="Q206" s="687"/>
    </row>
    <row r="207" spans="1:17" s="688" customFormat="1" ht="15" customHeight="1">
      <c r="A207" s="687" t="s">
        <v>246</v>
      </c>
      <c r="B207" s="687">
        <v>2010</v>
      </c>
      <c r="C207" s="687" t="s">
        <v>243</v>
      </c>
      <c r="D207" s="117" t="s">
        <v>244</v>
      </c>
      <c r="E207" s="687" t="s">
        <v>2769</v>
      </c>
      <c r="F207" s="683" t="s">
        <v>55</v>
      </c>
      <c r="G207" s="687" t="s">
        <v>561</v>
      </c>
      <c r="H207" s="89">
        <v>42160427</v>
      </c>
      <c r="I207" s="117" t="s">
        <v>2656</v>
      </c>
      <c r="J207" s="89" t="s">
        <v>943</v>
      </c>
      <c r="K207" s="687"/>
      <c r="L207" s="687" t="s">
        <v>2631</v>
      </c>
      <c r="M207" s="89">
        <v>7775000</v>
      </c>
      <c r="N207" s="89">
        <v>7775000</v>
      </c>
      <c r="O207" s="687" t="s">
        <v>2655</v>
      </c>
      <c r="P207" s="687"/>
      <c r="Q207" s="687"/>
    </row>
    <row r="208" spans="1:17" s="688" customFormat="1" ht="15" customHeight="1">
      <c r="A208" s="687" t="s">
        <v>246</v>
      </c>
      <c r="B208" s="687">
        <v>2010</v>
      </c>
      <c r="C208" s="687" t="s">
        <v>243</v>
      </c>
      <c r="D208" s="117" t="s">
        <v>244</v>
      </c>
      <c r="E208" s="687" t="s">
        <v>2769</v>
      </c>
      <c r="F208" s="683" t="s">
        <v>55</v>
      </c>
      <c r="G208" s="687"/>
      <c r="H208" s="89"/>
      <c r="I208" s="117"/>
      <c r="J208" s="89"/>
      <c r="K208" s="687"/>
      <c r="L208" s="687" t="s">
        <v>2770</v>
      </c>
      <c r="M208" s="89"/>
      <c r="N208" s="89"/>
      <c r="O208" s="687"/>
      <c r="P208" s="687"/>
      <c r="Q208" s="687"/>
    </row>
    <row r="209" spans="1:17" s="688" customFormat="1" ht="15" customHeight="1">
      <c r="A209" s="687" t="s">
        <v>246</v>
      </c>
      <c r="B209" s="687">
        <v>2010</v>
      </c>
      <c r="C209" s="687" t="s">
        <v>243</v>
      </c>
      <c r="D209" s="117" t="s">
        <v>244</v>
      </c>
      <c r="E209" s="687" t="s">
        <v>2769</v>
      </c>
      <c r="F209" s="683" t="s">
        <v>55</v>
      </c>
      <c r="G209" s="687"/>
      <c r="H209" s="89"/>
      <c r="I209" s="117"/>
      <c r="J209" s="89"/>
      <c r="K209" s="687"/>
      <c r="L209" s="687" t="s">
        <v>2771</v>
      </c>
      <c r="M209" s="89"/>
      <c r="N209" s="89"/>
      <c r="O209" s="687"/>
      <c r="P209" s="687"/>
      <c r="Q209" s="687"/>
    </row>
    <row r="210" spans="1:17" s="688" customFormat="1" ht="15" customHeight="1">
      <c r="A210" s="687" t="s">
        <v>246</v>
      </c>
      <c r="B210" s="687">
        <v>2010</v>
      </c>
      <c r="C210" s="687" t="s">
        <v>243</v>
      </c>
      <c r="D210" s="117" t="s">
        <v>244</v>
      </c>
      <c r="E210" s="687" t="s">
        <v>2772</v>
      </c>
      <c r="F210" s="683" t="s">
        <v>55</v>
      </c>
      <c r="G210" s="687" t="s">
        <v>561</v>
      </c>
      <c r="H210" s="89">
        <v>12859584</v>
      </c>
      <c r="I210" s="117" t="s">
        <v>2656</v>
      </c>
      <c r="J210" s="89" t="s">
        <v>943</v>
      </c>
      <c r="K210" s="687"/>
      <c r="L210" s="687" t="s">
        <v>2634</v>
      </c>
      <c r="M210" s="89">
        <v>13560000</v>
      </c>
      <c r="N210" s="89">
        <v>13142000</v>
      </c>
      <c r="O210" s="687" t="s">
        <v>2655</v>
      </c>
      <c r="P210" s="687"/>
      <c r="Q210" s="687"/>
    </row>
    <row r="211" spans="1:17" s="688" customFormat="1" ht="15" customHeight="1">
      <c r="A211" s="687" t="s">
        <v>246</v>
      </c>
      <c r="B211" s="687">
        <v>2010</v>
      </c>
      <c r="C211" s="687" t="s">
        <v>243</v>
      </c>
      <c r="D211" s="117" t="s">
        <v>244</v>
      </c>
      <c r="E211" s="687" t="s">
        <v>2636</v>
      </c>
      <c r="F211" s="683" t="s">
        <v>55</v>
      </c>
      <c r="G211" s="687" t="s">
        <v>103</v>
      </c>
      <c r="H211" s="89">
        <v>774866</v>
      </c>
      <c r="I211" s="117" t="s">
        <v>2654</v>
      </c>
      <c r="J211" s="89" t="s">
        <v>943</v>
      </c>
      <c r="K211" s="687"/>
      <c r="L211" s="687" t="s">
        <v>2637</v>
      </c>
      <c r="M211" s="89">
        <v>1341000</v>
      </c>
      <c r="N211" s="89">
        <v>1341000</v>
      </c>
      <c r="O211" s="687" t="s">
        <v>2655</v>
      </c>
      <c r="P211" s="687"/>
      <c r="Q211" s="687"/>
    </row>
    <row r="212" spans="1:17" s="688" customFormat="1" ht="15" customHeight="1">
      <c r="A212" s="687" t="s">
        <v>246</v>
      </c>
      <c r="B212" s="687">
        <v>2010</v>
      </c>
      <c r="C212" s="687" t="s">
        <v>243</v>
      </c>
      <c r="D212" s="117" t="s">
        <v>244</v>
      </c>
      <c r="E212" s="687" t="s">
        <v>2636</v>
      </c>
      <c r="F212" s="683" t="s">
        <v>55</v>
      </c>
      <c r="G212" s="687"/>
      <c r="H212" s="693"/>
      <c r="I212" s="693"/>
      <c r="J212" s="693"/>
      <c r="K212" s="687"/>
      <c r="L212" s="694" t="s">
        <v>2773</v>
      </c>
      <c r="M212" s="89"/>
      <c r="N212" s="89"/>
      <c r="O212" s="687"/>
      <c r="P212" s="687"/>
      <c r="Q212" s="687"/>
    </row>
    <row r="213" spans="1:17" s="688" customFormat="1" ht="15" customHeight="1">
      <c r="A213" s="687" t="s">
        <v>246</v>
      </c>
      <c r="B213" s="687">
        <v>2010</v>
      </c>
      <c r="C213" s="687" t="s">
        <v>243</v>
      </c>
      <c r="D213" s="117" t="s">
        <v>244</v>
      </c>
      <c r="E213" s="687" t="s">
        <v>2636</v>
      </c>
      <c r="F213" s="683" t="s">
        <v>55</v>
      </c>
      <c r="G213" s="687"/>
      <c r="H213" s="89"/>
      <c r="I213" s="117"/>
      <c r="J213" s="89"/>
      <c r="K213" s="687"/>
      <c r="L213" s="694" t="s">
        <v>2774</v>
      </c>
      <c r="M213" s="89"/>
      <c r="N213" s="89"/>
      <c r="O213" s="687"/>
      <c r="P213" s="687"/>
      <c r="Q213" s="687"/>
    </row>
    <row r="214" spans="1:17" s="688" customFormat="1" ht="15" customHeight="1">
      <c r="A214" s="687" t="s">
        <v>246</v>
      </c>
      <c r="B214" s="687">
        <v>2010</v>
      </c>
      <c r="C214" s="687" t="s">
        <v>243</v>
      </c>
      <c r="D214" s="117" t="s">
        <v>244</v>
      </c>
      <c r="E214" s="687" t="s">
        <v>2636</v>
      </c>
      <c r="F214" s="683" t="s">
        <v>55</v>
      </c>
      <c r="G214" s="687"/>
      <c r="H214" s="89"/>
      <c r="I214" s="117"/>
      <c r="J214" s="89"/>
      <c r="K214" s="687"/>
      <c r="L214" s="694" t="s">
        <v>2775</v>
      </c>
      <c r="M214" s="89"/>
      <c r="N214" s="89"/>
      <c r="O214" s="687"/>
      <c r="P214" s="687"/>
      <c r="Q214" s="687"/>
    </row>
    <row r="215" spans="1:17" s="688" customFormat="1" ht="15" customHeight="1">
      <c r="A215" s="687" t="s">
        <v>246</v>
      </c>
      <c r="B215" s="687">
        <v>2010</v>
      </c>
      <c r="C215" s="687" t="s">
        <v>243</v>
      </c>
      <c r="D215" s="117" t="s">
        <v>244</v>
      </c>
      <c r="E215" s="687" t="s">
        <v>2776</v>
      </c>
      <c r="F215" s="683" t="s">
        <v>55</v>
      </c>
      <c r="G215" s="687" t="s">
        <v>103</v>
      </c>
      <c r="H215" s="89">
        <v>146425</v>
      </c>
      <c r="I215" s="117" t="s">
        <v>2654</v>
      </c>
      <c r="J215" s="89" t="s">
        <v>943</v>
      </c>
      <c r="K215" s="687"/>
      <c r="L215" s="687" t="s">
        <v>2640</v>
      </c>
      <c r="M215" s="89">
        <v>1415000</v>
      </c>
      <c r="N215" s="89">
        <v>1415000</v>
      </c>
      <c r="O215" s="687" t="s">
        <v>2655</v>
      </c>
      <c r="P215" s="687"/>
      <c r="Q215" s="687"/>
    </row>
    <row r="216" spans="1:17" s="688" customFormat="1" ht="15" customHeight="1">
      <c r="A216" s="687" t="s">
        <v>246</v>
      </c>
      <c r="B216" s="687">
        <v>2010</v>
      </c>
      <c r="C216" s="687" t="s">
        <v>243</v>
      </c>
      <c r="D216" s="117" t="s">
        <v>244</v>
      </c>
      <c r="E216" s="687" t="s">
        <v>2642</v>
      </c>
      <c r="F216" s="683" t="s">
        <v>55</v>
      </c>
      <c r="G216" s="687" t="s">
        <v>103</v>
      </c>
      <c r="H216" s="89">
        <v>328874</v>
      </c>
      <c r="I216" s="117" t="s">
        <v>2654</v>
      </c>
      <c r="J216" s="89" t="s">
        <v>943</v>
      </c>
      <c r="K216" s="687"/>
      <c r="L216" s="687" t="s">
        <v>2777</v>
      </c>
      <c r="M216" s="89">
        <v>3301000</v>
      </c>
      <c r="N216" s="89">
        <v>3301000</v>
      </c>
      <c r="O216" s="687" t="s">
        <v>2655</v>
      </c>
      <c r="P216" s="687"/>
      <c r="Q216" s="687"/>
    </row>
    <row r="217" spans="1:17" s="688" customFormat="1" ht="15" customHeight="1">
      <c r="A217" s="687" t="s">
        <v>246</v>
      </c>
      <c r="B217" s="687">
        <v>2010</v>
      </c>
      <c r="C217" s="687" t="s">
        <v>243</v>
      </c>
      <c r="D217" s="117" t="s">
        <v>244</v>
      </c>
      <c r="E217" s="687" t="s">
        <v>2642</v>
      </c>
      <c r="F217" s="683" t="s">
        <v>55</v>
      </c>
      <c r="G217" s="687"/>
      <c r="H217" s="89"/>
      <c r="I217" s="117"/>
      <c r="J217" s="89"/>
      <c r="K217" s="687"/>
      <c r="L217" s="694" t="s">
        <v>2778</v>
      </c>
      <c r="M217" s="89"/>
      <c r="N217" s="89"/>
      <c r="O217" s="687"/>
      <c r="P217" s="687"/>
      <c r="Q217" s="687"/>
    </row>
    <row r="218" spans="1:17" s="688" customFormat="1" ht="15" customHeight="1">
      <c r="A218" s="687" t="s">
        <v>246</v>
      </c>
      <c r="B218" s="687">
        <v>2010</v>
      </c>
      <c r="C218" s="687" t="s">
        <v>243</v>
      </c>
      <c r="D218" s="117" t="s">
        <v>244</v>
      </c>
      <c r="E218" s="687" t="s">
        <v>2645</v>
      </c>
      <c r="F218" s="683" t="s">
        <v>55</v>
      </c>
      <c r="G218" s="687" t="s">
        <v>103</v>
      </c>
      <c r="H218" s="89">
        <v>105122</v>
      </c>
      <c r="I218" s="117" t="s">
        <v>2654</v>
      </c>
      <c r="J218" s="89" t="s">
        <v>943</v>
      </c>
      <c r="K218" s="687"/>
      <c r="L218" s="687" t="s">
        <v>2646</v>
      </c>
      <c r="M218" s="89">
        <v>1212000</v>
      </c>
      <c r="N218" s="89">
        <v>1212000</v>
      </c>
      <c r="O218" s="687" t="s">
        <v>2655</v>
      </c>
      <c r="P218" s="687"/>
      <c r="Q218" s="687"/>
    </row>
    <row r="219" spans="1:17" s="688" customFormat="1" ht="15" customHeight="1">
      <c r="A219" s="687" t="s">
        <v>246</v>
      </c>
      <c r="B219" s="687">
        <v>2010</v>
      </c>
      <c r="C219" s="687" t="s">
        <v>243</v>
      </c>
      <c r="D219" s="117" t="s">
        <v>244</v>
      </c>
      <c r="E219" s="687" t="s">
        <v>2645</v>
      </c>
      <c r="F219" s="683" t="s">
        <v>55</v>
      </c>
      <c r="G219" s="687"/>
      <c r="H219" s="89"/>
      <c r="I219" s="117"/>
      <c r="J219" s="89"/>
      <c r="K219" s="687"/>
      <c r="L219" s="694" t="s">
        <v>2779</v>
      </c>
      <c r="M219" s="89"/>
      <c r="N219" s="89"/>
      <c r="O219" s="687"/>
      <c r="P219" s="687"/>
      <c r="Q219" s="687"/>
    </row>
    <row r="220" spans="1:17" s="688" customFormat="1" ht="15" customHeight="1">
      <c r="A220" s="687" t="s">
        <v>246</v>
      </c>
      <c r="B220" s="687">
        <v>2010</v>
      </c>
      <c r="C220" s="687" t="s">
        <v>243</v>
      </c>
      <c r="D220" s="117" t="s">
        <v>244</v>
      </c>
      <c r="E220" s="687" t="s">
        <v>2645</v>
      </c>
      <c r="F220" s="683" t="s">
        <v>55</v>
      </c>
      <c r="G220" s="687"/>
      <c r="H220" s="89"/>
      <c r="I220" s="117"/>
      <c r="J220" s="89"/>
      <c r="K220" s="687"/>
      <c r="L220" s="694" t="s">
        <v>2780</v>
      </c>
      <c r="M220" s="89"/>
      <c r="N220" s="89"/>
      <c r="O220" s="687"/>
      <c r="P220" s="687"/>
      <c r="Q220" s="687"/>
    </row>
    <row r="221" spans="1:17" s="688" customFormat="1" ht="15" customHeight="1">
      <c r="A221" s="687" t="s">
        <v>246</v>
      </c>
      <c r="B221" s="687">
        <v>2010</v>
      </c>
      <c r="C221" s="687" t="s">
        <v>243</v>
      </c>
      <c r="D221" s="117" t="s">
        <v>244</v>
      </c>
      <c r="E221" s="687" t="s">
        <v>2648</v>
      </c>
      <c r="F221" s="683" t="s">
        <v>55</v>
      </c>
      <c r="G221" s="687" t="s">
        <v>561</v>
      </c>
      <c r="H221" s="89">
        <v>420268</v>
      </c>
      <c r="I221" s="117" t="s">
        <v>2656</v>
      </c>
      <c r="J221" s="89" t="s">
        <v>943</v>
      </c>
      <c r="K221" s="687"/>
      <c r="L221" s="687" t="s">
        <v>2781</v>
      </c>
      <c r="M221" s="89">
        <v>644000</v>
      </c>
      <c r="N221" s="89">
        <v>644000</v>
      </c>
      <c r="O221" s="687" t="s">
        <v>2655</v>
      </c>
      <c r="P221" s="687"/>
      <c r="Q221" s="687"/>
    </row>
    <row r="222" spans="1:17" s="688" customFormat="1" ht="15" customHeight="1">
      <c r="A222" s="687" t="s">
        <v>246</v>
      </c>
      <c r="B222" s="687">
        <v>2010</v>
      </c>
      <c r="C222" s="687" t="s">
        <v>243</v>
      </c>
      <c r="D222" s="117" t="s">
        <v>244</v>
      </c>
      <c r="E222" s="687" t="s">
        <v>2651</v>
      </c>
      <c r="F222" s="683" t="s">
        <v>55</v>
      </c>
      <c r="G222" s="687" t="s">
        <v>103</v>
      </c>
      <c r="H222" s="89">
        <v>7896</v>
      </c>
      <c r="I222" s="117" t="s">
        <v>2654</v>
      </c>
      <c r="J222" s="89" t="s">
        <v>943</v>
      </c>
      <c r="K222" s="687"/>
      <c r="L222" s="687" t="s">
        <v>2782</v>
      </c>
      <c r="M222" s="89">
        <v>60000</v>
      </c>
      <c r="N222" s="89">
        <v>60000</v>
      </c>
      <c r="O222" s="687" t="s">
        <v>2655</v>
      </c>
      <c r="P222" s="687"/>
      <c r="Q222" s="687"/>
    </row>
    <row r="223" spans="1:17" s="688" customFormat="1" ht="15" customHeight="1">
      <c r="A223" s="687" t="s">
        <v>246</v>
      </c>
      <c r="B223" s="687">
        <v>2010</v>
      </c>
      <c r="C223" s="687" t="s">
        <v>243</v>
      </c>
      <c r="D223" s="117" t="s">
        <v>244</v>
      </c>
      <c r="E223" s="687" t="s">
        <v>2651</v>
      </c>
      <c r="F223" s="683" t="s">
        <v>55</v>
      </c>
      <c r="G223" s="687" t="s">
        <v>561</v>
      </c>
      <c r="H223" s="89">
        <v>174760</v>
      </c>
      <c r="I223" s="117" t="s">
        <v>2656</v>
      </c>
      <c r="J223" s="89" t="s">
        <v>943</v>
      </c>
      <c r="K223" s="687"/>
      <c r="L223" s="687" t="s">
        <v>2783</v>
      </c>
      <c r="M223" s="89"/>
      <c r="N223" s="89"/>
      <c r="O223" s="687" t="s">
        <v>2670</v>
      </c>
      <c r="P223" s="687"/>
      <c r="Q223" s="687"/>
    </row>
    <row r="224" spans="1:17" s="688" customFormat="1" ht="15" customHeight="1">
      <c r="A224" s="687" t="s">
        <v>246</v>
      </c>
      <c r="B224" s="687">
        <v>2010</v>
      </c>
      <c r="C224" s="687" t="s">
        <v>243</v>
      </c>
      <c r="D224" s="117" t="s">
        <v>244</v>
      </c>
      <c r="E224" s="687" t="s">
        <v>2651</v>
      </c>
      <c r="F224" s="683" t="s">
        <v>55</v>
      </c>
      <c r="G224" s="687"/>
      <c r="H224" s="89"/>
      <c r="I224" s="117"/>
      <c r="J224" s="89"/>
      <c r="K224" s="687"/>
      <c r="L224" s="687" t="s">
        <v>2784</v>
      </c>
      <c r="M224" s="89"/>
      <c r="N224" s="89"/>
      <c r="O224" s="687"/>
      <c r="P224" s="687"/>
      <c r="Q224" s="687"/>
    </row>
    <row r="225" spans="1:17" s="688" customFormat="1" ht="15" customHeight="1">
      <c r="A225" s="687" t="s">
        <v>246</v>
      </c>
      <c r="B225" s="687">
        <v>2010</v>
      </c>
      <c r="C225" s="687" t="s">
        <v>243</v>
      </c>
      <c r="D225" s="117" t="s">
        <v>244</v>
      </c>
      <c r="E225" s="687" t="s">
        <v>2785</v>
      </c>
      <c r="F225" s="683" t="s">
        <v>55</v>
      </c>
      <c r="G225" s="687" t="s">
        <v>103</v>
      </c>
      <c r="H225" s="89">
        <v>122775</v>
      </c>
      <c r="I225" s="117" t="s">
        <v>2654</v>
      </c>
      <c r="J225" s="89" t="s">
        <v>943</v>
      </c>
      <c r="K225" s="687"/>
      <c r="L225" s="687" t="s">
        <v>2786</v>
      </c>
      <c r="M225" s="89">
        <v>3320000</v>
      </c>
      <c r="N225" s="89">
        <v>3816000</v>
      </c>
      <c r="O225" s="687" t="s">
        <v>2655</v>
      </c>
      <c r="P225" s="687"/>
      <c r="Q225" s="687"/>
    </row>
    <row r="226" spans="1:17" s="688" customFormat="1" ht="15" customHeight="1">
      <c r="A226" s="687" t="s">
        <v>246</v>
      </c>
      <c r="B226" s="687">
        <v>2010</v>
      </c>
      <c r="C226" s="687" t="s">
        <v>243</v>
      </c>
      <c r="D226" s="117" t="s">
        <v>244</v>
      </c>
      <c r="E226" s="687" t="s">
        <v>2785</v>
      </c>
      <c r="F226" s="683" t="s">
        <v>55</v>
      </c>
      <c r="G226" s="687"/>
      <c r="H226" s="89"/>
      <c r="I226" s="117"/>
      <c r="J226" s="89"/>
      <c r="K226" s="687"/>
      <c r="L226" s="687" t="s">
        <v>2787</v>
      </c>
      <c r="M226" s="89">
        <v>39000</v>
      </c>
      <c r="N226" s="89">
        <v>39000</v>
      </c>
      <c r="O226" s="687" t="s">
        <v>2660</v>
      </c>
      <c r="P226" s="687"/>
      <c r="Q226" s="687"/>
    </row>
    <row r="227" spans="1:17" s="688" customFormat="1" ht="15" customHeight="1">
      <c r="A227" s="687" t="s">
        <v>246</v>
      </c>
      <c r="B227" s="687">
        <v>2010</v>
      </c>
      <c r="C227" s="687" t="s">
        <v>243</v>
      </c>
      <c r="D227" s="117" t="s">
        <v>244</v>
      </c>
      <c r="E227" s="687" t="s">
        <v>2788</v>
      </c>
      <c r="F227" s="683" t="s">
        <v>55</v>
      </c>
      <c r="G227" s="687" t="s">
        <v>103</v>
      </c>
      <c r="H227" s="89">
        <v>78623</v>
      </c>
      <c r="I227" s="117" t="s">
        <v>2654</v>
      </c>
      <c r="J227" s="89" t="s">
        <v>943</v>
      </c>
      <c r="K227" s="687"/>
      <c r="L227" s="687" t="s">
        <v>2789</v>
      </c>
      <c r="M227" s="89">
        <v>660000</v>
      </c>
      <c r="N227" s="89">
        <v>660000</v>
      </c>
      <c r="O227" s="687" t="s">
        <v>2655</v>
      </c>
      <c r="P227" s="687"/>
      <c r="Q227" s="687"/>
    </row>
    <row r="228" spans="1:17" s="688" customFormat="1" ht="15" customHeight="1">
      <c r="A228" s="687" t="s">
        <v>246</v>
      </c>
      <c r="B228" s="687">
        <v>2010</v>
      </c>
      <c r="C228" s="687" t="s">
        <v>243</v>
      </c>
      <c r="D228" s="117" t="s">
        <v>244</v>
      </c>
      <c r="E228" s="687" t="s">
        <v>2788</v>
      </c>
      <c r="F228" s="683" t="s">
        <v>55</v>
      </c>
      <c r="G228" s="687"/>
      <c r="H228" s="89"/>
      <c r="I228" s="117"/>
      <c r="J228" s="89"/>
      <c r="K228" s="687"/>
      <c r="L228" s="687" t="s">
        <v>2790</v>
      </c>
      <c r="M228" s="89"/>
      <c r="N228" s="89"/>
      <c r="O228" s="687"/>
      <c r="P228" s="687"/>
      <c r="Q228" s="687"/>
    </row>
    <row r="229" spans="1:17" s="688" customFormat="1" ht="15" customHeight="1">
      <c r="A229" s="687" t="s">
        <v>246</v>
      </c>
      <c r="B229" s="687">
        <v>2010</v>
      </c>
      <c r="C229" s="687" t="s">
        <v>243</v>
      </c>
      <c r="D229" s="117" t="s">
        <v>244</v>
      </c>
      <c r="E229" s="687" t="s">
        <v>2788</v>
      </c>
      <c r="F229" s="683" t="s">
        <v>55</v>
      </c>
      <c r="G229" s="687"/>
      <c r="H229" s="89"/>
      <c r="I229" s="117"/>
      <c r="J229" s="89"/>
      <c r="K229" s="687"/>
      <c r="L229" s="687" t="s">
        <v>2791</v>
      </c>
      <c r="M229" s="89"/>
      <c r="N229" s="89"/>
      <c r="O229" s="687"/>
      <c r="P229" s="687"/>
      <c r="Q229" s="687"/>
    </row>
    <row r="230" spans="1:17" s="688" customFormat="1" ht="15" customHeight="1">
      <c r="A230" s="687" t="s">
        <v>246</v>
      </c>
      <c r="B230" s="687">
        <v>2010</v>
      </c>
      <c r="C230" s="687" t="s">
        <v>243</v>
      </c>
      <c r="D230" s="117" t="s">
        <v>244</v>
      </c>
      <c r="E230" s="687" t="s">
        <v>2792</v>
      </c>
      <c r="F230" s="683" t="s">
        <v>55</v>
      </c>
      <c r="G230" s="687" t="s">
        <v>103</v>
      </c>
      <c r="H230" s="89">
        <v>358936</v>
      </c>
      <c r="I230" s="117" t="s">
        <v>2654</v>
      </c>
      <c r="J230" s="89" t="s">
        <v>943</v>
      </c>
      <c r="K230" s="687"/>
      <c r="L230" s="687" t="s">
        <v>2793</v>
      </c>
      <c r="M230" s="89">
        <v>4208000</v>
      </c>
      <c r="N230" s="89">
        <v>4208000</v>
      </c>
      <c r="O230" s="687" t="s">
        <v>2655</v>
      </c>
      <c r="P230" s="687"/>
      <c r="Q230" s="687"/>
    </row>
    <row r="231" spans="1:17" s="688" customFormat="1" ht="15" customHeight="1">
      <c r="A231" s="687" t="s">
        <v>246</v>
      </c>
      <c r="B231" s="687">
        <v>2010</v>
      </c>
      <c r="C231" s="687" t="s">
        <v>243</v>
      </c>
      <c r="D231" s="117" t="s">
        <v>244</v>
      </c>
      <c r="E231" s="687" t="s">
        <v>2792</v>
      </c>
      <c r="F231" s="683" t="s">
        <v>55</v>
      </c>
      <c r="G231" s="687"/>
      <c r="H231" s="89"/>
      <c r="I231" s="117"/>
      <c r="J231" s="89"/>
      <c r="K231" s="687"/>
      <c r="L231" s="687" t="s">
        <v>2794</v>
      </c>
      <c r="M231" s="89"/>
      <c r="N231" s="89"/>
      <c r="O231" s="687"/>
      <c r="P231" s="687"/>
      <c r="Q231" s="687"/>
    </row>
    <row r="232" spans="1:17" s="688" customFormat="1" ht="15" customHeight="1">
      <c r="A232" s="687" t="s">
        <v>246</v>
      </c>
      <c r="B232" s="687">
        <v>2010</v>
      </c>
      <c r="C232" s="687" t="s">
        <v>243</v>
      </c>
      <c r="D232" s="117" t="s">
        <v>244</v>
      </c>
      <c r="E232" s="687" t="s">
        <v>2534</v>
      </c>
      <c r="F232" s="683" t="s">
        <v>55</v>
      </c>
      <c r="G232" s="687" t="s">
        <v>561</v>
      </c>
      <c r="H232" s="89">
        <v>1679339</v>
      </c>
      <c r="I232" s="117" t="s">
        <v>2656</v>
      </c>
      <c r="J232" s="89" t="s">
        <v>943</v>
      </c>
      <c r="K232" s="687"/>
      <c r="L232" s="687" t="s">
        <v>2795</v>
      </c>
      <c r="M232" s="89">
        <v>6474000</v>
      </c>
      <c r="N232" s="89">
        <v>6474000</v>
      </c>
      <c r="O232" s="687" t="s">
        <v>2655</v>
      </c>
      <c r="P232" s="687"/>
      <c r="Q232" s="687"/>
    </row>
    <row r="233" spans="1:17" s="688" customFormat="1" ht="15" customHeight="1">
      <c r="A233" s="687" t="s">
        <v>246</v>
      </c>
      <c r="B233" s="687">
        <v>2010</v>
      </c>
      <c r="C233" s="687" t="s">
        <v>243</v>
      </c>
      <c r="D233" s="117" t="s">
        <v>244</v>
      </c>
      <c r="E233" s="694" t="s">
        <v>2796</v>
      </c>
      <c r="F233" s="683" t="s">
        <v>55</v>
      </c>
      <c r="G233" s="687" t="s">
        <v>103</v>
      </c>
      <c r="H233" s="89">
        <v>24418</v>
      </c>
      <c r="I233" s="117" t="s">
        <v>2654</v>
      </c>
      <c r="J233" s="89" t="s">
        <v>943</v>
      </c>
      <c r="K233" s="687"/>
      <c r="L233" s="687" t="s">
        <v>2797</v>
      </c>
      <c r="M233" s="89"/>
      <c r="N233" s="89"/>
      <c r="O233" s="687" t="s">
        <v>2670</v>
      </c>
      <c r="P233" s="687"/>
      <c r="Q233" s="687"/>
    </row>
    <row r="234" spans="1:17" s="688" customFormat="1" ht="15" customHeight="1">
      <c r="A234" s="687" t="s">
        <v>246</v>
      </c>
      <c r="B234" s="687">
        <v>2010</v>
      </c>
      <c r="C234" s="687" t="s">
        <v>243</v>
      </c>
      <c r="D234" s="117" t="s">
        <v>244</v>
      </c>
      <c r="E234" s="694" t="s">
        <v>2796</v>
      </c>
      <c r="F234" s="683" t="s">
        <v>55</v>
      </c>
      <c r="G234" s="687" t="s">
        <v>561</v>
      </c>
      <c r="H234" s="89">
        <v>1678044</v>
      </c>
      <c r="I234" s="117" t="s">
        <v>2656</v>
      </c>
      <c r="J234" s="89" t="s">
        <v>943</v>
      </c>
      <c r="K234" s="687"/>
      <c r="L234" s="687" t="s">
        <v>2798</v>
      </c>
      <c r="M234" s="89"/>
      <c r="N234" s="89"/>
      <c r="O234" s="687" t="s">
        <v>2670</v>
      </c>
      <c r="P234" s="687"/>
      <c r="Q234" s="687"/>
    </row>
    <row r="235" spans="1:17" s="688" customFormat="1" ht="15" customHeight="1">
      <c r="A235" s="687" t="s">
        <v>246</v>
      </c>
      <c r="B235" s="687">
        <v>2010</v>
      </c>
      <c r="C235" s="687" t="s">
        <v>243</v>
      </c>
      <c r="D235" s="117" t="s">
        <v>244</v>
      </c>
      <c r="E235" s="694" t="s">
        <v>2796</v>
      </c>
      <c r="F235" s="683" t="s">
        <v>55</v>
      </c>
      <c r="G235" s="687"/>
      <c r="H235" s="89"/>
      <c r="I235" s="117"/>
      <c r="J235" s="89"/>
      <c r="K235" s="687"/>
      <c r="L235" s="687" t="s">
        <v>2799</v>
      </c>
      <c r="M235" s="89"/>
      <c r="N235" s="89"/>
      <c r="O235" s="687"/>
      <c r="P235" s="687"/>
      <c r="Q235" s="687"/>
    </row>
    <row r="236" spans="1:17" s="688" customFormat="1" ht="15" customHeight="1">
      <c r="A236" s="687" t="s">
        <v>246</v>
      </c>
      <c r="B236" s="687">
        <v>2010</v>
      </c>
      <c r="C236" s="687" t="s">
        <v>243</v>
      </c>
      <c r="D236" s="117" t="s">
        <v>244</v>
      </c>
      <c r="E236" s="694" t="s">
        <v>2796</v>
      </c>
      <c r="F236" s="683" t="s">
        <v>55</v>
      </c>
      <c r="G236" s="687"/>
      <c r="H236" s="89"/>
      <c r="I236" s="117"/>
      <c r="J236" s="89"/>
      <c r="K236" s="687"/>
      <c r="L236" s="687" t="s">
        <v>2800</v>
      </c>
      <c r="M236" s="89"/>
      <c r="N236" s="89"/>
      <c r="O236" s="687"/>
      <c r="P236" s="687"/>
      <c r="Q236" s="687"/>
    </row>
    <row r="237" spans="1:17" s="688" customFormat="1" ht="15" customHeight="1">
      <c r="A237" s="687" t="s">
        <v>246</v>
      </c>
      <c r="B237" s="687">
        <v>2010</v>
      </c>
      <c r="C237" s="687" t="s">
        <v>243</v>
      </c>
      <c r="D237" s="117" t="s">
        <v>244</v>
      </c>
      <c r="E237" s="687" t="s">
        <v>2801</v>
      </c>
      <c r="F237" s="683" t="s">
        <v>55</v>
      </c>
      <c r="G237" s="687" t="s">
        <v>103</v>
      </c>
      <c r="H237" s="89">
        <v>3707980</v>
      </c>
      <c r="I237" s="117" t="s">
        <v>2654</v>
      </c>
      <c r="J237" s="89" t="s">
        <v>943</v>
      </c>
      <c r="K237" s="687"/>
      <c r="L237" s="687" t="s">
        <v>2802</v>
      </c>
      <c r="M237" s="89">
        <v>228964000</v>
      </c>
      <c r="N237" s="89">
        <v>228964000</v>
      </c>
      <c r="O237" s="687" t="s">
        <v>2655</v>
      </c>
      <c r="P237" s="687"/>
      <c r="Q237" s="687"/>
    </row>
    <row r="238" spans="1:17" s="688" customFormat="1" ht="15" customHeight="1">
      <c r="A238" s="687" t="s">
        <v>246</v>
      </c>
      <c r="B238" s="687">
        <v>2010</v>
      </c>
      <c r="C238" s="687" t="s">
        <v>243</v>
      </c>
      <c r="D238" s="117" t="s">
        <v>244</v>
      </c>
      <c r="E238" s="687" t="s">
        <v>2801</v>
      </c>
      <c r="F238" s="683" t="s">
        <v>55</v>
      </c>
      <c r="G238" s="687" t="s">
        <v>561</v>
      </c>
      <c r="H238" s="89">
        <v>30182148</v>
      </c>
      <c r="I238" s="117" t="s">
        <v>2656</v>
      </c>
      <c r="J238" s="89" t="s">
        <v>943</v>
      </c>
      <c r="K238" s="687"/>
      <c r="L238" s="687" t="s">
        <v>2803</v>
      </c>
      <c r="M238" s="89">
        <v>234191000</v>
      </c>
      <c r="N238" s="89">
        <v>234191000</v>
      </c>
      <c r="O238" s="687" t="s">
        <v>2655</v>
      </c>
      <c r="P238" s="687"/>
      <c r="Q238" s="687"/>
    </row>
    <row r="239" spans="1:17" s="688" customFormat="1" ht="15" customHeight="1">
      <c r="A239" s="687" t="s">
        <v>246</v>
      </c>
      <c r="B239" s="687">
        <v>2010</v>
      </c>
      <c r="C239" s="687" t="s">
        <v>243</v>
      </c>
      <c r="D239" s="117" t="s">
        <v>244</v>
      </c>
      <c r="E239" s="687" t="s">
        <v>2801</v>
      </c>
      <c r="F239" s="683" t="s">
        <v>55</v>
      </c>
      <c r="G239" s="687"/>
      <c r="H239" s="89"/>
      <c r="I239" s="117"/>
      <c r="J239" s="89"/>
      <c r="K239" s="687"/>
      <c r="L239" s="687" t="s">
        <v>2804</v>
      </c>
      <c r="M239" s="89">
        <v>28684000</v>
      </c>
      <c r="N239" s="89">
        <v>28684000</v>
      </c>
      <c r="O239" s="687" t="s">
        <v>2655</v>
      </c>
      <c r="P239" s="687"/>
      <c r="Q239" s="687"/>
    </row>
    <row r="240" spans="1:17" s="688" customFormat="1" ht="15" customHeight="1">
      <c r="A240" s="687" t="s">
        <v>246</v>
      </c>
      <c r="B240" s="687">
        <v>2010</v>
      </c>
      <c r="C240" s="687" t="s">
        <v>243</v>
      </c>
      <c r="D240" s="117" t="s">
        <v>244</v>
      </c>
      <c r="E240" s="694" t="s">
        <v>2805</v>
      </c>
      <c r="F240" s="683" t="s">
        <v>55</v>
      </c>
      <c r="G240" s="687" t="s">
        <v>103</v>
      </c>
      <c r="H240" s="89">
        <v>861849</v>
      </c>
      <c r="I240" s="117" t="s">
        <v>2654</v>
      </c>
      <c r="J240" s="89" t="s">
        <v>943</v>
      </c>
      <c r="K240" s="687"/>
      <c r="L240" s="687" t="s">
        <v>2806</v>
      </c>
      <c r="M240" s="89">
        <v>18835000</v>
      </c>
      <c r="N240" s="89">
        <v>18835000</v>
      </c>
      <c r="O240" s="687" t="s">
        <v>2655</v>
      </c>
      <c r="P240" s="687"/>
      <c r="Q240" s="687"/>
    </row>
    <row r="241" spans="1:17" s="688" customFormat="1" ht="15" customHeight="1">
      <c r="A241" s="687" t="s">
        <v>246</v>
      </c>
      <c r="B241" s="687">
        <v>2010</v>
      </c>
      <c r="C241" s="687" t="s">
        <v>243</v>
      </c>
      <c r="D241" s="117" t="s">
        <v>244</v>
      </c>
      <c r="E241" s="694" t="s">
        <v>2805</v>
      </c>
      <c r="F241" s="683" t="s">
        <v>55</v>
      </c>
      <c r="G241" s="687"/>
      <c r="H241" s="89"/>
      <c r="I241" s="117"/>
      <c r="J241" s="687"/>
      <c r="K241" s="687"/>
      <c r="L241" s="687" t="s">
        <v>2807</v>
      </c>
      <c r="M241" s="89">
        <v>9453000</v>
      </c>
      <c r="N241" s="89">
        <v>14874000</v>
      </c>
      <c r="O241" s="687" t="s">
        <v>2660</v>
      </c>
      <c r="P241" s="687"/>
      <c r="Q241" s="687"/>
    </row>
    <row r="242" spans="1:17" s="688" customFormat="1" ht="15" customHeight="1">
      <c r="A242" s="687" t="s">
        <v>246</v>
      </c>
      <c r="B242" s="687">
        <v>2010</v>
      </c>
      <c r="C242" s="687" t="s">
        <v>243</v>
      </c>
      <c r="D242" s="117" t="s">
        <v>244</v>
      </c>
      <c r="E242" s="694" t="s">
        <v>2805</v>
      </c>
      <c r="F242" s="683" t="s">
        <v>55</v>
      </c>
      <c r="G242" s="687"/>
      <c r="H242" s="89"/>
      <c r="I242" s="117"/>
      <c r="J242" s="687"/>
      <c r="K242" s="687"/>
      <c r="L242" s="687" t="s">
        <v>2808</v>
      </c>
      <c r="M242" s="89">
        <v>1986000</v>
      </c>
      <c r="N242" s="89">
        <v>1986000</v>
      </c>
      <c r="O242" s="687" t="s">
        <v>2660</v>
      </c>
      <c r="P242" s="687"/>
      <c r="Q242" s="687"/>
    </row>
    <row r="243" spans="1:17" s="688" customFormat="1" ht="15" customHeight="1">
      <c r="A243" s="687" t="s">
        <v>246</v>
      </c>
      <c r="B243" s="687">
        <v>2010</v>
      </c>
      <c r="C243" s="687" t="s">
        <v>243</v>
      </c>
      <c r="D243" s="117" t="s">
        <v>244</v>
      </c>
      <c r="E243" s="694" t="s">
        <v>2805</v>
      </c>
      <c r="F243" s="683" t="s">
        <v>55</v>
      </c>
      <c r="G243" s="687"/>
      <c r="H243" s="89"/>
      <c r="I243" s="117"/>
      <c r="J243" s="687"/>
      <c r="K243" s="687"/>
      <c r="L243" s="687" t="s">
        <v>2809</v>
      </c>
      <c r="M243" s="89"/>
      <c r="N243" s="89"/>
      <c r="O243" s="687"/>
      <c r="P243" s="687"/>
      <c r="Q243" s="687"/>
    </row>
    <row r="244" spans="1:17" s="688" customFormat="1" ht="15" customHeight="1">
      <c r="A244" s="687" t="s">
        <v>246</v>
      </c>
      <c r="B244" s="687">
        <v>2010</v>
      </c>
      <c r="C244" s="687" t="s">
        <v>243</v>
      </c>
      <c r="D244" s="117" t="s">
        <v>244</v>
      </c>
      <c r="E244" s="694" t="s">
        <v>2805</v>
      </c>
      <c r="F244" s="683" t="s">
        <v>55</v>
      </c>
      <c r="G244" s="687"/>
      <c r="H244" s="89"/>
      <c r="I244" s="117"/>
      <c r="J244" s="687"/>
      <c r="K244" s="687"/>
      <c r="L244" s="687" t="s">
        <v>2810</v>
      </c>
      <c r="M244" s="89"/>
      <c r="N244" s="89"/>
      <c r="O244" s="687"/>
      <c r="P244" s="687"/>
      <c r="Q244" s="687"/>
    </row>
    <row r="245" spans="1:17" s="696" customFormat="1" ht="15" customHeight="1">
      <c r="A245" s="695" t="s">
        <v>246</v>
      </c>
      <c r="B245" s="695">
        <v>2010</v>
      </c>
      <c r="C245" s="695" t="s">
        <v>243</v>
      </c>
      <c r="D245" s="149" t="s">
        <v>244</v>
      </c>
      <c r="E245" s="695" t="s">
        <v>2811</v>
      </c>
      <c r="F245" s="695" t="s">
        <v>55</v>
      </c>
      <c r="G245" s="695"/>
      <c r="H245" s="152"/>
      <c r="I245" s="149"/>
      <c r="J245" s="695"/>
      <c r="K245" s="695"/>
      <c r="L245" s="695" t="s">
        <v>2812</v>
      </c>
      <c r="M245" s="152"/>
      <c r="N245" s="152"/>
      <c r="O245" s="695"/>
      <c r="P245" s="695"/>
      <c r="Q245" s="695"/>
    </row>
    <row r="246" spans="1:17" ht="15" customHeight="1">
      <c r="A246" s="683" t="s">
        <v>249</v>
      </c>
      <c r="B246" s="683">
        <v>2011</v>
      </c>
      <c r="C246" s="683" t="s">
        <v>243</v>
      </c>
      <c r="D246" s="19" t="s">
        <v>244</v>
      </c>
      <c r="E246" s="683" t="s">
        <v>2489</v>
      </c>
      <c r="F246" s="683" t="s">
        <v>55</v>
      </c>
      <c r="G246" s="683" t="s">
        <v>103</v>
      </c>
      <c r="H246" s="76">
        <v>129168587</v>
      </c>
      <c r="I246" s="19" t="s">
        <v>2654</v>
      </c>
      <c r="J246" s="76" t="s">
        <v>943</v>
      </c>
      <c r="K246" s="683"/>
      <c r="L246" s="683" t="s">
        <v>2491</v>
      </c>
      <c r="M246" s="76">
        <v>10123339000</v>
      </c>
      <c r="N246" s="76">
        <v>10111111000</v>
      </c>
      <c r="O246" s="683" t="s">
        <v>2813</v>
      </c>
      <c r="P246" s="683"/>
      <c r="Q246" s="683"/>
    </row>
    <row r="247" spans="1:17" ht="15" customHeight="1">
      <c r="A247" s="683" t="s">
        <v>249</v>
      </c>
      <c r="B247" s="683">
        <v>2011</v>
      </c>
      <c r="C247" s="683" t="s">
        <v>243</v>
      </c>
      <c r="D247" s="19" t="s">
        <v>244</v>
      </c>
      <c r="E247" s="683" t="s">
        <v>2493</v>
      </c>
      <c r="F247" s="683" t="s">
        <v>55</v>
      </c>
      <c r="G247" s="683" t="s">
        <v>103</v>
      </c>
      <c r="H247" s="76">
        <v>9107187</v>
      </c>
      <c r="I247" s="19" t="s">
        <v>2654</v>
      </c>
      <c r="J247" s="76" t="s">
        <v>943</v>
      </c>
      <c r="K247" s="683"/>
      <c r="L247" s="683" t="s">
        <v>2494</v>
      </c>
      <c r="M247" s="76">
        <v>742277000</v>
      </c>
      <c r="N247" s="76">
        <v>742277000</v>
      </c>
      <c r="O247" s="683" t="s">
        <v>2813</v>
      </c>
      <c r="P247" s="683"/>
      <c r="Q247" s="683"/>
    </row>
    <row r="248" spans="1:17" ht="15" customHeight="1">
      <c r="A248" s="683" t="s">
        <v>249</v>
      </c>
      <c r="B248" s="683">
        <v>2011</v>
      </c>
      <c r="C248" s="683" t="s">
        <v>243</v>
      </c>
      <c r="D248" s="19" t="s">
        <v>244</v>
      </c>
      <c r="E248" s="683" t="s">
        <v>2493</v>
      </c>
      <c r="F248" s="683" t="s">
        <v>55</v>
      </c>
      <c r="G248" s="683" t="s">
        <v>561</v>
      </c>
      <c r="H248" s="76">
        <v>41511452</v>
      </c>
      <c r="I248" s="19" t="s">
        <v>2656</v>
      </c>
      <c r="J248" s="76" t="s">
        <v>943</v>
      </c>
      <c r="K248" s="683"/>
      <c r="L248" s="683" t="s">
        <v>2657</v>
      </c>
      <c r="M248" s="76">
        <v>9509000</v>
      </c>
      <c r="N248" s="76">
        <v>9509000</v>
      </c>
      <c r="O248" s="683" t="s">
        <v>2813</v>
      </c>
      <c r="P248" s="683"/>
      <c r="Q248" s="683"/>
    </row>
    <row r="249" spans="1:17" ht="15" customHeight="1">
      <c r="A249" s="683" t="s">
        <v>249</v>
      </c>
      <c r="B249" s="683">
        <v>2011</v>
      </c>
      <c r="C249" s="683" t="s">
        <v>243</v>
      </c>
      <c r="D249" s="19" t="s">
        <v>244</v>
      </c>
      <c r="E249" s="683" t="s">
        <v>2496</v>
      </c>
      <c r="F249" s="683" t="s">
        <v>55</v>
      </c>
      <c r="G249" s="683" t="s">
        <v>103</v>
      </c>
      <c r="H249" s="76">
        <v>1349528</v>
      </c>
      <c r="I249" s="19" t="s">
        <v>2654</v>
      </c>
      <c r="J249" s="76" t="s">
        <v>943</v>
      </c>
      <c r="K249" s="683"/>
      <c r="L249" s="683" t="s">
        <v>2497</v>
      </c>
      <c r="M249" s="76">
        <v>116220000</v>
      </c>
      <c r="N249" s="76">
        <v>116220000</v>
      </c>
      <c r="O249" s="683" t="s">
        <v>2813</v>
      </c>
      <c r="P249" s="683"/>
      <c r="Q249" s="683"/>
    </row>
    <row r="250" spans="1:17" ht="15" customHeight="1">
      <c r="A250" s="683" t="s">
        <v>249</v>
      </c>
      <c r="B250" s="683">
        <v>2011</v>
      </c>
      <c r="C250" s="683" t="s">
        <v>243</v>
      </c>
      <c r="D250" s="19" t="s">
        <v>244</v>
      </c>
      <c r="E250" s="683" t="s">
        <v>2496</v>
      </c>
      <c r="F250" s="683" t="s">
        <v>55</v>
      </c>
      <c r="G250" s="683" t="s">
        <v>561</v>
      </c>
      <c r="H250" s="76">
        <v>5727741</v>
      </c>
      <c r="I250" s="19" t="s">
        <v>2656</v>
      </c>
      <c r="J250" s="76" t="s">
        <v>943</v>
      </c>
      <c r="K250" s="683"/>
      <c r="L250" s="683" t="s">
        <v>2658</v>
      </c>
      <c r="M250" s="76">
        <v>4279000</v>
      </c>
      <c r="N250" s="76">
        <v>4279000</v>
      </c>
      <c r="O250" s="683" t="s">
        <v>2813</v>
      </c>
      <c r="P250" s="683"/>
      <c r="Q250" s="683"/>
    </row>
    <row r="251" spans="1:17" ht="15" customHeight="1">
      <c r="A251" s="683" t="s">
        <v>249</v>
      </c>
      <c r="B251" s="683">
        <v>2011</v>
      </c>
      <c r="C251" s="683" t="s">
        <v>243</v>
      </c>
      <c r="D251" s="19" t="s">
        <v>244</v>
      </c>
      <c r="E251" s="683" t="s">
        <v>2496</v>
      </c>
      <c r="F251" s="683" t="s">
        <v>55</v>
      </c>
      <c r="G251" s="683"/>
      <c r="H251" s="76"/>
      <c r="I251" s="19"/>
      <c r="J251" s="76"/>
      <c r="K251" s="683"/>
      <c r="L251" s="683" t="s">
        <v>2814</v>
      </c>
      <c r="M251" s="76">
        <v>1605000</v>
      </c>
      <c r="N251" s="76">
        <v>1605000</v>
      </c>
      <c r="O251" s="683" t="s">
        <v>2815</v>
      </c>
      <c r="P251" s="683"/>
      <c r="Q251" s="683"/>
    </row>
    <row r="252" spans="1:17" ht="15" customHeight="1">
      <c r="A252" s="683" t="s">
        <v>249</v>
      </c>
      <c r="B252" s="683">
        <v>2011</v>
      </c>
      <c r="C252" s="683" t="s">
        <v>243</v>
      </c>
      <c r="D252" s="19" t="s">
        <v>244</v>
      </c>
      <c r="E252" s="683" t="s">
        <v>2499</v>
      </c>
      <c r="F252" s="683" t="s">
        <v>55</v>
      </c>
      <c r="G252" s="683" t="s">
        <v>103</v>
      </c>
      <c r="H252" s="76">
        <v>841000</v>
      </c>
      <c r="I252" s="19" t="s">
        <v>2654</v>
      </c>
      <c r="J252" s="76" t="s">
        <v>943</v>
      </c>
      <c r="K252" s="683"/>
      <c r="L252" s="683" t="s">
        <v>2500</v>
      </c>
      <c r="M252" s="76">
        <v>62920000</v>
      </c>
      <c r="N252" s="76">
        <v>62920000</v>
      </c>
      <c r="O252" s="683" t="s">
        <v>2813</v>
      </c>
      <c r="P252" s="683"/>
      <c r="Q252" s="683"/>
    </row>
    <row r="253" spans="1:17" ht="15" customHeight="1">
      <c r="A253" s="683" t="s">
        <v>249</v>
      </c>
      <c r="B253" s="683">
        <v>2011</v>
      </c>
      <c r="C253" s="683" t="s">
        <v>243</v>
      </c>
      <c r="D253" s="19" t="s">
        <v>244</v>
      </c>
      <c r="E253" s="683" t="s">
        <v>2502</v>
      </c>
      <c r="F253" s="683" t="s">
        <v>55</v>
      </c>
      <c r="G253" s="683"/>
      <c r="H253" s="76"/>
      <c r="I253" s="19"/>
      <c r="J253" s="76"/>
      <c r="K253" s="683"/>
      <c r="L253" s="683" t="s">
        <v>2503</v>
      </c>
      <c r="M253" s="76"/>
      <c r="N253" s="76"/>
      <c r="O253" s="683"/>
      <c r="P253" s="683"/>
      <c r="Q253" s="683"/>
    </row>
    <row r="254" spans="1:17" ht="15" customHeight="1">
      <c r="A254" s="683" t="s">
        <v>249</v>
      </c>
      <c r="B254" s="683">
        <v>2011</v>
      </c>
      <c r="C254" s="683" t="s">
        <v>243</v>
      </c>
      <c r="D254" s="19" t="s">
        <v>244</v>
      </c>
      <c r="E254" s="683" t="s">
        <v>2502</v>
      </c>
      <c r="F254" s="683" t="s">
        <v>55</v>
      </c>
      <c r="G254" s="683"/>
      <c r="H254" s="76"/>
      <c r="I254" s="19"/>
      <c r="J254" s="76"/>
      <c r="K254" s="683"/>
      <c r="L254" s="683" t="s">
        <v>2659</v>
      </c>
      <c r="M254" s="76">
        <v>26000</v>
      </c>
      <c r="N254" s="76">
        <v>26000</v>
      </c>
      <c r="O254" s="683" t="s">
        <v>2815</v>
      </c>
      <c r="P254" s="683"/>
      <c r="Q254" s="683"/>
    </row>
    <row r="255" spans="1:17" ht="15" customHeight="1">
      <c r="A255" s="683" t="s">
        <v>249</v>
      </c>
      <c r="B255" s="683">
        <v>2011</v>
      </c>
      <c r="C255" s="683" t="s">
        <v>243</v>
      </c>
      <c r="D255" s="19" t="s">
        <v>244</v>
      </c>
      <c r="E255" s="683" t="s">
        <v>2505</v>
      </c>
      <c r="F255" s="683" t="s">
        <v>55</v>
      </c>
      <c r="G255" s="683" t="s">
        <v>103</v>
      </c>
      <c r="H255" s="76">
        <f>14840923+16032951</f>
        <v>30873874</v>
      </c>
      <c r="I255" s="19" t="s">
        <v>2654</v>
      </c>
      <c r="J255" s="76" t="s">
        <v>943</v>
      </c>
      <c r="K255" s="683"/>
      <c r="L255" s="683" t="s">
        <v>2506</v>
      </c>
      <c r="M255" s="76">
        <v>6275987000</v>
      </c>
      <c r="N255" s="76">
        <v>6275987000</v>
      </c>
      <c r="O255" s="683" t="s">
        <v>2813</v>
      </c>
      <c r="P255" s="683"/>
      <c r="Q255" s="683"/>
    </row>
    <row r="256" spans="1:17" ht="15" customHeight="1">
      <c r="A256" s="683" t="s">
        <v>249</v>
      </c>
      <c r="B256" s="683">
        <v>2011</v>
      </c>
      <c r="C256" s="683" t="s">
        <v>243</v>
      </c>
      <c r="D256" s="19" t="s">
        <v>244</v>
      </c>
      <c r="E256" s="683" t="s">
        <v>2505</v>
      </c>
      <c r="F256" s="683" t="s">
        <v>55</v>
      </c>
      <c r="G256" s="683" t="s">
        <v>561</v>
      </c>
      <c r="H256" s="76">
        <f>364886353+378700385</f>
        <v>743586738</v>
      </c>
      <c r="I256" s="19" t="s">
        <v>2656</v>
      </c>
      <c r="J256" s="76" t="s">
        <v>943</v>
      </c>
      <c r="K256" s="683"/>
      <c r="L256" s="683" t="s">
        <v>2508</v>
      </c>
      <c r="M256" s="76">
        <v>2458388000</v>
      </c>
      <c r="N256" s="76">
        <v>2458388000</v>
      </c>
      <c r="O256" s="683" t="s">
        <v>2813</v>
      </c>
      <c r="P256" s="683"/>
      <c r="Q256" s="683"/>
    </row>
    <row r="257" spans="1:17" ht="15" customHeight="1">
      <c r="A257" s="683" t="s">
        <v>249</v>
      </c>
      <c r="B257" s="683">
        <v>2011</v>
      </c>
      <c r="C257" s="683" t="s">
        <v>243</v>
      </c>
      <c r="D257" s="19" t="s">
        <v>244</v>
      </c>
      <c r="E257" s="683" t="s">
        <v>2510</v>
      </c>
      <c r="F257" s="683" t="s">
        <v>55</v>
      </c>
      <c r="G257" s="683" t="s">
        <v>103</v>
      </c>
      <c r="H257" s="76">
        <v>18692290</v>
      </c>
      <c r="I257" s="19" t="s">
        <v>2654</v>
      </c>
      <c r="J257" s="76" t="s">
        <v>943</v>
      </c>
      <c r="K257" s="683"/>
      <c r="L257" s="683" t="s">
        <v>2511</v>
      </c>
      <c r="M257" s="76">
        <v>1788847000</v>
      </c>
      <c r="N257" s="76">
        <v>1757193000</v>
      </c>
      <c r="O257" s="683" t="s">
        <v>2813</v>
      </c>
      <c r="P257" s="683"/>
      <c r="Q257" s="683"/>
    </row>
    <row r="258" spans="1:17" ht="15" customHeight="1">
      <c r="A258" s="683" t="s">
        <v>249</v>
      </c>
      <c r="B258" s="683">
        <v>2011</v>
      </c>
      <c r="C258" s="683" t="s">
        <v>243</v>
      </c>
      <c r="D258" s="19" t="s">
        <v>244</v>
      </c>
      <c r="E258" s="683" t="s">
        <v>2510</v>
      </c>
      <c r="F258" s="683" t="s">
        <v>55</v>
      </c>
      <c r="G258" s="683" t="s">
        <v>561</v>
      </c>
      <c r="H258" s="76">
        <v>134863523</v>
      </c>
      <c r="I258" s="19" t="s">
        <v>2656</v>
      </c>
      <c r="J258" s="76" t="s">
        <v>943</v>
      </c>
      <c r="K258" s="683"/>
      <c r="L258" s="683" t="s">
        <v>2662</v>
      </c>
      <c r="M258" s="76">
        <v>119885000</v>
      </c>
      <c r="N258" s="76">
        <v>119885000</v>
      </c>
      <c r="O258" s="683" t="s">
        <v>2813</v>
      </c>
      <c r="P258" s="683"/>
      <c r="Q258" s="683"/>
    </row>
    <row r="259" spans="1:17" ht="15" customHeight="1">
      <c r="A259" s="683" t="s">
        <v>249</v>
      </c>
      <c r="B259" s="683">
        <v>2011</v>
      </c>
      <c r="C259" s="683" t="s">
        <v>243</v>
      </c>
      <c r="D259" s="19" t="s">
        <v>244</v>
      </c>
      <c r="E259" s="683" t="s">
        <v>2510</v>
      </c>
      <c r="F259" s="683" t="s">
        <v>55</v>
      </c>
      <c r="G259" s="683"/>
      <c r="H259" s="76"/>
      <c r="I259" s="19"/>
      <c r="J259" s="76"/>
      <c r="K259" s="683"/>
      <c r="L259" s="683" t="s">
        <v>2663</v>
      </c>
      <c r="M259" s="76">
        <v>152738000</v>
      </c>
      <c r="N259" s="76">
        <v>152738000</v>
      </c>
      <c r="O259" s="683" t="s">
        <v>2815</v>
      </c>
      <c r="P259" s="683"/>
      <c r="Q259" s="683"/>
    </row>
    <row r="260" spans="1:17" ht="15" customHeight="1">
      <c r="A260" s="683" t="s">
        <v>249</v>
      </c>
      <c r="B260" s="683">
        <v>2011</v>
      </c>
      <c r="C260" s="683" t="s">
        <v>243</v>
      </c>
      <c r="D260" s="19" t="s">
        <v>244</v>
      </c>
      <c r="E260" s="683" t="s">
        <v>2510</v>
      </c>
      <c r="F260" s="683" t="s">
        <v>55</v>
      </c>
      <c r="G260" s="683"/>
      <c r="H260" s="76"/>
      <c r="I260" s="19"/>
      <c r="J260" s="76"/>
      <c r="K260" s="683"/>
      <c r="L260" s="683" t="s">
        <v>2816</v>
      </c>
      <c r="M260" s="76"/>
      <c r="N260" s="76"/>
      <c r="O260" s="683"/>
      <c r="P260" s="683"/>
      <c r="Q260" s="683"/>
    </row>
    <row r="261" spans="1:17" ht="15" customHeight="1">
      <c r="A261" s="683" t="s">
        <v>249</v>
      </c>
      <c r="B261" s="683">
        <v>2011</v>
      </c>
      <c r="C261" s="683" t="s">
        <v>243</v>
      </c>
      <c r="D261" s="19" t="s">
        <v>244</v>
      </c>
      <c r="E261" s="683" t="s">
        <v>2513</v>
      </c>
      <c r="F261" s="683" t="s">
        <v>55</v>
      </c>
      <c r="G261" s="683" t="s">
        <v>103</v>
      </c>
      <c r="H261" s="76">
        <v>3685901</v>
      </c>
      <c r="I261" s="19" t="s">
        <v>2654</v>
      </c>
      <c r="J261" s="76" t="s">
        <v>943</v>
      </c>
      <c r="K261" s="683"/>
      <c r="L261" s="683" t="s">
        <v>2514</v>
      </c>
      <c r="M261" s="76">
        <v>1892648000</v>
      </c>
      <c r="N261" s="76">
        <v>1889485000</v>
      </c>
      <c r="O261" s="683" t="s">
        <v>2813</v>
      </c>
      <c r="P261" s="683"/>
      <c r="Q261" s="683"/>
    </row>
    <row r="262" spans="1:17" ht="15" customHeight="1">
      <c r="A262" s="683" t="s">
        <v>249</v>
      </c>
      <c r="B262" s="683">
        <v>2011</v>
      </c>
      <c r="C262" s="683" t="s">
        <v>243</v>
      </c>
      <c r="D262" s="19" t="s">
        <v>244</v>
      </c>
      <c r="E262" s="683" t="s">
        <v>2513</v>
      </c>
      <c r="F262" s="683" t="s">
        <v>55</v>
      </c>
      <c r="G262" s="683" t="s">
        <v>561</v>
      </c>
      <c r="H262" s="76">
        <v>330382664</v>
      </c>
      <c r="I262" s="19" t="s">
        <v>2656</v>
      </c>
      <c r="J262" s="76" t="s">
        <v>943</v>
      </c>
      <c r="K262" s="683"/>
      <c r="L262" s="683" t="s">
        <v>2664</v>
      </c>
      <c r="M262" s="76">
        <v>324945000</v>
      </c>
      <c r="N262" s="76">
        <v>324945000</v>
      </c>
      <c r="O262" s="683" t="s">
        <v>2813</v>
      </c>
      <c r="P262" s="683"/>
      <c r="Q262" s="683"/>
    </row>
    <row r="263" spans="1:17" ht="15" customHeight="1">
      <c r="A263" s="683" t="s">
        <v>249</v>
      </c>
      <c r="B263" s="683">
        <v>2011</v>
      </c>
      <c r="C263" s="683" t="s">
        <v>243</v>
      </c>
      <c r="D263" s="19" t="s">
        <v>244</v>
      </c>
      <c r="E263" s="683" t="s">
        <v>2513</v>
      </c>
      <c r="F263" s="683" t="s">
        <v>55</v>
      </c>
      <c r="G263" s="683"/>
      <c r="H263" s="76"/>
      <c r="I263" s="19"/>
      <c r="J263" s="76"/>
      <c r="K263" s="683"/>
      <c r="L263" s="683" t="s">
        <v>2665</v>
      </c>
      <c r="M263" s="76">
        <v>83989000</v>
      </c>
      <c r="N263" s="76">
        <v>83989000</v>
      </c>
      <c r="O263" s="683" t="s">
        <v>2815</v>
      </c>
      <c r="P263" s="683"/>
      <c r="Q263" s="683"/>
    </row>
    <row r="264" spans="1:17" ht="15" customHeight="1">
      <c r="A264" s="683" t="s">
        <v>249</v>
      </c>
      <c r="B264" s="683">
        <v>2011</v>
      </c>
      <c r="C264" s="683" t="s">
        <v>243</v>
      </c>
      <c r="D264" s="19" t="s">
        <v>244</v>
      </c>
      <c r="E264" s="683" t="s">
        <v>2516</v>
      </c>
      <c r="F264" s="683" t="s">
        <v>55</v>
      </c>
      <c r="G264" s="683" t="s">
        <v>103</v>
      </c>
      <c r="H264" s="76">
        <f>4641+1554</f>
        <v>6195</v>
      </c>
      <c r="I264" s="19" t="s">
        <v>2654</v>
      </c>
      <c r="J264" s="76" t="s">
        <v>943</v>
      </c>
      <c r="K264" s="683"/>
      <c r="L264" s="683" t="s">
        <v>2517</v>
      </c>
      <c r="M264" s="76">
        <v>237000</v>
      </c>
      <c r="N264" s="76">
        <v>237000</v>
      </c>
      <c r="O264" s="683" t="s">
        <v>2813</v>
      </c>
      <c r="P264" s="683"/>
      <c r="Q264" s="683"/>
    </row>
    <row r="265" spans="1:17" ht="15" customHeight="1">
      <c r="A265" s="683" t="s">
        <v>249</v>
      </c>
      <c r="B265" s="683">
        <v>2011</v>
      </c>
      <c r="C265" s="683" t="s">
        <v>243</v>
      </c>
      <c r="D265" s="19" t="s">
        <v>244</v>
      </c>
      <c r="E265" s="683" t="s">
        <v>2516</v>
      </c>
      <c r="F265" s="683" t="s">
        <v>55</v>
      </c>
      <c r="G265" s="683" t="s">
        <v>561</v>
      </c>
      <c r="H265" s="76">
        <f>143930+35983</f>
        <v>179913</v>
      </c>
      <c r="I265" s="19" t="s">
        <v>2654</v>
      </c>
      <c r="J265" s="76" t="s">
        <v>943</v>
      </c>
      <c r="K265" s="683"/>
      <c r="L265" s="683" t="s">
        <v>2666</v>
      </c>
      <c r="M265" s="76">
        <v>16000</v>
      </c>
      <c r="N265" s="76">
        <v>16000</v>
      </c>
      <c r="O265" s="683" t="s">
        <v>2813</v>
      </c>
      <c r="P265" s="683"/>
      <c r="Q265" s="683"/>
    </row>
    <row r="266" spans="1:17" ht="15" customHeight="1">
      <c r="A266" s="683" t="s">
        <v>249</v>
      </c>
      <c r="B266" s="683">
        <v>2011</v>
      </c>
      <c r="C266" s="683" t="s">
        <v>243</v>
      </c>
      <c r="D266" s="19" t="s">
        <v>244</v>
      </c>
      <c r="E266" s="683" t="s">
        <v>2516</v>
      </c>
      <c r="F266" s="683" t="s">
        <v>55</v>
      </c>
      <c r="G266" s="683"/>
      <c r="H266" s="76"/>
      <c r="I266" s="19"/>
      <c r="J266" s="76"/>
      <c r="K266" s="683"/>
      <c r="L266" s="683" t="s">
        <v>2667</v>
      </c>
      <c r="M266" s="76"/>
      <c r="N266" s="76"/>
      <c r="O266" s="683"/>
      <c r="P266" s="683"/>
      <c r="Q266" s="683"/>
    </row>
    <row r="267" spans="1:17" ht="15" customHeight="1">
      <c r="A267" s="683" t="s">
        <v>249</v>
      </c>
      <c r="B267" s="683">
        <v>2011</v>
      </c>
      <c r="C267" s="683" t="s">
        <v>243</v>
      </c>
      <c r="D267" s="19" t="s">
        <v>244</v>
      </c>
      <c r="E267" s="683" t="s">
        <v>2516</v>
      </c>
      <c r="F267" s="683" t="s">
        <v>55</v>
      </c>
      <c r="G267" s="683"/>
      <c r="H267" s="76"/>
      <c r="I267" s="19"/>
      <c r="J267" s="76"/>
      <c r="K267" s="683"/>
      <c r="L267" s="683" t="s">
        <v>2668</v>
      </c>
      <c r="M267" s="76"/>
      <c r="N267" s="76"/>
      <c r="O267" s="683"/>
      <c r="P267" s="683"/>
      <c r="Q267" s="683"/>
    </row>
    <row r="268" spans="1:17" ht="15" customHeight="1">
      <c r="A268" s="683" t="s">
        <v>249</v>
      </c>
      <c r="B268" s="683">
        <v>2011</v>
      </c>
      <c r="C268" s="683" t="s">
        <v>243</v>
      </c>
      <c r="D268" s="19" t="s">
        <v>244</v>
      </c>
      <c r="E268" s="683" t="s">
        <v>2519</v>
      </c>
      <c r="F268" s="683" t="s">
        <v>55</v>
      </c>
      <c r="G268" s="683" t="s">
        <v>103</v>
      </c>
      <c r="H268" s="76">
        <v>45022856</v>
      </c>
      <c r="I268" s="19" t="s">
        <v>2654</v>
      </c>
      <c r="J268" s="76" t="s">
        <v>943</v>
      </c>
      <c r="K268" s="683"/>
      <c r="L268" s="683" t="s">
        <v>2520</v>
      </c>
      <c r="M268" s="76">
        <v>2650065000</v>
      </c>
      <c r="N268" s="76">
        <v>2651927000</v>
      </c>
      <c r="O268" s="683" t="s">
        <v>2813</v>
      </c>
      <c r="P268" s="683"/>
      <c r="Q268" s="683"/>
    </row>
    <row r="269" spans="1:17" ht="15" customHeight="1">
      <c r="A269" s="683" t="s">
        <v>249</v>
      </c>
      <c r="B269" s="683">
        <v>2011</v>
      </c>
      <c r="C269" s="683" t="s">
        <v>243</v>
      </c>
      <c r="D269" s="19" t="s">
        <v>244</v>
      </c>
      <c r="E269" s="683" t="s">
        <v>2519</v>
      </c>
      <c r="F269" s="683" t="s">
        <v>55</v>
      </c>
      <c r="G269" s="683" t="s">
        <v>561</v>
      </c>
      <c r="H269" s="76">
        <v>298852086</v>
      </c>
      <c r="I269" s="19" t="s">
        <v>2656</v>
      </c>
      <c r="J269" s="76" t="s">
        <v>943</v>
      </c>
      <c r="K269" s="683"/>
      <c r="L269" s="683" t="s">
        <v>2669</v>
      </c>
      <c r="M269" s="76"/>
      <c r="N269" s="76"/>
      <c r="O269" s="683" t="s">
        <v>2817</v>
      </c>
      <c r="P269" s="683"/>
      <c r="Q269" s="683"/>
    </row>
    <row r="270" spans="1:17" ht="15" customHeight="1">
      <c r="A270" s="683" t="s">
        <v>249</v>
      </c>
      <c r="B270" s="683">
        <v>2011</v>
      </c>
      <c r="C270" s="683" t="s">
        <v>243</v>
      </c>
      <c r="D270" s="19" t="s">
        <v>244</v>
      </c>
      <c r="E270" s="683" t="s">
        <v>2522</v>
      </c>
      <c r="F270" s="683" t="s">
        <v>55</v>
      </c>
      <c r="G270" s="683" t="s">
        <v>103</v>
      </c>
      <c r="H270" s="76">
        <v>5733223</v>
      </c>
      <c r="I270" s="19" t="s">
        <v>2654</v>
      </c>
      <c r="J270" s="76" t="s">
        <v>943</v>
      </c>
      <c r="K270" s="683"/>
      <c r="L270" s="683" t="s">
        <v>2523</v>
      </c>
      <c r="M270" s="76">
        <v>851779000</v>
      </c>
      <c r="N270" s="76">
        <v>851779000</v>
      </c>
      <c r="O270" s="683" t="s">
        <v>2813</v>
      </c>
      <c r="P270" s="683"/>
      <c r="Q270" s="683"/>
    </row>
    <row r="271" spans="1:17" ht="15" customHeight="1">
      <c r="A271" s="683" t="s">
        <v>249</v>
      </c>
      <c r="B271" s="683">
        <v>2011</v>
      </c>
      <c r="C271" s="683" t="s">
        <v>243</v>
      </c>
      <c r="D271" s="19" t="s">
        <v>244</v>
      </c>
      <c r="E271" s="683" t="s">
        <v>2522</v>
      </c>
      <c r="F271" s="683" t="s">
        <v>55</v>
      </c>
      <c r="G271" s="683" t="s">
        <v>561</v>
      </c>
      <c r="H271" s="76">
        <v>94095041</v>
      </c>
      <c r="I271" s="19" t="s">
        <v>2656</v>
      </c>
      <c r="J271" s="76" t="s">
        <v>943</v>
      </c>
      <c r="K271" s="683"/>
      <c r="L271" s="683" t="s">
        <v>2671</v>
      </c>
      <c r="M271" s="76">
        <v>71458000</v>
      </c>
      <c r="N271" s="76">
        <v>70810000</v>
      </c>
      <c r="O271" s="683" t="s">
        <v>2813</v>
      </c>
      <c r="P271" s="683"/>
      <c r="Q271" s="683"/>
    </row>
    <row r="272" spans="1:17" ht="15" customHeight="1">
      <c r="A272" s="683" t="s">
        <v>249</v>
      </c>
      <c r="B272" s="683">
        <v>2011</v>
      </c>
      <c r="C272" s="683" t="s">
        <v>243</v>
      </c>
      <c r="D272" s="19" t="s">
        <v>244</v>
      </c>
      <c r="E272" s="683" t="s">
        <v>2522</v>
      </c>
      <c r="F272" s="683" t="s">
        <v>55</v>
      </c>
      <c r="G272" s="683"/>
      <c r="H272" s="76"/>
      <c r="I272" s="19"/>
      <c r="J272" s="76"/>
      <c r="K272" s="683"/>
      <c r="L272" s="683" t="s">
        <v>2672</v>
      </c>
      <c r="M272" s="76">
        <v>77737000</v>
      </c>
      <c r="N272" s="76">
        <v>78385000</v>
      </c>
      <c r="O272" s="683" t="s">
        <v>2815</v>
      </c>
      <c r="P272" s="683"/>
      <c r="Q272" s="683"/>
    </row>
    <row r="273" spans="1:17" ht="15" customHeight="1">
      <c r="A273" s="683" t="s">
        <v>249</v>
      </c>
      <c r="B273" s="683">
        <v>2011</v>
      </c>
      <c r="C273" s="683" t="s">
        <v>243</v>
      </c>
      <c r="D273" s="19" t="s">
        <v>244</v>
      </c>
      <c r="E273" s="683" t="s">
        <v>2522</v>
      </c>
      <c r="F273" s="683" t="s">
        <v>55</v>
      </c>
      <c r="G273" s="683"/>
      <c r="H273" s="76"/>
      <c r="I273" s="19"/>
      <c r="J273" s="76"/>
      <c r="K273" s="683"/>
      <c r="L273" s="683" t="s">
        <v>2673</v>
      </c>
      <c r="M273" s="76">
        <v>64387000</v>
      </c>
      <c r="N273" s="76">
        <v>64387000</v>
      </c>
      <c r="O273" s="683" t="s">
        <v>2815</v>
      </c>
      <c r="P273" s="683"/>
      <c r="Q273" s="683"/>
    </row>
    <row r="274" spans="1:17" ht="15" customHeight="1">
      <c r="A274" s="683" t="s">
        <v>249</v>
      </c>
      <c r="B274" s="683">
        <v>2011</v>
      </c>
      <c r="C274" s="683" t="s">
        <v>243</v>
      </c>
      <c r="D274" s="19" t="s">
        <v>244</v>
      </c>
      <c r="E274" s="683" t="s">
        <v>2522</v>
      </c>
      <c r="F274" s="683" t="s">
        <v>55</v>
      </c>
      <c r="G274" s="683"/>
      <c r="H274" s="76"/>
      <c r="I274" s="19"/>
      <c r="J274" s="76"/>
      <c r="K274" s="683"/>
      <c r="L274" s="683" t="s">
        <v>2674</v>
      </c>
      <c r="M274" s="76">
        <v>51358000</v>
      </c>
      <c r="N274" s="76">
        <v>51358000</v>
      </c>
      <c r="O274" s="683" t="s">
        <v>2815</v>
      </c>
      <c r="P274" s="683"/>
      <c r="Q274" s="683"/>
    </row>
    <row r="275" spans="1:17" ht="15" customHeight="1">
      <c r="A275" s="683" t="s">
        <v>249</v>
      </c>
      <c r="B275" s="683">
        <v>2011</v>
      </c>
      <c r="C275" s="683" t="s">
        <v>243</v>
      </c>
      <c r="D275" s="19" t="s">
        <v>244</v>
      </c>
      <c r="E275" s="683" t="s">
        <v>2522</v>
      </c>
      <c r="F275" s="683" t="s">
        <v>55</v>
      </c>
      <c r="G275" s="683"/>
      <c r="H275" s="76"/>
      <c r="I275" s="19"/>
      <c r="J275" s="76"/>
      <c r="K275" s="683"/>
      <c r="L275" s="683" t="s">
        <v>2675</v>
      </c>
      <c r="M275" s="76">
        <v>14434000</v>
      </c>
      <c r="N275" s="76">
        <v>14434000</v>
      </c>
      <c r="O275" s="683" t="s">
        <v>2815</v>
      </c>
      <c r="P275" s="683"/>
      <c r="Q275" s="683"/>
    </row>
    <row r="276" spans="1:17" ht="15" customHeight="1">
      <c r="A276" s="683" t="s">
        <v>249</v>
      </c>
      <c r="B276" s="683">
        <v>2011</v>
      </c>
      <c r="C276" s="683" t="s">
        <v>243</v>
      </c>
      <c r="D276" s="19" t="s">
        <v>244</v>
      </c>
      <c r="E276" s="683" t="s">
        <v>2525</v>
      </c>
      <c r="F276" s="683" t="s">
        <v>55</v>
      </c>
      <c r="G276" s="683" t="s">
        <v>103</v>
      </c>
      <c r="H276" s="76">
        <v>259052</v>
      </c>
      <c r="I276" s="19" t="s">
        <v>2654</v>
      </c>
      <c r="J276" s="76" t="s">
        <v>943</v>
      </c>
      <c r="K276" s="683"/>
      <c r="L276" s="683" t="s">
        <v>2526</v>
      </c>
      <c r="M276" s="76">
        <v>487410000</v>
      </c>
      <c r="N276" s="76">
        <v>487410000</v>
      </c>
      <c r="O276" s="683" t="s">
        <v>2813</v>
      </c>
      <c r="P276" s="683"/>
      <c r="Q276" s="683"/>
    </row>
    <row r="277" spans="1:17" ht="15" customHeight="1">
      <c r="A277" s="683" t="s">
        <v>249</v>
      </c>
      <c r="B277" s="683">
        <v>2011</v>
      </c>
      <c r="C277" s="683" t="s">
        <v>243</v>
      </c>
      <c r="D277" s="19" t="s">
        <v>244</v>
      </c>
      <c r="E277" s="683" t="s">
        <v>2525</v>
      </c>
      <c r="F277" s="683" t="s">
        <v>55</v>
      </c>
      <c r="G277" s="683" t="s">
        <v>561</v>
      </c>
      <c r="H277" s="76">
        <v>46629065</v>
      </c>
      <c r="I277" s="19" t="s">
        <v>2656</v>
      </c>
      <c r="J277" s="76" t="s">
        <v>943</v>
      </c>
      <c r="K277" s="683"/>
      <c r="L277" s="683"/>
      <c r="M277" s="76"/>
      <c r="N277" s="76"/>
      <c r="O277" s="683" t="s">
        <v>2817</v>
      </c>
      <c r="P277" s="683"/>
      <c r="Q277" s="683"/>
    </row>
    <row r="278" spans="1:17" ht="15" customHeight="1">
      <c r="A278" s="683" t="s">
        <v>249</v>
      </c>
      <c r="B278" s="683">
        <v>2011</v>
      </c>
      <c r="C278" s="683" t="s">
        <v>243</v>
      </c>
      <c r="D278" s="19" t="s">
        <v>244</v>
      </c>
      <c r="E278" s="683" t="s">
        <v>2528</v>
      </c>
      <c r="F278" s="683" t="s">
        <v>55</v>
      </c>
      <c r="G278" s="683" t="s">
        <v>103</v>
      </c>
      <c r="H278" s="76">
        <v>1254416</v>
      </c>
      <c r="I278" s="19" t="s">
        <v>2654</v>
      </c>
      <c r="J278" s="76" t="s">
        <v>943</v>
      </c>
      <c r="K278" s="683"/>
      <c r="L278" s="683" t="s">
        <v>2529</v>
      </c>
      <c r="M278" s="76">
        <v>415887000</v>
      </c>
      <c r="N278" s="76">
        <v>415887000</v>
      </c>
      <c r="O278" s="683" t="s">
        <v>2813</v>
      </c>
      <c r="P278" s="683"/>
      <c r="Q278" s="683"/>
    </row>
    <row r="279" spans="1:17" ht="15" customHeight="1">
      <c r="A279" s="683" t="s">
        <v>249</v>
      </c>
      <c r="B279" s="683">
        <v>2011</v>
      </c>
      <c r="C279" s="683" t="s">
        <v>243</v>
      </c>
      <c r="D279" s="19" t="s">
        <v>244</v>
      </c>
      <c r="E279" s="683" t="s">
        <v>2528</v>
      </c>
      <c r="F279" s="683" t="s">
        <v>55</v>
      </c>
      <c r="G279" s="683" t="s">
        <v>561</v>
      </c>
      <c r="H279" s="76">
        <v>26904622</v>
      </c>
      <c r="I279" s="19" t="s">
        <v>2656</v>
      </c>
      <c r="J279" s="76" t="s">
        <v>943</v>
      </c>
      <c r="K279" s="683"/>
      <c r="L279" s="683"/>
      <c r="M279" s="76"/>
      <c r="N279" s="76"/>
      <c r="O279" s="683" t="s">
        <v>2817</v>
      </c>
      <c r="P279" s="683"/>
      <c r="Q279" s="683"/>
    </row>
    <row r="280" spans="1:17" ht="15" customHeight="1">
      <c r="A280" s="683" t="s">
        <v>249</v>
      </c>
      <c r="B280" s="683">
        <v>2011</v>
      </c>
      <c r="C280" s="683" t="s">
        <v>243</v>
      </c>
      <c r="D280" s="19" t="s">
        <v>244</v>
      </c>
      <c r="E280" s="683" t="s">
        <v>2531</v>
      </c>
      <c r="F280" s="683" t="s">
        <v>55</v>
      </c>
      <c r="G280" s="683" t="s">
        <v>103</v>
      </c>
      <c r="H280" s="76">
        <v>7806732</v>
      </c>
      <c r="I280" s="19" t="s">
        <v>2654</v>
      </c>
      <c r="J280" s="76" t="s">
        <v>943</v>
      </c>
      <c r="K280" s="683"/>
      <c r="L280" s="683" t="s">
        <v>2532</v>
      </c>
      <c r="M280" s="76">
        <v>142754000</v>
      </c>
      <c r="N280" s="76">
        <v>142754000</v>
      </c>
      <c r="O280" s="683" t="s">
        <v>2813</v>
      </c>
      <c r="P280" s="683"/>
      <c r="Q280" s="683"/>
    </row>
    <row r="281" spans="1:17" ht="15" customHeight="1">
      <c r="A281" s="683" t="s">
        <v>249</v>
      </c>
      <c r="B281" s="683">
        <v>2011</v>
      </c>
      <c r="C281" s="683" t="s">
        <v>243</v>
      </c>
      <c r="D281" s="19" t="s">
        <v>244</v>
      </c>
      <c r="E281" s="683" t="s">
        <v>2531</v>
      </c>
      <c r="F281" s="683" t="s">
        <v>55</v>
      </c>
      <c r="G281" s="683"/>
      <c r="H281" s="76"/>
      <c r="I281" s="19"/>
      <c r="J281" s="76"/>
      <c r="K281" s="683"/>
      <c r="L281" s="683" t="s">
        <v>2676</v>
      </c>
      <c r="M281" s="76"/>
      <c r="N281" s="76"/>
      <c r="O281" s="683"/>
      <c r="P281" s="683"/>
      <c r="Q281" s="683"/>
    </row>
    <row r="282" spans="1:17" ht="15" customHeight="1">
      <c r="A282" s="683" t="s">
        <v>249</v>
      </c>
      <c r="B282" s="683">
        <v>2011</v>
      </c>
      <c r="C282" s="683" t="s">
        <v>243</v>
      </c>
      <c r="D282" s="19" t="s">
        <v>244</v>
      </c>
      <c r="E282" s="683" t="s">
        <v>2531</v>
      </c>
      <c r="F282" s="683" t="s">
        <v>55</v>
      </c>
      <c r="G282" s="683"/>
      <c r="H282" s="76"/>
      <c r="I282" s="19"/>
      <c r="J282" s="76"/>
      <c r="K282" s="683"/>
      <c r="L282" s="683" t="s">
        <v>2677</v>
      </c>
      <c r="M282" s="76"/>
      <c r="N282" s="76"/>
      <c r="O282" s="683"/>
      <c r="P282" s="683"/>
      <c r="Q282" s="683"/>
    </row>
    <row r="283" spans="1:17" ht="15" customHeight="1">
      <c r="A283" s="683" t="s">
        <v>249</v>
      </c>
      <c r="B283" s="683">
        <v>2011</v>
      </c>
      <c r="C283" s="683" t="s">
        <v>243</v>
      </c>
      <c r="D283" s="19" t="s">
        <v>244</v>
      </c>
      <c r="E283" s="683" t="s">
        <v>2531</v>
      </c>
      <c r="F283" s="683" t="s">
        <v>55</v>
      </c>
      <c r="G283" s="683"/>
      <c r="H283" s="76"/>
      <c r="I283" s="19"/>
      <c r="J283" s="76"/>
      <c r="K283" s="683"/>
      <c r="L283" s="683" t="s">
        <v>2678</v>
      </c>
      <c r="M283" s="76"/>
      <c r="N283" s="76"/>
      <c r="O283" s="683"/>
      <c r="P283" s="683"/>
      <c r="Q283" s="683"/>
    </row>
    <row r="284" spans="1:17" ht="15" customHeight="1">
      <c r="A284" s="683" t="s">
        <v>249</v>
      </c>
      <c r="B284" s="683">
        <v>2011</v>
      </c>
      <c r="C284" s="683" t="s">
        <v>243</v>
      </c>
      <c r="D284" s="19" t="s">
        <v>244</v>
      </c>
      <c r="E284" s="683" t="s">
        <v>2531</v>
      </c>
      <c r="F284" s="683" t="s">
        <v>55</v>
      </c>
      <c r="G284" s="683"/>
      <c r="H284" s="76"/>
      <c r="I284" s="19"/>
      <c r="J284" s="76"/>
      <c r="K284" s="683"/>
      <c r="L284" s="683" t="s">
        <v>2679</v>
      </c>
      <c r="M284" s="76"/>
      <c r="N284" s="76"/>
      <c r="O284" s="683"/>
      <c r="P284" s="683"/>
      <c r="Q284" s="683"/>
    </row>
    <row r="285" spans="1:17" ht="15" customHeight="1">
      <c r="A285" s="683" t="s">
        <v>249</v>
      </c>
      <c r="B285" s="683">
        <v>2011</v>
      </c>
      <c r="C285" s="683" t="s">
        <v>243</v>
      </c>
      <c r="D285" s="19" t="s">
        <v>244</v>
      </c>
      <c r="E285" s="683" t="s">
        <v>2531</v>
      </c>
      <c r="F285" s="683" t="s">
        <v>55</v>
      </c>
      <c r="G285" s="683"/>
      <c r="H285" s="76"/>
      <c r="I285" s="19"/>
      <c r="J285" s="76"/>
      <c r="K285" s="683"/>
      <c r="L285" s="683" t="s">
        <v>2680</v>
      </c>
      <c r="M285" s="76"/>
      <c r="N285" s="76"/>
      <c r="O285" s="683"/>
      <c r="P285" s="683"/>
      <c r="Q285" s="683"/>
    </row>
    <row r="286" spans="1:17" ht="15" customHeight="1">
      <c r="A286" s="683" t="s">
        <v>249</v>
      </c>
      <c r="B286" s="683">
        <v>2011</v>
      </c>
      <c r="C286" s="683" t="s">
        <v>243</v>
      </c>
      <c r="D286" s="19" t="s">
        <v>244</v>
      </c>
      <c r="E286" s="683" t="s">
        <v>2531</v>
      </c>
      <c r="F286" s="683" t="s">
        <v>55</v>
      </c>
      <c r="G286" s="683"/>
      <c r="H286" s="76"/>
      <c r="I286" s="19"/>
      <c r="J286" s="76"/>
      <c r="K286" s="683"/>
      <c r="L286" s="683" t="s">
        <v>2681</v>
      </c>
      <c r="M286" s="76"/>
      <c r="N286" s="76"/>
      <c r="O286" s="683"/>
      <c r="P286" s="683"/>
      <c r="Q286" s="683"/>
    </row>
    <row r="287" spans="1:17" ht="15" customHeight="1">
      <c r="A287" s="683" t="s">
        <v>249</v>
      </c>
      <c r="B287" s="683">
        <v>2011</v>
      </c>
      <c r="C287" s="683" t="s">
        <v>243</v>
      </c>
      <c r="D287" s="19" t="s">
        <v>244</v>
      </c>
      <c r="E287" s="683" t="s">
        <v>2537</v>
      </c>
      <c r="F287" s="683" t="s">
        <v>55</v>
      </c>
      <c r="G287" s="683" t="s">
        <v>103</v>
      </c>
      <c r="H287" s="76">
        <v>12366325</v>
      </c>
      <c r="I287" s="19" t="s">
        <v>2654</v>
      </c>
      <c r="J287" s="76" t="s">
        <v>943</v>
      </c>
      <c r="K287" s="683"/>
      <c r="L287" s="683" t="s">
        <v>2538</v>
      </c>
      <c r="M287" s="76">
        <v>865706000</v>
      </c>
      <c r="N287" s="76">
        <v>865706000</v>
      </c>
      <c r="O287" s="683" t="s">
        <v>2813</v>
      </c>
      <c r="P287" s="683"/>
      <c r="Q287" s="683"/>
    </row>
    <row r="288" spans="1:17" ht="15" customHeight="1">
      <c r="A288" s="683" t="s">
        <v>249</v>
      </c>
      <c r="B288" s="683">
        <v>2011</v>
      </c>
      <c r="C288" s="683" t="s">
        <v>243</v>
      </c>
      <c r="D288" s="19" t="s">
        <v>244</v>
      </c>
      <c r="E288" s="683" t="s">
        <v>2537</v>
      </c>
      <c r="F288" s="683" t="s">
        <v>55</v>
      </c>
      <c r="G288" s="683" t="s">
        <v>561</v>
      </c>
      <c r="H288" s="76">
        <v>23588268</v>
      </c>
      <c r="I288" s="697" t="s">
        <v>2656</v>
      </c>
      <c r="J288" s="76" t="s">
        <v>943</v>
      </c>
      <c r="K288" s="683"/>
      <c r="L288" s="683" t="s">
        <v>2818</v>
      </c>
      <c r="M288" s="76">
        <v>15163000</v>
      </c>
      <c r="N288" s="76">
        <v>15163000</v>
      </c>
      <c r="O288" s="683" t="s">
        <v>2813</v>
      </c>
      <c r="P288" s="683"/>
      <c r="Q288" s="683"/>
    </row>
    <row r="289" spans="1:17" ht="15" customHeight="1">
      <c r="A289" s="683" t="s">
        <v>249</v>
      </c>
      <c r="B289" s="683">
        <v>2011</v>
      </c>
      <c r="C289" s="683" t="s">
        <v>243</v>
      </c>
      <c r="D289" s="19" t="s">
        <v>244</v>
      </c>
      <c r="E289" s="683" t="s">
        <v>2537</v>
      </c>
      <c r="F289" s="683" t="s">
        <v>55</v>
      </c>
      <c r="G289" s="683"/>
      <c r="H289" s="76"/>
      <c r="I289" s="19"/>
      <c r="J289" s="76"/>
      <c r="K289" s="683"/>
      <c r="L289" s="683" t="s">
        <v>2683</v>
      </c>
      <c r="M289" s="76">
        <v>9002000</v>
      </c>
      <c r="N289" s="76"/>
      <c r="O289" s="683"/>
      <c r="P289" s="683"/>
      <c r="Q289" s="683"/>
    </row>
    <row r="290" spans="1:17" ht="15" customHeight="1">
      <c r="A290" s="683" t="s">
        <v>249</v>
      </c>
      <c r="B290" s="683">
        <v>2011</v>
      </c>
      <c r="C290" s="683" t="s">
        <v>243</v>
      </c>
      <c r="D290" s="19" t="s">
        <v>244</v>
      </c>
      <c r="E290" s="683" t="s">
        <v>2537</v>
      </c>
      <c r="F290" s="683" t="s">
        <v>55</v>
      </c>
      <c r="G290" s="683"/>
      <c r="H290" s="76"/>
      <c r="I290" s="19"/>
      <c r="J290" s="76"/>
      <c r="K290" s="683"/>
      <c r="L290" s="683" t="s">
        <v>2684</v>
      </c>
      <c r="M290" s="76">
        <v>4473000</v>
      </c>
      <c r="N290" s="76">
        <v>4473000</v>
      </c>
      <c r="O290" s="683" t="s">
        <v>2815</v>
      </c>
      <c r="P290" s="683"/>
      <c r="Q290" s="683"/>
    </row>
    <row r="291" spans="1:17" ht="15" customHeight="1">
      <c r="A291" s="683" t="s">
        <v>249</v>
      </c>
      <c r="B291" s="683">
        <v>2011</v>
      </c>
      <c r="C291" s="683" t="s">
        <v>243</v>
      </c>
      <c r="D291" s="19" t="s">
        <v>244</v>
      </c>
      <c r="E291" s="683" t="s">
        <v>2537</v>
      </c>
      <c r="F291" s="683" t="s">
        <v>55</v>
      </c>
      <c r="G291" s="683"/>
      <c r="H291" s="76"/>
      <c r="I291" s="19"/>
      <c r="J291" s="76"/>
      <c r="K291" s="683"/>
      <c r="L291" s="683" t="s">
        <v>2685</v>
      </c>
      <c r="M291" s="76"/>
      <c r="N291" s="76"/>
      <c r="O291" s="683"/>
      <c r="P291" s="683"/>
      <c r="Q291" s="683"/>
    </row>
    <row r="292" spans="1:17" ht="15" customHeight="1">
      <c r="A292" s="683" t="s">
        <v>249</v>
      </c>
      <c r="B292" s="683">
        <v>2011</v>
      </c>
      <c r="C292" s="683" t="s">
        <v>243</v>
      </c>
      <c r="D292" s="19" t="s">
        <v>244</v>
      </c>
      <c r="E292" s="683" t="s">
        <v>2537</v>
      </c>
      <c r="F292" s="683" t="s">
        <v>55</v>
      </c>
      <c r="G292" s="683"/>
      <c r="H292" s="76"/>
      <c r="I292" s="19"/>
      <c r="J292" s="76"/>
      <c r="K292" s="683"/>
      <c r="L292" s="683" t="s">
        <v>2686</v>
      </c>
      <c r="M292" s="76">
        <v>6940000</v>
      </c>
      <c r="N292" s="76">
        <v>3531000</v>
      </c>
      <c r="O292" s="683" t="s">
        <v>2815</v>
      </c>
      <c r="P292" s="683"/>
      <c r="Q292" s="683"/>
    </row>
    <row r="293" spans="1:17" ht="15" customHeight="1">
      <c r="A293" s="683" t="s">
        <v>249</v>
      </c>
      <c r="B293" s="683">
        <v>2011</v>
      </c>
      <c r="C293" s="683" t="s">
        <v>243</v>
      </c>
      <c r="D293" s="19" t="s">
        <v>244</v>
      </c>
      <c r="E293" s="683" t="s">
        <v>2537</v>
      </c>
      <c r="F293" s="683" t="s">
        <v>55</v>
      </c>
      <c r="G293" s="683"/>
      <c r="H293" s="76"/>
      <c r="I293" s="19"/>
      <c r="J293" s="76"/>
      <c r="K293" s="683"/>
      <c r="L293" s="683" t="s">
        <v>2687</v>
      </c>
      <c r="M293" s="76"/>
      <c r="N293" s="76">
        <v>2093000</v>
      </c>
      <c r="O293" s="683" t="s">
        <v>2815</v>
      </c>
      <c r="P293" s="683"/>
      <c r="Q293" s="683"/>
    </row>
    <row r="294" spans="1:17" ht="15" customHeight="1">
      <c r="A294" s="683" t="s">
        <v>249</v>
      </c>
      <c r="B294" s="683">
        <v>2011</v>
      </c>
      <c r="C294" s="683" t="s">
        <v>243</v>
      </c>
      <c r="D294" s="19" t="s">
        <v>244</v>
      </c>
      <c r="E294" s="683" t="s">
        <v>2537</v>
      </c>
      <c r="F294" s="683" t="s">
        <v>55</v>
      </c>
      <c r="G294" s="683"/>
      <c r="H294" s="76"/>
      <c r="I294" s="19"/>
      <c r="J294" s="76"/>
      <c r="K294" s="683"/>
      <c r="L294" s="683" t="s">
        <v>2688</v>
      </c>
      <c r="M294" s="76"/>
      <c r="N294" s="76">
        <v>1635000</v>
      </c>
      <c r="O294" s="683" t="s">
        <v>2815</v>
      </c>
      <c r="P294" s="683"/>
      <c r="Q294" s="683"/>
    </row>
    <row r="295" spans="1:17" ht="15" customHeight="1">
      <c r="A295" s="683" t="s">
        <v>249</v>
      </c>
      <c r="B295" s="683">
        <v>2011</v>
      </c>
      <c r="C295" s="683" t="s">
        <v>243</v>
      </c>
      <c r="D295" s="19" t="s">
        <v>244</v>
      </c>
      <c r="E295" s="683" t="s">
        <v>2588</v>
      </c>
      <c r="F295" s="683" t="s">
        <v>55</v>
      </c>
      <c r="G295" s="683" t="s">
        <v>103</v>
      </c>
      <c r="H295" s="76">
        <v>411244</v>
      </c>
      <c r="I295" s="19" t="s">
        <v>2654</v>
      </c>
      <c r="J295" s="76" t="s">
        <v>943</v>
      </c>
      <c r="K295" s="683"/>
      <c r="L295" s="683" t="s">
        <v>2689</v>
      </c>
      <c r="M295" s="76">
        <v>17231000</v>
      </c>
      <c r="N295" s="76">
        <v>17234000</v>
      </c>
      <c r="O295" s="683" t="s">
        <v>2813</v>
      </c>
      <c r="P295" s="683"/>
      <c r="Q295" s="683"/>
    </row>
    <row r="296" spans="1:17" ht="15" customHeight="1">
      <c r="A296" s="683" t="s">
        <v>249</v>
      </c>
      <c r="B296" s="683">
        <v>2011</v>
      </c>
      <c r="C296" s="683" t="s">
        <v>243</v>
      </c>
      <c r="D296" s="19" t="s">
        <v>244</v>
      </c>
      <c r="E296" s="683" t="s">
        <v>2588</v>
      </c>
      <c r="F296" s="683" t="s">
        <v>55</v>
      </c>
      <c r="G296" s="683" t="s">
        <v>561</v>
      </c>
      <c r="H296" s="76">
        <v>63975217</v>
      </c>
      <c r="I296" s="19" t="s">
        <v>2656</v>
      </c>
      <c r="J296" s="76" t="s">
        <v>943</v>
      </c>
      <c r="K296" s="683"/>
      <c r="L296" s="683" t="s">
        <v>2690</v>
      </c>
      <c r="M296" s="76">
        <v>20304000</v>
      </c>
      <c r="N296" s="76">
        <v>20304000</v>
      </c>
      <c r="O296" s="683" t="s">
        <v>2813</v>
      </c>
      <c r="P296" s="683"/>
      <c r="Q296" s="683"/>
    </row>
    <row r="297" spans="1:17" ht="15" customHeight="1">
      <c r="A297" s="683" t="s">
        <v>249</v>
      </c>
      <c r="B297" s="683">
        <v>2011</v>
      </c>
      <c r="C297" s="683" t="s">
        <v>243</v>
      </c>
      <c r="D297" s="19" t="s">
        <v>244</v>
      </c>
      <c r="E297" s="683" t="s">
        <v>2588</v>
      </c>
      <c r="F297" s="683" t="s">
        <v>55</v>
      </c>
      <c r="G297" s="683"/>
      <c r="H297" s="76"/>
      <c r="I297" s="19"/>
      <c r="J297" s="76"/>
      <c r="K297" s="683"/>
      <c r="L297" s="683" t="s">
        <v>2691</v>
      </c>
      <c r="M297" s="76">
        <v>6944000</v>
      </c>
      <c r="N297" s="76">
        <v>7077000</v>
      </c>
      <c r="O297" s="683" t="s">
        <v>2815</v>
      </c>
      <c r="P297" s="683"/>
      <c r="Q297" s="683"/>
    </row>
    <row r="298" spans="1:17" ht="15" customHeight="1">
      <c r="A298" s="683" t="s">
        <v>249</v>
      </c>
      <c r="B298" s="683">
        <v>2011</v>
      </c>
      <c r="C298" s="683" t="s">
        <v>243</v>
      </c>
      <c r="D298" s="19" t="s">
        <v>244</v>
      </c>
      <c r="E298" s="683" t="s">
        <v>2540</v>
      </c>
      <c r="F298" s="683" t="s">
        <v>55</v>
      </c>
      <c r="G298" s="683" t="s">
        <v>103</v>
      </c>
      <c r="H298" s="76">
        <v>5903492</v>
      </c>
      <c r="I298" s="19" t="s">
        <v>2654</v>
      </c>
      <c r="J298" s="76" t="s">
        <v>943</v>
      </c>
      <c r="K298" s="683"/>
      <c r="L298" s="683" t="s">
        <v>2692</v>
      </c>
      <c r="M298" s="76">
        <v>464693000</v>
      </c>
      <c r="N298" s="76">
        <v>464693000</v>
      </c>
      <c r="O298" s="683" t="s">
        <v>2813</v>
      </c>
      <c r="P298" s="683"/>
      <c r="Q298" s="683"/>
    </row>
    <row r="299" spans="1:17" ht="15" customHeight="1">
      <c r="A299" s="683" t="s">
        <v>249</v>
      </c>
      <c r="B299" s="683">
        <v>2011</v>
      </c>
      <c r="C299" s="683" t="s">
        <v>243</v>
      </c>
      <c r="D299" s="19" t="s">
        <v>244</v>
      </c>
      <c r="E299" s="683" t="s">
        <v>2540</v>
      </c>
      <c r="F299" s="683" t="s">
        <v>55</v>
      </c>
      <c r="G299" s="683"/>
      <c r="H299" s="76"/>
      <c r="I299" s="19"/>
      <c r="J299" s="76"/>
      <c r="K299" s="683"/>
      <c r="L299" s="683" t="s">
        <v>2693</v>
      </c>
      <c r="M299" s="76">
        <v>14883000</v>
      </c>
      <c r="N299" s="76">
        <v>14883000</v>
      </c>
      <c r="O299" s="683" t="s">
        <v>2815</v>
      </c>
      <c r="P299" s="683"/>
      <c r="Q299" s="683"/>
    </row>
    <row r="300" spans="1:17" ht="15" customHeight="1">
      <c r="A300" s="683" t="s">
        <v>249</v>
      </c>
      <c r="B300" s="683">
        <v>2011</v>
      </c>
      <c r="C300" s="683" t="s">
        <v>243</v>
      </c>
      <c r="D300" s="19" t="s">
        <v>244</v>
      </c>
      <c r="E300" s="683" t="s">
        <v>2582</v>
      </c>
      <c r="F300" s="683" t="s">
        <v>55</v>
      </c>
      <c r="G300" s="683" t="s">
        <v>103</v>
      </c>
      <c r="H300" s="76">
        <v>11689244</v>
      </c>
      <c r="I300" s="19" t="s">
        <v>2654</v>
      </c>
      <c r="J300" s="76" t="s">
        <v>943</v>
      </c>
      <c r="K300" s="683"/>
      <c r="L300" s="683" t="s">
        <v>2583</v>
      </c>
      <c r="M300" s="76">
        <v>863199000</v>
      </c>
      <c r="N300" s="76">
        <v>863199000</v>
      </c>
      <c r="O300" s="683" t="s">
        <v>2813</v>
      </c>
      <c r="P300" s="683"/>
      <c r="Q300" s="683"/>
    </row>
    <row r="301" spans="1:17" ht="15" customHeight="1">
      <c r="A301" s="683" t="s">
        <v>249</v>
      </c>
      <c r="B301" s="683">
        <v>2011</v>
      </c>
      <c r="C301" s="683" t="s">
        <v>243</v>
      </c>
      <c r="D301" s="19" t="s">
        <v>244</v>
      </c>
      <c r="E301" s="683" t="s">
        <v>2582</v>
      </c>
      <c r="F301" s="683" t="s">
        <v>55</v>
      </c>
      <c r="G301" s="683" t="s">
        <v>561</v>
      </c>
      <c r="H301" s="76">
        <v>63045066</v>
      </c>
      <c r="I301" s="19" t="s">
        <v>2656</v>
      </c>
      <c r="J301" s="76" t="s">
        <v>943</v>
      </c>
      <c r="K301" s="683"/>
      <c r="L301" s="683" t="s">
        <v>2694</v>
      </c>
      <c r="M301" s="76">
        <v>55222000</v>
      </c>
      <c r="N301" s="76">
        <v>55222000</v>
      </c>
      <c r="O301" s="683" t="s">
        <v>2813</v>
      </c>
      <c r="P301" s="683"/>
      <c r="Q301" s="683"/>
    </row>
    <row r="302" spans="1:17" ht="15" customHeight="1">
      <c r="A302" s="683" t="s">
        <v>249</v>
      </c>
      <c r="B302" s="683">
        <v>2011</v>
      </c>
      <c r="C302" s="683" t="s">
        <v>243</v>
      </c>
      <c r="D302" s="19" t="s">
        <v>244</v>
      </c>
      <c r="E302" s="683" t="s">
        <v>2582</v>
      </c>
      <c r="F302" s="683" t="s">
        <v>55</v>
      </c>
      <c r="G302" s="683"/>
      <c r="H302" s="76"/>
      <c r="I302" s="19"/>
      <c r="J302" s="76"/>
      <c r="K302" s="683"/>
      <c r="L302" s="683" t="s">
        <v>2696</v>
      </c>
      <c r="M302" s="76">
        <v>797000</v>
      </c>
      <c r="N302" s="76">
        <v>797000</v>
      </c>
      <c r="O302" s="683" t="s">
        <v>2815</v>
      </c>
      <c r="P302" s="683"/>
      <c r="Q302" s="683"/>
    </row>
    <row r="303" spans="1:17" ht="15" customHeight="1">
      <c r="A303" s="683" t="s">
        <v>249</v>
      </c>
      <c r="B303" s="683">
        <v>2011</v>
      </c>
      <c r="C303" s="683" t="s">
        <v>243</v>
      </c>
      <c r="D303" s="19" t="s">
        <v>244</v>
      </c>
      <c r="E303" s="683" t="s">
        <v>2582</v>
      </c>
      <c r="F303" s="683" t="s">
        <v>55</v>
      </c>
      <c r="G303" s="683"/>
      <c r="H303" s="76"/>
      <c r="I303" s="19"/>
      <c r="J303" s="76"/>
      <c r="K303" s="683"/>
      <c r="L303" s="683" t="s">
        <v>2697</v>
      </c>
      <c r="M303" s="76">
        <v>5207000</v>
      </c>
      <c r="N303" s="76">
        <v>5207000</v>
      </c>
      <c r="O303" s="683" t="s">
        <v>2815</v>
      </c>
      <c r="P303" s="683"/>
      <c r="Q303" s="683"/>
    </row>
    <row r="304" spans="1:17" ht="15" customHeight="1">
      <c r="A304" s="683" t="s">
        <v>249</v>
      </c>
      <c r="B304" s="683">
        <v>2011</v>
      </c>
      <c r="C304" s="683" t="s">
        <v>243</v>
      </c>
      <c r="D304" s="19" t="s">
        <v>244</v>
      </c>
      <c r="E304" s="683" t="s">
        <v>2582</v>
      </c>
      <c r="F304" s="683" t="s">
        <v>55</v>
      </c>
      <c r="G304" s="683"/>
      <c r="H304" s="76"/>
      <c r="I304" s="19"/>
      <c r="J304" s="76"/>
      <c r="K304" s="683"/>
      <c r="L304" s="683" t="s">
        <v>2698</v>
      </c>
      <c r="M304" s="76">
        <v>5369000</v>
      </c>
      <c r="N304" s="76">
        <v>5369000</v>
      </c>
      <c r="O304" s="683" t="s">
        <v>2815</v>
      </c>
      <c r="P304" s="683"/>
      <c r="Q304" s="683"/>
    </row>
    <row r="305" spans="1:17" ht="15" customHeight="1">
      <c r="A305" s="683" t="s">
        <v>249</v>
      </c>
      <c r="B305" s="683">
        <v>2011</v>
      </c>
      <c r="C305" s="683" t="s">
        <v>243</v>
      </c>
      <c r="D305" s="19" t="s">
        <v>244</v>
      </c>
      <c r="E305" s="683" t="s">
        <v>2582</v>
      </c>
      <c r="F305" s="683" t="s">
        <v>55</v>
      </c>
      <c r="G305" s="683"/>
      <c r="H305" s="76"/>
      <c r="I305" s="19"/>
      <c r="J305" s="76"/>
      <c r="K305" s="683"/>
      <c r="L305" s="683" t="s">
        <v>2819</v>
      </c>
      <c r="M305" s="76"/>
      <c r="N305" s="76"/>
      <c r="O305" s="683"/>
      <c r="P305" s="683"/>
      <c r="Q305" s="683"/>
    </row>
    <row r="306" spans="1:17" ht="15" customHeight="1">
      <c r="A306" s="683" t="s">
        <v>249</v>
      </c>
      <c r="B306" s="683">
        <v>2011</v>
      </c>
      <c r="C306" s="683" t="s">
        <v>243</v>
      </c>
      <c r="D306" s="19" t="s">
        <v>244</v>
      </c>
      <c r="E306" s="683" t="s">
        <v>2582</v>
      </c>
      <c r="F306" s="683" t="s">
        <v>55</v>
      </c>
      <c r="G306" s="683"/>
      <c r="H306" s="76"/>
      <c r="I306" s="19"/>
      <c r="J306" s="76"/>
      <c r="K306" s="683"/>
      <c r="L306" s="683" t="s">
        <v>2820</v>
      </c>
      <c r="M306" s="76"/>
      <c r="N306" s="76"/>
      <c r="O306" s="683"/>
      <c r="P306" s="683"/>
      <c r="Q306" s="683"/>
    </row>
    <row r="307" spans="1:17" ht="15" customHeight="1">
      <c r="A307" s="683" t="s">
        <v>249</v>
      </c>
      <c r="B307" s="683">
        <v>2011</v>
      </c>
      <c r="C307" s="683" t="s">
        <v>243</v>
      </c>
      <c r="D307" s="19" t="s">
        <v>244</v>
      </c>
      <c r="E307" s="683" t="s">
        <v>2543</v>
      </c>
      <c r="F307" s="683" t="s">
        <v>55</v>
      </c>
      <c r="G307" s="683" t="s">
        <v>103</v>
      </c>
      <c r="H307" s="76">
        <v>1050814</v>
      </c>
      <c r="I307" s="19" t="s">
        <v>2654</v>
      </c>
      <c r="J307" s="76" t="s">
        <v>943</v>
      </c>
      <c r="K307" s="683"/>
      <c r="L307" s="683" t="s">
        <v>2699</v>
      </c>
      <c r="M307" s="76">
        <v>-11378000</v>
      </c>
      <c r="N307" s="76">
        <v>-11378000</v>
      </c>
      <c r="O307" s="683" t="s">
        <v>2813</v>
      </c>
      <c r="P307" s="683"/>
      <c r="Q307" s="683"/>
    </row>
    <row r="308" spans="1:17" ht="15" customHeight="1">
      <c r="A308" s="683" t="s">
        <v>249</v>
      </c>
      <c r="B308" s="683">
        <v>2011</v>
      </c>
      <c r="C308" s="683" t="s">
        <v>243</v>
      </c>
      <c r="D308" s="19" t="s">
        <v>244</v>
      </c>
      <c r="E308" s="683" t="s">
        <v>2543</v>
      </c>
      <c r="F308" s="683" t="s">
        <v>55</v>
      </c>
      <c r="G308" s="683" t="s">
        <v>561</v>
      </c>
      <c r="H308" s="76">
        <v>10166433</v>
      </c>
      <c r="I308" s="697" t="s">
        <v>2656</v>
      </c>
      <c r="J308" s="76" t="s">
        <v>943</v>
      </c>
      <c r="K308" s="683"/>
      <c r="L308" s="683"/>
      <c r="M308" s="76"/>
      <c r="N308" s="76"/>
      <c r="O308" s="683" t="s">
        <v>2817</v>
      </c>
      <c r="P308" s="683"/>
      <c r="Q308" s="683"/>
    </row>
    <row r="309" spans="1:17" ht="15" customHeight="1">
      <c r="A309" s="683" t="s">
        <v>249</v>
      </c>
      <c r="B309" s="683">
        <v>2011</v>
      </c>
      <c r="C309" s="683" t="s">
        <v>243</v>
      </c>
      <c r="D309" s="19" t="s">
        <v>244</v>
      </c>
      <c r="E309" s="683" t="s">
        <v>2548</v>
      </c>
      <c r="F309" s="683" t="s">
        <v>55</v>
      </c>
      <c r="G309" s="683" t="s">
        <v>103</v>
      </c>
      <c r="H309" s="76">
        <f>1830105+1830105</f>
        <v>3660210</v>
      </c>
      <c r="I309" s="19" t="s">
        <v>2654</v>
      </c>
      <c r="J309" s="76" t="s">
        <v>943</v>
      </c>
      <c r="K309" s="683"/>
      <c r="L309" s="683" t="s">
        <v>2700</v>
      </c>
      <c r="M309" s="76">
        <v>164155000</v>
      </c>
      <c r="N309" s="76">
        <v>167283000</v>
      </c>
      <c r="O309" s="683" t="s">
        <v>2813</v>
      </c>
      <c r="P309" s="683"/>
      <c r="Q309" s="683"/>
    </row>
    <row r="310" spans="1:17" ht="15" customHeight="1">
      <c r="A310" s="683" t="s">
        <v>249</v>
      </c>
      <c r="B310" s="683">
        <v>2011</v>
      </c>
      <c r="C310" s="683" t="s">
        <v>243</v>
      </c>
      <c r="D310" s="19" t="s">
        <v>244</v>
      </c>
      <c r="E310" s="683" t="s">
        <v>2548</v>
      </c>
      <c r="F310" s="683" t="s">
        <v>55</v>
      </c>
      <c r="G310" s="683" t="s">
        <v>561</v>
      </c>
      <c r="H310" s="76">
        <f>927717*2</f>
        <v>1855434</v>
      </c>
      <c r="I310" s="19" t="s">
        <v>2656</v>
      </c>
      <c r="J310" s="76" t="s">
        <v>943</v>
      </c>
      <c r="K310" s="683"/>
      <c r="L310" s="683" t="s">
        <v>2701</v>
      </c>
      <c r="M310" s="76">
        <v>121672000</v>
      </c>
      <c r="N310" s="76">
        <v>121672000</v>
      </c>
      <c r="O310" s="683" t="s">
        <v>2813</v>
      </c>
      <c r="P310" s="683"/>
      <c r="Q310" s="683"/>
    </row>
    <row r="311" spans="1:17" ht="15" customHeight="1">
      <c r="A311" s="683" t="s">
        <v>249</v>
      </c>
      <c r="B311" s="683">
        <v>2011</v>
      </c>
      <c r="C311" s="683" t="s">
        <v>243</v>
      </c>
      <c r="D311" s="19" t="s">
        <v>244</v>
      </c>
      <c r="E311" s="683" t="s">
        <v>2548</v>
      </c>
      <c r="F311" s="683" t="s">
        <v>55</v>
      </c>
      <c r="G311" s="683"/>
      <c r="H311" s="76"/>
      <c r="I311" s="19"/>
      <c r="J311" s="76"/>
      <c r="K311" s="683"/>
      <c r="L311" s="683" t="s">
        <v>2702</v>
      </c>
      <c r="M311" s="76">
        <v>9648000</v>
      </c>
      <c r="N311" s="76">
        <v>9648000</v>
      </c>
      <c r="O311" s="683" t="s">
        <v>2815</v>
      </c>
      <c r="P311" s="683"/>
      <c r="Q311" s="683"/>
    </row>
    <row r="312" spans="1:17" ht="15" customHeight="1">
      <c r="A312" s="683" t="s">
        <v>249</v>
      </c>
      <c r="B312" s="683">
        <v>2011</v>
      </c>
      <c r="C312" s="683" t="s">
        <v>243</v>
      </c>
      <c r="D312" s="19" t="s">
        <v>244</v>
      </c>
      <c r="E312" s="683" t="s">
        <v>2703</v>
      </c>
      <c r="F312" s="683" t="s">
        <v>55</v>
      </c>
      <c r="G312" s="683" t="s">
        <v>103</v>
      </c>
      <c r="H312" s="76">
        <f>379495*2</f>
        <v>758990</v>
      </c>
      <c r="I312" s="19" t="s">
        <v>2654</v>
      </c>
      <c r="J312" s="76" t="s">
        <v>943</v>
      </c>
      <c r="K312" s="683"/>
      <c r="L312" s="683" t="s">
        <v>2704</v>
      </c>
      <c r="M312" s="76">
        <v>17759000</v>
      </c>
      <c r="N312" s="76">
        <v>17759000</v>
      </c>
      <c r="O312" s="683" t="s">
        <v>2813</v>
      </c>
      <c r="P312" s="683"/>
      <c r="Q312" s="683"/>
    </row>
    <row r="313" spans="1:17" ht="15" customHeight="1">
      <c r="A313" s="683" t="s">
        <v>249</v>
      </c>
      <c r="B313" s="683">
        <v>2011</v>
      </c>
      <c r="C313" s="683" t="s">
        <v>243</v>
      </c>
      <c r="D313" s="19" t="s">
        <v>244</v>
      </c>
      <c r="E313" s="683" t="s">
        <v>2703</v>
      </c>
      <c r="F313" s="683" t="s">
        <v>55</v>
      </c>
      <c r="G313" s="683"/>
      <c r="H313" s="76"/>
      <c r="I313" s="19"/>
      <c r="J313" s="76"/>
      <c r="K313" s="683"/>
      <c r="L313" s="683" t="s">
        <v>2705</v>
      </c>
      <c r="M313" s="76">
        <v>10091000</v>
      </c>
      <c r="N313" s="76">
        <v>10091000</v>
      </c>
      <c r="O313" s="683" t="s">
        <v>2815</v>
      </c>
      <c r="P313" s="683"/>
      <c r="Q313" s="683"/>
    </row>
    <row r="314" spans="1:17" ht="15" customHeight="1">
      <c r="A314" s="683" t="s">
        <v>249</v>
      </c>
      <c r="B314" s="683">
        <v>2011</v>
      </c>
      <c r="C314" s="683" t="s">
        <v>243</v>
      </c>
      <c r="D314" s="19" t="s">
        <v>244</v>
      </c>
      <c r="E314" s="683" t="s">
        <v>2703</v>
      </c>
      <c r="F314" s="683" t="s">
        <v>55</v>
      </c>
      <c r="G314" s="683"/>
      <c r="H314" s="76"/>
      <c r="I314" s="19"/>
      <c r="J314" s="76"/>
      <c r="K314" s="683"/>
      <c r="L314" s="683" t="s">
        <v>2821</v>
      </c>
      <c r="M314" s="76">
        <v>386000</v>
      </c>
      <c r="N314" s="76">
        <v>386000</v>
      </c>
      <c r="O314" s="683" t="s">
        <v>2815</v>
      </c>
      <c r="P314" s="683"/>
      <c r="Q314" s="683"/>
    </row>
    <row r="315" spans="1:17" ht="15" customHeight="1">
      <c r="A315" s="683" t="s">
        <v>249</v>
      </c>
      <c r="B315" s="683">
        <v>2011</v>
      </c>
      <c r="C315" s="683" t="s">
        <v>243</v>
      </c>
      <c r="D315" s="19" t="s">
        <v>244</v>
      </c>
      <c r="E315" s="683" t="s">
        <v>2703</v>
      </c>
      <c r="F315" s="683" t="s">
        <v>55</v>
      </c>
      <c r="G315" s="683"/>
      <c r="H315" s="76"/>
      <c r="I315" s="19"/>
      <c r="J315" s="76"/>
      <c r="K315" s="683"/>
      <c r="L315" s="683" t="s">
        <v>2707</v>
      </c>
      <c r="M315" s="76">
        <v>497000</v>
      </c>
      <c r="N315" s="76">
        <v>497000</v>
      </c>
      <c r="O315" s="683" t="s">
        <v>2815</v>
      </c>
      <c r="P315" s="683"/>
      <c r="Q315" s="683"/>
    </row>
    <row r="316" spans="1:17" ht="15" customHeight="1">
      <c r="A316" s="683" t="s">
        <v>249</v>
      </c>
      <c r="B316" s="683">
        <v>2011</v>
      </c>
      <c r="C316" s="683" t="s">
        <v>243</v>
      </c>
      <c r="D316" s="19" t="s">
        <v>244</v>
      </c>
      <c r="E316" s="683" t="s">
        <v>2703</v>
      </c>
      <c r="F316" s="683" t="s">
        <v>55</v>
      </c>
      <c r="G316" s="683"/>
      <c r="H316" s="76"/>
      <c r="I316" s="19"/>
      <c r="J316" s="76"/>
      <c r="K316" s="683"/>
      <c r="L316" s="683" t="s">
        <v>2822</v>
      </c>
      <c r="M316" s="76"/>
      <c r="N316" s="76"/>
      <c r="O316" s="683"/>
      <c r="P316" s="683"/>
      <c r="Q316" s="683"/>
    </row>
    <row r="317" spans="1:17" ht="15" customHeight="1">
      <c r="A317" s="683" t="s">
        <v>249</v>
      </c>
      <c r="B317" s="683">
        <v>2011</v>
      </c>
      <c r="C317" s="683" t="s">
        <v>243</v>
      </c>
      <c r="D317" s="19" t="s">
        <v>244</v>
      </c>
      <c r="E317" s="683" t="s">
        <v>2563</v>
      </c>
      <c r="F317" s="683" t="s">
        <v>55</v>
      </c>
      <c r="G317" s="683" t="s">
        <v>103</v>
      </c>
      <c r="H317" s="76">
        <f>272348*2</f>
        <v>544696</v>
      </c>
      <c r="I317" s="19" t="s">
        <v>2654</v>
      </c>
      <c r="J317" s="76" t="s">
        <v>943</v>
      </c>
      <c r="K317" s="683"/>
      <c r="L317" s="683" t="s">
        <v>2708</v>
      </c>
      <c r="M317" s="76">
        <v>9794000</v>
      </c>
      <c r="N317" s="76">
        <v>9794000</v>
      </c>
      <c r="O317" s="683" t="s">
        <v>2813</v>
      </c>
      <c r="P317" s="683"/>
      <c r="Q317" s="683"/>
    </row>
    <row r="318" spans="1:17" ht="15" customHeight="1">
      <c r="A318" s="683" t="s">
        <v>249</v>
      </c>
      <c r="B318" s="683">
        <v>2011</v>
      </c>
      <c r="C318" s="683" t="s">
        <v>243</v>
      </c>
      <c r="D318" s="19" t="s">
        <v>244</v>
      </c>
      <c r="E318" s="683" t="s">
        <v>2563</v>
      </c>
      <c r="F318" s="683" t="s">
        <v>55</v>
      </c>
      <c r="G318" s="683"/>
      <c r="H318" s="76"/>
      <c r="I318" s="19"/>
      <c r="J318" s="76"/>
      <c r="K318" s="683"/>
      <c r="L318" s="683" t="s">
        <v>2709</v>
      </c>
      <c r="M318" s="691">
        <v>10463000</v>
      </c>
      <c r="N318" s="691">
        <v>10463000</v>
      </c>
      <c r="O318" s="683" t="s">
        <v>2815</v>
      </c>
      <c r="P318" s="683"/>
      <c r="Q318" s="683"/>
    </row>
    <row r="319" spans="1:17" ht="15" customHeight="1">
      <c r="A319" s="683" t="s">
        <v>249</v>
      </c>
      <c r="B319" s="683">
        <v>2011</v>
      </c>
      <c r="C319" s="683" t="s">
        <v>243</v>
      </c>
      <c r="D319" s="19" t="s">
        <v>244</v>
      </c>
      <c r="E319" s="683" t="s">
        <v>2563</v>
      </c>
      <c r="F319" s="683" t="s">
        <v>55</v>
      </c>
      <c r="G319" s="683"/>
      <c r="H319" s="76"/>
      <c r="I319" s="19"/>
      <c r="J319" s="76"/>
      <c r="K319" s="683"/>
      <c r="L319" s="683" t="s">
        <v>2823</v>
      </c>
      <c r="M319" s="691">
        <v>503000</v>
      </c>
      <c r="N319" s="691">
        <v>503000</v>
      </c>
      <c r="O319" s="683" t="s">
        <v>2815</v>
      </c>
      <c r="P319" s="683"/>
      <c r="Q319" s="683"/>
    </row>
    <row r="320" spans="1:17" ht="15" customHeight="1">
      <c r="A320" s="683" t="s">
        <v>249</v>
      </c>
      <c r="B320" s="683">
        <v>2011</v>
      </c>
      <c r="C320" s="683" t="s">
        <v>243</v>
      </c>
      <c r="D320" s="19" t="s">
        <v>244</v>
      </c>
      <c r="E320" s="683" t="s">
        <v>2710</v>
      </c>
      <c r="F320" s="683" t="s">
        <v>55</v>
      </c>
      <c r="G320" s="683" t="s">
        <v>103</v>
      </c>
      <c r="H320" s="76">
        <f>119607+119608</f>
        <v>239215</v>
      </c>
      <c r="I320" s="19" t="s">
        <v>2654</v>
      </c>
      <c r="J320" s="76" t="s">
        <v>943</v>
      </c>
      <c r="K320" s="683"/>
      <c r="L320" s="683" t="s">
        <v>2711</v>
      </c>
      <c r="M320" s="76">
        <v>5228000</v>
      </c>
      <c r="N320" s="76">
        <v>6122000</v>
      </c>
      <c r="O320" s="683" t="s">
        <v>2813</v>
      </c>
      <c r="P320" s="683"/>
      <c r="Q320" s="683"/>
    </row>
    <row r="321" spans="1:17" ht="15" customHeight="1">
      <c r="A321" s="683" t="s">
        <v>249</v>
      </c>
      <c r="B321" s="683">
        <v>2011</v>
      </c>
      <c r="C321" s="683" t="s">
        <v>243</v>
      </c>
      <c r="D321" s="19" t="s">
        <v>244</v>
      </c>
      <c r="E321" s="683" t="s">
        <v>2710</v>
      </c>
      <c r="F321" s="683" t="s">
        <v>55</v>
      </c>
      <c r="G321" s="683" t="s">
        <v>561</v>
      </c>
      <c r="H321" s="76">
        <f>233314+191954</f>
        <v>425268</v>
      </c>
      <c r="I321" s="19" t="s">
        <v>2656</v>
      </c>
      <c r="J321" s="76" t="s">
        <v>943</v>
      </c>
      <c r="K321" s="683"/>
      <c r="L321" s="683" t="s">
        <v>2712</v>
      </c>
      <c r="M321" s="76">
        <v>5004000</v>
      </c>
      <c r="N321" s="76">
        <v>5004000</v>
      </c>
      <c r="O321" s="683" t="s">
        <v>2813</v>
      </c>
      <c r="P321" s="683"/>
      <c r="Q321" s="683"/>
    </row>
    <row r="322" spans="1:17" ht="15" customHeight="1">
      <c r="A322" s="683" t="s">
        <v>249</v>
      </c>
      <c r="B322" s="683">
        <v>2011</v>
      </c>
      <c r="C322" s="683" t="s">
        <v>243</v>
      </c>
      <c r="D322" s="19" t="s">
        <v>244</v>
      </c>
      <c r="E322" s="683" t="s">
        <v>2573</v>
      </c>
      <c r="F322" s="683" t="s">
        <v>55</v>
      </c>
      <c r="G322" s="683" t="s">
        <v>103</v>
      </c>
      <c r="H322" s="76">
        <v>6524747</v>
      </c>
      <c r="I322" s="19" t="s">
        <v>2654</v>
      </c>
      <c r="J322" s="76" t="s">
        <v>943</v>
      </c>
      <c r="K322" s="683"/>
      <c r="L322" s="683" t="s">
        <v>2574</v>
      </c>
      <c r="M322" s="76">
        <v>922327000</v>
      </c>
      <c r="N322" s="76">
        <v>922327000</v>
      </c>
      <c r="O322" s="683" t="s">
        <v>2813</v>
      </c>
      <c r="P322" s="683"/>
      <c r="Q322" s="683"/>
    </row>
    <row r="323" spans="1:17" ht="15" customHeight="1">
      <c r="A323" s="683" t="s">
        <v>249</v>
      </c>
      <c r="B323" s="683">
        <v>2011</v>
      </c>
      <c r="C323" s="683" t="s">
        <v>243</v>
      </c>
      <c r="D323" s="19" t="s">
        <v>244</v>
      </c>
      <c r="E323" s="683" t="s">
        <v>2573</v>
      </c>
      <c r="F323" s="683" t="s">
        <v>55</v>
      </c>
      <c r="G323" s="683" t="s">
        <v>561</v>
      </c>
      <c r="H323" s="76">
        <v>55192318</v>
      </c>
      <c r="I323" s="697" t="s">
        <v>2656</v>
      </c>
      <c r="J323" s="76" t="s">
        <v>943</v>
      </c>
      <c r="K323" s="683"/>
      <c r="L323" s="683" t="s">
        <v>2713</v>
      </c>
      <c r="M323" s="76">
        <v>101801000</v>
      </c>
      <c r="N323" s="76">
        <v>101801000</v>
      </c>
      <c r="O323" s="683" t="s">
        <v>2813</v>
      </c>
      <c r="P323" s="683"/>
      <c r="Q323" s="683"/>
    </row>
    <row r="324" spans="1:17" ht="15" customHeight="1">
      <c r="A324" s="683" t="s">
        <v>249</v>
      </c>
      <c r="B324" s="683">
        <v>2011</v>
      </c>
      <c r="C324" s="683" t="s">
        <v>243</v>
      </c>
      <c r="D324" s="19" t="s">
        <v>244</v>
      </c>
      <c r="E324" s="683" t="s">
        <v>2573</v>
      </c>
      <c r="F324" s="683" t="s">
        <v>55</v>
      </c>
      <c r="G324" s="683"/>
      <c r="H324" s="76"/>
      <c r="I324" s="19"/>
      <c r="J324" s="76"/>
      <c r="K324" s="683"/>
      <c r="L324" s="683" t="s">
        <v>2714</v>
      </c>
      <c r="M324" s="76">
        <v>109335000</v>
      </c>
      <c r="N324" s="76">
        <v>109335000</v>
      </c>
      <c r="O324" s="683" t="s">
        <v>2815</v>
      </c>
      <c r="P324" s="683"/>
      <c r="Q324" s="683"/>
    </row>
    <row r="325" spans="1:17" ht="15" customHeight="1">
      <c r="A325" s="683" t="s">
        <v>249</v>
      </c>
      <c r="B325" s="683">
        <v>2011</v>
      </c>
      <c r="C325" s="683" t="s">
        <v>243</v>
      </c>
      <c r="D325" s="19" t="s">
        <v>244</v>
      </c>
      <c r="E325" s="683" t="s">
        <v>2573</v>
      </c>
      <c r="F325" s="683" t="s">
        <v>55</v>
      </c>
      <c r="G325" s="683"/>
      <c r="H325" s="76"/>
      <c r="I325" s="19"/>
      <c r="J325" s="76"/>
      <c r="K325" s="683"/>
      <c r="L325" s="683" t="s">
        <v>2715</v>
      </c>
      <c r="M325" s="76">
        <v>52422000</v>
      </c>
      <c r="N325" s="76">
        <v>52422000</v>
      </c>
      <c r="O325" s="683" t="s">
        <v>2815</v>
      </c>
      <c r="P325" s="683"/>
      <c r="Q325" s="683"/>
    </row>
    <row r="326" spans="1:17" ht="15" customHeight="1">
      <c r="A326" s="683" t="s">
        <v>249</v>
      </c>
      <c r="B326" s="683">
        <v>2011</v>
      </c>
      <c r="C326" s="683" t="s">
        <v>243</v>
      </c>
      <c r="D326" s="19" t="s">
        <v>244</v>
      </c>
      <c r="E326" s="683" t="s">
        <v>2576</v>
      </c>
      <c r="F326" s="683" t="s">
        <v>55</v>
      </c>
      <c r="G326" s="683" t="s">
        <v>103</v>
      </c>
      <c r="H326" s="76">
        <v>2255436</v>
      </c>
      <c r="I326" s="19" t="s">
        <v>2654</v>
      </c>
      <c r="J326" s="76" t="s">
        <v>943</v>
      </c>
      <c r="K326" s="683"/>
      <c r="L326" s="683" t="s">
        <v>2716</v>
      </c>
      <c r="M326" s="76">
        <v>144682000</v>
      </c>
      <c r="N326" s="76">
        <v>144682000</v>
      </c>
      <c r="O326" s="683" t="s">
        <v>2813</v>
      </c>
      <c r="P326" s="683"/>
      <c r="Q326" s="683"/>
    </row>
    <row r="327" spans="1:17" ht="15" customHeight="1">
      <c r="A327" s="683" t="s">
        <v>249</v>
      </c>
      <c r="B327" s="683">
        <v>2011</v>
      </c>
      <c r="C327" s="683" t="s">
        <v>243</v>
      </c>
      <c r="D327" s="19" t="s">
        <v>244</v>
      </c>
      <c r="E327" s="683" t="s">
        <v>2576</v>
      </c>
      <c r="F327" s="683" t="s">
        <v>55</v>
      </c>
      <c r="G327" s="683" t="s">
        <v>561</v>
      </c>
      <c r="H327" s="76">
        <v>503621</v>
      </c>
      <c r="I327" s="697" t="s">
        <v>2656</v>
      </c>
      <c r="J327" s="76" t="s">
        <v>943</v>
      </c>
      <c r="K327" s="683"/>
      <c r="L327" s="683" t="s">
        <v>2718</v>
      </c>
      <c r="M327" s="76">
        <v>4186000</v>
      </c>
      <c r="N327" s="76">
        <v>4186000</v>
      </c>
      <c r="O327" s="683" t="s">
        <v>2813</v>
      </c>
      <c r="P327" s="683"/>
      <c r="Q327" s="683"/>
    </row>
    <row r="328" spans="1:17" ht="15" customHeight="1">
      <c r="A328" s="683" t="s">
        <v>249</v>
      </c>
      <c r="B328" s="683">
        <v>2011</v>
      </c>
      <c r="C328" s="683" t="s">
        <v>243</v>
      </c>
      <c r="D328" s="19" t="s">
        <v>244</v>
      </c>
      <c r="E328" s="683" t="s">
        <v>2576</v>
      </c>
      <c r="F328" s="683" t="s">
        <v>55</v>
      </c>
      <c r="G328" s="683"/>
      <c r="H328" s="76"/>
      <c r="I328" s="19"/>
      <c r="J328" s="76"/>
      <c r="K328" s="683"/>
      <c r="L328" s="683" t="s">
        <v>2717</v>
      </c>
      <c r="M328" s="76">
        <v>5553000</v>
      </c>
      <c r="N328" s="76">
        <v>5553000</v>
      </c>
      <c r="O328" s="683" t="s">
        <v>2815</v>
      </c>
      <c r="P328" s="683"/>
      <c r="Q328" s="683"/>
    </row>
    <row r="329" spans="1:17" ht="15" customHeight="1">
      <c r="A329" s="683" t="s">
        <v>249</v>
      </c>
      <c r="B329" s="683">
        <v>2011</v>
      </c>
      <c r="C329" s="683" t="s">
        <v>243</v>
      </c>
      <c r="D329" s="19" t="s">
        <v>244</v>
      </c>
      <c r="E329" s="683" t="s">
        <v>2576</v>
      </c>
      <c r="F329" s="683" t="s">
        <v>55</v>
      </c>
      <c r="G329" s="683"/>
      <c r="H329" s="76"/>
      <c r="I329" s="19"/>
      <c r="J329" s="76"/>
      <c r="K329" s="683"/>
      <c r="L329" s="683" t="s">
        <v>2720</v>
      </c>
      <c r="M329" s="76"/>
      <c r="N329" s="76"/>
      <c r="O329" s="683"/>
      <c r="P329" s="683"/>
      <c r="Q329" s="683"/>
    </row>
    <row r="330" spans="1:17" ht="15" customHeight="1">
      <c r="A330" s="683" t="s">
        <v>249</v>
      </c>
      <c r="B330" s="683">
        <v>2011</v>
      </c>
      <c r="C330" s="683" t="s">
        <v>243</v>
      </c>
      <c r="D330" s="19" t="s">
        <v>244</v>
      </c>
      <c r="E330" s="683" t="s">
        <v>2576</v>
      </c>
      <c r="F330" s="683" t="s">
        <v>55</v>
      </c>
      <c r="G330" s="683"/>
      <c r="H330" s="76"/>
      <c r="I330" s="19"/>
      <c r="J330" s="76"/>
      <c r="K330" s="683"/>
      <c r="L330" s="683" t="s">
        <v>2721</v>
      </c>
      <c r="M330" s="76">
        <v>1327000</v>
      </c>
      <c r="N330" s="76">
        <v>1327000</v>
      </c>
      <c r="O330" s="683" t="s">
        <v>2815</v>
      </c>
      <c r="P330" s="683"/>
      <c r="Q330" s="683"/>
    </row>
    <row r="331" spans="1:17" ht="15" customHeight="1">
      <c r="A331" s="683" t="s">
        <v>249</v>
      </c>
      <c r="B331" s="683">
        <v>2011</v>
      </c>
      <c r="C331" s="683" t="s">
        <v>243</v>
      </c>
      <c r="D331" s="19" t="s">
        <v>244</v>
      </c>
      <c r="E331" s="683" t="s">
        <v>2579</v>
      </c>
      <c r="F331" s="683" t="s">
        <v>55</v>
      </c>
      <c r="G331" s="683" t="s">
        <v>103</v>
      </c>
      <c r="H331" s="76">
        <v>23000</v>
      </c>
      <c r="I331" s="19" t="s">
        <v>2654</v>
      </c>
      <c r="J331" s="76" t="s">
        <v>943</v>
      </c>
      <c r="K331" s="683"/>
      <c r="L331" s="683" t="s">
        <v>2580</v>
      </c>
      <c r="M331" s="76">
        <v>329000</v>
      </c>
      <c r="N331" s="76">
        <v>329000</v>
      </c>
      <c r="O331" s="683" t="s">
        <v>2813</v>
      </c>
      <c r="P331" s="683"/>
      <c r="Q331" s="683"/>
    </row>
    <row r="332" spans="1:17" ht="15" customHeight="1">
      <c r="A332" s="683" t="s">
        <v>249</v>
      </c>
      <c r="B332" s="683">
        <v>2011</v>
      </c>
      <c r="C332" s="683" t="s">
        <v>243</v>
      </c>
      <c r="D332" s="19" t="s">
        <v>244</v>
      </c>
      <c r="E332" s="683" t="s">
        <v>2579</v>
      </c>
      <c r="F332" s="683" t="s">
        <v>55</v>
      </c>
      <c r="G332" s="683"/>
      <c r="H332" s="76"/>
      <c r="I332" s="19"/>
      <c r="J332" s="76"/>
      <c r="K332" s="683"/>
      <c r="L332" s="683" t="s">
        <v>2824</v>
      </c>
      <c r="M332" s="76"/>
      <c r="N332" s="76"/>
      <c r="O332" s="683"/>
      <c r="P332" s="683"/>
      <c r="Q332" s="683"/>
    </row>
    <row r="333" spans="1:17" ht="15" customHeight="1">
      <c r="A333" s="683" t="s">
        <v>249</v>
      </c>
      <c r="B333" s="683">
        <v>2011</v>
      </c>
      <c r="C333" s="683" t="s">
        <v>243</v>
      </c>
      <c r="D333" s="19" t="s">
        <v>244</v>
      </c>
      <c r="E333" s="683" t="s">
        <v>2585</v>
      </c>
      <c r="F333" s="683" t="s">
        <v>55</v>
      </c>
      <c r="G333" s="683" t="s">
        <v>103</v>
      </c>
      <c r="H333" s="76">
        <v>1366796</v>
      </c>
      <c r="I333" s="19" t="s">
        <v>2654</v>
      </c>
      <c r="J333" s="76" t="s">
        <v>943</v>
      </c>
      <c r="K333" s="683"/>
      <c r="L333" s="683" t="s">
        <v>2586</v>
      </c>
      <c r="M333" s="76">
        <v>84528000</v>
      </c>
      <c r="N333" s="76">
        <v>85283000</v>
      </c>
      <c r="O333" s="683" t="s">
        <v>2813</v>
      </c>
      <c r="P333" s="683"/>
      <c r="Q333" s="683"/>
    </row>
    <row r="334" spans="1:17" ht="15" customHeight="1">
      <c r="A334" s="683" t="s">
        <v>249</v>
      </c>
      <c r="B334" s="683">
        <v>2011</v>
      </c>
      <c r="C334" s="683" t="s">
        <v>243</v>
      </c>
      <c r="D334" s="19" t="s">
        <v>244</v>
      </c>
      <c r="E334" s="683" t="s">
        <v>2585</v>
      </c>
      <c r="F334" s="683" t="s">
        <v>55</v>
      </c>
      <c r="G334" s="683" t="s">
        <v>561</v>
      </c>
      <c r="H334" s="76">
        <v>212625923</v>
      </c>
      <c r="I334" s="19" t="s">
        <v>2656</v>
      </c>
      <c r="J334" s="76" t="s">
        <v>943</v>
      </c>
      <c r="K334" s="683"/>
      <c r="L334" s="683" t="s">
        <v>2722</v>
      </c>
      <c r="M334" s="76">
        <v>13313000</v>
      </c>
      <c r="N334" s="76">
        <v>13313000</v>
      </c>
      <c r="O334" s="683" t="s">
        <v>2813</v>
      </c>
      <c r="P334" s="683"/>
      <c r="Q334" s="683"/>
    </row>
    <row r="335" spans="1:17" ht="15" customHeight="1">
      <c r="A335" s="683" t="s">
        <v>249</v>
      </c>
      <c r="B335" s="683">
        <v>2011</v>
      </c>
      <c r="C335" s="683" t="s">
        <v>243</v>
      </c>
      <c r="D335" s="19" t="s">
        <v>244</v>
      </c>
      <c r="E335" s="683" t="s">
        <v>2585</v>
      </c>
      <c r="F335" s="683" t="s">
        <v>55</v>
      </c>
      <c r="G335" s="683"/>
      <c r="H335" s="76"/>
      <c r="I335" s="19"/>
      <c r="J335" s="76"/>
      <c r="K335" s="683"/>
      <c r="L335" s="683" t="s">
        <v>2723</v>
      </c>
      <c r="M335" s="76">
        <v>11550000</v>
      </c>
      <c r="N335" s="76">
        <v>11550000</v>
      </c>
      <c r="O335" s="683" t="s">
        <v>2815</v>
      </c>
      <c r="P335" s="683"/>
      <c r="Q335" s="683"/>
    </row>
    <row r="336" spans="1:17" ht="15" customHeight="1">
      <c r="A336" s="683" t="s">
        <v>249</v>
      </c>
      <c r="B336" s="683">
        <v>2011</v>
      </c>
      <c r="C336" s="683" t="s">
        <v>243</v>
      </c>
      <c r="D336" s="19" t="s">
        <v>244</v>
      </c>
      <c r="E336" s="683" t="s">
        <v>2585</v>
      </c>
      <c r="F336" s="683" t="s">
        <v>55</v>
      </c>
      <c r="G336" s="683"/>
      <c r="H336" s="76"/>
      <c r="I336" s="19"/>
      <c r="J336" s="76"/>
      <c r="K336" s="683"/>
      <c r="L336" s="683" t="s">
        <v>2724</v>
      </c>
      <c r="M336" s="76">
        <v>8084000</v>
      </c>
      <c r="N336" s="76">
        <v>8084000</v>
      </c>
      <c r="O336" s="683" t="s">
        <v>2815</v>
      </c>
      <c r="P336" s="683"/>
      <c r="Q336" s="683"/>
    </row>
    <row r="337" spans="1:17" ht="15" customHeight="1">
      <c r="A337" s="683" t="s">
        <v>249</v>
      </c>
      <c r="B337" s="683">
        <v>2011</v>
      </c>
      <c r="C337" s="683" t="s">
        <v>243</v>
      </c>
      <c r="D337" s="19" t="s">
        <v>244</v>
      </c>
      <c r="E337" s="683" t="s">
        <v>2591</v>
      </c>
      <c r="F337" s="683" t="s">
        <v>55</v>
      </c>
      <c r="G337" s="683" t="s">
        <v>103</v>
      </c>
      <c r="H337" s="76">
        <v>138146</v>
      </c>
      <c r="I337" s="19" t="s">
        <v>2654</v>
      </c>
      <c r="J337" s="76" t="s">
        <v>943</v>
      </c>
      <c r="K337" s="683"/>
      <c r="L337" s="683" t="s">
        <v>2592</v>
      </c>
      <c r="M337" s="76">
        <v>9249000</v>
      </c>
      <c r="N337" s="76">
        <v>9342000</v>
      </c>
      <c r="O337" s="683" t="s">
        <v>2813</v>
      </c>
      <c r="P337" s="683"/>
      <c r="Q337" s="683"/>
    </row>
    <row r="338" spans="1:17" ht="15" customHeight="1">
      <c r="A338" s="683" t="s">
        <v>249</v>
      </c>
      <c r="B338" s="683">
        <v>2011</v>
      </c>
      <c r="C338" s="683" t="s">
        <v>243</v>
      </c>
      <c r="D338" s="19" t="s">
        <v>244</v>
      </c>
      <c r="E338" s="683" t="s">
        <v>2591</v>
      </c>
      <c r="F338" s="683" t="s">
        <v>55</v>
      </c>
      <c r="G338" s="683" t="s">
        <v>561</v>
      </c>
      <c r="H338" s="76">
        <v>21490692</v>
      </c>
      <c r="I338" s="19" t="s">
        <v>2656</v>
      </c>
      <c r="J338" s="76" t="s">
        <v>943</v>
      </c>
      <c r="K338" s="683"/>
      <c r="L338" s="683" t="s">
        <v>2725</v>
      </c>
      <c r="M338" s="76">
        <v>3279000</v>
      </c>
      <c r="N338" s="76">
        <v>3205000</v>
      </c>
      <c r="O338" s="683" t="s">
        <v>2813</v>
      </c>
      <c r="P338" s="683"/>
      <c r="Q338" s="683"/>
    </row>
    <row r="339" spans="1:17" ht="15" customHeight="1">
      <c r="A339" s="683" t="s">
        <v>249</v>
      </c>
      <c r="B339" s="683">
        <v>2011</v>
      </c>
      <c r="C339" s="683" t="s">
        <v>243</v>
      </c>
      <c r="D339" s="19" t="s">
        <v>244</v>
      </c>
      <c r="E339" s="683" t="s">
        <v>2591</v>
      </c>
      <c r="F339" s="683" t="s">
        <v>55</v>
      </c>
      <c r="G339" s="683"/>
      <c r="H339" s="76"/>
      <c r="I339" s="19"/>
      <c r="J339" s="76"/>
      <c r="K339" s="683"/>
      <c r="L339" s="683" t="s">
        <v>2726</v>
      </c>
      <c r="M339" s="76">
        <v>1746000</v>
      </c>
      <c r="N339" s="76">
        <v>1746000</v>
      </c>
      <c r="O339" s="683" t="s">
        <v>2815</v>
      </c>
      <c r="P339" s="683"/>
      <c r="Q339" s="683"/>
    </row>
    <row r="340" spans="1:17" ht="15" customHeight="1">
      <c r="A340" s="683" t="s">
        <v>249</v>
      </c>
      <c r="B340" s="683">
        <v>2011</v>
      </c>
      <c r="C340" s="683" t="s">
        <v>243</v>
      </c>
      <c r="D340" s="19" t="s">
        <v>244</v>
      </c>
      <c r="E340" s="683" t="s">
        <v>2727</v>
      </c>
      <c r="F340" s="683" t="s">
        <v>55</v>
      </c>
      <c r="G340" s="683" t="s">
        <v>103</v>
      </c>
      <c r="H340" s="76">
        <v>6034190</v>
      </c>
      <c r="I340" s="19" t="s">
        <v>2654</v>
      </c>
      <c r="J340" s="76" t="s">
        <v>943</v>
      </c>
      <c r="K340" s="683"/>
      <c r="L340" s="683" t="s">
        <v>2595</v>
      </c>
      <c r="M340" s="76">
        <v>384957000</v>
      </c>
      <c r="N340" s="76">
        <v>384957000</v>
      </c>
      <c r="O340" s="683" t="s">
        <v>2813</v>
      </c>
      <c r="P340" s="683"/>
      <c r="Q340" s="683"/>
    </row>
    <row r="341" spans="1:17" ht="15" customHeight="1">
      <c r="A341" s="683" t="s">
        <v>249</v>
      </c>
      <c r="B341" s="683">
        <v>2011</v>
      </c>
      <c r="C341" s="683" t="s">
        <v>243</v>
      </c>
      <c r="D341" s="19" t="s">
        <v>244</v>
      </c>
      <c r="E341" s="683" t="s">
        <v>2727</v>
      </c>
      <c r="F341" s="683" t="s">
        <v>55</v>
      </c>
      <c r="G341" s="683" t="s">
        <v>561</v>
      </c>
      <c r="H341" s="76">
        <v>2339380</v>
      </c>
      <c r="I341" s="19" t="s">
        <v>2656</v>
      </c>
      <c r="J341" s="76" t="s">
        <v>943</v>
      </c>
      <c r="K341" s="683"/>
      <c r="L341" s="683" t="s">
        <v>2728</v>
      </c>
      <c r="M341" s="76">
        <v>2754000</v>
      </c>
      <c r="N341" s="76">
        <v>2754000</v>
      </c>
      <c r="O341" s="683" t="s">
        <v>2813</v>
      </c>
      <c r="P341" s="683"/>
      <c r="Q341" s="683"/>
    </row>
    <row r="342" spans="1:17" ht="15" customHeight="1">
      <c r="A342" s="683" t="s">
        <v>249</v>
      </c>
      <c r="B342" s="683">
        <v>2011</v>
      </c>
      <c r="C342" s="683" t="s">
        <v>243</v>
      </c>
      <c r="D342" s="19" t="s">
        <v>244</v>
      </c>
      <c r="E342" s="683" t="s">
        <v>2597</v>
      </c>
      <c r="F342" s="683" t="s">
        <v>55</v>
      </c>
      <c r="G342" s="683" t="s">
        <v>103</v>
      </c>
      <c r="H342" s="76">
        <v>2715261</v>
      </c>
      <c r="I342" s="19" t="s">
        <v>2654</v>
      </c>
      <c r="J342" s="76" t="s">
        <v>943</v>
      </c>
      <c r="K342" s="683"/>
      <c r="L342" s="683" t="s">
        <v>2598</v>
      </c>
      <c r="M342" s="76">
        <v>419430000</v>
      </c>
      <c r="N342" s="76">
        <v>419430000</v>
      </c>
      <c r="O342" s="683" t="s">
        <v>2813</v>
      </c>
      <c r="P342" s="683"/>
      <c r="Q342" s="683"/>
    </row>
    <row r="343" spans="1:17" ht="15" customHeight="1">
      <c r="A343" s="683" t="s">
        <v>249</v>
      </c>
      <c r="B343" s="683">
        <v>2011</v>
      </c>
      <c r="C343" s="683" t="s">
        <v>243</v>
      </c>
      <c r="D343" s="19" t="s">
        <v>244</v>
      </c>
      <c r="E343" s="683" t="s">
        <v>2597</v>
      </c>
      <c r="F343" s="683" t="s">
        <v>55</v>
      </c>
      <c r="G343" s="683" t="s">
        <v>561</v>
      </c>
      <c r="H343" s="76">
        <v>43785025</v>
      </c>
      <c r="I343" s="19" t="s">
        <v>2656</v>
      </c>
      <c r="J343" s="76" t="s">
        <v>943</v>
      </c>
      <c r="K343" s="683"/>
      <c r="L343" s="683"/>
      <c r="M343" s="76"/>
      <c r="N343" s="76"/>
      <c r="O343" s="683" t="s">
        <v>2817</v>
      </c>
      <c r="P343" s="683"/>
      <c r="Q343" s="683"/>
    </row>
    <row r="344" spans="1:17" ht="15" customHeight="1">
      <c r="A344" s="683" t="s">
        <v>249</v>
      </c>
      <c r="B344" s="683">
        <v>2011</v>
      </c>
      <c r="C344" s="683" t="s">
        <v>243</v>
      </c>
      <c r="D344" s="19" t="s">
        <v>244</v>
      </c>
      <c r="E344" s="683" t="s">
        <v>2600</v>
      </c>
      <c r="F344" s="683" t="s">
        <v>55</v>
      </c>
      <c r="G344" s="683" t="s">
        <v>103</v>
      </c>
      <c r="H344" s="76">
        <v>864596</v>
      </c>
      <c r="I344" s="19" t="s">
        <v>2654</v>
      </c>
      <c r="J344" s="76" t="s">
        <v>943</v>
      </c>
      <c r="K344" s="683"/>
      <c r="L344" s="683" t="s">
        <v>2601</v>
      </c>
      <c r="M344" s="76">
        <v>76111000</v>
      </c>
      <c r="N344" s="76">
        <v>76111000</v>
      </c>
      <c r="O344" s="683" t="s">
        <v>2813</v>
      </c>
      <c r="P344" s="683"/>
      <c r="Q344" s="683"/>
    </row>
    <row r="345" spans="1:17" ht="15" customHeight="1">
      <c r="A345" s="683" t="s">
        <v>249</v>
      </c>
      <c r="B345" s="683">
        <v>2011</v>
      </c>
      <c r="C345" s="683" t="s">
        <v>243</v>
      </c>
      <c r="D345" s="19" t="s">
        <v>244</v>
      </c>
      <c r="E345" s="683" t="s">
        <v>2600</v>
      </c>
      <c r="F345" s="683" t="s">
        <v>55</v>
      </c>
      <c r="G345" s="683" t="s">
        <v>561</v>
      </c>
      <c r="H345" s="76">
        <v>1677906</v>
      </c>
      <c r="I345" s="19" t="s">
        <v>2656</v>
      </c>
      <c r="J345" s="76" t="s">
        <v>943</v>
      </c>
      <c r="K345" s="683"/>
      <c r="L345" s="683"/>
      <c r="M345" s="76"/>
      <c r="N345" s="76"/>
      <c r="O345" s="683" t="s">
        <v>2817</v>
      </c>
      <c r="P345" s="683"/>
      <c r="Q345" s="683"/>
    </row>
    <row r="346" spans="1:17" ht="15" customHeight="1">
      <c r="A346" s="683" t="s">
        <v>249</v>
      </c>
      <c r="B346" s="683">
        <v>2011</v>
      </c>
      <c r="C346" s="683" t="s">
        <v>243</v>
      </c>
      <c r="D346" s="19" t="s">
        <v>244</v>
      </c>
      <c r="E346" s="683" t="s">
        <v>2603</v>
      </c>
      <c r="F346" s="683" t="s">
        <v>55</v>
      </c>
      <c r="G346" s="683" t="s">
        <v>103</v>
      </c>
      <c r="H346" s="76">
        <v>134</v>
      </c>
      <c r="I346" s="19" t="s">
        <v>2654</v>
      </c>
      <c r="J346" s="76" t="s">
        <v>943</v>
      </c>
      <c r="K346" s="683"/>
      <c r="L346" s="683" t="s">
        <v>2604</v>
      </c>
      <c r="M346" s="76">
        <v>4492000</v>
      </c>
      <c r="N346" s="76">
        <v>4492000</v>
      </c>
      <c r="O346" s="683" t="s">
        <v>2813</v>
      </c>
      <c r="P346" s="683"/>
      <c r="Q346" s="683"/>
    </row>
    <row r="347" spans="1:17" ht="15" customHeight="1">
      <c r="A347" s="683" t="s">
        <v>249</v>
      </c>
      <c r="B347" s="683">
        <v>2011</v>
      </c>
      <c r="C347" s="683" t="s">
        <v>243</v>
      </c>
      <c r="D347" s="19" t="s">
        <v>244</v>
      </c>
      <c r="E347" s="683" t="s">
        <v>2603</v>
      </c>
      <c r="F347" s="683" t="s">
        <v>55</v>
      </c>
      <c r="G347" s="683" t="s">
        <v>561</v>
      </c>
      <c r="H347" s="76">
        <v>9819032</v>
      </c>
      <c r="I347" s="19" t="s">
        <v>2656</v>
      </c>
      <c r="J347" s="76" t="s">
        <v>943</v>
      </c>
      <c r="K347" s="683"/>
      <c r="L347" s="683" t="s">
        <v>2729</v>
      </c>
      <c r="M347" s="76"/>
      <c r="N347" s="76"/>
      <c r="O347" s="683" t="s">
        <v>2817</v>
      </c>
      <c r="P347" s="683"/>
      <c r="Q347" s="683"/>
    </row>
    <row r="348" spans="1:17" ht="15" customHeight="1">
      <c r="A348" s="683" t="s">
        <v>249</v>
      </c>
      <c r="B348" s="683">
        <v>2011</v>
      </c>
      <c r="C348" s="683" t="s">
        <v>243</v>
      </c>
      <c r="D348" s="19" t="s">
        <v>244</v>
      </c>
      <c r="E348" s="683" t="s">
        <v>2603</v>
      </c>
      <c r="F348" s="683" t="s">
        <v>55</v>
      </c>
      <c r="G348" s="683"/>
      <c r="H348" s="76"/>
      <c r="I348" s="19"/>
      <c r="J348" s="76"/>
      <c r="K348" s="683"/>
      <c r="L348" s="683" t="s">
        <v>2730</v>
      </c>
      <c r="M348" s="76"/>
      <c r="N348" s="76"/>
      <c r="O348" s="683"/>
      <c r="P348" s="683"/>
      <c r="Q348" s="683"/>
    </row>
    <row r="349" spans="1:17" ht="15" customHeight="1">
      <c r="A349" s="683" t="s">
        <v>249</v>
      </c>
      <c r="B349" s="683">
        <v>2011</v>
      </c>
      <c r="C349" s="683" t="s">
        <v>243</v>
      </c>
      <c r="D349" s="19" t="s">
        <v>244</v>
      </c>
      <c r="E349" s="683" t="s">
        <v>2731</v>
      </c>
      <c r="F349" s="683" t="s">
        <v>55</v>
      </c>
      <c r="G349" s="683"/>
      <c r="H349" s="76"/>
      <c r="I349" s="19"/>
      <c r="J349" s="76"/>
      <c r="K349" s="683"/>
      <c r="L349" s="683" t="s">
        <v>2732</v>
      </c>
      <c r="M349" s="76"/>
      <c r="N349" s="76"/>
      <c r="O349" s="683"/>
      <c r="P349" s="683"/>
      <c r="Q349" s="683"/>
    </row>
    <row r="350" spans="1:17" ht="15" customHeight="1">
      <c r="A350" s="683" t="s">
        <v>249</v>
      </c>
      <c r="B350" s="683">
        <v>2011</v>
      </c>
      <c r="C350" s="683" t="s">
        <v>243</v>
      </c>
      <c r="D350" s="19" t="s">
        <v>244</v>
      </c>
      <c r="E350" s="683" t="s">
        <v>2731</v>
      </c>
      <c r="F350" s="683" t="s">
        <v>55</v>
      </c>
      <c r="G350" s="683"/>
      <c r="H350" s="76"/>
      <c r="I350" s="19"/>
      <c r="J350" s="76"/>
      <c r="K350" s="683"/>
      <c r="L350" s="683" t="s">
        <v>2733</v>
      </c>
      <c r="M350" s="76"/>
      <c r="N350" s="76"/>
      <c r="O350" s="683"/>
      <c r="P350" s="683"/>
      <c r="Q350" s="683"/>
    </row>
    <row r="351" spans="1:17" ht="15" customHeight="1">
      <c r="A351" s="683" t="s">
        <v>249</v>
      </c>
      <c r="B351" s="683">
        <v>2011</v>
      </c>
      <c r="C351" s="683" t="s">
        <v>243</v>
      </c>
      <c r="D351" s="19" t="s">
        <v>244</v>
      </c>
      <c r="E351" s="683" t="s">
        <v>2731</v>
      </c>
      <c r="F351" s="683" t="s">
        <v>55</v>
      </c>
      <c r="G351" s="683"/>
      <c r="H351" s="76"/>
      <c r="I351" s="19"/>
      <c r="J351" s="76"/>
      <c r="K351" s="683"/>
      <c r="L351" s="683" t="s">
        <v>2734</v>
      </c>
      <c r="M351" s="76"/>
      <c r="N351" s="76"/>
      <c r="O351" s="683"/>
      <c r="P351" s="683"/>
      <c r="Q351" s="683"/>
    </row>
    <row r="352" spans="1:17" ht="15" customHeight="1">
      <c r="A352" s="683" t="s">
        <v>249</v>
      </c>
      <c r="B352" s="683">
        <v>2011</v>
      </c>
      <c r="C352" s="683" t="s">
        <v>243</v>
      </c>
      <c r="D352" s="19" t="s">
        <v>244</v>
      </c>
      <c r="E352" s="683" t="s">
        <v>2735</v>
      </c>
      <c r="F352" s="683" t="s">
        <v>55</v>
      </c>
      <c r="G352" s="683" t="s">
        <v>103</v>
      </c>
      <c r="H352" s="76">
        <v>874135</v>
      </c>
      <c r="I352" s="19" t="s">
        <v>2654</v>
      </c>
      <c r="J352" s="76" t="s">
        <v>943</v>
      </c>
      <c r="K352" s="683"/>
      <c r="L352" s="683" t="s">
        <v>2607</v>
      </c>
      <c r="M352" s="76">
        <v>245866000</v>
      </c>
      <c r="N352" s="76">
        <v>231457000</v>
      </c>
      <c r="O352" s="683" t="s">
        <v>2813</v>
      </c>
      <c r="P352" s="683"/>
      <c r="Q352" s="683"/>
    </row>
    <row r="353" spans="1:17" ht="15" customHeight="1">
      <c r="A353" s="683" t="s">
        <v>249</v>
      </c>
      <c r="B353" s="683">
        <v>2011</v>
      </c>
      <c r="C353" s="683" t="s">
        <v>243</v>
      </c>
      <c r="D353" s="19" t="s">
        <v>244</v>
      </c>
      <c r="E353" s="683" t="s">
        <v>2735</v>
      </c>
      <c r="F353" s="683" t="s">
        <v>55</v>
      </c>
      <c r="G353" s="683" t="s">
        <v>561</v>
      </c>
      <c r="H353" s="76">
        <v>54512</v>
      </c>
      <c r="I353" s="19" t="s">
        <v>2656</v>
      </c>
      <c r="J353" s="76" t="s">
        <v>943</v>
      </c>
      <c r="K353" s="683"/>
      <c r="L353" s="683" t="s">
        <v>2736</v>
      </c>
      <c r="M353" s="76">
        <v>30305000</v>
      </c>
      <c r="N353" s="76">
        <v>30305000</v>
      </c>
      <c r="O353" s="683" t="s">
        <v>2813</v>
      </c>
      <c r="P353" s="683"/>
      <c r="Q353" s="683"/>
    </row>
    <row r="354" spans="1:17" ht="15" customHeight="1">
      <c r="A354" s="683" t="s">
        <v>249</v>
      </c>
      <c r="B354" s="683">
        <v>2011</v>
      </c>
      <c r="C354" s="683" t="s">
        <v>243</v>
      </c>
      <c r="D354" s="19" t="s">
        <v>244</v>
      </c>
      <c r="E354" s="683" t="s">
        <v>2735</v>
      </c>
      <c r="F354" s="683" t="s">
        <v>55</v>
      </c>
      <c r="G354" s="683"/>
      <c r="H354" s="76"/>
      <c r="I354" s="19"/>
      <c r="J354" s="76"/>
      <c r="K354" s="683"/>
      <c r="L354" s="683" t="s">
        <v>2737</v>
      </c>
      <c r="M354" s="76">
        <v>20911000</v>
      </c>
      <c r="N354" s="76">
        <v>20911000</v>
      </c>
      <c r="O354" s="683" t="s">
        <v>2815</v>
      </c>
      <c r="P354" s="683"/>
      <c r="Q354" s="683"/>
    </row>
    <row r="355" spans="1:17" ht="15" customHeight="1">
      <c r="A355" s="683" t="s">
        <v>249</v>
      </c>
      <c r="B355" s="683">
        <v>2011</v>
      </c>
      <c r="C355" s="683" t="s">
        <v>243</v>
      </c>
      <c r="D355" s="19" t="s">
        <v>244</v>
      </c>
      <c r="E355" s="683" t="s">
        <v>2735</v>
      </c>
      <c r="F355" s="683" t="s">
        <v>55</v>
      </c>
      <c r="G355" s="683"/>
      <c r="H355" s="76"/>
      <c r="I355" s="19"/>
      <c r="J355" s="76"/>
      <c r="K355" s="683"/>
      <c r="L355" s="683" t="s">
        <v>2738</v>
      </c>
      <c r="M355" s="76">
        <v>13637000</v>
      </c>
      <c r="N355" s="76">
        <v>13637000</v>
      </c>
      <c r="O355" s="683" t="s">
        <v>2815</v>
      </c>
      <c r="P355" s="683"/>
      <c r="Q355" s="683"/>
    </row>
    <row r="356" spans="1:17" ht="15" customHeight="1">
      <c r="A356" s="683" t="s">
        <v>249</v>
      </c>
      <c r="B356" s="683">
        <v>2011</v>
      </c>
      <c r="C356" s="683" t="s">
        <v>243</v>
      </c>
      <c r="D356" s="19" t="s">
        <v>244</v>
      </c>
      <c r="E356" s="683" t="s">
        <v>2609</v>
      </c>
      <c r="F356" s="683" t="s">
        <v>55</v>
      </c>
      <c r="G356" s="683" t="s">
        <v>103</v>
      </c>
      <c r="H356" s="76">
        <v>2607065</v>
      </c>
      <c r="I356" s="19" t="s">
        <v>2654</v>
      </c>
      <c r="J356" s="76" t="s">
        <v>943</v>
      </c>
      <c r="K356" s="683"/>
      <c r="L356" s="683" t="s">
        <v>2739</v>
      </c>
      <c r="M356" s="76">
        <v>158154000</v>
      </c>
      <c r="N356" s="76">
        <v>155534000</v>
      </c>
      <c r="O356" s="683" t="s">
        <v>2813</v>
      </c>
      <c r="P356" s="683"/>
      <c r="Q356" s="683"/>
    </row>
    <row r="357" spans="1:17" ht="15" customHeight="1">
      <c r="A357" s="683" t="s">
        <v>249</v>
      </c>
      <c r="B357" s="683">
        <v>2011</v>
      </c>
      <c r="C357" s="683" t="s">
        <v>243</v>
      </c>
      <c r="D357" s="19" t="s">
        <v>244</v>
      </c>
      <c r="E357" s="683" t="s">
        <v>2609</v>
      </c>
      <c r="F357" s="683" t="s">
        <v>55</v>
      </c>
      <c r="G357" s="683"/>
      <c r="H357" s="76"/>
      <c r="I357" s="19"/>
      <c r="J357" s="76"/>
      <c r="K357" s="683"/>
      <c r="L357" s="683" t="s">
        <v>2740</v>
      </c>
      <c r="M357" s="76">
        <v>6959000</v>
      </c>
      <c r="N357" s="76">
        <v>6959000</v>
      </c>
      <c r="O357" s="683" t="s">
        <v>2815</v>
      </c>
      <c r="P357" s="683"/>
      <c r="Q357" s="683"/>
    </row>
    <row r="358" spans="1:17" ht="15" customHeight="1">
      <c r="A358" s="683" t="s">
        <v>249</v>
      </c>
      <c r="B358" s="683">
        <v>2011</v>
      </c>
      <c r="C358" s="683" t="s">
        <v>243</v>
      </c>
      <c r="D358" s="19" t="s">
        <v>244</v>
      </c>
      <c r="E358" s="683" t="s">
        <v>2609</v>
      </c>
      <c r="F358" s="683" t="s">
        <v>55</v>
      </c>
      <c r="G358" s="683"/>
      <c r="H358" s="76"/>
      <c r="I358" s="19"/>
      <c r="J358" s="76"/>
      <c r="K358" s="683"/>
      <c r="L358" s="683" t="s">
        <v>2741</v>
      </c>
      <c r="M358" s="76">
        <v>312000</v>
      </c>
      <c r="N358" s="76">
        <v>233000</v>
      </c>
      <c r="O358" s="683" t="s">
        <v>2815</v>
      </c>
      <c r="P358" s="683"/>
      <c r="Q358" s="683"/>
    </row>
    <row r="359" spans="1:17" ht="15" customHeight="1">
      <c r="A359" s="683" t="s">
        <v>249</v>
      </c>
      <c r="B359" s="683">
        <v>2011</v>
      </c>
      <c r="C359" s="683" t="s">
        <v>243</v>
      </c>
      <c r="D359" s="19" t="s">
        <v>244</v>
      </c>
      <c r="E359" s="683" t="s">
        <v>2609</v>
      </c>
      <c r="F359" s="683" t="s">
        <v>55</v>
      </c>
      <c r="G359" s="683"/>
      <c r="H359" s="76"/>
      <c r="I359" s="19"/>
      <c r="J359" s="76"/>
      <c r="K359" s="683"/>
      <c r="L359" s="683" t="s">
        <v>2742</v>
      </c>
      <c r="M359" s="76"/>
      <c r="N359" s="76"/>
      <c r="O359" s="683"/>
      <c r="P359" s="683"/>
      <c r="Q359" s="683"/>
    </row>
    <row r="360" spans="1:17" ht="15" customHeight="1">
      <c r="A360" s="683" t="s">
        <v>249</v>
      </c>
      <c r="B360" s="683">
        <v>2011</v>
      </c>
      <c r="C360" s="683" t="s">
        <v>243</v>
      </c>
      <c r="D360" s="19" t="s">
        <v>244</v>
      </c>
      <c r="E360" s="683" t="s">
        <v>2612</v>
      </c>
      <c r="F360" s="683" t="s">
        <v>55</v>
      </c>
      <c r="G360" s="683" t="s">
        <v>103</v>
      </c>
      <c r="H360" s="76">
        <v>923906</v>
      </c>
      <c r="I360" s="19" t="s">
        <v>2654</v>
      </c>
      <c r="J360" s="76" t="s">
        <v>943</v>
      </c>
      <c r="K360" s="683"/>
      <c r="L360" s="683" t="s">
        <v>2613</v>
      </c>
      <c r="M360" s="76">
        <v>18533000</v>
      </c>
      <c r="N360" s="76">
        <v>18481000</v>
      </c>
      <c r="O360" s="683" t="s">
        <v>2813</v>
      </c>
      <c r="P360" s="683"/>
      <c r="Q360" s="683"/>
    </row>
    <row r="361" spans="1:17" ht="15" customHeight="1">
      <c r="A361" s="683" t="s">
        <v>249</v>
      </c>
      <c r="B361" s="683">
        <v>2011</v>
      </c>
      <c r="C361" s="683" t="s">
        <v>243</v>
      </c>
      <c r="D361" s="19" t="s">
        <v>244</v>
      </c>
      <c r="E361" s="683" t="s">
        <v>2612</v>
      </c>
      <c r="F361" s="683" t="s">
        <v>55</v>
      </c>
      <c r="G361" s="683" t="s">
        <v>561</v>
      </c>
      <c r="H361" s="76">
        <v>8885555</v>
      </c>
      <c r="I361" s="19" t="s">
        <v>2656</v>
      </c>
      <c r="J361" s="76" t="s">
        <v>943</v>
      </c>
      <c r="K361" s="683"/>
      <c r="L361" s="683" t="s">
        <v>2743</v>
      </c>
      <c r="M361" s="76"/>
      <c r="N361" s="76"/>
      <c r="O361" s="683" t="s">
        <v>2817</v>
      </c>
      <c r="P361" s="683"/>
      <c r="Q361" s="683"/>
    </row>
    <row r="362" spans="1:17" ht="15" customHeight="1">
      <c r="A362" s="683" t="s">
        <v>249</v>
      </c>
      <c r="B362" s="683">
        <v>2011</v>
      </c>
      <c r="C362" s="683" t="s">
        <v>243</v>
      </c>
      <c r="D362" s="19" t="s">
        <v>244</v>
      </c>
      <c r="E362" s="683" t="s">
        <v>2615</v>
      </c>
      <c r="F362" s="683" t="s">
        <v>55</v>
      </c>
      <c r="G362" s="683" t="s">
        <v>561</v>
      </c>
      <c r="H362" s="76">
        <v>1348585</v>
      </c>
      <c r="I362" s="19" t="s">
        <v>2656</v>
      </c>
      <c r="J362" s="76" t="s">
        <v>943</v>
      </c>
      <c r="K362" s="683"/>
      <c r="L362" s="683" t="s">
        <v>2825</v>
      </c>
      <c r="M362" s="76">
        <v>246000</v>
      </c>
      <c r="N362" s="76">
        <v>246000</v>
      </c>
      <c r="O362" s="683" t="s">
        <v>2813</v>
      </c>
      <c r="P362" s="683"/>
      <c r="Q362" s="683"/>
    </row>
    <row r="363" spans="1:17" ht="15" customHeight="1">
      <c r="A363" s="683" t="s">
        <v>249</v>
      </c>
      <c r="B363" s="683">
        <v>2011</v>
      </c>
      <c r="C363" s="683" t="s">
        <v>243</v>
      </c>
      <c r="D363" s="19" t="s">
        <v>244</v>
      </c>
      <c r="E363" s="683" t="s">
        <v>2618</v>
      </c>
      <c r="F363" s="683" t="s">
        <v>55</v>
      </c>
      <c r="G363" s="683" t="s">
        <v>561</v>
      </c>
      <c r="H363" s="76">
        <v>1581449</v>
      </c>
      <c r="I363" s="19" t="s">
        <v>2656</v>
      </c>
      <c r="J363" s="76" t="s">
        <v>943</v>
      </c>
      <c r="K363" s="683"/>
      <c r="L363" s="683" t="s">
        <v>2619</v>
      </c>
      <c r="M363" s="76">
        <v>1098000</v>
      </c>
      <c r="N363" s="76">
        <v>1098000</v>
      </c>
      <c r="O363" s="683" t="s">
        <v>2813</v>
      </c>
      <c r="P363" s="683"/>
      <c r="Q363" s="683"/>
    </row>
    <row r="364" spans="1:17" ht="15" customHeight="1">
      <c r="A364" s="683" t="s">
        <v>249</v>
      </c>
      <c r="B364" s="683">
        <v>2011</v>
      </c>
      <c r="C364" s="683" t="s">
        <v>243</v>
      </c>
      <c r="D364" s="19" t="s">
        <v>244</v>
      </c>
      <c r="E364" s="683" t="s">
        <v>2618</v>
      </c>
      <c r="F364" s="683" t="s">
        <v>55</v>
      </c>
      <c r="G364" s="683"/>
      <c r="H364" s="76"/>
      <c r="I364" s="19"/>
      <c r="J364" s="76"/>
      <c r="K364" s="683"/>
      <c r="L364" s="683" t="s">
        <v>2744</v>
      </c>
      <c r="M364" s="76"/>
      <c r="N364" s="76"/>
      <c r="O364" s="683"/>
      <c r="P364" s="683"/>
      <c r="Q364" s="683"/>
    </row>
    <row r="365" spans="1:17" ht="15" customHeight="1">
      <c r="A365" s="683" t="s">
        <v>249</v>
      </c>
      <c r="B365" s="683">
        <v>2011</v>
      </c>
      <c r="C365" s="683" t="s">
        <v>243</v>
      </c>
      <c r="D365" s="19" t="s">
        <v>244</v>
      </c>
      <c r="E365" s="683" t="s">
        <v>2618</v>
      </c>
      <c r="F365" s="683" t="s">
        <v>55</v>
      </c>
      <c r="G365" s="683"/>
      <c r="H365" s="76"/>
      <c r="I365" s="19"/>
      <c r="J365" s="76"/>
      <c r="K365" s="683"/>
      <c r="L365" s="683" t="s">
        <v>2745</v>
      </c>
      <c r="M365" s="76"/>
      <c r="N365" s="76"/>
      <c r="O365" s="683"/>
      <c r="P365" s="683"/>
      <c r="Q365" s="683"/>
    </row>
    <row r="366" spans="1:17" ht="15" customHeight="1">
      <c r="A366" s="683" t="s">
        <v>249</v>
      </c>
      <c r="B366" s="683">
        <v>2011</v>
      </c>
      <c r="C366" s="683" t="s">
        <v>243</v>
      </c>
      <c r="D366" s="19" t="s">
        <v>244</v>
      </c>
      <c r="E366" s="683" t="s">
        <v>2746</v>
      </c>
      <c r="F366" s="683" t="s">
        <v>55</v>
      </c>
      <c r="G366" s="683" t="s">
        <v>561</v>
      </c>
      <c r="H366" s="76">
        <v>5032462</v>
      </c>
      <c r="I366" s="19" t="s">
        <v>2656</v>
      </c>
      <c r="J366" s="76" t="s">
        <v>943</v>
      </c>
      <c r="K366" s="683"/>
      <c r="L366" s="683" t="s">
        <v>2747</v>
      </c>
      <c r="M366" s="76">
        <v>1751000</v>
      </c>
      <c r="N366" s="76">
        <v>1749000</v>
      </c>
      <c r="O366" s="683" t="s">
        <v>2813</v>
      </c>
      <c r="P366" s="683"/>
      <c r="Q366" s="683"/>
    </row>
    <row r="367" spans="1:17" ht="15" customHeight="1">
      <c r="A367" s="683" t="s">
        <v>249</v>
      </c>
      <c r="B367" s="683">
        <v>2011</v>
      </c>
      <c r="C367" s="683" t="s">
        <v>243</v>
      </c>
      <c r="D367" s="19" t="s">
        <v>244</v>
      </c>
      <c r="E367" s="683" t="s">
        <v>2748</v>
      </c>
      <c r="F367" s="683" t="s">
        <v>55</v>
      </c>
      <c r="G367" s="683"/>
      <c r="H367" s="76"/>
      <c r="I367" s="19"/>
      <c r="J367" s="76"/>
      <c r="K367" s="683"/>
      <c r="L367" s="683" t="s">
        <v>2749</v>
      </c>
      <c r="M367" s="76">
        <v>563000</v>
      </c>
      <c r="N367" s="76">
        <v>563000</v>
      </c>
      <c r="O367" s="683" t="s">
        <v>2815</v>
      </c>
      <c r="P367" s="683"/>
      <c r="Q367" s="683"/>
    </row>
    <row r="368" spans="1:17" ht="15" customHeight="1">
      <c r="A368" s="683" t="s">
        <v>249</v>
      </c>
      <c r="B368" s="683">
        <v>2011</v>
      </c>
      <c r="C368" s="683" t="s">
        <v>243</v>
      </c>
      <c r="D368" s="19" t="s">
        <v>244</v>
      </c>
      <c r="E368" s="683" t="s">
        <v>2748</v>
      </c>
      <c r="F368" s="683" t="s">
        <v>55</v>
      </c>
      <c r="G368" s="683"/>
      <c r="H368" s="76"/>
      <c r="I368" s="19"/>
      <c r="J368" s="76"/>
      <c r="K368" s="683"/>
      <c r="L368" s="683" t="s">
        <v>2750</v>
      </c>
      <c r="M368" s="76"/>
      <c r="N368" s="76"/>
      <c r="O368" s="683"/>
      <c r="P368" s="683"/>
      <c r="Q368" s="683"/>
    </row>
    <row r="369" spans="1:17" ht="15" customHeight="1">
      <c r="A369" s="683" t="s">
        <v>249</v>
      </c>
      <c r="B369" s="683">
        <v>2011</v>
      </c>
      <c r="C369" s="683" t="s">
        <v>243</v>
      </c>
      <c r="D369" s="19" t="s">
        <v>244</v>
      </c>
      <c r="E369" s="683" t="s">
        <v>2621</v>
      </c>
      <c r="F369" s="683" t="s">
        <v>55</v>
      </c>
      <c r="G369" s="683" t="s">
        <v>103</v>
      </c>
      <c r="H369" s="76">
        <v>1035053</v>
      </c>
      <c r="I369" s="19" t="s">
        <v>2654</v>
      </c>
      <c r="J369" s="76" t="s">
        <v>943</v>
      </c>
      <c r="K369" s="683"/>
      <c r="L369" s="683" t="s">
        <v>2752</v>
      </c>
      <c r="M369" s="76">
        <v>155971000</v>
      </c>
      <c r="N369" s="76">
        <v>155971000</v>
      </c>
      <c r="O369" s="683" t="s">
        <v>2813</v>
      </c>
      <c r="P369" s="683"/>
      <c r="Q369" s="683"/>
    </row>
    <row r="370" spans="1:17" ht="15" customHeight="1">
      <c r="A370" s="683" t="s">
        <v>249</v>
      </c>
      <c r="B370" s="683">
        <v>2011</v>
      </c>
      <c r="C370" s="683" t="s">
        <v>243</v>
      </c>
      <c r="D370" s="19" t="s">
        <v>244</v>
      </c>
      <c r="E370" s="683" t="s">
        <v>2621</v>
      </c>
      <c r="F370" s="683" t="s">
        <v>55</v>
      </c>
      <c r="G370" s="683" t="s">
        <v>561</v>
      </c>
      <c r="H370" s="76">
        <v>12754987</v>
      </c>
      <c r="I370" s="19" t="s">
        <v>2656</v>
      </c>
      <c r="J370" s="76" t="s">
        <v>943</v>
      </c>
      <c r="K370" s="683"/>
      <c r="L370" s="683" t="s">
        <v>2753</v>
      </c>
      <c r="M370" s="76">
        <v>12254000</v>
      </c>
      <c r="N370" s="76">
        <v>12254000</v>
      </c>
      <c r="O370" s="683" t="s">
        <v>2813</v>
      </c>
      <c r="P370" s="683"/>
      <c r="Q370" s="683"/>
    </row>
    <row r="371" spans="1:17" ht="15" customHeight="1">
      <c r="A371" s="683" t="s">
        <v>249</v>
      </c>
      <c r="B371" s="683">
        <v>2011</v>
      </c>
      <c r="C371" s="683" t="s">
        <v>243</v>
      </c>
      <c r="D371" s="19" t="s">
        <v>244</v>
      </c>
      <c r="E371" s="683" t="s">
        <v>2621</v>
      </c>
      <c r="F371" s="683" t="s">
        <v>55</v>
      </c>
      <c r="G371" s="683"/>
      <c r="H371" s="76"/>
      <c r="I371" s="19"/>
      <c r="J371" s="76"/>
      <c r="K371" s="683"/>
      <c r="L371" s="683" t="s">
        <v>2754</v>
      </c>
      <c r="M371" s="76">
        <v>11128000</v>
      </c>
      <c r="N371" s="76">
        <v>11128000</v>
      </c>
      <c r="O371" s="683" t="s">
        <v>2815</v>
      </c>
      <c r="P371" s="683"/>
      <c r="Q371" s="683"/>
    </row>
    <row r="372" spans="1:17" ht="15" customHeight="1">
      <c r="A372" s="683" t="s">
        <v>249</v>
      </c>
      <c r="B372" s="683">
        <v>2011</v>
      </c>
      <c r="C372" s="683" t="s">
        <v>243</v>
      </c>
      <c r="D372" s="19" t="s">
        <v>244</v>
      </c>
      <c r="E372" s="683" t="s">
        <v>2621</v>
      </c>
      <c r="F372" s="683" t="s">
        <v>55</v>
      </c>
      <c r="G372" s="683"/>
      <c r="H372" s="76"/>
      <c r="I372" s="19"/>
      <c r="J372" s="76"/>
      <c r="K372" s="683"/>
      <c r="L372" s="683" t="s">
        <v>2755</v>
      </c>
      <c r="M372" s="76">
        <v>8046000</v>
      </c>
      <c r="N372" s="76">
        <v>8046000</v>
      </c>
      <c r="O372" s="683" t="s">
        <v>2815</v>
      </c>
      <c r="P372" s="683"/>
      <c r="Q372" s="683"/>
    </row>
    <row r="373" spans="1:17" ht="15" customHeight="1">
      <c r="A373" s="683" t="s">
        <v>249</v>
      </c>
      <c r="B373" s="683">
        <v>2011</v>
      </c>
      <c r="C373" s="683" t="s">
        <v>243</v>
      </c>
      <c r="D373" s="19" t="s">
        <v>244</v>
      </c>
      <c r="E373" s="683" t="s">
        <v>2621</v>
      </c>
      <c r="F373" s="683" t="s">
        <v>55</v>
      </c>
      <c r="G373" s="683"/>
      <c r="H373" s="76"/>
      <c r="I373" s="19"/>
      <c r="J373" s="76"/>
      <c r="K373" s="683"/>
      <c r="L373" s="683" t="s">
        <v>2756</v>
      </c>
      <c r="M373" s="76">
        <v>7426000</v>
      </c>
      <c r="N373" s="76">
        <v>7426000</v>
      </c>
      <c r="O373" s="683" t="s">
        <v>2815</v>
      </c>
      <c r="P373" s="683"/>
      <c r="Q373" s="683"/>
    </row>
    <row r="374" spans="1:17" ht="15" customHeight="1">
      <c r="A374" s="683" t="s">
        <v>249</v>
      </c>
      <c r="B374" s="683">
        <v>2011</v>
      </c>
      <c r="C374" s="683" t="s">
        <v>243</v>
      </c>
      <c r="D374" s="19" t="s">
        <v>244</v>
      </c>
      <c r="E374" s="683" t="s">
        <v>2621</v>
      </c>
      <c r="F374" s="683" t="s">
        <v>55</v>
      </c>
      <c r="G374" s="683"/>
      <c r="H374" s="76"/>
      <c r="I374" s="19"/>
      <c r="J374" s="76"/>
      <c r="K374" s="683"/>
      <c r="L374" s="683" t="s">
        <v>2757</v>
      </c>
      <c r="M374" s="76">
        <v>1772000</v>
      </c>
      <c r="N374" s="76">
        <v>1772000</v>
      </c>
      <c r="O374" s="683" t="s">
        <v>2815</v>
      </c>
      <c r="P374" s="683"/>
      <c r="Q374" s="683"/>
    </row>
    <row r="375" spans="1:17" ht="15" customHeight="1">
      <c r="A375" s="683" t="s">
        <v>249</v>
      </c>
      <c r="B375" s="683">
        <v>2011</v>
      </c>
      <c r="C375" s="683" t="s">
        <v>243</v>
      </c>
      <c r="D375" s="19" t="s">
        <v>244</v>
      </c>
      <c r="E375" s="683" t="s">
        <v>2621</v>
      </c>
      <c r="F375" s="683" t="s">
        <v>55</v>
      </c>
      <c r="G375" s="683"/>
      <c r="H375" s="76"/>
      <c r="I375" s="19"/>
      <c r="J375" s="76"/>
      <c r="K375" s="683"/>
      <c r="L375" s="683" t="s">
        <v>2758</v>
      </c>
      <c r="M375" s="76">
        <v>3725000</v>
      </c>
      <c r="N375" s="76">
        <v>3725000</v>
      </c>
      <c r="O375" s="683" t="s">
        <v>2815</v>
      </c>
      <c r="P375" s="683"/>
      <c r="Q375" s="683"/>
    </row>
    <row r="376" spans="1:17" ht="15" customHeight="1">
      <c r="A376" s="683" t="s">
        <v>249</v>
      </c>
      <c r="B376" s="683">
        <v>2011</v>
      </c>
      <c r="C376" s="683" t="s">
        <v>243</v>
      </c>
      <c r="D376" s="19" t="s">
        <v>244</v>
      </c>
      <c r="E376" s="683" t="s">
        <v>2621</v>
      </c>
      <c r="F376" s="683" t="s">
        <v>55</v>
      </c>
      <c r="G376" s="683"/>
      <c r="H376" s="76"/>
      <c r="I376" s="19"/>
      <c r="J376" s="76"/>
      <c r="K376" s="683"/>
      <c r="L376" s="697" t="s">
        <v>2759</v>
      </c>
      <c r="M376" s="76">
        <v>1949000</v>
      </c>
      <c r="N376" s="76">
        <v>1949000</v>
      </c>
      <c r="O376" s="683" t="s">
        <v>2815</v>
      </c>
      <c r="P376" s="683"/>
      <c r="Q376" s="683"/>
    </row>
    <row r="377" spans="1:17" ht="15" customHeight="1">
      <c r="A377" s="683" t="s">
        <v>249</v>
      </c>
      <c r="B377" s="683">
        <v>2011</v>
      </c>
      <c r="C377" s="683" t="s">
        <v>243</v>
      </c>
      <c r="D377" s="19" t="s">
        <v>244</v>
      </c>
      <c r="E377" s="683" t="s">
        <v>2553</v>
      </c>
      <c r="F377" s="683" t="s">
        <v>55</v>
      </c>
      <c r="G377" s="683" t="s">
        <v>103</v>
      </c>
      <c r="H377" s="76">
        <f>814423*2</f>
        <v>1628846</v>
      </c>
      <c r="I377" s="19" t="s">
        <v>2654</v>
      </c>
      <c r="J377" s="76" t="s">
        <v>943</v>
      </c>
      <c r="K377" s="683"/>
      <c r="L377" s="683" t="s">
        <v>2760</v>
      </c>
      <c r="M377" s="76">
        <v>65574000</v>
      </c>
      <c r="N377" s="76">
        <v>65574000</v>
      </c>
      <c r="O377" s="683" t="s">
        <v>2813</v>
      </c>
      <c r="P377" s="683"/>
      <c r="Q377" s="683"/>
    </row>
    <row r="378" spans="1:17" ht="15" customHeight="1">
      <c r="A378" s="683" t="s">
        <v>249</v>
      </c>
      <c r="B378" s="683">
        <v>2011</v>
      </c>
      <c r="C378" s="683" t="s">
        <v>243</v>
      </c>
      <c r="D378" s="19" t="s">
        <v>244</v>
      </c>
      <c r="E378" s="683" t="s">
        <v>2553</v>
      </c>
      <c r="F378" s="683" t="s">
        <v>55</v>
      </c>
      <c r="G378" s="683" t="s">
        <v>561</v>
      </c>
      <c r="H378" s="76">
        <f>1363786*2</f>
        <v>2727572</v>
      </c>
      <c r="I378" s="19" t="s">
        <v>2656</v>
      </c>
      <c r="J378" s="76" t="s">
        <v>943</v>
      </c>
      <c r="K378" s="683"/>
      <c r="L378" s="683" t="s">
        <v>2761</v>
      </c>
      <c r="M378" s="76">
        <v>46023000</v>
      </c>
      <c r="N378" s="76">
        <v>46023000</v>
      </c>
      <c r="O378" s="683" t="s">
        <v>2813</v>
      </c>
      <c r="P378" s="683"/>
      <c r="Q378" s="683"/>
    </row>
    <row r="379" spans="1:17" ht="15" customHeight="1">
      <c r="A379" s="683" t="s">
        <v>249</v>
      </c>
      <c r="B379" s="683">
        <v>2011</v>
      </c>
      <c r="C379" s="683" t="s">
        <v>243</v>
      </c>
      <c r="D379" s="19" t="s">
        <v>244</v>
      </c>
      <c r="E379" s="683" t="s">
        <v>2553</v>
      </c>
      <c r="F379" s="683" t="s">
        <v>55</v>
      </c>
      <c r="G379" s="683"/>
      <c r="H379" s="76"/>
      <c r="I379" s="19"/>
      <c r="J379" s="76" t="s">
        <v>943</v>
      </c>
      <c r="K379" s="683"/>
      <c r="L379" s="683" t="s">
        <v>2762</v>
      </c>
      <c r="M379" s="76"/>
      <c r="N379" s="76"/>
      <c r="O379" s="683" t="s">
        <v>2817</v>
      </c>
      <c r="P379" s="683"/>
      <c r="Q379" s="683"/>
    </row>
    <row r="380" spans="1:17" ht="15" customHeight="1">
      <c r="A380" s="683" t="s">
        <v>249</v>
      </c>
      <c r="B380" s="683">
        <v>2011</v>
      </c>
      <c r="C380" s="683" t="s">
        <v>243</v>
      </c>
      <c r="D380" s="19" t="s">
        <v>244</v>
      </c>
      <c r="E380" s="683" t="s">
        <v>2763</v>
      </c>
      <c r="F380" s="683" t="s">
        <v>55</v>
      </c>
      <c r="G380" s="683" t="s">
        <v>103</v>
      </c>
      <c r="H380" s="76">
        <v>1633255</v>
      </c>
      <c r="I380" s="19" t="s">
        <v>2654</v>
      </c>
      <c r="J380" s="76" t="s">
        <v>943</v>
      </c>
      <c r="K380" s="683"/>
      <c r="L380" s="683" t="s">
        <v>2625</v>
      </c>
      <c r="M380" s="76">
        <v>34832000</v>
      </c>
      <c r="N380" s="76">
        <v>34832000</v>
      </c>
      <c r="O380" s="683" t="s">
        <v>2813</v>
      </c>
      <c r="P380" s="683"/>
      <c r="Q380" s="683"/>
    </row>
    <row r="381" spans="1:17" ht="15" customHeight="1">
      <c r="A381" s="683" t="s">
        <v>249</v>
      </c>
      <c r="B381" s="683">
        <v>2011</v>
      </c>
      <c r="C381" s="683" t="s">
        <v>243</v>
      </c>
      <c r="D381" s="19" t="s">
        <v>244</v>
      </c>
      <c r="E381" s="683" t="s">
        <v>2763</v>
      </c>
      <c r="F381" s="683" t="s">
        <v>55</v>
      </c>
      <c r="G381" s="683" t="s">
        <v>561</v>
      </c>
      <c r="H381" s="76">
        <v>14758838</v>
      </c>
      <c r="I381" s="19" t="s">
        <v>2656</v>
      </c>
      <c r="J381" s="76" t="s">
        <v>943</v>
      </c>
      <c r="K381" s="683"/>
      <c r="L381" s="697" t="s">
        <v>2764</v>
      </c>
      <c r="M381" s="76"/>
      <c r="N381" s="76"/>
      <c r="O381" s="683" t="s">
        <v>2817</v>
      </c>
      <c r="P381" s="683"/>
      <c r="Q381" s="683"/>
    </row>
    <row r="382" spans="1:17" ht="15" customHeight="1">
      <c r="A382" s="683" t="s">
        <v>249</v>
      </c>
      <c r="B382" s="683">
        <v>2011</v>
      </c>
      <c r="C382" s="683" t="s">
        <v>243</v>
      </c>
      <c r="D382" s="19" t="s">
        <v>244</v>
      </c>
      <c r="E382" s="683" t="s">
        <v>2763</v>
      </c>
      <c r="F382" s="683" t="s">
        <v>55</v>
      </c>
      <c r="G382" s="683"/>
      <c r="H382" s="76"/>
      <c r="I382" s="19"/>
      <c r="J382" s="76"/>
      <c r="K382" s="683"/>
      <c r="L382" s="697" t="s">
        <v>2765</v>
      </c>
      <c r="M382" s="76"/>
      <c r="N382" s="76"/>
      <c r="O382" s="683"/>
      <c r="P382" s="683"/>
      <c r="Q382" s="683"/>
    </row>
    <row r="383" spans="1:17" ht="15" customHeight="1">
      <c r="A383" s="683" t="s">
        <v>249</v>
      </c>
      <c r="B383" s="683">
        <v>2011</v>
      </c>
      <c r="C383" s="683" t="s">
        <v>243</v>
      </c>
      <c r="D383" s="19" t="s">
        <v>244</v>
      </c>
      <c r="E383" s="683" t="s">
        <v>2766</v>
      </c>
      <c r="F383" s="683" t="s">
        <v>55</v>
      </c>
      <c r="G383" s="683" t="s">
        <v>103</v>
      </c>
      <c r="H383" s="76">
        <v>867961</v>
      </c>
      <c r="I383" s="19" t="s">
        <v>2654</v>
      </c>
      <c r="J383" s="76" t="s">
        <v>943</v>
      </c>
      <c r="K383" s="683"/>
      <c r="L383" s="683" t="s">
        <v>2628</v>
      </c>
      <c r="M383" s="76">
        <v>43343000</v>
      </c>
      <c r="N383" s="76">
        <v>43343000</v>
      </c>
      <c r="O383" s="683" t="s">
        <v>2813</v>
      </c>
      <c r="P383" s="683"/>
      <c r="Q383" s="683"/>
    </row>
    <row r="384" spans="1:17" ht="15" customHeight="1">
      <c r="A384" s="683" t="s">
        <v>249</v>
      </c>
      <c r="B384" s="683">
        <v>2011</v>
      </c>
      <c r="C384" s="683" t="s">
        <v>243</v>
      </c>
      <c r="D384" s="19" t="s">
        <v>244</v>
      </c>
      <c r="E384" s="683" t="s">
        <v>2766</v>
      </c>
      <c r="F384" s="683" t="s">
        <v>55</v>
      </c>
      <c r="G384" s="683" t="s">
        <v>561</v>
      </c>
      <c r="H384" s="76">
        <v>19022644</v>
      </c>
      <c r="I384" s="19" t="s">
        <v>2656</v>
      </c>
      <c r="J384" s="76" t="s">
        <v>943</v>
      </c>
      <c r="K384" s="683"/>
      <c r="L384" s="683" t="s">
        <v>2767</v>
      </c>
      <c r="M384" s="76"/>
      <c r="N384" s="76"/>
      <c r="O384" s="683" t="s">
        <v>2817</v>
      </c>
      <c r="P384" s="683"/>
      <c r="Q384" s="683"/>
    </row>
    <row r="385" spans="1:17" ht="15" customHeight="1">
      <c r="A385" s="683" t="s">
        <v>249</v>
      </c>
      <c r="B385" s="683">
        <v>2011</v>
      </c>
      <c r="C385" s="683" t="s">
        <v>243</v>
      </c>
      <c r="D385" s="19" t="s">
        <v>244</v>
      </c>
      <c r="E385" s="683" t="s">
        <v>2766</v>
      </c>
      <c r="F385" s="683" t="s">
        <v>55</v>
      </c>
      <c r="G385" s="683"/>
      <c r="H385" s="76"/>
      <c r="I385" s="19"/>
      <c r="J385" s="76"/>
      <c r="K385" s="683"/>
      <c r="L385" s="683" t="s">
        <v>2768</v>
      </c>
      <c r="M385" s="76"/>
      <c r="N385" s="76"/>
      <c r="O385" s="683"/>
      <c r="P385" s="683"/>
      <c r="Q385" s="683"/>
    </row>
    <row r="386" spans="1:17" ht="15" customHeight="1">
      <c r="A386" s="683" t="s">
        <v>249</v>
      </c>
      <c r="B386" s="683">
        <v>2011</v>
      </c>
      <c r="C386" s="683" t="s">
        <v>243</v>
      </c>
      <c r="D386" s="19" t="s">
        <v>244</v>
      </c>
      <c r="E386" s="683" t="s">
        <v>2769</v>
      </c>
      <c r="F386" s="683" t="s">
        <v>55</v>
      </c>
      <c r="G386" s="683" t="s">
        <v>561</v>
      </c>
      <c r="H386" s="76">
        <v>42452633</v>
      </c>
      <c r="I386" s="19" t="s">
        <v>2656</v>
      </c>
      <c r="J386" s="76" t="s">
        <v>943</v>
      </c>
      <c r="K386" s="683"/>
      <c r="L386" s="683" t="s">
        <v>2631</v>
      </c>
      <c r="M386" s="76">
        <v>66448000</v>
      </c>
      <c r="N386" s="76">
        <v>66448000</v>
      </c>
      <c r="O386" s="683" t="s">
        <v>2813</v>
      </c>
      <c r="P386" s="683"/>
      <c r="Q386" s="683"/>
    </row>
    <row r="387" spans="1:17" ht="15" customHeight="1">
      <c r="A387" s="683" t="s">
        <v>249</v>
      </c>
      <c r="B387" s="683">
        <v>2011</v>
      </c>
      <c r="C387" s="683" t="s">
        <v>243</v>
      </c>
      <c r="D387" s="19" t="s">
        <v>244</v>
      </c>
      <c r="E387" s="683" t="s">
        <v>2769</v>
      </c>
      <c r="F387" s="683" t="s">
        <v>55</v>
      </c>
      <c r="G387" s="683"/>
      <c r="H387" s="76"/>
      <c r="I387" s="19"/>
      <c r="J387" s="76"/>
      <c r="K387" s="683"/>
      <c r="L387" s="683" t="s">
        <v>2770</v>
      </c>
      <c r="M387" s="76">
        <v>5792000</v>
      </c>
      <c r="N387" s="76">
        <v>5792000</v>
      </c>
      <c r="O387" s="683" t="s">
        <v>2815</v>
      </c>
      <c r="P387" s="683"/>
      <c r="Q387" s="683"/>
    </row>
    <row r="388" spans="1:17" ht="15" customHeight="1">
      <c r="A388" s="683" t="s">
        <v>249</v>
      </c>
      <c r="B388" s="683">
        <v>2011</v>
      </c>
      <c r="C388" s="683" t="s">
        <v>243</v>
      </c>
      <c r="D388" s="19" t="s">
        <v>244</v>
      </c>
      <c r="E388" s="683" t="s">
        <v>2769</v>
      </c>
      <c r="F388" s="683" t="s">
        <v>55</v>
      </c>
      <c r="G388" s="683"/>
      <c r="H388" s="76"/>
      <c r="I388" s="19"/>
      <c r="J388" s="76"/>
      <c r="K388" s="683"/>
      <c r="L388" s="683" t="s">
        <v>2771</v>
      </c>
      <c r="M388" s="76">
        <v>4310000</v>
      </c>
      <c r="N388" s="76">
        <v>4310000</v>
      </c>
      <c r="O388" s="683" t="s">
        <v>2815</v>
      </c>
      <c r="P388" s="683"/>
      <c r="Q388" s="683"/>
    </row>
    <row r="389" spans="1:17" ht="15" customHeight="1">
      <c r="A389" s="683" t="s">
        <v>249</v>
      </c>
      <c r="B389" s="683">
        <v>2011</v>
      </c>
      <c r="C389" s="683" t="s">
        <v>243</v>
      </c>
      <c r="D389" s="19" t="s">
        <v>244</v>
      </c>
      <c r="E389" s="683" t="s">
        <v>2772</v>
      </c>
      <c r="F389" s="683" t="s">
        <v>55</v>
      </c>
      <c r="G389" s="683" t="s">
        <v>561</v>
      </c>
      <c r="H389" s="76">
        <v>14049879</v>
      </c>
      <c r="I389" s="19" t="s">
        <v>2656</v>
      </c>
      <c r="J389" s="76" t="s">
        <v>943</v>
      </c>
      <c r="K389" s="683"/>
      <c r="L389" s="683" t="s">
        <v>2634</v>
      </c>
      <c r="M389" s="76">
        <v>13318000</v>
      </c>
      <c r="N389" s="76">
        <v>13318000</v>
      </c>
      <c r="O389" s="683" t="s">
        <v>2813</v>
      </c>
      <c r="P389" s="683"/>
      <c r="Q389" s="683"/>
    </row>
    <row r="390" spans="1:17" ht="15" customHeight="1">
      <c r="A390" s="683" t="s">
        <v>249</v>
      </c>
      <c r="B390" s="683">
        <v>2011</v>
      </c>
      <c r="C390" s="683" t="s">
        <v>243</v>
      </c>
      <c r="D390" s="19" t="s">
        <v>244</v>
      </c>
      <c r="E390" s="683" t="s">
        <v>2636</v>
      </c>
      <c r="F390" s="683" t="s">
        <v>55</v>
      </c>
      <c r="G390" s="683" t="s">
        <v>103</v>
      </c>
      <c r="H390" s="76">
        <v>891842</v>
      </c>
      <c r="I390" s="19" t="s">
        <v>2654</v>
      </c>
      <c r="J390" s="76" t="s">
        <v>943</v>
      </c>
      <c r="K390" s="683"/>
      <c r="L390" s="683" t="s">
        <v>2637</v>
      </c>
      <c r="M390" s="76">
        <v>6957000</v>
      </c>
      <c r="N390" s="76">
        <v>6957000</v>
      </c>
      <c r="O390" s="683" t="s">
        <v>2813</v>
      </c>
      <c r="P390" s="683"/>
      <c r="Q390" s="683"/>
    </row>
    <row r="391" spans="1:17" ht="15" customHeight="1">
      <c r="A391" s="683" t="s">
        <v>249</v>
      </c>
      <c r="B391" s="683">
        <v>2011</v>
      </c>
      <c r="C391" s="683" t="s">
        <v>243</v>
      </c>
      <c r="D391" s="19" t="s">
        <v>244</v>
      </c>
      <c r="E391" s="683" t="s">
        <v>2636</v>
      </c>
      <c r="F391" s="683" t="s">
        <v>55</v>
      </c>
      <c r="G391" s="683"/>
      <c r="H391" s="76"/>
      <c r="I391" s="19"/>
      <c r="J391" s="76"/>
      <c r="K391" s="683"/>
      <c r="L391" s="697" t="s">
        <v>2773</v>
      </c>
      <c r="M391" s="76"/>
      <c r="N391" s="76"/>
      <c r="O391" s="683"/>
      <c r="P391" s="683"/>
      <c r="Q391" s="683"/>
    </row>
    <row r="392" spans="1:17" ht="15" customHeight="1">
      <c r="A392" s="683" t="s">
        <v>249</v>
      </c>
      <c r="B392" s="683">
        <v>2011</v>
      </c>
      <c r="C392" s="683" t="s">
        <v>243</v>
      </c>
      <c r="D392" s="19" t="s">
        <v>244</v>
      </c>
      <c r="E392" s="683" t="s">
        <v>2636</v>
      </c>
      <c r="F392" s="683" t="s">
        <v>55</v>
      </c>
      <c r="G392" s="683"/>
      <c r="H392" s="76"/>
      <c r="I392" s="19"/>
      <c r="J392" s="76"/>
      <c r="K392" s="683"/>
      <c r="L392" s="697" t="s">
        <v>2774</v>
      </c>
      <c r="M392" s="76"/>
      <c r="N392" s="76"/>
      <c r="O392" s="683"/>
      <c r="P392" s="683"/>
      <c r="Q392" s="683"/>
    </row>
    <row r="393" spans="1:17" ht="15" customHeight="1">
      <c r="A393" s="683" t="s">
        <v>249</v>
      </c>
      <c r="B393" s="683">
        <v>2011</v>
      </c>
      <c r="C393" s="683" t="s">
        <v>243</v>
      </c>
      <c r="D393" s="19" t="s">
        <v>244</v>
      </c>
      <c r="E393" s="683" t="s">
        <v>2636</v>
      </c>
      <c r="F393" s="683" t="s">
        <v>55</v>
      </c>
      <c r="G393" s="683"/>
      <c r="H393" s="76"/>
      <c r="I393" s="19"/>
      <c r="J393" s="76"/>
      <c r="K393" s="683"/>
      <c r="L393" s="697" t="s">
        <v>2775</v>
      </c>
      <c r="M393" s="76"/>
      <c r="N393" s="76"/>
      <c r="O393" s="683"/>
      <c r="P393" s="683"/>
      <c r="Q393" s="683"/>
    </row>
    <row r="394" spans="1:17" ht="15" customHeight="1">
      <c r="A394" s="683" t="s">
        <v>249</v>
      </c>
      <c r="B394" s="683">
        <v>2011</v>
      </c>
      <c r="C394" s="683" t="s">
        <v>243</v>
      </c>
      <c r="D394" s="19" t="s">
        <v>244</v>
      </c>
      <c r="E394" s="683" t="s">
        <v>2776</v>
      </c>
      <c r="F394" s="683" t="s">
        <v>55</v>
      </c>
      <c r="G394" s="683" t="s">
        <v>103</v>
      </c>
      <c r="H394" s="76">
        <v>147787</v>
      </c>
      <c r="I394" s="19" t="s">
        <v>2654</v>
      </c>
      <c r="J394" s="76" t="s">
        <v>943</v>
      </c>
      <c r="K394" s="683"/>
      <c r="L394" s="683" t="s">
        <v>2640</v>
      </c>
      <c r="M394" s="76">
        <v>2044000</v>
      </c>
      <c r="N394" s="76">
        <v>2044000</v>
      </c>
      <c r="O394" s="683" t="s">
        <v>2813</v>
      </c>
      <c r="P394" s="683"/>
      <c r="Q394" s="683"/>
    </row>
    <row r="395" spans="1:17" ht="15" customHeight="1">
      <c r="A395" s="683" t="s">
        <v>249</v>
      </c>
      <c r="B395" s="683">
        <v>2011</v>
      </c>
      <c r="C395" s="683" t="s">
        <v>243</v>
      </c>
      <c r="D395" s="19" t="s">
        <v>244</v>
      </c>
      <c r="E395" s="683" t="s">
        <v>2642</v>
      </c>
      <c r="F395" s="683" t="s">
        <v>55</v>
      </c>
      <c r="G395" s="683" t="s">
        <v>103</v>
      </c>
      <c r="H395" s="76">
        <v>224991</v>
      </c>
      <c r="I395" s="19" t="s">
        <v>2654</v>
      </c>
      <c r="J395" s="76" t="s">
        <v>943</v>
      </c>
      <c r="K395" s="683"/>
      <c r="L395" s="683" t="s">
        <v>2777</v>
      </c>
      <c r="M395" s="76">
        <v>3173000</v>
      </c>
      <c r="N395" s="76">
        <v>3173000</v>
      </c>
      <c r="O395" s="683" t="s">
        <v>2813</v>
      </c>
      <c r="P395" s="683"/>
      <c r="Q395" s="683"/>
    </row>
    <row r="396" spans="1:17" ht="15" customHeight="1">
      <c r="A396" s="683" t="s">
        <v>249</v>
      </c>
      <c r="B396" s="683">
        <v>2011</v>
      </c>
      <c r="C396" s="683" t="s">
        <v>243</v>
      </c>
      <c r="D396" s="19" t="s">
        <v>244</v>
      </c>
      <c r="E396" s="683" t="s">
        <v>2642</v>
      </c>
      <c r="F396" s="683" t="s">
        <v>55</v>
      </c>
      <c r="G396" s="683"/>
      <c r="H396" s="76"/>
      <c r="I396" s="19"/>
      <c r="J396" s="76"/>
      <c r="K396" s="683"/>
      <c r="L396" s="697" t="s">
        <v>2778</v>
      </c>
      <c r="M396" s="76"/>
      <c r="N396" s="76"/>
      <c r="O396" s="683"/>
      <c r="P396" s="683"/>
      <c r="Q396" s="683"/>
    </row>
    <row r="397" spans="1:17" ht="15" customHeight="1">
      <c r="A397" s="683" t="s">
        <v>249</v>
      </c>
      <c r="B397" s="683">
        <v>2011</v>
      </c>
      <c r="C397" s="683" t="s">
        <v>243</v>
      </c>
      <c r="D397" s="19" t="s">
        <v>244</v>
      </c>
      <c r="E397" s="683" t="s">
        <v>2645</v>
      </c>
      <c r="F397" s="683" t="s">
        <v>55</v>
      </c>
      <c r="G397" s="683" t="s">
        <v>103</v>
      </c>
      <c r="H397" s="76">
        <v>93601</v>
      </c>
      <c r="I397" s="19" t="s">
        <v>2654</v>
      </c>
      <c r="J397" s="76" t="s">
        <v>943</v>
      </c>
      <c r="K397" s="683"/>
      <c r="L397" s="683" t="s">
        <v>2646</v>
      </c>
      <c r="M397" s="76">
        <v>1505000</v>
      </c>
      <c r="N397" s="76">
        <v>1505000</v>
      </c>
      <c r="O397" s="683" t="s">
        <v>2813</v>
      </c>
      <c r="P397" s="683"/>
      <c r="Q397" s="683"/>
    </row>
    <row r="398" spans="1:17" ht="15" customHeight="1">
      <c r="A398" s="683" t="s">
        <v>249</v>
      </c>
      <c r="B398" s="683">
        <v>2011</v>
      </c>
      <c r="C398" s="683" t="s">
        <v>243</v>
      </c>
      <c r="D398" s="19" t="s">
        <v>244</v>
      </c>
      <c r="E398" s="683" t="s">
        <v>2645</v>
      </c>
      <c r="F398" s="683" t="s">
        <v>55</v>
      </c>
      <c r="G398" s="683"/>
      <c r="H398" s="76"/>
      <c r="I398" s="19"/>
      <c r="J398" s="76"/>
      <c r="K398" s="683"/>
      <c r="L398" s="697" t="s">
        <v>2779</v>
      </c>
      <c r="M398" s="76"/>
      <c r="N398" s="76"/>
      <c r="O398" s="683"/>
      <c r="P398" s="683"/>
      <c r="Q398" s="683"/>
    </row>
    <row r="399" spans="1:17" ht="15" customHeight="1">
      <c r="A399" s="683" t="s">
        <v>249</v>
      </c>
      <c r="B399" s="683">
        <v>2011</v>
      </c>
      <c r="C399" s="683" t="s">
        <v>243</v>
      </c>
      <c r="D399" s="19" t="s">
        <v>244</v>
      </c>
      <c r="E399" s="683" t="s">
        <v>2645</v>
      </c>
      <c r="F399" s="683" t="s">
        <v>55</v>
      </c>
      <c r="G399" s="683"/>
      <c r="H399" s="76"/>
      <c r="I399" s="19"/>
      <c r="J399" s="76"/>
      <c r="K399" s="683"/>
      <c r="L399" s="697" t="s">
        <v>2780</v>
      </c>
      <c r="M399" s="76"/>
      <c r="N399" s="76"/>
      <c r="O399" s="683"/>
      <c r="P399" s="683"/>
      <c r="Q399" s="683"/>
    </row>
    <row r="400" spans="1:17" ht="15" customHeight="1">
      <c r="A400" s="683" t="s">
        <v>249</v>
      </c>
      <c r="B400" s="683">
        <v>2011</v>
      </c>
      <c r="C400" s="683" t="s">
        <v>243</v>
      </c>
      <c r="D400" s="19" t="s">
        <v>244</v>
      </c>
      <c r="E400" s="683" t="s">
        <v>2648</v>
      </c>
      <c r="F400" s="683" t="s">
        <v>55</v>
      </c>
      <c r="G400" s="683" t="s">
        <v>561</v>
      </c>
      <c r="H400" s="76">
        <v>367365</v>
      </c>
      <c r="I400" s="19" t="s">
        <v>2656</v>
      </c>
      <c r="J400" s="76" t="s">
        <v>943</v>
      </c>
      <c r="K400" s="683"/>
      <c r="L400" s="683" t="s">
        <v>2781</v>
      </c>
      <c r="M400" s="76">
        <v>597000</v>
      </c>
      <c r="N400" s="76">
        <v>597000</v>
      </c>
      <c r="O400" s="683" t="s">
        <v>2813</v>
      </c>
      <c r="P400" s="683"/>
      <c r="Q400" s="683"/>
    </row>
    <row r="401" spans="1:17" ht="15" customHeight="1">
      <c r="A401" s="683" t="s">
        <v>249</v>
      </c>
      <c r="B401" s="683">
        <v>2011</v>
      </c>
      <c r="C401" s="683" t="s">
        <v>243</v>
      </c>
      <c r="D401" s="19" t="s">
        <v>244</v>
      </c>
      <c r="E401" s="683" t="s">
        <v>2651</v>
      </c>
      <c r="F401" s="683" t="s">
        <v>55</v>
      </c>
      <c r="G401" s="683" t="s">
        <v>103</v>
      </c>
      <c r="H401" s="76">
        <f>6813*2</f>
        <v>13626</v>
      </c>
      <c r="I401" s="19" t="s">
        <v>2654</v>
      </c>
      <c r="J401" s="76" t="s">
        <v>943</v>
      </c>
      <c r="K401" s="683"/>
      <c r="L401" s="683" t="s">
        <v>2782</v>
      </c>
      <c r="M401" s="76">
        <v>193000</v>
      </c>
      <c r="N401" s="76">
        <v>193000</v>
      </c>
      <c r="O401" s="683" t="s">
        <v>2813</v>
      </c>
      <c r="P401" s="683"/>
      <c r="Q401" s="683"/>
    </row>
    <row r="402" spans="1:17" ht="15" customHeight="1">
      <c r="A402" s="683" t="s">
        <v>249</v>
      </c>
      <c r="B402" s="683">
        <v>2011</v>
      </c>
      <c r="C402" s="683" t="s">
        <v>243</v>
      </c>
      <c r="D402" s="19" t="s">
        <v>244</v>
      </c>
      <c r="E402" s="683" t="s">
        <v>2651</v>
      </c>
      <c r="F402" s="683" t="s">
        <v>55</v>
      </c>
      <c r="G402" s="683" t="s">
        <v>561</v>
      </c>
      <c r="H402" s="76">
        <f>132009*2</f>
        <v>264018</v>
      </c>
      <c r="I402" s="19" t="s">
        <v>2656</v>
      </c>
      <c r="J402" s="76" t="s">
        <v>943</v>
      </c>
      <c r="K402" s="683"/>
      <c r="L402" s="683" t="s">
        <v>2783</v>
      </c>
      <c r="M402" s="76"/>
      <c r="N402" s="76"/>
      <c r="O402" s="683" t="s">
        <v>2817</v>
      </c>
      <c r="P402" s="683"/>
      <c r="Q402" s="683"/>
    </row>
    <row r="403" spans="1:17" ht="15" customHeight="1">
      <c r="A403" s="683" t="s">
        <v>249</v>
      </c>
      <c r="B403" s="683">
        <v>2011</v>
      </c>
      <c r="C403" s="683" t="s">
        <v>243</v>
      </c>
      <c r="D403" s="19" t="s">
        <v>244</v>
      </c>
      <c r="E403" s="683" t="s">
        <v>2651</v>
      </c>
      <c r="F403" s="683" t="s">
        <v>55</v>
      </c>
      <c r="G403" s="683"/>
      <c r="H403" s="76"/>
      <c r="I403" s="19"/>
      <c r="J403" s="76"/>
      <c r="K403" s="683"/>
      <c r="L403" s="683" t="s">
        <v>2784</v>
      </c>
      <c r="M403" s="76"/>
      <c r="N403" s="76"/>
      <c r="O403" s="683"/>
      <c r="P403" s="683"/>
      <c r="Q403" s="683"/>
    </row>
    <row r="404" spans="1:17" ht="15" customHeight="1">
      <c r="A404" s="683" t="s">
        <v>249</v>
      </c>
      <c r="B404" s="683">
        <v>2011</v>
      </c>
      <c r="C404" s="683" t="s">
        <v>243</v>
      </c>
      <c r="D404" s="19" t="s">
        <v>244</v>
      </c>
      <c r="E404" s="683" t="s">
        <v>2785</v>
      </c>
      <c r="F404" s="683" t="s">
        <v>55</v>
      </c>
      <c r="G404" s="683" t="s">
        <v>103</v>
      </c>
      <c r="H404" s="76">
        <v>217056</v>
      </c>
      <c r="I404" s="19" t="s">
        <v>2654</v>
      </c>
      <c r="J404" s="76" t="s">
        <v>943</v>
      </c>
      <c r="K404" s="683"/>
      <c r="L404" s="683" t="s">
        <v>2786</v>
      </c>
      <c r="M404" s="76">
        <v>15488000</v>
      </c>
      <c r="N404" s="76">
        <v>15488000</v>
      </c>
      <c r="O404" s="683" t="s">
        <v>2813</v>
      </c>
      <c r="P404" s="683"/>
      <c r="Q404" s="683"/>
    </row>
    <row r="405" spans="1:17" ht="15" customHeight="1">
      <c r="A405" s="683" t="s">
        <v>249</v>
      </c>
      <c r="B405" s="683">
        <v>2011</v>
      </c>
      <c r="C405" s="683" t="s">
        <v>243</v>
      </c>
      <c r="D405" s="19" t="s">
        <v>244</v>
      </c>
      <c r="E405" s="683" t="s">
        <v>2785</v>
      </c>
      <c r="F405" s="683" t="s">
        <v>55</v>
      </c>
      <c r="G405" s="683"/>
      <c r="H405" s="76"/>
      <c r="I405" s="19"/>
      <c r="J405" s="76"/>
      <c r="K405" s="683"/>
      <c r="L405" s="683" t="s">
        <v>2787</v>
      </c>
      <c r="M405" s="76">
        <v>1062000</v>
      </c>
      <c r="N405" s="76">
        <v>1062000</v>
      </c>
      <c r="O405" s="683" t="s">
        <v>2815</v>
      </c>
      <c r="P405" s="683"/>
      <c r="Q405" s="683"/>
    </row>
    <row r="406" spans="1:17" ht="15" customHeight="1">
      <c r="A406" s="683" t="s">
        <v>249</v>
      </c>
      <c r="B406" s="683">
        <v>2011</v>
      </c>
      <c r="C406" s="683" t="s">
        <v>243</v>
      </c>
      <c r="D406" s="19" t="s">
        <v>244</v>
      </c>
      <c r="E406" s="683" t="s">
        <v>2788</v>
      </c>
      <c r="F406" s="683" t="s">
        <v>55</v>
      </c>
      <c r="G406" s="683" t="s">
        <v>103</v>
      </c>
      <c r="H406" s="76">
        <v>391293</v>
      </c>
      <c r="I406" s="19" t="s">
        <v>2654</v>
      </c>
      <c r="J406" s="76" t="s">
        <v>943</v>
      </c>
      <c r="K406" s="683"/>
      <c r="L406" s="683" t="s">
        <v>2789</v>
      </c>
      <c r="M406" s="76">
        <v>4475000</v>
      </c>
      <c r="N406" s="76">
        <v>4475000</v>
      </c>
      <c r="O406" s="683" t="s">
        <v>2813</v>
      </c>
      <c r="P406" s="683"/>
      <c r="Q406" s="683"/>
    </row>
    <row r="407" spans="1:17" ht="15" customHeight="1">
      <c r="A407" s="683" t="s">
        <v>249</v>
      </c>
      <c r="B407" s="683">
        <v>2011</v>
      </c>
      <c r="C407" s="683" t="s">
        <v>243</v>
      </c>
      <c r="D407" s="19" t="s">
        <v>244</v>
      </c>
      <c r="E407" s="683" t="s">
        <v>2788</v>
      </c>
      <c r="F407" s="683" t="s">
        <v>55</v>
      </c>
      <c r="G407" s="683"/>
      <c r="H407" s="76"/>
      <c r="I407" s="19"/>
      <c r="J407" s="76"/>
      <c r="K407" s="683"/>
      <c r="L407" s="683" t="s">
        <v>2790</v>
      </c>
      <c r="M407" s="76"/>
      <c r="N407" s="76"/>
      <c r="O407" s="683"/>
      <c r="P407" s="683"/>
      <c r="Q407" s="683"/>
    </row>
    <row r="408" spans="1:17" ht="15" customHeight="1">
      <c r="A408" s="683" t="s">
        <v>249</v>
      </c>
      <c r="B408" s="683">
        <v>2011</v>
      </c>
      <c r="C408" s="683" t="s">
        <v>243</v>
      </c>
      <c r="D408" s="19" t="s">
        <v>244</v>
      </c>
      <c r="E408" s="683" t="s">
        <v>2788</v>
      </c>
      <c r="F408" s="683" t="s">
        <v>55</v>
      </c>
      <c r="G408" s="683"/>
      <c r="H408" s="76"/>
      <c r="I408" s="19"/>
      <c r="J408" s="76"/>
      <c r="K408" s="683"/>
      <c r="L408" s="683" t="s">
        <v>2791</v>
      </c>
      <c r="M408" s="76"/>
      <c r="N408" s="76"/>
      <c r="O408" s="683"/>
      <c r="P408" s="683"/>
      <c r="Q408" s="683"/>
    </row>
    <row r="409" spans="1:17" ht="15" customHeight="1">
      <c r="A409" s="683" t="s">
        <v>249</v>
      </c>
      <c r="B409" s="683">
        <v>2011</v>
      </c>
      <c r="C409" s="683" t="s">
        <v>243</v>
      </c>
      <c r="D409" s="19" t="s">
        <v>244</v>
      </c>
      <c r="E409" s="683" t="s">
        <v>2792</v>
      </c>
      <c r="F409" s="683" t="s">
        <v>55</v>
      </c>
      <c r="G409" s="683" t="s">
        <v>103</v>
      </c>
      <c r="H409" s="76">
        <v>340568</v>
      </c>
      <c r="I409" s="19" t="s">
        <v>2654</v>
      </c>
      <c r="J409" s="76" t="s">
        <v>943</v>
      </c>
      <c r="K409" s="683"/>
      <c r="L409" s="683" t="s">
        <v>2793</v>
      </c>
      <c r="M409" s="76">
        <v>3083000</v>
      </c>
      <c r="N409" s="76">
        <v>2985000</v>
      </c>
      <c r="O409" s="683" t="s">
        <v>2813</v>
      </c>
      <c r="P409" s="683"/>
      <c r="Q409" s="683"/>
    </row>
    <row r="410" spans="1:17" ht="15" customHeight="1">
      <c r="A410" s="683" t="s">
        <v>249</v>
      </c>
      <c r="B410" s="683">
        <v>2011</v>
      </c>
      <c r="C410" s="683" t="s">
        <v>243</v>
      </c>
      <c r="D410" s="19" t="s">
        <v>244</v>
      </c>
      <c r="E410" s="683" t="s">
        <v>2792</v>
      </c>
      <c r="F410" s="683" t="s">
        <v>55</v>
      </c>
      <c r="G410" s="683"/>
      <c r="H410" s="76"/>
      <c r="I410" s="19"/>
      <c r="J410" s="76"/>
      <c r="K410" s="683"/>
      <c r="L410" s="683" t="s">
        <v>2794</v>
      </c>
      <c r="M410" s="76"/>
      <c r="N410" s="76"/>
      <c r="O410" s="683"/>
      <c r="P410" s="683"/>
      <c r="Q410" s="683"/>
    </row>
    <row r="411" spans="1:17" ht="15" customHeight="1">
      <c r="A411" s="683" t="s">
        <v>249</v>
      </c>
      <c r="B411" s="683">
        <v>2011</v>
      </c>
      <c r="C411" s="683" t="s">
        <v>243</v>
      </c>
      <c r="D411" s="19" t="s">
        <v>244</v>
      </c>
      <c r="E411" s="683" t="s">
        <v>2534</v>
      </c>
      <c r="F411" s="683" t="s">
        <v>55</v>
      </c>
      <c r="G411" s="683" t="s">
        <v>103</v>
      </c>
      <c r="H411" s="76">
        <v>28401</v>
      </c>
      <c r="I411" s="19" t="s">
        <v>2654</v>
      </c>
      <c r="J411" s="76" t="s">
        <v>943</v>
      </c>
      <c r="K411" s="683"/>
      <c r="L411" s="683" t="s">
        <v>2795</v>
      </c>
      <c r="M411" s="76">
        <v>2881000</v>
      </c>
      <c r="N411" s="76">
        <v>2881000</v>
      </c>
      <c r="O411" s="683" t="s">
        <v>2813</v>
      </c>
      <c r="P411" s="683"/>
      <c r="Q411" s="683"/>
    </row>
    <row r="412" spans="1:17" ht="15" customHeight="1">
      <c r="A412" s="683" t="s">
        <v>249</v>
      </c>
      <c r="B412" s="683">
        <v>2011</v>
      </c>
      <c r="C412" s="683" t="s">
        <v>243</v>
      </c>
      <c r="D412" s="19" t="s">
        <v>244</v>
      </c>
      <c r="E412" s="683" t="s">
        <v>2534</v>
      </c>
      <c r="F412" s="683" t="s">
        <v>55</v>
      </c>
      <c r="G412" s="683" t="s">
        <v>561</v>
      </c>
      <c r="H412" s="76">
        <v>615297</v>
      </c>
      <c r="I412" s="19" t="s">
        <v>2656</v>
      </c>
      <c r="J412" s="76" t="s">
        <v>943</v>
      </c>
      <c r="K412" s="683"/>
      <c r="L412" s="683"/>
      <c r="M412" s="76"/>
      <c r="N412" s="76"/>
      <c r="O412" s="683" t="s">
        <v>2817</v>
      </c>
      <c r="P412" s="683"/>
      <c r="Q412" s="683"/>
    </row>
    <row r="413" spans="1:17" ht="15" customHeight="1">
      <c r="A413" s="683" t="s">
        <v>249</v>
      </c>
      <c r="B413" s="683">
        <v>2011</v>
      </c>
      <c r="C413" s="683" t="s">
        <v>243</v>
      </c>
      <c r="D413" s="19" t="s">
        <v>244</v>
      </c>
      <c r="E413" s="697" t="s">
        <v>2796</v>
      </c>
      <c r="F413" s="683" t="s">
        <v>55</v>
      </c>
      <c r="G413" s="683" t="s">
        <v>103</v>
      </c>
      <c r="H413" s="76">
        <f>458935*2</f>
        <v>917870</v>
      </c>
      <c r="I413" s="19" t="s">
        <v>2654</v>
      </c>
      <c r="J413" s="76" t="s">
        <v>943</v>
      </c>
      <c r="K413" s="683"/>
      <c r="L413" s="683" t="s">
        <v>2797</v>
      </c>
      <c r="M413" s="76">
        <v>54503000</v>
      </c>
      <c r="N413" s="76">
        <v>54503000</v>
      </c>
      <c r="O413" s="683" t="s">
        <v>2813</v>
      </c>
      <c r="P413" s="683"/>
      <c r="Q413" s="683"/>
    </row>
    <row r="414" spans="1:17" ht="15" customHeight="1">
      <c r="A414" s="683" t="s">
        <v>249</v>
      </c>
      <c r="B414" s="683">
        <v>2011</v>
      </c>
      <c r="C414" s="683" t="s">
        <v>243</v>
      </c>
      <c r="D414" s="19" t="s">
        <v>244</v>
      </c>
      <c r="E414" s="697" t="s">
        <v>2796</v>
      </c>
      <c r="F414" s="683" t="s">
        <v>55</v>
      </c>
      <c r="G414" s="683" t="s">
        <v>561</v>
      </c>
      <c r="H414" s="76">
        <f>10542531+9938550</f>
        <v>20481081</v>
      </c>
      <c r="I414" s="19" t="s">
        <v>2656</v>
      </c>
      <c r="J414" s="76" t="s">
        <v>943</v>
      </c>
      <c r="K414" s="683"/>
      <c r="L414" s="683" t="s">
        <v>2798</v>
      </c>
      <c r="M414" s="76">
        <v>37303000</v>
      </c>
      <c r="N414" s="76">
        <v>37303000</v>
      </c>
      <c r="O414" s="683" t="s">
        <v>2813</v>
      </c>
      <c r="P414" s="683"/>
      <c r="Q414" s="683"/>
    </row>
    <row r="415" spans="1:17" ht="15" customHeight="1">
      <c r="A415" s="683" t="s">
        <v>249</v>
      </c>
      <c r="B415" s="683">
        <v>2011</v>
      </c>
      <c r="C415" s="683" t="s">
        <v>243</v>
      </c>
      <c r="D415" s="19" t="s">
        <v>244</v>
      </c>
      <c r="E415" s="697" t="s">
        <v>2796</v>
      </c>
      <c r="F415" s="683" t="s">
        <v>55</v>
      </c>
      <c r="G415" s="683"/>
      <c r="H415" s="76"/>
      <c r="I415" s="19"/>
      <c r="J415" s="76"/>
      <c r="K415" s="683"/>
      <c r="L415" s="683" t="s">
        <v>2799</v>
      </c>
      <c r="M415" s="76">
        <v>8793000</v>
      </c>
      <c r="N415" s="76">
        <v>8793000</v>
      </c>
      <c r="O415" s="683" t="s">
        <v>2815</v>
      </c>
      <c r="P415" s="683"/>
      <c r="Q415" s="683"/>
    </row>
    <row r="416" spans="1:17" ht="15" customHeight="1">
      <c r="A416" s="683" t="s">
        <v>249</v>
      </c>
      <c r="B416" s="683">
        <v>2011</v>
      </c>
      <c r="C416" s="683" t="s">
        <v>243</v>
      </c>
      <c r="D416" s="19" t="s">
        <v>244</v>
      </c>
      <c r="E416" s="697" t="s">
        <v>2796</v>
      </c>
      <c r="F416" s="683" t="s">
        <v>55</v>
      </c>
      <c r="G416" s="683"/>
      <c r="H416" s="76"/>
      <c r="I416" s="19"/>
      <c r="J416" s="76"/>
      <c r="K416" s="683"/>
      <c r="L416" s="683" t="s">
        <v>2800</v>
      </c>
      <c r="M416" s="76">
        <v>6004000</v>
      </c>
      <c r="N416" s="76">
        <v>6004000</v>
      </c>
      <c r="O416" s="683" t="s">
        <v>2815</v>
      </c>
      <c r="P416" s="683"/>
      <c r="Q416" s="683"/>
    </row>
    <row r="417" spans="1:17" ht="15" customHeight="1">
      <c r="A417" s="683" t="s">
        <v>249</v>
      </c>
      <c r="B417" s="683">
        <v>2011</v>
      </c>
      <c r="C417" s="683" t="s">
        <v>243</v>
      </c>
      <c r="D417" s="19" t="s">
        <v>244</v>
      </c>
      <c r="E417" s="683" t="s">
        <v>2801</v>
      </c>
      <c r="F417" s="683" t="s">
        <v>55</v>
      </c>
      <c r="G417" s="683" t="s">
        <v>103</v>
      </c>
      <c r="H417" s="76">
        <f>1622359+2286178</f>
        <v>3908537</v>
      </c>
      <c r="I417" s="19" t="s">
        <v>2654</v>
      </c>
      <c r="J417" s="76" t="s">
        <v>943</v>
      </c>
      <c r="K417" s="683"/>
      <c r="L417" s="683" t="s">
        <v>2802</v>
      </c>
      <c r="M417" s="76">
        <v>215762000</v>
      </c>
      <c r="N417" s="76">
        <v>215805000</v>
      </c>
      <c r="O417" s="683" t="s">
        <v>2813</v>
      </c>
      <c r="P417" s="683"/>
      <c r="Q417" s="683"/>
    </row>
    <row r="418" spans="1:17" ht="15" customHeight="1">
      <c r="A418" s="683" t="s">
        <v>249</v>
      </c>
      <c r="B418" s="683">
        <v>2011</v>
      </c>
      <c r="C418" s="683" t="s">
        <v>243</v>
      </c>
      <c r="D418" s="19" t="s">
        <v>244</v>
      </c>
      <c r="E418" s="683" t="s">
        <v>2801</v>
      </c>
      <c r="F418" s="683" t="s">
        <v>55</v>
      </c>
      <c r="G418" s="683" t="s">
        <v>561</v>
      </c>
      <c r="H418" s="76">
        <f>17372146+28708870</f>
        <v>46081016</v>
      </c>
      <c r="I418" s="19" t="s">
        <v>2656</v>
      </c>
      <c r="J418" s="76" t="s">
        <v>943</v>
      </c>
      <c r="K418" s="683"/>
      <c r="L418" s="683" t="s">
        <v>2803</v>
      </c>
      <c r="M418" s="76">
        <v>134554000</v>
      </c>
      <c r="N418" s="76">
        <v>134554000</v>
      </c>
      <c r="O418" s="683" t="s">
        <v>2813</v>
      </c>
      <c r="P418" s="683"/>
      <c r="Q418" s="683"/>
    </row>
    <row r="419" spans="1:17" ht="15" customHeight="1">
      <c r="A419" s="683" t="s">
        <v>249</v>
      </c>
      <c r="B419" s="683">
        <v>2011</v>
      </c>
      <c r="C419" s="683" t="s">
        <v>243</v>
      </c>
      <c r="D419" s="19" t="s">
        <v>244</v>
      </c>
      <c r="E419" s="683" t="s">
        <v>2801</v>
      </c>
      <c r="F419" s="683" t="s">
        <v>55</v>
      </c>
      <c r="G419" s="683"/>
      <c r="H419" s="76"/>
      <c r="I419" s="19"/>
      <c r="J419" s="76"/>
      <c r="K419" s="683"/>
      <c r="L419" s="683" t="s">
        <v>2804</v>
      </c>
      <c r="M419" s="76">
        <v>13843000</v>
      </c>
      <c r="N419" s="76">
        <v>11600000</v>
      </c>
      <c r="O419" s="683" t="s">
        <v>2815</v>
      </c>
      <c r="P419" s="683"/>
      <c r="Q419" s="683"/>
    </row>
    <row r="420" spans="1:17" ht="15" customHeight="1">
      <c r="A420" s="683" t="s">
        <v>249</v>
      </c>
      <c r="B420" s="683">
        <v>2011</v>
      </c>
      <c r="C420" s="683" t="s">
        <v>243</v>
      </c>
      <c r="D420" s="19" t="s">
        <v>244</v>
      </c>
      <c r="E420" s="697" t="s">
        <v>2805</v>
      </c>
      <c r="F420" s="683" t="s">
        <v>55</v>
      </c>
      <c r="G420" s="683" t="s">
        <v>103</v>
      </c>
      <c r="H420" s="76">
        <v>601162</v>
      </c>
      <c r="I420" s="19" t="s">
        <v>2654</v>
      </c>
      <c r="J420" s="76" t="s">
        <v>943</v>
      </c>
      <c r="K420" s="683"/>
      <c r="L420" s="683" t="s">
        <v>2806</v>
      </c>
      <c r="M420" s="76">
        <v>23470000</v>
      </c>
      <c r="N420" s="76">
        <v>23470000</v>
      </c>
      <c r="O420" s="683" t="s">
        <v>2813</v>
      </c>
      <c r="P420" s="683"/>
      <c r="Q420" s="683"/>
    </row>
    <row r="421" spans="1:17" ht="15" customHeight="1">
      <c r="A421" s="683" t="s">
        <v>249</v>
      </c>
      <c r="B421" s="683">
        <v>2011</v>
      </c>
      <c r="C421" s="683" t="s">
        <v>243</v>
      </c>
      <c r="D421" s="19" t="s">
        <v>244</v>
      </c>
      <c r="E421" s="697" t="s">
        <v>2805</v>
      </c>
      <c r="F421" s="683" t="s">
        <v>55</v>
      </c>
      <c r="G421" s="683" t="s">
        <v>561</v>
      </c>
      <c r="H421" s="76">
        <f>5997652*2</f>
        <v>11995304</v>
      </c>
      <c r="I421" s="19" t="s">
        <v>2656</v>
      </c>
      <c r="J421" s="76" t="s">
        <v>943</v>
      </c>
      <c r="K421" s="683"/>
      <c r="L421" s="683" t="s">
        <v>2807</v>
      </c>
      <c r="M421" s="76">
        <v>18594000</v>
      </c>
      <c r="N421" s="76">
        <v>18594000</v>
      </c>
      <c r="O421" s="683" t="s">
        <v>2813</v>
      </c>
      <c r="P421" s="683"/>
      <c r="Q421" s="683"/>
    </row>
    <row r="422" spans="1:17" ht="15" customHeight="1">
      <c r="A422" s="683" t="s">
        <v>249</v>
      </c>
      <c r="B422" s="683">
        <v>2011</v>
      </c>
      <c r="C422" s="683" t="s">
        <v>243</v>
      </c>
      <c r="D422" s="19" t="s">
        <v>244</v>
      </c>
      <c r="E422" s="697" t="s">
        <v>2805</v>
      </c>
      <c r="F422" s="683" t="s">
        <v>55</v>
      </c>
      <c r="G422" s="683"/>
      <c r="H422" s="76"/>
      <c r="I422" s="19"/>
      <c r="J422" s="76"/>
      <c r="K422" s="683"/>
      <c r="L422" s="683" t="s">
        <v>2808</v>
      </c>
      <c r="M422" s="76">
        <v>2274000</v>
      </c>
      <c r="N422" s="76">
        <v>2274000</v>
      </c>
      <c r="O422" s="683" t="s">
        <v>2815</v>
      </c>
      <c r="P422" s="683"/>
      <c r="Q422" s="683"/>
    </row>
    <row r="423" spans="1:17" ht="15" customHeight="1">
      <c r="A423" s="683" t="s">
        <v>249</v>
      </c>
      <c r="B423" s="683">
        <v>2011</v>
      </c>
      <c r="C423" s="683" t="s">
        <v>243</v>
      </c>
      <c r="D423" s="19" t="s">
        <v>244</v>
      </c>
      <c r="E423" s="697" t="s">
        <v>2805</v>
      </c>
      <c r="F423" s="683" t="s">
        <v>55</v>
      </c>
      <c r="G423" s="683"/>
      <c r="H423" s="76"/>
      <c r="I423" s="19"/>
      <c r="J423" s="76"/>
      <c r="K423" s="683"/>
      <c r="L423" s="683" t="s">
        <v>2809</v>
      </c>
      <c r="M423" s="76"/>
      <c r="N423" s="76"/>
      <c r="O423" s="683"/>
      <c r="P423" s="683"/>
      <c r="Q423" s="683"/>
    </row>
    <row r="424" spans="1:17" ht="15" customHeight="1">
      <c r="A424" s="683" t="s">
        <v>249</v>
      </c>
      <c r="B424" s="683">
        <v>2011</v>
      </c>
      <c r="C424" s="683" t="s">
        <v>243</v>
      </c>
      <c r="D424" s="19" t="s">
        <v>244</v>
      </c>
      <c r="E424" s="697" t="s">
        <v>2805</v>
      </c>
      <c r="F424" s="683" t="s">
        <v>55</v>
      </c>
      <c r="G424" s="683"/>
      <c r="H424" s="76"/>
      <c r="I424" s="19"/>
      <c r="J424" s="76"/>
      <c r="K424" s="683"/>
      <c r="L424" s="683" t="s">
        <v>2810</v>
      </c>
      <c r="M424" s="76"/>
      <c r="N424" s="76"/>
      <c r="O424" s="683"/>
      <c r="P424" s="683"/>
      <c r="Q424" s="683"/>
    </row>
    <row r="425" spans="1:17" ht="15" customHeight="1" thickBot="1">
      <c r="A425" s="683" t="s">
        <v>249</v>
      </c>
      <c r="B425" s="683">
        <v>2011</v>
      </c>
      <c r="C425" s="683" t="s">
        <v>243</v>
      </c>
      <c r="D425" s="19" t="s">
        <v>244</v>
      </c>
      <c r="E425" s="683" t="s">
        <v>2811</v>
      </c>
      <c r="F425" s="683" t="s">
        <v>55</v>
      </c>
      <c r="G425" s="683" t="s">
        <v>103</v>
      </c>
      <c r="H425" s="76">
        <v>50874</v>
      </c>
      <c r="I425" s="19" t="s">
        <v>2654</v>
      </c>
      <c r="J425" s="76" t="s">
        <v>943</v>
      </c>
      <c r="K425" s="683"/>
      <c r="L425" s="683" t="s">
        <v>2812</v>
      </c>
      <c r="M425" s="76">
        <v>566000</v>
      </c>
      <c r="N425" s="76">
        <v>566000</v>
      </c>
      <c r="O425" s="683" t="s">
        <v>2813</v>
      </c>
      <c r="P425" s="683"/>
      <c r="Q425" s="683"/>
    </row>
    <row r="426" spans="1:17" s="699" customFormat="1" ht="15" customHeight="1">
      <c r="A426" s="698" t="s">
        <v>384</v>
      </c>
      <c r="B426" s="698">
        <v>2008</v>
      </c>
      <c r="C426" s="698" t="s">
        <v>385</v>
      </c>
      <c r="D426" s="698" t="s">
        <v>86</v>
      </c>
      <c r="E426" s="698" t="s">
        <v>2826</v>
      </c>
      <c r="F426" s="698" t="s">
        <v>561</v>
      </c>
      <c r="G426" s="698" t="s">
        <v>2827</v>
      </c>
      <c r="H426" s="199">
        <v>695938</v>
      </c>
      <c r="I426" s="175" t="s">
        <v>2828</v>
      </c>
      <c r="J426" s="698"/>
      <c r="K426" s="698"/>
      <c r="L426" s="698" t="s">
        <v>2829</v>
      </c>
      <c r="M426" s="199" t="s">
        <v>2830</v>
      </c>
      <c r="N426" s="199" t="s">
        <v>2831</v>
      </c>
      <c r="O426" s="698" t="s">
        <v>1867</v>
      </c>
      <c r="P426" s="698"/>
    </row>
    <row r="427" spans="1:17" s="688" customFormat="1" ht="15" customHeight="1">
      <c r="A427" s="687" t="s">
        <v>384</v>
      </c>
      <c r="B427" s="687">
        <v>2008</v>
      </c>
      <c r="C427" s="687" t="s">
        <v>385</v>
      </c>
      <c r="D427" s="687" t="s">
        <v>86</v>
      </c>
      <c r="E427" s="687" t="s">
        <v>2826</v>
      </c>
      <c r="F427" s="687" t="s">
        <v>561</v>
      </c>
      <c r="G427" s="693" t="s">
        <v>2832</v>
      </c>
      <c r="H427" s="89">
        <v>104519840</v>
      </c>
      <c r="I427" s="117" t="s">
        <v>2833</v>
      </c>
      <c r="J427" s="687"/>
      <c r="K427" s="687"/>
      <c r="L427" s="687" t="s">
        <v>2834</v>
      </c>
      <c r="M427" s="693">
        <v>0</v>
      </c>
      <c r="N427" s="692">
        <v>2997321.3810316143</v>
      </c>
      <c r="O427" s="687" t="s">
        <v>1867</v>
      </c>
      <c r="P427" s="687"/>
    </row>
    <row r="428" spans="1:17" s="696" customFormat="1">
      <c r="A428" s="695" t="s">
        <v>384</v>
      </c>
      <c r="B428" s="695">
        <v>2008</v>
      </c>
      <c r="C428" s="695" t="s">
        <v>385</v>
      </c>
      <c r="D428" s="695" t="s">
        <v>86</v>
      </c>
      <c r="E428" s="695" t="s">
        <v>2826</v>
      </c>
      <c r="F428" s="695" t="s">
        <v>561</v>
      </c>
      <c r="H428" s="700"/>
      <c r="I428" s="700"/>
      <c r="J428" s="700"/>
      <c r="K428" s="700"/>
      <c r="L428" s="701" t="s">
        <v>2835</v>
      </c>
      <c r="M428" s="701" t="s">
        <v>943</v>
      </c>
      <c r="N428" s="701" t="s">
        <v>943</v>
      </c>
      <c r="O428" s="700"/>
    </row>
    <row r="429" spans="1:17" s="706" customFormat="1">
      <c r="A429" s="702" t="s">
        <v>388</v>
      </c>
      <c r="B429" s="702">
        <v>2009</v>
      </c>
      <c r="C429" s="702" t="s">
        <v>385</v>
      </c>
      <c r="D429" s="702" t="s">
        <v>86</v>
      </c>
      <c r="E429" s="695" t="s">
        <v>2826</v>
      </c>
      <c r="F429" s="702" t="s">
        <v>561</v>
      </c>
      <c r="G429" s="702"/>
      <c r="H429" s="703"/>
      <c r="I429" s="704"/>
      <c r="J429" s="704"/>
      <c r="K429" s="704"/>
      <c r="L429" s="705"/>
      <c r="M429" s="705"/>
      <c r="N429" s="705"/>
      <c r="O429" s="704"/>
    </row>
    <row r="430" spans="1:17">
      <c r="A430" s="683" t="s">
        <v>391</v>
      </c>
      <c r="B430" s="683">
        <v>2010</v>
      </c>
      <c r="C430" s="683" t="s">
        <v>385</v>
      </c>
      <c r="D430" s="683" t="s">
        <v>86</v>
      </c>
      <c r="E430" s="695" t="s">
        <v>2826</v>
      </c>
      <c r="F430" s="683" t="s">
        <v>561</v>
      </c>
      <c r="G430" s="683"/>
      <c r="H430" s="691"/>
      <c r="L430" s="708"/>
      <c r="M430" s="708"/>
      <c r="N430" s="708"/>
    </row>
    <row r="431" spans="1:17" s="686" customFormat="1">
      <c r="A431" s="685" t="s">
        <v>1907</v>
      </c>
      <c r="B431" s="685">
        <v>2011</v>
      </c>
      <c r="C431" s="685" t="s">
        <v>385</v>
      </c>
      <c r="D431" s="685" t="s">
        <v>86</v>
      </c>
      <c r="E431" s="685" t="s">
        <v>2826</v>
      </c>
      <c r="F431" s="685" t="s">
        <v>561</v>
      </c>
      <c r="G431" s="685" t="s">
        <v>561</v>
      </c>
      <c r="H431" s="709">
        <v>131555851.48999999</v>
      </c>
      <c r="I431" s="132" t="s">
        <v>2833</v>
      </c>
      <c r="J431" s="710"/>
      <c r="K431" s="710"/>
      <c r="L431" s="685" t="s">
        <v>2829</v>
      </c>
      <c r="M431" s="711" t="s">
        <v>2836</v>
      </c>
      <c r="N431" s="711" t="s">
        <v>2837</v>
      </c>
      <c r="O431" s="711" t="s">
        <v>2838</v>
      </c>
    </row>
    <row r="432" spans="1:17" s="688" customFormat="1">
      <c r="A432" s="687" t="s">
        <v>1907</v>
      </c>
      <c r="B432" s="687">
        <v>2011</v>
      </c>
      <c r="C432" s="687" t="s">
        <v>385</v>
      </c>
      <c r="D432" s="687" t="s">
        <v>86</v>
      </c>
      <c r="E432" s="687" t="s">
        <v>2826</v>
      </c>
      <c r="F432" s="687" t="s">
        <v>561</v>
      </c>
      <c r="G432" s="687"/>
      <c r="H432" s="693"/>
      <c r="I432" s="693"/>
      <c r="J432" s="693"/>
      <c r="K432" s="693"/>
      <c r="L432" s="687" t="s">
        <v>2834</v>
      </c>
      <c r="M432" s="692">
        <f>264740164.1/27.22</f>
        <v>9725942.8398236595</v>
      </c>
      <c r="N432" s="692">
        <f>264224396.54/27.22</f>
        <v>9706994.729610581</v>
      </c>
      <c r="O432" s="693">
        <v>14</v>
      </c>
    </row>
    <row r="433" spans="1:15" s="688" customFormat="1">
      <c r="A433" s="687" t="s">
        <v>1907</v>
      </c>
      <c r="B433" s="687">
        <v>2011</v>
      </c>
      <c r="C433" s="687" t="s">
        <v>385</v>
      </c>
      <c r="D433" s="687" t="s">
        <v>86</v>
      </c>
      <c r="E433" s="687" t="s">
        <v>2826</v>
      </c>
      <c r="F433" s="687" t="s">
        <v>561</v>
      </c>
      <c r="G433" s="687"/>
      <c r="H433" s="693"/>
      <c r="I433" s="693"/>
      <c r="J433" s="693"/>
      <c r="K433" s="693"/>
      <c r="L433" s="712" t="s">
        <v>2835</v>
      </c>
      <c r="M433" s="712" t="s">
        <v>943</v>
      </c>
      <c r="N433" s="712" t="s">
        <v>943</v>
      </c>
      <c r="O433" s="693"/>
    </row>
    <row r="434" spans="1:15" s="688" customFormat="1">
      <c r="A434" s="687" t="s">
        <v>1907</v>
      </c>
      <c r="B434" s="687">
        <v>2011</v>
      </c>
      <c r="C434" s="687" t="s">
        <v>385</v>
      </c>
      <c r="D434" s="687" t="s">
        <v>86</v>
      </c>
      <c r="E434" s="687" t="s">
        <v>2826</v>
      </c>
      <c r="F434" s="687" t="s">
        <v>561</v>
      </c>
      <c r="G434" s="687"/>
      <c r="H434" s="693"/>
      <c r="I434" s="693"/>
      <c r="J434" s="693"/>
      <c r="K434" s="693"/>
      <c r="L434" s="712" t="s">
        <v>2839</v>
      </c>
      <c r="M434" s="712">
        <v>0</v>
      </c>
      <c r="N434" s="712">
        <v>0</v>
      </c>
      <c r="O434" s="693">
        <v>14</v>
      </c>
    </row>
    <row r="435" spans="1:15" s="690" customFormat="1" ht="15.75" thickBot="1">
      <c r="A435" s="687" t="s">
        <v>1907</v>
      </c>
      <c r="B435" s="689">
        <v>2011</v>
      </c>
      <c r="C435" s="689" t="s">
        <v>385</v>
      </c>
      <c r="D435" s="689" t="s">
        <v>86</v>
      </c>
      <c r="E435" s="689" t="s">
        <v>2826</v>
      </c>
      <c r="F435" s="689" t="s">
        <v>561</v>
      </c>
      <c r="G435" s="689"/>
      <c r="H435" s="713"/>
      <c r="I435" s="713"/>
      <c r="J435" s="713"/>
      <c r="K435" s="713"/>
      <c r="L435" s="714" t="s">
        <v>2840</v>
      </c>
      <c r="M435" s="715">
        <f>523783857.5/27.22</f>
        <v>19242610.488611314</v>
      </c>
      <c r="N435" s="715">
        <f>523783857.5/27.22</f>
        <v>19242610.488611314</v>
      </c>
      <c r="O435" s="713">
        <v>14</v>
      </c>
    </row>
    <row r="436" spans="1:15">
      <c r="A436" s="716" t="s">
        <v>507</v>
      </c>
      <c r="B436" s="717">
        <v>2008</v>
      </c>
      <c r="C436" s="683" t="s">
        <v>508</v>
      </c>
      <c r="D436" s="683" t="s">
        <v>2841</v>
      </c>
      <c r="E436" s="718"/>
      <c r="F436" s="683" t="s">
        <v>55</v>
      </c>
      <c r="G436" s="716"/>
      <c r="L436" s="684"/>
      <c r="M436" s="708"/>
      <c r="N436" s="708"/>
    </row>
    <row r="437" spans="1:15" s="706" customFormat="1">
      <c r="A437" s="702" t="s">
        <v>510</v>
      </c>
      <c r="B437" s="719">
        <v>2009</v>
      </c>
      <c r="C437" s="702" t="s">
        <v>508</v>
      </c>
      <c r="D437" s="702" t="s">
        <v>2841</v>
      </c>
      <c r="E437" s="704"/>
      <c r="F437" s="702" t="s">
        <v>55</v>
      </c>
      <c r="G437" s="702"/>
      <c r="H437" s="704"/>
      <c r="I437" s="704"/>
      <c r="J437" s="704"/>
      <c r="K437" s="704"/>
      <c r="L437" s="704"/>
      <c r="M437" s="704"/>
      <c r="N437" s="704"/>
      <c r="O437" s="704"/>
    </row>
    <row r="438" spans="1:15" s="721" customFormat="1">
      <c r="A438" s="683" t="s">
        <v>513</v>
      </c>
      <c r="B438" s="717">
        <v>2010</v>
      </c>
      <c r="C438" s="683" t="s">
        <v>508</v>
      </c>
      <c r="D438" s="683" t="s">
        <v>2841</v>
      </c>
      <c r="E438" s="717" t="s">
        <v>2842</v>
      </c>
      <c r="F438" s="683" t="s">
        <v>55</v>
      </c>
      <c r="G438" s="683" t="s">
        <v>2843</v>
      </c>
      <c r="H438" s="76" t="s">
        <v>943</v>
      </c>
      <c r="I438" s="717"/>
      <c r="J438" s="717"/>
      <c r="K438" s="717"/>
      <c r="L438" s="683" t="s">
        <v>2844</v>
      </c>
      <c r="M438" s="720">
        <v>720537387</v>
      </c>
      <c r="N438" s="720">
        <v>720537387</v>
      </c>
      <c r="O438" s="717">
        <v>7</v>
      </c>
    </row>
    <row r="439" spans="1:15" s="721" customFormat="1">
      <c r="A439" s="683" t="s">
        <v>513</v>
      </c>
      <c r="B439" s="717">
        <v>2010</v>
      </c>
      <c r="C439" s="683" t="s">
        <v>508</v>
      </c>
      <c r="D439" s="683" t="s">
        <v>2841</v>
      </c>
      <c r="E439" s="717" t="s">
        <v>2842</v>
      </c>
      <c r="F439" s="683" t="s">
        <v>55</v>
      </c>
      <c r="G439" s="683"/>
      <c r="H439" s="717"/>
      <c r="I439" s="717"/>
      <c r="J439" s="717"/>
      <c r="K439" s="717"/>
      <c r="L439" s="683" t="s">
        <v>2845</v>
      </c>
      <c r="M439" s="683" t="s">
        <v>2846</v>
      </c>
      <c r="N439" s="683" t="s">
        <v>2846</v>
      </c>
      <c r="O439" s="717"/>
    </row>
    <row r="440" spans="1:15" s="721" customFormat="1">
      <c r="A440" s="683" t="s">
        <v>513</v>
      </c>
      <c r="B440" s="717">
        <v>2010</v>
      </c>
      <c r="C440" s="683" t="s">
        <v>508</v>
      </c>
      <c r="D440" s="683" t="s">
        <v>2841</v>
      </c>
      <c r="E440" s="717" t="s">
        <v>2842</v>
      </c>
      <c r="F440" s="683" t="s">
        <v>55</v>
      </c>
      <c r="G440" s="683"/>
      <c r="H440" s="717"/>
      <c r="I440" s="717"/>
      <c r="J440" s="717"/>
      <c r="K440" s="717"/>
      <c r="L440" s="683" t="s">
        <v>2847</v>
      </c>
      <c r="M440" s="683" t="s">
        <v>2846</v>
      </c>
      <c r="N440" s="683" t="s">
        <v>2846</v>
      </c>
      <c r="O440" s="717"/>
    </row>
    <row r="441" spans="1:15" s="721" customFormat="1">
      <c r="A441" s="683" t="s">
        <v>513</v>
      </c>
      <c r="B441" s="717">
        <v>2010</v>
      </c>
      <c r="C441" s="683" t="s">
        <v>508</v>
      </c>
      <c r="D441" s="683" t="s">
        <v>2841</v>
      </c>
      <c r="E441" s="717" t="s">
        <v>2842</v>
      </c>
      <c r="F441" s="683" t="s">
        <v>55</v>
      </c>
      <c r="G441" s="683"/>
      <c r="H441" s="717"/>
      <c r="I441" s="717"/>
      <c r="J441" s="717"/>
      <c r="K441" s="717"/>
      <c r="L441" s="683" t="s">
        <v>2848</v>
      </c>
      <c r="M441" s="683" t="s">
        <v>2846</v>
      </c>
      <c r="N441" s="683" t="s">
        <v>2846</v>
      </c>
      <c r="O441" s="717"/>
    </row>
    <row r="442" spans="1:15" s="721" customFormat="1">
      <c r="A442" s="683" t="s">
        <v>513</v>
      </c>
      <c r="B442" s="717">
        <v>2010</v>
      </c>
      <c r="C442" s="683" t="s">
        <v>508</v>
      </c>
      <c r="D442" s="683" t="s">
        <v>2841</v>
      </c>
      <c r="E442" s="717" t="s">
        <v>2842</v>
      </c>
      <c r="F442" s="683" t="s">
        <v>55</v>
      </c>
      <c r="G442" s="683"/>
      <c r="H442" s="717"/>
      <c r="I442" s="717"/>
      <c r="J442" s="717"/>
      <c r="K442" s="717"/>
      <c r="L442" s="683" t="s">
        <v>2849</v>
      </c>
      <c r="M442" s="720">
        <v>167637643</v>
      </c>
      <c r="N442" s="720">
        <v>167637643</v>
      </c>
      <c r="O442" s="717">
        <v>7</v>
      </c>
    </row>
    <row r="443" spans="1:15" s="721" customFormat="1">
      <c r="A443" s="683" t="s">
        <v>513</v>
      </c>
      <c r="B443" s="717">
        <v>2010</v>
      </c>
      <c r="C443" s="683" t="s">
        <v>508</v>
      </c>
      <c r="D443" s="683" t="s">
        <v>2841</v>
      </c>
      <c r="E443" s="717" t="s">
        <v>2850</v>
      </c>
      <c r="F443" s="683" t="s">
        <v>55</v>
      </c>
      <c r="G443" s="683" t="s">
        <v>2843</v>
      </c>
      <c r="H443" s="76" t="s">
        <v>943</v>
      </c>
      <c r="I443" s="717"/>
      <c r="J443" s="717"/>
      <c r="K443" s="717"/>
      <c r="L443" s="683" t="s">
        <v>2851</v>
      </c>
      <c r="M443" s="720">
        <v>106728004</v>
      </c>
      <c r="N443" s="720">
        <v>106728004</v>
      </c>
      <c r="O443" s="717">
        <v>7</v>
      </c>
    </row>
    <row r="444" spans="1:15" s="721" customFormat="1">
      <c r="A444" s="683" t="s">
        <v>513</v>
      </c>
      <c r="B444" s="717">
        <v>2010</v>
      </c>
      <c r="C444" s="683" t="s">
        <v>508</v>
      </c>
      <c r="D444" s="683" t="s">
        <v>2841</v>
      </c>
      <c r="E444" s="717" t="s">
        <v>2850</v>
      </c>
      <c r="F444" s="683" t="s">
        <v>55</v>
      </c>
      <c r="G444" s="683"/>
      <c r="H444" s="717"/>
      <c r="I444" s="717"/>
      <c r="J444" s="717"/>
      <c r="K444" s="717"/>
      <c r="L444" s="683" t="s">
        <v>2845</v>
      </c>
      <c r="M444" s="683" t="s">
        <v>2846</v>
      </c>
      <c r="N444" s="683" t="s">
        <v>2846</v>
      </c>
      <c r="O444" s="717"/>
    </row>
    <row r="445" spans="1:15" s="721" customFormat="1">
      <c r="A445" s="683" t="s">
        <v>513</v>
      </c>
      <c r="B445" s="717">
        <v>2010</v>
      </c>
      <c r="C445" s="683" t="s">
        <v>508</v>
      </c>
      <c r="D445" s="683" t="s">
        <v>2841</v>
      </c>
      <c r="E445" s="717" t="s">
        <v>2850</v>
      </c>
      <c r="F445" s="683" t="s">
        <v>55</v>
      </c>
      <c r="G445" s="683"/>
      <c r="H445" s="717"/>
      <c r="I445" s="717"/>
      <c r="J445" s="717"/>
      <c r="K445" s="717"/>
      <c r="L445" s="683" t="s">
        <v>2847</v>
      </c>
      <c r="M445" s="683" t="s">
        <v>2846</v>
      </c>
      <c r="N445" s="683" t="s">
        <v>2846</v>
      </c>
      <c r="O445" s="717"/>
    </row>
    <row r="446" spans="1:15" s="721" customFormat="1">
      <c r="A446" s="683" t="s">
        <v>513</v>
      </c>
      <c r="B446" s="717">
        <v>2010</v>
      </c>
      <c r="C446" s="683" t="s">
        <v>508</v>
      </c>
      <c r="D446" s="683" t="s">
        <v>2841</v>
      </c>
      <c r="E446" s="717" t="s">
        <v>2852</v>
      </c>
      <c r="F446" s="683" t="s">
        <v>55</v>
      </c>
      <c r="G446" s="717" t="s">
        <v>561</v>
      </c>
      <c r="H446" s="76" t="s">
        <v>943</v>
      </c>
      <c r="I446" s="717"/>
      <c r="J446" s="717"/>
      <c r="K446" s="717"/>
      <c r="L446" s="683" t="s">
        <v>2853</v>
      </c>
      <c r="M446" s="683" t="s">
        <v>2846</v>
      </c>
      <c r="N446" s="683" t="s">
        <v>2846</v>
      </c>
      <c r="O446" s="717"/>
    </row>
    <row r="447" spans="1:15" s="721" customFormat="1">
      <c r="A447" s="683" t="s">
        <v>513</v>
      </c>
      <c r="B447" s="717">
        <v>2010</v>
      </c>
      <c r="C447" s="683" t="s">
        <v>508</v>
      </c>
      <c r="D447" s="683" t="s">
        <v>2841</v>
      </c>
      <c r="E447" s="717" t="s">
        <v>2852</v>
      </c>
      <c r="F447" s="683" t="s">
        <v>55</v>
      </c>
      <c r="G447" s="717"/>
      <c r="H447" s="717"/>
      <c r="I447" s="717"/>
      <c r="J447" s="717"/>
      <c r="K447" s="717"/>
      <c r="L447" s="683" t="s">
        <v>2854</v>
      </c>
      <c r="M447" s="683" t="s">
        <v>943</v>
      </c>
      <c r="N447" s="683" t="s">
        <v>943</v>
      </c>
      <c r="O447" s="717"/>
    </row>
    <row r="448" spans="1:15" s="721" customFormat="1">
      <c r="A448" s="683" t="s">
        <v>513</v>
      </c>
      <c r="B448" s="717">
        <v>2010</v>
      </c>
      <c r="C448" s="683" t="s">
        <v>508</v>
      </c>
      <c r="D448" s="683" t="s">
        <v>2841</v>
      </c>
      <c r="E448" s="717" t="s">
        <v>2852</v>
      </c>
      <c r="F448" s="683" t="s">
        <v>55</v>
      </c>
      <c r="G448" s="717"/>
      <c r="H448" s="717"/>
      <c r="I448" s="717"/>
      <c r="J448" s="717"/>
      <c r="K448" s="717"/>
      <c r="L448" s="683" t="s">
        <v>2855</v>
      </c>
      <c r="M448" s="683" t="s">
        <v>943</v>
      </c>
      <c r="N448" s="683" t="s">
        <v>943</v>
      </c>
      <c r="O448" s="717"/>
    </row>
    <row r="449" spans="1:15" s="721" customFormat="1">
      <c r="A449" s="683" t="s">
        <v>513</v>
      </c>
      <c r="B449" s="717">
        <v>2010</v>
      </c>
      <c r="C449" s="683" t="s">
        <v>508</v>
      </c>
      <c r="D449" s="683" t="s">
        <v>2841</v>
      </c>
      <c r="E449" s="717" t="s">
        <v>2852</v>
      </c>
      <c r="F449" s="683" t="s">
        <v>55</v>
      </c>
      <c r="G449" s="717"/>
      <c r="H449" s="717"/>
      <c r="I449" s="717"/>
      <c r="J449" s="717"/>
      <c r="K449" s="717"/>
      <c r="L449" s="683" t="s">
        <v>2856</v>
      </c>
      <c r="M449" s="683" t="s">
        <v>2846</v>
      </c>
      <c r="N449" s="683" t="s">
        <v>2846</v>
      </c>
      <c r="O449" s="717"/>
    </row>
    <row r="450" spans="1:15" s="721" customFormat="1">
      <c r="A450" s="683" t="s">
        <v>513</v>
      </c>
      <c r="B450" s="717">
        <v>2010</v>
      </c>
      <c r="C450" s="683" t="s">
        <v>508</v>
      </c>
      <c r="D450" s="683" t="s">
        <v>2841</v>
      </c>
      <c r="E450" s="683" t="s">
        <v>2857</v>
      </c>
      <c r="F450" s="683" t="s">
        <v>55</v>
      </c>
      <c r="G450" s="717" t="s">
        <v>561</v>
      </c>
      <c r="H450" s="76" t="s">
        <v>943</v>
      </c>
      <c r="I450" s="717"/>
      <c r="J450" s="717"/>
      <c r="K450" s="717"/>
      <c r="L450" s="683" t="s">
        <v>2853</v>
      </c>
      <c r="M450" s="683" t="s">
        <v>2846</v>
      </c>
      <c r="N450" s="683" t="s">
        <v>2846</v>
      </c>
      <c r="O450" s="717"/>
    </row>
    <row r="451" spans="1:15" s="721" customFormat="1">
      <c r="A451" s="683" t="s">
        <v>513</v>
      </c>
      <c r="B451" s="717">
        <v>2010</v>
      </c>
      <c r="C451" s="683" t="s">
        <v>508</v>
      </c>
      <c r="D451" s="683" t="s">
        <v>2841</v>
      </c>
      <c r="E451" s="683" t="s">
        <v>2857</v>
      </c>
      <c r="F451" s="683" t="s">
        <v>55</v>
      </c>
      <c r="G451" s="717"/>
      <c r="H451" s="717"/>
      <c r="I451" s="717"/>
      <c r="J451" s="717"/>
      <c r="K451" s="717"/>
      <c r="L451" s="683" t="s">
        <v>2854</v>
      </c>
      <c r="M451" s="683" t="s">
        <v>943</v>
      </c>
      <c r="N451" s="683" t="s">
        <v>943</v>
      </c>
      <c r="O451" s="717"/>
    </row>
    <row r="452" spans="1:15" s="721" customFormat="1">
      <c r="A452" s="683" t="s">
        <v>513</v>
      </c>
      <c r="B452" s="717">
        <v>2010</v>
      </c>
      <c r="C452" s="683" t="s">
        <v>508</v>
      </c>
      <c r="D452" s="683" t="s">
        <v>2841</v>
      </c>
      <c r="E452" s="683" t="s">
        <v>2857</v>
      </c>
      <c r="F452" s="683" t="s">
        <v>55</v>
      </c>
      <c r="G452" s="717"/>
      <c r="H452" s="717"/>
      <c r="I452" s="717"/>
      <c r="J452" s="717"/>
      <c r="K452" s="717"/>
      <c r="L452" s="683" t="s">
        <v>2855</v>
      </c>
      <c r="M452" s="683" t="s">
        <v>943</v>
      </c>
      <c r="N452" s="683" t="s">
        <v>943</v>
      </c>
      <c r="O452" s="717"/>
    </row>
    <row r="453" spans="1:15" s="721" customFormat="1">
      <c r="A453" s="683" t="s">
        <v>513</v>
      </c>
      <c r="B453" s="717">
        <v>2010</v>
      </c>
      <c r="C453" s="683" t="s">
        <v>508</v>
      </c>
      <c r="D453" s="683" t="s">
        <v>2841</v>
      </c>
      <c r="E453" s="683" t="s">
        <v>2857</v>
      </c>
      <c r="F453" s="683" t="s">
        <v>55</v>
      </c>
      <c r="G453" s="717"/>
      <c r="H453" s="717"/>
      <c r="I453" s="717"/>
      <c r="J453" s="717"/>
      <c r="K453" s="717"/>
      <c r="L453" s="683" t="s">
        <v>2856</v>
      </c>
      <c r="M453" s="683" t="s">
        <v>2846</v>
      </c>
      <c r="N453" s="683" t="s">
        <v>2846</v>
      </c>
      <c r="O453" s="717"/>
    </row>
    <row r="454" spans="1:15" s="721" customFormat="1">
      <c r="A454" s="683" t="s">
        <v>513</v>
      </c>
      <c r="B454" s="717">
        <v>2010</v>
      </c>
      <c r="C454" s="683" t="s">
        <v>508</v>
      </c>
      <c r="D454" s="683" t="s">
        <v>2841</v>
      </c>
      <c r="E454" s="717" t="s">
        <v>2858</v>
      </c>
      <c r="F454" s="683" t="s">
        <v>55</v>
      </c>
      <c r="G454" s="717"/>
      <c r="H454" s="76" t="s">
        <v>943</v>
      </c>
      <c r="I454" s="717"/>
      <c r="J454" s="717"/>
      <c r="K454" s="717"/>
      <c r="L454" s="683" t="s">
        <v>2859</v>
      </c>
      <c r="M454" s="720">
        <v>90330</v>
      </c>
      <c r="N454" s="720">
        <v>90330</v>
      </c>
      <c r="O454" s="717">
        <v>7</v>
      </c>
    </row>
    <row r="455" spans="1:15" s="721" customFormat="1">
      <c r="A455" s="683" t="s">
        <v>513</v>
      </c>
      <c r="B455" s="717">
        <v>2010</v>
      </c>
      <c r="C455" s="683" t="s">
        <v>508</v>
      </c>
      <c r="D455" s="683" t="s">
        <v>2841</v>
      </c>
      <c r="E455" s="717" t="s">
        <v>2860</v>
      </c>
      <c r="F455" s="683" t="s">
        <v>55</v>
      </c>
      <c r="G455" s="717"/>
      <c r="H455" s="76" t="s">
        <v>943</v>
      </c>
      <c r="I455" s="717"/>
      <c r="J455" s="717"/>
      <c r="K455" s="717"/>
      <c r="L455" s="683" t="s">
        <v>2861</v>
      </c>
      <c r="M455" s="720">
        <v>11564779</v>
      </c>
      <c r="N455" s="720">
        <v>11564779</v>
      </c>
      <c r="O455" s="717">
        <v>7</v>
      </c>
    </row>
    <row r="456" spans="1:15" s="721" customFormat="1">
      <c r="A456" s="683" t="s">
        <v>513</v>
      </c>
      <c r="B456" s="717">
        <v>2010</v>
      </c>
      <c r="C456" s="683" t="s">
        <v>508</v>
      </c>
      <c r="D456" s="683" t="s">
        <v>2841</v>
      </c>
      <c r="E456" s="717" t="s">
        <v>2860</v>
      </c>
      <c r="F456" s="683" t="s">
        <v>55</v>
      </c>
      <c r="G456" s="717"/>
      <c r="H456" s="717"/>
      <c r="I456" s="717"/>
      <c r="J456" s="717"/>
      <c r="K456" s="717"/>
      <c r="L456" s="683" t="s">
        <v>2862</v>
      </c>
      <c r="M456" s="683" t="s">
        <v>943</v>
      </c>
      <c r="N456" s="683" t="s">
        <v>943</v>
      </c>
      <c r="O456" s="717"/>
    </row>
    <row r="457" spans="1:15" s="721" customFormat="1">
      <c r="A457" s="683" t="s">
        <v>513</v>
      </c>
      <c r="B457" s="717">
        <v>2010</v>
      </c>
      <c r="C457" s="683" t="s">
        <v>508</v>
      </c>
      <c r="D457" s="683" t="s">
        <v>2841</v>
      </c>
      <c r="E457" s="717" t="s">
        <v>2860</v>
      </c>
      <c r="F457" s="683" t="s">
        <v>55</v>
      </c>
      <c r="G457" s="717"/>
      <c r="H457" s="717"/>
      <c r="I457" s="717"/>
      <c r="J457" s="717"/>
      <c r="K457" s="717"/>
      <c r="L457" s="683" t="s">
        <v>2863</v>
      </c>
      <c r="M457" s="683" t="s">
        <v>943</v>
      </c>
      <c r="N457" s="683" t="s">
        <v>943</v>
      </c>
      <c r="O457" s="717"/>
    </row>
    <row r="458" spans="1:15" s="721" customFormat="1">
      <c r="A458" s="683" t="s">
        <v>513</v>
      </c>
      <c r="B458" s="717">
        <v>2010</v>
      </c>
      <c r="C458" s="683" t="s">
        <v>508</v>
      </c>
      <c r="D458" s="683" t="s">
        <v>2841</v>
      </c>
      <c r="E458" s="717" t="s">
        <v>2860</v>
      </c>
      <c r="F458" s="683" t="s">
        <v>55</v>
      </c>
      <c r="G458" s="717"/>
      <c r="H458" s="717"/>
      <c r="I458" s="717"/>
      <c r="J458" s="717"/>
      <c r="K458" s="717"/>
      <c r="L458" s="683" t="s">
        <v>2864</v>
      </c>
      <c r="M458" s="683" t="s">
        <v>943</v>
      </c>
      <c r="N458" s="683" t="s">
        <v>943</v>
      </c>
      <c r="O458" s="717"/>
    </row>
    <row r="459" spans="1:15" s="721" customFormat="1">
      <c r="A459" s="683" t="s">
        <v>513</v>
      </c>
      <c r="B459" s="717">
        <v>2010</v>
      </c>
      <c r="C459" s="683" t="s">
        <v>508</v>
      </c>
      <c r="D459" s="683" t="s">
        <v>2841</v>
      </c>
      <c r="E459" s="717" t="s">
        <v>2865</v>
      </c>
      <c r="F459" s="683" t="s">
        <v>55</v>
      </c>
      <c r="G459" s="717"/>
      <c r="H459" s="76" t="s">
        <v>943</v>
      </c>
      <c r="I459" s="717"/>
      <c r="J459" s="717"/>
      <c r="K459" s="717"/>
      <c r="L459" s="683" t="s">
        <v>2866</v>
      </c>
      <c r="M459" s="720">
        <v>4476530</v>
      </c>
      <c r="N459" s="720">
        <v>4476530</v>
      </c>
      <c r="O459" s="717">
        <v>7</v>
      </c>
    </row>
    <row r="460" spans="1:15" s="721" customFormat="1">
      <c r="A460" s="683" t="s">
        <v>513</v>
      </c>
      <c r="B460" s="717">
        <v>2010</v>
      </c>
      <c r="C460" s="683" t="s">
        <v>508</v>
      </c>
      <c r="D460" s="683" t="s">
        <v>2841</v>
      </c>
      <c r="E460" s="717" t="s">
        <v>2865</v>
      </c>
      <c r="F460" s="683" t="s">
        <v>55</v>
      </c>
      <c r="G460" s="717"/>
      <c r="H460" s="717"/>
      <c r="I460" s="717"/>
      <c r="J460" s="717"/>
      <c r="K460" s="717"/>
      <c r="L460" s="683" t="s">
        <v>2867</v>
      </c>
      <c r="M460" s="722">
        <v>11374</v>
      </c>
      <c r="N460" s="722">
        <v>11374</v>
      </c>
      <c r="O460" s="717">
        <v>7</v>
      </c>
    </row>
    <row r="461" spans="1:15" s="721" customFormat="1">
      <c r="A461" s="683" t="s">
        <v>513</v>
      </c>
      <c r="B461" s="717">
        <v>2010</v>
      </c>
      <c r="C461" s="683" t="s">
        <v>508</v>
      </c>
      <c r="D461" s="683" t="s">
        <v>2841</v>
      </c>
      <c r="E461" s="717" t="s">
        <v>2865</v>
      </c>
      <c r="F461" s="683" t="s">
        <v>55</v>
      </c>
      <c r="G461" s="717"/>
      <c r="H461" s="717"/>
      <c r="I461" s="717"/>
      <c r="J461" s="717"/>
      <c r="K461" s="717"/>
      <c r="L461" s="683" t="s">
        <v>2868</v>
      </c>
      <c r="M461" s="683" t="s">
        <v>943</v>
      </c>
      <c r="N461" s="683" t="s">
        <v>943</v>
      </c>
      <c r="O461" s="717"/>
    </row>
    <row r="462" spans="1:15" s="721" customFormat="1">
      <c r="A462" s="683" t="s">
        <v>513</v>
      </c>
      <c r="B462" s="717">
        <v>2010</v>
      </c>
      <c r="C462" s="683" t="s">
        <v>508</v>
      </c>
      <c r="D462" s="683" t="s">
        <v>2841</v>
      </c>
      <c r="E462" s="717" t="s">
        <v>2865</v>
      </c>
      <c r="F462" s="683" t="s">
        <v>55</v>
      </c>
      <c r="G462" s="717"/>
      <c r="H462" s="717"/>
      <c r="I462" s="717"/>
      <c r="J462" s="717"/>
      <c r="K462" s="717"/>
      <c r="L462" s="683" t="s">
        <v>2869</v>
      </c>
      <c r="M462" s="683" t="s">
        <v>943</v>
      </c>
      <c r="N462" s="683" t="s">
        <v>943</v>
      </c>
      <c r="O462" s="717"/>
    </row>
    <row r="463" spans="1:15" s="721" customFormat="1">
      <c r="A463" s="683" t="s">
        <v>513</v>
      </c>
      <c r="B463" s="717">
        <v>2010</v>
      </c>
      <c r="C463" s="683" t="s">
        <v>508</v>
      </c>
      <c r="D463" s="683" t="s">
        <v>2841</v>
      </c>
      <c r="E463" s="717" t="s">
        <v>2865</v>
      </c>
      <c r="F463" s="683" t="s">
        <v>55</v>
      </c>
      <c r="G463" s="717"/>
      <c r="H463" s="717"/>
      <c r="I463" s="717"/>
      <c r="J463" s="717"/>
      <c r="K463" s="717"/>
      <c r="L463" s="683" t="s">
        <v>2870</v>
      </c>
      <c r="M463" s="683" t="s">
        <v>943</v>
      </c>
      <c r="N463" s="683" t="s">
        <v>943</v>
      </c>
      <c r="O463" s="717"/>
    </row>
    <row r="464" spans="1:15" s="721" customFormat="1">
      <c r="A464" s="683" t="s">
        <v>513</v>
      </c>
      <c r="B464" s="717">
        <v>2010</v>
      </c>
      <c r="C464" s="683" t="s">
        <v>508</v>
      </c>
      <c r="D464" s="683" t="s">
        <v>2841</v>
      </c>
      <c r="E464" s="717" t="s">
        <v>2865</v>
      </c>
      <c r="F464" s="683" t="s">
        <v>55</v>
      </c>
      <c r="G464" s="717"/>
      <c r="H464" s="717"/>
      <c r="I464" s="717"/>
      <c r="J464" s="717"/>
      <c r="K464" s="717"/>
      <c r="L464" s="683" t="s">
        <v>2871</v>
      </c>
      <c r="M464" s="683" t="s">
        <v>943</v>
      </c>
      <c r="N464" s="683" t="s">
        <v>943</v>
      </c>
      <c r="O464" s="717"/>
    </row>
    <row r="465" spans="1:15" s="721" customFormat="1">
      <c r="A465" s="683" t="s">
        <v>513</v>
      </c>
      <c r="B465" s="717">
        <v>2010</v>
      </c>
      <c r="C465" s="683" t="s">
        <v>508</v>
      </c>
      <c r="D465" s="683" t="s">
        <v>2841</v>
      </c>
      <c r="E465" s="717" t="s">
        <v>2872</v>
      </c>
      <c r="F465" s="683" t="s">
        <v>55</v>
      </c>
      <c r="G465" s="683" t="s">
        <v>2873</v>
      </c>
      <c r="H465" s="76" t="s">
        <v>943</v>
      </c>
      <c r="I465" s="717"/>
      <c r="J465" s="717"/>
      <c r="K465" s="717"/>
      <c r="L465" s="683" t="s">
        <v>2874</v>
      </c>
      <c r="M465" s="720">
        <v>6989354</v>
      </c>
      <c r="N465" s="720">
        <v>6989354</v>
      </c>
      <c r="O465" s="717">
        <v>7</v>
      </c>
    </row>
    <row r="466" spans="1:15" s="721" customFormat="1">
      <c r="A466" s="683" t="s">
        <v>513</v>
      </c>
      <c r="B466" s="717">
        <v>2010</v>
      </c>
      <c r="C466" s="683" t="s">
        <v>508</v>
      </c>
      <c r="D466" s="683" t="s">
        <v>2841</v>
      </c>
      <c r="E466" s="717" t="s">
        <v>2872</v>
      </c>
      <c r="F466" s="683" t="s">
        <v>55</v>
      </c>
      <c r="G466" s="717"/>
      <c r="H466" s="717"/>
      <c r="I466" s="717"/>
      <c r="J466" s="717"/>
      <c r="K466" s="717"/>
      <c r="L466" s="683" t="s">
        <v>2875</v>
      </c>
      <c r="M466" s="683" t="s">
        <v>2846</v>
      </c>
      <c r="N466" s="683" t="s">
        <v>2846</v>
      </c>
      <c r="O466" s="717"/>
    </row>
    <row r="467" spans="1:15" s="721" customFormat="1">
      <c r="A467" s="683" t="s">
        <v>513</v>
      </c>
      <c r="B467" s="717">
        <v>2010</v>
      </c>
      <c r="C467" s="683" t="s">
        <v>508</v>
      </c>
      <c r="D467" s="683" t="s">
        <v>2841</v>
      </c>
      <c r="E467" s="717" t="s">
        <v>2872</v>
      </c>
      <c r="F467" s="683" t="s">
        <v>55</v>
      </c>
      <c r="G467" s="717"/>
      <c r="H467" s="717"/>
      <c r="I467" s="717"/>
      <c r="J467" s="717"/>
      <c r="K467" s="717"/>
      <c r="L467" s="683" t="s">
        <v>2876</v>
      </c>
      <c r="M467" s="717">
        <v>0</v>
      </c>
      <c r="N467" s="717">
        <v>0</v>
      </c>
      <c r="O467" s="717">
        <v>7</v>
      </c>
    </row>
    <row r="468" spans="1:15" s="721" customFormat="1">
      <c r="A468" s="683" t="s">
        <v>513</v>
      </c>
      <c r="B468" s="717">
        <v>2010</v>
      </c>
      <c r="C468" s="683" t="s">
        <v>508</v>
      </c>
      <c r="D468" s="683" t="s">
        <v>2841</v>
      </c>
      <c r="E468" s="717" t="s">
        <v>2877</v>
      </c>
      <c r="F468" s="683" t="s">
        <v>55</v>
      </c>
      <c r="G468" s="717"/>
      <c r="H468" s="76" t="s">
        <v>943</v>
      </c>
      <c r="I468" s="717"/>
      <c r="J468" s="717"/>
      <c r="K468" s="717"/>
      <c r="L468" s="683" t="s">
        <v>2878</v>
      </c>
      <c r="M468" s="683" t="s">
        <v>2846</v>
      </c>
      <c r="N468" s="683" t="s">
        <v>2846</v>
      </c>
      <c r="O468" s="717"/>
    </row>
    <row r="469" spans="1:15" s="721" customFormat="1">
      <c r="A469" s="683" t="s">
        <v>513</v>
      </c>
      <c r="B469" s="717">
        <v>2010</v>
      </c>
      <c r="C469" s="683" t="s">
        <v>508</v>
      </c>
      <c r="D469" s="683" t="s">
        <v>2841</v>
      </c>
      <c r="E469" s="717" t="s">
        <v>2877</v>
      </c>
      <c r="F469" s="683" t="s">
        <v>55</v>
      </c>
      <c r="G469" s="717"/>
      <c r="H469" s="717"/>
      <c r="I469" s="717"/>
      <c r="J469" s="717"/>
      <c r="K469" s="717"/>
      <c r="L469" s="683" t="s">
        <v>2879</v>
      </c>
      <c r="M469" s="683" t="s">
        <v>943</v>
      </c>
      <c r="N469" s="683" t="s">
        <v>943</v>
      </c>
      <c r="O469" s="717"/>
    </row>
    <row r="470" spans="1:15" s="721" customFormat="1">
      <c r="A470" s="683" t="s">
        <v>513</v>
      </c>
      <c r="B470" s="717">
        <v>2010</v>
      </c>
      <c r="C470" s="683" t="s">
        <v>508</v>
      </c>
      <c r="D470" s="683" t="s">
        <v>2841</v>
      </c>
      <c r="E470" s="717" t="s">
        <v>2877</v>
      </c>
      <c r="F470" s="683" t="s">
        <v>55</v>
      </c>
      <c r="G470" s="717"/>
      <c r="H470" s="717"/>
      <c r="I470" s="717"/>
      <c r="J470" s="717"/>
      <c r="K470" s="717"/>
      <c r="L470" s="683" t="s">
        <v>2880</v>
      </c>
      <c r="M470" s="683" t="s">
        <v>943</v>
      </c>
      <c r="N470" s="683" t="s">
        <v>943</v>
      </c>
      <c r="O470" s="717"/>
    </row>
    <row r="471" spans="1:15" s="721" customFormat="1">
      <c r="A471" s="683" t="s">
        <v>513</v>
      </c>
      <c r="B471" s="717">
        <v>2010</v>
      </c>
      <c r="C471" s="683" t="s">
        <v>508</v>
      </c>
      <c r="D471" s="683" t="s">
        <v>2841</v>
      </c>
      <c r="E471" s="717" t="s">
        <v>2877</v>
      </c>
      <c r="F471" s="683" t="s">
        <v>55</v>
      </c>
      <c r="G471" s="717"/>
      <c r="H471" s="717"/>
      <c r="I471" s="717"/>
      <c r="J471" s="717"/>
      <c r="K471" s="717"/>
      <c r="L471" s="683" t="s">
        <v>2881</v>
      </c>
      <c r="M471" s="683" t="s">
        <v>943</v>
      </c>
      <c r="N471" s="683" t="s">
        <v>943</v>
      </c>
      <c r="O471" s="717"/>
    </row>
    <row r="472" spans="1:15" s="721" customFormat="1">
      <c r="A472" s="683" t="s">
        <v>513</v>
      </c>
      <c r="B472" s="717">
        <v>2010</v>
      </c>
      <c r="C472" s="683" t="s">
        <v>508</v>
      </c>
      <c r="D472" s="683" t="s">
        <v>2841</v>
      </c>
      <c r="E472" s="717" t="s">
        <v>2882</v>
      </c>
      <c r="F472" s="683" t="s">
        <v>55</v>
      </c>
      <c r="G472" s="717"/>
      <c r="H472" s="76" t="s">
        <v>943</v>
      </c>
      <c r="I472" s="717"/>
      <c r="J472" s="717"/>
      <c r="K472" s="717"/>
      <c r="L472" s="683" t="s">
        <v>2878</v>
      </c>
      <c r="M472" s="683" t="s">
        <v>2846</v>
      </c>
      <c r="N472" s="683" t="s">
        <v>2846</v>
      </c>
      <c r="O472" s="717"/>
    </row>
    <row r="473" spans="1:15" s="721" customFormat="1">
      <c r="A473" s="683" t="s">
        <v>513</v>
      </c>
      <c r="B473" s="717">
        <v>2010</v>
      </c>
      <c r="C473" s="683" t="s">
        <v>508</v>
      </c>
      <c r="D473" s="683" t="s">
        <v>2841</v>
      </c>
      <c r="E473" s="717" t="s">
        <v>2882</v>
      </c>
      <c r="F473" s="683" t="s">
        <v>55</v>
      </c>
      <c r="G473" s="717"/>
      <c r="H473" s="717"/>
      <c r="I473" s="717"/>
      <c r="J473" s="717"/>
      <c r="K473" s="717"/>
      <c r="L473" s="683" t="s">
        <v>2879</v>
      </c>
      <c r="M473" s="683" t="s">
        <v>943</v>
      </c>
      <c r="N473" s="683" t="s">
        <v>943</v>
      </c>
      <c r="O473" s="717"/>
    </row>
    <row r="474" spans="1:15" s="721" customFormat="1">
      <c r="A474" s="683" t="s">
        <v>513</v>
      </c>
      <c r="B474" s="717">
        <v>2010</v>
      </c>
      <c r="C474" s="683" t="s">
        <v>508</v>
      </c>
      <c r="D474" s="683" t="s">
        <v>2841</v>
      </c>
      <c r="E474" s="717" t="s">
        <v>2882</v>
      </c>
      <c r="F474" s="683" t="s">
        <v>55</v>
      </c>
      <c r="G474" s="717"/>
      <c r="H474" s="717"/>
      <c r="I474" s="717"/>
      <c r="J474" s="717"/>
      <c r="K474" s="717"/>
      <c r="L474" s="683" t="s">
        <v>2880</v>
      </c>
      <c r="M474" s="683" t="s">
        <v>943</v>
      </c>
      <c r="N474" s="683" t="s">
        <v>943</v>
      </c>
      <c r="O474" s="717"/>
    </row>
    <row r="475" spans="1:15" s="721" customFormat="1">
      <c r="A475" s="683" t="s">
        <v>513</v>
      </c>
      <c r="B475" s="717">
        <v>2010</v>
      </c>
      <c r="C475" s="683" t="s">
        <v>508</v>
      </c>
      <c r="D475" s="683" t="s">
        <v>2841</v>
      </c>
      <c r="E475" s="717" t="s">
        <v>2882</v>
      </c>
      <c r="F475" s="683" t="s">
        <v>55</v>
      </c>
      <c r="G475" s="717"/>
      <c r="H475" s="717"/>
      <c r="I475" s="717"/>
      <c r="J475" s="717"/>
      <c r="K475" s="717"/>
      <c r="L475" s="683" t="s">
        <v>2881</v>
      </c>
      <c r="M475" s="683" t="s">
        <v>943</v>
      </c>
      <c r="N475" s="683" t="s">
        <v>943</v>
      </c>
      <c r="O475" s="717"/>
    </row>
    <row r="476" spans="1:15" s="721" customFormat="1">
      <c r="A476" s="683" t="s">
        <v>513</v>
      </c>
      <c r="B476" s="717">
        <v>2010</v>
      </c>
      <c r="C476" s="683" t="s">
        <v>508</v>
      </c>
      <c r="D476" s="683" t="s">
        <v>2841</v>
      </c>
      <c r="E476" s="717" t="s">
        <v>2883</v>
      </c>
      <c r="F476" s="683" t="s">
        <v>55</v>
      </c>
      <c r="G476" s="717"/>
      <c r="H476" s="76" t="s">
        <v>943</v>
      </c>
      <c r="I476" s="717"/>
      <c r="J476" s="717"/>
      <c r="K476" s="717"/>
      <c r="L476" s="683" t="s">
        <v>2878</v>
      </c>
      <c r="M476" s="683" t="s">
        <v>2846</v>
      </c>
      <c r="N476" s="683" t="s">
        <v>2846</v>
      </c>
      <c r="O476" s="717"/>
    </row>
    <row r="477" spans="1:15" s="721" customFormat="1">
      <c r="A477" s="683" t="s">
        <v>513</v>
      </c>
      <c r="B477" s="717">
        <v>2010</v>
      </c>
      <c r="C477" s="683" t="s">
        <v>508</v>
      </c>
      <c r="D477" s="683" t="s">
        <v>2841</v>
      </c>
      <c r="E477" s="717" t="s">
        <v>2883</v>
      </c>
      <c r="F477" s="683" t="s">
        <v>55</v>
      </c>
      <c r="G477" s="717"/>
      <c r="H477" s="717"/>
      <c r="I477" s="717"/>
      <c r="J477" s="717"/>
      <c r="K477" s="717"/>
      <c r="L477" s="683" t="s">
        <v>2879</v>
      </c>
      <c r="M477" s="683" t="s">
        <v>943</v>
      </c>
      <c r="N477" s="683" t="s">
        <v>943</v>
      </c>
      <c r="O477" s="717"/>
    </row>
    <row r="478" spans="1:15" s="721" customFormat="1">
      <c r="A478" s="683" t="s">
        <v>513</v>
      </c>
      <c r="B478" s="717">
        <v>2010</v>
      </c>
      <c r="C478" s="683" t="s">
        <v>508</v>
      </c>
      <c r="D478" s="683" t="s">
        <v>2841</v>
      </c>
      <c r="E478" s="717" t="s">
        <v>2883</v>
      </c>
      <c r="F478" s="683" t="s">
        <v>55</v>
      </c>
      <c r="G478" s="717"/>
      <c r="H478" s="717"/>
      <c r="I478" s="717"/>
      <c r="J478" s="717"/>
      <c r="K478" s="717"/>
      <c r="L478" s="683" t="s">
        <v>2880</v>
      </c>
      <c r="M478" s="683" t="s">
        <v>943</v>
      </c>
      <c r="N478" s="683" t="s">
        <v>943</v>
      </c>
      <c r="O478" s="717"/>
    </row>
    <row r="479" spans="1:15" s="721" customFormat="1">
      <c r="A479" s="683" t="s">
        <v>513</v>
      </c>
      <c r="B479" s="717">
        <v>2010</v>
      </c>
      <c r="C479" s="683" t="s">
        <v>508</v>
      </c>
      <c r="D479" s="683" t="s">
        <v>2841</v>
      </c>
      <c r="E479" s="717" t="s">
        <v>2883</v>
      </c>
      <c r="F479" s="683" t="s">
        <v>55</v>
      </c>
      <c r="G479" s="717"/>
      <c r="H479" s="717"/>
      <c r="I479" s="717"/>
      <c r="J479" s="717"/>
      <c r="K479" s="717"/>
      <c r="L479" s="683" t="s">
        <v>2881</v>
      </c>
      <c r="M479" s="683" t="s">
        <v>943</v>
      </c>
      <c r="N479" s="683" t="s">
        <v>943</v>
      </c>
      <c r="O479" s="717"/>
    </row>
    <row r="480" spans="1:15" s="721" customFormat="1">
      <c r="A480" s="683" t="s">
        <v>513</v>
      </c>
      <c r="B480" s="717">
        <v>2010</v>
      </c>
      <c r="C480" s="683" t="s">
        <v>508</v>
      </c>
      <c r="D480" s="683" t="s">
        <v>2841</v>
      </c>
      <c r="E480" s="717" t="s">
        <v>2884</v>
      </c>
      <c r="F480" s="683" t="s">
        <v>55</v>
      </c>
      <c r="G480" s="717"/>
      <c r="H480" s="76" t="s">
        <v>943</v>
      </c>
      <c r="I480" s="717"/>
      <c r="J480" s="717"/>
      <c r="K480" s="717"/>
      <c r="L480" s="683" t="s">
        <v>2878</v>
      </c>
      <c r="M480" s="683" t="s">
        <v>2846</v>
      </c>
      <c r="N480" s="683" t="s">
        <v>2846</v>
      </c>
      <c r="O480" s="717"/>
    </row>
    <row r="481" spans="1:15" s="721" customFormat="1">
      <c r="A481" s="683" t="s">
        <v>513</v>
      </c>
      <c r="B481" s="717">
        <v>2010</v>
      </c>
      <c r="C481" s="683" t="s">
        <v>508</v>
      </c>
      <c r="D481" s="683" t="s">
        <v>2841</v>
      </c>
      <c r="E481" s="717" t="s">
        <v>2884</v>
      </c>
      <c r="F481" s="683" t="s">
        <v>55</v>
      </c>
      <c r="G481" s="717"/>
      <c r="H481" s="717"/>
      <c r="I481" s="717"/>
      <c r="J481" s="717"/>
      <c r="K481" s="717"/>
      <c r="L481" s="683" t="s">
        <v>2879</v>
      </c>
      <c r="M481" s="683" t="s">
        <v>943</v>
      </c>
      <c r="N481" s="683" t="s">
        <v>943</v>
      </c>
      <c r="O481" s="717"/>
    </row>
    <row r="482" spans="1:15" s="721" customFormat="1">
      <c r="A482" s="683" t="s">
        <v>513</v>
      </c>
      <c r="B482" s="717">
        <v>2010</v>
      </c>
      <c r="C482" s="683" t="s">
        <v>508</v>
      </c>
      <c r="D482" s="683" t="s">
        <v>2841</v>
      </c>
      <c r="E482" s="717" t="s">
        <v>2884</v>
      </c>
      <c r="F482" s="683" t="s">
        <v>55</v>
      </c>
      <c r="G482" s="717"/>
      <c r="H482" s="717"/>
      <c r="I482" s="717"/>
      <c r="J482" s="717"/>
      <c r="K482" s="717"/>
      <c r="L482" s="683" t="s">
        <v>2880</v>
      </c>
      <c r="M482" s="683" t="s">
        <v>943</v>
      </c>
      <c r="N482" s="683" t="s">
        <v>943</v>
      </c>
      <c r="O482" s="717"/>
    </row>
    <row r="483" spans="1:15" s="721" customFormat="1">
      <c r="A483" s="683" t="s">
        <v>513</v>
      </c>
      <c r="B483" s="717">
        <v>2010</v>
      </c>
      <c r="C483" s="683" t="s">
        <v>508</v>
      </c>
      <c r="D483" s="683" t="s">
        <v>2841</v>
      </c>
      <c r="E483" s="717" t="s">
        <v>2884</v>
      </c>
      <c r="F483" s="683" t="s">
        <v>55</v>
      </c>
      <c r="G483" s="717"/>
      <c r="H483" s="717"/>
      <c r="I483" s="717"/>
      <c r="J483" s="717"/>
      <c r="K483" s="717"/>
      <c r="L483" s="683" t="s">
        <v>2881</v>
      </c>
      <c r="M483" s="683" t="s">
        <v>943</v>
      </c>
      <c r="N483" s="683" t="s">
        <v>943</v>
      </c>
      <c r="O483" s="717"/>
    </row>
    <row r="484" spans="1:15" s="721" customFormat="1">
      <c r="A484" s="683" t="s">
        <v>513</v>
      </c>
      <c r="B484" s="717">
        <v>2010</v>
      </c>
      <c r="C484" s="683" t="s">
        <v>508</v>
      </c>
      <c r="D484" s="683" t="s">
        <v>2841</v>
      </c>
      <c r="E484" s="717" t="s">
        <v>2885</v>
      </c>
      <c r="F484" s="683" t="s">
        <v>55</v>
      </c>
      <c r="G484" s="717"/>
      <c r="H484" s="76" t="s">
        <v>943</v>
      </c>
      <c r="I484" s="717"/>
      <c r="J484" s="717"/>
      <c r="K484" s="717"/>
      <c r="L484" s="683" t="s">
        <v>2878</v>
      </c>
      <c r="M484" s="683" t="s">
        <v>2846</v>
      </c>
      <c r="N484" s="683" t="s">
        <v>2846</v>
      </c>
      <c r="O484" s="717"/>
    </row>
    <row r="485" spans="1:15" s="721" customFormat="1">
      <c r="A485" s="683" t="s">
        <v>513</v>
      </c>
      <c r="B485" s="717">
        <v>2010</v>
      </c>
      <c r="C485" s="683" t="s">
        <v>508</v>
      </c>
      <c r="D485" s="683" t="s">
        <v>2841</v>
      </c>
      <c r="E485" s="717" t="s">
        <v>2885</v>
      </c>
      <c r="F485" s="683" t="s">
        <v>55</v>
      </c>
      <c r="G485" s="717"/>
      <c r="H485" s="717"/>
      <c r="I485" s="717"/>
      <c r="J485" s="717"/>
      <c r="K485" s="717"/>
      <c r="L485" s="683" t="s">
        <v>2879</v>
      </c>
      <c r="M485" s="683" t="s">
        <v>943</v>
      </c>
      <c r="N485" s="683" t="s">
        <v>943</v>
      </c>
      <c r="O485" s="717"/>
    </row>
    <row r="486" spans="1:15" s="721" customFormat="1">
      <c r="A486" s="683" t="s">
        <v>513</v>
      </c>
      <c r="B486" s="717">
        <v>2010</v>
      </c>
      <c r="C486" s="683" t="s">
        <v>508</v>
      </c>
      <c r="D486" s="683" t="s">
        <v>2841</v>
      </c>
      <c r="E486" s="717" t="s">
        <v>2885</v>
      </c>
      <c r="F486" s="683" t="s">
        <v>55</v>
      </c>
      <c r="G486" s="717"/>
      <c r="H486" s="717"/>
      <c r="I486" s="717"/>
      <c r="J486" s="717"/>
      <c r="K486" s="717"/>
      <c r="L486" s="683" t="s">
        <v>2880</v>
      </c>
      <c r="M486" s="683" t="s">
        <v>943</v>
      </c>
      <c r="N486" s="683" t="s">
        <v>943</v>
      </c>
      <c r="O486" s="717"/>
    </row>
    <row r="487" spans="1:15" s="721" customFormat="1">
      <c r="A487" s="683" t="s">
        <v>513</v>
      </c>
      <c r="B487" s="717">
        <v>2010</v>
      </c>
      <c r="C487" s="683" t="s">
        <v>508</v>
      </c>
      <c r="D487" s="683" t="s">
        <v>2841</v>
      </c>
      <c r="E487" s="717" t="s">
        <v>2885</v>
      </c>
      <c r="F487" s="683" t="s">
        <v>55</v>
      </c>
      <c r="G487" s="717"/>
      <c r="H487" s="717"/>
      <c r="I487" s="717"/>
      <c r="J487" s="717"/>
      <c r="K487" s="717"/>
      <c r="L487" s="683" t="s">
        <v>2881</v>
      </c>
      <c r="M487" s="683" t="s">
        <v>943</v>
      </c>
      <c r="N487" s="683" t="s">
        <v>943</v>
      </c>
      <c r="O487" s="717"/>
    </row>
    <row r="488" spans="1:15" s="721" customFormat="1">
      <c r="A488" s="683" t="s">
        <v>513</v>
      </c>
      <c r="B488" s="717">
        <v>2010</v>
      </c>
      <c r="C488" s="683" t="s">
        <v>508</v>
      </c>
      <c r="D488" s="683" t="s">
        <v>2841</v>
      </c>
      <c r="E488" s="717" t="s">
        <v>2886</v>
      </c>
      <c r="F488" s="683" t="s">
        <v>55</v>
      </c>
      <c r="G488" s="717"/>
      <c r="H488" s="76" t="s">
        <v>943</v>
      </c>
      <c r="I488" s="717"/>
      <c r="J488" s="717"/>
      <c r="K488" s="717"/>
      <c r="L488" s="683" t="s">
        <v>2887</v>
      </c>
      <c r="M488" s="720">
        <v>104880</v>
      </c>
      <c r="N488" s="720">
        <v>104880</v>
      </c>
      <c r="O488" s="717">
        <v>7</v>
      </c>
    </row>
    <row r="489" spans="1:15" s="721" customFormat="1">
      <c r="A489" s="683" t="s">
        <v>513</v>
      </c>
      <c r="B489" s="717">
        <v>2010</v>
      </c>
      <c r="C489" s="683" t="s">
        <v>508</v>
      </c>
      <c r="D489" s="683" t="s">
        <v>2841</v>
      </c>
      <c r="E489" s="717" t="s">
        <v>2886</v>
      </c>
      <c r="F489" s="683" t="s">
        <v>55</v>
      </c>
      <c r="G489" s="717"/>
      <c r="H489" s="717"/>
      <c r="I489" s="717"/>
      <c r="J489" s="717"/>
      <c r="K489" s="717"/>
      <c r="L489" s="683" t="s">
        <v>2888</v>
      </c>
      <c r="M489" s="683" t="s">
        <v>943</v>
      </c>
      <c r="N489" s="683" t="s">
        <v>943</v>
      </c>
      <c r="O489" s="717"/>
    </row>
    <row r="490" spans="1:15" s="721" customFormat="1">
      <c r="A490" s="683" t="s">
        <v>513</v>
      </c>
      <c r="B490" s="717">
        <v>2010</v>
      </c>
      <c r="C490" s="683" t="s">
        <v>508</v>
      </c>
      <c r="D490" s="683" t="s">
        <v>2841</v>
      </c>
      <c r="E490" s="717" t="s">
        <v>2886</v>
      </c>
      <c r="F490" s="683" t="s">
        <v>55</v>
      </c>
      <c r="G490" s="717"/>
      <c r="H490" s="717"/>
      <c r="I490" s="717"/>
      <c r="J490" s="717"/>
      <c r="K490" s="717"/>
      <c r="L490" s="683" t="s">
        <v>2889</v>
      </c>
      <c r="M490" s="683" t="s">
        <v>943</v>
      </c>
      <c r="N490" s="683" t="s">
        <v>943</v>
      </c>
      <c r="O490" s="717"/>
    </row>
    <row r="491" spans="1:15" s="725" customFormat="1">
      <c r="A491" s="685" t="s">
        <v>514</v>
      </c>
      <c r="B491" s="723">
        <v>2011</v>
      </c>
      <c r="C491" s="685" t="s">
        <v>508</v>
      </c>
      <c r="D491" s="685" t="s">
        <v>2841</v>
      </c>
      <c r="E491" s="723" t="s">
        <v>2842</v>
      </c>
      <c r="F491" s="685" t="s">
        <v>55</v>
      </c>
      <c r="G491" s="685" t="s">
        <v>2843</v>
      </c>
      <c r="H491" s="135" t="s">
        <v>943</v>
      </c>
      <c r="I491" s="723"/>
      <c r="J491" s="723"/>
      <c r="K491" s="723"/>
      <c r="L491" s="685" t="s">
        <v>2844</v>
      </c>
      <c r="M491" s="724">
        <v>1086543694</v>
      </c>
      <c r="N491" s="724">
        <v>1086543694</v>
      </c>
      <c r="O491" s="723">
        <v>7</v>
      </c>
    </row>
    <row r="492" spans="1:15" s="727" customFormat="1">
      <c r="A492" s="687" t="s">
        <v>514</v>
      </c>
      <c r="B492" s="726">
        <v>2011</v>
      </c>
      <c r="C492" s="687" t="s">
        <v>508</v>
      </c>
      <c r="D492" s="687" t="s">
        <v>2841</v>
      </c>
      <c r="E492" s="726" t="s">
        <v>2842</v>
      </c>
      <c r="F492" s="687" t="s">
        <v>55</v>
      </c>
      <c r="G492" s="687"/>
      <c r="H492" s="726"/>
      <c r="I492" s="726"/>
      <c r="J492" s="726"/>
      <c r="K492" s="726"/>
      <c r="L492" s="687" t="s">
        <v>2845</v>
      </c>
      <c r="M492" s="687" t="s">
        <v>2846</v>
      </c>
      <c r="N492" s="687" t="s">
        <v>2846</v>
      </c>
      <c r="O492" s="726"/>
    </row>
    <row r="493" spans="1:15" s="727" customFormat="1">
      <c r="A493" s="687" t="s">
        <v>514</v>
      </c>
      <c r="B493" s="726">
        <v>2011</v>
      </c>
      <c r="C493" s="687" t="s">
        <v>508</v>
      </c>
      <c r="D493" s="687" t="s">
        <v>2841</v>
      </c>
      <c r="E493" s="726" t="s">
        <v>2842</v>
      </c>
      <c r="F493" s="687" t="s">
        <v>55</v>
      </c>
      <c r="G493" s="687"/>
      <c r="H493" s="726"/>
      <c r="I493" s="726"/>
      <c r="J493" s="726"/>
      <c r="K493" s="726"/>
      <c r="L493" s="687" t="s">
        <v>2847</v>
      </c>
      <c r="M493" s="687" t="s">
        <v>2846</v>
      </c>
      <c r="N493" s="687" t="s">
        <v>2846</v>
      </c>
      <c r="O493" s="726"/>
    </row>
    <row r="494" spans="1:15" s="727" customFormat="1">
      <c r="A494" s="687" t="s">
        <v>514</v>
      </c>
      <c r="B494" s="726">
        <v>2011</v>
      </c>
      <c r="C494" s="687" t="s">
        <v>508</v>
      </c>
      <c r="D494" s="687" t="s">
        <v>2841</v>
      </c>
      <c r="E494" s="726" t="s">
        <v>2842</v>
      </c>
      <c r="F494" s="687" t="s">
        <v>55</v>
      </c>
      <c r="G494" s="687"/>
      <c r="H494" s="726"/>
      <c r="I494" s="726"/>
      <c r="J494" s="726"/>
      <c r="K494" s="726"/>
      <c r="L494" s="687" t="s">
        <v>2848</v>
      </c>
      <c r="M494" s="687" t="s">
        <v>2846</v>
      </c>
      <c r="N494" s="687" t="s">
        <v>2846</v>
      </c>
      <c r="O494" s="726"/>
    </row>
    <row r="495" spans="1:15" s="727" customFormat="1">
      <c r="A495" s="687" t="s">
        <v>514</v>
      </c>
      <c r="B495" s="726">
        <v>2011</v>
      </c>
      <c r="C495" s="687" t="s">
        <v>508</v>
      </c>
      <c r="D495" s="687" t="s">
        <v>2841</v>
      </c>
      <c r="E495" s="726" t="s">
        <v>2842</v>
      </c>
      <c r="F495" s="687" t="s">
        <v>55</v>
      </c>
      <c r="G495" s="687"/>
      <c r="H495" s="726"/>
      <c r="I495" s="726"/>
      <c r="J495" s="726"/>
      <c r="K495" s="726"/>
      <c r="L495" s="687" t="s">
        <v>2849</v>
      </c>
      <c r="M495" s="728">
        <v>290213987</v>
      </c>
      <c r="N495" s="728">
        <v>290213987</v>
      </c>
      <c r="O495" s="726">
        <v>7</v>
      </c>
    </row>
    <row r="496" spans="1:15" s="727" customFormat="1">
      <c r="A496" s="687" t="s">
        <v>514</v>
      </c>
      <c r="B496" s="726">
        <v>2011</v>
      </c>
      <c r="C496" s="687" t="s">
        <v>508</v>
      </c>
      <c r="D496" s="687" t="s">
        <v>2841</v>
      </c>
      <c r="E496" s="726" t="s">
        <v>2850</v>
      </c>
      <c r="F496" s="687" t="s">
        <v>55</v>
      </c>
      <c r="G496" s="687" t="s">
        <v>2843</v>
      </c>
      <c r="H496" s="89" t="s">
        <v>943</v>
      </c>
      <c r="I496" s="726"/>
      <c r="J496" s="726"/>
      <c r="K496" s="726"/>
      <c r="L496" s="687" t="s">
        <v>2851</v>
      </c>
      <c r="M496" s="728">
        <v>164037863</v>
      </c>
      <c r="N496" s="728">
        <v>164037863</v>
      </c>
      <c r="O496" s="726">
        <v>7</v>
      </c>
    </row>
    <row r="497" spans="1:15" s="727" customFormat="1">
      <c r="A497" s="687" t="s">
        <v>514</v>
      </c>
      <c r="B497" s="726">
        <v>2011</v>
      </c>
      <c r="C497" s="687" t="s">
        <v>508</v>
      </c>
      <c r="D497" s="687" t="s">
        <v>2841</v>
      </c>
      <c r="E497" s="726" t="s">
        <v>2850</v>
      </c>
      <c r="F497" s="687" t="s">
        <v>55</v>
      </c>
      <c r="G497" s="687"/>
      <c r="H497" s="726"/>
      <c r="I497" s="726"/>
      <c r="J497" s="726"/>
      <c r="K497" s="726"/>
      <c r="L497" s="687" t="s">
        <v>2845</v>
      </c>
      <c r="M497" s="687" t="s">
        <v>2846</v>
      </c>
      <c r="N497" s="687" t="s">
        <v>2846</v>
      </c>
      <c r="O497" s="726"/>
    </row>
    <row r="498" spans="1:15" s="727" customFormat="1">
      <c r="A498" s="687" t="s">
        <v>514</v>
      </c>
      <c r="B498" s="726">
        <v>2011</v>
      </c>
      <c r="C498" s="687" t="s">
        <v>508</v>
      </c>
      <c r="D498" s="687" t="s">
        <v>2841</v>
      </c>
      <c r="E498" s="726" t="s">
        <v>2850</v>
      </c>
      <c r="F498" s="687" t="s">
        <v>55</v>
      </c>
      <c r="G498" s="687"/>
      <c r="H498" s="726"/>
      <c r="I498" s="726"/>
      <c r="J498" s="726"/>
      <c r="K498" s="726"/>
      <c r="L498" s="687" t="s">
        <v>2847</v>
      </c>
      <c r="M498" s="687" t="s">
        <v>2846</v>
      </c>
      <c r="N498" s="687" t="s">
        <v>2846</v>
      </c>
      <c r="O498" s="726"/>
    </row>
    <row r="499" spans="1:15" s="727" customFormat="1">
      <c r="A499" s="687" t="s">
        <v>514</v>
      </c>
      <c r="B499" s="726">
        <v>2011</v>
      </c>
      <c r="C499" s="687" t="s">
        <v>508</v>
      </c>
      <c r="D499" s="687" t="s">
        <v>2841</v>
      </c>
      <c r="E499" s="726" t="s">
        <v>2852</v>
      </c>
      <c r="F499" s="687" t="s">
        <v>55</v>
      </c>
      <c r="G499" s="726" t="s">
        <v>561</v>
      </c>
      <c r="H499" s="89" t="s">
        <v>943</v>
      </c>
      <c r="I499" s="726"/>
      <c r="J499" s="726"/>
      <c r="K499" s="726"/>
      <c r="L499" s="687" t="s">
        <v>2853</v>
      </c>
      <c r="M499" s="687" t="s">
        <v>2846</v>
      </c>
      <c r="N499" s="687" t="s">
        <v>2846</v>
      </c>
      <c r="O499" s="726"/>
    </row>
    <row r="500" spans="1:15" s="727" customFormat="1">
      <c r="A500" s="687" t="s">
        <v>514</v>
      </c>
      <c r="B500" s="726">
        <v>2011</v>
      </c>
      <c r="C500" s="687" t="s">
        <v>508</v>
      </c>
      <c r="D500" s="687" t="s">
        <v>2841</v>
      </c>
      <c r="E500" s="726" t="s">
        <v>2852</v>
      </c>
      <c r="F500" s="687" t="s">
        <v>55</v>
      </c>
      <c r="G500" s="726"/>
      <c r="H500" s="726"/>
      <c r="I500" s="726"/>
      <c r="J500" s="726"/>
      <c r="K500" s="726"/>
      <c r="L500" s="687" t="s">
        <v>2854</v>
      </c>
      <c r="M500" s="687" t="s">
        <v>943</v>
      </c>
      <c r="N500" s="687" t="s">
        <v>943</v>
      </c>
      <c r="O500" s="726"/>
    </row>
    <row r="501" spans="1:15" s="727" customFormat="1">
      <c r="A501" s="687" t="s">
        <v>514</v>
      </c>
      <c r="B501" s="726">
        <v>2011</v>
      </c>
      <c r="C501" s="687" t="s">
        <v>508</v>
      </c>
      <c r="D501" s="687" t="s">
        <v>2841</v>
      </c>
      <c r="E501" s="726" t="s">
        <v>2852</v>
      </c>
      <c r="F501" s="687" t="s">
        <v>55</v>
      </c>
      <c r="G501" s="726"/>
      <c r="H501" s="726"/>
      <c r="I501" s="726"/>
      <c r="J501" s="726"/>
      <c r="K501" s="726"/>
      <c r="L501" s="687" t="s">
        <v>2855</v>
      </c>
      <c r="M501" s="687" t="s">
        <v>943</v>
      </c>
      <c r="N501" s="687" t="s">
        <v>943</v>
      </c>
      <c r="O501" s="726"/>
    </row>
    <row r="502" spans="1:15" s="727" customFormat="1">
      <c r="A502" s="687" t="s">
        <v>514</v>
      </c>
      <c r="B502" s="726">
        <v>2011</v>
      </c>
      <c r="C502" s="687" t="s">
        <v>508</v>
      </c>
      <c r="D502" s="687" t="s">
        <v>2841</v>
      </c>
      <c r="E502" s="726" t="s">
        <v>2852</v>
      </c>
      <c r="F502" s="687" t="s">
        <v>55</v>
      </c>
      <c r="G502" s="726"/>
      <c r="H502" s="726"/>
      <c r="I502" s="726"/>
      <c r="J502" s="726"/>
      <c r="K502" s="726"/>
      <c r="L502" s="687" t="s">
        <v>2856</v>
      </c>
      <c r="M502" s="687" t="s">
        <v>2846</v>
      </c>
      <c r="N502" s="687" t="s">
        <v>2846</v>
      </c>
      <c r="O502" s="726"/>
    </row>
    <row r="503" spans="1:15" s="727" customFormat="1">
      <c r="A503" s="687" t="s">
        <v>514</v>
      </c>
      <c r="B503" s="726">
        <v>2011</v>
      </c>
      <c r="C503" s="687" t="s">
        <v>508</v>
      </c>
      <c r="D503" s="687" t="s">
        <v>2841</v>
      </c>
      <c r="E503" s="687" t="s">
        <v>2857</v>
      </c>
      <c r="F503" s="687" t="s">
        <v>55</v>
      </c>
      <c r="G503" s="726" t="s">
        <v>561</v>
      </c>
      <c r="H503" s="89" t="s">
        <v>943</v>
      </c>
      <c r="I503" s="726"/>
      <c r="J503" s="726"/>
      <c r="K503" s="726"/>
      <c r="L503" s="687" t="s">
        <v>2853</v>
      </c>
      <c r="M503" s="687" t="s">
        <v>2846</v>
      </c>
      <c r="N503" s="687" t="s">
        <v>2846</v>
      </c>
      <c r="O503" s="726"/>
    </row>
    <row r="504" spans="1:15" s="727" customFormat="1">
      <c r="A504" s="687" t="s">
        <v>514</v>
      </c>
      <c r="B504" s="726">
        <v>2011</v>
      </c>
      <c r="C504" s="687" t="s">
        <v>508</v>
      </c>
      <c r="D504" s="687" t="s">
        <v>2841</v>
      </c>
      <c r="E504" s="687" t="s">
        <v>2857</v>
      </c>
      <c r="F504" s="687" t="s">
        <v>55</v>
      </c>
      <c r="G504" s="726"/>
      <c r="H504" s="726"/>
      <c r="I504" s="726"/>
      <c r="J504" s="726"/>
      <c r="K504" s="726"/>
      <c r="L504" s="687" t="s">
        <v>2854</v>
      </c>
      <c r="M504" s="687" t="s">
        <v>943</v>
      </c>
      <c r="N504" s="687" t="s">
        <v>943</v>
      </c>
      <c r="O504" s="726"/>
    </row>
    <row r="505" spans="1:15" s="727" customFormat="1">
      <c r="A505" s="687" t="s">
        <v>514</v>
      </c>
      <c r="B505" s="726">
        <v>2011</v>
      </c>
      <c r="C505" s="687" t="s">
        <v>508</v>
      </c>
      <c r="D505" s="687" t="s">
        <v>2841</v>
      </c>
      <c r="E505" s="687" t="s">
        <v>2857</v>
      </c>
      <c r="F505" s="687" t="s">
        <v>55</v>
      </c>
      <c r="G505" s="726"/>
      <c r="H505" s="726"/>
      <c r="I505" s="726"/>
      <c r="J505" s="726"/>
      <c r="K505" s="726"/>
      <c r="L505" s="687" t="s">
        <v>2855</v>
      </c>
      <c r="M505" s="687" t="s">
        <v>943</v>
      </c>
      <c r="N505" s="687" t="s">
        <v>943</v>
      </c>
      <c r="O505" s="726"/>
    </row>
    <row r="506" spans="1:15" s="727" customFormat="1">
      <c r="A506" s="687" t="s">
        <v>514</v>
      </c>
      <c r="B506" s="726">
        <v>2011</v>
      </c>
      <c r="C506" s="687" t="s">
        <v>508</v>
      </c>
      <c r="D506" s="687" t="s">
        <v>2841</v>
      </c>
      <c r="E506" s="687" t="s">
        <v>2857</v>
      </c>
      <c r="F506" s="687" t="s">
        <v>55</v>
      </c>
      <c r="G506" s="726"/>
      <c r="H506" s="726"/>
      <c r="I506" s="726"/>
      <c r="J506" s="726"/>
      <c r="K506" s="726"/>
      <c r="L506" s="687" t="s">
        <v>2856</v>
      </c>
      <c r="M506" s="687" t="s">
        <v>2846</v>
      </c>
      <c r="N506" s="687" t="s">
        <v>2846</v>
      </c>
      <c r="O506" s="726"/>
    </row>
    <row r="507" spans="1:15" s="727" customFormat="1">
      <c r="A507" s="687" t="s">
        <v>514</v>
      </c>
      <c r="B507" s="726">
        <v>2011</v>
      </c>
      <c r="C507" s="687" t="s">
        <v>508</v>
      </c>
      <c r="D507" s="687" t="s">
        <v>2841</v>
      </c>
      <c r="E507" s="726" t="s">
        <v>2858</v>
      </c>
      <c r="F507" s="687" t="s">
        <v>55</v>
      </c>
      <c r="G507" s="726"/>
      <c r="H507" s="89" t="s">
        <v>943</v>
      </c>
      <c r="I507" s="726"/>
      <c r="J507" s="726"/>
      <c r="K507" s="726"/>
      <c r="L507" s="687" t="s">
        <v>2859</v>
      </c>
      <c r="M507" s="728">
        <v>91746</v>
      </c>
      <c r="N507" s="728">
        <v>91746</v>
      </c>
      <c r="O507" s="726">
        <v>7</v>
      </c>
    </row>
    <row r="508" spans="1:15" s="727" customFormat="1">
      <c r="A508" s="687" t="s">
        <v>514</v>
      </c>
      <c r="B508" s="726">
        <v>2011</v>
      </c>
      <c r="C508" s="687" t="s">
        <v>508</v>
      </c>
      <c r="D508" s="687" t="s">
        <v>2841</v>
      </c>
      <c r="E508" s="726" t="s">
        <v>2860</v>
      </c>
      <c r="F508" s="687" t="s">
        <v>55</v>
      </c>
      <c r="G508" s="726"/>
      <c r="H508" s="89" t="s">
        <v>943</v>
      </c>
      <c r="I508" s="726"/>
      <c r="J508" s="726"/>
      <c r="K508" s="726"/>
      <c r="L508" s="687" t="s">
        <v>2861</v>
      </c>
      <c r="M508" s="728">
        <v>107</v>
      </c>
      <c r="N508" s="728">
        <v>107</v>
      </c>
      <c r="O508" s="726">
        <v>7</v>
      </c>
    </row>
    <row r="509" spans="1:15" s="727" customFormat="1">
      <c r="A509" s="687" t="s">
        <v>514</v>
      </c>
      <c r="B509" s="726">
        <v>2011</v>
      </c>
      <c r="C509" s="687" t="s">
        <v>508</v>
      </c>
      <c r="D509" s="687" t="s">
        <v>2841</v>
      </c>
      <c r="E509" s="726" t="s">
        <v>2860</v>
      </c>
      <c r="F509" s="687" t="s">
        <v>55</v>
      </c>
      <c r="G509" s="726"/>
      <c r="H509" s="726"/>
      <c r="I509" s="726"/>
      <c r="J509" s="726"/>
      <c r="K509" s="726"/>
      <c r="L509" s="687" t="s">
        <v>2862</v>
      </c>
      <c r="M509" s="687" t="s">
        <v>943</v>
      </c>
      <c r="N509" s="687" t="s">
        <v>943</v>
      </c>
      <c r="O509" s="726"/>
    </row>
    <row r="510" spans="1:15" s="727" customFormat="1">
      <c r="A510" s="687" t="s">
        <v>514</v>
      </c>
      <c r="B510" s="726">
        <v>2011</v>
      </c>
      <c r="C510" s="687" t="s">
        <v>508</v>
      </c>
      <c r="D510" s="687" t="s">
        <v>2841</v>
      </c>
      <c r="E510" s="726" t="s">
        <v>2860</v>
      </c>
      <c r="F510" s="687" t="s">
        <v>55</v>
      </c>
      <c r="G510" s="726"/>
      <c r="H510" s="726"/>
      <c r="I510" s="726"/>
      <c r="J510" s="726"/>
      <c r="K510" s="726"/>
      <c r="L510" s="687" t="s">
        <v>2863</v>
      </c>
      <c r="M510" s="687" t="s">
        <v>943</v>
      </c>
      <c r="N510" s="687" t="s">
        <v>943</v>
      </c>
      <c r="O510" s="726"/>
    </row>
    <row r="511" spans="1:15" s="727" customFormat="1">
      <c r="A511" s="687" t="s">
        <v>514</v>
      </c>
      <c r="B511" s="726">
        <v>2011</v>
      </c>
      <c r="C511" s="687" t="s">
        <v>508</v>
      </c>
      <c r="D511" s="687" t="s">
        <v>2841</v>
      </c>
      <c r="E511" s="726" t="s">
        <v>2860</v>
      </c>
      <c r="F511" s="687" t="s">
        <v>55</v>
      </c>
      <c r="G511" s="726"/>
      <c r="H511" s="726"/>
      <c r="I511" s="726"/>
      <c r="J511" s="726"/>
      <c r="K511" s="726"/>
      <c r="L511" s="687" t="s">
        <v>2864</v>
      </c>
      <c r="M511" s="687" t="s">
        <v>943</v>
      </c>
      <c r="N511" s="687" t="s">
        <v>943</v>
      </c>
      <c r="O511" s="726"/>
    </row>
    <row r="512" spans="1:15" s="727" customFormat="1">
      <c r="A512" s="687" t="s">
        <v>514</v>
      </c>
      <c r="B512" s="726">
        <v>2011</v>
      </c>
      <c r="C512" s="687" t="s">
        <v>508</v>
      </c>
      <c r="D512" s="687" t="s">
        <v>2841</v>
      </c>
      <c r="E512" s="726" t="s">
        <v>2865</v>
      </c>
      <c r="F512" s="687" t="s">
        <v>55</v>
      </c>
      <c r="G512" s="726"/>
      <c r="H512" s="89" t="s">
        <v>943</v>
      </c>
      <c r="I512" s="726"/>
      <c r="J512" s="726"/>
      <c r="K512" s="726"/>
      <c r="L512" s="687" t="s">
        <v>2866</v>
      </c>
      <c r="M512" s="728">
        <v>417407</v>
      </c>
      <c r="N512" s="728">
        <v>417407</v>
      </c>
      <c r="O512" s="726">
        <v>7</v>
      </c>
    </row>
    <row r="513" spans="1:15" s="727" customFormat="1">
      <c r="A513" s="687" t="s">
        <v>514</v>
      </c>
      <c r="B513" s="726">
        <v>2011</v>
      </c>
      <c r="C513" s="687" t="s">
        <v>508</v>
      </c>
      <c r="D513" s="687" t="s">
        <v>2841</v>
      </c>
      <c r="E513" s="726" t="s">
        <v>2865</v>
      </c>
      <c r="F513" s="687" t="s">
        <v>55</v>
      </c>
      <c r="G513" s="726"/>
      <c r="H513" s="726"/>
      <c r="I513" s="726"/>
      <c r="J513" s="726"/>
      <c r="K513" s="726"/>
      <c r="L513" s="687" t="s">
        <v>2867</v>
      </c>
      <c r="M513" s="729">
        <v>29751</v>
      </c>
      <c r="N513" s="729">
        <v>29751</v>
      </c>
      <c r="O513" s="726">
        <v>7</v>
      </c>
    </row>
    <row r="514" spans="1:15" s="727" customFormat="1">
      <c r="A514" s="687" t="s">
        <v>514</v>
      </c>
      <c r="B514" s="726">
        <v>2011</v>
      </c>
      <c r="C514" s="687" t="s">
        <v>508</v>
      </c>
      <c r="D514" s="687" t="s">
        <v>2841</v>
      </c>
      <c r="E514" s="726" t="s">
        <v>2865</v>
      </c>
      <c r="F514" s="687" t="s">
        <v>55</v>
      </c>
      <c r="G514" s="726"/>
      <c r="H514" s="726"/>
      <c r="I514" s="726"/>
      <c r="J514" s="726"/>
      <c r="K514" s="726"/>
      <c r="L514" s="687" t="s">
        <v>2868</v>
      </c>
      <c r="M514" s="687" t="s">
        <v>943</v>
      </c>
      <c r="N514" s="687" t="s">
        <v>943</v>
      </c>
      <c r="O514" s="726"/>
    </row>
    <row r="515" spans="1:15" s="727" customFormat="1">
      <c r="A515" s="687" t="s">
        <v>514</v>
      </c>
      <c r="B515" s="726">
        <v>2011</v>
      </c>
      <c r="C515" s="687" t="s">
        <v>508</v>
      </c>
      <c r="D515" s="687" t="s">
        <v>2841</v>
      </c>
      <c r="E515" s="726" t="s">
        <v>2865</v>
      </c>
      <c r="F515" s="687" t="s">
        <v>55</v>
      </c>
      <c r="G515" s="726"/>
      <c r="H515" s="726"/>
      <c r="I515" s="726"/>
      <c r="J515" s="726"/>
      <c r="K515" s="726"/>
      <c r="L515" s="687" t="s">
        <v>2869</v>
      </c>
      <c r="M515" s="687" t="s">
        <v>943</v>
      </c>
      <c r="N515" s="687" t="s">
        <v>943</v>
      </c>
      <c r="O515" s="726"/>
    </row>
    <row r="516" spans="1:15" s="727" customFormat="1">
      <c r="A516" s="687" t="s">
        <v>514</v>
      </c>
      <c r="B516" s="726">
        <v>2011</v>
      </c>
      <c r="C516" s="687" t="s">
        <v>508</v>
      </c>
      <c r="D516" s="687" t="s">
        <v>2841</v>
      </c>
      <c r="E516" s="726" t="s">
        <v>2865</v>
      </c>
      <c r="F516" s="687" t="s">
        <v>55</v>
      </c>
      <c r="G516" s="726"/>
      <c r="H516" s="726"/>
      <c r="I516" s="726"/>
      <c r="J516" s="726"/>
      <c r="K516" s="726"/>
      <c r="L516" s="687" t="s">
        <v>2870</v>
      </c>
      <c r="M516" s="687" t="s">
        <v>943</v>
      </c>
      <c r="N516" s="687" t="s">
        <v>943</v>
      </c>
      <c r="O516" s="726"/>
    </row>
    <row r="517" spans="1:15" s="727" customFormat="1">
      <c r="A517" s="687" t="s">
        <v>514</v>
      </c>
      <c r="B517" s="726">
        <v>2011</v>
      </c>
      <c r="C517" s="687" t="s">
        <v>508</v>
      </c>
      <c r="D517" s="687" t="s">
        <v>2841</v>
      </c>
      <c r="E517" s="726" t="s">
        <v>2865</v>
      </c>
      <c r="F517" s="687" t="s">
        <v>55</v>
      </c>
      <c r="G517" s="726"/>
      <c r="H517" s="726"/>
      <c r="I517" s="726"/>
      <c r="J517" s="726"/>
      <c r="K517" s="726"/>
      <c r="L517" s="687" t="s">
        <v>2871</v>
      </c>
      <c r="M517" s="687" t="s">
        <v>943</v>
      </c>
      <c r="N517" s="687" t="s">
        <v>943</v>
      </c>
      <c r="O517" s="726"/>
    </row>
    <row r="518" spans="1:15" s="727" customFormat="1">
      <c r="A518" s="687" t="s">
        <v>514</v>
      </c>
      <c r="B518" s="726">
        <v>2011</v>
      </c>
      <c r="C518" s="687" t="s">
        <v>508</v>
      </c>
      <c r="D518" s="687" t="s">
        <v>2841</v>
      </c>
      <c r="E518" s="726" t="s">
        <v>2872</v>
      </c>
      <c r="F518" s="687" t="s">
        <v>55</v>
      </c>
      <c r="G518" s="687" t="s">
        <v>2873</v>
      </c>
      <c r="H518" s="89" t="s">
        <v>943</v>
      </c>
      <c r="I518" s="726"/>
      <c r="J518" s="726"/>
      <c r="K518" s="726"/>
      <c r="L518" s="687" t="s">
        <v>2874</v>
      </c>
      <c r="M518" s="728">
        <v>49587120</v>
      </c>
      <c r="N518" s="728">
        <v>49587120</v>
      </c>
      <c r="O518" s="726">
        <v>7</v>
      </c>
    </row>
    <row r="519" spans="1:15" s="727" customFormat="1">
      <c r="A519" s="687" t="s">
        <v>514</v>
      </c>
      <c r="B519" s="726">
        <v>2011</v>
      </c>
      <c r="C519" s="687" t="s">
        <v>508</v>
      </c>
      <c r="D519" s="687" t="s">
        <v>2841</v>
      </c>
      <c r="E519" s="726" t="s">
        <v>2872</v>
      </c>
      <c r="F519" s="687" t="s">
        <v>55</v>
      </c>
      <c r="G519" s="726"/>
      <c r="H519" s="726"/>
      <c r="I519" s="726"/>
      <c r="J519" s="726"/>
      <c r="K519" s="726"/>
      <c r="L519" s="687" t="s">
        <v>2875</v>
      </c>
      <c r="M519" s="687" t="s">
        <v>2846</v>
      </c>
      <c r="N519" s="687" t="s">
        <v>2846</v>
      </c>
      <c r="O519" s="726"/>
    </row>
    <row r="520" spans="1:15" s="727" customFormat="1">
      <c r="A520" s="687" t="s">
        <v>514</v>
      </c>
      <c r="B520" s="726">
        <v>2011</v>
      </c>
      <c r="C520" s="687" t="s">
        <v>508</v>
      </c>
      <c r="D520" s="687" t="s">
        <v>2841</v>
      </c>
      <c r="E520" s="726" t="s">
        <v>2872</v>
      </c>
      <c r="F520" s="687" t="s">
        <v>55</v>
      </c>
      <c r="G520" s="726"/>
      <c r="H520" s="726"/>
      <c r="I520" s="726"/>
      <c r="J520" s="726"/>
      <c r="K520" s="726"/>
      <c r="L520" s="687" t="s">
        <v>2876</v>
      </c>
      <c r="M520" s="728">
        <v>6419484</v>
      </c>
      <c r="N520" s="728">
        <v>6419484</v>
      </c>
      <c r="O520" s="726">
        <v>7</v>
      </c>
    </row>
    <row r="521" spans="1:15" s="727" customFormat="1">
      <c r="A521" s="687" t="s">
        <v>514</v>
      </c>
      <c r="B521" s="726">
        <v>2011</v>
      </c>
      <c r="C521" s="687" t="s">
        <v>508</v>
      </c>
      <c r="D521" s="687" t="s">
        <v>2841</v>
      </c>
      <c r="E521" s="726" t="s">
        <v>2877</v>
      </c>
      <c r="F521" s="687" t="s">
        <v>55</v>
      </c>
      <c r="G521" s="726"/>
      <c r="H521" s="89" t="s">
        <v>943</v>
      </c>
      <c r="I521" s="726"/>
      <c r="J521" s="726"/>
      <c r="K521" s="726"/>
      <c r="L521" s="687" t="s">
        <v>2878</v>
      </c>
      <c r="M521" s="687" t="s">
        <v>2846</v>
      </c>
      <c r="N521" s="687" t="s">
        <v>2846</v>
      </c>
      <c r="O521" s="726"/>
    </row>
    <row r="522" spans="1:15" s="727" customFormat="1">
      <c r="A522" s="687" t="s">
        <v>514</v>
      </c>
      <c r="B522" s="726">
        <v>2011</v>
      </c>
      <c r="C522" s="687" t="s">
        <v>508</v>
      </c>
      <c r="D522" s="687" t="s">
        <v>2841</v>
      </c>
      <c r="E522" s="726" t="s">
        <v>2877</v>
      </c>
      <c r="F522" s="687" t="s">
        <v>55</v>
      </c>
      <c r="G522" s="726"/>
      <c r="H522" s="726"/>
      <c r="I522" s="726"/>
      <c r="J522" s="726"/>
      <c r="K522" s="726"/>
      <c r="L522" s="687" t="s">
        <v>2879</v>
      </c>
      <c r="M522" s="687" t="s">
        <v>943</v>
      </c>
      <c r="N522" s="687" t="s">
        <v>943</v>
      </c>
      <c r="O522" s="726"/>
    </row>
    <row r="523" spans="1:15" s="727" customFormat="1">
      <c r="A523" s="687" t="s">
        <v>514</v>
      </c>
      <c r="B523" s="726">
        <v>2011</v>
      </c>
      <c r="C523" s="687" t="s">
        <v>508</v>
      </c>
      <c r="D523" s="687" t="s">
        <v>2841</v>
      </c>
      <c r="E523" s="726" t="s">
        <v>2877</v>
      </c>
      <c r="F523" s="687" t="s">
        <v>55</v>
      </c>
      <c r="G523" s="726"/>
      <c r="H523" s="726"/>
      <c r="I523" s="726"/>
      <c r="J523" s="726"/>
      <c r="K523" s="726"/>
      <c r="L523" s="687" t="s">
        <v>2880</v>
      </c>
      <c r="M523" s="687" t="s">
        <v>943</v>
      </c>
      <c r="N523" s="687" t="s">
        <v>943</v>
      </c>
      <c r="O523" s="726"/>
    </row>
    <row r="524" spans="1:15" s="727" customFormat="1">
      <c r="A524" s="687" t="s">
        <v>514</v>
      </c>
      <c r="B524" s="726">
        <v>2011</v>
      </c>
      <c r="C524" s="687" t="s">
        <v>508</v>
      </c>
      <c r="D524" s="687" t="s">
        <v>2841</v>
      </c>
      <c r="E524" s="726" t="s">
        <v>2877</v>
      </c>
      <c r="F524" s="687" t="s">
        <v>55</v>
      </c>
      <c r="G524" s="726"/>
      <c r="H524" s="726"/>
      <c r="I524" s="726"/>
      <c r="J524" s="726"/>
      <c r="K524" s="726"/>
      <c r="L524" s="687" t="s">
        <v>2881</v>
      </c>
      <c r="M524" s="687" t="s">
        <v>943</v>
      </c>
      <c r="N524" s="687" t="s">
        <v>943</v>
      </c>
      <c r="O524" s="726"/>
    </row>
    <row r="525" spans="1:15" s="727" customFormat="1">
      <c r="A525" s="687" t="s">
        <v>514</v>
      </c>
      <c r="B525" s="726">
        <v>2011</v>
      </c>
      <c r="C525" s="687" t="s">
        <v>508</v>
      </c>
      <c r="D525" s="687" t="s">
        <v>2841</v>
      </c>
      <c r="E525" s="726" t="s">
        <v>2882</v>
      </c>
      <c r="F525" s="687" t="s">
        <v>55</v>
      </c>
      <c r="G525" s="726"/>
      <c r="H525" s="89" t="s">
        <v>943</v>
      </c>
      <c r="I525" s="726"/>
      <c r="J525" s="726"/>
      <c r="K525" s="726"/>
      <c r="L525" s="687" t="s">
        <v>2878</v>
      </c>
      <c r="M525" s="687" t="s">
        <v>2846</v>
      </c>
      <c r="N525" s="687" t="s">
        <v>2846</v>
      </c>
      <c r="O525" s="726"/>
    </row>
    <row r="526" spans="1:15" s="727" customFormat="1">
      <c r="A526" s="687" t="s">
        <v>514</v>
      </c>
      <c r="B526" s="726">
        <v>2011</v>
      </c>
      <c r="C526" s="687" t="s">
        <v>508</v>
      </c>
      <c r="D526" s="687" t="s">
        <v>2841</v>
      </c>
      <c r="E526" s="726" t="s">
        <v>2882</v>
      </c>
      <c r="F526" s="687" t="s">
        <v>55</v>
      </c>
      <c r="G526" s="726"/>
      <c r="H526" s="726"/>
      <c r="I526" s="726"/>
      <c r="J526" s="726"/>
      <c r="K526" s="726"/>
      <c r="L526" s="687" t="s">
        <v>2879</v>
      </c>
      <c r="M526" s="687" t="s">
        <v>943</v>
      </c>
      <c r="N526" s="687" t="s">
        <v>943</v>
      </c>
      <c r="O526" s="726"/>
    </row>
    <row r="527" spans="1:15" s="727" customFormat="1">
      <c r="A527" s="687" t="s">
        <v>514</v>
      </c>
      <c r="B527" s="726">
        <v>2011</v>
      </c>
      <c r="C527" s="687" t="s">
        <v>508</v>
      </c>
      <c r="D527" s="687" t="s">
        <v>2841</v>
      </c>
      <c r="E527" s="726" t="s">
        <v>2882</v>
      </c>
      <c r="F527" s="687" t="s">
        <v>55</v>
      </c>
      <c r="G527" s="726"/>
      <c r="H527" s="726"/>
      <c r="I527" s="726"/>
      <c r="J527" s="726"/>
      <c r="K527" s="726"/>
      <c r="L527" s="687" t="s">
        <v>2880</v>
      </c>
      <c r="M527" s="687" t="s">
        <v>943</v>
      </c>
      <c r="N527" s="687" t="s">
        <v>943</v>
      </c>
      <c r="O527" s="726"/>
    </row>
    <row r="528" spans="1:15" s="727" customFormat="1">
      <c r="A528" s="687" t="s">
        <v>514</v>
      </c>
      <c r="B528" s="726">
        <v>2011</v>
      </c>
      <c r="C528" s="687" t="s">
        <v>508</v>
      </c>
      <c r="D528" s="687" t="s">
        <v>2841</v>
      </c>
      <c r="E528" s="726" t="s">
        <v>2882</v>
      </c>
      <c r="F528" s="687" t="s">
        <v>55</v>
      </c>
      <c r="G528" s="726"/>
      <c r="H528" s="726"/>
      <c r="I528" s="726"/>
      <c r="J528" s="726"/>
      <c r="K528" s="726"/>
      <c r="L528" s="687" t="s">
        <v>2881</v>
      </c>
      <c r="M528" s="687" t="s">
        <v>943</v>
      </c>
      <c r="N528" s="687" t="s">
        <v>943</v>
      </c>
      <c r="O528" s="726"/>
    </row>
    <row r="529" spans="1:17" s="727" customFormat="1">
      <c r="A529" s="687" t="s">
        <v>514</v>
      </c>
      <c r="B529" s="726">
        <v>2011</v>
      </c>
      <c r="C529" s="687" t="s">
        <v>508</v>
      </c>
      <c r="D529" s="687" t="s">
        <v>2841</v>
      </c>
      <c r="E529" s="726" t="s">
        <v>2883</v>
      </c>
      <c r="F529" s="687" t="s">
        <v>55</v>
      </c>
      <c r="G529" s="726"/>
      <c r="H529" s="89" t="s">
        <v>943</v>
      </c>
      <c r="I529" s="726"/>
      <c r="J529" s="726"/>
      <c r="K529" s="726"/>
      <c r="L529" s="687" t="s">
        <v>2878</v>
      </c>
      <c r="M529" s="687" t="s">
        <v>2846</v>
      </c>
      <c r="N529" s="687" t="s">
        <v>2846</v>
      </c>
      <c r="O529" s="726"/>
    </row>
    <row r="530" spans="1:17" s="727" customFormat="1">
      <c r="A530" s="687" t="s">
        <v>514</v>
      </c>
      <c r="B530" s="726">
        <v>2011</v>
      </c>
      <c r="C530" s="687" t="s">
        <v>508</v>
      </c>
      <c r="D530" s="687" t="s">
        <v>2841</v>
      </c>
      <c r="E530" s="726" t="s">
        <v>2883</v>
      </c>
      <c r="F530" s="687" t="s">
        <v>55</v>
      </c>
      <c r="G530" s="726"/>
      <c r="H530" s="726"/>
      <c r="I530" s="726"/>
      <c r="J530" s="726"/>
      <c r="K530" s="726"/>
      <c r="L530" s="687" t="s">
        <v>2879</v>
      </c>
      <c r="M530" s="687" t="s">
        <v>943</v>
      </c>
      <c r="N530" s="687" t="s">
        <v>943</v>
      </c>
      <c r="O530" s="726"/>
    </row>
    <row r="531" spans="1:17" s="727" customFormat="1">
      <c r="A531" s="687" t="s">
        <v>514</v>
      </c>
      <c r="B531" s="726">
        <v>2011</v>
      </c>
      <c r="C531" s="687" t="s">
        <v>508</v>
      </c>
      <c r="D531" s="687" t="s">
        <v>2841</v>
      </c>
      <c r="E531" s="726" t="s">
        <v>2883</v>
      </c>
      <c r="F531" s="687" t="s">
        <v>55</v>
      </c>
      <c r="G531" s="726"/>
      <c r="H531" s="726"/>
      <c r="I531" s="726"/>
      <c r="J531" s="726"/>
      <c r="K531" s="726"/>
      <c r="L531" s="687" t="s">
        <v>2880</v>
      </c>
      <c r="M531" s="687" t="s">
        <v>943</v>
      </c>
      <c r="N531" s="687" t="s">
        <v>943</v>
      </c>
      <c r="O531" s="726"/>
    </row>
    <row r="532" spans="1:17" s="727" customFormat="1">
      <c r="A532" s="687" t="s">
        <v>514</v>
      </c>
      <c r="B532" s="726">
        <v>2011</v>
      </c>
      <c r="C532" s="687" t="s">
        <v>508</v>
      </c>
      <c r="D532" s="687" t="s">
        <v>2841</v>
      </c>
      <c r="E532" s="726" t="s">
        <v>2883</v>
      </c>
      <c r="F532" s="687" t="s">
        <v>55</v>
      </c>
      <c r="G532" s="726"/>
      <c r="H532" s="726"/>
      <c r="I532" s="726"/>
      <c r="J532" s="726"/>
      <c r="K532" s="726"/>
      <c r="L532" s="687" t="s">
        <v>2881</v>
      </c>
      <c r="M532" s="687" t="s">
        <v>943</v>
      </c>
      <c r="N532" s="687" t="s">
        <v>943</v>
      </c>
      <c r="O532" s="726"/>
    </row>
    <row r="533" spans="1:17" s="727" customFormat="1">
      <c r="A533" s="687" t="s">
        <v>514</v>
      </c>
      <c r="B533" s="726">
        <v>2011</v>
      </c>
      <c r="C533" s="687" t="s">
        <v>508</v>
      </c>
      <c r="D533" s="687" t="s">
        <v>2841</v>
      </c>
      <c r="E533" s="726" t="s">
        <v>2884</v>
      </c>
      <c r="F533" s="687" t="s">
        <v>55</v>
      </c>
      <c r="G533" s="726"/>
      <c r="H533" s="89" t="s">
        <v>943</v>
      </c>
      <c r="I533" s="726"/>
      <c r="J533" s="726"/>
      <c r="K533" s="726"/>
      <c r="L533" s="687" t="s">
        <v>2878</v>
      </c>
      <c r="M533" s="687" t="s">
        <v>2846</v>
      </c>
      <c r="N533" s="687" t="s">
        <v>2846</v>
      </c>
      <c r="O533" s="726"/>
    </row>
    <row r="534" spans="1:17" s="727" customFormat="1">
      <c r="A534" s="687" t="s">
        <v>514</v>
      </c>
      <c r="B534" s="726">
        <v>2011</v>
      </c>
      <c r="C534" s="687" t="s">
        <v>508</v>
      </c>
      <c r="D534" s="687" t="s">
        <v>2841</v>
      </c>
      <c r="E534" s="726" t="s">
        <v>2884</v>
      </c>
      <c r="F534" s="687" t="s">
        <v>55</v>
      </c>
      <c r="G534" s="726"/>
      <c r="H534" s="726"/>
      <c r="I534" s="726"/>
      <c r="J534" s="726"/>
      <c r="K534" s="726"/>
      <c r="L534" s="687" t="s">
        <v>2879</v>
      </c>
      <c r="M534" s="687" t="s">
        <v>943</v>
      </c>
      <c r="N534" s="687" t="s">
        <v>943</v>
      </c>
      <c r="O534" s="726"/>
    </row>
    <row r="535" spans="1:17" s="727" customFormat="1">
      <c r="A535" s="687" t="s">
        <v>514</v>
      </c>
      <c r="B535" s="726">
        <v>2011</v>
      </c>
      <c r="C535" s="687" t="s">
        <v>508</v>
      </c>
      <c r="D535" s="687" t="s">
        <v>2841</v>
      </c>
      <c r="E535" s="726" t="s">
        <v>2884</v>
      </c>
      <c r="F535" s="687" t="s">
        <v>55</v>
      </c>
      <c r="G535" s="726"/>
      <c r="H535" s="726"/>
      <c r="I535" s="726"/>
      <c r="J535" s="726"/>
      <c r="K535" s="726"/>
      <c r="L535" s="687" t="s">
        <v>2880</v>
      </c>
      <c r="M535" s="687" t="s">
        <v>943</v>
      </c>
      <c r="N535" s="687" t="s">
        <v>943</v>
      </c>
      <c r="O535" s="726"/>
    </row>
    <row r="536" spans="1:17" s="727" customFormat="1">
      <c r="A536" s="687" t="s">
        <v>514</v>
      </c>
      <c r="B536" s="726">
        <v>2011</v>
      </c>
      <c r="C536" s="687" t="s">
        <v>508</v>
      </c>
      <c r="D536" s="687" t="s">
        <v>2841</v>
      </c>
      <c r="E536" s="726" t="s">
        <v>2884</v>
      </c>
      <c r="F536" s="687" t="s">
        <v>55</v>
      </c>
      <c r="G536" s="726"/>
      <c r="H536" s="726"/>
      <c r="I536" s="726"/>
      <c r="J536" s="726"/>
      <c r="K536" s="726"/>
      <c r="L536" s="687" t="s">
        <v>2881</v>
      </c>
      <c r="M536" s="687" t="s">
        <v>943</v>
      </c>
      <c r="N536" s="687" t="s">
        <v>943</v>
      </c>
      <c r="O536" s="726"/>
    </row>
    <row r="537" spans="1:17" s="727" customFormat="1">
      <c r="A537" s="687" t="s">
        <v>514</v>
      </c>
      <c r="B537" s="726">
        <v>2011</v>
      </c>
      <c r="C537" s="687" t="s">
        <v>508</v>
      </c>
      <c r="D537" s="687" t="s">
        <v>2841</v>
      </c>
      <c r="E537" s="726" t="s">
        <v>2885</v>
      </c>
      <c r="F537" s="687" t="s">
        <v>55</v>
      </c>
      <c r="G537" s="726"/>
      <c r="H537" s="89" t="s">
        <v>943</v>
      </c>
      <c r="I537" s="726"/>
      <c r="J537" s="726"/>
      <c r="K537" s="726"/>
      <c r="L537" s="687" t="s">
        <v>2878</v>
      </c>
      <c r="M537" s="687" t="s">
        <v>2846</v>
      </c>
      <c r="N537" s="687" t="s">
        <v>2846</v>
      </c>
      <c r="O537" s="726"/>
    </row>
    <row r="538" spans="1:17" s="727" customFormat="1">
      <c r="A538" s="687" t="s">
        <v>514</v>
      </c>
      <c r="B538" s="726">
        <v>2011</v>
      </c>
      <c r="C538" s="687" t="s">
        <v>508</v>
      </c>
      <c r="D538" s="687" t="s">
        <v>2841</v>
      </c>
      <c r="E538" s="726" t="s">
        <v>2885</v>
      </c>
      <c r="F538" s="687" t="s">
        <v>55</v>
      </c>
      <c r="G538" s="726"/>
      <c r="H538" s="726"/>
      <c r="I538" s="726"/>
      <c r="J538" s="726"/>
      <c r="K538" s="726"/>
      <c r="L538" s="687" t="s">
        <v>2879</v>
      </c>
      <c r="M538" s="687" t="s">
        <v>943</v>
      </c>
      <c r="N538" s="687" t="s">
        <v>943</v>
      </c>
      <c r="O538" s="726"/>
    </row>
    <row r="539" spans="1:17" s="727" customFormat="1">
      <c r="A539" s="687" t="s">
        <v>514</v>
      </c>
      <c r="B539" s="726">
        <v>2011</v>
      </c>
      <c r="C539" s="687" t="s">
        <v>508</v>
      </c>
      <c r="D539" s="687" t="s">
        <v>2841</v>
      </c>
      <c r="E539" s="726" t="s">
        <v>2885</v>
      </c>
      <c r="F539" s="687" t="s">
        <v>55</v>
      </c>
      <c r="G539" s="726"/>
      <c r="H539" s="726"/>
      <c r="I539" s="726"/>
      <c r="J539" s="726"/>
      <c r="K539" s="726"/>
      <c r="L539" s="687" t="s">
        <v>2880</v>
      </c>
      <c r="M539" s="687" t="s">
        <v>943</v>
      </c>
      <c r="N539" s="687" t="s">
        <v>943</v>
      </c>
      <c r="O539" s="726"/>
    </row>
    <row r="540" spans="1:17" s="727" customFormat="1">
      <c r="A540" s="687" t="s">
        <v>514</v>
      </c>
      <c r="B540" s="726">
        <v>2011</v>
      </c>
      <c r="C540" s="687" t="s">
        <v>508</v>
      </c>
      <c r="D540" s="687" t="s">
        <v>2841</v>
      </c>
      <c r="E540" s="726" t="s">
        <v>2885</v>
      </c>
      <c r="F540" s="687" t="s">
        <v>55</v>
      </c>
      <c r="G540" s="726"/>
      <c r="H540" s="726"/>
      <c r="I540" s="726"/>
      <c r="J540" s="726"/>
      <c r="K540" s="726"/>
      <c r="L540" s="687" t="s">
        <v>2881</v>
      </c>
      <c r="M540" s="687" t="s">
        <v>943</v>
      </c>
      <c r="N540" s="687" t="s">
        <v>943</v>
      </c>
      <c r="O540" s="726"/>
    </row>
    <row r="541" spans="1:17" s="727" customFormat="1">
      <c r="A541" s="687" t="s">
        <v>514</v>
      </c>
      <c r="B541" s="726">
        <v>2011</v>
      </c>
      <c r="C541" s="687" t="s">
        <v>508</v>
      </c>
      <c r="D541" s="687" t="s">
        <v>2841</v>
      </c>
      <c r="E541" s="726" t="s">
        <v>2886</v>
      </c>
      <c r="F541" s="687" t="s">
        <v>55</v>
      </c>
      <c r="G541" s="726"/>
      <c r="H541" s="89" t="s">
        <v>943</v>
      </c>
      <c r="I541" s="726"/>
      <c r="J541" s="726"/>
      <c r="K541" s="726"/>
      <c r="L541" s="687" t="s">
        <v>2887</v>
      </c>
      <c r="M541" s="728">
        <v>3563379</v>
      </c>
      <c r="N541" s="728">
        <v>3563379</v>
      </c>
      <c r="O541" s="726">
        <v>7</v>
      </c>
    </row>
    <row r="542" spans="1:17" s="727" customFormat="1">
      <c r="A542" s="687" t="s">
        <v>514</v>
      </c>
      <c r="B542" s="726">
        <v>2011</v>
      </c>
      <c r="C542" s="687" t="s">
        <v>508</v>
      </c>
      <c r="D542" s="687" t="s">
        <v>2841</v>
      </c>
      <c r="E542" s="726" t="s">
        <v>2886</v>
      </c>
      <c r="F542" s="687" t="s">
        <v>55</v>
      </c>
      <c r="G542" s="726"/>
      <c r="H542" s="726"/>
      <c r="I542" s="726"/>
      <c r="J542" s="726"/>
      <c r="K542" s="726"/>
      <c r="L542" s="687" t="s">
        <v>2888</v>
      </c>
      <c r="M542" s="687" t="s">
        <v>943</v>
      </c>
      <c r="N542" s="687" t="s">
        <v>943</v>
      </c>
      <c r="O542" s="726"/>
    </row>
    <row r="543" spans="1:17" s="731" customFormat="1" ht="15.75" thickBot="1">
      <c r="A543" s="687" t="s">
        <v>514</v>
      </c>
      <c r="B543" s="726">
        <v>2011</v>
      </c>
      <c r="C543" s="687" t="s">
        <v>508</v>
      </c>
      <c r="D543" s="687" t="s">
        <v>2841</v>
      </c>
      <c r="E543" s="726" t="s">
        <v>2886</v>
      </c>
      <c r="F543" s="687" t="s">
        <v>55</v>
      </c>
      <c r="G543" s="730"/>
      <c r="H543" s="730"/>
      <c r="I543" s="730"/>
      <c r="J543" s="730"/>
      <c r="K543" s="730"/>
      <c r="L543" s="689" t="s">
        <v>2889</v>
      </c>
      <c r="M543" s="689" t="s">
        <v>943</v>
      </c>
      <c r="N543" s="689" t="s">
        <v>943</v>
      </c>
      <c r="O543" s="730"/>
    </row>
    <row r="544" spans="1:17" s="721" customFormat="1">
      <c r="A544" s="698" t="s">
        <v>525</v>
      </c>
      <c r="B544" s="732">
        <v>2011</v>
      </c>
      <c r="C544" s="698" t="s">
        <v>526</v>
      </c>
      <c r="D544" s="196" t="s">
        <v>220</v>
      </c>
      <c r="E544" s="698" t="s">
        <v>2890</v>
      </c>
      <c r="F544" s="698" t="s">
        <v>55</v>
      </c>
      <c r="G544" s="717"/>
      <c r="H544" s="683" t="s">
        <v>2846</v>
      </c>
      <c r="I544" s="717"/>
      <c r="J544" s="717"/>
      <c r="K544" s="717"/>
      <c r="L544" s="683" t="s">
        <v>2891</v>
      </c>
      <c r="M544" s="683" t="s">
        <v>2846</v>
      </c>
      <c r="N544" s="683" t="s">
        <v>2846</v>
      </c>
      <c r="O544" s="717"/>
      <c r="Q544" s="19"/>
    </row>
    <row r="545" spans="1:15" s="721" customFormat="1">
      <c r="A545" s="687" t="s">
        <v>525</v>
      </c>
      <c r="B545" s="726">
        <v>2011</v>
      </c>
      <c r="C545" s="687" t="s">
        <v>526</v>
      </c>
      <c r="D545" s="176" t="s">
        <v>220</v>
      </c>
      <c r="E545" s="683" t="s">
        <v>2892</v>
      </c>
      <c r="F545" s="687" t="s">
        <v>55</v>
      </c>
      <c r="G545" s="683" t="s">
        <v>103</v>
      </c>
      <c r="H545" s="720">
        <v>459536</v>
      </c>
      <c r="I545" s="683" t="s">
        <v>2654</v>
      </c>
      <c r="J545" s="717"/>
      <c r="K545" s="717"/>
      <c r="L545" s="683" t="s">
        <v>2893</v>
      </c>
      <c r="M545" s="720">
        <v>41207099.069767438</v>
      </c>
      <c r="N545" s="720">
        <v>41217374.26356589</v>
      </c>
      <c r="O545" s="683" t="s">
        <v>2894</v>
      </c>
    </row>
    <row r="546" spans="1:15" s="721" customFormat="1">
      <c r="A546" s="687" t="s">
        <v>525</v>
      </c>
      <c r="B546" s="726">
        <v>2011</v>
      </c>
      <c r="C546" s="687" t="s">
        <v>526</v>
      </c>
      <c r="D546" s="176" t="s">
        <v>220</v>
      </c>
      <c r="E546" s="683" t="s">
        <v>2892</v>
      </c>
      <c r="F546" s="687" t="s">
        <v>55</v>
      </c>
      <c r="G546" s="683" t="s">
        <v>561</v>
      </c>
      <c r="H546" s="720">
        <v>26894843000</v>
      </c>
      <c r="I546" s="683" t="s">
        <v>2895</v>
      </c>
      <c r="J546" s="717"/>
      <c r="K546" s="717"/>
      <c r="L546" s="683" t="s">
        <v>2891</v>
      </c>
      <c r="M546" s="683" t="s">
        <v>2846</v>
      </c>
      <c r="N546" s="683" t="s">
        <v>2846</v>
      </c>
      <c r="O546" s="717">
        <v>48</v>
      </c>
    </row>
    <row r="547" spans="1:15" s="721" customFormat="1">
      <c r="A547" s="687" t="s">
        <v>525</v>
      </c>
      <c r="B547" s="726">
        <v>2011</v>
      </c>
      <c r="C547" s="687" t="s">
        <v>526</v>
      </c>
      <c r="D547" s="176" t="s">
        <v>220</v>
      </c>
      <c r="E547" s="683" t="s">
        <v>2896</v>
      </c>
      <c r="F547" s="687" t="s">
        <v>55</v>
      </c>
      <c r="G547" s="717"/>
      <c r="H547" s="683" t="s">
        <v>2846</v>
      </c>
      <c r="I547" s="717"/>
      <c r="J547" s="717"/>
      <c r="K547" s="717"/>
      <c r="L547" s="683" t="s">
        <v>2897</v>
      </c>
      <c r="M547" s="683" t="s">
        <v>2846</v>
      </c>
      <c r="N547" s="683" t="s">
        <v>2846</v>
      </c>
      <c r="O547" s="717"/>
    </row>
    <row r="548" spans="1:15" s="721" customFormat="1">
      <c r="A548" s="687" t="s">
        <v>525</v>
      </c>
      <c r="B548" s="726">
        <v>2011</v>
      </c>
      <c r="C548" s="687" t="s">
        <v>526</v>
      </c>
      <c r="D548" s="176" t="s">
        <v>220</v>
      </c>
      <c r="E548" s="683" t="s">
        <v>2898</v>
      </c>
      <c r="F548" s="687" t="s">
        <v>55</v>
      </c>
      <c r="G548" s="683" t="s">
        <v>103</v>
      </c>
      <c r="H548" s="720">
        <v>4335713</v>
      </c>
      <c r="I548" s="683" t="s">
        <v>2654</v>
      </c>
      <c r="J548" s="717"/>
      <c r="K548" s="717"/>
      <c r="L548" s="683" t="s">
        <v>2899</v>
      </c>
      <c r="M548" s="720">
        <v>197366669.76744187</v>
      </c>
      <c r="N548" s="720">
        <v>197366669.76744187</v>
      </c>
      <c r="O548" s="683" t="s">
        <v>2900</v>
      </c>
    </row>
    <row r="549" spans="1:15" s="721" customFormat="1">
      <c r="A549" s="687" t="s">
        <v>525</v>
      </c>
      <c r="B549" s="726">
        <v>2011</v>
      </c>
      <c r="C549" s="687" t="s">
        <v>526</v>
      </c>
      <c r="D549" s="176" t="s">
        <v>220</v>
      </c>
      <c r="E549" s="683" t="s">
        <v>2898</v>
      </c>
      <c r="F549" s="687" t="s">
        <v>55</v>
      </c>
      <c r="G549" s="683" t="s">
        <v>561</v>
      </c>
      <c r="H549" s="720">
        <v>11127636000</v>
      </c>
      <c r="I549" s="683" t="s">
        <v>2895</v>
      </c>
      <c r="J549" s="717"/>
      <c r="K549" s="717"/>
      <c r="L549" s="733" t="s">
        <v>2901</v>
      </c>
      <c r="M549" s="683" t="s">
        <v>2846</v>
      </c>
      <c r="N549" s="683" t="s">
        <v>2846</v>
      </c>
      <c r="O549" s="717">
        <v>48</v>
      </c>
    </row>
    <row r="550" spans="1:15" s="721" customFormat="1">
      <c r="A550" s="687" t="s">
        <v>525</v>
      </c>
      <c r="B550" s="726">
        <v>2011</v>
      </c>
      <c r="C550" s="687" t="s">
        <v>526</v>
      </c>
      <c r="D550" s="176" t="s">
        <v>220</v>
      </c>
      <c r="E550" s="683" t="s">
        <v>2898</v>
      </c>
      <c r="F550" s="687" t="s">
        <v>55</v>
      </c>
      <c r="G550" s="717"/>
      <c r="H550" s="717"/>
      <c r="I550" s="717"/>
      <c r="J550" s="717"/>
      <c r="K550" s="717"/>
      <c r="L550" s="683" t="s">
        <v>2902</v>
      </c>
      <c r="M550" s="683" t="s">
        <v>2846</v>
      </c>
      <c r="N550" s="683" t="s">
        <v>2846</v>
      </c>
      <c r="O550" s="717"/>
    </row>
    <row r="551" spans="1:15" s="721" customFormat="1">
      <c r="A551" s="687" t="s">
        <v>525</v>
      </c>
      <c r="B551" s="726">
        <v>2011</v>
      </c>
      <c r="C551" s="687" t="s">
        <v>526</v>
      </c>
      <c r="D551" s="176" t="s">
        <v>220</v>
      </c>
      <c r="E551" s="683" t="s">
        <v>2903</v>
      </c>
      <c r="F551" s="687" t="s">
        <v>55</v>
      </c>
      <c r="G551" s="717"/>
      <c r="H551" s="683" t="s">
        <v>943</v>
      </c>
      <c r="I551" s="717"/>
      <c r="J551" s="717"/>
      <c r="K551" s="717"/>
      <c r="L551" s="683" t="s">
        <v>2904</v>
      </c>
      <c r="M551" s="683" t="s">
        <v>943</v>
      </c>
      <c r="N551" s="683" t="s">
        <v>943</v>
      </c>
      <c r="O551" s="717"/>
    </row>
    <row r="552" spans="1:15" s="721" customFormat="1">
      <c r="A552" s="687" t="s">
        <v>525</v>
      </c>
      <c r="B552" s="726">
        <v>2011</v>
      </c>
      <c r="C552" s="687" t="s">
        <v>526</v>
      </c>
      <c r="D552" s="176" t="s">
        <v>220</v>
      </c>
      <c r="E552" s="683" t="s">
        <v>2903</v>
      </c>
      <c r="F552" s="687" t="s">
        <v>55</v>
      </c>
      <c r="G552" s="717"/>
      <c r="H552" s="717"/>
      <c r="I552" s="717"/>
      <c r="J552" s="717"/>
      <c r="K552" s="717"/>
      <c r="L552" s="683" t="s">
        <v>2905</v>
      </c>
      <c r="M552" s="683" t="s">
        <v>2846</v>
      </c>
      <c r="N552" s="683" t="s">
        <v>2846</v>
      </c>
      <c r="O552" s="717"/>
    </row>
    <row r="553" spans="1:15" s="721" customFormat="1">
      <c r="A553" s="687" t="s">
        <v>525</v>
      </c>
      <c r="B553" s="726">
        <v>2011</v>
      </c>
      <c r="C553" s="687" t="s">
        <v>526</v>
      </c>
      <c r="D553" s="176" t="s">
        <v>220</v>
      </c>
      <c r="E553" s="683" t="s">
        <v>2903</v>
      </c>
      <c r="F553" s="687" t="s">
        <v>55</v>
      </c>
      <c r="G553" s="717"/>
      <c r="H553" s="717"/>
      <c r="I553" s="717"/>
      <c r="J553" s="717"/>
      <c r="K553" s="717"/>
      <c r="L553" s="683" t="s">
        <v>2906</v>
      </c>
      <c r="M553" s="683" t="s">
        <v>943</v>
      </c>
      <c r="N553" s="683" t="s">
        <v>943</v>
      </c>
      <c r="O553" s="717"/>
    </row>
    <row r="554" spans="1:15" s="721" customFormat="1">
      <c r="A554" s="687" t="s">
        <v>525</v>
      </c>
      <c r="B554" s="726">
        <v>2011</v>
      </c>
      <c r="C554" s="687" t="s">
        <v>526</v>
      </c>
      <c r="D554" s="176" t="s">
        <v>220</v>
      </c>
      <c r="E554" s="683" t="s">
        <v>2907</v>
      </c>
      <c r="F554" s="687" t="s">
        <v>55</v>
      </c>
      <c r="G554" s="717"/>
      <c r="H554" s="683" t="s">
        <v>2846</v>
      </c>
      <c r="I554" s="717"/>
      <c r="J554" s="717"/>
      <c r="K554" s="717"/>
      <c r="L554" s="683" t="s">
        <v>2891</v>
      </c>
      <c r="M554" s="683" t="s">
        <v>2846</v>
      </c>
      <c r="N554" s="683" t="s">
        <v>2846</v>
      </c>
      <c r="O554" s="717"/>
    </row>
    <row r="555" spans="1:15" s="721" customFormat="1">
      <c r="A555" s="687" t="s">
        <v>525</v>
      </c>
      <c r="B555" s="726">
        <v>2011</v>
      </c>
      <c r="C555" s="687" t="s">
        <v>526</v>
      </c>
      <c r="D555" s="176" t="s">
        <v>220</v>
      </c>
      <c r="E555" s="683" t="s">
        <v>2908</v>
      </c>
      <c r="F555" s="687" t="s">
        <v>55</v>
      </c>
      <c r="G555" s="717"/>
      <c r="H555" s="683" t="s">
        <v>943</v>
      </c>
      <c r="I555" s="717"/>
      <c r="J555" s="717"/>
      <c r="K555" s="717"/>
      <c r="L555" s="683" t="s">
        <v>2909</v>
      </c>
      <c r="M555" s="683" t="s">
        <v>943</v>
      </c>
      <c r="N555" s="683" t="s">
        <v>943</v>
      </c>
      <c r="O555" s="717"/>
    </row>
    <row r="556" spans="1:15" s="721" customFormat="1">
      <c r="A556" s="687" t="s">
        <v>525</v>
      </c>
      <c r="B556" s="726">
        <v>2011</v>
      </c>
      <c r="C556" s="687" t="s">
        <v>526</v>
      </c>
      <c r="D556" s="176" t="s">
        <v>220</v>
      </c>
      <c r="E556" s="683" t="s">
        <v>2908</v>
      </c>
      <c r="F556" s="687" t="s">
        <v>55</v>
      </c>
      <c r="G556" s="717"/>
      <c r="H556" s="717"/>
      <c r="I556" s="717"/>
      <c r="J556" s="717"/>
      <c r="K556" s="717"/>
      <c r="L556" s="683" t="s">
        <v>2891</v>
      </c>
      <c r="M556" s="683" t="s">
        <v>2846</v>
      </c>
      <c r="N556" s="683" t="s">
        <v>2846</v>
      </c>
      <c r="O556" s="717"/>
    </row>
    <row r="557" spans="1:15" s="721" customFormat="1">
      <c r="A557" s="687" t="s">
        <v>525</v>
      </c>
      <c r="B557" s="726">
        <v>2011</v>
      </c>
      <c r="C557" s="687" t="s">
        <v>526</v>
      </c>
      <c r="D557" s="176" t="s">
        <v>220</v>
      </c>
      <c r="E557" s="683" t="s">
        <v>2908</v>
      </c>
      <c r="F557" s="687" t="s">
        <v>55</v>
      </c>
      <c r="G557" s="717"/>
      <c r="H557" s="717"/>
      <c r="I557" s="717"/>
      <c r="J557" s="717"/>
      <c r="K557" s="717"/>
      <c r="L557" s="683" t="s">
        <v>2910</v>
      </c>
      <c r="M557" s="717">
        <v>0</v>
      </c>
      <c r="N557" s="717">
        <v>0</v>
      </c>
      <c r="O557" s="683">
        <v>46</v>
      </c>
    </row>
    <row r="558" spans="1:15" s="721" customFormat="1">
      <c r="A558" s="687" t="s">
        <v>525</v>
      </c>
      <c r="B558" s="726">
        <v>2011</v>
      </c>
      <c r="C558" s="687" t="s">
        <v>526</v>
      </c>
      <c r="D558" s="176" t="s">
        <v>220</v>
      </c>
      <c r="E558" s="683" t="s">
        <v>2911</v>
      </c>
      <c r="F558" s="687" t="s">
        <v>55</v>
      </c>
      <c r="G558" s="717"/>
      <c r="H558" s="683" t="s">
        <v>2846</v>
      </c>
      <c r="I558" s="717"/>
      <c r="J558" s="717"/>
      <c r="K558" s="717"/>
      <c r="L558" s="683" t="s">
        <v>2912</v>
      </c>
      <c r="M558" s="683" t="s">
        <v>2846</v>
      </c>
      <c r="N558" s="683" t="s">
        <v>2846</v>
      </c>
      <c r="O558" s="717"/>
    </row>
    <row r="559" spans="1:15" s="721" customFormat="1">
      <c r="A559" s="687" t="s">
        <v>525</v>
      </c>
      <c r="B559" s="726">
        <v>2011</v>
      </c>
      <c r="C559" s="687" t="s">
        <v>526</v>
      </c>
      <c r="D559" s="176" t="s">
        <v>220</v>
      </c>
      <c r="E559" s="683" t="s">
        <v>2913</v>
      </c>
      <c r="F559" s="687" t="s">
        <v>55</v>
      </c>
      <c r="G559" s="683" t="s">
        <v>103</v>
      </c>
      <c r="H559" s="720">
        <v>423876</v>
      </c>
      <c r="I559" s="683" t="s">
        <v>2654</v>
      </c>
      <c r="J559" s="717"/>
      <c r="K559" s="717"/>
      <c r="L559" s="683" t="s">
        <v>2914</v>
      </c>
      <c r="M559" s="720">
        <v>7119818.2945736432</v>
      </c>
      <c r="N559" s="720">
        <v>7124245.7364341086</v>
      </c>
      <c r="O559" s="683" t="s">
        <v>2894</v>
      </c>
    </row>
    <row r="560" spans="1:15" s="721" customFormat="1">
      <c r="A560" s="687" t="s">
        <v>525</v>
      </c>
      <c r="B560" s="726">
        <v>2011</v>
      </c>
      <c r="C560" s="687" t="s">
        <v>526</v>
      </c>
      <c r="D560" s="176" t="s">
        <v>220</v>
      </c>
      <c r="E560" s="683" t="s">
        <v>2913</v>
      </c>
      <c r="F560" s="687" t="s">
        <v>55</v>
      </c>
      <c r="G560" s="717"/>
      <c r="H560" s="717"/>
      <c r="I560" s="717"/>
      <c r="J560" s="717"/>
      <c r="K560" s="717"/>
      <c r="L560" s="683" t="s">
        <v>2891</v>
      </c>
      <c r="M560" s="683" t="s">
        <v>2846</v>
      </c>
      <c r="N560" s="683" t="s">
        <v>2846</v>
      </c>
      <c r="O560" s="717"/>
    </row>
    <row r="561" spans="1:15" s="721" customFormat="1">
      <c r="A561" s="687" t="s">
        <v>525</v>
      </c>
      <c r="B561" s="726">
        <v>2011</v>
      </c>
      <c r="C561" s="687" t="s">
        <v>526</v>
      </c>
      <c r="D561" s="176" t="s">
        <v>220</v>
      </c>
      <c r="E561" s="683" t="s">
        <v>2915</v>
      </c>
      <c r="F561" s="687" t="s">
        <v>55</v>
      </c>
      <c r="G561" s="717"/>
      <c r="H561" s="683" t="s">
        <v>943</v>
      </c>
      <c r="I561" s="717"/>
      <c r="J561" s="717"/>
      <c r="K561" s="717"/>
      <c r="L561" s="683" t="s">
        <v>2916</v>
      </c>
      <c r="M561" s="683" t="s">
        <v>943</v>
      </c>
      <c r="N561" s="683" t="s">
        <v>943</v>
      </c>
      <c r="O561" s="717"/>
    </row>
    <row r="562" spans="1:15" s="721" customFormat="1">
      <c r="A562" s="687" t="s">
        <v>525</v>
      </c>
      <c r="B562" s="726">
        <v>2011</v>
      </c>
      <c r="C562" s="687" t="s">
        <v>526</v>
      </c>
      <c r="D562" s="176" t="s">
        <v>220</v>
      </c>
      <c r="E562" s="683" t="s">
        <v>2915</v>
      </c>
      <c r="F562" s="687" t="s">
        <v>55</v>
      </c>
      <c r="G562" s="717"/>
      <c r="H562" s="717"/>
      <c r="I562" s="717"/>
      <c r="J562" s="717"/>
      <c r="K562" s="717"/>
      <c r="L562" s="683" t="s">
        <v>2891</v>
      </c>
      <c r="M562" s="683" t="s">
        <v>2846</v>
      </c>
      <c r="N562" s="683" t="s">
        <v>2846</v>
      </c>
      <c r="O562" s="717"/>
    </row>
    <row r="563" spans="1:15" s="721" customFormat="1">
      <c r="A563" s="687" t="s">
        <v>525</v>
      </c>
      <c r="B563" s="726">
        <v>2011</v>
      </c>
      <c r="C563" s="687" t="s">
        <v>526</v>
      </c>
      <c r="D563" s="176" t="s">
        <v>220</v>
      </c>
      <c r="E563" s="734" t="s">
        <v>2917</v>
      </c>
      <c r="F563" s="687" t="s">
        <v>55</v>
      </c>
      <c r="G563" s="717"/>
      <c r="H563" s="683" t="s">
        <v>2846</v>
      </c>
      <c r="I563" s="717"/>
      <c r="J563" s="717"/>
      <c r="K563" s="717"/>
      <c r="L563" s="683" t="s">
        <v>2891</v>
      </c>
      <c r="M563" s="683" t="s">
        <v>2846</v>
      </c>
      <c r="N563" s="683" t="s">
        <v>2846</v>
      </c>
      <c r="O563" s="717"/>
    </row>
    <row r="564" spans="1:15" s="721" customFormat="1">
      <c r="A564" s="687" t="s">
        <v>525</v>
      </c>
      <c r="B564" s="726">
        <v>2011</v>
      </c>
      <c r="C564" s="687" t="s">
        <v>526</v>
      </c>
      <c r="D564" s="176" t="s">
        <v>220</v>
      </c>
      <c r="E564" s="734" t="s">
        <v>2918</v>
      </c>
      <c r="F564" s="687" t="s">
        <v>55</v>
      </c>
      <c r="G564" s="717"/>
      <c r="H564" s="683" t="s">
        <v>2846</v>
      </c>
      <c r="I564" s="717"/>
      <c r="J564" s="717"/>
      <c r="K564" s="717"/>
      <c r="L564" s="683" t="s">
        <v>2891</v>
      </c>
      <c r="M564" s="683" t="s">
        <v>2846</v>
      </c>
      <c r="N564" s="683" t="s">
        <v>2846</v>
      </c>
      <c r="O564" s="717"/>
    </row>
    <row r="565" spans="1:15" s="721" customFormat="1">
      <c r="A565" s="687" t="s">
        <v>525</v>
      </c>
      <c r="B565" s="726">
        <v>2011</v>
      </c>
      <c r="C565" s="687" t="s">
        <v>526</v>
      </c>
      <c r="D565" s="176" t="s">
        <v>220</v>
      </c>
      <c r="E565" s="735" t="s">
        <v>2919</v>
      </c>
      <c r="F565" s="687" t="s">
        <v>55</v>
      </c>
      <c r="G565" s="717"/>
      <c r="H565" s="683" t="s">
        <v>2846</v>
      </c>
      <c r="I565" s="717"/>
      <c r="J565" s="717"/>
      <c r="K565" s="717"/>
      <c r="L565" s="683" t="s">
        <v>2912</v>
      </c>
      <c r="M565" s="683" t="s">
        <v>2846</v>
      </c>
      <c r="N565" s="683" t="s">
        <v>2846</v>
      </c>
      <c r="O565" s="717"/>
    </row>
    <row r="566" spans="1:15" s="721" customFormat="1">
      <c r="A566" s="687" t="s">
        <v>525</v>
      </c>
      <c r="B566" s="726">
        <v>2011</v>
      </c>
      <c r="C566" s="687" t="s">
        <v>526</v>
      </c>
      <c r="D566" s="176" t="s">
        <v>220</v>
      </c>
      <c r="E566" s="734" t="s">
        <v>2920</v>
      </c>
      <c r="F566" s="687" t="s">
        <v>55</v>
      </c>
      <c r="G566" s="717"/>
      <c r="H566" s="683" t="s">
        <v>943</v>
      </c>
      <c r="I566" s="717"/>
      <c r="J566" s="717"/>
      <c r="K566" s="717"/>
      <c r="L566" s="683" t="s">
        <v>2921</v>
      </c>
      <c r="M566" s="683" t="s">
        <v>943</v>
      </c>
      <c r="N566" s="683" t="s">
        <v>943</v>
      </c>
      <c r="O566" s="717"/>
    </row>
    <row r="567" spans="1:15" s="721" customFormat="1">
      <c r="A567" s="687" t="s">
        <v>525</v>
      </c>
      <c r="B567" s="726">
        <v>2011</v>
      </c>
      <c r="C567" s="687" t="s">
        <v>526</v>
      </c>
      <c r="D567" s="176" t="s">
        <v>220</v>
      </c>
      <c r="E567" s="734" t="s">
        <v>2920</v>
      </c>
      <c r="F567" s="687" t="s">
        <v>55</v>
      </c>
      <c r="G567" s="717"/>
      <c r="H567" s="683"/>
      <c r="I567" s="717"/>
      <c r="J567" s="717"/>
      <c r="K567" s="717"/>
      <c r="L567" s="683" t="s">
        <v>2891</v>
      </c>
      <c r="M567" s="683" t="s">
        <v>2846</v>
      </c>
      <c r="N567" s="683" t="s">
        <v>2846</v>
      </c>
      <c r="O567" s="717"/>
    </row>
    <row r="568" spans="1:15" s="721" customFormat="1">
      <c r="A568" s="687" t="s">
        <v>525</v>
      </c>
      <c r="B568" s="726">
        <v>2011</v>
      </c>
      <c r="C568" s="687" t="s">
        <v>526</v>
      </c>
      <c r="D568" s="176" t="s">
        <v>220</v>
      </c>
      <c r="E568" s="734" t="s">
        <v>2922</v>
      </c>
      <c r="F568" s="687" t="s">
        <v>55</v>
      </c>
      <c r="G568" s="717"/>
      <c r="H568" s="683" t="s">
        <v>2846</v>
      </c>
      <c r="I568" s="717"/>
      <c r="J568" s="717"/>
      <c r="K568" s="717"/>
      <c r="L568" s="683" t="s">
        <v>2891</v>
      </c>
      <c r="M568" s="683" t="s">
        <v>2846</v>
      </c>
      <c r="N568" s="683" t="s">
        <v>2846</v>
      </c>
      <c r="O568" s="717"/>
    </row>
    <row r="569" spans="1:15" s="721" customFormat="1">
      <c r="A569" s="687" t="s">
        <v>525</v>
      </c>
      <c r="B569" s="726">
        <v>2011</v>
      </c>
      <c r="C569" s="687" t="s">
        <v>526</v>
      </c>
      <c r="D569" s="176" t="s">
        <v>220</v>
      </c>
      <c r="E569" s="734" t="s">
        <v>2923</v>
      </c>
      <c r="F569" s="687" t="s">
        <v>55</v>
      </c>
      <c r="G569" s="717"/>
      <c r="H569" s="683" t="s">
        <v>943</v>
      </c>
      <c r="I569" s="717"/>
      <c r="J569" s="717"/>
      <c r="K569" s="717"/>
      <c r="L569" s="683" t="s">
        <v>2924</v>
      </c>
      <c r="M569" s="683" t="s">
        <v>943</v>
      </c>
      <c r="N569" s="683" t="s">
        <v>943</v>
      </c>
      <c r="O569" s="717"/>
    </row>
    <row r="570" spans="1:15" s="721" customFormat="1">
      <c r="A570" s="687" t="s">
        <v>525</v>
      </c>
      <c r="B570" s="726">
        <v>2011</v>
      </c>
      <c r="C570" s="687" t="s">
        <v>526</v>
      </c>
      <c r="D570" s="176" t="s">
        <v>220</v>
      </c>
      <c r="E570" s="735" t="s">
        <v>2925</v>
      </c>
      <c r="F570" s="687" t="s">
        <v>55</v>
      </c>
      <c r="G570" s="717"/>
      <c r="H570" s="683" t="s">
        <v>943</v>
      </c>
      <c r="I570" s="717"/>
      <c r="J570" s="717"/>
      <c r="K570" s="717"/>
      <c r="L570" s="683" t="s">
        <v>2926</v>
      </c>
      <c r="M570" s="683" t="s">
        <v>943</v>
      </c>
      <c r="N570" s="683" t="s">
        <v>943</v>
      </c>
      <c r="O570" s="717"/>
    </row>
    <row r="571" spans="1:15" s="721" customFormat="1">
      <c r="A571" s="687" t="s">
        <v>525</v>
      </c>
      <c r="B571" s="726">
        <v>2011</v>
      </c>
      <c r="C571" s="687" t="s">
        <v>526</v>
      </c>
      <c r="D571" s="176" t="s">
        <v>220</v>
      </c>
      <c r="E571" s="735" t="s">
        <v>2927</v>
      </c>
      <c r="F571" s="687" t="s">
        <v>55</v>
      </c>
      <c r="G571" s="717"/>
      <c r="H571" s="683" t="s">
        <v>943</v>
      </c>
      <c r="I571" s="717"/>
      <c r="J571" s="717"/>
      <c r="K571" s="717"/>
      <c r="L571" s="683" t="s">
        <v>2928</v>
      </c>
      <c r="M571" s="683" t="s">
        <v>943</v>
      </c>
      <c r="N571" s="683" t="s">
        <v>943</v>
      </c>
      <c r="O571" s="717"/>
    </row>
    <row r="572" spans="1:15" s="721" customFormat="1">
      <c r="A572" s="687" t="s">
        <v>525</v>
      </c>
      <c r="B572" s="726">
        <v>2011</v>
      </c>
      <c r="C572" s="687" t="s">
        <v>526</v>
      </c>
      <c r="D572" s="176" t="s">
        <v>220</v>
      </c>
      <c r="E572" s="735" t="s">
        <v>2927</v>
      </c>
      <c r="F572" s="687" t="s">
        <v>55</v>
      </c>
      <c r="G572" s="717"/>
      <c r="H572" s="717"/>
      <c r="I572" s="717"/>
      <c r="J572" s="717"/>
      <c r="K572" s="717"/>
      <c r="L572" s="683" t="s">
        <v>2929</v>
      </c>
      <c r="M572" s="683" t="s">
        <v>2846</v>
      </c>
      <c r="N572" s="683" t="s">
        <v>2846</v>
      </c>
      <c r="O572" s="717"/>
    </row>
    <row r="573" spans="1:15" s="721" customFormat="1">
      <c r="A573" s="687" t="s">
        <v>525</v>
      </c>
      <c r="B573" s="726">
        <v>2011</v>
      </c>
      <c r="C573" s="687" t="s">
        <v>526</v>
      </c>
      <c r="D573" s="176" t="s">
        <v>220</v>
      </c>
      <c r="E573" s="735" t="s">
        <v>2930</v>
      </c>
      <c r="F573" s="687" t="s">
        <v>55</v>
      </c>
      <c r="G573" s="717"/>
      <c r="H573" s="683" t="s">
        <v>2846</v>
      </c>
      <c r="I573" s="717"/>
      <c r="J573" s="717"/>
      <c r="K573" s="717"/>
      <c r="L573" s="683" t="s">
        <v>2912</v>
      </c>
      <c r="M573" s="683" t="s">
        <v>2846</v>
      </c>
      <c r="N573" s="683" t="s">
        <v>2846</v>
      </c>
      <c r="O573" s="717"/>
    </row>
    <row r="574" spans="1:15" s="721" customFormat="1">
      <c r="A574" s="687" t="s">
        <v>525</v>
      </c>
      <c r="B574" s="726">
        <v>2011</v>
      </c>
      <c r="C574" s="687" t="s">
        <v>526</v>
      </c>
      <c r="D574" s="176" t="s">
        <v>220</v>
      </c>
      <c r="E574" s="683" t="s">
        <v>2931</v>
      </c>
      <c r="F574" s="687" t="s">
        <v>55</v>
      </c>
      <c r="G574" s="717"/>
      <c r="H574" s="683" t="s">
        <v>943</v>
      </c>
      <c r="I574" s="717"/>
      <c r="J574" s="717"/>
      <c r="K574" s="717"/>
      <c r="L574" s="683" t="s">
        <v>2932</v>
      </c>
      <c r="M574" s="683" t="s">
        <v>943</v>
      </c>
      <c r="N574" s="683" t="s">
        <v>943</v>
      </c>
      <c r="O574" s="717"/>
    </row>
    <row r="575" spans="1:15" s="721" customFormat="1">
      <c r="A575" s="687" t="s">
        <v>525</v>
      </c>
      <c r="B575" s="726">
        <v>2011</v>
      </c>
      <c r="C575" s="687" t="s">
        <v>526</v>
      </c>
      <c r="D575" s="176" t="s">
        <v>220</v>
      </c>
      <c r="E575" s="683" t="s">
        <v>2931</v>
      </c>
      <c r="F575" s="687" t="s">
        <v>55</v>
      </c>
      <c r="G575" s="717"/>
      <c r="H575" s="717"/>
      <c r="I575" s="717"/>
      <c r="J575" s="717"/>
      <c r="K575" s="717"/>
      <c r="L575" s="683" t="s">
        <v>2891</v>
      </c>
      <c r="M575" s="683" t="s">
        <v>2846</v>
      </c>
      <c r="N575" s="683" t="s">
        <v>2846</v>
      </c>
      <c r="O575" s="717"/>
    </row>
    <row r="576" spans="1:15" s="721" customFormat="1">
      <c r="A576" s="687" t="s">
        <v>525</v>
      </c>
      <c r="B576" s="726">
        <v>2011</v>
      </c>
      <c r="C576" s="687" t="s">
        <v>526</v>
      </c>
      <c r="D576" s="176" t="s">
        <v>220</v>
      </c>
      <c r="E576" s="721" t="s">
        <v>2933</v>
      </c>
      <c r="F576" s="687" t="s">
        <v>55</v>
      </c>
      <c r="G576" s="717"/>
      <c r="H576" s="683" t="s">
        <v>2846</v>
      </c>
      <c r="I576" s="717"/>
      <c r="J576" s="717"/>
      <c r="K576" s="717"/>
      <c r="L576" s="683" t="s">
        <v>2934</v>
      </c>
      <c r="M576" s="683" t="s">
        <v>2846</v>
      </c>
      <c r="N576" s="683" t="s">
        <v>2846</v>
      </c>
      <c r="O576" s="717"/>
    </row>
    <row r="577" spans="1:15" s="721" customFormat="1">
      <c r="A577" s="687" t="s">
        <v>525</v>
      </c>
      <c r="B577" s="726">
        <v>2011</v>
      </c>
      <c r="C577" s="687" t="s">
        <v>526</v>
      </c>
      <c r="D577" s="176" t="s">
        <v>220</v>
      </c>
      <c r="E577" s="721" t="s">
        <v>2933</v>
      </c>
      <c r="F577" s="687" t="s">
        <v>55</v>
      </c>
      <c r="G577" s="717"/>
      <c r="H577" s="717"/>
      <c r="I577" s="717"/>
      <c r="J577" s="717"/>
      <c r="K577" s="717"/>
      <c r="L577" s="683" t="s">
        <v>2935</v>
      </c>
      <c r="M577" s="683" t="s">
        <v>943</v>
      </c>
      <c r="N577" s="683" t="s">
        <v>943</v>
      </c>
      <c r="O577" s="717"/>
    </row>
    <row r="578" spans="1:15" s="721" customFormat="1">
      <c r="A578" s="687" t="s">
        <v>525</v>
      </c>
      <c r="B578" s="726">
        <v>2011</v>
      </c>
      <c r="C578" s="687" t="s">
        <v>526</v>
      </c>
      <c r="D578" s="176" t="s">
        <v>220</v>
      </c>
      <c r="E578" s="733" t="s">
        <v>2936</v>
      </c>
      <c r="F578" s="687" t="s">
        <v>55</v>
      </c>
      <c r="G578" s="717"/>
      <c r="H578" s="683" t="s">
        <v>2846</v>
      </c>
      <c r="I578" s="717"/>
      <c r="J578" s="717"/>
      <c r="K578" s="717"/>
      <c r="L578" s="683" t="s">
        <v>2937</v>
      </c>
      <c r="M578" s="683" t="s">
        <v>2846</v>
      </c>
      <c r="N578" s="683" t="s">
        <v>2846</v>
      </c>
      <c r="O578" s="717"/>
    </row>
    <row r="579" spans="1:15" s="721" customFormat="1">
      <c r="A579" s="687" t="s">
        <v>525</v>
      </c>
      <c r="B579" s="726">
        <v>2011</v>
      </c>
      <c r="C579" s="687" t="s">
        <v>526</v>
      </c>
      <c r="D579" s="176" t="s">
        <v>220</v>
      </c>
      <c r="E579" s="733" t="s">
        <v>2936</v>
      </c>
      <c r="F579" s="687" t="s">
        <v>55</v>
      </c>
      <c r="G579" s="717"/>
      <c r="H579" s="717"/>
      <c r="I579" s="717"/>
      <c r="J579" s="717"/>
      <c r="K579" s="717"/>
      <c r="L579" s="683" t="s">
        <v>2938</v>
      </c>
      <c r="M579" s="683" t="s">
        <v>2846</v>
      </c>
      <c r="N579" s="683" t="s">
        <v>2846</v>
      </c>
      <c r="O579" s="717"/>
    </row>
    <row r="580" spans="1:15" s="721" customFormat="1">
      <c r="A580" s="687" t="s">
        <v>525</v>
      </c>
      <c r="B580" s="726">
        <v>2011</v>
      </c>
      <c r="C580" s="687" t="s">
        <v>526</v>
      </c>
      <c r="D580" s="176" t="s">
        <v>220</v>
      </c>
      <c r="E580" s="733" t="s">
        <v>2936</v>
      </c>
      <c r="F580" s="687" t="s">
        <v>55</v>
      </c>
      <c r="G580" s="717"/>
      <c r="H580" s="717"/>
      <c r="I580" s="717"/>
      <c r="J580" s="717"/>
      <c r="K580" s="717"/>
      <c r="L580" s="733" t="s">
        <v>2939</v>
      </c>
      <c r="M580" s="683" t="s">
        <v>2846</v>
      </c>
      <c r="N580" s="683" t="s">
        <v>2846</v>
      </c>
      <c r="O580" s="717"/>
    </row>
    <row r="581" spans="1:15" s="721" customFormat="1">
      <c r="A581" s="687" t="s">
        <v>525</v>
      </c>
      <c r="B581" s="726">
        <v>2011</v>
      </c>
      <c r="C581" s="687" t="s">
        <v>526</v>
      </c>
      <c r="D581" s="176" t="s">
        <v>220</v>
      </c>
      <c r="E581" s="733" t="s">
        <v>2940</v>
      </c>
      <c r="F581" s="687" t="s">
        <v>55</v>
      </c>
      <c r="G581" s="717"/>
      <c r="H581" s="683" t="s">
        <v>2846</v>
      </c>
      <c r="I581" s="717"/>
      <c r="J581" s="717"/>
      <c r="K581" s="717"/>
      <c r="L581" s="683" t="s">
        <v>2937</v>
      </c>
      <c r="M581" s="683" t="s">
        <v>2846</v>
      </c>
      <c r="N581" s="683" t="s">
        <v>2846</v>
      </c>
      <c r="O581" s="717"/>
    </row>
    <row r="582" spans="1:15" s="721" customFormat="1">
      <c r="A582" s="687" t="s">
        <v>525</v>
      </c>
      <c r="B582" s="726">
        <v>2011</v>
      </c>
      <c r="C582" s="687" t="s">
        <v>526</v>
      </c>
      <c r="D582" s="176" t="s">
        <v>220</v>
      </c>
      <c r="E582" s="733" t="s">
        <v>2940</v>
      </c>
      <c r="F582" s="687" t="s">
        <v>55</v>
      </c>
      <c r="G582" s="717"/>
      <c r="H582" s="717"/>
      <c r="I582" s="717"/>
      <c r="J582" s="717"/>
      <c r="K582" s="717"/>
      <c r="L582" s="683" t="s">
        <v>2941</v>
      </c>
      <c r="M582" s="683" t="s">
        <v>943</v>
      </c>
      <c r="N582" s="683" t="s">
        <v>943</v>
      </c>
      <c r="O582" s="717"/>
    </row>
    <row r="583" spans="1:15" s="721" customFormat="1">
      <c r="A583" s="687" t="s">
        <v>525</v>
      </c>
      <c r="B583" s="726">
        <v>2011</v>
      </c>
      <c r="C583" s="687" t="s">
        <v>526</v>
      </c>
      <c r="D583" s="176" t="s">
        <v>220</v>
      </c>
      <c r="E583" s="733" t="s">
        <v>2942</v>
      </c>
      <c r="F583" s="687" t="s">
        <v>55</v>
      </c>
      <c r="G583" s="717"/>
      <c r="H583" s="683" t="s">
        <v>943</v>
      </c>
      <c r="I583" s="717"/>
      <c r="J583" s="717"/>
      <c r="K583" s="717"/>
      <c r="L583" s="683" t="s">
        <v>2943</v>
      </c>
      <c r="M583" s="683" t="s">
        <v>943</v>
      </c>
      <c r="N583" s="683" t="s">
        <v>943</v>
      </c>
      <c r="O583" s="717"/>
    </row>
    <row r="584" spans="1:15" s="721" customFormat="1">
      <c r="A584" s="687" t="s">
        <v>525</v>
      </c>
      <c r="B584" s="726">
        <v>2011</v>
      </c>
      <c r="C584" s="687" t="s">
        <v>526</v>
      </c>
      <c r="D584" s="176" t="s">
        <v>220</v>
      </c>
      <c r="E584" s="733" t="s">
        <v>2942</v>
      </c>
      <c r="F584" s="687" t="s">
        <v>55</v>
      </c>
      <c r="G584" s="717"/>
      <c r="H584" s="717"/>
      <c r="I584" s="717"/>
      <c r="J584" s="717"/>
      <c r="K584" s="717"/>
      <c r="L584" s="683" t="s">
        <v>2891</v>
      </c>
      <c r="M584" s="683" t="s">
        <v>2846</v>
      </c>
      <c r="N584" s="683" t="s">
        <v>2846</v>
      </c>
      <c r="O584" s="717"/>
    </row>
    <row r="585" spans="1:15" s="721" customFormat="1">
      <c r="A585" s="687" t="s">
        <v>525</v>
      </c>
      <c r="B585" s="726">
        <v>2011</v>
      </c>
      <c r="C585" s="687" t="s">
        <v>526</v>
      </c>
      <c r="D585" s="176" t="s">
        <v>220</v>
      </c>
      <c r="E585" s="733" t="s">
        <v>2944</v>
      </c>
      <c r="F585" s="687" t="s">
        <v>55</v>
      </c>
      <c r="G585" s="717"/>
      <c r="H585" s="683" t="s">
        <v>943</v>
      </c>
      <c r="I585" s="717"/>
      <c r="J585" s="717"/>
      <c r="K585" s="717"/>
      <c r="L585" s="683" t="s">
        <v>2943</v>
      </c>
      <c r="M585" s="683" t="s">
        <v>943</v>
      </c>
      <c r="N585" s="683" t="s">
        <v>943</v>
      </c>
      <c r="O585" s="717"/>
    </row>
    <row r="586" spans="1:15" s="721" customFormat="1">
      <c r="A586" s="687" t="s">
        <v>525</v>
      </c>
      <c r="B586" s="726">
        <v>2011</v>
      </c>
      <c r="C586" s="687" t="s">
        <v>526</v>
      </c>
      <c r="D586" s="176" t="s">
        <v>220</v>
      </c>
      <c r="E586" s="733" t="s">
        <v>2944</v>
      </c>
      <c r="F586" s="687" t="s">
        <v>55</v>
      </c>
      <c r="G586" s="717"/>
      <c r="H586" s="717"/>
      <c r="I586" s="717"/>
      <c r="J586" s="717"/>
      <c r="K586" s="717"/>
      <c r="L586" s="683" t="s">
        <v>2891</v>
      </c>
      <c r="M586" s="683" t="s">
        <v>2846</v>
      </c>
      <c r="N586" s="683" t="s">
        <v>2846</v>
      </c>
      <c r="O586" s="717"/>
    </row>
    <row r="587" spans="1:15" s="721" customFormat="1">
      <c r="A587" s="687" t="s">
        <v>525</v>
      </c>
      <c r="B587" s="726">
        <v>2011</v>
      </c>
      <c r="C587" s="687" t="s">
        <v>526</v>
      </c>
      <c r="D587" s="176" t="s">
        <v>220</v>
      </c>
      <c r="E587" s="733" t="s">
        <v>2945</v>
      </c>
      <c r="F587" s="687" t="s">
        <v>55</v>
      </c>
      <c r="G587" s="717"/>
      <c r="H587" s="683" t="s">
        <v>943</v>
      </c>
      <c r="I587" s="717"/>
      <c r="J587" s="717"/>
      <c r="K587" s="717"/>
      <c r="L587" s="683" t="s">
        <v>2943</v>
      </c>
      <c r="M587" s="683" t="s">
        <v>943</v>
      </c>
      <c r="N587" s="683" t="s">
        <v>943</v>
      </c>
      <c r="O587" s="717"/>
    </row>
    <row r="588" spans="1:15" s="721" customFormat="1">
      <c r="A588" s="687" t="s">
        <v>525</v>
      </c>
      <c r="B588" s="726">
        <v>2011</v>
      </c>
      <c r="C588" s="687" t="s">
        <v>526</v>
      </c>
      <c r="D588" s="176" t="s">
        <v>220</v>
      </c>
      <c r="E588" s="733" t="s">
        <v>2945</v>
      </c>
      <c r="F588" s="687" t="s">
        <v>55</v>
      </c>
      <c r="G588" s="717"/>
      <c r="H588" s="717"/>
      <c r="I588" s="717"/>
      <c r="J588" s="717"/>
      <c r="K588" s="717"/>
      <c r="L588" s="683" t="s">
        <v>2891</v>
      </c>
      <c r="M588" s="683" t="s">
        <v>2846</v>
      </c>
      <c r="N588" s="683" t="s">
        <v>2846</v>
      </c>
      <c r="O588" s="717"/>
    </row>
    <row r="589" spans="1:15" s="721" customFormat="1">
      <c r="A589" s="687" t="s">
        <v>525</v>
      </c>
      <c r="B589" s="726">
        <v>2011</v>
      </c>
      <c r="C589" s="687" t="s">
        <v>526</v>
      </c>
      <c r="D589" s="176" t="s">
        <v>220</v>
      </c>
      <c r="E589" s="733" t="s">
        <v>2946</v>
      </c>
      <c r="F589" s="687" t="s">
        <v>55</v>
      </c>
      <c r="G589" s="717"/>
      <c r="H589" s="683" t="s">
        <v>943</v>
      </c>
      <c r="I589" s="717"/>
      <c r="J589" s="717"/>
      <c r="K589" s="717"/>
      <c r="L589" s="683" t="s">
        <v>2935</v>
      </c>
      <c r="M589" s="683" t="s">
        <v>943</v>
      </c>
      <c r="N589" s="683" t="s">
        <v>943</v>
      </c>
      <c r="O589" s="717"/>
    </row>
    <row r="590" spans="1:15" s="721" customFormat="1">
      <c r="A590" s="687" t="s">
        <v>525</v>
      </c>
      <c r="B590" s="726">
        <v>2011</v>
      </c>
      <c r="C590" s="687" t="s">
        <v>526</v>
      </c>
      <c r="D590" s="176" t="s">
        <v>220</v>
      </c>
      <c r="E590" s="733" t="s">
        <v>2947</v>
      </c>
      <c r="F590" s="687" t="s">
        <v>55</v>
      </c>
      <c r="G590" s="717"/>
      <c r="H590" s="683" t="s">
        <v>2846</v>
      </c>
      <c r="I590" s="717"/>
      <c r="J590" s="717"/>
      <c r="K590" s="717"/>
      <c r="L590" s="683" t="s">
        <v>2891</v>
      </c>
      <c r="M590" s="683" t="s">
        <v>2846</v>
      </c>
      <c r="N590" s="683" t="s">
        <v>2846</v>
      </c>
      <c r="O590" s="717"/>
    </row>
    <row r="591" spans="1:15" s="721" customFormat="1">
      <c r="A591" s="687" t="s">
        <v>525</v>
      </c>
      <c r="B591" s="726">
        <v>2011</v>
      </c>
      <c r="C591" s="687" t="s">
        <v>526</v>
      </c>
      <c r="D591" s="176" t="s">
        <v>220</v>
      </c>
      <c r="E591" s="721" t="s">
        <v>2948</v>
      </c>
      <c r="F591" s="687" t="s">
        <v>55</v>
      </c>
      <c r="G591" s="717"/>
      <c r="H591" s="683" t="s">
        <v>943</v>
      </c>
      <c r="I591" s="717"/>
      <c r="J591" s="717"/>
      <c r="K591" s="717"/>
      <c r="L591" s="683" t="s">
        <v>2949</v>
      </c>
      <c r="M591" s="720">
        <v>637010.07751937979</v>
      </c>
      <c r="N591" s="720">
        <v>637130.23255813948</v>
      </c>
      <c r="O591" s="717"/>
    </row>
    <row r="592" spans="1:15" s="721" customFormat="1">
      <c r="A592" s="687" t="s">
        <v>525</v>
      </c>
      <c r="B592" s="726">
        <v>2011</v>
      </c>
      <c r="C592" s="687" t="s">
        <v>526</v>
      </c>
      <c r="D592" s="176" t="s">
        <v>220</v>
      </c>
      <c r="E592" s="721" t="s">
        <v>2948</v>
      </c>
      <c r="F592" s="687" t="s">
        <v>55</v>
      </c>
      <c r="G592" s="717"/>
      <c r="H592" s="717"/>
      <c r="I592" s="717"/>
      <c r="J592" s="717"/>
      <c r="K592" s="717"/>
      <c r="L592" s="683" t="s">
        <v>2950</v>
      </c>
      <c r="M592" s="683" t="s">
        <v>2846</v>
      </c>
      <c r="N592" s="683" t="s">
        <v>2846</v>
      </c>
      <c r="O592" s="717"/>
    </row>
    <row r="593" spans="1:15" s="721" customFormat="1">
      <c r="A593" s="687" t="s">
        <v>525</v>
      </c>
      <c r="B593" s="726">
        <v>2011</v>
      </c>
      <c r="C593" s="687" t="s">
        <v>526</v>
      </c>
      <c r="D593" s="176" t="s">
        <v>220</v>
      </c>
      <c r="E593" s="721" t="s">
        <v>2951</v>
      </c>
      <c r="F593" s="687" t="s">
        <v>55</v>
      </c>
      <c r="G593" s="717"/>
      <c r="H593" s="683" t="s">
        <v>943</v>
      </c>
      <c r="I593" s="717"/>
      <c r="J593" s="717"/>
      <c r="K593" s="717"/>
      <c r="L593" s="683" t="s">
        <v>2952</v>
      </c>
      <c r="M593" s="683" t="s">
        <v>943</v>
      </c>
      <c r="N593" s="683" t="s">
        <v>943</v>
      </c>
      <c r="O593" s="717"/>
    </row>
    <row r="594" spans="1:15" s="721" customFormat="1">
      <c r="A594" s="687" t="s">
        <v>525</v>
      </c>
      <c r="B594" s="726">
        <v>2011</v>
      </c>
      <c r="C594" s="687" t="s">
        <v>526</v>
      </c>
      <c r="D594" s="176" t="s">
        <v>220</v>
      </c>
      <c r="E594" s="721" t="s">
        <v>2951</v>
      </c>
      <c r="F594" s="687" t="s">
        <v>55</v>
      </c>
      <c r="G594" s="717"/>
      <c r="H594" s="717"/>
      <c r="I594" s="717"/>
      <c r="J594" s="717"/>
      <c r="K594" s="717"/>
      <c r="L594" s="683" t="s">
        <v>2950</v>
      </c>
      <c r="M594" s="683" t="s">
        <v>2846</v>
      </c>
      <c r="N594" s="683" t="s">
        <v>2846</v>
      </c>
      <c r="O594" s="717"/>
    </row>
    <row r="595" spans="1:15" s="721" customFormat="1">
      <c r="A595" s="687" t="s">
        <v>525</v>
      </c>
      <c r="B595" s="726">
        <v>2011</v>
      </c>
      <c r="C595" s="687" t="s">
        <v>526</v>
      </c>
      <c r="D595" s="176" t="s">
        <v>220</v>
      </c>
      <c r="E595" s="721" t="s">
        <v>2953</v>
      </c>
      <c r="F595" s="687" t="s">
        <v>55</v>
      </c>
      <c r="G595" s="717"/>
      <c r="H595" s="683" t="s">
        <v>943</v>
      </c>
      <c r="I595" s="717"/>
      <c r="J595" s="717"/>
      <c r="K595" s="717"/>
      <c r="L595" s="683" t="s">
        <v>2954</v>
      </c>
      <c r="M595" s="683" t="s">
        <v>2846</v>
      </c>
      <c r="N595" s="683" t="s">
        <v>2846</v>
      </c>
      <c r="O595" s="717"/>
    </row>
    <row r="596" spans="1:15" s="721" customFormat="1">
      <c r="A596" s="687" t="s">
        <v>525</v>
      </c>
      <c r="B596" s="726">
        <v>2011</v>
      </c>
      <c r="C596" s="687" t="s">
        <v>526</v>
      </c>
      <c r="D596" s="176" t="s">
        <v>220</v>
      </c>
      <c r="E596" s="721" t="s">
        <v>2953</v>
      </c>
      <c r="F596" s="687" t="s">
        <v>55</v>
      </c>
      <c r="G596" s="717"/>
      <c r="H596" s="717"/>
      <c r="I596" s="717"/>
      <c r="J596" s="717"/>
      <c r="K596" s="717"/>
      <c r="L596" s="683" t="s">
        <v>2955</v>
      </c>
      <c r="M596" s="683" t="s">
        <v>2846</v>
      </c>
      <c r="N596" s="683" t="s">
        <v>2846</v>
      </c>
      <c r="O596" s="717"/>
    </row>
    <row r="597" spans="1:15" s="721" customFormat="1">
      <c r="A597" s="687" t="s">
        <v>525</v>
      </c>
      <c r="B597" s="726">
        <v>2011</v>
      </c>
      <c r="C597" s="687" t="s">
        <v>526</v>
      </c>
      <c r="D597" s="176" t="s">
        <v>220</v>
      </c>
      <c r="E597" s="721" t="s">
        <v>2953</v>
      </c>
      <c r="F597" s="687" t="s">
        <v>55</v>
      </c>
      <c r="G597" s="717"/>
      <c r="H597" s="717"/>
      <c r="I597" s="717"/>
      <c r="J597" s="717"/>
      <c r="K597" s="717"/>
      <c r="L597" s="683" t="s">
        <v>2891</v>
      </c>
      <c r="M597" s="683" t="s">
        <v>2846</v>
      </c>
      <c r="N597" s="683" t="s">
        <v>2846</v>
      </c>
      <c r="O597" s="717"/>
    </row>
    <row r="598" spans="1:15" s="721" customFormat="1">
      <c r="A598" s="687" t="s">
        <v>525</v>
      </c>
      <c r="B598" s="726">
        <v>2011</v>
      </c>
      <c r="C598" s="687" t="s">
        <v>526</v>
      </c>
      <c r="D598" s="176" t="s">
        <v>220</v>
      </c>
      <c r="E598" s="721" t="s">
        <v>2953</v>
      </c>
      <c r="F598" s="687" t="s">
        <v>55</v>
      </c>
      <c r="G598" s="717"/>
      <c r="H598" s="717"/>
      <c r="I598" s="717"/>
      <c r="J598" s="717"/>
      <c r="K598" s="717"/>
      <c r="L598" s="683" t="s">
        <v>2956</v>
      </c>
      <c r="M598" s="683" t="s">
        <v>943</v>
      </c>
      <c r="N598" s="683" t="s">
        <v>943</v>
      </c>
      <c r="O598" s="717"/>
    </row>
    <row r="599" spans="1:15" s="721" customFormat="1">
      <c r="A599" s="687" t="s">
        <v>525</v>
      </c>
      <c r="B599" s="726">
        <v>2011</v>
      </c>
      <c r="C599" s="687" t="s">
        <v>526</v>
      </c>
      <c r="D599" s="176" t="s">
        <v>220</v>
      </c>
      <c r="E599" s="733" t="s">
        <v>2957</v>
      </c>
      <c r="F599" s="687" t="s">
        <v>55</v>
      </c>
      <c r="G599" s="683" t="s">
        <v>103</v>
      </c>
      <c r="H599" s="720">
        <v>3555720</v>
      </c>
      <c r="I599" s="683" t="s">
        <v>2654</v>
      </c>
      <c r="J599" s="717"/>
      <c r="K599" s="717"/>
      <c r="L599" s="683" t="s">
        <v>2958</v>
      </c>
      <c r="M599" s="720">
        <v>123039171.1627907</v>
      </c>
      <c r="N599" s="720">
        <v>123039171.1627907</v>
      </c>
      <c r="O599" s="683" t="s">
        <v>2894</v>
      </c>
    </row>
    <row r="600" spans="1:15" s="721" customFormat="1">
      <c r="A600" s="687" t="s">
        <v>525</v>
      </c>
      <c r="B600" s="726">
        <v>2011</v>
      </c>
      <c r="C600" s="687" t="s">
        <v>526</v>
      </c>
      <c r="D600" s="176" t="s">
        <v>220</v>
      </c>
      <c r="E600" s="733" t="s">
        <v>2957</v>
      </c>
      <c r="F600" s="687" t="s">
        <v>55</v>
      </c>
      <c r="G600" s="683" t="s">
        <v>561</v>
      </c>
      <c r="H600" s="720">
        <v>83293545000</v>
      </c>
      <c r="I600" s="683" t="s">
        <v>2895</v>
      </c>
      <c r="J600" s="717"/>
      <c r="K600" s="717"/>
      <c r="L600" s="683" t="s">
        <v>2959</v>
      </c>
      <c r="M600" s="717">
        <v>0</v>
      </c>
      <c r="N600" s="717">
        <v>0</v>
      </c>
      <c r="O600" s="683" t="s">
        <v>2900</v>
      </c>
    </row>
    <row r="601" spans="1:15" s="721" customFormat="1">
      <c r="A601" s="687" t="s">
        <v>525</v>
      </c>
      <c r="B601" s="726">
        <v>2011</v>
      </c>
      <c r="C601" s="687" t="s">
        <v>526</v>
      </c>
      <c r="D601" s="176" t="s">
        <v>220</v>
      </c>
      <c r="E601" s="733" t="s">
        <v>2957</v>
      </c>
      <c r="F601" s="687" t="s">
        <v>55</v>
      </c>
      <c r="G601" s="717"/>
      <c r="H601" s="717"/>
      <c r="I601" s="717"/>
      <c r="J601" s="717"/>
      <c r="K601" s="717"/>
      <c r="L601" s="683" t="s">
        <v>2960</v>
      </c>
      <c r="M601" s="717">
        <v>0</v>
      </c>
      <c r="N601" s="717">
        <v>0</v>
      </c>
      <c r="O601" s="717">
        <v>45</v>
      </c>
    </row>
    <row r="602" spans="1:15" s="721" customFormat="1">
      <c r="A602" s="687" t="s">
        <v>525</v>
      </c>
      <c r="B602" s="726">
        <v>2011</v>
      </c>
      <c r="C602" s="687" t="s">
        <v>526</v>
      </c>
      <c r="D602" s="176" t="s">
        <v>220</v>
      </c>
      <c r="E602" s="721" t="s">
        <v>2961</v>
      </c>
      <c r="F602" s="687" t="s">
        <v>55</v>
      </c>
      <c r="G602" s="717"/>
      <c r="H602" s="683" t="s">
        <v>943</v>
      </c>
      <c r="I602" s="717"/>
      <c r="J602" s="717"/>
      <c r="K602" s="717"/>
      <c r="L602" s="683" t="s">
        <v>2962</v>
      </c>
      <c r="M602" s="720">
        <v>691964.34108527133</v>
      </c>
      <c r="N602" s="720">
        <v>691964.34108527133</v>
      </c>
      <c r="O602" s="717">
        <v>45</v>
      </c>
    </row>
    <row r="603" spans="1:15" s="721" customFormat="1">
      <c r="A603" s="687" t="s">
        <v>525</v>
      </c>
      <c r="B603" s="726">
        <v>2011</v>
      </c>
      <c r="C603" s="687" t="s">
        <v>526</v>
      </c>
      <c r="D603" s="176" t="s">
        <v>220</v>
      </c>
      <c r="E603" s="721" t="s">
        <v>2961</v>
      </c>
      <c r="F603" s="687" t="s">
        <v>55</v>
      </c>
      <c r="G603" s="717"/>
      <c r="H603" s="717"/>
      <c r="I603" s="717"/>
      <c r="J603" s="717"/>
      <c r="K603" s="717"/>
      <c r="L603" s="683" t="s">
        <v>2963</v>
      </c>
      <c r="M603" s="683" t="s">
        <v>943</v>
      </c>
      <c r="N603" s="683" t="s">
        <v>943</v>
      </c>
      <c r="O603" s="717"/>
    </row>
    <row r="604" spans="1:15" s="721" customFormat="1">
      <c r="A604" s="687" t="s">
        <v>525</v>
      </c>
      <c r="B604" s="726">
        <v>2011</v>
      </c>
      <c r="C604" s="687" t="s">
        <v>526</v>
      </c>
      <c r="D604" s="176" t="s">
        <v>220</v>
      </c>
      <c r="E604" s="721" t="s">
        <v>2961</v>
      </c>
      <c r="F604" s="687" t="s">
        <v>55</v>
      </c>
      <c r="G604" s="717"/>
      <c r="H604" s="717"/>
      <c r="I604" s="717"/>
      <c r="J604" s="717"/>
      <c r="K604" s="717"/>
      <c r="L604" s="683" t="s">
        <v>2964</v>
      </c>
      <c r="M604" s="683" t="s">
        <v>943</v>
      </c>
      <c r="N604" s="683" t="s">
        <v>943</v>
      </c>
      <c r="O604" s="717"/>
    </row>
    <row r="605" spans="1:15" s="721" customFormat="1">
      <c r="A605" s="687" t="s">
        <v>525</v>
      </c>
      <c r="B605" s="726">
        <v>2011</v>
      </c>
      <c r="C605" s="687" t="s">
        <v>526</v>
      </c>
      <c r="D605" s="176" t="s">
        <v>220</v>
      </c>
      <c r="E605" s="721" t="s">
        <v>2961</v>
      </c>
      <c r="F605" s="687" t="s">
        <v>55</v>
      </c>
      <c r="G605" s="717"/>
      <c r="H605" s="717"/>
      <c r="I605" s="717"/>
      <c r="J605" s="717"/>
      <c r="K605" s="717"/>
      <c r="L605" s="683" t="s">
        <v>2902</v>
      </c>
      <c r="M605" s="683" t="s">
        <v>2846</v>
      </c>
      <c r="N605" s="683" t="s">
        <v>2846</v>
      </c>
      <c r="O605" s="717"/>
    </row>
    <row r="606" spans="1:15" s="721" customFormat="1">
      <c r="A606" s="687" t="s">
        <v>525</v>
      </c>
      <c r="B606" s="726">
        <v>2011</v>
      </c>
      <c r="C606" s="687" t="s">
        <v>526</v>
      </c>
      <c r="D606" s="176" t="s">
        <v>220</v>
      </c>
      <c r="E606" s="721" t="s">
        <v>2961</v>
      </c>
      <c r="F606" s="687" t="s">
        <v>55</v>
      </c>
      <c r="G606" s="717"/>
      <c r="H606" s="717"/>
      <c r="I606" s="717"/>
      <c r="J606" s="717"/>
      <c r="K606" s="717"/>
      <c r="L606" s="683" t="s">
        <v>2965</v>
      </c>
      <c r="M606" s="717">
        <v>0</v>
      </c>
      <c r="N606" s="717">
        <v>0</v>
      </c>
      <c r="O606" s="717">
        <v>46</v>
      </c>
    </row>
    <row r="607" spans="1:15" s="721" customFormat="1">
      <c r="A607" s="687" t="s">
        <v>525</v>
      </c>
      <c r="B607" s="726">
        <v>2011</v>
      </c>
      <c r="C607" s="687" t="s">
        <v>526</v>
      </c>
      <c r="D607" s="176" t="s">
        <v>220</v>
      </c>
      <c r="E607" s="721" t="s">
        <v>2966</v>
      </c>
      <c r="F607" s="687" t="s">
        <v>55</v>
      </c>
      <c r="G607" s="717"/>
      <c r="H607" s="683" t="s">
        <v>943</v>
      </c>
      <c r="I607" s="717"/>
      <c r="J607" s="717"/>
      <c r="K607" s="717"/>
      <c r="L607" s="683" t="s">
        <v>2967</v>
      </c>
      <c r="M607" s="683" t="s">
        <v>943</v>
      </c>
      <c r="N607" s="683" t="s">
        <v>943</v>
      </c>
      <c r="O607" s="717"/>
    </row>
    <row r="608" spans="1:15" s="721" customFormat="1">
      <c r="A608" s="687" t="s">
        <v>525</v>
      </c>
      <c r="B608" s="726">
        <v>2011</v>
      </c>
      <c r="C608" s="687" t="s">
        <v>526</v>
      </c>
      <c r="D608" s="176" t="s">
        <v>220</v>
      </c>
      <c r="E608" s="721" t="s">
        <v>2966</v>
      </c>
      <c r="F608" s="687" t="s">
        <v>55</v>
      </c>
      <c r="G608" s="717"/>
      <c r="H608" s="717"/>
      <c r="I608" s="717"/>
      <c r="J608" s="717"/>
      <c r="K608" s="717"/>
      <c r="L608" s="683" t="s">
        <v>2968</v>
      </c>
      <c r="M608" s="717">
        <v>0</v>
      </c>
      <c r="N608" s="717">
        <v>0</v>
      </c>
      <c r="O608" s="717">
        <v>46</v>
      </c>
    </row>
    <row r="609" spans="1:15" s="721" customFormat="1">
      <c r="A609" s="687" t="s">
        <v>525</v>
      </c>
      <c r="B609" s="726">
        <v>2011</v>
      </c>
      <c r="C609" s="687" t="s">
        <v>526</v>
      </c>
      <c r="D609" s="176" t="s">
        <v>220</v>
      </c>
      <c r="E609" s="721" t="s">
        <v>2966</v>
      </c>
      <c r="F609" s="687" t="s">
        <v>55</v>
      </c>
      <c r="G609" s="717"/>
      <c r="H609" s="717"/>
      <c r="I609" s="717"/>
      <c r="J609" s="717"/>
      <c r="K609" s="717"/>
      <c r="L609" s="683" t="s">
        <v>2969</v>
      </c>
      <c r="M609" s="683" t="s">
        <v>943</v>
      </c>
      <c r="N609" s="683" t="s">
        <v>943</v>
      </c>
      <c r="O609" s="717"/>
    </row>
    <row r="610" spans="1:15" s="721" customFormat="1">
      <c r="A610" s="687" t="s">
        <v>525</v>
      </c>
      <c r="B610" s="726">
        <v>2011</v>
      </c>
      <c r="C610" s="687" t="s">
        <v>526</v>
      </c>
      <c r="D610" s="176" t="s">
        <v>220</v>
      </c>
      <c r="E610" s="721" t="s">
        <v>2966</v>
      </c>
      <c r="F610" s="687" t="s">
        <v>55</v>
      </c>
      <c r="G610" s="717"/>
      <c r="H610" s="717"/>
      <c r="I610" s="717"/>
      <c r="J610" s="717"/>
      <c r="K610" s="717"/>
      <c r="L610" s="683" t="s">
        <v>2970</v>
      </c>
      <c r="M610" s="683" t="s">
        <v>943</v>
      </c>
      <c r="N610" s="683" t="s">
        <v>943</v>
      </c>
      <c r="O610" s="717"/>
    </row>
    <row r="611" spans="1:15" s="721" customFormat="1">
      <c r="A611" s="687" t="s">
        <v>525</v>
      </c>
      <c r="B611" s="726">
        <v>2011</v>
      </c>
      <c r="C611" s="687" t="s">
        <v>526</v>
      </c>
      <c r="D611" s="176" t="s">
        <v>220</v>
      </c>
      <c r="E611" s="721" t="s">
        <v>2971</v>
      </c>
      <c r="F611" s="687" t="s">
        <v>55</v>
      </c>
      <c r="G611" s="683" t="s">
        <v>561</v>
      </c>
      <c r="H611" s="720">
        <v>31477000</v>
      </c>
      <c r="I611" s="683" t="s">
        <v>2895</v>
      </c>
      <c r="J611" s="717"/>
      <c r="K611" s="717"/>
      <c r="L611" s="683" t="s">
        <v>2972</v>
      </c>
      <c r="M611" s="720">
        <v>672212.71317829459</v>
      </c>
      <c r="N611" s="720">
        <v>670295.50387596898</v>
      </c>
      <c r="O611" s="683" t="s">
        <v>2894</v>
      </c>
    </row>
    <row r="612" spans="1:15" s="721" customFormat="1">
      <c r="A612" s="687" t="s">
        <v>525</v>
      </c>
      <c r="B612" s="726">
        <v>2011</v>
      </c>
      <c r="C612" s="687" t="s">
        <v>526</v>
      </c>
      <c r="D612" s="176" t="s">
        <v>220</v>
      </c>
      <c r="E612" s="721" t="s">
        <v>2973</v>
      </c>
      <c r="F612" s="687" t="s">
        <v>55</v>
      </c>
      <c r="G612" s="717"/>
      <c r="H612" s="683" t="s">
        <v>943</v>
      </c>
      <c r="I612" s="717"/>
      <c r="J612" s="717"/>
      <c r="K612" s="717"/>
      <c r="L612" s="683" t="s">
        <v>2974</v>
      </c>
      <c r="M612" s="720">
        <v>7638122.170542635</v>
      </c>
      <c r="N612" s="720">
        <v>7664353.4883720931</v>
      </c>
      <c r="O612" s="717">
        <v>46</v>
      </c>
    </row>
    <row r="613" spans="1:15" s="721" customFormat="1">
      <c r="A613" s="687" t="s">
        <v>525</v>
      </c>
      <c r="B613" s="726">
        <v>2011</v>
      </c>
      <c r="C613" s="687" t="s">
        <v>526</v>
      </c>
      <c r="D613" s="176" t="s">
        <v>220</v>
      </c>
      <c r="E613" s="721" t="s">
        <v>2975</v>
      </c>
      <c r="F613" s="687" t="s">
        <v>55</v>
      </c>
      <c r="G613" s="683" t="s">
        <v>103</v>
      </c>
      <c r="H613" s="722">
        <v>552304</v>
      </c>
      <c r="I613" s="683" t="s">
        <v>2654</v>
      </c>
      <c r="J613" s="717"/>
      <c r="K613" s="717"/>
      <c r="L613" s="683" t="s">
        <v>2976</v>
      </c>
      <c r="M613" s="683" t="s">
        <v>943</v>
      </c>
      <c r="N613" s="683" t="s">
        <v>943</v>
      </c>
      <c r="O613" s="717">
        <v>48</v>
      </c>
    </row>
    <row r="614" spans="1:15" s="721" customFormat="1">
      <c r="A614" s="687" t="s">
        <v>525</v>
      </c>
      <c r="B614" s="726">
        <v>2011</v>
      </c>
      <c r="C614" s="687" t="s">
        <v>526</v>
      </c>
      <c r="D614" s="176" t="s">
        <v>220</v>
      </c>
      <c r="E614" s="721" t="s">
        <v>2975</v>
      </c>
      <c r="F614" s="687" t="s">
        <v>55</v>
      </c>
      <c r="G614" s="683" t="s">
        <v>561</v>
      </c>
      <c r="H614" s="720">
        <v>66885425000</v>
      </c>
      <c r="I614" s="683" t="s">
        <v>2895</v>
      </c>
      <c r="J614" s="717"/>
      <c r="K614" s="717"/>
      <c r="L614" s="683" t="s">
        <v>2977</v>
      </c>
      <c r="M614" s="683" t="s">
        <v>943</v>
      </c>
      <c r="N614" s="683" t="s">
        <v>943</v>
      </c>
      <c r="O614" s="717">
        <v>48</v>
      </c>
    </row>
    <row r="615" spans="1:15" s="721" customFormat="1">
      <c r="A615" s="687" t="s">
        <v>525</v>
      </c>
      <c r="B615" s="726">
        <v>2011</v>
      </c>
      <c r="C615" s="687" t="s">
        <v>526</v>
      </c>
      <c r="D615" s="176" t="s">
        <v>220</v>
      </c>
      <c r="E615" s="721" t="s">
        <v>2978</v>
      </c>
      <c r="F615" s="687" t="s">
        <v>55</v>
      </c>
      <c r="G615" s="717"/>
      <c r="H615" s="683" t="s">
        <v>2846</v>
      </c>
      <c r="I615" s="717"/>
      <c r="J615" s="717"/>
      <c r="K615" s="717"/>
      <c r="L615" s="683" t="s">
        <v>2979</v>
      </c>
      <c r="M615" s="683" t="s">
        <v>2846</v>
      </c>
      <c r="N615" s="683" t="s">
        <v>2846</v>
      </c>
      <c r="O615" s="717"/>
    </row>
    <row r="616" spans="1:15" s="721" customFormat="1">
      <c r="A616" s="687" t="s">
        <v>525</v>
      </c>
      <c r="B616" s="726">
        <v>2011</v>
      </c>
      <c r="C616" s="687" t="s">
        <v>526</v>
      </c>
      <c r="D616" s="176" t="s">
        <v>220</v>
      </c>
      <c r="E616" s="721" t="s">
        <v>2978</v>
      </c>
      <c r="F616" s="687" t="s">
        <v>55</v>
      </c>
      <c r="G616" s="717"/>
      <c r="H616" s="717"/>
      <c r="I616" s="717"/>
      <c r="J616" s="717"/>
      <c r="K616" s="717"/>
      <c r="L616" s="683" t="s">
        <v>2980</v>
      </c>
      <c r="M616" s="683" t="s">
        <v>943</v>
      </c>
      <c r="N616" s="683" t="s">
        <v>943</v>
      </c>
      <c r="O616" s="717"/>
    </row>
    <row r="617" spans="1:15" s="721" customFormat="1">
      <c r="A617" s="687" t="s">
        <v>525</v>
      </c>
      <c r="B617" s="726">
        <v>2011</v>
      </c>
      <c r="C617" s="687" t="s">
        <v>526</v>
      </c>
      <c r="D617" s="176" t="s">
        <v>220</v>
      </c>
      <c r="E617" s="721" t="s">
        <v>2981</v>
      </c>
      <c r="F617" s="687" t="s">
        <v>55</v>
      </c>
      <c r="G617" s="717"/>
      <c r="H617" s="683" t="s">
        <v>943</v>
      </c>
      <c r="I617" s="717"/>
      <c r="J617" s="717"/>
      <c r="K617" s="717"/>
      <c r="L617" s="683" t="s">
        <v>2982</v>
      </c>
      <c r="M617" s="720">
        <v>68705612.868217051</v>
      </c>
      <c r="N617" s="720">
        <v>68779189.767441854</v>
      </c>
      <c r="O617" s="717">
        <v>45</v>
      </c>
    </row>
    <row r="618" spans="1:15" s="721" customFormat="1">
      <c r="A618" s="687" t="s">
        <v>525</v>
      </c>
      <c r="B618" s="726">
        <v>2011</v>
      </c>
      <c r="C618" s="687" t="s">
        <v>526</v>
      </c>
      <c r="D618" s="176" t="s">
        <v>220</v>
      </c>
      <c r="E618" s="721" t="s">
        <v>2981</v>
      </c>
      <c r="F618" s="687" t="s">
        <v>55</v>
      </c>
      <c r="G618" s="717"/>
      <c r="H618" s="717"/>
      <c r="I618" s="717"/>
      <c r="J618" s="717"/>
      <c r="K618" s="717"/>
      <c r="L618" s="683" t="s">
        <v>2983</v>
      </c>
      <c r="M618" s="683" t="s">
        <v>943</v>
      </c>
      <c r="N618" s="683" t="s">
        <v>943</v>
      </c>
      <c r="O618" s="717"/>
    </row>
    <row r="619" spans="1:15" s="721" customFormat="1">
      <c r="A619" s="687" t="s">
        <v>525</v>
      </c>
      <c r="B619" s="726">
        <v>2011</v>
      </c>
      <c r="C619" s="687" t="s">
        <v>526</v>
      </c>
      <c r="D619" s="176" t="s">
        <v>220</v>
      </c>
      <c r="E619" s="733" t="s">
        <v>2984</v>
      </c>
      <c r="F619" s="687" t="s">
        <v>55</v>
      </c>
      <c r="G619" s="717"/>
      <c r="H619" s="683" t="s">
        <v>943</v>
      </c>
      <c r="I619" s="717"/>
      <c r="J619" s="717"/>
      <c r="K619" s="717"/>
      <c r="L619" s="683" t="s">
        <v>2985</v>
      </c>
      <c r="M619" s="683" t="s">
        <v>943</v>
      </c>
      <c r="N619" s="683" t="s">
        <v>943</v>
      </c>
      <c r="O619" s="717"/>
    </row>
    <row r="620" spans="1:15" s="721" customFormat="1">
      <c r="A620" s="687" t="s">
        <v>525</v>
      </c>
      <c r="B620" s="726">
        <v>2011</v>
      </c>
      <c r="C620" s="687" t="s">
        <v>526</v>
      </c>
      <c r="D620" s="176" t="s">
        <v>220</v>
      </c>
      <c r="E620" s="733" t="s">
        <v>2984</v>
      </c>
      <c r="F620" s="687" t="s">
        <v>55</v>
      </c>
      <c r="G620" s="717"/>
      <c r="H620" s="717"/>
      <c r="I620" s="717"/>
      <c r="J620" s="717"/>
      <c r="K620" s="717"/>
      <c r="L620" s="683" t="s">
        <v>2977</v>
      </c>
      <c r="M620" s="683" t="s">
        <v>943</v>
      </c>
      <c r="N620" s="683" t="s">
        <v>943</v>
      </c>
      <c r="O620" s="717"/>
    </row>
    <row r="621" spans="1:15" s="721" customFormat="1">
      <c r="A621" s="687" t="s">
        <v>525</v>
      </c>
      <c r="B621" s="726">
        <v>2011</v>
      </c>
      <c r="C621" s="687" t="s">
        <v>526</v>
      </c>
      <c r="D621" s="176" t="s">
        <v>220</v>
      </c>
      <c r="E621" s="733" t="s">
        <v>2986</v>
      </c>
      <c r="F621" s="687" t="s">
        <v>55</v>
      </c>
      <c r="G621" s="717"/>
      <c r="H621" s="683" t="s">
        <v>943</v>
      </c>
      <c r="I621" s="717"/>
      <c r="J621" s="717"/>
      <c r="K621" s="717"/>
      <c r="L621" s="683" t="s">
        <v>2987</v>
      </c>
      <c r="M621" s="720">
        <v>1456470.2325581396</v>
      </c>
      <c r="N621" s="720">
        <v>1457637.0542635659</v>
      </c>
      <c r="O621" s="717">
        <v>45</v>
      </c>
    </row>
    <row r="622" spans="1:15" s="721" customFormat="1">
      <c r="A622" s="687" t="s">
        <v>525</v>
      </c>
      <c r="B622" s="726">
        <v>2011</v>
      </c>
      <c r="C622" s="687" t="s">
        <v>526</v>
      </c>
      <c r="D622" s="176" t="s">
        <v>220</v>
      </c>
      <c r="E622" s="733" t="s">
        <v>2986</v>
      </c>
      <c r="F622" s="687" t="s">
        <v>55</v>
      </c>
      <c r="G622" s="717"/>
      <c r="H622" s="717"/>
      <c r="I622" s="717"/>
      <c r="J622" s="717"/>
      <c r="K622" s="717"/>
      <c r="L622" s="683" t="s">
        <v>2988</v>
      </c>
      <c r="M622" s="683" t="s">
        <v>2846</v>
      </c>
      <c r="N622" s="683" t="s">
        <v>2846</v>
      </c>
      <c r="O622" s="717"/>
    </row>
    <row r="623" spans="1:15" s="721" customFormat="1">
      <c r="A623" s="687" t="s">
        <v>525</v>
      </c>
      <c r="B623" s="726">
        <v>2011</v>
      </c>
      <c r="C623" s="687" t="s">
        <v>526</v>
      </c>
      <c r="D623" s="176" t="s">
        <v>220</v>
      </c>
      <c r="E623" s="733" t="s">
        <v>2989</v>
      </c>
      <c r="F623" s="687" t="s">
        <v>55</v>
      </c>
      <c r="G623" s="717"/>
      <c r="H623" s="683" t="s">
        <v>2846</v>
      </c>
      <c r="I623" s="683"/>
      <c r="J623" s="717"/>
      <c r="K623" s="717"/>
      <c r="L623" s="683" t="s">
        <v>2990</v>
      </c>
      <c r="M623" s="683" t="s">
        <v>2846</v>
      </c>
      <c r="N623" s="683" t="s">
        <v>2846</v>
      </c>
      <c r="O623" s="717"/>
    </row>
    <row r="624" spans="1:15" s="721" customFormat="1">
      <c r="A624" s="687" t="s">
        <v>525</v>
      </c>
      <c r="B624" s="726">
        <v>2011</v>
      </c>
      <c r="C624" s="687" t="s">
        <v>526</v>
      </c>
      <c r="D624" s="176" t="s">
        <v>220</v>
      </c>
      <c r="E624" s="733" t="s">
        <v>2989</v>
      </c>
      <c r="F624" s="687" t="s">
        <v>55</v>
      </c>
      <c r="G624" s="717"/>
      <c r="H624" s="717"/>
      <c r="I624" s="717"/>
      <c r="J624" s="717"/>
      <c r="K624" s="717"/>
      <c r="L624" s="683" t="s">
        <v>2977</v>
      </c>
      <c r="M624" s="683" t="s">
        <v>943</v>
      </c>
      <c r="N624" s="683" t="s">
        <v>943</v>
      </c>
      <c r="O624" s="717"/>
    </row>
    <row r="625" spans="1:15" s="721" customFormat="1">
      <c r="A625" s="687" t="s">
        <v>525</v>
      </c>
      <c r="B625" s="726">
        <v>2011</v>
      </c>
      <c r="C625" s="687" t="s">
        <v>526</v>
      </c>
      <c r="D625" s="176" t="s">
        <v>220</v>
      </c>
      <c r="E625" s="733" t="s">
        <v>2991</v>
      </c>
      <c r="F625" s="687" t="s">
        <v>55</v>
      </c>
      <c r="G625" s="683" t="s">
        <v>103</v>
      </c>
      <c r="H625" s="720">
        <v>382532</v>
      </c>
      <c r="I625" s="683" t="s">
        <v>2654</v>
      </c>
      <c r="J625" s="717"/>
      <c r="K625" s="717"/>
      <c r="L625" s="683" t="s">
        <v>2992</v>
      </c>
      <c r="M625" s="720">
        <v>77115702.170542628</v>
      </c>
      <c r="N625" s="720">
        <v>77052486.666666672</v>
      </c>
      <c r="O625" s="683" t="s">
        <v>2894</v>
      </c>
    </row>
    <row r="626" spans="1:15" s="721" customFormat="1">
      <c r="A626" s="687" t="s">
        <v>525</v>
      </c>
      <c r="B626" s="726">
        <v>2011</v>
      </c>
      <c r="C626" s="687" t="s">
        <v>526</v>
      </c>
      <c r="D626" s="176" t="s">
        <v>220</v>
      </c>
      <c r="E626" s="733" t="s">
        <v>2991</v>
      </c>
      <c r="F626" s="687" t="s">
        <v>55</v>
      </c>
      <c r="G626" s="683" t="s">
        <v>561</v>
      </c>
      <c r="H626" s="720">
        <v>36069124000</v>
      </c>
      <c r="I626" s="683" t="s">
        <v>2895</v>
      </c>
      <c r="J626" s="717"/>
      <c r="K626" s="717"/>
      <c r="L626" s="683"/>
      <c r="M626" s="720">
        <v>0</v>
      </c>
      <c r="N626" s="720">
        <v>0</v>
      </c>
      <c r="O626" s="717">
        <v>48</v>
      </c>
    </row>
    <row r="627" spans="1:15" s="721" customFormat="1">
      <c r="A627" s="687" t="s">
        <v>525</v>
      </c>
      <c r="B627" s="726">
        <v>2011</v>
      </c>
      <c r="C627" s="687" t="s">
        <v>526</v>
      </c>
      <c r="D627" s="176" t="s">
        <v>220</v>
      </c>
      <c r="E627" s="733" t="s">
        <v>2993</v>
      </c>
      <c r="F627" s="687" t="s">
        <v>55</v>
      </c>
      <c r="G627" s="683" t="s">
        <v>103</v>
      </c>
      <c r="H627" s="720">
        <v>47224</v>
      </c>
      <c r="I627" s="683" t="s">
        <v>2654</v>
      </c>
      <c r="J627" s="717"/>
      <c r="K627" s="717"/>
      <c r="L627" s="683" t="s">
        <v>2994</v>
      </c>
      <c r="M627" s="720">
        <v>5912632.5581395347</v>
      </c>
      <c r="N627" s="720">
        <v>5907315.503875969</v>
      </c>
      <c r="O627" s="683" t="s">
        <v>2894</v>
      </c>
    </row>
    <row r="628" spans="1:15" s="721" customFormat="1">
      <c r="A628" s="687" t="s">
        <v>525</v>
      </c>
      <c r="B628" s="726">
        <v>2011</v>
      </c>
      <c r="C628" s="687" t="s">
        <v>526</v>
      </c>
      <c r="D628" s="176" t="s">
        <v>220</v>
      </c>
      <c r="E628" s="733" t="s">
        <v>2993</v>
      </c>
      <c r="F628" s="687" t="s">
        <v>55</v>
      </c>
      <c r="G628" s="683" t="s">
        <v>561</v>
      </c>
      <c r="H628" s="720">
        <v>10216460000</v>
      </c>
      <c r="I628" s="683" t="s">
        <v>2895</v>
      </c>
      <c r="J628" s="717"/>
      <c r="K628" s="717"/>
      <c r="L628" s="683"/>
      <c r="M628" s="720">
        <v>0</v>
      </c>
      <c r="N628" s="720">
        <v>0</v>
      </c>
      <c r="O628" s="717">
        <v>48</v>
      </c>
    </row>
    <row r="629" spans="1:15" s="721" customFormat="1">
      <c r="A629" s="687" t="s">
        <v>525</v>
      </c>
      <c r="B629" s="726">
        <v>2011</v>
      </c>
      <c r="C629" s="687" t="s">
        <v>526</v>
      </c>
      <c r="D629" s="176" t="s">
        <v>220</v>
      </c>
      <c r="E629" s="733" t="s">
        <v>2995</v>
      </c>
      <c r="F629" s="687" t="s">
        <v>55</v>
      </c>
      <c r="G629" s="717"/>
      <c r="H629" s="683" t="s">
        <v>943</v>
      </c>
      <c r="I629" s="717"/>
      <c r="J629" s="717"/>
      <c r="K629" s="717"/>
      <c r="L629" s="683" t="s">
        <v>2996</v>
      </c>
      <c r="M629" s="683" t="s">
        <v>943</v>
      </c>
      <c r="N629" s="683" t="s">
        <v>943</v>
      </c>
      <c r="O629" s="717"/>
    </row>
    <row r="630" spans="1:15" s="721" customFormat="1">
      <c r="A630" s="687" t="s">
        <v>525</v>
      </c>
      <c r="B630" s="726">
        <v>2011</v>
      </c>
      <c r="C630" s="687" t="s">
        <v>526</v>
      </c>
      <c r="D630" s="176" t="s">
        <v>220</v>
      </c>
      <c r="E630" s="733" t="s">
        <v>2995</v>
      </c>
      <c r="F630" s="687" t="s">
        <v>55</v>
      </c>
      <c r="G630" s="717"/>
      <c r="H630" s="717"/>
      <c r="I630" s="717"/>
      <c r="J630" s="717"/>
      <c r="K630" s="717"/>
      <c r="L630" s="683" t="s">
        <v>2997</v>
      </c>
      <c r="M630" s="683" t="s">
        <v>943</v>
      </c>
      <c r="N630" s="683" t="s">
        <v>943</v>
      </c>
      <c r="O630" s="717"/>
    </row>
    <row r="631" spans="1:15" s="721" customFormat="1">
      <c r="A631" s="687" t="s">
        <v>525</v>
      </c>
      <c r="B631" s="726">
        <v>2011</v>
      </c>
      <c r="C631" s="687" t="s">
        <v>526</v>
      </c>
      <c r="D631" s="176" t="s">
        <v>220</v>
      </c>
      <c r="E631" s="733" t="s">
        <v>2995</v>
      </c>
      <c r="F631" s="687" t="s">
        <v>55</v>
      </c>
      <c r="G631" s="717"/>
      <c r="H631" s="717"/>
      <c r="I631" s="717"/>
      <c r="J631" s="717"/>
      <c r="K631" s="717"/>
      <c r="L631" s="683" t="s">
        <v>2998</v>
      </c>
      <c r="M631" s="683" t="s">
        <v>2846</v>
      </c>
      <c r="N631" s="683" t="s">
        <v>2846</v>
      </c>
      <c r="O631" s="717"/>
    </row>
    <row r="632" spans="1:15" s="721" customFormat="1">
      <c r="A632" s="687" t="s">
        <v>525</v>
      </c>
      <c r="B632" s="726">
        <v>2011</v>
      </c>
      <c r="C632" s="687" t="s">
        <v>526</v>
      </c>
      <c r="D632" s="176" t="s">
        <v>220</v>
      </c>
      <c r="E632" s="733" t="s">
        <v>2995</v>
      </c>
      <c r="F632" s="687" t="s">
        <v>55</v>
      </c>
      <c r="G632" s="717"/>
      <c r="H632" s="717"/>
      <c r="I632" s="717"/>
      <c r="J632" s="717"/>
      <c r="K632" s="717"/>
      <c r="L632" s="683" t="s">
        <v>2950</v>
      </c>
      <c r="M632" s="683" t="s">
        <v>2846</v>
      </c>
      <c r="N632" s="683" t="s">
        <v>2846</v>
      </c>
      <c r="O632" s="717"/>
    </row>
    <row r="633" spans="1:15" s="721" customFormat="1">
      <c r="A633" s="687" t="s">
        <v>525</v>
      </c>
      <c r="B633" s="726">
        <v>2011</v>
      </c>
      <c r="C633" s="687" t="s">
        <v>526</v>
      </c>
      <c r="D633" s="176" t="s">
        <v>220</v>
      </c>
      <c r="E633" s="733" t="s">
        <v>2999</v>
      </c>
      <c r="F633" s="687" t="s">
        <v>55</v>
      </c>
      <c r="G633" s="717"/>
      <c r="H633" s="683" t="s">
        <v>943</v>
      </c>
      <c r="I633" s="717"/>
      <c r="J633" s="717"/>
      <c r="K633" s="717"/>
      <c r="L633" s="683" t="s">
        <v>2996</v>
      </c>
      <c r="M633" s="683" t="s">
        <v>943</v>
      </c>
      <c r="N633" s="683" t="s">
        <v>943</v>
      </c>
      <c r="O633" s="717"/>
    </row>
    <row r="634" spans="1:15" s="721" customFormat="1">
      <c r="A634" s="687" t="s">
        <v>525</v>
      </c>
      <c r="B634" s="726">
        <v>2011</v>
      </c>
      <c r="C634" s="687" t="s">
        <v>526</v>
      </c>
      <c r="D634" s="176" t="s">
        <v>220</v>
      </c>
      <c r="E634" s="733" t="s">
        <v>2999</v>
      </c>
      <c r="F634" s="687" t="s">
        <v>55</v>
      </c>
      <c r="G634" s="717"/>
      <c r="H634" s="717"/>
      <c r="I634" s="717"/>
      <c r="J634" s="717"/>
      <c r="K634" s="717"/>
      <c r="L634" s="683" t="s">
        <v>2997</v>
      </c>
      <c r="M634" s="683" t="s">
        <v>943</v>
      </c>
      <c r="N634" s="683" t="s">
        <v>943</v>
      </c>
      <c r="O634" s="717"/>
    </row>
    <row r="635" spans="1:15" s="721" customFormat="1">
      <c r="A635" s="687" t="s">
        <v>525</v>
      </c>
      <c r="B635" s="726">
        <v>2011</v>
      </c>
      <c r="C635" s="687" t="s">
        <v>526</v>
      </c>
      <c r="D635" s="176" t="s">
        <v>220</v>
      </c>
      <c r="E635" s="733" t="s">
        <v>2999</v>
      </c>
      <c r="F635" s="687" t="s">
        <v>55</v>
      </c>
      <c r="G635" s="717"/>
      <c r="H635" s="717"/>
      <c r="I635" s="717"/>
      <c r="J635" s="717"/>
      <c r="K635" s="717"/>
      <c r="L635" s="683" t="s">
        <v>3000</v>
      </c>
      <c r="M635" s="683" t="s">
        <v>2846</v>
      </c>
      <c r="N635" s="683" t="s">
        <v>2846</v>
      </c>
      <c r="O635" s="717"/>
    </row>
    <row r="636" spans="1:15" s="721" customFormat="1">
      <c r="A636" s="687" t="s">
        <v>525</v>
      </c>
      <c r="B636" s="726">
        <v>2011</v>
      </c>
      <c r="C636" s="687" t="s">
        <v>526</v>
      </c>
      <c r="D636" s="176" t="s">
        <v>220</v>
      </c>
      <c r="E636" s="733" t="s">
        <v>2999</v>
      </c>
      <c r="F636" s="687" t="s">
        <v>55</v>
      </c>
      <c r="G636" s="717"/>
      <c r="H636" s="717"/>
      <c r="I636" s="717"/>
      <c r="J636" s="717"/>
      <c r="K636" s="717"/>
      <c r="L636" s="683" t="s">
        <v>3001</v>
      </c>
      <c r="M636" s="683" t="s">
        <v>2846</v>
      </c>
      <c r="N636" s="683" t="s">
        <v>2846</v>
      </c>
      <c r="O636" s="717"/>
    </row>
    <row r="637" spans="1:15" s="721" customFormat="1">
      <c r="A637" s="687" t="s">
        <v>525</v>
      </c>
      <c r="B637" s="726">
        <v>2011</v>
      </c>
      <c r="C637" s="687" t="s">
        <v>526</v>
      </c>
      <c r="D637" s="176" t="s">
        <v>220</v>
      </c>
      <c r="E637" s="733" t="s">
        <v>3002</v>
      </c>
      <c r="F637" s="687" t="s">
        <v>55</v>
      </c>
      <c r="G637" s="717"/>
      <c r="H637" s="683" t="s">
        <v>943</v>
      </c>
      <c r="I637" s="717"/>
      <c r="J637" s="717"/>
      <c r="K637" s="717"/>
      <c r="L637" s="683" t="s">
        <v>2954</v>
      </c>
      <c r="M637" s="683" t="s">
        <v>2846</v>
      </c>
      <c r="N637" s="683" t="s">
        <v>2846</v>
      </c>
      <c r="O637" s="717"/>
    </row>
    <row r="638" spans="1:15" s="721" customFormat="1">
      <c r="A638" s="687" t="s">
        <v>525</v>
      </c>
      <c r="B638" s="726">
        <v>2011</v>
      </c>
      <c r="C638" s="687" t="s">
        <v>526</v>
      </c>
      <c r="D638" s="176" t="s">
        <v>220</v>
      </c>
      <c r="E638" s="733" t="s">
        <v>3002</v>
      </c>
      <c r="F638" s="687" t="s">
        <v>55</v>
      </c>
      <c r="G638" s="717"/>
      <c r="H638" s="717"/>
      <c r="I638" s="717"/>
      <c r="J638" s="717"/>
      <c r="K638" s="717"/>
      <c r="L638" s="683" t="s">
        <v>2955</v>
      </c>
      <c r="M638" s="683" t="s">
        <v>2846</v>
      </c>
      <c r="N638" s="683" t="s">
        <v>2846</v>
      </c>
      <c r="O638" s="717"/>
    </row>
    <row r="639" spans="1:15" s="721" customFormat="1">
      <c r="A639" s="687" t="s">
        <v>525</v>
      </c>
      <c r="B639" s="726">
        <v>2011</v>
      </c>
      <c r="C639" s="687" t="s">
        <v>526</v>
      </c>
      <c r="D639" s="176" t="s">
        <v>220</v>
      </c>
      <c r="E639" s="733" t="s">
        <v>3002</v>
      </c>
      <c r="F639" s="687" t="s">
        <v>55</v>
      </c>
      <c r="G639" s="717"/>
      <c r="H639" s="717"/>
      <c r="I639" s="717"/>
      <c r="J639" s="717"/>
      <c r="K639" s="717"/>
      <c r="L639" s="683" t="s">
        <v>2891</v>
      </c>
      <c r="M639" s="683" t="s">
        <v>2846</v>
      </c>
      <c r="N639" s="683" t="s">
        <v>2846</v>
      </c>
      <c r="O639" s="717"/>
    </row>
    <row r="640" spans="1:15" s="721" customFormat="1">
      <c r="A640" s="687" t="s">
        <v>525</v>
      </c>
      <c r="B640" s="726">
        <v>2011</v>
      </c>
      <c r="C640" s="687" t="s">
        <v>526</v>
      </c>
      <c r="D640" s="176" t="s">
        <v>220</v>
      </c>
      <c r="E640" s="733" t="s">
        <v>3003</v>
      </c>
      <c r="F640" s="687" t="s">
        <v>55</v>
      </c>
      <c r="G640" s="717"/>
      <c r="H640" s="683" t="s">
        <v>943</v>
      </c>
      <c r="I640" s="717"/>
      <c r="J640" s="717"/>
      <c r="K640" s="717"/>
      <c r="L640" s="683" t="s">
        <v>2954</v>
      </c>
      <c r="M640" s="683" t="s">
        <v>2846</v>
      </c>
      <c r="N640" s="683" t="s">
        <v>2846</v>
      </c>
      <c r="O640" s="717"/>
    </row>
    <row r="641" spans="1:15" s="721" customFormat="1">
      <c r="A641" s="687" t="s">
        <v>525</v>
      </c>
      <c r="B641" s="726">
        <v>2011</v>
      </c>
      <c r="C641" s="687" t="s">
        <v>526</v>
      </c>
      <c r="D641" s="176" t="s">
        <v>220</v>
      </c>
      <c r="E641" s="733" t="s">
        <v>3003</v>
      </c>
      <c r="F641" s="687" t="s">
        <v>55</v>
      </c>
      <c r="G641" s="717"/>
      <c r="H641" s="683"/>
      <c r="I641" s="717"/>
      <c r="J641" s="717"/>
      <c r="K641" s="717"/>
      <c r="L641" s="683" t="s">
        <v>2955</v>
      </c>
      <c r="M641" s="683" t="s">
        <v>2846</v>
      </c>
      <c r="N641" s="683" t="s">
        <v>2846</v>
      </c>
      <c r="O641" s="717"/>
    </row>
    <row r="642" spans="1:15" s="721" customFormat="1">
      <c r="A642" s="687" t="s">
        <v>525</v>
      </c>
      <c r="B642" s="726">
        <v>2011</v>
      </c>
      <c r="C642" s="687" t="s">
        <v>526</v>
      </c>
      <c r="D642" s="176" t="s">
        <v>220</v>
      </c>
      <c r="E642" s="733" t="s">
        <v>3003</v>
      </c>
      <c r="F642" s="687" t="s">
        <v>55</v>
      </c>
      <c r="G642" s="717"/>
      <c r="H642" s="717"/>
      <c r="I642" s="717"/>
      <c r="J642" s="717"/>
      <c r="K642" s="717"/>
      <c r="L642" s="683" t="s">
        <v>2891</v>
      </c>
      <c r="M642" s="683" t="s">
        <v>2846</v>
      </c>
      <c r="N642" s="683" t="s">
        <v>2846</v>
      </c>
      <c r="O642" s="717"/>
    </row>
    <row r="643" spans="1:15" s="721" customFormat="1">
      <c r="A643" s="687" t="s">
        <v>525</v>
      </c>
      <c r="B643" s="726">
        <v>2011</v>
      </c>
      <c r="C643" s="687" t="s">
        <v>526</v>
      </c>
      <c r="D643" s="176" t="s">
        <v>220</v>
      </c>
      <c r="E643" s="733" t="s">
        <v>3004</v>
      </c>
      <c r="F643" s="687" t="s">
        <v>55</v>
      </c>
      <c r="G643" s="717"/>
      <c r="H643" s="683" t="s">
        <v>2846</v>
      </c>
      <c r="I643" s="683"/>
      <c r="J643" s="717"/>
      <c r="K643" s="717"/>
      <c r="L643" s="683" t="s">
        <v>3005</v>
      </c>
      <c r="M643" s="683" t="s">
        <v>2846</v>
      </c>
      <c r="N643" s="683" t="s">
        <v>2846</v>
      </c>
      <c r="O643" s="717"/>
    </row>
    <row r="644" spans="1:15" s="721" customFormat="1">
      <c r="A644" s="687" t="s">
        <v>525</v>
      </c>
      <c r="B644" s="726">
        <v>2011</v>
      </c>
      <c r="C644" s="687" t="s">
        <v>526</v>
      </c>
      <c r="D644" s="176" t="s">
        <v>220</v>
      </c>
      <c r="E644" s="733" t="s">
        <v>3004</v>
      </c>
      <c r="F644" s="687" t="s">
        <v>55</v>
      </c>
      <c r="G644" s="717"/>
      <c r="H644" s="717"/>
      <c r="I644" s="717"/>
      <c r="J644" s="717"/>
      <c r="K644" s="717"/>
      <c r="L644" s="683" t="s">
        <v>3006</v>
      </c>
      <c r="M644" s="717">
        <v>0</v>
      </c>
      <c r="N644" s="717">
        <v>0</v>
      </c>
      <c r="O644" s="717">
        <v>45</v>
      </c>
    </row>
    <row r="645" spans="1:15" s="721" customFormat="1">
      <c r="A645" s="687" t="s">
        <v>525</v>
      </c>
      <c r="B645" s="726">
        <v>2011</v>
      </c>
      <c r="C645" s="687" t="s">
        <v>526</v>
      </c>
      <c r="D645" s="176" t="s">
        <v>220</v>
      </c>
      <c r="E645" s="733" t="s">
        <v>3004</v>
      </c>
      <c r="F645" s="687" t="s">
        <v>55</v>
      </c>
      <c r="G645" s="717"/>
      <c r="H645" s="717"/>
      <c r="I645" s="717"/>
      <c r="J645" s="717"/>
      <c r="K645" s="717"/>
      <c r="L645" s="683" t="s">
        <v>3007</v>
      </c>
      <c r="M645" s="720">
        <v>12568771.472868217</v>
      </c>
      <c r="N645" s="720">
        <v>12568771.472868217</v>
      </c>
      <c r="O645" s="717">
        <v>45</v>
      </c>
    </row>
    <row r="646" spans="1:15" s="721" customFormat="1">
      <c r="A646" s="687" t="s">
        <v>525</v>
      </c>
      <c r="B646" s="726">
        <v>2011</v>
      </c>
      <c r="C646" s="687" t="s">
        <v>526</v>
      </c>
      <c r="D646" s="176" t="s">
        <v>220</v>
      </c>
      <c r="E646" s="733" t="s">
        <v>3008</v>
      </c>
      <c r="F646" s="687" t="s">
        <v>55</v>
      </c>
      <c r="G646" s="717"/>
      <c r="H646" s="683" t="s">
        <v>943</v>
      </c>
      <c r="I646" s="717"/>
      <c r="J646" s="717"/>
      <c r="K646" s="717"/>
      <c r="L646" s="683" t="s">
        <v>3009</v>
      </c>
      <c r="M646" s="720">
        <v>13933742.170542635</v>
      </c>
      <c r="N646" s="720">
        <v>13983084.96124031</v>
      </c>
      <c r="O646" s="717">
        <v>46</v>
      </c>
    </row>
    <row r="647" spans="1:15" s="721" customFormat="1">
      <c r="A647" s="687" t="s">
        <v>525</v>
      </c>
      <c r="B647" s="726">
        <v>2011</v>
      </c>
      <c r="C647" s="687" t="s">
        <v>526</v>
      </c>
      <c r="D647" s="176" t="s">
        <v>220</v>
      </c>
      <c r="E647" s="733" t="s">
        <v>3008</v>
      </c>
      <c r="F647" s="687" t="s">
        <v>55</v>
      </c>
      <c r="G647" s="717"/>
      <c r="H647" s="717"/>
      <c r="I647" s="717"/>
      <c r="J647" s="717"/>
      <c r="K647" s="717"/>
      <c r="L647" s="683" t="s">
        <v>3010</v>
      </c>
      <c r="M647" s="683" t="s">
        <v>943</v>
      </c>
      <c r="N647" s="683" t="s">
        <v>943</v>
      </c>
      <c r="O647" s="717"/>
    </row>
    <row r="648" spans="1:15" s="721" customFormat="1">
      <c r="A648" s="687" t="s">
        <v>525</v>
      </c>
      <c r="B648" s="726">
        <v>2011</v>
      </c>
      <c r="C648" s="687" t="s">
        <v>526</v>
      </c>
      <c r="D648" s="176" t="s">
        <v>220</v>
      </c>
      <c r="E648" s="733" t="s">
        <v>3008</v>
      </c>
      <c r="F648" s="687" t="s">
        <v>55</v>
      </c>
      <c r="G648" s="717"/>
      <c r="H648" s="717"/>
      <c r="I648" s="717"/>
      <c r="J648" s="717"/>
      <c r="K648" s="717"/>
      <c r="L648" s="683" t="s">
        <v>2891</v>
      </c>
      <c r="M648" s="683" t="s">
        <v>2846</v>
      </c>
      <c r="N648" s="683" t="s">
        <v>2846</v>
      </c>
      <c r="O648" s="717"/>
    </row>
    <row r="649" spans="1:15" s="721" customFormat="1">
      <c r="A649" s="687" t="s">
        <v>525</v>
      </c>
      <c r="B649" s="726">
        <v>2011</v>
      </c>
      <c r="C649" s="687" t="s">
        <v>526</v>
      </c>
      <c r="D649" s="176" t="s">
        <v>220</v>
      </c>
      <c r="E649" s="733" t="s">
        <v>3011</v>
      </c>
      <c r="F649" s="687" t="s">
        <v>55</v>
      </c>
      <c r="G649" s="717"/>
      <c r="H649" s="683" t="s">
        <v>943</v>
      </c>
      <c r="I649" s="717"/>
      <c r="J649" s="717"/>
      <c r="K649" s="717"/>
      <c r="L649" s="683" t="s">
        <v>3012</v>
      </c>
      <c r="M649" s="720">
        <v>3642857.5193798449</v>
      </c>
      <c r="N649" s="720">
        <v>3709641.5503875967</v>
      </c>
      <c r="O649" s="717">
        <v>46</v>
      </c>
    </row>
    <row r="650" spans="1:15" s="721" customFormat="1">
      <c r="A650" s="687" t="s">
        <v>525</v>
      </c>
      <c r="B650" s="726">
        <v>2011</v>
      </c>
      <c r="C650" s="687" t="s">
        <v>526</v>
      </c>
      <c r="D650" s="176" t="s">
        <v>220</v>
      </c>
      <c r="E650" s="733" t="s">
        <v>3011</v>
      </c>
      <c r="F650" s="687" t="s">
        <v>55</v>
      </c>
      <c r="G650" s="717"/>
      <c r="H650" s="717"/>
      <c r="I650" s="717"/>
      <c r="J650" s="717"/>
      <c r="K650" s="717"/>
      <c r="L650" s="683" t="s">
        <v>2891</v>
      </c>
      <c r="M650" s="683" t="s">
        <v>2846</v>
      </c>
      <c r="N650" s="683" t="s">
        <v>2846</v>
      </c>
      <c r="O650" s="717"/>
    </row>
    <row r="651" spans="1:15" s="721" customFormat="1">
      <c r="A651" s="687" t="s">
        <v>525</v>
      </c>
      <c r="B651" s="726">
        <v>2011</v>
      </c>
      <c r="C651" s="687" t="s">
        <v>526</v>
      </c>
      <c r="D651" s="176" t="s">
        <v>220</v>
      </c>
      <c r="E651" s="733" t="s">
        <v>3013</v>
      </c>
      <c r="F651" s="687" t="s">
        <v>55</v>
      </c>
      <c r="G651" s="717"/>
      <c r="H651" s="683" t="s">
        <v>943</v>
      </c>
      <c r="I651" s="717"/>
      <c r="J651" s="717"/>
      <c r="K651" s="717"/>
      <c r="L651" s="683" t="s">
        <v>3014</v>
      </c>
      <c r="M651" s="720">
        <v>6480586.3565891469</v>
      </c>
      <c r="N651" s="720">
        <v>6503803.1007751934</v>
      </c>
      <c r="O651" s="717">
        <v>45</v>
      </c>
    </row>
    <row r="652" spans="1:15" s="721" customFormat="1">
      <c r="A652" s="687" t="s">
        <v>525</v>
      </c>
      <c r="B652" s="726">
        <v>2011</v>
      </c>
      <c r="C652" s="687" t="s">
        <v>526</v>
      </c>
      <c r="D652" s="176" t="s">
        <v>220</v>
      </c>
      <c r="E652" s="733" t="s">
        <v>3013</v>
      </c>
      <c r="F652" s="687" t="s">
        <v>55</v>
      </c>
      <c r="G652" s="717"/>
      <c r="H652" s="717"/>
      <c r="I652" s="717"/>
      <c r="J652" s="717"/>
      <c r="K652" s="717"/>
      <c r="L652" s="683" t="s">
        <v>3015</v>
      </c>
      <c r="M652" s="683" t="s">
        <v>943</v>
      </c>
      <c r="N652" s="683" t="s">
        <v>943</v>
      </c>
      <c r="O652" s="717"/>
    </row>
    <row r="653" spans="1:15" s="721" customFormat="1" ht="15.75" thickBot="1">
      <c r="A653" s="689" t="s">
        <v>525</v>
      </c>
      <c r="B653" s="730">
        <v>2011</v>
      </c>
      <c r="C653" s="689" t="s">
        <v>526</v>
      </c>
      <c r="D653" s="243" t="s">
        <v>220</v>
      </c>
      <c r="E653" s="733" t="s">
        <v>3013</v>
      </c>
      <c r="F653" s="687" t="s">
        <v>55</v>
      </c>
      <c r="G653" s="717"/>
      <c r="H653" s="717"/>
      <c r="I653" s="717"/>
      <c r="J653" s="717"/>
      <c r="K653" s="717"/>
      <c r="L653" s="683" t="s">
        <v>2891</v>
      </c>
      <c r="M653" s="683" t="s">
        <v>2846</v>
      </c>
      <c r="N653" s="683" t="s">
        <v>2846</v>
      </c>
      <c r="O653" s="717"/>
    </row>
    <row r="654" spans="1:15" s="736" customFormat="1">
      <c r="A654" s="698" t="s">
        <v>537</v>
      </c>
      <c r="B654" s="732">
        <v>2010</v>
      </c>
      <c r="C654" s="698" t="s">
        <v>529</v>
      </c>
      <c r="D654" s="196" t="s">
        <v>252</v>
      </c>
      <c r="E654" s="698" t="s">
        <v>2389</v>
      </c>
      <c r="F654" s="698" t="s">
        <v>561</v>
      </c>
      <c r="G654" s="698" t="s">
        <v>3016</v>
      </c>
      <c r="H654" s="732">
        <v>186800000000</v>
      </c>
      <c r="I654" s="698" t="s">
        <v>2895</v>
      </c>
      <c r="J654" s="698" t="s">
        <v>943</v>
      </c>
      <c r="K654" s="698"/>
      <c r="L654" s="698" t="s">
        <v>3017</v>
      </c>
      <c r="M654" s="292">
        <v>112270000</v>
      </c>
      <c r="N654" s="292">
        <v>112270000</v>
      </c>
      <c r="O654" s="698" t="s">
        <v>3018</v>
      </c>
    </row>
    <row r="655" spans="1:15" s="727" customFormat="1">
      <c r="A655" s="687" t="s">
        <v>537</v>
      </c>
      <c r="B655" s="726">
        <v>2010</v>
      </c>
      <c r="C655" s="687" t="s">
        <v>529</v>
      </c>
      <c r="D655" s="176" t="s">
        <v>252</v>
      </c>
      <c r="E655" s="687" t="s">
        <v>2389</v>
      </c>
      <c r="F655" s="687" t="s">
        <v>561</v>
      </c>
      <c r="G655" s="687"/>
      <c r="H655" s="726"/>
      <c r="I655" s="726"/>
      <c r="J655" s="726"/>
      <c r="K655" s="726"/>
      <c r="L655" s="687" t="s">
        <v>709</v>
      </c>
      <c r="M655" s="687"/>
      <c r="N655" s="687"/>
      <c r="O655" s="726"/>
    </row>
    <row r="656" spans="1:15" s="727" customFormat="1">
      <c r="A656" s="687" t="s">
        <v>537</v>
      </c>
      <c r="B656" s="726">
        <v>2010</v>
      </c>
      <c r="C656" s="687" t="s">
        <v>529</v>
      </c>
      <c r="D656" s="176" t="s">
        <v>252</v>
      </c>
      <c r="E656" s="687" t="s">
        <v>2389</v>
      </c>
      <c r="F656" s="687" t="s">
        <v>561</v>
      </c>
      <c r="G656" s="687"/>
      <c r="H656" s="726"/>
      <c r="I656" s="726"/>
      <c r="J656" s="726"/>
      <c r="K656" s="726"/>
      <c r="L656" s="687" t="s">
        <v>3019</v>
      </c>
      <c r="M656" s="687"/>
      <c r="N656" s="687"/>
      <c r="O656" s="726"/>
    </row>
    <row r="657" spans="1:15" s="727" customFormat="1">
      <c r="A657" s="687" t="s">
        <v>537</v>
      </c>
      <c r="B657" s="726">
        <v>2010</v>
      </c>
      <c r="C657" s="687" t="s">
        <v>529</v>
      </c>
      <c r="D657" s="176" t="s">
        <v>252</v>
      </c>
      <c r="E657" s="687" t="s">
        <v>2389</v>
      </c>
      <c r="F657" s="687" t="s">
        <v>561</v>
      </c>
      <c r="G657" s="687"/>
      <c r="H657" s="726"/>
      <c r="I657" s="726"/>
      <c r="J657" s="726"/>
      <c r="K657" s="726"/>
      <c r="L657" s="687" t="s">
        <v>3020</v>
      </c>
      <c r="M657" s="687"/>
      <c r="N657" s="687"/>
      <c r="O657" s="726"/>
    </row>
    <row r="658" spans="1:15" s="727" customFormat="1">
      <c r="A658" s="687" t="s">
        <v>537</v>
      </c>
      <c r="B658" s="726">
        <v>2010</v>
      </c>
      <c r="C658" s="687" t="s">
        <v>529</v>
      </c>
      <c r="D658" s="176" t="s">
        <v>252</v>
      </c>
      <c r="E658" s="687" t="s">
        <v>2389</v>
      </c>
      <c r="F658" s="687" t="s">
        <v>561</v>
      </c>
      <c r="G658" s="687"/>
      <c r="H658" s="726"/>
      <c r="I658" s="726"/>
      <c r="J658" s="726"/>
      <c r="K658" s="726"/>
      <c r="L658" s="687" t="s">
        <v>2881</v>
      </c>
      <c r="M658" s="687"/>
      <c r="N658" s="687"/>
      <c r="O658" s="726"/>
    </row>
    <row r="659" spans="1:15" s="727" customFormat="1">
      <c r="A659" s="687" t="s">
        <v>537</v>
      </c>
      <c r="B659" s="726">
        <v>2010</v>
      </c>
      <c r="C659" s="687" t="s">
        <v>529</v>
      </c>
      <c r="D659" s="176" t="s">
        <v>252</v>
      </c>
      <c r="E659" s="687" t="s">
        <v>2389</v>
      </c>
      <c r="F659" s="687" t="s">
        <v>561</v>
      </c>
      <c r="G659" s="687"/>
      <c r="H659" s="726"/>
      <c r="I659" s="726"/>
      <c r="J659" s="726"/>
      <c r="K659" s="726"/>
      <c r="L659" s="687" t="s">
        <v>3021</v>
      </c>
      <c r="M659" s="687"/>
      <c r="N659" s="687"/>
      <c r="O659" s="726"/>
    </row>
    <row r="660" spans="1:15" s="738" customFormat="1">
      <c r="A660" s="695" t="s">
        <v>537</v>
      </c>
      <c r="B660" s="737">
        <v>2010</v>
      </c>
      <c r="C660" s="695" t="s">
        <v>529</v>
      </c>
      <c r="D660" s="188" t="s">
        <v>252</v>
      </c>
      <c r="E660" s="695" t="s">
        <v>2389</v>
      </c>
      <c r="F660" s="695" t="s">
        <v>561</v>
      </c>
      <c r="G660" s="695"/>
      <c r="H660" s="737"/>
      <c r="I660" s="737"/>
      <c r="J660" s="737"/>
      <c r="K660" s="737"/>
      <c r="L660" s="695" t="s">
        <v>3022</v>
      </c>
      <c r="M660" s="695"/>
      <c r="N660" s="695"/>
      <c r="O660" s="737"/>
    </row>
    <row r="661" spans="1:15" s="721" customFormat="1">
      <c r="A661" s="683" t="s">
        <v>538</v>
      </c>
      <c r="B661" s="717">
        <v>2011</v>
      </c>
      <c r="C661" s="683" t="s">
        <v>529</v>
      </c>
      <c r="D661" s="52" t="s">
        <v>252</v>
      </c>
      <c r="E661" s="683" t="s">
        <v>2389</v>
      </c>
      <c r="F661" s="683" t="s">
        <v>561</v>
      </c>
      <c r="G661" s="683" t="s">
        <v>3016</v>
      </c>
      <c r="H661" s="717">
        <v>309400000000</v>
      </c>
      <c r="I661" s="683" t="s">
        <v>2895</v>
      </c>
      <c r="J661" s="683" t="s">
        <v>943</v>
      </c>
      <c r="K661" s="683"/>
      <c r="L661" s="683" t="s">
        <v>3017</v>
      </c>
      <c r="M661" s="739">
        <v>201261000</v>
      </c>
      <c r="N661" s="739">
        <v>201001000</v>
      </c>
      <c r="O661" s="683" t="s">
        <v>3023</v>
      </c>
    </row>
    <row r="662" spans="1:15" s="721" customFormat="1">
      <c r="A662" s="683" t="s">
        <v>538</v>
      </c>
      <c r="B662" s="717">
        <v>2011</v>
      </c>
      <c r="C662" s="683" t="s">
        <v>529</v>
      </c>
      <c r="D662" s="52" t="s">
        <v>252</v>
      </c>
      <c r="E662" s="683" t="s">
        <v>2389</v>
      </c>
      <c r="F662" s="683" t="s">
        <v>561</v>
      </c>
      <c r="G662" s="683"/>
      <c r="H662" s="717"/>
      <c r="I662" s="717"/>
      <c r="J662" s="717"/>
      <c r="K662" s="717"/>
      <c r="L662" s="683" t="s">
        <v>709</v>
      </c>
      <c r="M662" s="683"/>
      <c r="N662" s="683"/>
      <c r="O662" s="717"/>
    </row>
    <row r="663" spans="1:15" s="721" customFormat="1">
      <c r="A663" s="683" t="s">
        <v>538</v>
      </c>
      <c r="B663" s="717">
        <v>2011</v>
      </c>
      <c r="C663" s="683" t="s">
        <v>529</v>
      </c>
      <c r="D663" s="52" t="s">
        <v>252</v>
      </c>
      <c r="E663" s="683" t="s">
        <v>2389</v>
      </c>
      <c r="F663" s="683" t="s">
        <v>561</v>
      </c>
      <c r="G663" s="683"/>
      <c r="H663" s="717"/>
      <c r="I663" s="717"/>
      <c r="J663" s="717"/>
      <c r="K663" s="717"/>
      <c r="L663" s="683" t="s">
        <v>3019</v>
      </c>
      <c r="M663" s="683"/>
      <c r="N663" s="683"/>
      <c r="O663" s="717"/>
    </row>
    <row r="664" spans="1:15" s="721" customFormat="1">
      <c r="A664" s="683" t="s">
        <v>538</v>
      </c>
      <c r="B664" s="717">
        <v>2011</v>
      </c>
      <c r="C664" s="683" t="s">
        <v>529</v>
      </c>
      <c r="D664" s="52" t="s">
        <v>252</v>
      </c>
      <c r="E664" s="683" t="s">
        <v>2389</v>
      </c>
      <c r="F664" s="683" t="s">
        <v>561</v>
      </c>
      <c r="G664" s="683"/>
      <c r="H664" s="717"/>
      <c r="I664" s="717"/>
      <c r="J664" s="717"/>
      <c r="K664" s="717"/>
      <c r="L664" s="683" t="s">
        <v>3020</v>
      </c>
      <c r="M664" s="683"/>
      <c r="N664" s="683"/>
      <c r="O664" s="717"/>
    </row>
    <row r="665" spans="1:15" s="721" customFormat="1">
      <c r="A665" s="683" t="s">
        <v>538</v>
      </c>
      <c r="B665" s="717">
        <v>2011</v>
      </c>
      <c r="C665" s="683" t="s">
        <v>529</v>
      </c>
      <c r="D665" s="52" t="s">
        <v>252</v>
      </c>
      <c r="E665" s="683" t="s">
        <v>2389</v>
      </c>
      <c r="F665" s="683" t="s">
        <v>561</v>
      </c>
      <c r="G665" s="683"/>
      <c r="H665" s="717"/>
      <c r="I665" s="717"/>
      <c r="J665" s="717"/>
      <c r="K665" s="717"/>
      <c r="L665" s="683" t="s">
        <v>2881</v>
      </c>
      <c r="M665" s="683"/>
      <c r="N665" s="683"/>
      <c r="O665" s="717"/>
    </row>
    <row r="666" spans="1:15" s="721" customFormat="1">
      <c r="A666" s="683" t="s">
        <v>538</v>
      </c>
      <c r="B666" s="717">
        <v>2011</v>
      </c>
      <c r="C666" s="683" t="s">
        <v>529</v>
      </c>
      <c r="D666" s="52" t="s">
        <v>252</v>
      </c>
      <c r="E666" s="683" t="s">
        <v>2389</v>
      </c>
      <c r="F666" s="683" t="s">
        <v>561</v>
      </c>
      <c r="G666" s="683"/>
      <c r="H666" s="717"/>
      <c r="I666" s="717"/>
      <c r="J666" s="717"/>
      <c r="K666" s="717"/>
      <c r="L666" s="683" t="s">
        <v>3021</v>
      </c>
      <c r="M666" s="683"/>
      <c r="N666" s="683"/>
      <c r="O666" s="717"/>
    </row>
    <row r="667" spans="1:15" s="721" customFormat="1" ht="15.75" thickBot="1">
      <c r="A667" s="683" t="s">
        <v>538</v>
      </c>
      <c r="B667" s="717">
        <v>2011</v>
      </c>
      <c r="C667" s="683" t="s">
        <v>529</v>
      </c>
      <c r="D667" s="52" t="s">
        <v>252</v>
      </c>
      <c r="E667" s="683" t="s">
        <v>2389</v>
      </c>
      <c r="F667" s="683" t="s">
        <v>561</v>
      </c>
      <c r="G667" s="683"/>
      <c r="H667" s="717"/>
      <c r="I667" s="717"/>
      <c r="J667" s="717"/>
      <c r="K667" s="717"/>
      <c r="L667" s="683" t="s">
        <v>3022</v>
      </c>
      <c r="M667" s="683"/>
      <c r="N667" s="683"/>
      <c r="O667" s="717"/>
    </row>
    <row r="668" spans="1:15" s="741" customFormat="1">
      <c r="A668" s="716" t="s">
        <v>545</v>
      </c>
      <c r="B668" s="740">
        <v>2010</v>
      </c>
      <c r="C668" s="716" t="s">
        <v>541</v>
      </c>
      <c r="D668" s="716" t="s">
        <v>86</v>
      </c>
      <c r="E668" s="718"/>
      <c r="F668" s="716" t="s">
        <v>24</v>
      </c>
      <c r="G668" s="718"/>
      <c r="H668" s="718"/>
      <c r="I668" s="718"/>
      <c r="J668" s="718"/>
      <c r="K668" s="718"/>
      <c r="L668" s="716"/>
      <c r="M668" s="718"/>
      <c r="N668" s="718"/>
      <c r="O668" s="718"/>
    </row>
    <row r="669" spans="1:15" s="745" customFormat="1" ht="15.75" thickBot="1">
      <c r="A669" s="742" t="s">
        <v>547</v>
      </c>
      <c r="B669" s="743">
        <v>2011</v>
      </c>
      <c r="C669" s="742" t="s">
        <v>541</v>
      </c>
      <c r="D669" s="742" t="s">
        <v>86</v>
      </c>
      <c r="E669" s="744"/>
      <c r="F669" s="742" t="s">
        <v>24</v>
      </c>
      <c r="G669" s="744"/>
      <c r="H669" s="744"/>
      <c r="I669" s="744"/>
      <c r="J669" s="744"/>
      <c r="K669" s="744"/>
      <c r="L669" s="744"/>
      <c r="M669" s="744"/>
      <c r="N669" s="744"/>
      <c r="O669" s="744"/>
    </row>
  </sheetData>
  <conditionalFormatting sqref="B1:L1">
    <cfRule type="cellIs" dxfId="1" priority="2" stopIfTrue="1" operator="equal">
      <formula>1</formula>
    </cfRule>
  </conditionalFormatting>
  <conditionalFormatting sqref="A1">
    <cfRule type="cellIs" dxfId="0" priority="1" stopIfTrue="1" operator="equal">
      <formula>1</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
  <sheetViews>
    <sheetView workbookViewId="0">
      <selection activeCell="B5" sqref="B5"/>
    </sheetView>
  </sheetViews>
  <sheetFormatPr defaultRowHeight="15"/>
  <cols>
    <col min="1" max="1" width="12.85546875" customWidth="1"/>
  </cols>
  <sheetData>
    <row r="1" spans="1:2">
      <c r="A1" s="746" t="s">
        <v>3024</v>
      </c>
    </row>
    <row r="2" spans="1:2">
      <c r="B2" t="s">
        <v>3025</v>
      </c>
    </row>
    <row r="3" spans="1:2">
      <c r="A3" s="747"/>
      <c r="B3" t="s">
        <v>3026</v>
      </c>
    </row>
    <row r="4" spans="1:2">
      <c r="A4" s="748"/>
      <c r="B4" t="s">
        <v>3027</v>
      </c>
    </row>
    <row r="5" spans="1:2">
      <c r="A5" s="798"/>
      <c r="B5" t="s">
        <v>3057</v>
      </c>
    </row>
    <row r="6" spans="1:2" s="749" customFormat="1">
      <c r="A6" s="749" t="s">
        <v>3028</v>
      </c>
    </row>
    <row r="7" spans="1:2">
      <c r="A7" s="749"/>
    </row>
    <row r="9" spans="1:2">
      <c r="A9" s="746" t="s">
        <v>3029</v>
      </c>
    </row>
    <row r="10" spans="1:2">
      <c r="A10" s="750"/>
      <c r="B10" t="s">
        <v>3030</v>
      </c>
    </row>
    <row r="11" spans="1:2">
      <c r="A11" s="751"/>
      <c r="B11" t="s">
        <v>3031</v>
      </c>
    </row>
    <row r="12" spans="1:2">
      <c r="A12" s="752"/>
      <c r="B12" t="s">
        <v>3032</v>
      </c>
    </row>
    <row r="13" spans="1:2">
      <c r="A13" s="753"/>
      <c r="B13" t="s">
        <v>3033</v>
      </c>
    </row>
    <row r="14" spans="1:2">
      <c r="A14" t="s">
        <v>3034</v>
      </c>
    </row>
    <row r="15" spans="1:2">
      <c r="A15" t="s">
        <v>3035</v>
      </c>
    </row>
    <row r="18" spans="1:1">
      <c r="A18" s="746" t="s">
        <v>3036</v>
      </c>
    </row>
    <row r="19" spans="1:1">
      <c r="A19" t="s">
        <v>3037</v>
      </c>
    </row>
    <row r="20" spans="1:1">
      <c r="A20" t="s">
        <v>3038</v>
      </c>
    </row>
    <row r="21" spans="1:1">
      <c r="A21" t="s">
        <v>3039</v>
      </c>
    </row>
    <row r="22" spans="1:1">
      <c r="A22" t="s">
        <v>3040</v>
      </c>
    </row>
    <row r="23" spans="1:1">
      <c r="A23" t="s">
        <v>3041</v>
      </c>
    </row>
    <row r="26" spans="1:1">
      <c r="A26" s="746" t="s">
        <v>3042</v>
      </c>
    </row>
    <row r="27" spans="1:1">
      <c r="A27" t="s">
        <v>3043</v>
      </c>
    </row>
    <row r="28" spans="1:1">
      <c r="A28" t="s">
        <v>3044</v>
      </c>
    </row>
    <row r="29" spans="1:1">
      <c r="A29" t="s">
        <v>3045</v>
      </c>
    </row>
    <row r="30" spans="1:1">
      <c r="A30" t="s">
        <v>3046</v>
      </c>
    </row>
    <row r="31" spans="1:1">
      <c r="A31" t="s">
        <v>3047</v>
      </c>
    </row>
    <row r="32" spans="1:1">
      <c r="A32" t="s">
        <v>3048</v>
      </c>
    </row>
    <row r="33" spans="1:1">
      <c r="A33" t="s">
        <v>3049</v>
      </c>
    </row>
    <row r="34" spans="1:1">
      <c r="A34" t="s">
        <v>3050</v>
      </c>
    </row>
    <row r="35" spans="1:1">
      <c r="A35" t="s">
        <v>3051</v>
      </c>
    </row>
    <row r="36" spans="1:1">
      <c r="A36" t="s">
        <v>3052</v>
      </c>
    </row>
    <row r="37" spans="1:1">
      <c r="A37" t="s">
        <v>3053</v>
      </c>
    </row>
    <row r="38" spans="1:1">
      <c r="A38" t="s">
        <v>3054</v>
      </c>
    </row>
    <row r="39" spans="1:1">
      <c r="A39" t="s">
        <v>3055</v>
      </c>
    </row>
    <row r="40" spans="1:1">
      <c r="A40" t="s">
        <v>3056</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Country EITI report summary</vt:lpstr>
      <vt:lpstr>Sheet1</vt:lpstr>
      <vt:lpstr>Country-level</vt:lpstr>
      <vt:lpstr>EITI Revenues</vt:lpstr>
      <vt:lpstr>WB Data</vt:lpstr>
      <vt:lpstr>WB Data 2</vt:lpstr>
      <vt:lpstr>UNCTAD</vt:lpstr>
      <vt:lpstr>RGI</vt:lpstr>
      <vt:lpstr>WGI</vt:lpstr>
      <vt:lpstr>CPI 2014</vt:lpstr>
      <vt:lpstr>Project-level</vt:lpstr>
      <vt:lpstr>Notes</vt:lpstr>
      <vt:lpstr>CPI_2013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Marie Lintzer</dc:creator>
  <cp:lastModifiedBy>Giorgia Cecchinato</cp:lastModifiedBy>
  <dcterms:created xsi:type="dcterms:W3CDTF">2015-03-12T20:40:58Z</dcterms:created>
  <dcterms:modified xsi:type="dcterms:W3CDTF">2015-03-13T10:23:24Z</dcterms:modified>
</cp:coreProperties>
</file>